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<sst xmlns="http://schemas.openxmlformats.org/spreadsheetml/2006/main" count="306011" uniqueCount="64608">
  <si>
    <t>Reference Number</t>
  </si>
  <si>
    <t>Procuring Entity</t>
  </si>
  <si>
    <t>Title</t>
  </si>
  <si>
    <t>Area of Delivery</t>
  </si>
  <si>
    <t>Solicitation Number</t>
  </si>
  <si>
    <t>Trade Agreement</t>
  </si>
  <si>
    <t>Procurement Mode</t>
  </si>
  <si>
    <t>Classification</t>
  </si>
  <si>
    <t>Category</t>
  </si>
  <si>
    <t>Approved Budget for the Contract</t>
  </si>
  <si>
    <t>Contract Duration</t>
  </si>
  <si>
    <t>Client Agency</t>
  </si>
  <si>
    <t>Contact Person</t>
  </si>
  <si>
    <t>Status</t>
  </si>
  <si>
    <t>Associated Components</t>
  </si>
  <si>
    <t>Bid Supplements</t>
  </si>
  <si>
    <t>Document Request List</t>
  </si>
  <si>
    <t>Date Published</t>
  </si>
  <si>
    <t>Last Updated / Time</t>
  </si>
  <si>
    <t>Closing Date / Time</t>
  </si>
  <si>
    <t>Description</t>
  </si>
  <si>
    <t>Other Information</t>
  </si>
  <si>
    <t>Created by</t>
  </si>
  <si>
    <t>Date Created</t>
  </si>
  <si>
    <t>PHILIPPINE NAVY PROCUREMENT CENTER, AFP PROCUREMENT SERVICE</t>
  </si>
  <si>
    <t>BARANGAY MATINA 74-A - MATINA, DAVAO CITY</t>
  </si>
  <si>
    <t>TANZA WATER DISTRICT</t>
  </si>
  <si>
    <t>CITY OF BAGUIO, BENGUET</t>
  </si>
  <si>
    <t>ASSOCIATION OF BARANGAY CAPTAINS - MINALABAC, CAMARINES SUR</t>
  </si>
  <si>
    <t>PAMANTASAN NG LUNGSOD NG MAYNILA</t>
  </si>
  <si>
    <t>BARANGAY UTAN, ALLACAPAN, CAGAYAN</t>
  </si>
  <si>
    <t>BARANGAY SANTA ANA TAGOLOAN MISAMIS ORIENTAL</t>
  </si>
  <si>
    <t>MUNICIPALITY OF POZORRUBIO, PANGASINAN</t>
  </si>
  <si>
    <t>PROVINCE OF SOUTHERN LEYTE</t>
  </si>
  <si>
    <t>CITY OF CAGAYAN DE ORO, MISAMIS ORIENTAL</t>
  </si>
  <si>
    <t>MASBATE INSTITUTE OF FISHERIES AND TECHNOLOGY</t>
  </si>
  <si>
    <t>BARANGAY GALICIA, RAPU-RAPU, ALBAY</t>
  </si>
  <si>
    <t>CITY OF SAGAY, NEGROS OCCIDENTAL</t>
  </si>
  <si>
    <t>MUNICIPALITY OF LUBUAGAN, KALINGA</t>
  </si>
  <si>
    <t>MUNICIPALITY OF DIFFUN, QUIRINO</t>
  </si>
  <si>
    <t>BARANGAY ELIHAN - CAUAYAN NEGROS OCCIDENTAL</t>
  </si>
  <si>
    <t>MUNICIPALITY OF FLORIDABLANCA, PAMPANGA</t>
  </si>
  <si>
    <t>METRO MIDSAYAP WATER DISTRICT</t>
  </si>
  <si>
    <t>MUNICIPALITY OF KABUGAO, APAYAO</t>
  </si>
  <si>
    <t>MUNICIPALITY OF STA. ROSA, NUEVA ECIJA</t>
  </si>
  <si>
    <t>BARANGAY CALITUBAN - TALIBON BOHO</t>
  </si>
  <si>
    <t>MUNICIPALITY OF SAMAL, BATAAN</t>
  </si>
  <si>
    <t>STA. MARIA ELEMENTARY SCHOOL - LUBAO PAMPANGA</t>
  </si>
  <si>
    <t>MUNICIPALITY OF KASIBU, NUEVA VIZCAYA</t>
  </si>
  <si>
    <t>PROVINCE OF ILOILO</t>
  </si>
  <si>
    <t>PNOC EXPLORATION CORPORATION - TAGUIG CITY</t>
  </si>
  <si>
    <t>BARANGAY MADULAO, CATANAUAN, QUEZON</t>
  </si>
  <si>
    <t>BARANGAY AMPUSONGAN, BAKUN, BENGUET</t>
  </si>
  <si>
    <t xml:space="preserve">PAG-ASA NATIONAL HIGH SCHOOL </t>
  </si>
  <si>
    <t>BARANGAY CARLATAN - SAN FERNANDO CITY, LA UNION</t>
  </si>
  <si>
    <t>MUNICIPALITY OF MADALAG, AKLAN</t>
  </si>
  <si>
    <t>OCCIDENTAL MINDORO STATE COLLEGE</t>
  </si>
  <si>
    <t>BARANGAY SOUTH SAN JOSE, MOLO, ILOILO CITY</t>
  </si>
  <si>
    <t>MUNICIPALITY OF TINOC, IFUGAO</t>
  </si>
  <si>
    <t>BARANGAY CALANAGA, RAPU-RAPU, ALBAY</t>
  </si>
  <si>
    <t>PROVINCE OF ORIENTAL MINDORO</t>
  </si>
  <si>
    <t>PARTIDO STATE UNIVERSITY - GOA CAMPUS</t>
  </si>
  <si>
    <t>DEPARTMENT OF PUBLIC WORKS AND HIGHWAYS - ILOCOS NORTE 1ST D</t>
  </si>
  <si>
    <t>TAGUIG INTEGRATED SCHOOL</t>
  </si>
  <si>
    <t>MUNICIPALITY OF SOLANA, CAGAYAN</t>
  </si>
  <si>
    <t>BARANGAY GUINATU-AN - MADALAG, AKLAN</t>
  </si>
  <si>
    <t>BARANGAY  AMBABAG - KIANGAN IFUGAO</t>
  </si>
  <si>
    <t>NATIONAL POWER CORPORATION - MINDANAO GENERATION</t>
  </si>
  <si>
    <t>BARANGAY MATAGNAO, ABUYOG, LEYTE</t>
  </si>
  <si>
    <t>MUNICIPALITY OF CALABANGA, CAMARINES SUR</t>
  </si>
  <si>
    <t>MUNICIPALITY OF LEON, ILOILO</t>
  </si>
  <si>
    <t>BARANGAY MERCEDES - MADALAG AKLAN</t>
  </si>
  <si>
    <t>PROVINCE OF NEGROS OCCIDENTAL</t>
  </si>
  <si>
    <t>MUNICIPALITY OF IGUIG, CAGAYAN</t>
  </si>
  <si>
    <t>CABIAO WATER DISTRICT</t>
  </si>
  <si>
    <t>MUNICIPALITY OF CULASI, ANTIQUE</t>
  </si>
  <si>
    <t>MUNICIPALITY OF PAETE, LAGUNA</t>
  </si>
  <si>
    <t>MUNICIPALITY OF PUERTO GALERA, ORIENTAL MINDORO</t>
  </si>
  <si>
    <t>DEPARTMENT OF PUBLIC WORKS AND HIGHWAYS - PANGASINAN 3RD DEO</t>
  </si>
  <si>
    <t xml:space="preserve">TECHNICAL EDUCATION &amp; SKILLS DEVELOPMENT AUTHORITY - QUEZON </t>
  </si>
  <si>
    <t>MUNICIPALITY OF CARMEN, AGUSAN DEL NORTE</t>
  </si>
  <si>
    <t>PROVINCE OF PANGASINAN</t>
  </si>
  <si>
    <t>MARIANO MARCOS STATE UNIVERSITY</t>
  </si>
  <si>
    <t>MUNICIPALITY OF SAN NARCISO, QUEZON</t>
  </si>
  <si>
    <t>TIGLAWIGAN NATIONAL HIGH SCHOOL</t>
  </si>
  <si>
    <t>MUNICIPALITY OF PINUKPUK, KALINGA</t>
  </si>
  <si>
    <t>MUNICIPALITY OF SOMINOT, ZAMBOANGA DEL SUR</t>
  </si>
  <si>
    <t>MINES AND GEOSCIENCES BUREAU - REGION XII</t>
  </si>
  <si>
    <t>BARANGAY MACALIDONG - LIGAO CITY</t>
  </si>
  <si>
    <t>BARANGAY PAULBA - LIGAO CITY ALBAY</t>
  </si>
  <si>
    <t>PHILIPPINE ORTHOPEDIC CENTER</t>
  </si>
  <si>
    <t>DEPARTMENT OF AGRICULTURE - REGION I</t>
  </si>
  <si>
    <t>PROVINCE OF MOUNTAIN PROVINCE</t>
  </si>
  <si>
    <t>PROVINCE OF BATAAN</t>
  </si>
  <si>
    <t>MONCADA WATER DISTRICT</t>
  </si>
  <si>
    <t>MUNICIPALITY OF CALANASAN, APAYAO</t>
  </si>
  <si>
    <t>MUNICIPALITY OF PANDAG BULUAN MAGUINDANAO</t>
  </si>
  <si>
    <t>AGRICULTURAL TRAINING INSTITUTE - REGION IV-B</t>
  </si>
  <si>
    <t>AKLAN STATE UNIVERSITY - BANGA CAMPUS</t>
  </si>
  <si>
    <t>PROVINCE OF ZAMBOANGA DEL NORTE</t>
  </si>
  <si>
    <t>VETERANS MEMORIAL MEDICAL CENTER, DND</t>
  </si>
  <si>
    <t>DEPARTMENT OF EDUCATION - DIVISION OF CATANDUANES</t>
  </si>
  <si>
    <t>BARANGAY 868, ZONE 95, DISTRICT VI, MANILA</t>
  </si>
  <si>
    <t>DEPARTMENT OF SOCIAL WELFARE AND DEVELOPMENT - REGION I</t>
  </si>
  <si>
    <t>DEPARTMENT OF HEALTH - CARAGA</t>
  </si>
  <si>
    <t>MUNICIPALITY OF MOISES PADILLA, NEGROS OCCIDENTAL</t>
  </si>
  <si>
    <t>BARANGAY 8, BATANGAS CITY</t>
  </si>
  <si>
    <t>BOHOL ISLAND STATE UNIVERSITY - CANDIJAY CAMPUS</t>
  </si>
  <si>
    <t>CITY OF BAIS, NEGROS ORIENTAL</t>
  </si>
  <si>
    <t>DEPARTMENT OF SCIENCE AND TECHNOLOGY - CARAGA</t>
  </si>
  <si>
    <t>CANJUSA ELEMENTARY SCHOOL - PULUPANDAN NEGROS OCCIDENTAL</t>
  </si>
  <si>
    <t>MUNICIPALITY OF IROSIN, SORSOGON</t>
  </si>
  <si>
    <t>MUNICIPALITY OF LIBAGON, SOUTHERN LEYTE</t>
  </si>
  <si>
    <t>CORAZON LOCSIN MONTELIBANO MEMORIAL REGIONAL HOSPITAL-DOH R6</t>
  </si>
  <si>
    <t>PROVINCE OF SOUTH COTABATO</t>
  </si>
  <si>
    <t>MUNICIPALITY OF CUYO, PALAWAN</t>
  </si>
  <si>
    <t>MUNICIPALITY OF LOBO, BATANGAS</t>
  </si>
  <si>
    <t>DEPARTMENT OF AGRARIAN REFORM - NUEVA VIZCAYA PROV'L OFFICE</t>
  </si>
  <si>
    <t>BARANGAY CATIOAN CAPALONGA CAMARINES NORTE</t>
  </si>
  <si>
    <t>KINAPAT ELEMENTARY SCHOOL</t>
  </si>
  <si>
    <t>NATIONAL FOOD AUTHORITY - REGION V</t>
  </si>
  <si>
    <t>DEPARTMENT OF PUBLIC WORKS AND HIGHWAYS - BUTUAN CITY DEO</t>
  </si>
  <si>
    <t>CULIAT ELEMENTARY SCHOOL</t>
  </si>
  <si>
    <t>MUNICIPALITY OF SARIAYA, QUEZON</t>
  </si>
  <si>
    <t>MUNICIPALITY OF CAPALONGA, CAMARINES NORTE</t>
  </si>
  <si>
    <t>SK OF BARANGAY TEJERO - ROSARIO CAVITE</t>
  </si>
  <si>
    <t>ECOSYSTEMS RESEARCH AND DEVELOPMENT BUREAU - (ERDB)</t>
  </si>
  <si>
    <t>MUNICIPALITY OF PAGBILAO, QUEZON</t>
  </si>
  <si>
    <t>MUNICIPALITY OF MANSALAY, ORIENTAL MINDORO</t>
  </si>
  <si>
    <t>DEPARTMENT OF PUBLIC WORKS AND HIGHWAYS - REGION V</t>
  </si>
  <si>
    <t>DEPARTMENT OF PUBLIC WORKS AND HIGHWAYS - BATANES DEO</t>
  </si>
  <si>
    <t xml:space="preserve">DEPARTMENT OF PUBLIC WORKS AND HIGHWAYS - ZAMBOANGA SIBUGAY </t>
  </si>
  <si>
    <t>MUNICIPALITY OF MANJUYOD, NEGROS ORIENTAL</t>
  </si>
  <si>
    <t>BARANGAY NASLO, POTOTAN, ILOILO</t>
  </si>
  <si>
    <t>WEST FAIRVIEW ELEMENTARY SCHOOL</t>
  </si>
  <si>
    <t>BARANGAY CAGGAY, TUGUEGARAO CITY, CAGAYAN</t>
  </si>
  <si>
    <t>HOME DEVELOPMENT MUTUAL FUND - CALAMBA BRANCH</t>
  </si>
  <si>
    <t>DIOSDADO P. MACAPAGAL ELEMENTARY SCHOOL</t>
  </si>
  <si>
    <t>MUNICIPALITY OF BALAYAN, BATANGAS</t>
  </si>
  <si>
    <t>BARANGAY WASIG, MANSALAY, ORIENTAL MINDORO</t>
  </si>
  <si>
    <t>BARANGAY SUMPONG, MALAYBALAY CITY</t>
  </si>
  <si>
    <t>BALUGO ELEMENTARY SCHOOL</t>
  </si>
  <si>
    <t>MUNICIPALITY OF TINAMBAC, CAMARINES SUR</t>
  </si>
  <si>
    <t>PROVINCE OF ZAMBALES</t>
  </si>
  <si>
    <t>MUNICIPALITY OF DON MARCELINO - DAVAO OCCIDENTAL</t>
  </si>
  <si>
    <t>PROVINCE OF AGUSAN DEL NORTE</t>
  </si>
  <si>
    <t>DEVELOPMENT BANK OF THE PHILIPPINES - BBG - SOUTH LUZON</t>
  </si>
  <si>
    <t>MUNICIPALITY OF ESPERANZA, AGUSAN DEL SUR</t>
  </si>
  <si>
    <t>MUNICIPALITY OF PANGIL, LAGUNA</t>
  </si>
  <si>
    <t>MUNICIPALITY OF INDANG, CAVITE</t>
  </si>
  <si>
    <t>DEPARTMENT OF PUBLIC WORKS AND HIGHWAYS - MASBATE 2ND DEO</t>
  </si>
  <si>
    <t>BARANGAY 52-B - LATAAG, LAOAG CITY</t>
  </si>
  <si>
    <t>PHILIPPINE SCIENCE HIGH SCHOOL - MIMAROPA REGION CAMPUS</t>
  </si>
  <si>
    <t>MUNICIPALITY OF CARIGARA, LEYTE</t>
  </si>
  <si>
    <t>BARANGAY CAPIÑAHAN - BAIS CITY NEGROS ORIENTAL</t>
  </si>
  <si>
    <t>BARANGAY TAWAY, IPIL, ZAMBOANGA SIBUGAY</t>
  </si>
  <si>
    <t>CIVIL AVIATION AUTHORITY OF THE PHILIPPINES - PANGLAO</t>
  </si>
  <si>
    <t>DEPARTMENT OF EDUCATION - DIVISION OF BILIRAN</t>
  </si>
  <si>
    <t>TECHNICAL EDUCATION AND SKILLS DEVELOPMENT AUTHORITY - PADAD</t>
  </si>
  <si>
    <t>NATIONAL IRRIGATION ADMINISTRATION REGION 7</t>
  </si>
  <si>
    <t>NATIONAL POWER CORPORATION - SPUG LUZON</t>
  </si>
  <si>
    <t>MUNICIPALITY OF LIBUNGAN, COTABATO</t>
  </si>
  <si>
    <t>SOMBITO ELEMENTARY SCHOOL</t>
  </si>
  <si>
    <t>BARANGAY CONCEPCION, MEXICO, PAMPANGA</t>
  </si>
  <si>
    <t>MUNICIPALITY OF SINILOAN. LAGUNA</t>
  </si>
  <si>
    <t>MUNICIPALITY OF STA. RITA, PAMPANGA</t>
  </si>
  <si>
    <t>BARANGAY SAN ROQUE, CALABANGA, CAMARINES SUR</t>
  </si>
  <si>
    <t>PROVINCE OF BILIRAN</t>
  </si>
  <si>
    <t>MUNICIPALITY OF COMPOSTELA, COMPOSTELA VALLEY</t>
  </si>
  <si>
    <t>MUNICIPALITY OF VILLANUEVA, MISAMIS ORIENTAL</t>
  </si>
  <si>
    <t>MUNICIPALITY OF BARBAZA, ANTIQUE</t>
  </si>
  <si>
    <t>DEPARTMENT OF AGRICULTURE - REGION VII</t>
  </si>
  <si>
    <t>NORTHERN MINDANAO MEDICAL CENTER</t>
  </si>
  <si>
    <t>MAGSAYSAY NATIONAL HIGH SCHOOL - OCCIDENTAL MINDORO</t>
  </si>
  <si>
    <t>CITY GOVERNMENT OF BACOOR</t>
  </si>
  <si>
    <t>BARANGAY BALATASAN, CALABANGA, CAMARINES SUR</t>
  </si>
  <si>
    <t>BACOLOD SPED CENTER</t>
  </si>
  <si>
    <t>BARANGAY NEW MALITBOG, PANABO CITY, DAVAO DEL NORTE</t>
  </si>
  <si>
    <t>MUNICIPALITY OF CABAGAN, ISABELA</t>
  </si>
  <si>
    <t>MUNICIPALITY OF KITAOTAO, BUKIDNON</t>
  </si>
  <si>
    <t>PROVINCIAL GOVERNMENT OF CAMARINES SUR</t>
  </si>
  <si>
    <t>CITY OF SIPALAY, NEGROS OCCIDENTAL</t>
  </si>
  <si>
    <t>BARANGAY STA. RITA KARSADA, BATANGAS CITY, BATANGAS</t>
  </si>
  <si>
    <t>TAGUM CITY NATIONAL HIGH SCHOOL</t>
  </si>
  <si>
    <t>LABUAN GENERAL HOSPITAL</t>
  </si>
  <si>
    <t>BAYORBOR NATIONAL HIGH SCHOOL</t>
  </si>
  <si>
    <t>MUNICIPALITY OF ANGADANAN, ISABELA</t>
  </si>
  <si>
    <t>PROVINCE OF IFUGAO</t>
  </si>
  <si>
    <t>MUNICIPALITY OF MARIVELES, BATAAN</t>
  </si>
  <si>
    <t>BARANGAY ANGELES, ATIMONAN,QUEZON</t>
  </si>
  <si>
    <t>AGRICULTURAL TRAINING INSTITUTE - REGIONAL TRAINING CENTER-R</t>
  </si>
  <si>
    <t>BARANGAY 23, SAN MATIAS, LAOAG CITY</t>
  </si>
  <si>
    <t>BATANGAS STATE UNIVERSITY</t>
  </si>
  <si>
    <t>UNIVERSITY OF NORTHERN PHILIPPINES</t>
  </si>
  <si>
    <t>PROVINCE OF SAMAR</t>
  </si>
  <si>
    <t>PAG-IBIG FUND NAGA BUSINESS CENTER</t>
  </si>
  <si>
    <t>DEVELOPMENT BANK OF THE PHILIPPINES - BBG - NORTHERN MINDANA</t>
  </si>
  <si>
    <t>PEDRO 'OLOY' N. ROA SR. HIGH SCHOOL</t>
  </si>
  <si>
    <t>CITY OF BAYBAY, LEYTE</t>
  </si>
  <si>
    <t>NATIONAL IRRIGATION ADMINISTRATION - CENTRAL OFFICE</t>
  </si>
  <si>
    <t>MUNICIPALITY OF POLA, ORIENTAL MINDORO</t>
  </si>
  <si>
    <t>GMA WATER DISTRICT</t>
  </si>
  <si>
    <t>BARANGAY 1, LIPA CITY, BATANGAS</t>
  </si>
  <si>
    <t>304TH CONTRACTING OFFICE, AFP PROCUREMENT SERVICE</t>
  </si>
  <si>
    <t>SAN MANUEL WATER DISTRICT</t>
  </si>
  <si>
    <t>DEPARTMENT OF PUBLIC WORKS AND HIGHWAYS - CATANDUANES ED</t>
  </si>
  <si>
    <t>SANTOLAN HIGH SCHOOL (JUNIOR)</t>
  </si>
  <si>
    <t>MUNICIPALITY OF SURALLAH, SOUTH COTABATO</t>
  </si>
  <si>
    <t>BARANGAY PALINA, NAGCARLAN, LAGUNA</t>
  </si>
  <si>
    <t>MUNICIPALITY OF STA. ELENA, CAMARINES NORTE</t>
  </si>
  <si>
    <t>DEPARTMENT OF THE INTERIOR AND LOCAL GOVERNMENT - REGION X</t>
  </si>
  <si>
    <t>MUNICIPALITY OF GABALDON, NUEVA ECIJA</t>
  </si>
  <si>
    <t>DEPARTMENT OF SOCIAL WELFARE AND DEVELOPMENT - CARAGA</t>
  </si>
  <si>
    <t>DEPARTMENT OF AGRICULTURE - REGION III</t>
  </si>
  <si>
    <t>MUNICIPALITY OF SANTA CRUZ, LAGUNA</t>
  </si>
  <si>
    <t>MUNICIPALITY OF PLARIDEL, MISAMIS OCCIDENTAL</t>
  </si>
  <si>
    <t>PHILIPPINE FISHERIES DEVELOPMENT AUTHORITY - SOUTH COTABATO</t>
  </si>
  <si>
    <t>MUNICIPALITY OF LAMBUNAO, ILOILO</t>
  </si>
  <si>
    <t>DEPARTMENT OF EDUCATION - DIVISION OF NUEVA VIZCAYA</t>
  </si>
  <si>
    <t>E. RODRIGUEZ VOCATIONAL HIGH SCHOOL</t>
  </si>
  <si>
    <t>BARANGAY 49-B RARABURAN, LAOAG CITY, ILOCOS NORTE</t>
  </si>
  <si>
    <t>DEPARTMENT OF PUBLIC WORKS AND HIGHWAYS - REGION X</t>
  </si>
  <si>
    <t>PROVINCE OF AURORA</t>
  </si>
  <si>
    <t>CITY OF SAN FERNANDO, LA UNION</t>
  </si>
  <si>
    <t>BINALBAGAN WATER DISTRICT</t>
  </si>
  <si>
    <t>BARANGAY SAMBAL IBABA, LEMERY, BATANGAS</t>
  </si>
  <si>
    <t>BARANGAY TUMAGA, ZAMBOANGA CITY</t>
  </si>
  <si>
    <t>BARANGAY TIBUNGCO, DAVAO CITY</t>
  </si>
  <si>
    <t>PHILIPPINE RICE RESEARCH INSTITUTE</t>
  </si>
  <si>
    <t>NATIONAL DAIRY AUTHORITY - VISAYAS FIELD OFFICE</t>
  </si>
  <si>
    <t>BRANGAY JULONGAN - KIANGAN IFUGAO</t>
  </si>
  <si>
    <t>PROVINCE OF AKLAN</t>
  </si>
  <si>
    <t>MUNICIPALITY OF SAMPALOC, QUEZON</t>
  </si>
  <si>
    <t>BARANGAY BANI MASINLOC ZAMBALES</t>
  </si>
  <si>
    <t>BARANGAY STA.CRUZ, HILONGOS, LEYTE</t>
  </si>
  <si>
    <t>EPIFANIO DELOS SANTOS ELEMENTARY SCHOOL</t>
  </si>
  <si>
    <t>DEPARTMENT OF PUBLIC WORKS AND HIGHWAYS - ISABELA 2ND DEO</t>
  </si>
  <si>
    <t>ZSNHS-SENIOR HIGH SCHOOL (STAND ALONE)</t>
  </si>
  <si>
    <t>MUNICIPALITY OF MAHAYAG, ZAMBOANGA DEL SUR</t>
  </si>
  <si>
    <t>BALINTAWAK ELEMENTARY SCHOOL, BALINTAWAK,KIBAWE,BUKIDNON</t>
  </si>
  <si>
    <t>SANTA ROSA (NE) WATER DISTRICT</t>
  </si>
  <si>
    <t>METRO SIQUIJOR WATER DISTRICT</t>
  </si>
  <si>
    <t>BUREAU OF FISHERIES AND AQUATIC RESOURCES</t>
  </si>
  <si>
    <t>MUNICIPALITY OF SAN MATEO - ISABELA</t>
  </si>
  <si>
    <t>ORANI NATIONAL HIGH SCHOOL - MAIN</t>
  </si>
  <si>
    <t>TALAVERA GENERAL HOSPITAL</t>
  </si>
  <si>
    <t>PHILIPPINE VETERANS AFFAIRS OFFICE, DND</t>
  </si>
  <si>
    <t>CITY OF TABACO, ALBAY</t>
  </si>
  <si>
    <t>MUNICIPALITY OF MACALELON, QUEZON</t>
  </si>
  <si>
    <t>MINTAL ELEMENTARY SCHOOL</t>
  </si>
  <si>
    <t>MUNICIPALITY OF STA. CRUZ, MARINDUQUE</t>
  </si>
  <si>
    <t>KAUSWAGAN WATER DISTRICT</t>
  </si>
  <si>
    <t>LA UNION NATIONAL HIGH SCHOOL</t>
  </si>
  <si>
    <t>MUNICIPALITY OF PALO - LEYTE LEYTE</t>
  </si>
  <si>
    <t>MUNICIPALITY OF BUNAWAN, AGUSAN DEL SUR</t>
  </si>
  <si>
    <t>BARANGAY SAN JUAN, SAN JACINTO, PANGASINAN</t>
  </si>
  <si>
    <t>QUIRINO MEMORIAL MEDICAL CENTER</t>
  </si>
  <si>
    <t>MUNICIPALITY OF AMLAN, NEGROS ORIENTAL</t>
  </si>
  <si>
    <t>MUNICIPALITY OF MAPANDAN, PANGASINAN</t>
  </si>
  <si>
    <t>BARANGAY MAPINA -  MASBATE CITY</t>
  </si>
  <si>
    <t>NATIONAL ECONOMIC AND DEVELOPMENT AUTHORITY - CAR</t>
  </si>
  <si>
    <t>MUNICIPALITY OF MAGALLANES, SORSOGON</t>
  </si>
  <si>
    <t>101ST CONTRACTING OFFICE, AFP PROCUREMENT SERVICE</t>
  </si>
  <si>
    <t>CITY OF SURIGAO, SURIGAO DEL NORTE</t>
  </si>
  <si>
    <t>BARANGAY CANDELARIA, IMPASUG-ONG, BUKIDNON</t>
  </si>
  <si>
    <t>BARANGAY SAN MIGUEL, COMPOSTELA, COMPOSTELA VALLEY</t>
  </si>
  <si>
    <t>DEPARTMENT OF AGRICULTURE - REGION IV-B (MIMAROPA)</t>
  </si>
  <si>
    <t>MUNICIPALITY OF SANTO DOMINGO, ILOCOS SUR</t>
  </si>
  <si>
    <t>MUNICIPALITY OF SALCEDO, EASTERN SAMAR</t>
  </si>
  <si>
    <t>DEPARTMENT OF EDUCATION - DIVISION OF ANGELES CITY</t>
  </si>
  <si>
    <t>PHILIPPINE DEPOSIT INSURANCE CORPORATION</t>
  </si>
  <si>
    <t>BUREAU OF INTERNAL REVENUE - REVENUE REGION NO. 11</t>
  </si>
  <si>
    <t>CITY OF CEBU, CEBU</t>
  </si>
  <si>
    <t>MUNICIPALITY OF TAYTAY, PALAWAN</t>
  </si>
  <si>
    <t>MARIVELES NATIONAL HIGH SCHOOL - CAMAYA CAMPUS</t>
  </si>
  <si>
    <t>BARANGAY BIDAY, SAN FERNANDO CITY, LA UNION</t>
  </si>
  <si>
    <t>MARIANO MARCOS MEMORIAL HOSPITAL AND MEDICAL CENTER</t>
  </si>
  <si>
    <t>PROVINCE OF ROMBLON</t>
  </si>
  <si>
    <t>DEPARTMENT OF TRADE AND INDUSTRY - BOHOL PROVINCIAL OFFICE</t>
  </si>
  <si>
    <t>BARANGAY TOMITOM, IPIL, ZAMBOANGA SIBUGAY</t>
  </si>
  <si>
    <t>MUNICIPALITY OF ALLACAPAN, CAGAYAN</t>
  </si>
  <si>
    <t>DEPARTMENT OF ENVIRONMENT AND NATURAL RES. - PENRO, BATAAN</t>
  </si>
  <si>
    <t>PROVINCE OF TARLAC</t>
  </si>
  <si>
    <t>MUNICIPALITY OF CONCEPCION, ILOILO</t>
  </si>
  <si>
    <t>BARANGAY CAPILIJAN  - IBAJAY AKLAN</t>
  </si>
  <si>
    <t>CITY OF TAYABAS, QUEZON</t>
  </si>
  <si>
    <t>APOLINARIO MABINI ELEMENTARY SCHOOL</t>
  </si>
  <si>
    <t>MUNICIPALITY OF CASIGURAN, AURORA</t>
  </si>
  <si>
    <t>MUNICIPALITY OF MINALABAC, CAMARINES SUR</t>
  </si>
  <si>
    <t>DEPARTMENT OF ENVIRONMENT AND NATURAL RES. - PENRO, CAPIZ</t>
  </si>
  <si>
    <t>PHILIPPINE COCONUT AUTHORITY - ALBAY RESEARCH CENTER</t>
  </si>
  <si>
    <t>MUNICIPALITY OF VINZONS, CAMARINES NORTE</t>
  </si>
  <si>
    <t>PHILIPPINE CROP INSURANCE CORPORATION - REGION X</t>
  </si>
  <si>
    <t>NATIONAL IRRIGATION ADMINISTRATION - REGIONAL OFFICE NO. 2</t>
  </si>
  <si>
    <t>MACTAN-CEBU INTERNATIONAL AIRPORT AUTHORITY</t>
  </si>
  <si>
    <t>DEPARTMENT OF AGRICULTURE - REGION II</t>
  </si>
  <si>
    <t>PINTUYAN NATIONAL VOCATIONAL SCHOOL</t>
  </si>
  <si>
    <t>BARANGAY MALAYAK, MOGPOG, MARINDUQUE</t>
  </si>
  <si>
    <t>BARANGAY AGAY-AY, SAN JUAN, SOUTHERN LEYTE</t>
  </si>
  <si>
    <t>BARANGAY SAN SOTERO, JAVIER, LEYTE</t>
  </si>
  <si>
    <t>DEPARTMENT OF SCIENCE AND TECHNOLOGY - REGION  III</t>
  </si>
  <si>
    <t>DEPARTMENT OF PUBLIC WORKS AND HIGHWAYS - REGION XIII (CARAG</t>
  </si>
  <si>
    <t>CAMARINES SUR INSTITUTE OF FISHERIES AND MARINE SCIENCES</t>
  </si>
  <si>
    <t>MUNICIPALITY OF TALACOGON, AGUSAN DEL SUR</t>
  </si>
  <si>
    <t>LLANO ELEMENTARY SCHOOL</t>
  </si>
  <si>
    <t>BARANGAY SAN BENITO GOA CAMARINES SUR</t>
  </si>
  <si>
    <t>SAN FRANCISCO ELEMENTARY SCHOOL - BIÑAN LAGUNA</t>
  </si>
  <si>
    <t>CITY OF VIGAN, ILOCOS SUR</t>
  </si>
  <si>
    <t>MUNICIPALITY OF PINAMUNGAJAN, CEBU</t>
  </si>
  <si>
    <t>MUNICIPALITY OF SAN ISIDRO, DAVAO DEL NORTE</t>
  </si>
  <si>
    <t>BAYAWAN WATER DISTRICT</t>
  </si>
  <si>
    <t>MUNICIPALITY OF TALUSAN, ZAMBOANGA SIBUGAY</t>
  </si>
  <si>
    <t>MUNICIPALITY OF KIBLAWAN, DAVAO DEL SUR</t>
  </si>
  <si>
    <t>MUNICIPALITY OF PURA, TARLAC</t>
  </si>
  <si>
    <t>DEPARTMENT OF EDUCATION - DIVISION OF DAVAO ORIENTAL</t>
  </si>
  <si>
    <t>MUNICIPALITY OF BARAS, RIZAL</t>
  </si>
  <si>
    <t>CITY OF DAGUPAN  - PANGASINAN</t>
  </si>
  <si>
    <t>MUNICIPAL GOVERNMENT OF ATOK, BENGUET</t>
  </si>
  <si>
    <t>PHILIPPINE STATISTICS AUTHORITY - CAVITE</t>
  </si>
  <si>
    <t>DEPARTMENT OF TRADE AND INDUSTRY - REGION II, CAGAYAN VALLEY</t>
  </si>
  <si>
    <t>DEPARTMENT OF AGRICULTURE (A- PRDP RPCO 8) - TACLOBAN CITY L</t>
  </si>
  <si>
    <t>COMMISSION ON POPULATION - REGION VIII</t>
  </si>
  <si>
    <t>MUNICIPALITY OF MANAOAG, PANGASINAN</t>
  </si>
  <si>
    <t>CITY OF BORONGAN, EASTERN SAMAR</t>
  </si>
  <si>
    <t>DEPARTMENT OF AGRICULTURE - REGION IX</t>
  </si>
  <si>
    <t>BARANGAY HERRERA - LIGAO, ALBAY</t>
  </si>
  <si>
    <t>PROVINCE OF BATANGAS</t>
  </si>
  <si>
    <t>CAVITE STATE UNIVERSITY - ROSARIO CAMPUS</t>
  </si>
  <si>
    <t>DEPARTMENT OF EDUCATION - DIVISION OF COTABATO</t>
  </si>
  <si>
    <t>BARANGAY TAMBAN, ALCALA, CAGAYAN</t>
  </si>
  <si>
    <t>CITY OF SAN CARLOS, PANGASINAN</t>
  </si>
  <si>
    <t>BARANGAY BALINGAYAN, CALAPAN, ORIENTAL MINDORO</t>
  </si>
  <si>
    <t>BONIFACIO MEMORIAL ELEMENTARY SCHOOL</t>
  </si>
  <si>
    <t>LAPASAN NATIONAL HIGH SCHOOL (GUSA ANNEX) CAGAYAN DE ORO CIT</t>
  </si>
  <si>
    <t>BARANGAY SULSUGIN, NAGCARLAN, LAGUNA</t>
  </si>
  <si>
    <t>NATIONAL COMMISSION ON INDIGENOUS PEOPLES - REGION X</t>
  </si>
  <si>
    <t>CITY OF TALISAY, CEBU</t>
  </si>
  <si>
    <t>DEPARTMENT OF AGRARIAN REFORM - POBLACION, BONTOC MOUNTAIN P</t>
  </si>
  <si>
    <t>DEPARTMENT OF EDUCATION - SCHOOLS DIVISION OF BACOOR CITY</t>
  </si>
  <si>
    <t>PAGLAUM VILLAGE NATIONAL HIGH SCHOOL</t>
  </si>
  <si>
    <t>COAST GUARD DISTRICT NORTHEASTERN LUZON</t>
  </si>
  <si>
    <t>MARIVELES MENTAL WELLNESS AND GENERAL HOSPITAL</t>
  </si>
  <si>
    <t>PROVINCE OF LAGUNA</t>
  </si>
  <si>
    <t>MUNICIPALITY OF CABATUAN, ILOILO</t>
  </si>
  <si>
    <t>BARANGAY SEMIRARA, CALUYA, ANTIQUE</t>
  </si>
  <si>
    <t>SOUTHERN ISABELA MEDICAL CENTER</t>
  </si>
  <si>
    <t>NATIONAL IRRIGATION ADMINISTRATION - CAR</t>
  </si>
  <si>
    <t>MUNICIPALITY OF TINGLOY, BATANGAS</t>
  </si>
  <si>
    <t>BARANGAY MANGHINAO PROPER, BAUAN, BATANGAS</t>
  </si>
  <si>
    <t>BARANGAY BAYAMBANG, INFANTA, PANGASINAN</t>
  </si>
  <si>
    <t>BARANGAY LAKIP, ATIMONAN,QUEZON</t>
  </si>
  <si>
    <t>BARANGAY 109, TACLOBAN CITY, LEYTE</t>
  </si>
  <si>
    <t>HOME DEVELOPMENT MUTUAL FUND - CORPORATE HEADQUARTERS</t>
  </si>
  <si>
    <t>BARANGAY 293, ZONE 28, DISTRICT III, MANILA</t>
  </si>
  <si>
    <t>BARANGAY 10 POBLACION, CATANAUAN, QUEZON</t>
  </si>
  <si>
    <t>MUNICIPALITY OF MANGALDAN, PANGASINAN</t>
  </si>
  <si>
    <t>BARANGAY SOKOL, ATIMONAN, QUEZON</t>
  </si>
  <si>
    <t>CAVITE STATE UNIVERSITY</t>
  </si>
  <si>
    <t>MUNICIPALITY OF CATAINGAN, MASBATE</t>
  </si>
  <si>
    <t>BARANGAY LEPOTE, SAN JOSE, BATANGAS</t>
  </si>
  <si>
    <t>BARANGAY POBLACION 15, TINGLOY, BATANGAS</t>
  </si>
  <si>
    <t>MUNICIPALITY OF PULILAN, BULACAN</t>
  </si>
  <si>
    <t>MUNICIPALITY OF BOLINAO, PANGASINAN</t>
  </si>
  <si>
    <t>BLGU BARANGAY GALINGON</t>
  </si>
  <si>
    <t>LOCAL GOVERNMENT UNIT OF OTON, ILOILO</t>
  </si>
  <si>
    <t>ENVIRONMENTAL MANAGEMENT BUREAU - CAR, DENR</t>
  </si>
  <si>
    <t xml:space="preserve">ISABELA EAST ELEMENTARY SCHOOL - SBFP </t>
  </si>
  <si>
    <t>BARANGAY LA PAZ, NUEVA VALENCIA, GUIMARAS</t>
  </si>
  <si>
    <t>BARANGAY SALVADOR, TANAUAN, LEYTE</t>
  </si>
  <si>
    <t>BARANGAY LOWER BALURAN - IMELDA ZAMBOANGA SIBUGAY</t>
  </si>
  <si>
    <t>DEPARTMENT OF EDUCATION - DIVISION OF BAYBAY CITY</t>
  </si>
  <si>
    <t>BALAOAN WATER DISTRICT</t>
  </si>
  <si>
    <t>MUNICIPALITY OF KALAWIT, ZAMBOANGA DEL NORTE</t>
  </si>
  <si>
    <t>COSINA INTEGRATED SCHOOL - TALAKAG BUKIDNON</t>
  </si>
  <si>
    <t>BARANGAY MANGGA, SIPOCOT, CAMARINES SUR</t>
  </si>
  <si>
    <t>SAN ROQUE DAU HIGH SCHOOL LUBAO PAMPANGA</t>
  </si>
  <si>
    <t>MABINI ELEMENTARY SCHOOL - GAMU ISABELA</t>
  </si>
  <si>
    <t>DEPARTMENT OF EDUCATION - DIVISION OF MANDALUYONG</t>
  </si>
  <si>
    <t>ECHAGUE EAST CENTRAL SCHOOL - ECHAGUE ISABELA</t>
  </si>
  <si>
    <t>MUNICIPALITY OF QUEZON, PALAWAN</t>
  </si>
  <si>
    <t>BARANGAY MALAYA, LABO, CAMARINES NORTE</t>
  </si>
  <si>
    <t>DEPARTMENT OF EDUCATION - DIVISION OF BENGUET</t>
  </si>
  <si>
    <t>BARANGAY TULA-TULA, SIPOCOT, CAMARINES SUR</t>
  </si>
  <si>
    <t>BARANGAY GUISICAN, LABO, CAMARINES NORTE</t>
  </si>
  <si>
    <t>BARANGAY CANUBING I, CALAPAN, ORIENTAL MINDORO</t>
  </si>
  <si>
    <t>BARANGAY VIGAAN, SIPOCOT, CAMARINES SUR</t>
  </si>
  <si>
    <t>MUNICIPALITY OF BAGAC, BATAAN</t>
  </si>
  <si>
    <t>PHILIPPINE HEALTH INSURANCE CORPORATION - REGION VIII</t>
  </si>
  <si>
    <t>BARANGAY SOROSORO IBABA, BATANGAS</t>
  </si>
  <si>
    <t>BARANGAY ANAHAW, HINDANG, LEYTE</t>
  </si>
  <si>
    <t>BARANGAY MANINILA, GUINOBATAN, ALBAY</t>
  </si>
  <si>
    <t>DEPARTMENT OF EDUCATION - DIVISION OF COTABATO CITY</t>
  </si>
  <si>
    <t>BARANGAY INDAHAG, CAGAYAN DE ORO CITY</t>
  </si>
  <si>
    <t xml:space="preserve">SAN MATEO NATIONAL HIGH SCHOOL </t>
  </si>
  <si>
    <t>MUNICIPALITY OF DIVILACAN, ISABELA</t>
  </si>
  <si>
    <t>MUNICIPALITY OF STA. RITA, WESTERN SAMAR</t>
  </si>
  <si>
    <t>MUNICIPALITY OF SAN FRANCISCO, SOUTHERN LEYTE</t>
  </si>
  <si>
    <t>DELA PAZ LIBUTAD NATIONAL HIGH SCHOOL</t>
  </si>
  <si>
    <t>TECHNOLOGICAL UNIVERSITY OF THE PHILIPPINES - MANILA CAMPUS</t>
  </si>
  <si>
    <t>TECHNOLOGY APPLICATION AND PROMOTION INSTITUTE</t>
  </si>
  <si>
    <t>DOH-REGIONAL OFFICE IV-A</t>
  </si>
  <si>
    <t>ISABELA BAYABO EAST INTEGRATED SCHOOL - TUMAUINI ISABELA</t>
  </si>
  <si>
    <t>FURAO ELEMENTARY SCHOOL - GAMU ISABELA</t>
  </si>
  <si>
    <t>PANGASINAN NATIONAL HIGH SCHOOL</t>
  </si>
  <si>
    <t>SISIM - MINANGA ELEMENTARY SCHOOL - TUMAUINI ISABELA</t>
  </si>
  <si>
    <t>SANTO TOMAS NATIONAL HIGH SCHOOL</t>
  </si>
  <si>
    <t>PROCUREMENT SERVICE</t>
  </si>
  <si>
    <t>BARANGAY 122 ZONE 9 DISTRICT 1 MANILA</t>
  </si>
  <si>
    <t>BARANGAY DALAYAP - PINILI ILOCOS NORTE</t>
  </si>
  <si>
    <t>ECHAGUE NATIONAL HIGH SCHOOL - ECHAGUE, ISABELA</t>
  </si>
  <si>
    <t>MUNICIPALITY OF ALAMADA, COTABATO</t>
  </si>
  <si>
    <t>STO.NINO ELEMENTARY SCHOOL - LALAUANAN</t>
  </si>
  <si>
    <t>CITY OF CATBALOGAN, SAMAR</t>
  </si>
  <si>
    <t>ENVIRONMENTAL MANAGEMENT BUREAU - DENR</t>
  </si>
  <si>
    <t>SAN JOSE NATIONAL HIGH SCHOOL-ZAMBOANGA DEL SUR</t>
  </si>
  <si>
    <t>DEPARTMENT OF AGRARIAN REFORM - DAVAO CITY PROVINCIAL OFFICE</t>
  </si>
  <si>
    <t>MUNICIPALITY OF SIBALOM, ANTIQUE</t>
  </si>
  <si>
    <t>BARANGAY PANCIAN, PAGUDPUD ILOCOS NORTE</t>
  </si>
  <si>
    <t>CITY OF BATAC, ILOCOS NORTE</t>
  </si>
  <si>
    <t>DEPARTMENT OF EDUCATION - DIVISION OF CATBALOGAN CITY</t>
  </si>
  <si>
    <t>BARANGAY BARONGAPAITAN STA. MARIA PANGASINAN</t>
  </si>
  <si>
    <t>DEPARTMENT OF AGRICULTURE - REGION V</t>
  </si>
  <si>
    <t>NORTHWEST SAMAR STATE UNIVERSITY</t>
  </si>
  <si>
    <t>BARANGAY BATO-BATO PRESIDENT ROXAS COTABATO</t>
  </si>
  <si>
    <t>MUNICIPALITY OF BAUNGON, BUKIDNON</t>
  </si>
  <si>
    <t>TUMAUINI WEST CENTRAL SCHOOL - TUMAUINI ISABELA</t>
  </si>
  <si>
    <t>ALAI CENTRAL ELEMENTARY SCHOOL - MANOLO FORTICH BUKIDNON</t>
  </si>
  <si>
    <t>SANTA ROSA ELEMENTARY SCHOOL CENTRAL 2</t>
  </si>
  <si>
    <t>STO. NINO ELEMENTARY SCHOOL - MANOLO FORTICH BUKIDNON</t>
  </si>
  <si>
    <t>BARANGAY CABCAB - SAN ANDRES, CATANDUANES</t>
  </si>
  <si>
    <t>BASILAN NATIONAL HIGH SCHOOL - ISABELA CITY BASILAN</t>
  </si>
  <si>
    <t>BARANGAY CALAGBANGAN, SIPOCOT, CAMARINES SUR</t>
  </si>
  <si>
    <t>LAGA-AN NATIONAL HIGH SCHOOL</t>
  </si>
  <si>
    <t>MUNICIPALITY OF BIRI, NORTHERN SAMAR</t>
  </si>
  <si>
    <t>ALCALA WATER DISTRICT</t>
  </si>
  <si>
    <t>MUNICIPALITY OF NARRA, PALAWAN</t>
  </si>
  <si>
    <t>BARANGAY BALITOC, CALATAGAN, BATANGAS</t>
  </si>
  <si>
    <t>SECURITIES AND EXCHANGE COMMISSION</t>
  </si>
  <si>
    <t>MUNICIPALITY OF SAN ISIDRO, SURIGAO DEL NORTE</t>
  </si>
  <si>
    <t>FR. GRATIAN MURRAY, AFSC INTEGRATED SCHOOL - BACOLOT CITY</t>
  </si>
  <si>
    <t>BARANGAY CAB ILAN - DINAGAT DINAGAT ISLAND</t>
  </si>
  <si>
    <t>RAMON MAGSAYSAY HIGH SCHOOL</t>
  </si>
  <si>
    <t>NATIONAL HOME MORTGAGE FINANCE CORPORATION</t>
  </si>
  <si>
    <t>JOSE J. LEIDO, JR. MEMORIAL NATIONAL HIGH SCHOOL</t>
  </si>
  <si>
    <t>BARANGAY POBLACION IV - TANAUAN CITY</t>
  </si>
  <si>
    <t>BARANGAY CAMANCHILES, MATANAO, DAVAO DEL SUR</t>
  </si>
  <si>
    <t>CONNER DISTRICT HOSPITAL</t>
  </si>
  <si>
    <t>VILLA FUERTE ELEMENTARY SCHOOL</t>
  </si>
  <si>
    <t>MUNICIPALITY OF CAUAYAN, NEGROS OCCIDENTAL</t>
  </si>
  <si>
    <t>SUMILAO ELEMENTARY SCHOOL</t>
  </si>
  <si>
    <t>MUNICIPALITY OF BENITO SOLIVEN, ISABELA</t>
  </si>
  <si>
    <t>MUNICIPALITY OF NASUGBU, BATANGAS</t>
  </si>
  <si>
    <t>CADSALAN INTEGRATED SCHOOL - SAN MARIANO ISABELA</t>
  </si>
  <si>
    <t>BARANGAY CABANGARAN, SAN QUINTIN, PANGASINAN</t>
  </si>
  <si>
    <t>PAG-IBIG FUND (TAS-NCR WEST) - MANILA METRO MANILA</t>
  </si>
  <si>
    <t>MUNICIPALITY OF SAN NICOLAS, PANGASINAN</t>
  </si>
  <si>
    <t>DASMARIÑAS ELEMENTARY SCHOOL</t>
  </si>
  <si>
    <t>BARANGAY STA. CRUZ III, SAN JOSE DEL MONTE CITY, BULACAN</t>
  </si>
  <si>
    <t>DEPARTMENT OF EDUCATION - DIVISION OF MISAMIS ORIENTAL</t>
  </si>
  <si>
    <t>MUNICIPALITY OF SUAL -  PANGASINAN</t>
  </si>
  <si>
    <t>CITY OF ANTIPOLO, RIZAL</t>
  </si>
  <si>
    <t>BARANGAY LUBAS - SAN ANDRES CATANDUANES</t>
  </si>
  <si>
    <t>MUNICIPALITY OF CUYAPO, NUEVA ECIJA</t>
  </si>
  <si>
    <t>MUNICIPALITY OF PAMBUJAN, NORTHERN SAMAR</t>
  </si>
  <si>
    <t>MUNICIPALITY OF BATO, CATANDUANES</t>
  </si>
  <si>
    <t>ROSALES NATIONAL HIGH SCHOOL</t>
  </si>
  <si>
    <t>RIZAL ELEMENTARY SCHOOL</t>
  </si>
  <si>
    <t>BARANGAY LAGASIT, SAN QUINTIN, PANGASINAN</t>
  </si>
  <si>
    <t>PROVINCE OF COTABATO</t>
  </si>
  <si>
    <t>PHILIPPINE STATISTICS AUTHORITY - SOUTHERN LEYTE</t>
  </si>
  <si>
    <t>DEPARTMENT OF PUBLIC WORKS AND HIGHWAYS - CEBU 6TH DEO</t>
  </si>
  <si>
    <t>CITY OF TALISAY, NEGROS OCCIDENTAL</t>
  </si>
  <si>
    <t>MUNICIPALITY OF NAGA, ZAMBOANGA SIBUGAY</t>
  </si>
  <si>
    <t>SAMAR STATE UNIVERSITY</t>
  </si>
  <si>
    <t>VICENTE PATRICIO MEMORIAL ELEMENTARY SCHOOL</t>
  </si>
  <si>
    <t>CABULOHAN-PARADISE NATIONAL HIGH SCHOOL - MAIN</t>
  </si>
  <si>
    <t>STA. MARIA HIGH SCHOOL - MINALIN</t>
  </si>
  <si>
    <t>PEDRO E. RAMOS SR. ELEMENTARY SCHOOL</t>
  </si>
  <si>
    <t>MUNICIPALITY OF PASUQUIN, ILOCOS NORTE</t>
  </si>
  <si>
    <t>BUREAU OF FISHERIES AND AQUATIC RESOURCES - REGION VIII</t>
  </si>
  <si>
    <t>SAN VICENTE ANARANAN TE SALURINGAN ELEMENTARY SCHOOL - CABAN</t>
  </si>
  <si>
    <t>MUNICIPALITY OF MASINLOC, ZAMBALES</t>
  </si>
  <si>
    <t>DONSOL WATER DISTRICT</t>
  </si>
  <si>
    <t>SAN RAFAEL NATIONAL HIGH SCHOOL</t>
  </si>
  <si>
    <t>PROVINCE OF QUEZON</t>
  </si>
  <si>
    <t>MUNICIPALITY OF STA. MARCELA, APAYAO</t>
  </si>
  <si>
    <t>DEPARTMENT OF EDUCATION - DIVISION OF MASBATE CITY</t>
  </si>
  <si>
    <t>BUHANGIN CENTRAL ELEMENTARY SCHOOL</t>
  </si>
  <si>
    <t>BAYANAN ELEMENTARY SCHOOL - MAIN</t>
  </si>
  <si>
    <t>MUNICIPALITY OF BASEY, SAMAR</t>
  </si>
  <si>
    <t>MUNICIPALITY OF PROSPERIDAD, AGUSAN DEL SUR</t>
  </si>
  <si>
    <t>BARANGAY LACTURAN, DUMANGAS, ILOILO</t>
  </si>
  <si>
    <t>BARANGAY TALAYONG BADIAN CEBU</t>
  </si>
  <si>
    <t>PEOPLE'S TELEVISION NETWORK, INC.</t>
  </si>
  <si>
    <t>BARANGAY TAGPO, LIGAO CITY</t>
  </si>
  <si>
    <t>DOÑA JOSEFA E. MARCOS HIGH SCHOOL</t>
  </si>
  <si>
    <t>DEPARTMENT OF EDUCATION - DIVISION OF ALAMINOS CITY</t>
  </si>
  <si>
    <t>BUNSURAN NATIONAL HIGH SCHOOL</t>
  </si>
  <si>
    <t>BARANGAY CALE, RAGAY, CAMARINES SUR</t>
  </si>
  <si>
    <t>MUNICIPALITY OF NUEVA ERA, ILOCOS NORTE</t>
  </si>
  <si>
    <t>BAGONG TAYAG ELEMENTARY SCHOOL ANNEX B - TAGUIG CITY</t>
  </si>
  <si>
    <t>BUREAU OF INTERNAL REVENUE</t>
  </si>
  <si>
    <t>MUNICIPALITY OF BACACAY, ALBAY</t>
  </si>
  <si>
    <t>BARANGAY NAGSABARAN - SAN JUAN (LAPOG) ILOCOS SUR</t>
  </si>
  <si>
    <t>BARANGAY MALIMPIN, DASOL, PANGASINAN</t>
  </si>
  <si>
    <t>DEPARTMENT OF AGRARIAN REFORM - BENGUET</t>
  </si>
  <si>
    <t>MUNICIPALITY OF CANTILAN, SURIGAO DEL SUR</t>
  </si>
  <si>
    <t>DARAGUTAN EAST NATIONAL HIGH SCHOOL - SAN MARIANO ISABELA</t>
  </si>
  <si>
    <t>MUNICIPALITY OF CONCEPCION, ROMBLON</t>
  </si>
  <si>
    <t>PALUAN NATIONAL HIGH SCHOOL</t>
  </si>
  <si>
    <t>MUNICIPALITY OF SAN ROQUE - NORTHERN SAMAR</t>
  </si>
  <si>
    <t>BARANGAY SAN PASCUAL BACON SORSOGON SORSOGON CITY</t>
  </si>
  <si>
    <t>306TH CONTRACTING OFFICE, AFP PROCUREMENT SERVICE</t>
  </si>
  <si>
    <t>PROVINCE OF DAVAO DEL SUR</t>
  </si>
  <si>
    <t>CEMBO ELEMENTARY SCHOOL</t>
  </si>
  <si>
    <t>REINA MERCEDES VOCATIONAL AND INDUSTRIAL SCHOOL - REINA MERC</t>
  </si>
  <si>
    <t>MUNICIPALITY OF RAGAY, CAMARINES SUR</t>
  </si>
  <si>
    <t>SPED TRAINING CENTER</t>
  </si>
  <si>
    <t>SANTA ROSA ELEMENTARY SCHOOL CENTRAL 1</t>
  </si>
  <si>
    <t>BAY DISTRICT - SAN ANTONIO ELEMENTARY SCHOOL</t>
  </si>
  <si>
    <t>BARANGAY SAN MARCELINO, DINGRAS, ILOCOS NORTE</t>
  </si>
  <si>
    <t>BARANGAY POBLACION 13, TINGLOY, BATANGAS</t>
  </si>
  <si>
    <t>MINDANAO STATE UNIVERSITY - GENERAL SANTOS CITY CAMPUS</t>
  </si>
  <si>
    <t>BARANGAY SANGALANG, LEMERY, BATANGAS</t>
  </si>
  <si>
    <t>BARANGAY SAN ANDRES LABAK,ATIMONAN, QUEZON</t>
  </si>
  <si>
    <t>PROVINCE OF QUIRINO</t>
  </si>
  <si>
    <t>MUNICIPALITY OF TUBIGON, BOHOL</t>
  </si>
  <si>
    <t>CADUHA-AN NATIONAL HIGH SCHOOL</t>
  </si>
  <si>
    <t>PHILIPPINE NORMAL UNIVERSITY, NEGROS OCCIDENTAL BRANCH</t>
  </si>
  <si>
    <t>DEPARTMENT OF EDUCATION - DIVISION OF ILOCOS SUR</t>
  </si>
  <si>
    <t>BARANGAY KAHAPONAN, VALENCIA CITY</t>
  </si>
  <si>
    <t xml:space="preserve">FERNANDO F. GONZAGA ELEMENTARY SCHOOL - BACOLOD CITY NEGROS </t>
  </si>
  <si>
    <t>DEPARTMENT OF INFORMATION AND COMMUNICATIONS TECHNOLOGY REGI</t>
  </si>
  <si>
    <t>MUNICIPALITY OF MANUKAN, ZAMBOANGA DEL NORTE</t>
  </si>
  <si>
    <t>DEPARTMENT OF PUBLIC WORKS AND HIGHWAYS - REGION XII</t>
  </si>
  <si>
    <t>PROVINCE OF CAVITE</t>
  </si>
  <si>
    <t>PAMPANGA STATE AGRICULTURAL UNIVERSITY</t>
  </si>
  <si>
    <t>BAYLANAN ELEMENTARY SCHOOL - TALAKAG, BUKIDNON</t>
  </si>
  <si>
    <t>BAGONG TANYAG ELEMENTARY SCHOOL ANNEX A</t>
  </si>
  <si>
    <t>MUNICIPALITY OF LEMERY, BATANGAS</t>
  </si>
  <si>
    <t>BARANGAY TAPON, DALAGUETE, CEBU</t>
  </si>
  <si>
    <t>104TH CONTRACTING OFFICE, AFP PROCUREMENT SERVICE</t>
  </si>
  <si>
    <t>MASAYA ELEMENTARY SCHOOL</t>
  </si>
  <si>
    <t>OFFICE OF THE VICE-PRESIDENT OF THE PHILIPPINES</t>
  </si>
  <si>
    <t>DEPARTMENT OF EDUCATION - DIVISION OF TOLEDO CITY, CEBU</t>
  </si>
  <si>
    <t>BOGNUYAN NATIONAL HIGH SCHOOL</t>
  </si>
  <si>
    <t>SAN FRANCISCO ELEMENTARY SCHOOL - ALICIA ISABELA</t>
  </si>
  <si>
    <t>DEPARTMENT OF EDUCATION - DIVISION OF TACLOBAN CITY</t>
  </si>
  <si>
    <t>BARANGAY BULAN, SIPOCOT, CAMARINES SUR</t>
  </si>
  <si>
    <t>BARANGAY POBLACION, ANINI-Y, ANTIQUE</t>
  </si>
  <si>
    <t>BARANGAY MANANGLE, SIPOCOT, CAMARINES SUR</t>
  </si>
  <si>
    <t>PUYPUY ELEMENTARY SCHOOL</t>
  </si>
  <si>
    <t>BINGUANG ELEMENTARY SCHOOL - SAN PABLO ISABELA</t>
  </si>
  <si>
    <t>HOME DEVELOPMENT MUTUAL FUND - REGION III</t>
  </si>
  <si>
    <t>MUNICIPALITY OF STO. NIÑO, SAMAR</t>
  </si>
  <si>
    <t>NUEVA ECIJA UNIVERSITY OF SCIENCE AND TECHNOLOGY</t>
  </si>
  <si>
    <t>BUREAU OF FIRE PROTECTION - REGION VI</t>
  </si>
  <si>
    <t>DEPARTMENT OF PUBLIC WORKS AND HIGHWAYS - REGION I</t>
  </si>
  <si>
    <t>DEPARTMENT OF EDUCATION - DIVISION OF ORMOC CITY</t>
  </si>
  <si>
    <t>PHILIPPINE STATISTICS AUTHORITY - SAMAR</t>
  </si>
  <si>
    <t>BARANGAY MAGALLANES, MAKATI CITY</t>
  </si>
  <si>
    <t>PADRE MARIANO GOMEZ ELEMENTARY SCHOOL</t>
  </si>
  <si>
    <t>DR. JOSE N. RODRIGUEZ MEMORIAL HOSPITAL</t>
  </si>
  <si>
    <t>CITY OF PUERTO PRINCESA, PALAWAN</t>
  </si>
  <si>
    <t>DEPARTMENT OF EDUCATION - REGION VIII</t>
  </si>
  <si>
    <t>DEPARTMENT OF AGRICULTURE - CARFU</t>
  </si>
  <si>
    <t>ALEXIS SANTOS NATIONAL HIGH SCHOOL</t>
  </si>
  <si>
    <t>MUNICIPALITY OF PIKIT, NORTH COTABATO</t>
  </si>
  <si>
    <t>DEPARTMENT OF AGRARIAN REFORM - REGION VI</t>
  </si>
  <si>
    <t>PROVINCE OF LA UNION</t>
  </si>
  <si>
    <t>ROMBLON NATIONAL HIGH SCHOOL</t>
  </si>
  <si>
    <t>DEVELOPMENT BANK OF THE PHILIPPINES - REGION VI</t>
  </si>
  <si>
    <t>DEPARTMENT OF EDUCATION - SCHOOLS DIVISION OF MABALACAT CITY</t>
  </si>
  <si>
    <t>LUGSAYAN ELEMENTARY SCHOOL</t>
  </si>
  <si>
    <t>BARANGAY TABAYAG, ARGAO, CEBU</t>
  </si>
  <si>
    <t>PHILIPPINE STATISTICS AUTHORITY - IFUGAO</t>
  </si>
  <si>
    <t>MUNICIPALITY OF ENRILE, CAGAYAN</t>
  </si>
  <si>
    <t>SAN VICENTE ELEMENTARY SCHOOL - BAUNGON BUKIDNON</t>
  </si>
  <si>
    <t>BUREAU OF FISHERIES AND AQUATIC RESOURCES - REGION VI</t>
  </si>
  <si>
    <t>DEPARTMENT OF SCIENCE AND TECHNOLOGY</t>
  </si>
  <si>
    <t>EASTERN VISAYAS REGIONAL MEDICAL CENTER - DOH</t>
  </si>
  <si>
    <t>PROVINCE OF CAGAYAN</t>
  </si>
  <si>
    <t>CITY OF VICTORIAS, NEGROS OCCIDENTAL</t>
  </si>
  <si>
    <t>MUNICIPALITY OF CAIBIRAN, BILIRAN</t>
  </si>
  <si>
    <t>DEPARTMENT OF HEALTH - MAIN</t>
  </si>
  <si>
    <t>ANTI-MONEY LAUNDERING COUNCIL</t>
  </si>
  <si>
    <t>MUNICIPALITY OF TINGLAYAN, KALINGA</t>
  </si>
  <si>
    <t>BARANGAY BANDAY, TOMAS OPPUS, SOUTHERN LEYTE</t>
  </si>
  <si>
    <t>MUNICIPALITY OF PARACELIS, MOUNTAIN PROVINCE</t>
  </si>
  <si>
    <t>MUNICIPALITY OF CULABA, BILIRAN</t>
  </si>
  <si>
    <t>BARANGAY LIM-AO, KANANGA, LEYTE</t>
  </si>
  <si>
    <t>DR. MARIA D. PASTRANA NATIONAL HIGH SHOOL - MAUBAN QUEZON</t>
  </si>
  <si>
    <t>MUNICIPALITY OF BATO, LEYTE</t>
  </si>
  <si>
    <t>OFFICE OF THE CHIEF MINISTER  - BARMM</t>
  </si>
  <si>
    <t>TABLON NATIONAL HIGH SCHOOL</t>
  </si>
  <si>
    <t>MUNICIPALITY OF PAGUDPUD, ILOCOS NORTE</t>
  </si>
  <si>
    <t>BARANGAY CAVASI, LIGAO CITY</t>
  </si>
  <si>
    <t>DEPARTMENT OF LABOR AND EMPLOYMENT - ADMINISTRATIVE SERVICES</t>
  </si>
  <si>
    <t>UNIVERSITY OF THE PHILIPPINES - DILIMAN</t>
  </si>
  <si>
    <t>FOOD AND DRUG ADMINISTRATION</t>
  </si>
  <si>
    <t>UNIVERSITY OF THE PHILIPPINES - SYSTEM</t>
  </si>
  <si>
    <t>BARANGAY UPPER STA. CRUZ, RAGAY, CAMARINES SUR</t>
  </si>
  <si>
    <t>BARANGAY BUENASUERTE, RAGAY, CAMARINES SUR</t>
  </si>
  <si>
    <t>SUCAT ELEMENTARY SCHOOL</t>
  </si>
  <si>
    <t>BARANGAY POBLACION IRAYA, RAGAY, CAMARINES SUR</t>
  </si>
  <si>
    <t>DON RICARDO JESENA SR. ELEMENTARY SCHOOL</t>
  </si>
  <si>
    <t>PHILIPPINE HEALTH INSURANCE CORPORATION - REGION I</t>
  </si>
  <si>
    <t>LUNG CENTER OF THE PHILIPPINES</t>
  </si>
  <si>
    <t>MUNICIPALITY OF ALEGRIA, SURIGAO DEL NORTE</t>
  </si>
  <si>
    <t>DEPARTMENT OF HEALTH - NCR REGIONAL OFFICE(DOH-NCRO)</t>
  </si>
  <si>
    <t>LOBONG NATIONAL HIGH SCHOOL</t>
  </si>
  <si>
    <t>BARANGAY  MABUHAY - BULUSAN SORSOGON</t>
  </si>
  <si>
    <t>BALA-ORO ELEMENTARY SCHOOL</t>
  </si>
  <si>
    <t>BARANGAY MAGALLANES, LOPEZ, QUEZON</t>
  </si>
  <si>
    <t>SAN MIGUEL ELEMENTARY SCHOOL - PASIG CITY</t>
  </si>
  <si>
    <t>RAMON MAGSAYSAY CENTRAL ELEMENTARY SCHOOL - ZAMBOANGA DEL SU</t>
  </si>
  <si>
    <t>DEPARTMENT OF PUBLIC WORKS AND HIGHWAYS - SORSOGON 2ND DEO</t>
  </si>
  <si>
    <t>BARANGAY IBA - SAN ISIDRO DAVAO ORIENTAL</t>
  </si>
  <si>
    <t>CAPIZ PROVINCIAL GOVERNMENT</t>
  </si>
  <si>
    <t>DEPARTMENT OF EDUCATION - DIVISION OF ESCALANTE CITY</t>
  </si>
  <si>
    <t>MANILA INTERNATIONAL AIRPORT AUTHORITY</t>
  </si>
  <si>
    <t>BARANGAY PORT JUNCTION NORTE, RAGAY, CAMARINES SUR</t>
  </si>
  <si>
    <t>ADELA SERRA TY MEMORIAL MEDICAL CENTER</t>
  </si>
  <si>
    <t>MUNICIPALITY OF PINAMALAYAN, ORIENTAL MINDORO</t>
  </si>
  <si>
    <t>MUNICIPALITY OF TUNGAWAN, ZAMBOANGA SIBUGAY</t>
  </si>
  <si>
    <t>BARANGAY LAMAO - LILOY ZAMBOANGA DEL NORTE</t>
  </si>
  <si>
    <t>BARANGAY MASALISI, LEMERY, BATANGAS</t>
  </si>
  <si>
    <t>BARANGAY GAKAT, LIBAGON, SOUTHERN LEYTE</t>
  </si>
  <si>
    <t>MUNICIPALITY OF SOLSONA, ILOCOS NORTE</t>
  </si>
  <si>
    <t>MUNICIPALITY OF MIDSALIP, ZAMBOANGA DEL SUR</t>
  </si>
  <si>
    <t>NATIONAL POWER CORPORATION SPUG-MINDANAO</t>
  </si>
  <si>
    <t>DEPARTMENT OF PUBLIC WORKS AND HIGHWAYS - SOUTHERN LEYTE DEO</t>
  </si>
  <si>
    <t>CITY  OF CANLAON, NEGROS ORIENTAL</t>
  </si>
  <si>
    <t>CITY OF MALAYBALAY, BUKIDNON</t>
  </si>
  <si>
    <t>MUNICIPALITY OF GONZAGA, CAGAYAN</t>
  </si>
  <si>
    <t>BARANGAY TUGATOG, ORANI, BATAAN</t>
  </si>
  <si>
    <t>DR. ARCADIO SANTOS NATIONAL HIGH SCHOOL</t>
  </si>
  <si>
    <t>NATIONAL IRRIGATION ADMINISTRATION - COTABATO IMO</t>
  </si>
  <si>
    <t>JOSE ABAD SANTOS HIGH SCHOOL</t>
  </si>
  <si>
    <t>DEVELOPMENT BANK OF THE PHILIPPINES - HEAD OFFICE</t>
  </si>
  <si>
    <t>BARANGAY LOOC, LAPU-LAPU, CEBU</t>
  </si>
  <si>
    <t>DEPARTMENT OF THE INTERIOR AND LOCAL GOVERNMENT - CARAGA</t>
  </si>
  <si>
    <t>DEPARTMENT OF PUBLIC WORKS AND HIGHWAYS - BENGUET I DEO</t>
  </si>
  <si>
    <t>DEPARTMENT OF ENVIRONMENT AND NATURAL RESOURCES - REGION IX</t>
  </si>
  <si>
    <t>DEPARTMENT OF PUBLIC WORKS AND HIGHWAYS - AGUSAN DEL NORTE D</t>
  </si>
  <si>
    <t>WESTERN VISAYAS MEDICAL CENTER</t>
  </si>
  <si>
    <t>SORSOGON STATE COLLEGE - SORSOGON CITY</t>
  </si>
  <si>
    <t>MANLAMONAY ELEMENTARY SCHOOL - DON CARLOS BUKIDNON</t>
  </si>
  <si>
    <t>METROPOLITAN TUGUEGARAO WATER DISTRICT</t>
  </si>
  <si>
    <t>MUNICIPALITY OF SAN JUAN, SIQUIJOR</t>
  </si>
  <si>
    <t>LAS PIÑAS GENERAL HOSPITAL AND SATELLITE TRAUMA CENTER</t>
  </si>
  <si>
    <t>PHILIPPINE STATE COLLEGE OF AERONAUTICS</t>
  </si>
  <si>
    <t>BARANGAY MATUTINAO - BADIAN CEBU</t>
  </si>
  <si>
    <t>BARANGAY CASAMBALANGAN, STA. ANA, CAGAYAN</t>
  </si>
  <si>
    <t>MUNICIPALITY OF MARAGUSAN COMPOSTELA VALLEY</t>
  </si>
  <si>
    <t>MUNICIPALITY OF BAGABAG, NUEVA VIZCAYA</t>
  </si>
  <si>
    <t>KALANGANAN ELEMENTARY SCHOOL - BAUNGON BUKIDNON</t>
  </si>
  <si>
    <t>CITY  OF LA CARLOTA, NEGROS OCCIDENTAL</t>
  </si>
  <si>
    <t>METRO LIPA WATER DISTRICT</t>
  </si>
  <si>
    <t>MUNICIPALITY OF SANTA IGNACIA, TARLAC</t>
  </si>
  <si>
    <t>LAND TRANSPORTATION AND FRANCHISING REGULATORY BOARD - MAIN</t>
  </si>
  <si>
    <t>CITY OF DUMAGUETE, NEGROS ORIENTAL</t>
  </si>
  <si>
    <t>PROVINCE OF SURIGAO DEL SUR</t>
  </si>
  <si>
    <t>DEPARTMENT OF EDUCATION - DIVISION OF ALBAY</t>
  </si>
  <si>
    <t>BARANGAY TABOK, MANDAUE CITY</t>
  </si>
  <si>
    <t>BAGUIO CITY NATIONAL HIGH SCHOOL</t>
  </si>
  <si>
    <t>MUNICIPALITY OF GETAFE, BOHOL</t>
  </si>
  <si>
    <t>MUNICIPALITY OF MEDELLIN, CEBU</t>
  </si>
  <si>
    <t>PROVINCE OF BOHOL</t>
  </si>
  <si>
    <t>MUNICIPALITY OF TAGOLOAN, MISAMIS ORIENTAL</t>
  </si>
  <si>
    <t>BARANGAY MADASIGON, MOLAVE, ZAMBOANGA DEL SUR</t>
  </si>
  <si>
    <t>CITY OF SAN FERNANDO, PAMPANGA</t>
  </si>
  <si>
    <t>PROVINCE OF DAVAO ORIENTAL</t>
  </si>
  <si>
    <t>MUNICIPALITY OF BUSUANGA, PALAWAN</t>
  </si>
  <si>
    <t>PROVINCE OF NEGROS ORIENTAL</t>
  </si>
  <si>
    <t>MUNICIPALITY OF RIZAL, NUEVA ECIJA</t>
  </si>
  <si>
    <t>MUNICIPALITY OF MANKAYAN, BENGUET</t>
  </si>
  <si>
    <t>CITY OF MAASIN, SOUTHERN LEYTE</t>
  </si>
  <si>
    <t>UNIVERSITY OF THE PHILIPPINES - VISAYAS</t>
  </si>
  <si>
    <t>PROVINCE OF ALBAY</t>
  </si>
  <si>
    <t xml:space="preserve">TECHNICAL EDUCATION &amp; SKILLS DEVELOPMENT AUTHORITY - REGION </t>
  </si>
  <si>
    <t>DEPARTMENT OF INFORMATION AND COMMUNICATIONS TECHNOLOGY - DA</t>
  </si>
  <si>
    <t>MUNICIPALITY OF TRENTO, AGUSAN DEL SUR</t>
  </si>
  <si>
    <t>BAIS CITY WATER DISTRICT</t>
  </si>
  <si>
    <t>BARANGAY BULHAO, LABO, CAMARINES NORTE</t>
  </si>
  <si>
    <t>MUNICIPALITY OF BULAN, SORSOGON</t>
  </si>
  <si>
    <t>MUNICIPALITY OF CLARIN, BOHOL</t>
  </si>
  <si>
    <t>CITY OF SANTIAGO, ISABELA</t>
  </si>
  <si>
    <t>MUNICIPALITY OF VALLEHERMOSO, NEGROS</t>
  </si>
  <si>
    <t>LANDBANK OF THE PHILIPPINES - HEAD OFFICE</t>
  </si>
  <si>
    <t>BUREAU OF FIRE PROTECTION - REGION X</t>
  </si>
  <si>
    <t>MUNICIPALITY OF LIBON, ALBAY</t>
  </si>
  <si>
    <t>BARANGAY PEREZ, SIBAGAT, AGUSAN DEL SUR</t>
  </si>
  <si>
    <t>PROVINCE OF DAVAO DEL NORTE</t>
  </si>
  <si>
    <t>ISLAND GARDEN CITY OF SAMAL, DAVAO DEL NORTE</t>
  </si>
  <si>
    <t>BARANGAY IPONAN, CAGAYAN DE ORO CITY</t>
  </si>
  <si>
    <t>LIBONA NATIONAL HIGH SCHOOL</t>
  </si>
  <si>
    <t>CIVIL AVIATION AUTHORITY OF THE PHILIPPINES - MASBATE</t>
  </si>
  <si>
    <t>EAST CITY CENTRAL SCHOOL</t>
  </si>
  <si>
    <t>CABANGAN HIGH SCHOOL - LEGAZPI CITY ALBAY</t>
  </si>
  <si>
    <t>UNIVERSITY OF ANTIQUE</t>
  </si>
  <si>
    <t>PHILIPPINE POSTAL CORPORATION - REGION I</t>
  </si>
  <si>
    <t>BUREAU OF JAIL MANAGEMENT AND PENOLOGY - REGION III</t>
  </si>
  <si>
    <t>NATIONAL POWER CORPORATION - SPUG VISAYAS</t>
  </si>
  <si>
    <t>MUNICIPALITY OF GERONA, TARLAC</t>
  </si>
  <si>
    <t>SUM-AG NATIONAL HIGH SCHOOL</t>
  </si>
  <si>
    <t>BICOL UNIVERSITY POLANGUI CAMPUS</t>
  </si>
  <si>
    <t>BARANGAY 1, LUCENA CITY</t>
  </si>
  <si>
    <t>MUNICIPALITY OF BINALONAN, PANGASINAN</t>
  </si>
  <si>
    <t>CENTER FOR HEALTH DEVELOPMENT - REGION VI</t>
  </si>
  <si>
    <t>BARANDAL ELEMENTARY SCHOOL</t>
  </si>
  <si>
    <t>MUNICIPALITY OF EL NIDO, PALAWAN</t>
  </si>
  <si>
    <t>MUNICIPALITY OF RIZAL, LAGUNA</t>
  </si>
  <si>
    <t>MUNICIPALITY OF SAN FABIAN, PANGASINAN</t>
  </si>
  <si>
    <t>MUNICIPALITY OF LOPEZ, QUEZON</t>
  </si>
  <si>
    <t>ELIAS A. SALVADOR NATIONAL HIGH SCHOOL - AGDANGAN QUEZON</t>
  </si>
  <si>
    <t>DEPARTMENT OF LABOR AND EMPLOYMENT - REGION V</t>
  </si>
  <si>
    <t>PAG-IBIG FUND - DAVAO HUB (TECHNICAL AND ADMIN SUPPORT)</t>
  </si>
  <si>
    <t>PHILIPPINE NORMAL UNIVERSITY</t>
  </si>
  <si>
    <t>CITY OF MANILA</t>
  </si>
  <si>
    <t>BAGUIO GENERAL HOSPITAL AND MEDICAL CENTER</t>
  </si>
  <si>
    <t>CITY OF DIGOS, DAVAO DEL SUR</t>
  </si>
  <si>
    <t>CANITOAN NATIONAL HIGH SCHOOL</t>
  </si>
  <si>
    <t>DEPARTMENT OF THE INTERIOR AND LOCAL GOVERNMENT - REGION VI</t>
  </si>
  <si>
    <t>DEPARTMENT OF ENVIRONMENT AND NATURAL RES. - PENRO, BOHOL</t>
  </si>
  <si>
    <t>CITY OF TARLAC, TARLAC</t>
  </si>
  <si>
    <t>CITY OF MAKATI</t>
  </si>
  <si>
    <t>MUNICIPALITY OF GASAN, MARINDUQUE</t>
  </si>
  <si>
    <t>MUNICIPALITY OF PILA, LAGUNA</t>
  </si>
  <si>
    <t>MUNICIPALITY OF DUMALNEG, ILOCOS NORTE</t>
  </si>
  <si>
    <t>MUNICIPALITY OF IMPASUGONG, BUKIDNON</t>
  </si>
  <si>
    <t>MUNICIPALITY OF SAN MATEO, RIZAL</t>
  </si>
  <si>
    <t>BARANGAY DAAN BAGO - ORION BATAAN</t>
  </si>
  <si>
    <t>MUNICIPALITY OF TALIBON, BOHOL</t>
  </si>
  <si>
    <t>MUNICIPALITY OF JAGNA, BOHOL</t>
  </si>
  <si>
    <t>COURT OF APPEALS</t>
  </si>
  <si>
    <t>MUNICIPALITY OF QUEZON , BUKIDNON</t>
  </si>
  <si>
    <t>BARANGAY POBLACION, MAKATI CITY</t>
  </si>
  <si>
    <t>SAN JUAN NATIONAL HIGH SCHOOL</t>
  </si>
  <si>
    <t>MUNICIPALITY OF CALAPE, BOHOL</t>
  </si>
  <si>
    <t>BUREAU OF FISHERIES AND AQUATIC RESOURCES 9</t>
  </si>
  <si>
    <t>MUNICIPALITY OF VILLASIS, PANGASINAN</t>
  </si>
  <si>
    <t>LEON GANZON POLYTECHNIC COLLGE</t>
  </si>
  <si>
    <t>MUNICIPALITY OF SERGIO OSMENA, ZAMBOANGA DEL NORTE</t>
  </si>
  <si>
    <t>GHQ PROCUREMENT CENTER, AFP PROCUREMENT SERVICE</t>
  </si>
  <si>
    <t>DEPARTMENT OF HEALTH - REGION VII</t>
  </si>
  <si>
    <t>CITY OF CANDON, ILOCOS SUR</t>
  </si>
  <si>
    <t>MUNICIPALITY OF ALFONSO LISTA, IFUGAO</t>
  </si>
  <si>
    <t>MUNICIPALITY OF CAN-AVID, EASTERN SAMAR</t>
  </si>
  <si>
    <t>BARANGAY LUPA-AN, LAUA-AN, ANTIQUE</t>
  </si>
  <si>
    <t>AGRICULTURAL TRAINING INSTITUTE-REGIONAL TRAINING CENTER X</t>
  </si>
  <si>
    <t>BARANGAY PAGALUNGAN - CAGAYAN DE ORO CITY</t>
  </si>
  <si>
    <t>PROGRESO ELEMENTARY SCHOOL</t>
  </si>
  <si>
    <t>NEGROS ORIENTAL STATE UNIVERSITY</t>
  </si>
  <si>
    <t>MUNICIPALITY OF SAN LUIS BATANGAS</t>
  </si>
  <si>
    <t>CITY OF DAVAO, DAVAO DEL SUR</t>
  </si>
  <si>
    <t>MUNICIPALITY OF VALLADOLID, NEGROS OCCIDENTAL</t>
  </si>
  <si>
    <t>HORACIO DELA COSTA HIGH SCHOOL</t>
  </si>
  <si>
    <t>BARANGAY PATUNGAN - MARAGONDON CAVITE</t>
  </si>
  <si>
    <t>TONDO MEDICAL CENTER</t>
  </si>
  <si>
    <t>MUNICIPALITY OF BOMBON , CAMARINES SUR</t>
  </si>
  <si>
    <t>CITY OF EL SALVADOR, MISAMIS ORIENTAL</t>
  </si>
  <si>
    <t>DEPARTMENT OF HEALTH - CHD, ZAMBOANGA PENINSULA</t>
  </si>
  <si>
    <t>NATIONAL DEFENSE COLLEGE OF THE PHILIPPINES, DND</t>
  </si>
  <si>
    <t>102ND CONTRACTING OFFICE, AFP PROCUREMENT SERVICE</t>
  </si>
  <si>
    <t>DEPARTMENT OF ENVIRONMENT AND NATURAL RESOURCES-10</t>
  </si>
  <si>
    <t>BANGKO SENTRAL NG PILIPINAS - LUCENA</t>
  </si>
  <si>
    <t>ST. ANTHONY MOTHER AND CHILD HOSPITAL</t>
  </si>
  <si>
    <t>MUNICIPALITY OF DARAM, SAMAR</t>
  </si>
  <si>
    <t>CEBU PORT AUTHORITY</t>
  </si>
  <si>
    <t>MUNICIPALITY OF BULALACAO, ORIENTAL MINDORO</t>
  </si>
  <si>
    <t>CITY OF TAGUM, DAVAO DEL NORTE</t>
  </si>
  <si>
    <t>CITY OF TANJAY, NEGROS ORIENTAL</t>
  </si>
  <si>
    <t>ESTANCIA NATIONAL HIGH SCHOOL</t>
  </si>
  <si>
    <t>MUNICIPALITY OF LOBOC, BOHOL</t>
  </si>
  <si>
    <t>DEPARTMENT OF SOCIAL WELFARE AND DEVELOPMENT - REGION III</t>
  </si>
  <si>
    <t>AGUISAN ELEMENTARY SCHOOL - HIMAMAYLAN CITY NEGROS OCCIDENTA</t>
  </si>
  <si>
    <t>BARANGAY PAGSANG-AN, ABUYOG, LEYTE</t>
  </si>
  <si>
    <t>BARANGAY CAPNAYAN, LAUA-AN, ANTIQUE</t>
  </si>
  <si>
    <t>MUNICIPALITY OF LEMERY, ILOILO</t>
  </si>
  <si>
    <t>MUNICIPALITY OF JABONGA , AGUSAN DEL NORTE</t>
  </si>
  <si>
    <t>PROVINCE OF OCCIDENTAL MINDORO</t>
  </si>
  <si>
    <t>MUNICIPALITY OF BINMALEY, PANGASINAN</t>
  </si>
  <si>
    <t>MUNICIPALITY OF BILAR, BOHOL</t>
  </si>
  <si>
    <t>MUNICIPALITY OF AMADEO, CAVITE</t>
  </si>
  <si>
    <t>MUNICIPALITY OF TALISAY , BATANGAS</t>
  </si>
  <si>
    <t>MUNICIPALITY OF BAUANG, LA UNION</t>
  </si>
  <si>
    <t>MUNICIPALITY OF BARUGO, LEYTE</t>
  </si>
  <si>
    <t>AGRICULTURAL TRAINING INSTITUTE-REGIONAL TRAINING CENTER-8</t>
  </si>
  <si>
    <t>MUNICIPALITY OF M'LANG, COTABATO</t>
  </si>
  <si>
    <t>DEPARTMENT OF ENVIRONMENT AND NATURAL RES. - CENRO ALCALA CA</t>
  </si>
  <si>
    <t>MUNICIPALITY OF ALICIA, BOHOL</t>
  </si>
  <si>
    <t>SULTAN KUDARAT STATE UNIVERSITY</t>
  </si>
  <si>
    <t>CITY OF BUTUAN, AGUSAN DEL NORTE</t>
  </si>
  <si>
    <t>MUNICIPALITY OF DOÑA REMEDIOS TRINIDAD, BULACAN</t>
  </si>
  <si>
    <t>MUNICIPALITY OF TANAUAN, LEYTE</t>
  </si>
  <si>
    <t>PHILIPPINE STATISTICS AUTHORITY</t>
  </si>
  <si>
    <t>BARANGAY BALUBAD, ATIMONAN, QUEZON</t>
  </si>
  <si>
    <t>PROVINCE OF MISAMIS OCCIDENTAL</t>
  </si>
  <si>
    <t>DEPARTMENT OF EDUCATION - DIVISION OF ORIENTAL MINDORO</t>
  </si>
  <si>
    <t>MUNICIPALITY OF STA. CRUZ, OCCIDENTAL MINDORO</t>
  </si>
  <si>
    <t>MUNICIPALITY OF KIANGAN, IFUGAO</t>
  </si>
  <si>
    <t>MACANHAN ELEMENTARY SCHOOL</t>
  </si>
  <si>
    <t>DEPARTMENT OF EDUCATION - GENERAL SANTOS CITY</t>
  </si>
  <si>
    <t>DICT, FIELD OPERATIONS OFFICE, LUZON CLUSTER 1</t>
  </si>
  <si>
    <t>BARANGAY DAGATAN - AMADEO CAVITE</t>
  </si>
  <si>
    <t>DEPARTMENT OF EDUCATION - REGION I</t>
  </si>
  <si>
    <t>MUNICIPALITY OF CALAMANIUGAN, CAGAYAN</t>
  </si>
  <si>
    <t>NATIONAL BUREAU OF INVESTIGATION</t>
  </si>
  <si>
    <t>MUNICIPALITY OF STO. TOMAS, BATANGAS</t>
  </si>
  <si>
    <t>MUNICIPALITY OF PORAC, PAMPANGA</t>
  </si>
  <si>
    <t>MUNICIPALITY OF TUBURAN, CEBU</t>
  </si>
  <si>
    <t>NATIONAL IRRIGATION ADMINISTRATION - SOUTH COTABATO</t>
  </si>
  <si>
    <t>CANITOAN ELEMENTARY SCHOOL - CAGAYAN DE ORO CITY</t>
  </si>
  <si>
    <t>DEPARTMENT OF HUMAN SETTLEMENT AND URBAN DEVELOPMENT - QUEZO</t>
  </si>
  <si>
    <t>CITY  OF CABANATUAN, NUEVA ECIJA</t>
  </si>
  <si>
    <t>MUNICIPALITY OF ABUYOG, LEYTE</t>
  </si>
  <si>
    <t>DEPARTMENT OF PUBLIC WORKS AND HIGHWAYS - CEBU CITY DEO</t>
  </si>
  <si>
    <t>DEPARTMENT OF SOCIAL WELFARE AND DEVELOPMENT - NCR</t>
  </si>
  <si>
    <t>MUNICIPALITY OF BAUAN, BATANGAS</t>
  </si>
  <si>
    <t>DEPARTMENT OF AGRICULTURE - REGION XI</t>
  </si>
  <si>
    <t>DIPOLOG CITY WATER DISTRICT</t>
  </si>
  <si>
    <t>TUMAUINI SOUTH CENTRAL SCHOOL - TUMAUINI ISABELA</t>
  </si>
  <si>
    <t>PROVINCE OF BUKIDNON</t>
  </si>
  <si>
    <t>MUNICIPALITY OF AGLIPAY, QUIRINO</t>
  </si>
  <si>
    <t>MUNICIPALITY OF TOBIAS FORNIER,  ANTIQUE</t>
  </si>
  <si>
    <t>SK OF BARANGAY MUZON II - ROSARIO CAVITE</t>
  </si>
  <si>
    <t>BICOL UNIVERSITY</t>
  </si>
  <si>
    <t>BARANGAY AURORA  MALITBOG SOUTHERN LEYTE</t>
  </si>
  <si>
    <t>MUNICIPALITY OF PASTRANA, LEYTE</t>
  </si>
  <si>
    <t>CITY OF SAN JUAN</t>
  </si>
  <si>
    <t>BARANGAY BAKERO CABANATUAN CITY NUEVA ECIJA</t>
  </si>
  <si>
    <t>NATIONAL POWER CORPORATION</t>
  </si>
  <si>
    <t>MUNICIPALITY OF SAN ISIDRO, LEYTE</t>
  </si>
  <si>
    <t>PROVINCE OF ANTIQUE</t>
  </si>
  <si>
    <t>MUNICIPALITY OF CORELLA, BOHOL</t>
  </si>
  <si>
    <t>MUNICIPALITY OF MANAPLA, NEGROS OCCIDENTAL</t>
  </si>
  <si>
    <t>DON JOSE S. MONFORT MEDICAL CENTER EXTENSION HOSPITAL</t>
  </si>
  <si>
    <t>PHILIPPINE NATIONAL POLICE - REGION IV-B</t>
  </si>
  <si>
    <t>MUNICIPALITY OF GINATILAN, CEBU</t>
  </si>
  <si>
    <t>METROPOLITAN NAGA WATER DISTRICT</t>
  </si>
  <si>
    <t>TALIPAN NATIONAL HIGH SCHOOL - PAGBILAO QUEZON</t>
  </si>
  <si>
    <t>NATIONAL IRRIGATION ADMINISTRATION - CBIMO</t>
  </si>
  <si>
    <t>SK NG BARANGAY SAN MIGUEL B -  MARAGONDON, CAVITE</t>
  </si>
  <si>
    <t>MUNICIPALITY OF GUIUAN, EASTERN SAMAR</t>
  </si>
  <si>
    <t>DEVELOPMENT BANK OF THE PHILIPPINES SOUTH LUZON LENDING GR</t>
  </si>
  <si>
    <t>MUNICIPALITY OF MALINAO, ALBAY</t>
  </si>
  <si>
    <t>LAND BANK OF THE PHILIPPINES -TUGUEGARAO CITY CAGAYAN BRANCH</t>
  </si>
  <si>
    <t>MUNICIPALITY OF ISABELA, NEGROS OCCIDENTAL</t>
  </si>
  <si>
    <t>DEPARTMENT OF PUBLIC WORKS AND HIGHWAYS - LA UNION 1ST ED</t>
  </si>
  <si>
    <t>BARANGAY BONGABONG, TUDELA, MISAMIS OCCIDENTAL</t>
  </si>
  <si>
    <t>TECHNICAL EDUCATION &amp; SKILLS DEVELOPMENT AUTHORITY - NCR</t>
  </si>
  <si>
    <t>TALABAN ELEMENTARY SCHOOL - HIMAMAYLAN CITY NEGROS OCCIDENTA</t>
  </si>
  <si>
    <t>CITY OF KABANKALAN, NEGROS OCCIDENTAL</t>
  </si>
  <si>
    <t>DEPARTMENT OF EDUCATION - DIVISION OF BATANGAS CITY</t>
  </si>
  <si>
    <t>CENTER FOR HEALTH DEVELOPMENT - REGION I</t>
  </si>
  <si>
    <t>MUNICIPALITY OF SAN JOAQUIN, ILOILO</t>
  </si>
  <si>
    <t>MUNICIPALITY OF SOGOD, SOUTHERN LEYTE</t>
  </si>
  <si>
    <t>CITY OF QUEZON</t>
  </si>
  <si>
    <t>MINDANAO STATE UNIVERSITY - TAWI-TAWI</t>
  </si>
  <si>
    <t>ENVIRONMENTAL MANAGEMENT BUREAU-REGION XII</t>
  </si>
  <si>
    <t>IFUGAO STATE UNIVERSITY</t>
  </si>
  <si>
    <t>MUNICIPALITY OF ROXAS, ISABELA</t>
  </si>
  <si>
    <t>ROXAS CENTRAL SCHOOL - ROXAS ISABELA</t>
  </si>
  <si>
    <t>MUNICIPALITY OF LIBMANAN, CAMARINES SUR</t>
  </si>
  <si>
    <t>MUNICIPALITY OF SAN FRANCISCO, CEBU</t>
  </si>
  <si>
    <t>BARANGAY IRISAN, BAGUIO CITY</t>
  </si>
  <si>
    <t>BARANGAY MASAGANA - QUEZON CITY</t>
  </si>
  <si>
    <t>CITY OF PANABO, DAVAO DEL NORTE</t>
  </si>
  <si>
    <t>DAVAO DEL SUR STATE COLLEGE - DIGOS CITY DAVAO DEL SUR</t>
  </si>
  <si>
    <t>VALENCIA CITY WATER DISTRICT</t>
  </si>
  <si>
    <t>MUNICIPALITY OF BUGUIAS, BENGUET</t>
  </si>
  <si>
    <t>BARANGAY KINUBAN, MACO, COMPOSTELA VALLEY</t>
  </si>
  <si>
    <t>SABLAYAN NATIONAL COMPREHENSIVE HIGH SCHOOL</t>
  </si>
  <si>
    <t>MUNICIPALITY OF NARVACAN, ILOCOS SUR</t>
  </si>
  <si>
    <t>TINGLOY NATIONAL HIGH SCHOOL - TINGLOY BATANGAS</t>
  </si>
  <si>
    <t>NATIONAL IRRIGATION ADMINISTRATION - UPRIIS, DRD</t>
  </si>
  <si>
    <t>DEPARTMENT OF ENVIRONMENT AND NATURAL RESOURCES - REGION XI</t>
  </si>
  <si>
    <t>BAYUGAN WATER DISTRICT</t>
  </si>
  <si>
    <t>MUNICIPALITY OF PAOAY, ILOCOS NORTE</t>
  </si>
  <si>
    <t>PANGASINAN STATE UNIVERSITY - MAIN</t>
  </si>
  <si>
    <t>SURIGAO DEL SUR STATE UNIVERSITY</t>
  </si>
  <si>
    <t>COMMISSION ON POPULATION - NCR</t>
  </si>
  <si>
    <t>NORTHWESTERN MINDANAO STATE COLLEGE OF SCIENCE &amp; TECHNOLOGY</t>
  </si>
  <si>
    <t>PHILIPPINE CHILDREN'S MEDICAL CENTER</t>
  </si>
  <si>
    <t>DEPARTMENT OF EDUCATION - DIVISION OF BULACAN</t>
  </si>
  <si>
    <t>NATIONAL CHILDREN'S HOSPITAL</t>
  </si>
  <si>
    <t>DASMARINAS WEST NATIONAL HIGH SCHOOL</t>
  </si>
  <si>
    <t>DEPARTMENT OF EDUCATION - DIVISION OF AGUSAN DEL SUR</t>
  </si>
  <si>
    <t>CITY OF CALAMBA, LAGUNA</t>
  </si>
  <si>
    <t>BARANGAY SAN MIGUEL - SAN ISIDRO LEYTE</t>
  </si>
  <si>
    <t>DEPARTMENT OF AGRARIAN REFORM - NEGROS ORIENTAL PROV'L OFF.</t>
  </si>
  <si>
    <t>DEPARTMENT OF EDUCATION - DIVISION OF SIARGAO</t>
  </si>
  <si>
    <t>BARANGAY LAMIGAN</t>
  </si>
  <si>
    <t>CADIZ WEST I ELEMENTARY SCHOOL</t>
  </si>
  <si>
    <t>PROVINCE OF NUEVA VIZCAYA - BAYOMBONG NUEVA VIZCAYA</t>
  </si>
  <si>
    <t>TECHNICAL EDUCATION &amp; SKILLS DEVELOPMENT AUTHORITY - CEBU</t>
  </si>
  <si>
    <t>TAMBAN NATIONAL HIGH SCHOOL - TINAMBAC CAMARINES SUR</t>
  </si>
  <si>
    <t>BARANGAY BUENAVISTA, NAGCARLAN, LAGUNA</t>
  </si>
  <si>
    <t>PHILIPPINE CENTER FOR POSTHARVEST DEV'T AND MECHANIZATION</t>
  </si>
  <si>
    <t>DEPARTMENT OF BUDGET AND MANAGEMENT</t>
  </si>
  <si>
    <t>MUZON PABAHAY ELEMENTARY SCHOOL</t>
  </si>
  <si>
    <t>BALASIG ELEMENTARY SCHOOL - CABAGAN ISABELA</t>
  </si>
  <si>
    <t>BUREAU OF FISHERIES AND AQUATIC RESOURCES REGION 1</t>
  </si>
  <si>
    <t>CITY OF SANTA ROSA, LAGUNA</t>
  </si>
  <si>
    <t>CENTRAL MINDANAO UNIVERSITY</t>
  </si>
  <si>
    <t>JONES WEST CENTRAL SCHOOL CAMPUS 1 - JONES ISABELA</t>
  </si>
  <si>
    <t>BUREAU OF COMMUNICATIONS SERVICES</t>
  </si>
  <si>
    <t>PHILIPPINE CARABAO CENTER - CENTRAL LUZON STATE UNIVERSITY</t>
  </si>
  <si>
    <t>MUNICIPALITY OF LA PAZ, AGUSAN DEL SUR</t>
  </si>
  <si>
    <t>PHILIPPINE ARMY PROCUREMENT CENTER, AFP PROCUREMENT SERVICE</t>
  </si>
  <si>
    <t>PROVINCE OF ZAMBOANGA DEL SUR</t>
  </si>
  <si>
    <t>MUNICIPALITY OF MARIA AURORA, AURORA</t>
  </si>
  <si>
    <t>UNIVERSITY OF SCIENCE &amp; TECH. OF SOUTHERN PHIL.-CLAVERIA</t>
  </si>
  <si>
    <t>DEPARTMENT OF PUBLIC WORKS AND HIGHWAYS - SOUTH COTABATO 1ST</t>
  </si>
  <si>
    <t>AGRICULTURAL TRAINING INSTITUTE - CARAGA REGION</t>
  </si>
  <si>
    <t>DEPARTMENT OF ENVIRONMENT AND NATURAL RESOURCES - REGION III</t>
  </si>
  <si>
    <t>MUNICIPALITY OF BADOC, ILOCOS NORTE</t>
  </si>
  <si>
    <t>BAGONBON NATIONAL HIGH SCHOOL - SAN CARLOS CITY NEGROS OCCID</t>
  </si>
  <si>
    <t>NATIONAL IRRIGATION ADMINISTRATION - DISTRICT 1</t>
  </si>
  <si>
    <t>CITY  OF CADIZ, NEGROS OCCIDENTAL</t>
  </si>
  <si>
    <t>LIGA NG MGA BARANGAY BATO, LEYTE CHAPTER</t>
  </si>
  <si>
    <t>MAYOR HILARION A. RAMIRO SR. REGIONAL TRNG &amp; TEACHING HOSP.</t>
  </si>
  <si>
    <t>DEPARTMENT OF TRADE AND INDUSTRY - REGION III  BULACAN</t>
  </si>
  <si>
    <t>MUNICIPALITY OF PILAR, SORSOGON</t>
  </si>
  <si>
    <t>NATIONAL IRRIGATION ADMINISTRATION - OCC. MDO. IMO</t>
  </si>
  <si>
    <t>PHILIPPINE COAST GUARD - COAST GUARD DISTRICT SOUTHERN TAGAL</t>
  </si>
  <si>
    <t>MUNICIPALITY OF ALEOSAN, COTABATO</t>
  </si>
  <si>
    <t>DEPARTMENT OF TRADE AND INDUSTRY - LEYTE PROVINCIAL OFFICE</t>
  </si>
  <si>
    <t>HOME DEVELOPMENT MUTUAL FUND - MAKATI BRANCH</t>
  </si>
  <si>
    <t>MUNICIPALITY OF IBA, ZAMBALES</t>
  </si>
  <si>
    <t>201ST CONTRACTING OFFICE, AFP PROCUREMENT SERVICE</t>
  </si>
  <si>
    <t>MUNICIPALITY OF NEW CORELLA, DAVAO DEL NORTE</t>
  </si>
  <si>
    <t>BARANGAY VILLA SOLIDARIDAD - BAYBAY CITY LEYTE</t>
  </si>
  <si>
    <t>BUTUAN CITY WATER DISTRICT</t>
  </si>
  <si>
    <t>CITY OF TUGUEGARAO, CAGAYAN</t>
  </si>
  <si>
    <t>MUNICIPALITY OF NORZAGARAY, BULACAN</t>
  </si>
  <si>
    <t>CAMAMAN-AN ELEMENTARY SCHOOL - CAGAYAN DE ORO CITY MISAMIS O</t>
  </si>
  <si>
    <t>MUNICIPALITY OF ALCALA, PANGASINAN</t>
  </si>
  <si>
    <t>ALICIA VOCATIONAL SCHOOL</t>
  </si>
  <si>
    <t>PHILIPPINE DRUG ENFORCEMENT AGENCY</t>
  </si>
  <si>
    <t>BARANGAY BANOYO - SAN LUIS BATANGAS</t>
  </si>
  <si>
    <t>UEG ELEMENTARY SCHOOL  - SAN MARIANO ISABELA</t>
  </si>
  <si>
    <t>BARANGAY MAGUGPO NORTH, TAGUM CITY, DAVAO DEL NORTE</t>
  </si>
  <si>
    <t>MUNICIPALITY OF ALORAN, MISAMIS OCCIDENTAL</t>
  </si>
  <si>
    <t>MUNICIPALITY OF DINGRAS, ILOCOS NORTE</t>
  </si>
  <si>
    <t>DAHAT NATIONAL VOCATIONAL HIGH SCHOOL - LAGONOY CAMARINES SU</t>
  </si>
  <si>
    <t>MAGUGPO PILOT CENTRAL ELEMENTARY SCHOOL</t>
  </si>
  <si>
    <t>PHILIPPINE NATIONAL POLICE</t>
  </si>
  <si>
    <t>BARANGAY PADIAY, SIBAGAT, AGUSAN DEL SUR</t>
  </si>
  <si>
    <t>MUNICIPALITY OF ISULAN, SULTAN KUDARAT</t>
  </si>
  <si>
    <t>MUNICIPALITY OF SAN NICOLAS, ILOCOS NORTE</t>
  </si>
  <si>
    <t>MUNICIPALITY OF LUGAIT, MISAMIS ORIENTAL</t>
  </si>
  <si>
    <t>MUNICIPALITY OF SAN ILDEFONSO, BULACAN</t>
  </si>
  <si>
    <t>MUNICIPALITY OF BANGUI, ILOCOS NORTE</t>
  </si>
  <si>
    <t>DEPARTMENT OF TRADE AND INDUSTRY - MAIN</t>
  </si>
  <si>
    <t>MUNICIPALITY OF LUCBAN, QUEZON</t>
  </si>
  <si>
    <t>BARANGAY STA. MESA, MABINI, BATANGAS</t>
  </si>
  <si>
    <t>DEPARTMENT OF SOCIAL WELFARE AND DEVELOPMENT - REGION IX</t>
  </si>
  <si>
    <t>MUNICIPALITY OF CABUGAO, ILOCOS SUR</t>
  </si>
  <si>
    <t>BANGKO SENTRAL NG PILIPINAS (SECURITY PLANT COMPLEX) - QUEZO</t>
  </si>
  <si>
    <t>MUNICIPALITY OF BUHI, CAMARINES SUR</t>
  </si>
  <si>
    <t>MUNICIPALITY OF LA CASTELLANA, NEGROS OCCIDENTAL</t>
  </si>
  <si>
    <t>105TH CONTRACTING OFFICE, AFP PROCUREMENT SERVICE</t>
  </si>
  <si>
    <t>PULUPANDAN ELEMENTARY SCHOOL</t>
  </si>
  <si>
    <t>BUNGAD ELEMENTARY SCHOOL - SAN PABLO ISABELA</t>
  </si>
  <si>
    <t>MUNICIPALITY OF GEN. MAMERTO NATIVIDAD, NUEVA ECIJA</t>
  </si>
  <si>
    <t>DEPARTMENT OF PUBLIC WORKS AND HIGHWAYS - REGION IX</t>
  </si>
  <si>
    <t>MUNICIPALITY OF KANANGA, LEYTE</t>
  </si>
  <si>
    <t>MUNICIPALITY OF CAMALIGAN, CAMARINES SUR</t>
  </si>
  <si>
    <t>BARANGAY MAYTEGUED, TAYTAY, PALAWAN</t>
  </si>
  <si>
    <t>CITY OF GINGOOG, MISAMIS ORIENTAL</t>
  </si>
  <si>
    <t>MUNICIPALITY OF MIAG-AO, ILOILO</t>
  </si>
  <si>
    <t>ALAMINOS CITY WATER DISTRICT</t>
  </si>
  <si>
    <t>DEPARTMENT OF ENVIRONMENT AND NATURAL RESOURCES - RII, PENRO</t>
  </si>
  <si>
    <t>LASAM INSTITUTE OF TECHNOLOGY</t>
  </si>
  <si>
    <t>MUNICIPALITY OF PAMPLONA, NEGROS ORIENTAL</t>
  </si>
  <si>
    <t>BARANGAY LAGUBANG - SEN. NINOY S. AQUINO SULTAN KUDARAT</t>
  </si>
  <si>
    <t>MUNICIPALITY OF TUY, BATANGAS</t>
  </si>
  <si>
    <t>SUMALIG ELEMENTARY SCHOOL</t>
  </si>
  <si>
    <t>DEPARTMENT OF PUBLIC WORKS AND HIGHWAYS - CAGAYAN DE ORO CIT</t>
  </si>
  <si>
    <t>DEPARTMENT OF EDUCATION - DIVISION OF SIQUIJOR</t>
  </si>
  <si>
    <t>DEPARTMENT OF ENVIRONMENT AND NATURAL RESOURCES - REGION XII</t>
  </si>
  <si>
    <t>DEPARTMENT OF EDUCATION - DIVISION OF TABUK CITY</t>
  </si>
  <si>
    <t>VETERANS REGIONAL HOSPITAL</t>
  </si>
  <si>
    <t>SAN ISIDRO ELEMENTARY SCHOOL</t>
  </si>
  <si>
    <t>DEPARTMENT OF PUBLIC WORKS AND HIGHWAYS - CAGAYAN 1ST DEO</t>
  </si>
  <si>
    <t>BUREAU OF FIRE PROTECTION - REGION IV-A (CALABARZON)</t>
  </si>
  <si>
    <t>NATIONAL FISHERIES RESEARCH &amp; DEVELOPMENT INSTITUTE</t>
  </si>
  <si>
    <t>MUNICIPALITY OF NABUA, CAMARINES SUR</t>
  </si>
  <si>
    <t>CITY OF BALANGA NATIONAL HIGH SCHOOL</t>
  </si>
  <si>
    <t>BARANGAY PAWILI, PILI, CAMARINES SUR</t>
  </si>
  <si>
    <t>MUNICIPALITY OF MABALACAT, PAMPANGA</t>
  </si>
  <si>
    <t>MUNICIPALITY OF BAYAMBANG - PANGASINAN</t>
  </si>
  <si>
    <t>MUNICIPALITY OF MAKILALA, NORTH COTABATO</t>
  </si>
  <si>
    <t>MUNICIPALITY OF RIZAL, OCCIDENTAL MINDORO</t>
  </si>
  <si>
    <t>COMMISSION ON APPOINTMENTS</t>
  </si>
  <si>
    <t>SOCIAL SECURITY SYSTEM</t>
  </si>
  <si>
    <t>MARGOSATUBIG REGIONAL HOSPITAL</t>
  </si>
  <si>
    <t>BANGKO SENTRAL NG PILIPINAS</t>
  </si>
  <si>
    <t>PARTIDO DEVELOPMENT ADMINISTRATION</t>
  </si>
  <si>
    <t>MUNICIPALITY OF PILILLA, RIZAL</t>
  </si>
  <si>
    <t>LUIS C.. TEMBREVILLA ELEMENTARY SCHOOL - HINOBA-AN NEGROS OC</t>
  </si>
  <si>
    <t>PHILIPPINE STATISTICS AUTHORITY - REGION IV-B</t>
  </si>
  <si>
    <t>DEPARTMENT OF SOCIAL WELFARE AND DEVELOPMENT - REGION XII</t>
  </si>
  <si>
    <t>STA. CRUZ ELEM. SCHOOL</t>
  </si>
  <si>
    <t>401ST CONTRACTING OFFICE, AFP PROCUREMENT SERVICE</t>
  </si>
  <si>
    <t>INDUSTRIAL TECHNOLOGY DEVELOPMENT INSTITIUTE</t>
  </si>
  <si>
    <t>BUREAU OF FISHERIES AND AQUATIC RESOURCES - REGION III</t>
  </si>
  <si>
    <t>MUNICIPALITY OF MALAY, AKLAN</t>
  </si>
  <si>
    <t>BALAS BUCO STA.MARIA NATIONAL HIGH SCHOOL - TALISAY BATANGAS</t>
  </si>
  <si>
    <t>DANGEROUS DRUGS BOARD</t>
  </si>
  <si>
    <t>MUNICIPALITY OF LILOAN, CEBU</t>
  </si>
  <si>
    <t>DEPARTMENT OF SOCIAL WELFARE AND DEVELOPMENT - REGION X</t>
  </si>
  <si>
    <t>DEPARTMENT OF PUBLIC WORKS AND HIGHWAYS - SULTAN KUDARAT 1ST</t>
  </si>
  <si>
    <t>SK OF BARANGAY SOUTHSIDE - MAKATI CITY</t>
  </si>
  <si>
    <t>MUNICIPALITY OF DON CARLOS, BUKIDNON</t>
  </si>
  <si>
    <t>BARANGAY TALAVERA, TAGANA-AN, SURIGAO DEL NORTE</t>
  </si>
  <si>
    <t>NATIONAL STATISTICS OFFICE - REGION X</t>
  </si>
  <si>
    <t>VILLAMOR HIGH SCHOOL</t>
  </si>
  <si>
    <t>PALOMPON INSTITUTE OF TECHNOLOGY - TABANGO CAMPUS</t>
  </si>
  <si>
    <t>SILANGANG MALICBOY NATIONAL HIGH SCHOOL - PAGBILAO QUEZON</t>
  </si>
  <si>
    <t>DR. JOSE FABELLA MEMORIAL HOSPITAL</t>
  </si>
  <si>
    <t>BENGUET STATE UNIVERSITY</t>
  </si>
  <si>
    <t>VALENZUELA MEDICAL CENTER</t>
  </si>
  <si>
    <t>NATIONAL FOOD AUTHORITY  - REGION XII</t>
  </si>
  <si>
    <t>BUKIDNON STATE UNIVERSITY</t>
  </si>
  <si>
    <t>MUNICIPALITY OF CALAUAG, QUEZON</t>
  </si>
  <si>
    <t>MUNICIPALITY OF STO. NIÑO, CAGAYAN</t>
  </si>
  <si>
    <t>CAMINAWIT NATIONAL HIGH SCHOOL</t>
  </si>
  <si>
    <t>BARANGAY DAGATKIDAVAO, VALENCIA CITY</t>
  </si>
  <si>
    <t>MUNICIPALITY OF SADANGA, MOUNTAIN PROVINCE</t>
  </si>
  <si>
    <t>MUNICIPALITY OF DUPAX DEL NORTE, NUEVA VIZCAYA</t>
  </si>
  <si>
    <t>BARANGAY TAPLACON, CAMALIG, ALBAY</t>
  </si>
  <si>
    <t>NATIONAL IRRIGATION ADMINISTRATION - PIMO</t>
  </si>
  <si>
    <t>JUVENILE JUSTICE AND WELFARE COUNCIL</t>
  </si>
  <si>
    <t>DEPARTMENT OF EDUCATION - DIVISION OF EASTERN SAMAR</t>
  </si>
  <si>
    <t>MUNICIPALITY OF LEBAK, SULTAN KUDARAT</t>
  </si>
  <si>
    <t>BARANGAY TUYABANG BAJO, OROQUIETA CITY</t>
  </si>
  <si>
    <t>MARAPANGE INTEGRATED SCHOOL - KIBAWE BUKIDNON</t>
  </si>
  <si>
    <t>BARANGAY MAGYAPO, LAUA-AN, ANTIQUE</t>
  </si>
  <si>
    <t>MUNICIPALITY OF HINOBA-AN, NEGROS OCCIDENTAL</t>
  </si>
  <si>
    <t>LUMBIA NATIONAL HIGH SCHOOL</t>
  </si>
  <si>
    <t>DEPARTMENT OF PUBLIC WORKS AND HIGHWAYS - ABRA ED</t>
  </si>
  <si>
    <t>MUNICIPALITY OF SAN LUIS, AURORA</t>
  </si>
  <si>
    <t>MUNICIPALITY OF SAN JOSE, OCCIDENTAL MINDORO</t>
  </si>
  <si>
    <t>TECHNICAL EDUCATION &amp; SKILLS DEVELOPMENT AUTHORITY - BAYOMBO</t>
  </si>
  <si>
    <t>BANGKO SENTRAL NG PILIPINAS - CEBU REGIONAL OFFICE</t>
  </si>
  <si>
    <t>BUREAU OF CORRECTIONS - MUNTINLUPA CITY METRO MANILA</t>
  </si>
  <si>
    <t>OCAMPO NATIONAL HIGH SCHOOL</t>
  </si>
  <si>
    <t>SAN MATIAS NATIONAL HIGH SCHOOL</t>
  </si>
  <si>
    <t>MACABALAN ELEMENTARY SCHOOL</t>
  </si>
  <si>
    <t>DEPARTMENT OF EDUCATION - DIVISION OF LA UNION</t>
  </si>
  <si>
    <t>STA. CRUZ NATIONAL HIGH SCHOOL - OCCIENTAL MINDORO</t>
  </si>
  <si>
    <t>ADVANCED SCIENCE AND TECHNOLOGY INSTITUTE</t>
  </si>
  <si>
    <t>FOOD AND NUTRITION RESEARCH INSTITUTE</t>
  </si>
  <si>
    <t>PROVINCE OF RIZAL</t>
  </si>
  <si>
    <t>MUNICIPALITY OF MACARTHUR, LEYTE</t>
  </si>
  <si>
    <t>MUNICIPALITY OF BROOKE'S POINT, PALAWAN</t>
  </si>
  <si>
    <t>SOLDIERS HILLS ELEMENTARY SCHOOL</t>
  </si>
  <si>
    <t>MUNICIPALITY OF QUEZON, NUEVA VIZCAYA</t>
  </si>
  <si>
    <t>SAN JOSE ELEMENTARY SCHOOL</t>
  </si>
  <si>
    <t>DEPARTMENT OF PUBLIC WORKS AND HIGHWAYS - REGION IV-A</t>
  </si>
  <si>
    <t>BARANGAY NATUNUAN NORTH, SAN PASCUAL, BATANGAS</t>
  </si>
  <si>
    <t>SAN ANTONIO ELEMENTARY SCHOOL - ROXAS ISABELA</t>
  </si>
  <si>
    <t>TOURISM PROMOTIONS BOARD</t>
  </si>
  <si>
    <t>MUNICIPALITY OF CARAMOAN, CAMARINES SUR</t>
  </si>
  <si>
    <t>ENERGY REGULATORY COMMISSION</t>
  </si>
  <si>
    <t>MUNICIPALITY OF SIPOCOT, CAMARINES SUR</t>
  </si>
  <si>
    <t>LAPOGAN INTEGRATED SCHOOL TUMAUINI, ISABELA</t>
  </si>
  <si>
    <t xml:space="preserve">DEPARTMENT OF PUBLIC WORKS AND HIGHWAYS - CAMARINES SUR 2ND </t>
  </si>
  <si>
    <t>LUNOKAN ELEMENTARY SCHOOL - MALAYBALAY CITY BUKIDNON</t>
  </si>
  <si>
    <t>MUNICIPALITY OF SANTA MARIA, ILOCOS SUR</t>
  </si>
  <si>
    <t>DEPARTMENT OF AGRARIAN REFORM - CATBALOGAN</t>
  </si>
  <si>
    <t>BARANGAY 74, TACLOBAN CITY, LEYTE</t>
  </si>
  <si>
    <t>MANOLITA ELEMENTARY SCHOOL</t>
  </si>
  <si>
    <t>LABRADOR NATIONAL HIGH SCHOOL</t>
  </si>
  <si>
    <t>SAN FRANCISCO WATER DISTRICT</t>
  </si>
  <si>
    <t>SANDIGANBAYAN</t>
  </si>
  <si>
    <t>BAYANGA ELEMENTARY SCHOOL - CAGAYAN DE ORO CITY MISAMIS ORIE</t>
  </si>
  <si>
    <t>DEPARTMENT OF EDUCATION - DIVISION OF MUNTINLUPA</t>
  </si>
  <si>
    <t>PANGAL SUR HIGH SCHOOL - ECHAGUE, ISABELA</t>
  </si>
  <si>
    <t>BARANGAY CANINGAG, MATALOM, LEYTE</t>
  </si>
  <si>
    <t>DEPARTMENT OF THE INTERIOR AND LOCAL GOVERNMENT - REGION III</t>
  </si>
  <si>
    <t>GABRIELA SILANG ELEMENTARY SCHOOL</t>
  </si>
  <si>
    <t>SAN JOSE NATIONAL HIGH SCHOOL - MALILIPOT ALBAY</t>
  </si>
  <si>
    <t>BARANGAY BICAL LALLO CAGAYAN</t>
  </si>
  <si>
    <t xml:space="preserve">PHILIPPINE SCIENCE HIGH SCHOOL - ZAMBOANGA PENINSULA REGION </t>
  </si>
  <si>
    <t>DEPARTMENT OF PUBLIC WORKS AND HIGHWAYS - UPPER KALINGA DEO</t>
  </si>
  <si>
    <t>DEPARTMENT OF EDUCATION - DIVISION OF TAGUM CITY</t>
  </si>
  <si>
    <t>MUNICIPALITY OF BANAYOYO, ILOCOS SUR</t>
  </si>
  <si>
    <t>PHILIPPINE STATISTICS AUTHORITY RSSO-III</t>
  </si>
  <si>
    <t>NATIONAL IRRIGATION ADMINISTRATION - IMO AGUSAN DEL SUR</t>
  </si>
  <si>
    <t>DEPARTMENT OF AGRICULTURE - MAIN</t>
  </si>
  <si>
    <t>BARANGAY SIPULO - BACNOTAN LA UNION</t>
  </si>
  <si>
    <t>NATIONAL IRRIGATION ADMINISTRATION - LEYTE IMO</t>
  </si>
  <si>
    <t>PHILIPPINE STATISTICS AUTHORITY - REGION VII</t>
  </si>
  <si>
    <t>DEPARTMENT OF PUBLIC WORKS AND HIGHWAYS - CEBU 5TH DEO</t>
  </si>
  <si>
    <t>POLYTECHNIC UNIVERSITY OF THE PHILIPPINES</t>
  </si>
  <si>
    <t>OFFICE OF CIVIL DEFENSE - CORDILLERA ADMINISTRATIVE REGION</t>
  </si>
  <si>
    <t>MUNICIPALITY OF LANTAPAN, BUKIDNON</t>
  </si>
  <si>
    <t>PHILIPPINE RICE RESEARCH INSTITUTE - LOS BAÑOS BRANCH</t>
  </si>
  <si>
    <t>BARANGAY SAN JUAN, MATALOM, LEYTE</t>
  </si>
  <si>
    <t>BARANGAY TINANGNAN, TUBIGON, BOHOL</t>
  </si>
  <si>
    <t>BARANGAY CAGORAN LALLO CAGAYAN</t>
  </si>
  <si>
    <t>MUNICIPALITY OF STA. ANA, PAMPANGA</t>
  </si>
  <si>
    <t>DEPARTMENT OF PUBLIC WORKS AND HIGHWAYS - LEYTE 1ST ED</t>
  </si>
  <si>
    <t>BARANGAY MATABAO, TUBIGON, BOHOL</t>
  </si>
  <si>
    <t>BASA AIR BASE HIGH SCHOOL</t>
  </si>
  <si>
    <t>DEPARTMENT OF PUBLIC WORKS AND HIGHWAYS - COTABATO SUB-DEO</t>
  </si>
  <si>
    <t>CUGMAN ELEMENTARY SCHOOL</t>
  </si>
  <si>
    <t>SCHOOLS DIVISION OFFICE OF IFUGAO</t>
  </si>
  <si>
    <t>NATIONAL TRANSMISSION CORPORATION(TRANSCO)</t>
  </si>
  <si>
    <t>BARANGAY HUSAYAN, KADINGILAN, BUKIDNON</t>
  </si>
  <si>
    <t>SANTIAGO WATER DISTRICT</t>
  </si>
  <si>
    <t>DEPARTMENT OF SOCIAL WELFARE AND DEVELOPMENT - MAIN</t>
  </si>
  <si>
    <t>BARANGAY PASONG PUTIK PROPER, QUEZON CITY</t>
  </si>
  <si>
    <t>CEBU NORMAL UNIVERSITY</t>
  </si>
  <si>
    <t>PROVINCE OF PALAWAN</t>
  </si>
  <si>
    <t>SAN ISIDRO INTEGRATED SCHOOL - SAN MARIANO</t>
  </si>
  <si>
    <t>NATIONAL COMMISSION FOR CULTURE AND THE ARTS</t>
  </si>
  <si>
    <t>BARANGAY SAN ANDRES, KADINGILAN, BUKIDNON</t>
  </si>
  <si>
    <t>BARANGAY LANGGAN, GATTARAN, CAGAYAN</t>
  </si>
  <si>
    <t>BAGONG NAYON II NATIONAL HIGH SCHOOL</t>
  </si>
  <si>
    <t>BARANGAY 9, LUCENA CITY</t>
  </si>
  <si>
    <t>PHILIPPINE COMMISSION ON WOMEN</t>
  </si>
  <si>
    <t>BARANGAY SILI, NAGUILIAN, LA UNION</t>
  </si>
  <si>
    <t>TESDA - APARRI POLYTECHNIC INSTITUTE</t>
  </si>
  <si>
    <t>BAYBAYIN NATIONAL HIGH SCHOOL</t>
  </si>
  <si>
    <t>MACARIO B. ASISTIO SR. HIGH SCHOOL</t>
  </si>
  <si>
    <t>PROVINCE OF LEYTE</t>
  </si>
  <si>
    <t>BUREAU OF JAIL MANAGEMENT AND PENOLOGY - REGION IX</t>
  </si>
  <si>
    <t>PUNTA NATIONAL HIGH SCHOOL</t>
  </si>
  <si>
    <t>BENIGNO S. AQUINO NATIONAL HIGH SCHOOL</t>
  </si>
  <si>
    <t>BARANGAY GUIWANON, TUBIGON, BOHOL</t>
  </si>
  <si>
    <t>MUNICIPALITY OF OLUTANGA, ZAMBOANGA SIBUGAY</t>
  </si>
  <si>
    <t>CITY OF COTABATO</t>
  </si>
  <si>
    <t>MUNICIPALITY OF ITOGON, BENGUET</t>
  </si>
  <si>
    <t>MUNICIPALITY OF DUMARAN, PALAWAN</t>
  </si>
  <si>
    <t>110TH CONTRACTING OFFICE, AFP PROCUREMENT SERVICE</t>
  </si>
  <si>
    <t>MUNICIPALITY OF ALILEM, ILOCOS SUR</t>
  </si>
  <si>
    <t>DEPARTMENT OF PUBLIC WORKS AND HIGHWAYS - METRO MANILA 2ND D</t>
  </si>
  <si>
    <t>AUTHORITY OF THE FREEPORT AREA OF BATAAN</t>
  </si>
  <si>
    <t>NATIONAL IRRIGATION ADMINISTRATION - APAYAO</t>
  </si>
  <si>
    <t>MUNICIPALITY OF TAGKAWAYAN, QUEZON</t>
  </si>
  <si>
    <t>PAMUKID NATIONAL HIGH SCHOOL</t>
  </si>
  <si>
    <t>CITY OF BISLIG, SURIGAO DEL SUR</t>
  </si>
  <si>
    <t>MUNICIPALITY OF TERESA, RIZAL</t>
  </si>
  <si>
    <t>MAULAWE ELEMENTARY SCHOOL - KALILANGAN BUKIDNON</t>
  </si>
  <si>
    <t>CITY OF ILIGAN, LANAO DEL NORTE</t>
  </si>
  <si>
    <t>DEPARTMENT OF PUBLIC WORKS AND HIGHWAYS - SURIGAO DEL SUR 1S</t>
  </si>
  <si>
    <t>MUNICIPALITY OF VILLAREAL, SAMAR</t>
  </si>
  <si>
    <t>MUNICIPALITY OF ATIMONAN, QUEZON</t>
  </si>
  <si>
    <t>MUNICIPALITY OF MATALOM, LEYTE</t>
  </si>
  <si>
    <t>MINDORO STATE COLLEGE OF AGRICULTURE AND TECHNOLOGY</t>
  </si>
  <si>
    <t>MUNICIPALITY OF LOON, BOHOL</t>
  </si>
  <si>
    <t>DEPARTMENT OF ENVIRONMENT AND NATURAL RESOURCES - NCR</t>
  </si>
  <si>
    <t>DEPARTMENT OF EDUCATION - BOGO CITY, CEBU</t>
  </si>
  <si>
    <t>MUNICIPALITY OF BULA, CAMARINES SUR</t>
  </si>
  <si>
    <t>PAG-IBIG FUND - REGION II</t>
  </si>
  <si>
    <t>MUNICIPALITY OF BALINGASAG, MISAMIS ORIENTAL</t>
  </si>
  <si>
    <t>BARANGAY POBLACION, KAPATAGAN, LANAO DEL NORTE</t>
  </si>
  <si>
    <t>CITY OF GENERAL SANTOS , SOUTH COTABATO</t>
  </si>
  <si>
    <t>ILOCOS NORTE COLLEGE OF ARTS AND TRADES</t>
  </si>
  <si>
    <t>202ND CONTRACTING OFFICE, AFP PROCUREMENT SERVICE</t>
  </si>
  <si>
    <t>BARANGAY HITAWOS, SOUTHERN LEYTE</t>
  </si>
  <si>
    <t>BARANGAY ALTURA MATANDA, TANAUAN CITY, BATANGAS</t>
  </si>
  <si>
    <t>CENTRAL BICOL STATE UNIVERSITY OF AGRICULTURE (CBSUA)</t>
  </si>
  <si>
    <t>MUNICIPALITY OF TIWI, ALBAY</t>
  </si>
  <si>
    <t>MUNICIPALITY OF DAGAMI, LEYTE</t>
  </si>
  <si>
    <t>MUNICIPALITY OF SAN AGUSTIN , SURIGAO DEL SUR</t>
  </si>
  <si>
    <t>BARANGAY STO. NIÑO 1ST, SAN JOSE CITY, NUEVA ECIJA</t>
  </si>
  <si>
    <t>CORON SCHOOL OF FISHERIES</t>
  </si>
  <si>
    <t>BARANGAY SAN ANTONIO - PASACAO CAMARINES SUR</t>
  </si>
  <si>
    <t>MUNICIPALITY OF JAEN, NUEVA ECIJA</t>
  </si>
  <si>
    <t>DEPARTMENT OF PUBLIC WORKS AND HIGHWAYS - ZAMBOANGA DEL NORT</t>
  </si>
  <si>
    <t>DEPARTMENT OF PUBLIC WORKS AND HIGHWAYS - ILOCOS SUR 1ST DEO</t>
  </si>
  <si>
    <t>MUNICIPALITY OF TIGBAO, ZAMBOANGA DEL SUR</t>
  </si>
  <si>
    <t>ZAMBOANGA CITY MEDICAL CENTER</t>
  </si>
  <si>
    <t>MUNICIPALITY OF MERCEDES, EASTERN SAMAR</t>
  </si>
  <si>
    <t>DEPARTMENT OF NATIONAL DEFENSE - GOVERNMENT ARSENAL, BATAAN</t>
  </si>
  <si>
    <t>BARANGAY TALA, ORANI, BATAAN</t>
  </si>
  <si>
    <t>CITY OF SAN PEDRO, LAGUNA</t>
  </si>
  <si>
    <t>BARANGAY CABUNGAN - ANDA, PANGASINAN</t>
  </si>
  <si>
    <t>MUNICIPALITY OF TAGUDIN, ILOCOS SUR</t>
  </si>
  <si>
    <t>MUNICIPALITY OF  PANAON, MISAMIS OCCIDENTAL</t>
  </si>
  <si>
    <t>DEPARTMENT OF EDUCATION - SCHOOLS DIVISION OF CITY OF MEYCAU</t>
  </si>
  <si>
    <t>BARANGAY TALOOT, ARGAO,CEBU</t>
  </si>
  <si>
    <t>MUNICIPALITY OF DOLORES, EASTERN SAMAR</t>
  </si>
  <si>
    <t>MUNICIPALITY OF BUENAVISTA, BOHOL</t>
  </si>
  <si>
    <t>MUNICIPALITY OF SAN FERNANDO, CAMARINES SUR</t>
  </si>
  <si>
    <t>MUNICIPALITY OF LLANERA, NUEVA ECIJA</t>
  </si>
  <si>
    <t>BULUA CENTRAL SCHOOL</t>
  </si>
  <si>
    <t>MUNICIPALITY OF HAMTIC, ANTIQUE</t>
  </si>
  <si>
    <t>MUNICIPALITY OF TRINIDAD, BOHOL</t>
  </si>
  <si>
    <t>MUNICIPALITY OF SILANG , CAVITE</t>
  </si>
  <si>
    <t>MUNICIPALITY OF BURGOS, ILOCOS NORTE</t>
  </si>
  <si>
    <t>LAND BANK OF THE PHILIPPINES - REGION IX</t>
  </si>
  <si>
    <t>SAN NICOLAS ELEMENTARY SCHOOL</t>
  </si>
  <si>
    <t>TECHNICAL EDUCATION &amp; SKILLS DEVELOPMENT AUTHORITY - CARAGA</t>
  </si>
  <si>
    <t>MUNICIPALITY OF BANTAYAN, CEBU</t>
  </si>
  <si>
    <t>DEPARTMENT OF PUBLIC WORKS AND HIGHWAYS - BULACAN 1ST DEO</t>
  </si>
  <si>
    <t>QUIRINO STATE UNIVERSITY</t>
  </si>
  <si>
    <t>NATIONAL IRRIGATION ADMINISTRATION - QIMO</t>
  </si>
  <si>
    <t>DEPARTMENT OF EDUCATION - DIVISION OF PANGASINAN II</t>
  </si>
  <si>
    <t>BARANGAY TUMBOD, TAYTAY, PALAWAN</t>
  </si>
  <si>
    <t>PROVINCE OF SIQUIJOR</t>
  </si>
  <si>
    <t>MUNICIPALITY OF BAYOG, ZAMBOANGA DEL SUR</t>
  </si>
  <si>
    <t>MUNICIPALITY OF SAN JOSE, NORTHERN SAMAR</t>
  </si>
  <si>
    <t>KALINGA STATE UNIVERSITY</t>
  </si>
  <si>
    <t>SAGAD HIGH SCHOOL</t>
  </si>
  <si>
    <t>NORTHERN ILOILO POLYTECHNIC STATE COLLEGE</t>
  </si>
  <si>
    <t>DEPARTMENT OF EDUCATION - DIVISION OF DAVAO DEL NORTE</t>
  </si>
  <si>
    <t>DEPARTMENT OF EDUCATION - DIVISION OF SAGAY CITY</t>
  </si>
  <si>
    <t>MUNICIPALITY OF SAN FRANCISCO, QUEZON</t>
  </si>
  <si>
    <t>AGRICULTURAL TRAINING INSTITUTE- REGIONAL TRAINING CENTER 02</t>
  </si>
  <si>
    <t>WENCESLAO TRINIDAD MEMORIAL NATIONAL HIGH SCHOOL</t>
  </si>
  <si>
    <t>PRESIDENTIAL MANAGEMENT STAFF</t>
  </si>
  <si>
    <t>JOSE B. LINGAD MEMORIAL GENERAL HOSPITAL</t>
  </si>
  <si>
    <t>109TH CONTRACTING OFFICE, AFP PROCUREMENT SERVICE</t>
  </si>
  <si>
    <t>BARANGAY DALUPAON,PASACAO,CAMARINES SUR</t>
  </si>
  <si>
    <t>CITY  OF HIMAMAYLAN, NEGROS OCCIDENTAL</t>
  </si>
  <si>
    <t>CARLOS F. GONZALES HIGH SCHOOL</t>
  </si>
  <si>
    <t>407TH CONTRACTING OFFICE, AFP PROCUREMENT SERVICE</t>
  </si>
  <si>
    <t>BARANGAY GUADALUPE LIBACAO AKLAN</t>
  </si>
  <si>
    <t>NATIONAL IRRIGATION ADMINISTRATION - LARISIP</t>
  </si>
  <si>
    <t>TABLON ELEMENTARY SCHOOL</t>
  </si>
  <si>
    <t>DEPARTMENT OF AGRICULTURE - REGION X</t>
  </si>
  <si>
    <t>CARMONA WATER DISTRICT</t>
  </si>
  <si>
    <t>BARANGAY COLAWIN, ARGAO, CEBU</t>
  </si>
  <si>
    <t>MUNICIPALITY OF DINALUPIHAN, BATAAN</t>
  </si>
  <si>
    <t>CADUHA-AN NATIONAL HIGH SCHOOL - TAGBANON EXTENSION HIGH SCH</t>
  </si>
  <si>
    <t>MUNICIPALITY OF TALAINGOD, DAVAO DEL NORTE</t>
  </si>
  <si>
    <t>MUNICIPALITY OF SOLANO, NUEVA VIZCAYA</t>
  </si>
  <si>
    <t>PHILIPPINE NATIONAL POLICE - REGION VII</t>
  </si>
  <si>
    <t>TECHNOLOGICAL UNIVERSITY OF THE PHILIPPINES VISAYAS</t>
  </si>
  <si>
    <t>MUNICIPALITY OF TABANGO, LEYTE</t>
  </si>
  <si>
    <t>MUNICIPALITY OF BALANGKAYAN, EASTERN SAMAR</t>
  </si>
  <si>
    <t>DEPARTMENT OF AGRARIAN REFORM - SORSOGON PROVINCIAL OFFICE</t>
  </si>
  <si>
    <t>WEST VISAYAS STATE UNIVERSITY</t>
  </si>
  <si>
    <t>NATIONAL LIBRARY OF THE PHILIPPINES</t>
  </si>
  <si>
    <t>DEPARTMENT OF PUBLIC WORKS AND HIGHWAYS - ILOILO 3RD DEO</t>
  </si>
  <si>
    <t>113RD CO AFP PROCUREMENT SERVICE</t>
  </si>
  <si>
    <t>DEPARTMENT OF PUBLIC WORKS AND HIGHWAYS - METRO MANILA 1ST E</t>
  </si>
  <si>
    <t>MUNICIPALITY OF LINGIG, SURIGAO DEL SUR</t>
  </si>
  <si>
    <t>MUNICIPALITY OF TUBOD, SURIGAO DEL NORTE</t>
  </si>
  <si>
    <t>BARANGAY NANGA, GUIMBAL, ILOILO</t>
  </si>
  <si>
    <t>NATIONAL IRRIGATION ADMINISTRATION - AGUSAN DEL NORTE IMO</t>
  </si>
  <si>
    <t>DEPARTMENT OF TOURISM</t>
  </si>
  <si>
    <t>BARANGAY JAMPANG, ARGAO, CEBU</t>
  </si>
  <si>
    <t>NATIONAL COUNCIL ON DISABILITY AFFAIRS</t>
  </si>
  <si>
    <t>BARANGAY SINGCANG-AIRPORT NATIONAL HIGH SCHOOL</t>
  </si>
  <si>
    <t>BARANGAY TIGUIB, ARGAO, CEBU</t>
  </si>
  <si>
    <t>MUNICIPALITY OF TUBLAY, BENGUET</t>
  </si>
  <si>
    <t>MUNICIPALITY OF AGUINALDO, IFUGAO</t>
  </si>
  <si>
    <t>MUNICIPALITY OF BACOLOR, PAMPANGA</t>
  </si>
  <si>
    <t>PHILIPPINE CARABAO CENTER</t>
  </si>
  <si>
    <t>PUERTO NATIONAL HIGH SCHOOL</t>
  </si>
  <si>
    <t>PHILIPPINE PORTS AUTHORITY - HEAD OFFICE</t>
  </si>
  <si>
    <t>BARANGAY MAGUINDA BUTUAN CITY AGUSAN DEL NORTE</t>
  </si>
  <si>
    <t>DEPARTMENT OF EDUCATION - DIVISION OF CITY SCHOOLS, PARAÑAQU</t>
  </si>
  <si>
    <t>MUNICIPALITY OF SABLAYAN, OCCIDENTAL MINDORO</t>
  </si>
  <si>
    <t>BARANGAY LITTLE BAAGUIO - IMELDA ZAMBOANGA SIBUGAY</t>
  </si>
  <si>
    <t>BARANGAY OLD GUINLO, TAYTAY, PALAWAN</t>
  </si>
  <si>
    <t>MUNICIPALITY OF LILIW, LAGUNA</t>
  </si>
  <si>
    <t>MUNICIPALITY OF ANAHAWAN, SOUTHERN LEYTE</t>
  </si>
  <si>
    <t>MUNICIPALITY OF PALAUIG, ZAMBALES</t>
  </si>
  <si>
    <t>BARANGAY BUCAL 3A - MARAGONDON CAVITE</t>
  </si>
  <si>
    <t>MUNICIPALITY OF SAN LORENZO RUIZ, CAMARINES NORTE</t>
  </si>
  <si>
    <t>NATIONAL CONCILIATION AND MEDIATION BOARD  -  CAR</t>
  </si>
  <si>
    <t>MUNICIPALITY OF ALABEL, SARANGANI PROVINCE</t>
  </si>
  <si>
    <t>BARANGAY SAPAAN, ATIMONAN,QUEZON</t>
  </si>
  <si>
    <t>BARANGAY BOLBOK - BATANGAS CITY, BATANGAS</t>
  </si>
  <si>
    <t>SACRED HEART VILLAGE ELEMENTARY SCHOOL</t>
  </si>
  <si>
    <t>DEPARTMENT OF TRADE AND INDUSTRY - REGION I</t>
  </si>
  <si>
    <t>PHILIPPINE PORTS AUTHORITY - REGION VIII</t>
  </si>
  <si>
    <t>CIVIL AVIATION AUTHORITY OF THE PHILIPPINES - AREA X - LAGUI</t>
  </si>
  <si>
    <t>MUNICIPALITY OF STA. JOSEFA, AGUSAN DEL SUR</t>
  </si>
  <si>
    <t>DEPARTMENT OF TRADE &amp; INDUSTRY - KALINGA</t>
  </si>
  <si>
    <t>MUNICIPALITY OF CAPAS, TARLAC</t>
  </si>
  <si>
    <t>AGRICULTURAL TRAINING INSTITUTE - TRECE MARTIRES</t>
  </si>
  <si>
    <t>AIRPORT VILLAGE ELEMENTARY SCHOOL - MALAYBALAY CITY BUKIDNON</t>
  </si>
  <si>
    <t>BARANGAY COUNCIL OF KATIPUNAN NABUNTURAN COMPOSTELLA VALLEY</t>
  </si>
  <si>
    <t>LBP RESOURCES AND DEVELOPMENT CORPORATION</t>
  </si>
  <si>
    <t>MUNICIPALITY OF SANTA BARBARA, PANGASINAN</t>
  </si>
  <si>
    <t>DEPARTMENT OF BUDGET AND MANAGEMENT - NCR</t>
  </si>
  <si>
    <t>BARANGAY LUN PADIDU, MALAPATAN, SARANGANI</t>
  </si>
  <si>
    <t>COMMISSION ON POPULATION AND DEVELOPMENT</t>
  </si>
  <si>
    <t>DEPARTMENT OF HEALTH - CENTER FOR HEALTH DEVELOPMENT BICOL</t>
  </si>
  <si>
    <t>DA - PHILIPPINE RURAL DEVELOPMENT PROJECT - CARAGA</t>
  </si>
  <si>
    <t>BARANGAY OLO CAFABROSAN, MANGATAREM, PANGASINAN</t>
  </si>
  <si>
    <t>MUNICIPALITY OF SISON, PANGASINAN</t>
  </si>
  <si>
    <t>C.P STA. TERESA ELEMENTARY SCHOOL</t>
  </si>
  <si>
    <t>CITY OF SAN JOSE DEL MONTE, BULACAN</t>
  </si>
  <si>
    <t>DEP-ED LUPAO CENTRAL SCHOOL</t>
  </si>
  <si>
    <t>MUNICIPALITY OF PIÑAN, ZAMBOANGA DEL NORTE</t>
  </si>
  <si>
    <t>MUNICIPALITY OF VALENCIA, BOHOL</t>
  </si>
  <si>
    <t>NATIONAL IRRIGATION ADMINISTRATION - UPRIIS, DIVISION 2</t>
  </si>
  <si>
    <t>SANTISIMO ROSARIO INTEGRATED HIGH SCHOOL</t>
  </si>
  <si>
    <t>BARANGAY CAMPA - HINATUAN SURIGAO DEL SUR</t>
  </si>
  <si>
    <t>BARANGAY CALUMPANG EAST- SAN LUIS BATANGAS</t>
  </si>
  <si>
    <t>MUNICIPALITY OF CONCEPCION, TARLAC</t>
  </si>
  <si>
    <t>CIVIL AVIATION AUTHORITY OF THE PHILIPPINES</t>
  </si>
  <si>
    <t>MUNICIPALITY OF JAVIER, LEYTE</t>
  </si>
  <si>
    <t>MUNICIPALITY OF MATNOG , SORSOGON</t>
  </si>
  <si>
    <t>MUNICIPALITY OF PALAPAG, NORTHERN SAMAR</t>
  </si>
  <si>
    <t>PHILIPPINE GUARANTEE CORPORATION</t>
  </si>
  <si>
    <t>DEPARTMENT OF EDUCATION - DIVISION OF BAGO CITY</t>
  </si>
  <si>
    <t>BARANGAY AMBIONG, LA TRINIDAD, BENGUET</t>
  </si>
  <si>
    <t>BARANGAY BUENAVISTA, CARCAR, CEBU</t>
  </si>
  <si>
    <t>PACITA ELEMENTARY SCHOOL, LA CASTELLANA I, NEGROS OCCIDENTAL</t>
  </si>
  <si>
    <t>LAGUNA STATE POLYTECHNIC UNIVERSITY - SINILOAN CAMPUS</t>
  </si>
  <si>
    <t>CITY OF DAPITAN</t>
  </si>
  <si>
    <t>MUNICIPALITY OF CATARMAN, CAMIGUIN</t>
  </si>
  <si>
    <t>MUNICIPALITY OF CARAGA, DAVAO ORIENTAL</t>
  </si>
  <si>
    <t>BARANGAY BANTAY, MANGATAREM, PANGASINAN</t>
  </si>
  <si>
    <t>MUNICIPALITY OF LIMAY, BATAAN</t>
  </si>
  <si>
    <t>MUNICIPALITY OF GAMU, ISABELA</t>
  </si>
  <si>
    <t>BARANGAY DAWAN, MATI CITY</t>
  </si>
  <si>
    <t>CARAGA REGIONAL HOSPITAL</t>
  </si>
  <si>
    <t>DEPARTMENT OF PUBLIC WORKS AND HIGHWAYS - DAVAO ORIENTAL 2ND</t>
  </si>
  <si>
    <t>DEPARTMENT OF PUBLIC WORKS AND HIGHWAYS - REGION II</t>
  </si>
  <si>
    <t>MUNICIPALITY OF SAN AGUSTIN, ROMBLON</t>
  </si>
  <si>
    <t>MUNICIPALITY OF SAN ISIDRO, DAVAO ORIENTAL</t>
  </si>
  <si>
    <t>UNIVERSITY OF SCIENCE AND TECHNOLOGY OF SOUTHERN PHILIPPINES</t>
  </si>
  <si>
    <t>MUNICIPALITY OF JIMENEZ, MISAMIS OCCIDENTAL</t>
  </si>
  <si>
    <t>ANGAT WATER DISTRICT</t>
  </si>
  <si>
    <t>DEPARTMENT OF ENVIRONMENT AND NATURAL RES. - PENRO, LEYTE</t>
  </si>
  <si>
    <t>MUNICIPALITY OF TAAL, BATANGAS</t>
  </si>
  <si>
    <t>MANDALAGAN NATIONAL HIGH SCHOOL</t>
  </si>
  <si>
    <t>MUNICIPALITY OF HINATUAN , SURIGAO DEL SUR</t>
  </si>
  <si>
    <t>DEPARTMENT OF LABOR AND EMPLOYMENT - REGION III</t>
  </si>
  <si>
    <t>MUNICIPALIY OF PANITAN, CAPIZ</t>
  </si>
  <si>
    <t>MUNICIPALITY OF ROXAS, ORIENTAL MINDORO</t>
  </si>
  <si>
    <t>MUNICIPALITY OF SANTA FE, CEBU</t>
  </si>
  <si>
    <t>MUNICIPALITY OF SAN GUILLERMO, ISABELA</t>
  </si>
  <si>
    <t>DEPARTMENT OF EDUCATION - SCHOOLS DIVISION OF BIÑAN CITY</t>
  </si>
  <si>
    <t>SAN GUILLERMO NATIONAL HIGH SCHOOL - MORONG RIZAL</t>
  </si>
  <si>
    <t>NATIONAL IRRIGATION ADMINISTRATION - LAMISCA IMO</t>
  </si>
  <si>
    <t>PHILIPPINE PORTS AUTHORITY - PMO  NASIPIT</t>
  </si>
  <si>
    <t>DEPARTMENT OF  EDUCATION - DIVISION OF SAN CARLOS CITY</t>
  </si>
  <si>
    <t>BARANGAY 501 ZONE 49 DISTRICT IV, SAMPALOC, MANILA</t>
  </si>
  <si>
    <t>MUNICIPALITY OF LUBAO, PAMPANGA</t>
  </si>
  <si>
    <t>PROVINCE OF CAMIGUIN</t>
  </si>
  <si>
    <t>MUNICIPALITY OF TUDELA, CEBU</t>
  </si>
  <si>
    <t>DEPARTMENT OF PUBLIC WORKS AND HIGHWAYS - REGION VII</t>
  </si>
  <si>
    <t>NATIONAL IRRIGATION ADMINISTRATION -CAUAYAN CITY ISABELA</t>
  </si>
  <si>
    <t>PRODUCT DEVELOPMENT AND DESIGN CENTER OF THE PHILIPPINES</t>
  </si>
  <si>
    <t>PHILIPPINE FIBER INDUSTRY DEVELOPMENT AUTHORITY, RO7</t>
  </si>
  <si>
    <t>BARANGAY CONCEPCION PEQUEÑA, NAGA CITY</t>
  </si>
  <si>
    <t>KISOLON CENTRAL ELEMENTARY SCHOOL</t>
  </si>
  <si>
    <t>CITY OF OROQUIETA, MISAMIS OCCIDENTAL</t>
  </si>
  <si>
    <t xml:space="preserve">PRUDENCIA D. FULE MEMORIAL NATIONAL HIGH SCHOOL - SAN PABLO </t>
  </si>
  <si>
    <t>PHILIPPINE PORTS AUTHORITY - PMO MINDORO</t>
  </si>
  <si>
    <t>GUIUAN NATIONAL HIGH SCHOOL</t>
  </si>
  <si>
    <t>PROVINCE OF ABRA</t>
  </si>
  <si>
    <t>PINES CITY NATIONAL HIGH SCHOOL</t>
  </si>
  <si>
    <t>DEPARTMENT OF AGRICULTURE - REGION VIII</t>
  </si>
  <si>
    <t>MUNICIPALITY OF SANTA FE, ROMBLON</t>
  </si>
  <si>
    <t>OSPITAL NG PALAWAN</t>
  </si>
  <si>
    <t>BARANGAY LOPOC, LABASON, ZAMBOANGA DEL NORTE</t>
  </si>
  <si>
    <t>UNIVERSITY OF THE PHILIPPINES - MANILA PGH</t>
  </si>
  <si>
    <t>UNIVERSITY OF THE PHILIPPINES - MANILA</t>
  </si>
  <si>
    <t>DEPARTMENT OF HEALTH - REGION X</t>
  </si>
  <si>
    <t>CITY OF BOGO, CEBU</t>
  </si>
  <si>
    <t>BASES CONVERSION AND DEVELOPMENT AUTHORITY - MAIN</t>
  </si>
  <si>
    <t>MUNICIPALITY OF SAN JUAN, SOUTHERN LEYTE</t>
  </si>
  <si>
    <t>BULACAN STATE UNIVERSITY</t>
  </si>
  <si>
    <t>BARANGAY POBLACION D, TAYUG, PANGASINAN</t>
  </si>
  <si>
    <t>DEPARTMENT OF EDUCATION - CAR</t>
  </si>
  <si>
    <t>STO. NINO ELEMENTARY SCHOOL</t>
  </si>
  <si>
    <t>LAS PIÑAS NATIONAL HIGH SCHOOL</t>
  </si>
  <si>
    <t>BARANGAY BALANTANG, JARO, ILOILO CITY</t>
  </si>
  <si>
    <t>BARANGAY BUNG-AW, HILONGOS, LEYTE</t>
  </si>
  <si>
    <t>DEPARTMENT OF HEALTH - REGION XII</t>
  </si>
  <si>
    <t>CITY OF PAGADIAN, ZAMBOANGA DEL SUR</t>
  </si>
  <si>
    <t>NATURAL RESOURCES DEVELOPMENT CORPORATION</t>
  </si>
  <si>
    <t>DEPARTMENT OF EDUCATION - DIVISION OF ILOILO</t>
  </si>
  <si>
    <t>NATIONAL POLICE COMMISSION</t>
  </si>
  <si>
    <t>CITY OF BAYUGAN, AGUSAN DEL SUR</t>
  </si>
  <si>
    <t>MUNICIPALITY OF JARO, LEYTE</t>
  </si>
  <si>
    <t>BARANGAY LIGA IBAAN BATANGAS</t>
  </si>
  <si>
    <t>MUNICIPALITY OF PILI, CAMARINES SUR</t>
  </si>
  <si>
    <t>DR. JOSE RIZAL MEMORIAL HOSPITAL</t>
  </si>
  <si>
    <t>TANDAG CITY WATER DISTRICT</t>
  </si>
  <si>
    <t>NATIONAL POWER CORPORATION - SPUG PALAWAN</t>
  </si>
  <si>
    <t>AMANG RODRIGUEZ MEMORIAL MEDICAL CENTER</t>
  </si>
  <si>
    <t>BARANGAY PACPACO, SAN MANUEL, TARLAC</t>
  </si>
  <si>
    <t>DEPARTMENT OF EDUCATION - DIVISION OF CADIZ CITY</t>
  </si>
  <si>
    <t>MUNICIPALITY OF PANIQUI, TARLAC</t>
  </si>
  <si>
    <t>ENVIRONMENTAL MANAGEMENT BUREAU  - REG IV - A, CALABARZON</t>
  </si>
  <si>
    <t>MUNICIPALITY OF SAPANG DALAGA, MISAMIS OCCIDENTAL</t>
  </si>
  <si>
    <t>TESDA REGIONAL TRAINING CENTER - DAVAO</t>
  </si>
  <si>
    <t>MUNICIPALITY OF DUMARAO, CAPIZ</t>
  </si>
  <si>
    <t>MUNICIPALITY OF SABTANG, BATANES</t>
  </si>
  <si>
    <t>BARANGAY CONALUM, ARGAO, CEBU</t>
  </si>
  <si>
    <t>DEPARTMENT OF EDUCATION - DIVISION OF SAN JOSE CITY</t>
  </si>
  <si>
    <t>BARANGAY LAMAO, LIMAY, BATAAN</t>
  </si>
  <si>
    <t>DEPARTMENT OF EDUCATION - DIVISION OF BOHOL</t>
  </si>
  <si>
    <t>MUNTINLUPA ELEMENTARY SCHOOL</t>
  </si>
  <si>
    <t>MUNICIPALITY OF LAUREL, BATANGAS</t>
  </si>
  <si>
    <t>MUNICIPAL GOVERNMENT OF DELFIN ALBANO, ISABELA</t>
  </si>
  <si>
    <t>MINES AND GEO-SCIENCES BUREAU</t>
  </si>
  <si>
    <t>SOUTHERN PHILIPPINES MEDICAL CENTER</t>
  </si>
  <si>
    <t>KATIPUNAN NATIONAL HIGH SCHOOL</t>
  </si>
  <si>
    <t xml:space="preserve">DEPARTMENT OF EDUCATION MOUNTAIN PROVINCE - BONTOC MOUNTAIN </t>
  </si>
  <si>
    <t>MUNICIPALITY OF SEVILLA, BOHOL</t>
  </si>
  <si>
    <t>MUNICIPALITY OF MANGATAREM, PANGASINAN</t>
  </si>
  <si>
    <t>MUNICIPALITY OF LALA,  LANAO DEL NORTE</t>
  </si>
  <si>
    <t>MUNICIPALITY OF STO. DOMINGO, ALBAY</t>
  </si>
  <si>
    <t>MUNICIPALITY OF SAN GABRIEL, LA UNION</t>
  </si>
  <si>
    <t>PROVINCE OF LANAO DEL NORTE</t>
  </si>
  <si>
    <t>BARANGAY TULIC - ARGAO, CEBU</t>
  </si>
  <si>
    <t>DEPARTMENT OF ENVIRONMENT AND NATURAL RES. - PENRO AURORA</t>
  </si>
  <si>
    <t>PROVINCE OF PAMPANGA</t>
  </si>
  <si>
    <t>KAPATAGAN WATER DISTRICT</t>
  </si>
  <si>
    <t>BARANGAY MAGDALENA, ANINI-Y, ANTIQUE</t>
  </si>
  <si>
    <t>FOREST PRODUCT RESEARCH AND DEVELOPMENT INSTITUTE ( FPRDI )</t>
  </si>
  <si>
    <t>CITY OF TAGBILARAN, BOHOL</t>
  </si>
  <si>
    <t>402ND CONTRACTING OFFICE, AFP PROCUREMENT SERVICE</t>
  </si>
  <si>
    <t>DR. PAULINO J. GARCIA MEMORIAL RESEARCH AND MEDICAL CENTER</t>
  </si>
  <si>
    <t>MUNICIPALITY OF SUGPON, ILOCOS SUR</t>
  </si>
  <si>
    <t>DEPARTMENT OF ENVIRONMENT AND NATURAL RES. - PENRO MISAMIS O</t>
  </si>
  <si>
    <t>LA TRINIDAD WATER DISTRICT - LA TRINIDAD BENGUET</t>
  </si>
  <si>
    <t>BARANGAY BUTUAN, ANINI-Y, ANTIQUE</t>
  </si>
  <si>
    <t>MUNICIPALITY OF CARMEN, DAVAO DEL NORTE</t>
  </si>
  <si>
    <t>BARANGAY NATO, ANINI-Y, ANTIQUE</t>
  </si>
  <si>
    <t>DEPARTMENT OF TOURISM - REGION III</t>
  </si>
  <si>
    <t>INOLINGAN ELEMENTARY SCHOOL</t>
  </si>
  <si>
    <t>MUNICIPALITY OF DULAG, LEYTE</t>
  </si>
  <si>
    <t>PHILIPPINE CROP INSURANCE CORPORATION</t>
  </si>
  <si>
    <t>MOISES PADILLA ELEMENTARY SCHOOL</t>
  </si>
  <si>
    <t>LUIS HORA MEMORIAL REGIONAL HOSPITAL</t>
  </si>
  <si>
    <t>DEPARTMENT OF PUBLIC WORKS AND HIGHWAYS - NEGROS ORIENTAL 3R</t>
  </si>
  <si>
    <t>CAMARINES SUR POLYTECHNIC COLLEGES - NABUA CAMPUS</t>
  </si>
  <si>
    <t>BUREAU OF PLANT INDUSTRY - NCR</t>
  </si>
  <si>
    <t>CALAUAG WATER DISTRICT</t>
  </si>
  <si>
    <t>NATIONAL POWER  CORPORATION - CALAPAN CITY ORIENTAL MINDORO</t>
  </si>
  <si>
    <t>107TH CONTRACTING OFFICE, AFP PROCUREMENT SERVICE</t>
  </si>
  <si>
    <t>DEPARTMENT OF AGRICULTURE - REGION VI</t>
  </si>
  <si>
    <t>MUNICIPALITY OF GOA, CAMARINES SUR</t>
  </si>
  <si>
    <t>CITY OF CABADBARAN, AGUSAN DEL NORTE</t>
  </si>
  <si>
    <t>MARCIANA P. CATOLOS NATIONAL HIGH SCHOOL - TANAY RIZAL</t>
  </si>
  <si>
    <t>DEPARTMENT OF PUBLIC WORKS AND HIGHWAYS - NEGROS ORIENTAL 1S</t>
  </si>
  <si>
    <t>MUNICIPALITY OF TUDELA, MISAMIS OCCIDENTAL</t>
  </si>
  <si>
    <t>CROSSING MAGALLON ELEMENTARY SCHOOL - MOISES PADILLA, NEGROS</t>
  </si>
  <si>
    <t>CITY OF TAGUIG</t>
  </si>
  <si>
    <t>MUNICIPALITY OF TAYSAN, BATANGAS</t>
  </si>
  <si>
    <t>NATIONAL STATISTICS OFFICE - REGION V</t>
  </si>
  <si>
    <t>MONTILLA ELEMENTARY SCHOOL - MOISES PADILLA, NEGROS OCCIDENT</t>
  </si>
  <si>
    <t>BARANGAY MALONES, DALAGUETE, CEBU</t>
  </si>
  <si>
    <t>BARANGAY MACABUG, AROROY, MASBATE</t>
  </si>
  <si>
    <t>SAN CARLOS ELEMENTARY SCHOOL - MARAMAG BUKIDNON</t>
  </si>
  <si>
    <t>CITY OF SAN JOSE, NUEVA ECIJA</t>
  </si>
  <si>
    <t>PHILIPPINE INTERNATIONAL TRADING CORPORATION</t>
  </si>
  <si>
    <t>MUNICIPALITY OF REAL, QUEZON</t>
  </si>
  <si>
    <t>MUNICIPALITY OF BOAC, MARINDUQUE</t>
  </si>
  <si>
    <t>TIPAS NATIONAL HIGH SCHOOL (G7-12) - SAN JUAN BATANGAS</t>
  </si>
  <si>
    <t>DEPARTMENT OF EDUCATION - DIVISION OF KIDAPAWAN CITY</t>
  </si>
  <si>
    <t>CITY OF GAPAN, NUEVA ECIJA</t>
  </si>
  <si>
    <t>BARANGAY MARIPOSA, AROROY, MASBATE</t>
  </si>
  <si>
    <t>MUNICIPALITY OF DALAGUETE, CEBU</t>
  </si>
  <si>
    <t>MUNICIPALITY OF HAGONOY, DAVAO DEL SUR</t>
  </si>
  <si>
    <t>MUNICIPALITY OF JOSE ABAD SANTOS, DAVAO DEL SUR</t>
  </si>
  <si>
    <t>DEPARTMENT OF EDUCATION - DIVISION OF SOUTH COTABATO</t>
  </si>
  <si>
    <t>BARANGAY SAN JUAN, ALEGRIA, SURIGAO DEL NORTE</t>
  </si>
  <si>
    <t>BARANGAY CONCEPCION, AROROY, MASBATE</t>
  </si>
  <si>
    <t>MUNICIPALITY OF BARLIG MOUNTAIN PROVINCE</t>
  </si>
  <si>
    <t>ODIONG ELEMENTARY SCHOOL</t>
  </si>
  <si>
    <t>MUNICIPALITY OF CURRIMAO, ILOCOS NORTE</t>
  </si>
  <si>
    <t>MUNICIPALITY OF LIAN, BATANGAS</t>
  </si>
  <si>
    <t>DEPARTMENT OF EDUCATION - DIVISION OF SAN FERNANDO CITY</t>
  </si>
  <si>
    <t>DEPARTMENT OF TRADE AND INDUSTRY - TAGUM CITY</t>
  </si>
  <si>
    <t>MUNICIPALITY OF VERUELA, AGUSAN DEL SUR</t>
  </si>
  <si>
    <t>MUNICIPALITY OF MALITA, DAVAO OCCIDENTAL</t>
  </si>
  <si>
    <t>MAMBALIO ELEMENTARY SCHOOL</t>
  </si>
  <si>
    <t>DEPARTMENT OF EDUCATION - DIVISION OF LAPU-LAPU CITY</t>
  </si>
  <si>
    <t>BARANGAY TANAGAN, CALATAGAN, BATANGAS</t>
  </si>
  <si>
    <t>DEPARTMENT OF AGRARIAN REFORM - REGION VIII</t>
  </si>
  <si>
    <t>CARLOS HILADO MEMORIAL STATE COLLEGE</t>
  </si>
  <si>
    <t>NATIONAL IRRIGATION ADMINISTRATION - REGION I</t>
  </si>
  <si>
    <t>HOME DEVELOPMENT MUTUAL FUND - IMUS BRANCH</t>
  </si>
  <si>
    <t>CENTER FOR HEALTH DEVELOPMENT - REGION XI</t>
  </si>
  <si>
    <t>DEPARTMENT OF AGRARIAN REFORM - CARAGA</t>
  </si>
  <si>
    <t>DEPARTMENT OF PUBLIC WORKS AND HIGHWAYS - NORTH COTABATO 1ST</t>
  </si>
  <si>
    <t>LAND TRANSPORTATION OFFICE - REGION II</t>
  </si>
  <si>
    <t>PAETE ELEMENTARY SCHOOL</t>
  </si>
  <si>
    <t>DEPARTMENT OF THE INTERIOR AND LOCAL GOVERNMENT - CALAMBA</t>
  </si>
  <si>
    <t>DEPARTMENT OF EDUCATION - SCHOOLS DIVISION OF BORONGAN CITY</t>
  </si>
  <si>
    <t>BUREAU OF INTERNAL REVENUE - INTRAMUROS BRANCH</t>
  </si>
  <si>
    <t>MUNICIPALITY OF SOCORRO, ORIENTAL MINDORO</t>
  </si>
  <si>
    <t>DEPARTMENT OF EDUCATION - DIVISION OF BAIS CITY</t>
  </si>
  <si>
    <t>NATIONAL ECONOMIC AND DEVELOPMENT AUTHORITY - REGION IX</t>
  </si>
  <si>
    <t>DEPARTMENT OF PUBLIC WORKS AND HIGHWAYS - CAVITE 3RD DISTRIC</t>
  </si>
  <si>
    <t>405TH CONTRACTING OFFICE, AFP PROCUREMENT SERVICE</t>
  </si>
  <si>
    <t>MUNICIPALITY OF SAN MIGUEL, ZAMBOANGA DEL SUR</t>
  </si>
  <si>
    <t>PEREZ NATIONAL HIGH SCHOOL - PEREZ QUEZON</t>
  </si>
  <si>
    <t>DEPARTMENT OF TRADE AND INDUSTRY - MISAMIS OCCIDENTAL</t>
  </si>
  <si>
    <t>DEPARTMENT OF ENVIRONMENT AND NATURAL RESOURCES - MAIN</t>
  </si>
  <si>
    <t>DEPARTMENT OF LABOR AND EMPLOYMENT - REGION II</t>
  </si>
  <si>
    <t>MUNICIPALITY OF BANGA</t>
  </si>
  <si>
    <t>RODOLFO A. MEDEL SR. ELEMENTARY SCHOOL-BACOLOD CITY</t>
  </si>
  <si>
    <t>NATIONAL FOOD AUTHORITY - ILOCOS NORTE</t>
  </si>
  <si>
    <t>MUNICIPALITY OF AGUILAR, PANGASINAN</t>
  </si>
  <si>
    <t>BARANGAY SAN TEODORO, MABINI, BATANGAS</t>
  </si>
  <si>
    <t>PANTAY NATIONAL HIGH SCHOOL - TERESA RIZAL</t>
  </si>
  <si>
    <t>DEPARTMENT OF LABOR AND EMPLOYMENT - CARAGA</t>
  </si>
  <si>
    <t>NATIONAL IRRIGATION ADMINISTRATION - IMO LA UNION</t>
  </si>
  <si>
    <t>BARANGAY CONCEPCION, HILONGOS, LEYTE</t>
  </si>
  <si>
    <t>BARANGAY MALAYANTOC, STO. DOMINGO, NUEVA ECIJA</t>
  </si>
  <si>
    <t>PHILIPPINE PORTS AUTHORITY - PMO SURIGAO</t>
  </si>
  <si>
    <t>CAMARINES SUR NATIONAL HIGH SCHOOL</t>
  </si>
  <si>
    <t>DEPARTMENT OF AGRARIAN REFORM - SARANGANI PROVINCE</t>
  </si>
  <si>
    <t>MUNICIPALITY OF PAMPLONA, CAGAYAN</t>
  </si>
  <si>
    <t>ANSELMO A. SANDOVAL MEMORIAL NATIONAL HIGH SCHOOL</t>
  </si>
  <si>
    <t>CITY OF LAPU-LAPU</t>
  </si>
  <si>
    <t>CORAZON L. MONTELIBANO ELEMENTARY SCHOOL - BACOLOD CITY NEGR</t>
  </si>
  <si>
    <t>SUM-AG ELEMENTARY SCHOOL - BACOLOD CITY NEGROS OCCIDENTAL</t>
  </si>
  <si>
    <t>DEPARTMENT OF PUBLIC  WORKS AND HIGHWAYS - APAYAO 2ND DEO</t>
  </si>
  <si>
    <t>BARANGAY FATIMA - VILLABA LEYTE</t>
  </si>
  <si>
    <t>TIGLAWIGAN ELEMENTARY SCHOOL</t>
  </si>
  <si>
    <t>NATIONAL IRRIGATION ADMINISTRATION - UPRIIS, DIVISION 3</t>
  </si>
  <si>
    <t>DEPARTMENT OF PUBLIC WORKS AND HIGHWAYS - CAPIZ 1ST DEO</t>
  </si>
  <si>
    <t>BARANGAY 898 ZONE 100 DISTRICT 6, MANILA</t>
  </si>
  <si>
    <t>DEPARTMENT OF TOURISM - INTRAMUROS ADMINISTRATION</t>
  </si>
  <si>
    <t>BARANGAY 803 ZONE 87 DISTRICT V, MANILA</t>
  </si>
  <si>
    <t>DEPARTMENT OF EDUCATION - DIVISION OF CAGAYAN</t>
  </si>
  <si>
    <t>BARANGAY LOOC - NASUGBU BATANGAS</t>
  </si>
  <si>
    <t>BARANGAY PUTAT - NASUGBU BATANGAS</t>
  </si>
  <si>
    <t>DEPARTMENT OF SOCIAL WELFARE AND DEVELOPMENT - REGION XI</t>
  </si>
  <si>
    <t>DEPARTMENT OF EDUCATION - DIVISION OF ISLAND GARDEN CITY</t>
  </si>
  <si>
    <t>DEPARTMENT OF NATIONAL DEFENSE - PROCUREMENT UNIT</t>
  </si>
  <si>
    <t>BARANGAY 701 ZONE 77, DISTRICT V, MANILA</t>
  </si>
  <si>
    <t>PROVINCE OF NORTHERN SAMAR</t>
  </si>
  <si>
    <t>GUSA REGIONAL SCIENCE HIGH SCHOOL - REGION X</t>
  </si>
  <si>
    <t>PHILIPPINE INSTITUTE OF VOLCANOLOGY AND SEISMOLOGY</t>
  </si>
  <si>
    <t>NATIONAL ECONOMIC AND DEVELOPMENT AUTHORITY - MAIN</t>
  </si>
  <si>
    <t>BARANGAY MALUED, DAGUPAN CITY</t>
  </si>
  <si>
    <t>NATIONAL FOOD AUTHORITY - PALAWAN PROVINCIAL OFFICE</t>
  </si>
  <si>
    <t>KAPITAN EDDIE T. REYES INTEGRATED SCHOOL</t>
  </si>
  <si>
    <t>COMMISSION ON HUMAN RIGHTS</t>
  </si>
  <si>
    <t>CITY OF DASMARIÑAS, CAVITE</t>
  </si>
  <si>
    <t>BARANGAY CABUYO - TORRIJOS, MARINDUQUE</t>
  </si>
  <si>
    <t>MUNICIPALITY OF MALAPATAN, SARANGANI</t>
  </si>
  <si>
    <t>DENR-PENRO,ORIENTAL MINDORO</t>
  </si>
  <si>
    <t>DEPARTMENT OF PUBLIC WORKS AND HIGHWAYS - CAGAYAN 3RD DEO</t>
  </si>
  <si>
    <t>BARANGAY MAYOMBO, DAGUPAN CITY</t>
  </si>
  <si>
    <t>BARANGAY MALTANA - TAMPAKAN SOUTH COTABATO</t>
  </si>
  <si>
    <t>DEPARTMENT OF EDUCATION - DIVISION OF QUIRINO</t>
  </si>
  <si>
    <t>REGIONAL PROSECUTION OFFICE - REGION XII</t>
  </si>
  <si>
    <t>MUNICIPALITY OF ALBURQUERQUE, BOHOL</t>
  </si>
  <si>
    <t>BARANGAY LIBAS, CATBALOGAN, SAMAR</t>
  </si>
  <si>
    <t>MUNICIPALITY OF TUMAUINI, ISABELA</t>
  </si>
  <si>
    <t>DON LUIS CONSING ELEMENTARY SCHOOL</t>
  </si>
  <si>
    <t>DON MANUEL H. GUTIERREZ SR. ELEMENTARY SCHOOL</t>
  </si>
  <si>
    <t>DEPARTMENT OF EDUCATION - DIVISION OF SURIGAO CITY</t>
  </si>
  <si>
    <t>BARANGAY CASANTAMARIAAN, SAN QUINTIN, PANGASINAN</t>
  </si>
  <si>
    <t>BARANGAY TAGBONGABONG - R.T. ROMUALDEZ, AGUSAN DEL NORTE</t>
  </si>
  <si>
    <t>BUGO NATIONAL HIGH SCHOOL</t>
  </si>
  <si>
    <t>SILAY CITY WATER DISTRICT</t>
  </si>
  <si>
    <t>DEPARTMENT OF EDUCATION - DIVISION OF KALINGA</t>
  </si>
  <si>
    <t>BARANGAY PALAKPAK ROSARIO, BATANGAS</t>
  </si>
  <si>
    <t>BUGA HIGH SCHOOL - LIBON ALBAY</t>
  </si>
  <si>
    <t>ZAMBOANGA CITY WATER DISTRICT - ZAMBOANGA CITY ZAMBOANGA DEL</t>
  </si>
  <si>
    <t>MUNICIPALITY OF MOLAVE, ZAMBOANGA DEL SUR</t>
  </si>
  <si>
    <t>BARANGAY LA FILIPINA, TAGUM CITY, DAVAO DEL NORTE</t>
  </si>
  <si>
    <t>MUNICIPALITY OF PRES. MANUEL A. ROXAS, ZAMBOANGA DEL NORTE</t>
  </si>
  <si>
    <t>BANGSMORO TRANSITION AUTHORITY - BARMM</t>
  </si>
  <si>
    <t>CITY OF MANDAUE, CEBU</t>
  </si>
  <si>
    <t>GUIPOS CENTRAL ELEMENTARY SCHOOL</t>
  </si>
  <si>
    <t>CIVIL AVIATION AUTHORITY OF THE PHILIPPINES - AREA VIII</t>
  </si>
  <si>
    <t>MUNICIPALITY OF RIZAL,PALAWAN</t>
  </si>
  <si>
    <t>BARANGAY LIKA - M'LANG COTABATO</t>
  </si>
  <si>
    <t>MUNICIPAL GOVERNMENT OF SABLAN, BENGUET</t>
  </si>
  <si>
    <t>BARANGAY  SISI - GUINAYANGAN QUEZON</t>
  </si>
  <si>
    <t>BARANGAY AMALBALAN, DASOL, PANGASINAN</t>
  </si>
  <si>
    <t>BUSTOS WATER DISTRICT</t>
  </si>
  <si>
    <t>PHILIPPINE RICE RESEARCH INSTITUTE - REGION VI</t>
  </si>
  <si>
    <t>MUNICIPALITY OF BAROBO, SURIGAO DEL SUR</t>
  </si>
  <si>
    <t>DEPARTMENT OF PUBLIC WORKS AND HIGHWAYS - BOHOL 2ND DEO</t>
  </si>
  <si>
    <t>DEPARTMENT OF EDUCATION - DIVISION OF CAMARINES NORTE</t>
  </si>
  <si>
    <t>BARANGAY GUIMBALA-ON - SILAY CITY NEGROS OCCIDENTAL</t>
  </si>
  <si>
    <t>BARANGAY BOTONGON-ESTANCIA ILOILO</t>
  </si>
  <si>
    <t>BUREAU OF PLANT INDUSTRY-BNCRDPSC</t>
  </si>
  <si>
    <t>SAN PABLO 2ND ELEMENTARY SCHOOL</t>
  </si>
  <si>
    <t>BARANGAY MAGUGPO EAST TAGUM DAVAO DEL NORTE</t>
  </si>
  <si>
    <t>SILANGAN ELEMENTARY SCHOOL</t>
  </si>
  <si>
    <t>DEPARTMENT OF PUBLIC WORKS AND HIGHWAYS - BATANGAS 1ST DISTR</t>
  </si>
  <si>
    <t>MORNING BREEZE ELEMENTARY SCHOOL</t>
  </si>
  <si>
    <t>MUNICIPALITY OF STA. ANA, CAGAYAN</t>
  </si>
  <si>
    <t>LAND BANK OF THE PHILIPPINES - SAN FERNANDO BRANCH</t>
  </si>
  <si>
    <t>COMMISSION ON AUDIT - REGION V</t>
  </si>
  <si>
    <t>NATIONAL IRRIGATION ADMINISTRATION - BBMP</t>
  </si>
  <si>
    <t>TECHNICAL EDUCATION &amp; SKILLS DEVELOPMENT AUTHORITY - MASBATE</t>
  </si>
  <si>
    <t>SABTANG SCHOOL OF FISHERIES</t>
  </si>
  <si>
    <t>MUNICIPALITY OF CLAVERIA, MISAMIS ORIENTAL</t>
  </si>
  <si>
    <t>CITY OF ORMOC, LEYTE</t>
  </si>
  <si>
    <t>CITY OF KIDAPAWAN, NORTH COTABATO</t>
  </si>
  <si>
    <t>BONDOC PENINSULA AGRICULTURAL HIGH SCHOOL</t>
  </si>
  <si>
    <t>BARANGAY 771 ZONE 84 DISTRICT V, MANILA</t>
  </si>
  <si>
    <t>MUNICIPALITY OF SIBONGA, CEBU</t>
  </si>
  <si>
    <t>MUNICIPALITY OF SOUTH UPI, MAGUINADANAO</t>
  </si>
  <si>
    <t>DEPARTMENT OF EDUCATION - SCHOOLS DIVISION OFFICE OF DAGUPAN</t>
  </si>
  <si>
    <t>BARANGAY PAYAUAN NEGROS OCCIDENTAL NIR</t>
  </si>
  <si>
    <t>BARANGAY PUERTOBELLO, TUDELA, CEBU</t>
  </si>
  <si>
    <t>BARANGAY SAN JUAN, ANAO, TARLAC</t>
  </si>
  <si>
    <t>NATIONAL KIDNEY AND TRANSPLANT INSTITUTE</t>
  </si>
  <si>
    <t>MUNICIPALITY OF REMEDIOS T. ROMUALDEZ, AGUSAN DEL NORTE</t>
  </si>
  <si>
    <t>DEPARTMENT OF PUBLIC WORKS AND HIGHWAYS - NEGROS ORIENTAL 2N</t>
  </si>
  <si>
    <t>DEPARTMENT OF PUBLIC WORKS AND HIGHWAYS - PALAWAN 1ST DEO</t>
  </si>
  <si>
    <t>TIBANBAN NATIONAL HIGH SCHOOL</t>
  </si>
  <si>
    <t>DEPARTMENT OF PUBLIC WORKS AND HIGHWAYS - CEBU 1ST DEO</t>
  </si>
  <si>
    <t>ZAMBOANGA STATE COLLEGE OF MARINE SCIENCES AND TECHNOLOGY</t>
  </si>
  <si>
    <t>SAN VICENTE INTEGRATED SCHOOL - STO. TOMAS ISABELA</t>
  </si>
  <si>
    <t>MUNICIPALITY OF BUUG - ZAMBOANGA SIBUGAY</t>
  </si>
  <si>
    <t>MUNICIPALITY OF UNISAN, QUEZON</t>
  </si>
  <si>
    <t>CITY OF PALAYAN, NUEVA ECIJA</t>
  </si>
  <si>
    <t>DUMALAG VOCATIONAL TECHNICAL SCHOOL</t>
  </si>
  <si>
    <t>CITY GOVERNMENT OF BALANGA, BATAAN</t>
  </si>
  <si>
    <t>DEPARTMENT OF EDUCATION - DIVISION OF TALISAY CITY</t>
  </si>
  <si>
    <t>BARANGAY NANGKA, MARIKINA CITY</t>
  </si>
  <si>
    <t>SAN JOSE NATIONAL HIGH SCHOOL</t>
  </si>
  <si>
    <t>PANGARAP ELEMENTARY SCHOOL</t>
  </si>
  <si>
    <t>BARANGAY BAYANAN I - CALAPAN CITY ORIENTAL MINDORO</t>
  </si>
  <si>
    <t>PROVINCE OF DINAGAT ISLANDS</t>
  </si>
  <si>
    <t>BARANGAY POBLACION, BANTON, ROMBLON</t>
  </si>
  <si>
    <t>PAROLE AND PROBATION ADMINISTRATION REGION III</t>
  </si>
  <si>
    <t>MUNICIPALITY OF INFANTA, PANGASINAN</t>
  </si>
  <si>
    <t>BARANGAY LUZ - M'LANG COTABATO</t>
  </si>
  <si>
    <t>BICOL MEDICAL CENTER</t>
  </si>
  <si>
    <t xml:space="preserve">DEPARTMENT OF PUBLIC WORKS AND HIGHWAYS - CAMARINES SUR 5TH </t>
  </si>
  <si>
    <t>BARANGAY BIOSO - ZUMARRAGA, SAMAR</t>
  </si>
  <si>
    <t>BARANGAY LIGTONG II  - ROSARIO CAVITE</t>
  </si>
  <si>
    <t>BARANGAY CALAMIAS - LIPA CITY BATANGAS</t>
  </si>
  <si>
    <t>RESEARCH INSTITUTE FOR TROPICAL MEDICINE, DOH</t>
  </si>
  <si>
    <t>BARANGAY GUIMOD NORTE, SAN JUAN, ILOCOS SUR</t>
  </si>
  <si>
    <t>MUNICIPALITY OF BALANGIGA, EASTERN SAMAR</t>
  </si>
  <si>
    <t>BARANGAY WAWA - CALAPAN CITY ORIENTAL MINDORO</t>
  </si>
  <si>
    <t>BARANGAY SAN VICENTE - ALCALA, PANGASINAN</t>
  </si>
  <si>
    <t>HEADQUARTERS COAST GUARD DISTRICT SOUTHERN VISAYAS</t>
  </si>
  <si>
    <t>BARANGAY SAN RAFAEL III, SAN JOSE DEL MONTE CITY</t>
  </si>
  <si>
    <t>MUNICIPALITY OF BONGABONG, ORIENTAL MINDORO</t>
  </si>
  <si>
    <t>BARANGAY LAWANG PARE, SAN JOSE DEL MONTE CITY</t>
  </si>
  <si>
    <t>BARANGAY BAGONG BUHAY II, SAN JOSE DEL MONTE CITY</t>
  </si>
  <si>
    <t>BARANGAY BATO II - MAASIN CITY SOUTHERN LEYTE</t>
  </si>
  <si>
    <t>MUNICIPALITY OF LOAY, BOHOL</t>
  </si>
  <si>
    <t>BUREAU OF FISHERIES AND AQUATIC RESOURCES - CAR</t>
  </si>
  <si>
    <t>BARANGAY CANIOGAN, PASIG CITY</t>
  </si>
  <si>
    <t>MUNICIPALITY OF IGBARAS, ILOILO</t>
  </si>
  <si>
    <t>DEPARTMENT OF PUBLIC WORKS AND HIGHWAYS - REGION XI</t>
  </si>
  <si>
    <t>BARANGAY BIGAIN 1.0, SAN JOSE, BATANGAS</t>
  </si>
  <si>
    <t>BARANGAY AGBOY SUR, LEON, ILOILO</t>
  </si>
  <si>
    <t>MUNICIPALITY OF ALANGALANG, LEYTE</t>
  </si>
  <si>
    <t>BARANGAY CORDOVA NORTE, TIGBAUAN, ILOILO</t>
  </si>
  <si>
    <t>MUNICIPALITY OF VALENCIA, NEGROS ORIENTAL</t>
  </si>
  <si>
    <t>BARANGAY CALIMPAK, GUINAYANGAN, QUEZON</t>
  </si>
  <si>
    <t>MUNICIPALITY OF STA. CRUZ, ILOCOS SUR</t>
  </si>
  <si>
    <t>PROVINCE OF BENGUET</t>
  </si>
  <si>
    <t>BARANGAY TAYSAN, SAN JOSE, BATANGAS</t>
  </si>
  <si>
    <t>DEPARTMENT OF EDUCATION - DIVISION OF SURIGAO DEL SUR</t>
  </si>
  <si>
    <t>BARANGAY SIRANG LUPA , BATANGAS CITY</t>
  </si>
  <si>
    <t>MUNICIPALITY OF BASCO, BATANES</t>
  </si>
  <si>
    <t>MUNICIPALITY OF MORONG, BATAAN</t>
  </si>
  <si>
    <t>MINES AND GEOSCIENCES BUREAU - CARAGA</t>
  </si>
  <si>
    <t>METRO VIGAN WATER DISTRICT</t>
  </si>
  <si>
    <t>CITY OF TANDAG, SURIGAO DEL SUR</t>
  </si>
  <si>
    <t>MUNICIPALITY OF SAN FRANCISCO, AGUSAN DEL SUR</t>
  </si>
  <si>
    <t>MUNICIPALITY OF CANDONI, NEGROS OCCIDENTAL</t>
  </si>
  <si>
    <t>MUNICIPALITY OF KAPALONG, DAVAO DEL NORTE</t>
  </si>
  <si>
    <t>MUNICIPALITY OF PANDAN, ANTIQUE</t>
  </si>
  <si>
    <t>DON HONORIO VENTURA TECHNOLOGICAL STATE UNIVERSITY</t>
  </si>
  <si>
    <t>SINILOAN WATER DISTRICT</t>
  </si>
  <si>
    <t>MUNICIPALITY OF MAASIM, SARANGANI</t>
  </si>
  <si>
    <t>MUNICIPALITY OF GUMACA, QUEZON</t>
  </si>
  <si>
    <t>DEPARTMENT OF EDUCATION - DIVISION OF MAASIN CITY</t>
  </si>
  <si>
    <t>SURIGAO STATE COLLEGE OF TECHNOLOGY</t>
  </si>
  <si>
    <t>SAN ANTONIO CENTRAL SCHOOL - SAN ANTONIO QUEZON</t>
  </si>
  <si>
    <t>CITY  OF CAVITE</t>
  </si>
  <si>
    <t>CAA ELEMENTARY SCHOOL</t>
  </si>
  <si>
    <t>MUNICIPALITY OF CAMILING, TARLAC</t>
  </si>
  <si>
    <t>BARANGAY POLO, DAPITAN CITY, ZAMBOANGA DEL NORTE</t>
  </si>
  <si>
    <t>LUBAO NATIONAL HIGH SCHOOL</t>
  </si>
  <si>
    <t>MUNICIPALITY OF ORANI, BATAAN</t>
  </si>
  <si>
    <t>MUNICIPALITY OF LUPI, CAMARINES SUR</t>
  </si>
  <si>
    <t>CAGAYAN DE ORO CITY WATER DISTRICT</t>
  </si>
  <si>
    <t>BARANGAY PHHC BLOCK 22, MANDURRIAO, ILOILO CITY</t>
  </si>
  <si>
    <t>MUNICIPALITY OF DILASAG, AURORA</t>
  </si>
  <si>
    <t>DEPARTMENT OF PUBLIC WORKS AND HIGHWAYS - PALAWAN 3RD DEO</t>
  </si>
  <si>
    <t>PROVINCE OF ILOCOS SUR</t>
  </si>
  <si>
    <t>MUNICIPALITY OF LUPON, DAVAO ORIENTAL</t>
  </si>
  <si>
    <t>MUNICIPALITY OF BANISILAN, COTABATO</t>
  </si>
  <si>
    <t>MUNICIPALITY OF MARIA, SIQUIJOR</t>
  </si>
  <si>
    <t>SPECIAL EDUCATION HIGH SCHOOL</t>
  </si>
  <si>
    <t>SUPREME COURT OF THE PHILIPPINES</t>
  </si>
  <si>
    <t>BARANGAY QUIRINO, LUNA, APAYAO</t>
  </si>
  <si>
    <t>MUNICIPALITY  OF NUMANCIA, AKLAN</t>
  </si>
  <si>
    <t>PHILIPPINE COUNCIL FOR HEALTH RESEARCH AND DEVELOPMENT</t>
  </si>
  <si>
    <t>CANSILAYAN NATIONAL HIGH SCHOOL</t>
  </si>
  <si>
    <t>BARANGAY CATUG-AN, VALENCIA, BOHOL</t>
  </si>
  <si>
    <t>MUNICIPALITY OF STA. PRAXEDES, CAGAYAN</t>
  </si>
  <si>
    <t>BARANGAY NEW CARCAR - LA LIBERTAD ZAMBOANGA DEL NORTE</t>
  </si>
  <si>
    <t>BARANGAY MANA-UL, HILONGOS, LEYTE</t>
  </si>
  <si>
    <t>BARANGAY VILLA IMELDA MACARTHUR LEYTE</t>
  </si>
  <si>
    <t>BARANGAY SANTA MARGARITA, HILONGOS, LEYTE</t>
  </si>
  <si>
    <t>CAPIZ STATE UNIVERSITY - CENTRAL ADMINISTRATION</t>
  </si>
  <si>
    <t>CITY OF MALABON</t>
  </si>
  <si>
    <t>SOUTHERN PHILS. AGRI-BUSS. &amp; MARINE &amp; AQUATIC SCH. OF TECH.</t>
  </si>
  <si>
    <t>MUNICIPALITY OF BURGOS, ISABELA</t>
  </si>
  <si>
    <t>SAYAWAN ELEMENTARY SCHOOL</t>
  </si>
  <si>
    <t>ATIMONAN NATIONAL COMPREHENSIVE HIGH SCHOOL - ATIMONAN QUEZO</t>
  </si>
  <si>
    <t>MUNICIPALITY OF ALCALA, CAGAYAN</t>
  </si>
  <si>
    <t>DEPARTMENT OF EDUCATION - DIVISION OF CITY SCHOOLS, DIGOS</t>
  </si>
  <si>
    <t>BARANGAY PALAYAN, NAGCARLAN, LAGUNA</t>
  </si>
  <si>
    <t>ENVIRONMENTAL MANAGEMENT BUREAU - REGION II</t>
  </si>
  <si>
    <t>BICOL REGIONAL TRAINING AND TEACHING HOSPITAL</t>
  </si>
  <si>
    <t>BARANGAY MACABOG - SORSOGON CITY</t>
  </si>
  <si>
    <t>MUNICIPALITY OF BATAD, ILOILO</t>
  </si>
  <si>
    <t>CITY OF CALAPAN, ORIENTAL MINDORO</t>
  </si>
  <si>
    <t>ZAMBOANGA DEL NORTE NATIONAL HIGH SCHOOL</t>
  </si>
  <si>
    <t xml:space="preserve">TECHNICAL EDUCATION &amp; SKILLS DEVELOPMENT AUTHORITY - NEGROS </t>
  </si>
  <si>
    <t>MUNICIPALITY OF GUINDULMAN, BOHOL</t>
  </si>
  <si>
    <t>MUNICIPALITY OF BUGASONG, ANTIQUE</t>
  </si>
  <si>
    <t>CITY  OF CALBAYOG, SAMAR</t>
  </si>
  <si>
    <t>DEPARTMENT OF TRADE AND INDUSTRY - SOUTHERN LEYTE</t>
  </si>
  <si>
    <t>MUNICIPALITY OF MARIPIPI, BILIRAN</t>
  </si>
  <si>
    <t>OROQUIETA CITY WATER DISTRICT</t>
  </si>
  <si>
    <t>MUNICIPALITY OF BANSUD, ORIENTAL MINDORO</t>
  </si>
  <si>
    <t>WESTERN VISAYAS SANITARIUM - DOH</t>
  </si>
  <si>
    <t>MUNICIPALITY OF SIBULAN, NEGROS ORIENTAL</t>
  </si>
  <si>
    <t>BARANGAY AGTA, LEON, ILOILO</t>
  </si>
  <si>
    <t>BARANGAY INEANGAN - DUPAX DEL NORTE NUEVA VIZCAYA</t>
  </si>
  <si>
    <t xml:space="preserve">NEGROS OCCIDENTAL  NATIONA'L AGRO-INDUSTRIAL SCHOOL OF HOME </t>
  </si>
  <si>
    <t>MUNICIPALITY OF GOV. GENEROSO, DAVAO ORIENTAL</t>
  </si>
  <si>
    <t>MUNICIPALITY OF IMELDA, ZAMBOANGA SIBUGAY</t>
  </si>
  <si>
    <t>KUYA ELEMENTARY SCHOOL KUYA MARAMAG BUKIDNON</t>
  </si>
  <si>
    <t>DEPARTMENT OF PUBLIC WORKS AND HIGHWAYS - ALBAY 3RD DEO</t>
  </si>
  <si>
    <t>MUNICIPALITY OF POLANCO, ZAMBOANGA DEL NORTE</t>
  </si>
  <si>
    <t>BANGKO SENTRAL NG PILIPINAS- LA UNION REGIONAL OFFICE</t>
  </si>
  <si>
    <t>BARANGAY SOCORRO, QUEZON CITY</t>
  </si>
  <si>
    <t>MUNICIPALITY OF RAPU-RAPU, ALBAY</t>
  </si>
  <si>
    <t>MUNICIPALITY OF LOOC, ROMBLON</t>
  </si>
  <si>
    <t>MUNICIPALITY OF BUGALLON - PANGASINAN</t>
  </si>
  <si>
    <t>MUNICIPALITY OF BURGOS, PANGASINAN</t>
  </si>
  <si>
    <t>NATIONAL IRRIGATION ADMINISTRATION - REGION V</t>
  </si>
  <si>
    <t>DR. ARTEMIO E. NATIVIDAD ELEMENTARY SCHOOL - TAGUIG CITY</t>
  </si>
  <si>
    <t>GUIMARAS NATIONAL CROPS RESEARCH, DEVELOPMENT &amp; PRODUCTION S</t>
  </si>
  <si>
    <t>MUNICIPALITY OF BONTOC, MOUNTAIN PROVINCE</t>
  </si>
  <si>
    <t>CITY OF BAYAWAN, NEGROS ORIENTAL</t>
  </si>
  <si>
    <t>MUNICIPALITY OF LAS NIEVES , AGUSAN DEL NORTE</t>
  </si>
  <si>
    <t>MUNICIPALITY OF STO. DOMINGO, NUEVA ECIJA</t>
  </si>
  <si>
    <t>MUNICIPALITY OF PANUKULAN, QUEZON</t>
  </si>
  <si>
    <t>MUNICIPALITY OF MURCIA, NEGROS OCCIDENTAL</t>
  </si>
  <si>
    <t>GAPAN CITY WATER DISTRICT</t>
  </si>
  <si>
    <t>PROVINCE OF SARANGANI</t>
  </si>
  <si>
    <t>MUNICIPALITY OF BANI, PANGASINAN</t>
  </si>
  <si>
    <t>PEDRO PITOGO ELEMENTARY SCHOOL</t>
  </si>
  <si>
    <t>MUNICIPALITY OF PRESENTACION, CAMARINES SUR</t>
  </si>
  <si>
    <t>DEPARTMENT OF SCIENCE AND TECHNOLOGY - REGION IV-B</t>
  </si>
  <si>
    <t>BARANGAY STA.CRUZ, MAKATI CITY</t>
  </si>
  <si>
    <t>MUNICIPALITY OF MABINAY, NEGROS ORIENTAL</t>
  </si>
  <si>
    <t>MUNICIPALITY OF SIATON, NEGROS ORIENTAL</t>
  </si>
  <si>
    <t>EASTERN SAMAR STATE UNIVERSITY - BORONGAN CITY</t>
  </si>
  <si>
    <t>PROVINCE OF GUIMARAS</t>
  </si>
  <si>
    <t>OFFICE OF CIVIL DEFENSE - REGION V</t>
  </si>
  <si>
    <t>DEPARTMENT OF EDUCATION - DIVISION OF SURIGAO DEL NORTE</t>
  </si>
  <si>
    <t>DEPARTMENT OF PUBLIC WORKS AND HIGHWAYS - PAMPANGA 2ND DEO</t>
  </si>
  <si>
    <t>LALIGAN ELEMENTARY SCHOOL</t>
  </si>
  <si>
    <t>BALIWAG WATER DISTRICT</t>
  </si>
  <si>
    <t>MUNICIPALITY OF BACONG, NEGROS ORIENTAL</t>
  </si>
  <si>
    <t>MUNICIPALITY OF ORION, BATAAN</t>
  </si>
  <si>
    <t>MUNICIPALITY  OF SAN JOSE, NEGROS ORIENTAL</t>
  </si>
  <si>
    <t>BARANGAY NORTH VILLAZAR - SIPOCOT, CAMARINES SUR</t>
  </si>
  <si>
    <t>CARMEN ELEMENTARY SCHOOL</t>
  </si>
  <si>
    <t xml:space="preserve">DEPARTMENT OF AGRARIAN REFORM - PROVINCIAL OFFICE DAVAO DEL </t>
  </si>
  <si>
    <t>BARANGAY EWON, SEVILLA, BOHOL</t>
  </si>
  <si>
    <t>BAYBAY CITY WATER DISTRICT</t>
  </si>
  <si>
    <t>DA - PHILIPPINE RURAL DEVELOPMENT PROJECT</t>
  </si>
  <si>
    <t>MUNICIPALITY OF ECHAGUE, ISABELA</t>
  </si>
  <si>
    <t>MUNICIPALITY OF TIBIAO, ANTIQUE</t>
  </si>
  <si>
    <t>BARANGAY 08 POBLACION, CATANAUAN, QUEZON</t>
  </si>
  <si>
    <t>MUNICIPALITY OF SAN JULIAN, EASTERN SAMAR</t>
  </si>
  <si>
    <t>LEGAZPI CITY WATER DISTRICT</t>
  </si>
  <si>
    <t>BATAAN GENERAL HOSPITAL AND MEDICAL CENTER</t>
  </si>
  <si>
    <t>PHILIPPINE HEALTH INSURANCE CORPORATION - REGION IV-B</t>
  </si>
  <si>
    <t>MUNICIPALITY OF BARCELONA, SORSOGON</t>
  </si>
  <si>
    <t>MUNICIPALITY OF LABASON, ZAMBOANGA DEL NORTE</t>
  </si>
  <si>
    <t>BARANGAY ENCARNACION, CALATAGAN, BATANGAS</t>
  </si>
  <si>
    <t>SULU SANITARIUM</t>
  </si>
  <si>
    <t>DEPARTMENT OF PUBLIC WORKS AND HIGHWAYS - ZAMBALES 1ST DEO</t>
  </si>
  <si>
    <t>BARANGAY BULAON, SAN FERNANDO, PAMPANGA</t>
  </si>
  <si>
    <t>BARANGAY BULUANGAN, GUIMBAL, ILOILO</t>
  </si>
  <si>
    <t>MUNICIPALITY OF LORETO, AGUSAN DEL SUR</t>
  </si>
  <si>
    <t>BARANGAY COLONIA, VALENCIA CITY</t>
  </si>
  <si>
    <t>MUNICIPALITY OF ARACELI, PALAWAN</t>
  </si>
  <si>
    <t>CITY  OF CAUAYAN, ISABELA</t>
  </si>
  <si>
    <t>PULUPANDAN EAST ELEMENTARY SCHOOL</t>
  </si>
  <si>
    <t>NATIONAL HOUSING AUTHORITY - REGION X</t>
  </si>
  <si>
    <t>MUNICIPALITY OF BANTAY, ILOCOS SUR</t>
  </si>
  <si>
    <t>BARANGAY SAN BARTOLOME, STO. TOMAS, BATANGAS</t>
  </si>
  <si>
    <t>MUNICIPALITY OF NEW BATAAN, COMPOSTELA VALLEY</t>
  </si>
  <si>
    <t>MUNICIPALITY OF BRAULIO DUJALI, DAVAO DEL NORTE</t>
  </si>
  <si>
    <t>MUNICIPALITY OF KALAYAAN, LAGUNA</t>
  </si>
  <si>
    <t>CITY OF VALENCIA, BUKIDNON</t>
  </si>
  <si>
    <t>DEPARTMENT OF LABOR AND EMPLOYMENT - REGION VII</t>
  </si>
  <si>
    <t>BARANGAY DUYAY, BOAC, MARINDUQUE</t>
  </si>
  <si>
    <t>SAN VICENTE NATIONAL HIGH SCHOOL - PALAWAN</t>
  </si>
  <si>
    <t>DEPARTMENT OF PUBLIC WORKS AND HIGHWAYS - REGION XII - COTAB</t>
  </si>
  <si>
    <t>MUNICIPALITY OF GALIMUYOD, ILOCOS SUR</t>
  </si>
  <si>
    <t>MUNICIPALITY OF CALAYAN, CAGAYAN</t>
  </si>
  <si>
    <t>BARANGAY RIZAL - CASIGURAN SORSOGON</t>
  </si>
  <si>
    <t>COOPERATIVE DEVELOPMENT AUTHORITY - MAIN</t>
  </si>
  <si>
    <t>DEPARTMENT OF ENVIRONMENT AND NATURAL RES. - PENRO N. OCCIDE</t>
  </si>
  <si>
    <t>RAFAEL L. LAZATIN MEMORIAL HIGH SCHOOL</t>
  </si>
  <si>
    <t>BARANGAY ALTEZA, SIPOCOT, CAMARINES SUR</t>
  </si>
  <si>
    <t>JANIUAY NATIONAL COMPREHENSIVE HIGH SCHOOL</t>
  </si>
  <si>
    <t>BARANGAY PARED, ALCALA, CAGAYAN</t>
  </si>
  <si>
    <t>BARANGAY KULAWIT, ATIMONAN, QUEZON</t>
  </si>
  <si>
    <t>BARANGAY CABUYAO, SIPOCOT, CAMARINES SUR</t>
  </si>
  <si>
    <t>DEPARTMENT OF EDUCATION - DIVISION OF ZAMBALES</t>
  </si>
  <si>
    <t>BARANGAY PARAISO, CALATAGAN, BATANGAS</t>
  </si>
  <si>
    <t>BUREAU OF PLANT INDUSTRY - LBNCRDC</t>
  </si>
  <si>
    <t>DEPARTMENT OF INFORMATION AND COMMUNICATIONS TECHNOLOGY</t>
  </si>
  <si>
    <t>PHILIPPINE NATIONAL POLICE - HEALTH SERVICE</t>
  </si>
  <si>
    <t>CITY OF TACURONG, SULTAN KUDARAT</t>
  </si>
  <si>
    <t>MUNICIPALITY OF NAUJAN, ORIENTAL MINDORO</t>
  </si>
  <si>
    <t>PATAG ELEMENTARY SCHOOL</t>
  </si>
  <si>
    <t>BARANGAY GUINDAPUNAN, PALO, LEYTE</t>
  </si>
  <si>
    <t>DEPARTMENT OF ENVIRONMENT AND NATURAL RES. - PENRO - XI</t>
  </si>
  <si>
    <t>BARANGAY SAWANG, AROROY, MASBATE</t>
  </si>
  <si>
    <t>BARANGAY TICUB, LAUREL, BATANGAS</t>
  </si>
  <si>
    <t>MUNICIPALITY OF CARASI, ILOCOS NORTE</t>
  </si>
  <si>
    <t>MUNICIPALITY OF DIPACULAO, AURORA</t>
  </si>
  <si>
    <t>BARANGAY POBLACION STA. ELENA, CAMARINES NORTE</t>
  </si>
  <si>
    <t>CABUYAO WATER DISTRICT</t>
  </si>
  <si>
    <t>ABRA STATE INSTITUTE OF SCIENCES AND TECHNOLOGY -ABRA</t>
  </si>
  <si>
    <t>KIDAPAWAN CITY NATIONAL HIGH SCHOOL</t>
  </si>
  <si>
    <t>DEPARTMENT OF PUBLIC WORKS AND HIGHWAYS - QUEZON 2ND ED</t>
  </si>
  <si>
    <t>DEPARTMENT OF PUBLIC WORKS AND HIGHWAYS - CAMIGUIN DEO</t>
  </si>
  <si>
    <t>BARANGAY MULANSONG - SAN PABLO ZAMBOANGA DEL SUR</t>
  </si>
  <si>
    <t>MUNICIPALITY OF GUIMBA, NUEVA ECIJA</t>
  </si>
  <si>
    <t>CITY OF LAMITAN, BASILAN</t>
  </si>
  <si>
    <t>BARANGAY OOGONG, STA. CRUZ, LAGUNA</t>
  </si>
  <si>
    <t>MUNICIPALITY OF PILAR, BATAAN</t>
  </si>
  <si>
    <t>MUNICIPALITY OF ALIMODIAN, ILOILO</t>
  </si>
  <si>
    <t>BARANGAY DATALBUKAY, GLAN, SARANGANI</t>
  </si>
  <si>
    <t>BATANGAS MEDICAL CENTER</t>
  </si>
  <si>
    <t>DINALUPIHAN WATER DISTRICT</t>
  </si>
  <si>
    <t>MUNICIPALITY OF TIGBAUAN, ILOILO</t>
  </si>
  <si>
    <t>PHIL. ATMOSPHERIC GEOPHYSICAL &amp; ASTRONOMICAL SERVICES ADM.</t>
  </si>
  <si>
    <t>MUNICIPALITY OF KATIPUNAN, ZAMBOANGA DEL NORTE</t>
  </si>
  <si>
    <t>MUNICIPALITY OF TUBA, BENGUET</t>
  </si>
  <si>
    <t>BARANGAY CARARA-AN, LEON, ILOILO</t>
  </si>
  <si>
    <t>NATIONAL POWER CORPORATION - MINGEN, PULANGI IV HEP</t>
  </si>
  <si>
    <t>DEPARTMENT OF LABOR AND EMPLOYMENT - REGION IV-B</t>
  </si>
  <si>
    <t>WEST VISAYAS STATE UNIVERSITY - CALINOG BRANCH</t>
  </si>
  <si>
    <t xml:space="preserve">CRECENCIA DRUSILA LOPEZ SENIOR HIGH SCHOOL - SAN PABLO CITY </t>
  </si>
  <si>
    <t>SOCIAL SECURITY SYSTEM - SOUTHERN MINDANAO</t>
  </si>
  <si>
    <t>PROVINCE OF EASTERN SAMAR</t>
  </si>
  <si>
    <t>MUNICIPALITY OF BAGULIN, LA UNION</t>
  </si>
  <si>
    <t>ALABANG ELEMENTARY SCHOOL</t>
  </si>
  <si>
    <t>DEPARTMENT OF PUBLIC WORKS AND HIGHWAYS - LANAO DEL NORTE 2N</t>
  </si>
  <si>
    <t>MUNICIPALITY OF KALAYAAN, PALAWAN</t>
  </si>
  <si>
    <t>DEPARTMENT OF EDUCATION - DIVISION OF BAYAWAN CITY</t>
  </si>
  <si>
    <t>MUNICIPALITY OF ASIPULO - IFUGAO</t>
  </si>
  <si>
    <t>MUNICIPALITY OF HILONGOS, LEYTE</t>
  </si>
  <si>
    <t>BARANGAY LIBJO - BATANGAS CITY</t>
  </si>
  <si>
    <t>DEPARTMENT OF PUBLIC WORKS AND HIGHWAYS - MISAMIS ORIENTAL 2</t>
  </si>
  <si>
    <t>DEPARTMENT OF ENVIRONMENT AND NATURAL RESOURCES - REGION II</t>
  </si>
  <si>
    <t>MUNICIPALITY OF BINDOY, NEGROS ORIENTAL</t>
  </si>
  <si>
    <t>MUNICIPALITY OF SAGAY, CAMIGUIN</t>
  </si>
  <si>
    <t>TAGUM WATER DISTRICT</t>
  </si>
  <si>
    <t>DEPARTMENT OF AGRARIAN REFORM PROVINCIAL OFFICE, COTABATO</t>
  </si>
  <si>
    <t>MUNICIPALITY OF KALAMANSIG, SULTAN KUDARAT</t>
  </si>
  <si>
    <t>BARANGAY ABAR 1ST, SAN JOSE CITY, NUEVA ECIJA</t>
  </si>
  <si>
    <t>LEYTE NATIONAL HIGH SCHOOL</t>
  </si>
  <si>
    <t>MUNICIPALITY OF CORTES, SURIGAO DEL SUR</t>
  </si>
  <si>
    <t>MUNICIPALITY OF INABANGA, BOHOL</t>
  </si>
  <si>
    <t>CITY OF LAOAG, ILOCOS NORTE</t>
  </si>
  <si>
    <t xml:space="preserve">BARANGAY SANTOL </t>
  </si>
  <si>
    <t xml:space="preserve">DEPARTMENT OF PUBLIC WORKS AND HIGHWAYS - CAMARINES SUR 1ST </t>
  </si>
  <si>
    <t>MINDANAO STATE UNIVERSITY - ILIGAN INSTITUTE OF TECHNOLOGY</t>
  </si>
  <si>
    <t>CLARK DEVELOPMENT CORPORATION</t>
  </si>
  <si>
    <t>OBANDO WATER DISTRICT</t>
  </si>
  <si>
    <t>NATIONAL TELECOMMUNICATIONS COMMISSION - REGION XII</t>
  </si>
  <si>
    <t>ROMBLON NATIONAL INSTITUTE OF TECHNOLOGY</t>
  </si>
  <si>
    <t>BISLIG CITY WATER DISTRICT</t>
  </si>
  <si>
    <t>MUNICIPALITY OF TALAKAG, BUKIDNON</t>
  </si>
  <si>
    <t>ISLAND GARDEN CITY OF SAMAL WATER DISTRICT</t>
  </si>
  <si>
    <t>LLORENTE NATIONAL HIGH SCHOOL - LLORENTE EASTERN SAMAR</t>
  </si>
  <si>
    <t>CRISPINO V. RAMOS ELEMENTARY SCHOOL-BACOLOD CITY NEGROS OCCI</t>
  </si>
  <si>
    <t>BARANGAY DALIG, ANTIPOLO CITY</t>
  </si>
  <si>
    <t>OFFICE OF THE PRESIDENT</t>
  </si>
  <si>
    <t>MUNICIPALITY OF HINIGARAN, NEGROS OCCIDENTAL</t>
  </si>
  <si>
    <t>KABASALAN INSTITUTE OF TECHNOLOGY</t>
  </si>
  <si>
    <t>MINISTRY OF AGRICULTURE, FISHERIES AND AGRARIAN REFORM - COT</t>
  </si>
  <si>
    <t>112TH CONTRACTING OFFICE, AFPPS</t>
  </si>
  <si>
    <t>BARANGAY ROSITA, LIBJO, DINAGAT ISLANDS</t>
  </si>
  <si>
    <t>DEPARTMENT OF EDUCATION - DIVISION OF DIPOLOG CITY</t>
  </si>
  <si>
    <t>ROGELIO G. GATCHALIAN ELEMENTARY SCHOOL</t>
  </si>
  <si>
    <t>BARANGAY KULAMAN - MALAYBALAY CITY</t>
  </si>
  <si>
    <t>MUNICIPALITY OF AGDANGAN, QUEZON</t>
  </si>
  <si>
    <t>BARANGAY CAMBAILAN - CATIGBIAN BOHOL</t>
  </si>
  <si>
    <t>ALICANTE ELEMENTARY SCHOOL</t>
  </si>
  <si>
    <t>PROVINCE OF BULACAN</t>
  </si>
  <si>
    <t>TAMBULIG NATIONAL HIGH SCHOOL</t>
  </si>
  <si>
    <t>CITY OF PASAY</t>
  </si>
  <si>
    <t>BANGKO SENTRAL NG PILIPINAS - BUTUAN BRANCH</t>
  </si>
  <si>
    <t>DEPARTMENT OF EDUCATION - DIVISION OF VALENCIA CITY</t>
  </si>
  <si>
    <t>DEPARTMENT OF PUBLIC WORKS AND HIGHWAYS - ZAMBOANGA CITY DEO</t>
  </si>
  <si>
    <t>MUNICIPALITY OF BALIWAG, BULACAN</t>
  </si>
  <si>
    <t>DEPARTMENT OF TRADE AND INDUSTRY - REGION IV-A</t>
  </si>
  <si>
    <t>NATIONAL FOOD AUTHORITY - REGION I</t>
  </si>
  <si>
    <t>DEPARTMENT OF THE INTERIOR AND LOCAL GOVERNMENT - REGION VII</t>
  </si>
  <si>
    <t>PHILIPPINE COCONUT AUTHORITY - DAVAO RESEARCH CENTER</t>
  </si>
  <si>
    <t>PHILIPPINE CARABAO CENTER AT CENTRAL MINDANAO UNIVERSITY</t>
  </si>
  <si>
    <t>DEPARTMENT OF PUBLIC WORKS AND HIGHWAYS - PAMPANGA 1ST DEO</t>
  </si>
  <si>
    <t>PULONG SANTOL NATIONAL HIGH SCHOOL (ANNEX 1) -PORAC PAMPANGA</t>
  </si>
  <si>
    <t>BARANGAY POBLACION - STO. NIÑO SOUTH COTABATO</t>
  </si>
  <si>
    <t>BARANGAY DUNGON, CONCEPCION, ILOILO</t>
  </si>
  <si>
    <t>BARANGAY NUEVA FUERZA, TAGUM CITY, DAVAO DEL NORTE</t>
  </si>
  <si>
    <t>MARCIAL O. RANOLA MEMORIAL SCHOOL-RV</t>
  </si>
  <si>
    <t>MAUBAN SOUTH CENTRAL ES I - MAUBAN QUEZON</t>
  </si>
  <si>
    <t>DEPARTMENT OF EDUCATION - DIVISION OF NEGROS OCCIDENTAL</t>
  </si>
  <si>
    <t>BULAO ELEMENTARY SCHOOL - IPONAN, CAGAYAN DE ORO CITY</t>
  </si>
  <si>
    <t>BAGONG SILANGAN ELEMENTARY SCHOOL</t>
  </si>
  <si>
    <t>MUNICIPALITY OF CALUMPIT, BULACAN</t>
  </si>
  <si>
    <t>BARANGAY MABINI, MANGATAREM, PANGASINAN</t>
  </si>
  <si>
    <t>DEPARTMENT OF PUBLIC WORKS AND HIGHWAYS - DAVAO CITY DEO</t>
  </si>
  <si>
    <t>DEPARTMENT OF AGRARIAN REFORM - ALBAY PROVINCIAL OFFICE</t>
  </si>
  <si>
    <t>MUNICIPALITY OF ROSARIO, LA UNION</t>
  </si>
  <si>
    <t>MUNICIPALITY OF NAMPICUAN, NUEVA ECIJA</t>
  </si>
  <si>
    <t>MUNICIPALITY OF BANAUE, IFUGAO</t>
  </si>
  <si>
    <t>BARANGAY BUCAO - GUIUAN, EASTERN SAMAR</t>
  </si>
  <si>
    <t>LA CASTELLANA NATIONAL HIGH SCHOOL-SHS</t>
  </si>
  <si>
    <t>MUNICIPALITY OF MABINI, BATANGAS</t>
  </si>
  <si>
    <t>BARANGAY CADONGDONGAN, STA. PRAXEDES, CAGAYAN</t>
  </si>
  <si>
    <t>DEPARTMENT OF EDUCATION - BISLIG CITY DIVISION</t>
  </si>
  <si>
    <t>DEPARTMENT OF PUBLIC WORKS AND HIGHWAYS - NORTHERN SAMAR 1ST</t>
  </si>
  <si>
    <t>POBLACION ELEMENTARY SCHOOL</t>
  </si>
  <si>
    <t>DEPARTMENT OF PUBLIC WORKS AND HIGHWAYS - AGUSAN DEL SUR 2ND</t>
  </si>
  <si>
    <t>MUNICIPALITY OF CATEEL, DAVAO ORIENTAL</t>
  </si>
  <si>
    <t>MUNICIPALITY OF CARRASCAL, SURIGAO DEL SUR</t>
  </si>
  <si>
    <t>DEPARTMENT OF EDUCATION - DIVISION OF OROQUIETA CITY</t>
  </si>
  <si>
    <t>DON CARLOS NORTE ELEMENTARY SCHOOL</t>
  </si>
  <si>
    <t>DEPARTMENT OF ENVIRONMENT AND NATURAL RESOURCES - REGION I</t>
  </si>
  <si>
    <t>BARANGAY AGGUB, CABAGAN, ISABELA</t>
  </si>
  <si>
    <t>MUNICIPALITY OF MINA, ILOILO</t>
  </si>
  <si>
    <t>MACASANDIG NATIONAL HIGH SCHOOL- CAGAYAN DE ORO CITY</t>
  </si>
  <si>
    <t>MAHAYAG ELEMENTARY SCHOOL - SAN FERNANDO BUKIDNON</t>
  </si>
  <si>
    <t>DEPARTMENT OF SOCIAL WELFARE AND DEVELOPMENT - REGION VIII</t>
  </si>
  <si>
    <t>ISABELA STATE UNIVERSITY - CABAGAN CAMPUS</t>
  </si>
  <si>
    <t>ROXAS CITY GOVERNMENT</t>
  </si>
  <si>
    <t>DEPED PARACALE NATIONAL HIGH SCHOOL</t>
  </si>
  <si>
    <t>DEPARTMENT OF PUBLIC WORKS AND HIGHWAYS - REGION VI</t>
  </si>
  <si>
    <t>MUNICIPALITY OF GARCIA-HERNANDEZ, BOHOL</t>
  </si>
  <si>
    <t>BARANGAY SAN ISIDRO, PALO, LEYTE</t>
  </si>
  <si>
    <t>MUNICIPALITY OF PALANAN, ISABELA</t>
  </si>
  <si>
    <t>DEPARTMENT OF PUBLIC WORKS AND HIGHWAYS - GUIMARAS DEO</t>
  </si>
  <si>
    <t>HOME DEVELOPMENT MUTUAL FUND - REGION I</t>
  </si>
  <si>
    <t>BARANGAY 4, LUCBAN, QUEZON</t>
  </si>
  <si>
    <t>BARANGAY CASTILLO, CONCEPCION, TARLAC</t>
  </si>
  <si>
    <t>MUNICIPALITY OF SIGAY, ILOCOS SUR</t>
  </si>
  <si>
    <t>LOCAL GOVERNMENT ACADEMY, DILG</t>
  </si>
  <si>
    <t>ENVIRONMENTAL MANAGEMENT BUREAU REGION VI</t>
  </si>
  <si>
    <t>BARANGAY POBLACION IB MARAGONDON CAVITE</t>
  </si>
  <si>
    <t>FRANCISCO P FELIX MEMORIAL NATIONAL HIGH SCHOOL</t>
  </si>
  <si>
    <t>ENVIRONMENTAL MANAGEMENT BUREAU - REG IV - B, MIMAROPA</t>
  </si>
  <si>
    <t>DEPARTMENT OF EDUCATION - REGION IX</t>
  </si>
  <si>
    <t>BARANGAY POLOPINA, CONCEPCION, ILOILO</t>
  </si>
  <si>
    <t>MUNICIPALITY OF NAGCARLAN, LAGUNA</t>
  </si>
  <si>
    <t>MUNICIPALITY OF SAN JOSE, TARLAC</t>
  </si>
  <si>
    <t>MAA NATIONAL HIGH SCHOOL - DAVAO CITY DAVAO DEL SUR</t>
  </si>
  <si>
    <t>ENVIRONMENTAL MANAGEMENT BUREAU - REGION VIII</t>
  </si>
  <si>
    <t>BULACAN AGRICULTURAL STATE COLLEGE</t>
  </si>
  <si>
    <t>CARAGA STATE UNIVERSITY - CABADBARAN CAMPUS</t>
  </si>
  <si>
    <t>WEST VISAYAS STATE UNIVERSITY  - LAMBUNAO  CAMPUS</t>
  </si>
  <si>
    <t>DEPARTMENT OF PUBLIC WORKS AND HIGHWAYS - BOHOL 1ST ED</t>
  </si>
  <si>
    <t>DAVAO REGIONAL MEDICAL CENTER</t>
  </si>
  <si>
    <t>DEPARTMENT OF HEALTH - TREATMENT AND REHABILITATION CENTER -</t>
  </si>
  <si>
    <t>EASTERN VISAYAS STATE UNIVERSITY-ORMOC CITY CAMPUS</t>
  </si>
  <si>
    <t>BARANGAY IBA - SAN JOSE, TARLAC</t>
  </si>
  <si>
    <t>CROSSING BAYABAS NATIONAL HIGH SCHOOL</t>
  </si>
  <si>
    <t>TANGUB CITY WATER DISTRICT</t>
  </si>
  <si>
    <t>DEPARTMENT OF PUBLIC WORKS AND HIGHWAYS - PAMPANGA 3RD DEO</t>
  </si>
  <si>
    <t>AYUNGON WATER DISTRICT</t>
  </si>
  <si>
    <t>LIGA NG MGA BARANGAY TIGBAUAN CHAPTER - TIGBAUAN ILOILO</t>
  </si>
  <si>
    <t>MUNICIPALITY OF BANNA, ILOCOS NORTE</t>
  </si>
  <si>
    <t>DEPARTMENT OF PUBLIC WORKS AND HIGHWAYS - NEG. OCC. 2ND DEO</t>
  </si>
  <si>
    <t>DAVAO NATIONAL AGRICULTURAL SCHOOL</t>
  </si>
  <si>
    <t>BARANGAY MARAG, LUNA, APAYAO</t>
  </si>
  <si>
    <t>DEPARTMENT OF PUBLIC WORKS AND HIGHWAYS - MARINDUQUE DEO</t>
  </si>
  <si>
    <t>BARANGAY CATOTORAN NORTE, CAMALANIUGAN, CAGAYAN</t>
  </si>
  <si>
    <t>DEPARTMENT OF EDUCATION - DIVISION OF ABRA</t>
  </si>
  <si>
    <t>JOSE RIZAL MEMORIAL STATE UNIVERSITY - MAIN CAMPUS</t>
  </si>
  <si>
    <t>BARANGAY ZONE 20 - BAYBAY CITY LEYTE</t>
  </si>
  <si>
    <t>BARANGAY AGLAYAN, MALAYBALAY CITY</t>
  </si>
  <si>
    <t>MURCIA WATER DISTRICT</t>
  </si>
  <si>
    <t>MUNICIPALITY OF PARACALE, CAMARINES NORTE</t>
  </si>
  <si>
    <t>BARANGAY IWA ILAYA, POTOTAN, ILOILO</t>
  </si>
  <si>
    <t>BUREAU OF FISHERIES AND AQUATIC RESOURCES - REGION XI</t>
  </si>
  <si>
    <t>DEPARTMENT OF PUBLIC WORKS AND HIGHWAYS - EASTERN SAMAR DEO</t>
  </si>
  <si>
    <t>MUNICIPALITY OF LEGANES, ILOILO</t>
  </si>
  <si>
    <t>MUNICIPALITY OF ASTURIAS, CEBU</t>
  </si>
  <si>
    <t>BARANGAY TUMCON ILAYA, POTOTAN, ILOILO</t>
  </si>
  <si>
    <t>REGION I MEDICAL CENTER</t>
  </si>
  <si>
    <t>TARLAC STATE UNIVERSITY</t>
  </si>
  <si>
    <t>NATIONAL PARKS DEVELOPMENT COMMITTEE</t>
  </si>
  <si>
    <t>METRO MANILA DEVELOPMENT AUTHORITY</t>
  </si>
  <si>
    <t>MUNICIPALITY OF PONTEVEDRA, CAPIZ</t>
  </si>
  <si>
    <t>MUNICIPALITY OF SAN VICENTE, CAMARINES NORTE</t>
  </si>
  <si>
    <t>MUNICIPALITY OF KOLAMBUGAN, LANAO DEL NORTE</t>
  </si>
  <si>
    <t>DAGA ELEMENTARY SCHOOL</t>
  </si>
  <si>
    <t>MUNICIPALITY OF SAN MIGUEL, SURIGAO DEL SUR</t>
  </si>
  <si>
    <t>BARANGAY CAHAGUIKICAN, POTOTAN, ILOILO</t>
  </si>
  <si>
    <t>MUNICIPALITY OF BAY, LAGUNA</t>
  </si>
  <si>
    <t>DEPARTMENT OF EDUCATION - DIVISION OF ZAMBOANGA DEL SUR</t>
  </si>
  <si>
    <t>BARANGAY MASLUG - BAYBAY CITY LEYTE</t>
  </si>
  <si>
    <t>BARANGAY BATUAN, POTOTAN, ILOILO</t>
  </si>
  <si>
    <t>MUNICIPALITY OF SAN MARIANO, ISABELA</t>
  </si>
  <si>
    <t>NORTH HILLS VILLAGE HIGH SCHOOL</t>
  </si>
  <si>
    <t>DELA PAZ WEST ELEMENTARY SCHOOL</t>
  </si>
  <si>
    <t>CITY OF NAGA, CAMARINES SUR</t>
  </si>
  <si>
    <t>BARANGAY ZONE 1 - BAYBAY CITY</t>
  </si>
  <si>
    <t>106TH CONTRACTING OFFICE, AFP PROCUREMENT SERVICE</t>
  </si>
  <si>
    <t>DEPARTMENT OF ENVIRONMENT AND NATURAL RESOURCES - CENRO MATA</t>
  </si>
  <si>
    <t>MUNICIPALITY OF ROSELLER T. LIM, ZAMBOANGA SIBUGAY</t>
  </si>
  <si>
    <t>MUNICIPALITY OF TANZA, CAVITE</t>
  </si>
  <si>
    <t>BARANGAY NAPANGAN, DON VICTORIANO CHIONGBIAN</t>
  </si>
  <si>
    <t>MUNICIPALITY OF MADRID ,  SURIGAO DEL SUR</t>
  </si>
  <si>
    <t>PROVINCE OF AGUSAN DEL SUR</t>
  </si>
  <si>
    <t>NORZAGARAY WATER DISTRICT</t>
  </si>
  <si>
    <t>PUERTO PRINCESA CITY WATER DISTRICT</t>
  </si>
  <si>
    <t>SACRAMENTO VALLEY ELEMENTARY SCHOOL</t>
  </si>
  <si>
    <t>MUNICIPALITY OF SAN MARCELINO, ZAMBALES</t>
  </si>
  <si>
    <t>MUNICIPALITY OF SAN MIGUEL, LEYTE</t>
  </si>
  <si>
    <t>NEW ORMOC CITY NATIONAL HIGH SCHOOL</t>
  </si>
  <si>
    <t>MUNICIPALITY OF SAN FERNANDO, BUKIDNON</t>
  </si>
  <si>
    <t>MUNICIPALITY OF GATTARAN, CAGAYAN</t>
  </si>
  <si>
    <t>DEPARTMENT OF PUBLIC WORKS AND HIGHWAYS - ILOILO 2ND DISTRIC</t>
  </si>
  <si>
    <t>CITY OF OZAMIS, MISAMIS OCCIDENTAL</t>
  </si>
  <si>
    <t>BARANGAY 7 POBLACION, LUCENA CITY</t>
  </si>
  <si>
    <t>MINISTRY OF SOCIAL SERVICES, BARMM</t>
  </si>
  <si>
    <t>BANQUEROHAN NATIONAL HIGH SCHOOL</t>
  </si>
  <si>
    <t>NATIONAL JAIL MANAGEMENT AND PENOLOGY TRAINING INSTITUTE</t>
  </si>
  <si>
    <t>VISAYAS STATE UNIVERSITY - MAIN CAMPUS</t>
  </si>
  <si>
    <t>MUNICIPALITY OF TAGBINA, SURIGAO DEL SUR</t>
  </si>
  <si>
    <t>BARANGAY JAMABALUD, POTOTAN, ILOILO</t>
  </si>
  <si>
    <t>MUNICIPALITY OF BASISTA, PANGASINAN</t>
  </si>
  <si>
    <t>BARANGAY LUNA, MABINI, PANGASINAN</t>
  </si>
  <si>
    <t>COMMISSION ON POPULATION - REGION III</t>
  </si>
  <si>
    <t>JOSE L. PORRAS ELEMENTARY SCHOOL</t>
  </si>
  <si>
    <t>JOSE R. REYES MEMORIAL MEDICAL CENTER</t>
  </si>
  <si>
    <t>BARANGAY NABONGSORAN, AROROY, MASBATE</t>
  </si>
  <si>
    <t>METRO COTABATO WATER DISTRICT</t>
  </si>
  <si>
    <t>MUNICIPALITY OF STA. MARIA, PANGASINAN</t>
  </si>
  <si>
    <t>BARANGAY POBLACION 2 - DARAM SAMAR</t>
  </si>
  <si>
    <t>BALUCUC NATIONAL HIGH SCHOOL</t>
  </si>
  <si>
    <t>CONGRESSIONAL NATIONAL HIGH SCHOOL</t>
  </si>
  <si>
    <t>ENVIRONMENTAL MANAGEMENT BUREAU - REGION XI</t>
  </si>
  <si>
    <t>CITY OF BATANGAS, BATANGAS</t>
  </si>
  <si>
    <t>TESDA PROVINCIAL TRAINING CENTER - GUINOBATAN</t>
  </si>
  <si>
    <t>MUNICIPALITY OF ALBUERA, LEYTE</t>
  </si>
  <si>
    <t>BAUAN TECHNICAL HIGH SCHOOL</t>
  </si>
  <si>
    <t>CIVIL AVIATION AUTHORITY OF THE PHILIPPINES - CALBAYOG AIRPO</t>
  </si>
  <si>
    <t>BUREAU OF PLANT INDUSTRY - REGION X</t>
  </si>
  <si>
    <t>LAND TRANSPORTATION OFFICE - MAIN</t>
  </si>
  <si>
    <t>DENR-CENRO, DON CARLOS BUKIDNON</t>
  </si>
  <si>
    <t>DEPARTMENT OF PUBLIC WORKS AND HIGHWAYS - ILOILO 4TH DEO</t>
  </si>
  <si>
    <t>MUNICIPALITY OF STA. MARIA, ROMBLON</t>
  </si>
  <si>
    <t>BAUAN NATIONAL AGRICULTURAL AND VOCATIONAL HIGH SCHOOL</t>
  </si>
  <si>
    <t>EASTERN VISAYAS STATE UNIVERSITY-TANAUAN CAMPUS</t>
  </si>
  <si>
    <t>DEPARTMENT OF PUBLIC WORKS AND HIGHWAYS - LA UNION 2ND ED</t>
  </si>
  <si>
    <t>BARANGAY AIRPORT - ORMOC CITY</t>
  </si>
  <si>
    <t>DEPARTMENT OF PUBLIC WORKS AND HIGHWAYS - CAMARINES NORTE ED</t>
  </si>
  <si>
    <t>DEPARTMENT OF AGRARIAN REFORM - EASTERN SAMAR</t>
  </si>
  <si>
    <t>ASUNCION RAMOS ELEMENTARY SCHOOL</t>
  </si>
  <si>
    <t>BARANGAY BANCALAAN - BALABAC PALAWAN</t>
  </si>
  <si>
    <t>BANGKO SENTRAL NG PILIPINAS - TACLOBAN BRANCH</t>
  </si>
  <si>
    <t>MUNICIPALITY OF HERNANI, EASTERN SAMAR</t>
  </si>
  <si>
    <t>BARANGAY LAZARETO, CALAPAN, ORIENTAL MINDORO</t>
  </si>
  <si>
    <t>PRESIDENTIAL BROADCAST STAFF ,RTVM</t>
  </si>
  <si>
    <t>BARANGAY STO. NIÑO, CALAPAN CITY, ORIENTAL MINDORO</t>
  </si>
  <si>
    <t>MUNICIPALITY OF CASTILLEJOS, ZAMBALES</t>
  </si>
  <si>
    <t>CAMP VICENTE LIM INTEGRATED SCHOOL</t>
  </si>
  <si>
    <t>PHILIPPINE CARABAO CENTER AT MLPC</t>
  </si>
  <si>
    <t>DEPARTMENT OF EDUCATION - DIVISION OF LANAO DEL NORTE</t>
  </si>
  <si>
    <t>PHILIPPINE RECLAMATION AUTHORITY</t>
  </si>
  <si>
    <t>MECHANIZED INFANTRY DIVISION (PA) SBAC</t>
  </si>
  <si>
    <t>MUNICIPALITY OF LAL-LO, CAGAYAN VALLEY</t>
  </si>
  <si>
    <t>GOVERNMENT SERVICE INSURANCE SYSTEM</t>
  </si>
  <si>
    <t>MUNICIPALITY OF MAHAPLAG - LEYTE</t>
  </si>
  <si>
    <t>BARANGAY DORONGAN, LINGAYEN, PANGASINAN</t>
  </si>
  <si>
    <t>BARANGAY ZONE IV POBLACION, ATIMONAN, QUEZON</t>
  </si>
  <si>
    <t>MUNICIPALITY OF SAN ESTEBAN, ILOCOS SUR</t>
  </si>
  <si>
    <t>PUTATAN ELEMENTARY SCHOOL</t>
  </si>
  <si>
    <t>DEPARTMENT OF EDUCATION - DIVISION OF DINAGAT ISLANDS</t>
  </si>
  <si>
    <t>BARANGAY CABALAOANGAN, SAN QUINTIN, PANGASINAN</t>
  </si>
  <si>
    <t>BARANGAY DARANGAN, BINANGONAN, RIZAL</t>
  </si>
  <si>
    <t>TUNASAN ELEMENTARY SCHOOL</t>
  </si>
  <si>
    <t>DEPARTMENT OF EDUCATION - DIVISION OF CANDON CITY</t>
  </si>
  <si>
    <t>BARANGAY DURUNGAO, BAUAN, BATANGAS</t>
  </si>
  <si>
    <t>BAGONG SILANG ELEMENTARY SCHOOL</t>
  </si>
  <si>
    <t>DEPARTMENT OF EDUCATION - SCHOOLS DIVISION OF ISABELA CITY</t>
  </si>
  <si>
    <t>BARANGAY DEL ROSARIO, BAAO, CAMARINES SUR</t>
  </si>
  <si>
    <t>CAGBACONG ELEMENTARY SCHOOL - LEGAZPI CITY ALBAY</t>
  </si>
  <si>
    <t>MUNICIPALITY OF ALITAGTAG, BATANGAS</t>
  </si>
  <si>
    <t>PHILIPPINE STATISTICS AUTHORITY - BATANGAS CITY</t>
  </si>
  <si>
    <t>DEPARTMENT OF PUBLIC WORKS AND HIGHWAYS - SULTAN KUDARAT 2ND</t>
  </si>
  <si>
    <t>COTABATO FOUNDATION COLLEGE OF SCIENCE &amp; TECHNOLOGY</t>
  </si>
  <si>
    <t>BARANGAY ALAC, SAN QUINTIN, PANGASINAN</t>
  </si>
  <si>
    <t>CITY  OF ESCALANTE, NEGROS OCCIDENTAL</t>
  </si>
  <si>
    <t>SCIENCE EDUCATION INSTITUTE</t>
  </si>
  <si>
    <t>BARANGAY PINYA, LABO, CAMARINES NORTE</t>
  </si>
  <si>
    <t>DEPARTMENT OF PUBLIC WORKS AND HIGHWAYS - SOUTH METRO MANILA</t>
  </si>
  <si>
    <t>BARANGAY SAN ISIDRO, CATANAUAN, QUEZON</t>
  </si>
  <si>
    <t>MUNICIPALITY OF KAPATAGAN, LANAO DEL NORTE</t>
  </si>
  <si>
    <t>TRES ANDANAS ELEMENTARY SCHOOL</t>
  </si>
  <si>
    <t>AGRICULTURAL TRAINING INSTITUTE - CAMARINES SUR</t>
  </si>
  <si>
    <t>BARANGAY REMEDIOS - DANAO BOHOL</t>
  </si>
  <si>
    <t>BARANGAY CENTRO, PAMPLONA, CAGAYAN</t>
  </si>
  <si>
    <t>BARANGAY CONCEPCION, LIBMANAN, CAMARINES SUR</t>
  </si>
  <si>
    <t>MACASANDIG ELEMENTARY SCHOOL</t>
  </si>
  <si>
    <t>BARANGAY STA. CRUZ ISABEL LEYTE</t>
  </si>
  <si>
    <t>BARANGAY SAN JUAN, LIBMANAN, CAMARINES SUR</t>
  </si>
  <si>
    <t>BARANGAY PATAG, LIBMANAN, CAMARINES SUR</t>
  </si>
  <si>
    <t>VICTORIAS CITY WATER DISTRICT</t>
  </si>
  <si>
    <t>BARANGAY MAMBAYAWAS, LIBMANAN, CAMARINES SUR</t>
  </si>
  <si>
    <t>CAGAWASAN ELEMENTARY SCHOOL</t>
  </si>
  <si>
    <t>MARINDUQUE NATIONAL HIGH SCHOOL</t>
  </si>
  <si>
    <t>SIPOCOT NATIONAL HIGH SCHOOL</t>
  </si>
  <si>
    <t>PHILIPPINE TRADE TRAINING CENTER</t>
  </si>
  <si>
    <t>ALIMATOC ELEMENTARY SCHOOL</t>
  </si>
  <si>
    <t>NAGA ANGELA ELEMENTARY SCHOOL</t>
  </si>
  <si>
    <t>TOLEDO CITY WATER DISTRICT</t>
  </si>
  <si>
    <t>BUYABOD SCHOOL OF ARTS AND TRADES</t>
  </si>
  <si>
    <t>DEPARTMENT OF PUBLIC WORKS AND HIGHWAYS - BACOLOD CITY DEO</t>
  </si>
  <si>
    <t>NATIONAL IRRIGATION ADMINISTRATION - DAVAO ORIENTAL</t>
  </si>
  <si>
    <t>PROVINCE OF NUEVA ECIJA</t>
  </si>
  <si>
    <t>COMMISSION ON POPULATION AND DEVELOPMENT - REGION IV</t>
  </si>
  <si>
    <t>NATIONAL CENTER FOR MENTAL HEALTH</t>
  </si>
  <si>
    <t>DEPARTMENT OF INFORMATION AND COMMUNICATION TECHNOLOGY</t>
  </si>
  <si>
    <t>PULONG STA. CRUZ NATIONAL HIGH SCHOOL</t>
  </si>
  <si>
    <t>PHILIPPINE NATIONAL POLICE - CARAGA</t>
  </si>
  <si>
    <t>MANOLO FORTICH NATIONAL HIGH SCHOOL</t>
  </si>
  <si>
    <t>DEPARTMENT OF PUBLIC WORKS AND HIGHWAYS - IFUGAO 2ND DEO</t>
  </si>
  <si>
    <t>BARANGAY IBOL, CATBALOGAN CITY, SAMAR</t>
  </si>
  <si>
    <t>ISABELA CITY WATER DISTRICT</t>
  </si>
  <si>
    <t>BARANGAY STO. DOMINGO, CAINTA, RIZAL</t>
  </si>
  <si>
    <t>MUNICIPALITY OF GENERAL NAKAR, QUEZON</t>
  </si>
  <si>
    <t>MUNICIPALITY OF ADAMS, ILOCOS NORTE</t>
  </si>
  <si>
    <t>BARANGAY SAN MIGUEL, BAGGAO, CAGAYAN</t>
  </si>
  <si>
    <t>CITY OF DIPOLOG, ZAMBOANGA DEL NORTE</t>
  </si>
  <si>
    <t>BARANGAY ALBA, BAGGAO, CAGAYAN</t>
  </si>
  <si>
    <t>BARANGAY SAN ANTONIO, BAGGAO, CAGAYAN</t>
  </si>
  <si>
    <t>KABACAN WATER DISTRICT</t>
  </si>
  <si>
    <t>MUNICIPALITY OF LAGONOY, CAMARINES SUR</t>
  </si>
  <si>
    <t>SAN ANTONIO NATIONAL HIGH SCHOOL - CAUAYAN CITY ISABELA</t>
  </si>
  <si>
    <t>BARANGAY CINCO SIERRA, CATBALOGAN CITY, SAMAR</t>
  </si>
  <si>
    <t>MUNICIPALITY OF RODRIGUEZ, RIZAL</t>
  </si>
  <si>
    <t>BARANGAY 07 POBLACION, CATBALOGAN, SAMAR</t>
  </si>
  <si>
    <t>BARANGAY SAN BERNABE - MADDELA QUIRINO</t>
  </si>
  <si>
    <t>MUNICIPALITY OF LARENA, SIQUIJOR</t>
  </si>
  <si>
    <t>BARANGAY CAGUTIAN, CATBALOGAN CITY, SAMAR</t>
  </si>
  <si>
    <t>MUNICIPALITY OF CABIAO, NUEVA ECIJA</t>
  </si>
  <si>
    <t>BARANGAY PICO LA TRINIDAD BENGUET</t>
  </si>
  <si>
    <t>BARANGAY ESTAKA, CATBALOGAN CITY</t>
  </si>
  <si>
    <t>BARANGAY NANGKA - BAYAWAN CITY NEGROS ORIENTAL</t>
  </si>
  <si>
    <t>BARANGAY KAUNLARAN - NAVOTAS CITY</t>
  </si>
  <si>
    <t>DEPARTMENT OF PUBLIC WORKS AND HIGHWAYS - LEYTE 3RD DEO</t>
  </si>
  <si>
    <t>BARANGAY SAN VICENTE, BAGGAO, CAGAYAN</t>
  </si>
  <si>
    <t>PROVINCE OF DAVAO OCCIDENTAL</t>
  </si>
  <si>
    <t>PILI WATER DISTRICT</t>
  </si>
  <si>
    <t>BARANGAY DIVISORIA NORTE, MADDELA, QUIRINO</t>
  </si>
  <si>
    <t>CITY OF ANGELES, PAMPANGA</t>
  </si>
  <si>
    <t>PUERTO ELEMENTARY SCHOOL</t>
  </si>
  <si>
    <t>BARANGAY TANDANG SORA, QUEZON CITY</t>
  </si>
  <si>
    <t>MUNICIPALITY OF MAGSAYSAY, MISAMIS ORIENTAL</t>
  </si>
  <si>
    <t>BARANGAY VISAYAN VILLAGE, TAGUM CITY</t>
  </si>
  <si>
    <t>BUREAU OF FISHERIES AND AQUATIC RESOURCES - REGION IV-A</t>
  </si>
  <si>
    <t>BARANGAY LABU-O, PRESIDENT ROXAS, COTABATO</t>
  </si>
  <si>
    <t>MUNICIPALITY OF POTOTAN, ILOILO</t>
  </si>
  <si>
    <t>BARANGAY BITAOGAN - SAN ISIDRO DAVAO ORIENTAL</t>
  </si>
  <si>
    <t>MUNICIPALITY OF SAGNAY, CAMARINES SUR</t>
  </si>
  <si>
    <t>BARANGAY SINALA, BAUAN, BATANGAS</t>
  </si>
  <si>
    <t xml:space="preserve">BUREAU OF PLANT INDUSTRY-DAVAO </t>
  </si>
  <si>
    <t>DON CARLOS CENTRAL ELEMENTARY SCHOOL</t>
  </si>
  <si>
    <t xml:space="preserve">MIDSALIP NATIONAL HIGH SCHOOL - SENIOR HIGH </t>
  </si>
  <si>
    <t>BAYANAN ELEMENTARY SCHOOL UNIT I</t>
  </si>
  <si>
    <t>BUREAU OF FIRE PROTECTION - NATIONAL HEADQUARTERS</t>
  </si>
  <si>
    <t>BARANGAY DITA, CUENCA, BATANGAS</t>
  </si>
  <si>
    <t>DEPARTMENT OF EDUCATION - DIVISION OF EL SALVADOR CITY</t>
  </si>
  <si>
    <t>BUNGGO NATIONAL HIGH SCHOOL</t>
  </si>
  <si>
    <t>CITY OF ILOILO</t>
  </si>
  <si>
    <t>MUNICIPALITY OF PANGLAO, BOHOL</t>
  </si>
  <si>
    <t>MUNICIPALITY OF SIBUTAD, ZAMBOANGA DEL NORTE</t>
  </si>
  <si>
    <t>MUNICIPALITY OF LEYTE, LEYTE</t>
  </si>
  <si>
    <t>BARANGAY CAMPO IV- RAMON MAGSAYSAY ZAMBOANGA DEL SUR</t>
  </si>
  <si>
    <t>BARANGAY DIPINTIN, MADDELA, QUIRINO</t>
  </si>
  <si>
    <t>NATIONAL WAGES AND PRODUCTIVITY COMMISSION</t>
  </si>
  <si>
    <t>BARANGAY POBLACION CORDOVA</t>
  </si>
  <si>
    <t>NATIONAL IRRIGATION ADMINISTRATION - UPRIIS</t>
  </si>
  <si>
    <t>UPPER BICUTAN ELEMENTARY SCHOOL</t>
  </si>
  <si>
    <t>INDAHAG ELEMENTARY SCHOOL- CAGAYAN DE ORO CITY MISAMIS ORIEN</t>
  </si>
  <si>
    <t>BARANGAY SAN JUAN, SANTA FE, LEYTE</t>
  </si>
  <si>
    <t>MUNICIPALITY OF BAAO, CAMARINES SUR</t>
  </si>
  <si>
    <t>BARANGAY SAN ANTONIO - OZAMIS CITY, MISAMIS OCCIDENTAL</t>
  </si>
  <si>
    <t>NATIONAL IRRIGATION ADMINISTRATION - LIGAO CITY, ALBAY</t>
  </si>
  <si>
    <t>BARANGAY MINANGA - SAN MARIANO ISABELA</t>
  </si>
  <si>
    <t>MUNICIPALITY OF BALETE, BATANGAS</t>
  </si>
  <si>
    <t>BARANGAY STA. CRUZ, BONGABONG, ORIENTAL MINDORO</t>
  </si>
  <si>
    <t>BARANGAY  POBLACION 1 - PINABACDAO SAMAR</t>
  </si>
  <si>
    <t>NATIONAL IRRIGATION ADMINISTRATION - REGION 12</t>
  </si>
  <si>
    <t>BARANGAY LIGAYA, GABALDON, NUEVA ECIJA</t>
  </si>
  <si>
    <t>BARANGAY BARROC, TIGBAUAN, ILOILO</t>
  </si>
  <si>
    <t>BARANGAY NADAWISAN, CATAINGAN, MASBATE</t>
  </si>
  <si>
    <t>PROVINCE OF CEBU</t>
  </si>
  <si>
    <t>MUNICIPALITY OF PAGSANJAN, LAGUNA</t>
  </si>
  <si>
    <t>DEPARTMENT OF EDUCATION - DIVISION OF MAKATI</t>
  </si>
  <si>
    <t>BARANGAY 40, TACLOBAN CITY, LEYTE</t>
  </si>
  <si>
    <t>MUNICIPALITY OF PAGSANGHAN, SAMAR</t>
  </si>
  <si>
    <t>DEPARTMENT OF PUBLIC WORKS AND HIGHWAYS - BUKIDNON 3RD DEO</t>
  </si>
  <si>
    <t>BARANGAY SAN MIGUEL ARAKAN COTABATO</t>
  </si>
  <si>
    <t>BARANGAY DARONG, STA. CRUZ, DAVAO DEL SUR</t>
  </si>
  <si>
    <t>BARANGAY BALEYADAAN - ALAMINOS CITY PANGASINAN</t>
  </si>
  <si>
    <t>BARANGAY MABUTTAL EAST, BALLESTEROS, CAGAYAN</t>
  </si>
  <si>
    <t>BARANGAY FLORMINA, MONDRAGON, NORTHERN SAMAR</t>
  </si>
  <si>
    <t>DEPARTMENT OF AGRARIAN REFORM - REGION XII</t>
  </si>
  <si>
    <t>BARANGAY  BAGUINGE - KIANGAN IFUGAO</t>
  </si>
  <si>
    <t>DEPARTMENT OF ENERGY - MAIN</t>
  </si>
  <si>
    <t>DEPARTMENT OF EDUCATION - DIVISION OF LA CARLOTA CITY</t>
  </si>
  <si>
    <t>DEPARTMENT OF PUBLIC WORKS AND HIGHWAYS - ISABELA 4TH DEO</t>
  </si>
  <si>
    <t>MUNICIPALITY OF LILA,  BOHOL</t>
  </si>
  <si>
    <t>DEPARTMENT OF PUBLIC WORKS AND HIGHWAYS - BUKIDNON 2ND DEO</t>
  </si>
  <si>
    <t>MUNICIPALITY OF JUBAN, SORSOGON</t>
  </si>
  <si>
    <t>MUNICIPALITY OF SARRAT, ILOCOS NORTE</t>
  </si>
  <si>
    <t>PROVINCE OF MISAMIS ORIENTAL</t>
  </si>
  <si>
    <t>BALAYAN WATER DISTRICT</t>
  </si>
  <si>
    <t>PHILIPPINE COMPETITION COMMISSION</t>
  </si>
  <si>
    <t>MUNICIPALITY OF MAMBUSAO, CAPIZ</t>
  </si>
  <si>
    <t>PROVINCIAL GOVERNMENT OF CAMARINES NORTE</t>
  </si>
  <si>
    <t>MUNICIPALITY OF LAAK, DAVAO DE ORO</t>
  </si>
  <si>
    <t>MUNICIPALITY OF BOKOD, BENGUET</t>
  </si>
  <si>
    <t>AGUSAN DEL SUR STATE COLLEGE OF AGRICULTURE AND TECHNOLOGY</t>
  </si>
  <si>
    <t>NATIONAL IRRIGATION ADMINISTRATION - NVIMO</t>
  </si>
  <si>
    <t>BARANGAY BALAWING, AROROY, MASBATE</t>
  </si>
  <si>
    <t>PHILIPPINE CARABAO CENTER - KABACAN COTABATO</t>
  </si>
  <si>
    <t>MUNICIPALITY OF LAKE WOOD, ZAMBOANGA DEL SUR</t>
  </si>
  <si>
    <t>MUNICIPALITY OF MONKAYO, COMPOSTELA VALLEY</t>
  </si>
  <si>
    <t>MINDANAO STATE UNIVERSITY - NAAWAN</t>
  </si>
  <si>
    <t>MUNICIPALITY OF MOALBOAL, CEBU</t>
  </si>
  <si>
    <t>BARANGAY CABINUANGAN</t>
  </si>
  <si>
    <t>DEPARTMENT OF PUBLIC WORKS AND HIGHWAYS - NUEVA ECIJA 1ST DE</t>
  </si>
  <si>
    <t>KALILANGAN NATIONAL HIGH SCHOOL</t>
  </si>
  <si>
    <t>BARANGAY MALUMMIN, TUAO, CAGAYAN</t>
  </si>
  <si>
    <t>MUNICIPALITY OF NAGUILIAN, LA UNION</t>
  </si>
  <si>
    <t>PHILIPPINE SCIENCE HIGH SCHOOL - CAR CAMPUS</t>
  </si>
  <si>
    <t>BARANGAY 17, SAN FRANCISCO, LAOAG CITY, ILOCOS NORTE</t>
  </si>
  <si>
    <t>MUNICIPALITY OF SAN BENITO, SURIGAO DEL NORTE</t>
  </si>
  <si>
    <t>BARANGAY BAGOR, KADINGILAN, BUKIDNON</t>
  </si>
  <si>
    <t>BARANGAY PINAMUCAN SILANGAN -  BATANGAS CITY</t>
  </si>
  <si>
    <t>BARANGAY TORRE IST, MANGATAREM, PANGASINAN</t>
  </si>
  <si>
    <t>MUNICIPALITY OF QUEZON, QUEZON</t>
  </si>
  <si>
    <t>MUNICIPALITY OF PIO DURAN, ALBAY</t>
  </si>
  <si>
    <t>302ND CONTRACTING OFFICE, AFP PROCUREMENT SERVICE</t>
  </si>
  <si>
    <t>ENVIRONMENTAL MANAGEMENT BUREAU - CARAGA</t>
  </si>
  <si>
    <t>BARANGAY BACSAY CATARAOAN NORTE CLAVERIA CAGAYAN</t>
  </si>
  <si>
    <t>MUNICIPALITY OF STA. TERESITA, CAGAYAN</t>
  </si>
  <si>
    <t>ISABELA REHABILITATION CENTER</t>
  </si>
  <si>
    <t>MUNICIPALITY OF DUEÑAS, ILOILO</t>
  </si>
  <si>
    <t>MUNICIPALITY OF STA.CRUZ, DAVAO DEL SUR</t>
  </si>
  <si>
    <t>BARANGAY ALABUG - TUAO CAGAYAN</t>
  </si>
  <si>
    <t>MUNICIPALITY OF ALEGRIA, CEBU</t>
  </si>
  <si>
    <t>LAND BANK OF THE PHILIPPINES - REGION XII</t>
  </si>
  <si>
    <t>MUNICIPALITY OF PANTUKAN, COMPOSTELA VALLEY</t>
  </si>
  <si>
    <t>BARANGAY LANGKONG - M'LANG COTABATO</t>
  </si>
  <si>
    <t>BARANGAY SOCORRO, CATBALOGAN CITY, SAMAR</t>
  </si>
  <si>
    <t>BARANGAY CAGUMITAN - TUAO CAGAYAN</t>
  </si>
  <si>
    <t>COTABATO REGIONAL AND MEDICAL CENTER</t>
  </si>
  <si>
    <t>CITY OF GENERAL TRIAS, CAVITE</t>
  </si>
  <si>
    <t>MUNICIPALITY OF TUAO, CAGAYAN</t>
  </si>
  <si>
    <t>CITY OF MARIKINA</t>
  </si>
  <si>
    <t>CITY OF BAGO, NEGROS OCCIDENTAL</t>
  </si>
  <si>
    <t>BARANGAY CALANTAC, ALCALA, CAGAYAN</t>
  </si>
  <si>
    <t>PAIISA NATIONAL HIGH SCHOOL - TIAONG QUEZON</t>
  </si>
  <si>
    <t>DEVELOPMENT ACADEMY OF THE PHILIPPINES</t>
  </si>
  <si>
    <t>MUNICIPALITY OF MAGALLANES, CAVITE</t>
  </si>
  <si>
    <t>MANITO NATIONAL HIGH SCHOOL</t>
  </si>
  <si>
    <t>MUNICIPALITY OF LUPAO, NUEVA ECIJA</t>
  </si>
  <si>
    <t>SIMATA NATIONAL HIGH SCHOOL  MOLAVE ZAMBOANGA DEL SUR</t>
  </si>
  <si>
    <t>BUREAU OF INTERNAL REVENUE - REVENUE REGION NO. 19</t>
  </si>
  <si>
    <t>MUNICIPALITY OF ODIONGAN, ROMBLON</t>
  </si>
  <si>
    <t>MUNICIPALITY OF SUYO, ILOCOS SUR</t>
  </si>
  <si>
    <t xml:space="preserve">DEPARTMENT OF PUBLIC WORKS AND HIGHWAYS - SURIGAO DEL NORTE </t>
  </si>
  <si>
    <t>DENR FORESTLAND MANAGEMENT PROJECT</t>
  </si>
  <si>
    <t>MUNICIPALITY OF STA. MAGDALENA, SORSOGON</t>
  </si>
  <si>
    <t>VILLA JACINTA NATIONAL VOCATIONAL HIGH SCHOOL</t>
  </si>
  <si>
    <t>DEPARTMENT OF THE INTERIOR AND LOCAL GOVERNMENT - REGION I</t>
  </si>
  <si>
    <t>MUNICIPALITY OF PIDIGAN, ABRA</t>
  </si>
  <si>
    <t>DR. VICENTE F. GUSTILO MEMORIAL NATIONAL HIGH SCHOOL</t>
  </si>
  <si>
    <t>BARANGAY MALAGUICAY, ABUYOG, LEYTE</t>
  </si>
  <si>
    <t>BARANGAY ANUSAN, CATANAUAN, QUEZON</t>
  </si>
  <si>
    <t>BARANGAY ZONE 23 -  BAYBAY CITY LEYTE</t>
  </si>
  <si>
    <t>BOLO NORTE HIGH SCHOOL - SIPOCOT CAMARINES SUR</t>
  </si>
  <si>
    <t>MUNICIPALITY OF NEW LUCENA, ILOILO</t>
  </si>
  <si>
    <t>BARANGAY TUGOS, BOAC, MARINDUQUE</t>
  </si>
  <si>
    <t>RICARDO P. CRUZ SR. ELEMENTARY SCHOOL</t>
  </si>
  <si>
    <t>DEVELOPMENT BANK OF THE PHILIPPINES - BBG NORTHERN LUZON</t>
  </si>
  <si>
    <t>BARANGAY BAYO GRANDE, ANINI-Y, ANTIQUE</t>
  </si>
  <si>
    <t>BARANGAY CAGDIANAO, CLAVER, SURIGAO DEL NORTE</t>
  </si>
  <si>
    <t>BARANGAY AFUSING DAGA, ALCALA, CAGAYAN</t>
  </si>
  <si>
    <t>CITY OF TABUK, KALINGA</t>
  </si>
  <si>
    <t>T. AWAD ECHEVARRIA ELEMENTARY SCHOOL</t>
  </si>
  <si>
    <t>MUNICIPALITY OF MAYANTOC, TARLAC</t>
  </si>
  <si>
    <t>DEPARTMENT OF EDUCATION - DIVISION OF DAPITAN CITY</t>
  </si>
  <si>
    <t>BARANGAY POBLACION - PUERTO GALERA ORIENTAL MINDORO</t>
  </si>
  <si>
    <t>MUNICIPALITY OF MIDSAYAP, NORTH COTABATO</t>
  </si>
  <si>
    <t>MUNICIPALITY OF VINCENZO SAGUN, ZAMBOANGA DEL SUR</t>
  </si>
  <si>
    <t>HOUSE OF REPRESENTATIVES</t>
  </si>
  <si>
    <t>BAGO CITY WATER DISTRICT</t>
  </si>
  <si>
    <t>INDAHAG NATIONAL HIGH SCHOOL</t>
  </si>
  <si>
    <t>BUREAU OF FISHERIES AND AQUATIC RESOURCES - REGION VII</t>
  </si>
  <si>
    <t>DEPARTMENT OF  EDUCATION - DIVISION OF TARLAC CITY</t>
  </si>
  <si>
    <t>BUREAU OF PLANT INDUSRTY - REGION II</t>
  </si>
  <si>
    <t>TECHNICAL EDUCATION &amp; SKILLS DEVELOPMENT AUTHORITY - PANGASI</t>
  </si>
  <si>
    <t>BARANGAY CUEVAS, TRENTO, AGUSAN DEL SUR</t>
  </si>
  <si>
    <t>BARANGAY LANURO, HAGONOY, DAVAO DEL SUR</t>
  </si>
  <si>
    <t>DEPARTMENT OF EDUCATION - DIVISION OF BATAAN</t>
  </si>
  <si>
    <t>MUNICIPALITY OF RONDA, CEBU</t>
  </si>
  <si>
    <t>MUNICIPALITY OF DINAGAT, DINAGAT ISLANDS</t>
  </si>
  <si>
    <t>DEPARTMENT OF EDUCATION - DIVISION OF DANAO CITY</t>
  </si>
  <si>
    <t>BACUSANON NATIONAL HIGH SCHOOL</t>
  </si>
  <si>
    <t>WESTERN MINDANAO STATE UNIVERSITY</t>
  </si>
  <si>
    <t>BARANGAY MAABAY, SIBUNAG, GUIMARAS</t>
  </si>
  <si>
    <t>MUNICIPALITY OF SALLAPADAN, ABRA</t>
  </si>
  <si>
    <t>BARANGAY SAN FRANCISCO EAST - ANAO TARLAC</t>
  </si>
  <si>
    <t>BARANGAY FRANCIA, LIGAO CITY, ALBAY</t>
  </si>
  <si>
    <t>BARANGAY LIBERTY, HILONGOS, LEYTE</t>
  </si>
  <si>
    <t>MUNICIPALITY OF CANDELARIA, QUEZON</t>
  </si>
  <si>
    <t>MUNICIPALITY OF SAN PABLO, ZAMBOANGA DEL SUR</t>
  </si>
  <si>
    <t>GOVERNOR CELESTINO GALLARES MEMORIAL HOSPITAL</t>
  </si>
  <si>
    <t>MUNICIPALITY OF BALIGUIAN, ZAMBOANGA DEL NORTE</t>
  </si>
  <si>
    <t>LUISA MEDEL NATIONAL HIGH SCHOOL - BACOLOD CITY</t>
  </si>
  <si>
    <t>MUNICIPALITY OF LASAM, CAGAYAN</t>
  </si>
  <si>
    <t>BARANGAY TUMOG, LUNA, APAYAO</t>
  </si>
  <si>
    <t>BARANGAY RANG AY, CABATUAN, ISABELA</t>
  </si>
  <si>
    <t>SOUTHERN LUZON STATE UNIVERSITY</t>
  </si>
  <si>
    <t>MUNICIPALITY OF ISABEL, LEYTE</t>
  </si>
  <si>
    <t>BARANGAY MALALATAN, ALCALA, CAGAYAN</t>
  </si>
  <si>
    <t>BARANGAY POBLACION, TAYTAY, PALAWAN</t>
  </si>
  <si>
    <t>LOCAL GOVERNMENT UNIT-MULANAY, QUEZON</t>
  </si>
  <si>
    <t>DAVAO CITY WATER DISTRICT</t>
  </si>
  <si>
    <t>MUNICIPALITY OF KINOGUITAN , MISAMIS ORIENTAL</t>
  </si>
  <si>
    <t>BARANGAY  POROPANDAN - MATNOG SORSOGON</t>
  </si>
  <si>
    <t>BARANGAY SAWAT, URBIZTONDO, PANGASINAN</t>
  </si>
  <si>
    <t>BARANGAY CANINO-AN - PASTRANA LEYTE</t>
  </si>
  <si>
    <t>DR. E. B. ESPINOSA, SR. MEMORIAL STATE COL OF AGRIC AND TECH</t>
  </si>
  <si>
    <t>RIZAL TECHNOLOGICAL UNIVERSITY</t>
  </si>
  <si>
    <t>BARANGAY PALCA - PALCA TUAO CAGAYAN</t>
  </si>
  <si>
    <t>MUNICIPALITY OF BATUAN, BOHOL</t>
  </si>
  <si>
    <t>SAGASAN ELEMENTARY SCHOOL - SAN PABLO ZAMBOANGA DEL SUR</t>
  </si>
  <si>
    <t>PARANG HIGH SCHOOL</t>
  </si>
  <si>
    <t>BARANGAY BENITON, BONTOC, SOUTHERN LEYTE</t>
  </si>
  <si>
    <t>SAN NICOLAS WATER DISTRICT - ILOCOS NORTE</t>
  </si>
  <si>
    <t>UNIVERSITY OF THE PHILIPPINES - LOS BAÑOS</t>
  </si>
  <si>
    <t>MUNICIPALITY OF BOSTON, DAVAO ORIENTAL</t>
  </si>
  <si>
    <t>CARABALAN ELEMENTARY SCHOOL - HIMAMAYLAN CITY</t>
  </si>
  <si>
    <t>MUNICIPALITY LINAPACAN, PALAWAN</t>
  </si>
  <si>
    <t>MUNICIPALITY OF LIBONA, BUKIDNON</t>
  </si>
  <si>
    <t>BARANGAY 04 POBLACION, CATBALOGAN CITY</t>
  </si>
  <si>
    <t>PALAR INTEGRATED SCHOOL</t>
  </si>
  <si>
    <t>CARCAR WATER DISTRICT</t>
  </si>
  <si>
    <t>BARANGAY EAST DALURONG, KITAOTAO, BUKIDNON</t>
  </si>
  <si>
    <t>BARANGAY 06 POBLACION, CATBALOGAN CITY, SAMAR</t>
  </si>
  <si>
    <t>BARANGAY TOBGON, OAS, ALBAY</t>
  </si>
  <si>
    <t>DEPARTMENT OF PUBLIC WORKS AND HIGHWAYS - ILOCOS NORTE 2ND D</t>
  </si>
  <si>
    <t>BARANGAY I(BONTOG), MATAAS NA KAHOY, BATANGAS</t>
  </si>
  <si>
    <t>GINGOOG CITY WATER DISTRICT</t>
  </si>
  <si>
    <t>MUNICIPALITY OF LA LIBERTAD, NEGROS ORIENTAL</t>
  </si>
  <si>
    <t>DEPARTMENT OF EDUCATION - DIVISION OF CALBAYOG CITY</t>
  </si>
  <si>
    <t>MUNICIPALITY OF LIBACAO, AKLAN</t>
  </si>
  <si>
    <t>CULTURAL CENTER OF THE PHILIPPINES - PASAY CITY METRO MANILA</t>
  </si>
  <si>
    <t>BAYUGAN NATIONAL COMPREHENSIVE HIGH SCHOOL</t>
  </si>
  <si>
    <t>CADUHA-AN ELEMENTARY SCHOOL</t>
  </si>
  <si>
    <t>MUNICIPALITY OF CARAMORAN, CATANDUANES</t>
  </si>
  <si>
    <t>BARANGAY TINGIB - PASTRANA LEYTE</t>
  </si>
  <si>
    <t>DEPARTMENT OF PUBLIC WORKS AND HIGHWAYS - PANGASINAN 2ND</t>
  </si>
  <si>
    <t>MUNICIPALITY OF MAITUM, SARANGANI</t>
  </si>
  <si>
    <t>BATAAN PENINSULA STATE UNIVERSITY</t>
  </si>
  <si>
    <t>PROVINCE OF MARINDUQUE</t>
  </si>
  <si>
    <t>MUNICIPALITY OF PIDDIG, PIDDIG, ILOCOS NORTE</t>
  </si>
  <si>
    <t>LAND BANK OF THE PHILIPPINES - OAH IV-B</t>
  </si>
  <si>
    <t>MUNICIPALITY OF DUMANJUG, CEBU</t>
  </si>
  <si>
    <t>BARANGAY COLIAT, OAS, ALBAY</t>
  </si>
  <si>
    <t>BARANGAY BUCAC, BAYUGAN, AGUSAN DEL SUR</t>
  </si>
  <si>
    <t>BARANGAY BASAK - LAPU-LAPU CITY CEBU</t>
  </si>
  <si>
    <t>BARANGAY CASINAGAN, OAS, ALBAY</t>
  </si>
  <si>
    <t>CITY OF CALOOCAN</t>
  </si>
  <si>
    <t>ROXAS NATIONAL COMPREHNSIVE HIGH SCHOOL</t>
  </si>
  <si>
    <t>BARANGAY BERSEBA, BAYUGAN CITY</t>
  </si>
  <si>
    <t>BARANGAY BANGCO, TITAY, ZAMBOANGA SIBUGAY</t>
  </si>
  <si>
    <t>MUNICIPALITY OF KAUSWAGAN, LANAO DEL NORTE</t>
  </si>
  <si>
    <t>MUNICIPALITY OF HINGYON, IFUGAO</t>
  </si>
  <si>
    <t>BARANGAY BUSAC, OAS ALBAY</t>
  </si>
  <si>
    <t>ENVIRONMENTAL MANAGEMENT BUREAU - REGION V</t>
  </si>
  <si>
    <t>MUNICIPALITY OF LOS BAÑOS, LAGUNA</t>
  </si>
  <si>
    <t>MUNICIPALITY OF MALINAO, AKLAN</t>
  </si>
  <si>
    <t>BARAGAY MAANGAS -  PRESENTACION, CAMARINES SUR</t>
  </si>
  <si>
    <t>BARANGAY SAN ISIDRO, NAGUILIAN, LA UNION</t>
  </si>
  <si>
    <t>BARANGAY IMMACULATE CONCEPTION - QUEZON CITY</t>
  </si>
  <si>
    <t>TONGOHIN NATIONAL HIGH SCHOOL - INFANTA QUEZON</t>
  </si>
  <si>
    <t>BARANGAY CARALLANGAN, ALCALA, CAGAYAN</t>
  </si>
  <si>
    <t>MUNICIPALITY OF PONTEVEDRA, NEGROS OCCIDENTAL</t>
  </si>
  <si>
    <t>PHILIPPINE SCIENCE HIGH SCHOOL - CENTRAL LUZON CAMPUS</t>
  </si>
  <si>
    <t>BARANGAY CABARIAN, LIGAO CITY</t>
  </si>
  <si>
    <t>CITY OF TACLOBAN, LEYTE</t>
  </si>
  <si>
    <t>CAGAYAN VALLEY MEDICAL CENTER</t>
  </si>
  <si>
    <t>BARANGAY MAYBUNGA - PASIG CITY</t>
  </si>
  <si>
    <t>BARANGAY CAINGIN, LAPAZ, ILOILO CITY</t>
  </si>
  <si>
    <t>CITY OF SAN CARLOS, NEGROS OCCIDENTAL</t>
  </si>
  <si>
    <t>MUNICIPALITY OF ROSALES, PANGASINAN</t>
  </si>
  <si>
    <t>BARANGAY DAHICAN, CATANAUAN, QUEZON</t>
  </si>
  <si>
    <t>DEPARTMENT OF PUBLIC WORKS AND HIGHWAYS - DAVAO CITY II DEO</t>
  </si>
  <si>
    <t>MUNICIPALITY OF CALATRAVA, ROMBLON</t>
  </si>
  <si>
    <t>BARANGAY PINAGSANJAN - PAGSANJAN LAGUNA</t>
  </si>
  <si>
    <t>CULION SANITARIUM AND GENERAL HOSPITAL</t>
  </si>
  <si>
    <t>DEPARTMENT OF AGRICULTURE - REGION XII</t>
  </si>
  <si>
    <t>PN BAC SECRETARIAT, AFP PROCUREMENT SERVICE</t>
  </si>
  <si>
    <t>EGIDO-FERNANDEZ ELEMENTARY SCHOOL</t>
  </si>
  <si>
    <t>MUNICIPALITY OF ALFONSO CASTAÑEDA, NUEVA VIZCAYA</t>
  </si>
  <si>
    <t>MUNICIPALITY OF IPIL, ZAMBOANGA SIBUGAY</t>
  </si>
  <si>
    <t xml:space="preserve">DEPARTMENT OF PUBLIC WORKS AND HIGHWAYS - ZAMBOANGA DEL SUR </t>
  </si>
  <si>
    <t>BARANGAY BABANG OWAIN - SAMPALOC QUEZON</t>
  </si>
  <si>
    <t>MUNICIPALITY OF VIRAC , CATANDUANES</t>
  </si>
  <si>
    <t>DANGCAGAN CENTRAL ELEMENTARY SCHOOL</t>
  </si>
  <si>
    <t xml:space="preserve">DEPARTMENT OF EDUCATION (SORSOGON CITY DIVISION) - SORSOGON </t>
  </si>
  <si>
    <t>PROVINCIAL GOVERNMENT OF SURIGAO DEL NORTE</t>
  </si>
  <si>
    <t>BINALONAN WATER DISTRICT</t>
  </si>
  <si>
    <t>DIPACULAO WATER DISTRICT</t>
  </si>
  <si>
    <t>BARANGAY TAGNATE, HILONGOS, LEYTE</t>
  </si>
  <si>
    <t>BARANGAY MACALPI-AY - PASTRANA LEYTE</t>
  </si>
  <si>
    <t>MUNICIPALITY OF ALMERIA, BILIRAN</t>
  </si>
  <si>
    <t>DEPARTMENT OF SOCIAL WELFARE AND DEVELOPMENT - CAR</t>
  </si>
  <si>
    <t>SUGAR REGULATORY ADMINISTRATION - VISAYAS</t>
  </si>
  <si>
    <t>URDANETA CITY NATIONAL HIGH SCHOOL</t>
  </si>
  <si>
    <t>BARANGAY KASING-KASING MOLO, ILOILO CITY</t>
  </si>
  <si>
    <t>DEPARTMENT OF EDUCATION - DIVISION OF CAMARINES SUR</t>
  </si>
  <si>
    <t>MUNICIPALITY OF SAN ISIDRO, BOHOL</t>
  </si>
  <si>
    <t>BARANGAY POBLACION, SAN PACUAL, BATANGAS</t>
  </si>
  <si>
    <t>MUNICIPALITY OF BARAS, CATANDUANES</t>
  </si>
  <si>
    <t>EUSEBIO C. SANTOS ELEMENTARY SCHOOL - TAGUIG CITY</t>
  </si>
  <si>
    <t>MUNICIPALITY OF SOGOD, CEBU</t>
  </si>
  <si>
    <t xml:space="preserve">BUREAU OF FISHERIES AND AQUATIC RESOURCES - REGION IV-B </t>
  </si>
  <si>
    <t>BARANGAY CENTRO 4 CLAVERIA CAGAYAN</t>
  </si>
  <si>
    <t>303RD CONTRACTING OFFICE, AFP PROCUREMENT SERVICE</t>
  </si>
  <si>
    <t>BARANGAY TEJERO, HILONGOS, LEYTE</t>
  </si>
  <si>
    <t>DEPARTMENT OF PUBLIC WORKS AND HIGHWAYS - MISAMIS OCCIDENTAL</t>
  </si>
  <si>
    <t>MUNICIPALITY OF MACROHON, SOUTHERN LEYTE</t>
  </si>
  <si>
    <t>MUNICIPALITY OF LABANGAN, ZAMBOANGA DEL SUR</t>
  </si>
  <si>
    <t>CAUAYAN CITY NATIONAL HIGH SCHOOL - CAUAYAN CITY ISABELA</t>
  </si>
  <si>
    <t>BARANGAY BULAGAO, TUAO, CAGAYAN</t>
  </si>
  <si>
    <t>MUNICIPALITY OF SAN JUAN, LA UNION</t>
  </si>
  <si>
    <t>MUNICIPALITY OF AJUY, ILOILO</t>
  </si>
  <si>
    <t>BARANGAY BAGUMBAYAN, TUAO, CAGAYAN</t>
  </si>
  <si>
    <t>OCCUPATIONAL SAFETY AND HEALTH CENTER</t>
  </si>
  <si>
    <t>MUNICIPALITY OF MABINI, PANGASINAN</t>
  </si>
  <si>
    <t>BARANGAY UGONG, PASIG CITY</t>
  </si>
  <si>
    <t>BARANGAY PROTECCION, HILONGOS, LEYTE</t>
  </si>
  <si>
    <t>MUNICIPALITY OF NORALA, SOUTH COTABATO</t>
  </si>
  <si>
    <t>BARANGAY TAN-AG, BANTON, ROMBLON</t>
  </si>
  <si>
    <t>NORTHERN NEGROS STATE COLLEGE OF SCIENCE AND TECHNOLOGY</t>
  </si>
  <si>
    <t>MUNICIPALITY OF CORDON, ISABELA</t>
  </si>
  <si>
    <t>BARANGAY PANTALAN BAGO, ORANI, BATAAN</t>
  </si>
  <si>
    <t>BARANGAY LIBO - ENRIQUE VILLANUEVA SIQUIJOR</t>
  </si>
  <si>
    <t>DEPARTMENT OF AGRARIAN REFORM - COMVAL</t>
  </si>
  <si>
    <t>NATIONAL HISTORICAL COMMISSION OF THE PHILIPPINES</t>
  </si>
  <si>
    <t>MUNICIPALITY OF BANGA, AKLAN</t>
  </si>
  <si>
    <t>MUNICIPALITY OF LLORENTE, EASTERN SAMAR</t>
  </si>
  <si>
    <t>BUG-ANG ELAMANTARY SCHOOL</t>
  </si>
  <si>
    <t>MUNICIPALITY OF TUBUNGAN, ILOILO</t>
  </si>
  <si>
    <t>BARANGAY ANDRES BONIFACIO, JAVIER, LEYTE</t>
  </si>
  <si>
    <t>MARINDUQUE STATE COLLEGE</t>
  </si>
  <si>
    <t>BARANGAY BALIWAGAN, BALAMBAN, CEBU</t>
  </si>
  <si>
    <t>MUNICIPALITY OF SANTIAGO, AGUSAN DEL NORTE</t>
  </si>
  <si>
    <t>BARANGAY BIASONG, DIPOLOG CITY, ZAMBOANGA DEL NORTE</t>
  </si>
  <si>
    <t>BARANGAY ABIS</t>
  </si>
  <si>
    <t>MUNICIPALITY OF ANTIPAS, COTABATO</t>
  </si>
  <si>
    <t>DEPARTMENT OF JUSTICE - MAIN</t>
  </si>
  <si>
    <t>BARANGAY  PANAMOREN - LAAK COMPOSTELA VALLEY</t>
  </si>
  <si>
    <t>DEPARTMENT OF PUBLIC WORKS AND HIGHWAYS - LEYTE 5TH ED</t>
  </si>
  <si>
    <t>LOCAL GOVERNMENT UNIT OF DAET</t>
  </si>
  <si>
    <t>PHILIPPINE FISHERIES DEVELOPMENT AUTHORITY- REGION IX</t>
  </si>
  <si>
    <t>PHILIPPINE SCIENCE HIGH SCHOOL - CALABARZON REGION CAMPUS</t>
  </si>
  <si>
    <t>BARANGAY ILAT NORTH, SAN PASCUAL, BATANGAS</t>
  </si>
  <si>
    <t>COMMISSION ON AUDIT - ARMM</t>
  </si>
  <si>
    <t>DEPARTMENT OF SOCIAL WELFARE AND DEVELOPMENT - REGION VII</t>
  </si>
  <si>
    <t>COAST GUARD INTERNAL AFFAIRS SERVICE</t>
  </si>
  <si>
    <t>BARANGAY DON RUBEN, SAN JOSE, DINAGAT ISLAND</t>
  </si>
  <si>
    <t>FOURTH ESTATE ELEMENTARY SCHOOL</t>
  </si>
  <si>
    <t>BARANGAY BALOGO</t>
  </si>
  <si>
    <t>BARANGAY MINUYAN PROPER, SAN JOSE DEL MONTE CITY</t>
  </si>
  <si>
    <t>DEPARTMENT OF PUBLIC WORKS AND HIGHWAYS - TARLAC 2ND-DEO</t>
  </si>
  <si>
    <t>BARANGAY MAYBOG - BAYBAY CITY LEYTE</t>
  </si>
  <si>
    <t>BARANGAY KAYAPA, BAKUN, BENGUET</t>
  </si>
  <si>
    <t>ABKASA ELEMENTARY SCHOOL</t>
  </si>
  <si>
    <t>PROVINCIAL GOVERNMENT OF APAYAO</t>
  </si>
  <si>
    <t>BARANGAY SAN PEDRO, SAN FERNANDO CITY</t>
  </si>
  <si>
    <t>DEPARTMENT OF PUBLIC WORKS AND HIGHWAYS - CAR</t>
  </si>
  <si>
    <t>BARANGAY BAGONGBAYAN, KADINGILAN, BUKIDNON</t>
  </si>
  <si>
    <t>PHIVIDEC INDUSTRIAL AUTHORITY, DND</t>
  </si>
  <si>
    <t>MUNICIPALITY OF LAOANG, NORTHERN SAMAR</t>
  </si>
  <si>
    <t>BARANGAY  - ROXAS ORIENTAL MINDORO</t>
  </si>
  <si>
    <t>MUNICIPALITY OF CORCUERA, ROMBLON</t>
  </si>
  <si>
    <t>MUNICIPALITY OF MABUHAY, ZAMBOANGA SIBUGAY</t>
  </si>
  <si>
    <t>BOHOL ISLAND STATE UNIVERSITY - CALAPE</t>
  </si>
  <si>
    <t>BARANGAY LINTAON - BAYBAY CITY LEYTE</t>
  </si>
  <si>
    <t>MUNICIPALITY OF KITCHARAO , AGUSAN DEL NORTE</t>
  </si>
  <si>
    <t>MUNICIPALITY OF BAGGAO, CAGAYAN</t>
  </si>
  <si>
    <t>DEPARTMENT OF PUBLIC WORKS AND HIGHWAYS - QUEZON CITY 2ND ED</t>
  </si>
  <si>
    <t>BARANGAY SAN FRANCISCO PANABO CITY DAVAO DEL NORTE</t>
  </si>
  <si>
    <t>GENERAL SANTOS CITY WATER DISTRICT</t>
  </si>
  <si>
    <t>CAMARIN D ELEMENTARY SCHOOL UNIT II</t>
  </si>
  <si>
    <t>BARANGAY 627, ZONE 63, DISTRICT VI, MANILA</t>
  </si>
  <si>
    <t>MINES AND GEOSCIENCES BUREAU - CAR</t>
  </si>
  <si>
    <t>BUREAU OF INTERNAL REVENUE - REVENUE REGION NO. 5</t>
  </si>
  <si>
    <t>BARANGAY LOOK, ANAHAWAN, SOUTHERN LEYTE</t>
  </si>
  <si>
    <t>MUNICIPALITY OF NABUNTURAN, COMPOSTELA VALLEY</t>
  </si>
  <si>
    <t>BUREAU OF AGRICULTURAL RESEARCH</t>
  </si>
  <si>
    <t>DEPARTMENT OF INFORMATION &amp; COMMUNICATIONS TECHNOLOGY - MIND</t>
  </si>
  <si>
    <t>PHILIPPINE SCIENCE HIGH SCHOOL - CENTRAL MINDANAO CAMPUS</t>
  </si>
  <si>
    <t>TECHNICAL EDUCATION &amp; SKILLS DEVELOPMENT AUTHORITY-  ISABELA</t>
  </si>
  <si>
    <t>MUNICIPALITY OF PALOMPON, LEYTE</t>
  </si>
  <si>
    <t>BARANGAY ZUMIGUI, LUNA, APAYAO</t>
  </si>
  <si>
    <t>BARANGAY KIPADUCAN, PANGANTUCAN, BUKIDNON</t>
  </si>
  <si>
    <t>NATIONAL FOOD AUTHORITY - NCR</t>
  </si>
  <si>
    <t>STA. LUCIA HIGH SCHOOL - SENIOR HIGH</t>
  </si>
  <si>
    <t>DON CARLOS LEDESMA NATIONAL HIGH SCHOOL - SAN CARLOS CITY, N</t>
  </si>
  <si>
    <t>MARITIME INDUSTRY AUTHORITY - REGION VIII</t>
  </si>
  <si>
    <t>DEPARTMENT OF PUBLIC WORKS AND HIGHWAYS - REGION VIII</t>
  </si>
  <si>
    <t>BARANGAY CANTANDOG II, HILINGOS, LEYTE</t>
  </si>
  <si>
    <t>MUNICIPALITY OF MAYOYAO, IFUGAO</t>
  </si>
  <si>
    <t>BARANGAY SAGPON, DARAGA, ALBAY</t>
  </si>
  <si>
    <t>BARANGAY GABAN, SAN LORENZO, GUIMARAS</t>
  </si>
  <si>
    <t>MUNICIPALITY OF PIGCAWAYAN, COTABATO</t>
  </si>
  <si>
    <t>MUNICIPALITY OF MOGPOG, MARINDUQUE</t>
  </si>
  <si>
    <t>BARANGAY 17 NGABANGAB PASUQUIN ILOCOS NORTE</t>
  </si>
  <si>
    <t>PHILIPPINE RICE RESEARCH INSTITUTE - BICOL</t>
  </si>
  <si>
    <t>CITY OF MUNTINLUPA</t>
  </si>
  <si>
    <t>BUREAU OF INTERNAL REVENUE RR8B  - MAKATI CITY</t>
  </si>
  <si>
    <t>WESTERN PHILIPPINES UNIVERSITY</t>
  </si>
  <si>
    <t>MUNICIPALITY OF BOBON, NORTHERN SAMAR</t>
  </si>
  <si>
    <t>MUNICIPALITY OF MANAY, DAVAO ORIENTAL</t>
  </si>
  <si>
    <t>CITY OF KORONADAL, SOUTH COTABATO</t>
  </si>
  <si>
    <t>LUBAO WATER DISTRICT</t>
  </si>
  <si>
    <t>BARANGAY SAN PEDRO DUERO BOHOL</t>
  </si>
  <si>
    <t>WAO DISTRICT HOSPITAL</t>
  </si>
  <si>
    <t>MUNICIPALITY OF SAN FERNANDO, ROMBLON</t>
  </si>
  <si>
    <t>GHQ BAC2 SECRETARIAT, AFP PROCUREMENT SERVICE</t>
  </si>
  <si>
    <t>MUNICIPALITY OF MERIDA, LEYTE</t>
  </si>
  <si>
    <t>BALANGIGA NATIONAL AGRICULTURAL SCHOOL - TESDA</t>
  </si>
  <si>
    <t>F. BUSTAMANTE NATIONAL HIGH SCHOOL - DAVAO CITY</t>
  </si>
  <si>
    <t>DEPARTMENT OF PUBLIC WORKS AND HIGHWAYS - MINDORO ORIENTAL D</t>
  </si>
  <si>
    <t>PA BAC SECRETARIAT, AFP PROCUREMENT SERVICE</t>
  </si>
  <si>
    <t>BARANGAY SOUTHVILLAZAR, SIPOCOT, CAMARINES SUR</t>
  </si>
  <si>
    <t>MUNICIPALITY OF COMPOSTELA, CEBU</t>
  </si>
  <si>
    <t>BARANGAY PAWICAN, CATAINGAN, MASBATE</t>
  </si>
  <si>
    <t>BARANGAY 21 DADAEMAN</t>
  </si>
  <si>
    <t>CITY OF MEYCAUAYAN, BULACAN</t>
  </si>
  <si>
    <t>MUNICIPALITY OF LUISIANA, LAGUNA</t>
  </si>
  <si>
    <t>DAVAO DEL NORTE STATE COLLEGE</t>
  </si>
  <si>
    <t>BARANGAY ORENSE, BAUAN, BATANGAS</t>
  </si>
  <si>
    <t>BONGABON WATER DISTRICT</t>
  </si>
  <si>
    <t>MUNICIPALITY OF ROXAS, PALAWAN</t>
  </si>
  <si>
    <t>SOCIAL SECURITY SYSTEM - LUZON CENTRAL 2</t>
  </si>
  <si>
    <t>GAT ANDRES BONIFACIO ELEMENTARY SCHOOL</t>
  </si>
  <si>
    <t>HIMAMAYLAN CENTRAL SCHOOL</t>
  </si>
  <si>
    <t>PHILIPPINE AIR FORCE</t>
  </si>
  <si>
    <t>MUNICIPALITY OF SAN ISIDRO, NORTHERN SAMAR</t>
  </si>
  <si>
    <t>DEPARTMENT OF SOCIAL WELFARE AND DEVELOPMENT - REGION IV-B</t>
  </si>
  <si>
    <t>CITY OF IRIGA</t>
  </si>
  <si>
    <t>BARANGAY BAYANIHAN - QUEZON CITY</t>
  </si>
  <si>
    <t>EVERSLEY CHILDS SANITARIUM</t>
  </si>
  <si>
    <t>AGRICULTURAL TRAINING INSTITUTE - REGION III</t>
  </si>
  <si>
    <t>BARANGAY LAYAWAN, OROQUIETA, MISAMIS OCCIDENTAL</t>
  </si>
  <si>
    <t>ANGAT NATIONAL HIGH SCHOOL - ANGAT BULACAN</t>
  </si>
  <si>
    <t>BACUSANON NATIONAL HIGH SCHOOL - SENIOR HIGH SCHOOL</t>
  </si>
  <si>
    <t>DEPARTMENT OF PUBLIC WORKS AND HIGHWAYS - ALBAY 2ND DEO</t>
  </si>
  <si>
    <t>TECHNICAL EDUCATION &amp; SKILLS DEVELOPMENT AUTHORITY - CAR</t>
  </si>
  <si>
    <t>MUNICIPALITY OF ALCOY, CEBU</t>
  </si>
  <si>
    <t>NAPINDAN INTEGRATED SCHOOL</t>
  </si>
  <si>
    <t>DEPARTMENT OF PUBLIC WORKS AND HIGHWAYS - MASBATE 3RD DEO</t>
  </si>
  <si>
    <t>TAGAPO ELEMENTARY SCHOOL</t>
  </si>
  <si>
    <t>CIVIL AVIATION AUTHORITY OF THE PHILIPPINES - DAVAO INTERNAT</t>
  </si>
  <si>
    <t>DEPARTMENT OF PUBLIC WORKS AND HIGHWAYS - ZAMBALES 2ND DEO</t>
  </si>
  <si>
    <t>DEPARTMENT OF EDUCATION - DIVISION OF LAOAG CITY</t>
  </si>
  <si>
    <t>DEPARTMENT OF PUBLIC WORKS AND HIGHWAYS - BUKIDNON 1ST DEO</t>
  </si>
  <si>
    <t>BANQUEROHAN NATIONAL HIGH SCHOOL - CADIZ CITY NEGROS OCCIDEN</t>
  </si>
  <si>
    <t>BARANGAY MAGPANAMBO, POLANGUI, ALBAY</t>
  </si>
  <si>
    <t>MUNICIPALITY OF LAWAAN, EASTERN SAMAR</t>
  </si>
  <si>
    <t>ALUYAN ELEMENTARY SCHOOL</t>
  </si>
  <si>
    <t>BARANGAY SAN JOSE, BONGABONG, ORIENTAL MINDORO</t>
  </si>
  <si>
    <t>AFP - RETIREMENT AND SEPARATION BENEFITS SYSTEM</t>
  </si>
  <si>
    <t>BARANGAY HANDONG, LIBMANAN, CAMARINES SUR</t>
  </si>
  <si>
    <t>MUNICIPALITY OF GEN. LUNA, QUEZON</t>
  </si>
  <si>
    <t>BARANGAY BAYABAS AURORA ZAMBOANGA DEL SUR</t>
  </si>
  <si>
    <t>BARANGAY BAGONG SIRANG, PILI, CAMARINES SUR</t>
  </si>
  <si>
    <t>DEPARTMENT OF PUBLIC WORKS AND HIGHWAYS - ISABELA 3RD DEO</t>
  </si>
  <si>
    <t>BARANGAY BOOL, TAGBILARAN, BOHOL</t>
  </si>
  <si>
    <t>BARANGAY LABATAN -  PAYAO, ZAMBOANGA SIBUGAY</t>
  </si>
  <si>
    <t>AGRICULTURAL TRAINING INSTITUTE - REGION I</t>
  </si>
  <si>
    <t>KAPT. JOSE CARDONES MEMORIAL ELEMENTARY SCHOOL</t>
  </si>
  <si>
    <t>BURGOS NATIONAL HIGH SCHOOL</t>
  </si>
  <si>
    <t>BARANGAY DIGUMASED - DINAPIGUE ISABELA</t>
  </si>
  <si>
    <t>MUNICIPALITY OF LUBANG, OCCIDENTAL MINDORO</t>
  </si>
  <si>
    <t>BATA NATIONAL HIGH SCHOOL BACOLOD CITY NEGROS OCCIDENTAL</t>
  </si>
  <si>
    <t>BARANGAY CENTRAL SIGNAL VILLAGE -TAGUIG CITY</t>
  </si>
  <si>
    <t>PROVINCE OF ILOCOS NORTE</t>
  </si>
  <si>
    <t>MUNICIPALITY OF PANGANTUCAN, BUKIDNON</t>
  </si>
  <si>
    <t>METRO ROXAS WATER DISTRICT</t>
  </si>
  <si>
    <t>MUNICIPALITY OF MALVAR, BATANGAS</t>
  </si>
  <si>
    <t>DEPARTMENT OF PUBLIC WORKS AND HIGHWAYS - CAVITE II DISTRICT</t>
  </si>
  <si>
    <t>BARANGAY BASIAO, CATBALOGAN CITY, SAMAR</t>
  </si>
  <si>
    <t>MUNICIPALITY OF MULANAY, QUEZON</t>
  </si>
  <si>
    <t>MUNICIPALITY OF KAWAYAN, BILIRAN</t>
  </si>
  <si>
    <t>J H CERILLES STATE COLLEGE</t>
  </si>
  <si>
    <t>BARANGAY NANGALINAN, BAGGAO, CAGAYAN</t>
  </si>
  <si>
    <t>BARANGAY REMUS, BAGGAO, CAGAYAN</t>
  </si>
  <si>
    <t>BARANGAY CUNIG, GATTARAN, CAGAYAN</t>
  </si>
  <si>
    <t>BARANGAY DALINGAP, CLARIN, MISAMIS OCCIDENTAL</t>
  </si>
  <si>
    <t>BARANGAY CANAGATAN, BAGGAO, CAGAYAN</t>
  </si>
  <si>
    <t>MUNICIPALITY OF QUIRINO, ILOCOS SUR</t>
  </si>
  <si>
    <t>GENERAL TRIAS CITY CAVITE</t>
  </si>
  <si>
    <t>PROVINCE OF BATANES</t>
  </si>
  <si>
    <t>MUNICIPALITY OF MARANTAO, LANAO DEL SUR</t>
  </si>
  <si>
    <t>BARANGAY BALINDOG - KIDAPAWAN CITY COTABATO</t>
  </si>
  <si>
    <t>MUNICIPALITY OF SAN JOSE, BATANGAS</t>
  </si>
  <si>
    <t>MUNICIPALITY OF STA. BARBARA, ILOILO</t>
  </si>
  <si>
    <t>CITY OF PASSI, ILOILO</t>
  </si>
  <si>
    <t>AGRICULTURAL TRAINING INSTITUTE</t>
  </si>
  <si>
    <t>SAN CARLOS CITY WATER DISTRICT</t>
  </si>
  <si>
    <t>BANGKO SENTRAL NG PILIPINAS - CABANATUAN</t>
  </si>
  <si>
    <t>NATIONAL IRRIGATION ADMINISTRATION - REGION VI</t>
  </si>
  <si>
    <t>BARANGAY SIKITAN - KIDAPAWAN CITY, COTABATO</t>
  </si>
  <si>
    <t>BENGUET NATIONAL HIGH SCHOOL-LA TRINIDAD BENGUET</t>
  </si>
  <si>
    <t>BARANGAY POBLACION III - TALISAY, BATANGAS</t>
  </si>
  <si>
    <t>MUNICIPALITY OF TABONTABON, LEYTE</t>
  </si>
  <si>
    <t>BARANGAY NEW ANTIQUE - M'LANG COTABATO</t>
  </si>
  <si>
    <t>BARANGAY POBLACION I, HINDANG, LEYTE</t>
  </si>
  <si>
    <t>BARANGAY MATICMATIC, STA. BARBARA, PANGASINAN</t>
  </si>
  <si>
    <t>BARANGAY 57 REPOLYO - CAVITE CITY</t>
  </si>
  <si>
    <t>BARANGAY WAWA, LINGAYEN, PANGASINAN</t>
  </si>
  <si>
    <t>PLARIDEL WATER DISTRICT</t>
  </si>
  <si>
    <t>BARANGAY LIBSONG WEST, LINGAYEN, PANGASINAN</t>
  </si>
  <si>
    <t>MUNICIPALITY OF KABASALAN, ZAMBOANGA SIBUGAY</t>
  </si>
  <si>
    <t>MUNICIPALITY OF LA TRINIDAD, BENGUET</t>
  </si>
  <si>
    <t>BARANGAY LAMAC, PINAMUNGAJAN, CEBU</t>
  </si>
  <si>
    <t>BARANGAY BAGO GALLERA, DAVAO CITY, DAVAO DEL SUR</t>
  </si>
  <si>
    <t>PROVINCE OF KALINGA</t>
  </si>
  <si>
    <t>MUNICIPALITY OF SUDIPEN, LA UNION</t>
  </si>
  <si>
    <t>DEPARTMENT OF PUBLIC WORKS AND HIGHWAYS - LEYTE 4TH DEO</t>
  </si>
  <si>
    <t>BARANGAY CABALABAGUAN MINA ILO-ILO</t>
  </si>
  <si>
    <t>BARANGAY BINDUYAN, PUERTO PRINCESA CITY, PALAWAN</t>
  </si>
  <si>
    <t>OROQUIETA AGRO-INDUSTRIAL SCHOOL</t>
  </si>
  <si>
    <t>LAPASAN NATIONAL HIGH SCHOOL</t>
  </si>
  <si>
    <t>MUNICIPALITY OF SALUG, ZAMBOANGA DEL NORTE</t>
  </si>
  <si>
    <t>BUREAU OF FISHERIES AND AQUATIC RESOURCES - RV</t>
  </si>
  <si>
    <t>MUNICIPALITY OF GUTALAC, ZAMBOANGA DEL NORTE</t>
  </si>
  <si>
    <t>CEBU TECHNOLOGICAL UNIVERSITY</t>
  </si>
  <si>
    <t>MUNICIPALITY OF MILAGROS, MASBATE</t>
  </si>
  <si>
    <t>DEPARTMENT OF PUBLIC WORKS AND HIGHWAYS - AKLAN DEO</t>
  </si>
  <si>
    <t>MUNICIPALITY OF MARCOS, ILOCOS NORTE</t>
  </si>
  <si>
    <t xml:space="preserve">DEPARTMENT OF PUBLIC WORKS AND HIGHWAYS - COMPOSTELA VALLEY </t>
  </si>
  <si>
    <t>BARANGAY CANTAM-IS BAGO, LOON, BOHOL</t>
  </si>
  <si>
    <t>BARANGAY 20, SAN MIGUEL, LAOAG CITY, ILOCOS NORTE</t>
  </si>
  <si>
    <t>BARANGAY MAREDE, STA. ANA, CAGAYAN</t>
  </si>
  <si>
    <t>MUNICIPALITY OF ARGAO, CEBU</t>
  </si>
  <si>
    <t>MUNICIPALITY OF TAYASAN, NEGROS ORIENTAL</t>
  </si>
  <si>
    <t>BAYAWAN NATIONAL HIGH  SCHOOL -BAYAWAN CITY NEGROS ORIENTAL</t>
  </si>
  <si>
    <t>BARANGAY CAMBUILAO - BAIS CITY NEGROS ORIENTAL</t>
  </si>
  <si>
    <t>DEPARTMENT OF PUBLIC WORKS AND HIGHWAYS - IFUGAO</t>
  </si>
  <si>
    <t>MUNICIPALITY OF DIMASALANG, MASBATE</t>
  </si>
  <si>
    <t>MUNICIPALITY OF BOTOLAN, ZAMBALES</t>
  </si>
  <si>
    <t>MUNICIPALITY OF ROSARIO, CAVITE</t>
  </si>
  <si>
    <t>LUNUCAN ELEMENTARY SCHOOL - MANOLO FORTICH BUKIDNON</t>
  </si>
  <si>
    <t>BARANGAY SAN ROQUE, BURI CATBALOGAN CITY</t>
  </si>
  <si>
    <t>BARANGAY CAPACUJAN - PALAPAG NORTHERN SAMAR</t>
  </si>
  <si>
    <t>BARANGAY BUENAVISTA - PIO DURAN, ALBAY</t>
  </si>
  <si>
    <t>MUNICIPALITY OF KALILANGAN, BUKIDNON</t>
  </si>
  <si>
    <t>DEPARTMENT OF PUBLIC WORKS AND HIGHWAYS - MALABON-NAVOTAS SD</t>
  </si>
  <si>
    <t>MUNICIPALITY OF SIQUIJOR, SIQUIJOR</t>
  </si>
  <si>
    <t>WEST VISAYAS STATE UNIVERSITY - JANIUAY CAMPUS</t>
  </si>
  <si>
    <t>VIRAC WATER DISTRICT</t>
  </si>
  <si>
    <t>BARANGAY POBLACION, ARGAO, CEBU</t>
  </si>
  <si>
    <t>PHILIPPINE RURAL DEVELOPMENT PROJECT-MINDANAO CLUSTER</t>
  </si>
  <si>
    <t>DEPARTMENT OF PUBLIC WORKS AND HIGHWAYS - BOHOL 3RD DEO</t>
  </si>
  <si>
    <t>DEPARTMENT OF PUBLIC WORKS AND HIGHWAYS - CAVITE I DEO</t>
  </si>
  <si>
    <t>MUNICIPALITY OF LIDLIDDA, ILOCOS SUR</t>
  </si>
  <si>
    <t>BARANGAY LOAKAN PROPER, BAGUIO CITY</t>
  </si>
  <si>
    <t>MUNICIPALITY OF LIBERTAD, MISAMIS ORIENTAL</t>
  </si>
  <si>
    <t>BARANGAY WESTERN POBLACION - BARAS CATANDUANES</t>
  </si>
  <si>
    <t>CATALUNAN GRANDE ELEMENTARY SCHOOL</t>
  </si>
  <si>
    <t>BARANGAY KILKILING, CLAVERIA,CAGAYAN</t>
  </si>
  <si>
    <t>BARANGAY MARIGONDON, PIO DURAN, ALBAY</t>
  </si>
  <si>
    <t>DEPARTMENT OF SCIENCE AND TECHNOLOGY - REGION - VIII</t>
  </si>
  <si>
    <t>BARANGAY 11 MAOYOD - LEGAZPI CITY</t>
  </si>
  <si>
    <t>BARANGAY KIPIT, LABASON, ZAMBOANGA DEL NORTE</t>
  </si>
  <si>
    <t>MUNICIPALITY OF BAGUMBAYAN, SULTAN KUDARAT</t>
  </si>
  <si>
    <t>MUNICIPALITY OF PEÑABLANCA, CAGAYAN</t>
  </si>
  <si>
    <t>MUNICIPALITY OF DAUIN, NEGROS ORIENTAL</t>
  </si>
  <si>
    <t>MUNICIPALITY OF INITAO, MISAMIS ORIENTAL</t>
  </si>
  <si>
    <t>MUNICIPALITY OF MATANAO, DAVAO DEL SUR</t>
  </si>
  <si>
    <t>BUREAU OF CUSTOMS - SURIGAO CITY</t>
  </si>
  <si>
    <t>NATIONAL IRRIGATION ADMINISTRATION - ZAMBOANGA SIBUGAY</t>
  </si>
  <si>
    <t>MUNICIPALITY OF CASIGURAN, SORSOGON</t>
  </si>
  <si>
    <t>RIZAL MEDICAL CENTER</t>
  </si>
  <si>
    <t>BARANGAY SABANG, LIPA CITY</t>
  </si>
  <si>
    <t>BARANGAY BONIFACIO TANZA, ILOILO CITY</t>
  </si>
  <si>
    <t>BARANGAY JANIPA-AN WEST, MINA, ILOILO</t>
  </si>
  <si>
    <t>MUNICIPALITY OF SILVINO LOBOS, NORTHERN SAMAR</t>
  </si>
  <si>
    <t>BARANGAY ORTIZ, CITY PROPER, ILOILO CITY</t>
  </si>
  <si>
    <t>MUNICIPALITY OF BUCAY, ABRA</t>
  </si>
  <si>
    <t>MUNICIPALITY OF STA. CATALINA, ILOCOS SUR</t>
  </si>
  <si>
    <t>MUNICIPALITY OF LA PAZ, LEYTE</t>
  </si>
  <si>
    <t>MUNICIPALITY OF DAUIS, BOHOL</t>
  </si>
  <si>
    <t>MUNICIPALITY OF BURDEOS, QUEZON</t>
  </si>
  <si>
    <t>MUNICIPALITY OF LICUAN-BAAY, ABRA</t>
  </si>
  <si>
    <t>MUNICIPALITY OF GLAN, SARANGANI PROVINCE</t>
  </si>
  <si>
    <t>SAN PABLO 2ND NATIONAL HIGH SCHOOL</t>
  </si>
  <si>
    <t>MUNICIPALITY OF STA. LUCIA , ILOCOS SUR</t>
  </si>
  <si>
    <t>LINABO CENTRAL SCHOOL</t>
  </si>
  <si>
    <t>BARANGAY 1 POBLACION GENERAL LUNA QUEZON</t>
  </si>
  <si>
    <t>NATIONAL ECONOMIC AND DEVELOPMENT AUTHORITY - CARAGA</t>
  </si>
  <si>
    <t>MUNICIPALITY OF SUMILAO, BUKIDNON</t>
  </si>
  <si>
    <t>BARANGAY MASALUKOT II, CANDELARIA, QUEZON</t>
  </si>
  <si>
    <t>MUNICIPALITY OF DIMIAO, BOHOL</t>
  </si>
  <si>
    <t>BARANGAY DOLIS - CALATRAVA NEGROS OCCIDENTAL</t>
  </si>
  <si>
    <t>MUNICIPALITY OF TABUELAN, CEBU</t>
  </si>
  <si>
    <t>MUNICIPALITY OF DUMINGAG, ZAMBOANGA DEL SUR</t>
  </si>
  <si>
    <t>BARANGAY LOOC - PANGLAO, BOHOL</t>
  </si>
  <si>
    <t>MUNICIPALITY OF BURGOS, ILOCOS SUR</t>
  </si>
  <si>
    <t>LIGA NG MGA BARANGAY, BANSALAN, DAVAO DEL SUR</t>
  </si>
  <si>
    <t>BARANGAY PANGAO, LIPA CITY</t>
  </si>
  <si>
    <t>BARANGAY SAN ISIDRO, CANDELARIA, QUEZON</t>
  </si>
  <si>
    <t>PHILIPPINE SCIENCE HIGH SCHOOL - REGION II</t>
  </si>
  <si>
    <t>MUNICIPALITY OF BONIFACIO, MISAMIS OCCIDENTAL</t>
  </si>
  <si>
    <t>BARANGAY TEJEROS CONVENTION ROSARIO CAVITE</t>
  </si>
  <si>
    <t>LIMINANGCONG NATIONAL HIGH SCHOOL - TAYTAY PALAWAN</t>
  </si>
  <si>
    <t>BARANGAY PAA, HILONGOS, LEYTE</t>
  </si>
  <si>
    <t>DAMPOL 2ND NHS ANNEX-STA. LUCIA HIGH SCHOOL</t>
  </si>
  <si>
    <t>MUNICIPALITY OF CAOAYAN, ILOCOS SUR</t>
  </si>
  <si>
    <t>BARANGAY GUISIJAN, LAUA-AN, ANTIQUE</t>
  </si>
  <si>
    <t>VISAYAS STATE UNIVERSITY - ISABEL CAMPUS</t>
  </si>
  <si>
    <t>BARANGAY MABUHAY, VALENCIA CITY</t>
  </si>
  <si>
    <t>MUNICIPALITY OF NAAWAN, MISAMIS ORIENTAL</t>
  </si>
  <si>
    <t>BARANGAY IBABANG DUPAY, LUCENA CITY</t>
  </si>
  <si>
    <t>MUNICIPALITY OF SAN TEODORO, ORIENTAL MINDORO</t>
  </si>
  <si>
    <t>BARANGAY STA. CRUZ, CALAPE, BOHOL</t>
  </si>
  <si>
    <t>MUNICIPALITY OF BADIAN, CEBU</t>
  </si>
  <si>
    <t>BARANGAY LIBERTAD - NABAS AKLAN</t>
  </si>
  <si>
    <t>MUNICIPALITY OF DAGOHOY, BOHOL</t>
  </si>
  <si>
    <t>CITY OF IMUS -  CAVITE</t>
  </si>
  <si>
    <t>PHILIPPINE CROP INSURANCE CORPORATION - REGION IV</t>
  </si>
  <si>
    <t>AGUSAN DEL SUR SCHOOL OF ARTS AND TRADES - CARAGA</t>
  </si>
  <si>
    <t>COLAMBUGON ELEMENTARY SCHOOL - MARAMAG BUKIDNON</t>
  </si>
  <si>
    <t>CITY OF SAN PABLO, LAGUNA</t>
  </si>
  <si>
    <t>ILOILO STATE COLLEGE OF FISHERIES - MAIN CAMPUS</t>
  </si>
  <si>
    <t>BARANGAY CAMP 4, TUBA, BENGUET</t>
  </si>
  <si>
    <t>MUNICIPALITY OF PRESIDENT CARLOS P. GARCIA, BOHOL</t>
  </si>
  <si>
    <t>MUNICIPALITY OF BALASAN, ILOILO</t>
  </si>
  <si>
    <t>SK OF BARANGAY  VALENZUELA - MAKATI CITY</t>
  </si>
  <si>
    <t>BARANGAY TAN-AWAN, OSLOB, CEBU</t>
  </si>
  <si>
    <t>MUNICIPALITY OF ALICIA, ISABELA</t>
  </si>
  <si>
    <t>MUNICIPALITY OF LINGAYEN, PANGASINAN</t>
  </si>
  <si>
    <t>BARANGAY CABLONG, STA. BARBARA, PANGASINAN</t>
  </si>
  <si>
    <t>HERNAN P. SALUDES ELEMENTARY SCHOOL - CAGAYAN DE ORO CITY</t>
  </si>
  <si>
    <t>BARANGAY BUENAVISTA WEST, CANDELARIA, QUEZON</t>
  </si>
  <si>
    <t>CNHS-ANDRES BONIFACIO EXTENSION HIGH SCHOOL - CADIZ CITY NEG</t>
  </si>
  <si>
    <t>BARANGAY PANTAY BATA, TANAUAN CITY, BATANGAS</t>
  </si>
  <si>
    <t>DEPARTMENT OF PUBLIC WORKS AND HIGHWAYS - MISAMIS ORIENTAL 1</t>
  </si>
  <si>
    <t>BARANGAY SAN ANDRES, NAUJAN, ORIENTAL MINDORO</t>
  </si>
  <si>
    <t>PROSPERIDAD WATER DISTRICT</t>
  </si>
  <si>
    <t>MUNICIPALITY OF SIBUNAG, GUIMARAS</t>
  </si>
  <si>
    <t>BALITUCAN NATIONAL HIGH SCHOOL</t>
  </si>
  <si>
    <t>MUNICIPALITY OF SAN REMIGIO, CEBU</t>
  </si>
  <si>
    <t>BARANGAY TIGUISAN BANSUD ORIENTAL MINDORO</t>
  </si>
  <si>
    <t>MUNICIPALITY OF SALVADOR, LANAO DEL NORTE</t>
  </si>
  <si>
    <t>COMMISSION ON AUDIT - REGION XI</t>
  </si>
  <si>
    <t>GOVERNMENT SERVICE INSURANCE SYSTEM - LUCENA CITY BRANCH</t>
  </si>
  <si>
    <t>DEPARTMENT OF PUBLIC WORKS AND HIGHWAYS - ILOILO 1ST DEO</t>
  </si>
  <si>
    <t>IPIL-TITAY WATER DISTRICT</t>
  </si>
  <si>
    <t>BARANGAY MANOOK - GUBAT SORSOGON</t>
  </si>
  <si>
    <t>SANTOLAN ELEMENTARY SCHOOL - DEPED</t>
  </si>
  <si>
    <t>MUNICIPALITY OF DUERO, BOHOL</t>
  </si>
  <si>
    <t>BARANGAY NORTH CENTRAL AURORA HILL, BAGUIO, BENGUET</t>
  </si>
  <si>
    <t>BUREAU OF FISHERIES AND AQUATIC RESOURCES CARAGA</t>
  </si>
  <si>
    <t>MUNICIPALITY OF MAUBAN, QUEZON</t>
  </si>
  <si>
    <t>MUNICIPALITY OF INFANTA, QUEZON</t>
  </si>
  <si>
    <t>BARANGAY CANHAWAN, CATBALOGAN CITY</t>
  </si>
  <si>
    <t>MABALACAT CITY WATER DISTRICT</t>
  </si>
  <si>
    <t>DEPARTMENT OF PUBLIC WORKS AND HIGHWAYS SARANGANI DISTRICT E</t>
  </si>
  <si>
    <t>BARANGAY BANUYO, GASAN, MARINDUQUE</t>
  </si>
  <si>
    <t>CIRIACO P. TINGA ELEMENTARY SCHOOL</t>
  </si>
  <si>
    <t>BARANGAY GUINACUTAN - LABO, CAMARINES NORTE</t>
  </si>
  <si>
    <t>BARANGAY LINAON</t>
  </si>
  <si>
    <t>MUNICIPALITY OF MONTEVISTA, COMPOSTELA VALLEY</t>
  </si>
  <si>
    <t>BARANGAY ISIO, CAUAYAN, NEGROS OCCIDENTAL</t>
  </si>
  <si>
    <t>MUNICIPALITY OF CALAMBA, MISAMIS OCCIDENTAL</t>
  </si>
  <si>
    <t>BARANGAY MOROPONROS, OAS, ALBAY</t>
  </si>
  <si>
    <t>DEPARTMENT OF PUBLIC WORKS AND HIGHWAYS - ILOILO CITY DEO</t>
  </si>
  <si>
    <t>CITY OF SILAY, NEGROS OCCIDENTAL</t>
  </si>
  <si>
    <t>BARANGAY TAMIS-AC -2, CONCEPCION, ILOILO</t>
  </si>
  <si>
    <t>MUNICIPALITY OF MARABUT, SAMAR</t>
  </si>
  <si>
    <t>BUREAU OF FIRE PROTECTION - REGION I</t>
  </si>
  <si>
    <t>PHILIPPINE NATIONAL POLICE - POLICE REGIONAL OFFICE 2</t>
  </si>
  <si>
    <t>BARANGAY ACASIA MAASIN CITY SOUTHERN LEYTE</t>
  </si>
  <si>
    <t>NATIONAL IRRIGATION ADMINISTRATION - DAVAO DEL NORTE IMO</t>
  </si>
  <si>
    <t>UNIVERSITY OF RIZAL SYSTEM</t>
  </si>
  <si>
    <t>BARANGAY BIMMOTOBOT, NAGUILIAN, LA UNION</t>
  </si>
  <si>
    <t>JERUSALEM NATIONAL HIGH SCHOOL - CADIZ CITY NEGROS OCCIDENTA</t>
  </si>
  <si>
    <t>BARANGAY CONCEPCION, BATANGAS CITY, BATANGAS</t>
  </si>
  <si>
    <t>BUREAU OF FIRE PROTECTION - REGION XII</t>
  </si>
  <si>
    <t>PHIL. INSTITUTE OF TRADITIONAL &amp; ALTERNATIVE HEALTH CARE</t>
  </si>
  <si>
    <t>BARANGAY MAYAO CROSSING, LUCENA CITY</t>
  </si>
  <si>
    <t>BARANGAY HIGULOAN - BAYBAY CITY LEYTE</t>
  </si>
  <si>
    <t>MUNICIPALITY OF BALAOAN, LA UNION</t>
  </si>
  <si>
    <t>BARANGAY CAPALUTAN, ALLACAPAN, CAGAYAN</t>
  </si>
  <si>
    <t>BARANGAY POBLACION 6, BATANGAS CITY</t>
  </si>
  <si>
    <t>KALUMBOYAN HIGH SCHOOL - BAYAWAN CITY</t>
  </si>
  <si>
    <t>ILOCOS TRAINING AND REGIONAL MEDICAL CENTER</t>
  </si>
  <si>
    <t>BARANGAY BALANGBALANG, R.T. ROMUALDEZ, AGUSAN DEL NORTE</t>
  </si>
  <si>
    <t>BARANGAY SALVACION, STA. ELENA, CAMARINES NORTE</t>
  </si>
  <si>
    <t>BATANES GENERAL HOSPITAL</t>
  </si>
  <si>
    <t>METROPOLITAN CEBU WATER DISTRICT</t>
  </si>
  <si>
    <t>MUNICIPALITY OF LOOC, OCCIDENTAL MINDORO</t>
  </si>
  <si>
    <t>DEPARTMENT OF PUBLIC WORKS AND HIGHWAYS - DAVAO DEL NORTE DE</t>
  </si>
  <si>
    <t>BACOLOR WATER DISTRICT</t>
  </si>
  <si>
    <t>MUNICIPALITY OF TUPI, SOUTH COTABATO</t>
  </si>
  <si>
    <t>BARANGAY MAULAWIN - STA ELENA CAMARINES NORTE</t>
  </si>
  <si>
    <t>DEPARTMENT OF SOCIAL WELFARE AND DEVELOPMENT - REGION V</t>
  </si>
  <si>
    <t>MUNICIPALITY OF SANTA MARIA, LAGUNA</t>
  </si>
  <si>
    <t>DEPARTMENT OF PUBLIC WORKS AND HIGHWAYS - PANGASINAN 1ST DEO</t>
  </si>
  <si>
    <t>MUNICIPALITY OF KAPANGAN, BENGUET</t>
  </si>
  <si>
    <t>DEPARTMENT OF PUBLIC WORKS AND HIGHWAYS - LANAO DEL NORTE 1S</t>
  </si>
  <si>
    <t>BARANGAY CALZADA TIPAS - TAGUIG CITY</t>
  </si>
  <si>
    <t>MUNICIPALITY OF SAN ISIDRO, ISABELA</t>
  </si>
  <si>
    <t>MUNICIPALITY OF DUPAX DEL SUR, NUEVA VIZCAYA</t>
  </si>
  <si>
    <t>DEPARTMENT OF LABOR AND EMPLOYMENT - REGION VIII</t>
  </si>
  <si>
    <t>BARANGAY  ALLAB - ARAKAN COTABATO</t>
  </si>
  <si>
    <t>TALIBON WATER DISTRICT</t>
  </si>
  <si>
    <t>DEPARTMENT OF HEALTH REGIONAL OFFICE II</t>
  </si>
  <si>
    <t>BARANGAY CALPI, OAS, ALBAY</t>
  </si>
  <si>
    <t>BARANGAY KABULUAN, STA. ELENA, CAMARINES NORTE</t>
  </si>
  <si>
    <t>DEPARTMENT OF TRADE AND INDUSTRY - REGION VI</t>
  </si>
  <si>
    <t>BARANGAY POCTOL - SAN JUAN BATANGAS</t>
  </si>
  <si>
    <t>BARANGAY BICOK TUAO CAGAYAN</t>
  </si>
  <si>
    <t>MUNICIPALITY OF ALUBIJID, MISAMIS ORIENTAL</t>
  </si>
  <si>
    <t>BARANGAY SAN JUAN - TUAO CAGAYAN</t>
  </si>
  <si>
    <t>NATIONAL FOOD AUTHORITY - REGION VIII</t>
  </si>
  <si>
    <t>BARANGAY GENERAL RICARTE LLANERA NUEVA ECIJA</t>
  </si>
  <si>
    <t>DEPARTMENT OF PUBLIC WORKS AND HIGHWAYS - ILOCOS SUR 2ND DEO</t>
  </si>
  <si>
    <t>MUNICIPALITY OF BACOLOD, LANAO DEL NORTE</t>
  </si>
  <si>
    <t>MUNICIPALITY OF TAPAZ, CAPIZ</t>
  </si>
  <si>
    <t>SPRING KIBAWE ELEMENTARY SCHOOL- KIBAWE BUKIDNON</t>
  </si>
  <si>
    <t>BUREAU OF CUSTOMS</t>
  </si>
  <si>
    <t>BARANGAY CABANTIAN, DAVAO CITY</t>
  </si>
  <si>
    <t>BARANGAY SAN VICENTE - DARAM SAMAR</t>
  </si>
  <si>
    <t>FLORENCIO UROT MEMORIAL NATIONAL HIGH SCHOOL</t>
  </si>
  <si>
    <t>PROVINCE OF SORSOGON</t>
  </si>
  <si>
    <t>BARANGAY CATURAY, GERONA, TARLAC</t>
  </si>
  <si>
    <t>BARANGAY CABILAOAN WEST, LAOAC, PANGASINAN</t>
  </si>
  <si>
    <t>MUNICIPALITY OF SAN MANUEL, PANGASINAN</t>
  </si>
  <si>
    <t>CITY OF LIGAO, ALBAY</t>
  </si>
  <si>
    <t>BARANGAY GALAS - DIPOLOG CITY</t>
  </si>
  <si>
    <t>BARANGAY ALABIAO, TUAO, CAGAYAN</t>
  </si>
  <si>
    <t>DEPARTMENT OF AGRICULTURE - CARAGA</t>
  </si>
  <si>
    <t>KOLAMBUGAN WATER DISTRICT</t>
  </si>
  <si>
    <t>MUNICIPALITY OF ROMBLON, ROMBLON</t>
  </si>
  <si>
    <t>SAN LAZARO HOSPITAL</t>
  </si>
  <si>
    <t>LAND TRANSPORTATION OFFICE - REGION IVA</t>
  </si>
  <si>
    <t>NATIONAL POWER CORPORATION - SPUG/BICOL OPERATIONS DIVISION</t>
  </si>
  <si>
    <t>MUNICIPALITY OF JULITA, LEYTE</t>
  </si>
  <si>
    <t>CAMARINES NORTE STATE COLLEGE</t>
  </si>
  <si>
    <t>MUNICIPALITY OF PILAR, BOHOL</t>
  </si>
  <si>
    <t>CAMP EVANGELISTA ELEM SCHOOL - CAGAYAN DE ORO CITY</t>
  </si>
  <si>
    <t xml:space="preserve">BARANGAY BASUD, SAN ISIDRO, LEYTE </t>
  </si>
  <si>
    <t>BARANGAY KAPATAGAN, DIGOS CITY</t>
  </si>
  <si>
    <t>CITY OF TRECE MARTIRES</t>
  </si>
  <si>
    <t>DEPARTMENT OF AGRARIAN REFORM - AURORA</t>
  </si>
  <si>
    <t>MUNICIPALITY OF BUENAVISTA, QUEZON</t>
  </si>
  <si>
    <t>MUNICIPALITY OF UPI, MAGUINDANAO</t>
  </si>
  <si>
    <t>BARANGAY DELA PAZ, CLARIN, MISAMIS OCCIDENTAL</t>
  </si>
  <si>
    <t>MUNICIPALITY OF SANTIAGO, ILOCOS SUR</t>
  </si>
  <si>
    <t>BARANGAY COLONIA, TUBURAN, CEBU</t>
  </si>
  <si>
    <t>MUNICIPALITY OF DINGLE, ILOILO</t>
  </si>
  <si>
    <t>BARANGAY CANGUHA, CALAPE, BOHOL</t>
  </si>
  <si>
    <t>MUNICIPALITY OF GLORIA, ORIENTAL MINDORO</t>
  </si>
  <si>
    <t>PHILIPPINE AMUSEMENT AND GAMING CORPORATION</t>
  </si>
  <si>
    <t>MANOLO FORTICH WATER DISTRICT</t>
  </si>
  <si>
    <t>BARANGAY TAYTAY, NAGCARLAN, LAGUNA</t>
  </si>
  <si>
    <t>CITY OF ILAGAN WATER DISTRICT</t>
  </si>
  <si>
    <t>BARANGAY MABUHAY II, SOCORRO, ORIENTAL MINDORO</t>
  </si>
  <si>
    <t>MUNICIPALITY OF POLILLO, QUEZON</t>
  </si>
  <si>
    <t>MUNICIPALITY OF ZUMARRAGA, SAMAR</t>
  </si>
  <si>
    <t>MUNICIPALITY OF DINALUNGAN, AURORA</t>
  </si>
  <si>
    <t>FIBER INDUSTRY DEVELOPMENT AUTHORITY - REGION IX</t>
  </si>
  <si>
    <t>MUNICIPALITY OF JASAAN , MISAMIS ORIENTAL</t>
  </si>
  <si>
    <t>BARANGAY SAN ANTONIO, SAN PASCUAL, BATANGAS</t>
  </si>
  <si>
    <t>MUNICIPALITY OF CAPUL, NORTHERN SAMAR</t>
  </si>
  <si>
    <t>DEPARTMENT OF  EDUCATION - DIVISION OF MALOLOS CITY</t>
  </si>
  <si>
    <t>MUNICIPALITY OF BANGUED, ABRA</t>
  </si>
  <si>
    <t>BARANGAY SAN JUAN, PADRE BURGOS, SOUTHERN LEYTE</t>
  </si>
  <si>
    <t>BUREAU OF CUSTOMS - DAVAO CITY</t>
  </si>
  <si>
    <t>BARANGAY BANGIAWON, OAS, ALBAY</t>
  </si>
  <si>
    <t>BARANGAY ANTIPULUAN - NARRA, PALAWAN</t>
  </si>
  <si>
    <t>BAYABAS ELEMENTARY SCHOOL</t>
  </si>
  <si>
    <t>BARANGAY RAWIS - LIBON ALBAY</t>
  </si>
  <si>
    <t>ANDERSON ELEMENTARY SCHOOL - ARAYAT PAMPANGA</t>
  </si>
  <si>
    <t>MUNICIPALITY OF DOLORES, ABRA</t>
  </si>
  <si>
    <t>CITY OF MATI, PROVINCE OF DAVAO ORIENTAL</t>
  </si>
  <si>
    <t>MAUBAN SOUTH CENTRAL ELEMENTARY SCHOOL II - MAUBAN QUEZON</t>
  </si>
  <si>
    <t>BARANGAY LAPNAG, BANGA, AKLAN</t>
  </si>
  <si>
    <t>CITY OF LEGAZPI, ALBAY</t>
  </si>
  <si>
    <t>DEPARTMENT OF SCIENCE AND TECHNOLOGY - REGION IX</t>
  </si>
  <si>
    <t xml:space="preserve">CADUHA-AN NATIONAL HIGH SCHOOL (LUNA EXTENSION HIGH SCHOOL) </t>
  </si>
  <si>
    <t>MUNICIPALITY OF NAVAL, BILIRAN</t>
  </si>
  <si>
    <t>MUNICIPALITY OF LAMBAYONG, SULTAN KUDARAT</t>
  </si>
  <si>
    <t>BARANGAY ESTRELLA, MABINI, BATANGAS</t>
  </si>
  <si>
    <t>MUNICIPALITY OF MAHATAO, BATANES</t>
  </si>
  <si>
    <t>BARANGAY LIGAYA, MABINI, BATANGAS</t>
  </si>
  <si>
    <t>BARANGAY MALAGUICAY, TANAUAN, LEYTE</t>
  </si>
  <si>
    <t>BAGONG TANYAG ELEMENTARY SCHOOL</t>
  </si>
  <si>
    <t>BARANGAY SAN JUAN, PAMPLONA, CAGAYAN</t>
  </si>
  <si>
    <t>BARANGAY STO. CRISTO, SAN JOSE, BATANGAS</t>
  </si>
  <si>
    <t>BARANGAY LANCHETA, TACURONG CITY, SULTAN KUDARAT</t>
  </si>
  <si>
    <t>MUNICIPALITY OF LIANGA, SURIGAO DEL SUR</t>
  </si>
  <si>
    <t>MUNICIPALITY OF MARGOSATUBIG, ZAMBOANGA DEL SUR</t>
  </si>
  <si>
    <t>BARANGAY PILAHAN, MABINI, BATANGAS</t>
  </si>
  <si>
    <t>MUNICIPALITY OF KIBUNGAN, BENGUET</t>
  </si>
  <si>
    <t>BARANGAY D'LEDESMA, TACURONG CITY</t>
  </si>
  <si>
    <t>BARANGAY POBLACION ZONE 3, SAN QUINTIN, PANGASINAN</t>
  </si>
  <si>
    <t>BARANGAY SAN SALVADOR, LIPA CITY</t>
  </si>
  <si>
    <t>MUNICIPALITY OF CLAVERIA, CAGAYAN</t>
  </si>
  <si>
    <t>BARANGAY SAN RAFAEL, ATIMONAN,QUEZON</t>
  </si>
  <si>
    <t>DEPARTMENT OF THE INTERIOR AND LOCAL GOVERNMENT - MAIN</t>
  </si>
  <si>
    <t>BARANGAY CUPANG, ANTIPOLO CITY</t>
  </si>
  <si>
    <t>DEPARTMENT OF EDUCATION - DIVISION OF MALAYBALAY CITY</t>
  </si>
  <si>
    <t>APAYAO STATE COLLEGE</t>
  </si>
  <si>
    <t>BARANGAY STO. NIÑO, SAN FRANCISCO, QUEZON</t>
  </si>
  <si>
    <t>BARANGAY HAGUPIT, BONGABONG, ORIENTAL MINNDORO</t>
  </si>
  <si>
    <t>MUNICIPALITY OF ABORLAN, PALAWAN</t>
  </si>
  <si>
    <t>BARANGAY BATANGAN - BONGABONG ORIENTAL MINDORO</t>
  </si>
  <si>
    <t>MUNICIPALITY OF DANAO, BOHOL</t>
  </si>
  <si>
    <t>SAN PABLO ELEMENTARY SCHOOL</t>
  </si>
  <si>
    <t>BARANGAY HACIENDA INTAL, BAGGAO, CAGAYAN</t>
  </si>
  <si>
    <t>MUNICIPALITY OF BAUKO, MOUNTAIN PROVINCE</t>
  </si>
  <si>
    <t>BARANGAY MASICAL, BAGGAO, CAGAYAN</t>
  </si>
  <si>
    <t>FOREST MANAGEMENT BUREAU ,DENR</t>
  </si>
  <si>
    <t>MUNICIPALITY OF PITOGO, QUEZON</t>
  </si>
  <si>
    <t>MUNICIPALITY OF MANITO, ALBAY</t>
  </si>
  <si>
    <t>BARANGAY BAGACAY, TIGBAUAN, ILOILO</t>
  </si>
  <si>
    <t>PHILIPPINE NORMAL UNIVERSITY - ISABELA CAMPUS</t>
  </si>
  <si>
    <t>MUNICIPALITY OF NAIC, CAVITE</t>
  </si>
  <si>
    <t>SAGAY WATER DISTRICT</t>
  </si>
  <si>
    <t>BARANGAY PIÑA ESTE, GATTARAN, CAGAYAN</t>
  </si>
  <si>
    <t>BARANGAY BAGONG POOK, SAN JOSE, BATANGAS</t>
  </si>
  <si>
    <t>BARANGAY CENTO SUR GATTARAN CAGAYAN</t>
  </si>
  <si>
    <t>MUNICIPALITY OF BINGAWAN, ILOILO</t>
  </si>
  <si>
    <t>BARANGAY BANTUD FABRICA, DUMANGAS, ILOILO</t>
  </si>
  <si>
    <t>DEPARTMENT OF ENVIRONMENT AND NATURAL RES. - PENRO, BILIRAN</t>
  </si>
  <si>
    <t>MUNICIPALITY OF BURGOS, LA UNION</t>
  </si>
  <si>
    <t>BARANGAY ESTADO NATIONAL HIGH SCHOOL - VICTORIAS CITY NEGROS</t>
  </si>
  <si>
    <t>BARANGAY STO. TOMAS - MUTIA ZAMBOANGA DEL NORTE</t>
  </si>
  <si>
    <t>BARANGAY BIABAS,UBAY,BOHOL</t>
  </si>
  <si>
    <t>INTERCOUNTRY ADOPTION BOARD</t>
  </si>
  <si>
    <t>BARANGAY DUMMUN, GATTARAN, CAGAYAN</t>
  </si>
  <si>
    <t>BARANGAY 6, LUCBAN, QUEZON</t>
  </si>
  <si>
    <t>BARANGAY AMPUCAO, ITOGON, BENGUET</t>
  </si>
  <si>
    <t>PHILIPPINE NATIONAL POLICE - HIGHWAY PATROL GROUP</t>
  </si>
  <si>
    <t>BARANGAY LANAO PILAR CEBU</t>
  </si>
  <si>
    <t>MUNICIPALITY OF SAN MANUEL, TARLAC</t>
  </si>
  <si>
    <t>MUNICIPALITY OF MADDELA, QUIRINO</t>
  </si>
  <si>
    <t>BARANGAY STO NIÑO TUGBOK DISTRICT, DAVAO CITY</t>
  </si>
  <si>
    <t>BARANGAY CARANAN - PASACAO, CAMARINES SUR</t>
  </si>
  <si>
    <t>BARANGAY MIJARES - DIPACULAO AURORA</t>
  </si>
  <si>
    <t>BARANGAY LABAO, LIBMANAN, CAMARINES SUR</t>
  </si>
  <si>
    <t>BIDS AND AWARDS COMMITTEE - MUNICIPALITY OF CALATRAVA</t>
  </si>
  <si>
    <t>DBP LEASING CORPORATION</t>
  </si>
  <si>
    <t>BARANGAY BAGACAY WEST, LA PAZ, LEYTE</t>
  </si>
  <si>
    <t>BUREAU OF ANIMAL INDUSTRY, DA</t>
  </si>
  <si>
    <t>BARANGAY POBLACION, BINMALEY, PANGASINAN</t>
  </si>
  <si>
    <t>MUNICIPALITY OF TALISAY, CAMARINES NORTE</t>
  </si>
  <si>
    <t>MUNICIPALITY OF SAN AGUSTIN, ISABELA</t>
  </si>
  <si>
    <t>BARANGAY SABANG, NAGA CITY</t>
  </si>
  <si>
    <t>BARANGAY DEL NORTE -  PANDAN, CATANDUANES</t>
  </si>
  <si>
    <t>MUNICIPALITY OF SAN PASCUAL, BATANGAS</t>
  </si>
  <si>
    <t>BALANDRA ELEMENTARY SCHOOL</t>
  </si>
  <si>
    <t>DEPARTMENT OF AGRARIAN REFORM - CAMARINES NORTE</t>
  </si>
  <si>
    <t>MUNICIPALITY OF BANGAR, LA UNION</t>
  </si>
  <si>
    <t>BARANGAY POBLACION 1, PURA, TARLAC</t>
  </si>
  <si>
    <t>MUNICIPALITY OF SAN PASCUAL, MASBATE</t>
  </si>
  <si>
    <t>MUNICIPALITY OF LOPEZ JAENA , MISAMIS OCCIDENTAL</t>
  </si>
  <si>
    <t>BARANGAY ALASASIN, MARIVELES, BATAAN</t>
  </si>
  <si>
    <t>MUNICIPALITY OF AGOO, LA UNION</t>
  </si>
  <si>
    <t>MUNICIPALITY OF MALABUYOC, CEBU</t>
  </si>
  <si>
    <t>BARANGAY LIBOD - PANDAN, CATANDUANES</t>
  </si>
  <si>
    <t>BARANGAY CAPACUAN, PARACALE, CAMARINES NORTE</t>
  </si>
  <si>
    <t>LAS PIÑAS GOLDEN ACRES NATIONAL HIGH SCHOOL</t>
  </si>
  <si>
    <t>MUNICIPALITY OF TUBAO, LA UNION</t>
  </si>
  <si>
    <t>BARANGAY NAGSULAY, LILA, BOHOL</t>
  </si>
  <si>
    <t>BARANGAY MALIBAGO, LABO, CAMARINES NORTE</t>
  </si>
  <si>
    <t>MUNICIPALITY OF NUNUNGAN, LANAO DEL NORTE</t>
  </si>
  <si>
    <t>CITY OF LAS PIÑAS</t>
  </si>
  <si>
    <t>NATIONAL IRRIGATION ADMINISTRATION - KALINGA IRRIGATION MANA</t>
  </si>
  <si>
    <t>CALAMBA NATIONAL HIGH SCHOOL-MAIN</t>
  </si>
  <si>
    <t>BARANGAY POBLACION ZONE II, DEL GALLEGO, CAMARINES SUR</t>
  </si>
  <si>
    <t>NATIONAL IRRIGATION ADMINISTRATION - REGION X</t>
  </si>
  <si>
    <t>BARANGAY BONGOL -  SAN VICENTE, GUIMBAL, ILOILO</t>
  </si>
  <si>
    <t>BARANGAY ALAWIJAO - BADIAN CEBU</t>
  </si>
  <si>
    <t>MUNICIPALITY OF MEXICO, PAMPANGA</t>
  </si>
  <si>
    <t>DEPARTMENT OF ENVIRONMENT AND NATURAL RES. - PENRO, BUKIDNON</t>
  </si>
  <si>
    <t>BARANGAY LAPAZ, VILLASIS, PANGASINAN</t>
  </si>
  <si>
    <t>BARANGAY PALLOCAN WEST, BATANGAS CITY</t>
  </si>
  <si>
    <t>MUNICIPALITY OF UBAY, BOHOL</t>
  </si>
  <si>
    <t>BARANGAY DUTUNG A MATAS, CONCEPCION, TARLAC</t>
  </si>
  <si>
    <t>CIVIL AVIATION AUTHORITY OF THE PHILIPPINES - REGION II</t>
  </si>
  <si>
    <t>BARANGAY SAN PABLO, CATBALOGAN, SAMAR</t>
  </si>
  <si>
    <t>BARANGAY BULUANGAN I -  VALDERRAMA ANTIQUE</t>
  </si>
  <si>
    <t>DEPARTMENT OF PUBLIC WORKS AND HIGHWAYS - LAGUNA 1ST ED</t>
  </si>
  <si>
    <t>BARANGAY POBLACION 9 - NASUGBU BATANGAS</t>
  </si>
  <si>
    <t>BARANGAY PUGAOAN - PINILI ILOCOS NORTE</t>
  </si>
  <si>
    <t>NUMANCIA WATER DISTRICT</t>
  </si>
  <si>
    <t>MUNICIPALITY OF JIABONG, SAMAR</t>
  </si>
  <si>
    <t>MUNICIPALITY OF CAGWAIT, SURIGAO DEL SUR</t>
  </si>
  <si>
    <t>DEPARTMENT OF AGRARIAN REFORM - PARACELIS MOUNTAIN PROVINCE</t>
  </si>
  <si>
    <t>BARANGAY DIGDIGON - GOA CAMARINES SUR</t>
  </si>
  <si>
    <t>CENTRAL BOARD OF ASSESSMENT APPEALS</t>
  </si>
  <si>
    <t>BARANGAY NAGCALSOT - RAPU-RAPU, ALBAY</t>
  </si>
  <si>
    <t>BARANGAY POBLACION, COMPOSTELA, COMPOSTELA VALLEY</t>
  </si>
  <si>
    <t>MUNICIPALITY OF BALABAC, PALAWAN</t>
  </si>
  <si>
    <t>MUNICIPALITY OF SAN JORGE, SAMAR</t>
  </si>
  <si>
    <t>MUNICIPALITY OF MAPANAS, NORTHERN SAMAR</t>
  </si>
  <si>
    <t>BARANGAY SAN GABRIEL I, BACARRA, ILOCOS NORTE</t>
  </si>
  <si>
    <t>BARANGAY BANI, BACARRA, ILOCOS NORTE</t>
  </si>
  <si>
    <t>BARANGAY POBLACION, KIBLAWAN, DAVAO DEL SUR</t>
  </si>
  <si>
    <t>BARANGAY CARATAGAN, PIO DURAN, ALBAY</t>
  </si>
  <si>
    <t>DOÑA AURORA NATIONAL HIGH SCHOOL</t>
  </si>
  <si>
    <t>BARANGAY VISTA ALEGRE -  PATNONGON ANTIQUE</t>
  </si>
  <si>
    <t>CIVIL AVIATION AUTHORITY OF THE PHILIPPINES - COTABATO</t>
  </si>
  <si>
    <t>BARANGAY PUSSIAN, ALCALA, CAGAYAN</t>
  </si>
  <si>
    <t>MUNICIPALITY OF BUGUEY, CAGAYAN</t>
  </si>
  <si>
    <t>BARANGAY LICOLICO, SEVILLA, BOHOL</t>
  </si>
  <si>
    <t>MOONWALK NATIONAL HIGH SCHOOL</t>
  </si>
  <si>
    <t>SENATE OF THE PHILIPPINES</t>
  </si>
  <si>
    <t>MUNICIPALITY OF HINUNDAYAN, SOUTHERN LEYTE</t>
  </si>
  <si>
    <t>BARANGAY 50, BUTTONG, LAOAG CITY</t>
  </si>
  <si>
    <t>BARANGAY LIBAS - SOGOD SOUTHERN LEYTE</t>
  </si>
  <si>
    <t>BARANGAY MASLOG -   DANAO CITY CEBU</t>
  </si>
  <si>
    <t>BARANGAY RIZAL, ANAO, TARLAC</t>
  </si>
  <si>
    <t>MUNICIPALITY OF SINDANGAN, ZAMBOANGA DEL NORTE</t>
  </si>
  <si>
    <t>LAND BANK OF THE PHILIPPINES URDANETA CITY BRANCH</t>
  </si>
  <si>
    <t>BUREAU OF THE TREASURY, REGION 06</t>
  </si>
  <si>
    <t>BOHOL ISLAND STATE UNIVERSITY - MAIN CAMPUS</t>
  </si>
  <si>
    <t>DEPARTMENT OF PUBLIC WORKS AND HIGHWAYS - BATANGAS IV DEO</t>
  </si>
  <si>
    <t>MUNICIPALITY OF GEN. M. ALVAREZ, CAVITE</t>
  </si>
  <si>
    <t>MUNICIPALITY OF DANGCAGAN, BUKIDNON</t>
  </si>
  <si>
    <t>MAHARLIKA ELEMENTARY SCHOOL</t>
  </si>
  <si>
    <t>BARANGAY CEMBO, MAKATI CITY</t>
  </si>
  <si>
    <t>BARANGAY STA. MILAGROSA, CALAUAG, QUEZON</t>
  </si>
  <si>
    <t>BARANGAY HILAAN, BONTOC, SOUTHERN LEYTE</t>
  </si>
  <si>
    <t>BARANGAY JANOPOL OCCIDENTAL, TANAUAN CITY, BATANGAS</t>
  </si>
  <si>
    <t>CAVITE STATE UNIVERSITY - NAIC CAMPUS</t>
  </si>
  <si>
    <t>MUNICIPALITY OF JOSE DALMAN, ZAMBOANGA DEL NORTE</t>
  </si>
  <si>
    <t>MUNICIPALITY OF LEZO, AKLAN</t>
  </si>
  <si>
    <t>BARANGAY TAMBONG GLORIA ORIENTAL MINDORO</t>
  </si>
  <si>
    <t>MUNICIPALITY OF LIBJO, DINAGAT ISLANDS</t>
  </si>
  <si>
    <t>MUNICIPALITY OF GINGOOG CITY, MISAMIS ORIENTAL</t>
  </si>
  <si>
    <t>MUNICIPALITY OF SAN CLEMENTE, TARLAC</t>
  </si>
  <si>
    <t>PHILIPPINE PORTS AUTHORITY - PMO WESTERN LEYTE/BILIRAN</t>
  </si>
  <si>
    <t>MUNICIPALITY OF BALENO, MASBATE</t>
  </si>
  <si>
    <t>MUNICIPALITY OF AMBAGUIO, NUEVA VIZCAYA</t>
  </si>
  <si>
    <t>TESDA PROVINCIAL TRAINING CENTER-IFUGAO</t>
  </si>
  <si>
    <t>MUNICIPALITY OF PADRE BURGOS, SOUTHERN LEYTE</t>
  </si>
  <si>
    <t>BARANGAY POBLACION, MALUNGON, SARANGANI</t>
  </si>
  <si>
    <t>SK OF BARANGAY PINAGKAISAHAN - MAKATI CITY METRO MANILA</t>
  </si>
  <si>
    <t>MUNICIPALITY OF DAMULOG, BUKIDNON</t>
  </si>
  <si>
    <t>BARANGAY MASAGAOSAO KAWAYAN BILIRAN</t>
  </si>
  <si>
    <t>TUMAUINI NATIONAL HIGH SCHOOL</t>
  </si>
  <si>
    <t xml:space="preserve">DEPARTMENT OF PUBLIC WORKS AND HIGHWAYS - NUEVA VIZCAYA 1ST </t>
  </si>
  <si>
    <t>DEPARTMENT OF PUBLIC WORKS AND HIGHWAYS - DINAGAT ISLANDS DI</t>
  </si>
  <si>
    <t>BARANGAY MAPURAO ALLACAPAN CAGAYAN</t>
  </si>
  <si>
    <t>BARANGAY MANILA, RAPU-RAPU, ALBAY</t>
  </si>
  <si>
    <t>BARANGAY SAN JUAN, ALLACAPAN, CAGAYAN</t>
  </si>
  <si>
    <t>DEPARTMENT OF EDUCATION - DIVISION OF NORTHERN SAMAR</t>
  </si>
  <si>
    <t>MUNICIPALITY OF SAN FELIPE, ZAMBALES</t>
  </si>
  <si>
    <t>BARANGAY A, BORONGAN CITY, EASTERN SAMAR</t>
  </si>
  <si>
    <t>MUNICIPALITY OF CARCAR, CEBU</t>
  </si>
  <si>
    <t>BARANGAY LIBERATION, ILOILO CITY</t>
  </si>
  <si>
    <t>MUNICIPALITY OF TAYUG, PANGASINAN</t>
  </si>
  <si>
    <t>PALAWAN STATE UNIVERSITY</t>
  </si>
  <si>
    <t>GUINAYANGAN NATIONAL HIGH SCHOOL</t>
  </si>
  <si>
    <t>MUNICIPALITY OF SANTOL, LA UNION</t>
  </si>
  <si>
    <t>BARANGAY BANILAD - BACONG NEGROS ORIENTAL</t>
  </si>
  <si>
    <t>BARANGAY TAMBO, LIPA CITY</t>
  </si>
  <si>
    <t>MUNICIPALITY OF TARANGNAN, SAMAR</t>
  </si>
  <si>
    <t>METRO BANGUED WATER DISTRICT</t>
  </si>
  <si>
    <t>DEPARTMENT OF TRADE AND INDUSTRY - REGION III</t>
  </si>
  <si>
    <t>DEVELOPMENT BANK OF THE PHILIPPINES - RMC-WESTERN MINDANAO</t>
  </si>
  <si>
    <t>MUNICIPALITY OF COLUMBIO, SULTAN KUDARAT</t>
  </si>
  <si>
    <t>BATUAN ELEMENTARY SCHOOL - VALLADOLID NEGROS OCCIDENTAL</t>
  </si>
  <si>
    <t>DEPARTMENT OF ENVIRONMENT AND NATURAL RES. - PENRO, PALAWAN</t>
  </si>
  <si>
    <t>BARANGAY SAN ROQUE ENRILE CAGAYAN</t>
  </si>
  <si>
    <t>CITY OF VALENZUELA</t>
  </si>
  <si>
    <t>STA. MARIA WATER DISTRICT</t>
  </si>
  <si>
    <t>DEPARTMENT OF PUBLIC WORKS AND HIGHWAYS - REGION III</t>
  </si>
  <si>
    <t>MUNICIPALITY OF ALCANTARA, ROMBLON</t>
  </si>
  <si>
    <t>MUNICIPALITY OF PATNOÑGON, ANTIQUE</t>
  </si>
  <si>
    <t>BARANGAY TIMALAN BALSAHAN - NAIC CAVITE</t>
  </si>
  <si>
    <t>SK OF BARANGAY  POBLACION - MAKATI CITY</t>
  </si>
  <si>
    <t>BARANGAY PAGASPAS, TANAUAN CITY</t>
  </si>
  <si>
    <t>PHILIPPINE NATIONAL POLICE - LOGISTICS SUPPORT SERVICE</t>
  </si>
  <si>
    <t>MUNICIPALITY OF PITOGO, ZAMBOANGA DEL SUR</t>
  </si>
  <si>
    <t>PHILIPPINE COCONUT AUTHORITY-REGION XI</t>
  </si>
  <si>
    <t>BARANGAY AMPARO - PATNONGON, ANTIQUE</t>
  </si>
  <si>
    <t>MUNICIPALITY OF NATIVIDAD -  PANGASINAN</t>
  </si>
  <si>
    <t>MOUNTAIN PROVINCE STATE POLYTECHNIC COLLEGE</t>
  </si>
  <si>
    <t>MUNICIPALITY OF CALACA, BATANGAS</t>
  </si>
  <si>
    <t>CITY OF OLONGAPO, ZAMBALES</t>
  </si>
  <si>
    <t>BARANGAY CONGAN, GLAN, SARANGANI PROVINCE</t>
  </si>
  <si>
    <t>BARANGAY POBLACION, TOLOSA, LEYTE</t>
  </si>
  <si>
    <t>MUNICIPALITY OF MABITAC, LAGUNA</t>
  </si>
  <si>
    <t>BARANGAY ORAS, TABACO CITY</t>
  </si>
  <si>
    <t xml:space="preserve">DA - PHILIPPINE RURAL DEVELOPMENT PROJECT - PSO VISAYAS </t>
  </si>
  <si>
    <t>MUNICIPALITY OF RAMON, ISABELA</t>
  </si>
  <si>
    <t>MUNICIPALITY OF STA. CATALINA, NEGROS ORIENTAL</t>
  </si>
  <si>
    <t>MUNICIPALITY OF MAMBAJAO, CAMIGUIN</t>
  </si>
  <si>
    <t>BARANGAY SAN FRANCISCO NABUA CAMARINES SUR</t>
  </si>
  <si>
    <t>BARANGAY FORTALIZA, TUBURAN, CEBU</t>
  </si>
  <si>
    <t>TUMAUINI WATER DISTRICT</t>
  </si>
  <si>
    <t>MUNICIPALITY OF SAN EMILIO, ILOCOS SUR</t>
  </si>
  <si>
    <t>MINISTRY OF THE INTERIOR AND LOCAL GOVERNMENT - BARMM</t>
  </si>
  <si>
    <t>MUNICIPALITY OF PALUAN, OCCIDENTAL MINDORO</t>
  </si>
  <si>
    <t>DEPARTMENT OF EDUCATION - REGION VII</t>
  </si>
  <si>
    <t>BARANGAY TABLON, OAS, ALBAY</t>
  </si>
  <si>
    <t>MUNICIPALITY OF ARINGAY, LA UNION</t>
  </si>
  <si>
    <t>DEPARTMENT OF ENVIRONMENT AND NATURAL RESOURCES - RIV-A</t>
  </si>
  <si>
    <t>MUNICIPALITY OF JANIUAY, ILOILO</t>
  </si>
  <si>
    <t>BARANGAY SAN LORENZO, SAN PABLO CITY, LAGUNA</t>
  </si>
  <si>
    <t>MUNICIPALITY OF AMULUNG, CAGAYAN</t>
  </si>
  <si>
    <t>DEPARTMENT OF PUBLIC WORKS AND HIGHWAYS - ALBAY 1ST DEO</t>
  </si>
  <si>
    <t>MUNICIPALITY OF MACO, COMPOSTELA VALLEY</t>
  </si>
  <si>
    <t>MUNICIPALITY OF CORON, PALAWAN</t>
  </si>
  <si>
    <t>BARANGAY POBLACION A - TAYUG PANGASINAN</t>
  </si>
  <si>
    <t>DEPARTMENT OF PUBLIC WORKS AND HIGHWAYS - AURORA DEO</t>
  </si>
  <si>
    <t>DEPARTMENT OF EDUCATION - REGION V</t>
  </si>
  <si>
    <t>BARANGAY USUSAN, TAGUIG CITY</t>
  </si>
  <si>
    <t>BARANGAY CAMOBOAN, TABOGON, CEBU</t>
  </si>
  <si>
    <t>HOME DEVELOPMENT MUTUAL FUND - REGION VII</t>
  </si>
  <si>
    <t>DEPARTMENT OF EDUCATION - DIVISION OF NAGA CITY</t>
  </si>
  <si>
    <t>MUNICIPALITY OF MALLIG, ISABELA</t>
  </si>
  <si>
    <t>BARANGAY RIZAL POBLACION, BANGA, SOUTH COTABATO</t>
  </si>
  <si>
    <t>MUNICIPALITY OF LINAMON, LANAO DEL NORTE</t>
  </si>
  <si>
    <t>BARANGAY VII-C, SAN PABLO CITY</t>
  </si>
  <si>
    <t>BARANGAY ANILAO, BONGABONG, ORIENTAL MINDORO</t>
  </si>
  <si>
    <t>BARANGAY MASISIT SANCHEZ MIRA CAGAYAN</t>
  </si>
  <si>
    <t>BARANGAY 9 POBLACION - TIGBAUAN ILOILO</t>
  </si>
  <si>
    <t>CITY OF NAGA, CEBU</t>
  </si>
  <si>
    <t>BARANGAY PULOSAHI, BONGABONG, ORIENTAL MINDORO</t>
  </si>
  <si>
    <t>BARANGAY NALASIN, SOLSONA, ILOCOS NORTE</t>
  </si>
  <si>
    <t>BARANGAY BAGUMBAYAN - TIGBAUAN ILOILO</t>
  </si>
  <si>
    <t>BARANGAY STA. LUCIA - PASIG CITY</t>
  </si>
  <si>
    <t>MUNICIPALITY OF ESPERANZA, MASBATE</t>
  </si>
  <si>
    <t>PROFESSIONAL REGULATION COMMISSION</t>
  </si>
  <si>
    <t>MUNICIPALITY OF PANDAN , CATANDUANES</t>
  </si>
  <si>
    <t>BARANGAY PORO - SAN FERNANDO CITY, LA UNION</t>
  </si>
  <si>
    <t>MUNICIPALITY OF MAGDIWANG, ROMBLON</t>
  </si>
  <si>
    <t>AGRICULTURAL TRAINING INSTITUTE- REGIONAL TRAINING CENTER 6</t>
  </si>
  <si>
    <t>BARANGAY POBLACION, ANTIPAS, COTABATO</t>
  </si>
  <si>
    <t>BARANGAY JULUGAN V - TANZA CAVITE</t>
  </si>
  <si>
    <t xml:space="preserve">DEPARTMENT OF JUSTICE - OFFICE OF THE REGIONAL PROSECUTOR - </t>
  </si>
  <si>
    <t>MUNICIPALITY OF LAPINIG, NORTHERN SAMAR</t>
  </si>
  <si>
    <t>PROVINCIAL GOVERNMENT OF MASBATE</t>
  </si>
  <si>
    <t>BUREAU OF FISHERIES AND AQUATIC RESOURCES - REGION II</t>
  </si>
  <si>
    <t>PHILIPPINE HEALTH INSURANCE CORPORATION - REGION III</t>
  </si>
  <si>
    <t>MUNICIPALITY OF SAN JUAN, BATANGAS</t>
  </si>
  <si>
    <t>BARANGAY EASTERN, HILONGOS, LEYTE</t>
  </si>
  <si>
    <t>BARANGAY BOSONGON, TUBIGON, BOHOL</t>
  </si>
  <si>
    <t>BARANGAY TIBAL-OG, STO.TOMAS, DAVAO</t>
  </si>
  <si>
    <t>BARANGAY ABUNDA - MAGSAYSAY MISAMIS ORIENTAL</t>
  </si>
  <si>
    <t>CITY GOVERNMENT OF NAVOTAS</t>
  </si>
  <si>
    <t>BARANGAY HABINGAN, ATIMONAN,QUEZON</t>
  </si>
  <si>
    <t>MUNICIPALITY OF CALINOG, ILOILO</t>
  </si>
  <si>
    <t>EULOGIO "AMANG" RODRIGUEZ INSTITUTE OF SCIENCE AND TECH.</t>
  </si>
  <si>
    <t>DEPARTMENT OF EDUCATION - DIVISION OF PAGADIAN CITY</t>
  </si>
  <si>
    <t>MUNICIPALITY OF MABINI, BOHOL</t>
  </si>
  <si>
    <t>PROVINCE OF COMPOSTELA VALLEY</t>
  </si>
  <si>
    <t>BARANGAY MACAAS,	TUBIGON, BOHOL</t>
  </si>
  <si>
    <t>MUNICIPALITY OF SINACABAN , MISAMIS OCCIDENTAL</t>
  </si>
  <si>
    <t>BARANGAY NABAG-O, VALENCIA CITY</t>
  </si>
  <si>
    <t>BARANGAY TUBIGAN IBABA - MACALELON QUEZON</t>
  </si>
  <si>
    <t>SILAHIS ELEMENTARY SCHOOL</t>
  </si>
  <si>
    <t>BARANGAY SAN PEDRO - ALBUERA LEYTE</t>
  </si>
  <si>
    <t>SK OF BARANGAY WEST REMBO - MAKATI CITY</t>
  </si>
  <si>
    <t>BARANGAY TINOCDUGAN, LEYTE, LEYTE</t>
  </si>
  <si>
    <t>BARANGAY KUMINTANG ILAYA, BATANGAS CITY, BATANGAS</t>
  </si>
  <si>
    <t>DEPARTMENT OF PUBLIC WORKS AND HIGHWAYS - QUEZON 1ST ED</t>
  </si>
  <si>
    <t>BARANGAY CALOOGAN - SAN JOSE PALO, LEYTE</t>
  </si>
  <si>
    <t>MARITIME INDUSTRY AUTHORITY (MARINA)</t>
  </si>
  <si>
    <t>ARACELI NATIONAL HIGH SCHOOL - ARACELI PALAWAN</t>
  </si>
  <si>
    <t>BARANGAY LUNAS MAASIN CITY LEYTE</t>
  </si>
  <si>
    <t>MUNICIPALITY OF BAKUN, BENGUET</t>
  </si>
  <si>
    <t>EASTERN VISAYAS STATE UNIVERSITY - CARIGARA CAMPUS</t>
  </si>
  <si>
    <t>BARANGAY SAN ISIDRO, ATIMONAN,QUEZON</t>
  </si>
  <si>
    <t>BARANGAY SOUTHSIDE, MAKATI CITY</t>
  </si>
  <si>
    <t>BARANGAY MANAGUIT, DUMANGAS, ILOILO</t>
  </si>
  <si>
    <t>BARANGAY PITOGO, MAKATI CITY</t>
  </si>
  <si>
    <t>MUNICIPALITY OF MAMBURAO, OCCIDENTAL MINDORO</t>
  </si>
  <si>
    <t>F. BANGOY NATIONAL HIGH SCHOOL</t>
  </si>
  <si>
    <t>BARANGAY BATI-AWAN, TAFT EASTERN SAMAR</t>
  </si>
  <si>
    <t>COTABATO CITY STATE POLYTECHNIC COLLEGE</t>
  </si>
  <si>
    <t>BARANGAY NATO</t>
  </si>
  <si>
    <t>NATIONAL FOOD AUTHORITY - REGION III</t>
  </si>
  <si>
    <t>BARANGAY SALVACION, PANABO CITY</t>
  </si>
  <si>
    <t>DEPARTMENT OF THE INTERIOR AND LOCAL GOVERNMENT - REGION IX</t>
  </si>
  <si>
    <t>BARANGA MAUSWAGON - LA LIBERTAD ZAMBOANGA DEL NORTE</t>
  </si>
  <si>
    <t>BARANGAY PINGET, BAGUIO CITY</t>
  </si>
  <si>
    <t>BARANGAY MALITBOG, BONGABONG, ORIENTAL MINDORO</t>
  </si>
  <si>
    <t>BARANGAY 601, ZONE 59, DISTRICT VI, MANILA</t>
  </si>
  <si>
    <t>BARANGAY BULUANG, COMPOSTELA, CEBU</t>
  </si>
  <si>
    <t>SAN CELESTINO NATIONAL HIGH SCHOOL</t>
  </si>
  <si>
    <t>BARANGAY ARANGIN, NAUJAN, ORIENTAL MINDORO</t>
  </si>
  <si>
    <t>MUNICIPALITY OF GARCHITORENA, CAMARINES SUR</t>
  </si>
  <si>
    <t>MUNICIPALITY OF SIBAGAT, AGUSAN DEL SUR</t>
  </si>
  <si>
    <t>MUNICIPALITY OF LUNA, APAYAO</t>
  </si>
  <si>
    <t>BARANGAY 15 ILAWOD EAST- LEGAZPI CITY ALBAY</t>
  </si>
  <si>
    <t>MUNICIPALITY OF DATU ODIN SINSUAT, MAGUINDANAO</t>
  </si>
  <si>
    <t>MUNICIPALITY OF HINABANGAN, SAMAR</t>
  </si>
  <si>
    <t>BARANGAY LIWAN NORTE -ENRILE CAGAYAN</t>
  </si>
  <si>
    <t>BARANGAY GAWISAN-MAASIN CITY SOUTHERN LEYTE</t>
  </si>
  <si>
    <t>BARANGAY HAGAN, BONGABONG, ORIENTAL MINDORO</t>
  </si>
  <si>
    <t>DEPARTMENT OF PUBLIC WORKS AND HIGHWAYS - RIZAL 1ST ED</t>
  </si>
  <si>
    <t>BARANGAY TONDOD, SAN JOSE CITY, NUEVA ECIJA</t>
  </si>
  <si>
    <t>COMMISSION ON HIGHER EDUCATION - MAIN</t>
  </si>
  <si>
    <t>BARANGAY BANYAGA, AGONCILLO, BATANGAS</t>
  </si>
  <si>
    <t>BARANGAY NEW COMPOSTELA, DAMULOG, BUKIDNON</t>
  </si>
  <si>
    <t>BARANGAY 649, ZONE 68, DISTRICT V, PORT AREA, MANILA</t>
  </si>
  <si>
    <t>METRO CARIGARA WATER DISTRICT</t>
  </si>
  <si>
    <t>MUNICIPALITY OF BASUD, CAMARINES NORTE</t>
  </si>
  <si>
    <t>MUNICIPALITY OF CATANAUAN, QUEZON</t>
  </si>
  <si>
    <t>BARANGAY NAGUILIAN LALLO CAGAYAN</t>
  </si>
  <si>
    <t>DEPARTMENT OF TRADE AND INDUSTRY - CAR</t>
  </si>
  <si>
    <t>BARANGAY BINUBONGAN, ALLACAPAN, CAGAYAN</t>
  </si>
  <si>
    <t>DEPARTMENT OF PUBLIC WORKS AND HIGHWAYS - REGION IV-B</t>
  </si>
  <si>
    <t>DEPARTMENT OF PUBLIC WORKS AND HIGHWAYS - CEBU 3RD DEO</t>
  </si>
  <si>
    <t>LIGA NG MGA BARANGAY - VILLABA LEYTE CHAPTER</t>
  </si>
  <si>
    <t>BARANGAY DISTRICT 8, ORMOC CITY, LEYTE</t>
  </si>
  <si>
    <t>DEPARTMENT OF ENVIRONMENT AND NATURAL RES. - PENRO KALINGA</t>
  </si>
  <si>
    <t>CALAMBA WATER DISTRICT</t>
  </si>
  <si>
    <t>DEPARTMENT OF PUBLIC WORKS AND HIGHWAYS - MINDORO OCCIDENTAL</t>
  </si>
  <si>
    <t>VICENTE SOTTO MEMORIAL MEDICAL CENTER - REGION VII</t>
  </si>
  <si>
    <t>BARANGAY BONBON, CAGAYAN DE ORO CITY</t>
  </si>
  <si>
    <t>BARANGAY SAN ROQUE, ANTIPOLO CITY</t>
  </si>
  <si>
    <t>BARANGAY ALIBAGO ENRILE CAGAYAN</t>
  </si>
  <si>
    <t>BARANGAY BILIBINWANG, AGONCILLO, BATANGAS</t>
  </si>
  <si>
    <t>BARANGAY CENTRO EAST, BALLESTEROS, CAGAYAN</t>
  </si>
  <si>
    <t>BARANGAY APITONG - NAUJAN, ORIENTAL MINDORO</t>
  </si>
  <si>
    <t>PALOMPON INSTITUTE OF TECHNOLOGY</t>
  </si>
  <si>
    <t>PHILIPPINE OVERSEAS EMPLOYMENT ADMINISTRATION</t>
  </si>
  <si>
    <t>MUNICIPALITY OF SULOP, DAVAO DEL SUR</t>
  </si>
  <si>
    <t>BARANGAY CALICANTO, BATANGAS CITY, BATANGAS</t>
  </si>
  <si>
    <t>BARANGAY DAMACAN, BACACAY, AL BAY</t>
  </si>
  <si>
    <t>BARANGAY SAN ANDRES - ALAMINOS, LAGUNA</t>
  </si>
  <si>
    <t>CONCEPCION WATER DISTRICT</t>
  </si>
  <si>
    <t>BARANGAY V, DAET, CAMARINES NORTE</t>
  </si>
  <si>
    <t>MUNICIPALITY OF DARAGA, ALBAY</t>
  </si>
  <si>
    <t>PHILIPPINE NATIONAL POLICE - REGION IX</t>
  </si>
  <si>
    <t>MUNICIPALITY OF TAYUM, ABRA</t>
  </si>
  <si>
    <t>BARANGAY NEW TUBIGON - SIBAGAT, AGUSAN DEL SUR</t>
  </si>
  <si>
    <t>BARANGAY BANLIC, CABUYAO, LAGUNA</t>
  </si>
  <si>
    <t>BARANGAY SAN JUAN (RORO), SORSOGON CITY</t>
  </si>
  <si>
    <t>TAYAP ELEMENTARY SCHOOL</t>
  </si>
  <si>
    <t>BARANGAY BAGACAY - PALAPAG NORTHERN SAMAR</t>
  </si>
  <si>
    <t>BARANGAY PALAGAO SUR, GATTARAN, CAGAYAN</t>
  </si>
  <si>
    <t>MUNICIPALITY OF LILOAN, SOUTHERN LEYTE</t>
  </si>
  <si>
    <t>DEPARTMENT OF AGRARIAN REFORM - ZAMBOANGA DEL SUR PO</t>
  </si>
  <si>
    <t>BARANGAY CULLIT, GATTARAN, CAGAYAN</t>
  </si>
  <si>
    <t>BARANGAY MOCAG, BAGGAO, CAGAYAN</t>
  </si>
  <si>
    <t>BARANGAY ORACON SUR, NUEVA VALENCIA,GUIMARAS</t>
  </si>
  <si>
    <t>BARANGAY ILAYANG TALIM, LUCENA CITY</t>
  </si>
  <si>
    <t>DEPARTMENT OF PUBLIC WORKS AND HIGHWAYS - ISABELA CITY DEO</t>
  </si>
  <si>
    <t>AMPARO ELEMENTARY SCHOOL</t>
  </si>
  <si>
    <t>MUNICIPALITY OF MALIMONO, SURIGAO DEL NORTE</t>
  </si>
  <si>
    <t>BARANGAY APSAYAN, GERONA, TARLAC</t>
  </si>
  <si>
    <t>DEPARTMENT OF EDUCATION - DIVISION OF LEYTE</t>
  </si>
  <si>
    <t>MUNICIPALITY OF NAGBUKEL, ILOCOS SUR</t>
  </si>
  <si>
    <t>PANGANTUCAN NATIONAL HIGH SCHOOL</t>
  </si>
  <si>
    <t>BARANGAY TALAGA, ARGAO, CEBU</t>
  </si>
  <si>
    <t>BARANGAY CULLIAT - LIGAO CITY</t>
  </si>
  <si>
    <t>BARANGAY PUTING BATO WEST, CALACA, BATANGAS</t>
  </si>
  <si>
    <t>BARANGAY MARZAN SANCHEZ MIRA CAGAYAN</t>
  </si>
  <si>
    <t>MUNICIPALITY OF MASIU, LANAO DEL SUR</t>
  </si>
  <si>
    <t>BARANGAY VILLA PANTINOPLE - BASILISA, DINAGAT ISLAND</t>
  </si>
  <si>
    <t>LIGHT RAIL TRANSIT AUTHORITY</t>
  </si>
  <si>
    <t>MUNICIPALITY OF LAGAWE, IFUGAO</t>
  </si>
  <si>
    <t>BARANGAY MALAGA - BINDOY (PAYABON) NEGROS ORIENTAL</t>
  </si>
  <si>
    <t>MUNICIPALITY OF TIAONG, QUEZON</t>
  </si>
  <si>
    <t>DAVAO ORIENTAL STATE COLLEGE OF  SCIENCE AND  TECHNOLOGY</t>
  </si>
  <si>
    <t>BUREAU OF FISHERIES AND AQUATIC RESOURCES - REGION X</t>
  </si>
  <si>
    <t>MUNICIPALITY OF GUIMBAL, ILOILO</t>
  </si>
  <si>
    <t>MUNICIPALITY OF TALISAYAN, MISAMIS ORIENTAL</t>
  </si>
  <si>
    <t>DEPARTMENT OF AGRARIAN REFORM - LAGUNA PROVINCIAL OFFICE</t>
  </si>
  <si>
    <t>BARANGAY 30-C, DAVAO CITY, DAVAO DEL SUR</t>
  </si>
  <si>
    <t>MUNICIPALITY OF MEDINA, MISAMIS ORIENTAL</t>
  </si>
  <si>
    <t>BARANGAY SAPA - BAYBAY CITY LEYTE</t>
  </si>
  <si>
    <t>MUNICIPALITY OF SAN LUIS, PAMPANGA</t>
  </si>
  <si>
    <t>MUNICIPALITY OF MAGARAO, CAMARINES SUR</t>
  </si>
  <si>
    <t>EAST AVENUE MEDICAL CENTER</t>
  </si>
  <si>
    <t>BARANGAY MAHIPON-LUMOT - CAVINTI LAGUNA</t>
  </si>
  <si>
    <t>BARANGAY SAN PEDRO -  TALIBON BOHOL</t>
  </si>
  <si>
    <t>DEPARTMENT OF ENVIRONMENT AND NATURAL RES. - PENRO, REGION I</t>
  </si>
  <si>
    <t>DEPARTMENT OF PUBLIC WORKS AND HIGHWAYS - PALAWAN 2ND DEO</t>
  </si>
  <si>
    <t>BARANGAY TOMOY-TOMOY, MAASIN CITY SOUTHERN LEYTE</t>
  </si>
  <si>
    <t>DEPARTMENT OF PUBLIC WORKS AND HIGHWAYS - MIS. OCC. SUB-DEO</t>
  </si>
  <si>
    <t>MUNICIPALITY OF SIBUCO, ZAMBOANGA DEL NORTE</t>
  </si>
  <si>
    <t>DEPARTMENT OF EDUCATION - DIVISION OF SANTIAGO CITY</t>
  </si>
  <si>
    <t>BARANGAY SAN ROQUE - MACO, COMPOSTELA VALLEY</t>
  </si>
  <si>
    <t>DEPARTMENT OF PUBLIC WORKS AND HIGHWAYS - CAPIZ 2ND ED</t>
  </si>
  <si>
    <t>CIVIL AVIATION AUTHORITY OF THE PHILIPPINES - REGION V</t>
  </si>
  <si>
    <t>BARANGAY LA VICTORIA - IMELDA ZAMBOANGA SIBUGAY</t>
  </si>
  <si>
    <t>BARANGAY NAPO, INABANGA, BOHOL</t>
  </si>
  <si>
    <t>BARANGAY BALIT, SAN LUIS, AGUSAN DEL SUR</t>
  </si>
  <si>
    <t>MUNICIPALITY OF ALAMINOS, LAGUNA</t>
  </si>
  <si>
    <t>MUNICIPALITY OF MONCADA, TARLAC</t>
  </si>
  <si>
    <t>MUNICIPALITY OF MAYDOLONG, EASTERN SAMAR</t>
  </si>
  <si>
    <t>SUGAR REGULATORY ADMINISTRATION</t>
  </si>
  <si>
    <t>DEPARTMENT OF PUBLIC WORKS AND HIGHWAYS - METRO MANILA 3RD E</t>
  </si>
  <si>
    <t>MUNICIPALITY OF AROROY, MASBATE</t>
  </si>
  <si>
    <t>MUNICIPALITY OF SAN ANDRES, QUEZON</t>
  </si>
  <si>
    <t>SABLAYAN WATER DISTRICT</t>
  </si>
  <si>
    <t>CITY OF MALOLOS, BULACAN</t>
  </si>
  <si>
    <t>MUNICIPALITY OF MARAMAG, BUKIDNON</t>
  </si>
  <si>
    <t>MUNICIPALITY OF GEN. MACARTHUR, EASTERN SAMAR</t>
  </si>
  <si>
    <t>MUNICIPALITY OF BUTIG, LANAO DEL SUR</t>
  </si>
  <si>
    <t>IBAJAY NATIONAL HIGH SCHOOL</t>
  </si>
  <si>
    <t>DEPARTMENT OF AGRARIAN REFORM - QUIRINO PROVINCIAL OFFICE</t>
  </si>
  <si>
    <t>NATIONAL HOUSING AUTHORITY</t>
  </si>
  <si>
    <t>DON EUSTAQUIO HOFILENA MEMORIAL ELEMENTARY SCHOOLDEHMES</t>
  </si>
  <si>
    <t>MUNICIPALITY OF CABANGAN, ZAMBALES</t>
  </si>
  <si>
    <t>MUNICIPALITY OF MATAAS NA KAHOY, BATANGAS</t>
  </si>
  <si>
    <t>MUNICIPALITY OF NAGUILIAN, ISABELA</t>
  </si>
  <si>
    <t>MUNICIPALITY OF PASIL, KALINGA</t>
  </si>
  <si>
    <t>BARANGAY CARANGAN - OZAMIS CITY, MISAMIS OCCIDENTAL</t>
  </si>
  <si>
    <t>DEPARTMENT OF PUBLIC WORKS AND HIGHWAYS - SOUTHERN MINDORO D</t>
  </si>
  <si>
    <t>DEPARTMENT OF PUBLIC WORKS AND HIGHWAYS - BILIRAN ED</t>
  </si>
  <si>
    <t>MUNICIPALITY OF CARMEN , SURIGAO DEL SUR</t>
  </si>
  <si>
    <t>CANDELARIA WATER DISTRICT (ZAMBALES) - CANDELARIA ZAMBALES</t>
  </si>
  <si>
    <t>STA. CRUZ WATER DISTRICT - STA. CRUZ ZAMBALES</t>
  </si>
  <si>
    <t>BARANGAY SANTIAGO SANCHEZ MIRA CAGAYAN</t>
  </si>
  <si>
    <t>BARANGAY GUYAM MUNTI INDANG CAVITE</t>
  </si>
  <si>
    <t>MUNICIPALITY OF SIOCON</t>
  </si>
  <si>
    <t>MUNICIPALITY OF ANGONO, RIZAL</t>
  </si>
  <si>
    <t>DEPARTMENT OF SOCIAL WELFARE AND DEVELOPMENT - REGION II</t>
  </si>
  <si>
    <t>BARANGAY BAYBAYON - MABINI BOHOL</t>
  </si>
  <si>
    <t>MUNICIPALITY OF KALIBO, AKLAN</t>
  </si>
  <si>
    <t>BARANGAY KAPITAN PEPE CABANATUAN CITY NUEVA ECIJA</t>
  </si>
  <si>
    <t>BARANGAY SAN FELIPE, LLANERA, NUEVA ECIJA</t>
  </si>
  <si>
    <t>MUNICIPALITY OF SAN DIONISIO, ILOILO</t>
  </si>
  <si>
    <t>BARANGAY RIZAL - SORSOGON CITY SORSOGON</t>
  </si>
  <si>
    <t>PHILIPPINE NATIONAL POLICE - CRIME LABORATORY</t>
  </si>
  <si>
    <t>BARANGAY PUNTOD, CAGAYAN DE ORO CITY</t>
  </si>
  <si>
    <t>BARANGAY PINAMOPOAN, CAPOOCAN, LEYTE</t>
  </si>
  <si>
    <t>MUNICIPALITY OF CABUCGAYAN, BILIRAN</t>
  </si>
  <si>
    <t>MUNICIPALITY OF MENDEZ-NUÑEZ, CAVITE</t>
  </si>
  <si>
    <t>MINDANAO CENTRAL SANITARIUM &amp; GENERAL HOSPITAL</t>
  </si>
  <si>
    <t>DEPARTMENT OF AGRARIAN REFORM - AGUSAN DEL SUR</t>
  </si>
  <si>
    <t>DEPARTMENT OF PUBLIC WORKS AND HIGHWAYS - SIQUIJOR DEO</t>
  </si>
  <si>
    <t>BARANGAY PATAG, OPOL, MISAMIS ORIENTAL</t>
  </si>
  <si>
    <t>MUNICIPALITY OF LAMUT, IFUGAO</t>
  </si>
  <si>
    <t>BARANGAY LOCAL GOVERNMENT UNIT OF DOLORES</t>
  </si>
  <si>
    <t>BARANGAY WEST BALABAG, VALENCIA, NEGROS ORIENTAL</t>
  </si>
  <si>
    <t>BARANGAY AN-ANNAM  - BANTAY ILOCOS SUR</t>
  </si>
  <si>
    <t>MUNICIPALITY OF TAMBULIG, ZAMBOANGA DEL SUR</t>
  </si>
  <si>
    <t>BARANGAY EMBARCADERO, CARRASCAL, SURIGAO DEL SUR</t>
  </si>
  <si>
    <t>MUNICIPALITY OF LUMBAN, LAGUNA</t>
  </si>
  <si>
    <t>BARANGAY BULAG - BANTAY ILOCOS SUR</t>
  </si>
  <si>
    <t>MUNICIPALITY OF OBANDO, BULACAN</t>
  </si>
  <si>
    <t>MUNICIPALITY OF BAROTAC VIEJO, ILOILO</t>
  </si>
  <si>
    <t>MUNICIPALITY OF BAMBANG, NUEVA VIZCAYA</t>
  </si>
  <si>
    <t>DEPARTMENT OF PUBLIC WORKS AND HIGHWAYS - BATAAN 1ST DEO</t>
  </si>
  <si>
    <t>BARANGAY MAASIN - PASSI CITY ILOILO</t>
  </si>
  <si>
    <t>BARANGAY BALON BATO, QUEZON CITY</t>
  </si>
  <si>
    <t>BARANGAY TANDAYAG, AMLAN, NEGROS ORIENTAL</t>
  </si>
  <si>
    <t>MUNICIPALITY OF STA. FE, LEYTE</t>
  </si>
  <si>
    <t>MUNICIPALITY OF ALOGUINSAN, CEBU</t>
  </si>
  <si>
    <t>MUNICIPALITY OF CATARMAN, NORTHERN SAMAR</t>
  </si>
  <si>
    <t>BARANGAY PALITON - SAN JUAN SIQUIJOR</t>
  </si>
  <si>
    <t>BARANGAY LIMBUHAN GUTI, TANAUAN, LEYTE</t>
  </si>
  <si>
    <t>MUNICIPALITY OF CAJIDIOCAN, ROMBLON</t>
  </si>
  <si>
    <t>MUNICIPALITY OF OMAR, SULU</t>
  </si>
  <si>
    <t>BARANGAY POBLACION 1 - DARAM SAMAR</t>
  </si>
  <si>
    <t>CENTER FOR INTERNATIONAL TRADE EXPOSITIONS AND MISSIONS, DTI</t>
  </si>
  <si>
    <t>BOHOL ISLAND STATE UNIVERSITY - CLARIN CAMPUS</t>
  </si>
  <si>
    <t>BARANGAY BOLANEY, ALAMINOS, PANGASINAN</t>
  </si>
  <si>
    <t>MUNICIPALITY OF GAINZA, CAMARINES SUR</t>
  </si>
  <si>
    <t>BARANGAY CONSUEGRA - BANGAR LA UNION</t>
  </si>
  <si>
    <t>BARANGAY BINITAYAN, DARAGA, ALBAY</t>
  </si>
  <si>
    <t>MUNICIPALITY OF DINGALAN, AURORA</t>
  </si>
  <si>
    <t>NATIONAL POWER CORPORATION SPUG - MINDANAO(EMOD)</t>
  </si>
  <si>
    <t>MUNICIPALITY OF PUDTOL, APAYAO</t>
  </si>
  <si>
    <t>MUNICIPALITY OF DINAS, ZAMBOANGA DEL SUR</t>
  </si>
  <si>
    <t>MUNICIPALITY OF TOBOSO, NEGROS OCCIDENTAL</t>
  </si>
  <si>
    <t>MUNICIPALITY OF BALINGOAN, MISAMIS ORIENTAL</t>
  </si>
  <si>
    <t>BARANGAY ADRIALUNA, NAUJAN, ORIENTAL MINDORO</t>
  </si>
  <si>
    <t>BARANGAY PALAMIS, ALAMINOS CITY</t>
  </si>
  <si>
    <t>RIZZA ELEMENTARY SCHOOL</t>
  </si>
  <si>
    <t>MUNICIPALITY OF SAN MIGUEL, CATANDUANES</t>
  </si>
  <si>
    <t>MUNICIPALITY OF MAKATO, AKLAN</t>
  </si>
  <si>
    <t>BUREAU OF JAIL MANAGEMENT AND PENOLOGY XI</t>
  </si>
  <si>
    <t>PUBLIC-PRIVATE PARTNERSHIP (PPP) CENTER OF THE PHILIPPI</t>
  </si>
  <si>
    <t>BASILAN GENERAL HOSPITAL</t>
  </si>
  <si>
    <t>BARANGAY DADIANGAS SOUTH, GENERAL SANTOS CITY, SOUTH COTABAT</t>
  </si>
  <si>
    <t>BARANGAY SALAPUNGAN, GERONA, TARLAC</t>
  </si>
  <si>
    <t>BARANGAY LUCUTAN - MAUBAN QUEZON</t>
  </si>
  <si>
    <t>BARANGAY GENERAL ESCO, NAUJAN, ORIENTAL MINDORO</t>
  </si>
  <si>
    <t>MUNICIPALITY OF STA. CRUZ, ZAMBALES</t>
  </si>
  <si>
    <t>BARANGAY 147 ZONE 13, MANILA</t>
  </si>
  <si>
    <t>BARANGAY FUFUNG - GENERAL SANTOS CITY</t>
  </si>
  <si>
    <t>DEPARTMENT OF PUBLIC WORKS AND HIGHWAYS - MAGUINDANAO 2ND DE</t>
  </si>
  <si>
    <t>MUNICIPALITY OF ARTECHE, EASTERN SAMAR</t>
  </si>
  <si>
    <t>MUNICIPALITY OF TAFT, EASTERN SAMAR</t>
  </si>
  <si>
    <t>BARANGAY POBLACION, VALENCIA CITY</t>
  </si>
  <si>
    <t>BARANGAY OBRERO - BUTUAN CITY AGUSAN DEL NORTE</t>
  </si>
  <si>
    <t>MUNICIPALITY OF TAGO, SURIGAO DEL SUR</t>
  </si>
  <si>
    <t>BARANGAY BUGANG, INABANGA, BOHOL</t>
  </si>
  <si>
    <t>BARANGAY SAN JOSE, CONCEPCION, TARLAC</t>
  </si>
  <si>
    <t>DEPARTMENT OF EDUCATION - REGION II</t>
  </si>
  <si>
    <t>MUNICIPALITY OF FLORA, APAYAO</t>
  </si>
  <si>
    <t>MUNICIPALITY OF SALAY , MISAMIS ORIENTAL</t>
  </si>
  <si>
    <t>CITY OF TOLEDO, CEBU</t>
  </si>
  <si>
    <t>MUNICIPALITY OF BAGANGA, DAVAO ORIENTAL</t>
  </si>
  <si>
    <t>DEPARTMENT OF PUBLIC WORKS AND HIGHWAYS - NORTHERN SAMAR 2ND</t>
  </si>
  <si>
    <t>MUNICIPALITY OF SAN JUAN, ILOCOS SUR</t>
  </si>
  <si>
    <t>BARANGAY LILOAN SUR - INABANGA BOHOL</t>
  </si>
  <si>
    <t>MUNICIPALITY OF CAGDIANAO, DINAGAT ISLAND</t>
  </si>
  <si>
    <t>BARANGAY CAPAOAY, SAN JACINTO, PANGASINAN</t>
  </si>
  <si>
    <t>BARANGAY SAN PEDRO - QUINAPONDAN EASTERN SAMAR</t>
  </si>
  <si>
    <t>BARANGAY POBLACION 5, GEN. MARIANO ALVAREZ, CAVITE</t>
  </si>
  <si>
    <t>BARANGAY STA. MARIA, FLORA, APAYAO</t>
  </si>
  <si>
    <t>DEPARTMENT OF PUBLIC WORKS AND HIGHWAYS - LOWER KALINGA DEO</t>
  </si>
  <si>
    <t>SUBIC BAY METROPOLITAN AUTHORITY</t>
  </si>
  <si>
    <t>BARANGAY HINAGDANAN, TAGBINA, SURIGAO DEL SUR</t>
  </si>
  <si>
    <t>ZAMBOANGA CITY STATE POLYTECHNIC COLLEGE</t>
  </si>
  <si>
    <t>BARANGAY HINAPU GAMAY, MAASIN CITY</t>
  </si>
  <si>
    <t>MUNICIPALITY OF TAMPAKAN, SOUTH COTABATO</t>
  </si>
  <si>
    <t>SOUTHERN LEYTE STATE UNIVERSITY</t>
  </si>
  <si>
    <t>MUNICIPALITY OF BULUAN</t>
  </si>
  <si>
    <t>MUNICIPALITY OF ESPERANZA, SULTAN KUDARAT</t>
  </si>
  <si>
    <t>MUNICIPALITY OF PAVIA, ILOILO</t>
  </si>
  <si>
    <t>MUNICIPALITY OF KAYAPA, NUEVA VIZCAYA</t>
  </si>
  <si>
    <t>MUNICIPALITY OF MAGPET - NORTH COTABATO</t>
  </si>
  <si>
    <t>DEPARTMENT OF PUBLIC WORKS AND HIGHWAYS - ROMBLON DEO</t>
  </si>
  <si>
    <t>BARANGAY SAN ANTONIO, TOMAS OPPUS, SOUTHERN LEYTE</t>
  </si>
  <si>
    <t>SK OF BARANGAY BANGKAL - MAKATI CITY</t>
  </si>
  <si>
    <t>MUNICIPALITY OF INOPACAN, LEYTE</t>
  </si>
  <si>
    <t>MUNICIPALITY OF SAN FRANCISCO, SURIGAO DEL NORTE</t>
  </si>
  <si>
    <t>MUNICIPALITY OF LABO, CAMARINES NORTE</t>
  </si>
  <si>
    <t>BUREAU OF FIRE PROTECTION - REGION IV-B (MIMAROPA)</t>
  </si>
  <si>
    <t>BARANGAY ZONE 5 - SAN ROQUE NORTHERN SAMAR</t>
  </si>
  <si>
    <t>BARANGAY 253, ZONE 23, DISTRICT II, MANILA</t>
  </si>
  <si>
    <t>BARANGAY POBLACION, AROROY, MASBATE</t>
  </si>
  <si>
    <t>MLANG WATER DISTRICT</t>
  </si>
  <si>
    <t>BARANGAY POBLACION, CALANASAN, APAYAO</t>
  </si>
  <si>
    <t>NATIONAL FOOD AUTHORITY - REGION II</t>
  </si>
  <si>
    <t>MUNICIPALITY OF BINANGONAN, RIZAL</t>
  </si>
  <si>
    <t>MUNICIPALITY OF SAN MIGUEL, BOHOL</t>
  </si>
  <si>
    <t>VILLASIS WATER DISTRICT</t>
  </si>
  <si>
    <t>FAR NORTH LUZON GENERAL HOSPITAL &amp; TRAINING CENTER - LUNA AP</t>
  </si>
  <si>
    <t>BARANGAY PANSAGAN - BAYBAY CITY LEYTE</t>
  </si>
  <si>
    <t>BARANGAY  KIMBA -  LAZI, SIQUIJOR</t>
  </si>
  <si>
    <t>DEPARTMENT OF PUBLIC WORKS AND HIGHWAYS - MAIN</t>
  </si>
  <si>
    <t>BARANGAY ZONE 9 - BAYBAY CITY LEYTE</t>
  </si>
  <si>
    <t>METRO KALIBO WATER DISTRICT</t>
  </si>
  <si>
    <t>BARANGAY UNANG SIGAW - QUEZON CITY</t>
  </si>
  <si>
    <t>NATIONAL FOOD AUTHORITY - REGION XI</t>
  </si>
  <si>
    <t>BARANGAY ADLAY, CARRASCAL, SURIGAO DEL SUR</t>
  </si>
  <si>
    <t>POWER SECTOR ASSETS AND LIABILITIES MANAGEMENT CORPORATION-Q</t>
  </si>
  <si>
    <t>BUREAU OF CORRECTIONS - SABLAYAN PRISON AND PENAL FARM</t>
  </si>
  <si>
    <t>BARANGAY PASIL, TANAUAN, LEYTE</t>
  </si>
  <si>
    <t>POLOMOLOK WATER DISTRICT</t>
  </si>
  <si>
    <t>BARANGAY DAUNGAN MAUBAN, QUEZON</t>
  </si>
  <si>
    <t>MUNICIPALITY OF SOFRONIO ESPAÑOLA, PALAWAN</t>
  </si>
  <si>
    <t>DEPARTMENT OF EDUCATION - DIVISION OF CAMIGUIN</t>
  </si>
  <si>
    <t>BARANGAY MALOBAGO - SAN ROQUE NORTHERN SAMAR</t>
  </si>
  <si>
    <t>MUNICIPALITY OF TANGALAN, AKLAN</t>
  </si>
  <si>
    <t>BARANGAY LABANGAL, GENERAL SANTOS CITY</t>
  </si>
  <si>
    <t>BARANGAY PIAO-ROXAS, ZAMBOANGA DEL NORTE</t>
  </si>
  <si>
    <t>MUNICIPALITY OF STA. MARGARITA, SAMAR</t>
  </si>
  <si>
    <t>BARANGAY PALID I, LEYTE, LEYTE</t>
  </si>
  <si>
    <t>BUREAU OF INTERNAL REVENUE  RR8A  - MAKATI CITY</t>
  </si>
  <si>
    <t>DEPARTMENT OF PUBLIC WORKS AND HIGHWAYS - SAMAR 1ST DEO</t>
  </si>
  <si>
    <t>BARANGAY CAMBULAGA - SORSOGON CITY</t>
  </si>
  <si>
    <t>BARANGAY POBLACION, NUEVA VALENCIA, GUIMARAS</t>
  </si>
  <si>
    <t>MUNICIPALITY OF SARANGANI, DAVAO OCCIDENTAL</t>
  </si>
  <si>
    <t>MUNICIPALITY OF TORRIJOS, MARINDUQUE</t>
  </si>
  <si>
    <t>MUNICIPALITY OF MINGLANILLA, CEBU</t>
  </si>
  <si>
    <t>BARANGAY PANIKIAN, CARRASCAL, SURIGAO DEL SUR</t>
  </si>
  <si>
    <t>MUNICIPALITY OF CABATUAN, ISABELA</t>
  </si>
  <si>
    <t>MUNICIPALITY OF LA LIBERTAD ZAMBOANGA DEL NORTE</t>
  </si>
  <si>
    <t>BARANGAY CATANDUNGANON, MERCEDES, CAMARINES NORTE</t>
  </si>
  <si>
    <t>BARANGAY DALIPIT WEST, CUENCA, BATANGAS</t>
  </si>
  <si>
    <t>BARANGAY LUMBIA, CAGAYAN DE ORO CITY</t>
  </si>
  <si>
    <t>BARANGAY MABILBILA SUR, SANTA, ILOCOS SUR</t>
  </si>
  <si>
    <t>BARANGAY GUIOM, CAWAYAN, MASBATE</t>
  </si>
  <si>
    <t>BARANGAY BUNGAHAN, CUENCA, BATANGAS</t>
  </si>
  <si>
    <t>BARANGAY CABUNGAHAN - CAWAYAN, MASBATE</t>
  </si>
  <si>
    <t>BARANGAY NARUANGAN - TUAO CAGAYAN</t>
  </si>
  <si>
    <t>BARANGAY  PONDANG - DARAM SAMAR</t>
  </si>
  <si>
    <t>UNIVERSITY OF SOUTHERN MINDANAO</t>
  </si>
  <si>
    <t>BARANGAY CANCAVAN, CARMEN, SURIGAO DEL SUR</t>
  </si>
  <si>
    <t>BARANGAY CONCEPCION, NAUJAN, ORIENTAL MINDORO</t>
  </si>
  <si>
    <t>MUNICIPALITY OF CARMEN, BOHOL</t>
  </si>
  <si>
    <t>MUNICIPALITY OF TOLOSA, LEYTE</t>
  </si>
  <si>
    <t>LAND TRANSPORTATION OFFICE - NCR</t>
  </si>
  <si>
    <t>MUNICIPALITY OF MAASIN, ILOILO</t>
  </si>
  <si>
    <t>DEPARTMENT OF PUBLIC WORKS AND HIGHWAYS - BATANGAS 2ND ED</t>
  </si>
  <si>
    <t>MUNICIPALITY OF DAPA, SURIGAO DEL NORTE</t>
  </si>
  <si>
    <t>MABINI NATIONAL HIGH SCHOOL - NEGROS OCCIDENTAL</t>
  </si>
  <si>
    <t>DEPARTMENT OF SCIENCE AND TECHNOLOGY - REGION VII</t>
  </si>
  <si>
    <t>MUNICIPALITY OF MARIHATAG, SURIGAO DEL SUR</t>
  </si>
  <si>
    <t>DEPARTMENT OF PUBLIC WORKS AND HIGHWAYS - SAMAR 2ND DEO</t>
  </si>
  <si>
    <t>BARANGAY BATABAT SUR BUENAVISTA, QUEZON</t>
  </si>
  <si>
    <t>MUNICIPALITY OF BUENAVISTA, GUIMARAS</t>
  </si>
  <si>
    <t>MUNICIPALITY OF PRESIDENT ROXAS, COTABATO</t>
  </si>
  <si>
    <t>MUNICIPALITY OF QUEZON, ISABELA</t>
  </si>
  <si>
    <t>CADIZ VIEJO ELEMENTARY SCHOOL</t>
  </si>
  <si>
    <t>BARANGAY GAMA PEQUENO - CALINOG, ILOILO</t>
  </si>
  <si>
    <t>BARANGAY CAGAY - MASBATE CITY</t>
  </si>
  <si>
    <t>BARANGAY CAPUDLOSAN, HINDANG, LEYTE</t>
  </si>
  <si>
    <t>NATIONAL MARITIME POLYTECHNIC - REGION VIII</t>
  </si>
  <si>
    <t>MUNICIPALITY OF SAN ENRIQUE, ILOILO</t>
  </si>
  <si>
    <t>BARANGAY STO.NIÑO, SABLAYAN, OCCIDENTAL MINDORO</t>
  </si>
  <si>
    <t>DEPARTMENT OF TRADE AND INDUSTRY - REGION X</t>
  </si>
  <si>
    <t>BARANGAY TANGKULAN, DAMULOG</t>
  </si>
  <si>
    <t>MUNICIPALITY OF ANAO, TARLAC</t>
  </si>
  <si>
    <t>MUNICIPALITY OF KIAMBA, SARANGANI</t>
  </si>
  <si>
    <t>BARANGAY MATIN-AO-MAASIN CITY SOUTHERN LEYTE</t>
  </si>
  <si>
    <t>MUNICIPALITY OF MADRIDEJOS, CEBU</t>
  </si>
  <si>
    <t>MUNICIPALITY OF AURORA, ISABELA</t>
  </si>
  <si>
    <t>BARANGAY BACLAYAN - BOLJOON, CEBU</t>
  </si>
  <si>
    <t>CITY OF GUIHULNGAN, NEGROS ORIENTAL</t>
  </si>
  <si>
    <t>BARANGAY ESPERANZA - PILAR CEBU</t>
  </si>
  <si>
    <t>MUNICIPALITY OF BANSALAN, DAVAO DEL SUR</t>
  </si>
  <si>
    <t>BARANGAY MABAGON, HINDANG, LEYTE</t>
  </si>
  <si>
    <t>MUNICIPALITY OF CONNER, APAYAO</t>
  </si>
  <si>
    <t>PHILIPPINE HEALTH INSURANCE CORPORATION - CARAGA</t>
  </si>
  <si>
    <t>HIYANG-HIYANG ELEMENTARY SCHOOL</t>
  </si>
  <si>
    <t>BARANGAY JEREOS LAPAZ, ILOILO CITY</t>
  </si>
  <si>
    <t>MUNICIPALITY OF TUBOD, LANAO DEL NORTE</t>
  </si>
  <si>
    <t>BARANGAY VETERANS VILLAGE CITY PROPER, ILOILO CITY</t>
  </si>
  <si>
    <t>BARANGAY ZONE 18 - BAYBAY CITY LEYTE</t>
  </si>
  <si>
    <t>BARANGAY STA. ROSA, CONCEPCION, TARLAC</t>
  </si>
  <si>
    <t>BARANGAY LUTA DEL SUR - MALVAR BATANGAS</t>
  </si>
  <si>
    <t>BARANGAY SASA, DAVAO CITY</t>
  </si>
  <si>
    <t>BARANGAY BANABAN - ANGAT BULACAN</t>
  </si>
  <si>
    <t>BARANGAY CALIPAYAN - CULABA BILIRAN</t>
  </si>
  <si>
    <t>BARANGAY CHICO ISLAND, CAWAYAN, MASBATE</t>
  </si>
  <si>
    <t>BARANGAY ROSARIO - MAUBAN QUEZON</t>
  </si>
  <si>
    <t>MUNICIPALITY OF MALITBOG, SOUTHERN LEYTE</t>
  </si>
  <si>
    <t>DEPARTMENT OF PUBLIC WORKS AND HIGHWAYS - SORSOGON 1ST DEO</t>
  </si>
  <si>
    <t>MUNICIPALITY OF PIAT, CAGAYAN</t>
  </si>
  <si>
    <t>BARANGAY PANDO, CONCEPCION, TARLAC</t>
  </si>
  <si>
    <t>PHILIPPINE HEALTH INSURANCE CORPORATION - REGION VI</t>
  </si>
  <si>
    <t>ILOILO STATE COLLEGE OF FISHERIES - BAROTAC NUEVO CAMPUS</t>
  </si>
  <si>
    <t>BARANGAY BAGONG POOK, LIPA CITY</t>
  </si>
  <si>
    <t>BARANGAY PITABUNAN, CONCEPCION, TARLAC</t>
  </si>
  <si>
    <t>DEPARTMENT OF AGRARIAN REFORM - ZAMBOANGA DEL NORTE</t>
  </si>
  <si>
    <t>NATIONAL FOOD AUTHORITY - ARMM</t>
  </si>
  <si>
    <t>MUNICIPALITY OF MAJAYJAY, LAGUNA</t>
  </si>
  <si>
    <t>BARANGAY SAN CARLOS, LIPA CITY</t>
  </si>
  <si>
    <t>MUNICIPALITY OF STO. TOMAS, DAVAO DEL NORTE</t>
  </si>
  <si>
    <t>BARANGAY SAN NICOLAS - GAPAN CITY NUEVA ECIJA</t>
  </si>
  <si>
    <t>METRO ILOILO WATER DISTRICT</t>
  </si>
  <si>
    <t>MUNICIPALITY OF MATANOG, MAGUINDANAO</t>
  </si>
  <si>
    <t>MUNICIPALITY OF MUTIA, ZAMBOANGA DEL NORTE</t>
  </si>
  <si>
    <t>BARANGAY OTSO - MAMBURAO OCCIDENTAL MINDORO</t>
  </si>
  <si>
    <t>BARANGAY MALITLIT, LIPA CITY, BATANGAS</t>
  </si>
  <si>
    <t>BARANGAY BUAYA, LAPU-LAPU CITY, CEBU</t>
  </si>
  <si>
    <t>BARANGAY CANSAMADA EAST - DAGAMI LEYTE</t>
  </si>
  <si>
    <t>MUNICIPALITY OF SAN JOSE, DINAGAT ISLANDS</t>
  </si>
  <si>
    <t>PROVINCE OF CATANDUANES</t>
  </si>
  <si>
    <t>BARANGAY BAGONG ANYO - DOLORES, QUEZON</t>
  </si>
  <si>
    <t>DEPARTMENT OF PUBLIC WORKS AND HIGHWAYS - BATAAN 2ND DEO</t>
  </si>
  <si>
    <t>MUNICIPALITY OF CABA, LA UNION</t>
  </si>
  <si>
    <t>MUNICIPALITY  OF KABAYAN, BENGUET</t>
  </si>
  <si>
    <t>INTELLECTUAL PROPERTY OF THE PHILIPPINES - TAGUIG CITY</t>
  </si>
  <si>
    <t>MUNICIPALITY OF LUNA, LA UNION</t>
  </si>
  <si>
    <t>BARANGAY SAN VICENTE, ANGONO, RIZAL</t>
  </si>
  <si>
    <t>MUNICIPALITY OF PAYAO, ZAMBOANGA SIBUGAY</t>
  </si>
  <si>
    <t>MUNICIPALITY OF MALANGAS, ZAMBOANGA SIBUGAY</t>
  </si>
  <si>
    <t>BUREAU OF SOILS AND WATER MANAGEMENT</t>
  </si>
  <si>
    <t>CITY  OF DANAO, CEBU</t>
  </si>
  <si>
    <t>BARANGAY DUSACAN - LEON ILOILO</t>
  </si>
  <si>
    <t>NATIONAL HOUSING AUTHORITY - REGION I</t>
  </si>
  <si>
    <t>BARANGAY PAMBUHAN, MERCEDES, CAMARINES NORTE</t>
  </si>
  <si>
    <t>MUNICIPALITY OF ILOG, NEGROS OCCIDENTAL</t>
  </si>
  <si>
    <t>BARANGAY  PATING - MASBATE CITY</t>
  </si>
  <si>
    <t xml:space="preserve">DEPARTMENT OF PUBLIC WORKS AND HIGHWAYS - CAMARINES SUR 4TH </t>
  </si>
  <si>
    <t>BARANGAY TIGBINAN, LABO, CAMARINES NORTE</t>
  </si>
  <si>
    <t>WEST VISAYAS STATE UNIVERSITY – COLLEGE OF AGRICULTURE AND F</t>
  </si>
  <si>
    <t>BARANGAY PUALAS, TUBOD, LANAO DEL NORTE</t>
  </si>
  <si>
    <t>MUNICIPALITY OF CONCEPCION, MISAMIS OCCIDENTAL</t>
  </si>
  <si>
    <t>DEPARTMENT OF EDUCATION - DIVISION OF CAPIZ</t>
  </si>
  <si>
    <t>PHILIPPINE HEALTH INSURANCE CORPORATION - REGION V</t>
  </si>
  <si>
    <t>BARANGAY MANIBAUG, PASIG PORAC, PAMPANGA</t>
  </si>
  <si>
    <t>MUNICIPALITY OF AURORA, ZAMBOANGA DEL SUR</t>
  </si>
  <si>
    <t>BARANGAY SAYON, STA. JOSEFA, AGUSAN DEL SUR</t>
  </si>
  <si>
    <t>DEPARTMENT OF TRADE AND INDUSTRY - REGION VIII</t>
  </si>
  <si>
    <t>BARANGAY TAMBALIZA, CONCEPCION, ILOILO</t>
  </si>
  <si>
    <t>BARANGAY MACASIN - MAUBAN QUEZON</t>
  </si>
  <si>
    <t>MINDANAO STATE UNIVERSITY - MARAWI CITY</t>
  </si>
  <si>
    <t>MUNICIPALITY OF BABATNGON, LEYTE</t>
  </si>
  <si>
    <t>PHILIPPINE PUBLIC SAFETY COLLEGE</t>
  </si>
  <si>
    <t>BARANGAY STA. IRENE, BAYUGAN CITY, AGUSAN DEL SUR</t>
  </si>
  <si>
    <t>409TH CONTRACTING OFFICE</t>
  </si>
  <si>
    <t>CITY OF ALAMINOS, PANGASINAN</t>
  </si>
  <si>
    <t>BARANGAY SAN JOSE - MADALAG AKLAN</t>
  </si>
  <si>
    <t>RAMON MAGSAYSAY TECHNOLOGICAL UNIVERSITY</t>
  </si>
  <si>
    <t>BARANGAY MABINI, BURDEOS, QUEZON</t>
  </si>
  <si>
    <t>WEST VISAYAS STATE UNIVERSITY - POTOTAN BRANCH</t>
  </si>
  <si>
    <t>BARANGAY ALAMINOS - MADALAG AKLAN</t>
  </si>
  <si>
    <t>MUNICIPALITY OF ENRIQUE VILLANUEVA, SIQUIJOR</t>
  </si>
  <si>
    <t>DEPARTMENT OF TRADE AND INDUSTRY - REGION VII</t>
  </si>
  <si>
    <t>LAGUNA STATE POLYTECHNIC UNIVERSITY - STA. CRUZ CAMPUS</t>
  </si>
  <si>
    <t>PHILIPPINE AMUSEMENT AND GAMING CORPORATION-BACOLOD</t>
  </si>
  <si>
    <t>MUNICIPALITY OF CONSOLACION, CEBU</t>
  </si>
  <si>
    <t>BARANGAY BALLUYAN FLORA APAYAO</t>
  </si>
  <si>
    <t>BARANGAY 157, ZONE 14, DISTRICT II, MANILA</t>
  </si>
  <si>
    <t>BARANGAY BIDLINAN - BAYBAY CITY LEYTE</t>
  </si>
  <si>
    <t>DON MARIANO MARCOS MEMORIAL STATE UNIVERSITY - BACNOTAN</t>
  </si>
  <si>
    <t>DEPARTMENT OF PUBLIC WORKS AND HIGHWAYS - LAGUNA II DEO</t>
  </si>
  <si>
    <t>DEPARTMENT OF PUBLIC WORKS AND HIGHWAYS - QUEZON 4TH ED</t>
  </si>
  <si>
    <t>BARANGAY R.M. MAGBALON, CAWAYAN, MASBATE</t>
  </si>
  <si>
    <t>MUNICIPALITY OF KAWIT,CAVITE</t>
  </si>
  <si>
    <t>BARANGAY KILIM - BAYBAY CITY LEYTE</t>
  </si>
  <si>
    <t>SULTAN KUDARAT WATER DISTRICT</t>
  </si>
  <si>
    <t>BARANGAY BUNTAY, DULAG, LEYTE</t>
  </si>
  <si>
    <t>MUNICIPALITY OF SAGADA, MOUNTAIN PROVINCE</t>
  </si>
  <si>
    <t>BARANGAY 261, ZONE 24 DISTRICT II, MANILA</t>
  </si>
  <si>
    <t>BARANGAY DANAO - JANIUAY ILOILO</t>
  </si>
  <si>
    <t>MUNICIPALITY OF SANTA FE, NUEVA VIZCAYA</t>
  </si>
  <si>
    <t>CENTER FOR HEALTH DEVELOPMENT - REGION IV-B (MIMAROPA)</t>
  </si>
  <si>
    <t>MUNICIPALITY OF BALBALAN, KALINGA</t>
  </si>
  <si>
    <t>BARANGAY CENTRO 2,  SANCHEZ MIRA, CAGAYAN</t>
  </si>
  <si>
    <t>MUNICIPALITY OF BALUD, MASBATE</t>
  </si>
  <si>
    <t>MUNICIPALITY OF TANAY, RIZAL</t>
  </si>
  <si>
    <t>BARANGAY SAN AGUSTIN, DULAG, LEYTE</t>
  </si>
  <si>
    <t>DEPARTMENT OF EDUCATION - SCHOOLS DIVISION OF SORSOGON PROVI</t>
  </si>
  <si>
    <t>BARANGAY MALUBIBIT NORTE FLORA APAYAO</t>
  </si>
  <si>
    <t>DIGOS WATER DISTRICT</t>
  </si>
  <si>
    <t>NATIONAL HOUSING AUTHORITY - REGION XII</t>
  </si>
  <si>
    <t>MUNICIPALITY OF PINABACDAO, SAMAR</t>
  </si>
  <si>
    <t>BARANGAY DEL MONTE, TALACOGON, AGUSAN DEL SUR</t>
  </si>
  <si>
    <t>MUNICIPALITY OF GUAGUA, PAMPANGA</t>
  </si>
  <si>
    <t>BARANGAY CANRAMOS, TANAUAN, LEYTE</t>
  </si>
  <si>
    <t>PHILIPPINE COCONUT AUTHORITY - REGION VIII</t>
  </si>
  <si>
    <t>PROVINCE OF APAYAO</t>
  </si>
  <si>
    <t>MUNICIPALITY OF CAVINTI, LAGUNA</t>
  </si>
  <si>
    <t>PHILIPPINE PHARMA PROCUREMENT, INC.</t>
  </si>
  <si>
    <t>BARANGAY SABANG SOUTH -  BORONGAN CITY, EASTERN SAMAR</t>
  </si>
  <si>
    <t>LUIS UY CHIAT ELEMENTARY SCHOOL</t>
  </si>
  <si>
    <t>MUNICIPALITY OF TULUNAN, NORTH COTABATO</t>
  </si>
  <si>
    <t>GHQ BAC1 SECRETARIAT, AFP PROCUREMENT SERVICE</t>
  </si>
  <si>
    <t>PROVINCE OF ZAMBOANGA SIBUGAY</t>
  </si>
  <si>
    <t>MUNICIPALITY OF DONSOL, SORSOGON</t>
  </si>
  <si>
    <t>MUNICIPALITY OF SARA, ILOILO</t>
  </si>
  <si>
    <t>MUNICIPALITY OF ABRA DE ILOG, OCCIDENTAL MINDORO</t>
  </si>
  <si>
    <t>BARANGAY POBLACION - LIBUNGAN COTABATO</t>
  </si>
  <si>
    <t>BARANGAY POBLACION, BURDEOS, QUEZON</t>
  </si>
  <si>
    <t>MUNICIPALITY OF LOPE DE VEGA, NORTHERN SAMAR</t>
  </si>
  <si>
    <t xml:space="preserve">DEPARTMENT OF AGRARIAN REFORM - NEGROS OCCIDENTAL 1 </t>
  </si>
  <si>
    <t>MUNICIPALITY OF PATEROS</t>
  </si>
  <si>
    <t>BARANGAY PURISIMA - MANAPLA NEGROS OCCIDENTAL</t>
  </si>
  <si>
    <t>BARANGAY DUGONG - M'LANG COTABATO</t>
  </si>
  <si>
    <t>BARANGAY PANIPIASON - MADALAG AKLAN</t>
  </si>
  <si>
    <t>MUNICIPALITY OF MAINIT, SURIGAO DEL NORTE</t>
  </si>
  <si>
    <t>BARANGAY NABUTAY - MARIA SIQUIJOR</t>
  </si>
  <si>
    <t>MUNICIPALITY OF SAN RAFAEL, ILOILO</t>
  </si>
  <si>
    <t>CITY OF SORSOGON, SORSOGON</t>
  </si>
  <si>
    <t>BARANGAY BAGUMBAYAN SOUTH, NAVOTAS CITY</t>
  </si>
  <si>
    <t>MUNICIPALITY OF SAN JOSE DE BUAN, SAMAR</t>
  </si>
  <si>
    <t>MUNICIPALITY OF STA. MARIA, DAVAO OCCIDENTAL</t>
  </si>
  <si>
    <t>MUNICIPALITY OF SAN ANTONIO, QUEZON</t>
  </si>
  <si>
    <t>TAGBANON ELEMENTARY SCHOOL</t>
  </si>
  <si>
    <t>DEPARTMENT OF PUBLIC WORKS AND HIGHWAYS - APAYAO 1ST DEO</t>
  </si>
  <si>
    <t>DEPARTMENT OF SCIENCE AND TECHNOLOGY - REGION IV-A</t>
  </si>
  <si>
    <t>DEPARTMENT OF PUBLIC WORKS AND HIGHWAYS - NEG. OCC. 1ST DEO</t>
  </si>
  <si>
    <t>GOVERNOR FELICIANO LEVISTE MEMORIAL NATIONAL HIGH SCHOOL</t>
  </si>
  <si>
    <t>MUNICIPALITY OF CORDOVA, CEBU</t>
  </si>
  <si>
    <t>BARANGAY SAN MIGUEL - SAN ISIDRO DAVAO ORIENTAL</t>
  </si>
  <si>
    <t>BARANGAY CAMANCI SUR - NUMANCIA, AKLAN</t>
  </si>
  <si>
    <t>UNIVERSITY OF THE PHILIPPINES - BAGUIO</t>
  </si>
  <si>
    <t>BARANGAY POBLACION - MADALAG AKLAN</t>
  </si>
  <si>
    <t>MUNICIPALITY OF TOMAS OPPUS, SOUTHERN LEYTE</t>
  </si>
  <si>
    <t>BARANGAY PALMA GIL, TALAINGOD, DAVAO DEL NORTE</t>
  </si>
  <si>
    <t>AGUSAN ELEMENTARY SCHOOL - CAGAYAN DE ORO CITY</t>
  </si>
  <si>
    <t>SURIGAO METROPOLITAN WATER DISTRICT</t>
  </si>
  <si>
    <t>MUNICIPALITY OF RAMON MAGSAYSAY, ZAMBOANGA DEL SUR</t>
  </si>
  <si>
    <t>HON. PEDRO R. VILLENA ELEMENTARY SCHOOL</t>
  </si>
  <si>
    <t>MUNICIPALITY OF PILAR, SURIGAO DEL NORTE</t>
  </si>
  <si>
    <t>BARANGAY PIO DEL PILAR, MAKATI CITY</t>
  </si>
  <si>
    <t>BARANGAY BABUYAN, CARRASCAL, SURIGAO DEL SUR</t>
  </si>
  <si>
    <t>MUNICIPALITY OF LAPUYAN, ZAMBOANGA DEL SUR</t>
  </si>
  <si>
    <t>BARANGAY MATINDEG, PURA, TARLAC</t>
  </si>
  <si>
    <t>SCHISTOSOMIASIS CONTROL AND RESEARCH HOSPITAL</t>
  </si>
  <si>
    <t>BARANGAY SAN VICENTE, STA. ANA, CAGAYAN</t>
  </si>
  <si>
    <t>CITY OF MASBATE, MASBATE</t>
  </si>
  <si>
    <t>DEPARTMENT OF AGRARIAN REFORM - PALAWAN PROVINCIAL OFFICE</t>
  </si>
  <si>
    <t>BARANGAY POBLACION, OPOL, MISAMIS ORIENTAL</t>
  </si>
  <si>
    <t>BARANGAY SAN LORENZO, MAKATI CITY</t>
  </si>
  <si>
    <t>MUNICIPALITY  OF BANATE, ILOILO</t>
  </si>
  <si>
    <t>BARANGAY POBLACION, TUBA, BENGUET</t>
  </si>
  <si>
    <t>BUREAU OF JAIL MANAGEMENT AND PENOLOGY - NHQ</t>
  </si>
  <si>
    <t>BALAYAN NATIONAL HIGH SCHOOL - BALAYAN BATANGAS</t>
  </si>
  <si>
    <t>MUNICIPALITY OF CABANGLASAN, BUKIDNON</t>
  </si>
  <si>
    <t>MUNICIPALITY OF MANOLO FORTICH, BUKIDNON</t>
  </si>
  <si>
    <t>BARANGAY ANTAO ,CARMEN SURIGAO DEL SUR</t>
  </si>
  <si>
    <t>DEPARTMENT OF PUBLIC WORKS AND HIGHWAYS - MT. PROVINCE I DEO</t>
  </si>
  <si>
    <t>BARANGAY NATI-MAASIN CITY SOUTHERN LEYTE</t>
  </si>
  <si>
    <t>DEPARTMENT OF AGRARIAN REFORM - PANGASINAN PROVINCIAL OFFICE</t>
  </si>
  <si>
    <t>DEPARTMENT OF PUBLIC WORKS AND HIGHWAYS - QUEZON 3RD ED</t>
  </si>
  <si>
    <t>BARANGAY CAMALANDA-AN, CAUAYAN, NEGROS OCCIDENTAL</t>
  </si>
  <si>
    <t>MUNICIPALITY OF STO. TOMAS, LA UNION</t>
  </si>
  <si>
    <t>BARANGAY PINGGAN, GASAN, MARINDUQUE</t>
  </si>
  <si>
    <t>DEPARTMENT OF PUBLIC WORKS AND HIGHWAYS - NORTH COTABATO 2ND</t>
  </si>
  <si>
    <t>MUNICIPALITY OF AL BARKA</t>
  </si>
  <si>
    <t>CITY OF BACOLOD, NEGROS OCCIDENTAL</t>
  </si>
  <si>
    <t>BARANGAY STO. ROSARIO - BAYBAY CITY LEYTE</t>
  </si>
  <si>
    <t>MUNICIPALITY OF MACONACON, ISABELA</t>
  </si>
  <si>
    <t>MUNICIPALITY OF ASINGAN, PANGASINAN</t>
  </si>
  <si>
    <t>BARANGAY MASLOG, TOMAS OPPUS, SOUTHERN LEYTE</t>
  </si>
  <si>
    <t>BARANGAY POBLACION 2, TAGBILARAN CITY</t>
  </si>
  <si>
    <t>BARANGAY MAGANHAN - BATO LEYTE</t>
  </si>
  <si>
    <t>MUNICIPALITY OF DATU BLAH T. SINSUAT - UPI MAGUINDANAO</t>
  </si>
  <si>
    <t>BARANGAY CULLIT LALLO CAGAYAN</t>
  </si>
  <si>
    <t>BARANGAY BAYOG DARAM SAMAR</t>
  </si>
  <si>
    <t>DEPARTMENT OF PUBLIC WORKS AND HIGHWAYS - RIZAL II DEO</t>
  </si>
  <si>
    <t>BARANGAY SAN VICENTE, STO. TOMAS, BATANGAS</t>
  </si>
  <si>
    <t>MUNICIPALITY OF QUIRINO, ISABELA</t>
  </si>
  <si>
    <t>PHILIPPINE RETIREMENT AUTHORITY</t>
  </si>
  <si>
    <t>BARANGAY LIGPIT BANTAYAN -  GUINAYANGAN QUEZON</t>
  </si>
  <si>
    <t>MUNICIPALITY OF KIBAWE , BUKIDNON</t>
  </si>
  <si>
    <t>MUNICIPALITY OF DEL CARMEN, SURIGAO DEL NORTE</t>
  </si>
  <si>
    <t>UNIVERSITY OF SOUTHERN MINDANAO - KIDAPAWAN CITY CAMPUS</t>
  </si>
  <si>
    <t>BARANGAY MILITAR, TUKURAN, ZAMBOANGA DEL SUR</t>
  </si>
  <si>
    <t>MUNICIPALITY OF SAN VICENTE, PALAWAN</t>
  </si>
  <si>
    <t>BARANGAY STA. ANA - PANDAN ANTIQUE</t>
  </si>
  <si>
    <t>DEPARTMENT OF PUBLIC WORKS AND HIGHWAYS - LAGUNA III DISTRIC</t>
  </si>
  <si>
    <t>MUNICIPALITY OF CARMEN COTABATO</t>
  </si>
  <si>
    <t>BARANGAY LOBONG, SAN JACINTO, PANGASINAN</t>
  </si>
  <si>
    <t>DEPARTMENT OF PUBLIC WORKS AND HIGHWAYS - CAGAYAN 2ND DEO</t>
  </si>
  <si>
    <t>BARANGAY MASARA, MACO, COMPOSTELA VALLEY</t>
  </si>
  <si>
    <t>BARANGAY BUNGA - LANUZA SURIGAO DEL SUR</t>
  </si>
  <si>
    <t>MUNICIPALITY OF SAN ANDRES, ROMBLON</t>
  </si>
  <si>
    <t>BARANGAY IGANG - BAYBAY CITY LEYTE</t>
  </si>
  <si>
    <t>CALABANGA WATER DISTRICT</t>
  </si>
  <si>
    <t>BARANGAY 21-C, DAVAO CITY</t>
  </si>
  <si>
    <t>BARANGAY KABATUAN - BAYBAY CITY LEYTE</t>
  </si>
  <si>
    <t>MUNICIPALITY OF RIZAL, CAGAYAN</t>
  </si>
  <si>
    <t>DEPARTMENT OF PUBLIC WORKS AND HIGHWAYS - DAVAO OCCIDENTAL D</t>
  </si>
  <si>
    <t>BARANGAY SIPI, DARAGA, ALBAY</t>
  </si>
  <si>
    <t>MUNICIPALITY OF SAN ANDRES, CATANDUANES</t>
  </si>
  <si>
    <t>BARANGAY 2 MANAPLA - NEGROS OCCIDENTAL</t>
  </si>
  <si>
    <t>BARANGAY SAN ROQUE - ALAMINOS CITY</t>
  </si>
  <si>
    <t>MUNICIPALITY OF SAN SEBASTIAN, SAMAR</t>
  </si>
  <si>
    <t>MUNICIPALITY OF SAGUDAY, QUIRINO</t>
  </si>
  <si>
    <t>ASSOCIATION OF BARANGAY TREASURERS - GEN. MAMERTO NATIVIDAD</t>
  </si>
  <si>
    <t>ILOILO SCIENCE AND TECHNOLOGY UNIVERSITY</t>
  </si>
  <si>
    <t>BARANGAY CARIDAD - BAYBAY CITY LEYTE</t>
  </si>
  <si>
    <t>CAGAYAN STATE UNIVERSITY - SANCHEZ MIRA</t>
  </si>
  <si>
    <t>MUNICIPALITY OF DINAPIGUE, ISABELA</t>
  </si>
  <si>
    <t>COMMISSION ON AUDIT - NEGROS ISLAND REGION</t>
  </si>
  <si>
    <t>MUNICIPALITY OF CARLES, ILOILO</t>
  </si>
  <si>
    <t>BARANGAY KILIKILIHAN - SAN MIGUEL CATANDUANES</t>
  </si>
  <si>
    <t>BARANGAY ASLUMAN CARLES ILOILO</t>
  </si>
  <si>
    <t>DEPARTMENT OF PUBLIC WORKS AND HIGHWAYS - TACLOBAN CITY SDEO</t>
  </si>
  <si>
    <t>BARANGAY VILLA CELESTIAL, MANSALAY, ORIENTAL MINDORO</t>
  </si>
  <si>
    <t>MUNICIPALITY OF PINTUYAN, SOUTHERN LEYTE</t>
  </si>
  <si>
    <t>OFFICE OF CIVIL DEFENSE</t>
  </si>
  <si>
    <t>VILLACIN ELEMENTARY SCHOOL</t>
  </si>
  <si>
    <t>SAN PEDRO NATIONAL HIGH SCHOOL</t>
  </si>
  <si>
    <t>MUNICIPALITY OF BUENAVISTA, AGUSAN DEL NORTE</t>
  </si>
  <si>
    <t>BARANGAY MAMBAGO-A SAMAL DAVAO DEL NORTE</t>
  </si>
  <si>
    <t>SCIENCE CITY OF MUÑOZ, NUEVA ECIJA</t>
  </si>
  <si>
    <t>MUNICIPALITY OF BANTON, ROMBLON</t>
  </si>
  <si>
    <t>BARANGAY DAYHAHAN,CARLES,ILOILO</t>
  </si>
  <si>
    <t>TOURISM INFRASTRUCTURE AND ENTERPRISE ZONE AUTHORITY</t>
  </si>
  <si>
    <t>CENTRAL PHILIPPINES STATE UNIVERSITY</t>
  </si>
  <si>
    <t>DEPARTMENT OF AGRARIAN REFORM - SOUTHERN LEYTE</t>
  </si>
  <si>
    <t>PHILIPPINE PORTS AUTHORITY - REGION VI</t>
  </si>
  <si>
    <t>BARANGAY BALOGO,EAST DISTRICT,SORSOGON CITY</t>
  </si>
  <si>
    <t>NATIONAL IRRIGATION ADMINISTRATION</t>
  </si>
  <si>
    <t>DEPARTMENT OF PUBLIC WORKS AND HIGHWAYS - BATANGAS 3RD ED</t>
  </si>
  <si>
    <t>PHILIPPINE PORTS AUTHORITY - PMO BATANGAS</t>
  </si>
  <si>
    <t>CITY OF CABUYAO, LAGUNA</t>
  </si>
  <si>
    <t>ISABELA STATE UNIVERSITY - ECHAGUE</t>
  </si>
  <si>
    <t>ESCOLASTICA ELEMENTARY SCHOOL</t>
  </si>
  <si>
    <t>MUNICIPALITY OF TALAYAN, MAGUINDANAO</t>
  </si>
  <si>
    <t>BARANGAY TADIANGAN, TUBA, BENGUET</t>
  </si>
  <si>
    <t>METALS INDUSTRY RESEARCH &amp; DEVELOPMENT CENTER</t>
  </si>
  <si>
    <t>MUNICIPALITY OF TUKURAN, ZAMBOANGA DEL SUR</t>
  </si>
  <si>
    <t>TARLAC COLLEGE OF AGRICULTURE</t>
  </si>
  <si>
    <t>BARANGAY SAPUL, CALAPAN, ORIENTAL MINDORO</t>
  </si>
  <si>
    <t>BARANGAY 01 POBLACION - LLORENTE EASTERN SAMAR</t>
  </si>
  <si>
    <t>CITY OF MARAWI</t>
  </si>
  <si>
    <t>MUNICIPALITY OF REINA MERCEDES, ISABELA</t>
  </si>
  <si>
    <t>BARANGAY SAN VICENTE CASTILLA SORSOGON</t>
  </si>
  <si>
    <t>DEPARTMENT OF AGRARIAN REFORM - ZAMBOANGA SIBUGAY</t>
  </si>
  <si>
    <t>DEPARTMENT OF PUBLIC WORKS AND HIGHWAYS - NEG. OCC. 3RD DEO</t>
  </si>
  <si>
    <t>BARANGAY DATAL TAMPAL - MALUNGON SARANGANI</t>
  </si>
  <si>
    <t>MUNICIPALITY OF HUNGDUAN, IFUGAO</t>
  </si>
  <si>
    <t>BARANGAY DATU SALUMAY, MARILOG DISTRICT, DAVAO, DAVAO DEL SU</t>
  </si>
  <si>
    <t>MUNICIPALITY OF MAGSINGAL - ILOCOS SUR</t>
  </si>
  <si>
    <t>BARANGAY DASMARIÑAS, MAKATI CITY</t>
  </si>
  <si>
    <t>MUNICIPALITY OF LIMASAWA, SOUTHERN LEYTE</t>
  </si>
  <si>
    <t>BANGKO SENTRAL NG PILIPINAS - DAVAO REGIONAL OFFICE</t>
  </si>
  <si>
    <t>BARANGAY ZONE 11 - BAYBAY CITY LEYTE</t>
  </si>
  <si>
    <t>BARANGAY LAMPAYA - CALINOG, ILOILO</t>
  </si>
  <si>
    <t>DEPARTMENT OF PUBLIC WORKS AND HIGHWAYS - AGUSAN DEL SUR 1ST</t>
  </si>
  <si>
    <t>BARANGAY MAITUM - BAYBAY CITY LEYTE</t>
  </si>
  <si>
    <t>MUNICIPALITY OF NEW WASHINGTON, AKLAN</t>
  </si>
  <si>
    <t>CLARK INTERNATIONAL AIRPORT CORPORATION</t>
  </si>
  <si>
    <t>PROFESSIONAL REGULATION COMMISSION - REGION X</t>
  </si>
  <si>
    <t>BARANGAY TAGUM CAMALANIUGAN,CAGAYAN</t>
  </si>
  <si>
    <t>PHILIPPINE HEALTH INSURANCE CORPORATION - REGION II</t>
  </si>
  <si>
    <t>BARANGAY SAN VICENTE - IGUIG CAGAYAN</t>
  </si>
  <si>
    <t>DEPARTMENT OF AGRARIAN REFORM - LA UNION PROVINCIAL OFFICE</t>
  </si>
  <si>
    <t>BARANGAY MABASA, ARGAO, CEBU</t>
  </si>
  <si>
    <t>MUNICIPALITY OF BAROTAC NUEVO, ILOILO</t>
  </si>
  <si>
    <t>PROVINCE OF ISABELA</t>
  </si>
  <si>
    <t>DEPARTMENT OF PUBLIC WORKS AND HIGHWAYS - PANGASINAN IV DEO</t>
  </si>
  <si>
    <t>MUNICIPALITY OF BATUAN, MASBATE</t>
  </si>
  <si>
    <t>BARANGAY KALUKNAYAN, LUGAIT, MISAMIS ORIENTAL</t>
  </si>
  <si>
    <t>NIA-JALAUR RIVER MULTI-PURPOSE PROJECT STAGE II</t>
  </si>
  <si>
    <t>PHILIPPINE COCONUT AUTHORITY - CARAGA</t>
  </si>
  <si>
    <t>DEPARTMENT OF PUBLIC WORKS AND HIGHWAYS - NORTH MANILA DEO</t>
  </si>
  <si>
    <t>MUNICIPALITY OF USON, MASBATE</t>
  </si>
  <si>
    <t>INFANTA (QUEZON) WATER DISTRICT</t>
  </si>
  <si>
    <t>NATIONAL FOOD AUTHORITY - REGION VI</t>
  </si>
  <si>
    <t>DEPARTMENT OF TRADE AND INDUSTRY - REGION XI</t>
  </si>
  <si>
    <t>NATIONAL INTELLIGENCE COORDINATING AGENCY</t>
  </si>
  <si>
    <t>MUNICIPALITY OF CALUYA, ANTIQUE</t>
  </si>
  <si>
    <t>DEPARTMENT OF PUBLIC WORKS AND HIGHWAYS - BENGUET 2ND DEO</t>
  </si>
  <si>
    <t>MUNICIPALITY OF MARIBOJOC, BOHOL</t>
  </si>
  <si>
    <t>BARANGAY TIGBAWAN - LAZI, SIQUIJOR</t>
  </si>
  <si>
    <t>DEPARTMENT OF PUBLIC WORKS AND HIGHWAYS - NCR</t>
  </si>
  <si>
    <t>BAGUIO WATER DISTRICT - BAGUIO CITY</t>
  </si>
  <si>
    <t>CAGAYAN STATE UNIVERSITY - TUGUEGARAO CITY CAGAYAN</t>
  </si>
  <si>
    <t>BARANGAY B. TITONG - MASBATE CITY MASBATE</t>
  </si>
  <si>
    <t>PHILIPPINE COCONUT AUTHORITY - REGION VI</t>
  </si>
  <si>
    <t>MUNICIPALITY OF SIASI, SULU</t>
  </si>
  <si>
    <t>MUNICIPALITY OF PATNANUNGAN, QUEZON</t>
  </si>
  <si>
    <t>DEPARTMENT OF PUBLIC WORKS AND HIGHWAYS - ISABELA 1ST DEO</t>
  </si>
  <si>
    <t>MUNICIPALITY OF QUINAPONDAN, EASTERN SAMAR</t>
  </si>
  <si>
    <t>BARANGAY ANNAFUNAN EAST - TUGUEGARAO CITY CAGAYAN</t>
  </si>
  <si>
    <t>BARANGAY TALOTO-AN, CONCEPCION, ILOILO</t>
  </si>
  <si>
    <t>MUNICIPALITY OF RAMOS, TARLAC</t>
  </si>
  <si>
    <t>COMMISSION ON ELECTIONS</t>
  </si>
  <si>
    <t>DEPARTMENT OF EDUCATION - DIVISION OF BUTUAN CITY</t>
  </si>
  <si>
    <t>CITY OF LIPA, BATANGAS</t>
  </si>
  <si>
    <t>BARANGAY POBLACION - LEGANES ILOILO</t>
  </si>
  <si>
    <t>BARANGAY GUIWANON, BARILI, CEBU</t>
  </si>
  <si>
    <t>PHILIPPINE SCIENCE HIGH SCHOOL - REGION XI</t>
  </si>
  <si>
    <t>MUNICIPALITY OF MAGSAYSAY, DAVAO DEL SUR</t>
  </si>
  <si>
    <t>PRIVATIZATION AND MANAGEMENT OFFICE</t>
  </si>
  <si>
    <t>PHILIPPINE FIBER INDUSTRY DEVELOPMENT AUTHORITY</t>
  </si>
  <si>
    <t>MUNICIPALITY OF TIGAON, CAMARINES SUR</t>
  </si>
  <si>
    <t>BARANGAY CENTRAL, HILONGOS, LEYTE</t>
  </si>
  <si>
    <t>BARANGAY PAMPANGO LIBACAO AKLAN</t>
  </si>
  <si>
    <t>BARANGAY LAPAY, ARGAO, CEBU</t>
  </si>
  <si>
    <t>BARANGAY ALFONSOXII - LIBACAO AKLAN</t>
  </si>
  <si>
    <t>PNOC - ALTERNATIVE FUELS CORPORATION</t>
  </si>
  <si>
    <t>DEPARTMENT OF PUBLIC WORKS AND HIGHWAYS - SOUTH COTABATO  1S</t>
  </si>
  <si>
    <t>BARANGAY CAMP 3, TUBA, BENGUET</t>
  </si>
  <si>
    <t>MUNICIPALITY OF SAN FERNANDO, CEBU</t>
  </si>
  <si>
    <t>BARANGAY AYALA ALABANG, MUNTINLUPA CITY</t>
  </si>
  <si>
    <t>NATIONAL TELECOMMUNICATIONS COMMISSION - REGION IV</t>
  </si>
  <si>
    <t>MUNICIPALITY OF PORO, CEBU</t>
  </si>
  <si>
    <t>BARANGAY TAGGAT SUR, CLAVERIA, CAGAYAN</t>
  </si>
  <si>
    <t>EASTERN VISAYAS STATE UNIVERSITY</t>
  </si>
  <si>
    <t>PHILIPPINE NATIONAL POLICE - INTELLIGENCE GROUP</t>
  </si>
  <si>
    <t>BARANGAY BANZA, BUTUAN CITY</t>
  </si>
  <si>
    <t>BARANGAY BARAYONG, ABUYOG, LEYTE</t>
  </si>
  <si>
    <t>NATIONAL HOUSING AUTHORITY NCR WEST SECTOR 2-MANILA</t>
  </si>
  <si>
    <t>MUNICIPALITY OF JIPAPAD, EASTERN SAMAR</t>
  </si>
  <si>
    <t>DEPARTMENT OF INFORMATION AND COMMUNICATIONS TECHNOLOGY - RE</t>
  </si>
  <si>
    <t>BARANGAY SAMPAGAR, DAMULOG, BUKIDNON</t>
  </si>
  <si>
    <t>DEPARTMENT OF AGRICULTURE - REGION IV-A</t>
  </si>
  <si>
    <t>METROPOLITAN WATERWORKS AND SEWERAGE SYSTEM</t>
  </si>
  <si>
    <t>BARANGAY DALAOIG, ALCALA, CAGAYAN</t>
  </si>
  <si>
    <t>NATIONAL IRRIGATION ADMINISTRATION - CARAGA</t>
  </si>
  <si>
    <t>BARANGAY MAHAYAG, QUEZON, BUKIDNON</t>
  </si>
  <si>
    <t>DPWH - ANTIQUE DISTRICT ENGINEERING OFFICE</t>
  </si>
  <si>
    <t>ILOCOS SUR POLYTECHNIC STATE COLLEGE</t>
  </si>
  <si>
    <t>CITY OF BIÑAN, LAGUNA</t>
  </si>
  <si>
    <t>CIVIL SERVICE COMMISSION  - CENTRAL OFFICE</t>
  </si>
  <si>
    <t>BARANGAY CENTRO NORTE, ALCALA, CAGAYAN</t>
  </si>
  <si>
    <t>BARANGAY AMOT, BURDEOS, QUEZON</t>
  </si>
  <si>
    <t>DEPARTMENT OF EDUCATION - DIVISION OF CALAMBA CITY</t>
  </si>
  <si>
    <t>MUNICIPALITY OF SAN VICENTE, ILOCOS SUR</t>
  </si>
  <si>
    <t>PHILIPPINE HEALTH INSURANCE CORPORATION</t>
  </si>
  <si>
    <t>PHILIPPINE AMUSEMENT AND GAMING CORPORATION-ANGELES</t>
  </si>
  <si>
    <t>PILI INTEGRATED SCHOOL - DANAO CITY CEBU</t>
  </si>
  <si>
    <t>BARANGAY CHITONGCO, MONDRAGON, NORTHERN SAMAR</t>
  </si>
  <si>
    <t>BANGKO SENTRAL NG PILIPINAS - TUGUEGARAO BRANCH</t>
  </si>
  <si>
    <t>PHILIPPINE AMUSEMENT AND GAMING CORPORATION-DAVAO</t>
  </si>
  <si>
    <t>PORO POINT MANAGEMENT CORPORATION</t>
  </si>
  <si>
    <t>TALISAY DISTRICT HOSPITAL</t>
  </si>
  <si>
    <t>DEPARTMENT OF PUBLIC WORKS AND HIGHWAYS - TARLAC 1ST DEO</t>
  </si>
  <si>
    <t>BARANGAY CATO-OGAN TOBIAS FORNIER ANTIQUE</t>
  </si>
  <si>
    <t>DEPARTMENT OF AGRARIAN REFORM - MAIN</t>
  </si>
  <si>
    <t>NATIONAL DEVELOPMENT COMPANY</t>
  </si>
  <si>
    <t>BARANGAY CENTRO 01 - TUGUEGARAO CITY, CAGAYAN</t>
  </si>
  <si>
    <t>MUNICIPALITY OF PEREZ, QUEZON</t>
  </si>
  <si>
    <t>MUNICIPALITY OF MAGSAYSAY, OCCIDENTAL MINDORO</t>
  </si>
  <si>
    <t>MUNICIPALITY OF SAINT BERNARD, SOUTHERN LEYTE</t>
  </si>
  <si>
    <t>BARANGAY MARILOG PROPER, DAVAO CITY</t>
  </si>
  <si>
    <t>BARANGAY CENTRO 09 - TUGUEGAGARAO CITY</t>
  </si>
  <si>
    <t>BARANGAY BALABAG, PAVIA, ILOILO</t>
  </si>
  <si>
    <t>BARANGAY UPPER BAGONG TUDELA, JOSEFINA, ZAMBOANGA DEL SUR</t>
  </si>
  <si>
    <t>BARANGAY TANZA 2 - NAVOTAS CITY</t>
  </si>
  <si>
    <t>MUNICIPALITY OF LANUZA, SURIGAO DEL SUR</t>
  </si>
  <si>
    <t>BARANGAY  SUDLON - DAVAO ORIENTAL</t>
  </si>
  <si>
    <t>MINISTRY OF PUBLIC WORKS-BARMM</t>
  </si>
  <si>
    <t>Supply and Delivery of Water Crafts Parts and Materials (NCEBde)</t>
  </si>
  <si>
    <t>Supply and Delivery of Military, Police and Security Equipment (PMC)</t>
  </si>
  <si>
    <t>Purchase of various Office Supplies and Equipments</t>
  </si>
  <si>
    <t>Construction of Concrete Perimeter Fence with Steel Gate at STA. Cecilia II Subd.</t>
  </si>
  <si>
    <t>1181-19-042) ROOFING AND CEILING RENOVATION OF OPERATIONS OFFICE C/O CBAO</t>
  </si>
  <si>
    <t>REHABILITATION/IMPROVEMENT OF  BASKETBALL COURT ZONE 2 OF BRGY. CATANUSAN</t>
  </si>
  <si>
    <t>REHABILITATION/IMPROVEMENT OF BASKETBALL COURT ZONE 6 OF BRGY. CATANUSAN</t>
  </si>
  <si>
    <t>ROAD WIDENING/SHOULDERING OF BRGY. SAN FELIPE-SANTIAGO</t>
  </si>
  <si>
    <t>1 Lot Supply and Delivery of Materials for Solo Booth Prototype at 2nd Floor. PRMEC Bldg. (Re-canvass)</t>
  </si>
  <si>
    <t>Maintenance of Barangay Road</t>
  </si>
  <si>
    <t>CONCRETING OF BASKETBALL COURT ZONE 2 OF BRGY. CATANUSAN</t>
  </si>
  <si>
    <t>8918-20-234) CONTINUATION OF THE REHABILITATION OF PAVEMENT AT LEXBER HEIGHTS SUBDIVISION ROAD, CAMP 7 C/O CEO</t>
  </si>
  <si>
    <t>1181-20-043) CONSTRUCTION OF BREASTFEEDING ROOM AT BCPO HEADQUARTERS C/O CBAO</t>
  </si>
  <si>
    <t>8918-20-037) A) CONSTRUCTION AND REHABILITATION OF PATHWAY INCLUDING HANDRAILS AT STO. NIÑO, PUROK 10 BESIDE MINA RESIDENCE GOING DOWN TO DAYAGDAG'S RESIDENCE C/O CEO, 8918-20-040)B) REHABILITATION OF</t>
  </si>
  <si>
    <t>8918-20-038) CONSTRUCTION OF DRAINAGE CANALS AT CUANSO, PUROK II BESIDE FAYPON RESIDENCE, BAKAKENG CENTRAL C/O CEO</t>
  </si>
  <si>
    <t>8918-20-100) IMPROVEMENT OF DRAINAGE CANAL AT PUROK 20, IRISAN C/O CEO</t>
  </si>
  <si>
    <t>CONSTRUCTION OF GATE AND WHEEL BATH AT THE MAIN ENTRANCE OF SLAUGHTERHOUSE AT SLAUGHTERHOUSE COMPOUND C/O CBAO</t>
  </si>
  <si>
    <t>Const. of Drainage Canal (Allena-Badajos)</t>
  </si>
  <si>
    <t>8918-20-111) CONSTRUCTION OF DRAINAGE AT LOAKAN APUGAN C/O CEO</t>
  </si>
  <si>
    <t>IB Construction of Covered Court Extension at Barangay Dilan, Pozorrubio, Pangasinan</t>
  </si>
  <si>
    <t>IB Completion of Multi-Purpose Hall (Phase III) at Barangay Banding, Pozorrubio, Pangasinan</t>
  </si>
  <si>
    <t>IB Completion of Multi-Purpose Hall (Phase II) at Barangay Balacag, Pozorrubio, Pangasinan</t>
  </si>
  <si>
    <t>IB Construction of Extension of Palacpalac Elementary School Social Hall at Barangay Palacpalac, Pozorrubio, Pangasinan</t>
  </si>
  <si>
    <t>8918-20-091) IMPROVEMENT OF CROSSDRAIN CANAL AT THE ENTRANCE OF SUMULONG STREET, PUROK 2, HOLYGHOST PROPER C/O CEO</t>
  </si>
  <si>
    <t>Upgrading of Manhilo-Libhu-Bactul II Road, Maasin City, Southern Leyte</t>
  </si>
  <si>
    <t>8918-20-178) A) CONCRETING AND REHABILITATION OF THE BARANGAY ROAD INFRONT OF THE DAY CARE CENTER INFRONT OF TODYOG RESIDENCE C/O CEO, 8918-20-181) B) INSTALLATION OF ROAD RAILINGS OF THE ROAD GOING T</t>
  </si>
  <si>
    <t>8918-20-173) REHABILITATION OF PATHWAY AND DRAINAGE CANAL WITH COVER ALONG NGOSLAB RESIDENCE, PUCSUSAN  C/O CEO</t>
  </si>
  <si>
    <t>Supply and Delivery of 12 Unit Fuse 600 250v tiem lag renewable &amp; Other Items; PR No. 20-1662 dated April 22, 2020</t>
  </si>
  <si>
    <t>IB Construction of Stone Masonry on Both Side of Irrigation Canal at Barangay Banding, Pozorrubio, Pangasinan</t>
  </si>
  <si>
    <t>IB Construction of Sanitary Toilet &amp; Handwashing Facility (HE/SHE/PWD Units) at Palacpalac Elementary School at Barangay Palacpalac, Pozorrubio, Pangasinan</t>
  </si>
  <si>
    <t>8918-20-216) ROAD REPAIR/IMPROVEMENT ALONG SAYOWET'S RESIDENCE DOWN TO PUROK 4 TURNING POINT, POLIWES  C/O CEO</t>
  </si>
  <si>
    <t>8918-20-167) CONSTRUCTION OF TWO OPEN ROAD CANALS WITH STEEL GRATING COVER AT BLOCK 23 AND 24 PINESVILLE AREA, PMA FORT DEL PILAR  C/O CEO</t>
  </si>
  <si>
    <t>8918-20-153) REHABILITATION OF COMMUNITY WATER SYSTEM, NORTH SANITARY CAMP C/O CEO</t>
  </si>
  <si>
    <t>8918-20-122) CONSTRUCTION OF DRAINAGE CANAL FROM LAMPAC TO ORTIZ RESIDENCE PUROK, LOWER QUIRINO HILL 2 C/O CEO</t>
  </si>
  <si>
    <t>Construction Materials for the Repair of roofing for Marcos Type Building</t>
  </si>
  <si>
    <t>8918-20-117) CULVERTING OF CANAL PUROK 6 AT LOAKAN LIWANAG C/O CEO</t>
  </si>
  <si>
    <t>8918-20-067) CONSTRUCTION OF CROSS DRAINAGE ALONG P. LEDESMA STREET CORNER T. BUGALLON STREET, EAST MODERNSITE C/O CEO</t>
  </si>
  <si>
    <t>Purchase of Drugs and Medicines</t>
  </si>
  <si>
    <t>1-LOT SUPPLY OF LABOR &amp; MATERIALS FOR THE REHABILITATION OF 2 (TWO) CHIMNEYS OF PACKAGE-TYPE  BOILER (SAGAY CITY CORN MILL)-REBID</t>
  </si>
  <si>
    <t>Supply and Delivery of Grocery Items (PMC)</t>
  </si>
  <si>
    <t>SUPPLY AND DELIVERY OF OFFICE SUPPLIES NOT AVAILABLE AT PS-DBM</t>
  </si>
  <si>
    <t>PROCUREMENT OF CELLPHONES</t>
  </si>
  <si>
    <t>PURCHASE OF ONE UNIT RESCUE/ MULTI-PURPOSE VEHICLE OF BRGY. ELIHAN, CAUAYAN. NEGROS OCCIDENTAL</t>
  </si>
  <si>
    <t>Construction of Road at Barangay Mabical, Floridablanca, Pampanga</t>
  </si>
  <si>
    <t>SUPPLY AND DELIVERY OF VARIOUS  FITTINGS FOR POTABLE WATER</t>
  </si>
  <si>
    <t>Construction of Potable Water Supply Level II</t>
  </si>
  <si>
    <t>Construction of River Flood Control Phase II</t>
  </si>
  <si>
    <t>SUPPLY, DELIVERY, AND INSTALLATION OF AIRCON</t>
  </si>
  <si>
    <t>Supply and Delivery of Medical Supplies for COVID-19 Prevention, Mitigation and Control of this Municipality</t>
  </si>
  <si>
    <t>PACKAGE 2020-22: ELECTRIFICATION OF BARANGAY HEALTH STATIONS</t>
  </si>
  <si>
    <t>Construction materials for BDRRMC Office</t>
  </si>
  <si>
    <t>Supply and Delivery of 1 Set Universal convenience outlet 2 gang &amp; Other Items; PR No. 20-1682 dated July 1, 2020</t>
  </si>
  <si>
    <t>Supply and Delivery of 4,583 Pcs. Piapi Propagules &amp; Other Items; PR No. 20-1672 dated June 1, 2020</t>
  </si>
  <si>
    <t>Supply and Delivery of 400 Pax Meals; PR No. 20-1683 dated July 9, 2020</t>
  </si>
  <si>
    <t>Procurement of Supplies for Printing of Learning Resources for public schools at Samal, Bataan</t>
  </si>
  <si>
    <t>reproduction of learning modules</t>
  </si>
  <si>
    <t>SUPPLY AND DELIVERY OF IT EQUIPMENT FOR MUNICIPAL TREASURY OFFICE</t>
  </si>
  <si>
    <t>Supply and Delivery of  Sand and Gravel</t>
  </si>
  <si>
    <t>PPD-20-0902-B Purchase of OFFICE SUPPLIES</t>
  </si>
  <si>
    <t>Supply &amp; Delivery 17 units Monoblock Chairs &amp; other items; PR No. 20-1749 dated June 7, 2020</t>
  </si>
  <si>
    <t>Supply and Delivery of Various Office Supplies (“Project”)</t>
  </si>
  <si>
    <t>Additional Materials for the Construction of Basketball Court</t>
  </si>
  <si>
    <t>Construction of Slope Protection</t>
  </si>
  <si>
    <t>Various Projects-Cluster A  2020</t>
  </si>
  <si>
    <t>Supply and Delivery of  various construction materials and supplies for the construction of Roads Kabuyungan to Dalupidip-Camamasi.</t>
  </si>
  <si>
    <t>Linen fabric bags for distribution of modules</t>
  </si>
  <si>
    <t>Rehabilitation of Multi Purpose Hall</t>
  </si>
  <si>
    <t>SUPPLY AND DELIVERY OF CATERING SERVICES FOR TEEN CAMP/TEAM BUILDING. RHU MADALAG</t>
  </si>
  <si>
    <t>PROCUREMENT OF MEDICAL/DENTAL SUPPLIES, EQUIPMENT AND OTHER PPE (PERSONAL PROTECTIVE EQUIPMENT)</t>
  </si>
  <si>
    <t>SUPPLY AND DELIVERY OF RUBBER TIRES</t>
  </si>
  <si>
    <t>CONSTRUCTION OF DRAINAGE SYSTEM ZONE 3</t>
  </si>
  <si>
    <t>Procurement of Information and Communication Technology Equipment</t>
  </si>
  <si>
    <t>CONSTRUCTION OF DRAINAGE COVER</t>
  </si>
  <si>
    <t>Supply and Delivery of various construction materials and supplies for the concreting Riprapping of Canal Lining Usuk CIS</t>
  </si>
  <si>
    <t>Const. of Drainage Canal (raiz-Dacumos)</t>
  </si>
  <si>
    <t>General Merchandise for official use of ENRO – Forest and Water Resources Management Services Section</t>
  </si>
  <si>
    <t>ADDITIONAL PROVISION FOR REPAIR AND MAINTENANCE OF BUILDING AND OTHErRSTRUCTURES AT SANGGUNIANG PANLALAWIGAN</t>
  </si>
  <si>
    <t>PROCUREMENT OF MOTOR VEHICLE FOR EXTENSION SERVICES (2ND PUBLIC BIDDING)</t>
  </si>
  <si>
    <t>20AA0345 - CONCRETING OF BRGY. CALAMBEG TO BRGY. MARUAYA FARM-TO-MARKET ROAD, BRGY. CALAMBEG AND BRGY. MARUAYA, PIDDIG, ILOCOS NORTE</t>
  </si>
  <si>
    <t>SUPPLY AND DELIVERY OF MODULES OF ELEMENTARY</t>
  </si>
  <si>
    <t>Repair/rehabilitation of drainage canal</t>
  </si>
  <si>
    <t>Supply nad Delivery of Construction Materials and Supplies, Brgy. Guinatuan, Madalag, Aklan</t>
  </si>
  <si>
    <t>REHAB OF HAITAN ROAD ERODED SHOULDER</t>
  </si>
  <si>
    <t>Annual Physical Examination</t>
  </si>
  <si>
    <t>IMPROVEMENT OF WATER SYSTEM (Const. of Intake Box and Installation of Pipelines)</t>
  </si>
  <si>
    <t>Procurement of office supplies for the different offices of LGU Calabanga</t>
  </si>
  <si>
    <t>PURCHASE AND INSTALLATION OF CCTV CAMERA</t>
  </si>
  <si>
    <t>SERVICE VEHICLE (RECONDITIONED)</t>
  </si>
  <si>
    <t>General Merchandise for use of PPDO</t>
  </si>
  <si>
    <t>General Merchandise for Distribution under Value Addition of Agricultural Commodities – Mindoro Dinorado Rice Branding Program of Agro Technology Resource and Management Services Division</t>
  </si>
  <si>
    <t>Supply and Delivery of Construction Materials for Concreting for the Concreting of Brgy. Road</t>
  </si>
  <si>
    <t>IMPROVEMENT/REHABILITATION OF FMR</t>
  </si>
  <si>
    <t>CONCRETING OF ALIMIT-DIDIPIO  ROAD VIA VERONA</t>
  </si>
  <si>
    <t>Office Supplies for LUZ-2020-0008</t>
  </si>
  <si>
    <t>Rehabilitation of Footbridge</t>
  </si>
  <si>
    <t>General Maintenance Services for TJPH-2020-0463</t>
  </si>
  <si>
    <t>Concreting of barangay road at Ilang-Ilang Street, Nattanzan</t>
  </si>
  <si>
    <t>ONE (1) LOT SUPPLY &amp; DELIVERY OF VARIOUS MATERIALS / FITTINGS NEEDED FOR FLUSHINGS OF CABIAO WATER DISTRICT</t>
  </si>
  <si>
    <t>Office Supplies &amp; Devices for TJPH-2020-0119</t>
  </si>
  <si>
    <t>Shoreline Protection (Seawall), Centro Poblacion, Culasi, Antique</t>
  </si>
  <si>
    <t>INVITATION TO BID FOR PROCUREMENT OF TWO (2) UNIT DIGITAL DUPLICATOR MACHINE</t>
  </si>
  <si>
    <t>Supply &amp; Delivery of Materials for the  Rehablitation/Construction of Protection Wall and Concreting of Pathway</t>
  </si>
  <si>
    <t>Office Supplies &amp; Devices for LZDH-2020-0052</t>
  </si>
  <si>
    <t>SOIL/ GEOTECHNICAL INVESTIGATION FOR THE PROPOSED CONSTRUCTION OF VARIOUS BRIDGE PROJECTS WITHIN 6TH DISTRICT OF PANGASINAN</t>
  </si>
  <si>
    <t>Supply &amp; Delivery of Teaching  and Learning Materials for Child Development Center</t>
  </si>
  <si>
    <t>Concreting of barangay road at Garab</t>
  </si>
  <si>
    <t>Supply and Delivery of Communication Equipment for Online Meetings</t>
  </si>
  <si>
    <t>Construction Project for PEMO-2020-2110</t>
  </si>
  <si>
    <t>Janitorial Supplies for NOLI-2020-0201</t>
  </si>
  <si>
    <t>Concreting of B. P. Sanchez Access Road</t>
  </si>
  <si>
    <t>Purchase of 2000 bags Cement</t>
  </si>
  <si>
    <t>Office Equipment for OPA-2020-0510</t>
  </si>
  <si>
    <t>Rehabilitation/Improvement of Barangay Road, Phase II</t>
  </si>
  <si>
    <t>Completion of Multi-Purpose Building (Phase 3), Centro Poblacion, Culasi, Antique</t>
  </si>
  <si>
    <t>Drugs &amp; Medicines for LUZ-2020-0016</t>
  </si>
  <si>
    <t>Printing and Binding of Student Yearbook (Oracle) 2018</t>
  </si>
  <si>
    <t>SUPPLY AND DELIVERY OF REFERENCE MATERIALS FOR DAY CARE CHILDREN</t>
  </si>
  <si>
    <t>Procurement of Mega Phone</t>
  </si>
  <si>
    <t>Fuel for grass cutting</t>
  </si>
  <si>
    <t>Procurement of Communication equipment for Eng'g Office</t>
  </si>
  <si>
    <t>Procurement of IT equipment and accessories for Eng'g Office</t>
  </si>
  <si>
    <t>Procurement of Furniture for MSWDO</t>
  </si>
  <si>
    <t>SUPPLY AND DELIVERY OF SCHOOL SUPPLIES FOR DAY CARE CHILDREN</t>
  </si>
  <si>
    <t>Purchase of hardware materials for the enhancement of senior/pwd building</t>
  </si>
  <si>
    <t>SUPPLY AND DELIVERY OF BOAT ENGINE</t>
  </si>
  <si>
    <t>IO EQUIPMENT</t>
  </si>
  <si>
    <t>Purchase of Various Construction Materials</t>
  </si>
  <si>
    <t>FURNISHING OF MATERIALS FOR THE REHABILITATION OF OLD BUILDING OF SENIOR CITIZEN</t>
  </si>
  <si>
    <t>FURNISHING OF MATERIALS &amp; RENTAL OF EQUIPMENT FOR THE CONSTRUCTION OF OUTPOST</t>
  </si>
  <si>
    <t>RFQ (AUTOCLAVE)</t>
  </si>
  <si>
    <t>Provision of 265 pax Meals and Snacks to be served during the conduct of the Seminar on Good Agricultural Practices (GAP) in Region I</t>
  </si>
  <si>
    <t>CONTINUATION OF CONSTRUCTION/ IMPROVEMENT OF AGKHUYO RIVER FLOOD CONTROL</t>
  </si>
  <si>
    <t>IMPROVEMENT OF ACCESS ROAD TOWARDS AM-AMCHO WASTE MANAGEMENT FACILITY</t>
  </si>
  <si>
    <t>Purchase of Medical, Dental and Laboratory Supplies for the use of Orani District Hospital, Bataan</t>
  </si>
  <si>
    <t>construction of perimeter fence</t>
  </si>
  <si>
    <t>Purchase of Geo-tagging Device for Surveying and Monitoring of Infra Projects.</t>
  </si>
  <si>
    <t>PROCUREMENT OF OFFICE SUPPLIES</t>
  </si>
  <si>
    <t>Purchase of Dialysis supplies for the use of JCPMH, Bataan</t>
  </si>
  <si>
    <t>REAM PAPER CUTTER</t>
  </si>
  <si>
    <t>Procurement of Training Supplies for the conduct of Free Seminar on Vegetable Production and Technology (7 Batches)</t>
  </si>
  <si>
    <t>Procurement of Navigational Equipment for Hybrid Trimaran Project</t>
  </si>
  <si>
    <t>Procurement of Catering Services-07-448(A)PGO</t>
  </si>
  <si>
    <t>BALLPEN, MEDIUM POINT, VIOLET &amp; 5 OTHERS (3rd Posting)</t>
  </si>
  <si>
    <t>Various Mobile card supply-July to September 2020</t>
  </si>
  <si>
    <t>Construction of Multi-Purpose Building (Stockroom), Brgy Centro Poblacion, Culasi, Antique</t>
  </si>
  <si>
    <t>20% BDF 2020</t>
  </si>
  <si>
    <t>Upgrading of the DSWD FO 1 OCP Server</t>
  </si>
  <si>
    <t>Purchase of Office Laptop for Calanasan MPS use</t>
  </si>
  <si>
    <t>Hotel and Lodging</t>
  </si>
  <si>
    <t>ITB FOR THE ACQUISITION OF PATIENT TRANSPORT VEHICLE (SPECIFIC – PURPOSE VEHICLE)</t>
  </si>
  <si>
    <t>PAPER, PAD, RULED, SIZE: 216MM X 330MM, 55 GSM, YELLOW OR WHITE, 90 SHEETS PER PAD &amp; 4 OTHERS (3rd Posting)</t>
  </si>
  <si>
    <t>Construction of Drainage System @ Natividad St., Barangay 8, Batangas City</t>
  </si>
  <si>
    <t>Supply &amp; Delivery of Canopy for Gov't Vehicle (Sportivo)</t>
  </si>
  <si>
    <t>1	unit	Four-wheel vehicle, Brand new, PR 624-20</t>
  </si>
  <si>
    <t>ITB - Supply, Delivery and Installation of 1 unit Large Format Printer for the Packaging and Labelling Innovation Center - 2nd Public Bidding</t>
  </si>
  <si>
    <t>Purchase of Perishable Goods for the Meals of PUI's and PUM's at the Quarantine Facility</t>
  </si>
  <si>
    <t>MARKER PERMANENT BLACK BELT TIP MEDIUM POINT NON TOXIC  and 6 OTHERS (3rd Posting)</t>
  </si>
  <si>
    <t>Office Supplies Equipment for 3rd Quarter MOOE - Canjusa Elemenetary School</t>
  </si>
  <si>
    <t>SUPPLY AND DELIVERY OF SMART TV FOR DISASTER RISK REDUCTION AND CLIMATE CHANGE ADAPTATION CAMPAIGN</t>
  </si>
  <si>
    <t>Purchase of Office Equipment</t>
  </si>
  <si>
    <t>Procurement of Various Medical Supplies-07-117(Q)ZNMC</t>
  </si>
  <si>
    <t>Improvement of PNP Building &amp; Barracks Centro Poblacion, Culasi, Antique</t>
  </si>
  <si>
    <t>LABORATORY SUPPLIES AND REAGENTS (PR#20-07-70726)</t>
  </si>
  <si>
    <t>PB NP 20-0004-B - Supply and Delivery of Various Drugs &amp; Medicines.</t>
  </si>
  <si>
    <t>STRAIGHT CONTRACT FOR THE COMPLETION OF CUYO TOWN PLAZA PERIMETER FENCE</t>
  </si>
  <si>
    <t>Supply of Electrical Materials for use in Generator Set Wiring at New Public Market, Barangay Poblacion, Lobo, Batangas</t>
  </si>
  <si>
    <t>CORRECTION TAPE DISPOSABLE USABLE LENGTH 6 METERS MIN 5MM WIDTH &amp; 7 OTHERS (3rd Posting)</t>
  </si>
  <si>
    <t>Supply and Delivery of Laboratory Supplies for Prevention and Control of COVID-19</t>
  </si>
  <si>
    <t>Procurement of Various Medical Supplies-07-444(O)PEO</t>
  </si>
  <si>
    <t>Purchase of Medicine for Tobacco Related Diseases</t>
  </si>
  <si>
    <t>Request for Price Quotation for 3rd Quarter Office Supplies</t>
  </si>
  <si>
    <t>REHABILITATION OF BAGNEN PROVINCIAL ROAD</t>
  </si>
  <si>
    <t>Request for Quotation for the Supply of Materials Needed in the Installation of Streettlightings</t>
  </si>
  <si>
    <t>Purchase of Medical Supplies for the use of Mariveles District Hospital, Bataan</t>
  </si>
  <si>
    <t>RPQ FOR 2ND QUARTER MOOE OF KINAPAT ES</t>
  </si>
  <si>
    <t>Purchase of Medical, Dental, X-ray &amp; Laboratory Supplies for the use of JCPJMH, Bataan</t>
  </si>
  <si>
    <t>TONER CARTRIDGE FOR FUJI DOCUCENTRE S2011 (3rd Posting)</t>
  </si>
  <si>
    <t>REPAIR OF REGIONAL AND PROVINCIAL OFFICE BUILDING AT NFA COMPOUND</t>
  </si>
  <si>
    <t>CONTINUATION/ IMPROVEMENT OF AGAWA SLOPE PROTECTION</t>
  </si>
  <si>
    <t>Supply and delivery of Irrigation materials for the damaged irrigation system at Brgys. Macalino and Cadaclan.</t>
  </si>
  <si>
    <t>12	cans	Eggplant seeds (50 grams), etc. PR # 301-20 rebid</t>
  </si>
  <si>
    <t>Purchase of Tires for MTO Service Vehicle</t>
  </si>
  <si>
    <t>RFQ - Assorted Office Supplies for use in the Consolidation of Various Office Equipment of DPWH-BCDEO</t>
  </si>
  <si>
    <t>Purchase of White Folder</t>
  </si>
  <si>
    <t>Food for Fisherfolk Training</t>
  </si>
  <si>
    <t>ITB for the Purchase of Fuel</t>
  </si>
  <si>
    <t>Procurement of Catering Services-08-006(AI)PNO</t>
  </si>
  <si>
    <t>Renovation of Public Toilet at Sariaya Public Market</t>
  </si>
  <si>
    <t>RFQ20-27</t>
  </si>
  <si>
    <t>FLU VACCINE</t>
  </si>
  <si>
    <t>162	bags	Complete Fertilizer (Triple 14), etc. PR # 300-20 rebid</t>
  </si>
  <si>
    <t>1	unit	Four-Wheel Drive Pick up Truck, PR# 138-20 rebid</t>
  </si>
  <si>
    <t>KRAFT PAPER BAG, SIZE #10, BUNDLE OF 2,000’S &amp; 2 OTHERS (3rd Posting)</t>
  </si>
  <si>
    <t>RFQ-Booklets &amp; Flyers-THWRDEC</t>
  </si>
  <si>
    <t>Supply and Delivery of Prepaid Cards (SB)</t>
  </si>
  <si>
    <t xml:space="preserve">Supply and delivery of 1 lot mobile cabinet - ball bearing roller, 3 Drawer, locking mechanism, heavy duty, high quality, powder coated black finish (7 units) and clerical chair - net mesh, mid back, </t>
  </si>
  <si>
    <t>Purchase and Deliver of One (1) unit Service Vehicle at the Local Government Unit, Mansalay, Oriental Mindoro</t>
  </si>
  <si>
    <t>Meals and Snacks for the conduct of Training of Trainers for the effective conduct of Listahanan 3 Validation and Finalization of Listahanan Project</t>
  </si>
  <si>
    <t>20-07-156 dated 07-20-2020</t>
  </si>
  <si>
    <t>20-07-060: For official use in the office of the Planning and Design Section</t>
  </si>
  <si>
    <t>Purchase of Laptop- MLGOO</t>
  </si>
  <si>
    <t>20-07-062: For official use in the office of the Planning and Design Section</t>
  </si>
  <si>
    <t>Purchase of  Roofing materials for the enhancement of senior/pwd building</t>
  </si>
  <si>
    <t>PACKAGE 2020-23: CONTINUATION OF DANGOY MULTI PURPOSE BUILDING</t>
  </si>
  <si>
    <t>PURCHASE OF HARDWARE MATERIALS FOR THE ENHANCEMENT OF SENIOR/PWD BUILDING</t>
  </si>
  <si>
    <t>Purchase of 1,600 bags Cement and 32 units Jetmatic Pump</t>
  </si>
  <si>
    <t>Purchase of hardware materials for establishment of guardhouse</t>
  </si>
  <si>
    <t>Purchase of 2,000 bags Cement</t>
  </si>
  <si>
    <t>20GJF0143 - Diesel Fuel for use in the consumption of various Vehicles, (ANA-6865 Navara), (SKZ-513 Strada), (SHK-791 Jeep) (WFH-384 Nissan) assigned at the Construction Section, this district</t>
  </si>
  <si>
    <t>Purchase of Various Construction Materials, Jetmatic Pump and GI Pipes</t>
  </si>
  <si>
    <t>ITB 20-0076 - Supply and Delivery of 40,178 liters Diesoline.</t>
  </si>
  <si>
    <t>Purchase of Medical Supplies</t>
  </si>
  <si>
    <t>Improvement of Water System @ Barangay Bolisong CY 2019-20% EDF</t>
  </si>
  <si>
    <t>Sari - Sari Store</t>
  </si>
  <si>
    <t>Purchase of Plastic Envelope for Student's Modules</t>
  </si>
  <si>
    <t>20-07-059: For official use in the office of the Planning and Design Section, Bridge Management System (BMS) unit</t>
  </si>
  <si>
    <t>Declogging of Drainage along Batang Street</t>
  </si>
  <si>
    <t>35	cans	Eggplant seeds (50gms.), etc. PR # 322-20 rebid</t>
  </si>
  <si>
    <t>Sealed Quotation - One (1) Lot - Supply, Delivery and Installation of Various Furniture for Pag-IBIG Fund Calamba Hub MIS, Calamba Branch, San Pablo, Lucena and Batangas Branch</t>
  </si>
  <si>
    <t>Reproduction of School-Based Activity of all Learning Areas for Kinder - Grade 6</t>
  </si>
  <si>
    <t>Supply and Delivery of cartridge for printer</t>
  </si>
  <si>
    <t>Improvement of Multi Purpose Bldg.</t>
  </si>
  <si>
    <t>1	set	Bouyancy Compensator Device (Tech. DIVE), etc. PR # 304-20 rebid</t>
  </si>
  <si>
    <t>CONSTRUCTION OF MULTI-PURPOSE HALL=PHASE 2</t>
  </si>
  <si>
    <t>PANULAWAN INTEGRATED SCHOOL EDUCATIONAL MATERIALS AND SUPPLIES</t>
  </si>
  <si>
    <t>ELECTRIC DEEP FLOOR FRYER, 15 ½” W, FREE STANDING, STAINLESS STEEL CABINET AND 14 1/8” X 15 ½” FRY TANK, 50 LB. SHORTENING CAPACITY, SOLID STATE ANALOG KNOB CONTROL WITH MELT CYCLES, TWIN BASKET, LEGS</t>
  </si>
  <si>
    <t>ITB 20-0077 - Supply and Delivery of 1,000 bags Fertilizer, Complete 14-14-14 Plus &amp; etc.</t>
  </si>
  <si>
    <t>Supply and Delivery of Hardware Materials for Rehabilitation and Improvement of RHU-II, Tinambac Public Market and other Municipal Faciities</t>
  </si>
  <si>
    <t>Supply and Delivery of Laboratory Supplies of Hospital Equipments for use of Ospital ng Sta. Cruz (OSC), Sta. Cruz</t>
  </si>
  <si>
    <t>Purchase of Cooking Ingredients for Cooking Demonstration</t>
  </si>
  <si>
    <t>Materials and Equipment for Cooking Demonstration</t>
  </si>
  <si>
    <t>Supply and Delivery of IT Equipment</t>
  </si>
  <si>
    <t>Purchase of Raincoats and Gloves</t>
  </si>
  <si>
    <t>1	Set	Laptop, etc. PR # 578-20</t>
  </si>
  <si>
    <t>Vehicle Repair and maintenance</t>
  </si>
  <si>
    <t>1	set	computer set, etc. PR # 516-20</t>
  </si>
  <si>
    <t>Procurement of Various Environmental Health and Safety Equipment-07-035(AA)ProVet</t>
  </si>
  <si>
    <t>PR-2020-1870 Office Supplies-DepEd</t>
  </si>
  <si>
    <t>Procurement of one (1) unit 3-tonner Aircon for DBP Taytay-Palawan Branch</t>
  </si>
  <si>
    <t>CLUSTER 41-2020</t>
  </si>
  <si>
    <t>IMPROVEMENT OF X-RAY ROOM AT RHU,MHC</t>
  </si>
  <si>
    <t>SUPPLY &amp; DELIVERY OF BANANA SUCKER USE FOR NIDA PROJECT PROGRAM 2020</t>
  </si>
  <si>
    <t>Procurement of Various Office Supplies-07-005(AI)PNO</t>
  </si>
  <si>
    <t>Purchase of Office Supplies - MO</t>
  </si>
  <si>
    <t>Transformer for Water Pump at Eco Park Water Pump Station</t>
  </si>
  <si>
    <t>Vehicle Repair and Maintenance - MEO</t>
  </si>
  <si>
    <t>Construction Projects</t>
  </si>
  <si>
    <t>Materials for the Rehabilitation of Toilet</t>
  </si>
  <si>
    <t>PR-2020-1878 Drugs &amp; Medicines-CDH</t>
  </si>
  <si>
    <t>Goods2020-06-008 -Purchase of Materials for Act. 63x- Resurfacing of Unpaved Shoulder for Rectification of Low Shoulder; Act. 41x- Emergency Projects- Bridge for the Replacement/Repair of Damage Deck</t>
  </si>
  <si>
    <t>ITB 20-0078 - Supply and Delivery of 25 units Service Vehicle, Pick-up Type, Brand New.</t>
  </si>
  <si>
    <t>Supply and Delivery of Drugs and Medicines for use of Candelaria District Hospital (CDH), Candelaria</t>
  </si>
  <si>
    <t>Procurement of Various Office Supplies-08-005(AH)RTC</t>
  </si>
  <si>
    <t>Procurement of Various Office Supplies-07-449(A)PGO</t>
  </si>
  <si>
    <t>construction of concrete pavement</t>
  </si>
  <si>
    <t>SUPPLY AND DELIVERY OF MICROCONTROLLER KIT</t>
  </si>
  <si>
    <t>PR-2020-1936 Thirty (30) Unts Powered Air Purifying Respirators-PDRRMO</t>
  </si>
  <si>
    <t>Procurement of Various IT Equipment-07-004(AI)PNO</t>
  </si>
  <si>
    <t>ROAD REBLOCKING MARKET AREA.</t>
  </si>
  <si>
    <t>16 pcs. 2x6x12’ G.melina, etc. -001</t>
  </si>
  <si>
    <t>Delivery of Rescue &amp; Disaster Equipment &amp; Other Supplies</t>
  </si>
  <si>
    <t>DPWH-MS-2020-05-020  -Act. 65x- Bridge Repainting along Maingaran Bridge 1, Maingaran Bridge 2, Usab Bridge, Asid Bridge, Tugbo Bridge, Cancahorao Bridge, Lipata Bridge, Sagawsawan Bridge, Mabato-bato</t>
  </si>
  <si>
    <t>purchase of wooden tables w/chairs</t>
  </si>
  <si>
    <t>Materials for the Improvement of Municipal Building</t>
  </si>
  <si>
    <t>Supply and Delivery of materials for concrete (artificial reef) for fishies additional for fish</t>
  </si>
  <si>
    <t>Procurement of Various Office Supplies-08-006(AH)PPO-RTC</t>
  </si>
  <si>
    <t>PACKAGE 2020-43: CONSTRUCTION OF CHUME-AY CREEK PROTECTION WALL</t>
  </si>
  <si>
    <t>Procurement of Various Medical Supplies-07-036(AA)ProVet</t>
  </si>
  <si>
    <t>SUPPLY AND DELIVERY OF GASOLINE, DIESEL &amp; LUBRICANTS</t>
  </si>
  <si>
    <t>Procurement of Various Office Supplies-07-450(A)PGO</t>
  </si>
  <si>
    <t>1	unit	DSLR Camera, etc. PR # 615-20</t>
  </si>
  <si>
    <t>Procurement of Various Electrical Supplies-07-459(O)PEO</t>
  </si>
  <si>
    <t>Construction of DepEd Temporary Learning Spaces (TLS)</t>
  </si>
  <si>
    <t>Procurement of Various Aggregates Supplies-08-484A(O)PEO</t>
  </si>
  <si>
    <t>Purchase of Antirabies Vaccine</t>
  </si>
  <si>
    <t>for TM, BHS, VIS OFFICE &amp; ADMIN USE</t>
  </si>
  <si>
    <t>Fabrication of Turn-out Steel including materials, labor &amp; painting for Nasig-id SRIS</t>
  </si>
  <si>
    <t>Food for MOA Signing and ICT Equipment Turnover</t>
  </si>
  <si>
    <t>purchase of aircondition inverter</t>
  </si>
  <si>
    <t>Procurement of Various Construction Supplies and Materials-08-479(O)PEO</t>
  </si>
  <si>
    <t>Procurement of Various Furniture-08-484(O)PEO</t>
  </si>
  <si>
    <t>Procurement of Various Construction Supplies and Materials-08-482(O)PEO</t>
  </si>
  <si>
    <t>Lubricant Engine Oil for CASIGURAN DPP</t>
  </si>
  <si>
    <t>Procurement of Various Supplies and Construction Materials Intended for Grants and Donations</t>
  </si>
  <si>
    <t>Delivery of IT Equipment</t>
  </si>
  <si>
    <t>REPAIR AND REHABILITATION OF CULVERT.</t>
  </si>
  <si>
    <t>reproduction of module for 1st and 2nd quarter for SY 2020-2021</t>
  </si>
  <si>
    <t>FENCING OF NEW BARANGAY HALL AND COVERED COURT IN PUROK 5</t>
  </si>
  <si>
    <t>Buggy and Trash bin for Official Use of Market Office</t>
  </si>
  <si>
    <t>Purchase of Modular Tent</t>
  </si>
  <si>
    <t>Procurement of Construction Supplies-07-445(A)PGO</t>
  </si>
  <si>
    <t>Food Stuff</t>
  </si>
  <si>
    <t>Procurement of mats. for Road Maintenance</t>
  </si>
  <si>
    <t>Purchase of 10 Rolls P.E. Pipe #2 for Governor's Improvement of Water System Assistance Provincewide</t>
  </si>
  <si>
    <t>Construction of Multi- Purpose Warehouse (Procurement of Hardware Materials) - MAGRO</t>
  </si>
  <si>
    <t>Purchase of Office Supplies</t>
  </si>
  <si>
    <t>Purchase of IT Equipment (Laptop Computer)</t>
  </si>
  <si>
    <t>Procurement of Various Construction Supplies and Materials-07-457(O)PEO</t>
  </si>
  <si>
    <t>FOD-OA-20-3054: Procurement of Rice Hull Carbonizer</t>
  </si>
  <si>
    <t>PR-2020-1808 Three (3) Units Computer Desktop Set (Rebid)-PGO</t>
  </si>
  <si>
    <t>Supply and Delivery of Drum and Toner</t>
  </si>
  <si>
    <t>Delivery of Various Office Equipment</t>
  </si>
  <si>
    <t>Procurement of Office Supplies for the reproduction of student' learning materials of Magsaysay National High School</t>
  </si>
  <si>
    <t>PR-2020-1959 Medical Supplies-NDH</t>
  </si>
  <si>
    <t>CY 2020 BEFF ELECTRIFICATION - NAVAL CS</t>
  </si>
  <si>
    <t>Procurement of Construction Supplies -07-446(A)PGO</t>
  </si>
  <si>
    <t>Purchase of Polo Shirts/Uniforms for CICU - City Admin Office</t>
  </si>
  <si>
    <t>Procurement of mats. for construction of Concrete Pathwalk</t>
  </si>
  <si>
    <t>EXTENSION OF MUNICIPAL CEMETERY</t>
  </si>
  <si>
    <t>PROVISION OF OTHER SUPPLIES AND MATERIALS IN THE CONDUCT OF SCHOOL BASED IN-SERVICE TRAINING</t>
  </si>
  <si>
    <t>Rehabilitation of Barangay Health Center</t>
  </si>
  <si>
    <t>Concreting of barangay road at Minanga Sur</t>
  </si>
  <si>
    <t>CLUSTER 42-2020</t>
  </si>
  <si>
    <t>REHABILITATION OF POBLACION – EMBRANGGA-AN – NARIRONG – TIG-ALARAN-    INTEGASAN FMR</t>
  </si>
  <si>
    <t>FOR TRACTOR MAINTENANCE</t>
  </si>
  <si>
    <t>SUPPLY AND DELIVERY OF DRUG AND MEDICINES FOR THE IDENTIFIED MENTALLY ILL PATIENTS</t>
  </si>
  <si>
    <t>Supply, Delivery and Fabrication of 50 Units Food-Kart (Metal)</t>
  </si>
  <si>
    <t>Re-Bidding of the Supply, Delivery, Fabrication and Installation of Condenser Coil and additional charging of Refrigerant of 2 Units Aircooled Screw Liquid Chiller at New Government Center, Sipalay Ci</t>
  </si>
  <si>
    <t>Procurement of Various Construction Supplies and Materials-08-487(O)PEO</t>
  </si>
  <si>
    <t>PURCHASE OF MEDICAL EQUIPMENT (NON-CONTACT THERMOMETER) FOR PREVENTIVE MEASURES COVID-19 - City School Division of Bacoor</t>
  </si>
  <si>
    <t>Supply and Delivery of Various Materials for MAN-HND 6L21/31 for BOAC DPP</t>
  </si>
  <si>
    <t>FOD-OA-20-3053: Procurement of Plastic Drum</t>
  </si>
  <si>
    <t>Procurement of Construction Supplies -07-458(O)PEO</t>
  </si>
  <si>
    <t>Procurement of Construction Supplies -07-466(O)PEO</t>
  </si>
  <si>
    <t>CONCRETING OF BARANGAY ROAD</t>
  </si>
  <si>
    <t>Supply and Delivery of Tobramycin 0.3% + Dexamethasone 0.1% 5ml Eye Drops</t>
  </si>
  <si>
    <t>RFQ for Office Supplies</t>
  </si>
  <si>
    <t>FOD-OA-20-3052: Procurement of Assorted Vegetable Seeds</t>
  </si>
  <si>
    <t>PROCUREMENT OF MEDICAL GRADE OXYGEN GAS</t>
  </si>
  <si>
    <t>Printing, Binding and Delivery of Modules of All Learning Areas from G7 to G10</t>
  </si>
  <si>
    <t>SUPPLY AND DELIVERY OF MEDICINES AND SUPPLIES FOR LABORATORY SERVICES AND BIRTHING HOME FACILITY</t>
  </si>
  <si>
    <t>PURCHASE OF FURNITURE FOR HOME FOR BOYS - CSWD</t>
  </si>
  <si>
    <t>Supply and Delivery of Medical and Disinfectant Supplies</t>
  </si>
  <si>
    <t>CONSTRUCTION OF MABLAD MULTI-PURPOSE BUILDING</t>
  </si>
  <si>
    <t>SUPPLY AND DELIVERY OF OFFICE EQUIPMENT SUPPLIES AND MATERIALS - MHO</t>
  </si>
  <si>
    <t>SUPPLY AND DELIVERY OF TOILET BOWLS FOR THE ENVIRONMENTAL AND SANITATION ACTIVITIES</t>
  </si>
  <si>
    <t>RFQ No. 117-2020-G 1 canvass (Construction Materials and suppllies)</t>
  </si>
  <si>
    <t>STO-20-3031: Procurement of Geotagging Device</t>
  </si>
  <si>
    <t>Procurement of Rescue Vehicle</t>
  </si>
  <si>
    <t>PURCHASE OF PLASTIC TRASH BAG TO BE USED IN ALAS-ASIN QUARANTIN FACILITY &amp; MHO ALL UNITS FOR PROPER DISPOSAL OF GARBAGE</t>
  </si>
  <si>
    <t>Purchase of Materials for Rehab./Improvement of Brgy. MPH (Phase II)</t>
  </si>
  <si>
    <t>RFQ No. 118-2020-G 1 canvass (Construction Materials and suppllies)</t>
  </si>
  <si>
    <t>Provision of Seeds and Fertilizers for the conduct of Barangay-Based Training on Corn-Based Farming System</t>
  </si>
  <si>
    <t>Procurement of Office Supplies for the reproduction of student' learning materials Magsaysay National High Schoolof</t>
  </si>
  <si>
    <t>CONSTRUCTION OF CHB DRAINAGE CANAL</t>
  </si>
  <si>
    <t>Procurement of Service for the Preparation of EIA and ECC Practitioner</t>
  </si>
  <si>
    <t>BEVERAGES (Guestel)</t>
  </si>
  <si>
    <t>office equipment</t>
  </si>
  <si>
    <t>SUPPLY AND DELIVERY OF DENTAL EQUIPMENT AND SUPPLIES - MHO</t>
  </si>
  <si>
    <t>20-08-282 - CCTV Camera System for Legazpi Branch</t>
  </si>
  <si>
    <t>PROVISION OF ESSENTIAL CLEANING AND SANITIZING MATERIALS FOR THE COMFORT ROOMS AND HANDWASHING FACILITIES</t>
  </si>
  <si>
    <t>Snacks serve during the committee hearing at the Sangguniang Panlalawigan Session Hall</t>
  </si>
  <si>
    <t>SUPPLY AND DELIVERY OF SPAREPARTS AND LUBRICANTS  FOR THE REPAIR AND MAINTENANCE LIGHT VEHICLEs (Starex Ambulance, Hilux Pick-up &amp; PCSO Ambulance) - MHO - MHO</t>
  </si>
  <si>
    <t>CONSTRUCTION OF LUMBOYAN MULTI-PURPOSE BUILDING</t>
  </si>
  <si>
    <t>R&amp;M: MACHINERY AND EQUIPMENT REPLACEMENT OF SPARE PARTS OF PHOTOCOPIER(INEO164)</t>
  </si>
  <si>
    <t>RFQ No. 119-2020-G 1 canvass (Construction Materials and suppllies)</t>
  </si>
  <si>
    <t>CONSTRUCTION OF SAFETY BARRIERS FOR TELLERS &amp; NEW ACCOUNTS CLERK</t>
  </si>
  <si>
    <t>MATERIAL FOR MODULE REPRODUCTION</t>
  </si>
  <si>
    <t>SUPPLY AND DELIVERY OF DIESEL FUEL FOR THE COVID Related activities prevention and response - MHO</t>
  </si>
  <si>
    <t>Supply and Delivery for ABC Books</t>
  </si>
  <si>
    <t>RFQ No. 121-2020-G 1 canvass (Drugs and Medicines)</t>
  </si>
  <si>
    <t>CONSTRUCTION OF IPIL MULTI-PURPOSE BUILDING</t>
  </si>
  <si>
    <t>Supply and Delivery of Materials for the Installation of Solar Lights at Santa Rosa Memorial Park, Barangay Soledad</t>
  </si>
  <si>
    <t>Sealed Quotation - One (1) Lot - Supply and Delivery of Various Computer Equipment of Pag-IBIG Fund</t>
  </si>
  <si>
    <t>RFQ No. 123-2020-G 1 canvass (Drugs and Medicines)</t>
  </si>
  <si>
    <t>Purchase of Janitorial Supplies</t>
  </si>
  <si>
    <t>Purchase of Wooden Cabinet w/ 2 doors</t>
  </si>
  <si>
    <t>Supply,  Delivery &amp; Installation of Software</t>
  </si>
  <si>
    <t>CLUSTER 43-2020</t>
  </si>
  <si>
    <t>Installation of Potable Water Supply System w/Cistern Tank</t>
  </si>
  <si>
    <t>Supply and delivery of Submersible Pump and Submersible motor for the rehabilitation of Pump Station # 1 Barangay San Gabriel.</t>
  </si>
  <si>
    <t>CONSTRUCTION OF CANAL WITH COVER-PUROK 3, BARANGAY UNO</t>
  </si>
  <si>
    <t>Hardware and Construction Supplies</t>
  </si>
  <si>
    <t>RFQ No. 122-2020-G 1 canvass (Food Stuff)</t>
  </si>
  <si>
    <t>Materials - Extension of transmission &amp; distribution mains(Parallel to the existing lines at Diccion, Roxas, N. Ramos, Villamor &amp; Estacio Streets, Guiset Norte, San Manuel, Pangasinan)</t>
  </si>
  <si>
    <t>Purchase and Deliver of One (1) Unit Service Vehicle to be used in Vice Mayor's Office of Local Government Unit of Mansalay</t>
  </si>
  <si>
    <t>Supply and  Delivery of  Various Disinfectant</t>
  </si>
  <si>
    <t>Repair Rehab. &amp; Maintenance of Roads, Bridges &amp; Other Public Infra Gasoline, Oil &amp; Lubricants &amp; Spareparts of H.E</t>
  </si>
  <si>
    <t xml:space="preserve">20GFH0025 - SUPPLY AND DELIVERY OF HEAVY EQUIPMENT UNITS FOR USE IN CONNECTION WITH THE PROJECT, CONSTRUCTION OF SEWAGE FACILITIES IN VIRAC, CATANDUANES, DPWH CATANDUANES DISTRICT ENGINEERING OFFICE, </t>
  </si>
  <si>
    <t>RFQ No. 120-2020-G 1 canvass (Animal Feeds)</t>
  </si>
  <si>
    <t>Sealed Quotation - One (1) Lot - Supply of Mobile Phone and Prepaid Cards</t>
  </si>
  <si>
    <t>School/Office Supplies - A4 Bondpaper</t>
  </si>
  <si>
    <t>Procurement of Livestock (Piglets)</t>
  </si>
  <si>
    <t>CLUSTER 44-2020</t>
  </si>
  <si>
    <t>Procurement of Other Supplies</t>
  </si>
  <si>
    <t>Supply and Delivery of  Construction Materials</t>
  </si>
  <si>
    <t>Supply and Delivery of Medicine</t>
  </si>
  <si>
    <t>Establishment of Material Recovery Facility (Materials Only)</t>
  </si>
  <si>
    <t>TWO (2) SETS OF COMPUTER UNIT, TWO (2) UNITS OF UPS FOR DESKTOP COMPUTER, TWO (2) UNITS OF AUTOMATIC VOLTAGE REGULATOR (AVR), TWO (2) UNITS OF COMPUTER PRINTER, AND TWO (2) UNITS OF 1 TB HARD DISK DRI</t>
  </si>
  <si>
    <t>IT equipment rental package for Strengthening of Emergency Operation Center</t>
  </si>
  <si>
    <t>COVID 19 RESPONSE: PROVISION TO DSWD STAFF</t>
  </si>
  <si>
    <t>Procurement of Food for Meals &amp; Snacks</t>
  </si>
  <si>
    <t>Supply and Delivery of 858 Bags Fertilizer Urea to be distributed to rice and corn farmers of Region III with PR# 21-08-04-2020 and ABC of Php772,200.00</t>
  </si>
  <si>
    <t>Construction of Hawker's Plaza Shed located at Santa Cruz Public Market, Santa Cruz, Laguna</t>
  </si>
  <si>
    <t>Procurement of Food Supplies</t>
  </si>
  <si>
    <t>IMPROVEMENT OF MULTI-PURPOSE BUILDING @ BRGY. TIPOLO</t>
  </si>
  <si>
    <t>Procurement of Petroleum (Diesel)</t>
  </si>
  <si>
    <t>Procurement of Materials for replacement of deteriorated manhole at Market 1</t>
  </si>
  <si>
    <t>Purchase of Materials for the Concreting of Farm to Market Road, Brgy. Supoc, Lambunao, Iloilo</t>
  </si>
  <si>
    <t>Supply and  Delivery of  Office Equipment</t>
  </si>
  <si>
    <t>RFQ for New Normal Modalities</t>
  </si>
  <si>
    <t>Labor - Extension of transmission &amp; distribution mains(Parallel to the existing lines at Diccion, Roxas, N. Ramos, Villamor &amp; Estacio Streets, Guiset Norte, San Manuel, Pangasinan)</t>
  </si>
  <si>
    <t>Supply and  Delivery of  I.T. Equipment</t>
  </si>
  <si>
    <t>Purchase of chemical detergents</t>
  </si>
  <si>
    <t>Purchase of Photocopying Machine for Modular Learning</t>
  </si>
  <si>
    <t>Supply and  Delivery of  Laptop</t>
  </si>
  <si>
    <t>Improvement/Rehabilitation of Multi-purpose Hall</t>
  </si>
  <si>
    <t>P.R. No. X7-20-07-279 - Supply and Delivery for the use in the Conduct of Geotagging, Site Validation/ Verification and Pre-Detailed Engineering Survey of the FY 2020 Proposed Programs and Projects of</t>
  </si>
  <si>
    <t>Reagent For A1c Analyzer</t>
  </si>
  <si>
    <t>Janitorial Supplies</t>
  </si>
  <si>
    <t>P.R. No. X11-20-06-264 - Supply and Delivery for the use in TESDA Training and Assessment Center at DPWH Regional Office X per Memorandum of understanding by and between the DPWH and TESDA</t>
  </si>
  <si>
    <t>COMPLETION OF CONFERENCE HALL –KCS KWD</t>
  </si>
  <si>
    <t>Supply and Delivery of Various Disinfectant</t>
  </si>
  <si>
    <t>Water Sevice Connection Fittings/Materials (F.O.B. Binalbagan Water District)</t>
  </si>
  <si>
    <t>Supply and Delivery of  Auto Parts</t>
  </si>
  <si>
    <t>REHABILITATION OF UNP WATER SYSTEM</t>
  </si>
  <si>
    <t>Supply and  Delivery of Office Supplies &amp; I.T. Consumables</t>
  </si>
  <si>
    <t>P.R. No. X1-20-05-216 - Supply and Delivery for the use at the Public Affairs and Information Office</t>
  </si>
  <si>
    <t>PROCUREMENT OF MATERIALS FOR THE REPLACEMENT OF SUBMERSIBLE PUMP FOR WATER SYSTEM</t>
  </si>
  <si>
    <t>Concreting of Road at Zone 1, Tumaga, Zamboanga City</t>
  </si>
  <si>
    <t>ROAD CONCRETING WITH LINE CANAL AT PUROK 4, PEÑA VILLAGE</t>
  </si>
  <si>
    <t>AUTOMATIC VOLTAGE REGULATOR</t>
  </si>
  <si>
    <t>Procurement of Various Other Supplies &amp; Equipment</t>
  </si>
  <si>
    <t>Procurement of various agricultural field products for 4th quarter Corporate fund</t>
  </si>
  <si>
    <t>Procurement of Drugs and Minerals for Batch 17 animals in Visayas</t>
  </si>
  <si>
    <t>Awwa - Lacdag Water System</t>
  </si>
  <si>
    <t>SVP 20-0319-A - Purchase of 1,660 liters Diesoline.</t>
  </si>
  <si>
    <t>Procurement of Laboratory Supplies for the use of Dr. Rafael S. Tumbokon Memorial Hospital-EEDD, Kalibo, Aklan/ITB no: 2020-444</t>
  </si>
  <si>
    <t>Supply and  Delivery of  Medical Supplies</t>
  </si>
  <si>
    <t>Repainting of Barangay Hall</t>
  </si>
  <si>
    <t>Purchase of COVID-19 Antibody Rapid Test Kits</t>
  </si>
  <si>
    <t>Supply and delivery of various semi-expandable agricultural equipment under Corporate Fund (4th Quarter)</t>
  </si>
  <si>
    <t>SLOPE PROTECTION AT PUROK 3-A, INFRONT OF UIC PROPERTY, BRGY. TIBUNGCO, BUNAWAN DISTRICT, DAVAO CITY</t>
  </si>
  <si>
    <t>Provision of Safe Water access for Every Household of Barangay Bani</t>
  </si>
  <si>
    <t>MEDICAL SUPPLIES</t>
  </si>
  <si>
    <t>Emergency Purchase</t>
  </si>
  <si>
    <t>ANGUNIIT CDC IMPROVEMENT</t>
  </si>
  <si>
    <t>20CSBF0004: Soil Testing/Exploration for the Construction of Multi-Purpose Building, Two-Storey Barangay Hall at 1. Ballesteros, Aurora, Isabela; 2. San Pedro, Mallig, Isabela; 3. Arellano, Quezon, Is</t>
  </si>
  <si>
    <t>Project: Teachers' Lounge</t>
  </si>
  <si>
    <t>Supply and  Delivery of  Office Supplies &amp; I.T. Consumables</t>
  </si>
  <si>
    <t>Procurement of Chicken (native or jolohano/ jolohana) 8-female and 1 male</t>
  </si>
  <si>
    <t>Procurement and delivery of school materials and office supplies of Balintawak Elementary School</t>
  </si>
  <si>
    <t>Supply and Delivery of Chlorine Dioxide</t>
  </si>
  <si>
    <t>Well drilling  150 ft. depth 10" bore hole</t>
  </si>
  <si>
    <t>Supply and Delivery of Maritime Spare parts</t>
  </si>
  <si>
    <t>SVP 20-0349 - Purchase of 215 sacks RICE , Well-milled rice, 7-Tonner</t>
  </si>
  <si>
    <t>Procurement of various field supplies of externally-funded projects (trust funds)</t>
  </si>
  <si>
    <t>Construction of Multi-Purpose Hall at Salinungan West</t>
  </si>
  <si>
    <t>PROCUREMENT OF OFFICE SUPPLIES AND PPE</t>
  </si>
  <si>
    <t>RFQ 2020-70 One (1) Lot Stainless Sign (Build-up/Backlighted) Metal Etching</t>
  </si>
  <si>
    <t>Disinfection Services for PVAO Main Office</t>
  </si>
  <si>
    <t>Supply &amp; Delivery of Office Equipments</t>
  </si>
  <si>
    <t>RFQ (Gestetner/Master Roll)</t>
  </si>
  <si>
    <t>Procurement of various vegetable seed</t>
  </si>
  <si>
    <t>Rehabilitation/Improvement of San Vicente Barangay Road</t>
  </si>
  <si>
    <t>Improvement of Multi-Purpose Hall at Brgy. Olongtao Ilaya</t>
  </si>
  <si>
    <t>MES Office Equipment Supplies and Consumables</t>
  </si>
  <si>
    <t>Printing and Binding of ECCD Worksheets for Child Development Children 2020</t>
  </si>
  <si>
    <t>SVP 20-0351 - Purchase of 6 pcs BASKETBALL BALL , Indoor-Outdoor &amp; etc.</t>
  </si>
  <si>
    <t>TEMPORARY DISTRIBUTION LINE @ KAWIT ORR.</t>
  </si>
  <si>
    <t>RTF-06A Procurement of various packaging supplies for externally-funded projects (Trust Fund)</t>
  </si>
  <si>
    <t>Security Guard</t>
  </si>
  <si>
    <t>PROCUREMENT OF OFFICE SUPPLIES AND PPE - SENIOR HIGH SCHOOL</t>
  </si>
  <si>
    <t>Supply and delivery of net bags and plastic sack for externally-funded projects</t>
  </si>
  <si>
    <t>PMS for 40,000 kms. of Isuzu Fuego</t>
  </si>
  <si>
    <t>Supply/Delivery of Materials for the Installation of Generator Electrical Connection at the DPWH-LGU Evacuation Facility (Building 1, 2 &amp; 3), Brgy. Guindapunan   Palo, Leyte  PR No. 20-07-0456</t>
  </si>
  <si>
    <t>DESKTOP COMPUTER with Pinter/CISS</t>
  </si>
  <si>
    <t>Procurement of Rehabilitation of the Greenhouses damaged by Typhoon Ursula, Province of Aklan/ITB no: 2020-426</t>
  </si>
  <si>
    <t>Purchase of Agricultural Products (Seeds, Seedlings, Plants…) Coconut use to Support HVCDP</t>
  </si>
  <si>
    <t>Rehabilitation of Drainage Canal at Zone 4, Brgy. San Jose, San Jacinto, Pangasinan</t>
  </si>
  <si>
    <t>Supply and  Delivery of Medical Supplies</t>
  </si>
  <si>
    <t>2020-07-0901 Azitromycin 500 MG</t>
  </si>
  <si>
    <t>Transport &amp; Equipment Services 2020 - MEO</t>
  </si>
  <si>
    <t>Purchase of 100 KVA Transformer for the use of Orani District Hospital</t>
  </si>
  <si>
    <t>Purchase of Medical Equipment for RHU I &amp; II</t>
  </si>
  <si>
    <t>Procurement of Materials/ Supplies related to COVID 19 of Magsaysay National High School</t>
  </si>
  <si>
    <t>Gasoline/Diesel for Government Vehicle used at Mayor's Office</t>
  </si>
  <si>
    <t>Construction of Street Lights</t>
  </si>
  <si>
    <t>Annual Medical Examination of NEDA-CAR personnel</t>
  </si>
  <si>
    <t>Improvement of Day Care Center.</t>
  </si>
  <si>
    <t>SM 20-0353 - Purchase of BATTERY , AA, 2's per pack &amp; etc.</t>
  </si>
  <si>
    <t>Supply and Delivery of Drugs and Medicines for RHU II</t>
  </si>
  <si>
    <t>To Support The Logistical Requirements of HHSBN,1ID,PA</t>
  </si>
  <si>
    <t>COPYING MACHINE, HEAVY DUTY</t>
  </si>
  <si>
    <t>SVP 20-0352 - Purchase of 10 units STEEL SEAT , Pre-Fabricated, 4-gang &amp; etc.</t>
  </si>
  <si>
    <t>Purchase &amp; Delivery of Construction Materials &amp; Supplies for  the project Installation of Water Pipeline,  Brgy. Danao, Surigao City</t>
  </si>
  <si>
    <t>To Support The Logistical Requirements of 1CMOBN,1ID,PA</t>
  </si>
  <si>
    <t>Supply, delivery, and installation of 1 unit brand new Airconditioning unit at PhilRice Server Room</t>
  </si>
  <si>
    <t>PURCHASE AND INSTALLATION OF 30 UNITS CULVERT 24" AND 20 UNITS 12" CULVERT</t>
  </si>
  <si>
    <t>Desiltation of Aguibawa River, Tadia Creek and Tingale Creek</t>
  </si>
  <si>
    <t>SUPPLY AND DELIVERY OF LOT 2: TILLER CULTIVATOR</t>
  </si>
  <si>
    <t>SVP 20-0355 - Purchase of 11,428 liters Diesoline.</t>
  </si>
  <si>
    <t>PULITANG PATHWAY CONTINUATION, JULONGAN</t>
  </si>
  <si>
    <t>PROJECT: PURCHASE OF FOGGING SOLUTION</t>
  </si>
  <si>
    <t>2020-07-0904 DEXAMETHASONE 4 MG</t>
  </si>
  <si>
    <t>ITB- Construction of Drainage Canal at Purok II, Brgy. Palanas, Salcedo, Eastern Samar</t>
  </si>
  <si>
    <t>To Support The Logistical Requirements of 1ISU,AIR (P),PA</t>
  </si>
  <si>
    <t>Embankment &amp; Concreting of Brgy Roads (Phase II), Purok 1 – 2, Brgy. Baybay, Surigao City</t>
  </si>
  <si>
    <t>PRINTING OF LEARNING ACTIVITY SHEETS (LAS)</t>
  </si>
  <si>
    <t>Procurement of Various Office Supplies-08-010(C)PPDO</t>
  </si>
  <si>
    <t>Medical Supplies</t>
  </si>
  <si>
    <t>INVITATION TO BID - PROCUREMENT OF PROFESSIONAL DRIVERS SERVICES</t>
  </si>
  <si>
    <t>Office Supplies (RFQ No.: BIR-RR11-2020-016)</t>
  </si>
  <si>
    <t>Purchase &amp; Delivery of Construction Materials &amp; Supplies for the project Road Concreting,  Brgy. Sidlakan, Surigao City</t>
  </si>
  <si>
    <t>Appliances</t>
  </si>
  <si>
    <t>Supply and Delivery of Office Equipment's for Rural Health Unit</t>
  </si>
  <si>
    <t>Janitorial Supplies (RFQ No.: BIR-RR11-2020-019)</t>
  </si>
  <si>
    <t>General Merchandise</t>
  </si>
  <si>
    <t>Procurement of general merchandise products to be used by various externally-funded projects</t>
  </si>
  <si>
    <t>ICT Supplies (RFQ No.: BIR-RR11-2020-018)</t>
  </si>
  <si>
    <t>SUPPLY AND DELIVERY OF LOT 3: PUMP AND ENGINE WITH TANK</t>
  </si>
  <si>
    <t>200 pcs T-shirt round neck with design 100% cotton and 150 pcs T-shirt round neck</t>
  </si>
  <si>
    <t>Grocery Items &amp; Other Supplies</t>
  </si>
  <si>
    <t>PURCHASE OF JANITORIAL AND OTHER SUPPLIES</t>
  </si>
  <si>
    <t>DRRM Supplies/Covid Related Supplies</t>
  </si>
  <si>
    <t>Reproduction Services</t>
  </si>
  <si>
    <t>Concreting of Barangay Road Sitio 4</t>
  </si>
  <si>
    <t>RFQ (20-08-007) Various Drugs and Medicines</t>
  </si>
  <si>
    <t>Procurement of Office Supplies for use of the Office of the Vice Governor, Romblon, Romblon</t>
  </si>
  <si>
    <t>2020-04-0796 Handheld Fetal Doppler</t>
  </si>
  <si>
    <t>Resource Person for the Business Continuity Planning Webinars for the Tourism Sector</t>
  </si>
  <si>
    <t>Installation of Water System (isolation facility for COVID 19)</t>
  </si>
  <si>
    <t>Construction of Retaining Wall</t>
  </si>
  <si>
    <t>Supply of Labor for the Improvement of Multi-Purpose Building at Sitio Cagaet, Brgy. Olag Pequeño, TCS</t>
  </si>
  <si>
    <t>PROCUREMENT OF 11 UNITS OF LAPTOP FOR DENR-BATAAN</t>
  </si>
  <si>
    <t>Procurement of Laboratory Supplies for use at the Laboratory Section of the IPHO-TPH - B-G-2020-112</t>
  </si>
  <si>
    <t>SVP 20-0354 - Purchase of 6,000 liters Diesoline &amp; etc.</t>
  </si>
  <si>
    <t>Procurement of African Night Crawler and Vegetable Seeds</t>
  </si>
  <si>
    <t>IMPROVEMENT OF MULTI-PURPOSE HALL</t>
  </si>
  <si>
    <t>Procurement of Construction supplies for the Public Hand Washing Stations</t>
  </si>
  <si>
    <t>SUPPLY AND DELIVERY OF 50 UNITS UV FILM, 100 UNITS DRUM, 50 UNITS SPRINKLER AND 150 UNITS SEEDLING TRAY</t>
  </si>
  <si>
    <t>PROCUREMENT OF 6 UNITS OF GEOTAGGING EQUIPMENT FOR DENR-BATAAN</t>
  </si>
  <si>
    <t>RFQ # 20-152           SUPPLY &amp; DELIVERY OTHER SUPPLIES  (SKELETAL BAG)- CEMETERY OFFICE</t>
  </si>
  <si>
    <t>Training on Food Processing, Preservation &amp; Baking (Baking Tools)</t>
  </si>
  <si>
    <t>RFQ # 20-151           SUPPLY &amp; DELIVERY OF OTHER MACHINERIES &amp; EQUIPMENT (HOLLOW BLOCK MAKING MACHINE)- GSO: ECO PARK</t>
  </si>
  <si>
    <t>RFQ # 20-154           PROCUREMENT OF OTHER MACHINERY &amp; EQUIPMENT ( MISTING MACHINE &amp; ELECTRIC KNAPSACK SPRAYER)- GSO</t>
  </si>
  <si>
    <t>Supply and Delivery of HDPE Plastic Mesh in Occidental Mindoro</t>
  </si>
  <si>
    <t>RFQ # 20-153           PROCUREMENT  OF OTHER MATERIALS &amp; EXPENSES (KN 95 MASK WASHABLE)- DRRMO</t>
  </si>
  <si>
    <t>INSTALLATION OF WASH AREA AND DRINKING FAUCET AT THE KATIPUNAN BUILDING</t>
  </si>
  <si>
    <t>To be used as Personal Protective Equipments (PPEs) for the provincial hospital of Romblon.</t>
  </si>
  <si>
    <t>Electrical Supplies</t>
  </si>
  <si>
    <t>RFQ (20-08-006) Various Drugs and Medicines</t>
  </si>
  <si>
    <t>1 unit Branded Laptop with Licenses</t>
  </si>
  <si>
    <t>Procurement of Medicines and Medical Supplies</t>
  </si>
  <si>
    <t>supply of labor and materials for the repainting of interior walls, replacement of faucet and repair of lavatory fittings of the RADDL Pampanga with PR#282 dated 7/29/2020 with an ABC 50,366.86</t>
  </si>
  <si>
    <t>Purchase of One(1) Unit Aircon</t>
  </si>
  <si>
    <t>SUPPLY AND DELIVERY OF FARM INPUTS/AGRI INPUTS, FARM TOOLS &amp; EQUIPMENT</t>
  </si>
  <si>
    <t>20-08-285 - Training Table for Naga-Robinsons Branch</t>
  </si>
  <si>
    <t>Hiring of Assisting personnel for the preparation/formulation and write-up of the Integrated Watershed Management Plan of Mambusao River Watershed</t>
  </si>
  <si>
    <t>Supply and Delivery of Book Paper</t>
  </si>
  <si>
    <t>150 Pax Opening of the Civil Registration Month: Food (Lunch Buffet) Menu: 4 main course, plain rice, appetizer, dessert,fresh fruit, soft drinks/juice</t>
  </si>
  <si>
    <t>CHEMICALS</t>
  </si>
  <si>
    <t>PROCUREMENT OF 1 SET OF HANDHELD RADIO WITH BASE/ COMMUNICATION EQUIPMENT FOR DENR-BATAAN</t>
  </si>
  <si>
    <t>Procurement of Rodenticides and Insecticides</t>
  </si>
  <si>
    <t>PURCHASE/DELIVERY OF LAPTOP, DESKTOP COMPUTER AND PRINTER</t>
  </si>
  <si>
    <t>Construction materials for the construction of Water System</t>
  </si>
  <si>
    <t>Information Technology</t>
  </si>
  <si>
    <t>SUPPLY AND DELIVERY OF GAZEBO</t>
  </si>
  <si>
    <t>Airconditioning</t>
  </si>
  <si>
    <t>Finishing of Communication Arts Building, MMSU, City of Batac</t>
  </si>
  <si>
    <t>Procurement on the Supply and Delivery of Laptop Computer for Institutional Development Section Staff Use, NIA Regional Office 02, Minante 1, Cauayan City, Isabela</t>
  </si>
  <si>
    <t>To Support The Logistical Requirements of KCSSH,1ID,PA</t>
  </si>
  <si>
    <t>20 pcs Plastic Water Drum (Utility Can) Capacity: 88 ltrs.; virgin plastic, durable, made of prime and HDPE Thermoplastics</t>
  </si>
  <si>
    <t>LIVE ANIMALS</t>
  </si>
  <si>
    <t>Operation of common Quarantine Facility/Center at NHA Housing Project Phase III, Bacjawan Sur</t>
  </si>
  <si>
    <t>procurement of fuel &amp; kerosene for the use of school vehicle</t>
  </si>
  <si>
    <t>Supplies &amp; Delivery for I. T  Equipment</t>
  </si>
  <si>
    <t>Supply &amp; Delivery of 140 Pax Packed Meal Menu: Rice, Bam-i, Fried Chicken/Humba and one Drink</t>
  </si>
  <si>
    <t>Construction Materials for the Completion of Sanctuary Shelter</t>
  </si>
  <si>
    <t>Completion of Daycare Center at Brgy. San Sotero, Javier, Leyte.</t>
  </si>
  <si>
    <t>Procurement of Construction Materials for the Improvement of Fire Station Building (Phase 3)</t>
  </si>
  <si>
    <t>Training on Food Processing, Preservation &amp; Baking (Commodities)</t>
  </si>
  <si>
    <t>Procurement of Office Supplies for use at Various Offices of the IPHO-TPH - B-G-2020-113</t>
  </si>
  <si>
    <t>For the GIA Project entitled: Poverty Reduction, Livelihood and Employment Cluster (PRLEC) through CEST in Brgy. Mawacat, Floridablanca</t>
  </si>
  <si>
    <t>20N00116; REPAIR/ IMPROVEMENT OF DPWH REGIONAL OFFICE XIII- FMD OFFICE EXTENSION, J. ROSALES AVENUE, BUTUAN CITY</t>
  </si>
  <si>
    <t>RFQ 2020 - 08 - 039 Construction of Concrete Stairs Going Up the CASIFMAS Heights</t>
  </si>
  <si>
    <t>UPGRADING OF LIBRARY CARD ICT ROOM</t>
  </si>
  <si>
    <t>Upgrading of Access Road Leading to Evacuation Facility</t>
  </si>
  <si>
    <t>Purchase of Toilet Materials for the Toilet of Salacpat School</t>
  </si>
  <si>
    <t>SUPPLY AND DELIVERY OF OFFICE EQUIPMENT FOR REPRODUCTION OF MODULES FOR MODULAR DISTANCE LEARNING</t>
  </si>
  <si>
    <t>Construction of Barangay Road, Sitio 2</t>
  </si>
  <si>
    <t>PROCUREMENT OF 2 UNITS OF TABLET COMPUTER FOR DENR-BATAAN</t>
  </si>
  <si>
    <t>Rehabilitation/Re-connection of  Electrical Connections at DepEd Standard Bldg. 1</t>
  </si>
  <si>
    <t>REBLOCKING OF BARANGAY ROAD</t>
  </si>
  <si>
    <t>Procurement of Native Bags and Lei, LGU-BTIPO, Baybay City, Leyte</t>
  </si>
  <si>
    <t>Procurement of Drugs and Medicines for use at the Pharmacy Section of the IPHO-TPH - B-G-2020-111</t>
  </si>
  <si>
    <t>SUPPLY AND DELIVERY OF REPAIR AND MAINTENANCE OF PATROL CAR</t>
  </si>
  <si>
    <t>2020-07-9000 Axitromycin Dihydrate 500 MG Powder (IV Infusion)</t>
  </si>
  <si>
    <t>REPAIR OF PROPERTY STOCK ROOM</t>
  </si>
  <si>
    <t>Office Supplies (RFQ No.: BIR-RR11-2020-017)</t>
  </si>
  <si>
    <t>SUPPLIES AND EQUIPMENT</t>
  </si>
  <si>
    <t>OFFICE SUPPLIES AND DEVICES</t>
  </si>
  <si>
    <t>Construction of Farm to Market Road at Barangay Beddeng Laud, Vigan City</t>
  </si>
  <si>
    <t>CP 2020-58 BIDDING FOR THE SUPPLY AND DELIVERY OF VARIOUS AMMUNITIONS C/O BCPO</t>
  </si>
  <si>
    <t>To Support The Logistical Requirements of 9RCDG,ARC,PA</t>
  </si>
  <si>
    <t>Office Supplies (RFQ No.: BIR-RR11-2020-021)</t>
  </si>
  <si>
    <t>SUPPLY AND DELIVERY OF ORGANIC EGG LAYING FREE RANGE CHICKENS</t>
  </si>
  <si>
    <t>CONSTRUCTION OF BASKETBALL COURT  (with Fabrication &amp; Installation of 1 pair goals, boards &amp; rings), in Sitio Danawan, Brgy. Sibago</t>
  </si>
  <si>
    <t>Other Supplies</t>
  </si>
  <si>
    <t>Procurement of Various IT accesories and peripherals</t>
  </si>
  <si>
    <t>JR2020-07-00015</t>
  </si>
  <si>
    <t>PROVISIONOF ASSISTIVE DEVICE FOR PDWS</t>
  </si>
  <si>
    <t>SVP 20-0356 - Purchase of 1,999 liters Diesoline &amp; etc.</t>
  </si>
  <si>
    <t>ICT Supplies (RFQ No.: BIR-RR11-2020-020)</t>
  </si>
  <si>
    <t>PROCUREMENT OF TIRES FOR THE FARM TRACTOR</t>
  </si>
  <si>
    <t>ITB-Supply and Delivery of Office Equipment</t>
  </si>
  <si>
    <t>PROVISION OF FIFTEEN (15) SETS TABLE FOR AMBULANT VENDORS AT PUBLIC MARKET, POBLACION 2, PURA, TARLAC</t>
  </si>
  <si>
    <t>Anti-Body Testing Kit</t>
  </si>
  <si>
    <t>PROCUREMENT OF BOOK PAPER - A4 FOR REPRODUCTION OF MODULES</t>
  </si>
  <si>
    <t>PURCHASE AND DELIVERY OF MULTI-PURPOSE RESCUE VEHICLE FOR OFFICIAL USE OF THE MUNICIPAL RISK REDUCTION AND MANAGEMENT OFFICE ------Php 3,500,000.00</t>
  </si>
  <si>
    <t>CONSTRUCTION OF BOX CULVERT IN SITIO KABAHIRUAN, BRGY. PANDACAN</t>
  </si>
  <si>
    <t>CONSTRUCTION OF BASKETBALL COURT  in Sitio Kalubihan, Punod with Fabrication &amp; Installation of 1 pair goals, boards &amp; rings</t>
  </si>
  <si>
    <t>CLOSURE/REHABILITATION OF THE EXISTING CONTROLLED DUMPSITE, BONUAN BOQUIG, DAGUPAN CITY – PHASE I</t>
  </si>
  <si>
    <t>SUPPLY AND DELIVERY OF VARIOUS COMPUTER SUPPLIES AND CONSUMABLES FOR THE USE OF DIFFERENT OFFICES IN THE MUNICIPALITY</t>
  </si>
  <si>
    <t>Procurement and Installation of Closed-Circuit Television (CCTV) Camera System</t>
  </si>
  <si>
    <t>Consultancy Services for Physico-Chemical and Microbiological Analyses of MSME Beneficiaries for FDA-LTO Certification</t>
  </si>
  <si>
    <t>Motorcycle</t>
  </si>
  <si>
    <t>Rice</t>
  </si>
  <si>
    <t>MDF CLUSTER 15-2020 PROJECTS AT ABIANG AND TOPDAC, ATOK, BENGUET</t>
  </si>
  <si>
    <t>Purchase of Solar Power Accesories for NATUBUKA and ETABUPARI Filed Office</t>
  </si>
  <si>
    <t>BARANGAY ROAD CONCRETING AT RIZAL</t>
  </si>
  <si>
    <t>Procurement of Various ICT Equipment for use of MIS Office - B-G-2020-115</t>
  </si>
  <si>
    <t>Personal Protective Equipment (PPE)</t>
  </si>
  <si>
    <t>Supply, Installation and Commissioning of 300 CBM Tertiary System for Sewerage Treatment Plant including Electrical Requirements and Housing</t>
  </si>
  <si>
    <t>CONSTRUCTION OF BASKETBALL COURT  (with Fabrication &amp; Installation of 1 pair goals, boards &amp; rings), in Brgy. Pandacan</t>
  </si>
  <si>
    <t>Catering services for 20 participants during the conduct of Value Chain Analysis: Modular e-Learning on August 24-September 17, 2020 in DA-RFO 8, Tacloban City.</t>
  </si>
  <si>
    <t>Proposed Covered Driveway and Walkway/OPD &amp; Emergency Triage Area</t>
  </si>
  <si>
    <t>Drugs and Medicines</t>
  </si>
  <si>
    <t>SUPPLY AND DELIVERY OF SEMI-AUTOMATED CHEMISTRY ANALYZER WITH START-UP REAGENTS</t>
  </si>
  <si>
    <t>SUPPLY AND DELIVERY OF VARIOUS OFFICE SUPPLIES FOR THE USE OF DIFFERENT OFFICES IN THE MUNICIPALITY</t>
  </si>
  <si>
    <t>MATERIALS USED FOR SEAWEEDS FLOATING DRYER</t>
  </si>
  <si>
    <t>Meals for the Conduct of RPFP in the Workplace as part of the FP Month Celebration in to PNP Personnel in Babatngon, Leyte</t>
  </si>
  <si>
    <t>Supply, Delivery, Installation and Commissioning of Various Medical Equipment (2nd Semester)</t>
  </si>
  <si>
    <t>PROVISION OF SIXTY NINE (69) SETS TABLE FOR AMBULANT VENDORS AT PUBLIC MARKET</t>
  </si>
  <si>
    <t>For the operational use in the Office of the Municipal Engineer in this municipality</t>
  </si>
  <si>
    <t>Procurement of Construction and Electrical Supplies</t>
  </si>
  <si>
    <t>Supply, Delivery and Installation of LED Lights with Electrical Accessories</t>
  </si>
  <si>
    <t>ITB 05-002-20 REBIDDING OF SUPPLY AND DELIVERY OF 2,695 HEADS OF LAYER CHICKEN (RTL) - DA SAAD IX</t>
  </si>
  <si>
    <t>CATERING SERVICES FOR MEALS OF CLIENT IN DROP IN CENTER</t>
  </si>
  <si>
    <t>FURNISHING OF MATERIALS FOR THE CONSTRUCTION OF CANAL AT PUROK 6</t>
  </si>
  <si>
    <t>SUPPLY AND DELIVERY OF LOT 1: 10 UNITS BRUSH CUTTER</t>
  </si>
  <si>
    <t>Supply and delivery of 1,000 units rescue vehicles for use of various barangays and municipalities of the Province of Batangas under its Capability Building Program</t>
  </si>
  <si>
    <t>Procurement of Housekeeping Supplies for use at Various Wards of the IPHO-TPH - B-G-2020-114</t>
  </si>
  <si>
    <t>Provision of Seven (7) Sets Solar Streetlight at Brgy Estipona, Pura, Tarlac</t>
  </si>
  <si>
    <t>PROCUREMENT OF DIVISION ICT EQUIPMENT</t>
  </si>
  <si>
    <t>For the operational use in the MDRRMO for COVID 19 in this municipality.</t>
  </si>
  <si>
    <t>Supply and Delivery of Electronics Components (RECETS)</t>
  </si>
  <si>
    <t>REHABILITATION OF FARM TO MARKET ROAD</t>
  </si>
  <si>
    <t>To Support The Logistical Requirements of 1ISU,AIR (P) ,PA</t>
  </si>
  <si>
    <t>Procurement of Drugs and Biologics for the 2nd &amp; 3rd Quarter</t>
  </si>
  <si>
    <t>Vitamin C &amp; Mouth Wash</t>
  </si>
  <si>
    <t>Advocacy Shirts for use of the participants of the Capacity-building for Selected Teacher-Broadcasters, Scriptwriters, Content &amp; Video Editors</t>
  </si>
  <si>
    <t>Supplies for Planning Workshop on Milk Feeding Program Implementation 2019 Funds</t>
  </si>
  <si>
    <t>Barangay Outpost</t>
  </si>
  <si>
    <t>Meals and Snacks for the Capacity Building for Selected Teacher-Broadcasters, Scriptwriters, Content and Video Editors</t>
  </si>
  <si>
    <t>Supply and Delivery of Storage Room for Financial Documents of SDO Cotabato</t>
  </si>
  <si>
    <t>Supply and Delivery of Digital Printing Machine</t>
  </si>
  <si>
    <t>Meals and Venue for the Planning Workshop on Milk Feeding Program Implementation 2019 Funds</t>
  </si>
  <si>
    <t>Supply and Delivery of Various Furniture and Fixtures</t>
  </si>
  <si>
    <t>1 UNIT COMPUTER DESKTOP AND 1 UNIT PRINTER FOR DILG</t>
  </si>
  <si>
    <t>Installation of Streetlights</t>
  </si>
  <si>
    <t>Supply, Delivery and Installation of Various Office and IT Equipment</t>
  </si>
  <si>
    <t>PURCHASE OF EXPANDING PLASTIC ENVELOPE</t>
  </si>
  <si>
    <t>EAST GUSA NHS FIRST QUARTER REPRODUCTION OF SELF-LEARNING MODULES</t>
  </si>
  <si>
    <t>Supply and Delivery of Materials for the Improvement of Waterworks System</t>
  </si>
  <si>
    <t>Conduct of Medical Mission to AD Areas</t>
  </si>
  <si>
    <t>Visitation of NCIP Offices and IP communities for the Adopt a Community Approach on Food Security Program (vehicle rental))</t>
  </si>
  <si>
    <t>Visitation of NCIP Offices and IP communities for the Adopt a Community Approach on Food Security Program (meals and snacks)</t>
  </si>
  <si>
    <t>Purchase of face shields, disposable face mask and alcohol for all Barangay Frontliners of the City of Talisay, Cebu</t>
  </si>
  <si>
    <t>CONCRETING OF ROAD LEADING TO THE NEW MUNICIPAL CEMETERY IN BARANGAY PANDACAN</t>
  </si>
  <si>
    <t>For Office use (Misamis Oriental PO</t>
  </si>
  <si>
    <t>Purchase of Smart Phones for Geo-tagging</t>
  </si>
  <si>
    <t>Purchase of Construction supplies and materials</t>
  </si>
  <si>
    <t>Purchase of Teachers Supplies</t>
  </si>
  <si>
    <t>Implementation of ADSDPP CADC-172</t>
  </si>
  <si>
    <t>Procurement of Webcam, Power Supply, Smart TV, etc.</t>
  </si>
  <si>
    <t>Procurement of Printer Consumables-Ink and Toner (Trust Fund)</t>
  </si>
  <si>
    <t>Implementation of ADSDPP CADC-172 (Food and accommodation)</t>
  </si>
  <si>
    <t>Materials for repair and maintenance of various facilities owned by the Provincial Government of Laguna</t>
  </si>
  <si>
    <t>Purchase of Office Supplies and Consumables</t>
  </si>
  <si>
    <t>Communication equipment for Laguna Medical Center</t>
  </si>
  <si>
    <t>INFRA2020-CMD-021 Construction of Fire Hydrant System for CMTSD, Ditucalan, Iligan City</t>
  </si>
  <si>
    <t>Procurement on the Supply and Delivery of Catering Services To be served during the Refresher Course on Systems Operation of national Irrigation Systems (NIS) at NIA RTC, Maddarulug, Solana, Cagayan o</t>
  </si>
  <si>
    <t>Procurement of Desktop Computers and External Hard Drive (IHOMP)</t>
  </si>
  <si>
    <t>Materials for the Construction of Drainage System along Confesor Drive, Cabatuan, Iloilo</t>
  </si>
  <si>
    <t>Medicines for LPH-Gen. J. Cailles Memorial District Hospital</t>
  </si>
  <si>
    <t>Procurement of one (1) unit Sea patrol for Barangay Semirara, Caluya, Antique</t>
  </si>
  <si>
    <t>Procurement of one (1) unit Sea Ambulance for Barangay Semirara, Caluya, Antique</t>
  </si>
  <si>
    <t>Materials for the Concreting of Farm to Market Road, Brgy, Morobuan, Cabatuan, Iloilo</t>
  </si>
  <si>
    <t>Materials for the Concreting of Farm to Market Road, Brgy, Jelicuon Lusaya, Cabatuan, Iloilo</t>
  </si>
  <si>
    <t>INVITATION TO BID FOR THE  PROJECT: SUPPLY AND DELIVERY OF OBSTETRICS AND GYNECOLOGY EQUIPMENT │ ITB NO. 2020-08-016</t>
  </si>
  <si>
    <t>CW-ALPIP-06-2020/ ALFONSO LISTA PIP</t>
  </si>
  <si>
    <t>Supply of Materials for CONSTRUCTION/IMPROVEMENT OF MULTI PURPOSE HALL AT BARANGAY SAN JUAN, TINGLOY, BATANGAS</t>
  </si>
  <si>
    <t>CW-ALPIP-05-2020/ ALFONSO LISTA PIP</t>
  </si>
  <si>
    <t>CW-ALPIP-04-2020/ ALFONSO LISTA PIP</t>
  </si>
  <si>
    <t>PURCHASE OF 1 UNIT SERVICE VEHICLE 2ND HAND AT BARANGAY MANGHINAO PROPER, BAUAN, BATANGAS</t>
  </si>
  <si>
    <t>Materials for the Concreting of Farm to Market Road, Brgy, Tupol Oeste, Cabatuan, Iloilo</t>
  </si>
  <si>
    <t>CW-ALPIP-01-2020/ ALFONSO LISTA PIP</t>
  </si>
  <si>
    <t>CONCRETE PAVING OF CORPUZ ROAD (CONMTINUATION), BRGY. BAYAMBANG, INFANTA, PANGASINAN</t>
  </si>
  <si>
    <t>Purchase of Isang Lapis Isang Papel</t>
  </si>
  <si>
    <t>INVITATION TO BID FOR THE  PROJECT: SUPPLY AND DELIVERY OF DENTAL EQUIPMENT │ ITB NO. 2020-08-015</t>
  </si>
  <si>
    <t>Procurement of Additional CCTV &amp; Repair Materials with Installation</t>
  </si>
  <si>
    <t>Pag-IBIG Fund-CHQ (SUPPLY AND DELIVERY OF VARIOUS PREPAID CARDS)</t>
  </si>
  <si>
    <t>BDF</t>
  </si>
  <si>
    <t>Procurement of various IT Supplies</t>
  </si>
  <si>
    <t>Rehabilitation of Pathway</t>
  </si>
  <si>
    <t>RRMF</t>
  </si>
  <si>
    <t>Establishment of Command Disaster Preparedness and Public Safety Center and Installation of CCTV Cameras with Wireless AutoMesh Technology</t>
  </si>
  <si>
    <t>Supply and Delivery of Pet Bottles and Other Supplies for EBA – Water Refilling Station</t>
  </si>
  <si>
    <t>Supply and Delivery of Various Supplies and Materials for CED-SHS</t>
  </si>
  <si>
    <t>Various equipment and supplies for Governor’s Office – Executive</t>
  </si>
  <si>
    <t>Supply and Delivery of ICT Equipment for University Library</t>
  </si>
  <si>
    <t>Purchase of Mediacl Supplies</t>
  </si>
  <si>
    <t>Supply and Delivery of Materials for Conversion of Storage Room to Comfort Room at Director’s Office of Infirmary</t>
  </si>
  <si>
    <t>Subscription to CISCO Webex for CEIT – UCC</t>
  </si>
  <si>
    <t>Purchase of Food Stuff and Other Materials for Maintenance of Control Point</t>
  </si>
  <si>
    <t>Supply of Materials for CONSTRUCTION/IMPROVEMENT OF MULTI PURPOSE HALL at Poblacion 15, Tingloy, Batangas</t>
  </si>
  <si>
    <t>Purchase of Materials for Service Connection (PWS)</t>
  </si>
  <si>
    <t>Supply and delivery of 2 units Auto Voltage Regulator SX460 for Cummins-Standford Generator set of BWS</t>
  </si>
  <si>
    <t>SUPPLY &amp; DELIVERY OF MATERIALS FOR THE CONSTRUCTION OFCOVER DRAINAGE CANAL @ PUROK 1, BRGY. BAYAMBANG, INFANTA, PANGASINAN</t>
  </si>
  <si>
    <t>Supply and Delivery of Information Technology (Laptop, Desktop and Printer for MPDC, Mayors Office, BAC, BWS and SB Office)</t>
  </si>
  <si>
    <t>rehabilitation of barangay road (spot gravelling) sitio lampinitan</t>
  </si>
  <si>
    <t>Purchase of Medicine and Various  Medical Supplies for MHO</t>
  </si>
  <si>
    <t>Purchase of Medicines (RHU)</t>
  </si>
  <si>
    <t>CONTRACT OF SERVICE WITH LABOR AND MATERIALS FOR THE DEVELOPMENT OF CLIMATE AND DISASTER RISK ASSESSMENT INFORMATION SYSTEM</t>
  </si>
  <si>
    <t>Various IT Equipment and Supplies/Accessories</t>
  </si>
  <si>
    <t>Consultancy Services in Different Offices in the Municipality of Pulilan Mayor's,Accounting,Treasurer's,Market,MENRO,RHU,PUP,Tourism Offices</t>
  </si>
  <si>
    <t>Digital Public Address-Warning Siren &amp; Device (MDRRMO)</t>
  </si>
  <si>
    <t>MOOE3RD QUARTER</t>
  </si>
  <si>
    <t>PROCUREMENT OF OFFICE EQUIPMENT, FURNITURE &amp; FIXTURES</t>
  </si>
  <si>
    <t>Supply and Delivery of Materials for Repair of Divider and Repainting of Classroom at CvSU Imus Campus</t>
  </si>
  <si>
    <t>Concrete Paving Along Brgy. Salvador Road Section</t>
  </si>
  <si>
    <t>Development Project Improvements of Multipurpose Building</t>
  </si>
  <si>
    <t>Supply and Delivery of Materials for the Implementation of the Modular Learning Delivery Modality using Print and Multimedia Learning Resources</t>
  </si>
  <si>
    <t>Purchase of One (1) Unit Service Vehicle (SB)</t>
  </si>
  <si>
    <t>Drilling of One (1) Exploratory/Production Well for Balaoan WD @Brgy. Calliat, Balaoan, La Union</t>
  </si>
  <si>
    <t>Supply, Delivery and Installation of Aircondition Units for CED</t>
  </si>
  <si>
    <t>PROCUREMENT OF SUPPLY AND DELIVERY OF 2 UNITS LAPTOP COMPUTER, (Specs: Intel Core i5, 15.6 full HD LCD, 4GB DDR4 Memory, 256GB SSD+1000 HDD)</t>
  </si>
  <si>
    <t>PROCUREMENT OF SUPPLY AND DELIVERY OF 2,000 LITERS DIESEL FUEL</t>
  </si>
  <si>
    <t>Procurement of Supplies MOOE Subsidy for LIGURON ES</t>
  </si>
  <si>
    <t>Purchase of 45 Units Laptop</t>
  </si>
  <si>
    <t>Concreting of Pathway</t>
  </si>
  <si>
    <t>PRINTING OF MODULES OF JUNIOR HIGH SCHOOL (GRADES 7-10)</t>
  </si>
  <si>
    <t>Procurement for Supplies/Materials for the Reproduction of Modules</t>
  </si>
  <si>
    <t>Refurbishment of Classrooms of Senate President Neptali A. Gonzales Integrated School, CY 2020 BEFF</t>
  </si>
  <si>
    <t>Office and School Supplies for Production of Learning Resources</t>
  </si>
  <si>
    <t>Supply and Delivery of Customized Tee-shirt for Mass Blood Donation</t>
  </si>
  <si>
    <t>THIRD QUARTER-MOOE</t>
  </si>
  <si>
    <t>CONSTRUCTION OF DRAINAGE CANAL</t>
  </si>
  <si>
    <t>Supplies and Equipment for Printing and Module Saving of Mankayan Central School</t>
  </si>
  <si>
    <t>Assistance for the Concreting of Pathway</t>
  </si>
  <si>
    <t>CONSTRUCTION/COMPLETION OF EVACUATION CENTER</t>
  </si>
  <si>
    <t>PROCUREMENT OF EXECUTIVE CHAIR</t>
  </si>
  <si>
    <t>WATER SYSTEM</t>
  </si>
  <si>
    <t>Procurement of Construction Materials for Maintenance of Spillway-KALAHI-CIDSS PROJECT</t>
  </si>
  <si>
    <t>Supply and Delivery of Other Supplies for MDRRMO's Office used</t>
  </si>
  <si>
    <t>Supply and delivery of 2pcs. Tire 1100x20 Straight Line and 6pcs. 1100x20 Tire Tractor Type for Dumptruck ABJ1375</t>
  </si>
  <si>
    <t>STANDARD CORPORATE SHIRT (NEW DESIGN)</t>
  </si>
  <si>
    <t>Purchase of Materials for the Development of Mari-it Eco Park Ph II, WVSU CAF, Brgy. Jayubo, Lambunao, Iloilo</t>
  </si>
  <si>
    <t>PROCUREMENT OF SUPPLY AND DELIVERY OF COMPUTER EQUIPMENT AND SUPPLIES</t>
  </si>
  <si>
    <t>Concreting of  Barangay Road at Purok 3 and Purok 1 , Soro-Soro Ibaba, Batangas City</t>
  </si>
  <si>
    <t>CONSTRUCTION OF BRGY. ROAD PAVEMENT(ANAHAW TO MABAGON)</t>
  </si>
  <si>
    <t>Construction of Water Tank Concrete Pedestal (One Job), Brgy. Buri, Lambunao, Iloilo</t>
  </si>
  <si>
    <t>Concreting of Barangay Road</t>
  </si>
  <si>
    <t>PROCUREMENT OF CONSTRUCTION MATERIALS FOR CONSTRUCTION OF LINE CANAL</t>
  </si>
  <si>
    <t>Risograph Ink</t>
  </si>
  <si>
    <t>PROPOSED CONSTRUCTION OF FIRE TRUCK GARAGE</t>
  </si>
  <si>
    <t>PROCUREMENT OF SUPPLIES AND MATERIALS FOR VAWC OFFICE</t>
  </si>
  <si>
    <t>Supply and Delivery of Office Supplies</t>
  </si>
  <si>
    <t>Construction of Kitchen - Dimasalansan CDC</t>
  </si>
  <si>
    <t>Purchase of Medical Equipments and Supplies, Brgy. Coto, Lambunao, Iloilo</t>
  </si>
  <si>
    <t>PROCUREMENT OF DESKTOP COMPUTER</t>
  </si>
  <si>
    <t>Purchase of Materials for the Construction of Daycare Center, Brgy. Malag-it, Lambunao, Iloilo</t>
  </si>
  <si>
    <t>PROCUREMENT OF FARM INPUTS</t>
  </si>
  <si>
    <t>Supplies and Equipment for learners need for the blended modality of Balatoc Elementary School</t>
  </si>
  <si>
    <t>PROCUREMENT OF TARPAULIN</t>
  </si>
  <si>
    <t>CONSTRUCTION OF BARANGAY PATHWALK</t>
  </si>
  <si>
    <t>Supplies and Equipment for learners need for the blended modality of Virac Elementary School</t>
  </si>
  <si>
    <t>Purchase of Rescue Equipments for the use of MDRRMO, Lambunao, Iloilo</t>
  </si>
  <si>
    <t>PROCUREMENT OF WEIGHING SCALE</t>
  </si>
  <si>
    <t>Purchase of Materials for the Improvement of Public Market, Pob. Ilaya, Lambunao, Iloilo</t>
  </si>
  <si>
    <t>SUPPLY AND DELIVERY OF ICT EQUIPMENT</t>
  </si>
  <si>
    <t>Materials for Printing of Modules</t>
  </si>
  <si>
    <t>PROCUREMENT OF SNACKS AND MATERIALS FOR CLEAN-UP DRIVE</t>
  </si>
  <si>
    <t>RFQ-SUBSCRIPTION OF ONLINE PATENT DATABASE PR#20-08-0055</t>
  </si>
  <si>
    <t>Various Supplies</t>
  </si>
  <si>
    <t>PROCUREMENT OF HFEP EQUIPMENT PACKAGE 3 - REBID</t>
  </si>
  <si>
    <t>PROCUREMENT OF MATERIALS FOR MODULES</t>
  </si>
  <si>
    <t>Purchase of Materials for the Installation of Solar Lighting System, Brgy. Coto, Lambunao, Iloilo</t>
  </si>
  <si>
    <t>PROCUREMENT OF MODULES FOR THE REPRODUCTION</t>
  </si>
  <si>
    <t>1000 reams Mimeo Paper</t>
  </si>
  <si>
    <t>Various Non-Common Use Supplies</t>
  </si>
  <si>
    <t>200,000 worth of printing modules</t>
  </si>
  <si>
    <t>White Board and Aircon Outlet</t>
  </si>
  <si>
    <t>Procurement of materials for the modules</t>
  </si>
  <si>
    <t>PROCUREMENT OF MATERIALS FOR THE MODULES</t>
  </si>
  <si>
    <t>PB No. 20-025-1: Supply and Delivery of Cut-Size Paper Products for the Procurement Service (Framework Agreement)</t>
  </si>
  <si>
    <t>RRMF 2020</t>
  </si>
  <si>
    <t>PURCHASE OF CONSTRUCTION MATERIALS FOR THE IMPROVEMENT OF BARANGAY MULTI-PURPOSE HALL AND FARMER’S CENTER</t>
  </si>
  <si>
    <t>PROCUREMENT OF MATERIAL FOR MODULES</t>
  </si>
  <si>
    <t>20-07-535 Purchase of Spare parts for the Maintenance of Canter with Plate Number SER 503</t>
  </si>
  <si>
    <t>Purchase of Face Shield</t>
  </si>
  <si>
    <t>NEGOTIATED PROCUREMENT GOODS 2020-025 (NP) SUPPLY AND DELIVERY OF ONE (1) UNIT MOTORCYCLE.</t>
  </si>
  <si>
    <t>SUPPLY AND DELIVERY OF AUTOMATIC ALCOHOL AND SOAP DISPENSER FOR COVID-19 PREVENTION UNDER EMB-AFMD RFQ NO. EMB-AFMD-0107-08-7-2020- 2020-0591</t>
  </si>
  <si>
    <t>Procurement of Printer and Office Supplies</t>
  </si>
  <si>
    <t>PROCUREMENT OF AGRICULTURAL PRODUCT (VEGETABLE SEEDS)</t>
  </si>
  <si>
    <t>IB-2020-IX-01-01- CONSTRUCTION OF FEEDMILL</t>
  </si>
  <si>
    <t>Rehabilitation of Dicatian Oway Bridge</t>
  </si>
  <si>
    <t>20-07-597 Upgrading and Improvement of Harab to Sumbacan Road in Barangay Barangiran, Alamada, Cotabato</t>
  </si>
  <si>
    <t>Purchase Request for Senior Citizens' Relief Goods during the COVID-19</t>
  </si>
  <si>
    <t>PURCHASE OF 43 UNITS HOT AND COLD WATER DISPENSER TO THE 43 BARANGAYS</t>
  </si>
  <si>
    <t>PRINTING OF FLYER ON CLEAN WATER IN THE PHILIPPINES UNDER EMB-EEID RFQ NO. EMB-EEID-SHOPPING-G-112-8-7-2020 2020-0722</t>
  </si>
  <si>
    <t>Division Training for Radio and Television-Based Instruction Facilitators (Cluster 2)</t>
  </si>
  <si>
    <t>INVITATION TO BID FOR CONCRETING OFFARM TO MARKET ROAD IN BARANGAY PAITAN, STA. MARIA, PANGASINAN</t>
  </si>
  <si>
    <t>SUPPLY AND DELIVERY OF BROADBAND AND LAPTOPS FOR USE DURING THE BICOL AFC NEW NORMAL ACTIVITIES FOR 2020 UNDER RAFC-PCAF PROGRAM</t>
  </si>
  <si>
    <t>NEGOTIATED PROCUREMENT GOODS 2020-024 (NP) SUPPLY AND DELIVERY OF ONE (1) UNIT MOTORCYCLE WITH SIDECAR.</t>
  </si>
  <si>
    <t>Supply and Delivery of Supplies and Materials in Preparation for the Opening of SY 2020-2021 (STF/PR 20-08-172)</t>
  </si>
  <si>
    <t>Supply &amp; Delivery of Construction  Materials for Repair/Improvement of Multi-Purpose Building No. 2</t>
  </si>
  <si>
    <t>ETRACS SERVER AND ACCESSORIES</t>
  </si>
  <si>
    <t>Procurement of School Supplies and Materials of Alae Central Elementary School</t>
  </si>
  <si>
    <t>PURCHASE OF VARIOUS MEDICAL AND DENTAL SUPPLIES FOR USE IN THE CHO</t>
  </si>
  <si>
    <t>Purchase of Construction Materials and Supplies</t>
  </si>
  <si>
    <t>Pocurement for printing of modules</t>
  </si>
  <si>
    <t>SUPPLY AND DELIVERY OF FUEL</t>
  </si>
  <si>
    <t>School and office supplies</t>
  </si>
  <si>
    <t>PURCHASE OF MATERIALS FOR REPAIR &amp; MAINTENANCE OF STREET LIGHTS</t>
  </si>
  <si>
    <t>Supply and Delivery  of Consumables Ink (Ink CV black 800ml) for Basilan National High School - week 2</t>
  </si>
  <si>
    <t>MEALS AND SNACKS- BPLO</t>
  </si>
  <si>
    <t>Internet Access Subscription for One (1) Year</t>
  </si>
  <si>
    <t>CONCRETING OF BARANGAY PATHWAY</t>
  </si>
  <si>
    <t>Request for Qoutation (RFQ) for School Office Supplies and Equipment Consumables</t>
  </si>
  <si>
    <t>Rehabilitation of Dimapula Bridge</t>
  </si>
  <si>
    <t>Supply and delivery of photocopying machines (risograph and copier) for LGU, Biri, Northern Samar</t>
  </si>
  <si>
    <t>RFQ FOR THE SUPPLY &amp; DELIVERY OF 2000 MAGNETIC SHIELD BOX WITH PATENT RIGHT</t>
  </si>
  <si>
    <t>SUPPLY &amp; DELIVERY AND INSTALLATION OF COMMAND CENTER MONITORING SYSTEM WITH CCTV CAMERAS (PHASE 1)</t>
  </si>
  <si>
    <t>PURCHASE OF ONE UNIT LAPTOP WITH PRINTER</t>
  </si>
  <si>
    <t>Supply,Delivery and Installation of Frosted Sticker for SEC Bacolod Extension Office</t>
  </si>
  <si>
    <t>Purchase of Office Equipment Parts/Accessories</t>
  </si>
  <si>
    <t>Printing Materials</t>
  </si>
  <si>
    <t>supply and delivery of fuel, oils and lubricants (supplemental)</t>
  </si>
  <si>
    <t>SUPPLY AND DELIVERY OF PLAQUES UNDER EMB-EEID RFQ NO. EMB-EEID-SHOPPING-G-110-8-7-2020 2020-0635 2020-0635</t>
  </si>
  <si>
    <t>Procurement of construction materials, supplies and 1 unit grasscutter</t>
  </si>
  <si>
    <t>supply and delivery of 325pcs rapid anti-body test kits</t>
  </si>
  <si>
    <t>SUPPLY &amp; DELIVERY OF IT EQUIPMENTS (TABLET) FOR SCHOOLS, TEACHERS AND LEARNERS</t>
  </si>
  <si>
    <t>Construction of Public Toilet</t>
  </si>
  <si>
    <t>Office Equipment</t>
  </si>
  <si>
    <t>SUPPLY &amp; DELIVERY OF IT EQUIPMENTS (TABLETS AND NETBOOKS)RE: BLENDED LEARNING MODALITY</t>
  </si>
  <si>
    <t>Rehabilitation of Dibol Bridge</t>
  </si>
  <si>
    <t>Supplies for Office and Classroom use of CA-EW Elementary School</t>
  </si>
  <si>
    <t>Purchase of office supplies and consumables</t>
  </si>
  <si>
    <t>Purchase of Electrical Supplies and Equipment</t>
  </si>
  <si>
    <t>SUPPLY &amp; DELIVERY OF MATERIALS FOR PROPOSED REPLACE/REPAIR OF CEILING &amp; TOILET OF SBO</t>
  </si>
  <si>
    <t>LAPTOP - DEPED</t>
  </si>
  <si>
    <t>SUPPLY AND DELIVERY 6 UNITS Non-Contact Infrared Thermo Scanner with Tripod Stand</t>
  </si>
  <si>
    <t>PURCHASE OF 3 UNIT CELLPHONE</t>
  </si>
  <si>
    <t>SUPPLY &amp; DELIVERY OF MATERIALS FOR THE CONSTRUCTION OF CALATEGAS WTP’S STAFF HOUSE</t>
  </si>
  <si>
    <t>Photocopy (Riso) of JHS and SHS Modules</t>
  </si>
  <si>
    <t>Purchase of Medical Supplies &amp; Equipment at Brgy. Cale, Tanauan City, Batangas</t>
  </si>
  <si>
    <t>SUPPLY AND DELIVERY 10 UNITS ALCOHOL DISPENSER (foot pressed)</t>
  </si>
  <si>
    <t>Supply and Delivery of Garbage Vehicle</t>
  </si>
  <si>
    <t>Procurement of Laboratory Equipment</t>
  </si>
  <si>
    <t>Purchase of Hardware and Construction Supplies</t>
  </si>
  <si>
    <t>PURCHASE OF THREE UNITS AIRCON USED AT BUS TERMINAL (QUARANTINE FACILITY) FOR LOCALLY STRANDED INDIVIDUAL (LSI) AND OFW IN CONNECTION WITH COVID-19 PANDEMIC AT MUNICIPALITY OF CAUAYAN, NEGROS OCCIDENT</t>
  </si>
  <si>
    <t>APR- 2020-08-003</t>
  </si>
  <si>
    <t>Purchase of T-shirt for Covid Marshalls at Barangay Cale, Tanauan City, Batangas</t>
  </si>
  <si>
    <t>CONSTRUCTION OF BAUNGON MUNICIPAL HALL @ BAUNGON, BUKIDNON</t>
  </si>
  <si>
    <t>Procurement of Medical and Laboratory Equipment</t>
  </si>
  <si>
    <t>PURCHASE OF MATERIALS FOR THE REPAIR AND MAINTENANCE OF LIGHTING FACILITIES OF MUNICIPAL BUILDING AND MARKET, MUNICIPALITY OF CAUAYAN, NEGROS OCCIDENTAL</t>
  </si>
  <si>
    <t>Repair and Maintenance of Various Government Vehicle</t>
  </si>
  <si>
    <t>PURCHASE OF DIESEL FUEL FOR THE REHAB/IMPROVEMENT OF FARM TO MARKET ROAD AT SITIO CEBUCAO, BARANGAY CALILING, CAUAYAN, NEGROS OCCIDENTAL</t>
  </si>
  <si>
    <t>PROCUREMENT OF 1-unit MOTORCYCLE with SIDECAR</t>
  </si>
  <si>
    <t>RENTAL/LEASE of MOTOR SERVICE VEHICLE (August 12-20, 2020)</t>
  </si>
  <si>
    <t>CONCRETING OF ROAD AT BARANGAY SOBOL</t>
  </si>
  <si>
    <t>PURCHASE OF OIL/LUBRICANTS AND SPARE PARTS FOR THE REPAIR/MAINTENANCE OF DIFFERENT HEAVY EQUIPMENT OF THE MUNICIPALITY OF CAUAYAN, NEGROS OCCIDENTAL</t>
  </si>
  <si>
    <t>PROCUREMENT OF RESCUE VEHICLE FOR MDRRMO USE</t>
  </si>
  <si>
    <t>PURCHASE OF DIESEL FUEL FOR THE REHAB/IMPROVEMENT OF FARM TO MARKET ROAD AT PUROK 7, BARANGAY ISIO, CAUAYAN, NEGROS OCCIDENTAL</t>
  </si>
  <si>
    <t>Expandable tote bag</t>
  </si>
  <si>
    <t>Riprapping with Concreting of Road</t>
  </si>
  <si>
    <t>Construction of Open Canal</t>
  </si>
  <si>
    <t>PROCUREMENT OF PRINTERS OF ALUBIJID NATIONAL COMPREHENSIVE HIGH SCHOOL</t>
  </si>
  <si>
    <t>ASPHALTING OF ROAD AT BARANGAY CABULOAN TO BARANGAY MALILION</t>
  </si>
  <si>
    <t>Continuation of Construction of Railings and Foot-step</t>
  </si>
  <si>
    <t>SUPPLY &amp; DELIVERY OF CONTAINER VAN WITH SHELVES FOR TREASURY OFFICE</t>
  </si>
  <si>
    <t>SUPPLY &amp; DELIVERY OF MATERIALS FOR THE CONSTRUCTION PRINCESS URDUJA WTP’S STAFF HOUSE</t>
  </si>
  <si>
    <t>SUPPLY &amp; DELIVERY OF FUEL, OIL AND LUBRICANTS FOR MUNICIPAL VEHICLES (3RD QTR)</t>
  </si>
  <si>
    <t>Invitation to Bid for Construction of Three (3) Units Potable Water Supply System Level 3 (Camagsingalan, Bolaoen &amp; Sto. Domingo)</t>
  </si>
  <si>
    <t>SUPPLY AND DELIVERY OF SUBLIMATION LONG SLEEVE WITH DESIGN FOR THE ORIENTATION CARAVAN FOR BATTLE FOR MANILA BAY AND PARAÑAQUE RIVER SYSTEM REHABILITATION UNDER EMB-EEID RFQ NO. EMB-EEID-SHOPPING-G-11</t>
  </si>
  <si>
    <t>SUPPLY AND DELIVERY OF 481 BAGS RICE (WELL MILLED, WHOLE GRAIN, 25 KLS/BAG) FOR DISTRIBUTION TO DA-RFO 5 CONTRACT OF SERVICE/JOB ORDER/ PAKYAW WORKERS DURING ECQ PER A.O, #12 DATED 13 APRIL 2020</t>
  </si>
  <si>
    <t>Procurement of Medical Supplies</t>
  </si>
  <si>
    <t>Purchase of IT Equipment, Parts &amp; Accessories</t>
  </si>
  <si>
    <t>Completion of Health Station (One Job), Brgy. Caninguan, Lambunao, Iloilo</t>
  </si>
  <si>
    <t>Purchase of Medical Supplies nad Medicines for the use of RHU, Lambunao, Iloilo</t>
  </si>
  <si>
    <t>PURCHASE OF MATERIALS FOR CONCRETING OF BARANGAY ROAD W/ BOX CULVERT</t>
  </si>
  <si>
    <t>Purchase of Medicines (RHU 1 and 2)</t>
  </si>
  <si>
    <t>SUPPLY AND DELIVERY OF LIVESTOCK AND POULTRY FOR REHABILITATION OF TD-USMAN VICTIMS</t>
  </si>
  <si>
    <t>Furnishing of Labor and Materials for the Construction of Flood Control Dike in Sibacungan, Bato, Catanduanes</t>
  </si>
  <si>
    <t>Supply and Delivery of Office Equipment for MPDC</t>
  </si>
  <si>
    <t>Supply and Delivery Office Equipment Supplies and Consumables</t>
  </si>
  <si>
    <t>Procurement of One Unit Brand New Ambulance (Pick Up) not Availavle in DBM-PS</t>
  </si>
  <si>
    <t>Bondpapers for printing of modules</t>
  </si>
  <si>
    <t>SUPPLY &amp; DELIVERY OF CONTAINER VAN WITH SHELVES FOR ASSESSOR’S OFFICE</t>
  </si>
  <si>
    <t>PROCUREMENT OF RELIEF GOODS FOR COVID-19</t>
  </si>
  <si>
    <t>PB-20-443, Supply &amp; Delivery of Office Equipment for distribution to different barangay/recipients of the province</t>
  </si>
  <si>
    <t>PB-20-442, Supply &amp; Delivery of Food Supplies for Provincial Governor’s Office, Amas, Kidapawan City</t>
  </si>
  <si>
    <t>PB-20-441, Supply of Petroleum Products for RP vehicles use in the conduct of various support programs of Provincial Governor’s Office, Amas, Kidapawan City</t>
  </si>
  <si>
    <t>Medical Dental Supplies</t>
  </si>
  <si>
    <t>Food and Venue for the 2020 Census of Population and Housing 4th Level Training in Padre Burgos, So. Leyte</t>
  </si>
  <si>
    <t>2020-07-0092 Procurement of Hardware and construction supplies</t>
  </si>
  <si>
    <t>PB-20-444, Supply &amp; Delivery of Hardware Supplies for distribution to different barangay/recipients of the province</t>
  </si>
  <si>
    <t>Supplies for 2020 Census of Population and Housing (Face shields and masks)</t>
  </si>
  <si>
    <t>Purchase of Various construction supplies for the use of Local School Board (LSB), City of Talisay</t>
  </si>
  <si>
    <t>2020-07-0091 Procurement of Laptop</t>
  </si>
  <si>
    <t>Other Supplies and Materials for Animal Bite Treatment Center at Poblacion, Naga</t>
  </si>
  <si>
    <t>SUPPLY AND DELIVERY OF SEVEN (7) UNITS DIGITAL PRINTING/DUPLICATING  MACHINE FOR VARIOUS COLLEGES (FOR  INSTRUCTIONAL DELIVERY VIA FLEXIBLE  LEARNING MODALITIES)</t>
  </si>
  <si>
    <t>EMERGENCY SUPPLIES FOR COVID PREPAREDNESS</t>
  </si>
  <si>
    <t>printing services - shs</t>
  </si>
  <si>
    <t>Flu Vaccine for JHS &amp; SHS Teaching &amp; non-Teaching Personnel</t>
  </si>
  <si>
    <t>office equipment, supplies &amp; consumables-shs</t>
  </si>
  <si>
    <t>construction materials &amp; supplies - jhs</t>
  </si>
  <si>
    <t>PRINTING OF MODULES</t>
  </si>
  <si>
    <t>Purchase of Services Vehicle</t>
  </si>
  <si>
    <t>office equipment, supplies &amp; consumables-jhs</t>
  </si>
  <si>
    <t>SUPPLY &amp; DELIVERY OF FUEL, OIL AND LUBRICANTS FOR ROAD DEVELOPMENT MUNICIPAL SANITARY LANDFILL AT BRGY. BATO-BATO</t>
  </si>
  <si>
    <t>20-05-0545 Supply and Delivery of Materials for Intensive Tilapia Farming in Pond and Tank for the Fisherfolk beneficiaries in the Province of Leyte under SAAD Program 2020.</t>
  </si>
  <si>
    <t>office equipment, supplies &amp; consumables-</t>
  </si>
  <si>
    <t>CONSTRUCTION OF MULTI-PURPOSE COVERED COURT, PANGLIT ELEMENTARY SCHOOL</t>
  </si>
  <si>
    <t>Procurement of Hypochlorite Granules</t>
  </si>
  <si>
    <t>Procurement of 250 sets of Water Meter</t>
  </si>
  <si>
    <t>Office Supplies</t>
  </si>
  <si>
    <t>Procurement of four (4) unit 3-in-1 Printer</t>
  </si>
  <si>
    <t>20-05-0550 Supply and Delivery of Materials for Aquaponics with Intensive Tilapia Culture System in all the Provincial Fishery Offices and Centers of BFAR 8 as Livelihood Support Project under the “Ah</t>
  </si>
  <si>
    <t>3449-20 Procurement of Medical, Dental and Laboratory Supplies</t>
  </si>
  <si>
    <t>3448-20 Procurement of Medical, Dental and Laboratory Supplies</t>
  </si>
  <si>
    <t>2020-07-0085 Procurement of asphalt crack sealing machine</t>
  </si>
  <si>
    <t>3633-20 Procurement of Airconditioner</t>
  </si>
  <si>
    <t>2268-20 Procurement of Training Supplies</t>
  </si>
  <si>
    <t>PROCUREMENT OF SUPPLIES/MATERIALS FOR THE IMPROVEMENT OF ELIAS K. BULUT MEMORIAL GYMNASIUM (ELECTRICAL WIRING, LIGHTING, MAIN SERVICE)</t>
  </si>
  <si>
    <t>3334-20 Procurement of Materials for the Repair/Improvement/Painting of QPPO Building</t>
  </si>
  <si>
    <t>SUPPLY AND DELIVERY OF COVID RESPONSE ITEMS AND SUPPLIES FOR DEPED DIVISION OFFICE</t>
  </si>
  <si>
    <t>BCES- July 2020</t>
  </si>
  <si>
    <t>PURCHASE OF MOBILE LOADS</t>
  </si>
  <si>
    <t>PRINTING OF STUDENTS' MODULE</t>
  </si>
  <si>
    <t>2542-20 Procurement of Foods for Rice Farmers Productivity Enhancement (Basic Seeds Inspector Training)</t>
  </si>
  <si>
    <t>PURCHASED OF COVID-19 RESPONSE ITEMS</t>
  </si>
  <si>
    <t>2476-20 Procurement of Foods for Enhancement of Organic Agriculture (Orientation and Technical Briefing)</t>
  </si>
  <si>
    <t>Purchase of Books</t>
  </si>
  <si>
    <t>2247-20 Purchase of Food for the Coconut Farmers Empowerment Programs (Training on Coconut-Based Enterprise)</t>
  </si>
  <si>
    <t>SUPPLY AND DELIVERY OF ONE (1) SET  PRINTING PRESS SET-UP</t>
  </si>
  <si>
    <t>Supply and delivery of HARDWARE MATERIALS</t>
  </si>
  <si>
    <t>Labor and Materials for Twenty (20) pcs. Tarpaulin 20x20</t>
  </si>
  <si>
    <t>2020-07-0093 Procurement of Desktop Computer</t>
  </si>
  <si>
    <t>PB-20-211, Supply &amp; Delivery of Engineering Laboratory Equipment &amp; Water Drilling Equipment/Supplies for Provincial Engineer’s Office, Amas, Kidapawan City</t>
  </si>
  <si>
    <t>Purchase of Materials for the Construction of Lined Canal, DAR ADB Road, Brgy. Misi-Pughanan, Lambunao, Iloilo</t>
  </si>
  <si>
    <t>PROCUREMENT OF ESSENTIAL MEDICINES FOR MHO/RURAL HEALTH UNIT, BASEY, SAMAR</t>
  </si>
  <si>
    <t>Repair of Classrooms Batch 2 of Mandaluyong Addition Hills Elementary School, Mandaluyong Elementary School, Doña Pilar C. Gonzaga Elementary School, Mandaluyong High School, Isaac Lopez Integrated Sc</t>
  </si>
  <si>
    <t>PROCUREMENT OF RADIO COMMUNICATION SYSTEM (BARANGAY AURORA)</t>
  </si>
  <si>
    <t>Purchase of Farm Equipment</t>
  </si>
  <si>
    <t>Construction of Street Light</t>
  </si>
  <si>
    <t>LABOR AND MATERIALS FOR THE RIPRAPPING OF MULTI-PURPOSE HALL AREA</t>
  </si>
  <si>
    <t>printing services - jhs</t>
  </si>
  <si>
    <t>ITB NO. 2020-0019 Rebid of the Provision of Security Services of People’s Television Network, Inc.(PTNI) Manila Office and its Provincial Station</t>
  </si>
  <si>
    <t>INSTALLATION OF TILES AT BRGY. STAGE</t>
  </si>
  <si>
    <t>PROCUREMENT FOR MATERIALS FOR MODULES</t>
  </si>
  <si>
    <t>Printing and Reproduction of Learning Materials on Basic Education Continuity Plan for Public Schools of Alaminos City Division, Alaminos City, Pangasinan Lot 2</t>
  </si>
  <si>
    <t>CONCRETING OF FLOORING OF COVERED COURTS 	(Covered Courts at Brgys. Tupas,  Busay,  Butong, Guimbawian &amp; Sibago)</t>
  </si>
  <si>
    <t>Purchase of Various Office Supplies</t>
  </si>
  <si>
    <t>Rehabilitation/ Improvement of Multi-purpose hall</t>
  </si>
  <si>
    <t>Procurement of Office Supplies for General Revision</t>
  </si>
  <si>
    <t>LEARNING MODULE</t>
  </si>
  <si>
    <t>1ST AND SECOND QUARTER PURCHASE OF EDUCATIONAL SUPPLIES</t>
  </si>
  <si>
    <t>PB 2020-32 (GOODS) Procurement of BIR Minor Forms for the Calendar Year 2020  (1 Lot)</t>
  </si>
  <si>
    <t>PB-20-438, Supply &amp; Delivery of Veterinary Supplies for Rabies Eradication Program of the Office of the Provincial Veterinarian, Amas, Kidapawan City</t>
  </si>
  <si>
    <t>SUPPLY AND DELIVERY OF DROPSIDE TRUCK</t>
  </si>
  <si>
    <t>Purchase of Materials for the Road Concreting, Brgy. Buwang, Lambunao, Iloilo</t>
  </si>
  <si>
    <t>PURCHASE OF CCTV</t>
  </si>
  <si>
    <t>OSMEÑA 03-2020 - Installation of Solar-Powered LED Streetlights</t>
  </si>
  <si>
    <t>PRINTING OF MODULES OF SENIOR HIGH SCHOOL</t>
  </si>
  <si>
    <t>Procurement of Construction Materials for the Renovation/Improvement of VLFED Food Processing Center</t>
  </si>
  <si>
    <t>Purchase of Materals for Assistance to Zanjera for the Rehabilitation of Communal Irrigation Systems</t>
  </si>
  <si>
    <t>PB-20-437, Supply &amp; Delivery of Medicines for Arakan Valley District Hospital, Antipas, Cotabato</t>
  </si>
  <si>
    <t>Supply &amp; Delivery of Materials for Completion of Eco Park</t>
  </si>
  <si>
    <t>Purchase of Plastic Envelope</t>
  </si>
  <si>
    <t>Supply &amp; Delivery of Supplies for Maintenance of Animal Breeding Center</t>
  </si>
  <si>
    <t>Supply &amp; Delivery of Materials for Concreting of Road Widening at Iron and Herrera Street, Poblacion Cantilan</t>
  </si>
  <si>
    <t>PURCHASE OF GARBAGE VEHICLE</t>
  </si>
  <si>
    <t>Supply &amp; Delivery of Materials for Construction of Sitio Ayoke Multipurpose Hall Phase 2</t>
  </si>
  <si>
    <t>PURCHASE OF HAND TRACTOR WITH TRAILER</t>
  </si>
  <si>
    <t>Supply &amp; Delivery of Materials for Rehabilitation of Sitio Sampinitan Multipurpose Hall</t>
  </si>
  <si>
    <t>Procurement of DumptruckRepair and Maintenance Supply</t>
  </si>
  <si>
    <t>Upgrading of Local Access Road Brgy. Poblacion, Concepcion, Romblon</t>
  </si>
  <si>
    <t>Supply and Delivery of Plastic Envelope, stapler and staple wire</t>
  </si>
  <si>
    <t>Construction of Ginagdanan Footbridge</t>
  </si>
  <si>
    <t>Supply &amp; Delivery of Spare Parts for Vehicle Maintenance</t>
  </si>
  <si>
    <t>LABOR AND MATERIALS FOR THE CONSTRUCTION OF PERIMETER FENCE ALONG BASKETBALL COURT</t>
  </si>
  <si>
    <t>INSTALLATION OF CCTV</t>
  </si>
  <si>
    <t>Supply &amp; Delivery of Tires for Garbage Compactor</t>
  </si>
  <si>
    <t>PROCUREMENT OF SCHOOL SUPPLIES FOR LEARNERS'USE (ELEMENTARY, KINDER TO GRADE 12), DEPED, MASINLOC, ZAMBALES</t>
  </si>
  <si>
    <t>901BDE-2020-2207-005 Construction Materials and Supplies</t>
  </si>
  <si>
    <t>Supply &amp; Delivery of One Unit Automatic Transmission</t>
  </si>
  <si>
    <t>Supply/Delivery of Office Supplies</t>
  </si>
  <si>
    <t>Supply &amp; Delivery of Materials for Installation of Street Lights at Barangay Palasao</t>
  </si>
  <si>
    <t>Supplies and Materials for Reproduction of Modules</t>
  </si>
  <si>
    <t>Purchase of Materials for the Farm to Market Road (Concreting), Brgy. Hipgos, Lambunao, Iloilo</t>
  </si>
  <si>
    <t>10CMOBn-2020-03-004 Construction Materials and Supplies</t>
  </si>
  <si>
    <t>NP-TFB-20-004, Supply &amp; Delivery of Adlai Milling Machine for the Office of Provincial Agriculturist, Amas, Kidapawan City</t>
  </si>
  <si>
    <t>Supply / Delivery of Agricultural Supplies</t>
  </si>
  <si>
    <t>Procurement of Registry Books</t>
  </si>
  <si>
    <t>Completion of Ligtas-Covid Center, Const. of Footbridge, Spillway, Slope Protection &amp; Concreting</t>
  </si>
  <si>
    <t>Supply/Delivery of Catering Services (one meal &amp; two snacks)</t>
  </si>
  <si>
    <t>Improvement of Water Distribution Lines (One Job), Brgy. Cabugao, Lambunao, Iloilo</t>
  </si>
  <si>
    <t>Supply of Labor &amp; Materials for the repair of service vehicle XR-150</t>
  </si>
  <si>
    <t>Module Printing</t>
  </si>
  <si>
    <t>Supply/Delivery of 47 pcs Cellcards (300)</t>
  </si>
  <si>
    <t>Supply of Materials &amp; Labor for the Repair of KIA 2700 Ambulance (SAA-9034)</t>
  </si>
  <si>
    <t>PROCUREMENT FOR COVID-19 RESPONSE SUPPLIES AND PROCUREMENT NEEDED FOR REPRODUCTION OF LEARNING MATERIALS</t>
  </si>
  <si>
    <t>Supply/Delivery of 25 pcs Cell Cards @ 300</t>
  </si>
  <si>
    <t>Installation of Pump Rebuild Kit and Calibration of BGI PQ 100</t>
  </si>
  <si>
    <t>Purchase of materials for the Completion/Construction of Farmers Training Center with Amenities, Demo Farm, Brgy. Pandan. Lambunao, Iloilo</t>
  </si>
  <si>
    <t>Purchase Request for PWDs Relief Goods</t>
  </si>
  <si>
    <t>SUPPLY AND DELIVERY OF 4 UNITS LAPTOP</t>
  </si>
  <si>
    <t>Development Project Construction of Guard House</t>
  </si>
  <si>
    <t>Purchase of Office Supplies (MO)</t>
  </si>
  <si>
    <t>Supply and Delivery requirements for the in-house printing of modules from the 30% annual mooe fund of San Antonio Elementary School</t>
  </si>
  <si>
    <t>Purchase of Anti-Rabies Vaccines (RHU)</t>
  </si>
  <si>
    <t>Supply and Delivery of Various Supplies, Materials and Equipment for SWA Project</t>
  </si>
  <si>
    <t>8 unit Mechanical Bed-Panel Type Heavy Duty, 8pcs. Foam with cover and 16pcs. Bed-Linen (L-78"/W-36") for Enhancement of Covid Ligtas Center Quarantine Facility</t>
  </si>
  <si>
    <t>Purchase of Two (2) Units Patrol Cars (DILG-SGLG)</t>
  </si>
  <si>
    <t>Supply and delivery of 140 kits COVID-19 Rapid Antibody Test Kit and 90pcs. Viral Transport Medial (Nasopharyngeal Swab and Oropharyngeal Swab) for Covid 19 Monitoring</t>
  </si>
  <si>
    <t>CONCRETING OF FARM TO MARKET ROAD @ SITIO NAGMARKAAN</t>
  </si>
  <si>
    <t>CW-ALPIP-07-2020/ ALFONSO LISTA PIP</t>
  </si>
  <si>
    <t>NP-TFB-20-003, Supply &amp; Delivery of Self-Contained Portalettes for outdoor activities and emergency purposes</t>
  </si>
  <si>
    <t>Materials for the Construction of Perimeter Fence, Don Nicolas Catalan MES, Brgy. Tacdangan, Cabatuan, Iloilo</t>
  </si>
  <si>
    <t>Supply and Delivery of Construction Materials for the REPAIR/REHAB OF STREET LIGHTS</t>
  </si>
  <si>
    <t>Supply and delivery of Construction Materials for the REPAIR  OF FOOT BRIDGE AND ROAD at Barangay Pisa, Tingloy, Batangas</t>
  </si>
  <si>
    <t>3RD QUARTER OFFICE SUPPLIES</t>
  </si>
  <si>
    <t>Purchase of Office Supplies and Devices</t>
  </si>
  <si>
    <t>Purchase of IT Equipment</t>
  </si>
  <si>
    <t>RFQ FOR THE SUPPLY AND DELIVERY OF GATE VALVES, SLEEVE COUPLINGS, GIBAULT &amp; FLOWMETER IMPELLER ASSEMBLY</t>
  </si>
  <si>
    <t>Purchase of Materials of Water Service Pipeline (Repair/Extension)</t>
  </si>
  <si>
    <t>PURCHASE AND DELIVERY OF PNP GOA C UNIFORM FOR UNIFORMED PERSONNEL AND ATHELTIC UNIFORM FOR NON UNIFORMED PERSONNEL LOI – TAMANG BIHIN ------Php 137,100.00</t>
  </si>
  <si>
    <t>PURCHASE AND DELIVERY OF TWO (2) UNIT OF TRICYCLE FOR SERVICE VEHICLE TO BE USED BY AGRICULTURE AND ASSESSOR OFFICE ------Php 400,000.00</t>
  </si>
  <si>
    <t>Supply and delivery of 2 unit 1.5HP Split Type Aircon (Inverter) 5 units Wall Fan and 14 units Stand Fan for Enhancement of COVID19 Ligtas Center Quarantine Facility</t>
  </si>
  <si>
    <t>supply and Delivery of Disinfecting Solutions</t>
  </si>
  <si>
    <t>Vehicle Repair: Mitsubishi Strada Pick-Up (SKD 799): Turbo Asembly &amp; Axle Bearing</t>
  </si>
  <si>
    <t>Supply and Delivery of Digital Photocopier Machines for Tubigon East District Schools (Re-Bid)</t>
  </si>
  <si>
    <t>046- Procurement of Printing Materials and Supplies 2020</t>
  </si>
  <si>
    <t>Supply and Delivery of 2019-nCov Ab IgG/IgM Detection Kit x 40s</t>
  </si>
  <si>
    <t>Procurement of Labor and Materials- Upgrading of Water Supply System @ Salvacion</t>
  </si>
  <si>
    <t>REPIPING OF COMFORT ROOM PLUMBING CONNECTIONS  in the Academic Building of PNU Visayas</t>
  </si>
  <si>
    <t>Supply/Delivery of Janitorial Supplies</t>
  </si>
  <si>
    <t>Purchase of materials for the Fabrication of Handwash Facility with Foothbath for various schools, Lambunao, Iloilo</t>
  </si>
  <si>
    <t>Supply and Delivery of Various Supplies/Materials  for the Reproduction of Locally-Developed Learning Resources</t>
  </si>
  <si>
    <t>Improvement of Drainage Canal - Kahaponan, Valencia City, Bukidnon</t>
  </si>
  <si>
    <t>Supply and Delivery of Hospital Beds with Bedside Table</t>
  </si>
  <si>
    <t>PROVISION OF MATERIALS FOR THE PRINTING OF LEARNER'S MODULES OF FERNANDO F. GONZAGA ELEMENTARY SCHOOL FOR THE MONTH OF AUGUST 2020</t>
  </si>
  <si>
    <t xml:space="preserve">Procurement of Laboratory Equipment (1 Unit Fully Automated Microbial Identification and Sensitivity Analyzer, 1 Unit Fully Automated Chemistry Analyzer &amp; 1 Unit Fully Automated/Automatic Immunoassay </t>
  </si>
  <si>
    <t>For the door to door shipping from DICT Office Cebu City to DICT Office Tacloban City</t>
  </si>
  <si>
    <t>Purchase of Fuel &amp; Oil for the Rehabilitation of Old Spanish Road, Brgy. Misi, Lambunao, Iloilo</t>
  </si>
  <si>
    <t>Purchase of Materials for the Improvement of MRF (Const. of Final Segregation Facility), Brgy. Sibacungan, Lambunao, Iloilo</t>
  </si>
  <si>
    <t>procurement of native chicken</t>
  </si>
  <si>
    <t>procurement of Nipa shingles</t>
  </si>
  <si>
    <t>SUPPLY, DELIVERY AND INSTALLATION OF 10 METER FISH CAGE FRAME AS LIVELIHOOD SUPPORT TO THE LOCAL FISHERFOLK</t>
  </si>
  <si>
    <t>PURCHASE OF ONE (1) UNIT MOTOR VEHICLE, BRGY. BAYAMBANG, INFANTA, PANGASINAN</t>
  </si>
  <si>
    <t>Purchase of Materials for the Farm to Market Road (Concreting), Brgy. Daanbanwa, Lambunao, Iloilo</t>
  </si>
  <si>
    <t>Rehabilitation of Multi-Purpose Pavement - Kahaponan, Valencia City, Bukidnon</t>
  </si>
  <si>
    <t>20gm0013-SUPPLY AND DELIVERY OF HANDHELD LASER SCANNER FOR USE OF PLANNING AND DESIGN DIVISION, DPWH REGIONAL OFFICE XII</t>
  </si>
  <si>
    <t>Repair of comfort rooms and water supply system in various schools at Carmona and G.M.A., Cavite.</t>
  </si>
  <si>
    <t>Repair of comfort rooms and water supply system in various schools in Mendez, Amadeo and Tagaytay City, Cavite.</t>
  </si>
  <si>
    <t>20gm0012-SUPPLY AND DELIVERY OF IT SUPPLIES FOR USE OF DPWH REGIONAL OFFICE XII, KORONADAL CITY</t>
  </si>
  <si>
    <t>20GM0008 (Re-bid) - PROCUREMENT OF DRYDOCKING AND REPAIR OF DPWH K3-22 (WATERMASTER 4) STATIONED AT MOTHER BRGY. KALANGANAN I, COTABATO CITY</t>
  </si>
  <si>
    <t>Construction of Riverwall Protection at Brgy. San Antonio I (Phase II) Noveleta, Cavite</t>
  </si>
  <si>
    <t>CW-APAYAO-L-01-2020/ NABUANGAN - CUPIZ  MAGLANGAT PIGOC SIP Phase II</t>
  </si>
  <si>
    <t>CONSTRUCTION OF INTELLECTUAL PROPERTY AND TECHNOLOGY BUSINESS MANAGEMENT FACILITY</t>
  </si>
  <si>
    <t>Purchase of Educational Supplies for Baylanan Elementary School</t>
  </si>
  <si>
    <t>2020 DEPED MODULE PRINTING</t>
  </si>
  <si>
    <t>CONSTRUCTION OF COMFORT ROOMS AT PSAU GATE 2</t>
  </si>
  <si>
    <t>Purchase of Materials for the Const. of Line Canal &amp; Cross Drainage - Phase I, Brgy. Pandan, Lambunao, Iloilo</t>
  </si>
  <si>
    <t>PROVISION OF 4 PRINTERS (GR.1,GR.5, OFFICE &amp; ICT) -SEMI-EXPENDABLE-ICT EQUIPMENT OF FERNANDO F. GONZAGA ELEMENTARY SCHOOL FOR THE MONTH OF AUGUST 2020</t>
  </si>
  <si>
    <t>Purchase of various supplies for treatment, prevention and control of common diseases of livestock and vaccination of anti rabies</t>
  </si>
  <si>
    <t>INVITATION TO BID FOR THE SUPPLY AND DELIVERY OF IT EQUIPMENTS</t>
  </si>
  <si>
    <t>1st INVITATION FOR NEGOTIATED PROCUREMENT -SVP for Construction of Perimeter Fence at Panaguikan Elementary School</t>
  </si>
  <si>
    <t>Procurement of ICT Spareparts</t>
  </si>
  <si>
    <t>Supplies for Module Reproduction</t>
  </si>
  <si>
    <t>Purchase of prepaid cards for the use of Vice Mayor, SB members &amp; SB Secretary</t>
  </si>
  <si>
    <t>Supply, Delivery and Installation of Motor Vehicle Tires</t>
  </si>
  <si>
    <t>Globe Call and Text Cards</t>
  </si>
  <si>
    <t>SVP-20-0576, Supply and delivery of  Vehicle Parts for the use of Provincial Engineer's Office(PEO)</t>
  </si>
  <si>
    <t>KINDER</t>
  </si>
  <si>
    <t>CONSTRUCTION MATERIALS AND SUPPLIES FOR WASHING AREA (GYM)</t>
  </si>
  <si>
    <t>Geps Shs 2020-07-0020 Bookpaper for Modules of G11 ABM</t>
  </si>
  <si>
    <t>PROCUREMENT OF MATERIALS FOR THE  MODULES</t>
  </si>
  <si>
    <t>Use for OSDS and SDO Personnel</t>
  </si>
  <si>
    <t>SUPPLY AND DELIVERY OF 122,574 BAGS UREA FERTILIZER TO BE DISTRIBUTED TO RICE FARMERS WHO ARE RECIPIENT OF RCEF IN REGION III FUNDED UNDER RICE PROGRAM FOR LATER RELEASE, INCLUDED IN BAYANIHAN ACT FOR</t>
  </si>
  <si>
    <t>Supply and Delivery of KZ RISO Ink and KZ RIZO Master for use in the Reproduction of Locally-Developed Learning Materials</t>
  </si>
  <si>
    <t>Improvement of Multi Purpose Hall</t>
  </si>
  <si>
    <t>SUPPLY AND DELIVERY OF 56,370 BAGS UREA FERTILIZER TO BE DISTRIBUTED TO RICE FARMERS WHO ARE RECIPIENT OF RCEF IN REGION III FUNDED UNDER RICE PROGRAM COMPREHENSIVE RELEASE FOR CY 2020</t>
  </si>
  <si>
    <t>Construction and installation of streetlights</t>
  </si>
  <si>
    <t>Procurement of Communication Equipment</t>
  </si>
  <si>
    <t>Procurement of Office Supplies</t>
  </si>
  <si>
    <t>PROCUREMENT OF AGRICULTURAL MEDICINES</t>
  </si>
  <si>
    <t>20GM0011-SUPPLY AND DELIVERY OF OFFICE SUPPLIES FOR USE OF DPWH REGIONAL OFFICE XII, KORONADAL CITY</t>
  </si>
  <si>
    <t>SUPPLY OF MATERIALS AND LABOR FOR PAINTING OF TRICYCLE BODY NUMBERS</t>
  </si>
  <si>
    <t>SUPPLY AND DELIVERY OF USB/FLASHDRIVES  for PNU Visayas</t>
  </si>
  <si>
    <t>PROCUREMENT OF INORGANIC FERTILIZER</t>
  </si>
  <si>
    <t>Purchase of kitchen supplies for the use of Mayor's Office, Office of the Sangguniang Bayan &amp; Office of the Vice Mayor</t>
  </si>
  <si>
    <t>PROCUREMENT OF OFFICE FURNITURE AND FIXTURE</t>
  </si>
  <si>
    <t>Supply and delivery of 3,300 sets Face Shield for Employees of Pag-IBIG Fund Central Luzon for five (5) months.</t>
  </si>
  <si>
    <t>SVP-20-0587, Supply and delivery of Vehicle Parts for the use of Provincial General Services Office (PGSO)</t>
  </si>
  <si>
    <t>Invitation to Bid for the Construction of Multi-Purpose Roofing (Municipal Stage) Brgy. Ilo, Sto. Niño, Samar.</t>
  </si>
  <si>
    <t>SVP-20-0581, Supply and delivery of Meals and snacks for the use of Committee on Laws, Rules and Privileges, Sangguniang Panlalawigan (SP)</t>
  </si>
  <si>
    <t>SVP-20-0593, Supply of Diesel Fuel for the use of Committee on Laws, Rules and Privileges, Sangguniang Panlalawigan (SP)</t>
  </si>
  <si>
    <t>SVP-20-0589, Supply and delivery of meals and snacks for the use of  various activities of the Office of the Provincial Agriculturist (OPAG)</t>
  </si>
  <si>
    <t>CONSTRUCTION MATERIALS AND SUPPLIES FOR WASHING AREA (BAYANI)</t>
  </si>
  <si>
    <t>SVP-20-0579, Supply and delivery of meals and snacks for the use of Office of the Provincial Agriculturist (OPAG)</t>
  </si>
  <si>
    <t>SVP-20-0584, Supply and delivery of meals and snacks for the use of Integrated Provincial Health Office (IPHO)</t>
  </si>
  <si>
    <t>Procurement of Medical Equipment</t>
  </si>
  <si>
    <t>Junior High School - School Supply</t>
  </si>
  <si>
    <t>Delivery of Supplies with Drilling and Installation of Water System</t>
  </si>
  <si>
    <t>SVP-20-0580, Supply of Diesel for the use of Office of the Provincial Agriculturist (OPAG)</t>
  </si>
  <si>
    <t>Procurement of Computer Peripherals for the use of BFP Region 6 for CY 2020</t>
  </si>
  <si>
    <t>20CSA011: Feasibility Study of Proposed Construction of Bypasses/ Diversion Roads, Construction of Alaminos-Lucap Bypass Road</t>
  </si>
  <si>
    <t>SVP-20-0583, Supply of Petroleum Products for the use of the Integrated Provincial Health Office (IPHO)</t>
  </si>
  <si>
    <t>VEHICLE REPAIR AND MAINTENANCE</t>
  </si>
  <si>
    <t>Procurement and delivery of various construction materials</t>
  </si>
  <si>
    <t>Food, Venue and Catering Services for Lunch and two (2) snacks - AM &amp; PM, for the 4th level training on 2020 Census of Population and Housing in Calbayog, Samar (Batch 2)</t>
  </si>
  <si>
    <t>Procurement of QRF Supplies and Materials Expenses for Covid-19 Pandemic</t>
  </si>
  <si>
    <t>Geps SHS 2020-07-22 Materials for Module of Caregiving Students</t>
  </si>
  <si>
    <t>Food, Venue and Catering Services for Lunch and two (2) snacks - AM &amp; PM, for the 4th level training on 2020 Census of Population and Housing in Tarangnan, Samar</t>
  </si>
  <si>
    <t>SYSTEM PENETRATION TOOL SUBSCRIPTION FOR 1 YEAR UNDER EMB-PPPDD-SISMS RFQ NO. EMB-SISMS.-SHOPPING-G-109-08-7-2020- PR. NO. 2020-0678</t>
  </si>
  <si>
    <t>Purchase of Expanding Plastic Envelopes with Handle and Lock</t>
  </si>
  <si>
    <t>Senior High School - School Supply</t>
  </si>
  <si>
    <t>CATERING SERVICES</t>
  </si>
  <si>
    <t>100-2020-03-448 Supply and delivery of lead seal weights &amp; measures, stickers, etc.</t>
  </si>
  <si>
    <t>Procurement for Catering Services of 42 Participants for 2 Days for the Workshop on the Development of 2021 AIP and WFP of ORD/OARD and Regional Office Functional Divisions</t>
  </si>
  <si>
    <t>Engagement of a Fuel Supplier for PNOC EC (the “Project”)</t>
  </si>
  <si>
    <t>100-2020-04-592 Supply and delivery of motorcycle</t>
  </si>
  <si>
    <t>Supply and Delivery of Various Office Supplies and Consumables</t>
  </si>
  <si>
    <t>PIKCOT-SUPP-002020-00170 (SUPPLY AND DELIVERY OF OFFICE SUPPLIES )</t>
  </si>
  <si>
    <t>PIKCOT-SUPP-002020-00169 (SUPPLY AND DELIVERY OF CATERING SERVICES, MEALS AND SNACKS )</t>
  </si>
  <si>
    <t>PRINTING OF DENR ADMINISTRATIVE ORDER 2019-18 UNDER EMB-EQMD-CMS RFQ NO. EMB-PROP.-SHOPPING-G-0107-8-7-2020  2020-0608</t>
  </si>
  <si>
    <t>Elementary -  School Supply</t>
  </si>
  <si>
    <t>Procurement of Office Equipment under Rule XIV Section 46 of RA 9184</t>
  </si>
  <si>
    <t>Purchase of Plumbing and Carpentry Supplies</t>
  </si>
  <si>
    <t>Procurement for the Layout, Printing, and Softbinding of the 2018 Annual Accomplishment Report</t>
  </si>
  <si>
    <t>PIKCOT-SUPP-002020-00171 (SUPPLY AND DELIVERY OF OFFICE SUPPLIES )</t>
  </si>
  <si>
    <t>Purchase of Office Supplies for the Reproduction of Modules for Senior High School</t>
  </si>
  <si>
    <t>ILOILO BRANCH - File Cabinet and Sigcard Cabinet</t>
  </si>
  <si>
    <t>PROCUREMENT OF PRINTING MATERIALS FOR THE PRINTING OF MODULES OF IPED BATCH 2</t>
  </si>
  <si>
    <t>Procurement of Supplies MOOE for Lugsayan Elementary School</t>
  </si>
  <si>
    <t>100-2020-07-817 Supply and delivery of birth registry book and book of legal instrument.</t>
  </si>
  <si>
    <t>Purchase of Painting Supplies</t>
  </si>
  <si>
    <t>FOR BARANGAY CANBANTUG - INVITATION TO BID FOR BARANGAY ROAD CONCRETING - FIRST BIDDING</t>
  </si>
  <si>
    <t>Construction Materials for PPS-2020-0123</t>
  </si>
  <si>
    <t>Kindergarten - School Supply</t>
  </si>
  <si>
    <t>Meals and Snacks</t>
  </si>
  <si>
    <t>100-2020-07-910 Supply and delivery of Poly bags, insecticide, fungicide, etc.</t>
  </si>
  <si>
    <t>100-2020-07-903 Supply and delivery of tires</t>
  </si>
  <si>
    <t>100-2020-07-901 Supply and delivery of meals and snacks</t>
  </si>
  <si>
    <t>100-2020-07-900 Supply and delivery of desktop sheetfed scanner and steel filing cabinet.</t>
  </si>
  <si>
    <t>100-2020-07-869 Supply and delivery of ducks</t>
  </si>
  <si>
    <t>SVP2020-WMG-07/MG-WMG20-004-repair and maintenance of building and housing units at NPC Housing  Compound, Ditucalan, Iligan City Housing Quarter No. 62-A</t>
  </si>
  <si>
    <t>CONSTRUCTION OF RCA EXTENSION</t>
  </si>
  <si>
    <t>Catering Services for PEMO-2020-2032 &amp; 2041</t>
  </si>
  <si>
    <t>100-2020-07-871 Supply and delivery of pot-bellied piglets and organic piglets.</t>
  </si>
  <si>
    <t>Supplies for RHU-Sanitation Office use, Pozorrubio, Pangasinan</t>
  </si>
  <si>
    <t>Printing Services for PIS-2020-0108</t>
  </si>
  <si>
    <t>Improvement/Concreting of FTMR</t>
  </si>
  <si>
    <t>SVP2020-PDD-006/MG-PDD20-010-supply of labor and equipment for the repair and maintenance of building- repair and maintenance of housing quarter No.8, NPC Housing Copound, Ditucalan, Iligan City</t>
  </si>
  <si>
    <t>Construction of Stone Masonry of one side of the creek at Poblacion District I, Pozorrubio, Pangasinan</t>
  </si>
  <si>
    <t>MOOE ( 2nd Posting )</t>
  </si>
  <si>
    <t>CONSUMABLE INK SUPPLY</t>
  </si>
  <si>
    <t>Procurement of Container Van for SPD</t>
  </si>
  <si>
    <t>ITB No. 20-29 Procurement of Laboratory Supplies and Reagents</t>
  </si>
  <si>
    <t>Supply and Delivery of Various Office  Equipment</t>
  </si>
  <si>
    <t>PURCHASE OF MATERIALS FOR ROAD MAINTENANCE OF VARIOUS BARANGAYS AND CITY ROADS  ( Basa Road,Brgy X.,Romana-Dacumon Road Barangay XII, Minoro-Salome-San Jose Road,Brgy X, Access Road Going to Villa Vic</t>
  </si>
  <si>
    <t>ROAD CONSTRUCTION AND REHABILITATION OF PORTION JOVER STREET, DE LEON STREET AND MAGSAYSAY STREET EXTENSION</t>
  </si>
  <si>
    <t>REPAIR AND IMPROVEMENT OF ONE ( 1) UNIT CLASSROOM AT DAPES, BRGY X, VICTORIAS CITY NEGROS OCCIDENTAL</t>
  </si>
  <si>
    <t>Acquisition of Office Equipment and Consumable, SO</t>
  </si>
  <si>
    <t>PURCHASE OF MATERIALS FOR CONSTRUCTION OF 176 UNITS ADDITIONAL TOMBS AT VICTORIAS CITY PEOPLE’S MEMORIAL PARK, HAD. ESTRELLA, BRGY XIV, VICTORIAS CITY</t>
  </si>
  <si>
    <t>PURCHASE OF RESCUE VEHICLE FOR THE USE OF RESCUE PERSONNEL ( RE – BID )</t>
  </si>
  <si>
    <t>Purchase and Printing of Training Bag under SVP No. 2020-041-A</t>
  </si>
  <si>
    <t>Delivery of Heavy Duty Stapler</t>
  </si>
  <si>
    <t>Delivery of Projector</t>
  </si>
  <si>
    <t>Delivery of External Storage Device</t>
  </si>
  <si>
    <t>Const./Concreting of poblacion protecting wall at Poblacion,Tinglayan Kalinga</t>
  </si>
  <si>
    <t>Procurement of communication cards for RCEF staff &amp; LGU partners for July-December 2020 project implementation.</t>
  </si>
  <si>
    <t>Construction of Perimeter Fence of Barangay Compound</t>
  </si>
  <si>
    <t>Office Supplies for Accounting Office use, Pozorrubio, Pangasinan</t>
  </si>
  <si>
    <t>Materials for the usage of Tinsmithing of Science Laboratory Room at BVANHS, Pozorrubio, Pangasinan</t>
  </si>
  <si>
    <t>Repair and Maintenance of Medical Equipment</t>
  </si>
  <si>
    <t>SVP2020-RDW-004/MG-RDW20-003 - RJO Clearing of Vegetation/Pruning of Trees at Agus 6 Dam and Instrumentation Sites.</t>
  </si>
  <si>
    <t>Delivery of Presenter/Pointer</t>
  </si>
  <si>
    <t>Materials for the repair of downspout &amp; gutter between Phase I-II &amp; along Phase II Sangguniang Alley at Public Market, Pozorrubio, Pangasinan</t>
  </si>
  <si>
    <t>Acquisition of Tires (tubeless &amp; non tubeless)</t>
  </si>
  <si>
    <t>SVP2020-RDW-005/MG-RDW20-004 RJO - Clearing of Vegetation/Pruning of Trees at Agus 2 Dam and Instrumentation Sites.</t>
  </si>
  <si>
    <t>SVP2020-RDW-003/MG-RDW20-002 - Clearing of vegetation/pruning of trees at Pulangi 4 HEPC Dam and Instrumentation Sites</t>
  </si>
  <si>
    <t>HEAD SET</t>
  </si>
  <si>
    <t>Jetmatic</t>
  </si>
  <si>
    <t>REPAIR AND IMPROVEMENT OF ONE ( 1) UNIT 2 CLASSROOM FERRER BUILDING ESTADO ELEMENTARY SCHOOL, BRGY XI, VICTORIAS CITY NEGROS OCCIDENTAL</t>
  </si>
  <si>
    <t>PURCHASE OF SAFETY SHOES</t>
  </si>
  <si>
    <t>MOUSE PAD AND MOUSE</t>
  </si>
  <si>
    <t>CONSTRUCTION OF LOCAL GOVERNMENT OPERATION CENTER, MUNICIPAL COMPOUND, BRGY. MARVEL, CULABA, BILIRAN</t>
  </si>
  <si>
    <t>Procurement of Communication Equipment (Mobile Phones)</t>
  </si>
  <si>
    <t>Reproduction of Modules</t>
  </si>
  <si>
    <t>Geodetic Services</t>
  </si>
  <si>
    <t>Tarpaulin Printing for the 2020 Census of Population, Bato, Leyte</t>
  </si>
  <si>
    <t>procurement of Media Services</t>
  </si>
  <si>
    <t>3775-20 Procurement of Materials for the use of Quezon Cooperative Development Program; "Upscaling Cooperative Development" (Livelihood Assistance for Farmers, Women and Young Farmers)</t>
  </si>
  <si>
    <t>PROVISION FOR LR (Reproduction of Materials) 1st Quarter</t>
  </si>
  <si>
    <t>3776-20 Procurement of Marine Engine</t>
  </si>
  <si>
    <t>Printing Services for VET-2020-0457</t>
  </si>
  <si>
    <t>PIKCOT-SUPP-002020-00173 (SUPPLY AND DELIVERY OF OFFICE EQUIPMENT )</t>
  </si>
  <si>
    <t>PROCUREMENT OF MEDICAL EQUIPMENT FOR MUNICIPAL HEALTH OFFICE</t>
  </si>
  <si>
    <t>Purchase of Uninterruptible Power Supply (UPS) for use in the Municipal Engineering Office, LGU, Bato, Leyte</t>
  </si>
  <si>
    <t>100-2020-07-866 Supply and delivery of Feeds (chick booster, 25kg/sack)</t>
  </si>
  <si>
    <t>100-2020-07-861 Supply and delivery of tachometer, clutch cable, throttle cable, etc.</t>
  </si>
  <si>
    <t>100-2020-07-824 Supply and delivery of relay valve, flusher relay, brake shoe, etc.</t>
  </si>
  <si>
    <t>100-2020-07-868 Supply and delivery of AI straw (50/pack), AL Gloves, etc.</t>
  </si>
  <si>
    <t>PROCUREMENT OF PRINTING MATERIALS FOR THE PRINTING OF MODULES OF IPED BATCH 1</t>
  </si>
  <si>
    <t>IMPROVEMENT OF COVERED COURT</t>
  </si>
  <si>
    <t>100-2020-07-865 Supply and delivery of feeds ( layer mash, 50kg/sack)</t>
  </si>
  <si>
    <t>PROCUREMENT OF VARIOUS LABORATORY SUPPLIES</t>
  </si>
  <si>
    <t>Provision of Comprehensive Preventive Maintenance  and Repair Services of the Three (3) Elevator Units located at the DOLE Main Building</t>
  </si>
  <si>
    <t>Geps Shs 2020-07-0021 Materials for Modules of G12ABM</t>
  </si>
  <si>
    <t>AMP SVP-D NO: 20-07-0418 One (1) Unit Smartphone</t>
  </si>
  <si>
    <t>NP-SVP(A)-2020-017-DTQAL-REPOSTED - Procurement of Reagents for Davao Testing Quality Assurance Laboratory for CY 2020</t>
  </si>
  <si>
    <t>100-2020-06-794 Supply and delivery of ballpen (black), ballpen (blue), calculator, etc.</t>
  </si>
  <si>
    <t>AMP SVP-S NO: 20-07-0399 One (1) Lot Printing and Binding of Books: Topograpiya ng Lumbay Imus Novel 6</t>
  </si>
  <si>
    <t>AMP SVP-S NO: 20-08-0428 One (1) Lot Printing and Binding of Books: Abi Nako,  or So I Thought</t>
  </si>
  <si>
    <t>AMP SVP-S NO: 20-08-0427 One (1) Lot Printing and Binding of Books: The Ruins of Pinagbayanan</t>
  </si>
  <si>
    <t>AMP SVP-D NO: 20-08-0429 One (1) Lot Printing of Books: Legal Method Essentials 4.0</t>
  </si>
  <si>
    <t>Installation of Solar Streetlights</t>
  </si>
  <si>
    <t>Installation of Streetlights (18 units)</t>
  </si>
  <si>
    <t>Rehabilitation/ Improvement of FMR</t>
  </si>
  <si>
    <t>Construction of Drainage Canal</t>
  </si>
  <si>
    <t>AMP SVP-S NO: 20-08-0424 One (1) Lot Printing and Binding of Books: The Face of Urban Poverty in the Cinema of Brocka</t>
  </si>
  <si>
    <t>Printing of Modules Kinder to Grade 6</t>
  </si>
  <si>
    <t>AMP SVP-S NO: 20-08-0426 One (1) Lot Printing and Binding of Books - Philippine Folk Literature: An Anthology</t>
  </si>
  <si>
    <t>SVP2020-RDW-002/MG-RDW20-001 - Clearing of vegetation/pruning of trees at Agus 4 Main Dam and Matampay Dam and Instrumentation Sites</t>
  </si>
  <si>
    <t>Fencing of Multi-purpose hall</t>
  </si>
  <si>
    <t>OFFICE SUPPLIES</t>
  </si>
  <si>
    <t>GARBAGE BAG AND TRASH BIN</t>
  </si>
  <si>
    <t>Provision of Office Supplies</t>
  </si>
  <si>
    <t>Annual Periodic Health Examination for PRO 1 Casual Employees</t>
  </si>
  <si>
    <t>TUBING BLOODLINE FOR QUOTATION</t>
  </si>
  <si>
    <t>Supply and Delivery of Gemstone Processing Machines</t>
  </si>
  <si>
    <t>AMP SVP-S NO: 20-08-0423  Printing and Binding of Books - Philippine Folk Literature: The Legends (reprint)</t>
  </si>
  <si>
    <t>Annual Periodic Health Examination for PRO 1 Regular Employees</t>
  </si>
  <si>
    <t>Request for Price Quotation</t>
  </si>
  <si>
    <t>Construction of Multi-Purpose Pavement</t>
  </si>
  <si>
    <t>AMP SVP-S NO: 20-08-0425 One (1) Lot Printing and Binding of Books - Recuerdo: A Novel</t>
  </si>
  <si>
    <t>LEARNING MODULES, HEALTH KITS WITH SLM</t>
  </si>
  <si>
    <t>125305boes</t>
  </si>
  <si>
    <t>RFQ (P.R. No.) 2020-08-107</t>
  </si>
  <si>
    <t>Installation of street lights</t>
  </si>
  <si>
    <t>TRASH BIN FOR QUOTATION</t>
  </si>
  <si>
    <t>Construction of Water System</t>
  </si>
  <si>
    <t>100-2020-07-867 Supply and delivery of hand tractor.</t>
  </si>
  <si>
    <t>PROC OF CIVIL WORKS OF COMPLETION OF ROAD CONCRETING AND DRAINAGE CANAL (64 cum)</t>
  </si>
  <si>
    <t>Supply and Delivery of Laboratory Supplies for Roxas Memorial Provincial Hospital</t>
  </si>
  <si>
    <t>Procurement of Printing Supplies for the Reproduction of Self-Learning Modules (SLMs)</t>
  </si>
  <si>
    <t>Survey of Barangay Owned Lot</t>
  </si>
  <si>
    <t>REQUEST FOR QUOTATION (RFQ) R.I.S. No.: 20-34-024 Supply and Delivery of Toner Cartridge</t>
  </si>
  <si>
    <t>Construction of Deep well</t>
  </si>
  <si>
    <t>Procurement of Dietary Supplies</t>
  </si>
  <si>
    <t>CHILLED WATER PUMP FOR QUOTATION</t>
  </si>
  <si>
    <t>Supply and Installation of Signage unit and fabrication of Landmark doubled face with foundation in Alegria,Surigao del Norte</t>
  </si>
  <si>
    <t>Certificate Holder with DOH Logo</t>
  </si>
  <si>
    <t>Uninterruptible Power Supply</t>
  </si>
  <si>
    <t>Procurement of Printing Supplies for the Reproduction of Self-Learning Modules (SLMs) for the Implementation of Basic Education Learning Continuity Plan</t>
  </si>
  <si>
    <t>Supply and Delivery of I.T Equipment to be used by the Office of the Municipal Agriculture</t>
  </si>
  <si>
    <t>Procurement of Electrical Supplies for Maintenance of Municipal Street Lights</t>
  </si>
  <si>
    <t>1.5 HP SUBMERSIBLE PUMP</t>
  </si>
  <si>
    <t>REHABILITATION OF LOCAL GOVERNMENT POTABLE WATER WORKS SYSTEM</t>
  </si>
  <si>
    <t>Repair/Maintenance of Municipal Vehicle ( New Ambulance VH 1606 ) @ Samal, Bataan</t>
  </si>
  <si>
    <t>Purchase of Materials for the Rehabilitation of Drainage Canal</t>
  </si>
  <si>
    <t>PURCHASE OF 1 PACKAGE SOUND SYSTEM</t>
  </si>
  <si>
    <t>Fixture (chair)</t>
  </si>
  <si>
    <t>Supply &amp; Delivery of Consumable Materials, Labor &amp; Expertise in the Repair of Crankshaft of 260KW, Perkins of Siasi DPP (S3-SIA20-016 (Extended)</t>
  </si>
  <si>
    <t>20GIL0050(PURCHASE OF THERMOPLASTIC PAINT,DPWH-SLDEO, MAASIN CITY, SOUTHERN LEYTE)</t>
  </si>
  <si>
    <t>Construction of Water System, Brgy. Bucalan, Canlaon City</t>
  </si>
  <si>
    <t>For the Following Barangays use.</t>
  </si>
  <si>
    <t>Portable Body Pack Amplifier with Headset and Lapel</t>
  </si>
  <si>
    <t>Office Supplies for Operational use</t>
  </si>
  <si>
    <t>Alcohol 70% Isopropyl</t>
  </si>
  <si>
    <t>OFFICE TABLE FOR QUOTATION</t>
  </si>
  <si>
    <t>Supply and Delivery of Appliances</t>
  </si>
  <si>
    <t>CONSTRUCTION OF OPEN CANAL</t>
  </si>
  <si>
    <t>External Hard Drive 1TB</t>
  </si>
  <si>
    <t>Construction Supplies Handfree Handwashing</t>
  </si>
  <si>
    <t>Landscaping in front of Multi-purpose hall, Brgy. Mabigo, Canlaon City</t>
  </si>
  <si>
    <t>Constrtruction of Dugwell</t>
  </si>
  <si>
    <t>AMP SVP-D NO: 20-01-0053B One (1) Unit Branded Laptop Computer</t>
  </si>
  <si>
    <t>AMP SVP-D NO: 20-07-0412 One (1) Unit Branded Laptop Computer</t>
  </si>
  <si>
    <t>ONE-TIME GRAMMAR EDITING TOOL SUBSCRIPTION FOR 1 YEAR UNDER EMB-PPPDD-SISMS RFQ NO. EMB-SISMS.-SHOPPING-G-108-08-7-2020- PR. NO. 2020-0686</t>
  </si>
  <si>
    <t>Procurement of Three (3) Units Mechanical Ventilator</t>
  </si>
  <si>
    <t>PRINTING OF LEARNERS' MODULES</t>
  </si>
  <si>
    <t>HANDWASHING FACILITY</t>
  </si>
  <si>
    <t>Supply, Repair, Fabrication and Installation of Steelgates of Kabacan RIS (RFQ20-29)</t>
  </si>
  <si>
    <t>Installation and Fabrication of Glass Door with Screen in Building 1</t>
  </si>
  <si>
    <t>PROC-20-Paper Cups, Disposable</t>
  </si>
  <si>
    <t>purchase of 1 unit mini dump truck</t>
  </si>
  <si>
    <t>Purchase of IT Equipment and Accesorries for Office use for the conduct and participation to online/virtual activities</t>
  </si>
  <si>
    <t>Replacement of Bridge: Demonstration Br. (B02184LZ) along Kennon Rd, Tuba, Benguet</t>
  </si>
  <si>
    <t>Provision of Covid 19 Supplies</t>
  </si>
  <si>
    <t>ADMIN/NGP 11 PLATES BATTERY</t>
  </si>
  <si>
    <t>Various Inks</t>
  </si>
  <si>
    <t>P.R. No. 2020-08-0061 Procurement of Environmental Health/Safety Equipment</t>
  </si>
  <si>
    <t>Request for Quotation for 1 Unit Refurbished/Used Container Van 20-07-0431</t>
  </si>
  <si>
    <t>Request for Quotation for Labor and materials for the Fabrication of Cabinets for Surgical Office 0399</t>
  </si>
  <si>
    <t>Acquisition of Sewing Machine with Motor</t>
  </si>
  <si>
    <t>Supply and Delivery of Medical and Dental Equipment for School Clinic use at Sorsogon City Campus</t>
  </si>
  <si>
    <t>school supplies and consumable</t>
  </si>
  <si>
    <t>Purchase of Hardware Supplies for the painting of concrete fence, fabrication of soundbox, framing of tarpaulin, etc at Magallanes Campus</t>
  </si>
  <si>
    <t>PR. 20-07-295 (2020-08-276) PROCUREMENT OF CALIBRATION SERVICES FOR THE DIFFERENT EQUIPMENTS</t>
  </si>
  <si>
    <t>Request for Quotation on Other Maintenance and Operating Expenses-Mayor's Office</t>
  </si>
  <si>
    <t>Supply and Installation of Customized Kiddie Design Mural at Terminal 2 (Re-Bidding) [ris 20-78-024]</t>
  </si>
  <si>
    <t>Clonazepam 2mg tablet</t>
  </si>
  <si>
    <t>Drum Kit for DocuPrint P115w (Fuji Xerox)</t>
  </si>
  <si>
    <t>PhilSCA Students' Personal Accident Insurance Provider for SY 2020-2021</t>
  </si>
  <si>
    <t>Tires 185R 14C (Mitsubishi Ambulance)</t>
  </si>
  <si>
    <t>PROCUREMENT OF MULTICAB</t>
  </si>
  <si>
    <t>Continuation for Rehabilitation of Barangay Gymnasium Roofings and Stage Dressing Rooms</t>
  </si>
  <si>
    <t>Bid No. 20-0399 - PROCUREMENT OF OFFICE EQUIPMENT - MAGRO OPERATIONS</t>
  </si>
  <si>
    <t>Bid No. 20-0398 - PROCUREMENT OF JANITORIAL SUPPLIES - COMELEC OFFICE</t>
  </si>
  <si>
    <t>SUPPLY &amp; DELIVERY OF MATERIALS FOR THE CONSTRUCTION OF  WAITING SHEDS</t>
  </si>
  <si>
    <t>REQUEST FOR PRICE QUOTATION</t>
  </si>
  <si>
    <t>Student Guidebook</t>
  </si>
  <si>
    <t>Rice Subsidy of MLWD Regular Employees for the month of August 2020.</t>
  </si>
  <si>
    <t>Purchase &amp; Delivery of Office Supplies for the 3rd Quarter 2020</t>
  </si>
  <si>
    <t>Phenobarbital 30mg. tablet</t>
  </si>
  <si>
    <t>FACE SHIELD W/ GLASS FRAME</t>
  </si>
  <si>
    <t>AIRCON FOR QUOTATION</t>
  </si>
  <si>
    <t>9,660 ltrs Diesel for site grading, stabilization and final cover of dumpsite (Closure Plan)-Phase 1 at Barangay Candau-ay/CEO</t>
  </si>
  <si>
    <t>Acquisition of 7.5 HP Motorboat Engine</t>
  </si>
  <si>
    <t>Procurement of Construction Materials (Hardware Supplies for Victims of Bombing in Brgy. Kitango, Datu Saudi Ampatuan, Maguindanao)</t>
  </si>
  <si>
    <t>supply and Delivery of Disinfecting Solutions (Covid 19)</t>
  </si>
  <si>
    <t>Procurement of Medical Supplies for Bislig District Hospital.</t>
  </si>
  <si>
    <t>Procurement of Printing of Module of Buyo Elementary School</t>
  </si>
  <si>
    <t>PURCHASE OF FIRE TRUCK DOUBLE CAB</t>
  </si>
  <si>
    <t>Procurement and Delivery of Goods</t>
  </si>
  <si>
    <t>Flupentixol Decanoate 20mg, injection</t>
  </si>
  <si>
    <t>GASS-H-20-3057: Printing of Vegetable Production Guide, Urban Agriculture and Tarpaulins needed to create awareness and inform the general public on the various HVCDP technologies…</t>
  </si>
  <si>
    <t>Medical Hammer</t>
  </si>
  <si>
    <t>Purchase of Medicines Supplies for MHO 2020 (3rd Quarter )</t>
  </si>
  <si>
    <t>Tires 195/65 R15 (Toyota Revo)</t>
  </si>
  <si>
    <t>Lithium Carbonate 450mg, tablet</t>
  </si>
  <si>
    <t>R&amp;DR-20-3040: Procurement of 6 Units Drum Seeder needed in support to the implementation of the RICE UP Project</t>
  </si>
  <si>
    <t>MATERIALS FOR COFFIN</t>
  </si>
  <si>
    <t>Purchase of Face Shield and Coverall Suit for the protection of Vigan City Frontliners during the COVID-19 Pandemic</t>
  </si>
  <si>
    <t>NC#2020-0437-2020-0177-PR2020-0466 Procurement of Desktop, Laptop, Fire Extinguisher, Multi Function Printer, Dome Type Camera, Patch Panel, Floor Mounted Air Conditioning Unit, Computer Cubicles &amp; Ch</t>
  </si>
  <si>
    <t>Procurement of Goods for Library Books(College)</t>
  </si>
  <si>
    <t>Procurement of Goods</t>
  </si>
  <si>
    <t>IMPROVEMENT OF BRGY. HALL GROUND</t>
  </si>
  <si>
    <t>Supply and Delivery of DSLR Camera to be used by the Star Chronicle of the City College of San Fernando, Pampanga</t>
  </si>
  <si>
    <t>Catering Services for 200 Pax for Use in “Bagong Bahay para sa Bagong Buhay” Outpatient Clients Graduation Ceremony</t>
  </si>
  <si>
    <t>MULTIVITAMINS FOR CENTRAL OFFICE - REPOST</t>
  </si>
  <si>
    <t>ONE STOREY MULTI-PURPOSE BUILDING (PNP COMPOUND)</t>
  </si>
  <si>
    <t>Concreting of Barangay Road Sandayao Guihulngan City Negros Oriental(N-197-2020)</t>
  </si>
  <si>
    <t>Supply and Delivery of Active Vaccines for Provincial Health Office</t>
  </si>
  <si>
    <t>Procurement of Printing of Modules of Gabawan Elementary School</t>
  </si>
  <si>
    <t>PURCHASE OF HANGING CABINET (OPEN SHELVES 5 UNITS)</t>
  </si>
  <si>
    <t>IMPROVEMENT OF PROPER SAPID BRGY ROAD (WIDENING BLOCK) , SAPID, MANKAYAN, BENGUET</t>
  </si>
  <si>
    <t>Bid No. 20-0400 - PROCUREMENT OF OFFICE EQUIPMENT - MACCO OPERATIONS</t>
  </si>
  <si>
    <t>Supply &amp; Delivery of Vehicle Parts and Lubricants for repair &amp; maintenance of CDRRM Office Vehicles (CDRRMO).</t>
  </si>
  <si>
    <t>Purchase of 100 watt radio transmitter of UPV Humanities ( RFQ 2020-4244)</t>
  </si>
  <si>
    <t>Construction of Permanent Danger Zone Warning Signage (Cluster 1), Province of Albay (PR NO. 300-20-07-0559)</t>
  </si>
  <si>
    <t>Supply and delivery of office supplies</t>
  </si>
  <si>
    <t>Supply and Delivery of Forest Tree and Fruit Tree Seedlings</t>
  </si>
  <si>
    <t>PROC-20- Portable High Efficiency Particulate Air Filter Machine</t>
  </si>
  <si>
    <t>Procurement of One (1) Unit MOTORCYCLE for Use of the Provincial Inspectorate Team</t>
  </si>
  <si>
    <t>Const. Material DICT Guard House</t>
  </si>
  <si>
    <t>Purchase of Desktop Computers of OCVPD ( RFQ 2020-4241)</t>
  </si>
  <si>
    <t>Supply/Delivery of  IT Equipment for DILG Office  (PR# 20-08-0762)</t>
  </si>
  <si>
    <t>Supply and Delivery of Fruit Tree Seddlings</t>
  </si>
  <si>
    <t>Invitation to Apply for Eligibility and to Bid</t>
  </si>
  <si>
    <t>2020 Census of Population 4th Level Training</t>
  </si>
  <si>
    <t>REHABILITATION OF BARANGAY HEALTH CENTER</t>
  </si>
  <si>
    <t>PROCUREMENT OF MEALS AND SNACKS,HOTEL ACCOMODATION,VAN RENTAL AND MATERIALS FOR CULTURAL MAPPING</t>
  </si>
  <si>
    <t>Improvement of Small Water Impounding Project</t>
  </si>
  <si>
    <t>SUPPLY AND DELIVERY OF VARIOUS MEDICINES FOR TREATMENT AND VACCINATION OF ANIMALS</t>
  </si>
  <si>
    <t>RFQ-GS-20200724-01 - 1 Lot Supply, Delivery and Installation of Signages for LANDBANK Aparri Branch Offsite ATMs</t>
  </si>
  <si>
    <t>Procurement of Tablets/ Ipad</t>
  </si>
  <si>
    <t>Purchase of Various Goods</t>
  </si>
  <si>
    <t>REPAIR OF ISUZU CROSSWIND SERVICE VEHICLE OF ORDFP6</t>
  </si>
  <si>
    <t>PROCUREMENT OF OFFICE SUPPLIES FOR SB</t>
  </si>
  <si>
    <t>PURCHASE OF HARDWARE MATERIALS FOR THE CONSTRUCTION OF EVACUATION CENTER PHASE IV OF BARANGAY PEREZ,SIBAGAT,AGUSAN DEL SUR</t>
  </si>
  <si>
    <t>Repair, Calibration and Preventive Maintenance of Defibrillator and ECG Machine for Sen. Gerardo M. Roxas District Hospital</t>
  </si>
  <si>
    <t>C20204220 Customized Face Mask for diff municipalities and cities of DDN</t>
  </si>
  <si>
    <t>Water Testing Kit</t>
  </si>
  <si>
    <t>Purchase of office equipment (cash vault door) of CTO under PR#2020-06-2674</t>
  </si>
  <si>
    <t>Invitation to Bid (Multicab Patrol Car Type (2nd Rebid))</t>
  </si>
  <si>
    <t>Procurement of School and Office Supplies for April to June 2020 of Libona NHS-Senior High School-Amended</t>
  </si>
  <si>
    <t>Provision of Canopy for Oshkosh Trucks</t>
  </si>
  <si>
    <t>SY 2020-2021 Reproduction of ECCS First Quarter Modules</t>
  </si>
  <si>
    <t>CONSTRUCTION OF ONE (1) CLASSROOM TEMPORARY LEARNING SHELTER (TLS) AT BAGUMBAYAN CAMPUS</t>
  </si>
  <si>
    <t>R&amp;DR-20-3042: Procurement of 24 Units Knapsack Sprayer needed in support to the implementation of the RICE UP Project</t>
  </si>
  <si>
    <t>Procurement of Concreting of Barangay Road @ Barangay- Datu Tumanggong</t>
  </si>
  <si>
    <t>Purchase of Military Police &amp; Traffic Supplies</t>
  </si>
  <si>
    <t>SUBSCRIPTION OF ADDITIONAL INTERNET BANDWIDTH</t>
  </si>
  <si>
    <t>Acquisition of Pedicab (small transport)</t>
  </si>
  <si>
    <t>Repair/Rehabilitation of Dagupan City Post Office, Dagupan City,  Pangasinan</t>
  </si>
  <si>
    <t>COVID ISOLATION CENTER PHASE 2 AT NEW DISTRICT JAIL OF SAN FERNANDO PAMPANGA</t>
  </si>
  <si>
    <t>Procurement of MEALS for Use in the Implementation of Drug-Free Work Policy and Implementation of PADAC Activities</t>
  </si>
  <si>
    <t>Purchase of Materials for the Const. of Brgy. Multi Purpose Hall - Continuation, Brgy. Malag-it, Lambunao, Iloilo</t>
  </si>
  <si>
    <t>SUPPLY AND DELIVERY OF VARIOUS MECHANICAL SPARE PARTS FOR 163KW PERKINS INTENDED FOR CALUYA DPP</t>
  </si>
  <si>
    <t>Construction/Rehabilitation of Road at Brgy. Pahilahan</t>
  </si>
  <si>
    <t>Purchase of Ambulance, Gerona, Tarlac</t>
  </si>
  <si>
    <t>Provision of  Self-Learning Modules Materials for Eight Learning Areas.</t>
  </si>
  <si>
    <t>PURCHASE OF (1) UNIT LAPTOP AND (1) UNIT PRINTER TO BE USED AT PDMO OFFICE</t>
  </si>
  <si>
    <t>Purchase of 3-in-1 Printer</t>
  </si>
  <si>
    <t>Procurement of Office Supplies and Materials of Malidong National High School</t>
  </si>
  <si>
    <t>Maintenance of Municipal Vehicle (Patrol)</t>
  </si>
  <si>
    <t>SVP 1261-2020 RM-Roof stand</t>
  </si>
  <si>
    <t>Supply of Office Supplies for PEO</t>
  </si>
  <si>
    <t>Production/ Layout, Printing and delivery of Tarpaulin Streamers with Various Sizes for DOH  WV CHD Special Events/Activities   RFQ NO 2020-093</t>
  </si>
  <si>
    <t>Request for Quotation Month of July 2020</t>
  </si>
  <si>
    <t>PROCUREMENT AND DELIVERY OF CONSTRUCTION MATERIAL FOR ROAD CONCRETING AT TABERNA-BUCANA</t>
  </si>
  <si>
    <t>Bidding for the Supply and Delivery of 5,500 Sacks (25kgs) of Rice.</t>
  </si>
  <si>
    <t>Construction of Two) (2) unit comfort room-Sobol Elementary School, San Fabian, Pangasinan</t>
  </si>
  <si>
    <t>SVP 1264-2020 Medicines</t>
  </si>
  <si>
    <t>Supply &amp; Delivery of OTHER PPE</t>
  </si>
  <si>
    <t>Elias A. Salvador National High School-Materials for Learning Modules</t>
  </si>
  <si>
    <t>Supply and delivery of anti-Covid Kits (face shield et. al) for official use of DOLE RO5 and PFO's</t>
  </si>
  <si>
    <t>Provision of van rental to service General Santos Branch Employees from August to December 2020</t>
  </si>
  <si>
    <t>Supply and Delivery of Various Caster Wheel and Hinges for the Use of the University Maintenance c/o FMSS Office</t>
  </si>
  <si>
    <t>Procurement of Monoblock Table and Chairs w/ PR # 947</t>
  </si>
  <si>
    <t>Meals and Snacks (AM&amp;PM) Annual Strategic Planning ang Budgeting Workshop CY: 2021 @Municipal Conference Room August 18,19 &amp; 20,2020</t>
  </si>
  <si>
    <t>Improvement of Multi-Purpose Building at Poblacion, Mansalay, Orienal Mindoro</t>
  </si>
  <si>
    <t>Supply and Delivery of HEPATITIS B IMMUNOGLOBULIN (HUMAN), 0.5 ml IM</t>
  </si>
  <si>
    <t>30 pcs. Height/Length boards</t>
  </si>
  <si>
    <t>INVITATION TO BID REPRODUCTION OF LEARNERS MODULES</t>
  </si>
  <si>
    <t>FOR THE REGIONAL OFFICE USE</t>
  </si>
  <si>
    <t>Concreting/Rehabilitation of Local Road at Brgy. Amucao and Brgy. Batang-Batang, Tarlac City. B2020-101-A</t>
  </si>
  <si>
    <t>PROPOSED REHABILITATION AND UPGRADING OF EXISTING STREETLIGHTING ALONG PONTE ST., LOCATED AT BRGY. SINGKAMAS/TEJEROS/STA. CRUZ, MAKATI CITY</t>
  </si>
  <si>
    <t>Construction/Rehabilitation of Road at Brgy. Tagbakin</t>
  </si>
  <si>
    <t>Improvement of Health Facility and Structure</t>
  </si>
  <si>
    <t>Procurement of Service for the Video Production for the Development of Incubation Program Module</t>
  </si>
  <si>
    <t>MA-A2M20-025 Insulating Varnish Red</t>
  </si>
  <si>
    <t>to purchase Laboratory supplies to be use at Pila RHU</t>
  </si>
  <si>
    <t>CONSTRUCTION OF DAY CARE CENTER</t>
  </si>
  <si>
    <t>PURCHASE OF 5 UNITS DUPLICATING MACHINE FOR THE REPRODUCTION OF LEARNING MATERIALS OF IMPASUGONG I &amp; II, IMPASUGONG, BUKIDNON</t>
  </si>
  <si>
    <t>Procurement of Catering Services</t>
  </si>
  <si>
    <t>Purchase of Electrical Materials used for the Electrical Installation at Kalayaan to Zone 6, Brgy. Ampid I, San Mateo, Rizal</t>
  </si>
  <si>
    <t>PROCUREMENT AND DELIVERY OF CONSTRUCTION MATERIAL FOR CONSTRUCTION OF OVAL EL NIDO CENTRAL SCHOOL</t>
  </si>
  <si>
    <t>PR NO. 20-05-179 (2020-05-171 3RD QUOTE) PROCUREMENT OF PVC SANITARY PIPE WITH HUB</t>
  </si>
  <si>
    <t>For use in City Mayor's Office, this city.</t>
  </si>
  <si>
    <t>CONTRUCTION OF BARANGAY BOUNDARY ARC</t>
  </si>
  <si>
    <t>Catering Services</t>
  </si>
  <si>
    <t>Procurement of Newspaper Publication of Three (3) SP Ordinances</t>
  </si>
  <si>
    <t>Grocery Items for PNP Office for the 3rd Quarter of CY 2020</t>
  </si>
  <si>
    <t>IMPROVEMENT OF MULTI-PURPOSE BUILDING (LOOC, JAGNA)</t>
  </si>
  <si>
    <t>Supply, Delivery and installation of Booster Pump</t>
  </si>
  <si>
    <t>Purchase of Office Supplies - Mayor's Office</t>
  </si>
  <si>
    <t>Procurement of Signages and Stickers</t>
  </si>
  <si>
    <t>SVP 1267-2020 Medical supplies</t>
  </si>
  <si>
    <t>Supply and Delivery of 10,000 Pieces Sticker</t>
  </si>
  <si>
    <t>Improvement of Drainage Canal, Poblacion, Madalag, Aklan</t>
  </si>
  <si>
    <t>PROCUREMENT OF SURVEY WORKS FOR SOLID WASTE MANAGEMENT FACILITY</t>
  </si>
  <si>
    <t>OPLAN SAGIP BUHAY (3RD QUARTER)</t>
  </si>
  <si>
    <t>PROCUREMENT AND DELIVERY OF COPY PAPER FOR MODULE PRINTING</t>
  </si>
  <si>
    <t>PURCHASE OF HOSPITAL SUPPLIES - CMCH, CALAPE, BOHOL</t>
  </si>
  <si>
    <t>Supply and Materials for the establishment of 5 units 8m x 6m Bamboo Raft Oyster Culture Project in Zamboanga Sibugay Province.</t>
  </si>
  <si>
    <t>Purchase of various materials for the repair/maintenance of various vehicles/heavy equipment use in LGU Villasis, Pangasinan</t>
  </si>
  <si>
    <t>Procurement of training materials in the conduct of training  in Organic Agriculture Production NC II.</t>
  </si>
  <si>
    <t>Renovation of Spillway</t>
  </si>
  <si>
    <t>MA-A2M20-036 Thinner, Insulating Varnish</t>
  </si>
  <si>
    <t>For use in the Office of the City Treasurer, this city.</t>
  </si>
  <si>
    <t>Representation Expenses (AFPSEO-PhP470,415.00)</t>
  </si>
  <si>
    <t>One Job Order for Freight and Handling services from receipt of Purchase Order until December 31, 2020 or until the total ABC is consumed whichever comes first for cargoes from DOH-CV CHD Warehouse to</t>
  </si>
  <si>
    <t>Purchase of Teachers Table use for Colegio de Getafe</t>
  </si>
  <si>
    <t>Purchase of Heavy Duty Copier for use of CEEDMO</t>
  </si>
  <si>
    <t>Provision for additional electrical supplies and and materials RFQ NO 2020-094</t>
  </si>
  <si>
    <t>Supply and Delivery of Various Office Supplies</t>
  </si>
  <si>
    <t>Procurement of construction materials for Improvement if BFP Bldg. LGU Compound-Sta. Maria</t>
  </si>
  <si>
    <t>CONCRETING OF BARANGAY STREET, Brgy. Mabuhay, Can-avid Eastern Samar</t>
  </si>
  <si>
    <t>Repair/Maintenance of Barangay Hall</t>
  </si>
  <si>
    <t>PURCHASE OF COMPUTER SET</t>
  </si>
  <si>
    <t>Request for Quotation for the Provision of General merchandise to be used during the conduct of Training on Mushroom Production (Phase I) and Training on Mushroom Processing and Marketing (Phase II) (</t>
  </si>
  <si>
    <t>Rehabilitation of Multi-Purpose Hall</t>
  </si>
  <si>
    <t>Procurement of Catering Services ENHANCEMENT PROGRAM FOR RBO'S THROUGH ICM ON VEGETABLES</t>
  </si>
  <si>
    <t>MATERIALS FOR COVID CALAMITY/ISOLATION BUILDING (MALBOG, JAGNA)</t>
  </si>
  <si>
    <t>MAXXIS Tire 195R14 to be use L300 vehicle service of MSWD</t>
  </si>
  <si>
    <t>PES Purchase of Various Office Supplies available to PS 2020</t>
  </si>
  <si>
    <t>Request for Quotation of Water Refilling Equipment at NORSU Main Campus</t>
  </si>
  <si>
    <t>Construction of Bridge,Talon, San Luis, Batangas</t>
  </si>
  <si>
    <t>ITB-B16-2020</t>
  </si>
  <si>
    <t>Small Value Procurement for the Supply and Delivery of Office Supplies.</t>
  </si>
  <si>
    <t>Procurement of T-Shirt w/ PR # 944</t>
  </si>
  <si>
    <t>Supply &amp; Delivery of IT Equipment</t>
  </si>
  <si>
    <t>Procurement of Office Supplies-BOnd Papers</t>
  </si>
  <si>
    <t>Supply and Delivery of Photocopier</t>
  </si>
  <si>
    <t>purchase of long bond paper for printing of learning modules for gr 11 and 12</t>
  </si>
  <si>
    <t>Construction of jetmatic pump</t>
  </si>
  <si>
    <t>For the use of Community-Based and Rehabilitation Program.</t>
  </si>
  <si>
    <t>Hiring of Service Provider for the Maintenance and  Calibration of Various Medical Equipment</t>
  </si>
  <si>
    <t>Furnitures and Fixtures for FASD offices used</t>
  </si>
  <si>
    <t>PROCUREMENT OF DIESEL</t>
  </si>
  <si>
    <t>Procurement of construction materials for Road Concreting at Sitio Minanga, Sto. Domingo</t>
  </si>
  <si>
    <t>REPRODUCTION OF MODULES FOR TAGOLOAN NATIONAL HIGH SCHOOL, TAGOLOAN, MISAMIS ORIENTAL</t>
  </si>
  <si>
    <t>Supply &amp; Delivery of GREENHOUSE - Materials and installation with complete accessories &amp; irrigation facilities</t>
  </si>
  <si>
    <t>Installation of CCTV</t>
  </si>
  <si>
    <t>Supply &amp; Installation of roll-up shade for Assessors Office</t>
  </si>
  <si>
    <t>PROPOSED REHABILITATION AND UPGRADING OF EXISTING STREETLIGHTING ALONG P. MEDINA ST., LOCATED AT BRGY. PIO DEL PILAR, MAKATI CITY</t>
  </si>
  <si>
    <t>Procurement of Service for the Marketing Production and Management System in Boosting the TBI 4.0-KITE Programs and Services</t>
  </si>
  <si>
    <t>CONTRACT ID # 20-08-110 - PROPOSED COMPLETION OF MALANGAS RHU</t>
  </si>
  <si>
    <t>Purchase of PVC Gang Chair</t>
  </si>
  <si>
    <t>PROCUREMENT AND DELIVERY OF CONSTRUCTION MATERIAL FOR ROAD CONCRETING AT MANDALADA, SIBALTAN</t>
  </si>
  <si>
    <t>RFQ for the Cost of Various Supplies</t>
  </si>
  <si>
    <t>For use in Emergency Response Services ambulance, this City.</t>
  </si>
  <si>
    <t>Supply &amp; Delivery of Office Supplies</t>
  </si>
  <si>
    <t>Supply and Delivery of Various Sizes for Gauze Sterile</t>
  </si>
  <si>
    <t>Supply and delivery of Ethyl Alcohol as per PR# 2019-11-4584</t>
  </si>
  <si>
    <t>Purchase of Tablet PC and Accessories for use during Webinars</t>
  </si>
  <si>
    <t>Supply and Delivery of Four (4) units Printer per PR# 2020-08-0418</t>
  </si>
  <si>
    <t>Printing and Delivery of IATF / POSO Citation Tickets</t>
  </si>
  <si>
    <t>1 Lot Various Repairs at the Currency Operations Division</t>
  </si>
  <si>
    <t>PROCUREMENT OF REPAIR &amp; REPLACEMENT OF WORN OUT PARTS FOR TOYOTA</t>
  </si>
  <si>
    <t>Purhase of Toner Genuine RFQ NO 2020-095</t>
  </si>
  <si>
    <t>CONTRACT ID # 20-08-109 - PROPOSED COMPLETION OF HALFWAY HOUSE AT ROXAS RHU</t>
  </si>
  <si>
    <t>PROPOSED REHABILITATION AND UPGRADING OF EXISTING STREETLIGHTING ALONG PASONG TIRAD ST., LOCATED AT BRGY. LA PAZ/TEJEROS, MAKATI CITY</t>
  </si>
  <si>
    <t>For use in City Veterinary Office this City.</t>
  </si>
  <si>
    <t>Production and Printing of DOH WV CHD Annual Report and Newsletter RFQ NO 2020-100</t>
  </si>
  <si>
    <t>Procurement of construction materials for Concreting of Farm to Market Road, Laya</t>
  </si>
  <si>
    <t>PROPOSED REHABILITATION AND UPGRADING OF EXISTING STREETLIGHTING ALONG DON CHINO ROCES AVENUE LOCATED AT VARIOUS BARANGAYS OF MAKATI CITY</t>
  </si>
  <si>
    <t>supply and delivery of 300 pcks  Surgical bonnet and 320 gals alcohol 70%</t>
  </si>
  <si>
    <t>Procurement of Catering services for the Release of Social pension.</t>
  </si>
  <si>
    <t>Supply and Delivery of Various Construction Supplies and Equipment for the Use of Facilities Management and Sustainability Services</t>
  </si>
  <si>
    <t>Supply &amp; Delivery of Vehicle Spare Parts</t>
  </si>
  <si>
    <t>PR # 7020 WATER CRAFT SPEED BOAT</t>
  </si>
  <si>
    <t>INVITATION TO BID FOR Procurement of Construction Materials for Construction of Rural Health Unit II</t>
  </si>
  <si>
    <t>IMPROVEMENT OF FARMER'S MULTI-PURPOSE BUILDING AND FARMERS PUBLIC MARKET</t>
  </si>
  <si>
    <t>RFQ - Procurement of Goods: Janitorial Supplies for the use of CEEO-Admin (PR#100-20-08-0086)</t>
  </si>
  <si>
    <t>procurement of Laptop</t>
  </si>
  <si>
    <t>Catering Services to be served during the Coastal Resource Management Workshop and Planning on August 17-21, 2020</t>
  </si>
  <si>
    <t>JUNIOR HIGH SCHOOL SUPPLIES FOR MODULE REPRODUCTION</t>
  </si>
  <si>
    <t>CONCRETING OF BARANGAY ROAD, BUGHO, LOBOC, BOHOL</t>
  </si>
  <si>
    <t>Supply and Delivery of 13 pcs. Executive Chairs</t>
  </si>
  <si>
    <t>PURCHASE OF VARIOUS PPEs TO PROTECT WORKFORCE FROM THE COVID-19 PANDEMIC AND PROMOTE THE WELFARE OF THE AGENCY</t>
  </si>
  <si>
    <t>PROCUREMENT OF VARIOUS ICT EQUIPMENT</t>
  </si>
  <si>
    <t>RFQ 3RD Q OFFICE AND SCHOOL SUPPLIES</t>
  </si>
  <si>
    <t>Purchase of Computer set w/complete Accessories</t>
  </si>
  <si>
    <t>BLGU-PAGSANGAN-AL-01-2020 CONCRETING OF BARANGAY PATHWAY PHASE II</t>
  </si>
  <si>
    <t>PROPOSED ROAD IMPROVEMENT OF PAGKAKAISA ST., LOCATED AT BRGY. KASILAWAN, MAKATI CITY</t>
  </si>
  <si>
    <t>Purchase and Installation of Rice Mill</t>
  </si>
  <si>
    <t>Invitation to Bid Construction of LIGA Ext. Hall</t>
  </si>
  <si>
    <t>For use in the operations of the City Tourism Vehicle Mirage SAA-6142.</t>
  </si>
  <si>
    <t>SUPPLY AND DELIVERY OF MATERIALS FOR THE CONSTRUCTION OF MULTI-PURPOSE HALL, SITIO BALAAS, IMPALUTAO, IMPASUGONG, BUKIDNON</t>
  </si>
  <si>
    <t>IMPROVEMENT OF HEALTH SANITATION FACILITY</t>
  </si>
  <si>
    <t>Purchase of Various Materials for Construction of Batallon Advance Command Post (Provision of Electrical Materials)</t>
  </si>
  <si>
    <t>Supply and Delivery of Drugs &amp; Medicines for Medical Mission's use of patients identified in ELCAC Task force for the Province</t>
  </si>
  <si>
    <t>SUPPLY AND DELIVERY OF FOOD FOR THE MONITORING TEAM AND CHECKPOINT PESONNEL DURING MGCQ NCOV PANDEMIC</t>
  </si>
  <si>
    <t>Procurement of Agricultural Product &amp; Equipment for Agri -Program in response to COvid -19</t>
  </si>
  <si>
    <t>IMPROVEMENT AND MAINTENANCE OF AMADEO PUBLIC MARKET LOCATED @ BRGY. BUCAL, AMADEO, CAVITE</t>
  </si>
  <si>
    <t>Supply and Delivery of Automated Water Analyzer to be used by the Municipal Health Office</t>
  </si>
  <si>
    <t>Procurement of materials for the repair and maintenance of backhoe (Komatsu)</t>
  </si>
  <si>
    <t>Rental of Equipment to be used in Slope Protection at Poblacion Alto</t>
  </si>
  <si>
    <t>Procurement of Diesel for Transportation of LSI, ROF &amp; ROR for the Month of August 2020</t>
  </si>
  <si>
    <t>RFQ expandable plastic bag</t>
  </si>
  <si>
    <t>Supply and Delivery of Medical Supplies and Consumables</t>
  </si>
  <si>
    <t>Supply and Delivery of Office Equipment for Sangguniang Panglalawigan use</t>
  </si>
  <si>
    <t>Training on Urban Gardening with extension support at Carigara, Leyte on September 16-18, 2020 (Services &amp; Starter kit)</t>
  </si>
  <si>
    <t>Supply and delivery of fuel for Mun. Vice Mayor's Office vehicles use.</t>
  </si>
  <si>
    <t>Supply and Delivery of  Copy Printer Ink, black for RISO</t>
  </si>
  <si>
    <t>SENIOR HIGH SCHOOL SUPPLIES FOR MODULE REPRODUCTION</t>
  </si>
  <si>
    <t>Printing and Delivery of Various Registry Card for use at the Tarlac City Treasurer's Office</t>
  </si>
  <si>
    <t>Prov. of Labor and Mat. for the Construction of Two (2) Units Small Water Impounding System (SWIS) with Storage Capacity of 37.50 cu. m. each to be constructed in Sitio Hot Spring, Asinga Via, Baggao,</t>
  </si>
  <si>
    <t>Purchase of Materials for Rehab. of MPB/Partition of BAC and HRMO Office, Alicia, Bohol</t>
  </si>
  <si>
    <t>Supply/Delivery of Conference Table for CTE</t>
  </si>
  <si>
    <t>140 pcs. Enamel paints</t>
  </si>
  <si>
    <t>Repair of Day Care Center with Feeding Area at Bangbang Pinamalayan Or. Mindoro and Rehabilitation of Day Care Center, Sta. Isabel, Pinamalayan, Or. Mindoro</t>
  </si>
  <si>
    <t>Procurement of Vehicle Repair and Maintenance under P.R.Nos. 1886-2020(City Environment &amp; Natural Resources Office- City Parks and Waterways Services Division),etc.-1Lot.</t>
  </si>
  <si>
    <t>Assorted Materials for the Improvement of San Andres Drainage</t>
  </si>
  <si>
    <t>REPLACEMENT OF TRACTOR TIRES AND BATTERY</t>
  </si>
  <si>
    <t>Supply and Delivery of Various Sizes for Sterilizing flat pouches</t>
  </si>
  <si>
    <t>To be used in the operation of the Vice Mayor's Office.</t>
  </si>
  <si>
    <t>Supply and Delivery of Materials for the Installation of Water System at Aruga Birthing Homes</t>
  </si>
  <si>
    <t>Customized Bags for the 2019 ASPBI</t>
  </si>
  <si>
    <t>Purchase of Refrigerator</t>
  </si>
  <si>
    <t>2020-07-1126 "Procurement of 5 box Typhoid Rapid Test Kit, etc for DMDTMH"</t>
  </si>
  <si>
    <t>Procurement of Construction Materials</t>
  </si>
  <si>
    <t>SUPPLY AND DELIVERY OF ANIMAL SUPPLIES FOR DISEASE SURVEILLANCE, PREVENTION AND CONTROL PROGRAM</t>
  </si>
  <si>
    <t>Supply and Delivery of Medical Equipment</t>
  </si>
  <si>
    <t>PROCUREMENT FOR FOOD, CATERING SERVICES AND VENUE FOR DEPED COMPUTERIZATION PROGRAM (DCP) MONITORING AND EVALUATION AND DISTRICT/MUNICIPAL INFORMATION AND COMMUNICATIONS TECHNOLOGY COORDINATORS CONSUL</t>
  </si>
  <si>
    <t>Supply and Delivery of T-Shirt</t>
  </si>
  <si>
    <t>Spare Parts for Heavy Equipment for use of PEPO for the Replacement of Worn Out Parts</t>
  </si>
  <si>
    <t>PROCUREMENT OF VARIOUS EARLY WARNING SYSTEM/ALARM FOR CDRRMC COMMAND/OPERATION CENTER</t>
  </si>
  <si>
    <t>2020-07-1125 "Procurement of 600 amp. Diazepam 5mg/ml x 2ml, etc. for MOPH"</t>
  </si>
  <si>
    <t>PROPOSED ROAD IMPROVEMENT FOR M. ESTRELLA ST. (VILLENA ST.), LOCATED AT BRGY. CARMONA, MAKATI CITY</t>
  </si>
  <si>
    <t>Acquisition of Two Units Mini Dump Truck (Garbage Truck)</t>
  </si>
  <si>
    <t>Procurement of Office supplies of Sta. Teresita Elementary School</t>
  </si>
  <si>
    <t>MAINTENANCE OF MUNICIPAL HALL, POBLACION, IMPASUGONG, BUKIDNON</t>
  </si>
  <si>
    <t>For use in city Veterinary Office for the Consumption of Boars, Sows, gilts.</t>
  </si>
  <si>
    <t>CONSTRUCTION OF MULTI - PURPOSE BUILDING, DISASTER OPERATION CENTER</t>
  </si>
  <si>
    <t>Provision of meals &amp; snacks to be served during the presentation of R&amp;D Proposal for FY2020 at CLIARC, Paraiso, Tarlac with PR#2020-08-05-34 and ABC of P60,000.00</t>
  </si>
  <si>
    <t>Supply/Delivery of  Tire for Provision of Support to Civilian Auxilliary Army Group and to conduct Security/Patrol and Combal Operation  (PR# 20-08-0768)</t>
  </si>
  <si>
    <t>Supply and Delivery Desktop Computer, Intel i7</t>
  </si>
  <si>
    <t>Repair and Maintenance of Land Transport Vehicle</t>
  </si>
  <si>
    <t>Supply and Delivery of Diesel Fuel for use of 2nd District SP Members</t>
  </si>
  <si>
    <t>Printing Service for the Module Reproduction of Macanhan Elementary School</t>
  </si>
  <si>
    <t>Partition of Framing Wall at Personnel Section</t>
  </si>
  <si>
    <t>550 pcs. Printed T-shirt</t>
  </si>
  <si>
    <t>SUPPLY AND DELIVERY OF GENERATOR AND AIRCON FOR USE IN DICT NUEVA VIZCAYA PROVINCIAL TECH4ED CENTER</t>
  </si>
  <si>
    <t>Supply &amp; Delivery of Construction Materials for the Concreting of School Mini Road of LNCHS Compound</t>
  </si>
  <si>
    <t>MAINTENANCE OF STREETLIGHTING @ BRGY. MAITIM, AMADEO, CAVITE</t>
  </si>
  <si>
    <t>KIANGAN PUBLIC MARKET CONTINUATION  IMPROVEMENT OF KIANGAN PUBLIC MARKET</t>
  </si>
  <si>
    <t>HP Toners for Civil Registration Services Division</t>
  </si>
  <si>
    <t>Printing of Manuals</t>
  </si>
  <si>
    <t>PROCUREMENT FOR MEALS AND SNACKS, VENUE AND ACCOMMODATION</t>
  </si>
  <si>
    <t>PROCUREMENT OF 1 UNIT MOTORCYCLE</t>
  </si>
  <si>
    <t>Acquisition of 1 Unit Brand New Ambulance</t>
  </si>
  <si>
    <t>procurement of Printer</t>
  </si>
  <si>
    <t>FURNISHING &amp; DELIVERY OF MATERIALS FOR THE IMPROVEMENT OF CLIENTELE PARKING AREA INFRONT OF MTH</t>
  </si>
  <si>
    <t>2020-07-1118 "Procurement of 769 vial Purified Vero Cell Rabies Vaccine for MOPH"</t>
  </si>
  <si>
    <t>“Acquisition of One (1) Unit Supply, Delivery and Installation of Gas Chromatography-Mass Spectrometry (GCMS)”</t>
  </si>
  <si>
    <t>PR#20-08-0383 Repair and Maintenance of City Hall Vehicle</t>
  </si>
  <si>
    <t>SUPPLY AND DELIVERY OF VARIOUS MECHANICAL SPARE PARTS FOR THE OVERHAULING OF 2X135HP CUMMINS AUXILIARY GENERATOR OF NPC TUGBOAT 1</t>
  </si>
  <si>
    <t>Supply and Delivery of Gasoline/Diesel for the Equipment used in Slope Protection at Poblacion Alto</t>
  </si>
  <si>
    <t>Pouring of Concrete humps Porac, Pampanga</t>
  </si>
  <si>
    <t>Procurement of Rescue Supplies and Equipment for BFP</t>
  </si>
  <si>
    <t>Furnishing &amp; Delivery of Office Supplies &amp; Equipments</t>
  </si>
  <si>
    <t>Construction of Bench Type Niche at Brgy. Sampaloc 1, Sariaya, Quezon</t>
  </si>
  <si>
    <t>REQUEST FOR QUOTATION FOR USE OF NIA SCIMO</t>
  </si>
  <si>
    <t>REPRODUCTION OF MODULES</t>
  </si>
  <si>
    <t>SUPPLY AND DELIVERY OF VARIOUS SUPPLIES AND MATERIALS/EQUIPMENT FOR TANAUAN I CENTRAL SCHOOL</t>
  </si>
  <si>
    <t>Supply and Delivery of Stainless Steel Bidet Set</t>
  </si>
  <si>
    <t>Purchase of 5 units Laptop (SBO)</t>
  </si>
  <si>
    <t>300 lengths Corrugated def. bars 12mm</t>
  </si>
  <si>
    <t>Supply and Delivery of Acrylic Safety Shield and Table</t>
  </si>
  <si>
    <t>P.R NO. 200-2020-08-0015 LAPTOP USE FOR DELIVERY OF CLASSROOM INSTRUCTION OF GABALDON ELEMENTARY SCHOOL</t>
  </si>
  <si>
    <t>Repair / Improvement of City Prosecutor's Office, Provincial	Capitol Compound, Surigao City.</t>
  </si>
  <si>
    <t>Printing Services for the ASPBI and SICT Primer</t>
  </si>
  <si>
    <t>(P.R. # 20-07-015) Purchase of 2 pcs – Flashlight	And Three (3) other items for Planning &amp; Design Section Use (for BMS), Cebu City</t>
  </si>
  <si>
    <t>Procurement of Labor &amp; Spare Parts for the Repair and Maintenance of MUNICIPAL COMPACTOR 2</t>
  </si>
  <si>
    <t>SUPPLY AND DELIVERY | ADVOCACY VEST (BAC RFQ 20-584 , DRMD)</t>
  </si>
  <si>
    <t>Purchase of cabinet with drawer &amp; swing cover to be used in the Municipal Tourism Office of Bauan, Batangas</t>
  </si>
  <si>
    <t>2020-176-I PROCUREMENT OF CATERING SERVICES FOR IDS, PMED, RAFC AND SAAD/CORN/GAD PROGRAM, RESEARCH AND REGULATORY DIVISION IN DAVAO REGION CY 2020</t>
  </si>
  <si>
    <t>Supply and Delivery of Oil Sae 15w-40 and ATF ( G-095-0552-20 )</t>
  </si>
  <si>
    <t>PROCUREMENT MATERIALS  FOR THE MODULES</t>
  </si>
  <si>
    <t>Improvement of Public Park (Finishing Works) Manibaug Libutad</t>
  </si>
  <si>
    <t>For use of City Social Welfare &amp; Dev't. Office, S.C.</t>
  </si>
  <si>
    <t>Rehabilitation and Improvement of Brgy. Road along Boy-Utan to Payocpoc Norte Este Road, Bauang</t>
  </si>
  <si>
    <t>SUPPLY AND DELIVERY OF VARIOUS DRUGS AND MEDICINES - I.V./I.M. Preparation</t>
  </si>
  <si>
    <t>Construction of Overflow R.C. Pipe Culvert</t>
  </si>
  <si>
    <t>Repair and Maintenance of Montero Sports - Materials</t>
  </si>
  <si>
    <t>Flu Vaccine</t>
  </si>
  <si>
    <t>Supply and Delivery of Computerized Maintenance Management System with One (1) Desktop Computer</t>
  </si>
  <si>
    <t>Supply and Delivery of IT Equipment for University Health Services</t>
  </si>
  <si>
    <t>PROCUREMENT OF ONE (1) LOT SUPPLY LABOR AND MATERIALS FOR THE CONSTRUCTION OF FOOTBRIDGE BRGY. KILING, TANAUAN, LEYTE</t>
  </si>
  <si>
    <t>Surveying services (27.5ha relocation survey)</t>
  </si>
  <si>
    <t>Supply and Delivery of Materials for the Continuation Construction of Concrete Benches of Multi-Purpose Building &amp; Evacuation Center</t>
  </si>
  <si>
    <t>PURCHASE OF OFFICE SUPPLIES</t>
  </si>
  <si>
    <t>FINGERPRINT TIME ATTENDANCE AND ACCESS CONTROL TERMINAL FOR THE USE OF CITY GOVERNMENT OF SAN JUAN</t>
  </si>
  <si>
    <t>Repair and Maintenance of Montero Sports - Labor</t>
  </si>
  <si>
    <t>Purchase of Laptops,Headphones &amp; Mouse</t>
  </si>
  <si>
    <t>HO-UAR19-001 &amp; HO-TWT19-014 - Supply and Delivery of Air Filter and Storage Battery</t>
  </si>
  <si>
    <t>Tables and Partition of Framing Wall at HR Section at Ground Floor, DepEd - Division of General Santos City</t>
  </si>
  <si>
    <t>CONSTRUCTION OF CONCRETE PATHWAY @ SITIO LABANGON, BRGY. BAWOD, SAN ISIDRO, LEYTE</t>
  </si>
  <si>
    <t>CONSTRUCTION OF EVACUATION CENTER, Brgy. Lindero, Libertad, Antique/IB No. K-2020-094(SC)</t>
  </si>
  <si>
    <t>Rehabilitation and Improvement of Brgy. Road along Cabisilan to Lower San Agustin Road, Bauang</t>
  </si>
  <si>
    <t>INVITATION TO BID FOR: CONCRETING OF CORE LOCAL ACCESS ROAD (KADAWNGAN) – POBLACION, CORELLA, BOHOL</t>
  </si>
  <si>
    <t>Materials for the Construction and Rehabilitation of Water System</t>
  </si>
  <si>
    <t>IB 2020-08-013 NPPV Negotiated Procurement of Passenger Van Service Vehicle 2020-13</t>
  </si>
  <si>
    <t>Request For Quotation for Ammunition For The Month Of August CY 2020</t>
  </si>
  <si>
    <t>SUPPLY AND DELIVERY OF AIRCON FOR USE IN GOVNET AND FREE WIFI FOR ALL POINT OF PRESENCE EQUIPMENT ROOM</t>
  </si>
  <si>
    <t>Pag-IBIG Fund CHQ (Supply and Delivery of Y2020 Pag-IBIG Fund Promotional Tokens)</t>
  </si>
  <si>
    <t>PROCUREMENT AND DELIVERY OF COMPUTER SOFTWARE</t>
  </si>
  <si>
    <t>Supply and Delivery of OPA Service Vehicle L300 SHL578</t>
  </si>
  <si>
    <t>Supply and delivery of vitamins and various supplies to be used for the health management of livestock at RES-Botolan with PR#2020-08-06-46 and ABC of P53,450.00</t>
  </si>
  <si>
    <t>1 Lot Construction of CCTV Room Partition</t>
  </si>
  <si>
    <t>Installation of CCTV Camera, San Luis, Batangas</t>
  </si>
  <si>
    <t>CONSTRUCTION OF 1-STOREY COVID-19 ISOLATION CENTER IN THE QUARANTINE AREA FACILITY</t>
  </si>
  <si>
    <t>PROCUREMENT AND DELIVERY OF ZOOLOGICAL SUPPLIES</t>
  </si>
  <si>
    <t>Supply and Delivery of Electrical Materials and Supplies for the Repair of 250W HPS Streetlights @ along McArthur Highway and Various Barangays</t>
  </si>
  <si>
    <t>Supply abd Delivery of Laboratory Supplies and Equipment(PR#20-08-0304)</t>
  </si>
  <si>
    <t>PRINTING AND BINDING OF SELF LEARNING MODULES FOR KEY STAGE 3 JHS/SHS (IU) MATERIALS</t>
  </si>
  <si>
    <t>Supply and delivery of various office supplies as per PR# 2020-06-1193 ETC.</t>
  </si>
  <si>
    <t>Supplies for PNP Office for the 3rd Quarter of 2020</t>
  </si>
  <si>
    <t>SUPPLY AND DELIVERY OF VARIOUS DRUGS AND MEDICINES - Oral Preparation</t>
  </si>
  <si>
    <t>One (1) Job For the Repair/Rehab of Vertical Mixed Flow Pumps No. 2 and 6 of Solana Pumping Station, Solana, Cagayan</t>
  </si>
  <si>
    <t>Purchase of CCTV w/ installation</t>
  </si>
  <si>
    <t>Construction of Farm to Market Road (FTMR) - Brgy. Tocok, San Fabian, Pangasinan</t>
  </si>
  <si>
    <t>(P.R. # 20-07-017) Purchase of 60 reams – Bond	 Paper – A4 and 3 sets – Walking Measure for Planning &amp; Design Section Use (for RBIA), Cebu City</t>
  </si>
  <si>
    <t>Procurement of 6 Piece Philippine Flag , Nylon Tafetta, Size: 15 x 30 under P.R.No. 2374-2020- City Tourism Office.</t>
  </si>
  <si>
    <t>Construction of Wet Market Building</t>
  </si>
  <si>
    <t>Negotiated Procurement of Medical and Laboratory Supplies</t>
  </si>
  <si>
    <t>Proposed Construction of Community Fish Landing Center at Barangay Sulangan, Guiuan, Eastern Samar</t>
  </si>
  <si>
    <t>PROCUREMENT OF ONE (1) UNIT MULTI MEDIA PROJECTOR WITH WIDE SCREEN FOR LUCENA LENDING CENTER</t>
  </si>
  <si>
    <t>Procurement of 1 unit monocrome digital copier to be used at Assessor's Office</t>
  </si>
  <si>
    <t>Supply, Delivery &amp; Installation of Protective Plastic Sheets for Frontliners as proposed by Lagawe Branch</t>
  </si>
  <si>
    <t>Printing Services for the 2020 Selected Statistics on Agriculture</t>
  </si>
  <si>
    <t>Re-bidding for the Construction of Day Care Center, Brgy. Tinongan, Isabela, Neg. Occ.</t>
  </si>
  <si>
    <t>HP and Samsung Toners for Integrated Accounts Division</t>
  </si>
  <si>
    <t>PG-2020-0035: Request for Quotation - Furnishing and Delivery of Safety Devices for Use in Various National Roads and Bridges within the 1st District of La Union</t>
  </si>
  <si>
    <t>Supplies for the generation of modules and other learning materials for Boklaoan Elementary School</t>
  </si>
  <si>
    <t>LOT Procurement of MATERIALS for Use in the Construction of Staff House at Tourism Complex, Brgy. Don Martin Marundan, City of Mati, Davao Oriental</t>
  </si>
  <si>
    <t>CONSTRUCTION OF SEAWALL, Sitio Nasunugan to Sitio Mugnao, Brgy. Bacalan, Sebaste, Antique/IB. NO. K-2020-091(SC)</t>
  </si>
  <si>
    <t>HO-UAR20-003 - Supply and Delivery of Tubeless Tires</t>
  </si>
  <si>
    <t>HO-AWA20-012 - Supply and Delivery of Vacuum Cleaner</t>
  </si>
  <si>
    <t>2020-07-1128 "Procurement of 2019-nCOV Ab Test for CDH"</t>
  </si>
  <si>
    <t>PROCUREMENT &amp; DELIVERY OF WATER DISPENSER FOR SCHOOLS DIVISION OFFICE USE.</t>
  </si>
  <si>
    <t>COLD STORAGE- BARANGAY CENTRO NAPU</t>
  </si>
  <si>
    <t>Panaflex Signage</t>
  </si>
  <si>
    <t>Office Supplies and Consumables 3rd Quarter MOOE FY 2020</t>
  </si>
  <si>
    <t>Purchase of various spare parts for Back Hoe I PC -200-6 KOMATSU use</t>
  </si>
  <si>
    <t>Supply and Delivery of Health Supplies for SBFP-Milk Feeding Implementation</t>
  </si>
  <si>
    <t>PROJECT 1 - PROCUREMENT AND DELIVERY OF MULTI-VITAMINS FOR DOH CHD 1 FOR CY 2020</t>
  </si>
  <si>
    <t>PR#20-08-0385 I.T Equipments for CSWD office use</t>
  </si>
  <si>
    <t>Supplies for printing of modules, report preparation and other school and teaching needs for Tabio NHS</t>
  </si>
  <si>
    <t>Procurement of Medical Supplies for San Joaquin Mother and Child Hospital</t>
  </si>
  <si>
    <t>SUPPLY AND DELIVERY OF DRUGS AND MEDICINES FOR 3RD QUARTER CY 2020</t>
  </si>
  <si>
    <t>Purchase of Handheld Radio</t>
  </si>
  <si>
    <t>Heavy Duty Collapsible Tents use for Various Events in this Municipality of Santa Cruz Laguna</t>
  </si>
  <si>
    <t>(P.R. # 20-07-018) Purchase of 6 pcs – Canon Cartridge 325 and Three (3) other items for Planning &amp; Design Section Use (for MYPS), Cebu City</t>
  </si>
  <si>
    <t>Upgrading and Improvement of Brgy. Pandan Road, Brgy. Pandan, Sogod, Southern Leyte</t>
  </si>
  <si>
    <t>GF-20-02-00317B - Procurement of Full Duplex Wireless Intercom with All–In-One Headsets</t>
  </si>
  <si>
    <t>FURNISHING &amp; DELIVERY OF ISOLATION BEDDINGS AND ELECTRIC FAN FOR LIGTAS COVID CENTER @ CENTRO SUR GYMNASIUM</t>
  </si>
  <si>
    <t>HO-AWA20-007 - Supply and Delivery of Tubeless Tires, Hydraulic Floor Jack and Metric Wrench</t>
  </si>
  <si>
    <t>Supply and Delivery of Hardware Materials for Building Cabinets for the College of Islamic and Arabic Studies</t>
  </si>
  <si>
    <t>RFQ Meals and Snacks during the Tree Planting and Clean at Lake Holon on August 21-22,2020</t>
  </si>
  <si>
    <t>PROCUREMENT OF THREE (3) UNITS PHOTOCOPIER MACHINE (BLACK AND WHITE)</t>
  </si>
  <si>
    <t>Procurement of materials for feed formulation project of the multiplier farm for native pig production</t>
  </si>
  <si>
    <t>Construction of Central Kitchen at the APTC Compound, Muñoz West, Roxas, Isabela</t>
  </si>
  <si>
    <t>Procurement of Materials for Module</t>
  </si>
  <si>
    <t>Supply and delivery of various office supplies to be used for the Administrative works and agribusiness and trading center at RES Botolan with PR#2020-08-06-47 and ABC of P91,877.00</t>
  </si>
  <si>
    <t>CONCRETING OF BARANGAY ROAD, TIGBAO, LOBOC, BOHOL</t>
  </si>
  <si>
    <t>IMPROVEMENT OF MRF (SAN PABLO)</t>
  </si>
  <si>
    <t>Purchase of 1 unit Diffuser (Humidifier) - Accounting Office</t>
  </si>
  <si>
    <t>Request for Quotation for PROGESTERONE-ONLY PILL per PR No. 20-07-0218</t>
  </si>
  <si>
    <t>“Acquisition of One (1) Lot Supply and Delivery of Various Security Equipment”</t>
  </si>
  <si>
    <t>REQUEST FOR QUOTATION USED FOR LIVESTOCK PRODUCTION / LIVESTOCK FUND. (4th Posting)</t>
  </si>
  <si>
    <t>IRISAN  BARANGAY UNIFORMS CY 2020 General color: Royal Blue</t>
  </si>
  <si>
    <t>PR#20-08-0381 Repair and Maintenance of City Hall Vehicle</t>
  </si>
  <si>
    <t>CCTV Cameras and Public Address System</t>
  </si>
  <si>
    <t>Printing Services for the 2019 ASPBI</t>
  </si>
  <si>
    <t>SUPPLY AND DELIVERY OF 1 UNIT BRAND NEW SPEED BOAT</t>
  </si>
  <si>
    <t>Security Services</t>
  </si>
  <si>
    <t>Overhauling of FOTON Garbage Truck radiator</t>
  </si>
  <si>
    <t>SUPPLY AND DELIVERY OF FITTINGS AND MATERIALS FOR REPLENISHMENT OF STOCKS (MAINLINE)</t>
  </si>
  <si>
    <t>CLUSTER 28: CLUSTERED PROJECTS OF BARANGAY BANGAO</t>
  </si>
  <si>
    <t>Supply &amp; Delivery of FURNITURE &amp; FIXTURES</t>
  </si>
  <si>
    <t>Procurement of eBooks Library Resources</t>
  </si>
  <si>
    <t>Supply and dleivery of plastic products as per PR# 2020-06-1411 and 2020-06-1412</t>
  </si>
  <si>
    <t>1 Lot Building Repairs</t>
  </si>
  <si>
    <t>Purchase of Electrical Supplies</t>
  </si>
  <si>
    <t>Procurement of Goods (Chicken Pullets, Chicken Cockerels and Livestock Supplies and Materials for the Free Range Native Chicken Project)</t>
  </si>
  <si>
    <t>Supply/Delivery of Photocopier Supplies and Materials for Tacurong Campus</t>
  </si>
  <si>
    <t>Purchase Electric Jet Pump and Automatic Pump Regulator</t>
  </si>
  <si>
    <t>CONSTRUCTION OF 4 UNITS MATERIALS RECOVERY FACILITY (MRF) AT BARANGAY GUBATAN MACO DDO</t>
  </si>
  <si>
    <t>Purchase of Laptop to be used by teachers at different schools in the municipality</t>
  </si>
  <si>
    <t>Supply and delivery of supplies for JHS MDL modules reproduction</t>
  </si>
  <si>
    <t>CONSTRUCTION OF FARM TO MARKET ROAD (FTMR)- BRGY. PALAPAD, SAN FABIAN, PANGASINAN</t>
  </si>
  <si>
    <t>Purchase of Office equipment - Accounting Office</t>
  </si>
  <si>
    <t>PROCUREMENT OF ICT EQUIPMENT AND OTHER VARIOUS SUPPLIES</t>
  </si>
  <si>
    <t>Procurement of Other Supplies and Materials</t>
  </si>
  <si>
    <t>Purchase &amp; delivery of Electronic parts for 4th Quarter of 2020</t>
  </si>
  <si>
    <t>CONSTRUCTION OF WATER SYSTEM IN BARANGAY GUBATAN MACO DAVAO DE ORO</t>
  </si>
  <si>
    <t>SUPPLY AND DELIVERY OF CONSTRUCTION SUPPLIES</t>
  </si>
  <si>
    <t>Supply and delivery of IT equipment and accessories</t>
  </si>
  <si>
    <t>Proposed Pipe Line Expansion @ P-3 Brgy.. Canayugan, Bayugan City</t>
  </si>
  <si>
    <t>Supply and Delivery of Materials for the Improvement of Water System at Brgy. Morong, Sariaya, Quezon</t>
  </si>
  <si>
    <t>Printing of tarpaulin to be use during the celebration of the 12th Anniversary of the Philippine Civil Service</t>
  </si>
  <si>
    <t>Purchase of Various Construction Supplies for Storage Room (RHU)</t>
  </si>
  <si>
    <t>PR NO. 1896 &amp; 1897 Office Supplies</t>
  </si>
  <si>
    <t>2020-GOODS-049_Purchase and Delivery of Deadbolt Locks with Door Handle for PSU Lingayen Campus</t>
  </si>
  <si>
    <t>Proposed Pipe Line Expansion @ P-14 Brgy. Salvacion, Bayugan City</t>
  </si>
  <si>
    <t>Supply/Delivery of  Rapid Test Kit for Medical Supplies to Help Fight Against COVID-19 (PR# 20-07-0752)</t>
  </si>
  <si>
    <t>Supply and Delivery of Office Supplies of SDSSU Tandag Campus</t>
  </si>
  <si>
    <t>RFQ-Supply and Delivery of Materials for Domestic Water Installation</t>
  </si>
  <si>
    <t>CONCRETING OF FARM TO MARKET ROAD, Brgy. San Pascual, Culasi, Antique/IB. NO. K-2020-092(SC)</t>
  </si>
  <si>
    <t>FURNISHING &amp; DELIVERY OF ONE (1) UNIT DUPLICATOR MACHINE</t>
  </si>
  <si>
    <t>Personal/Medical Care Products for use during the conduct of demand generation activities and FP service delivery for DOH-CSO engagement for family planning program during COVID 19 pandemic.</t>
  </si>
  <si>
    <t>Supply and  delivery of SHS MDL modules reproduction</t>
  </si>
  <si>
    <t>Request for Price Quotation for Delivery of materials for repair of Library of the college</t>
  </si>
  <si>
    <t>MEDICAL SUPPLIES, Surgery Supplies</t>
  </si>
  <si>
    <t>Purchase and Delivery of Medical Supplies &amp; Equipment for SDO</t>
  </si>
  <si>
    <t>Improvement of Multi-Purpose Building at Catuwiran I, Baco, Or. Mindoro and Rehabilitation of Child Development Center at Catuwiran II, Baco, Or. Mindoro</t>
  </si>
  <si>
    <t>PROCUREMENT OF GOODS: TWO UNITS (2) EMERGENCY CART (SVP GOODS 2020-177)</t>
  </si>
  <si>
    <t>CROSS DRAINAGE PROJECT OF TIPCAN - SAN ISIDRO BRGY. ROAD (3 X 7 m. RCPC  -DRAINAGE) MATERIALS ONLY - SITIO CATIPCAN-SAN ISIDRO, CALAPE, BOHOL</t>
  </si>
  <si>
    <t>FILE FOR MODULE</t>
  </si>
  <si>
    <t>ITB No. 20 - 30: Procurement of Medical - Surgical Supplies</t>
  </si>
  <si>
    <t>CONSTRUCTION OF MULTI-PURPOSE CENTER/EMERGENCY EVACUATION CENTER (Barangay Barusbus, Libertad, Antique)/IB. NO. K-2020-086(SC)</t>
  </si>
  <si>
    <t>Purchase of hardware Materials for minor repair of 7 classrooms and mirorrize signage of San Jose ES</t>
  </si>
  <si>
    <t>Supply, Delivery &amp; Installation of Protective Plastic Sheets for Frontliners as proposed by Cabarroguis Branch</t>
  </si>
  <si>
    <t>Food catering services for Inbred Rice Seed Production &amp; Certification in Region VIII at Tacloban Proper on August 18-20, 2020</t>
  </si>
  <si>
    <t>PURCHASE OF COVID-19 PRECAUTIONARY MEASURES SUPPLIES AND EQUIPMENT</t>
  </si>
  <si>
    <t>PROJECT 3 –  PROCUREMENT AND DELIVERY OF DOXCYCYLINE FOR HEMS DOH CHD 1 FOR CY 2020</t>
  </si>
  <si>
    <t>G-2020-524 Supply and Delivery of Laying Cages for Egg Production (Laying Hens), Cooperatives and Livelihood Development Department</t>
  </si>
  <si>
    <t>Labor for the repair and maintenance of the drilling rig</t>
  </si>
  <si>
    <t>Purchase Office Table for eBPLS and LEIPO use</t>
  </si>
  <si>
    <t>CONSTRUCTION OF STREETLIGHTS @  BARANGAY SAN MIGUEL</t>
  </si>
  <si>
    <t>PROCUREMENT OF VARIOUS ICT EQUIPMEN, VARIOUS, OFFICE EQUIPMENT,VARIOUS FURNITURE &amp; FIXTURES</t>
  </si>
  <si>
    <t>Construction of Multi-purpose covered court (Phase I)- Brgy. Angio, San Fabian, Pangasinan</t>
  </si>
  <si>
    <t>SUPPLY AND DELIVERY OF FITTINGS AND MATERIALS FOR REPLENISHMENT OF STOCKS FOR SERVICE LINE</t>
  </si>
  <si>
    <t>2020-GOODS-051_Purchase and Delivery of Disinfectants and Other Essential Supplies for COVID19 Mitigation</t>
  </si>
  <si>
    <t>CONSTRUCTION OF MULTI-PURPOSE CENTER (Valderrama ES, Brgy. Valderrama, Culasi, Antique)/IB. NO. K-2020-083(SC)</t>
  </si>
  <si>
    <t>REFILL OF MEDICAL OXYGEN TANKS AND AVIATOR</t>
  </si>
  <si>
    <t>PROJECT 2 -  PROCUREMENT AND DELIVERY OF TOPICAL DRUGS AND MEDICINE FOR DOH CHD ILOCOS FOR CY 2020</t>
  </si>
  <si>
    <t>Procurement of Live Animals (Upgraded Native Goats) for the Sustainable Livelihood Project of PBD Division-North</t>
  </si>
  <si>
    <t>SUPPLY AND DELIVERY OF T-SHIRT W/ COLLAR AND PRINT FOR THE 53RD DEPED SIARGAO FOUNDING ANNIVERSARY</t>
  </si>
  <si>
    <t>PHYSICAL THERAPY ENHANCEMENT PROGRAM (3RD QUARTER)</t>
  </si>
  <si>
    <t>PROCUREMENT OF ONE (1) PACKAGE CONSTRUCTION MATERIALS FOR THE CONSTRUCTION OF BARANGAY HALL, BARANGAY LAMIGAN, AYUNGON, NEGROS ORIENTAL</t>
  </si>
  <si>
    <t>Purchase of Water Dispenser</t>
  </si>
  <si>
    <t>MOBILE LOAD</t>
  </si>
  <si>
    <t>(NVPH) INVITATION TO BID FOR THE SUPPLY AND DELIVERY OF RADIOLOGY SUPPLIES</t>
  </si>
  <si>
    <t>REHAB. OF STREET LIGHTING</t>
  </si>
  <si>
    <t>Supply and delivery of agricultural nets</t>
  </si>
  <si>
    <t>DAIRY PRODUCTS</t>
  </si>
  <si>
    <t>Fabrication of plaques to be awarded to be awardees of the Municipality in the Length of Service Award 2020</t>
  </si>
  <si>
    <t>SUPPLIES FOR PRINTING OF LEARNING MATERIALS ON MODULAR LEARNING</t>
  </si>
  <si>
    <t>Supply and Delivery of Materials for CCTV</t>
  </si>
  <si>
    <t>RFQ - Supply &amp; delivery of Construction supplies</t>
  </si>
  <si>
    <t>PROJECT 4 -   PROCUREMENT AND DELIVERY OF VITAMIN C FOR DOH CHD 1 FOR CY 2020</t>
  </si>
  <si>
    <t>Renewal of Licenses for the Subscription of Adobe Cloud-based Multimedia Editing Tool</t>
  </si>
  <si>
    <t>Supplies for printing of learning materials and modules for flexible learning</t>
  </si>
  <si>
    <t>Vehicle corrective maintenance RFQ NO 2020-101</t>
  </si>
  <si>
    <t>GF-20-02-00305 - TIME RECORDING MACHINE</t>
  </si>
  <si>
    <t>Purchase of spare parts for the repair and maintenance of the maintenance of the PNP Patrol Car SJH 252</t>
  </si>
  <si>
    <t>Office Equipment - Mayor's Office</t>
  </si>
  <si>
    <t>1 UNIT CORN COMPACT MILL</t>
  </si>
  <si>
    <t>PROCUREMENT OF VARIOUS SPARE PARTS FOR THE REPAIR AND REPLACEMENT OF WORN OUT PARTS  OF TOYOTA COASTERS (YN-3900 &amp; YM-8669)</t>
  </si>
  <si>
    <t>Rehabilitation and Upgrading of Freshwater Fish Hatchery in Support to BASIL Program</t>
  </si>
  <si>
    <t>Supply, Delivery and Installation of LED Wall of City Auditorium Located at City Hall Building B</t>
  </si>
  <si>
    <t>RFQ for Package Fabrication Prototype</t>
  </si>
  <si>
    <t>Request For Quotation for Information Communication Technology Equipment</t>
  </si>
  <si>
    <t>PROJECT 5 -   PROCUREMENT AND DELIVERY OF ESSENTIAL DRUGS AND MEDICINES FOR DOH CHD ILOCOS FOR CY 2020</t>
  </si>
  <si>
    <t>GF-20-02-00160B -  LAPTOP AND DESKTOP COMPUTER</t>
  </si>
  <si>
    <t>PROCUREMENT OF 250 BOTTLE INK, TANK SYSTEM INK - BLACK 140 ML GENUINE (B6-20-108)</t>
  </si>
  <si>
    <t>PROCUREMENT OF MATERIALS FOR LR REPRODUCTION</t>
  </si>
  <si>
    <t>Supply and Delivery of ICT Equipment and Supplies of SDSSU Tandag Campus</t>
  </si>
  <si>
    <t>2019-12-1292 "Procurement of 1 set Computer Desktop for Continuous Operation of PTO"</t>
  </si>
  <si>
    <t>Procurement of Airconditioning</t>
  </si>
  <si>
    <t>Purchase of materials for reproduction/printing of school learning modules of Dao ES</t>
  </si>
  <si>
    <t>Replacement of Tiles and Repainting of the Interior Walls and Finishes of Budget Information and Training Service and Budget and Management Bureau-B Offices</t>
  </si>
  <si>
    <t>RFQ for Supply and Delivery of 4 units of Ice Cream Machine</t>
  </si>
  <si>
    <t>Procurement of eyeglasses</t>
  </si>
  <si>
    <t>FURNISHING &amp; DELIVERY OF MOUNTAIN SOIL FOR BACKFILLING AND LEVELING OF LOW LYING AREAS @ CEMETERY L</t>
  </si>
  <si>
    <t>Procurement of Meals and Snacks</t>
  </si>
  <si>
    <t>Electrical Works for the Relocation of Electrical Service Entrance- Sabang ES, Baliuag, Bulacan</t>
  </si>
  <si>
    <t>QM PABAC 031-20 Procurement of 2,400 sets Integrated Armor Vest System</t>
  </si>
  <si>
    <t>Procurement of Catering Services (Meals, AM and PM Snacks) for Technology Training on Hybrid Yellow Corn Production Program of the Province of Zamboanga del Sur</t>
  </si>
  <si>
    <t>G-2020-525 Supply and Delivery of CPR Mannequin, Local Disaster Risk Reduction Management Division</t>
  </si>
  <si>
    <t>PROCUREMENT OF VARIOUS SPARE PARTS FOR THE REPAIR &amp; REPLACEMENT OF WORN OUT PARTS OF VARIOUS PNP MOBILE PATROL VEHICLES</t>
  </si>
  <si>
    <t>Procurement of Rice</t>
  </si>
  <si>
    <t>PROJECT 6 -   PROCUREMENT AND DELIVERY OF ANTIBIOTICS DRUGS AND MEDICINES FOR DOH CHD ILOCOS FOR CY 2020</t>
  </si>
  <si>
    <t>Delivery of Furniture</t>
  </si>
  <si>
    <t>Procurement of Movable/Portable Sink</t>
  </si>
  <si>
    <t>Supply and Delivery of Diesel Fuel for LGU use</t>
  </si>
  <si>
    <t>GF-20-02-00132B PROCUREMENT OF UNINTERRUPTIBLE POWER SUPPLY</t>
  </si>
  <si>
    <t>Catering Service for RCSP Immersion</t>
  </si>
  <si>
    <t>Publication of Ordinance No. 20-07-0236 (bauan Traffic and Transportation Code 2020) of SB Legislative Office, Bauan, Batangas</t>
  </si>
  <si>
    <t>Purchase of built in cabinet for safe keep records of MSWDO</t>
  </si>
  <si>
    <t>NP-SVP-2020-0005 Leasing of Service Vehicle for use of the MPP's in the supervision of maintenance activities along Midsayap-Marbel Road and Marbel-Makar Road, DPWH-SC2nd DEO, Koronadal City, South Co</t>
  </si>
  <si>
    <t>2020-GOODS-050_Purchase and Delivery of One (1) Unit Riding Lawn Mower for PSU Main Campus</t>
  </si>
  <si>
    <t>Repair Aircon of Treasurer’s Office</t>
  </si>
  <si>
    <t>Piglets for Livestock Program Extension Support</t>
  </si>
  <si>
    <t>PROCUREMENT OF ONE (1) UNIT TIME AND DATER MACHINE FOR LUCENA LENDING CENTER</t>
  </si>
  <si>
    <t>G-2020-531 Supply and Delivery of Office &amp; Janitorial Supplies, Information, Investment Promotions and Employment Services Office</t>
  </si>
  <si>
    <t>1 UNIT PEANUT GRINDER</t>
  </si>
  <si>
    <t>PROCUREMENT OF VARIOUS OFFICE SUPPLIES</t>
  </si>
  <si>
    <t>PROJECT 7 -   PROCUREMENT AND DELIVERY OF LAGUNDI AND SAMBONG FOR DOH CHD ILOCOS FOR CY 2020</t>
  </si>
  <si>
    <t>Procurement of Smart Mobile Phone</t>
  </si>
  <si>
    <t>RFQ for Supply and Delivery of 4 units of 2-bucket Milking Machine</t>
  </si>
  <si>
    <t>Construction of Multi-Purpose Building (Completion) at Barangay Garreta, Badoc, Ilocos Norte</t>
  </si>
  <si>
    <t>BOOKPAPER/IB NO. DE-2020-012</t>
  </si>
  <si>
    <t>Repainting of Roof of 7Classrooms- Jacinto Ponce ES, Baliuag, Bulacan</t>
  </si>
  <si>
    <t xml:space="preserve">NP-SVP-2020-0007 Leasing of Service Vehicle chargeable to Preliminary and Detailed Engineering (PDE) of the Planning and Design Section for use in the project validation (for School Building, MPB and </t>
  </si>
  <si>
    <t>Repair and maintenance of Dumptruck and Ambulance (materials and labor)</t>
  </si>
  <si>
    <t>Procurement of Office Chairs-Treasury Department</t>
  </si>
  <si>
    <t>SUPPLY AND DELIVERY OF ROAD SURFACING MATERIALS</t>
  </si>
  <si>
    <t>Materials for the construction of water system at Brgy. Sicaba and Brgy. Tinampa-an, Cadiz City</t>
  </si>
  <si>
    <t>G-2020-530 Supply and Delivery of Foldable Tables, City General Services Office</t>
  </si>
  <si>
    <t>Purchase of 1 Unit Side Wheel of Brgy Dolho Bato, Leyte</t>
  </si>
  <si>
    <t>PROJECT 8 -   PROCUREMENT AND DELIVERY OF ANALGESICS FOR DOH CHD 1 FOR CY 2020</t>
  </si>
  <si>
    <t>General Merhandise</t>
  </si>
  <si>
    <t>NP-SVP-2020-0006 Leasing of Service Vehicle for use of the MPP's in the supervision of maintenance activities along Surallah-Lake Sebu-Maitum Road and Cotabato-Marbel Road, DPWH-SC2nd DEO, Koronadal C</t>
  </si>
  <si>
    <t>IEC Reproduction for SOA on Inbred Rice Seeds Production &amp; Farm Mechanization</t>
  </si>
  <si>
    <t>Concreting of sidewalk</t>
  </si>
  <si>
    <t>15 cart. 932 XL Ink Cartridge (Black); 9 cart. 933 XL Ink Cartridge (Yellow); 9 cart. 933 XL Ink Cartridge (Cyan); 9 cart. 933 XL Ink Cartridge (Magenta)</t>
  </si>
  <si>
    <t>2020 OTOP NG Packaging/ Label Design and Brand Development</t>
  </si>
  <si>
    <t>PROCUREMENT OF MOTORVEHICLE WITH SIDECAR</t>
  </si>
  <si>
    <t>HO-FFW20-002 - Supply and Delivery of Data Backup Storage, Digital Camera, Water Distiller, Refrigerator and Filing Cabinet</t>
  </si>
  <si>
    <t>LAPTOP(i7),DESKTOP(i7), Scanner, Printer with long</t>
  </si>
  <si>
    <t>Procurement and Installation of Blind Curtains at HCGDSTL Offices</t>
  </si>
  <si>
    <t>Supply, Delivery &amp; Installation of Protective Plastic Sheets for Frontliners as proposed by Luna Branch</t>
  </si>
  <si>
    <t>GF-20-05-00735 - DRUM CARTRIDGE</t>
  </si>
  <si>
    <t>SUPPLY AND DELIVERY OF PRINTING SUPPLIES (BOND PAPERS AND INKS)</t>
  </si>
  <si>
    <t>Procurement for the Delivery of Consulting Services</t>
  </si>
  <si>
    <t>NP-SVP-2020-0008 Leasing of Service Vehicle chargeable to Preliminary and Detailed Engineering (PDE) of the Planning and Design Section for use in the conduct of surveys (for Roads, Flood Control, and</t>
  </si>
  <si>
    <t>Delivery of Construction Materials</t>
  </si>
  <si>
    <t>“Supply and Delivery of Twelve (12) Units Printer-All-in-One with Consumable Inks for Forensic Document Photographic Enlargement Prints of the Questioned Documents Laboratory Division”</t>
  </si>
  <si>
    <t>PROCUREMENT OF A MOTORCYCLE FOR FIRE DEPARTMENT SERVICE VEHICLE</t>
  </si>
  <si>
    <t>Pag-IBIG Fund TAS NCR South (SUPPLY AND DELIVERY OF 15 PCS MOBILE PHONE AND 75 PCS PREPAID CARD)</t>
  </si>
  <si>
    <t>SUPPLY AND DELIVERY OF COMPUTER DESKTOPS AND PRINTERS FOR BUDGET OFFICE, MPDO, TREASURY AND ACCOUNTING OFFICE</t>
  </si>
  <si>
    <t>Procurement of Meals</t>
  </si>
  <si>
    <t>PROCUREMENT OF NON-ACCOUNTABLE FORMS</t>
  </si>
  <si>
    <t>G-2020-528 Supply and Delivery of Promotional Materials, City College of Calamba</t>
  </si>
  <si>
    <t>410MW, AGE</t>
  </si>
  <si>
    <t>PROPOSED EMBANKMENT FOR LAND DEVELOPMENT OF COMMUNITY FISH LANDING CENTER AT BARANGAY SULANGAN, GUIUAN, E. SAMAR</t>
  </si>
  <si>
    <t>FURNISHING &amp; DELIVERY OF COVID19 ANTIBODY RAPID DIAGNOSTIC TEST SCREENING KIT</t>
  </si>
  <si>
    <t>Small Value Procurement (emergency purchase) for the Supply and Delivery of 5,500 Sacks (25kgs) of Rice.</t>
  </si>
  <si>
    <t>Materials for the const. of water supply system at Hda.Lilia I, Hda. Lilia II, So. Mansilingan I &amp; II, Brgy. Cadiz Viejo, Cadiz City</t>
  </si>
  <si>
    <t>Purchase of Face Shields for Employees of LGU</t>
  </si>
  <si>
    <t>Proposed Pipe Line Expansion @ P-4A &amp; 4B Brgy. Mabuhay, Bayugan City</t>
  </si>
  <si>
    <t>CAN - Various Janitorial Supplies - CBO, MAO PR No. 880, 886</t>
  </si>
  <si>
    <t>Delivery of Communication Equipment</t>
  </si>
  <si>
    <t>WATER METERING</t>
  </si>
  <si>
    <t>Procurement of Office Supplies for  MAGAZINE COVER FOR BCWD 2021 CALENDARS</t>
  </si>
  <si>
    <t>RFQ - Procurement of Goods: IT Equipment (Desktop Computer &amp; UPS) for the use of CHO (Health Information System) (PR#300-20-08-0089)</t>
  </si>
  <si>
    <t>SUPPLY AND DELIVERY OF BROCHURE FOR INFORMATION DISSEMINATION DRUG BUSTER (CMO)</t>
  </si>
  <si>
    <t>Supply and delivery of various janitorial supplies as per PR# 2020-07-1700 ETC.</t>
  </si>
  <si>
    <t>Renovation of Central MRF and Assemble of Several Signages</t>
  </si>
  <si>
    <t>Camaman-an ELementary School - Module Reproduction</t>
  </si>
  <si>
    <t>Purchase of Piston ring (GX 35) for the repair of Municipal Mower</t>
  </si>
  <si>
    <t>supply and delivery of 600 boxes of examination gloves</t>
  </si>
  <si>
    <t>Purchase &amp; Delivery of Construction Materials (Square Bars at Pritil ES, Guiguinto, Bulacan)</t>
  </si>
  <si>
    <t>SUPPLY AND DELIVERY OF MAIN AIR COMPRESSOR ASSYMBLY FOR YANMAR ENGINE INTENDED FOR NPC TUGBOAT NO. 1</t>
  </si>
  <si>
    <t>Fabrication of Steel Barrier/Barricade for PNP (Philippine National Police)- Alcala, Pangasinan Station</t>
  </si>
  <si>
    <t>Portable Sink with Foot Pedal</t>
  </si>
  <si>
    <t>OFFICE EQUIPMENT(AIR ONDITIONER, EXHAUST, INDUSTRIAL FUN )/IB No. OE-2020-001</t>
  </si>
  <si>
    <t>Supply/Delivery of Office Equipment for COVID 19</t>
  </si>
  <si>
    <t>CLEANING AND DISINFECTANT SUPPLIES FOR POPCOM-NCR OFFICE</t>
  </si>
  <si>
    <t>PROJECT 9 -   PROCUREMENT AND DELIVERY OF HPN AND DM DRUGS AND MEDICINES FOR DOH CHD ILOCOS FOR CY 2020</t>
  </si>
  <si>
    <t>L-Type Folder (A4) for the 2019 ASPBI and 2019 SICT Questionnares</t>
  </si>
  <si>
    <t>Supply and Delivery of Filters for Water Purification, PR# 2020-06-0058, Project 41</t>
  </si>
  <si>
    <t>Purchase of materials for reproduction/printing of school learning modules of SF Pilot CES with SPED Program</t>
  </si>
  <si>
    <t>supply of Dietary supplies for the use of Labuan General Hospital</t>
  </si>
  <si>
    <t>Procurement of LPG Cooking Gas 50kg/cylinder (September 2020)</t>
  </si>
  <si>
    <t>Purchase of School Supplies of Barangay Banoyo, San Luis, Batangas</t>
  </si>
  <si>
    <t>Procurement of Fuel, Oil and Lubricants for Ambulance, Local Government Unit of Barugo, Leyte</t>
  </si>
  <si>
    <t>Purchase of fireworks for fireworks display as part of cultural activity of the LGU</t>
  </si>
  <si>
    <t>Concreting/Rehabilitation of Local Road at Brgy. Atioc, Brgy. Dela Paz and Brgy. San Francisco, Tarlac City. B2020-103-A</t>
  </si>
  <si>
    <t>Supply and Delivery of Tshirt and headware with prints and design for the different participants in the activities of the Tourism Month Celebration</t>
  </si>
  <si>
    <t>PROCUREMENT OF VARIOUS OFFICE SUPPLIES, VARIOUS OTHER SUPPLIES, VARIOUS OFFICE EQUIPMENT, VARIOUS ICT EQUIPMENT AND OPPE</t>
  </si>
  <si>
    <t>Purchase of Tents for Emergency Operations of MDRRMO</t>
  </si>
  <si>
    <t>PROCUREMENT OF DIESEL AND GASOLINE</t>
  </si>
  <si>
    <t>Purchase of materials for reproduction/printing of school learning modules of San Jose ES</t>
  </si>
  <si>
    <t>purchase of long bond paper for printing of learning modules for Gr. 9-10</t>
  </si>
  <si>
    <t>1.	Purchased of Basketball Game Clock Set</t>
  </si>
  <si>
    <t>Supply/Delivery of Electrical Supplies and Materials for SBO</t>
  </si>
  <si>
    <t>PROPOSED REHABILITATION AND UPGRADING OF EXISTING STREETLIGHTING ALONG ARNAIZ AVENUE LOCATED AT VARIOUS BARANGAYS OF MAKATI CITY</t>
  </si>
  <si>
    <t>1 Snack &amp; 1 Lunch serve during MPOC Meeting</t>
  </si>
  <si>
    <t>Purchase of One (1) Unit Digital Duplicator for DEPED Aloran District, Aloran Misamis Occidental</t>
  </si>
  <si>
    <t>Supply and Delivery of Construction Materials used in Slope Protection at Poblacion Alto</t>
  </si>
  <si>
    <t>Concreting/Rehabilitation of Local Road at Brgy. Dolores and Brgy. Laoang, Tarlac City. B2020-102-A</t>
  </si>
  <si>
    <t>G-2020-532 Supply and Delivery of Used Sacks, City Engineering and Infrastructure Development Department</t>
  </si>
  <si>
    <t>Construction of Farm to Market Road (FTMR)-Brgy. Cabaruan, San Fabian, Pangasinan</t>
  </si>
  <si>
    <t>Purchase of 1 unit Motorcycle for use of the BFP of the Municipality Of Dingras, Ilocos Norte.</t>
  </si>
  <si>
    <t>Supply, Delivery &amp; Installation of Protective Plastic Sheets for Frontliners as proposed by Bambang &amp; Solano Branch</t>
  </si>
  <si>
    <t>Curtain Expenses to be used at Municipal Health Center Conference Room</t>
  </si>
  <si>
    <t>Supply &amp; Delivery of Office Equipment</t>
  </si>
  <si>
    <t>PROCUREMENT OF ONE (1) UNIT PAPER SHREDDER FOR LUCENA LENDING CENTER</t>
  </si>
  <si>
    <t>Printing services for printing of modules</t>
  </si>
  <si>
    <t>Supply and Delivery of School Supplies</t>
  </si>
  <si>
    <t>REPAIR AND MAINTENACE OF OFFICE BUILDING</t>
  </si>
  <si>
    <t>AMP SVP-D NO: 20-07-0385A Panel Board and Miscellaneous Works</t>
  </si>
  <si>
    <t>Invitation to Bid Flooring of Gymnasium</t>
  </si>
  <si>
    <t>CONSTRUCTION OF PUMP HOUSE AT PUMP STATION 11 OF VALENCIA CITY WATER DISTRICT</t>
  </si>
  <si>
    <t>(PIHO) INVITATION TO BID FOR THE SUPPLY AND DELIVERY OF DRUGS AND MEDICINES</t>
  </si>
  <si>
    <t>Repair and Maintenace of KALAHI PROJECT (Day Care Center)</t>
  </si>
  <si>
    <t>IT EQUIPMENT/IB No. MM-2020-031</t>
  </si>
  <si>
    <t>RFQ</t>
  </si>
  <si>
    <t>GF-20-03-00531B - PROCUREMENT OF BATTERY AND TIRE</t>
  </si>
  <si>
    <t>GF-20-02-00322B PROCUREMENT OF GENERATOR AND OTHERS</t>
  </si>
  <si>
    <t>PCADG-5020301000-1148-2020 Office Supplies Expenses (DPCR)</t>
  </si>
  <si>
    <t>PURCHASE OF HARDWARE MATERIALS FOR CONSTRUCTION OF BARANGAY HEALTH STATION OF BARANGAY PADIAY SIBAGAT,AGUSAN DEL SUR</t>
  </si>
  <si>
    <t>G-2020-536 Supply and Delivery of Traffic Citation Ticket, City Treasury Management Office</t>
  </si>
  <si>
    <t>PURCHASE OF DUPLICATING MACHINE INK AND MASTER ROLL FOR THE REPRODUCTION OF LEARNING MATERIALS OF IMPASUGONG I &amp; II, IMPASUGONG, BUKIDNON</t>
  </si>
  <si>
    <t>Supply &amp; Delivery of Brand New Single Motorcycle</t>
  </si>
  <si>
    <t>Construction/rehabilitation of street lights @ So. Pang-pang, Brgy. Tiglawigan, Cadiz City</t>
  </si>
  <si>
    <t>purchase of medical supplies for MHO</t>
  </si>
  <si>
    <t>CONCRETING OF 360.0 L.M. FARM TO MARKET ROAD AT SITIO LINABO, Barangay Aya-Aya, Municipality of Lugait, Misamis Oriental.</t>
  </si>
  <si>
    <t>Supply &amp; Delivery of Communication equipment @ NIA CBIMO Head Office, Maddarulug, Solana, Cagayan</t>
  </si>
  <si>
    <t>Supply, Delivery &amp; Installation of Protective Plastic Sheets for Frontliners as proposed by Isabela Field Units</t>
  </si>
  <si>
    <t>Purchase of One (1) Unit Riso and One(1) Unit Copier Machine</t>
  </si>
  <si>
    <t>SVP 1266-2020 Medicines</t>
  </si>
  <si>
    <t>G-2020-533 Supply and Delivery of Purified Water, City Treasury Management Office</t>
  </si>
  <si>
    <t>PROCUREMENT OF ANTI-RABIES VACCINE</t>
  </si>
  <si>
    <t>VARIOUS CONSTRUCTION MATERIALS</t>
  </si>
  <si>
    <t>ELECTRIFICATION/REPAIR/CLEARING OF ABAGAT POTABLE WATER SYSTEM</t>
  </si>
  <si>
    <t>Supply and Delivery of Vehicle for National Capital Regional Office</t>
  </si>
  <si>
    <t>SUPPLY AND DELIVERY OF OFFICE EQUIPMENT</t>
  </si>
  <si>
    <t>PAINTING OF BASKETBALL COURT @ BRGY. STA. MESA, MABINI, BATANGAS</t>
  </si>
  <si>
    <t>(P.R. # 20-07-019) Purchase of 1 unit – Heavy Duty Digital Duplicator (w/ Specifications) and Two (2) other items for Supply &amp; Property Unit Use, Cebu City</t>
  </si>
  <si>
    <t>HFE : HIRED/PURCHASE MANPOWER FOR THE OPERATION OF THE HOME FOR THE ELDERLY</t>
  </si>
  <si>
    <t>Invitation to Bid for the Construction of Multi-Purpose Building @ Brgy. Salomague (Proper), Cabugao, Ilocos Sur</t>
  </si>
  <si>
    <t>One (1) Lot Supply and Delivery of 30,000 sets Corrugated Box for Currency Notes, as per BSP Technical Specifications</t>
  </si>
  <si>
    <t>CATERING SERVICES/NEG. PROC. 53.10 L-2020-08-002</t>
  </si>
  <si>
    <t>PURCHASE OF ALCOHOL &amp; OTHER SUPPLIES FOR 42ND NATIONAL DISABILITY PREVENTION &amp; REHABILITATION WEEK CELEBRATION 2020</t>
  </si>
  <si>
    <t>GRAVELLING MATERIALS  FOR USE IN LEVELLING OF ROADS AT BARANGAY CABACUNGAN &amp; TALAPTAP</t>
  </si>
  <si>
    <t>CATERING SERVICES OG1 174,000.00</t>
  </si>
  <si>
    <t>Purchase of Office Supplies for MSWD and DCWs Office</t>
  </si>
  <si>
    <t>Office Supplies 3rd Quarter MOOE</t>
  </si>
  <si>
    <t>PCADG-5020399000-1149-2020 Other Supplies &amp; Material Expenses</t>
  </si>
  <si>
    <t>Additional Construction of Dragon Fruit Post (100 Post)</t>
  </si>
  <si>
    <t>PROCUREMENTS OF MATERIALS FOR THE MODULES</t>
  </si>
  <si>
    <t>REHABILITATION OF ROAD FROM PUROK 5 TO BANTOLINAO OF BARANGAY PADIAY,SIBAGAT,AGUSAN DEL SUR</t>
  </si>
  <si>
    <t>CONSULTING SERVICES FOR THE ARCHITECTURAL AND DETAILED ENGINEERING DESIGN FOR THE CONSTRUCTION OF MULTI-PURPOSE GYMNASIUM AND CONSTRUCTION OF ACADEMIC BUILDING II</t>
  </si>
  <si>
    <t>WIDENING OF BRIDGE AT PULONG SINGKAMAS</t>
  </si>
  <si>
    <t>PROPOSED CONSTRUCTION OF DRAINAGE SYSTEM ALONG MANAGANTAN STREET,  BARANGAY 09-A, GUIUAN, E. SAMAR</t>
  </si>
  <si>
    <t>For use in the City Mayor's Office, to August assistance to frontliners of the Peace &amp; Order Maintenance of the Different barangays especially during the implementation of National &amp; Local Orders rela</t>
  </si>
  <si>
    <t>Catering Service during the Pay Out of Senior Citizen</t>
  </si>
  <si>
    <t>Contract ID No. 20J00217 - Repair/Maintenance of DPWH Building Main Repair Bay Building DPWH Compound, Veterans Avenue Extension, Tetuan, Zamboanga City</t>
  </si>
  <si>
    <t>MUNICIPAL-WIDE STREET LIGHTING PROJECT</t>
  </si>
  <si>
    <t>G-2020-538 Labor &amp; Materials for the Repair &amp; Maintenance of Pump Room, City Engineering and Infrastructure Development Department</t>
  </si>
  <si>
    <t>RFQ for Supply and Delivery of Buffalo Feeds</t>
  </si>
  <si>
    <t>PROCUREMENT OF ANDROID TV FOR USE AT KABATAAN LEARNING CENTER</t>
  </si>
  <si>
    <t>FURNISHING &amp; DELIVERY OF MEDICAL SUPPLIES</t>
  </si>
  <si>
    <t>HO-TWT20-002 - Supply and Delivery of Caliper, Laminating Machine and Saw Cross</t>
  </si>
  <si>
    <t>AGRICULTURAL SUPPLIES/IB No. B-2020-004</t>
  </si>
  <si>
    <t>Purchase of Barangay Hall Furniture</t>
  </si>
  <si>
    <t>Installation of water pump &amp; water supply pipelines @ So. Cogon, Brgy. Sicaba, Cadiz City</t>
  </si>
  <si>
    <t>Construction of 6 steel lamp post/installation of street lighting system  @ Villa Luisa Highway (NHA Relocation Site) Brgy. Luna , Cadiz City</t>
  </si>
  <si>
    <t>SUPPLYING LABOR AND SPAREPARTS/SVP No. B-2020-07-009</t>
  </si>
  <si>
    <t>PCHT PABAC2 001-20 LOT1 Procurement of Freight Forwarding Services for the Transport of Supplies in Luzon.</t>
  </si>
  <si>
    <t>FURNISHING &amp; DELIVERY OF MOUNTAIN SOIL FOR THE BACKFILLING OF C1 TRICYCLE AREA RE: ROAD CLEARING @ BULALA</t>
  </si>
  <si>
    <t>Supply and Delivery of Information Technology (IT) Equipment for the Distance Learning Activities of PSU Students Residing in the Municipality</t>
  </si>
  <si>
    <t>SUPPLY OF GASOLINE-MASSO</t>
  </si>
  <si>
    <t>PROCUREMENT OF FACE SHIELD FOR RHU</t>
  </si>
  <si>
    <t>Purchase of Vehicle Parts and Accessories FOR DUMP TRUCK ( DTI-06) SJJ-615. Under P.R. No. 30-20-06-067</t>
  </si>
  <si>
    <t>for the office supplies of Assessors's Office</t>
  </si>
  <si>
    <t>PROCUREMENT OF OFFICE TABLES, CABINET AND CHAIRS</t>
  </si>
  <si>
    <t>Procurement of Meals, Snacks, VEnue and Accommodation in the conduct of FMP POCB Training on ENR Laws</t>
  </si>
  <si>
    <t>HO-TWT20-003 - Supply and Delivery of Various Office Supplies</t>
  </si>
  <si>
    <t>Medical Supplies - (4th) LAPAROTOMY PACK</t>
  </si>
  <si>
    <t>MEDICAL AND LABORATORY SUPPLIES/IB No. MM-2020-035(m)</t>
  </si>
  <si>
    <t>Supply &amp; Delivery of fuel @ NIA BRIS Sta Cruz, Gonzaga, Cagayan</t>
  </si>
  <si>
    <t>CONCRETING OF 350.0 L.M. FARM TO MARKET ROAD AT SITIO LINABO, Barangay Aya-Aya, Municipality of Lugait, Misamis Oriental.</t>
  </si>
  <si>
    <t>RFQ 2020-08-030: Procurement of Various Spare Parts for the Repair of Komatsu Payloader WA180 and Mitsubishi Pick-Up SFG 314</t>
  </si>
  <si>
    <t>1 unit HAND TRACTOR (FLOATING TILLER-MUD BOAT)</t>
  </si>
  <si>
    <t>SUPPLY OF MATERIALS FOR THE CONCRETE PAVEMENT OF MULTI-PURPOSE HALL AT STA. CRUZ, BUHI, CAMARINES SUR</t>
  </si>
  <si>
    <t>CONSTRUCTION OF MULTI-PURPOSE BUILDING (DAIRY FARM)</t>
  </si>
  <si>
    <t>Feeds for Piggery Project (20-064)</t>
  </si>
  <si>
    <t>RFQ No. 2020- 13 (6 Single Projects + 19 Packages with 43 Projects= 49 Projects)</t>
  </si>
  <si>
    <t>Medical Supplies - (4th)  CORE NEEDLE BIOPSY DISP. G14X10CM</t>
  </si>
  <si>
    <t>Invitation to Bid for the Construction of Multi-Purpose Drying Pavement (MPDP) @ Brgy. Turod Patac, Ilocos Sur</t>
  </si>
  <si>
    <t>Office Supplies for BAC Office</t>
  </si>
  <si>
    <t>Supply and Delivery for Electrical Supplies</t>
  </si>
  <si>
    <t>Purchase of Checklist Booklets for Day Care Centers</t>
  </si>
  <si>
    <t>PURCHASE OF VACCINES &amp; OTHER SUPPLIES FOR ANTI-RABIES VACCINATION AT THE OFFICE FOR AGRICULTURAL SERVICES</t>
  </si>
  <si>
    <t>Hardware &amp; Construction Supplies</t>
  </si>
  <si>
    <t>HO-TWT20-004 - Supply and Delivery of Various Ink Toner and Cartridges</t>
  </si>
  <si>
    <t>materials for the Construction of Latrine for Indigent</t>
  </si>
  <si>
    <t>PCHT PABAC2 001-20 LOT 2 Procurement of Freight Forwarding Services for the Transport of Supplies in Visayas.</t>
  </si>
  <si>
    <t>Catering Service for Regular Session</t>
  </si>
  <si>
    <t>PURCHASE OF FACE SHIELDS FOR 42ND NATIONAL DISABILITY PREVENTION &amp; REHABILITATION WEEK CELEBRATION 2020</t>
  </si>
  <si>
    <t>Supply &amp; Delivery of Air Purifier and Dental Vacuum System Aerosol Suction Machine</t>
  </si>
  <si>
    <t>Procurement of Vehicle Repair and Maintenance under P.R Nos. 1896-2020(City Environment &amp; Natural Resources Office- Industrial and Agroforestry Management Division), etc.-1Lot.</t>
  </si>
  <si>
    <t>Procurement of One (1) Unit Copy Printer</t>
  </si>
  <si>
    <t>Construction of Covered Court/Mini Gym (Materials, Labor and Equipment)</t>
  </si>
  <si>
    <t>Supply and Delivery of Materials for Repair of Goat Structure and Lamp Post at Brgy. Rizal</t>
  </si>
  <si>
    <t>Procurement of Desktop Computer (DRRM-H)</t>
  </si>
  <si>
    <t>Procurement of Catering Services (Meals, AM and PM Snacks) for the BPV's Training and Orientation Activity of the Provincial Population Office</t>
  </si>
  <si>
    <t>PCHT PABAC2 001-20 LOT 3 Procurement of Freight Forwarding Services for the Transport of Supplies in Mindanao</t>
  </si>
  <si>
    <t>Supply and Delivery of Materials for Maintenance of Office Buildings</t>
  </si>
  <si>
    <t>SUMALIG ELEMENTARY SCHOOL MOOE APRIL-MAY 2020</t>
  </si>
  <si>
    <t>2020-08-036: SUPPLY AND DELIVERY OF VEHICLE PARTS AND ACCESSORIES FOR PLANNING &amp; DESIGN SECTION, DPWH CDOC 2ND DEO, MACABALAN, CDOC</t>
  </si>
  <si>
    <t>Bond Paper and Ink for Reproduction of Learning Modules</t>
  </si>
  <si>
    <t>Labor and Materials for the Installation of the Wireless Fiber</t>
  </si>
  <si>
    <t>Office Curtain</t>
  </si>
  <si>
    <t>Purchase of office supplies</t>
  </si>
  <si>
    <t>Supply and Delivery of Floor Mounted Airconditioner of SDSSU Cantilan Campus</t>
  </si>
  <si>
    <t>PROCUREMENT OF SCHOOL EQUIPMENT FOR OPLAN BALIK SKWELA (OBE) 2020  (ELEMENTARY &amp; SECONDARY)</t>
  </si>
  <si>
    <t>Procurement of Hepa B (human) Immunoglobulin 0.5ml, 1ml (IM)</t>
  </si>
  <si>
    <t>SIES MOOE JULY and AUGUST 2020</t>
  </si>
  <si>
    <t>Purchase of Battery for use in the Service Vehicle (Ford Everest Titanium) of Mayor's Office, LGU, Bato, Leyte</t>
  </si>
  <si>
    <t>PURCHASE OF 10 UNITS COMMUNICATION EQUIPMENT OF BRGY. BAGONGBONG</t>
  </si>
  <si>
    <t>20BB0139 - 41X Emergency Projects (Road Slip Repair) @ K579+185-K579+221(RL); K587+190-K587+235(LL) &amp; K587+900-K587+954(RL) along Magapit-Mission Road, Sta. Teresita, Cagayan</t>
  </si>
  <si>
    <t>Supply and Delivery of vehicle parts for use of Response vehicle bearing plate no.P3U490 (TFLC Aparri)</t>
  </si>
  <si>
    <t>Procurement of Ultraviolet Light and Air Conditioner</t>
  </si>
  <si>
    <t>MUNICIPAL-WIDE STREET LIGHTING PROJECT (CONSTRUCTION OF STREETLIGHT PEDESTAL &amp; ELECTRICAL WORKS)</t>
  </si>
  <si>
    <t>Supply and Delivery of Materials for Fabrication and Installation of Detention Cell of Tuy MPS</t>
  </si>
  <si>
    <t>PROCUREMENT AND DELIVERY OF MEALS FOR THE 29TH BFP ANNIVERSARY CELEBRATION OF BFP R4A FY 2020</t>
  </si>
  <si>
    <t>WEB FILTERING SERVICE (FortiGate 100D)</t>
  </si>
  <si>
    <t>Concreting of Local Road at Zone 6 (MAGOL). Brgy. San Esteban, Nabua, Camarines Sur</t>
  </si>
  <si>
    <t>NCB Publication No. 2020- 31 (First Publication)- Poblacion- Balangbang Road Improvement</t>
  </si>
  <si>
    <t>PROCUREMENT OF OFFICE SUPPLIES FOR MODULAR LEARNING</t>
  </si>
  <si>
    <t>Procurement of Services under P.R Nos. 2912-2020(City Special Concerns Office), etc.-1Lot</t>
  </si>
  <si>
    <t>REHABILITATION OF BARANGAY MULTIPURPOSE BUILDING</t>
  </si>
  <si>
    <t>Procurement of office supplies to be used by the CHRMO staff</t>
  </si>
  <si>
    <t>10 units POWER SPRAYER</t>
  </si>
  <si>
    <t>Fuel/Fuel Additives &amp; Lubricants &amp; Anti Corrosive</t>
  </si>
  <si>
    <t>RB2020-08-256 Colour Copier machine</t>
  </si>
  <si>
    <t>Desktop Computer for EEMO</t>
  </si>
  <si>
    <t>PURCHASE OF DIGITAL DUPLICATING MACHINE FOR SECONDARY PUBLIC SCHOOLS USE</t>
  </si>
  <si>
    <t>Fabrication and Installation of Material Recovery Facility (MRF) of Eleven Barangays of Rizal, Occidental Mindoro</t>
  </si>
  <si>
    <t>Invitation to Bid for the Procurement of Laptops</t>
  </si>
  <si>
    <t>For Handwashing Facilities of Brgy Dolho Bato, Leyte</t>
  </si>
  <si>
    <t>(1) 4 UNITS, LAPTOP; (2) 1 UNIT, MULTI-MEDIA PROJECTOR</t>
  </si>
  <si>
    <t>Radio Airtime for the Promotion of Public Health Programs and Information</t>
  </si>
  <si>
    <t>Production, Printing and Delivery of the following BSP Publications, as per BSP Scope of Work, Specifications and Terms of Reference (5 Lots)</t>
  </si>
  <si>
    <t>“Acquisition of One (1) Unit, Supply and Delivery of Passenger Van for the Office of the Director.”</t>
  </si>
  <si>
    <t>GF-20-02-00362B PROCUREMENT OF INK CARTRIDGE</t>
  </si>
  <si>
    <t>Agricultural Products/Seeds</t>
  </si>
  <si>
    <t>Supply of Labor and Materials for Repair &amp; Servicing of Six (6) Units Submersible Pumps for Raw Water Pumps</t>
  </si>
  <si>
    <t>20BB0140 - 41X Emergency Projects (Road Slip Repair) at Magapit-Capissayan Road, Cumao, Gattaran, Cagayan</t>
  </si>
  <si>
    <t>Purchase of Senior Citizen ID for use in issuance to Senior Citizen upon registration, Bato, Leyte</t>
  </si>
  <si>
    <t>Construction/Installation of Streetlights, Sta. Cruz, Nabua Camarines Sur</t>
  </si>
  <si>
    <t>Delivery and Installation of Communication Device for Command Center</t>
  </si>
  <si>
    <t>Construction Supplies &amp; Materials</t>
  </si>
  <si>
    <t>Supply, Delivery &amp; Installation of Protective Plastic Sheets for Frontliners as proposed by Cagayan Field Units</t>
  </si>
  <si>
    <t>knapsack sprayer</t>
  </si>
  <si>
    <t>DELIVERY OF OFFICE SUPPLIES</t>
  </si>
  <si>
    <t>Community Empowerment through Science and Technology</t>
  </si>
  <si>
    <t>20GKD0004: Purchase of Cubicle with Chair &amp; Mobile Pedestal Metal for Planning &amp; Design Section, Cagayan de Oro City 2nd District Engineering Office, Macabalan, Cagayan de Oro City</t>
  </si>
  <si>
    <t>2020 Census of Population and Housing - Personal Protective Equipment</t>
  </si>
  <si>
    <t>For the use of HFGW as required by BFP for the renewal of fire safety inspection certificate</t>
  </si>
  <si>
    <t>20BB0141 - Removal of Landslide @ K533+420 along Baybayog-Baggao-Dalin-Sta. Margarita Road, Baggao, Cagayan</t>
  </si>
  <si>
    <t>Purchase and Delivery of Module Bags</t>
  </si>
  <si>
    <t>R&amp;M motor vehicle PHP61,000.00</t>
  </si>
  <si>
    <t>ITDI-200524 - SUPPLY AND DELIVERY OF AUTOCLAVE</t>
  </si>
  <si>
    <t>HFE : FOR THE FAMILY DAY CELEBRATION 2020 OF HOME FOR WOMEN</t>
  </si>
  <si>
    <t>Supply of 4 episodes of 30-minute radio blocktime program for School-on-Air</t>
  </si>
  <si>
    <t>NCB Publication No. 2020- 32 (First Publication)- Package 2020-15 - PB (1. Grouted Riprap of IPFHARC Fishponds 1,2,3 2. Concreting of Road Side Approach at IPFHARC)</t>
  </si>
  <si>
    <t>OFFICE EQUIPMENT FOR THE USE OF HFGW STAFF</t>
  </si>
  <si>
    <t>Construction Materials for the PSA Isolation Room</t>
  </si>
  <si>
    <t>Procurement of Construction Materials for Clearing and Declogging of Waterways at Brgy. Cubay Sur</t>
  </si>
  <si>
    <t>RB2020-08-257 Newsletter fo information dissemination</t>
  </si>
  <si>
    <t>PROCUREMENT AND DELIVERY OF OTHER SUPPLIES &amp; MATERIALS FOR THE 29TH BFP ANNIVERSARY CELEBRATION OF BFP R4A FY 2020</t>
  </si>
  <si>
    <t>Printing and Delivery of Modules</t>
  </si>
  <si>
    <t>Rehabilitation of Closed-Circuit Television System in the Office of the Chairman</t>
  </si>
  <si>
    <t>Adlaw sa Mananagat</t>
  </si>
  <si>
    <t>meals and accommodation for Consultation and Site validation with NCIP(Kisolon/Impasug-ong)</t>
  </si>
  <si>
    <t>Gasoline to be used in Project Monitoring, Site, Inspection and Delivery of Basic Services</t>
  </si>
  <si>
    <t>ITDI-200543 - SUPPLY AND DELIVERY OF BETA CAROTENE ANALYTICAL STANDARD</t>
  </si>
  <si>
    <t>20MF0090-Concreting of Norway Road, Brgy. Bannawag FMR, Pres. Quirino, Sultan Kudarat, Sta. 0+000-Sta.0+730</t>
  </si>
  <si>
    <t>CHO;2020-7-1970;MEDICAL SUPPLIES</t>
  </si>
  <si>
    <t>KK ASSEMBLY</t>
  </si>
  <si>
    <t>Supply &amp; Delivery of Five (5) Units of Duplicating Machine intended for the Reproduction of Learning Modules in Don Carlos, Bukidnon District Offices (Complete Bid)</t>
  </si>
  <si>
    <t>PSD-ARRS : 44	BOX	SURGICAL FACE MASK--10	PCS	HUMIDIFIER TO BE USE BY PSD STAFF</t>
  </si>
  <si>
    <t>RENOVATION OF GUESTHOUSE</t>
  </si>
  <si>
    <t>meals and accommodation for Consultation and Site validation with NCIP(Talakag)</t>
  </si>
  <si>
    <t>Procurement of Print Advertising Services for the Publication of the Invitation to Dredge of the Cagayan River Restoration Project</t>
  </si>
  <si>
    <t>Procurement of electrical supplies for the repair and maintenance of Naasog Elementary School</t>
  </si>
  <si>
    <t>Procurement of Adult Flu Vaccines and Syringe Kits for LGU Malay officials and employees</t>
  </si>
  <si>
    <t>“3rd Level Training, 4th Level Training and Enumeration Period of 2020 Census of Population &amp; Housing - Personal Protective Equipment</t>
  </si>
  <si>
    <t>MEDICAL SUPPLIES FOR THE USE OF DSWD PANTAWID STAFF DURING THE COVID-19 PANDEMIC</t>
  </si>
  <si>
    <t>Concreting of Local Road at Brgy. San Vicente Ogbon, Nabua, Camarines Sur</t>
  </si>
  <si>
    <t>FURNISHING &amp; DELIVERY OF ONE (1) UNIT LAPTOP FOR MINANGA ELEMENTARY SCHOOL</t>
  </si>
  <si>
    <t>Procurement of Food Catering Services for the 4th Level Training of the 2020 Census of Population and Housing</t>
  </si>
  <si>
    <t>Supply and Delivery of Materials for the Improvement of Brgy Rizal Rotunda, Center Island and Terminal Center Island</t>
  </si>
  <si>
    <t>purchase of rapid testing kits (COVID 19) for Municipal Health Office</t>
  </si>
  <si>
    <t>PURCHASE OF HARDWARE AND CONSTRUCTION MATERIALS</t>
  </si>
  <si>
    <t>Rehabilitation of Damaged Road, Brgy. San Roque Sagumay, Nabua, Camarines Sur</t>
  </si>
  <si>
    <t>ITB for the Supply and Delivery of ICT Supplies and Equipment</t>
  </si>
  <si>
    <t>Hired Pumpboat for TSEKAP and Multi-purpose Clinic at Brgy. Boco to Balagon</t>
  </si>
  <si>
    <t>Purchase of Hardware and Construction Supplies for BatStateU-ARASOF Nasugbu</t>
  </si>
  <si>
    <t>Invitation to Bid for the Construction of Multi-Purpose Drying Pavement (MPDP) @ Brgy. Cuantacla, Cabugao, Ilocos Sur</t>
  </si>
  <si>
    <t>Procurement of supplies for the reproduction of learning modules for the Quarter 1 of JHS and SHS</t>
  </si>
  <si>
    <t>FOD-L-20-2347 (Two-Failed Bidding): Procurement of Assorted Animal Feeds</t>
  </si>
  <si>
    <t>MEDICAL AND LABORATORY SUPPLIES/IB No. MM-2020-036(m)</t>
  </si>
  <si>
    <t>ITDI-200542 - SUPPLY AND DELIVERY OF VARIOUS ANALYTICAL STANDARDS</t>
  </si>
  <si>
    <t>AMP SVP-S NO: 20-08-0432 Appraisal Service II</t>
  </si>
  <si>
    <t>ROAD CONCRETING OF SITIO CAMPANGDAN</t>
  </si>
  <si>
    <t>RFQ - Foam Mattress</t>
  </si>
  <si>
    <t>RFQ 2020-08-037: SUPPLY AND DELIVERY OF DIESEL FUEL, GASOLINE AND 2T-OIL FOR MAINTENANCE SECTION, DPWH CDOC 2ND DEO, MACABALAN, CDOC</t>
  </si>
  <si>
    <t>Procurement of 1 lot Real - Time  Polymerase Chain Reaction (PCR) Workflow machines</t>
  </si>
  <si>
    <t>meals and accommodation for Consultation and Site validation with NCIP(Tudela)</t>
  </si>
  <si>
    <t>Procurement of materials for installation of window grills of Yapak Elementary School</t>
  </si>
  <si>
    <t>CONCRETING OF 330.0 L.M. FARM TO MARKET ROAD AT PUROK 2, Barangay Kaluknayan, Municipality of Lugait, Misamis Oriental.</t>
  </si>
  <si>
    <t>Procurement of Isoprophyl  Alcohol</t>
  </si>
  <si>
    <t>20MF0092-Repair/Maintenance of Reflective Thermoplastic Stripping Materials (Solid  Form) along Kidapawan-Allah Junction Road, K1673+(000)-K1673+393 (S00747MN), Tacurong City, Sultan Kudarat</t>
  </si>
  <si>
    <t>Supply &amp; Delivery of Thirteen (13) Units of Laptop intended for the Office Use of the Sangguniang Bayan Office in Don Carlos, Bukidnon (Complete Bid)</t>
  </si>
  <si>
    <t>Replacement Teleprompter Glass</t>
  </si>
  <si>
    <t>20MF0091-Concreting of Brgy. Sadsalan to Brgy. Udtong FMR, Brgy. Sadsalan and Brgy. Udtong, Lambayong, Sultan Kudarat, Sta.0+000-Sta. 0+896.7</t>
  </si>
  <si>
    <t>Agricultural Products/Seedlings</t>
  </si>
  <si>
    <t>Procurement of Various Medical Equipment - 6 items</t>
  </si>
  <si>
    <t>Office Supplies and Consumables</t>
  </si>
  <si>
    <t>Supply and Delivery of Toner for the Public Elementary and Secondary Schools for their Photocopying Machines</t>
  </si>
  <si>
    <t>RFQ-GEOTECHNICAL INVESTIGATION AND TOPOGRAPHICAL SURVEY</t>
  </si>
  <si>
    <t>Supply, Delivery and Installation of 1 Unit Large Format Printer of Bukidnon State University</t>
  </si>
  <si>
    <t>Supply &amp; Delivery of Various Construction Materials intended for the Rehabilitation of Female Comfort Room at the Municipal Building of Don Carlos, Bukidnon (Complete Bid)</t>
  </si>
  <si>
    <t>ITDI-200544 - SUPPLY AND DELIVERY OF NUTRIENTS IN SOIL PROFICIENCY TESTING SAMPLE</t>
  </si>
  <si>
    <t>materials for the Additional Funding for Spillway @ Sitio Binantangan, Calicanan</t>
  </si>
  <si>
    <t>ITDI-200546 - SUPPLY AND DELIVERY OF VARIOUS CERTIFIED REFERENCE MATERIALS</t>
  </si>
  <si>
    <t>Supply and Delivery of Rapid Test Kits</t>
  </si>
  <si>
    <t>29 units POWER SPRAYER</t>
  </si>
  <si>
    <t>Supply and Delivery of Electrical Supplies for the Improvement of Municipal Fish Port at Brgy. Tres, Calauag, Quezon</t>
  </si>
  <si>
    <t>CONCRETING/MAINTENANCE OF VARIOUS BARANGAY AND MUNICIPAL INFRASTRUCTURE</t>
  </si>
  <si>
    <t>MA-A2M20-027 Wrench Ratchet &amp; 3 others</t>
  </si>
  <si>
    <t>CO - Technical and Scientific Equipment</t>
  </si>
  <si>
    <t>LINGGO NG KABATAAN</t>
  </si>
  <si>
    <t>Procurement of Office Cleaning Supplies</t>
  </si>
  <si>
    <t>PROCUREMENT OF CERTIFICATION SERVICES FOR THE QUALITY MANAGEMENT SYSTEM OF SOUTHERN ISABELA MEDICAL CENTER UNDER ISO 9001:2015</t>
  </si>
  <si>
    <t>meals and accommodation for Consultation and Site validation with NCIP(Claveria/Gingoog)</t>
  </si>
  <si>
    <t>Supply and Delivery of One (1) Unit Brand New Bulldozer with Ripper for the use of Municipal Solid Waste Management Programs/Projects</t>
  </si>
  <si>
    <t>PROCUREMENT OF SPAREPARTS FOR THE MAINTENANCE OF MUNICIPAL VEHICLE</t>
  </si>
  <si>
    <t>DRRM SUPPLIES</t>
  </si>
  <si>
    <t>ITDI-200537 - SUPPLY AND DELIVERY OF FREQUENCY COUNTER</t>
  </si>
  <si>
    <t>Aquaculture Machinery and Equipment</t>
  </si>
  <si>
    <t>PROCUREMENT FOR MEDICAL SUPPLIES  P.R NO. 0765 SERIES 2020</t>
  </si>
  <si>
    <t>DRRM SUPPLIES 1</t>
  </si>
  <si>
    <t>PRINTER INK PR 0293</t>
  </si>
  <si>
    <t>CONSTRUCTION OF PERIMETER FENCE</t>
  </si>
  <si>
    <t>RSCC: 70 SACKS-COMMERCIAL RICE FOR THE CONSUMPTION OF  RSCC, 3RD QUARTER CONSUMPTION OF RSCC</t>
  </si>
  <si>
    <t>Procurement of Fuel and Oil</t>
  </si>
  <si>
    <t>Improvement / Rehabilitation of Various MDF Infra Projects - Cluster 5</t>
  </si>
  <si>
    <t>QM PABAC 033-20 Procurement of 1,715 sets PA Ballistic Helmet</t>
  </si>
  <si>
    <t>PROCUREMENT FOR MEDICAL SUPPLIES P.R NO. 0766 SERIES 2020</t>
  </si>
  <si>
    <t>IT Equipment for the Equipping of Operation Center of MDRRM Office</t>
  </si>
  <si>
    <t>HOG SCALE/POWER SPRAYER/WELDING MACHINE</t>
  </si>
  <si>
    <t>ITDI-200541 - SUPPLY AND DELIVERY OF POTASSIUM SORBATE AND SODIUM BENZOATE ANALYTICAL STANDARD</t>
  </si>
  <si>
    <t>SVP 1265-2020 Medicines</t>
  </si>
  <si>
    <t>Airconditioner Floor Standing 4hp, &amp; Split Type 2HP RFQ-2020-0810-239 PIMO</t>
  </si>
  <si>
    <t>PROCUREMENT FOR MEDICAL SUPPLIES  P.R NO. 0764 SERIES 2020</t>
  </si>
  <si>
    <t>Procurement of Consultancy Services of a Certifying Body (Firm) to Provide ISO 9001:2015 Certification to JJWC Secretariat Processes.</t>
  </si>
  <si>
    <t>Repair, Rehabilitation and Improvement of Various School Buildings – Cluster 3 – (BEFF-2020-R-B2-C3)</t>
  </si>
  <si>
    <t>Procurement of Materials for the Construction of New Barangay Health Station</t>
  </si>
  <si>
    <t>IMPROVEMENT OF MULTI-PURPOSE HALL AND STEEL FENCE</t>
  </si>
  <si>
    <t>COVID-RELATED MATERIALS</t>
  </si>
  <si>
    <t>Purchase of Materials for the Const. of Community Stage, Brgy. Caguisanan, Lambunao, Iloilo</t>
  </si>
  <si>
    <t>CONCRETING OF 167.0 L.M. FARM TO MARKET ROAD AT SITIO TONGAON, Barangay Calangahan, Municipality of Lugait, Misamis Oriental.</t>
  </si>
  <si>
    <t>Procurement of educational materials and supplies</t>
  </si>
  <si>
    <t>Construction of Footbridge</t>
  </si>
  <si>
    <t>Purok 3, Brgy.2 Road Improvement</t>
  </si>
  <si>
    <t>Tignapoloan NHS- printer, printer inks and bondpapers for module reproduction</t>
  </si>
  <si>
    <t>2020-08-0197 - SUPPLY AND DELIVERY OF ONE (1) ASSEMBLY OF RACK AND PINION FOR THE REPAIR OF SERVICE VEHICLE, MITSUBISHI PAJERO (BEK 401) - MAINTENANCE SECTION</t>
  </si>
  <si>
    <t>PROCUREMENT FOR MEDICAL SUPPLIES P.R NO. 0768 SERIES 2020</t>
  </si>
  <si>
    <t>MA-A2O20-007 Trimming Branches of Trees, AG1</t>
  </si>
  <si>
    <t>Supply and Delivery of Information and Communication Equipment for the use of Sangguniang Bayan/Vice Mayor’s Office</t>
  </si>
  <si>
    <t>Procurement of One (1) Lot Various Supplies and Equipment for the Upgrading of Network/Internet Connectivity of the University ( 2nd Posting)</t>
  </si>
  <si>
    <t>KEN DRY</t>
  </si>
  <si>
    <t>MA-A2M20-030 110VA, 440/220/110 VAC Control Transformer</t>
  </si>
  <si>
    <t>MA-A2M20-047 Abrasive Micro finishing, Film Waterproof, &amp; 5 others</t>
  </si>
  <si>
    <t>meals and snacks for Municipal Fiduciary workshop-kitaotao &amp; kibawe</t>
  </si>
  <si>
    <t>CAPITAL OUTLAY (San Luis, Aurora)</t>
  </si>
  <si>
    <t>Installation of Street Lighting System at Purok 1, 2 and 3, Barangay Mabini, SJOM</t>
  </si>
  <si>
    <t>Supply and Delivery of Polo Shirts for the TESDA 26th Anniversary</t>
  </si>
  <si>
    <t xml:space="preserve">40 pc – Ink, T664, black for Epson L300 printer/L310 printer  15 pc – Ink, cyan T6642 for Epson L300 printer/L310 printer  15 pc – Ink, magenta T6643 for Epson L300 printer/L310 printer  15 pc – Ink, </t>
  </si>
  <si>
    <t>REPAIR/RENOVATION OF DIRECTORATE FOR ADMINISTRATION OFFICE</t>
  </si>
  <si>
    <t>Procurement of Various  Cameras and Laptop Computers (2nd Posting)</t>
  </si>
  <si>
    <t>REQUEST FOR QUOTATION (RFQ) SUPPLY AND DELIVERY OF DIGITAL BAROMETER UNDER EMB-ERLSD-ENVIRONMENTAL LABORATORY SERVICES SECTION (ELSS)-ECMU</t>
  </si>
  <si>
    <t>Provision of School Supplies for Children Registered in Child Development Centers</t>
  </si>
  <si>
    <t>Purchase of Bond Papers and Inks for JHS</t>
  </si>
  <si>
    <t>S/D of 4 pcs	V5000 SFF Expansion &amp; 12 others</t>
  </si>
  <si>
    <t>PROCUREMENT FOR MEDICAL SUPPLIES  P.R NO. 0767 SERIES 2020</t>
  </si>
  <si>
    <t>Installation of Solar Street Lights at Purok 5, Barangay Mabini, SJOM</t>
  </si>
  <si>
    <t>EDUCATIONAL SUPPLIES</t>
  </si>
  <si>
    <t>CATERING SERVICES GSMO 50,000.00</t>
  </si>
  <si>
    <t>Purchase of Bond Papers and Inks</t>
  </si>
  <si>
    <t>Installation of Street Lighting System (Solar) at Purok 4, Barangay Mabini, SJOM</t>
  </si>
  <si>
    <t>HYGIENE SUPPLY</t>
  </si>
  <si>
    <t>Catering Services for 200 pax in connection with "Hugpong para sa Tumandok", A Caravan of Government Services RFQ NO 2020-092</t>
  </si>
  <si>
    <t>PROCUREMENT OF PRINTING/REPRODUCTION OF LEARNING MODULES AND ANSWER SHEETS FOR NORTH CITY CENTRAL SCHOOL,DIVISION OF CAGAYAN DE ORO CITY</t>
  </si>
  <si>
    <t>INSTRUCTIONAL MATERIALS</t>
  </si>
  <si>
    <t>Procurement of Mobile Water Treatment Plant in enclosed trailer van</t>
  </si>
  <si>
    <t>meals and accommodation for Consultation and Site validation with NCIP(Oroquieta)</t>
  </si>
  <si>
    <t>Purchase of Construction Materials used for the Improvement of Drainage Canal with Steel Grating at Anita Compound (Labasan), Brgy. Sta. Ana, San Mateo, Rizal</t>
  </si>
  <si>
    <t>Reproduction of Self-Learning Modules for Elementary and Junior High School</t>
  </si>
  <si>
    <t>Medical supplies-SHS</t>
  </si>
  <si>
    <t>Procurement for the Provision of Five (5) Security Personnel with Supplies, Materials and Equipment for CY 2020 (Sept 01 to Dec 31, 2020)</t>
  </si>
  <si>
    <t>Supply and Delivery of Laboratory Supplies</t>
  </si>
  <si>
    <t>PROCUREMENT OF RISOGRAPH MACHINE</t>
  </si>
  <si>
    <t>Supply and Delivery of Laptops and Other Items</t>
  </si>
  <si>
    <t>Upgrading and Improvement of Barangay Road</t>
  </si>
  <si>
    <t>Supply and Delivery of One (1) unit Laptop with specifications for the official use of eRPTAS System and ARC GIS Software , Brooke’s Point, Palawan</t>
  </si>
  <si>
    <t>Printing of Modules for Soldiers'Hills Elementary School</t>
  </si>
  <si>
    <t>Supply and Delivery of Monobloc Chairs</t>
  </si>
  <si>
    <t>rfq</t>
  </si>
  <si>
    <t>PURCHASE AND INSTALLATION OF WEIGHBRIDGE EQUIPMENT FOR CY 2020 - TURBINA, CALAMBA CITY, LAGUNA</t>
  </si>
  <si>
    <t>Construction/Rehabilitation/Improvement/Widening of Local Roads @ Natunuan North, San Pascual, Batangas</t>
  </si>
  <si>
    <t>MA-A2M20-049 Caliper Venier, Digital 0-150mm Mass 168 &amp; 4 others</t>
  </si>
  <si>
    <t>MA-A2A20-003 Alcohol Isopropyl 500ml &amp; 48 others</t>
  </si>
  <si>
    <t>PREVENTIVE MAINTENANCE AND CALIBRATION SERVICES OF UNICO UV VIS 4802 SPECTROPHOTOMETER (S/N: DBK18101805010) WITH SUPPLY, DELIVERY AND INSTALLATION OF SPARE PARTS UNDER EMB-ERLSD-ECMU</t>
  </si>
  <si>
    <t>Procurement of School supplies and medical kit</t>
  </si>
  <si>
    <t>Supply and Delivery of Electrical Materials for the repair and maintenance of Public Market electrical line and insulation, Brooke’s Point, Palawan.</t>
  </si>
  <si>
    <t>Supply and Delivery of Heavy duty (HDPE) reusable 95kPa-Rated canisters</t>
  </si>
  <si>
    <t>Services of an Event Management Company to Conduct the Motivational and Inspirational Leadership Webinars</t>
  </si>
  <si>
    <t>Supply and Delivery of Construction Materials - Repair/Rehabilitation of Municipal SB Office</t>
  </si>
  <si>
    <t>Procurement of Instrument Transformer Tester</t>
  </si>
  <si>
    <t>MISSION ROAD IMPROVEMENT</t>
  </si>
  <si>
    <t>ITDI-200535 - SUPPLY AND DELIVERY OF FACE MASK AND VARIOUS LABORATORY SUPPLIES</t>
  </si>
  <si>
    <t>Procurement of Office Supplies - DepEd-Secondary</t>
  </si>
  <si>
    <t>20GFE0018- PROCUREMENT OF FUEL, OIL, LUBRICANT AND SPARE PARTS FOR QUALITY ASSURANCE SECTION</t>
  </si>
  <si>
    <t>Common Office Supplies for Miglamin National High School</t>
  </si>
  <si>
    <t>Invitation to Bid for RENTAL OF VENUE, ACCOMMODATION AND PROVISION OF MEALS FOR COMPREHENSIVE DEVELOPMENT PLAN (CDP) WORKSHOP</t>
  </si>
  <si>
    <t>20GAA0158: Supply &amp; Delivery of Reflectorized Paint (white-59 pails) &amp; Paint Products for use in the Repainting of Concrete Parapet along Laoag-Sarrat-Piddig-Solsona Road, Ilocos Norte-Apayao Road and</t>
  </si>
  <si>
    <t>CATERING SERVICES 513ECB 61,250.00</t>
  </si>
  <si>
    <t>Procurement of Two (2) units Laptop - DepEd-SSD</t>
  </si>
  <si>
    <t>SUPPLY AND DELIVERY OF AGRICULTURAL FARM MACHINERIES (Electric water pumps &amp; Diesel water pumps)</t>
  </si>
  <si>
    <t>PROVISION OF FARM MACHINERIES/EQUIPMENT UNDER THE CLIMATE RESILIENT FARM PRODUCTIVITY SUPPORT (CRFPS) PROJECTS</t>
  </si>
  <si>
    <t>PROCUREMENT AND DELIVERY OF MEDICAL SUPPLIES FOR USE DURING THE STATE OF HEALTH EMERGENCY DUE TO COVID 19</t>
  </si>
  <si>
    <t>20GAA0156: Supply &amp; Delivery of Asphalt Sealant (224 bags) for use in the Repair and Maintenance along MNR, Ilocos Norte 1st District</t>
  </si>
  <si>
    <t>REQUEST FOR QUOTATION (RFQ) SUPPLY AND DELIVERY OF PERSONNAL PROTECTIVE EQUIPMENT UNDER EMB-ERLSD-ELSS</t>
  </si>
  <si>
    <t>20GAA0155: Supply &amp; Delivery of Thermoplastic Paint (white), Glass Beads, Primer &amp; Calsumine for the Repair &amp; Maintenance along MNR, Laoag City to Pagudpud, Ilocos Norte KO487+(-418) - KO589+059</t>
  </si>
  <si>
    <t>IP BASED CCTV- 21 CAMERAS WITH FIBER OPTIC CABLING BACKBONE</t>
  </si>
  <si>
    <t>20GAA0154: Supply &amp; Delivery of Asphalt Cement Penetration Grade 60/70 (64 drums) for the Repair &amp; Maintenance along MNR, Ilocos Norte First District</t>
  </si>
  <si>
    <t>Supply and Delivery of Meals &amp; Snacks, Tarpaulin and venue to be use for the preparation and drafting of schedule of Market Values of Southern Municipalities of Palawan in line with the preparation of</t>
  </si>
  <si>
    <t>Office Supplies SHS 820</t>
  </si>
  <si>
    <t>20GAA0157: Supply &amp; Delivery of Construction Materials for use in the Repair of Damaged/Distressed/Open Manhole and Canal Lining along MNR, Pasuquin-Burgos, Ilocos Norte</t>
  </si>
  <si>
    <t>Office Supplies and Devices for Gender and Development and Guidance Office</t>
  </si>
  <si>
    <t>PRAS NO. 2020-08-075 CATERING SERVICES</t>
  </si>
  <si>
    <t>Supply and delivery of Office Equipment for the use of Municipal Engineering Office Use, Brooke’s Point, Palawan.</t>
  </si>
  <si>
    <t>PROCUREMENT OF LAURYL BROTH (LTB) AND PLATE COUNT AGAR FOR REAGENT USE FOR MTFT (PACKAGE A BACTERIOLOGICAL TESTING)</t>
  </si>
  <si>
    <t>Procurement of Concreting of Barangay Road @ Barangay- Langon</t>
  </si>
  <si>
    <t>20GAA0153: Supply &amp; Delivery of Fine Aggregates for use in the Repair and Maintenance along MNR, Ilocos Norte 1st District</t>
  </si>
  <si>
    <t>1 Unit Dot Matrix Printer</t>
  </si>
  <si>
    <t>OFFICE EQUIPMENT PR 0291</t>
  </si>
  <si>
    <t>Procurement of Concreting of Barangay Road @ Barangay - Tigbanuang</t>
  </si>
  <si>
    <t>Procurement of Wooden Medals - MO</t>
  </si>
  <si>
    <t>20GAA0159: Supply &amp; Delivery of Emulsified Asphalt SS-1 for the Repair &amp; Maintenance along MNR and  various Laoag City Roads, Laoag-Sarrat-Piddig-Solsona Road and Ilocos Norte-Apayao Road, INFDEO, Lao</t>
  </si>
  <si>
    <t>Request for Quotation for 120 Can Preschool Age Milk 0430</t>
  </si>
  <si>
    <t>ITDI-200527 - SUPPLY AND DELIVERY OF WATER BATH</t>
  </si>
  <si>
    <t>Procurement of Supplies &amp; Equipment</t>
  </si>
  <si>
    <t>Procurement of Three (3) units Ptohocopier - DepEd-SSD</t>
  </si>
  <si>
    <t>ITDI-200526 - SUPPLY AND DELIVERY OF MICROCENTRIFUGE</t>
  </si>
  <si>
    <t>Medical Supplies &amp; Laboratory Instrument</t>
  </si>
  <si>
    <t>Printing of Self-Learning Modules for First Quarter Week 2-7</t>
  </si>
  <si>
    <t>PROCUREMENT OF MATERIALS FOR REPRODUCTION OF LEARNING RESOURCES</t>
  </si>
  <si>
    <t>Procurement of various Office Supplies</t>
  </si>
  <si>
    <t>OFFICE SUPPLIES PR 0292</t>
  </si>
  <si>
    <t>Procurement of Fourteen (14) units Laptop - DepEd-Secondary</t>
  </si>
  <si>
    <t>ITB - PROCUREMENT OF CONSTRUCTION MATERIALS AND SUPPLY FOR BRGY ROAD CONCRETING</t>
  </si>
  <si>
    <t>Safety and Occupational Products for COVID-19 period</t>
  </si>
  <si>
    <t>ITDI-200525 - SUPPLY AND DELIVERY OF LAPTOP</t>
  </si>
  <si>
    <t>Drugs and Medicines for the COVID-19 period</t>
  </si>
  <si>
    <t>REHABILITATION OF HANDWASHING AND TOILETS FOR MALE PUPILS</t>
  </si>
  <si>
    <t>20GFL0006-Supply and delivery of various office supplies for use of personnel/employees of DPWH Sorsogon 2nd DEO for 3rd Quarter, CY 2020</t>
  </si>
  <si>
    <t>Generator Unit for Emergency OpCen</t>
  </si>
  <si>
    <t>SUPPLY &amp; DELIVEY OF MATERIALS FOR THE CONSTRUCTION OF WAITING SHEDS</t>
  </si>
  <si>
    <t>20GAA0161: Procurement of Batteries, Spare Parts and Oil Products for use in the Corrective Maintenance of Service Vehicle, Toyota  Hilux SBP-795 (HI-3405), Toyota Pick-up YN50L SBP-928 (HI-3082), For</t>
  </si>
  <si>
    <t>Construction of Brgy. Casambalangan Covered Walk</t>
  </si>
  <si>
    <t>VARIOUS OFFICE SUPPLIES CONSUMABLES</t>
  </si>
  <si>
    <t>Reverse Osmosis Membrane</t>
  </si>
  <si>
    <t>20GAA0160: Supply &amp; Delivery of Thermoplastic Paint (yellow), Glass Beads, Primer &amp; Calsumine for use in the Repair &amp; Maintenance along MNR, Laoag City to Pagudpud, Ilocos Norte KO487+(-418) - KO589+0</t>
  </si>
  <si>
    <t>CENTRAL VENOUS CATHETER FOR QUOTATION</t>
  </si>
  <si>
    <t>Purchase of 1 unit Suzuki FB Scrum Type (RE/CE)</t>
  </si>
  <si>
    <t>CONSTRUCTION OF CONCRETE PATHWAY &amp; LINED CANAL</t>
  </si>
  <si>
    <t>Purchase of materials for the Improvement of CICL/ CFW Balay Dalangpan (Storage Facility), Pob. Ilawod, Lambunao, Iloilo</t>
  </si>
  <si>
    <t>B20200307 - AMBULANCE FOR PEO USE</t>
  </si>
  <si>
    <t>Supply, Delivery and Installation of High Performance Wireless Radio for Point-to-Point Transmission</t>
  </si>
  <si>
    <t>2020-08-049 Purchase of Air Conditioning Units for Upper Kalinga District Engineering Office /20GPK0074</t>
  </si>
  <si>
    <t>Procurement of Construction Materials to be used for the repairs and improvements of Registrar's Office and External Affair Office of Mabalacat City College</t>
  </si>
  <si>
    <t>Supply and deliver paper, multi-purpose (copy) A4, Substance 20</t>
  </si>
  <si>
    <t>Rehabilitation of Farm to Market Road-(Daniel Section) Banbanaal</t>
  </si>
  <si>
    <t>Supply Technical Services for the On-Site Diagnostics Repair of Unit #3, 544 KW, Perkins Genset of Sitangkai DPP, Mechanical and Electrical Evaluation, Diagnostic and Troubleshooting (S3-SIT20-016 (Ex</t>
  </si>
  <si>
    <t>Environmental Health Supplies for COVID-19 period</t>
  </si>
  <si>
    <t>Construction of Multi-Purpose Pavement-Plaza Naguimba</t>
  </si>
  <si>
    <t>G-2020-0089 Labor and Parts for use in the replacement of injection pump and conversion to manual of service vehicle Isuzu Bighorn, Plate No. 123008 assigned in the Quality Assurance Section, DPWH-SC2</t>
  </si>
  <si>
    <t>Procurement of Face Shields for 2020 Census of Population and Housing - BATAAN</t>
  </si>
  <si>
    <t>Office Supplies and Office consumables</t>
  </si>
  <si>
    <t>Supply and Delivery of Spare Parts for Plate# SLG-211</t>
  </si>
  <si>
    <t>SUPPLY AND DELIVERY OF VARIOUS COMMUNICATION EQUIPMENT AND DIGITAL DISCUSSION SYSTEM (SECOND BIDDING)</t>
  </si>
  <si>
    <t>Supply and Delivery of Construction Materials at Kasilayan CIS</t>
  </si>
  <si>
    <t>TESDA EMBLEM PR 0295</t>
  </si>
  <si>
    <t>Procurement of Communications Supply (Cellcards)</t>
  </si>
  <si>
    <t>Rehabilitation of Brgy. Multi-Purpose Hall</t>
  </si>
  <si>
    <t>RFQ-MPBRIS-G-32-2020 Supply and Delivery of construction materials for use in the Forced Account Works CY 2020 of Mainit RIS (Alangalang).</t>
  </si>
  <si>
    <t>Procurement of Electrical Wiring Materials to be used for the repairs and improvements of classrooms and offices of Mabalacat City College- Madapdap.</t>
  </si>
  <si>
    <t>Van Rental to transport PSA Regular Employees during the Supervision for the 2020 Census of Population and Housing (CPH) 4th Level Training.</t>
  </si>
  <si>
    <t>ITDI-200528 - SUPPLY AND DELIVERY OF HOTPLATE STIRRER</t>
  </si>
  <si>
    <t>20GHI0029 Construction Materials and Supplies</t>
  </si>
  <si>
    <t>Construction of Slope Protection-(Franklin Gacusana Section) Casilagan  orte</t>
  </si>
  <si>
    <t>ITDI-200529 - SUPPLY AND DELIVERY OF REFRIGERATOR</t>
  </si>
  <si>
    <t>Construction of Slope Protection-(Arc Section) Elefante</t>
  </si>
  <si>
    <t>Acquisition of Furniture and Fixtures</t>
  </si>
  <si>
    <t>RFQ-MPBRIS-G-33-2020 Supply and Delivery of construction materials for use in the Forced Account Works CY 2020 of Mainit RIS ( San Miguel).</t>
  </si>
  <si>
    <t>Purchase and Upgrading of Chemistry and Physics Laboratory Equipment</t>
  </si>
  <si>
    <t>PRINTER INK PR 0297</t>
  </si>
  <si>
    <t>Purchase of laptops and printer toner cartridges for the conduct of the Online ICS and EOC Executive Courses training</t>
  </si>
  <si>
    <t>PURCHASE OF ONE (1) UNIT GARBAGE COMPACTOR</t>
  </si>
  <si>
    <t>IT supplies for Trust 2020-06-108</t>
  </si>
  <si>
    <t>ITB - PROCUREMENT OF CONSTRUCTION MATERIALS AND SUPPLY FOR CONSTRUCTION OF MULTI-PURPOSE BLDG (PHASE II)</t>
  </si>
  <si>
    <t>Improvement of School Building (3 classrooms)</t>
  </si>
  <si>
    <t>LINGAY MULTI-PURPOSE HALL CONTINUATION</t>
  </si>
  <si>
    <t>Procurement of Construction Materials to be used for the repairs and improvements of the Prosecutor's Office</t>
  </si>
  <si>
    <t>Procurement of Construction Materials to be used for the repairs and improvements of the Public Cemetery</t>
  </si>
  <si>
    <t>furnishing of materials for the regravelling of farm to market road</t>
  </si>
  <si>
    <t>Procurement of Construction Materials to be used for the repairs and improvements of classrooms and offices of Mabalacat City College-Main</t>
  </si>
  <si>
    <t>COST OF IMPROVEMENT (BACKFILLING) OF BARAS KASARINLAN ECO PARK, BRGY. SANTIAGO,  BARAS, RIZAL</t>
  </si>
  <si>
    <t>COST OF CONSTRUCTION OF ROOFING EXTENSION AT RHU II, SOUTHVILLE 9, PHASE 2, BRGY. PINUGAY, BARAS, RIZAL</t>
  </si>
  <si>
    <t>Supply and Delivery of  Medicines</t>
  </si>
  <si>
    <t>ORGANIC AGRICULTURE 3RD PARTY CERTIFICATION</t>
  </si>
  <si>
    <t>Purchase of Food Supplies</t>
  </si>
  <si>
    <t>Procurement of Electrical Wiring Materials to be used for the repairs and improvements of the 3 Offices and 4 Comfort Room in the Rented Commercial Spaces at Xevera.</t>
  </si>
  <si>
    <t>CONSTRUCTION OF PERIMETER FENCE AT CENTRAL MRF</t>
  </si>
  <si>
    <t>Purchase of Various Office Furnitures and Accessories for the use of the  (ICT) CSWDO, City of Talisay</t>
  </si>
  <si>
    <t>P.R. No. 2020-07-082 Supply and Delivery of Computer Parts, Accessories, and Peripherals for DPWH Leyte First District Engineering Office Use</t>
  </si>
  <si>
    <t>Supply and Delivery of Construction Materials at Andanan RIS</t>
  </si>
  <si>
    <t>Embankment of Pathways &amp; Playground</t>
  </si>
  <si>
    <t>Procurement of Construction Materials to be used for the repairs and improvements of the 3 Offices and 4 Comfort Room in the Rented Commercial Spaces at Xevera.</t>
  </si>
  <si>
    <t>Printing services</t>
  </si>
  <si>
    <t>Rental of Service Vehicle Chargeable to CY 2020 Annual Maintenance Work Program (AMWP) for Inspection and Supervision of Routine/Periodic Maintenance for Roads and Bridges Projects along Banisilan-Gui</t>
  </si>
  <si>
    <t>PROCUREMENT OF OFFICE EQUIPMENT FOR THE OFFICE OF THE MUN. VICE-M,AYOR</t>
  </si>
  <si>
    <t>Procurement of Construction Materials to be used for the repairs and improvements of classrooms and offices of Mabalacat City College- Madapdap</t>
  </si>
  <si>
    <t>Procurement of Paint and painting materials to be used for the repainting of classrooms and offices of Mabalacat City College- Madapdap</t>
  </si>
  <si>
    <t>Purchase of Various Information Technology for the use City Social Welfare Development Office (CSWDO), City of Talisay</t>
  </si>
  <si>
    <t>REPRODUCTION OF LR ( MODULES AND ACTIVITY sHEETS</t>
  </si>
  <si>
    <t>CLUSTER 1 a. Rehabilitation of Drainage Purok Riverside Barangay 1, Lucena City b. Construction of Drainage Purok Pitong Gatang, Barangay 1, Lucena City</t>
  </si>
  <si>
    <t>PROCUREMENT OF VEGETABLE SEEDS AND FERTILIZERS</t>
  </si>
  <si>
    <t>Rental of Service Vehicle for Supervision/Implementation of Regular Infra Projects (September 1-15, 2020) (Equipment Rental Only)</t>
  </si>
  <si>
    <t>PR 171-20 - Various Supplies and Materials</t>
  </si>
  <si>
    <t>PROCUREMENT OF OFFICE SUPPLIES -BAYANGA ES</t>
  </si>
  <si>
    <t>CONSTRUCTION OF CULONG DAY CARE CENTER</t>
  </si>
  <si>
    <t>SUPPLY OF LABOR, MATERIALS AND TECHNICAL SUPERVISION TO UNDERTAKE DISINFECTION SERVICES (INTERIOR AND EXTERIOR DECONTAMINATION)</t>
  </si>
  <si>
    <t>Rental of Service Vehicle for Roads and Bridges Investigation Activities for DPWH Projects (September 1-15, 2020) (Equipment Rental Only)</t>
  </si>
  <si>
    <t>PROCUREMENT OF OFFICE EQUIPMENT FOR THE OFFICE OF THE MUNICIPAL MAYOR</t>
  </si>
  <si>
    <t>Construction of Slope Protection-Bagbag, Bagbagotot</t>
  </si>
  <si>
    <t>Purchase of Various Information Technology for the use of the Business Permit and Licensing Office (BPLO)</t>
  </si>
  <si>
    <t>Road Concreting</t>
  </si>
  <si>
    <t>Rehabilitation of Evacuation Center</t>
  </si>
  <si>
    <t>PROCUREMENT OF OFFICE EQUIPMENT (HRMO)</t>
  </si>
  <si>
    <t>Rental of Service Vehicle Chargeable to CY 2020 Annual Maintenance Work Program (AMWP) for Inspection and Supervision of Routine/Periodic Maintenance for Roads and Bridges along Makilala-Allah Valley</t>
  </si>
  <si>
    <t>Procurement of Painting Materials to be used for the repairs and improvements of the 3 Offices and 4 Comfort Room in the Rented Commercial Spaces at Xevera.</t>
  </si>
  <si>
    <t>Rental of Service Vehicle for Road Slope and Survey Investigation Activities for DPWH Projects (September 1-15, 2020) (Equipment Rental Only)</t>
  </si>
  <si>
    <t>P.R. No. 2020-07-083 Supply and Delivery of Office Equipment Supplies and Consumables for DPWH Leyte First District Engineering Office</t>
  </si>
  <si>
    <t>Construction of Slope Protection/Footbridge-(Llaneza Section) Pila</t>
  </si>
  <si>
    <t>Rental of Construction Equipment</t>
  </si>
  <si>
    <t>1 LOT SUPPLY &amp; DELIVERY OF FITTINGS (22 ITEMS) FOR ROSENDO PUMPING STATION REACTIVATION</t>
  </si>
  <si>
    <t>INSTALLATION OF PROTECTIVE SHIELDS IN E-CLASSROOM, FACULTY AND PRINCIPAL'S OFFICE</t>
  </si>
  <si>
    <t>Construction of MRF Building</t>
  </si>
  <si>
    <t>RFQ No. 20-0723 NP-SV (Supply and Delivery of Dental Supplies for Clinic Use)</t>
  </si>
  <si>
    <t>PURCHASE OF MATERIALS FOR FIRE FIGHTING RESCUE AND SAFETY</t>
  </si>
  <si>
    <t>One Lot Office Supplies for Modular Learning Scheme No. 20-08-247</t>
  </si>
  <si>
    <t>PROCUREMENT OF 11 UNITS iPAD FOR THE OFFICE OF THE SANGGUNIANG BAYAN</t>
  </si>
  <si>
    <t>PROCUREMENT OF OTHER SUPPLIES AND MATERIALS</t>
  </si>
  <si>
    <t>PROCUREMENT OF MATERIALS FOR THE MODULE</t>
  </si>
  <si>
    <t>PROCUREMENT OF DESIGN, SUPPLY, INSTALLATION, AND COMMISSIONING OF THEATRE CINEMA PROJECTION, EQUIPMENT AND AUDIO SYSTEM FOR THE METROPOLITAN THEATRE</t>
  </si>
  <si>
    <t>SUPPLY AND DELIVERY OF CONSTRUCTION MATERIALS FOR THE CONSTRUCTION OF BARANGAY ROADS (T=0.23M, W=5M, L=55M)</t>
  </si>
  <si>
    <t>accounting Supplies</t>
  </si>
  <si>
    <t>SUPPLY AND DELIVERY OF CONSTRUCTION MATERIALS FOR THE REHABILITATION OF MULTI-PURPOSE HALL</t>
  </si>
  <si>
    <t>PURCHASE OF HYGIENE AND MEDICINE KITS</t>
  </si>
  <si>
    <t>SUPPLY AND DELIVERY OF CONSTRUCTION MATERIALS FOR THE REHABILITATION OF STREET LIGHTS</t>
  </si>
  <si>
    <t>Construction of Multi-Purpose Pavement Purok II, Barangay 9, Lucena City</t>
  </si>
  <si>
    <t>Construction/ Expansion of Public Cemetery Perimeter Tomb Phase 3</t>
  </si>
  <si>
    <t>PROCUREMENT OF FURNITURES FOR THE OFFICE OF THE MUNICIPAL MAYOR</t>
  </si>
  <si>
    <t>Supply and Delivery of Wireless Headphones</t>
  </si>
  <si>
    <t>Purchase of Disaster Equipment</t>
  </si>
  <si>
    <t>PROCUREMENT OF DEVELOPMENT AND PRINTING SERVICES FOR EVERYDAY CULTURE BOOK (A Series of Books on the School of Living Traditions)</t>
  </si>
  <si>
    <t>Rental of Service Vehicle for Use in Supervision of Various Projects within the Cotabato Sub-District Engineering office assigned in the Quality Assurance Section (1 unit 4x4) (September 1-15, 2020) (</t>
  </si>
  <si>
    <t>for SET 909(repair and maintenance)</t>
  </si>
  <si>
    <t>PROCUREMENT OF OTHER SUPPLIES</t>
  </si>
  <si>
    <t>for mounting of the televisions purchased for the workshops</t>
  </si>
  <si>
    <t>Supply and Delivery of Long Expanded Plastic Envelope with Handle</t>
  </si>
  <si>
    <t>PROCUREMENT OF  DIESEL</t>
  </si>
  <si>
    <t>for Assessment Centers Compliance</t>
  </si>
  <si>
    <t>Printing and Delivery of Modules in ALS</t>
  </si>
  <si>
    <t>PROCUREMENT OF  FUEL AND OIL</t>
  </si>
  <si>
    <t>Purchase of Various Essential School Supplies</t>
  </si>
  <si>
    <t>1 Lot Catering services for 112 participants for conducting Updates on Infection, Prevention &amp; Control &amp; Mental Health Awareness at Abuyog District Hospital. ABC PHP56,000.00</t>
  </si>
  <si>
    <t>Supply &amp; Delivery of 1,000 pcs. BN Face Shield</t>
  </si>
  <si>
    <t>Admin Supplies</t>
  </si>
  <si>
    <t>PR 174-20 - Office Supplies</t>
  </si>
  <si>
    <t>Purchase of laboratory supplies for the use of Orani District Hospital</t>
  </si>
  <si>
    <t>Purchase of Rubber boots and Raincoats</t>
  </si>
  <si>
    <t>Purchase of Various Office Furnitures and Accessories for the use of the Community Affairs, City of Talisay</t>
  </si>
  <si>
    <t>Add’l Plastic Storage Boxes for Distribution of JHS Modules</t>
  </si>
  <si>
    <t>medical supply &amp; equipment</t>
  </si>
  <si>
    <t>PROPER BOLOG - CEMETERY PATHWAY CONCRETING</t>
  </si>
  <si>
    <t>Concreting of Barangay Road (Purok 7,2,3)</t>
  </si>
  <si>
    <t>ITB NO. GOP/20-DSWD-046 - Supply and Delivery of Laptop and Desktop Computers for DSWD Central Office and Field Offices</t>
  </si>
  <si>
    <t>RFQ-GS-20200720-07 - 1 Lot Supply and Delivery of Various Steel Cabinets at LANDBANK Balingasag (Misamis Oriental) Branch</t>
  </si>
  <si>
    <t>C20204226 Customized Face Mask for diff municipalities and cities of DDN</t>
  </si>
  <si>
    <t>LOT Procurement of MATERIALS for Use in the Improvement of Davao Oriental Provincial Museum/Subangan (Roof Dome) at City of Mati, Davao Oriental</t>
  </si>
  <si>
    <t>MOTORCYCLE BARANGAY PATROL</t>
  </si>
  <si>
    <t>Procurement of Animal Feeds for PCC at MMSU</t>
  </si>
  <si>
    <t>BIDA Sticker on Xintra Board Standee</t>
  </si>
  <si>
    <t>For use of Office of the Cooperative Officer for CY 2020</t>
  </si>
  <si>
    <t>LOT Procurement of GROCERY GOODS in Support to Individuals Under the Enhanced Community Quarantine due to COVID-19 per Presidential Proclamation 929 and as Adapted by the Provincial Government of Dava</t>
  </si>
  <si>
    <t>Supply and Delivery of 3 Units Digital Duplicator (RISOGRAPH MACHINE)</t>
  </si>
  <si>
    <t>RFQ - Procurement of Goods: Musical Instrument Parts &amp; Accesories for the use of CMO - Music (PR#100-20-08-0021)</t>
  </si>
  <si>
    <t>Cont. Ref. No. 104-20: Concreting to Monterrazas – Baguio Gold Barangay road – Tuding at Barangay Tuding, Itogon, Benguet</t>
  </si>
  <si>
    <t>Request for Quotation on Provision of Office Supplies</t>
  </si>
  <si>
    <t>Supply  And Delivery of Diesel for DEPS Buligay</t>
  </si>
  <si>
    <t>PROCUREMENT OF LABORATORY EQUIPMENT</t>
  </si>
  <si>
    <t>IT Communication</t>
  </si>
  <si>
    <t>RFQ-GS-20200713-05 - 1 Lot Supply, Delivery and Installation of Office Furniture at LANDBANK Surigao Branch</t>
  </si>
  <si>
    <t>Procurement and Installation of CCTV set at PNP Stn.</t>
  </si>
  <si>
    <t>Procurement of Construction Materials (Office Partition with Sliding Door and Tint of the DAB, OCM – BARMM)</t>
  </si>
  <si>
    <t>Procurement of Step-down Transformer</t>
  </si>
  <si>
    <t>Procurement of Pipe Chain Tong</t>
  </si>
  <si>
    <t>Conversion of Room 108 of the Academic Building into Food Technology Laboratory Room, College of Industrial Technology,  MMSU, City of Laoag</t>
  </si>
  <si>
    <t>PROVISION FOR FOOD ASSISTANCE TO SOLO PARENTS, INDIGENT WOMEN, SENIOR CITIZENS &amp; PWDs</t>
  </si>
  <si>
    <t>Cont. Ref. No. 103-20: Rehabilitation of Bagueng Penged  CIS at Tinongdan, Itogon, Benguet</t>
  </si>
  <si>
    <t>Labor &amp; Mat for Rep &amp; Maint of 4 units Govt Vehicle</t>
  </si>
  <si>
    <t>Supply And Delivery of Diesel for HE use in Road Rehabilitation- Island</t>
  </si>
  <si>
    <t>General Assembly of Persons with Disability</t>
  </si>
  <si>
    <t>Supply and Delivery of Various Construction Supplies and Materials</t>
  </si>
  <si>
    <t>Purchase of pre-disaster equipment and supplies needed during emergencies and rescue operations</t>
  </si>
  <si>
    <t>MULTIVITAMINS FOR PUVMP- REPOST</t>
  </si>
  <si>
    <t>Supply and Delivery of Re-Inforced Concrete Pipe (RCP) 24"</t>
  </si>
  <si>
    <t>SUPPLY AND DELIVERY OF GRASS CUTTER FOR GRASS CUTTING OF CLEAN AND GREEN SECTION</t>
  </si>
  <si>
    <t>Procurement / Acquisition of Portable Weigh-In-Motion (WIM) Axle Weigher set for MMIIDEO ATOME Operation, Roxas Boulevard, Parañaque City.</t>
  </si>
  <si>
    <t>Floor Sticker Signages</t>
  </si>
  <si>
    <t>Procurement of Office Furniture</t>
  </si>
  <si>
    <t>Printing of Learning Resources for the Implementation of Basic Education-Learning Continuity Plan (BE-LCP)</t>
  </si>
  <si>
    <t>Supply and Delivery of 20 units Fiber-Reinforced Plastic Boat (9.35m) with 12 HP Diesel Marine Engine (Re-Bidding)</t>
  </si>
  <si>
    <t>PURCHASE OF CONSUMABLE RISO PRINTING SUPPLIES FOR REPRODUCTION OF LEARNING MODULES</t>
  </si>
  <si>
    <t>Supply and Delivery of Biometrics &amp; IT Equipments for HRM Division Computerized Program</t>
  </si>
  <si>
    <t>Purchase and Delivery of Canvass to be used as Additional Tent for Different Barangay Checkpoints</t>
  </si>
  <si>
    <t>Supply And Delivery of Diesel for HE use in Road Rehabilitation- Mainland</t>
  </si>
  <si>
    <t>Delivery and Supply of Various Office Supplies for implementation of RCEF Seed Program</t>
  </si>
  <si>
    <t>Procurement of Concreting of Barangay Road @ Barangay Baluran</t>
  </si>
  <si>
    <t>MEALS AND ACCOMMODATION RE: QMS MANAGEMENT REVIEW (POST SURVEILLANCE AUDIT MEETING) ON AUGUST 18-19, 2020</t>
  </si>
  <si>
    <t>Procurement of Information Technology Equipment</t>
  </si>
  <si>
    <t>S/D of 50 ea Eyewear Ballistic Polaroid &amp; 22 others</t>
  </si>
  <si>
    <t>Improvement and Construction of RC Box Culvert along Villanueva Creek Tributary near the President Avenue, Brgy. B.F., Parañaque City, Metro Manila</t>
  </si>
  <si>
    <t>PROCUREMENT OF MEALS AND SNACKS FOR 3 DAYS SECTORAL PLANNING WORKSHOP FOR THE FORMULATION OF CDP+A RISK INFORMEN COMPREHENSIVE DEVELOPMENT PLAN 2021-2026</t>
  </si>
  <si>
    <t>SUPPLY AND DELIVERY OF CONSTRUCTION MATERIALS AND SUPPLIES FOR IMPROVEMENT OF ITC BUILDING</t>
  </si>
  <si>
    <t>PR NO. 2020-08-211 PURCHASE OF 7,000 LITERS OF GASOLINE (UNLEADED) FOR USE IN THE  OPERATION OF GRASS CUTTER, MULTICAB ASSIGNED IN THE MAINTENANCE SECTION (3RD QUARTER 2020)</t>
  </si>
  <si>
    <t>CONSTRUCTION OF PATHWAY (ROAD CONCRETING) AT BRGY POLANGI, VILLAREAL SAMAR</t>
  </si>
  <si>
    <t>OFFICE EQUIPMENT (MATIM)</t>
  </si>
  <si>
    <t>Procurement of VARIOUS INK (3RD QUARTER)</t>
  </si>
  <si>
    <t>Construction of Classrooms at F. Serrano Elementary School, Parañaque City, Metro Manila</t>
  </si>
  <si>
    <t>Supply and delivery of  IT EQUIPMENTS  re: For Instructional purposes of various schools (Elementary Education)</t>
  </si>
  <si>
    <t>(REBID) ITB - Procurement of Tablet (Android)</t>
  </si>
  <si>
    <t>Supply and Delivery of Office Supplies and Consumables for Research and Development Office in MinSCAT Main Campus</t>
  </si>
  <si>
    <t>Office Supplies Expense-SOCOM-190,850.00</t>
  </si>
  <si>
    <t>Supply and Delivery of Office Equipment of SDSSU Cantilan Campus</t>
  </si>
  <si>
    <t>Purchase and Installation of Airconditioner</t>
  </si>
  <si>
    <t>Supply / Delivery of Drugs and Medicines</t>
  </si>
  <si>
    <t>Rehabilitation/Upgrading and Drainage Improvement along Sampaguita St., Jasmin St., Ilang-Ilang St., Camia St. and its Vicinity, Brgy. Cembo, Makati City, Metro Manila</t>
  </si>
  <si>
    <t>van rental (PR No. 2020-564)</t>
  </si>
  <si>
    <t>Supply &amp; Delivery of Supplies for the Ligtas COVID Center</t>
  </si>
  <si>
    <t>SUPPLY AND DELIVERY OF VARIOUS MATERIALS &amp; DEVICE FOR COMMUNITY LOADING AND UNLOADING AREA AT SINSAYON MOTORIST ASSISTANCE BOOTH</t>
  </si>
  <si>
    <t>Construction of Classrooms at Baclaran Elementary School Unit 1, Parañaque City, Metro Manila</t>
  </si>
  <si>
    <t>Request for Quotation on Mobile Patrolling and Responding Alarm and Traffic Accident</t>
  </si>
  <si>
    <t>Air Condition Reprocessing (ASDS Office)</t>
  </si>
  <si>
    <t>Supply &amp; Delivery of Construction Materials &amp; Supplies for use in Isolation Facility (OCES).</t>
  </si>
  <si>
    <t>SUPPLY AND DELIVERY OF MEDICINES AND MEDICAL SUPPLIES</t>
  </si>
  <si>
    <t>SUPPLY AND DELIVERY OF TONERS WITH FREEUSE OF ONE UNIT BRAND NEW 3-IN-1 MONOCHROME PRINTER  FOR Pag-IBIG FUND, TUGUEGARAO HUB</t>
  </si>
  <si>
    <t>Procurement and Delivery of Construction Supplies and Materials for the Improvement of Baywalk</t>
  </si>
  <si>
    <t>Procurement of Risograph Machine (Brandnew)</t>
  </si>
  <si>
    <t>(2FB)N20-08-075 PURCHASE OF GRASS CUTTER AND MOWER</t>
  </si>
  <si>
    <t>MULTI-FUNCTION PRINTER FOR THE PRINTING OF MODULES</t>
  </si>
  <si>
    <t>Procurement of Concreting of Barangay Road @  Barangay Timbabauan</t>
  </si>
  <si>
    <t>(2FB)N20-08-076 PURCHASE OF CAMERA FOR CITY ASSESSOR</t>
  </si>
  <si>
    <t>Supply &amp; Delivery of Materials to Replace Worn Out Service Entrance Pipe Lines</t>
  </si>
  <si>
    <t>Aviation Product</t>
  </si>
  <si>
    <t>Construction of Multi-Purpose Building (Covered Court) near Umbel St., Brgy. Pembo, Makati City, Metro Manila</t>
  </si>
  <si>
    <t>Supply and Delivery of Office Furniture's &amp; Fixtures @Brgy Ulango, Tanauan City, Batangas</t>
  </si>
  <si>
    <t>PROC-20- CONSTRUCTION MATERIALS</t>
  </si>
  <si>
    <t>Supply and Delivery of Various Materials for the Installation of pipes and fittings for the Improvement of Barangay Waterworks System at Sitio Bunga, Tan-awan</t>
  </si>
  <si>
    <t>Provision of Grocery Supplies</t>
  </si>
  <si>
    <t>Procurement of hardware materials</t>
  </si>
  <si>
    <t>SUPPLY AND DELIVERY OF CONSTRUCTION MATERIALS AND SUPPLIES</t>
  </si>
  <si>
    <t>Bid No. 20-0401 - PROCUREMENT OF OFFICE EQUIPMENT - MO/TOURISM OPERATIONS</t>
  </si>
  <si>
    <t>DEVELOPMENT OF JANIPAAN FALLS</t>
  </si>
  <si>
    <t>Provision of Agricultural Supplies</t>
  </si>
  <si>
    <t>(REBID) ITB - Procurement of Supplies and Materials for Fabrication of Water craft (Pumpboat)</t>
  </si>
  <si>
    <t>REHABILITATION OF DRAINAGE AT ZONE 3 &amp; 5</t>
  </si>
  <si>
    <t>Bid No. 20-0402 - PROCUREMENT OF OFFICE EQUIPMENT - MDRRMO OPERATIONS</t>
  </si>
  <si>
    <t>(2FB)N20-08-077 PURCHASE OF OFFICE EQUIPMENTS</t>
  </si>
  <si>
    <t>Lapel Waistband Portable Amplifier Speaker</t>
  </si>
  <si>
    <t>Procurement of Concreting of Barangay Road @ Barangay- Barangay Tigbucay</t>
  </si>
  <si>
    <t>FABRICATION OF TABLES AND CUBICLES</t>
  </si>
  <si>
    <t>Supply and Delivery of Office Supplies for Coron School of Fisheries Printing of modules</t>
  </si>
  <si>
    <t>PROCUREMENT OF MATERIALS FOR IMPROVEMENT OF PATHWAY P-1</t>
  </si>
  <si>
    <t>REPAIR/IMPROVEMENT OF CEILING AT 2ND FLOOR HALL WAY AND LOBBY OF MAIN MUNICIPAL BULIDING, JAEN, NUEVA ECIJA</t>
  </si>
  <si>
    <t>Supply and delivery of  OFFICE SUPPLIES (Bond Paper)  re: For Production of Learning Modules of various schools (Elementary Education)</t>
  </si>
  <si>
    <t xml:space="preserve">20JBG0064 - RFQ with PR No.20-07-90 for Various Vehicle Parts and Accessories for Replacement of worn out parts for service vehicle Mitsubishi Pick-Up L200, SFW-251 assigned at Maintenance Section of </t>
  </si>
  <si>
    <t>20AC0117 - Repair / Maintenance of Bridge Abutment Along Bussawit Bridge II, K0416+986.90, Magsingal, Ilocos Sur</t>
  </si>
  <si>
    <t>BIDA Tricycle Streamer</t>
  </si>
  <si>
    <t>Procurement of Office Equipment</t>
  </si>
  <si>
    <t>Purchase of other supplies(protective materials) for CENRO under PR#2020-01-1168</t>
  </si>
  <si>
    <t>PR NO. 1990 CATERING SERVICES</t>
  </si>
  <si>
    <t>SUPPLY AND DELIVERY OF VARIOUS CONSTRUCTION MATERIALS</t>
  </si>
  <si>
    <t>Procurement of Concreting of Barangay Road @ Barangay Malungon</t>
  </si>
  <si>
    <t>Rehabilitation/Upgrading and Drainage Improvement along Local Roads Connecting J. P. Rizal Extension, F. Dagohoy St., P. Gomez St., E. Jacinto St., Lapu-Lapu St., G. L. Jaena St., A. Luna St., M. Malv</t>
  </si>
  <si>
    <t>Procurement of Plumbing and Hardware Supplies</t>
  </si>
  <si>
    <t>BIDA Floor Decals</t>
  </si>
  <si>
    <t>PROCUREMENT OF OFFICE EQUIPMENT AND SUPPLIES FOR ENGINEERING OFFICE</t>
  </si>
  <si>
    <t>CONSTRUCTION OF STREETLIGHTS</t>
  </si>
  <si>
    <t>PR. 20-07-293 (2020-08-277) PROCUREMENT OF CONSUMABLE PARTS FOR GENSET</t>
  </si>
  <si>
    <t>Supply and Delivery of Office Supplies for official use of the Office of Coun.Diwa T. Tayao</t>
  </si>
  <si>
    <t>PROCUREMENT OF PVC BLUE PIPE FOR UPGRADING OF WATER SYSTEM SERVICE PIPE OF CABUNGAN WATER SYTEM</t>
  </si>
  <si>
    <t>Procurement of Two (2) Units Dump Truck for the Use of the Municipality, Tagudin, Ilocos Sur</t>
  </si>
  <si>
    <t>Procurement of Concreting of Barangay Road @ Barangay Batungan</t>
  </si>
  <si>
    <t>Supply and Delivery of Photographic Equipment for Provincial Governor's Office</t>
  </si>
  <si>
    <t>Repair &amp; Maintenance of Buildings (OJ7-PhP201,352.80)</t>
  </si>
  <si>
    <t>Provision of Meat Supplies</t>
  </si>
  <si>
    <t>100-2020-07-912 Supply and delivery of Drone</t>
  </si>
  <si>
    <t>Construction of Multi-Purpose Building at Municipal Demo Farm in Brgy. Baga</t>
  </si>
  <si>
    <t>Reproduction of Grade 4 Modules for Alternative Delivery Mode</t>
  </si>
  <si>
    <t>INVITATION TO BID FOR CONCRETING OF BARANGAY ROAD - FIRST BIDDING</t>
  </si>
  <si>
    <t>Provision on BSC Online Coaching Program</t>
  </si>
  <si>
    <t>Purchase of Construction Materials for Organic Fertilizer Processing Center</t>
  </si>
  <si>
    <t>Supply and delivery of  TONER  re: For Production of Learning Modules of various schools (Elementary Education)</t>
  </si>
  <si>
    <t>Request for Quotation on Trust Fund</t>
  </si>
  <si>
    <t>Procurement of Concreting of Barangay Road @ Barangay Tigpalay</t>
  </si>
  <si>
    <t>Rehabilitation of Road including Drainage along La Consolacion St., Brgy. Guadalupe Nuevo, Makati City, Metro Manila</t>
  </si>
  <si>
    <t>For IT Transaction of RHU Office use</t>
  </si>
  <si>
    <t>Purchase of Ambulance Led Siren with PA System</t>
  </si>
  <si>
    <t>Supply and Delivery of Construction Materials for the Construction of Day Care Center</t>
  </si>
  <si>
    <t>(2FB)N20-08-079 CATERING SERVICES</t>
  </si>
  <si>
    <t>(2FB)N20-08-078 PURCHASE OF MEDICAL SUPPLIES FOR CITY AGRI</t>
  </si>
  <si>
    <t>Request for quotation of Bulua Central School Modules</t>
  </si>
  <si>
    <t>Procurement of ICT Equipment</t>
  </si>
  <si>
    <t>OFFICE EQUIPMENT (BATERIA)</t>
  </si>
  <si>
    <t>Procurement of Concreting of Barangay Road @ Barangay San Vicente</t>
  </si>
  <si>
    <t>PURCHASE OF SUPPLIES &amp; MATERIALS FOR SMAW NC II PROGRAM</t>
  </si>
  <si>
    <t>Procurement of Concreting of Barangay Road @ Barangay Linguisan</t>
  </si>
  <si>
    <t>Purchase of SB Uniform</t>
  </si>
  <si>
    <t>Vehicle Repair &amp; Maintenance</t>
  </si>
  <si>
    <t>100-2020-07-910 Supply and delivery of Polybags, insecticide, Fungicide, etc.</t>
  </si>
  <si>
    <t>Vehicle Repair and Maintenance</t>
  </si>
  <si>
    <t>Procurement of Concreting of Barangay Road @  Barangay Taglibas</t>
  </si>
  <si>
    <t>Repair and Maintenance of Patrol Cars</t>
  </si>
  <si>
    <t>Supply, Delivery &amp; Installation of Air-Conditioning parts to be used for the repair and maintenance of Air-Conditioning Unit at City College-AVR Room, San Juan, City of San Fernando, Pampanga</t>
  </si>
  <si>
    <t xml:space="preserve">Request for Quotation for the Provision of Catering Services to be served/used during the conduct of Training on Mushroom Production (Phase I) and Training on Mushroom Processing and Marketing (Phase </t>
  </si>
  <si>
    <t>CONCRETING OF BARANGAY STREET, Brgy. Boco, Can-avid Eastern Samar</t>
  </si>
  <si>
    <t>Supply, Delivery and Installation of Plastic Protective Sheets on 25mm Aluminum Square Tube Framing for the frontliners at the following LANDBANK Branches/Units:</t>
  </si>
  <si>
    <t>PROCUREMENT OF MPDO OFFICE SUPPLIES</t>
  </si>
  <si>
    <t>(REBID) ITB - Procurement of JEV Recording System</t>
  </si>
  <si>
    <t>Request for Quotation (Expanding Plastic  Long Envelope )</t>
  </si>
  <si>
    <t>(2FB)N20-08-080 PURCHASE OF DIESEL AND GASOLINE</t>
  </si>
  <si>
    <t>For virtual meeting use</t>
  </si>
  <si>
    <t>Contract Package for the Construction of Lubnac Diversion Dam, Barangay Lubnac, Tagudin, Ilocos Sur</t>
  </si>
  <si>
    <t>3,000 ltrs Diesel Fuel for fuel consumption used for CEED vehicle/City Economics Enterprises</t>
  </si>
  <si>
    <t>Supply and Delivery of Construction Materials for the Repainting of Day Care Centers</t>
  </si>
  <si>
    <t>SUPPLY AND DELIVERY OF GARDEN SUPER DRYNET TO BE DISTRIBUTED TO THE DIFFERENT BARANGAYS FOR ESTABLISHMENT OF BARANGAY NURSERIES (CAO)</t>
  </si>
  <si>
    <t>2020-08-0233-Supply &amp; Delivery of Fuels for all Municipal Vehicles, Bantay Dagat Pumpboats and Heavy Equipments for the month of August 2020</t>
  </si>
  <si>
    <t>Construction of Bridge, Brgy. Bonga Menor, Bustos, Bulacan</t>
  </si>
  <si>
    <t>Purchase of Electric Fan</t>
  </si>
  <si>
    <t>Supply and Delivery of Sporting Goods 05D DEFTAC H14-2020</t>
  </si>
  <si>
    <t>SVP-QIMO-15-20</t>
  </si>
  <si>
    <t>47 bags Hog Grower pellets 50 kgs cap and other items for livestock in City Farmstead Talay.</t>
  </si>
  <si>
    <t>Provision for Microsoft Office 365 Home</t>
  </si>
  <si>
    <t>15 pcs Steel Filing Cabinet 4 drawer 62x46x133cm per drawer; 53x38x25cm steel 0.7 color beige for various office supplies and materials.</t>
  </si>
  <si>
    <t>Supply and Delivery of Diesel for Ambulance use</t>
  </si>
  <si>
    <t>Purchase of Office Supplies and Materials</t>
  </si>
  <si>
    <t>CONCRETING OF 110M. FOOTBRIDGE PUROK 3,4</t>
  </si>
  <si>
    <t>Supply and Delivery of Digital Weighing Scale and Other Goods</t>
  </si>
  <si>
    <t>“LOCAL ACCESS ROAD: UPGRADING (GRAVEL TO PAVED) OF BARANGAY LAMARE ROAD (Sta 0+960 – Sta 2+020)”</t>
  </si>
  <si>
    <t>200-2020-07-024 Supply and delivery of paper multicopy 80gsm A4, paper multicopy 80gsm legal, clearbook, etc.</t>
  </si>
  <si>
    <t>SUPPLY AND DELIVERY OF OXYGEN (CONTENT ONLY) AND ACETYLENE (CONTENT ONLY)</t>
  </si>
  <si>
    <t>CONSTRUCTION OF DEEP WELL</t>
  </si>
  <si>
    <t>PURCHASE OF 2 UNITS DIGITAL DUPLICATOR</t>
  </si>
  <si>
    <t>200-2020-07-018 Supply and delivery of human brain model, female reproductive organ, male reproductive system, etc.</t>
  </si>
  <si>
    <t>Improvement of Senior Citizen's and PWD Building</t>
  </si>
  <si>
    <t>1 Lot	Catering Servises</t>
  </si>
  <si>
    <t>100-2020-07-914 Supply and delivery of tires and steering rack assembly</t>
  </si>
  <si>
    <t>SUPPLY AND DELIVERY OF TARPAULIN RAIN GUTTERS</t>
  </si>
  <si>
    <t>Catering Services of Meals and Snacks for CHED Collaborative Online Training on Flexible Leaning</t>
  </si>
  <si>
    <t>Purchase of Projector</t>
  </si>
  <si>
    <t>CONSTRUCTION OF FLOATING HOUSE</t>
  </si>
  <si>
    <t>RFQ - Purchase of 2000 reams of A4 Bond Paper 80 gsm, for the PRINTING of Learner's Module for SY 2020 - 2021</t>
  </si>
  <si>
    <t>SVP-QIMO-16-20</t>
  </si>
  <si>
    <t>Supply and Delivery of Printers</t>
  </si>
  <si>
    <t>CONSTRUCTION OF WATER TANK</t>
  </si>
  <si>
    <t>PROCUREMENT OF OMAG OFFICE SUPPLIES, MANKAYAN, BENGUET</t>
  </si>
  <si>
    <t>REPAIR OF MEDICAL AIR REGULATOR WITH FILTER</t>
  </si>
  <si>
    <t>INSTALLATION OF 3 LOTS DRY PIPE HYDRANT</t>
  </si>
  <si>
    <t>Procurement of Aircondition Supply &amp; Materials - NIPSC Estancia Campus</t>
  </si>
  <si>
    <t>Supply and Delivery of Construction Materials for the Rehabilitation of Green Valley PWS</t>
  </si>
  <si>
    <t>101-20-08-RFQ0982 - USE IN MENRO FOR RAFFLESIA MAGNIFICA CONSERVATION MGT. TEAM OPERATION (OFFICE SUP. EXP.)</t>
  </si>
  <si>
    <t>Printing of Senior Citizen's ID</t>
  </si>
  <si>
    <t>101-20-08-RFQ0981 - TO BE USED AT VIC/TOURISM OFFICE OPERATION</t>
  </si>
  <si>
    <t>change of service provider</t>
  </si>
  <si>
    <t>SUPPLY AND DELIVERY OF BOND PAPERS FOR THE REPRODUCTION OF MODULES</t>
  </si>
  <si>
    <t>PURCHASE OF LAPTOP AND DESKTOP COMPUTER FOR USE IN THE OFFICE OF THE MUNICIPAL MAYOR</t>
  </si>
  <si>
    <t>PR NO. 20-03-0094 SUPPLIES</t>
  </si>
  <si>
    <t>Supply and Delivery of Trolley Bag</t>
  </si>
  <si>
    <t>SUPPLY AND DELIVERY OF OIL AND LUBRICANTS FOR EQUIPMENTS, PUMPS AND MACHINES</t>
  </si>
  <si>
    <t>PRINTING BINDING AND DELIVERING OF LEARNING MODULE FOR GRADE 7 TO 10</t>
  </si>
  <si>
    <t>PROCUREMENT OF GOOGLE G-SUITE BASIC EDITION SUBSCRIPTION</t>
  </si>
  <si>
    <t>Procurement of Arterial line transducer</t>
  </si>
  <si>
    <t>101-20-08-RFQ0980 - INTENDED FOR SB OFFICE</t>
  </si>
  <si>
    <t>SVP-QIMO-17-20</t>
  </si>
  <si>
    <t>Purchase of other supplies for CENRO use under PR#2020-07-2820(RE-CANVASS)</t>
  </si>
  <si>
    <t>Supply and Delivery of Goods for the Repair &amp; Maintenance of Other Structure 31IB (260,000.00)</t>
  </si>
  <si>
    <t>101-20-08-RFQ0983 - USE IN MENRO FOR FOREST PROTECTION &amp; WATERSHED MGT. PROG. (OFFICE SUP.EXP.)</t>
  </si>
  <si>
    <t>Procurement of Vehicle Spare Parts and Accessories</t>
  </si>
  <si>
    <t>PROCUREMENT OF MATERIALS FOR CONSTRUCTION OF 2 UNITS CONCRETE BASKETBALL POST / CONCRETE PAVEMENT</t>
  </si>
  <si>
    <t>Aircraft Spare Parts</t>
  </si>
  <si>
    <t>Supply &amp; Delivery of Various Equipment/Devices use for Disadvantage Senior Citizens, Himamaylan City</t>
  </si>
  <si>
    <t>PR NO. 20-07-266 (2020-08-278) PROCUREMENT OF CHLORINATOR DOSING PUMP DIAPHRAGM</t>
  </si>
  <si>
    <t>Plastic Envelope for Modules and other Supplies for Teachers</t>
  </si>
  <si>
    <t>Office supplies</t>
  </si>
  <si>
    <t>PROC-20-ELECTRICAL SUPPLIES</t>
  </si>
  <si>
    <t>(2FB)N20-08-081 PURCHASE OF IT EQUIPMENT</t>
  </si>
  <si>
    <t>(2FB)N20-08-082 PURCHASE OF FURNITURE AND FIXTURES</t>
  </si>
  <si>
    <t>Supply and Delivery of Laptop and Other Goods</t>
  </si>
  <si>
    <t>Concreting of Barangay Road (portion) Barangay Guadalupe, Libacao, Aklan</t>
  </si>
  <si>
    <t>Supply and Delivery of Construction Materials for the Proposed Construction of Turnout of LARIS Lateral E at Sta. 6+797.00 (L/S), Sta. 6+988.00 (R/S), Sta. 7+184.00 (R/S), Sta. 7+420.00 (R/S) and Sta.</t>
  </si>
  <si>
    <t>Diesel and Gasoline Expenses for Vice Mayor's service vehicle</t>
  </si>
  <si>
    <t>Procurement of Aircon for SBO Office</t>
  </si>
  <si>
    <t>Rehabilitation/Improvement/Extension of Education Building and Old Science  Laboratory Building in MinSCAT Main Campus: Provision of Fire Escape Stairs</t>
  </si>
  <si>
    <t>RFQ-INFRA-ISAIMO-09-20</t>
  </si>
  <si>
    <t>Procurement of Tablon Elementary School for Reproduction of Modules</t>
  </si>
  <si>
    <t>SUPPLY AND DELIVERY OF VARIOUS FERTILIZERS AND CHEMICALS</t>
  </si>
  <si>
    <t>Request for Quotation for the Supply and Delivery of Various Materials for Mabuhay Pumping Station Concrete Fence</t>
  </si>
  <si>
    <t>PURCHASE OF VARIOUS OFFICE SUPPLIES &amp; IT EQUIPMENTS</t>
  </si>
  <si>
    <t>Procurement of materials for the repair of Sea ambulance.</t>
  </si>
  <si>
    <t>101-20-08-RFQ0984 - USE FOR MSWDO-CHILD PROGRAM</t>
  </si>
  <si>
    <t>NOTICE FOR NEGOTIATED PROCUREMENT - SUPPLY AND DELIVERY OF ONE(1) UNIT MINI DUMP TRUCK</t>
  </si>
  <si>
    <t>Disposal of Residual Waste of the Municipality of Dinalupihan  (4thQuarter 2020)</t>
  </si>
  <si>
    <t>Supply / Delivery of Diesoline, Super Gasoline, Engine Oil Diesel (SAE 15W-40) and Engine Oil Super (SAE 20W-50)</t>
  </si>
  <si>
    <t>Reproduction of Learning Modules</t>
  </si>
  <si>
    <t>Supply and Delivery of Blood Bag Tube Sealer</t>
  </si>
  <si>
    <t>Construction Materiasl(MEO-Road Rehabilitation Frm Sitio Kaylawan, Sto. Nino and Central baugan, palma Gil)RFQ</t>
  </si>
  <si>
    <t>Small Value Procurement - Repair of operating table</t>
  </si>
  <si>
    <t>Construction of School Building at Aggub Elementary School, Aggub, Solano, NV.</t>
  </si>
  <si>
    <t>Renovation of Regional Accounting Office</t>
  </si>
  <si>
    <t>Supply and Delivery of Gi pipes, Roller Guide, Plain Round Steel Bars, Angle Bar, C-Purlins and Dura Curve Roofing ( G-092-0549-20 )</t>
  </si>
  <si>
    <t>Purchase and Delivery of Sporting Goods</t>
  </si>
  <si>
    <t>300-2020-07-019 Supply and delivery of index card and business stickers</t>
  </si>
  <si>
    <t>RFQ-Supply labor and materials in the calibration of Hyundai Grand Starex GL SLG 623</t>
  </si>
  <si>
    <t>Repair/ Recondition of Backhoe</t>
  </si>
  <si>
    <t>Supply and Delivery of 1 unit Hemoglobinometer</t>
  </si>
  <si>
    <t>Purchase of Fuel  (4th Quarter 2020)</t>
  </si>
  <si>
    <t>Provision of New Drainage System</t>
  </si>
  <si>
    <t>Provision of Materials and Supplies for Water Pump</t>
  </si>
  <si>
    <t>Supply, Delivery and Installation of Airconditioner for use of Institutional Development Section, NIA-LARISIP</t>
  </si>
  <si>
    <t>Request for Quotation for the Supply and Delivery of Two(2) Units of Portable Generator Set</t>
  </si>
  <si>
    <t>Procurement of USB Flash Drive 64GB with OTG USB 3.0 - COE ILS</t>
  </si>
  <si>
    <t>INSTALLATION, TESTING AND COMMIS- SIONING OF CLIMATE CONTROL SYSTEM FOR THE NATIONAL LIBRARY OF THE PHILIPPINES (NLP)</t>
  </si>
  <si>
    <t>20GH0128 - Construction of 1STY4CL, Gen. Luna ES, Barotac Viejo, Iloilo</t>
  </si>
  <si>
    <t>Supply &amp; Delivery of ICT 01D CO H16-2020</t>
  </si>
  <si>
    <t>Procurement of Construction Materials and Supplies of TRADOC, PA amounting to Php 150,000.00</t>
  </si>
  <si>
    <t>Contract ID No.: 20OB0387 Contract Name: Construction of Drainage System along JACAMAR St., Marikina City</t>
  </si>
  <si>
    <t>PURCHASE OF THREE (3) UNITS LAPTOP</t>
  </si>
  <si>
    <t>SUPPLY &amp; DELIVERY OF ZOOLOGICAL SUPPLIES</t>
  </si>
  <si>
    <t>Purchase of 5 sets Risograph Machine and Accessories</t>
  </si>
  <si>
    <t>Supply and Delivery of Spare Parts for Dozer and Case Loader/ MAP &amp; CABTRIS</t>
  </si>
  <si>
    <t>Brigada T-Shirt</t>
  </si>
  <si>
    <t>Procurement of Services of Training Provider (Online Training Skills 101)</t>
  </si>
  <si>
    <t>INVITATION TO BID FOR PROCUREMENT OF MATERIALS FOR  INSTALLATION OF WATER SYSTEM - SECOND BIDDING</t>
  </si>
  <si>
    <t>ENCLOSURE OF DRDC STORAGE</t>
  </si>
  <si>
    <t>Office Supply</t>
  </si>
  <si>
    <t>INVITATION TO BID FOR BARANGAY ROAD CONCRETING - FIRST BIDDING</t>
  </si>
  <si>
    <t>REQUEST FOR QUOTATION: PROCUREMENT OF OFFICE SUPPLIES NOT AVAILABLE IN THE PROCUREMENT SERVICE FOR OFFICE USE</t>
  </si>
  <si>
    <t>CONSTRUCTION OF LUBUAN-TEOR-NAPOH FMR</t>
  </si>
  <si>
    <t>REHABILITATION/COMPLETION OF CABETICAN, VILLA DE BACOLOR, TRINIDAD CALIBUTBUT, SACOP CALIBUTBUT, MAGLIMAN, TINAJERO, STA. INES, MACABAKLE. SAN ISIDRO &amp; MALIWALU DAY CARE CENTER.</t>
  </si>
  <si>
    <t>STEEL RACK</t>
  </si>
  <si>
    <t>PROC-20- CONSTRUCTION</t>
  </si>
  <si>
    <t>Procurement of Electrical Supply &amp; Materials - NIPSC Estancia Campus</t>
  </si>
  <si>
    <t>(VJLN - BES) PREVENTIVE MAINTENANCE AND CALIBRATION OF LABORATORY EQUIPMENTS</t>
  </si>
  <si>
    <t>PROCUREMENT OF 3 IN 1 PRINTER</t>
  </si>
  <si>
    <t>Supply, Delivery, Installation and Commissioning of New Elevator Units at PPA Head Office</t>
  </si>
  <si>
    <t>Strengthening the Information Technology Program of IFSU</t>
  </si>
  <si>
    <t>Contract ID No.: 20OB0441 Contract Name: Construction of 4-Storey Organic Personnel and Students Barracks Billeting PAICOE, AIR, Philippine Army, Legaspi Compound, Fort Bonifacio, Taguig City</t>
  </si>
  <si>
    <t>Request for Quotation for the Supply and Delivery of Labor and Materials Preventive Maintenance of Three (3) Units of Generator Set</t>
  </si>
  <si>
    <t>Supply and Delivery of One(1) unit Multicab</t>
  </si>
  <si>
    <t>Contract ID No.: 20OB0389 Contract Name: Improvement of Iwahig Creek, Barangay Tumana, Marikina City</t>
  </si>
  <si>
    <t>(VJLN - CEDS) REHABILITATION OF CDCPF WATER TREATMENT SYSTEM</t>
  </si>
  <si>
    <t>SUPPLY AND DELIVERY OF THIRD QUARTER OFFICE SUPPLIES</t>
  </si>
  <si>
    <t>Procurement of Office and Other Supplies - Budget, MENRO, MSWD,ADMIN/LEIPO</t>
  </si>
  <si>
    <t>Improvement of Multi-Purpose Building</t>
  </si>
  <si>
    <t>Request for Quotation for the Supply and Delivery of Various Materials for Mabuhay Pipe Laying and Interconnection</t>
  </si>
  <si>
    <t>Supply and Delivery of Desktop Computer AND lAPTOP for Tourism Office,Callao Eco Niche and Visitors Pavilion</t>
  </si>
  <si>
    <t>Procurement of Office and Other Supplies - VM,SB SEC, MO, GSO, PESO</t>
  </si>
  <si>
    <t>Rehab of multi-Purpose Building Bgy. hall</t>
  </si>
  <si>
    <t>(VJLN - GP) SUPPLY AND DELIVERY OF MOLASSES</t>
  </si>
  <si>
    <t>Supply and Delivery of Power Spray and Disinfectant for African Swine Fever Checkpoints</t>
  </si>
  <si>
    <t>PURCHASE OF RESCUE VEHICLE (AMBULANCE TYPE)</t>
  </si>
  <si>
    <t>PURCHASE AND DELIVERY OF ONE (1) LOT  IT EQUIPMENT</t>
  </si>
  <si>
    <t>CARPENTRY WORKS FOR IMPROVEMENT OF MULTIPURPOSE HALL</t>
  </si>
  <si>
    <t>INTERNET CONNECTION</t>
  </si>
  <si>
    <t>Procurement of Janitorial Services</t>
  </si>
  <si>
    <t>JANITORIAL SERVICES</t>
  </si>
  <si>
    <t>Supply of Materials and Labor for the Repair of Vehicle</t>
  </si>
  <si>
    <t>Office Supplies for SB Office and Vice Mayors Office</t>
  </si>
  <si>
    <t>Purchase of Goods  for  BDRRM</t>
  </si>
  <si>
    <t>Supply, Delivery, Installation and Commissioning of CCTV Surveillance Monitoring (Phase II)</t>
  </si>
  <si>
    <t>RFQ (P.R. No.) 2020-08-113</t>
  </si>
  <si>
    <t>FLU VACCINSTION PROGRAM SERVICES UNDER EMB-AFMD-AP  RFQ NO. EMB-AFMD-AP-SHOPPING-G-0104-8-5-2020  2020-0104</t>
  </si>
  <si>
    <t>Purchase &amp; delivery of Emergency Lamp &amp; transistor radios SOA on RCEF.</t>
  </si>
  <si>
    <t>Declogging of Canal Purok 2 &amp; 3</t>
  </si>
  <si>
    <t>(VJLN - GP) SUPPLY AND DELIVERY OF SUPPLIES OF FARM MACHINE BUCKET &amp; SUPPLIES FOR REPAIR OF HOUSE 1 &amp; 2 (GP)</t>
  </si>
  <si>
    <t>RFQ - Procurement of Goods: Token and Awards for the use of City Gov't of Tagum (Salamat-Mabuhay Testimonial Program for Retirees &amp; Recognition of Layalty Awardess) (PR#100-20-08-0064)</t>
  </si>
  <si>
    <t>Diesel Expenses for SB Service Vehicle</t>
  </si>
  <si>
    <t>WEST CITY CENTRAL SCHOOL  BUDGET MATRIX FOR MODULE REPRODUCTION</t>
  </si>
  <si>
    <t>SUPPLY AND DELIVERY OF BLEACHING SOLUTION AT LEAST 1.89 LITERS (1/2 GAL)</t>
  </si>
  <si>
    <t>Hiring of Professional Services  in the conduct of OTOP Next Gen(ONG)2020 Assessment, Consultation &amp; Triage(ACT) Session cum Product Development(Packaging and Labels) for the Food Sector of Region1</t>
  </si>
  <si>
    <t>ELECTRICAL MATERIALS</t>
  </si>
  <si>
    <t>(VJLN - CEDS) SUPPLY AND DELIVERY OF FOOT PEDAL SEALER</t>
  </si>
  <si>
    <t>FOR BARANGAY LENGIGON - INVITATION TO BID FOR PURCHASE OF MATERIALS FOR LEVEL II WATER SYSTEM - FIRST BIDDING</t>
  </si>
  <si>
    <t>Purchase of Janitorial Supplies for Ozamiz Airport</t>
  </si>
  <si>
    <t>SJADS GOODS 20-13: PROCUREMENT OF IT EQUIPMENT (SEF)</t>
  </si>
  <si>
    <t>RFQ - Procurement of Goods: Airconditioning System Spareparts for the use of CEO - Repair &amp; Maintenance (PR#100-20-08-0063)</t>
  </si>
  <si>
    <t>(VJLN - ACS) PRODUCTION OF FIVE (5) AVP'S FOR INSTRUCTIONAL VIDEOS OF PCC</t>
  </si>
  <si>
    <t>SUPPLY AND DELIVERY OF VARIOUS OFFICE AND CONSUMABLE SUPPLIES</t>
  </si>
  <si>
    <t>PR-2020-2044 One Job Order Printing of Book Cover &amp; Tax Map &amp; Tax Dec-PASSO</t>
  </si>
  <si>
    <t>OE-For use of UCRIS Farmland  Geographic Information System</t>
  </si>
  <si>
    <t>Provinsion of Livelihood Kits under the Livelihood Seeding Program- Negosyo Serbisyo sa Barangay (LSP-NSB)- Tinglayan, Kalinga</t>
  </si>
  <si>
    <t>PR-2020-2024 Office Supplies-CDH</t>
  </si>
  <si>
    <t>Supply and delivery of 6 units risograph machine</t>
  </si>
  <si>
    <t>Purchase &amp; delivery of Rotary weeder &amp; sickle for SOA on RCEF.</t>
  </si>
  <si>
    <t>Supply and Delivery of various ICT equipment and materials for the conduct of Usapang Ani at Kita: RCEF Program sa Region IV-A</t>
  </si>
  <si>
    <t>PROCUREMENT OF OFFICE SUPPLIES AND SPORTS EQUIPMENT FOR THE ACCOUNT OF IMBAYAO ELEMENTARY SCHOOL</t>
  </si>
  <si>
    <t>Construction of Baray Pagkukurowan</t>
  </si>
  <si>
    <t>LBRDC Most Commonly Used Materials (Supply and Delivery of Tiles )</t>
  </si>
  <si>
    <t>PR-2020-2018 Medical, Regulator-NDH</t>
  </si>
  <si>
    <t>Purchased of Information Technology Equipment and Accessories</t>
  </si>
  <si>
    <t>Materials for the Construction of School Entrance Gate at Dalongue Elementary School</t>
  </si>
  <si>
    <t>Two Units Disinfectant Fogging Machines and Disinfectant Solutions</t>
  </si>
  <si>
    <t>Procurement of IT Equipment for Lun Padidu national High School and Lun Padidu Central Elementary School</t>
  </si>
  <si>
    <t>Repair/Renovation of Service Stairwell</t>
  </si>
  <si>
    <t>Hiring of Book Designer for the 2nd Edition of the Rafael M. Salas Biography (Duration : August to October 2020)</t>
  </si>
  <si>
    <t>SUPPLY AND DELIVERY OF PEDAL CONTROLLED STAINLESS SINK</t>
  </si>
  <si>
    <t>Procurement of Prepaid Internet Load</t>
  </si>
  <si>
    <t>Procurement of Fuel</t>
  </si>
  <si>
    <t>Supply of Materials and Labor for the Bahay Kubo Project</t>
  </si>
  <si>
    <t>Supply and delivery of hardware and construction materials for the fabrication of Machine Prototypes and food processing machine</t>
  </si>
  <si>
    <t>Request for Quotation on Office Supplies</t>
  </si>
  <si>
    <t>PR-2020-1935 Ink Printer-PDRRMO</t>
  </si>
  <si>
    <t>Improvement of RCD Office</t>
  </si>
  <si>
    <t>Procurement of Office Supplies and Materials of San Roque Elementary School</t>
  </si>
  <si>
    <t>Materials for the Repair of Hanging Bridge in Brgy. Leet-Minien West</t>
  </si>
  <si>
    <t>Construction Materials to be used for the Regravelling of Brgy. Olo Cafabrosan, Mangatarem, Pangasinan</t>
  </si>
  <si>
    <t>Procurement of Goods Furnitures &amp; Fixtures</t>
  </si>
  <si>
    <t>Materials for the Construction of School Entrance Gate at Alibago Elementary School</t>
  </si>
  <si>
    <t>PURCHASE OF DESKTOP COMPUTER WITH COMPLETE ACCESSORIES FOR OSCA OFFICE</t>
  </si>
  <si>
    <t>PRINTING OF PUPILS MODULES FOR THE MONTH OF AUGUST</t>
  </si>
  <si>
    <t>Purchase of IT Equipment for office use of City Assessor's Office</t>
  </si>
  <si>
    <t>Procurement and Delivery of ICT and Office Equipment and Furniture and Fixture to Various Offices</t>
  </si>
  <si>
    <t>PR-2020-1997 Office Supplies-NDH</t>
  </si>
  <si>
    <t>PURCHASE OF OFFICE SUPPLIES TO BE USED FOR MODULES</t>
  </si>
  <si>
    <t>PROCUREMENT OF 3 PCS. BATTERY 11 PLATES AND 6 PCS. BATTERY CLAMPS USE FOR REPAIR AND MAINTENANCE OF 3 TRACTOR FROM AGRICULTURE OFFICE</t>
  </si>
  <si>
    <t>Purchase of Television used for monitoring of schools online</t>
  </si>
  <si>
    <t>PR-2020-1996 One Job Order-Supply and Installation of Early Warning Signages-PDRRMO</t>
  </si>
  <si>
    <t>Construction of Overhead Tank</t>
  </si>
  <si>
    <t>CONSTRUCTION OF PUBLIC TOILET</t>
  </si>
  <si>
    <t>Supply and Delivery of Office Equipment for official use of various government offices</t>
  </si>
  <si>
    <t>Construction of Concrete Stair (PNP)</t>
  </si>
  <si>
    <t>SUPPLY, DELIVERY AND INSTALLATION OF LAMINAR FLOW SYSTEMS</t>
  </si>
  <si>
    <t>Materials for the Repair of Hanging Bridge in Brgy. Leet-Tebag West</t>
  </si>
  <si>
    <t>Purchase of office supplies of Barangay Manggahan, San Luis Batangas</t>
  </si>
  <si>
    <t>Purchase and delivery of Facemask (KN95) to be used in the Municipality of Concepcion, Tarlac</t>
  </si>
  <si>
    <t>PURCHASE OF DESKTOP COMPUTER WITH COMPLETE ACCESSORIES FOR ACCOUNTING OFFICE USE</t>
  </si>
  <si>
    <t>Reproduction and Printing of various NTP forms</t>
  </si>
  <si>
    <t>Purchase of Common Office Supplies for various Services/Offices of CAAP Central Office</t>
  </si>
  <si>
    <t>SUPPLY AND DELIVERY OF AUTO MAINTENANCE AND SERVICES 2ND QUARTER 2020 FOR USE AT JAVIER MUNICIPAL INFIRMARY</t>
  </si>
  <si>
    <t>Supply and Delivery of Office Equipment</t>
  </si>
  <si>
    <t>PROCUREMENT OF ASSORTED GOODS FOR DISTRIBUTION TO INDIGENT INDIVIDUALS</t>
  </si>
  <si>
    <t>Purchase of office supplies of Barangay Balagtasin, San Luis, Batangas from SK Fund</t>
  </si>
  <si>
    <t>Food Stuff &amp;  Materials  - Palapag 435th Founding Anniversary</t>
  </si>
  <si>
    <t>90 tabs Cefriaxone 1gm</t>
  </si>
  <si>
    <t>RFQ-Pre-employment Tests</t>
  </si>
  <si>
    <t>ITB No. GOP/20-DSWD-045-A - Subscription to a Multi-Telco Bulk SMS Service for DSWD Enterprise</t>
  </si>
  <si>
    <t>PURCHASE OF ADDITIONAL MATERIALS FOR REPRODUCTION OF INSTRUCTIONAL PACKETS FOR ELEMENTARY AND SECONDARY SCHOOLS IN THE DIVISION OF BAGO CITY</t>
  </si>
  <si>
    <t>Purchase of Hardware Supplies for demolition and restoration</t>
  </si>
  <si>
    <t>SUPPLY AND DELIVERY OF WET &amp; DRY VACUUM CLEANER</t>
  </si>
  <si>
    <t>PROCUREMENT OF SOLID WASTE MANAGEMENT EQUIPMENT - DUMP TRUCK (FORWARD)</t>
  </si>
  <si>
    <t>Purchase of office supplies of Barangay San ISidro, San Luis Batangas from SK Fund</t>
  </si>
  <si>
    <t>Improvement of New Multi Purpose Building</t>
  </si>
  <si>
    <t>Purchase of office supplies of Barangay Locloc, San Luis Batangas from SK Fund</t>
  </si>
  <si>
    <t>PRINTING OF GRADUATION PROGRAM 2019-2020</t>
  </si>
  <si>
    <t>Supply and Delivery of Seedling Tray</t>
  </si>
  <si>
    <t>Concreting of Road Barangay Lamogong Manjuyod Negros Oriental(N-205-2020)</t>
  </si>
  <si>
    <t>Procurement of IT &amp; Office Equipment PR # 2020-07-23-277</t>
  </si>
  <si>
    <t>CONTINUOUS LINING OF MUNICIPAL STREET DRAINAGE CANAL</t>
  </si>
  <si>
    <t>T-SHIRT printed with BDRRMC /MDRRMO</t>
  </si>
  <si>
    <t>van rental (PR No. 2020-565)</t>
  </si>
  <si>
    <t>Procurement of Various IT Equipment</t>
  </si>
  <si>
    <t>Procurement of Office Equipment- Risograph Machine</t>
  </si>
  <si>
    <t>Construction for the Repair of Child Development Center (Roof) at Brgy. Bantay, Mangatarem, Pangasinan</t>
  </si>
  <si>
    <t>PR NO. 1431 Laboratory Supplies</t>
  </si>
  <si>
    <t>REHABILITATION OF CARBON ELEMENTARY SCHOOL CARBON SITE BARANGAY LAMAO, LIMAY, BATAAN</t>
  </si>
  <si>
    <t>Construction of Buenavista Multi- Purpose Hall</t>
  </si>
  <si>
    <t>Purchase of Risograph used for Reproduction of modules and activity sheets for learners.</t>
  </si>
  <si>
    <t>Request for Quotation for the Provision of Printing Services for IEC Materials for distribution.</t>
  </si>
  <si>
    <t>Procurement of Fishing Net and Gears</t>
  </si>
  <si>
    <t>RFQ (P.R. No.) 2020-07-101</t>
  </si>
  <si>
    <t>Supply and Delivery of PPE's for Isolation Unit</t>
  </si>
  <si>
    <t>PROCUREMENT OF 2-UNITS COPY PRINTERS</t>
  </si>
  <si>
    <t>Supply and Delivery of Medical Supplies</t>
  </si>
  <si>
    <t>(VJLN - BES) SUPPLY AND DELIVERY OF VETERINARY SUPPLIES FOR RUMINANT RESEARCH CLINIC</t>
  </si>
  <si>
    <t>PROCUREMENT OF EXPENDABLE MEDICAL SUPPLIES</t>
  </si>
  <si>
    <t>RFQ No. 20-08-207 for PR No. 20-08-202</t>
  </si>
  <si>
    <t>20GB00033: Purchase, Delivery and Installation of Five (5) Units Air Conditioning Units</t>
  </si>
  <si>
    <t>Procurement of Office Equipment for the use of Dr. Rafael S. Tumbokon Memorial Hospital, Kalibo, Aklan</t>
  </si>
  <si>
    <t>Supply and Delivery of various goods (PR No. 2020-562)</t>
  </si>
  <si>
    <t>SUPPLY AND DELIVERY | OFFICE FURNITURE/FIXTURES (BAC RFQ 20-569 , BAC)</t>
  </si>
  <si>
    <t>PURCHASE OF MATERIALS FOR THE REPAIR AND IMPROVEMENT OF BGRY. MULTI PURPOSE BUILDING IN BRGY. BACHAWAN</t>
  </si>
  <si>
    <t>(VJLN - KMD) TABLET FOR REGIONAL CENTER CARAARALAN PROJECT</t>
  </si>
  <si>
    <t>PROC. OF MEALS &amp; SNACKS FOR DILG ACTIVITY</t>
  </si>
  <si>
    <t>1 pc. Clutch pressure plate</t>
  </si>
  <si>
    <t>SUPPLY AND DELIVERY } PERSONALIZED MASK ( BAC RFQ 20-579 , RJJWC)</t>
  </si>
  <si>
    <t>RFQ-NP-SVP-re262-2020-Procurement of  Materials for  Renovation Improvement of the Registrar, Assessment and Cashier's Office for Oroquieta.</t>
  </si>
  <si>
    <t>Purchase of office supplies of Barangay Tejero, San Luis Batangas from SK Fund</t>
  </si>
  <si>
    <t>Purchase of office supplies of Barangay Bagong Tubig, San Luis Batangas from SK Fund</t>
  </si>
  <si>
    <t>POBLACION-MADLING-QUIDAG-UM ACCESS ROAD PROJECT</t>
  </si>
  <si>
    <t>Procurement of Water Meter for JWS Consumers</t>
  </si>
  <si>
    <t>RFQ Supply &amp; Delivery OF GI ELBOW &amp; INSERT METER</t>
  </si>
  <si>
    <t>Supply and Delivery of 1 Unit Radio Base for Official Use of CIPLS CENRO BAYBAY</t>
  </si>
  <si>
    <t>Proposed Construction of Multi-Purpose Center, Barangay Guimputlan, Dapitan City POW # 2020-07-17-010</t>
  </si>
  <si>
    <t>ITB:Supply of Labor &amp; Materials For the Construction of Materials Recovery Facility (MRF) at Brgy. halang, Butong Tulo Bolbok Poblacion Zone 5, Mahabang Lodlod, Taal Batangas (cb-infra-2020-05)</t>
  </si>
  <si>
    <t>Costruction of Quarters for PNP Personnel</t>
  </si>
  <si>
    <t>PROCUREMENT OF 1 MICROPHONE AND SPEAKER (SEMI-EXPENDABLE-MACHINERY &amp; EQUIPMENT)</t>
  </si>
  <si>
    <t>Purchase of office supplies of Barangay San Martin, San Luis Batangas from SK Fund</t>
  </si>
  <si>
    <t>SUPPLY AND DELIVERY | OFFICE EQUIPMENT (BAC RFQ 20-576 , SLP)</t>
  </si>
  <si>
    <t>SUPPLY AND DELIVERY OF 195R/80 R15 and R14 VEHICLE EXTERIOR TIRES</t>
  </si>
  <si>
    <t>ITB:Supply of Labor &amp; Materials For the Construction / Rehabilitation of Local Roads at Brgy. Laguile Taal Batangas (cb-infra-2020-04)</t>
  </si>
  <si>
    <t>For PUM in Quarantine Facility</t>
  </si>
  <si>
    <t>Supply and Delivery of Toners</t>
  </si>
  <si>
    <t>Procurement of medical supplies, LGU-Panitan, Capiz (MDRRM Fund 2020)</t>
  </si>
  <si>
    <t>SUPPLY AND DELIVERY | SCANNER AND PRINTER (BAC RFQ 20-572 , UCT)</t>
  </si>
  <si>
    <t>Repair/ Recondition of Stake Truck</t>
  </si>
  <si>
    <t>Acquisition of Medical Equipment, RHU</t>
  </si>
  <si>
    <t>C20204302 CYCLING JERSEY FOR SPORTS HEALTH AND WEALTHNESS ACTIVITIES</t>
  </si>
  <si>
    <t>200-2020-07-019 Supply and delivery of watt hour meter, circuit breaker, universal outlet, etc.</t>
  </si>
  <si>
    <t>Establishment of Vegetable Greenhouse</t>
  </si>
  <si>
    <t>PROCUREMENT OF FOOD PACK ASSISTANCE FOR PWD's</t>
  </si>
  <si>
    <t>Purchase of Office Supplies, Santa Fe, Cebu - Municipal</t>
  </si>
  <si>
    <t>Supply and Delivery of Radiology Supplies</t>
  </si>
  <si>
    <t>Purchase of Construction Materials for the Development of Proposed Public Parking Area, Centro 2, San Guillermo, Isabela</t>
  </si>
  <si>
    <t>Procurement of Drugs and Medicines for Bislig District Hospital.</t>
  </si>
  <si>
    <t>Purchase of Provision of Labor and Materials for the Preparation of Duplicates But Not Limited to Copying and Binding of Documents (MODULES for SHS)</t>
  </si>
  <si>
    <t>Supply and Delivery of various goods (PR No. 2020-563)</t>
  </si>
  <si>
    <t>RFQ Supply &amp; Delivery OF  CALCIUM HYPOCHLORITE GRANULES</t>
  </si>
  <si>
    <t>Repair of Air Conditioning Unit of Motor Vehicles</t>
  </si>
  <si>
    <t>Purchase of office supplies of Barangay Taliba, San Luis Batangas from SK Fund</t>
  </si>
  <si>
    <t>Procurement of Supplies for the Reproduction of Learners Materials</t>
  </si>
  <si>
    <t>For Municipal Crisis Intervention Center Lot A &amp; B</t>
  </si>
  <si>
    <t>SUPPLY AND DELIVERY | FACE SHIELD AND GLOVES (BAC RFQ 20-577 , NHTS)</t>
  </si>
  <si>
    <t>Supply, Delivery, and Installation of One (1) lot Laboratory Tables, as per BSP Technical Specifications, Terms of Reference, and Terms and Conditions</t>
  </si>
  <si>
    <t>RFQ - SUPPLY &amp; DELIVERY OF CM FOR THE CONSTRUCTION OF STAFF HOUSE AND BODEGA</t>
  </si>
  <si>
    <t>300-2020-07-020 Supply and delivery of paper multicopy (A4), and Epson Inl (Black), Epson Inl (magenta), etc.</t>
  </si>
  <si>
    <t>Procurement of Various Office Furniture</t>
  </si>
  <si>
    <t>C20204303  Newsletter for Developmental News</t>
  </si>
  <si>
    <t>Supply and Delivery of various goods (PR No. 2020-560)</t>
  </si>
  <si>
    <t>PR# 20-07-067-052 - SUPPLY AND DELIVERY OF VARIOUS FURNITURES, DEPED, Division of San Carlos City, Negros Occidental</t>
  </si>
  <si>
    <t>Barangay 501 BDF "REHABILITATION OF STREETLIGHTS" 2020</t>
  </si>
  <si>
    <t>UPGRADING OF BARANGAY ROAD AT REMEDIOS</t>
  </si>
  <si>
    <t>Supply and Delivery of Ink Carts for BE-LCP to be distributed to school</t>
  </si>
  <si>
    <t>Procurement of Civil Works for the Repair/Rehabilitation of Seawall at  Brgy. Minuhang, Barugo, Leyte</t>
  </si>
  <si>
    <t>USE FOR ROAD REPAIR &amp; MAINTENANCE-SURFACING OF PATHOLE &amp; LEVELING ALONG PUERTOBELLO ROAD TO SECANTE BAG-O BOUNDARY, TUDELA, CEBU</t>
  </si>
  <si>
    <t>ITB:Supply of Labor &amp; Materials For the Construction / Rehabilitation of Local Roads at Brgy. Seiran Taal Batangas(cb-infra-2020-06)</t>
  </si>
  <si>
    <t>Purchase of office supplies of Barangay Muzon, San Luis Batangas from SK Fund</t>
  </si>
  <si>
    <t>20H00082 - Organizational Outcome 1: Ensure Safe and Reliable National Road System, Network Development, Construction of By-pass and Diversion Roads, Metro Cebu Expressway, Sta. 0+000 - Sta. 2+500 (Si</t>
  </si>
  <si>
    <t>2020 D4- Transmission Line POW Cauayan City (MD4-20-0113)</t>
  </si>
  <si>
    <t>To maintain a license copy of the software to be use for the on going, future development and for the maintenance support of the existing DCP Application Systems</t>
  </si>
  <si>
    <t>Labor Services to conduct Land Preparation up to Planting- Reposting</t>
  </si>
  <si>
    <t>Supply and Delivery of Meals to be served for the Weekly meeting/assessment of the personnel of the City Public Order and Safety Coordinating Office for 2nd Semester of 2020 in the City of San Fernand</t>
  </si>
  <si>
    <t>Concreting of Linglingay Brgy. Road</t>
  </si>
  <si>
    <t>2020-09_ITB - Proposed Proposed Auxiliary of 3 Educare Centers in Concepcion Pequeña, Naga City</t>
  </si>
  <si>
    <t>Procurement of One Lot Job for the Termite Proofing Treatment at Provincial Engineer’s Office, Laguinbanua East, Numancia, Aklan</t>
  </si>
  <si>
    <t>Procurement and Delivery of office supplies</t>
  </si>
  <si>
    <t>Improvement of Barangay Road Sacsac Manjuyod Negros Oriental (N-204-2020)</t>
  </si>
  <si>
    <t>SUPPLY &amp; DELIVERY 24 SHTS PHENOLIC BOARD 3/4 AND OTHER ITEMS FOR OFFICE USE.</t>
  </si>
  <si>
    <t>procurement - bondpaper A4</t>
  </si>
  <si>
    <t>Procurement of 242 White Polo Shirts with PPA Logo Embroidered</t>
  </si>
  <si>
    <t>RFQ - Procurement of Goods: Const'n Materials &amp; Supplies for the use of CEO (Repair &amp; Maintenance of Structures used as Evacuation Center) (PR#100-20-08-0065)</t>
  </si>
  <si>
    <t>Purchase of Generator used for Monitoring of Schools online</t>
  </si>
  <si>
    <t>procurement of school supplies</t>
  </si>
  <si>
    <t>ITB:Supply of Labor &amp; Materials For the Construction of Multi-Purpose Center Located at Buli Taal Batangas(cb-infra-2020-08)</t>
  </si>
  <si>
    <t>Purchase of Materials for Installation of Cubicle (For SB Cubicle/Partition), Santa Fe, Cebu - Municipal</t>
  </si>
  <si>
    <t>Procurement of Various Laboratory Supplies: For Women and Children Protection Program</t>
  </si>
  <si>
    <t>Supply and delivery of various office supplies (COED 2020)</t>
  </si>
  <si>
    <t>C20204304  Magazine for Governor's Annual Report - Bisaya Version</t>
  </si>
  <si>
    <t>Request for Quotation for the Provision of Printing Services to be used during the conduct of the Season-Long Training on Climate Resilient Farm Business School (CRFBS) for Framers on July 24, 2020 to</t>
  </si>
  <si>
    <t>ROAD OPENING AND IMPROVEMENT OF MALABBAGA FARM TO MARKET ROAD (PHASE 1)</t>
  </si>
  <si>
    <t>Office Supplies Expense-AFPPS-241,466.00</t>
  </si>
  <si>
    <t>Supply and Delivery of Office Equipment for Official use of PASSO (Capital Outlay)</t>
  </si>
  <si>
    <t>RFQ-OFFICE EQUIPMENT</t>
  </si>
  <si>
    <t>ITB:Supply of Labor &amp; Materials For the Proposed Site Development of the Evacuation Center located at Brgy. Carsuche Taal Batangas                                                             (cb-infra</t>
  </si>
  <si>
    <t>RICE20-08-05-0981 To provide catering services Culminating Exercises of the University on the Air on Rice Production &amp; Modernization.</t>
  </si>
  <si>
    <t>Purchase of office supplies of Barangay Tungal, San Luis Batangas from SK Fund</t>
  </si>
  <si>
    <t>SFLU TRC Various Development Administrative Building Waterline, ACU, Pathway: For the use of DOG SFLU TRC</t>
  </si>
  <si>
    <t>Purchase of furniture</t>
  </si>
  <si>
    <t>Procurement of Supply of labor and materials for customizing existing boom truck into water tanker truck</t>
  </si>
  <si>
    <t>Supply and delivery of Laptop [SSU Paranas (OJT Office) 2020]</t>
  </si>
  <si>
    <t>Publication in Newspapers of Municipal Ordinances (Municipal Revenue Code and Zoning Ordinance)</t>
  </si>
  <si>
    <t>C20204305 Magazine for Governor's Annual Report</t>
  </si>
  <si>
    <t>RFQ-TPB-PR.2020.07.227 PROCUREMENT OF FOOT BATH SANITATION SET (SECOND POSTING)</t>
  </si>
  <si>
    <t>Construction of Proposed Residual Containment Area</t>
  </si>
  <si>
    <t>Purchase and Delivery of Grocery Items for the Municipalities Social Amelioration Program during MECQ</t>
  </si>
  <si>
    <t>IB-GOODS-2020-04A Procurement of Medical, Dental and Laboratory Supplies-Rebid</t>
  </si>
  <si>
    <t>SUPPLY AND DELIVERY OF VARIOUS HARDWARE/CONSTRUCTION MATERIALS</t>
  </si>
  <si>
    <t>Construction of 57.20 LM  CHB Wall Fence with Iron Grills at Covered Court, Lopoc, Labason, Z.N.</t>
  </si>
  <si>
    <t>Municipal Engineers Office Improvement</t>
  </si>
  <si>
    <t>Procurement of materials for used for the Plant Propagation of this municipality</t>
  </si>
  <si>
    <t>SVP PUR20-07-0618, 0619,0620,0628,0629 and PUR20-07-0630	Procurement of Glucose 800 tests, etc. for Dept. of Medicine</t>
  </si>
  <si>
    <t>Supply &amp; Delivery of ICT Materials for the Network repair, maintenance and internet Fiber optic service entrance conduit Installation 01D(HES) H15-2020</t>
  </si>
  <si>
    <t>Printing of Expanded ENBS English and Tagalog Brochure_PR 11271</t>
  </si>
  <si>
    <t>Supply and Delivery of various goods (PR No. 2020-551)</t>
  </si>
  <si>
    <t>Supply and Delivery of IT &amp; Multimedia for the use of COVID-19 Emergency Operation Center Staff</t>
  </si>
  <si>
    <t>PR NO. 1435 Laboratory Supplies</t>
  </si>
  <si>
    <t>Installation of Power Outlets for Task-Force Hipos</t>
  </si>
  <si>
    <t>Procurement of Medical Equipment (BP Apparatus &amp; others): To be used in the different Barangay Health Stations of Dagupan City</t>
  </si>
  <si>
    <t>Purchase of Medical Oxygen standard size (refill) for use at JBDAPH PR No. (100(09-A)20-07-1456)</t>
  </si>
  <si>
    <t>PR. NO. 184-20 MEALS AND SNACKS FOR FINALIZATION OF MODULES IN M.A.P.E.H</t>
  </si>
  <si>
    <t>Request for Quotation for the Provision of Agricultural products to be used during the conduct of the Season-Long Training on Climate Resilient Farm Business School (CRFBS) for Framers on July 24, 202</t>
  </si>
  <si>
    <t>Supply and Delivery of 135 Sacks of Rice for the Month of August 2020</t>
  </si>
  <si>
    <t>SUPPLY AND DELIVERY OF INKS AND TONERS FOR OFFICE SUPPLIES STOCK RFQ NO. EMB-EMB-PGSS 103-08-07-2020-2ND POSTING PR NO.2020-0437</t>
  </si>
  <si>
    <t>:   Completion/Installation of CHB Wall w/ Cement Plaster,Floor Tiles, Ceiling Board, Lig Electrical Facilities, and Painting Works at Barangay Hall, Lopoc, Labason, Z.N.</t>
  </si>
  <si>
    <t>HO-PIB20-007 (PB2) - Design, Supply, Delivery, Test and Commissioning of Two (2) Units of 5MW Power Barge at Mooring Facility, Bo. Obrero, Iloilo City</t>
  </si>
  <si>
    <t>Regular Bidding 18/Aug/2020 - Procurement of Goods: Supply and Install'n of Digital Wireless Receiver for the use of Command Center &amp; Conference Hall at 5th Floor City Hall, T.C.) (PR#100 -20-08-0048)</t>
  </si>
  <si>
    <t>Titling of Municipal Lots (Surveying Services)</t>
  </si>
  <si>
    <t>Purchase of Office Equipment, Furniture/Fixture for the PNP Station</t>
  </si>
  <si>
    <t>C20204307 Office Chairs for  DDNH-CARMEN ZONE</t>
  </si>
  <si>
    <t>Laptop for VPRDE and Cashier</t>
  </si>
  <si>
    <t>C20204306 Customized/Personalized Plastic Water TUMBLER  FOR SPORTS HEALTH AND WEALTHNESS ACTIVITIES</t>
  </si>
  <si>
    <t>RFQ-ICT EQUIPMENT</t>
  </si>
  <si>
    <t>Supply and Delivery of Diesel Fuel for use of the 1st &amp; 2nd District SP Members</t>
  </si>
  <si>
    <t>IMPROVEMENT OF MULTI PURPOSE HALL</t>
  </si>
  <si>
    <t>SUPPLY AND DELIVERY OF VARIOUS ELECTRICAL SPARE PARTS FOR 336KW CUMMINS, MODEL NO.: KTA19-G2, ENGINE NO.: 41233013 INTENDED FOR BIRI DPP</t>
  </si>
  <si>
    <t>Supply and Delivery of Agricultural Supplies and Medicines</t>
  </si>
  <si>
    <t>SUPPLY AND DELIVERY OF MATERIALS FOR THE REGIONAL OFFICE</t>
  </si>
  <si>
    <t>RFQ  for Reproduction of Pupils School ID</t>
  </si>
  <si>
    <t>Procurement of Plastic Envelope</t>
  </si>
  <si>
    <t>PROCUREMENT OF GRASS CUTTER</t>
  </si>
  <si>
    <t>Regular Bidding 18/Aug/2020 - Procurement of Goods: Const'n Materials &amp; Supplies for the use of DEPED (Const'n of Kindergarten Bldg. at Nueva Fuerza ES) (PR#200-20-08-0024)</t>
  </si>
  <si>
    <t>Procurement of 600 Ampule Diazepam 5 mg/ml,2ml Ampule,etc. under P.R.No. 0799-2020-Butuan Medical Center</t>
  </si>
  <si>
    <t>Purchase of Garbage Bag for use at PGA PR No. (100(01)20-07-1477)</t>
  </si>
  <si>
    <t>Updates on NCD Policies and Monitoring Tools</t>
  </si>
  <si>
    <t>Supply of Blood Lancet_PR 11349</t>
  </si>
  <si>
    <t>Supply and Delivery of Glass Stante to be used for the Records Storage File of the Office of the Sangguniang Panlungsod in the City of San Fernando, Pampanga</t>
  </si>
  <si>
    <t>RFQ Supply &amp; Delivery OF PE TUBE</t>
  </si>
  <si>
    <t>GOODS-2020-08-110 PROCUREMENT OF IT EQUIPMENT FOR CITY DEPED DIVISION USE.</t>
  </si>
  <si>
    <t>C20204308 Veterinary Medicine for DEWORMING ACTIVITY PRIOR TO ARTIFICIAL INSEMENATION.</t>
  </si>
  <si>
    <t>Provinsion of Livelihood Kits under the Livelihood Seeding Program- pangkabuhayan sa Pagbabago at Ginhawa (LSP-PBG)- (Balbalan and Pasil)</t>
  </si>
  <si>
    <t>PRINT, SCAN &amp; COPY</t>
  </si>
  <si>
    <t>Procurement of 8 Box Electrolytes Reagent with on Board QC Set and Planner, 5 Parameters, 12 Boxes under P.R. No.2540-2020 - Butuan Medical Center</t>
  </si>
  <si>
    <t>Fabrication of reinforced concrete pipe culvert</t>
  </si>
  <si>
    <t>Van Rental</t>
  </si>
  <si>
    <t>Purchase of Office Supplies for BAC Office Use</t>
  </si>
  <si>
    <t>C20204309 Medical Supplies for  PDRRMD for Emergency Medical Response</t>
  </si>
  <si>
    <t>RFQ-DVO-PR.NO. 2007496 CAT. 57 SPORTS ATTIRE</t>
  </si>
  <si>
    <t>Supply and Delivery of Desktop Computer and Laptop for use of Staff under GO- Information System Division</t>
  </si>
  <si>
    <t>Check, Repair and Replace of Worn out Parts of one (1) unit Toyota Revo Gas M/T</t>
  </si>
  <si>
    <t>Catering Services, Sound System, Office Supplies and Other Supplies for the ACO-ADCO OF SDSSU</t>
  </si>
  <si>
    <t>ANTIQUE BRANCH - SAFETY BARRIERS</t>
  </si>
  <si>
    <t>Supply and delivery of various Electrical materials and equipment (Electrical Maint. 2020)</t>
  </si>
  <si>
    <t>Construction of 6 Units Multi-Purpose Building for Motorized Rice Transplanter</t>
  </si>
  <si>
    <t>Supply and Delivery of Various Information/ Communication Technology Equipment</t>
  </si>
  <si>
    <t>Proc. of Office supplies-MTO</t>
  </si>
  <si>
    <t>Supply and delivery of Electrical materials for various electrical maintenance/work (Electrical Maint. 2020)</t>
  </si>
  <si>
    <t>Renovation of Barangay Hall @ Barangay Talaibon, Ibaan, Batangas</t>
  </si>
  <si>
    <t>Supply &amp; Delivery of Office Supplies and Equipment for BOSS</t>
  </si>
  <si>
    <t>(VJLN - GP) SUPPLY AND DELIVERY OF MECHANICAL PLANTER FOR CORN AND SORGHUM (REPOST - NO BIDS RECEIVED)</t>
  </si>
  <si>
    <t>RFQ-GS-20200730-01 - 1 Lot Supply, Delivery and Installation of Acrylic Frame Panels, Horizontal Signage, Wall Mounted Bulletin Board at Three (3) LANDBANK Offices</t>
  </si>
  <si>
    <t>Biometrics device</t>
  </si>
  <si>
    <t>C20204310 Hardware Materials for Rehab. of Jct. New Boholano-New Loon Provincial Road, Kapalong, DDN</t>
  </si>
  <si>
    <t>Booster and Water Pump for Hagonoy Campus</t>
  </si>
  <si>
    <t>PROCUREMENT OF DRUGS &amp; MEDICINES, DR. JOSE RIZAL MEMORIAL HOSPITAL</t>
  </si>
  <si>
    <t>Purchase of Furniture for the repair of the Administrative Section</t>
  </si>
  <si>
    <t>REQUEST FOR QUOTATION - FITTINGS</t>
  </si>
  <si>
    <t>RFQ-GS-20200803-02 - 1 Lot Supply and Delivery of Various Steel Cabinets at LANDBANK Quezon Avenue Branch</t>
  </si>
  <si>
    <t>S1-ADP20-014 - SUPPLY OF LABOR, MATERIALS, TOOLS AND EQUIPMENT FOR PCB TESTING OF TRANSFORMER OIL.</t>
  </si>
  <si>
    <t>RFQ - Procurement of Goods: Medical &amp; Lab. Supplies for the use of CDRRMO (PR#100-20-07-0371)</t>
  </si>
  <si>
    <t>Procurement of Android Smartphone</t>
  </si>
  <si>
    <t>DIVING ACTIVITIES AGUS 6 UNIT NO. 5</t>
  </si>
  <si>
    <t>Supply and Delivery of Various  Office Equipment</t>
  </si>
  <si>
    <t>RFQ - Procurement of Goods: Food Supplies (Rice) for the use of CMO-Admin (Rice Subsidy for Anti-Illegal Drugs Campaign) (PR#100-20-08-0070)</t>
  </si>
  <si>
    <t>RFQ - Procurement of Goods: Printing Services for Booklet, Stand Program Activity Book and Data Information Sheet for the use of CMO-Admin CADAC (STAND Program) (PR#100-20-08-0069)</t>
  </si>
  <si>
    <t>Supply &amp; Delivery of 142pcs of Classmate Chairs</t>
  </si>
  <si>
    <t>FILE SYSTEM</t>
  </si>
  <si>
    <t>SUPPLY AND DELIVERY OF CELLULAR PHONES</t>
  </si>
  <si>
    <t>SUPPLY &amp; DELIVERY OF VARIOUS ELECTRICAL SUPPLIES FOR 100KW CUMMINS, MODEL NO. 6BT5 9-G2, SERIAL NO. 78467011 &amp; 80KW CUMMINS, MODEL NO. 6BTAA5 9-G2, SERIAL NO. 78258010 FOR ITEM # 4, INTENDED FOR CAMAN</t>
  </si>
  <si>
    <t>Supply and Delivery of Materials for Construction of Materials  Recovery Facility</t>
  </si>
  <si>
    <t>PPE Donning, Doffing and Specimen Training</t>
  </si>
  <si>
    <t>For the use of the Office of the Municipal Accountant, Local Government Unit - Nabua, Camarines Sur</t>
  </si>
  <si>
    <t>CONSTRUCTION OF COVERED COURT</t>
  </si>
  <si>
    <t>Procurement of Diesoline, Oil and Lubricants for the use of PHO Vehicle in Official Travel/Official Business Activities of Provincial Health Office, Kalibo, Aklan</t>
  </si>
  <si>
    <t>Supply and Delivery of Materials for Completion of Laundry Area  at Bayugan Community Hospital</t>
  </si>
  <si>
    <t>Procurement for Quarterly Monitoring Evaluation and Adjustment Conference</t>
  </si>
  <si>
    <t>RFQ MATERIALS FOR MODULE PRODUCTION</t>
  </si>
  <si>
    <t>Construction of Drainage with Shoulder (Phase 1), Brgy. Nancamarinan, Paniqui, Tarlac</t>
  </si>
  <si>
    <t>C20204311 Spare Parts for SERVICE OF LPRRC MARKETING AND OTHERS</t>
  </si>
  <si>
    <t>S1-CGY20-009  SUPPLY AND DELIVERY OF VARIOUS MATERIALS FOR OPERATIONS.</t>
  </si>
  <si>
    <t>Procurement for Supply and Delivery of Laptop Computer and wireless mouse</t>
  </si>
  <si>
    <t>RFQ-GS-20200706-01 - 1 Lot Supply, Delivery, Installation, Testing &amp; Commissining of Airconditioning Units at LANDBANK Bais (Negros Oriental) Branch</t>
  </si>
  <si>
    <t>Supply and Delivery of Medical Equipment for BCH</t>
  </si>
  <si>
    <t>CONCRETING OF BARANGAY ROAD AT SANTIAGO</t>
  </si>
  <si>
    <t>Projector and Camera for Agriculture Office</t>
  </si>
  <si>
    <t>Supply &amp; Delivery of 1 unit Window type Aircondition and 1 unit Split type Aircondition</t>
  </si>
  <si>
    <t>Vehicle supplies</t>
  </si>
  <si>
    <t>Purchase of Construction materials for Laying of RCPC at Barangay Sinaad, Sapang Dalaga, Mis. Occ.</t>
  </si>
  <si>
    <t>Procurement of Gasoline</t>
  </si>
  <si>
    <t>Color Coded Garbage Bin to be used in Training Center in Compliance with Memo #220 Series of 2020 Issued by Sec. Lapeña</t>
  </si>
  <si>
    <t>20GH00003 - Freight and Handling of Multi-Purpose Amphibious Dredge – Watermaster Classic II from DPWH-NCR-RES Compound Bicutan, Taguig to DPWH Regional Office VII, SRP, Cebu City</t>
  </si>
  <si>
    <t>Troubleshooting,Repair &amp; Cleaning of ACU</t>
  </si>
  <si>
    <t>Proposed Single Barrel Box Culvert in Brgy. Alipaciawan</t>
  </si>
  <si>
    <t>CLAMP</t>
  </si>
  <si>
    <t>Purchase and Delivery of Office Supplies of the Barangay Record keeper</t>
  </si>
  <si>
    <t>REQUEST FOR QUOTATION FOR WATER SYSTEM IMPROVEMENT (Construction of Water Tank)</t>
  </si>
  <si>
    <t>Other Supplies &amp; Materials Expenses (ATFID-140,900.00)</t>
  </si>
  <si>
    <t>Procurement of Bond Paper</t>
  </si>
  <si>
    <t>C20204312 Various supplies for  LIVESTOCK &amp; POULTRY PRODUCTION &amp; RESTOCKING PROJECT</t>
  </si>
  <si>
    <t>Pag-IBIG Fund TAS NCR South (SUPPLY AND DELIVERY OF VARIOUS CONSTRUCTION EQUIPMENT)</t>
  </si>
  <si>
    <t>Request for quotation of PAGATPAT ELEMENTARY School Modules</t>
  </si>
  <si>
    <t>DEMOLITION OF PATHWAY SHED AND REINSTATEMENT</t>
  </si>
  <si>
    <t>Procurement of Low Pressure Cast Iron, heavy duty burner</t>
  </si>
  <si>
    <t>Supply of Labor and Materials for the Provision of Quarantine Space/Isolation Room for COVID Program at Brgy. Antipolo, Tinambac, Cam. Sur</t>
  </si>
  <si>
    <t>Nursing Service Medicines and Supplies for 3rd Quarter of 2020</t>
  </si>
  <si>
    <t>Supply of Various Tires with Installation</t>
  </si>
  <si>
    <t>Supply and delivery of various materials for Research project [CFARRD (Limestone Ecosystem) 2020]</t>
  </si>
  <si>
    <t>Heavy Equipment rentals for Laying of RCPC at Brgy. Sinaad, Sapang Dalaga, Mis. Occ.</t>
  </si>
  <si>
    <t>Supply &amp; Delivery of 796 Reams of Bond Paper</t>
  </si>
  <si>
    <t>Procurement of Head Set DMEA</t>
  </si>
  <si>
    <t>PROCUREMENT OF HP TONER CARTRIDGE(508A)</t>
  </si>
  <si>
    <t>REQUEST FOR QUOTATION REPRODUCTION OF LEARNING MODULES</t>
  </si>
  <si>
    <t>Printing of Tarpaulin for Health Advisory (Covid 19)</t>
  </si>
  <si>
    <t>C20204313 Spare Parts for use of 63-L2-24P LW500-3E XCMG LOADER</t>
  </si>
  <si>
    <t>Supply &amp; Delivery of Hardware Materials for the Network repair, maintenance and internet Fiber optic service entrance conduit Installation 01D(HES) H17-2020</t>
  </si>
  <si>
    <t>PURCHASE OF RICE</t>
  </si>
  <si>
    <t>TIER METAL SHELVES</t>
  </si>
  <si>
    <t>EXTERNAL HARD DRIVE</t>
  </si>
  <si>
    <t>CONSTRUCTION OF MAUI POTABLE WATER SYSTEM (LEVEL II)</t>
  </si>
  <si>
    <t>One (1) Lot Office Supplies</t>
  </si>
  <si>
    <t>S1-SVD20-010 - SUPPLY AND DELIVERY OF VARIOUS MATERIALS FOR OPERATION USE.</t>
  </si>
  <si>
    <t>Heavy equipments rental for road clearing along of national highway due heavy rains at sitio trucut, brgy. Boundary, Sapang Dalaga, Mis. Occ.</t>
  </si>
  <si>
    <t>RFQ: Bottled Water 500ml</t>
  </si>
  <si>
    <t>S1-PLY20-004  - FREIGHT AND HANDLING AND OTHER CHARGES AS PER SCOPE OF WORKS.</t>
  </si>
  <si>
    <t>RFQ-GS-20200707-01 - 1 Lot Supply, Delivery, Testing and Commissioning of Airconditioning Units at LANDBANK Nueva Vizcaya Lending Center</t>
  </si>
  <si>
    <t>SCHOOL READINESS SUPPLIES</t>
  </si>
  <si>
    <t>SCHOOL READINESS SUPPLIES 2</t>
  </si>
  <si>
    <t>Purchase of Electronic Appliances</t>
  </si>
  <si>
    <t>Reproduction and Binding of Learning Modules</t>
  </si>
  <si>
    <t>Purchase of Construction Materials for repair of municipal gymnasium at Poblacion, Sapang Dalaga</t>
  </si>
  <si>
    <t>Installation of Water System at Quetegan National High School, Mangatarem, Pangasinan</t>
  </si>
  <si>
    <t>Purchase of Office Supplies and Equipment for Lala Districts Office</t>
  </si>
  <si>
    <t>Supply &amp; Delivery of Office Supplies and Equipment for SJPNHS and GMEVHS Extension</t>
  </si>
  <si>
    <t>Procurement of 2 units Rice Cooker</t>
  </si>
  <si>
    <t>S1-SVD20-011 - SUPPLY OF LABOR, TOOLS, EQUIPMENT AND EXPERTISED FOR THE STACK EMMISSION TESTING AND ANALYSIS OF 2X600KW CUMMINS VEE-TYPE(4 SMOKE STACK) AND 1X500KW MAN-CXZ(1 SMOKE STACK).</t>
  </si>
  <si>
    <t>Barangay Road Concreting(Zone 03)</t>
  </si>
  <si>
    <t>RFQ 08-02-2020 Item A</t>
  </si>
  <si>
    <t>PROCUREMENT OF DRUG/MEDICINES AND MEDICAL SUPPLIES</t>
  </si>
  <si>
    <t>RFQ-GS-20200715-05 - 1 Lot Supply, Delivery and Installation of Cash Vault Dooor, Emergency Exit Door, Vault Ventilator &amp; Cash Safe at LANDBANK Burauen &amp; Tagbilaran Brs.</t>
  </si>
  <si>
    <t>Supply and delivery of food pack (3 meals) for Health Personnel's food managing COVID-19 facilities.</t>
  </si>
  <si>
    <t>INVITTATION TO BID FOR PURCHASE OF MATERIALS FOR CONSTRUCTION OF GROUTED RIPRAP FOR DRAINAGE CANAL - First Bidding</t>
  </si>
  <si>
    <t>Supply &amp; Delivery of Bondpapers for the Reproduction of Modules</t>
  </si>
  <si>
    <t>Procurement of OFFICE SUPPLIES (3RD QUARTER)</t>
  </si>
  <si>
    <t>Medical and Dental Supplies for 3rd Quarter of 2020</t>
  </si>
  <si>
    <t>IMPROVEMENT OF DAYCARE CENTER</t>
  </si>
  <si>
    <t>SUPPLY Z7 DELIVERY OF VARIOUS MECHANICAL SPARE PARTS UNIT 4 FOR 315KW FG WILSON PERKINS MODEL NO. 2506A-E15TAG3, SERIAL NO. MGDF7150U10595A INTENDED FOR MARIPIPI DPP</t>
  </si>
  <si>
    <t>Repair and Maintenance of other Machinery and Equipment (Photocopier Machine)</t>
  </si>
  <si>
    <t>Procurement of Termites Control Services</t>
  </si>
  <si>
    <t>PR# 20-2036, 20-2037- PHO- FOR TIRE REPLACEMENT</t>
  </si>
  <si>
    <t>S1-BAC20-004 - SUPPLY AND DELIVERY OF VARIOUS MATERIALS FOR OPERATION AND MAINTENANCE USE.</t>
  </si>
  <si>
    <t>RFQ 08-02-2020 Item B</t>
  </si>
  <si>
    <t>Purchase of Materials for the Road Concreting, Brgy. Sibacungan, Lambunao, Iloilo</t>
  </si>
  <si>
    <t>Supply &amp; Delivery of Office Supplies and Equipment for official communication, preparation and submission of the District Reports</t>
  </si>
  <si>
    <t>Publication of Publication of Municipal Ordinance No.04 S. 2020</t>
  </si>
  <si>
    <t>Supply and Delivery of uPVC Pipes for the new Pumphouse at Maranding, Kapatagan, LDN</t>
  </si>
  <si>
    <t>PROCUREMENT OF I.T. CONSUMABLES AND SUPPLIES</t>
  </si>
  <si>
    <t>PROCUREMENT OF 50 PCS. MONO BLOCK CHAIRS (GOOD QUALITY) USE IN THE MUNICIPAL MAYOR'S OFFICE</t>
  </si>
  <si>
    <t>Supply and Delivery of Various Materials for Installation of  Electrical Wirings at Bayugan Community Hospital</t>
  </si>
  <si>
    <t>PROCUREMENT OF FUEL, LUBRICANTS AND OIL USE IN DIFFERENT OFFICE IN LOCAL GOVERNMENT UNIT OF PIÑAN, ZN</t>
  </si>
  <si>
    <t>SUPPLY AND DELIVERY OF VARIOUS MECHANICAL SPARE PARTS FOR 56KW PERKINS, INTENDED FOR BOHOL MINI GRID II</t>
  </si>
  <si>
    <t>Improvement of Road at Barangay Canlahao Jimalalud Negros Oriental(S-133-2020)</t>
  </si>
  <si>
    <t>Concreting od Road, Barangay Bantilanao Manjuyod Negros Oriental(N-202-2020)</t>
  </si>
  <si>
    <t>Provision for Conference Venue with Meals, Snacks and Room Accommodation (Triple Sharing) for the Conduct of Nutrition Program Management Training (Idol ko si Nanay) in Pagadian City</t>
  </si>
  <si>
    <t>S1-END20-013 - SUPPLY AND DELIVERY OF MATERIALS AND SUPPLIES FOR ELECTRICAL MAINTENANCE USE.</t>
  </si>
  <si>
    <t>Catering Service for the training on the Management of Sever Acute Malnutrition (SAM) under Five Years Old with Minimum Health Standards</t>
  </si>
  <si>
    <t>Supply and delivery of Vacuum Oven (ABH 2020-124)</t>
  </si>
  <si>
    <t>Purchase and Delivery of Vehicle parts of the SBO</t>
  </si>
  <si>
    <t>RFQ No. 2008-389 Proc. of Goods (Anti Sneezing Acrylic Barrier)</t>
  </si>
  <si>
    <t>OFFICE SUPPLIES EXPENSES</t>
  </si>
  <si>
    <t>IB No. 2020 - 08 - INSTALLATION OF VENTILATION SYSTEM FOR THE PROPOSED MOLECULAR BIOLOGY LABORATORY</t>
  </si>
  <si>
    <t>PURCHASE OF HEAVY EQUIPMENT ( ONE UNIT BRAND NEW BACK HOE WITH BREAKER)</t>
  </si>
  <si>
    <t>Printing of Flyers to be used for Anti - Illegal Recruitment &amp; Trafficking In Person Campaign.</t>
  </si>
  <si>
    <t>S1-PLY20-003  -  SUPPLY AND DELIVERY OF SPARE PARTS FOR OPERATION AND MAINTENANCE USE.</t>
  </si>
  <si>
    <t>Improvement of Barangay Road Sacsac Manjuyod Negros Oriental(N-206-2020)</t>
  </si>
  <si>
    <t>Fabrication and Installation of Forty-One Signages of Simbahan Talagas Protected Landscape</t>
  </si>
  <si>
    <t>CONSTRUCTION OF REINFORCED CONCRETE, PAINTING WORKS AND TILE WORKS</t>
  </si>
  <si>
    <t>1 LOT SUPPLY AND DELIVERY OF HDPE PIPE &amp; PLASTIC UNION COUPLING</t>
  </si>
  <si>
    <t>RFQ-GS-20200708-07 - 1 Unit Heavy Duty Color Laser Printer (A3)</t>
  </si>
  <si>
    <t>Purchase of Construction Materials for the Proposed Rehab and Improvement of Sinking Road/Slope Protection at Centro 2 to Dipacamo Road (Ambrocio)</t>
  </si>
  <si>
    <t>Supply and Delivery of Dressing pad, 9 – 10 cm x 20 cm, transparent w/ absorbent pad</t>
  </si>
  <si>
    <t>RFQ No. 2008-390 Proc. of Goods (Furnitures and Fixtures)</t>
  </si>
  <si>
    <t>Improvement of Multi-Purpose Center</t>
  </si>
  <si>
    <t>Supply &amp; Delivery of Medical Supplies</t>
  </si>
  <si>
    <t>Lease of Laptop for official use of DARPO Personnel</t>
  </si>
  <si>
    <t>Procurement of brandnew vehicle for Disaster Response use.</t>
  </si>
  <si>
    <t>Aircondition Unit</t>
  </si>
  <si>
    <t>INVITATION TO BID FOR BARANGAY ROAD CONCRETING (WHEEL WAY) - FIRST BIDDING</t>
  </si>
  <si>
    <t>PRODUCTION AND DEVELOPMENT OF VIRTUAL TOUR FOR FARM AND KULINARYA</t>
  </si>
  <si>
    <t>S1-ARA20-007  -  SUPPLY AND DELIVERY OF FAST MOVING SPARE PARTS FOR ARACELI DPP.</t>
  </si>
  <si>
    <t>Purchase of 23-units Laptop Computer for the use of Different Public School in the Municipality</t>
  </si>
  <si>
    <t>RFQ OFFICE SUPPLIES</t>
  </si>
  <si>
    <t>Installation of WIFI and Networking in 14 offices of Municipal Hall</t>
  </si>
  <si>
    <t>Steel Benches to be used at Various Barangays in Mangatarem, Pangasinan</t>
  </si>
  <si>
    <t>Pag-IBIG Fund TAS NCR South (SUPPLY AND DELIVERY OF ADDITIONAL  ELECTRICAL MATERIALS FOR THE WORLD CENTRE)</t>
  </si>
  <si>
    <t>RFQ No. 20-08-204 for PR No. 20-08-196</t>
  </si>
  <si>
    <t>ROAD CONCRETING (CONCRETE PAVING),  BRGY. DEL CARMEN, DULAG LEYTE</t>
  </si>
  <si>
    <t>Supply and Delivery of Covid-19 Rapid Test Kit</t>
  </si>
  <si>
    <t>Purchase of supplies (Television set, Sound System, Jet Matic Pumps, Water Dispenser)	for Provincial Governor's Office		 (N-638-2020)</t>
  </si>
  <si>
    <t>RFQ Office Supplies</t>
  </si>
  <si>
    <t>Request for Quotation for  Internet Connection Installation and Set-up</t>
  </si>
  <si>
    <t>Procurement of vitamins for distribution to senior citizen of this Province.</t>
  </si>
  <si>
    <t>Maintenance of Roads and Bridges</t>
  </si>
  <si>
    <t>20HL0114 - Construction of  2 STY 4 CL  School Building @ Palayuhan High School, Siaton, Negros Oriental</t>
  </si>
  <si>
    <t>Procurement of Fast Moving Other Supplies used for Covid-19 Mitigation</t>
  </si>
  <si>
    <t>SERVICE OF FREIGHT TARPULIN</t>
  </si>
  <si>
    <t>Supply &amp; Delivery of Pipes &amp; Fittings for CWD for the Repair of Main Pipe Line at Sumulong Bridge</t>
  </si>
  <si>
    <t>S1-LIN20-006 - SUPPLY AND DELIVERY OF MATERIALS AND SUPLIES FOR OPERATION AND MAINTENANCE USE.</t>
  </si>
  <si>
    <t>Filters</t>
  </si>
  <si>
    <t>OMS20-025</t>
  </si>
  <si>
    <t>Supply and Delivery of Office Equpment for use of ENRO</t>
  </si>
  <si>
    <t>S/D OF TWO (2) PCS TUBULAR FLUORESCENT LIGHT BULBS, T8 AND THIRTY ONE (31) OTHER LI OF 4LRC, LRR, PA (PHP 100,000.00)</t>
  </si>
  <si>
    <t>Procurement of Vehicle Rental</t>
  </si>
  <si>
    <t>IB No. 2020 - 09 - Supply, Delivery and Testing of  One (1) unit Brand New Multi-Purpose Van</t>
  </si>
  <si>
    <t>Computer Desktop w/ complete accessories with Printer (Ryzen 5 	 &amp; etc. for Provincial Governor's Office				 (N-597-2020)</t>
  </si>
  <si>
    <t>SUPPLY AND DELIVERY OF VARIOUS MECHANICAL SPARE PARTS FOR 300KW CUMMINS INTENDED FOR CALUYA DPP</t>
  </si>
  <si>
    <t>Procurement of Reference  Books for Health Sciences</t>
  </si>
  <si>
    <t>RFQ No. 2007-362 Proc. of Goods (Chainsaw Chains and Chainsaw Round File)(Repost)</t>
  </si>
  <si>
    <t>240 Boxes of N88 Face Mask</t>
  </si>
  <si>
    <t>PROCUREMENT OF SUPPLIES AND MATERIALS FOR THE CONCRETING OF ROAD RIGHT OF WAY AT ZONE 6, BGY. SAN JOSE, GOA, CAMARINES SUR.</t>
  </si>
  <si>
    <t>3 Day Writeshop on Indigenous Peoples (IP) Self-Learning Modules and Video Lessons Making</t>
  </si>
  <si>
    <t>Upgrading the System for the General Revision Processes</t>
  </si>
  <si>
    <t>Purchase of Construction Materials used for the Construction of Drainage Manhole with cover located at Ligaya St., Brgy. Dulongbayan I, San Mateo, Rizal</t>
  </si>
  <si>
    <t>Supply and Delivery of Uniforms and Paraphernalia to be used by the CPOSCO TF KKK Multipliers in connection with the Task Force KKK Enforcement at the Barangay Level for the year 2020 in the City of S</t>
  </si>
  <si>
    <t>Acquisition of COVID-19 response items</t>
  </si>
  <si>
    <t>SUPPLY AND DELIVERY OF GENERAL MERCHANDISE FOR VARIOUS PURCHASE REQUEST OF THE CITY UNDER SMALL VALUE PROCUREMENT</t>
  </si>
  <si>
    <t>Procurement of Supplies for the reproduction of Learners Materials and  Supplies Relevant to Precautionary Measures againts COVID 19</t>
  </si>
  <si>
    <t>Request for quotation of PAGATPAT ELEMENTARY School OFFICE SUPPLIES</t>
  </si>
  <si>
    <t>Procurement of Reference Books for Education, Arts and Sciences</t>
  </si>
  <si>
    <t>SUPPLY AND DELIVERY OF ONE (1) UNIT PROJECTOR FOR THE CITY PLANNING AND DEVELOPMENT COORDINATOR’S OFFICE - TWO FAILED BIDDING</t>
  </si>
  <si>
    <t>PROCUREMENT OF ONE (1) SOFTWARE PROGRAM FOR REAL PROPERTY TAX ADMINISTRATION (RPTA) USE FOR THE CONDUCT OF 2020 GENERAL REVISION OF REAL PROPERTY ASSESSMENTS</t>
  </si>
  <si>
    <t>Construction of One Unit Two Storey Eight Classroom School Building at Lutay,Elementary School, Tayasan, Negros Oriental</t>
  </si>
  <si>
    <t>Procurement of Reference Books for Business Management Students</t>
  </si>
  <si>
    <t>Office Furniture for barangay hall @ Lapu - Lapu, Ibaan, Batangas</t>
  </si>
  <si>
    <t>Catering Services of Different Offices for the month of August 2020.</t>
  </si>
  <si>
    <t>Supply and Delivery of tactical suit for use of PDRRMO Responders during calamities/disasters</t>
  </si>
  <si>
    <t>N20-08-104 VEHICLE RENTAL</t>
  </si>
  <si>
    <t>SUPPLY AND DELIVERY OF VARIOUS ELECTRICAL SPARE PARTS FOR 163KW PERKINS INTENDED FOR GUINTARCAN DPP</t>
  </si>
  <si>
    <t>S1-CUL20-015  - SUPPLY OF LABOR, TOOLS AND EQUIPMENT FOR LABORATORY ANALYSIS OF POWER TRANSFORMER</t>
  </si>
  <si>
    <t>PURCHASE OF CONSTRUCTION MATERIALS</t>
  </si>
  <si>
    <t>CONCRETING OF BARANGAY ROAD AT BGY. PINAGLABANAN, GOA, CAMARINES SUR.</t>
  </si>
  <si>
    <t>Supply and Delivery of Various Dietary Supplies and Materials</t>
  </si>
  <si>
    <t>Request for Quotation for the Provision of Catering services to be served for the conduct of Training of Trainers on Rice Crop Manager (RCM) Advisory Services on September 21-25, 2020 at Magsaysay, Mi</t>
  </si>
  <si>
    <t>PROCUREMENT OF SNACKS AND MEALS</t>
  </si>
  <si>
    <t>Procurement of Tent</t>
  </si>
  <si>
    <t>Rehabilitation of Linear Park along Chino Roces Avenue Extension, Brgy. Fort Bonifacio, Taguig City</t>
  </si>
  <si>
    <t xml:space="preserve">Rebidding:177 box Drug Testing Kit, Rapid, 25’s and other items for assessment of drugs surrenderees from various Barangays at the Community Based treatment and support service of City Health office, </t>
  </si>
  <si>
    <t>Procurement of Hardware Materials</t>
  </si>
  <si>
    <t>Spareparts</t>
  </si>
  <si>
    <t>SUPPLY AND DELIVERY OF VARIOUS MECHANICAL SPARE PARTS FOR 300KW CUMMINS INTENDED FOR GIGANTES DPP</t>
  </si>
  <si>
    <t>PURCHASE OF OFFICE SUPPLIES-063R</t>
  </si>
  <si>
    <t>Procurement of 2,100 BOTTLES OF ALCOHOL 500ML (ISOPROPHYL 70% SOLUTION) (B7-20-28)RECANVASS</t>
  </si>
  <si>
    <t>S/D OF TWO (2) PCS TUBULAR FLUORESCENT LIGHT BULBS, T8 AND THIRTY ONE (31) OTHER LI OF 5LRC, LRR, PA (PHP 100,000.00)</t>
  </si>
  <si>
    <t>20HL0115 - Construction of 2 STY 8 CL School Building @ Olandao Elementary School, Basay, Negros Oriental</t>
  </si>
  <si>
    <t>SUPPLY &amp; DELIVERY OF VARIOUS ELECTRICAL SPARE PARTS INTENDED FOR TAGAPUL-AN DPP</t>
  </si>
  <si>
    <t>Procurement of Printing and Binding Services</t>
  </si>
  <si>
    <t>Construction of 1 Unit One-Storey Two Classroom School Building with Toilet attached at each Classroom at Carmen ES, Canlaon City, Negros Oriental</t>
  </si>
  <si>
    <t>Procurement of Non-Regulated Drugs for ZDSMC Pharmacy Sales/ Stocking Purposes (OB Patients use)</t>
  </si>
  <si>
    <t>Procurement of Thermal Gun</t>
  </si>
  <si>
    <t>REQUEST FOR QUOTATION FOR OFFICE SUPPLIES</t>
  </si>
  <si>
    <t>Purchase of Construction Materials for the CConcreting of Urban Road F. Dagohoy Street, Centro 1, San Guillermo, Isabela</t>
  </si>
  <si>
    <t>INVITATION TO BID FOR SUPPLY OF MATERIALS FOR CONCRETING AND IMPROVEMENT OF BARANGAY ROADS - FIRST BIDDING</t>
  </si>
  <si>
    <t>RFQ-NP-SVP-338-2020-Procurement of ICT Repair and maintenance for 3rd Quarter</t>
  </si>
  <si>
    <t>Livelihood dispersal (Carabao)</t>
  </si>
  <si>
    <t>20GIL0056(PURCHASE OF SPARE PARTS, DPWH-SLDEO MAASIN CITY, SOUTHERN LEYTE)</t>
  </si>
  <si>
    <t>ALCOHOL</t>
  </si>
  <si>
    <t>Procurement &amp; delivery of various office supplies  and consumables</t>
  </si>
  <si>
    <t>Repair &amp; Maintenance of Other Structure (OJ1-PhP118,978.00)</t>
  </si>
  <si>
    <t>Construction of 1 Unit One-Storey Two Classroom School Building with Toilet attached at each Classroom at Pasto ES, Canlaon City, Negros Oriental</t>
  </si>
  <si>
    <t>Procurement of High-Speed Digital Master-Making, SAN JOSE CITY NUEVA ECIJA</t>
  </si>
  <si>
    <t>S/D OF EIGHT (8) PCS TUBULAR FLUORESCENT LIGHT BULBS, T8 AND FIFTEEN (15) OTHER LI OF LRS, LRR, PA (PHP 200,000.00)</t>
  </si>
  <si>
    <t>Supply and delivery of various toner cartridge for our existing printer HP Laserjet Pro MFP M181FW</t>
  </si>
  <si>
    <t>SUPPLY AND DELIVERY OF MEDICAL PARAPHERNALIA / SUPPLIES FOR RESPONSE AMBULANCE OPERATION - TWO FAILED BIDDING</t>
  </si>
  <si>
    <t>Procurement of Office Supplies and Devices</t>
  </si>
  <si>
    <t>S1-SVD20-012 - SUPPLY AND DELIVERY OF VARIOUS MATERIALS, SUPPLIES FOR OPERATION USE.</t>
  </si>
  <si>
    <t>MPG-B1-2020-373 (2nd Rebid) SUPPLY AND DELIVERY OF ONE (1) LOT SPARE PARTS FOR THE MAINTENANCE AND REPAIR OF PHILIPPINE MARINE CORPS (PMC) FLOATING ASSETS FOR THE PHILIPPINE NAVY (PN)</t>
  </si>
  <si>
    <t>S1-NPS20-021 - SUPPLY OF LABOR, TOOLS AND EQUIPMENT FOR THE LINE CLEARING OF PUERTO - ROXAS 69KV TL, SCHEDULE II FROM LANGOGAN TO ROXAS SS 69KV TL.</t>
  </si>
  <si>
    <t>PURCHASE OF MATERIALS FOR THE REPAIR OF PUBLIC MARKET COMFORT ROOM.</t>
  </si>
  <si>
    <t>S1-SVD20-015 - SUPPLY AND DELIVERY OF MATERIALS FOR OPERATION USE.</t>
  </si>
  <si>
    <t>Hotel Accommodation - Ground Water Resource Assessment Project</t>
  </si>
  <si>
    <t>Procurement of Spare Parts</t>
  </si>
  <si>
    <t>Construction of One Unit Two Storey Six Classroom School Building at Bayog Elementary School, Canlaon City, Negros Oriental</t>
  </si>
  <si>
    <t>Procurement of Reproduction and Binding of Learning Modules</t>
  </si>
  <si>
    <t>Supply and Delivery of Supplies and Materials for Office and School Disinfection in Response to COVID-19</t>
  </si>
  <si>
    <t>Supply &amp; Delivery of Various Supplies</t>
  </si>
  <si>
    <t>SUPPLY &amp; DELIVERY OF VARIOUS ELECTRICAL SPARES INTENDED FOR CAPUL DPP</t>
  </si>
  <si>
    <t>Construction of Drainage</t>
  </si>
  <si>
    <t>Dalaguete RHU3 completion</t>
  </si>
  <si>
    <t>Procurement of Diesel</t>
  </si>
  <si>
    <t>S1-BAC20-002 - SUPPLY AND DELIVERY OF VARIOUS MATERIALS, SUPPLIES FOR OFFICE , OPERATION AND MAINTENANCE USE.</t>
  </si>
  <si>
    <t>Supply and Delivery of Construction Materials for the Construction of Temporary Office (Budget Office)</t>
  </si>
  <si>
    <t>Purchase of Solar Panel with Complete Accessories</t>
  </si>
  <si>
    <t>SUPPLY AND DELIVERY OF MEALS AND SNACKS FOR THE CONDUCT OF THE REQUIRED HEALTH STANDARDS IN BASIC EDUCATION OFFICES AND SCHOOLS ORIENTATION PROGRAM</t>
  </si>
  <si>
    <t>SUPPLY AND DELIVERY OF VARIOUS IT EQUIPMENT (DESKTOP COMPUTER, LAPTOP, PRINTER) FOR THE CITY HEALTH OFFICE - 2ND BIDDING</t>
  </si>
  <si>
    <t>Osmeña peak information center bldg. enhancement</t>
  </si>
  <si>
    <t>Supply and Delivery of Electric Bulb</t>
  </si>
  <si>
    <t>S/D OF TWENTY ONE (21) PCS TUBULAR FLUORESCENT LIGHT BULBS, T8 AND THIRTY THREE (33) OTHER LI OF 5LRC, LRR, PA (PHP 998,000.00)</t>
  </si>
  <si>
    <t>S/D OF EIGHT (8) PCS TUBULAR FLUORESCENT LIGHT BULBS, T8 AND FIFTEEN (15) OTHER LI OF LRS, LRR, PA (PHP 531,051.00)</t>
  </si>
  <si>
    <t>Procurement of One (1) unit brandnew 6 wheelers 16ft Heavy Duty Rivetless Aluminum Van use for delivery of  various medicines, intravenous fluids and supplies to six provincial hospitals.</t>
  </si>
  <si>
    <t>Procurement of Non-Regulated Drugs for ZDSMC Pharmacy Sales/ Stocking Purposes (Internal Medicine use)</t>
  </si>
  <si>
    <t>ASPHALTING OF ROAD AT BARANGAY DALUMPINAS, SAN NICOLAS, PANGASINAN</t>
  </si>
  <si>
    <t>RFQ No. 2008-385 Proc. of Goods (IT Equipments)</t>
  </si>
  <si>
    <t>Supply and Delivery of 150 rolls Plastic Mulch</t>
  </si>
  <si>
    <t>SEMI EXPENDABLE MACHINERY AND EQUIPMENT - ICT EQUIPMENT</t>
  </si>
  <si>
    <t>PR NO. 1983 Supplies</t>
  </si>
  <si>
    <t>SUPPLY WITH DELIVERY OF CONSTRUCTION MATERIALS</t>
  </si>
  <si>
    <t>Rehabilitation of Multi-Purpose Building</t>
  </si>
  <si>
    <t>BACK PACK</t>
  </si>
  <si>
    <t>Supply and Delivery of Various Dietary Materials and Supplies</t>
  </si>
  <si>
    <t>COVID-19 prevention and control program</t>
  </si>
  <si>
    <t>SUPPLY LABOR &amp; MATERIALS FOR HAULING OF FG WILSON CONTROL PANEL FROM CABUL-AN DPP TO TAKUT DPP &amp; 120 KVA TRANSFORMER FROM TAKUT DPP TO LIBUCAN DPP</t>
  </si>
  <si>
    <t>REHABILITATION OF SANTA FE SPILLWAY</t>
  </si>
  <si>
    <t>S1-NPS20-022 - SUPPLY AND DELIVERY OF AIRCONDITIONING 2.0 HP, WINDOW TYPE, INVERTER.</t>
  </si>
  <si>
    <t>HIRE OF 1 UNIT VAN</t>
  </si>
  <si>
    <t>PROCUREMENT OF MEDICAL OXYGEN</t>
  </si>
  <si>
    <t>Procurement for Printing Supplies to be used for the Quality Assurance of Grade 3 Araling Panlipunan and Grade 5 ADM Modules for Q2, Q3, and Q4</t>
  </si>
  <si>
    <t>Training on Diversified and Integrated Rice-Based Farming System: Palayamanan Plus at Brgy. Natubgan, Kananga, Leyte on September 22-24, 2020 (Services &amp; starter kit)</t>
  </si>
  <si>
    <t>MEGA BOX</t>
  </si>
  <si>
    <t>RFQ No.: 2020 – 135 PCB Board with Complete Accessories and Installation</t>
  </si>
  <si>
    <t>PHOTOCOPY OF MODULES FOR 6 WEEKS ONLY</t>
  </si>
  <si>
    <t>Procurement of Goods (Photocopy Machines)</t>
  </si>
  <si>
    <t>Procurement of Semi-Expendable Office Equipment (Laptop,UPS,Mouse &amp; AVR)</t>
  </si>
  <si>
    <t>RFQ FOR OFFICE SUPPLIES</t>
  </si>
  <si>
    <t>Supply, Delivery and Installation of 1 lot Internet Subscription of Bukidnon State University (re-bidding)</t>
  </si>
  <si>
    <t>Purchase of Veterinary Medicines</t>
  </si>
  <si>
    <t>RFQ for the Cost of Copy Paper</t>
  </si>
  <si>
    <t>Supply and Delivery of Various Medical Grade Gloves</t>
  </si>
  <si>
    <t>Supply and Delivery of Disinfecting Mat and Tray</t>
  </si>
  <si>
    <t>Supply and delivery of 52 pcs printed t shirt and personalized face mask with logo</t>
  </si>
  <si>
    <t>Events Management Company ( Project: Kain Na! Food and Travel Festival 2020 Online Learning Webinar and E-Commerce Platform)</t>
  </si>
  <si>
    <t>SUPPLY &amp; DELIVERY OF VARIOUS MECHANICAL SPARE PARTS FOR 300 KW PERKINS INTENDED FOR LIMASAWA DPP</t>
  </si>
  <si>
    <t>S1-NGL20-005 - SUPPLY AND DELIVERY OF GENERAL pLANT eQUIPMENT(GPE) FOR NANGALAO DPP.</t>
  </si>
  <si>
    <t>INK</t>
  </si>
  <si>
    <t>Printing and door-to-door delivery of Self Learning Modules Quarter 1 for use of DepEd SDO San Fernando City (La Union)</t>
  </si>
  <si>
    <t>Laptop Computer Rental for three months (August-October 2020)</t>
  </si>
  <si>
    <t>RFQ No.: 2020 – 136 Installation of Clear Tempered Glass with slide up Screen Including Chipping Works &amp; Restoration for Natural Ventilation of 8th storey OPD and Wards Bldg</t>
  </si>
  <si>
    <t>Supply and Delivery of Multifunctional Inkjet Colored Printer with Continuous Ink Supply System</t>
  </si>
  <si>
    <t>Procurement of Multi-Vitamins</t>
  </si>
  <si>
    <t>SUPPLY AND DELIVERY OF VEHICLE MAINTENANCE SUPPLIES, PARTS AND ACCESSORIES FOR VARIOUS TRANSPORTATION EQUIPMENT / VEHICLE OF THE CITY - 2ND BIDDING</t>
  </si>
  <si>
    <t>Repair/Maintenance of Road Slope Protection along Dumaguete North Road, Brgy. Malaga, Bindoy, Negros Oriental</t>
  </si>
  <si>
    <t>Purchase of Storage Boxes (big)</t>
  </si>
  <si>
    <t>S/D OF TWO (2) PCS TUBULAR FLUORESCENT LIGHT BULBS, T8 AND THIRTY ONE (31) OTHER LI OF 1LRC, LRR, PA (PHP 100,000.00)</t>
  </si>
  <si>
    <t>Purchase of Construction Materials used for the Improvement of Drainage Canal with cover at Dela Cruz St. Netra , Brgy. Malanday, San Mateo, Rizal</t>
  </si>
  <si>
    <t>RFQ No. 2008-388 Proc. of Goods (Newborn Screening Filter Cards)</t>
  </si>
  <si>
    <t>Procurement of Kitchenwares</t>
  </si>
  <si>
    <t>Printing and Delivery of Self-Learning Modules for DepED-Division of Lapu-Lapu City</t>
  </si>
  <si>
    <t>PROCUREMENT OF 1 UNIT ALL IN ONE TANK PRINTER AND 1 UNIT DESKTOP HARD DISK DRIVE USE IN THE OFFICE OF THE SANGGUNIANG BAYAN</t>
  </si>
  <si>
    <t>Repair and Maintenance of barangay Patrol</t>
  </si>
  <si>
    <t>RFQ for Supply and Delivery of Appliances</t>
  </si>
  <si>
    <t>PURCHASE &amp; DELIVERY OF BLACK CANVASS ( 9m x 20m Dimension)</t>
  </si>
  <si>
    <t>MPG-B1-2020-344 - SUPPLY AND DELIVERY OF BRAND NEW 46,026 PAIRS ARMY COMBAT BOOTS, SUEDE, FIELD USE AND 24,400 PAIRS ARMY COMBAT BOOTS, SUEDE URBAN  USE FOR THE PHILIPPINE ARMY (PA)</t>
  </si>
  <si>
    <t>Procurement for the Delivery of Catering Service</t>
  </si>
  <si>
    <t>REPAIR AND MAINTENANCE OF PERIMETER FENCE/MAIN GATE AT DARRO-08</t>
  </si>
  <si>
    <t>Telephone Expenses - Mobile</t>
  </si>
  <si>
    <t>Procurement of Various Office Supplies for the Reproduction of Modules for Four (4) Campuses -</t>
  </si>
  <si>
    <t>PROCUREMENT OF REPAIR &amp; MAINTENANCE OF MOTOR VEHICLE, DR. JOSE RIZAL MEMORIAL HOSPITAL</t>
  </si>
  <si>
    <t>PR# 20-1909- FOR HOSPITAL USE</t>
  </si>
  <si>
    <t>Supply &amp; Delivery of 4 units LAPTOP and 3 units PORTABLE POWERED SPEAKER</t>
  </si>
  <si>
    <t>NP-113-20 - Supply and Delivery including Labor for Engine Failure due to Pressure Pump for Hyundai Starex with Plate No. NJQ-521 UNDER PRAS NO. 20-1513</t>
  </si>
  <si>
    <t>Labor Hire for Municipal Gymnasium Repair at Poblacion, Sapang Dalaga, Mis. Occ.</t>
  </si>
  <si>
    <t>Complete Supply &amp; Delivery of Vehicle Parts &amp; Accessories</t>
  </si>
  <si>
    <t>SUPPLY &amp; DELIVERY OF VARIOUS MECHANICAL SPARES FOR UNIT # 1-163KW DALE PERKINS, MODEL NO.: 2006-TGI, SERIAL ENGINE NO. 52 INTENDED FOR SAN VICENTE DPP.:</t>
  </si>
  <si>
    <t>Supply of Fuel for the 3rd Quarter of OMAG</t>
  </si>
  <si>
    <t>SUPPLY AND DELIVERY OF VARIOUS MECHANICAL SPARE PARTS FOR 163KW PERKINS INTENDED FOR GIGANTES DPP</t>
  </si>
  <si>
    <t>SJADS INFRA 20-10: CONCRETING/REHABILITATION OF  MUNICIPAL STREETS</t>
  </si>
  <si>
    <t>Supply and Delivery of Heavy-duty 3 in 1 Copier</t>
  </si>
  <si>
    <t>PROCUREMENT OF 32" TELEVISION</t>
  </si>
  <si>
    <t>Concreting od Road, Barangay Bantilanao Manjuyod Negros Oriental(S-168-2020)</t>
  </si>
  <si>
    <t>SUPPLY AND DELIVERY OF COVID-19 RELATED SUPPLIES</t>
  </si>
  <si>
    <t>SUPPLY AND DELIVERY OF MEDICAL AND DENTAL SUPPLIES FOR DENTAL TREATMENT OF LEARNERS, TEACHING AND NON TEACHING PERSONNEL</t>
  </si>
  <si>
    <t>Digital Thermometer &amp; Hygrometer (National Immunization Program)</t>
  </si>
  <si>
    <t>PHOTOCOPY OF MODULES FOR 10 WEEKS</t>
  </si>
  <si>
    <t>Lease of one (1) unit Laptop</t>
  </si>
  <si>
    <t>Repair/Maint. of Carriageway along Paco-Roxas-Arakan Valley Road (Paco-Antipas Section)</t>
  </si>
  <si>
    <t>Request for Quotations</t>
  </si>
  <si>
    <t>RENT TO OWN for 5 Months . ICT Equipment In support to the monitoring implementation, documentation and evaluation of Covid-19 activities</t>
  </si>
  <si>
    <t>Procurement of Bond Paper in Preparation for the Re-production of Modules for Learning Continuity Plan</t>
  </si>
  <si>
    <t>Repair/Maint. of Carriageway along Davao-Cotabato Road and Kidapawan-Ilomavis Tourist Road (Bulatukan-Patadon Sect;Kidapawan-Sayaban Section)</t>
  </si>
  <si>
    <t>SUPPLY AND DELIVERY OF HARDWARE SUPPLIES AND MATERIALS FOR VARIOUS OFFICES - 2ND BIDDING</t>
  </si>
  <si>
    <t>Supply &amp; Delivery 1 Unit Submersible Motor &amp; 2 Unit Submersible Pump for Gumaca Water District</t>
  </si>
  <si>
    <t>Purchase of Fortified Powdered Milk Drink</t>
  </si>
  <si>
    <t>RFQ No.: 2020 – 138 Various Engineering Materials for Temporary Pedia Ward at Roofdeck of OPD and Ward Building (Sewer Line and Water Line)</t>
  </si>
  <si>
    <t>PROCUREMENT OF BLOOD BANK SUPPLIES AND REAGENTS</t>
  </si>
  <si>
    <t>Supply and delivery of 18 pcs Solar navigation lights</t>
  </si>
  <si>
    <t>S1-NPS20-025 - SUPPLY OF LABOR, TOOLS, MATERIALS &amp; EQUIPMENT FOR THE PCB TESTING OF 5MVA TRANSFORMER OF ROXAS SUB STATION.</t>
  </si>
  <si>
    <t>Procurement of Clindamycin 150mg/ml, 4ml</t>
  </si>
  <si>
    <t>AdmD20-07-050_compressor</t>
  </si>
  <si>
    <t>PURCHASE and DELIVERY of ONE UNIT HEAVY DUTY PRINTER/COPIER MACHINE, LGU (Office of Agriculture), Bagabag, Nueva Vizcaya</t>
  </si>
  <si>
    <t>Supply and Delivery of Disinfecting Wipes</t>
  </si>
  <si>
    <t>SUPPLY AND DELIVERY OF VARIOUS ELECTRICAL SPARE PARTS FOR 36 KW FG WILSON PERKINS INTENDED FOR PANANY MINI GRID</t>
  </si>
  <si>
    <t>Supply &amp; Delivery of Construction Materials &amp; Supplies for the Construction of Niches at Socorro Public Memorial Garden</t>
  </si>
  <si>
    <t>Purchase of Fuel for use in the Administrative Section for the  3rd Quarter/CY 2020</t>
  </si>
  <si>
    <t>SUPPLY &amp; DELIVERY OF VARIOUS ELECTRICAL SUPPLIES FOR 315KW FG WILSON PERKINS, MODEL NO. 2506A-E15TAG3, SERIAL NO. MGDF7150U10595A; 163KW DALE PERKINS, MODEL N0.: 2006 TGI, SERIAL NO. 45; &amp; 150KW CUMMI</t>
  </si>
  <si>
    <t>For use in the Maintenance of National Roads DNR, MAR, VLCR &amp; GBIR.</t>
  </si>
  <si>
    <t>Printing &amp; Tacking of Modules including Delivery to Bais City Division Ofiice, Bais City, Negros Oriental</t>
  </si>
  <si>
    <t>Materials for floor tiling</t>
  </si>
  <si>
    <t>Spare Parts for use in the Repair/Maintenance of Various Equipment/vehicle in  the Maintenance Section</t>
  </si>
  <si>
    <t>S1-END20-019 - SUPPLY OF LABOR, TOOLS AND EQUIPMENT FOR THE PCB TESTING OF TRANSFORMER OIL OF EL NIDO DPP.</t>
  </si>
  <si>
    <t>20HH0149-Concreting of Brgy. Buot Taop FMR, Brgy. Buot Taop, Cebu City, Cebu</t>
  </si>
  <si>
    <t>Office Supplies (COVID-19 Isolation Facilities)</t>
  </si>
  <si>
    <t>20DQ0133 - Concreting of Brgy. Langkaan 2 FMR, Brgy. Langkaan 2, Dasmariñas, Cavite and Concreting of Sitio Caragao, Brgy. Sampaloc II, Dasmariñas, Cavite</t>
  </si>
  <si>
    <t>PROCUREMENT OF AMBULANCE SUPPLIES FOR MEDICAL OFFICE</t>
  </si>
  <si>
    <t>Supply and Delivery of Printing Materials for Lion Awards for Covid-19 Partners and Heroes Virtual Awarding Ceremony</t>
  </si>
  <si>
    <t>Printing and Reproduction of Learning Materials on Basic Education Learning Continuity Plan for Public Schools</t>
  </si>
  <si>
    <t>SUPPLY OF ADDITIONAL MATERIALS OF ROOF FRAMING FOR THE COVERED COURT OF BRGY. TAPIAN, SAN MIGUEL, Z.D.S</t>
  </si>
  <si>
    <t>Perez National High School - Self Learning Modules</t>
  </si>
  <si>
    <t>Supply &amp; Delivery of Livelihood Kit (Variety store) of the Pangkabuhayan sa pagBangon at Ginhawa (PBG)'s  PWD and Former rebel beneficiaries</t>
  </si>
  <si>
    <t>For use in the Repair/Maintenance of National Roads in DNR &amp; GBIR.</t>
  </si>
  <si>
    <t>Bio-Solution</t>
  </si>
  <si>
    <t>supply and delivery of DISPOSABLE FACEMASK AND SOAP FOR THE 121 BENEF OF SANTIAGO ISABELA AND 604 BENEF OF CAUAYAN CITY</t>
  </si>
  <si>
    <t>Purchase Laboratory Supplies, LGU-Banga, South Cotabato</t>
  </si>
  <si>
    <t>Procurement of Medicines for School Clinic</t>
  </si>
  <si>
    <t>RFQ for COVID MITIGATION</t>
  </si>
  <si>
    <t>RFQ2020-08-038</t>
  </si>
  <si>
    <t>Purchase of Sewing Machines</t>
  </si>
  <si>
    <t>ROM20-012</t>
  </si>
  <si>
    <t>delivery &amp; installation of split type aircondition</t>
  </si>
  <si>
    <t>20DQ0134 - Construction of 2STY10CL, Carmen ES, Silang, Cavite</t>
  </si>
  <si>
    <t>Purchase of  of Office Equipment</t>
  </si>
  <si>
    <t>Transportation Rental for School Dental Health Care Program and OK sa DepEd Program</t>
  </si>
  <si>
    <t>PROCUREMENT OF PERSONAL PROTECTIVE EQUIPMENT OF BENEFICIARIES FOR THE IMPLEMENTATION OF TUPAD POST COVID-19 FOR THE PROVINCES OF AGUSAN DEL NORTE, SURIGAO DEL NORTE AND AGUSAN DEL SUR</t>
  </si>
  <si>
    <t>SSBn-2020-08-08 Vehicle Parts and Accessories</t>
  </si>
  <si>
    <t>For the Supply of Two (2) Unit 3SMF Battery, Water pump, Installation of Airconditioning Unit, Repair and Replacement of Spare Parts of One (1) Unit Toyota Hi-Lux</t>
  </si>
  <si>
    <t>ROAD CONCRETING AT PUROK 3</t>
  </si>
  <si>
    <t>OCS20-015</t>
  </si>
  <si>
    <t>RFQ No.: 2020 – 137 Installation of Powder Coated Thick Aluminum Door to be Used for Temporary Pedia Ward at Roofdeck of OPD and Wards Bldg</t>
  </si>
  <si>
    <t>Improvement of Stage at Brgy. Sagaba SDNE</t>
  </si>
  <si>
    <t>27IB-2020-07-008 Vehicle Parts and Accessories</t>
  </si>
  <si>
    <t>PIKCOT-SUPP-002020-00175 (SUPPLY AND DELIVERY OF OFFICE SUPPLIES )</t>
  </si>
  <si>
    <t>PIKCOT-SUPP-002020-00174 (SUPPLY AND DELIVERY OF AIRCON )</t>
  </si>
  <si>
    <t>BUS RENTAL PR 0289</t>
  </si>
  <si>
    <t>Printing of Annual Report of PMO-Surigao  CY 2019</t>
  </si>
  <si>
    <t>72IB-2020-0002 Construction Materials and Supplies</t>
  </si>
  <si>
    <t>LDP20-010</t>
  </si>
  <si>
    <t>TOWEM-1142-2020-0031 Other Supplies and Materials</t>
  </si>
  <si>
    <t>72IB-2020-0001 Construction Materials and Supplies</t>
  </si>
  <si>
    <t>MPG-B1-2020-244 - SUPPLY AND DELIVERY OF BRAND NEW 16,490 PIECES PONCHO TENT, PHILARPAT FOR THE PHILIPPINE ARMY (PA)</t>
  </si>
  <si>
    <t>60IB-2020-03-05 Office Supplies</t>
  </si>
  <si>
    <t>SID20-006</t>
  </si>
  <si>
    <t>B0620-005</t>
  </si>
  <si>
    <t>Face Shield</t>
  </si>
  <si>
    <t>60IB-02-004-2020 Other Supplies and Materials</t>
  </si>
  <si>
    <t>Bond Paper A4 supplies</t>
  </si>
  <si>
    <t>For use in DPWH-NOFDEO as Office Supplies (4th Quarter CY 2020).</t>
  </si>
  <si>
    <t>MRO20-020</t>
  </si>
  <si>
    <t>ANNUAL SERVICING OF THE SSS MAIN BUILDING'S POWER SUBSTATIONS AND OTHER RELATED WORKS</t>
  </si>
  <si>
    <t>SID20-005</t>
  </si>
  <si>
    <t>OMS20-012</t>
  </si>
  <si>
    <t>PROCUREMENT OF TIRES AND SHOCK WITH LABOR</t>
  </si>
  <si>
    <t>Supply of Hybridization Incubator</t>
  </si>
  <si>
    <t>CONCRETING OF ROAD LEADING TO MALAGABAVI FALLS</t>
  </si>
  <si>
    <t>Supply and Delivery of office supplies and supplies for learning modules distribution of AASMNHS</t>
  </si>
  <si>
    <t>PROCUREMENT OF OFFICE EQUIPMENT UNDER IARCDSP MICROFINANCE</t>
  </si>
  <si>
    <t>MAM20-006</t>
  </si>
  <si>
    <t>P.R No. 20-07-0761: GASOLINE &amp; DIESEL</t>
  </si>
  <si>
    <t>PROVISION OF SUPPLIES FOR THE REPRODUCTION OF LEARNING MODULES</t>
  </si>
  <si>
    <t>73IB-2020-007 Food Supplies</t>
  </si>
  <si>
    <t>PROCUREMENT OF LIVESTOCK/POULTRY FEEDS AND BIOLOGICS SUPPLIES UNDER IARCDSP MICROFINANCE</t>
  </si>
  <si>
    <t>TIN20-014</t>
  </si>
  <si>
    <t>SID20-003</t>
  </si>
  <si>
    <t>Provision of supplies and materials for Reproduction of worksheets on Handwriting &amp; Beginning Reading for K to 3 Learners.</t>
  </si>
  <si>
    <t>08-PR-2020-0042 TIRES FOR USE OF ISUZU BIGHORN H1-5806/SGA 211, NISSAN SAFARI PCU 777, NISSAN NAVARRA H1 6872/ADJ 4052</t>
  </si>
  <si>
    <t>SID20-007</t>
  </si>
  <si>
    <t>ROM20-019</t>
  </si>
  <si>
    <t>67IB-2020-05-06 Other Supplies and Materials</t>
  </si>
  <si>
    <t>ROM20-013</t>
  </si>
  <si>
    <t>RFQ for Sodium Ascorbate Alkaline based</t>
  </si>
  <si>
    <t>COR20-013</t>
  </si>
  <si>
    <t>Provision of supplies &amp; materials for Reproduction of learner's modules in all learning areas.</t>
  </si>
  <si>
    <t>ITB for the materials for Repair and Improvement of Hand washing and Tooth Brushing Facilities</t>
  </si>
  <si>
    <t>1 set Caliper Wheel Hub Spindle</t>
  </si>
  <si>
    <t>Supply and Delivery of 2 units Aircon 1.0 HP (Split Type) with Installation</t>
  </si>
  <si>
    <t>71IB-2020-06-15 Office Supplies</t>
  </si>
  <si>
    <t>67IB-2020-04-04 Vehicle Parts and Accessories</t>
  </si>
  <si>
    <t>ITB for the provision of School Supplies</t>
  </si>
  <si>
    <t>20GD0113 - BASIC EDUCATIONAL FACILITIES FUND (BEFF) CONSTRUCTION OF ELEMENTARY AND SECONDARY CLASSROOMS – CONSTRUCTION OF 2STY4CL, TANZA ES, ROXAS CITY, CAPIZ</t>
  </si>
  <si>
    <t>Training Service Provider for E – Learning Session</t>
  </si>
  <si>
    <t>AMP SVP-S NO: 20-08-0431 Laptop Computer</t>
  </si>
  <si>
    <t>Supply and Delivery of Google G Suite for Business Licensing Subscription for One (1) Year</t>
  </si>
  <si>
    <t>Procurement of CCTV Cameras</t>
  </si>
  <si>
    <t>EDUCATIONAL MATERIALS AND SUPPLIES</t>
  </si>
  <si>
    <t>Repair and Restoration of Three (3) Units Antique Clocks</t>
  </si>
  <si>
    <t>Barangay 803 BDF "INSTALLATION OF STEEL GATE" 2020</t>
  </si>
  <si>
    <t>Supply and Delivery of Materials for Reproduction and Distribution of Modules and LAS for Use of Schools in the Division under Project WRITE</t>
  </si>
  <si>
    <t>PURCHASE AND SUPPLIES OF MEDICINE</t>
  </si>
  <si>
    <t>To provide advocacy polo shirt of RJJWC XI</t>
  </si>
  <si>
    <t>Supply and Installation of One (1) unit 4.0 HP Wall Mounted Premium Inverter Split Type Aircon</t>
  </si>
  <si>
    <t>Procurement of Supplies (Bond Paper) for Printing of Self Learning  Modules</t>
  </si>
  <si>
    <t>Procurement of Ultraviolet Germicidal Lamps</t>
  </si>
  <si>
    <t>20GD0112 - BASIC EDUCATIONAL FACILITIES FUND (BEFF) CONSTRUCTION OF ELEMENTARY AND SECONDARY CLASSROOMS – CONSTRUCTION OF 2STY4CL, WEST VILLAFLORES ES, MA-AYON, CAPIZ</t>
  </si>
  <si>
    <t>Procurement of CY 2020 PAS-ICT Requirements</t>
  </si>
  <si>
    <t>RFQ 2020-08-23 LR and AS</t>
  </si>
  <si>
    <t>Barangay 701 MOOE "OFFICE SUPPLIES, SCHOOL SUPPLIES, R/M OF MOTOR VEHICLE" / RRMF "FIRE FIGHTING EQUIPMENT" 2020</t>
  </si>
  <si>
    <t>2020 Census of Population and Housing 4th Level Training</t>
  </si>
  <si>
    <t>Meals for the Livelihood Training Program for the Displaced Workers batch 2</t>
  </si>
  <si>
    <t>Improvement of Provincial Agriculture’s Office for Farmer’s Information Training Center, Brgy. Dalakit, Catarman, Northern Samar</t>
  </si>
  <si>
    <t>Purchase of 23 units HD Copyprinter, ink and roll master for schools reproduction of modules</t>
  </si>
  <si>
    <t>Meals for the Livelihood Training Program for the Displaced Workers batch 1p</t>
  </si>
  <si>
    <t>Repair/Improvement of PGAD Office, Brgy. Dalakit, Catarman, Northern Samar</t>
  </si>
  <si>
    <t>RFQ 2020-08-24 MOA module</t>
  </si>
  <si>
    <t>Relocation/Installation of 6 units Air Condition to Newly Renovated Building (JBS Building)</t>
  </si>
  <si>
    <t>REPRODUCTION AND PRINTING OF STUDENTS' MODULES FIRST PHASE FOR GRSHS-X</t>
  </si>
  <si>
    <t>Fertilizer 2020-07-173</t>
  </si>
  <si>
    <t>Purchase of 44 units laptop for schools reproduction of modules</t>
  </si>
  <si>
    <t>Supply and Delivery of Two (2) sets GPS-based Video Capture Tool</t>
  </si>
  <si>
    <t>Procurement of Printer Consumables, Ink, Toner and Label Marker Tape (Core Fund)</t>
  </si>
  <si>
    <t>Lease of Real Property Building for COVID-19 Positive and Person Under Monitoring</t>
  </si>
  <si>
    <t>FURNISHING &amp; DELIVERY OF MATERIALS FOR THE ESTABLISHMENT OF RECEIVING &amp; INFORMATION AREA @ MTH</t>
  </si>
  <si>
    <t>First Rebidding for the Multimedia and Music Licensing</t>
  </si>
  <si>
    <t>Purchase of campers mat; pillows and blanket for COVID 19 facilities for confirmed cases and PUM</t>
  </si>
  <si>
    <t>28IB-2020-005 Other Supplies and Materials</t>
  </si>
  <si>
    <t>Purchase of Bondpaper for schools reproduction of modules</t>
  </si>
  <si>
    <t>Purchase of Vit. C for all Barangay Health Workers of the City of Talisay, Cebu</t>
  </si>
  <si>
    <t>Construction Materials and Supplies</t>
  </si>
  <si>
    <t>PROCUREMENT OF TRUCKING SERVICES FOR THE TRANSFER OF GRAINS WITHIN MAINLAND PALAWAN FOR THE PERIOD AUGUST 1-31,2020</t>
  </si>
  <si>
    <t>KERIS MODULE</t>
  </si>
  <si>
    <t>Printing, Supply and Delivery of Human Rights Social Media Cards in time of Covid-19 Bust Cards with box under the GOJUST Human Rights Project</t>
  </si>
  <si>
    <t>AMP SVP-D NO: 20-07-0420 One (1) Lot Laboratory Supplies</t>
  </si>
  <si>
    <t>RCEF PRINTING OF TARPAULIN AND FABRICATION OF FRAME</t>
  </si>
  <si>
    <t>Purchase of 42 units HD Digital Copier/Printer/Scanner &amp; Toner for schools reproduction of modules</t>
  </si>
  <si>
    <t>Purchase of various supplies for the setup of COVID 19 Isolation Facility</t>
  </si>
  <si>
    <t>Additional Expanding Plastic Envelope for Distribution of Modules</t>
  </si>
  <si>
    <t>PURCHASE OF HEAVY EQUIPMENT FOR THE OFFICIAL USE OF THE CITY OF DASMARIÑAS</t>
  </si>
  <si>
    <t>Lease of 3 IN 1 Printer with unlimited ink supply and maintenance for 6 months for schools reproduction of modules</t>
  </si>
  <si>
    <t>Rehabilitation of Old Sr. Citizen Building (Moto Sur)</t>
  </si>
  <si>
    <t>Purchase of Protection Kit for 700 households within the 22 Barangays</t>
  </si>
  <si>
    <t>SUPPLY AND DELIVERY OF MATERIALS FOR THE COMPLETION/FINISHING OF MULTI-PURPOSE BUILDING</t>
  </si>
  <si>
    <t>PROCUREMENT OF RESCUE / EXTRICATION EQUIPMENT OF MDRRMO, MALAPATAN, SARANGANI PROVINCE</t>
  </si>
  <si>
    <t>PROVISION OF MATERIAL AND LABOR SERVICES FOR THE INSTALLATION OF ENCLOSURE FOR LAMS RECORDS ROOM AT CENRO SOCORRO</t>
  </si>
  <si>
    <t>PROCUREMENT OF MATERIALS FOR THE MAINTENANCE AND DEVELOPMENT OF HRIS SYSTEM, MALAPATAN, SARANGANI PROVINCE</t>
  </si>
  <si>
    <t>PROCUREMENT OF MEDICINES AND MEDICAL SUPPLIES FOR PROVISION OF BASIC HEALTH SERVICES, MHO MALAPATAN, SARANGANI PROVINCE</t>
  </si>
  <si>
    <t>Construction/Completion/Rehabilitation of Multi-Purpose Buildings (Calayugan Sur, Mocpoc Norte, Napo)</t>
  </si>
  <si>
    <t>20CSBD001 - CONSULTING SERVICES FOR PARCELLARY SURVEY, ROUTE SURVEY-DETAILED ENGINEERING SURVEY, MONUMENTING AND RESEARCH WORKS FOR THE CONVERSION OF ROAD FROM LOCAL TO NATIONAL ROAD, QUIBAL-NANGUILAT</t>
  </si>
  <si>
    <t xml:space="preserve">TECHNICAL CONSULTANT/SERVICE FOR DEVELOPMENT OF ELECTRONIC  LEARNING MODULES ON GENDER AND DEVELOPMENT (GAD) FOR DENR-ENVIRONMENTAL MANAGEMENT BUREAU REOI NO. EMB-EEID-CONSULTANCY-104 08-07-2020 P.R. </t>
  </si>
  <si>
    <t>Textiles</t>
  </si>
  <si>
    <t>PROCUREMENT OF MEDICINES AND MEDICAL SUPPLIES FOR FAMILY PLANNING PROGRAM, MHO MALAPATAN, SARANGANI PROVINCE</t>
  </si>
  <si>
    <t>Procurement of 15 Tanks Cooking Fuel;PR No. 20-1700 dated July 9, 2020.</t>
  </si>
  <si>
    <t>PROCUREMENT OF GOODS FOR SENIOR CITIZEN AND PERSON WITH DISABILITY, MALAPATAN, SARANGANI PROVINCE</t>
  </si>
  <si>
    <t>CONSTRUCTION OF DAYCARE CENTER</t>
  </si>
  <si>
    <t>Supply &amp; delivery of various Agricultural Supplies &amp; Equipment for the establishment of community based processing facility under 2020 HVCDP</t>
  </si>
  <si>
    <t>IMPROVEMENT OF MUNICIPAL PUBLIC MARKET, PUROK 8B, BARANGAY POBLACION, MALAPATAN, SARANGANI PROVINCE</t>
  </si>
  <si>
    <t>Procurement of 15 Tanks Cooking Fuel;PR No. 20-1698 dated July 9, 2020.</t>
  </si>
  <si>
    <t>Procurement of 4 pcs. Ginama Stickers Posters Chillers and 4 Others Items; PR No. 20-0771 dated February 12, 2020.</t>
  </si>
  <si>
    <t>Supply &amp; delivery of 3 units Laptop &amp; 4 units Desktop System Unit under 2020 HVCDP</t>
  </si>
  <si>
    <t>Procurement of Shits and Pants for Zumba Uniform</t>
  </si>
  <si>
    <t>CONCRETE PAVEMENT OF BARANGAY ROAD</t>
  </si>
  <si>
    <t>PURCHASE AND DELIVERY OF COMMON-USE OFFICE SUPPLIES</t>
  </si>
  <si>
    <t>Rehabilitation of Historical Site</t>
  </si>
  <si>
    <t>Procurement of Disinfecting solutions</t>
  </si>
  <si>
    <t>Purchase of Verterinary Medicines and Supplies</t>
  </si>
  <si>
    <t>Supply/Delivery of 1 unit Multifunction Digital Copier</t>
  </si>
  <si>
    <t>invitation to bid</t>
  </si>
  <si>
    <t>Equipment for Office</t>
  </si>
  <si>
    <t>Procurement of seedlings for dispersal to mango farmers beneficiaries and establishment of a Municipal Mango Seedling Nursery</t>
  </si>
  <si>
    <t>Purchase of Materials for the Rehabilitation of Mocpoc Cemetery Road (Sondol)</t>
  </si>
  <si>
    <t>CONCRETING OF JUNCTION NATIONAL HIGHWAY – MASBONG 1 ROAD (PHASE-III), BARANGAY POBLACION, MALAPATAN, SARANGANI PROVINCE</t>
  </si>
  <si>
    <t>REPRODUCTION OF LEARNING MATERIALS</t>
  </si>
  <si>
    <t>DMGES MOOE CASH ADVANCE FOR APRIL-JUNE, 2020</t>
  </si>
  <si>
    <t>AMP SVP-D NO: 20-07-0419 One (1) Lot Laboratory Supplies</t>
  </si>
  <si>
    <t>Purchase of Medical, Laboratory, Dental, Radiologic &amp; Opthalmology Supplies</t>
  </si>
  <si>
    <t>SUPPLY AND DELIVERY OF CUSTOMIZED HARDWOOD BENCHES AND TABLES FOR THE SCHOOLS DIVISION OFFICE OF DEPED SURIGAO CITY</t>
  </si>
  <si>
    <t>Add’l Plastic Storage Boxes for Distribution of Modules</t>
  </si>
  <si>
    <t>AMP SVP-S NO: 20-08-0430 One (1) Lot Managed WiFi for Executive House</t>
  </si>
  <si>
    <t>Procurement of Water Supply Accessories and Materials for the Improvement of Water System (2nd Posting)</t>
  </si>
  <si>
    <t>Supply and Delivery of One (1) lot Construction Supplies and Materials</t>
  </si>
  <si>
    <t>Procurement and Delivery of Printers for Module Reproduction</t>
  </si>
  <si>
    <t>Procurement of CY 2020 OASPP-FOCIS ICT Requirements</t>
  </si>
  <si>
    <t>Reproduction of Self-Learning Modules for Senior High School</t>
  </si>
  <si>
    <t>Supply and Delivery of Materials for Concrete Restoration and Sand Bedding for uPVC Pipe in Connection with the Extension Project from Imbang Bridge to BSAAR for Silay City Water District</t>
  </si>
  <si>
    <t>Provision of foods for border control boundary and frontliners, PUM's, PUI's at Quarantine Facilities &amp; Iso. Center</t>
  </si>
  <si>
    <t>Reproduction of Self-Learning Modules for Junior High School</t>
  </si>
  <si>
    <t>OFFICE EQUIPMENT</t>
  </si>
  <si>
    <t>123-124 pax meals and snacks with 2 units training hall for the Division ManCom</t>
  </si>
  <si>
    <t>ITB for the procurement of Grass Cutter</t>
  </si>
  <si>
    <t>Supply and Delivery of Pressure Washer, Manifold Gauge and Refrigerant</t>
  </si>
  <si>
    <t>OFFICE SUPPLIES PR 0288-2</t>
  </si>
  <si>
    <t>Supply of materials &amp; rental of concrete mixer for the concreting of barangay road</t>
  </si>
  <si>
    <t>SUPPLY AND DELIVERY OF MATERIALS FOR THE LEARNING RESOURCES TO IMPLEMENT THE BASIC EDUCATION LEARNING CONTINUITY PLAN OF DEPED SURIGAO CITY</t>
  </si>
  <si>
    <t>Supply and Delivery of Construction Materials</t>
  </si>
  <si>
    <t>P.R. # 20-0101 - Supply &amp; delivery of Various Lights for structure &amp; improvements for Water Treatment Plant &amp; Pumping Plant.</t>
  </si>
  <si>
    <t>Procurement of supplies for the LAN, WAN and IP Telepony Expansion Project of The Regional and Cluster Offices</t>
  </si>
  <si>
    <t>Purchase of Various Animal Feeds and Vitamins to be Used in Swine Production Center of the Municipal Agriculture's Office</t>
  </si>
  <si>
    <t>IT EQUIPMENT AND ACCESSORIES PR 0240(REPOST)</t>
  </si>
  <si>
    <t>COMMUNICATION EQUIPMENT AND ACCESSORIES PR 0288-1</t>
  </si>
  <si>
    <t>Supply and Delivery of Agricultural Supplies</t>
  </si>
  <si>
    <t>Supply and Delivery of Electrical Supplies</t>
  </si>
  <si>
    <t>Cluster: Swine Enterprise Development: Three (3) Units Hogstel Project (Sogod Bay Area), Brgy. Bugasong, Libagon, Brgy. Buenavista, Bontoc &amp; Brgy. Bogo, Tomas Oppus, Southern Leyte</t>
  </si>
  <si>
    <t>GAD OFFICE SUPPLIES/ SK OFFICE SUPPLIES/ SENIOR SITIZEN &amp; PWD SUPPLIES</t>
  </si>
  <si>
    <t>Supple and Delivery of LED Flood lights 30 Watts</t>
  </si>
  <si>
    <t>MEALS AND SNACKS</t>
  </si>
  <si>
    <t>Cluster: Swine Enterprise Development: Four (4) Units Hogstel Project (Pacific Area), Brgy. Somoje, San Juan, Brgy. Look, Anahawan, Brgy. Manalog, Hinunangan &amp; Brgy. Ambao, Hinundayan, Southern Leyte</t>
  </si>
  <si>
    <t>Procurement of 1 Unit Food Conveyor; PR No. 20-1696 dated June 16, 2020.</t>
  </si>
  <si>
    <t>Supply and Delivery of General Merchandise</t>
  </si>
  <si>
    <t>ITB for the materials for modules</t>
  </si>
  <si>
    <t>SUPPLY &amp; DELIVERY OF AIRCON SPLIT TYPE&amp;WINDOW TYPE FOR MSWDO WITH PR#2020-GF-07-429 AND ABC OF P 70,000.00</t>
  </si>
  <si>
    <t>Fuel for use in the Operation of DPWH-NOFDEO Vehicles and Equipment.</t>
  </si>
  <si>
    <t>Procurement of Materials in the Preparation of 1st Quarter LRMs</t>
  </si>
  <si>
    <t>For use in the Repair/Maintenance of National Roads in VLCR &amp; MAR.</t>
  </si>
  <si>
    <t>Concreting of Road at Zone 6, Tumaga, Zamboanga City</t>
  </si>
  <si>
    <t>Procurement of 15 Tanks Cooking Fuel;PR No. 20-1695 dated May 26, 2020.</t>
  </si>
  <si>
    <t>Procurement of 1 Umit Personal Computer and 1 Other Item; PR No. 20-1635 dated February 7, 2020.</t>
  </si>
  <si>
    <t>For use in Planning and Design Section.</t>
  </si>
  <si>
    <t>Supply/Delivery of 1 unit Laptop</t>
  </si>
  <si>
    <t>Archive box/ document keeper heavy duty PR-2020-1061-0099</t>
  </si>
  <si>
    <t>Equipment rental : Z120 backhoe excavator PR-2020-1061-0089</t>
  </si>
  <si>
    <t>Cluster: Swine Enterprise Development: Three (3) Units Hogstel Project (Maasin City, Malitbog &amp; Padre Burgos), Brgy. Hantag, Maasin City, Brgy. Cabul-anonan, Malitbog &amp; Brgy. Bunga, Padre Burgos, Sout</t>
  </si>
  <si>
    <t>Fixed glass with transom framed with 1 3/4 x 4" rec tube etc. PR-2020-1061-0040</t>
  </si>
  <si>
    <t>PR JULY - AUGUST 2020</t>
  </si>
  <si>
    <t>Quick dry enamel white etc. PR-2020-8751-0030</t>
  </si>
  <si>
    <t>20HH0150-Concreting of Sitio Agbuacan II, Brgy. Agsungot to Sitio Catibis, Brgy. Guba FMR, Cebu City, Cebu</t>
  </si>
  <si>
    <t>G.I. Pipe 1/2" sch. 40 etc. PR-2020-8751-0035</t>
  </si>
  <si>
    <t>Stranded wires 14mm THHN etc. PR-2020-8751-0034</t>
  </si>
  <si>
    <t>Construction of Senior Citizen's Building at Calocmoy, Socorro, Or. Mindoro</t>
  </si>
  <si>
    <t>Supply/Delivery of 10 pcs HP Toner M436NDA (Genuine)</t>
  </si>
  <si>
    <t>Upgrading of Naujan Community Hospital Electrical System, Naujan, Oriental Mindoro</t>
  </si>
  <si>
    <t>SIPHONING OF SEPTIC TANKS AT PTB &amp; CFR BUILDING AT GUIUAN AIRPORT</t>
  </si>
  <si>
    <t>HARDWARE AND CONSTRUCTION SUPPLIES</t>
  </si>
  <si>
    <t>PROCUREMENT OF 4 LOTS FUEL, OIL AND LUBRICANTS</t>
  </si>
  <si>
    <t>3/4 x 4 x8 marine plywood etc. PR-2020-8751-0039</t>
  </si>
  <si>
    <t>Concreting of Road at Sitio Quinaban, San Jose, Bongabong, Oriental Mindoro</t>
  </si>
  <si>
    <t>Good lumber S4S 2x4x10 etc. PR-2020-8751-0022</t>
  </si>
  <si>
    <t>CONSTRUCTION OF SOLAR DRIER (POST HARVEST FACILITIES)</t>
  </si>
  <si>
    <t>ELECTRICAL SUPPLIES</t>
  </si>
  <si>
    <t>PURCHASE OF MINI ELECTRIC VEHICLES FOR THE OFFICIAL USE OF THE CITY OF DASMARIÑAS</t>
  </si>
  <si>
    <t>Supply and Delivery of Common Office Supplies ( long bond paper size 8.5 x 13 inches ) for BNHS</t>
  </si>
  <si>
    <t>GROCERIES ITEMS</t>
  </si>
  <si>
    <t>S1-ADP20-008  - SUPPLY AND DELIVERY OF FAST MOVING SPAREPARTS FOR AGUTAYA DPP.</t>
  </si>
  <si>
    <t>Supply and delivery of ICT Equipment for the use of Emergeny Operation Center and Provincial Epidemology and Surveilance Unit of the Provincial Health Office</t>
  </si>
  <si>
    <t>Brand new - 200 hp outboard motor engine 4 stroke PR-2020-9999-1640</t>
  </si>
  <si>
    <t>Hull improvements of the speed boat PR-2020-9999-1656</t>
  </si>
  <si>
    <t>Supply/Delivery of 2 pcs 1TB 5400 rpm with SATA External Hard Disk drive (laptop)</t>
  </si>
  <si>
    <t>Equipment rental (backhoe loader) PR-2020-8751-0020</t>
  </si>
  <si>
    <t>Construction of Montemayor-Herrera Road, Naujan, Oriental Mindoro</t>
  </si>
  <si>
    <t>PURCHASE OF VARIOUS DRUGS AND MEDICINES FOR THE PAGAMUTAN NG DASMARIÑAS</t>
  </si>
  <si>
    <t>Construction of Day Care Center at Sampaguita, Victoria, Or. Mindoro</t>
  </si>
  <si>
    <t>Relocation Survey of Water Source</t>
  </si>
  <si>
    <t>Repair/Rehabilitation of fence at Bansud Provincial Jail at Pag-asa, Bansud, Or. Mindoro</t>
  </si>
  <si>
    <t>Supply and Delivery of Vehicle parts and accessories</t>
  </si>
  <si>
    <t>INFORMATION TECHNOLOGY PARTS &amp; ACCESSORIES &amp; PERIP-SK</t>
  </si>
  <si>
    <t>SUPPLY AND DELIVERY OF  VARIOUS SIZES HDPE PIPE</t>
  </si>
  <si>
    <t>Supply and Delivery of Printing Supplies</t>
  </si>
  <si>
    <t>Supply and Delivery of Trophy and Paper Weight for the Lion Awards for Covid-19 Partners and Heroes Virtual Awarding Ceremony</t>
  </si>
  <si>
    <t>Construction of Bridge at Sta. Maria, Mansalay, Or. Mindoro</t>
  </si>
  <si>
    <t>Supply &amp; Delivery of Spare parts &amp; Repair Services for the Repair &amp; Maintenance of Municipal Vehicles</t>
  </si>
  <si>
    <t>Supply/Delivery of 1 unit Set Desktop Computer with Printer</t>
  </si>
  <si>
    <t>20DQ0132 - Concreting of Brgy. Toledo FMR, Brgy. Toledo, Silang, Cavite</t>
  </si>
  <si>
    <t>RFQ No.: 2020 – 139 Various Materials for Additional Wall Partition for Temporary Pedia Ward at Roofdeck of OPD and Wards Building</t>
  </si>
  <si>
    <t>S1-ADP20-017 - SUPPLY AND DELIVERY OF SPAREPARTS FOR EMMEDIATE REPLACEMENT OF DEFECTIVE PARTS OF FG WILSON 160KW OF AGUTAYA DPP.</t>
  </si>
  <si>
    <t>Labor Hire for laying of RCPC at Barangay Sinaad, Sapang Dalaga, Mis. Occ.</t>
  </si>
  <si>
    <t>AMALBALAN 02-2020 - INSTALLATION OF SOLAR-POWERED LED STREETLIGHTS</t>
  </si>
  <si>
    <t>Supply &amp; Delivery of 9 units PRINTER 3 IN 1 Bottomless</t>
  </si>
  <si>
    <t>Purchase of Multi-vitamins and Hygienic Supplies for Municipal Officials and Employees</t>
  </si>
  <si>
    <t>Supply and Delivery of Laptop for office use</t>
  </si>
  <si>
    <t>Procurement of various Electromechanical Equipment and Chlorination Equipment for Catacte Pumping Station</t>
  </si>
  <si>
    <t>S1-BAC20-005 - FREIGHT/HANDLING AND OTHER CHARGES AS PER SCOPE OF WORKS.</t>
  </si>
  <si>
    <t>For in the Installation of Informative Signages @ Highway Bounderies and @ Intersection of Primary - Secondary National Roads.</t>
  </si>
  <si>
    <t>Procurement for Printing of Tarpaulin and Fabrication of Frame PR# 20-08-200</t>
  </si>
  <si>
    <t>S1-CUL20-017 - SUPPLY AND DELIVERY OF MATERIALS AND SUPPLIES FOR OPERATIONS OF CULION DPP.</t>
  </si>
  <si>
    <t>Road Repair</t>
  </si>
  <si>
    <t>SUPPLY &amp; DELIVERY OF FOOD SUPPLIES (PWD SUMMIT)</t>
  </si>
  <si>
    <t>20HC0190- CONSTRUCTION OF RAINWATER COLLECTOR SYSTEM (RWCS-12 UNITS)</t>
  </si>
  <si>
    <t>Procurement of Syringe, 10cc w/ needle, luerlock, G21 x 1 1/2"</t>
  </si>
  <si>
    <t>Repair/Maint. of Carriageway along Poblacion Magpet-Binay-Nowa-Doroluman-Greenfield Road (Temporan-Greenfield Section)</t>
  </si>
  <si>
    <t>ILOILO BRANCH - Hiring of Land Surveyor for the Iloilo Property</t>
  </si>
  <si>
    <t>SWITCH</t>
  </si>
  <si>
    <t>SUPPLY &amp; DELIVERY OF MOTOR VEHICLE (MOTORCYCLE)</t>
  </si>
  <si>
    <t>Supply and Delivery of Various Vehicle Parts</t>
  </si>
  <si>
    <t>SUPPLY AND DELIVERY OF  FERTILIZERS (14 14 14)</t>
  </si>
  <si>
    <t>Procurement of Ink for the Reproduction of First Quarter Modules for SY 2020-2021</t>
  </si>
  <si>
    <t>Supply and Delivery of 66 truck load of Aggregate Base Course Materials (1st Quarter)- Re-bidding</t>
  </si>
  <si>
    <t>Cooler Box for Blood Storage to be used as blood storage for mobile blood donation for blood center</t>
  </si>
  <si>
    <t>PROCUREMENT OF 3 UNITS MIST BLOWER SPRAYER</t>
  </si>
  <si>
    <t>Printing Services (Mental Health IECs for LGU)</t>
  </si>
  <si>
    <t>Regular Bidding 18/Aug/2020 - Procurement of Goods: Drugs &amp; Medicines for the use of CHO (Mental Health Program - 3rd Quarter 2020) (PR#100-20-07-0317) RE-BID</t>
  </si>
  <si>
    <t>Bill of Quantities</t>
  </si>
  <si>
    <t>Supply and Delivery of Meals to be served for the Monthly Meeting of the Task Force KKK , Clearing Operations and Coordination Briefings for the 2nd Semester of 2020 in the City of San Fernando, Pampa</t>
  </si>
  <si>
    <t>PROCUREMENT OF MIST DUSTER (SPRAY)</t>
  </si>
  <si>
    <t>Agricultural Supplies/Tools</t>
  </si>
  <si>
    <t>Regular Bidding 18/Aug/2020 - Procurement of Goods: Machinery &amp; Equipments for the of CEO-Motropool - Repair &amp; Maintenance (PR#100-20-07-0099) RE-BID</t>
  </si>
  <si>
    <t>RFQ No. 20-0720 Shopping B - Procurement of 1st Quarter Office Supplies for the use of Pantawid Pamilya NPMO</t>
  </si>
  <si>
    <t>MEALS FOR THE CONDUCT OF VACCINATION PROGRAM SERVICES ON AUGUST 27-28, 2020 UNDER EMB AP RFQ NO. EMB-HRD-105-08-07-20</t>
  </si>
  <si>
    <t>Maintenance of Water System</t>
  </si>
  <si>
    <t>1 Lot Provision for 50 persons for PGO Employees Orientation on Health Protocols, Psycho-social Aspects on COVID-19 for Offices (Batch 2) on August 12, 2020 at Candahug, Palo, Leyte. ABC PHP40,000.00</t>
  </si>
  <si>
    <t>Purchase of other supplies</t>
  </si>
  <si>
    <t>WATER TANK</t>
  </si>
  <si>
    <t>LABOR AND MATERIALS FOR THE FABRICATION OF LAYER HOUSE WALL ENCLOSURE AT CASTILLA CAMPUS</t>
  </si>
  <si>
    <t>Supply and Delivery of Information Equipment, Communication Equipment, Technical/Scientific Equipment, Furnitures and Fixtures.</t>
  </si>
  <si>
    <t>Protective Fixtures to be installed on office tables, workstations and front desks to protect SDO Personnel as well as clients being entertained</t>
  </si>
  <si>
    <t>Snellen's Chart for the use of Blindness Program</t>
  </si>
  <si>
    <t>20GH0129 - Construction of 1STY4CL, Nueva Invencion ES, Barotac Viejo, Iloilo</t>
  </si>
  <si>
    <t>SJADS GOODS 20-14: PROCUREMENT OF OFFICE AND SCHOOL SUPPLIES (SEF)</t>
  </si>
  <si>
    <t>ITB:Supply of Labor &amp; Materials For the Improvement of Multi-Purpose Building at Brgy. Bolbok Taal Batangas (cb-infra-2020-07)</t>
  </si>
  <si>
    <t>ITB:Supply of Labor &amp; Materials For the Construction of Level II Potable Water System at Brgy. Carsuche Taal Batangas (cb-infra-2020-09)</t>
  </si>
  <si>
    <t>PROC 20 - Supply and Delivery of BIR Taxpayment Deposit Slip</t>
  </si>
  <si>
    <t>Construction of Evacuation Center, Tablan, Kabayan Bario, Kabayan, Benguet</t>
  </si>
  <si>
    <t>Construction of Medical Storage Room at RHU</t>
  </si>
  <si>
    <t>Purchased of Electrical Supplies</t>
  </si>
  <si>
    <t>PRINTING OF  COMPLETE SET OF MODULES</t>
  </si>
  <si>
    <t>RICE20-08-04-0980 Supply and Delivery of Office Equipment.</t>
  </si>
  <si>
    <t>Structural Design for Public Terminal Entrance Arc</t>
  </si>
  <si>
    <t>PROCUREMENT OF 1 LOT FUEL, OIL AND LUBRICANTS</t>
  </si>
  <si>
    <t>20DB0140 Concreting of Brgy. Tanagan FMR, Brgy. Tanagan, Calatagan, Batangas</t>
  </si>
  <si>
    <t>ANTI-COVID 19 MATERIALS/ SUPPLIES</t>
  </si>
  <si>
    <t>CDH-20-0849-B DIESEL FUEL</t>
  </si>
  <si>
    <t>PROCUREMENT OF 1 LOT FOOD STUFF</t>
  </si>
  <si>
    <t>20DB0141 Concreting of Brgy. Humayingan FMR, Brgy. Humayingan, Lian, Batangas</t>
  </si>
  <si>
    <t>CDH-19-1434-B (RE-BID) MEDICAL EQUIPMENT</t>
  </si>
  <si>
    <t>CDH-20-0751-B DRUGS AND MEDICINES</t>
  </si>
  <si>
    <t>Construction of Two-Storey Legislative Session Hall (Expansion)</t>
  </si>
  <si>
    <t>RPT-20-0398-B (RE-BID) LABORATORY SUPPLIES</t>
  </si>
  <si>
    <t>CDH-20-0434-B (RE-BID) DENTAL SUPPLIES</t>
  </si>
  <si>
    <t>Replacement of busted lights of horizontal and vertical signages</t>
  </si>
  <si>
    <t>Rehabilitation and Improvement of Public Market Buildings</t>
  </si>
  <si>
    <t>RPT-19-1100-B (RE-BID) MEDICAL EQUIPMENT</t>
  </si>
  <si>
    <t>PROCUREMENT OF 2 LOTS CATERING SERVICES</t>
  </si>
  <si>
    <t>PBD- PSAO Sorsogon Furniture and Fixtures</t>
  </si>
  <si>
    <t>PROCUREMENT OF 1 LOT VEHICLE PARTS &amp; ACCESSORIES</t>
  </si>
  <si>
    <t>Site Development for 223 Additional Families (150sq.m. Lot each), Phase 1-C @San Jose Resettlement Site</t>
  </si>
  <si>
    <t>Supplies and materials for the repair of Service Vehicle</t>
  </si>
  <si>
    <t>CDH-20-0826-B MEDICAL EQUIPMENT</t>
  </si>
  <si>
    <t>Completion of Slaughter House</t>
  </si>
  <si>
    <t>Improvement of Lateral F, O'Donnel Side (Sta. 0+000.00 - Sta. 2+820.00)</t>
  </si>
  <si>
    <t>Construction of Riverbank protection (flood Control ) Phase II</t>
  </si>
  <si>
    <t>Construction of Access Road to Cemetery @ San Jose Resettlement Site</t>
  </si>
  <si>
    <t>Construction of Flume (941.00M) at North Main Canal (Sta. 7+797.00)</t>
  </si>
  <si>
    <t>S &amp; D of Office supplies for Printing of Learning Activity Sheets.</t>
  </si>
  <si>
    <t>Concreting  of 0.200 km junction national highway  to Sitio Tapon (Via Mat-i NHS)</t>
  </si>
  <si>
    <t>PURCHASE AND INSTALLATION OF WINDOW BLINDS OF DIFFERENT OFFICES</t>
  </si>
  <si>
    <t>RPT-20-0399-B (RE-BID) LABORATORY SUPPLIES</t>
  </si>
  <si>
    <t>Concreting  of 1 km. junction  Panampawan  to Madaguing  FMR</t>
  </si>
  <si>
    <t>Site Dev't. for Phase I-E (Roads &amp; Drainage) @ San Jose Resettlement Site</t>
  </si>
  <si>
    <t>Improvement of Service Road Along Conveyance Canal (Sta. 1+894.87 to Sta. 3+990.27)</t>
  </si>
  <si>
    <t>Supply &amp; Delivery of 3 units Air Conditioner for Billing &amp; Laboratory, Ormoc Water Works Administration Office, Ormoc City</t>
  </si>
  <si>
    <t>MA-A2H20-019..TRANSDUCER, KW MULTI PROGRAMMABLE TRANSDUCER, AGUS 1 HE PLANT</t>
  </si>
  <si>
    <t>Proposed Road Concreting (33.00m x 4.00mx0.15m) Two Lanes at Purok 3, Brgy. San Isidro, Kidapawan City.</t>
  </si>
  <si>
    <t>Printing of Learning Modules Officially Intended for Junior High School and Senior High School students of Bondoc Peninsula Agricultural High School</t>
  </si>
  <si>
    <t>Proposed Road Concreting (45.00m x 3.00mx0.15m) One Lane at Purok 5, Brgy. Sto. Niño, Kidapawan City</t>
  </si>
  <si>
    <t>Barangay 771 BDF "CLEAN &amp; BEAUTIFICATION" 2020</t>
  </si>
  <si>
    <t>CDH-20-0824-B OFFICE EQUIPMENT</t>
  </si>
  <si>
    <t>1 LOT SUPPLY AND DELIVERY OF VARIOUS INKS AND TONERS</t>
  </si>
  <si>
    <t>(JOY-CDCPF) - SUPPLY &amp; DELIVERY OF SKIMMED MILK &amp; WHOLE MILK POWDER FOR CDCPF</t>
  </si>
  <si>
    <t>Rehabilitation of Water System of Municipal Building, Municipal Plaza, Old Market and Other Public Buildings</t>
  </si>
  <si>
    <t>CDH-20-0711-B (RE-BID) DRUGS AND MEDICINES</t>
  </si>
  <si>
    <t>MG-TSE20-031..SUPPLY, DELIVERY &amp; INST. OF ELECT'L. DIST. PANEL, CIRCUIT BREAKER ,TOOLS &amp; EQPT. FOR HIGH VOLTAGE REPAIR</t>
  </si>
  <si>
    <t>Purchase of Veterinary Medicines and Supplies</t>
  </si>
  <si>
    <t>Purchase/Acquisition of Fuels for the Maintenance of Municipal Vehicles &amp; Heavy Equipment</t>
  </si>
  <si>
    <t>PROCUREMENT OF 4 LOTS DRUGS AND MEDICINES</t>
  </si>
  <si>
    <t>MG-A5C20-002..SUBMERSIBLE PUMP FOR POTABLE WATER, AGUS 4 HE PLANT</t>
  </si>
  <si>
    <t>PPO-20-0931-B Purchase of office Supplies</t>
  </si>
  <si>
    <t>Supply and Delivery of Twenty-Eight (28) Units Universal Coupling for the jointing of BI Pipe 6" and uPVC Pipe 6" for Silay City Water District</t>
  </si>
  <si>
    <t>Repair of Trellis at the Pag-ibig Plaza, Municipal Compound, Palo, Leyte  JR No. 20-07-153</t>
  </si>
  <si>
    <t>PURCHASE OF VARIOUS OFFICE SUPPLIES (DEP ED)</t>
  </si>
  <si>
    <t>MG-A7C20-027..FILTER, GOVERNOR, UNITS 3, 4 &amp; 5 FOR AGUS 6 HEP</t>
  </si>
  <si>
    <t>RELOCATION SURVEY</t>
  </si>
  <si>
    <t>SUPPLY AND DELIVERY OF MATERIALS FOR THE RENOVATION OF CHILD DEVELOPMENT CENTER 1 (TRUSSES AND ROOF)</t>
  </si>
  <si>
    <t>2020-08-0031 - REPRODUCTION &amp; DELIVERY OF SELF-LEARNING MATERIALS FOR QUARTER 1</t>
  </si>
  <si>
    <t>CONSTRUCTION OF HANGING BRIDGE/FOOT BRIDGE (PHASE 1) OF PUROK GUINSILIBAN, BARANGAY PAYAUAN</t>
  </si>
  <si>
    <t>Supply, delivery and installation of Copy Printers/Duplicators for the printing and reproduction of self-learning modules of the Kidapawan City Division.</t>
  </si>
  <si>
    <t>PPO-20-0746-B Purchase of Office Furniture</t>
  </si>
  <si>
    <t>BACOLOD BRANCH - ATM Cassettes</t>
  </si>
  <si>
    <t>Supply &amp; Delivery of Various Information Technology Peripherals for SP use, Sangguniang Panlungsod, Ormoc City</t>
  </si>
  <si>
    <t>20HL0113 - Concreting of Brgy. Malaunay to Brgy. Doddob Farm-to-Market Road (FMR), Brgy. Malaunay and Brgy. Dobdob, Valencia, Negros Oriental</t>
  </si>
  <si>
    <t>PPO-20-0938-B Purchase of Office Furniture</t>
  </si>
  <si>
    <t>ITB No. 20-056 Supply and Delivery of Various Laboratory Reagents and Supplies  (Line Bidding)</t>
  </si>
  <si>
    <t>Printing of Pre-Marriage Certificate(PMC) Form for the use of POPCOM of the City Health Office, Kidapawan City.</t>
  </si>
  <si>
    <t>SUPPLY AND DELIVERY OF MEDICAL SUPPLIES AND EQUIPMENT AND LABORATORY SUPPLIES</t>
  </si>
  <si>
    <t>Meals for SP use, Sangguniang Panlsungsod, Ormoc City</t>
  </si>
  <si>
    <t>Invitation for Negotiated Procurement-Two (2) Failed Biddings for the Procurement of Rescue Equipment and Supplies</t>
  </si>
  <si>
    <t>MA-A2M20-003..REHAB OF GANTRY CRANE, AGUS 1 HE PLANT</t>
  </si>
  <si>
    <t>Construction of 1STY 2CL with toilet, Pilipigan Lnd. PIS, Tanjay, Negros Oriental</t>
  </si>
  <si>
    <t>20GEE0048-Supply and Delivery of Reflectorized Thermoplastic Paints for Repainting of Pedestrian line, Edge line along Roxas - Taytay Road Section, PPNR (Reflectorized Thermo. Pavement Markings) S0005</t>
  </si>
  <si>
    <t>DIGITAL DUPLICATOR MACHINE</t>
  </si>
  <si>
    <t>2020-08-061 - Supply, delivery and installation of various office signages for use in the DPWH-Cebu 1st District Engineering Office, Poblacion, Medellin, Cebu</t>
  </si>
  <si>
    <t>Construction of Two Storey Four Classroom School Building at Cambagahan National High School, Bais City</t>
  </si>
  <si>
    <t>CONSTRUCTION OF HANGING BRIDGE/FOOT BRIDGE (PHASE 11) OF PUROK GUINSILIBAN, BARANGAY PAYAUAN</t>
  </si>
  <si>
    <t>B-048-2020 SUPPLY AND DELIVERY OF 1 LOT VARIOUS HARDWARE SUPPLIES, WATER PUMP AND DISINFECTION SUPPLIES</t>
  </si>
  <si>
    <t>2020-08-063 - Reimbursement for Labor and Vehicle Consumables for use in Quality Assurance Section Service Vehicle (SKN-766)</t>
  </si>
  <si>
    <t>Purchase of School and Office Supplies, ACES, Pob., Alicia, Bohol</t>
  </si>
  <si>
    <t>MG-A5M20-071..RE-TUBING OF 7 SETS AIR COOLER, AGUS 4 HE PLANT</t>
  </si>
  <si>
    <t>20GEE0047-Supply and Delivery of Fine Sand and Crushed Gravel for use in the Repair/Maintenance of Damaged PCCP and Roadside Structure along Puerto Princesa North Road and El Nido to Jct. New Ibajay R</t>
  </si>
  <si>
    <t>Rehabilitation of Barangay Road (Guintuloan)</t>
  </si>
  <si>
    <t>Fabrication of Bends, Spools and Exposed Steel Pipeline for the connections of Pipeline in Connection with the Waterline Extension Project for Silay City Water District</t>
  </si>
  <si>
    <t>B-047-2020 SUPPLY AND DELIVERY OF 1 LOT VARIOUS OFFICE SUPPLIES</t>
  </si>
  <si>
    <t>SUPPLY AND DELIVERY OF MATERIALS FOR THE CONSTRUCTION OF RIVER FLOOD CONTROL, BRGY. F. DE JESUS, UNISAN, QUEZON</t>
  </si>
  <si>
    <t>PURCHASE OF SUPPLIES (NORMAL TRAINING SET-UP)</t>
  </si>
  <si>
    <t>REPAINTING OF THE HALLWAY</t>
  </si>
  <si>
    <t>Construction of Bridge and Stair (Connecting DBP/Market Mall to Building H) at Public Market, Brgy. San Pedro Tumauini, Isabela</t>
  </si>
  <si>
    <t>Supply and Delivery of Modular Tent for the City Government of Balanga, Bataan</t>
  </si>
  <si>
    <t>Procurement of Printing Supplies for Reproduction of Modules</t>
  </si>
  <si>
    <t>Supply &amp; Delivery of Office Supplies &amp; Materials</t>
  </si>
  <si>
    <t>Supply and Delivery of Goods under Supplementary Feeding Program of the Department of Social Welfare and Development – National Capital Region (DSWD-NCR) (ITB 20-08-13,SFP)</t>
  </si>
  <si>
    <t>2020-08-066 - Procurement of Grass Cutter for use in Maintenance Section</t>
  </si>
  <si>
    <t>PURCHASE OF MATERIALS FOR THE CONSTRUCTION OF DRAINAGE SYSTEM @ PALAYAN CITY</t>
  </si>
  <si>
    <t>PURCHASE OF PHOTOCOPIER/RISOGRAPH SUPPLIES</t>
  </si>
  <si>
    <t>20GEE0050-Supply and Delivery of Covid19 Response Items (Medical Supplies) for use of DPWH Pal 1st DEO , Roxas, Palawan</t>
  </si>
  <si>
    <t>2020-08-062 - Procurement of Diesel for use in Quality Assurance Service Vehicle</t>
  </si>
  <si>
    <t>Service Vehicles Parts/Accessories/Repair/Maintenance</t>
  </si>
  <si>
    <t>Procurement of ICT Related Equipment and Peripherals, Furniture and Electronic Learning Materials for Flexible/Alternative Mode of Teaching and Learning</t>
  </si>
  <si>
    <t>ID Cards with Plastic Jackets</t>
  </si>
  <si>
    <t>Rehabilitation of Streetlights</t>
  </si>
  <si>
    <t>Proposed Road Concreting (23.00m x 2.0m x 0.15m) Two Lanes at Purok Durian, Brgy. Singao, Kidapawan City</t>
  </si>
  <si>
    <t>CONCRETING OF ACCESS ROAD, PUROK 3 JUSTINIANA, DINAGAT</t>
  </si>
  <si>
    <t>CONSTRUCTION OF 2-STOREY TOURISM INN</t>
  </si>
  <si>
    <t>Other Property Plant  &amp; Equipments Maintenance/Repair</t>
  </si>
  <si>
    <t>Repair and Maintenance of Street Light</t>
  </si>
  <si>
    <t>UCT : 72	can	Air Duster UP TO 12	unit	Webcam Office Supplies for the implementation of the Unconditional Cash Transfer Program.</t>
  </si>
  <si>
    <t>PURCHASE OF OFFICE SUPPLIES FOR PRINTING MODULES</t>
  </si>
  <si>
    <t>HFE : 15	UNIT	AIR HUMIDIFIER AND 15	UNIT	STAND FAN</t>
  </si>
  <si>
    <t>Procurement of Office Equipments for the Use of the Regional Office and various field offices within the region</t>
  </si>
  <si>
    <t>PURCHASE OF FORTY (40) UNITS FISHING BOAT FOR FISHER FOLKS OF THE MUNICIPALITY OF INFANTA, PANGASINAN (BANGKA PARA SA MANGINGISDA PROJECT, DOLE RO1)</t>
  </si>
  <si>
    <t>Reproduction of Learning Modules in all 8 subjects</t>
  </si>
  <si>
    <t>SUPPLY AND DELIVERY OF VARIOUS MATERIALS, FUEL AND OIL FOR GRAVELLING OF BARANGAY ROADS</t>
  </si>
  <si>
    <t>Portable Ultrasound (pocket size)</t>
  </si>
  <si>
    <t>Various IT Supplies, Parts and Accessories</t>
  </si>
  <si>
    <t>Panel Screen, 3 folds</t>
  </si>
  <si>
    <t>Supply &amp; delivery of Other Supplies &amp; Materials</t>
  </si>
  <si>
    <t>20FN0109 Construction of One (1) Storey Three (3) Classroom and One (1) Storey Two (2) Classroom School Building, Iraya High School, Buhi, Camarines Sur</t>
  </si>
  <si>
    <t>CONSTRUCTION/ WIDENING OF BARANGAY ROAD (PHASE 2), BRGY. BIOSO, ZUMARRAGA, SAMAR</t>
  </si>
  <si>
    <t>installations of 2 units of deep well</t>
  </si>
  <si>
    <t>construction of covered canal PUROK 4</t>
  </si>
  <si>
    <t>CONSTRUCTION OF PATHWAYS purok 3</t>
  </si>
  <si>
    <t>Supply and Delivery of Various Ink, cartridge (PR#20-06-0847)</t>
  </si>
  <si>
    <t>REHABILITATION OF BARANGAY ROAD</t>
  </si>
  <si>
    <t>Supply, Delivery &amp; Installation of Nine (9) Airconditioning Units</t>
  </si>
  <si>
    <t>CIU-2020-08-0304 :  FOOD STUFF FOR THE AICS CLIENT.</t>
  </si>
  <si>
    <t>Fabricated tricycle</t>
  </si>
  <si>
    <t>CONSTRUCTION OF COVERED CANAL PUROK 5</t>
  </si>
  <si>
    <t>Various Drugs and Medicines for Senior Citizen</t>
  </si>
  <si>
    <t>PAPER MATERIALS FOR PRINTING OF MODULES</t>
  </si>
  <si>
    <t>MEALS PROVISION ON COMMAND CONFERENCE</t>
  </si>
  <si>
    <t>For use in the operation of Garbage Compactor (DOH-430, DOH-462) and Dumptruck (SHJ-456).</t>
  </si>
  <si>
    <t>Rehabilitation of Open Canal</t>
  </si>
  <si>
    <t>Senior High School -1st quarter module reproduction</t>
  </si>
  <si>
    <t>For use of CHO Family Planning Program.</t>
  </si>
  <si>
    <t>PURCHASE OF OFFICE AND SCHOOL SUPPLIES FOR ESPERANZA NHS</t>
  </si>
  <si>
    <t>ITB No. 20-074   RE-BIDDING OF ONE (1) LOT SUPPLY AND DELIVERY OF LABOR, TOOLS, MATERIALS, CONSUMABLES, SUPERVISION AND TECHNICAL EXPERTISE FOR THE INSTALLATION, TESTING AND COMMISSIONING OF ONE (1) U</t>
  </si>
  <si>
    <t>Various Drugs and Medicines</t>
  </si>
  <si>
    <t>Drug Test Kits</t>
  </si>
  <si>
    <t>Supply &amp; Delivery of Sound System for Bongabong North District</t>
  </si>
  <si>
    <t>Improvement of Multipurpose Building</t>
  </si>
  <si>
    <t>Fabrication and Installation of Streetlights</t>
  </si>
  <si>
    <t>Procurement of office equipment for HRMO office</t>
  </si>
  <si>
    <t>Photocopy of 1st modules</t>
  </si>
  <si>
    <t>Construction of Concrete Canal</t>
  </si>
  <si>
    <t>Procurement of Alcohol</t>
  </si>
  <si>
    <t>Supply and Delivery of 2 units Pump and Engine including accessories</t>
  </si>
  <si>
    <t>SUPPLY AND DELIVERY OF LABORATORY EQUIPMENT FOR BIO-MOLECULAR LAB</t>
  </si>
  <si>
    <t>SUPPLY AND DELIVERY OF 500 PCS. FACE SHIELD WITH GOOGLES</t>
  </si>
  <si>
    <t>Vehicles</t>
  </si>
  <si>
    <t>Procurement of Spare parts &amp; Accessories for Dump Truck SKK 739</t>
  </si>
  <si>
    <t>Purchase of Rescue Vehicle</t>
  </si>
  <si>
    <t>For Official use of the Sangguniang Panglungsod Members and SP Secretary.SP</t>
  </si>
  <si>
    <t>CONSTRUCTION OF COVERED CANAL PUROK 6</t>
  </si>
  <si>
    <t>Procurement/delivery of fingerlings</t>
  </si>
  <si>
    <t>General Administration Program</t>
  </si>
  <si>
    <t>Procurement of spare parts for Backhoe</t>
  </si>
  <si>
    <t>Supply and Delivery of Various Ink(PR#20-07-0967)</t>
  </si>
  <si>
    <t>PURCHASE OF DIGITAL DUPLICATOR FOR DEP ED IGBARAS, ILOILO</t>
  </si>
  <si>
    <t>procurement/delivery of electronic devices &amp; equipments</t>
  </si>
  <si>
    <t>FACE SHIELD</t>
  </si>
  <si>
    <t>canal lining with cover</t>
  </si>
  <si>
    <t>20L00174 : Construction of Sumlog Parallel Bridge (Substructure Only) Along Pres. Diosdado P. Macapagal Natl Hi-way, Davao Oriental</t>
  </si>
  <si>
    <t>COMPUTER SET WITH COMPLETE ACCESSORIES</t>
  </si>
  <si>
    <t>IMPROVEMENT OF TREASURY OFFICE</t>
  </si>
  <si>
    <t>Procurement of Bond Paper A4 size</t>
  </si>
  <si>
    <t>For use in the operation City Linis Project (Street Sweeper).</t>
  </si>
  <si>
    <t>Supply and Delivery of Supplies for Rabies Prevention and Control Program of the City Government of Balanga, Bataan</t>
  </si>
  <si>
    <t>Fabrication of Bends and Spools for the Connections of Pipeline in connection with the Waterline Extension Project for Silay City Water District</t>
  </si>
  <si>
    <t>PROCUREMENT OF MATERIALS FOR THE CONSTRUCTION OF DRAINAGE SYSTEM</t>
  </si>
  <si>
    <t>Provision of Potable Water Supply, Apolong, Valencia, Negros Oriental</t>
  </si>
  <si>
    <t>Electrical Wiring Installation, Luyungan High School.DEP-Ed</t>
  </si>
  <si>
    <t>Installation of Solar Street Lights</t>
  </si>
  <si>
    <t>Repost-Reproduction and Delivery of Learning Modules</t>
  </si>
  <si>
    <t>Supply &amp; Delivery of Bond Papers</t>
  </si>
  <si>
    <t>Purchase 2 units of Aircon</t>
  </si>
  <si>
    <t>Purchase of Construction Materials and supplies for the installation of gas ventillations at Sanitary Land fill at brgy. Suyo, Dingras, Ilocos Norte.</t>
  </si>
  <si>
    <t>Purchase of Chairs and Tables for the Barangay Hall - Brgy. Bugbuga</t>
  </si>
  <si>
    <t>Supply &amp; Delivery of Risograph Machine</t>
  </si>
  <si>
    <t>5 pack Cable, etc.</t>
  </si>
  <si>
    <t>SUPPLY AND DELIVERY OF I.T. &amp; COMMUNICATION AND HOSPITAL EQUIPMENT</t>
  </si>
  <si>
    <t>Procurement of one unit photocopier machine</t>
  </si>
  <si>
    <t>2 Unit Desktop Computer</t>
  </si>
  <si>
    <t>PROCUREMENT OF SUPPLIES FOR COVID-19 PREVENTION-DIV. OFFICE PERSONNEL AND CLIENT USE</t>
  </si>
  <si>
    <t>PURCHASE OF VARIOUS MEDICINES</t>
  </si>
  <si>
    <t>Vehicle</t>
  </si>
  <si>
    <t>INVITATION TO BID FOR THE PROCUREMENT OF DIESEL AND GASOLINE OF THE PNP-BASCO POLICE STATION</t>
  </si>
  <si>
    <t>Purchase of Goods/Materials for Improvement and Rehabilitation of Material Recovery Facility (Negotiated Procurement)</t>
  </si>
  <si>
    <t>Supply and Delivery of IT Equipment and Office Supplies</t>
  </si>
  <si>
    <t>NETWORK ATTACHED STORAGE 8TB 3.5” WITH INCLUSION (6th Posting)</t>
  </si>
  <si>
    <t>2020-08-196</t>
  </si>
  <si>
    <t>Supply and Delivery of Submersible Pump, MTS, and Breakers</t>
  </si>
  <si>
    <t>PROCUREMENT OF IT EQUIPMENT FOR USE AT SB OFFICE &amp; MSWDO</t>
  </si>
  <si>
    <t>4x8x3/4 Plywood,Acytex Cast,Semi-gloss latex paint,etc.....</t>
  </si>
  <si>
    <t>Supply &amp; Delivery of School Supplies</t>
  </si>
  <si>
    <t>SUPPLY AND DELIVERY OF DIGITAL DUPLICATOR MACHINES WITH ADDITIONAL INK AND MASTER ROLL, SEF, SFADS</t>
  </si>
  <si>
    <t>Supply/Delivery of 1,500 liters Diesoline</t>
  </si>
  <si>
    <t>PURCHASE OF MEDICAL SUPPLIES-085R</t>
  </si>
  <si>
    <t>CONCRETING OF ACCESS ROAD, CONALES STREET, MABINI, TUBAJON</t>
  </si>
  <si>
    <t>PROCUREMENT OF WELL-MILLED RICE &amp; GROCERY ITEMS FOR STOCKPILING TO BE USED DURING DISASTER OPERATIONS</t>
  </si>
  <si>
    <t>PROCUREMENT OF 2 UNIT SALA SET</t>
  </si>
  <si>
    <t>Supply &amp; Delivery of Other Supplies and Materials in Response to COVID -19 Pandemic  ( Prevention &amp; Mitigation)</t>
  </si>
  <si>
    <t>Expansion of Pot. Water Supply System (Bonifacio)</t>
  </si>
  <si>
    <t>Purchase of 1 Set Desktop Computer with Printer and Other Accessories</t>
  </si>
  <si>
    <t>Provision of PWD Comfort Room at Integrated HRM Laboratory Building at Main Campus, DHVSU, Bacolor, Pampanga.</t>
  </si>
  <si>
    <t>Supply / Delivery of 1 unit Multi-Purpose Grinder</t>
  </si>
  <si>
    <t>PROCUREMENT OF 1 UNIT AIRCON (SPLIT TYPE 2 HP)</t>
  </si>
  <si>
    <t>Supply and Delivery of UPVC Deep Well Casing, Screen Pipes, Riser Pipes and Accessories</t>
  </si>
  <si>
    <t>Vehicle Accessories</t>
  </si>
  <si>
    <t>Supply and delivery of Drone for PRISM (PR 573)</t>
  </si>
  <si>
    <t>Catering Services (Mainstreaming of DDR/CCA Comprehensive Development Plan (CDP)-MPDO</t>
  </si>
  <si>
    <t>Motor Vehicle</t>
  </si>
  <si>
    <t>Purchase of Meals &amp; Snacks to be serve for the Participants of Day Care Workers Week Gumaca, Quezon</t>
  </si>
  <si>
    <t>Procurement of Digital Duplicator Ink for Learning Modules for Implementation of Basic Education Learning Continuity Plan</t>
  </si>
  <si>
    <t>Supply and delivery of camera and laptop for PRISM (PR 573)</t>
  </si>
  <si>
    <t>Supply and Delivery of Supplies for COT Office Use</t>
  </si>
  <si>
    <t>Supplies for Printing of Modules for MDL Modality</t>
  </si>
  <si>
    <t>Communication Equipment &amp; Parts and Accessories</t>
  </si>
  <si>
    <t>Construction of Senior Citizen Building Poblacion, Getafe Bohol</t>
  </si>
  <si>
    <t>Dental Supplies</t>
  </si>
  <si>
    <t>VARIOUS CONSTRUCTION MATERIALS FOR USE IN THE IMPROVEMENT OF THE CITY LEGAL OFFICE,CAVITE CITY HALL, CAVITE CITY</t>
  </si>
  <si>
    <t>ITB FOR THE ACQUISITION OF EQUIPMENTS FOR  COMMUNITY EMPOWERMENT THROUGH SCIENCE AND TECHNOLOGY PROJECT</t>
  </si>
  <si>
    <t>IMPROVEMENT OF CANTEEN COOKING AREA AND STOCKROOM, 154,470.60</t>
  </si>
  <si>
    <t>INVITATION TO BID FOR THE PROCUREMENT OF MATERIALS FOR THE EVACUATION FACILITY IN BARANGAY SAN ANTONIO-PHASE III</t>
  </si>
  <si>
    <t>P.R NO. 100-2020-07-0410 PURCHASE OF LAPTOP USE FOR MAYOR'S OFFICE</t>
  </si>
  <si>
    <t>Rehabilitation of Concrete Pathway</t>
  </si>
  <si>
    <t>FURNISHING AND DELIVERING DRUGS AND MEDICINES FOR THE  2ND QUARTER, CY-2020, OFFICE FOR HEALTH SERVICES, CAMILING, TARLAC</t>
  </si>
  <si>
    <t>Supply &amp; Delivery of IT Equipment for office use at the City Engineering Services &amp; Architecture Planning &amp; Design (OCES).</t>
  </si>
  <si>
    <t>PR No. 2020-07-163 Construction Materials</t>
  </si>
  <si>
    <t>Expansion of Pot. Water Supply System (Nalubbunan)</t>
  </si>
  <si>
    <t>PURCHASE OF ASSORTED OFFICE SUPPLIES FOR THE AGRICULTURE’S OFFICE</t>
  </si>
  <si>
    <t>PR No. 2020-08-182 Fluorescent Tube Lights</t>
  </si>
  <si>
    <t>Basketball Covered Court Equipment</t>
  </si>
  <si>
    <t>Expansion of Pot. Water Supply System (Calaocan)</t>
  </si>
  <si>
    <t>SCHOOL SUPPLIES</t>
  </si>
  <si>
    <t>TIPPING AND HAULING OF SOLID WASTE FOR THE MUNICIPALITY OF ORANI, BATAAN</t>
  </si>
  <si>
    <t>VARIOUS CONSTRUCTION MATERIALS FOR USE IN THRE EPIDEMIOLOGY &amp; SURVELILLANE OFFICE 2ND FLOOR CAVITE CITY HALL ANNEX, CAVITE CITY</t>
  </si>
  <si>
    <t>Procurement of Hardware and Construction Supplies for TANAWAN</t>
  </si>
  <si>
    <t>Purchase of Native Chicken</t>
  </si>
  <si>
    <t xml:space="preserve">( PR NO. 20-07-07-0241 SUPPLY AND DELIVERY OF 1 lgth B.I Pipe, Sch. 40 200mmØ x 6m x 8.13mm thk, 2 lgths B.I Pipe, Sch. 40 75mmØ x 6m, 1 lgth B.I Pipe Sch. 40 400mmØ x 6.00m x 12.7mm thk, 3 lgths B.I </t>
  </si>
  <si>
    <t>INSTALLATION OF CCTV (HD CAMERA)</t>
  </si>
  <si>
    <t>RFQ for the Procurement of Electrical Supplies</t>
  </si>
  <si>
    <t>RFQ 2020-08-009 (P.R. # 2020-07-022)-Suppy/Delivery of Office Supplies for use in Maintenance Section, DPWH-Palawan DEO, Puerto Princesa City</t>
  </si>
  <si>
    <t>Expansion of Pot. Water Supply System (Maasin)</t>
  </si>
  <si>
    <t>Concreting of Farm-to-Market Road at Sitio Anteng, Brgy. Ambulogan, Narvacan, Ilocos Sur</t>
  </si>
  <si>
    <t>Supply &amp; Delivery of Construction Materials (Construction of Drainage Canal Sanitary Landfill)</t>
  </si>
  <si>
    <t>SUPPLY AND DELIVERY OF FIVE ( 5) UNITS DUPLICATOR MACHINE WITH A3 MONOCHROME PHOTOCOPIER, PRINTER AND SCANNER</t>
  </si>
  <si>
    <t>Construction of Public Cemetery Comfort Room</t>
  </si>
  <si>
    <t>OFFICE SUPPPLIES</t>
  </si>
  <si>
    <t>FURNISHING AND DELIVERING LABOR AND MATERIALS FOR CCTV</t>
  </si>
  <si>
    <t>Supply &amp; Delivery of Construction Materials for the Repair and Maintenance of Municipal Building (DSWD - 4P's) at Poblacion</t>
  </si>
  <si>
    <t>Negotiated Procurement</t>
  </si>
  <si>
    <t>Supply and Delivery of Materials for the Installation of 53 Units Streetlights</t>
  </si>
  <si>
    <t>Purchase of Digital Duplicator with Consumables</t>
  </si>
  <si>
    <t>Replacement of Vinyl Flooring of Apron Management System (AMS) at Terminal 2 Office</t>
  </si>
  <si>
    <t>( PR NO. 20-07-07-0233 SUPPLY AND DELIVERY OF 3 lgths B.I Pipe, Sch.40 300mmØ x 6.00m x 10.31mm thk, 1 lgth B.I Pipe, Sch.40 350mmØ x 6.00m x 11.12mm thk, 9 lgths B.I Pipe, Sch.40 150mmØ x 6m x 7.11mm</t>
  </si>
  <si>
    <t>Supply and delivery of 48 Port Switch and 8 Port Switch Hub</t>
  </si>
  <si>
    <t>Procurement of Airconditioning Unit for Provincial Governors Office SP Session Hall use</t>
  </si>
  <si>
    <t>For printing and reproduction of modules and ICT</t>
  </si>
  <si>
    <t>Anti-Virus Subscription</t>
  </si>
  <si>
    <t>Construction of Barangay Road ( Brgy CUTCUTAN)</t>
  </si>
  <si>
    <t>Supply and Delivery of Public Utility Vehicle (Van)</t>
  </si>
  <si>
    <t>Construction of Post-Harvest Facility at Barangay Caterman, Candon City, Ilocos Sur</t>
  </si>
  <si>
    <t>PURCHASE OF RICE FOR THE CONSTITUENTS WHO ARE AFFECTED BY THE PANDEMIC COVID-19</t>
  </si>
  <si>
    <t>( PR NO. 20-07-04-0090 SUPPLY AND DELIVERY OF 1 unit Laptop)</t>
  </si>
  <si>
    <t>Procurement of Fluids for Cortes Municipal Hospital Pharmacy.</t>
  </si>
  <si>
    <t>for school clinic use</t>
  </si>
  <si>
    <t>INST. &amp; REPLACEMENT OF JETMATIC PUMP</t>
  </si>
  <si>
    <t>Supply and Delivery of Face Shields</t>
  </si>
  <si>
    <t>Rehabilitation/Improvement of Day Care Center</t>
  </si>
  <si>
    <t>(GO-Exec/Admin) REQUEST FOR QUOTATION (RFQ)  For the Procurement of 4,484 pcs VISA Sticker (3rd Quarter) For the Governor’s Office – Executive &amp; Administrative Division</t>
  </si>
  <si>
    <t>DSLR Camera, Etc. - CapSU Roxas</t>
  </si>
  <si>
    <t>Supply and Delivery of 1500bags portland cement for use in the maintenance of provincial roads and bridges provincewide</t>
  </si>
  <si>
    <t>Upgrading and Improvement of Immayos-Saoang Road at San Juan, Ilocos Sur</t>
  </si>
  <si>
    <t>PROVISION OF MICRONUTRIENT SUPPLEMENTATION AND CONDUCT OF OTHER NUTRITION PROGRAM</t>
  </si>
  <si>
    <t>Supply and delivery of vacuum pump for production center use (PR 460)</t>
  </si>
  <si>
    <t>Hotel and Lodging and Meeting Facilities</t>
  </si>
  <si>
    <t>SUPPLY AND DELIVERY OF STAINLESS MIRROR STAND</t>
  </si>
  <si>
    <t>Design and Build of 3-storey Administration Building with Meeting Halls in SPAMAST Malita, Davao Occidental 2nd Posting</t>
  </si>
  <si>
    <t>SUPPLY AND DELIVERY OF 3 UNITS HIGH-SPEED PRINTER/DIGITAL DUPLICATOR.</t>
  </si>
  <si>
    <t>MOOEA 2020</t>
  </si>
  <si>
    <t>SELF-LEARNING MODULES (SLMs)</t>
  </si>
  <si>
    <t>COMPLETION OF PROVINCIAL GARAGE</t>
  </si>
  <si>
    <t>PURCHASE OF RICE FOR THE CONSTITUENTS WHO ARE AFFECTED BY THE PANDEMIC COVID-19 THRU SK FUNDS</t>
  </si>
  <si>
    <t>For use in the General Service Office</t>
  </si>
  <si>
    <t>Improvement of NHJ-Bitaugan-Maputi Road (Phase I) at Brgy. Bitaugan &amp; Brgy. Maputi, San Isidro,  Davao Oriental</t>
  </si>
  <si>
    <t>Construction of 2 Storey 4 Classroom School Building at Taclobo NHS, Dumaguete City, Negros Oriental</t>
  </si>
  <si>
    <t>(NVPH) REQUEST FOR QUOTATION (RFQ)  For the Procurement of Cash Register Tape, Multi-Purpose Glue, etc. For the Nueva Vizcaya Provincial Hospital--101,550.00</t>
  </si>
  <si>
    <t>Procurement of bottles for bottling of mango vinegar at Mango Processing Plant &amp; Livelihood Center</t>
  </si>
  <si>
    <t>Procurement of Disinfecting Materials</t>
  </si>
  <si>
    <t>for chlorine dioxide tester</t>
  </si>
  <si>
    <t>Supply / Delivery of Kitchen wares, Plastic tables, Plastic chairs, Plastic crates &amp; Water dispenser</t>
  </si>
  <si>
    <t>Supply and Delivering of Materials for the Improvement of Waterworks System</t>
  </si>
  <si>
    <t>Calculator(Scientific) etc. - CapSU Mambusao</t>
  </si>
  <si>
    <t>Installation of Automated Weather Station</t>
  </si>
  <si>
    <t>EXPANSION OF EMED &amp; RECORDS ROOM INCLUDING THE PROVISION OF DOORS AND DIVISION FOR THE PROPOSED ANTE ROOM AND CHEMICAL STORAGE ROOM</t>
  </si>
  <si>
    <t>Procurement of fuel use for the concreting of Roads-From Lamual to Sitio Batnawan</t>
  </si>
  <si>
    <t>Request for Catering Services during the PSYCHOSOCIAL and SPIRITUAL Activity for Health Workers.</t>
  </si>
  <si>
    <t>Construction of Local Road at Sitio Ilawod, Brgy. Macabog, Sorsogon City</t>
  </si>
  <si>
    <t>Supply and Delivery of Acrylic Foldable Intra-Ocular Lens with Injector</t>
  </si>
  <si>
    <t>PURCHASE OF FURNITURES &amp; FIXTURES</t>
  </si>
  <si>
    <t>Purchase and delivery of 2nd quarter office supplies and devices to be used by the City Government of Calapan.</t>
  </si>
  <si>
    <t>Delivery of medical supplies and materials to be used by the City Government of Calapan</t>
  </si>
  <si>
    <t>Office Supplies and Materials</t>
  </si>
  <si>
    <t>Procurement of Polo shirt with logos for the 26th Anniversary of TESDA on August 25, 2020</t>
  </si>
  <si>
    <t>Quotation No. 20-07-0417Toner Cartridge, HP 64A</t>
  </si>
  <si>
    <t>( PR NO. 20-07-07-0247 SUPPLY AND DELIVERY OF 2 lgths Steel Cement line/Shop Prime 600mmØ x 6mx6.00mm thk, 1 lgth Steel Cement line/Shop Prime 150mmØ x 6mx7.11mm thk, 2 lgths Cement Line Asphalt Coate</t>
  </si>
  <si>
    <t>1.	Supply and delivery of materials for the installation of sliding glass window of the Training Center (2nd floor) of LGU Guindulman.</t>
  </si>
  <si>
    <t>Supply and Delivery of IT and Printing Equipment</t>
  </si>
  <si>
    <t>20GAC0043 - Supply and Delivery of Paint for Repainting of DPWH Ilocos Sur I DEO Perimeter Fence and Other DPWH Buildings</t>
  </si>
  <si>
    <t>Alcohol, 70% ethyl solution, etc - CapSU Dayao</t>
  </si>
  <si>
    <t>PURCHASE OF ELECTRICAL SUPPLIES, CSWMO, CALBAYOG CITY</t>
  </si>
  <si>
    <t>PROCUREMENT OF HEAVY-DUTY DIGITAL COPYPRINTER WITH METAL STAND</t>
  </si>
  <si>
    <t>Quotation No. 20-07-0420- Executive Chair; Specification: color Black, with arm rest and retractable foot rest, double thick cushion, adjustable back height (150 degrees reclining)</t>
  </si>
  <si>
    <t>FABRICATION OF OTOP PH HUB FURNITURE AND FIXTURES</t>
  </si>
  <si>
    <t>FOR USE AT THE ISOLATION AND QUARANTINE FACILITY</t>
  </si>
  <si>
    <t>Purchase of Office Equipment FOR OPERATION AND OFFICE USE. (RE CANVASS Item No.1) Under P.R. No. 80-18-06-055</t>
  </si>
  <si>
    <t>Repair of Backhoe</t>
  </si>
  <si>
    <t>Upgrading and Improvement of Ora-Tay-ac Road at Bantay, Ilocos Sur</t>
  </si>
  <si>
    <t>Request for Quotation on 1 3-Tonner Aircon including Installation, Magnetic Contactor and Essential Materials</t>
  </si>
  <si>
    <t>Supply &amp; Delivery of Painting Materials for Brigada Eskwela 2020 (CMO)</t>
  </si>
  <si>
    <t>Repair and Maintenance of Government Building and Facilities</t>
  </si>
  <si>
    <t>Procurement of Drugs and Medicines for Leprosy Patients</t>
  </si>
  <si>
    <t>PURCHASE OF DUMPTRUCK (REBID)</t>
  </si>
  <si>
    <t>Upgrading and Improvement of Lubong-Tanggaoan-Dunglayan Road at Sta. Maria, Ilocos Sur</t>
  </si>
  <si>
    <t>printing and reproduction of modules and office supplies</t>
  </si>
  <si>
    <t>CONSTRUCTION OF 52 METERS CATWALK SHED</t>
  </si>
  <si>
    <t>Quotation No. 20-07-0419- Storage Cabinet; Specification: with five shelves and swing metal door 850W x 400D x 1.85H, all metal body, Key lock mechanism, color gray</t>
  </si>
  <si>
    <t>Sewing of Face Mask, Etc. - CapSU Dayao</t>
  </si>
  <si>
    <t>Supply &amp; Delivery of 12 units Cultivator for Agri-infra support for Rice Production to selected Farmers Association (OCAS).</t>
  </si>
  <si>
    <t>PURCHASE OF MATERIALS – IMPROVEMENT OF MUNICIPAL PARK (REBID)</t>
  </si>
  <si>
    <t>Quotation No. 20-07-0418- Brother Printer Cartridge, RTC 2380</t>
  </si>
  <si>
    <t>Mantenance/Repair of Manpower Development Center (Repair of CR)</t>
  </si>
  <si>
    <t>Procurement of 4 units Duplicating Machine use for printing of module for Online DepEd Program</t>
  </si>
  <si>
    <t>Supply and Delivery of Materials for the Fabrication of Spool, Bend Connections and Exposed Steel Pipe in Connection with the Waterline Extension Project for Silay City Water Distrit</t>
  </si>
  <si>
    <t>Office supplies for printing of modules</t>
  </si>
  <si>
    <t>INVITATION TO BID FOR THE PROCUREMENT OF VARIOUS CONSTRUCTION MATERIALS FOR THE INSTALLATION OF STEELGATE AND SIGNAGE FOR SIGABOY CENTRAL ELEMENTARY SCHOOL</t>
  </si>
  <si>
    <t>Quotation No. 20-07-0422- Alcohol, 70% ethyl, 500ml, Face mask, Face shield, Gloves</t>
  </si>
  <si>
    <t>Construction of Water System at ISPH-Gabriela Silang General Hospital, Tamag, Vigan City, Ilocos Sur</t>
  </si>
  <si>
    <t>Supply and Delivery of Auto Alcohol Dispenser and Battery</t>
  </si>
  <si>
    <t>Furnishing and Delivery of 1 Set Desktop Computer for Official Use of Office of the Mayor</t>
  </si>
  <si>
    <t>SUPPLY AND DELIVERY OF SMARTPHONE(GPS-CAPABLE/ANDROID)</t>
  </si>
  <si>
    <t>Purchase of One (1) Lot: One (1) Unit Brand New 6x4- 10-wheeler Dump truck and One (1) Unit Brand New 4x2- 6-wheeler Dump truck for the use in the Office of the Municipal Engineer</t>
  </si>
  <si>
    <t>Fuel, Oil &amp; Lubricants</t>
  </si>
  <si>
    <t>1.	Supply and delivery of materials for the construction of reservoir located at Dela Paz, Basdio, Guindulman, Bohol.</t>
  </si>
  <si>
    <t>RFQ FOR VARIOUS OFFICE SUPPLIES</t>
  </si>
  <si>
    <t>Supply and Delivery of Office Equipment for use at Tourism Office</t>
  </si>
  <si>
    <t>20GFO0026 - Supply and Delivery of Materials for Work Cat. 18 Traffic Services Maintenance Act. 302 Center Line and Lane Line Repainting along National Roads within 3rd District of Albay</t>
  </si>
  <si>
    <t>General Repair of College Vehicle - Isuzu Elf</t>
  </si>
  <si>
    <t>Procurement of Diesel Fuel</t>
  </si>
  <si>
    <t>PURCHASE OF MATERIALS – CONSTRUCTION OF DRAINAGE CANAL AT ALEJANDRIA STREET (rebid)</t>
  </si>
  <si>
    <t>Provision of One Hundred Fifty (150) Liters Motor-Oil, fully synthetic</t>
  </si>
  <si>
    <t>Meals  and Snacks</t>
  </si>
  <si>
    <t>SUPPLY OF MATERIALS FOR THE REPAIR AND MAINTENANCE OF DAYCARE CENTER AT BRGY. TANAGAN</t>
  </si>
  <si>
    <t>Request for Advocacy Materials to be use during the  PSYCHOSOCIAL and SPIRITUAL Activity for Health Workers.</t>
  </si>
  <si>
    <t>Purchase of Office Furnitures</t>
  </si>
  <si>
    <t>Purchase of Agricultural and Marine Supplies</t>
  </si>
  <si>
    <t>Procurement of Fuel for BSP LURO owned &amp; augmentation vehicles</t>
  </si>
  <si>
    <t>Purchase &amp; Delivery of Bond Paper for the Reproduction of Learning Modules &amp; Self-learning Kits in Support &amp; Compliance to Basic Education</t>
  </si>
  <si>
    <t>CONSTRUCTION OF MULTI-PURPOSE BUILDING, FERDINAND, LORETO</t>
  </si>
  <si>
    <t>Power Supply System</t>
  </si>
  <si>
    <t>Construction of Local Road at Sitio Iraya, Macabog, Sorsogon City</t>
  </si>
  <si>
    <t>Quotation No. 20-07-0421- Ribbon Cartridge, Epson ,C13SO15516 (S015086), Black for Epson dot metrix ,Printers LQ-2070/2080/2180/2190 and FX-2180</t>
  </si>
  <si>
    <t>Use for the SWAB Testing of the LSI or probable case of COVID-19</t>
  </si>
  <si>
    <t>Portable Trolley Speaker with Wireless Microphone</t>
  </si>
  <si>
    <t>Materials for the construction of open drainage canal, PNP bldg. New City Hall Compound</t>
  </si>
  <si>
    <t>Supply of Drugs and Medicines for Bontoc General Hospital</t>
  </si>
  <si>
    <t>SUPPLY AND DELIVERY OF HANDHELD GLOBAL POSITIONING SYSTEM (FOR GEO-TAGGING)</t>
  </si>
  <si>
    <t>Purchase of Emergency Supplies and Equipment for Mitigation  of Communicable and Non-Communicable Disease</t>
  </si>
  <si>
    <t>2020-08-0192 - SUPPLY AND DELIVERY OF FOUR (4) PCS RUBBER TIRES, 31X10 R15, OF CONSTRUCTION SECTION FOR USE OF ITS SERVICE VEHICLE, HI 5555 (SEL 881)</t>
  </si>
  <si>
    <t>Repair &amp; Maintenance - Transportation</t>
  </si>
  <si>
    <t>Supply and delivery of Chicken for Production Centers (PR 601)</t>
  </si>
  <si>
    <t>Supply and Delivery of Supplies for Reproduction of Modules and Research Materials for Looc National High School</t>
  </si>
  <si>
    <t>CONSTRUCTION OF LEVEL 3 WATER SYSTEM, DOŇA HELEN, LIBJO</t>
  </si>
  <si>
    <t>MATERIALS FOR THE INSTALLATION OF AIRCON</t>
  </si>
  <si>
    <t>Materials for the Maintenance/Installation of Electrical Wirings at Muncipal Building &amp; Public Market, Bugallon, Pangasinan</t>
  </si>
  <si>
    <t>Rental of equipment use for the concreting of roads- From Lamual to Sitio Batnawan road, Brgy. Canahay</t>
  </si>
  <si>
    <t>Materials for the Drilling and Installation of twelve (12) units Baby Artesian Well</t>
  </si>
  <si>
    <t>Supply and delivery of animal feeds (PR 601)</t>
  </si>
  <si>
    <t>CONCRETING OF PROVINCIAL ROAD DIEGAS TO RITA GLENDA SECTION, BASILISA</t>
  </si>
  <si>
    <t>Supply/Delivery/ Installation of Conference System for the use at NIA RO V (Conference Hall), Naga City</t>
  </si>
  <si>
    <t>SUPPLY OF MATERIALS FOR THE REPAIR AND MAINTENANCE OF MULTI-PURPOSE HALL AT BRGY. TANAGAN</t>
  </si>
  <si>
    <t>Printing of  First Quarter Modules</t>
  </si>
  <si>
    <t>Purchase of Animal/Zoological Supplies</t>
  </si>
  <si>
    <t>RFQ for the Procurement of Commodities</t>
  </si>
  <si>
    <t>Supplies and Materials</t>
  </si>
  <si>
    <t>UTP Cord, Etc - CapSU Mambusao</t>
  </si>
  <si>
    <t>PURCHASE OF MATERIALS – CONCRETING OF CALABNUGAN ROAD – BRGY. CALABNUGAN</t>
  </si>
  <si>
    <t>DMGES MOOE CASH ADVANCE FOR JULY 2020</t>
  </si>
  <si>
    <t>1.	Supply and delivery of materials for the construction of waterworks system at Tawid, Guinacot, Guindulman.</t>
  </si>
  <si>
    <t>Rehabilitation of Rubberized Track Oval (Warm-up and Two(2) D-Section), Phase II, Pana-ad Park, Brgy. Mansilingan, Bacolod City, Neg. Occ./ PPS-2020-0161</t>
  </si>
  <si>
    <t>Supply of Medical Supplies for Bontoc General Hospital</t>
  </si>
  <si>
    <t>Supply &amp; Delivery of General Merchandize (Other Supplies)</t>
  </si>
  <si>
    <t>IMPV'T OF WATER SYSTEM AT NATURE'S PARK, BANDERA, KAPUTIAN DISTRICT, IGACOS under PR# 2020-02-1448.</t>
  </si>
  <si>
    <t>MODIFICATION AND EQUIPPING QUARANTINE/ISOLATION FACILITIES FOR COVID-19 PATIENTS</t>
  </si>
  <si>
    <t>Delivery of Fertilizer needed for Plantation Crops Production Program (ITB 20-096)</t>
  </si>
  <si>
    <t>PROCUREMENT OF OFFICE EQUIPMENT FOR USE OF THE MUNICIPAL ASSESSOR</t>
  </si>
  <si>
    <t>Food Supply</t>
  </si>
  <si>
    <t>Office Supplies re- Special Program for Employment of Students (SPES) c/o MO-CA/PESO</t>
  </si>
  <si>
    <t>Procurement of Bangus Fingerlings &amp; Feeds Lot 1 - Bangus Fingerlings</t>
  </si>
  <si>
    <t>Support Facilities and Equipment for the Production of Quality Corn</t>
  </si>
  <si>
    <t>RFQ-Toner Cart Samsung MLT-D111S</t>
  </si>
  <si>
    <t>PURCHASE OF DRUG TESTING KIT</t>
  </si>
  <si>
    <t>Electrification of Different Barangays, Municipality of Sto. Domingo, Nueva Ecija</t>
  </si>
  <si>
    <t>Furnishing and delivery of materials for the Repair and Maintenance of Different Municipal Service Vehicles</t>
  </si>
  <si>
    <t>SUPPLY AND DLEIVERY OF HOSPITAL EQUIPMENTS</t>
  </si>
  <si>
    <t>Purchase of welfare goods Re: Emerging/Re-emerging Disease Program/COVID19 SB#2 (4919-200-000) under PR# 2020-07-3016.</t>
  </si>
  <si>
    <t>PURCHASE OF MATERIALS – CONSTRUCTION OF LINE CANAL DRAINAGE WITH REINFORCED COVER AT SAN ANTONIO STREET – BRGY. POBLACION</t>
  </si>
  <si>
    <t>20GFI0003 - Purchase of Materials for 3rd &amp; 4th Quarter (Maintenance Section).</t>
  </si>
  <si>
    <t>Procurement of Bangus Fingerlings &amp; Feeds Lot 2 - Feeds</t>
  </si>
  <si>
    <t>Supply/Delivery of Office Supplies for the use at Regional Office V, Naga City</t>
  </si>
  <si>
    <t>Installation of 2nd Level Deck Bleacher</t>
  </si>
  <si>
    <t>Hospital Supplies</t>
  </si>
  <si>
    <t>Supply and Delivery of Office Supplies and Printer</t>
  </si>
  <si>
    <t>Delivery of various Equipment, Other &amp; Agricultural supplies/materials (ITB 20-097)</t>
  </si>
  <si>
    <t>IT EQUIPMENT PARTS AND ACCESSORIES</t>
  </si>
  <si>
    <t>Construction of 3CL Building Phase II, Concepcion Elementary School, Barangay Concepcion, Municipality of Sto. Domingo, Nueva Ecija</t>
  </si>
  <si>
    <t>Chemical Half Face Mask Respirator</t>
  </si>
  <si>
    <t>PURCHASE AND DELIVERY OF 7 UNITS OF AIRCONDITION FOR GMCH</t>
  </si>
  <si>
    <t>Meals for Forntliners for 7 days</t>
  </si>
  <si>
    <t>Water System Development - Purok 6 San Vicente, Aundanao under PR# 2020-03-1944.</t>
  </si>
  <si>
    <t>PURCHASE OF PRINTER</t>
  </si>
  <si>
    <t>PURCHASE OF HARDWARE MATERIALS FOR ANIMAL DOG CAGE @ BARANGAY PILI &amp; STA. MARIA</t>
  </si>
  <si>
    <t>Various Office Supplies for PEO(S-175-2020)</t>
  </si>
  <si>
    <t>Purchase of Laptop, Desktop Computer and UPS for Municipal Treasurer's Office use.</t>
  </si>
  <si>
    <t>PURCHASE AND DELIVERY OF MEALS AND SNACKS WITH ACCOMMODATION FOR PSWDO</t>
  </si>
  <si>
    <t>Water Sampling Container</t>
  </si>
  <si>
    <t>Supply and Delivery of Common Use Office Supplies</t>
  </si>
  <si>
    <t>Supply and Delivery of 11 pcs. Batteries for Electric Pallet Truck, as per BSP Technical Specifications and Terms and Conditions</t>
  </si>
  <si>
    <t>MAINTENANCE OF ROAD (ARCDP) AT SAN REMEGIO, KAPUTIAN DISTRICT, IGACOS under PR# 2020-07-2971.</t>
  </si>
  <si>
    <t>Supply and Delivery of Proparacaine</t>
  </si>
  <si>
    <t>Procurement of various office equipment</t>
  </si>
  <si>
    <t>PURCHASE OF DRUGS AND MEDICINES – MHO</t>
  </si>
  <si>
    <t>PURCHASE OF GARBAGE COMPACTOR</t>
  </si>
  <si>
    <t>1 x 3 16 x 6m Angle Bar, Etc - CapSU Burias</t>
  </si>
  <si>
    <t>20GAC0044 - Purchase of IT Equipment for Use in Planning and Design Section Activities</t>
  </si>
  <si>
    <t>Delivery of vehicle parts/accessories needed for Dump trucks &amp; Heavy Equipment (ITB 20-098)</t>
  </si>
  <si>
    <t>Purchase of Motorcycle</t>
  </si>
  <si>
    <t>Procurement of Goods for Office Supplies</t>
  </si>
  <si>
    <t>Catering Services for the Activity entitled Financial Literacy Training Program for Farmers and Fisher folks in Eastern Samar RPG# 20-OSPM-099</t>
  </si>
  <si>
    <t>Supply and Delivery of Drugs and Medicines</t>
  </si>
  <si>
    <t>Construction of Multi-purpose/Evacuation Building at HFGMHS (Phase I), Brgy. Banilad, Dumaguete City(S-178-2020)</t>
  </si>
  <si>
    <t>Repair and Maintenance of OCDRO5 Generator- FG Wilson</t>
  </si>
  <si>
    <t>Soy Based Formula 850 grams</t>
  </si>
  <si>
    <t>Supply &amp; Delivery of Other Supplies for RUR Hospital</t>
  </si>
  <si>
    <t>Office Forms</t>
  </si>
  <si>
    <t>Purchase &amp; Delivery of Office Supplies &amp; Consumables for the Office of SPM Mildred M. Elaydo</t>
  </si>
  <si>
    <t>RFQ - Procurement of Training Supplies</t>
  </si>
  <si>
    <t>PURCHASE AND DELIVERY OF VARIOUS OTHER SUPPLIES AND MATERIALS FOR LGU-SARANGANI</t>
  </si>
  <si>
    <t>To Support the Logistical Requirements of 551EBDE,PA</t>
  </si>
  <si>
    <t>AMP SVP-D NO: 20-08-0378C:  Copy Paper</t>
  </si>
  <si>
    <t>Publication of Municipal Ordinances</t>
  </si>
  <si>
    <t>COMMON USE OFFICE SUPPLIES (3RD QUARTER)</t>
  </si>
  <si>
    <t>1.	Installation of Solar Energy Panel for the submersible water pump at barangay Bulawan, Guindulman, Bohol.</t>
  </si>
  <si>
    <t>SUPPLY AND DELIVERY OF  MEDICINES</t>
  </si>
  <si>
    <t>Supply and Delivery of Photocopier Machine for the use of Bureau of Fire Protection</t>
  </si>
  <si>
    <t>Improvement of Road Brgy. Linantayan , Basay Negros Oriental(N-212-2020)</t>
  </si>
  <si>
    <t>Maintenance of the OCDRO5 Airconditioning Units</t>
  </si>
  <si>
    <t>Meals for the Community-Based Rehabilitaion Program (CBRP) Implementation</t>
  </si>
  <si>
    <t>Purchase of Computer Equipment, Printer and Accessories for NEUST OFF Campus, Old Municipal Building, Barangay Malaya, Municipality of Sto. Domingo, Nueva Ecija</t>
  </si>
  <si>
    <t>For the Rehabilitation of Underpass Bridge at Barangay Umanday Centro, Bugallon, Pangasinan</t>
  </si>
  <si>
    <t>Supply and Delivery of Veterinary Supplies</t>
  </si>
  <si>
    <t>Supply and Delivery of Electric Handheld Saw Kit and Other Items</t>
  </si>
  <si>
    <t>20GCH0023: Purchase of Office Supplies and Materials (For Use in the Planning &amp; Design Section) DPWH-Pampanga 2nd DEO, San Antonio, Guagua, Pampanga</t>
  </si>
  <si>
    <t>SUPPLY AND DELIVERY OF 10 UNITS (1 HP) WINDOW TYPE AIR CONDITIONER.</t>
  </si>
  <si>
    <t>Supply, Delivery and installation of 2.5 HP Split Type Air - Conditioning unit (non-Inverter)	For COA Office use (N-642-2020)</t>
  </si>
  <si>
    <t>Purchase of office supplies and printer</t>
  </si>
  <si>
    <t>Repair/Improvement of Various Balanan Lake Facilities, Balanan, Sandurot, Siaton, Negros Oriental(S-176-2020)</t>
  </si>
  <si>
    <t>PURCHASE OF VARIOUS NIPPLE (NIPPLE 1/2 X 2 S40 -GI, NIPPLE 1/2" X 50CM S40 GI, NIPPLE 1/2 X 40CM S40 GI)</t>
  </si>
  <si>
    <t>Improvement of Waterworks at Barangay Liptong, Bacong, Negros Oriental</t>
  </si>
  <si>
    <t>Supply and Delivery 1.4% Sodium Hyaluronate Viscoelastic Eye Gel and Lidocaine HCI 2%, 1.8ml</t>
  </si>
  <si>
    <t>PROCUREMENT FOR OFFICE EQUIPMENT  P.R NO. 0738 SERIES 2020</t>
  </si>
  <si>
    <t>Labor and Materials for the Construction of Mess Hall for Bahay Pagbabago at Brgy Wawa, Orion, Bataan</t>
  </si>
  <si>
    <t>PURCHASE OF FAMILY PLANNING/NATURAL FAMILY PLANNING SUPPLIES (GAD)</t>
  </si>
  <si>
    <t>Supply and Delivery of Flourescein 10%</t>
  </si>
  <si>
    <t>Construction of Niches</t>
  </si>
  <si>
    <t>Purchase of Materials for the Project "Improvement of Parks and Plaza"</t>
  </si>
  <si>
    <t>Residual Chlorine Test Kit</t>
  </si>
  <si>
    <t>Procurement of Goods Catering Services</t>
  </si>
  <si>
    <t>PRINTING OF MODULES 2020</t>
  </si>
  <si>
    <t>Rehabilitation of Public Toilet for Men &amp; Women at LGU-Managed/Owned Facilities</t>
  </si>
  <si>
    <t>1 unit Airconditioning Unit, Wall Mounted, 2.5 HP	For use in the Office of the Governor	(N-632-2020)</t>
  </si>
  <si>
    <t>1 unit Floor Mounted Aircon 5 TR	For use in the Office of the Governor	 (N-633-2020)</t>
  </si>
  <si>
    <t>Procurement of Various Drugs and Medicines for Poison Control Unit</t>
  </si>
  <si>
    <t>Procurement of One (1) Lot Job of Roofing and Improvement of the Water Tank, Nalook, Malay, Aklan/ITB no: 2020-440</t>
  </si>
  <si>
    <t>1.	Construction of Farm-to-market road at barangay Catungawan Sur, Guindulman.</t>
  </si>
  <si>
    <t>PAINT</t>
  </si>
  <si>
    <t>Supply and Delivery of Office Equipment and Supplies</t>
  </si>
  <si>
    <t>DARF02.QES.115.20-08-036 LABOR FOR ORCHARD AREA</t>
  </si>
  <si>
    <t>FUEL (Gasoline)</t>
  </si>
  <si>
    <t>Procurement of Various Seeds, Planting Materials, Fertilizers, Various Pesticides &amp; Various Merchandise Lot 2 - Planting Materials</t>
  </si>
  <si>
    <t>procurement of Agricultural Machineries &amp; Equipment  ( RICE MILL for MAMFIC)</t>
  </si>
  <si>
    <t>Procurement of fittings for Maintenance of transmission and distribution</t>
  </si>
  <si>
    <t>Supply and Delivery of Various Medical Supplies for PRDP-NPCO (PRAS No. 2020-069 &amp; SH-027-2020)</t>
  </si>
  <si>
    <t>PROCUREMENT OF GARBAGE COMPACTOR</t>
  </si>
  <si>
    <t>Supply And Delivery of Environmental Water And Sanitation Project (Water Quality Monitoring)MHO Tibiao Ant.</t>
  </si>
  <si>
    <t>LANDSCAPING WORKS (front Municipal Hall, Plaza, Rizal Park)</t>
  </si>
  <si>
    <t>Supply and Delivery of Equipment for COVID-19 Preventive Measures of OCDRO5</t>
  </si>
  <si>
    <t>Supply and Delivery of Office ICT Equipment for the World Bank Site Visits and Video Conferencing (PRAS No. 2020-060 &amp; SH-028-2020)</t>
  </si>
  <si>
    <t>SUPPLY AND DELIVERY OF OCCUPATIONAL SUPPLIES, CONSTRUCTION TOOLS AND EQUIPMENT</t>
  </si>
  <si>
    <t>PROCUREMENT FOR OFFICE EQUIPMENT  P.R NO. 0740 SERIES 2020</t>
  </si>
  <si>
    <t>Zoological Supplies for the Use of CA Lab</t>
  </si>
  <si>
    <t>1 unit Airconditioning unit, Floor Mounted 3.0 TR for use in the Officeof the Governor		 (N-628-2020)</t>
  </si>
  <si>
    <t>Construction of Farm Ditch @ Brgy. Bandera</t>
  </si>
  <si>
    <t>Purchase &amp; Delivery of Janitorial &amp; Other Supplies for the Office of SPM Constante T. Oandasan</t>
  </si>
  <si>
    <t>CONSTRUCTION OF LINE CANAL</t>
  </si>
  <si>
    <t>Procurement of Synthetic Pesticides/Herbicides</t>
  </si>
  <si>
    <t>20GBD0042 -  PURCHASE OF SPARE PARTS FOR USE IN THE REPLACEMENT OF DEFECTIVE PARTS OF PHOTO COPIER MACHINE (INEO 227) ASSIGNED IN THE CONSTRUCTION, QUALITY ASSURANCE SECTION AND FINANCE SECTION</t>
  </si>
  <si>
    <t>PURCHASE OF MATERIALS – CONSTRUCTION OF SHORELINE PROTECTION – BRGY. POBLACION</t>
  </si>
  <si>
    <t>LCWD-2020-047 uPVC Pipes and Bends</t>
  </si>
  <si>
    <t>One (1) Lot Hiring of Professional Webinar Manager for the Conduct of Bangko Sentral ng Pilipinas’ (BSP) Financial Education Stakeholders Expo on 23 to 27 November 2020, as per BSP Terms of Reference</t>
  </si>
  <si>
    <t>Cellphone Card</t>
  </si>
  <si>
    <t>Food Provision for the Conduct of PRDP NPCO Management Committee Meeting (PRAS No. 2020-073 &amp; SH-026-2020)</t>
  </si>
  <si>
    <t>Reproduction of Quality Assurance Tools for Quarter 2</t>
  </si>
  <si>
    <t>To furnish labor and materials for painting of 164 pcs. Polo-Shirt, customized 	 (N-612-2020)</t>
  </si>
  <si>
    <t>2020 26TH PUBLIC BIDDING: PROCUREMENT OF VARIOUS MEDICAL EQUIPMENT</t>
  </si>
  <si>
    <t>PURCHASE AND DELIVERY OF FURNITURE FOR GMCH</t>
  </si>
  <si>
    <t>SUPPLY AND DELIVERY OF IT EQUIPMENT AND ACCESSORIES FOR VARIOUS LAW ENFORCEMENT AGENCIES</t>
  </si>
  <si>
    <t>INSTALLATION OF AIRCONDITIONING UNITS</t>
  </si>
  <si>
    <t>PURCHASE AND DELIVERY OF OTHER SUPPLIES AND MATERIALS FOR PGO-SDU</t>
  </si>
  <si>
    <t>Purchase of Electrical Supply</t>
  </si>
  <si>
    <t>SVP No. 2020-0007 PURCHASE OF ONE HUNDRED EIGHTY (180) PCS. MATTRESS</t>
  </si>
  <si>
    <t>RFQ - Procurement of Agricultural Supplies</t>
  </si>
  <si>
    <t>MEDICAL &amp; LABORATORY SUPPLIES</t>
  </si>
  <si>
    <t>Supply and Delivery of CAL Kit 5, Performance Verifier I &amp; II</t>
  </si>
  <si>
    <t>Const. of Fire Exit Stairs at Livelihood Training &amp; Productive Center Km. 2 Brgy. Luna, Surigao City.</t>
  </si>
  <si>
    <t>Supply and delivery of trapal (PR 488)</t>
  </si>
  <si>
    <t>PROCUREMENT OF MEDICAL SUPPLIES TO BE USE FOR SWAB AND RAPID TEST</t>
  </si>
  <si>
    <t>Construction &amp; Improvement of Various Infrastructure Projects</t>
  </si>
  <si>
    <t>OPSWD-NC-2020-0412 PR2020-0548 REQUEST FOR QUOTATION FOR THE PROCUREMENT OF DESKTOP COMPUTER, NETBOOK, AND PRINTERS</t>
  </si>
  <si>
    <t>Construction of Multipurpose Hall, Lutoban, Zamboanguita, Negros Oriental(S-173-2020)</t>
  </si>
  <si>
    <t>Purchase of  Materials for the Fabrication/Installation of Street Signs Mun. Road, Labason, ZN :</t>
  </si>
  <si>
    <t>IMPROVEMENT OF PARK/PLAZA AT BARANGAY ENCARNACION</t>
  </si>
  <si>
    <t>To Support the Logistical Requirements of 9FPAO,APAO,PA</t>
  </si>
  <si>
    <t>Procurement of Various Seeds, Planting Materials, Fertilizers, Various Pesticides &amp; Various Merchandise Lot 5 - Various Merchandise</t>
  </si>
  <si>
    <t>PURCHASE OF VARIOUS WATER MAINTENANCE FITTINGS</t>
  </si>
  <si>
    <t>PPE</t>
  </si>
  <si>
    <t>Pakyaw Labor/Construction of Farm Ditch @# Brgy. Bandera</t>
  </si>
  <si>
    <t>20CL0089 - Concreting of Galumayen Rd.,Brgy. Bangantalinga FMR,  Brgy. Bangantalinga,Iba, Zambales</t>
  </si>
  <si>
    <t>SUPPLY AND DELIVERY OF ONE (1) UNIT DRONE FOR AERIAL MONITORING</t>
  </si>
  <si>
    <t>Construction of Solar-Powered Street Light</t>
  </si>
  <si>
    <t>INVITATION TO BID FOR THE PROCUREMENT OF DRUGS AND MEDICINES FOR THE SENIOR CITIZENS OF BASCO</t>
  </si>
  <si>
    <t>Supply and Delivery of Construction Materials for the Rehabilitation of Lined Canal at Barangay Bulaon, City of San Fernando, Pampanga</t>
  </si>
  <si>
    <t>Establishment of Shed</t>
  </si>
  <si>
    <t>Canalization</t>
  </si>
  <si>
    <t>Supply and Delivery of Food Supplies for Malnutrition Feeding - MNAO</t>
  </si>
  <si>
    <t>Procurement of Grafted Jackfruit, Various Commercial Fertilizers and Agricultural Supplies Lot 1 - Grafted Jackfruit</t>
  </si>
  <si>
    <t>Procurement of Fixtures (Sliding Door/Fixed Glass)</t>
  </si>
  <si>
    <t>DELIVERY OF MATERIALS FOR THE INSTALLATION OF PARALLEL MAIN WATERLINE PIPES</t>
  </si>
  <si>
    <t>PHO-C-NC-2020-097 PR2020-113 REQUEST FOR QUOTATION FOR THE PROCUREMENT OF MEALS AND SNACKS</t>
  </si>
  <si>
    <t>For the Use of Dairy Cattle Project (20-07-76-A)</t>
  </si>
  <si>
    <t>PURCHASE OF ONE (1) SUBMERSIBLE PUMP</t>
  </si>
  <si>
    <t>Acquisition of Various Extension Support Services for Vegetables Techno-Demo &amp; Crops Production</t>
  </si>
  <si>
    <t>Procurement of Grafted Jackfruit, Various Commercial Fertilizers and Agricultural Supplies Lot 2 - Various Commercial Fertilizers</t>
  </si>
  <si>
    <t>Supply and Delivery of Hydoxypropymethylcellulose Viscoelastic 2% 3ml</t>
  </si>
  <si>
    <t>Cloud Server Setup and Hosting with Local backup HCI and Server with Pre-Installed HCI for UMAK Learning Management System (LMS)</t>
  </si>
  <si>
    <t>Construction of Fisherman's Wharf@ Poblacion Tibiao, Ant.</t>
  </si>
  <si>
    <t>PHO-NC-2020-161 REQUEST FOR QUOTATION FOR THE PROCUREMENT OF BASIC LIFE SUPPORT AMBULANCE</t>
  </si>
  <si>
    <t>SUPPLY AND DELIVERY OF T-SHIRT W/ PRINT FOR FULLY IMMUNIZED CHILD</t>
  </si>
  <si>
    <t>DELIVERY OF COVID 19 USE MEDICINE FOR RHU-1</t>
  </si>
  <si>
    <t>SUPPLY AND DELIVERY OF BRAND NEW DIGITAL DUPLICATOR</t>
  </si>
  <si>
    <t>Supply and Delivery of Construction Materials for Construction of Multi-Purpose Building ( Balay Tulugan) Phase II</t>
  </si>
  <si>
    <t>Supply and Delivery of Various Laboratory Equipment for Ospital ng Makati (6 Lots)</t>
  </si>
  <si>
    <t>Supply and Delivery of Diesel Fuel use for Construction/Rehab. of Local Roads.</t>
  </si>
  <si>
    <t>PURCHASE OF VARIOUS PUSH ONS</t>
  </si>
  <si>
    <t>Personal Care for PWD</t>
  </si>
  <si>
    <t>Supply and Delivery of Two (2) pairs Paddy Wheel for City Agriculture Office</t>
  </si>
  <si>
    <t>DRUG &amp; MEDICINES SUPPLIES</t>
  </si>
  <si>
    <t>Supply and Delivery of Adult Emergency and Transport Stretcher Beds</t>
  </si>
  <si>
    <t>Purchase of Office Supplies/ ICT Supplies/SE Furniture/ Mobile Load and Internet Load for Teachers</t>
  </si>
  <si>
    <t>Procurement of Goods for Vegetables Seeds</t>
  </si>
  <si>
    <t>SUPPLY, DELIVERY,WIRING AND COMMISSIONING OF DIESEL GENERATOR FOR THE NEW MUNICIPAL BUILDING</t>
  </si>
  <si>
    <t>Supply and Delivery of Medical Equipment for Autopsy</t>
  </si>
  <si>
    <t>Purchase of Office Supplies for the 3rd Quarter (July-September 2020) for District I, District II, and NHA Region X</t>
  </si>
  <si>
    <t>Repair and Maintenance of 5 Units of Cabinet Type Aircon at LCS Hall</t>
  </si>
  <si>
    <t>PROCUREMENT OF COVID-19 TESTING KITS</t>
  </si>
  <si>
    <t>PURCHASE OF PARTS OF BARANGAY VEHICLE</t>
  </si>
  <si>
    <t>Procurement of Grafted Jackfruit, Various Commercial Fertilizers and Agricultural Supplies Lot 3 - Various Agricultural Supplies</t>
  </si>
  <si>
    <t>Purchase of Janitorial Supplies in Various Offices of LGU POLANCO</t>
  </si>
  <si>
    <t>Construction of Covered Court /Quinabigan High School, Brgy. Quinabigan</t>
  </si>
  <si>
    <t>Supply and Delivery of Materials for the Cons't. of Improvement of Multi-Purpose Center in TLMNHS(Phase IV)</t>
  </si>
  <si>
    <t>THERMAL IMAGER CAMERA FOR COVID OPERATION</t>
  </si>
  <si>
    <t>Supply and Delivery of Anti HIV Reagent, Anti HCV Reagent, HBSAG Reagent and Syphillis Reagent</t>
  </si>
  <si>
    <t>Purchase of Office Equipment to be used in the ISA Room</t>
  </si>
  <si>
    <t>1 unit Safety Vault</t>
  </si>
  <si>
    <t>Supply &amp; Delivery of Catering Services-Meals &amp; Snacks for Peace and Order activity</t>
  </si>
  <si>
    <t>Procurement of Electrical Equipment RFQ No. 516</t>
  </si>
  <si>
    <t>T-Shirts &amp; Face Mask with Print re- Special Program for Employment of Students (SPES) c/o MO-CA/PESO</t>
  </si>
  <si>
    <t>Purchase of Municipal Employees’ Nutritional Package-Relief Assistance due to Covid-19</t>
  </si>
  <si>
    <t>Supply and Delivery of Digital Camera Accessories for the use of City Information Office</t>
  </si>
  <si>
    <t>CMO- PIPES FOR THE ACCESS TO POTABLE WATER OF 31 BARANGAY (3RD &amp; 4TH QUARTER)</t>
  </si>
  <si>
    <t>PURCHASE OF 13 PCS AUTOMATIC AIR RELEASE VALVE 1"</t>
  </si>
  <si>
    <t>SUPPLY AND DELIVERY OF FUEL (GASOLINE) FOR SANGGUNIANG PANLUNGSOD OFFICE</t>
  </si>
  <si>
    <t>Purchase &amp; Delivery of Drugs &amp; Medicines for GMCH (Re-bid)</t>
  </si>
  <si>
    <t>Purchase &amp; Delivery of Various Medical Supplies  for GMCH (Re-bid)</t>
  </si>
  <si>
    <t>Hospital Equipment</t>
  </si>
  <si>
    <t>PURCHASE OF 4,500 PCS OF PE PIPE 1/2 (WITH METER MARKER) HDPE, SDR 11, BLUE FOR POTABLE WATER, PNS ISO 4227:2002, PN 16</t>
  </si>
  <si>
    <t>Procurement of Medical Equipment and Supplies to be used in the Municipal Health Office.</t>
  </si>
  <si>
    <t>Procurement of Fertilizers</t>
  </si>
  <si>
    <t>Procurement of Services - Professional / Consulting Fee for the Conduct of IQA</t>
  </si>
  <si>
    <t>REPRODUCTION OF LEARNER'S MODULE (GRADE 7- GRADE 12) OF PEDRO "OLOY" N. ROA SR. HIGH SCHOOL</t>
  </si>
  <si>
    <t>Construction of Water Facility of Tanagan Elementary School</t>
  </si>
  <si>
    <t>Procurement of Fire Safety Inspection Forms/ISO Format</t>
  </si>
  <si>
    <t>Supply and Delivery of Materials use for Construction/Rehab. of Local Roads.</t>
  </si>
  <si>
    <t>INVITATION TO BID FOR THE PROCUREMENT OF MATERIALS FOR THE REPAIR AND MAINTENANCE OF MUNICIPAL BUILDING</t>
  </si>
  <si>
    <t>Purchase &amp; Delivery of Medicines for Maasim MH  (Re-bid)</t>
  </si>
  <si>
    <t>Supply and Delivery of Medical Equipments for Veterinary Services (Biological Refrigerator – Dry Heat Sterilizer Stainless)</t>
  </si>
  <si>
    <t>Procurement on Delivery of Materials for Concreting of Barangay Road &amp; Construction of Line Canal</t>
  </si>
  <si>
    <t>CMO- BURIAL MATERIALS FOR BURIAL ASSISTANCE 4TH QUARTER 2020</t>
  </si>
  <si>
    <t>SELF-LEARNING MODULES</t>
  </si>
  <si>
    <t>Supply and Delivery of Brand New Motorcycles for Makati City Jail and Public Safety Department</t>
  </si>
  <si>
    <t>Procurement of CCTV for Tarlac Provincial Hospital, COncepcion District Hospital, Gilberto O. Teodoro Memorial Hospital and Congressman Enrique Henry M. Cojuangco Memoerial District Hospital.</t>
  </si>
  <si>
    <t>PMP-NC-2020-0400 PR2020-0526 REQUEST FOR QUOTATION FOR THE PROCUREMENT OF RADIATOR TANK, CUTTING EDGE, PLOW BOLTS, AND FAN BLADE</t>
  </si>
  <si>
    <t>20MA0132-Concreting of Brgy. Bulod FMR, Brgy. Bulod, Datu Paglas, Maguindanao</t>
  </si>
  <si>
    <t>FURNISHING AND DELIVERING LABOR AND MATERIALS FOR THE CONCRETING OF FARM-TO-MARKET ROAD, BRGY. BOBON 1ST, CAMILING, TARLAC</t>
  </si>
  <si>
    <t>PROCUREMENT OF CONSTRUCTION MATERIALS FOR THE CONSTRUCTION OF MP STALLS (1 LOT), BRGY. 9, PUBLIC MARKET, MALAYBALAY CITY.</t>
  </si>
  <si>
    <t>Supply and Delivery of UF Cellsheath, 20L and Other Medical Supplies</t>
  </si>
  <si>
    <t>Supply and delivery of various farm inputs and agricultural supplies for buffer stock (PR 179)</t>
  </si>
  <si>
    <t>Supply &amp; Delivery of IT Equipment &amp; /software with accessories</t>
  </si>
  <si>
    <t>Construction of Sanitary Landfill (Phase II) Brgy. Maningcol</t>
  </si>
  <si>
    <t>Procurement of Feeds, Fertilizers and Pesticides for Intensive Tilapia Hatchery (Tank-Based System), Province of Aklan/ITB no: 2020-441</t>
  </si>
  <si>
    <t>Purchase and Delivery of Supplies for Livestock and Poultry Raising Multiplier Farm Rehabilitation Program</t>
  </si>
  <si>
    <t>Laboratory Supplies &amp; Reagents</t>
  </si>
  <si>
    <t>Supply, Delivery and Installation of Furnitures and Fixtures for Councilor’s Offices at 19F – 20F, Makati City Hall Building I</t>
  </si>
  <si>
    <t>Supply and Delivery of Hardware Materials for the Construction of Secondary Line at Sitio Sagpat, Barangay Poblacion, Calayan, Province of  Cagayan.</t>
  </si>
  <si>
    <t>Purchase &amp; Delivery of Various Drugs &amp; Medicines  for DCMMH (Re-bid)</t>
  </si>
  <si>
    <t>Supply and Delivery of Thermal Scanners and Megger Testers</t>
  </si>
  <si>
    <t>Vehicle Parts &amp; Accessories</t>
  </si>
  <si>
    <t>CATERING SERVICES FOR VARIOUS PROGRAMS AND ACTIVITIES OF THE CITY</t>
  </si>
  <si>
    <t>Supply and Delivery of Airconditioning Units</t>
  </si>
  <si>
    <t>IMPROVEMENT OF BARANGAY HALL</t>
  </si>
  <si>
    <t>PROCUREMENT OF MULTI-VITAMINS</t>
  </si>
  <si>
    <t>Replacement of DENR Homestay Building Roofing, Ceiling and Doors</t>
  </si>
  <si>
    <t>REPRODUCTION OF LEARNING ACTIVITY SHEETS FOR WEEK 1 QUARTER 1</t>
  </si>
  <si>
    <t>CONCRETING OF CAMBISAY ROAD, BARANGAY SORIANO</t>
  </si>
  <si>
    <t>Repair &amp; Improvement of Mini Market @ Brgy. Zone 6, Cadiz City</t>
  </si>
  <si>
    <t>Supply and Delivery of Vehicle Tire</t>
  </si>
  <si>
    <t>CONSTRUCTION OF HANDRAIL</t>
  </si>
  <si>
    <t>Supply and delivery of office Supplies</t>
  </si>
  <si>
    <t>INSTALLATION OF SOLAR LIGHTS</t>
  </si>
  <si>
    <t>INSTALLATION/IMPROVEMENT OF WASH STAND &amp; SCHOOL PERIMETER FENCE (6 SPANS)</t>
  </si>
  <si>
    <t>20-014 Bidding of Supply and Delivery of Grocery Items for Stockpile</t>
  </si>
  <si>
    <t>ISANG LAPIS, ISANG PAPEL</t>
  </si>
  <si>
    <t>Development of DENR Wasay Ranger Station located at So. Wasay, Brgy. Minoyan, Murcia, Negros Occidental</t>
  </si>
  <si>
    <t>Concreting of Liangan-Camp I-Mahayahay Provincial Road</t>
  </si>
  <si>
    <t>For the operational use during COVID 19 in this municipality</t>
  </si>
  <si>
    <t>CMO/BAC- SUPPLY, FABRICATION AND DELIVERY OF CABINET WITH GLASS DOOR</t>
  </si>
  <si>
    <t>PROCUREMENT OF KNAPSACK DISINFECTION SPRAYER IN RELATION TO DEVELOPMENT AND ENHANCEMENT OF CONTINGENCY PLAN FOR COVID-19</t>
  </si>
  <si>
    <t>20BD0138 - CONSTRUCTION OF FOUR (4) STOREY, TWELVE (12) CLASSROOMS (WITH 4 REGULAR CLASSROOMS, 2 SCIENCE LABS AND 2 ICT LABS) LINAO NATIONAL HIGH SCHOOL, TUGUEGARAO CITY, CAGAYAN</t>
  </si>
  <si>
    <t>Procurement of Waste Segregation Box</t>
  </si>
  <si>
    <t>Improvement of water Supply System</t>
  </si>
  <si>
    <t>PURCHASE OF LABORATORY SUPPLIES</t>
  </si>
  <si>
    <t>156.2020 ADDITIONAL FIRST QUARTER SUPPLIES</t>
  </si>
  <si>
    <t>SUPPLY AND DELIVERY OF IT EQUIPMENT AND ACCESSORIES FOR VARIOUS OFFICES</t>
  </si>
  <si>
    <t>Procurement of Construction Materials for Establishment of Dumpsite</t>
  </si>
  <si>
    <t>Repair of DENR Ranger Station Roofing , Ceiling, Doors and Door Jam located at So. Guintubdan, Brgy. Ara-al, La Carlota City, Negros Occidental</t>
  </si>
  <si>
    <t>CMO- CONSTRUCTION MATERIALS FOR THE SECURITY DETACHMENT (OUTPOST) AT BRGY. LOURDES, VALENCIA CITY</t>
  </si>
  <si>
    <t>Repair and Development of DENR Information Center located at So. Guintubdan, Brgy. Ara-al, La Carlota City, Negros Occidental</t>
  </si>
  <si>
    <t>UHF Base Transciever ( Digital),  Rental</t>
  </si>
  <si>
    <t>20BD0139 - CONSTRUCTION OF TWO (2) STOREY SIX (6) CLASSROOM, LIBAG ELEMENTARY SCHOOL, TUGUEGARAO CITY</t>
  </si>
  <si>
    <t>Provision of Material Recovery Facility</t>
  </si>
  <si>
    <t>Supply of labor, tools and materials for the certification/calibration of the following lab equipment by ISO/IEC17025 accredited calibration lab</t>
  </si>
  <si>
    <t>FURNISHING AND DELIVERING LABOR AND MATERIALS FOR THE CONCRETING OF BARANGAY ROAD, BRGY. TUEC, CAMILING, TARLAC</t>
  </si>
  <si>
    <t>Procurement of Goods for Furnitures</t>
  </si>
  <si>
    <t>Representation Expenses (CEISS-PhP284,134.12)</t>
  </si>
  <si>
    <t>Purchase of 2 sets 2 seater office cubicle/partition &amp; 4 set 1 seater office cubicle/partition w/office chair</t>
  </si>
  <si>
    <t>CONCRETING OF RUPAGAN-PAGAYAWAN PROVINCIAL ROAD Sta. 1+778.63 -Sta. 3+770.00</t>
  </si>
  <si>
    <t>Procurement of Medical, Dental &amp; Laboratory Supplies</t>
  </si>
  <si>
    <t>20MA0133-Concreting of Brgy. Kitango to Brgy. Udsudan (Phase II) FMR, Brgy. Kitango and Brgy. Udsudan, Datu Saudi – Ampatuan, Maguindanao</t>
  </si>
  <si>
    <t>vehicle parts and accessories</t>
  </si>
  <si>
    <t>Supply of labor, tools and materials   for the repair of biofreezer</t>
  </si>
  <si>
    <t>FURNISHING AND DELIVERING LABOR AND MATERIALS FOR THE CONCRETING OF BARANGAY ROAD, BRGY. SINILIAN 1ST, CAMILING, TARLAC</t>
  </si>
  <si>
    <t>IT Printer</t>
  </si>
  <si>
    <t>Procurement of supplies of partition to be used in the additional space of the Regional Office</t>
  </si>
  <si>
    <t>One (1) unit Chest Type Freezer for the Office of the City Mayor - CDRRMC</t>
  </si>
  <si>
    <t>Fabrication of Road Safety Signages @ City Proper, Cadiz City</t>
  </si>
  <si>
    <t>Construction Materials for the Concreting of City Roads / Streets from JCT. Nat’l  Highway – Shell Station going to City Lodge, Purok 11, Abadilla Subd., Brgy. Poblacion</t>
  </si>
  <si>
    <t>Supply and Delivery of Other Supplies to be used in the Operation of Slaughter House, Naujan, Oriental Mindoro</t>
  </si>
  <si>
    <t>Procurement of supplies and materials</t>
  </si>
  <si>
    <t>REPAIR/REHABILATION OF BARANGAY HALL</t>
  </si>
  <si>
    <t>20CSJ004 - Parcellary/Segregation Survey of the Lots Affected by the Road Right-of-Way (RROW) of the Road Widening along Isabela-Lamitan Road (K4+000 - K8+000)</t>
  </si>
  <si>
    <t>Development of DENR Information Center phase 2 located at So. Guintubdan, Brgy. Ara-al, La Carlota City, Negros Occidental</t>
  </si>
  <si>
    <t>Procurement of Reproduction of Self-Learning Modules of Bariw National High School</t>
  </si>
  <si>
    <t>Consulting Services for the Preparation of Protected Area Suitability Assessment (PASA) Report of Malagos Protected Landscape</t>
  </si>
  <si>
    <t>FURNISHING AND DELIVERING LABOR AND MATERIALS FOR THE CONCRETING OF BARANGAY ROAD, BRGY. BANCAY 1ST, CAMILING, TARLAC</t>
  </si>
  <si>
    <t>Supply &amp; Installation of 32 Channel &amp; NVR &amp; 3 Output Monitoring Station</t>
  </si>
  <si>
    <t>CONCRETING OF MAIGO-MENTRING-INOMA PROVINCIAL ROAD Sta. 5+237.00 -Sta. 6+007.40; Sta. 6+914.24 – Sta. 10+470.00</t>
  </si>
  <si>
    <t>Office supplies and consumables</t>
  </si>
  <si>
    <t>20MA0134-Concreting of Sitio Pinaginuman, Brgy. Elian to Sitio Kapulen, Brgy. Gawang  FMR, Brgy. Elian and Brgy. Gawang, Datu Saudi – Ampatuan, Maguindanao</t>
  </si>
  <si>
    <t>(PLO)  REQUEST FOR QUOTATION (RFQ) For the Procurement of Office Supplies ( 3rd Quarter) For the Provincial Legal Office (PLO)</t>
  </si>
  <si>
    <t>SUPPLY &amp; DELIVERY OF IT EQUIPMENT &amp; SUPPLIES FOR VARIOUS OFFICES</t>
  </si>
  <si>
    <t>Procurement of Various Information Technology Equipment &amp; Construction Supplies Lot 2 - Various Construction Materials</t>
  </si>
  <si>
    <t>Supply and delivery of Laptop</t>
  </si>
  <si>
    <t>Procurement of one unit Mini-Ambulance</t>
  </si>
  <si>
    <t>Anti-Termite Control</t>
  </si>
  <si>
    <t>FURNISHING AND DELIVERING LABOR AND MATERIALS FOR THE CONCRETING OF FARM-TO-MARKET ROAD, BRGY. PAO 1ST, CAMILING, TARLAC</t>
  </si>
  <si>
    <t>FURNISHING AND DELIVERING LABOR AND MATERIALS FOR THE CONCRETING OF BARANGAY ROAD, BRGY. ANOLING 1ST, CAMILING, TARLAC</t>
  </si>
  <si>
    <t>Supply &amp; Delivery of Other Supplies and Materials in Response to COVID -19 Pandemic  ( Preparedness)</t>
  </si>
  <si>
    <t>Supply and Delivery of Mug with Print for the use of Office of the Local Chief Executive</t>
  </si>
  <si>
    <t>Procurement of Printing of Learners Module of Villahermosa National High School</t>
  </si>
  <si>
    <t>OK SA DEPED SERVICES IN THE DIVISION AND SCHOOLS</t>
  </si>
  <si>
    <t>20MA0137-Concreting of Brgy. Pandan FMR, Brgy. Pandan, South Upi, Maguindanao</t>
  </si>
  <si>
    <t>REPAIR/REHABILATION OF DAY CARE CENTER</t>
  </si>
  <si>
    <t>(PGSO)  	  3rd REQUEST FOR QUOTATION (RFQ) For the Procurement of Construction Materials (III) (Improvement of LMET Guard Post) For the Provincial General Services Office (PGSO)</t>
  </si>
  <si>
    <t>Supply of All-in-one desktop computer unit</t>
  </si>
  <si>
    <t>Supply and Delivery of Materials for the Printing of Test Paper of Various High Schools</t>
  </si>
  <si>
    <t>Supply and Delivery of Raincoat and Jacket for the use of ABAKA and PNP Santa Rosa</t>
  </si>
  <si>
    <t>Supply &amp; Delivery of Various Medicine</t>
  </si>
  <si>
    <t>Supply and Delivery of Agricultural Equipment for City Agriculture Office</t>
  </si>
  <si>
    <t>Paper Shredder</t>
  </si>
  <si>
    <t>CONSTRUCTION OF FOOT BRIDGE</t>
  </si>
  <si>
    <t>PROCUREMENT AND DELIVERY OF TOUCH SCREEN LCD WIFI TYPE STANDING SCREEN</t>
  </si>
  <si>
    <t>Purchase of Brass Fittings</t>
  </si>
  <si>
    <t>Rice Production Project</t>
  </si>
  <si>
    <t>20CSJ005 - Parcellary/Segregation Survey of the Lots Affected by the Road Right-of-Way (RROW) of Ipil Diversion Road Phase 5-6 at Brgy. Bangkerohan - Sanito - Pangi Sections, Ipil, Zamboanga Sibugay (</t>
  </si>
  <si>
    <t>2020-08-684</t>
  </si>
  <si>
    <t>Supply and Delivery of Diesel for the Rehabilitation of Cabudadan Road at Barangay Cabudadan, Calayan, Province of  Cagayan.</t>
  </si>
  <si>
    <t>20DJ0099 (Re-advertised) LOCAL PROGRAM, Construction/Repair/Rehabilitation/Improvement of Various Infrastructure including Local Projects, Rehabilitation of Multi-Purpose Building in Barangay Silangan</t>
  </si>
  <si>
    <t>20MA0136-Concreting of Sitio Sucob to Sitio Saramuray (Phase I), Brgy. Pilar FMR,   Brgy. Pilar, South Upi, Maguindanao</t>
  </si>
  <si>
    <t>Supply and Delivery of Medical Supplies (Helix Test 5.3-MIS Detergent) through Ordering Agreement</t>
  </si>
  <si>
    <t>To Support the Logistical Requirements of 4MECH,MID,PA</t>
  </si>
  <si>
    <t>Construction of One (1) Storey Four (4) Classroom Sagay CS</t>
  </si>
  <si>
    <t>DNA Sequencing with Sample Purification, PR# 2020-07-1702</t>
  </si>
  <si>
    <t>Supply and Delivery of Various Office Equipment and Supplies for Various Departments/Offices of City Government of Makati</t>
  </si>
  <si>
    <t>PW-2020-10</t>
  </si>
  <si>
    <t>For the use of maintenance Section.</t>
  </si>
  <si>
    <t>FURNISHING AND DELIVERING LABOR AND MATERIALS FOR THE CONCRETING OF FARM-TO-MARKET ROAD, BRGY. MALACAMPA, CAMILING, TARLAC</t>
  </si>
  <si>
    <t>Supply and Delivery of Medical Supplies (Implantable Access Port System – Power Injectable Safety Non-Coring Needle) through Ordering Agreement</t>
  </si>
  <si>
    <t>(SP-VG) 3rd REQUEST FOR QUOTATION (RFQ) For the Procurement of Janitorial Supplies (1st Quarter) For the Sangguiang Panlalawigan –VG (SP-VG)</t>
  </si>
  <si>
    <t>Ligtas COVID-19 Isolation Building</t>
  </si>
  <si>
    <t>Purchase of G.I. Fittings and Other Fittings</t>
  </si>
  <si>
    <t>20MA0138-Concreting of Brgy. Oring FMR, Brgy. Oring, Buldon, Maguindanao</t>
  </si>
  <si>
    <t>PURCHASE OF OFFICE EQUIPMENT FOR HRMO</t>
  </si>
  <si>
    <t>Concrete Pavement and Rehabilitation of Drainage Canal</t>
  </si>
  <si>
    <t>Procurement of Materials for the Construction of Drainage System along Ocampo St. both sides and General Emilio Aguinaldo-Rajah Sulaiman Lamitan City</t>
  </si>
  <si>
    <t>Installation of Ten (10) Unit CCTV Camera located at Barangay Oogong, Santa Cruz, Laguna</t>
  </si>
  <si>
    <t>Supply and delivery of one (1) unit pick-up type vehicle for Engineering Office</t>
  </si>
  <si>
    <t>PPE for Frontliners</t>
  </si>
  <si>
    <t>Chicken Meat Production for Food Sufficiency amidst the threat of Covid-19 Pandemic</t>
  </si>
  <si>
    <t>Construction of Communal Comfort Room</t>
  </si>
  <si>
    <t>Supply and Delivery of Eco Bag for the use of Office of the Local Chief Executive</t>
  </si>
  <si>
    <t>Supply &amp; Delivery of Welfare Goods</t>
  </si>
  <si>
    <t>Procurement of Office Supplies and Equipment of Tabontabon Elementary School</t>
  </si>
  <si>
    <t>Purchase of Drugs and Medicines for the use of JCPJMH, Bataan</t>
  </si>
  <si>
    <t>Water Source Drilling at QPMC</t>
  </si>
  <si>
    <t>Procurement of Water Testing Reagent and Disinfectant,  IB No. SB-2020-029</t>
  </si>
  <si>
    <t>RFQ VARIOUS OFFICE SUPPLIES</t>
  </si>
  <si>
    <t>REQUEST FOR QUOTATION FOR NIA-SCIMO (2ND QUARTER)</t>
  </si>
  <si>
    <t>Purchase of Drugs and Medicines for the use of Bagac Community and Medicare Hospital, Bataan</t>
  </si>
  <si>
    <t>Establishment of Nursery &amp; Vegetable Production</t>
  </si>
  <si>
    <t>Agricultural Goat Production</t>
  </si>
  <si>
    <t>PROJECT NO. 2020-07-042: PROCUREMENT OF MATERIALS FOR REPRODUCTION OF MODULES</t>
  </si>
  <si>
    <t>Improvement of Hostel A at QWC</t>
  </si>
  <si>
    <t>Supply and Delivery of One (1) unit Multi Cultivator Power Tiller for City Agriculture Office</t>
  </si>
  <si>
    <t>Purchase of Agricultural and Marine Supplies(GAD)</t>
  </si>
  <si>
    <t>(SP-BM)  2nd REQUEST FOR QUOTATION (RFQ) For the Procurement of Vehicle Parts (II) for BM Elma Pinao-An Lejao For the Sangguiang Panlalawigan –BM (SP-BM)</t>
  </si>
  <si>
    <t>AUTOMATIC TRANSFER SWITCH (ATS)</t>
  </si>
  <si>
    <t>Supply and Delivery of Primers, PR Number 2020-07-1767 and 2020-03-0979</t>
  </si>
  <si>
    <t>Supply of fuel for the use of the RP Vehicles of the Office of the City Auditor, Kidapawan City</t>
  </si>
  <si>
    <t>Supply &amp; Delivery of Educational Materials &amp; Supplies for Brigada Eskwela 2020 (CMO).</t>
  </si>
  <si>
    <t>Rapid Diagnostic Test Kit for COVID-19</t>
  </si>
  <si>
    <t>Purchase of Drugs and Medicines for the use of Mariveles District Hospital, Bataan</t>
  </si>
  <si>
    <t>Supply and Delivery of Accountable forms</t>
  </si>
  <si>
    <t>FURNISHING OF LABOR, MATERIALS AND EQUIPMENT RENTALS FOR THE CORE LOCAL ACCESS ROAD (SUPA-CANSILAYAN CIRCUMFERENCIAL ROAD) AT BRGY. SUPA-CANSILAYAN, TIGBAUAN, ILOILO.</t>
  </si>
  <si>
    <t>Plain GI Sheet, Etc. - CapSU Mambusao</t>
  </si>
  <si>
    <t>Angle Bar, Etc - CapSU Dayao</t>
  </si>
  <si>
    <t>PR NO. MG-CEN20-003, TONER &amp; 2 OTHER ITEMS</t>
  </si>
  <si>
    <t>Construction of Leachate Treatment Facility for the Garbage open Dumpsite in Brgy. Bonbonon, Iliga City</t>
  </si>
  <si>
    <t>S1-BAL20-006 - SUPPLY OF LABOR AND MATERIALS FOR PCB TESTING OF TRANSFORMER OIL OF TRANSFORMER 1&amp;2.</t>
  </si>
  <si>
    <t>PURCHASE OF 3 UNITS SUBMERSIBLE MOTOR (15HP, 20HP, AND 25HP)</t>
  </si>
  <si>
    <t>Supply &amp; Delivery of Other Supplies  (Food Subsistence)</t>
  </si>
  <si>
    <t>Request for Quotation (CAD-2020-07-0324 Furniture)</t>
  </si>
  <si>
    <t>Catering Services for 3-Day Workshop Seminar</t>
  </si>
  <si>
    <t>HAULING OF RESIDUAL WASTE (Including loading cost and tipping fee)</t>
  </si>
  <si>
    <t>MG-PLM20-156 - FACE MASK, SURGICAL, 3-PLY, EAR LOOP, 50's &amp; 1 OTHER ITEM</t>
  </si>
  <si>
    <t>FURNISHING AND DELIVERING LABOR AND MATERIALS FOR THE CONCRETING OF IRRIGATION ROAD, BRGY. CAYASAN, CAMILING, TARLAC</t>
  </si>
  <si>
    <t>Rehabilitation Upgrading of Sangkol - San Jose Barangay Road, Dipolog City Zamboanga del Norte (Revised)-08-481(O)PEO</t>
  </si>
  <si>
    <t>PR NO. MG-IPP20-002, FUSER ASSEMBLY &amp; 3 OTHER ITEMS</t>
  </si>
  <si>
    <t>Venue Rental (without aircon) &amp; Catering Services for Refresher Course on the implementation of the Early Childhood Care &amp; Development Program (CSWDO).</t>
  </si>
  <si>
    <t>Lease of Airconditioning Units</t>
  </si>
  <si>
    <t>PRAS NO. 2020-08-070 CATERING SERVICES</t>
  </si>
  <si>
    <t>Procurement of Forage Chopper (PCC)</t>
  </si>
  <si>
    <t>BOND PAPER A4</t>
  </si>
  <si>
    <t>Procurement of Laboratory Supplies for TB Infection Control, IB No. SB-2020-032</t>
  </si>
  <si>
    <t>Medical and other Laboratory Supplies (FaceMask)</t>
  </si>
  <si>
    <t>Supply and Delivery of Various Laboratory Supplies (Pollen Project)</t>
  </si>
  <si>
    <t>Repainting of Member Service Area and Fabrication/Installation of Cut-Out Letters of SSS Tag Line for SSS Toril Branch</t>
  </si>
  <si>
    <t>PBG-2020-08-23 PROCUREMENT OF FURNITURE &amp; FIXTURE FOR CITY GOVERNMENT OF PAGADIAN USE.</t>
  </si>
  <si>
    <t>ITB No. (INF) 2020-08-115 CONSTRUCTION OF MULTI-PURPOSE BUILDING (PHASE I), Brgy. Palamrag, Mercedes, Eastern Samar</t>
  </si>
  <si>
    <t>Upgrading of Roads , Brgy. Panggulayan</t>
  </si>
  <si>
    <t>Purchase of one (1) unit Laptop</t>
  </si>
  <si>
    <t>PROCUREMENT OF OFFICE SUPPLIES (RHU)</t>
  </si>
  <si>
    <t>Printing of Modules</t>
  </si>
  <si>
    <t>PR 20-07-109</t>
  </si>
  <si>
    <t>10mm Steel Bar, Etc - CapSU Tapaz</t>
  </si>
  <si>
    <t>Procurement of Janitorial Supplies</t>
  </si>
  <si>
    <t>PR NO. MG-ISD20-045, TELECOMM BACKBONE</t>
  </si>
  <si>
    <t>S1-CUL20-013 - SUPPLY AND DELIVERY OF ROUTINARY SPAREPARTS FOR CUMMINS 600KW KTA38-G1 ENGINE.</t>
  </si>
  <si>
    <t>“CONSTRUCTION OF ISOLATION BUILDING/QUARANTINE AREA IN PAG-ASA ISLAND”</t>
  </si>
  <si>
    <t>Procurement of Portable Milking Machine (PCC)</t>
  </si>
  <si>
    <t>PROJECT NO. 2020-07-043: PROCUREMENT OF PRINTER AND INK FOR REPRODUCTION OF MODULES</t>
  </si>
  <si>
    <t>Construction of Promenade</t>
  </si>
  <si>
    <t>RSQ - OFFICE SUPPLIES AND EQUIPMENT FOR QUARTER 3</t>
  </si>
  <si>
    <t>Installation of 10,000 Gallons Capacity Stainless Water Tank and Main Pipelines for Public Grandstand, VIP Grandstand and other Facilities @ QPSTC</t>
  </si>
  <si>
    <t>MG-PLM20-158 - REPAINTING OF CONCRETE ROAD FROM MAIN GATE TO POWERHOUSE WITH AN ESTIMATED DISTANCE OF 2,600 METERS BOTH SIDES USING REFLECTORIZED PAINT</t>
  </si>
  <si>
    <t>Procurement of COVID 19 Swab Kit Set with Transport Media</t>
  </si>
  <si>
    <t>Supply &amp; Delivery of Materials for Repair and Maintenance of Building and Other Structures(Municipal Town Square)</t>
  </si>
  <si>
    <t>For TESDA Muntiparlastapat District Office use</t>
  </si>
  <si>
    <t>SUPPLY AND DELIVERY OF RESCUE EQUIPMENT</t>
  </si>
  <si>
    <t>Negotiated Procurement – (Two Failed Biddings) for the Consulting Services for the Review and Updating of the Study on the Fluctuation Factors (Ks) and Parametric Formula under the Revised Contract Pr</t>
  </si>
  <si>
    <t>Purchase and Delivering One (1) Unit Multi-Cab Vehicle located at Barangay Oogong, Santa Cruz, Laguna</t>
  </si>
  <si>
    <t>INVITATION TO BID FOR THE  SUPPLY AND DELIVERY  OF VARIOUS GENERATOR SETS -PR#12257,12268,12274,12278</t>
  </si>
  <si>
    <t>PR NO. MG-IPP20-005, CABINET FILING</t>
  </si>
  <si>
    <t>Supply of fuel and lubricants for the use of the RP Vehicles of the Office of the CGSO and maintenance of City Island and Parks, Kidapawan City</t>
  </si>
  <si>
    <t>ITB No. (INF) 2020-08-114 RENOVATION OF QUINAPONDAN COMMUNITY HOSPITAL, Quinapondan, Eastern Samar</t>
  </si>
  <si>
    <t>PR 20-07-108</t>
  </si>
  <si>
    <t>Supply/Delivery of 1 unit Unipolar Electrosurgical Cautery Unit</t>
  </si>
  <si>
    <t>Procurement of Ice Maker (PCC)</t>
  </si>
  <si>
    <t>SUPPLY AND DELIVERY OF CONSTRUCTION MATERIALS FOR REPAIR &amp; MAINT. OF OFFICE BUILDING (PLANT BOX &amp; ROOFLINE TO POWER HOUSE)</t>
  </si>
  <si>
    <t>Barangay Development Projects 20% Development Funds (Manpower Development ,Water Supply System &amp; Evacuation Center )</t>
  </si>
  <si>
    <t>1 unit PLASMA EXTRACTOR &amp; etc. for Bayawan District Hospital		 (N-623-2020)</t>
  </si>
  <si>
    <t>Improvement of Barangay Health Station</t>
  </si>
  <si>
    <t>Supply and Delivery of Office Supplies for official use of the Office of Coun. Rafael P. Campos</t>
  </si>
  <si>
    <t>Proccurement of Submersible Water Pump and Its Accessories</t>
  </si>
  <si>
    <t>(SP)  4th   REQUEST FOR QUOTATION (RFQ) For the Procurement of Office Supplies (1st Quarter) For the Sangguiang Panlalawigan  (SP)</t>
  </si>
  <si>
    <t>PROCUREMENT OF HANDHELD RADIO</t>
  </si>
  <si>
    <t>FURNISHING AND DELIVERING LABOR AND MATERIALS FOR THE CONCRETING OF BARANGAY ROAD, BRGY. CACAMILINGAN NORTE, CAMILING, TARLAC</t>
  </si>
  <si>
    <t>(DDH)   REQUEST FOR QUOTATION (RFQ) For the Procurement of Office Supplies  For the Dupax District Hospital (DDH)</t>
  </si>
  <si>
    <t>OXYGEN REGULATOR</t>
  </si>
  <si>
    <t>ITB NO. (GDS.) 2020-08-020 PROCUREMENT OF MEDICAL SUPPLIES, Province of Eastern Samar</t>
  </si>
  <si>
    <t>MG-PLM20-159 - CUTTING OF LEANING AND DEAD TREES WITH AN ESTIMATED VOLUME OF 5,100 BF NEAR TENNIS COURT, ENGR. CORDOBA AND MR. CAJES' QUARTER</t>
  </si>
  <si>
    <t>MOR2-2020-S-054 - (Re-Invitation) Procurement spare parts for the repair &amp; maintenance of the service vehicle, Toyota Hilux with plate no. SKC-934</t>
  </si>
  <si>
    <t>Procurement of Lubricated Male Condoms IB No. SB-2020-033</t>
  </si>
  <si>
    <t>Purchase of Customized Tumbler for official use of FMP-DENR R02</t>
  </si>
  <si>
    <t>PURCHASE OF PERSONAL PROTECTIVE EQUIPMENTs (PPEs)</t>
  </si>
  <si>
    <t>Rehabilition of Pilar Memorial Park at Bagumbayan, Pilar, Bataan</t>
  </si>
  <si>
    <t>SUPPLY AND DELIVERY OF 909 SACKS COMMERCIAL RICE</t>
  </si>
  <si>
    <t>2020-08-199</t>
  </si>
  <si>
    <t>PR NO. MG-RDW20-019, SCANNER/ PRINTER</t>
  </si>
  <si>
    <t>Construction of Ware House Building</t>
  </si>
  <si>
    <t>Acquisition of Sheep's</t>
  </si>
  <si>
    <t>MG-PTA20-017 - INK, CARTRIDGE, TONER, HP 305A, BLACK &amp; 3 OTHER ITEMS</t>
  </si>
  <si>
    <t>Construction of ASCOM Facilities at Camp Aquino, Tarlac for the Bases Conversion and Development Authority | PB No. 20-022-3</t>
  </si>
  <si>
    <t>Procurement of personal protective equipment/supplies and disinfectant solutions for the Office of the Sangguniang Bayan</t>
  </si>
  <si>
    <t>Purchase of Doxycycline for the Prevention of Leptospirosis Disease (RHU)</t>
  </si>
  <si>
    <t>74647_One (1) Lot Labor and Materials for Well Rehabilitation of PS No. 11</t>
  </si>
  <si>
    <t>PR NO. MG-TSE20-017,LAN SWITCH 24-PORT</t>
  </si>
  <si>
    <t>Supply &amp; Delivery of Materials for Repair and Maintenance of Building and Other Structures(DSWDO, Senior Citizen and Municipal Compound)</t>
  </si>
  <si>
    <t>CONDUCT OF SUBDIVISION SURVEY FOR NEW LANDS/COLLECTIVE CLOA UNDER RSS 23 - 1st posting</t>
  </si>
  <si>
    <t>MOR2-2020-S-055 - (Re-Invitation) Procurement spare parts for the repair &amp; maintenance of the service vehicle, Isuzu Fuego with plate no. SJJ-578</t>
  </si>
  <si>
    <t>FUEL GAS</t>
  </si>
  <si>
    <t>Construction of Daycare Center (Kabuling) Brgy. Limulan, Kalamansig, SK (20% DF Continuing)</t>
  </si>
  <si>
    <t>IMPROVEMENT OF BRGY.HALL (CONST. OF COMFORT ROOM &amp; KITCHEN @ BRGY. HALL),  BRGY. ABAR 1ST</t>
  </si>
  <si>
    <t>PROCUREMENT OF PHOTO COPIER</t>
  </si>
  <si>
    <t>Procurement of A4 size, 70gsm Bond Paper</t>
  </si>
  <si>
    <t>3 PHASE LINE EXTENSION &amp; TRANSFORMER INSTALLATION (10MT FLAKE ICE PLANT)</t>
  </si>
  <si>
    <t>Spillway Construction at Brgy. Canlinte</t>
  </si>
  <si>
    <t>Purchase of Airconditioning units for use of the different offices of the City Government of Laoag</t>
  </si>
  <si>
    <t>Fabrication/Installation of Barangay  Signages &amp; Markers at Barangay Santol, Tanauan City, Batangas</t>
  </si>
  <si>
    <t>Contract ID Number 20FD0074 REPAIR/MAINTENANCE  OF FLOOD CONTROL/ DRAINAGE STRUCTURES , BRGY. PANAYTAYAN, RAGAY, CAMARINES SUR</t>
  </si>
  <si>
    <t>Labor for the repair and maintenance of the forward white dump truck</t>
  </si>
  <si>
    <t>S1-NPS20-011 - SUPPLY AND DELIVERY OF POWER AND HANDTOOLS FOR NPSSTL &amp; 69KV TL.</t>
  </si>
  <si>
    <t>PR NO. MG-TSE20-005, INK (3 ITEMS)</t>
  </si>
  <si>
    <t>2020-08-198</t>
  </si>
  <si>
    <t>Procurement of Electro-Mechanical, Piping Distribution,Electrical,Water Treatment Facilities and Civil Works for the Construction of San Roque Pumping Station</t>
  </si>
  <si>
    <t>Local Access Road Concreting of Vasquez Street to Mayana Cemetery Road</t>
  </si>
  <si>
    <t>Supply and delivery of Medical, Dental and Laboratory Supplies</t>
  </si>
  <si>
    <t>Repainting of Corridors and Rubberized Floors of Bldg. 1082 &amp; 1085</t>
  </si>
  <si>
    <t>procurement of meals and snacks for the Mobile Blood Donation in Clustered (10) Barangays</t>
  </si>
  <si>
    <t>Construction Materials for the Improvement of Purok Center @ San Agustin, Talibon, Bohol</t>
  </si>
  <si>
    <t>INFRA PROJECT AUGUST 27, 2020</t>
  </si>
  <si>
    <t>REQUEST FOR QUOTATION SHOPPING OF (3 in 1) PHOTOCOPIER/SCANNER/PRINTER, LAPTOP, HARD DRIVE,  FLASH DRIVE AND PRINTER</t>
  </si>
  <si>
    <t>PROCUREMENT OF SECURITY SERVICES FOR CY 2020-2021</t>
  </si>
  <si>
    <t>MOR2-2020-S-065 - (Re-Invitation) Handwash Station</t>
  </si>
  <si>
    <t>S1-ADP20-015 - SUPPLY AND DELIVERY OF MECHANICAL SPARE PARTS FOR 163KW PERKINS.</t>
  </si>
  <si>
    <t>Electrical Lighting and Components</t>
  </si>
  <si>
    <t>Procurement of Liquid Chlorine for the third Quarter</t>
  </si>
  <si>
    <t>LCWD-2020-059 Fabrication of Polo Shirt for JO Workers</t>
  </si>
  <si>
    <t>Supply &amp; Delivery of PPEs</t>
  </si>
  <si>
    <t>Purchase of Vitamins for COVID - 19 ( re - bid )</t>
  </si>
  <si>
    <t>S1-END20-003 - SUPPLY AND DELIVERY OF MATERIALS, SUPPLIES FOR OFFICE EQUIPMENTS USE.</t>
  </si>
  <si>
    <t>CONCRETE  PAVING OF LIBERTAD-ARABIAT ROAD</t>
  </si>
  <si>
    <t>PROVIDE LABOR AND MATERIALS OF COMBI BLINDS AND INSTALLATION AT IPESR OFFICE</t>
  </si>
  <si>
    <t>Acquisition of Registered Seeds</t>
  </si>
  <si>
    <t>Construction of 2 Storey 4 Classroom School Building at Escaguit Elementary School, Sibulan, Negros Oriental</t>
  </si>
  <si>
    <t>PROCUREMENT OF VEGETABLE SEEDS AND FARM INPUTS SUPPLIES</t>
  </si>
  <si>
    <t>REPAIR/IMPROVEMENT OF WAITING SHED AT BRGY SAN ANDRES, VILLAREAL, SAMAR</t>
  </si>
  <si>
    <t>Procurement of Office Supplies and Consumables</t>
  </si>
  <si>
    <t>PROPOSED CONSTRUCTION OF NATIONAL CHILD DEVELOPMENT CENTER</t>
  </si>
  <si>
    <t>PBG-2020-08-24 PROCUREMENT OF SURPLUS GARBAGE COMPACTOR AND SURPLUS UTILITY VEHICLE WITH REFRIGERATED FREEZER VAN.</t>
  </si>
  <si>
    <t>Ecological Solid Waste Program (Construction of Structure for Equipment and Special Waste)</t>
  </si>
  <si>
    <t>PROCUREMENT OF RISOGRAPH MACHINES (FOR TALAKAG SCHOOLS DISTRICT I, II, AND III)</t>
  </si>
  <si>
    <t>Procurement for 10KVA Transformer</t>
  </si>
  <si>
    <t>PPO-19-1873-B (REBID)</t>
  </si>
  <si>
    <t>RFQ ADMIN 2020-08-038</t>
  </si>
  <si>
    <t>August Medicines</t>
  </si>
  <si>
    <t>S1-SVD20-008 - SUPPLY AND DELIVERY OF MATERIALS, SUPPLIES FOR TOP OVERHAULING OF UNIT NO. 4 500KW MAN-CXZ.</t>
  </si>
  <si>
    <t>74161_ Supply and Delivery of One (1) unit Laptop</t>
  </si>
  <si>
    <t>RFQ / 20-07-0425 / PROCUREMENT OF VARIOUS BATTERIES FOR THE 3RD AND 4TH QUARTERS OF 2020</t>
  </si>
  <si>
    <t>Supply &amp; Delivery of Animal/Zoological Supplies</t>
  </si>
  <si>
    <t>Delivery of Information &amp; Communication Technology (SVP 20-0931).</t>
  </si>
  <si>
    <t>Labor and materials for the Reblocking of Damage Carriage Way for the Repair of Water Main Line at National Road, Sitio Pahilanga, Brgy. Miranda, and National Road, Sitio Bocar, Brgy.Gargato, Hinigara</t>
  </si>
  <si>
    <t>Procurement of 2 units photo copier for Calabanga West District and East District</t>
  </si>
  <si>
    <t>August Toner</t>
  </si>
  <si>
    <t>IMPROVEMENT OF BARANGAY WHARF AT BARANGAY PACAO, VILLAREAL, SAMAR</t>
  </si>
  <si>
    <t>SCHOOL SOUND SYSTEM</t>
  </si>
  <si>
    <t>SUPPLY AND DELIVERY OF RISOGRAPHS FOR MUNICIPALITY OF LINGIG</t>
  </si>
  <si>
    <t>Procurement of, Digital Duplicator, Ink &amp; Supplies for Public Schools Elementary &amp; Secondary of Pinamalayan East &amp; Weast</t>
  </si>
  <si>
    <t>Invitation to Apply for Eligibility and to Bid (IAEB) for the Construction of 35 Units of Solar Stilt Dryers in Basilan and Sulu under FishCORAL Project, CY 2019</t>
  </si>
  <si>
    <t>Repair &amp; Maintenance of Building (979,000.00)</t>
  </si>
  <si>
    <t>Construction of Open Canal located at Sitio 4, Barangay Oogong, Santa Cruz, Laguna</t>
  </si>
  <si>
    <t>Procurement of Hospital Equipment,  IB No. SB-2020-036</t>
  </si>
  <si>
    <t>Procurement of Construction Materials and Supplies</t>
  </si>
  <si>
    <t>CONSTRUCTION OF DRAINAGE COVER AT BRGY TAYUD, VILLAREAL, SAMAR</t>
  </si>
  <si>
    <t>Procurement of Hybrid Yellow Corn Seeds</t>
  </si>
  <si>
    <t>CONSTRUCTION OF TOURIST ASSISTANCE CENTER, SITIO TABIONAN, BRGY. BUCARI, LEON, ILOILO</t>
  </si>
  <si>
    <t>Replacement of Serviceable parts, Fortuner P2y856 (SVP 20-0928).</t>
  </si>
  <si>
    <t>MOR2-2020-S-070 -  Procurement of Equipments for the Quality Assurance Section/Laboratory use</t>
  </si>
  <si>
    <t>Procurement of office equipment for the administrative use at the Office of the Municipal Engineer</t>
  </si>
  <si>
    <t>Agricultural and Forestry Equipment</t>
  </si>
  <si>
    <t>educational supplies and materials</t>
  </si>
  <si>
    <t>PURCHASE OF OFFICE SUPPLIES AND DEVICES FOR BONIFACIO CES</t>
  </si>
  <si>
    <t>Procurement of Garments</t>
  </si>
  <si>
    <t>Supply of labor and materials in the Construction of Conference Room, Roof Deck, TBI Building</t>
  </si>
  <si>
    <t>Concreting of Front Yard at LTO</t>
  </si>
  <si>
    <t>Supply and Delivery of Timolol Maleate 0.5% 5ml and Tropicamide 0.5%</t>
  </si>
  <si>
    <t>Delivery and Supply of Commonly-Use Supplies and Equipment</t>
  </si>
  <si>
    <t>PURCHASE OF COLOR ELECTRONIC DIGITAL BASKETBALL SCOREBOARD</t>
  </si>
  <si>
    <t>Concreting of Municipal Road in Sitio  Libis</t>
  </si>
  <si>
    <t>Purchase of Materials for Installation of Service Transformer and Rehabilitation of Electrical Connection of Service Entrance at Daan Banwa Elementary School, Brgy IX, Victorias City</t>
  </si>
  <si>
    <t>August Supplies Hardrive</t>
  </si>
  <si>
    <t>LCWD-2020-060 LCWD I.D. Cards with Lanyards and Passport Size Picture</t>
  </si>
  <si>
    <t>Construction of Daycare Center Taytay</t>
  </si>
  <si>
    <t>Supply and delivery of Various Office Supplies</t>
  </si>
  <si>
    <t>MOR2-2020-S-069 -  Procurement of Safety Shoes for the Quality Assurance Section/Laboratory use</t>
  </si>
  <si>
    <t>PURCHASE OF OFFICE SUPPLIES FOR BONIFACIO CES</t>
  </si>
  <si>
    <t>Delivery of ICT EQUIPMENT FOR OFFICE USE (SVP 20-0924).</t>
  </si>
  <si>
    <t>ESTABLISHMENT OF READING CENTER</t>
  </si>
  <si>
    <t>Repair/Renovation of MSB Building and Construction of Green Park and Car Park</t>
  </si>
  <si>
    <t>INVITATION TO BID FOR THE PROCUREMENT OF MATERIALS FOR THE REHABILITATION OF MUNICIPAL BUILDING-STAIRS AND HALLWAY</t>
  </si>
  <si>
    <t>Pag-IBIG Fund-CHQ (PROVISION OF PEST CONTROL AND DISINFECTION SERVICES)</t>
  </si>
  <si>
    <t>MOR2-2020-S-071 -  Procurement of Infrared Body Temperature Detector for COVID-19 prevention measure in MOSDEO</t>
  </si>
  <si>
    <t>FURNISHING AND DELIVERING LABOR AND MATERIALS FOR THE RENOVATION OF FRONT PERIMETER FENCE &amp; GATE (SCHOOL &amp; HEALTH CENTER), BRGY. BIRBIRA, CAMILING, TARLAC</t>
  </si>
  <si>
    <t>FURNISHING OF LABOR, MATERIALS AND EQUIPMENT RENTALS FOR THE CONCRETING OF LEON-OMAMBONG-CORDOVA ROAD, TIGBAUAN, ILOILO.</t>
  </si>
  <si>
    <t>PURCHASE OF PROJECTOR</t>
  </si>
  <si>
    <t>S1-CUL20-008  -  SUPPLY AND DELIVERY OF MATERIALS AND EQUIPMENTS FOR OPERATION AND MAINTENANCE USE.</t>
  </si>
  <si>
    <t>SUPPLY &amp; DELIVERY OF TRANSPORT VEHICLE (PASSENGER VAN) FOR SANGGUNIANG BAYAN OFFICE</t>
  </si>
  <si>
    <t>Completion of Comfort Room Passenger Terminal</t>
  </si>
  <si>
    <t>Supply and Delivery of I.T. Accessories</t>
  </si>
  <si>
    <t>PPO-20-0936-B</t>
  </si>
  <si>
    <t>Purchase of Kitchen Utensils</t>
  </si>
  <si>
    <t>PROCUREMENT OF COMMERCIAL RICE FOR PNP ASSIGNED IN CHECKPOINTS</t>
  </si>
  <si>
    <t>Semi Expendable ICT Equipment (100,000.00)</t>
  </si>
  <si>
    <t>CONSTRUCTION OF CONCRETE PATHWAY AT SITIO SUNGDUAN, BRGY MAHAYAG, VILLAREAL, SAMAR</t>
  </si>
  <si>
    <t>Supply/Delivery of Drugs and Medicines</t>
  </si>
  <si>
    <t>S1-PWN20-036 - SUPPLY AND DELIVERY OF AUTOMATIC VOLTAGE REGULATOR (AVR) R250, D510C.</t>
  </si>
  <si>
    <t>SUPPLY AND DELIVERY OF CLEARING MATERIALS</t>
  </si>
  <si>
    <t>Bond paper (A4 S-20) for the reproduction of Self-Learning Modules for Quarter 1</t>
  </si>
  <si>
    <t>Procurement of Food Stuff</t>
  </si>
  <si>
    <t>CSR SUPPLIES (PR#20-07-70697)</t>
  </si>
  <si>
    <t>Third Quarter MOOE Supplies 2020</t>
  </si>
  <si>
    <t>PURCHASE OF OFFICE EQUIPMENT PART AND ACCESSORIES</t>
  </si>
  <si>
    <t>GOODS-082620-046 - PURCHASE OF VARIOUS MATERIALS FOR VGO AND BM’S OFFICES</t>
  </si>
  <si>
    <t>Medical Dental &amp; Laboratory Supplies Expenses (405,128.43)</t>
  </si>
  <si>
    <t>SUPPLY AND DELIVERY OF MODEM, WIFI</t>
  </si>
  <si>
    <t>Supply &amp; Delivery of Other Supplies</t>
  </si>
  <si>
    <t>SUPPLY AND DELIVERY OF CONSOLIDATED LAPTOP &amp; COMPUTER DESKTOP</t>
  </si>
  <si>
    <t>GENERATOR SET FOR ADMIN</t>
  </si>
  <si>
    <t>PURCHASE OF 50 PCS NBS FILTER CARDS</t>
  </si>
  <si>
    <t>SUPPLY AND DELIVERY OF PLANTING MATERIALS</t>
  </si>
  <si>
    <t>Supply &amp; Delivery of Materials for Repair and Maintenance of Heavy Equipments</t>
  </si>
  <si>
    <t>Supply and Delivery of column Reservoir and Flow adaptor</t>
  </si>
  <si>
    <t>Hospital/Medical Equipment for use of OMSDH/ for the Covid &amp; Non Covid patients of OMSDH</t>
  </si>
  <si>
    <t>Replacement, repair and maintenance of main and secondary CIRCUIT BREAKERS at Pasay City Public Market (RFQ2020-08-123)</t>
  </si>
  <si>
    <t>IMPROVEMENT OF BARANGAY ROAD (ROAD CONCRETING) AT BRGY PATAG, VILLAREAL, SAMAR</t>
  </si>
  <si>
    <t>Security Surveillance and Detection Equipment</t>
  </si>
  <si>
    <t>Construction of Drainage System at Zone 1, Tumaga, Zamboanga City</t>
  </si>
  <si>
    <t>One (1) Lot Disinfection and Sanitation Works</t>
  </si>
  <si>
    <t>PURCHASE OF 50 PCS TOILET BOWL</t>
  </si>
  <si>
    <t>PPO-20-0937-B (OFFICE EQUIPMENT)</t>
  </si>
  <si>
    <t>GOODS-082620-047 - PURCHASE OF VARIOUS OFFICE AND INK SUPPLIES FOR BM’S OFFICES AND VGO</t>
  </si>
  <si>
    <t>Purchase of Various Food Stuff and Grocery Items to be Served as Meals during the Conduct  of Training on the Management of Fall Army Worm of the Municipal Agriculture's Office</t>
  </si>
  <si>
    <t>S1-SVD20-013 - ROLL-UP DOORS AS PER DIMENSION AND FREE INSTALLATIONS PACKAGES.</t>
  </si>
  <si>
    <t>Engagement of Partners to Support NEw Learning Management System</t>
  </si>
  <si>
    <t>Supply and Installation of Flag Holder</t>
  </si>
  <si>
    <t>Purchase and Delivery of Cover All and Mask Set for Front Liners</t>
  </si>
  <si>
    <t>FURNISHING AND DELIVERING LABOR AND MATERIALS FOR THE CONCRETING OF BARANGAY ROAD, BRGY. SINILIAN CACALIBOSOAN, CAMILING, TARLAC</t>
  </si>
  <si>
    <t>Construction of Daycare Center (Kabuling)(20% DF Continuing)</t>
  </si>
  <si>
    <t>Delivery of ICT Equipment for Office Use (SVP 20-0923).</t>
  </si>
  <si>
    <t>Delivery of Spareparts for Motorcycle( SVP 20-0930).</t>
  </si>
  <si>
    <t>20JA0094 - CONSTRUCTION OF FOUR (4) STOREY TWENTY (20) CLASSROOM SCHOOL BUILDING – PHASE 1 AT ZNHS WEST – BALIWASAN SENIOR HIGH SCHOOL, ZAMBOANGA CITY</t>
  </si>
  <si>
    <t>EBMS -BULB, LED, 15 WATTS (3RD POSTING)</t>
  </si>
  <si>
    <t>Furniture accessories for PO DCDS office - safety measures against COVID 19 Pandemic</t>
  </si>
  <si>
    <t>PRINTING AND INFORMATION AND COMMUNICATION TECHNOLOGY (ICT) EQUIPMENT FOR VARIOUS SCHOOL OF BALIWAG NORTH DISTRICT</t>
  </si>
  <si>
    <t>Improvement of Old RHU Building</t>
  </si>
  <si>
    <t>FURNISHING AND DELIVERING LABOR AND MATERIALS FOR THE ROAD WIDENING OF BARANGAY ROAD, BRGY. BACSAY, CAMILING, TARLAC</t>
  </si>
  <si>
    <t>Repair &amp; Maintenance of Other Structures (P435,000.00)</t>
  </si>
  <si>
    <t>CONSTRUCTION/IMPROVEMENT OF CONCRETE ROAD (ROAD CONCRETING) AT BARANGAY SAN RAFAEL, VILLAREAL, SAMAR</t>
  </si>
  <si>
    <t>Request for Quotation - Webinar on Coping with the New Normal: Adaptability Skills Enhancement Mental &amp; Physical Health Awareness</t>
  </si>
  <si>
    <t>Procurement of Split Type Inverter Aircon</t>
  </si>
  <si>
    <t>Purchase of Materials for Recovery Facilities</t>
  </si>
  <si>
    <t>Chemicals and Chemical Products for use of the OMPH patients/2nd quarter 2020</t>
  </si>
  <si>
    <t>Repair &amp; Maintenance Communication Equipment (CEISSAFP-Ph560,000.00)</t>
  </si>
  <si>
    <t xml:space="preserve">CONDUCT OF DETAILED STRUCTURAL ENGINEERING EVALUATION INCLUDING, WHEN NECESSARY, THE PREPARATION OF PLANS/DESIGN AND DETAILED COST ESTIMATES FOR THE RETROFITTING OF ALAMINOS GID WAREHOUSE IN ALAMINOS </t>
  </si>
  <si>
    <t>Samsung Xpress M2070 fw, Toner Cartridge MLT-D111S</t>
  </si>
  <si>
    <t>Delivery of Spare parts for Mini Dumptruck SHC 806 (SVP 20-0938).</t>
  </si>
  <si>
    <t>RFQ2020-200 Provision for full board meals and snacks for the conduct of Orientation on Mental Health and Psychosocial Support during COVID-19 for DILG RO Personnel</t>
  </si>
  <si>
    <t>Repair &amp; Maintenance ICT Equipment (CEISS-P242,723.80)</t>
  </si>
  <si>
    <t>CONSTRUCTION OF FENCE</t>
  </si>
  <si>
    <t>EBMS -REPAIR OF AUTO CLAVE MACHINE (1ST POSTING)</t>
  </si>
  <si>
    <t>Rice Bran D2</t>
  </si>
  <si>
    <t>20CG0267 - Local Infrastructure Program: Buildings and Other Structures – Multipurpose/ Facilities – Construction of Multi-Purpose Building (Convention Center), Phase II, City of San Fernando, Pampang</t>
  </si>
  <si>
    <t>PROCUREMENT OF MODULES</t>
  </si>
  <si>
    <t>Construction Materials and Supplies for use in the Construction of SSG Office at San Teodro NHS, San Teodoro, Oriental Mindoro/ Completion of Gymnasium at Ma. Estrella E/S, Tawiran, Calapan City, Orie</t>
  </si>
  <si>
    <t>Procurement of materials for the Construction of Barangay Landmark</t>
  </si>
  <si>
    <t>Purchase of Office Supplies-VAW C Office</t>
  </si>
  <si>
    <t>Procurement of Design/Consultancy Services for the OTOP Assessment, Consultation, and Triage and Product Devt Sessions</t>
  </si>
  <si>
    <t>Procurement of Consultancy Services for LGU-Borongan City</t>
  </si>
  <si>
    <t>PROCUREMENT OF CCT TV CAMERAS FOR BRGY GYM AND BRGY HALL OF BRGY NUEVA FUERZA, TAGUM CITY</t>
  </si>
  <si>
    <t>Construction of Iligan's Best Display Center</t>
  </si>
  <si>
    <t>Other Supplies Material Expenses (Php 100,000.00)</t>
  </si>
  <si>
    <t>Procurement of Printing of Modules of Oas North Central School</t>
  </si>
  <si>
    <t>1 lot Network Monitoring Software Maintenance Subscription (as per attached Terms of Reference)</t>
  </si>
  <si>
    <t>Delivery of Other Supplies And Materials Expenses (SVP 20-0924).</t>
  </si>
  <si>
    <t>Chemicals and Chemical Products for OMPH patients use</t>
  </si>
  <si>
    <t>INVITATION TO BID FOR THE PROCUREMENT OF MATERIALS FOR THE REPAIR AND MAINTENANCE OF MUNICIPAL BUILDING-CONFERENCE ROOM</t>
  </si>
  <si>
    <t>ICT ACCESSORIES AND COMPUTER INK</t>
  </si>
  <si>
    <t>Procurement of Drugs and Medicines for Botika ng Bayan,  IB No. SB-2020-035</t>
  </si>
  <si>
    <t>Invitation to Bid for PROCUREMENT OF OFFICE SUPPLIES AND EQUIPMENT FOR THE PREPARATION OF COMPREHENSIVE LAND USE PLAN &amp; COMPREHENSIVE DEVELOPMENT PLAN</t>
  </si>
  <si>
    <t>S1-CUL20-014 - SUPPLY AND DELIVERY OF SERVICES AS PER SCOPE OF WORKS FOR 600KW KTA38-G1.</t>
  </si>
  <si>
    <t>MODULES KINDER TO GRADE 6</t>
  </si>
  <si>
    <t>MG-PTA20-016 - CAPSULE, MULTIVITAMINS AND MINERALS, 100's, PHARMATON &amp; 14 OTHER ITEMS</t>
  </si>
  <si>
    <t>Fuji Xerox DocuPrint P115w ink cart</t>
  </si>
  <si>
    <t>ITB - Repair/Restoration of Gabaldon Building- 3 Classrooms at Don Remegio M. Limsiaco MS</t>
  </si>
  <si>
    <t>Modules printing for Modular Learning Modality</t>
  </si>
  <si>
    <t>Reproduction of Diagnostic Test SY 2020-2021</t>
  </si>
  <si>
    <t>Fabrication/Installation of stainless steel gate for various elementary schools in Calumpit, Bulacan</t>
  </si>
  <si>
    <t>IMPROVEMENT OF HISTORICAL SITE  (Municipal Park)</t>
  </si>
  <si>
    <t>Construction Materials and Supplies for use in the Improvement of Barangay Hall at Brgy. Bagumbayan, Roxas, Oriental Mindoro/ Repair of Kinder and Grade 1 Classroom at San Juan E/S, Brgy. Cantil Roxas</t>
  </si>
  <si>
    <t>Delivery of Other Supplies, Zoological Supplies and Printing &amp; Pubrication for the Operation of Inland Aquaculture Facility for the 3rd Quarter 2020. (SVP 20-0922).</t>
  </si>
  <si>
    <t>Procurement of Drugs and Medicines,  IB No. SB-2020-034</t>
  </si>
  <si>
    <t>CONSTRUCTION OF 1 UNIT BUILDING INTENDED FOR ICE STORAGE AND ICE MAKER</t>
  </si>
  <si>
    <t>Commercial Fertilizers</t>
  </si>
  <si>
    <t>Executive Chair with Armrest</t>
  </si>
  <si>
    <t>PURCHASE OF OFFICE SUPPLIES AND DEVICES for SAN LUIS ES</t>
  </si>
  <si>
    <t>PR No. 06-033-2020 Rental of service Vehicle Chargeable to the District Engineering Administrative Overhead (EAO), 1 Unit of Pick-up 4x2 Dbl Cab Pick-up (std) M/T and 1 unit of Wagon 2.8L Diesel M/T i</t>
  </si>
  <si>
    <t>SUPPLY AND DELIVERY OF 2 UNITS MOTORCYCLE</t>
  </si>
  <si>
    <t>EBMS -REPLACEMENT OF PATIENT MONITOR ACCESSORIES (1ST POSTING)</t>
  </si>
  <si>
    <t>LEASE OF LAPTOPS</t>
  </si>
  <si>
    <t>4 sacks Fertilizer, NPK...ETC</t>
  </si>
  <si>
    <t>PPO-20-0932-B (OFFICE SUPPLIES)</t>
  </si>
  <si>
    <t>Construction of Barangay Multi-Purpose Hall (Phase-4), Barangay Tabtabungao</t>
  </si>
  <si>
    <t>Repair &amp; Maintenance Office Equipment (OTAG-97,690.00)</t>
  </si>
  <si>
    <t>Construction of Cover Open Canal located at Sitio 6, Barangay Oogong, Santa Cruz, Laguna</t>
  </si>
  <si>
    <t>CONSTRUCTION OF 3X3X3 SPRINGBOX AND INSTALLATION OF 900M PIPELINE AT HACIENDA CONCHITA COSCOLLUELA, BRGY. SAG-ANG</t>
  </si>
  <si>
    <t>IMPROVEMENT OF MULTI-PURPOSE BUILDING PUROK 2, BRGY. CABURCANAN, MALAYBALAY CITY.</t>
  </si>
  <si>
    <t>Delivery &amp; Supply of Electronics Gadgets</t>
  </si>
  <si>
    <t>Laboratory Supplies</t>
  </si>
  <si>
    <t>PR No. 06-034-2020 Rental of service Vehicle Chargeable to the District Engineering Administrative Overhead (EAO), 1 Unit of Pick-up 4x2 Dbl Cab Pick-up (std) M/T and 1 unit of Wagon 2.8L Diesel M/T i</t>
  </si>
  <si>
    <t>SUPPLY AND DELIVERY OF MATERIALS FOR PROPOSED BRGY. ROAD CONCRETING AT SITIO CABCAO, BRGY. BUCAO, GUIUAN, EASTERN SAMAR</t>
  </si>
  <si>
    <t>SUPPLY AND DELIVERY OF RICE SEEDS</t>
  </si>
  <si>
    <t>Alternative Learning Modules (ALM) Supplies and Materials/School Forms and Office Supplies</t>
  </si>
  <si>
    <t>PURCHASE OF DUPLO DIGITAL DUPLICATING MACHINE (HEAVY DUTY) FOR MABINI NATIONAL HIGH SCHOOL</t>
  </si>
  <si>
    <t>Chemical Products for Refurbishment</t>
  </si>
  <si>
    <t>MATERIALS  FOR THE WORKSHOP ON THE QUALITY ASSURANCE ON CONTEXTUALIZED ADM MODULES</t>
  </si>
  <si>
    <t>B20200300 - MEDICAL SUPPLIES FOR HOSPITAL USE OF DDNH-IGACOS</t>
  </si>
  <si>
    <t>PURCHASE OF HEAVY DUTY RISOGRAPH MACHINE - AASMNHS</t>
  </si>
  <si>
    <t>Supply and Delivery of Supplies and Materials</t>
  </si>
  <si>
    <t>FURNISHING AND DELIVERING LABOR AND MATERIALS FOR THE CONSTRUCTION OF H.E. ROOM AT SINULATAN 1ST E/S, BRGY. SINULATAN 1ST, CAMILING, TARLAC</t>
  </si>
  <si>
    <t>Hard Drive 1TB</t>
  </si>
  <si>
    <t>Supply and delivery of 1 unit fish cage (freshwater) for Cotabato City under 2020 block grant</t>
  </si>
  <si>
    <t>Electron Acupuncture Pen</t>
  </si>
  <si>
    <t>EBMS -REPLACEMENT OF STERILIZER (1ST POSTING)</t>
  </si>
  <si>
    <t>SUPPLY AND DELIVERY OF 1 UNIT MOTORCYCLE</t>
  </si>
  <si>
    <t>Rehabilitation of Poblacion #01 - Sulbec Hanging Bridge</t>
  </si>
  <si>
    <t>SUPPLY, DELIVERY AND INSTALLATION OF IP RADIO FOR TELEMETERING OF ACCELEROGRAPH, WATER LEVEL AND HYDROMET SYSTEM</t>
  </si>
  <si>
    <t>PROCUREMENT OF CIVIL WORKS: IMPROVEMENT OF EXISTING LABORATORY INTO COVID-19 TESTING LABORATORY USING CARTRIDGE-BASED TECHNOLOGY TO DETECT SARS-COV-2 (SVP 2020-180)</t>
  </si>
  <si>
    <t>CONSTRUCTION/ IMPROVEMENT OF NAMATEC MULTIPURPOSE HALL</t>
  </si>
  <si>
    <t>Water Metering System (For Brgy. Bacnit, Bugang, Mayana and Poblacion</t>
  </si>
  <si>
    <t>Procurement of Analuc Windows with Installation, Barangay Puzon</t>
  </si>
  <si>
    <t>Procurement for Reproduction  and binding of Available Self Learning Modules</t>
  </si>
  <si>
    <t>LCWD-2020-061 Fabrication of Plaques for Loyalty Awardees</t>
  </si>
  <si>
    <t>20IH0110-Construction of Rainwater Collection System (RWCS) FY 2020, Allen, Lavezares, Catarman, Mondragon, Northern Samar</t>
  </si>
  <si>
    <t>PR No. 07-050-2020  Procurement of Core Drilling Machine to be use by Quality Assurance Section, DPWH-DCDEO, Davao City for 1st Quarter</t>
  </si>
  <si>
    <t>1 Unit Computer Desktop</t>
  </si>
  <si>
    <t>Representation Expenses (94,600.00)</t>
  </si>
  <si>
    <t>PROCUREMENT OF HANDHELD RADIO FOR BRGY NUEVA FUERZA, TAGUM CITY</t>
  </si>
  <si>
    <t>PROCUREMENT OF RISOGRAPHING MACHINE</t>
  </si>
  <si>
    <t>PR No. 020-07-070 - Item 200(1) Aggregates Sub Base Course</t>
  </si>
  <si>
    <t>PURCHASE OF GENERATOR SET 90KVA</t>
  </si>
  <si>
    <t>6	 units	 	   Tablet w/ Keyboard (Communication Equipment)</t>
  </si>
  <si>
    <t>RFQ NO. 20-08-202 for PR No. 20-08-197</t>
  </si>
  <si>
    <t>PR No. 07-055-2020 Purchase of Polymax Plastic Road Barrier &amp; Reflectorized Rubberized Traffic Cone fo Repair/Maintenance of National Roads and Bridges, Davao City</t>
  </si>
  <si>
    <t>PROCUREMENT OF FOOD STUFF (FOR MDRRMO STOCK FILLING OF FOOD SUPPLY)</t>
  </si>
  <si>
    <t>Supply and Delivery of Office Supplies for the Printing of Self-Learning Modules</t>
  </si>
  <si>
    <t>Outside Labor (w/ necessatry tools/equipment) &amp; Materials for Fabrication opf Two (2) units  Collapsible G.I. pipe Tent w/ 3-coat Painting  Finished &amp; PVC Trapal Roofing &amp; Sidings with BMC Logo (top &amp;</t>
  </si>
  <si>
    <t>PR No. 06-044-2020 Rental of Service Vehicle Chargeable to District Engineering Administrative Overhead (EAO) of Quality Assurance Section (QAS), One (1) unit of Pick-up 4x2 Dbl Cab (std) M/T intended</t>
  </si>
  <si>
    <t>Printing of Learning Resources for Grade V and Delivery to District Offices of SDO Ilocos Sur</t>
  </si>
  <si>
    <t>purchase of Medical Equipment for Birthing for Birthing Facility ( MCP )2020</t>
  </si>
  <si>
    <t>Materials for repainting and repair of swing and  seesaw</t>
  </si>
  <si>
    <t>SUPPLY AND DELIVERY OF MOTORIZED BANCA FOR BURIAS MINI GRID PLANTS</t>
  </si>
  <si>
    <t>Supply/Delivery of Ink Black &amp; Master Roll</t>
  </si>
  <si>
    <t>3rd Quarter 2020 Office Supplies and Equipment</t>
  </si>
  <si>
    <t>Purchase of General Merchandise</t>
  </si>
  <si>
    <t>RSQ - Office Supplies for Q3</t>
  </si>
  <si>
    <t>INVITATION TO BID FOR THE PROCUREMENT OF MATERIALS FOR THE IMPROVEMENT OF FACILITIES AT MARINE SANCTUARY</t>
  </si>
  <si>
    <t>1 LOT 5 Bottles Dulbecco's...etc</t>
  </si>
  <si>
    <t>PR No. 07-054-2020 Purchase of Hard &amp; Hot Asphalt (2nd Quarter CY 2020) for Repair/Maintenance of National Roads and Bridges, Davao City</t>
  </si>
  <si>
    <t>CONSTRUCTION OF DAY CARE CENTER (KABULING) BRGY LIMULAN 20DF CONTINUING</t>
  </si>
  <si>
    <t>Purchase of Liner for the Basketball Court Cover</t>
  </si>
  <si>
    <t>20IH0109-Repair/Maintenance of DPWH Building AES-Fuel Station Northern Samar First District Engineering Office, Brgy. Macagtas, Catarman, N. Samar</t>
  </si>
  <si>
    <t>PURCHASE  OF 26 PCS SALTER WEIGHING SCALE</t>
  </si>
  <si>
    <t>Purchase of Insecticide to be Used for the Prevention of Fall Army Worm</t>
  </si>
  <si>
    <t>Purchase of Electrical  Supplies</t>
  </si>
  <si>
    <t>Information Technology Parts and Accessories &amp; Perip for OMSDH use</t>
  </si>
  <si>
    <t>Supply and Delivery of Starter Feeds</t>
  </si>
  <si>
    <t>Spare Parts and accessories for service vehicles - DENR 1</t>
  </si>
  <si>
    <t>SUPPLY AND DELIVERY OF 3 UNITS MOTORCYCLE</t>
  </si>
  <si>
    <t>PR No. 020-07-069 - Item 703(1) Aggregates</t>
  </si>
  <si>
    <t>Repair and Maintenance of two (2) government vehicle of L-300  with Plate No. SKW-936 and Motorcycle with Plate No. SJ-2918 used by the City Administrator's Office (RFQ2020-08-124)</t>
  </si>
  <si>
    <t>Improvement of Barangay Office</t>
  </si>
  <si>
    <t>PURCHASE OF GENERATOR SET (SB)</t>
  </si>
  <si>
    <t>Purchase Of Trapal</t>
  </si>
  <si>
    <t>Purchase of Office equipment</t>
  </si>
  <si>
    <t>Supply and Delivery of Cleaning Supplies and Materials</t>
  </si>
  <si>
    <t>Supply and delivery of 5 noodle machine for Cotabato City under 2020 block grant</t>
  </si>
  <si>
    <t>Construction of Drainage Extension, Pabahay ng Mina, Brgy. Mina West, Mina, Iloilo.</t>
  </si>
  <si>
    <t>RFQ-NP-SVP-08-JHS-2020</t>
  </si>
  <si>
    <t>MALLARD DUCKLINGS</t>
  </si>
  <si>
    <t>PURCHASE OF OFFICE SUPPLIES AND DEVICES FOR CULI ES</t>
  </si>
  <si>
    <t>Office Supplies Expenses (P60,000.00)</t>
  </si>
  <si>
    <t>REHABILITATION OF LAGAN FLOOD CONTROL</t>
  </si>
  <si>
    <t>Procurement of MOOE Supplies for DAO ES January-September 2020</t>
  </si>
  <si>
    <t>20-06-0796 - Procurement of consumables for NHTS-PR CY 2020 (re-canvass).</t>
  </si>
  <si>
    <t>CONSTRUCTION/ REHABILITATION OF BRGY. ROAD, AT PUROK-4 BRGY NUEVA FUERZA, TAGUM CITY</t>
  </si>
  <si>
    <t>FURNISHING AND DELIVERING LABOR AND MATERIALS FOR THE CONSTRUCTION OF TWO CLASSROOM W/ COMFORT ROOM, BRGY. CARAEL, CAMILING, TARLAC</t>
  </si>
  <si>
    <t>supply &amp; delivery of scientific/technical lab. eqpt. for College of Criminal Justice Education, ISU,Cabagan,Isabela</t>
  </si>
  <si>
    <t>EBMS -INSTALLATION AND REPAIR OF PHACO-VITRECTOMY (1ST POSTING)</t>
  </si>
  <si>
    <t>Supply and Delivery of Office Supplies, Janitorial Supplies and Computer Inks and Cartridges for the use of CMO-Business Permit and Licensing Division</t>
  </si>
  <si>
    <t>20IH0108-Repair/Maintenance of DPWH Building Common Comfort Room Northern Samar First District Engineering Office Airport Village, Catarman, N. Samar</t>
  </si>
  <si>
    <t>SUPPLY AND DELIVERY OF SMART KARAOKE SYSTEM FOR DORMITORY SCHOLAR'S RECREATION</t>
  </si>
  <si>
    <t>B20200301 - ONE YEAR SUPPLY OF SECURITY SERVICES FOR THE PROVINCIAL GOVERNMENT OF DAVAO DEL NORTE</t>
  </si>
  <si>
    <t>PURCHASE OF OTHER SUPPLIES</t>
  </si>
  <si>
    <t>Repair &amp; Maintenance of Building (P420,000.00)</t>
  </si>
  <si>
    <t>Purchase of Office and Other Office Supplies, LGU, Alicia, Bohol</t>
  </si>
  <si>
    <t>Construction of 2 Storey 6 Classroom School Building at Manlingay Elementary School, Mabinay, Negros Oriental</t>
  </si>
  <si>
    <t>REPRODUCTION OF MODULES FOR WEEK 1 AND 2 FOR ALL JUNIOR HIGH SCHOOL LEARNING AREAS</t>
  </si>
  <si>
    <t>Procurement of office supplies at the office of the Sangguniang Bayan</t>
  </si>
  <si>
    <t>20B00064: Organizational Outcome 1: Ensure Safe and Reliable National Road System: Network Development: Construction of Bypass and Diversion Roads: Alicia-Angadanan-San Guillermo-Cauayan City-Naguilia</t>
  </si>
  <si>
    <t>INSTALLATION OF STREETLIGHT</t>
  </si>
  <si>
    <t>Construction of 10,000 Gals. Elevated Water Tank for Dialysis at QPMC</t>
  </si>
  <si>
    <t>Purchase of Drugs and Medicines for the use of Orani District Hospital, Bataan</t>
  </si>
  <si>
    <t xml:space="preserve">19GG00099- Procurement of Weighbridge Equipment and for the Installation of Permanent Weighing Machines in Region VI at ATOME- Negros Occidental including Sanitation Facilities for use of Maintenance </t>
  </si>
  <si>
    <t>SCHOOL ID</t>
  </si>
  <si>
    <t>Supply and Delivery of Various Reagents (Pollen project)</t>
  </si>
  <si>
    <t>FURNISHING AND DELIVERING LABOR AND MATERIALS FOR THE CONCRETING OF FARM-TO-MARKET ROAD, BRGY. MATUBOG, CAMILING, TARLAC</t>
  </si>
  <si>
    <t>Construction of Barangay Various Offices at East-Canayaon, Garcia-Hernandez, Bohol</t>
  </si>
  <si>
    <t>Learning Bags</t>
  </si>
  <si>
    <t>SUPPLY &amp; DELIVERY OF MEDICINE &amp; MEDICAL SUPPLIES FOR STOCK PILE AT RHU</t>
  </si>
  <si>
    <t>CONSTRUCTION OF ISOLATION BUILDING @ BURGOS, ISABELA</t>
  </si>
  <si>
    <t>Purchase of COVID-19 Test Kits</t>
  </si>
  <si>
    <t>Procurement of Drugs and Medicines</t>
  </si>
  <si>
    <t>INSTALLATION OF PUBLIC ADDRESS SYSTEM</t>
  </si>
  <si>
    <t>Acquisition of One (1) Unit Back Hoe (Wheel Type)</t>
  </si>
  <si>
    <t>Procurement and Delivery of Materials for the Concreting of Roads</t>
  </si>
  <si>
    <t>Concreting of Purok 1, Brgy. Palat FMR, Brgy. Palat  Porac, Pampanga</t>
  </si>
  <si>
    <t>Construction of Covered Court in Cacawan National High School, Brgy. Cacawan</t>
  </si>
  <si>
    <t>Construction of Reservoir (Brgy Datalbukay Glan Sarangani Province)</t>
  </si>
  <si>
    <t>20GE033G – P.R. No. R06.14- 036 - Purchase of 85/100 Pen Asphalt for use in routine maintenance activities, this District.</t>
  </si>
  <si>
    <t>SVCS-082620-049 - JANITORIAL SERVICES FOR THE PERIOD OF SEPTEMBER TO DECEMBER 2020</t>
  </si>
  <si>
    <t>(20NH0094)Concreting of Brgy. Bitaugan East FMR, Brgy. Bitaugan East, Cagwait, Surigao del Sur</t>
  </si>
  <si>
    <t>Concreting of Resettlement Center to Sitio Pasbul, Brgy. Camias FMR, Brgy. Camias Porac, Pampanga</t>
  </si>
  <si>
    <t>PURCHASE OF OFFICE EQUIPMENT FOR CULI ES</t>
  </si>
  <si>
    <t>1 unit Computer Desktop, etc..</t>
  </si>
  <si>
    <t>20GE034G – P.R. No. R06.14- 037 - Purchase of Construction Materials for use in routine Maintenance Activities, this District.</t>
  </si>
  <si>
    <t>CONSTRUCTION OF 1 UNIT MATERIAL RECOVERY FACILITY (MRF)</t>
  </si>
  <si>
    <t>Drugs &amp; Medicines (Hasud Serbisyong VJP 2020)</t>
  </si>
  <si>
    <t>PROVISION OF RENTAL OF MOTOR VEHICLE FOR HOME LENDING OPERATIONS, ILOCOS REGION</t>
  </si>
  <si>
    <t>PROVISION OF FOOD DURING THE JOINT MEETING OF MUNICIPAL COUNCILORS AND BARANGAY CAPTAINS (AUGUST 10, 2020 AT 8:00 AM)</t>
  </si>
  <si>
    <t>Animal Feeds</t>
  </si>
  <si>
    <t>Rehabilitation of Line Canal</t>
  </si>
  <si>
    <t>B20200302 - MOTOR VEHICLES FOR DILG USE</t>
  </si>
  <si>
    <t>PURCHASE OF LAPTOP, PROJECTOR AND PRINTER</t>
  </si>
  <si>
    <t>PROCUREMENT OF SUPPLY, DELIVERY, CONFIGURATION  AND INSTALLATION SERVICES  OF NETWORK EQUIPMENT AND INFRASTRUCTURE  FOR PSA-RSSO V OFFICE BUILDING</t>
  </si>
  <si>
    <t>Supply and Delivery of 6 Sets 5-Seater Gang Chair to be used at the Admin. Bldg. Lobby</t>
  </si>
  <si>
    <t>SUPPLY AND DELIVERY OF MECHANICAL SPARE PARTS FOR 300KW FG WILSON GENERATING SET OF CORCUERA DPP</t>
  </si>
  <si>
    <t>MATERIALS FOR THE PERIMETER FENCE AND GATE</t>
  </si>
  <si>
    <t>20MA0135-Concreting of Crossing Borongotan to Kabalo Road FMR, Brgy. Borongotan   and Brgy. Kabalo, Upi, Maguindanao</t>
  </si>
  <si>
    <t>INVITATION TO BID FOR THE PROCUREMENT OF FOOD ITEMS</t>
  </si>
  <si>
    <t>Procurement of Office and IT Equipment for LGA</t>
  </si>
  <si>
    <t>B20200304 - IT EQUIPMENT FOR OSS USE</t>
  </si>
  <si>
    <t>Supplies for Wild Life Rescue Center</t>
  </si>
  <si>
    <t>FURNISHING AND DELIVERING LABOR AND MATERIALS FOR THE CONSTRUCTION OF COMMUNITY LEARNING CENTER, CAMILING WEST CENTRAL E/S, CAMILING, TARLAC</t>
  </si>
  <si>
    <t>PROCUREMENT OF DRUGS, MEDICINES AND CHEMICAL SUPPLIES FOR THE USE OF TIGBAUAN MUNICIPAL HEALTH AND BIRTHING CENTER, TIGBAUAN, ILOILO.</t>
  </si>
  <si>
    <t>Construction of Single Barrel Box Culvert along Binoog Creek across V.V. Soliven Avenue, Brgy. Mayamot, Antipolo City</t>
  </si>
  <si>
    <t>PROCUREMENT OF LABORATORY AND TECHNICAL SUPPLIES</t>
  </si>
  <si>
    <t>GOODS-082620-050 - SUPPLY AND DELIVERY OF CCTV IP CAMERA SURVEILLANCE SYSTEM FOR COVID 19 ISOLATION DEPARTMENT</t>
  </si>
  <si>
    <t>C20204183 Office Supplies for DDNH IGACOS Zone</t>
  </si>
  <si>
    <t>EBMS -RUBBER PLUG (9TH POSTING)</t>
  </si>
  <si>
    <t>Construction of fabricated steel lamp post</t>
  </si>
  <si>
    <t>Procurement  for the  construction  of  evacuation center  at  barangay  Ane-i</t>
  </si>
  <si>
    <t>Procurement of Furniture &amp; Fixtures (MBO)</t>
  </si>
  <si>
    <t>SUPPLY AND DELIVERY OF COMPUTER DESKTOP &amp; LAPTOP</t>
  </si>
  <si>
    <t>REQUEST FOR QUOTATION</t>
  </si>
  <si>
    <t>5,479.45 Ltrs Diesel Fuel For use of various Government Vehicles</t>
  </si>
  <si>
    <t>Procurement of MOOE Supplies for Kiranggel Tunghaan te Katalonan January-September 2020</t>
  </si>
  <si>
    <t>1 pc Brand New Differential</t>
  </si>
  <si>
    <t>INVITATION FOR NEGOTIATED PROCUREMENT of  Wall Mounted Split Type Air-con (Small Value Procurement)</t>
  </si>
  <si>
    <t>SUPPLY AND DELIVERY OF PRINTER</t>
  </si>
  <si>
    <t>EBMS -WOOD FILLER (9TH POSTING)</t>
  </si>
  <si>
    <t>GOODS-082620-048 - INSTALLATION OF AIRCONDITIONING UNIT SYSTEM FOR BMC LABORATORY</t>
  </si>
  <si>
    <t>PROCUREMENT OF VARIOUS LABORATORY GLASSWARES FOR CALAPAN LABORATORY CY 2020 (2nd posting)</t>
  </si>
  <si>
    <t>Office Supplies of 1st and 2nd Quarter for DepEd RO-IX</t>
  </si>
  <si>
    <t>Electrification of Multi-Purpose Hall</t>
  </si>
  <si>
    <t>Supply and delivery of Food to be used for various meeting</t>
  </si>
  <si>
    <t>PURCHASE OF OFFICE SUPPLIES AND MATERIALS FOR SAN MARIANO ES</t>
  </si>
  <si>
    <t>Construction of 1-Unit Multi-Purpose Building (Child Development Center) at Aglipay, San Jose, Tarlac</t>
  </si>
  <si>
    <t>Office and Computer Supplies and Equipment -SMD</t>
  </si>
  <si>
    <t>GOODS-082620-051 - PURCHASE OF VARIOUS LABORATORY EQUIPMENT FOR BMC LABORATORY (MICRO)</t>
  </si>
  <si>
    <t>Purchase of medicines for animal health program</t>
  </si>
  <si>
    <t>C20204188 Multi cab for Ips/ICCs Development Program (Peace &amp; Order)</t>
  </si>
  <si>
    <t>Supply and Delivery of Supplies and Materials to be used for Small Lumbering Project</t>
  </si>
  <si>
    <t>SUPPLY AND DELIVERY OF ELECTRICAL SPARE PARTS INTENDED FOR UNIT NO.5 OF CORCUERA DPP</t>
  </si>
  <si>
    <t>Supply &amp; Delivery of Vegetable Seeds</t>
  </si>
  <si>
    <t>EBMS -FLOAT VALVE (9TH POSTING)</t>
  </si>
  <si>
    <t>PROCUREMENT OF INTERNET ACCESSORIES</t>
  </si>
  <si>
    <t>2020-07-1031-1032 - Supply and Delivery of Assorted Goods for SFP Implementation for the Provinces of Leyte and Southern, Leyte</t>
  </si>
  <si>
    <t>B20200303 - PURIFIES RABBIES VACCINE FOR PHO USE</t>
  </si>
  <si>
    <t>2020-08-146 (Procurement of Alcohol and Surgical Mask)</t>
  </si>
  <si>
    <t>RFQ-NP-SVP-08-SHS-2020</t>
  </si>
  <si>
    <t>CONCRETING OF FARM TO MARKET ROAD</t>
  </si>
  <si>
    <t>Improvement of Drainage Canal and Pavement along V.V. Soliven Avenue, Brgy. Mayamot, Antipolo City</t>
  </si>
  <si>
    <t>Procurement of Agriculturall Machinery Equipement</t>
  </si>
  <si>
    <t>Supply and Delivery of Materials for Net House</t>
  </si>
  <si>
    <t>Purchase/Delivery of Food Supplies for Supplemental Feeding Program</t>
  </si>
  <si>
    <t>(PIHO)  	  REQUEST FOR QUOTATION (RFQ) For the Procurement of Office Supplies (3rd  Quarter) For the Provincial Integrated Health Office (PIHO)</t>
  </si>
  <si>
    <t>PROCUREMENT ON SUPPLY AND DELIVERY OF OFFICE EQUIPMENT</t>
  </si>
  <si>
    <t>Website Development, Hosting, and Enhancing Internet Connectivity of Schools Division of Siargao</t>
  </si>
  <si>
    <t>3rd Quarter 2020 Janitorial/PPE Supplies and Equipment</t>
  </si>
  <si>
    <t>Medical Supplies for DRRM – COVID-19 Preparedness and Response Measures</t>
  </si>
  <si>
    <t>Procurement of Various Information Technology Equipment &amp; Construction Supplies Lot 1 - Various Information Technology Equipment</t>
  </si>
  <si>
    <t>Procurement of General Merchandise under P.R Nos. 2375-2020 and 2379-2020- City Social Development Office-1Lot</t>
  </si>
  <si>
    <t>ADDITIONAL FURNITURE AND FIXTURE FOR IGP HOSTEL</t>
  </si>
  <si>
    <t>Procurement of 1 Unit Rotavator Machine under P.R No. 2694-2020-Office of the City Agriculturist</t>
  </si>
  <si>
    <t>C20204200 P.E. Hose for water installation at Brgy Nanyo, Panabo City</t>
  </si>
  <si>
    <t>PURCHASE OF MEDICAL SUPPLIES</t>
  </si>
  <si>
    <t>FURNISHING AND DELIVERING LABOR AND MATERIALS FOR THE CONCRETING OF BARANGAY ROAD, BRGY. FLORIDA, CAMILING, TARLAC</t>
  </si>
  <si>
    <t>supply &amp; delivery of Technical lab. eqpt. for College of Criminal Justice Education at ISU,Cabagan, Isabela</t>
  </si>
  <si>
    <t>Improvement of Drainage Canal and Concreting of Road at Portion of Napoleon Street  &amp; Louis Street, Edward VIII Street, Kingsville Subdivision, Barangay Mayamot &amp; Barangay Mambugan, Antipolo City</t>
  </si>
  <si>
    <t>Renovation of Barangay Health Center located at Barangay Oogong, Santa Cruz, Laguna</t>
  </si>
  <si>
    <t>Procurement of Internet Service Provider (Direct Internet)</t>
  </si>
  <si>
    <t>PROCUREMENT ON SUPPLY AND DELIVERY OF VARIOUS OFFICE SUPPLIES (3RD and 4TH Quarter)</t>
  </si>
  <si>
    <t>Repair/Rehabilitation of Barangay Roads at Barangay Poblacion</t>
  </si>
  <si>
    <t>Procurement of Bondpaper- (A4 size S-20) for the Reproduction of Self-Learning Modules for Quarter 1</t>
  </si>
  <si>
    <t>B20200306 - HARDWARE MATERIALS FOR PROPOSED 1 BARREL CULVERT ALONG KAPALONG-MABANTAO-FLORIDA PROVINCIAL ROAD</t>
  </si>
  <si>
    <t>SUPPLY AND DELIVERY OF 5 UNITS PHOTOCOPIER</t>
  </si>
  <si>
    <t>Quotation No. 20-07-0423- Catering with Venue with One (1) Meal and One (1) Snack in Connection with the Conduct of Painting Contest “Coping with Stress during Pandemic” in Zamboanga City</t>
  </si>
  <si>
    <t>20HA0135 - CONSTRUCTION OF 4STY 24CL, TAGBILARAN CITY CENTRAL ELEMENTARY SCHOOL, TAGBILARAN CITY, BOHOL</t>
  </si>
  <si>
    <t>Purchase of medical supplies for safety and preventive measures against COVID 19</t>
  </si>
  <si>
    <t>Procurement of Dietary Equipment</t>
  </si>
  <si>
    <t>Procurement of Common Computer Supplies</t>
  </si>
  <si>
    <t>Rehabilitation/Improvement/Construction of Drainage System at M. Santos Extension, Barangay San Jose, Antipolo City</t>
  </si>
  <si>
    <t>RFQ NO. 20-08-203 for PR No. 20-07-188</t>
  </si>
  <si>
    <t>Construction of Stone Masonry Riverwall (Portion), Trash Trap and Box Culvert along Labahan Creek at Poseidon Street, Crestview Subdivision, Brgy. Cupang, Antipolo City</t>
  </si>
  <si>
    <t>Procurement of Vehicle Repair and Maintenance under P.R Nos. 1888-2020(City Environment &amp; Natural Resources Office- City Parks and Waterways Services Division), etc.-1Lot</t>
  </si>
  <si>
    <t>REQUEST FOR QUOTATION - Sub-Surface Soil Investigation of the Proposed Construction of 5-Storey Building With Classrooms and Business Center</t>
  </si>
  <si>
    <t>B20200305 - OVAL FLAT RING FOR SERVICE OF THE RETIREES OF PROVINCE OF DAVAO DEL NORTE</t>
  </si>
  <si>
    <t>Supply and Delivery of Construction Materials for Continuation of Child Development Center</t>
  </si>
  <si>
    <t>1 set 600A Capacity3P, 250V, MTS, Non Fuse for generator use</t>
  </si>
  <si>
    <t>Automatic Voltage Regulator- 1500VA	 &amp; etc. for Provincial Secretary's Office	 (N-603-2020)</t>
  </si>
  <si>
    <t>C20204202 Battery for Capitol &amp; Bulwagan Genset use</t>
  </si>
  <si>
    <t>Supply and Delivery of Office Furnitures at SB Office</t>
  </si>
  <si>
    <t>INVITATION FOR NEGOTIATED PROCUREMENT of  Office Supplies (Batch 3)   (After Two Failed Bidding)</t>
  </si>
  <si>
    <t>PURCHASE OF OFFICE AND SCHOOL SUPPLIES FOR SAN VICENTE NHS</t>
  </si>
  <si>
    <t>RFQ MEALS OF PATIENTS FOR THE PERIOD OF AUGUST 16 – 31, 2020</t>
  </si>
  <si>
    <t>PURCHASE OF VARIOUS SUPPLIES AND MATERIALS FOR THE INSTALLATION OF INTEGRATED SOLAR STREET LIGHTS AT BARANGAY IBA, SAN JOSE, TARLAC</t>
  </si>
  <si>
    <t>Supply and Delivery of Office Supplies and IT Equipment for the Implementation of Learning Continuity Plan</t>
  </si>
  <si>
    <t>C20204208 Monobloc Chairs fir various Barangays of DDN 1st District</t>
  </si>
  <si>
    <t>ELECTRICAL SUPPLIES FOR FURNITURE AND CABINET SHOP DEVELOPMENT</t>
  </si>
  <si>
    <t>COVID Essentials to be placed in the Clinic for the use of RO-IX Personnel</t>
  </si>
  <si>
    <t>For 3rd Quarter Division Office Supplies</t>
  </si>
  <si>
    <t>C20204210 Hardware Materials for repair &amp; maint of PICKMO Bldg.</t>
  </si>
  <si>
    <t>20HA0136 - CONSTRUCTION OF 1 UNIT 4STY 4LAB, BUSAO NATIONAL HIGH SCHOOL, MARIBOJOC, BOHOL</t>
  </si>
  <si>
    <t>Equipment rental for the construction of Centennial Park</t>
  </si>
  <si>
    <t>CBNHS OFFICE SUPPLIES AUGUST 2020</t>
  </si>
  <si>
    <t>Procurement of 20 units Photocopier machine to be used by the DepEd Gamu District</t>
  </si>
  <si>
    <t>Printing Services PR No. 20-08-0005</t>
  </si>
  <si>
    <t>Procurement of Various Supplies for use in Preliminary Detailed Engineering at DPWH Pampanga 3rd District Engineering Office</t>
  </si>
  <si>
    <t>CAMAMAN-AN ELEMENTARY SCHOOL MODULE PRINTING FOR EIGHT WEEKS</t>
  </si>
  <si>
    <t>Upgrading of  the Computer Billing and Collection System with Android Read and Bill Application</t>
  </si>
  <si>
    <t>20HA0137 - CONCRETING OF BRGY. GENONOCAN FMR, BRGY. GENONOCAN, TUBGION, BOHOL</t>
  </si>
  <si>
    <t>PROCUREMENT OF MATERIALS FOR THE CONTINUING IMPROVEMENT OF MULTIPURPOSE COVERED GYM OF BRGY. NAPNAPAN NORTE, TIGBAUAN, ILOILO</t>
  </si>
  <si>
    <t>20FN0110 Local Program - Building and Other Structures - Multipurpose/Facilities - Local Infrastructure Program - Construction of Multi-Purpose Covered Court at Salvacion Elementary School Compound, S</t>
  </si>
  <si>
    <t>REPAIR AND MAINTENANCE OF BUILDING AND OTHER STRUCTURE AT POB. EAST, TAYSAN, BATANGAS-092</t>
  </si>
  <si>
    <t>Construction of Drainage System at P. dela Merced St. By Pass Road</t>
  </si>
  <si>
    <t>(SP)  REQUEST FOR QUOTATION (RFQ) For the Procurement of Office Supplies (3rd Quarter)  For the Sangguniang Palalawigan (SP)</t>
  </si>
  <si>
    <t>BASIC DOCUMENTS FOR MOBILE REGISTRATION PROGRAM</t>
  </si>
  <si>
    <t>Drugs and Medicines for Talibon Municipal Birthing Center</t>
  </si>
  <si>
    <t>Construction of Drainage System Phase II at Maguey Road, Brgy. San Isidro &amp; San Luis, Antipolo City</t>
  </si>
  <si>
    <t>Construction of Municipal Drug Rehabilitation Facility</t>
  </si>
  <si>
    <t>SUPPLY AND DELIVERY OF MOTOR VEHICLE</t>
  </si>
  <si>
    <t>SUPPLY AND DELIVERY OF BRAND NEW ONE (1) UNIT PASSENGER VAN</t>
  </si>
  <si>
    <t>Purchase of supplies for Municipal Quarantine Facilities</t>
  </si>
  <si>
    <t>Property, Plant &amp; Equipment Outlay Power Supply System - MAMES</t>
  </si>
  <si>
    <t>Quotation No. 20-06-0392 REBID - DATA FILE BOX, made of chipboard, with closed ends</t>
  </si>
  <si>
    <t>Procurement of Ten (10) Units Laptop for Online Classes of Brgy San Lorenzo</t>
  </si>
  <si>
    <t>Procurement of Psychological Testing Materials</t>
  </si>
  <si>
    <t>20GL0095 - CONCRETING OF SUGARCANE FARM-TO-MILL ROAD, BRGY. ARANDA TO CANDUMARAO/CAMALOBALO/CALAPI, HINIGARAN, NEGROS OCCIDENTAL</t>
  </si>
  <si>
    <t>20IH0111-Construction of 1sty4cl School Building, Veriato ES, San Isidro, Northern Samar</t>
  </si>
  <si>
    <t>Procurement of Services under P.R Nos. 2916-2020 (Office of the City Civil Registrar), etc.-1Lot.</t>
  </si>
  <si>
    <t>Construction of Drainage System at Barangay Tigbe</t>
  </si>
  <si>
    <t>C20204214 Plaque for Service Award 2020</t>
  </si>
  <si>
    <t>Purchase of Other Supplies to be used for all Departments as part of the ICT Improvement for Online Connectivity</t>
  </si>
  <si>
    <t>Fabrication and delivery of 5 units portable Smoke house for Cotabato City under 2020 block grant</t>
  </si>
  <si>
    <t>ITB-GS-20200210-01  - Printing of Various LANDBANK Forms</t>
  </si>
  <si>
    <t>20HA0138 - CONSTRUCTION OF ROAD, BRGY. TOTOLAN AND SONGCULAN, DAUIS, BOHOL</t>
  </si>
  <si>
    <t>Supply, Delivery and Installation of Split Type Airconditioner at SB Office &amp; Budget Office</t>
  </si>
  <si>
    <t>Supplies and Materials for establishing Bamboo Cottage at DNAS Main Site</t>
  </si>
  <si>
    <t>Road Opening @ Purok 7 (Maliggang)</t>
  </si>
  <si>
    <t>1 LOT SUPPLY AND DELIVERY OF VARIOUS MATERIALS</t>
  </si>
  <si>
    <t>PROCUREMENT OF GEAR OIL AND ENGINE OIL</t>
  </si>
  <si>
    <t>20GL0097 - CONCRETING OF SUGARCANE FARM-TO-MILL ROAD, CROSSING SAMBAG TO BONTON, BRGY. CARABALAN, HIMAMAYLAN CITY, NEGROS OCCIDENTAL</t>
  </si>
  <si>
    <t>FOR INDIGENT CONSTITUENTS OF TALUSAN MUNICIPALITY</t>
  </si>
  <si>
    <t>RFQ No. 20-0718 NP-SVP: Supply and Delivery of Materials for the Replacement of All Electrical Lighting into LED</t>
  </si>
  <si>
    <t>Consultancy Services for Service Contract for the Parcellary Survey of the Road of Way going to NHA Permanent Housing Project in Brgy. Dolores Ormoc City, City Mayor's Office, Ormoc City</t>
  </si>
  <si>
    <t>Property, Plant &amp; Equipment Outlay Power Supply System - TPES</t>
  </si>
  <si>
    <t>Upgrading of Electrical System at Provincial Capitol Calapan City, Or. Mindoro</t>
  </si>
  <si>
    <t>20GFN0014 Furnishing and delivery of Materials for use in Planning and Design Section – National Road Traffic Survey Program (NRTSP) Automated Traffic Data Collection Program Field Accessories in DPWH</t>
  </si>
  <si>
    <t>RFQ-2020-07-0034 Various Office Supplies for use in the SK1st DEO for the 2nd Quarter CY 2020</t>
  </si>
  <si>
    <t>20IH0112-Construction of 2sty4cl School Building, Generoso R. Frigillana MS, Catarman, Northern Samar</t>
  </si>
  <si>
    <t>C20204217 Various plant materials for PENRO project implementation</t>
  </si>
  <si>
    <t>20GL0096 - CONCRETING OF SUGARCANE FARM-TO-MILL ROAD, CROSSING RENANTE TO HAD. MARIA ELENA, BRGY. BUENAVISTA, HIMAMAYLAN CITY, NEGROS OCCIDENTAL</t>
  </si>
  <si>
    <t>SUPPLY AND DELIVERY OF I.T. SUPPLIES (GENERAL REVISION 2020) FOR MUNICIPAL ASSESSOR'S OFFICE</t>
  </si>
  <si>
    <t>Rehabilitation of Multi-Purpose Building  located at Barangay Oogong, Santa Cruz, Laguna</t>
  </si>
  <si>
    <t>Supply &amp; Delivery of Laboratory Machine Reagents including the Lending of Laboratory Machine through Ordering Agreement Modality</t>
  </si>
  <si>
    <t xml:space="preserve">PCPB-01-2020 - Removal, Transfer, Reinstallation and Reconfiguration of Active Equipment (PABX, data switches, router, modem and servers) from the temporary location at the new office building to the </t>
  </si>
  <si>
    <t>CONSTRUCTION &amp; INSTALLATION OF STREETLIGHT @ BARANGAY CATOTORAN NORTE</t>
  </si>
  <si>
    <t>Orientation of School Heads, ADAS III and ADAS II on DO 29, s. 2019</t>
  </si>
  <si>
    <t>PROCUREMENT OF VARIOUS LABORATORY CONSUMABLES FOR VISAYAS AVE. QUEZON CITY LABORATORY (2ND POSTING)</t>
  </si>
  <si>
    <t>C20204222 Plaque, certificate &amp; ceremonial check for PADO-DRRMD for 4th Gawad Kalasag Awarding</t>
  </si>
  <si>
    <t>SUPPLY AND DELIVERY OF COMMONLY USE &amp; OTHER OFFICE SUPPLIES USE FOR 2ND &amp; 3RD QUARTER 2020</t>
  </si>
  <si>
    <t>Repair and Maintenance of Prime Mover</t>
  </si>
  <si>
    <t>SUPPLY AND DELIVERY OF CONSTRUCTION MATERIALS FOR THE CONSTRUCTION OF MUNICIPAL PARKING ROOFING</t>
  </si>
  <si>
    <t>NP-Shopping-2020-003-MWC - Common Office Supplies for Region 9</t>
  </si>
  <si>
    <t>Supply &amp; Delivery of Office Supplies &amp; Materials for TES Processing</t>
  </si>
  <si>
    <t>Source Development in Resettlement Ares (Drilling of Water Well) at Brgy. Cagbuhangin, Ormoc City</t>
  </si>
  <si>
    <t>Construction of One Unit 2-CL Sch. Bldg. at San Jose E/S, San Jose, Bayawan City, Negros Oriental(S-174-2020)</t>
  </si>
  <si>
    <t>REHABILITATION OF DRAINAGE CANAL</t>
  </si>
  <si>
    <t>Maintenance of Barangay Aglayan Road Section</t>
  </si>
  <si>
    <t>Procurement of Aircondition unit - 2.5 hp split type - tourism office</t>
  </si>
  <si>
    <t>Supply and Delivery of 4"Ø Flow Meter (Flange Type) with EV Output</t>
  </si>
  <si>
    <t>2020-162-I PROCUREMENT OF HARDWARE SUPPLIES</t>
  </si>
  <si>
    <t>PROPOSED CONSTRUCTION OF NATIONAL CHILD DEVELOPMENT CENTER AT POBLACION</t>
  </si>
  <si>
    <t>Supply and delivery of 74 sets freshwater gillnet for Cotabato City under 2020 block grant</t>
  </si>
  <si>
    <t>To Furnish labor and materials for the Repair/replacement of roofs of Sidlakang negros Village Building			 (N-640-2020)</t>
  </si>
  <si>
    <t>PROCUREMENT OF VARIOUS LABORATORY CONSUMABLES FOR PALAWAN LABORATORY (2ND POSTING)</t>
  </si>
  <si>
    <t>C20204251 Spare Parts for various Provincial Equipment</t>
  </si>
  <si>
    <t>GOODS-OE-30-2020</t>
  </si>
  <si>
    <t>Spare parts for repair and maintenance of service vehicles of LPH-San Pablo City District Hospital</t>
  </si>
  <si>
    <t>Supply and Delivery of Clinic Furniture and Devices for UHS (TFB)</t>
  </si>
  <si>
    <t>Concreting of Road Gap at Bigaan, San Teodoro, Oriental Mindoro</t>
  </si>
  <si>
    <t>C20204245 Fuel &amp; Lubricants for PPDO vehicles for the third qtr of CY 2020</t>
  </si>
  <si>
    <t>2020-161-I PROCUREMENT OF ELECTRICAL SUPPLIES</t>
  </si>
  <si>
    <t>Construction of Multi Purpose Building at Barangay Baraka</t>
  </si>
  <si>
    <t>Materials for the ongoing Construction of Basketball Court Cover of RRCY</t>
  </si>
  <si>
    <t>Procurement of Service in the System Maintenance of the Cooperative Business Matching System (CBMS) Project</t>
  </si>
  <si>
    <t>Procurement of  Office  Equipment  Use by the  Municipal Health  Office RHU1 and  RHU11</t>
  </si>
  <si>
    <t>Office Supplies  FOR USE IN THE OPERATION AND MAINT. OF HRMIS DIVISION		 (S-254-2020)</t>
  </si>
  <si>
    <t>Procurement of Hardware and Construction Supplies under P.R Nos. 2677-2020(Office of the City Economic Enterprise-Public Market Operation), etc.-1Lot</t>
  </si>
  <si>
    <t>PROPOSED COMPLETION OF BIRTHING FACILITY</t>
  </si>
  <si>
    <t>Other Supplies for  the City Planning and Development Coordinating Office</t>
  </si>
  <si>
    <t>SUPPLY AND DELIVERY OF TWO (2) UNITS 6-WHEELER LIGHT DUTY TRUCK WITH REFRIGERATED VAN FOR BFAR XI CY 2020</t>
  </si>
  <si>
    <t>20GIB0041: Purchase/delivery of External Hard Drive and Office Equipment for use of RBIA and BMS Team.</t>
  </si>
  <si>
    <t>Procurement of fetal doppler and other medical equipment</t>
  </si>
  <si>
    <t>CONSTRUCTION/REHABILITATION OF ANIMAL BITE CENTER</t>
  </si>
  <si>
    <t>REHABILITATION OF EXISTING BUHI PUBLIC MARKET, BUHI, CAMARINES SUR</t>
  </si>
  <si>
    <t>Procurement of Listahanan 3 ICT Equipment (Desktop Computer)</t>
  </si>
  <si>
    <t>Supply and Delivery of Office Supplies and Equipment for the Implementation of Learning Continuity Plan</t>
  </si>
  <si>
    <t>Procurement of Various Supplies and Materials for the Implementation of Seminar-Workshop on Dressmaking - Binalbagan Campus</t>
  </si>
  <si>
    <t>C20204244  Paints for diff. barangays of Davao del Norte</t>
  </si>
  <si>
    <t>Procurement of Various I.T. Supplies and Device for BAC Office Use</t>
  </si>
  <si>
    <t>SUPPLY AND DELIVERY OF LABORATORY CONSUMABLES UNDER EMB-ERLSD-ENVIRONMENTAL LABORATORY SERVICES SECTION (ELSS) AIR LABORATORY UNIT</t>
  </si>
  <si>
    <t>Purchase of Office Supplies for the use of City College of San Jose Del Monte</t>
  </si>
  <si>
    <t>Purchase of various Furniture for the use of City Tourism Office</t>
  </si>
  <si>
    <t>Alcohol 500ml	 &amp; etc. for use in the Office of the Governor		 (S-274-2020)</t>
  </si>
  <si>
    <t>Purchase of water Pump</t>
  </si>
  <si>
    <t>Purchase of Nutrition Pack for Feeding Program</t>
  </si>
  <si>
    <t>Spare parts for repair and maintenance of service vehicles of Provincial Disaster Risk Reduction and Management Office (PDRRMO)</t>
  </si>
  <si>
    <t>SUPPLY AND DELIVERY OF LOT 2: 8,557 BAGS COMPLETE FERTILIZER (14-14-14)</t>
  </si>
  <si>
    <t>SUPPLY, DELIVERY AND INSTALLATION OF SEEPAGE WEIR NO. 1 TELEMETERING SYSTEM</t>
  </si>
  <si>
    <t>Purchase of Student Accident Insurance Plan for JRMSU System</t>
  </si>
  <si>
    <t>Completion of Covered Court</t>
  </si>
  <si>
    <t>Procurement of Various Drugs and Medicines Support to F1 + Botika ng Bayan Outlets in Region I</t>
  </si>
  <si>
    <t>Supply and delivery of 100 sets squid jigger for Cotabato City under 2020 block grant</t>
  </si>
  <si>
    <t>PROCUREMENT OF VARIOUS LABORATORY CHEMICALS FOR VISAYAS AVE. QUEZON CITY LABORATORY (2ND POSTING)</t>
  </si>
  <si>
    <t>Repair and Maintenance of Ambulance</t>
  </si>
  <si>
    <t>IMPROVEMENT OF MALIGCONG PROVINCIAL ROAD (FINAKKAR SECTION)</t>
  </si>
  <si>
    <t>Procurement of Blinds</t>
  </si>
  <si>
    <t>Spare parts for repair and maintenance of service vehicles of Governor’s Office – Executive</t>
  </si>
  <si>
    <t>Paper Glossy</t>
  </si>
  <si>
    <t>Supply and Delivery of Audio and Visual Equipment</t>
  </si>
  <si>
    <t>Supply and Delivery of One (1) Unit Thermoplastic Paint Removing Machine for the use of Traffic Engineering Center for the Removal of Unnecessary Pavement Markings at Various Locations in Metro Manila</t>
  </si>
  <si>
    <t>Supply and delivery of 50 sets marine gillnet for Cotabato City under 2020 block grant</t>
  </si>
  <si>
    <t>SUPPLY AND DELIVERY OF GROCERY ITEMS USE FOR SUPPLEMENTAL FEEDING OF PRIORITY BARANGAYS</t>
  </si>
  <si>
    <t>PROCUREMENT OF OFFICE SUPPLIES, JANITORIAL AND OTHER SUPPLIES FOR THE USE OF LGU-TIGBAUAN, ILOILO.</t>
  </si>
  <si>
    <t>Repair and Maintenance of Slaughterhouse</t>
  </si>
  <si>
    <t>Procurement of JO's Uniform</t>
  </si>
  <si>
    <t>Const. of MDRRMO Stock Room</t>
  </si>
  <si>
    <t>Reproduction of School Forms</t>
  </si>
  <si>
    <t>Supply and Delivery of Printer and Ink</t>
  </si>
  <si>
    <t>Constructions of Footwalk</t>
  </si>
  <si>
    <t>Purchase of other office equipment for the UCT program implementation for CY 2020</t>
  </si>
  <si>
    <t>REHABILITATION OF BRGY. HEALTH STATION | SAN ANTONIO (SAPA)</t>
  </si>
  <si>
    <t>Procurement of various IT supplies</t>
  </si>
  <si>
    <t>SUPPLY, DELIVERY AND INSTALLATION OF FIBER OPTIC CABLE FROM FGEN-TOWER TO DRD-TOWER</t>
  </si>
  <si>
    <t>PROCUREMENT OF 2 SETS DESKTOP COMPUTER TO BE USED IN THE WOMEN'S DESK SECTION (INVESTIGATION) AND PCAD/PCR SECTION FOR DRUG CLEARING PROGRAM</t>
  </si>
  <si>
    <t>Rehabilitation /Improvement of DepED SDO Building and COA Office Building</t>
  </si>
  <si>
    <t>Installation of Glass Partition: Storage Room Office</t>
  </si>
  <si>
    <t>SUPPLY AND DELIVERY OF LOT 1: 49,594 BAGS UREA FERTILIZER (46-0-0)</t>
  </si>
  <si>
    <t>REHABILITATION/IMPROVEMENT OF WATER SYSTEM</t>
  </si>
  <si>
    <t>Repair of Multi-Purpose Center</t>
  </si>
  <si>
    <t>Chlorine Granules and Const Mat. For Environment</t>
  </si>
  <si>
    <t>Procurement of IT Supplies (Cellular Phone) for the University use PR#2020-OSPM-254</t>
  </si>
  <si>
    <t>Supply and Delivery of Fitness Equipment and Devices for BU IPESR (TFB)</t>
  </si>
  <si>
    <t>(GO-PJail) 	  REQUEST FOR QUOTATION (RFQ) For the Procurement of Vehicle Parts  For the Governor’s Office – Provincial Jail (GO-PJail)</t>
  </si>
  <si>
    <t>PREVENTIVE MAINTENANCE AND CALIBRATION SERVICE OF ONE (1) “METROHM 881 COMPACT ION CHROMATROGRAPH (ANION) (S/N: 18810000120128) WITH SUPPLY, DELIVERY AND INSTALLATION OF CONSUMABLES UNDER EMB-ERLSD-EL</t>
  </si>
  <si>
    <t>C20204252  Spare Parts for various provincial equipment</t>
  </si>
  <si>
    <t>SUPPLY AND DELIVERY OF PRINTER (L1455 WIFI DUPLEX) FOR ELEMENTARY SCHOOL</t>
  </si>
  <si>
    <t>SUPPLY AND DELIVERY OF LOT 9: 467 HEADS UPGRADED GOATS</t>
  </si>
  <si>
    <t>C20204256 Spare Parts for provincial equipment 63-N1-30P &amp; 63-N1-33P</t>
  </si>
  <si>
    <t>Supply and Delivery of Dental Chair</t>
  </si>
  <si>
    <t>Procurement of Manual extraction kit and other laboratory supplies and reagents</t>
  </si>
  <si>
    <t>Purchase of Hygienic Aid Kits</t>
  </si>
  <si>
    <t>North Hills Village High School-PO</t>
  </si>
  <si>
    <t>Supplies for 3rd Quarter</t>
  </si>
  <si>
    <t>Request for Quotation</t>
  </si>
  <si>
    <t>Purchase of Construction Materials used for the Construction of Drainage Canal with Steel Grating at New Motorpool Site Divine Mercy, Brgy. Guitnangbayan I, San Mateo, Rizal</t>
  </si>
  <si>
    <t>Supply and Delivery of Materials to be used for the Construction of Stockroom of Slaughterhouse, Andres Ylagan, Naujan, Oriental Mindoro</t>
  </si>
  <si>
    <t>UPGRADING &amp; IMPROVEMENT OF BARANGAY ROAD AT BARANGAY LOURDES, SITIO TOBOG, LOURDES, BUHI, CAMARINES SUR</t>
  </si>
  <si>
    <t>Spare parts for repair and maintenance of service vehicles of LPH-Majayjay District Hospital</t>
  </si>
  <si>
    <t>Construction of Washing/Park Area &amp; Motorshop at Slaughterhouse, Brgy. Macabug, Ormoc City</t>
  </si>
  <si>
    <t>Delivery of Medicines (Lots 1 &amp; 2)</t>
  </si>
  <si>
    <t>APPLIANCES AND FURNITURE EQUIPMENT USE FOR INSTRUCTIONAL use</t>
  </si>
  <si>
    <t>SUPPLY AND DELIVERY OF LOT 8: 379 HEADS SWINE (GILT)</t>
  </si>
  <si>
    <t>Repair and Maintenance of Municipal Building</t>
  </si>
  <si>
    <t>PROCUREMENT OF PALLETS</t>
  </si>
  <si>
    <t>C20204262 Spare Parts for 63-H3-78P Nissan UD Dump Truc 10W P.N. 0081-0027</t>
  </si>
  <si>
    <t>CONCRETING OF ROAD RIGHT OF WAY</t>
  </si>
  <si>
    <t>Purchase of Medical Supplies for the use of City College of San Jose Del Monte</t>
  </si>
  <si>
    <t>Construction of Rural Access Road (Sitio Daga-an)</t>
  </si>
  <si>
    <t>CCTV Monitoring at DSWD FO 1 Guardhouse</t>
  </si>
  <si>
    <t>Procurement of 4 Cylinder Diesel Engine Assembly with Transmission</t>
  </si>
  <si>
    <t>Purchase of Medicines used for Super Health Center of this Municipality</t>
  </si>
  <si>
    <t>Supply &amp; Delivery of Rescue Recovery Hand Tools (Spreader Cutter)</t>
  </si>
  <si>
    <t>Repair &amp; Maintenance of Gutter &amp; I.T. Antenna at Building "B-C", Public Market, Ormoc City</t>
  </si>
  <si>
    <t>Spare parts for repair and maintenance of service vehicles of Provincial Peace and Order Office</t>
  </si>
  <si>
    <t>Procurement for Health Care Supplies for re-opening class of PTC-Kabankalan</t>
  </si>
  <si>
    <t>6ID SBAC-02-20     Supply and Delivery of Additional Subsistence Allowance (ASA) / Food Support Meals of Military Personnel / Security for Cotabato Airport Development Project CY-2018 (Runway Strip Gr</t>
  </si>
  <si>
    <t>Bid No. 20-0397 - PROCUREMENT OF OFFICE SUPPLIES - MASSO/TAX MAPPING PROGRAM</t>
  </si>
  <si>
    <t>Various ICT Materials for Communication and Network Maintenance</t>
  </si>
  <si>
    <t>VARIOUS CONSTRUCTION AT DA-RIARC</t>
  </si>
  <si>
    <t>INSTALLATION OF MANUAL SPILLWAY GATE OPERATORS FOR HOISTING MECHANISM OF MASIWAY SPILLWAY GATES</t>
  </si>
  <si>
    <t>Procurement of 12 Box APTT(Calcium Chloride), 2 X 6.5 ML/Reagent, 6 X 2 ML,240 Tests per Box, etc. under P.R No. 0952-2020-Butuan Medical Center</t>
  </si>
  <si>
    <t>Spare parts for repair and maintenance of service vehicles of Laguna Chest Center</t>
  </si>
  <si>
    <t>Purchase of Electrical Supplies for the use of CENRO Matalam Building</t>
  </si>
  <si>
    <t>Construction Materials for the Construction of Concrete Canal at Public Market, R. T. Lim, Zamboanga Sibugay</t>
  </si>
  <si>
    <t>Supply ad Delivery of Various Devices for Meteorology Laboratory (2nd)</t>
  </si>
  <si>
    <t>Procurement of Semi-Expendable ICT Equipment</t>
  </si>
  <si>
    <t>Supply and Delivery of Twenty-Two (22) Units Vertical Drawer Steel Cabinet for the use of MPCG Area Offices for Filing of Various Documents</t>
  </si>
  <si>
    <t>Rehabiltation of Barangay Road( Del Monte)</t>
  </si>
  <si>
    <t>C20204271 Camera Mirrorless for Provincial Veterinary Office use</t>
  </si>
  <si>
    <t>Procurement of Office Supplies (Lot 1-5)</t>
  </si>
  <si>
    <t>PROCURE 1 UNIT DESKTOP PRINTER / COPIER / SCANNER AND 2 PIECES TONER FOR THE BUSINESS ONES STOP SHOP</t>
  </si>
  <si>
    <t>CONSTRUCTION OF MULTI-PURPOSE BUILDING Phase-II (Procurement of Construction Materials)</t>
  </si>
  <si>
    <t>Camaman-an Elementary School - In-house Module Reproduction</t>
  </si>
  <si>
    <t>Overseas Filipino Bank (Supply and Installation of Aircon)</t>
  </si>
  <si>
    <t>Supply and Delivery of Seedlings (Gmelina, Lanzones, Durian) - MAO</t>
  </si>
  <si>
    <t>SUPPLY AND DELIVERY OF CONSTRUCTION MATERIALS</t>
  </si>
  <si>
    <t>PRAS NO. 2020-08-073 CATERING SERVICES</t>
  </si>
  <si>
    <t>Concreting of Road Gap at Tabon-tabon, Baco, Oriental Mindoro</t>
  </si>
  <si>
    <t>SUPPLY AND DELIVERY OF PRINTER (L1455 WIFI DUPLEX) FOR SECONDARY SCHOOL</t>
  </si>
  <si>
    <t>ITB-GS-20200605-02 - Supply, Delivery and Installation of Advanced Malware Protection System with Three (3) Years Warranty and Subscription</t>
  </si>
  <si>
    <t>UPGRADING &amp; IMPROVEMENT OF BARANGAY ROAD AT BARANGAY SAN RAFAEL, BUHI, CAMARINES SUR</t>
  </si>
  <si>
    <t>Procurement of 4 pieces Tire 265 R18</t>
  </si>
  <si>
    <t>Handwash and Facilitation Facilities</t>
  </si>
  <si>
    <t>GASOLINE, DIESEL OIL AND LUBRICANTS FOR HEAVY EQUIPMENT FOR BANTUAYAN PROJECTS</t>
  </si>
  <si>
    <t>INVITATION TO BID FOR SUPPLY OF SECURITY PERSONNEL FOR NORZAGARAY WATER DISTRICT</t>
  </si>
  <si>
    <t>Supply and Delivery of Photocopier Machine Monochrome for the use of Anti-Littering Law in Photocopying investigation Data Form, Sinumpaang Salaysay and Evidence for Filing of Cases in Different Metro</t>
  </si>
  <si>
    <t>NEGOTIATED PROCUREMENT FOR THE SUPPLY AND DELIVERY OF MATERIALS AND FITTINGS (GOODS-2020-005)</t>
  </si>
  <si>
    <t>ITB 08-002-20 Supply and Delivery of 21,909 bags of Urea Fertilizer</t>
  </si>
  <si>
    <t>Construction /Provision of Wash Facilities/Construction of Handwashing Facilities at Bailon Elementary School, Concepcion Elementary School, Juaton Elementary School, Liloan Elementary School, Magaswe</t>
  </si>
  <si>
    <t>C20204273 IT Equipment for Provincial ELCAC Office</t>
  </si>
  <si>
    <t>Purchase of Veterinary Medicine, Feeds and Pet ID Tag</t>
  </si>
  <si>
    <t>NP2020-02-121 Procurement of Jacket and T-Shirt CBO</t>
  </si>
  <si>
    <t>Supply and Delivery of One (1) Unit Ambulance to be used in the Municipal Health Office, Naujan, Oriental Mindoro</t>
  </si>
  <si>
    <t>Educational Materials and Equipment</t>
  </si>
  <si>
    <t>Small Value Procurement - Supply and installation of aluminum frame fixed glass panel partition and doors</t>
  </si>
  <si>
    <t>Procurement of foot operated trashbin</t>
  </si>
  <si>
    <t>C20204279 Drugs &amp; Meds for three DDN Hospitals Kapalong, IGACOS &amp; Carmen Zone</t>
  </si>
  <si>
    <t>School Supplies -Kindergarten</t>
  </si>
  <si>
    <t>diesel</t>
  </si>
  <si>
    <t>S1-MRO20-006 - Supply and Delivery of Electrical Spare Parts for 163kW Perkins Diesel Engine, Model No. Perkins/2006-TG1 Intended for Power Plants under MROD</t>
  </si>
  <si>
    <t>Freebies during SBI</t>
  </si>
  <si>
    <t>FURNISHING AND DELIVERING LABOR AND MATERIALS FOR THE CONTINUATION OF MULTI-PURPOSE HALL AND EVACUATION CENTER (FINISHING WORKS), BRGY. TELBANG, CAMILING, TARLAC</t>
  </si>
  <si>
    <t>1 Lot Provision of Labor, materials and equipment for the Construction of Perimeter Fence with Bench in Brgy. Maya, Mac Arthur, Leyte. ABC PHP698,010.45</t>
  </si>
  <si>
    <t>Purchase of face shield and face mask</t>
  </si>
  <si>
    <t>C20204278 Ammunitions for PGSO CSS use</t>
  </si>
  <si>
    <t>Supply of Sodium Hypochlorite</t>
  </si>
  <si>
    <t>Procurement of Risograph Machine SF 5130</t>
  </si>
  <si>
    <t>Purchase of Spare parts (Bill Housing 1006550) for the maintenance of Heavy Equipment Grader 135H</t>
  </si>
  <si>
    <t>ITB-GS-20200326-01 - Supply, Delivery, Installation and Configuration of Network and Security Automated Backup &amp; Recovery Solution with Hardware Infrastructure with Three (3) Years Warranty</t>
  </si>
  <si>
    <t>Supply and Delivery of Reusable Bags (Polypropylene &amp; Katsa Cloth with Print</t>
  </si>
  <si>
    <t>NEGOTIATED PROCUREMENT FOR THE SUPPLY AND DELIVERY OF VALVES, RUBBER EXPANSION JOINT, AND PRESSURE GAUGE (GOODS-2020-006)</t>
  </si>
  <si>
    <t>Purchase of various Furniture for Office use of Commission of Audit</t>
  </si>
  <si>
    <t>PROCURE OF VARIOUS ACCOUNTABLE FORMS FOR OFFICE USE</t>
  </si>
  <si>
    <t>Purchase of Medical Supplies used for Super Health Center</t>
  </si>
  <si>
    <t>Purchase of decontamination supplies</t>
  </si>
  <si>
    <t>Supply and Delivery of One (1) Unit Brand New Rescue Transport Van</t>
  </si>
  <si>
    <t>20GG0064-G - Procurement of Tires 14:00x24, Inner Tube and Flap for Use of Power Trac PT-30 Road Grader and Front End Pay Loader L2-1316 Assigned in the Repair and Maintenance of National Roads of DPW</t>
  </si>
  <si>
    <t>RFQ PR NO. 905 JOB ORDER SERVICES</t>
  </si>
  <si>
    <t>REPAIR AND MAINTENANCE OF RP VEHICLE - 086R</t>
  </si>
  <si>
    <t>C20204275 Spare Parts for Provincial Governor's Office H-Ace Grandia</t>
  </si>
  <si>
    <t>Supply &amp; Delivery of 3rd Quarter Office Supplies</t>
  </si>
  <si>
    <t>Purchase of Supplies &amp; Materials for Pre Disaster Covid-19 (BDRRM)</t>
  </si>
  <si>
    <t>School Supplies - Elementary</t>
  </si>
  <si>
    <t>EO-ERS20-001 (PB3) - Construction, Supply, Delivery Installation, Test and Commissioning of Various Utilities at NPC Minuyan Complex, SJDM, Bulacan</t>
  </si>
  <si>
    <t>INVITATION TO BID: PROCUREMENT OF VARIOUS FURNITURE AND FIXTURES</t>
  </si>
  <si>
    <t>Supply of labor and materials for repair of vehicle, Nissan Frontier with Plate No. XLM-601</t>
  </si>
  <si>
    <t>C20204282 Fuel &amp; Lubricants for PEEDO Blood Center SHE 790 &amp; SHE 483</t>
  </si>
  <si>
    <t>Various paint and materials for Cadiz Arena</t>
  </si>
  <si>
    <t>S1-MRO20-008 - Supply and Delivery of Electrical Spare Parts for 600kW Cummins Diesel Engine, Model No. KTA38-G1 Intended for Power Plants under MROD</t>
  </si>
  <si>
    <t>C20204280 Diesel &amp; Gasoline for BM Roy Catalan 4th qtr SHE 880</t>
  </si>
  <si>
    <t>Establishment of Farmland GIS</t>
  </si>
  <si>
    <t>PROCURE 100 PIECES THERMAL SCANNER FOR OFFICE USE</t>
  </si>
  <si>
    <t>S1-MRO20-007 - Supply and Delivery of Electrical Spare Parts for 600/650kW FG Wilson Diesel Engine, Model No. P730P1 Intended for Power Plants under MROD</t>
  </si>
  <si>
    <t>printing services</t>
  </si>
  <si>
    <t>Fabrication and Delivery of Price Boards for the Price References of Consumers in the Public Markets in Region 02</t>
  </si>
  <si>
    <t>Rental of Heavy Equipment for the Construction of Access Road from New Public Terminal to Propose BSU Site/ Crossing Colon Road</t>
  </si>
  <si>
    <t>DELIVERY OF HARDWARE SUPPLIES AND CONSTRUCTION MATERIALS</t>
  </si>
  <si>
    <t>4 UNITS AIR-CONDITIONED FLOOR MOUNTED AND WINDOW TYPE INCLUDING INSTALLATION WITH 1 YEAR WARRANTY</t>
  </si>
  <si>
    <t>Concreting of Road Gap at ManganganI, Baco, Oriental Mindoro</t>
  </si>
  <si>
    <t>Printing of Learning Materials for Grade 11 and 12</t>
  </si>
  <si>
    <t>C20204265 Geotagging/Monitoring Device for E-LCCAP GHG Inventory</t>
  </si>
  <si>
    <t>Spare parts for repair and maintenance of service vehicles of Laguna Provincial Jail Office</t>
  </si>
  <si>
    <t>SUPPLY AND DELIVERY OF LOT 7: 83 HEADS CARABAO (CARAHEIFER)</t>
  </si>
  <si>
    <t>NEGOTIATED PROCUREMENT FOR THE SUPPLY, DELIVERY, TESTING AND COMMISSIONING OF ON-LINE MULTI-PARAMETER ANALYZER AND WATER LEVEL SENSOR (GOODS-2020-010)</t>
  </si>
  <si>
    <t>Supply and Delivery of Laboratory Equipment (GOODS-20-41)</t>
  </si>
  <si>
    <t>Supply and delivery of materials for the Rehabilitation of Municipal Hall</t>
  </si>
  <si>
    <t>PURCHASE OF OFFICE AND SCHOOL SUPPLIES FOR BROOKSIDE ES</t>
  </si>
  <si>
    <t>Installation of Sanitary Toilet of Multi-Purpose Building</t>
  </si>
  <si>
    <t>procurement/delivery of construction materials</t>
  </si>
  <si>
    <t>FURNISHING AND DELIVERING LABOR AND MATERIALS FOR THE CONSTRUCTION OF DAY CARE CENTER WITH WASH AREA AND COMFORT ROOM, BRGY. BACSAY, CAMILING, TARLAC</t>
  </si>
  <si>
    <t>Procurement of Construction Materials for Water Tank Construction(Guminta)</t>
  </si>
  <si>
    <t>Procurement of ventilator circuit and other medical and surgical supplies</t>
  </si>
  <si>
    <t>Purchase of Medicines &amp; Medical Supplies for the use Mun. Health for the Municipality of Lugait, Misamis Oriental.</t>
  </si>
  <si>
    <t>Procurement of Listahanan3 ICT Equipment (Camera)</t>
  </si>
  <si>
    <t>Supply and Delivery of Electrical Materials (1 lot)</t>
  </si>
  <si>
    <t>C20204265 Food Supplies for use of PGO</t>
  </si>
  <si>
    <t>SUPPLY AND DELIVERY OF MATERIALS FOR THE REPIPING  OF EXISTING BUILDING</t>
  </si>
  <si>
    <t>Construction of Drainage System from Frederick St., Gustavos St., Michael St. Open Space (Area 7) to Creek, Kingsville Subdivision, Brgy. Mambugan, Antipolo City</t>
  </si>
  <si>
    <t>SH-001-20 (SBAC) - PURCHASE OF SUPPLIES IN RESPONSE TO COVID-19 PANDEMIC UNDER PR 20-234</t>
  </si>
  <si>
    <t>Supply and Delivery of Business Plate (BPLO)</t>
  </si>
  <si>
    <t>Water System for Information Center located at So. Guintubdan, Brgy. Ara-al, La Carlota City, Negros Occidental</t>
  </si>
  <si>
    <t>PROVISION OF FOOD DURING THE MDC MEETING (AUGUST 10, 2020 AT 1 PM)</t>
  </si>
  <si>
    <t>Purchase of Brass Water Meter and Flow Meter</t>
  </si>
  <si>
    <t>Jerrican with faucet</t>
  </si>
  <si>
    <t>20MA0131-Concreting of Brgy. Bugasan Sur FMR, Brgy. Bugasan Sur, Matanog,  Maguindanao</t>
  </si>
  <si>
    <t>Supply ad Delivery of IT Equipment and Devices for Meteorology Laboratory (TFB)</t>
  </si>
  <si>
    <t>C20204189 Spare Parts for repair &amp; maint of Toyota Avanza Plate No. VU1311 assigned to BM Silutan</t>
  </si>
  <si>
    <t>Procurement of Eleven (11) units of Laptop</t>
  </si>
  <si>
    <t>SVP PUR20-07-0623 Procurement of External Thread Cryovial for Dept. of Laboratories</t>
  </si>
  <si>
    <t>Procurement of One Unit Brand New Motor Vehicle for the Municipal Vice Mayor's Office</t>
  </si>
  <si>
    <t>Supply and Delivery of Firewall License with One (1) year Advanced Threat Protection</t>
  </si>
  <si>
    <t>Construction and Installation of Streetlights in Barangay Luna, Mabini, Pangasinan</t>
  </si>
  <si>
    <t>Construction Materials for the Concreting/Rehabilitation of Barangay Hall Pathway  Gango,  R. T. Lim, Zamboanga Sibugay</t>
  </si>
  <si>
    <t>Supply and Delivery of Photocopier Toner for the use of Office of the Sangguniang Panglungsod Members and Secretary to the Sangguniang Panglungsod</t>
  </si>
  <si>
    <t>Supply and Delivery of Camera Lens for MIO</t>
  </si>
  <si>
    <t>IMPROVEMENT OF MULTI-PURPOSE HALL AT BARANGAY ENCARNACION</t>
  </si>
  <si>
    <t>FOR EMERGENCY HEALTH RESPONDERS USE ( COVID 19 Response)</t>
  </si>
  <si>
    <t>DRINKING FOUNTAIN</t>
  </si>
  <si>
    <t>Supply and Delivery of Construction Materials for the Improvement of Material Recovery Facility (MRF) of Barangay Bulaon, City of San Fernando, Pampanga</t>
  </si>
  <si>
    <t>SUPPLY AND DELIVERY OF  13 UNITS TENT AND 130 PCS FOLDING BED</t>
  </si>
  <si>
    <t>PHO-C-NC-2020-094 PR2020-110 REQUEST FOR QUOTATION FOR THE PROCUREMENT OF PACKED MEALS AND SNACKS</t>
  </si>
  <si>
    <t>school supplies</t>
  </si>
  <si>
    <t>Procurement of Goods for Laboratory  Equipment</t>
  </si>
  <si>
    <t>FURNISHING AND DELIVERING OFFICE SUPPLIES FOR OFFICE OF THE SANGGUNIANG BAYAN, CAMILING, TARLAC</t>
  </si>
  <si>
    <t>Procurement of Various Seeds, Planting Materials, Fertilizers, Various Pesticides &amp; Various Merchandise Lot 4 - Various Pesticides</t>
  </si>
  <si>
    <t>SUPPLY AND DELIVERY OF TWO (2) UNITS MOTORCYCLE</t>
  </si>
  <si>
    <t>PURCHASE OF MOTORCYCLE FOR FIELD USE OF MLGOO</t>
  </si>
  <si>
    <t>ADDITIONAL SUPPLIES FOR PRINTING OF MODULES</t>
  </si>
  <si>
    <t>BM-GARCIA-NC-2020-0411 PR2020-0543 REQUEST FOR QUOTATION FOR THE PROCUREMENT OF TUBELESS TIRES, ENGINE OIL, OIL AND FUEL FILTER, LABOR, HEAD LIGHT ASSEMBLY, AND WIPER BLADE</t>
  </si>
  <si>
    <t>RFQ-0994 Multivitamins, Adult</t>
  </si>
  <si>
    <t>Food Provision for the Conduct of SBAC, TWG and End User Meeting for CY 2020 (PRAS No. 2020-070 &amp; SH-025-2020)</t>
  </si>
  <si>
    <t>Procurement of Various Seeds, Planting Materials, Fertilizers, Various Pesticides &amp; Various Merchandise Lot 3 - Various Fertilizers</t>
  </si>
  <si>
    <t>BEMO-NC-2020-0413 PR2020-549 REQUEST FOR QUOTATION FOR THE PROCUREMENT OF COPIER</t>
  </si>
  <si>
    <t>Improvement of Multi-Purpose Hall</t>
  </si>
  <si>
    <t>PR#20-08-0479</t>
  </si>
  <si>
    <t>Supply and Delivery of Construction Materials for Construction of Material Recovery Facility (MRF)</t>
  </si>
  <si>
    <t>INSTALLATION OF CCTV PACKAGE 16 CHANNEL FULL HD 1080P</t>
  </si>
  <si>
    <t>DARF02.QES.115.20-08-035 DEVELOPMENT OF WATERSHED OF ON-STATION SWIP #1</t>
  </si>
  <si>
    <t>PURCHASE AND INSTALLATION OF FLOOR STANDING AIR CONDITIONING UNIT</t>
  </si>
  <si>
    <t>Rehabilitation of Brgy. Road @ Purok 7</t>
  </si>
  <si>
    <t>DELIVERY OF MATERIALS FOR DepEd CONTINUITY LEARNING PROGRAM</t>
  </si>
  <si>
    <t>Meals &amp; Snack during malaria advocacy</t>
  </si>
  <si>
    <t>Office Equipment Supplies and Consumable</t>
  </si>
  <si>
    <t>C20204287 Coco Coir Dust for support to production of tissue culture plantlets</t>
  </si>
  <si>
    <t>PURCHASE OF 4800 PORTFOLIO</t>
  </si>
  <si>
    <t>Conduct of Subsurface Exploration/Preliminary Detailed Engineering for FY 2021 Regular Infrastructure, Mabato Bridge 1, Mabato Bridge 2, Balogo Bridge, Malaiba Br. 1 (B00409nr), Alangilanan Bridge, Ma</t>
  </si>
  <si>
    <t>Request for Quotation for the supply and delivery of 6"x10m HDPE Pipe SDR 11 for repipe laying in Kaymino Road to Holcim Road, Villarama Highway, Norzagaray, Bulacan</t>
  </si>
  <si>
    <t>Access Point to be used by DSWD FO 1 staff</t>
  </si>
  <si>
    <t>Procurement of Petroleum, Oil and Lubricants</t>
  </si>
  <si>
    <t>School Supplies</t>
  </si>
  <si>
    <t>supply &amp; delivery of Various Laboratory Supplies</t>
  </si>
  <si>
    <t>CONSTRUCTION MATERIALS AND SUPPLIES</t>
  </si>
  <si>
    <t>Prepaid Card</t>
  </si>
  <si>
    <t>to purchase office equipment and accessories</t>
  </si>
  <si>
    <t>supply &amp; delivery of Various Printing Materials</t>
  </si>
  <si>
    <t>supply &amp; delivery of Various Maintenance Materials</t>
  </si>
  <si>
    <t>Design and Build for the Construction of Alternative Water Supply (Level III)</t>
  </si>
  <si>
    <t>Materials for Distribution of Learning Modules</t>
  </si>
  <si>
    <t>REPAIR &amp; MAINTENANCE OF AIR-CONDITIONING UNITS AT CALBAYOG AIRPORT</t>
  </si>
  <si>
    <t>Supply and Delivery of Vellum Paper</t>
  </si>
  <si>
    <t>Procurement of Flu Vaccine - Fluquadri</t>
  </si>
  <si>
    <t>PURCHASE OF SUPPLIES FOR WOMEN’S HEALTH &amp; SAFE MOTHERHOOD PROGRAM</t>
  </si>
  <si>
    <t>School Supplies - Senior HS</t>
  </si>
  <si>
    <t>Office supplies on the Implementation of Family Planning Program BHW and Health Navigators</t>
  </si>
  <si>
    <t>C20204286 Dental Equipment for DOH Requirement for renewal of License for DDNH Carmen Zone</t>
  </si>
  <si>
    <t>Labor and Materials for the Fabrication and Installation of Steel Shelves at COA Building</t>
  </si>
  <si>
    <t>CENRO DON CARLOS OFFICE SUPPLIES FOR THE PERIOD JULY TO DECEMBER 2020</t>
  </si>
  <si>
    <t>MPG-B1-2020-418 - SUPPLY AND DELIVERY OF 11,300,000 ROUNDS BRAND NEW  CTG 9MM, BALL FOR THE PHILIPPINE ARMY (PA)</t>
  </si>
  <si>
    <t>Office Supplies for DRMD-CCAM</t>
  </si>
  <si>
    <t>Division Training for Scriptwriters, Production/Technical Team and Teacher-Broadcasters for TV-Based Instruction</t>
  </si>
  <si>
    <t>Supply, Delivery, and Installation of Various Office Furniture for the Different Units of the University</t>
  </si>
  <si>
    <t>Supply and Delivery of OTG-USB with customized lanyard and gift box and other item</t>
  </si>
  <si>
    <t>FUEL, OIL &amp; LUBRICANTS</t>
  </si>
  <si>
    <t>Meals and Snacks for the conduct of RMDC 1st Sem CY 2020</t>
  </si>
  <si>
    <t>21CSGI0001 - CONSULATNCY SERVICES FOR THE  				CONDUCT OF GEOTECHNICAL   				SUBSURFACE EXPLORATION FOR  				PROPOSED FY 2021 BRIDGE AND FLOOD  				CONTROL PROJECTS: A. BRIDGES 1. WIDENING OF BRIDGE -</t>
  </si>
  <si>
    <t>SUPPLY AND DELIVERY OF BALANCE TABLE and pH/ATC ELECTRODE UNDER EMB-ERLSD-ELSS-INORGANICS LABORATORY</t>
  </si>
  <si>
    <t>Janitorial Supplies Intended for DRMD Other Office Supplies</t>
  </si>
  <si>
    <t>supply &amp; delivery of Tires and Accessories</t>
  </si>
  <si>
    <t>C20204283 Diesel &amp; Gasoline for 3rd qtr Office of BM Estabillo</t>
  </si>
  <si>
    <t>INVITATION TO BID FOR SUPPLY AND DELIVERY OF SCHOOL SUPPLIES</t>
  </si>
  <si>
    <t>Lease of Venue with full Board and Lodging, and Catering Services</t>
  </si>
  <si>
    <t>COVID-19 PPE SUPPLIES</t>
  </si>
  <si>
    <t>20GAF0058SVP, REPAIR/MAINTENANCE OF SLOPE PROTECTION ALONG RABON-DAMORTIS ROAD (ACT. 71X SPECIAL MAINTENANCE) (SUPPLY/DELIVERY OF MATERIALS), ROSARIO, LA UNION K0404+193-K0404+159 (L)</t>
  </si>
  <si>
    <t>REHABILITATION OF DAY CARE CENTER</t>
  </si>
  <si>
    <t>supply &amp; delivery of Various Materials</t>
  </si>
  <si>
    <t>Water Testing Comparator</t>
  </si>
  <si>
    <t>ITB-GS-20200629-01 - 1 Lot Supply, Delivery, and Installation of 300 Units Automated Teller Machines (Thru-the-Wall Type) inclusive of a Four (4) Year Maintenance Support Services and Spare Parts</t>
  </si>
  <si>
    <t>20GFC0040: Purchase of Spare Parts and Accessories for Motor Vehicles, DPWH – Maintenance Section</t>
  </si>
  <si>
    <t>Procurement of Bond Papers and Binding Materials</t>
  </si>
  <si>
    <t>DESKTOP (Rent-to-Own)- RESU</t>
  </si>
  <si>
    <t>Provision of meals and snacks</t>
  </si>
  <si>
    <t>Procurement of Printers</t>
  </si>
  <si>
    <t>RFQ# 2020-07-034-Supply/Delivery of Common Office Equipment, Inventory Survey    Instrument &amp; Protector Gear for use in the Planning &amp; Design Section, DPWH-NSFDEO, Catarman, N. Samar</t>
  </si>
  <si>
    <t>Purchase of Mountain Bikes with Accessories for the PNP Bike Patrol</t>
  </si>
  <si>
    <t>REPAIR &amp; MAINTENANCE OF SIDES VMA-28 FIRETRUCK AT CALBAYOG AIRPORT</t>
  </si>
  <si>
    <t>INVITATION TO QUOTE FOR PRINTING SERVICES  VSU-Main, Baybay City, Leyte (PO20-08-0344-0348)</t>
  </si>
  <si>
    <t>SUPPLIES FOR MOOE 3RD QUARTER 2020</t>
  </si>
  <si>
    <t>CID Personel for the Production of Modules</t>
  </si>
  <si>
    <t>Labor and Materials for the Upgrading of 3 Phase 100 AMP Automatic Transfer Switch at the DSWD Field Office 1</t>
  </si>
  <si>
    <t>CONSTRUCTION OF LINDAGONG CONCRETE FOOTBRIDGE</t>
  </si>
  <si>
    <t>Computer Supplies</t>
  </si>
  <si>
    <t>PURCHASE, DELIVERY, and INSTALLATION OF 1 UNIT VHF REPEATER with NTC LICENSE  AND ACCESSORIES</t>
  </si>
  <si>
    <t>Concreting of road</t>
  </si>
  <si>
    <t>PROCUREMENT OF TOKENS</t>
  </si>
  <si>
    <t>Training on the Implementation of Family Planning Program  BHW and Health Navigators- (Various Drinks)</t>
  </si>
  <si>
    <t>20GFC0043: Purchase of Tires for Motor Vehicles, DPWH – Camarines Norte District Engineering Office</t>
  </si>
  <si>
    <t>20GFC0039: Purchase of Office Supplies, DPWH-CNDEO, Daet, Camarines Norte</t>
  </si>
  <si>
    <t>Procurement of Video conference Equipment for LGA</t>
  </si>
  <si>
    <t>Supply &amp; Delivery of 1 unit Chainsaw for use of Barangay Sto. Nino, Calapan City, Oriental Mindoro</t>
  </si>
  <si>
    <t>20GFC0042: Purchase of Asphalt Aggregates for Asphalt Patching of Primary and Secondary National Road, Camarines Norte</t>
  </si>
  <si>
    <t>FENCING OF NEW SLAUGHTERHOUSE, SAN AGUSTIN, CASTILLEJOS ,ZAMBALES</t>
  </si>
  <si>
    <t>School Supplies - Junior HS</t>
  </si>
  <si>
    <t>SUPPLY AND DELIVERY OF TRANSPARENT EXPANDING ENVELOPE WITH HANDLE.</t>
  </si>
  <si>
    <t>SUPPLY AND DELIVERY OF ONE 1 UNIT DESKTOP COMPUTER INTENDED FOR THE MPDO USE</t>
  </si>
  <si>
    <t>SUPPLY AND DELIVERY OF CORN HARVESTER   CRAWLER TIRE DT70 INTENDED FOR THE MAO DEMO FARM USE</t>
  </si>
  <si>
    <t>Canopy Tent, Plywood &amp; Trapal (COVID-19 &amp; Gov't vehicle SDN 697)</t>
  </si>
  <si>
    <t>4th DIVISION CONVERGENCE OF EDUCATION LEADERS</t>
  </si>
  <si>
    <t>Food Processing Equipment</t>
  </si>
  <si>
    <t>Training on the Implementation of Family Planning Program BHW and Health Navigators (Diesel)</t>
  </si>
  <si>
    <t>Hydrovac with Brake Master (Gov't vehicle SGL 536, SDN 697, SDN 519)</t>
  </si>
  <si>
    <t>Vehicle Supplies (Gov't vehicle SKA 522)</t>
  </si>
  <si>
    <t>Repair of Classrooms for Conversion to Medical/Dental Clinic under CY 2019 BEFF Lot 1 and 2 (revised Lot 3)</t>
  </si>
  <si>
    <t>Breeding stocks</t>
  </si>
  <si>
    <t>CONSTRUCTION OF THREE-STOREY MULTI PURPOSE BUILDING (PHASE 2) ADDITIONAL WORKS/RETROFITTING/CONSTRUCTION OF BUILDING AND STRUCTURE LOOC, CASTILLEJOS, ZAMBALES</t>
  </si>
  <si>
    <t>FENCING AND SITE DEVELOPMENT OF NEW CEMETERY, NAGBUNGA CASTILLEJOS, ZAMBALES</t>
  </si>
  <si>
    <t>CONSTRUCTION OF SIBUL-CEMETERY ROAD STA. MARIA, CASTILLEJOS, ZAMBALES</t>
  </si>
  <si>
    <t>Tire Tubeless (Gov't vehicle SDN 519, SGC 311, SKA 522)</t>
  </si>
  <si>
    <t>PROCUREMENT AND DELIVERY OF IT EQUIPMENT (laptops) for CFES/DFS, VSU-Main, Visca, Baybay City, Leyte (PSMO20-05-0256)</t>
  </si>
  <si>
    <t>Supply and Delivery of Printer Inks</t>
  </si>
  <si>
    <t>ROAD REPAIR WORKS ALONG PRESIDENT DIOSDADO MACAPAGAL BOULEVARD (PDMB), ASEAN AVENUE AND J.W. DIOKNO (BAY) BOULEVARD</t>
  </si>
  <si>
    <t>PROCUREMENT OF 1 UNIT LAPTOP</t>
  </si>
  <si>
    <t>20GFC0048: Purchase of Materials of Road Safety Devices (Guardrails), Daang Maharlika (S03784LZ) K0249+800 – K0273+679 (with exception)</t>
  </si>
  <si>
    <t>Procurement of Nine (9) sets Detroit Engine Assy 6V-53N (Power Pack) for M113 APC</t>
  </si>
  <si>
    <t>REPAIR AND MAINTENANCE- MARKET (IMPROVEMENT OF PROPOSED FISH SECTION), SAN JUAN,CASTILLEJOS,ZAMBALES</t>
  </si>
  <si>
    <t>20GFE0017 – SUPPLY OF MATERIALS FOR EROSION CONTROL, TRAFFIC SERVICES, PAVEMENT, PAVEMENT AND BRIDGE MAINTENANCE ALONG NATIONAL ROADS – 3RD QUARTER</t>
  </si>
  <si>
    <t>Supply and Delivery of 2 Units Generator Set for Multi-Purpose Center</t>
  </si>
  <si>
    <t>20GFC0046: Purchase of Hardware Materials, DPWH – CNDEO, Camarines Norte</t>
  </si>
  <si>
    <t>Supply and Delivery of 2 Units 20 KVA Generator Set</t>
  </si>
  <si>
    <t>Concreting of Box Culvert Approach at Barangay Paranum</t>
  </si>
  <si>
    <t>Supply and Delivery  of Consumables Ink (Ink CV black 800ml) for Basilan National High School</t>
  </si>
  <si>
    <t>PROCUREMENT OF 1 UNIT SERVICE VEHICLE, RHU CASTILLEJOS, ZAMBALES</t>
  </si>
  <si>
    <t>Services of a Provider for Online Customized or Off-the-Shelf Courses (for asynchronous learning) on Digital Literacy Fundamentals</t>
  </si>
  <si>
    <t>IT Supplies (NAVDPCP)</t>
  </si>
  <si>
    <t>Procurement of Materials for the Rehabilitation of Solar Drier at Brgy. Mabunga, Mahaplag, Leyte</t>
  </si>
  <si>
    <t>Procurement of Bond Paper for Printing of SLM</t>
  </si>
  <si>
    <t>PROCUREMENT OF 1-UNIT AMBULANCE (FULLY EQUIPPED) RHU, CASTILLEJOS, ZAMBALES</t>
  </si>
  <si>
    <t>Construction of RHU Extension Building</t>
  </si>
  <si>
    <t>INVITAITON TO BID FOR THE CONCRETING OF FARM TO MARKET ROAD AT BARANGAY DORONGAN</t>
  </si>
  <si>
    <t>Drug Test Kit (DATRC - Malagos)</t>
  </si>
  <si>
    <t>PROCUREMENT OF ANTI RABIES, RHU, CASTILLEJOS, ZAMBALES</t>
  </si>
  <si>
    <t>Supply and Delivery of Tanod Supplies</t>
  </si>
  <si>
    <t>IMPROVEMENT OF FARM TO MARKET ROAD ALONG COASTAL BARANGAYS</t>
  </si>
  <si>
    <t>Procurement of 200 pcs Tires for SFV and Commando V150</t>
  </si>
  <si>
    <t>Services of a Provider for the Conduct of Virtual Instructor-Led Training on Agile Leadership</t>
  </si>
  <si>
    <t>SVP PUR20-07-0612 &amp; PUR20-07-0611 Procurement of Bundy cards &amp; etc.</t>
  </si>
  <si>
    <t>Door Shock Absorber (Gov't vehicle SEN 687)</t>
  </si>
  <si>
    <t>STUDENTS MODULE</t>
  </si>
  <si>
    <t>Procurement of Catering Services for the Workshop on the Development, Quality Assurance and Reproduction of Locally Developed Learning Resources</t>
  </si>
  <si>
    <t>Procurement of Additional Services for the Temperature-Controlled Packaging and Transport of Vaccines Including Diluents under IB No. 2020-234</t>
  </si>
  <si>
    <t>20GFC0049: Purchase of Small Equipments, DPWH-CNDEO, Daet, Camarines Norte</t>
  </si>
  <si>
    <t>IMPROVEMENT/REHABILITATION OF BARANGAY SAN PABLO-CAPPA-CAPPA FARM TO MARKET ROAD</t>
  </si>
  <si>
    <t>Services of a Provider for Online Customized or Off-the-Shelf Courses (for asynchronous learning) on Virtual Leadership</t>
  </si>
  <si>
    <t>PROCUREMENT OF DRUGS AND MEDICINES, RHU CASTILLEJOS, ZAMBALES</t>
  </si>
  <si>
    <t>Supply and Delivery of Consumables</t>
  </si>
  <si>
    <t>PROCUREMENT OF 1-unit MOTORCYCLE W/ SIDECAR</t>
  </si>
  <si>
    <t>G-2020-499 Supply and Installation of Industrial Ceiling Fan, City Schools Division</t>
  </si>
  <si>
    <t>CONSTRUCTION OF SAN PABLO FARMERS MULTI-PURPOSE BLDG. 1</t>
  </si>
  <si>
    <t>PROPOSED CONSTRUCTION OF BASKETBALL COURT AT KASINAY, BRGY. DARANGAN, BINANGONAN, RIZAL</t>
  </si>
  <si>
    <t>Construction of 30 Meters Wooden Wharf in Sitio Matangule, Bancalaan, Balabac, Palawan</t>
  </si>
  <si>
    <t>REHABILITATION OF DRAINAGE SYSTEM ( CANAL LINING / CANAL COVER )</t>
  </si>
  <si>
    <t>Provision for the Development, Quality Assurance and Reproduction of Locally Developed Learning Resources</t>
  </si>
  <si>
    <t>IMPROVEMENT/REHABILITATION OF BATERIA POST HARVEST FACILITY</t>
  </si>
  <si>
    <t>Widening of Barangay Road, Laying of CHB &amp; Installation of Grating at Sitio Guintuan, Durungao, Bauan, Batangas</t>
  </si>
  <si>
    <t>Anti-COVID 19 Supplies</t>
  </si>
  <si>
    <t>PRINTING OF ACTIVITY SHEETS FOR ALL GRADE LEVELS</t>
  </si>
  <si>
    <t>INVITATION TO BID: PROCUREMENT (SUPPLY AND DELIVERY) OF VARIOUS INFORMATION TECHNOLOGY (IT) EQUIPMENT</t>
  </si>
  <si>
    <t>Module</t>
  </si>
  <si>
    <t>SUPPLY AND DELIVERY OF LABORATORY CONSUMABLES (FILTERS) UNDER EMB-ERLSD-ELSS-INORGANICS LABORATORY</t>
  </si>
  <si>
    <t>Office Supplies for the Third Quarter</t>
  </si>
  <si>
    <t>Construction and Installation of Street Lights</t>
  </si>
  <si>
    <t>CONSTRUCTION OF ONE (1) CLASSROOM TEMPORARY LEARNING SHELTER (TLS)</t>
  </si>
  <si>
    <t>G-2020-504 Supply and Delivery of Document Scanner Machine, City Schools Division</t>
  </si>
  <si>
    <t>PURCHASE AND INSTALLATION OF STREETLIGHTS USING LED LIGHTS AT SAN JUAN, ALITAGTAG, BATANGAS</t>
  </si>
  <si>
    <t>Supply and Delivery of Uniform for SB &amp; Workers</t>
  </si>
  <si>
    <t>G-2020-505 Supply and Delivery of Assorted Supplies, Local Disaster Risk Reduction Management Division</t>
  </si>
  <si>
    <t>Supply and delivery of sanitation supplies for the conduct of 2020 CPH fourth level training.</t>
  </si>
  <si>
    <t>20GMH075 - SUPPLY/DELIVERYOFREPAIRMATERIALSFORPLANNEDCORRECTIVEMAINTENANCEOFONE(1)UNITDUMPTRUCK(H3-6416)ANDONE(1)UNITPAYLOADER (L2-1494)</t>
  </si>
  <si>
    <t>SVP PUR20-07-0621 &amp; PUR20-07-0606 Procurement of Ballpens, etc.</t>
  </si>
  <si>
    <t>Second Floor Extension of the Administration Building Phase 2</t>
  </si>
  <si>
    <t>20GMH074 - SUPPLY/DELIVERYOFOFFICESUPPLIESFORUSEOFCONSTRUCTION SECTION</t>
  </si>
  <si>
    <t>REPAIR / INSTALLATION OF STREET LIGHTS ( relocation )</t>
  </si>
  <si>
    <t>20GMH073 - SUPPLY/DELIVERYOFONE(1)UNITGENERATOR SET,DIESELENGINEANDSUPPLY/INSTALLATIONOF ONE(1)AUTOMATICTRANSFERSWITCH(ATS)FOR USEOFSULTANKUDARAT2NDDISTRICT ENGINEERING OFFICE</t>
  </si>
  <si>
    <t>INSTALLATION OF STREET LIGHTS, SO. BERNESAN &amp; TANQUINTO-CROSSING DUMPSITE, BRGY. MABINI</t>
  </si>
  <si>
    <t>Supply and delivery of janitorial supplies for the conduct of 2020 CPH fourth level training.</t>
  </si>
  <si>
    <t>Group Personal Accident with Health Insurance of the RA 7687, RA 10612 and Merit Scholars</t>
  </si>
  <si>
    <t>G-2020-513 Supply and Delivery of Office &amp; Janitorial Supplies, Various Office</t>
  </si>
  <si>
    <t>Procurement of Molecular Laboratory Information System</t>
  </si>
  <si>
    <t>For the Reproduction of Modules and Capslet</t>
  </si>
  <si>
    <t>REPAIR / IMPROVEMENT OF MULTI-PURPOSE HALL ( ROOFING EXT.)</t>
  </si>
  <si>
    <t>Purchase of Laboratory Equipment for BatStateU-ARASOF Nasugbu</t>
  </si>
  <si>
    <t>Group Personal Accident with Health Insurance of the ASTHRDP, NCGSME, ERDT, HRDP and Strand Scholars</t>
  </si>
  <si>
    <t>20GHI0028 IT Parts and Accessories and Peripherals</t>
  </si>
  <si>
    <t>construction and rehab of street lights</t>
  </si>
  <si>
    <t>Purchase of Office Equipment (Industrial Fan)</t>
  </si>
  <si>
    <t>G-2020-510 Supply and Delivery of Medical &amp; Laboratory Supplies, City Health Services Department</t>
  </si>
  <si>
    <t>For Reproduction of Self-Learning Modules for DepEd - Division of General Santos City</t>
  </si>
  <si>
    <t>20OH0158-Proposed Construction of One (1) Unit 4-Storey Transient officers Quarters at CJVAB, Pasay City</t>
  </si>
  <si>
    <t>PROCUREMENT OF 1-UNIT AIRCONDITIONER</t>
  </si>
  <si>
    <t>Installation of Solar power Lightining in covered Court with Bending Machine Switch</t>
  </si>
  <si>
    <t>Internet Connection for CARUSA INTEGRATED SCHOOL</t>
  </si>
  <si>
    <t>20OH0157-Proposed Repair, Renovation and Installation of Modular Partition at Usec. Ramos Office, DPWH Main Office, Bonifacio Drive, Port Area, Manila</t>
  </si>
  <si>
    <t>PROCUREMENT OF VARIOUS SUPPLIES TO BE USED IN MODULAR LEARNING</t>
  </si>
  <si>
    <t>G-2020-512 Supply and Delivery of Communication Supplies, Local Disaster Risk Reduction Management Division</t>
  </si>
  <si>
    <t>CONSTRUCTION  OF CONCRETE BLEACHER (P-1)</t>
  </si>
  <si>
    <t>20OH0156-Proposed Renovation and Installation of Modular Partition at Asec. Pipo’s Office, DPWH Main Office, Bonifacio Drive, Port Area, Manila</t>
  </si>
  <si>
    <t>G-2020-522 Supply and Delivery of Air Purifier, City Schools Division</t>
  </si>
  <si>
    <t>G-2020-511 Supply and Delivery of Vegetable Seeds (Assorted), City Agricultural Services Department</t>
  </si>
  <si>
    <t>Procurement of Food Supply</t>
  </si>
  <si>
    <t>G-2020-521 Supply and Delivery of Office &amp; Janitorial Supplies, City Administration Office</t>
  </si>
  <si>
    <t>REHABILITATION AND IMPROVEMENT OF SLAUGHTER HOUSE (STRAIGHT CONTRACT LABOR &amp; MATERIALS)	Contract Reference Number: ITB#2020-080; PR# 2020-07-1288 Name of the Contract: REHABILITATION AND IMPROVEMENT O</t>
  </si>
  <si>
    <t>Improvement of  Barangay Covered Court -Magtangtang</t>
  </si>
  <si>
    <t>G-2020-520 Supply and Delivery of Pantry Supplies, City Administration Office</t>
  </si>
  <si>
    <t>PRINTING EQUIPMENT FOR THE REPRODUCTION OF SELF-LEARNING MODULES (SLMS), DIVISION OFFICE</t>
  </si>
  <si>
    <t>Rehabilitation of Barangay Hall</t>
  </si>
  <si>
    <t>STREETLIGHTS</t>
  </si>
  <si>
    <t>PROCUREMENT OF BOND PAPERS AND INK TONER</t>
  </si>
  <si>
    <t>CONSTRUCTION/ IMPROVEMENT OF EVACUATION CENTER AT PINAGKURUSAN, ALITAGTAG, BATANGAS</t>
  </si>
  <si>
    <t>Catering Services for the Various Committees Activities</t>
  </si>
  <si>
    <t>Construction of Concrete Stairways and Railings at Purok 2-3</t>
  </si>
  <si>
    <t>Supply and delivery of other supplies for the conduct of 2020 CPH.</t>
  </si>
  <si>
    <t>PURCHASE AND INSTALLATION OF STREETLIGHTS USING LED LIGHTS AT TADLAC, ALITAGTAG, BATANGAS</t>
  </si>
  <si>
    <t>G-2020-503 Supply and Delivery of Barong Tagalog, Department of the Interior and Local Government</t>
  </si>
  <si>
    <t>20GD0111 - REPAIR/MAINTENANCE OF DRAINAGE (CLUSTERED)</t>
  </si>
  <si>
    <t>Internet Connection for Tipolo Elementary School</t>
  </si>
  <si>
    <t>Procurement of Office Equipment Supplies for PWD</t>
  </si>
  <si>
    <t>RFQ 2020-08-22 flyers</t>
  </si>
  <si>
    <t>20-07-546 Purchase of Construction Supplies and Materials for Classroom Repair of Alamada Secondary Schools</t>
  </si>
  <si>
    <t>IMPROVEMENT OF MULTI PURPOSE BUILDING, SO. TANQUINTO, BRGY. MABINI</t>
  </si>
  <si>
    <t>Internet Connection for Kahayagan Elementary School</t>
  </si>
  <si>
    <t>G-2020-502 Supply and Delivery of Printed Materials, Office of the City Mayor - PWD</t>
  </si>
  <si>
    <t>Internet Connection for Badian Elementary School</t>
  </si>
  <si>
    <t>Supply and Delivery of Loyalty Souvenir Items</t>
  </si>
  <si>
    <t>GENERAL BODY REPAIR OF SCV 501 TOYOTA 6000, CGSO</t>
  </si>
  <si>
    <t>CONCRETE PATHWAY</t>
  </si>
  <si>
    <t>Supply and delivery of school MOOE of Cagawasan Elementary School</t>
  </si>
  <si>
    <t>PR 2020-08-20 lcp addtl ink master and bond papers</t>
  </si>
  <si>
    <t>Procurement of Office Equipment Supplies for Senior Citizen's Office</t>
  </si>
  <si>
    <t>20OH0159-Proposed Construction of One (1) Unit 5-Storey Officer’s Condominium at CJVAB, Pasay City</t>
  </si>
  <si>
    <t>TIRES FOR SHH 406 PRIME MOVER, CEO</t>
  </si>
  <si>
    <t>Purchase and Delivery of Supplies for Reproduction of Modules for the First Quarter of SY 2020-2021</t>
  </si>
  <si>
    <t>Internet Connection for Durano Elementary School</t>
  </si>
  <si>
    <t>20-06-506 Purchase of Uniform for Barangay First Responder Enhancement Training</t>
  </si>
  <si>
    <t>Supply and Delivery of Various FIRE EXTINGUISHER</t>
  </si>
  <si>
    <t>Barangay Special Activities</t>
  </si>
  <si>
    <t>SECOND POSTING: QUALITY REPRODUCTION AND DELIVERY OF MATERIALS FOR ALTERNATIVE LEARNING SYSTEM (ALS) LEARNERS OF DEPED SDO SURIGAO CITY</t>
  </si>
  <si>
    <t>S1-OMS20-031 (PB2) - Supply and Delivery of Transformer Differential Relay and Multi Meter Module Power &amp; Energy Meter intended for Calapan Substation</t>
  </si>
  <si>
    <t>Supply and Delivery of One (1) Unit PVC ID printer</t>
  </si>
  <si>
    <t>INSTALLATION OF BASKETBALL GOAL FIBER GLASS BOARD WITH RING AT SITO PROPER BRGY. KINAM , MALAPATAN SARANGANI PROVINCE</t>
  </si>
  <si>
    <t>Supply and Delivery of Water Meter 1/2" for New Connection Use</t>
  </si>
  <si>
    <t>20OH0160-Proposed Installation of Waterline Distribution System (Phase 1-6) at CJVAB, Pasay City</t>
  </si>
  <si>
    <t>Small Value of Improvement of KKinderGarten CR</t>
  </si>
  <si>
    <t>SCANNER and VITAMIN C</t>
  </si>
  <si>
    <t>Construction of Vermi Composting Facility, NFOTEC, Brgy. Tabunan, Bago City, Neg. Occ. / (OPA-2020-0516)</t>
  </si>
  <si>
    <t>Hardware Supplies &amp; Materials for Building &amp; Other Structures Maintenance</t>
  </si>
  <si>
    <t>20-07-538 Purchase of Thirteen (13) Units 3 in 1 Printer for Reproduction of Self-Instructional Materials for Blended Learning for Alamada North District</t>
  </si>
  <si>
    <t>20-07-554 Purchase of Sixteen (16) Units 3 in 1 Printer for Reproduction of Self Instructional Materials (SIM) for Alamada East District</t>
  </si>
  <si>
    <t>S1-OCS20-021 (PB2) - Supply and Delivery of Bolt, Double Arming, Galvanized Steel, 5/8 Dia x 22 &amp; 30 others intended for Occidental Mindoro Substation &amp; 69KV Transmission Lines</t>
  </si>
  <si>
    <t>Small Value of 2 set printer</t>
  </si>
  <si>
    <t>TRANSPORT AND DISPOSAL OF MUNICIPAL SOLID WASTE</t>
  </si>
  <si>
    <t>EMERGENCY EQUIPMENT AND HARDWARE SUPPLIES</t>
  </si>
  <si>
    <t>PRINTING AND DELIVERY TO SCHOOLS OF LEARNING RESOURCES FOR THE IMPLEMENTATION OF BASIC EDUCATION LEARNING CONTINUITY PLAN FOR 1st QTR OF SY 2020-2021</t>
  </si>
  <si>
    <t>SVP Procurement of Instructional Learning Materials and office Supplies 2020</t>
  </si>
  <si>
    <t>PROCUREMENT OF ONE (1) UNIT MULTI-PURPOSE VEHICLE TO TRANSPORT MATERIALS, MANPOWER AND EQUIPMENT FOR TCWD OPERATIONS - 2020-07-055</t>
  </si>
  <si>
    <t>Procurement of DOH Web Application Firewall</t>
  </si>
  <si>
    <t>Barangay Anti-Drug Abuse Program</t>
  </si>
  <si>
    <t>Procurement of ICT Devices and Software, Installation, Configuration and Operationalization of Motor Vehicle Recognition and Enforcement System (MVRES)</t>
  </si>
  <si>
    <t>TRAINING MATERIALS FOR DRIVING NC II A 2020</t>
  </si>
  <si>
    <t>Training MATERIALS FOR ORGANIC AGRICULTURE PRODUCTION</t>
  </si>
  <si>
    <t>Proposed Upgrading and Expansion of Calatrava District Hospital, Calatrava, Neg. Occ. / PEO-2020-0072</t>
  </si>
  <si>
    <t>Supply and Delivery of Sintra Board and Contact Cement</t>
  </si>
  <si>
    <t>Barangay Peace &amp; Order Program</t>
  </si>
  <si>
    <t>TRAINING MATERIALS FOR DRIVING NC II B</t>
  </si>
  <si>
    <t>Printing Supplies and Consumables</t>
  </si>
  <si>
    <t>Negros Occidental Integrated Food Processing and Showroom, Negros First Food Terminal / PEO-2020-0065</t>
  </si>
  <si>
    <t>Barangay Clean &amp; Green Program</t>
  </si>
  <si>
    <t>2020-07-0032- Office Supplies and Construction Materials for use in the preparation of Right-of-Way Action Plan (RAP) and Environmental Assessment (EIA) Documents assigned to the Planning and Design S</t>
  </si>
  <si>
    <t>Supply and Delivery of Construction Materials for Cocornon-Tagboa (FAW)</t>
  </si>
  <si>
    <t>Supply and Delivery of Various Audio &amp; Visual Equipment</t>
  </si>
  <si>
    <t>Supply and Delivery of Construction Materials for Lupon IS (FAW)</t>
  </si>
  <si>
    <t>CONSTRUCTION OF MULTI-PURPOSE FACILITY at Mambangnan National High School, Mambangnan, San Leonardo, Nueva Ecija</t>
  </si>
  <si>
    <t>2020-07-0031- Supply Materials and Office Supplies for the Conduct of RoCond Assessment, Road Inventory Surveys, Quality Assurance and other RBIA related activities assigned to the Planning and Design</t>
  </si>
  <si>
    <t>Labor for construction of shelters for school washing facilities</t>
  </si>
  <si>
    <t>SUPPLY AND DELIVERY OF HARDWARE/CONSTRUCTION MATERIALS FOR  AKO ANG SAKLAY, INC. (Re-Bid)</t>
  </si>
  <si>
    <t>TRAINING MATERIALS FOR EIM NC II UAQTEA</t>
  </si>
  <si>
    <t>Supply and Delivery of Construction Materials for Cateel IIS (Lot 2)</t>
  </si>
  <si>
    <t>Barangay Health &amp; Nutrition Program</t>
  </si>
  <si>
    <t>TRAINING MATERIALS FOR CSS NC II UAQTEA</t>
  </si>
  <si>
    <t>Supply, Delivery and Installation of Modular Work Stations, Tables and Pantry Cabinet for POPCOM Region IV-A</t>
  </si>
  <si>
    <t>Procurement of office toner ink</t>
  </si>
  <si>
    <t>PUBLIC BIDDING FOR DRUGS AND MEDICINES-MEDICINES ACCESS PROGRAM-MENTAL HEALTH (MAP-MH)2 CY 2019</t>
  </si>
  <si>
    <t>PUBLIC BIDDING FOR THE ONE YEAR MAINTENANCE OF DICT-FIBER OPTIC CABLE (FOC) NETWORK IN LEGAZPI, ALBAY</t>
  </si>
  <si>
    <t>August 2020 - Procurements</t>
  </si>
  <si>
    <t>Procurement of Production Services for Sentro Rizal Virtual Masterclasses</t>
  </si>
  <si>
    <t>Completion of PRO13 Multi-Purpose Center (Last Phase)</t>
  </si>
  <si>
    <t>Supply and Delivery of Construction Materials for Cateel IIS (Lot 1)</t>
  </si>
  <si>
    <t>MATERIALS FOR MODULES PRODUCTION JHS AND SCHOOL DISINFECTION</t>
  </si>
  <si>
    <t>Materials for Module Production SHS</t>
  </si>
  <si>
    <t>20-07-547 Purchase of School Supplies for Reproduction of Self Instructional Materials for Blended Learning, ECCD and ALS for Alamada North District</t>
  </si>
  <si>
    <t>20CSPJ02: Soil Testing/Exploration for the projects:  1. Construction/ Maintenance of Flood Mitigation Structure and Drainage System  2. Construction/ Rehabilitation of Flood Mitigation Facilities wit</t>
  </si>
  <si>
    <t>RM OF SCHOOL FENCE</t>
  </si>
  <si>
    <t>SUPPLY &amp; DELIVERY OF 6 ROLLS CLING WRAP &amp; OTHER ITEMS</t>
  </si>
  <si>
    <t>SUPPLY AND DELIVERY OF PORTABLE ALKALINITY METER</t>
  </si>
  <si>
    <t>Hauling for bond paper supply</t>
  </si>
  <si>
    <t>Improvement of Water Supply System, Brgy. Umiray, General Nakar, Quezon</t>
  </si>
  <si>
    <t>20CSDB01 Conduct of Feasibility Study/Pre-Feasibility Study/Preliminary and Detailed Engineering Activities</t>
  </si>
  <si>
    <t>Purchase of Construction Materials</t>
  </si>
  <si>
    <t>PROCUREMENT OF DRUGS AND MEDICINES</t>
  </si>
  <si>
    <t>Purchase of 1 unit rescue vehicle for San Miguel,  Baggao, Cagayan</t>
  </si>
  <si>
    <t>1 lot Gypsum #6x1 for wood at 100pcs per box etc.(07-0793) CMO</t>
  </si>
  <si>
    <t>Purchase of materials for the construction of box culvert at Alba,  Baggao, Cagayan</t>
  </si>
  <si>
    <t>Improvement of Multi-purpose Hall at Sta. Clara</t>
  </si>
  <si>
    <t>Purchase of one (1) unit Rescue Vehicle for San Antonio, Baggao, Cagayan</t>
  </si>
  <si>
    <t>Improvement of Multi-Purpose Hall at Kapanikian</t>
  </si>
  <si>
    <t>PURCHASE AND DELIVERY  OF MATERIALS FOR  KABACAN WATER DISTRICT'S  WATER SUPPLY PROJECTS</t>
  </si>
  <si>
    <t>019-INFRA-004 / CONSTRUCTION PROJECTS</t>
  </si>
  <si>
    <t>Proposed Multi-Purpose Building Shed (Mercado de Loon Tabo-an)</t>
  </si>
  <si>
    <t>Completion of Multi-purpose Building (Loon Town Square)</t>
  </si>
  <si>
    <t>PURCHASE REQUEST OF OFFICE SUPPLIES</t>
  </si>
  <si>
    <t>Invitation to Bid</t>
  </si>
  <si>
    <t>MATERIALS FOR THE IMPROVEMENT OF BARANGAY OUTPOST, BARANGAY MACABUD, RODRIGUEZ, RIZAL</t>
  </si>
  <si>
    <t>Installation of Streetlight (SAN BERNABE)</t>
  </si>
  <si>
    <t>Procurement of Copy Printer Machine</t>
  </si>
  <si>
    <t>Backfilling of Public Market</t>
  </si>
  <si>
    <t>Proposed Multi-Purpose Building  (Mercado de Loon Tubaan)</t>
  </si>
  <si>
    <t>Improvement of Drainage Canal near Nova Dulagan area, Bayabas</t>
  </si>
  <si>
    <t>Rescue Vehicle</t>
  </si>
  <si>
    <t>AB '20 UPGRADING OF ALLEY AND IMPROVEMENT OF DRAINAGE CANAL (Alakaak Extension, Phase 1A, NBBS Kaunlaran, Navotas)</t>
  </si>
  <si>
    <t>AB '20 UPGRADING OF ALLEY AND IMPROVEMENT OF DRAINAGE CANAL (Between Blk 2 and 3 Bangus st., Phase 1C, NBBS Kaunlaran, Navotas)</t>
  </si>
  <si>
    <t>20GIE0025 - Purchase of Samsung Galaxy S20 for use in Planning &amp; Design Section. DPWH, Leyte Third District Engineering Office Villaba, Leyte</t>
  </si>
  <si>
    <t>20GIE0023 - Purchase of Tires and Accessories for Water Tank Truck with DPWH Property Number H6-136 Supply and Procurement of Equipment Parts Only. DPWH, Leyte Third District Engineering Office Villab</t>
  </si>
  <si>
    <t>AB '20 UPGRADING OF ALLEY AND IMPROVEMENT OF DRAINAGE CANAL (Between Bidbid st., and Bisugo st., Blk 15 Phase 1B,  NBBS Kaunlaran, Navotas)</t>
  </si>
  <si>
    <t>Purchase of  mixed gravel and sand for regravelling of barangay road at San Vicente, Baggao, Cagayan</t>
  </si>
  <si>
    <t>SAN CARLOS BRANCH - QUEUING MACHINE &amp; FILING CABINETS</t>
  </si>
  <si>
    <t>Improvement of School Compound (San Bernabe)</t>
  </si>
  <si>
    <t>1-UNIT BRAND NEW MOTORCYCLE FOR CMO-REBID</t>
  </si>
  <si>
    <t>SAN CARLOS BRANCH - AIR CONDITIONING UNITS (RA10A) Including installation, labor and materials.</t>
  </si>
  <si>
    <t>Supply and Delivery of Various Pipes and Fittings</t>
  </si>
  <si>
    <t>Installation of 11 - Units Streetlight (DIVISORIA NORTE)</t>
  </si>
  <si>
    <t>Supply/Delivery of Medical, Dental and Laboratory Supplies</t>
  </si>
  <si>
    <t>Supply/Delivery of Medical, Dental and Laboratory Supplies and Drugs and Medicines</t>
  </si>
  <si>
    <t>Procurement of Control, etc...</t>
  </si>
  <si>
    <t>Roofing of Pampang Market</t>
  </si>
  <si>
    <t>Procurement of Supplies for ONA</t>
  </si>
  <si>
    <t>Procurement of Top Loading Balance</t>
  </si>
  <si>
    <t>Module Reproduction</t>
  </si>
  <si>
    <t>PURCHASE OF LAPTOP COMPUTERS FOR BCPC</t>
  </si>
  <si>
    <t>PURCHASE OF COMPUTER SETS FOR CHILDRENS FUND</t>
  </si>
  <si>
    <t>Supplies and Materials for Magsaysay College</t>
  </si>
  <si>
    <t>PURCHASE OF SUPPLIES AND MATERIALS FOR BADAC</t>
  </si>
  <si>
    <t>PURCHASE OF TRAFFIC MATERIALS FOR PEACE AND ORDER</t>
  </si>
  <si>
    <t>Livelihood Starter Kits</t>
  </si>
  <si>
    <t>20GIE0026 - Purchase of 3 units 2 HP Window Type Air conditioner including installation for Maintenance Section. Supply and Procurement of Equipment and Service only. DPWH, Leyte Third District Engine</t>
  </si>
  <si>
    <t>PURCHASE OF SUPPLIES FOR HEALTH AND SANITATION</t>
  </si>
  <si>
    <t>SUPPLY AND DELIVERY OF OFFICE SUPPLIES UNDER RFQ BACMADD2020-034</t>
  </si>
  <si>
    <t>PURCHASE OF SUPPLIES AND UNIFORMS FOR SOLID WASTE MANAGEMENT</t>
  </si>
  <si>
    <t>Purchase of Heavy Duty Risograph Digital Duplicator Machine</t>
  </si>
  <si>
    <t>PURCHASE OF SUPPLIES AND MATERIALS FOR GAD</t>
  </si>
  <si>
    <t>Supply/Delivery of Laptop and Printer</t>
  </si>
  <si>
    <t>PURCHASE OF TABLET COMPUTERS FOR EDUCATIONAL FUND</t>
  </si>
  <si>
    <t>PURCHASE OF SCHOOL OFFICE SUPPLIES &amp; PRINTING OF LEARNING MODULES</t>
  </si>
  <si>
    <t>Construction / Concreting Bridge, Sitio Kumunoy, Brgy. Minahan Sur, General Nakar, Quezon</t>
  </si>
  <si>
    <t>Supply and delivery of Vehicle Spare Parts</t>
  </si>
  <si>
    <t>Procurement of Various Accessories and Materials to be used for Tilapia Egg Collection and Incubation System</t>
  </si>
  <si>
    <t>Supply and Delivery of Diesel and Gasoline</t>
  </si>
  <si>
    <t>IMPROVEMENT OF BARANGAY HALL/MULTI PURPOSE THRU THE INSTALLATION OF ROOF MOUNTED 5 kWp HYBRID SOLAR PV SYSTEM</t>
  </si>
  <si>
    <t>Supply/Delivery of Food Supplies</t>
  </si>
  <si>
    <t>20CSF003 - Consulting Services for the Conduct of Geotechnical and Geological Survey/Investigation of Proposed Six Evacuation Centers in Region V</t>
  </si>
  <si>
    <t>Supply/Delivery of Medical Supplies</t>
  </si>
  <si>
    <t>19F00143 - Construction of BLGF Training Center (Phase II), Government Regional Center, Rawis, Legazpi City</t>
  </si>
  <si>
    <t>Supply and Delivery of Airconditioning Unit for use of the Pototan Municipal Library Reading Hall, Childrens Corner and Audio Visual Room. Pototan, Iloilo</t>
  </si>
  <si>
    <t>Procurement of Materials and Equipment for the Installation of Water Supply and Aeration Supply System</t>
  </si>
  <si>
    <t>CIVIL WORKS OF LINE CANAL</t>
  </si>
  <si>
    <t>PROCUREMENT OF AIR-CONDITIONING UNIT - FLOOR MOUNTED</t>
  </si>
  <si>
    <t>Labor for the Installation of Water and Aeration System for Intensive Hatchery</t>
  </si>
  <si>
    <t>CONSTRUCTION OF PUBLIC MARKET (PHASE 2)</t>
  </si>
  <si>
    <t>Procurement of Petroleum, Oil and  Lubricants for PSA-RSSO X Vehicles  for the period  October 2020 – September 2021 (REPOST)</t>
  </si>
  <si>
    <t>Supply/Delivery of ICT Equipment</t>
  </si>
  <si>
    <t>One (1) lot Recoating of Printing Rubber Rollers, as per BSP Technical Specifications and Terms and Conditions</t>
  </si>
  <si>
    <t>FABRICATION AND INSTALLATION OF ACRYLIC COUNTER FOR NAVAL LHIO</t>
  </si>
  <si>
    <t>PRINTING OF SELF-LEARNING MODULES (GRADE 5)</t>
  </si>
  <si>
    <t>Barangay Beautification Program</t>
  </si>
  <si>
    <t>Labor for Repair of Air Conditioning Unit</t>
  </si>
  <si>
    <t>PRINTING OF SELF-LEARNING MODULES (GRADE 3)</t>
  </si>
  <si>
    <t>1 LOT FABRICATION/INSTALLATION OF COUNTER TABLE DIVIDER (GLASS OR ACRULIC)</t>
  </si>
  <si>
    <t>TRAINING MATERIALS  FOR BPP NC II</t>
  </si>
  <si>
    <t>Supply and Delivery of One (1) unit Paper Shredder, Heavy Duty, as per BSP Technical Specifications and Terms and Conditions</t>
  </si>
  <si>
    <t>CONSTRUCTION OF MULTI-PURPOSE FACILITY at Villaflores Elementary School, Villaflores, Cuyapo, Nueva Ecija</t>
  </si>
  <si>
    <t>3RD QUARTER PURCHASE OF EDUCATIONAL SUPPLIES</t>
  </si>
  <si>
    <t>PURCHASE AND INSTALLATION OF STREETLIGHTS USING LED LIGHTS AT MUNLAWIN, ALITAGTAG, BATANGAS</t>
  </si>
  <si>
    <t>Procurement of Office Equipment Supplies for Women</t>
  </si>
  <si>
    <t>PROCUREMENT OF MEDICAL SUPPLIES, RHU, CASTILLEJOS, ZAMBALES</t>
  </si>
  <si>
    <t>Replacement of Odiong Bridge, Brgy. Odiong , Moises Padilla , Negros Occidental  / PEO-2020-1043</t>
  </si>
  <si>
    <t>Construction of Canal and Concreting of Road at Barangay Sinala, Bauan, Batangas</t>
  </si>
  <si>
    <t>Supply and Delivery of Equipment for Day Care Center</t>
  </si>
  <si>
    <t>CONSTRUCTION OF VILLA QUIRINO MULTI-PURPOSE BLDG. 5</t>
  </si>
  <si>
    <t>Installation of CCTV Cameras at Barangay Sinala, Bauan, Batangas</t>
  </si>
  <si>
    <t>construction of 4 units steel bench in centro covered court</t>
  </si>
  <si>
    <t>PROCUREMENT OF GENERATOR SET, RHU, CASTILLEJOS, ZAMBALES</t>
  </si>
  <si>
    <t>Services of a Provider for Online Customized or Off-the-Shelf Courses (for asynchronous learning) on Introduction to Digital Technology</t>
  </si>
  <si>
    <t>Procurement of Additional Services for Brokerage under IB No. 2020-233</t>
  </si>
  <si>
    <t>REQUEST FOR QUOTATION ON THE SUPPLY OF LABOR SERVICES, SUPPLIES AND MATERIALS FOR THE INSTALLATION OF THE 5kW GRID-TIED SOLAR INVERTER</t>
  </si>
  <si>
    <t>Supply and Delivery of 1 Unit Multi-Purpose Vehicle</t>
  </si>
  <si>
    <t>Bid of Supplies</t>
  </si>
  <si>
    <t>Office Supplies and Devices</t>
  </si>
  <si>
    <t>PROCUREMENT OF GREENHOUSE MATERIALS (TUNNEL TYPE GREENHOUSE/NETHOUSE W/ INSTALLATION AND DELIVERY) AGRICULTURE OFFICE, CASTILLEJOS, ZAMBALES</t>
  </si>
  <si>
    <t>BCES- July &amp; August 2020</t>
  </si>
  <si>
    <t>Various drinks during SBI</t>
  </si>
  <si>
    <t>MEALS FOR THE CONDUCT OF AGENCY PERFORMANCE PLANNING AND REVIEW CONFERENCE (COMMAND CONFERENCE) 1ST SEMESTER CY 2020</t>
  </si>
  <si>
    <t>Laboratory Supplies (NAVDPCP)</t>
  </si>
  <si>
    <t>Training on the Implementation of Family Planning Program BHW and Health Navigators( Meals &amp; snacks)</t>
  </si>
  <si>
    <t>PURCHASE OF MOTORCYCLE</t>
  </si>
  <si>
    <t>Labor and Materials for the Fabrication of 12 units of Fry Trough with Dimension of 8' x 2' x 1', base height of 2'</t>
  </si>
  <si>
    <t>SH 050-20 - PURCHASE OF HANDHELD TRANSCEIVER RADIO FOR OFFICIAL USE OF CREST-O STAFF &amp; USEC FOR REGULATION UNDER PR 20-120</t>
  </si>
  <si>
    <t>Packaging Materials</t>
  </si>
  <si>
    <t>Supply/Delivery &amp; Installation of Brand New Air Condition Units (19 Units)</t>
  </si>
  <si>
    <t>REPAIR AND MAINTENANCE- MARKET (IMPROVEMENT OF MEAT SECTION), SAN JUAN,CASTILLEJOS,ZAMBALES</t>
  </si>
  <si>
    <t>The Procurement and Delivery of Materials for the Reproduction of Modules</t>
  </si>
  <si>
    <t>Straight Contract for Construction of Farm to Market Road at Meñez Road, Prk. 7, Brgy. IV-Poblacion, Himamaylan City</t>
  </si>
  <si>
    <t>Procurement of Materials for the Construction of Filter Tank at Brgy. Mabunga, Mahaplag, Leyte</t>
  </si>
  <si>
    <t>Construction of Protection Works  at Barangay Dalaya</t>
  </si>
  <si>
    <t>20GFC0047: Purchase of Thermoplastic Paint Material, Primary and Secondary Road</t>
  </si>
  <si>
    <t>Procurement of IT Equipment and Structured Cabling Peripherals for Local Government Academy</t>
  </si>
  <si>
    <t>20GIE0024 - Purchase of Tires and Accessories for Toyota Hilux with Plate Number SEZ-916  Supply and Procurement of Equipment parts Only. DPWH, Leyte Third District Engineering Office Villaba, Leyte</t>
  </si>
  <si>
    <t>20GBF0003: Purchase &amp; Delivery of Asphalt Materials (Hot Asphalt) for use in the Repair/Maintenance of National Roads for Third and Fourth Quarter of CY 2020, within the District</t>
  </si>
  <si>
    <t>Training on the Implementation of Family Planning Program  BHW and Health Navigators- (Training kit)</t>
  </si>
  <si>
    <t>Supply and Delivery of Vehicle Parts and Accessories</t>
  </si>
  <si>
    <t>Supply and Delivery of Construction Supply (PR No. 20-07-0290)</t>
  </si>
  <si>
    <t>20GFC0044: Equipment Rental along Bagong Silang – Capalonga Wye Road Sta. 0 – Sta. 0+105, Brgy. Bagong Silang I, Labo, Camarines Norte</t>
  </si>
  <si>
    <t>SUPPLY AND DELIVERY OF GLASSWARE UNDER EMB-ERLSD-ELSS-INORGANICS LABORATORY UNIT</t>
  </si>
  <si>
    <t>Procurement of Bond Papers for reproduction of modules</t>
  </si>
  <si>
    <t>IT EQUIPMENT (MMO/MPOC)</t>
  </si>
  <si>
    <t>PBD 20-093 IT EQUIPMENT</t>
  </si>
  <si>
    <t>PROCUREMENT OF EQUIPMENTS FOR IEC PRODUCTION FOR TOURISM PROMOTION</t>
  </si>
  <si>
    <t>RFQ# 2020-07-035-Supply/Delivery of Diesel Fuel for use in the Planning &amp; Design Section,  DPWH-NSFDEO, Catarman, N. Samar</t>
  </si>
  <si>
    <t>20GFC0041: Purchase of Fuel and Lubricants for use in Various Service Vehicle and Equipment, DPWH – CNDEO Maintenance Section</t>
  </si>
  <si>
    <t>Drugs &amp; Medicines (Vitamins) for PHO-2020-0403</t>
  </si>
  <si>
    <t>RENTAL OF LED WALL/WIDE SCREEN</t>
  </si>
  <si>
    <t>PROCUREMENT OF 1ST &amp; 2ND QUARTER COMMON CONSOLIDATED OF OFFICE SUPPLIES MATERIALS &amp; EQUIPMENTS FOR CY-2020</t>
  </si>
  <si>
    <t>Supply and delivery of Medical Supplies</t>
  </si>
  <si>
    <t>Supply and Delivery of Office Equipment (PR No. 20-05-0211)</t>
  </si>
  <si>
    <t>purchase of 4-wheel tractor for Farmers Association of the municipality</t>
  </si>
  <si>
    <t>Supply and Delivery of Surgical Needle Holder and Dog Food</t>
  </si>
  <si>
    <t>Straight Contract for Construction of Farm to Market Road at So. Suba Su-ay, Brgy. Mahalang, Himamaylan City</t>
  </si>
  <si>
    <t>Concrete Paving of Road with Drainage at Purok XI, Tablon; SN 183 - 2020</t>
  </si>
  <si>
    <t>Concrete Paving of Malasag Circumferential Road Cugman (Phase 4); SN 185 - 2020</t>
  </si>
  <si>
    <t>2-UNITS PRINTER (A3, REFILL TANK WIRELESS/DUPLEX ALL IN ONE) FOR DEPED DIVISION OF SAGAY CITY</t>
  </si>
  <si>
    <t>Construction of Drainage System Along Ramon Chaves St. from Corrales to V. Roa St., Brgy. 30; SN 186 - 2020</t>
  </si>
  <si>
    <t>Repair/Improvement of Civic Center</t>
  </si>
  <si>
    <t>Installation of Street Lighting System at Brgy. Hibao-an Norte, Mandurriao, Iloilo City (Bid No. 20-162)</t>
  </si>
  <si>
    <t>Supply and Delivery of  Handset  for use of Pototan MDRRMC 24/7 Operation Center, Pototan, Iloilo</t>
  </si>
  <si>
    <t>Construction of Drainage at Bantiles Zone 1, Bugo; SN 187 - 2020</t>
  </si>
  <si>
    <t>Spare Parts for PHO-2020-0269, 0147, 0150</t>
  </si>
  <si>
    <t>Rehabilitation of Multipurpose Building Extension</t>
  </si>
  <si>
    <t>Rehabilitation/Construction of Public Alley at Brgy. Sambag, Jaro, Iloilo City (Bid No. 20-158)</t>
  </si>
  <si>
    <t>Construction of Boundary Marker (DIPINTIN)</t>
  </si>
  <si>
    <t>Construction/Rehabilitation of Existing Drainage System at Brgy. Arguelles, Jaro, Iloilo City (Bid No. 20-161)</t>
  </si>
  <si>
    <t>Rehabilitation/Construction of Roads at Brgy. Dungon B, Jaro, Iloilo City (Bid No. 20-156)</t>
  </si>
  <si>
    <t>One(1) Job Repair and Maintenance of PNP Patrol (Toyota Innova 2.5 Dsl), Pototan MPS, Pototan, Iloilo</t>
  </si>
  <si>
    <t>Office Equipment for OPA-2020-0388</t>
  </si>
  <si>
    <t>Installation of Streetlight (DIPINTIN)</t>
  </si>
  <si>
    <t>Printing Services for NOTD-2020-0233</t>
  </si>
  <si>
    <t>Supply and Delivery of Medical, Dental and Laboratory Supplies</t>
  </si>
  <si>
    <t>Construction/Rehab. of Concrete Pavement</t>
  </si>
  <si>
    <t>Consulting Service for Asset and Inventory Management</t>
  </si>
  <si>
    <t>Procurement of Diesel Fuel for Project Monitoring</t>
  </si>
  <si>
    <t>Construction of Two (2) Storey Four (4) Classrooms Building with Demolition at Bakhaw Elementary School, Mandurriao, Iloilo City (Bid No. 20-171)</t>
  </si>
  <si>
    <t>Insurance Services for GOV-2020-0548</t>
  </si>
  <si>
    <t>Procurement of IT Equipment</t>
  </si>
  <si>
    <t>Procurement of Diesel Fuel for COA</t>
  </si>
  <si>
    <t>IT Equipment for GOV-2020-0428</t>
  </si>
  <si>
    <t>Construction of Two (2) Storey Ten (10) Classrooms Building at Sto. Niño Sur Elementary School, Arevalo, Iloilo City (Bid No. 20-170)</t>
  </si>
  <si>
    <t>Concrete Paving of Road at Grotto St., Bulua; SN 179 - 2020</t>
  </si>
  <si>
    <t>Concrete Paving of Road at Caritas to Ecoverde Subd. with Drainage, Indahag; SN 181 - 2020</t>
  </si>
  <si>
    <t>AB '20 PROCUREMENT OF BRGY. POLICE BODY CAMERA</t>
  </si>
  <si>
    <t>Information Technology Equipment for NOLI-2020-0198</t>
  </si>
  <si>
    <t>Procurement of Fixed Glass &amp; Aluminum Frame</t>
  </si>
  <si>
    <t>AB '20 PROCUREMENT OF PHOTOCOPY MACHINE</t>
  </si>
  <si>
    <t>Construction of Manpower Development Center</t>
  </si>
  <si>
    <t>Construction of New Lampposts</t>
  </si>
  <si>
    <t>Construction of Landfill Perimeter Fence and Drainage Canal</t>
  </si>
  <si>
    <t>Construction of Bigaan River Flood Mitigation Structure (Cugman Phase 2); SN 184 - 2020</t>
  </si>
  <si>
    <t>20GCH0017: Purchase of Office Supplies and Materials for Bridge Management System (BMS).</t>
  </si>
  <si>
    <t>APPLICATION OF TERMITES CONTROL</t>
  </si>
  <si>
    <t>20GCH0016: Purchase of Office Supplies for Road and Bridge Information Application (RBIA)</t>
  </si>
  <si>
    <t>PRINTING OF COMPLETE SETS OF MODULES</t>
  </si>
  <si>
    <t>Construction of Two (2) Storey Eight (8) Classrooms Building at Hibao-an Elementary School, Mandurriao, Iloilo City (Bid No. 20-173)</t>
  </si>
  <si>
    <t>Procurement of Animal Feeds</t>
  </si>
  <si>
    <t>Invitation to Bid for  	EXPANSION OF CONCRETE DRAINAGE CANAL</t>
  </si>
  <si>
    <t>Procurement of IT Equipment for Acctng. Office</t>
  </si>
  <si>
    <t>Procurement of Upgraded Chicken Jolohano (breeded)</t>
  </si>
  <si>
    <t>Supply and Delivery of Maintenance Parts for L300 Van</t>
  </si>
  <si>
    <t>Procurement of  2-Units RISO Machine and (INK&amp;Master)Consumables for the Lugait District under Local School Board of Local Government Unit of Lugait, Misamis Oriental.</t>
  </si>
  <si>
    <t>Purchase and Installation of Solar Lights from Purok 1 to Purok 9</t>
  </si>
  <si>
    <t>Supply &amp; Delivery of Office Equipment (Airconditioner and Refrigerator)</t>
  </si>
  <si>
    <t>Repair and Maintenance- Transportation Equipment Motor Vehicle Motorcycle</t>
  </si>
  <si>
    <t>PROCUREMENT OF MEDICAL EQUIPMENT FOR RHU USED</t>
  </si>
  <si>
    <t>Construction/Rehabilitation/Improvement of Multi-Purpose Hall at Brgy. North Baluarte, Molo, Iloilo City (Bid No. 20-174)</t>
  </si>
  <si>
    <t>Delivery of Construction Materials for the Alternative Learning System (ALS) Phase II</t>
  </si>
  <si>
    <t>20GCH0019: Conduct of gender analysis and identification of gender issues and Improvement of the physical well-being of women and men, girls and boys</t>
  </si>
  <si>
    <t>Construction of Level II Spring Development</t>
  </si>
  <si>
    <t>BACOLOD BRANCH - Addressable Fire Alarm System (Fire Alarm System/Smoke Detector)</t>
  </si>
  <si>
    <t>ITB - Supply and Delivery of Elevators including Installation, 5 units (Re-Bid)</t>
  </si>
  <si>
    <t>Concreting of Local Access Road (Sitio Galam-Bersang Road)</t>
  </si>
  <si>
    <t>PBD 20-094 Server</t>
  </si>
  <si>
    <t>Construction of Roads at Soldier’s Hill Bulua to Camp Evangelista; SN 180 - 2020</t>
  </si>
  <si>
    <t>REPAIR OF PRINTER FOR OFFICE USE</t>
  </si>
  <si>
    <t>Procurement of Const. Materials for San Antonio Water System</t>
  </si>
  <si>
    <t>DISMANTLING OF TRYLON TOWER</t>
  </si>
  <si>
    <t>PBD 20-095 Computation Modeling Set-up and Accessories</t>
  </si>
  <si>
    <t>Procurement of Electrical Supplies</t>
  </si>
  <si>
    <t>Supply &amp; Delivery of Computer Equipment and Accessories for the 3rd Quarter CY 2020 (AL-LFP-008-2020RFQ)</t>
  </si>
  <si>
    <t>PURCHASE OF OFFICE AND OTHER SUPPLIES</t>
  </si>
  <si>
    <t>Purchase of Two Units of PNP Patrol Vehicle</t>
  </si>
  <si>
    <t>Installation of Solar Street Lights Additional (All Sitio's)</t>
  </si>
  <si>
    <t>SUPPLY &amp; INSTALLATION OF STREET LIGHTS AT POBLACION, BALILA HIGHWAY ROAD AND P-3 &amp; P-5 BALILA (2ND BID)</t>
  </si>
  <si>
    <t>20GFC0045: Purchase of Materials for the Repair/ Rehabilitation along Bagong Silang – Capalonga Wye Road Sta. 0 – Sta. 0+105, Bagong Silang, Labo, Camarines Norte</t>
  </si>
  <si>
    <t>Construction of Poblacion 1 Multi-Purpose Hall (Phase 2)</t>
  </si>
  <si>
    <t>PROCUREMENT OF ICT EQUIPMENT TO VARIOUS OFFICES</t>
  </si>
  <si>
    <t>Request for Quotation for Supply and Delivery of Construction Materials for SINAWAL SIP CY2020 Lot 3</t>
  </si>
  <si>
    <t>Purchase of Motorcycle with Kolong-Kolong</t>
  </si>
  <si>
    <t>20GGI0040 - Supply/Delivery of Printer Ink of HP Designjet T2600 for use in the Planning and Design Section, DPWH, Iloilo 4th District Engineering Office, Sta. Barbara, Iloilo</t>
  </si>
  <si>
    <t>CONTINUING CONSTRUCTION OF TANOD OUTPOST ANS PRODUCTION CENTER</t>
  </si>
  <si>
    <t>CONSTRUCTION OF RESERVOIR</t>
  </si>
  <si>
    <t>Concreting/Improvement of Gunting-Balao Road Section (Phase II) Barili, Cebu</t>
  </si>
  <si>
    <t>Installation of 3 Phase Transformer at Brgy. Anibong Pagsanjan, Laguna</t>
  </si>
  <si>
    <t>Supply and Delivery of SDO-Makati Employees Identification Card</t>
  </si>
  <si>
    <t>EMC-016-2020 Office Supplies</t>
  </si>
  <si>
    <t>SUPPLY &amp; INSTALLATION OF STREET LIGHTS IN VARIOUS PUROKS, BARANGAYS AND SITIOS (2ND BID)</t>
  </si>
  <si>
    <t>INSTALLATION OF SOLAR STREET LIGHTS</t>
  </si>
  <si>
    <t>Supply and Delivery of Clinical Weighing Scale (PR No. 20-07-0284)</t>
  </si>
  <si>
    <t>Catering Services - RHU, Pagsanghan, Samar</t>
  </si>
  <si>
    <t>Installation of Solar Lights (Purok Osmena &amp; Purok Magsaysay)</t>
  </si>
  <si>
    <t>2020-07-0178 - PROCUREMENT OF FUEL/FUEL ADDITIVES &amp; LUBRICANTS &amp; ANTI- CORROSSIVE FOR USE IN THE OPERATION OF VARIOUS AND HEAVY EQUIPMENT ASSIGN AT MAINTENANCE SECTION (3RD QUARTER CY 2020)</t>
  </si>
  <si>
    <t>2020-07-0175 - PROCUREMENT OF CONSTRUCTION MATERIALS AND SUPPLIES FOR SURFACING OF UNPAVED ROAD SHOULDERS ALONG BARANDIAS-DOMINOROG ROAD, k1590+(-1023) - K1617+497 AND JCT. MARADUGAO-CAMP KIBARITAN-DO</t>
  </si>
  <si>
    <t>SUPPLY &amp; DELIVERY OF MATERIALS FOR EROSION CONTROL PROJECT BY ADMIN</t>
  </si>
  <si>
    <t>PURCHASE OF ONE UNIT L300 CAB VEHICLE 2.2L Diesel,5-Manual</t>
  </si>
  <si>
    <t>Purchase of 5 in 1 Printer</t>
  </si>
  <si>
    <t>“Procurement of Various Materials for the Construction of Sangguniang Kabataan Hall”</t>
  </si>
  <si>
    <t>PBD 20-096 HIGH PERFORMANCE COMPUTING (HPC) SYSTEM</t>
  </si>
  <si>
    <t>Improvement/Repair of Multipurpose Hall@ Brgy. Flormina, Mondragon, N. Samar</t>
  </si>
  <si>
    <t>Rebid for the Supply Delivery and Installation of Airconditioning Units</t>
  </si>
  <si>
    <t>“Procurement of Various Materials for the Construction of Solar Dryer @ Zone 1”</t>
  </si>
  <si>
    <t>2020-07-0174 - PROCUREMENT OF CONSTRUCTION MATERIALS AND SUPPLIES FOR PATCHING MATERIALS FOR UNPAVED ROAD SHOULDERS ALONG KALILANGAN-LAMAPANUSAN ROAD, (INTERMITTENT SECTION), KALILANGAN, BUKIDNON</t>
  </si>
  <si>
    <t>PROC OF CIVIL WORKS OF DRAINAGE CANAL (490 METERS)</t>
  </si>
  <si>
    <t>Procurement of One (1) Unit Passenger Van in Batangas State University, JPLPC – Malvar</t>
  </si>
  <si>
    <t>EMC-017-2020 Other Supplies/Janitorial Supplies</t>
  </si>
  <si>
    <t>CONT. OF IBULAO CANAL LINING</t>
  </si>
  <si>
    <t>Installation and Repair of St. Lighting</t>
  </si>
  <si>
    <t>INVITATION TO BID (REBIDDING) FOR THE Procurement of Various ICT Equipment and Corel Draw Graphics Software under the DOE Locally Funded Philippine Conventional Energy Contracting Program</t>
  </si>
  <si>
    <t>Supplies &amp; Matls. For the In-house Reproduction of Q1 SLMs in Math. 4&amp;5, Eng.4, Sci .4&amp;5 &amp; AP 5</t>
  </si>
  <si>
    <t>Procurement of Medicines for use of Romblon Provincial Hospital, Odiongan, Romblon</t>
  </si>
  <si>
    <t>20GCH0018: Purchase of Office Supplies and Materials for Bridge Management System (PMS).</t>
  </si>
  <si>
    <t>Concrete Paving of Balubal CDORSHIP 4 Roads with Drainage (Phase 2); SN 178 - 2020</t>
  </si>
  <si>
    <t>Repair and Maintenance of Road Safety Facilities within the District</t>
  </si>
  <si>
    <t>Supply and Delivery of Information and Communication Technology Equipment to be used at LEIPO and Slaughterhouse, Naujan, Oriental Mindoro</t>
  </si>
  <si>
    <t>REQUEST FOR QUOTATION FOR THE PROCUREMENT OF ELECTRICAL MATERIALS FOR MUNICIPAL RESERVOIR</t>
  </si>
  <si>
    <t>20GF00002 - Purchase/Installation of Weighbridge Equipment for Polangui Weighbridge Station, Sorsogon ATOME Station and Camarines Norte ATOME Station, (PR No. 2020-07-151 dated 7/15/2020), DPWH Region</t>
  </si>
  <si>
    <t>Purchase of Tires and Battery for used in the Operation of Quality Assurance Section</t>
  </si>
  <si>
    <t>Sealed Quotation - One (1) Lot - Supply, Delivery and Installation of Various Furniture for Pag-IBIG Fund Calamba Hub &amp; Cabuyao MSO</t>
  </si>
  <si>
    <t>Procurement of Drugs for use of Romblon Provincial Hospital, Odiongan, Romblon</t>
  </si>
  <si>
    <t>FURNISHING AND DELIVERY OF MATERIALS FOR THE CONSTRUCTION OF 5 UNITS BARANGAY MATERIAL RECOVERY FACILITIES</t>
  </si>
  <si>
    <t>CONSTRUCTION OF LOCAL ROADS</t>
  </si>
  <si>
    <t>Supply and Delivery of Laptop, Printer and Printer Ink</t>
  </si>
  <si>
    <t>Request for Quotation PR NO. 1090-20</t>
  </si>
  <si>
    <t>Bidding 18, 2020</t>
  </si>
  <si>
    <t>Procurement of ordinary consumable items</t>
  </si>
  <si>
    <t>RFQ MULTI-FUNCTIONAL PRINTER/COPIER MACHINE WITH AUTOMATIC DOCUMENT FEEDER</t>
  </si>
  <si>
    <t>Procurement of Industrial Salt</t>
  </si>
  <si>
    <t>Purchase &amp; Delivery of Janitorial &amp; Other Supplies for the Office of SPM Ronnie R. Rapanut</t>
  </si>
  <si>
    <t>Purchase &amp; Delivery of Office Supplies &amp; Consumables for the Office of SPM Christopher R. Baterina</t>
  </si>
  <si>
    <t>CONSTRUCTION OF MATERIALS RECOVERY FACILITY BUILDING</t>
  </si>
  <si>
    <t>Office Storage Shelves and Step Ladder</t>
  </si>
  <si>
    <t>CONSOLIDATED PR'S (2020-07-247 2ND QUOTE) PROCUREMENT OF MIXED GRAVEL AND SAND</t>
  </si>
  <si>
    <t>Procurement of Vegetable Seeds</t>
  </si>
  <si>
    <t>Construction/Rehabilitation/Repair/Widening of Roads at Brgy. Tabuc Suba (Hechanova Subdivision), Jaro, Iloilo City (Bid No. 20-172)</t>
  </si>
  <si>
    <t>Construction of Two (2) Storey Ten (10) Classrooms Building at Jalandoni Memorial Elementary School, Lapuz, Iloilo City (Bid No. 20-169)</t>
  </si>
  <si>
    <t>CONSTRUCTION OF MATERIALS RECOVERY FACILITY (MRF)</t>
  </si>
  <si>
    <t>Concrete Paving of Melecia Homes Subd. Road with Drainage, Macasandig (Phase 3); SN 182 - 2020</t>
  </si>
  <si>
    <t>Procurement of Infrastructure and Construction Supplies RFQ No. 508</t>
  </si>
  <si>
    <t>CONSTRUCTION OF CLUSTER MATERIAL RECOVERY FACILITIES(MRF)</t>
  </si>
  <si>
    <t>Seedlings for PEMO-2020-2143</t>
  </si>
  <si>
    <t>Procurement of Medical Supplies for use of Romblon Provincial Hospital, Odiongan, Romblon</t>
  </si>
  <si>
    <t>Straight Contract for Construction of Farm to Market Road at So. Cunalum to So, Lunoy, Brgy. Carabalan, Himamaylan City</t>
  </si>
  <si>
    <t>Straight Contract for Construction of Farm to Market Road at So. Buhi-an, Brgy. To-oy, Himamaylan City</t>
  </si>
  <si>
    <t>20GI0099 - Construction of Hanging Foot Bridge, Brgy. Balabag,  Sta. Barbara, Iloilo</t>
  </si>
  <si>
    <t>Supply and Delivery of ICT Equipment (PR No. 20-07-0296)</t>
  </si>
  <si>
    <t>INVITATION TO BID FOR SUPPLY AND DELIVERY OF SCHOOL EQUIPMENT</t>
  </si>
  <si>
    <t>Provision Of Garbage Collection And Disposal Service At General Santos Fish Port Complex</t>
  </si>
  <si>
    <t>Repair/Impt. of Romero Bridge, Brgy. San Isidro, Tanjay City, Neg. Or.(S-179-2020)</t>
  </si>
  <si>
    <t>20GFC0038: Regravelling of Roadway along Sta. Elena – Capalonga – By Pass Coastal Road (Section 3), Brgy. Itok, Capalonga, Camarines Norte</t>
  </si>
  <si>
    <t>Supply and Deliveyr of Carbachol 1.0ml vial</t>
  </si>
  <si>
    <t>20GIH0017-Supply and Delivery of Office Equipment, DPWH-NSFDEO, Catarman, N. Samar</t>
  </si>
  <si>
    <t>CONSTRUCTION OF KITCHEN OF POBLACION PROPER (MDRRMO)</t>
  </si>
  <si>
    <t>Procurement of Various Seeds, Planting Materials, Fertilizers, Various Pesticides &amp; Various Merchandise Lot 1 - Various Seeds</t>
  </si>
  <si>
    <t>Construction of Cemetery Shed (DIPINTIN)</t>
  </si>
  <si>
    <t>PROCUREMENT OF 1 UNIT SOFA-3 SEATERS</t>
  </si>
  <si>
    <t>Supply and Delivery of Other Supplies</t>
  </si>
  <si>
    <t>1.	Supply and delivery of materials for the construction of waterworks system at Cansiwang, Guindulman.</t>
  </si>
  <si>
    <t>Procurement of Various Materials for Constructing Coffin of LGU Laak, Davao De Oro</t>
  </si>
  <si>
    <t>Purchase of BPSO Supplies and Materials</t>
  </si>
  <si>
    <t>Bid No. 20-0353 - PROCUREMENT OF HEAVY EQUIPMENT - MEO OPERATION</t>
  </si>
  <si>
    <t>PROCUREMENT OF MICRO-INFRA PROJECTS CLUSTER 09-2020 (MDF 2020), EKIP, &amp; TIKEY, BOKOD, BENGUET</t>
  </si>
  <si>
    <t>Supply and Delivery of Janitorial Supplies</t>
  </si>
  <si>
    <t>Supply and Delivery of Various Vehicle Parts and Accessories</t>
  </si>
  <si>
    <t>PURCHASE OF 1 UNIT SPLIT TYPE AIRCON</t>
  </si>
  <si>
    <t>Supply and Delivery of Diesel Fuel of NIA-NVIMO, Bayombong, Nueva Vizcaya.</t>
  </si>
  <si>
    <t>PROCUREMENT OF MICRO-INFRA PROJECTS CLUSTER 08-2020 (MDF 2020), POBLACION, BOKOD, BENGUET</t>
  </si>
  <si>
    <t>Supply and Delivery of Fishing Nets</t>
  </si>
  <si>
    <t>Catering Services 2020-07-0294</t>
  </si>
  <si>
    <t>Supply and Delivery of Fuels/Fuel Additives &amp; Lubricants &amp; Anti-Corrosive</t>
  </si>
  <si>
    <t>PBD FOR MEALS AND SNACKS FOR FRONTLINERS AND LSI</t>
  </si>
  <si>
    <t>PROCUREMENT OF MICRO-INFRA PROJECTS CLUSTER 07-2020 (MDF 2020), NAWAL &amp; TIKEY, BOKOD, BENGUET</t>
  </si>
  <si>
    <t>Bid No. 20-0372 - PROCUREMENT OF OFFICE EQUIPMENT - MEEDO/TERMINAL 3RD QUARTER</t>
  </si>
  <si>
    <t>Request for Quotation PR NO. 1089-20</t>
  </si>
  <si>
    <t>Materials for PEO-2020-1110</t>
  </si>
  <si>
    <t>INVITATION TO BID FOR THE PROCUREMENT OF AGRI-SUPPLIES</t>
  </si>
  <si>
    <t>20-02-161_Repair and maintenance of Carpentry and Masonry of Physical Plant section office use</t>
  </si>
  <si>
    <t>Purchase of Air Release Valve</t>
  </si>
  <si>
    <t>INSTALLATION OF SOLAR LED LIGHT</t>
  </si>
  <si>
    <t>Procurement of Supplies &amp; Consumables</t>
  </si>
  <si>
    <t>CONSTRUCTION OF WELCOME ARC AT GUISSET, AMBUKLAO, BOKOD, BENGUET (MDF 2020)</t>
  </si>
  <si>
    <t>20GCE0033: Procurement of Materials for use in the Activity 309 Other Traffic Services along Pantabangan-Canili-Basal-Baler Road (Cadaclan &amp; Castañeda Section) K0174+000 - K0185+489, K0186+507 - K0192</t>
  </si>
  <si>
    <t>Purchase of 3 units Sewing Machine (heavy duty) for use of learners in the Oublic Elementary School, Laoag City</t>
  </si>
  <si>
    <t>Request for Quotation PR NO. 1086-20</t>
  </si>
  <si>
    <t>Supply and Delivery of School &amp; Office Supplies</t>
  </si>
  <si>
    <t>Procurement of Repair of printer</t>
  </si>
  <si>
    <t>Installation of Street Lights (SOLAR)</t>
  </si>
  <si>
    <t>Supply and Delivery of Drugs and Medicines to be used in connection with the Covid 19 Program in different Puroks of Barangay Bulaon, City of San Fernando, Pampanga</t>
  </si>
  <si>
    <t>INVITATION TO BID FOR THE PROCUREMENT OF JOURNALS FOR COLLEGE LIBRARY</t>
  </si>
  <si>
    <t>Bid No. 20-0373 - PROCUREMENT OF OFFICE EQUIPMENT - PNP OPERATIONS</t>
  </si>
  <si>
    <t>SUPPLY AND DELIVERY OF 18 UNITS DESKTOP COMPUTER &amp; OTHER RELATED PARTS &amp; ACCESSORIES (RE-BIDDING)</t>
  </si>
  <si>
    <t>PURCHASE OF INFORMATION TECHNOLOGY EQUIPMENT AND PARAPHERNALIA FOR THE DIFFERENT OFFICES OF THE MUNICIPAL GOVERNMENT OF NAGUILIAN, LA UNION (NOT AVAILABLE AT PS-DBM).</t>
  </si>
  <si>
    <t>20-02-163_Elecetrical maintenance of physical plant section office</t>
  </si>
  <si>
    <t>20GKB0005 Supply and Delivery of Asphalt Sealant to be used in Cracks and Joints Sealing of Concrete Pavement for 3rd and 4th Quarter.</t>
  </si>
  <si>
    <t>Supply and Delivery of Other Commodities</t>
  </si>
  <si>
    <t>BARANGAY SERVICE AND RESCUE MOTOR VEHICLE WITH SIDECAR OF CATANUSAN</t>
  </si>
  <si>
    <t>Procurement of Electrical Supplies RFQ No. 507</t>
  </si>
  <si>
    <t>Continuation of Multi-purpose Hall, Slope Protection (Fence)</t>
  </si>
  <si>
    <t>Bid No. 20-0374 - PROCUREMENT OF OFFICE EQUIPMENT - PNP OPERATIONS</t>
  </si>
  <si>
    <t>SUPPLY AND DELIVERY OF COMMON USE SUPPLIES .</t>
  </si>
  <si>
    <t>PBD OF OFFICE EQUIPMENT AND FACILITIES</t>
  </si>
  <si>
    <t>CONSTRUCTION OF MUNICIPAL PARK (Phase II)</t>
  </si>
  <si>
    <t>Hand Washing Facility</t>
  </si>
  <si>
    <t>Supply and Delivery of Dry Type Transformer &amp; 1 other</t>
  </si>
  <si>
    <t>Purchase of Agricultural Products For Cut flower Production. Under P.R. No. 50-20-05-041</t>
  </si>
  <si>
    <t>Purchase of Health Certificates for use at the City Health Office in the issuance of Health Certificate for business and employment, Laoag City</t>
  </si>
  <si>
    <t>PURCHASE OF XEROX MACHINE</t>
  </si>
  <si>
    <t>Concreting of Road in Brgy. Hitomnog, Dagami, Leyte, ABC PHP2,438,095.62</t>
  </si>
  <si>
    <t>VArious Construction MAterials</t>
  </si>
  <si>
    <t>Supply and Delivery of Construction and Painting Materials for the Repair and Improvement of School Building at Rizal Elementary School, Pototan, Iloilo</t>
  </si>
  <si>
    <t>Provision of Labor and Materials for the Construction of Poultry House (Chicken Tractor)</t>
  </si>
  <si>
    <t>REPAIR AND EXTENSION OF STREET LIGHTS BRGY TORRE 1ST</t>
  </si>
  <si>
    <t>Purchase of 500 pads Citation Ticket for use at the City Treasure's Office, Laoag City</t>
  </si>
  <si>
    <t>20GDB0040 Purchase of Window Blinds including Installation to be used in DPWH-Batangas I DEO New Building, Brgy. Lanatan, Balayan, Batangas</t>
  </si>
  <si>
    <t>Rehabilitation and improvement of Multipurpose Hall</t>
  </si>
  <si>
    <t>IMPROVEMENT OF LABANGON RIVER UPSTREAM @ SITIO LABANGON, BRGY. BAWOD, SAN ISIDRO, LEYTE</t>
  </si>
  <si>
    <t>Construction of Multi-Purpose Bldg. (Phase 1) in Brgy. Malaguinabot, San Miguel, Leyte, ABC PHP2,458,693.79</t>
  </si>
  <si>
    <t>Drugs and Medicines, Rural Health Unit</t>
  </si>
  <si>
    <t>CONSTRUCTION OF CLASSROOM</t>
  </si>
  <si>
    <t>Rehabilitation/Improvement of RHU Building and TB DOTS Building</t>
  </si>
  <si>
    <t>PROCUREMENT OF GEN MDSE</t>
  </si>
  <si>
    <t>Procurement of CONSULTING SERVICES</t>
  </si>
  <si>
    <t>SWM/MDRRMO Office Self-Protection for COVID- 19</t>
  </si>
  <si>
    <t>Supply and Delivery of Office Supplies and Consumables-Continuous Form</t>
  </si>
  <si>
    <t>Supply and Delivery of Printer and Office Supplies</t>
  </si>
  <si>
    <t>Procurement of Materials &amp; Supplies for Slope Protection of Barangay Bacsay Cataraon Norte, Claveria, Cagayan</t>
  </si>
  <si>
    <t>REPAIR/MAINTENANCE OF OFFICE BUILDING (VICE MAYOR'S OFFICE)</t>
  </si>
  <si>
    <t>2020-08-0160 Supply and Installation of Air Conditioning Units and Detachable Tent for DOH-DATRC City of Ilagan, Isabela</t>
  </si>
  <si>
    <t>Request for Quotation for Supply and Delivery of Goods for SINAWAL SIP Lot 4</t>
  </si>
  <si>
    <t>Construction of Multi-Purpose Bldg. (Phase 1) in Brgy. Capulhan, Dagami, Leyte, ABC PHP2,104,761.77</t>
  </si>
  <si>
    <t>Rehabilitation of Binodegahan-Nablangbulod-Alabangpuro Road (Phase II)</t>
  </si>
  <si>
    <t>LBP DAGUPAN BRANCH RENOVATION (NEW UNIT) - WATTS LED TUBE</t>
  </si>
  <si>
    <t>Procurement of Various Medicines, Dental and Laboratory Supplies</t>
  </si>
  <si>
    <t>Construction of Post Harvest Facility - Mabayag, Galimuyod, Ilocos Sur</t>
  </si>
  <si>
    <t>PROCUREMENT OF IgM/IgG ANTIBODY DIAGNOSTIC KIT FOR COVID-19 RESPONSE - 1ST POSTING</t>
  </si>
  <si>
    <t>Purchased of Tent</t>
  </si>
  <si>
    <t>PURCHASE OF ASSORTED SUPPLIES FOR HEALTH AND SANITATION PROGRAM IN RELATION TO COVID-19</t>
  </si>
  <si>
    <t>20GKB0008 Procurement of Materials for the Resurfacing of Unpaved Shoulders along; 1. Sayre Highway, (Lumbo to Camp 1 Sections) K1540+(-294)-K1562+294 (intermittent section) 2. Jct. Dologon-BUSCO-Quez</t>
  </si>
  <si>
    <t>SUPPLY AND DELIVERY OF LAPTOP COMPUTER, HIGH-END, SPECIFICATIONS:(PROCESSOR:10TH GEN INTEL CORE 17-10510U, 8MB CACHE, UP TO 4.9GHZ), GPU: INTEL UHD GRAPHICS, DISPLAY:13.3", 4K UHD (380X2160), IPS, RAM</t>
  </si>
  <si>
    <t>Renovation of Health Center-Napnapan, Pantukan (Materials)</t>
  </si>
  <si>
    <t>Purchase of Hardware Supplies 2020-07-0299</t>
  </si>
  <si>
    <t>Preventive Maintenance of 1250 KVA Cummins Generator Set</t>
  </si>
  <si>
    <t>2020-07-0157 Supply and Delivery of Various Medical Supplies of DOH-DATRC, City of Ilagan, Isabela</t>
  </si>
  <si>
    <t>SUPPLY AND DELIVERY OF PPE’S/GEAR FOR DRRM</t>
  </si>
  <si>
    <t>DISTRIBUTION OF PIPELINE LEVEL II</t>
  </si>
  <si>
    <t>CONSTRUCTION OF NCDC BUIDING</t>
  </si>
  <si>
    <t>Procurement of Diesel Fuel for VMO</t>
  </si>
  <si>
    <t>Bid No. 20-0378 - PROCUREMENT OF OFFICE EQUIPMENT - PNP OPERATIONS</t>
  </si>
  <si>
    <t>Improvement of Water System in Brgy. Antipolo, Albuera, Leyte, ABC PHP2,469,208.94</t>
  </si>
  <si>
    <t>2020-08-0161 Supply and Delivery of Various construction Materials for COVID-19 Infection prevention and Control measures of DOH-DATRC,  City of Ilagan, Isabela</t>
  </si>
  <si>
    <t>Purchased of Motorcycle with Sidecar</t>
  </si>
  <si>
    <t>Construction of Multi-Purpose Building in Brgy. San Fernando, Palo, Leyte, ABC PHP2,000,000.00</t>
  </si>
  <si>
    <t>Meals,White Cloth,Candles,etc....</t>
  </si>
  <si>
    <t>SUPPLY &amp; DELIVERY OF VEHICLE PARTS &amp; ACCESSORIES</t>
  </si>
  <si>
    <t>GOODS-PB-20-053- SERVICES OF PRIVATE SECURITY AGENCY TO SAFEGUARD, SECURE ALL DEPED PUBLIC SCHOOLS IN CITY OF GENERAL TRIAS (September 1, 2020- August 31, 2021)</t>
  </si>
  <si>
    <t>PROCUREMENT OF CATERING SERVICES FOR TRAINING &amp; DEVELOPMENT ADVOCACY ON INFORMATION MANAGEMENT SYSTEM</t>
  </si>
  <si>
    <t>Installation of Streetlights(Solar Lights) at Lakambini, Tuao</t>
  </si>
  <si>
    <t>20CSN018: CONSULTING SERVICES FOR THE CONDUCT OF FEASIBILITY STUDY OF THE PROPOSED BUNAWAN BYPASS ROAD; TRENTO DIVERSION ROAD, BUNAWAN AND TRENTO AGUSAN DEL SUR</t>
  </si>
  <si>
    <t>Supply and Delivery of Mechanical Ventilator with Compressor and Other Items; PR No. 20-1618 dated 09 June 2020; SN 172 - 2020</t>
  </si>
  <si>
    <t>(PA) 2ND REQUEST FOR QUOTATION (RFQ)  For the Procurement of Desktop Computers, Laptop, Network Switch, etc. For Provincial Administrator’s Office--401,500.00</t>
  </si>
  <si>
    <t>CONVERSION OF AMBULANCE.</t>
  </si>
  <si>
    <t>Supply and Delivery of One Unit Laptop intended for the Local Civil Registrar Office use</t>
  </si>
  <si>
    <t>(PAO)4th REQUEST FOR QUOTATION (RFQ)  For the Procurement of 1 unit Scanner (A3 Single Function ADF &amp; Flatbed) &amp; Laptop For Provincial Agricultural Office--114,097.30</t>
  </si>
  <si>
    <t>Supply and Delivery of Tablets Android for the Implementation of the Division Learning Continuity Plan, DepEd Marikina City</t>
  </si>
  <si>
    <t>PROCUREMENT OF LEARNING MATERIALS AND FACILITIES</t>
  </si>
  <si>
    <t>FOR USE OF THE CITY ACCOUNTANT'S OFFICE (3RD &amp;4TH QTR.)</t>
  </si>
  <si>
    <t>REGRAVELLING</t>
  </si>
  <si>
    <t>PAIISA NATIONAL HIGH SCHOOL - Printing of Self-Learning Module of JHS and SHS (Gr7 to Gr12)</t>
  </si>
  <si>
    <t>1 Set Laptop</t>
  </si>
  <si>
    <t>Procurement of construction materials for Continuation of Multi-Purpose hall, Ngileb</t>
  </si>
  <si>
    <t>Construction of Drainage Canal at Binogsayan, Napnapan (materials)</t>
  </si>
  <si>
    <t>20GKB0007 Procurement of Materials for the Resurfacing of Unpaved Shoulders along; 1. Sayre Highway, (Sinangguyan to Spring Sections), K1563+(-706)-K1582+000 (intermittent section) 2. Sayre Highway (K</t>
  </si>
  <si>
    <t>Supply and Installation of Security and Surveillance Equipment to be given as Assistance to Barangay Santiago, Naujan, Oriental Mindoro under CBMS Program</t>
  </si>
  <si>
    <t>20GDB0041 Purchase of Office Supplies (Customized Looseleaf Folder Hardbound) to be used in Records Unit at DPWH-Batangas I DEO</t>
  </si>
  <si>
    <t>1 unit vehicle, SUV, diesel, 7-seater</t>
  </si>
  <si>
    <t>Procurement of construction materials for Road Concreting Cailin Domingo Area</t>
  </si>
  <si>
    <t>PURCHASE OF LEARNING MATERIALS FOR DAY CARE CHILDREN</t>
  </si>
  <si>
    <t>Newsprint for printing of Self Learning Modules</t>
  </si>
  <si>
    <t>20JA0095 - CONSTRUCTION OF MULTI-PURPOSE BUILDING, EVACUATION CENTER, ZAMBOANGA CITY, ZAMBOANGA DEL SUR</t>
  </si>
  <si>
    <t>20CSN019: CONSULTING SERVICES FOR THE CONDUCT OF FEASIBILITY STUDY OF THE PROPOSED TRENTO - LINGIG ROAD, TRENTO, AGUSAN DEL SUR AND  AND LINGIG, SURIGAO DEL SUR</t>
  </si>
  <si>
    <t>Purchase of Various Medicines</t>
  </si>
  <si>
    <t>Installation of Duck House &amp; Procurement of Poultry Facilities</t>
  </si>
  <si>
    <t>Construction of Power House, City Hall, Brgy. Awasian, Tandag City</t>
  </si>
  <si>
    <t>Procurement of Gas, Oil and Lubricants</t>
  </si>
  <si>
    <t>Supply and Delivery of Five (5) Units Basic Life Support (BLS) Ambulance Vehicle with Complete Accessories; PR No. 19-1240 dated 16 May 2019; SN 174 - 2020</t>
  </si>
  <si>
    <t>Procurement of office Supplies</t>
  </si>
  <si>
    <t>Conduct of Influenza Quadrivalent Vaccine</t>
  </si>
  <si>
    <t>PR NO. 2020-06-133 PURCHASE OF 13 PAIRS OF WALKING SHOES, 6 PCS. OF HYDRO BACKPACK (3L) &amp; 25 PCS. OF BANDA MASK WITH DPWH LOGO</t>
  </si>
  <si>
    <t>OFFICE EQUIPMENT FOR AHRMD</t>
  </si>
  <si>
    <t>CONTINUATION OF DRAINAGE CANAL -  BATIANO FISHPORT</t>
  </si>
  <si>
    <t>Purchase of Parts for the Repair and Maintenance of Municipal Vehicles and Equipment</t>
  </si>
  <si>
    <t>24 cu.m Sand (Std. specs) and other items for road Concreting at Purok Kalubihan fronting the residence of Nemesio Larena towards palm and pines street at Barangay Daro.</t>
  </si>
  <si>
    <t>20-07-0103 - PROCUREMENT OF SIGNAGES FOR USE IN THE MAINTENANCE SECTION FOR THE REPLACEMENT OF DAMAGED AND SUBSTANDARD CHEVRON MARKERS ALONG NATIONAL ROADS AND BRIDGES</t>
  </si>
  <si>
    <t>Repair/Improvement of Main Health Center</t>
  </si>
  <si>
    <t>Request for Quotation (Blanket Wash; etc.)</t>
  </si>
  <si>
    <t>35 cu.m Coarse Aggregates (2” max. size) and other items for Barangay Balugo-road concreting of Carolina P. Umbac street.</t>
  </si>
  <si>
    <t>FABRICATION OF MARKET TABLE(100 UNITS TAPANGKO) KALAMANSIG PUBLIC MARKET, BRGY, POBLACION, KALAMANSIG, SK(20% DF 2020)</t>
  </si>
  <si>
    <t>RFQ for Capacity building for POs on the Strengthening of livelihood enterprise dev't and market networking/linkage mainstream gender</t>
  </si>
  <si>
    <t>Procurement of 1 (One) Unit Double Cab Pick – Up for the Prevention of Human Induced Hazards</t>
  </si>
  <si>
    <t>Supply and Delivery of Meals for Frontliners</t>
  </si>
  <si>
    <t>FOR PREPOSITIONING OF DISASTER EMERGENCY OPERATION CHARGEABLE TO SUPPORT 	 CMCC UNDER CDRRM /CSWDO</t>
  </si>
  <si>
    <t>REHABILITATION/IMPROVEMENT OF LEVEL III WATER SYSTEM IN BRGY. SAN RAFAEL</t>
  </si>
  <si>
    <t>CDP TRAINING PLANS AND SESSION GUIDES PREPARATION (CDP TOOL BOX PREPARATION)</t>
  </si>
  <si>
    <t>Construction of Materials Recovery Facility</t>
  </si>
  <si>
    <t>Materials for module printing good for 4,190 students.</t>
  </si>
  <si>
    <t>SUPPLY AND DELIVERY OF I.T ACCESSORIES</t>
  </si>
  <si>
    <t>Acquisition of Plastic Shredding Machine</t>
  </si>
  <si>
    <t>BLGU-MALAGUICAY-03-2020 REPAIR/IMPROVEMENT OF BARANGAY STEERTLIGHTS BRGY. MALAGUICAY ABUYOG, LEYTE</t>
  </si>
  <si>
    <t>Rehabilitation of Farm to Market Road</t>
  </si>
  <si>
    <t>Purchase of Seeds for Suyo Farmers Recovery Program</t>
  </si>
  <si>
    <t>IMPROVEMENT OF BRGY.HALL</t>
  </si>
  <si>
    <t>BLGU-MALAGUICAY-02-2020 OPENING OF BARANGAY ACCESS ROAD PHASE-1 BRGY. MALAGUICAY ABUYOG, LEYTE</t>
  </si>
  <si>
    <t>Photocopy of 1st Quarter Modules</t>
  </si>
  <si>
    <t>Completion/Construction of Multi Purpose Gym Brgy.Janipa - an Oeste,New Lucena Iloilo</t>
  </si>
  <si>
    <t>CONSTRUCTION OF DOUBLE-BARREL BOX CULVERT</t>
  </si>
  <si>
    <t>Purchase and Delivery of Prepaid Cards of the MDRRMO</t>
  </si>
  <si>
    <t>Completion of Barangay Health Facitility (To served as Covid-19 Isolation Facility) Brgy. Maungib, Pura, Tarlac</t>
  </si>
  <si>
    <t>RAED-20-2973: Procurement of ICT Office Supplies to be used in DA RFO-7 offices in support to the implementation of various projects</t>
  </si>
  <si>
    <t>CONSTRUCTION OF EVACUATION CENTER BUILDING</t>
  </si>
  <si>
    <t>SUPPLY &amp; DELIVERY OF 25 UNITS COLLAPSIBLE TENTS ( LATE POSTING)</t>
  </si>
  <si>
    <t>PROCUREMENT OF GARBAGE COLLECTION MOTOR VEHICLE</t>
  </si>
  <si>
    <t>PRINTING OF COMPLETE SETS OF MODULE KINDER TO GRADE 6</t>
  </si>
  <si>
    <t>20GB00032: Purchase and Delivery of Survey and IT Equipment</t>
  </si>
  <si>
    <t>Supply, Delivery, Installation and Testing of Two (2) 3-Tonner Inverter Type Air Conditioning Units</t>
  </si>
  <si>
    <t>REPAIR AND MAINTENANCE OF ICT EQUIPMENT</t>
  </si>
  <si>
    <t>Procurement of Groundwood Paper (A3)</t>
  </si>
  <si>
    <t>PURCHASE OF OFFICE EQUIPMENT AND OTHER MACHINERY</t>
  </si>
  <si>
    <t>SUPPLY &amp; DELIVERY OF AIR CURTAIN UNIT</t>
  </si>
  <si>
    <t>36 cu.m Coarse Aggregates (2” max. size) and other items for continuance concreting of Vicinal road in Makugihon at Barangay Talay.</t>
  </si>
  <si>
    <t>Procurement of 225 sacks Hi-Pro 50 KGS./SACK etc.,.</t>
  </si>
  <si>
    <t>Purchase of Agricultural Equipment and Fertilizers</t>
  </si>
  <si>
    <t>USE FOR PREPOSITIONING OF DISASTER FOOD PACKS CHARGEABLE TO FOOD AND NON FOOD ITEMS/CSWDO</t>
  </si>
  <si>
    <t>Procurement of IT Equipment and Accessories @ Tungawan District (Elementary &amp; H/S)</t>
  </si>
  <si>
    <t>CONSTRUCTION OF MAIN WATER TANK</t>
  </si>
  <si>
    <t>Procurement of  Fuel &amp; Lubricants For consumption of 42nd, PMFC, Coast Guard, PNP 54th Engineering Brigade</t>
  </si>
  <si>
    <t>Tarpaulin etc. (05-0537) CMO</t>
  </si>
  <si>
    <t>74927_Supply &amp; Delivery of Construction Materials</t>
  </si>
  <si>
    <t>CONSTRUCTION OF COVERED COURT PHASE 1</t>
  </si>
  <si>
    <t>Rechanneling @ Chico River (Calanan Section), Calanan</t>
  </si>
  <si>
    <t>T. AWAD ECHEVARRIA ELEMENTARY SCHOOL - GENERAL MERCHANDISE</t>
  </si>
  <si>
    <t>Procurement of construction materials for Concreting of Public Market Access Road, Sta. Maria</t>
  </si>
  <si>
    <t>Construction of the Overspill Bridge and Footbridge, Makilala, North Cotabato</t>
  </si>
  <si>
    <t>PURCHASE &amp; DELIVERY OF VEHICLE PARTS &amp; ACCESS</t>
  </si>
  <si>
    <t>Purchase of Office Supplies for Various Offices</t>
  </si>
  <si>
    <t>Procurement of Four (4) Pcs Tubeless Tire for Replacement of Delapidated Part of Service Vehicle with Plate No. SJK 468 - 2020-07-054</t>
  </si>
  <si>
    <t>PRINTING &amp; BINDING SERVICES OF LEARNING  MODULES AND ACTIVITY SHEETS (SUB-ARO RO-9-DAP-20-07-251</t>
  </si>
  <si>
    <t>TRAINING OF TRAINERS ON THE FORMULATION OF RISK-INFORMED AND GENDER RESPONSIVE CDPs/CAPACITY BUILDING ON CDP (TOT)</t>
  </si>
  <si>
    <t>ACQUISITION OF TRI WHEEL MOTOR VEHICLE</t>
  </si>
  <si>
    <t>Request for Quotation (Battery and Tires)</t>
  </si>
  <si>
    <t>LOT 1: REHABILITATION AND REPAIR OF MURTHA SEED FARM</t>
  </si>
  <si>
    <t>“Supply Labor and Materials for the  Concreting of Farm To Market Road at Purok Tres Rosas, Sadaan, Midsayap, Cotabato</t>
  </si>
  <si>
    <t>Purchase of Disinfectants for Trans Boundary Animal Diseases Prevention &amp; Control Program Preparedness of Provincial Veterinary Office</t>
  </si>
  <si>
    <t>Procurement of Furniture and Fixtures for Various Offices</t>
  </si>
  <si>
    <t>Procurement of Engine (Pumpboat)</t>
  </si>
  <si>
    <t>Supply and delivery of 1 unit Clean Air True Hepa Filter and 1 unit Extra Oral Evacuation System as per PR 20-05-0292</t>
  </si>
  <si>
    <t>Additional Construction of Fence</t>
  </si>
  <si>
    <t>Water meter</t>
  </si>
  <si>
    <t>Supply and Delivery of Syringe, disposable, 10ml, G-23x1"</t>
  </si>
  <si>
    <t>2020-0198-PR2020-0580 Furnishing of Labor, Materials and Equipment for the Construction of 2 Class Room School Building with Two Toilets at Hanopol National High School at Hanopol, Balilihan, Bohol, b</t>
  </si>
  <si>
    <t>Continuity of Learning Amidst COVID19 Reproduction of Modules</t>
  </si>
  <si>
    <t>Construction of Multi-Purpose Bldg. (Phase 1) in Brgy. Monte Alegre, Isabel, Leyte, ABC PHP1,992,757.62</t>
  </si>
  <si>
    <t>Completion/Construction of Multi Purpose Gym Brgy. Burot,New Lucena Iloilo</t>
  </si>
  <si>
    <t>PURCHASE &amp; DELIVERY OF CONSTRUCTION &amp; HARDWARE MATERIALS</t>
  </si>
  <si>
    <t>PRINTING &amp; BINDING SERVICES OF LEARNING MODULES AND ACTIVITY SHEETS (SUB-ARO- RO-9-DAP-20-07-243</t>
  </si>
  <si>
    <t>PR# 20-06-654-A PROCUREMENT OF CONSTRUCTION MATERIALS &amp; SUPPLIES FOR THE 3 UNIS URBAN AQUACULTURE FOR DEMO (AQUAPONICS TECHNOLOGY) MODEL 2.  (PFO-CEBU)</t>
  </si>
  <si>
    <t>CONSTRUCTION OF DAYCARE CENTER @ BRGY. ATATE(old) PALAYAN CITY</t>
  </si>
  <si>
    <t>Livelihood Support for the Fisherfolk Brgy. Liguan (FISHCAGE)</t>
  </si>
  <si>
    <t>Purchase of Materials for the Repair/Improvement of Social Hall, Sampaloc Elementary School-Main, Barangay San Roque</t>
  </si>
  <si>
    <t>CONSTRUCTION OF FARMERS' PUBLIC MARKET</t>
  </si>
  <si>
    <t>Cost of meals and snacks for 3 days for use in the conduct of Training for Tourism Liaison Officers, Tourism Office</t>
  </si>
  <si>
    <t>Procurement of 4 piece Tire 245/70 R16</t>
  </si>
  <si>
    <t>RAED-20-2972: Procurement of Office Supplies to be used in DA RFO-7 offices in support to the implementation of various projects</t>
  </si>
  <si>
    <t>IT EQUIPMENT (MPDC)</t>
  </si>
  <si>
    <t>Concreting of Local Access Road</t>
  </si>
  <si>
    <t>Opening/Improvement of Road (GAD) Mataddong, Bantay</t>
  </si>
  <si>
    <t>AUGMENTATION OF CONSTRUCTION OF COVERED COURT PHASE 3</t>
  </si>
  <si>
    <t>SUPPLY AND DELIVERY OF OFFICE SUPPLIES, I.T ACCESSORIES &amp; MEDICAL SUPPLIES</t>
  </si>
  <si>
    <t>BACOLOD BRANCH - Queuing Machine System</t>
  </si>
  <si>
    <t>TRAINING SUPPLIES AND MATERIALS OF ORGANIC AGRICULTUR PRODUCTION NC II</t>
  </si>
  <si>
    <t>RFQ 2020-08-18 module</t>
  </si>
  <si>
    <t>Purchase of Twenty (20) Units Brand New Single Motorcycle</t>
  </si>
  <si>
    <t>Procurement of Grocery Items for consumption of Mayor's Office (3rd quarter)</t>
  </si>
  <si>
    <t>INSTALLATION OF GUTTER FOR MULTI-PURPOSE BUILDING</t>
  </si>
  <si>
    <t>PROCUREMENT OF OF 1 UNIT IPAD</t>
  </si>
  <si>
    <t>Procurement of 1 roll B-net/Horticultural Net 1/4" mesh double-width etc.</t>
  </si>
  <si>
    <t>Concreting of Road along JNR-Old Taligue Section in Abuyog, Leyte, ABC PHP1,981,179.50</t>
  </si>
  <si>
    <t>Procurement of 1400 sets Data Folder with clip</t>
  </si>
  <si>
    <t>Safety and Occupational Products  for the Prevention of NCOV 19</t>
  </si>
  <si>
    <t>INSTALLATION OF POWER SUPPLY LINE DISTRIBUTION FOR THE STALLS AT BLISS SIDE, BAGO CITY 	 PUBLIC MARKET, BRGY. POBLACION, BAGO CITY</t>
  </si>
  <si>
    <t>2020 25TH PUBLIC BIDDING PROCUREMENT OF HOUSEKEEPING AND LINEN AND LAUNDRY SUPPLIES FOR 2020 2ND SEMESTER CONSUMPTION</t>
  </si>
  <si>
    <t>Procurement of Relief/Search and Rescue Operations Vehicle - Rescue Utility Van (2nd Posting)</t>
  </si>
  <si>
    <t>74920_Supply &amp; Delivery of 100mm dia and 150mmdia Flow Meter with Reed Switch</t>
  </si>
  <si>
    <t>Purchase Assorted Office Supplies and Office Equipment</t>
  </si>
  <si>
    <t>PROCUREMENT OF THERMAL SCANNER, ETC.</t>
  </si>
  <si>
    <t>Supply and Delivery of Pulse Oximeter for Medical Use</t>
  </si>
  <si>
    <t>PURCHASE OF RISOGRAPH MACHINE WITH COMPUTER INTERFACE FOR THE USE IN REPRODUCTION OF MODULES OF DEP-ED, LA CARLOTA CITY</t>
  </si>
  <si>
    <t>Maintenance of SLF and Construction of Bottle Vault</t>
  </si>
  <si>
    <t>Office supplies and devise</t>
  </si>
  <si>
    <t>CONSTRUCTION OF COMMUNITY PRECINT (COMPAC) @ BRGY. MANACNAC, PALAYAN CITY</t>
  </si>
  <si>
    <t>Concreting of Public Trail</t>
  </si>
  <si>
    <t>Improvement of Barangay Road -  All Puroks, Calanan</t>
  </si>
  <si>
    <t>Supply and Delivery of Caliber Pistol and Shotgun Shells for the Security Services of the University</t>
  </si>
  <si>
    <t>Supply, Delivery, Installation and Testing of One (1) 5-Tonner  Air-conditioning Unit</t>
  </si>
  <si>
    <t>Supply and Delivery of Livestock (Carabao)</t>
  </si>
  <si>
    <t>Construction of Multi-Purpose Bldg. (Phase 2) in Brgy. Alegre, Julita, Leyte, ABC PHP1,944,317.51</t>
  </si>
  <si>
    <t>Improvement of Road @ Purok 1 &amp; 2, San Juan</t>
  </si>
  <si>
    <t>PROCUREMENT OF REPAIR AND MAINTENANCE OF AIRCON UNITS (VARIOUS OFFICE)</t>
  </si>
  <si>
    <t>PURCHASE &amp; DELIVERY OF FOOD STUFF (RICE SUBSIDY) FOR THE 3RD QUARTER 2020</t>
  </si>
  <si>
    <t>Completion/Construction Of Multi Purpose Gym Brgy.Bita-og Gaja,New Lucena Iloilo</t>
  </si>
  <si>
    <t>Supply and Delivery of Diesel, Gasoline and Other Supplies for the Vehicle Utilization of SDSSU Tagbina Campus</t>
  </si>
  <si>
    <t>REPAIR &amp; MAINTENANCE OF VARIOUS MUN. VEHICLES</t>
  </si>
  <si>
    <t>Purchase of Computer Desktop -SK, Napnapan</t>
  </si>
  <si>
    <t>Construction of solar streetlights</t>
  </si>
  <si>
    <t>CONCRETING OF DEL PILAR BARANGAY ROAD AT DEL PILAR, PIÑAN, ZAMBOANGA DEL NORTE</t>
  </si>
  <si>
    <t>Procurement of Wifi Modem</t>
  </si>
  <si>
    <t>SUPPLY AND DELIVERY OF OFFICE SUPPLIES &amp; I.T CONSUMABLES</t>
  </si>
  <si>
    <t>LGU201820%DFGoods-003</t>
  </si>
  <si>
    <t>Supply and Delivery of Health Kits for All Kinder to Grade 6 Learners for SY 2020-2021</t>
  </si>
  <si>
    <t>REPAIR AND MAINTENANCE OF GREEN DUMPTRUCK</t>
  </si>
  <si>
    <t>Improvement of Road @ San Francisco, Dagupan Weste</t>
  </si>
  <si>
    <t>Purchase of One Unit Motor Vehicle (Ambulance)</t>
  </si>
  <si>
    <t>LOT 2: REHABILITATION AND REPAIR OF 3 UNITS SOLAR POWERED IRRIGATION SYSTEM</t>
  </si>
  <si>
    <t>BARANGAY PROJECT: PURCHASE OF INFORMATION &amp; COMMUNICATION TECH EQUIPMENT</t>
  </si>
  <si>
    <t>CONSTRUCTION OF COVERED COURT PHASE 2</t>
  </si>
  <si>
    <t>RFQ 2020-08-19</t>
  </si>
  <si>
    <t>FURNISHING OF MATERIALS &amp; RENTAL OF EQUIPMENT FOR THE CONSTRUCTION OF OUTPOST AT PUROK 2</t>
  </si>
  <si>
    <t>Improvement of Road @ Purok 6, Dagupan Weste</t>
  </si>
  <si>
    <t>TESTING, COMMISSIONING &amp; INSTALLATION OF AIR CONDITIONING UNIT</t>
  </si>
  <si>
    <t>Construction of Foot Steps (GAD) Purok 1 &amp; 2, Tuga</t>
  </si>
  <si>
    <t>Construction of Multi-Purpose Hall in Brgy. Bulacan, Hindang, Leyte, ABC PHP1,913,208.95</t>
  </si>
  <si>
    <t>Supply and Delivery of Electrical Supplies for the Repair and Maintenance of Plaza at Poblacion I, Naujan, Oriental Mindoro</t>
  </si>
  <si>
    <t>Purchase of Furniture and Fixtures for Integrated Provincial Health Office use</t>
  </si>
  <si>
    <t>Rehabilitation of Covered Court Flooring</t>
  </si>
  <si>
    <t>SUPPLY AND DELIVERY OF GENERAL MERCHANDISE, MENRO, LGU CANDELARIA, QUEZON</t>
  </si>
  <si>
    <t>SUPPLY AND DELIVERY AND INSTALLATION OF FIVE (5) UNITS AIRCONDITIONING SYSTEM (RE-BID), OFFICE OF THE MUNICIPAL MAYOR, LGU CANDELARIA, QUEZON</t>
  </si>
  <si>
    <t>Furnishing and Delivery of Materials for the Proposed Construction of CR w/ Septic Tank (Brgy. Outpost)</t>
  </si>
  <si>
    <t>Purchase of Furniture and Fixtures for Various Offices</t>
  </si>
  <si>
    <t>Procurement of construction materials for Construction of Slope Protection at Public Market, Sta. Maria</t>
  </si>
  <si>
    <t>Supply and delivery of Fuel  for Mayor's Office vehicles use.</t>
  </si>
  <si>
    <t>8 units LED Light, High bay, 160W, Superior Quality	for PGSO Office	 (N-635-2020)</t>
  </si>
  <si>
    <t>Supply &amp; Delivery of Fabricated Motorcycle Sidecar</t>
  </si>
  <si>
    <t>Continuation of Street Lights (GAD) River Side, Dupag</t>
  </si>
  <si>
    <t>Construction of Multi-Purpose Bldg. at Mayorga National High School in Mayorga, Leyte, ABC PHP1,920,650.19</t>
  </si>
  <si>
    <t>Installation of Pipe Culvert (Purok 5, Daplayan, San Pablo, ZDS.)</t>
  </si>
  <si>
    <t>Procurement of Consulting Services - Conduct of the Ground Penetrating Radar (GPR) and Geo-Resistivity Surveys</t>
  </si>
  <si>
    <t>30 cu.m Coarse Aggregates (2” max. size) and other items for Barangay Junob-continuance of road concreting Babajuba road (from end of concrete road to Babajuba Elementary School.</t>
  </si>
  <si>
    <t>Acquisition of CCTV Camera</t>
  </si>
  <si>
    <t>Procurement of DRRM Equipment - SHS</t>
  </si>
  <si>
    <t>Construction of Fish and Meat Section Bldg. Phase II at Lasam Public Market, Centro 02, Lasam, Cagayan</t>
  </si>
  <si>
    <t>Outside Labor (with necessary tools/equipment) and materials for Fabrication including installation/ mounting of glass wall partition with sliding door  and sliding window for BMC Blood Bank Office at</t>
  </si>
  <si>
    <t>Sspply &amp; Delivery of Materials (Installation of Streetlights</t>
  </si>
  <si>
    <t>PROCUREMENT OF OUTBOARD MOTOR</t>
  </si>
  <si>
    <t>Procurement of One (1) Set Rim with Spoke and One (1) Set Shock Absorber for Replacement of Defective Parts of Service Vehicle with Plate No. SG 4079 - PR 2020-06-045B</t>
  </si>
  <si>
    <t>For the operational use in the Fogging Operation by the MDRRMO in this municipality</t>
  </si>
  <si>
    <t>Improvement of Alinanag-Banneng FMR-Comadam, Calaccad</t>
  </si>
  <si>
    <t>Procurement of Catering Services (Buffet Meals) for Integrated Livelihood Planning Workshop of the Province of Zamboanga del Sur</t>
  </si>
  <si>
    <t>Proposed Staircase of Men's Dormitory Bldg. (Auxiliary Services 2020)</t>
  </si>
  <si>
    <t>Furnishing of materials for the Expansion of Tanod Outpost</t>
  </si>
  <si>
    <t>Construction of Vigan Display Center-Phase IV at Crisologo St. Barangay I, Vigan City</t>
  </si>
  <si>
    <t>Procurement of 1 unit Air Condition 2.5HP Split wall mounted type with Installation and Circuit Breaker and Magnetic switch 40A</t>
  </si>
  <si>
    <t>MOLDED CASE CIRCUIR BREAKER</t>
  </si>
  <si>
    <t>Request for Quotation (Plastic for Benchmark Quarterly Magazine)</t>
  </si>
  <si>
    <t>Improvement of Road @ Purok 5, San Julian</t>
  </si>
  <si>
    <t>Construction of Multi-Purpose Bldg. at Barugo I Central School in Barugo, Leyte, ABC PHP1,889,328.91</t>
  </si>
  <si>
    <t>Improvement of Road @ Zapote, Dilag</t>
  </si>
  <si>
    <t>SUPPLY AND DELIVERY OF TIRES</t>
  </si>
  <si>
    <t>Supply and Delivery of Tocilizumab 400mg/ 20ml</t>
  </si>
  <si>
    <t>INVITATION TO PUBLIC BIDDING FOR THE BARANGAY PROJECT: OTHER MACHINERY AND EQUIPMENT</t>
  </si>
  <si>
    <t>Construction of one-storey evacuation center (35m x 12m)</t>
  </si>
  <si>
    <t>SUPPLY &amp; DELIVERY OF JANITORIAL SUPPLIES</t>
  </si>
  <si>
    <t>IMPROVEMENT OF MULTIPURPOSE HALL</t>
  </si>
  <si>
    <t>Solar Street Light</t>
  </si>
  <si>
    <t>Supply, Delivery and Installation of Double Throw Circuit Breaker</t>
  </si>
  <si>
    <t>5 units Superior Quality LED Flood Light, unrivaled Efficay for PGSO OFFICE			 (N-636-2020)</t>
  </si>
  <si>
    <t>RFQ 2020-08-21</t>
  </si>
  <si>
    <t>Request for Quotation - Computer supplies for the 3rd Qtr of Y2020-HBC</t>
  </si>
  <si>
    <t>320 pcs Whole Body Raincoat, Thick (Good Quality), For Adult		for PGO-PSWDO		(N-613-2020)</t>
  </si>
  <si>
    <t>Supply and Delivery of Construction Materials and Supplies for the Improvement of Multi-Purpose Hall</t>
  </si>
  <si>
    <t>PROCUREMENT OF LABORATORY SUPPLIES (RHU)</t>
  </si>
  <si>
    <t>INVITATION TO PUBLIC BIDDING FOR THE BARANGAY PROJECT: FURNITURE AND FIXTURE</t>
  </si>
  <si>
    <t>SUPPLY &amp; DELIVERY OF MEDICAL SUPPLIES</t>
  </si>
  <si>
    <t>PURCHASE OF MULTI-PURPOSE VEHICLE</t>
  </si>
  <si>
    <t>Supply of 100 boxes Surgical Mask</t>
  </si>
  <si>
    <t>RAED-20-2971: Procurement of Other Supplies to be used in Geo-resistivity surveys of RAED in support to the implementation of various projects</t>
  </si>
  <si>
    <t>RFQ 2020-08-20 flyers</t>
  </si>
  <si>
    <t>LOT 3: REHABILITATION AND REPAIR OF 2 UNITS FLATBED DRYER</t>
  </si>
  <si>
    <t>Supply 1,000 boxes Disposable Masks</t>
  </si>
  <si>
    <t>Supply and Delivery of Various Laboratory Equipment for the College of Forestry</t>
  </si>
  <si>
    <t>Office Use</t>
  </si>
  <si>
    <t>Supply and delivery of Fuel for MDRRM service vehicles use.</t>
  </si>
  <si>
    <t>Improvement of Bolisong Water System Power Supply</t>
  </si>
  <si>
    <t>REPAIR/REHABILITATION OF BARANGAY STAGE ROOFING</t>
  </si>
  <si>
    <t>Installation of Solar Street Lights in Brgy. Dumarag, Pastrana, Leyte, ABC PHP1,847,565.32</t>
  </si>
  <si>
    <t>CONCRETING OF DAY CARE CENTER SORROUNDINGS @ SAWAT URBIZTONDO,PANGASINAN</t>
  </si>
  <si>
    <t>PROCUREMENT OF AID TO BARANGAY FOR CHILDREN</t>
  </si>
  <si>
    <t>PROCUREMENT OF DRONE FOR USE IN THE PLANNING AND DEVELOPMENT SERVICES</t>
  </si>
  <si>
    <t>PROCUREMENT OF TARPAULIN &amp; LEAFLETS FOR ANTI RED TAPE PROGRAM</t>
  </si>
  <si>
    <t>SUPPLY &amp; DELIVERY OF MATERIALS FOR THE CONSTRUCTION OF MULTIPURPOSE DRYING PAVEMENT AT UPPER LAPU-LAPU, BRGY. POBLACION (PHASE 1), NARRA, PALAWAN</t>
  </si>
  <si>
    <t>Rebidding: Job Order: Polo Shirt Traffic Uniform with Embroidered Traffic Logos for to be use in Traffic Management Office Uniform of Personnel.</t>
  </si>
  <si>
    <t>PROCUREMENT OF I.T. EQUIPMENT FOR CBET</t>
  </si>
  <si>
    <t>Perimeter Fencing of the Multi-Purpose Hall</t>
  </si>
  <si>
    <t>PURCHASE OF ASSORTED SUPPLIES FOR NUTRITION MONTH CELEBRATION 2020</t>
  </si>
  <si>
    <t>ITB - Supply and Delivery of Foodstuff (September-December 2020)</t>
  </si>
  <si>
    <t>CONSTRUCTION OF MUNICIPAL SANITARY LANDFILL</t>
  </si>
  <si>
    <t>Construction of Slope Protection in Brgy. Cabaohan, Pastrana, Leyte, ABC PHP1,315,784.28</t>
  </si>
  <si>
    <t>Request for Quotation for Supply and Delivery of Goods for SINAWAL SIP Lot 5</t>
  </si>
  <si>
    <t>COMPLETION OF COMFORT ROOM (GYM)</t>
  </si>
  <si>
    <t>MOOE FOR THE MONTH OF JULY, AUGUST AND SEPTEMBER 2020</t>
  </si>
  <si>
    <t>Catbalogan Airport Development Project C.Y. 2020-(Construction of Terminal Area, Apron and Taxiway)</t>
  </si>
  <si>
    <t>RAED-20-2975: Procurement of Office Supplies to be used in RAED in support to the implementation of various projects</t>
  </si>
  <si>
    <t>Purchase of Training Materials on Rice-Duck Integration Season Long Training</t>
  </si>
  <si>
    <t>Supply and Delivery of Service for Clean up and Desilting of creek under CDRRMO Prevention and Mitigation Fund</t>
  </si>
  <si>
    <t>SWM Supplies &amp; SLF Maintenance</t>
  </si>
  <si>
    <t>Expanded Ecobag with school logo</t>
  </si>
  <si>
    <t>FURNISHING AND DELIVERY OF NINE (9) UNITS XEROX/COPIER MACHINE</t>
  </si>
  <si>
    <t>Rehabilitation of Hanging Bridge in Brgy. Libertad, Abuyog, Leyte, ABC PHP1,385,962.99</t>
  </si>
  <si>
    <t>Improvement of Multi-Purpose Bldg. in Brgy. Bito, Abuyog, Leyte, ABC PHP1,829,770.53</t>
  </si>
  <si>
    <t>RICE SUBSIDY TO LAW ENFORCERS AND OTHER GOVERNMENT FUNCTIONARIES</t>
  </si>
  <si>
    <t>Supply and Installation Supervision of 2 sets Submersible Pump</t>
  </si>
  <si>
    <t>Provision for Conference Venue with Meals, Snacks and Room Accommodation (Triple Sharing) For the Conduct of Nutrition Management Training/Orientation Program of Provincial Nutrition Office</t>
  </si>
  <si>
    <t>Installation of Pipe Culvert (Purok 1, Songgoy, San Pablo, ZDS.)</t>
  </si>
  <si>
    <t>Supply of ten (10) units Sprayer</t>
  </si>
  <si>
    <t>Supply of 1,000 pieces Safety Goggles</t>
  </si>
  <si>
    <t>Procurement for the Printing of BatStateU Chronicle 2nd Quarter (April-June 2020)</t>
  </si>
  <si>
    <t>INFORMATION TECHONOLOGY</t>
  </si>
  <si>
    <t>Purchase of Medicines and Medical Supplies</t>
  </si>
  <si>
    <t>SUPPLY AND DELIVERY OF VARIOUS OFFICE FURNITURE AND FIXTURES</t>
  </si>
  <si>
    <t>PCCP Caratagan-Morok Borok Road (Phase I)</t>
  </si>
  <si>
    <t>PROCUREMENT FOR THE REPAIR &amp; MAINTENANCE OF MEDICAL EQUIPMENT, DR. JOSE RIZAL MEMORIAL HOSPITAL</t>
  </si>
  <si>
    <t>PROCUREMENT OF MEALS AND ROOM ACCOMMODATION FOR FISHPOND LEASE AGREEMENT HOLDER'S ASSEMBLY FOR DAVAO DEL SUR AND DAVAO OCCIDENTAL</t>
  </si>
  <si>
    <t>Supply and Delivery of Materials and Fittings for Service Connections</t>
  </si>
  <si>
    <t>UPLB-RES-037-08-20  SUPPLY AND DELIVERY OF BRANDED AND BRAND NEW REAL-TIME PCR DETECTION SYSTEM FOR IPB</t>
  </si>
  <si>
    <t>Request for Quotation of Office Supplies intended for LGU-Boston Office use.</t>
  </si>
  <si>
    <t>Office Supplies and Consumables MOOE  3rd Quarter</t>
  </si>
  <si>
    <t>Meals and Hotel Accommodation</t>
  </si>
  <si>
    <t>SUPPLY AND DELIVERY OF MULTIVITAMINS</t>
  </si>
  <si>
    <t>supply and delivery of Goods (construction and piping materials) for water system</t>
  </si>
  <si>
    <t>Expansion of Existing Swimming Pool a, Rebi Beach Resort.</t>
  </si>
  <si>
    <t>Rehabilitation/Improvement of Molato Street (Extension)</t>
  </si>
  <si>
    <t>Agriculture and Marine supplies expenses</t>
  </si>
  <si>
    <t>Procurement of Information Technology</t>
  </si>
  <si>
    <t>Construction of Multi-Purpose Building in Brgy. Serrano, Dulag, Leyte, ABC PHP1,241,627.40</t>
  </si>
  <si>
    <t>PRINTING OF COMPLETE SETS OF MODULE KINDER TO GRADE 10 SY 2020-2021</t>
  </si>
  <si>
    <t>BACOLOD BRANCH - Burglar Alarm Control System</t>
  </si>
  <si>
    <t>Installation of Pressure Reducing Valves and Installation / Replacement of  Mech Gate Valves in Carcar City</t>
  </si>
  <si>
    <t>Medicines</t>
  </si>
  <si>
    <t>Construction of Covered Walk at the Isolation Building, Leyte Provincial Hospital, Palo, Leyte, ABC PHP1,155,333.86</t>
  </si>
  <si>
    <t>Procurement of 51 bags Tilapia Grower Pellets floater 25kg./bag etc.</t>
  </si>
  <si>
    <t>Repair/rehabilitation of Perimeter Fence &amp; Pergola of Hiabangan Elem. School in Dagami, Leyte, ABC PHP1,004,238.07</t>
  </si>
  <si>
    <t>Construction of MultiPurpose Building</t>
  </si>
  <si>
    <t>Procurement of Laptops for City Accounting Office</t>
  </si>
  <si>
    <t>PR. 20-07-268 (2020-08-271) PROCUREMENT OF 2HP WINDOW TYPE AIR-CONDITIONING UNIT (INVERTER)</t>
  </si>
  <si>
    <t>Concreting of Farm to Market Road</t>
  </si>
  <si>
    <t>Supply of 2,000 bottles Alcohol 500ml</t>
  </si>
  <si>
    <t>AB-2020-0028: Supply and Delivery of Smartphone, GPS-Capable for use at Planning and Design Section (MYPS) at  DPWH-INSDEO, San Pablo, San Nicolas, Ilocos Norte</t>
  </si>
  <si>
    <t>LABOR AND MATERIALS FOR MAINTENACE OF 1 UNIT GRADER MG - 330 HIDROMEK</t>
  </si>
  <si>
    <t>Rehabiltation/Improvement of Evacuaton Center/Multipurpose Covered Court(Electrical Installation)</t>
  </si>
  <si>
    <t>SECURITY GUARD SERVICES TO PROTECT AND WATCH-OVER THE GCWD OFFICE AND ALL FACILITIES</t>
  </si>
  <si>
    <t>Procurement of Office Supplies and Equipment of Libjo Elementary School</t>
  </si>
  <si>
    <t>REPAIR &amp; MAINTENANCE OF SCHOOL BUILDINGS &amp; OTHER FACILITIES</t>
  </si>
  <si>
    <t>PROCUREMENT OF ONE UNIT CPU</t>
  </si>
  <si>
    <t>Purchase of 1 Set of Desktop All-in-one for Engineering Office</t>
  </si>
  <si>
    <t>20-07-0100 - PROCUREMENT OF BITOMINOUS ASPHALT CEMENT FOR USE IN THE MAINTENANCE SECTION ON CRACK AND JOINT SEALING ASPHALT AND CONCRETE PAVEMENT ALONG NATIONAL ROADS</t>
  </si>
  <si>
    <t>Installation of Solar Street Lights in Brgy. Buntay, Abuyog, Leyte, ABC PHP2,098,233.12</t>
  </si>
  <si>
    <t>PURCHASE OF FUEL FOR MUNICIPAL VEHICLE USE</t>
  </si>
  <si>
    <t>Handwashing Facilities</t>
  </si>
  <si>
    <t>Plastic Pallet, Open Bottom, Color: Black</t>
  </si>
  <si>
    <t>FRONT TIRE FOR TRACTOR (FOR REPLACEMENT)</t>
  </si>
  <si>
    <t>20GKB0006 Supply and Delivery of Thermoplastic Paint (White and Yellow) to be used in the Repainting of Pavement Markings Along National Roads and Bridges for the 3rd and 4th Quarter.</t>
  </si>
  <si>
    <t>2nd posting CY 2020 Basic Educational Facilities  Fund(BEFF) Electrification of Un-Energized Schools and Modernization of Electrical Systems on Grid Schools Batch 1 c1</t>
  </si>
  <si>
    <t>Construction of Multi-purpose Drying Pavement (MPDP) at Urzadan</t>
  </si>
  <si>
    <t>Supply and Delivery of Face Mask</t>
  </si>
  <si>
    <t>Purchase of Spare Parts for Backhoe JS205</t>
  </si>
  <si>
    <t>Request for Quotation for Supply and Delivery of Goods for SINAWAL SIP</t>
  </si>
  <si>
    <t>CONST. OF ROAD/IMPROVEMENT/REFURBISHMENT OF FACILITIES AND AMENITIES/FABRICATION &amp; INSTALLATION OF DRAINAGE CANAL COVER.</t>
  </si>
  <si>
    <t>Procurement of Scrub Suit for CHO</t>
  </si>
  <si>
    <t>Procurement of Laptops for RHU 2</t>
  </si>
  <si>
    <t>Supply, Delivery and Installation of One (1) unit Express5800/r120g-2E Server (3rd posting)</t>
  </si>
  <si>
    <t>SUPPLY&amp; DELIVERY OF OFFICE SUPPLIES.</t>
  </si>
  <si>
    <t>PURCHASE OF RM OF HAND WASHING FACILITIES FOR S.Y. 2020-2021</t>
  </si>
  <si>
    <t>Procurement of Medicines of RHU 2</t>
  </si>
  <si>
    <t>2nd posting CY 2020 Basic Educational Facilities  Fund(BEFF) Electrification of Un-Energized Schools and Modernization of Electrical Systems on Grid Schools Batch 2</t>
  </si>
  <si>
    <t>Procurement of Printing of Modules of Doña Elena Mitre Garcua ES</t>
  </si>
  <si>
    <t>2nd posting CY 2020 Basic Educational Facilities  Fund(BEFF) Electrification of Un-Energized Schools and Modernization of Electrical Systems on Grid Schools c2</t>
  </si>
  <si>
    <t>Procurement of MAC BOOK PRO for SP Office (Bagayao)</t>
  </si>
  <si>
    <t>Filing Cabinet</t>
  </si>
  <si>
    <t>SUPPLY AND DELIVERY OF OFFICE EQUIPMENT PARTS</t>
  </si>
  <si>
    <t>Construction Materials and devices</t>
  </si>
  <si>
    <t>Rehabilitation of Barangay Roads for 24 Barangays at San Fernando</t>
  </si>
  <si>
    <t>Procurement of 1 Unit Self-Bailing Raft of CDRRMC</t>
  </si>
  <si>
    <t>Construction of Level II Water System</t>
  </si>
  <si>
    <t>Procurement of IT Equipment and Software for CENRO</t>
  </si>
  <si>
    <t>CONSTRUCTION MATERIALS FOR REPAIR AND MAINTENANCE OF OTHER STRUCTURE</t>
  </si>
  <si>
    <t>Procurement of Printing of Modules of Palanog Elementary School</t>
  </si>
  <si>
    <t>SUBMERSIBLE PUMP &amp; VFD</t>
  </si>
  <si>
    <t>20AH0025SVP: Supply and Delivery of Various Materials for use in the Maintenance Activities within the 2nd and 4th Congressional District</t>
  </si>
  <si>
    <t>NBC-0720-194</t>
  </si>
  <si>
    <t>Materials for Mini Carenderia Starter Kit</t>
  </si>
  <si>
    <t>LOT 2 Project No.: GOODS-2020-08-003 INVITATION TO BID Provision of Supply and Delivery of Printing Materials for the Reproduction of Self-Learning Materials for Kinder to Grade 11</t>
  </si>
  <si>
    <t>Information Technology  for Distribution to Senior High School Students provincewide</t>
  </si>
  <si>
    <t>BPSU Central Office - Accounting Department_Laptops</t>
  </si>
  <si>
    <t>Nebulizer</t>
  </si>
  <si>
    <t>LOT 1 Project No.: GOODS-2020-08-003 INVITATION TO BID Provision of Supply and Delivery of Printing Materials for the Reproduction of Self-Learning Materials for Kinder to Grade 11</t>
  </si>
  <si>
    <t>Supplying various diving equipment to be used in the implementation of the Coral Restoration Project for Marinduque, PG-ENRO, Boac, Marinduque</t>
  </si>
  <si>
    <t>Procurement of Audio Visual and IT Equipment of ICT</t>
  </si>
  <si>
    <t>One (1) lot Labor and Materials for the Replacement of Floor Tiles at Landbank Nagcarlan Branch</t>
  </si>
  <si>
    <t>Computerization of Dumanjug Water System</t>
  </si>
  <si>
    <t>Information Technology Parts for Distribution to different schools provincewide</t>
  </si>
  <si>
    <t>Construction of Barangay Wharf-Barangay Montana</t>
  </si>
  <si>
    <t>IMPROVEMENT OF HEALTH CENTER</t>
  </si>
  <si>
    <t>Catering Services  (Meals &amp; Snacks for 3 days)</t>
  </si>
  <si>
    <t>Manual resuscitator bag (Pedia)</t>
  </si>
  <si>
    <t>Construction of Multi-Purpose Hall, Phase I</t>
  </si>
  <si>
    <t>PROCUREMENT OF OFFICE SUPPLIES AND EQUIPMENT (REBID), DR. JOSE RIZAL MEMORIAL HOSPITAL</t>
  </si>
  <si>
    <t>Procurement of Office Supplies and Equipment of Cararayan-Naga Elementary</t>
  </si>
  <si>
    <t>Supply &amp; Delivery of Three (3) Units Air Condition</t>
  </si>
  <si>
    <t>Procurement of IT and Office Equipment for Mayor's Office</t>
  </si>
  <si>
    <t>PURCHASE OF THE MATERIALS FOR THE INSTALLATION OF STREET LIGHT</t>
  </si>
  <si>
    <t>replacement  of roofing</t>
  </si>
  <si>
    <t>PB-PROCUREMENT OF MEDICAL &amp; OTHER HEALTH RELATED EQUIPMENT (3) ITB No. 2020-30</t>
  </si>
  <si>
    <t>For Various Expences of Frontliner's support staff, and back-end personnel during the relief and response operations of this Municipality of Bugallon in relation to the Extreme Enhanced Community Quar</t>
  </si>
  <si>
    <t>2020-07-0030 - BASIC PERSONALITY INVENTORY FOR SDO PERSONNEL</t>
  </si>
  <si>
    <t>SUPPLY AND DELIVERY OF IT EQUIPMENT</t>
  </si>
  <si>
    <t>Riprapping of Barangay Road @ Casinagan, Oas Albay</t>
  </si>
  <si>
    <t>PURCHASE OF MOTORCYCLES FOR BARANGAYS (2ND BID)</t>
  </si>
  <si>
    <t>Fan Belt etc.(07-0768) Operation of Public Motorpool</t>
  </si>
  <si>
    <t>SUPPLY AND DELIVERY OF ECOBAGS WITH LOGO FOR   DIVISION OF CITY SCHOOLS</t>
  </si>
  <si>
    <t>Purchase of Office Equipment to be used in the Conference Room at Dean’s Office</t>
  </si>
  <si>
    <t>Usual Office Supplies Needs</t>
  </si>
  <si>
    <t>PURCHASE OF THE MATERIALS FOR THE CONSTRUCTION OF WATER SYSTEM</t>
  </si>
  <si>
    <t>Rehabilitation/maintenance of Farm to Market Road</t>
  </si>
  <si>
    <t>PR 2020-08-020 Ink c/o Sir Labog</t>
  </si>
  <si>
    <t>Peritoneal Dialysis Solution Sterile 1.5%  dextrose 2L</t>
  </si>
  <si>
    <t>Supplying various supplies and materials to be used in the delineation of boundaries for the Coral Restoration Project for Marinduque, PG-ENRO, Boac, Marinduque</t>
  </si>
  <si>
    <t>Supply and Delivery of Mini Dumptruck (Brand New)</t>
  </si>
  <si>
    <t>Office Supplies and Devices for Distribution to Different Schools Provincewide</t>
  </si>
  <si>
    <t>SUPPLY AND DELIVERY OF CCTV CAMERAS AND INSTALLATION OF PUBLIC WIFI SYSTEM IN DIFFERENT PUBLIC SCHOOLS IN KAUSWAGAN, LANAO DEL NORTE SCHOOL DISTRICT FOR DISTANCE LEARNING SYSTEM FOR SCHOOL YEAR 2020-2</t>
  </si>
  <si>
    <t>RAED-20-2969:Procurement of Other Machinery and Equipment to be used in the DA-RFO7 offices in support to the implementation projects and troubleshooting of various farm machinery&amp;equipment projects</t>
  </si>
  <si>
    <t>SUPPLY AND DELIVERY OF OFFICE SUPPLIES</t>
  </si>
  <si>
    <t>ITB No. 016-2020-First Posting-Supply and Delivery of Construction Materials and Supplies for the Municipal Quarantine Area at El Paso of LGU-Hingyon, Ifugao.</t>
  </si>
  <si>
    <t>RAED-20-2970: Procurement of Other Supplies to be used in maintaining cleanliness in RAED Office</t>
  </si>
  <si>
    <t>Construction of Comfort Room in Libacao Public Market, Brgy. Poblacion, Libacao, Aklan</t>
  </si>
  <si>
    <t>EMC-020-20 Repair and Maintenance Motor Vehicle</t>
  </si>
  <si>
    <t>One (1) lot Procurement of Toner for Brother Printer/Scanner at LANDBANK Field Legal Office Laguna - Los Banos, Laguna</t>
  </si>
  <si>
    <t>Supplying one (1) unit Brand New Wheel Loader, etc. for Disaster Response Operations, Mitigation &amp; Climate Change, PEO, Boac, Marinduque</t>
  </si>
  <si>
    <t>Supply and Delivery of Various IT Supplies and Materials for the PAO of the University</t>
  </si>
  <si>
    <t>Procurement of Equipment Use for Road Maintenance of Motorpool</t>
  </si>
  <si>
    <t>Rehabilitation of Multi-purpose Hall @ Busac, Oas, Albay</t>
  </si>
  <si>
    <t>JOB REQUEST FOR THE PROPOSED 2-STOREY OF EMB V EIA STAFF HOUSE CUM CONFERENCE ROOM WITH ROOM DECK</t>
  </si>
  <si>
    <t>SUPPLY AND DELIVERY OF VARIOUS DRUG AND MEDICINES TO BE USED AT PROVINCIAL VETERINARY OFFICE FOR ANIMAL HEALTH PROGRAM</t>
  </si>
  <si>
    <t>Purchase of Construction Materials for the Proposed Concreting of Road connecting Santos St., RH-6, Cotabato City</t>
  </si>
  <si>
    <t>RAED-20-2968: Procurement of Communication Equipment to be used in the DA-RFO-7 offices in support to the implementation of various projects</t>
  </si>
  <si>
    <t>ECG clamps (4pcs/set)</t>
  </si>
  <si>
    <t>SLOPE PROTECTION</t>
  </si>
  <si>
    <t>SVP-SUPPLY AND DELIVERY OF PAPER SUPPLIES FOR REPRODUCTION OF LEARNING MODULES, LOS BANOS, LAGUNA</t>
  </si>
  <si>
    <t>SUPPLY &amp; DELIVERY OF CONSTRUCTION MATERIALS FOR CONSTRUCTION OF GARBAGE PIT FOR TOXIC WASTES</t>
  </si>
  <si>
    <t>PURCHASE OF UNIFORM FOR BARANGAY TANODS</t>
  </si>
  <si>
    <t>Supply, Delivery, Installation and Testing of Thirteen (13) Sets CCTV Camera</t>
  </si>
  <si>
    <t>Purchase of Goods (Water Pipe Fittings and Materials)</t>
  </si>
  <si>
    <t>PURCHASE OF LAPTOP COMPUTER &amp; PRINTER W/ SCANNER</t>
  </si>
  <si>
    <t>SUPPLY AND DELIVERY OF SOFTWARE</t>
  </si>
  <si>
    <t>VERTICAL / URBAN GARDENING</t>
  </si>
  <si>
    <t>SUPPLY AND DELIVERY OF RICE FOR USE IN COUNTER INSURGENCY AND TERRORISM</t>
  </si>
  <si>
    <t>Supply, Delivery, Installation and Testing of Two (2) Units Addressable Fire Alarm System</t>
  </si>
  <si>
    <t>PURCHASE OF SUPPLIES FOR PROJECT ALSABA (Alis Sakit sa Bata)</t>
  </si>
  <si>
    <t>TONGOHIN NATIONAL HIGH SCHOOL - MODULAR DISTANCE LEARNING</t>
  </si>
  <si>
    <t>Supply, Delivery and Testing of Three (3) Units Coin Counter</t>
  </si>
  <si>
    <t>Purchase of Materials for Improvement of Barangay Health Station, Brgy. Hilantagaan, Santa Fe, Cebu - Barangay</t>
  </si>
  <si>
    <t>Cont. of Brgy. Hall</t>
  </si>
  <si>
    <t>INVITATION TO BID FOR VEHICLE (4 WHEELS) AND ACCESSORIES (BID NO. 200813-16)</t>
  </si>
  <si>
    <t>Procurement of Laptop of Cararayan-Naga Elementary School</t>
  </si>
  <si>
    <t>Construction of Water Supply at Brgy. Bta. Rizal</t>
  </si>
  <si>
    <t>Procurement of Books of CSWD</t>
  </si>
  <si>
    <t>Supply and Delivery of Various ICT Repair and Maintenance Tools and Supplies 2020 of PSHS-CLC</t>
  </si>
  <si>
    <t>Maintenance of Water System for Various Barangays</t>
  </si>
  <si>
    <t>PBD 20-067C CELL CULTURE CONSUMABLE PLASTICWARES</t>
  </si>
  <si>
    <t>FURNISHING OF MATERIALS FOR THE IMPROVEMENT OF BARANGAY HALL</t>
  </si>
  <si>
    <t>INSTALLATION OF MODULAR CUBICLES at City Court Office, Tacloban City</t>
  </si>
  <si>
    <t>BARCODE STICKER</t>
  </si>
  <si>
    <t>Supplying one (1) unit Brand New Crawler Excavator, etc. for Disaster Response Operations, Mitigation &amp; Climate Change, PEO, Boac, Marinduque</t>
  </si>
  <si>
    <t>Improvement of Water System  at Brgy. Zamora</t>
  </si>
  <si>
    <t>Supply and Delivery of Various ICT Peripherals and Supplies 2020 of PSHS-CLC</t>
  </si>
  <si>
    <t>Supply and Delivery of Labor and Materials of Additional Construction of Manpower Development Center</t>
  </si>
  <si>
    <t>Supply &amp; Delivery of Six (6) Units Computer Laptop for Sangguniang Bayan Members</t>
  </si>
  <si>
    <t>PURCHASE OF CCTV EQUIPMENT &amp; ACCESSORIES</t>
  </si>
  <si>
    <t>DRUGS &amp; MEDICINE SUPPLIES</t>
  </si>
  <si>
    <t>LOT 3 Project No.: GOODS-2020-08-003 INVITATION TO BID Provision of LOT 3 Supply and Delivery of Printing Materials for the Reproduction of Self-Learning Materials for Kinder to Grade 11</t>
  </si>
  <si>
    <t>PR 1-20-07-0873, FOR USE OF THE CITY MAYOR'S OFFICE, THIS CITY.</t>
  </si>
  <si>
    <t>RBE GYMNASIUM BASKETBALL COURT COVER MATTING</t>
  </si>
  <si>
    <t>SUPPLY AND DELIVERY OF ASSORTED MATERIALS AND SUPPLIES FOR BACKYARD GARDENING PROJECT IN PAG-ASA ISLAND</t>
  </si>
  <si>
    <t>Rehabilitation of Manpower Development Center</t>
  </si>
  <si>
    <t>Supply, Delivery, Installation and Testing of Five (5) Units Automatic Voltage Regulator</t>
  </si>
  <si>
    <t>SUPPLY AND DELIVERY OF PRE-FABRICATED BASKETBALL BOARD</t>
  </si>
  <si>
    <t>PROCUREMENT OF MEAT &amp; POULTRY (REBID), DR. JOSE RIZAL MEMORIAL HOSPITAL</t>
  </si>
  <si>
    <t>20GLH0018 (P.R. 2020-07-044 dated 07/29/2020) - Procurement of Laboratory Equipments / Apparatus</t>
  </si>
  <si>
    <t>DELIVERY OF MATERIALS FOR ISOLATION ROOMS (BRGY. CALABACITA)</t>
  </si>
  <si>
    <t>FOR REPAIR AND MAINTENANCE OF BUILDING AND OTHER STRUCTURES</t>
  </si>
  <si>
    <t>PROCUREMENT OF 1 UNIT MICRO-HEMATOCRIT CENTRIFUGE 12 PLACER (BAC 2019-E13 ITEM3) 2ND NP</t>
  </si>
  <si>
    <t>CP 2020-53 BIDDING FOR CATERING SERVICES FOR SWAT TRAINING C/O BCPO</t>
  </si>
  <si>
    <t>Procurement of Labor and materials- Completion of Hanging Bridge @ Salvacion</t>
  </si>
  <si>
    <t>SUPPLY AND DELIVERY OF RESCUE EQUIPMENT AND SUPPLIES FOR EMERGENCY RESPONSE</t>
  </si>
  <si>
    <t>LOT 4 Project No.: GOODS-2020-08-003 INVITATION TO BID Provision ofLOT4 Supply and Delivery of Printing Materials for the Reproduction of Self-Learning Materials for Kinder to Grade 11</t>
  </si>
  <si>
    <t>SUPPLY AND DELIVERY OF INFORMATION TECHNOLOGY EQUIPMENT</t>
  </si>
  <si>
    <t>SUPPLY AND DELIVERY OF ASSORTED EQUIPMENT FOR THE IMPLEMENTATION OF 10–YEAR ECOLOGICAL SOLID WASTE MANAGEMENT PLAN</t>
  </si>
  <si>
    <t>INSTALLATION OF STREET LIGHT</t>
  </si>
  <si>
    <t>Supplying various medical equipment for use in MPH Bldg. B (Pedia and Medicine Ward) Marinduque Provincial Hospital, Boac, Marinduque</t>
  </si>
  <si>
    <t>INVITATION TO BID FOR IT PROVIDER (BID NO. 200813-17)</t>
  </si>
  <si>
    <t>Drugs and Medicines - various</t>
  </si>
  <si>
    <t>Supply &amp; Delivery of Eighty Seven (87) Sets of Jetmatic Pump</t>
  </si>
  <si>
    <t>Computer Set (PR #20-07-683)</t>
  </si>
  <si>
    <t>ITB-SUPPLY AND DELIVERY OF 3 UNITS DIGITAL DUPLICATOR FOR DEPED, LOS BANOS, LAGUNA</t>
  </si>
  <si>
    <t>Procurement of Construction Materials for Tilapia Hatchery Storage House, APSPC, Nalook, Kalibo, Aklan-Re Bidding/ITB no: 2020-431</t>
  </si>
  <si>
    <t>Supply &amp; Delivery of Various Laboratory Supplies ABC:230,100.00</t>
  </si>
  <si>
    <t>Installation of 10 Units Streetlights @ Busac, Oas, Albay</t>
  </si>
  <si>
    <t>Procurement of WCEIS Equipment of PBL1, PBL2, PBL5 AND 9MTR RIB 02, Lot 1 - Procurement of WCEIS Equipment of PBL1, PBL2, PBL5 and 9MTR RIB 02</t>
  </si>
  <si>
    <t>PROCUREMENT OF LEARNER'S KIT/ MODULE</t>
  </si>
  <si>
    <t>Purchase of Construction Materials for the Proposed concreting of Road at Purok Acacia, Barangay RH-4, Cotabato City</t>
  </si>
  <si>
    <t>SUPPLY OF TEST KITS FOR COVID-19</t>
  </si>
  <si>
    <t>Procurement of Construction and Establishment of Concrete Artificial Reefs (ARs) Project, Province of Aklan-Re Bidding/ITB no: 2020-430</t>
  </si>
  <si>
    <t>2020-07-904 "Procurement of Epoetin Alfa for MOPH"</t>
  </si>
  <si>
    <t>Spare parts for Bulldozer-MENRO</t>
  </si>
  <si>
    <t>Procurement of construction materials for Construction of Comfort Room (PWD &amp; SC)-LGU Compound</t>
  </si>
  <si>
    <t>20GJG0029 (SVP) - Supply &amp; Delivery of 5 reams A3 Bond Paper and others for use in the Finance Section.</t>
  </si>
  <si>
    <t>25 pcs Broom, soft (TAMBO)	&amp; etc. for CLLMMH use	 (S-266-2020)</t>
  </si>
  <si>
    <t>PR 1-20-07-0896, FOR USE OF THE CITY MAYOR'S OFFICE, THIS CITY.</t>
  </si>
  <si>
    <t>Supply and Delivery of Materials for the Construction of Irrigation Canal</t>
  </si>
  <si>
    <t>CP 2020-54 BIDDING FOR THE SUPPLY AND DELIVERY OF HEIGHT/LENGTH BOARDS C/O HSO</t>
  </si>
  <si>
    <t>SUPPLY AND DELIVERY OF GASOLINE, OIL, LUBRICANTS AND ASSORTED MATERIALS AND SUPPLIES FOR POWER SUPPLY DEVELOPMENT PROGRAM IN PAG-ASA ISLAND (LOT 1)</t>
  </si>
  <si>
    <t>SUPPLY AND DELIVERY OF GASOLINE,OIL AND LUBRICANTS FOR THE PRE-POSITIONING AND OPERATIONS OF TRANSPORT ASSETS OF MDRRM</t>
  </si>
  <si>
    <t>10 bxs Amlodipine 10mg ( 100s/box) &amp; etc. for use in the Pharmacy Department, Bais District Hospital	(S-271-2020)</t>
  </si>
  <si>
    <t>INVITATION TO BID FOR ELECTRICAL EQUIPMENT AND APPLIANCES - A (BID NO. 200813-19)</t>
  </si>
  <si>
    <t>2.5 HP Window Type Aircon (PR #20-07-681)</t>
  </si>
  <si>
    <t>PURCHASE OF HANDS FREE HAND WASHING FACILITIES</t>
  </si>
  <si>
    <t>SUPPLY OF PPEs</t>
  </si>
  <si>
    <t>Procurement of Equipment for the externally funded research project (GIS MAPPING-Laguna)</t>
  </si>
  <si>
    <t>PR 18-20-07-0915, FOR USE OF CITY ENGINEERING DEPARTMENT ASSIGNED AT CED, THIS CITY.</t>
  </si>
  <si>
    <t>Procurement-Supply &amp; Delivery of Medical Assitive device for PWD's &amp; Senior Citizens</t>
  </si>
  <si>
    <t>CP 2020-55 BIDDING FOR THE SUPPLY AND DELIVERY OF DESKTOPS AND LAPTOPS C/O HSO</t>
  </si>
  <si>
    <t>New Visayas Elementary school</t>
  </si>
  <si>
    <t>RE BIDDING OF CY 2020 QUICK RESPONSE FUND (QRF) - REPAIR/REHABILITATION OF CLASSROOM FOR BACON WEST CENTRAL SCHOOL</t>
  </si>
  <si>
    <t>Office Supplies for CLLMMH use (S-267-2020)</t>
  </si>
  <si>
    <t>CONSTRUCTION OF BAYAY SURIGAONON (SURIGAO HERITAGE HOUSE)  PHASE II</t>
  </si>
  <si>
    <t>Procurement of Plumbing materials/fittings</t>
  </si>
  <si>
    <t>Seeds</t>
  </si>
  <si>
    <t>SUPPLY, DELIVERY, INSTALLATION, TESTING AND COMMISSIONING OF PUMPING EQUIPMENT FOR THE DIPACULAO WATER DISTRICT’S WATER SUPPLY SYSTEM AND IMPROVEMENT PROJECT</t>
  </si>
  <si>
    <t>OTHER SUPPLIES AND MATERIAL EXPENSES</t>
  </si>
  <si>
    <t>Furnishing &amp; Delivery of Printing Equipments for the local School Board</t>
  </si>
  <si>
    <t>SUPPLY AND DELIVERY OF INFORMATION SUPPLIES AND EQUIPMENT</t>
  </si>
  <si>
    <t>CP 2020-56 BIDDING FOR THE SUPPLY AND DELIVERY OF CHLORINATED RUBBERIZED BASE (CRB) PAINTS C/O CEO</t>
  </si>
  <si>
    <t>Repair of Windows, Doors and Comfort Room at Public Market</t>
  </si>
  <si>
    <t>Deformed Steel bar 12mmx6m &amp; etc. for GWBVMH, Guihulngan City, Negros Oriental	(N-637-2020)</t>
  </si>
  <si>
    <t>REPAIR OF VEHICLE</t>
  </si>
  <si>
    <t>SUPPLY OF TIRES</t>
  </si>
  <si>
    <t>20GLH0019 (P.R. 2020-07-045 dated 07/30/2020) - For use in Quality Assurance Section, Davao City II District Engineering Office</t>
  </si>
  <si>
    <t>INVITATION TO BID FOR FURNITURE AND FIXTURE (ERGONOMIC AND EUROTECH TYPE) (BID NO. 200813-21)</t>
  </si>
  <si>
    <t>Construction of Irrigation Canal in Brgy. Loing</t>
  </si>
  <si>
    <t>IT Equipment &amp; Accessories</t>
  </si>
  <si>
    <t>Purchase and Installation of Public Address</t>
  </si>
  <si>
    <t>LOCAL ACCESS ROAD (UPGRADING AND IMPROVEMENT OF SALANGI ROAD) – BRGY. SALANGI, ALMERIA, BILIRAN</t>
  </si>
  <si>
    <t>PR 221-20-06-0712, FOR USE OF CITY ENGINEERING DEPARTMENT ASSIGNED AT CED, THIS CITY.CONSTRUCTION OF COVERED COURT WITH STAGE AND BLEACHERS AT BAGONBON NATIONAL HIGH SCHOOL, BRGY. BAGONBON, SAN CARLOS</t>
  </si>
  <si>
    <t>INVITATION TO BID FOR TAILORING (BID NO. 200813-18)</t>
  </si>
  <si>
    <t>Purchase of Goods for the 10th Cycle Supplementary Feeding Program in the Municipality of Barlig, Mt. Province</t>
  </si>
  <si>
    <t>ITB - Irrigation Project (short of award)</t>
  </si>
  <si>
    <t>INVITATION TO BID FOR COMPUTER EQUIPMENT AND ACCESSORIES (BID NO. 200813-20)</t>
  </si>
  <si>
    <t>20GJG0031 (SVP) - Supply &amp; Delivery of 4 pieces Fuel Injector and others for use in the service vehicle Ford Ranger Pick Up with plate # ABC-2565 (092005) in the Construction Section</t>
  </si>
  <si>
    <t>Procurement-Supply &amp; Delivery of Medical Supplies</t>
  </si>
  <si>
    <t>REHABILITATION OF PUBLIC ALLEY PUROK CENTRO II</t>
  </si>
  <si>
    <t>Spare parts for Backhoe-MENRO</t>
  </si>
  <si>
    <t>INF-ITB 20-040 Construction of Lake Lahit Tourism Facility, Lake Lahit, Lake Sebu, South Cotabato</t>
  </si>
  <si>
    <t>FURNISHING OF MATERIALS &amp; RENTAL OF EQUIPMENT FOR THE ROAD CONCRETING AT PUROK 2 (PHASE II)</t>
  </si>
  <si>
    <t>Procurement of Scuba Diving Gears for the new divers to be used in the conduct of underwater assessment of corals, Fish Visual Census (FVC), deployment of Artificial Reef (AR) and Fish Enhancing Devis</t>
  </si>
  <si>
    <t>200 tanks Oxygen Refill, Big for Bais District Hospital		 (S-269-2020)</t>
  </si>
  <si>
    <t>Spare parts for Loader New-MENRO</t>
  </si>
  <si>
    <t>To Support The Logistical Requirements of HHCO,55EBDE,PA</t>
  </si>
  <si>
    <t>LOCAL ACCESS ROAD (UPGRADING AND IMPROVEMENT OF TAMARINDO ROAD) – BRGY. TAMARINDO, ALMERIA, BILIRAN</t>
  </si>
  <si>
    <t>RFQ Power System Analysis Software</t>
  </si>
  <si>
    <t>Procurement and Installation of WCEIS For PC374, PC376, PC377, PC387, PC389 and YT225, LOT 1 - Procurement and Installation of NAVSENS Equipment for PC374, PC376, PC377, PC387, PC389 and YT225</t>
  </si>
  <si>
    <t>PURCHASE OF TONER FOR PRINTER FOR S. Y. 2020-2021</t>
  </si>
  <si>
    <t>SUPPLY, DELIVERY AND INSTALLATION OF AIR-CONDITIONING UNIT FOR THE NEW BUILDING</t>
  </si>
  <si>
    <t>Labor for the Expansion of Municipal Waterworks System Level III @ Abehilan, San Isidro, Bohol</t>
  </si>
  <si>
    <t>Procurement  of Diesel Fuel - MO</t>
  </si>
  <si>
    <t>Covid 19 Information Campaign</t>
  </si>
  <si>
    <t>20AH0026SVP: Supply and Delivery of 1,428.57 cu.m. Aggregate Base Course for use in the resurfacing of unpaved shoulder along Pangasinan-Zambales Road, K0347+500-K0349+900 and K0353+400-K0354+500</t>
  </si>
  <si>
    <t>6 Units of Motorcycle, MDRRMO</t>
  </si>
  <si>
    <t>Lubricants for Heavy Equipment-MENRO</t>
  </si>
  <si>
    <t>PURCHASE OF MOTOR VEHICLE</t>
  </si>
  <si>
    <t>Supply, Delivery and Testing of Nine (9) Units Vacuum Cleaner</t>
  </si>
  <si>
    <t>Procurement and Delivery of Drug Testing Kits</t>
  </si>
  <si>
    <t>20AH0224  Repair/Maintenance/Installation of Railings and Garden Lamps at Socony Island along Pangasinan-Zambales Road and Pangasinan-Tarlac Road</t>
  </si>
  <si>
    <t>Procurement of Reproduction of Modules of Guinobatan East Central School</t>
  </si>
  <si>
    <t>PROCUREMENT OF 1 SET WEIGHT AND SCALE TESTER</t>
  </si>
  <si>
    <t>Printing of Newsletter "ANG SANGGUNIAN; SPECIAL EDITION for July 1,2019 - June 30,2020 for Information Dissemination of the City Officials of the City Gov't. of Tarlac, this City</t>
  </si>
  <si>
    <t>CP 2020-57 BIDDING FOR THE SUPPLY AND DELIVERY OF POWER UNIT COMPATIBLE WITH EXISTING EQUIPMENT C/O CDRRMC</t>
  </si>
  <si>
    <t>SUPPLY &amp; DELIVERY OF CHAIRS &amp; CABINET</t>
  </si>
  <si>
    <t>To Support The Logistical Requirements of 554EBN,55EBDE,PA</t>
  </si>
  <si>
    <t>Purchase of Construction Materials for the Proposed Concreting of Road at Narra St., Barangay RH-11, Cotabato CIty</t>
  </si>
  <si>
    <t>Labor for the Expansion of Municipal Waterworks System Level III @ Baryong Daan, San Isidro, Bohol</t>
  </si>
  <si>
    <t>PURCHASE OF BOND PAPER AND PRINTER INK FOR S.Y. 2020-2021</t>
  </si>
  <si>
    <t>Delivery of Motor Vehicle</t>
  </si>
  <si>
    <t>For RHU use (Nutrition Program)</t>
  </si>
  <si>
    <t>Supply &amp; Delivery of Shallow Tube well ABC:500,000.00</t>
  </si>
  <si>
    <t>20EE0141 Construction of 2 units 1 Storey 2 Classroom School Building, Sta. Cruz Elementary School,Cagayancillo, Palawan</t>
  </si>
  <si>
    <t>FOR THE PROVISION OF EDUCATIONAL AND INSTRUCTIONAL MATERIALS FOR DAY CARE TEACHERS</t>
  </si>
  <si>
    <t>Procurement of One Unit each of Submersible Motor 30HP, 5HP, 3HP 230 volts and 3450 RPM</t>
  </si>
  <si>
    <t>Supply, Delivery and Testing of Thirty (30) Units Steel Cabinet</t>
  </si>
  <si>
    <t>20-02-167_Plumbing Supplies of Physical Plant section office use..</t>
  </si>
  <si>
    <t>3,000 ltrs Diesel Fuel for various vehicle and equipments assigned to the different offices/general services office</t>
  </si>
  <si>
    <t>SUPPLY AND DELIVERY OF VARIOUS MATERIALS FOR CAPTURE FISHERIES LIVELIHOOD PROJECTS</t>
  </si>
  <si>
    <t>20GJG0030 (SVP) - Supply &amp; Delivery of 3,500 Diesel Fuel for use in the service vehicle Toyota Fortuner with plate # AO-B666 in the Office of the District Engineer.</t>
  </si>
  <si>
    <t>REQUEST FOR QUOTATION-OFFICE SUPPLIES</t>
  </si>
  <si>
    <t>Request for Quotation PR NO. 1078-20</t>
  </si>
  <si>
    <t>Supply and delivery of 5 units noodle machine for Basilan province under 2020 block grant</t>
  </si>
  <si>
    <t>CONSTRUCTION OF BRGY TUNGA-TUNGA MULTI-PURPOSE CENTER(Phase II)</t>
  </si>
  <si>
    <t>supply and delivery of goods for OFFICE SUPPLIES EXPENSES NIFSL4</t>
  </si>
  <si>
    <t>Bid No. 20-0370 - PROCUREMENT OF OFFICE SUPPLIES - MO/MIO-CDIAP OPERATION</t>
  </si>
  <si>
    <t xml:space="preserve">Purchase of 1 set Emergency/Disaster Early Warning System &amp; 2 units High Power Electronic Siren for the repair and rehabilitation of Disaster and Emergency Early Warning System of the City Government </t>
  </si>
  <si>
    <t>20GDB0042 Supply of Materials for the Repair and Maintenance of various National Roads, Batangas 1st LD (Sealing of Bituminous Pavement)</t>
  </si>
  <si>
    <t>PBD-for-Goods (School Head Load) S.Y. 2020-2021</t>
  </si>
  <si>
    <t>Photocopy of Various Documents- MPDC</t>
  </si>
  <si>
    <t>RBE GYMNASIUM ROOFING REPAIR</t>
  </si>
  <si>
    <t>Procurement-Supply &amp; Delivery of Services (Radio Program &amp; Advertisement)</t>
  </si>
  <si>
    <t>20HI0094 - Rehabilitation of DPWH Building, Motor Pool and Perimeter Fence</t>
  </si>
  <si>
    <t>PURCHASE OF VARIOUS SEEDLINGS USE FOR ALANIB RIVER WATERSHED REHABILITATION PROGRAM (1ST BID)</t>
  </si>
  <si>
    <t>PROCUREMENT OF EQUIPMENT,MATERIALS &amp; SUPPLIES FOR JHS MODULES PRINTING</t>
  </si>
  <si>
    <t>INVITATION TO BID FOR FURNITURE AND FIXTURES (NON-ERGONOMIC) (BID NO. 200813-22)</t>
  </si>
  <si>
    <t>PROCUREMENT OF OFFICE SUPPLIES - VM OFFICE</t>
  </si>
  <si>
    <t>20GDKJ0099</t>
  </si>
  <si>
    <t>Construction of Comfort Room for Old RHU Building, San Vicente, Macrohon, Southern Leyte</t>
  </si>
  <si>
    <t>Riso Machine &amp; Ink, DepEd</t>
  </si>
  <si>
    <t>MAINTENANCE OF 10 SECONDARY SCHOOLS</t>
  </si>
  <si>
    <t>20PA0138 : CONSTRUCTION OF 2-STOREY 4-CLASSROOM SCHOOL BUILDING, Dugong NHS, Bucay, Abra</t>
  </si>
  <si>
    <t>Supply, Delivery and Testing of Five (5) Units Heavy Duty Money Counter</t>
  </si>
  <si>
    <t>Office Supplies-Assessor's Office</t>
  </si>
  <si>
    <t>Procurement of Materials for the Concreting of Limook National High School Road to Sitio Cawa-Cawa</t>
  </si>
  <si>
    <t>Supply &amp; Delivery of Proficiency Testing &amp; Certified Reference Materials ABC:77,000.00</t>
  </si>
  <si>
    <t>Bid No. 20-0394 - PROCUREMENT OF WINDOW MATERIALS - MEO (CONSTRUCTION OF EVACUATION CENTER DESIGN FOR PREGNANT AND LACTATING WOMEN, SENIOR CITIZEN, CHILD FRIENDLY AND PERSON WITH DISABILITY - MUNICIPA</t>
  </si>
  <si>
    <t>Bond Paper for Module Printing</t>
  </si>
  <si>
    <t>Procurement and Installation of WCEIS For PC374, PC376, PC377, PC387, PC389 and YT225, LOT 2 - Procurement and Installation of COMMELEX Equipment for PC374, PC376, PC377, PC387, PC389 and YT225</t>
  </si>
  <si>
    <t>PURCHASE OF VARIOUS OFFICE SUPPLIES</t>
  </si>
  <si>
    <t>Procurement of Materials for the Improvement of Multi-Purpose Building (ANGARA BUILDING)</t>
  </si>
  <si>
    <t>Purchase of Fuel for Municipal Vehicle Maintenance</t>
  </si>
  <si>
    <t>PROCUREMENT OF MEDICAL, DENTAL &amp; LABORATORY SUPPLIES</t>
  </si>
  <si>
    <t>Construction of Single-Detached Isolation Housing Facility for COVID-19</t>
  </si>
  <si>
    <t>Purchased of 1 Unit Generator</t>
  </si>
  <si>
    <t>Native Animals</t>
  </si>
  <si>
    <t>Supply and Delivery of Computer Inks</t>
  </si>
  <si>
    <t>Provision of Van Rentals ABC:67,500.00</t>
  </si>
  <si>
    <t>Purchase of 149 pcs. Drug Testing Kit to be used for the Random Drug Test of Drug Reformists, LGU Employees and PNP Personnel in the Municipality of Mabini, Pangasinan</t>
  </si>
  <si>
    <t>Procurement of Fuel, Oil and Lubricants</t>
  </si>
  <si>
    <t>INVITATION TO BID FOR TIRE, BATTERIES, AND ACCESSORIES - 4 WHEELS (BID NO. 200813-23)</t>
  </si>
  <si>
    <t>Supply and Delivery of 83 units Printer</t>
  </si>
  <si>
    <t>SUPPLY AND DELIVERY OF PAINTS, SPRAY PAINTS AND OTHER RELATED MATERIALS FOR SAFETY AND SECURITY ENVIRONMENTAL NUMBERING (SSEN) SYSTEM</t>
  </si>
  <si>
    <t>Bid No. 20-0395 - PROCUREMENT OF CONSTRUCTION MATERIALS - MEO OPERATIONS (CONSTRUCTION OF EVACUATION CENTER DESIGN FOR PREGNANT AND LACTATING WOMEN, SENIOR CITIZEN, CHILD FRIENDLY AND PERSON WITH DISA</t>
  </si>
  <si>
    <t>2020-08-046 - Purchase of Automotive Parts &amp; Accessories for various Service Vehicles and Heavy Equipment of Maintenance Section</t>
  </si>
  <si>
    <t>Supply, Delivery and Testing of Two (2) Units Checkwriter</t>
  </si>
  <si>
    <t>Procurement and Installation of WCEIS For PC374, PC376, PC377, PC387, PC389 and YT225, LOT 3 - Procurement and Installation of WEAPONS ACCCESSORIES for PC374, PC376, PC377, PC387 and PC389</t>
  </si>
  <si>
    <t>Proposed Construction of Box Culvert along Nangka-Kiliog Road(Jct. Nat'l. H'way) Libona-Kiliog Road (Kianus-Nangka Road) at Libona</t>
  </si>
  <si>
    <t>Concreting Of Municipal Road</t>
  </si>
  <si>
    <t>Procurement of Bicyle</t>
  </si>
  <si>
    <t>Refill of Fire Extinguisher for BDRRM use</t>
  </si>
  <si>
    <t>One (1) Lot Preventive Maintenance of PA-BGM System</t>
  </si>
  <si>
    <t>PLASTIC CHAIR W/ BACKREST</t>
  </si>
  <si>
    <t>Materials for the Rehabilitation of service lines and installation of new service areas along National Road, Burgos, Pangasinan</t>
  </si>
  <si>
    <t>To Support The Logistical Requirements of 5IB,1ID,PA</t>
  </si>
  <si>
    <t>PURCAHSE OF BAMBOO CULMS</t>
  </si>
  <si>
    <t>Purchase of One (1) unit 2HP Ceiling Cassette Type</t>
  </si>
  <si>
    <t>Bid No. 20-0396 - PROCUREMENT OF CONSTRUCTION MATERIALS - MO/TOURISM OPERATIONS (TAGBIBINTA MOUNTAIN RESORT)</t>
  </si>
  <si>
    <t>PROCUREMENT OF 1 UNIT MANUAL TYPEWRITER</t>
  </si>
  <si>
    <t>20HI0095 - Repair/Maintenance of Danao Bridge I Flood Control Structure (Abutment A, Downstream)</t>
  </si>
  <si>
    <t>Purchase of Chain Saw</t>
  </si>
  <si>
    <t>Procurement of Catering Services 07-003(AI)PGO</t>
  </si>
  <si>
    <t>Procurement of Various Construction Supplies and Materials-08-488(O)PEO</t>
  </si>
  <si>
    <t>Supply and Delivery of Digital Duplicating Machine, Photocopying Machines and Print on Demand Machine to be used by the various Schools of the City Schools Division of San Fernando Pampanga</t>
  </si>
  <si>
    <t>Construction of Slope Protection in various barangays</t>
  </si>
  <si>
    <t>Procurement of Materials for Construction of Quarantine Facility</t>
  </si>
  <si>
    <t>20AC0116 - Concreting of Brgy. Caronoan - Brgy. Bannuar FMR, Brgy. Caronoan to Brgy. Bannuar, San Juan, Ilocos Sur</t>
  </si>
  <si>
    <t>SPEAKERS</t>
  </si>
  <si>
    <t>AIRCON</t>
  </si>
  <si>
    <t>20HI0096 - Concreting of Brgy. Ipil FMR, Carmen, Cebu</t>
  </si>
  <si>
    <t>PROCUREMENT OF 4x2 VAN PICK-UP DRIVEN WITH ACCESSORIES 		(BRAND NEW)</t>
  </si>
  <si>
    <t>PURCHASE AND DELIVERY OF TWO UNITS OF PORTABLE TOILET FOR PDDRMO</t>
  </si>
  <si>
    <t>Procurement of Brand New Ambulance Vehicle for the use of Malay Municipal Hospital, Malay, Aklan/ITB no: 2020-433</t>
  </si>
  <si>
    <t>Procurement of Vehicle-07-381(A)PGO</t>
  </si>
  <si>
    <t>office renovation</t>
  </si>
  <si>
    <t>Regravelling of Roads at various Barangays, Municipality of Hinigaran, Negros Occidental.</t>
  </si>
  <si>
    <t>Supply and Delivery of Printer</t>
  </si>
  <si>
    <t>MICROPHONES &amp; MICROPHONE STAND</t>
  </si>
  <si>
    <t>FY 2020 PROVISION OF DEVELOPMENT, QUALITY ASSURANCE AND REPRODUCTION OF LOCALLY-DEVELOPED LEARNING RESOURCES</t>
  </si>
  <si>
    <t>SUPPLY AND DELIVERY OF FIRE TRUCKS FOR DAVAO PRISON AND PENAL FARM (DPPF) AND SAN RAMON PRISON AND PENAL FARM (SRPPF) LOT 3 RE-BID</t>
  </si>
  <si>
    <t xml:space="preserve">20HI0097 - Maintenance, Repair and Rehabilitation of Infrastructure Facilities and Other Related Activities – Repair and Maintenance of Road Safety Facilities along Sogod-Tabuelan Road, Chainage 0000 </t>
  </si>
  <si>
    <t>PROCUREMENT OF OFFICE UNIFORMS FOR LGU-MALE AND FEMALE</t>
  </si>
  <si>
    <t>Suntingon Elementary School</t>
  </si>
  <si>
    <t>LGU-COR. 2020-89</t>
  </si>
  <si>
    <t>Supply, Delivery &amp; Installation of ACU for Pasay Branch</t>
  </si>
  <si>
    <t>PURCHASE OF CCTV WITH ACCESSORIES, INCLUDING INSTALLATION</t>
  </si>
  <si>
    <t>Motorized Boat, MDRRMO</t>
  </si>
  <si>
    <t>Medical, Dental and Laboratory Supplies-MHO-TF-MCP</t>
  </si>
  <si>
    <t>invitation to bid for the purchase of generator set</t>
  </si>
  <si>
    <t>REBLOCKING OF ROAD</t>
  </si>
  <si>
    <t>Procurement of Air Conditioning-07-375(A)PGO</t>
  </si>
  <si>
    <t>SUPPLY AND DELIVERY OF TWO (2) UNITS OF LAPTOPS AND ACCESSORIES</t>
  </si>
  <si>
    <t>PURCHASE OF 1 UNIT  GENERATOR (37/45 KVA)</t>
  </si>
  <si>
    <t>CONSTRUCTION OF BARANGAY TALAVERA ARCH &amp; SIGNAGES, Brgy. Talavera, Tagana-an, Surigao del Norte</t>
  </si>
  <si>
    <t>Procurement of Various IT Equipment-07-376(A)PGO</t>
  </si>
  <si>
    <t>Supply, Delivery and Testing of Four (4) Units Electronic Typewriter</t>
  </si>
  <si>
    <t>Purchase of Electrical Materials</t>
  </si>
  <si>
    <t>Supply of Materials for the Repair and Maintenance of COMMELEX &amp; NAVSENS  Equipment of Five (5) AW109 Helicopter (NH430, NH431, NV432, NH434, NH435) and Two (2) ASW159 Helicopter (NH440, NH441)</t>
  </si>
  <si>
    <t>Supply and Delivery of carbonless paper long for offficial use of City Treasurer's Office</t>
  </si>
  <si>
    <t>1 unit Brand New Motorcycle for construction section.</t>
  </si>
  <si>
    <t>Supply, Delivery and Testing of Five (5) Units Time and Dater Machine</t>
  </si>
  <si>
    <t>Printing of 2021 NHCP Wall Calendar</t>
  </si>
  <si>
    <t>REHABILITATION/IMPROVEMENT OF 390 LIN.M EXISTING PIPELINES AND INSTALLATION OF 1,170 LIN. M PIPELINE EXPANSION</t>
  </si>
  <si>
    <t>Supply and Delivery of IT Equipment to be used for the Instructional Video Lessons for Offline Learning of the City Schools Division of San Fernando, Pampanga</t>
  </si>
  <si>
    <t>Procurement of Airconditioners (for Office use)</t>
  </si>
  <si>
    <t>Construction of Road Railings / Road Guard</t>
  </si>
  <si>
    <t>Grouted Riprap Slope Protection with  Concrete Barrier at P.L. RESORT Access  Road</t>
  </si>
  <si>
    <t>Construction of Municipal Drainage System</t>
  </si>
  <si>
    <t>Improvement of Other DRRM Facilities (Supply and Installation of Solar Panel at ALERT 161 Center Talaba IV</t>
  </si>
  <si>
    <t>SUPPLY AND DELIVERY OF  OFFICE MATERIALS (3rd  QUARTER MOOE)</t>
  </si>
  <si>
    <t>Training Workshop on Promoting Special Protection of Children Against all Forms of Abuses Amidst COVID-19 Pandemic Crisis: Ensuring Functionality of Local and Brgy. Council for the Protection of Child</t>
  </si>
  <si>
    <t>LABOR &amp; MATERIALS FOR THE REPAIR/IMPROVEMENT OF STREET LIGHTINGS AT RIZAL/ROXAS</t>
  </si>
  <si>
    <t>Supply and delivery of various construction and electrical materials for use in the Construction/Installation of Streetlights from Barangay Proper to Sitio Tayod, Brgy. A. Bonifacio, Javier, Leyte (Ph</t>
  </si>
  <si>
    <t>Provision of Electrical, Concrete, Plumbing,  and Carpentry Supplies</t>
  </si>
  <si>
    <t>CONSTRUCTION OF ACADEMIC BUILDING, SED ANNEX 2 BUILDING (BUILD ONLY)</t>
  </si>
  <si>
    <t>(PEO)  REQUEST FOR QUOTATION (RFQ) For the Procurement of Vehicle Parts  For the Provincial Engineering Office (PEO)</t>
  </si>
  <si>
    <t>BARANGAY ROAD CONCRETING - SITIO BAGAKAY - BAYONG, BALAMBAN, CEBU</t>
  </si>
  <si>
    <t>CONSTRUCTION OF TEMPORARY MARKET STALLS FOR P-3 CROSSING GABI (Procurement of Materials)</t>
  </si>
  <si>
    <t>ITB-Farm Implements (Rebid)</t>
  </si>
  <si>
    <t>SUPPLY AND DELIVERY OF VARIOUS  INFORMATION AND COMMUNICATION TECHNOLOGY EQUIPMENT FOR USE IN DIFFERENT SCHOOLS IN THE DIVISION OF CAVITE</t>
  </si>
  <si>
    <t>Supply and delivery of 15 sets floating-monoline and 28 sets bottom-stake seaweed farm implements for Basilan Province under 2020 block grant</t>
  </si>
  <si>
    <t>Supply, Delivery and Testing of Two (2) Units Floor Polisher</t>
  </si>
  <si>
    <t>Const. of JCT Nat'l H-way - MRDP Road</t>
  </si>
  <si>
    <t>OFFICE SUPPLIES FOR LIGA OFFICE</t>
  </si>
  <si>
    <t>ITB-196 Construction of Bodega GSO, Capitol Compound,  Butuan City, Agusan del Norte</t>
  </si>
  <si>
    <t>BORDER RESTRICTIONS FOR BARANGAY - (BARANGAY CHECK-POINT) - CABAGDALAN, BALAMBAN, CEBU</t>
  </si>
  <si>
    <t>2 units-Desktop Computer</t>
  </si>
  <si>
    <t>Supply and Delivery of Commonly-Used Supplies of SPAMAST for FY 2020 (2nd Posting)</t>
  </si>
  <si>
    <t>Improvement/Rehabilitation &amp; Roofing Installation of Barangay Health Center</t>
  </si>
  <si>
    <t>ITB No. 20-055 Supply and Delivery of Various Common Laboratory Glasswares (Line Bidding)</t>
  </si>
  <si>
    <t>Procurement of Services – Collection, Hauling, and Disposal of Solid Waste at the City of Bacoor - CENRO</t>
  </si>
  <si>
    <t>Supply and Delivery of Business/Franchise Plates and Installation and Fabrication of NO SMOKING SIGNBOARD</t>
  </si>
  <si>
    <t>PROCUREMENT OF VEHICLE TIRE FOR MDRRMO VEHICLE MAINTENANCE</t>
  </si>
  <si>
    <t>Repair of school's physical facilities of Bayandong Elementary School</t>
  </si>
  <si>
    <t>Concreting of Highway-Demo Farm Road</t>
  </si>
  <si>
    <t>REQUEST FOR QUOTATION - Supply and Delivery of Fifty-Six (56) units Web Camera with Built-In Microphone &amp; Fifty-Six (56) units Speaker System</t>
  </si>
  <si>
    <t>Contract ID No. 20NC0140 - Rehabilitation/Reconstruction/Upgrading of Damaged Pave Roads along Daang Maharlika (Agusan-Davao Section) k1304+(-)147.50 – k1304+(-)035</t>
  </si>
  <si>
    <t>Procurement of 2,037.736 liters Diesel Fuel for the Barangay Road Maintenance of BLGU Mabuhay, Laak, Davao De Oro</t>
  </si>
  <si>
    <t>Purchase of Construction Materials for the Rehab of Road of different Flooded Barangay at  Santos St., RH-6, Cotabato City</t>
  </si>
  <si>
    <t>Procurement of Materials for the Concreting of Colonia Road to Colonia Elementary School</t>
  </si>
  <si>
    <t>Procurement of Materials for the Reblocking of Oval Public Market Road, P. Cuevas Extension, Lamitan City</t>
  </si>
  <si>
    <t>Made to Order BPAT Uniform</t>
  </si>
  <si>
    <t>CONSTRUCTION OF BOX CULVERT WITH SLOPE PROTECTION</t>
  </si>
  <si>
    <t>EMC-023-20 Repair and Maintenance Motor Vehicle</t>
  </si>
  <si>
    <t>ITB-198 Construction of Provincial Jail Covered Court,  Brgy. Libertad, Butuan City, Agusan del Norte</t>
  </si>
  <si>
    <t>Patrol Boat, Office of the Municipal Agriculturist</t>
  </si>
  <si>
    <t>Supply and delivery of various garden tools to be used in the implementation of Production Projects of CLIARLD, Tarlac with PR#2020-06-02-33 and ABC of P61,950.00</t>
  </si>
  <si>
    <t>EMC-022-20 Repair and Maitenance Motor Vehicle</t>
  </si>
  <si>
    <t>SUPPLY AND DELIVERY OF OPEN STEEL SHELVES AND MOBILE PEDESTAL (P.R. NO. 100-20-07-0267)</t>
  </si>
  <si>
    <t>Purchase of 1 Unit Motorcycle</t>
  </si>
  <si>
    <t>Fabrication and delivery of 5 units Portable Smoke House for Basilan province under 2020 block grant</t>
  </si>
  <si>
    <t>Supply and Delivery of Laboratory Supplies/Materials, PR# 2020-06-0315 &amp; 2020-06-0332</t>
  </si>
  <si>
    <t>Purchase of Speaker @ Porac Public Market, Brgy Cangatba Porac, Pampanga</t>
  </si>
  <si>
    <t>Supply, Delivery and Testing of Two (2) Units Burglar Alarm Control System</t>
  </si>
  <si>
    <t>Contract ID 20IG0071 - Resurfacing of Unpaved Shoulder along National Road within the Leyte V DEO</t>
  </si>
  <si>
    <t>Request for Quotation for PR Number 2020-06-041: Purchase of Office Supplies to be used by Maintenance Section (2nd Quarter)</t>
  </si>
  <si>
    <t>Automation and Operation of Offices (Accounting and Budget Office)</t>
  </si>
  <si>
    <t>S1-IDP20-003 - Supply and Delivery of Mechanical Spare Parts of 193kW FG-Wilson, 6 Cyl, Model P300H-1, Serial No. FGWNAV04KJSW00254, of Itbayat DPP</t>
  </si>
  <si>
    <t>Improvement of Drainage Canal</t>
  </si>
  <si>
    <t>Supply and Delivery of:LOT 1-7 units Palay Thresher with Blower,LOT 2- 10 units Handtractor for Implementation under Rice Program 2020</t>
  </si>
  <si>
    <t>JOB ORDER - SUPPLY LABOR, MATERIALS AND EQUIPMENT TO SATISFACTORILY REPAIR AND OPERATIONALIZE ENGINE DRIVEN ICE CRUSHER FOR PFDA-ZAMBOANGA FISH PORT COMPLEX</t>
  </si>
  <si>
    <t>CATERING SERVICES FOR THE LDI FOR PANTAWID PAMILA STAFF AND STAKEHOLDERS FOR CY 2020</t>
  </si>
  <si>
    <t>SUPPLY AND DELIVERY OF ELECTRICAL COMPONENTS AND SUPPLIES FOR THE I.T. UNIT UNDER CID</t>
  </si>
  <si>
    <t>Construction of Storage Room</t>
  </si>
  <si>
    <t>Fabrication of Materials Recovery Facility - MO-GAD</t>
  </si>
  <si>
    <t>Purchase Single Motor Vehicle</t>
  </si>
  <si>
    <t>S1-TDP20-006 (PB2) - Lease of 1.0 MW Modular Diesel Generating Set/s for Ticao DPP</t>
  </si>
  <si>
    <t>purchase of 5roll PE pipe #2 and 5 roll PE pipe # 1 1/2 for use of the Barangay</t>
  </si>
  <si>
    <t>Supply of Labor and Materials of Letter Stainless for PSAO Maguindanao</t>
  </si>
  <si>
    <t>ITB-199 Upgrading/Improvement of Sanghan-Luna-Calulutay-Calamba  Provincial Road, Cabadbaran City, Agusan del Norte</t>
  </si>
  <si>
    <t>DSWD7-20-0861; Toner</t>
  </si>
  <si>
    <t>Oxygen Regulator</t>
  </si>
  <si>
    <t>Request for Quotation for PR Number 2020-02-021: Purchase of Office Supplies to be used by Maintenance Section (1st Quarter)</t>
  </si>
  <si>
    <t>Medical Supplies and Equipment to be used in the clinic for any health needs of our employees</t>
  </si>
  <si>
    <t>Improvement of Barangay Biasong Covered Court</t>
  </si>
  <si>
    <t>UPLB-RES-039-08-20  SUPPLY AND DELIVERY OF BRANDED AND BRAND NEW LABORATORY SUPPLIES AND SCIENTIFIC EQUIPMENT FOR MNH</t>
  </si>
  <si>
    <t>Fabrication and delivery of 65 sets Fishpots for Basilan Province under 2020 block grant</t>
  </si>
  <si>
    <t>20GCH0022: Procurement of Construction Materials along National Roads and Bridges within DPWH-Pampanga 2nd District Engineering Office, San Antonio, Guagua, Pampanga.</t>
  </si>
  <si>
    <t>Delivery of Filters &amp; Oil needed for Pay loader &amp; Motor grader (ITB 20-095)</t>
  </si>
  <si>
    <t>Const. of Drainage Canal and Concrete canal at Mabini St., San Miguel, Linapacan, Palawan</t>
  </si>
  <si>
    <t>Construction of Multi-Purpose Building (Brgy. Lubigan Jr.) - MO</t>
  </si>
  <si>
    <t>Procurement of Laboratory supplies Dr. Rafael S. Tumbokon Memorial Hospital-EEDD, Kalibo, Aklan /ITB no: 2020-422</t>
  </si>
  <si>
    <t>Window Blinds for PSAO Maguindanao</t>
  </si>
  <si>
    <t>ROAD CONCRETING (PCCP) at Bgy. Barangonan</t>
  </si>
  <si>
    <t>Tarpaulin-MCO-GAD</t>
  </si>
  <si>
    <t>Rehabilitation of Cable Foot Bridge</t>
  </si>
  <si>
    <t>PURCHASE AND DELIVERY OF OFFICE EQUIPMENT FOR MALUNGON MUNICIPAL HOSPITAL</t>
  </si>
  <si>
    <t>Supply of Office Equipment for IDO of NOSO</t>
  </si>
  <si>
    <t>Fabrication, Fitting and Installation of Window Blinds</t>
  </si>
  <si>
    <t>S3-BAI20-024 - Lease of 2.0 MW Modular Diesel Generating Set/s for Basilan DPP</t>
  </si>
  <si>
    <t>Antithymocyte Immunoglobulin (ATG) (Rabbit)</t>
  </si>
  <si>
    <t>Supply and Delivery of Reduced Voltage Autotransformer</t>
  </si>
  <si>
    <t>Staff Meeting Every Monday</t>
  </si>
  <si>
    <t>ROAD CONCRETING (PCCP) at Bgy. Cabunlawan</t>
  </si>
  <si>
    <t>BPSU Central Office - Student Affairs_Laptops</t>
  </si>
  <si>
    <t>SUPPLIES FOR FABRICATION OF SLOTTED SHELVES</t>
  </si>
  <si>
    <t>20GCH0020: Purchase of Office Equipment for Disinfection For use in DPWH Pampanga 2nd District Engineering Office</t>
  </si>
  <si>
    <t>Supply &amp; Delivery of Materials for the Project Rehabilitation of Magsaysay Elem.School</t>
  </si>
  <si>
    <t>Invitation to bid for Construction of Bridge</t>
  </si>
  <si>
    <t>UPLB-RQ-8-164-20-RES SUPPLY AND DELIVERY OF INFORMATION TECHNOLOGY PARTS &amp; ACCESSORIES &amp; PERIPHERALS FOR IBS</t>
  </si>
  <si>
    <t>Supply and Delivery of Materials for proposed installation of plastic cover &amp; plastic curtain at JLAEH</t>
  </si>
  <si>
    <t>Concreting of Lapaz - Tagbuyacan FMR (Completion Phase)</t>
  </si>
  <si>
    <t>UPLB-RQ-8-163-20-RES SUPPLY AND DELIVERY OF LABORATORY SUPPLIES &amp; EQUIPMENT FOR IBS</t>
  </si>
  <si>
    <t>MOOE FOR THE MONTH OF APRIL, MAY AND JUNE 2020</t>
  </si>
  <si>
    <t>REPARATION OF MUNICIPAL GYMNASIUM at Bgy. San Miguel</t>
  </si>
  <si>
    <t>Procurement of 1 piece Teansioner Assy etc.,</t>
  </si>
  <si>
    <t>UPLB-RQ-8-165-20-RES SUPPLY AND DELIVERY OF LABORATORY SUPPLIES &amp; EQUIPMENT FOR IBS</t>
  </si>
  <si>
    <t>SUPPLY AND DELIVERY OF BAGS FOR STUDENT'S MODULES</t>
  </si>
  <si>
    <t>Provision of meals &amp; snacks to be served during orientation for Upscaling of Mushroom Crackers with PR#2020-07-24-239 and ABC of P60,000.00</t>
  </si>
  <si>
    <t>Completion of Comfort Rooms for Boys &amp; Girls at Sitio Say-ot</t>
  </si>
  <si>
    <t>Supply of Materials/Parts for the SMI and ARAS of NAW Units (NH430, NH431, NH432, NH434 &amp; NH435)</t>
  </si>
  <si>
    <t>(NVPH) 4TH REQUEST FOR QUOTATION (RFQ)  For the Procurement of Desktop Computer, Laptop &amp; Scanner For the Nueva Vizcaya Provincial Hospital--140,000.00</t>
  </si>
  <si>
    <t>PURCHASE AND DELIVERY OF VARIOUS APPLIANCE FOR MAITUM MUNICIPAL HOSPITAL</t>
  </si>
  <si>
    <t>20GCH0021: Procurement of Road Safety along Natioanl Roads and Bridges within DPWH-Pampanga 2nd DEO, San Antonio, Guagua, Pampanga</t>
  </si>
  <si>
    <t>PURCHASE AND DELIVERY OF ONE UNIT OF EKF PHOTOMETER FOR MAITUM MUNICIPAL HOSPITAL</t>
  </si>
  <si>
    <t>MATERIALS AND LABOR FOR CONSTRUCTION OF MULTI PURPOSE DRYING PAVEMENT AT BARANGAY BOLOSAN AND BARANGAY TEBAG</t>
  </si>
  <si>
    <t>SUPPLY &amp; DELIVERY OF PERSONAL CARE &amp; FOOD PRODUCTS FOR NUTRITION PLAN OF ACTIVITIES</t>
  </si>
  <si>
    <t>4 Set Desktop Computer</t>
  </si>
  <si>
    <t>Stainless bidet hand spray set (1/2" and 1meter long)</t>
  </si>
  <si>
    <t>Purchase of Livelihood Project</t>
  </si>
  <si>
    <t>Printing Supplies</t>
  </si>
  <si>
    <t>SUPPLY OF FUEL (P.R. NO. 100-20-07-0265)</t>
  </si>
  <si>
    <t>Installation of Streetlights (Brgy. Malubago) - MO</t>
  </si>
  <si>
    <t>ITB-197 Rehabilitation of Tribal House, Sitio Lombuyan,  Brgy. Guinabsan, Buenavista, Agusan del Norte</t>
  </si>
  <si>
    <t>Purchase for Livelihood</t>
  </si>
  <si>
    <t>Supply &amp; Delivery of Microtubes ABC:73,400.00</t>
  </si>
  <si>
    <t>INVITATION TO BID FOR DRUGS AND MEDCINES (BID NO. 200813-25)</t>
  </si>
  <si>
    <t>ITB No. 20-072 Supply and Delivery of Various Common Laboratory Reagent Solutions  (Line Bidding)</t>
  </si>
  <si>
    <t>Procurement-Supply &amp; Delivery of Office &amp; Tools &amp; Equipment</t>
  </si>
  <si>
    <t>ROAD CONCRETING (PCCP) at Bgy. New Colaylayan</t>
  </si>
  <si>
    <t>Supply and Delivery of Ascorbic Acid with Zinc and Minerals and Alcohol for PSHS-CLC COVID-19 Emergency Response to PSHS – CLC Skeletal workforce – (COVID-19 Immunity Packs)</t>
  </si>
  <si>
    <t>Subscription of Internet Connection for TSU Lucinda Campus</t>
  </si>
  <si>
    <t>FABRICATION &amp; INSTALLATION OF RAILING @ PH4B TOWERVILLE</t>
  </si>
  <si>
    <t>Impvt. of Covered Court</t>
  </si>
  <si>
    <t>RFQ-20-023 - Procurement/Purchase of Diesel for use in refueling of various equipments: Road Grader N1-1571, Payloader L2-1321, Hydraulic Excavator (Wheel Type) F17-113, Dumptruck H3-6386 and H3-6550,</t>
  </si>
  <si>
    <t>MEDICAL SUPPLIES TO BE USED FOR THE COVID-19 PANDEMIC</t>
  </si>
  <si>
    <t>Procurement of 4 pieces Tire 265/65 R17 at (S12) etc.</t>
  </si>
  <si>
    <t>INVITATION TO BID FOR CONSTRUCTION SUPPLIES AND MATERIALS (BID NO. 200813-24)</t>
  </si>
  <si>
    <t>2019-12-1130 "Procurement of 250 pax Dinner, VIP etc. for PGO"</t>
  </si>
  <si>
    <t>ROAD CONCRETING (PCCP) at Bgy. Calibangbangan</t>
  </si>
  <si>
    <t>CAGO- ORGANIC FERTILIZER FOR DISTRIBUTION (VERMICOMPOST) AUGUST 2020</t>
  </si>
  <si>
    <t>BPSU Dinalupihan Campus: Dean of Instruction_Laptops</t>
  </si>
  <si>
    <t>Inspection and Repair as Necessary of NV320</t>
  </si>
  <si>
    <t>RFQ - Office supplies</t>
  </si>
  <si>
    <t>Spare part for Road Roller-MENRO</t>
  </si>
  <si>
    <t>Purchase of Office Equipment for Provincial Treasurer's Office use</t>
  </si>
  <si>
    <t>Supply, Delivery, Installation and Testing of Two (2) Units Telephone Dialer</t>
  </si>
  <si>
    <t>Supply, Delivery, Provisioning/Installation and Commissioning of 23 units Ceiling Mounted Exhaust Fans, Ducting Hangers and other fittings and accessories at the Cancer Center Building</t>
  </si>
  <si>
    <t>Supply and Delivery of Medical and Laboratory Supplies for San Marcelino District Hospital (SMDH) and Ospital ng Sta. Cruz (OSC)</t>
  </si>
  <si>
    <t>Supply and Delivery of Materials for the Installation of Water Tank at Director’s Quarter</t>
  </si>
  <si>
    <t>20GCK0045 - Procurement for the Supply and Delivery of Safety Devices/Gadgets/Office Supplies and Gears for RAP Survey Team for use in the Planning &amp; Design Section, DPWH-Tarlac 2nd District Engineeri</t>
  </si>
  <si>
    <t>Purchase of Vehicle Repair and Maintenance</t>
  </si>
  <si>
    <t>Various Infrastructure Projects Under Cluster-A 2020</t>
  </si>
  <si>
    <t>NEGOTIATED PROCUREMENT FOR THE PROVISION OF SECURITY SERVICES FOR Pag-IBIG FUND ILOCOS REGION</t>
  </si>
  <si>
    <t>PR MEDICAL SUPPLIES AND OFFICE SUPPLIES AUGUST 2020</t>
  </si>
  <si>
    <t>PR# 20-08-760 PROCUREMENT OF LABORATORY SUPPLIES FOR PCR PROFICIENCY TESTING. (RFLS)</t>
  </si>
  <si>
    <t>RFQ-20-024 - Procurement/Purchase of Gasoline for use in refueling of various equipments: Grasscutter and Chainsaw Machine, Ford Fiera H1-1490, assigned at Maintenance Section, DPWH 5th DEO, Baybay Ci</t>
  </si>
  <si>
    <t>SUPPLY AND DELIVERY OF OFFICE SUPPLIES FOR THE 2ND &amp; 3RD QUARTER 2020 AT LGU JAVIER, LEYTE</t>
  </si>
  <si>
    <t>Meals and Snacks for the Medical, Dental and Immersion Program at Barangay Villacorta, Mabini, Pangasinan</t>
  </si>
  <si>
    <t>INVITATION TO BID FOR THE SUPPLY AND DELIVERY OF VARIOUS GOODS</t>
  </si>
  <si>
    <t>LABOR &amp; MATERIALS FOR THE REPAIR &amp; GENERAL ENGINE OVERHAUL OF FOTON AMBULANCE</t>
  </si>
  <si>
    <t>invitation to bid for the purchase of ceiling fan</t>
  </si>
  <si>
    <t>Supply and Delivery of Construction Materials for the Construction of Line Canal at Purok 6, Barangay San Pedro, City of San Fernando, Pampanga</t>
  </si>
  <si>
    <t>ITB - Photocopiers/Digital Duplicator (short of award0</t>
  </si>
  <si>
    <t>Prepaid Load for School Based Feeding Program</t>
  </si>
  <si>
    <t>Supply, Delivery and Testing of Eight (8) Units Air Purifier</t>
  </si>
  <si>
    <t>IMPROVEMENT OF MULTIPURPOSE HALL ANNEX BUILDING @ PH4A TOWERVILLE</t>
  </si>
  <si>
    <t>Contract ID No. 20GP00115 - Procurement of Desktop Computers for Specialized Application Software Use for use of Newly Hired Engineer II’s of the Planning and Design Division and for use at the Extens</t>
  </si>
  <si>
    <t>SUPPLY AND DELIVERY OF GENERATOR AND AIRCON (W/ INSTALLATION) FOR USE IN DICT BATANES PROVINCIAL OFFICE</t>
  </si>
  <si>
    <t>SUPPLY AND DELIVERY OF JANITORIAL SUPPLIES FOR THE MONTH OF AUGUST 2020 FOR USE AT JAVIER MUNICIPAL INFIRMARY</t>
  </si>
  <si>
    <t>Purchase of 1 unit Floor Standing Airconditioner (4.5 HP) for Barangay Health Station at Barangay Polong, Bugallon, Pangasinan</t>
  </si>
  <si>
    <t>20GCK0047 - Procurement of Various Office Supplies for use in the operation of Various Section, DPWH – Tarlac 2nd District Engineering Office, Concepcion, Tarlac</t>
  </si>
  <si>
    <t>Concreting of Barangay Road (Brgy. Vigaan) - MO</t>
  </si>
  <si>
    <t>MINI PC (LSD)	GSD J-20-392</t>
  </si>
  <si>
    <t>EBMS -PM &amp; CALIBRATION OF MERCK-MILLIPORE (10TH POSTING)</t>
  </si>
  <si>
    <t>PURCHASE AND DELIVERY OF 2 UNITS OF LAPTOP COMPUTER FOR PGO-SULONG</t>
  </si>
  <si>
    <t>Purchase of Materials and Supplies for Barangay Ugong Street Lights</t>
  </si>
  <si>
    <t>RFQ-20-025 - Procurement/Purchase of Diesel for use in refueling of various equipments: Toyota Hilux SKC-936, Generator Set G13111552, Stake Truck H2-274, 4X2 Strada H1-6286 and Dumptruck H3-6386 assi</t>
  </si>
  <si>
    <t>Re Roofing of HCGIAS Building</t>
  </si>
  <si>
    <t>Acquisition of Engineering Equipment-Two(2) Units Mini Dumptruck (Dumping).</t>
  </si>
  <si>
    <t>PURCHASE OF RESCUE UNIFORM USE FOR DISASTER PREPAREDNESS &amp; RESPONSE PROGRAM</t>
  </si>
  <si>
    <t>Procurement of Materials for the Const./Installation of Compact Solar Streetlights</t>
  </si>
  <si>
    <t>UPLB-RQ-8-166-20-RES SUPPLY AND DELIVERY OF LABORATORY SUPPLIES &amp; EQUIPMENT FOR CHE IHNF</t>
  </si>
  <si>
    <t>Purchase of Office Supplies (GCH)</t>
  </si>
  <si>
    <t>Procurement of 3 pieces Roll Up Banner/Tarpaulin Stand etc.</t>
  </si>
  <si>
    <t>CONSTRUCTION OF METER POST &amp; INSTALLATION OF SERVICE ENTRANCE</t>
  </si>
  <si>
    <t>Contract of Service for the City Employee's Health Services Program (Medical Health Card) for Permanent and Co-Terminus Employee of the Local Government of San Fernando, Pampanga</t>
  </si>
  <si>
    <t>RFQ-REPAIR OF POWER FACTOR CORRECTOR</t>
  </si>
  <si>
    <t>20GIB0038: Purchase of Fuel for Service Vehicles, Heavy Equipment and Grasscutters used in the Maintenance activites along Eastern Samar Road.</t>
  </si>
  <si>
    <t>Supply and Delivery of Materials for the Replacement of Swimming Pool Filter Pump</t>
  </si>
  <si>
    <t>Procurement of Food Supplies for Stockpiling</t>
  </si>
  <si>
    <t>PROCUREMENT OF A4 BONDPAPER FOR THE REPRODUCTION OF MODULES FOR NEW NORMAL SY 2020-2021</t>
  </si>
  <si>
    <t>CONSTRUCTION OF MATERIALS RECOVERY FACILITY</t>
  </si>
  <si>
    <t>Supply and Delivery of Electrical Supplies, Instrument and Security Equipment (CCTV)</t>
  </si>
  <si>
    <t>RFQ-20-026 - Procurement/Purchase of No Parking Signage along National Road within the DPWH, Leyte V District Engineering Office</t>
  </si>
  <si>
    <t>Supply and Delivery of Organic Seeds for  Distribution to Organic Farmers of Midsayap, Cotabato</t>
  </si>
  <si>
    <t>invitation to bid for the purchase of laptop</t>
  </si>
  <si>
    <t>CONSTRUCTION OF BRGY STAGE</t>
  </si>
  <si>
    <t>Proposed Renovation of Office Modular Partition of the Curriculum Implementation Division (CID) and Installation of Frameless Glass Door at the Office of the CID Chief Education Supervisor</t>
  </si>
  <si>
    <t>Purchase  of Laptop</t>
  </si>
  <si>
    <t>Purchase of Monoblock Chair</t>
  </si>
  <si>
    <t>SUPPLY AND DELIVERY OF VARIOUS VEGETABLE SEEDS</t>
  </si>
  <si>
    <t>Construction and Rehabilitation of Potable Water Supply Level II</t>
  </si>
  <si>
    <t>Contract ID No. 20GP00116 - Procurement of Office Devices, Consumables and Other Various Merchandise for use of Planning and Design Division</t>
  </si>
  <si>
    <t>Purchase of IT Equipment for Provincial Social Welfare and Development Office (PSWDO) use</t>
  </si>
  <si>
    <t>To be used at Municipal Park for the Beautification of Jose Torres Park</t>
  </si>
  <si>
    <t>Supply and Delivery of Agricultural Tools for Agricultural Production</t>
  </si>
  <si>
    <t>Purchase of Construction Materials (Municipal Stage Repair)</t>
  </si>
  <si>
    <t>Proposed Construction of Drainage System along Managantan Street, Barangay 09-A, Guiuan, Eastern Samar</t>
  </si>
  <si>
    <t>PROCUREMENT OF 2 UNITS RISOGRAPH MACHINE</t>
  </si>
  <si>
    <t>Purchase of spare parts for the repair and maintenance of ELF #2 (RMX236)</t>
  </si>
  <si>
    <t>CONSTRUCTION OF MULTI-PURPOSE HALL AT BRGY. CABITUCULAN EAST</t>
  </si>
  <si>
    <t>PROCUREMENT OF MATERIALS FOR THE CONSTRUCTION OF TEMPORARY FIRE STATION</t>
  </si>
  <si>
    <t>Supply &amp; Delivery  of Various Laboratory Chemicals ABC:92,090.00</t>
  </si>
  <si>
    <t>21A00002: Retrofitting/Strengthening of Permanent Bridges, Cagubay Bridge (B00679LZ) along Pangasinan-Tarlac Road</t>
  </si>
  <si>
    <t>Request for Quotation for 1 lot Photocopier for HEMU 0361</t>
  </si>
  <si>
    <t>REPAIR &amp; MAINTENANCE OF INFRASTRUCTURE ASSETS (STREETLIGHTS)</t>
  </si>
  <si>
    <t>Administration of the 2020 Computer-Based English Proficiency Test</t>
  </si>
  <si>
    <t>INVITATION TO BID FOR PRINTED FORMS AND PRINTING SERVICES (BID NO. 200813-29)</t>
  </si>
  <si>
    <t>Supply of Materials/Parts for the PMS and COBS of PHILFLT Vessels (MTU Engines of PS39)</t>
  </si>
  <si>
    <t>Installation of Streetlights(Solar Lights) at Bugnay, Tuao</t>
  </si>
  <si>
    <t>Construction of Multi-Purpose Hall, Pamatawan, Subic</t>
  </si>
  <si>
    <t>Supply and Delivery of 12 drums Engine oil, 15W40 and (7) other items under Purchase Request No. 331-20</t>
  </si>
  <si>
    <t>Supply and Delivery of Various Supply/ Equipment for use of this office DPWH-QCSDEO, Q.C. (Covid-19 Pandemic)</t>
  </si>
  <si>
    <t>PURCHASE OF STEEL CABINET</t>
  </si>
  <si>
    <t>SUPPLY AND DELIVERY OF IT EQUIPMENT AND ACCESSORIES FOR DEP-ED CABADBARAN CITY DIVISION OFFICE - TWO FAILED BIDDING</t>
  </si>
  <si>
    <t>2020-101, SUPPLY AND DELIVERY OF AGRICULTURAL INPUTS FOR ORGANIC FARMERS OF THE  MUNICIPALITY OF MIDSAYAP, COTABATO</t>
  </si>
  <si>
    <t>CANAL LINING AT PHASE 4 PUROK 7</t>
  </si>
  <si>
    <t>21A00001: Retrofitting/Strengthening of Permanent Bridges, Don Teofilo Sison Bridge (B00722LZ) along Manila North Road</t>
  </si>
  <si>
    <t>21A00003: Bridge Rehabilitation, Rehabilitation of Padilla Bridge (B02144LZ) along Pangasinan-Zambales Road</t>
  </si>
  <si>
    <t>INVITATION TO BID FOR GROCERIES (BID NO. 200813-27)</t>
  </si>
  <si>
    <t>"Procurement of Office Supplies for Project Management Office"</t>
  </si>
  <si>
    <t>2020-100, CONSTRUCTION OF CONCRETE CANAL WITH SLOPE PROTECTION AT PUROK WALING- WALING, KIMAGANGO, MIDSAYAP, COTABATO</t>
  </si>
  <si>
    <t>SUPPLY AND DELIVERY OF CONSTRUCTION MATERIALS FOR USE IN CONSTRUCTION/PROVISION OF HANDWASH FACILITY AT LGU, PNP AND BFP COMPOUND ( RE: COVID 19 PANDEMIC )</t>
  </si>
  <si>
    <t>REHABILITATION OF DRAINAGE</t>
  </si>
  <si>
    <t>Crafting and Review of PCG Doctrines and SOP Every Friday</t>
  </si>
  <si>
    <t>INVITATION TO BID FOR JANITORIAL SUPPLIES AND MATERIALS (BID NO. 200813-26)</t>
  </si>
  <si>
    <t>Catering Services (MENRO)</t>
  </si>
  <si>
    <t>RFQ 3-0820-015</t>
  </si>
  <si>
    <t>COMPLETE SET OF ID</t>
  </si>
  <si>
    <t>Procurement of Interior and Exterior furnishing fixtures for 8 rooms Eco-lodge.</t>
  </si>
  <si>
    <t>Procurement of 4 pieces Tire 265/65R17 At20 H/T (129) etc.</t>
  </si>
  <si>
    <t>Purchase of Agricultural Products For Roots Crop Production. Under P.R. No. 50-20-07-052</t>
  </si>
  <si>
    <t>20GCK0046 - Procurement for the Supply and Delivery of Copying Machine for use in Various Sections of DPWH – Tarlac 2nd District Engineering Office, Concepcion, Tarlac</t>
  </si>
  <si>
    <t>YDP 2020</t>
  </si>
  <si>
    <t>Equipment for School Based Feeding Program</t>
  </si>
  <si>
    <t>SUPPLY AND DELIVERY OF 2 UNITS COMBINE HARVESTER</t>
  </si>
  <si>
    <t>Bid No. 20-0393 - PROCUREMENT OF CONSTRUCTION MATERIALS - MEO (CONSTRUCTION OF EVACUATION CENTER DESIGN FOR PREGNANT AND LACTATING WOMEN, SENIOR CITIZEN, CHILD FRIENDLY AND PERSON WITH DISABILITY - MU</t>
  </si>
  <si>
    <t>Signage</t>
  </si>
  <si>
    <t>Supply and Delivery of Biosafety Cabinet</t>
  </si>
  <si>
    <t>Request For Quotation for ICT Supplies</t>
  </si>
  <si>
    <t>PROCUREMENT OF PRODUCTION INPUTS OF SWINE FATTENING LIVELIHOOD PROJECT FOR DATAG FARMER'S ASSOCIATION</t>
  </si>
  <si>
    <t>Retrofitting of Lorenzo D. Zayco District Hospital, Kabankalan City, Neg. Occ./PEO-2020-1327</t>
  </si>
  <si>
    <t>Procurement of Vehicle Parts for the repair and maintenance of Police Mobile (Hilux) of LGU Laak, Davao De Oro</t>
  </si>
  <si>
    <t>Request for Quotation - UV light</t>
  </si>
  <si>
    <t>Supply and Delivery of Engineering Application Form</t>
  </si>
  <si>
    <t>Procurement of zoological supplies</t>
  </si>
  <si>
    <t>INVITATION TO BID FOR MEDICAL SUPPLIES AND MATERIALS (BID NO. 200813-28)</t>
  </si>
  <si>
    <t>CONSTRUCTION OF SANGGUNIANG KABATAAN (SK) and ONLINE STUDY ROOM FOR COVID - 19</t>
  </si>
  <si>
    <t>Purchase of materials for for the repair/maintenance of Public Market (removal and transfer) at San Jose, Baggao, Cagayan</t>
  </si>
  <si>
    <t>SUPPLY AND DELIVERY OF 166 HEADS UPGRADED GOAT</t>
  </si>
  <si>
    <t>REHAB/IMPROVEMENT OF DRAINAGE CANAL @ PUROK 2, SUYO</t>
  </si>
  <si>
    <t>Request for Quotation PR NO. 1083-20</t>
  </si>
  <si>
    <t>Computer with Accessories</t>
  </si>
  <si>
    <t>Procurement of Laptop</t>
  </si>
  <si>
    <t>Supply and Delivery of Toner, Brother, MCF-L59900DW</t>
  </si>
  <si>
    <t>Contract ID No. 20GP00118 - Clustered Purchase Request for: (A) Supply / Installation of New In-Ground Sensors and Automated Traffic Classifiers under the National Road Traffic Survey Program (NRTSP);</t>
  </si>
  <si>
    <t>CGSO- CLUTCH LINING, SHOCK ABSORBER, ETC. FOR HOWO DUMP TRUCK</t>
  </si>
  <si>
    <t>Supply and Delivery of Automatic Alcohol Dispenser  for use of this office DPWH-QCSDEO, Q.C. (Covid-19 Pandemic)</t>
  </si>
  <si>
    <t>SUPPLY AND DELIVERY OF VARIOUS MATERIALS FOR RESCUE EQUIPMENTS</t>
  </si>
  <si>
    <t>Construction Supplies for repair and repaint of perimeter fence, replacement of busted in perimeter and offices and repair of air-con drain multipurpose Building</t>
  </si>
  <si>
    <t>SUPPLY AND DELIVERY OF GENERATOR AND PRINTER FOR USE IN DICT APAYAO TECH4ED CENTER</t>
  </si>
  <si>
    <t>Purchase of IT Equipment for SP-BM Famor Office use</t>
  </si>
  <si>
    <t>ITB- SUPPLY, DELIVERY and INSTALLATION OF 1 LOT GERMINATOR RCEF GOODS 20-07-05A</t>
  </si>
  <si>
    <t>IP Radio 10 Units- 2nd Posting</t>
  </si>
  <si>
    <t>PROCUREMENT OF VARIOUS MATERIALS FOR INSTALLATION OF INFORMATION DESK AND CASHIER CUBICLES</t>
  </si>
  <si>
    <t>Supply, Delivery, Installation and Commissioning of Face Recognition Temperature Measurement System Non-Contact Infrared Thermometer</t>
  </si>
  <si>
    <t>Procurement of Assorted Vegetable Seeds for Demo Farm</t>
  </si>
  <si>
    <t>Request For Quotation for Office Supplies</t>
  </si>
  <si>
    <t>3RD Quarter - Office Supplies and Consumables</t>
  </si>
  <si>
    <t>PROCUREMENT OF APPLIANCES (FOR MCP USE)</t>
  </si>
  <si>
    <t>invitation to bid for the purchase of steel cabinet</t>
  </si>
  <si>
    <t>Information Technology Parts &amp; Accessories &amp; Perip</t>
  </si>
  <si>
    <t>2020-08-0191 - SUPPLY AND DELIVERY OF FOUR (4) PCS RUBBER TIRES, 265X75 R16 OF CONSTRUCTION SECTION FOR USE OF ITS SERVICE VEHICLE, HI 7526 (NNO 702)</t>
  </si>
  <si>
    <t>Improvement of the Ground Floor of University Food Center at Main Campus, DHVSU, Bacolor, Pampanga.</t>
  </si>
  <si>
    <t>Procurement for the Supply and Delivery of ICT Equipment</t>
  </si>
  <si>
    <t>Procurement of fertilizers to be dispersed to Mango Farmer beneficiaries and establishment of a Municipal Mango Seedling Nursery</t>
  </si>
  <si>
    <t>Supply and delivery of android phone for PRISM use ( PR 573)</t>
  </si>
  <si>
    <t>Provision of PWD Comfort Room and Fabrication of Display Cabinets at CEA Building at Main Campus, DHVSU, Bacolor, Pampanga.</t>
  </si>
  <si>
    <t>ITB No. 20-075  RE-BIDDING OF DESIGN AND BUILD OF THE PROPOSED REPLACEMENT OF THE EXISTING 34.5KV UNDERGROUND TRANSMISSION LINES INCLUSIVE OF LABOR, TOOLS, EQUIPMENT, MATERIALS, CONSUMABLES, SUPERVISI</t>
  </si>
  <si>
    <t>Procurement of Feeds for Bangos Production</t>
  </si>
  <si>
    <t>IT Equipment’s (DepEd)</t>
  </si>
  <si>
    <t>Procurement of Hardware &amp; Construction  Supplies - 2ND. SCHEDULE</t>
  </si>
  <si>
    <t>Supply and Delivery of Materials for the Construction of Box Culvert @ Purok San Diego</t>
  </si>
  <si>
    <t>EBMS -TERMITE ELIMINATION SERVICES &amp; 1 OTHER (7TH POSTING)</t>
  </si>
  <si>
    <t>PURCHASE OF CONSTRUCTION MATERIALS OF MULTI-PURPOSE BUILDING, 20% BDF</t>
  </si>
  <si>
    <t>CONSTRUCTION OF FARM TO MARKET ROAD AT QUIRINO</t>
  </si>
  <si>
    <t>21A00004: Retrofitting/Strengthening of Permanent Bridges, Bauang Bridge 1 (B02644LZ) along Manila North Road</t>
  </si>
  <si>
    <t>Installation of Sitio Nalbot Basketball Court Light</t>
  </si>
  <si>
    <t>PROCUREMENT OF WAREHOUSE HANDLING (AND ALLIED) SERVICES FOR GRAINS FOR NFA-NCR AND BATANES FOR SEPTEMBER 16 TO DECEMBER 31, 2020</t>
  </si>
  <si>
    <t>Supply &amp; delivery of 79 bags Portland Cement &amp; other items, For use in the Constrcution of Genderized Comfort Room at Layawan Elementary School</t>
  </si>
  <si>
    <t>OFFICE SUPPLIES AND CONSUMABLES</t>
  </si>
  <si>
    <t>Request For Quotation for Paper Materials, Products and Supplies</t>
  </si>
  <si>
    <t>invitation to bid for the purchase of sliding window and sliding door</t>
  </si>
  <si>
    <t>PURCHASE OF VENETIAN BLINDS</t>
  </si>
  <si>
    <t>Enhancement of Engineering and Technology Green Building (ETGB) Roof Skirting (Labor and Materials) - Talisay Campus, Brgy. Zone 1, Mabini St., Talisay City, Negros Occidental (2nd Publication)</t>
  </si>
  <si>
    <t>INVITATION TO BID FOR SUBSCRIPTION (BID NO. 200813-30)</t>
  </si>
  <si>
    <t>21A00005: Retrofitting/Strengthening of Permanent Bridges, Bued Bridge (B00735LZ) along Manila North Road</t>
  </si>
  <si>
    <t>Procurement of Supplies for Learning Continuity Plan</t>
  </si>
  <si>
    <t>Supply and Delivery of Agricultural Tools for Work and Livelihood</t>
  </si>
  <si>
    <t>Request for Quotation for 180 Sacks Industrial Salt 0437</t>
  </si>
  <si>
    <t>RFQ 3-0820-016</t>
  </si>
  <si>
    <t>Procurement of Printer and Photo Copier Machine</t>
  </si>
  <si>
    <t>PURCHASE OF VARIOUS IT EQUIPMENT &amp; SUPPLIES</t>
  </si>
  <si>
    <t>SUPPLY AND DELIVERY OF HYBRID CORN SEEDS, VEGETABLE SEEDS AND PROVISION OF OPV VEGETABLES FOR BACKYARD GARDENING</t>
  </si>
  <si>
    <t>Request for Quotation for Vial and Ampule Crusher 0101</t>
  </si>
  <si>
    <t>Procurement of Security Services for MARINA Regional Service VIII</t>
  </si>
  <si>
    <t>Procurement of Photocopy of Modules of Manuel Andaya Bustamante High School</t>
  </si>
  <si>
    <t>PURCHASE OF POST LED LIGHTING, CGSO, CALBAYOG CITY</t>
  </si>
  <si>
    <t>Supply and Delivery of Covid19 Response Supplies (Re-bid)</t>
  </si>
  <si>
    <t>PROCUREMENT OF PHOTOCOPIER</t>
  </si>
  <si>
    <t>CID No. 20GI00002 (Re-advertisement) - Purchase/Delivery/Installation of RTIA Traffic Count Equipment of Planning Section, Planning and Design Division, DPWH Regional Office VIII, Baras, Palo, Leyte</t>
  </si>
  <si>
    <t>PR. 20-07-267 (2020-08-275) PROCUREMENT OF CONSTRUCTION EQUIPMENT FOR THE REPAIR OF LEAKAGES</t>
  </si>
  <si>
    <t>Supply and Delivery of Magnifier</t>
  </si>
  <si>
    <t>PROCUREMENT OF TWO WAY RADIO AND BASE SET UP REPEATER------MDRRMO</t>
  </si>
  <si>
    <t>Purchase of Office Equipment for Provincial Planning and Development Office (PPDO) use</t>
  </si>
  <si>
    <t>Additional for Establishment/Provision of Three (3) units Isolation Facilities in Barangay in Relation to COVID-19 Situation</t>
  </si>
  <si>
    <t>Construction of Henge Box Culvert for the Improvement of Tawang-Langayan FMR</t>
  </si>
  <si>
    <t>SVP 20-0194-A - Purchase of 1 unit Airconditioner, wall-mounted &amp; etc.</t>
  </si>
  <si>
    <t>Meals and Snacks for Retooled Community Support Program (RCSP) Ugnayan sa Barangay &amp; Serbisyo Caravan</t>
  </si>
  <si>
    <t>Various Infrastructure Projects</t>
  </si>
  <si>
    <t>Construction of River Flood Control</t>
  </si>
  <si>
    <t>Various Spareparts</t>
  </si>
  <si>
    <t>Hog Raising and Feeds</t>
  </si>
  <si>
    <t>SUPPLY AND DELIVERY OF TIRE (rfq#2020-07-2,333)-(pgo-benro)</t>
  </si>
  <si>
    <t>Supply and Delivery of 200 bags Complete Fertilizer (14-14-14) at Pigcawayan, Cotabato</t>
  </si>
  <si>
    <t>PROCUREMENT OF MATERIALS FOR THE IMPROVEMENT OF MULTI-PURPOSE BLDG. (SENIOR CITIZEN)</t>
  </si>
  <si>
    <t>SUPPLY AND DELIVERY OF LAPTOP (rfq#2020-06-2,011)-(pgo-coa)</t>
  </si>
  <si>
    <t>SUPPLY AND DELIVERY OF GENERATOR FOR DICT IFUGAO PROVINCIAL OFFICE</t>
  </si>
  <si>
    <t>RENTAL OF 10 &amp; 6 WHEELER DUMPTRUCK FOR 25 DAYS, CSWMO, CALBAYOG CITY</t>
  </si>
  <si>
    <t>INSTALLATION AND MONTHLY BILL OF	INTERNET FOR DISTRICT OFFICE (ALS)</t>
  </si>
  <si>
    <t>Analysis of Heirlomm Rice Samples, PR 2020-07-0874</t>
  </si>
  <si>
    <t>Supply and Delivery of Additional Materials for the Growth Repairs on the DDORR of AGS701</t>
  </si>
  <si>
    <t>PROCUREMENT OF ICT EQUIPMENT</t>
  </si>
  <si>
    <t>Freight Forwarder Services for the Delivery of Man Tanker Fire Truck from Belgium to Marinduque, Philippines</t>
  </si>
  <si>
    <t>Supply &amp; Delivery of Ten (10) Wooden Table for use in Pasalubong Center</t>
  </si>
  <si>
    <t>VARIOUS MATERIALS NEEDED FOR WELL DRILLING</t>
  </si>
  <si>
    <t>SUPPLY AND DELIVERY OF AGRICULTURAL SUPPLIES (rfq#2020-07-2,667)-(pgo-pdrrmd-provl agriculture office)</t>
  </si>
  <si>
    <t>Procurement of 1 unit Public Address Sound System</t>
  </si>
  <si>
    <t>SVP 20-0296-A - Purchase of 1 unit Airconditioner, 1HP &amp; etc.</t>
  </si>
  <si>
    <t>Continuation of the DRRM Operation Center</t>
  </si>
  <si>
    <t>20GIB0039: Purchase/delivery of Paints for use in the Repainting of Permanent Bridges and Railings.</t>
  </si>
  <si>
    <t>S1-B0620-021 - Supply and Delivery of Mechanical Spare Parts for 3.6MW Daihatsu Diesel Engine, Model No.: 12DK-32B of Power Barge 106</t>
  </si>
  <si>
    <t>RENTAL OF 10 &amp; 6 WHEELER DUMPTRUCK, CSWMO, CALBAYOG CITY</t>
  </si>
  <si>
    <t>Rpr &amp; Maint Motor Vehicles (80,758.00) OJ4</t>
  </si>
  <si>
    <t>Vehicle rental to transport PhilRice Bicol RCEF staff on August 17 - December 31, 2020 from Sorsogon City.</t>
  </si>
  <si>
    <t>PURCHASE AND DELIVERY OF GROCERY ITEMS TO BE GIVEN TO SENIOR CITIZENS</t>
  </si>
  <si>
    <t>SUPPLY AND DELIVERY OF MEDICINE (rfq#2020-05-2,511)-(bpmc)</t>
  </si>
  <si>
    <t>PURCHASE OF IT EQUIPMENT</t>
  </si>
  <si>
    <t>Procurement of Photocopy of Modules of Camalig South Central School</t>
  </si>
  <si>
    <t>RFQ for Tinted Glass (MIS Office)</t>
  </si>
  <si>
    <t>PROCUREMENT OF FIBERGLASS MOTORIZED BANCA, AND FUEL TO BE USED DURING THE IMPLEMENTATION OF AQUAPARK PROJECT</t>
  </si>
  <si>
    <t>SUPPLY AND DELIVERY OF SPARE PARTS FOR VEHICLE MAINTENANCE (rfq#2020-07-2,816)-(pswdo)</t>
  </si>
  <si>
    <t>Rehabilitation/Improvement of Brgy. Health Center (Phase I) @ Brgy. Proper, Brgy.Zone 6, Cadiz City</t>
  </si>
  <si>
    <t>Supply &amp; Delivery of Survey Equipment/Accessories (AL-LFP-010-2020RFQ)</t>
  </si>
  <si>
    <t>Fixtures</t>
  </si>
  <si>
    <t>SUPPLY &amp; DELIVERY OF ONE (1) UNIT OF SERVICE VEHICLE FOR SAGIP MUNTINLUPA CENTER</t>
  </si>
  <si>
    <t>S1-B1420-010 - Supply and Delivery of Spare Parts for 650kW FG Wilson Diesel Engine, Model: 4006-23TAG3A (P800P1) of Power Barge 114</t>
  </si>
  <si>
    <t>IMPROVEMENT OF MULTI-PURPOSE BUILDING - ARPILI, BALAMBAN, CEBU</t>
  </si>
  <si>
    <t>PURCHASE OF MATERIALS FOR THE TEMPORARY FENCE- BULUANG</t>
  </si>
  <si>
    <t>LEASE OF ONE (1) PRODUCTION DOCUMENT SCANNER WITH ON-SITE SUPPORT SERVICES FOR THE DOCUMENT PROCESSING DIVISION (DPD) OF BIR REVENUE REGION 8B - SOUTH NCR</t>
  </si>
  <si>
    <t>Purchase of Materials for the Construction of MRF</t>
  </si>
  <si>
    <t>Representation Expenses (OJ8-220,800.00)</t>
  </si>
  <si>
    <t>Concreting of Barangay Road (Phase VIII) @ Andrea Subd., Brgy. Zone 2, Cadiz City</t>
  </si>
  <si>
    <t>SUPPLY AND DELIVERY OF SPARE PARTS FOR VEHICLE MAINTENANCE (rfq#2020-07-2,744)-(peo-motorpool)</t>
  </si>
  <si>
    <t>purchase of ICT equipment and laptop w/ complete accessories for 11 schools of SN District</t>
  </si>
  <si>
    <t>Supply of Office Furniture and Fixtures for barangay @ Palindan, Ibaan, Batangas</t>
  </si>
  <si>
    <t>RFQ for Sliding Glass with aluminum frame (CD Office)</t>
  </si>
  <si>
    <t>purchase of supplies for the 2020 General Revision of Real Property Assessment of SNIN</t>
  </si>
  <si>
    <t>Supply &amp; Installation of Solar Perimeter Streets Light ( BukSU Annex Campus –A)</t>
  </si>
  <si>
    <t>Invitation to Bid for Supply and Delivery of Materials and Equipment for DA-ACEF Mango Project</t>
  </si>
  <si>
    <t>CONSTRUCTION OF NEW MUNTINLUPA CITY PUBLIC MARKET (PHASE 2) AT BRGY. ALABANG, MUNTINLUPA CITY</t>
  </si>
  <si>
    <t>Additional Aircon System for SOCPEN, BUDGET, ENCODER STATION and SAMAL CSWDO (Rent to Own Agreement)</t>
  </si>
  <si>
    <t>PROCUREMENT OF VARIOUS LABORATORY CHEMICALS FOR CALAPAN LABORATORY CY 2020 (2ND POSTING)</t>
  </si>
  <si>
    <t>SUPPLY OF OFFICE SUPPLIES &amp; EQUIPMENT FOR LGU-BOBON, NORTHERN SAMAR</t>
  </si>
  <si>
    <t>Construction of Evacuation Center (Phase I) @ Brgy. Proper, Brgy. Zone I, Cadiz City</t>
  </si>
  <si>
    <t>Supply and Delivery of livelihood kits for the MSMEs under LSB-NSB in Nueva Vizcaya</t>
  </si>
  <si>
    <t>SUPPLY AND DELIVERY OF BOND PAPER FOR SCHOOL USE AT SISON DISTRICT OFFICE, SISON, PANGASINAN</t>
  </si>
  <si>
    <t>Purchase of 1-Unit Generator of Barangay Nagba, Tubungan, Iloilo</t>
  </si>
  <si>
    <t>Improvement/Rehabilitation of Municipal Library, Brgy. #3 SNIN</t>
  </si>
  <si>
    <t>SUPPLY AND DELIVERY OF CONSTRUCTION SUPPLIES (rfq#2020-07-2,836)-(p.e.o.)</t>
  </si>
  <si>
    <t>PROCUREMENT OF VARIOUS FURNITURE &amp; FIXTURES AND OFFICE EQUIPMENTS</t>
  </si>
  <si>
    <t>PURCHASE AND DELIVERY OF OFFICE/IT EQUIPMENT</t>
  </si>
  <si>
    <t>ITB on Supply and Delivery of Food Stuff</t>
  </si>
  <si>
    <t>Procurement of Multipurpose Vehicle - MO</t>
  </si>
  <si>
    <t>SUPPLY AND DELIVERY OF OFFICE SUPPLIES UNDER QSU BACMADD2020-036</t>
  </si>
  <si>
    <t>SUPPLY AND DELIVERY OF TIRE (rfq#2020-07-2,843)-(sp-garcia)</t>
  </si>
  <si>
    <t>Supply of Materials/Parts for the PMS and RAS of NAVSOG Units (Sponson)</t>
  </si>
  <si>
    <t>Concreting of Barangay Road leading to Paniqui-On Elementary School, So. Lamak, Brgy. Tiglawigan, Cadiz City</t>
  </si>
  <si>
    <t>Procurement of 1 Unit Passenger Van, NIPSC, Barotac Viejo, Iloilo</t>
  </si>
  <si>
    <t>Procurement of Solid Waste Management Machineries Equipments</t>
  </si>
  <si>
    <t>Procurement for the Supply and Delivery of Twelve (12) Units Diesel-Type Brand New Four-Wheeled Vehicles (Pick-Up) for the Operations of the City Peace &amp; Order Council.</t>
  </si>
  <si>
    <t xml:space="preserve">supply and Delivery of Labor and Materials for the Construction of handwashing, Toothbrush Pit station in Sta. Catalina, San Agustin, Sto. Tomas, Sta. Monica, Del Carmen, Sta. Rita Elem. Sch. located </t>
  </si>
  <si>
    <t>Other Supplies &amp; Materials Expenses (OJ8-158,265.00)</t>
  </si>
  <si>
    <t>PROCUREMENT OF SPORTS EQUIPMENT AND CHEMICAL &amp; FILTERING SUPPLIES</t>
  </si>
  <si>
    <t>SVP 20-0342 - Purchase of 3 drums Gear Oil, 80w90 &amp; etc.</t>
  </si>
  <si>
    <t>Construction Projects - Base Preparation for Evacuation Center, San Pedro, Duero, Bohol</t>
  </si>
  <si>
    <t>PROCUREMENT OF HOUSEKEEPING SUPPLIES</t>
  </si>
  <si>
    <t>OTHER SCHOOL SUPPLIES</t>
  </si>
  <si>
    <t>20CSKB02  Sub-Surface Investigation for the Proposed Widening of Masimag Bridge (BO1416MN) along Don Carlos-Kadingilan Road, New Nongnongan, Don Carlos, Bukidnon and B). Widening Of Lalapoy Bridge (Bo</t>
  </si>
  <si>
    <t>Submersible Pump</t>
  </si>
  <si>
    <t>REPRODUCTION OF SELF-LEARNING MODULES</t>
  </si>
  <si>
    <t>RFQ 3-0820-020</t>
  </si>
  <si>
    <t>Furnishing and Installation of 1 Set of VHF/UHF Repeater Link – LDRRMO MLGU. R.  T. Lim, Zamboanga Sibugay</t>
  </si>
  <si>
    <t>SUPPLY AND DELIVERY OF EQUIPMENTS, TOOLS AND CONSUMABLE MATERIALS FOR USE AT JVTC FOR COMPLIANCE AUDIT ON SEPT. 9, 2020</t>
  </si>
  <si>
    <t>Drydocking and Other Related Repairs of LD602</t>
  </si>
  <si>
    <t>Request for Quotation on Various Water Connection Materials for Day-to-Day Maintenance / Operations</t>
  </si>
  <si>
    <t>Procurement of ICIE (PHILARPAT Uniforms and 2 other items – (Lot 10)</t>
  </si>
  <si>
    <t>20GIB0040: Purchase/delivery of Asphalt for use in the Crack and Joint Sealing, and for use in the Maintenance activities along Eastern Samar Road Network.</t>
  </si>
  <si>
    <t>SUPPLY &amp; DELIVERY OF IV FLUIDS IN BAG TO BE USED AT OSPITAL NG MUNTINLUPA (*RE-POSTED)</t>
  </si>
  <si>
    <t>Construction of Reservoir at Brgy. Calunasan, Merida, Leyte</t>
  </si>
  <si>
    <t>Development of a Prototype Trimaran Multipurpose Fishing Vessel, NIPSC, Estancia, Iloilo</t>
  </si>
  <si>
    <t>SUPPLY AND DELIVERY OF MEDICINES FOR THE CONDUCT OF NUTRITION PROGRAM ACTIVITIES</t>
  </si>
  <si>
    <t>Purchase of materials and equipment for instructional services</t>
  </si>
  <si>
    <t>Supply and Delivery of Office Supplies and Consumables</t>
  </si>
  <si>
    <t>Purchase of One (1) Unit Dump Truck</t>
  </si>
  <si>
    <t>Rehabilitation/Improvement of Local Roads at Brgys. 4, 5, &amp; 8 SNIN</t>
  </si>
  <si>
    <t>Construction of Covered Court Phase I &amp; II in Sitio Urban San Vicente, Liloan</t>
  </si>
  <si>
    <t>Purchase of Various Food Stuff and Grocery Items to be Served as Meals during the Barangay Level Orientation on RA 7277 " Magna Carta for Persons with Disability and Organization of 14 Barangays' PWD</t>
  </si>
  <si>
    <t>Purchasing of Supplies for Printing Modules of Senior High School Programs</t>
  </si>
  <si>
    <t>CHO;2020-7-1981;MEDICINE</t>
  </si>
  <si>
    <t>Furnishing  Office Furnitures and Equipments – MSU-R.T.  Lim MLGU. R.  T. Lim, Zamboanga Sibugay</t>
  </si>
  <si>
    <t>Other Supplies &amp; Materials Expenses (OJ4-553,287.56)</t>
  </si>
  <si>
    <t>For Chlorination of New Wells - PR # 2020-12410</t>
  </si>
  <si>
    <t>SUPPLY AND DELIVERY OF MATERIALS AND EQUIPMENT FOR DEVT. OF WATER SUPPLY AT SITIO SUGOD</t>
  </si>
  <si>
    <t>Construction of Barangay Street Light located at Barangay  Bacan, Tubungan, Iloilo</t>
  </si>
  <si>
    <t>RFQ-GS-20200623-01 - 1 Lot Supply, Delivery, Installation, Testing &amp; Commissioning of Airconditioning Units including Dismantling of existing units at LANDBANK Tacloban Main Branch</t>
  </si>
  <si>
    <t>Vehicle rental to transport PhilRice Bicol RCEF staff on August 17 - December 31, 2020 from DA-RFO5 Pili</t>
  </si>
  <si>
    <t>Representation Expenses (OJ4-472,000.00)</t>
  </si>
  <si>
    <t>Vehicle rental to transport PhilRice Bicol RCEF staff on August 17 - December 31, 2020 from Tacloban City</t>
  </si>
  <si>
    <t>IMPROVEMENT OF RESCUE VEHICLE -091</t>
  </si>
  <si>
    <t>SVP 20-0344 - Purchase of 30 pax MEALS AND SNACKS &amp; etc.</t>
  </si>
  <si>
    <t>CONDUCT OF FEASIBILITY STUDIES/PRELIMINARY AND DETAILED ENGINEERING/ECONOMIC ANALYSIS/TECHNICAL STUDIES/TRAFFIC IMPACT ASSESSMENT OF TAWIRAN – GUINOBATAN ROAD</t>
  </si>
  <si>
    <t>Construction of Reservoir at Brgy. Tubod, Merida, Leyte</t>
  </si>
  <si>
    <t>20GFC0034: Purchase of Fuel, Oils and Lubricants, for Planning and Design Section Service Vehicle</t>
  </si>
  <si>
    <t>Supply and Delivery of E-Bike with Canopy, PR# 2020-07-0925</t>
  </si>
  <si>
    <t>Vehicle rental to transport PhilRice Bicol RCEF staff on August 17 - December 31, 2020 from Catbalogan City</t>
  </si>
  <si>
    <t>PURCHASE OF COMMUNICATION EQUIPMENT (3RD QUARTER) FOR THE MUNICIPALITY OF INFANTA, PANGASINAN</t>
  </si>
  <si>
    <t>Construction of Covered Court Phase I &amp; II in Suba Elem. School</t>
  </si>
  <si>
    <t>Invitation to Bid on Procurement of Uniforms</t>
  </si>
  <si>
    <t>Representation Expenses (OJ4-594,973.21)</t>
  </si>
  <si>
    <t>Invitation to Bid for the Catering Services for Training Programs and Extension Activities for Third and Fourth Quarter</t>
  </si>
  <si>
    <t>Procurement of Anti-Covid 19 Supplies and Janitorial Supplies for the 3rd Quarter 2020 to be used at the Offices of Legislative Building City Gov't. of Tarlac, this City</t>
  </si>
  <si>
    <t>Fuel and Lubricants for the Gravelling of Barangay Road (Municipal Aide)  San Jose,  R. T. Lim, Zamboanga Sibugay</t>
  </si>
  <si>
    <t>ENG'G PASBAC 002-20 Supply and Delivery of Three (3) Units Truck Water Lorry</t>
  </si>
  <si>
    <t>ITB ON SUPPLY AND DELIVERY OF RICE</t>
  </si>
  <si>
    <t>Supply and Delivery of livelihood kits for the MSMEs under PBG in Nueva Vizcaya</t>
  </si>
  <si>
    <t>IMPROVEMENT OF MULTI-PURPOSE BUILDING</t>
  </si>
  <si>
    <t>Pag-IBIG Fund CHQ (SUPPLY AND DELIVERY OF VARIOUS UTENSILS)</t>
  </si>
  <si>
    <t>Supply and Delivery of various janitorial Supplies and PPEs, PR# 2020-07-0855</t>
  </si>
  <si>
    <t>Installation and Fabrication of Water System</t>
  </si>
  <si>
    <t>Construction of Covered Court Phase II in Sanica, Cabadiangan, Cebu</t>
  </si>
  <si>
    <t>Supply and Delivery of Office Supplies for official use of City Assessor Office</t>
  </si>
  <si>
    <t>1. construction of Brgy. Plaza 2. Construction of Street Lights</t>
  </si>
  <si>
    <t>PROCUREMENT OF TIRES</t>
  </si>
  <si>
    <t>SUPPLY OF LABORATORY SUPPLIES</t>
  </si>
  <si>
    <t>20GFC0037: Purchase of Fuel, Oils and Lubricants, for Planning and Design Section Service Vehicle in the Conduct of Automated Traffic Data Collection Program</t>
  </si>
  <si>
    <t>CATERING SERVICES FOR THE CAPACITY BUILDING ACTIVITIES FOR SLP FOR CY 2020-ABRA</t>
  </si>
  <si>
    <t>CATERING SERVICES FOR THE CAPACITY BUILDING ACTIVITIES FOR SLP FOR CY 2020-KALINGA</t>
  </si>
  <si>
    <t>PURCHASE OF TWO (2) UNITS LAPTOP COMPUTER FOR THE OFFICE OF THE MUNICIPAL AGRICULTURIST, INFANTA, PANGASINAN</t>
  </si>
  <si>
    <t>Construction of Flood Control Structures along Provincial Road Jct. Sayre H'way (Kibawe)-Tumaras Road (Second Section)</t>
  </si>
  <si>
    <t>Construction of Multi-Purpose Hall at Sanitary Landfill Complex, Brgy. 16 SNIN</t>
  </si>
  <si>
    <t>CATERING SERVICES FOR THE CAPACITY BUILDING ACTIVITIES FOR SLP FOR CY 2020</t>
  </si>
  <si>
    <t>Procurement of Agong</t>
  </si>
  <si>
    <t>Supply and Delivery of Office Equipment and Consumables</t>
  </si>
  <si>
    <t>Procurement of Duplicating Machines and Printers for the use of Public School Teachers in the City of Meycauayan, Bulacan</t>
  </si>
  <si>
    <t>Supply and Delivery of Office Supplies, PR# 2020-07-0856 etc, RTF-019-283</t>
  </si>
  <si>
    <t>Fuel and Lubricants for the Gravelling of Barangay Road-20% BDF  San Jose,  R. T. Lim, Zamboanga Sibugay</t>
  </si>
  <si>
    <t>ITB ON FUEL</t>
  </si>
  <si>
    <t>Purchase of Risograph Machine, Master for the Risograph and Toner for the Risograph</t>
  </si>
  <si>
    <t>INVITATION TO BID FOR THE PURCHASE OF VACUUM FRYER</t>
  </si>
  <si>
    <t>Supply and delivery of Meals for LSI and Returning Residents at Suyo Isolation/ Quarantine Facility</t>
  </si>
  <si>
    <t>FLOOD CONTROL SYSTEM AT BRGY. ORENSE, BAUAN, BATANGAS</t>
  </si>
  <si>
    <t>CONSTRUCTION OF DA-MIMAROPA RESEARCH DIVISION MULTI-PURPOSE RESEARCH AND DEVELOPMENT FACILITY - SECOND POSTING</t>
  </si>
  <si>
    <t>Installation of Transformers &amp; Accessories Under the Construction of Water Supply Project for Bongabon Water District</t>
  </si>
  <si>
    <t>SUPPLY AND DELIVERY OF VARIOUS ITEMS AS PER REQUEST OF BARANGAYS/SCHOOLS</t>
  </si>
  <si>
    <t>invitation to bid for the supply and delivery of two(2) set of fiberglass basketball board and ring with stand of Brgy. San Alejandro, Sta. Maria, Pangasinan</t>
  </si>
  <si>
    <t>Representation Expenses (AFPSEO-PhP525,000.00)</t>
  </si>
  <si>
    <t>Supply and Delivery of (20) units Retractable Tents for Various SSS Branch Offices under Luzon Central II Division</t>
  </si>
  <si>
    <t>Other Supplies &amp; Materials Expenses (OJ4-95,945.00)</t>
  </si>
  <si>
    <t>Purchase of Other Supplies and Materials</t>
  </si>
  <si>
    <t>ENG'G PASBAC 014-20 Supply and Delivery of Materials for the Construction of Artillery Training School Classroom at Fort Ramon Magsaysay, Nueva Ecija</t>
  </si>
  <si>
    <t>Supply and Delivery of Inventory Control Decals (Inventory Sticker) for use in the City Government of Balanga City</t>
  </si>
  <si>
    <t>PURCHASE OF 25 UNITS DATA LOGGER BATTERIES</t>
  </si>
  <si>
    <t>20GAF0004, PURCHASE AND DELIVERY OF EQUIPMENT FOR USE IN THE CONDUCT OF PRELIMINARY DETAILED ENGINEERING, DPWH-LUSDEO, NATIVIDAD, NAGUILIAN, LA UNION</t>
  </si>
  <si>
    <t>RFQ / PR 20-08-0467 / PROCUREMENT OF DIRECT INTERNET FOR ENTERPRISE CONNECTION WITH MANAGED ROUTER</t>
  </si>
  <si>
    <t>Rpr &amp; Maint Motor Vehicles (251,929.00) OFM</t>
  </si>
  <si>
    <t>Installation of Water System at Brgy. Poblacion, Merida, Leyte</t>
  </si>
  <si>
    <t>PRINTING SERVICES AND DELIVERY OF MODULES FOR FIRST QUARTER</t>
  </si>
  <si>
    <t>Supply and Delivery of Handwashing Facilities</t>
  </si>
  <si>
    <t>SUPPLY AND DLEIVERY OF BOOKSHELVES AND TABLES FOR MUNICIPAL LIBRARY</t>
  </si>
  <si>
    <t>Request for quotation Other Supplies and Materials (Modules) of Himamaylan CS</t>
  </si>
  <si>
    <t>Improvement of Drainage System at Brgy. Poblacion, Merida, Leyte</t>
  </si>
  <si>
    <t>Installation of Granite Slab on Existing Tourism Marker at Managok, Simaya, San Martin, Malaybalay City and Kaatuan, Lantapan</t>
  </si>
  <si>
    <t>Procurement of IT Equipment PR # 2020-07-23-287</t>
  </si>
  <si>
    <t>Completion of Evacuation Center at Brgy. Poblacion, Merida, Leyte</t>
  </si>
  <si>
    <t>LCWD-2020-050 Various Fittings (Re-Bid)</t>
  </si>
  <si>
    <t>Improvement of Bachelors Officers Quarters (BOQ) Bldg Nr 6743</t>
  </si>
  <si>
    <t>Repair &amp; Maintenance Office Equipment (OFM-107,950.00)</t>
  </si>
  <si>
    <t>20GFC0036: Purchase of Field Equipment/Safety Devices/ Supplies/PPEs, for the Conduct of Automated Traffic Data Collection and Axle Load Survey</t>
  </si>
  <si>
    <t>Procurement of Spareparts for Maintenance of Vehicle and Equipment</t>
  </si>
  <si>
    <t>CONDUCT OF LAND, RELOCATION AND PARCELLARY SURVEY</t>
  </si>
  <si>
    <t>SUPPLY AND DELIVERY OF 1I EQUIPMENTS</t>
  </si>
  <si>
    <t>ENG'G PASBAC 012-20 Supply and Delivery of Materials and Labor for the Enhancement Of Financial Records Branch (FRB) Building At Fort Bonifacio, Metro Manila</t>
  </si>
  <si>
    <t>Purchase of Office Equipment, Furniture &amp; OPPE</t>
  </si>
  <si>
    <t>Construction of Infirmary Hospital</t>
  </si>
  <si>
    <t>CATERING SERVICES FOR THE CAPACITY BUILDING ACTIVITIES FOR SLP FOR CY 2020-MT. PROVINCE</t>
  </si>
  <si>
    <t>Invitation to Bid for Repair and Improvement of various buildings at WPU-Main and WPU-PPC campuses</t>
  </si>
  <si>
    <t>RFQ-GS-20200720-01 - 1 Lot Supply, Delivery &amp; Installation of Acrylic Poster Holders, Acrylic Frame Panels, Signages, ATM Sunshades &amp; Glass Panel Stickers including Dismantling of existing signages, w</t>
  </si>
  <si>
    <t>Construction Supply</t>
  </si>
  <si>
    <t>Representation Expenses (OTQMG-116,750.00)</t>
  </si>
  <si>
    <t>Repair &amp; Maintenance of Buildings (OSPS-PhP300,000.00)</t>
  </si>
  <si>
    <t>Construction of DRRM Operation Center (Phase 2)</t>
  </si>
  <si>
    <t>One (1) Lot – Hardware and Software Maintenance and Technical Support Services for the Network Data Leakage Protection (NDLP), as per BSP Terms of Reference and Service Level Agreement</t>
  </si>
  <si>
    <t>Training Expense-Php282,187.50 OFM</t>
  </si>
  <si>
    <t>INVITATION TO BID FOR PROCUREMENT OF CATERING SERVICES FOR THE KALAHI CEAC ACTIVITIES-2ND POSTING PROJECT ID NO: DSWD4B-2020-013</t>
  </si>
  <si>
    <t>Purchase of Spare Parts</t>
  </si>
  <si>
    <t>Melt Loading System</t>
  </si>
  <si>
    <t>Rehabilitation/Improvement of OSCA Building at Brgy. Poblacion, Merida, Leyte</t>
  </si>
  <si>
    <t>Repair &amp; Maintenance of Buildings (OSPS-PhP50,000.00)</t>
  </si>
  <si>
    <t>INVITATION TO BID FOR CATERING SERVICES OF MEALS  FOR ROFs/LSIs AND FRONTLINERS AT THE ISOLATION FACILITIES  AND HOLDING AREA IN OROQUIETA CITY</t>
  </si>
  <si>
    <t>Office Supplies Expense-OJ5-75,275.00</t>
  </si>
  <si>
    <t>271 UNITS, TRAY FILING</t>
  </si>
  <si>
    <t>Invitation to Bid for Supply and Delivery of IT Supplies and Equipment for the adoption of flexible learning under New Normal</t>
  </si>
  <si>
    <t>Construction/Rehab. of Multi-Purpose Building at Brgy. Poblacion, Merida, Leyte</t>
  </si>
  <si>
    <t>Telephone Mobile Expenses (OFM-189,000.00)</t>
  </si>
  <si>
    <t>Procurement of the Provision of Internet Service Provider for Iriga City Information and Communication Technology (ICT) Center (Category 1)</t>
  </si>
  <si>
    <t>Supply and delivery of various materials for REMD Shop custom service project</t>
  </si>
  <si>
    <t>Construction of Reservoir at Brgy. Mahayag, Merida, Leyte</t>
  </si>
  <si>
    <t>IMPROVEMENT OF QUADRANGLE (PHASE I) AT OMSC LABANGAN</t>
  </si>
  <si>
    <t>Spares for the Maintenance of Crew Escape System of FA-50PH Aircraft</t>
  </si>
  <si>
    <t>Peace and Order Program</t>
  </si>
  <si>
    <t>20-07-578 Purchase of Fuel for Official Use of PNP Vehicles for 3rd Quarter 2020</t>
  </si>
  <si>
    <t>Gala Uniform with Accessories</t>
  </si>
  <si>
    <t>Complete Delivery of Printer &amp; Computer Desktop</t>
  </si>
  <si>
    <t>MA-A2M20-044 Carbon Brush Exciter 1 x .75 x 2.50</t>
  </si>
  <si>
    <t>Telephone Mobile Expenses (SOCOM-91,900.00)</t>
  </si>
  <si>
    <t>PURCHASE OF WATERPUMP FOR DISTRIBUTION TO FARMERS AND IRRIGATORS ASSOCIATION OF THE CITY OF BATAC</t>
  </si>
  <si>
    <t>Repair &amp; Maintenance Communication Equipment (CEISSAFP-Ph566,940.00)</t>
  </si>
  <si>
    <t>Printing of Sistemang PalayCheck to be used in the Information Dissemination activities of the Center</t>
  </si>
  <si>
    <t>REMOVAL REINFORCED CONCRETE COVERED CANAL</t>
  </si>
  <si>
    <t>Request for quotation for Angat NHS for the month of August</t>
  </si>
  <si>
    <t>Repair &amp; Maintenance Office Equipment (OSSSM-60,000.00)</t>
  </si>
  <si>
    <t>Spares and Services for the Maintenance of FA-50PH Aircraft</t>
  </si>
  <si>
    <t>SUPPLY AND INSTALLATION OF VARIOUS AIRCONDITIONING UNIT FOR THE USE OF VARIOUS OFFICES</t>
  </si>
  <si>
    <t>Spares for the Scheduled Maintenance of FA-50PH Aircraft</t>
  </si>
  <si>
    <t>Repair &amp; Maintenance Communication Equipment (CEISSAFP-Ph651,855.50)</t>
  </si>
  <si>
    <t>Provision of Internet Service Provider for Iriga City Information and Communication Technology (ICT) Center (Category 2).</t>
  </si>
  <si>
    <t>Representation Expenses (OSPS-PhP391,299.00)</t>
  </si>
  <si>
    <t>20GFC0035: Purchase of Spare Parts, for Planning and Design Service Vehicle</t>
  </si>
  <si>
    <t>Asphalt overlay in Jubay, Liloan, cebu</t>
  </si>
  <si>
    <t>Supply and Delivery of Automatic Hand Sanitizer/ Alcohol Dispenser</t>
  </si>
  <si>
    <t>SVP 20-0346 - Purchase of 100 sacks RICE , Banaybanay &amp; etc.</t>
  </si>
  <si>
    <t>Construction of Reservoir at Brgy. Masumbang, Merida, Leyte</t>
  </si>
  <si>
    <t>"Contract for the Supply of Labor, Materials, Tools and Equipments necessary for the Construction of Evacuation Center at Barangay Salvacion and La Paz, Carmen, Davao del Norte</t>
  </si>
  <si>
    <t>Invitation to Bid for Supply, Delivery, and Installation of Laboratory Furniture</t>
  </si>
  <si>
    <t>20-07-605 Purchase of Fuel, Oil and Lubricants for the Maintenance, Monitoring, Inspection, and Surveillance of Different Infrastructure Projects</t>
  </si>
  <si>
    <t>Labor and Materials for the Construction of Isolation Quarantine Facility</t>
  </si>
  <si>
    <t>20-07-608 Consolidated Fuel, Oil and Lubricants of Different Offices for 3rd Quarter 2020</t>
  </si>
  <si>
    <t>Runway Sweeper</t>
  </si>
  <si>
    <t>MA-A2M20-50 Adhesive Steel Devcon or equivalent &amp; four (4) others</t>
  </si>
  <si>
    <t>MA-A2M20-033 Annual PMS Unit 1&amp;2 AG1, SOCKET 7 4 others</t>
  </si>
  <si>
    <t>2020-07-0166 - PROCUREMENT OF OFFICE EQUIPMENT FOR USE AT THE PLANNING AND DESIGN SECTION (PDE 2020)</t>
  </si>
  <si>
    <t>Construction/Establishment of Three Storey with Roof Deck PMS - OP Integrated Operations and Service Continuity Building with Carport, Powerhouse, Site Development including Solar Panels and Landscapi</t>
  </si>
  <si>
    <t>Procurement of Various Materials for the Construction of Structures at San Isidro Hills ( Basket Chair, Pagsanjan Arch, Platform, Lazy Susan &amp; Mannequin</t>
  </si>
  <si>
    <t>Procurement of two (2) units of motorcycle</t>
  </si>
  <si>
    <t>20CSKC0003: SOIL TESTING / EXPLORATION FOR THE WIDENING OF PERMANENT BRIDGE (5 SITE LOCATIONS), KALILANGAN &amp; PANGANTUCAN, BUKIDNON</t>
  </si>
  <si>
    <t>20-07-603 Purchase of Office Equipment for the Use of the Municipal Accounting Office</t>
  </si>
  <si>
    <t>Supply and Delivery of Common Used Supplies</t>
  </si>
  <si>
    <t>Supply and Delivery of Service Vehicle for LGU-Alcoy</t>
  </si>
  <si>
    <t>ACQUISITION OF EQUIPMENT FOR MENRO-BOBON, NORTHERN SAMAR</t>
  </si>
  <si>
    <t>Supply and Delivery of DRRM Preparedness Materials and Equipment</t>
  </si>
  <si>
    <t>Supply and delivery of various materials for research project (CESTI Proj. 020-12)</t>
  </si>
  <si>
    <t>Catering Services for the 2020 Census of Population and Housing (CPH) 4th Level Training of Siquijor Province.</t>
  </si>
  <si>
    <t>Procurement of Commonly-Used Supplies, NIPSC, Estancia, Iloilo</t>
  </si>
  <si>
    <t>Delivery of Janitorial Supplies</t>
  </si>
  <si>
    <t>PURCHASE OF VARIOUS SEEDLINGS USE FOR THE REHABILITATION OF ALANIB RIVER WATERSHED (1ST BID)</t>
  </si>
  <si>
    <t>Delivery of Office Supplies</t>
  </si>
  <si>
    <t>MA-A2O20-006 Garbage Disposal, AG1&amp;2</t>
  </si>
  <si>
    <t>Delivery of IT Consumables</t>
  </si>
  <si>
    <t>Procurement of Various Materials for Construction of Structures at San Isidro Hills ( Golden Cow, Hand Lanzones &amp; Fire Tree Flower )</t>
  </si>
  <si>
    <t>Installation of Closed Circuit Television (CCTV) for Monitoring Accident Activities, Municipality of Pagsanjan - Pagsanjan, Laguna</t>
  </si>
  <si>
    <t>MA-A2O20-004 Repair of Motor</t>
  </si>
  <si>
    <t>PRINTING OF LEARNING MODULES FOR ELEMENTARY</t>
  </si>
  <si>
    <t>Supply and Delivery of Bond Papers for the Reproduction of Quarter 2 Learning Activity Sheets/Modules</t>
  </si>
  <si>
    <t>Supply and Delivery of Bond Papers for the Reproduction of Quarter 1 Learning Activity Sheets/Modules</t>
  </si>
  <si>
    <t>20FJ0030 - Construction of One(1) Unit One(1) Storey One(1) Classroom School Building at San Isidro Elementary School, Cataingan, Masbate</t>
  </si>
  <si>
    <t>Procurement of Materials for the Construction of Evacuation Center (Phase I) at Brgy. Mabuhay, Mahaplag, Leyte</t>
  </si>
  <si>
    <t>SUPPLY &amp; DELIVERY OF MATERIALS FOR THE CONSTRUCTION OF INTEGRATED SCHOOL BUILDING AT BASAC ELEMENTARY SCHOOL (PHASE I) 1ST BID</t>
  </si>
  <si>
    <t>Procurement of Master Roll and Ink with free use of Rongda Machine</t>
  </si>
  <si>
    <t>Delivery of Supplies for the used of FRPG Personnel and Staff</t>
  </si>
  <si>
    <t>PURCHASE OF SLING GRASS CUTTER</t>
  </si>
  <si>
    <t>20CM0086 - Concreting of Sitio Kanaynayan, Brgy. San Pablo FMR, Brgy. San Pablo, Castillejos, Zambales</t>
  </si>
  <si>
    <t>For the printing and Soft Binding of Self Learning Modules for the Schools Division Of Laoag City learners (to cover funding requirements for the implementation of basic education learning continuity</t>
  </si>
  <si>
    <t>Office Supplies and devices</t>
  </si>
  <si>
    <t>20CSKC0004: SOIL TESTING / EXPLORATION FOR THE WIDENING OF PERMANENT BRIDGE (3 SITE LOCATIONS), MANOLO FORTICH, TALAKAG &amp; MALITBOG, BUKIDNON</t>
  </si>
  <si>
    <t>LGU- COR. 2020-90</t>
  </si>
  <si>
    <t>2020-07-0212  Supply and delivery of various materials, tools &amp; PPE for use in the various maintenance works</t>
  </si>
  <si>
    <t>20CM0087 - Concreting of Sitio Aros, Brgy. San Guillermo FMR, Brgy. San Guillermo, San Marcelino, Zambales</t>
  </si>
  <si>
    <t>20-06-488 Purchase of Motorcycle for the use of SB Secretariat Office in Delivering Communications for SB Legislative and Other Concern Offices</t>
  </si>
  <si>
    <t>Consulting Services for the Standardization of the Performance Incentive Scheme (PIS) For Privately-Owned Electricity Distribution Utilities (DUs)</t>
  </si>
  <si>
    <t>Purchase of Motor Boat Fiberglass (Modified “V” Hull)</t>
  </si>
  <si>
    <t>MA-A2O20-005 Trimming Branches of Trees AG2</t>
  </si>
  <si>
    <t>Various Reloading Components</t>
  </si>
  <si>
    <t>purchase of copier machine &amp; laptop computer with printer</t>
  </si>
  <si>
    <t>2020--7-0205  Supply and delivery of Toner for use in the operatrion of 1 unit Heavy Duty Printer, SN:A789147000061 INEO 367 &amp; INEO+221 SN:A6VA141000018 assigned in the Construction section, DPWH-Mala</t>
  </si>
  <si>
    <t>20FJ0033 - Construction of One(1) Unit One(1) Storey One(1) Classroom School Building at  Chimenea ES, Cataingan, Masbate</t>
  </si>
  <si>
    <t>Supply and Delivery of Floor Polishers</t>
  </si>
  <si>
    <t>2020-07-0209 (Readvertisement) Supply and delivery of 1 unit Laptop  for use in the implementation of PCMA, online seminar/training, and Coordination meetingwith Regional Director &amp; District Engineer'</t>
  </si>
  <si>
    <t>purchase of airconditioner</t>
  </si>
  <si>
    <t>Procurement of Face Masks</t>
  </si>
  <si>
    <t>CONSTRUCTION OF PATHWAY</t>
  </si>
  <si>
    <t>CONCRETE ROAD</t>
  </si>
  <si>
    <t>PURCHASE OF OFFICE EQUIPMENT &amp; FURNITURE AND FIXTURES (3RD QUARTER 2020) FOR THE MUNICIPALITY OF INFANTA, 	PANGASINAN</t>
  </si>
  <si>
    <t>RFQ for Emergency Purchase of RICE for Relief Operation of LGU-Lawaan, Eastern Samar (COVID 19 Pandemic)</t>
  </si>
  <si>
    <t>PROCUREMENT OF 3 UNITS LAPTOP</t>
  </si>
  <si>
    <t>Purchase of Construction Materials use for the Maintenance of Street Light</t>
  </si>
  <si>
    <t>Cartridge, 9mm, Ball</t>
  </si>
  <si>
    <t>Supplies to be used in modular learning  (Printer)</t>
  </si>
  <si>
    <t>Rental of Equipment for the Rehabilitation of NRJ – Taigyan – Cabohan – Sta. Monica Road Section (Selected Patching)</t>
  </si>
  <si>
    <t>20FJ0032 - Construction of One(1) Unit One(1) Storey One(1) Classroom School Building at  N.B. Cabrera ES, Dimasalang, Masbate</t>
  </si>
  <si>
    <t>Bomb, 500lbs, Inert and Six (6) Other Line Items</t>
  </si>
  <si>
    <t>MA-A2M20-054 Printer Multifunction Large Format Printer</t>
  </si>
  <si>
    <t>Procurement and Delivery of Padlocks</t>
  </si>
  <si>
    <t>CONSTRUCTION OF BLEACHERS AT COVERED COURT</t>
  </si>
  <si>
    <t>Procurement  of Laptop Computer</t>
  </si>
  <si>
    <t>Rocket, 2.75 Inch, HE with Mod 4 and M229 Warhead</t>
  </si>
  <si>
    <t>Purchase of Seven (7) Units Barangay Police Patrol</t>
  </si>
  <si>
    <t>Supply and delivery of 1 pack Rapid Bioassay Pesticide Residue (RBPR) AChe Kit to be used in pesticide analysis of major crops in Region I</t>
  </si>
  <si>
    <t>Provision of 40 pax Meals and Snacks to be served during the 2-day Workshop in the Preparation to the 2nd Surveillance Audit of DA RFO I QMS</t>
  </si>
  <si>
    <t>Rocket, 2.75 inch, Inert Mod 1</t>
  </si>
  <si>
    <t>2020-07-0214  Supply and delivery of materials for use in the restoration and improvement of DPWH facility</t>
  </si>
  <si>
    <t>Construction of Clustered Infrastructure Projects (Road Re-Blocking and Concrete Pathway)</t>
  </si>
  <si>
    <t>SUPPLY AND DELIVERY OF COMPUTER NOTEBOOKS  FOR  DIVISION OF CITY SCHOOLS</t>
  </si>
  <si>
    <t>Supply and Installation of Glass with Aluminum Frame (Fixed Counter &amp; Door), Aluminum Fixed Frame with Door and Swing Door for One-Stop-Shop (Basement 2), Municipality of Pagsanjan- Pagsanjan, Laguna</t>
  </si>
  <si>
    <t>20CM0085 - Rehabilitation and Re-Installation of Existing Traffic Survey Sites Including   In-Ground Sensors and Automated Traffic Classifiers for Four(4) Lanes</t>
  </si>
  <si>
    <t>Bomb, 500lbs, LDGP HE and one (1) Other Line Item</t>
  </si>
  <si>
    <t>PURCHASE OF SUPPLIES FOR THE PRINTING OF MODULES(KG-Elem-SHS), ITB16-2020</t>
  </si>
  <si>
    <t>Procurement and Delivery of Construction Materials for Stock Room Renovation 1</t>
  </si>
  <si>
    <t>20-07-515 Purchase of Medicines for the Mentally Challenge Clients of RHU-Alamada</t>
  </si>
  <si>
    <t>EXPANSION OF TWO STOREY MULTI-PURPOSE BLDG.,PHASE-2 (BARANGAY KAUSWAGAN, RAMON MAGSAYSAY, ZDS)</t>
  </si>
  <si>
    <t>MA-A2M20-038 Contact Cleaner, Dry Pure</t>
  </si>
  <si>
    <t>Supply and delivery of various materials for research project (CESTI Proj. 020-03)</t>
  </si>
  <si>
    <t>REPAIR/IMPROVEMENT OF PERIMETER FENCE AND REPAIR AND MAINTENANCE: COMPLETION OF FRONT PERIMETER FENCE AT OMSC LABANGAN (LOT 1&amp;2)</t>
  </si>
  <si>
    <t>1 Lot Catering Services for MPO's Conference &amp; Planning Session of PPO good for 40 persons on August 21, 2020. ABC PHP32,000.00</t>
  </si>
  <si>
    <t>20GFE0015- PROCUREMENT OF EQUIPMENT/APPARATUS, OFFICE, IT AND JANITORIAL SUPPLIES FOR QUALITY ASSURANCE SECTION</t>
  </si>
  <si>
    <t>Cartridge, 20mm, HEI Linked, and Two (2) Other Line Items</t>
  </si>
  <si>
    <t>CONSTRUCTION OF PATHWAY AT ZONE 5</t>
  </si>
  <si>
    <t>20BG0152-Construction of One (1) Storey Three (3) Academic Classroom School Building with Toilet attached at each classroom (9.5m x 27.0m plus CR), Daramuangan Norte Elementary School, San Mateo, Isab</t>
  </si>
  <si>
    <t>Supply and delivery of 150 vials Anti-Rabies Vaccine for use in the Western Leyte Provincial Hospital. ABC PHP435,000.00</t>
  </si>
  <si>
    <t>Supply and delivery of various printer cartridges to be used at RAED and BAC Office</t>
  </si>
  <si>
    <t>20BG0153-Construction of One (1) Storey Four (4) Classroom School Building with Toilet attached at each classroom (9.5m x 36.0m plus CR), Ueg National High School, San Mariano, Isabela , School ID No.</t>
  </si>
  <si>
    <t>Construction/Installation of Guard Rail</t>
  </si>
  <si>
    <t>Procurement and Delivery of Office Supplies For Modules Reproduction</t>
  </si>
  <si>
    <t>PIKCOT-SUPP-002020-00172 (SUPPLY AND DELIVERY OF OFFICE EQUIPMENT)</t>
  </si>
  <si>
    <t>Supply and delivery of Medical Supplies and Laboratory Instrument for use in Western Leyte Provincial Hospital. ABC PHP853,500.00</t>
  </si>
  <si>
    <t>RE-BID REHABILATATION OF BOOL MULTI-PURPOSE COVERED COURT, BOOL, TAGBILARAN CITY</t>
  </si>
  <si>
    <t>OFFICE SUPPLIES (SB)</t>
  </si>
  <si>
    <t>SUPPLY OF AIRCON INVERTER (SB)</t>
  </si>
  <si>
    <t>SUPPLY OF DESKTOP COMPUTERS (SB)</t>
  </si>
  <si>
    <t>2020-07-0030- For use in DPWH-Bacolod City District Engineering Office</t>
  </si>
  <si>
    <t>PROCUREMENT OF OFFICE SUPPLIES (CLOTHING)</t>
  </si>
  <si>
    <t>20BG0151-Construction of One (1) Storey Two (2) Classroom School Building with Toilet attached at each classroom (9.5m x 18.0m plus CR), Daramuangan Norte Elementary School, San Mateo, Isabela, School</t>
  </si>
  <si>
    <t>Catering services of training for seed growers</t>
  </si>
  <si>
    <t>SUPPLY OF TV SET (SB)</t>
  </si>
  <si>
    <t>Printing and Delivery of Modules  S.Y. 2020 -2021</t>
  </si>
  <si>
    <t>Catering services of community-based training on diversified  farming system in rice production: An empowerment &amp; extension support to rural woman &amp; senior citizens</t>
  </si>
  <si>
    <t>Reproduction Of Learning MOdules Supplies (Supplies)</t>
  </si>
  <si>
    <t>Construction of Two (2) Storey Multi-purpose Hall Phase I at Barangay Digumased, Dinapigue</t>
  </si>
  <si>
    <t>INVITATION TO BID FOR PURCHASE OF ONE (1) UNIT AMBULANCE</t>
  </si>
  <si>
    <t>Medical Supplies for NOLI-2020-0199 &amp; 0206</t>
  </si>
  <si>
    <t>Supplies to be used in modular learning  (office supplies)</t>
  </si>
  <si>
    <t>Purchase of assorted medicines for RHU Tinglayan</t>
  </si>
  <si>
    <t>Procurement of Supplies and Equipment for use in Printing of Learning Modules of Bata National High School</t>
  </si>
  <si>
    <t>Supply and Delivery of Spare Parts</t>
  </si>
  <si>
    <t>Supply and Delivery of Various Construction Materials for Repair and Rehabilitation of SK Office through SK Funds.</t>
  </si>
  <si>
    <t>Procurement of Office Supplies for the use of the different offices of the PGIN for the 3rd Quarter 2020</t>
  </si>
  <si>
    <t>Purchase of Laptops for PLEB, BFP &amp; MBO</t>
  </si>
  <si>
    <t>CONTRACT FOR THE SUPPLY AND DELIVERY OF VARIOUS PIPES AND  FITTINGS, GATE VALVES AND CONSTRUCTION MATERIALS</t>
  </si>
  <si>
    <t>PURCHASE OF THIRTY ONE (31) UNITS OF PRINTER TO BE USED FOR DEP-ED ONLINE TEACHING (MODULE LEARNING)</t>
  </si>
  <si>
    <t>REHABILITATION/IMPROVEMENT OF  PATHWAY OF BRGY. BALIUAG VIEJO AT ZONE 3</t>
  </si>
  <si>
    <t>20-CSDG-02: Consultancy Services for the Conduct of Preliminary Detailed Engineering (PDE) Activities – Geotechnical Investigation and Detailed Engineering Design of various Road Slope Protection Stru</t>
  </si>
  <si>
    <t>ESTABLISHMENT OF THREE (3) UNITS OF SMALL WATER IMPOUNDING SYSTEM (SWIS) AT BRGY. ROSACARA, BANSUD, ORIENTAL MINDORO</t>
  </si>
  <si>
    <t>Supply and delivery of Vehicle Parts &amp; Accessories of various Service Vehicles use in Provincial Warden's Office, Leyte. ABC PHP64,200.00 Provincial Jail, Kauswagan, Palo, Leyte. ABC PHP64,200.00</t>
  </si>
  <si>
    <t>PES Purchase of Printer (Epson) 2020-Supplemental</t>
  </si>
  <si>
    <t>PES Purchase of Office Supplies 2020-Supplemental</t>
  </si>
  <si>
    <t>Development of Land / Embankment of New Integrated Terminal</t>
  </si>
  <si>
    <t>Construction of Seawall in Brgy. Inasuyan, Kawayan, Biliran</t>
  </si>
  <si>
    <t>For extension support (feeds) in support to urban gardening/ conduct of back to basics: Scientific and sustainable  livestock and poultry production</t>
  </si>
  <si>
    <t>SUPPLY, DELIVERY &amp; INSTALLATION OF LABORATORY FURNITURE, EQUIPMENT AND ACCESSORIES FOR CRIME LABORATORY</t>
  </si>
  <si>
    <t>SUPPLY, DELIVERY, INSTALLATION AND CONFIGURATION OF TSU WIFI MODERNIZATION FOR LUCINDA CAMPUS (PHASE I)</t>
  </si>
  <si>
    <t>Purchase of mixed gravel and sand for the rehabilitation of brgy. road (regravelling) at Nangalinan, Baggao, Cagayan</t>
  </si>
  <si>
    <t>Purchase of materials for the construction/installation of streetlights  at Nangalinan, Baggao, Cagayan</t>
  </si>
  <si>
    <t>PURCHASE OF MATERIALS FOR THE REPAIR AND IMPROVEMENT  OF MULTI-PURPOSE BUILDING AT  REMUS, BAGGAO, CAGAYAN</t>
  </si>
  <si>
    <t>PURCHASE OF MATERIALS FOR THE CONSTRUCTION/INSTALLATION OF STREETLIGHT (SOLAR) AT  REMUS, BAGGAO, CAGAYAN</t>
  </si>
  <si>
    <t>Supply and Delivery of Office Equipment.</t>
  </si>
  <si>
    <t>IB 2020-08-012 PME2 Procurement of Medical Equipment (Part 2) 2020-12</t>
  </si>
  <si>
    <t>Proposed Road Concreting of Circumferential Road/Ninoy Aquino Extension at junction Kidapawan-Calunasan Mlang Road-Purslane Section, Brgy. Magsaysay, Kidapawan City</t>
  </si>
  <si>
    <t>Supply and Delivery of Water Treatment Equipment.</t>
  </si>
  <si>
    <t>SUPPLY AND DELIVERY OF MATERIALS FOR REHABILITION OF DAY CARE CENTER</t>
  </si>
  <si>
    <t>Purchase of  mixed gravel and sand for the regravelling of brgy road at Canagatan, Baggao, Cagayan</t>
  </si>
  <si>
    <t>Concreting of Brgy. Bariis to Brgy. Banquerohan FMR Phase 2, Brgy. Bariis and Brgy. Banquerohan, Legazpi City, Albay</t>
  </si>
  <si>
    <t>Procurement of 12 pcs. Interior and 7 Other Items;PR No. 20-1660 dated December 12, 2019</t>
  </si>
  <si>
    <t>DRL-20-0743-B PURCHASE OF CAUTERY MACHINE</t>
  </si>
  <si>
    <t>Completion of MultiPurpose and Productivity Center at Brgy. Sua, San Juan, Southern Leyte</t>
  </si>
  <si>
    <t>Concreting of Brgy. Pawa to Brgy. Nagotgot FMR, Brgy. Pawa and Brgy. Nagotgot, Manito, Albay</t>
  </si>
  <si>
    <t>DRL-20-0721-B PURCHASE OF EMERGENCY CART TROLLY</t>
  </si>
  <si>
    <t>DRL-20-0722-B PURCHASE OF NEBULIZER MACHINE</t>
  </si>
  <si>
    <t>DRL-20-0745-B PURCHASE OF SUCTION MACHINE</t>
  </si>
  <si>
    <t>PROCUREMENT OF OFFICE SUPPLIES (ACCOUNTING OFFICE)</t>
  </si>
  <si>
    <t>DRL-20-0326-B PURCHASE OF DUPLICATING MACHINE</t>
  </si>
  <si>
    <t>Continuation of the Construction of Inawey Flood Control, Lamag, Quirino, Ilocos Sur</t>
  </si>
  <si>
    <t>DRL-20-0744-B PURCHASE OF INFANT WEIGHING SCALE</t>
  </si>
  <si>
    <t>INFR-20-021- INSTALLATION OF ONE HUNDRED FORTY (140) UNITS 150 WATTS LED STREETLIGHTS LAMP AND ELECTRICAL WIRINGS ALONG NOVELETA TEJERO DIVERSION ROAD (EPZA-BACAO), BARANGAY BACAO I TO BARANGAY TEJERO</t>
  </si>
  <si>
    <t>Improvement of Patiacan FMR, Inuman, Patiacan, Quirino, Ilocos Sur</t>
  </si>
  <si>
    <t>Concreting/ Improvement of Poblacion-Cogon-Lawaan Road Section, Dumanjug, Cebu</t>
  </si>
  <si>
    <t>CONSTRUCTION OF BOB-OCOC FOOTBRIDGE, POBLACION, QUIRINO, ILOCOS SUR</t>
  </si>
  <si>
    <t>S &amp; D of Construction Materials (PGSO)</t>
  </si>
  <si>
    <t>Office Supplies &amp; Consumable for NOSP-2020-0022</t>
  </si>
  <si>
    <t>Concreting/Improvement of Upper Natimao-an-Caurasan Road Section, Carmen, Cebu</t>
  </si>
  <si>
    <t>Construction of Cabaroan Box Culvert, Patungcaleo, Quirino, Ilocos Sur</t>
  </si>
  <si>
    <t>Project Reference No.: 20R0001- Equipment Rental for the Rehabilitation of Municipal Complex Road (Phase I) @ Marantao, Lanao del Sur</t>
  </si>
  <si>
    <t>Livestock for VET-2020-0122</t>
  </si>
  <si>
    <t>Procurement of Office Supplies (Non-PS)</t>
  </si>
  <si>
    <t>Supply and Delivery of Hybrid Rice Seeds for use under Increase Adoption of High Quality Seeds (Hybrid Seeds Distributed)</t>
  </si>
  <si>
    <t>PURCHASE OF MEDICINES</t>
  </si>
  <si>
    <t>IMPROVEMENT OF BARANGAY HALL/MULTI PURPOSE</t>
  </si>
  <si>
    <t>Improvement/Rehabilitation of Sitio Urzadan Farmers Water System, Cayus, Quirino, Ilocos Sur</t>
  </si>
  <si>
    <t>Construction of New Level III Waterworks System (Phase II) Carmen, Cebu</t>
  </si>
  <si>
    <t>Concreting/ Improvement of Barangay Salag Road Section, Tabogon, Cebu</t>
  </si>
  <si>
    <t>DRL-20-0723-B PURCHASE OF PORTABLE DROPLIGHT</t>
  </si>
  <si>
    <t>Transport Vehicle (CABANCALAN-01-2020)</t>
  </si>
  <si>
    <t>Waste Management Supplies for PHO-2020-0373</t>
  </si>
  <si>
    <t>Proposed Multi-Purpose Covered Court, Malapascua Island, Logon, Daanbantayan, Cebu.</t>
  </si>
  <si>
    <t>Supply of Labor, Materials and Equipment for the Installation of Streetlights, Brgy. Lapolapo I (Sitio Aguila Compound), San Jose, Batangas</t>
  </si>
  <si>
    <t>Repainting of Exterior Walls at Provincial District Hospital, Bogo City, Cebu</t>
  </si>
  <si>
    <t>Supply of Labor, Materials and Equipment for the Construction/Rehabilitation of Pipe Culvert/Box Culvert, Brgy. Pinagtung-Ulan, San Jose, Batangas</t>
  </si>
  <si>
    <t>AB '20 PROCUREMENT OF OFFICE SUPPLIES</t>
  </si>
  <si>
    <t>Supply of Labor, Materials and Equipment for the Improvement of Sidewalk, Poblacion Barangay I, San Jose, Batangas</t>
  </si>
  <si>
    <t>S &amp; D of Office Supplies (PGSO)</t>
  </si>
  <si>
    <t>Supply of Labor, Materials and Equipment for the Installation of Streetlights, Brgy. Mojon-Tampoy, San Jose, Batangas</t>
  </si>
  <si>
    <t>Construction of Support Facility (Hazardous Waste Storage Building) at Ricardo L. Maningo Memorial Hospital, San Francisco, Cebu</t>
  </si>
  <si>
    <t>Supply of Labor, Materials and Equipment for the Installation of Streetlights, Brgy. Lapolapo I, San Jose, Batangas</t>
  </si>
  <si>
    <t>20-CSDG-03: Consultancy Services for the Conduct of Preliminary Detailed Engineering (PDE) Activities – Geotechnical Investigation  of various Road and Bridge Projects; Project I.D. # 20-CSDG-03</t>
  </si>
  <si>
    <t>SUPPLY AND DELIVERY OF FIRST QUARTER WORKSHEETS OF JHS</t>
  </si>
  <si>
    <t>Supply of Labor, Materials and Equipment for the Installation of Streetlights, Brgy. Palanca, San Jose, Batangas</t>
  </si>
  <si>
    <t>Health Safety Equipment for PHO-2020-0374</t>
  </si>
  <si>
    <t>Construction of Covered Court at Brgy's. Bae, Basak, Papan, Dugoan, Can-aga and Cantularoy, Sibonga, Cebu.</t>
  </si>
  <si>
    <t>Tires for NFBC-2020-0020</t>
  </si>
  <si>
    <t>Supply and Delivery of Motor Vehicle, Waterworks Section, San Jose, Batangas (Re-Bid)</t>
  </si>
  <si>
    <t>Supply of Labor, Materials and Equipment for the Installation of Streetlights, Brgy. Don Luis, San Jose, Batangas</t>
  </si>
  <si>
    <t>Repainting of Exterior Walls at Provincial District Hospital (2-storey building) Balamban, Cebu</t>
  </si>
  <si>
    <t>4Ps : 5 MONTHS-  OFFICE RENTAL FOR PANTAWID STAFF</t>
  </si>
  <si>
    <t>Completion of Multi-Purpose Hall Building at Barangay Salomague Norte, Bugallon, Pangasinan</t>
  </si>
  <si>
    <t>Continuation of Namitpit Hanging Footbridge and Pathway, Namitpit, Quirino, Ilocos Sur</t>
  </si>
  <si>
    <t>Information Technology Equipment for PHO-2020-0277</t>
  </si>
  <si>
    <t>Improvement of Lobolbo Creek to Banoen Plaza, Banoen, Quirino, Ilocos Sur</t>
  </si>
  <si>
    <t>S &amp; D of IT Equipment and Supplies (P. Agri)</t>
  </si>
  <si>
    <t>Repainting of Exterior Walls at Provincial District Hospital, Carcar City, Cebu</t>
  </si>
  <si>
    <t>S &amp; D of Motorcycle (ENRO)</t>
  </si>
  <si>
    <t>Concreting of Tagsing to Malawog  Barangay Roads</t>
  </si>
  <si>
    <t>S &amp; D of Laboratory Equipment (PHO)</t>
  </si>
  <si>
    <t>Water System Development at the Lazi Medicare Community Hospital, Lazi, Siquijor</t>
  </si>
  <si>
    <t>Repair/Improvement of Tourism Office, Capitol Building, Polangyuta, Siquijor &amp; Repair/Improvement of Tourism Office (Phase 2), Capitol Building, Polangyuta, Siquijor, Siquijor, “Cluster A”</t>
  </si>
  <si>
    <t>Procurement of office equipment of various offices</t>
  </si>
  <si>
    <t>Two (2) Units of Motorcycle/BFP</t>
  </si>
  <si>
    <t>Concreting of Tugas to Bantay Barangay Roads</t>
  </si>
  <si>
    <t>Concreting/ Improvement of Barangay Triumpo Road Section, Carmen, Cebu</t>
  </si>
  <si>
    <t>Concreting/ Improvement of Poblacion-Sombil Diversion Road Section, Tabuelan, Cebu</t>
  </si>
  <si>
    <t>Concreting of Tuburan to Conaynay Barangay Road</t>
  </si>
  <si>
    <t>Supply and Delivery of Supplies to be used of PAD for the 2nd Semester of 2020</t>
  </si>
  <si>
    <t>AB '20 PROCUREMENT OF BDRRM DISASTER SUPPLIES</t>
  </si>
  <si>
    <t>S &amp; D of Materials for the Installation of Water Supply Pipelines to Batanes Resort (PEO)</t>
  </si>
  <si>
    <t>Purchase of HUmidifier Oil scents</t>
  </si>
  <si>
    <t>Supply and Delivery of an Integrated Mobile Command Center System and Platform for the PDRRMC of Ilocos Sur</t>
  </si>
  <si>
    <t>Public Bidding of 2 Lots for the Supply &amp; Delivery of I.T. Equipment for Tapaz District Hospital, under ITB No. 2020-020R.</t>
  </si>
  <si>
    <t>Procurement of Digital Hanging Scale and Height and Length Board for distribution in the Municipal/Barangay Evacuation Center to assess Preschooler</t>
  </si>
  <si>
    <t>AB '20 PROCUREMENT OF BDRRM DISASTER EQUIPMENT</t>
  </si>
  <si>
    <t>1,200 pcs – N95 PPE</t>
  </si>
  <si>
    <t>Establishment of School Library at Pilar Central School Comp., Lower Poblacion, Pilar, Cebu</t>
  </si>
  <si>
    <t>Construction of Magdalena-Baladjay CIP</t>
  </si>
  <si>
    <t>Purchase of Supplies and Materials for 18 Child Development Centers</t>
  </si>
  <si>
    <t>Construction of Panay River Basin Integrated Development Project</t>
  </si>
  <si>
    <t>Public Restroom with Rainwater Tank, Lake Danao Park, San Francisco, Camotes Island</t>
  </si>
  <si>
    <t>Purchase of Towel and Soap Dispensers</t>
  </si>
  <si>
    <t>IMPROVEMENT OF BARANGAY HALL/MUTI PURPOSE BUILDING THRU THE INSTALLATION OF ROOF MOUNTED</t>
  </si>
  <si>
    <t>Public Bidding of 2 Lots for the Supply &amp; Delivery of Water Dispenser &amp; Monobloc Chair for the Office of Board Member Teves, under ITB No. 2020-021R</t>
  </si>
  <si>
    <t>For reproduction of modules and Learning Activity Sheets.</t>
  </si>
  <si>
    <t>Purchase &amp; Delivery of Spare Parts for the Ilocos Sur Dancing Fountain</t>
  </si>
  <si>
    <t>Public Bidding of 3 Lots for the Supply &amp; Delivery of Construction Materials for the Various Projects of Provincial Engineer’s Office, under ITB No. 2020-019R</t>
  </si>
  <si>
    <t>Construction of Water System at Brgy. Cadacad, Nagbukel, Ilocos Sur</t>
  </si>
  <si>
    <t>Replacement &amp; Relocation of Electrical Poles &amp; Its Accessories Affected by the PEO Widening Project at Ponong-Cang-Asa, Siquijor and Poblacion-Cansayang, San Juan, Siquijor, Cang-Asa, Siquijor &amp; Cansa</t>
  </si>
  <si>
    <t>Rehabilitation of Lined Canal at Barangay Poblacion 3, Talisay, Batangas</t>
  </si>
  <si>
    <t>Concreting of Camambugan  Barangay Road</t>
  </si>
  <si>
    <t>Supply and delivery of various vehicle spareparts</t>
  </si>
  <si>
    <t>Industrial Pumps for MAM-2019-0014</t>
  </si>
  <si>
    <t>Purchase &amp; Delivery of Heavy Duty Fast Speed Full Color Printer Line- Inkjet System with Consumables for the Reproduction of Learning Modules &amp; Self-learning Kits in Support &amp; Compliance to Basic Educ</t>
  </si>
  <si>
    <t>Development of Post-Harvest Facility at Brgy. Labut Norte, Santa, Ilocos Sur</t>
  </si>
  <si>
    <t>Supply &amp; Delivery 20 tubes OPT Toner 35A &amp; other item; PR No. 20-1705 dated May 15, 2020</t>
  </si>
  <si>
    <t>CONCRETING/IMPROVEMENT OF ALLIBANG STREET, POBLACION, QUIRINO, ILOCOS SUR</t>
  </si>
  <si>
    <t>019-INFRA-003 / CONSTRUCTION PROJECTS</t>
  </si>
  <si>
    <t>REHAB OF BRGY. MULTIPURPOSE CENTER HALL (PHASE-111)</t>
  </si>
  <si>
    <t>Delivery of various materials for the construction of Perimeter fence of Muulti-Purpose Hall</t>
  </si>
  <si>
    <t>For the repair &amp; maintenance of the New City Hall Building.</t>
  </si>
  <si>
    <t>Construction of Post-Harvest Facility at Brgy. Lapting Sur, Nagbukel, Ilocos Sur</t>
  </si>
  <si>
    <t>INSTALLATION OF 8 UNITS SOLAR STREET LIGHT AT BARANGAY 57, SAN ROQUE, CAVITE CITY</t>
  </si>
  <si>
    <t>Invitation to bid for the stage construction with comfort room at Barangay Wawa, Lingayen, Pangasinan</t>
  </si>
  <si>
    <t>Procurement of office equipment</t>
  </si>
  <si>
    <t>Supply and Delivery of C.I Sleeve Type Coupling</t>
  </si>
  <si>
    <t>Provision of IT equipment and software</t>
  </si>
  <si>
    <t>Invitation to Bid for the Delivery of Solar Streetlighting System at Barangay Libsong West, Lingayen, Pangasinan</t>
  </si>
  <si>
    <t>CONCRETING OF BARANGAY LITTLE BAGUIO ROAD SECTION</t>
  </si>
  <si>
    <t>Construction/Rehabilitation of Water Supply/Septage and Sewerages/Rain Water Collectors - Rain Water Collectors in Public Facilities, Construction of Sixteen (16) units of Rainwater Collection System</t>
  </si>
  <si>
    <t>Procurement of it equipment and software</t>
  </si>
  <si>
    <t>Procurement of Construction Materials for Construction of FMR</t>
  </si>
  <si>
    <t>PROCUREMENT OF AGRICULTURAL SUPPLIES</t>
  </si>
  <si>
    <t>Supply and Delivery of Two (2) Units of Safety Vaults for OCS and BCEO</t>
  </si>
  <si>
    <t>7600 pcs CHB 4” for construction of perimeter fence at proposed Barangay Taclobo government center, Barangay Taclobo.</t>
  </si>
  <si>
    <t>EXTENSION OF LAMAC MULTI-PURPOSE BUILDING</t>
  </si>
  <si>
    <t>SUPPLY, CONSTRUCTION, INSTALLATION AND RENOVATION OF SESSION HALL (3rd floor)</t>
  </si>
  <si>
    <t>Procurement of Animal Feeds PR # 20-07-1248 OVS</t>
  </si>
  <si>
    <t>2020-07-931 "Procurement of 1 unit 6x4 Water Truck for PGO"</t>
  </si>
  <si>
    <t>SLOPE PROTECTION OF CREEK (WAIG DAKKEL) LOCATED AT BARANGAY CASTRO, SUDIPEN, LA UNION</t>
  </si>
  <si>
    <t>CID NO. 20IF0078 (READV)-CONSTRUCTION OF BRGY. CATIGAHAN-BRGY. HINAGBUAN ROAD, PALOMPON, LEYTE</t>
  </si>
  <si>
    <t>IMPROVEMENT OF MULTI-PURPOSE CENTER (COVERED GYM CONCRETE OVERLAY)</t>
  </si>
  <si>
    <t>Delivery of Construction Materials &amp; Supplies for the Rehabilitation of Barangay Multipurpose Hall Phase I</t>
  </si>
  <si>
    <t>Supply and Delivery of Equipment for Power House Maintenance, Security and Safety for POLILLO DPP</t>
  </si>
  <si>
    <t>Procurement of Various Vegetable Seeds, Fertilizers, Insecticide and Fungicide for the Vegetable Production and Demonstration of MAGRO - Laak, Davao De Oro</t>
  </si>
  <si>
    <t>Supply and Delivery of Ambulance with Complete Accessories and LTO Registration</t>
  </si>
  <si>
    <t>Supply and Delivery of Various Supplies&amp;Materials (SwineNC-II toolkit)</t>
  </si>
  <si>
    <t>REPRODUCTION OF SELF LEARNING MODULES OF LAPASAN NATIONAL HIGH SCHOOL</t>
  </si>
  <si>
    <t>FOR CONSTRUCTION</t>
  </si>
  <si>
    <t>PBD OF CELLPHONE ANDROID</t>
  </si>
  <si>
    <t>Supply and Delivery of FSP Advocacy Bag</t>
  </si>
  <si>
    <t>construction of municipal quarantine facility/mho</t>
  </si>
  <si>
    <t>Module kit</t>
  </si>
  <si>
    <t>CONCRETE PAVING OF BARANGAY ROAD (SITIO LUGALOG) LOCATED AT BARANGAY SAN FRANCISCO SUR, SUDIPEN, LA UNION</t>
  </si>
  <si>
    <t>Construction of 332 L.M. Concrete Drainage Cover @ Brgy. III Bonifacio</t>
  </si>
  <si>
    <t>Procurement of Two (2) units Risograph Machine</t>
  </si>
  <si>
    <t>RFQ 2020-01-0077-MATERIALS FOR REPAIR AND FABRICATION OF ROOF OF STUDY SHED BESIDE GYMNASIUM AREA</t>
  </si>
  <si>
    <t>EARTHWORKS</t>
  </si>
  <si>
    <t>20GGA0008-Purchase of Asphalt MC 60/70 for use in the Maintenance of National Roads and Bridges Along Aklan East &amp; West Road Section</t>
  </si>
  <si>
    <t>Supply and Delivery of Commercial Feeds</t>
  </si>
  <si>
    <t>Sealed Quotation - One (1) Lot Supply, Delivery and Installation of Various Furniture for Pag-IBIG Fund Calamba TAS, Housing and Branches</t>
  </si>
  <si>
    <t>Provision of Meals and Snacks to be served for the 2nd Semester CY 2020 for meetings and other activities of various divisions and offices of ATI Central Office</t>
  </si>
  <si>
    <t>Concreting of Farm to Market Road with Slope Protection at Sitio 4, Brgy. Tabucbuc</t>
  </si>
  <si>
    <t>SLOPE PROTECTION OF FARM TO MARKET ROAD (SITIO IMMAYUS) LOCATED AT BARANGAY SAN JOSE, SUDIPEN, LA UNION</t>
  </si>
  <si>
    <t>20LA0352 Construction of One (1) Unit, Two (2) Storey Four (4) Classroom Building at Bon-Temple ES, Pantukan, Compostela Valley</t>
  </si>
  <si>
    <t>Materials for Barangay Water System</t>
  </si>
  <si>
    <t>PROCUREMENT OF 15 PIECES OF EXTERNAL HARD DRIVE</t>
  </si>
  <si>
    <t>Rehabilitation and dredging of canal</t>
  </si>
  <si>
    <t>1 unit motor vehicle, passenger van</t>
  </si>
  <si>
    <t>Continuation of Improvement of Multi-Purpose Hall at Marede</t>
  </si>
  <si>
    <t>SUPPLY OF MATERIALS FOR THE PROPOSED BARANGAY ROAD CONCRETING AT PROPER MANDILIKIT, MANDILIKIT, ARGAO, CEBU</t>
  </si>
  <si>
    <t>Purchase of Materials for the Construction of Watersystem (GAD) for Barangays Linao,Jilabangan,Dalaupon,Saying,Pinalubngan,Tanlad, and Lag-it, Tayasan, Neg. Or.</t>
  </si>
  <si>
    <t>Supply and Delivery of Copier Paper, A4, Substance 20 for Bayawan NHS - Senior HS Department</t>
  </si>
  <si>
    <t>PURCHASE OF IT EQUIPMENTS, ACCESSORIES &amp; ETC. (sec. publication)</t>
  </si>
  <si>
    <t>SLOPE PROTECTION OF FARM TO MARKET ROAD (SECTOR 6) LOCATED AT BARANGAY SAN FRANCISCO NORTE, SUDIPEN, LA UNION</t>
  </si>
  <si>
    <t>SUPPLY, DELIVERY &amp; INSTALLATION OF SUBMERSIBLE PUMP</t>
  </si>
  <si>
    <t>20LA0345 Construction of One (1) Unit, One (1) Storey Four (4) Classroom School Building at Doroteo De Castro ES, Pantukan, Compostela Valley</t>
  </si>
  <si>
    <t>20LA0347 Construction of One (1) Unit, Two (2) Storey Four (4) Classroom Building at Nagas ES, Pantukan, Compostela Valley</t>
  </si>
  <si>
    <t>12 sack Rice and other items for Malnourish Pre-schooler children and pregnant women from 25 Barangay of the city of Dumaguete for CY 2020.</t>
  </si>
  <si>
    <t>Supply and Delivery of Various Monitoring Supplies</t>
  </si>
  <si>
    <t>1	pcs.	G.l Foot Valve 1"Ø, etc. - 005</t>
  </si>
  <si>
    <t>PR2020-07-040 - Office Equipment, Supplies and Consumables</t>
  </si>
  <si>
    <t>Construction/Rehab of MPP (Covered Court)</t>
  </si>
  <si>
    <t>SLAUGHTERHOUSE WASTE COMPOSTING FACILITY</t>
  </si>
  <si>
    <t>2020-07-999 "Procurement of Civil Works for the Rehabilitation of Bahay Pag-asa Development Center"</t>
  </si>
  <si>
    <t>Construction of Farm to Market Road with Slope Protection at Sitio 6, Brgy. Santiago</t>
  </si>
  <si>
    <t>2019-12-1246 "Procurement of Works for the Proposed Renovation of Provincial Capitol Lobby"</t>
  </si>
  <si>
    <t>Supply and Delivery of Two (2) Units Ambulance Re-bid</t>
  </si>
  <si>
    <t>Purchase of Seedlings for families with highest Incidence of Malnutrition,Botolan, Zambales</t>
  </si>
  <si>
    <t>Supply &amp; Delivery of 12 units Risograph Machine , Toner &amp; Master Roll for Rosario District Schools</t>
  </si>
  <si>
    <t>PROCUREMENT OF FLASH DRIVE</t>
  </si>
  <si>
    <t>Supply &amp; Delivery of Various School Supplies for Students of Municipality of Rosario, Cavite</t>
  </si>
  <si>
    <t>SUPPLY OF LABOR, MATERIALS AND EQUIPMENT FOR THE PROPOSED BARANGAY ROAD CONCRETING AT SITIO-TIPOSO, BARANGAY BULASA, ARGAO, CEBU</t>
  </si>
  <si>
    <t>MOOE 2020-01/KITAM-IS ELEMENTARY SCHOOL</t>
  </si>
  <si>
    <t>MAINTENANCE OF THREE PUBLIC CEMETERIES (Dapawan, Libertad and Anahao)</t>
  </si>
  <si>
    <t>RFQ No. 20-08-197 for PR No. 20-07-191</t>
  </si>
  <si>
    <t>REQUEST FOR QUOTATION OF SUPPLIES &amp; MATERIALS FOR THE REHABILITATION OF BARANGAY MULTI-PURPOSE HALL PHASE-III</t>
  </si>
  <si>
    <t>Supply &amp; Delivery of Books for Day Care Pupils of the Municipality of Rosario, Cavite</t>
  </si>
  <si>
    <t>REPAIR AND MAINTENANCE OF EMERGENCY VEHICLE</t>
  </si>
  <si>
    <t>Concrete Paving at Purok 1, Brgy. Cambarus</t>
  </si>
  <si>
    <t>Upgrading /Improvement of Municipal Road at Poblacion Brgy. Lydia</t>
  </si>
  <si>
    <t>Aircon Installation Services</t>
  </si>
  <si>
    <t>CONSTRUCTION OF  POTABLE WATER SYSTEM KIMBAROY TO PUROK 4</t>
  </si>
  <si>
    <t>UPGRADING OF LOCAL ACCESS ROAD ALONG INFRES ROAD SECTION</t>
  </si>
  <si>
    <t>RFQ No. 20-08-198 for PR No. 20-07-192</t>
  </si>
  <si>
    <t>UPLB-RQ-8-162-20-RES SUPPLY AND DELIVERY OF CHEMICALS &amp; CHEMICAL PRODUCTS FOR IPB</t>
  </si>
  <si>
    <t>2020-083, CONCRETTING OF FARM TO MARKET ROAD FROM PUROK 2 TO PUROK 7,  BALIKI, MIDSAYAP, COTABATO</t>
  </si>
  <si>
    <t>Supply, delivery and installation of multi-function full color inkjet printer for the printing and reproduction of self-learning modules of the Kidapawan City Division</t>
  </si>
  <si>
    <t>2020-091, CONCRETING OF PAVEMENT AND DRAINAGE CANAL AT POBLACION 5, MIDSAYAP,  COTABATO</t>
  </si>
  <si>
    <t>20OA0077: Construction/Rehabilitation of Water Supply/Septage and Sewerage/Rain Water Collectors – Rain Water Collectors in Public Facilities, Navotas City.</t>
  </si>
  <si>
    <t>Acquisition For Accounting Office</t>
  </si>
  <si>
    <t>Construction of Slope Protection at Sitio Casilagan, Brgy. Mabuti</t>
  </si>
  <si>
    <t>PROCUREMENT OF OFFICE APPLIANCES AND SUPPLIES</t>
  </si>
  <si>
    <t>PROCUREMENT OF VARIOUS I.T. EQUIPMENT</t>
  </si>
  <si>
    <t>Materials for District Metered Area - Water Meter Clustering Project</t>
  </si>
  <si>
    <t>Supply of Materials for the Improvement of Multi-Purpose Covered Court (24 meter Bleachers)</t>
  </si>
  <si>
    <t>Supply and Delivery of 50hp Vertical Submersible Pump &amp; Motor Assembly Stainless Steel ( G-056-0513-20 )</t>
  </si>
  <si>
    <t>Procurement of supply and delivery of Agricultural Supplies</t>
  </si>
  <si>
    <t>2020-095, SUPPLY AND DELIVERY OF VETERINARY MEDICINES TO PREVENT THE SPREAD OF AFRICAN  SWINE FEVER (ASF) AT LGU MIDSAYAP, COTABATO</t>
  </si>
  <si>
    <t>Food and Venue for the Conduct of Mindanao Stakeholders Consultation for the Updated VCA – Cacao ( Davao City) October 7-9, 2020</t>
  </si>
  <si>
    <t>PROCUREMENT OF OFFICE SUPPLIES (MAYOR'S OFFICE)</t>
  </si>
  <si>
    <t>PURCHASE OF GOODS FOR THE 10TH CYCLE SUPPLEMENTARY FEEDING PROGRAM IN TINGLAYAN, KALINGA</t>
  </si>
  <si>
    <t>PR 20-07-0091 Supply and Delivery of Common Laboratory Equipment’s, Quality and Assurance Section, DPWH-Bohol III, DEO</t>
  </si>
  <si>
    <t>Supply and Delivery of RFIQU Tactical Pants, Field Uniform Longsleeve and Polo Shirt</t>
  </si>
  <si>
    <t>20GDF0022 (RFQ) - Purchasing of Various Materials for the Repair and Maintenance of Various Vehicles and Equipment used in the Maintenance of National Roads under Cavite 1st DEO, Trece Martires City</t>
  </si>
  <si>
    <t>REHABILITATION AND IMPROVEMENT OF WATER SUPPLY DISTRIBUTION SYSTEM AT BRGY PALDIT, SISON PANGASINAN</t>
  </si>
  <si>
    <t>UPGRADING/ IMPROVEMENT OF LEGISLATIVE BUILDING, CAPITOL COMPOUND</t>
  </si>
  <si>
    <t>Procurement of Vehicle Tires</t>
  </si>
  <si>
    <t>ESTABLISHMENT OF LIVELIHOOD PROJECT(PIGGERY)-PHASE I</t>
  </si>
  <si>
    <t>OTHER SUPPLIES AND MATERIALS FOR THE REPRODUCTION OF SELF LEARNING MODULES</t>
  </si>
  <si>
    <t>Concrete Paving  at Sitio Pinabalunan, Brgy. Antipolo</t>
  </si>
  <si>
    <t>2020-0185-PR2020-0530 Rebid Procurement of Chilling Tub, Evisceration &amp; Inspection Table, Scalding &amp; Complete De-plucking Table, Chicken Feather Plucking Machine, Commercial Ice Maker Machine and Auto</t>
  </si>
  <si>
    <t>PERSONAL PROTECTIVE EQUIPMENT AND MEDICAL SUPPLIES FOR THE SCHOOL</t>
  </si>
  <si>
    <t>REP. OF SLIDING GLASS</t>
  </si>
  <si>
    <t>Improvement of Drainage Canal between Catao Cmpd. and Marcela Ignacio Residence at Purok Pidaawan, Loakan Proper, Baguio City</t>
  </si>
  <si>
    <t>IMPROVEMENT OF LIBERTAD WATERWORKS SYSTEM          (Purok 8, Poblacion Libertad, Mis.Or)</t>
  </si>
  <si>
    <t>procurement and delivery of construction supplies and materials for the repair/improvement of drainage canal</t>
  </si>
  <si>
    <t>Procurement and Delivery of 1 Unit 6-Wheeler Mini Dump Truck</t>
  </si>
  <si>
    <t>REPRODUCTION OF SELF LEARNING MODULES OF LAPASAN NATIONAL HIGH SCHOOL SHS DEPARTMENT</t>
  </si>
  <si>
    <t>SAN LORENZO ES CASH ADVANCE MOOE  for July and August 2020</t>
  </si>
  <si>
    <t>PROCUREMENT OF IT PARTS AND ACCESSORIES FOR THE INTERNET CONNECTION OF THE DIFFERENT OFFICES</t>
  </si>
  <si>
    <t>Aircon unit Split type 2.5HP</t>
  </si>
  <si>
    <t>Purchase of Fire Fighter Equipment</t>
  </si>
  <si>
    <t>INVITATION TO BID-SUPPLY OF MATERIALS-WATER SYSTEM</t>
  </si>
  <si>
    <t>2020-05-693 "Procurement of Goods for Repainting of Capitol Old and New Building (Exterior Surface)"</t>
  </si>
  <si>
    <t>Office Supplies for use of Listahanan 3 Validation Activities</t>
  </si>
  <si>
    <t>Construction Materials for DICT-MC3 STORE ROOM</t>
  </si>
  <si>
    <t>Food, Venue and Accommodation for the Conduct of Training of Trainers (TOT) on Extension Delivery System for Agricultural Extension Workers on October 12-16, 2020 at Butuan City</t>
  </si>
  <si>
    <t>OFFICE FURNITURES-INTENDED FOR DRMD OTHER OFFICE SUPPLIES</t>
  </si>
  <si>
    <t>Emergency Repair of DOST8 Conference Room</t>
  </si>
  <si>
    <t>PROPOSED REHABILITATION OF LINE CANAL AT PUROK 2, 3 &amp; 6</t>
  </si>
  <si>
    <t>Construction of 2.40 m X 1.80 m  2 - Comfort Room at Covered Court, Kipit, Labason, ZN.</t>
  </si>
  <si>
    <t>PROCUREMENT OF 1 UNIT AMBULANCE</t>
  </si>
  <si>
    <t>One (1) Lot – Hiring of Service Provider for the  Crafting of the Documents Necessary for the BSP Head Office’s Certification under the Building for Ecologically Responsive Design Excellence - Green B</t>
  </si>
  <si>
    <t>Construction of Cabasan Pallay Road</t>
  </si>
  <si>
    <t>IMPROVEMENT OF NIA ACCESS ROAD TO CARAA GROUND</t>
  </si>
  <si>
    <t>1 UNIT VACUUM CLEANER HEAVY DUTY</t>
  </si>
  <si>
    <t>EQUIPMENT RENTAL, RELOCATION SITE EARTH WORKS OF LOT 332-B-5 &amp; LOT 332-B-9, BARANGAY AYUNGON, LA CARLOTA  CITY</t>
  </si>
  <si>
    <t>Fuel for Road Graveling from boundary Buton to Luka</t>
  </si>
  <si>
    <t>DELIVERY/SUPPLY FOR THE IMPROVEMENT OF MULTI-PURPOSE HALL, DISTRICT 2, DAUIN.</t>
  </si>
  <si>
    <t>Supply and Delivery of Equipments for Criminology Laboratory (IC) Rebidding</t>
  </si>
  <si>
    <t>Supply and Delivery of Office Equipment for Municipal Engineering Office</t>
  </si>
  <si>
    <t>Purchase of 1 Unit Air Conditioner</t>
  </si>
  <si>
    <t>Supply and Delivery of Animals and Feeds</t>
  </si>
  <si>
    <t>PROCUREMENT OF VARIOUS CONSTRUCTION MATERIALS FOR THE CONSTRUCTION OF BOX CULVERT AT UPPER ALAS-AS BRGY.MASIAG BSK</t>
  </si>
  <si>
    <t>Supply and delivery of fuel and oil for the maintenance of barangay road at barangay Kauswagan, Matanao, Davao del Sur</t>
  </si>
  <si>
    <t>PROCUREMENT ON SUPPLY AND DELIVERY OF CSUCC APPLIANCES</t>
  </si>
  <si>
    <t>PROCUREMENT OF COMPUTER</t>
  </si>
  <si>
    <t>Office Equipment Parts and Accessories</t>
  </si>
  <si>
    <t>Procurement of Foodstuff (MTC Foodstuff)</t>
  </si>
  <si>
    <t>20GCH0015: Procurement of Diesel for use of Government Service Vehicles &amp; Equipment at DPWH-Pampanga 2nd DEO, San Antonio, Guagua, Pampanga (Maintenance Section for the 4th Quarter CY-2020)</t>
  </si>
  <si>
    <t>CONSTRUCTION OF PATHWAY, BALBALAN PROPER</t>
  </si>
  <si>
    <t>Acquisition For Waste</t>
  </si>
  <si>
    <t>20M0012-13 Procurement of Construction Materials Materials for the use various of Repair/Improvement in Marantao, Lanao del Sur</t>
  </si>
  <si>
    <t>PROCUREMENT ON SUPPLY AND DELIVERY OF YEARBOOK PRINTING</t>
  </si>
  <si>
    <t>Supply, Delivery &amp; Installation of Split Type Air Conditioner- Zamboanga Sibugay IMO</t>
  </si>
  <si>
    <t>Purchase of 1-unit Generator Set</t>
  </si>
  <si>
    <t>Supply and Delivery of variois Medical and Non-Medical Books</t>
  </si>
  <si>
    <t>HARDWARE MATERIALS</t>
  </si>
  <si>
    <t>REPAIR/CLEANING OF AIRCON AND MAINTENANCE OF MUNICIPAL SERVICE VEHICLE</t>
  </si>
  <si>
    <t>SUPPLY AND DELIVERY OF INFORMATION TECHNOLOGY (I,T.) EQUIPMENTS, OFFICE EQUIPMENTS, FURNITURE AND FIXTURES, OTHER PERIPHERALS AND CONSUMABLES</t>
  </si>
  <si>
    <t>Ozamiz City, Misamis Occidental HFEP 2019 Proposed New Construction of Labo MCP</t>
  </si>
  <si>
    <t>CONSTRUCTION OF WATER WORKS SYSTEM, SAN FRANCISCO</t>
  </si>
  <si>
    <t>One (1) Unit Computer Set with Complete Accessories</t>
  </si>
  <si>
    <t>PROCUREMENT OF FUEL (COVID19 PANDEMIC)</t>
  </si>
  <si>
    <t>SUPPLY, DELIVERY AND INSTALLATION OF COMMUNITY-BASED EARLY WARNING SIGNAGES</t>
  </si>
  <si>
    <t>PROCUREMENT ON SUPPLY AND DELIVERY OF FURNITURE AND FIXTURE</t>
  </si>
  <si>
    <t>Ozamiz City, Misamis Occidental HFEP 2019 Proposed New Construction of San Roque BHS</t>
  </si>
  <si>
    <t>PROCUREMENT OF COMMUNICATION EQUIPMENT</t>
  </si>
  <si>
    <t>IMPROVEMENT OF DRAINAGE SYSTEM - NARRA ST.</t>
  </si>
  <si>
    <t>REHABILITATION OF DRAINAGE SYSTEM</t>
  </si>
  <si>
    <t>Supply &amp; Delivery of Petroleum, Oil and Lubricants</t>
  </si>
  <si>
    <t>Supply, Delivery and Installation of Koppel Aircondition Parts for the Office of Admission</t>
  </si>
  <si>
    <t>PROCUREMENT ON SUPPLY AND DELIVERY KITCHENWARE FOR CTHM LABORATORY</t>
  </si>
  <si>
    <t>IMPROVEMENT OF BUSINESS CENTER BUILDING I &amp; II</t>
  </si>
  <si>
    <t>DELIVERY/SUPPLY FOR THE CONSTRUCTION OF COMFORT ROOM AT MAAYUNGTUBIG WHARF</t>
  </si>
  <si>
    <t>Supply and delivery with installation of Air-Cons for use in the newly constructed building of ISU Cabagan</t>
  </si>
  <si>
    <t>CONSTRUCTION OF 65LM SLOPE PROTECTION OF PUROK 3 PHASE II</t>
  </si>
  <si>
    <t>CONSTRUCTION OF FOOTPATH, CENTRO POBLACION</t>
  </si>
  <si>
    <t>SUPPLY AND DELIVERY  FOR THE PROCUREMENT  OF TWO COMPLETE SETS  4TB CCTV DIGITAL VIDEO  RECORDER (DVR)</t>
  </si>
  <si>
    <t>INSTALLED CCTV CAMERA</t>
  </si>
  <si>
    <t>20R002-03 Rental of Heavy Equipment for the use various of Repair/Improvement in Marantao, Lanao del Sur</t>
  </si>
  <si>
    <t>REPRODUCTION/RISOGRAPH OF FORMS (4 RMS. APPLICATION FORM)</t>
  </si>
  <si>
    <t>Purchase of Two Sets Hand Tractor with Tools and Complete Accessories</t>
  </si>
  <si>
    <t>PROCUREMENT OF SELF LEARNING MODULES (SLMs) FOR SENIOR HIGH SCHOOL STUDENTS OF VARIOUS PUBLIC SCHOOLS IN THE CITY OF DASMARIÑAS</t>
  </si>
  <si>
    <t>PROCUREMENT ON SUPPLY AND DELIVERY OF MUSICAL INSTRUMENT</t>
  </si>
  <si>
    <t>Construction of Water Pump and Gen. Set House</t>
  </si>
  <si>
    <t>S &amp; D of Session Table (SPO)</t>
  </si>
  <si>
    <t>63 LITERS DIESEL</t>
  </si>
  <si>
    <t>CONSTRUCTION OF LOCAL ACCESS ROAD (BRGY. BAGACAY WEST-PANSUD ROAD)</t>
  </si>
  <si>
    <t>Ozamiz City, Misamis Occidental HFEP 2019 Proposed New Construction of Liposong BHS</t>
  </si>
  <si>
    <t>Procurement of Digital Mobile X-Ray Machine</t>
  </si>
  <si>
    <t>Construction /  Installation of  Forty Two (42)  Units Street  Lightings</t>
  </si>
  <si>
    <t>Procurement of Materials for Improvement of Municipal Building</t>
  </si>
  <si>
    <t>Supply and Delivery of Materials for the Waterworks System in the Municipality of Dauis, Bohol.</t>
  </si>
  <si>
    <t>One (1) Unit Computer with Complete accessories and printer</t>
  </si>
  <si>
    <t>Supply and Delivery of Hardware Materials</t>
  </si>
  <si>
    <t>CONSTRUCTION OF WATER WORKS SYSTEM PUROK 6, HILLTOP</t>
  </si>
  <si>
    <t>Purchase of Office Equipment for Municipal Mayor's Office</t>
  </si>
  <si>
    <t>Brushing/Clearing of Mogao-Dominglay Singit-Poblacion-Caoayan-Baquero-Bulbulala Road</t>
  </si>
  <si>
    <t>CONCRETING OF BARANGAY NAZARETH ROAD SECTION</t>
  </si>
  <si>
    <t>Purchase of Two Sets Water Pump</t>
  </si>
  <si>
    <t>CONSTRUCTION OF TWO - STOREY BARANGAY HALL PHASE II</t>
  </si>
  <si>
    <t>MUNICIPAL COUNTERPART FOR THE CONSTRUCTION OF ISOLATION UNITS FOR 16 BARANGAYS (Procurement of Hardware Materials)</t>
  </si>
  <si>
    <t>PROCUREMENT ON SUPPLY AND DELIVERY OF COMMON USE SUPPLIES</t>
  </si>
  <si>
    <t>Supply and Delivery of Various Materials for the Concreting of Line Canal (along E. Alegado Street) (with Labor and Equipment rental).</t>
  </si>
  <si>
    <t>Rehabilitation/Improvement of Freedom Park (Phase I)</t>
  </si>
  <si>
    <t>One (1) unit Photocopier</t>
  </si>
  <si>
    <t>Supply and Delivery of Various Office Supplies intended for the Reproduction of Learning Modules of Don Carlos District I</t>
  </si>
  <si>
    <t>CONSTRUCTION OF DRAINAGE CANAL, TAWANG</t>
  </si>
  <si>
    <t>PROCUREMENT FOR MEDICAL EQUIPMENT P.R NO. 0719 SERIES 2020</t>
  </si>
  <si>
    <t>PROCUREMENT OF PRINTER</t>
  </si>
  <si>
    <t>Printing of Learning Modules</t>
  </si>
  <si>
    <t>Supply and Delivery of Fertilizers</t>
  </si>
  <si>
    <t>SUPPLY AND DELIVERY OF FUEL (GASOLINE AND DIESEL) FOR VARIOUS OFFICES</t>
  </si>
  <si>
    <t>Supply and delivery of office equipment for use in the BS Physics Laboratory of ISU Cabagan</t>
  </si>
  <si>
    <t>PROCUREMENT OF SELF LEARNING MODULES (SLMs) FOR KINDERGARTEN TO GRADE 10 STUDENTS OF VARIOUS PUBLIC SCHOOLS IN THE CITY OF DASMARIÑAS FOR THE FIRST QUARTER OF SCHOOL YEAR 2020-2021</t>
  </si>
  <si>
    <t>REHAB OF TUDELA PUBLIC MARKET WATER SYSTEM (sec. publication)</t>
  </si>
  <si>
    <t>RFQ FOR SCHOOL'S OFFICE SUPPLIES</t>
  </si>
  <si>
    <t>Construction of Sanitary Landfill, Brgy. Upper Katungal, Tacurong City</t>
  </si>
  <si>
    <t>SUPPLY AND DELIVERY OF ONE (1) UNIT VAN TYPE MULTICAB (5 SEATERS) FOR PERSONS WITH DISABILITY AFFAIRS OFFICE</t>
  </si>
  <si>
    <t>Printing Services Intended for the 2020 National Disaster Resilience Month Celebration</t>
  </si>
  <si>
    <t>CONSTRUCTION OF SOLAR LIGHTS</t>
  </si>
  <si>
    <t>Supply and delivery of Photographic Equipment with complete accessories for use in the CCJE of ISU Cabagan</t>
  </si>
  <si>
    <t>Supply, Delivery &amp; Installation of Outdoor Full Color LED &amp; Accessories</t>
  </si>
  <si>
    <t>CONSTRUCTION OF DRAINAGE CANAL LINING, SAN JULIAN</t>
  </si>
  <si>
    <t>Purchase of Riso Machine for Printing of Module</t>
  </si>
  <si>
    <t>Supply, Delivery and Installation of Addressable Fire Detection and Alarm System</t>
  </si>
  <si>
    <t>Medical and Disinfectant Supplies</t>
  </si>
  <si>
    <t>One (1) Unit Multicab (Van Type)</t>
  </si>
  <si>
    <t>DECLOGGING/REHABILITATION OF DRAINAGE CANAL</t>
  </si>
  <si>
    <t>Purchase of Fifteen Units Hose</t>
  </si>
  <si>
    <t>REHABILITATION OF BARANGAY ROADS AT SUMILAO AREA 2020</t>
  </si>
  <si>
    <t>Food, Venue and Accommodation for the Conduct of Assessment/Documentation of Convergence Initiative on August 24-28, 2020 in Butuan City</t>
  </si>
  <si>
    <t>Procurement of Heavy Duty Photocopier</t>
  </si>
  <si>
    <t>Progressive Construction of Multi-Purpose Building, City Hall Compound, Brgy. Poblacion, Tacurong City</t>
  </si>
  <si>
    <t>Concreting of Barangay Road Widening / Spillway Slope Protection</t>
  </si>
  <si>
    <t>RAPID DIAGNOSTIC TEST KIT</t>
  </si>
  <si>
    <t>Purchase of Construction  Materials</t>
  </si>
  <si>
    <t>CONSTRUCTION OF WATER WORKS SYSTEM PHASE 1, SAN PEDRO</t>
  </si>
  <si>
    <t>Supply and Delivery of Office IT Equipment to be used for different schools of the Municipality of Tabuelan, Cebu</t>
  </si>
  <si>
    <t>Supply and Delivery of Materials for Footbridge Construction at Sitio Sinatalan to Sitio Sumibang</t>
  </si>
  <si>
    <t>Construction of Barangay Road @ proper toward Cabugao, Brgy. San Rafael, Burdeos, Quezon</t>
  </si>
  <si>
    <t>Purchase of One Unit Chariot Motorcycle</t>
  </si>
  <si>
    <t>PURCHASE OF PHOTOCOPY MACHINE FOR TANAUAN SCHOOL OF ARTS AND TRADE (TSAT)</t>
  </si>
  <si>
    <t>SUPPLY OF LABOR AND MATERIALS FOR THE PROPOSED BARANGAY ROAD CONCRETING AT SITIO BATAHA, BARANGAY MANDILIKIT, ARGAO, CEBU</t>
  </si>
  <si>
    <t>CONSTRUCTION OF SLOPE PROTECTION, MASABLANG</t>
  </si>
  <si>
    <t>Procurement of One (1) Unit X-Ray Tube Assembly and One (1) Unit High Voltage Tank for CT Scan Compatible with GE Brightspeed Select Edge CT Scan, 8 Slice</t>
  </si>
  <si>
    <t>CONSTRUCTION OF MULTI PURPOSE CENTER/CONSTRUCTION OF MULTI PURPOSE BUILDING</t>
  </si>
  <si>
    <t>RHU Medical Supplies</t>
  </si>
  <si>
    <t>Supply and Installation of 5100 Fixed Volleyball Post for Volleyball Post and Net, City of Passi Arena, Passi City, Iloilo/CSDO.</t>
  </si>
  <si>
    <t>Improvement of Multi-Purpose Hall (Extension &amp; CR) - Mambug</t>
  </si>
  <si>
    <t>ILD-SF-20-3029: Procurement of Agricultural Supplies to be used for the Management and Control of Fall Armyworm (FAW) Infestation</t>
  </si>
  <si>
    <t>CONSTRUCTION OF MULTI PURPOSE BUILDING</t>
  </si>
  <si>
    <t>CONSTRUCTION OF DRAINAGE SYSTEM PUROK 8</t>
  </si>
  <si>
    <t>CONSTRUCTION OF BARANGAY OUTPOST</t>
  </si>
  <si>
    <t>Procurement Services for Event Coordinator for Hardin sa Panimalay (The green Heart Catalyst Program)/CIEPO</t>
  </si>
  <si>
    <t>MUSICAL INSTRUMENTS</t>
  </si>
  <si>
    <t>Supply &amp; Delivery of Textbooks &amp; Instructional Materials</t>
  </si>
  <si>
    <t>SUPPLY AND DELIVERY OF CONSTRUCTION SUPPLIES AND MATERIALS FOR ENVIRONMENTAL HEALTH AND SANITATION PROGRAM</t>
  </si>
  <si>
    <t>Installation of 2 Units Contamination Chamber, Waiting Area &amp; Concrete Stairs</t>
  </si>
  <si>
    <t>PURCHASE OF AUTO SUPPLIES FOR THE REGULAR MAINTENANCE OF 17 MPVs</t>
  </si>
  <si>
    <t>SUPPLY AND DELIVERY OF 223 VERO CELL VIALS FOR THE CITY HEALTH OFFICE</t>
  </si>
  <si>
    <t>Construction of Material Recovery Facility (15 units)</t>
  </si>
  <si>
    <t>Fabrication of 8 units Triple Portable Stainless Sink</t>
  </si>
  <si>
    <t>CONSTRUCTION OF WATER WORKS SYSTEM, TALOCTOC</t>
  </si>
  <si>
    <t>Purchase of Office Equipment’s for DEP-ED NORTH</t>
  </si>
  <si>
    <t>PROCUREMENT OF FOGGING MACHINE</t>
  </si>
  <si>
    <t>CONSTRUCTION OF WELCOME ARC</t>
  </si>
  <si>
    <t>SUPPLY AND DELIVERY OF 55 SACKS WELL - MILLED RICE (50kg) FOR NATIONAL TUBERCULOSIS CONTROL PROGRAM</t>
  </si>
  <si>
    <t>Construction/ Rehabilitation of Barangay Road @ Sitio Daungan, Brgy. San Rafael, Burdeos, Quezon</t>
  </si>
  <si>
    <t>PROCUREMENT OF HFEP EQUIPMENT</t>
  </si>
  <si>
    <t>Supply and delivery of Office and School Supplies for First Quarter Procurement</t>
  </si>
  <si>
    <t>Procurement of Various Supplies &amp; Material</t>
  </si>
  <si>
    <t>Procurement of Materials for Building Maintenance</t>
  </si>
  <si>
    <t>Labor Pakyaw and Equipment for Footbridge Construction at Sitio Sinatalan to Sitio Sumibang</t>
  </si>
  <si>
    <t>UPLB-S-050-08-20, SUPPLY AND DELIVERY OF  BOOKS FOR UNIVERSITY LIBRARY</t>
  </si>
  <si>
    <t>School Supplies for Learning Materials</t>
  </si>
  <si>
    <t>Supply and Delivery of Garbage Bins for Solid Waste Management Program in the Municipality</t>
  </si>
  <si>
    <t>Construction of Multi-Purpose Bldg. (Covered Court) in Brgy. Campokpok, Tabango, Leyte, ABC PHP4,989,598.41</t>
  </si>
  <si>
    <t>Improvement/Construction of FMR at DAQ</t>
  </si>
  <si>
    <t>Purchase of materials for the construction of drainage canal</t>
  </si>
  <si>
    <t>20OA0078: Repair/Maintenance of DPWH Building, Malabon-Navotas District Engineering Office, Navotas City.</t>
  </si>
  <si>
    <t>Supply and Delivery of Construction Materials for Routine Maintenance (Construction Materials / Hand Tools ) (Roads) (CY-2020-3rd Quarter).</t>
  </si>
  <si>
    <t>Books</t>
  </si>
  <si>
    <t>CONSTRUCTION OF EVACUATION CENTER, PHASE 11</t>
  </si>
  <si>
    <t>Potable Water System - Mambug</t>
  </si>
  <si>
    <t>Supply of Risograph Machine</t>
  </si>
  <si>
    <t>Constructions Materials</t>
  </si>
  <si>
    <t>Invitation to Bid for the Construction of Public Market</t>
  </si>
  <si>
    <t>CONCRETING OF SITIO COGON &amp; TUGAS PATHWAY</t>
  </si>
  <si>
    <t>MEALS (FOR POPULATION AND CENSUS TRAINING)</t>
  </si>
  <si>
    <t>CONTINUATION OF SLOPE PROTECTION , LOWER TANAP, BALBALAN PROPER</t>
  </si>
  <si>
    <t>PROCUREMENT OF 1 UNIT COMPUTER DESKTOP SET W/ PRINTER AND SPEAKER FOR THE OFFICE OF THE SANGGUNIANG BAYAN USAGE</t>
  </si>
  <si>
    <t>IMPROVEMENT OF WATER SYSTEM</t>
  </si>
  <si>
    <t>Construction of Integrated Bus and Jeepney Terminal at Poblacion, Sapang Dalaga, Misamis Occidental</t>
  </si>
  <si>
    <t>Materials for Repair/Maint. - Brgy. Road</t>
  </si>
  <si>
    <t>Contract ID: 20KH0048 Construction of Classrooms: 2STY4CL Iponan National High School,Cagayan de Oro City, Misamis Oriental</t>
  </si>
  <si>
    <t>PURCHASE OF COMMUNICATION EQUIPMENT FOR MDRRMO &amp; COMCENTER</t>
  </si>
  <si>
    <t>Medicine and Vaccine</t>
  </si>
  <si>
    <t>Purchase of Medicine for the Rural Health Unit of LGU-Dagohoy</t>
  </si>
  <si>
    <t>Supply and Delivery of Item 302 (SSI) Bituminous Tack Coat (Rapid Curing) for Routine Maintenance (CY-2020-3rd Quarter).</t>
  </si>
  <si>
    <t>Purchase of Indoor/Outdoor/Curve LED Wall for the use of the City Government of Imus</t>
  </si>
  <si>
    <t>request for quotation</t>
  </si>
  <si>
    <t>Concreting of Road in Brgy. Buenavista, Palompon, Leyte, ABC PHP3,637,869.68</t>
  </si>
  <si>
    <t>Supply and Delivery of Office Equipment for Municipal Social Welfare and Development Office</t>
  </si>
  <si>
    <t>Payment of books to be use in DLSP Library.</t>
  </si>
  <si>
    <t>Diesel (Land Preparation/Establishment of Permanent Evacuation) – Brgy. Poblacion</t>
  </si>
  <si>
    <t>REPOSTING: REPAIR AND MAINTENANCE OF COLLEGE FACILITIES (MAIN WATER SUPPLY)</t>
  </si>
  <si>
    <t>Construction Projects A</t>
  </si>
  <si>
    <t>Supply and Delivery of Asphalt Cold Mix for Routine Maintenance (CY-2020-3rd Quarter).</t>
  </si>
  <si>
    <t>20OA0080: Construction (Completion) of Multi-purpose Building, Brgy. Panghulo, Malabon City.</t>
  </si>
  <si>
    <t>20OA0079: Construction of Box Culvert along Gov. W. Pascual Ave. (from MH del Pilar St. to Maria Clara St.), Malabon City.</t>
  </si>
  <si>
    <t>Supply and Delivery of Asphalt Sealant (60/70) for Routine Maintenance (CY-2020-3rd Quarter).</t>
  </si>
  <si>
    <t>REHABILITATION OF MULTI PURPOSE BUILDING</t>
  </si>
  <si>
    <t>INVITATION TO BID FOR THE PROCUREMENT OF FUEL FOR MAYOR’S OFFICE USE</t>
  </si>
  <si>
    <t>Purchase of ICT Equipment</t>
  </si>
  <si>
    <t>AMBULANCE REPAIR</t>
  </si>
  <si>
    <t>INVITATION TO BID FOR THE PROCUREMENT OF FOOD SUPPLIES FOR PROVISION OF FOOD ASSISTANCE TO INDIGENT FAMILY</t>
  </si>
  <si>
    <t>Procurement of 3 units Grasscutter to be used for Barangay Lawis, Balasan, Iloilo</t>
  </si>
  <si>
    <t>Construction of Water System in Brgy. Nebga, Abuyog, Leyte, ABC PHP4,278,091.47</t>
  </si>
  <si>
    <t>PURCHASE OF BONDPAPER FOR THE PRODUCTION OF THE INSTRUCTIONAL MATERIALS OF TANAUAN II DISTRICT</t>
  </si>
  <si>
    <t>PROCUREMENT OF FAMILY PLANNING KITS</t>
  </si>
  <si>
    <t>CONCRETING OF PORTION ANGGA ROAD (FARM TO MARKET ROAD)</t>
  </si>
  <si>
    <t>PROPOSED INSTALLATION OF ONE HUNDRED SEVEN (107) UNITS STREETLIGHTS AT SITIO COBONG, TAN-AWAN, OSLOB, CEBU</t>
  </si>
  <si>
    <t>Supply of Fuel for Various Offices (3rd Qtr.)</t>
  </si>
  <si>
    <t>PROCUREMENT OF THE CONTINUATION OF THE CONTRUCTION OF 2ND FLOOR OF COMMERCIAL CENTER (ROBINSON’S PLACE) LOCATED AT AURORA, ALICIA, ISABELA.</t>
  </si>
  <si>
    <t>Heavy Duty Printer Intended for DRMD Other Office Supplies</t>
  </si>
  <si>
    <t>PROCUREMENT OF HOUSEKEEPING SUPPLIES ITB No. 2020-29</t>
  </si>
  <si>
    <t>Purchase of Temperature Disinfection Kiosk and  Personal Protective Equipment.</t>
  </si>
  <si>
    <t>Supply &amp; Delivery of HP Toner for General use of this District for CY-2020 .</t>
  </si>
  <si>
    <t>PROCUREMENT OF THE UPGRADING AND IMPROVEMENT OF LOCAL ACCESS ROAD OF  BARANGAY LINGLINGAY-MARINIT SALVACION ALICIA, ISABELA</t>
  </si>
  <si>
    <t>2019-06-015</t>
  </si>
  <si>
    <t>Supply and delivery of materials for the repair/rehab of barangay hall at barangay San Miguel, Matanao, Davao del Sur</t>
  </si>
  <si>
    <t>PROPOSED INSTALLATION OF EIGHTY-FOUR (84) UNITS STREETLIGHTS AT SITIO CAMUGTAS, TAN-AWAN, OSLOB, CEBU</t>
  </si>
  <si>
    <t>PROPOSED INSTALLATION OF EIGHTY-FOUR (84) UNITS STREETLIGHTS AT SITIO CANGCUAY, TAN-AWAN, OSLOB, CEBU</t>
  </si>
  <si>
    <t>Concreting of Road in Brgy. Sta. Fe, Abuyog, Leyte, ABC PHP3,264,650.15</t>
  </si>
  <si>
    <t>Supply and Delivery of Asphalt Sealant (60/70) for Bridges for Routine Maintenance (CY-2020-3rd Quarter).</t>
  </si>
  <si>
    <t>Supply and Delivery of Equipment / Equipment Accessories and Services for the use of MMIIDEO for Various National Bridges.</t>
  </si>
  <si>
    <t>Accommodation and Catering Services Intended for DRMD Monthly Meetings</t>
  </si>
  <si>
    <t>INVITATION TO BID FOR THE FABRICATION AND DELIVERY OF DETACHABLE STAGE AT DELA CRUZ AUDITORUIM, BARANGAY POBLACION, LINGAYEN, PANGASINAN</t>
  </si>
  <si>
    <t>2500	ltr.	Diesel, etc. PR # 639-20</t>
  </si>
  <si>
    <t>REPAIR AND MAINTENANCE</t>
  </si>
  <si>
    <t>Procurement of Item 201</t>
  </si>
  <si>
    <t>Printing Services and Delivery of Modules</t>
  </si>
  <si>
    <t>Purchase of Medical and Laboratory Supplies for the Northern Samar Provincial Hospital Barangay Acacia Catarman, Northern Samar</t>
  </si>
  <si>
    <t>EXPANSION / REHABILITATION OF KALAHI BUILDING</t>
  </si>
  <si>
    <t>Supply and delivery of materials for the repair/rehab of multipurpose building at barangay San Miguel, Matanao, Davao del Sur</t>
  </si>
  <si>
    <t>PROCUREMENT OF VARIOUS OFFICE SUPPLIES, CLEANING EQUIPMENT SUPPLIES AND COMPUTER SUPPLIES (3RD &amp; 4TH QUARTER CONSOLIDATED 2020) (BY LOT), LGU, MALAYBALAY CITY.</t>
  </si>
  <si>
    <t xml:space="preserve">Furnishing and Delivery of IT Equipments - eNGAS / eBudget Server and File Storage for information  and  Communication Technology - Office the District Engineer Metro Manila 2nd District Engineering		</t>
  </si>
  <si>
    <t>OTHER SUPPLIES JHS</t>
  </si>
  <si>
    <t>Youth Month Program</t>
  </si>
  <si>
    <t>Supply &amp; delivery of various medicines</t>
  </si>
  <si>
    <t>PR # 2020-07-148 - Supply and Delivery of Consumable Supplies to be used at Electrical Unit, Administrative Section and ODE</t>
  </si>
  <si>
    <t>Construction of Multipurpose Drying Pavement</t>
  </si>
  <si>
    <t>Completion of Ecopark Perimeter Fence - Sitio Kape, Bitoon Lot B, C &amp; D</t>
  </si>
  <si>
    <t>Procurement of Various Medical Supplies for COVID-19 Prevention</t>
  </si>
  <si>
    <t>Procurement of Various Supplies</t>
  </si>
  <si>
    <t>Purchase &amp; Delivery of Medicines for the 3rd Quarter 2020</t>
  </si>
  <si>
    <t>SUBM#2020 -08 - 08 -  To purchase materials for use in repainting of Kilometer Post, Guardrails, Road Right of Way Markers, Road Signages and other safety devices along National Roads within the Negro</t>
  </si>
  <si>
    <t>Procurement of Various IT Equipment-07-004(F)PAO</t>
  </si>
  <si>
    <t>Procurement of 2 Units Dosing Pump,(Blue-White)Model: C-630P-230VAC, 2 pcs. Gear Box Assembly,(Blue-White Part Model:C-630P-230VAC, and 2 pcs. Dosing Pump Parts, Diaphragm (Vintage Control) Model: G14</t>
  </si>
  <si>
    <t>Purchase and Delivery of Furniture and Fixtures (GCH)</t>
  </si>
  <si>
    <t>Duplicator Machine</t>
  </si>
  <si>
    <t>SUPPLIES FOR MODULES CLASS</t>
  </si>
  <si>
    <t>Purchase of Ambulance San Remigio</t>
  </si>
  <si>
    <t>10 pcs. Record book (150 leaves)</t>
  </si>
  <si>
    <t>Provision of Furnitures and Fixtures and Construction of Kitchen and Barracks for Sibunag Police Station</t>
  </si>
  <si>
    <t>Procurement of Office supplies</t>
  </si>
  <si>
    <t>Procurement of Various Housekeeping Supplies-07-008(AD)PBO</t>
  </si>
  <si>
    <t>Procurement of Various Housekeeping Supplies-07-036(P)PSWDO</t>
  </si>
  <si>
    <t>Rehabilitation of Comfort Room at 2nd Floor RHU BLDG.</t>
  </si>
  <si>
    <t>Food, Venue and Accommodation for the Conduct of Partners forum Cum Situation Analysis Workshop on Mainstreaming I-REAP to Inter-Agency Convergence in Butuan City on Sept. 15 – 17, 2020 (2nd Batch)</t>
  </si>
  <si>
    <t>Installation and Rehabilitation of Street Lights</t>
  </si>
  <si>
    <t>Improvement of Multi-Purpose Pavement</t>
  </si>
  <si>
    <t>PURCHASE OF BRAND NEW AMBULANCE AND MEDICAL EQUIPMENT</t>
  </si>
  <si>
    <t>Procurement of Various Drugs and Medicines for QIP</t>
  </si>
  <si>
    <t>Procurement of Various Construction Supplies and Materials-07-436(O)PEO</t>
  </si>
  <si>
    <t>Procurement of Various Office Supplies-07-003(F)PAO</t>
  </si>
  <si>
    <t>PR # 2020-07-153 - Supply and Delivery of Office Supplies (Data Filer) to be used for filing of documents for CY 2020 at DPWH-MOFDEO</t>
  </si>
  <si>
    <t>PROCUREMENT OF SUPPLY AND DELIVER OF DRUGS AND MEDICINES</t>
  </si>
  <si>
    <t>Office supplies for the 3RD quarter of CY 2020.</t>
  </si>
  <si>
    <t>Procurement of Various Office Supplies-07-009(AD)PBO</t>
  </si>
  <si>
    <t>Supply and Delivery of Various Medicines and Medical Supplies</t>
  </si>
  <si>
    <t>Purchase Materials for the Improvement of BPLK</t>
  </si>
  <si>
    <t>Construction of Additional Residual Containment Area - Sitio Kape, Bitoon Lot B, C &amp; D</t>
  </si>
  <si>
    <t>1. IT Equipment (Server Computer)/BPLO 2. Office Equipment (Desktop Computer w/ Complete Accessories)/City Administrative Office</t>
  </si>
  <si>
    <t>LUC-AMPE 2020</t>
  </si>
  <si>
    <t>INVITATION TO BID FOR THE PROCUREMENT OF CATERING SERVICES FOR VARIOUS OFFICES</t>
  </si>
  <si>
    <t>20GGF0023 – Procurement of One (1) Unit Laptop, Five (5) Units Desktop Computer and Three (3) Units Ups (As per Approved Specifications) for use in the Planning and Design Section, DPWH Iloilo 1st Dis</t>
  </si>
  <si>
    <t>Procurement of Live Animals-07-077(M)OPAG</t>
  </si>
  <si>
    <t>Construction Equipment</t>
  </si>
  <si>
    <t>Procurement of Various IT Equipment-07-006(F)PAO</t>
  </si>
  <si>
    <t>Procurement of Live Animals-07-067(M)OPAG</t>
  </si>
  <si>
    <t>CONSTRUCTION OF LINE CANAL W/ CONCRETE COVER</t>
  </si>
  <si>
    <t>(PDRRMO) INVITATION TO BID FOR THE SUPPLY AND DELIVERY OF IRON SYRUPS/DROPS/TABLETS</t>
  </si>
  <si>
    <t>Improvement of Mayor's Office Extension</t>
  </si>
  <si>
    <t>Invitation to Bid for the Excavation, Backfilling, Compaction, Pavement Demolition and Restoration of the Proposed Rehabilitation of Old Distribution Main Line of City Proper &amp; Villafor #1 Pumping Sta</t>
  </si>
  <si>
    <t>Reconstruction of School Entrance Gate (Alilem National High School)</t>
  </si>
  <si>
    <t>PROCUREMENT OF CASSAVA DIGGER (FOR CALIDAFA BUB 2015)</t>
  </si>
  <si>
    <t>Procurement of Medical Supplies-07-072(M)OPAG</t>
  </si>
  <si>
    <t>PURCHASE OF RESCUE PROTECTIVE GEAR</t>
  </si>
  <si>
    <t>PAINTING MATERIALS FOR RO TOWER</t>
  </si>
  <si>
    <t>PBD OF VETERINARY SUPPLIES AND BIOLOGICS USE FOR AGRI-OFFICE</t>
  </si>
  <si>
    <t>Vehicle Repair and Maintenance - Purchase of 2 pcs. Fuel Injector - Duero, Bohol</t>
  </si>
  <si>
    <t>“SUPPLY AND DELIVERY OF OFFICE FURNITURE AND ICT EQUIPMENT”</t>
  </si>
  <si>
    <t>Procurement of Various Air Conditioning-07-120(Q)</t>
  </si>
  <si>
    <t>Purchase of BDRRMC Equipments</t>
  </si>
  <si>
    <t>(PENARO) INVITATION TO BID FOR THE SUPPLY, DELIVERY &amp; PRINTING OF DELIVERY RECEIPTS, TRANSPORT SLIPS AND SIGN BOARDS FOR THE  PROVINCIAL ENVIRONMENT &amp; NATURAL RESOURCES OFFICE--366,000.00</t>
  </si>
  <si>
    <t>Purchase of photocopier (Heavy Duty)</t>
  </si>
  <si>
    <t>SUPPLY OF MATERIALS FOR THE COMPLETION OF 1-UNIT-2-CLASSROOM SCHOOL BUILDING AT SITIO-MALALAG, BARANGAY UBAUB, ARGAO, CEBU</t>
  </si>
  <si>
    <t>Procurement of Various IT Equipment-07-068(M)OPAG</t>
  </si>
  <si>
    <t>Procurement of materials for construction of Warehouse at Provincial Fishery Office, Agusan Del Sur</t>
  </si>
  <si>
    <t>Repair and Maintenance of Motorcycle (KAWASAKI ROUSER) (PNP)</t>
  </si>
  <si>
    <t>Purchase of Office Supply (Printer Ink)</t>
  </si>
  <si>
    <t>Supply of Materials for Community Food Bank Facility</t>
  </si>
  <si>
    <t>Purchase of Agricultural Equipment for the Provincial Agriculture Office/ Provincial Research at Switch, RM, Zamboanga del Sur</t>
  </si>
  <si>
    <t>Vehicle Repair and Maintenance - Purchase of Supplies and Materials - Duero, Bohol</t>
  </si>
  <si>
    <t>Heavy Duty Storage Tub (Small, Medium &amp; Large)</t>
  </si>
  <si>
    <t>Supply and delivery of Office/Janitorial Supplies and Equipment se for Public Employeent Service Office</t>
  </si>
  <si>
    <t>Food, Venue and Accommodation for the Conduct of Technical Briefing on Care, Maintenance and Processing of Cacao - (3 batches) from Surigao Sur &amp; Norte and Agusan del No</t>
  </si>
  <si>
    <t>Procurement of Various General Merchandise-07-078(M)OPAG</t>
  </si>
  <si>
    <t>Supply and Delivery of Office Equipment for PDAO</t>
  </si>
  <si>
    <t>Procurement of Diesel Fuel -07-428(A)PGO</t>
  </si>
  <si>
    <t>Procurement of Power Generation-07-073(M)OPAG</t>
  </si>
  <si>
    <t>SUPPLY AND DELIVERY OF BRAND NEW SERVICE UTILITY VAN  INTENDED FOR MUNICIPAL ENGINEERING OFFICE OF INFANTA, QUEZON</t>
  </si>
  <si>
    <t>20FH0100 - CONSTRUCTION OF TWO (2) STOREY SIX (6) CLASSROOM (7X9) SENIOR HIGH SCHOOL BUILDING, TINAGO NATIONAL HIGH SCHOOL, VIGA, CATANDUANES</t>
  </si>
  <si>
    <t>REHABILITATION OF BARANGAY BASKETBALL COURT, DALUPA</t>
  </si>
  <si>
    <t>Supply and Delivery of External Hard Drive, Flash Drive, Router and UPS</t>
  </si>
  <si>
    <t>5 Units HDMI to VGA Converter, 3 Units Portable Wifi Router &amp; 12 Units Wireless Speaker</t>
  </si>
  <si>
    <t>20GME0060(Rebid) - Supply &amp; Delivery of Const. Materials for use in  Repair/Maintenance of National Roads within Sarangani District Engineering Office (Thermoplastic Pavement Markings), Sarangani Prov</t>
  </si>
  <si>
    <t>Procurement of Various Hardware Supplies-07-079(M)OPAG</t>
  </si>
  <si>
    <t>PURCHASE OF MATERIALS FOR CONTRUCTION OF OLD BARANGAY HALL</t>
  </si>
  <si>
    <t>SUPPLY AND DELIVERY OF SLIDING WINDOW AND SLIDING DOOR FOR BFP OFFICE</t>
  </si>
  <si>
    <t>Procurement of Diesel Fuel -07-426(A)PGO</t>
  </si>
  <si>
    <t>UPGRADING OF PERIMETER FENCE OF CIRIACO P. TINGA ELEMENTARY SCHOOL</t>
  </si>
  <si>
    <t>PROCUREMENT OF OFFICE SUPPLIES AND DEVICES INTENDED FOR THE VARIOUS OFFICES OF LGU-INFANTA, QUEZON</t>
  </si>
  <si>
    <t>20GME0044(Rebid) - Supply &amp; Delivery of Lubricants for use of various  Vehicles of DPWH-Sarangani District Engineering Office Contract, Sarangani Province</t>
  </si>
  <si>
    <t>2020-07-1116 "Procurement of Pipes for Transmission and Distribution, Solar Pumps for Water System"</t>
  </si>
  <si>
    <t>RIPRAP OF BARANGAY ROAD CANAL (PHASE 2)</t>
  </si>
  <si>
    <t>JGE SCHOOL BUILDING ROOF IMPROVEMENT</t>
  </si>
  <si>
    <t>“SUPPLY AND DELIVERY OF TIRES FOR HEAVY EQUIPMENT”</t>
  </si>
  <si>
    <t>CONSTRUCTION OF DRAINAGE CANAL, P3, RAMIREZ ST.,  BULANAO NORTE</t>
  </si>
  <si>
    <t>SUPPLY AND DELIVERY OF MEALS FOR THE PROJECT "PROVISION OF ASSISTANCE TO VICTIMS OF DISASTER (HOT MEALS)"</t>
  </si>
  <si>
    <t>PURCHASE OF ONE UNIT RESCUE/ MULTI-PURPOSE VEHICLE OF BRGY. LINAON, CAUAYAN. NEGROS OCCIDENTAL</t>
  </si>
  <si>
    <t>(PIHO) INVITATION TO BID FOR THE SUPPLY AND DELIVERY OF ONE (1) SET REFRIGERATED CENTRIFUGE</t>
  </si>
  <si>
    <t>SUPPLY OF ADDITIONAL MATERIALS OF ROOF FRAMING FOR THE COVERED COURT OF BRGY. SAN ISIDRO, SAN MIGUEL, Z.D.S</t>
  </si>
  <si>
    <t>PURCHASE OF ONE UNIT RESCUE/ MULTI-PURPOSE VEHICLE OF BRGY. ISIO, CAUAYAN. NEGROS OCCIDENTAL</t>
  </si>
  <si>
    <t>20FH0096 - REPAIR/MAINTENANCE OF DPWH BUILDING, MAIN OFFICE BUILDING, CATANDUANES DEO, VIRAC, CATANDUANES</t>
  </si>
  <si>
    <t>RESCUE OPERATION EQUIPMENT</t>
  </si>
  <si>
    <t>CONSTRUCTION OF DEEPWELL, MADOPDOP, LACNOG</t>
  </si>
  <si>
    <t>PURCHASE OF MATERIALS FOR THE COMPLETION OF SUBANEN BUILDING FOR COVID-19 ISOLATION FACILITY</t>
  </si>
  <si>
    <t>1. One (1) Job Repair of Toyota Hilux with plate no. SJU-399/CMO-Motorpool 2. Batteries of Forland and FAW trucks for garbage collection of the City/CWMO 3. Spareparts of SJU-381 Toyota 2010 Tamaraw F</t>
  </si>
  <si>
    <t>Procurement of Various General Merchandise-07-443(A)PGO</t>
  </si>
  <si>
    <t>Disinfectant at the Residual Containment Area (RCA)/CWMO</t>
  </si>
  <si>
    <t>Procurement of Spare Parts-07-441(O)PEO</t>
  </si>
  <si>
    <t>Construction of Line Canal</t>
  </si>
  <si>
    <t>20GGJ0058 Request for Quotation</t>
  </si>
  <si>
    <t>PURCHASE OF CONSTRUCTION MATERIALS AND SUPPLIES FOR USE OF CONSTRUCTION OF SHALLOW WELLS/DEEP WELLS/REPAIR &amp; MAINTENANCE OF VARIOUS ARTESIAN WELLS/REPLACEMENT OF JETMATIC PUMPS,SILAY CITY.	(REBID)</t>
  </si>
  <si>
    <t>Purchase School Supply (from SK Fund)</t>
  </si>
  <si>
    <t>(PIHO-BDH) INVITATION TO BID FOR THE SUPPLY AND DELIVERY OF VARIOUS HOSPITAL EQUIPMENT</t>
  </si>
  <si>
    <t>SUPPLY OF ADDITIONAL MATERIALS OF ROOF FRAMING FOR THE COVERED COURT OF BRGY. LAPERIAN, SAN MIGUEL, Z.D.S</t>
  </si>
  <si>
    <t>IMPROVEMENT OF MATERIAL RECOVERY FACILITY (MRF)</t>
  </si>
  <si>
    <t>Procurement of Various Hardware Supplies-07-075(M)OPAG</t>
  </si>
  <si>
    <t>20GME0066 - Supply &amp; Delivery of Garments for use in  Maintenance Section, Sarangani District Engineering Office, Sarangani Province</t>
  </si>
  <si>
    <t>SUPPLY AND DELIVERY OF PLAQUES FOR THE CONDUCT OF BFP ANNIVERSARY CELEBRATION OF BFP REGION 1, CY 2020</t>
  </si>
  <si>
    <t>SUBM#2020 -08 - 07 - To purchase Personal Equipment for use in Lakbay Alalay Tent along National Roads within the Negros Occidental 2nd District Engineering Office, Binalbagan, Negros Occidental</t>
  </si>
  <si>
    <t>CONSTRUCTION OF MARFUWANG FOOTPATH, BELONG MAN-UBAL</t>
  </si>
  <si>
    <t>20GME0065 - Supply &amp; Delivery of various Vehicle Parts for use  in Repair of Stake Truck (H2-254) at Sarangani District Engineering Office, Sarangani Province</t>
  </si>
  <si>
    <t>20GME0064 - Supply &amp; Delivery of Office Furniture for use in  Construction Section, Alabel, Sarangani Province</t>
  </si>
  <si>
    <t>Procurement of Various Hardware Supplies-07-074(M)OPAG</t>
  </si>
  <si>
    <t>UPLB-S-030-08-20 REBID, PROCUREMENT OF SIPHONING SERVICES OF SEPTIC TANKS FOR UPLB DORMITORIES (NEW DORMITORY, VETMED DORMITORY, FORESTRY RESIDENCE HALL, NEW FORESTRY RESIDENCE HALL) REBID</t>
  </si>
  <si>
    <t>VARIOUS INFRASTRUCTURE PROJECTS</t>
  </si>
  <si>
    <t>(GO-Pjail) INVITATION TO BID FOR THE SUPPLY &amp; DELIVERY OF1 UNIT LAPTOP   FOR THE  GOVERNOR’S OFFICE – PROVINCIAL JAIL--55,000.00</t>
  </si>
  <si>
    <t>Procurement of Catering Services-07-082(M)OPAG</t>
  </si>
  <si>
    <t>MATERIALS FOR RIPRAPPING/ RETAINING  WALL</t>
  </si>
  <si>
    <t>(PENARO) INVITATION TO BID FOR THE SUPPLY, DELIVERY &amp; FABRICATION OF 30 UNITS STORAGE BINS FOR THE  PROVINCIAL ENVIRONMENT &amp; NATURAL RESOURCES OFFICE--450,000.00</t>
  </si>
  <si>
    <t>Supply and Delivery of  5.56MM (SS109) AMMUNITION (August 2020)</t>
  </si>
  <si>
    <t>Procurement of Various Housekeeping Supplies-07-005(F)PAO</t>
  </si>
  <si>
    <t>REHABILITATION OF EVACUATION CENTER</t>
  </si>
  <si>
    <t>“SUPPLY AND DELIVERY OF CONSTRUCTION SUPPLIES AND MATERIALS for the Repair and Improvement of Drainage Canal”</t>
  </si>
  <si>
    <t>PR # 2020-07-147 - Supply and Delivery of Janitorial Supplies to be used at DPWH-MOFDEO</t>
  </si>
  <si>
    <t>Food, Venue and Accommodation for the Conduct of Partners forum Cum Situation Analysis Workshop on Mainstreaming I-REAP to Inter-Agency Convergence in Tagum City on Sept. 8-10, 2020 (1st Batch)</t>
  </si>
  <si>
    <t>DDN GDSI 2020-35</t>
  </si>
  <si>
    <t>Request for Proposal for the Construction of Stock Room at URS Morong Campus</t>
  </si>
  <si>
    <t>Purchase &amp; Delivery of Seedlings for propagation and beautification for Forest Resource Management Program of the Province</t>
  </si>
  <si>
    <t>Medicine</t>
  </si>
  <si>
    <t>PURCHASE &amp; INSTALLATION OF SOLAR STREET LIGHTS</t>
  </si>
  <si>
    <t>Improvement of Water System</t>
  </si>
  <si>
    <t>Annual Preventive Maintenance of MMIIDEO 250KVA StandBy Generator set Model XSA250.</t>
  </si>
  <si>
    <t>REPRODUCTION OF MODULES - 2ND BIDDING</t>
  </si>
  <si>
    <t>PR NO.: 2020-07-037 Supply and Delivery of Multi-Function Copier.</t>
  </si>
  <si>
    <t>PURCHASE OF ONE (1) UNIT 6BF1 ENGINE</t>
  </si>
  <si>
    <t>PURCHASE OF ELECTRIACL MATERIALS AND SUPPLIES FOR USE IN  INSTALLATION OF 1-50KVA TRANSFORMER AND ITS ACCESSORIES         LIBRARY HUB, RIZAL STREET, SILAY CITY.	(REBID)</t>
  </si>
  <si>
    <t>Supply , Delivery and Installation of the Waterproofing at the Roof Deck of SEC Cebu Extension Office Building</t>
  </si>
  <si>
    <t>Supply of foodstuff for support to CAFGU</t>
  </si>
  <si>
    <t>Procurement of Office Supplies 3rd Quarter 2020</t>
  </si>
  <si>
    <t>Multi-Purpose Pavement-Gaboc</t>
  </si>
  <si>
    <t>Supply and delivery of OIl/Lubricants to be used of Service Vehicle assigned in the Office of the Planning and Design Section, 3rd Quarter CY 2020</t>
  </si>
  <si>
    <t>Purchase of Agricultural Products for the Establishment of Demonstration Sites for Vegetable Production</t>
  </si>
  <si>
    <t>10 bots Rubbing Alcohol</t>
  </si>
  <si>
    <t>Pest Control Services for the Philippine Institute of Traditional and Alternative Health Care (PITAHC)</t>
  </si>
  <si>
    <t>Procurement of Solid Waste Management</t>
  </si>
  <si>
    <t>Procurement of Various Hardware Supplies-07-080(M)OPAG</t>
  </si>
  <si>
    <t>Construction of Multi-Purpose Bldg. (Phase 2) in Brgy. Pilit, Sta. Fe, Leyte, ABC PHP3,134,682.45</t>
  </si>
  <si>
    <t>Supply and delivery of 1 pcs Traffic Signage to be used in the Operation of Maintenance Section</t>
  </si>
  <si>
    <t>IB No. 2020 – 06 - Package I.  Re-bid of Various Medical Supplies</t>
  </si>
  <si>
    <t>Purchase of Risographs for the use of various Public Elementary and Secondary Schools, Municipality of Hinigaran, Negros Occidental.</t>
  </si>
  <si>
    <t>REHABILITATION OF BARANGAY HALL</t>
  </si>
  <si>
    <t>Procurement of One (1) Unit AUV 2.8 L Diesel, Manual (Procurement of Goods)</t>
  </si>
  <si>
    <t>CONCRETING OF JUNCTION NATIONAL HIGHWAY AT LOOC PROPER- KATIPUNAN ROAD</t>
  </si>
  <si>
    <t>MEALS AND SNACKS-Mayor's Office</t>
  </si>
  <si>
    <t>INSTALLATION OF WATER PIPELINES</t>
  </si>
  <si>
    <t>CONSTRUCTION OF FINAL SORTING AREA</t>
  </si>
  <si>
    <t>PROCUREMENT OF MEDICINE 2nd and 3rd QUARTER 2020</t>
  </si>
  <si>
    <t>Rehabilitation of Greenhouse, Brgy. Bangac, Mina, Iloilo.</t>
  </si>
  <si>
    <t>Procurement of Various Hardware Supplies-07-081(M)OPAG</t>
  </si>
  <si>
    <t>20GGJ0060 Supply and Delivery of Office Equipment (3rd Quarter, CY 2020) for the use of Planning and Design Section, DPWH - ICDEO</t>
  </si>
  <si>
    <t>PURCHASE OF VEHICLE PARTS FOR USE OF TOYOTA HI ACE SEJ 456,CMO 1995, SILAY CITY.(Rebid)</t>
  </si>
  <si>
    <t>FABRICATION OF MRF</t>
  </si>
  <si>
    <t>Procurement of Various Construction Supplies and Materials-07-453(O)PEO</t>
  </si>
  <si>
    <t>Procurement of Various Construction Supplies and Materials-07-091(M)OPAG</t>
  </si>
  <si>
    <t>Office Supplies-MEO</t>
  </si>
  <si>
    <t>Purchase of (1) Unit Chainsaw to be used for General Services of the Municipality of Tabuelan, Cebu</t>
  </si>
  <si>
    <t>Purchase of 4 pcs Develop Toner TN324 Black and 1 pc Drum DR313 Black to be used in the Office of the Procurement Unit for 3rd and 4th Quarter CY 2020</t>
  </si>
  <si>
    <t>Improvement and Maintenance of Municipal Plaza/Compound</t>
  </si>
  <si>
    <t>Construction of Multi-Purpose Bldg. (Phase 2) in Brgy. San Jose, Dulag, Leyte, ABC PHP2,988,619.00</t>
  </si>
  <si>
    <t>CONCRETING OF REGIDOR ST. BRGY. 9 LUCBAN, QUEZON</t>
  </si>
  <si>
    <t>Procurement of Desktop/Laptop</t>
  </si>
  <si>
    <t>Procurement of 2,500 Piece Empty Box, with Print ("Family Food Packs and Butuan on Branding") under P.R No. 2594-2020- 5% City Disaster Risk Reduction and Management Fund</t>
  </si>
  <si>
    <t>20GGJ0059 Supply and Delivery of Materials for the Instructional/Coordination Meeting, Validation, Survey and other MYPS Enhancement for the use of Planning and Design Section, DPWH - ICDEO</t>
  </si>
  <si>
    <t>2020-308 RICE BRAN @40KG/BAG</t>
  </si>
  <si>
    <t>Procurement of Handwashing Facility</t>
  </si>
  <si>
    <t>Installation of Solar Street Lights in Brgys. Cabuloran &amp; Hinabuyan and at Maragondong Elem. School, all in Dagami, Leyte, ABC PHP2,646,574.12</t>
  </si>
  <si>
    <t>Printing of BAR Chronicle July - December 2020</t>
  </si>
  <si>
    <t>PROCUREMENT OF MEDICAL GRADE OXYGEN</t>
  </si>
  <si>
    <t>Rehabilitation of Old Tulang Water System, Construction of Pumphouse, Perimeter Fence &amp; Installation of Submersible Pump</t>
  </si>
  <si>
    <t>Procurement of One (1) Unit AUV 2.8 L Diesel, Automatic (Procurement of Goods)</t>
  </si>
  <si>
    <t>Construction of Multi-Purpose Bldg. (Phase 2) in Brgy. Cantariwis, Tolosa, Leyte, ABC PHP2,708,6401.31</t>
  </si>
  <si>
    <t>Procurement of Various Construction Supplies and Materials -08-470(O)PEO</t>
  </si>
  <si>
    <t>Rehabilitation and Improvement of Mabaja-Bagtic Provincial Road, Mabinay, Neg.Or.(S-166-2020)</t>
  </si>
  <si>
    <t>2ND POSTING OF OPERATION AND MAINTENANCE OF STA. ELENA MUNICIPAL WATER SYSTEM</t>
  </si>
  <si>
    <t>Construction of Concrete Pathway in Brgy. Buenavista, Abuyog, Leyte, ABC PHP2,639,337.41</t>
  </si>
  <si>
    <t>Purchase of Construction Materials and Supplies for Rehabilitation of Water Supply System at Don Serafin Gamboa Elementary School, Hda. Sta. Isabel, Brgy. Bagtic, Silay City.</t>
  </si>
  <si>
    <t>Supply and Delivery of Bondpapers, Long, Substance 20</t>
  </si>
  <si>
    <t>MEALS AND SNACKS-MSWDO-OSCA</t>
  </si>
  <si>
    <t>REBIDDING OF THE SUPPLY, DELIVERY, INSTALLATION AND COMMISSIONING OF ONE (1) UNIT ENT-HNS DIGITAL VIDEO STROBOSCOPE</t>
  </si>
  <si>
    <t>One (1) Job Contract for the Proposed 60 L.M. Hanging Foot Bridge, Brgy. Sarapan, Passi City, Iloilo/CEO</t>
  </si>
  <si>
    <t>DELIVERY OF FOODS(MEAL) OF COVID19 MUNICIPAL TASK FORCE, PUI AND PUM</t>
  </si>
  <si>
    <t>Drugs and Medicines-MHO TF MCP</t>
  </si>
  <si>
    <t xml:space="preserve">rebidding of the requirement “Purchase of One (1) unit Brand New DRRM/Emergency Response Vehicle (4x4 Close Van Box-Type) with Accessories to be used for hazard mapping, geotagging, vulnerability and </t>
  </si>
  <si>
    <t>Procurement of 95 Unit Knapsack Sprayer, etc. under P.R.No. 2807-2020 -Office of the City Agriculturist</t>
  </si>
  <si>
    <t>20CSD010: CONSULTING SERVICES FOR THE CONDUCT OF FEASIBILITY STUDY OF CASILE- TAGAYTAY ROAD, Cavite &amp; Laguna Provinces</t>
  </si>
  <si>
    <t>S &amp; D of IT and Office Equipment (SPO)</t>
  </si>
  <si>
    <t>Supply and Delivery of Construction Materials and Supplies for the Improvement of Comfort Room at Barangay Gymnasium of Barangay Balangbalang</t>
  </si>
  <si>
    <t>Purchase of Office Supplies to be used in the Office of the Procurement Unit for the 3rd and 4th Quarter CY 2020</t>
  </si>
  <si>
    <t>PROCUREMENT FOR AIRCONDITION FOR ACCOUNTING OFFICE  P.R NO. 0722 SERIES 2020</t>
  </si>
  <si>
    <t>Purchase of Construction Materials and Supplies for Rehab/ Improvement of Mambag-id Elem. School Covered Court, Brgy. Balaring, Silay City.</t>
  </si>
  <si>
    <t>PROCUREMENT OF CONSTRUCTION EQUIPMENT</t>
  </si>
  <si>
    <t>Supply &amp; Delivery of Various Medical Supplies (NP-TFB)</t>
  </si>
  <si>
    <t>INVITATION TO BID FOR THE  SUPPLY AND DELIVERY OF VARIOUS GI FITTINGS (PR Nos. 27796-033 to 27796-052, 27803-001 to 27803-019)</t>
  </si>
  <si>
    <t>IT Equipment-Accounting Office</t>
  </si>
  <si>
    <t>IB 2020-06-Package III.  Ancillary Service Supplies</t>
  </si>
  <si>
    <t>Suppy and Delivery of 9 Female and 1 Bull/Male Buffalos</t>
  </si>
  <si>
    <t>2020-08-0021 Purchase of Premium Fuel for use in the Office of the District Engineer (Administrative Section)</t>
  </si>
  <si>
    <t>Supply and delivery of Construction Materials</t>
  </si>
  <si>
    <t>SUPPLY AND DELIVERY OF MATERIALS FOR THE CONSTRUCTION OF FLOOD CONTROL AND DRAINAGE FACILITIES</t>
  </si>
  <si>
    <t>Supply of 8,918 ltrs Diesel Fuel to be used in the Operation of Service Vehicle assigned in the Office of the Planning and Design Section 3rd and 4th Quarter CY 2020</t>
  </si>
  <si>
    <t>Concreting of Road Brgy, Abis Mabinay Neg. Or(N-198-2020)</t>
  </si>
  <si>
    <t>Supply and Delivery of Construction Supplies and Materials for the various projects of Brgy. Anao</t>
  </si>
  <si>
    <t>PURCHASE OF RESCUE VEHICLE (DISASTER)</t>
  </si>
  <si>
    <t>INVITATION TO BID FOR THE  SUPPLY AND DELIVERY OF QUEUING SYSTEM  PR Nos. 27831-001</t>
  </si>
  <si>
    <t>ACQUISITION OF OFFICE EQUIPMENT &amp; SUPPLIES FOR PRIMARY AND SECONDARY PUBLIC SCHOOLS</t>
  </si>
  <si>
    <t>Quadrivalent Influenza Virus Vaccine (Flu)</t>
  </si>
  <si>
    <t>Voice &amp; Data subscription for Inmarsat Disaster Emergency Communication Equipment</t>
  </si>
  <si>
    <t>RIPRAPPING OF LITTLE ZOO FARM TO MARKET ROD AT SITIO SURONG, DUNGON, SISON, PANGASINAN</t>
  </si>
  <si>
    <t>MG-A7M20-010..TOTAL REPLACEMENT OF STOP LOGS IN THE TAILRACE OF UNITS 1 &amp; 2</t>
  </si>
  <si>
    <t>Construction of Water Supply System at Brgy. Bagumbayan, Sta. Maria, Laguna</t>
  </si>
  <si>
    <t>REHABILITATION OF DRAINAGE SYSTEM ( CANAL LINING / CANAL COVER )-phase 2</t>
  </si>
  <si>
    <t>1.Materials for Re-Painting  and Repair of Electrical Lines for Budget Office, Passi City, Iloilo/CEO (P 8,910.15), 2.Materials for Signage of DTI-DPWH Covergence road projects, Passi City, Iloilo/CMO</t>
  </si>
  <si>
    <t>20GJF0137 -  Office Device, Supplies and Consumable for use in the District Engineer's Office,this district</t>
  </si>
  <si>
    <t>SUPPLY AND DELIVERY OF JANITORIAL SUPPLIES P.R NO. 0723 SERIES 2020</t>
  </si>
  <si>
    <t>Procurement of Server for PITAHC R&amp;D Research Management Information System</t>
  </si>
  <si>
    <t>20GAG0004-Furnishing of Office Furniture and other Auxiliary Works for the Completion of DPWH Pangasinan 1st DEO New Office Building at DPWH Pangasinan 1st DEO, Alaminos City, Pangasinan</t>
  </si>
  <si>
    <t>IMPROVEMENT ALONG CABILISAN BARANGAY ROAD</t>
  </si>
  <si>
    <t>Construction of Multi-Purpose Bldg. (Phase 2) in Brgy. Casilda, Merida, Leyte, ABC PHP2,544,437.45</t>
  </si>
  <si>
    <t>Supply of 10,000 ltrs Diesel to Be used in the Operation of Quality Assurance Section 3rd and 4th Quarter CY 2020</t>
  </si>
  <si>
    <t>Aircon Repair/Cleaning-SB Legislative</t>
  </si>
  <si>
    <t>Concreting of Barangay Road , Libjo Dauin Negros Oriental(N-192-2020)</t>
  </si>
  <si>
    <t>2020-08-0022 Purchase of Diesel Fuel for use in the Office of the District Engineer (Administrative Section)</t>
  </si>
  <si>
    <t>Supply and Delivery of Highly Concentrated Anti Dengue Solution for use of this Office DPWH-QCSDEO, Quezon City</t>
  </si>
  <si>
    <t>20CSKG04 - Conduct of Parcellary Survey of Affected Lots within the Road Right-of-Way in Order to Ensure Expeditious Implementations of All Infrastructure Projects, Linamon-Zamboanga Road, K1594+(-190</t>
  </si>
  <si>
    <t>Health Care and Development Center</t>
  </si>
  <si>
    <t>200 pcs. Life Vest Type 3</t>
  </si>
  <si>
    <t>For Laboratory testing:  for Urine test and blood Extraction supplies</t>
  </si>
  <si>
    <t>Printer-HRMO GAD</t>
  </si>
  <si>
    <t>Supply and delivery of journals for use in the campus library of ISU Cabagan</t>
  </si>
  <si>
    <t>20GAG0005- Furnishing of Fdas, Audio Service System and Cctv Ip System for the Completion of DPWH Main Building, DPWH Pangasinan 1st DEO, Alaminos City, Pangasinan</t>
  </si>
  <si>
    <t>CONST. OF MULTI-PURPOSE HALL IN BARANGAY LONOY, BAIS CITY(S-172-2020)</t>
  </si>
  <si>
    <t>Working Apparel - Shirt w/ Collar</t>
  </si>
  <si>
    <t>CONSULTING SERVICES FOR THE PREPARATION OF SAN ISIDRO MALL (AGRO MALL), PUBLIC MARKET AND TRANSPORT TERMINAL FEASIBILITY STUDY, PLAN AND DETAILED ENGINEERING DESIGN</t>
  </si>
  <si>
    <t>Improvement of Multi-Purpose Bldg. (Phase 1) of Matalom National High School in Matalom, Leyte, ABC PHP2,516,977.72</t>
  </si>
  <si>
    <t>2020-08-0023 Supply and Delivery of Spare Parts for use in the replacement of defective parts of H1-6058, Suzuki Multicub</t>
  </si>
  <si>
    <t>Repair &amp; Maintenance of MAO Office Equipment-MAO</t>
  </si>
  <si>
    <t>REPAIR / INSTALLATION OF STREET LIGHTS ( relocation )-phase 2</t>
  </si>
  <si>
    <t>Diploma Case</t>
  </si>
  <si>
    <t>Supply and Delivery of 4 Units Duplicating Machine</t>
  </si>
  <si>
    <t>OPENING OF BAGUENGEY TO CENTRAL FMR (EXTENSION)</t>
  </si>
  <si>
    <t>CONSTRUCTION OF SLOPE PROTECTION AT ABANATAN CREEK, BRGY. BALZAIN</t>
  </si>
  <si>
    <t>FUEL</t>
  </si>
  <si>
    <t>PROCUREMENT FOR AIRCONDITIONING SYSTEM  P.R NO. 0730 SERIES 2020</t>
  </si>
  <si>
    <t>Supply and delivery of various livelihood materials for swine production, rice trading, sari-sari store, dried fish and pusit trading and carpentry under DOLE-SFO (Second Posting)</t>
  </si>
  <si>
    <t>ESTIMATED PRINTING COST OF MODULES</t>
  </si>
  <si>
    <t>Livelihood Enhancement through Free- Range Chicken production</t>
  </si>
  <si>
    <t>2020-08-0025 Supply and Delivery of spare parts for use in the replacement of defective parts of H1-6978 Mitsubishi Strada</t>
  </si>
  <si>
    <t>Procurement of Supply &amp; Delivery of 38 sets Layer Poultry Package</t>
  </si>
  <si>
    <t>Ri Bid For  Supply of Fuels and Lubricants for Road Rehabilitation</t>
  </si>
  <si>
    <t>1.Various supplies for market use/CEEMO-Market (P 106,295.00), 2.Various materials for maintenance of Slaughterhouse/CEEMO-Slaughterhouse (P 48,893.00)</t>
  </si>
  <si>
    <t>Conc. of Barangay Road at Silfaban Street Amio Sta. Catalina, Neg. Or.(S-167-2020)</t>
  </si>
  <si>
    <t>Procurement of Vehicle Spare parts and accessories</t>
  </si>
  <si>
    <t>2020-08-0024 Supply and delivery of Oil &amp; Lubricants for use in Preventive Maintenance of various vehicles of Maintenance Section</t>
  </si>
  <si>
    <t>CONSULTING SERVICES FOR THE PREPARATION OF FEASIBILITY STUDY (FS), SURVEY AND DETAILED ENGINEERING DESIGN (D.E.D.) OF THE PHILIPPINE RURAL DEVELOPMENT PROJECT (PRDP): 1) CONCRETING OF RIZAL WEST-RAMOS</t>
  </si>
  <si>
    <t>INVITATION TO BID - 1.) Supply and Delivery of 16 Units Firewall</t>
  </si>
  <si>
    <t>Supply &amp; Delivery of 5 Units Four Wheeled Farm Tractor for the Municipal Agriculturist Office</t>
  </si>
  <si>
    <t>Construction of Multi-Purpose Bldg. (Phase 1) in Brgy. Bayabas, Dagami, Leyte, ABC PHP2,500,185.19</t>
  </si>
  <si>
    <t>1.Materials &amp; Equipment Rental for Construction of Overflow at Sitio Binaliwan East Brgy. Gemomua-Agahon, Passi City, Iloilo/Brgy. Gemomua-Agahon (P 482,645.25)., 2.Materials &amp; Equipment Rental for th</t>
  </si>
  <si>
    <t>Completion of Evacuation Center</t>
  </si>
  <si>
    <t>Request for Quotation for the use of Public Affairs and Information Section</t>
  </si>
  <si>
    <t>SUPPLY AND DELIVERY OF ONE (1) UNIT BOOSTER PUMP (BRAND: GOULDS) 237 GPM, 15 LPS, 15 HP, 30-40 M HEAD TO BE USED FOR FILTER/RESERVOIR AT SAN JOSE, TALIBON, BOHOL</t>
  </si>
  <si>
    <t>MG-A5C20-011..BATTERY BANK, 125VDC INDUSTRIAL LEAD ACID BATTERIES, 60 UNITS</t>
  </si>
  <si>
    <t>INVITATION TO BID - 2.) Supply and Delivery of 125 Units Access Points</t>
  </si>
  <si>
    <t>IB 2020-08-25(10) Goods Cat I Drugs and Medicines</t>
  </si>
  <si>
    <t>2020-08-0027 Purchase of Materials for use in the Repair/Maintenance of National Roads and Bridge along Tagum City Diversion Road and Carmen-Dapecol Comp. Road (for Patching of Concrete Pavements)</t>
  </si>
  <si>
    <t>Construction of Water System / Installation of Pipeline</t>
  </si>
  <si>
    <t>Repair of Muliti-Purpose Hall</t>
  </si>
  <si>
    <t>MG-A7M20-006..FABRICATION OF TRASH RACKS AT AGUS 6 HEP UNIT 3</t>
  </si>
  <si>
    <t>SSF on Bread and Pastry (Badiangan)</t>
  </si>
  <si>
    <t>Installation of Solar Streetlights(Brgy. Poctol)</t>
  </si>
  <si>
    <t>Supply and Delivery of 3 Units 167 KVA Transformer</t>
  </si>
  <si>
    <t>Concreting/ Improvement of Mantalongon Circumferenctial Road Section, Barili, Cebu</t>
  </si>
  <si>
    <t>Procurement of Materials for the Construction of BARANGAY MRF</t>
  </si>
  <si>
    <t>Concreting/ Improvement of Mantayupan-Luhod Road Section, Barili, Cebu</t>
  </si>
  <si>
    <t>Supply and Delivery of ICT Equipment</t>
  </si>
  <si>
    <t>Other Supplies-Accounting Office</t>
  </si>
  <si>
    <t>Procurement of Laptop/Printer</t>
  </si>
  <si>
    <t>FURNISHING AND DELIVERY OF CONSTRUCTION MATERIALS FOR THE COMPLETION OF MANGAYANG MULTI-PURPOSE HALL</t>
  </si>
  <si>
    <t>Supply and Delivery of Printer with Continuous Ink Supply System (CISS) BNHS Junior HS</t>
  </si>
  <si>
    <t>MATERIALS FOR THE PRODUCTION OF MOTOR BOATS (10 BOATS) at Baybay, Alubijid, Misamis Oriental</t>
  </si>
  <si>
    <t>LOT Procurement of VETERINARY SUPPLIES for Use in Provincial Livestock and Breeding Center at PARDC, Magay, City of Mati</t>
  </si>
  <si>
    <t>Supply and delivery of Oil and Lubricants to be used in the Operation of Maintenance Vehicles, Equipment and Grasscutters for the period 3rd and 4th Quarter CY 2020</t>
  </si>
  <si>
    <t>Construction of 4-Classroom School Building (Municipal Counterpart)</t>
  </si>
  <si>
    <t>Purchased of Motorcycle with Sidecar (Kulung-Kulung)</t>
  </si>
  <si>
    <t>Purchase of One (1) unit Brand New 6 Wheeler Mini Bus (Coaster, 29 seater capacity) for Provincial Governor’s Office use, Province of  Negros Oriental</t>
  </si>
  <si>
    <t>Proposed Construction of Secondary Gate (Bartolome Sangalang National High School)</t>
  </si>
  <si>
    <t>2020-097, INSTALLATION OF WATER SYSTEM AT PUROK DECOLORES, KIMAGANGO,  MIDSAYAP, COTABATO</t>
  </si>
  <si>
    <t>SSF for the Enhancement of Bricks and Pottery Production (San Dionisio)</t>
  </si>
  <si>
    <t>2020-08-0028 Purchase of Materials for the Application of Thermoplastic Pavement Markings along Asuncion-San Isidro- Laak- Veruela Road K1480+000 – K1481+000, K1487+286 – K1491+050, Davao del Norte</t>
  </si>
  <si>
    <t>INVITATION TO BID REPAIR OF  RAWIS  DUPLEX OWNED WAREHOUSE AT RAWIS, NORTHERN SAMAR</t>
  </si>
  <si>
    <t>INVITATION TO BID - 3.) Supply, Delivery, Installation of Endpoint Security Solution (Anti-Virus License) for 235 users/units</t>
  </si>
  <si>
    <t>PROCUREMENT OF OFFICE SUPPLIES FOR THE 2ND AND 3RD QUARTER OF CY 2020</t>
  </si>
  <si>
    <t>Supply and installation of split type air condition for municipal agriculture office</t>
  </si>
  <si>
    <t>PROCUREMENT OF FUEL, OIL AND LUBRICANTS</t>
  </si>
  <si>
    <t>Provision of 20 Units Shallow Tube Well for the Municipal Agriculturist Office</t>
  </si>
  <si>
    <t>Supply and Delivery of 1 Unit Mini Tractor</t>
  </si>
  <si>
    <t>Office Supplies-HRMO</t>
  </si>
  <si>
    <t>Procurement of Meals &amp; Snacks</t>
  </si>
  <si>
    <t>INVIATION TO BID FOR THE  REHABILITAITON/IMRPVEMENT OF WET MARKET AT BARANGAY POBLACION, LINGAYEN, PANGASINAN</t>
  </si>
  <si>
    <t>MG-A5C20-021..BUCHHOLZ RELAY, AGUS 5 HE PLANT</t>
  </si>
  <si>
    <t>PROCUREMENT OF OFFICE SUPPLIES - ACCOUNTING OFFICE</t>
  </si>
  <si>
    <t>Construction of Multi-Purpose Bldg. (Phase 1) in Brgy. Sherwood, Albuera, Leyte, ABC PHP2,495,607.20</t>
  </si>
  <si>
    <t>PROCUREMENT OF HOSPITAL BED ELEVATOR REPAIR</t>
  </si>
  <si>
    <t>NEGOTIATION for the Procurement of Supply &amp; Delivery of Pheromone Lure</t>
  </si>
  <si>
    <t>Expansion of Level III Water System</t>
  </si>
  <si>
    <t>Supply and delivery of Office Supplies to be used in the Administrative Section for the 3rd Quarter CY 2020</t>
  </si>
  <si>
    <t>NEGOTIATION for the Procurement of Supply &amp; Delivery of Farm Inputs (Typhoon Ursula)</t>
  </si>
  <si>
    <t>NEGOTIATION for the Procurement of Supply &amp; Delivery of Goat</t>
  </si>
  <si>
    <t>PROCUREMENT OF VEHICLE</t>
  </si>
  <si>
    <t>PROCUREMENT OF SERVICE FOR THE SUBSCRIPTION OF DIRECT INTERNET ACCESS FOR ALTERNATIVE TEACHING AND LEARNING METHOD</t>
  </si>
  <si>
    <t>Concreting/ Improvement of Dakit-Cagay Road Section, Barili, Cebu</t>
  </si>
  <si>
    <t>PROCUREMENT OF WHEEL TYPE BACKHOE (BRAND NEW)</t>
  </si>
  <si>
    <t>Procurement of Supply &amp; Delivery of Inorganic Fertilizers (rebid)</t>
  </si>
  <si>
    <t>Construction of 2 Units Dugwell/Pumpwell</t>
  </si>
  <si>
    <t>Construction of Multi-Purpose Bldg. (Phase 2) in Brgy.  Calunangan, Merida, Leyte, ABC PHP2,584,238.36</t>
  </si>
  <si>
    <t>Supply and delivery of 300 kls Nylon 3.0 Test 260 lbs to be used in the Operation of grasscutters along national roads within Bukidnon 2nd DEO for the period 3rd Quarter CY 2020</t>
  </si>
  <si>
    <t>2020-08-0026 For use in the installation of Airconditioning Unit of the office of the District Engineer (Planning and Design Section), Davao del Norte District Engineering Office, Tagum City, Davao de</t>
  </si>
  <si>
    <t>Procurement  of Maintenance and Support Service Agreement for Four (4) Servers</t>
  </si>
  <si>
    <t>20GJF0138 -  Construction Materials Supplies for use in the repair of Stock Room for Accounting Section, this district</t>
  </si>
  <si>
    <t>Livelihood Enhancement through Free- Range Chicken Production</t>
  </si>
  <si>
    <t>Procurement of Catering Services for NSB LSP Activities in San Juan, Southern Leyte</t>
  </si>
  <si>
    <t>IMPROVEMENT OF TABA-AO BARANGAY HEALTH STATION</t>
  </si>
  <si>
    <t>20AD0112 : Construction of 1 sty-2 cl, Nagpanaoan Community School, Santa, Ilocos Sur</t>
  </si>
  <si>
    <t>PROCUREMENT OF ONE (1) UNIT MOTOR VEHICLE (PASSENGER VAN)</t>
  </si>
  <si>
    <t>Installation of Solar Street Lights in Brgy. District IV, Pastrana, Leyte, ABC PHP2,604,216.30</t>
  </si>
  <si>
    <t>Rehabilitation of Street Lights at Brgy. Cabuoan, Sta. Maria, Laguna</t>
  </si>
  <si>
    <t>INVITATION TO BID   REPAIR OF GID CATUBIG WAREHOUSE AT CATUBIG, NORTHERN SAMAR</t>
  </si>
  <si>
    <t>Procurement of Security Service, City of Sto. Tomas, Batangas</t>
  </si>
  <si>
    <t>Purchase of Toner TN220 for use in the Operation of Construction Section for CY 2020 3rd Quarter</t>
  </si>
  <si>
    <t>Supply and Delivery of Ultrasound Scanning Device</t>
  </si>
  <si>
    <t>Procurement of Various Drugs and Medicines-07-029(X)SDH</t>
  </si>
  <si>
    <t>Materials for Road Concreting at Brgy. Binuni</t>
  </si>
  <si>
    <t>Construction of Multi-Purpose Bldg. (Phase 2) in Brgy. Paghudlan, Burauen, Leyte ABC PHP2,588,734.33</t>
  </si>
  <si>
    <t>Invitation to Re-Bid:   Procurement of Works for the Installation of 869 units of Integrated Solar Powered Street Lights, Brgy. Abangay, Lahug, Nayawan and Daan Sur, Tapaz, Capiz</t>
  </si>
  <si>
    <t>PAKYAW LABOR FOR THE COMPLETION OF MANGAYANG MULTI-PURPOSE HALL</t>
  </si>
  <si>
    <t>ICT Equipment-Accounting Office</t>
  </si>
  <si>
    <t>Tools and Equipment in Driving NC II</t>
  </si>
  <si>
    <t>Aircon Repair &amp; Cleaning-COA</t>
  </si>
  <si>
    <t>PR No. : 2020-07-039 Supply and Delivery of Construction Materials for CDOC 1st DEO Conference Room.</t>
  </si>
  <si>
    <t>Procurement of School and Office Supplies</t>
  </si>
  <si>
    <t>Purchase of Laptop and Desktop Computers for the Assessors Office</t>
  </si>
  <si>
    <t>Purchase of Construction Materials and Supplies for Renovation of Old Female Medical Ward at City Health Office, Silay City.</t>
  </si>
  <si>
    <t>gsisluc paper products</t>
  </si>
  <si>
    <t>2020-313 Plastic Drum @ 100 liters</t>
  </si>
  <si>
    <t>SUPPLY AND DELIVERY OF DRINKING WATER</t>
  </si>
  <si>
    <t>IB No. 2020 - 06 - Package II. Re-bid of Medical and Surgical Supplies</t>
  </si>
  <si>
    <t>ROAD CONCRETING AT EMILIA HOMES</t>
  </si>
  <si>
    <t>Road MAintenance (Earthworks)</t>
  </si>
  <si>
    <t>Construction of Benches</t>
  </si>
  <si>
    <t>Binding Services of Modules</t>
  </si>
  <si>
    <t>1. White Printing Paper (for the use of CHO plans for Building Permit)/CHO 2. Office Supplies/CEO 3. Office Supplies/DRRMO</t>
  </si>
  <si>
    <t>20CSD009:CONSULTING SERVICES FOR THE CONDUCT OF FEASIBILITY STUDY OF THE PROPOSED  ALABANG - ZAPOTE DIVERSION ROAD Cavite &amp; Metro Manila</t>
  </si>
  <si>
    <t>1 unit Stake Truck 6 wheelers</t>
  </si>
  <si>
    <t>SUPPLY OF ADDITIONAL MATERIALS OF ROOF FRAMING FOR THE COVERED COURT OF BRGY. DUMALIAN, SAN MIGUEL, Z.D.S</t>
  </si>
  <si>
    <t>Procurement of Various Hardware Supplies-07-447(A)PGO</t>
  </si>
  <si>
    <t>PROCUREMENT OF COMMERCIAL RICE</t>
  </si>
  <si>
    <t>Supply and Delivery of 24,592 bags Hybrid Palay Seeds for use of Rice Program 2020</t>
  </si>
  <si>
    <t>2020-08-0029 Purchase of Materials for use in the Repair/Maintenance of National Roads and Bridge along Asuncion-San Isidro-Laak-Veruela Road and Kapalong-Talaingod-Valencia-Bukidnon Road, Davao del N</t>
  </si>
  <si>
    <t>RFQ Newsprint Paper, Long</t>
  </si>
  <si>
    <t>Purchase of Brother Ink and office supplies to be used in the Operation of Construction Section for 3rd Quarter CY 2020</t>
  </si>
  <si>
    <t>PROCUREMENT OF FUEL FOR OPERATION AND MAINTENANCE OF FARM TO MARKET ROAD (FMR)-CONCEPCION-BAGUMBAYAN-HAMPANGAN</t>
  </si>
  <si>
    <t>Rehabilitation/Improvement of Pepita Park</t>
  </si>
  <si>
    <t>Construction of Evacuation Center at San Juan</t>
  </si>
  <si>
    <t>Procurement of  Electrical materials</t>
  </si>
  <si>
    <t>1.Materials and Equipment Rental for the Improvement of Multi-Purpose Hall and its Facilities (Hanging Board with Ring), Brgy. Nueva Union, Passi City, Iloilo/CEO (P 214,707.82), 2.Materials for the I</t>
  </si>
  <si>
    <t>Supply and delivery of rescue equipments and apparel for the use of the CDRRMO/Call 911, Kidapawan City</t>
  </si>
  <si>
    <t>Purchase of 1 unit Split Type Inverter Airconditioner 2.5HP including Installation to be used for the Office of the Mayor, Municipality of Balasan, Iloilo</t>
  </si>
  <si>
    <t>Purchase of Sweat Shirt for TUPAD (DOLE) Workers of the Provincial Government of Zamboanga del Sur</t>
  </si>
  <si>
    <t>2020-098, REMOVAL AND REPLACEMENT OF CONCRETE PAVEMENT AT PUROK 7, VILLARICA, MIDSAYAP, COTABATO</t>
  </si>
  <si>
    <t>Supply and delivery of Crushed Fine Aggregates to be used in Patching of Potholes along Bukidnon-Davao City Road (3 road sections) and along Sayre Highway</t>
  </si>
  <si>
    <t>20AD0113 : Concreting of Sitio Macaag to Damuco FMR, Brgy. Suyo Proper, Suyo, Ilocos Sur</t>
  </si>
  <si>
    <t>Construction of Covered Court (Wings &amp; Flooring Extension) Brgy. Caturay, Gerona, Tarlac</t>
  </si>
  <si>
    <t>PURCHASE OF  CONTRUSTION MATERIALS AND SUPPLIES FOR REHABILITATION OF DRAINAGE SYSTEM/ DECLOGGING CANALS ( FOR USE IN FORMS COVERED MANHOLE, EMERGENCY REPAIR &amp; OTHERS), SILAY CITY. (REBID)</t>
  </si>
  <si>
    <t>1 set Transit Total Station (GNSSRTK)</t>
  </si>
  <si>
    <t>Purchase of one (1) unit second-hand passenger van.</t>
  </si>
  <si>
    <t>Delivery of various Consolidated office supplies and materials needed for various offices (1st Semester 2020) (re-bid) (ITB 20-094)</t>
  </si>
  <si>
    <t>Improvement of Multi-Purpose Hall (North Poblacion)</t>
  </si>
  <si>
    <t>PROCUREMENT OF THREE (3) UNITS RISO DIGITAL DUPLICATOR AND TWENTY-FOUR (24) UNITS MULTI-FUNCTION COPIER PRINT</t>
  </si>
  <si>
    <t>Supply and Delivery of Chlorine Dosing Pump</t>
  </si>
  <si>
    <t>Procurement of Various Hardware Supplies-07-448(O)PEO</t>
  </si>
  <si>
    <t>CONCTRETING OF GEN. LUNA EXTENSION / MUNICIPAL STREET</t>
  </si>
  <si>
    <t>Purchase of Bajaj RE "BAO BAO"</t>
  </si>
  <si>
    <t>Tarpaulin-MTO</t>
  </si>
  <si>
    <t>CONSTRUCTION OF SIDEWALK, CURB AND GUTTER</t>
  </si>
  <si>
    <t>MOBILE LIBRARY</t>
  </si>
  <si>
    <t>Supply and delivery of 80 drums Bituminous Materials (60/70) to be used in the Patching of Bituminous pavement along National Roads 3rd Quarter CY 2020</t>
  </si>
  <si>
    <t>Repair and Maintenance of Different Vehicles of Mayor's Office, PNP and BFP</t>
  </si>
  <si>
    <t>AUTO SPARE PARTS</t>
  </si>
  <si>
    <t>PROCUREMENT OF VARIOUS CONSTRUCTION MATERIALS FOR THE LEVEL III POTABLE WATER SYSTEM AT BRGY. DALUGA BSK</t>
  </si>
  <si>
    <t>Rehabilitation of Stage</t>
  </si>
  <si>
    <t>Supply and Delivery and Installation of Office Cubicles</t>
  </si>
  <si>
    <t>drilling</t>
  </si>
  <si>
    <t>20-05-162 - Provision for Janitorial and General Support Services for Bicol Area (Re-bidding)</t>
  </si>
  <si>
    <t>Rehabilitation of Bleacher</t>
  </si>
  <si>
    <t>Supplementary Feeding for the Malnourished Children and Pregnant Women - MNO</t>
  </si>
  <si>
    <t>Office Supplies-Accounting Office</t>
  </si>
  <si>
    <t>Supply and Delivery Manual and Self-Propelled Forklift under 2020 Corn Program</t>
  </si>
  <si>
    <t>Continuation of Multi-Purpose Building</t>
  </si>
  <si>
    <t>Aid to Barangays (Purchase of Motorcycles)</t>
  </si>
  <si>
    <t>NEGOTIATION for the Procurement of Supply &amp; Delivery of Various NSIC Approved Corn Seeds for Bufferstocking (Lot 4)</t>
  </si>
  <si>
    <t>CONSTRUCTION OF COVERED COURT PHASE-II</t>
  </si>
  <si>
    <t>SUPPLY AND DELIVERY OF ENDPOINT SECURITY OF EMB R6</t>
  </si>
  <si>
    <t>PROCUREMENT OF CPU, PSU AND PRINTER</t>
  </si>
  <si>
    <t>SUPPLY AND DELIVERY OF PROTECTIVE EQUIPMENT AND CONSUMABLES</t>
  </si>
  <si>
    <t>CHAINSAW, POWER BABY CHAIN SAW, 22 TEETH AND 3 OTHERS FOR MASBATE 69 KV</t>
  </si>
  <si>
    <t>Ozamiz City, Misamis Occidental HFEP 2019 Proposed New Construction of Bañadero MCP</t>
  </si>
  <si>
    <t>SSF on Nuts Processing (Sibalom)</t>
  </si>
  <si>
    <t>Procurement of Photocopier Machine and Toner</t>
  </si>
  <si>
    <t>REPRODUCTION OF SELF LEARNING MODULES OF LAPASAN NATIONAL HIGH SCHOOL SHS DEPARTMENT Q1 MONTH 1</t>
  </si>
  <si>
    <t>REBIDDING OF SUPPLY AND DELIVERY OF FIFTY-THREE (53) PIECES FLEET CARD TO WITHDRAW FUEL ALLOCATION OF DA RFO-1 OFFICIAL VEHICLES FOR THE MOBILITY OF PERSONNEL AND RESOURCES FOR SEPTEMBER-DECEMBER 2020</t>
  </si>
  <si>
    <t>IMPROVEMENT OF LIBERTAD WATERWORKS SYSEM</t>
  </si>
  <si>
    <t>Supply and Delivery of 1 Unit Mini Dump Truck</t>
  </si>
  <si>
    <t>RFQ No. 20-08-201 for PR No. 20-07-195</t>
  </si>
  <si>
    <t>Supply and delivery of construction materials to e used in the Gen Set Platform at DPWH-Buk 2ne DEO</t>
  </si>
  <si>
    <t>Construction of Multi-Purpose Bldg. (Phase 2) in Brgy. Calingcaguing, Barugo, Leyte, ABC PHP3,315,231.96</t>
  </si>
  <si>
    <t>Office and School Supplies</t>
  </si>
  <si>
    <t>Procurement of Firewall and IPS License Subscription  SVP No. 2020-035-A</t>
  </si>
  <si>
    <t>Supply and Delivery of Rescue Equipment</t>
  </si>
  <si>
    <t>Purchase of Office Supplies to be used in the Office of the Finance Section 3rd Quarter CY 2020</t>
  </si>
  <si>
    <t>Installation of Upgraded Local Government System and Purchase of Read and Bill</t>
  </si>
  <si>
    <t>2020-099, CONSTRUCTION OF SLOPE PROTECTION WITH REMOVAL AND REPLACEMENT OF  DAMAGED PAVEMENT, PUROK 5, MIDSAYAP, COTABATO</t>
  </si>
  <si>
    <t>2020 Census of Population and Housing - PPE for Enumerators, TS and CAS</t>
  </si>
  <si>
    <t>Supply &amp; Delivery of ICT Equipment for the General Services Office &amp; Bids and Awards Committee Office</t>
  </si>
  <si>
    <t>Supply of Auditing Services for 2nd Surveillance Audit</t>
  </si>
  <si>
    <t>Purchase of 3 in 1 Multifunction Printer - M.O</t>
  </si>
  <si>
    <t>20GCH0014: Procurement of Diesel for use of Government Service Vehicles &amp; Equipment at DPWH Pampanga 2nd DEO, San Antonio, Guagua, Pampanga (Maintenance Section for the 3rd Quarter CY-2020)</t>
  </si>
  <si>
    <t>Construction of Access Road to Bulan Multi-Purpose Gymnasium</t>
  </si>
  <si>
    <t>RFQ No. 2020-08-047; PR No. 2020-06-067 (Rebid): PROCUREMENT OF ONE (1) JOB ORDER: LABOR AND MATERIALS, FOR THE PRINTING OF 2019 ANNUAL REPORT, FOR USE IN THE ORD-PAIO UNIT, DPWH R.O. XI, DAVAO CITY</t>
  </si>
  <si>
    <t>Procurement of 1set Electric Generator</t>
  </si>
  <si>
    <t>PROCUREMENT OF CONTAINER VAN</t>
  </si>
  <si>
    <t>SUPPLY AND DELIVERY OF THE FOLLOWING WIFI UNITS OF EMB R6</t>
  </si>
  <si>
    <t>20GDKJ0098</t>
  </si>
  <si>
    <t>Purchase of  Tents</t>
  </si>
  <si>
    <t>INVITATION TO BID - 4.) Procurement of Renewal of Firewall License</t>
  </si>
  <si>
    <t>PROCUREMENT FOR MEDICAL SUPPLIES P.R NO. 0718 SERIES 2020</t>
  </si>
  <si>
    <t>Supply and Delivery of 400pcs. Toilet Bowl &amp; 400pcs. Plastic Blue Drums</t>
  </si>
  <si>
    <t>Procurement of Tires</t>
  </si>
  <si>
    <t>Supply &amp; Delivery of ICT Equipment for the MAO, MEO, BND, MHO &amp; Tourism Office</t>
  </si>
  <si>
    <t>2020-096, SUPPLY AND DELIVERY CONSTRUCTION MATERIALS FOR THE REPAIR / REHABILITATION OF  DIFFERENT SCHOOLS IN MIDSAYAP SOUTHWEST DISTRICT, MIDSAYAP, COTABATO</t>
  </si>
  <si>
    <t>Puchase of Multicab (Vehicle)</t>
  </si>
  <si>
    <t>SUPPLY AND DELIVERY OF INKS AND CARTRIDGES FOR EPSON PRINTERS</t>
  </si>
  <si>
    <t>SSF for Banana &amp; Sweet Potato Processing (Valderrama)</t>
  </si>
  <si>
    <t>OMOE - Handwashing Facility &amp; Storage</t>
  </si>
  <si>
    <t>Procurement of Modules Reproduction</t>
  </si>
  <si>
    <t>PROCUREMENT OF IT EQUIPMENT AND PHOTOCOPIER</t>
  </si>
  <si>
    <t>REHABILATATION OF BRGY. PUBLIC MARKET (REPAIR OF ROOFING)</t>
  </si>
  <si>
    <t>IB 2020-08-25(10) Goods Cat II Medical Equipment</t>
  </si>
  <si>
    <t>Installation/Upgrading of Potable Water Supply Distribution Pipe lines</t>
  </si>
  <si>
    <t>INVITATION TO BID FOR THE PROCUREMENT OF BAMBOO SEEDLINGS FOR FLOOD PROTECTION FOR RIPARIAN BUFFER PROJECT</t>
  </si>
  <si>
    <t>PROCUREMENT OF DIGITAL DUPLICATOR AND PHOTOCOPIER</t>
  </si>
  <si>
    <t>MATERIALS FOR THE IMPROVEMENT/REHABILITATION OF WATERWORKS SYSTEM at Lagtang, Alubijid, Mis. Or.</t>
  </si>
  <si>
    <t>PURCHASE OF MATERIALS USE FOR BARANGAY ROAD REHABILITATION</t>
  </si>
  <si>
    <t>Purchase of Tables And Chairs</t>
  </si>
  <si>
    <t>Procurement of Plastic envelopes for Distance Learning Program of the Tarlac City Schools Division Office. B2020-099-A</t>
  </si>
  <si>
    <t>Purchase of Janitorial Supplies to be used in the General Services Unit for the 3rd Quarter CY 2020</t>
  </si>
  <si>
    <t>Procurement of Medicines</t>
  </si>
  <si>
    <t>Supply and Delivery of Various Supplies and Materials for the Reproduction of Teacher-Made Modules</t>
  </si>
  <si>
    <t>Newspaper Publication of Provincial Ordinances CY 2020 for 3 Consecutive Weeks, Once a Week</t>
  </si>
  <si>
    <t>VARIOUS FURNITURES AND OFFICE EQUIPMENT</t>
  </si>
  <si>
    <t>Completion of Ticol Brgy. Health Center</t>
  </si>
  <si>
    <t>Supply &amp; Delivery of Aircon (Mayor's Office)</t>
  </si>
  <si>
    <t>Request for Quotation to Supply and Delivery of Goods for Sinawal SIP CY2020</t>
  </si>
  <si>
    <t>PROCUREMENT OF COMMON SERVICE FACILITIES AND FARM IMPLEMENTS FOR THE IMPLEMENTATION OF CLIMATE RESILIENT FARM PROD. SUPPORT PROG SUSTAINABLE LIVELIHOOD SUPPORT FOR DISASTER AFFECTED AREAS-(UARBC)</t>
  </si>
  <si>
    <t>supply &amp; delivery of Laptop</t>
  </si>
  <si>
    <t>Supply &amp; Delivery of Construction Materials for the Installation of Solar  Powered Streetligts (K.I. BRIDGE, POBLACION, HAGUPIT, SAGANA &amp; MORENTE)</t>
  </si>
  <si>
    <t>SUPPLY AND DELIVERY OF MEALS AND SNACKS</t>
  </si>
  <si>
    <t>VARIOUS RADIOLOGY SUPPLIES</t>
  </si>
  <si>
    <t>Supply &amp; Delivery of Auto Supplies for the Maintenance of Municipal Vehicles &amp; Heavy Equipment, Office of the Municipal Mayor, Buenavista, Quezon</t>
  </si>
  <si>
    <t>Purchase of Steel Cabinet</t>
  </si>
  <si>
    <t>PROCUREMENT OF CONSTRUCTION SUPPLIES</t>
  </si>
  <si>
    <t>20CB-GSC-490	PURCHASE OF VARIOUS OFFICE EQUIPMENT (RE-BID)</t>
  </si>
  <si>
    <t>Supply and Delivery of Rescue Vehicles</t>
  </si>
  <si>
    <t>Supply of 1,600 ltrs Diesel Fuel and 360 ltrs Gasoline for use in the Operation of Toyota Innova and Grasscutter CY 2020</t>
  </si>
  <si>
    <t>Materials for Community Assistance - M.O</t>
  </si>
  <si>
    <t>ONE (1) LOT SUPPLY AND DELIVERY OF VARIOUS MATERIALS TO BE USED FOR FINISHING OF NEWLY CONSTRUCTED OFFICE BUILDING OF CABIAO WATER DISTRICT AT SAN ROQUE, CABIAO, NUEVA ECIJA</t>
  </si>
  <si>
    <t>Supply and delivery of materials for the improvement/concreting of local roads and municipal streets</t>
  </si>
  <si>
    <t>Office Equipment for daily operation of the office.</t>
  </si>
  <si>
    <t>Procurement of 20 Bag T-Seed (50 Kilos), etc. under P.R.No. 2809-2020 - Office of the City Agriculturist.</t>
  </si>
  <si>
    <t>MATERIALS FOR THE IMPROVEMENT/EXPANSION OF WATERWORKS SYSTEM at Talaba, Alubijid, Mis. Or.</t>
  </si>
  <si>
    <t>Fuel use in MAO</t>
  </si>
  <si>
    <t>SSF for Weaving to Promote Cultural Tourism (San Jose)</t>
  </si>
  <si>
    <t>Construction of Access Road</t>
  </si>
  <si>
    <t>Construction of Farm to Market Road @ Ubbog, Santiago, Ilocos Sur</t>
  </si>
  <si>
    <t>Construction of Farm to Market Road @ Baybayabas, Santiago, Ilocos Sur</t>
  </si>
  <si>
    <t>Procurement of 1 Unit Photocopier Machine under P.R.No. 2568-2020 - 5% City Disaster Risk Reduction and Management Fund</t>
  </si>
  <si>
    <t>Construction of Concrete Footbridge at Sta. Cruz</t>
  </si>
  <si>
    <t>Purchase of Pots to be used in the Office of the Finance Section 3rd Quarter CY 2020</t>
  </si>
  <si>
    <t>Supply and Delivery 4 units of Multiple Extracting Machine under 2020 HVCDP</t>
  </si>
  <si>
    <t>Procurement Materials for the Rehabilitation of Flood Control</t>
  </si>
  <si>
    <t>MATERIALS FOR THE IMPROVEMENT OF SLAUGHTERHOUSE at Bondolan, Benigwayan, Alubijid, Mis. Or.</t>
  </si>
  <si>
    <t>20CB-GSC-492	PURCHASE OF TARPAULIN FOR BPLD (RE-BID)</t>
  </si>
  <si>
    <t>PROCUREMENT OF COMMON SERVICE FACILITIES AND FARM IMPLEMENTS FOR THE IMPLEMENTATION OF CLIMATE RESILIENT FARM PROD. SUPPORT PROG.-SUSTAINABLE LIVELIHOOD SUPPORT FOR DISASTER AFFECTED AREAS-CDARBC</t>
  </si>
  <si>
    <t>PROCUREMENT OF BREEDER CHICKEN (Male &amp; Female) FOR CHICKEN DISPERSAL PROGRAM OF MUNICIPAL AGRICULTURE</t>
  </si>
  <si>
    <t>Procurement of Office Supplies &amp; IT Equipment PR # 2020-07-22-274 &amp; 2020-07-28-292</t>
  </si>
  <si>
    <t>PROPOSED WATER SYSTEM (DRILLING) at P-3, Loguilo, Alubijid, Mis. Or.</t>
  </si>
  <si>
    <t>INVITATION TO BID FOR THE PROCUREMENT OF RABIES VACCINE FOR CATS AND DOGS AND FOR THE PROTECTION OF RABIES VACCINATOR</t>
  </si>
  <si>
    <t>CONCRETING OF TULATULA-AN TO ILAJAS ROAD</t>
  </si>
  <si>
    <t>INVITATION TO BID FOR THE PURCHASE OF ONE (1) UNIT TEN WHELLER DUMP TRUCK FOR THE USE OF MATERIAL RECOVERY FACILITY AT  MUNICIPALITY OF LINGAYEN</t>
  </si>
  <si>
    <t>20CB-GSC-493	PURCHASE OF HARDWARE SUPPLIES</t>
  </si>
  <si>
    <t>Concreting/Improvement of the following Barangay Roads in the Identified Municipalities Provincewide for Cebu  2nd District   (1. Panadtaran, Argao, Cebu 2. Daanlungsod, Alcoy, Cebu 3. Dugyan, Dalague</t>
  </si>
  <si>
    <t>SUPPLY AND  DELIVERY   OF MEDICINES  AND MEDICAL  SUPPLIES</t>
  </si>
  <si>
    <t>IMPROVEMENT / REPAIR OF CANGUHA MULTI - PURPOSE HALL</t>
  </si>
  <si>
    <t>20CB-GSC-491	REPAIR OF MOTOR VEHICLE FOR CHO (RE-BID)</t>
  </si>
  <si>
    <t>Repost: Bulaklakan Farm to Market Road (FMR) Concreting</t>
  </si>
  <si>
    <t>Supply and delivery of Food Assistance for affected households of Covid-19</t>
  </si>
  <si>
    <t>Concreting/Improvement of the following Barangay Roads in the Identified Municipalities Provincewide for Cebu 4th District  (1. Maalat, Madridejos, Cebu 2. Hagdan, Santa Fe, Cebu 3. Baod, Bantayan, Ce</t>
  </si>
  <si>
    <t>Concreting of Farm to Market Road @ San Jose, Santiago, Ilocos Sur</t>
  </si>
  <si>
    <t>20CB-GSC-496	PURCHASE OF OFFICE SUPPLIES</t>
  </si>
  <si>
    <t>Supply and delivery of construction materials to be used in the Supply of road signs along national roads along Brgy Palma, Kibawe, Bukidnon</t>
  </si>
  <si>
    <t>20CB-GSC-495	PURCHASE OF DIESEL FOR COMELEC</t>
  </si>
  <si>
    <t>REPAIR &amp; MAINTENANCE MAO</t>
  </si>
  <si>
    <t>Improvement of Roadside Drainage/Side Walk Along P.J. Burgos Street Section, Mandaue City, Cebu</t>
  </si>
  <si>
    <t>Emerging / Re Emerging Disease Program / COVID 19 SB # 05 under PR# 2020-06-2539.</t>
  </si>
  <si>
    <t>Supply and delivery of Office Supplies &amp; Consumables for use in Western Leyte Provincial Hospital. ABC PHP133,955.00</t>
  </si>
  <si>
    <t>FB20-07-011COR-Supply and Delivery of Printer Consumables for PAGCOR’s Existing Magicard Pronto Card Printer</t>
  </si>
  <si>
    <t>Supply &amp; Delivery of Anesthetics - Rebid</t>
  </si>
  <si>
    <t>Purchase of BI pipe</t>
  </si>
  <si>
    <t>Procurement Materials for the Rehabilitation of Deepwell</t>
  </si>
  <si>
    <t>Supply, Delivery, Fabrication and Installation of Safety Barrier for DBP Bangui, Laoag, Cabugao and Vigan Branches</t>
  </si>
  <si>
    <t>20CB-GSC-494	INTERNET SUBSCRIPTION FOR HRMDO</t>
  </si>
  <si>
    <t>RFQ 2020-01-0081-MATERIALS FOR REPAIR AND CONCRETING OF DRAINAGE WITH GUTTER (IMAGOCS TO TLE)</t>
  </si>
  <si>
    <t>Procurement of 1,000 Bag Seeds, Rice (Certified) under P.R No. 2692-2020 –Office of the City Agriculturist</t>
  </si>
  <si>
    <t>2020-07-428 Procurement of one (1) unit Digital Duplicator with heavy duty Electronic Stapler</t>
  </si>
  <si>
    <t>Supply and delivery of Materials for the Improvement of Communication/Radio Tower @ Brgy. Banilad, Nagcarlan, Laguna</t>
  </si>
  <si>
    <t>SSF on Handicrafts Making (Barbaza)</t>
  </si>
  <si>
    <t>20CB-GSC-499	PURCHASE OF HANDHELD RADIO WITH BASE</t>
  </si>
  <si>
    <t>PROCUREMENT OF SCHOOL SUPPLIES FOR ALL PUBLIC ELEMENTARY SCHOOL PUPILS (LEMERY RESIDENTS ONLY)</t>
  </si>
  <si>
    <t>CLUSTER I - Barcelona, Sorsogon</t>
  </si>
  <si>
    <t>WATER DISINFECTANT</t>
  </si>
  <si>
    <t>20CB-GSC-497	PURCHASE OF  PLAQUES FOR HRMDO</t>
  </si>
  <si>
    <t>Supply &amp; Delivery of Construction Materials for the Construction of Powerhouse - (BWS)</t>
  </si>
  <si>
    <t>20CB-GSC-502	PURCHASE OF GASOLINE FOR CITY VET.(RE-BID)</t>
  </si>
  <si>
    <t>Supply and delivery of One (1) set Desktop Computer to be used in the Office of the Municipal Mayor</t>
  </si>
  <si>
    <t>Request for Quotation for Supply and Delivery of Construction Materials for SINAWAL SIP CY2020 Lot 2</t>
  </si>
  <si>
    <t>rebidding of the requirement “One (1) Lot Repair and Maintenance – Infrastructure Assets (Provincial Roads &amp; Bridges), Province of Negros Oriental (B-118-2020)</t>
  </si>
  <si>
    <t>Construction of BDRRMO Command Center</t>
  </si>
  <si>
    <t>Supply and delivery of Laboratory Supplies for X-Ray Department use in  ABC PHP232,500.00</t>
  </si>
  <si>
    <t>20CB-GSC-498	PURCHASE OF COMMERCIAL RICE</t>
  </si>
  <si>
    <t>Supply &amp; Delivery of Electrical Supplies and Materials</t>
  </si>
  <si>
    <t>Supply and delivery of materials for the construction of temporary offices of LGU-Matanao, Davao del Sur (variation)</t>
  </si>
  <si>
    <t>2020-08-0030 Purchase of Materials for the Application of Thermoplastic Pavement Markings along Tagum-Panabo Circum Road K1512+000 – K1519+000 with exception , Davao del Norte</t>
  </si>
  <si>
    <t>Purchase Request for MPDC Office.</t>
  </si>
  <si>
    <t>PROPOSED WATER SYSTEM (DRILLING) at P-5, Lumbo, Alubijid, Mis. Or.</t>
  </si>
  <si>
    <t>SUPPLY &amp; DELIVERY OF FIRE FIGHTING SAFETY EQUIPMENT</t>
  </si>
  <si>
    <t>Supply &amp; Delivery og LPG, 50kgs</t>
  </si>
  <si>
    <t>2020-08-0032 - Supply and Delivery of spare parts for use in the replacement of defective parts of H3-6623, Hino Dumptruck, H1-6066, Kia K2700 4X4, H1-6978, Mitsubishi Strada, H1-6977, Mitsubishi Stra</t>
  </si>
  <si>
    <t>20CB-GSC-501	PURCHASE OF DESKTOP COMPUTER FOR SEF</t>
  </si>
  <si>
    <t>SUPPLY AND DELIVERY OF TESTING KITS</t>
  </si>
  <si>
    <t>PROPOSED WATER SYSTEM (DRILLING) at Quiabo, Sampatulog, Alubijid, Mis. Or.</t>
  </si>
  <si>
    <t>Construction of Flood Control, Barangay San Jose (Additional Allocation)</t>
  </si>
  <si>
    <t>SUPPLY, DELIVERY, INSTALLATION, AND COMMISSIONING OF ONE (1) UNIT 32 SLICE COMPUTED TOMOGRAPHY- SCAN MACHINE (CT-SCAN)</t>
  </si>
  <si>
    <t>Construction of Solar Dryer @ Al-aludig, Santiago, Ilocos Sur</t>
  </si>
  <si>
    <t>RFQ 2020-01-0082-SUPPLIES AND MATERIALS FOR THE CONSTRUCTION OF MINI-STAGE AT THE COVERED COURT</t>
  </si>
  <si>
    <t>CLUSTER II - Bulan &amp; Magallanes, Sorsogon</t>
  </si>
  <si>
    <t>PURCHASE OF MOTORBOAT SERVICE FOR TRANSPORTING LSI's, FOR LGU ZUMARRAGA</t>
  </si>
  <si>
    <t>Procurement of Medicines (Vitamins &amp; Medicines)</t>
  </si>
  <si>
    <t>Purchase of Goods/Materials for the Maintenance of Municipal Waterworks System (for brgy. Calayugan, West Balabag, Balugo &amp; East Balabag)</t>
  </si>
  <si>
    <t>CLUSTER III - Irosin, Sorsogon</t>
  </si>
  <si>
    <t>IMPROVEMENT OF ROXAS LAND TRANSPORT TERMINAL</t>
  </si>
  <si>
    <t>SUPPLY AND DELIVERY OF FIRST QUARTER WORKSHEETS OF ELEMENTARY</t>
  </si>
  <si>
    <t>Procurement of Printer</t>
  </si>
  <si>
    <t>Supply &amp; Delivery of Electrical Supplies</t>
  </si>
  <si>
    <t>2020-08-0031 - Supply and Delivery of Spare Parts for Use in H1-5858 Ford Everest, SW assigned at the Office of the District Engineer (Planning and Design Section), Davao del Norte District Engineerin</t>
  </si>
  <si>
    <t>Supply and delivery of Agricultural Chemicals</t>
  </si>
  <si>
    <t>CONSTRUCTION /REHABILITATION OF MULTI-PURPOSE HALL AT BARANGAY SANDOVAL, ROXAS, PALAWAN</t>
  </si>
  <si>
    <t>Supply &amp; Delivery of Smart TV, FULL HD &amp; TV, LED for Bongabong South District &amp; Bongabong North District</t>
  </si>
  <si>
    <t>Supply and Delivery of Drugs and Medicines (Vitamin C) to be used to Strengthen the Immune System Re: Covid-19 Program of the Barangay Bulaon, City of San Fernando, Pampanga</t>
  </si>
  <si>
    <t>Supply and delivery of Materials for the Repair &amp; Maintenance of Office Bldg. (former MSWDO Office) @ Municipal Compound, Nagcarlan, Laguna</t>
  </si>
  <si>
    <t>Porposed Installation of Secondary Metering with 3 Units of 50 KVA Xformer Line to San Antonio</t>
  </si>
  <si>
    <t>2020- 06-718 "Procurement of Various Drugs and Medicines for MOPH Pharmacy (NBB Patient Use)"</t>
  </si>
  <si>
    <t>ITB NO. GOP/20-DSWD-044 - Supply, Delivery and Installation of Office Furniture for the DSWD Central Office - Malasakit Building</t>
  </si>
  <si>
    <t>PROPOSED WATER SYSTEM (DRILLING) at Mapad, Sampatulog, Alubijid, Mis. Or.</t>
  </si>
  <si>
    <t>REHABILITATION OF CANAL AT LUMANG KALYE</t>
  </si>
  <si>
    <t>Supply and Delivery of Medical Supplies to be used during Blood Donations</t>
  </si>
  <si>
    <t>PURCHASE AND DELIVERY OF IT EQUIPMENTS OF DIFFERENT DEPARTMENTS</t>
  </si>
  <si>
    <t>Procurement of Various Office Supplies, Devices &amp; IT Equipment PR # 2020-07-23-280, 2020-07-23-281, 2020-07-23-282, 2020-07-23-283, 2020-07-23-285, 2020-07-23-286, 2020-07-28-291, 2020-07-28-293 &amp; 202</t>
  </si>
  <si>
    <t>CLUSTER IV - Juban &amp; Gubat, Sorsogon</t>
  </si>
  <si>
    <t>Supply &amp; Delivery of Printers for Different Departments</t>
  </si>
  <si>
    <t>PROCUREMENT AND DELIVERY OF SURVEYING INSTRUMENTS for Philrootcrops, VSU-Main, Visca, Baybay City, Leyte (PO20-07-0320)</t>
  </si>
  <si>
    <t>PROJECT-ENSURe-ADM (Enable a Number of Simulation in the Utilization of Relevant Alternative Delivery Mode)</t>
  </si>
  <si>
    <t>20GLC0008 - Supply and Delivery of Office Supplies, Office Equipment Consumables &amp; Janitorial Supplies for use in the office of the District Engineer (Administrative Section)</t>
  </si>
  <si>
    <t>PROCUREMENT FOR MEDICAL SUPPLIES P.R NO. 0734 SERIES 2020</t>
  </si>
  <si>
    <t>2020-07- 899 "Procurement of Various Medical Supplies for the use at MOPH Hematology/Microscopy, Blood Bank (2nd Quarter)"</t>
  </si>
  <si>
    <t>RICE AND OTHER COMMODITIES FOR AFP PNP BFP FOR JULY 2020</t>
  </si>
  <si>
    <t>Repair of Multi-purpose Facility at Barangay New Bulatukan</t>
  </si>
  <si>
    <t>Procurement of Office and Other Supplies for the Different Departments</t>
  </si>
  <si>
    <t>Development of Viewing Deck located at Brgy. Cabagna-an, La Castellana, Negros Occidental</t>
  </si>
  <si>
    <t>Supply and Delivery of Various Office Supplies for the Maintenance of LGU Different Offices for 2020</t>
  </si>
  <si>
    <t>2020-07-890 "Procurement of 5 units Infusion Pump and etc. for MOPH"</t>
  </si>
  <si>
    <t>Procurement of 42" Television with USB Port</t>
  </si>
  <si>
    <t>Signage for Provincial Fisheries Office of Surigao Del Sur And Provincial Fisheries Office of Agusan Del Sur</t>
  </si>
  <si>
    <t>Supply and Delivery of 80,260 bags Urea Fertilizer (Granular) for use under National Rice Program 2020 FLR</t>
  </si>
  <si>
    <t>ONE (1) UNIT 2D ECHOCARDIOLOGY SYSTEM (2D ECHO)</t>
  </si>
  <si>
    <t>Proposed Construction of Street Lights</t>
  </si>
  <si>
    <t>SUPPLY AND DELIVERY OF MATERIALS FOR THE EXTENSION OF COMPOSTING FACILITY AT SO. MAN-AG, BARANGAY IV, ROXAS, PALAWAN</t>
  </si>
  <si>
    <t>CONCRETING OF FARM TO MARKET ROAD at Centro, Sampatulog, Alubijid, Misamis Oriental</t>
  </si>
  <si>
    <t>DIESEL FOR EMERGENCY SITUATION FOR THE MONTH OF JULY  2020</t>
  </si>
  <si>
    <t>Supply &amp; Delivery of Desktop Computers for CFMS, CTAS, NSTP, Library &amp; CADS</t>
  </si>
  <si>
    <t>CONSTRUCTION OF PAGSANGAAN FOOTBRIDGE, BRGY. PAGSANGAAN, PRESENTACION, CAMARINES SUR</t>
  </si>
  <si>
    <t>SUPPLY AND DELIVERY OF BOND PAPER FOR HOME BASED MODULAR DISTANCE LEARNING PROGRAM</t>
  </si>
  <si>
    <t>Supply and Delivery of Surveying Instruments for use of Planning &amp; Design Section, Field Inspection/Validation, Surveying and Mapping Activities of EAAIS, NIA R2, Minante 1, Cauayan City, Isabela</t>
  </si>
  <si>
    <t>Supply and Delivery of Bungulan Suckers for Organic Bungulan Production at Barangay Buhay</t>
  </si>
  <si>
    <t>Supply and Delivery of Projector and Mobile Amplifier</t>
  </si>
  <si>
    <t>PROCUREMENT OF ONE (1) UNIT BRAND NEW 4X2 PICK UP FOR PNP PEACEKEEPER VEHICLE</t>
  </si>
  <si>
    <t>Construction of Solar Dryer @ Bulbulala, Santiago, Ilocos Sur</t>
  </si>
  <si>
    <t>20LB0324 - 66x: Repair Maintenance Of National Roads And Bridges, Selective Replacement Of Concrete Pavement Activities Along Daang Maharlika Road, K1487+500-K1489+600, Davao City</t>
  </si>
  <si>
    <t>Purchase of Plastic Chairs</t>
  </si>
  <si>
    <t>DIESEL AND GASOLINE FOR AFP PNP BFP JULY 2020</t>
  </si>
  <si>
    <t>Rehabilitation of Tarlac-Gerona-Paniqui via San Isidro Provincial Road at Brgy. Sembrano, Gerona, Tarlac - B-CW-2020-036</t>
  </si>
  <si>
    <t>REHABILITATION OF STREET LIGHTING</t>
  </si>
  <si>
    <t>20LB0316 - Repair/Maintenance of National Roads and Bridges, Provision of New Traffic Safety Devices and Signages along Mabuhay-Pañalum-Paquibato Road (K1525+700-K1529+500), Davao City</t>
  </si>
  <si>
    <t>1 PC BROADBAND</t>
  </si>
  <si>
    <t>Rehabilitation of Calipayan-San Sotero-Pitombayog Provincial Road at Brgy. Calipayan and San Sotero, Sta. Ignacia, Tarlac - B-CW-2020-035</t>
  </si>
  <si>
    <t>20LB0323 - 66x: Repair Maintenance Of National Roads And Bridges, Selective Replacement Of Concrete Pavement Activities Along Fatima-Malabog Road (K1513+750 - K1514+233), Mabuhay-Pañalum Road (K1524+9</t>
  </si>
  <si>
    <t>PCADG-5020301000-1143-2020 Office Supplies Expenses  (PCADG)</t>
  </si>
  <si>
    <t>SUPPLIES AND MATERIALS FOR REPAIR AND MAINTENANCE OF CIVIL TECH BLDG. TO BE USED AS WORKSHOP AREA</t>
  </si>
  <si>
    <t>Invitation For Negotiated Procurement: Labor, Equipment and Materials for the Construction of Warehouse in Brgy. Landing, Baliangao, Misamis Occidental</t>
  </si>
  <si>
    <t>PEO-2020-0197 PR2020-0575 INVITATION TO BID FOR THE PROCUREMENT OF LABOR, MATERIALS, AND EQUIPMENT FOR THE CONSTRUCTION OF 2-CLASSROOM SCHOOL BUILDING WITH PWD TOILETS AT MAHANAY HIGH SCHOOL AT MAHANA</t>
  </si>
  <si>
    <t>Construction of Drainage Canal at Dipudo Barangay Site</t>
  </si>
  <si>
    <t>BEMO-2020-0196 PR2020-0563 INVITATION TO BID FOR THE PROCUREMENT OF LABOR, EQUIPMENT, AND MATERIALS FOR THE EXPANSION OF GIANT CLAM HATCHERY AT BFAR, SINANDINGAN, UBAY, BOHOL</t>
  </si>
  <si>
    <t>PROPOSED PATHWAY TO BASKETBALL COURT</t>
  </si>
  <si>
    <t>Printing, Collating, Saddle Stitching and Delivery of Self-Learning Modules to 32 School Districts of the Province of Zamboanga del Sur</t>
  </si>
  <si>
    <t>Procurement of Fuel, Oil &amp; Lubricants</t>
  </si>
  <si>
    <t>SUPPLY AND DELIVERY OF MATERIALS FOR PERIMETER FENCING OF JOLO ELEMENTARY SCHOOL, BARANGAY JOLO, ROXAS, PALAWAN</t>
  </si>
  <si>
    <t>Procurement of Gasoline / Diesel  for Municipality of Pagsanjan ( Different Departments ) for the Period August to December 2020</t>
  </si>
  <si>
    <t>Supply, Delivery, Installation, Programming, Testing and Commissioning of Equipment and Appurtenances for the Upgrading of Inline Booster for Larion Bajo Pumping Station (Re-bidding)</t>
  </si>
  <si>
    <t>Supply and delivery of fuel for the use of the office of the Mayor</t>
  </si>
  <si>
    <t>Supply, delivery and Installation Modular Partitions and Office Furniture at the GAO -Procurement Division</t>
  </si>
  <si>
    <t>Procurement of Catering Services (Packed Meals and Packed AM/PM Snacks) for Launching and Awarding of Hybrid Yellow Corn Program of the Province of Zamboanga del Sur</t>
  </si>
  <si>
    <t>ITB 08-001-20 Supply and Delivery of HYBRID RICE SEEDS (DA IX - RICE PROGRAM)</t>
  </si>
  <si>
    <t>Repair of Slaughterhouse Building at Barangay Magbay, SJOM</t>
  </si>
  <si>
    <t>PCADG-5020301000-1145-2020 Office Supplies Expenses  (DPCR)</t>
  </si>
  <si>
    <t>Purchase of Diesoline</t>
  </si>
  <si>
    <t>Construction of Stream Wall (Flood Control) - Brgy. Gibacungan, Tabango, Leyte</t>
  </si>
  <si>
    <t>Installation of Street Lights</t>
  </si>
  <si>
    <t>SUPPLY &amp; DELIVERY OF MATERIALS FOR THE CONSTRUCTION OF MBP (2ND FLOOR) PHASE II</t>
  </si>
  <si>
    <t>Rehabilitation of Labney-David Provincial Road at Brgy. Labney and David, San Jose, Tarlac - B-CW-2020-034</t>
  </si>
  <si>
    <t>20LB0301 - Repair/Maintenance of DAR Building RO-XI Legal and Planning Office, Catalunan Pequeño, Davao City</t>
  </si>
  <si>
    <t>Construction of ATV Parking Bay and Storeroom at Jose V. Yap Recreational Park, San Juan de Valdez, San Jose, Tarlac - B-CW-2020-037</t>
  </si>
  <si>
    <t>construction/installation of solar lights</t>
  </si>
  <si>
    <t>20CG0261 - Local Infrastructure Program: Buildings and Other Structures – Multipurpose/ Facilities – Construction of Multi-Purpose Building (Covered Court) Dolores, San Fernando, Pampanga</t>
  </si>
  <si>
    <t>Repair of CCTV</t>
  </si>
  <si>
    <t>20CG0260 - Local Infrastructure Program: Buildings and Other Structures – Multipurpose/ Facilities – Construction of Multi-Purpose Building (Covered Court), Brgy. Sto Niño (Sapa), Sto. Tomas, Pampanga</t>
  </si>
  <si>
    <t>20CG0259 - Local Infrastructure Program: Local Roads and Bridges – Local Roads – Improvement of Brgy. Road, San Vicente Apalit, Pampanga</t>
  </si>
  <si>
    <t>Development and Deployment of Philippines Anti-Illegal Drugs Strategy - Agency Reporting and Monitoring System (PADS-ARMS)</t>
  </si>
  <si>
    <t>Animal Health Management for Large Animals, Dogs and Cats</t>
  </si>
  <si>
    <t>Construction of Multi-purpose Public Buildings</t>
  </si>
  <si>
    <t>Purchase of Zinc Phosphide to be used for the Massive Rat Poisoning</t>
  </si>
  <si>
    <t>PRINTER</t>
  </si>
  <si>
    <t>20CG0263 - Construction of Two (2) – Storey, Four (4) Classroom School Building at San Juan Baño High School, Arayat, Pampanga</t>
  </si>
  <si>
    <t>20EA0058 - Construction of 1STY 2CL with Toilets, Cawit NHS, Boac, Marinduque</t>
  </si>
  <si>
    <t>20LB0296 - Repair/Maintenance of DILG Building PNP – Command Barracks Camp. Sgt. Quintin M. Merecido Catitipan, Davao City</t>
  </si>
  <si>
    <t>BEMO-2020-0182 Rebidding INVITATION TO BID FOR THE PROCUREMENT OF HIRING OF THIRD PARTY CERTIFICATION BODY TO ASSESS THE EFFECTIVENESS OF THE EMS IMPLEMENTATION OF THE PGBH IN CONFORMANCE TO THE REQUI</t>
  </si>
  <si>
    <t>Purchase of Diesoline and Plastic Drums</t>
  </si>
  <si>
    <t>JETMATIC PUMP FOR DIFFERENT SITIOS/BARANGAYS OF ESCALANTE CITY</t>
  </si>
  <si>
    <t>Fuel (Garbage Collection, Transport and Disposal)</t>
  </si>
  <si>
    <t>FABRICATION OF STEEL POST FOR STREET LIGHT PROJECT IN THE DIFFERENT BARANGAYS OF ESCALANTE CITY</t>
  </si>
  <si>
    <t>REPRODUCTION OF MODULES AND activity Sheets</t>
  </si>
  <si>
    <t>20EA0057 - Construction of 1STY 3CL, Tungib ES, Buenavista, Marinduque</t>
  </si>
  <si>
    <t>Rehabilitation / Improvement of Multi-Purpose Hall</t>
  </si>
  <si>
    <t>Procurement of Rental of Heavy Equipments</t>
  </si>
  <si>
    <t>VITAMINS</t>
  </si>
  <si>
    <t>20CG0262 - Local Infrastructure Program: Buildings and Other Structures – Multipurpose/ Facilities – Rehabilitation/ Improvement of Multi-Purpose Building (Covention Center), Brgy. Lourdes, City of Sa</t>
  </si>
  <si>
    <t>invitation to bid for the Proposed Construction/Rehabilitation/Improvement of Various Government Building Structures and Facilities under Infra-001-2020</t>
  </si>
  <si>
    <t>SUPPLY AND DELIVERY OF DANGEROUS DRUGS</t>
  </si>
  <si>
    <t>20CG0266 - Construction/ Repair/ Rehabilitation/ Improvement of Various Infrastructure including Local Projects: Local Roads and Bridges – Local Roads – Construction of Aquino By-Way Extension Brgy. C</t>
  </si>
  <si>
    <t>SUPPLY AND DELIVERY OF MEDICINES</t>
  </si>
  <si>
    <t>SUPPLY AND DELIVERY OF MATERIALS FOR REHABILITATION OF WATER SYSTEM, MABUHAY, BAUNGON, BUKIDNON</t>
  </si>
  <si>
    <t>20CW-GSC-024 WATER SUPPLY SYSTEM (INSTALLATION OF WATER SUPPLY FACILITIES OF GSC ABATTOIR, BARANGAY SINAWAL, GENERAL SANTOS CITY</t>
  </si>
  <si>
    <t>CONSTRUCTION OF SANITARY LANDFILL, BRGY. JAPITAN (STRAIGHT CONTRACT LABOR &amp; MATERIALS)</t>
  </si>
  <si>
    <t>AB '20 PROCUREMENT OF DATA BASE</t>
  </si>
  <si>
    <t>SUPPLY AND DELIVERY OF CERTIFIED SEEDS OF PALAY AND VEGETABLES</t>
  </si>
  <si>
    <t>SUPPLY AND DELIVERY OF PROFICIENCY TESTING SAMPLE FOR DOST IX-RSTL</t>
  </si>
  <si>
    <t>Materials for the Reproduction of Modules (1st Quarter)</t>
  </si>
  <si>
    <t>SUPPLY AND DELIVERY OF PCR COLLECTION KIT</t>
  </si>
  <si>
    <t>ENRICHMENT OF OPEN SPACE PARK PROJECT-PHASE 2, ESCALANTE CITY PUBLIC PLAZA (STRAIGHT CONTRACT LABOR &amp; MATERIALS)</t>
  </si>
  <si>
    <t>Supply and delivery of Hardware and Industrial Supplies (ALQ 2020-116)</t>
  </si>
  <si>
    <t>Supply and Delivery of Vehicle (LMDC)</t>
  </si>
  <si>
    <t>PURCHASE OF MEDICAL SUPPLIES FOR HEALTH WORKERS</t>
  </si>
  <si>
    <t>WIDENING OF BARANGAY ROAD @ SITIO LIWANAG BRGY. ESTRELLA, MABINI, BATANGAS</t>
  </si>
  <si>
    <t>Supply and Delivery of Brass Water Meter (Re-bidding)</t>
  </si>
  <si>
    <t>Public Bidding for the Supply and Delivery of Common Borrow for the Repair and Maintenance of Various Brgy. Roads under ITB No. 2020-021</t>
  </si>
  <si>
    <t>Procurement of Air-Conditioning Unit</t>
  </si>
  <si>
    <t>'PB Infra 20-071_Concreting of Carmen - Maridagao Road, Carmen, Cotabato</t>
  </si>
  <si>
    <t>CONSTRUCTION OF GOAT HOUSE (PACKAGE III) AND CONSTRUCTION OF GOAT HOUSE ( PACKAGE IV)</t>
  </si>
  <si>
    <t>Painting of Thermoplastic Pavement Markings along Bukidnon-Cotabato Road</t>
  </si>
  <si>
    <t>1 Lot Information Technology and other internet accessories for Classroom Online Teaching Package</t>
  </si>
  <si>
    <t>Installation of CCTV at Brgy. Ligaya, Mabini, Batangas</t>
  </si>
  <si>
    <t>PURCHASE AND SUPPLIES OF OFFICE EQUIPMENT</t>
  </si>
  <si>
    <t>PB INFRA 20-072_Concreting of Mateo - Linangkob - San Roque Road, Kidapawan City</t>
  </si>
  <si>
    <t>47,000 Liters Liquid Caustic Soda</t>
  </si>
  <si>
    <t>Public Bidding of 4 Lots for the Supply and Delivery of Diesel and Motor Oil for the use of City Mayor’s Office, RCDRRMO, City Engineer’s Office and TATC under ITB No. 2020-020</t>
  </si>
  <si>
    <t>Procurement of Supplies &amp; Materials for Improvement of Municipal Plaza</t>
  </si>
  <si>
    <t>Painting of Thermoplastic Pavement Markings along Kidapawan-Calunasan-M’lang Road</t>
  </si>
  <si>
    <t>PROCUREMENT FOR SUPPLY AND DELIVERY OF THE FOLLOWING OFFICE FURNITURE’S</t>
  </si>
  <si>
    <t>Repair and Maintenance (Volvo Excavator EC140 B LC)</t>
  </si>
  <si>
    <t>RFQ No. 2020 -02 - Printing of Modules Week 1 and 2</t>
  </si>
  <si>
    <t>Procurement of Early Warning System/Public Address Speaker</t>
  </si>
  <si>
    <t>Printed T-shirt (Conduct of Information Dissemination and Continuing Campaign (IDCEC) on Greencom Advocacy Program)</t>
  </si>
  <si>
    <t>PROCUREMENT FOR SUPPLY AND INSTALLATION OF IPPBX</t>
  </si>
  <si>
    <t>INSTALLATION OF STREET LIGHTS</t>
  </si>
  <si>
    <t>CONCRETING OF MUNICIPAL ACCESS ROAD PUROK 4 IMBATUG BAUNGON BUKIDNON</t>
  </si>
  <si>
    <t>Purchase of Assorted Essential Goods for the Constituents of Brgy. Sto. Cristo.</t>
  </si>
  <si>
    <t>Construction of Brgy. Multi-Purpose Building, Brgy. Site, Brgy. Lancheta, Tacurong City</t>
  </si>
  <si>
    <t>Supply and Delivery of Heavy Duty Outdoor Speakers with tripod for the Gender and Development Program of Barangay Central Signal (2nd Posting)</t>
  </si>
  <si>
    <t>2nd posting  of 3 in 1 printer</t>
  </si>
  <si>
    <t>PUBLICATION OF MUNICIPAL ORDINANCE NO. 05 SERIES OF 2020</t>
  </si>
  <si>
    <t>Rehabilitation of Comfort Room, Brgy. Site, Brgy. Lancheta, Tacurong City</t>
  </si>
  <si>
    <t>Public Bidding for the Supply and Delivery of Detachable Tablet Laptops and Printer for City Mayor’s Office under ITB No. 2020-023</t>
  </si>
  <si>
    <t>Procurement of 40540.54 kilos Hazardous Hospital Waste Management of Cebu City Medical Center.</t>
  </si>
  <si>
    <t>SUPPLY &amp; DELIVERY OF VARIOUS OFFICE EQUIPMENT ( HEAVY DUTY RISOGRAPH &amp; HEAVY DUTY PRINTER/PHOTOCOPIER</t>
  </si>
  <si>
    <t>20CW-GSC-023 CONSTRUCTION OF WATER SYSTEM AT BADJAO VILLAGE, BARANGAY SIGUEL, GENERAL SANTOS CITY</t>
  </si>
  <si>
    <t>Procurement of 33 Packs Chromogenic Substrate and various items.</t>
  </si>
  <si>
    <t>SUPPLY AND DELIVERY OF DRUGS AND MEDICINES FOR VARIOUS  HEALTH CENTERS AT SOUTH CALOOCAN CITY</t>
  </si>
  <si>
    <t>PURCHASE OF MEDICAL SUPPLIES FOR FRONT LINERS OF COVID-19</t>
  </si>
  <si>
    <t>Public Bidding for the Supply and Delivery of Drone Camera, High Performance Directional Microphone, Battery Bank, Radio Monitor and External Hard Drive for the use of Roxas City Communications Group</t>
  </si>
  <si>
    <t>Supply and delivery of Office Supplies (EPM 2020-113)</t>
  </si>
  <si>
    <t>Rehabilitation/Repair of Damaged River Control at Guiwan, Pob., MZDS (at sect. 1: right side near bamboo tree; sect. 2: leftside residential conc. fence)</t>
  </si>
  <si>
    <t>SUPPLY AND DELIVERY OF DRUGS AND MEDICINES FOR VARIOUS HEALTH CENTERS AT NORTH CALOOCAN CITY</t>
  </si>
  <si>
    <t>Construction of Drainage @ Brgy. Talaga Proper, Mabini, Batangas</t>
  </si>
  <si>
    <t>Fuel (Monitoring All Agricultural and Fishery Projects)</t>
  </si>
  <si>
    <t>Procurement of 55,200 Tons Garbage (Solid Waste) Disposal Services.</t>
  </si>
  <si>
    <t>Supply and Delivery of 550 Boxes Continuous Form and other 550 Boxes Continuous Form and other items items.</t>
  </si>
  <si>
    <t>PURCHASE OF ONE UNIT MULTIFUNCTION PRINTER</t>
  </si>
  <si>
    <t>20MH0112 - Concreting of Brgy. Kiadzam to Sitio Dongdong, Brgy. Kiadzam FMR</t>
  </si>
  <si>
    <t>SUPPLY AND DELIVERY OF MATERIALS FOR THE REHABILITATION OF PIPE LINES / BRGY. LUCSOON</t>
  </si>
  <si>
    <t>PB-20-431, Supply &amp; Delivery of IV Fluids for Aleosan District Hospital, Aleosan, Cotabato</t>
  </si>
  <si>
    <t>SUPPLY AND DELIVERY OF OFFICE AND JANITORIAL SUPPLIES  AND DEVICES  FOR VARIOUS OFFICES OF THE CITY GOVERNMENT</t>
  </si>
  <si>
    <t>Rehabilitation of Health Center, Brgy. Site, Brgy. D’Ledesma, Tacurong City (Re-bidding)</t>
  </si>
  <si>
    <t>ITB-GS-20200609-01(2) - Online Competency Assessment</t>
  </si>
  <si>
    <t>PB-20-432, Supply &amp; Delivery of Alcohol for different divisions of Provincial Governor’s Office, Amas, Kidapawan CIty</t>
  </si>
  <si>
    <t>2020-07-0173 - PROCUREMENT OF HARDWARE CONSTRUCTION AND SUPPLIES FOR REPLACEMENT/REHABILITATION OF DAMAGED CONCRETE PAVEMENT OF ALONG KALILANGAN - LAMPANUSAN ROAD,  (INTERMITTENT SECTIONS), KALILANGAN</t>
  </si>
  <si>
    <t>PB-20-429, Supply &amp; Delivery of Mobility Assistant Devices for mental health patients</t>
  </si>
  <si>
    <t>SUPPLY AND DELIVERY OF MATERIALS FOR THE REBLOCKING OF BRGY. ROAD (ZONE III) / BRGY. VILLACANEJA</t>
  </si>
  <si>
    <t>DSWD NNP NO. 20-GOP-SVC-003 - “HIRING OF RISK MANAGEMENT CONSULTANT”  (Individual Consultant)</t>
  </si>
  <si>
    <t>REPAIR AND MAINTENANCE OF VARIOUS SCHOOLS, PAGUDPUD, ILOCOS NORTE</t>
  </si>
  <si>
    <t>PB-20-430, Supply &amp; Delivery of IV Fluids for Dr. Amado Diaz Provincial Foundation Hospital, Midsayap, Cotabato</t>
  </si>
  <si>
    <t>2020-07-0172 - PROCUREMENT OF HARDWARE CONSTRUCTION SUPPLIES FOR REPAIR OF MAJOR ROADSIDE STRUCTURE (SLOPE PROTECTION) ALONG KIBAWE-KADINGILAN ROAD, PANGANTUCAN BUKIDNON</t>
  </si>
  <si>
    <t>PB-20-428, Supply &amp; Delivery of Medicines for mental health patients</t>
  </si>
  <si>
    <t>PB-20-389, Supply &amp; Delivery of Medical Equipment for Aleosan District Hospital, Aleosan, Cotabato</t>
  </si>
  <si>
    <t>PUBLICATION OF MUNICIPAL ORDINANCE NO. 02 SERIES OF 2020</t>
  </si>
  <si>
    <t>SUPPLY AND DELIVERY OF MATERIALS FOR THE CONSTRUCTION OF BRGY. CALUMPANG  ARC</t>
  </si>
  <si>
    <t>PROCUREMENT OF THREE (3) UNITS LIGHT-DUTY TRUCK FOR PSWDO FEEDING PROGRAM</t>
  </si>
  <si>
    <t>Supply &amp; delivery of materials for the Improvement of Road ( Purok 5 ) at Barangay Boot, Tanauan City, Batangas</t>
  </si>
  <si>
    <t>2ND POSTING OF LAWN MOWER</t>
  </si>
  <si>
    <t>REHABILITATION OF DRAINAGE SYSTEM ( CHB LINING / CANAL COVER )</t>
  </si>
  <si>
    <t>20CG0264 - Construction of Two (2) – Storey, Four (4) Classroom School Building at Mapaniqui Elementary, Candaba, Pampanga</t>
  </si>
  <si>
    <t>20CG0265 - Construction of Two (2) – Storey, Four (4) Classroom School Building at Potrero NHS, Bacolor, Pampanga</t>
  </si>
  <si>
    <t>CONSTRUCTION OF GREENHOUSE (PACKAGE 1) AND CONSTRUCTION OF RAIN SHELTER( PACKAGE II)</t>
  </si>
  <si>
    <t>PGSO-2020-0194 PR2020-0561 INVITATION TO BID FOR THE PROCUREMENT OF CANOPY FOR TENT AND TENTS WITH CANOPY FOR USE AT PGBH ACTIVITIES AT NEW CAPITOL BUILDING AND OTHER FACILITIES</t>
  </si>
  <si>
    <t>INSTALLATION OF STREETLIGHTS</t>
  </si>
  <si>
    <t>OPA-FISHERIES-2020-0193 PR2020-0551 INVITATION TO BID FOR THE PROCUREMENT OF SPINY BAMBOO, B-NET, P.E. ROPES, AND MONONYLON</t>
  </si>
  <si>
    <t>INVITATION TO BID FOR THE CONSTRUCTION OF FENCE AND GATE (FRONT) AT MATERIAL RECOVERY FACILITY, BARANGAY QUIBAOL, LINGAYEN, PANGASINAN</t>
  </si>
  <si>
    <t>100-2020-07-915 Supply and delivery of construction materials and supplies</t>
  </si>
  <si>
    <t>Procurement of Three (3) Units Passenger Van and One (1) Unit Multi-Purpose Vehicle in Batangas State University, Pablo Borbon Main I</t>
  </si>
  <si>
    <t>REHABILITATION OF ACCOUNTING OFFICE AND NATIONAL CHILD DEVELOPMENT CENTER (NCDC) BUILDING</t>
  </si>
  <si>
    <t>Procurement of Various Drugs and Medicines</t>
  </si>
  <si>
    <t>Procurement of Various Hospital Equipment and Instruments</t>
  </si>
  <si>
    <t>Supply and delivery of 50 sets Marine Gillnets for Basilan Province under 2020 block grant</t>
  </si>
  <si>
    <t>construction of road</t>
  </si>
  <si>
    <t>Construction of 1 unit of Solar Dryer for Seaweed  Buying Stations for Basilan Province under 2020 block grant</t>
  </si>
  <si>
    <t>Public Bidding: Printing and Delivery of K to 12 Learning Modules</t>
  </si>
  <si>
    <t>Rebidding of Various Laboratory Reagents and Supplies and Procurement of Molecular Laboratory Supplies</t>
  </si>
  <si>
    <t>INVITATION TO BID-HANDLING SERVICES FOR NFA-REGION XII FOR CY 2020</t>
  </si>
  <si>
    <t>CONSTRUCTION OF 1-CL SCHOOL BUILDING GAMABAN ELEMENTARY SCHOOL</t>
  </si>
  <si>
    <t>Procurement of Meter Seals – Acceptance Test</t>
  </si>
  <si>
    <t>IMROVEMENT OF BARANGAY HALL</t>
  </si>
  <si>
    <t>Procurement of Three (3) Units Fabricated Truck Body (Mobile Kitchen)  for PSWDO Feeding Program</t>
  </si>
  <si>
    <t>Procurement of Calibration Equipment in Batangas State University, Pablo Borbon Main II</t>
  </si>
  <si>
    <t>PB-20-436, Supply &amp; Delivery of Fertilizers to be given to farmers affected by earthquake provincewide</t>
  </si>
  <si>
    <t>RFQ No. 2020-184 "Procurement of Refrigerant R-22 Freon"</t>
  </si>
  <si>
    <t>PEO-2020-0195 PR2020-0562 INVITATION TO BID FOR THE PROCUREMENT OF ANAPOG</t>
  </si>
  <si>
    <t>Procurement of SK Supplies (Online KK Assembly)</t>
  </si>
  <si>
    <t>PB-20-434, Supply &amp; Delivery of Vegetable Seeds to be given to farmers affected by earthquake provincewide</t>
  </si>
  <si>
    <t>REHABILITATION OF STREETLIGHTS</t>
  </si>
  <si>
    <t>Supply &amp; Delivery of Books and Other Library Resources</t>
  </si>
  <si>
    <t>Procurement of Paper Supplies for the Reproduction of Locally/Centrally-Developed Learning Resources</t>
  </si>
  <si>
    <t>SUPPLY AND DELIVERY OF MATERIALS FOR THE CONCRETE PAVING OF PATHWAY / BRGY. CALUMPANG</t>
  </si>
  <si>
    <t>2020-07-935 "Procurement of Two (2) units 6-Wheeler 4000L PTO Fire Truck"</t>
  </si>
  <si>
    <t>Supply &amp; Delivery of TV for CFMS &amp; Admin</t>
  </si>
  <si>
    <t>REPAIR AND MAINTENANCE OF LGU HEAVY EQUIPMENT</t>
  </si>
  <si>
    <t>20CB-GSC-500	PURCHASE OF CAMERA FOR SEF</t>
  </si>
  <si>
    <t>To provide advocacy materials to advocate DSWD-DRMD programs</t>
  </si>
  <si>
    <t>PB-20-435, Supply &amp; Delivery of Laboratory Equipment for Biocon Laboratory, Office of the Provincial Agriculturist, Amas, Kidapawan City</t>
  </si>
  <si>
    <t>Supply and Delivery of 1 Unit Meat Van</t>
  </si>
  <si>
    <t>Supply, Delivery and Installation of Ten (10) Units Customized Stainless Fence Grills</t>
  </si>
  <si>
    <t>Completion of ICT Four Storey Reinforced Concrete Building (Phase IV)</t>
  </si>
  <si>
    <t>Construction of Large Materials Recovery Facility (MRF)</t>
  </si>
  <si>
    <t>Supply and Delivery of two (2) units of Air-Conditioning</t>
  </si>
  <si>
    <t>Concreting of Road at Central National High School, Barangay Central, SJOM</t>
  </si>
  <si>
    <t>PB-20-433, Supply &amp; Delivery of Various Equipment to be given to various clients in the province</t>
  </si>
  <si>
    <t>Continuation of Payanan Research and Development Center Food Production and Related Facility Phase IV</t>
  </si>
  <si>
    <t>Supply, Delivery and Installation of Customized Stainless Main, Entrance and Exit Gates</t>
  </si>
  <si>
    <t>CONTRACT ID #: 19-10-195 = COMPLETION OF DIPOLOG CHO (PHASE II)</t>
  </si>
  <si>
    <t>Purchase of Communication Equipment (Mobile Phones)</t>
  </si>
  <si>
    <t>100-2020-02-308 Supply and delivery of 4 units ambulance</t>
  </si>
  <si>
    <t>UPGRADING OF TSU ADVANCED TECHNOLOGY TRAINING LABORATORY</t>
  </si>
  <si>
    <t>GEOTECHNICAL SUB SURFACE EXPLORATION: PACKAGE No. 03-2021, ALL IN NORTH COTABATO</t>
  </si>
  <si>
    <t>SUPPLY AND DELIVERY OF AGRI MARINE SUPPLIES AND OTHER MATERIALS FOR CRM PROGRAM</t>
  </si>
  <si>
    <t>Supply and Delivery of Construction Materials for Repair and Rehabilitation of Various projects in our barangay (2nd Posting)</t>
  </si>
  <si>
    <t>100-2020-07-849 Supply and delivery of 1 unit power rated 270kw (340KA) generator – diesel engine</t>
  </si>
  <si>
    <t>CONSTRUCTION OF MULTI-PURPOSE BUILDING, BARANGAY STA. FE</t>
  </si>
  <si>
    <t>Procurement of General Merchandise</t>
  </si>
  <si>
    <t>Procurement of ENVIRONMENTAL HEALTH/SAFETY EQUIPMENT</t>
  </si>
  <si>
    <t>Supply and delivery of 120 sets Squid Jig for Basilan Province under 2020 block grant</t>
  </si>
  <si>
    <t>Concreting/Construction/Widening of Climate Change Resilient road at Barangay Nonong Casto, Lemery, Batangas</t>
  </si>
  <si>
    <t>Concreting/Construction/Widening of Climate Change Resilient road at Barangay Gulod, Lemery, Batangas</t>
  </si>
  <si>
    <t>100-2020-01-129 Supply and delivery of 1unit truck (light cargo truck) with open/drop-side cargo hol, 18 ft.</t>
  </si>
  <si>
    <t>Reproduction of Modules for Learners</t>
  </si>
  <si>
    <t>Purchase &amp; Delivery of Common Borrow for the project Construction of Evacuation Center, Phase III, Brgy. Day-asan</t>
  </si>
  <si>
    <t>SUPPLY AND DELIVERY OF ROTARY TILLERS</t>
  </si>
  <si>
    <t>MODERNIZATION OF LABORATORY EQUIPMENT FOR BACHELOR OF SCIENCE IN ELECTRICAL ENGINEERING,Rebid</t>
  </si>
  <si>
    <t>Purchase &amp; Delivery of Common Borrow for the project Filling of Brgy. Site, Brgy. Day-asan</t>
  </si>
  <si>
    <t>(PAO)  INVITATION TO BID FOR THE SUPPLY AND DELIVERY OF 6,000 PCS GRAFTED CACAO SEEDLINGS AND 4,000 PCS TISSUE CULTURED BANANA FOR THE  PROVINCIAL AGRICULTURAL OFFICE (PAO)</t>
  </si>
  <si>
    <t>Purchase &amp; Delivery of Construction Materials &amp; Supplies for the project Construction of Kiosk of Brgy. Mabini Park, Brgy. Mabini</t>
  </si>
  <si>
    <t>PURCHASE OF MIXED GRAVEL AND SAND FOR REGRAVELLING OF FARM TO MARKET ROAD AT  HACIENDA-INTAL, BAGGAO, CAGAYAN</t>
  </si>
  <si>
    <t>B PACKAGE 2020 – 01: Rehabilitation of Pathways, Barangay Road and Construction/Completion of Tribunal Center/Multi-purpose Hall</t>
  </si>
  <si>
    <t>Purchase &amp; Delivery of Construction Materials &amp; Supplies for the project Construction of Line Canal with Box Culvert, Brgy. Anomar</t>
  </si>
  <si>
    <t>Purchase of 1,550 liters of Diesel fuel for the improvement of farm to market roads at San Antonio, Baggao, Cagayan</t>
  </si>
  <si>
    <t>PURCHASE OF MATERIALS FOR THE CONSTRUCTION OF CANAL LININGS (ZONE 4) AT MASICAL, BAGGAO, CAGAYAN</t>
  </si>
  <si>
    <t>Repair of FMB Annex A Building Roof</t>
  </si>
  <si>
    <t>SUPPLY AND DELIVERY OF FOODS (CATERING SERVICES) FOR QUARTERLY MEETING OF BRGY. COUNCIL FOR THE PROTECTION OF CHILDREN</t>
  </si>
  <si>
    <t>Concreting/Construction/Widening of Climate Change Resilient road at Barangay Payapa Ibaba, Lemery, Batangas</t>
  </si>
  <si>
    <t>PURCHASE OF MIXED AND SAND FOR THE IMPROVEMENT OF FARM TO MARKET ROADS  AT MASICAL, BAGGAO, CAGAYAN</t>
  </si>
  <si>
    <t>PROCUREMENT OF IT EQUIPMENT</t>
  </si>
  <si>
    <t>Construction of Public Comfort Room Brgy. Balibayon, Surigao City</t>
  </si>
  <si>
    <t>100	pcs.	2" x 4"x 12' Coco lumber, etc. PR # 319-20</t>
  </si>
  <si>
    <t>BOLT</t>
  </si>
  <si>
    <t>100	pcs.	Good lumber, 2"x3"x10' (Gmelina), etc. PR # 316-20</t>
  </si>
  <si>
    <t>25	pcs.	2" x 3" x 10' G.melina, etc. PR # 293-20</t>
  </si>
  <si>
    <t>141	bags	Portland Cement, 40 kg, etc. PR # 238-20</t>
  </si>
  <si>
    <t>PROCUREMENT OF MATERIALS FOR THE IMPROVEMENT OF MULTIPURPOSE/EVACUATION CENTER</t>
  </si>
  <si>
    <t>20	pcs.	2" x 6" x 12' G.melina, etc. PR # 281-20</t>
  </si>
  <si>
    <t>Construction of triple barrel box culvert  and road barrier at Toclong, Pinagkaisa Resettlement Area, Kawit, Cavite.</t>
  </si>
  <si>
    <t>Construction of One (1) Unit Post Harvest Facility with Multi-Purpose Drying Pavement (INFRA2020-11)</t>
  </si>
  <si>
    <t>Purchase of materials for the construction of canal lining  (zone 7) at Masical, Baggao, Cagayan</t>
  </si>
  <si>
    <t>Other Supplies/Janitorial Supplies - Various Offices</t>
  </si>
  <si>
    <t>5	pcs.	2" x 6" x 10' G.melina, etc. PR # 280-20</t>
  </si>
  <si>
    <t>30	pcs.	2" x 6" x12' G.melina/Mahogany, etc. PR # 420-19</t>
  </si>
  <si>
    <t>PR 1-20-07-0887, FOR USE IN RICE PRODUCTION PROGRAM, CITY AGRICULTURE OFFICE, THIS CITY.</t>
  </si>
  <si>
    <t>PR 1-20-07-0869, FOR USE OF OFFICE OF THE BUILDING OFFICIAL, CITY ENGINEERING DEPARTMENT.</t>
  </si>
  <si>
    <t>PR 1-20-07-0867, FOR USE OF CITY HEALTH OFFICE IN CONNECTION WITH VOLUNTARY BLOOD DONATION PROGRAM.</t>
  </si>
  <si>
    <t>PR 1-20-07-0846, FOR THE PURCHASE OF ANTI-HUMAN RABIES VACCINES AS PART OF CITY HEALTH OFFICE ANTI-RABIES PROGRAM.</t>
  </si>
  <si>
    <t>PR 1-20-07-0842, TO BE USE BY THE CITY TOURISM OFFICE.</t>
  </si>
  <si>
    <t>Procurement of one (1) lot Laboratory Examinations and Diagnostic Procedures Send Out for 2020</t>
  </si>
  <si>
    <t>Construction of Drainage Canal – Prk 02 (INFRA2020-10)</t>
  </si>
  <si>
    <t>PR 1-20-07-0840, FOR USE IN ORGANIC AGRICULTURE DEVELOPMENT PROGRAM, CITY AGRICULTURE OFFICE, THIS CITY.</t>
  </si>
  <si>
    <t>PR 1-20-07-0811, TO BE USED BY THE COOPERATIVES AND LIVELIHODD DEVELOPMENT OFFICE (CLDO).</t>
  </si>
  <si>
    <t>Folded Tables, Monoblock Chairs, Retractable Tent and Water Dispenser - Office of the City Vice-Mayor</t>
  </si>
  <si>
    <t>Supply and Delivery of Flash Drive for Flexible Learning</t>
  </si>
  <si>
    <t>PR 1-20-07-0845, FOR USE OF CITY HEALTH OFFICE IN CONNECTION WITH FAMILY PLANNING PROGRAM (CY 2020).</t>
  </si>
  <si>
    <t>10	boxes	Diluent; 20 li/box - Reagents for Abacus 380 HemaAnalyzer, etc. PR # 531-20</t>
  </si>
  <si>
    <t>SUPPLY AND DELIVERY OF VARIOUS TESTING KITS TO BE USED FOR HEALTH SERVICES IN THE MUNICIPALITY</t>
  </si>
  <si>
    <t>15 gals liquid tile primer white</t>
  </si>
  <si>
    <t>20	pcs.	2" x3"x12' G.melina, etc. PR # 458-20</t>
  </si>
  <si>
    <t>4	gals.	All purpose adhesive, 4liters/gal., etc. PR # 355-20</t>
  </si>
  <si>
    <t>Supply and Installation of Air-conditioning Units at Various Offices</t>
  </si>
  <si>
    <t>SUPPLY AND DELIVERY OF ONE (1) UNIT SILENT DIESEL GENERATOR SET TO BE USED/INSTALLED AT THE NEW MUNICIPAL BUILDING</t>
  </si>
  <si>
    <t>PR 1-20-07-0824, FOR USE OF VARIOUS EQUIPMENT ASSIGNED AT CED, THIS CITY.</t>
  </si>
  <si>
    <t>Desktop Computers w/ Printers and CCTV Monitoring Equipment - Office of the City Mayor</t>
  </si>
  <si>
    <t>30	bags	Portland Cement (40kg/bag)type 1, etc. PR # 335-20</t>
  </si>
  <si>
    <t>Desktop Computer with Printer - Office of the City Mayor</t>
  </si>
  <si>
    <t>20	pcs.	2" x 6" x 12' G.melina, etc. PR # 430-20</t>
  </si>
  <si>
    <t>Construction of Drainage Canal Quezon Ave. (Beside SKSU), Brgy. Poblacion, City of Tacurong</t>
  </si>
  <si>
    <t>Supply and Delivery of Brass Water Meters</t>
  </si>
  <si>
    <t>Concreting of Marikit-Mulawin Road (INFRA2020-09)</t>
  </si>
  <si>
    <t>RFQ-2020-02-0143-ACQUISITION OF INSTRUCTIONAL EQUIPMENT</t>
  </si>
  <si>
    <t>P – 2020 – 16: Road Opening of Pangao – Leseb</t>
  </si>
  <si>
    <t>P – 2020 – 15: Improvement/Rehabilitation/Construction of BHS, Flood Control, RCA and Box Culvert</t>
  </si>
  <si>
    <t>SUPPLY AND DELIVERY OF CONSTRUCTION MATERIALS FOR THE CONSTRUCTION OF BARANGAY RISK REDUCTION MANAGEMENT (BDRRM) OFFICE - PHASE I</t>
  </si>
  <si>
    <t>PR 1-20-07-0825, FOR USE IN THE STREET LIGHTING MAINTENANCE AT RURAL AND  URBAN BARANGAYS AND LOCAL GOVERNMENT-OWNED BUILDINGS/FACILITIES., THIS CITY CY-2020.</t>
  </si>
  <si>
    <t>B-010-2020-A SUPPLY AND DELIVERY 1 LOT OFFICE FURNITURE, FIXTURES AND EQUIPMENT - NEGOTIATED</t>
  </si>
  <si>
    <t>SUPPLY AND DELIVERY OF CONSTRUCTION MATERIALS FOR THE REHABILITATION OF ONE (1) SPAN MULTI-PURPOSE HALL</t>
  </si>
  <si>
    <t>B-011-2020 SUPPLY AND DELIVERY 1 UNIT STEEL CABINET - NEGOTIATED</t>
  </si>
  <si>
    <t>2020-08-118 Procurement of Various IT Equipment</t>
  </si>
  <si>
    <t>Rehabilitation of Foot Bridge at Barangay Bodega, Floridablanca, Pampanga</t>
  </si>
  <si>
    <t>repair &amp; maintenance of various service vehicles</t>
  </si>
  <si>
    <t>336	pcs.	2" x 6" x 12' G.melina, etc. PR # 459-20</t>
  </si>
  <si>
    <t>supply, delivery &amp; installation of Acrylic Clear Cast Protective Screen</t>
  </si>
  <si>
    <t>supply &amp; delivery of Various Dental Equipment</t>
  </si>
  <si>
    <t>B-010-2020-C SUPPLY AND DELIVERY 1 UNIT SOUND SYSTEM - NEGOTIATED</t>
  </si>
  <si>
    <t>B-010-2020-B SUPPLY AND DELIVERY 1 LOT IT EQUIPMENT, ACCESSORIES AND PERIPHERALS - NEGOTIATED</t>
  </si>
  <si>
    <t>Office Supplies - Various Offices</t>
  </si>
  <si>
    <t>supply &amp; delivery of Various Office Supplies &amp; Equipment</t>
  </si>
  <si>
    <t>PR 1-20-07-0916, TO BE USED BY CITY DISASTER RISK REDUCTION AND MANAGEMENT OFFICE FOR FILE BACK UP.</t>
  </si>
  <si>
    <t>supply &amp; delivery of Various Construction Materials</t>
  </si>
  <si>
    <t>SUPPLY AND DELIVERY OF CONSTRUCTION MATERIALS FOR THE EXTENSION OF MULTI-PURPOSE HALL</t>
  </si>
  <si>
    <t>PURCHASE OF FURNITURES AND FIXTURES</t>
  </si>
  <si>
    <t>B-015-2020 SUPPLY AND DELIVERY OF 1 SET DESKTOP COMPUTER WITH COMPLETE ACCESSORIES - NEGOTIATED</t>
  </si>
  <si>
    <t>PURCHASE OF MATERIALS FOR THE CONSTRUCTION/REHAB OF DRAINAGE SYSTEM/DECLOGGING OF CANALS</t>
  </si>
  <si>
    <t>PR 9-20-06-0794, FOR USE OF SAN CARLOS CITY HOSPITAL, THIS CITY.</t>
  </si>
  <si>
    <t>PROCUREMENT OF MATERIALS FOR MDRRMO  MITIGATION AND RECOVERY PROGRAM</t>
  </si>
  <si>
    <t>PURCHASE OF MATERIALS FOR THE CONSTRUCTION/REHABILITATION OF EVACUATION CENTER</t>
  </si>
  <si>
    <t>Construction of Barangay Road</t>
  </si>
  <si>
    <t>rent to own one(1) unit total station</t>
  </si>
  <si>
    <t>PURCHASE ANDE DELIVERY OF IT EQUIPMENT</t>
  </si>
  <si>
    <t>PURCHASE AND DELIVERY OF ASSORTED  TOOLS AND GADGETS TO BE USED BY THE LDRRM OFFICE OF BURGOS, LA UNION</t>
  </si>
  <si>
    <t>PURCHASE OF MATERIALS FOR THE REHABILITATION OF WATER SYSTEM</t>
  </si>
  <si>
    <t>Invitation to Bid for the Construction of RHU I Building and Birthing Facility at Avenida Rizal west, Barangay Poblacion, Lingayen, Pangasinan</t>
  </si>
  <si>
    <t>Construction/Concreting of Local Access Road From Barangay San Vicente to Barangay Gobon</t>
  </si>
  <si>
    <t>Purchase of Printers and USB Falshdrives</t>
  </si>
  <si>
    <t>Installation of Flood Light for Covered Court</t>
  </si>
  <si>
    <t>PR 1-20-07-0910, FOR USE IN TECHNICAL AND MARKET SUPPORT FOR INTEGRATED FARMING SYSTEM, CITY AGRICULTURE OFFICE, THIS CITY.</t>
  </si>
  <si>
    <t>PR 1-20-07-0893, FOR USE OF THE CITY MAYOR’S OFFICE, THIS CITY.</t>
  </si>
  <si>
    <t>Construction of Human Resource Development Center at P-1A,P-1B, P-3 &amp; P-5</t>
  </si>
  <si>
    <t>KC-2020-07-0300: Catering Services For the conduct of PAMANA CEAC Activities Cycle 2 in the municipality of Labangan,ZDS</t>
  </si>
  <si>
    <t>Installation of Municipal Lighting System 3 Phase</t>
  </si>
  <si>
    <t>20	bags	Cement, etc. PR # 481-20</t>
  </si>
  <si>
    <t>Invitation to Bid for the Rehabilitation of Perimeter Plaza at Barangay Poblacion, Lingayen, Pangasinan</t>
  </si>
  <si>
    <t>Continuation of Barangay Road Concreting @ Purok 1</t>
  </si>
  <si>
    <t>CONTACTOR</t>
  </si>
  <si>
    <t>30	pcs.	2" x 2" x 12' G.melina, etc. PR # 487-20</t>
  </si>
  <si>
    <t>HARDWARE SUPPLIES</t>
  </si>
  <si>
    <t>PR 1-20-07-0892, FOR USE IN FREE RANGE CHICKEN UPGRADING AND MULTIPLIER FARM PROGRAM, CITY AGRICULTURE OFFICE, THIS CITY.</t>
  </si>
  <si>
    <t>Innova Tire,Coolant,Brake Fluid,etc....</t>
  </si>
  <si>
    <t>Diesel Fuel</t>
  </si>
  <si>
    <t>TAPE</t>
  </si>
  <si>
    <t>COVERING OF THE DRAINAGE OF THE EVACUATION CENTER</t>
  </si>
  <si>
    <t>CIRCUIT BREAKER</t>
  </si>
  <si>
    <t>1	set	Panel board, moulded circuit breaker, 40 Amp center, etc. PR # 601-20</t>
  </si>
  <si>
    <t>Contruction/Improvement of Road Network &amp; Facilities @ Quezon St., Camunggay Road, Pob. North</t>
  </si>
  <si>
    <t>student ID SHS</t>
  </si>
  <si>
    <t>Supply and Delivery of Nine (9) Desktop and Six (6) Laptop for ICAB</t>
  </si>
  <si>
    <t>SUPPLY &amp; DELIVERY OF FOOD PACKAGING SUPPLIES</t>
  </si>
  <si>
    <t>Purchase of Service Drop Wire for Electrification of All Barangay</t>
  </si>
  <si>
    <t>70	bags	Portland Cement (40kg/bag)type 1, etc. PR # 574-20</t>
  </si>
  <si>
    <t>MULTI-PURPOSE ROOFING OF THE EVACUATION CENTER</t>
  </si>
  <si>
    <t>20	pcs	2" x 6" x 12' G. Melina, etc. PR # 573-20</t>
  </si>
  <si>
    <t>25	bag	Portland Cement, etc. PR # 630-20</t>
  </si>
  <si>
    <t>170	pcs.	Lumber Coco - 2" x 2" x 10, etc. PR # 547-20</t>
  </si>
  <si>
    <t>SUPPLY AND DELIVERY OF CONSTRUCTION MATERIALS FOR THE CONSTRUCTION OF MULTI-PURPOSE HALL PHASE II</t>
  </si>
  <si>
    <t>80	pcs.	Lumber Coco - 2" x 2" x 10, etc. PR # 546-20</t>
  </si>
  <si>
    <t>Supply and delivery of materials for construction of drainage canal &amp; MRF of brgy nangka</t>
  </si>
  <si>
    <t>140 bags Portland Cement 40 kgs and other items for construction of 2 storey gender sensitive living quarter of girls CICL/CAR at Dumaguete Youth Home at Brgy/ Talay-1st Revision.</t>
  </si>
  <si>
    <t>50	pcs.	Marker Bouys, (50cm. dia., plastic), orange, etc. PR # 530-20</t>
  </si>
  <si>
    <t>Improvement of Concrete Stage Phase I</t>
  </si>
  <si>
    <t>Procurement of Supplies for the daily operation of Project Management Office for the 2nd and 3rd Quarter of 2020</t>
  </si>
  <si>
    <t>Procurement of construction materials for  Construction of Potable Water System @ Laya</t>
  </si>
  <si>
    <t>Meals &amp; Snacks for 165 pax</t>
  </si>
  <si>
    <t>Improvement Rehabilitation and Modernisation of Barangay Multi-Purpose Hall</t>
  </si>
  <si>
    <t>34	Igth.	2' Ø x 10' PVC Pipe (S-1000), etc. PR # 488-20</t>
  </si>
  <si>
    <t>AIRCONDITIONING UNIT</t>
  </si>
  <si>
    <t>SUPPLY AND DELIVERY OF MATERIALS FOR THE IMPROVEMENT OF MULTI-PURPOSE HALL, BRGY. IBABANG CABULIHAN, UNISAN, QUEZON</t>
  </si>
  <si>
    <t>Improvement of Road at Capjaran near Bahingawan area to Pagaspas area</t>
  </si>
  <si>
    <t>Purchase of Construction Materials and Supplies only for the Construction of Retaining Wall at Northern Samuyao (Phase II)</t>
  </si>
  <si>
    <t>Kopiko Black,Nescafe,Downy,etc....</t>
  </si>
  <si>
    <t>Purchase of Learning Workbooks for Gerona North &amp; South District, Gerona, Tarlac</t>
  </si>
  <si>
    <t>Rice assistance for the Ampucao Baranbgay Tanods and selected Barangay Responders for the Third and Fourth Quarter of CY 2019</t>
  </si>
  <si>
    <t>Instructional Materials (Books) for Senior High Schools in the Province of Laguna</t>
  </si>
  <si>
    <t>Office Supplies 871-20</t>
  </si>
  <si>
    <t>Purchase of Jetmatic Pump and HDPE Pipe SDR II for the Improvement of Water Supply System of All Barangay</t>
  </si>
  <si>
    <t>Proposed Construction of Barangay Road Concreting Project</t>
  </si>
  <si>
    <t>Proposed Drainage Improvement Phase II</t>
  </si>
  <si>
    <t>WAREHOUSE WITH MULTI-PURPOSE ROOM, Farmers Center, San Miguel, San Manuel, Tarlac</t>
  </si>
  <si>
    <t>Other Supplies &amp; Mat'ls Expense 872-20</t>
  </si>
  <si>
    <t>Concreting of Left Shoulder of Aggub Street (Left Side from Magsaysay to Rizal Street)</t>
  </si>
  <si>
    <t>Concreting of Impoyan Road (Villa Agullana)</t>
  </si>
  <si>
    <t>Ink and Master Roll for Digital Duplicator CV3230 for Different Schools in the Province of Laguna</t>
  </si>
  <si>
    <t>Concreting of Barangay Road (Villa Gracia)</t>
  </si>
  <si>
    <t>Supply and delivery of Toner &amp; Ink to be used in the Office of the Municipal Treasurer</t>
  </si>
  <si>
    <t>Repair of Covered Drainage</t>
  </si>
  <si>
    <t>(PAO)  	  INVITATION TO BID FOR THE SUPPLY AND DELIVERY OF AGRICULTURAL PRODUCTS  FOR THE  PROVINCIAL AGRICULTURAL OFFICE (PAO)</t>
  </si>
  <si>
    <t>(PENARO)INVITATION TO BID FOR THE SUPPLY AND DELIVERY OF GRAFTED FRUIT TREES THE  PROVINCIAL ENVIRONMENT AND NATURAL RESOURCES OFFICE (PENARO)</t>
  </si>
  <si>
    <t>Construction of Palay Shed (Villa Sur)</t>
  </si>
  <si>
    <t>MEALS, SNACKS &amp; ACCOMMODATION FOR THE 3-DAY PSYCHOLOGICAL FIRST AID STRESS DEBRIEFING</t>
  </si>
  <si>
    <t>CONSTRUCTION OF PUBLIC MARKET (DESIGN AND BUILD)</t>
  </si>
  <si>
    <t>ROAD CONCRETING AT MANGO STREET, PUROK 8, PHASE 2 BARANGAY STO. NIÑO, TUGBOK DIST., DAVAO CITY</t>
  </si>
  <si>
    <t>SUPPLY OF MATERIALS</t>
  </si>
  <si>
    <t>Rebidding: Job Order: (Lumpsum) for construction of two storey Multi-purpose building (Phase I) at Purok Gabi at Barangay Tabuc-tubig-1st Revision.</t>
  </si>
  <si>
    <t>SUPPLY &amp; DELIVERY OF HARDWARE SUPPLIES</t>
  </si>
  <si>
    <t>Supply and delivery of materials for ext of covered court, MPDP and nangka water system</t>
  </si>
  <si>
    <t>Supplies and Disinfectant Materials</t>
  </si>
  <si>
    <t>STREETLIGHT</t>
  </si>
  <si>
    <t>Construction of School Building located at Barangay Gatid, Santa Cruz, Laguna</t>
  </si>
  <si>
    <t>SUPPLY &amp; DELIVERY OF WATER DISPENSER &amp; GALLONS</t>
  </si>
  <si>
    <t>Supply and Delivery of School Equipment</t>
  </si>
  <si>
    <t>Supply and Delivery of Drugs and Medicines for Candelaria District Hospital (CDH) and San Marcelino District Hospital (SMDH)</t>
  </si>
  <si>
    <t>PURCHASE OF SHREDDING MACHINE</t>
  </si>
  <si>
    <t>Re Bidding - Rehabilitation of Apolinario dela Cruz Waterworks System Improvement of Main Water Source and Intake Box, Installation of additional pipelines and fittings, Replacement of dilapidated pip</t>
  </si>
  <si>
    <t>Job Order: Lumpsum for completion of the construction of 2-storey gender sensitive living quarter of girl CICL/CAR at Dumaguete Youth Home at Barangay Talay.</t>
  </si>
  <si>
    <t>Procurement of Four (4) Laptop units</t>
  </si>
  <si>
    <t>ROAD CONCRETING</t>
  </si>
  <si>
    <t>For Senior High School Modules</t>
  </si>
  <si>
    <t>NVQSD 2020-03-058 - Supply and delivery of  safety and occupational products to be used in the establishment of facilities for First Border Inspection in the Five Major International Ports</t>
  </si>
  <si>
    <t>CONSTRUCTION/REHABILITATION OF WATER SYSTEM</t>
  </si>
  <si>
    <t>Supply and Delivery of Medical Equipment for San Marcelino District Hospital (SMDH), San Marcelino</t>
  </si>
  <si>
    <t>Purchase of Computer Set</t>
  </si>
  <si>
    <t>2020 20TH PUBLIC BIDDING: PROCUREMENT OF OFFICE SUPPLIES, SEMI-EXPENDABLES AND IT SUPPLIES FOR 2020 2ND SEMESTER CONSUMPTION</t>
  </si>
  <si>
    <t>PROPOSED WATER SYSTEM (DRILLING 1-UNIT PRODUCTION WELL, 220 DEPTH) at Lagtang, Alubijid, Mis. Or.</t>
  </si>
  <si>
    <t>CONSTRUCTION OF 12 SETS SOLAR STREET LIGHTS PHASE I</t>
  </si>
  <si>
    <t>Rehabilitation of Techno Demo Farm and Office (Total Repair of Warehouse Roof, Office Roof and Ceiling) Caawigan,Talisay Camarines Norte</t>
  </si>
  <si>
    <t>Delivery of  ICT, Furniture &amp; Fixtures &amp; Communication equipment for office use (ITB 20-093)</t>
  </si>
  <si>
    <t>Delivery of Other supplies &amp; materials for Network &amp; maintenance use (ITB 20-092)</t>
  </si>
  <si>
    <t>Purchase of Computer Set and Laptop</t>
  </si>
  <si>
    <t>Delivery of Laptop Computer System &amp; Brush Cutter for Office use (ITB 20-091)</t>
  </si>
  <si>
    <t>PROCUREMENT OF 2 UNITS PHOTOCOPIER MACHINE FOR THE DEP. ED. SAN AGUSTIN</t>
  </si>
  <si>
    <t>Purchase of Office Supplies for Pontevedra I &amp; II</t>
  </si>
  <si>
    <t>OTHER SUPPLIES EXPENSES</t>
  </si>
  <si>
    <t>TO TRANSPORT PATIENTS TO HEALTH FACILITY/HOSPITAL</t>
  </si>
  <si>
    <t>INSTALLATION OF CCTV CAMERAS</t>
  </si>
  <si>
    <t>Purchase of Motorcycle for Brgy. Canroma, Pontevedra, Neg. Occ.</t>
  </si>
  <si>
    <t>RFQ (20-07-097) Various Drugs and Medicines</t>
  </si>
  <si>
    <t>Supply and Delivery of Various Construction Materials (Construction of Drainage System)</t>
  </si>
  <si>
    <t>CONSTRUCTION/REHABILITATION/IMPROVEMENT OF LOCAL GOVERNMENT-OWNED POTABLE WATER SUPPLY SYSTEM @ BRGY. SAN MARIANO, SAN PASCUAL, BATANGAS</t>
  </si>
  <si>
    <t>construction of municipal streets timol-galope section/meo</t>
  </si>
  <si>
    <t>MG-TSE20-038</t>
  </si>
  <si>
    <t>Subscription to On-Line Document Retrieval System</t>
  </si>
  <si>
    <t>Rebidding: 1 unit Motorcycle (Fuel Injection, Scooter, Full transistorized ignition, 125cc) for utilization of 20% LGU Share on Fire code fees collection intended for DCFS Day to Day operation.</t>
  </si>
  <si>
    <t>Hardware and Construction Materials</t>
  </si>
  <si>
    <t>Rebidding: 4 pcs Plastic Tile Trim 10mm x 3.0m and other items for rehabilitation/Improvement of Office and Women Center and other facilities of CSWDO (Phase I) at Barangay Poblacion 1.</t>
  </si>
  <si>
    <t>Rebidding: 3 gals Denatured alcohol and other items for City Health Office laboratory.</t>
  </si>
  <si>
    <t>CONSTRUCTION OF WATER TANKS, SUPPLY/DELIVERY AND INSTALLATION OF PIPELINES AND DISTRIBUTION PIPELINES FOR CALLIANGAN BALANGABANG SIP PHASE III, KAYAPA, NUEVA VIZCAYA</t>
  </si>
  <si>
    <t>SUPPLY &amp; DELIVERY OF ELECTRICAL SUPPLIES</t>
  </si>
  <si>
    <t>PURCHASE OF PUPILS LEARNING KIT</t>
  </si>
  <si>
    <t>PROCUREMENT OF OFFICE SUPPLIES FOR DAR PROVINCIAL OFFICE OF CAMARINES NORTE COVERING THE PERIOD OF 2nd SEMESTER              CY 2020</t>
  </si>
  <si>
    <t>REPAIR AND MAINTENANCE OF BUILDINGS &amp; OTHER STRUCTURES</t>
  </si>
  <si>
    <t>Contract ID No. 20CSK00003 - Real Property Appraisal Services for Properties Affected by the projects:  	1. 18K00253-Cagayan de Oro Diversion Road, (Jct. Balubal Sayre Highway-Pueblo de Oro, CDO-Old A</t>
  </si>
  <si>
    <t>CONSTRUCTION/REHABILITATION/WIDENING OF LOCAL ROAD @ SAN ANTONIO, SAN PASCUAL, BATANGAS</t>
  </si>
  <si>
    <t>MG-IPP20-010</t>
  </si>
  <si>
    <t>Supply and Delivery of Risograph Machine and Consumables for Reproduction of Learning Materials for Department of Education-RTR District</t>
  </si>
  <si>
    <t>PROVISION AND INSTALLATION OF EIGHT (8) UNITS SOLAR STREETLIGHTS @ BRGY.POBLACION 1</t>
  </si>
  <si>
    <t>IMPROVEMENT OF EVACUATION &amp; MULTI-PURPOSE CENTER</t>
  </si>
  <si>
    <t>Concreting of Barangay Road @ Munoz East, Roxas, Isabela</t>
  </si>
  <si>
    <t>Procurement of Hardware and Construction Supplies for BULAWAN SR.</t>
  </si>
  <si>
    <t>Purchase of 1 Unit Split Type Aircon 2HP with installation for the equipage of DRRM Operation Center</t>
  </si>
  <si>
    <t>Supply and Delivery of Various Construction Materials (Construction of Multi-Purpose Hall)</t>
  </si>
  <si>
    <t>Supply and Delivery of Contamination Control Floating Floor Mats for Candelaria District Hospital (CDH), Candelaria</t>
  </si>
  <si>
    <t>Acquisition of Electrical Supplies</t>
  </si>
  <si>
    <t>Contract ID No. 20CSK00002 - Real Property Appraisal Services for Properties Affected by the projects:   1. 20K00074-CDO-Opol-El Salvadror-Alubijid-Laguindingan Airport (Pueblo de Oro/CDO Airport to J</t>
  </si>
  <si>
    <t>Purchase of Gasoline &amp; Diesel</t>
  </si>
  <si>
    <t>Procurement of Printing Machine (Risograph)-DepEd ,Lopez Jaena</t>
  </si>
  <si>
    <t>ITB-2020-08-055 PROCUREMENT OF PERISHABLE ITEMS FOR BANGUN IMPLEMENTATION IN BASILAN PROVINCE</t>
  </si>
  <si>
    <t>GENERAL REPAIR AND MAINTENANCE SERVICES</t>
  </si>
  <si>
    <t>PURCHASE OF FERTILIZERS</t>
  </si>
  <si>
    <t>Procurement of Laboratory Equipment for the Development of the Solar Chili Dryer</t>
  </si>
  <si>
    <t>CONSTRUCTION OF MULTI-PURPOSE BUILDING LOCATED AT SAN ISIDRO, AGOO, LA UNION</t>
  </si>
  <si>
    <t>Repair of Public Market Roofing @ Barangay Poblacion Uno, Malabuyoc, Cebu</t>
  </si>
  <si>
    <t>PBG-2020-07-22 PROCUREMENT OF RICE FOR PNP/BFP/BJMP PERSONNEL.</t>
  </si>
  <si>
    <t>Purchase of Passenger Van</t>
  </si>
  <si>
    <t>Procurement of Hardware &amp; Electrical Supplies for BAGONG SIKAT</t>
  </si>
  <si>
    <t>Procurement of Gardening Tools and Fertilizers</t>
  </si>
  <si>
    <t>Delivery of Cloned Desktop Computer System needed for Cemetery Operation (ITB 20-090)</t>
  </si>
  <si>
    <t>20GG0063-G - Procurement of consumables (Epson and Canon Ink) for the use of Planning and Design Section, DPWH Iloilo 2nd DEO, Balabag, Dumangas, Iloilo</t>
  </si>
  <si>
    <t>SUPPLY AND DELIVER OF RISOGRAPHIC MACHINE</t>
  </si>
  <si>
    <t>Concreting/ Improvement of the following Barangay Roads in the Identified Municipalities Provincewide for Cebu 7th District: (1. Candabong, Alcantara, 2. Bugho, Moalboal, 3. Mahanlud and 4. Lombo, Mal</t>
  </si>
  <si>
    <t>IB No. 2008-383 Proc. of Goods (Medicines)</t>
  </si>
  <si>
    <t>1 set/lot Brand New Radio Repeater</t>
  </si>
  <si>
    <t>Supply and Delivery of Various Construction Materials (Manpower Center)</t>
  </si>
  <si>
    <t>Contract ID No. 20CSK00005 - Real Property Appraisal Services for Properties Affected by the projects:  	1. 18K00250-Cluster "50" Construction of By-passes Valencia City-Pangantucan By-pass Road, incl</t>
  </si>
  <si>
    <t>CONST. MAT.  FOR CONST. OF WATERWORKS SYSTEM FOR PHIL. ARMY @ NORTH POBLACION</t>
  </si>
  <si>
    <t>Purchase of Toner TN118 to be used in the Finance Section for the 3rd Quarter CY 2020</t>
  </si>
  <si>
    <t>Food for PUM/Under Monitoring/Investigation/Frontliners</t>
  </si>
  <si>
    <t>20PK0073 - Installation of Road Safety Devices along Kalinga - Abra Road K064+(-136) - K0488+000 (I.S.), Pasil and Balbalan, Kalinga</t>
  </si>
  <si>
    <t>Purchase of Medicines</t>
  </si>
  <si>
    <t>RE BIDDING - SUPPLY AND DELIVERY OF SCHOOL SUPPLIES FOR THE STUDENTS OF LUCBAN, QUEZON</t>
  </si>
  <si>
    <t>REHABILITATION OF DRAINAGE AND CONSTRUCTION OF PATHWALK AT KITANG ELEMENTARY SCHOOL</t>
  </si>
  <si>
    <t>supply and delivery of various medical instruments</t>
  </si>
  <si>
    <t>Purchase of Plastic Envelopes, Notebooks, Ballpens, and Pad Papers</t>
  </si>
  <si>
    <t>Purchase of various laboratory equipment</t>
  </si>
  <si>
    <t>Purchase of Vegetable Seeds, Fertilizers and Herbicide</t>
  </si>
  <si>
    <t>PURCHASE OF MDRRM VEHICLE</t>
  </si>
  <si>
    <t xml:space="preserve">Contract ID No. 20CSK00009 - Real Property Appraisal Services for Properties Affected by the projects:  	1. 18K00237-Cluster "36" Construction of By-pass and Diversion Roads in Bukidnon Sayre Highway </t>
  </si>
  <si>
    <t>Construction of Fence in the New Brgy. Health Station</t>
  </si>
  <si>
    <t>Concreting Of Barangay Roads at Barangay Dalaupon, Tayasan, Neg. Or.</t>
  </si>
  <si>
    <t>Purchase of Diesel</t>
  </si>
  <si>
    <t>Contract ID No. 20CSK00004 - Real Property Appraisal Services for Properties Affected by the projects:  	1. 19K00073-Construction of Missing Link/ New Road, Tagoloan-Misamis Oriental Boundary Road, Pa</t>
  </si>
  <si>
    <t>ITB-2020-08-058 PROCUREMENT OF PERISHABLE ITEMS FOR BANGUN IMPLEMENTATION IN TAWI-TAWI PROVINCE</t>
  </si>
  <si>
    <t>fabricate of steel materials recovery facilities</t>
  </si>
  <si>
    <t>Contract ID No. 20CSK00008 - Real Property Appraisal Services for Properties Affected by the projects:  	1. 17K00175-Construction of By Passes/Diversion Road, Including ROW CDO Diversion Road Jct. Bal</t>
  </si>
  <si>
    <t>Contract ID No. 20CSK00007 - Real Property Appraisal Services for Properties Affected by the projects:  	1. 20K00184-Construction of By-pass and Diversion Roads, Sayre Highway Parallel Road II (Valenc</t>
  </si>
  <si>
    <t>Purchase of 4 wheels car</t>
  </si>
  <si>
    <t>SUPPLY AND DELIVERY OF FACE SHIELD AND HOUSEHOLD KIT TO BE USE IN BARANGAY VISITATION</t>
  </si>
  <si>
    <t>For Municipal Vehicle (Municipal Ambulance Foton)</t>
  </si>
  <si>
    <t>Supply and Delivery of Water Pump with Accessories - Php 1,131,486.16</t>
  </si>
  <si>
    <t>Procurement of Supplies for the implementation of Tertiary Education Subsidy (TES)</t>
  </si>
  <si>
    <t>Purchase of Field Supplies to be used in CHED-IDIG Project</t>
  </si>
  <si>
    <t>IMPROVEMENT OF WATER WORKS SYSTEM_BGY. JANAY-JANAY</t>
  </si>
  <si>
    <t>Purchase of 3,000 pcs of KN95</t>
  </si>
  <si>
    <t>Contract ID No. 20CSK00006 - Real Property Appraisal Services for Properties Affected by the projects:  	1. 20K00226-Construction of By-Pass and Diversion Roads, Sayre Highway Parallel Road II (Valenc</t>
  </si>
  <si>
    <t>Purchase of Electrical Supply for Municipal Streetlights</t>
  </si>
  <si>
    <t>Concreting of Barangay Roads at San Pedro, Roxas, Isabela</t>
  </si>
  <si>
    <t>Purchase of 3 units Motorbike</t>
  </si>
  <si>
    <t>Furnishing Medicine for Indigent Patients and TB Dots in this Municipality of Santa Cruz Laguna</t>
  </si>
  <si>
    <t>PROCUREMENT OF SUPPLIES TO BE USED IN MODULAR LEARNING</t>
  </si>
  <si>
    <t>IMPROVEMENT OF MUNICIPAL ROAD IN BRGY. HITUDPAN TO BRGY. BALIW</t>
  </si>
  <si>
    <t>Office.Supply</t>
  </si>
  <si>
    <t>PURCHASE AND INTALLATION OF CCTV</t>
  </si>
  <si>
    <t>PURCHASE OF MATERIALS FOR ADDITIONAL DISTRIBUTION PIPES FOR STACA, COMPOSTELA AND LEGASPI</t>
  </si>
  <si>
    <t>SUPPLY, DELIVERY AND INSTALLATION OF THREE (3) UNITS 50KVA TRANSFORMER AND ACCESSORIES OF MUNICIPAL HALL BUILDING</t>
  </si>
  <si>
    <t>Supply and Delivery of Spare Parts (1unit Differential Assy 6holes - surplus &amp; 1unit Differential Assy 8holes - surplus) for NIA-Bukidnon Dumptruck NII3-04 &amp; Stake Truck I2-445</t>
  </si>
  <si>
    <t>Contract ID No. 20CSK00012 - Real Property Appraisal Services for Properties Affected by the projects:  	1. 20K00184-Construction of By-pass and Diversion Roads, Sayre Highway Parallel Road II (Valenc</t>
  </si>
  <si>
    <t>CONST. MAT.  FOR CONST. OF DEEP WELLS @ BRGY. NAPASUA-AN, BULIBULIHAN,BANABAN,MANLINGAY &amp; AREBASORE</t>
  </si>
  <si>
    <t>Construction/Rehabilitation of Street Lights</t>
  </si>
  <si>
    <t>Contract ID No. 20CSK00011 - Real Property Appraisal Services for Properties Affected by the projects:  	1. 17K00230-Construction of Valencia City-Pangantucan Diversion Road, incl. ROW, Package 2, Buk</t>
  </si>
  <si>
    <t>Supplies and Materials for the construction of Car Port/Garage/Multi-Purpose Hall/Shed</t>
  </si>
  <si>
    <t>Contract ID No. 20CSK00010 - Real Property Appraisal Services for Properties Affected by the projects:  	1. 17K00366-Construction of Valencia City-Pangantucan Diversion Road, incl. ROW, Package 3, Buk</t>
  </si>
  <si>
    <t>20 pcs. 36"dia RCCP</t>
  </si>
  <si>
    <t>LABOR AND MATERIALS FOR THE CONSTRUCTION OF CONCRETE RESERVOIR</t>
  </si>
  <si>
    <t>SMART PHONE</t>
  </si>
  <si>
    <t>20GG0058-G - Procurement of laboratory testing equipment and apparatus for use of Quality Assurance Section DPWH Iloilo 2nd DEO, Balabag, Dumangas, Iloilo</t>
  </si>
  <si>
    <t>REHABILITATION/IMPROVEMENT OF LOCAL ACCESS ROAD WITH DRAINAGE IMPROVEMENT</t>
  </si>
  <si>
    <t>PROCUREMENT OF FIFTEEN (15) UNIT RISOGRAPH MACHINE WITH ONE HUNDRED (100) UNIT MASTER ROLL</t>
  </si>
  <si>
    <t>CONSTRUCTION OF TRANSPORT TERMINAL (COMPLETION) - MCH TERMINAL &amp; DRAINAGE SYSTEM</t>
  </si>
  <si>
    <t>Procurement of Various Medical Supplies for the Use of Heart Institute</t>
  </si>
  <si>
    <t>IB No. 2020 - 07 - REPAIR AND CONVERSION OF PEDIATRIC WARD INTO MOLECULAR BIOLOGY LABORATORY</t>
  </si>
  <si>
    <t>IMPROVEMENT OF MULTI-PURPOSE BUILDING, BARANGAY VILLA ANUNCIADO</t>
  </si>
  <si>
    <t>Rehabilitation/Construction of Street Lights</t>
  </si>
  <si>
    <t>Construction Services for Water System Rehabilitation and Improvement</t>
  </si>
  <si>
    <t>PROCUREMENT FOR THE 4,440 LITERS OF DIESOLINE FOR THE ALIGNMENT OF RIVER AT NURSERY BRGY. POBLACION BSK</t>
  </si>
  <si>
    <t>PROCUREMENT FOR JANITORIAL SUPPLIES P.R NO. 0714 SERIES 2020</t>
  </si>
  <si>
    <t>Procurement of Drugs and Medicines for Cortes Municipal Hospital Pharmacy. (4th Quarter)</t>
  </si>
  <si>
    <t>4 pcs Printer, Print, Scan &amp; Copy with Built-in Wireless and other items for enhancement of the educational learning of Piapi High school.</t>
  </si>
  <si>
    <t>Procurement of office supplies for the official use of Mt. Kitanglad Range Natural Park</t>
  </si>
  <si>
    <t>2020-07-1004 "Procurement of Works for the Construction of Multi-Purpose Building at Provincial Engineer's (PEO)"</t>
  </si>
  <si>
    <t>Laptop For the use of Social Pension Unit for the implementation of its program</t>
  </si>
  <si>
    <t>Housing &amp; Resettlement Project Access Road to LGU Lot No. 2793, Mabua, Tandag City</t>
  </si>
  <si>
    <t>CONSTRUCTION OF MULTI PURPOSE HALL PHASE III(BRGY.LABIT, VILLASIS, PANGASINAN)</t>
  </si>
  <si>
    <t>Supply and delivery of materials for the development of municipal park and plaza</t>
  </si>
  <si>
    <t>PURCHASE OF OFFICE EQUIPMENTS, OFFICE SUPPLIES, DEVICES, AND CONSUMABLES FOR VARIOUS OFFICES</t>
  </si>
  <si>
    <t>Cement,Gravel 3/4 dia,Sand,10mm RSB</t>
  </si>
  <si>
    <t>PURCHASE OF MATERIALS FOR THE IMPROVEMENT OF COVERED COURT METAL CLADDING PHASE 1 &amp; 2</t>
  </si>
  <si>
    <t>Construction of Food Court @ Tabango Seafront Park/ Plaza</t>
  </si>
  <si>
    <t>Supply and Delivery of Various Machineries</t>
  </si>
  <si>
    <t>REHABILITATION OF VARIOUS BRGY. ROAD MUNICIPAL WIDE (BACKFILL MATERIAL) @ BRGY. APOLOY, BRGY. MANTIQUIL, BRGY. BONAWON AND BRGY. CASALAAN (RE-BIDDING)</t>
  </si>
  <si>
    <t>PURCHASE OF SELF CONTAINED BREATHING APPARATUS (SCBA) TANK W/ BUDDY BREATHER</t>
  </si>
  <si>
    <t>PURCHASE OF MULTI CAB</t>
  </si>
  <si>
    <t>Acquisition For Uniform</t>
  </si>
  <si>
    <t>Purchase of Materials for the Construction of Water Supply System at Brgy. Buluangan I</t>
  </si>
  <si>
    <t>Procurement of 4 Cubic Chest Freezer</t>
  </si>
  <si>
    <t>SUPPLY &amp; DELIVERY OF WATER FITTINGS &amp; PIPINGS</t>
  </si>
  <si>
    <t>RFQ No. 20-08-200 for PR No. 20-07-194</t>
  </si>
  <si>
    <t>Procurement of Furniture and Fixtures</t>
  </si>
  <si>
    <t>Concreting of Barangay Road at Imbiao, Roxas, Isabela</t>
  </si>
  <si>
    <t>Materials for Rehabilitation of Virgin St. Distribution Pipeline Project</t>
  </si>
  <si>
    <t>Purchase of various janitorial supplies  to be used in DPWH-Laguna I Distict Engineering Office, Sta. Cruz, Laguna</t>
  </si>
  <si>
    <t>INVITATION FOR NEGOTIATED PROCUREMENT FOR THE SUPPLY AND DELIVERY OF 16 AIR-CONDITIONING UNITS FOR CY 2020</t>
  </si>
  <si>
    <t>PURCHASE OF SECURITY EQUIPMENT - CCTV</t>
  </si>
  <si>
    <t>Cement,Gravel 3/4 dia,Sand</t>
  </si>
  <si>
    <t>50 sacks Iron Fortified Rice</t>
  </si>
  <si>
    <t>Concreting of Brgy Bamban Multi-Purpose Pavement</t>
  </si>
  <si>
    <t>20GIL0051(SUPPLY/DELIVERY OF SPAREPARTS FOR XEROX MACHINE,DPWH-SLDEO, MAASIN CITY, SOUTHERN LEYTE)</t>
  </si>
  <si>
    <t>Procurement of Office Equipment for Provincial Social Welfare Development Office.</t>
  </si>
  <si>
    <t>Supply and Delivery of Various Sorghum Hybrid Seeds</t>
  </si>
  <si>
    <t>Construction of Concrete Pathway</t>
  </si>
  <si>
    <t>CONSTRUCTIONF LOCAL ACCESS ROAD AT BRGY LAM-AWAN TO POLANGI, VILLAREAL, SAMAR</t>
  </si>
  <si>
    <t>Procurement, Supply and Delivery of Clean Potable Water with an initial Volume of Two Thousand (2,000) Cubic Meters Per Day for the Municipality of Carles, Iloilo</t>
  </si>
  <si>
    <t>CONSTRUCTION OF DRAINAGE/CANAL BRGY KARUNUNGAN JIABONG, SAMAR</t>
  </si>
  <si>
    <t>Supply of 20 pieces Spider Guide 10" dia.</t>
  </si>
  <si>
    <t>Construction of COVID-19 Isolation Facility</t>
  </si>
  <si>
    <t>Procurement of Farm Machineries/Equipments, Farm Inputs and Poultry for the CRFPS Project</t>
  </si>
  <si>
    <t>PROCUREMENT OF SUPPLIES FOR INTERNET CONNECTION</t>
  </si>
  <si>
    <t>OFFICE FURNITURES, Cagayan De Oro city</t>
  </si>
  <si>
    <t>Construction and Installation of Solar Powered Street Lights</t>
  </si>
  <si>
    <t>Supply and Delivery of Flow Probe, Water Velocity Meter</t>
  </si>
  <si>
    <t>program of work for the proposed project, "IMPROVEMENT OF DRAINAGE CANAL BLOCK 1 PUROK 14 LOWER" at Irisan Barangay, Baguio City.</t>
  </si>
  <si>
    <t>Supply and Delivery of Office Supplies to Sustain IP-TBM Project 4A</t>
  </si>
  <si>
    <t>Acquisition of Equipment for Techno-Gabay Program</t>
  </si>
  <si>
    <t>ROAD CONCRETING AT LANZONES STREET, PUROK 8, PHASE 2, BARANGAY STO. NIÑO, TUGBOK DISTRICT, DAVAO CITY</t>
  </si>
  <si>
    <t>Purchase of 2 UNITS OF RISOGRAPH</t>
  </si>
  <si>
    <t>Supply Labor and Materials for the Fabrication of 30,000 pieces Meter Seal</t>
  </si>
  <si>
    <t>Rehabilitationof Evacuation Center, Barangay VII, Mercedes, Camarines Norte</t>
  </si>
  <si>
    <t>Purchase of Petroleum/Oil/Lubricants</t>
  </si>
  <si>
    <t>Upgrading of Sitio Seahorse-Pula Road</t>
  </si>
  <si>
    <t>COMPLETION OF 4 UNITS DAY CARE CENTER AT CENTRO BANCALAAN, BGY. POBLACION 5, PANAAN CATAGUPAN AND MATANGULE BGY. BANCALAAN, BALABAC, PALAWAN</t>
  </si>
  <si>
    <t>Concreting of Barangay Roads @ Munoz West, Roxas, Isabela</t>
  </si>
  <si>
    <t>OFFICE FURNITURE'S</t>
  </si>
  <si>
    <t>PR NO. 2020-08-020 PROCUREMENT OF 1 UNIT RISOGRAPH OF LGU-MAPANAS, NORTHERN SAMAR</t>
  </si>
  <si>
    <t>PURCHASE OF CONSTRUCTION MATERIALS FOR THE IMPROVEMENT OF MPB</t>
  </si>
  <si>
    <t>5 bxs Pancit Canton (Lucky Me)</t>
  </si>
  <si>
    <t>INVITATION TO BID TO SUPPLY LABOR, MATERIAL &amp; EQUIPMENT FOR THE CONSTRUCTION OF LEVEL III WATER SYSTEM IN BARANGAY SANTIAGO, SAN FRANCISCO, CEBU.</t>
  </si>
  <si>
    <t>Construction of Slope Protection and Line Canal @ Diversion Road, Bolod &amp; Terraplin</t>
  </si>
  <si>
    <t>Supply and Delivery of Palintest Free Chlorine, DPD1 Tablets</t>
  </si>
  <si>
    <t>PURCHASE OF CONSTRUCTION MATERIALS FOR THE REHABILITATION OF BARANGAY ROADS</t>
  </si>
  <si>
    <t>Procurement of Construction  of  Fence For Kimlawis Elementary School</t>
  </si>
  <si>
    <t>DRMD : 50 BOX ALCOHOL--50 ROLLS TISSUE, 2 PLY FOR THE USE OF DISASTER MANAGEMENT DIVISION STAFF</t>
  </si>
  <si>
    <t>ROAD CONCRETING IN BETWEEN IMELDA ELEMTARY SCHOOL &amp; STO. NIÑO NATIONAL HIGH SCHOOL, BARANGAY STO. NIÑO, TUGBOK DISTRICT, DAVAO CITY</t>
  </si>
  <si>
    <t>REQUEST FOR QUOTATION on MATERIALS FOR THE PRODUCTION OF LEARNING RESOURCE</t>
  </si>
  <si>
    <t>Improvement of Water Supply (Purok 1 &amp; 2)</t>
  </si>
  <si>
    <t>RE-BIDDING- Procurement of IT Equipment -MEO,Lopez Jaena</t>
  </si>
  <si>
    <t>SUPPLY &amp; DELIVERY OF I.T. TELECOMMUNICATIONS</t>
  </si>
  <si>
    <t>Supply Labor for the Calibration of Laboratory Equipment. Issues Certification of Calibration in accordance with ISO/IEC 17025 and with PAB Logo</t>
  </si>
  <si>
    <t>UPGRADING OF ELECTRICAL SYSTEM AND INSTALLATION OF 1-37.5 KVA TRANSFORMER AT POTUNGAN CENTRAL SCHOOL</t>
  </si>
  <si>
    <t>Purchase of Rack/Shelves</t>
  </si>
  <si>
    <t>PRE-BID CONFERENCE 11/Aug/2020 - Procurement of Goods: 37 Units SHOTGUN for the use of CGSO -Safety and Security (PR#100-20-07-0335)</t>
  </si>
  <si>
    <t>Invitation to Bid for the Expansion &amp; Improvement of Municipal Building Phase 2</t>
  </si>
  <si>
    <t>Construction of Flood Control Project (Construction of Single Barrel Box Culvert) @ M.L. Quezon Street</t>
  </si>
  <si>
    <t>PR NO. 2020-08-022 PROCUREMENT OF 6 PCS. TIRE EXTERIOR, LGU MAPANAS, NORTHERN SAMAR</t>
  </si>
  <si>
    <t>rental of Photocopying Machine</t>
  </si>
  <si>
    <t>Procurement of Construction  of  Fence For Kimlawis National High School</t>
  </si>
  <si>
    <t>Construction of Evacuation Center, Daguit High School, Brgy. Daguit, Labo, Camarines Norte</t>
  </si>
  <si>
    <t>OTHER SUPPLIES AND MATERIALS</t>
  </si>
  <si>
    <t>Concreting of Magsaysay Highway-Purok 5 Road</t>
  </si>
  <si>
    <t>Construction of MPH at Brgy. Sabang, Naic, Cavite</t>
  </si>
  <si>
    <t>Supply and delivery of Diesel and Gasoline Fuel(1 lot)</t>
  </si>
  <si>
    <t>Catering Services PR # 2020-07-15-245</t>
  </si>
  <si>
    <t>Procurement of Equipment for Glass Bottom Kayak's &amp; Equipment for Rentals</t>
  </si>
  <si>
    <t>Construction of nunungan welcome landmark</t>
  </si>
  <si>
    <t>COMPLETION OF 4 UNITS BARANGAY HEALTH STATION/BIRTHING HOMES AT TIMBAYAN BANCALAA,BGY. SALANG, BGY MELVILLE AND BY. CATAGUPAN, BALABAC, PALAWAN</t>
  </si>
  <si>
    <t>Radiogram</t>
  </si>
  <si>
    <t>Construction of Multi-Purpose Evacuation Center @ Villa Concepcion, Roxas, Isabela</t>
  </si>
  <si>
    <t>REPIR/IMPROVEMENT OF ONE (1) UNIT CONTAINER VAN (RE-BID)</t>
  </si>
  <si>
    <t>CONSTRUCTION OF DRAINAGE STRUCTURES ALONG SAGRADA SECTION</t>
  </si>
  <si>
    <t>Supply and Delivery of  Materials and Installation</t>
  </si>
  <si>
    <t>Concreting of Street at Kiyaab Beside Barangay Hall</t>
  </si>
  <si>
    <t>COMPLETION OF 3 STOREY 6 CLASSROOM SCHOOL BUILDING AT BALABAC, CENTRAL SCHOOL, BARANGAY POBLACION 3, BALABAC, PALAWAN</t>
  </si>
  <si>
    <t>Improvement of Covered Court At Brgy. San Roque, Naic, Cavite</t>
  </si>
  <si>
    <t>Purchase of Fuel for the Concreting of FMR, Brgy. Supoc, Lambunao, Iloilo</t>
  </si>
  <si>
    <t>CONSTRUCTION OF SAN AGUSTIN MEMORIAL PARK/CEMETERY (PHASE 4)</t>
  </si>
  <si>
    <t>CONSTRUCTION OF EMERGENCY STEEL FOOT BRIDGES AT SAN JOSE MALINO AND TINAJERO SAN ANTONIO</t>
  </si>
  <si>
    <t>Used for the Concreting of School Ground of C.V. Diez Mem. E/S, Brgy. Washington, Surigao City</t>
  </si>
  <si>
    <t>Purchasing Office Supplies</t>
  </si>
  <si>
    <t>SUPPLY, DELIVERY, INSTALLATION &amp; COMMISSIONING OF DEEP TRANSCRANIAL MAGNETIC STIMULATION MACHINE ITB No. 2020-28</t>
  </si>
  <si>
    <t>COMPLETION OF BARANGAY HEALTH STATION/BIRTHING HOME AT MARABON BGY. BANCALAAN, BALABAC, PALAWAN</t>
  </si>
  <si>
    <t>P.R.#20-07-273 Audio Video Capture &amp; Playback Device</t>
  </si>
  <si>
    <t>PROCUREMENT OF MATERIALS FOR BANGUS IN CAGE PRODUCTION</t>
  </si>
  <si>
    <t>Improvement of Barangay Health Center at Brgy. Taugtog, Botolan, Zambales.</t>
  </si>
  <si>
    <t>SUPPLY, DELIVERY, INSTALLATION &amp; COMMISSIONING OF LAPAROSCOPY TOWER (1 Lot) ITB No. 2020-27</t>
  </si>
  <si>
    <t>Supply  and Delivery of materials for Construction of Drainage Canal  @ Brgy. Navalita  Hinundayan So.  Leyte</t>
  </si>
  <si>
    <t>Procurement of pre-disaster supplies</t>
  </si>
  <si>
    <t>Repainting of Fence at Brgy. Taugtog, Botolan, Zambales</t>
  </si>
  <si>
    <t>Procurement of  construction of one (1)  classroom building at barangay  Bulahan</t>
  </si>
  <si>
    <t>CONCRETING OF BRGY. ROAD</t>
  </si>
  <si>
    <t>REHABILITATION/REPAIR OF WATER SYSTEM PIPELINE</t>
  </si>
  <si>
    <t>75 sacks Rice (F1)</t>
  </si>
  <si>
    <t>IMPROVEMENT OF SCHOOL STAGE @ ALALUM NATIONAL HIGH SCHOOL, SAN PASCUAL, BATANGAS</t>
  </si>
  <si>
    <t>Purchase of One (1) Unit Service Vehicle for the Use of Brgy. Buluangan I</t>
  </si>
  <si>
    <t>GARBAGE TRUCK FOR MASLOG,DANAO CITY</t>
  </si>
  <si>
    <t>4Ps : 17 BOX BALL PEN--885 PCS. WASHABLE FACE MASK; FOR THE OFFICE SUPPLIES FOR 2020 PANTAWID OFFICE IPIL, ZAMBOANGA SIBUGAY</t>
  </si>
  <si>
    <t>CONCRETING OF BARILI ROAD (Phase I)</t>
  </si>
  <si>
    <t>CONSTRUCTION OF MULTI-PURPOSE BUILDING LOCATED AT SAN VICENTE NORTE, AGOO, LA UNION</t>
  </si>
  <si>
    <t>Supply and Delivery of One (1) Unit of Laptop with accessories to Sustain IP-TBM Project 4A</t>
  </si>
  <si>
    <t>PURCHASE OF VAULT</t>
  </si>
  <si>
    <t>Purchase of Waterproof Professional Two-Way Radio</t>
  </si>
  <si>
    <t>200 loads Mountain Mixed</t>
  </si>
  <si>
    <t>Purchase of CCTV and accessories with Installation and Fabrication</t>
  </si>
  <si>
    <t>ITB2020-020 LBP Agoo Branch re: Establishment of LANDBANK Agoo Branch Offsite ATM at Tubao</t>
  </si>
  <si>
    <t>Purchase &amp; Delivery of Janitorial &amp; Other Supplies for the Office of SPM Christopher R. Baterina</t>
  </si>
  <si>
    <t>Construction of Evacuation Center, Brgy. Catioan, Capalonga, Camarines Norte</t>
  </si>
  <si>
    <t>Purchase of Flat Latex Paint White and Gloves to be used in the maintenance activities (repainting of parapets and wheel guards) of DPWH-Laguna I District Engineering Office, Sta. Cruz, Laguna</t>
  </si>
  <si>
    <t>Request for Quotation Supply and Installation of Air-conditioning Units and Television Sets</t>
  </si>
  <si>
    <t>Supply Labor for the Certification and Recertification of Laboratory Equipments</t>
  </si>
  <si>
    <t>( PR NO. 20-07-05A-0041 SUPPLY AND DELIVERY OF 48 pcs Clamp, Saddle;DI; 50mmØ x 20mmØ (for uPVC/HDPE), 89 pcs Clamp, Saddle;DI; 100mmØ x 20mmØ (for uPVC/HDPE))</t>
  </si>
  <si>
    <t>SLOPE PROTECTION OF FARM TO MARKET ROAD (PALACAPAC ROAD) LOCATED AT BARANGAY PORPORIKET, SUDIPEN, LA UNION</t>
  </si>
  <si>
    <t>Procurement of Laboratory Supplies and Equipment</t>
  </si>
  <si>
    <t>Supply and Installation of of 4-units CCTV (Surveillance and Detection Equipment) Mahayag, Albuera, Leyte</t>
  </si>
  <si>
    <t>SUPP &amp; MAT FOR IMPROVEMENT OF CONFERENCE ROOM</t>
  </si>
  <si>
    <t>Purchase of Medical Supplies/Materials and Equipment</t>
  </si>
  <si>
    <t>Imp. of Multi-Purpose Hall</t>
  </si>
  <si>
    <t>Retaining Wall</t>
  </si>
  <si>
    <t>CONSTRUCTION/REHABILITATION OF WOODEN WHARF AT BARANGAY MANGSEE, BALABAC, PALAWAN</t>
  </si>
  <si>
    <t>Concreting of Dolores-Canaan Road Via Barangay Hall</t>
  </si>
  <si>
    <t>SUPPLY AND DELIVERY OF FUEL,OIL AND LUBRICANTS TO BE USED BY SANGGUNIANG BAYAN SEA CRAFT</t>
  </si>
  <si>
    <t>SUPPLY &amp; DELIVERY OF VARIOUS RESCUE EQUIPMENTS FOR MDRRMO, RODRIGUEZ, RIZAL</t>
  </si>
  <si>
    <t>Purchase and Deliver of Office Equipment</t>
  </si>
  <si>
    <t>Purchase of Materials for the Road Concreting, Brgy. Lanot Pequeno, Lambunao, Iloilo</t>
  </si>
  <si>
    <t>Re-bidding: Supply and Delivery of Arm Chairs and Sala Sets (PR No. 2020-02-0376, 2020-02-0240, 2020-02-0371)</t>
  </si>
  <si>
    <t>Repair of Gymnasium at Adrialuna, Naujan, Oriental Mindoro</t>
  </si>
  <si>
    <t>Catering Services for use in Different Visitors of CMO, Surigao City</t>
  </si>
  <si>
    <t>Supply and Delivery of Dental Supplies/Equipments for NLP</t>
  </si>
  <si>
    <t>Purchase of Machinery and Equipment for White Corn Processing Center</t>
  </si>
  <si>
    <t>20DD0377 Construction of 4STY20CL, Gaudencio B. Lontok Memorial Integrated School, Lipa City, Batangas</t>
  </si>
  <si>
    <t>PR 18-20-07-0875, FOR USE OF CONSTRUCTION OF WATER TANK AND OTHER FIXTURES AT VIEWDECK, SO. PUNOD, BRGY PROSPERIDAD.</t>
  </si>
  <si>
    <t>AGRICULTURAL MACHINERY &amp; EQUIPMENT</t>
  </si>
  <si>
    <t>To be used for the Construction of Stage of Day-asan Elem.	School, Brgy. Day-asan, Surigao City</t>
  </si>
  <si>
    <t>PROPOSED INSTALLATION OF SOLAR POWERED STREETLIGHTS SAN GABRIEL</t>
  </si>
  <si>
    <t>Procurement of 1 Lot Const. Materials (for Construction of Comfort Room at SCNHS (Senior High))</t>
  </si>
  <si>
    <t>REHABILITATION OF MULTIPURPOSE BUILDING @ BRGY. POBLACION</t>
  </si>
  <si>
    <t>RESOURCE ENHANCEMENT PROGRAM - Installation of IP Camera (CCTV System)</t>
  </si>
  <si>
    <t>FOOD PROCESSING EQUIPMENT</t>
  </si>
  <si>
    <t>Re-bidding: Supply and Delivery of Plaque for the PRAISE Awarding 2020 (PR No. 2020-06-0584)</t>
  </si>
  <si>
    <t>20GFL0005-Supply and delivery of various tires for use of various service vehicle at DPWH Sorsogon 2nd District Engineering Office</t>
  </si>
  <si>
    <t>7 bags Portland Cement 40 kgs and other items for installation of canopy at the Dumaguete Police station at Barangay Poblacion 7.</t>
  </si>
  <si>
    <t>20DD0378 Construction of 4STY12CL, Sen. Claro M. Recto Memorial Integrated School, Lipa City, Batangas</t>
  </si>
  <si>
    <t>100 box Working gloves</t>
  </si>
  <si>
    <t>Procurement of Diesel (for VMO Vehicles)</t>
  </si>
  <si>
    <t>Acquisition of upgraded one (1) unit Rice Mill, Post-Harvest Facilities: 1 unit Hand Tractor with Roto-tiller/Rotavator with fabricated trailer, and 1 unit Corn Sheller</t>
  </si>
  <si>
    <t>For use in the City Civil Registry Office, City of Surigao.</t>
  </si>
  <si>
    <t>Improvement of Health Center Building</t>
  </si>
  <si>
    <t>SUPPLY &amp; DELIVERY OF VARIOUS OFFICE SUPPLIES @ MDRRMO, RODRIGUEZ, RIZAL</t>
  </si>
  <si>
    <t>PR 18-20-06-0773, FOR USE IN CONSOLIDATION SUBDIVISION SURVEY AND APPROVAL OF PLAN OF LOT 9 &amp; LOT 10 FOR HOMELOT PROGRAM OF SAN CARLOS CITY.</t>
  </si>
  <si>
    <t>PROCUREMENT OF THREE HUNDRED (300) TRUCKLOAD FILLING MATERIALS INCLUDING FUEL, OIL AND RIGHTS FOR ROAD MAINTENANCE AT EL SALVADOR CITY</t>
  </si>
  <si>
    <t>Concreting of Street Beside JMT Gas Station at Luhong</t>
  </si>
  <si>
    <t>FUEL, OIL AND LUBRICANTS</t>
  </si>
  <si>
    <t>Procurement of Medical Supplies and Laboratory Instrument</t>
  </si>
  <si>
    <t>Procurement for the Supply, and Delivery of ICT Equipment to Support Flexible Learning for USTP-CDO</t>
  </si>
  <si>
    <t>CAN- JJASGH 796 OFF SUPPLIES</t>
  </si>
  <si>
    <t>Procurement of 1 Lot Plumbing Materials (For installation of water pump, water tank and accessories @ Municipal Hall)</t>
  </si>
  <si>
    <t>Supply and Delivery of Printers and Scanner (PR No. 2020-06-0593, 2020-05-0507, 2020-02-0243, 2020-02-0308, 2020-02-0210, 2020-03-0462, 2020-02-0314, 2020-01-0052, 2020-02-0260, 2020-02-0120, 2020-02-</t>
  </si>
  <si>
    <t>Supply &amp; delivery of 11 rolls of PE Pipe at Barangay Janopol Occidental, Tanauan City, Batangas</t>
  </si>
  <si>
    <t>Medical</t>
  </si>
  <si>
    <t>2020-074, SUPPLY AND DELIVERY OF 2 UNITS MINI DUMPTRUCK (SURPLUS) AT LGU MIDSAYAP, COTABATO</t>
  </si>
  <si>
    <t>SUPPLY AND DELIVERY OF DRUGS AND MEDICINES</t>
  </si>
  <si>
    <t>Purchase of Drugs and Medicine for RHU San Pablo, ZDS.</t>
  </si>
  <si>
    <t>20DD0379 Construction of 2STY4CL, Aya Elementary School, San Jose, Batangas</t>
  </si>
  <si>
    <t>PR 1-20-07-0913, FOR USE OF THE CITY GOV'T OF SAN CARLOS INTENDED FOR VARIOUS CITY PROJECTS.</t>
  </si>
  <si>
    <t>MEDICAL SUPPLIES- ANTI RABIES VACCINATION</t>
  </si>
  <si>
    <t>CONSTRUCTION OF FOOTBRIDGE-TUCAO-BUENAVISTA, CARAMORAN, CATANDUANES</t>
  </si>
  <si>
    <t>REHABILITATION/UPGRADING OF WATER SYSTEM @ BRGY. POBLACION</t>
  </si>
  <si>
    <t>( PR NO. 20-07-07-0238 SUPPLY AND DELIVERY OF 1 set CI Std pavement Manhole Cover 1000mmØ)</t>
  </si>
  <si>
    <t>Tarpaulin etc. (06-0681) Tourism</t>
  </si>
  <si>
    <t>Construction of Water System at Casiligan, Pola, Oriental Mindoro</t>
  </si>
  <si>
    <t>500 prefilled syr Epoetin (alpha) 4,000 IU &amp; etc. for the use at Dialysis SECTION of NOPH (S-262-2020)</t>
  </si>
  <si>
    <t>Forms for use in Day Care Centers for pre-schoolers in Surigao City</t>
  </si>
  <si>
    <t>IMPROVEMENT OF ENTRANCE GATE CvSU-NAIC</t>
  </si>
  <si>
    <t>ANIMAL FEEDS</t>
  </si>
  <si>
    <t>Marine Plywood 4x8x3/4		 &amp; etc. for Bindoy District Hospital	 (N-592-2020)</t>
  </si>
  <si>
    <t>Supply and Installation of Glass Partition</t>
  </si>
  <si>
    <t>Supply and Delivery of Laptops (PR No. 2020-02-0226, 2020-02-0210, 2020-02-0280)</t>
  </si>
  <si>
    <t>CONSTRUCTION OF BOUNDARY MARKER (LED DISPLAY)</t>
  </si>
  <si>
    <t>Rebidding: 1 unit Search Light with tripod (10,000 lumens) and other items for utilization of 20% LGU share on fire code fees collection intended for DCFS Day to Day operation.</t>
  </si>
  <si>
    <t>Procurement of 1 Lot Electrical Materials (for Installation of Solar Lights at Sibulan, Sta. Cruz, Davao del Sur)</t>
  </si>
  <si>
    <t>20DD0380 Construction of 2STY4CL, Marilag Elementary School, Rosario, Batangas</t>
  </si>
  <si>
    <t>( PR NO. 20-07-07-0213 SUPPLY AND DELIVERY OF 4 lgth Pipe, BI; S40, 75mmØ x 6m, 4 lgth Pipe, BI; S40, 100mmØ x 6m, 4 lgth Pipe, BI; S40, 125mmØ x 6m, 5 lgth Pipe, BI; S40, 200mmØ x 6m, 2 lgth Pipe, BI</t>
  </si>
  <si>
    <t>To be used for the Extension of Covered Court &amp; 	Construction of Stage of C.V. Diez MCES,Brgy. Washington, S.C.</t>
  </si>
  <si>
    <t>Procurement of 1 Lot Const. Materials (for Construction of Perimeter Fence at Idong ES)</t>
  </si>
  <si>
    <t>Delivery of Laptop</t>
  </si>
  <si>
    <t>To be used for the Construction of Mini Covered Court @ San Jose Elementary School, Brgy. San Jose, Surigao City.</t>
  </si>
  <si>
    <t>(1) one Unit Motorcycle 150cc for the use at BM Baldado Office Delivery of Communications to different barangays (N-596-2020)</t>
  </si>
  <si>
    <t>PURCHASE AND DELIVERY OF FOOD SUPPLIES FOR SFP IN LAMUT, IFUGAO</t>
  </si>
  <si>
    <t>Procurement of Fixture -07-447(O)PEO</t>
  </si>
  <si>
    <t>SUPPLY AND DELIVERY OF IV FLUIDS</t>
  </si>
  <si>
    <t>Procurement of Equipment and CCTV Set for New I.T. Building</t>
  </si>
  <si>
    <t>( PR NO. 20-07-09-0021 SUPPLY AND DELIVERY OF 250 pcs Meter Coupling(Brass Tailpiece) 13mmØ x 75mm (1/2" x 3")</t>
  </si>
  <si>
    <t>CONSTRUCTION OF BLEACHER, BARANGAY TIGUMA, PAGADIAN CITY</t>
  </si>
  <si>
    <t>Supply &amp; Delivery of IT Equipment and Semi-Expendable Machinery &amp; Equipment</t>
  </si>
  <si>
    <t>Supply and Delivery of IT Equipment (Re-bidding)</t>
  </si>
  <si>
    <t>Improvement of Senior Citizen Hall at Pinagsabangan I, Naujan, Or. Mindoro and Construction of Water System at Pinagsabangan I, Naujan, Or. Mindoro</t>
  </si>
  <si>
    <t>Supply and Delivery of Desktop Computers (PR No. 2020-01-0054, 2020-02-0308, 2020-02-0204, 2020-06-0563)</t>
  </si>
  <si>
    <t>20DD0381 Concreting of Brgy. Mavalor to Brgy. Tiquiwan FMR, Brgy. Mavalor and Brgy. Tiquiwan, Rosario, Batangas</t>
  </si>
  <si>
    <t>Oil for Diesel SAE 15 W-40		 &amp; etc. for use in the Office Of the Governor			 (N-614-2020)</t>
  </si>
  <si>
    <t>SUPPLY AND DELIVERY OF FUEL,OIL AND LUBRICANTS TO BE USED BY MUNICIPAL ENGINEERING OFFICE BALABAC, PALAWAN</t>
  </si>
  <si>
    <t>Card etc. - REBID (07-0721) CMO-License</t>
  </si>
  <si>
    <t>Procurement of PPE for ManCom and PMO Personnel</t>
  </si>
  <si>
    <t>IMPROVEMENT OF MULTI-PURPOSE HALL , BARANGAY TIGUMA, PAGADIAN CITY</t>
  </si>
  <si>
    <t>Supply and delivery of  HARDWARE MATERIALS  re: For construction of MRF at Brgy. Inaclagan, Atimonan, Quezon.</t>
  </si>
  <si>
    <t>Lot 2: Supply and Delivery of Laboratory Supplies for Garments Technology Instruction (PR No. 2020-02-0285)</t>
  </si>
  <si>
    <t>Office Supplies for NOPH supply office (S-261-2020)</t>
  </si>
  <si>
    <t>PURCHASE AND DELIVERY OF FOOD SUPPLIES FOR SFP IN CALANASAN, APAYAO</t>
  </si>
  <si>
    <t>CONSTRUCTION PROJECT/CONSTRUCTION/FABRICATION OF SEAWEEDS DRYER</t>
  </si>
  <si>
    <t>1 set 4" diameter Submersible motor, etc.</t>
  </si>
  <si>
    <t>Procurement of Fertilizer-07-090(M)OPAG</t>
  </si>
  <si>
    <t>Purchase of Other Supplies and Other Materials</t>
  </si>
  <si>
    <t>PROPOSED INSTALLATION OF SOLAR POWERED STREETLIGHTS LUMBRERAS</t>
  </si>
  <si>
    <t>General Cleaning of Nine (9) Unit Computer Desktop-MBO</t>
  </si>
  <si>
    <t>Equipping of Local Covid Center</t>
  </si>
  <si>
    <t>Office.Supply.02</t>
  </si>
  <si>
    <t>PROPOSED INSTALLATION OF SOLAR POWERED STREETLIGHTS DE LAS ALAS</t>
  </si>
  <si>
    <t>20DD0382 Local Program, Local Infrastructure Program, Buildings and Other Structures, Multipurpose/ Facilities, Construction of Multi-Purpose Building/ Brgy. Hall, Brgy. Quilo-Quilo North, Padre Garci</t>
  </si>
  <si>
    <t>Supply and Delivery of IT Parts and Accessories (PR No. 2020-02-0120, 2020-02-0312, 2020-02-0203, 2020-02-0337, 2020-01-0034, 2020-01-0053, 2020-02-0225, 2020-02-0271, 2020-02-0308, 2020-02-0329, 2020</t>
  </si>
  <si>
    <t>Procurement of Catering Services-07-033(P)PSWDO</t>
  </si>
  <si>
    <t>Supply and Delivery of Materials for the Construction of Drainage Canal</t>
  </si>
  <si>
    <t>Supply and delivery of  OFFICE SUPPLIES  re: For Various Offices use  c/o  GSO.</t>
  </si>
  <si>
    <t>Equipments</t>
  </si>
  <si>
    <t>brand new generator set, DIESEL</t>
  </si>
  <si>
    <t>Embankment of Shoreline Protection with Docking Facility (Phase VII)</t>
  </si>
  <si>
    <t>Supply and Delivery of Nine (9) unit of Colored Printer with three (3) sets of Toner Cartridges per printer (black, cyan, magenta and yellow) at SEC Extension Offices</t>
  </si>
  <si>
    <t>PURCHASE PF REPAIR AND MAINTENANCE MATERIALS FOR SCHOOL AND OTHER LEARNING CENTERS FOR THE IMPLEMENTATION OF BRIGADA SKWELA ON MAY 2020 under P.R. no.  20-20-04-140</t>
  </si>
  <si>
    <t>MEDICINE (MHU-LGU)</t>
  </si>
  <si>
    <t>PROPOSED INSTALLATION OF SOLAR POWERED STREETLIGHTS F. DECASTRO</t>
  </si>
  <si>
    <t>Lot 1: Supply and Delivery of Laboratory Equipment for Food Technology Instruction (PR No. 2020-02-0292) &amp; Lot 2: Supply and Delivery of Tools and Materials for Food Technology Instruction (PR No. 202</t>
  </si>
  <si>
    <t>5 kls. Welding rod</t>
  </si>
  <si>
    <t>OTHER MACHINERIES AND EQUIPMENT</t>
  </si>
  <si>
    <t>Other Supplies- Accounting Office</t>
  </si>
  <si>
    <t>Supply and delivery of  IT EQUIPMENTS  re: For Instructional purposes of various schools (Secondary Education)</t>
  </si>
  <si>
    <t>Procurement of Catering Services-07-035(P)PSWDO</t>
  </si>
  <si>
    <t>Construction of National Child Development Center</t>
  </si>
  <si>
    <t>10 Fire Boots (harvick)</t>
  </si>
  <si>
    <t>Supply and delivery of  GOODS/SUPPLIES re: For Support to Livestock Multiflier Farm c/o OMA.</t>
  </si>
  <si>
    <t>PREVENTIVE MAINTENANCE OF PHYSICAL FACILITIES FOR THE 2ND HALF RELEASE CY 2020</t>
  </si>
  <si>
    <t>20AB0123: CONSTRUCTION OF ONE (1) STOREY - FOUR (4) CLASSROOM SCHOOL BUILDING, (100241) DON MARIANO MEMORIAL SCHOOL, PINILI, ILOCOS NORTE</t>
  </si>
  <si>
    <t>Supply and Installation of Audio-Visual Equipment</t>
  </si>
  <si>
    <t>Procurement of Hardware Supplies-07-069(M)OPAG</t>
  </si>
  <si>
    <t>Invitation to Apply for Eligibility and to Bid for CONSTRUCTION OF BARANGAY GANGAO LEVEL II WATER SYSTEM</t>
  </si>
  <si>
    <t>INSTALLATION OF STREETLIGHTS , BARANGAY TIGUMA, PAGADIAN CITY</t>
  </si>
  <si>
    <t>( PR NO. 20-07-07-0214 SUPPLY AND DELIVERY OF 5 lgth Deformed Round Bars 16mmØ(5/8"Ø), 10 lgth Deformed Round Bars 10mmØ(3/8"Ø), 5 lgth Plain Round Bars, 16mmØ(5/8"Ø), 10 lgth Plain Round Bars, 10mmØ(</t>
  </si>
  <si>
    <t>FOR THE SUPPLY OF CONSTRUCTION MATERIALS</t>
  </si>
  <si>
    <t>Procurement of Hardware Supplies-07-071(M)OPAG</t>
  </si>
  <si>
    <t>Purchase of Spare Parts and Lubricants to be used for repair and maintenance of Backhoe of the Municipality of Tabuelan, Cebu</t>
  </si>
  <si>
    <t>PROPOSED INSTALLATION OF SOLAR POWERED STREETLIGHTS POBLACION 3</t>
  </si>
  <si>
    <t>Procurement of Construction supplies and materials</t>
  </si>
  <si>
    <t>Continuation of MDRRM Building</t>
  </si>
  <si>
    <t>PROCUREMENT OF SUPPLIES FOR CARPENTRY</t>
  </si>
  <si>
    <t>( PR NO. 20-07-07-0236 SUPPLY AND DELIVERY OF 6 lgths Wide Flange, W6x15, 8 lgths Square Bar, 12mm, 2 lgths Flat Bar 50mm x 6.00 x 6.35 thk)</t>
  </si>
  <si>
    <t>Procurement of Hardware Supplies-07-456(O)PEO</t>
  </si>
  <si>
    <t>Repair of Auditor's Office.</t>
  </si>
  <si>
    <t>Procurement of Various Construction Supplies and Materials-07-450(O)PEO</t>
  </si>
  <si>
    <t>Rebidding of Supplies, Materials &amp; Equipment for Control and Mitigation of ASF</t>
  </si>
  <si>
    <t>Rehabilitation, Repair, Renovation and Repainting of Cembo Talipapa located at Narra St. Brgy. Cembo, Makati City</t>
  </si>
  <si>
    <t>IMPROVEMENT OF MULTIPURPOSE HALL AT DAANG AMAYA II</t>
  </si>
  <si>
    <t>Construction of Ramp and Other PWD Requirements (Various Public Schools and Public Buildings), located at Makati City</t>
  </si>
  <si>
    <t>ITB20-7(infra)</t>
  </si>
  <si>
    <t>Supply and Delivery of Instructional Tools and Equipment for Technical Vocational Livelihood (TVL) Course, for Science Laboratory and for Information and Communication Technology Course</t>
  </si>
  <si>
    <t>Laying of Concrete Pavers at Mun. Hall Compound &amp; Construction of Wingwall, Headwall and Apron Slab of Pipe Culvert at Barangay Mallabo, San Mariano, Isabela</t>
  </si>
  <si>
    <t>Procurement of Various Textbooks for References of the College Library - Binalbagan Campus</t>
  </si>
  <si>
    <t>20G00115 - Construction of River Bank Protection Works along Kalibo River, Kalibo Bridge III, Mina, Lezo Section, Aklan</t>
  </si>
  <si>
    <t>Construction of Lateral Road at Zone 3, Tagbong, Pili, Camarines Sur</t>
  </si>
  <si>
    <t>Supply and Delivery of One (1) Unit of RISO Machine</t>
  </si>
  <si>
    <t>Purchase of Food COmmodities for Task Force 3rd Quarter</t>
  </si>
  <si>
    <t>Procurement of Hardware Supplies-07-4446(O)PEO</t>
  </si>
  <si>
    <t>Renovation and Improvement of Pitogo Community Complex located at Cebu St. Cor. Luzon St., Brgy. Pitogo, Makati City</t>
  </si>
  <si>
    <t>PURCHASE OF FURNITURE AND FIXTURES</t>
  </si>
  <si>
    <t>PR-2020-1481 Two (2) Units Desktop-PHO</t>
  </si>
  <si>
    <t>Procurement of Various Spare Parts-07-439(O)PEO</t>
  </si>
  <si>
    <t>Procurement of Various Office Supplies, Consumables and Printer for Research and Development Services Office use - Talisay Campus</t>
  </si>
  <si>
    <t>Supply and Delivery of Office Equipment (PR No. 2020-02-0311, 2020-02-0380, 2020-02-0273, 2020-01-0141)</t>
  </si>
  <si>
    <t>CONSTRUCTION OF SOLAR STREETLIGHT(PHASE II), BRGY. LIBTONG, SAN MIGUEL, LEYTE</t>
  </si>
  <si>
    <t>Proposed Rehabilitation and Upgrading of Existing Streetlighting along H. Santos Street located at Barangay Tejeros, Makati City</t>
  </si>
  <si>
    <t>Supply and Delivery of One (1) unit Tabletop Sandblaster, as per BSP Technical Specifications and Terms and Conditions</t>
  </si>
  <si>
    <t>Supply &amp; Delivery of OTHER SUPPLIES (Business Plate)</t>
  </si>
  <si>
    <t>Supply &amp; Delivery of MOTOR VEHICLE</t>
  </si>
  <si>
    <t>“Purchase of Three (3) units Ambulance with Medical Equipment and Accessories for use in the City of Guihulngan, Province of Negros Oriental (B-115-2020)</t>
  </si>
  <si>
    <t>Improvement/Repair of Concrete Pathway</t>
  </si>
  <si>
    <t>Supplies for Reproduction of Learning Materials</t>
  </si>
  <si>
    <t>Procurement of 10 drums Emulsified Asphalt etc. for use in the Maintenance of National Roads and Bridges</t>
  </si>
  <si>
    <t>Proposed Improvement of STP at Makati Homes-I located at H. Santos Street, Barangay Tejeros, Makati City</t>
  </si>
  <si>
    <t>20GNE0043 -Supplies/Deliveries for the Procurement of Diesel Fuel and Special Gasoline to be used in the official vehicles of Construction Section, and Planning and Design Section of this office for t</t>
  </si>
  <si>
    <t>Construction of Multi-Purpose Evacuation Center @ Doña Concha, Roxas, Isabela</t>
  </si>
  <si>
    <t>Construction of Multi Purpose DryingPavement</t>
  </si>
  <si>
    <t>Procurement of Various Construction Supplies and Materials-07-449(O)PEO</t>
  </si>
  <si>
    <t>20G00114 - Construction of River bank protection works along Kalibo River, Kalibo Bridge III, Tigayon, Kalibo Section, Aklan</t>
  </si>
  <si>
    <t>Delivery of ICT Equipment for Office use (SVP 20-0917).</t>
  </si>
  <si>
    <t>Airconditioner General Cleaning &amp; Repair-MHO-TF-MCP</t>
  </si>
  <si>
    <t>Proposed Rehabilitation and Upgrading of Existing Streetlighting along Antipolo Street (Phase 1 and 2) located at Barangay Poblacion/Valenzuela, Makati City</t>
  </si>
  <si>
    <t>SUPPLY AND DELIVERY OF CONSTRUCTION MATERIALS USE FOR CONSTRUCTION OF MULTI-PURPOSE DRYING PAVEMENT AT BARANGAY POBLACION &amp; LABAO, ESPERANZA, ADS.</t>
  </si>
  <si>
    <t>CONSTRUCTION OF MATERIAL RECOVERY FACILITY (MRF) FOR BARANGAY HUBANG, BARANGAY PISAAN AND BARANGAY 3, SFADS</t>
  </si>
  <si>
    <t>( PR NO. 20-03-05-0004 Re-canvass SUPPLY AND DELIVERY OF 1 unit ESFF DESKTOP)</t>
  </si>
  <si>
    <t>Purchase of Various Fertilizers-Other than Tobacco Farmers (MAO)</t>
  </si>
  <si>
    <t>Procurement of 20 gal. Rubberized Paint white etc. for use in the Maintenance of National roads and Bridges</t>
  </si>
  <si>
    <t>Procurement of Various IT Equipment-07-010(AD)PBO</t>
  </si>
  <si>
    <t>SUPPLY AND DELIVERY OF HEIGHT BOARD FOR OPERATION TIMBANG (TWO FAILED BIDDING/NEGOTIATED PROCUREMENT)</t>
  </si>
  <si>
    <t>REBIDDING OF CONCRETING OF NURSERY ROAD- Barangay Tan-ag Ibaba, Lopez, Quezon</t>
  </si>
  <si>
    <t>PURCHASE OF IT EQUIPMENTS</t>
  </si>
  <si>
    <t>Concreting of Barangay Road at Mallavera Brgy. Villa Padua Gumaca, Quezon</t>
  </si>
  <si>
    <t>Procurement of Various Spare Parts-07-440(O)PEO</t>
  </si>
  <si>
    <t>Toner for Photocopier-MHO-TF-MCP</t>
  </si>
  <si>
    <t>OFFICE ENHANCEMENT PROGRAM</t>
  </si>
  <si>
    <t>Printing of graduation picture set for June 2020 graduating students of Batangas State University JPLPC Malvar Campus</t>
  </si>
  <si>
    <t>Supply and Delivery of Construction Materials for Construction of Latrine in different Barangay’s of the Municipality of Tabuelan, Cebu</t>
  </si>
  <si>
    <t>Purchase of Medical Supplies for RHU San Pablo, ZDS.</t>
  </si>
  <si>
    <t>Procurement of Personal Protective Suit</t>
  </si>
  <si>
    <t>Procurement of Steel Cabinet</t>
  </si>
  <si>
    <t>Procurement of furniture and fixtures</t>
  </si>
  <si>
    <t>Vegetable Seeds- MAO</t>
  </si>
  <si>
    <t>Procurement of Catering Services-07-034(P)PSWDO</t>
  </si>
  <si>
    <t>Proposed Construction of Police Headquarters, Mapsa Headquarters &amp; Cental Fire Station, located at Malugay Street, Brgy. San Antonio, Makati City</t>
  </si>
  <si>
    <t>CONSTRUCTION OF MATERIAL RECOVERY FACILITY (MRF) FOR BARANGAY 1, BARANGAY 2, BARANGAY 4 &amp; BARANGAY 5, SFADS</t>
  </si>
  <si>
    <t>purchase od storage box</t>
  </si>
  <si>
    <t>CONSTRUCTION OF BARANGAY STAGE-MABINI, CARAMORAN, CATANDUANES</t>
  </si>
  <si>
    <t>SUPPLY AND DELIVERY OF VARIOUS OFFICE SUPPLIES: CONSUMABLES OF GESTETNER DX2430 COPY PRINTER (BLACK AND WHITE)</t>
  </si>
  <si>
    <t>Concreting of Binanuaanan Road at Binanuaanan, Pili, Camarines Sur</t>
  </si>
  <si>
    <t>( PR NO. 20-07-07-0205 SUPPLY AND DELIVERY OF 35 m³ Washed Sand, 15 m³ Crushed Gravel 3/4", 4 m³ Crushed Gravel G1, 32 m³ Filling Materials (for staggered delivery)</t>
  </si>
  <si>
    <t>PURCHASE OF MATERIALS FOR THE IMPROVEMENT OF SCHOOL SITE</t>
  </si>
  <si>
    <t>CONSTRUCTION OF MATERIAL RECOVERY FACILITY (MRF) FOR BARANGAY ALEGRIA, BARANGAY KARAOS AND BARANGAY SAN ISIDRO, SFADS</t>
  </si>
  <si>
    <t>Municipal Tax aps Digitization Project.</t>
  </si>
  <si>
    <t>Office Supplies-MSWDO-Admin</t>
  </si>
  <si>
    <t>Procurement of Multi-Functional Ambulance</t>
  </si>
  <si>
    <t>Construction of Municipal Isolation Unit - SB # 03 CY 2020 (Procurement of Hardware Materials) - MEO</t>
  </si>
  <si>
    <t>Concreting of Various Streets (Phase V) ITB NO: SFZ-INFRA 2020-007</t>
  </si>
  <si>
    <t>NEGOTIATED PROCUREMENT OF SOLAR STREET LIGHT FOR IP COMMUNITY-Brgy. Villa Espina Lopez, Quezon</t>
  </si>
  <si>
    <t>ITB-2020-002 Construction of Toilet</t>
  </si>
  <si>
    <t>PR-2020-1480 Three (3) Units Laptop-PHO</t>
  </si>
  <si>
    <t>Purchase of 2 Units Water Tank for RHU San Pablo, ZDS.</t>
  </si>
  <si>
    <t>20GNE0044-Supplies/Deliveries for the Procurement of various Common Office Supplies to be used in Administrative Section and Planning &amp; Design Section of this office for the 3rd Quarter of C.Y. 2020</t>
  </si>
  <si>
    <t>CONSTRUCTION OF 2-STOREY GENDER SENSITIVE RESEARCH FACILITY AT PUP CAMPUS-Brgy. Burgos Lopez, Quezon</t>
  </si>
  <si>
    <t>Completion of Multi-Purpose Building (Proper Calidngan) at Calidngan, Carcar City, Cebu</t>
  </si>
  <si>
    <t>PR-2020-0665 Portable Anthropometric Tool (Renegotiated)-PSWDO</t>
  </si>
  <si>
    <t>Procurement of Various Food Stuff [07-121(Q)] ZNMC</t>
  </si>
  <si>
    <t>Procurement of RISO Toner Cartridge &amp; US Bond Paper for making of learning modules</t>
  </si>
  <si>
    <t>SUPPLIES FOR REFRESHMENT/ EATERY</t>
  </si>
  <si>
    <t>Brake Drum etc. (07-0812) Operation of Public Motorpool</t>
  </si>
  <si>
    <t>CONSTRUCTION OF MATERIAL RECOVERY FACILITY (MRF) FOR BARANGAY BAYUGAN 2, BARANGAY LAPINIGAN AND BARANGAY PASTA, SFADS</t>
  </si>
  <si>
    <t>Purchase of Well-Milled Rice</t>
  </si>
  <si>
    <t>Procurement of Eight (8) units Digital Duplicator / RISO for making of learning modules</t>
  </si>
  <si>
    <t>20GIE0022 - Gender &amp; Development (GAD) Integration Framework in Road Infrastructure Sector and other Related Activities for Gender and Development Activity Women’s Month Celebration CY 2020. DPWH, Ley</t>
  </si>
  <si>
    <t>Procurement of VEHICLE (SINGLE CAB)</t>
  </si>
  <si>
    <t>Procurement of ICT Equipment for various offices</t>
  </si>
  <si>
    <t>purchase of photocopier</t>
  </si>
  <si>
    <t>Printing of MFWD officiala receipts</t>
  </si>
  <si>
    <t>SUPPLY &amp; DELIVERY OF HARDWARE AND ELECTRICAL SUPPLIES</t>
  </si>
  <si>
    <t>Proposed Perimeter Fence along Residential Area at Makati Homes-I, located at H. Santos Street, Brgy. Tejeros, Makati City</t>
  </si>
  <si>
    <t>Rehabilitation of LGU Owned Potable Water Supply System</t>
  </si>
  <si>
    <t>INSTALLATION/REHABILITATION OF STREETLIGHTS – NATIONAL HIGHWAY (Re-post)</t>
  </si>
  <si>
    <t>20PC0062 DPWH MODIFIED STANDARD TWO (2) UNITS HEALTH FACILITY TENT</t>
  </si>
  <si>
    <t>Internet Connection for Various Office of LGU San Pablo.</t>
  </si>
  <si>
    <t>Concreting of Access Road at Sitio Aromayan Binanuaanan, Pili, Camarines Sur</t>
  </si>
  <si>
    <t>Construction of School Building</t>
  </si>
  <si>
    <t>SUPPLY,  DELIVERY,  AND AFTER SALES SERVICEOF NON-COMMON USE SUPPLIES (NCUS) - SUPPLIES AND MATERIALS AT PSU MAIN CAMPUS</t>
  </si>
  <si>
    <t>Other Supplies-MSWDO Admin</t>
  </si>
  <si>
    <t>20GGL0007 - PROCUREMENT OF MATERIALS FOR USE IN THE REPAIR AND MAINTENANCE OF ASPHALT AND CONCRETE PAVEMENT WITHIN THE NEGROS OCCIDENTAL 2ND DISTRICT ENGINEERING OFFICE, BINALBAGAN, NEGROS OCC.</t>
  </si>
  <si>
    <t>Concreting of Barangay Road Rebi, Teniapan San Pablo ZDS.</t>
  </si>
  <si>
    <t>20GGL0008 - PROCUREMENT OF FUEL FOR USE OF H1-7456, H1-7483, 6FA-213, JDJ-706, SDK-391, SDK-421, SDK-487, SKS-150, H3-6643, FAY-568, DMAX-11226, ROAD GRADER NI-1517 AND ROAD GRADER NI-1960, ASPHALT KE</t>
  </si>
  <si>
    <t>Polyethylene Hose etc . (07-0800) Hon. Asprer</t>
  </si>
  <si>
    <t>PB2020-07-117 Procurement of Various Laboratory Reagents for 2020 GABMMC, JJASGH, OMMC</t>
  </si>
  <si>
    <t>Purchase &amp; Delivery of Various Medical Supplies  for PVET (Re-bid)</t>
  </si>
  <si>
    <t>BARANGAY IT SYSTEM</t>
  </si>
  <si>
    <t>Repair &amp; Cleaning of Aircon-Accounting Office</t>
  </si>
  <si>
    <t>PROCUREMENT OF SUPPLIES FOR DRESSMAKING</t>
  </si>
  <si>
    <t>PROCUREMENT OF SUPPLIES FOR VULCANIZING SERVICES AND  MOTOR SPARE PARTS</t>
  </si>
  <si>
    <t>Flatbed Scanner PRO (Heavy Duty) ADF &amp; etc. for SP Office (N-602-2020)</t>
  </si>
  <si>
    <t>PROCUREMENT OF 1 UNIT REFRIGERATED VAN (BRAND NEW), MINI ALUMINUM VAN (RECONDITIONED) AND 11 UNITS MOTORCYCLES (BY LOT) LGU, MALAYBALAY CITY.</t>
  </si>
  <si>
    <t>Construction of Municipal Isolation Unit - SB# 03 CY 2020 (Procurement Supply/Delivery/Installation of Concrete and Steel Poles for Electrical Source) - MEO</t>
  </si>
  <si>
    <t>Fuels For use in the Transportation Department, Bais District Hospital (N-605-2020)</t>
  </si>
  <si>
    <t>Animal Zoological Supplies-MAO</t>
  </si>
  <si>
    <t>10 packs Cotton pledget</t>
  </si>
  <si>
    <t>Brake Fluid etc. (06-0630) Operation of Public Motorpool</t>
  </si>
  <si>
    <t>Purchase of 12" UPVC pipe</t>
  </si>
  <si>
    <t>SUPPLY, DELIVERY, AND AFTER SALES SERVICE OF COMMON USE SUPPLIES (CUS) - SUPPLIES AND MATERIALS AT PSU MAIN AND EXTERNAL CAMPUSES</t>
  </si>
  <si>
    <t>PRINTING OF JHS and SHS MODULES</t>
  </si>
  <si>
    <t>Repair/Maintenance of I.T Equipment</t>
  </si>
  <si>
    <t>Purchase and Delivery of Farm Equipments Assistance to Santol Tobacco Farmers Association</t>
  </si>
  <si>
    <t>PROCUREMENT OF SUPPLIES FOR BARBERSHOP</t>
  </si>
  <si>
    <t>Purchase of Mini Dump Truck, Banilad Bacong, Negros Oriental</t>
  </si>
  <si>
    <t>20GGL0009 - PROCUREMENT OF MATERIALS FOR USE IN APPLICATION OF REFLECTORIZED THERMOPLASTIC PAVEMENT MARKING ALONG BACOLOD SOUTH ROAD, K0048+500 - K0082+170 WITH EXCEPTION, BINALBAGAN - HIMAMAYLAN CITY</t>
  </si>
  <si>
    <t>CONSTRUCTION OF MULTI PURPOSE FACILITIES</t>
  </si>
  <si>
    <t>Vegetable Seeds - Upland Development Program</t>
  </si>
  <si>
    <t>SNACKS-MCO(MCDC)</t>
  </si>
  <si>
    <t>PR NO. 2020-08-023 CONSTRUCTION OF 50 LN.M. FLOOD CONTROL, BRGY. E. LAODENIO &amp; BRGY. DEL SUR, MAPANAS, NORTHERN SAMAR</t>
  </si>
  <si>
    <t xml:space="preserve">RFQ No. 2020-07-043; PR No. 2020-07-090: PROCUREMENT OF VARIOUS MEDICAL SUPPLIES AND EQUIPMENT, FOR USE IN THE PREVENTION OF COVID-19 INFECTION, UNDER THE ADMINISTRATIVE DIVISION, DPWH R.O. XI, DAVAO </t>
  </si>
  <si>
    <t>Procurement of Seedlings (Forest Greening and Reforestation)</t>
  </si>
  <si>
    <t>PROCUREMENT OF SUPPLIES FOR WIELDING/VULCANIZING AND DRILLING SERVICES</t>
  </si>
  <si>
    <t>Oxygen Refill for Human Consumption</t>
  </si>
  <si>
    <t>SUPPLY &amp; DELIVERY OF VARIOUS ICT EQUIPMENT FOR THE E-LEARNING TELECONFERENCING UNDER THE NEW NORMAL EDUCATION SYSTEM IN PLMUN</t>
  </si>
  <si>
    <t>Procurement of books (rebidding) for ECCD children educational supplies</t>
  </si>
  <si>
    <t>SUPPLY AND DELIVERY OF PREPAID CARDS FOR THE MONTHS APRIL TO SEPTEMBER 2020 FOR PSU MAIN CAMPUS USE</t>
  </si>
  <si>
    <t>ITB MPHallP3</t>
  </si>
  <si>
    <t>ITB Med2020</t>
  </si>
  <si>
    <t>RFQ No. 2020-07-044; PR No. 2020-07-089: PROCUREMENT OF VARIOUS SUPPLIES AND MATERIALS FOR PORTABLE HANDWASHING BOOTH, FOR USE IN THE PREVENTION OF COVID-19 INFECTION, UNDER THE ADMINISTRATIVE DIVISIO</t>
  </si>
  <si>
    <t>Rehabilitation of Breakwater/Retaining Wall at Reclamation Area Brgy. Tabing Dagat Gumaca, Quezon</t>
  </si>
  <si>
    <t>DTI Pangkabuhayan sa Pagbangon at Ginhawa Livelihood Project (DTI-PBG) Livelihood Starter Kits</t>
  </si>
  <si>
    <t>RFQ 2020-08-328 Procurement of various supplies and materials for OM</t>
  </si>
  <si>
    <t>Bubo(Fish Pot) etc. (07-0791) Agriculture</t>
  </si>
  <si>
    <t>ITB No. 20-073: Supply and Delivery of Three Hundred (300) vial of Polymyxin B Sulfate 500,000 units powder for solution, 5mL</t>
  </si>
  <si>
    <t>PROCUREMENT OF PETROLEUM, OIL AND LUBRICANT (POL) FOR REHABILITATION OF SALUG FMR &amp; ROAD GRAVELLING BRGY. PIGLAWIGAN, ESPERANZA, AGUSAN DEL SUR</t>
  </si>
  <si>
    <t>Medical Supplies - (3rd) NEEDLE CUTTER &amp; SHARP CONTAINER</t>
  </si>
  <si>
    <t>Procurement of Hardware and Construction Materials for Proposed Construction of Perimeter Fence at Provincial Engineers Office Compound.</t>
  </si>
  <si>
    <t>Installation of Hand washing Facility</t>
  </si>
  <si>
    <t>Supplies for LGU Officials and Employees</t>
  </si>
  <si>
    <t>RFQ No. 2020-075-045; PR No. 2020-07-088: PROCUREMENT OF ONE (1) JOB ORDER: LABOR AND MATERIALS, FOR THE INSTALLATION OF WIDE AREA CONNECTIVITY (VOICE DATA), FOR USE IN THE DPWH R.O. XI, UNDER THE ORD</t>
  </si>
  <si>
    <t>SUPPLY &amp; DELIVERY OF OFFICE EQUIPMENT &amp; ACCESSORIES</t>
  </si>
  <si>
    <t>ITB Access AM2020</t>
  </si>
  <si>
    <t>Particles Filter for Air purifier Blueair 650E (1 unit: 3 filters)</t>
  </si>
  <si>
    <t>14 Heads Cow-MAO</t>
  </si>
  <si>
    <t>Supply of Labor for the Repair of Plant Perimeter Wall and Renovation of Control Room at PATNANUNGAN DPP</t>
  </si>
  <si>
    <t>Supply and Delivery of Multimedia Projectors (PR No. 2020-02-0185, 2020-02-0299, 2020-02-0152, 2020-02-0339, 2020-02-0270, 2020-02-0299, 2020-02-0261)</t>
  </si>
  <si>
    <t>Purchase of school supplies for indigent school children</t>
  </si>
  <si>
    <t>REQUEST FOR QUOTATION -Supply, Delivery, Wiring and Installation of One (1) Unit Automatic Transfer Switch for 80KVACummins Genset</t>
  </si>
  <si>
    <t>Procurement of Monoblock Chairs (1)</t>
  </si>
  <si>
    <t>supply and delivery of hardware materials use for the continuation of electrification-bagong lipunan-rimut poblacion</t>
  </si>
  <si>
    <t>REPAIR OF FLOOR TILES AND CEILING AND REPLACEMENT OF DOOR AND PAINTING OF WALLS AT MIS OFFICE , PLMUN, POBLACION, MUNTINLUPA CITY</t>
  </si>
  <si>
    <t>3rd Quarter MOOE  C.Y. 2020</t>
  </si>
  <si>
    <t>Repair of Evacuation Center at Camantigue, Bongabong, Oriental Mindoro</t>
  </si>
  <si>
    <t>Purchase of Diving Accessories/ Equipments</t>
  </si>
  <si>
    <t>ITB Park2020</t>
  </si>
  <si>
    <t>Office Equipment for KALAHI Office</t>
  </si>
  <si>
    <t>SUPPLY AND DELIVERY OF TWO (2) UNITS MOTORCYCLE FOR ENVIRONMENTAL PROTECTION AND MANAGEMENT DIVISION (EPMD) - TWO FAILED BIDDING</t>
  </si>
  <si>
    <t>PRN 039- MEDICAL/DEN/LAB SUPPLIES-CHO-GOODS-2020</t>
  </si>
  <si>
    <t>PROJECT 1 - PROCUREMENT AND DELIVERY OF VARIOUS HOSPITAL FIXTURE FOR THE USE OF DISTRICT 2 OF LINGAYEN PANGASINAN</t>
  </si>
  <si>
    <t>Labor and Materials for the Completion Works for Command and Control Center at Civic Center, San Isidro, City of San Fernando, Pampanga</t>
  </si>
  <si>
    <t>ITB No. GOP/20-DSWD-028-B - Supply and Delivery of Stretch Film to be used for the Production of Family Food Packs for CY 2020 Through Framework Agreement</t>
  </si>
  <si>
    <t>SUPPLY,  DELIVERY,  AND AFTER SALES SERVICEOF NON-COMMON USE SUPPLIES (NCUS) OF ICT OFFICE AT PSU MAIN CAMPUS</t>
  </si>
  <si>
    <t>Procurement of Various Medical Supplies</t>
  </si>
  <si>
    <t>SUPPLY AND DELIVERY OF CLASS B WATER METERS AND FLOW METERS FOR REPLENISHMENT OF STOCKS OF THE SMWD FOR THE YEAR 2020</t>
  </si>
  <si>
    <t>PROJECT 4 -  PROCUREMENT AND DELIVERY OF VARIOUS EQUIPMENT FOR THE USE OF DISTRICT 2 OF LINGAYEN PANGASINAN</t>
  </si>
  <si>
    <t>ITB and Bid Docs for Procurement ID/Contract ID:    20C00053  Contract Name:      Construction of Groundsills Across Pasig-Potrero River at Downstream of Mancatian Bridge, Angeles-Porac River (Grounds</t>
  </si>
  <si>
    <t>RFQ 2020-08-329 Procurement of various janitorial supplies for OM</t>
  </si>
  <si>
    <t>RESOURCE ENHANCEMENT PROGRAM - CCTV cameras repair and maintenance</t>
  </si>
  <si>
    <t>PROJECT 3 - PROCUREMENT AND DELIVERY OF VARIOUS LABORATORY EQUIPMENT FOR THE USE OF DISTRICT 2 OF LINGAYEN PANGASINAN</t>
  </si>
  <si>
    <t>Supply, Delivery &amp; Installation of Close Circuit Television (CCTV)</t>
  </si>
  <si>
    <t>CONSTRUCTION OF EVACUATION CENTER</t>
  </si>
  <si>
    <t>PURCHASE OF IT EQUIPMENTS FOR DEPED MODULAR LEARNING MODALITY- REPRODUCTION OF MODULES , DEP ED</t>
  </si>
  <si>
    <t>Purchase of Various Fertilizers-Tobacco Farmers (MAO)</t>
  </si>
  <si>
    <t>PROJECT 2 - PROCUREMENT AND DELIVERY OF VARIOUS MEDICAL EQUIPMENT FOR THE USE OF DISTRICT 2 OF LINGAYEN PANGASINAN</t>
  </si>
  <si>
    <t>PROJECT 7 -PROCUREMENT AND DELIVERY OF VARIOUS MEDICAL EQUIPMENT FOR RURAL HEALTH UNIT (RHU) IN ILOCOS REGION</t>
  </si>
  <si>
    <t>“LAKAS KITA, LAKAS PAMILYA” PROGRAM - Massage Therapy NC2</t>
  </si>
  <si>
    <t>PROJECT 8 - PROCUREMENT AND DELIVERY OF VARIOUS MEDICAL EQUIPMENT FOR BARANGAY HEALTH STATION (BHS) IN ILOCOS REGION</t>
  </si>
  <si>
    <t>Certified Rice Seeds-MAO</t>
  </si>
  <si>
    <t>Purchase of Second Hand Garbage Truck (2019 Model)</t>
  </si>
  <si>
    <t>PROJECT 6 - PROCUREMENT AND DELIVERY OF VARIOUS LABORATORY EQUIPMENT FOR LGU HOSPITALS IN ILOCOS REGION</t>
  </si>
  <si>
    <t>CONSTRUCTION OF MULTI-PURPOSE PAVEMENT  (SOLAR DRYER) AT BGY. TIGMAN, ABORLAN</t>
  </si>
  <si>
    <t>SUPPLY AND DELIVERY OF CONSTRUCTION SUPPLIES &amp; MATERIALS FOR THE REPAIR OF ALS MAKESHIFT CLASSROOM IN NORCACES - 2ND BIDDING</t>
  </si>
  <si>
    <t>PROCUREMENT OF DIESEL, GASOLINE AND OIL FOR 3RD QUARTER (MAYOR’S OFFICE)</t>
  </si>
  <si>
    <t>20CSKA0001 Conduct of Soil Testing/Exploration for F.Y. 2021 Projects Malaybalay City</t>
  </si>
  <si>
    <t>FOR ELECTRICAL WORKS (SUPERVISION WORKS)</t>
  </si>
  <si>
    <t>RFQ No. 2020- 12 (5 Single Projects + 18 Packages with 45 Projects= 50 Projects)</t>
  </si>
  <si>
    <t>“LAKAS KITA, LAKAS PAMILYA” PROGRAM - Caregiver NC2</t>
  </si>
  <si>
    <t>ITB No. 20-077 Supply and Delivery of Various Fruits and Vegetables (Line Bidding)</t>
  </si>
  <si>
    <t>SUPPLY AND DELIVERY OF VARIOUS MEDICAL GAS</t>
  </si>
  <si>
    <t>Pregnant Cattle/Breedable Hiefer-MAO</t>
  </si>
  <si>
    <t>BUG-OUT BAG</t>
  </si>
  <si>
    <t>INVITATION TO BID FOR PURCHASE OF AUTOMATED EXTERNAL DEFIBRILLATOR (AED)</t>
  </si>
  <si>
    <t>PURCHASE OF INK SUPPLIES</t>
  </si>
  <si>
    <t>Various Infrastructure Projects (Infra-20-13), Kabankalan City, Negros Occidental</t>
  </si>
  <si>
    <t>Supply &amp; delivery of School Supplies &amp; other supplies</t>
  </si>
  <si>
    <t>Purchase of Office Supplies for Municipal Offices LGU, Gumaca, Quezon</t>
  </si>
  <si>
    <t>SUPPLY AND DELIVERY OF 75 DRUMS POLY ALUMINUM CHLORIDE</t>
  </si>
  <si>
    <t>Purchase of Medical Supplies and Medicines for BEMONC Bansud</t>
  </si>
  <si>
    <t>2020-079, SUPPLY AND DELIVERY OF 2 UNITS MOTORCYCLE (BRAND NEW) AT LGU MIDSAYAP, COTABATO</t>
  </si>
  <si>
    <t>SUPPLY AND DELIVERY OF VARIOUS CI FITTINGS</t>
  </si>
  <si>
    <t>CONCRETING OF BARANGAY ROAD-TOYTOY, CARAMORAN, CATANDUANES</t>
  </si>
  <si>
    <t>Food Supplies 3LSSM2020A-114</t>
  </si>
  <si>
    <t>Supply and Delivery of Medicines</t>
  </si>
  <si>
    <t>Office Supplies 3LSSM2020A-111</t>
  </si>
  <si>
    <t>Repair and Maintenance of Water System</t>
  </si>
  <si>
    <t>2020-080, SUPPLY AND DELIVERY OF BUSINESS REGISTRATION PLATE AT LGU MIDSAYAP, COTABATO</t>
  </si>
  <si>
    <t>PURCHASE OF MATERIALS FOR THE IMPROVEMENT OF BARANGAY HOLDING FACILITIES FOR COVID-19 LSI</t>
  </si>
  <si>
    <t>Office Supplies 3LSSM2020A-112</t>
  </si>
  <si>
    <t>Labor and materials for the repair of MBL Boat for HAB Monitoring</t>
  </si>
  <si>
    <t>PROCUREMENT OF DIESEL, GASOLINE AND OIL FOR 3RD QUARTER (MDRRM)</t>
  </si>
  <si>
    <t>“LAKAS KITA, LAKAS PAMILYA” PROGRAM - Soap, Fabric Conditioner, Dishwashing Liquid and Perfume Making Training</t>
  </si>
  <si>
    <t>INVITATION TO BID FOR PROVISION OF PLANTING MATERIALS AND POULTRY TO MALNOURISHED HOUSEHOLDS</t>
  </si>
  <si>
    <t>(JOY-CDCPF) - SUPPLY &amp; DELIVERY OF REFINED SUGAR FOR CDCPF</t>
  </si>
  <si>
    <t>Supply, Handling, Transport, and  Delivery of Various Fertilizer</t>
  </si>
  <si>
    <t>Delivery of Various Feeds</t>
  </si>
  <si>
    <t>Repair and Maintenance of Motor Vehicles of Pitogo Municipal Police Station</t>
  </si>
  <si>
    <t>Other Supplies-MEO</t>
  </si>
  <si>
    <t>SUPPLY &amp; DELIVERY OF  IT SUPPLIES, MATERIALS &amp; CONSUMABLES</t>
  </si>
  <si>
    <t>Supply and Delivery of PPE’s and Medical Supplies for the Municipality of Kawayan</t>
  </si>
  <si>
    <t>Materials for Installation of Additional Barangay Streetlights</t>
  </si>
  <si>
    <t>PROJECT 9 – PROCUREMENT AND DELIVERY OF MEDICAL EQUIPMENT FOR THE USE OF VARIOUS FACILITIES IN REGION I</t>
  </si>
  <si>
    <t>Office Supplies-MPDC</t>
  </si>
  <si>
    <t>Construction of Public Toilet at Four (4) Barangays in Natividad, Pangasinan</t>
  </si>
  <si>
    <t>20DJ0106-Concreting of Brgy. Cabay FMR, Brgy. Cabay, Tiaong, Quezon</t>
  </si>
  <si>
    <t>SUPPLY AND DELIVERY OF 50 PAILS OF 70% CALCIUM HYPOCHLORITE (CHLORINE)</t>
  </si>
  <si>
    <t>Office Supplies 3LSSM2020A-113</t>
  </si>
  <si>
    <t>PROJECT 5 -  PROCUREMENT AND DELIVERY OF VARIOUS MEDICAL EQUIPMENT FOR LGU HOSPITALS IN ILOCOS REGION</t>
  </si>
  <si>
    <t>MATERIALS FOR THE STEEL BENCHES</t>
  </si>
  <si>
    <t>Labor and Materials for the Improvement/Construction of Road at San Felipe, City of San Fernando, Pampanga</t>
  </si>
  <si>
    <t>8918-20-018)  CONTINUATION OF ROAD WIDENING ALONG CARIÑO STREET CONNECTING BRIGHT ALLEY AND EVERLASTING STREET C/O CEO</t>
  </si>
  <si>
    <t>Procurement of Heavy Duty Foot Operated Alcohol Dispenser for Alcohol Hand Disinfection for Covid-19 Prevention</t>
  </si>
  <si>
    <t>PROCUREMENT OF CIVIL WORKS FOR PANGASIHAN CIP (2020) SUPP.</t>
  </si>
  <si>
    <t>Procurement of Dental Equipment and Supplies</t>
  </si>
  <si>
    <t>SUPPLY AND DELIVERY OF 2pcs TRACTOR FRONT TIRE - 2ND BIDDING</t>
  </si>
  <si>
    <t>Materials for Potable Water Supply Improvement</t>
  </si>
  <si>
    <t>PROCUREMENT OF VARIOUS GOODS AND MATERIALS FOR SK COUNCIL AND PROGRAM USE</t>
  </si>
  <si>
    <t>Other Supplies and Materials 3LSSM2020A-116</t>
  </si>
  <si>
    <t>Procurement of IT and Office Equipment</t>
  </si>
  <si>
    <t>IMPROVEMENT OF NURSING RESEARCH OFFICE</t>
  </si>
  <si>
    <t>Labor and Materials for the Repair/Rehabilitation of Health Center at Sta. Lucia, City of San Fernando, Pampanga</t>
  </si>
  <si>
    <t>(PEO)   REQUEST FOR QUOTATION (RFQ) For the Procurement of Office Supplies (2nd  Quarter) For the Provincial Engineering Office (PEO)</t>
  </si>
  <si>
    <t>Invitation to Bid for Solid Wastes/ Garbage Collection and Disposal Services at Calaca, Batangas</t>
  </si>
  <si>
    <t>2020-082, CONSTRUCTION OF MULTI-PURPOSE BUILDING FOR RURAL IMPROVEMENT CLUB (RIC)  AND FARMERS ASSOCIATION AT ILBOCEAN, MIDSAYAP, COTABATO</t>
  </si>
  <si>
    <t>PROCUREMENT FOR THE SUPPLY AND DELIVERY OF THREE (3) UNITS DUMP TRUCK FOR ESMO</t>
  </si>
  <si>
    <t>Improvement of Multi-purpose Building, San Vicente</t>
  </si>
  <si>
    <t>Purchase of Cellcards</t>
  </si>
  <si>
    <t>CONSTRUCTION OF CONCRETE PATHWAY @ SITIO PIKAS, BRGY. HACIENDA MARIA</t>
  </si>
  <si>
    <t>20DJ0107-Concreting of Brgy. Bukal Norte FMR, Brgy. Bukal Norte, Candelaria, Quezon</t>
  </si>
  <si>
    <t>PURCHASE OF OFFICE EQUIPMENT AND SUPPLIES FOR THE PRODUCTION OF INSTRUCTION MATERIALS FOR MODULAR INSTRUCTION SCHEME FOR SY 2020 - 2021 OF MUNICIPALITY OF CAUAYAN, NEGROS OCCIDENTAL</t>
  </si>
  <si>
    <t>Supply and Installation of Solar Streetlights (Phase II) at Brgy. Poblacion, Tolosa, Leyte</t>
  </si>
  <si>
    <t>Quotation No. 20-07-423 = PRINTING OF IEC MATERIALS</t>
  </si>
  <si>
    <t>Construction/Rehabilitation/Upgrading of Barangay Road in Brgy. Bayanihan, Mabitac, Laguna</t>
  </si>
  <si>
    <t>Food Supplies 3LSSM2020A-115</t>
  </si>
  <si>
    <t>PURCHASE &amp; DELIVERY OF CUSTOMIZED RESCUE VEHICLE</t>
  </si>
  <si>
    <t>Provision of Quality Policy and VGMO at Various CSPC Building</t>
  </si>
  <si>
    <t>Procurement of Customized Jackets PR # 2020-07-20-265-A</t>
  </si>
  <si>
    <t>Construction of Maranum Information Office at Batchelor East, Natividad, Pangasinan</t>
  </si>
  <si>
    <t>Procurement of Various Projects (Package 4)</t>
  </si>
  <si>
    <t>Invitation to Bid for the Repair of Basketball Court at Barangay Sagurong, Tabaco City</t>
  </si>
  <si>
    <t>Purchase of Various Equipment for Engineering Office</t>
  </si>
  <si>
    <t>Invitation to Bid for the Construction of drainage canal at Mayor's Street, Barangay Maniboc, Lingayen, Pangasinan</t>
  </si>
  <si>
    <t>PURCHASE OF MEDICAL SUPPLIES -090</t>
  </si>
  <si>
    <t>SUPPLY, DELIVERY AND INSTALLATION OF VARIOUS MEDICAL, IT AND OFFICE EQUIPMENT</t>
  </si>
  <si>
    <t>Other Supplies and Materials 3LSSM2020A-118</t>
  </si>
  <si>
    <t>20CSIL0001(SUBSURFACE SOIL TESTING FOR THE PROPOSED WIDENING OF PERMANENT BRIDGES)</t>
  </si>
  <si>
    <t>Procurement of Drugs &amp; Medicines</t>
  </si>
  <si>
    <t>20GG0059-G - Procurement of Survey Essentials and Protective Gears for the use of Planning and Design Section, DPWH Iloilo 2nd DEO, Balabag, Dumangas, Iloilo</t>
  </si>
  <si>
    <t>Procurement of Internet Load for the conduct of Value Chain Analysis: Modular E-Learning through</t>
  </si>
  <si>
    <t>One (1) Lot Supply and Installation of Additional Security Fence and Gate at Gate 2, BSP Quezon City, as per BSP Scope of Work and Specifications and Plans/Drawings</t>
  </si>
  <si>
    <t>Construction of Tourist Waiting/Registration Area (Phase 2) (Serve as toll gate, display center of souvenir items and coffee shop)</t>
  </si>
  <si>
    <t>Procurement of Other Supplies &amp; Materials</t>
  </si>
  <si>
    <t>PRN 053-IT EQPT-LSB-GOODS-2020</t>
  </si>
  <si>
    <t>Construction of Multipurpose Building</t>
  </si>
  <si>
    <t>2020-081, SUPPLY AND DELIVERY OF ELECTRONIC DEVICES AND EQUIPMENT FOR EXPLOSIVE ORDNANCE DISPOSAL (EOD) UNIT AT LGU MIDSAYAP, COTABATO</t>
  </si>
  <si>
    <t>Quotation No.20-05-304 REBID = N95 Mask</t>
  </si>
  <si>
    <t>NCB Publication No. 2020- 28 (First Publication)- Package 2020-12 - PB (1. Buti-e - Tanifong FMR Rehab, Itab 2. Buti-e Overflow Constrcution, Itab)</t>
  </si>
  <si>
    <t>RFQ No. 2020-07-091; PR No. 2020-07-091: PROCUREMENT OF VARIOUS OFFICE SUPPLIES, FOR USE IN THE DPWH R.O. XI, UNDER THE ADMINISTRATIVE DIVISION, DAVAO CITY</t>
  </si>
  <si>
    <t>INVITATION TO BID FOR THE SALE OF VARIOUS UNSERVICEABLE PROPERTIES ON “AS IS, WHERE IS” BASIS</t>
  </si>
  <si>
    <t>UPGRADING OF LOCAL ACCESS ROAD II AT P5 GENERAL AGUINALDO, RAMON, ISABELA</t>
  </si>
  <si>
    <t>Supply, Handling, Transport, and  Delivery of Livestock</t>
  </si>
  <si>
    <t>Purchase of Spare Parts, Tires, Batteries and Accessories to be used for Different Government Vehicles of the Municipality of Tabuelan, Cebu</t>
  </si>
  <si>
    <t>Purchase of 1 unit Portable Multi Purpose shredder &amp; 1 unit Multi-Purpose Mixer</t>
  </si>
  <si>
    <t>Road Shouldering of Ramon Magsaysay - JP Laurel St. (342.70 L.M. x 0.90 M.) Both Ways</t>
  </si>
  <si>
    <t>SUPPLY AND DELIVERY OF 6-WHEELER DUMP TRUCKS 4X2 (BRAND NEW)</t>
  </si>
  <si>
    <t>Purchase of One (1) Unit Vehicle Bongo for Disaster Preparedness</t>
  </si>
  <si>
    <t>Supply, Delivery, Installation, Configuration, Migration, and Testing of Additional Servers for BTMS Infrastructure</t>
  </si>
  <si>
    <t>Other Supplies and Materials 3LSSM2020A-120</t>
  </si>
  <si>
    <t>INVITATION TO BID FOR THE SCHOOL DENTAL HEALTH CARE PROGRAM</t>
  </si>
  <si>
    <t>Supply, Handling, Transport, and  Delivery of Coconut Coir Based Organic Fertilizer</t>
  </si>
  <si>
    <t>Procurement of Various Projects (Package 5)</t>
  </si>
  <si>
    <t>CONSTRUCTION OF RAMP AT THE FRONTAGE OF SCHOOL CLINIC</t>
  </si>
  <si>
    <t>Supply &amp; Delivery of Materials and Equipment Rentals for use in the CONSTRUCTION OF BOX CULVERT AND INSTALLATION OF 0.60MØ RCCP.</t>
  </si>
  <si>
    <t>SUPPLY AND DELIVERY OF WATER TANKER (SURPLUS)</t>
  </si>
  <si>
    <t>Procurement Materials for the Construction of Fortaliza Water System</t>
  </si>
  <si>
    <t>Purchase of 15 units 3 in 1 Printer</t>
  </si>
  <si>
    <t xml:space="preserve">NCB Publication No. 2020- 30 (First Publication)- Package 2020-14 - PB (1. Ubuag Brgy. Gym Finishing 2. Multi-purpose Building Construction/ Continuation, Ubuag 3. Multi-purpose Building Construction </t>
  </si>
  <si>
    <t>Other Supplies and Materials 3LSSM2020A-119</t>
  </si>
  <si>
    <t>NCB Publication No. 2020- 29 (First Publication)- Package 2020-13 - PB (1. Kiling- Palaad Road Concreting 2. Kiling- Palaad FMR Concreting 3. Kiling to Catubangan FMR Concreting)</t>
  </si>
  <si>
    <t>Other Supplies and Materials 3LSSM2020A-117</t>
  </si>
  <si>
    <t>Procurement of supply and delivery of cassava cuttings</t>
  </si>
  <si>
    <t>SUPPLY AND DELIVERY OF NETWORK ATTACHED STORAGE RACKMOUNTED TYPE</t>
  </si>
  <si>
    <t>DRILLING OF 3 (THREE) UNITS EXPLORATORY/PRODUCTION WELL FOR GAMU WATER DISTRICT (REBID)</t>
  </si>
  <si>
    <t>Rehabilitation/Construction of Gamaon Water System Level II (Brgy. Mangagoy, Bislig City, Surigao del Sur  ).</t>
  </si>
  <si>
    <t>Procurement of Filing Cabinet for Records Office</t>
  </si>
  <si>
    <t>SUPPLY AND DELIVERY OF TWO (2) UNITS PORTABLE SPEAKER W/ MIC FOR CSWD OFFICE - TWO FAILED BIDDING</t>
  </si>
  <si>
    <t>Purchase of Shredder Machines</t>
  </si>
  <si>
    <t>Invitation to Bid for the Procurement of Brand New Motor Vehicles</t>
  </si>
  <si>
    <t>PROCUREMENT OF VARIOUS MEDICAL EQUIPMENT</t>
  </si>
  <si>
    <t>Santolan Elementary School - Health Kit</t>
  </si>
  <si>
    <t>Purchase of DRR Related Equipment</t>
  </si>
  <si>
    <t>Supply and Delivery of Materials for the Repair of the Backside of Perimeter Wall at PATNANUNGAN DPP</t>
  </si>
  <si>
    <t>Chlorine etc. (07-0799) CGSO</t>
  </si>
  <si>
    <t>Renovation/Repair/Rehabilitation/Improvement of Day Care Centers</t>
  </si>
  <si>
    <t>Construction of Water System Kalilangan, San Pablo ZDS.</t>
  </si>
  <si>
    <t>Procurement of Glass Pulvorizer</t>
  </si>
  <si>
    <t>RFQ for Construction Supplies &amp; Materials (FSM)</t>
  </si>
  <si>
    <t>Construction of Perimeter Fence of Sports Complex Phase I at Poblacion III, Carcar City, Cebu</t>
  </si>
  <si>
    <t>Printing of Self-Learning Module</t>
  </si>
  <si>
    <t>Procurement of Office Equipment for College of Business Management</t>
  </si>
  <si>
    <t>1 pack Activated Charcoal 50g &amp; etc. for Bais District Hospital		 (S-260-2020)</t>
  </si>
  <si>
    <t>Labor &amp; Materials: For Pest Control and Treatment at Hemodialysis Center And environment and Natural Resources Buildings</t>
  </si>
  <si>
    <t>Supply and Delivery of Relief Goods</t>
  </si>
  <si>
    <t>PROCUREMENT OF REHABILITATION OF THE EXISTING CROP AND SOIL SCIENCE LABORATORY BUILDING AND UPGRADING OF THE WATER SYSTEM AND ELECTRICAL INSTALLATION OF CAPSU RDE-CSRDC (LOCATED AT CAPSU BURIAS CAMPUS</t>
  </si>
  <si>
    <t>General Examination Chair</t>
  </si>
  <si>
    <t>20AC0115 - Concreting of Brgy. Maas-asin to Maratudo FMR, Brgy. Maas-asin and Brgy. Maratudo, Magsingal, Ilocos Sur</t>
  </si>
  <si>
    <t>Proc. of Various Drug and Medicine for 3rd Quarter</t>
  </si>
  <si>
    <t>REPRODUCTION AND DOOR TO DOOR DELIVERY TO SCHOOLS DIVISION OFFICES OF REGION VII OF SELF-LEARNING MODULES PROVIDED BY THE DEPED CENTRAL OFFICE FOR QUARTER I</t>
  </si>
  <si>
    <t>PROCUREMENT OF FIVE (5) UNITS MOTORCYCLE FOR THE OFFICE OF THE BUILDING OFFICIAL</t>
  </si>
  <si>
    <t>3LSSM2020A-121 Other Supplies  and Materials</t>
  </si>
  <si>
    <t>Concreting of Brgy. Road</t>
  </si>
  <si>
    <t>Supply and Delivery of 17 Units of Copier and 2 Units of Risograph for use of DepEd District of Pototan I, Pototan, Iloilo in the Reproduction of Modules to be Distributed to the Students in every lev</t>
  </si>
  <si>
    <t>Purchase of Office Equipment for Elementary schools (SEF)</t>
  </si>
  <si>
    <t>Purchase of Office Equipment for MTO use</t>
  </si>
  <si>
    <t>Invitation to Bid for the Supply &amp; Delivery of Medicines, Medical Equipment &amp; Medical Supplies to be used at the Isolation Facility, this municipality</t>
  </si>
  <si>
    <t>Labor and Materials for the Improvement/Construction of Road at Bulaon, City of San Fernando, Pampanga</t>
  </si>
  <si>
    <t>DSWD NNP No. 20-TFB-005 - Renovation of DSWD-Social Welfare and Development Center for Asia and the Pacific (SWADCAP) at 2nd Floor (Phase II)</t>
  </si>
  <si>
    <t>Procurement of ICT Equipment and Accessories 2020</t>
  </si>
  <si>
    <t>SUPPLY OF MATERIALS, LABOR AND EQUIPMENT FOR THE CONSTRUCTION OF PUMP HOUSE AND PERIMETER FENCE AND SITE DEVELOPMENT OF LINAO NORTE PUMPING STATION 02, LINAO NORTE, TUGUEGARAO CITY (RE-BIDDING)</t>
  </si>
  <si>
    <t>Concreting of ARC Road, Brgy. Jibolo-Balanac-Aguingay-Danao and Calmay, JAniuay, Iloilo</t>
  </si>
  <si>
    <t>One(1) Job Labor, Materials and Equipment Rentals for the Construction of Drainage Canal, Improvement of Grounds and Rehabilitation of Playground Equipments of DSWD Center at Pototan New Public Market</t>
  </si>
  <si>
    <t>Invitation to Bid for the Procurement of One (1) Unit Passenger Van (converted into an ambulance and fitted with necessary medical equipment and apparatus) for the use in this municipality.</t>
  </si>
  <si>
    <t>INVITATION TO BID - 3.) Purchase of 132 units All-In-One Ink Tank Printers &amp; 1 Unit Multifunction Printer (High End)</t>
  </si>
  <si>
    <t>OFFICE EQUIPMENT(AIR ONDITIONER, DRUM FUN, INDUSTRIAL FUN )/IB No. MM-2020-032(m)</t>
  </si>
  <si>
    <t>SUPPLY OF 1-YEAR LICENSE SUBSCRIPTIONS FOR ONE (1) UNIT OF SONICWALL NSA-6600, TWO (2) UNITS OF SONICWALL NSA-3600  AND 1-YEAR SONICWALL GMS E-CLASS SOFTWARE SUPPORT</t>
  </si>
  <si>
    <t>DRUGS AND MEDICINES/IB No. MM-2020-030(m)</t>
  </si>
  <si>
    <t>DRUGS AND MEDICINES/RE-IB No. MM-2020-007(m)</t>
  </si>
  <si>
    <t>Purchase of Office Supplies for 3rd Quarter CY 2020</t>
  </si>
  <si>
    <t>INVITATION TO BID - 2.) Supply and Delivery of 90 units Document Scanner &amp; 2 Units Projector</t>
  </si>
  <si>
    <t>Improvement of Covered Court</t>
  </si>
  <si>
    <t>Purchase of Calamity and Disaster Equipment</t>
  </si>
  <si>
    <t>INVITATION TO BID - 1.) Purchase of 10 Units High-End Laptop and 104 units Regular Laptop</t>
  </si>
  <si>
    <t>3LSSM2020A-123 Procurement of Audio Visual Equipment</t>
  </si>
  <si>
    <t>Procurement of Drugs and Medicines &amp; Laboratory Supplies</t>
  </si>
  <si>
    <t>CONSTRUCTION OF WATER SYSTEM PROJECT (Brgy. Esparar, Barbaza, Antique)/IB. NO. K-2020-090(SC)</t>
  </si>
  <si>
    <t>RIPRAPPING OF STEEP ROAD SIDE(Brgy. Codiong, Libertad, Antique)/RE-IB. NO. K-2020-059(SC)</t>
  </si>
  <si>
    <t>Construction of Residual Containment Area at Dumpsite Marobbob, Amulung Cagayan</t>
  </si>
  <si>
    <t>Procurement of supplies and materials for the repair/installation of Street Barriers</t>
  </si>
  <si>
    <t>Purchase of 12 Laptop &amp; Accessories - SB</t>
  </si>
  <si>
    <t>RFQ for Construction Supplies &amp; Materials (CD)</t>
  </si>
  <si>
    <t>3LSSM2020A-122 Office Supplies</t>
  </si>
  <si>
    <t>Invitation to Bid for the Supply &amp; Delivery of Rapid Antibody Test Kits to be used at the Isolation Facility, this municipality</t>
  </si>
  <si>
    <t>Purchase of Heavy Equipment (Mini Dump truck)</t>
  </si>
  <si>
    <t>Procurement of Tent and Supplies &amp; Materials for Signages</t>
  </si>
  <si>
    <t>Procurement of Office Supplies Equipment and Consumables</t>
  </si>
  <si>
    <t>Contract ID No. 20FA0062: CLUSTER 35 - REHABILITATION/RECONSTRUCTION OF NATIONAL ROADS WITH SLIPS, SLOPE COLLAPSE AND LANDSLIDE ALONG DM-JCT.-LEGAZPI-STO. DOMINGO-TABACO-TIWI-CAM. SUR BDRY. ROAD, K058</t>
  </si>
  <si>
    <t>Procurement of Diesoline (for MHO Ambulance)</t>
  </si>
  <si>
    <t>Supply and Delivery of 14 Units of Copier  for use of DepEd District of Pototan II, Pototan, Iloilo in the Reproduction of Modules to be Distributed to the Students in every levels during the Pandemic</t>
  </si>
  <si>
    <t>PURCHASE OF MATERIALS FOR THE CONSTRUCTION OF COVERED COURT PHASE III RSHS PAG- ASA, BANSUD ORIENTAL MINDORO</t>
  </si>
  <si>
    <t>Proposed Entry Landmark in Various Locations at Makati City</t>
  </si>
  <si>
    <t>SOUND SYSTEM</t>
  </si>
  <si>
    <t>Repair &amp; Improvement of Multipurpose /NGA Building at Centro, Amulung Cagayan</t>
  </si>
  <si>
    <t>Invitation to Bid for the Procurement of One (1) Unit Pick-up (for conversion into a rescue vehicle equipped with necessary equipment and apparatus) for rescue and disaster response activities in this</t>
  </si>
  <si>
    <t>Supply and Delivery of One (1) Lot Decoration and Lighting Materials for Municipal Building</t>
  </si>
  <si>
    <t>2020-084, SUPPLY AND DELIVERY OF I.T. EQUIPMENTS FOR VARIOUS SCHOOLS OF MIDSAYAP, COTABATO</t>
  </si>
  <si>
    <t>Lease of Venue, including accommodation and meals for SI OPV Corn Seed Production Training</t>
  </si>
  <si>
    <t>INSTALLATION OF AC POWERED LED STREETLIGHT ALONG TOOG AVENUE, BARANGAY 2, SFADS</t>
  </si>
  <si>
    <t>INVITATION TO BID FOR THE SUPPLY AND DELIVERY OF EQUIPMENT FOR E-LIBRARY OF BARANGAY POBLACION A, TAYUG, PANGASINAN</t>
  </si>
  <si>
    <t>VARIOUS OFFICE APPLIANCES/IB No. MM-2020-034</t>
  </si>
  <si>
    <t>CATERING SERVICES/IB No. X-2020-001</t>
  </si>
  <si>
    <t>RFQ NO. 20-07-097 - Procurement of Tires and Vehicle Parts for use of various service vehicles and heavy equipment.</t>
  </si>
  <si>
    <t>ITB for the Completion of the Rewiring of the Electrical Feeder Lines of PIT Tabango</t>
  </si>
  <si>
    <t>LIVE ANIMALS(UPGRADED HEIFER)/IB No. AA-2020-004(m)</t>
  </si>
  <si>
    <t>CONSTRUCTION OF DRAINAGE SYSTEM AT TAMBALING 2, PEDRO SA BACULIO, EL SALVADOR CITY</t>
  </si>
  <si>
    <t>Supply and Delivery of 1666 Units Android Tablets for use of the students for the new normal delivery of Basic Education</t>
  </si>
  <si>
    <t>RFQ NO 20-07-091 - Purchase of Toner for use in the Photocopier Machine of Various Section for the 2nd &amp; 3rd Quarter</t>
  </si>
  <si>
    <t>INFORMATION AND COMMUNICATION EQUIPMENT/RE-IB No.DE-2020-010</t>
  </si>
  <si>
    <t>Hemopoint Cuvette (Laboratory Office)</t>
  </si>
  <si>
    <t>PHOTO AND VIDEO PRESENTATION FOR REGIONAL COOPERATIVE CONVENTION/IB No. N-2020-003</t>
  </si>
  <si>
    <t>Supply and Delivery of 726 bags of Rice for Distribution to DA RFO 5 Permanent Employees ( for January to March 2020) under 2020 STO-FPMA and STO- O&amp;M of ILD</t>
  </si>
  <si>
    <t>Fuel (SHE 919)</t>
  </si>
  <si>
    <t>2020-092, CONCRETING OF ROAD FROM OLD SLAUGHTERHOUSE TO DAY CARE CENTER AT  POBLACION 1, MIDSAYAP, COTABATO</t>
  </si>
  <si>
    <t>CONSTRUCTION OF BARANGAY RIVER LANDING</t>
  </si>
  <si>
    <t>VARIOUS MACHINERY AND EQUIPMENT/SVP No. M-2020-07-011</t>
  </si>
  <si>
    <t>2020-094, CONSTRUCTION OF DISTRIBUTION LINE AT UPPER GLAD 2 RESETTLEMENT PROJECT  PHASE 1 AT UPPER GLAD 2, MIDSAYAP, COTABATO</t>
  </si>
  <si>
    <t>2020-089, SUPPLY, DELIVERY AND INSTALLATION OF SOLAR STREET LIGHTS AT IDENTIFIED EVACUATION CENTERS  OF LGU MIDSAYAP, COTABATO</t>
  </si>
  <si>
    <t>concreting of pathway @ Sitio Panay</t>
  </si>
  <si>
    <t>Procurement and Delivery of Farm Implements to be distributed to identified Farmer Beneficiaries of the Municipality of Kapangan</t>
  </si>
  <si>
    <t>Invitation to Bid for the Supply and Delivery of Hygiene Supplies K to Grade 6 Learners for SHDP</t>
  </si>
  <si>
    <t>CATERING SERVICES/SVP No. AA-2020-07-006</t>
  </si>
  <si>
    <t>construction of  concrete water tank @ Sitio Aguada</t>
  </si>
  <si>
    <t>Procurement of Construction Materials Project ID Nr: 2020-1011-01016 to 01032</t>
  </si>
  <si>
    <t>INVITATION TO BID FOR THE PURCHASE OF COMPUTERS AND COMPUTER PERIPHERALS/GOODS-2020-04 (RE-BIDDING)</t>
  </si>
  <si>
    <t>rehabilitation of brgy. road @ Sitio Guitisan</t>
  </si>
  <si>
    <t>HEALTH AND SANITARY SUPPLIES 4</t>
  </si>
  <si>
    <t>LEASE OF VENUE WITH CATERING SERVICES/NEG. PROC. 53.10 X-2020-07-002</t>
  </si>
  <si>
    <t>SUPPLY AND DELIVERY OF FOOD COMMODITIES FOR RHU INTRA HOUSEHOLD BASED FEEDING PROGRAM</t>
  </si>
  <si>
    <t>CONCRETE FENCING (FRONTAGE OF TENNIS COURT)</t>
  </si>
  <si>
    <t>Lease of K9 Narcotics Trained Detection Dogs</t>
  </si>
  <si>
    <t>HEALTH AND SANITARY SUPPLIES 2</t>
  </si>
  <si>
    <t>Supply and Delivery of Various Toners and Inks with Free Use of Service Printers for Central and Eastern Visayas (Re-bidding)</t>
  </si>
  <si>
    <t>MISTING CHEMICAL</t>
  </si>
  <si>
    <t xml:space="preserve">LOT 1 – SUPPLY AND DELIVERY to Schools of Substance 20, A4 Bond Paper for the Reproduction of Learning Modules for the Implementation of the Basic Education – Learning Continuity Plan (BE-LCP) to the </t>
  </si>
  <si>
    <t>SUPPLY AND DELIVERY to Schools of Substance 20, A4 Bond Paper for the Reproduction of Learning Modules for the Implementation of the Basic Education – Learning Continuity Plan (BE-LCP) to all the Dist</t>
  </si>
  <si>
    <t>Invitation to Bid for Construction of silage Bunker Phase 2</t>
  </si>
  <si>
    <t>FURNISHING AND DELIVERING LABOR AND MATERIALS FOR RIPRAPPING OF BARANGAY ROAD, ZONE 4, BARANGAY BUSTRAC, NABUA, CAMARINES SUR</t>
  </si>
  <si>
    <t>PURCHASE OF EMERGENCY MATERIALS AND SUPPLIES</t>
  </si>
  <si>
    <t>REHABILITATION OF STREETLIGHTS AT BRGY RIZAL POB. BANGA, SOUTH COTABATO</t>
  </si>
  <si>
    <t>Tents (LGU MATI)</t>
  </si>
  <si>
    <t>OTHER SUPPLIES 6</t>
  </si>
  <si>
    <t>PROCUREMENT OF PLASTIC PALLET IB NO. 2020-232</t>
  </si>
  <si>
    <t>“SUPPLY AND DELIVERY OF 5,000 PIECES AFRICAN CATFISH FINGERLINGS FOR DISTRIBUTION AS AS LIVELIHOOD ASSISTANCE FOR THE FISHERFOLKS AFFECTED BY COVID-19 PANDEMIC IN THE AREA OF MINDANAO.”</t>
  </si>
  <si>
    <t>Installation of Streetlights at Brgy Rizal Pob. Banga, South Cotabato</t>
  </si>
  <si>
    <t>OTHER SUPPLIES 5</t>
  </si>
  <si>
    <t>INVITATION TO BID FOR SUPPLY AND DELIVERY OF EDUCATIONAL SUPPLIES &amp; EQUIPMENT FOR THE DIFFERENT SCHOOLS IN THE MUNICIPALITY OF LINAMON</t>
  </si>
  <si>
    <t>OTHER SUPPLIES 4</t>
  </si>
  <si>
    <t>Proposed Purchase of Various Office Equipment; Furniture and Fixtures</t>
  </si>
  <si>
    <t>OTHER SUPPLIES 3</t>
  </si>
  <si>
    <t>OTHER SUPPLIES 1</t>
  </si>
  <si>
    <t>RFQ No. 20-07-087 - Purchase of Coring Bit for use of Quality Assurance Section</t>
  </si>
  <si>
    <t>Procurement of A4 Bond Papers for the Reproduction of First Quarter Modules for SY 2020-2021</t>
  </si>
  <si>
    <t>FURNISHING AND DELIVERING LABOR AND MATERIALS FOR THE INSTALLATION OF BARANGAY STREETLIGHTS WITH CONCRETED &amp; STEEL POST AT BARANGAY BUSTRAC, NABUA, CAMARINES SUR</t>
  </si>
  <si>
    <t>PURCHASE OF RESPONSE AND RESCUE EQUIPMENT</t>
  </si>
  <si>
    <t>Opening of Barangay Road</t>
  </si>
  <si>
    <t>ROAD OPENING</t>
  </si>
  <si>
    <t>HEALTH AND SANITARY SUPPLIES 6</t>
  </si>
  <si>
    <t>OTHER SUPPLIES 2</t>
  </si>
  <si>
    <t>HEALTH AND SANITARY SUPPLIES 3</t>
  </si>
  <si>
    <t>PROCUREMENT OF MATERIALS FOR THE CONSTRUCTION OF MULTI-PURPOSE HALL</t>
  </si>
  <si>
    <t>PRDP-RPCOXI-016-2020 Fuel, Oil, Lubricants and Complete Servicing for PRDP Vehicles</t>
  </si>
  <si>
    <t>Water System (Drilling, Replacement/Installation of Jetmatic Pump)</t>
  </si>
  <si>
    <t>HEALTH AND SANITARY SUPPLIES 7</t>
  </si>
  <si>
    <t>ENVIRONMENT AND SANITATION PROGRAM</t>
  </si>
  <si>
    <t>Procurement of Vitamins for the City Government of Naga, Cebu</t>
  </si>
  <si>
    <t>Purchase of Municipal Vehicle-1-SBO</t>
  </si>
  <si>
    <t>Rehabilitation of San Pedro National High School</t>
  </si>
  <si>
    <t>SOCIAL WELFARE PROGRAM</t>
  </si>
  <si>
    <t>EMERGENCY PURCHASE OF GOODS AND SERVICES 3</t>
  </si>
  <si>
    <t>Invitation to Bid for Construction of Casili Bridge - 2</t>
  </si>
  <si>
    <t>HEALTH AND SANITARY SUPPLIES 5</t>
  </si>
  <si>
    <t>ITB-2020-08-059 PROCUREMENT OF GROCERY ITEMS FOR BANGUN IMPLEMENTATION IN TAWI-TAWI PROVINCE</t>
  </si>
  <si>
    <t>Procurement of Medicines &amp; Medical Supplies-3rd Quarter (General Fund)</t>
  </si>
  <si>
    <t>EMERGENCY PURCHASE OF GOODS AND SERVICES 5</t>
  </si>
  <si>
    <t>Procurement of Internet Access Subscription (IAS2) (Main, Visayas, Mindanao) (100, 20, 20 Mbps)</t>
  </si>
  <si>
    <t>Procurement of IT Parts &amp; Accessories &amp; Pherip for School Module Reproductive-MO-DEP-ED</t>
  </si>
  <si>
    <t>Procurement of Purified Verocell Rabies Vaccine for VMCH, City of Naga, Cebu</t>
  </si>
  <si>
    <t>Supply and Delivery of Materials for the Proposed Ceiling Works, 3rd Floor, ICT Building, Sta. Cruz Sur, Iriga City</t>
  </si>
  <si>
    <t>Procurement of Security Services (For the Energy Regulatory Commission’s Main Office, Visayas Area Operations Division, and Mindanao Area Operations Division)</t>
  </si>
  <si>
    <t>CONSTRUCTION OF POBLACION TO MALANTUYON BAYWALK ACCESS ROAD</t>
  </si>
  <si>
    <t>Supply and Delivery of Medical Supplies for VMCH Infirmary (2nd Qtr) 2020 at City of Naga, Cebu</t>
  </si>
  <si>
    <t>Proposed Construction of Sewage Treatment Plant House with Solar Panel Installation for Carbon Footprint Reduction and Water Storage Tank</t>
  </si>
  <si>
    <t>Supply and Delivery of Materials for the Rehabilitation of San Isidro Elementary School</t>
  </si>
  <si>
    <t>Purchase of const. mat'ls &amp; supplies (Renovation of Barangay Hall)</t>
  </si>
  <si>
    <t>SUPPLY AND DELIVERY OF CHEMICALS AND FILTERING SUPPLIES -  MENRO</t>
  </si>
  <si>
    <t>Supply and Delivery of Medicines for VMCH (2nd Qtr) 2020 at City of Naga, Cebu</t>
  </si>
  <si>
    <t>PROCUREMENT OF MATERIALS FOR THE CONSTRUCTION OF EVACUATION CENTER (COVERED GYM)</t>
  </si>
  <si>
    <t>Livelihood Program</t>
  </si>
  <si>
    <t>ITB-2020-08-062 PROCUREMENT OF GROCERY ITEMS FOR BANGUN IMPLEMENTATION IN SULU PROVINCE</t>
  </si>
  <si>
    <t>PROC. OF WORKS FOR THE CONST'N OF MULTI-PURPOSE BUILDING AT SAN ISIDRO NATIONAL HIGH SCHOOL</t>
  </si>
  <si>
    <t>SUPPLY AND DELIVERY OF CHEMICALS FOR INSECTICIDES AND DISINFECTANTS - MHO</t>
  </si>
  <si>
    <t>PROC. OF WORKS FOR THE CONST'N OF MULTI-PURPOSE BUILDINGH AT BITAOGAN NATIONAL HIGH SCHOOL</t>
  </si>
  <si>
    <t>Procurement and Installation of CCTV Cameras for MMDA’s No Contact Apprehension Program to Expand MMDA’s Network Coverage in Traffic Monitoring and Safe Environment</t>
  </si>
  <si>
    <t>Supply of Labor and Materials for the Installation of IP CCTV Camera w/ Solar Power and Fiber Optic at Brgy. Colon, City of Naga, Cebu</t>
  </si>
  <si>
    <t>Supply and Delivery of Medicine for the Municipal Health Office (MHO)</t>
  </si>
  <si>
    <t>Education Program</t>
  </si>
  <si>
    <t>Purchase of Bond Paper for the City Division Office, City of Naga, Cebu</t>
  </si>
  <si>
    <t>EMERGENCY PURCHASE OF GOODS AND SERVICES 4</t>
  </si>
  <si>
    <t>Supply and Delivery of Medical Supplies for Maternal Care under the Gender and Development (GAD) Program</t>
  </si>
  <si>
    <t>PROCUREMENT OF 1000 LICENSES FOR CLOUD ENDPOINT SECURITY SOLUTION 2020</t>
  </si>
  <si>
    <t>ITB-2020-08-057 PROCUREMENT OF SEMI-PERISHABLE ITEMS FOR BANGUN IMPLEMENTATION IN BASILAN PROVINCE</t>
  </si>
  <si>
    <t>Clean and Green Program</t>
  </si>
  <si>
    <t>Provision of Courier Services</t>
  </si>
  <si>
    <t>Construction of Multi-Purpose Hall (Phase II)</t>
  </si>
  <si>
    <t>SUPPLY AND DELIVERY OF VARIOUS LABORATORY CHEMICALS AND REAGENTS</t>
  </si>
  <si>
    <t>Various Consumables for DLR 7000 ABPMs</t>
  </si>
  <si>
    <t>ITB-2020-08-060 PROCUREMENT OF SEMI-PERISHABLE ITEMS FOR BANGUN IMPLEMENTATION IN TAWI-TAWI PROVINCE</t>
  </si>
  <si>
    <t>Expansion of Barangay Teen Center Barangay Poro</t>
  </si>
  <si>
    <t>SUPPLY AND DELIVERY OF VARIOUS LABORATORY SUPPLIES</t>
  </si>
  <si>
    <t>Procurement of Materials for Livelihood Projects of Fisherfolks</t>
  </si>
  <si>
    <t>Procurement of Supplies for Pampang Market</t>
  </si>
  <si>
    <t>Procurement of Insecticides</t>
  </si>
  <si>
    <t>Procurement of Materials for Fish Aggregating Device (PAYAO)</t>
  </si>
  <si>
    <t>SUPPLY &amp; DELIVERY OF LIVESTOCK AND OTHER VARIOUS MATERIALS FOR ICFP PROGRAM</t>
  </si>
  <si>
    <t>Purchase of Municipal Vehicle -2-SBO</t>
  </si>
  <si>
    <t>INVITATION TO BID FOR THE  SUPPLY, DELIVERY, AND INSTALLATION OF TECHNICAL AND SCIENTIFIC EQUIPMENT FOR THE ADVANCED SCIENCE AND TECHNOLOGY BUILDING  OF PSHS CALABARZON REGION CAMPUS/GOODS-2020-05</t>
  </si>
  <si>
    <t>UPGRADING OF LOCAL ACCESS ROAD IN SITIO PINAMANG AN</t>
  </si>
  <si>
    <t>Road Opening of Porot San Isidro Road (Phase II)</t>
  </si>
  <si>
    <t>Procurement of HBSAG etc..</t>
  </si>
  <si>
    <t>Supply and Delivery of 3000 heads Free Range Chicken</t>
  </si>
  <si>
    <t>Supply and Delivery of Brand New 1 unit Motorcycle</t>
  </si>
  <si>
    <t>SUPPLY AND DELIVERY OF LABOR AND MATERIALS FOR THE IMPROVEMENT AND REPAIR OF CANAL LINING WITH COVER</t>
  </si>
  <si>
    <t>NEGOTIATED PROCUREMENT OF VARIOUS AGRICULTURAL INPUTS AND POST HARVEST FACILITIES FOR TECHNO DEMO NAD POST HARVEST PROJECTS IMPLEMENTATION UNDER THE NFP 0ROJECT OF BFAR 6 FOR CY 2020</t>
  </si>
  <si>
    <t>Proposed Fabrication and Installation of Stairs and Waiting Shed for Bus Stop at MRT3/LRT1 and Footbridges along EDSA from Roxas Blvd. to Monumento</t>
  </si>
  <si>
    <t>Procurement of Internet and Telephone Services for the NATIONAL PROSECUTION SERVICE OFFICES IN REGION VII</t>
  </si>
  <si>
    <t>GOODS-ITB 2020-08-015-A SUPPLY AND DELIVERY OF MATERIALS FOR THE CONSTRUCTION OR PROVISION OF WATER SYSTEM IN POTONG NATIONAL HIGH SCHOOL, BRGY. POTONG DEL SUR, LAPINIG, N. SAMAR  (2ND POSTING)</t>
  </si>
  <si>
    <t>Procurement of Consulting Services for the Technical Review and Audit of the Net Settlement Surplus (NSS) Allocation of the Wholesale Electricity Spot Market (WESM)</t>
  </si>
  <si>
    <t>SUPPLY &amp; DELIVERY OF TRUCKS FOR ABORLAN MDRRMO</t>
  </si>
  <si>
    <t>Procurement of Technical Assistance for the Evaluation and Approval of the Price Determination Methodology (PDM) of the Wholesale Electricity Spot Market (WESM)</t>
  </si>
  <si>
    <t>Construction of Warehouse Claveria District Hospital Claveria, Masbate</t>
  </si>
  <si>
    <t>Repair of Claveria District Hospital Claveria, Masbate</t>
  </si>
  <si>
    <t>PROCUREMENT OF 1 UNIT STAKE TRUCK PR # 20-06-1064 PDRRM</t>
  </si>
  <si>
    <t>Fuel and other Lubricants Deposit for use of DA-RFO 5 Service Vehicles for Second Semester of Calendar year 2020 under 2020 Various Funds</t>
  </si>
  <si>
    <t>Supply and Delivery of Bond Paper for DepED-Division of Lapu-Lapu City</t>
  </si>
  <si>
    <t>Repair of Day Care Center at Bacungan, Naujan Or. Mindoro and Repair of Day Care Center at Gamao, Naujan, Or. Mindoro</t>
  </si>
  <si>
    <t>Construction of Covered Drainage Canal at Calero, Calapan City, Oriental Mindoro</t>
  </si>
  <si>
    <t>PROCUREMENT OF MATERIALS FOR TOURISM OFFICE</t>
  </si>
  <si>
    <t>Construction of Drainage Canal at Alcate, Victoria, Oriental Mindoro</t>
  </si>
  <si>
    <t>SUPPLY AND DELIVERY OF TRACTOR PARTS AND VARIOUS MATERIALS AND EQUIPMENT FOR REHAB AND FARM MACHINERIES MAINTENANCE</t>
  </si>
  <si>
    <t>Improvement of Child Development Center at Sitio Maligaya, Sta. Brigida, Mansalay, Oriental Mindoro</t>
  </si>
  <si>
    <t>Rehabilitation of Covered Court at Tawagan, Calapan City, Oriental Mindoro</t>
  </si>
  <si>
    <t>PROCUREMENT OF VARIOUS MEDICAL EQUIPMENT (MTB/RIF ASSAY PCR MACHINE, ULTRASOUND MACHINE, MEAL DELIVERY TRAY CART, FOOD CONVEYOR BELT AND TRANSPORT STRETCHER)</t>
  </si>
  <si>
    <t>Ordering Agreement Contract for the Procurement of Various Fish Feeds for Fish Stocks of the 4 Units Aquaponics, 6 units Pond with Venturi and 10 units Fish Cages</t>
  </si>
  <si>
    <t>Completion of Evacuation Center at Happy Valley, Socorro, Oriental Mindoro and Completion of Evacuation Center at Sto. Domingo (Lapog), Socorro, Oriental Mindoro</t>
  </si>
  <si>
    <t>Construction of Health Center</t>
  </si>
  <si>
    <t>PACKAGE 19-04: CONTINUATION OF LUBUAGAN MULTI-PURPOSE BUILDING</t>
  </si>
  <si>
    <t>DEVELOPMENT/IMPROVEMENT OF THE PORT OF SAN ANTONIO, PORT OF SAN ANTONIO, SAN ANTONIO, NORTHERN SAMAR</t>
  </si>
  <si>
    <t>SUPPLY AND DELIVERY OF VARIOUS DRUGS AND MEDICINES FOR THE BOTIKA ON WHEELS PROGRAM OF THE PROVINCIAL GOVERNMENT OF CAVITE</t>
  </si>
  <si>
    <t>PROCUREMENT OF MATERIALS FOR SWMP PROGRAM</t>
  </si>
  <si>
    <t>SUPPLY AND DELIVERY OF SODIUM ASCORBATE (VITAMIN C) FOR THE BOTIKA ON WHEELS PROGRAM OF THE PROVINCIAL GOVERNMENT OF CAVITE</t>
  </si>
  <si>
    <t>Procurement of One Lot Office Equipment 2020-03</t>
  </si>
  <si>
    <t>One Job Supply of Materials and  Labor for the Rehabilitation/Upgrading of Provincial Roads (Rehabilitation/Upgrading of Concordia-Oracon-Botconaway Road Section) at Brgy. San Antonio and Brgy. Oracon</t>
  </si>
  <si>
    <t>PURCHASE/INSTALLATION OF SUBMERSIBLE PUMP- BRGY. LIBATO</t>
  </si>
  <si>
    <t>PURCHASE/INSTALLATION OF SUBMERSIBLE PUMP- BRGY. PUTINGBUHANGIN</t>
  </si>
  <si>
    <t>SUPPLY &amp; DELIVERY OF VARIOUS MEDICINES</t>
  </si>
  <si>
    <t>PURCHASE/INSTALLATION OF SUBMERSIBLE PUMP- BRGY. ESCRIBANO</t>
  </si>
  <si>
    <t>PURCHASE/INSTALLATION OF SUBMERSIBLE PUMP- SITIO CARUFF, BRGY. SAMPIRO</t>
  </si>
  <si>
    <t>Upgrading/Concreting/Improvement of Junction National Road-Stockfarm Road</t>
  </si>
  <si>
    <t>Upgrading/Concreting/Improvement of Junction National Road-Bangad Road Milagros, Masbate</t>
  </si>
  <si>
    <t>Procurement of Medicines &amp; Medical Supplies-3rd Quarter (GAD Fund)</t>
  </si>
  <si>
    <t>Completion of Provincial Hospital of Masbate Masbate City</t>
  </si>
  <si>
    <t>Construction of Two (2) Storey Mango Processing Plant Building Brgy. Lalaguna Mobo, Masbate</t>
  </si>
  <si>
    <t>PURCHASE/INSTALLATION OF SUBMERSIBLE PUMP- SITIO BAGONG POOK, BRGY. SAPANGAN</t>
  </si>
  <si>
    <t>Supply, Delivery and Installation of various materials to be use in the construction of Solar Power Frame and Floater for 6 Units Venturi Aeration System as Resilience Project under ALPAS COVID 19</t>
  </si>
  <si>
    <t>PURCHASE OF STEEL CABINET FOR KATARUNGANG PAMBARANGAY RECORDS AND ADMINISTRATIVE USE</t>
  </si>
  <si>
    <t>SUPPLY, AND DELIVERY OF BROTHER TONER, TN-3448 (ORIGINAL) COMPATIBLE WITH  HL-L6400DW HIGH VOLUME MONOCHROME LASER PRINTER</t>
  </si>
  <si>
    <t>brand new concrete mixer</t>
  </si>
  <si>
    <t>CONSTRUCTION OF NEW MULTI-PURPOSE BUILDING (PHASE I)</t>
  </si>
  <si>
    <t>REHAB./IMPROVEMENT OF PUROK  BAGONG BAYAN ACCESS ROAD</t>
  </si>
  <si>
    <t>REHABILITATION OF MUNICIPAL PUBLIC CEMETERY</t>
  </si>
  <si>
    <t>REHAB./ IMPROVEMENT OF MAGDIWANG LEVEL III WATER SYSTEM</t>
  </si>
  <si>
    <t>Concreting of Road Section at Purok 8, Fdr. 3, Barangay Tibal-og, Santo Tomas, Davao del Norte</t>
  </si>
  <si>
    <t>Concreting of Talisay Road Pasiagon Placer, Masbate</t>
  </si>
  <si>
    <t>IMPROVEMENT OF DRAINAGE CANAL ALONG NATIONAL HIGHWAY.</t>
  </si>
  <si>
    <t>CONSTRUCTION OF MULTI PURPOSE BLDG P1 (sugoc, namaltugan)</t>
  </si>
  <si>
    <t>PHO-FUEL, OIL AND LUBRICANTS</t>
  </si>
  <si>
    <t>PHO-FURNITURES AND FIXTURES</t>
  </si>
  <si>
    <t>REHABILITATION OF MULTI-PURPOSE BUILDING (MUNICIPAL ECCD CENTER)</t>
  </si>
  <si>
    <t>CONSO-PAGRO- ICT EQUIPMENT</t>
  </si>
  <si>
    <t>CONSTRUCTION OF STORM DRAINAGE (Butao)</t>
  </si>
  <si>
    <t>SUPPLY &amp; DELIVERY OF OFFICE EQUIPMENT</t>
  </si>
  <si>
    <t>Supply and Delivery of Hardware Materials use for the improvement of Makkaway St.</t>
  </si>
  <si>
    <t>Upgrading of Concrete Nursery and Production Tanks at Burgos Fish Farm, Brgy. Bobon, Burgos, Ilocos Norte</t>
  </si>
  <si>
    <t>Concreting of Barangay Street (Materials Only)</t>
  </si>
  <si>
    <t>PROCUREMENT OF OTHER SUPPLIES AND MATERIALS FOR THE USE OF NAVOTAS INSTITUTE</t>
  </si>
  <si>
    <t>PROCUREMENT OF PRINTING SERVICES FOR THE USE OF VARIOUS OFFICES OF THE CITY GOVERNMENT OF NAVOTAS (SECOND BIDDING)</t>
  </si>
  <si>
    <t>Repair/Rehabilitation of Damaged Protection works at Malacañang of the North, Paoay, Ilocos Norte</t>
  </si>
  <si>
    <t>supply and delivery of hardware materials use for the Upgrading of Aldos St. (Construction of canal lining) and Construction of Bunot St. (Canal lining)</t>
  </si>
  <si>
    <t>Fencing of Multi-Purpose Bldg./Covered Court</t>
  </si>
  <si>
    <t>Installation of Road Signages and Warning Signs along Provincial Roads, Ilocos Norte</t>
  </si>
  <si>
    <t>PROCUREMENT OF OTHER SUPPLIES AND MATERIALS (FOOD/GROCERY ITEMS) FOR THE USE OF NAVOTAS INSTITUTE</t>
  </si>
  <si>
    <t>Proc. of Materials for the Construction of CR at Ecopark</t>
  </si>
  <si>
    <t>Procurement of Construction Materials for the Completion of Streetlights from Round Ball to Iglesia ni Kristo</t>
  </si>
  <si>
    <t>CONCRETE OF BRGY ACCESS ROAD (PHASE III)</t>
  </si>
  <si>
    <t>IB NO. 08-2020 - PROCUREMENT OF UV GERMICIDAL LIGHT (HFEP)</t>
  </si>
  <si>
    <t>PURCHASE OF MDRRMO EQUIPMENT</t>
  </si>
  <si>
    <t>CONNECTING THE EARIST LABORATORIES AND FACULTY ROOMS in the immediate distribution function for the demands on LMS/Blended Learning</t>
  </si>
  <si>
    <t>Reproduction of Learning Modules for Quarter 1 - Module 2 for Grade 1 (PE, Music, &amp; Esp) and Grade 2 (English and Filipino)</t>
  </si>
  <si>
    <t>Concreting of Road at Balgoma- Lopez Area, Purok 19, Fdr. 4, Barangay Tibal-og, Santo Tomas, Davao del Norte</t>
  </si>
  <si>
    <t>REQUEST FOR QUOTATION-Food and Beverage Services and Cookery Equipment for Extension Services</t>
  </si>
  <si>
    <t>Rehabilitation/Improvement of Pias-Comcomloong-Puritac Provincial Road, Brgys. Pias and Comcomloong, Currimao and Brgy. Dalayap, Pinili, Ilocos Norte</t>
  </si>
  <si>
    <t>Construction/Improvement/Rehabilitation of Bangui District Hospital, Bangui, Ilocos Norte</t>
  </si>
  <si>
    <t>Procurement of One (1) Unit Brand New Utility Vehicle</t>
  </si>
  <si>
    <t>Completion of Electrical System of Heallth/Diagnostic and Training Center  PHO, Masbate City</t>
  </si>
  <si>
    <t>Rehabilitation of Swimming Pool at Plaza del Norte, Laoag City</t>
  </si>
  <si>
    <t>Furnishing 4 units Laptop i5  for Office use of the Local School Board in this Municipality of Santa Cruz Laguna</t>
  </si>
  <si>
    <t>Rehabilitation and Improvement of Mabuti-Caparian Provincial Road, Marcos and Batac City, Ilocos Norte</t>
  </si>
  <si>
    <t>Improvement Works at Provincial Engineering Office, Provincial Motor Pool, Laoag City</t>
  </si>
  <si>
    <t>Improvement of Sangguniang Panlalawigan Office, Provincial Capitol Building, Laoag City</t>
  </si>
  <si>
    <t>PURCHASE/INSTALLATION OF SUBMERSIBLE PUMP- SITIO NIUGAN, BRGY. SAPANGAN</t>
  </si>
  <si>
    <t>Construction/Improvement/Rehabilitation of Vintar District Hospital, Vintar, Ilocos Norte</t>
  </si>
  <si>
    <t>Repair and Improvement of Dingras Fish Farm Building, Dingras, Ilocos Norte</t>
  </si>
  <si>
    <t>Construction of Oxygen Generating Plant Housing at Gov. Roque B. Ablan Sr. Memorial Hospital, Laoag City</t>
  </si>
  <si>
    <t>Furnishing Emergency Equipment for Disaster Response in this Municipality of Santa Cruz Laguna</t>
  </si>
  <si>
    <t>Procurement of Construction Materials for the Construction of Garage (Demo Farm)</t>
  </si>
  <si>
    <t>supply and delivery of hardware materials use for the rehabilitation/improvement balungog water system and nagraraban amuyao water system</t>
  </si>
  <si>
    <t>Rehabilitation and Improvement of Pugaoan-MAdupayas-Camanga-Liliputen Provincial Road (Madupayas-Camanga Section) Brgys. Madupayas and Camanga, Badoc, Ilocos Norte</t>
  </si>
  <si>
    <t>KC: Catering Service for the conduct of PAMANA CEAC Activities Cycle 2 in the municipality of Tungawan, ZSP.</t>
  </si>
  <si>
    <t>Procurement of Construction Materials for the Concreting of Roads-from Lamual to Sitio Batnawan Road, Brgy. Canahay</t>
  </si>
  <si>
    <t>Procurement of Construction Materials for the Construction of Potable Water System</t>
  </si>
  <si>
    <t>Procurement of two (2) units BRAND NEW DRR VEHICLE</t>
  </si>
  <si>
    <t>BAC-LAPTOP</t>
  </si>
  <si>
    <t>Procurement of Construction Materials for the Construction of Stairway of Bahay Pag-asa</t>
  </si>
  <si>
    <t>SUPPLY AND DELIVERY OF CONSOLIDATED JANITORIAL SUPPLIES FOR USE OF PROVINCIAL HOSPITAL/SATELLITE HOSPITALS AND CCMH</t>
  </si>
  <si>
    <t>SUPPLY AND DELIVERY OF VARIOUS SUPPLIES FOR USE IN THE REPAIR/TROUBLESHOOTING/ MAINTENANCE OF IT EQUIPMENT OF DIFFERENT OFFICES OF THE PROVINCIAL GOVERNMENT OF CAVITE</t>
  </si>
  <si>
    <t>PURCHASE OF BRAND NEW SHUTTLE BUS FOR USE AS SHUTTLE SERVICE OF THE PROVINCIAL CAPITOL EMPLOYEES</t>
  </si>
  <si>
    <t>PURCHASE OF BRAND NEW JET SKI WITH TRAILER FOR USE IN PEACE AND ORDER PROGRAM OF THE PROVINCIAL GOVERNMENT</t>
  </si>
  <si>
    <t>CONSTRUCTION OF MUNICIPAL RESIDUAL PROCESSING CENTER</t>
  </si>
  <si>
    <t>PURCHASE OF HIGH PRESSURE VEHICLE EXTRICATION KIT AND DRONE FOR USE IN DISASTER PREPAREDNESS PROGRAMS FOR CY 2020</t>
  </si>
  <si>
    <t>CONSO-OFFICE TABLES AND CHAIRS</t>
  </si>
  <si>
    <t>PENRO-LAPTOP</t>
  </si>
  <si>
    <t>IMPROVEMENT OF CANAL LINING (CANAL COVER) AT POBLACION II</t>
  </si>
  <si>
    <t>IMPROVEMENT OF BUSINESS CENTER BUILDING III</t>
  </si>
  <si>
    <t>Procurement of Carabao for Carabao Based Farming System at LGU-Mabini, Bohol</t>
  </si>
  <si>
    <t>Purchase of Medical Supplies for RHU use under Philhealth Capitation Fund at LGU-Mabini, Bohol</t>
  </si>
  <si>
    <t>SUPPLY AND DELIVERY OF CONSOLIDATED OFFICE SUPPLIES FOR USE OF PROVINCIAL HOSPITAL/SATELLITE HOSPITALS AND CCMH</t>
  </si>
  <si>
    <t>Procurement of 5,251 pcs. Washable face mask-B-20-0215</t>
  </si>
  <si>
    <t>Procurement of veterinary drugs and biologics-B-20-0213</t>
  </si>
  <si>
    <t>Procurement of 1 lot Supply and installation of chlorination system-B-20-0105-rebid</t>
  </si>
  <si>
    <t>Procurement of 500 pcs polo shirt with design-B-20-0216</t>
  </si>
  <si>
    <t>Improvement of Barangay San Roque Waterworks System at San Roque, Mabini, Bohol</t>
  </si>
  <si>
    <t>REQUEST FOR QUOTATION - Office Supplies for Research and Development Office</t>
  </si>
  <si>
    <t>Furnishing 220 unit Foot Pedal Sanitizer Dispenser for Distribution to all Public School in this Municipality of Santa Cruz Laguna</t>
  </si>
  <si>
    <t>REQUEST FOR QUOTATION-Chairs and Tables for Library</t>
  </si>
  <si>
    <t>Procurement of feed ingredients-B-20-0214</t>
  </si>
  <si>
    <t>Furnishing 23 units Digital Black &amp; White Multi Function Printer for Distribution to all Public School in this Municipality of Santa Cruz Laguna</t>
  </si>
  <si>
    <t>Rehabilitation and Improvement of Dingras-Mangitayag-Tonoton Provincial Road, brgys. Tonoton and Mangitayag, Piddig and Brgy. Bagut, Dingras, Ilocos Norte</t>
  </si>
  <si>
    <t>BDRRM Program</t>
  </si>
  <si>
    <t>Procurement of Combine Harvester for Rice at LGU-Mabini, Bohol</t>
  </si>
  <si>
    <t>Rehabilitation of Drainage Canal Tawi-Tawi, Barangay Poro</t>
  </si>
  <si>
    <t>PROC. OF WORKS FOR THE CONST'N OF MULTI-PURPOSE BUILDING AT IP's SCHOOL NASA, TALISAY</t>
  </si>
  <si>
    <t>Procurement of Materials for the Construction of Material Recovery Facility</t>
  </si>
  <si>
    <t>ITB-2020-08-063 PROCUREMENT OF SEMI-PERISHABLE ITEMS FOR BANGUN IMPLEMENTATION IN SULU PROVINCE</t>
  </si>
  <si>
    <t>PROC 20-030 ALCOHOL</t>
  </si>
  <si>
    <t>PROCUREMENT OF MATERIALS &amp; SUPPLIES FOR THE IN HOUSE REPRODUCTION OF MODULES IN ALL LEARNING AREAS PER GRADE LEVEL</t>
  </si>
  <si>
    <t>Office Supplies and materials</t>
  </si>
  <si>
    <t>Fabrication of Divider Racks at Commission on Audit Office, Provincial Capitol Building, Laoag City</t>
  </si>
  <si>
    <t>Procurement of Publication of 18 pages ordinance-B-20-0218</t>
  </si>
  <si>
    <t>Procurement of various medical supplies-B-20-0219</t>
  </si>
  <si>
    <t>Procurement of One (1) Unit BACKHOE</t>
  </si>
  <si>
    <t>Procurement of construction materials-B-20-0217</t>
  </si>
  <si>
    <t>ROAD CONCRETING AT SAN FRANCISCO PUBLIC CEMETERY, CAUAYAN CITY, ISABELA</t>
  </si>
  <si>
    <t>Supply and Delivery of One (1) Motor Vehicle (Brand New) Passenger Van – 15 Seater</t>
  </si>
  <si>
    <t>ROAD CONSTRUCTION AND BOX CULVERT AT CATTLEYA STREET, BARANGAY SAN FERMIN, CAUAYAN CITY, ISABELA</t>
  </si>
  <si>
    <t>20NG0099 - REPAIR/MAINTENANCE OF DPWH BUILDING AES - PLANNING AND REPAIR BUILDING/ BERNADETTE VILLAGE, BRGY. LUNA, SURIGAO CITY</t>
  </si>
  <si>
    <t>Improvement of Landscaping of Malacañang Garden, Paoay, Ilocos Norte</t>
  </si>
  <si>
    <t>20NG0030(RE-AD) - NETWORK DEVELOPMENT PROGRAM: ROAD WIDENING - PRIMARY ROADS, DAANG MAHARLIKA (SURIGAO - AGUSAN SECTION) - K1160+784.00 - K1162+084.72, K1163+600.00 - K1163+660.00/ ALEGRIA, SURIGAO DE</t>
  </si>
  <si>
    <t>SUPPLY AND DELIVERY OF VARIOUS LABORATORY SUPPLIES &amp; REAGENTS FOR LABORATORY SET-UP UNDER TIE-UP SCHEME FOR 4 PROVINCIAL HOSPITALS, 12 DISTRICT HOSPITALS AND CPHO MAIN LABORATORY FOR THE PROVINCE OF C</t>
  </si>
  <si>
    <t>SABANGAN ROAD OPENING</t>
  </si>
  <si>
    <t>Concreting of Station Driveway (BFP-2020)</t>
  </si>
  <si>
    <t>IMPROVEMENT OF EXISTING ROCK CAUSEWAY, PORT OF SAN ROQUE, DARAM, SAMAR</t>
  </si>
  <si>
    <t>AGR-20-0906-B Purchase of HOUSEKEEPING SUPPLIES</t>
  </si>
  <si>
    <t>SUPPLY AND DELIVERY OF 12 UNITS BRAND NEW COMMUNICATION EQUIPMENT</t>
  </si>
  <si>
    <t>GOV-20-0942-B Purchase of DIESEL FUEL</t>
  </si>
  <si>
    <t>Supply and Delivery of materials for the Improvement of Multi-Purpose Hall</t>
  </si>
  <si>
    <t>AGR-20-0905-B PURCHASE  OF OFFICE SUPPLIES</t>
  </si>
  <si>
    <t>PPD-20-0901-B Purchase of Office Supplies</t>
  </si>
  <si>
    <t>ROAD CONCRETING AT BARANGAY SAN ANTONIO, CAUAYAN CITY, ISABELA</t>
  </si>
  <si>
    <t>Supply and Delivery of School MOOE of Silahis Elementary School</t>
  </si>
  <si>
    <t>ASPHALTING AND INSTALLATION OF PVC CANAL WITH GRATING, SIDEWALK, CURB AND GUTTER AT SPORTS COMPLEX, BARANGAY TAGARAN, CAUAYAN CITY, ISABELA</t>
  </si>
  <si>
    <t>ROAD CONCRETING AT BARANGAYS LABINAB – DUMINIT, CAUAYAN CITY, ISABELA</t>
  </si>
  <si>
    <t>CONSTRUCTION OF WATER SUPPLY AT BOY-OTAN AND ANDIONGAN IN BARANGAY ABIANG</t>
  </si>
  <si>
    <t>CONSTRUCTION OF LEACHATE POND ( SANITARY LANDFILL)</t>
  </si>
  <si>
    <t>REHABILITATION OF WATER SUPPLY AT BONENG IN BARANGAY NAGUEY</t>
  </si>
  <si>
    <t>SUPPLY AND DELIVERY OF VARIOUS MATERIALS FOR CONSTRUCTION/INSTALLATION OF SOLAR STREETLIGHTS, CONCRETING OF BARANGAY ROAD (ZONE VI), CONCRETING OF BARANGAY ROAD (PHASE 1)ZONE I</t>
  </si>
  <si>
    <t>SANITARY DAY</t>
  </si>
  <si>
    <t>Recorder, Standalone h.264 USB, portable</t>
  </si>
  <si>
    <t>Construction/ Improvement of Concrete Pavement Brgy. Tinucdugan Leyte, Leyte</t>
  </si>
  <si>
    <t>PURCHASE OF DIGITAL DUPLICATING MACHINE, LAPTOP AND PRINTER USE FOR MODULAR REPRODUCTION OF DEPED LANTAPAN EAST AND WEST DISTRICT [1ST BID]</t>
  </si>
  <si>
    <t>Linggo ng Kabataan</t>
  </si>
  <si>
    <t>GAMIT KO, GAMIT MO, GAMIT NATING LAHAT</t>
  </si>
  <si>
    <t>PURCHASE OF TWO (2) UNITS DUMPTRUCK (1ST BID)</t>
  </si>
  <si>
    <t>Vehicle Pepair and Maintenance of L300 Van VCV 759 and Multicab</t>
  </si>
  <si>
    <t>Concreting of Barangay Amot to Bonifacio Farm to Market Road Barangay Amot and Bonifacio Burdeos, Quezon</t>
  </si>
  <si>
    <t>Proposed Construction of Concrete Walkway</t>
  </si>
  <si>
    <t>Supply and Delivery of 15 units Palay Thresher &amp; 15 units Handtractor  with trailer for implementation under 2020 SAAD Program</t>
  </si>
  <si>
    <t>Concreting of Sitio Cabangan, Barangay Norte to Barangay Kilogan Farm to Market Road, Barangay Norte and Barangay Kilogan, Patnanungan, Quezon</t>
  </si>
  <si>
    <t>CALAMITY FUND</t>
  </si>
  <si>
    <t>Improvement of Multi-purpose building</t>
  </si>
  <si>
    <t>VAN RENTAL SERVICES</t>
  </si>
  <si>
    <t>PROCUREMENT OF CONSULTANCY SERVICES FOR THE IMPLEMENTATION OF PROFICIENCY STAGE OF THE PGS WITHIN THE MARINA ORGANIZATION</t>
  </si>
  <si>
    <t>PROCUREMENT OF INFORMATION AND COMMUNICATION TECHNOLOGY EQUIPMENT</t>
  </si>
  <si>
    <t>Purchase of 1 unit MAVIC 2 PRO Drone with FLY MORE KIT</t>
  </si>
  <si>
    <t>Purchase of 1 unit Municipal Rescue Vehicle/Emergency Transport Unit</t>
  </si>
  <si>
    <t>FABRICATION OF FIBERGLASS BASKETBALL GOAL</t>
  </si>
  <si>
    <t>Common Office Equipment</t>
  </si>
  <si>
    <t>Common ICT Equipment</t>
  </si>
  <si>
    <t>IMPROVEMENT OF SOOKAN-GAMBANG FMR, GAMBANG, BAKUN, BENGUET</t>
  </si>
  <si>
    <t>2020-08-001-a.m</t>
  </si>
  <si>
    <t>SUPPLY AND DELIVERY OF AMBULANCE</t>
  </si>
  <si>
    <t>PROCUREMENT OF TECHNICAL AND SCIENTIFIC EQUIPMENT</t>
  </si>
  <si>
    <t>PROPOSED CONSTRUCTION OF MULTI-PURPOSE BUILDING AT BARANGAY TAGARAN, CAUAYAN CITY, ISABELA</t>
  </si>
  <si>
    <t>Supply and Delivery of Various Powered Tools, Carpentry Tools and Generator for use in the Implementation of Barangay Infrastructure Projects</t>
  </si>
  <si>
    <t>Purchase of Risograph needed by the Ajuy National High School and Luca Junior High School for the reproduction of their educational materials</t>
  </si>
  <si>
    <t>KC: Catering Services For the conduct of PAMANA CEAC Activities Cycle 2 in the municipality of Sindangan,ZDN and Siayan, ZDN</t>
  </si>
  <si>
    <t>PROCUREMENT OF COMPUTERIZED HOSPITAL INFORMATION SYSTEM &amp; ELECTRONIC HEALTH RECORD FOR THE USE OF NAVOTAS CITY HOSPITAL &amp; 25 HEALTH CENTERS (SECOND BIDDING)</t>
  </si>
  <si>
    <t>Supply and Delivery of Materials for Construction of Concrete Fence with Cyclone Wire at  Covered Court</t>
  </si>
  <si>
    <t>Construction of 10 Units Portable 3 Stage Bleacher</t>
  </si>
  <si>
    <t>Construction of concrete shoulder and 18.30 m riprap at Barangay Anuling Cerca I, Mendez, Cavite.</t>
  </si>
  <si>
    <t>KC : Catering Services For the conduct of PAMANA CEAC Activities Cycle 2 in the municipality of Godod and Kabasalan, Zamboanga Sibugay Province</t>
  </si>
  <si>
    <t>Supply and Delivery of Materials for Installation of Solar Energy Lighting</t>
  </si>
  <si>
    <t>Construction of grouted riprap at Along Araro Creek Barangay Poblacion 1, Gen.Emilio Aguinaldo, Cavite.</t>
  </si>
  <si>
    <t>Construction of concrete slope protection@ Cavite Evacuation Center at Barangay San Agustin, Trece Martires City, Cavite.</t>
  </si>
  <si>
    <t>Construction of Provincial Veterinary Multi Purpose Building at Barangay Osorio, Trece Martires City, Cavite.</t>
  </si>
  <si>
    <t>Concreting of road at Sitio Malinta, Barangay Kabulusan, Magallanes, Cavite.</t>
  </si>
  <si>
    <t>KC : Catering Service For the conduct of PAMANA CEAC Activities Cycle 2 in the municipality of Leon Postigo, ZDN</t>
  </si>
  <si>
    <t>Brangay Operation Monitoring System (BOMS)</t>
  </si>
  <si>
    <t>Extension of Existing Drainage Canal</t>
  </si>
  <si>
    <t>Asphalt overlay of road at Purok 1, Purok 2, at Barangay Gregorio, Trece Martires City, Cavite.</t>
  </si>
  <si>
    <t>Procurement of Laboratory Supplies</t>
  </si>
  <si>
    <t>Door to Door Campaign on Waste Segregation</t>
  </si>
  <si>
    <t>Urban Greening</t>
  </si>
  <si>
    <t>SOLAR POWERED STREETLIGHTS</t>
  </si>
  <si>
    <t>Construction of grouted riprap at Barangay Limbon, Indang, Cavite.</t>
  </si>
  <si>
    <t>OFFICE SUPPLIES AND MATERIALS</t>
  </si>
  <si>
    <t>KC : Catering Services For the conduct of PAMANA CEAC Activities Cycle 2 in the municipality of Alicia, ZSP</t>
  </si>
  <si>
    <t>Supply and Delivery of Brand New Cargo Trike Motorcycle with Canopy and Windshield</t>
  </si>
  <si>
    <t>CONSTRUCTION OF LANDMARK: WELCOME SIGNAGES AT BARANGAY BUGCAON AND BASAC (1ST BID)</t>
  </si>
  <si>
    <t>PROCUREMENT OF MEDICAL SUPPLIES</t>
  </si>
  <si>
    <t>Supply and Delivery of Bio Composting Machine (Organic Fertilizer Machine and System), Plastic Grinding Machine, Paver Press, Waste Mixer and Waste Baler Machine</t>
  </si>
  <si>
    <t>Computer Literacy Program</t>
  </si>
  <si>
    <t>PB-20-377, Supply &amp; Delivery of Certified Palay Seeds for production support to rice farmers in the Province of Cotabato</t>
  </si>
  <si>
    <t>CARTRIDGE</t>
  </si>
  <si>
    <t>Procurement of Desktop Computers for Various Offices and Campuses in Batangas State University</t>
  </si>
  <si>
    <t>PB-20-372, Supply &amp; Delivery of Brand New Utility Vehicle (Pick-Up) for Provincial Project &amp; Monitoring Committee (PPMC)</t>
  </si>
  <si>
    <t>PURCHASE AND DELIVERY OF ONE (1) UNIT OF  CARGO TYPE TRICYCLE</t>
  </si>
  <si>
    <t>Improvement/Rehabilitation of Drainage System</t>
  </si>
  <si>
    <t>Renovation of Dilapidated Wooden Grandstand</t>
  </si>
  <si>
    <t>Improvement/Rehabilitation of ICT Building</t>
  </si>
  <si>
    <t>Purchase and Delivery of One (1) Unit of Cargo Type Tricycle</t>
  </si>
  <si>
    <t>OFFICE FURNITURE/EQUIPMENTS</t>
  </si>
  <si>
    <t>Supply and Delivery of Office Supplies for the Municipal Accountant's Office</t>
  </si>
  <si>
    <t>PROCUREMENT OF PRIVATE MILLING SERVICES FOR NFA REGION 3 FOR THE YEAR 2020</t>
  </si>
  <si>
    <t>Supply and Celivery of Window Type Aircon and other Equipment for the Municipal Accountant's Office</t>
  </si>
  <si>
    <t>Construction of CAFF Building (Phase 2)</t>
  </si>
  <si>
    <t>Purchase of ICT Supplies, Materials and Equipment</t>
  </si>
  <si>
    <t>Supply and Delivery of Vegetable Seeds, Zoological Supplies and Fishing Supplies/Materials</t>
  </si>
  <si>
    <t>PURCHASE OF BARANGAY DISASTER RISK REDUCTION MANAGEMENT COMMITTEE RESCUE VEHICLE (BONGO) OF BRGY. SALVACION, PANABO CITY.</t>
  </si>
  <si>
    <t>Supply and Delivery of One (1) Unit Sports Utility Vehicle (SUV) for official use of the Office of the Municipal Mayor</t>
  </si>
  <si>
    <t>Procurement of Office Health Essentials, Supplies &amp; consumables</t>
  </si>
  <si>
    <t>Procurement of Goods for Fish Production-Related Program in Support to Bayanihan to Heal as One Act</t>
  </si>
  <si>
    <t>Supply and Delivery of Three (3) Units Window Type Airconditioning Unit</t>
  </si>
  <si>
    <t>2020-05: ITB - Proposed Drainage at Zone 4B, De La Paz (3rd) Street, DCV, Concepcion Pequeña, Naga City</t>
  </si>
  <si>
    <t>Construction of Retaining Wall (Phase III), Barangay Sta. Rosa Noveleta, Cavite.</t>
  </si>
  <si>
    <t>One (1) Lot – Pest and Termite Control Services for SJMC</t>
  </si>
  <si>
    <t>Procurement of Office Equipment, Supplies &amp; Consumales</t>
  </si>
  <si>
    <t>Procurement of Goods for the Implementation of the Livelihood Project Entitled “T-Shirt Printing and Tailoring Services”</t>
  </si>
  <si>
    <t>KC : Catering Service For the conduct of PAMANA CEAC Activities Cycle 2 in the municipality of Payao ZSP.</t>
  </si>
  <si>
    <t>KC : Catering Service For the conduct of PAMANA CEAC Activities Cycle 2 in the municipality of Lakewood, ZDS</t>
  </si>
  <si>
    <t>PB INFRA 20-055_Concreting of Presbitero - Tigbawan Road, Pigcawayan, Cotabato</t>
  </si>
  <si>
    <t>PB INFRA 20-057_Concreting of Busaon  Road, Banisilan, Cotabato</t>
  </si>
  <si>
    <t>Supply and Delivery of Emergency (E) Balde</t>
  </si>
  <si>
    <t>Installation of Solar Street Lights Sitio Sto.Niño</t>
  </si>
  <si>
    <t>PB INFRA 20-047_Construction of Two (2) Lane RCDG Bridge, Manobo, Magpet, Cotabato</t>
  </si>
  <si>
    <t>Materials for Clean and Green</t>
  </si>
  <si>
    <t>Concreting of 40 Meters Road at Barangay Maluno Norte</t>
  </si>
  <si>
    <t>Procurement of Consulting Services for the Development of the RAB Handbook to include the Standardization of the Replacement Costs and Asset Lives for Privately-Owned Distribution Utilities and Fieldw</t>
  </si>
  <si>
    <t>Construction of 250 Meters Concrete Canal at Barangay Maluno Norte</t>
  </si>
  <si>
    <t>DRILLING OF EXPLORATORY/PRODUCTION WELLS FOR BINGAWAN WATER DISTRICT</t>
  </si>
  <si>
    <t>20CB-GSC-485	PURCHASE OF OFFICE EQUIPMENT</t>
  </si>
  <si>
    <t>20CB-GSC-483	PURCHASE OF DIESEL FOR BJMP-FEMALE</t>
  </si>
  <si>
    <t>20CB GSC 481 GENERAL MERCHANDISE (RE BID)</t>
  </si>
  <si>
    <t>RIPRAPPING OF BARANGAY CAMINO ROAD</t>
  </si>
  <si>
    <t>Procurement for COVID Supplies of San Celestino Integrated National High School</t>
  </si>
  <si>
    <t>PB INFRA 20-053_Concreting of Saguing - Libertad Road, Makilala, Catabato</t>
  </si>
  <si>
    <t>rehabilitation of National Child Development Center (NCDC) at municipal compound, Barangay Poblacion, Biri, Northern Samar</t>
  </si>
  <si>
    <t>SUPPLY AND INSTALLATION OF 4 UNITS CLOSE CIRCUIT TELEVISION (CCTV) CAMERAS OF BARANGAY ARANGIN, NAUJAN, ORIENTAL MINDORO</t>
  </si>
  <si>
    <t>PURCHASE OF EQUIPMENT</t>
  </si>
  <si>
    <t>Laundry Services for San Juan Medical Center  (September – December 2020)</t>
  </si>
  <si>
    <t>Purchase of one (1) unit Multi-Cab</t>
  </si>
  <si>
    <t>Public Bidding for the Supply and Delivery of Construction Materials for the Repair / Rehab of Kabalaka People's Center @ Esla, Brgy. Lanot, Roxas City (Phase 1), under ITB No. 2020-017R-A</t>
  </si>
  <si>
    <t>MILK FEEDING</t>
  </si>
  <si>
    <t>PROCUREMENT OF TRUCKING SERVICES FOR THE INTRA AND INTER-REGIONAL TRANSFER OF GRAINS OF NFA REGION 3 FOR THE CALENDAR YEAR 2020</t>
  </si>
  <si>
    <t>One (1) Lot –Supply and Delivery of Office Supplies for the use of SJMC</t>
  </si>
  <si>
    <t>Delivery of Two Units Refrigerated Van</t>
  </si>
  <si>
    <t>PB INFRA 20-058_Concreting of New Leon - Luanan Road, Aleosan, Cotabato</t>
  </si>
  <si>
    <t>Design &amp; Build of Safe Closure and Rehabilitation of Existing Dumpsite at Purok Maligaya Barangay Lungag, Digos City, with progress billing:</t>
  </si>
  <si>
    <t>PB-20-378, Supply &amp; Delivery of 3 units Brand New Utility Vehicle, Double Cabin Dropside for Provincial Engineer’s Office, Amas, Kidapawan City</t>
  </si>
  <si>
    <t>One (1) Lot –Pest Control Services for City Government of San Juan</t>
  </si>
  <si>
    <t>Road Concreting and Installation of RC Pipes at Barangay Sevillana</t>
  </si>
  <si>
    <t>Improvement of Farm to Market Road at Sitio Bantolinao,Barangay Padiay,Sibagat Agusan del Sur</t>
  </si>
  <si>
    <t>Supply and Delivery of Office Equipment (Supplemental 2020)</t>
  </si>
  <si>
    <t>Supply and Delivery of Sand and Gravel for the Concreting of New Tubigon FMR of Barangay New Tubigon,Sibagat Agusan del Sur</t>
  </si>
  <si>
    <t>ITB 002 PROPOSED IMPROVEMENT OF BARANGAY FACILITIES AT MULTI-PURPOSED BUILDING</t>
  </si>
  <si>
    <t>SUPPLY AND DELIVERY for the INSTALLATION OF STREETLIGHTS AT BARANGAY ANAHAWAN,SIBAGAT AGUSAN DEL SUR</t>
  </si>
  <si>
    <t>Supply and Delivery of ICT Software Subscription</t>
  </si>
  <si>
    <t>Procurement for Installation of Hand Washing Facilities</t>
  </si>
  <si>
    <t>PURCHASE OF MATERIALS FOR THE CONSTRUCTION OF DRAINAGE SYSTEM</t>
  </si>
  <si>
    <t>Procurement for the Beautification of Municipal Plaza</t>
  </si>
  <si>
    <t>Procurement of Consulting Services for the Validation of the Actual Performance of NGCP for the Year 2016 to 2018</t>
  </si>
  <si>
    <t>Procurement of a Heavy Equipment Vehicle (Dump Truck)</t>
  </si>
  <si>
    <t>20CB-GSC-489	PURCHASE OF IT EQUIPMENT AND SUPPLIES</t>
  </si>
  <si>
    <t>Printing and Reproduction of K to 12 First Quarter Self-Learning Modules</t>
  </si>
  <si>
    <t>Supply and Delivery of Hardware Materials for the Construction of New Tubigon FMR of Barangay New Tubigon,Sibagat,Agusan del Sur</t>
  </si>
  <si>
    <t>PROCUREMENT OF  OFFICE EQUIPMENT</t>
  </si>
  <si>
    <t>A.1.1 BED MATTRESS</t>
  </si>
  <si>
    <t>Fabrication of Steel Tunnel Type Greenhouse at Belance, Dupax del Norte</t>
  </si>
  <si>
    <t>IMPROVEMENT OF BRGY. CANANO MULTI-PURPOSE COVERED COURT PHASE II</t>
  </si>
  <si>
    <t>REGRAVELLING OF BARANGAY ROAD</t>
  </si>
  <si>
    <t>PRINTING AND PUBLICATION SERVICES</t>
  </si>
  <si>
    <t>LOCAL ACCESS ROAD IN BRGY. CANANO TO BRGY. DALOSDOSON ROUTE</t>
  </si>
  <si>
    <t>ADVERTISING SERVICES</t>
  </si>
  <si>
    <t>Construction of Open Canal Additional (Hagan Elem School)</t>
  </si>
  <si>
    <t>20GKC0013 -PROCUREMENT OF OFFICE EQUIPMENT FOR USE AT THE PLANNING AND DESIGN SECTION OF DPWH BUKIDNON 3RD DEO</t>
  </si>
  <si>
    <t>PROCUREMENT OF  INFORMATION AND COMMUNICATION TECHNOLOGY EQUIPMENT</t>
  </si>
  <si>
    <t>20GKC0012 PROCUREMENT OF SURVEY INSTRUMENT FOR USE AT THE PLANNING AND DESIGN SECTION OF DPWH BUKIDNON 3RD DEO</t>
  </si>
  <si>
    <t>PROCUREMENT OF OTHER SUPPLIES &amp; MATERIALS</t>
  </si>
  <si>
    <t>19DN0232 v- REHABILITATION OF BINANGONAN PUBLIC MARKET, LIBID, BINANGONAN, RIZAL</t>
  </si>
  <si>
    <t>PURCHASED OF 2 UNIT AIRCONDITIONED (SPLIT TYPE)</t>
  </si>
  <si>
    <t>PB2020-07-008 GAA Procurement of Service Provider for Shuttle Services for CHED Employees for Three (3) Months (Rebid)</t>
  </si>
  <si>
    <t>CONCRETING OF BARANGAY ROAD,PARIS STREET</t>
  </si>
  <si>
    <t>Construction of Multipurpose Building Phase II (ROOFING AND TINSMITHRY WORKS AND HARDWARE</t>
  </si>
  <si>
    <t>Purchase of Fogging MAchine</t>
  </si>
  <si>
    <t>SUPPLIES AND DELIVERY OF GENERAL MERCHANDISE GOODS FOR CO,BDF 2020</t>
  </si>
  <si>
    <t>Supply, Delivery and Unloading of Various Fittings and Hardware Supplies for the Proposed Pipeline Re-alignment at Kalgara Bridge</t>
  </si>
  <si>
    <t>Supply, Delivery and Testing of Benchtop Turbidimeter for the Daily Turbidity Monitoring Tests of the Four (4) Service Areas and the Production Area of MCWD</t>
  </si>
  <si>
    <t>Supply and Delivery of Free Chlorine Reagent for Chlorine Residual Monitoring in the Entire Service Coverage of MCWD</t>
  </si>
  <si>
    <t>LOCAL ACCESS ROAD UPGRADING OF ROAD LEADING TO PROPOSED SANITARY LANDFILL</t>
  </si>
  <si>
    <t>SUPPLY AND DELIVERY OF LABOR AND MATERIALS  FOR THE PROJECT, REHABILITATION OF MULTI-PURPOSE ,BARANGAY TAGBACAN SILANGAN, CATANAUAN, QUEZON</t>
  </si>
  <si>
    <t>CONSTRUCTION OF HEAD WALL OF PROTECTION WORKS</t>
  </si>
  <si>
    <t>SUPPLY AND DELIVERY OF LABOR AND MATERIALS FOR THE PROJECT,  CONSTRUCTION OF LOCAL ACCESS ROAD (ROAD OPENING), BARANGAY SAN ANTONIO MAGCOPA, CATANAUAN, QUEZON</t>
  </si>
  <si>
    <t>Developing the Food Processing Industry of the Baang Women’s Organization and Rural Improvement Club – Lot 1</t>
  </si>
  <si>
    <t>DEVELOPING THE ROOT CROPS INDUSTRY OF THE AHIN FARMERS DEVELOPMENT ORGANIZATION INCORPORATED – LOT 3</t>
  </si>
  <si>
    <t>SUPPLY AND DELIVERY OF LABOR AND  MATERIALS FOR THE PROJECT,CONCERTING OF LOCAL ACCESS ROAD WITH 5M WIDTH AND 200MM THICK,  BARANGAY MATANDANG SABANG SILANGAN, CATANAUAN, QUEZON</t>
  </si>
  <si>
    <t>DEVELOPING THE ROOT CROPS INDUSTRY OF THE AHIN FARMERS DEVELOPMENT ORGANIZATION INCORPORATED – LOT 4</t>
  </si>
  <si>
    <t>DEVELOPING THE HANDICRAFT INDUSTRY OF THE AGAYAP AGRICULTURE AND LIVELIHOOD ORGANIZATION – LOT 3</t>
  </si>
  <si>
    <t>Purchase of office equipment for the use at the Sangguniang Bayan Office</t>
  </si>
  <si>
    <t>SUPPLY AND DELIVERY OF LABOR AND MATERIALS FOR THE PROJECT PARTIAL CONSTRUCTION OF LOCAL ACCESS ROAD (ROAD OPENING), BARANGAY SAN ANTONIO PALA, CATANAUAN, QUEZON</t>
  </si>
  <si>
    <t>DEVELOPING THE ROOT CROPS INDUSTRY OF THE AHIN FARMERS DEVELOPMENT ORGANIZATION INCORPORATED – LOT 2</t>
  </si>
  <si>
    <t>SUPPLY AND DELIVERY OF OFFICE SUPPLIES FOR VARIOUS OFFICES</t>
  </si>
  <si>
    <t>DEVELOPING THE ROOT CROPS INDUSTRY OF THE AHIN FARMERS DEVELOPMENT ORGANIZATION INCORPORATED – LOT 1</t>
  </si>
  <si>
    <t>PROVISION OF PROCESSING CENTER AND PROCESSING FACILITIES FOR THE ENHANCEMENT OF BANANA PROCESSING INDUSTRY</t>
  </si>
  <si>
    <t>BANANA CHIPS PROCESSING LIVELIHOOD PROJECT</t>
  </si>
  <si>
    <t>20CB-GSC-482	PURCHASE OF FURNITURE AND FIXTURES</t>
  </si>
  <si>
    <t>NATURAL FERTILIZER MAKING LIVELIHOOD PROJECT</t>
  </si>
  <si>
    <t>ENHANCING THE LIVELIHOOD OF TINANANG INCORPORATED (TI) THROUGH HEIRLOOM RICE PROCESSING</t>
  </si>
  <si>
    <t>ENHANCING THE LIVELIHOOD OF GAANG TRIBAL UNITY FOR DEVELOPMENT (GATUD) THROUGH HEIRLOOM RICE PROCESSING</t>
  </si>
  <si>
    <t>WHITE CORN PROCESSING LIVELIHOOD PROJECT</t>
  </si>
  <si>
    <t>FRUIT WINE PROCESSING</t>
  </si>
  <si>
    <t>BANANA AND TARO PROCESSING</t>
  </si>
  <si>
    <t>HEIRLOOM RICE PROCESSING</t>
  </si>
  <si>
    <t>PROVISION OF CITRUS PROCESSING EQUIPMENT AND FACILITIES</t>
  </si>
  <si>
    <t>HO-ESD20-003 - Supply and Delivery of Toner Cartridge, Telephone &amp; Power Strip Extension Outlet</t>
  </si>
  <si>
    <t>SUPPLY, DELIVERY AND INSTALLATION OF SSF EQUIPMENT FOR SUGARCANE PROCESSING</t>
  </si>
  <si>
    <t>SUPPLIES AND DELIVERY OF GENERAL MERCHANDISE GOODS FOR MOOE, CO, BDF &amp;RRMF 2020</t>
  </si>
  <si>
    <t>DEVELOPING THE FOOD PROCESSING INDUSTRY OF THE BAANG WOMEN’S ORGANIZATION AND RURAL IMPROVEMENT CLUB – LOT 2</t>
  </si>
  <si>
    <t>20CSDQ03 – CONSULTING SERVICES FOR THE CONDUCT OF SUB SURFACE SOIL EXPLORATION AND GEOTECHNICAL INVESTIGATION FOR VARIOUS ROAD NETWORK DEVELOPMENT AND CONSTRUCTION OF FLOOD CONTROL STRUCTURES (CLUSTER</t>
  </si>
  <si>
    <t>SUPPLY, DELIVERY AND INSTALLATION OF SSF EQUIPMENT FOR THE ESTABLISHMENT OF FABRICATION LABORATORY IN CAR - LOT 4</t>
  </si>
  <si>
    <t>Procurement of Electrical Supplies (Barangay Energization Project)</t>
  </si>
  <si>
    <t>20CSDQ02 – CONSULTING SERVICES FOR THE CONDUCT OF SUB SURFACE SOIL EXPLORATION AND GEOTECHNICAL INVESTIGATION FOR VARIOUS ROAD NETWORK DEVELOPMENT AND CONSTRUCTION OF FLOOD CONTROL STRUCTURES (CLUSTER</t>
  </si>
  <si>
    <t>REI_20CSE013: Consulting Services for the Master Plan and Detailed Architectural and Engineering Design (DAED) for Palawan Convention Centers, Palawan</t>
  </si>
  <si>
    <t>20GHF0008: Supply and Delivery of Reflectorized Traffic Paints for use in Roadside/Routine Maintenance Activities for the 3rd Quarter of CY 2020</t>
  </si>
  <si>
    <t>IMPROVEMENT OF BRGY. WATER SYSTEM PHASE 2</t>
  </si>
  <si>
    <t>INSTALLATION/FABRICATION OF MATERIAL RECOVERY FACILITY</t>
  </si>
  <si>
    <t>FOR THE PRINTING AND BINDING (SOFTBOUND) OF SELF LEARNING MODULES FOR KINDERGARTEN, GRADES 1-3, 5, 7 AND 9 AS PROVIDED BY THE CENTRAL OFFICE FOR THE SCHOOLS DIVISION OF LAOAG CITY LEARNERS</t>
  </si>
  <si>
    <t>Procurement of meals, snacks and accommodation</t>
  </si>
  <si>
    <t>20CSDQ01 - CONDUCT OF CONSULTANCY SERVICES FOR THE PARCELLARY SURVEY FOR FY 2021 PROJECTS</t>
  </si>
  <si>
    <t>PRINTING AND DELIVERY OF MODULES FOR GENERAL EDUCATION SUBJECTS</t>
  </si>
  <si>
    <t>20GHF0007: Supply and Delivery of 42,900 Seedlings as Tree Replacement for the trees affected by the projects of DPWH Cebu 3rd DEO</t>
  </si>
  <si>
    <t>Public Bidding for the Proposed Construction of Multi-Purpose Covered Court @ Brgy. Carmincita, Pres. Roxas, Capiz, Under ITB No. 2020-011C</t>
  </si>
  <si>
    <t>Drilling of Exploratory Well on Various Areas of Calamba City, Laguna</t>
  </si>
  <si>
    <t>HO-EMA20-015 - Supply and Delivery of Carbon Brush for Staplex Air Sampler</t>
  </si>
  <si>
    <t>PROCUREMENT FOR SUPPLY AND DELIVERY OF VARIOUS REGULAR MEDICINES AND IV FLUIDS ITB NO. 20-12</t>
  </si>
  <si>
    <t>PURCHASE OF MEDICAL EQUIPMENT FOR THE PAGAMUTAN NG DASMARIÑAS</t>
  </si>
  <si>
    <t>20GEB0022-R1: Procurement/Supply of Diesel Fuel for use in the operation of DPWH Service Vehicles for Mindoro Occidental DEO Planning and Design Section</t>
  </si>
  <si>
    <t>FOD-R-20-2981: Procurement of 12,351 bags @ 50 kgs./bag of Urea Fertilizer (46-0-0)</t>
  </si>
  <si>
    <t>FOD-C-20-2904: Procurement of 586 bags of GM Hybrid Yellow Corn Seeds</t>
  </si>
  <si>
    <t>Public Bidding for the Proposed Construction of Multi-Purpose Covered Court @ Brgy. Goce, Pres. Roxas, Capiz, Under ITB No. 2020-010C</t>
  </si>
  <si>
    <t>SUPPLY AND DELIVERY OF LOYALTY MEMORABILIA</t>
  </si>
  <si>
    <t>Public Bidding for the Proposed Construction of Multi-Purpose Covered Court @ Brgy. Culilang, Pres. Roxas, Capiz, Under ITB No. 2020-009C</t>
  </si>
  <si>
    <t>Public Bidding for the Proposed Construction of Multi-Purpose Covered Court @ Brgy. Cubay, Pres. Roxas, Capiz, Under ITB No. 2020-008C</t>
  </si>
  <si>
    <t>Public Bidding for the Proposed Construction of Multi-Purpose Covered Court @ Brgy. Lus-onan, Panay, Capiz, Under ITB No. 2020-007C</t>
  </si>
  <si>
    <t>Public Bidding for the Proposed Construction of Multi-Purpose Covered Court @ Brgy. Binantu-an, Panay, Capiz, Under ITB No. 2020-006C-A</t>
  </si>
  <si>
    <t>PROCUREMENT FOR SUPPLY AND DELIVERY OF VARIOUS ONCOLOGY DRUGS ITB NO. 2013</t>
  </si>
  <si>
    <t>Procurement of Materials for the Extension of Office Building</t>
  </si>
  <si>
    <t>Procurement of Office Supplies for 3rd &amp; 4th Quarter 2020</t>
  </si>
  <si>
    <t>FOD-OA-20-3018: Procurement of 450 containers of Molasses and 1,000 bags of Organic Fertilizer</t>
  </si>
  <si>
    <t>Rehabilitation and Improvement of Bleachers</t>
  </si>
  <si>
    <t>construction of covered canal</t>
  </si>
  <si>
    <t>OFFICE EQUIPMENT SUPPLIES AND CONSUMABLES</t>
  </si>
  <si>
    <t>REI_20CSE014: Consulting Services on the Conduct of Sub-soil Investigation for the Proposed Construction of Rehabilitation/ Major Repair of Slope Protection Structure along Tablas Circumferential Road</t>
  </si>
  <si>
    <t>DEVELOPING THE HANDICRAFT INDUSTRY OF THE AGAYAP AGRICULTURE AND LIVELIHOOD ORGANIZATION – LOT 2</t>
  </si>
  <si>
    <t>20CSDQ04 – CONSULTING SERVICES FOR THE CONDUCT OF SUB SURFACE SOIL EXPLORATION AND GEOTECHNICAL INVESTIGATION FOR VARIOUS ROAD NETWORK DEVELOPMENT AND CONSTRUCTION OF FLOOD CONTROL STRUCTURES (CLUSTER</t>
  </si>
  <si>
    <t>VEGETABLE PROCESSING LIVELIHOOD PROJECT (INREMP-LES2) – LOT 1</t>
  </si>
  <si>
    <t>Delivery of labor and materials for the Construction/Rehabilitation of Drainage System at Brgy. Dila, Bay, Laguna for their implementation of 20% Economic Development Fund (C.Y. 2020)</t>
  </si>
  <si>
    <t>EXTENSION OF THE MULTI-PURPOSE HALL   (RE-ADVERTISED)</t>
  </si>
  <si>
    <t>Supply and Delivery of Parts for KM Trucks</t>
  </si>
  <si>
    <t>STRENGTHENING OF THE WEAVING PROJECT OF HUNGDUAN WEAVER’S ASSOCIATION – LOT 2</t>
  </si>
  <si>
    <t>VEGETABLE PROCESSING LIVELIHOOD PROJECT (INREMP-LES2) – LOT 2</t>
  </si>
  <si>
    <t>STRENGTHENING OF THE WEAVING PROJECT OF HUNGDUAN WEAVER’S ASSOCIATION – LOT 1</t>
  </si>
  <si>
    <t>20DN0180 - CONCRETING OF BRGY. SAN JUAN FMR PHASE 2, BRGY. SAN JUAN, TAYTAY, RIZAL</t>
  </si>
  <si>
    <t>COFFEE PROCESSING PROJECT OF THE LUBU-ONG BIMMOBLE ORGANIZATION – LOT 1</t>
  </si>
  <si>
    <t>20DN0135 (Re-bid) - CONSTRUCTION AND/ OR REPAIR/ REHABILITATION OF MULTI - PURPOSE BUILDING, BRGY. KALAWAAN, BINANGONAN, RIZAL</t>
  </si>
  <si>
    <t>LOCAL ACCESS ROAD UPGRADING AT BARANGAY SAN JOSE</t>
  </si>
  <si>
    <t>SUPPLY AND DELIVERY OF UAV DRONE FOR DIGITALIZATION OF AGRICULTURE VALUE CHAIN IN CACAO AND COFFEE PRODUCTIVITY IN ZAMBOANGA DEL SUR” (DOST IX-20-004)</t>
  </si>
  <si>
    <t>SUPPLY AND DELIVERY OF MATERIALS FOR THE PROJECT, PARTIAL CONSTRUCTION OF SAN ISIDRO E/S COVERED COURT, BARANGAY SAN ISIDRO, CATANAUAN, QUEZON</t>
  </si>
  <si>
    <t>20DN0179 - CONCRETING OF BRGY. MACAMOT FMR PHASE 3, BRGY. MACAMOT, BINANGONAN, RIZAL</t>
  </si>
  <si>
    <t>A.2.4 ULTRASOUND SUPPLIES</t>
  </si>
  <si>
    <t>A.2.2 X-RAY ENVELOPES</t>
  </si>
  <si>
    <t>CONCRETING OF BRGY. ROAD, ASITABA STREET</t>
  </si>
  <si>
    <t>20GEB0058-R1: Procurement/Supply/Delivery of Traffic Counting Machine Accessories for use in Conduct of NRTSP, DPWH – Mindoro Occidental DEO Planning and Design Section (Lubang Field Office)</t>
  </si>
  <si>
    <t>Construction of Water System (So. Balite)</t>
  </si>
  <si>
    <t>20CB-GSC-488	PURCHASE OF IT EQUIPMENT</t>
  </si>
  <si>
    <t>20CB-GSC-487	REHABILITATION OF MITSUBISHI L300 FOR CEO</t>
  </si>
  <si>
    <t>20CB-GSC-486	PURCHASE OF SHOP SUPPLIES FOR CEO</t>
  </si>
  <si>
    <t>A.2.1 DRY FILM FOR COMPUTERIZED RADIOGRAPHY</t>
  </si>
  <si>
    <t>Purchase of office supplies to be use by the different offices of the Municipality (1st and 2nd Quarter 2020)</t>
  </si>
  <si>
    <t>HO-MSD20-008 - Supply and Delivery of Strapping Kit</t>
  </si>
  <si>
    <t>KC : CATERING SERVICE for the conduct of PAMANA CEAC Activities Cycle 2 in the municipality of Mabuhay,ZSP</t>
  </si>
  <si>
    <t>A.2.3 CT SCAN SUPPLIES</t>
  </si>
  <si>
    <t>CONSTRUCTION OF BARANGAY PATHWAY</t>
  </si>
  <si>
    <t>KC : CATERING SERVICE RE: conduct of PAMANA CEAC Activities Cycle 2 in the municipality of Bayog,ZDS</t>
  </si>
  <si>
    <t>Purchase of materials for the construction of isolation rooms of the Municipality</t>
  </si>
  <si>
    <t>For use  at DPWH Quezon I DEO, Lucban, Quezon (Planning &amp; Design Section)</t>
  </si>
  <si>
    <t>AGR-20-0924-B Purchase of AGRICULTURAL SUPPLIES</t>
  </si>
  <si>
    <t>AGR-20-0925-B Purchase of AGRICULTURAL SEEDS</t>
  </si>
  <si>
    <t>REROOFING OF GID WAREHOUSE AND OFFICE AT NFA COMPOUND, MASBATE CITY</t>
  </si>
  <si>
    <t>PROCUREMENT OF  SUPPLY, DELIVERY, INSTALLATION, TESTING AND COMMISSIONING OF PUMPING AND CHLORINATION EQUIPMENT AND GENERATOR SETS</t>
  </si>
  <si>
    <t>“Procurement of Various Materials for the Construction of Drainage Canal along B. Cortez Street”</t>
  </si>
  <si>
    <t>CONSTRUCTION OF WATER SUPPLY AT BAHONG AND MARAGEM</t>
  </si>
  <si>
    <t>CONSTRUCTION OF WATER SUPPLY AT BOKIG AND PITDAO IN BARANGAY PASDONG</t>
  </si>
  <si>
    <t>ROAD CONCRETING AT LINDAIN STREET, BARANGAY DISTRICT 3, CAUAYAN CITY, ISABELA</t>
  </si>
  <si>
    <t>Installation of Street Lights at Sitio Dike</t>
  </si>
  <si>
    <t>ROAD CONSTRUCTION AND BOX CULVERT AT BARANGAY VILLA CONCEPCION, CAUAYAN CITY, ISABELA</t>
  </si>
  <si>
    <t>PROCUREMENT OF OFFICE EQUIPMENT AND SUPPLY (Supply. Delivery of IT Equipment and Airconditioner)</t>
  </si>
  <si>
    <t>IMPROVEMENT OF OFFICE OF THE MUNICIPAL MAYOR</t>
  </si>
  <si>
    <t>Supply and Delivery of Pick Up Vehicle use for Vice Mayor’s Office</t>
  </si>
  <si>
    <t>ROAD CONCRETING AT BARANGAYS CULALABAT - GUAYABAL, CAUAYAN CITY, ISABELA</t>
  </si>
  <si>
    <t>Layout, Printing and Delivery of the OFW Handbook Landbased and Seabased English (ITB 04-2020)</t>
  </si>
  <si>
    <t>SUPPLY AND DELIVERY OF MATERIALS AND LABOR FOR THE REHABILITATION/REPAIR AND REPAINTING OF TWO (2) MITSUBISHI ADVENTURE OF NFA PALAWAN</t>
  </si>
  <si>
    <t>Reinsurance of the Industrial All Risk Insurance of the Department of Transportation – Metro Rail Transit 3 (DOTr-MRT3)</t>
  </si>
  <si>
    <t>Purchase of Solar Street Lights</t>
  </si>
  <si>
    <t>ITB-2020-08-056 PROCUREMENT OF GROCERY ITEMS FOR BANGUN IMPLEMENTATION IN BASILAN PROVINCE</t>
  </si>
  <si>
    <t>Concreting of CII to Tala-o Farm to Market Road</t>
  </si>
  <si>
    <t>Supply and Delivery of Medicines for VMCH Infirmary (2nd Qtr) 2020 at City of Naga, Cebu</t>
  </si>
  <si>
    <t>Supply and Delivery of 140 Units of Laptop and LTE Modem to NMSCST Faculty</t>
  </si>
  <si>
    <t>ROAD CONCRETING AT BARANGAYS RIZAL – SAN FRANCISCO, CAUAYAN CITY, ISABELA</t>
  </si>
  <si>
    <t>Invitation to Bid for Concreting of San Ramon - Centro 1 Farm to Market Road</t>
  </si>
  <si>
    <t>EMERGENCY PURCHASE OF GOODS AND SERVICES 2</t>
  </si>
  <si>
    <t>Anti Rabies and Tetanus Toxoid (Indigent Constituents of the City of Mati-LGU Medical Assistance Program Lingap para sa Mati)</t>
  </si>
  <si>
    <t>Procurement of Alcohol (Ethyl) 150 mL for the City Government of Naga, Cebu</t>
  </si>
  <si>
    <t>various office equipment and other supplies</t>
  </si>
  <si>
    <t>ITB-2020-08-061 PROCUREMENT OF PERISHABLE ITEMS FOR BANGUN IMPLEMENTATION IN SULU PROVINCE</t>
  </si>
  <si>
    <t>2020-085, SUPPLY AND DELIVERY OF I.T. AND OFFICE SUPPLIES FOR VARIOUS SCHOOLS OF MIDSAYAP, COTABATO</t>
  </si>
  <si>
    <t>CONSTRUCTION OF WATERWORKS SYSTEM AT RELOCATION SITE, LINABO, COGON, EL SALVADOR CITY</t>
  </si>
  <si>
    <t>EMERGENCY PURCHASE OF GOODS AND SERVICES 1</t>
  </si>
  <si>
    <t>OFFICE EQUIPMENT(BOOK BINDER AND PAPER CUTTER)/RE-IB No.DE-2020-006</t>
  </si>
  <si>
    <t>SUPPLY AND DELIVERY OF MATERIALS - Construction of Jetmatic Pump (BDF 2018)</t>
  </si>
  <si>
    <t>OFFICE EQUIPMENT(DIGITAL DUPLICATOR, DIGITAL COPIER )/IB No. MM-2020-033(m)</t>
  </si>
  <si>
    <t>LABOR “PAKYAW” - Construction of Jetmatic (BDF 2018)</t>
  </si>
  <si>
    <t>MAINTENANCE OF 3V'S BARANGAY ROAD (CONCRETING)-Barangay Villa Espina Lopez, Quezon</t>
  </si>
  <si>
    <t>Purchase of 7 IN 1 HEALTH MONITORING DEVICE</t>
  </si>
  <si>
    <t>Purchase of Rice Assistance for Person Under Monitoring (PUM).</t>
  </si>
  <si>
    <t>Procurement of Student\s Profiling and Test Materials</t>
  </si>
  <si>
    <t>SUPPLY AND DELIVERY OF PRINTER WITH SCANNER</t>
  </si>
  <si>
    <t>SUPPLY &amp; DELIVERY OF MATERIALS FOR THE IMPROVEMENT AT MULTI-PURPOSE HALL, DAGUP, BAGULIN, lu</t>
  </si>
  <si>
    <t>RFQ 20-08-048P: SUPPLY AND DELIVERY OF VARIOUS DIGITAL WEIGHING SCALE</t>
  </si>
  <si>
    <t>Animal / Zoological Supplies-MAO</t>
  </si>
  <si>
    <t>Services of an ISO 9001:2015 Certifying Body</t>
  </si>
  <si>
    <t>ROAD REBLOCKING AT BARANGAY SAN FERMIN, CAUAYAN CITY, ISABELA</t>
  </si>
  <si>
    <t>Purchase of Office Equipment Supplies and Consumables</t>
  </si>
  <si>
    <t>ESTABLISHMENT OF ECO-TOURISM SPOT, BINUMBUHAN FALLS, BRGY. CARAYCARAY, SAN MIGUEL, LEYTE</t>
  </si>
  <si>
    <t>SUPPLY AND DELIVERY OF VARIOUS MATERIALS FOR THE REPAIR AND MAINTENANCE OF MUNICIPAL HEAVY EQUIPMENTS AT BALABAC, PALAWAN</t>
  </si>
  <si>
    <t>Medical Equipment</t>
  </si>
  <si>
    <t>Construction of Public Parks and Plaza</t>
  </si>
  <si>
    <t>Purchase of 4 in 1 Printer Machines</t>
  </si>
  <si>
    <t>PROPOSED INSTALLATION OF SOLAR POWERED STREETLIGHTS POB. 4</t>
  </si>
  <si>
    <t>REHABILITATION / REPAINT OF MULTIPURPOSE HALL/ BLDG.</t>
  </si>
  <si>
    <t>20PA0137 : REPAIR/MAINTENANCE OF DOST BUILDING, PROVINCIAL SCIENCE AND TECHNOLOGY CENTER BUILDING, Calaba, Bangued, Abra</t>
  </si>
  <si>
    <t>Consulting Services</t>
  </si>
  <si>
    <t>Construction/Repair of Building to Accomodate Covid19 Probable and Suspected Persons</t>
  </si>
  <si>
    <t>ITB-B15-2020</t>
  </si>
  <si>
    <t>Procurement of IT Equipment PR # 2020-07-06-222</t>
  </si>
  <si>
    <t>RFQ - Procurement of Cal 5.56 FMJ Ammunition</t>
  </si>
  <si>
    <t>Procurement of 1 Lot Const. Materials (Construction of Breastfeeding Facility at Brgy. Zone III)</t>
  </si>
  <si>
    <t>SUPPLY AND DELIVERY OF FUEL,OIL AND LUBRICANTS TO BE USED BY MUNICIPAL MAYOR'S SEA CRAFT</t>
  </si>
  <si>
    <t>Procurement of Duplicator</t>
  </si>
  <si>
    <t>REPAIR AND REPAINTING OF KITANG ELEMENTARY SCHOOL BARANGAY KITANG, LIMAY, BATAAN</t>
  </si>
  <si>
    <t>FOD-L-20-2842 (R1): Procurement of Free Range Chickens (Male and Female)</t>
  </si>
  <si>
    <t>Re-bidding: Supply and Delivery of Hotel Property Management System (PMS) Software (PR No. 2020-03-0474)</t>
  </si>
  <si>
    <t>PURCHASE OF CCTV EQUIPMENT INCLUDING REHABILITATION OF CCTV</t>
  </si>
  <si>
    <t>CONSTRUCTION OF OPEN STORGAE AT BARANGAY NEW TUBIGON,SIBAGAT,AGUSAN DEL SUR</t>
  </si>
  <si>
    <t>CONSTRUCTION OF BARANGAY HALL (PHASE I) 2ND FLOOR OF MULTI-PURPOSE BUILDING IN SAN MANUEL</t>
  </si>
  <si>
    <t>Improvement of Basketball Court at Sitio Lourdes, Brgy. Talaga, Capas, Tarlac</t>
  </si>
  <si>
    <t>Purchase of Supplies for COVID-19 Pandemic of Sangguniang Barangay of Banlic</t>
  </si>
  <si>
    <t>PROCUREMENT OF CLOSED CIRCUIT TELEVISION (CCTV) FOR THE MUNICIPALITY OF TUBLAY</t>
  </si>
  <si>
    <t>( PR NO. 20-07-07-0237 SUPPLY AND DELIVERY OF 2 shts MS Plate 4' x 8' x 3/4" thk, 1 sht MS Plate 4' x 8' x 1/2" thk)</t>
  </si>
  <si>
    <t>CONSTRUCTION/ REHABILITATION OF HEALTH CENTER @ SAN JUAN RORO SORSOGON</t>
  </si>
  <si>
    <t>Tayap ES Request for Quotation</t>
  </si>
  <si>
    <t>DELIVERY AND SUPPLY OF 1 UNIT GARBAGE MOTOR VEHICLE</t>
  </si>
  <si>
    <t>Purchase &amp; Delivery of Office Supplies &amp; Consumables for the Office of SPM Elpidio Sr. A. Quines</t>
  </si>
  <si>
    <t>SUPPLY AND DELIVERY OF CONSTRUCTION MATERIALS FOR THE CONCRETING OF BARANGAY ROADS (L=83m, W=5m, T=0.23m)</t>
  </si>
  <si>
    <t>PROCUREMENT OF EIGHT UNIT DESKTOP COMPUTER WITH COMPLETE ACCESSORIES AND COMPUTER STAND</t>
  </si>
  <si>
    <t>Supply and Delivery of Two (2) Units Reefer Van in Support to KADIWA on Wheels Activities</t>
  </si>
  <si>
    <t>REQUEST FOR EXPRESSION OF INTEREST FOR THE CONSULTANCY SERVICES FOR INSTALLATION OF A FINANCIAL AND INVENTORY MANAGEMENT SYSTEM FOR MAHAYAG FARMERS MULTI-PURPOSE COOPERATIVE(MAFAMCO) OF THE SALUG VALL</t>
  </si>
  <si>
    <t>SUPPLY AND DELIVERY OF CONSTRUCTION MATERIALS FOR THE CONSTRUCTION OF HEALTH CENTER KITCHEN WITH COMFORT ROOM</t>
  </si>
  <si>
    <t>Supply and delivery of Materials for Installation of Water Supply System of various barangay, Mauban, Quezon.</t>
  </si>
  <si>
    <t>Procurement of Cleaning and Disinfecting Supplies</t>
  </si>
  <si>
    <t>Purchase of mixed gravel and sand for the const./rehab of road (regravelling) at Mocag,  Baggao, Cagayan</t>
  </si>
  <si>
    <t>Supply and delivery of 3 units Ondoy Boat to be used during emergency response in flood prone barangay of Mauban, Quezon.</t>
  </si>
  <si>
    <t>Supply / Delivery of Medical, Dental and Laboratory Supplies</t>
  </si>
  <si>
    <t>PURCHASE AND DELIVERY OF FOOD SUPPLIES FOR SFP IN KIANGAN AND ASIPULO, IFUGAO</t>
  </si>
  <si>
    <t>REHABILITATION/IMPROVEMENT OF POBLACION TO SILJAGON FMR,  MAPANAS, NORTHERN SAMAR</t>
  </si>
  <si>
    <t>Procurement of RHU 2020 Medical Instrument Lot 4- Rebidding</t>
  </si>
  <si>
    <t>Procurement of RHU 2020 Medical Instrument Lot 3- Rebidding</t>
  </si>
  <si>
    <t>Procurement of RHU 2020 Oxygen Tank with Gauge in Trolley or Rack (20L)- Rebidding</t>
  </si>
  <si>
    <t>Supply and delivery of Office Supplies, Mayor's Office, Mauban, Quezon.</t>
  </si>
  <si>
    <t>Procurement of Medical Equipment for Taglatawan Hygienic Clinic- Hygienic- Rebidding</t>
  </si>
  <si>
    <t>Office Supplies &amp; Consumable for NOLI-2020-0034</t>
  </si>
  <si>
    <t>Procurement of RHU 2020 Refrigerator- Rebidding</t>
  </si>
  <si>
    <t>Construction of Barangay Streets (Openning)</t>
  </si>
  <si>
    <t>DRL-20-0327-B PURCHASE OF DIGITAL COPIER PRINTER SCANNER</t>
  </si>
  <si>
    <t>Purchase of 1 unit laptop, 1 unit aircondition 0.5HP, 3 units refrigerator and 2 units industrial stand Fan (big</t>
  </si>
  <si>
    <t>Installation of Solar Streetlight Various Location, Barangay Ilayang Talim, Lucena City</t>
  </si>
  <si>
    <t>Installation of Assessment and Warning Devices in Major Rivers</t>
  </si>
  <si>
    <t>20GAF0056SVP – REPAIR/MAINTENANCE OF VARIOUS NATIONAL ROADS AND BRIDGES WITHIN LA UNION SECOND DISTRICT ENGINEERING OFFICE (SUPPLY/PURCHASE OF MAINTENANCE CREW UNIFORM AND PERSONAL PROTECTIVE EQUIPMEN</t>
  </si>
  <si>
    <t>Food Packs for Nutrition Month Celebration Municipal Nutrition Office</t>
  </si>
  <si>
    <t>20-07-599 Purchase of Plastic Chairs (Monoblock Chairs) for LGU General Services Activities</t>
  </si>
  <si>
    <t>Supply and Delivery of Audio/Visual and Consumable supplies</t>
  </si>
  <si>
    <t>Repair/Maintenance of DPWH Building Staffhouse/Multi-Purpose Building, Isabela City, Basilan</t>
  </si>
  <si>
    <t>Construction of Multi Purpose Building at Barangay Pto. Rivas Lote,City of Balanga, Bataan</t>
  </si>
  <si>
    <t>20GAF0057SVP – SUPPLY/PURCHASE OF MEASURING TOOLS AND OFFICE SUPPIES FOR CONSTRUCTION, DPWH LUSDEO, NATIVIDAD, NAGUILIAN, LA UNION</t>
  </si>
  <si>
    <t>Construction of Child Care/Training Center at Barangay Bagong Silang, City of Balanga, Bataan</t>
  </si>
  <si>
    <t>Construction of Covered Pathwalk at GL David Elementary School at Barangay Upper Tuyo, City of Balanga, Bataan</t>
  </si>
  <si>
    <t>PURCHASE OF BOND PAPER LEGAL SIZE</t>
  </si>
  <si>
    <t>Improvement of Bataan Tourism Park at Barangay Tenejero, City of Balanga, Bataan</t>
  </si>
  <si>
    <t>Concreting of Pavement at Cupang Elementary School at Barangay Cupang, City of Balanga, Bataan</t>
  </si>
  <si>
    <t>Concreting of Cantapoy Barangay Road</t>
  </si>
  <si>
    <t>Purchase of Ambulance for Brgy. Apsayan, Gerona, Tarlac</t>
  </si>
  <si>
    <t>Construction of Multi Purpose Building (Health Center &amp; BLH) at Barangay Tanato, City of Balanga, Bataan</t>
  </si>
  <si>
    <t>Construction of Drainage System at Kamagong Street, at Barangay San Jose, City of Balanga, Bataan</t>
  </si>
  <si>
    <t>Supply and delivery to the Districts on the Reproduction of K to 12 Modules for the Implementation of Basic Education Learning Continuity Plan (BE-LCP)</t>
  </si>
  <si>
    <t>FOD-C-20-2993: Procurement of Various Inorganic Fertilizer</t>
  </si>
  <si>
    <t>Concreting of Pavement at M.Delos Reyes Elementary School at Barangay Pto. Rivas Itaas, City of Balanga, Bataan</t>
  </si>
  <si>
    <t>20KD0070 - Concreting of Brgy. Agusan FMR, Brgy. Agusan, Cagayan de Oro City, Misamis Oriental</t>
  </si>
  <si>
    <t>CONSTRUCTION OF MULTI-PURPOSE ALL WEATHER FACILITY</t>
  </si>
  <si>
    <t>Installation of CCTV along Strategic Areas</t>
  </si>
  <si>
    <t>CONSTRUCTION OF MULTI-PURPOSE DRYING PAVEMENT OF BRGY. BALAWEG-PHASE II</t>
  </si>
  <si>
    <t>PROVISION OF AGRICULTURAL INPUTS</t>
  </si>
  <si>
    <t>Supply and delivery of Supplies and Equipment</t>
  </si>
  <si>
    <t>Procurement of RHU 2020 Medical Instrument Lot 2- Rebidding</t>
  </si>
  <si>
    <t>PROVISION OF AGRICULTURAL MACHINERIES, EQUIPMENT &amp; ACCESSORIES</t>
  </si>
  <si>
    <t>Public Bidding for the Concreting of Farm to Market Road at Sitio Proper to Sitio Rosal, Brgy. Mongpong, Roxas City, Under ITB No. 2020-014C</t>
  </si>
  <si>
    <t>CONSTRUCTION OF PATHWAY PAVING OF BRGY. POB. WEST</t>
  </si>
  <si>
    <t>INFRA2020-IPP-010 Supply of Labor and Materials- Replaced Ceiling and Repair of Flooring of MRSQ Housing Quarter No. 11 at NPC Mindanao Generation, Maria Cristina, Iligan City.</t>
  </si>
  <si>
    <t>Public Bidding for the Concreting of Farm to Market Road at Brgy. Milibili, Roxas City, Under ITB No. 2020-015C</t>
  </si>
  <si>
    <t>SCHOOL SUPPLY AND INSTRUCTIONAL MATERIALS OF SHS-PANGANTUCAN NHS</t>
  </si>
  <si>
    <t>REHABILITATION OF ROADS WITH DRAINAGE AND SOLAR POWERED STREET LIGHTS, LANDSCAPING OF SPACES NEAR OPU-ACIU AND CONSTRUCTION OF GUARD HOUSE AT GATE 2</t>
  </si>
  <si>
    <t>Public Bidding for the Concreting of Cabug-Cabug – Bayuyan – Yating – Tabun-acan Provincial Road (Portion), Under ITB No. 2020-013C</t>
  </si>
  <si>
    <t>Establishment of Feedmills in the Local Government Units (Establishment of Bataan Feed Manufacturing Plant) Construction of Warehouse at Barangay Cupang Proper, City of Balanga, Bataan</t>
  </si>
  <si>
    <t>Procurement of SPED Instructional Materials and Assessment Tools for the use of SPED Learners at Saluysoy Integrated School, City of Meycauayan, Bulacan</t>
  </si>
  <si>
    <t>Construction of CPSO 3rd Floor Building at Barangay Ibayo, City of Balanga, Bataan</t>
  </si>
  <si>
    <t>PROCUREMENT OF FOOD STUFF FOR 4TH QUARTER 2020</t>
  </si>
  <si>
    <t>SUPPLY AND DELIVERY OF ELECTRICAL AND HARDWARE MATERIALS FOR STREET LIGHTING PROJECT IN SITIO MALALAG</t>
  </si>
  <si>
    <t>Supply and Delivery of P.E. Hose and P.E Coupling for the Improvement of Water System of Purok 6, Barangay Balangbalang</t>
  </si>
  <si>
    <t>Construction of Leachate Treatment Facility for the Garbage Open Dumpsite in Bgry. Bonbonon, Iligan City</t>
  </si>
  <si>
    <t>Construction of Basketball Stand @ P-7, Bacong, Ligao, City</t>
  </si>
  <si>
    <t>INVITATION TO BID FOR SUPPLY AND DELIVER OF AGRICULTURAL FERTILIZER</t>
  </si>
  <si>
    <t>PURCHASE OF PARAPHERNALIAS</t>
  </si>
  <si>
    <t>Concreting of Kaluntay Rogan Farm Road(2020-07-001)</t>
  </si>
  <si>
    <t>PROVISION OF MATERIALS FOR THE CONSTRUCTION OF DRAINAGE CANAL –    SEWER SYSTEM 690 Lm PHASE I</t>
  </si>
  <si>
    <t>20GKF0046-Purchase of Desktop Computer and Printer (Photocopy, Print, Scan) for use in Quality Assurance Section</t>
  </si>
  <si>
    <t>Purchase of Medical Supplies for Laboratory, RHU-Pagsanghan, Samar</t>
  </si>
  <si>
    <t>SUPPLY AND DELIVERY OF SOFTWARE WITH HARDWARE AND TRAINING STAND-ALONE LICENSE POWER SYSTEM ANALYSIS OF WMTSD</t>
  </si>
  <si>
    <t>Purchase of Hardware, Construction &amp; Lumber Materials- Repair of Concrete Drainage Canal, Brgy. Canlapwas, Pagsanghan, Samar</t>
  </si>
  <si>
    <t>S3-SCL20-014 &amp; 4 OTHERS - Supply and Delivery of Various Electrical Spare Parts of Perkins Generator Sets of SPUG WMOD Plants</t>
  </si>
  <si>
    <t>Contract for the Supply of Various Spare Parts (Kit Mimic Panel HMI, Fuse 200A, Fuse 10A, etc.) under PR No. RS-0620-008 and ITB No. 2007-038-01</t>
  </si>
  <si>
    <t>S3-CTW20-024 &amp; 4 OTHERS - Supply and Delivery of Various Electrical Spare Parts of Cummins Generator sets under SPUG WMOD Plants</t>
  </si>
  <si>
    <t>S1-BRS20-014 - Supply, Delivery, Installation and Test of 2 x 60m3 Fuel Oil Storage for San Pascual DPP Including Construction of Associated Facilities</t>
  </si>
  <si>
    <t>School and INstructional Materials of Pangantucan Nationl HIgh School JHS</t>
  </si>
  <si>
    <t>20AD0097 : Construction of Candon Sports Complex, Phase II, Bagani Campo, Candon City, Ilocos Sur</t>
  </si>
  <si>
    <t>Repair/ Improvement of Mun. Bldg. ground floor CR</t>
  </si>
  <si>
    <t>Construction of Hanging Bridge (Sitio Riverside, Ilayang Tayuman)</t>
  </si>
  <si>
    <t>Improvement of Multi-Purpose Hall (CR) - Luna</t>
  </si>
  <si>
    <t>REHABILITATION OF BARANGAY ROAD AT SWEETLAND, BUENAVISTA, BOHOL</t>
  </si>
  <si>
    <t>ITB No. 2020-I-P9-01: Continuation &amp; Improvement of Various Infra Projects</t>
  </si>
  <si>
    <t>HFW : PSYCHOLOGICAL TEST AND ASSESSMENT MATERIALS OF HOME FOR WOMEN CLIENT</t>
  </si>
  <si>
    <t>Procurement of Electro-Mechanical,Piping Distribtution,Electrical,Water Treatment Facilities and Civil Works for the Construction of San Roque Pumping Stationn</t>
  </si>
  <si>
    <t>Procurement of  Materials</t>
  </si>
  <si>
    <t>PURCHASE MATERIALS FOR THE ROAD OPENING/REHABILITATION OF FARM TO MARKET ROAD (FMR), LGU-Banga, South Cotabato</t>
  </si>
  <si>
    <t>S3-KDP20-008 - Supply and Delivery of Various Mechanical Spare Parts 600kW Cummins with Engine No: 41238156 and S.O No. SO66416</t>
  </si>
  <si>
    <t>LOCAL ACCESS ROAD (Brgy. Lusacan)</t>
  </si>
  <si>
    <t>Supply and Delivery of HM Furnitures</t>
  </si>
  <si>
    <t>LABOR AND MATERIALS FOR THE CONSTRUCTION OF FIBERGLASS REINFORCED PLASTIC (FRP) BOATS FOR SPECIAL AREAS FOR AGRICULTURAL DEVELOPMENT (SAAD) PROGRAM/PROJECT IMPLEMENTATION IN THE PROVINCE OF MISAMIS OC</t>
  </si>
  <si>
    <t>Improvement of Holding Area (MSWD)</t>
  </si>
  <si>
    <t>ITB No. 2020-I-P8-01: Construction &amp; Improvement of Various Infra Projects</t>
  </si>
  <si>
    <t>Procurement of Security Services</t>
  </si>
  <si>
    <t>HO-SBP20-001 - Service Contract for the Conduct of NPC's Customer Satisfaction Rating Survey for CY 2020</t>
  </si>
  <si>
    <t>20AD0098 : Construction of Candon Sports Complex, Phase I, Bagani Campo, Candon City, Ilocos Sur</t>
  </si>
  <si>
    <t>CONSTRUCTION OF MECHANICAL DRYER</t>
  </si>
  <si>
    <t>INVITATION TO BID FOR PURCHASE OF MATERIALS FOR  REHABILITATION OF TALISAYAN CENTRAL SCHOOL BUILDING</t>
  </si>
  <si>
    <t>Concreting of Buadiamaloy Road(2020-07-002)</t>
  </si>
  <si>
    <t>Supply and Delivery of Agricultural Implements ITB No. 2020-170A</t>
  </si>
  <si>
    <t>Procurement of Various Agricultural Machineries/ Farm Equipment under CRFPS program of DAR-Laguna</t>
  </si>
  <si>
    <t>Centennial Year Projects (Centennial of Museum)</t>
  </si>
  <si>
    <t>Procurement of Materials for the Installation of Street Lights (14 Units)</t>
  </si>
  <si>
    <t>HFW : CONDUCT OF RAPID ANTIBODY TEST AND PPEs FOR HOME FOR WOMEN.</t>
  </si>
  <si>
    <t>REHABILITATION OF DRAINAGE ALONG MONTEVERDE AVE., BARANGAY 30-C, POBLACION, DAVAO CITY</t>
  </si>
  <si>
    <t>Invitation to Bid for MHO-Medicines</t>
  </si>
  <si>
    <t>Public Bidding for the Proposed Construction of Multi-Purpose Covered Court @ Brgy. San Ramon, Pilar, Capiz, Under ITB No. 2020-016C</t>
  </si>
  <si>
    <t>Completion of Covered Court/Evacuation Center @ South Poblacion, Medina, Mis. Or.</t>
  </si>
  <si>
    <t>SUPPLY AND DELIVERY  OF MATERIALS FOR THE CONSTRUCTION OF SOLAR DRIER, PUROK 6, CAIMPUGAN, SAN FRANCISCO, AGUSAN DEL SUR</t>
  </si>
  <si>
    <t>CONSTRUCTION OF PUBLIC TOILET FOR THE BRGY.GYM</t>
  </si>
  <si>
    <t>CP 2020-49 BIDDING FOR JANITORIAL SERVICES FOR THE PERIOD OCTOBER 01, 2020 TO SEPTEMBER 30, 2023</t>
  </si>
  <si>
    <t>Invitation to Bid for PROCUREMENT OF TABLETS</t>
  </si>
  <si>
    <t>20GFL0004-Procurement of gasoline/diesel and oil for use in the operation of DPWH Sorsogon 2nd DEO various vehicle and equipment</t>
  </si>
  <si>
    <t>Fabrication/Installation of 216pcs Signages/Billboards</t>
  </si>
  <si>
    <t>ITB No. 2020-07-29 SUPPLY AND DELIVERY OF  VARIOUS LIVESTOCK</t>
  </si>
  <si>
    <t>Supply and Delivery of Materials for the Concreting of Drainage System of Purok 1, 2, 3 &amp; 4 at BLGU Aguinaldo, Laak, Davao De Oro</t>
  </si>
  <si>
    <t>Public Bidding for the Proposed Construction of Multi-Purpose Covered Court @ Brgy. Poblacion Ilaya, Panitan, Capiz, Under ITB No. 2020-017C</t>
  </si>
  <si>
    <t>Supply and Delivery of Materials for the Rehabilitation of Covered Court Comfort Room of BLGU Aguinaldo, Laak, Davao De Oro</t>
  </si>
  <si>
    <t>CP 2020-45 BIDDING FOR THE SUPPLY,DELIVERY AND INSTALLATION OF STRAWBERRY GREENHOUSES AND OTHERS INCLUDING TRAINING C/O CVAO</t>
  </si>
  <si>
    <t>REPAIR/REHABILITATION OF  FARM TO MARKET ROAD</t>
  </si>
  <si>
    <t>Development of the proposed evacuation site at Manghinao Proper, Bauan, Batangas</t>
  </si>
  <si>
    <t>SUPPLY OF DIESOLINE AND SPL GAS FOR THE  CONSUMPTION OF THE DIFFERENT VEHICLE/OFFICES  OF LGU-MOLAVE, ZDS</t>
  </si>
  <si>
    <t>LOCAL ACCESS ROAD REHABILITATION/IMPROVEMENT</t>
  </si>
  <si>
    <t>B20200201 - BOOKS FOR SENIOR HIGH SCHOOL STUDENTS</t>
  </si>
  <si>
    <t>NEGOTIATION DUE TO TWO FAILED BIDDINGS FOR SUPPLY &amp; DELIVERY OF LABORATORY SUPPLIES – BLOOD BANK REAGENT - I</t>
  </si>
  <si>
    <t>PURCHASE OF XEROX MACHINE &amp; PRINTER</t>
  </si>
  <si>
    <t>B20200289 - MEDICAL OXYGEN STD FOR DAVAO DEL NORTE HOSPITAL, IGACOS ZONE</t>
  </si>
  <si>
    <t>CP 2020-52 BIDDING FOR THE SUPPLY AND DELIVERY OF ONE (1) UNIT INSULATED MANLIFT TRUCK C/O CEO</t>
  </si>
  <si>
    <t>NEGOTIATION DUE TO TWO FAILED BIDDINGS FOR SUPPLY &amp; DELIVERY OF LABORATORY SUPPLIES – BACTERIOLOGY REAGENTS - I</t>
  </si>
  <si>
    <t>RE-BIDDING FOR SUPPLY &amp; DELIVERY OF LABORATORY SUPPLIES – IMMUNOLOGY/SEROLOGY REAGENT – IV</t>
  </si>
  <si>
    <t>LOCAL ACCESS ROAD (Brgy. Lagalag)</t>
  </si>
  <si>
    <t>Purchase of Monobloc Tables and Chairs</t>
  </si>
  <si>
    <t>IMPROVEMENT OF WATER AND SANITATIONS</t>
  </si>
  <si>
    <t>CP 2020-51 BIDDING FOR THE SUPPLY AND DELIVERY OF VARIOUS TIRES C/O GSO</t>
  </si>
  <si>
    <t>Supply and Delivery of One (1) Unit Dinghy and One (1) Unit Rescue Cutter with Complete Accessories</t>
  </si>
  <si>
    <t>B20200291 - FURNITURES AND FIXTURES FOR PROVINCILA GOVERNORS OFFICE</t>
  </si>
  <si>
    <t>PURCHASE OF 12 SETS COMPUTER DESKTOP WITH PRINTER, CAMERA, MONITOR AND HEADSET FOR VIRTUAL SESSION OF SB</t>
  </si>
  <si>
    <t>20HF0101 Concreting of Brgy. Tubod FMR, Brgy. Tubod, Barili, Cebu</t>
  </si>
  <si>
    <t>PURCHASE OF SEEDLINGS FOR THE DEVELOPMENT OF ECO-PARK AT CIVOLEG, BRGY. LUNOTAN UNDER P.R. NO. 50-20-07-059</t>
  </si>
  <si>
    <t>ICT EQUIPMENTS - LAWIN</t>
  </si>
  <si>
    <t>Supply and Delivery of floor rags, 32" TV Bracket, Towel, Bed Sheet and mop ( G-082-0539-20 )</t>
  </si>
  <si>
    <t>Invitation to Bid (Baler, Aurora)(Imus City, Cavite)</t>
  </si>
  <si>
    <t>20GEF015 Supply and Delivery of Spare Parts for use in the Preventive Maintenance of Service Vehicles assigned to District Engineer of DPWH Palawan 2nd DEO Narra, Palawan</t>
  </si>
  <si>
    <t>20GEF014 Supply and Delivery of Materials for Repair/ Maintenance of safety Devices/Signages along National Roads and Bridges Palawan II District Engineering Office (all Road Section)</t>
  </si>
  <si>
    <t>B20200290 - AGRICULTURAL SUPPLIES FOR LABORATORY FOR PRODUCTION OF TISSUE CULTURE PLANTLETS</t>
  </si>
  <si>
    <t>20GEF013 Cluster VII – 1. Supply and Delivery of Office equipment for use in the Office of the District Engineer 2. Supply and Delivery of Semi-Expendable Furniture &amp; Fixtures and Furniture &amp; Fixtures</t>
  </si>
  <si>
    <t>Supply and Delivery of Job Order Installation of Sliding Doors, Window &amp; Swing Doors and Window Blinds ( G-081-0538-20 )</t>
  </si>
  <si>
    <t>CONSTRUCTION OF NEW EVACUATION CENTER</t>
  </si>
  <si>
    <t>(20NH0093)Concreting of Brgy. Magsaysay to Brgy. Songkit FMR, Brgy. Magsaysay and Brgy. Songkit, Madrid, Surigao del Sur</t>
  </si>
  <si>
    <t>NEGOTIATION DUE TO TWO FAILED BIDDINGS FOR SUPPLY &amp; DELIVERY OF LABORATORY SUPPLIES - GENERAL SUPPLIES</t>
  </si>
  <si>
    <t xml:space="preserve">20GEF011 (Re-bid 1) Supply and Delivery of IT equipment, Parts Tools and Software for Installation and Configuration of Communication Networking Equipment including System Integration of DPWH Palawan </t>
  </si>
  <si>
    <t>20HF0100 Construction of One (1) Unit – Four (4) Storey, Twelve (12) CL, Modified Standard DPWH-DepEd Std. School Building at Minolos Integrated School (Option 3 - Computer Laboratory), Barili, Cebu</t>
  </si>
  <si>
    <t>Equipment for Banana Tissue Culture Laboratory</t>
  </si>
  <si>
    <t>Public Bidding for the Proposed Construction of Multi-Purpose Covered Court @ Brgy. Quios, Panitan, Capiz, Under ITB No. 2020-018C</t>
  </si>
  <si>
    <t>BIDDING FOR SUPPLY &amp; DELIVERY OF ENGINEERING SUPPLIES – PAINTING - II</t>
  </si>
  <si>
    <t>CONSTRUCTION OF CENTRAL MATERIALS RECOVERY FACILITY AT STA. LUCIA</t>
  </si>
  <si>
    <t>IMPROVEMENT OF EVACUATION CENTER</t>
  </si>
  <si>
    <t>BIDDING FOR SUPPLY &amp; DELIVERY OF ENGINEERING SUPPLIES – MASONRY &amp; CARPENTRY - II</t>
  </si>
  <si>
    <t>PURCHASE AND DELIVERY OF MATERIALS FOR THE CONSTRUCTION OF CAN-AVID MARKER AT CAN-AVID GREAT PARK, Brgy. 7 Poblacion, Can-avid Eastern Samar</t>
  </si>
  <si>
    <t>INSTALLATION OF WATER METER</t>
  </si>
  <si>
    <t>Invitation to Bid for PROCUREMENT OF EQUIPMENT FOR COMPUTER ROOMS  AND COMMUNITY LEARNING HUBS</t>
  </si>
  <si>
    <t>CP 2020-50 BIDDING FOR THE SUPPLY, DELIVERY AND INSTALLATION OF FILE COMPACTOR C/O LCR</t>
  </si>
  <si>
    <t>Concreting of Local Road at Zone 3, Inapatan, Nabua, Camarines Sur</t>
  </si>
  <si>
    <t>HFW : GROCERY ITEMS FOR THE CONSUMPTION OF HOME FOR WOMEN FOR 2nd SEM. 2020</t>
  </si>
  <si>
    <t>Public Bidding for the Proposed Construction of Multi-Purpose Covered Court @ Brgy. Bilao, Sapian, Capiz, Under ITB No. 2020-012C</t>
  </si>
  <si>
    <t>procurement of irrigation hose</t>
  </si>
  <si>
    <t>PURCHASE AND DELIVERY OF OFFICE EQUIPMENTS, RHU, Can-avid Eastern Samar</t>
  </si>
  <si>
    <t>LOCAL ACCESS ROAD (Brgy. Bukal)</t>
  </si>
  <si>
    <t>IBTGH No. 2020-009 Construction of Outpatient Department Extension Building of Talavera General Hospital</t>
  </si>
  <si>
    <t>Procurement of ICT Equipment in response to the New Normal Education for the use of Public School Teachers in the City of Meycauayan, Bulacan</t>
  </si>
  <si>
    <t>20GAF0055SVP – SUPPLY/PURCHASE OF GOODS IN THE MAINTENANCE SERVICES FOR AUTOMATED TRAFFIC DATA COLLECTION PROGRAM, LA UNION SECOND DISTRICT ENG’G. OFFICE (2ND DISTRICT OF LA UNION)</t>
  </si>
  <si>
    <t>Representation Expenses (OJ4-207,611.78)</t>
  </si>
  <si>
    <t>PROCUREMENT OF VARIOUS LABORATORY CONSUMABLES FOR CALAPAN LABORATORY CY 2020 (2ND POSTING)</t>
  </si>
  <si>
    <t>20KJ0189: Repair/Maintenance of Flood Control and Drainage Structures along Labuyo-Tangub-Silanga Road, K1684+500, Tangub City, Misamis Occidental</t>
  </si>
  <si>
    <t>PROCUREMENT OF AGRICULTURE INPUTS AND SUPPLIES</t>
  </si>
  <si>
    <t>SUPPLY &amp; DELIVERY OF DRUGS AND MEDICINES FOR LGU-BORONGAN CITY, EASTERN SAMAR</t>
  </si>
  <si>
    <t>20HF0102 Concreting of Brgy. Lamac to Brgy. Camugao FMR, Brgy. Lamac and Brgy. Camugao, Pinamungahan, Cebu</t>
  </si>
  <si>
    <t>Procurement of Personal Protective Equipment (PPE) for the Implementation of Basic Education Learning Continuity Plan (BELCP)</t>
  </si>
  <si>
    <t>B20200297 - PRINTER FOR VARIOUS SCHOOLS IN DAVAO DEL NORTE PROVINCE</t>
  </si>
  <si>
    <t>HFW: OCCUPATIONAL THERAPIST  &amp; PHYSICAL THERAPIST FOR  HOME FOR WOMEN.</t>
  </si>
  <si>
    <t>ESTABLISHMENT OF NAVAL MUNICIPAL WATERWORKS SYSTEM PROJECTS (PHASE I)</t>
  </si>
  <si>
    <t>PROCUREMENT OF LGU BAND EQUIPMENTS</t>
  </si>
  <si>
    <t>REHABILITATION OF BRGY. CADACAD CIS</t>
  </si>
  <si>
    <t>Purchase and Delivery of Office Equipment</t>
  </si>
  <si>
    <t>B20200295 - OTHER SUPPLIES FOR WASHABLE FACE MASK MAKING FOR PADO-EWDD USE</t>
  </si>
  <si>
    <t>SUPPLY AND CELIVERY OF MATERIALS FOR THE CONCRETING OF TIRE PATH AT SITIO KAWAYAN, CARDIZ</t>
  </si>
  <si>
    <t>Construction of Quarantine Facility Building (materials, labor &amp; equiptment rental) Brgy.San Roque</t>
  </si>
  <si>
    <t>PURCHASE/ INSTALLATION OF CCTV</t>
  </si>
  <si>
    <t>B20200298 - LUBRICANTS FOR VARIOUS PROV'L. EQUIPMENT FOR PROV'L. ROADS AND BRIDGES</t>
  </si>
  <si>
    <t>Improvement of the Luis Hora Gym</t>
  </si>
  <si>
    <t>20GP0073-Construction of 3STY9CL, Vicente Fabuna ES, Cuartero, Capiz</t>
  </si>
  <si>
    <t>Supply and Delivery of Bottom Set Gill Net intended for SAAD Beneficiaries in Matnog Sorsogon</t>
  </si>
  <si>
    <t>MA-A2O20-003 Air Filter</t>
  </si>
  <si>
    <t>B20200296 - SEEDLINGS FOR CONDUCT OF TREE PLANTING ACTIVITY - PENRO</t>
  </si>
  <si>
    <t>Procurement of Various Aggregates Supplies-07-452(O)PEO</t>
  </si>
  <si>
    <t>Procurement of 17,857 liters Crude Oil</t>
  </si>
  <si>
    <t>Rebidding: 2 units Solid Panel Door (D-1) 0.90m x 2.10m and other items for construction of two storey multi-purpose building (Phase I) at Purok Gabi at Barangay Tabuc-tubig 1st Revision.</t>
  </si>
  <si>
    <t>CONSTRUCTION OF BRGY. MISSION CIS</t>
  </si>
  <si>
    <t>Purchase of CCTV Recorder to be installed along Gen. Luna St., Brgy. Maly to Brgy. Banaba, San Mateo, Rizal</t>
  </si>
  <si>
    <t>ITB 07-005-20 Drugs and Biologics for Department of Agriculture IX (LIVESTOCK PROGRAM 2020)</t>
  </si>
  <si>
    <t>B20200293 - DRUGS AND MEDICINE FOR PROVINCIAL HEALTH OFFICE MEDICAL OUTREACH / WALK IN CLIENTS</t>
  </si>
  <si>
    <t>CONSTRUCTION OF STREET LIGHTING FOUNDATION INCLUDING POLE INSTALLATION AT LIMAY PUBLIC MARKET</t>
  </si>
  <si>
    <t>ITB 07-007-20 Supply and Delivery of Assorted Vegetable Seeds (DA IX-HVCDP 2020)</t>
  </si>
  <si>
    <t>Construction of Lined Canal within Barangay Malalag</t>
  </si>
  <si>
    <t>Provision Of Runway Markers And Markings At Bulan Airport – 3rd SVP</t>
  </si>
  <si>
    <t>Improvement of Barangay Road</t>
  </si>
  <si>
    <t>Improvement of Multi-purpose Hall</t>
  </si>
  <si>
    <t>PURCHASE OF SCHOOL EQUIPMENT &amp; SUPPLIES</t>
  </si>
  <si>
    <t>CONSTRUCTION OF CONCRETE FENCE</t>
  </si>
  <si>
    <t>Supply and Delivery of Tablet and Desktop Computer (Brand New and Branded) of DepEd Alaminos District</t>
  </si>
  <si>
    <t>Purchase and delivery of Residual Processing Machines to be used in the operation and implementation of Municipal Ecological Solid Waste Maangement</t>
  </si>
  <si>
    <t>MODIFICATION OF BOX CULVERT AND RIPRAPPING OF OUTFALL AT PUROK 2 BRGY. SF II</t>
  </si>
  <si>
    <t>ITB 07-006-20 Supply and Delivery of 2,005 bags of CORN SEEDS OPV</t>
  </si>
  <si>
    <t>Construction of Perimeter Fence at Material Recovery Facility ( MRF)</t>
  </si>
  <si>
    <t>20GP0074-Construction of 2STY6CL, Mahabang Sapa PS, Cuartero, Capiz</t>
  </si>
  <si>
    <t>PROCUREMENT OF ITEM 201 (CLASS A) FOR THE REHABILITATION/MAINTENANCE OF INFRES ROADS AND OTHER LOCAL ROADS ( SPORADIS) AT DIFFERENT BARANGAYS</t>
  </si>
  <si>
    <t>PROCUREMENT OF HARDWARE MATERIALS AND EQUIPMENT RENTAL FOR THE REHABILITATION OF MULTIPURPOSE BUILDING (MARKET OFFICE)</t>
  </si>
  <si>
    <t>Procurement of Various Construction Supplies and Materials-02-124(O)PEO</t>
  </si>
  <si>
    <t>REHABILITATION OF  MULTI PURPOSE  BUILDING- Barangay  Dalnac, Paracale,Camarines  Norte</t>
  </si>
  <si>
    <t>Procurement of Barangay Office Equipment</t>
  </si>
  <si>
    <t>20KF0135 - Rehabilitation of Public Market in Brgy. Poblacion, Maigo, Lanao del Norte</t>
  </si>
  <si>
    <t>PROCUREMENT OF HARDWARE MATERIALS AND EQUIPMENT RENTAL FOR THE CONSTRUCTION/REHABILITATION OF OTHER PUBLIC FACILITIES (IMPROVEMENT OF PUBLIC CEMETERY), BRGY. BIGAAS</t>
  </si>
  <si>
    <t>Procurement of Various Construction Supplies and Materials-07-401(O)PEO</t>
  </si>
  <si>
    <t>SJADS GOODS 20-10: PROCUREMENT OF SPAREPARTS FOR HEAVY EQUIPMENT</t>
  </si>
  <si>
    <t>Supply of ten (1) units Battery Pack for ABB Electromagnetic Flowmeter</t>
  </si>
  <si>
    <t>CONCRETING OF AMBALLO NORTH-AMBALLO SOUTH FTMR (Portion)</t>
  </si>
  <si>
    <t>Provision Of Runway Markers And Markings At Bacon Airport – 3rd SVP</t>
  </si>
  <si>
    <t>Supply/Delivery of 2 sets P.A. (Public Address) Speaker System with 2-Speaker Stands</t>
  </si>
  <si>
    <t>Supply of three (3) units Transmitter for Electromagnetic Flowmeter (AC powered and DC powered)</t>
  </si>
  <si>
    <t>Improvement of FTMR at Sitio Sinigpit and Construction of Slope Protection Along Creek Near Potable Water Reservoir</t>
  </si>
  <si>
    <t>Supply of one (1) unit Printer, Multifunction</t>
  </si>
  <si>
    <t>NEGOTIATION DUE TO TWO FAILED BIDDINGS FOR SUPPLY &amp; DELIVERY OF LABORATORY SUPPLIES – HISTOPATHOLOGY REAGENTS- I</t>
  </si>
  <si>
    <t>NEGOTIATION DUE TO TWO FAILED BIDDINGS FOR SUPPLY &amp; DELIVERY OF LABORATORY SUPPLIES – HEMATOLOGY REAGENTS – II</t>
  </si>
  <si>
    <t>Provide Hauling Services for the Shipment of Various Spare Parts &amp; Materials from SPUG-MOD Warehouse, Zamboanga City to Manuk Mangkaw DPP (S3-MAN20-017)</t>
  </si>
  <si>
    <t>SUPPLY AND DELIVERY OF ONE (1) UNIT ATOMIC ABSORPTION SPECTROPHOTOMETER (AAS)</t>
  </si>
  <si>
    <t>Procurement of Various Construction Supplies and Materials-07-405(O)PEO</t>
  </si>
  <si>
    <t>CID No. 20OD0215 - Rehabilitation of Multi-purpose Building with School Ground Improvement, Marulas Central Elementary School, Barangay Marulas, Valenzuela City</t>
  </si>
  <si>
    <t>Procurement of Various Construction Supplies -07-451(O)PEO</t>
  </si>
  <si>
    <t>Supply Professional Medical Services and Materials Needed for the Conduct of the Annual Physical Examination (APE) to DCWD Male Bajada Office</t>
  </si>
  <si>
    <t>CONSTRUCTION OF MINI PIER AT BRGY. DAYHAGAN</t>
  </si>
  <si>
    <t>Construction of Drainage System in Sitio Biñanan, Brgy. Pansoy, San Andres, Quezon</t>
  </si>
  <si>
    <t>DRILLING OF TWO (2) UNITS EXPLORATORY/PRODUCTION WELLS FOR SABLAYAN WATER DISTRICT WATER SUPPLY SYSTEM IMPROVEMENT AND EXPANSION PROJECT (REBID)</t>
  </si>
  <si>
    <t>Purchase of 1 Unit Ambulance for the use of Disaster Risk Reduction and Management Office (Re-Bidding)</t>
  </si>
  <si>
    <t>NEGOTIATION DUE TO TWO FAILED BIDDINGS FOR SUPPLY &amp; DELIVERY OF NUTRITION &amp; DIETETIC SUPPLIES – KITCHEN UTENSILS</t>
  </si>
  <si>
    <t>Furnishing of Materials, Labor and Equipment for the Construction/Installation of 108 units Solar Powered Streetlights for 20 Barangays of the Municipality funded under 20% LDF FY2020</t>
  </si>
  <si>
    <t>Procurement of Barangay Office Tables and Chairs</t>
  </si>
  <si>
    <t>Supply and Delivery of Early Warning Device</t>
  </si>
  <si>
    <t>Procurement of Various Construction Supplies and Materials-07-404(O)PEO</t>
  </si>
  <si>
    <t>Procurement of Various Construction Supplies and Materials-07-403(O)PEO</t>
  </si>
  <si>
    <t>NEGOTIATION DUE TO TWO FAILED BIDDINGS FOR SUPPLY &amp; DELIVERY OF NUTRITION &amp; DIETETIC SUPPLIES –  COMMERCIAL FORMULA MILK</t>
  </si>
  <si>
    <t>Procurement of Various Construction Supplies and Materials-07-402(O)PEO</t>
  </si>
  <si>
    <t>NEGOTIATION DUE TO TWO FAILED BIDDINGS FOR SUPPLY &amp; DELIVERY OF NUTRITION &amp; DIETETIC SUPPLIES – GROCERIES</t>
  </si>
  <si>
    <t>Supply and Delivery of Fuel &amp; Lubricants (IMPROVEMENT OF BARANGAY ROAD, LANAO KAPANGLAO, Datalbukay).</t>
  </si>
  <si>
    <t>FABRICATION STEEL SHELVES FOR THE ACCOUNTING'S BODEGA</t>
  </si>
  <si>
    <t>Supply Professional Medical Services and Materials needed for the Conduct of the Annual Physical Examination (APE) to DCWD Male Matina Office</t>
  </si>
  <si>
    <t>Supply/Delivery of Medicines for Rural Health Unit Consultation and Birthing Clinic Medicines  (PR# 20-07-0743)</t>
  </si>
  <si>
    <t>Supply Professional Medical Services and Materials needed for the Conduct of the Annual Physical Examination (APE) to Female Rank &amp; File Employees</t>
  </si>
  <si>
    <t>Supply &amp; Delivery of Various Mechanical Parts for Pandami DPP (S3-PDM20-022)</t>
  </si>
  <si>
    <t>PURCHASE OF RESPONSE &amp; RESCUE EQUIPMENTS</t>
  </si>
  <si>
    <t>CONSTRUCTION OF BUTIG PUBLIC MARKET</t>
  </si>
  <si>
    <t>PROCUREMENT OF TRANSPORT MEDIUM FOR SWAB TESTING</t>
  </si>
  <si>
    <t>Procurement of Construction Supplies</t>
  </si>
  <si>
    <t>CONSTRUCTION OF DRAINAGE CANAL ALONG NATIONAL RD. AT PUROK 2 BRGY. SF II</t>
  </si>
  <si>
    <t>20CSKG03 - Conduct of Preliminary Detailed Engineering (PDE) Activities for the Project : Construction of Multi-purpose Building (Performance Arts Center) at Kapatagan National High School,Kapatagan,</t>
  </si>
  <si>
    <t>20KJ0191: Provision of 71X Special Maintenance Under Work Category No.16 Drainage Maintenance, K1700+832, Ozamiz City, Misamis Occidental</t>
  </si>
  <si>
    <t>Establishment of Engineering Physics Laboratory - Potia Campus</t>
  </si>
  <si>
    <t>ROAD CONCRETING (CONCRETE PAVING), BRGY. BOLONGTOHAN, DULAG LEYTE</t>
  </si>
  <si>
    <t>PURCHASE/ INSTALLATION OF CCTV (LGU)</t>
  </si>
  <si>
    <t>B20200299 - FURNITURE AND FIXTURE FOR HALFWAY HOUSE FOR FORMER REBELS - PSWDO</t>
  </si>
  <si>
    <t>Construction of Covered Court Phase II in tuhob Cabadiangan</t>
  </si>
  <si>
    <t>PROCUREMENT FOR OFFICE EQUIPMENT  P.R NO. 0736 SERIES 2020</t>
  </si>
  <si>
    <t>Supply and Delivery of Monobloc Chairs and Tables for 2020 (2nd posting)</t>
  </si>
  <si>
    <t>Supply Professional Medical Services and Materials needed for the Conduct of the Annual Physical Examination (APE) to DCWD Job Order Order Employees</t>
  </si>
  <si>
    <t xml:space="preserve">NEGOTIATION DUE TO TWO FAILED BIDDINGS FOR ONE (1) LOT OPERATION AND PREVENTIVE MAINTENANCE OF OXYGEN  GENERATING PLANT WITH PROVISION FOR SUPPLY &amp; DELIVERY OF CONSUMABLES (MAINTENANCE PARTS) (1-YEAR </t>
  </si>
  <si>
    <t>CONCRETING OF DRAINAGE SYSTEM (PHASE III) AT BARANGAY POBLACION, CAUAYAN, NEGROS OCCIDENTAL</t>
  </si>
  <si>
    <t>Procurement of Management Information System (MIS) Specialist</t>
  </si>
  <si>
    <t>SUPPLY AND DELIVERY OF  DRRM RESCUE VEHICLE (4 WHEEL DRIVE MULTICAB)</t>
  </si>
  <si>
    <t>20KJ0190: Provision of 41X Emergency Project – Concrete Reblocking along Ozamiz Port Road, Chainage 000 – Chainage 556 (Intermittent Section), Ozamiz City, Misamis Occidental</t>
  </si>
  <si>
    <t>NEGOTIATION DUE TO TWO FAILED BIDDINGS FOR SUPPLY &amp; DELIVERY OF ENGINEERING SUPPLIES – PAINTING</t>
  </si>
  <si>
    <t>Supply Professional Medical Services and Materials needed for the Conduct of the Annual Physical Examination (APE) to DCWD Male Catalunan Grande</t>
  </si>
  <si>
    <t>Consulting Services For The  Revenue and Finance Operation Modernization Project</t>
  </si>
  <si>
    <t>Supply and Delivery of Medicine Supplies  for TB</t>
  </si>
  <si>
    <t>Supply and Delivery of Agricultural Farm Machinery and Equipment</t>
  </si>
  <si>
    <t>FABRICATION OF NEW CLASSROOM'S CUBICLE TABLE (180SETS)</t>
  </si>
  <si>
    <t>115 bags Portland Cement 40 kgs and other items for completion of the construction of 2-storey gender sensitive living quarter of girl CICL/CAR at Dumaguete Youth Home at Barangay Talay.</t>
  </si>
  <si>
    <t>Furnishing of Materials, Labor and Equipment in the Completion of Hall of Justice Building with an area of 20m x 28.10m located at Anahawon, Maramag, Bukidnon funded by PGO FY2019.</t>
  </si>
  <si>
    <t>Rehabilitation of  Multi  Purpose  Building-Barangay  Palanas, Paracale  Camarines  Norte</t>
  </si>
  <si>
    <t>NEGOTIATION DUE TO TWO FAILED BIDDINGS FOR SUPPLY &amp; DELIVERY OF ENGINEERING SUPPLIES – MASONRY &amp; CARPENTRY</t>
  </si>
  <si>
    <t>Furnishing of Materials, Labor and Equipment in the Construction of Home for the Aged with a Total Floor Area of 1,143sq.m Located at Magsaysay Demo Farm, Kuya, Maramag, Bukidnon (Phase I) funded unde</t>
  </si>
  <si>
    <t>PROCUREMENT OF CONSTRUCTION/REHABILITATION OF OTHER PUBLIC FACILITIES (REHABILITATION OF LRV WAITING SHED), BRGY. SAN ANTONIO POB.</t>
  </si>
  <si>
    <t>Purchasing of Supplies for Printing Modules of Junior High School Programs</t>
  </si>
  <si>
    <t>ONE (1) LOT SUPPLY &amp; DELIVERY OF VARIOUS MATERIALS TO BE USED FOR SERVICE CONNECTION OF CABIAO WATER DISTRICT</t>
  </si>
  <si>
    <t>20AF0080, CONSTRUCTION OF THREE (3) STOREY SIX (6) CLASSROOM SCHOOL BUILDING, DON EULOGIO DE GUZMAN MEMORIAL NATIONAL HIGH SCHOOL, BAUANG, LA UNION</t>
  </si>
  <si>
    <t>Supply and Delivery of Various I.T Equipment of Different Departments</t>
  </si>
  <si>
    <t>Supply Professional Medical Services and Materials needed for the Conduct of the Annual Physical Examination (APE) to DCWD Male Talomo Office</t>
  </si>
  <si>
    <t>Procurement of Various Construction Supplies and Materials-07-406(O)PEO</t>
  </si>
  <si>
    <t>SUPPLY AND DELIVERY OF CHEMICALS FOR FOGGING (rfq#2020-01-1,138)-(pho)</t>
  </si>
  <si>
    <t>20PK0072 - Construction of Two (2) Storey - Four (4) Classroom Building</t>
  </si>
  <si>
    <t>SUPPLY OF LABOR, MATERIALS &amp; EQUIPMENT FOR THE IMPROVEMENT OF LEVEL III WATER SYSTEM AT BALA-AS, ARGAO, CEBU</t>
  </si>
  <si>
    <t>LABOR AND MATERIALS FOR THE CONSTRUCTION OF CONCRETE PAVEMENT AT CAUAYAN DISTRICT HOSPITAL, BARANGAY ISIO, CAUAYAN, NEGROS OCCIDENTAL</t>
  </si>
  <si>
    <t>Ref. No. 2020-019 Labuan Sea Breeze Subdivision Phase 1 Located at Brgy. Labuan, Zamboanga City</t>
  </si>
  <si>
    <t>Purchase of IT Equipment to be used of various offices at LGU-Baggao</t>
  </si>
  <si>
    <t>PROCUREMENT OF ELECTRICAL SUPPLIES FOR THE INSTALLATION OF PERIMETER LIGHTS AT PUBLIC MARKET AT CALABANGA PUBLIC MARKET</t>
  </si>
  <si>
    <t>office supplies for the calendar year 2020 for the 3rd quarter</t>
  </si>
  <si>
    <t>20CSKB01  Sub-Surface Investigation for the Proposed Construction of Multi-Purpose Building 	 (Municipal Risk Reduction Management Office), Maramag, Bukidnon, North  Poblacion, Maramag, Bukidnon</t>
  </si>
  <si>
    <t>LABOR AND MATERIALS FOR THE REHAB/IMPROVEMENT OF AGRICULTURE OFFICE, CAUAYAN, NEGROS OCCIDENTAL</t>
  </si>
  <si>
    <t>Supply and Delivery of Materials for the Repair of Classrooms and Other School Facilities (2nd posting)</t>
  </si>
  <si>
    <t>Construction of Evacuation Center, Mugao, Impugong, Tinoc, Ifugao</t>
  </si>
  <si>
    <t>PURCHASE  OF OFFICE SUPPLIES</t>
  </si>
  <si>
    <t>Procurement of Various Construction Supplies and Materials-07-407(O)PEO</t>
  </si>
  <si>
    <t>Purchase of Medicine</t>
  </si>
  <si>
    <t>Ref. No. 2020-021 Procurement of Additional Fully Developed Lots and Completed Housing Units Under NHA's Yolanda Permanent Housing Program - Coron Heights, Coron, Palawan</t>
  </si>
  <si>
    <t>Procurement of Works for the Construction of Support Facilities to Category 3 Sanitary Land Fill (SLF), Brgy. Agcococ, Tapaz, Capiz</t>
  </si>
  <si>
    <t>CONSTRUCTION OF MULTI-PURPOSE BUILDING PHASE II (EMILLIANA)</t>
  </si>
  <si>
    <t>2 box Electrical Wire 150mtrs/box (black) #3.5mm² THHN and other items for completion of the construction of 2-storey gender sensitive living quarter of girl CICL/CAR at Dumaguete Youth Home at Barang</t>
  </si>
  <si>
    <t>Supply and Delivery of Various School Supplies</t>
  </si>
  <si>
    <t>Construction of Reflecting Pool with Musical Fountain and Landscaping (Project Sub Component #2 of the Proposed Davao Occidental-Government Business Center and Industrial Estates) located at Lais, Mal</t>
  </si>
  <si>
    <t>15 bags Portland Cement 40 kgs and other items for continuance construction of Talay Barangay Health Center at Barangay Talay 1st Revision.</t>
  </si>
  <si>
    <t>20CSCN02 -Consulting Services for the Concept Study of Baler By-Pass Road, Baler, Aurora</t>
  </si>
  <si>
    <t>Purchase and Delivery of Desktop Computer Set Use for Universal Health Care Implementation of RHU-Orion, Bataan</t>
  </si>
  <si>
    <t>Compacted Solid Waste (Garbage) hauling and disposal to hauler’s disposal site-LGU Mataasnakahoy, Batangas</t>
  </si>
  <si>
    <t>CONSTRUCTION OF MULTI-PURPOSE BUILDING (PHASE 1) IN BARANGAY MAGSAYSAY, NAGUILIAN, ISABELA</t>
  </si>
  <si>
    <t>Supply and Delivery of Office Devices, Furnitures and Kitchen Appliances for the Municipal Treasury Office</t>
  </si>
  <si>
    <t>Ref. No. 2020-022 Procurement of Additional Fully Developed Lots and Completed Housing Units Under NHA's Yolanda Permanent Housing Program - Coron Residences, Coron, Palawan</t>
  </si>
  <si>
    <t>CONCRETING OF CARANGAN BRGY. ROAD</t>
  </si>
  <si>
    <t>Ref. No. 2020-020 Proposed Repair and Refurbishment of HTREX Building Located at NHA Main Compound, Elliptical Road, Diliman, Quezon City (Re-Bid)</t>
  </si>
  <si>
    <t>Installation of Roll-Up Door (Market)</t>
  </si>
  <si>
    <t>PURCHASE OF MATERIALS FOR THE REHAB/IMPROVEMENT OF CAUAYAN DISTRICT HOSPITAL, BARANGAY ISIO, CAUAYAN, NEGROS OCCIDENTAL</t>
  </si>
  <si>
    <t>Asphalt Overlay along Cardinal Santos Street (Second Bidding)</t>
  </si>
  <si>
    <t>PROCUREMENT OF HARDWARE MATERIALS AND EQUIPMENT RENTAL FOR THE CONSTRUCTION/REHABILITATION OF POST HARVEST FACILITIES (COCO COIR PROCESSING BUILDING), BRGY. BURABOD</t>
  </si>
  <si>
    <t>EXPANSION OF MUNICIPAL WATERWORKS SYSTEM</t>
  </si>
  <si>
    <t>SJADS INFRA 20-09: CONSTRUCTION OF SOLAR DRYER</t>
  </si>
  <si>
    <t>Various Infrastructure Projects (Infra-20-12), Kabankalan City, Negros Occidental</t>
  </si>
  <si>
    <t>Ref. No. 2020-025 Procurement of Additional Fully Developed Lots and Completed Housing Units Under NHA's Yolanda Permanent Housing Program - Our Lady of Assumption, Tanauan, Leyte (Re-Bid)</t>
  </si>
  <si>
    <t>SUPPLY AND DELIVERY | TEXTBOOKS (BAC RFQ 20-545 , NAYON NG KABATAAN)</t>
  </si>
  <si>
    <t>20EI0184 - Concreting of Sitio Lumbayan, Proper Bansud FMR, Brgy. Proper Bansud, Bansud, Oriental Mindoro_076</t>
  </si>
  <si>
    <t>CONCRETING OF FARM-TO-MARKET ROAD AT GAZELLIAN COLLEGE, BRGY. PKABULUSAN, MAGALLANES, CAVITE</t>
  </si>
  <si>
    <t>Supply and Delivery of Various Hygiene Kits</t>
  </si>
  <si>
    <t>21CSIA001 Conduct of Soil Exploration for the widening of Permanent Bridges – Moog and Busali Bridges in Busali, Biliran, Biliran under FY 2021 Fund.</t>
  </si>
  <si>
    <t>Proposed City Architect’s Office</t>
  </si>
  <si>
    <t>Supply and Delivery of 520 pcs Dri-fit Uniform for Gso,Mtrg &amp; Building Guard</t>
  </si>
  <si>
    <t>Ref. No. 2020-023 Procurement of Additional Fully Developed Lots and Completed Housing Units Under NHA's Yolanda Permanent Housing Program - Tabontabon, Leyte (Re-Bid)</t>
  </si>
  <si>
    <t>Ref. No. 2020-024 Procurement of Additional Fully Developed Lots and Completed Housing Units Under NHA's Yolanda Permanent Housing Program - Burauen, Leyte (Re-Bid)</t>
  </si>
  <si>
    <t>LANOR AND MATERIALS FOR THE REHAB/IMPROVEMENT OF MULTI-PURPOSE BUILDING AT BARANGAY TILING, CAUAYAN NEGROS OCCIDENTAL</t>
  </si>
  <si>
    <t>PURCHASE OF SPARE PARTS FOR REPAIR AND MAINTENANCE OF GOVERNMENT VEHICLES AND HEAVY EQUIPMENTS</t>
  </si>
  <si>
    <t>SUPPLY AND DELIVERY OF RADIOLOGY SUPPLIES (JULY-DECEMBER 2020)</t>
  </si>
  <si>
    <t>CONSTRUCTION OF SCHOOL CLINIC AT CARMEN CENTRAL ELEM SCHOOL</t>
  </si>
  <si>
    <t>PROCUREMENT  OF  MEDICINES  AND  SUPPLIES  FOR  MUNICIPAL  HEALTH OFFICE - RHU1 AND RHU 11- 3RD AND 4TH QUARTER</t>
  </si>
  <si>
    <t>Procurement of Works for the Construction of Category 3 Sanitary Land Fill (SLF), Brgy. Agcococ, Tapaz, Capiz</t>
  </si>
  <si>
    <t>Drilling of One (1) Exploratory/ Production well</t>
  </si>
  <si>
    <t>Supply of one (1) unit Business Notebook with Software</t>
  </si>
  <si>
    <t>Drilling of One (1) Exploratory/Production Well</t>
  </si>
  <si>
    <t>CONSTRUCTION OF WELCOME ARCH</t>
  </si>
  <si>
    <t>Supply and Delivery of Photocopier Machine and Toner</t>
  </si>
  <si>
    <t>Procurement  of   Diesel, Gasoline, Oil and  Lubricants  for  the month of  July  to  September 2020</t>
  </si>
  <si>
    <t>Supply and Delivery of Engineering Facilities (Improving Teaching and Learning of Engineering And Technology Programs Through Upgrading Of Facilities To Produce Graduates With Technical Skills Aligned</t>
  </si>
  <si>
    <t>Supply and Delivery of Outboard Engine for Plywood Boat</t>
  </si>
  <si>
    <t>Rehabilitation/Backfilling/Improvement of Seawall in Brgy. Guitna</t>
  </si>
  <si>
    <t>Materials for the Improvement of Multi Purpose Hall</t>
  </si>
  <si>
    <t>Continuation of Inwaloy FMR</t>
  </si>
  <si>
    <t>For use of CHO Orally Fit Child Program.</t>
  </si>
  <si>
    <t>Various Materials -Architectural, Roof, Painting &amp; Electrical Work Use for Const. of New LGU Main Building</t>
  </si>
  <si>
    <t>Copier Machine (3 in 1)</t>
  </si>
  <si>
    <t>Welfare and Goods</t>
  </si>
  <si>
    <t>2020-08-065 - Procurement of Fuel for use in Construction Section Service Vehicle</t>
  </si>
  <si>
    <t>PURCHASE OF OFFICE EQUIPMENT</t>
  </si>
  <si>
    <t>Construction of Drainage Canal for Various Barangays (Re-Bid)</t>
  </si>
  <si>
    <t>Acquisition of Digital Copier &amp; Toner</t>
  </si>
  <si>
    <t>PROCUREMENT OF LEARNING EQUIPMENT AND SUPPLIES</t>
  </si>
  <si>
    <t>20GEE0049-Construction of Perimeter Fence &amp; Ramp at DPWH Palawan 1st DEO Motor Pool , Brgy. III, Roxas, Palawan</t>
  </si>
  <si>
    <t>Construction of 1STY 2CL with toilet, Banawe Elementary School, Pamplona, Negros Oriental</t>
  </si>
  <si>
    <t>IMPROVEMENT OF MAIN HEALTH CENTER</t>
  </si>
  <si>
    <t>Procurement of Two (2) Units Risograph Machine</t>
  </si>
  <si>
    <t>:  Supply and Delivery of Food Items (1 lot) for the Supplementary Feeding Program for the 10th cycle implementation CY 2020</t>
  </si>
  <si>
    <t>invitation to bid for the purchase of water dispenser</t>
  </si>
  <si>
    <t>Supply &amp; Delivery of Construction Materials for the Construction of 13 Units Core Shelter</t>
  </si>
  <si>
    <t>Concreting  of 0.50 km Centro Plaridel to Zone 4  to  Zone 5</t>
  </si>
  <si>
    <t>2020-08-064 - Procurement of Desktop Monitor for use in Planning and Design Section</t>
  </si>
  <si>
    <t>Supply and delivery for the Construction of Multi-purpose Covered Court (continuation) at Purok 2, Baybayon, Mabini, Bohol</t>
  </si>
  <si>
    <t>Services Provider for the Conduct of Virtual Instructor-Led Training on Instructional Design for e-Learning Courses</t>
  </si>
  <si>
    <t>Rehabilitation of Carmen Central ES Multi-Purpose Hall/Building</t>
  </si>
  <si>
    <t>CDH-20-0825-B OFFICE SUPPLIES</t>
  </si>
  <si>
    <t>CDH-20-0823-B MEDICAL EQUIPMENT</t>
  </si>
  <si>
    <t>Construction of Drainage at Bakhaw Sur, Kalibo, Aklan (to Drainage Outlet)</t>
  </si>
  <si>
    <t>SUPPLY &amp; DELIVERY OF 5 UNITS SMART TV</t>
  </si>
  <si>
    <t>Ref. No. 2020-026 Procurement of Additional Fully Developed Lots and Completed Housing Units Under NHA's Yolanda Permanent Housing Program - Prime Town IV, Tanauan, Leyte (Re-Bid)</t>
  </si>
  <si>
    <t>Beautification of Barangay Facility</t>
  </si>
  <si>
    <t>SUPPLY &amp; DELIVERY OF 2 UNITS COMPUTER DESKTOP WITH PRINTER</t>
  </si>
  <si>
    <t>Ref. No. 2020-028 Procurement of Additional Fully Developed Lots and Completed Housing Units Under NHA's Yolanda Permanent Housing Program - Sta. Fe Residences, Pandan, Antique (Re-Bid)</t>
  </si>
  <si>
    <t>PROCUREMENT OF FOODSTUFF  FOR COVID 19   OPERATIONS</t>
  </si>
  <si>
    <t>COMPLETION OF TEACHER'S COTTAGE (TABINAS COMMUNITY ELEM SCHOOL)</t>
  </si>
  <si>
    <t>Constrction of 200 cu.m. elevated water steel tank, pumphouse, perimeter fence, electro-mechanical equipment, water chlorination facility, transmission pipelines and installation of 2" ombination air</t>
  </si>
  <si>
    <t>Ref. No. 2020-027 Procurement of Additional Fully Developed Lots and Completed Housing Units Under NHA's Yolanda Permanent Housing Program - Kawayan, Biliran (Re-Bid)</t>
  </si>
  <si>
    <t>Safe Closure and Rehabilitation of Dumpsite</t>
  </si>
  <si>
    <t>Rehabilitation  of Municipal Hall</t>
  </si>
  <si>
    <t>SUPPLY AND DELIVERY OF COLOR ROOF &amp; WINDOWS FOR 2 STOREY FTC</t>
  </si>
  <si>
    <t>INVITATION TO BID   REPAIR OF GID WAREHOUSE AT RAWIS, NORTHERN SAMAR</t>
  </si>
  <si>
    <t>Project No. 1 and 2</t>
  </si>
  <si>
    <t>Supply &amp; Delivery of Various Electrical Parts for Perkins &amp; FG Wilson Gensets of Manuk Mangkaw DPP for PR # S3-MAN20-007, S3-MAN20-008 &amp; S3-MAN20-010 (S3-SPUGWM20-003 (NP4)</t>
  </si>
  <si>
    <t>SUPPLY AND DELIVERY OF ANESTHESIA SUPPLIES (JULY-DECEMBER 2020)</t>
  </si>
  <si>
    <t>SUPPORT TO RICE PRODUCTION (30 HECTARES RICE DEMO FARM PHASE II)</t>
  </si>
  <si>
    <t>LABOR AND MATERIALS FOR THE CONSTRUCTION OF SOLAR DRYER, BARANGAY CAMINDANGAN, CAUAYAN, NEGROS OCCIDENTAL</t>
  </si>
  <si>
    <t>Construction of Apartment-Type Tomb</t>
  </si>
  <si>
    <t>SUPPLY AND DELIVERY OF OFFICE AND OTHER SUPPLIES</t>
  </si>
  <si>
    <t>Delivery of Two (2) Units Ambulance (Brand New)</t>
  </si>
  <si>
    <t>INSTALLATION OF WATER SYSTEM (PHASE 2)</t>
  </si>
  <si>
    <t>CONSTRUCTION OF PWD COMFORT ROOM</t>
  </si>
  <si>
    <t>Supply &amp; Delivery of Various O-Rings &amp; Rubber Ring for Power Barge 119 (S3-B1920-009 (NP-2)</t>
  </si>
  <si>
    <t>ITB No. (INF) 2020-07-113 CONSTRUCTION OF MULTI-PURPOSE PDRRMO DISASTER RESILIENT BUILDING, Capitol Site, Brgy. Alang-alang, Borongan City, Eastern Samar</t>
  </si>
  <si>
    <t>COMPLETION OF PWD BUILDING</t>
  </si>
  <si>
    <t>20EI0185 - Concreting of Brgy. Maliwanag to Brgy. Roma FMR, Brgy. Maliwanag and Brgy. Roma, Mansalay, Oriental Mindoro_077</t>
  </si>
  <si>
    <t>Supply and Delivery of One(1) unit Brand New Garbage Truck (Mini Dumping Cargo)</t>
  </si>
  <si>
    <t>ITB# 112-2020 Training Expenses</t>
  </si>
  <si>
    <t>Supply &amp; Delivery of Consumable Materials, Labor &amp; Expertise for the Reconditioning of VTR-304 Turbocharger, for Jolo DPP (S3-JOL20-017 (NP4)</t>
  </si>
  <si>
    <t>LABOR AND MATERIALS FOR THE REHAB/IMPROVEMENT OF MULTI-PURPOSE BUILDING AT BARANGAY MAMBUGSAY, CAUAYAN, NEGROS OCCIDENTAL</t>
  </si>
  <si>
    <t>Installation of Solar Street Lights along National Road at Brgy. Sabang, Balayong, Lawaguin, Maravilla, Manaol &amp; Wakat, Nagcarlan, Laguna</t>
  </si>
  <si>
    <t>Supply and Delivery of Office Supplies for the First Quarter</t>
  </si>
  <si>
    <t>Rescue vehicle (Brandnew)</t>
  </si>
  <si>
    <t>SUPPLY AND DELIVERY OF PATIENT'S BED</t>
  </si>
  <si>
    <t>LABOR AND MATERIALS FOR THE REPAIR/MAINTENANCE OF DAY CARE CENTER AT BARANGAY LINA-ON , CAUAYAN, NEGROS OCCIDENTAL</t>
  </si>
  <si>
    <t>COMPLETION OF BODEGA/WAREHOUSE</t>
  </si>
  <si>
    <t>PROCUREMENT OF DUPLICATING MACHINE WITH DIRECT PC</t>
  </si>
  <si>
    <t>SUPPLY OF LABOR, MATERIALS &amp; EQUIPMENT FOR THE CONSTRUCTION OF LEVEL III WATER SYSTEM (24 CU.M. RESERVOIR)-PHASE II AT SITIO CABULIHAN, BARANGAY GUTLANG, ARGAO, CEBU</t>
  </si>
  <si>
    <t>ITB# 115-2020 Office Supplies</t>
  </si>
  <si>
    <t>Construction Materials: Proposed 3-Office Room at 3rd Floor</t>
  </si>
  <si>
    <t>MOTORCYCLE</t>
  </si>
  <si>
    <t>SUPPLY AND DELIVERY OF GOVERNMENT VEHICLE (AMBULANCE)-LGU CATANAUAN, QUEZON</t>
  </si>
  <si>
    <t>ITB# 114-2020 Office Supplies</t>
  </si>
  <si>
    <t>Procurement of Supplies and Materials for the Improvement of Water System</t>
  </si>
  <si>
    <t>COMPLETION OF GYM</t>
  </si>
  <si>
    <t>Supply and Delivery of Various ICT Equipment for 2020 MITHI Program (DOST IX-20-003B)</t>
  </si>
  <si>
    <t>Supply and Delivery of Solid Waste Management Equipment</t>
  </si>
  <si>
    <t>LABOR AND MATERIALS FOR THE CONSTRUCTION OF STAGE AT CAUAYAN CENTRAL ELEMENTARY SCHOOL , POBLACION, CAUAYAN, NEGROS OCCIDENTAL</t>
  </si>
  <si>
    <t>Integrated Monitoring, Observation and Communication System for the Municipality of Mendez-Nuñez with Command Center</t>
  </si>
  <si>
    <t>ITB# 118-2020 Office Supplies</t>
  </si>
  <si>
    <t>Purchase of Polo Shirt with Print for the Youth Symposium on the National Security Framework and Effects and Impacts of Illegal Drugs Program of the Province of Zamboanga del Sur (2nd Batch)</t>
  </si>
  <si>
    <t>ITB# 113-2020 Office Supplies</t>
  </si>
  <si>
    <t>Construction of Billboard, Covered Walkway and Steel Gate</t>
  </si>
  <si>
    <t>PROCUREMENT/SUPPLY OF TECHNICAL ASSISTANCE FOR MARKETING OF RICE COMMODITY OF VETREBUNS ARC CLUSTER UNDER PROJECT CONVERGE</t>
  </si>
  <si>
    <t>ITB# 121-2020 Food Supplies</t>
  </si>
  <si>
    <t>20HM0093 - OO1: Ensure Safe And Reliable National Road System, Asset Preservation – Rehabilitation/ Reconstruction/ Upgrading of Damaged Paved Roads – Siquijor Circumferential Rd – K0047+588 – K0047+8</t>
  </si>
  <si>
    <t>ITB# 116-2020 Office Supplies</t>
  </si>
  <si>
    <t>Purchase of Heavy Equipment</t>
  </si>
  <si>
    <t>PROPOSED CONSTRUCTION OF BLEACHERS</t>
  </si>
  <si>
    <t>Procurement of Janitorial Supplies PR # 2020-07-20-267</t>
  </si>
  <si>
    <t>Construction of Proposed Power House</t>
  </si>
  <si>
    <t>Procurement of Office Supplies &amp; IT Equipment PR # 2020-07-17-252 &amp; 2020-07-17-260</t>
  </si>
  <si>
    <t>PROCUREMENT OF EGG MACHINE CAGE, PULLETS, FEEDS AND BIOLOGICS FOR EGG PRODUCTION UNDER THE LIVELIHOOD SUPPORT FOR WOMEN IN CRISIS SITUATION, COMPONENT “C” (PACKAGE III), FUNDED UNDER THE PASSOVER: ARB</t>
  </si>
  <si>
    <t>ITB# 117-2020 Office Supplies</t>
  </si>
  <si>
    <t>Procurement of Hardware Supplies PR # 2020-07-14-246, 2020-07-17-251, 2020-07-20-265, 2020-07-23-278 &amp; 2020-07-23-284</t>
  </si>
  <si>
    <t>ITB# 120-2020 Food Supplies</t>
  </si>
  <si>
    <t>ITB# 119-2020 Food Supplies</t>
  </si>
  <si>
    <t>Package 026- Procurement of various Infra Projects</t>
  </si>
  <si>
    <t>SUPPLY OF MATERIALS FOR LEVEL III WATER SYSTEM (24 CU.M. RESERVOIR)-PHASE I AT SITIO CABULIHAN, BARANGAY GUTLANG, ARGAO, CEBU</t>
  </si>
  <si>
    <t>Supply and Delivery of Catering Services for Bayugan City On  wheels Activities</t>
  </si>
  <si>
    <t>Procurement of Office Equipment PR # 2020-07-23-284</t>
  </si>
  <si>
    <t>19KA0162 Concreting of Sitio Kibuda, Brgy. Kibangay FMR, Brgy. Kibangay, Lantapan, Bukidnon Brgy. Kibangay, Lantapan, Bukidnon Lantapan, Bukidnon 2nd LD</t>
  </si>
  <si>
    <t>Supply, Delivery and Installation of Barangay Solar Street Light (Off-Grid Street Lighting) for Barangay Electrification Program of the Provincial Government of Zamboanga del Sur</t>
  </si>
  <si>
    <t>ITB# 122-2020 Medical, Dental &amp; Laboratory Supplies</t>
  </si>
  <si>
    <t>Procurement of Different Equipment 2020</t>
  </si>
  <si>
    <t>Package 027-Procurement of various Infra Projects</t>
  </si>
  <si>
    <t>LABOR AND MATERIALS FOR THE CONCRETING OF DRAINAGE WITH CURB AND GUTTER AT STO. NINO STREET, BARANGAY POBACION, CAUAYAN, NEGROS OCCIDENTAL</t>
  </si>
  <si>
    <t>Construction of Brgy.Dolores Multi-Purpose Hall (Phase 2)</t>
  </si>
  <si>
    <t>Supply and Delivery of Sailor Battle Dress Uniform (SBDU) with Herring Bone Twill (HBT) Cap (FRAMEWORK AGREEMENT)</t>
  </si>
  <si>
    <t>Purchase of various materials for Concreting of Balili Road (Section 1 and 2), Brgy. Balili</t>
  </si>
  <si>
    <t>LABOR AND MATERIALS FOR THE CONSTRUCTION OF CONCRETE PAVEMENT AT CAUAYAN DISTRICT HOSPITAL , BARANGAY ISIO, CAUAYAN, NEGROS OCCIDENTAL</t>
  </si>
  <si>
    <t>Procurement of Supplies and Materials for the Improvement of Multi-Purpose Center (Perimeter Fence)</t>
  </si>
  <si>
    <t>Procurement of Medical Supplies PR # 2020-07-28-295</t>
  </si>
  <si>
    <t>Procurement of School Bus for City College of El Salvador (Surplus) (Rebidding)</t>
  </si>
  <si>
    <t>INVITATION TO BID   REPAIR OF GID BOBON  WAREHOUSE  IN DANCALAN, BOBON ,NORTHERN SAMAR</t>
  </si>
  <si>
    <t>Invitation to Bid for the Installation of Fiber Optic, CCTV, Early Warning System, and other Paraphernalia for Central Command Center</t>
  </si>
  <si>
    <t>LABOR AND MATERIALS FOR THE CONCRETING OF ROADS AT STO. NINO STREET (NATIONAL HIGHWAY TO CCES) BARANGAY POBLACION, CAUAYAN, NEGROS OCCIDENTAL</t>
  </si>
  <si>
    <t>ITB# 123-2020 Medical, Dental &amp; Laboratory Supplies</t>
  </si>
  <si>
    <t>Procurement of L – Type Wall Partition PR # 2020-07-21-268</t>
  </si>
  <si>
    <t>Invitation to Bid for the Construction of “Ang Lumang Gapan Project”</t>
  </si>
  <si>
    <t>SUPPLY OF MATERIALS FOR THE INSTALLATION OF SOLAR STREET LIGHT @ PROPER GUTLANG, ARGAO, CEBU</t>
  </si>
  <si>
    <t>Purchase and delivery of Various supplies (COVID19 PPA'S) to be used in the Municipality of Concepcion, Tarlac</t>
  </si>
  <si>
    <t>CONCRETING OF FARM-TO-MARKET ROAD</t>
  </si>
  <si>
    <t>2020-172-I PROCUREMENT AND DELIVERY OF FEEDS FOR RESEARCH DIVISION, ILD, NLP AND SAAD PROGRAM FOR CY 2020</t>
  </si>
  <si>
    <t>20GGF0022 – Procurement of Various Tools and Equipment to be used by the Maintenance Point Persons for the Maintenance of National Roads and Bridges under Maintenance Section, Iloilo 1st District Engi</t>
  </si>
  <si>
    <t xml:space="preserve">20GGF0021 – Procurement of Various Road Safety Materials for use in the Repair/Maintenance of national roads within  the jurisdiction of Iloilo 1st District Engineering Office, Fort San Pedro, Iloilo </t>
  </si>
  <si>
    <t>Supply and Materials for the Conduct of Recruitment for Officers and EP Pre-Entry Trainees</t>
  </si>
  <si>
    <t xml:space="preserve">Purchase of Construction Supplies and Materials for the Establishment of Demonstration Site for Vegetable Fruit Tees Production, Fruit Trees Nursery, Nursery Plant and Seeds Bank, Sweet Water Coconut </t>
  </si>
  <si>
    <t>ITB# 124-2020 Medical, Dental &amp; Laboratory Supplies</t>
  </si>
  <si>
    <t>REPRODUCTION OF DEPED ADM MODULES FOR K TO 12 LEARNERS</t>
  </si>
  <si>
    <t>Supplies/Material for CCIE Mobstock for Reservist</t>
  </si>
  <si>
    <t>Procurement of Septic Tank Excavation PR # 2020-07-23-284</t>
  </si>
  <si>
    <t>PURCHASE OF ONE (1) UNIT BRAND NEW SIX WHEELER DUMPTRUCK OF MUNICIPALITY OF CAUAYAN, NEGROS OCCIDENTAL</t>
  </si>
  <si>
    <t>REPAIR OF DRAINAGE CANAL AT URIARTE SUBDIVISION, BARANGAY III,  LA CARLOTA CITY</t>
  </si>
  <si>
    <t>PURCHASE OF ONE (1) UNIT BRAND NEW FUNERAL TRANSPORT SERVICE OF MUNICPALITY OF CAUAYAN, NEGROS OCCIDENTAL</t>
  </si>
  <si>
    <t>Labor and Materials for the Concreting of Road at Barangay Sta Rita, Concepcion, Tarlac</t>
  </si>
  <si>
    <t>PROPOSED CONSTRUCTION OF DRAINAGE SYSTEM AND ROAD WIDENING ALONG LA PAZ ST. FROM GURREA ST. TO  OGATIS STREET, LA CARLOTA CITY</t>
  </si>
  <si>
    <t>IMPROVEMENT OF TAMBULIG MOUNTAIN RESORT PHASE III</t>
  </si>
  <si>
    <t>LABOR AND MATERIALS FOR THE CONSTRUCTION OF OVERFLOW AT BARANGAY TAMBAD, CAUAYAN, NEGROS OCCIDENTAL</t>
  </si>
  <si>
    <t>LABOR AND MATERIALS FOR THE CONCRETING OF FARM TO MARKET ROAD AT BARANGAY TAMBAD, CAUAYAN, NEGROS OCCIDENTAL</t>
  </si>
  <si>
    <t>Purchase of Fertilizers and Materials for Rice, Banana, Sweet Water Coconut and Corn Program of Provincial Agriculture Office</t>
  </si>
  <si>
    <t>Procurement of Supplies and Materials for the Construction of Garage</t>
  </si>
  <si>
    <t>CONCRETING OF PATHWALK</t>
  </si>
  <si>
    <t>CONSTRUCTION OF DRAINAGE SYSTEM ALONG BURGOS STREET, CORNER VALOIS STREET TO SAN AGUSTIN STREET, LA CARLOTA CITY</t>
  </si>
  <si>
    <t>ITB# 125-2020 Medical, Dental &amp; Laboratory Supplies</t>
  </si>
  <si>
    <t>SUPPLY AND DELIVERY OF CONSERVATION, PRESERVATION AND EXHIBITION MATERIALS FOR THE NATIONAL LIBRARY OF THE PHILIPPINES</t>
  </si>
  <si>
    <t>CONSTRUCTIOIN OF MULTI-PURPOSE COVERED COURT (PHASE II)</t>
  </si>
  <si>
    <t>CONSTRUCTION OF ROAD PROTECTION</t>
  </si>
  <si>
    <t>Upgrading/Concreting of Access Road (Daungang Pari) Pag-asa, Obando, Bulacan</t>
  </si>
  <si>
    <t>Labor and Materials for the Construction of Multi-Purpose Hall Building at Various Barangays of Concepcion, Tarlac</t>
  </si>
  <si>
    <t>20LC0162 - Construction of 2STY8CL School Building at Dujali Central Elementary School, Braulio E. Dujali, Davao del Norte</t>
  </si>
  <si>
    <t>Consulting Services for the Implementation of the Performance Governance System (PGS) and Attainment of PGS Initiation and Compliance Stages for the City Government of Baguio</t>
  </si>
  <si>
    <t>20LC0112 - Concreting of Purok 5 to Purok 8, Brgy. Pantaron FMR, Brgy. Pantaron, Sto. Tomas, Davao del Norte</t>
  </si>
  <si>
    <t>ITB# 131-2020 Other Supplies and Materials</t>
  </si>
  <si>
    <t>ITB# 129-2020 Other Supplies and Materials</t>
  </si>
  <si>
    <t>INTERNET LOAD - 2ND BIDDING</t>
  </si>
  <si>
    <t>ITB# 128-2020 Other Supplies and Materials</t>
  </si>
  <si>
    <t>ITB# 126-2020 Medical, Dental &amp; Laboratory Supplies</t>
  </si>
  <si>
    <t>Procurement for the Proposed Rehabilitation of Old Municipal Hall (Historical Building) (Phase 1) at Brgy. Poblacion, Mabalacat City, Pampanga</t>
  </si>
  <si>
    <t>Procurement of Security Services for Batangas State University</t>
  </si>
  <si>
    <t>ITB# 130-2020 Other Supplies and Materials</t>
  </si>
  <si>
    <t>20LC0159 - Construction/Rehabilitation of Water Supply/Septage and Sewerage/ Rain Water Collectors 1. Sto. Niño ES, Carmen, Davao del Norte 2. Salvacion ES, Panabo City, Davao del Norte 3. Panabo Cent</t>
  </si>
  <si>
    <t>20LC0170 - Concreting of Crossing Purok 1 to Sitio Banate, Brgy. Capungagan FMR, Brgy. Capungagan, Kapalong, Davao del Norte</t>
  </si>
  <si>
    <t>20LC0169 - Concreting of Brgy. Poblacion to Brgy. New Bohol FMR, Brgy. Poblacion and Brgy. New Bohol, New Corella, Davao del Norte</t>
  </si>
  <si>
    <t>20LC0168 - Concreting of Purok 9 to Purok 3, Brgy. Anibongan FMR, Brgy. Anibongan, Carmen, Davao del Norte</t>
  </si>
  <si>
    <t>Project No. 1: Design and Build: Construction of Wastewater Treatment Facility Pasil Fish Market, Brgy. Pasil, Cebu City</t>
  </si>
  <si>
    <t>(PR No. 20-06-05A-0036) Supply and Delivery of 9,620 Sets of 13mmØ Mechanical Water Meters</t>
  </si>
  <si>
    <t>20LC0133 - Construction of Road, Brgy. Canocotan, Tagum City, Davao del Norte</t>
  </si>
  <si>
    <t>Supply of Civil Works for the Construction of Civic Center</t>
  </si>
  <si>
    <t>PROCUREMENT OF MATERIALS FOR THE REPAIR AND MAINTENANCE OF BUILDINGS AND OTHER STRUCTURES</t>
  </si>
  <si>
    <t>Procurement of Multi-Purpose Vehicle to be used by Early Childhood Care and Development (ECCD) Office</t>
  </si>
  <si>
    <t>SUPPLY AND DELIVERY OF 1 UNIT RESCUE VEHICLE - BARANGAY CALAOCAN</t>
  </si>
  <si>
    <t>20LC0167 - Construction of 1STY3CL School Building with Toilet Attached at Sampao IS, Kapalong, Davao del Norte</t>
  </si>
  <si>
    <t>ITB# 127-2020 Other Supplies and Materials</t>
  </si>
  <si>
    <t>20LC0166 - Construction of 3STY6CL School Building at Magdum National High School, City of Tagum, Davao del Norte</t>
  </si>
  <si>
    <t>20LC0165 - Construction of 2STY4CL School Building at J.P. Laurel ES, City of Panabo, Davao del Norte</t>
  </si>
  <si>
    <t>Procurement of   Road Safety Devices used for the Maint., Repair and Rehab. of Infrastructure Facilities and other Related Activities-Repair and Maintenance of Road Safety Facilities JLBMPR, JASA, Gov</t>
  </si>
  <si>
    <t>CONSTRUCTION OF MULTI PURPOSE HALL I</t>
  </si>
  <si>
    <t>Procurement of Medical Supplies Lot 1- Rebidding</t>
  </si>
  <si>
    <t>PROCUREMENT AND DELIVERY OF PAINTING, ELECTRICAL, CARPENTRY &amp; PLUMBING SUPPLIES</t>
  </si>
  <si>
    <t>CONCRETING OF BANGKURO FARM TO MARKET ROAD @ SITIO BANGKURO, BRGY. LAKDAYAN</t>
  </si>
  <si>
    <t>Procurement of Ambulance to be used by the City of Mabalacat</t>
  </si>
  <si>
    <t>Proposed Improvement of City Agriculturist Office at City Hall, Brgy. Poblacion, Kidapawan City</t>
  </si>
  <si>
    <t>20LC0164 - Construction of 2STY6CL School Building at Consolacion ES, City of Panabo, Davao del Norte</t>
  </si>
  <si>
    <t>CONSTRUCTION OF SANITARY LANDFILL PERIMETER FENCE, Brgy. Talavera, Tagana-an, Surigao del Norte</t>
  </si>
  <si>
    <t>Improvement of Roofing at Vigan Public Market Bagsakan Section-Module 4 at Alcantara Street, Barangay VIII, Vigan City</t>
  </si>
  <si>
    <t>Procurement of HIV Supplies - Rebidding</t>
  </si>
  <si>
    <t>SUPPLY AND DELIVERY OF SPAREPARTS FOR THE REPAIR AND MAINTENANCE OF HEAVY EQUIPMENT/MOTOR VEHICLE</t>
  </si>
  <si>
    <t>PROCUREMENT OF ONE  (1)UNIT MINI DUMP TRUCK</t>
  </si>
  <si>
    <t>Proposed Construction of Establishment Mini Rice Mill/DA Village Type Rice Mill (Proposed Extension of Village Type Rice Mill) at Purok 6B, Brgy. Binoligan, Kidapawan City</t>
  </si>
  <si>
    <t>Procurement of Qualitative Fit Test Kit for N95- Rebidding</t>
  </si>
  <si>
    <t>REBIDDING OF LOT 1: SUPPLY AND DELIVERY OF VARIOUS MEDICAL SURGICAL DEVICES</t>
  </si>
  <si>
    <t>20NG0098 - REPAIR/MAINTENANCE OF DILG BUILDING PNP – BARRACKS BUILDING / BRGY. TAFT, BORROMEO STREET, SURIGAO DEL NORTE</t>
  </si>
  <si>
    <t>REBIDDING OF THE SUPPLY AND DELIVERY OF VARIOUS CONSTRUCTION/MAINTENANCE SUPPLIES</t>
  </si>
  <si>
    <t>CCTV</t>
  </si>
  <si>
    <t>Electric Metering of Barangay Tandayag Electrical Lights</t>
  </si>
  <si>
    <t>Supply and Delivery of Medical Ambulance/Transport (PR No. 20-07-0275)</t>
  </si>
  <si>
    <t>One Package Construction of Barangay Health Stations @ Brgys Nagsubuan and Atabay (Package 3)</t>
  </si>
  <si>
    <t>Invitation to Bid for  CONSTRUCTION OF DRAINAGE SYSTEM AT STA. FE CENTRAL SCHOOL, STA. FE, LEYTE (CW-2020-05)</t>
  </si>
  <si>
    <t>Labor and Materials for the Construction of New Municipal Disaster Risk Reduction and Management Office Headquarters (Phase II)</t>
  </si>
  <si>
    <t>Supply and Delivery of Airconditioning Units, Parts and Accessories Including Labor for Installation (PR No. 20-07-0268)</t>
  </si>
  <si>
    <t>PR 221-20-06-0766, CONSTRUCTION OF CONST. OF AVR-ICT ROOM AT BAGONBON NATIONAL HIGH SCHOOL, BRGY BAGONBON, SAN CARLOS CITY.</t>
  </si>
  <si>
    <t>PR 221-20-06-0723, CONSTRUCTION OF CONST. OF AVR-ICT ROOM AT DON CARLOS NATIONAL HIGH SCHOOL, BRGY BULUANGAN, SAN CARLOS CITY.</t>
  </si>
  <si>
    <t>Supply and delivery of electrical materials for the Proposed Line Rehab 1 Phase to 3 Phase (Rice Processing Center) at Brgy. San Isidro, Kidapawan City.</t>
  </si>
  <si>
    <t>One Package Construction of Barangay Health Station @ Brgys. Igcado &amp; Nasuli-A (package 1)</t>
  </si>
  <si>
    <t>PURCHASE AND DELIVERY OF 4 WHEELER TRUCK DROPSIDE WITH FULL CANOPY</t>
  </si>
  <si>
    <t>G-2020-22: SUPPLY AND DELIVERY OF ONE HUNDRED TEN (110) SETS OF BRAND-NEW CHECK SCANNER WITH SCANNING LICENSE FOR THE DEVELOPMENT BANK OF THE PHILIPPINES</t>
  </si>
  <si>
    <t>PR 221-20-06-0710, CONSTRUCTION OF COVERED COURT WITH STAGE AND BLEACHERS AT SIPAWAY NATIONALHIGH SCHOOL, BRGY SAN JUAN, SAN CARLOS CITY.</t>
  </si>
  <si>
    <t>One Package Construction of Barangay Health Station @ Brgys. Igtugas and Igcabuad (package 2)</t>
  </si>
  <si>
    <t>Supply and Delivery of One (1) Unit Cargo Truck; PR No. 20-1650 dated 14 May 2020; SN 175 - 2020</t>
  </si>
  <si>
    <t>Supply &amp; Delivery of Spare Parts for Garbage Truck Repair and Maintenance</t>
  </si>
  <si>
    <t>Invitation to Bid for  PURCHASED OF FILLING MATERIALS FOR STA. FE-SENIOR HIGH SCHOOL, POBLACION, STA. FE, LEYTE (CW-2020-04)</t>
  </si>
  <si>
    <t>Printing of stickers(No Smoking) for the use City Health Office, Kidapawan City.</t>
  </si>
  <si>
    <t>Supply of Media Services (PR No. 20-01-0016)</t>
  </si>
  <si>
    <t>Construction/Rehabilitation/Repair/Widening of Roads at Brgy. Guzman Jesena (JEMS Subdivision), Mandurriao, Iloilo City (Bid No. 20-160)</t>
  </si>
  <si>
    <t>Construction of BHS NHA Esperanza with Amenities, Brgy. Esperanza, Culasi, Antique</t>
  </si>
  <si>
    <t>Supply and delivery of office supplies for the printing and reproduction of self-learning modules of the Kidapawan City Division</t>
  </si>
  <si>
    <t>Construction Project for PEO-2020-1108-1109</t>
  </si>
  <si>
    <t>Improvement of Flood Control Facilities at Iloilo City National High School, Molo, Iloilo City (Bid No. 20-159)</t>
  </si>
  <si>
    <t>Construction/Rehabilitation/Repair/Widening of Road at Brgy. Tabuc Suba (Modern Homes Subdivision), Jaro, Iloilo City (Bid No. 20-157)</t>
  </si>
  <si>
    <t>SUPPLY AND DELIVERY OF  OTHER SUPPLIES (Pagbilao District II)</t>
  </si>
  <si>
    <t>Construction/Rehabilitation/Repair/Widening of Road at Brgy. Arguelles, Jaro, Iloilo City (Bid No. 20-155)</t>
  </si>
  <si>
    <t>20LC0163 - Construction of 1STY3CL School Building at Maguintalunan ES, Sto. Tomas, Davao del Norte</t>
  </si>
  <si>
    <t>SUPPLY AND DELIVERY OF OTHER SUPPLIES (Pagbilao District I)</t>
  </si>
  <si>
    <t>Purchase of One (1) Unit Brand-new Hydraulic Excavator (Backhoe)</t>
  </si>
  <si>
    <t>Purchase of One (1) Unit Brand-new Coaster (29 seaters)</t>
  </si>
  <si>
    <t>Procurement of Microscope Binocular- Rebidding</t>
  </si>
  <si>
    <t>One Package Construction of Barangay Health Stations @ Brgys Quezon, Villaflor, and Igbangcal C (Package#6)</t>
  </si>
  <si>
    <t>SUPPLY AND DELIVERY OF COMMUNICATION EQUIPMENT</t>
  </si>
  <si>
    <t>Procurement of Fetal Doppler- Rebidding</t>
  </si>
  <si>
    <t>Procurement of BHS Package - Rebidding</t>
  </si>
  <si>
    <t>construction of multi purpose hall</t>
  </si>
  <si>
    <t>Purchase of One (1) Unit Brand-new Garbage Truck</t>
  </si>
  <si>
    <t>Construction/Rehabilitation/Repair/Widening of Roads (with Drainage) at Brgy. Taal, Molo, Iloilo City (Bid No. 20-166)</t>
  </si>
  <si>
    <t>Supply and delivery of Lubricants and additives for the use of the RP Vehicles of the CDRRMO, Kidapawan City</t>
  </si>
  <si>
    <t>Public Bidding of 3 Lots for the Supply and Delivery of Office Supplies, Computer Inks &amp; Cartridges and Janitorial Supplies for the use of Various Offices in the Roxas City Government (3rd Batch) unde</t>
  </si>
  <si>
    <t>Supply and delivery of construction materials for the Proposed Temporary Facility of the City Health Office, Kidapawan City.</t>
  </si>
  <si>
    <t>Risographing of forms for the use of the CDRRMO, Kidapawan City.</t>
  </si>
  <si>
    <t>PURCHASE OF MOBILE PHONES, SB OFFICE, CAJIDIOCAN, ROMBLON</t>
  </si>
  <si>
    <t>Construction of Flood Control/Slope Protection (Revetment) Brgy. Batonan Sur, Culasi, Antique</t>
  </si>
  <si>
    <t>Construction/Rehabilitation of Existing Drainage System at Brgy. Sto. Niño Norte, Arevalo, Iloilo City (Bid No. 20-165)</t>
  </si>
  <si>
    <t>Supply of fuels for the proposed road rehabilitation/crowning and compaction of various barangay roads of different barangays (Sikitan, Singao, Sto.Niño, Sudapin, Sumbac) all of Kidapawan City</t>
  </si>
  <si>
    <t>PURCHASE OF OFFICE SUPPLIES, BFP-DILG, CAJIDIOCAN, ROMBLON</t>
  </si>
  <si>
    <t>PURCHASE OF FISHING EQUIPMENT, MAO, CAJIDIOCAN, ROMBLON</t>
  </si>
  <si>
    <t>PURCHASE OF IT EQUIPMENT AND FURNITURE, MTO, CAJIDIOCAN, ROMBLON</t>
  </si>
  <si>
    <t>Construction of Public Market</t>
  </si>
  <si>
    <t>Construction of 2 Units Jetmatic Pump</t>
  </si>
  <si>
    <t>Supply of fuels for the proposed road rehabilitation/crowning and compaction of various barangay roads of different barangays (Perez, Poblacion, San Isidro, San Roque,  Sibawan) all of Kidapawan City</t>
  </si>
  <si>
    <t>HIRING OF LIFESTYLE PHOTOGRAPHER FOR THE MANILA FAME DIGITAL CATALOG</t>
  </si>
  <si>
    <t>PR-2020-06-132 Campus Road Improvement Project</t>
  </si>
  <si>
    <t>HIRING OF DROPOUT STUDIO PHOTOGRAPHER FOR THE MANILA FAME DIGITAL CATALOG (ZONE 2) COVERAGE</t>
  </si>
  <si>
    <t>Procurement of Special Equipment Package 4- Rebidding</t>
  </si>
  <si>
    <t>Fabrication of 1 pair Movable Basketball Board with Ring &amp; Net at Brgy. Bolaney, Alaminos City, Pangasinan</t>
  </si>
  <si>
    <t>Procurement of Reagent Refrigerator for Pharmaceutical Use- Rebidding</t>
  </si>
  <si>
    <t>Procurement of Physical Therapy Equipment Set- Rebidding</t>
  </si>
  <si>
    <t>PBD 20-091 Small Components, Workstation and Accessories</t>
  </si>
  <si>
    <t>CONCRETING OF POBLACION ROAD @ BRGY. MALIGAYA</t>
  </si>
  <si>
    <t>PBD 20-090 MASCOT Software</t>
  </si>
  <si>
    <t>19GL00119; P.R. No. 2020-03-042 DATED 03/19/2020: PROCUREMENT OF ONE (1) LOT OF VARIOUS FURNITURE, FOR USE IN THE OPERATION OF THE DPWH R.O. XI (NEW BUILDING), UNDER THE PLANNING AND DESIGN, CONSTRUCT</t>
  </si>
  <si>
    <t>Procurement of Medical Instrument Package- Rebidding</t>
  </si>
  <si>
    <t>IT Equipment for GOV-2020-0411</t>
  </si>
  <si>
    <t>Supply and delivery of grocery items and perishable goods for the Pangkabuhayan Starter Kits Beneficiaries of the City Government of Kidapawan</t>
  </si>
  <si>
    <t>Supply of fuel for the use of the RP Vehicles of the City Treasurer’s Office, Kidapawan City.</t>
  </si>
  <si>
    <t>Construction/Rehabilitation/Improvement of Multi-Purpose Hall at Brgy. M.H. del Pilar, (Don Francisco Village), Jaro, Iloilo City (Bid No. 20-164)</t>
  </si>
  <si>
    <t>Supply and Delivery of Materials for Gill Net Set-2nd Bid</t>
  </si>
  <si>
    <t>FOOTBRIDGE REHABILITATION /IMPROVEMENT</t>
  </si>
  <si>
    <t>Rehab. of Cultural &amp; Sports Development Complex (Phase 3) Materials Only</t>
  </si>
  <si>
    <t>Motorcycle with sidecar for garbage collection</t>
  </si>
  <si>
    <t>IMPROVEMENT OF HEALTH STATION IN BARANGAY GUINTARCAN, VILLAREAL, SAMAR</t>
  </si>
  <si>
    <t>Supply and Delivery of Office Equipment (1unit Drone, 3unit Handheld GPS, 10unit External Hard Drive 2TB, 10unit Laptop i7, 2unit Desktop Computer &amp; 2unit Printer A3) for Bukidnon IMO</t>
  </si>
  <si>
    <t>Medical Equipment for HOD-2020-0565</t>
  </si>
  <si>
    <t>Improvement of Drainage Canal  -  Patac</t>
  </si>
  <si>
    <t>Re-bid for Contract Labor and Materials for the Expansion of Potable Water System Level III at Brgy. El Katipunan, Laak, Davao De Oro</t>
  </si>
  <si>
    <t>Installation of a functional hall way paging system for the utilization of SDO to minimize face to face contact with peers and teamates</t>
  </si>
  <si>
    <t>Labor and Materials for the Construction of City Materials Recovery Facility (office) for the Improvement of the City Transfer Station at Barangay Lara, City of San Fernando, Pampanga</t>
  </si>
  <si>
    <t>Procurement of Hardware and Construction Materials</t>
  </si>
  <si>
    <t>Rehabilitation of ILU' CIS</t>
  </si>
  <si>
    <t>PROCUREMENT OF SUPPLIES FOR PRINTING OF MODULES FOR ELEMENTARY STUDENTS</t>
  </si>
  <si>
    <t>Labor and Materials for the Improvement/Rehabilitation of the City Transfer, Lara, City of San Fernando, Pampanga</t>
  </si>
  <si>
    <t>repair of water system  (solar water / water pump)</t>
  </si>
  <si>
    <t>20NF-GOODS-01: DELIVERY AND INSTALLATION OF DPWH OFFICE CUBICLE STAND @ PLANNING AND DESIGN SECTION</t>
  </si>
  <si>
    <t>20NF0080:CONCRETING OF BRGY. CANCOHOY FMR, BRGY. CANCOHOY, DEL CARMEN, SURIGAO DEL NORTE</t>
  </si>
  <si>
    <t>One Package Construction of Barangay Health Stations @ Brgys Igbalogo and Igcalawagan (Package#5)</t>
  </si>
  <si>
    <t>Improvement of Manpower Development Center (Public Market) Brgy. Centro Poblacion, Culasi, Antique</t>
  </si>
  <si>
    <t>One Package Construction of Barangay Health Stations @ Brgys Sto. Tomas and Ballescas (Package#4)</t>
  </si>
  <si>
    <t>PURCHASE OF NUTRITION PRODUCTS (ADULT MILK AND INSTANT OATMEAL), MDRRMO, CAJIDIOCAN, ROMBLON</t>
  </si>
  <si>
    <t>Supply and Delivery of Office Equipment (PR No. 20-07-0279)</t>
  </si>
  <si>
    <t>Proposed Construction of open canal (Installation RCP 24”Ø (32pcs) / Open Canal Equiv. 24” RCP (L-208 mtrs.)) at Sinsuat Street (from Petron – Perez St. Section), Brgy. Poblacion, Kidapawan City</t>
  </si>
  <si>
    <t>CONSTRUCTION OF RETAINING WALLS and DRAINAGE SYSTEM-Tangkeng Tihaya, Brgy. Ayusan II</t>
  </si>
  <si>
    <t>Supply and delivery of office supplies for the use of the City Treasurer’s Office, Kidapawan City.</t>
  </si>
  <si>
    <t>EMISSION TEST OF 2 x 500kW AND 1 x 1500kW GENSETS AT DINAGAT DPP AS PER REQUIREMENT OF DENR - EMB</t>
  </si>
  <si>
    <t>Supply and Delivery of Eye Level Physician Scale (PR No. 20-07-0283)</t>
  </si>
  <si>
    <t>Concreting of Alban Street,Cabatacan Pudtol,Apayao</t>
  </si>
  <si>
    <t>Demolition of old Slaughterhouse,old warehouse,old water tank</t>
  </si>
  <si>
    <t>Development of Eco Park at Civoleg, Brgy. Lunotan (Back Fencing) under Contract Ref. No. 2020-INFRA-059</t>
  </si>
  <si>
    <t>Proposed Road Concreting (Phase I)(2 lanes(L-68mtrs., W-6.10mtrs.)) at Rizal Street, Brgy. Poblacion, Kidapawan City</t>
  </si>
  <si>
    <t>PURCHASE OF OFFICE SUPPLIES, MSWDO, CAJIDIOCAN, ROMBLON</t>
  </si>
  <si>
    <t>Procurement of Additional Regular Drugs and Medicines Supplies of MHO - Laak, Davao De ORo</t>
  </si>
  <si>
    <t>MUNICIPAL STREETS CONCRETING PADAO MORO STREETS</t>
  </si>
  <si>
    <t>50 SACKS RICE-3RD QUARTER 2020</t>
  </si>
  <si>
    <t>Supply &amp; Delivery of Office Equipment Supplies and Consumables</t>
  </si>
  <si>
    <t>UPGRADING AND IMPROVEMENT OF SITIO DOPONGAN ROAD</t>
  </si>
  <si>
    <t>Procurement of Various Materials and Equipment for the Sound System of Laak National HIgh School, Kapatagan National High School and Kaligutan Elementary School - Laak, Davao De Oro</t>
  </si>
  <si>
    <t>MUNICIPAL STREETS CONCRETING LACUAREN STREETS</t>
  </si>
  <si>
    <t>Construction/Rehabilitation/Improvement of Multi-Purpose Hall at Brgy. Pali-Benedicto, Mandurriao, Iloilo City (Bid No. 20-168)</t>
  </si>
  <si>
    <t>Construction/Rehabilitation/Repair/Widening of Roads at Brgy. PHHC Blk. 17, Mandurriao, Iloilo City (Bid No. 20-163)</t>
  </si>
  <si>
    <t>LALAWI- AMENGAW CIS REHAB</t>
  </si>
  <si>
    <t>Concreting of San luis-amado boundary road</t>
  </si>
  <si>
    <t>PURCHASE OF MATERIALS FOR DEVELOPMENT OF WATER SYSTEM</t>
  </si>
  <si>
    <t>SUPPLY AND DELIVERY OF MATERIALS TO BE USED IN CONCRETING OF BARANGAY ROAD, SITIO HULO, BARANGAY ADRIALUNA</t>
  </si>
  <si>
    <t>Improvement of Basketball Court at Multi PUrpose Building, Brgy. Palamis, Alaminos City, Pangasinan</t>
  </si>
  <si>
    <t>RFQ - Printing of Learning Resources</t>
  </si>
  <si>
    <t>Procurement of Auto Supplies</t>
  </si>
  <si>
    <t>Procurement of 1 Unit Water Finder/Resistivity under P.R No. 2314-2020 -CMO -Provision for Technical and Scientific Equipment (Continuing)</t>
  </si>
  <si>
    <t>Aupply, Delivery &amp; Installation of Two (2) Units High Volume Low Speed (HVLS) Fan for ABL Memorial Hall, Poblacion, Makato, Aklan</t>
  </si>
  <si>
    <t>SUPPLY AND DELIVERY OF MECHANICAL SPARE PARTS for 1.5 MW CUMMINS GENSET, MODEL QSK60-G15, ENGINE NO. 33207906</t>
  </si>
  <si>
    <t>Purchase and Delivery of Cell Cards</t>
  </si>
  <si>
    <t>20HA0134 - REPAIR/MAINTENANCE OF DPWH MAIN BUILDING</t>
  </si>
  <si>
    <t>Procurement of 1 Lot Various Drugs and Medicines</t>
  </si>
  <si>
    <t>Provision of Cloud-based, Enterprise-wide, Productivity Applications and Related Technical Support</t>
  </si>
  <si>
    <t>Development of Eco Park at Civoleg (Orchidarium Phase I) under Contract Ref. No. 2020-INFRA-060</t>
  </si>
  <si>
    <t>Construction of 1 Unit 2 Classrooms at Sitio Salvacion, Barangay Manila De Bugabos, Butuan City</t>
  </si>
  <si>
    <t>Purchase of Materials for Road Concreting, Sitio Sampaguita, Okoy, Santa Fe, Cebu - Municipal</t>
  </si>
  <si>
    <t>Construction of Two (2) Storey Six (6) Classroom School Building, New Bohol ES, Kidapawan City, North Cotabato</t>
  </si>
  <si>
    <t>ADULT PAD PACK &amp; PEDRIATIC PAD PACK</t>
  </si>
  <si>
    <t>INVITATION TO BID ON TONER FOR PRINTER USED FOR PRINTING SUPPORT TO BIG SCHOOLS IN DISTANCE LEARNING PROGRAM.</t>
  </si>
  <si>
    <t>Procurement of Hospital Equipment</t>
  </si>
  <si>
    <t>CONCRETING OF LOCAL ACCESS ROAD UPGRADING</t>
  </si>
  <si>
    <t>Purchase of Materials for Road Concreting, Sitio Pasil, Langub, Santa Fe, Cebu - Municipal</t>
  </si>
  <si>
    <t>PURCHASE OF 1 UNIT GARBAGE DUMPTRUCK</t>
  </si>
  <si>
    <t>MATERIALS FOR THE CONCRETING OF ROAD PUROK 5</t>
  </si>
  <si>
    <t>Purchase of Ambulance for Brgy. Salapungan, Gerona, Tarlac</t>
  </si>
  <si>
    <t>INVITATION TO BID CORN SEEDS, BROILER, FISH FEEDS AND PLASTIC DRUMS USED FOR FARM INPUTS FOR INTEGRATED FARMING (FARMER’S LIVELIHOOD) OF LGU, SAN FRANCISCO, CEBU. (2nd posting)</t>
  </si>
  <si>
    <t>Concreting of Farm-To-Market Road (San-Isidro Mapangpang Road)</t>
  </si>
  <si>
    <t>CONSTRUCTION OF BARANGAY  ROAD AT BRGY CONANT, VILLAREAL, SAMAR</t>
  </si>
  <si>
    <t>Supply and delivery of materials for the Improvement of Multi - Purpose Hall (Tile Works) at Sitio Ibaba, Barangay Lucutan</t>
  </si>
  <si>
    <t>Purchase of Materials for Road Concreting, Purok Aquarius, Talisay, Santa Fe, Cebu - Municipal</t>
  </si>
  <si>
    <t>SUPPLY AND DELIVERY OF MATERIALS TO BE USED FOR REPAIR AND MAINTENANCE OF OTHER STRUCTURE (MPH), SITIO CENTRO, BARANGAY GEN. ESCO</t>
  </si>
  <si>
    <t>SUPPLY, DELIVERY AND COMMISSIONING OF ONE (1) LOT SOLID WASTE MACHINERIES</t>
  </si>
  <si>
    <t>INVITATION TO BID FOR THE SUPPLY, DELIVERY AND INSTALLATION OF SLAUGHTERHOUSE EQUIPMENT &amp; ACCESSORIES FOR COMPLETION OF MUNICIPAL SLAUGHTERHOUSE AT PAGATPAT, STA. CRUZ, ZAMBALES</t>
  </si>
  <si>
    <t>PROPER BUTAC-NUMBASAL FMR ROAD OPENING CONTINUATION</t>
  </si>
  <si>
    <t>BARANGAY MULTI- PURPOSE BUILDING IMPROVEMENT</t>
  </si>
  <si>
    <t>OFFICE BUILDING IMPROVEMENT (MA)</t>
  </si>
  <si>
    <t>PURCHASE OF VARIOUS COMMODITIES FOR GABAY PAGMAMAHAL SA NAKAKATANDA 2020</t>
  </si>
  <si>
    <t>Concreting of Farm-To-Market Road (San Roque)</t>
  </si>
  <si>
    <t>SUPPLY AND DELIVERY OF MECHANICAL SPARE PARTS for 260kW DALE PERKINS, LOT AWARD</t>
  </si>
  <si>
    <t>Concreting of Farm-To-Market Road (Sitio Baybayabas, Balbalungao))</t>
  </si>
  <si>
    <t>CONSTRUCTION OF 2 STOREY GOVERNMENT OFFICE/BUILDING (UTILITY/KALIPI/4P's) PHASE 1</t>
  </si>
  <si>
    <t>FURNITURE AND FIXTURE FOR PWD</t>
  </si>
  <si>
    <t>20HL0112 - Construction/ Rehabilitation of Water Supply/ Septage and Sewerage/ Rain Water Collectors - Rain Water Collectors in Public Facilities - Region VII, Bacong, Dauin, Zamboanguita, Siaton, Sta</t>
  </si>
  <si>
    <t>19GL00122; P.R. No. 2020-07-084 DATED 07/16/2020: PROCUREMENT OF COMPUTER/I.T. EQUIPMENT FOR USE IN THE PROCUREMENT UNIT, DPWH R.O. XI, DAVAO CITY</t>
  </si>
  <si>
    <t>PROJ. 147 - SK 2020</t>
  </si>
  <si>
    <t>SUPPLY AND DELIVERY OF MECHANICAL SPARE PARTS for Perkins genset Model 2006-TG1 SN: 8B27396U88044W Engine Model:1106A-70 TAG2 SN: PR82603R005990A, LOT AWARD</t>
  </si>
  <si>
    <t>CHALOG FMR IMPROVEMENT</t>
  </si>
  <si>
    <t>BUNHIAN - MAJLONG - BUWAG ROAD</t>
  </si>
  <si>
    <t>OFFICE EQUIPMENT (Brgy, St. Maria-SEF)</t>
  </si>
  <si>
    <t>Furnishing labor, materials and equipment for the Concreting/Rehabilitation/Improvement/Upgrading of Lipa Road, Sta. Cruz, Marinduque</t>
  </si>
  <si>
    <t>OFFICE EQUIPMENT (Brgy, VILLAGONZALO-SEF)</t>
  </si>
  <si>
    <t>POJNAAN PROPER FMR IMPROVEMENT</t>
  </si>
  <si>
    <t>Repair &amp; Replace of various Spareparts including Overhauling, Body Works For Government Vehicle bearing Plate no.: SGX-798 of Barangay Apopong GSC.</t>
  </si>
  <si>
    <t>Concreting of Calean- Tenok - Paitan Road (Phase 3) Sta.  (PERPENDICULAR TO RI 2015 AMPUPAO ROAD) STA. 0+000-STA. 1+ 080, Mangudadatu, Maguindanao</t>
  </si>
  <si>
    <t>GARMENTS AND PRINTING SHOP PROJECT</t>
  </si>
  <si>
    <t>LOWER AWAYAN - MALIWANOY - TOAYONG - GOTOR ROAD (Ord. No. 2016-10)</t>
  </si>
  <si>
    <t>OFFICE EQUIPMENT (Brgy, LOOC-SAPI)</t>
  </si>
  <si>
    <t>PROPOSED CONSTRUCTION OF ONE (1) STOREY MULTI-PURPOSE EVACUATION CENTER</t>
  </si>
  <si>
    <t>SAGPAT-ULALANI-UPPER POSNAAN-CORINTINAS ROAD IMPROVEMENT (ORD. NO. 2016-10)</t>
  </si>
  <si>
    <t>PROCUREMENT OF VARIOUS WATER SERVICE CONNECTION MATERIALS/FITTINGS USE FOR THE OPERATION OF WATERSYSTEM (MAINTENANCE OF WATERWAYS)</t>
  </si>
  <si>
    <t>PROCUREMENT  OF DRUGS, MEDICINES  AND MEDICAL  SUPPLIES</t>
  </si>
  <si>
    <t>Construction of Kenit Concrete Bridge, STA. 0+104 of Sta. 0+119 , Shariff Aguak, Maguindanao</t>
  </si>
  <si>
    <t>PURCHASE OF FACE MASK &amp; PPE'S</t>
  </si>
  <si>
    <t>Procurement/Supply and Delivery of Six (6) Wheelers Hauling Truck</t>
  </si>
  <si>
    <t>Furnishing labor, materials and equipment for the Concreting/Rehabilitation/Improvement/Upgrading of Hupi Road, Brgy. Hupi, Sta. Cruz, Marinduque</t>
  </si>
  <si>
    <t>Concreting of Farm-To-Market Road (Agupalo Este Road)</t>
  </si>
  <si>
    <t>Purchase of Office Equipment For Office Use. Under P.R. No. 80-20-06-086</t>
  </si>
  <si>
    <t>19GL00121; P.R. No. 2020-03-042 DATED 03/19/2020: PROCUREMENT OF ONE (1) OF LOT ROLLER BLINDS,  FOR USE IN THE OPERATION OF THE DPWH R.O. XI (NEW BUILDING), UNDER THE PLANNING AND DESIGN, CONSTRUCTION</t>
  </si>
  <si>
    <t>OFFICE EQUIPMENT (PWD)</t>
  </si>
  <si>
    <t>VARIOUS MATERIALS FOR THE CONSTRUCTION OF OPEN DRAINAGE CANAL</t>
  </si>
  <si>
    <t>NATIONAL ROAD TO DAMAG NORTH ELEMENTARY SCHOOL ROAD</t>
  </si>
  <si>
    <t>Purchase of Food Supply</t>
  </si>
  <si>
    <t>REPAIR OF BARANGAY BALACDAS MULTI-PURPOSE CENTER AT BARANGAY BALACDAS, BORONGAN CITY, EASTERN SAMAR</t>
  </si>
  <si>
    <t>Purchase of Water System Materials &amp; supply</t>
  </si>
  <si>
    <t>Construction of Kayakaya Concrete Bridge ,STA. 0+845 - STA0+ 860, Datu Abdullah Sangki, Maguindanao</t>
  </si>
  <si>
    <t>COMPLETION OF SCHOOL BUILDING (Lusacan NHS, Brgy. Lusacan)</t>
  </si>
  <si>
    <t>INVITATION TO BID FOR THE SUPPLY AND DELIVERY OF TRIMOBILE FOR THE OFFICE OF THE SANGGUNIANG BAYA, STA. CRUZ, ZAMBALES</t>
  </si>
  <si>
    <t>SUPPLY AND DELIVERY OF MATERIALS TO BE USED FOR OFFICE RELATED WORKS AND ACTIVITIES(Projector and Steel Rack 4 layers) AT KALAMANSIG DPP, LOT AWARD</t>
  </si>
  <si>
    <t>19GL00120; P.R. No. 2020-03-042 DATED 03/19/2020: PROCUREMENT OF ONE (1) LOT OF VARIOUS CABINETS &amp; FILE STORAGE, FOR USE IN THE DPWH R.O. XI, UNDER ADMINISTRATIVE DIVISION, DAVAO CITY</t>
  </si>
  <si>
    <t>I.T. EQUIPMENT AND SOFTWARE-ACC-20-0918-B</t>
  </si>
  <si>
    <t>MINOR REPAIR OF TEACHER'S CENTER @ LABANGAN DISTRICT II</t>
  </si>
  <si>
    <t>Purchase of Materials for Road Concreting, Sitio Alice Beach, Okoy, Santa Fe, Cebu - Municipal</t>
  </si>
  <si>
    <t>PROPOSED CONSTRUCTION OF WATER TANK-BARANGAY MAIKAY</t>
  </si>
  <si>
    <t>Construction of Day Care Center</t>
  </si>
  <si>
    <t>Concreting of Brgy. Road in Barangay Salvacion</t>
  </si>
  <si>
    <t>LIBERTY ROAD IMPROVEMENT</t>
  </si>
  <si>
    <t>Furnishing labor, materials and equipment rental for the Construction of Brgy. Water Supply System (Phase 1), Brgy. Tabionan, Gasan, Marinduque</t>
  </si>
  <si>
    <t>PURCHASE OF 9 UNITS MOUNTAIN BIKES</t>
  </si>
  <si>
    <t>Supply and Delivery of One Unit Brand New Municipal Service Vehicle</t>
  </si>
  <si>
    <t>Fabrication &amp; Installation of of Hanging Board with ring &amp; net at Multi Purpose Building (Gymnasium), Brgy. Palamis, Alaminos City, Pangasinan</t>
  </si>
  <si>
    <t>PROCUREMENT OF DRUGS AND MEDICINES (MHO-MOOE 2020), BOKOD, BENGUET</t>
  </si>
  <si>
    <t>PROCUREMENT OF VARIOUS DISASTER RESPONSE &amp; RESCUE EQUIPMENT (MDRRMF 2020), BOKOD, BENGUET</t>
  </si>
  <si>
    <t>MINOR REPAIR OF DISTRICT OFFICE (ROOF &amp; CEILING) @ LABANGAN DISTRICT II</t>
  </si>
  <si>
    <t>Purchase of Other Machinery and Equipment – Home for Boys - CSWDO</t>
  </si>
  <si>
    <t>PACKAGE II</t>
  </si>
  <si>
    <t>PACKAGE III</t>
  </si>
  <si>
    <t>MAINTENANCE OF 16 PUBLIC ELEMENTARY SCHOOLS @ LABANGAN DISTRICT I</t>
  </si>
  <si>
    <t>MINOR REPAIR OF TEACHER'S CENTER @ LABANGAN DISTRICT I</t>
  </si>
  <si>
    <t>ITB - Supply and Delivery of Various Oral Health Supplies LOT 3</t>
  </si>
  <si>
    <t>Concreting of Farm-To-Market Road (San Isidro)</t>
  </si>
  <si>
    <t>ITB - Supply and Delivery of Various Oral Health Supplies LOT 2</t>
  </si>
  <si>
    <t>MINOR REPAIR OF DISTRICT OFFICE (CEILING &amp; ENTRANCE ROOF) @ LABANGAN DISTRICT I</t>
  </si>
  <si>
    <t>INVITATION TO BID FOR THE SUPPLY AND DELIVERY OF 97 PCS 18K SERVICE RING FOR LGU EMPLOYEES OF OROQUIETA CITY (SECOND NOTICE)</t>
  </si>
  <si>
    <t>PURCHASE OF FOOD SUPPLEMENTS FOR 6-59 MONTHS CHILDREN, PWDS AND PREGNANT WOMEN (SUPPORT TO NUTRITION), BOKOD, BENGUET</t>
  </si>
  <si>
    <t>ITB - Supply and Delivery of Various Oral Health Supplies LOT 1</t>
  </si>
  <si>
    <t>Purchase of Goods/Materials for Concreting of Malabo Brgy. Road (Re-Bid)</t>
  </si>
  <si>
    <t>Purchase of Office Supplies for use in the Maintenance Section (3rd Quarter)</t>
  </si>
  <si>
    <t>ROAD OPENING AT BABY'S BREATH, POBLACION WEST, FLORA, APAYAO</t>
  </si>
  <si>
    <t>Purchase of Materials for Street Lighting, NHA, Marikaban, Santa Fe, Cebu - Municipal</t>
  </si>
  <si>
    <t>PROPERTY ADMINISTRATION OF PASIG CENTRAL BUSINESS PARK – 5TH BIDDING</t>
  </si>
  <si>
    <t>Improvement of Barangay North Poblacion Road</t>
  </si>
  <si>
    <t>Purchase of Materials for Road Concreting, Purok Panagdait, Balidbid, Santa Fe, Cebu - Municipal</t>
  </si>
  <si>
    <t>REHABILITATION/IMPROVEMENT OF SAN JOSE DIVERSION DAM</t>
  </si>
  <si>
    <t>PACKAGE V</t>
  </si>
  <si>
    <t>Rehabilitation of 2nd Floor MPB - SB Building (Phase 1)</t>
  </si>
  <si>
    <t>MAINTENANCE OF 9 PUBLIC ELEMENTARY SCHOOLS @ LABANGAN DISTRICT II</t>
  </si>
  <si>
    <t>PACKAGE IV</t>
  </si>
  <si>
    <t>Proposed Completion of GSD Warehouse &amp; Construction of Perimeter Fence @ Brgy. Poblacion, Toledo City</t>
  </si>
  <si>
    <t>Furnishing labor, materials and equipment rental for the Construction of Brgy. Water Works System, Brgy. Datingbayan, Sta. Cruz, Marinduque</t>
  </si>
  <si>
    <t>Purchase of Tablet for the Pupils who are in the Junior High School and Senior High School Using On-line Class on Various Schools Under  the City School Division of Bacoor – CSDO</t>
  </si>
  <si>
    <t>Furnishing labor, materials and equipment for the Concreting/Rehabilitation/Improvement/Upgrading of Janagdong Road, Brgy. Janagdong, Mogpog, Marinduque</t>
  </si>
  <si>
    <t>Procurement of Supply &amp; Delivery of 186 heads Goat</t>
  </si>
  <si>
    <t>PROCUREMENT OF COMMUNICATION EQUIPMENT, BOKOD, BENGUET</t>
  </si>
  <si>
    <t>Purchase of Food Stuff</t>
  </si>
  <si>
    <t>Furnishing labor, materials and  equipment for the Construction/Rehabilitation of Poblacion Provincial Road at Rizal St., Magsaysay-Quezon St., D. Mercader- A. Dela Santa St., San Miguel St., Col. Aba</t>
  </si>
  <si>
    <t>Procurement of Pick Up Truck for the use of apprehension and collection of tax on Sand and Gravel and other quarry Resources of Provincial Treasurer’s Office, Kalibo, Aklan- Re Bidding/ITB no: 2020-42</t>
  </si>
  <si>
    <t>Procurement of Electric Kettle for Office Use</t>
  </si>
  <si>
    <t>Purchase of Materials for Improvement of Barangay Health Center, Brgy. Proper Kinatarkan, Santa Fe, Cebu - Municipal</t>
  </si>
  <si>
    <t>Purchase of Materials for Road Concreting, Purok Kalambuan, Poblacion Santa Fe, Cebu - Municipal</t>
  </si>
  <si>
    <t>Concreting of Local Core Road at Sitio Balot 2</t>
  </si>
  <si>
    <t>Proposed Construction of Multi-Purpose Building (Phase II) @ Brgy. Cabitoonan, Toledo City</t>
  </si>
  <si>
    <t>CONDUCT OF CELEBRATION OF DISABILITY WEEK 2020</t>
  </si>
  <si>
    <t>Furnishing labor, materials &amp; equipment for the Construction of  Hospital Facilities (Morgue) Santol, Boac, Marinduque</t>
  </si>
  <si>
    <t>CONDUCT OF CELEBRATION OF SENIOR CITIZEN WEEK</t>
  </si>
  <si>
    <t>PURCHASE OF 31 UNITS 3IN1 PRINTER</t>
  </si>
  <si>
    <t>20II0061(Re-Ad), Repair and Maintenance of Road Safety Facilities (Supply, Delivery and Installation of Danger, Hazard, Warning, Regulatory and Informative Signages) along Catarman Laoang Road, Laoang</t>
  </si>
  <si>
    <t>SUPPLY AND DELIVERY OF ELETRICAL SPARE PARTS for HIKDOP DPP 4 units gensets, LOT AWARD</t>
  </si>
  <si>
    <t>Furnishing labor, materials &amp; equipment for the Construction of  Hospital Facilities (Storage) Santol, Boac, Marinduque</t>
  </si>
  <si>
    <t>SUPPLY AND DELIVERY OF MECHANICAL SPARE PARTS for 120kW CUMMINS genset Model No. 6BTAA5.9G2, Engine Serial no. 87058381, LOT AWARD</t>
  </si>
  <si>
    <t>Proposed Medical Intervention and Evacuation Center located at Barangay Jasaan, Santa Cruz, Laguna</t>
  </si>
  <si>
    <t>PURCHASE/INSTALLATION OF CCTV - SAN JUAN, ILOCOS SUR</t>
  </si>
  <si>
    <t>Construction of Water System Phase 2</t>
  </si>
  <si>
    <t>Procurement of medicines of the municipality</t>
  </si>
  <si>
    <t>PACKAGE I</t>
  </si>
  <si>
    <t>Construction of Drainage Canal Phase II</t>
  </si>
  <si>
    <t>PURCHASE OF ONE (1) UNIT VEHICLE VAN</t>
  </si>
  <si>
    <t>SUPPLY AND DELIVERY OF SUPPLIES, MATERIALS AND EQUIPMENT TO BE USED FOR DENTAL SERVICES- 2nd Posting</t>
  </si>
  <si>
    <t>Procurement of Diesel for Rechanneling of Rivers (Along Poblacion-SR 1 water ways)</t>
  </si>
  <si>
    <t>Procurement of Infrastructure-Road Opening at Ikog Buaya Sitio Nonocan, Brgy. Dapnan Phase III</t>
  </si>
  <si>
    <t>Supply and Delivery of Construction Supplies and Materials for Repair and Maintenance of Various Buildings</t>
  </si>
  <si>
    <t>Furnishing labor and materials for the Construction of  Water Works System, Brgy. Isok II, Brgy. Isok II, Boac, Marinduque</t>
  </si>
  <si>
    <t>Construction and Installation of 4units Streetlighting System</t>
  </si>
  <si>
    <t>Construction/Rehabilitation of Existing Drainage System at Brgy. Concepcion, City Proper, Iloilo City (Bid No. 20-167)</t>
  </si>
  <si>
    <t>Purchase of IT Equipment, Nine (9) Units of Laptop, Santa Fe, Cebu - Municipal</t>
  </si>
  <si>
    <t>Dairy Production (Construction of Bunker Silo) @ Sitio Civoleg, Barangay Lunotan, Gingoog City, Misamis Oriental under Contract Ref. No. 2020-INFRA-061</t>
  </si>
  <si>
    <t>Procurement of 313,150 liters Diesel Fuel</t>
  </si>
  <si>
    <t>Supply and Delivery of Food and Water</t>
  </si>
  <si>
    <t>SUPPLY AND DELIVERY OF MECHANICAL SPARE PARTS for 160kW FG Wilson genset Model P300H SN: LL5014J, SN: 92030004, LOT AWARD</t>
  </si>
  <si>
    <t>REHABILITATION OF BRGY. HALL (TOILET AND KITCHEN)</t>
  </si>
  <si>
    <t>Supply and Delivery of Janitorial Supplies and Materials</t>
  </si>
  <si>
    <t>PROCUREMENT OF SERVICE VEHICLE FOR MAYOR’S OFFICE</t>
  </si>
  <si>
    <t>ITB - Supply and Delivery of Hygiene Kits LOT3</t>
  </si>
  <si>
    <t>Information Technology &amp; Accessories &amp; Perip</t>
  </si>
  <si>
    <t>Procurement of Various Office supplies for the use of different Provincial Offices and Hospitals, Province of Aklan/ITB no: 2020-425</t>
  </si>
  <si>
    <t>Supply and Delivery of Customized Forms</t>
  </si>
  <si>
    <t>ITB - Supply and Delivery of Hygiene Kits LOT2</t>
  </si>
  <si>
    <t>Setting-Up of Covered Court as Isolation Area to Accommodate COVID-19 Patients &amp; Persons under Monitoring/Investigation</t>
  </si>
  <si>
    <t>Supply and Delivery of Oxygen</t>
  </si>
  <si>
    <t>Supply/Delivery of Motor Vehicle</t>
  </si>
  <si>
    <t>Purchase of 2 Units Mini Bus 4x2 DSL M/T (29 - seater) for Disaster and Emergency Purposes PDRRMO Province of Northern Samar</t>
  </si>
  <si>
    <t>IMPROVEMENT OF STA. MARIA MULTI-PURPOSE HALL</t>
  </si>
  <si>
    <t>20GPL0003 – Purchase of spare parts, tires, batteries and lubricants for use of various motor vehicles/equipment assigned at DPWH-LKDEO</t>
  </si>
  <si>
    <t>Supply and Delivery of Medical and Dental Supplies (Lots)</t>
  </si>
  <si>
    <t>Purchase of Diesel Fuel for the maint. of govt. vehicles  @ Vice Mayor's Office</t>
  </si>
  <si>
    <t>Rehabilitation of Material Recovery Facility (MRF)</t>
  </si>
  <si>
    <t>SUPPLY AND DELIVERY OF DRUGS &amp; MEDICINES</t>
  </si>
  <si>
    <t>Procurement of Delivery Item 200 Aggregates</t>
  </si>
  <si>
    <t>Purchase of Materials for Street Lighting, Purok Malipayon, Hagdan, Santa Fe, Cebu - Municipal</t>
  </si>
  <si>
    <t>One (1) Year Garbage Collection, Transport and Disposal Services (2nd Posting)</t>
  </si>
  <si>
    <t>Supply and Delivery of Medicines (Lots)</t>
  </si>
  <si>
    <t>(SBMA-BAC-CONS-RFEI-20-03) CONSULTANCY SERVICES FOR THE PREPARATION OF DETAILED ENGINEERING DESIGN FOR THE REHABILITATION OF SHIP REPAIR FACILITIES (SRF) PIER AND WHARVES PROJECT</t>
  </si>
  <si>
    <t>Improvement and Rehabilitation of Boulevard Drainage Canal</t>
  </si>
  <si>
    <t>Supply and Delivery of Flowers</t>
  </si>
  <si>
    <t>Supply and delivery of materials for the Const. of Barangay Water System</t>
  </si>
  <si>
    <t>20GPL0002 - Purchase of Common-use Supplies for use of DPWH-LKDEO</t>
  </si>
  <si>
    <t>20L00172 : Construction of Rainwater Collection System, Island Garden City of Samal, Davao del Norte</t>
  </si>
  <si>
    <t>Supply &amp; Delivery of Furniture for CADS,Library,RDE Office and Disaster</t>
  </si>
  <si>
    <t>Supply and Delivery of Various Medicines, as per BSP Terms of Reference</t>
  </si>
  <si>
    <t>20DJ0100 (Re-Advertised) - LOCAL PROGRAM, Local Infrastructure Program, Construction of Multi-Purpose Building (Municipal Hall) at Dolores, Quezon</t>
  </si>
  <si>
    <t>RFQ 2020-01-0042-FURNITURE &amp; FIXTURES FOR IAAS</t>
  </si>
  <si>
    <t>IMPROVEMENT OF STA. MARIA DAY CARE CENTER</t>
  </si>
  <si>
    <t>INVITATION TO BID FOR THE PROCUREMENT OF FUEL FOR MOBILIZATION OF VARIOUS OFFICES</t>
  </si>
  <si>
    <t>Supply and Delivery of Construction Supplies and Materials for Repair and Maintenance of Roads</t>
  </si>
  <si>
    <t>Supply and Delivery of Grocery Items</t>
  </si>
  <si>
    <t>Q-122-20 PROCUREMENT OF LEARNING MANAGEMENT SYSTEM</t>
  </si>
  <si>
    <t>Supply and Delivery of Various Construction Materials and Supplies for the Proposed Improvement of Goodrich Subd. Park, Brgy. Concepcion II, Marikina City</t>
  </si>
  <si>
    <t>Supply and Delivery of Various Brand New Tires</t>
  </si>
  <si>
    <t>Waterworks Materials</t>
  </si>
  <si>
    <t>REHABILITATION OF ROADS AND BRIDGES</t>
  </si>
  <si>
    <t>Procurement of Book Paper for the Reproduction of Modules</t>
  </si>
  <si>
    <t>Construction and Installation of  Streetlighting System</t>
  </si>
  <si>
    <t>Proposed Improvement of Tennis Court (Infra Support Program) at Brgy. Sudapin, Kidapawan City</t>
  </si>
  <si>
    <t>CONSTRUCTION OFCIVIC CENTER BRGY CANDAYAO JIABONG SAMAR</t>
  </si>
  <si>
    <t>Supply and Delivery of CCTV Equipment</t>
  </si>
  <si>
    <t>ITB - Supply and Delivery of Hygiene Kits LOT1</t>
  </si>
  <si>
    <t>Procurement of Thermal Scanner for use in the determination of body temperature of learners upon resumption of classes as mitigation for COVID-19 (Elementary and Secondary Schools)</t>
  </si>
  <si>
    <t>Invitation to Bid for the Procurement of Services for Hosting, Training, Customizing and Managing an Online Learning Management System (LMS)</t>
  </si>
  <si>
    <t>CONSTRUCTION OF COVERED CANAL AT QUEZON ST., BRGY. LUZ-PHASE I</t>
  </si>
  <si>
    <t>Municipal Wide 79 Cameras CCTV and Fiber optic Delivery and Installation</t>
  </si>
  <si>
    <t>To hire contractor to provide materials, labor, and equipment for the “Construction of Malaunay-Dobdob Road, Valencia, Negros Oriental” (B-109-2020)</t>
  </si>
  <si>
    <t>CONSTRUCTION OF SITIO LIFILIFIAN POTABLE WATER SYSTEM LEVEL II (SPRING DEVELOPMENT)</t>
  </si>
  <si>
    <t>RENEGOTIATION for the Procurement of Supply &amp; Delivery of Various Fertilizers</t>
  </si>
  <si>
    <t>Procurement of Digital Duplicator and Digital Copier</t>
  </si>
  <si>
    <t>Supply and Delivery of Spare Parts for Various Vehicle</t>
  </si>
  <si>
    <t>Construction of Brgy. Boa Concrete Bridge</t>
  </si>
  <si>
    <t>Construction of School Building Lubluban Elementary School, Libertad,  Misamis Oriental</t>
  </si>
  <si>
    <t>rebidding of the requirement “Four (4) Lots Various Construction Materials for the use in the Rehabilitation/Improvement of Drainage System and Road Sidewalk within Barangay Pobalcion 6, Dumaguete Cit</t>
  </si>
  <si>
    <t>CONSTRUCTION OF MULTPURPOSE DRYING PAVEMENT ( 2 UNITS)</t>
  </si>
  <si>
    <t>PROCUREMENT OF ONE (1) LOT SUPPLY LABOR AND MATERIALS FOR THE CONCRETING OF PATHWAYS OF BRGYS. CANBALISARA, HILAGPAD AND CABUYANAN, TANAUAN, LEYTE</t>
  </si>
  <si>
    <t>INSTALLATION OF CCTV W/ NVR &amp; MONITOR AT VARIOUS RESETTLEMENT SITES FOR PEACE AND ORDER MONITORING @ GOLDEN HORIZON , SUNSHINE VILEE &amp; SOUTHVILLE 2 PHASE 3, TMC</t>
  </si>
  <si>
    <t>CONSTRUCTION OF SITIO KUED POTABLE WATER SYSTEM LEVEL II (SPRING DEVELOPMENT)</t>
  </si>
  <si>
    <t>rebidding of the requirement “Five (5) Lots Various Construction Materials for the use in the Construction/Rehabilitation of Shoreline Protection Structures along Coastal Barangays, Dumaguete City, Pr</t>
  </si>
  <si>
    <t>To hire contractor to provide materials, labor and equipment for two (2) Infrastructure Projects, viz: (Pamplona) (B-111-2020)</t>
  </si>
  <si>
    <t>Purchase of Various Medicines for  RHU</t>
  </si>
  <si>
    <t>FOOD PACKS FOR MUNICIPAL QUARANTINE AND ISOLATION CENTERS FOR VARIOUS TASK RELATIVE TO LGU COVID-19 INTERVENTIONS ACTIVITIES</t>
  </si>
  <si>
    <t>PROCUREMENT OF ONE (1) LOT SUPPLY LABOR AND MATERIALS FOR THE CONSTRUCTION OF MULTI-PURPOSE HALL, BRGY. MAGHULOD, TANAUAN, LEYTE</t>
  </si>
  <si>
    <t>CAPITAL EXPENDITURE ON LOCAL ECONOMIC DEV'T. FOR THE CONSTRUCTION OF LGU MEMORIAL PARK PHASE-II</t>
  </si>
  <si>
    <t>Construction of Pantry and tiling of PE Office ( RFQ 2020-4235)</t>
  </si>
  <si>
    <t>Proposed Construction of Perimeter Fence Alagatan Elementary School School, Barangay Alagatan, Gingoog City,  Misamis Oriental</t>
  </si>
  <si>
    <t>Supply and Delivery of 2020 1st Quarter Supplies for Cotabato Division</t>
  </si>
  <si>
    <t>CONSTRUCTION OF COVERED CANAL AT QUEZON ST., BRGY. LUZ-PHASE II</t>
  </si>
  <si>
    <t>Improvement of Farmer’s Information Technology Services (FITS) Center</t>
  </si>
  <si>
    <t>Cont. Ref. No. 086-20: Construction of Retaining Wall along Labilab Road (near Fr. Solang) at Loacan, Itogon, Benguet</t>
  </si>
  <si>
    <t>PROCUREMENT FOR THE SUPPLY AND DELIVERY OF ONE (1) UNIT PICK-UP TRUCK</t>
  </si>
  <si>
    <t>Supply and Delivery of CM for the improvement of CIS @ Tudkol, Pingkian and Improvement of CIS @ Mapayao,KNV</t>
  </si>
  <si>
    <t>SUPPLY, DELIVERY AND INSTALLATION OF QUEUING SYSTEM WITH SOFTWARE AND CONSUMABLES</t>
  </si>
  <si>
    <t>Procurement of Equipment for Maydolong Water System</t>
  </si>
  <si>
    <t>Supply and Delivery of the following Office Equipments - 4 units Heavy Duty Duplicator and 4 units Digital Copier for Santa Barbara Central Elementary School</t>
  </si>
  <si>
    <t>Concreting of Hedriana Street, Pavia, Iloilo</t>
  </si>
  <si>
    <t>PR# 20-1610- Laboratory Supplies (Stockpiling)</t>
  </si>
  <si>
    <t>CONSTRUCTION OF PLAMANGO POTABLE WATER SYSTEM LEVEL II (SPRING DEVELOPMENT)</t>
  </si>
  <si>
    <t>Construction of Buntis Lounge</t>
  </si>
  <si>
    <t>Construction of Dry Market Building’s Perimeter Covered Walkway</t>
  </si>
  <si>
    <t>CONSTRUCTION OF COVERED CANAL AT QUEZON ST., BRGY. LUZ-PHASE III</t>
  </si>
  <si>
    <t>Purchase of Furniture and Fixtures for Mayor’s Office and MENR Office</t>
  </si>
  <si>
    <t>Supply and delivery of Drugs and Medicines for use at the City Health Office, RHU’s, BHS’s &amp; Medical Mission Request (for 3rd &amp; 4th quarter), Laoag City</t>
  </si>
  <si>
    <t>Construction of Multi – Purpose Building  (Auditorium Phase I), Brgy. Poblacion, San Agustin, Romblon</t>
  </si>
  <si>
    <t>SUPPLY, DELIVERY AND INSTALLATION OF CUSTOMIZED STEEL CONTAINER VANS</t>
  </si>
  <si>
    <t>ITB No. 20-070 One (1) Lot Supply and Delivery of Two (2) Complete Video Laryngsocope Systems Inclusive of Five (5) Blades with Connectors, Two (2) Units Flexible Tip and Four (4) Magill Forceps</t>
  </si>
  <si>
    <t>PURCHASE OF MATERIALS FOR INSTALLATION WATER PIPE LINES</t>
  </si>
  <si>
    <t>SUPPLY, DELIVERY OF VARIOUS OPTHALMIC SURGERY MEDICAL EQUIPMENT (5 LOTS)</t>
  </si>
  <si>
    <t>PROPOSED 100MM X 394 LM. DI PIPELINE EXPANSION AT SITIO LUTAW-LUTAW, BRGY. TISA, CEBU CITY, CEBU</t>
  </si>
  <si>
    <t>Office Enhancement Project</t>
  </si>
  <si>
    <t>CONSTRUCTION OF SAGASA – GAWAD KALINGA  POTABLE WATER SYSTEM LEVEL II (DEEP WELL)</t>
  </si>
  <si>
    <t>SUPPLY AND DELIVERY OF VARIOUS LABORATORY SUPPLIES (3 LOTS)</t>
  </si>
  <si>
    <t>Supply and Delivery of CM for the construction of Hanging Bridge Phase I @ Nansipokan, Cabayo NV</t>
  </si>
  <si>
    <t>Cont. Ref. No. 101-20: Enhancement of Tuding Proper Gym and Evacuation Center at Tuding, Itogon, Benguet</t>
  </si>
  <si>
    <t>Four (4) Lots Construction Materials for use Rehab./Improvement of Barangay Roads, Poblacion, Guihulngan City, Negros Oriental (B-108-2020)</t>
  </si>
  <si>
    <t>SUPPLY AND DELIVERY OF VARIOUS LABORATORY EQUIPMENT (2 LOTS)</t>
  </si>
  <si>
    <t>Improvement of School at Ungka II Elementary School (Improvement of Grade VI Room and Construction of Study Area)</t>
  </si>
  <si>
    <t>Construction Barangay Wharf-Barangay Apad</t>
  </si>
  <si>
    <t>SUPPLY AND DELIVERY OF 23 UNITS CORN MILL</t>
  </si>
  <si>
    <t>Installation of Street Lighting System at KABSAKA Road, Pavia, Iloilo</t>
  </si>
  <si>
    <t>Procurement of Infrastructure - Barangay Road Opening from Barangay Site Saoquigue to Diversion Road</t>
  </si>
  <si>
    <t>Supply and Delivery of 13 sets gongs (4 pcs per set)</t>
  </si>
  <si>
    <t>Procurement of Infrastructure - Construction of 1 unit Multi-Purpose Pavement</t>
  </si>
  <si>
    <t>SUPPLY AND DELIVERY OF MEALS FOR VARIOUS ACTIVITIES OF MAKATI CITY POLICE AND PLEB</t>
  </si>
  <si>
    <t>Purchase of Office Equipment for use in the Airconditioning for the New Two (2) Storey DPWH Building, Cotabato 2nd DEO Lanao, Kidapawan City</t>
  </si>
  <si>
    <t>Supply of Materials for FMR Caulisihan</t>
  </si>
  <si>
    <t>PURCHASE OF VARIOUS OFFICE SUPPLIES FOR USE IN DPWH PAMPANGA 3RD DISTRICT ENGINEERING OFFICE (3RD QUARTER) AT ANGELES CITY</t>
  </si>
  <si>
    <t>Procurement of Brand New Rescue Equipment Vehicle (Mini Bus)</t>
  </si>
  <si>
    <t>Installation of Air Conditioners including Labor at 24/7 Operations Center and MENR Office</t>
  </si>
  <si>
    <t>Procurement of Infrastructure - Construction of PDAO Office Extension Building</t>
  </si>
  <si>
    <t>PUBLIC BIDDING / PR 20-06-1410  / LICENSES,NETWORK ACCESS CONTROL (NAC) APPLAINCE</t>
  </si>
  <si>
    <t>CONSTRUCTION OF SOLAR LIGTHINGS-BARANGAY SAN NICOLAS</t>
  </si>
  <si>
    <t>REPAIR AND MAINTENANCE OF CONCRETE PAVEMENT @ BRGY. BAYANIHAN</t>
  </si>
  <si>
    <t>BIdding (Infra Project)</t>
  </si>
  <si>
    <t>PROPOSED PIPELINE REHABILITATION PROJECT FOR GARDEN BLOOM ACRES SUBDIVISION, BRGY. PITOGO, CONSOLACION, CEBU</t>
  </si>
  <si>
    <t>ITB Procurement of 2 Units Generators for use of Mansalay and Socorro Fire Station, Oriental</t>
  </si>
  <si>
    <t>Supply and Delivery of CM for the Improvement of Padang, Acacia -Mapayao Road</t>
  </si>
  <si>
    <t>PROCUREMENT OF VARIOUS OFFICE SUPPLIES FOR USE IN PLANNING AND DESIGN SECTION AT DPWH PAMPANGA 3RD DISTRICT ENGINEERING OFFICE</t>
  </si>
  <si>
    <t>Procurement of Civil Works for the Site Dev./Construction/Rehab of Materials Recovery Facility (MRF)</t>
  </si>
  <si>
    <t>Installation of Street Lighting System at Cabugao-Tigum Road, Pavia, Iloilo</t>
  </si>
  <si>
    <t>SUPPLY AND DELIVERY OF BRAND NEW TRACTOR TRUCK WITH LOW BED SEMI-TRAILER</t>
  </si>
  <si>
    <t>PUBLIC BIDDING / PR 19-11-1191 Re-Bid / BRAND NEW 4x2 6 WHEELER CAB</t>
  </si>
  <si>
    <t>Purchase of one (1) unit Brand New Garbage Truck Compactor</t>
  </si>
  <si>
    <t>Supply and Delivery of 205 vials Purified Chick Embryo Cell 1ml/vial and (2) other items under Purchase Request No. 1053-20</t>
  </si>
  <si>
    <t>SUPPLY AND DELIVERY OF 97,0000 PCS. CACAO CERTIFIED SEEDLINGS</t>
  </si>
  <si>
    <t>Supply of Materials for the FMR Linao-Marao</t>
  </si>
  <si>
    <t>SUPPLY AND DELIVERY OF VARIOUS BED NETS AND CHEMICAL PRODUCTS, FOR THE DENGUE PREVENTION AND MANAGEMENT PROGRAM, OFFICE OF THE MUNICIPAL MAYOR, LGU CANDELARIA, QUEZON</t>
  </si>
  <si>
    <t>Purchase of I.T. Equipment for Various Offices of the municipality (Mayor Gerardo Gorriceta Sr. Memorial School, Municipal Treasurer’s Office, Mayor’s Office-MIS, Pavia DILG Office and HRM Office)</t>
  </si>
  <si>
    <t>Purchase of Two (2) units Brand New Motorcycles for Pavia Bureau of Fire Protection</t>
  </si>
  <si>
    <t>Repair, Improvement and Maintenance of School at Pavia National High School (Repair of Gymnasium)</t>
  </si>
  <si>
    <t>Renovation/Upgrading of Amparo Barangay Health Station at Barangay Amparo, Pavia, Iloilo</t>
  </si>
  <si>
    <t>Purchase of Document Envelopes with Handle to be used in Different Public Schools in the Muncipality</t>
  </si>
  <si>
    <t>SUPPLY AND DELIVERY OF VARIOUS DIETARY AND OTHER SUPPLIES THROUGH ORDERING AGREEMENT</t>
  </si>
  <si>
    <t>Proposed Construction of Perimeter Fence Gumaod Integrated School, Gumaod, Claveria,  Misamis Oriental</t>
  </si>
  <si>
    <t>Purchase of Digital Duplicator for the use of the Different Public Schools in the Municipality</t>
  </si>
  <si>
    <t>Purchase of Glass Pulverizer</t>
  </si>
  <si>
    <t>Supply and Delivery of One (1) Unit GPS</t>
  </si>
  <si>
    <t>Bidding (Infra Project)</t>
  </si>
  <si>
    <t>Improvement of Anilao and Jibao-an Child Development Centers (Walling of Material Recovery Facility at Anilao CDC and Concreting of Additional Comfort Room at Jibao-an CDC)</t>
  </si>
  <si>
    <t>SUPPLY AND DELIVERY OF VARIOUS OFFICE FURNITURES FOR THE OFFICE OF THE MAYOR AND ADMINISTRATOR, LGU CANDELARIA, QUEZON</t>
  </si>
  <si>
    <t>SUPPLY AND DELIVERY OF CT TRIPAK INJECTORS THROUGH ORDERING AGREEMENT</t>
  </si>
  <si>
    <t>Purchase of Audio Visual System  for Various Child Development Centers of the municipality</t>
  </si>
  <si>
    <t>SUPPLY AND DELIVERY OF 40 PIECES WHEELCHAIRS, MSWDO, LGU CANDELARIA, QUEZON</t>
  </si>
  <si>
    <t>PROJ. 253 - YDP 2020</t>
  </si>
  <si>
    <t>Fabrication of Furniture and Fixtures  for Various Child Development Centers of the municipality</t>
  </si>
  <si>
    <t>PURCHASE OF COMMUNICATION SUPPLIES (PREPAID CARDS)</t>
  </si>
  <si>
    <t>UPLB-RES-038-08-20  SUPPLY AND DELIVERY OF BRANDED AND BRAND NEW VEHICLES FOR CEAT-AMTEC (3)</t>
  </si>
  <si>
    <t>Training of Trainers on the NTP Manual of Procedure, 6th Edition</t>
  </si>
  <si>
    <t>SUPPLY AND DELIVERY OF 25 UNITS MIST BLOWERS FOR DISINFECTION AND DECONTAMINATION OF PUBLIC FACILITIES, MDRRMO, LGU CANDELARIA, QUEZON</t>
  </si>
  <si>
    <t>Construction of Sanitary Land Fill</t>
  </si>
  <si>
    <t>Renovation of SK Hall</t>
  </si>
  <si>
    <t>Supply and Delivery of uPVC Pipes</t>
  </si>
  <si>
    <t>Catering Services for Various Activities of the Sangguniang Bayan Office</t>
  </si>
  <si>
    <t>Installation of Street Lighting System at Anilao-Pagsanga-an Road, Pavia, Iloilo</t>
  </si>
  <si>
    <t>SUPPLY AND DELIVERY OF HYBRID CORN SEEDS (Yellow) GMO</t>
  </si>
  <si>
    <t>Construction of Septic Vault</t>
  </si>
  <si>
    <t>PURCHASE OF VARIOUS OFFICE SUPPLIES, EQUIPMENTS AND MATERIALS</t>
  </si>
  <si>
    <t>RFQ 2020-01-0066-BARTENDING SET FOR BSTM HOTEL LABORATORY</t>
  </si>
  <si>
    <t>Procurement of Infrastructure-Barangay Road Opening at Ikog Buaya, Sitio Nonocan, Brgy. Dapnan Phase II</t>
  </si>
  <si>
    <t>LSI MEALS (EMERGENCY FOR COVID-19)</t>
  </si>
  <si>
    <t>Supply and Delivery of One (1) lot Various Materials for Construction of Day Care Center Phase II</t>
  </si>
  <si>
    <t>Procurement of materials for Rehabilitation of Waterworks System</t>
  </si>
  <si>
    <t>Cont. Ref. No. 100-20: Constructions of Footpath with Railings from Municipal Ground to Ayosip Nursery at Poblacion, Itogon, Benguet</t>
  </si>
  <si>
    <t>Construction of Evacuation Center Phase 3</t>
  </si>
  <si>
    <t>CONSTRUCTION OF VARIOUS PROJECTS</t>
  </si>
  <si>
    <t>Repair and Maintenance of Various Barangay Roads (Regraveling of Barangay Cabugao Norte, Sitio Red Fox, Barangay Cabugao Sur and Railway, Barangay Purok II, Pavia, Iloilo)</t>
  </si>
  <si>
    <t>PROCUREMENT OF ONE (1) LOT SUPPLY LABOR AND MATERIALS FOR THE CONCRETING OF BRGY. ROAD OF BRGY. LIMBUHAN GUTI AND BANGON TO TALOLORA ROAD SECTION, TANAUAN, LEYTE</t>
  </si>
  <si>
    <t>LOCAL ACCESS ROAD (Brgy. Lalig)</t>
  </si>
  <si>
    <t>To hire contractor to provide materials, labor and equipment for two (2) Infrastructure Projects, viz (Dumaguete) (B-110-2020)</t>
  </si>
  <si>
    <t>REPAIR OF CONCRETE PAVEMENT AND APPROACH TO TRUCKSCALE WEIGHBRIDGE AT MATUCAY, ALLACAPAN, CAGAYAN</t>
  </si>
  <si>
    <t>SUPPLY AND DELIVERY OF PORTABLE CARDIAC MONITOR TO BE USED AT MDRRM OFFICE</t>
  </si>
  <si>
    <t>REPAIR AND MAINTENANCE OF CONCRETE PAVEMENT @ M. RAMOS ST., BRGY. MALIGAYA</t>
  </si>
  <si>
    <t>UPLB-RES-035-08-20 PROCUREMENT OF DIAGNOSTIC AND LABORATORY SERVICES FOR BIOTEC</t>
  </si>
  <si>
    <t>Supply and Delivery of One (1) Unit Heavy Duty 3 in 1 Multifunctional Digital Copier</t>
  </si>
  <si>
    <t>STRENGTHENING OF HANGING FOOTBRIDGE AT BARANGAY SAN MATEO, BORONGAN CITY EASTERN SAMAR</t>
  </si>
  <si>
    <t>Expansion of Water System</t>
  </si>
  <si>
    <t>DRILLING AND PIPELAYING PROJECT IN BARANGAY LIPAY</t>
  </si>
  <si>
    <t>ITB - Restoration and Upgrading of Teachers' Hall Phase 1</t>
  </si>
  <si>
    <t>Supply and Delivery of One (1) Unit Generator Set to be used in the Evacuation Center at Naujan Sports Complex, Naujan, Oriental Mindoro</t>
  </si>
  <si>
    <t>Procurement of Engineering Office Equipment</t>
  </si>
  <si>
    <t>Supply and Delivery of One (1) Unit Metering Pump</t>
  </si>
  <si>
    <t>Purchase of Boxing &amp; MMA Equipment &amp; Other Sports Equipment</t>
  </si>
  <si>
    <t>Supply and Delivery of Dialysis Supplies</t>
  </si>
  <si>
    <t>REHABILITATION OF SPRING POTABLE WATER SYSTEM (Brgy. San Gregorio, Culasi, Antique)/IB No. K-2020-084 (SC)</t>
  </si>
  <si>
    <t>SVP FOR THE BODY REPAIR, REPAINTING, AND REPLACEMENT OF PARTS OF SERVICE VEHICLE TOYOTA INNOVA (SHY 133) OF NFA LEGAZPI REGIONAL OFFICE V</t>
  </si>
  <si>
    <t>Supply and Delivery of One (1) Unit Heavyduty Photocopier Machine</t>
  </si>
  <si>
    <t>CONCRETING OF FMR (Brgy. Jalandoni-Camancijan, Culasi, Antique)/IB No. K-2020-089(SC)</t>
  </si>
  <si>
    <t>Procurement of PPEs to be used by TUPAD Post Covid Beneficiaries in District 1 of Surigao del Sur</t>
  </si>
  <si>
    <t>Supply and Delivery of Light Rescue 4x4 Vehicle</t>
  </si>
  <si>
    <t>UPLB-RES-036-08-20  SUPPLY AND DELIVERY OF BRANDED AND BRAND NEW LABORATORY AND SCIENTIFIC EQUIPMENT FOR BIOTECH AND IFST</t>
  </si>
  <si>
    <t>PIPELAYING PROJECT IN BACAG WEST</t>
  </si>
  <si>
    <t>Supply and Delivery of Nine Thousand (9,000) Bottles of Fresh Carabaos Choc Milk</t>
  </si>
  <si>
    <t>SUPPLY AND DELIVERY OF NON-PERISHABLE GOODS</t>
  </si>
  <si>
    <t>CONCRETING OF FMR (Sitio Agusipan, Trinidad-Bagumbayan, San Remigio, Antique)/IB. NO. K-2020-081(SC)</t>
  </si>
  <si>
    <t>Cellcards for the Digital Platform re: Monitoring of SWDAs, ABSNet Meetings and Webinar</t>
  </si>
  <si>
    <t>SUPPLY AND DELIVERY OF 6,250 SACHET PLANT GROWTH ENHANCER (FOLIAR FERTILIZER) TO BE DISTRIBUTED IN DIFFERENT PROVINCES OF REGION III IN SUPPORT TO THE AGENCY’S FOOD SECURITY PLAN UNDER RICE PROGRAM FO</t>
  </si>
  <si>
    <t>CONCRETING OF BERI-SAN ANTONIO PROVINCIAL ROAD (Barbaza, Antique)/IB No. K-2020-082(SC)</t>
  </si>
  <si>
    <t>Supply and Delivery of One (1) Unit Brand New Ten Wheeler Dump Truck to be used in the Rehabilitation and Repair of Damaged Roads, Naujan, Oriental Mindoro</t>
  </si>
  <si>
    <t>CONSTRUCTION OF MULTI-PURPOSE CENTER/EMERGENCY EVACUATION CENTER (Brgy. Bulanao, Libertad, Antique)/IB No. K-2020-087(SC)</t>
  </si>
  <si>
    <t>REHABILITATION OF PROVINCIAL ROAD (Boulevard St.) (Boulevard St., Brgy. Poblacion, Laua-an, Antique)/IB. NO. K-2020-088(SC)</t>
  </si>
  <si>
    <t>Procurement of PPEs to be used by TUPAD Post Covid Beneficiaries in District 2 of Surigao del Sur</t>
  </si>
  <si>
    <t>SUPPLY AND DELIVERY OF HOSPITAL LABORATORY AND CSR SUPPLIES</t>
  </si>
  <si>
    <t>Purchase of 95 units Branded Laptop for use by Senior High School Learners in the Publci Secondary Schools, Laoag City</t>
  </si>
  <si>
    <t>INSTALLATION OF SOLAR POWERED STREET LIGHTING FACILITIES</t>
  </si>
  <si>
    <t>SUPPLY AND DELIVERY OF ICT EQUIPMENT AND SUPPLIES</t>
  </si>
  <si>
    <t>PROCUREMENT OF ONE (1) UNIT RESCUE VEHICLE 2.2 L 4x4 Manual Transmission</t>
  </si>
  <si>
    <t>SUPPLY AND DELIVERY OF 8,346 BAGS HYBRID RICE SEEDS IN SUPPORT TO THE AGENCY’S FOOD SECURITY PLAN AMIDST COVID-19 UNDER RICE PROGRAM FOR CY 2020</t>
  </si>
  <si>
    <t>Concreting of Brgy. Manobo to Sitio Punong FMR, Brgy. Manobo, Magpet, North Cotabato</t>
  </si>
  <si>
    <t>INVITATION TO BID FOR THE SUPPLY OF LABOR AND MATERIALS FOR  SITE DEVELOPMENT OF DENR RIV-A REGIONAL OFFICE</t>
  </si>
  <si>
    <t>Materials, Labor and Installation of HDPE Cage</t>
  </si>
  <si>
    <t>Procurement of Infrastructure-Construction of Multi-Purpose Hall</t>
  </si>
  <si>
    <t>CONSTRUCTION &amp; IMPROVEMENT OF BRGY. HEALTH CENTER, CONSTRUCTION &amp; REHABILITATION OF MULTI-PURPOSE HALL AND CONSTRUCTION OF 92 ln.m. CONCRETE PAVEMENT (92 Ln.m X 4m X 200mm thk. With 150mm Base course)</t>
  </si>
  <si>
    <t>20CSZ006 - Consulting Services for the Updating of the Social and Environmental Management System (SEMS) Manual</t>
  </si>
  <si>
    <t>SUPPLY AND DELIVERY OF ICT SUPPLIES AND OTHER PERIPHERALS OF EMB REGION VI CY 2020  (TWO FAILED BIDDING)</t>
  </si>
  <si>
    <t>ITB - Construction of 3-Phase Power Distribution Line &amp; Installation of Electrical System</t>
  </si>
  <si>
    <t>INSTALLATION OF RC PIPE CULVERT</t>
  </si>
  <si>
    <t>Supply and Delivery of Fishing Gears and Paraphernalia for the Implementation of the Fisheries Projects/ Programs CY 2020</t>
  </si>
  <si>
    <t>Procurement of Infrastructure - Construction of Potable Water System</t>
  </si>
  <si>
    <t>RFQ2020-07-044_SUPPLY AND DELIVERY OF VARIOUS WATER SERVICE CONNECTION MATERIALS FOR MAINTENANCE USE FOR 2ND AND 3RD QUARTER PROCUREMENT OF CY 2020</t>
  </si>
  <si>
    <t>ITB 07-05-2020 Item A</t>
  </si>
  <si>
    <t>CONSTRUCTION OF RESIDUAL CELL WITH TRUCK WEIGHING SCALE AT BRGY.CAPIZ, ALANGALANG, LEYTE</t>
  </si>
  <si>
    <t>One (1) Lot – Operation and Maintenance Services of Air-conditioning System at ITIOD Data Center, BSP Head Office, as per BSP Terms of Reference</t>
  </si>
  <si>
    <t>Procurement of Infrastructure-Completion for Child Development Center at Sitio Kabutungan</t>
  </si>
  <si>
    <t>CONSTRUCTION OF MULTI-PURPOSE CENTER (Barangay Bitadton Norte, Culasi, Antique)/IB No. K-2020-085(SC)</t>
  </si>
  <si>
    <t>Procurement of Supplies and Materials for the Construction of Barangay Doors and Window Grills</t>
  </si>
  <si>
    <t>INVITATION TO BID FOR THE  PROJECT: SUPPLY AND DELIVERY OF LAUNDRY EQUIPMENT │ ITB NO. 2020-07-017</t>
  </si>
  <si>
    <t>Goods 2020-018 Supply and Delivery of  Computer Equipment (Laptop and Printer)  and Nine (9) units Office Equipment (aircondition)</t>
  </si>
  <si>
    <t>Concreting of Brgy. Dolores – Datu Celo FMR, Brgy. Dolores, Antipas, North Cotabato</t>
  </si>
  <si>
    <t>Procurement of Infrastructure-Repair and Dredging of Banahaw Creek/Spillway and Dredging of Pagkusahan Creek</t>
  </si>
  <si>
    <t>INVITATION TO BID FOR THE  PROJECT: SUPPLY AND DELIVERY OF AMBULANCE MEDICAL EQUIPMENT AND INSTRUMENTS │ ITB NO. 2020-07-018</t>
  </si>
  <si>
    <t>GULAYAN SA BARANGAY AND GREEN REVOLUTION PROGRAM : LOT 1. PLANTING MATERIALS ( FRUIT TREES) / LOT 2. ASSORTED SEEDLINGS / LOT 3.AGRICULTURAL INPUT</t>
  </si>
  <si>
    <t>SUPPLY AND DELIVERY OF MEDICINES AND HOSPITAL PHARMACY SUPPLIES</t>
  </si>
  <si>
    <t>20A00218: Construction of Makeshift Healthcare Facilities (Quarantine/Isolation Facilities) for COVID-19 Patients</t>
  </si>
  <si>
    <t>PROCUREMENT OF WAREHOUSE HANDLING(AND ALLIED) SERVICES FOR GRAINS OF NFA REGION XI FOR THE YEAR 2020</t>
  </si>
  <si>
    <t>PURCHASE OF OFFICE SUPPLIES AND MATERIALS</t>
  </si>
  <si>
    <t>PURCHASE OF FURNITURE AND FIXTURE</t>
  </si>
  <si>
    <t>GOODS 2020-019 SUPPLY AND DELIVERY OF BLINDS, CITY DIVISION OFFICE</t>
  </si>
  <si>
    <t xml:space="preserve">One (1) lot Supply, Delivery, Commissioning and Testing of Two (2) units – Industrial Coin Counting Machine including Operational and Safety Training, as per BSP Technical Specifications and Terms of </t>
  </si>
  <si>
    <t>EXTENSION OF BARANGAY HALL</t>
  </si>
  <si>
    <t>Procurement of Books PR # 2020-07-20-266</t>
  </si>
  <si>
    <t>Procurement of Fuel &amp; Lubricants PR # 2020-07-17-258</t>
  </si>
  <si>
    <t>Procurement of Fuel PR # 2020-07-17-255</t>
  </si>
  <si>
    <t>MACHINERY AND EQUIPMENT</t>
  </si>
  <si>
    <t>CONSTRUCTION OF FOOTBRIDGE @ SITIO CANSAMIO, BRGY. SAN VICENTE</t>
  </si>
  <si>
    <t>Procurement of Security Services for Mexico Central Warehouse and Stockyard</t>
  </si>
  <si>
    <t>Supply &amp; Delivery of Various Materials and Tools for the Repair of Siburan Sub-Prison Facilities (2Lots)</t>
  </si>
  <si>
    <t>Procurement of Security Services for Pulangui IV Hydroelectric Power Plant and General Santos Land Property</t>
  </si>
  <si>
    <t>Procurement of Security Services for San Roque Multi-Purpose Facilities and Boundaries</t>
  </si>
  <si>
    <t>Painting and Floor Tiles of Brgy. Hall</t>
  </si>
  <si>
    <t>Procurement of Hardware Supplies PR # 2020-07-17-250, 2020-07-17-253, 2020-07-17-254, 2020-07-17-255-A, 2020-07-17-256</t>
  </si>
  <si>
    <t>Procurement of Food Stuff (rice, etc.) PR # 2020-07-16-249</t>
  </si>
  <si>
    <t>Supply and Delivery of Assorted Materials for the Establishment of District Metering Area</t>
  </si>
  <si>
    <t>SUPPLY AND DELIVERY OF FEEDS FOR FISHERFOLK BENEFICIARIES  UNDER SPECIAL AREAS FOR AGRICULTURAL DEVELOPMENT (SAAD) PROGRAMS CY 2020 IN LANAO DEL NORTE (2ND POSTING)</t>
  </si>
  <si>
    <t>Supply and Delivery of Assorted Service Connection Materials</t>
  </si>
  <si>
    <t>Procurement of Prepaid Cards &amp; Office Supplies &amp; Devices PR # 2020-07-15-241, 2020-07-15-242, 2020-07-15-244, 2020-07-15-247, 2020-07-15-248 &amp; 2020-07-17-259</t>
  </si>
  <si>
    <t>Supply, Delivery and Commissioning of Submersible Pumps and Motors, Motor Controller (VFD) and Accessories for PS No. 8</t>
  </si>
  <si>
    <t>Supply and Installation of Elevator Equipment (GOODS-20-40)</t>
  </si>
  <si>
    <t>Office Supplies 01</t>
  </si>
  <si>
    <t>20FL0087-Concreting of Brgy. San Antonio to Brgy. Manlabong FMR</t>
  </si>
  <si>
    <t>REPLACEMENT OF DOORS AND WINDOWS OF MULTI-PURPOSE HALL</t>
  </si>
  <si>
    <t>Supply, Delivery and Commissioning of Submersible Pumps and Motors with Accessories for PS No. 4, PS N0. 9 and PS No. 9A</t>
  </si>
  <si>
    <t>Invitation to Bid for the Construction of Waste Water Facility at Public Market, San Benito Sur, Aringay, La Union.</t>
  </si>
  <si>
    <t>Invitation to Bid for the Completion of Rural Health Unit 1 at Poblacion, Aringay, La Union.</t>
  </si>
  <si>
    <t>Supply and Delivery of Cast Iron (CI) Fittings</t>
  </si>
  <si>
    <t>Maintenance and Technical Support Services for the existing IBM Pure Application System (PureApps) Appliances of the BSP</t>
  </si>
  <si>
    <t>INVITATION TO BID Printing, Binding, Packaging and Delivery of Self Learning Modules</t>
  </si>
  <si>
    <t>Invitation to Bid for the Rehabilitation of Water Treatment System for Turbidity Removal at Salapac, Poblacion, Aringay, La Union.</t>
  </si>
  <si>
    <t>Expansion of Potable Water Supply System (Caliat)</t>
  </si>
  <si>
    <t>Expansion of Potable Water Supply System (Bul. &amp; Aur.)</t>
  </si>
  <si>
    <t>20PJ0034: LOCAL INFRASTRUCTURE PROGRAM - IMPROVEMENT OF MULTI-PURPOSE BUILDING, POSNAAN, AGUINALDO, IFUGAO</t>
  </si>
  <si>
    <t>Supply, Delivery and Commissioning of Submersible Pumps and Motors, Motor Controller (VFD) and Accessories for PS No. 7</t>
  </si>
  <si>
    <t>SUPPLY AND DELIVERY OF MATERIALS FOR CONSTRUCTION OF WATER SYSTEM AT PUROK 1 AND 3, PUALAS, BAUNGON, BUKIDNON</t>
  </si>
  <si>
    <t>Expansion of Potable Water Supply System (Baresbes)</t>
  </si>
  <si>
    <t>Cost of Labor and Materials for the Construction of Health Center at Anabu II-D</t>
  </si>
  <si>
    <t>PROJECT: CONCRETING OF FARM TO MARKET ROAD</t>
  </si>
  <si>
    <t>Procurement of Materials for the Repair of Municipal Building</t>
  </si>
  <si>
    <t>Construction/Improvement of Drainage Canal</t>
  </si>
  <si>
    <t>IMPROVEMENT OF PARKS AND PLAZA</t>
  </si>
  <si>
    <t>PROCUREMENT OF AIR CONDITIONING UNITS</t>
  </si>
  <si>
    <t>PROJECT: CONSTRUCTION OF FARMERS POST HARVEST FACILITY</t>
  </si>
  <si>
    <t>PROJECT: CONSTRUCTION OF SLOPE PROTECTION</t>
  </si>
  <si>
    <t>PROJECT: CONSTRUCTION OF REINFORCED CONCRETE BOX CULVERT</t>
  </si>
  <si>
    <t>Repair/Improvement of Drainage Canal at Barangay Zone IV, San Roque N. Samar</t>
  </si>
  <si>
    <t>Supply and Delivery of Various Furniture &amp; Fixtures (MPDO)</t>
  </si>
  <si>
    <t>Purchase of Medicines (Anti-Rabies)</t>
  </si>
  <si>
    <t>Procurement of Various IT Equipment-07-410(A)PGO</t>
  </si>
  <si>
    <t>Procurement of Security Services for South Luzon Plants, Facilities &amp; Installations</t>
  </si>
  <si>
    <t>Supply, Delivery and Installation Solar LED Streetlights with ABC P 210,000.00</t>
  </si>
  <si>
    <t>IMPROVEMENT/REPAIR OF TANGALAN SPORTS &amp; CULTURAL CENTER</t>
  </si>
  <si>
    <t>PROJECT: REHABILITATION/CONCRETING OF FARM TO MARKET ROAD</t>
  </si>
  <si>
    <t>Supply and Delivery of Materials on the Proposed Installation of 36" Dia. RCPC</t>
  </si>
  <si>
    <t>Procurement of BOWA Multi Tilling Machine with Complete Accessories</t>
  </si>
  <si>
    <t>Procurement of Various Medicines and Medical Supplies</t>
  </si>
  <si>
    <t>Procurement of Rice Transplanter (Walk Behind)</t>
  </si>
  <si>
    <t>Package 15 (A. Impugong-Eheb-Tukucan Core Road Improvement, B. Ambotdan Road improvement-Tukucan)</t>
  </si>
  <si>
    <t>B-046-2020 UPGRADE OF MARITIME EDUCATION LABORATORIES AND EQUIPMENT</t>
  </si>
  <si>
    <t>Procurement of Tent Indoor</t>
  </si>
  <si>
    <t>INVITATION TO BID FOR PACKAGE – XIII A.) REBLOCKING OF F. CLAR STREET B.) CONCRETING OF ROAD @ PUROK 4 HERSANA STREET CARAMCAM DISTRICT</t>
  </si>
  <si>
    <t>Contract ID Number 20FD0071 REPLACEMENT OF SEVERAL CONCRETE PAVEMENTS (ACTIVITY 71X – SPECIAL MAINTENANCE), ROLANDO R. ANDAYA HIGHWAY</t>
  </si>
  <si>
    <t>Rehabilitation/Improvement of Water System</t>
  </si>
  <si>
    <t>INVITATION TO BID FOR THE CONCRETING OF ROAD @ BARANGAY PIAO WITH PR#2020-20%-07-019 FOR MEO AND ABC OF P 995,416.27</t>
  </si>
  <si>
    <t>Contract ID No. 19CSK00053 – Consulting Services for the Conduct of Soil Testing/Exploration for Bridge Projects - Geotechnical Investigation - Construction of Pigsuotan Bridge, Brgy. Mandulog, Iligan</t>
  </si>
  <si>
    <t>SUPPLY AND INSTALLATION OF MODULAR PARTITIONS AND FURNITURE IN REVENUE DISTRICT OFFICES OF RR8A MAKATI CITY</t>
  </si>
  <si>
    <t>INVITATION TO BID FOR SUPPLY AND DELIVERY OF FUEL AND LUBRICANTS FOR REPAIR AND MAINTENANCE OF ROADS AND BRIDGES AT BISLIG CITY</t>
  </si>
  <si>
    <t>CONTRACT ID 20GIJ-0003 SUPPLY/DELIVERY OF VARIOUS AUTO SPARE PARTS &amp; SHOP TOOLS FOR USE IN THE PREVENTIVE &amp; CORRECTIVE MAINTENANCE OF VARIOUS SERVICE VEHICLES &amp; MAN DUMP TRUCK</t>
  </si>
  <si>
    <t>CONSTRUCTION OF LINED CANAL @ PUROK 2, 4 &amp; 6, BRGY CAMBULAGA WEST DIST. SORSOGON CITY</t>
  </si>
  <si>
    <t>Procurement of Medical, Dental and Laboratory Supplies</t>
  </si>
  <si>
    <t>Construction of Steel Garbage Can with Steel Frame</t>
  </si>
  <si>
    <t>Contract ID No. 19CSK00056 – Consulting Services for the Conduct of Soil Testing/Exploration for Bridge Projects - Geotechnical Investigation - Construction of Bridge, Cagayan de Oro Diversion Road, J</t>
  </si>
  <si>
    <t>CONSTRUCTION OF MULTI-PURPOSE BUILDING (BODEGA) (8000-2-2-15) MABILA, SARANGANI, DAVAO OCCIDENTAL</t>
  </si>
  <si>
    <t>Construction of Flood Control</t>
  </si>
  <si>
    <t>PROCUREMENT OF OFFICE SUPPLIES (VM/SB OFFICE)</t>
  </si>
  <si>
    <t>VARIOUS SCHOOL SUPPLIES FOR PROJECT LAPIS KAG PAPEL  FOR DEPED DIVISION OF SAGAY CITY</t>
  </si>
  <si>
    <t>Construction of Various Facilities at San Pedro Eco Park, Barangay San Pedro, Floridablanca, Pampanga</t>
  </si>
  <si>
    <t>Proposed PEST CONTROL SERVICES for the Pasay City General Hospital</t>
  </si>
  <si>
    <t>CONSTRUCTION OF BOLO-PULANG LUPA ROAD</t>
  </si>
  <si>
    <t>IB No. 2007-367 Proc. of Infra (Safe Closure and Rehabilitation of Dampas Dumpsite)</t>
  </si>
  <si>
    <t>Procurement of Books for Day Care and SNP Children</t>
  </si>
  <si>
    <t>Supply and Delivery of Various Medicines for Use in the City Government of Balanga, Bataan</t>
  </si>
  <si>
    <t>Supply and delivery of one (1) lot SERVER (iHOMIS) and one (1) lot CLOSED RACK CABINET for the use of the PCGH</t>
  </si>
  <si>
    <t>Supply and Delivery of Various ICT Equipments</t>
  </si>
  <si>
    <t>PURCHASE OF MEDICAL, DENTAL &amp; LABORATORY SUPPLIES ALLOCATION FOR 2020 FOR RHU 2 FOR MINGLANILLA, CEBU</t>
  </si>
  <si>
    <t>Package 1:  Construction &amp; Improvement of Access Road, Collog- PInococ, Pinukpuk</t>
  </si>
  <si>
    <t>Construction of WCPD and FJGAD Building (Rebid)</t>
  </si>
  <si>
    <t>Procurement of Motor Vehicle</t>
  </si>
  <si>
    <t>Procurement of Agricultural and Marine Supplies</t>
  </si>
  <si>
    <t>Proposed Construction of RCDG Bridge Phase II at Barangay Galicia I and Barangay Bukal, Mendez, Cavite</t>
  </si>
  <si>
    <t>IMPROVEMENT  OF BRGY. WARD I COVERED COURT/ MULTI-PURPOSE BUILDING (PHASE III) AT BRGY. WARD I, MINGLANILLA, CEBU</t>
  </si>
  <si>
    <t>Supply and Delivery of Portable Ultrasound System for the City Government of Balanga, Bataan</t>
  </si>
  <si>
    <t>Rehabilitation of Access Road to Sanitary Landfill</t>
  </si>
  <si>
    <t>CONSTRUCTION MATERIALS FOR THE CONVERSION OF OLD BASKETBALL COURT TO TENNIS COURT</t>
  </si>
  <si>
    <t>Procurement of Musical Instruments</t>
  </si>
  <si>
    <t>INFRA PROJECT AUGUST 18, 2020 (REBID)</t>
  </si>
  <si>
    <t>Purchase of IT Equipment for use of the Different Offices of the City Government of Laoag.</t>
  </si>
  <si>
    <t>Procurement of Parts for the Repair and Maintenance of Machinery and Equipment of Machinery and Equipment</t>
  </si>
  <si>
    <t>ONE (1) SET ARTHROSCOPY TOWER IMAGING SYSTEM</t>
  </si>
  <si>
    <t>20JA0093 - CONSTRUCTION OF TWO (2) STOREY FOUR (4) CLASSROOMS SCHOOL BUILDING BARANGAY LUMBANGAN, ZAMBOANGA CITY</t>
  </si>
  <si>
    <t>Construction of Covered Drainage Canal</t>
  </si>
  <si>
    <t>Improvement/Expansion of Water Supply System (La Libertad, Zamboanga del Norte)</t>
  </si>
  <si>
    <t>2nd Posting - Supply and Delivery of Harwdware Materials for the Rehabilitation of Multi-Purpose Hall</t>
  </si>
  <si>
    <t>IMPROVEMENT  OF BRGY. LINAO COVERED COURT/ MULTI-PURPOSE HALL AT LINAO, MINGLANILLA, CEBU</t>
  </si>
  <si>
    <t>Installation of Airconditioned unit t Multi Purpose Hall of Brgy. Bolaney, Alaminos City, Pangasinan</t>
  </si>
  <si>
    <t>PURCHASE OF MEDICAL, DENTAL &amp; LABORATORY SUPPLIES ALLOCATION FOR 2020 FOR RHU 1 FOR MINGLANILLA, CEBU</t>
  </si>
  <si>
    <t>construction of access road</t>
  </si>
  <si>
    <t>PURCHASE OF RESCUE VEHICLE</t>
  </si>
  <si>
    <t>CONSTRUCTION OF MULTI-PURPOSE BUILDING</t>
  </si>
  <si>
    <t>20JA0092 - CONSTRUCTION OF (4) FOUR STOREY (12) TWELVE CLASSROOM SCHOOL BUILDING – PHASE 1, AT GUIWAN ELEMENTARY SCHOOL, ZAMBOANGA CITY</t>
  </si>
  <si>
    <t>IMPROVEMENT/ CONSTRUCTION OF DRAINAGE SYSTEM AT BRGY. TULAY, MINGLANILLA, CEBU</t>
  </si>
  <si>
    <t>OFFICE EQUIPMENT (Brgy, San-isidro -SEF)</t>
  </si>
  <si>
    <t>Repair of Daycare Center at Purok 1</t>
  </si>
  <si>
    <t>Expansion/Installation of Streetlights</t>
  </si>
  <si>
    <t>CONCRETING OF PATHWAY AT PUROK 1</t>
  </si>
  <si>
    <t>Purchased and Delivery of One (1) UNIT CHAINSAW</t>
  </si>
  <si>
    <t>ITB No. (INF) 2020-07-112 ROAD OPENING/FARM-TO-MARKET ROAD, TUGOP TO MACAPAGAL ROAD, INOLANGOHAN TO MAGSAYSAY ROAD, QUEZON TO OSMEÑA ROAD, BINALAY TO LAUREL ROAD, Gen. MacArthur, Eastern Samar</t>
  </si>
  <si>
    <t>FUELS/FUEL ADDITIVES &amp; LUBRICANT &amp; ANTI-CORROSIVE</t>
  </si>
  <si>
    <t>Construction &amp; Repair of Brgy. Road</t>
  </si>
  <si>
    <t>Procurement of Supplies for the Repair of MDRRM Vehicle</t>
  </si>
  <si>
    <t>Supply and Delivery of Various Supplies Materials for the Upgrading of Internet Connection</t>
  </si>
  <si>
    <t>Purchasae of Fertilizer (46-0-0) for Rice Banner Program</t>
  </si>
  <si>
    <t>Construction of Submerge Sea Wall (Sea Pond) - Poblacion, Baras, Catanduanes</t>
  </si>
  <si>
    <t>ITB No. (INF) 2020-07-111 CONSTRUCTION OF BRGY. STO NIÑO COVERED COURT, Sitio Hamorawon, Brgy. Sto. Niño, Sulat, Eastern Samar</t>
  </si>
  <si>
    <t>IMPROVEMENT OF SENIOR CITIZEN BUILDING</t>
  </si>
  <si>
    <t>Purchase of farniture and fixtures</t>
  </si>
  <si>
    <t>PROCUREMENT OF MEDICAL EQUIPMENT FOR SPECIAL CARE - REBID</t>
  </si>
  <si>
    <t>Rehabilitation of Road w/ Provision of Slope Protection and Cross Drainage</t>
  </si>
  <si>
    <t>Concreting of Access Road to Evacuation Center Phase 2 Brgy. Awasian, Tandag City</t>
  </si>
  <si>
    <t>Rehabilitation of San Isidro RHU (Phase I)</t>
  </si>
  <si>
    <t>PURCHASE OF VARIOUS IT EQUIPMENT</t>
  </si>
  <si>
    <t>Rehabilitation of Covered Court</t>
  </si>
  <si>
    <t>LABOR AND MATERIALS FOR THE CONSTRUCTION OF POST HARVEST FACILITIES (SOLAR DRYER) @ LA SALVACION, CARMEN, BOHOL (NEAR CHAPEL)</t>
  </si>
  <si>
    <t>ITB No. (INF) 2020-110 ROAD OPENING/FMR VIGAN TO LIMBUJAN ROAD, Brgy. Vigan, Gen. MacArthur, Eastern Samar</t>
  </si>
  <si>
    <t>Repair/Improvement of Municipal Streets at Capt. Laylay St., Sta. Cruz, San Juan, Southern Leyte</t>
  </si>
  <si>
    <t>Reblocking of Aggub Barangay Road</t>
  </si>
  <si>
    <t>20GII0010 Supply and Delivery of Reflectorized Traffic Paint along Pangpang-Palapag-Mapanas-Gamay-Lapinig Road, K0800+327 – K0842+236, Northern Samar Second District</t>
  </si>
  <si>
    <t>Construction of Multi-purpose Building (Phase 1) in Brgy. Imelda, Tolosa, Leyte</t>
  </si>
  <si>
    <t>Contract for the Supply of Various Spare Parts (Static Inverter IGBT, Static Inverter Gate Drive Unit, and SIV Fuse) under P.R. No. RS-0720-010 and ITB No.2007-037-01</t>
  </si>
  <si>
    <t>Improvement of Footbridge In Brgy. San Vicente, Tolosa, Leyte</t>
  </si>
  <si>
    <t>CONSTRUCTION OF 2-STOREY FARMER’S MULTI-PURPOSE BUILDING LOCATED AT STA. BARBARA, AGOO, LA UNION</t>
  </si>
  <si>
    <t>Replacement of 21.60 ln.m. Olamhay Footbridge 1 and 28.80 ln.m. Olamhay Footbridge 2, Manapla, Neg. Occ./PEO-2020-1080</t>
  </si>
  <si>
    <t>Construction, Repair &amp; Declogging of Drainage Canal in Brgy. Imelda, Tolosa, Leyte</t>
  </si>
  <si>
    <t>Procurement of Personal Protective Equipment and Other Supplies for Covid-19 Purposes</t>
  </si>
  <si>
    <t>LABOR AND MATERIALS FOR THE CONSTRUCTION OF BOX CULVERT @ BOUNDARY BICAO AND VALLEHERMOSO, CARMEN, BOHOL</t>
  </si>
  <si>
    <t>Rehabilitation of Level II Potable Water Supply</t>
  </si>
  <si>
    <t>PURCHASE OF CONSTRUCTION MATERIALS FOR THE CONSTRUCTION OF 14 UNIT HAND WASHING FACILITIES  AT VILLAREAL, SAMAR</t>
  </si>
  <si>
    <t>Embankment and Cementing of Proposed Basketball Court and Parking Area (Phase I)</t>
  </si>
  <si>
    <t>Construction of Entrance Marker (Overated) and Concrete Plant Box at Barangay Mandog, Maasin, Iloilo</t>
  </si>
  <si>
    <t>LABOR AND MATERIALS FOR THE CONSTRUCTION OF POST HARVEST FACILITIES (SOLAR DRYER) @ SITIO PALIAN, CALATRAVA, CARMEN, BOHOL</t>
  </si>
  <si>
    <t>Provision for Drivers Education Center at LTO-NCR West Regional Office</t>
  </si>
  <si>
    <t>Supply and Delivery of various materials for the Construction of Man Made Lagoon Phase II, Brgy. Kalanggaman, Bato, Leyte</t>
  </si>
  <si>
    <t>Supply and delivery of desktop Computers and Printers for the use of the Kidapawan City Blood Center, Kidapawan City</t>
  </si>
  <si>
    <t>SUPPLY AND DELIVERY OF PORTABLE MICROBIOLOGICAL TEST FOR WATER</t>
  </si>
  <si>
    <t>20DE0157 Concreting of Brgy. Manalupang FMR, Brgy. Manalupang, Bauan, Batangas</t>
  </si>
  <si>
    <t>Supply and delivery of furnitures and fixtures for the Office of the Sangguniang Panlungsod, Kidapawan City</t>
  </si>
  <si>
    <t>Road Concreting Garchitorena - Bahi Road, Garchitorena, Camarines Sur</t>
  </si>
  <si>
    <t>Printing of Sanitary Health Cards for the City Health Offce, Kidapawan City.</t>
  </si>
  <si>
    <t>20DE0156 Concreting of Brgy. Calo FMR, Brgy. Calo, Lobo, Batangas</t>
  </si>
  <si>
    <t>CONCRETING/CONSTRUCTION OF BOBONAON-BIYABID ROAD</t>
  </si>
  <si>
    <t>Supply/Delivery of Drugs and Medicines (re-bid)</t>
  </si>
  <si>
    <t>Pakyaw Labor  for the Proposed Line Rehab 1 Phase to 3 Phase (Rice Processing Center) at Brgy. San Isidro, Kidapawan City</t>
  </si>
  <si>
    <t>SUPPLY AND DELIVERY OF VARIOUS DRUGS &amp; MEDICINES</t>
  </si>
  <si>
    <t>Road Concreting Cabanbanan-Pulang Daga Road, Balatan, Camarines Sur</t>
  </si>
  <si>
    <t>PURCHASE OF CONSTRUCTION MATERIALS FOR REPAIR/IMPROVEMEMENT OF ECCD CENTER AT BRGY MIRAMAR, VILLAREAL, SAMAR</t>
  </si>
  <si>
    <t>Construction of Perimeter Fence</t>
  </si>
  <si>
    <t>ITB No. 2020-G-05-02: Purchase of Brand New Service Vehicle</t>
  </si>
  <si>
    <t>SUPPLY AND DELIVERY OF A4 BOND PAPER SUB 20 - SEF</t>
  </si>
  <si>
    <t>Purchase of Service Vehicle for MDRRMO Office</t>
  </si>
  <si>
    <t>Proposed Upgrading of Multi-Purpose Center (Phase 1)</t>
  </si>
  <si>
    <t>ITB FOR PROCUREMENT OF INTERNET LOAD</t>
  </si>
  <si>
    <t>PURCHASE OF ID SUPPLIES</t>
  </si>
  <si>
    <t>INVITATION TO BID - Various ICT Equipment</t>
  </si>
  <si>
    <t>Supply and delivery of feeds (feeding of Tilapia) for the City Agriculturist Office, Kidapawan City</t>
  </si>
  <si>
    <t>SUPPLY &amp; DELIVERY OF FUEL USE FOR REHABILITION OF ROADS &amp; BRIDGES OF BARANGAY STA. CRUZ</t>
  </si>
  <si>
    <t>SUPPLY &amp; DELIVERY OF FUEL USE FOR REHABILITATION OF ROADS &amp; BRIDGES OF BARANGAY MARARAG</t>
  </si>
  <si>
    <t>20GIK0011-Supply of Fuel and Lubricants for use in various the operation of vehicles and equipment assigned to the district</t>
  </si>
  <si>
    <t>Package 16 (A. RHU-Landing Road Improvement, B. Athletic Oval Drainage Outlet, and C. Palabayan Elementary School Slope Protection)</t>
  </si>
  <si>
    <t>Supply and Delivery of Construction Materials for Improvement of Multi-Purpose Building</t>
  </si>
  <si>
    <t>Purchase of Materials for the Fabrication of Wooden windows Mosquito Net Frame at Bryg. Poblacion, San Andres, Quezon</t>
  </si>
  <si>
    <t>IB No. 2006-310 Proc. of Goods (Supply and Installation of Close Circuit Television Security)(Rebid)</t>
  </si>
  <si>
    <t>Proposed Improvement of CPDC Office(Construction of Canopy and Fabrication of Shelves Cabinet) at the Back of City Hall, Brgy. Poblacion, Kidapawan City.</t>
  </si>
  <si>
    <t>Purchase of Materials for the Comprehensive Improvement of Buenavista Road Network - Const. of Mclain (Sto.Niño) - Supang Access Road - M.E.O.</t>
  </si>
  <si>
    <t>PROCUREMENT OF BUS PARKING SHADE STRUCTURE OF CAPSU ROXAS MAIN CAMPUS</t>
  </si>
  <si>
    <t>INVITATION TO BID for the Procurement of Printing Services for Grade 3 to Grade 10 Learning Modules of the Division Office of Pagadian City</t>
  </si>
  <si>
    <t>Supply and Delivery of three (3) units heavy duty copyprinter with metal stand for use of the three (3) districts of President Roxas (South, North and Central), this municipality.</t>
  </si>
  <si>
    <t>Supply and Delivery of Materials for Spring Development</t>
  </si>
  <si>
    <t>REHABILITATION OF LAPU LAPU STREET, PHASE 2 AT BRGY BANQUEL, VILLAREAL, SAMAR</t>
  </si>
  <si>
    <t>Purchase of service vehicle for the Office of the Municipal Vice Mayor in Calumpit, Bulacan</t>
  </si>
  <si>
    <t>ITB No. 2020-G-06-02: Purchase of Transformer w/ Installation and  metering</t>
  </si>
  <si>
    <t>CONSTRUCTION OF LUCKY 9 ADDITIONAL FACILITIES PHASE IV</t>
  </si>
  <si>
    <t>Procurement of Office Supplies for the use of Dr. Rafael S. Tumbokon Memorial Hospital-EEDD, Kalibo, Aklan /ITB no: 2020-418</t>
  </si>
  <si>
    <t>CONSTRUCTION OF DRAINAGE SYSTEM ALONG  JACINTO ST. IN BARANGAY POBLACION</t>
  </si>
  <si>
    <t>HIRING OF RESEARCH BOAT AND MOTOR LAUNCH FOR OFFICIAL USE OF TUBBATAHA REEFS NATURAL PARK – MANAGEMENT OFFICE</t>
  </si>
  <si>
    <t>Purchase of Materials for the Comprehensive Improvement of Buenavista Road Network (Const. of Access Road) at Sitio Wawan, Brgy. San Isidro - M.E.O.</t>
  </si>
  <si>
    <t>Invitation to Bid for the CONSTRUCTION OF DAIRY GOAT BARN WITH WATER SYSTEM AND SILO</t>
  </si>
  <si>
    <t>MA-A2H20-012 Submersible Pump, Domestic Water, 25HP</t>
  </si>
  <si>
    <t>INSTALLATION OF STREET LIGHTS AT BARANGAY BULABUD</t>
  </si>
  <si>
    <t>CONSTRUCTION OF LGU HOTEL PHASE-II</t>
  </si>
  <si>
    <t>20KB0172   Re - Rehabilitation of Multi-Purpose Building (Day Care Center) Brgy. Kianggat, Dangcagan, Bukidnon</t>
  </si>
  <si>
    <t>Supply and Delivery of Motor Vehicles</t>
  </si>
  <si>
    <t>ISC-20-0900-B PURCHASE OF CONSTRUCTION SUPPLIES</t>
  </si>
  <si>
    <t>MA-A2M20-035 Replacement of Turbine Oil,37 drums/ lot AG1</t>
  </si>
  <si>
    <t>Procurement of Non-Contact Temperature Screening Camera for the Covid-19 Prevention of the College</t>
  </si>
  <si>
    <t>Procurement of Other Supplies &amp; Materials for the use of Dr. Rafael S. Tumbokon Memorial Hospital-EEDD, Kalibo, Aklan /ITB no: 2020-419</t>
  </si>
  <si>
    <t>Procurement of Mini Dumptruck (Surplus)</t>
  </si>
  <si>
    <t>MA-A2M20-052 O/M of Overhead Feeders, 1 lot, AG2</t>
  </si>
  <si>
    <t>Delivery of materials for construction of Material Recovery Facility</t>
  </si>
  <si>
    <t>ISC-20-0899-B SPORTING GOODS</t>
  </si>
  <si>
    <t>PEO-20-0928-B- Purchase of Batteries for use in the replacement of Defective Batteries of Various Light and Heavy Equipment assigned at PEP, Motorpool, Sta. Barbara, Iloilo</t>
  </si>
  <si>
    <t>Contract for One (1) Lot Cloud Storage, 20TB under P.R. No. KMT-2002-008 and ITB No. 2006-029-10</t>
  </si>
  <si>
    <t>Rehabilitation/Improvement of Multi-purpose Hall/Evacuation Center (Basement and Mayor's Office)</t>
  </si>
  <si>
    <t>COMPLETION OF MULTI-PURPOSE HALL</t>
  </si>
  <si>
    <t>Const./Rehab/Repair of Street Lights @ Brgy. Plaza (Solar Lights)</t>
  </si>
  <si>
    <t>MA-A2H20-013 Relay Coil Holding Protection for 5C &amp; 5P, 2 units, AG2</t>
  </si>
  <si>
    <t>Contract ID Number 20FD0072 CONSTRUCTION/REHABILITATION OF WATER SUPPLY/SEPTAGE AND SEWERAGE/RAIN WATER COLLECTORS – RAIN WATER COLLECTORS IN PUBLIC FACILITIES, SAN VICENTE E/S,</t>
  </si>
  <si>
    <t>20KB0187   Construction of Evacuation Center in Brgy. Poblacion, Quezon, Bukidnon</t>
  </si>
  <si>
    <t>P.R No. 20-07-0719: 1 Lot Training Pneumatic Package Equipment Set</t>
  </si>
  <si>
    <t>construction of BNS BUILDING</t>
  </si>
  <si>
    <t>Supply and Delivery of Personal Protective Equipment (PPE) for Basic Courses Unit Use Public Bidding No. 2020-003-G</t>
  </si>
  <si>
    <t>Proposed Footbridge at Brgy. Catan-agan, San Enrique, Iloilo</t>
  </si>
  <si>
    <t>Purchase of Materials for the Road Concreting, Brgy. Patag, Lambunao, Iloilo</t>
  </si>
  <si>
    <t>PEO-20-0929-B- Purchase of Spare Parts for use in the repair of Isuzu Dump Truck (NDT 21-40) Model: FTR33FLD and Komatsu Bulldozer (KB-2) Model: D65EX-16 assigned at PEP, Sta. Barbara, Iloilo</t>
  </si>
  <si>
    <t>20PK0071 - Opening and Concreting of Ababa-an Farm-to-Market Road (FMR), Brgy. Ababa-an, Balbalan, Kalinga</t>
  </si>
  <si>
    <t>SUPPLY AND DELIVERY OF ELECTRICAL SPARE PARTS FOR 163KW PERKINS GENERATING SET OF CALAYAN DPP</t>
  </si>
  <si>
    <t>INVITATION TO BID FOR THE SUPPLY AND DELIVERY  OF 1 UNIT GENERATOR SET FOR CDRRMO, OROQUIETA CITY</t>
  </si>
  <si>
    <t>GASKET</t>
  </si>
  <si>
    <t>MA-A2M20-021 O/M of Lifting Mechanism, 1lot, AG2</t>
  </si>
  <si>
    <t>Procurement of Ointments and Essential Medicines,  IB No. SB-2020-027</t>
  </si>
  <si>
    <t>Rebidding of Disinfectants,  IB No. SB-2020-020</t>
  </si>
  <si>
    <t>PROCUREMENT OF VEHICLE|AMBULANCE</t>
  </si>
  <si>
    <t>20GG00024 - Procurement of Automatic Traffic Classifier (ATC) using In-Ground Sensors for four (4) lanes survey sites including installation for use of Planning and Design Division, DPWH Regional Offi</t>
  </si>
  <si>
    <t>Concreting of 50 In.m.x3mx.15m Alley Road with .5m width shouldering both side</t>
  </si>
  <si>
    <t>PROCUREMENT OF VARIOUS PLUMBING SUPPLIES</t>
  </si>
  <si>
    <t>Supply and Delivery of IT &amp; Office Equipment for Municipal Accounting Office</t>
  </si>
  <si>
    <t>Procurement of Janitorial Services for DTI-Region 10 for the year 2020(2020-07-180)</t>
  </si>
  <si>
    <t>SUPPLY AND DELIVERY OF VARIOUS CONSTRUCTION MATERIALS FOR IMPROVEMENT OF MULTI-PURPOSE BUILDING(PHASE 1)</t>
  </si>
  <si>
    <t>Supply/Delivery of 1 Lot Digital Duplicating Machine and 6 Units Duplicating Machine</t>
  </si>
  <si>
    <t>GOODS 2020-07-0006 PROCUREMENT OF DISASTER EQUIPMENT AND ACCESSORIES</t>
  </si>
  <si>
    <t>Purchase of Garbage Collection Vehicle ("Kolong-Kolong")</t>
  </si>
  <si>
    <t>Supply and Installation of Fire Detection, Alarm and Suppression for Three (3) Storey New Municipal Hall Bldg.</t>
  </si>
  <si>
    <t>“SUPPLY, DELIVERY AND INSTALLATION OF AIRCONDITION UNITS”</t>
  </si>
  <si>
    <t>Rebidding of NAAT – LAMP Reagents and Consumables, IB No. SB-2020-022</t>
  </si>
  <si>
    <t>PROCUREMENT OF FIBER GLASS BASKETBALL BOARD (SET)</t>
  </si>
  <si>
    <t>Procurement of Medical Supplies,  IB No. SB-2020-026</t>
  </si>
  <si>
    <t>San Jose Port Development Project, Port of San Jose, Paluan, Occidental Mindoro</t>
  </si>
  <si>
    <t>CONSTRUCTION OF SLAUGHTERHOUSE PHASE II AND OTHER AMENITIES</t>
  </si>
  <si>
    <t>Supply and Delivery of Mosquito Larvicide Comprising of Calcium Hydroxide and Clinoptilolite 25kls.</t>
  </si>
  <si>
    <t>SUPPLY AND DELIVERY OF VARIOUS OFFICE EQUIPMENT USE FOR MCDO, MCR &amp; HRM OFFICE</t>
  </si>
  <si>
    <t>PROCUREMENT OF WATER PURIFIER SET</t>
  </si>
  <si>
    <t>Procurement of materials,supply of labor and rental of equipment for Rehabilitation of Kota Park at Poblacion,Madridejos,Cebu</t>
  </si>
  <si>
    <t>INVITATION TO BID FOR THE  SUPPLY AND DELIVERY OF RESISTIVITY FIELD METER PR Nos. 27838 – 001</t>
  </si>
  <si>
    <t>INVITATION TO BID FOR THE  SUPPLY AND DELIVERY OF COMPUTER NOTEBOOK PR Nos. 27852-001</t>
  </si>
  <si>
    <t>Modern Audio Visual Room at Laboratory High School (LHS) I-2020-17</t>
  </si>
  <si>
    <t>PR# 20-1534- To supply labor, materials and necessary equipment for the Construction of Two (2) Storey Multi-Purpose Building at Prado Siongco, Lubao, Pampanga</t>
  </si>
  <si>
    <t>Construction of Multi-Purpose Covered Court, Brgy. San Isidro, Paniqui, Tarlac</t>
  </si>
  <si>
    <t>Procurement of Urine Pregnancy Test Kit,  IB No. SB-2020-025</t>
  </si>
  <si>
    <t>POS-20-0698-B Security Services</t>
  </si>
  <si>
    <t>PR# 20-1532- To supply labor, materials and necessary equipment for Improvement/Construction of Line Canal at Barangay Magsaysay, Guagua, Pampanga.</t>
  </si>
  <si>
    <t>INVITATION TO BID FOR THE  SUPPLY AND DELIVERY OF CORPORATION STOP AND BRASS COUPLING PR Nos. 2777-001-004</t>
  </si>
  <si>
    <t>REPAIR OF BUTTERFLY VALVE LIGHTING SYSTEM</t>
  </si>
  <si>
    <t>Construction of one (1) Building Public Market (8M x 34.2M)-Fish Section</t>
  </si>
  <si>
    <t>Procurement of Materials for the Project "Improvement of Waterworks System"</t>
  </si>
  <si>
    <t>Purchase of Street lighting materials</t>
  </si>
  <si>
    <t>Procurement of Fire and IT Equipment (Bureau of Fire Protection - Larena)</t>
  </si>
  <si>
    <t>MULTI-PURPOSE PAVEMENT, BRGY. SABANG DAGUITAN, DULAG LEYTE</t>
  </si>
  <si>
    <t>Construction of one (1) Building Public Market (10M x 34.2M) Stall Section</t>
  </si>
  <si>
    <t>Concreting of Local Road – Brgy. Plagatasanon</t>
  </si>
  <si>
    <t>Proposed Construction of Esperanza Multi-Purpose Hall Phase 1</t>
  </si>
  <si>
    <t>20PC0061 CONSTRUCTION OF EVACUATION CENTER, SAN CARLOS, STA. MARCELA, APAYAO</t>
  </si>
  <si>
    <t>Construction of one (1) Building Public Market (13M x 34.2M)-Vegetable Section</t>
  </si>
  <si>
    <t>Supply and Delivery of Office Equipment for Municipal Planning &amp; Development Office</t>
  </si>
  <si>
    <t>Construction of Deep Well Potable Water Supply System</t>
  </si>
  <si>
    <t>Supply and Delivery of Office Equipment for Municipal Assessor Office</t>
  </si>
  <si>
    <t>ANAY TREATMENT OF SIX (6) PUBLIC SCHOOLS</t>
  </si>
  <si>
    <t>Establishment of Vermi Composting Chambers within the Dumpsite Vicinity</t>
  </si>
  <si>
    <t>Construction of Slope Protection Structures, Mandi-i, Brgy. Magsaysay</t>
  </si>
  <si>
    <t>PR# 20-1453- To supply labor, materials and necessary equipment for the Concreting of Barangay Road, San Francisco, Lubao, Pampanga.</t>
  </si>
  <si>
    <t>Procurement of materials,supply of labor and rental of equipment for Cultural Grilles at LGU-Compound,Poblacion,Madridejos,Cebu</t>
  </si>
  <si>
    <t>installation of isolation unit</t>
  </si>
  <si>
    <t>PR-2020-1491 Education Materials-Coloring Set-PSWDO</t>
  </si>
  <si>
    <t>PROCUREMENT OF VARIOUS ELECTRICAL SUPPLIES</t>
  </si>
  <si>
    <t>PR-2020-1794 Drugs &amp; Medicines-PSWDO</t>
  </si>
  <si>
    <t>Improvement of Dilasag-Dinapigue Provincial Road, Brgy. Diagyan, Dilasag, Aurora</t>
  </si>
  <si>
    <t>Rental Of Equipment (Concreting of 50 In.m x 3m x 15m Alley Road with .5m width shouldering both side</t>
  </si>
  <si>
    <t>Procurement of various medicines for the use of 8 City Health Units and 32 Barangay Health Stations for 2nd Semester of CY 2020 in the City of Meycauayan, Bulacan</t>
  </si>
  <si>
    <t>RJO FABRICATION, REPAIR AND SERVICING- FURNISHING OF LABOR, TOOLS AND EQUIPMENT CONSUMABLES AND EXPERTISE FOR THE REPAIR AND REPLACEMENT OF HEAVILY CORRODED AND LEAKING PENSTOCK</t>
  </si>
  <si>
    <t>Const./ Imp./ Installation of Electrification, Power &amp; Energy Citywide (Purchase of Installation of 3-10KVA Electrical Transformer and its Accessories)</t>
  </si>
  <si>
    <t>PR# 20-1759- To supply labor, materials and necessary equipment for the Construction of Thirty (30) Units Outpost for KALAM Checker at Various Municipalities of Pampanga.</t>
  </si>
  <si>
    <t>PR$ 20-0620- To supply labor, materials and necessary equipment for the Construction of Drainage Canal at Barangay San Nicolas, Mexico, Pampanga</t>
  </si>
  <si>
    <t>Installation of Street Lighting System (Solar) @ Brgy. 01, Casiguran, Aurora</t>
  </si>
  <si>
    <t>Purchase of Initial Installation of Early Warning System and Monitoring in Lucod, Central and Lambajon</t>
  </si>
  <si>
    <t>(PPDO)  2ND INVITATION TO BID FOR THE SUPPLY AND DELIVERY OF 1 UNIT  MOTOR VEHICLE/SERVICE VEHICLE (4X2) BRAND NEW   FOR THE  PROVINCIAL PLANNING AND DEVELOPMENT OFFICE (PPDO)</t>
  </si>
  <si>
    <t>ITB and Bid Docs for ProcurementID/ContractID:20C00049 ContractName:Local Program-Construction/Repair/Rehabilitation/Improvement of various Infrastructure including Local Projects - Local Roads – Cons</t>
  </si>
  <si>
    <t>PR# 20-0825- To supply labor, materials and necessary equipment for the Construction of Two (2) Storey Multi-Purpose Building at San Jose Gumi, Lubao, Pampanga</t>
  </si>
  <si>
    <t>Establishment of Residual Containment Area (RCA) at Sitio Balaysungayan, Poblacion</t>
  </si>
  <si>
    <t>Supply and Delivery of IT Equipment for Municipal Agriculture Office</t>
  </si>
  <si>
    <t>Procurement of fruit tree seedlings for agricultural produce for tree planting to different barangays</t>
  </si>
  <si>
    <t>Lot1-Purchase of personalized notebooks to be distributed to all Elementary Pupils (4 districts)</t>
  </si>
  <si>
    <t>Construction of Pathway – Brgy. P.Zamora</t>
  </si>
  <si>
    <t>Invitation to Bid for the Procurement of Janitorial Services for CY2020</t>
  </si>
  <si>
    <t>Procurement of materials,supply of labor and rental of equipment for Cultural Canopy at LGU-Compound,Poblacion,Madridejos,Cebu</t>
  </si>
  <si>
    <t>PR# 20-1452 - To supply labor, materials and necessary equipment for the Improvement of Two (2) Storey Multi-Purpose Building at Sto. Nino, San Luis, Pampanga.</t>
  </si>
  <si>
    <t>ITB for Modules</t>
  </si>
  <si>
    <t>Invitation to Bid for the Procurement of Security Services for CY2020</t>
  </si>
  <si>
    <t>Supply and Delivery of Office &amp; IT Equipment for Municipal Civil Registar Office</t>
  </si>
  <si>
    <t>SUPPLY AND DELIVERY OF AGRICULTURAL SUPPLIES</t>
  </si>
  <si>
    <t>Construction of Multi-Purpose Hall</t>
  </si>
  <si>
    <t>CONSTRUCTION OF CALAOAN MULTI PURPOSE BUILDING BUILING (PHASE I)-BULUAN</t>
  </si>
  <si>
    <t>(PSWDO)	  2ND INVITATION TO BID FOR THE SUPPLY AND DELIVERY OF 1 UNIT  MOTOR VEHICLE/SERVICE VEHICLE (4X4 PICK-UP) FOR THE  PROVINCIAL SOCIAL WELFARE AND DEVELOPMENT OFFICE (PSWDO)</t>
  </si>
  <si>
    <t>Installation of 1 unit Transformer &amp; Primary Metering</t>
  </si>
  <si>
    <t>PURCHASE OF 22 UNITS SUPER DIGITAL DUPLICATOR MACHINE</t>
  </si>
  <si>
    <t>CONSTRUCTION OF COLUMBARIUM NICHES Public Cemetery, Tubod, Lanao del Norte</t>
  </si>
  <si>
    <t>Concreting of Local Road – Brgy. Calupaan</t>
  </si>
  <si>
    <t>ITB for CoViD-19 Pandemic Preparedness Supplies</t>
  </si>
  <si>
    <t>Supply and Delivery of Crude Oil</t>
  </si>
  <si>
    <t>ESTABLISHMENT OF LGU-MANAGED FM RADIO STATION Tubod, Lanao del Norte</t>
  </si>
  <si>
    <t>Upgrading and Improvement of Labuo to Sumakwelan in Barangay Labu-o, this municipality</t>
  </si>
  <si>
    <t>IMPROVEMENT OF SACPIL NATIONAL HIGH SCHOOL ACCESS ROAD-SACPIL</t>
  </si>
  <si>
    <t>Construction of Evacuation Center – Brgy. Linantuyan</t>
  </si>
  <si>
    <t>PURCHASE OF DIGITAL DUPLICATOR MACHINES AND PHOTOCOPIER MACHINES UNDER P.R. NO. 80-20-07-084</t>
  </si>
  <si>
    <t>PR# 20-1546- To supply labor, materials and necessary equipment for the Improvement of Masantol Multi-Purpose Building at Kalsadang Bayu, San Nicolas, Masantol, Pampanga</t>
  </si>
  <si>
    <t>COMPLETION OF PUROK 3 BARANGAY BALUNTAY LEVEL III WATER SYSTEM Alabel, Sarangani Province</t>
  </si>
  <si>
    <t>20GNE0042 – SUPPLIES/DELIVERIES FOR THE PROCUREMENT OF VARIOUS IT EQUIPMENT AND ACCESSORIES TO BE USED IN ADMINISTRATIVE SECTION, MAINTENANCE SECTION, QUALITY ASSURANCE SECTION, PLANNING &amp; DESIGN SECT</t>
  </si>
  <si>
    <t>Lot1- Purchase of School Supplies to be distributed to all Elementary Pupils (4 districts)</t>
  </si>
  <si>
    <t>Supply and Delivery of Furniture for Municipal Treasurer Office</t>
  </si>
  <si>
    <t>Supply and Delivery of IT &amp; Office Equipment and Furniture and Fixtures for Municipal Budget Office</t>
  </si>
  <si>
    <t>REPAIR OF A6 NATURE'S PARK LANDPARK</t>
  </si>
  <si>
    <t>Purchase of Construction. /Installation of Solar Street Light (Phase II)</t>
  </si>
  <si>
    <t>CONSTRUCTION OF ADDITIONAL CELLS AND INFIRMARY FOR SARANGANI PROVINCIAL JAIL Alabel, Sarangani Province</t>
  </si>
  <si>
    <t>Lot1-Purchase of Hygiene Kit to be distributed to all Elementary Pupils and High School Students (4 districts) (4 districts)</t>
  </si>
  <si>
    <t>Pick-Up Truck-MDRRMO</t>
  </si>
  <si>
    <t>PROCUREMENT OF VARIOUS PUBLICATION &amp; PRINTING EQUIPMENT</t>
  </si>
  <si>
    <t>Purchase of Solar Powered Lighting Facilities</t>
  </si>
  <si>
    <t>SUPPLY AND DELIVERY OF SEEDS ITB No. 2020-186</t>
  </si>
  <si>
    <t>CONSTRUCTION OF CHILD DEVELOPMENT CENTER-DAGA</t>
  </si>
  <si>
    <t>Supply and Delivery of Furniture &amp; Fixture and Office Equipment for Municipal Planning &amp; Development Office</t>
  </si>
  <si>
    <t>SUPPLY AND DELIVERY OF REAGENTS</t>
  </si>
  <si>
    <t>IMPROVEMENT OF KIOGAM MULTI-PURPOSE BUILDING Glan, Sarangani Province</t>
  </si>
  <si>
    <t>CONCRETE PAVING OF ROAD (ROAD RIGHT OF WAY)</t>
  </si>
  <si>
    <t>CONSTRUCTION OF PADDIG CHILD DEVELOPMENT CENTER (FENCING)-Caglayan</t>
  </si>
  <si>
    <t>REHABILITATION OF WATER SYSTEM-PADDAOAN</t>
  </si>
  <si>
    <t>Rescue Transport Vehicle (Ambulance)</t>
  </si>
  <si>
    <t>PROCUREMENT OF STENO WRITER/MACHINE</t>
  </si>
  <si>
    <t>Procurement of 1,225 LITERS LIQUID FOLIAR FERTILIZER in Support to Farmers of the Province</t>
  </si>
  <si>
    <t>PURCHASE OF AIRCON &amp; TV</t>
  </si>
  <si>
    <t>MATERIALS FOR THE CONCRETING OF ROAD ALLEY PHASE 1, 2 &amp; 3</t>
  </si>
  <si>
    <t>IMPROVEMENT OF MULTI-PURPOSE BUILDING (GYMNASIUM)-CAGLAYAN</t>
  </si>
  <si>
    <t>Improvement of 33 Day Care Center</t>
  </si>
  <si>
    <t>FURNISHING OF LABORERS THRU "PAKYAW" BASIS TO ASSIST THE AGUS 6 HEP MECHANICAL SECTION DURING REPAIR OF SPILLWAY GATES</t>
  </si>
  <si>
    <t>Procurement of materials,supply of labor and rental of equipment for Cultural Fence and Upper Beam Walling at LGU-Compound,Poblacion,Madridejos,Cebu</t>
  </si>
  <si>
    <t>Procurement of materials,supply of labor and rental of equipment for Solar Light for Fourteen (14) Barangays of Madridejos,Cebu</t>
  </si>
  <si>
    <t>Rehabilitation of Local Access Road (Phase 1), Brgy. Nagmisaan to Brgy. San Juan De Milla, Paniqui, Tarlac</t>
  </si>
  <si>
    <t>Lot1-Purchase of materials for the construction of Slope Protection at Sitio Masisit E/S (Revised) at Asassi, Baggao, Cagayan</t>
  </si>
  <si>
    <t>Construction of one (1) Building Public Market (8M x 34.2M)-Meat Section</t>
  </si>
  <si>
    <t>INVITATION TO BID FOR THE  SUPPLY AND DELIVERY OF COMPUTER SOFTWARE AUTOCAD PR Nos. 27828-001</t>
  </si>
  <si>
    <t>Supply and Delivery of Various Office Equipment for Municipal Treasurer Office</t>
  </si>
  <si>
    <t>Procurement of Laboratory Supplies for TB Infection Control,  IB No. SB-2020-030</t>
  </si>
  <si>
    <t>PR# 20-1804- To supply labor, materials and necessary equipment for the Improvement/Concreting of Barangay Road at Sta. Lucia Anac-San Isidro, Masantol, Pampanga</t>
  </si>
  <si>
    <t>CCTV Surveillance System complete with Accessories</t>
  </si>
  <si>
    <t>CONSTRUCTION OF BOX CULVERT- Sitio Cotta, Brgy. Lalig</t>
  </si>
  <si>
    <t>PR# 20-1533- To supply labor, materials and necessary equipment for the Improvement of Barangay Road at Candelaria, Macabebe, Pampanga</t>
  </si>
  <si>
    <t>Procurement of Reagents and Glassware,  IB No. SB-2020-028</t>
  </si>
  <si>
    <t>CONSTRUCTION OF TWO CLASSROOM GABALDON, Sta. Cruz, Calapan City</t>
  </si>
  <si>
    <t>RELIEF GOODS</t>
  </si>
  <si>
    <t>Purchase of Heavy Equipment Forward Vehicle</t>
  </si>
  <si>
    <t>CONSTRUCTION OF PATHWAYS AT BARANGAY LUTA SUR, MALVAR, BATANGAS</t>
  </si>
  <si>
    <t>CONSTRUCTION OF MULTI-PURPOSE HAL (GYM TYPE) AT THE OPEN SPACE OF PUROK CRYSTAL MEADOWS</t>
  </si>
  <si>
    <t>Heavy Equipment-MDRRMO</t>
  </si>
  <si>
    <t>Procurement of Emergency Birthing Kits,  IB No. SB-2020-016</t>
  </si>
  <si>
    <t>SUPPLY AND DELIVERY OF OF THERMAL SCANNER, HIGH RESOLUTION OF BALONGBONG HEPP</t>
  </si>
  <si>
    <t>CONSTRUCTION OF LOCAL  ROAD- Sitio Panghulan 2, Brgy. Bula</t>
  </si>
  <si>
    <t>CONSTRUCTION MATERIALS</t>
  </si>
  <si>
    <t>Lot1-Purchase of 29,350 liters Diesel fuel for Service Vehicles &amp; equipment (2nd quarter of 2020) and Lot2-Purchase of 23,500 liters Diesel fuel for Heavy Equipment</t>
  </si>
  <si>
    <t>Rebidding of N95 Mask,  IB No. SB-2020-021</t>
  </si>
  <si>
    <t>Procurement of Consulting Services for the Site Development, Ground Preparation and Beautification, Concrete Works, Electrical Works, Plumbing and Fixtures and Tile Works (Design &amp; Construction Superv</t>
  </si>
  <si>
    <t>Construction of Impounding Area for Astray Animals</t>
  </si>
  <si>
    <t>20KB0186   Construction of Evacuation Center in Brgy. South Poblacion, Maramag, Bukidnon</t>
  </si>
  <si>
    <t>MA-A2M20-51 O/M Instrumentation and Control Equipment and Auxillaries, 1lot, AG2</t>
  </si>
  <si>
    <t>SUPPLY AND DELIVERY OF ELECTRICAL EQUIPMENT AND MATERIALS FOR TINGLOY DPP</t>
  </si>
  <si>
    <t>20GKI0044 (Public Bidding) Contract Name: Furnishing of Materials for Maintenance, Repair and Rehabilitation of Infrastructure Facilities and other Related Activities, Repair and Maintenance of Road S</t>
  </si>
  <si>
    <t>Contract ID: 20FD0073- CONSTRUCTION OF ONE (1) STOREY, FOUR (4) CLASSROOM SCHOOL BUILDING, DEL GALLEGO CENTRAL SCHOOL. DEL GALLEGO, CAMARINES SUR</t>
  </si>
  <si>
    <t>20KB0184   Concreting of Purok 18, Brgy. Butong FMR, Brgy. Butong, Quezon, Bukidnon</t>
  </si>
  <si>
    <t>MA-A2M20-024 Repair of street lightings</t>
  </si>
  <si>
    <t>PROCUREMENT OF VEHICLE|RESCUE VEHICLE</t>
  </si>
  <si>
    <t>Purchase of Brand New Motor Vehicle (Ambulance/ Rescue)</t>
  </si>
  <si>
    <t>IMPROVEMENT OF WATER SYSTEM, BRGY. CALIPAYAN, CULABA, BILIRAN</t>
  </si>
  <si>
    <t>20KB0183   Construction of One Unit One Storey-Five (5) Classroom School Building at Malinao ES, Kadingilan, Bukidnon</t>
  </si>
  <si>
    <t>Procurement of Clerical Table, Mobile Cabinet and Clerical Chair</t>
  </si>
  <si>
    <t>PROPOSED CONSTRUCTION OF MULTI-PURPOSE CENTER (PHASE-1)</t>
  </si>
  <si>
    <t>PURCHASE OF MATERIALS FOR THE IMPROVEMENT OF BARANGAY ROAD</t>
  </si>
  <si>
    <t>Construction of New Evacuation Center</t>
  </si>
  <si>
    <t>REPAIR OF MULTI-PURPOSE BUILDING</t>
  </si>
  <si>
    <t>Supply and delivery of materials for the Improvement of Multi-Purpose Hall (Phase I) at Barangay Rosario</t>
  </si>
  <si>
    <t>20KB0185   Concreting of Purok 3B Sitio Mahayag to Purok 4 Sitio Dagohoy, Poblacion FMR Phase II, Brgy. Poblacion, Dangcagan, Bukidnon</t>
  </si>
  <si>
    <t>Purchase of Printer Ecotank &amp; Flat Screen Television 32" ( Dept. of Education)</t>
  </si>
  <si>
    <t>Preventive Maintenance of Substations</t>
  </si>
  <si>
    <t>Purchase of Agricultural Machinery &amp; Equipments (Post Harvest Facility)</t>
  </si>
  <si>
    <t>Purchase of Furnitures And Fixtures</t>
  </si>
  <si>
    <t>Upgrading and Improvement of Road Section from Brgy. Poblacion to Brgy. Singaran (Poblacion and Singaran, LLZDN)</t>
  </si>
  <si>
    <t>CONSTRUCTION OF SERVICE ROAD AND LANDSCAPING, MUNICIPAL COMPOUND, CULABA, BILIRAN</t>
  </si>
  <si>
    <t>ROAD CONCRETING AND INSTALLATION OF STREET LIGHTING @ BAYWALK</t>
  </si>
  <si>
    <t>Construction of Multi-Purpose Building Phase 1</t>
  </si>
  <si>
    <t>Internet Subscription (Upgrading of the Existing Bandwidth)</t>
  </si>
  <si>
    <t>PURCHASE OF INTERACTIVE EDUCATION SYSTEM PACKAGES FOR 12 PUBLIC SCHOOLS (ELEMENTARY AND SENIOR HIGH) IN THE CITY OF DASMARIÑAS, CAVITE</t>
  </si>
  <si>
    <t>SUPPLY AND DELIVERY OF MATERIALS FOR THE IMPROVEMENT OF EVACUATION CENTER OF BARANGAY MATE, SAN FRANCISCO AGUSAN DEL SUR</t>
  </si>
  <si>
    <t>OFFICE EQUIPMENT (Brgy,ESPERANZA-SEF)</t>
  </si>
  <si>
    <t>REHABILITATION OF HANDWASHING AREA, LCR &amp; ACCOUNTING OFFICE (Const'n/Rehab. of Municipal hall building)</t>
  </si>
  <si>
    <t>20FK0051–(RE-BID)Bridge-Refrofitting/Strenthening of Permanent Bridges-Mauhang Bridge (B04697LZ) along Daan Maharlika (LZ) Casiguran Sorsogon</t>
  </si>
  <si>
    <t>Renewal of Sophos XG 330 Firewall Intrusion Detection System</t>
  </si>
  <si>
    <t>CONSTRUCTION OF EVACUATION CENTER MESS HALL BUILDING</t>
  </si>
  <si>
    <t>Procurement of IT device and accessories for Municipal Tourism &amp; Information Office</t>
  </si>
  <si>
    <t>LOCAL ACCESS ROAD - UPGRADING OF LOPEZ JAENA ST., RIZAL, DIFFUN, QUIRINO</t>
  </si>
  <si>
    <t>IMPROVEMENT &amp; MAINTENANCE OF MUNICIPAL ST./ROADS, BANNAWAG, DIFFUN QUIRINO</t>
  </si>
  <si>
    <t>purchase of amterials for upgrading of water system</t>
  </si>
  <si>
    <t>REHABILITATION/ IMPROVEMENT OF POBLACION-ISIDRO PAREDES-SAN ISIDRO ROAD (PHASE II)</t>
  </si>
  <si>
    <t>Supply and Delivery of One (1) Lot Various Materials for the Rehabilitation of Wet Market Building</t>
  </si>
  <si>
    <t>20CSGG0002 - SUB-SURFACE EXPLORATION FOR THE PROPOSED REHABILITATION/ RECONSTRUCTION OF NATIONAL ROADS WITH SLIPS, SLOPE COLLAPSE, LANDSLIDE ALONG NATIONAL ROADS, CONSTRUCTION/MAINTENANCE OF FLOOD MIT</t>
  </si>
  <si>
    <t>Procurement of materials,supply of labor and rental of equipment for Fourteen (14) Modular Classroom Flooring and Electrical at Madridejos Community College(MCC),Bunakan,Madridejos,Cebu</t>
  </si>
  <si>
    <t>Procurement of Diesel Fuel-07-427(A)PGO</t>
  </si>
  <si>
    <t>Procurement of Security Services for Angat Hydroelectric Power Plant</t>
  </si>
  <si>
    <t>Local School Board Modules</t>
  </si>
  <si>
    <t>INSTALLATION OF STREET LIGHTS AT BARANGAY  BALUNTAY, ALABEL Alabel, Sarangani Province</t>
  </si>
  <si>
    <t>Package 14 (A. Gumhang MRF Construction, B. Ahbunan FP-Hand Rails Construction-Gumhang, C. Kulog-Malinghi FMR Improvement (Bekeh Section), and D. Awa-Bekeh FMR Improvement)</t>
  </si>
  <si>
    <t>PURCHASE OF FOOD AND NON-FOOD ITEMS FOR STOCKPILE OF FAMILY FOOD PACKS (FFP)</t>
  </si>
  <si>
    <t>Information Technology &amp; Communication Equipment (Computer Printer)</t>
  </si>
  <si>
    <t>Civil Works by Contract for the Improvement of Market Building</t>
  </si>
  <si>
    <t>Supply and Delivery of 1 Unit Brand New Heavy Duty Water Tanker 6 Cylinder, common rail fuel injection diesel engine.</t>
  </si>
  <si>
    <t>SUPPLY AND DELIVERY OF AGRICULTURAL EQUIPMENT ITB No. 2020-185</t>
  </si>
  <si>
    <t>Supply and Delivery Consumables with free use Monochrome Photocopier Machine and other items.</t>
  </si>
  <si>
    <t>CONSTRUCTION OF DRAINAGE CANAL WITH STIFFENERS @ Minanga, Piat, Cagayan</t>
  </si>
  <si>
    <t>WELDING ROD</t>
  </si>
  <si>
    <t>Procurement of ICT Equipment of POPCOM (Computer Accessories)</t>
  </si>
  <si>
    <t>Purchase of Uniform</t>
  </si>
  <si>
    <t>CONSTRUCTION OF BLEACHERS FOR TUYAN SPORTS CENTER Malapatan, Sarangani Province</t>
  </si>
  <si>
    <t>MATERIALS FOR THE CONSTRUCTION OF CHB OPEN CANAL PHASE I</t>
  </si>
  <si>
    <t>Lot1-Construction of Drainage System (Phase II) at San Jose, Baggao, Cagayan</t>
  </si>
  <si>
    <t>ASS-20-0878-B/ Purchase of I.T Equipment (Laptop)</t>
  </si>
  <si>
    <t>1 LOT IT SUPPLIES FOR CY 2020</t>
  </si>
  <si>
    <t>Purchase and Delivery of Laptop for ISCOF System</t>
  </si>
  <si>
    <t>PROCUREMENT OF SERVICE VEHICLE</t>
  </si>
  <si>
    <t>Purchase of 10 Units 5 KVA Portable Generator Set</t>
  </si>
  <si>
    <t>Supply and Delivery of 2000 Units Fire Extinguishers Weight: 5.0 kilos and 3000 Kilos Refill of Fire Extinguishers.</t>
  </si>
  <si>
    <t>Supply and Delivery of Various Tires and other items.REBID</t>
  </si>
  <si>
    <t>SUPPLY AND DELIVERY OF SUPPLIES, MATERIALS AND EQUIPMENT TO BE USED AT THE IP-TBM FACILITY</t>
  </si>
  <si>
    <t>Repair and Maintenance of Municipal Heavy Equipment for 2nd Quarter 2020</t>
  </si>
  <si>
    <t>Supply and Delivery of Materials for Construction of Material Recovery Facility in 12 Barangays</t>
  </si>
  <si>
    <t>(GO-PJail) INVITATION TO BID FOR THE SUPPLY &amp; DELIVERY OF FIREARMS (9MM FS W/ LICENSE)  FOR THE  GOVERNOR’S OFFICE – PROVINCIAL JAIL--150,000.00</t>
  </si>
  <si>
    <t>Supply and Delivery of 330 Bags Thermoplastic Road Marking Compound-White and other items including purchase of Construction supplies.</t>
  </si>
  <si>
    <t>Food Assistance</t>
  </si>
  <si>
    <t>UPLB-S-049-08-20, PROCUREMENT FOR THE REHABILITATION/UPGRADE OF INTERNET CONNECTION FOR BAC SECRETARIAT OFFICE</t>
  </si>
  <si>
    <t>PPD-20-0845-B - Purchase of Office Equipment</t>
  </si>
  <si>
    <t>SUPPLY AND DELIVERY OF OLYSET NET WINDOW SCREEN ITB No. 2020-187</t>
  </si>
  <si>
    <t>Construction of Marine Engineering Laboratory</t>
  </si>
  <si>
    <t>VEHICLES</t>
  </si>
  <si>
    <t>IB NO.2020-08-18(09)CAT I - DRUGS &amp; MEDICINES</t>
  </si>
  <si>
    <t>UPLB-S-048-08-20, SUPPLY AND DELIVERY OF BRANDED AND BRAND NEW CHEMICALS AND CHEMICAL PRODUCTS FOR BIOTECH</t>
  </si>
  <si>
    <t>IMPROVEMENT OF MULTI PURPOSE BUILDING</t>
  </si>
  <si>
    <t>PURCHASE OF MEDICAL EQUIPMENT</t>
  </si>
  <si>
    <t>Rehabilitation and Construction of Various Projects at Barangay Ba-ayan, Tublay, Benguet</t>
  </si>
  <si>
    <t>Installation of Street Lighting System (Solar) (Gala, Paterno, Mercado, Salamera Blvd.) @ Brgy. 04, Casiguran, Aurora</t>
  </si>
  <si>
    <t>S1-B0620-004 - Supply and Delivery of Mechanical Spare Parts for 3.6MW Daihatsu Diesel Engine, Model No.: 12DK-32B of Power Barge 106</t>
  </si>
  <si>
    <t>SUPPLY AND DELIVERY OF LABOR &amp; MATERIALS FOR THE CONSTRUCTION OF 100,000 BAGS CAPACITY WAREHOUSE WITH WS II OFFICE AT NFA COMPOUND IN  SCIENCE CITY OF MUÑOZ, NUEVA ECIJA</t>
  </si>
  <si>
    <t>PURCHASE OF MATERIALS FOR THE IMPROVEMENT OF COVERED COURT</t>
  </si>
  <si>
    <t>INVITATION TO BID  FOR FARM MACHINE RY AND EQUIPEMNT</t>
  </si>
  <si>
    <t>PROCUREMENT  FOR CY 2020 PESTICIDES REQUIREMENT FOR NFA REGION XIV</t>
  </si>
  <si>
    <t>(GO-PDRRMO) SUPPLY &amp; DELIVERY OF GROCERY ITEMS FOR STOCKPILING (RICE, SARDINES, ETC.)  FOR THE  GOVERNOR’S OFFICE – PROVINCIAL DISASTER RISK REDUCTION MANAGEMENT OFFICE--4,805,000.00</t>
  </si>
  <si>
    <t>Supply and Delivery of 20 Pieces Battery, N100L, LM, 80 RC Min., 15 Plates, 600 CCA and other various items.</t>
  </si>
  <si>
    <t>DIS-20-0817-B - Purchase of Medical &amp; Laboratory Supplies</t>
  </si>
  <si>
    <t>Supply and Delivery of 1 Brand New Ambulance</t>
  </si>
  <si>
    <t>UPLB-S-047-08-20, SUPPLY AND DELIVERY OF BRANDED AND BRAND NEW VARIOUS INFORMATION TECHNOLOGY, PARTS &amp; ACCESSORIES &amp; PERIPHERALS</t>
  </si>
  <si>
    <t>IB NO.2020-08-18(09)CAT II - MED/ LAB SUPPLIES &amp; REAGENTS</t>
  </si>
  <si>
    <t>SUPPLY AND DELIVERY OF LABOR &amp; MATERIALS FOR THE CONSTRUCTION OF 100,000 BAGS CAPACITY WAREHOUSE WITH WS II OFFICE AT NFA COMPOUNDIN  CABANATUAN CITY, NUEVA ECIJA</t>
  </si>
  <si>
    <t>S1-ROM20-004 - Supply and Delivery of Mechanical Spare Parts for 600kW Cummins Chongqing China, Model: KTA38-G1 of Romblon Diesel Power Plant</t>
  </si>
  <si>
    <t>Purchase of 1,000 Units Portable FM Radio</t>
  </si>
  <si>
    <t>PURCHASE OF LAPTOP</t>
  </si>
  <si>
    <t>EMBANKMENT/DEVELOPMENT OF BAYWALK</t>
  </si>
  <si>
    <t>MULTI PURPOSE PAVEMENT, BRGY. BATUG, DULAG LEYTE</t>
  </si>
  <si>
    <t>Procurement of Labor and Materials for the Preventive Maintenance Services of Four (4) Units Generator Set at Ronquillo Satellite For Two (2) Years</t>
  </si>
  <si>
    <t>PURCHASE OF OFFICE EQUIPMENT AND ACCESSORIES FOR THE USE OF CENTER OPERATION UNDER P.R. NO. 80-20-04-051</t>
  </si>
  <si>
    <t>S1-VDP20-002 - Supply and Delivery of Mechanical Spare Parts for 1 x 500kW Cummins Engine Model: KTAA19-G6A of Viga Diesel Power Plant</t>
  </si>
  <si>
    <t>(GO-PJail) INVITATION TO BID FOR THE SUPPLY &amp; DELIVERY OF1 UNIT PHOTOCOPIER   FOR THE  GOVERNOR’S OFFICE – PROVINCIAL JAIL--150,000.00</t>
  </si>
  <si>
    <t>REHABILITATION OF MUNICIPAL BUILDING</t>
  </si>
  <si>
    <t>IB NO.2020-08-18(09)CAT IV OTHER COMMODITIES</t>
  </si>
  <si>
    <t>Procurement of Infrastructure - Rehabilitation of Barangay Road from Proper San Victor to Sitio Heni</t>
  </si>
  <si>
    <t>Supply &amp; Delivery of Steel Cabinets for Different Departments</t>
  </si>
  <si>
    <t>Procurement of Infrastructure-Rehabilitation of Brgy. Road from Diversion Road to Sitio Paopagon</t>
  </si>
  <si>
    <t>Supply &amp; Delivery of Airconditioning &amp; Aircinditioning Systems - CO for RDE, Clinic, Extension, CADS, IGE &amp; Planning</t>
  </si>
  <si>
    <t>IB NO.2020-08-18(09)CAT III CHEM/CHEM PRODUCTS</t>
  </si>
  <si>
    <t>PROVISION OF SANITARY TOILET</t>
  </si>
  <si>
    <t>S3-BAI20-017 - Supply and Delivery of Mechanical Spare Parts for the 5 x 1.0MW of MAN Diesel Genset, Model 6L 21/31 with Serial No. 7A6L00022 Intended for Basilan DPP</t>
  </si>
  <si>
    <t>S3-BLD20-008 - Supply and Delivery of Various Mechanical Spare Parts for 163kW Perkins, 160kW FG Wilson and 80kW FG Wilson for Balut DPP</t>
  </si>
  <si>
    <t>Procurement of Accountable Forms for use in the 26 Municipalities and other Accountable Officers of the Province of Zamboanga del Sur</t>
  </si>
  <si>
    <t>Procurement of Infrastructure-Barangay Road Opening from NHJ Sitio Tuajon, Brgy. Dapnan to Sitio Kasukan, Brgy. San Victor</t>
  </si>
  <si>
    <t>Procurement of Infrastructure - Rehabilitation of Barangay Road from Sitio Cabanbanan, Barangay Dapnan to Sitio Lapaz &amp; Sitio Calinaban, Barangay San Isidro</t>
  </si>
  <si>
    <t>Procurement of Infrastructure - Rehabilitation of Sunrise Boulevard</t>
  </si>
  <si>
    <t>Installation of Street Lighting System (Solar) @ Alhambra, Calderon, Burgos &amp; Zamora St. @ Brgy. 05, Casiguran, Aurora</t>
  </si>
  <si>
    <t>Supply &amp; Delivery of Office Equipment for CTAS &amp; CTE</t>
  </si>
  <si>
    <t>CONSTRUCTION OF DRAINAGE SYSTEM</t>
  </si>
  <si>
    <t>4th Level Training on 2020 Census of Population and Housing (CPH) September 2020 - Culion</t>
  </si>
  <si>
    <t>4th Level Training on 2020 Census of Population and Housing (CPH) September 2020 - Cuyo</t>
  </si>
  <si>
    <t>Purchase and Delivery of Office Supplies - MO</t>
  </si>
  <si>
    <t>Purchase of 1 Unit Rescue &amp; Response Brand New Motor Vehicle for MDRRMO use</t>
  </si>
  <si>
    <t>4th Level Training on Census of Population &amp; Housing (CPH) September 2020 - Busuanga</t>
  </si>
  <si>
    <t>SUPPLY, DELIVERY, INSTALLATION AND COMMISSIONING OF 80 TONS PITLESS TYPE OF ELECTRONIC TRUCKSCALE AT NFA COMPOUND IN AGUSO, TARLAC</t>
  </si>
  <si>
    <t>4th Level Training on Census of Population &amp; Housing (CPH) September 2020 - Rizal</t>
  </si>
  <si>
    <t>Fourth Level Training on 2020 Census of Population and Housing (CPH) in the municipality of Linapacan</t>
  </si>
  <si>
    <t>SUPPLY AND DELIVERY OF GOODS FOR EGG PRODUCTION PROJECT</t>
  </si>
  <si>
    <t>Fourth Level Training on 2020 Census of Population and Housing (CPH) in the municipality of Araceli</t>
  </si>
  <si>
    <t>4th Level Training on 2020 Census of Population and Housing (CPH) September 2020 - Dumaran</t>
  </si>
  <si>
    <t>4th Level Training on Census of Population &amp; Housing (CPH) September 2020 - Agutaya</t>
  </si>
  <si>
    <t>Procurement of Technical and Scientific Equipment for the BS Biology Program use of the Zamboanga del Sur Provincial Government College.</t>
  </si>
  <si>
    <t>Proposed Establishment of Ecological Park Phase II</t>
  </si>
  <si>
    <t>(SBMA-BAC-INFRA-IB-07-20) PROPOSED CONSTRUCTION OF STORAGE FACILITY FOR HAZARDOUS MATERIALS</t>
  </si>
  <si>
    <t>Invitation to Bid for the Procurement of Broadcast Camera and Video Switcher for Streaming with Accessories</t>
  </si>
  <si>
    <t>Rehab. of Brgy. Health Center @ Centro, Brgy. Esteves, Casiguran, Aurora</t>
  </si>
  <si>
    <t>Const. of Evacuation Center @ Brgy. Proper, Brgy. Culat, Casiguran, Aurora</t>
  </si>
  <si>
    <t>20-06-492 Repair and Maintenance of DH6 II Bulldozer</t>
  </si>
  <si>
    <t>Road Construction</t>
  </si>
  <si>
    <t>20PJ0059: CY 2020 Basic Educational Facilities Fund (BEFF - Batch 1): Construction of Two-Storey Four Classrooms Caragasan National High School, Alfonso Lista, Ifugao</t>
  </si>
  <si>
    <t>Const. of Multi-Purpose Hall @ Brgy. Site, Brgy. Cozo, Casiguran, Aurora</t>
  </si>
  <si>
    <t>INVITATION TO BID FOR Supply and Delivery of Tokens (Gold Rings) PR no. 13820</t>
  </si>
  <si>
    <t>Const. of Multi-Purpose Hall (2-Storey) @ Brgy. Calangcuasan, Casiguran, Aurora</t>
  </si>
  <si>
    <t>HIRING OF CONTENT PRODUCER FOR MANILA FAME DIGITAL CATALOG</t>
  </si>
  <si>
    <t>Installation of Street Lighting System in all Streets @ Brgy. 08, Casiguran, Aurora</t>
  </si>
  <si>
    <t>Construction of Municipal Gate, Fence and Pathways, Phase 1</t>
  </si>
  <si>
    <t>Procurement of RTK &amp; Drone Equipment for Manila Bay Rehabilitation Program (2020-020 and 2020-213)</t>
  </si>
  <si>
    <t>Procurement of Infrastructure-Barangay Road Opening from Proposed Cemetery, Brgy. Salingcomot</t>
  </si>
  <si>
    <t>Procurement of Food Packs for Individual in Crisis Situation [MSWDO]</t>
  </si>
  <si>
    <t>20GD0109 - CONCRETING OF BRGY. VIZCAYA FMR, PRESIDENT ROXAS, CAPIZ</t>
  </si>
  <si>
    <t>Construction of Materials and Supplies</t>
  </si>
  <si>
    <t>Rehabilitation and Raising of Municipal Road Phase-11 (Portion of Bonifacio and Tirol Street)</t>
  </si>
  <si>
    <t>HIRING OF DROPOUT STUDIO PHOTOGRAPHER FOR THE MANILA FAME DIGITAL CATALOG (ZONE 1) COVERAGE</t>
  </si>
  <si>
    <t>Installation of Street Lighting System @ Gala St. to Paterno St. @ Brgy. 06, Casiguran, Aurora</t>
  </si>
  <si>
    <t>20GD0108 - CONCRETING OF SUGARCANE FARM-TO-MILL ROAD, SITIO ESPERANZA, BRGY. BINUNTUCAN TO BRGY. CABUNGAHAN ROAD</t>
  </si>
  <si>
    <t>Const. of Drainage System @ Entire Poblacion (Phase-3) Casiguran, Aurora</t>
  </si>
  <si>
    <t>Construction of Tuguis Child Development Center</t>
  </si>
  <si>
    <t>PROPOSED REHABILITATION OF ROAD AND DRAINAGE AT AKLAN ST. AND CONSTRUCTION OF R.C. BOX CULVERT AND R.C. CANAL AT KALAMIONG CREEK,  BARANGAY PAYATAS, DISTRICT 2, QUEZON CITY</t>
  </si>
  <si>
    <t>S3-SIA20-003 &amp; 4 OTHERS - Supply and Delivery of Various Mechanical Spare Parts of Cummins Generator Sets of SPUG WMOD Plants</t>
  </si>
  <si>
    <t>Supply and Delivery of 7 Units Laser Printers</t>
  </si>
  <si>
    <t>Const. of Drainage System @ Brgy. Proper, Brgy. Tabas, Casiguran, Aurora</t>
  </si>
  <si>
    <t>PROPOSED CONSTRUCTION OF RETAINING WALL AT ILANG ILANG CREEK, PALMERA V, BARANGAY STA. MONICA,  DISTRICT 5, QUEZON CITY</t>
  </si>
  <si>
    <t>S3-JOL20-010 - Battery Stationary 110VDC, Gel Type, 55 Cells, 2V per Cell, 150AH Min. Cap. 2.25VDC Floaf Charge, 2 Terminals Welded each with Copper Insert, Tubular Plates Design, w/ Rack &amp; Maintenanc</t>
  </si>
  <si>
    <t>PROPOSED CONSTRUCTION OF REINFORCED CONCRETE RETAINING WALL AT CREEK NEAR SAINT PATRICK SCHOOL, BARANGAY BAHAY TORO DISTRICT 1, QUEZON CITY</t>
  </si>
  <si>
    <t>PROPOSED CONSTRUCTION OF REINFORCED CONCRETE RETAINING WALL AT HURA HOME II (PHASE 2), BARANGAY VASRA, DISTRICT 1, QUEZON CITY</t>
  </si>
  <si>
    <t>Const. of Drainage System @ Brgy. Proper, Brgy. Calantas, Casiguran, Aurora</t>
  </si>
  <si>
    <t>Supply &amp; Delivery of Commercial Feeds for Bangus and Vannamei Production</t>
  </si>
  <si>
    <t>(SBMA-BAC-INFRA-IB-08-20) REHABILITATION OF MT. STA. RITA COMMUNICATION FACILITY</t>
  </si>
  <si>
    <t>PROPOSED CONSTRUCTION OF R.C. RETAINING WALL AT DILIMAN CREEK (T. GENER ST.), BARANGAY KAMUNING,  QUEZON CITY</t>
  </si>
  <si>
    <t>PROPOSED CONSTRUCTION OF R.C. RETAINING WALL AT QUINCE ST., BARANGAY ROXAS, QUEZON CITY</t>
  </si>
  <si>
    <t>20MF0089-CONSTRUCTION OF MULTI-PURPOSE BUILDING AT BRGY. LUTAYAN PROPER, LUTAYAN, SULTAN KUDARAT</t>
  </si>
  <si>
    <t>Rehabilitation of Manhac Evacuation Center</t>
  </si>
  <si>
    <t>20LG0120 - Construction of Classrooms, Tamisan Elementary School, City of Mati, Davao Oriental</t>
  </si>
  <si>
    <t xml:space="preserve">REQUEST FOR EXPRESSION OF INTEREST FOR THE PROCUREMENT OF CONSULTING SERVICES TO DEVELOP THE COMMISSION ON HUMAN RIGHTS ORGANIZATIONAL STRUCTURE AND STAFFING PATTERN AND PREPARATION FOR LEVEL 2 PRIME </t>
  </si>
  <si>
    <t>4th Level Training on 2020 Census of Population and Housing (CPH) September 2020 - San Vicente</t>
  </si>
  <si>
    <t>Rehabilitation of Child Development Center at Buenavista and Limon Norte</t>
  </si>
  <si>
    <t>4th Level Training on Census of Population &amp; Housing (CPH) September 2020 - Bataraza</t>
  </si>
  <si>
    <t>S1-VDP20-001 - Supply and Delivery of Mechanical Spare Parts for 2 x 560kW Perkins Engine Model: 3012TAG2A of Viga Diesel Power Plant</t>
  </si>
  <si>
    <t>IMPROVEMENT OF BARANGAY OUTPOST</t>
  </si>
  <si>
    <t>Purchase of Automated External Defibrillator (AED) Complete Set - MO-MDRRMO</t>
  </si>
  <si>
    <t>4th Level Training on Census of Population &amp; Housing (CPH) September 2020 - Brooke’s Point</t>
  </si>
  <si>
    <t>Construction of seaside Street, Brgy. Garden</t>
  </si>
  <si>
    <t>ITB-GS-20200611-01 - Supply and Delivery of Additional 120 Units for Existing Cisco ISR 4221 Routers</t>
  </si>
  <si>
    <t>20-06-493 Repair and Maintenance of D6R Bulldozer</t>
  </si>
  <si>
    <t>Rehabilitation of Agojo Child Development Center</t>
  </si>
  <si>
    <t>Procurement of 2-3 units motorcycle.</t>
  </si>
  <si>
    <t>Internet Service Connection Kits for Remote Locations</t>
  </si>
  <si>
    <t>PB-20-395, Supply &amp; Delivery of Printed Tarpaulins to be used as tents in the evacuation centers</t>
  </si>
  <si>
    <t>PB-20-398, Supply &amp; Delivery of Muscovy Duck for distribution to farmers affected by earthquake provincewide</t>
  </si>
  <si>
    <t>Purchase of one(1) unit CCTV Surveillance Equipment P tp P Wire &amp; Wireless System   all in one package</t>
  </si>
  <si>
    <t>PB-20-394, Supply &amp; Delivery of Hybrid Corn Seeds for distribution to farmers affected by calamities provincewide</t>
  </si>
  <si>
    <t>20GD0110 - CONCRETING OF SITIO KATAN-AGAN-PROPER, BRGY. EAST VILLAFLORES, MAAYON, CAPIZ</t>
  </si>
  <si>
    <t>Continuing of 48 sq.m. Day Care Center (Furnish)</t>
  </si>
  <si>
    <t>INVITATION TO BID FOR THE Rebidding of Procurement for Energy Efficiency and Conservation Division Various ICT Equipment under the Locally Funded Project - National Efficiency and Conservation Project</t>
  </si>
  <si>
    <t>Relocation and Subdivision Survey of 20 Lots</t>
  </si>
  <si>
    <t>Procurement of spare Parts for Service vehicle [Military Jeep SGT 488]</t>
  </si>
  <si>
    <t>PB-20-396, Supply of Diesel Fuel for RP Vehicles of various Committees in the Sangguniang Panlalawigan, Amas, Kidapawan City</t>
  </si>
  <si>
    <t>2020 Basic Education Facilities Fund (BEFF) Repair of Classrooms for DEPED, San Carlos City, Negros Occidental</t>
  </si>
  <si>
    <t>Bidding for Supply &amp; Delivery of Medical Supplies – Face Mask</t>
  </si>
  <si>
    <t>Procurement of Direct Internet Access Service with 6Mbps dedicated Bandwidth for 3 Years</t>
  </si>
  <si>
    <t>100-2020-07-856 Supply and delivery of 1106.76 cu.m. ready mixed concrete re Opening of Parangue Road, Bgy. Sicsican</t>
  </si>
  <si>
    <t>Negotiation due to Two Failed Biddings for Various Drugs and Medicines</t>
  </si>
  <si>
    <t>SUPPLY AND DELIVERY OF DIGITAL DUPLICATOR FOR COLLEGES USE</t>
  </si>
  <si>
    <t>Consulting Services for the Conduct of Social Media-based Advertisement for Stakeholder Awareness and Competition Enforcement</t>
  </si>
  <si>
    <t>Diorite (Soil Covering) (PR-2020-1061-0201)</t>
  </si>
  <si>
    <t>100-2020-07-850 Supply and delivery of construction materials and supplies re Concreting of San Carlos Road Phase III, Barangay Bacungan</t>
  </si>
  <si>
    <t>ACQUISITION OF FORENSIC TOOLS AND EQUIPMENT</t>
  </si>
  <si>
    <t>20CSIB10: CONSULTANCY SERVICES FOR PARCELLARY SURVEY OF THE CONSTRUCTION OF BORONGAN BYPASS AND DIVERSION ROAD, BORONGAN CITY, EASTERN SAMAR.</t>
  </si>
  <si>
    <t>Procurement of Consolidated IT Equipment</t>
  </si>
  <si>
    <t>19FI0063- Cluster I a. Construction (Completion) of 1-Unit 2-Storey 2-ICT Building (9.50m x 23.0m) at Alejandro Delos Reyes Integrated School, Masbate City b. Construction (Completion) of 1-Unit 3-Sto</t>
  </si>
  <si>
    <t>Procurement, Supply &amp; Delivery of Ambulance Vehicle</t>
  </si>
  <si>
    <t>Procurement, Supply &amp; Delivery of Medical Oxygen Refill</t>
  </si>
  <si>
    <t>PEO-20-0664 B- Purchase of Diesel Fuel for use in the truck team operations for the repair/maintenance of Provincial roads and bridges in the Province of Iloilo</t>
  </si>
  <si>
    <t>Construction of Multi-Purpose Building</t>
  </si>
  <si>
    <t>100-2020-07-857 Supply and delivery of 1108.37 cu.m. ready mixed concrete re Concreting of San Carlos Road Phase III, Barangay Bacungan</t>
  </si>
  <si>
    <t>Procurement of Materials for Painting, Upholstery and boby repair of Service vehicle KIA          VESTA VAN SEM 679</t>
  </si>
  <si>
    <t>100-2020-07-846 Supply and delivery of construction materials and supplies re Construction of Double Barrel RC Box Culvert with Approach Pavement at Bgy. Sta. Lourdes</t>
  </si>
  <si>
    <t>Procurement, Supply &amp; Delivery of Rescue Ambulance</t>
  </si>
  <si>
    <t>20FI0039(RE-ADVERTISED)- Construction of 1-Unit 2-Storey 4-Classroom (9.50m x 23.0m) School Building at Potoson Elementary School, Using Exposure D (Wind V=340 KPH)</t>
  </si>
  <si>
    <t>Purchase of 3 sets Brand New Desktop Computer w/ complete accessories and 2 sets printer, WIFI Integrated Ink Tank of the Mayor's Office, Sa Enrique, Iloilo. (Rebid)</t>
  </si>
  <si>
    <t>100-2020-07-848 Supply and delivery of 268.27 cu,m. ready mixed concrete re Construction of Double Barrel RC Box Culvert with Approach Pavement at Bgy. Sta. Lourdes</t>
  </si>
  <si>
    <t>Medicines for Laguna Medical Center (NBB)</t>
  </si>
  <si>
    <t>Dump Truck and Light Cargo Truck with Dropside Body for Solid Waste Management Program of the Provincial Government of Laguna</t>
  </si>
  <si>
    <t>SUPPLY AND DELIVERY OF RESCUE AMBULANCE</t>
  </si>
  <si>
    <t>PROCUREMENT OF MULTIVITAMINS FOR THE PROVISION OF SUPPLEMENTARY FEEDING</t>
  </si>
  <si>
    <t>Air Conditioning Units for LPH-Dr. J.P. Rizal Memorial District Hospital</t>
  </si>
  <si>
    <t>Construction of Tubigan Ilaya - Tubigan Ibaba FMR</t>
  </si>
  <si>
    <t>Conc. of Jct. Caramoran - Tucao PR (Ph. 2)</t>
  </si>
  <si>
    <t>Conc. of Jct. Cobo-Dinungsuran PR</t>
  </si>
  <si>
    <t>Medicines for Laguna Medical Center for 3rd and 4th Quarter</t>
  </si>
  <si>
    <t>PROCUREMENT OF DIESEL ENGINE FOR MINI DUMP TRUCK</t>
  </si>
  <si>
    <t>Sporting Goods for PSB-2019-0167</t>
  </si>
  <si>
    <t>Conc. of Jct. San Rafael - Salvacion PR (Ph. 1)</t>
  </si>
  <si>
    <t>Contract ID No. 20K00354 - Construction/Rehabilitation of Water Supply/Septage and Sewerage/ Rain Water Collectors in Region X 1.	Const. of Rainwater Collection System(RWCS),Balongkot ES, Brgy. Dansol</t>
  </si>
  <si>
    <t>Procurement &amp; Installation of Municipal Children's Playground and Shipping fee</t>
  </si>
  <si>
    <t>20GCB0007: (Re-advertisement) Proposed Deployment of Three(3) Private Security Guard for use in DPWH Equipment Management Division, Balanga City, Bataan</t>
  </si>
  <si>
    <t>Improvement of Brgy. Liptong Multi-Purpose Building</t>
  </si>
  <si>
    <t>(PR No. 20-06-05A-0035) 1 Lot Supply and Delivery of Various Galvanized Steel Service Connection Fittings and Materials</t>
  </si>
  <si>
    <t>Construction of Flood and Erosion Control Structures Along River &amp; Waterways (Re-Bid)</t>
  </si>
  <si>
    <t>WIDENING/REHABILITATION/CONCRETING OF CADARAPIZAAN ROAD  AT SITIO CADARAPIZAAN, BANTAY INSIK, SISON, PANGASINAN</t>
  </si>
  <si>
    <t>Agricultural Equipment for OPA-2019-1645</t>
  </si>
  <si>
    <t>PB-20-397, Procurement of Radio Airtime (Information advocacy) Blocktime “Masaganang Cotabato” simulcast to 10 radio station and teleradyo in the Province of Cotabato</t>
  </si>
  <si>
    <t>supply &amp; delivery of Various Medicines</t>
  </si>
  <si>
    <t>Procurement of Laboratory Supplies and Equipment for TLDC Project 2</t>
  </si>
  <si>
    <t>Purchase of IT and Office Equipment’s to be use for Different Offices- Supplemental Budget.</t>
  </si>
  <si>
    <t>Construction of Jacquez ECCD Learning Center</t>
  </si>
  <si>
    <t>Procurement of Catering Services &amp; Venue - Lot 1 - Catering Services - PDRRMO</t>
  </si>
  <si>
    <t>Construction of Drainage Canal 2nd Block Gonzales Subdivision, Purok 9, Barangay Poblacion , City of Tacurong</t>
  </si>
  <si>
    <t>Procurement of Various Tire Wheel - Lot 2 - Tire Wheel - PDH</t>
  </si>
  <si>
    <t>PURCHASE OF MATERIALS(SEEDLING) FOR TREE PLANTING /GROWING.</t>
  </si>
  <si>
    <t>ITB, River wall Pob Sur</t>
  </si>
  <si>
    <t>Procurement of Various Office Supplies &amp; Aluminum Ladder - Lot 2 - Aluminum Ladder - PASSO</t>
  </si>
  <si>
    <t>PROCUREMENT OF ONE UNIT WHEEL LOADER</t>
  </si>
  <si>
    <t>Procurement of Various Office Supplies &amp; Aluminum Ladder - Lot 1 - Office Supplies - PASSO</t>
  </si>
  <si>
    <t>ACQUISITION OF OFFSITE STORAGE FACILITY FOR IPOPHLY RECORDS (for 2-years)</t>
  </si>
  <si>
    <t>Rehabilitation/Improvement of Kong St. Barangay Don Ruben Road</t>
  </si>
  <si>
    <t>CONSTRUCTION OF BARANGAY HEALTH CENTER AT OAQUI NO. 4, LUNA, LA UNION</t>
  </si>
  <si>
    <t>CONCRETE PAVING OF FARM TO MARKET ROAD AT OAQUI NO. 1, LUNA, LA UNION</t>
  </si>
  <si>
    <t>CONSTRUCTION OF BARANGAY HEALTH CENTER AT VICTORIA, LUNA, LA UNION</t>
  </si>
  <si>
    <t>PROCUREMENT OF HAND SANITIZER (1 LOT) ITB No. 2020-24</t>
  </si>
  <si>
    <t>CONCRETE PAVING OF MEDINA STREET, MAGALLANES, LUNA, LA UNION</t>
  </si>
  <si>
    <t>Improvement of the Municipal Beach Resort (Phase I &amp; II)</t>
  </si>
  <si>
    <t>PROCUREMENT OF MINI DUMPTRUCK</t>
  </si>
  <si>
    <t>Construction of Southern Leyte COVID Testing Center, SOYMPH. Brgy. Dongon, Maasin City, Southern Leyte</t>
  </si>
  <si>
    <t>Procurement of Various Tire Wheel - Lot 3 - Tire Wheel - PAGSO</t>
  </si>
  <si>
    <t>Procurement of Catering Services &amp; Venue - Lot 2 - Venue - PDRRMO</t>
  </si>
  <si>
    <t>Procurement of Spare parts and Services - OSP</t>
  </si>
  <si>
    <t>Procurement of Diesel Fuel - OSP/OVG</t>
  </si>
  <si>
    <t>B-044-2020 PROCUREMENT OF 1 LOT VARIOUS MEDICAL and DENTAL SUPPLIES</t>
  </si>
  <si>
    <t>Procurement of Various Vehicle Spare parts - PGO</t>
  </si>
  <si>
    <t>B-045-2020 UPGRADING THE OFFICE EQUIPMENT AND FACILITIES AND ACCESSORIES OF THE CFFS</t>
  </si>
  <si>
    <t>Procurement of Premium Gasoline - PGO</t>
  </si>
  <si>
    <t>Procurement of Various Office Supplies - PSWDO</t>
  </si>
  <si>
    <t>Construction of Pigpen, Barangay Buenavista, Bontoc, Southern Leyte</t>
  </si>
  <si>
    <t>CONSTRUCTION/CONCRETING OF PROVINCIAL ROADS, HIGHWAYS AND BRIDGES (MATIN-AO-CANTUGAS ROAD SECTION)</t>
  </si>
  <si>
    <t>INVITATION TO BID FOR THE PROCUREMENT OF BOTTLE CRUSHER</t>
  </si>
  <si>
    <t>B-043-2020 CONTINUOUS SUBSCRIPTION TO E-JOURNAL &amp; E-BOOKS AND SUBSCRIPTION OF E-LEARNING RESOURCES</t>
  </si>
  <si>
    <t>Procurement of Automated Weather Station (AWS) Equipment with Installation and IT Equipment - Lot 1 - Automated Weather Station Equipment - PAGSO</t>
  </si>
  <si>
    <t>Procurement of One (1) Unit Service Vehicle  - PSWDO</t>
  </si>
  <si>
    <t>SUBDIVISION SURVEY FOR LAND DISTRIBUTION OWNED BY LGU PAYAO</t>
  </si>
  <si>
    <t>20DG0046: Construction of PNP Multi-purpose Building (Main Station) Brgy. Mendez, Crossing East (Spur Rd), Brgy. Mendez Crossing East, Tagaytay City; Project I.D No. 20DG0046</t>
  </si>
  <si>
    <t>Procurement of Automated Weather Station (AWS) Equipment with Installation and IT Equipment  - Lot 2 - IT Equipment - PAGSO</t>
  </si>
  <si>
    <t>20DG0045: Construction of Multi Level Multi-purpose Building, City Market, Brgy. Tolentino East, Tagaytay City, Cavite; Project I.D No. 20DG0045</t>
  </si>
  <si>
    <t>RENOVATION OF MARKET BUILDING</t>
  </si>
  <si>
    <t>Procurement of Consulting Services  - PGO</t>
  </si>
  <si>
    <t>Supply and Delivery of Remote Sensing Software License CY 2020 IB NO: BSWM-2020-07-010</t>
  </si>
  <si>
    <t>Construction of IBT and Commercial Center</t>
  </si>
  <si>
    <t>20DG0044: Construction of Multi-purpose Building (Municipal Slaughter House), Brgy. Ibayo Silangan, Naic, Cavite; Project I.D No. 20DG0044</t>
  </si>
  <si>
    <t>Invitation to Bid - Supply and Delivery of Gasoline for Stock (GSO)</t>
  </si>
  <si>
    <t>CONSTRUCTION OF MULTI-PURPOSE GYM</t>
  </si>
  <si>
    <t>PROCUREMENT OF MEDICAL &amp; OTHER HEALTH RELATED EQUIPMENT (2) ITB No. 2020-26</t>
  </si>
  <si>
    <t>Construction of 64 Duplex-type Housing Units for the Nueva Era Resettlement Project</t>
  </si>
  <si>
    <t>Land Development and Construction of 57 Loftable Housing Units for San Fabian Resettlement Project</t>
  </si>
  <si>
    <t>Procurement of Various Office Supplies - PHSO</t>
  </si>
  <si>
    <t>Supply and Delivery of Hardware Materials for Installation of Lights at Sea Wall</t>
  </si>
  <si>
    <t>Supply and Delivery of Hardware Materials for Rehabilitation of Multi-Purpose Hall (Phase 4)</t>
  </si>
  <si>
    <t>Procurement of One (1) Unit Photocopier Machine - PBCH</t>
  </si>
  <si>
    <t>Procurement of Air condition with Installation, Camera with complete Accessories &amp; Computer Set  - Lot 3 - IT Equipment (Computer Set) - TOURISM</t>
  </si>
  <si>
    <t>Procurement of Air condition with Installation, Camera with complete Accessories &amp; Computer Set - Lot 1 - Air condition with Installation - TOURISM</t>
  </si>
  <si>
    <t>PB-20-399, Supply &amp; Delivery of Goats for distribution to farmers affected by earthquake provincewide</t>
  </si>
  <si>
    <t>Supplies/Deliveries of Construction Materials for the Project Improvement of Organic Fertilizer Production Center</t>
  </si>
  <si>
    <t>Procurement of Various Housekeeping Supplies and Office Supplies - PEO MOTORPOOL</t>
  </si>
  <si>
    <t>Procurement of Air condition with Installation, Camera with complete Accessories &amp; Computer Set - Lot 2 - Camera with complete accessories - TOURISM - TOURISM</t>
  </si>
  <si>
    <t>Procurement of Various Tire Wheel - Lot 4 - Tire Wheel - PHSO</t>
  </si>
  <si>
    <t>PROCUREMENT OF MULTI-FUNCTION PRINTER AND COPY PRINTER</t>
  </si>
  <si>
    <t>PROCUREMENT OF SUPPLIES, DRUGS AND MEDICINES</t>
  </si>
  <si>
    <t>Construction of Pinalubngan Farm to Market Road at Brgy. Pinalubngan,Tayasan, Neg. Or.</t>
  </si>
  <si>
    <t>Purchase of materials for the implementation of Ilog Flood &amp; Erosion Control Project (Riprapping), Malinao Creek, Vista Alegre, Ilog, Neg. Occ.</t>
  </si>
  <si>
    <t>Purchase and delivery of One (1) Unit Off Multi-Purpose Vehicle (MPV) For Rescue Operation</t>
  </si>
  <si>
    <t>PROCUREMENT OF SUPPLIES FOR ROUTINE LABORATORY AND PRENATAL SERVICES</t>
  </si>
  <si>
    <t>20JG0088 - Concreting of Brgy. Poblacion FMR, Brgy. Poblacion  Dimataling , Zamboanga del Sur</t>
  </si>
  <si>
    <t>CONCRETING OF ROAD @ GUMARUENG, PIAT, CAGAYAN</t>
  </si>
  <si>
    <t>Purchase &amp; Delivery of Various Medical Supplies  for SMC</t>
  </si>
  <si>
    <t>Purchase &amp; Delivery of Service Utility Vehicle  for DCMMH</t>
  </si>
  <si>
    <t>Purchase &amp; Delivery of Computer Sets for PVGO</t>
  </si>
  <si>
    <t>Supply and Delivery of Various DepEd Modules for different grade level on Division of Marikina ( Quarter 1), Marikina City</t>
  </si>
  <si>
    <t>Procurement of Window Grills - SLPL</t>
  </si>
  <si>
    <t>Purchase of Medical supplies for the use of 15 Barangays of Ilog, Birthing Facility and Circumcision. Ilog, Neg. Occ.</t>
  </si>
  <si>
    <t>20GFG0024 - Procurement of Fuel, Oil and Lubricants for use in various Equipment, Machine Tools and Service Vehicles at Maintenance Section for 3rd and Quarter CY-2020 DPWH, Cam. Sur 4th DEO, Caraycay</t>
  </si>
  <si>
    <t>20GFG0023 - Procurement of construction materials for use in the Repair and Maintenance Tinambac –Siruma and Tinambac-Tamban Road Tinambac and Siruma, Camarines Sur</t>
  </si>
  <si>
    <t>Purchase of Fuel for the use of Municipal Service Vehicle. Ilog, Neg. Occ.</t>
  </si>
  <si>
    <t>Procurement of One (1) Unit Service Vehicle (Coaster) - OSP</t>
  </si>
  <si>
    <t>Invitation to Bid - Supply and Installation of 2 Units Fuel Storage Underground Tank (GSO)</t>
  </si>
  <si>
    <t>Proposed Installation of Rope Lighting @ Marikina Bridge , Marikina City</t>
  </si>
  <si>
    <t>Construction of DILG Aklan Provincial Field Office (Phase 2), Provincial Capitol Grounds, Kalibo, Aklan</t>
  </si>
  <si>
    <t>Procurement of Spare parts and Services - OVG</t>
  </si>
  <si>
    <t>RFQ No. 2020-07-042; PR No. 2020-07-081: PROCUREMENT OF ONE (1) LOT OF VARIOUS ELECTRICAL AND CONSTRUCTION SUPPLIES AND MATERIALS, FOR USE IN THE DPWH R.O. XI, UNDER THE ADMINISTRATIVE DIVISION, DPWH</t>
  </si>
  <si>
    <t>CONSTRUCTION OF RETAINING WALL AND COMFORT ROOM @ Poblacion 1 (Ubbug), Piat, Cagayan</t>
  </si>
  <si>
    <t>Reblocking of Man-up-Lupit-Ambolong-Batan Road, Batan, Aklan (Re-bidding)</t>
  </si>
  <si>
    <t>HO-UAR20-004 - Supply and Delivery of Rain Coat and Flashlight</t>
  </si>
  <si>
    <t>Supply/Delivery of Bath Soap, Laundry Soap, Bath Towel, Pail w/ Cover, Dipper, Cooking Pot, Fry Pan, Sleeping Mat and Blanket</t>
  </si>
  <si>
    <t>Surveying instrument-infrastructure multi-purpose design system-integrated RTK GNSS hardware and software with training</t>
  </si>
  <si>
    <t>HO-CWA20-006 - Supply and Delivery of Megaphone and Screen Projector with Stand</t>
  </si>
  <si>
    <t>Continuation of Construction of Multi Purpose Building /cum evac.center Phase 3</t>
  </si>
  <si>
    <t>REHABILITATION OF RAC MULTI-PURPOSE BUILDING (BONO-BONO, BATARAZA, PALAWAN)</t>
  </si>
  <si>
    <t>HO-FAU20-003 - Supply and Delivery of Scanner/Printer, Camera Digital &amp; Shredder Paper</t>
  </si>
  <si>
    <t>Construction / Concreting of Bridge, Sapang Anoling, Brgy. Anoling, General Nakar, Quezon</t>
  </si>
  <si>
    <t>Improvement of Covered Court for School of Philippine Craftsmen, Poblacion, Malinao, Aklan</t>
  </si>
  <si>
    <t>SUPPLY AND DELIVERY OF VARIOUS APPLIANCES, FURNITURE AND FIXTURE AND UTILITY SUPPLIES</t>
  </si>
  <si>
    <t>SUPPLY AND DELIVERY OF GUNS AND AMMUNITION</t>
  </si>
  <si>
    <t>20JG0087 - Concreting of Brgy. Ambulon to Brgy. Sumbaga FMR , Brgy. Ambulon and Brgy. Sumbaga , V-Sagun , Zamboanga del Sur</t>
  </si>
  <si>
    <t>PURCHASE AND INSTALLATION OF 1 SET BASKETBALL BOARD Barangay Pualas, Tubod, Lanao del Norte</t>
  </si>
  <si>
    <t>ITB No. (INF) 2020-07-107 CONCRETING OF BARANGAY ROAD, Brgy. Mantang, Taft, Eastern Samar</t>
  </si>
  <si>
    <t>Lot 2 – Supply, Delivery and Installation of Office Cubicle with chairs &amp; Mobile Pedestal for the use of Planning &amp; Design Section</t>
  </si>
  <si>
    <t>ITB - Procurement of various Procurement of various ISSP-MITHI 2020 Equipment for DOST Caraga Region</t>
  </si>
  <si>
    <t>Construction of School Multi -Purpose Building Cagumitan E/S, Cagumitan, Tuao, Cagayan</t>
  </si>
  <si>
    <t>LGU-COR. 2020-34</t>
  </si>
  <si>
    <t>GAS OVEN STANDARD RANGE</t>
  </si>
  <si>
    <t>Invitation to Bid - Supply and Delivery of (24) Units Heavy Duty Copyprinter/RESO Machine (DepEd)</t>
  </si>
  <si>
    <t>2020-0191-PR2020-0545 Procurement of Materials (Anapog) for the Maintenance of Various Provincial Roads for the Project Management Division (PMD) I, of the Provincial Engineer's Office, New Capitol Bu</t>
  </si>
  <si>
    <t>Concreting of Baculod – San Jose Road Iguig, Cagayan</t>
  </si>
  <si>
    <t>URBAN GREENING AND REFORESTATION</t>
  </si>
  <si>
    <t>CY 2020 QRF Repair and Rehabilitation of Classrooms damaged by Fire Incidents and Various Calamities and Construction of Slope Project of School Building-Lot2</t>
  </si>
  <si>
    <t>PROCUREMENT OF 1 LOT LIVELIHOOD TRAINING EQUIPMENT AND SUPPLIES</t>
  </si>
  <si>
    <t>Upgrading of Bagumbayan – Magallongon Road Lal – lo, Cagayan</t>
  </si>
  <si>
    <t>Cluster 8 Repair/ Rehab of Gymnasium San Gabriel Tuguegarao City, Construction of Perimeter Fence Barangay Hall Cataggaman Pardo Tuguegarao City and Construction of Two – Classroom Transition Learning</t>
  </si>
  <si>
    <t>ITB 20-0057-A - Supply and Delivery of Various Laboratory &amp; Medical Supplies.</t>
  </si>
  <si>
    <t>CONCRETING OF LOCAL ACCESS ROAD WITH DRAINAGE IMPROVEMENT</t>
  </si>
  <si>
    <t>Cluster 9 Construction of Multi – Purpose Building Centro Norte Alcala, Cagayan and Installation of Barangay Street Lights along Anquiray Amulung Cagayan</t>
  </si>
  <si>
    <t>Proposed Installation of Rope Lighting @ Barangka Bridge , Marikina City</t>
  </si>
  <si>
    <t>PROCUREMENT OF 2 LOTS VARIOUS OFFICE EQUIPMENT (PROV-2020-02-GS)</t>
  </si>
  <si>
    <t>CONCRETING OF FARM TO MARKET ROAD Purok 3 &amp; 4, Barangay Pualas, Tubod, Lanao del Norte</t>
  </si>
  <si>
    <t>CY 2020 QRF Repair and Rehabilitation of Classrooms damaged by Fire Incidents and Various Calamities and Construction of Slope Project of School Building-Lot1</t>
  </si>
  <si>
    <t>Rehabilitation of Municipal Roads</t>
  </si>
  <si>
    <t>Cluster 7 Construction of Concrete Canal, Ugac Norte Tuguegarao City, Concreting of Barangay Road at Taguinod St. Quibal Peñablanca, Cagayan and Concreting of Farm to Market Road at Parabba Peñablanca</t>
  </si>
  <si>
    <t>vehicle service</t>
  </si>
  <si>
    <t>Supply &amp; Delivery of Six Hundred (600) Monoblock Chairs</t>
  </si>
  <si>
    <t>Cluster 2 Concreting of Barangay Road Gagabutan West Rizal Cagayan and Concreting of Access Road Leading to Sanitary Landfill, Masical Sto Niño, Cagayan</t>
  </si>
  <si>
    <t>Construction of Child Development Center, Brgy. Bagahabag, SNV.</t>
  </si>
  <si>
    <t>Procurement of Customized BOOM TRUCK (Surplus) for MDRRMO Operation</t>
  </si>
  <si>
    <t>ITB No. (INF) 2020-07-106 BRGY. ROAD CONCRETING, Brgy. Santa Monica, Oras, Eastern Samar</t>
  </si>
  <si>
    <t>20GKK0036 – Supply and Delivery of Lubricants to be used by DPWH-MOFDEO Service Vehicles and Equipment of All Section</t>
  </si>
  <si>
    <t>Construction of Evacuation Center, Poblacion, Altavas, Aklan</t>
  </si>
  <si>
    <t>Construction of Fire Truck Shed (Second Bidding)</t>
  </si>
  <si>
    <t xml:space="preserve">Construction of Cadaver Holding Area, Material Recovery Facility, Repair of Toilets, Windows Screen, Repair of Admin Building and General Electrical Rewiring Nuestra Señora de Piat District Hospital, </t>
  </si>
  <si>
    <t>Rescue Boat- MDRRMO</t>
  </si>
  <si>
    <t>ITB 20-0075 - Supply and Delivery of 195 units Fabricated Double Deck Bed.</t>
  </si>
  <si>
    <t>Purchase of Construction Materials for Improvement and Repair of New Engineering Office</t>
  </si>
  <si>
    <t>PROCUREMENT OF FOOD SUPPLIES (INTENSIFIED NUTRITION PROGRAM)</t>
  </si>
  <si>
    <t>CONSTRUCTION OF MULTI-PURPOSE BUILDING (COMPLETION)</t>
  </si>
  <si>
    <t>ITB 20-0074 - Supply and Delivery of 34,880 liters Diesoline.</t>
  </si>
  <si>
    <t>Supply and Delivery of Goods: NORTHERN SAMAR LIVELIHOOD SEEDING PROGRAM</t>
  </si>
  <si>
    <t>One  (1)  Lot  Engagement  of  Consultant  for  the  Assessment  of  Enterprise  Risk,  Business  Continuity  Management  Frameworks  and  Development  of  Compliance  Management  Framework and Progra</t>
  </si>
  <si>
    <t>PURCHASE AND DELIVERY OF THREE (3) UNITS CEILING FAN</t>
  </si>
  <si>
    <t>Construction of Rural Access Road of Various Sitios (Barangay Tambaliza)</t>
  </si>
  <si>
    <t>CONSTRUCTION OF LGU DINGLE EVACUATION CENTER PHASE IV</t>
  </si>
  <si>
    <t>RETAINING WALL BRGY. GYM</t>
  </si>
  <si>
    <t>Supply and delivery of materials for the Installation of Water Pump, Pressure Tank w/ Pump House and Water System</t>
  </si>
  <si>
    <t>Supply, Delivery, Installation and Commissioning of Airconditioning Units for Philippine Ports Authority Head Office</t>
  </si>
  <si>
    <t>Supply and Delivery of Windows 10 Operating System (PR No. 2020-02-0130)</t>
  </si>
  <si>
    <t>Purchase of 1 Unit Laptop and AVR for IT Equipment for 2nd Quarter 2020</t>
  </si>
  <si>
    <t>SUPPLY AND DELIVERY OF SERVICE/GARDENING TOOLS FOR CULTURAL HERITAGE CENTER EQUIPMENT, MSU MAIN CAMPUS, MARAWI CITY</t>
  </si>
  <si>
    <t>Procurement of One (1) Unit BRAND NEW PALAY HARVESTER</t>
  </si>
  <si>
    <t>Lot 1 – Supply, Delivery and Installation of 2 - Aircondition Units for the use of Planning &amp; Design Section</t>
  </si>
  <si>
    <t>SUPPLY AND DELIVERY OF COMMON USED OFFICE SUPPLIES, GSO, SFADS</t>
  </si>
  <si>
    <t>Production of Lapulapu Figurines Based on Guillermo Tolentino’s Lapulapu Bust</t>
  </si>
  <si>
    <t>PROCUREMENT AND INSTALLATION OF FOUR (4) UNITS GENERATOR SET FOR THE PPSC HEAD OFFICE AND NPC SILANG</t>
  </si>
  <si>
    <t>SUPPLY AND DELIVERY OF  VARIOUS GOODS</t>
  </si>
  <si>
    <t>CLUSTER 26: CLUSTERED PROJECTS OF BARANGAY POBLACION - 2</t>
  </si>
  <si>
    <t>SUPPLY AND DELIVERY OF VARIOUS PROTECTIVE EQUIPMENT AND DISINFECTANTS</t>
  </si>
  <si>
    <t>Supply and Delivery of Office Furniture (PR No. 2020-06-0542, 2020-02-0145, 2020-06-0553)</t>
  </si>
  <si>
    <t>CY 2020 Quick Response Fund (QRF)- Repair and Rehabilitation of Classrooms damaged by Fire Incidents and Various Calamities and Construction of Slope Protection of School Building- Lot 3</t>
  </si>
  <si>
    <t>Procurement-Supply &amp; Delivery of Agricultural Supplies, Livestock &amp; Equipment</t>
  </si>
  <si>
    <t>Supply and Delivery of IT Supplies (PR No. 2020-02-0130, 2020-06-0564, 2020-06-0598, 2020-01-0032, 2020-05-0507, 2020-02-0163)</t>
  </si>
  <si>
    <t>R &amp; M of Buildings</t>
  </si>
  <si>
    <t>ENCLOSURE OF EXISTING GAZEBO FOR SENIOR CITIZEN / PERSONS WITH DISABILITIES (PWD) LOUNGE AND CLINIC AT LUCAP WHARF, BRGY. LUCAP, CITY OF ALAMINOS, PANGASINAN</t>
  </si>
  <si>
    <t>Bidding of Supply and delivery of Food items for Supplementary Feeding Program 10th cycle</t>
  </si>
  <si>
    <t>Supply and Delivery of Appliance</t>
  </si>
  <si>
    <t>Cluster 1 Concreting of Barangay Road Jones Street Centro Abulug, Cagayan, Concreting of Barangay Road Aguinaldo Street at Boundrey of bagu and Centro Abulug, Cagayan, Concreting of Dana – Ili- San Ju</t>
  </si>
  <si>
    <t>CY 2020 Quick Response Fund (QRF)- Repair and Rehabilitation of Classrooms damaged by Fire Incidents and Various Calamities and Construction of Slope Protection of School Building- Lot5</t>
  </si>
  <si>
    <t>CONSTRUCTION OF POTABLE DEEPWELL WATER SUPPLY   PHASE II – MARKET SITE, SAN ISIDRO</t>
  </si>
  <si>
    <t>Supply and Delivery of FarmInputs and Equipment- Palay Production, San Jose, Madalag, Aklan</t>
  </si>
  <si>
    <t>CONTINUATION OF GOVERNMENT CENTER (PERIMETER FENCE ALONG EKB PARK &amp; YMANDAY VILLAGE REPLICA) OTHER LAND IMPROVEMENT (CONSTRUCTION OF BLEACHERS AND CANAL LINING) EKB PARK</t>
  </si>
  <si>
    <t>Supply and Delivery of Construction Materials for Construction of MPP Second Floor.</t>
  </si>
  <si>
    <t>REHABILITATION OF CALANASAN SPORTS &amp; CULTURAL/EVACUATION CENTER</t>
  </si>
  <si>
    <t>CY 2020 Quick Response Fund (QRF)- Repair and Rehabilitation of Classrooms damaged by Fire Incidents and Various Calamities and Construction of Slope Protection of School Building- Lot 4</t>
  </si>
  <si>
    <t>NCB Publication No. 2020- 24 (Second Publication)- Improvement of Ubao- Lubuan Road</t>
  </si>
  <si>
    <t>Contract ID No. 20K00356 - Cluster "RO-02" Construction of Building Projects in Bukidnon 1. Construction of Southern Track and Field and Track Oval, Brgy. Laguitas, Malaybalay City, Bukidnon = Php 30,</t>
  </si>
  <si>
    <t>Delivery of various Equipment &amp; Motorcycle needed for City Agriculture Office (ITB 20-089)</t>
  </si>
  <si>
    <t>REHABILITATION/IMPROVEMENT OF UNIVERSITY STRUCTURE/FACILITIES IN IBA, SAN MARCELINO, BOTOLAN AND CANDELARIA CAMPUSES</t>
  </si>
  <si>
    <t>20LB0308 - Repair/Maintenance of DILG Building NAPOLCOM Headquarters Camp Captain Domingo E. Leonor, Davao City</t>
  </si>
  <si>
    <t>Purchase of Office Supplies for SEF Use</t>
  </si>
  <si>
    <t>2020-0190-PR2020-0544  Procurement of Materials (Anapog) for the Maintenance of Various Provincial Roads for the Project Management Division (PMD) I, of the Provincial Engineer's Office, New Capitol B</t>
  </si>
  <si>
    <t>Nabannagan Water System Level II at Nabannagan West, Lasam, Cagayan</t>
  </si>
  <si>
    <t>IMPROVEMENT OF BASKETBALL COURT AND CONSTRUCTION OF CONCRETE BENCH, BARANGAY MABINI, BURDEOS, QUEZON</t>
  </si>
  <si>
    <t>Contract ID No. 20K00355 - Cluster "RO-01" Construction of Various Road Projects in Misamis Oriental: 1. Construction of By-Pass and Diversion Roads, Magsaysay-Butuan City Coastal Bypass/Alternate Roa</t>
  </si>
  <si>
    <t>PURCHASE OF TWO (2) UNITS RESCUE VEHICLE FOR BDRRM OF BRGY. APOPONG GSC.</t>
  </si>
  <si>
    <t>Expansion of Water System Level II-Phase II in Brgy. Pasi II</t>
  </si>
  <si>
    <t>20HB0172 Construction and Completion of 1-storey, 2 Classrooms, Jagna Central Elementary School, Jagna, Bohol</t>
  </si>
  <si>
    <t>20HB0170 Maintenance, Repair and Rehabilitation of Infrastructure Facilities and Other Related Activities –Routine Maintenance of National Roads and Bridges-Repair/ Maintenance of Damaged Concrete Pav</t>
  </si>
  <si>
    <t>Supply and Delivery of Appliances for the 2nd quarter (PR No. 2020-01-0029, 2020-02-0178, 2020-02-0168, 2020-02-0130, 2020-06-0576)</t>
  </si>
  <si>
    <t>20GLB0072 - PR No. 07-053-20 dated July 13, 2020 - Purchase of Bituminous Concrete Surface Course (2nd Quarter CY2020) for Repair/Maintenance of National Roads and Bridges, Davao City</t>
  </si>
  <si>
    <t>Installation of Additional Distribution Line at Callao Water System</t>
  </si>
  <si>
    <t>PROCUREMENT OF FLASH DRIVES</t>
  </si>
  <si>
    <t>Supply and Delivery of Construction Materials for the Concreting of Brgy. Road, Alaminos, Madalag, Aklan</t>
  </si>
  <si>
    <t>CONSTRUCTION/IMPROVEMENT OF MULTI-PURPOSE HALL (PHASE II) @ BRGY. GASANG, MABINI, BATANGAS</t>
  </si>
  <si>
    <t>Construction of Multi-purpose 2 Storey Conference Building</t>
  </si>
  <si>
    <t>SITE DEVELOPMENT OF MUNICIPAL EXTENSION GROUND (PHASE 1) @ POBLACION, MABINI, BATANGAS</t>
  </si>
  <si>
    <t>20LB0298 - Repair/Maintenance of DILG Building PNP – Old DRDA Building Camp. Sgt. Quintin M. Merecido Catitipan, Davao City</t>
  </si>
  <si>
    <t>20G00105 - Construction of Permanent Evacuation Center/Multi-Purpose Covered Court (Standard)</t>
  </si>
  <si>
    <t>CY 2020 Quick Response Fund (QRF)- Repair and Rehabilitation of Classrooms damaged by Fire Incidents and Various Calamities and Construction of Slope Protection of School Building- Lot 6</t>
  </si>
  <si>
    <t>CONSTRUCTION OF MULTI-PURPOSE BUILDING (PHASE II)/COMPLEX</t>
  </si>
  <si>
    <t>Construction of 2 Unit Covid Ligtas Design Center.</t>
  </si>
  <si>
    <t>PROCUREMENT OF VARIOUS SUPPLIES (LOT 1. PROCUREMENT OF OFFICE SUPPLIES; LOT 2. PROCUREMENT OF JANITORIAL AND OTHER SUPPLIES; LOT 3. PROCUREMENT OF ICT SUPPLIES</t>
  </si>
  <si>
    <t>CY 2020 Quick Response Fund (QRF)- Repair and Rehabilitation of Classrooms damaged by Fire Incidents and Various Calamities and Construction of Slope Protection of School Building- Lot 9</t>
  </si>
  <si>
    <t>CONSTRUCTION/IMPROVEMENT OF MULTI-PURPOSE HALL (PHASE I) @ BRGY. PILAHAN, MABINI, BATANGAS</t>
  </si>
  <si>
    <t>PROCUREMENT OF LAPTOPS (SUPPLY AND DELIVERY)</t>
  </si>
  <si>
    <t>NCB Publication No. 2020- 26 (First Publication)- Improvement of Lamut Diversion Road (Little Ifugao Site)</t>
  </si>
  <si>
    <t>Construction of Seawall (Phase 3), Dapdap, Tangalan, Aklan</t>
  </si>
  <si>
    <t>20LB0322 - Repair/Maintenance of Flood Control &amp; Drainage along Daang Maharlika Road, K1491+198 – K1491+202., Davao City</t>
  </si>
  <si>
    <t>Expansion of Level II Water System Project</t>
  </si>
  <si>
    <t>20G00109 - Construction of Permanent Evacuation Center/Multi-Purpose Covered Court (Standard)</t>
  </si>
  <si>
    <t>Contract ID No. 19CSK00054 – Consulting Services for the Conduct of Soil Testing/Exploration for Bridge Projects - Geotechnical Investigation - Construction of Concrete Bridge, Magsaysay-Butuan City C</t>
  </si>
  <si>
    <t>DIgital Event Production, PR, Marketing and Branding Service for DTI-7 Online Programs-(48 sessions of Digital Conferences, Trainings and Workshops).</t>
  </si>
  <si>
    <t>Procurement of Civil Works for the Repair/Rehabilitation of Legislative Building (Phase I)  Municipal Compound, Pob. Dist. I, Barugo, Leyte</t>
  </si>
  <si>
    <t>NCB Publication No. 2020- 25 (Second Publication)- FMR Improvement at Sanafe</t>
  </si>
  <si>
    <t>Purchase of Laboratory Supplies for use at the Laoag City General Hospital – Dialysis Unit.</t>
  </si>
  <si>
    <t>CONSTRUCTION OF ROAD AT SO. CAALAN, BRGY. MASAGANA</t>
  </si>
  <si>
    <t>20G00108 - Construction of Permanent Evacuation Center/Multi-Purpose Covered Court (Standard)</t>
  </si>
  <si>
    <t>PURCHASE OF OTHER SUPPLIES -084</t>
  </si>
  <si>
    <t>CY 2020 Quick Response Fund (QRF)- Repair and Rehabilitation of Classrooms damaged by Fire Incidents and Various Calamities and Construction of Slope Protection of School Building- Lot 8</t>
  </si>
  <si>
    <t>PRN 052-WORKTEXT 2020-LSB-GOODS-2020</t>
  </si>
  <si>
    <t>Purchase of Drugs and Medicines to be used for the Local Council for the Protection of Children</t>
  </si>
  <si>
    <t>IMPROVEMENT OF MULTI-PURPOSE COVERED COURT (PHASE II) AT BRGY. PULANG LUPA, MABINI, BATANGAS</t>
  </si>
  <si>
    <t>INVITATION TO BID FOR THE PROCUREMENT AND UPGRADING  OF ICT EQUIPMENT OF LSPU</t>
  </si>
  <si>
    <t>PROCUREMENT OF 3 UNITS OF PHOTOCOPIER AND 5 CARTRIDGE TONER/TENEUR USE IN PIÑAN NATIONAL HIGH SCHOOL AND PIÑAN CENTRAL ELEMENTARY SCHOOL (PRINTING OF SCHOOL PAPERS AND MODULES)</t>
  </si>
  <si>
    <t>LGU-COR. 2020-84</t>
  </si>
  <si>
    <t>CONSTRUCTION OF MULTI-PURPOSE COVERED COURT (PHASE 1) AT BRGY. GASANG, MABINI, BATANGAS</t>
  </si>
  <si>
    <t>SUPPLY AND DELIVERY OF THREE (3) LOTS VARIOUS OFFICE SUPPLIES FOR CF-BACOLOD (LOT-2)</t>
  </si>
  <si>
    <t>Road Concreting at Cansaga-Latasan, Consolacion, Cebu</t>
  </si>
  <si>
    <t>20HB0171 Maintenance, Repair and Rehabilitation of Infrastructure Facilities and Other Related Activities – Repair and Maintenance of Road Safety Facilities – Repair and Maintenance of Road Safety Fac</t>
  </si>
  <si>
    <t>REPAIR/REHABILITATION OF TIMBER BRIDGE @ PUROK STA. CRUZ,SAN PABLO 1 &amp; SAN PABLO 2 (PACKAGE 01-2020)</t>
  </si>
  <si>
    <t>B20200276 - BALAI PIG IMMIMANAN, SITIO MESULONG, STO. NINO, TALAINGOD, DAVAO DEL NORTE</t>
  </si>
  <si>
    <t>CONSTRUCTION/IMPROVEMENT OF MULTI-PURPOSE HALL (PHASE II) @ BRGY. LAUREL, MABINI, BATANGAS</t>
  </si>
  <si>
    <t>PROJ. 157- YDP 2020</t>
  </si>
  <si>
    <t>LABOR AND MATERIALS FOR THE CONCRETING OF MUNICIPAL ROADS/STREETS AT POBLACION,BADIAN,CEBU</t>
  </si>
  <si>
    <t>Completion of Multi-Purpose Building at Tolotolo, Consolacion, Cebu</t>
  </si>
  <si>
    <t>Construction of Evacuation Center, Poblacion West, Lamut, Ifugao</t>
  </si>
  <si>
    <t>Laboratory Equipment for Advance Technology Training Center for Robotics and Automation, DMMMSU-MLUC, City of San Fernando, La Union</t>
  </si>
  <si>
    <t>20CSDI02 - CONSULTANCY SERVICES FOR THE CONDUCT OF SUB-SURFACE SOIL EXPLORATION AND GEOTECHNICAL INVESTIGATION (BORING) FOR THE CONSTRUCTION/ MAINTENANCE OF FLOOD MITIGATION STRUCTURES &amp; DRAINAGE SYST</t>
  </si>
  <si>
    <t>Provision of Higher Education Services (Purchase of Various Equipment)</t>
  </si>
  <si>
    <t>One (1) Lot Replacement of Twelve (12) sets Roll-Up Doors at the Cash Loading Bay, Bldg. D, BSP-SPC, as per BSP Scope of Works and Specifications and Plan/Drawing</t>
  </si>
  <si>
    <t>Invitation to Bid for the Construction of Multi-Purpose Building, @ Brgy. Alinaay (Proper), Cabugao, Ilocos Sur</t>
  </si>
  <si>
    <t>Supply and Delivery of Laboratory Equipment - B, DMMMSU-SRDI, Sapilang, Bacnotan, La Union (Rebid)</t>
  </si>
  <si>
    <t>S1-NDP20-009 - Supply and Delivery of Spare Parts for 105 kW FG Wilson Genset Model P165-5 of Naro DPP</t>
  </si>
  <si>
    <t>Hiring of Consultancy Services (Individual Consultants)</t>
  </si>
  <si>
    <t>20LB0314 - Repair/Maintenance of Davao River Control, Ledesma Section, Sta. 7+250 - Sta. 7+729, Brgy. 19-B, Davao City</t>
  </si>
  <si>
    <t>SUPPLY AND DELIVERY OF THREE (3) LOTS VARIOUS OFFICE SUPPLIES FOR CF-BACOLOD (LOT 3)</t>
  </si>
  <si>
    <t>S1-CUY20-002 - Supply and Delivery of Mechanical Spare Parts for 500 kW MAN CXZ Diesel Engine (Model No. 6L 20/27) of Cuyo Diesel Power Plant</t>
  </si>
  <si>
    <t>Supply and Delivery of Laboratory Equipment - A, DMMMSU-SRDI, Sapilang, Bacnotan, La Union (Rebid)</t>
  </si>
  <si>
    <t>20 – 0033 – S - Procurement of Spare Parts for use of  Dump Truck with DPWH no. H3-6632 detailed in the Maintenance Section, DPWH-Quezon IV District Engineering Office, Gumaca Quezon.</t>
  </si>
  <si>
    <t>PROCUREMENT OF various post harvest machineries</t>
  </si>
  <si>
    <t>Construction of Barangay Health Station, Calacja I, Hamtic, Antique</t>
  </si>
  <si>
    <t>20 – 0032– S - Procurement of Office Supplies for use in this District, DPWH, Quezon IV District Engineering Office, Gumaca, Quezon      (3rd Quarter)</t>
  </si>
  <si>
    <t>20 – 0031 – S - Repair/Maintenance of Road along  Daang Maharlika, Gumaca-Lopez-Calauag Section, K0187+000 - K0246+724 (Intermittent Section) (3rd Quarter)</t>
  </si>
  <si>
    <t>Construction of Nagsabaran Sur Farm Slope Protection</t>
  </si>
  <si>
    <t>20 – 0030 – S - Repair/Maintenance of Roads along Daang Maharlika, Pagbilao-Atimonan-Plaridel Section, K0135+(-)732 - K0187+000 (Intermittent Section) (3rd Quarter)</t>
  </si>
  <si>
    <t>Concreting of Pathway at Purok 5</t>
  </si>
  <si>
    <t>PURCHASE OF RAPID ELECTRIC VEHICLE CHARGER (FOR  E-TRIKE)</t>
  </si>
  <si>
    <t>Procurement of DRR Rescue Vehicle (5 Units Motorcycle)-Rebid</t>
  </si>
  <si>
    <t>SUPPLY &amp; DELIVERY OF ICT EQUIPMENT FOR THE IMPLEMENTATION OF LEARNING CONTINUITY PLAN (LCP) ON DISTANCE LEARNING DELIVERY</t>
  </si>
  <si>
    <t>CONCRETING OF LUNA EXT. – MANGA DRIVE, PUROK CARABAO located at ZONE III, DIGOS CITY, DAVAO DEL SUR</t>
  </si>
  <si>
    <t>CONSTRUCTION OF MULTI-PURPOSE BLDG. PHASE 1</t>
  </si>
  <si>
    <t>Procurement of Fishcage Materials and Supplies</t>
  </si>
  <si>
    <t>Improvement of Purok 4, 6 &amp; 7 Bet-ang Farm to Market Road</t>
  </si>
  <si>
    <t>Upgrading of Multipurpose Building</t>
  </si>
  <si>
    <t>20KL0142 - CONSTRUCTION OF MULTI-PURPOSE BUILDING-BARANGAY HALL BRGY. PATAG, MANTICAO, MISAMIS ORIENTAL</t>
  </si>
  <si>
    <t>Concreting of Municipal Road  (65 ln.m.) @ P. Garcia St., Pob. South</t>
  </si>
  <si>
    <t>PROCUREMENT AND DELIVERY OF BRAND NEW SPEED BOAT</t>
  </si>
  <si>
    <t>Improvement of Sector one (1) Pantar Norte Farm to Market Road</t>
  </si>
  <si>
    <t>Improvement of Sinapangan Norte Farmers Multi-purpose Building</t>
  </si>
  <si>
    <t>Supply and Delivery of Hospital Equipment for Official Use of Laboratory Unit at GALIC</t>
  </si>
  <si>
    <t>Procurement of DRR Rescue Equipment for Emergency Response</t>
  </si>
  <si>
    <t>SUPPLY AND DELIVERY OF THREE (3) LOTS VARIOUS OFFICE SUPPLIES FOR CF-BACOLOD (lLOT-1)</t>
  </si>
  <si>
    <t>Construction of Rural Health Unit- Phase II at Capas Plazuela, Brgy. Sto. Rosario, Capas, Tarlac</t>
  </si>
  <si>
    <t>SUPPLY AND DELIVERY OF FOUR (4) UNITS BRANDNEW MOTOR VEHICLE</t>
  </si>
  <si>
    <t>CONSTRUCTION OF 4-STOREY LAKEVIEW SENIOR HIGH SCHOOL (PHASE 2 &amp; 3) AT LAKEVIEW, BRGY. PUTATAN, MUNTINLUPA CITY</t>
  </si>
  <si>
    <t>20CSDI04 - CONSULTANCY SERVICES FOR THE CONDUCT OF SUB-SURFACE SOIL EXPLORATION AND GEOTECHNICAL INVESTIGATION (BORING) FOR THE CONSTRUCTION/ MAINTENANCE OF FLOOD MITIGATION STRUCTURES &amp; DRAINAGE SYST</t>
  </si>
  <si>
    <t>3000 WATTS ON-GRID SOLAR PANEL, BRGY. BUNTAY, DULAG LEYTE</t>
  </si>
  <si>
    <t>20 – 0036 – S - Procurement of Office Supplies and Printer Supplies for use in the Multi-Year Planning and Scheduling (MYPS), DPWH, Quezon IV District Engineering Office, Gumaca, Quezon</t>
  </si>
  <si>
    <t>CONSTRUCTION OF STP AT MUNTINLUPA CITY HALL, NATIONAL ROAD BRGY. PUTATAN, MUNTINLUPA CITY</t>
  </si>
  <si>
    <t>CONCRETING OF TIMAMANA-SAN ISIDRO-GUINOB-AN-MARAYAG ROAD</t>
  </si>
  <si>
    <t>Supply and Delivery of Hardware &amp; Construction Materials</t>
  </si>
  <si>
    <t>SUPPLY &amp; DELIVERY OF  VARIOUS MATERIALS FOR CONSOLIDATED PROJECT AT DIST. 1 &amp; 2, MUNTINLUPA CITY (*RE-POSTED)</t>
  </si>
  <si>
    <t>20 – 0034 – S - Procurement of Spare Parts for use of Mitsubishi L-200 SFG-504 detailed in the Maintenance Section, DPWH-Quezon IV District Engineering Office, Gumaca Quezon.</t>
  </si>
  <si>
    <t>CONSTRUCTION/REHAB./IMPROVEMENT OF VARIOUS INFRA PROJECTS (CLUSTER 7)</t>
  </si>
  <si>
    <t>Improvement of Camilo Osias Canals</t>
  </si>
  <si>
    <t>Improvement of 2, 4 &amp; 5 Antonino Canals</t>
  </si>
  <si>
    <t>PROJ. 261 - YDP 2020</t>
  </si>
  <si>
    <t>Construction of Storage Building and Parking Area- LDRMMO (Phase II) at Municipal Compound, Capas, Tarlac</t>
  </si>
  <si>
    <t>CONSTRUCTION/REHAB./IMPROVEMENT OF VARIOUS INFRA PROJECTS (CLUSTER 6)</t>
  </si>
  <si>
    <t>Construction of Butubut Norte Farm Slope Protection</t>
  </si>
  <si>
    <t>Purchase of Diesel Fuel for the Rehabilitation of Various Roads in the Province of Zamboanga del Sur.</t>
  </si>
  <si>
    <t>Bidding of Supply and delivery of Food and Non-Food Items for Replenishment of family food packs for the Disaster Response and Management Division (DRMD) Stockpile</t>
  </si>
  <si>
    <t>Improvement/ Roofing and Restoration of Various Infra Projects (Cluster 5)</t>
  </si>
  <si>
    <t>Machinery and Equipment Outlay</t>
  </si>
  <si>
    <t>Procurement of Catering Services for Feeding Program 2020</t>
  </si>
  <si>
    <t>BINMALEY RESETTLEMENT PROECT PHASE II</t>
  </si>
  <si>
    <t>Improvement of Pantar Norte Canals</t>
  </si>
  <si>
    <t>20 – 0037 – S - Procurement of Tarpaulin, Personal Protective Equipment, Office Supplies and Printer Supplies for use in the Gender and Developemnt (GAD) Integration Framework in Road Infrastructure S</t>
  </si>
  <si>
    <t>20 – 0029 – S - Repair/Maintenance of Roads along MSR, Jct. Lopez-Catanauan Road, K0217+(-)890 - K0236+128 (Intermittent Section) (3rd Quarter)</t>
  </si>
  <si>
    <t>20CSDI03 - CONSULTANCY SERVICES FOR THE CONDUCT OF SUB-SURFACE SOIL EXPLORATION AND GEOTECHNICAL INVESTIGATION (BORING) FOR THE CONSTRUCTION/ MAINTENANCE OF FLOOD MITIGATION STRUCTURES &amp; DRAINAGE SYST</t>
  </si>
  <si>
    <t>Improvement of Sector 07 Bungol Farm to Market Road</t>
  </si>
  <si>
    <t>Purchase of Medicines- RHU I, LGU, San Fabian, Pangasinan</t>
  </si>
  <si>
    <t>HO-FFW20-004 - Supply and Delivery of Various FFWSD Spare Parts and its Accessories</t>
  </si>
  <si>
    <t>Contract Labor and Materials for the Construction of Multi-Purpose Building (Bleacher) of BLGU Bagong Silang, Laak, Davao De Oro</t>
  </si>
  <si>
    <t>Construction of Disaster Operation Center at Bgy. Danleg, Dumaran, Palawan</t>
  </si>
  <si>
    <t>Local Infrastructure Program; Building and other Structures; Multi-Purpose/ Facilities; Rehabilitation/ Improvement of Multi-Purpose Buildings (Barangay Hall and Bonifacio Romero High School stage) Pu</t>
  </si>
  <si>
    <t>Repair/Rehab of Cansaga Bay Park (Bridge Under) located at Tayud, Consolacion, Cebu</t>
  </si>
  <si>
    <t>SUPPLY &amp; DELIVERY OF PHOTOCOPIER TO BE DISTRIBUTED IN VARIOUS SCHOOLS IN MUNTINLUPA CITY</t>
  </si>
  <si>
    <t>Procurement of Sanitation Supplies for Water Disinfection</t>
  </si>
  <si>
    <t>Purchase of Reinforced Concrete Culvert Pipes (RCCP) for Various Barangays in the Province of Zamboanga del Sur</t>
  </si>
  <si>
    <t>Construction of Water System, Sitio Buga, Brgy. Danao, Janiuay, Iloilo</t>
  </si>
  <si>
    <t>PROCUREMENT OF NJMPTI FURNITURE &amp; FIXTURE FY2020</t>
  </si>
  <si>
    <t>Construction of Drainage System</t>
  </si>
  <si>
    <t>PURCHASE OF MATERIALS FOR THE IMPROVEMENT OF MULTI-PURPOSE EVACUATION CENTER</t>
  </si>
  <si>
    <t>Repair &amp; Maint. of Various School Buildings</t>
  </si>
  <si>
    <t>Purchase of Rescue equipment and general merchandise</t>
  </si>
  <si>
    <t>CONCRETING OF TACTAC-ATBU ROAD</t>
  </si>
  <si>
    <t>Supply and Delivery of Automated DNA/RNA Extraction System to be used at the Green City Medical Center Molecular Laboratory for COVID-19 Response in the City of San Fernando, Pampanga</t>
  </si>
  <si>
    <t>PUBLIC BIDDING FOR THE SUPPLY AND DELIVERY OF VARIOUS MEDICAL EQUIPMENTS FOR THE EQUIPPING OF SELECTED HEALTH FACILITIES OF MIMAROPA UNDER BAYANIHAN TO HEAL AS ONE ACT OR RA 11469 (LINE ITEMS)</t>
  </si>
  <si>
    <t>Opening of Road at Poblacion-Tinago (Diversion Road)</t>
  </si>
  <si>
    <t>Concreting of Municipal Street  (Osmeña Street, Poblacion, Alabel, Sarangani Province)</t>
  </si>
  <si>
    <t>RFQ - Supply &amp; delivery of Laboratory Supplies</t>
  </si>
  <si>
    <t>PR-2020-03-071 Upgrading of Internet Infrastructure</t>
  </si>
  <si>
    <t>OPENING OF BUTOD TO COMO FARM TO MARKET ROAD, BUAYA-MABACA, BALBALAN,</t>
  </si>
  <si>
    <t>Invitation to Bid for the Improvement of Farm to Market Road @ Brgy. Rizal (Sison St), Cabugao, Ilocos Sur</t>
  </si>
  <si>
    <t>REHABILITATION OF LINE CANAL ALONG BURGOS ST, MARZAN ST, MORIONES ST &amp; BONIFACIO ST CENTRO 02, SANCHEZ MIRA, CAGAYAN</t>
  </si>
  <si>
    <t>Concreting of Core Local Access Road Cabulisan-De Los Santos</t>
  </si>
  <si>
    <t>SUPPLY &amp; DELIVERY OF PLANTING MATERIALS</t>
  </si>
  <si>
    <t>SUPPLY AND DELIVERY OF COCONUT SEEDLINGS</t>
  </si>
  <si>
    <t>PCDP : FOOD STUFF FOR DEPORTEES</t>
  </si>
  <si>
    <t>Proposed Construction of Flood Control Dike Located at Purok 2 &amp; 3, Brgy. Mamuyao, Tanay,Rizal</t>
  </si>
  <si>
    <t>Procurement of Catering Services (Buffet Meals) for Various Meetings and Conferences of the Province of Zamboanga del Sur</t>
  </si>
  <si>
    <t>Invitation to Bid for the Improvement of Farm to Market Road @ Brgy. Bonifacio-Turod Patac Road @ Cabugao, Ilocos Sur</t>
  </si>
  <si>
    <t>Expansion of Water System Level II-Phase II in Brgy. Batong Dalig</t>
  </si>
  <si>
    <t>Improvement of Kabayan Hall</t>
  </si>
  <si>
    <t>Supply and Delivery of Risograph  and Consumables for Reproduction of Learning Materials for FY 2020-2021 of Department of Education-Tanay,Rizal</t>
  </si>
  <si>
    <t>Invitation to Bid for the Improvement of Farm to Market Road @ Brgy. Catucdaan (Proper), Cabugao, Ilocos Sur</t>
  </si>
  <si>
    <t>20NE0097 - Construction of Multipurpose Building, Brgy. Magsaysay, Loreto, Dinagat Islands</t>
  </si>
  <si>
    <t>Invitation to Bid for the Construction of Post Harvest Facility @ Brgy. Pug-os (Proper), Cabugao, Ilocos Sur</t>
  </si>
  <si>
    <t>CONCRETING OF PILI-KARIHATAG ROAD STA.0+000 - STA. 0+883.25</t>
  </si>
  <si>
    <t>Purchase of Electrical Steel Pole for On- Grid Electrification (Aid to Barangay) Program of the Provincial Government of Zamboanga del Sur</t>
  </si>
  <si>
    <t>Procurement and Installation of ODIC data banking and linkage system</t>
  </si>
  <si>
    <t>Procurement of Office Supplies for use of the City Government of Tarlac B2020-098-A</t>
  </si>
  <si>
    <t>PR-2020-03-060 Supply &amp; Delivery of Reference Books for the Library</t>
  </si>
  <si>
    <t>INSTALLATION OF FOURTEEN (14) UNITS STREETLIGHT, BRGY. SAN AGUSTIN, DULAG LEYTE</t>
  </si>
  <si>
    <t>Procurement and Installation of Barangay Information System Automated Data Base &amp; Data Link</t>
  </si>
  <si>
    <t>INVITATION TO BID FOR PURCHASE OF SUPPLIES AND MATERIALS FOR THE IN-HOUSE REPRODUCTION OF LOCALLY DEVELOPED SELF-LEARNING MODULES</t>
  </si>
  <si>
    <t>Construction of Multi-Purpose Hall at Barangay Porac, Botolan, Zambales</t>
  </si>
  <si>
    <t>IMPROVEMENT OF BARANGAY ROADS</t>
  </si>
  <si>
    <t>CONCRETING, BRGY. SAN AGUSTIN, DULAG LEYTE</t>
  </si>
  <si>
    <t>NCB Publication No. 2020- 27 (First Publication)- Package 2020-11 - PB (1. Alupapan, Pugol (along Brawner lot) Road Improvement 2. Sition Alupapan Road Concreting, Pugol)</t>
  </si>
  <si>
    <t>Procurement of Mini Dump Truck</t>
  </si>
  <si>
    <t>Construction of Calliat Farmers Civic Center</t>
  </si>
  <si>
    <t>Procurement of One (1) set 3hp Submersible Pump with Control Box and Complete Accessories for the Rehabilitation of Potable Water System og BLGU Bagong Silang, Laak, Davao De Oro</t>
  </si>
  <si>
    <t>Purchase of Office Supplies for various offices</t>
  </si>
  <si>
    <t>PROCUREMENT OF VACCINE</t>
  </si>
  <si>
    <t>20CG0254 - Concreting of Purok 5, Brgy. San Isidro to Brgy. Lacmit FMR, Brgy. San Isidro and Brgy. Lacmit, Sta. Ana, Pampanga</t>
  </si>
  <si>
    <t>Procurement of Four (4) Units Ten (10) Wheeler Dump Trucks for the Rehabilitation and Maintenance of Various Roads within the Province of Zamboanga del Sur</t>
  </si>
  <si>
    <t>20CG0253 - Concreting of Brgy. Paralaya FMR Brgy. Paralaya, Candaba, Pampanga</t>
  </si>
  <si>
    <t>Construction of Camp Col Rodriguez 8-Bullet Firing Range</t>
  </si>
  <si>
    <t>Invitation to Bid for the Supply, Delivery, Installation, Testing and Commissioning of the Electro-mechanical Equipment for the New Pumping Station No. 11 at Brgy. Sinawilan, Digos City</t>
  </si>
  <si>
    <t>Construction of Makilala Institute of Science and Technology (MIST) Indigenous People Dormitory Located at Brgy. Concepcion, Makilala, Cotabato</t>
  </si>
  <si>
    <t>Purchase and Delivery of 1 Unit Speed Boat</t>
  </si>
  <si>
    <t>20CG0250 - Construction/ Repair/ Rehabilitation/ Improvement of Various Infrastructures including Local Projects: Buildings and Other Structures – Multi-Purpose/ Facilities – Construction of Multi-Pur</t>
  </si>
  <si>
    <t>Equipment,Medical Equipment&amp; Supplies and Office Equipment &amp; Supplies for the Implementation of School Feeding Program-Milk Feeding Program</t>
  </si>
  <si>
    <t>ITB 07-003-20 Supply and Delivery of 1,333 bags of Feeds, Grower (Pellets)</t>
  </si>
  <si>
    <t>Invitation to Bid for the Improvement of Farm to Market Road @ Brgy. Rizal (Savellano St.), Cabugao, Ilocos Sur</t>
  </si>
  <si>
    <t>CLUSTER 27: IMPROVEMENT OF OLD PUBLIC MARKET PHASE III</t>
  </si>
  <si>
    <t>07-004-20 Supply and Delivery of Free Range Chicken (DA IX LIVESTOCK Program)</t>
  </si>
  <si>
    <t>CONCRETING OF SISON-TAGBAYANI-MAYAG ROAD</t>
  </si>
  <si>
    <t>Invitation to Bid for the Improvement of Farm to Market Road @ Brgy. Rizal (Singson St), Cabugao, Ilocos Sur</t>
  </si>
  <si>
    <t>20CG0251 - Local Infrastructure Program: Buildings and Other Structures – Multipurpose/ Facilities – Construction of Multi-Purpose Building (motorpool), San Fernando, Pampanga</t>
  </si>
  <si>
    <t>G-2020-23: PROCUREMENT OF MANAGED DETECTION RESPONSE PLUS REMEDIATION SERVICE FOR THE DEVELOPMENT BANK OF THE PHILIPPINES</t>
  </si>
  <si>
    <t>Invitation to Bid for the Improvement of Farm to Market Road @ Brgy.Quezon (Tandang Sora St.), Cabugao, Ilocos Sur</t>
  </si>
  <si>
    <t>EQUIPMENT RENTAL FOR THE OPENING OF FARM TO MARKET ROAD OF PUROK BASAK, SITIO MABINI, DEL MONTE, TADS</t>
  </si>
  <si>
    <t>Road Upgrading and Improvement at Barangay Bancal (Pascual), Guagua, Pampanga</t>
  </si>
  <si>
    <t>Supply and Delivery various Agricultural Inputs for CY 2020 IB NO: BSWM-2020-07-011</t>
  </si>
  <si>
    <t>Invitation to Bid for the Improvement of Farm to Market Road @ Brgy. Quezon (Siruno St.), Cabugao, Ilocos Sur</t>
  </si>
  <si>
    <t>Construction of Covered Walk</t>
  </si>
  <si>
    <t>Purchase of Ambulance</t>
  </si>
  <si>
    <t>Supply and Installation of Closed-Circuit Television</t>
  </si>
  <si>
    <t>20CG0252 - Local Infrastructure Program: Buildings and Other Structures – Multipurpose/ Facilities – Construction and/or Repair/ Rehabilitation of Multi-Purpose Building, San Fernando City, Pampanga</t>
  </si>
  <si>
    <t>SUPPLY, HANDLING, TRANSPORT AND DELIVERY OF 298, 257 COCONUT SEEDLINGS</t>
  </si>
  <si>
    <t>SUPPLY AND DELIVERY OF CONSTRUCTION MATERIALS FOR THE REPAIR AND MAINTENANCE OF SK OFFICE</t>
  </si>
  <si>
    <t>Procurement of Two (2) units Rock Crusher (Surplus) for the Rehabilitation and Maintenance of Various Roads within the Province of Zamboanga del Sur</t>
  </si>
  <si>
    <t>CONCRETING OF ROAD AT RELOCATION SITE (BESIDE WATER DISTRICT PUMP HOUSE), BARANGAY BATUAN, LA CARLOTA CITY</t>
  </si>
  <si>
    <t>Rehab of Local Access Road, Magaogao - Collog, Junction - Pinococ, Pinukpuk</t>
  </si>
  <si>
    <t>CONCRETING OF ROAD AT BARANGAY NAGASI, LA CARLOTA CITY</t>
  </si>
  <si>
    <t>20CG0257 - Construction of Two-Storey Six (6) Classroom School Building at Sto. Rosario HS, Apalit, Pampanga</t>
  </si>
  <si>
    <t>PROPOSED REPAIR/IMPROVEMENT OF MAYOR’S OFFICE (STRAIGHT CONTRACT LABOR &amp; MATERIALS)</t>
  </si>
  <si>
    <t>CONCRETING OF ROAD AT ECO-CENTER, PHASE III, BARANGAY BATUAN,  LA CARLOTA CITY</t>
  </si>
  <si>
    <t>CONCRETING OF ROAD AT BARANGAY AYUNGON, LA CARLOTA CITY</t>
  </si>
  <si>
    <t>FOOD COMMODITIES</t>
  </si>
  <si>
    <t>Provision of Security Services for Gen. P. Del Rosario Elementary School</t>
  </si>
  <si>
    <t>SUPPLY AND DELIVERY OF TRAINING SUPPLIES AND MATERIALS FOR THE LSP-NSB ACTIVITIES IN THE PROVINCE OF BOHOL</t>
  </si>
  <si>
    <t>Livelihood Assistance to Tricycle Drivers/Farmers</t>
  </si>
  <si>
    <t>Concreting of Poblacion East (Purok Bagong Silang) Sta. 000+163 to 000+321 and 0+420 to 0+480 Cemetery Road, Flora, Apayao</t>
  </si>
  <si>
    <t>Declogging of Drainage Canals and Hauling of Spoils within the Central Business District, Guagua, Pampanga</t>
  </si>
  <si>
    <t>Concreting of Gecobe Road</t>
  </si>
  <si>
    <t>20CG0258 - Construction of Two (2) Storey, Ten (10) Classroom School Building at San Simon Elementary School, San Simon, Pampanga</t>
  </si>
  <si>
    <t>Improvement of EKB Avenue (Limits: Sta. 0+000 to 2+256), lUNA, aPAYAO</t>
  </si>
  <si>
    <t>Improvement of Sto. Niño Road Approach, Guagua, Pampanga</t>
  </si>
  <si>
    <t>Completion of VIP Cottages, Payanan, San Gregorio, Luna, Apayao</t>
  </si>
  <si>
    <t>Concreting of Sto. Niño Cerville, Guagua, Pampanga</t>
  </si>
  <si>
    <t>Urban Greening for Christ The Redeemer Park at Barangay Sta. Ursula, Betis, Guagua, Pampanga</t>
  </si>
  <si>
    <t>20FG0102 - Concreting of Barangay Catagbacan Farm to Market Road (FMR) Barangay Catagbacan, Goa, Camarines Sur</t>
  </si>
  <si>
    <t>Supply and Delivery of Office Supplies 2020</t>
  </si>
  <si>
    <t>Concreting/Upgrading of Road at Purok 5 (St. Dominic) Barangay San Pablo, Guagua, Pampanga</t>
  </si>
  <si>
    <t>Construction of Consuelo Bridge, Sta. Marcela, Apayao</t>
  </si>
  <si>
    <t>Concreting of Hilltop Panantuleng Road</t>
  </si>
  <si>
    <t>Concreting of Mustang Road</t>
  </si>
  <si>
    <t>8918-20-002)CONSTRUCTION OF SEWERLINE FROM PORTA VAGA AREA TO POST OFFICE AT KABAYANIHAN C/O CEPMO (RE-BIDDING)</t>
  </si>
  <si>
    <t>Concreting of Gattac Road</t>
  </si>
  <si>
    <t>Improvement of Road at Sta. Ursula, Betis, Guagua, Pampanga</t>
  </si>
  <si>
    <t>Improvement/Rehabilitation/Repair of Apayao Child Development Center, San Isidro Sur, Luna, Apayao</t>
  </si>
  <si>
    <t>2nd Posting Procurement of Biometric Machine</t>
  </si>
  <si>
    <t>Riprapping of Bebe Creek at San Miguel (Purok 2), Betis, Guagua, Pampanga</t>
  </si>
  <si>
    <t>2nd posting procurement of school forms</t>
  </si>
  <si>
    <t>2nd Posting Procurement of Air Conditioning Unit</t>
  </si>
  <si>
    <t>Infra 2020-07 - Construction of Potable Water System (Brgy. Banco)</t>
  </si>
  <si>
    <t>Infra 2020-04 - Construction of Potable Water System (Brgy. Bulajo)</t>
  </si>
  <si>
    <t>Invitation to Bid for the Procurement of uPVC Pipes and Fittings, C.I, Fittings and Construction Materials for the Maintenance of Pipelines.</t>
  </si>
  <si>
    <t>Infra 2020-03 - Construction of National Child Development Center</t>
  </si>
  <si>
    <t>Procurement of Third-Party Provider for Warehousing and Forwarding Services for DOH Commodities for Diabetes Mellitus, Mental Health &amp; Cancer Medicine Program of the Department of Health (DOH) for the</t>
  </si>
  <si>
    <t>ITB for PROCUREMENT OF SUPPLIES TO BE USED FOR MODULAR LEARNING 2020</t>
  </si>
  <si>
    <t>Infra 2020-05 - Construction of Potable Water System (Brgy. Udia)</t>
  </si>
  <si>
    <t>CONSTRUCTION OF DAY CARE CENTER LOCATED AT PUROK 7, BARANGAY DUNGOS, TULUNAN, COTABATO</t>
  </si>
  <si>
    <t>Procurement of Various Drugs and Medicines Requirements of PHSC, AFPHSC (Per Line Item Bidding)</t>
  </si>
  <si>
    <t>LOCAL BRIDGE IN MABONGTOT</t>
  </si>
  <si>
    <t xml:space="preserve">20CSFE03 - Consulting Services for the Parcellary Survey of Danao-Pasacao Rd (S03522LZ) - K0419 + (-642) - K0427 + 233 and Milaor-Minalabac-Pili Rd (S03524LZ) - K0433 + (-096) - K0445 + 786 under the </t>
  </si>
  <si>
    <t>CONCRETING OF BRGY. ROAD AT BRGY. SALVACION, ROSALES, PANGASINAN</t>
  </si>
  <si>
    <t>Infra 2020-02 - Construction of Two (2) Storey, Four (4) Classroom Building</t>
  </si>
  <si>
    <t>Infra 2020-01 - Construction of Farm to Market Road in Brgy. Labayo</t>
  </si>
  <si>
    <t>FOD-C-20-2905: Procurement of 104 bags of Hybrid White Corn Seeds</t>
  </si>
  <si>
    <t>FOD-C-20-2902: Procurement of GM Yellow Corn Seeds</t>
  </si>
  <si>
    <t>New Born Hearing Screening Machine (PR No. 100-2020-0988) ZSPH</t>
  </si>
  <si>
    <t>Infra 2020-06 - Construction of Potable Water System (Brgy. Layug)</t>
  </si>
  <si>
    <t>CONSTRUCTION OF INFIRMARY (PHASE IV)</t>
  </si>
  <si>
    <t>Veterinary Supplies for Distribution to Para-technician for Animal Health Care Services (PR No. 100-2020-0943) PVET</t>
  </si>
  <si>
    <t>Purchase &amp; Delivery of Const. Materials &amp; Supplies for the  project Concreting of Brgy. Site Road, Brgy. San Roque</t>
  </si>
  <si>
    <t>FOD-C-20-2903: Procurement of 1,500 bags of Conventional Hybrid Yellow Corn Seeds</t>
  </si>
  <si>
    <t xml:space="preserve">4411-19-022) IMPROVEMENT AND EXTENSION OF THE EXISTING SCOUT BARRIO HEALTH CENTER AT SCOUT BARRIO C/O CBAO (RE-BIDDING)                                                                                 </t>
  </si>
  <si>
    <t>Purchase &amp; Delivery of one (1) unit Brand New Service Vehicle, SP, Surigao City</t>
  </si>
  <si>
    <t>Concreting of Barangay Road, Brgy. Manjagao, Surigao City</t>
  </si>
  <si>
    <t>Construction of Barangay Material Recovery Facility (Fixed) for Bgys. Pinamanaan, Lourdes, Girawan, Cristo and Orange)</t>
  </si>
  <si>
    <t>8918-20-014)  REHABILITATION OF DRAINAGE SYSTEM AT EAST QUIRINO HILL TOWARDS MAGSAYSAY AVENUE AT EAST QUIRINO HILL C/O CEO (RE-BIDDING)</t>
  </si>
  <si>
    <t>2nd Posting Procurement of ID Cord</t>
  </si>
  <si>
    <t>INVITATION TO BID</t>
  </si>
  <si>
    <t>Improvement of Perimeter (Donsol Centrum for Recreation)</t>
  </si>
  <si>
    <t>CONTRACT FOR THE SUPPLY AND DELIVERY OF ONE (1) ASSEMBLY MOULDED  CASE CIRCUIT BREAKER AND ONE (1) ASSEMBLY AUTOMATIC TRANSFER  SWITCH (ATS)  INCLUDING INSTALLATION, TESTING, AND COMMISSIONING</t>
  </si>
  <si>
    <t>SUPPLY/DELIVERY OF VARIOUS VACCINES FOR ANIMAL BITE TREATMENT CENTER</t>
  </si>
  <si>
    <t>Invitation to Bid for PROCUREMENT OF ONE (1) UNIT PAYLOADER</t>
  </si>
  <si>
    <t>IB-2020-VIII-17-01 FARM TO MARKET ROAD</t>
  </si>
  <si>
    <t>Procurement of Non-Food Supplies Requirement of VLMC, AFPHSC</t>
  </si>
  <si>
    <t>Supply and Delivery of Various Cast Iron Fittings</t>
  </si>
  <si>
    <t>100-2020-07-823 Supply and delivery of Pills, DMPA, mefenamic acid, etc.</t>
  </si>
  <si>
    <t>Supply and Delivery of Various Construction Materials for Municipal Isolation Unit Intended for COVID19 Pandemic</t>
  </si>
  <si>
    <t>SUPPLY, DELIVERY AND COMMISSIONING  OF ONE (1) UNIT PRECISION BALANCE SCALE, ONE (1) UNIT DEFIBRILLATOR ANALYZER AND ONE (1) UNIT ELECTROSURGICAL (ESU) ANALYZER</t>
  </si>
  <si>
    <t>100-2020-06-819 Supply and delivery of grass cutting machine</t>
  </si>
  <si>
    <t>Supply and Delivery of Construction Materials for Improvement of MPP Proper Covered Court,</t>
  </si>
  <si>
    <t>Procurement Of Thirty (30) Units Video Camera For The Use Of Over Speeding   Enforcement Group</t>
  </si>
  <si>
    <t>Lot 6 Supply and Delivery of Brandy, 700 ml.</t>
  </si>
  <si>
    <t>Lot 5 Supply and Delivery of   Champagne,750 ml.</t>
  </si>
  <si>
    <t>Lot 8 Supply and Delivery of Vodka, 700 ml</t>
  </si>
  <si>
    <t>Renovation of Office (IMD &amp; PCRD) 870-20</t>
  </si>
  <si>
    <t>Lot 1 Supply and Delivery of  Whisky, 1 Liter</t>
  </si>
  <si>
    <t>Supply and Delivery of Various Electrical Supplies</t>
  </si>
  <si>
    <t>Construction of Potable Water System, Brgy. Sta. Maria</t>
  </si>
  <si>
    <t>Upgrading and Improvement of Kuli-kuli Road 3</t>
  </si>
  <si>
    <t>Lot 7 Supply and Delivery of Sparkling  Wine, 750 ml.</t>
  </si>
  <si>
    <t>PURCHASE &amp; DELIVERY OF WHEEL LOADER</t>
  </si>
  <si>
    <t>Lot 3 Supply and Delivery of Fine Champagne Cognac Extra Old, 700 ml.</t>
  </si>
  <si>
    <t>Procurement of Three (3) Year Hotel Accommodations for Casino Guest of Satellite Operations Group (SOG) 4 under ITB No.  PB20-02-026CORa-07</t>
  </si>
  <si>
    <t>Progressive Construction of Multi-Purpose Building, Legislative Compound, Brgy. Poblacion, Tacurong City</t>
  </si>
  <si>
    <t>Supply and Delivery of Materials for the Construction of Barangay Multi-Purpose Hall, Sta. Maria</t>
  </si>
  <si>
    <t>Construction of SB Building (Phase 2)</t>
  </si>
  <si>
    <t>CONSTRUCTION OF POTABLE WATER SYSTEM LEVEL 1</t>
  </si>
  <si>
    <t>COMPLETION OF MULTI-PURPOSE BRGY. HALL BINENG (2ND POSTING)</t>
  </si>
  <si>
    <t>20GKI0043 (Public Bidding) Contract Name: Delivery of Aircon Split Type 2.5hp with Installation (35 ft. distance), Freon – 3 tons 			  Inverter and Panel Board (for Admin Floor Mtd. Aircon) for use in</t>
  </si>
  <si>
    <t>Lot 2 Supply and Delivery of Fine  Champagne  Cognac, 700 ml.</t>
  </si>
  <si>
    <t>PURCHASE OF DRUGS AND MEDICINES, BARANGAY HALL OF POBLACION, BURDEOS, QUEZON</t>
  </si>
  <si>
    <t>20KI0098 Contract Name		: Construction of Evacuation Center, Brgy. San Vicente Alto,  			  Oroquieta City, Misamis Occidental</t>
  </si>
  <si>
    <t>20GKI0042 (Public Bidding) Contract Name: Procurement of Metal Cut Off Saw Machine, Combi Ring Binder Machine and Other Various 		  Items for use in the DPWH Office</t>
  </si>
  <si>
    <t>Various Catheterization Laboratory Supplies for 2020 use</t>
  </si>
  <si>
    <t>20GKI0037 (Public Bidding) Contract Name: Purchase of Epson Maintenance Box (C13T671400) for the Replacement of Epson  		  WF-C869R Printers in Planning &amp; Design, Finance, Quality Assurance, Administr</t>
  </si>
  <si>
    <t>20GKI0038 (Public Bidding) Contract Name: Supply of Tires, Battery II Plates and Other Vehicle Spare Parts for use in the replacement 		  of worn out parts of DPWH service vehicles</t>
  </si>
  <si>
    <t>20GKI0036 (Public Bidding) Contract Name: Supply of Various Vehicle Spare Parts and Lubricant for use in the Repair/Maintenance of 		  H3H-6622, H3L-6860, H1M-4260 and H1M-5117 in the Maintenance Sect</t>
  </si>
  <si>
    <t>CONTRACT ID #: 20-07-106 = REPAIR / RENOVATION / UPGRADING OF MANUKAN RHU</t>
  </si>
  <si>
    <t>20GKI0039 (Public Bidding) Contract Name: Supply of Various Construction Materials for use in the Maintenance Section</t>
  </si>
  <si>
    <t>Lot 4 Supply and Delivery of Premium Cognac Extra Old, 700 ml.</t>
  </si>
  <si>
    <t>Procurement of Flu Vaccine Quadrivalent &amp; Prefilled Syringe</t>
  </si>
  <si>
    <t>20GKI0041 (Public Bidding) Contract Name: Supply of Diesel Fuel and Other Various Items 		  for use in the Operation of Service Vehicles of DPWH-Mis. Occ. 1st DEO</t>
  </si>
  <si>
    <t>Procurement of Farm Machineries and Equipment Support for Rice Production, Mushroom Production and Duck Egg Production under Climate Resilient Farm Productivity Support (CRFPS) to Selected ARBOs in Ne</t>
  </si>
  <si>
    <t>IMPROVEMENT OF RELOCATION SITE (IMPROVEMENT OF CANAL) BRGY. LAIYA APLAYA</t>
  </si>
  <si>
    <t>IMPROVEMENT OF RELOCATION SITE (CONCRETING OF ROAD) BRGY. LAIYA APLAYA</t>
  </si>
  <si>
    <t>FLOOD CONTROL PROJECT (CONSTRUCTION OF CANAL)- BRGY. LAIYA APLAYA</t>
  </si>
  <si>
    <t>CONSTRUCTION OF WATER SYSTEM- SUBMERSIBLE PUMP &amp; ELEVATED TANK (BJMP AND PNP STATION)</t>
  </si>
  <si>
    <t>IMPROVEMENT OF DRAINAGE SYSTEM- BRGY. LIPAHAN</t>
  </si>
  <si>
    <t>CONTRACT ID # 20-07-103 = REPAIR / UPGRADING OF GODOD RURAL HEALTH UNIT</t>
  </si>
  <si>
    <t>Construction of Footbridge at Sitio Apad, Bgy. Juan Adre, Donsol, Sorsogon</t>
  </si>
  <si>
    <t>CONTRACT ID # 20-07-102 = PROPOSED COMPLETION OF SAN PABLO RURAL HEALTH UNIT</t>
  </si>
  <si>
    <t>CONTRACT ID # 20-07-100 = PROPOSED COMPLETION OF LAPUYAN RURAL HEALTH UNIT</t>
  </si>
  <si>
    <t>CONTRACT ID #Z:  20-07-105 = REPAIR RENOVATION OF LABASON DISTRICT HOSPITAL</t>
  </si>
  <si>
    <t>IMPROVEMENT OF RELOCATION SITE (SLOPE PROTECTION- RIVER ENBANKMENT) BRGY. LAIYA APLAYA</t>
  </si>
  <si>
    <t>CONTRACT ID # 19-10-197 2ND REBID = CONSTRUCTION OF LUNDAY BHS</t>
  </si>
  <si>
    <t>CONTRACT ID #: 19-11-219 2ND REBID = CLUSTER OF COMPLETION/REPAIR/RENOVATION/REHABILITATION OF ZAMBOANGA DEL SUR MEDICAL CENTER</t>
  </si>
  <si>
    <t>CONTRACT ID # 20-07-101 = PPROPOSED COMPLETION OF SAN MIGUEL RURAL HEALTH UNIT</t>
  </si>
  <si>
    <t>20GKI0035 (Public Bidding) Contract Name: Supply of One (1) set Rain Visor L/R and One (1) Steel Roll on/off Cargo Bay Cover for 		  Pick-up for use in the DE Service Vehicle</t>
  </si>
  <si>
    <t>Procurement Project for the Extension of Three Phase 13.8kV Primary Line</t>
  </si>
  <si>
    <t>Lot 11 Supply and Delivery of Wine, Red Wine</t>
  </si>
  <si>
    <t>CONTRACT ID #: 20-07-104 = PROPOSED EXTENSION OF LEON POSTIGO RURAL HEALTH UNIT</t>
  </si>
  <si>
    <t>CONSTRUCTION OF WATER SYSTEM- ELEVATED TANK (MUNICIPAL SLAUGHTERHOUSE)</t>
  </si>
  <si>
    <t>Lot 9 Supply and Delivery of White  Wine, 750 ml.</t>
  </si>
  <si>
    <t>Lot 10 Supply and Delivery of Cabernet Sauvignon, 750 ml.</t>
  </si>
  <si>
    <t>Purchase &amp; Delivery of Brand New Service Vehicle, SP, Surigao City</t>
  </si>
  <si>
    <t>SUPPLY/DELIVERY OF 1 UNIT LED WALL DISPLAY (OUTDOOR), 1 UNIT LED MOBILE TRAILER</t>
  </si>
  <si>
    <t>Supply and Delivery of Various ICT Equipment for the Faster Measurement of  Surveying Data Collection of Complex Waterways, Rivers and Drainage Catchments within Pumping Station</t>
  </si>
  <si>
    <t>Supply and Delivery of Various ICT Equipment to be used by the PMO under Metro Manila Flood Management Project</t>
  </si>
  <si>
    <t>PROCUREMENT OF ONE (1) UNIT PASSENGER VAN WITH DUAL AIRCON FOR THE OFFICIAL USE OF MDRRM OFFICE, ATOK, BENGUET</t>
  </si>
  <si>
    <t>Procurement of Brand New Notebook Laptop intended for the utilization  of the Office of the Mayor, Municipality of Pateros</t>
  </si>
  <si>
    <t>GEODETIC SERVICES for the Lot Relocation and Subdivision Survey</t>
  </si>
  <si>
    <t>MDF CLUSTER 7-2020 PROJECTS AT PAOAY, ATOK, BENGUET</t>
  </si>
  <si>
    <t>Rehabilitation of water system(level II)</t>
  </si>
  <si>
    <t>PROCUREMENT OF ONE (1) UNIT PASSENGER VAN FOR THE OFFICIAL USE OF MUNICIPAL OFFICIALS AND EMPLOYEES, ATOK, BENGUET</t>
  </si>
  <si>
    <t>Global Navigation Satellite System</t>
  </si>
  <si>
    <t>Supply and Delivery of 83 units Desk Computer</t>
  </si>
  <si>
    <t>COMPLETION OF BARANGAY HAL PHASE V</t>
  </si>
  <si>
    <t>Construction of Barangay Material Recovery Facility (rolling) for Bgys. Market Site, Banban, Awaii, Dancalan, and Bandi)</t>
  </si>
  <si>
    <t>Purchase &amp; Delivery of one (1) unit  Service Vehicle  (brand new) 2.0 4x2 AT,  CMO, Surigao City</t>
  </si>
  <si>
    <t>Supply and Delivery of Construction Materials for Improvement of MPP, Panipiason, Madalag, Aklan</t>
  </si>
  <si>
    <t>INVITATION TO BID - Purchase of Roll up Blinds and Folding Doors</t>
  </si>
  <si>
    <t>PURCHASE OF FILE COMPACTORS WRINKLED ENAMEL FINISH OF MUNICIPAL CIVIL REGISTRAR OFFICE, Tubod, Lanao del Norte</t>
  </si>
  <si>
    <t>Rehabilitation of Togonan Falls, Slope Protection and Concrete Stairs</t>
  </si>
  <si>
    <t>PURCHASE OF INKJET PRINTER- SEF EAST DISTRICT</t>
  </si>
  <si>
    <t>CONTRACT ID #: 20-07-107 = REPAIR / RENOVATION OF LABASON RURAL HEALTH UNIT</t>
  </si>
  <si>
    <t>ONE JOB ORDER FOR REPAIR/RENOVATION/COMPLETION OF STA.ROSA COMMUNITY HOSPITAL,TALISAY RHU I BRGY.CANSOJONG,MEDELLIN RHU,SAN REMEGIO RHU II AND TAMIAO BHS COMPOSTELA CEBU (BAC 2020-I02)</t>
  </si>
  <si>
    <t>INVITATION TO BID - Purchase of Various Office Furniture &amp; Fixtures</t>
  </si>
  <si>
    <t>Concreting of Road (Completion), Brgy. Zaragosa, Surigao City</t>
  </si>
  <si>
    <t>Supply and Delivery of  Medical and Surgical Supplies for use of the Provincial Health Office, Masbate</t>
  </si>
  <si>
    <t>Supply and Delivery of IV Fluidsfor use of the Provincial Health Office, Masbate</t>
  </si>
  <si>
    <t>REHABILITATION OF EVACUATION CENTER (ABC HALL BUILDING), CITY HALL COMPOUND</t>
  </si>
  <si>
    <t>Procurement of 1 Unit Mini Bus</t>
  </si>
  <si>
    <t>Procurement of various drugs and medicines for provision of commodities and supplies for the continuation of PGLDN Covid-19 response.</t>
  </si>
  <si>
    <t>Construction of Four (4) Classroom School Building W/CR &amp; Façade  at Goa Science High School, Goa, Camarines Sur</t>
  </si>
  <si>
    <t>Rehabililataion of Barangay Office</t>
  </si>
  <si>
    <t>DRUGS, MEDICINES, MEDICAL LABORATORY-DENTAL SUPPLY</t>
  </si>
  <si>
    <t>Construction of MCC-HOTEL WAREHOUSE BUILDING</t>
  </si>
  <si>
    <t>PURCHASE OF SOLAR PANEL LIGHT WITH POST, BARANGAY POBLACION, BURDEOS, QUEZON</t>
  </si>
  <si>
    <t>ITB No. 20-071 SUPPLY AND DELIVERY OF THIRTY (30) UINTS CARDIAC MONITORS</t>
  </si>
  <si>
    <t>Hospital and Medical Equipment (PR No. 100-2020-0852, 0692, 0820, 0880)</t>
  </si>
  <si>
    <t>IMPROVEMENT OF GOVERNMENT OWNED BUILDING</t>
  </si>
  <si>
    <t>ONE JOB ORDER FOR LABOR AND MATERIALS FOR COMPLETION/REPAIR/RENOVATION OF BIEN UNIDO RHU I,CARLOS P. GARCIA,CANDIJAY AND SI,EON G. TORIBO MEMORIAL HOSPITAL (BAC 2020-I03)</t>
  </si>
  <si>
    <t xml:space="preserve">20GFH0024 - SUPPLY AND DELIVERY OF DPWH STANDARD PROJECT LOGBOOKS PER D.O. #50 S. 2020 FOR USE IN CONSTRUCTION AND QUALITY ASSURANCE SECTIONS, DPWH-CATANDUANES DISTRICT ENGINEERING OFFICE, SAN ISIDRO </t>
  </si>
  <si>
    <t>Procurement of One (1) unit service vehicle for PVO field operation.</t>
  </si>
  <si>
    <t>Covered Canal (Phase IV) at Purok Gabi, Brgy. Bong-ao</t>
  </si>
  <si>
    <t>ROAD CONCRETING (Brgy. Buhingtubig)</t>
  </si>
  <si>
    <t>Supply and Delivery of Construction Materials for Concreting of Brgy. Road, San Jose, Madalag, Aklan</t>
  </si>
  <si>
    <t>Covered Canal at Purok Gabi (corner VNHS going to Brgy. Hall), Brgy. Bong-ao</t>
  </si>
  <si>
    <t>Supply and delivery of One unit Brandnew Ambulance for PGLDN covid-19 response use.</t>
  </si>
  <si>
    <t>20GFH0023 - SUPPLY AND INSTALLATION OF STAINLESS BUILT-UP LOGO AND LETTERS FOR USE IN THE DPWH BUILDING, VIRAC, CATANDUANES (PR#20-07-042 DATED 7/21/2020)</t>
  </si>
  <si>
    <t>Completion of 2-Storey of Multi Purpose Building,    Brgy. Togbongon, Surigao City</t>
  </si>
  <si>
    <t>Covered Canal at Purok Mani beside Bong-ao Elementary School, Brgy. Bong-ao</t>
  </si>
  <si>
    <t>Rehabilitation of Water System</t>
  </si>
  <si>
    <t>CONSTRUCTION OF KINUMAN NORTE FOUR (4) STOREY MULTI-PURPOSE HALL AT BARANGAY KINUMAN NORTE</t>
  </si>
  <si>
    <t>Procurement of Various Medical Equipment for use of the Provincial Health Office, Masbate</t>
  </si>
  <si>
    <t>SEF-20-07-01113 INK AND MASTER</t>
  </si>
  <si>
    <t>Fabrication/Installation of Solar Streetlight</t>
  </si>
  <si>
    <t>Construction of PGLDN Butterfly House.</t>
  </si>
  <si>
    <t>nstallation of Metal Guardrails along Calamba-Sta. Cruz-Famy Junction Road, K0097+327 to K0097+945, Kalayaan, Laguna</t>
  </si>
  <si>
    <t>ROOFING OF ABC HALL BUILDING, CITY HALL COMPOUND</t>
  </si>
  <si>
    <t>CONSTRUCTION OF  POTABLE WATER SYSTEM</t>
  </si>
  <si>
    <t>UPLB-IF-005-08-20 REBID, COMPLETION OF TECHNOLOGY HUB SND ONE STOP SHOP, MARIANO M. MONDOÑEDO AVE., UPLB, COLLEGE, LAGUNA</t>
  </si>
  <si>
    <t>20GFH0022 - SUPPLY AND DELIVERY OF OFFICE STEEL CABINETS FOR USE IN THE DPWH, VIRAC, CATANDUANES (PR#20-07-043 DATED 7/21/2020)</t>
  </si>
  <si>
    <t>Concreting of Brgy. Magsaysay FMR, Brgy. Magsaysay, Siniloan, Laguna</t>
  </si>
  <si>
    <t>Concreting of Brgy. Maytoong FMR, Brgy. Maytoong, Paete, Laguna</t>
  </si>
  <si>
    <t>Repair/Maintenance of DPWH Building, Main/Admin Building, Laguna I DEO DPWH Compound, Sta. Cruz, Laguna</t>
  </si>
  <si>
    <t>Preventive Maintenance of Road (Asphalt Overlay) along Calamba-Sta. Cruz-Famy Junction Road, K0082+680 to K0082+890, Sta. Cruz, Laguna</t>
  </si>
  <si>
    <t>PROCUREMENT  OF TWO (2) UNITS  BRAND NEW MEDICAL AMBULANCE</t>
  </si>
  <si>
    <t>Supply &amp; Installation of HFG Underground Structured Cabling, CCTV Installation and IP PBX Installation</t>
  </si>
  <si>
    <t>Procurement &amp; Delivery of Medical Supplies</t>
  </si>
  <si>
    <t>Supply &amp; Installation of RRCY Underground Structured Cabling, CCTV Installation and IP PBX Installation</t>
  </si>
  <si>
    <t>UPLB-IF-016-08-20 REBID, CONSTRUCTION OF AREA DRAIN WITH INTERCEPTOR CANAL, DEPARTMENT OF MILITARY SCIENCE AND TACTICS, UPLB, COLLEGE, LAGUNA</t>
  </si>
  <si>
    <t>Supply and Delivery of Various Fertilizers</t>
  </si>
  <si>
    <t>Concreting of Brgy. Bagumbayan FMR, Brgy. Bagumbayan, Sta. Maria, Laguna</t>
  </si>
  <si>
    <t>Procurement of Goods: Supply and delivery of one (1) unit service vehicle for Barangay Semirara, Caluya, Antique</t>
  </si>
  <si>
    <t>Supply and Delivery of Drugs and Medicines for use of the Provincial Health Office, Masbate</t>
  </si>
  <si>
    <t>Acquisition of One (1)-Unit Brand New Motor Grader</t>
  </si>
  <si>
    <t>FABRICATION/INSTALLATION OF PRE-FABICATED  ISOLATION FACILITIES BRGY. MALABANBAN NORTE  CANDELARIA, QUEZON</t>
  </si>
  <si>
    <t>Equipment/Supplies for Division Audio Visual Studio of Deped SDO-Kabankalan City.</t>
  </si>
  <si>
    <t>Supply and Delivery Various Medicines</t>
  </si>
  <si>
    <t>Supply and Delivery of Steel Sheet Piles</t>
  </si>
  <si>
    <t>8731-20-025) CONSTRUCTION OF GREENHOUSE FOREST NURSERY AT BUSOL WATERSHED AT EAST BAYAN PARK C/O CBAO</t>
  </si>
  <si>
    <t>procurement of Goods: Supply and Delivery of one (1) unit emergency response vehicle for Barangay Semirara, Caluya, Antique</t>
  </si>
  <si>
    <t>Digital Duplicator Machine and Multi-function Digital Copier for 5 District of Deped SDO-Kabankalan City</t>
  </si>
  <si>
    <t>Supply and Delivery of Safety/Disaster Equipment</t>
  </si>
  <si>
    <t>Supply and Delivery of Various Brand-New Medical Equipment</t>
  </si>
  <si>
    <t>Supply and Delivery of Drugs and Biologics</t>
  </si>
  <si>
    <t>Supply and Delivery of Brand New Light Vehicles</t>
  </si>
  <si>
    <t>Supply and Delivery of Various Office and Janitorial Supplies</t>
  </si>
  <si>
    <t>UPGRADING LOCAL ACCESS ROAD WITH DRAINAGE SYSTEM OF BARANGAY BANTUGAN, PRESENTACION, CAMARINES SUR</t>
  </si>
  <si>
    <t>UPGRADING LOCAL ACCESS ROAD WITH DRAINAGE SYSTEM OF BARANGAY LIDONG, PRESENTACION, CAMARINES SUR</t>
  </si>
  <si>
    <t>PURCHASE OF 2 UNIT OF AIR CONDITION</t>
  </si>
  <si>
    <t>Construction of Women Crisis Center</t>
  </si>
  <si>
    <t>Supply, Delivery and Installation of Information, Communications and Surveillance Equipment</t>
  </si>
  <si>
    <t>PURCHASE OF VEGETABLE SEEDS, BIOLOGICS AND FERTILIZERS</t>
  </si>
  <si>
    <t>Supply and delivery of one (1) lot Various DRUGS AND MEDICINES for the Health Maintenance Program for Senior Citizens</t>
  </si>
  <si>
    <t>Supply and Delivery of Various Medical Supplies and Equipment</t>
  </si>
  <si>
    <t>8731-20-024) CONSTRUCTION OF GREENHOUSE AT BOTANICAL NURSERY, LEONARD WOOD ROAD C/O CBAO</t>
  </si>
  <si>
    <t>Proposed FOGGING, MISTING and SPRAYING OF PESTICIDE</t>
  </si>
  <si>
    <t>Procurement of SECURITY Services for One (1) Year Contract</t>
  </si>
  <si>
    <t>PB-20-393, Supply &amp; Delivery of IV Fluids for Cotabato Provincial Hospital, Amas, Kidapawan City</t>
  </si>
  <si>
    <t>CONCRETING OF LOCAL ACCESS ROAD WITH DRAINAGE IMPROVEMENT AT BARANGAY SAN MATEO</t>
  </si>
  <si>
    <t>PB-20-392, Supply &amp; Delivery of Disinfectants for Quarantine Services Program of the Office of the Provincial Veterinarian, Amas, Kidapawan City</t>
  </si>
  <si>
    <t>CONSTRUCTION OF 2 STOREY MULTI-PURPOSE BUILDING (PROGRESSIVE TYPE)</t>
  </si>
  <si>
    <t>Const. and Heavy Equipment</t>
  </si>
  <si>
    <t>Rehabilitation of Water Supply System at Brgy. Sampaguita,Poblacion,Buliran,San Jose</t>
  </si>
  <si>
    <t>PURCHASE OF OFFICE EQUIPMENT &amp; SUPPLIES</t>
  </si>
  <si>
    <t>Supply and delivery of 1,000 boxes CONTINUOUS FORM, 2ply 280mm x 241mm, carbonless sub16 and 1,000 boxes CONTINUOUS FORM, 3ply 280mm x 241mm, carbonless sub16</t>
  </si>
  <si>
    <t>PURCHASE OF ABC BOOKS</t>
  </si>
  <si>
    <t>Consulting Service for the Support and Maintenance of the Business Name Registration System Next Generation (BNRSNextGEN)</t>
  </si>
  <si>
    <t>Acquisition of 2-Units Brand New Six Wheeler Dump Truck</t>
  </si>
  <si>
    <t>PURCHASE OF CCTV CAMERA AND WIRE</t>
  </si>
  <si>
    <t>UPGRADING LOCAL ACCESS ROAD WITH DRAINAGE SYSTEM AND RIPRAP CONSTRUCTION OF BARANGAY PAGSANGAAN, PRESENTACION, CAMARINES SUR</t>
  </si>
  <si>
    <t xml:space="preserve">Purchase of Supplies and Materials for Upgrading of alley with improvement of drainage canal int. 100 St. Brgy. Bagumbayan South, Navotas City and Installation of Solar Light Int. Taganahan St. Brgy. </t>
  </si>
  <si>
    <t>COSTRUCTION OF MULTI PURPOSE CENTER (Phase 1)</t>
  </si>
  <si>
    <t>Motorcycle for solid waste management</t>
  </si>
  <si>
    <t>PROCUREMENT OF ONE (1) YEAR SUBSCRIPTION TO THE LATEST TOURISM MARKET RESEARCH DATABASE</t>
  </si>
  <si>
    <t>Construction of SRT Green House with Storage (In support to Potato Tuberlets Production and Marketing)</t>
  </si>
  <si>
    <t>Acquisition of One (1)-Unit Brand New Single Drum Vibratory Compactor</t>
  </si>
  <si>
    <t>Acquisition of 2-Units Brand New Hydraulic Excavator</t>
  </si>
  <si>
    <t>Provision of Supplies for Modular learning</t>
  </si>
  <si>
    <t>DRUGS, MEDICINES, MEDICAL LABORATORY-DENTAL SUPPLIES &amp; MEDICAL EQUIPMENT</t>
  </si>
  <si>
    <t>Acquisition of One (1)-Unit Brand New Six Wheeler Boom Truck</t>
  </si>
  <si>
    <t>Improvement Of RHU  Building</t>
  </si>
  <si>
    <t>20-07-0660 LABOR AND MATERIALS FOR THE REPAIR OF 145 MTRS. PERIMETER FENCE (PHASE I) AT GMFDC, GUIUAN EASTERN SAMAR</t>
  </si>
  <si>
    <t>Procurement of Domestic Appliances for the Provincial COVID19 Quarantine Facilities</t>
  </si>
  <si>
    <t>SOLID WASTE MANAGEMENT PROJECT CONSTRUCTION OF ACCESS ROAD TO SWM-ECO PARK</t>
  </si>
  <si>
    <t>CONSTRUCTION/REBLOCKING OF MUNICIPAL STREETS, BARANGAY EAST, SAN JOSE, NORTHERN SAMAR</t>
  </si>
  <si>
    <t>PURCHASE OF TOILET BOWL, BARANGAY POBLACION HALL, BURDEOS, QUEZON</t>
  </si>
  <si>
    <t>Power Supply Contract (522kW Power Demand)</t>
  </si>
  <si>
    <t>20-07-0662 LABOR AND MATERIALS FOR THE IMPROVEMENT OF BLUE SWIMMING CRAB HATCHERY AT GMFDC, GUIUAN EASTERN SAMAR</t>
  </si>
  <si>
    <t>Supply and Delivery of Diesel Fuel and Lubricants for Use of Maintenance Section, Planning and Design Section, Quality Assurance Section, Construction Section, Office of the District Engineer and Admi</t>
  </si>
  <si>
    <t>20-07-0664 LABOR AND MATERIALS FOR THE REHABILITATION OF TWO (2) STOREY GMFDC ADMINISTRATION BUILDING AT GMFDC, BRGY. STO. NIÑO GUIUAN EASTERN, SAMAR</t>
  </si>
  <si>
    <t>Consultancy Service for the Detailed Design of Water Supply System at Phase 4 Freeport Area of Bataan, Mariveles, Bataan</t>
  </si>
  <si>
    <t>20-07-0649 Procurement of Two (2) units Six-Wheeler Brand New Refrigerated Van in support to KADIWA (on Wheels) Regional Activities of BFAR 8</t>
  </si>
  <si>
    <t>Procurement of one (1) unit Telescope of Barangay Semirara, Caluya, Antique</t>
  </si>
  <si>
    <t>Purchase of Chemicals for Vector Prevention and Control</t>
  </si>
  <si>
    <t>MG-A7C20-007, Rubber Gasket, Rectangular, 8mm x 15mm x 8m for Agus 6 ME</t>
  </si>
  <si>
    <t>3403-20 Restoration of Provincial Capitol Building - Mechanical Retrofitting at Left Wing (Gridlines E-N, 2-13), Quezon Capitol Compound, Lucena City - PEO</t>
  </si>
  <si>
    <t>Supply and Delivery of Laptop Computers for the Department of Trade &amp; Industry (DTI)</t>
  </si>
  <si>
    <t>20DF0192 - 20DF0194 (By Contract) - Construction of 2STY 4CL School Building at Bagumbuhay ES, Cavite City and two (2) others</t>
  </si>
  <si>
    <t>0625-20 Purchase of Motor Vehicle (Ambulance and Cadaver Van)</t>
  </si>
  <si>
    <t>Construction of Flood Control Dike (Phase 2)</t>
  </si>
  <si>
    <t>2860-20 Construction of Convention Center, Phase 2, (Northern Quezon Auditorium), Brgy. Common, Infanta, Quezon - PEO</t>
  </si>
  <si>
    <t>Procurement of Equipment for the project "Medium-Term Information and Communications Technology Harmonization Initiative (MITHI), Second Bidding</t>
  </si>
  <si>
    <t>Supply and Delivery of Construction Materials for Construction of Footbridge, Panipaison, MADALAG, Aklan</t>
  </si>
  <si>
    <t>20GGK0008 - Supply and Delivery of Materials for use in the Maintenance Section for Painting of Pavement Centerline Solid Markings, Edge Lines and Pedestrian Lane along Bacolod – Murcia – DS Benedicto</t>
  </si>
  <si>
    <t>Reproduction and Delivery of Learning Modules for Junior High School students</t>
  </si>
  <si>
    <t>Rehabilitation/Improvement of Existing Building to a Drug Rehabilitation Facility</t>
  </si>
  <si>
    <t>PURCHASE OF SOLID WASTE MANAGEMENT TRUCK (Brgy. BAHONG)</t>
  </si>
  <si>
    <t>3371-20 Procurement of Transport Vehicle</t>
  </si>
  <si>
    <t>Purchase of LED Emergency Lighting with Battery Pack for NAIA</t>
  </si>
  <si>
    <t>PROCUREMENT OF 1 UNIT SERVICE VEHICLE</t>
  </si>
  <si>
    <t>SUPPLY AND DELIVERY OF APPLIANCES FOR CULTURAL HERITAGE CENTER  MSU MAIN CAMPUS, MARAWI CITY</t>
  </si>
  <si>
    <t>P.R No. 20-03-0434 SUPPLEMENTARY LEARNING MATERIALS- READING ENGLISH FOR ELEMENTARY</t>
  </si>
  <si>
    <t>PROCUREMENT OF VARIOUS COMPUTER SET TO BE USE BY IDENTIFIED OFFICES TO REPLACE DEFECTVE AND MALFUNCTION UNITS (1 LOT) CITY TREASURER'S OFFICE, MALAYBALAY CITY.</t>
  </si>
  <si>
    <t>PURCHASE OF INKJET PRINTER- SEF WEST DISTRICT</t>
  </si>
  <si>
    <t>Renovation of Mayor's Office Project ID Nr: 2020-8751-01012 (Rebidding)</t>
  </si>
  <si>
    <t xml:space="preserve">20GGK0007 - Supply and Delivery of Materials for use in the Maintenance Section for Painting of Pavement Road Markings, Centerline, Edge Lines and Pedestrian Lane along Bacolod North Road (S00403NR), </t>
  </si>
  <si>
    <t>ITB No. 20-28 Procurement of Maintenance Supplies (Re-Bidding)</t>
  </si>
  <si>
    <t>PROCUREMENT FOR MEDICINES AND SUPPLIES FOR IDENTIFIED CENTRAL ELEMENTARY SCHOOL CLINICS</t>
  </si>
  <si>
    <t>PROCUREMENT FOR DENTAL HEALTH CARE SUPPLIES</t>
  </si>
  <si>
    <t>Purchase of Protective Clothing (Bunker Suit)</t>
  </si>
  <si>
    <t>PURCHASE OF AMBULANCE</t>
  </si>
  <si>
    <t>IMPROVEMENT OF MULTI-PURPOSE HALL (PHASE 1)</t>
  </si>
  <si>
    <t>SUPPLY, DELIVERY AND INSTALLATION OF VARIOUS SCIENTIFIC EQUIPMENT FOR THE PROJECT: TUKLAS ESKAPE AT UP BAGUIO</t>
  </si>
  <si>
    <t>Supply and Delivery of Assorted Construction Materials</t>
  </si>
  <si>
    <t>Road Concreting Project (Sitio Songkuean), Poblacion, Madalag, Aklan</t>
  </si>
  <si>
    <t>8918-18-041)  CHANGE OF SEWER PIPES AND SEWER COVER AT VALENZUELA ROAD 1 HAPPY GLEN LOOP FROM MARANAN RESIDENCE AT SALUD MITRA C/O CEPMO (RE-BIDDING)</t>
  </si>
  <si>
    <t>FABRICATION OF CONCRETE TETRAPOD STEEL FORM</t>
  </si>
  <si>
    <t>Goods 2020-01 - Procurement of Ambulance</t>
  </si>
  <si>
    <t>Procurement of Materials for Site Development of Relocation Site</t>
  </si>
  <si>
    <t>CONSTRUCTION OF POTABLE WATER SYSTEM LEVEL II (3 LOTS) IN THREE (3) IDENTIFIED BARANGAYS NAMELY NABUNDASAN, NEW CULASI AND TAMBAC, ALL OF THE MUNICIPALITY OF TULUNAN, COTABATO</t>
  </si>
  <si>
    <t>Procurement of Materials for the Fabrication of Material Recovery Facility</t>
  </si>
  <si>
    <t>PROCUREMENT OF CONSULTING SERVICES FOR THE DEVELOPMENT OF ELECTRONIC DOCUMENT CONTROL CENTER (EDCC) FOR THE IMPLEMENTATION OF THE DEPARTMENT OF TOURISM'S QUALITY MANAGEMENT SYSTEM (2nd Posting)</t>
  </si>
  <si>
    <t>20CG0255 - Concreting of Sitio 2 to Sitio 3, Brgy. Vizal San Pablo FMR, Brgy. Vizal San Pablo, Candaba, Pampanga</t>
  </si>
  <si>
    <t>20CG0256 - Concreting of Brgy. Baliti to Brgy. Telebastagan Road FMR, Brgy. Baliti and Brgy. Telebastagn, San Fernando, Pampanga</t>
  </si>
  <si>
    <t>PROCUREMENT FOR REPLENISHMENT OF ORAL HEALTH SUPPLIES FOR THE REGIONAL AND IDENTIFIED 250 CENTRAL ELEMENTARY SCHOOLS (DENTAL SUPPLIES)</t>
  </si>
  <si>
    <t>20H00081 - Proposed Improvement of Storage Room for National Road Traffic Survey Program (NRTSP) instruments under the Engineering Survey and Investigation Section, Repair of Plan Storage and Addition</t>
  </si>
  <si>
    <t>PROCUREMENT OF DRUGS AND MEDICINES, City HEALTH OFFICE</t>
  </si>
  <si>
    <t>Procurement of Materials for the Repair and Maintenance of Municipal Building</t>
  </si>
  <si>
    <t>CY 2020 Quick Response Fund (QRF)- Repair and Rehabilitation of Classrooms damaged by Fire Incidents and Various Calamities and Construction of Slope Protection of School Building- Lot 10</t>
  </si>
  <si>
    <t>Reblocking of Banga-Libacao Road (Banga &amp; Libacao Segment), Banga and Libacao, Aklan</t>
  </si>
  <si>
    <t>PRN 024-ELECTRICAL ITEMS-R/M-CESO-GOODS-2020</t>
  </si>
  <si>
    <t>Contract ID No. 20K00270 - Construction of Multi-Purpose Building (Public Market) Butig, Lanao del Sur (re-ITB)</t>
  </si>
  <si>
    <t>B20200275 - BALAI LUPOWANAN, SITIO NASILABAN, PALMA GIL TALAINGOD, DAVAO DEL NORTE</t>
  </si>
  <si>
    <t>PROCUREMENT OF 26 UNITS OF MULTIFUNCTION INKTANK PRINTER AND 26 SETS OF INK 003 (4 PCS) USE IN PNHS-DILAWA, PIÑAN CENTRAL ELEMENTARY SCHOOL, AGRICULTURE OFFICE AND HUMAN RESOURCES MANAGEMENT OFFICE</t>
  </si>
  <si>
    <t>CID NO. 20IF0109 (READV) - CONCRETING F FARM TO MILL ROAD (FMR), PUROK 4 BRGY. JUATON TO SITION GUIN-OWANAN, BRGY. DOLORES ROAD, ORMOC CITY, LEYTE</t>
  </si>
  <si>
    <t>Contract ID No. 19CSK00055 – Consulting Services for the Conduct of Soil Testing/Exploration for Bridge Projects - Geotechnical Investigation - Construction of Concrete Bridge, Impasug-ong Bdry. Bukid</t>
  </si>
  <si>
    <t>Construction of Multi-Purpose Building,  (Agricultural Training and Tourism Center), Hungduan, Ifugao</t>
  </si>
  <si>
    <t>20G00107 - Construction of Permanent Evacuation Center/Multi-Purpose Covered Court (Standard)</t>
  </si>
  <si>
    <t>Upgrading/Improvement of JNR Iriron-Malpalon (Phase II)-Calintaan, Occidental Mindoro</t>
  </si>
  <si>
    <t>CONSTRUCTION OF MULTI-PURPOSE COVERED COURT STAGE AT BRGY. SOLO, MABINI, BATANGAS</t>
  </si>
  <si>
    <t>PURCHASE OF 13 UNITS OF COMMUNICATION FACILITIES/CELLPHONE WITH CAMERA</t>
  </si>
  <si>
    <t>PURCHASE OF 1 UNIT AIRCONDITIONER</t>
  </si>
  <si>
    <t>REHABILITATION OF MATERIAL RECOVERY FACILITIES @ BRGY. DOLOROSA</t>
  </si>
  <si>
    <t>CID NO. 20IF0108- (READV) Concreting of Farm to Mill Road (FMR), Brgy. Can-untog to Brgy. Quezon, Jr., Ormoc City, Leyte</t>
  </si>
  <si>
    <t>20GP0072-Concreting of Sitio Agkaningay, Brgy. Damayan FMR, Brgy. Damayan, Sapi-an, Capiz</t>
  </si>
  <si>
    <t>ELECTRIFICATION OF BACUT LAKE (COTTAGES, SPOT LIGHTS, STREET LIGHTS, MAIN FEEDER &amp; POWER HOUSE)</t>
  </si>
  <si>
    <t>Fabrication of Bleacher 6M 3 layer, Barangay Bawo, Sogod, Cebu</t>
  </si>
  <si>
    <t>20CN0161 - Repair and Maintenance of Road Safety Facilities, District Wide</t>
  </si>
  <si>
    <t>Communal Irrigation System at Natividad-San Jose, Guagua, Pampanga</t>
  </si>
  <si>
    <t>SUPPLY AND DELIVERY OF ONE (1) UNIT BONGGO 2 (TRUCK) FOR GARBAGE COLLECTOR, BAYUGAN II, SFADS</t>
  </si>
  <si>
    <t>Restoration &amp; Improvement of Cultural &amp; Historical Sites</t>
  </si>
  <si>
    <t>REPRODUCTION OF MODULES OF AGUSAN ELEMENTARY SCHOOL</t>
  </si>
  <si>
    <t>Procurement of Materials and Supplies for Pro-poor Project at North Section (Brgy. Sto. Niño to Dumlog) (Re-bidding) - PR 2020-05-044</t>
  </si>
  <si>
    <t>CONSTRUCTION OF EKB PARK PHASE II</t>
  </si>
  <si>
    <t>SECURITY SERVICES (OCTOBER 31,2020-JANUARY 31,2021) CITY MAYOR'S OFFICE, MALAYBALAY CITY</t>
  </si>
  <si>
    <t>Supply/Delivery of Food Stuff (Groceries)</t>
  </si>
  <si>
    <t>SUPPLY OF MATERIALS, LABOR AND EQUIPMENT FOR THE PROPOSED CONSTRUCTION OF SMWD COVERED COURT AT BRGY. RIZAL, SURIGAO CITY</t>
  </si>
  <si>
    <t>Procurement of Bactericides/Pesticides for Crop Protection and Veterinary Medicines for Animal Health Care and Disease Control</t>
  </si>
  <si>
    <t>Installation of High-Definition Wireless CCTV(Phase 4)</t>
  </si>
  <si>
    <t>Procurement of civil works</t>
  </si>
  <si>
    <t>Repair of Mitsubishi Canter Blue GRH-120/GSO, this City</t>
  </si>
  <si>
    <t>MATERIALS FOR REPRODUCTION OF MODULE</t>
  </si>
  <si>
    <t>For use at Bago city Hospital, Bago City (Medical Supplies)</t>
  </si>
  <si>
    <t>Rehabilitation/ Improvement of H.E Building at Sulong Elem. School</t>
  </si>
  <si>
    <t>Installation of Roof Ventilators at Public Market Building 1, 2 and 4, Brgy Poblacion, Bago City</t>
  </si>
  <si>
    <t>20GFN0013 Furnishing and delivery of Consumable and Accessories for use in Office Equipment assigned at Construction, Finance, Maintenance, Human Resource &amp; Admin Section, Supply &amp; Priority, NetAd, BA</t>
  </si>
  <si>
    <t>PURCHASE OF 1 UNIT DUMP TRUCK</t>
  </si>
  <si>
    <t>CONCRETING OF FMR CABAYUGAN TO ECO-PARK</t>
  </si>
  <si>
    <t>Procurement of Construction materials of Handwashing Facility at MNHS - Main Campus &amp; Agunit Campus and Procurement of Construction Materials for MNHS Santiago Campus (Support to Brigada Eskwela)</t>
  </si>
  <si>
    <t>ITB-PROCUREMENT OF A SERVICE PROVIDER TO RENDER MEDIA PLACEMENT FOR THE WIDE-SCALE PROMOTION OF THE RCEF-RICE EXTENSION SERVICES PROGRAM UNDER RCEF GOODS 20-07-08</t>
  </si>
  <si>
    <t>ITB-Procurement of a Service Provider to Conduct an Information, Education and Communication (IEC) Strategy in Support of the PhilRice RCEF Extension Program Under the New Normal RCEF Goods 20-07-07</t>
  </si>
  <si>
    <t>Slope Protection at Sitio Bagulayag, Tubigon, Ferrol, Romblon</t>
  </si>
  <si>
    <t>Improvement of of Covered Gym at Brgy. Luan-Luan</t>
  </si>
  <si>
    <t>Establishment of Water System at Mabuhay II</t>
  </si>
  <si>
    <t>FIXTURES</t>
  </si>
  <si>
    <t>Supply,Delivery,Design,Development,Testing and Implementation of Central Public Utility Vehicle Monitoring System(CPUVMS) and Establishment of Central Command Station(CCS) for CY 2020</t>
  </si>
  <si>
    <t>PROCUREMENT OF 2ND &amp; 3RD QTR MEDICINES AT BAGULIN LU</t>
  </si>
  <si>
    <t>ITB IMPROVEMENT OF DRAINAGE SYSTEM AT PUROK II &amp; III, SUYO, BAGULIN LU</t>
  </si>
  <si>
    <t>PURCHASE OF HYGIENE KITS</t>
  </si>
  <si>
    <t>LGU-PILAR PROGRAMS &amp; ACTIVITIES</t>
  </si>
  <si>
    <t>ITB-Procurement of Service Provider for Digital Marketing to Promote the PhilRice RCEF Seed Program under the New Normal Through Social Media RCEF Goods 20-07-06</t>
  </si>
  <si>
    <t>ISOLATION</t>
  </si>
  <si>
    <t>I.T. EQUIPMENT</t>
  </si>
  <si>
    <t>PROCUREMENT OF MATERIALS FOR THE COMPLETE REPAIR OF 40FT REINFORCED FIBER GLASS PATROL BOAT WITH ACCESSORIES</t>
  </si>
  <si>
    <t>Construction of Ampongol Barangay Hall Extension</t>
  </si>
  <si>
    <t>REHAB/IMPROVEMENT OF TUANGAN FMR, DAGUP, BAGULIN, LA UNION</t>
  </si>
  <si>
    <t>Procurement of Vehicles</t>
  </si>
  <si>
    <t>GASOLINE, OIL &amp; LUBRICANTS</t>
  </si>
  <si>
    <t>Office Equipment Information And Communication Technology And Other Machinery Equipment</t>
  </si>
  <si>
    <t>Purchase of Reconditioned Firetruck</t>
  </si>
  <si>
    <t>Supply and Delivery of Wireless Network Connection (Wifi ng Bayan – Phase 1)</t>
  </si>
  <si>
    <t>Supply and Delivery of Various Laboratory Supplies for Tuklas-Lunas</t>
  </si>
  <si>
    <t>Supply and Delivery of Various I.T. Equipment for UTDC (LOT BIDDING)</t>
  </si>
  <si>
    <t>Supply and Delivery of Office Fixtures use at the Dauis Central Elenmentary School at Dauis, Bohol.</t>
  </si>
  <si>
    <t>Purchase of Brand new Firetruck</t>
  </si>
  <si>
    <t>Supply and Delivery of Various Office Equipment for IMEAS</t>
  </si>
  <si>
    <t>Procurement Training and Workshop on the World Bank Harmonized Procurement Guidelines</t>
  </si>
  <si>
    <t>CONSTRUCTION OF TANOD OUTPOST</t>
  </si>
  <si>
    <t>Supply, Delivery and Installation of Various Equipment for CBDEM Audiovisual Room (LOT BIDDING)</t>
  </si>
  <si>
    <t>Supply, Delivery and Installation of Interactive Projector (Educational Use)</t>
  </si>
  <si>
    <t>Supply &amp; Delivery of Pineapple Seedlings</t>
  </si>
  <si>
    <t>SUPPLY AND DELIVERY OF THE REHAB, RENOVATION OF STL, MPC (PB-LAP-2020-085)</t>
  </si>
  <si>
    <t>CONCRETING OF ROAD NAVITAS FMR (SITIO LAGUDIAN)</t>
  </si>
  <si>
    <t>Supply and Delivery of Twenty Five (25) Units Laptop Computer</t>
  </si>
  <si>
    <t>Construction of Flood Control Structure along Jct. National H'way (Masimag) San Francisco-New Visayas-Salvacion Road (Construction of RC Box Culvert) New Visayas at Don Carlos</t>
  </si>
  <si>
    <t>PURCHASE AND DELIVERY OF CONSTRUCTION MATERIALS FOR THE REPAIR/IMPROVEMENT OF RURAL HEALTH UNIT BUILDING, RHU Building, Brgy. 4, Can-avid Eastern Samar</t>
  </si>
  <si>
    <t>PURCHASE OF VEHICLE</t>
  </si>
  <si>
    <t>SUPPLY AND DELIVERY OF AUDIO &amp; VISUAL EQUIPMENT  FOR CULTURAL HERITAGE CENTER, MSU MAIN CAMPUS, MARAWI CITY</t>
  </si>
  <si>
    <t>Fabrication &amp; Installation of Basketball Goal at Mohon Sports Complex</t>
  </si>
  <si>
    <t>Procurement of One (1) Unit Ambulance for the Use of the Rural Health Unit, LGU-Tagudin, Ilocos Sur</t>
  </si>
  <si>
    <t>Supply and Delivery of One (1) lot Various Furniture &amp; Fixtures</t>
  </si>
  <si>
    <t>20GF0008 - For use of Repair/Rehabilitation/Iprovement of Road Shoulder along Dulawan-Marbel Road K1745+300-K1745+700 (Left Side), Tinumiguez, Lambayong, Sultan Kudarat</t>
  </si>
  <si>
    <t>Procurement of Security Services for Schistosomiasis Hospital for a Period of one(1) year ITB#2020-16</t>
  </si>
  <si>
    <t>Construction of Flood Control Structure along Cabuloha-Paradise-Tugop Road at Cabanglasan</t>
  </si>
  <si>
    <t>VARIOUS EQUIPMENT FOR THE FURNISHINGS OF THE GOVERNMENT FACILITIES OF THE MUNICIPALITY OF LAPUYAN (PB-LAP-2020-086)</t>
  </si>
  <si>
    <t>(PEO)  INVITATION TO BID FOR THE SUPPLY AND DELIVERY OF VEHICLE PARTS (II) FOR THE  PROVINCIAL ENGINEERING OFFICE (PEO)</t>
  </si>
  <si>
    <t>Construction of Flood Control Structure along (Cabula-Imbatug) Salimbalan-San Vicente Road (Concrete Line Canal) at Baungon</t>
  </si>
  <si>
    <t>(PVSO) 2ND INVITATION TO BID FOR THE SUPPLY AND DELIVERY OF ANIMAL FEEDS  AND VETERINARY SUPPLIES   FOR THE  PROVINCIAL VETERINARY SERVICES OFFICE (PVSO)</t>
  </si>
  <si>
    <t>CONCRETING OF BARANGAY ROAD IN CABAYUGAN SITIO PUNGTOD</t>
  </si>
  <si>
    <t>Construction of Flood Control along Jct. (Valencia-Batangan) Laligan Road (Construction of Retaining Wall along Laligan River) at Valencia City</t>
  </si>
  <si>
    <t>ROAD WIDENING WITH SLOPE PROTECTION WORKS AT ECO-PARK, STA ROSA, STA. MARIA, PANGASINAN</t>
  </si>
  <si>
    <t>Upgrading/Improvement of JNR Sto. Niño-Pitogo-Aguas-Limlim Provincial Road (Phase III)-Rizal, Occidental Mindoro</t>
  </si>
  <si>
    <t>SUBSCRIPTION OF 300 MBPS INTERNET ACCESS FOR MAIN OFFICE AND DISASTER RECOVERY (DR) SITE FOR A PERIOD OF ONE (1) YEAR</t>
  </si>
  <si>
    <t>CONSTRUCTION OF MULTI-PURPOSE HALL cum evacuation center (phase II)</t>
  </si>
  <si>
    <t>SUPPLY AND DELIVERY OF BIOTECH LABORATORY EQUIPMENT FOR CULTURAL HERITAGE CENTER EQUIPMENT, MSU MAIN CAMPUS, MARAWI CITY</t>
  </si>
  <si>
    <t>Construction of Box Culvert along Jct. (Nat'l. Highway) Palacapao-East Dalurong-West Dalurong Road at Kitaotao</t>
  </si>
  <si>
    <t>(GO)  2ND INVITATION TO BID FOR THE SUPPLY AND DELIVERY OF 12, 750 MONOBLOCK CHAIRS    FOR THE  GOVERNOR’S OFFICE (GO)</t>
  </si>
  <si>
    <t>Supply and Delivery of IT Equipment for use of Sangguniang Panlalawigan Office- 2nd Bid</t>
  </si>
  <si>
    <t>Supply and Delivery of Operating Room (OR) Medical Supplies ITB NO. 2020-18</t>
  </si>
  <si>
    <t>(PGSO) 2ND INVITATION TO BID FOR THE SUPPLY AND DELIVERY OF CONSTRUCTION MATERIALS  FOR THE  PROVINCIAL GENERAL SERVICES OFFICE (PGSO)</t>
  </si>
  <si>
    <t>Supply and Delivery of Network Equipment and Supplies for Provincial Wide Networking Connectivity and Direct Corporate Internet of Provl. Govt. (2nd Bid)</t>
  </si>
  <si>
    <t>SUPPLY AND DELIVERY OF FIVE (5) UNITS PEANUT SHELLER</t>
  </si>
  <si>
    <t>Supply and Delivery of One (1) lot Various Supplies and Ingredients for Supplementary Feeding for Day Care Children</t>
  </si>
  <si>
    <t>PHASE II PALAUI SUB STATION (Kitchen &amp; Plastering)</t>
  </si>
  <si>
    <t>Supply and Delivery of One (1) lot Various Information Communication &amp; Technology Equipment (ICTE)</t>
  </si>
  <si>
    <t>EMBANKMENT OF PROPOSED ROAD AND OTHER STRUCTURES AT GREAT PARK, Brgy. 03 Poblacion, Can-avid Eastern Samar</t>
  </si>
  <si>
    <t>Supply and Delivery of One (1) lot Various Office Equipment</t>
  </si>
  <si>
    <t>INVITATION TO BID PRINTING OF MODULES FOR SENIOR HIGH SCHOOLS</t>
  </si>
  <si>
    <t>20IK0099-Concreting of Brgy. Lagundi – Brgy. Pangdan Farm to Market Road,Brgy. Lagundi and Brgy. Pangdan, Catbalogan City, Samar</t>
  </si>
  <si>
    <t>20MC-INFRA-038 Cluster #10 Const./Rehab. of Child Development Centers @ Various Barangays in Masbate City</t>
  </si>
  <si>
    <t>Construction of Flood Control Structure along Cebole-Pinilayan-Sta. Cruz Road (Construction of RC Box Culvert) at Quezon</t>
  </si>
  <si>
    <t>Supply and Delivery of Various Farm Machinery for the Climate Resilient Farm Productivity Support Project (CRFPSP)</t>
  </si>
  <si>
    <t>Procurement and Installation of Closed Circuit Television (CCTV) System &amp; Relocation of the Old CCTV System</t>
  </si>
  <si>
    <t>Construction of 3Sty 6CL, Isidoro Suzara Memorial School, Puerto Galera</t>
  </si>
  <si>
    <t>PURCHASE OF FOUR (4) UNITS SPLIT TYPE AIR CONDITIONERS</t>
  </si>
  <si>
    <t>CONSTRUCTION OF MARKET STALL-PHASE I</t>
  </si>
  <si>
    <t>2020-07-0997-1000 - Supply and Delivery of Assorted Goods for SFP Implementation</t>
  </si>
  <si>
    <t>Invitation To Bid</t>
  </si>
  <si>
    <t>Procurement for the Desilting and Declogging of Creeks</t>
  </si>
  <si>
    <t>20MC-INFRA-040 Cluster #12 Construction of Multi-purpose Buildings @ City Hall &amp; Motorpool Compounds, MAsbate City</t>
  </si>
  <si>
    <t>20MC-INFRA-039 Cluster #11 Const./Rehab. of Multi-purpose Buildings @ Various Barangyas in MAsbate City</t>
  </si>
  <si>
    <t>Provision and  Distribution of Quality Vegetable Seeds and Other Supplies for  OMA and IPAO 2nd Bid</t>
  </si>
  <si>
    <t>Procurement of Patrolling Equipment in Support to Marine Protection Area Management – MENRO 2nd Bid</t>
  </si>
  <si>
    <t>Demolition and Relocation of Existing Satellite Clinic and Tanod Outpost (Negotiated Procurement - Two Failed Bidding) / Contract No. NP IF 2020-07-001</t>
  </si>
  <si>
    <t>Procurement of Construction Materials for Construction of Spider Lily Production Area</t>
  </si>
  <si>
    <t>Construction of Comfort Room</t>
  </si>
  <si>
    <t>CONSTRUCTION OF MATERIALS RECOVERY FACILITY, MERCED, BANATE, ILOILO</t>
  </si>
  <si>
    <t>S3-B1920-002 (PB2) - Furnishing of Labor and Materials for Dry Docking and Ship Repair of PB 119</t>
  </si>
  <si>
    <t>Construction of Bumasgao Waterworkd</t>
  </si>
  <si>
    <t>S1-B0620-006 - Supply, Delivery and Test of 110 VDC Storage Battery for Power Barge 106</t>
  </si>
  <si>
    <t>City Slaughter House and Facilities</t>
  </si>
  <si>
    <t>S1-PLB20-001 - Supply and Delivery of Spare Parts for 1 x 80kW Cummins Engine, 6BTAA5.9-G2 of Palumbanes DPP</t>
  </si>
  <si>
    <t>Refill of Specialized Gas for CSR Stocking/Sales Purposes</t>
  </si>
  <si>
    <t>Procurement of Outboard Motor Capacity Building for SRR</t>
  </si>
  <si>
    <t>Supply and Delivery of uPVC Pipes with EPDM Rubber Gasket (Re-bidding)</t>
  </si>
  <si>
    <t>Supply, Delivery, Installation, Commissioning and Testing of Jail Service Digital Communications Systems for Region VI</t>
  </si>
  <si>
    <t>Supply, Delivery, Installation, Commissioning, Configuration, Integration and Testing of Regional Jail Service Intelligence Center BJMP RO XI</t>
  </si>
  <si>
    <t>Reproduction and delivery of printed learning modules</t>
  </si>
  <si>
    <t>Repair of BJMP NHQ 2020</t>
  </si>
  <si>
    <t>Construction of 1 Barrel (2.4m. x 1.8m.) Spillway Type Box Culvert along Jct. Capinonan-Mauswagon Freedom Road at Cabanglasan</t>
  </si>
  <si>
    <t>Purchase of Materials  for Compliance to the Protocol on COVID 19 Preventive  Measures by Establishing Facilities Needed Lot 1,2,3,4</t>
  </si>
  <si>
    <t>PROVISION OF ADDITIONAL FISHING GEARS AS AN ALTERNATIVE LIVELIHOOD TO MUNICIPAL MODIFIED DANISH SEINE (HULBOT – HULBOT DE MANO)</t>
  </si>
  <si>
    <t>SUPPLY AND DELIVERY OF MISTING MACHINE (ITB No. 2020-145-B)-(pgo-pdrrmd)</t>
  </si>
  <si>
    <t>Establishment of Drainage System at Ogaong, Sto. Niño FMR</t>
  </si>
  <si>
    <t>Supply and Delivery of One (1) lot Various Materials for Construction of Retaining Wall of the Proposed Lot Area for Multi-Purpose Covered Court Building (Phase I) Balugo</t>
  </si>
  <si>
    <t>SUPPLY AND DELIVERY OF IT EQUIPMENT FOR CULTURAL HERITAGE CENTER EQUIPMENT, MSU MAIN CAMPUS, MARAWI CITY</t>
  </si>
  <si>
    <t>CONSTRUCTION OF NATIONAL CHILD DEVELOPMENT CENTER (RE-POST)</t>
  </si>
  <si>
    <t>20IJ-0089 CONSTRUCTION OF RAINWATER COLLECTION SYSTEM (RWCS),</t>
  </si>
  <si>
    <t>SUPPLY AND DELIVERY OF FURNITURE &amp; FIXTURE FOR CULTURAL HERITAGE CENTER EQUIPMENT, MSU MAIN CAMPUS, MARAWI CITY</t>
  </si>
  <si>
    <t>20MC-GOODS-041 Supply &amp; Delivery of Duplicator Machines for City DepEd of LGU - Masbate City</t>
  </si>
  <si>
    <t>20IJ-0088 CONCRETING OF BRGY. DE VICTORIA TO BRGY. SAN ISIDRO FMR, BRGY. DE VICTORIA AND BRGY. SAN ISIDRO, CALBAYOG CITY, SAMAR</t>
  </si>
  <si>
    <t>Prop. Road Side Improvement @ Toledo City Science High School, Brgy. Ilihan, Toledo City</t>
  </si>
  <si>
    <t>ROAD CONCRETING, BRGY. SAN ISIDRO, DULAG LEYTE</t>
  </si>
  <si>
    <t>FURNISHING AND DELIVERY OF PNEUMONIA VACCINE FOR THE IMMUNIZATION OF OFFICIALS AND EMPLOYEES</t>
  </si>
  <si>
    <t>Upgrading/Improvement of JCT Ibud-Victoria Provincial Road (Phase II)-Sablayan, Occidental Mindoro</t>
  </si>
  <si>
    <t>Concreting of Barangay Road at Brgy. Bagumbayan-Ilajas</t>
  </si>
  <si>
    <t>Prop. Pavement Resurfacing/ Asphalt Overlay Along S. Osmeña Sr. St. (Brgys. Poblacion, Luray 2 and Sangi), Sta. 0+860-Sta. 2+160, Toledo City</t>
  </si>
  <si>
    <t>For Information Education Campaign of CDRRM Office, Bago City</t>
  </si>
  <si>
    <t>Delivery and Supply of One(1) Unit Heavy Equipment/Dump Truck (Brand New)</t>
  </si>
  <si>
    <t>20DJ0105-Rain Water Collectors in Public Facilities- Region IV- A</t>
  </si>
  <si>
    <t>Invitation to Bid for the Upgrading of Kamatis Road</t>
  </si>
  <si>
    <t>Service Provider for Technical Personnel, Drivers and Administrative Aide/Encoders  (ITB 03-2020)</t>
  </si>
  <si>
    <t>Procurement of Floating Ball Buoy</t>
  </si>
  <si>
    <t>PROCUREMENT OF INTRA-AORTIC BALLOON PUMP (IABP) ITB No. 2020-25</t>
  </si>
  <si>
    <t>Procurement of Various Drugs and Medicines (Re-Bidding) ITB#2020-17</t>
  </si>
  <si>
    <t>SUPPLY AND DELIVERY OF MULTIPURPOSE SHREDDER REDUCTION MACHINE</t>
  </si>
  <si>
    <t>Purchase of Computers for CY 2020</t>
  </si>
  <si>
    <t>PR-2020-1285 One (1) Unit Brand new Pick-Up Vehicle-PGO</t>
  </si>
  <si>
    <t>CY 2020 Quick Response Fund (QRF)- Repair and Rehabilitation of Classrooms damaged by Fire Incidents and Various Calamities and Construction of Slope Protection of School Building- Lot 7</t>
  </si>
  <si>
    <t>20LB0318 - Construction of Rainwater Collector System (RWCS)  a.) Tapak National High School, Davao City;  b.) Tapak Elementary School, Davao City;  c.) Salapawan Elementary School, Davao City;  d.) P</t>
  </si>
  <si>
    <t>Construction of Semi Private Room Building Lasam District Hospital, Lasam, Cagayan</t>
  </si>
  <si>
    <t>IMPROVEMENT OF SENIOR CITIZEN CENTER</t>
  </si>
  <si>
    <t>20LB0315 - Repair/Rehabilitation of Buhangin Underpass Pumping Station, Km 1504+551, Davao City</t>
  </si>
  <si>
    <t>Rehabilitation of Solar Streetlights, Cory Aquino Boulevard, Camarines Norte</t>
  </si>
  <si>
    <t>Procurement of Commercial Rice</t>
  </si>
  <si>
    <t>20PI0098 - Improvement and rehabilitation of Sadsadan-Balicanao-Salin Access Road, Bauko, Mountain Province</t>
  </si>
  <si>
    <t>Supply and Delivery of Medical Equipment (PR No. 2020-06-0597, 2020-02-0122)</t>
  </si>
  <si>
    <t>SUPPLY AND DELIVERY OF PASSENGER TYPE VAN (ITB No. 2020-130-C)-(pgo-pdrc)</t>
  </si>
  <si>
    <t>20AD0110 : Construction of Classrooms Candon Information Technology NHS,     Candon City, Ilocos Sur</t>
  </si>
  <si>
    <t>ESTABLISHMENT OF THREE (3) UNITS OF SMALL WATER IMPOUNDING SYSTEM (SWIS) AT BRGY. CAAGUTAYAN, SAN TEODORO, ORIENTAL MINDORO</t>
  </si>
  <si>
    <t>20G00106 - Construction of Permanent Evacuation Center/Multi-Purpose Covered Court (Standard)</t>
  </si>
  <si>
    <t>ROAD CONCRETING, BRGY. RIZAL, DULAG LEYTE</t>
  </si>
  <si>
    <t>Construction/Expansion of Camarines Norte, Provincial Hospital Building, Bagasbas Road, Daet, Camarines Norte</t>
  </si>
  <si>
    <t>REHABILITATION OF MULTI-PURPOSE HALL</t>
  </si>
  <si>
    <t>20PI0097 - CSSP - Bontoc - Mainit - Sagada Road leading to Guina-ang Rice Terraces, Mainit Hotsprings, Bomod-ok Falls, Mountain Province</t>
  </si>
  <si>
    <t>Purchase of Additional Materials for the Coastal Resource Management Program - M.E.O.</t>
  </si>
  <si>
    <t>HOSPITAL EQUIPMENT</t>
  </si>
  <si>
    <t>Procurement of 2 Units Motor Vehicle (Sports Utility Vehicle) for the use of the Ilocos Norte Police Provincial Office</t>
  </si>
  <si>
    <t>20CSD004:CONSULTING SERVICES FOR THE CONDUCT OF FEASIBILITY STUDY OF MALVAR - BALETE DIVERSION ROAD, BATANGAS</t>
  </si>
  <si>
    <t>Purchase of Materials for the Improvement of Buenavista Drainage System (Phase II) - M.E.O.</t>
  </si>
  <si>
    <t>PR No. 20061132 – Supply and Delivery of Police, Military&amp; Security Equipment for CNPJ Security Supplies Use</t>
  </si>
  <si>
    <t>Farm Mechanization as Climate Change Adaptation Measures to Build the Resiliency of ARBs under SLSDAA-CRFPS_Farm Inputs</t>
  </si>
  <si>
    <t>PR# 20-1897- Office Equipments</t>
  </si>
  <si>
    <t>20AD0111 : Construction of Classrooms Santa Central School, Santa, Ilocos Sur</t>
  </si>
  <si>
    <t>Procurement of Supply and Delivery of ICT Supplies</t>
  </si>
  <si>
    <t>Road Upgrading of Cadawingan-Guinatungan Road, Brgy. Guinatungan&amp;Brgy. Plaridel, Basud, Camarines Norte</t>
  </si>
  <si>
    <t>20CSD003: CONSULTING SERVICES FOR THE CONDUCT OF FEASIBILITY STUDY OF PARIAN – SAN JOSE – BUCAL BYPASS ROAD</t>
  </si>
  <si>
    <t>PROCUREMENT AND INSTALLATION OF AIR-CONDITIONING UNITS FOR THE OFFICES &amp; CLASSROOMS OF THE NFSTI</t>
  </si>
  <si>
    <t>SUPPLY AND DELIVERY OF SAN FRANCISCO, AGUSAN DEL SUR BARANGAY TANOD'S UNIFORM FOR BARANGAY PEACE AND ORDER ACTIVITIES, SFADS</t>
  </si>
  <si>
    <t>20CSDM01 – Consultancy Services for the Conduct of Preliminary Detailed Engineering (Parcellary Survey) along Padre Burgos-Pototanin Road, Province of Quezon</t>
  </si>
  <si>
    <t>Procurement of Forest and Fruit Trees to reforest/rehabilitate 7,000 hectares degraded forest land and to provide sustainable and environment friendly livelihood to lowland and upland areas</t>
  </si>
  <si>
    <t>ITB No. (INF) 2020-07-109 CONCRETING OF BARANGAY 7 TO ROXAS ROAD, Brgy. 7, Giporlos, Eastern Samar</t>
  </si>
  <si>
    <t>Lot 1: Supply and Delivery of Electrical Supplies for Maintenance of School Lighting/Wiring System (PR No. 2020-02-0095, 2020-02-0096, 2020-02-0200) Lot 2: Supply and Delivery of Electrical Tools and</t>
  </si>
  <si>
    <t>PURCHASE OF ONE UNIT RESCUE/ MULTI-PURPOSE VEHICLE OF BRGY. CAMALANDA-AN, CAUAYAN. NEGROS OCCIDENTAL</t>
  </si>
  <si>
    <t>SUPPLY AND DELIVERY OF OFFICE SUPPLIES FOR CULTURAL HERITAGE CENTER EQUIPMENT, MSU MAIN CAMPUS, MARAWI CITY</t>
  </si>
  <si>
    <t>Vehicles - Purchase of One (1) Unit Motor Vehicle - Duero, Bohol</t>
  </si>
  <si>
    <t>ITB 20-0073 - Supply and Delivery of Various Hospital Equipment.</t>
  </si>
  <si>
    <t>ITB No. (INF) 2020-07-108 CONCRETING OF BARANGAY ROAD, Brgy. Dao, Oras, Eastern Samar</t>
  </si>
  <si>
    <t>IMPROVEMENT OF MULTI-PURPOSE ENHANCEMENT CENTER {Rehabilitation of Cultural/Historical Sites (1) Rehab./Imp. Of Cultural/Historical Sites}</t>
  </si>
  <si>
    <t>20GIB0037: Purchase/delivery of Spareparts and supplies for various service vehicles and Heavy Equipment.</t>
  </si>
  <si>
    <t>PROCUREMENT OF VARIOUS MEDICAL EQUIPMENT, DR. JOSE RIZAL MEMORIAL HOSPITAL</t>
  </si>
  <si>
    <t>ESTABLISHMENT OF LOCAL ECONOMIC LIVELIHOOD PROJECTS</t>
  </si>
  <si>
    <t>ITB FOR PROCUREMENT OF UNINTERRUPTED POWER SUPPLY</t>
  </si>
  <si>
    <t>Renovation &amp; Improvement of Provincial Human Resource and Management Office, Capitol Site, Kalibo, Aklan</t>
  </si>
  <si>
    <t>Purchase of 1 Unit Laptop w/ printer to be used at Accounting Office</t>
  </si>
  <si>
    <t>Purchase and Delivery of Office Supplies</t>
  </si>
  <si>
    <t>construction of welcome sign</t>
  </si>
  <si>
    <t>CONSTRUCTION OF PERIMETER FENCE AT SLAUGHTERHOUSE, BRGY. POBLACION, CITY OF ALAMINOS, PANGASINAN</t>
  </si>
  <si>
    <t>Improvement of Multi-Purpose Hall (Bleachers and Pavement)</t>
  </si>
  <si>
    <t>PURCHASE AND INSTALLATION OF CCTV AND DELIVERY OF DDR MATERIALS</t>
  </si>
  <si>
    <t>20GKK0035 – Supply and Delivery of Fuel to be used by DPWH-MOFDEO Service Vehicles and Equipment of All Section</t>
  </si>
  <si>
    <t>Rehabilitation of Municipal Road</t>
  </si>
  <si>
    <t>20MD0134 Concreting of Brgy. Balongis to Brgy. Balabak FMR, Brgy. Balongis and Brgy. Balabak, Pikit, North Cotabato</t>
  </si>
  <si>
    <t>Rehabilitation of Linong-Poblacion Road</t>
  </si>
  <si>
    <t>Expansion of Water System Level II-Phase II in Brgy. Pasi I</t>
  </si>
  <si>
    <t>Construction of Multi-Purpose Drying Pavement</t>
  </si>
  <si>
    <t>20MD0135 Concreting of Brgy. New Panay to Brgy. New Leon FMR, Brgy. New Panay and Brgy. New Leon, Aleosan, North Cotabato</t>
  </si>
  <si>
    <t>Procurement of Civil Work for the Construction of Bucalao Concrete Port, Barangay Bucalao, Al Barka Basilan.</t>
  </si>
  <si>
    <t>Procurement of Civil Works for the Construction of Extension Roro Sitio Lakit, Brgy. Kuhun Lennuh, Al Barka, Basilan.</t>
  </si>
  <si>
    <t>Construction of Multi-Purpose Building at Fortunata Village, Barangay San Isidro, Parañaque City, Metro Manila</t>
  </si>
  <si>
    <t>PROCUREMENT OF CIVIL WORKS FOR THE CONSTRUCTION OF CAMBUG CONCRETE PORT, BRGY. MCAMBUG, AL BARKA, BASILAN.</t>
  </si>
  <si>
    <t>Construction of  Agos River Flood Control                                             Infanta, Quezon</t>
  </si>
  <si>
    <t>Rehabilitation of Fire Alarm, Smoke Detector, Fire Hose System and Fire Exit Stairs, TLJPH, Silay City, Neg. Occ./PEO-2018-3162</t>
  </si>
  <si>
    <t>Pag-IBIG Fund CHQ (PROVISION OF A QUANTITATIVE SURVEY ON LEVELS OF AWARENESS  AND PREFERENCE ON PAG-IBIG FUND PRODUCTS)</t>
  </si>
  <si>
    <t>UPGRADING OF CATABAN BAILEY BRIDGE II TO RCDG (BGY. CATABAN, TAYTAY, PALAWAN)</t>
  </si>
  <si>
    <t>Concrete Paving of Brgy. San Isidro-MH Del Pilar Road, Rural Access(Road Upgrading), Brgy. San Isidro-MH Del Pilar, Pontevedra, Neg. Occ./PEO-2020-0988</t>
  </si>
  <si>
    <t>PURCHASE OF MATERIALS FOR THE ROAD IMPROVEMENT AT SAN SEBASTIAN ST. (DAWIS), BRGY. 13 (SAN JUAN ST. TO PALANCA ST.)</t>
  </si>
  <si>
    <t>SUPPLY &amp; DELIVERY OF VARIOUS MECHANICAL SPARE PARTS UNIT 4 FOR 315KW FG WILSON PERKINS MODEL NO. 2506A-E15TAG3, SERIAL NO. MGDF7150U10595A INTENDED FOR MARIPIPI DPP</t>
  </si>
  <si>
    <t>SUPPLY &amp; DELIVERY OF VARIOUS MECHANICAL SPARE PARTS FOR 163KW PERKINS GENSET MODE NO.L: 2006-TGI, SERIAL NO. 48 INTENDED FOR STO NINO DPP</t>
  </si>
  <si>
    <t>Widening of Road Lot 2 with Drainage and Streetlights</t>
  </si>
  <si>
    <t>CONSTRUCTION OF FENCE/SEAWALL</t>
  </si>
  <si>
    <t>THE PURCHASE OF MATERIALS FOR THE ROAD IMPROVEMENT OF STA. ANA ST., BRGY. 30 &amp; 31 (FROM EXISTING PAVEMENT-LUZURIAGA ST.)</t>
  </si>
  <si>
    <t>CONSTRUCTION OF PAGANGAN LEVEL II PWS</t>
  </si>
  <si>
    <t>PURCHASE OF MATERIALS FOR THE ROAD IMPROVEMENT AT JUNCTION BURGOS AND SAN JUAN STREETS (SAN JUAN TO RECLAMATION AREA) (BURGOS TO BRIDGE)</t>
  </si>
  <si>
    <t>PURCHASE OF MATERIALS FOR IMPROVEMENT OF FACILITIES AT SOCIAL DEVELOPMENT CENTER, BRGY. SINGCANG-AIRPORT, BACOLOD CITY</t>
  </si>
  <si>
    <t>Furnishing of materials for the Construction of Drainage Canal</t>
  </si>
  <si>
    <t>IMPROVEMENT OF SAN MATEO LEVEL III WATER SYSTEM</t>
  </si>
  <si>
    <t>Supply of Labor and Materials for Transmission Line Program along DRT Highway between BS Aquino Avenue and V. Gonzales Street Including Permits</t>
  </si>
  <si>
    <t>IMPROVEMENT OF BARANGAY NEW LEON LEVEL II WATER SYSTEM</t>
  </si>
  <si>
    <t>Supply and Installation of Regulatory and Informatory Signages</t>
  </si>
  <si>
    <t>Construction of slope protection wall at dimatulang creek</t>
  </si>
  <si>
    <t>Construction of flood control at Diana</t>
  </si>
  <si>
    <t>Construction of Tambulan Farm to Market Road (Road to Sitio Anocot) at Brgy. Tambulan , Tayasan, Neg. Or.</t>
  </si>
  <si>
    <t>Construction of flood control at Malasin</t>
  </si>
  <si>
    <t>Improvement of Road (GAD) Mataddong, Bantay</t>
  </si>
  <si>
    <t>Construction of Perimeter Fence at Brgy. Poblacion, Tolosa, Leyte</t>
  </si>
  <si>
    <t>PURCHASE OF ONE PICK UP TRUCK FOR USE OF CDRRMO CAVITE CITY</t>
  </si>
  <si>
    <t>20EB0134: Completion of Evacuation Center, Sto. Niño, Sablayan, Occidental Mindoro</t>
  </si>
  <si>
    <t>Construction of Minanga slope protection at bridge approach</t>
  </si>
  <si>
    <t>20FK0060-Cluster XV Repair/Maintenance of Barn House II, and Repair of Maintenance of DPWH Quarters Cabid-an and Guinlajon, Sorsogon City</t>
  </si>
  <si>
    <t>20GCB0008: Resurfacing of Shoulders along Gov. J.J. Linao Road (SO4822LZ) Binukawan Section (Both Sides) Bagac, Bataan</t>
  </si>
  <si>
    <t>PURCHASE OF ONE (1) UNIT LAPTOP FOR LAMAK CS</t>
  </si>
  <si>
    <t>CONST. OF TIAONG MUN. HOSPITAL (HOSPITAL LIFT ELEVATOR/RESTRUCTURING/ROOFING)-MUNICIPAL GROUND, BRGY.POB.3</t>
  </si>
  <si>
    <t>INVITATION TO BID FOR LABOR AND MATERIALS FOR THE IMPROVEMENT/ENHANCEMENT OF HISTORICAL SITES</t>
  </si>
  <si>
    <t>IMPROVEMENT OF JCT. SALINAS-MAPAYAO-BINALIAN-BABADI-PINAYAG-NANSIAKAN ROAD Located at Kayapa, Nueva Vizcaya</t>
  </si>
  <si>
    <t>PURCHASE OF LAPTOP FOR EBEIS ROOM OF HILONGOS SOUTH CENTRAL SCHOOL</t>
  </si>
  <si>
    <t>RECONSTRUCTION OF TUCAL BRIDGE APPROACH (ABUTMENT &amp; WATERWAY) Located at Solano, Nueva Vizcaya</t>
  </si>
  <si>
    <t>Installation of Pipeline at Bagumbayan, Pilar, Bataan</t>
  </si>
  <si>
    <t>SUPPLY &amp; DELIVERY OF VARIOUS MECHANICAL SPARE PARTS FOR 163KW PERKINS GENSET MODEL: 2006-TGI, SERIAL NO. 52/ENGINE NO.:8B27396U86224V  INTENDED FOR SAN VICENTE DPP</t>
  </si>
  <si>
    <t>Improvement of Pathways along NRRES, L. Millan and P. Ramos St., Brgy. Poblacion West, Asingan, Pangasinan.</t>
  </si>
  <si>
    <t>Construction of 2 units palay shed</t>
  </si>
  <si>
    <t>Road Opening of Macnit-Languyin     	  Polillo, Quezon</t>
  </si>
  <si>
    <t>IMPROVEMENT OF BACOLOD ARTS CENTER, BCNHS CPD., BRGY. TACULING, BACOLOD CITY</t>
  </si>
  <si>
    <t>REHABILITATION OF CVR BAYOMBONG-MASOC-AMBAGUIO ROAD (AMBAGUIO SECTION) Located at Ambaguio, Nueva Vizcaya</t>
  </si>
  <si>
    <t>Construction of Drainage Canal (GAD) All Puroks, Bagumbayan</t>
  </si>
  <si>
    <t>20II0064, Concreting of Brgy. Bangon to Brgy. Bonifacio to Brgy. Lonoy FMR, Brgy. Bangon, Brgy. Bonifacio &amp; Lonoy, Gamay Northern Samar</t>
  </si>
  <si>
    <t>Construction of Information research center for farmers</t>
  </si>
  <si>
    <t>Construction of Hanging Footbridge at Barangay Buntalan  Connecting Tigum River-Abay, Maasin, Iloilo</t>
  </si>
  <si>
    <t>CONSTRUCTION OF DRUG REHABILITATION CENTER BRGY. ALIJIS, BACOLOD CITY</t>
  </si>
  <si>
    <t>CONSTRUCTION OF ARINGAY FIRE STATION, LA UNION, CY 2020 (REBIDDING)</t>
  </si>
  <si>
    <t>PROCUREMENT OF CONSTRUCTION MATERIALS FOR THE REHABILITATION OF TEMPORARY SHELTERS</t>
  </si>
  <si>
    <t>Construction of Shoreline Protection at Brgy. San Antonio</t>
  </si>
  <si>
    <t>PURCHASE OF 50 sacks of Rice</t>
  </si>
  <si>
    <t>20GCB0009: Procurement of Network Equipment and Cables, DPWH-Bataan 2nd DEO</t>
  </si>
  <si>
    <t>SUPPLY &amp; DELIVERY OF VARIOUS MECHANICAL SPARE PARTS FOR 80KW CUMMINS.  MODEL 6BTAA5.9-G2; SERIAL NO.: M-C110 INTENDED FOR MINI GRID STO NINO</t>
  </si>
  <si>
    <t>Concreting of Montay - USM Road</t>
  </si>
  <si>
    <t>PURCHASE OF FLAT SCREEN TV</t>
  </si>
  <si>
    <t>Continuation of Multi-Purpose Pavement @ Mapaoay, Ipil</t>
  </si>
  <si>
    <t>Construction of Box Culvert @ Balani, Lucog</t>
  </si>
  <si>
    <t>Supply and Delivery of Various Medicines &amp; Medical Supplies for Rural Health Unit (1st - 3rd Quarter)</t>
  </si>
  <si>
    <t>Supply and Delivery of Service Land Rescue Vehicle (Pick up Rescue Car)</t>
  </si>
  <si>
    <t>CONCRETING OF CVR BASCARAN-SINGIAN-AGGUB ROAD Located at Solano, Nueva Vizcaya</t>
  </si>
  <si>
    <t>Covered Walk @ Bulanao CS, Bulanao Norte</t>
  </si>
  <si>
    <t>Improvement of Road @ Saranay, Laya East</t>
  </si>
  <si>
    <t>Construction of Deep Well &amp; Shed (GAD) Madopdop, Lacnog</t>
  </si>
  <si>
    <t>Irrigation System Counterpart to NIA (GAD) Namnama, Laya West</t>
  </si>
  <si>
    <t>Improvement of Road @ Bayabat, Dilag</t>
  </si>
  <si>
    <t>Upgrading and Improvement of Kaytitinga JCT- Pilipit - Baliwag Roat at Kaytitinga Section, at Barangay Kaytitinga I, Alfonso, Cavite.</t>
  </si>
  <si>
    <t>Improvement of Road (GAD) Balacang St, Magsaysay</t>
  </si>
  <si>
    <t>SUPPLY &amp; DELIVERY OF VARIOUS MECHANICAL SPARE PARTS FOR 100KW CUMMINS.  MODEL 6BTA59G2; SERIAL NO.: 78333492 INTENDED FOR LIMASAWA DPP</t>
  </si>
  <si>
    <t>Upgrading and Improvement of Mendez - Alfonso Road at Barangay Panungyan, Mendez, Cavite.</t>
  </si>
  <si>
    <t>REHAB./UPGRADING OF CADINGRASAN BRIDGE Located at Villaverde, Nueva Vizcaya</t>
  </si>
  <si>
    <t>Protection Wall @ Purok 3, Cabaritan</t>
  </si>
  <si>
    <t>CONSTRUCTION OF WATER SYSTEM</t>
  </si>
  <si>
    <t>Concreting of Road @ Employees Village, Bulanao</t>
  </si>
  <si>
    <t>B20200280 - FUEL FOR IMPV'T. OF MABAUS-SALVACION PROV'L. ROAD CONTINUING ROAD OPENING, CARMEN, DDN</t>
  </si>
  <si>
    <t>Upgrading and Improvement of Maragondon - General E. Aguinaldo Road at Barangay Mabato, Maragondon, Cavite.</t>
  </si>
  <si>
    <t>VARIOUS LABORATORY SUPPLIES</t>
  </si>
  <si>
    <t>Construction of 1-Unit 2-Storey Isolation Building with Amenities (Phase 1)</t>
  </si>
  <si>
    <t>CONCRETING OF BARANGAY ROAD @ ZONE 6</t>
  </si>
  <si>
    <t>B20200282 - FUEL FOR VARIOUS LOCAL ROADS &amp; DRAINAGE DEV'T. PRJ. (REVISED) BE DUJALI (3RD QTR.)</t>
  </si>
  <si>
    <t>Concreting of Kiloyao Road</t>
  </si>
  <si>
    <t>IMPROVEMENT OF DRAINAGE CANAL</t>
  </si>
  <si>
    <t>B20200281 - FUEL FOR REHAB OF FD. RD 3 SAN JOSE PROV'L. RD (PHASE I), STO TOMAS, DDN</t>
  </si>
  <si>
    <t>DIETARY SUPPLEMENTATION FOR PREGNANT WOMEN</t>
  </si>
  <si>
    <t>CONSTRUCTION OF MRF</t>
  </si>
  <si>
    <t>RECONSTRUCTION OF LABBUNAN BRIDGE (ABUTMENT &amp; WATERWAY) Located at Villaverde, Nueva Vizcaya</t>
  </si>
  <si>
    <t>Purchase/Upgrading of Health Facilities and Equipment, Maasin, Iloilo</t>
  </si>
  <si>
    <t>B20200278 - MEDICAL SUPPLIES FOR DDNH-KAPALONG ZONE</t>
  </si>
  <si>
    <t>FURNISHING OF LABOR AND MATERIALS FOR THE CONSTRUCTION OF MULTIPURPOSE GYM/ EVACUATION CENTER OF BARANGAY NAPNAPAN NORTE, SITIO NASULI, TIGBAUAN, ILOILO</t>
  </si>
  <si>
    <t>B20200283 - ELECTRICAL SUPPLIES FOR DNSTC GROUND AND BUILDING MAINTENANCE</t>
  </si>
  <si>
    <t>20EB0135: Construction of Evacuation Center/Multi-Purpose Center, Salvacion Elementary School, Salvacion, Rizal, Occidental Mindoro</t>
  </si>
  <si>
    <t>Rehabilitation of Cover Court</t>
  </si>
  <si>
    <t>Construction Of Drainage Canal @ All Puroks 2 &amp; 3, Bulanao Norte</t>
  </si>
  <si>
    <t>B20200279 - POULTRY BREEDER PARENT STOCK FEMALE AND MALE FOR MULTIPLIER FARM AT TALAINGOD, DDN</t>
  </si>
  <si>
    <t>B20200277 - FURNITURES AND FIXTURES FOR DDNH-KAPALONG ZONE</t>
  </si>
  <si>
    <t>Improvement of Road @ Isla Basao, San Juan</t>
  </si>
  <si>
    <t>REPAIR/IMPROVEMENT OF DAYCARE CENTER</t>
  </si>
  <si>
    <t>Construction of drainage canal system phase II</t>
  </si>
  <si>
    <t>20EB0137: Construction of Protection Dike/Sea Wall, Brgy. V, San Jose, Occidental Mindoro</t>
  </si>
  <si>
    <t>PROCUREMENT OF RADIOLOGIC EQUIPMENT  (ULTRASOUND &amp; FULL DIGITAL MOBILE X-RAY MACHINE)</t>
  </si>
  <si>
    <t>20-DO-0087: LOCAL PROGRAM – Local Infrastructure Program – Buildings and other Structures – Multipurpose/Facilities – Construction of Multi-purpose Building (Barangay Health Center), Sub-Urban Village</t>
  </si>
  <si>
    <t>Provision of 1-Unit Disaster Risk Reduction &amp; Management (DRRM) Quick Response Vehicle</t>
  </si>
  <si>
    <t>20EB0136: Construction of Drainage Canal, Purok Luban, San Roque I, San Jose, Occidental Mindoro</t>
  </si>
  <si>
    <t>20DL0232 - CONCRETING OF BAGONG SILANG FMR, BRGY. BAGONG SILANG, TAGKAWAYAN, QUEZON</t>
  </si>
  <si>
    <t>Purchase of Motorcycle Barangay Patrol</t>
  </si>
  <si>
    <t>Procurement of Laboratory Supplies for the use of Dr. Rafael S. Tumbokon Memorial Hospital-EEDD, Kalibo, Aklan- Re Bidding/ITB no: 2020-400</t>
  </si>
  <si>
    <t>Supply and Delivery of Materials to be used in the Concreting Roads in 8 Different Barangays, Naujan, Oriental Mindoro</t>
  </si>
  <si>
    <t>Enhancing Rice Agricultural Productivity under CRFPS-MCBBFP_Farm Inputs</t>
  </si>
  <si>
    <t>20BD0016 – RE-AD - LOCAL PROGRAM – LOCAL INFRASTRUCTURE PROGRAM – BUILDINGS AND OTHER STRUCTURES – MULTIPURPOSE/FACILITIES – REHABILITATION OF MULTI-PURPOSE BUILDING, BRGY. ROMA NORTE, ENRILE, CAGAYAN</t>
  </si>
  <si>
    <t>CONCRETING OF BARANGAY ROAD AT BRGY. BUKAL TAYSAN BATANGAS-077</t>
  </si>
  <si>
    <t>Various Office Equipment for Different Departments/Offices Province of Northern Samar</t>
  </si>
  <si>
    <t>B20200286 - FUEL FOR REHAB OF JCT HWAY GUADALUPE-BDRY. TAGUM PROV'L. ROAD (PHASE I) CARMEN, DDN 4TH QTR.</t>
  </si>
  <si>
    <t>Construction of Barangay Barrido Health Station</t>
  </si>
  <si>
    <t>Supply of materials for renovation/rehabilitation/improvement of Multi-Purpose Hall</t>
  </si>
  <si>
    <t>Construction of overflow concrete bridge phase II</t>
  </si>
  <si>
    <t>Supply &amp; Delivery of Riso Graph Machine for use in reproduction of modules (DepEd-Maasin).</t>
  </si>
  <si>
    <t>20BD0015 – RE-AD - LOCAL PROGRAM – LOCAL INFRASTRUCTURE PROGRAM – BUILDINGS AND OTHER STRUCTURES – MULTIPURPOSE/FACILITIES – REHABILITATION OF MULTI-PURPOSE BUILDING, BRGY. MASICAL, AMULUNG, CAGAYAN</t>
  </si>
  <si>
    <t>ROAD CONCRETING OF TOBACCO PRODUCING BARANGAY (CAMAAL)</t>
  </si>
  <si>
    <t>Concreting of Binatug-Luzcon Gangalan Road Section</t>
  </si>
  <si>
    <t>CONSTRUCTION OF ONE(1) UNIT GPG-TYPE SCHOOL BUILDING AT STO. NIÑO  E/S TAYSAN,BATANGAS-075</t>
  </si>
  <si>
    <t>Construction of Water Supply System Level II-Ilin Island, San Jose, Occidental Mindoro</t>
  </si>
  <si>
    <t>SUPPLY AND DELIVERY OF OFFICE SUPPLIES, I.T. AND OFFICE EQUIPMENT</t>
  </si>
  <si>
    <t>Procurement of Managed Cloud Services</t>
  </si>
  <si>
    <t>20BD0013 – RE-AD -LOCAL PROGRAM – LOCAL INFRASTRUCTURE PROGRAM – BUILDINGS AND OTHER STRUCTURES – MULTIPURPOSE/FACILITIES – CONSTRUCTION OF MULTI-PURPOSE BUILDING IN STA. TERESA ELEMENTARY SCHOOL, BRG</t>
  </si>
  <si>
    <t>20EB0138: Construction of Flood Control Structure, Malisbong, Sablayan, Occidental Mindoro</t>
  </si>
  <si>
    <t>SUPPLY, DELIVERY, INSTALLATION AND COMMISSIONING OF VARIOUS OB-GYNE EQUIPMENT</t>
  </si>
  <si>
    <t>Procurement of Labor and Materials- Contruction of Pumping Station @ Inandawa</t>
  </si>
  <si>
    <t>Rehabilitation of Sapang Buwaya Creek Tributary near Napa &amp; Cervantes Compound, Brgy. Marcelo Green, Parañaque City, Metro Manila</t>
  </si>
  <si>
    <t>Improvement of Farm to Market Road (Regravelling)</t>
  </si>
  <si>
    <t>MDRRM Operation center phase II</t>
  </si>
  <si>
    <t>20-DO-0088: Public Markets/Farmers Markets (Bagsakan Centers) and Public Cemeteries Projects – Expansion of Rodriguez Municipal Public Cemetery</t>
  </si>
  <si>
    <t>INVITATION TO BID FOR THE PROPOSED CONSTRUCTION OF DRAINAGE CANAL AT MANANGKILA ST., VALENCIA CITY, BUKIDNON</t>
  </si>
  <si>
    <t>20ND0078 - Concreting of Purok 6, Brgy. Bonbon FMR, Brgy. Bonbon, Butuan City</t>
  </si>
  <si>
    <t>Upgrading/Concreting of Red Hills Brgy. Road-New Dagupan, Calintaan, Occidental Mindoro</t>
  </si>
  <si>
    <t>20ND0077 - Concreting of Brgy. Lemon to Brgy. Basag FMR, Brgy. Lemon and Brgy. Basag, Butuan City,  Agusan del Norte 1st  LD</t>
  </si>
  <si>
    <t>Purchase of Musical Instruments for Ajuy National High School</t>
  </si>
  <si>
    <t>20EB0139: Construction of Flood Control Gabions, Sitio Manggahan, Cabacao, Abra de Ilog, Occidental Mindoro</t>
  </si>
  <si>
    <t>20ND0076 - Concreting of Purok 3, Sitio Kabacungan, Brgy. Kinamlutan to Sitio Mandakpan, Brgy. San Vicente FMR, Butuan City Agusan del Norte 1st LD</t>
  </si>
  <si>
    <t>20BD0024 – RE-AD - LOCAL PROGRAM – LOCAL INFRASTRUCTURE PROGRAM – BUILDINGS AND OTHER STRUCTURES – MULTIPURPOSE/FACILITIES – CONSTRUCTION OF MULTI – PURPOSE BUILDING, BRGY. SAN ROQUE, ENRILE, CAGAYAN</t>
  </si>
  <si>
    <t>20BD0019 – RE-AD - LOCAL PROGRAM – LOCAL INFRASTRUCTURE PROGRAM – BUILDINGS AND OTHER STRUCTURES – MULTIPURPOSE/FACILITIES – REHABILITATION OF MULTI-PURPOSE BUILDING, BRGY. BANGAG, SOLANA, CAGAYAN</t>
  </si>
  <si>
    <t>BARANGAY SPRING, KIORAO, GUTAPOL &amp; LABUAGON WATER SYSTEM</t>
  </si>
  <si>
    <t>20BD0039 – RE-AD - LOCAL PROGRAM - LOCAL INFRASTRUCTURE PROGRAM - BUILDINGS AND OTHER STRUCTURES - MULTIPURPOSE/FACILITIES - CONSTRUCTION OF MULTI-PURPOSE BUILDING, BRGY. LOGUNG, AMULUNG, CAGAYAN</t>
  </si>
  <si>
    <t>Purchase of Rescue Vehicles for use of City Disaster Risk Reduction and Management Office</t>
  </si>
  <si>
    <t>SUPPLY AND DELIVERY OF VARIOUS MECHANICAL SPARE PARTS FOR 192.5KW FG WILSON INTENDED FOR GUINTARCAN DPP</t>
  </si>
  <si>
    <t>SUPPLY AND DELIVERY OF IT PARAPHERNALIA FOR REPAIR AND MAINTENANCE OF ICT EQUIPMENT (2ND POSTING)</t>
  </si>
  <si>
    <t>CONCRETING OF BARANGAY ROAD AT BRGY, MATAAS NA LUPA TAYSAN BATANGAS-078</t>
  </si>
  <si>
    <t>Purchase of Office Equipment for the Year 2020</t>
  </si>
  <si>
    <t xml:space="preserve">20BD0037 – RE-AD - ORGANIZATIONAL OUTCOME 1: ENSURE SAFE AND RELIABLE NATIONAL ROAD SYSTEM, NETWORK DEVELOPMENT PROGRAM – BRIDGE PROGRAM – WIDENING OF PERMANENT BRIDGES, TAGGA BRIDGE (B01908LZ) ALONG </t>
  </si>
  <si>
    <t>Supply and delivery of 184 sacks good quality white rice and 23 units weighing scales, fabrication of 14 units Nego karts, 40 units pedicabs and tools, equipment, grocery items for the implementation</t>
  </si>
  <si>
    <t>CONCRETING OF MUNICIPAL STREETS (LAPU-LAPU/ GREGORIO DEL PILAR / M.H. DEL PILAR STREET</t>
  </si>
  <si>
    <t>Procurement and Installation of Floating Pontoon</t>
  </si>
  <si>
    <t>CONCRETING OF PILI-KARIHATAG ROAD (SOHOTON SECTION BYPASS)</t>
  </si>
  <si>
    <t>Supply and Delivery of Equipment for Different Offices and Department.</t>
  </si>
  <si>
    <t>PURCHASE OF MULTI-PURPOSE PAPER</t>
  </si>
  <si>
    <t>B20200285 - FUEL FOR REHAB OF JCT HWAY GUADALUPE-BDRY. TAGUM PROV'L. ROAD (PHASE I), CARMEN, DDN 3RD QTR.</t>
  </si>
  <si>
    <t>SUPPLY AND DELIVERY OF VARIOUS ELECTRICAL SPARE PARTS FOR 106 KW CUMMINS INTENDED FOR BOHOL 2 MINI GRID</t>
  </si>
  <si>
    <t>CONCRETING OF BARANGAY ROAD AT BRGY. GUINHAWA TAYSAN BATANGAS-081</t>
  </si>
  <si>
    <t>Purchase of Equipment, Furniture and Fixtures for the Teen Center of Luca National High School</t>
  </si>
  <si>
    <t>ITB FOR PROCUREMENT OF VARIOUS PAINTS</t>
  </si>
  <si>
    <t>20BD0027 – RE-AD - ORGANIZATIONAL OUTCOME 1: ENSURE SAFE AND RELIABLE NATIONAL ROAD SYSTEM, BRIDGE PROGRAM – WIDENING OF PERMANENT BRIDGES, MALABBAC BR. (B01917LZ) ALONG CAGAYAN VALLEY RD. BRGY. MALAB</t>
  </si>
  <si>
    <t>Construction of Heirloom Rice Center in Support to Heirloom Rice Processing and Marketing</t>
  </si>
  <si>
    <t>20BD0025 – RE-AD - LOCAL PROGRAM – LOCAL INFRASTRUCTURE PROGRAM – BUILDINGS AND OTHER STRUCTURES – MULTIPURPOSE/FACILITIES – CONSTRUCTION (COMPLETION) OF MULTI – PURPOSE BUILDING, BRGY. CATARAUAN, AMU</t>
  </si>
  <si>
    <t>SUPPLY AND DELIVERY OF VARIOUS ELECTRICAL SPARE PARTS FOR 300/336KW CUMMINS INTENDED FOR CALUYA DPP</t>
  </si>
  <si>
    <t>20ND0075 - Concreting of Purok 6, Brgy. Bobon FMR, Brgy. Bobon, Butuan City</t>
  </si>
  <si>
    <t>INVITATION TO BID FOR THE PROPOSED CONSTRUCTION OF BAHAY PAG-ASA PHASE II AT POBLACION, VALENCIA CITY, BUKIDNON</t>
  </si>
  <si>
    <t>20BD0018 – RE-AD - LOCAL PROGRAM – LOCAL INFRASTRUCTURE PROGRAM – BUILDINGS AND OTHER STRUCTURES – MULTIPURPOSE/FACILITIES – REHABILITATION OF MULTI-PURPOSE BUILDING IN UGAC ELEMENTARY SCHOOL, BRGY. S</t>
  </si>
  <si>
    <t>Purchase of Risograph needed by the Elementary and High School for the reproduction of their educational materials</t>
  </si>
  <si>
    <t>CONCRETING/CONSTRUCTION OF FARM TO MARKET ROAD</t>
  </si>
  <si>
    <t>PROCUREMENT OF  GOAT AND SHEEP  ( INCLUDE SKILLS TRAINING)</t>
  </si>
  <si>
    <t>Supply and Delivery of Information Technology Equipment</t>
  </si>
  <si>
    <t>CONCRETING OF BARANGAY ROAD AT BRGY. BACAO, TAYSAN BATANGAS-082</t>
  </si>
  <si>
    <t>REPAIRS OF OLD PIGGERY 1 &amp; 2 AT OMSC MURTHA DAMAGED BY TYPHOON URSULA</t>
  </si>
  <si>
    <t>Procurement for the Supply and Delivery of Various Personal Protective Equipment (PPE), Municipal Disaster Risk Reduction Management Office, Barugo, Leyte</t>
  </si>
  <si>
    <t>20GDB0038 Supply of Materials for the Repair/Maintenance of various Service Vehicle and Heavy Equipment of Maintenance Section of DPWH Batangas I DEO</t>
  </si>
  <si>
    <t>PURCHASE OF PLASTIC CHAIRS</t>
  </si>
  <si>
    <t>Procurement for the Supply and Delivery of Various Medicines,  Municipal Health Office, Barugo, Leyte</t>
  </si>
  <si>
    <t>20EB0140: Construction of Gabions File Flood Control Protection, Zone 1 – Zone 5, Ilvita, Sablayan, Occidental Mindoro</t>
  </si>
  <si>
    <t>PROCUREMENT OF 1-UNIT HIGH-END ROUTER UNDER MITHI FOR CY2020 (2ND BIDDING)</t>
  </si>
  <si>
    <t>PROCUREMENT OF MATERIALS FOR THE CONST. OF PATHWAY PUROK 1 TO 7</t>
  </si>
  <si>
    <t>Supply and Delivery of Rice funded from Emerging/Re-emerging Disease Program/COVID-19 under PR No. 2020-06-2808</t>
  </si>
  <si>
    <t>SUPPLY AND DELIVERY OF ICT EQUIPMENT UNITS AND HARDWARE PERIPHERALS CY 2020</t>
  </si>
  <si>
    <t>SUPPLY AND DELIVERY OF HARDWARE MATERIALS FOR THE REHABILITATION OF PUBLIC MARKET, BGY. POBLACION,  THIS MUNICIPALITY /2020-007</t>
  </si>
  <si>
    <t>SUPPLY AND DELIVERY OF READING EYEGLASSES INTENDED FOR HALAD SA GUGMA ALANG KANG LOLO UG LOLA TO SENIOR CITIZENS OF 51 LGU’s OF CEBU PROVINCE</t>
  </si>
  <si>
    <t>Supply and Delivery of Plants to be used for the Second Phase Greening at Jose Abad Santos Avenue Center Island in the City of San Fernando, Pampanga</t>
  </si>
  <si>
    <t>SUPPLY AND DELIVERY OF 16,300 PIECES OF BRGY.TANOD T-SHIRTS (POLO, WITH PRINT, DRI-FIT CLOTH) FOR DISTRIBUTION OF T-SHIRTS TO BARANGAY TANODS IN CEBU PROVINCE</t>
  </si>
  <si>
    <t>Relocation of Streetlights System, Salcedo St., Brgy. Capaoay, San Jacinto, Pangasinan</t>
  </si>
  <si>
    <t>CONSTRUCTION/CONCRETING OF PROVINCIAL ROADS, HIGHWAYS AND BRIDGES (PILI-KARIHATAG ROAD SOHOTON SECTION BYPASS) (PHASE-II)</t>
  </si>
  <si>
    <t>SUPPLY AND DELIVERY OF OFFICE SUPPLIES AND EQUIPMENT NOT AVAILABLE AT PROCUREMENT SERVICE (PS)-DEPOT INTENDED FOR DIFFERENT OFFICES FOR CY 2020, THIS MUNICIPALITY</t>
  </si>
  <si>
    <t>20GDB0039 Purchase of Consumables for Repair/Maintenance of Photocopier Machine (Sharp DX-2500) DPWH - Batangas I DEO</t>
  </si>
  <si>
    <t>Laboratory Reagents Subject to Ordering Agreement (REBID)</t>
  </si>
  <si>
    <t>Procurement of Supply &amp; Delivery of 2,200 bags Various NSIC Approved Hybrid Rice Seeds</t>
  </si>
  <si>
    <t>Construction of Multi-purpose Hall</t>
  </si>
  <si>
    <t>2020-07-55R Medical  Supplies</t>
  </si>
  <si>
    <t>20JB0086 - Repair/Maintenance of National Roads and Bridges (41x Emergency Project) –  Fabrication and Installation of Right – of Way (ROW) Markers along the Road  Network of this district.</t>
  </si>
  <si>
    <t>Procurement and Delivery of various materials for the Rehabilitation of multi-Purpose Hall</t>
  </si>
  <si>
    <t>Supply and Delivery of Rice funded from Emerging/Re-emerging Disease Program/COVID-19 under PR No. 2020-06-2786</t>
  </si>
  <si>
    <t>20JB0085 - Repair/Maintenance of National Roads and Bridges 41x Special Maintenance (Roads) – Re-Blocking of Shattered Blocks (4.5m/block) along Dipolog – Punta – Dansullan – S. Osmeña Road</t>
  </si>
  <si>
    <t>Rehabilitation of Rural Health Unit @ Brgy. Tacas</t>
  </si>
  <si>
    <t>20BD0068 – RE-AD - LOCAL PROGRAM - LOCAL INFRASTRUCTURE PROGRAM – BUILDINGS AND OTHER STRUCTURES - MULTIPURPOSE/FACILITIES - REHABILITATION OF MULTI-PURPOSE BUILDING, BRGY. MAGALALAG WEST, ENRILE, CAG</t>
  </si>
  <si>
    <t>20BD0067 – RE-AD - LOCAL PROGRAM - LOCAL INFRASTRUCTURE PROGRAM – BUILDINGS AND OTHER STRUCTURES - MULTIPURPOSE/FACILITIES - REHABILITATION OF MULTI-PURPOSE BUILDING, BRGY. INGA, ENRILE, CAGAYAN</t>
  </si>
  <si>
    <t>20PI0100 - Construction of Evacuation Center, Bilibid, Caluttit, Bontoc, Mountain Province</t>
  </si>
  <si>
    <t>20JB0087 - Repair/Maintenance of National Roads and Bridges along the Road Network of this          district at Intermittent Section 41x Emergency Projects (Roads) – Fabrication and Installation of Gu</t>
  </si>
  <si>
    <t>20DP0081 : Concreting of Purok 3, Brgy. Tuy-Baanan FMR, Brgy. Tuy-Baanan, Liliw, Laguna</t>
  </si>
  <si>
    <t>Supply&amp; Delivery of Various Medicines (Re-bid)</t>
  </si>
  <si>
    <t>SUPPLY AND DELIVERY OF INFORMATION AND COMMUNICATION TECHNOLOGY EQUIPMENT FOR INFORMATION TECHNOLOGY (IT) CLIENT SYSTEM @ MAYOR’S OFFICE, THIS MUNICIPALITY /2020-011</t>
  </si>
  <si>
    <t>PROCUREMENT OF ONE (1) UNIT MANLIFTER</t>
  </si>
  <si>
    <t>Construction of One (1) Unit Water System @ Brgy. Malapag, Carmen, Cotabato</t>
  </si>
  <si>
    <t>CONSTRUCTION AND FABRICATION OF VARIOUS BARANGAY PROJECTS</t>
  </si>
  <si>
    <t>Construction of One (1) Unit Water System @ Brgy. Ugalingan, Carmen, Cotabato</t>
  </si>
  <si>
    <t>20DP0080 : Concreting of Brgy. Poblacion to Brgy. San Juan FMR, Brgy. Poblacion and Brgy. San Juan, Alaminos, Laguna</t>
  </si>
  <si>
    <t>SUPPLY AND DELIVERY OF 1 UNIT BRAND NEW RESCUE VAN VEHICLE FOR EMERGENCY AND DISASTER SITUATION AND DISASTER PREPAREDNESS PROGRAM,  THIS MUNICIPALITY /2020-010</t>
  </si>
  <si>
    <t>20DP0079 : Concreting of Brgy. Limao FMR, Brgy. Limao, Calauan, Laguna</t>
  </si>
  <si>
    <t>Purchase and Delivery of Office Supplies, Equipment and Other Expenses for Various Offices</t>
  </si>
  <si>
    <t>Construction of One (1) Unit Water System @ Manarapan ES, Brgy. Manarapan, Carmen, Cotabato</t>
  </si>
  <si>
    <t>SUPPLY AND DELIVERY OF 287,437 BOTTLES OF LINIMENT OIL (60 ml) INTENDED FOR  “HALAD SA GUGMA ALANG KANG LOLA UG LOLO” TO SENIOR CITIZEN OF  51 LGUs IN THE PROVINCE OF CEBU</t>
  </si>
  <si>
    <t>(SP-BM)  REQUEST FOR QUOTATION (RFQ) For the Procurement of 4 pcs Tires for  BM Rolando M. Carub  For the Sangguiang Panlalawigan –BM (SP-BM)</t>
  </si>
  <si>
    <t>REPLACEMENT OF ROOFING BETWEEN 6- COMMERCIAL BUILDING @ PUBLIC MARKET</t>
  </si>
  <si>
    <t>Supply of Materials for FMR Cabulisan Boundary to Caminto</t>
  </si>
  <si>
    <t>Rehabilitation of Street lighting System @ 7Sitio, Brgy. Lobong, San Jacinto, Pangasinan</t>
  </si>
  <si>
    <t>20BC0215 - Restoration of Eroded Shoulder along Manila North Road, K0601+330-K0601+413</t>
  </si>
  <si>
    <t>Purchase of Database Server for I-trac System, Smart UPS and Laptops under PR No. 2020-06-2661.</t>
  </si>
  <si>
    <t>SUPPLY AND DELIVERY OF CHICKEN/EGGS PRODUCTION</t>
  </si>
  <si>
    <t>1 Lot Concreting of Road, Masara, Maco, Davao de Oro Province (Furnishing Labor, Equipment and Materials).</t>
  </si>
  <si>
    <t>20EB0141: Concreting of Brgy. Bonbon FMR, Brgy. Bonbon, Looc, Occidental Mindoro</t>
  </si>
  <si>
    <t>Installation of Solar Streetlights, Centro II, Brgy. Lobong, San Jacinto, Pangasinan</t>
  </si>
  <si>
    <t>20EB0142: Concreting of Zone III to Zone V, Brgy. Sta. Lucia FMR, Brgy. Sta. Lucia, Sablayan, Occidental Mindoro</t>
  </si>
  <si>
    <t>1 Lot Construction of 8.0m x 8.4m Brgy. Health Station, @ Brgy. Masara, Maco, Davao de Oro Province (Furnishing Labor, Equipment and Materials).</t>
  </si>
  <si>
    <t>Construction of Municipal Parking Space</t>
  </si>
  <si>
    <t>PROCUREMENT OF ONE (1) LOT SUPPLY LABOR AND MATERIALS FOR THE REHABILITATION/CONVERSION OF EXISTING STRUCTURE TO FIT AS COVID-19 MUNICIPAL QUARANTINE AND ISOLATION CENTER</t>
  </si>
  <si>
    <t>SUPPLY AND DELIVERY OF INFORMATION TECHNOLOGY (IT) EQUIPMENT AND ACCESSORIES FOR E-GOVERNMENT FOR DIFFERENT OFFICES, THIS MUNICIPALITY /2020-013</t>
  </si>
  <si>
    <t>CONSTRUCTION/IMPROVEMENT OF PROVINCIAL MANPOWER AND TRAINING CENTER</t>
  </si>
  <si>
    <t>SUPPLY AND DELIVERY OF TEN (10) UNITS DESKTOP COMPUTER INTENDED FOR THE MAYOR’S OFFICE, THIS MUNICIPALITY /2020-012</t>
  </si>
  <si>
    <t>POWER UPGRADING - CARAMOAN &amp; SALOGON CAMPUS</t>
  </si>
  <si>
    <t>Installation of Solar Streetlights, Centro I, Barangay Lobong, San Jacinto, Panagasinan</t>
  </si>
  <si>
    <t>Cluster 09-2020 (1. Installation of Railings and Construction of Drainage Towards Favuyan Barangay Health Center 2. Improvement of Tobtob Pathway with Slope Protection, Bontoc Ili 3.Concreting of Fata</t>
  </si>
  <si>
    <t>SUPPLY AND DELIVERY OF 1 UNIT BRAND NEW RESCUE PICK-UP 4 X 4 FOR EMERGENCY AND DISASTER SITUATION AND DISASTER PREPAREDNESS PROGRAM,  THIS MUNICIPALITY /2020-009</t>
  </si>
  <si>
    <t>19PL0162 - Concreting of Sitio San Isidro, Brgy. Cudal FMR, Brgy. Cudal, Tabuk City, Kalinga</t>
  </si>
  <si>
    <t>Purchase of  Equipment, Supplies and Matl's. for Satellite Production Center for Women Specialized in Sewing - MSWDO</t>
  </si>
  <si>
    <t>PROCUREMENT OF VARIOUS CONSTRUCTION MATERIALS AND SUPPLIES USE IN CONSTRUCTION OF WOMEN LIVELIHOOD AND TRAINING CENTER @ PIÑAN, ZN</t>
  </si>
  <si>
    <t>PROCUREMENT OF HARDWARE MATERIALS FOR REHABILITATION OF EXISTING BUSANAMCO RATTAN PROCESSING CENTER AT BARANGAY BUNGA, LANUZA, SURIGAO DEL SUR</t>
  </si>
  <si>
    <t>Repair/Improvement of Covered Court/Stage and Backstage</t>
  </si>
  <si>
    <t>Concreting of Road @ Carmen Eco-park Brgy. Liliongan</t>
  </si>
  <si>
    <t>Purchase of Medical Supplies for CMH</t>
  </si>
  <si>
    <t>FURNISHING AND DELIVERY OF RECONDITIONED MULTI-PURPOSE MULTI-CAB 4X4 VEHICLE</t>
  </si>
  <si>
    <t>CONSTRUCTION OF BARANGAY HEALTH STATION P1</t>
  </si>
  <si>
    <t>Invitation To Bid To Supply and Delivery of Goods/Services for Equipment Rental of K2MIPP</t>
  </si>
  <si>
    <t>Construction of Multi-Purpose Building @ Brgy. Kibudtungan, Carmen, COtabato</t>
  </si>
  <si>
    <t>Rehabilitation of Evacuation Center (Construction of Stockroom)</t>
  </si>
  <si>
    <t>S1-SPS20-013 &amp; S1-SPS20-016 - Supply and Delivery of Spares, 21pcs of 90ft Steel Poles for Northern and Southern Palawan Substations &amp; 69kV Transmission Lines</t>
  </si>
  <si>
    <t>DISTRIBUTION LINE EXPANSION AT BRGY. FABRICA - LABOR AND MATERIALS</t>
  </si>
  <si>
    <t>PACKAGE PROJECT: A.) CONSTRUCTION OF BARANGAY HALL AT BLOCK 65, BARANGAY 21-C, POBLACION DISTRICT, DAVAO CITY B.) CONSTRUCTION OF MULTI- PURPOSE BUILDING AT BLOCK 65, BARANGAY 21-C, POBLACION DISTRICT</t>
  </si>
  <si>
    <t>PUBLIC BIDDING / PR 20-07-0430 / MULTI-FUNCTION PRINTERS</t>
  </si>
  <si>
    <t>CONSTRUCTION OF OPEN CANAL FOR FLOOD MITIGATION AT BRGY. SAN AGUSTIN ,TMC</t>
  </si>
  <si>
    <t>CID No. 20IO0083 (Re-Advertisement): Rehabilitation / Reconstruction / Upgrading of Damaged Paved Roads along Tigbao – Sta. Fe – San Miguel Road, K0907+400 – K0907+900, Tacloban City</t>
  </si>
  <si>
    <t>CONST. OF TWO 92) STOREY PASALUBONG CENTER/EMPLOYEES CANTEEN AT CITY HALL COMPOUND, BRGY. SAN AGUSTIN, TMC</t>
  </si>
  <si>
    <t>Construction and/or Repair/Rehabilitation of Multi-Purpose Building, Old Brgy. Hall, Ninoy Aquino Ave., La Huerta, Parañaque City, Metro Manila</t>
  </si>
  <si>
    <t>REHABILITATION OF WATER SYSTEM</t>
  </si>
  <si>
    <t>CONST. OF THREE (3) STOREY-SIX (6) CLASSROOOM SCH. BLDG. AT TMC ELEM. SCH. BRGY. SAN AGUSTIN , TMC</t>
  </si>
  <si>
    <t>Construction of Lined Canal, Confessor Street, Brgy. Zone II, City of Koronadal</t>
  </si>
  <si>
    <t>SUPPLY AND DELIVERY OF DUPLICATORS</t>
  </si>
  <si>
    <t>Opening and Regravelling of Gaggabutan East Farm to Market Road(FMR)</t>
  </si>
  <si>
    <t>S1-SPS20-015 - Supply and Delivery of Spares, SF6 Gas Circuit Breaker and Lightning Arrester for Southern Palawan Substations and 69kV Transmission Lines</t>
  </si>
  <si>
    <t>Supply of Materials for Opening of Road at Poblacion-Tinago (Diversion Road)</t>
  </si>
  <si>
    <t>S1-IDP20-002 - Supply and Delivery of Electrical Spare Parts of 2 x 100kW Perkins, 6 Cylinders of Itbayat DPP</t>
  </si>
  <si>
    <t>COLLECTION, HAULING, TRANSPORT AND DISPOSAL OF WASTES OF CITY OF TRECE MARTIRES AUG.16 TO OCT.20,2020</t>
  </si>
  <si>
    <t>Supply of Materials for the Rehabilitation/Establishment of Marine Sanctuary</t>
  </si>
  <si>
    <t>Construction of Giant Swing @ Carmen Eco-Park</t>
  </si>
  <si>
    <t>S1-IDP20-001 - Supply and Delivery of PMS Spare Parts for Unit 1 &amp; 2 - 163kW Dale Perkins, 2006-TG1, 6 Cylinders of Itbayat DPP</t>
  </si>
  <si>
    <t>CID No. 20GLE0089/PR 20-07-0143 Purchase of Tires for use in Mitsubishi Pick-Up, 123007, H1-6200</t>
  </si>
  <si>
    <t>SEF-20-07-01097 SUPPLY, DELIVERY, INSTALLATION, TESTING AND COMMISSIONING OF ONLINE LEARNING MANAGEMENT SYSTEM FOR SENIOR HIGH SCHOOL STUDENTS</t>
  </si>
  <si>
    <t>Supply and Delivery of Truck Mounted Long Distance/ Wide Range Sprayer</t>
  </si>
  <si>
    <t>Supply and Delivery of Various Hybrid Rice Seeds</t>
  </si>
  <si>
    <t>S1-MRO20-010 - Supply and Delivery of Mechanical &amp; Electrical Spare Parts for 300kW Cummins Diesel Engine, Model No. KTA19-G2 Intended for Power Plants under MROD</t>
  </si>
  <si>
    <t>SEF-20-07-01088 PRINTING OF MODULES FOR ALL SUBJECT AREAS</t>
  </si>
  <si>
    <t>Supply and Delivery of 2,086 bags Hybrid Corn Seeds (9kg/bag)</t>
  </si>
  <si>
    <t>Supply and Delivery of 2,500 bags Inbred Seeds (Certified)</t>
  </si>
  <si>
    <t>20GDB0037 Purchase of Uniforms, Personal Protective Equipment (PPE) and Tools for Roadside Maintenance Workers and Maintenance Point Persons (MPP)</t>
  </si>
  <si>
    <t>Construction of the Livestock Research and Production Building</t>
  </si>
  <si>
    <t>20GMH071 - SUPPLY/DELIVERYOFOFFICESUPPLIESFORUSEOFTHEDISTRICTENGINEER'SOFFICE,SULTANKUDARAT 2ND DISTRICT ENGINEERING OFFICE</t>
  </si>
  <si>
    <t>CID No. 20GLE0095/PR 20-07-0149 Purchase of I.T. Accessories and Supplies for use in Office of the District Engineer (I.T. Support Officer).</t>
  </si>
  <si>
    <t>Supply and Delivery of Various Livestock and Poultry</t>
  </si>
  <si>
    <t>Rehabilitation/Reblocking of San Andres Poblacion Municipal Road</t>
  </si>
  <si>
    <t>CID No. 20GLE0093/PR 20-07-0147 Purchase of Fuel for use in various service vehicle of Davao Occidental DEO-Malita along Davao-Sarangani Coastal Road, Lapuan - Caburan Section (for 3rd Quarter CY 2020</t>
  </si>
  <si>
    <t>CID No. 20GLE0094/PR 20-07-0148 Purchase of Fuel for use in various service vehicle of Davao Occidental DEO-Malita along Buhangin-Tubalan-Kitana-Pinalpalan Projects (for 3rd Quarter CY 2020).</t>
  </si>
  <si>
    <t>20GMH072 - SUPPLY/DELIVERYOFOFFICESUPPLIESANDITEQUIPMENTFORUSEOFTHEASSISTANTDISTRICTENGINEER'SOFFICE,SULTANKUDARAT2NDDISTRICT ENGINEERING OFFICE</t>
  </si>
  <si>
    <t>CID No. 20GLE0092/PR 20-07-0146 Purchase of Spare Parts for use in Heavy Equipment</t>
  </si>
  <si>
    <t>SEF-20-07-01111- PROCUREMENT OF DIGITAL DUPLICATOR AND HEAVY DUTY ELECTRONIC STAPLER</t>
  </si>
  <si>
    <t>20GMH070 - SUPPLY/DELIVERYOFCOMBIBLINDSW/ACCESSORIESFORUSEOFRESIDENTAUDITOR'SOFFICE</t>
  </si>
  <si>
    <t>20GMH069 -  SUPPLY/DELIVERYOFCONSTRUCTIONMATERIALSFORTHEREPAIR/MAINTENANCEOFRCPCDRAINAGEOUTFALLALONGISULANJCT.-SEN.NINOYAQUINOROAD, K1802+350-K1802+360</t>
  </si>
  <si>
    <t>20GMH068 - SUPPLY/DELIVERYOFTIREANDBATTERYOFTOYOTAHILUXFORUSEOFCONSTRUCTIONSECTIONINTHESUPERVISION/INSPECTIONOFVARIOUSON-GOINGPROJECTSFOR3RDQUARTEROF 2020</t>
  </si>
  <si>
    <t>INSTALLATION OF 20 UNITS STREET LIGHTS</t>
  </si>
  <si>
    <t>Cluster II: Rehabilitation/Concreting of Batong Paloway Barangay Road/Datag Barangay Road</t>
  </si>
  <si>
    <t>Electrical Works for Basketball Court Spotlight at Brgy. San Roque, Alaminos City, Pangasinan</t>
  </si>
  <si>
    <t>20GAF0003, PURCHASE AND DELIVERY OF EQUIPMENT AND SUPPLIES FOR USE IN THE CONDUCT OF PRELIMINARY DETAILED ENGINERING, DPWH-LUSDEO, NATIVIDAD, NAGUILIAN, LA UNION</t>
  </si>
  <si>
    <t>20EB0097: Construction of Evacuation Center, Concepcion Elementary School, Concepcion, Calintaan, Occidental Mindoro</t>
  </si>
  <si>
    <t>Supply and Delivery of 22,259 bags Urea (46-0-0) Granules</t>
  </si>
  <si>
    <t>20EB0093: Construction of Evacuation Center, Brgy. Tayamaan, Mamburao, Occidental Mindoro</t>
  </si>
  <si>
    <t>20EB0095: Construction of Barangay Hall, Brgy. VI, Paluan, Occidental Mindoro</t>
  </si>
  <si>
    <t>Construction of Multi-Purpose Building and Sports Facility, Mabini Campus, Sta. Mesa, Manila (Phase III).</t>
  </si>
  <si>
    <t>20EB0096: Construction of Protection Dike, Sitio Aroma, Brgy. Tayamaan, Mamburao, Occidental Mindoro</t>
  </si>
  <si>
    <t>CONSTRUCTION OF  EVACUATION CENTER</t>
  </si>
  <si>
    <t>REPAIR/REHABILITATION OF CLASSROOMS CY 2020 QUICK RESPONSE FUND under Basic Educational Facilities Funds (BEFF) Cluster 1</t>
  </si>
  <si>
    <t>CONSTRUCTION OF MULTI-PURPOSE HALL (PHASE I) IN BARANGAY POBLACION</t>
  </si>
  <si>
    <t>TRAINING AND STUDENT ACTIVITY CENTER (TSAC) PHASE 3 (REBIDDING)</t>
  </si>
  <si>
    <t>Procurement of Fuel and Lubricants for the Office of the Municipal Administrator</t>
  </si>
  <si>
    <t>20EB0094: Construction of Balibago Bridge, Brgy. Payompon, Mamburao, Occidental Mindoro</t>
  </si>
  <si>
    <t>REPAIR/REHABILITATION OF CLASSROOMS CY 2020 QUICK RESPONSE FUND under Basic Educational Facilities Funds (BEFF) Cluster 13</t>
  </si>
  <si>
    <t>ITB No. 20-069  RE-BIDDING OF ONE (1) LOT SUPPLY AND DELIVERY OF LABOR, TOOLS, EQUIPMENT, MATERIALS, CONSUMABLES, SUPERVISION AND TECHNICAL EXPERTISE FOR THE CLEAN ROOM VALIDATION AND REPLACEMENT OF H</t>
  </si>
  <si>
    <t>Procurement of VEHICLES</t>
  </si>
  <si>
    <t>Rehabilitation/Upgrading and Drainage Improvement of Dela Rosa Street and its Vicinity, Brgy. Pio del Pilar,  Makati City, Metro Manila</t>
  </si>
  <si>
    <t>Rehabilitation/Upgrading and Drainage Improvement along Conorado Street, Gonzales Street and its Vicinity, Brgy. Guadalupe Viejo, Makati City, Metro Manila</t>
  </si>
  <si>
    <t>REPAIR/REHABILITATION OF CLASSROOMS CY 2020 QUICK RESPONSE FUND under Basic Educational Facilities Funds (BEFF) Cluster 14</t>
  </si>
  <si>
    <t>REPAIR/REHABILITATION OF CLASSROOMS CY 2020 QUICK RESPONSE FUND under Basic Educational Facilities Funds (BEFF) Cluster 11</t>
  </si>
  <si>
    <t>REPAIR/REHABILITATION OF CLASSROOMS CY 2020 QUICK RESPONSE FUND under Basic Educational Facilities Funds (BEFF) Cluster 12</t>
  </si>
  <si>
    <t>REPAIR/REHABILITATION OF CLASSROOMS CY 2020 QUICK RESPONSE FUND under Basic Educational Facilities Funds (BEFF) Cluster 9</t>
  </si>
  <si>
    <t>REPAIR/REHABILITATION OF CLASSROOMS CY 2020 QUICK RESPONSE FUND under Basic Educational Facilities Funds (BEFF) Cluster 8</t>
  </si>
  <si>
    <t>REPAIR/REHABILITATION OF CLASSROOMS CY 2020 QUICK RESPONSE FUND under Basic Educational Facilities Funds (BEFF) Cluster 10</t>
  </si>
  <si>
    <t>LOCAL ROAD UPGRADING (AM 2019)</t>
  </si>
  <si>
    <t>REPAIR/REHABILITATION OF CLASSROOMS CY 2020 QUICK RESPONSE FUND under Basic Educational Facilities Funds (BEFF) Cluster 6</t>
  </si>
  <si>
    <t>20EB0132: Construction of 2STY-4CL, Mapaya II ES, San Jose, Occidental Mindoro</t>
  </si>
  <si>
    <t>REPAIR/REHABILITATION OF CLASSROOMS CY 2020 QUICK RESPONSE FUND under Basic Educational Facilities Funds (BEFF) Cluster 5</t>
  </si>
  <si>
    <t>REPAIR/REHABILITATION OF CLASSROOMS CY 2020 QUICK RESPONSE FUND under Basic Educational Facilities Funds (BEFF) Cluster 7</t>
  </si>
  <si>
    <t>IMPROVEMENT/REHABILITATION OF DRAINAGE CANAL</t>
  </si>
  <si>
    <t>Fabrication of 1 pair Movable Basketball Board with Ring for SK SPorts League 2020 at Brgy. San Roque, Alaminos CIty, Pangasinan</t>
  </si>
  <si>
    <t>Supply and Delivery of Medical/Laboratory Equipment (PR No. 20-06-0243)</t>
  </si>
  <si>
    <t>Rehabilitation of Drainage System and Pavement along Capitol Area, Brgy. Capaclan, Romblon, Romblon</t>
  </si>
  <si>
    <t>20GMH067 - SUPPLY/DELIVERYOFITSUPPLIESFORUSEOFPLANNINGANDDESIGNSECTION,DPWH-SULTANKUDARAT 2ND DISTRICT ENGINEERING OFFICE</t>
  </si>
  <si>
    <t>Supply and Delivery of Soil Cover for City Waste Disposal Facility (PR No. 20-07-0257)</t>
  </si>
  <si>
    <t>Expansion of Evacuation Center in Barangay Magsaysay</t>
  </si>
  <si>
    <t>Procurement of Ambulance Van for use in transferring of patients from Corcuera (Calatrava to RPH-Odiongan) and PDRRMO, Province of Romblon</t>
  </si>
  <si>
    <t>Construction Projects in the Municipality of Tumauini</t>
  </si>
  <si>
    <t>20GK0235 - Construction of Workshop Bldg. (7X18), Sofronio Carmona Mem. NHS (Annex), Salvador Benedicto, Negros Occidental</t>
  </si>
  <si>
    <t>20GK0233 - Construction of 2STY4CL, Silay SPED Center, Silay City</t>
  </si>
  <si>
    <t>Procurement of Educational Materials and Supplies</t>
  </si>
  <si>
    <t>Construction/ Rehabilitation of Bahay Silangan Center at Camp Samal Brgy. Arcon, Tumauini, Isabela</t>
  </si>
  <si>
    <t>INVITATION TO BID FOR THE DELIVERY OF MATERIALS FOR THE CONTINUATION OF TWO STOREY BARANGAY MULTI PURPOSE HALL</t>
  </si>
  <si>
    <t>20GK0234 - Construction of 2STY6CL, Jose M. Consing Memorial School, Enrique B.  Magalona (Saravia), Negros Occidental</t>
  </si>
  <si>
    <t>REPAIR/REHABILITATION OF CLASSROOMS CY 2020 QUICK RESPONSE FUND under Basic Educational Facilities Funds (BEFF) Cluster 4</t>
  </si>
  <si>
    <t>20GK0232 - Construction of 2STY4CL, Paitan IS, Escalante</t>
  </si>
  <si>
    <t>20EB0098: Concreting of Farm to Market Road, Sitio Cawit to Brgy. Gapasan, Magsaysay, Occidental Mindoro</t>
  </si>
  <si>
    <t>Procurement of Office and Other Supplies - MDRRMO,MO, ADMIN, Engineering</t>
  </si>
  <si>
    <t>Upgrading of La Paz - Sitio Barnachea FMR</t>
  </si>
  <si>
    <t>20F00127 - CLUSTER III: A. Repair/Maintenance of DILG Building, PDEA RO-V Building, Camp Simeon Ola, Legazpi City; B. Repair/Maintenance of DepEd Building, DepEd RO-V Canteen Building, Regional Center</t>
  </si>
  <si>
    <t>Improvement of Matingbe Wharf (Phase II)</t>
  </si>
  <si>
    <t>Rehabilitation of Drainage Canal, Installation of Checkered Plate Drainage and Manhole Covers, Carmen, SN 168 - 2020</t>
  </si>
  <si>
    <t>ITB No. 301000-47-2020 Office Supplies Expense</t>
  </si>
  <si>
    <t>ITB No. 301000-44-2020 Office Supplies Expense</t>
  </si>
  <si>
    <t>REPAIR/REHABILITATION OF CLASSROOMS CY 2020 QUICK RESPONSE FUND under Basic Educational Facilities Funds (BEFF) Cluster 3</t>
  </si>
  <si>
    <t>20IE0107 - Construction of Rainwater Collection System (RWCS),  San Miguel ES, San Isidro, Leyte</t>
  </si>
  <si>
    <t>20EB0133: Construction of 2STY-6CL, Concepcion NHS, Calintaan, Occidental Mindoro</t>
  </si>
  <si>
    <t>Concrete Paving of Road at Interior of Moco, Carmen; SN 157 - 2020</t>
  </si>
  <si>
    <t>ITB No. 399000-41-2020 Other Supplies and Materials Expense</t>
  </si>
  <si>
    <t>20IE0105 - Construction of Rainwater Collection System (RWCS),  Daja CS, San Isidro, Leyte</t>
  </si>
  <si>
    <t>ITB No. 305000-40-2020 Food Supplies Expenses</t>
  </si>
  <si>
    <t>Construction of Slope Protection and Access Road at the Women and Children Crisis Center (Phase I &amp; II)</t>
  </si>
  <si>
    <t>CONCRETING OF MABUHAY ROAD</t>
  </si>
  <si>
    <t>ITB No. 305000-45-2020 Food Supplies Expense</t>
  </si>
  <si>
    <t>ITB No. 399000-43-2020 Other Supplies and Materials Expense</t>
  </si>
  <si>
    <t>Construction of  Perimeter Fence Morong Senior High School (New Site) Morong, Bataan</t>
  </si>
  <si>
    <t>REPAIR/REHABILITATION OF CLASSROOMS CY 2020 QUICK RESPONSE FUND under Basic Educational Facilities Funds (BEFF) Cluster 2</t>
  </si>
  <si>
    <t>Construction of Drainage at Diel St. towards Gumamela St., Carmen, SN 161 - 2020</t>
  </si>
  <si>
    <t>Local Access Road Construction at Purok 2 Aurelio to Purok 3 Justiniana Edera</t>
  </si>
  <si>
    <t>Construction of Motorpool Building (Phase I) M. Francisco, Siocon, ZDN</t>
  </si>
  <si>
    <t>Construction of Anhaon Creek Bank Protection Structure Phase 2, Bulua; SN 159 - 2020</t>
  </si>
  <si>
    <t>20IE0106 - Construction of Rainwater Collection System (RWCS),  Tabunoc ES,  Villaba, Leyte</t>
  </si>
  <si>
    <t>Concrete Paving of Ysalina St. GAP Section, Lumbia; SN 153 - 2020</t>
  </si>
  <si>
    <t>Concrete Paving of NHA Lourdesville Circumferential Road, Balulang (Phase 3); SN 158 - 2020</t>
  </si>
  <si>
    <t>ITB No. 301000-42-2020 Office Supplies Expense</t>
  </si>
  <si>
    <t>20IE0110 - Construction of Rainwater Collection System (RWCS),  Don Bernardo ES, Tabango, Leyte</t>
  </si>
  <si>
    <t>Construction of Three (3) Storey 6 Classroom with Demolition  Completion of Three (3) Storey 6 Classroom with Demolition  at A. Mirasol Elementary School, mandurriao, Iloilo City (Bid No. 20-062)</t>
  </si>
  <si>
    <t>Local Access Road Construction at Purok 3 to 5 Mahayahay</t>
  </si>
  <si>
    <t>ITB No. 399000-49-2020 Other Supplies and Materials Expense</t>
  </si>
  <si>
    <t>Construction of Aurelio ECCD Learning Center</t>
  </si>
  <si>
    <t>Purchase of Animal and Zoological Supplies in the Office	of the Provincial Veterinarian, Bataan</t>
  </si>
  <si>
    <t>20IE0108 - Construction of Rainwater Collection System (RWCS),  Hinabuyan CS,  Villaba, Leyte</t>
  </si>
  <si>
    <t>ITB No. 301000-39-2020 Office Supplies Expense</t>
  </si>
  <si>
    <t>ITB No. 305000-48-2020 Food Supplies Expense</t>
  </si>
  <si>
    <t>20IE0109 - Construction of Rainwater Collection System (RWCS),  Cahigan ES,  Villaba, Leyte</t>
  </si>
  <si>
    <t>Various Engineering Supplies</t>
  </si>
  <si>
    <t>CONSTRUCTION OF STANDARD DAYCARE CENTER BUILDING WITH COMPLETE FACILITIES</t>
  </si>
  <si>
    <t>CONSTRUCTION OF EVACUATION CENTER-CATARAWAN</t>
  </si>
  <si>
    <t>COMPLETION OF STANDRD BIRTHING CLINIC - ALIMIT</t>
  </si>
  <si>
    <t>3LSSM2020A-088 Other Supplies and Materials</t>
  </si>
  <si>
    <t>3LSSM2020A-086 Food Supplies</t>
  </si>
  <si>
    <t>3LSSM2020A-085 Food Supplies</t>
  </si>
  <si>
    <t>3LSSM2020A-089 Other Supplies and Materials</t>
  </si>
  <si>
    <t>3LSSM2020A-083 Office Supplies</t>
  </si>
  <si>
    <t>3LSSM2020A-084 Office Supplies</t>
  </si>
  <si>
    <t>ITB NO. 20-068: RE-BIDDING FOR THE SUPPLY AND DELIVERY OF VARIOUS MEDICAL AND SURGICAL SUPPLIES</t>
  </si>
  <si>
    <t>Construction of Welcome Arch 1 Section (East &amp; West Entry Point, Cagayan de Oro City); SN 171 - 2020</t>
  </si>
  <si>
    <t>Concrete Paving of Road at Gold City Village (Phase 3), Balulang; SN 156 - 2020</t>
  </si>
  <si>
    <t>20GIB0036: Purchase/delivery of Blade and Spark Plug for use of Grasscutter and Chainsaw</t>
  </si>
  <si>
    <t>19GL00118; P.R. No. 2020-07-079 DATED 07/06/2020: PROCUREMENT OF DIESEL FUEL, FOR USE IN THE DREDGING EQUIPMENT AND SERVICE VEHICLE, ASSIGNED IN THE DREDGING OF AGUSAN RIVER, COMPOSTELA, DAVAO DE ORO,</t>
  </si>
  <si>
    <t>Local Access Road Construction at Isabel St., P2 San Juan</t>
  </si>
  <si>
    <t>Procurement of Office and Janitorial Supplies</t>
  </si>
  <si>
    <t>RIPRAPPING (SLOPE PROTECTION) ALONG TOTONOGEN RIVER BANK BRGY. TOMANA EAST, ROSALES, PANGASINAN</t>
  </si>
  <si>
    <t>PURCHASE OF ONE (1) UNIT LAPTOP w/ COMPLETE ACCESSORIES and ONE (1) UNIT COMMUNICATION EQUIPMENT ( CELLPHONE)</t>
  </si>
  <si>
    <t>3LSSM2020A-087 Other Supplies and Materials</t>
  </si>
  <si>
    <t>Improvement of Multipurpose Building, Tigbao, Zds)</t>
  </si>
  <si>
    <t>20GKJ0005: Supply and Delivery of Materials for Painting of Lane Line Markings along National Road and Bridges, Misamis Occidental 2nd DEO</t>
  </si>
  <si>
    <t>PURCHASE OF MULTICAB</t>
  </si>
  <si>
    <t>Procurement-Supply &amp; Delivery of Agricultural Supplies</t>
  </si>
  <si>
    <t>Procurement-For Furnishing Materials Labor &amp; Equipment in Connection w/ the Upgrading of Local Access Road located @ Purok 7, Brgy Road, San Isidro Village, Virac, Catanduanes</t>
  </si>
  <si>
    <t>20BF0066: Concreting of Brgy. Quiling to Brgy. Doña Concha FMR, Brgy. Quiling and Brgy. Doña Concha, Roxas, Isabela</t>
  </si>
  <si>
    <t>Pavement Re-surfacing with Pebble at Wet Section Carmen Market; SN 169 - 2020</t>
  </si>
  <si>
    <t>Repair/Improvement of Multipurpose Bldg. ( Old PNP Station)</t>
  </si>
  <si>
    <t>Completion of CLUP</t>
  </si>
  <si>
    <t>LOT 35-PVDC-2020 Various Medical Supplies</t>
  </si>
  <si>
    <t>SUPPLY AND DELIVERY OF 20 DESKTOP COMPUTERS FOR CICS LABORATORY USE</t>
  </si>
  <si>
    <t>Opening/Rehabilitation/Improvement of FMR with Flood Control (Gabions and Matresses) at Bannawag</t>
  </si>
  <si>
    <t>Construction/Rehabilitation of Existing Drainage System at Brgy. Don Esteban, Lapuz, Iloilo City (Bid No. 20-108)</t>
  </si>
  <si>
    <t>20IE0115 - Construction of Rainwater Collection System (RWCS),  Ugbon ES, Leyte, Leyte</t>
  </si>
  <si>
    <t>PROCUREMENT OF TWO (2) UNITS REFRIGERATED TRUCK/REEFER VAN OF BFAR 6</t>
  </si>
  <si>
    <t>Construction/Rehabilitation/Improvement of Multi-Purpose Hall at Brgy. Bakhaw, Mandurriao, Iloilo City (Bid No. 20-135)</t>
  </si>
  <si>
    <t>20IE0113 - Construction of Rainwater Collection System (RWCS),  Limite ES, Calubian, Leyte</t>
  </si>
  <si>
    <t>ITB No. 399000-46-2020 Other Supplies and Materials Expense</t>
  </si>
  <si>
    <t>20IE0114 - Construction of Rainwater Collection System (RWCS),  Macupa CS, Leyte, Leyte</t>
  </si>
  <si>
    <t>ITB NO. (GDS)  2020-07-019 PROCUREMENT OF 1 UNIT DIESEL AMBULANCE MANUAL TRANSMISSION WITH COMPLETE ACCESSORIES, Province of Eastern Samar</t>
  </si>
  <si>
    <t>PURCHASE OF 15 UNITS WHEEL TIRE LOCK CLAMPS AND IMMOBILITY CHAINS, 3 UNITS SPEEDGUN ( BUSHNELL SPEEDSTER 3 RADAR) AND TRAFFIC PARAPHERNALIA</t>
  </si>
  <si>
    <t>20IE0112 - Construction of Rainwater Collection System (RWCS),  Uson ES, Calubian, Leyte</t>
  </si>
  <si>
    <t>Supply and Delivery of Five Thousand (5,000) Heads Mallard Ducks Ready-to-Lay for the Municipality of Roxas, Isabela</t>
  </si>
  <si>
    <t>Purchase of Motorcycles (Brand New)1.Two (2) units of Motorcycles - ₱ 100,000.00 2.One (1) unit of Motorcycle - ₱ 74,200.00 at Dinapigue, Isabela</t>
  </si>
  <si>
    <t>5-DAY (Live-In) GAD related ORIENTATION SEMINAR AND TRAINING FOR MUNICIPAL GAD FOCAL POINT SYSTEM</t>
  </si>
  <si>
    <t>COMPLETION OF MULTIPURPOSE GYM (PHASE II)-CAPISAAN</t>
  </si>
  <si>
    <t>IMPROVEMENT OF FMR-EDRALIN-ATAN ROAD</t>
  </si>
  <si>
    <t>Supply, Delivery, Installation and Commissioning of 24 Units Solar Powered Pumps</t>
  </si>
  <si>
    <t>Procurement of ICT Equipment and Supplies</t>
  </si>
  <si>
    <t>One (1) lot Calibration of Precision Equipment (12 items), as per BSP Technical Specifications, and Terms of Reference</t>
  </si>
  <si>
    <t>REHABILITATION/RECONSTRUCTION OF HANGING FOOT BRIDGE (between Alimit and Nagabgaban,Alimit)</t>
  </si>
  <si>
    <t>CONSTRUCTION OF MULTI-PURPOSE CENTER (Barangay Sagua, Anini-y, Antique)/IB No. K-2020-074(SC)</t>
  </si>
  <si>
    <t>Construction of ICARE Center at Time Square Gaisano, Gaisano Time Square Center Compound, B. Aquino Ave. Mandurriao, Iloilo City (Bid No. 20-123)</t>
  </si>
  <si>
    <t>CONSTRUCTION OF FOUR (4) STOREY, TWENTY (20) CLASSROOM SCHOOL BUILDING BINALONAN NORTH CS SPED CENTER (BINALONAN NORTH CENTRAL IS) AT BINALONAN, PANGASINAN</t>
  </si>
  <si>
    <t>SUPPLY AND DELIVERY OF IT SUPPLIES &amp; EQUIPMENT AND OFFICE SUPPLIES FOR THE DIVISION OFFICE FOR 4TH QUARTER OF 2020 (LOT 1-2)</t>
  </si>
  <si>
    <t>CONSTRUCTION OF MULTI-PURPOSE CENTER (Brgy. Delima, Belison, Antique)/IB No. K-2020-075(SC)</t>
  </si>
  <si>
    <t>FURNISHING &amp; DELIVERY OF MATERIALS FOR THE REPAIR AND MAINTENANCE OF WATER SYSTEM @ JURISDICCION, JULIAN OLIVAS AND DACAL-LA FUGU</t>
  </si>
  <si>
    <t>Concreting of Footwalk in Bgy. Pantalan, Carles, Iloilo</t>
  </si>
  <si>
    <t>20CSBC0001- Geotechnical Exploration for Proposed 2021 Projects</t>
  </si>
  <si>
    <t>Opening/Rehabilitation of FMR with RC Pipes #24 (includes wingwall ) at Malasin-Bagnos</t>
  </si>
  <si>
    <t>CONCRETING OF APPROACH BOTH SIDES OF ATOG BRIDGE AND CONCRETING OF REMAINING 200 METERS PORTION OF PROVINCIAL ROAD (Brgy. Paliwan, Bugasong, Antique/IB No. K-2020-076(SC)</t>
  </si>
  <si>
    <t>Supply and Delivery of Deep Sea Fishing with Complete Accessories</t>
  </si>
  <si>
    <t>CONCRETING OF MUNICIPAL ROADS, Poblacion, Can-avid Eastern Samar</t>
  </si>
  <si>
    <t>Procurement of 1 unit Passenger Van Body Vehicle for use of Provincial Social Welfare and Development Office, Province of Romblon</t>
  </si>
  <si>
    <t>PURCHASE OF 3 IN 1 PRINTER FOR THE EBEIS ROOM OF CONCEPCION CENTRAL SCHOOL</t>
  </si>
  <si>
    <t>Supply of Crossover Utility Vehicle (CUV)</t>
  </si>
  <si>
    <t>CONSTRUCTION OF MULTI-PURPOSE CENTER (Aras-asan NHS, Aras-asan, Tobias Fornier, Antique/IB No. K-2020-073(SC)</t>
  </si>
  <si>
    <t>Rehab &amp; improvement of existing mun. water system</t>
  </si>
  <si>
    <t>Construction of Local bridge at barangay Switch</t>
  </si>
  <si>
    <t>Public Bidding of 6 Lots for the Supply &amp; Delivery of Vehicle Spare Parts for Various Vehicles &amp; Heavy Equipment of the Equipment Pool Division, under ITB No. 2020-018R</t>
  </si>
  <si>
    <t>REHAB WATER SYSTEM</t>
  </si>
  <si>
    <t>CLUSTER 36-2020</t>
  </si>
  <si>
    <t>20PA0136 (PACKAGE) : REPAIR/ MAINTENANCE OF DRAINAGE ALONG NATIONAL ROADS, a.) Abra-Ilocos Sur Road, K0388+350-K0388+364.50, Tangadan, San Quintin, Abra; b.) Abra-Ilocos Sur Road, K0387+890-K0387+897,</t>
  </si>
  <si>
    <t>PURCHASE OF 15 TELEVISION SETS AS PART OF THE E-LEARNING PROGRAM OF THE DISTRICT FOR THE 15 GRADE 1 CLASSES</t>
  </si>
  <si>
    <t>Supply and Delivery of Various Printing Requirements of the Corporate Affairs Office, as per BSP Production Specifications</t>
  </si>
  <si>
    <t>PACKAGE 5-2020</t>
  </si>
  <si>
    <t>Purchase of Furniture Bgy. Asluman, Carles, Iloilo</t>
  </si>
  <si>
    <t>PURCHASE OF OFFICE SUPPLIES.</t>
  </si>
  <si>
    <t>Subsurface Exploration/Geotechnical Investigation for the Construction of Flood Mitigation Structure/Revetment, Tacloban City</t>
  </si>
  <si>
    <t>20GNE0040 – SUPPLIES/DELIVERIES FOR THE PROCUREMENT OF VARIOUS SPARE PARTS FOR THE PREVENTIVE MAINTENANCE OF THE OFFICIAL VEHICLES OF DPWH-DIDEO, DPWH-COMPOUND, BRGY. CUARINTA, SAN JOSE, DINAGAT ISLAN</t>
  </si>
  <si>
    <t>20PA0135 : REPAIR/MAINTENANCE OF SAN RAMON FLOOD CONTROL, Manabo, Abra</t>
  </si>
  <si>
    <t>Procurement of ICT Supplies</t>
  </si>
  <si>
    <t>Purchase and Deliver of Mini-Ambulance</t>
  </si>
  <si>
    <t>20BC0178 re-adv.- Construction of 1 Storey 1 Classroom with CR, Minanga Elementary School, Piat Cagayan</t>
  </si>
  <si>
    <t>Concreting of Footwalk in Bgy. Tabugon, Carles, Iloilo</t>
  </si>
  <si>
    <t>20ND0074 - Concreting of Brgy. Basag to Brgy. Camayahan FMR, Brgy. Basag and Brgy. Camayahan, Butuan City</t>
  </si>
  <si>
    <t>BARANGAY MULTI PURPOSE CENTER CONSTRUCTION FOR SALAGUIAWAN AT SALAGUIAWAN , PATNONGON, ANTIQUE</t>
  </si>
  <si>
    <t>20BC0181- Construction of 1 Storey 1 Classroom with CR, Warat Elementary School, Piat Cagayan</t>
  </si>
  <si>
    <t>COMPLETION OF MULTI-PURPOSE CENTER (Lapaz ES, Barangay Lapaz, Hamtic, Antique/IB No. K-2020-072(SC)</t>
  </si>
  <si>
    <t>20GKI0040 (Public Bidding) Contract Name: Purchased of Office Supplies and Other Various Items for use in the DPWH Office</t>
  </si>
  <si>
    <t>20ND0066 (Re-Ad) - REPAIR/MAINTENANCE OF DPWH BLDG. MULTI-PURPOSE HALL BUTUAN CITY DISTRICT ENGINEERING OFFICE</t>
  </si>
  <si>
    <t>20DI0171 - Construction of Multi-Purpose Building (Livelihood Training Center), Brgy. Maharlika, San Pedro City, Laguna</t>
  </si>
  <si>
    <t>CONCRETING OF ACCESS ROAD (PHASE III) PUROK 3-4 IMELDA</t>
  </si>
  <si>
    <t>Rehabilitation/Improvement of Barangay Road in Brgy. Casiawan</t>
  </si>
  <si>
    <t>PROCUREMENT OF VENETIAN BLINDS</t>
  </si>
  <si>
    <t>PROCUREMENT OF OFFICE SUPPLIES FOR THE 3RD QUARTER</t>
  </si>
  <si>
    <t>REHABILITATION/REPAIR OF MULTI-PURPOSE STAGE, Can-avid Central Elementary School, Brgy.4 Poblacion, Can-avid Eastern Samar</t>
  </si>
  <si>
    <t>CLUSTER 39-2020</t>
  </si>
  <si>
    <t>REHABILITATION OF EVACUATION CENTER AT CENTRAL EAST NO. 2 PHASE II AND COMPLETION OF BANGAR EVACUATION CENTER, CENTRAL EAST NO. 2</t>
  </si>
  <si>
    <t>CLUSTER 38-2020</t>
  </si>
  <si>
    <t>CLUSTER 37-2020</t>
  </si>
  <si>
    <t>Concreting of Sitio Purahan Road, Barangay Ibaba Kinagunan</t>
  </si>
  <si>
    <t>20GFE0013 – SUPPLY OF FUEL, OIL AND LUBRICANT FOR VARIOUS DPWH EQUIPMENT AND SERVICE VEHICLE – 3RD QUARTER</t>
  </si>
  <si>
    <t>Procurement of Medicines and Medical Supplies for 1st &amp; 2nd Quarter 2020 General Fund Allocation</t>
  </si>
  <si>
    <t>20GGJ0053 Supply and Delivery of Various Spare Parts of Service Vehicles and Heavy Equipment for the use of Maintenance Section, DPWH - ICDEO</t>
  </si>
  <si>
    <t>Supply and delivery of 600 sets Galvanized Metal Layer with 48 heads of ready-to-lay Pullets per set of cages, ABC PHP30,900,000.00</t>
  </si>
  <si>
    <t>Cont. Ref. No. 097-20: Construction of Barangay Hall Building (Extension) at Poblacion, Itogon, Benguet</t>
  </si>
  <si>
    <t>IMPROVEMENT OF LOCAL ACCESS ROAD (SLOPE PROTECTION) PUROK 1, PANAY</t>
  </si>
  <si>
    <t>20GGJ0052 Supply and Delivery of Office Supplies (4th Quarter, CY 2020) for the use of Office of the District Engineer, Office of the Asst. District Engineer, HRMDU, RMU, SPMU and Cash Unit, Administr</t>
  </si>
  <si>
    <t>Repair/Rehabilitation of Tumauini Community Hospital at Brgy. Lingaling, Tumauini, Isabela</t>
  </si>
  <si>
    <t>CLUSTER 40-2020</t>
  </si>
  <si>
    <t>Procurement of Construction Materials for Apartment Type Tomb, Siocon Public Cemetery</t>
  </si>
  <si>
    <t>Upgrading of Local Access Road in Salinungan West</t>
  </si>
  <si>
    <t>20DI0172 - Construction of Multi-Purpose Building, San Pedro, Laguna (Phase 1)</t>
  </si>
  <si>
    <t>Design and Build Scheme Infrastructure Project: Completion of Water System</t>
  </si>
  <si>
    <t>Supply and Delivery of 2 bots. Pointe Glucose Reagent and (19) other items under Purchase Request No. 1016-20</t>
  </si>
  <si>
    <t>RFQ / 20-06-0311 / PROCUREMENT OF 10 SETS BRAKE PAD AND 22 OTHER LINE ITEMS</t>
  </si>
  <si>
    <t>REHABILITATION OF 8-UNITS COMFORT ROOM AT SANGLEY POINT NATIONAL HIGH SCHOOL, SAN ANTONIO, CAVITE CITY</t>
  </si>
  <si>
    <t>Repair &amp; Rehabilitation of Barangay Road with Drainage System at Dalapang-Stimson Abordo Road, Ozamiz City</t>
  </si>
  <si>
    <t>20CB-GSC-461	PURCHASE OF IT EQUIPMENT FOR CEO</t>
  </si>
  <si>
    <t>20LB0191 - Road Widening along Davao City Div Rd - K1511 + 535 –  K1513 +700, K1514 + 100 - K1514 + 581, K1514 + 646 –  K1515 + 000</t>
  </si>
  <si>
    <t>20LB0194 - Road Widening &amp; Construction of Drainage along Daang Maharlika (MN) - K1507+223 - K1507+324 (L/S), K1507+369 - K1507+464 (R/S), K1507+475 - K1507+518 (L/S), K1507+518 - K1508+000</t>
  </si>
  <si>
    <t>“CONSTRUCTION OF EVACUATION CENTER PHASE II IN PAG-ASA ISLAND”</t>
  </si>
  <si>
    <t>CONSTRUCTION OF MATERIALS RECOVERY FACILITY BUILDING, CADAPLI</t>
  </si>
  <si>
    <t>Supply and delivery of 240 heads Gilt and 12 heads Boar to various MIC Farmers Associations in Leyte, ABC PHP11,220,000.00</t>
  </si>
  <si>
    <t>20GGJ0057 Supply and Delivery of Office Supplies for the Conduct of Pavement Management System (PMS) Calibration, Assessment and Validation Program for the use of Planning and Design Section, DPWH - I</t>
  </si>
  <si>
    <t>PURCHASE OF SCHOOL / CONVENTION BAGS (7,000 PCS.) FOR SCHOOLCHILDREN</t>
  </si>
  <si>
    <t>20GGJ0056 Supply and Delivery of Office Supplies for the Conduct of Inventory/Condition Inspection for the use of  Planning and Design Section, DPWH - ICDEO</t>
  </si>
  <si>
    <t>Cont. Ref. No. 096-20:Construction of Fence for Multi-Purpose Drying pavement @ Cashet at Dalupirip, Itogon, Benguet</t>
  </si>
  <si>
    <t>20BC0180 - Construction of 1 Storey 2 Classroom with CR, Sto. Domingo Elementary School, Piat Cagayan</t>
  </si>
  <si>
    <t>IMPLEMENTATION OF RMT PROJECTS</t>
  </si>
  <si>
    <t>Purchase of Digital Duplicating Machine</t>
  </si>
  <si>
    <t>Acquisition/Development of Relocation Site</t>
  </si>
  <si>
    <t>20BC0216 - Concreting of Brgy. Balingit FMR, Brgy. Balingit, Pamplona, Cagayan</t>
  </si>
  <si>
    <t>20GJ0114 Construction of Classrooms 3STY Unique Workshop at Fort San Pedro National High School, Iloilo City</t>
  </si>
  <si>
    <t>20IE0111 - Construction of Rainwater Collection System (RWCS),  Kawayan ES, Tabango, Leyte</t>
  </si>
  <si>
    <t>20LB0319 - Construction of Flood Mitigation Structure along Matina River, Matina Bridge Upstream, Matina Pangi Section, Left Bank, Davao City</t>
  </si>
  <si>
    <t>Procurement of Various Supplies for Construction of Vermi-compost Facility</t>
  </si>
  <si>
    <t>20CB-GSC-463	ELECTRONIC TERMINAL SYSTEM (ETRACS) FOR OBO</t>
  </si>
  <si>
    <t>Supply &amp; Delivery of various Construction Materials</t>
  </si>
  <si>
    <t>Procurement of Construction Materials for Road Opening with 1 unit Box Culvert</t>
  </si>
  <si>
    <t>CONSTRUCTION OF PERIMETER FENCE AT BFP BUILDING, MARIA CRISTINA EAST</t>
  </si>
  <si>
    <t>Supply and delivery of various Injectable Medicines for Ormoc District Hospital, ABC PHP1,733,500.00</t>
  </si>
  <si>
    <t>IMPROVEMENT OF PUBLIC TOILET WITH PWD PROVISION AT PUBLIC MARKET, SAN ROQUE, CAVITE CITY, BARANGAY 57, 27</t>
  </si>
  <si>
    <t>INVITATION TO BID FOR FABRICATION (BIKE LANE SIGNAGE'S) (BID NO. 200813-01)</t>
  </si>
  <si>
    <t>IMPROVEMENT OF BANGAR MEMORIAL PARK (ELECTRICAL AND APARTMENT), CONSUEGRA</t>
  </si>
  <si>
    <t>20GLB0066 - PR No. 06-047-20 dated June 29, 2020 - Procurement of Fuel to be use by Quality Assurance Section, DPWH-DCDEO, Davao City</t>
  </si>
  <si>
    <t>CONSTRUCTION OF 2-STOREY MULTI PURPOSE HALL BUILDING AT SAN ROQUE, CAVITE CITY, BARANGAY #62A</t>
  </si>
  <si>
    <t>PR 221-20-06-0692, CONSTRUCTION OF CONST. OF AVR-ICT ROOM AT GUADALUPE ELEM. SCHOOL, BRGY. GUADALUPE, THIS CITY.</t>
  </si>
  <si>
    <t>INVITATION TO BID FOR COMPUTER EQUIPMENT AND ACCESSORIES (BID NO. 200813-03)</t>
  </si>
  <si>
    <t>CONSTRUCTION OF DRAINAGE SYSTEM ALONG R. SAMONTE STREET JCT. H. DEL TRABAJO ST. - R. BASA, SAN ROQUE, CAVITE CITY, BARANGAY 56</t>
  </si>
  <si>
    <t>PROCUREMENT OF SECURITY SERVICES FOR THE MUNICIPAL GOVERNMENT OF INFANTA, QUEZON</t>
  </si>
  <si>
    <t>Supply &amp; Delivery of materials for the Construction of Three Classroom building (Ladao E/S) Sitio Namugho, Commonal, SNV.</t>
  </si>
  <si>
    <t>PURCHASE AND INSTALLATION OF SOLAR LIGHTS, RISSING</t>
  </si>
  <si>
    <t>20LB0321 - Road Widening along Davao - Cotabato Rd. (Davao City - Jct. Digos Sect.) K1519+920- K1519+1100, K1520+048 - K1520+183, K1520+204 - K1520+330, K1520+850 - K1520+950, K1523+310</t>
  </si>
  <si>
    <t>PR 221-20-06-0685, CONSTRUCTION OF AVR-ICT ROOM AT JULIO LEDESMA NATIONAL HIGH SCHOOL.</t>
  </si>
  <si>
    <t>Supply, Delivery, Installation, Configuration, Testing, Tagging and Commissioning of Collaboration System to Support the Command, Control, and Communications Information System (C3IS)</t>
  </si>
  <si>
    <t>Local Access Road - Concreting of Local Access Road from Munoz East to Dona Concha, Roxas, Isabela</t>
  </si>
  <si>
    <t>PR 221-20-06-0711, CONSTRUCTION OF CONST. OF AVR-ICT ROOM AT BAGONBON ELEMENTARY SCHOOL, BRGY BAGONBON, SAN CARLOS CITY.</t>
  </si>
  <si>
    <t>Supply and delivery of Various Medical Supplies for Leyte Provincial Hospital, ABC PHP2,506,900.00</t>
  </si>
  <si>
    <t>Invitation to Bid for Medical supplies for COVID-19</t>
  </si>
  <si>
    <t>Cont. Ref. No. 017-20:Construction of Canal at Naiba (near Josie Fagyan Residence) at Ucab, Itogon, Benguet</t>
  </si>
  <si>
    <t>Rehabilitation of Incident Command System Municipal Compound</t>
  </si>
  <si>
    <t>supply, delivery &amp; installation of Furniture &amp; Fixture</t>
  </si>
  <si>
    <t>20BC0217 - Concreting of Brgy. Gumarueng FMR, Brgy. Gumarueng, Piat, Cagayan</t>
  </si>
  <si>
    <t>SUPPLY AND DELIVERY OF LAPTOPS FOR DISTRIBUTION TO TEACHING AND TEACHING RELATED PERSONNEL OF ALL PUBLIC ELEMENTARY AND SECONDARY SCHOOLS IN MAKATI CITY</t>
  </si>
  <si>
    <t>CONSTRUCTION OF DRAINAGE SYSTEM ALONG LINO BARRON STREET, JCT. M.GREGORIO - J. AUDITOR ST., SAN ANTONIO, CAVITE CITY, BARANGAY 50</t>
  </si>
  <si>
    <t>TRAFFIC APPREHENSION I-DIGITAL SERVER SYSTEM</t>
  </si>
  <si>
    <t>PROCUREMENT OF BUSINESS INTELLIGENCE PLATFORM SUBSCRIPTION</t>
  </si>
  <si>
    <t>Reproduction and Binding of Learning Modules from G7-G10</t>
  </si>
  <si>
    <t>(JAE-PSNS) SUPPLY AND DELIVERY OF LABORATORY SUPPLIES FOR DEVELOPMENT OF LEGUME-BASED MULTI-NUTRIENT LICK PODS (MNLP)</t>
  </si>
  <si>
    <t>20GJ0116 Construction of Classroom 2STY8CL, Mandurriao ES, Iloilo City</t>
  </si>
  <si>
    <t>INVITATION TO BID FOR VEHICLE (4 WHEELS) AND ACCESSORIES (BID NO. 200813-07)</t>
  </si>
  <si>
    <t>subscription of Learning Management System</t>
  </si>
  <si>
    <t>Supply and Delivery of 50 bots. Alcohol Rubbing 500ml and (52) other items under Purchase Request No. 879-20</t>
  </si>
  <si>
    <t>PR 221-20-06-0713, CONSTRUCTION OF CONST. OF AVR-ICT ROOM AT QUEZON ELEMENTARY SCHOOL, BRGY QUEZON, SAN CARLOS CITY.</t>
  </si>
  <si>
    <t>SUPPLY AND DELIVERY OF OFFICE EQUIPMENT AND SUPPLIES FOR VARIOUS OFFICES AND DEPARTMENTS OF THE CITY GOVERNMENT OF MAKATI (2 LOTS)</t>
  </si>
  <si>
    <t>Construction/Rehabilitation of Curbs/Gutter and Sidewalk at Brgy. Kanluran</t>
  </si>
  <si>
    <t>Construction of URGP Building/ Commercial Building</t>
  </si>
  <si>
    <t>INVITATION TO BID FOR IT PROVIDER (BID NO. 200813-05)</t>
  </si>
  <si>
    <t>INVITATION TO BID FOR VEHICLE (4 WHEELS) AND ACCESSORIES (BID NO. 200813-06)</t>
  </si>
  <si>
    <t>Supply and Delivery of Water Tanker (Brand New, 12 Tons) Public Bidding No. 2019-007-G (Rebidding)</t>
  </si>
  <si>
    <t>Cont. Ref. No. 098-20: Construction of Steel Gate with 6' x 6' Canopy at Tabu E/S at Dalupirip, Itogon, Benguet</t>
  </si>
  <si>
    <t>Supply and delivery of Hog Feeds to various MIC Farmer Associations in Leyte, ABC PHP10,536,600.00</t>
  </si>
  <si>
    <t>Continuation of Drainage Improvement at Don Jose Zavalla Subd., Brgy. Pooc</t>
  </si>
  <si>
    <t>SUPPLY, DELIVERY AND INSTALLATION OF FURNITURE AND FIXTURES AT THE LAW DEPARTMENT, 18TH FLOOR MAKATI CITY HALL BUILDING I</t>
  </si>
  <si>
    <t>Improvement of Drainage System at Purok 4, Brgy. Malitlit</t>
  </si>
  <si>
    <t>Improvement/Rehabilitation of Drainage Canal at Dr. Zavalla St., Brgy. Kanluran</t>
  </si>
  <si>
    <t>INVITATION TO BID FOR QUARRY MATERIALS (BID NO. 200813-11)</t>
  </si>
  <si>
    <t>Supply and Delivery of Hemodialysis Bloodlines 3-in-1 with Drain Bag</t>
  </si>
  <si>
    <t>INVITATION TO BID FOR ELECTRICAL EQUIPMENT AND APPLIANCES - A (BID NO. 200813-09)</t>
  </si>
  <si>
    <t>SUPPLY AND DELIVERY OF JANITORIAL SUPPLIES FOR DAILY OPERATION OF THE CITY GOVERNMENT OF MAKATI</t>
  </si>
  <si>
    <t>ITB No. 20-068 Supply and Delivery of Various Immunology and Molecular Genetics Reagents and Supplies (Line Bidding)</t>
  </si>
  <si>
    <t>INVITATION TO BID FOR MEDICAL SUPPLIES AND MATERIALS (BID NO. 200813-13)</t>
  </si>
  <si>
    <t>INVITATION TO BID FOR JANITORIAL SUPPLIES AND MATERIALS (BID NO. 200813-10)</t>
  </si>
  <si>
    <t>PR# 20-0663- Customized Office Tables and Ready Made Office Chairs</t>
  </si>
  <si>
    <t>LOT 30-GAA -2020  SUPPLY AND DELIVERY OF ARTERIAL BLOOD GAS ANALYSIS REAGENT- MACHINE TIE UP</t>
  </si>
  <si>
    <t>LOT 32-GAA-2020 JANITORIAL SERVICES (REBIDDING)</t>
  </si>
  <si>
    <t>RE-ITB-20MF0081-CONSTRUCTION OF MULTI-PURPOSE BUILDING, BRGY. POBLACION, TACURONG CITY, SULTAN KUDARAT</t>
  </si>
  <si>
    <t>Proposed Slope Protection at Purok 6, Brgy. Dila</t>
  </si>
  <si>
    <t>CONSTRUCTION OF POBLACION  3  HUMAN RESOURCE AND MANPOWER DEVELOPMENT CENTER PHASE  II</t>
  </si>
  <si>
    <t>COMPLETION OF STANDARD BIRTHING CLINIC-BIYOY</t>
  </si>
  <si>
    <t>Purchase of Supplies and Equipments for Cabanglasan District Office and Schools within the District Lot 1,2,3</t>
  </si>
  <si>
    <t>Construction/Rehabilitation of Drainage System at Purok 1, Bgy. Balibago Besides Tram Plaza</t>
  </si>
  <si>
    <t>Construction of Two-Storey Multi-Purpose Building, Brgy. Dimanpudso, Ma. Aurora, Aurora</t>
  </si>
  <si>
    <t>PROCUREMENT OF VARIOUS CONSTRUCTION MATERIALS AND SUPPLIES USE IN CONSTRUCTION OF COMMUNITY QUARANTINE FACILITY (CONSTRUCTION OF PERMANENT TREATMENT AND MONITORING FACILITY) – PHASE I</t>
  </si>
  <si>
    <t>INVITATION TO BID FOR COMPUTER SUPPLIES AND MATERIALS (BID NO. 200813-15)</t>
  </si>
  <si>
    <t>20KG0065(Rebid) :  Modified Standard DPWH-DepEd Three (3) Storey Six (6) Classroom School Building at Carusa Integrated School (Option 1- Regular Classroom Layout), Kapatagan, Lanao del Norte</t>
  </si>
  <si>
    <t>Construction of Multipurpose Building at Brgy. Poblacion, San Andres, Quezon</t>
  </si>
  <si>
    <t>Supply and Delivery of Janitorial Services for Various Government Buildings</t>
  </si>
  <si>
    <t>CONSTRUCTION OF BUENAVISTA COMMUNITY HOSPITAL – PHASE  IV &amp; V</t>
  </si>
  <si>
    <t>INVITATION TO BID FOR OIL AND LUBRICANTS (BID NO. 200813-12)</t>
  </si>
  <si>
    <t>Invitation to Bid for Procurement of Semi-Expandable Equipment for Modular Learning</t>
  </si>
  <si>
    <t>Improvement of Multi-Purpose Hall 2, Brgy. Bannawag, Ma. Aurora, Aurora</t>
  </si>
  <si>
    <t>LOT 37-UOI-2020 VARIOUS AIRCONDITIONING UNITS</t>
  </si>
  <si>
    <t>INVITATION TO BID FOR THE  SUPPLY AND DELIVERY OF COLLECTION/DISCONNECTION NOTICE PR Nos. 27829-001, 27830-001</t>
  </si>
  <si>
    <t>INVITATION TO BID FOR THE SUPPLY AND DELIVERY OF MATERIALS FOR THE REHABILITATION OF HEALTH CENTER AT BRGY. MAMBAGO-A, SAMAL DISTRICT, IGACOS</t>
  </si>
  <si>
    <t>ROCUREMENT OF 15 PCS. TUBELESS TIRE FOR THE MAINTENANCE OF URBAN AMBULANCE</t>
  </si>
  <si>
    <t>Purchase of Diesel and Lubricants for Rehabilitation of Barangay Road, Hilop Poblacion, Cabanglasan Bukidnon Lot 1</t>
  </si>
  <si>
    <t>Purchase of Books for the Early Childhood Care and Development Students for the School Year 2020-2021</t>
  </si>
  <si>
    <t>Procurement of Kitchen and Supplies</t>
  </si>
  <si>
    <t>Supply and Delivery of Medicine for use at City Health Office, this city</t>
  </si>
  <si>
    <t>Purchase of Materials for Rehabilitation of Road (Mainaga- Sumbang Raod, Iba) Iba Cabanglasan, Bukidnon Lot 1,2</t>
  </si>
  <si>
    <t>Completion of Open Multi-Purpose Building, Brgy. Mucdol, Dipaculao, Aurora</t>
  </si>
  <si>
    <t>20GSK00011 - Re-ITB – SUPPLY AND DELIVERY OF OFFICE SUPPLIES FOR USE IN THE PLANNING AND DESIGN DIVISION FOR 2ND QUARTER, 2020</t>
  </si>
  <si>
    <t>Installation of CCTV’s in Strategic Areas with Street Lights, Intermittent Sections, Poblacion, Odiongan, Romblon</t>
  </si>
  <si>
    <t>Procurement of TABLET</t>
  </si>
  <si>
    <t>CONCRETING OF LOCAL ROADS, PALO POBLACION</t>
  </si>
  <si>
    <t>Upgrading / Rehabilitation of Togong-Banice-Balogo Local Access Road</t>
  </si>
  <si>
    <t>Purchase of Materials for Pasalubong Center lot 2</t>
  </si>
  <si>
    <t>Concreting of Banco-Florida Road, Ma. Aurora, Aurora</t>
  </si>
  <si>
    <t>Procurement of Equipment for the Upgrading of Environmental Research &amp; Analytical Laboratory Under Research &amp; Dev. Hub of ISAT U</t>
  </si>
  <si>
    <t>PB-2020-0010 Supply/Delivery of Fuel for use of service vehicles assigned in the conduct of validation, feasibility study, surveys of various projects of the district and for use in the official trave</t>
  </si>
  <si>
    <t>PR# 20-1428- To supply labor, materials and necessary equipment for the Improvement of Three (3) Classroom School Building with Comfort Rooms at Bancal Sinubli Elementary School, Bancal Sinubli, Lubao</t>
  </si>
  <si>
    <t>Construction of Barangay Road Dayhagan, Carles, Iloilo</t>
  </si>
  <si>
    <t>Purchase of Materials for Construction of Market Stalls (PhaseII) Market Site Poblacion Lot 2</t>
  </si>
  <si>
    <t>Proposed Concreting of Road @ Cristobal Ext. (Christ the King) Purok 4E, Barangay Sta. Rita, Olongapo City</t>
  </si>
  <si>
    <t>PROCUREMENT OF ONE (1) YEAR JANITORIAL SERVICES FOR TIEZA PRICIPAL OFFICE AND LIGHTS AND SOUND MUSEUM</t>
  </si>
  <si>
    <t>Purchase of Diesel Fuel, Special Gasoline, and Lubricants</t>
  </si>
  <si>
    <t>Widening and Slope Protection of FMR at Sobol-Calepaan (Nayaknak), Asingan, Pangasinan</t>
  </si>
  <si>
    <t>SUPPLY AND DELIVERY OF 43 UNITS DESKTOP COMPUTER FOR THE IMPLEMENTATION OF BASIC EDUCATION CONTINUITY PLAN OF SCHOOLS DIVISION OF THE CITY OF BATAC</t>
  </si>
  <si>
    <t>PROCUREMENT OF ONE (1) YEAR SECURITY SERVICES FOR TIEZA PRINCIPAL OFFICE</t>
  </si>
  <si>
    <t>Cont. Ref. No. 027-20: Rehabilitation of Footbridge at Tolebeng at Gumatdang, Itogon, Benguet</t>
  </si>
  <si>
    <t>Rebidding of Construction of Multi-Purpose Building with Storage Room and Public Comfort Room at Barangay Tumbaga 1, Sariaya, Quezon</t>
  </si>
  <si>
    <t>Invitation to Bid for Procurement of office supplies for modular Learning</t>
  </si>
  <si>
    <t>Proposed Installation of New 80W LED Streetlight at Brgy. United Better Living Main Road to Brgy. Bagong Silang</t>
  </si>
  <si>
    <t>INVITATION TO BID FOR THE SUPPLY AND DELIVERY OF MATERIALS FOR THE CONSTRUCTION OF MATERIAL RECOVERY FACILITY AT BRGY. MAMBAGO-A, SAMAL DISTRICT, IGACOS</t>
  </si>
  <si>
    <t>Completion of Multi-Purpose Building, Brgy. Bayabas, Dipaculao, Aurora</t>
  </si>
  <si>
    <t>Purchase of IT Equipment (Laptop, Desktop and Printer) for Various Schools in the City School Division of Bacoor - CSDO</t>
  </si>
  <si>
    <t>Concreting of Lambingan Road at Brgy. Campos</t>
  </si>
  <si>
    <t>To hire contractor to provide materials, labor and equipment for five (5) Infrastructure Projects (Tanjay) (B-107-2020)</t>
  </si>
  <si>
    <t>CONSTRUCTION OF SEPTIC VAULT ECO-PARK (KAHAYAGAN)</t>
  </si>
  <si>
    <t>Construction/Beautification of Public Plaza and Auditorium, Asingan, Pangasinan</t>
  </si>
  <si>
    <t>Misamis Oriental Swimming Pool Complex Naawan Central School, Naawan,  Misamis Oriental</t>
  </si>
  <si>
    <t>Purchase of Materials for Construction of Multi-Purpose Building U Canangaan, Cabanglasan, Bukidnon lot 1,2</t>
  </si>
  <si>
    <t>Rehabilitation/Improvement and Finishing of Barangay Labas Traditional Complementary and Alternative Medicine (TCAM) Center, Brgy. Labas</t>
  </si>
  <si>
    <t>CONSTRUCTION OF MULTI-PURPOSE BUILDING (Senior Citizen Building)</t>
  </si>
  <si>
    <t>REHABILITATION AND CONCRETING OF SITIO PUTOL - POBLACION - TULAY BUHANGIN ACCESS ROAD (PHASE IV)</t>
  </si>
  <si>
    <t>2019 Yearbook Printing</t>
  </si>
  <si>
    <t>20GSK00016 – SUPPLY AND DELIVERY OF SANITARY SUPPLIES FOR THE JANITORIAL MAINTENANCE AND COVID 19 PREVENTION OF DPWH X, 2ND QUARTER</t>
  </si>
  <si>
    <t>Concreting of Brgy. Road, Brgy. San Jose, San Luis, Aurora</t>
  </si>
  <si>
    <t>REPAIR OF 3F EXECUTIVE BUILDING</t>
  </si>
  <si>
    <t>Re-bidding of Fuel and Lubricants' Fleet Card for Official use of BFAR-13 July - December CY 2020</t>
  </si>
  <si>
    <t>Conversion of Saver Headquarters to ISAT U GAD Office</t>
  </si>
  <si>
    <t>Purchase of Materials forInstallation of Integrated Type Solar Street Lighting Units at Poblacion National Highway Road-Brgy Poblacion Lot 1,2 PB-2020-24</t>
  </si>
  <si>
    <t>CONSTRUCTION OF CABAMBANGAN CONCRETE CANAL COVER AND SHOULDER</t>
  </si>
  <si>
    <t>Re-bidding for the Procurement of Various Medical Books</t>
  </si>
  <si>
    <t>SUPPLY AND DELIVERY OF MATERIALS FOR THE BACKFILLING OF NAVAL WET MARKET BACK-UP AREA</t>
  </si>
  <si>
    <t>Supply and Delivery of Feeds, Fertilizers and Neutralizers for the Implementation of the Fisheries Projects/ Programs CY 2020</t>
  </si>
  <si>
    <t>PR-2020-1604 Supply, Delivery and Installation of One(1) unit Brand new Heavy Duty High Definition 16 Multi-Slice Spiral Computed Tomography Scanner (CT-SCAN)-PHO</t>
  </si>
  <si>
    <t>20GSK00013 - Re-ITB – SUPPLY &amp; DELIVERY OF DESKTOP COMPUTER &amp; LASER PROJECTOR FOR USE IN THE ADMINISTRATIVE DIVISION</t>
  </si>
  <si>
    <t>Construction of 2 Storey 4 Classroom School Building at Lourdes Elementary School, Alubijid,  Misamis Oriental</t>
  </si>
  <si>
    <t>INVITATION TO BID FOR CONTRACT FOR THE SUPPLY AND DELIVERY OF  VARIOUS FARM MACHINERIES AND EQUIPMENT CY 2020</t>
  </si>
  <si>
    <t>UPLB-RQ-7-151-20-RES SUPPLY AND DELIVERY OF OFFICE SUPPLIES &amp; DEVICES FOR BIOTECH</t>
  </si>
  <si>
    <t>Rehabilitation/Improvement of Canal in Front of Nissan at Brgy. Pulong Santa Cruz</t>
  </si>
  <si>
    <t>PROCUREMENT OF VARIOUS AGRICULTURAL PRODUCTS USE FOR THE VEGETABLE COMMUNAL AND BACKYARD GARDENING UNDER LAMBO PROGRAM</t>
  </si>
  <si>
    <t>PR 221-20-06-0753, CONSTRUCTION OF CONST. OF AVR-ICT ROOM AT QUEZON NATIONAL HIGH SCHOOL, BRGY QUEZON, SAN CARLOS CITY.</t>
  </si>
  <si>
    <t>Procurement of Supplies/Materials for Repair and Improvement of Marine</t>
  </si>
  <si>
    <t>PR-2020-1605 One (1) Unit Brand new Mobile Radiographic X-ray, Heavy duty-PHO</t>
  </si>
  <si>
    <t>SUPPLY AND DELIVERY OF ONE (1) LOT VARIOUS BRAND NEW HEAVY EQUIPMENT</t>
  </si>
  <si>
    <t>20GSK00014 – SUPPLY AND DELIVERY OF MFC, NETWORK VOLUME COLOR LASER PRINTER, A3 FOR USE IN THE CONSTRUCTION DIVISION</t>
  </si>
  <si>
    <t>LOT 33-GAA-2020 SUPPLY &amp; DELIVERY OF CARDIAC CATHETERIZATION LABORATORY SUPPLIES</t>
  </si>
  <si>
    <t>SUPPLY AND DELIVERY OF MOBILE CLINIC WITH FULL MEDICAL AND SURGICAL AMENITIES</t>
  </si>
  <si>
    <t>Purchase of Materials for Maintenance of Roads and Bridges at Cabanglasan Area 2020 Lot 2</t>
  </si>
  <si>
    <t>Garbage Collection and Disposal at Baseport for CY 2020 (ITB No. BAC-PNG BAC 2020-02)</t>
  </si>
  <si>
    <t>CLUSTER 25: EXTENSION OF DRRM OFFICE PHASE 4</t>
  </si>
  <si>
    <t>Invitation to Bid for the Supply and Delivery of Various Information and Communication Technology Resources in Line with the Implementation of the Information Systems Strategic Plan for CY 2020</t>
  </si>
  <si>
    <t>BIDDING FOR CONSTRUCTION OF EAMC MOLECULAR LABORATORY</t>
  </si>
  <si>
    <t>Construction of concrete drainage canal Swan E/S</t>
  </si>
  <si>
    <t>PROCUREMENT OF COMPUTER SETS, CPU AND KEYBOARD</t>
  </si>
  <si>
    <t>Repair of Barangay Health Center Barangay San Antonio</t>
  </si>
  <si>
    <t>Construction of FTMR Diome-Debucao, Ma. Aurora, Aurora</t>
  </si>
  <si>
    <t>Pag-IBIG Fund CHQ (SUPPLY AND DELIVERY OF THE Y2020 PAG-IBIG FUND CORPORATE GIVEAWAYS)</t>
  </si>
  <si>
    <t>Procurement of 2 Units Refrigerated Van</t>
  </si>
  <si>
    <t>Delivery of Various Office Supplies</t>
  </si>
  <si>
    <t xml:space="preserve">20PK0061 - Local Program: National Roads and Bridges – National Roads Construction/Repair/Rehabilitation/Improvement of Various Infrastructure Including Local Projects – Kalinga-Abra Road, K0 495+455 </t>
  </si>
  <si>
    <t>Installation of Electric Lights in the Civic Center Bgy. Dayhagan, Carles, Iloilo</t>
  </si>
  <si>
    <t xml:space="preserve">20PK0062 - Local Program: National Roads and Bridges – National Roads Construction/Repair/Rehabilitation/Improvement of Various Infrastructure Including Local Projects – Kalinga-Abra Road, K0 499+315 </t>
  </si>
  <si>
    <t>Construction of Barangay Multi-Purpose Building (Phase 1), Barangay Milagrosa, Quezon City</t>
  </si>
  <si>
    <t>20FC0030 : ASSET PRESERVATION – PREVENTIVE MAINTENANCE – PRIMARY ROADS; DAANG MAHARLIKA (LZ) K0337+245 – K0339+000</t>
  </si>
  <si>
    <t>Delivery of one (1) set  Generator</t>
  </si>
  <si>
    <t>Preventive Maintenance of Road: Asphalt Overlay – NIA North Road – (S05149LZ) Chainage 000 – Chainage 245, Quezon City</t>
  </si>
  <si>
    <t>Construction of Kasapa Bridge</t>
  </si>
  <si>
    <t>Supply and Delivery of VARIOUS CONSTRUCTION MATERIALS FOR MENRO SOLID WASTE SEGREGATION</t>
  </si>
  <si>
    <t>S3-TAL20-004 - Supply and Delivery of Various Mechanical Spares of Dale (EM:2006-TAG) and FG Wilson (EM:1606A-E93TAG4; EM:1106A-70TAG2) Perkins Gensets for Talicud DPP</t>
  </si>
  <si>
    <t>One (1) Lot – Multi-year Software Subscription for the existing Red Hat Enterprise Linux (RHEL) licenses inclusive of Technical Training, as per BSP Terms of Reference</t>
  </si>
  <si>
    <t>Supply of Hooded Windbreaker Jackets</t>
  </si>
  <si>
    <t>PROCUREMENT OF DAM INFORMATION MANAGEMENT SYSTEM INCLUDING SUPPLY, DELIVERY, INSTALLATION, TESTING AND COMMISSIONING OF EQUIPMENT</t>
  </si>
  <si>
    <t>20CSDD04 - Consultancy Services for the Conduct of Geotechnical Investigation/Soil Exploration, Tanauan - Talisay - Tagaytay Road, K0082+250 - K0082+255 (L/S), K0083+209 - K0083+268 (R/S), K0083+287 -</t>
  </si>
  <si>
    <t>S1-CUL20-012 (PB2) - Supply and Delivery of Mechanical Spare Parts for Dale Perkins 2006 TGI for Culion Diesel Power Plant</t>
  </si>
  <si>
    <t>S3-PPP20-004 &amp; 3 OTHERS - Supply and Delivery of Various Mechanical Spare Parts of Perkins Generator Sets of SPUG WMOD Plants</t>
  </si>
  <si>
    <t>Procurement of Services for the Document Warehouse Management for CY 2020</t>
  </si>
  <si>
    <t>20GDB0036 Supply of Materials for the Repair and Maintenance of various National Roads, Batangas 1st LD (Premix Patching Bituminous Pavement)</t>
  </si>
  <si>
    <t>20GDB0033 Supply of Materials for the Repair/Resealing of Bituminous Pavement along Diokno Highway, K0089+500-K0090+000, Dayapan Section, Lemery, Batangas</t>
  </si>
  <si>
    <t>Repair/Rehabilitation of Staging Tank and Drilling of one (1) 150mmØ Production Well at PhilRice Batac under PRRI-PB-2020-037</t>
  </si>
  <si>
    <t>PROCUREMENT OF OFFICE TABLES AND CONFERENCE &amp; SESSION TABLES</t>
  </si>
  <si>
    <t>S3-NAQ20-015 - Supply and Delivery of Mechanical Spare Parts for 600kW, KTA-38 Cummins Diesel Engine of Senator Ninoy Aquino DPP</t>
  </si>
  <si>
    <t>20GGD0003 - PROCUREMENT AND DELIVERY OF COMPUTERS AND ACCESSORIES TO BE USED IN THE CONSTRUCTION, FINANCE, MAINTENANCE AND QUALITY ASSURANCE SECTION IN CONNECTION FOR THE CONDUCT OF FEASIBILITY STUDY/</t>
  </si>
  <si>
    <t>Procurement of Post-Harvest Equipment and Processing Utensils and Supplies CY 2020</t>
  </si>
  <si>
    <t>Supply and Delivery of Cotton Rags (2 lots)</t>
  </si>
  <si>
    <t>SUPPLY/DELIVERY OF VARIOUS OFFICE SUPPLIES NOT AVAILABLE IN THE DBM-PS FOR USE OF PMO BATANGAS INCLUDING TMOS</t>
  </si>
  <si>
    <t>20GDB0032 Supply of Materials for the Repainting of Guardrails including Posts along various National Roads, Batangas 1st LD</t>
  </si>
  <si>
    <t>Concreting/ Improvement of Daan Lungsod- Calangahan Road, Tuburan, Cebu</t>
  </si>
  <si>
    <t>DRAINAGE REHABILITATION AT PUROK I, BRGY. SAN ISIDRO</t>
  </si>
  <si>
    <t>Supply and Delivery of Office Equipment for CPSU – San Carlos Campus</t>
  </si>
  <si>
    <t>Supply and delivery of equipment for Balanga City Garments Association</t>
  </si>
  <si>
    <t>Concreting/ Improvement of Poblacion Samboan-Canang Road Section, Samboan, Cebu</t>
  </si>
  <si>
    <t>REHABILITATION OF BOTH SIDE COVERED CANAL AT BRGY. POBLACION II</t>
  </si>
  <si>
    <t>Proposed Development of Resettlement Site (RCPC Installation, Headwall Construction and Slope Protection) at Purok Mangga, Brgy. Kalaisan, Kidapawan City</t>
  </si>
  <si>
    <t>SUPPLY, DELIVERY AND INSTALLATION OF LABORATORY EQUIPMENT FOR LECTIN PROJECT</t>
  </si>
  <si>
    <t>Concreting/ Improvement of Mantalongon-Villacaridad Road Section, Dalaguete, Cebu</t>
  </si>
  <si>
    <t>Concreting/ Improvement of Talaga-Lapay Road Section, Argao, Cebu</t>
  </si>
  <si>
    <t>20CSDD03 - Consultancy Services for the Conduct of Pavement Core Test of the following road sections namely: 1. Daang Maharlika (LZ) – 12.605 km.; 2. Manila – Batangas Road – 11.193 km.; 3. Banay-Bana</t>
  </si>
  <si>
    <t>20GG00018 (Rebid) - Procurement of Pest Control Treatment of DPWH Buildings and Disinfection Premises and Working Area, DPWH Regional Office VI, Iloilo City</t>
  </si>
  <si>
    <t>Concreting/ Improvement of Mompeller-Balaas (Vegetable Highway) Road Section, Argao, Cebu</t>
  </si>
  <si>
    <t>RM Feeding Center</t>
  </si>
  <si>
    <t>ICT Equipments</t>
  </si>
  <si>
    <t>Concreting/ Improvement of Candabong-Hampang Road Section, Argao, Cebu</t>
  </si>
  <si>
    <t>Supply/Delivery of Van Highroof Ambulance for the LGU of Palo, Leyte  PR No. 20-06-0345</t>
  </si>
  <si>
    <t>Concreting/ Improvement of Cawayan-Malones Road Section, Dalaguete, Cebu</t>
  </si>
  <si>
    <t>Concreting/ Improvement of Balaas-Manlapay Road Section, Dalaguete, Cebu</t>
  </si>
  <si>
    <t>UPGRADING OF MAGSIDEL-DIBAY ROAD  at Barangay Magsidel , Calayan, Cagayan</t>
  </si>
  <si>
    <t>PAYMENT FOR INTERNET LOAD</t>
  </si>
  <si>
    <t>Supply and Delivery of Various Brand New Motor Vehicles (BAC-IB No.: 2020-33)</t>
  </si>
  <si>
    <t>Supply and Delivery of Personal Protective Equipment for COVID19 Pandemic</t>
  </si>
  <si>
    <t>PHOTOCOPY OF LIQUIDATION &amp; OTHER SCHOOL REPORTS</t>
  </si>
  <si>
    <t>PROJECT: PROCUREMENT OF FERTILIZER FOR TOBACCO FARMERS</t>
  </si>
  <si>
    <t>Supply and Delivery of Rapid Testing Kits for COVID19 Pandemic</t>
  </si>
  <si>
    <t>One (1) Job Labor, Materials and Equipment Rentals for the Construction of Multi-Purpose Building of Brgy. Malusgod, Pototan, Iloilo</t>
  </si>
  <si>
    <t>PROCUREMENT OF MINI-LOADER FOR LGU BAGULIN, LA UNION</t>
  </si>
  <si>
    <t>CONSTRUCTION (RENOVATION) OF MUNICIPAL LEGISLATIVE BUILDING FOR TALAYAN, MAGUINDANAO</t>
  </si>
  <si>
    <t>Rehabilitation of Rural Health Unit (Laboratory Room)</t>
  </si>
  <si>
    <t>AGR-20-0883-B Purchase of Projector</t>
  </si>
  <si>
    <t>INVITATION TO BID FOR DRUGS AND MEDICINES (BID NO. 200813-14)</t>
  </si>
  <si>
    <t>SUPPL AND DELIVERY OF DRUGS &amp; MEDICINES</t>
  </si>
  <si>
    <t>20-010-07 CHARLIE "CATBALOGAN AIRPORT DEVELOPMENT PROJECT (CONSTRUCTION OF RUNWAY EXTENSION)"</t>
  </si>
  <si>
    <t>Concreting/ Improvement of Bae-Mompeller Road Section, Argao, Cebu</t>
  </si>
  <si>
    <t>Production of Fifteen (15) Video Episodes for TuklaSiyensya (nuLab STEM Modules)</t>
  </si>
  <si>
    <t>20-001-07 DELTA "KALIBO AIRPORT DEVELOPMENT PROJECT (Asphalt Overlay of Runway; Concreting of Fire Truck Access Road; Strip Width Correction; Relocation of Access Road, Irrigation Canal; Perimeter Fen</t>
  </si>
  <si>
    <t>Construction of 5-Storey Multi-Purpose Building (Living Quarters), Phase 2, Camp Aguinaldo, Quezon City</t>
  </si>
  <si>
    <t>20FC0066 : ASSET PRESERVATION – REHABILITATION/ RECONSTRUCTION OF NATIONAL ROADS WITH SLIPS, SLOPE COLLAPSE AND LANDSLIDE – TERTIARY ROADS BATOBALANI – TAWIG – TUGOS – PARACALE RD. K0331+440 – K0331+4</t>
  </si>
  <si>
    <t>CLUSTER 3. IMPROVEMENT OF SINCO-TOPINAO(PHASE II),IMPROVEMENT OF YAGYAGAN-AMPUSA JUNCTION MULTI-PURPOSE BUILDINGIMPROVEMENT OF TAGADI-TADIANGAN BARANGAY ROAD</t>
  </si>
  <si>
    <t>20PK0060 - Local Program: National Roads and Bridges – National Roads Construction/Repair/Rehabilitation/Improvement of Various Infrastructure Including Local Projects – Kalinga-Abra Road, K0 470+890.</t>
  </si>
  <si>
    <t>INVITATION TO BID FOR VEHICLE (2 WHEELS) AND ACCESSORIES (BID NO. 200813-08)</t>
  </si>
  <si>
    <t>SUPPLY OF LABOR AND MATERIALS FOR THE ARCHITECTURAL AND MECHANICAL WORKS AT ATD LABORATORY, TDD and OED OFFICES</t>
  </si>
  <si>
    <t>20GJ0115 Construction of Classrooms 2STY4CL, Taal ES, Iloilo City</t>
  </si>
  <si>
    <t>20FC0109 : FLOOD CONTROL STRUCTURES/FACILITIES – REPAIR/IMPROVEMENT AND RESTORATION OF DAET RIVER CONTROL, DAET, CAMARINES NORTE</t>
  </si>
  <si>
    <t>Improvement of Multi-Purpose Center Bgy. Dayhagan, Carles, Iloilo</t>
  </si>
  <si>
    <t>SUPPLY AND DELIVERY OF SOFTWARE LICENSES FOR SERVER (VXRIAL HYPER-CONVERGED INFRASTRUCTURE APPLIANCE MAINTENANCE AGREEMENT)</t>
  </si>
  <si>
    <t>PR 221-20-06-0694, CONSTRUCTION OF CONST. OF AVR-ICT ROOM AT KATINGAL-AN ELEMENTARY SCHOOL, THIS CITY.</t>
  </si>
  <si>
    <t>Installation of Metal Cladding infront/leftside of Solano Pasalubong Center, Pob. South, SNV.</t>
  </si>
  <si>
    <t>One(1) Job Labor, Materials and Equipment Rentals for the Rehab of Municipal Road (Reblocking) of R.Y. Ladrido St., Pototan, Iloilo</t>
  </si>
  <si>
    <t>CONSTRUCTION OF CONCRETE CURB, GUTTER AND SIDEWALK ALONG CHIEF MARTIN ST.-CRESCINI ST., CARIDAD, CAVITE CITY JCT. MOLINA ST-CRESCINI ST., BARANGAY 40</t>
  </si>
  <si>
    <t>INVITATION TO BID FOR COMPUTER EQUIPMENT AND ACCESSORIES (BID NO. 200813-04)</t>
  </si>
  <si>
    <t>20GLB0068 - PR No. 07-049-20 dated July 2, 2020 - Purchase of Wide Format Printer (Mono Print, Copy, Scan) for the use of Planning and Design Section - DPWH- DCDEO, Davao City</t>
  </si>
  <si>
    <t>20CSFE02 - Consulting Services for the Parcellary Survey of Daang Maharlika (LZ) (S03523LZ) - K0397 + (-354) - K0433 + 965 under the Jurisdiction of Camarines Sur 2nd District Engineering Office</t>
  </si>
  <si>
    <t>Tipping Services for the Disposal of Residuals to other authorized Sanitary Landfill</t>
  </si>
  <si>
    <t>Rehabilitation of Building II Phase I Municipal Compound</t>
  </si>
  <si>
    <t>INVITATION TO BID FOR MEDICAL EQUIPMENT (BID NO. 200813-02)</t>
  </si>
  <si>
    <t>CONDUCT OF INSET</t>
  </si>
  <si>
    <t>Construction of Brgy. Resettlement Access Road</t>
  </si>
  <si>
    <t>PROCUREMENT OF SERVICES FOR THE CRAFTING &amp; INSTALLATION OF LIFE SIZE STATUE OF GENERAL ARCADIO MAXILOM – REBID</t>
  </si>
  <si>
    <t>REPAIR AND REHABILITATION OF E-LIBRARY HUB AT LADISLAO DIWA ELEMENTARY SCHOOL, CARIDAD, CAVITE CITY</t>
  </si>
  <si>
    <t>20BC0211 - Repair/Maintenance of DPWH Building Warehouse Building, Libertad, Abulug, Cagayan</t>
  </si>
  <si>
    <t>20LB0259 - Reconstruction to Concrete Pavement along Slaughter House - F. Torres Bridge - Gold St. - Ruby St. - Gov. Gregorio V. Cañeda Rd. (Circumferential Rd.), Davao City</t>
  </si>
  <si>
    <t>Reposting Procurement of Dog Trap in Support to Dog Termination Program</t>
  </si>
  <si>
    <t>20LB0320 - Road Widening along Davao - Cotabato Old Rd - K1522+678 - K1522+808, K1522+826 - K1522+968, K1525+328, K1525+563 - K1525+570</t>
  </si>
  <si>
    <t>Supply &amp; Delivery of materials for the Completion of One Classroom School Building at Brgy. Commonal, sNV.</t>
  </si>
  <si>
    <t>Supply, Delivery &amp; Installation of  Airconditioning Units at the Administration &amp; CAS Building-Cabarroguis Campus</t>
  </si>
  <si>
    <t>REHABILITATION OFROOFING OF STAGE AT SANGLEY POINT NATIONAL HIGH SCHOOL, SAN ANTONIO, CAVITE CITY</t>
  </si>
  <si>
    <t>SUPPLY, DELIVERY AND COMMISSIONING OF INFANT INCUBATOR</t>
  </si>
  <si>
    <t>Supply and delivery of Poultry Feeds to Various Farmer Associations in Leyte, ABC PHP7,824,000.00</t>
  </si>
  <si>
    <t>rental of Jeepneys</t>
  </si>
  <si>
    <t>Cont. Ref. No. 050-20:Construction of footpath at Lower Co-og (Conrado’s Kimbes Residence)  at Tinongdan, Itogon, Benguet</t>
  </si>
  <si>
    <t>PR 18-20-06-0788, FOR USE IN REHABILITATION AND RENOVATION OF SO. MAG-AMIHAN BRGY HEALTH STATION.</t>
  </si>
  <si>
    <t>INSTALLATION OF SOLAR STREETLIGHTS 15 UNITS</t>
  </si>
  <si>
    <t>20DI0173 - Construction of Multi-purpose Building, Brgy. Pulong Santa Cruz, Sta. Rosa City, Laguna</t>
  </si>
  <si>
    <t>20GGJ0055 Supply and Delivery of Materials for the conduct of Monitoring and Evaluation System including Travel Time Survey Program for the use of Planning and Design Section, DPWH - ICDEO</t>
  </si>
  <si>
    <t>20GGJ0054 Supply and Delivery of Materials for the conduct of Road Condition and Inventory Surveys, Roughness Surveys, VOC/RUC Surveys and Technology Enhancement for RBIA for the use of Planning and D</t>
  </si>
  <si>
    <t>20GFE0014 – PURCHASE OF UNMANNED AERIAL VEHICLE/SYSTEM (UAV/UAS/RPA) – MULTIROTOR CAMERA DRONE (FOR INSPECTION/MONITORING)</t>
  </si>
  <si>
    <t>PURCHASE OF MATERIALS FOR IMPROVEMENT OF LGU BEACH (2ND POSTING)</t>
  </si>
  <si>
    <t>Procurement of Life Saving and Rescue Equipments for the use in the conduct of Search, Rescue and Recovery Operations of Provincial Disaster Risk Reduction and Management Office, Kalibo, Aklan /ITB no</t>
  </si>
  <si>
    <t>20BC0182 - Construction of 2 Storey 6 Classroom, Piat National School, Piat Cagayan</t>
  </si>
  <si>
    <t>Construction of 6 Units Handwashing Facility</t>
  </si>
  <si>
    <t>PR 31-20-07-0814, FOR THE USE OF PUBLIC DISTRICT SCHOOLS STUDENTS, TEACHERS OF DEPED DIVISION OF SAN CARLOS CITY, NEG. OCC.</t>
  </si>
  <si>
    <t>2020-007 INFRA "IMPROVEMENT OF TAU DATA CENTER AND CAMPUS NETWORK INFRASTRUCTURE"</t>
  </si>
  <si>
    <t>Invitation to Bid for the Expansion of Level 3 Water System Phase 12</t>
  </si>
  <si>
    <t>Supply and Delivery of 1,828 bags Hybrid Yellow Corn Seeds Total ABC: Php8,226,000.00</t>
  </si>
  <si>
    <t>Procurement of Agricultural and Marine Supplies for Registered Fishermen of Vigan City</t>
  </si>
  <si>
    <t>Improvement of Multi Purpose Building Extension</t>
  </si>
  <si>
    <t>Renovation of Brgy. Hall</t>
  </si>
  <si>
    <t>Supply and Delivery of Assorted Office/Other Supplies and Materials</t>
  </si>
  <si>
    <t>SUPPLY, DELIVERY AND INSTALLATION OF OFFICE FURNITURE AND FIXTURE FOR USE IN CASC, SCI LAB, D POST OFFICE, CESC, GUIDANCE OFFICE, KMS OFFICE, REGISTRATION &amp; ADMISSION OFFICE AND SSC OFFICE</t>
  </si>
  <si>
    <t>Supply &amp; Delivery of One (1) Unit Multi-Purpose Vehicle</t>
  </si>
  <si>
    <t>Supply and Delivery of 1 Lot of Multi Cab for Barangay Medical/Rescue Operations</t>
  </si>
  <si>
    <t>Land Development Project (Phase I) at Tourism Complex, Mati City,  Davao Oriental</t>
  </si>
  <si>
    <t>Contract ID No. 19CSK00043 – Consulting Services for the Conduct of  Soil Testing/ Exploration for Bridge Projects-Geotechnical Investigation for the Construction of By-Pass and Diversion Roads, CDO-N</t>
  </si>
  <si>
    <t>Repair &amp; Rehabilitation of Barangay Dalapang Barangay Road with Drainage System at Pantaon-Dalapang Road, Ozamiz City</t>
  </si>
  <si>
    <t>REHABILITATION OF SCHOOL BUILDINGS</t>
  </si>
  <si>
    <t>Labor &amp; Materials for the Proposed Rehabilitation of Barangay Water System</t>
  </si>
  <si>
    <t>Supply of fuels for the proposed road rehabilitation/crowning and compaction of various barangay roads of different barangays (New Bohol, Nuangan, Onica, Paco, Patadon) all of Kidapawan City</t>
  </si>
  <si>
    <t>Supply and delivery of lubricant and additives for the use of the various Heavy Equipment (Motor pool) of the City Government of Kidapawan</t>
  </si>
  <si>
    <t>Supply of fuels for the proposed road rehabilitaton/crowning and compaction of various barangay roads of different barangays (Manongol, Marbel, Mateo, Meohao, Mua-an) all of Kidapawan City</t>
  </si>
  <si>
    <t>Contract ID No. 19CSK00044 – Consulting Services for the Conduct of  Soil Testing/ Exploration for Bridge Projects-Geotechnical Investigation for the Construction of By-Pass and Diversion Roads, Easte</t>
  </si>
  <si>
    <t>Public Bidding for the Proposed Renovation &amp; Improvement of Emergency Room at Roxas Memorial Provincial Hospital, Under ITB No. 2020-005C</t>
  </si>
  <si>
    <t>Straight Contract for Improvement of New Market, Brgy. Caradio-an, Himamaylan City</t>
  </si>
  <si>
    <t>Local Access Road Construction at Poblacion to Aurelio (Cemetery Area)</t>
  </si>
  <si>
    <t>Supply and Delivery of Agricultural Farm Machineries and Equipment /Inputs under CRFPSP</t>
  </si>
  <si>
    <t>20GGM0016 - Procurement of Engineering and Laboratory Testing Equipment for use in the Bridge Engineering and Building Inspection of the projects, DPWH, Negros Occidental 3rd District Engineering Offi</t>
  </si>
  <si>
    <t>Contract ID No. 19CSK00042 – Consulting Services for the Conduct of  Soil Testing/ Exploration for Bridge Projects-Geotechnical Investigation of the Construction of By-Pass and Diversion Roads, Puerto</t>
  </si>
  <si>
    <t>CONCRETING OF FMR (Provincial Road) Sta. Justa, Tibiao, Antique/IB No. K-2020-077(SC)</t>
  </si>
  <si>
    <t>20BF0065: Concreting of Brgy. Sta. Rita to Brgy. Nampicuan FMR, Brgy. Sta. Rita to Brgy. Nampicuan, Aurora, Isabela</t>
  </si>
  <si>
    <t>Construction of Drainage System Along Daumar St. from JR Borja St. to J. Ramonal St. (Brgy. 32) SN 162 - 2020</t>
  </si>
  <si>
    <t>Procurement of Air Condition Floor Mounted  with Installation - MHO</t>
  </si>
  <si>
    <t>CID No. 20GLE0097/PR 20-07-0151 Purchase of Fuel for use in various Equipment/Service Vehicle Davao-Sarangani Coastal Road (Sta.Maria-Malita-JAS-Glan), H-way Jnct.-lagumit-little baguio, New Argao, La</t>
  </si>
  <si>
    <t>FURNISHED LABOR AND MATERIALS FOR THE CONSTRUCTION OF TRIBAL HALL</t>
  </si>
  <si>
    <t>INSTALLATION OF STREET LIGHTS ALONG PROVINCIAL ROAD FROM PUROK 3 TO PUROK 4, BARANGAY COMAGASCAS</t>
  </si>
  <si>
    <t>CID No. 20GLE0098/PR 20-07-0152 Purchase of Fuel for use in various Equipment/Service Vehicle Davao-Sarangani Coastal Road (Sta.Maria-Malita-JAS-Glan), Sta. Maria-Malita, Pangian-Pinalpalan Road, Demo</t>
  </si>
  <si>
    <t>One (1) lot New Air Conditioning Units at Reception Area, Building A-Annex, BSP Quezon City</t>
  </si>
  <si>
    <t>CID No. 20GLE0091/PR 20-07-0145 Purchase of Spare Parts for use in Heavy Equipment</t>
  </si>
  <si>
    <t>20GMH066 - SUPPLY/DELIVERYOFITSUPPLIESFORUSEOFPLANNINGANDDESIGNSECTION,DPWH-SULTANKUDARAT 2ND DISTRICT ENGINEERING OFFICE</t>
  </si>
  <si>
    <t>CID No. 20GLE0090/PR 20-07-0144 Purchase of Spare Parts and Oils for use in Heavy Equipment</t>
  </si>
  <si>
    <t>Upgrading and Improvement of Proper Anlugan to Compound Anlugan Road</t>
  </si>
  <si>
    <t>Purchase of Generator Set to be installed at New Public Market, Barangay Poblacion, Lobo, Batangas</t>
  </si>
  <si>
    <t>GF-20-06-00893 SUPPLY, INSTALLATION, TESTING AND COMMISSIONING OF AN ONLINE UNIFIED BUSINESS PERMIT APPLICATION SYSTEM FOR NEW, RENEWAL, AMENDMENT AND SPECIAL BUSINESS PERMITS (PHASE I)</t>
  </si>
  <si>
    <t>20BD0137 – REPAIR/MAINTENANCE OF NATIONAL ROAD: ASPHALT OVERLAY ALONG KALINGA CALANAN ROAD, K442+395 – K442+830 BL, ENRILE, CAGAYAN</t>
  </si>
  <si>
    <t>CONSTRUCTION OF EVACUATION CENTER (Brgy. Maray, Bugasong, Antique) /IB No. K-202-078(SC)</t>
  </si>
  <si>
    <t>Riprapping of brgy. road @  Sitio Aguada San Teodoro,Mabini,Batangas</t>
  </si>
  <si>
    <t>20GMH065 - SUPPLY/DELIVERYOFHEALTHPERSONALEQUIPMENTFORUSEINGENDERANDDEVELOPMENT(GAD)PROGRAM,DPWH-SULTANKUDARAT 2ND DISTRICT ENGINEERING OFFICE</t>
  </si>
  <si>
    <t>PROCUREMENT OF BROADCAST EQUIPMENT</t>
  </si>
  <si>
    <t>FURNISHING AND DELIVERY OF ONE (1) UNIT CAMERA AND TWO (2) UNITS LAPTOP</t>
  </si>
  <si>
    <t>Procurement of Various Seeds (Vegetable Production)-DA,Lopez Jaena</t>
  </si>
  <si>
    <t>Supply and Delivery of Two (2) Units Emergency Transport Vehicle to be used in the Office of the Municipal Mayor, Naujan, Oriental Mindoro</t>
  </si>
  <si>
    <t>Provision of Assistive Devices for Person with Disabilities (PWD) of Municipality of Madridejos,Cebu</t>
  </si>
  <si>
    <t>CLUSTER N13-2020</t>
  </si>
  <si>
    <t>Procurement of Soil Enhancer -Chicken Dung(Crop Production)-DA,Lopez Jaena</t>
  </si>
  <si>
    <t>PACKAGE 20-35:  REHABILITATION/RENOVATION OF MODERN ABATTOIR BUILDING</t>
  </si>
  <si>
    <t>CID No. 20GLE0096/PR 20-07-0150 Purchase of Fuel for use in various Equipment/Service Vehicle Davao-Sarangani Coastal Road (Sta.Maria-Malita-JAS-Glan) Lapuan - Caburan Road Section Within Davao Occide</t>
  </si>
  <si>
    <t>Procurement of one (1) unit service vehicle 4x2 pick-up type</t>
  </si>
  <si>
    <t>Additional Fund for the Construction of Multi-Purpose Hall, Brgy. Ura</t>
  </si>
  <si>
    <t>Procurement of Oil and Lubricants of Motorpool</t>
  </si>
  <si>
    <t>ITB - Concreting of Brgy. Roads</t>
  </si>
  <si>
    <t>PROCUREMENT OF LIGHTING EQUIPMENT</t>
  </si>
  <si>
    <t>Supply and Delivery of 285 bags of yellow corn seeds under the corn production program chargeable against the 20% Economic Development Fund (EDF), this municipality.</t>
  </si>
  <si>
    <t>Procurement of five (5) units of cellphone</t>
  </si>
  <si>
    <t>Installation of Electrical Main Feederline for 3 units – 2 Storey Cottages</t>
  </si>
  <si>
    <t>Purchase of One (1) Set. Generator 45 KVA for MACWAS,Sitio Lutak,Kangwayan,Madridejos,Cebu</t>
  </si>
  <si>
    <t>Construction of Multi-Purpose Hall, Brgy. Masagana</t>
  </si>
  <si>
    <t>Procurement of One (1) unit Motorcycle</t>
  </si>
  <si>
    <t>20IE0116 - Construction of Rainwater Collection System (RWCS),  Juson ES, Calubian, Leyte</t>
  </si>
  <si>
    <t>CONSTRUCTION OF TRIBAL HALL WITH AMENITIES AND CAPABILITY BUILDING FOR IKSP</t>
  </si>
  <si>
    <t>Repair/Maintenance of DILG Building Cotabato Police Prov’l Office Building, Amas, Kidapawan City</t>
  </si>
  <si>
    <t>Additional Fund for the Construction of Evacuation Center</t>
  </si>
  <si>
    <t>Repair/Maintenance of Big Mateo Bridge Revetment along Kidapawan-Magpet-Pangao-an Road, Big Mateo Bridge approach “B” (Downstream)</t>
  </si>
  <si>
    <t>Construction of Perimeter Fence with Steel Gate</t>
  </si>
  <si>
    <t>Procurement and Delivery of Office Supplies</t>
  </si>
  <si>
    <t>Purchase of Feeding Materials for Supplemental Feeding Program for Severely Malnourished Children of Fourteen (14) Barangays of Municipality of Madridejos,Cebu</t>
  </si>
  <si>
    <t>Repair of Perimeter Fence, San Jose District Hospital Poblacion, San Jose, Romblon</t>
  </si>
  <si>
    <t>Supply and Delivery of Petroleum Products for Road Maintenance</t>
  </si>
  <si>
    <t>Procurement and Installation of CCTV Cameras in the Public Market</t>
  </si>
  <si>
    <t>ITB - Concreting of Brgy. Road</t>
  </si>
  <si>
    <t>Rehabilitation/Improvement/Widening of Agnaga-Talisay Provincial Road Romblon, Romblon</t>
  </si>
  <si>
    <t>Supply and Delivery of 1 lot Laboratory Equipment for Food Technology Laboratory Use of Bukidnon State University</t>
  </si>
  <si>
    <t>Proposed Purchase of various supplies for Enhancement of Barangay Tanod Parapernalias</t>
  </si>
  <si>
    <t>Contract for One (1) Lot Comprehensive Maintenance of Conveyance System under PR No. RS-0919-033 and ITB No. 2001-004-02</t>
  </si>
  <si>
    <t>PROCUREMENT OF INFORMATION TECHNOLOGY (IT) EQUIPMENT OF THE MUNICIPALITY OF LIMASAWA, SOUTHERN LEYTE</t>
  </si>
  <si>
    <t>Concreting of Road &amp; Construction of Perimeter Fence at Poblacion Central School, Sual</t>
  </si>
  <si>
    <t>Supply &amp; Delivery of Materials for the Renovation/Expansion of Tabugon Health Station</t>
  </si>
  <si>
    <t>One (1) Lot Supply of Labor, Tools, Equipment, Materials and Supplies, including Supervision for Janitorial, Hauling, Landscaping and Other Related Services for BSPRO Davao (1 Year Contract), as per B</t>
  </si>
  <si>
    <t>Supply &amp; Delivery of Materials for the Repair and Maintenance of Infrastructure Assets (Guba Bridge)</t>
  </si>
  <si>
    <t>Concreting of Brgy. Nagpalangan Road, Binmaley, Pangasinan</t>
  </si>
  <si>
    <t>Purchase of Search and Rescue (SAR), Tools and Equipment</t>
  </si>
  <si>
    <t>Assistance to Barangay Solid Waste MAnagement Program</t>
  </si>
  <si>
    <t>Construction/Improvement of Flood Control System</t>
  </si>
  <si>
    <t>Improvement of Dietary and Laundry Room at Umingan Community Hospital</t>
  </si>
  <si>
    <t>ITB - Construction of Slope Protection</t>
  </si>
  <si>
    <t>Supply &amp; Delivery of Materials for the Improvement/Renovation of Municipal Building (Phase II)</t>
  </si>
  <si>
    <t>Proposed Flu Vaccine for Wellness Enhancement Program (Libreng Bakuna sa Dasma)</t>
  </si>
  <si>
    <t>SUPPLY &amp; DELIVERY OF LABORATORY SUPPLIES &amp; REAGENTS</t>
  </si>
  <si>
    <t>Re-bidding: PR No. 2020-02-0267-MAIN-Supply and Delivery of Cosmetology Equipment for the Cosmetology Technology Laboratory of CTAS</t>
  </si>
  <si>
    <t>Completion of Food Court    Poblacion, Cajidiocan, Romblon</t>
  </si>
  <si>
    <t>CONSTRUCTION OF ALSUM-LOURDES ROAD PHASE II</t>
  </si>
  <si>
    <t>Provision of Roof Deck of Roofing of X-Ray/Ultrasound Building at Mapandan Community Hospital</t>
  </si>
  <si>
    <t>Procurement of IT Equipments</t>
  </si>
  <si>
    <t>Completion of Cajidiocan Sports Complex Concrete Bleacher Cajidiocan, Romblon</t>
  </si>
  <si>
    <t>Supply &amp; Delivery of Materials for the Rehabilitation of Danao Norte Local Access Road Phase II</t>
  </si>
  <si>
    <t>Supply, Delivery and Installation of 4 Modules of Grouper Cages (Fixed Type) with Grouper Fingerlings</t>
  </si>
  <si>
    <t>Procurement of CCTV and Laptop</t>
  </si>
  <si>
    <t>Supply &amp; Delivery of Materials for Riprapping of Danao Sur Local Access Road</t>
  </si>
  <si>
    <t>P.R. No. 20-0097 - Supply &amp; Delivery of 850 drums Liquid Poly Aluminum Chloride (PAC) for use in water treatment</t>
  </si>
  <si>
    <t>Cluster N14-2020</t>
  </si>
  <si>
    <t>Procurement of 25 unit printer Epson L3110</t>
  </si>
  <si>
    <t>PURCHASE OF PAY LOADER - SAN JUAN, ILOCOS SUR</t>
  </si>
  <si>
    <t>Concrete Paving of Bachawan-Poblacion Road, Concepcion, Romblon</t>
  </si>
  <si>
    <t>Supply &amp; Delivery of Materials for the Rehabilitation of Guinbirayan Local Access Road Phase IV</t>
  </si>
  <si>
    <t>Supply and Delivery of Pre-Mix Asphalt and Emulsified Asphalt</t>
  </si>
  <si>
    <t>PROCUREMENT OF SECURITY SERVICES OF CAPIZ STATE UNIVERSITY</t>
  </si>
  <si>
    <t>Supply and Delivery of Farm Supplies and Equipment-REBID</t>
  </si>
  <si>
    <t>Supply &amp; Delivery of Materials for the Rehabilitation/Riprapping of Pandan Local Access Road</t>
  </si>
  <si>
    <t>Construction of Pathological Pit, Malipayon District Hospital, Corcuera, Romblon</t>
  </si>
  <si>
    <t>Supply and Delivery of Auto Supplies and Equipment-REBID</t>
  </si>
  <si>
    <t>SUPPLY AND DELIVERY OF I.T. EQUIPMENT</t>
  </si>
  <si>
    <t>Supply and Delivery of One (1) unit 6 Wheeler Wing Van Truck (25 ft. Hydraulic Wing Van)</t>
  </si>
  <si>
    <t>REHAB/IMPROVEMENT OF DAYCARE CENTER</t>
  </si>
  <si>
    <t>Cluster M12-2020</t>
  </si>
  <si>
    <t>Invitation to Bid for the CONSTRUCTION OF LEVEL II POTABLE WATER SYSTEM</t>
  </si>
  <si>
    <t>SUPPLY AND DELIVERY OF  EQUIPMENT, SUPPLIES AND CONSUMABLES FOR USE IN D POST, CESC,  GUIDANCE OFFICE, REGISTRATION &amp; ADMISSION OFFICE, CAWAYAN CAMPUS AND SSC OFFICE</t>
  </si>
  <si>
    <t>Cluster Ba4-2020</t>
  </si>
  <si>
    <t>Supply and Delivery of One (1) unit Generator Set (300KVA, Open Type w/ complete Accessories and Battery)</t>
  </si>
  <si>
    <t>Procurement of Hand Tractor (Kuliglig with trailer and standard complete accessories)</t>
  </si>
  <si>
    <t>Supply and Delivery of 351 pax Meals (Breakfast, Lunch, Dinner) for the Inmates of the Pangasinan Provincial Jail</t>
  </si>
  <si>
    <t>Supply &amp; Delivery of Materials for the Rehabilitation of Agmanic Local Access Road</t>
  </si>
  <si>
    <t>Supply &amp; Delivery of Materials for the Rehabilitation of Canyayo Local Access Road Phase II</t>
  </si>
  <si>
    <t>Purchase of Motor Vehicle (Lot 1-4)</t>
  </si>
  <si>
    <t>20NB0055 (re-advertised), Construction/Rehabilitation of Balit-Policarpio-Sta. Rita Road, San Luis, Agusan del Sur</t>
  </si>
  <si>
    <t>CONSTRUCTION OF MINI LIBRARY</t>
  </si>
  <si>
    <t>PR No. 2020-03-0432-MAIN - Supply and Delivery of Mechanical Technology Laboratory Equipment for CTAS</t>
  </si>
  <si>
    <t>Cluster L10-2020</t>
  </si>
  <si>
    <t>Proposed Rehabilitation of Senior Citizen's Park</t>
  </si>
  <si>
    <t>PROCUREMENT OF 26,276.16 LITERS OF DIESEL FOR MAINTENANCE OF BARANGAY ROADS &amp; BRIDGES (FARM TO MARKET ROAD) SITIO OBON SABANG, LINGIG, SURIGAO DEL SUR</t>
  </si>
  <si>
    <t>PROCUREMENT OF VARIOUS FOOD STUFF USE AS FOOD ASSISTANCE OF PWD MEMBERS OF THE 22 BARANGAYS OF PIÑAN, ZAMBOANGA DEL NORTE DURING  COVID 19 PANDEMIC</t>
  </si>
  <si>
    <t>THE SUPPLY &amp; DELIVERY OF GALENICALS</t>
  </si>
  <si>
    <t>Supply &amp; Delivery of Materials for Riprapping of Guintigbasan Creek</t>
  </si>
  <si>
    <t>Supply and Delivery of Multimedia Projectors for the 2nd Quarter (PR No.2020-06-0565, 2020-05-0511, 2020-02-0178, 2020-02-0168)</t>
  </si>
  <si>
    <t>(DDH) 2ND INVITATION TO BID FOR THE SUPPLY AND DELIVERY OF ONE (1) UNIT DEFIBRILLATOR WITH PADDLE</t>
  </si>
  <si>
    <t>P.R. No. 20-0096 - Supply &amp; Delivery of 2,500 bags Aluminum Sulfate – 17% for use in water treatment</t>
  </si>
  <si>
    <t>CANAL RIPRAP WORKS</t>
  </si>
  <si>
    <t>Supply and Delivery of Office Equipment for the 2nd Quarter (PR No.2020-01-0029,2020-06-0540, 2020-02-0167, 2020-02-0144, 2020-02-0179, 2020-03-0471, 2020-06-0539, 2020-02-0313)</t>
  </si>
  <si>
    <t>SUPPLY &amp; DELIVERY OF ONE UNIT PASSENGER VAN</t>
  </si>
  <si>
    <t>CONSTRUCTION OF PERIMETER FENCE AT ECO-SWM PARK (PHASE II)</t>
  </si>
  <si>
    <t>Proposed Purchase of Insecticide for Dengue Prevention and Control Program</t>
  </si>
  <si>
    <t>Proposed Purchase of Various Office Equipment</t>
  </si>
  <si>
    <t>Construction of Maternity Half-Way House, Malipayon District Hospital, Poblacion, Corcuera, Romblon</t>
  </si>
  <si>
    <t>DESIGN AND BUILD OF THE NEW EIGHTEEN-STOREY CLARK AIR TRAFFIC CONTROL TOWER BUILDING FACILITY AT CLARK INTERNATIONAL AIRPORT</t>
  </si>
  <si>
    <t>Supply and Delivery of Construction Supplies (PR No.2020-02-0304, 2020-02-0198, 2020-02-0151, 2020-02-0425, 2020-02-0290, 2020-01-0030)</t>
  </si>
  <si>
    <t>SUPPLY AND DELIVERY OF LABORATORY AND DENTAL SUPPLIES</t>
  </si>
  <si>
    <t>Procurement of Two (2) Units Multicab for the Use of the LGU, Tagudin, Ilocos Sur</t>
  </si>
  <si>
    <t>PURCHASE OF MUNICIPAL VEHICLE</t>
  </si>
  <si>
    <t>Supply and Delivery of 4,000 cyls. Medical Oxygen (Std. Type) and 150 cyls. Medical Oxygen (Flask Type)</t>
  </si>
  <si>
    <t>Supply and Delivery of Photocopier for the 2nd Quarter (PR No.2020-02-0167)</t>
  </si>
  <si>
    <t>DESIGN AND BUILD OF PUBLIC MARKET BUILDING</t>
  </si>
  <si>
    <t>Installation of Street Lighting at the Different Barangays</t>
  </si>
  <si>
    <t>Supply and Delivery of Eighty boxes Dengue IgG/IgM+NSI (Combo)25’s/box</t>
  </si>
  <si>
    <t>1 unit Brand New Six (6) Wheeler Mini-Dump Truck for Environmental Protection, Disaster Reduction, Agricultural and for other purposes of Barangay Candau-ay.</t>
  </si>
  <si>
    <t>SUPPLY AND DELIVERY OF MEDICAL EQUIPMENT</t>
  </si>
  <si>
    <t>20NE0096 - Repair and Rehab of National Road/Selective Replacement of Concrete Pavement, Along Dinagat-Loreto Road</t>
  </si>
  <si>
    <t>Procurement of Face Mask</t>
  </si>
  <si>
    <t>Supply and Delivery of One (1) unit Universal Testing Machine</t>
  </si>
  <si>
    <t>CONSTRUCTION OF 1 CLASSROOM BUILDING @ BALIMBING ELEMENTARY SCHOOL, SAN PASCUAL, BATANGAS</t>
  </si>
  <si>
    <t>Supply and Delivery of Materials for Installation of Municipal Streetlighting System</t>
  </si>
  <si>
    <t>Provision of Security Services (2020–2021)</t>
  </si>
  <si>
    <t>Improvement of Brgy. Multi-purpose Building, Brgy. Ninoy Aqunio, Canlaon City</t>
  </si>
  <si>
    <t>Construction of Converging Area at Odiongan Sports Complex, Odiongan, Romblon</t>
  </si>
  <si>
    <t>Contract ID No. 20NC0137 - Construction of Legislative Building, Sta. Josefa, Agusan del Sur</t>
  </si>
  <si>
    <t>PROCUREMENT OF VARIOUS MEDICINES, MEDICAL SUPPLIES AND LABORATORY SUPPLIES [3RD AND 4TH QUARTER 2020 CONSOLIDATION], CHO AND UPLC, MALAYBALAY CITY.</t>
  </si>
  <si>
    <t>Supply, Delivery and Installation of Airconditioning Units for the 2nd quarter (PR No. 2020-03-0470, 2020-02-0424, 2020-06-0578, 2020-06-0552)</t>
  </si>
  <si>
    <t>CONSTRUCTION OF SEPTIC  VAULT- RHU 11- BRGY  MAMPUNGO, PARACALE,CAMARINES  NORTE</t>
  </si>
  <si>
    <t>Cluster A1-2020</t>
  </si>
  <si>
    <t>20NB0073, Concreting of Provincial Road Junction, Brgy. Wegguam FMR, San Luis, Agusan del Sur</t>
  </si>
  <si>
    <t>FURNISHING AND DELIVERY OF VARIOUS MATERIALS FOR INSTALLATION OF CEILING, TILES AND ELECTRICALS OF MULTI-PURPOSE BUILDING AT BARANGAY TAGUM, CAMALANIUGAN, CAGAYAN – 1ST POSTING.</t>
  </si>
  <si>
    <t>20CSN013; CONSULTING SERVICES FOR THE CONDUCT OF GEOTECHNICAL AND GEOLOGICAL SURVEY/ INVESTIGATIONS FOR THE CONSTRUCTION OF GUIASAN BRIDGE ALONG BUTUAN CITY - AGUSAN DEL NORTE LOGISTICAL HIGHWAY, AGUS</t>
  </si>
  <si>
    <t>20NB0071, Construction of Classroom (1 STY 2 CL) with toilet at each CL, Salug NHS, Esperanza, Agusan del Sur</t>
  </si>
  <si>
    <t>Supply &amp; Delivery of Materials for the Rehabilitation of Mat-i Local Access Road Phase II</t>
  </si>
  <si>
    <t>Reconstruction/ Rehabilitation of PSAU-Ayala Road, Magalang, Pampanga</t>
  </si>
  <si>
    <t>20GBD0034 - PURCHASE OF 1 UNIT RTK AND CALIBRATION OF EXISTING SURVEY EQUIPMENT (TOTAL STATION AND RTK) FOR USE IN THE PLANNING AND DESIGN SECTION</t>
  </si>
  <si>
    <t>Procurement of Powdered Milk Drink for the use in Supplemental Feeding to Pre-School Children, Province of Aklan – Re Bidding /ITB no: 2020-394</t>
  </si>
  <si>
    <t>Cluster Bc6-2020</t>
  </si>
  <si>
    <t>20NB0072, Construction of Concrete Road – Access Road in support of Match Factory, Talacogon, Agusan del Sur</t>
  </si>
  <si>
    <t>Construction of Flood Control Poblacion, Sta. Fe, Romblon</t>
  </si>
  <si>
    <t>20CSN014; CONSULTING SERVICES FOR THE GEOTECHNICAL AND GEOLOGICAL SURVEY/ INVESTIGATIONS FOR THE CONSTRUCTION OF LUMBOCAN BRIDGE ALONG BUTUAN CITY - AGUSAN DEL NORTE LOGISTICAL HIGHWAY, AGUSAN DEL NOR</t>
  </si>
  <si>
    <t>Supply &amp; Delivery of Materials for the Rehabilitation of Poblacion Local Access Road Phase II</t>
  </si>
  <si>
    <t>PACKAGE 20-36:  COMMUNITY DEVELOPMENT</t>
  </si>
  <si>
    <t>20CSN015; CONSULTING SERVICES FOR THE GEOTECHNICAL AND GEOLOGICAL SURVEY/ INVESTIGATIONS FOR THE CONSTRUCTION OF ABILAN BRIDGE ALONG BUTUAN CITY - AGUSAN DEL NORTE LOGISTICAL HIGHWAY, AGUSAN DEL NORTE</t>
  </si>
  <si>
    <t>Re-bidding: PR No. 2020-02-0252-MAIN-Supply and Delivery of RFID Library Security System</t>
  </si>
  <si>
    <t>Procurement of Airconditioning Units</t>
  </si>
  <si>
    <t>Site Development for Municipal Housing Project at Brgy. Poblacion San Agustin, Romblon</t>
  </si>
  <si>
    <t>PURCHASE OF FURNITURE &amp; FIXTURES</t>
  </si>
  <si>
    <t>Proposed Purchase of various Supplies for Protective Equipment (PPE) for Barangay Responders</t>
  </si>
  <si>
    <t>CONSTRUCTION OF  SLOPE PROTECTION OF ACCESS ROAD SITIO TAMSIAN, BARANGAY PAGTILAAN, LINGIG, SURIGAO DEL SUR</t>
  </si>
  <si>
    <t>SUPPLY AND DELIVERY OF  HAND TRACTOR AND KNAPSACK SPRAYER</t>
  </si>
  <si>
    <t>Delivery of Brand New Motor Vehicle needed for City Veterinary Office (ITB 20-087)</t>
  </si>
  <si>
    <t>Procurement of Seeds - CENRO</t>
  </si>
  <si>
    <t>Procurement of one (1) unit brand new MPV</t>
  </si>
  <si>
    <t>Contraction of Evacuation Center Phase 3</t>
  </si>
  <si>
    <t>40-footer Container Van as stock room</t>
  </si>
  <si>
    <t>Pag-IBIG Fund CHQ (Supply, Delivery and Implementation of Various Network Equipment and Structured Fiber-Optic Network Backbone Cabling)</t>
  </si>
  <si>
    <t>Repair of Spillway (Sitio Binagasbasan)</t>
  </si>
  <si>
    <t>Improvement of Brgy. Multi-purpose Building, Brgy. Ninoay Aquino, Canlaon City</t>
  </si>
  <si>
    <t>RE-BIDDING-Construction Projects ,Construction of Multi -Purpose Hall(Don Andres Soriano)-MEO,Lopez Jaena</t>
  </si>
  <si>
    <t>Labor and Materials for the Perimeter Fence of the New Rural Health Unit at Sitio Pag-asa, Brgy Wawa, Orion, Bataan</t>
  </si>
  <si>
    <t>(PR No. 20-06-05A-0030: 1 Lot Supply and Delivery of Various Push-In Service Connection Fittings)</t>
  </si>
  <si>
    <t>Supply and Delivery of Various Construction Materials and Agricultural Equipment</t>
  </si>
  <si>
    <t>Supply, Delivery and Installation of 1 lot Electronic Technology Laboratory of Bukidnon State University</t>
  </si>
  <si>
    <t>20CSN016; CONSULTING SERVICES FOR THE GEOTECHNICAL AND GEOLOGICAL SURVEY/ INVESTIGATIONS FOR THE CONSTRUCTION OF MASAO BRIDGE ALONG BUTUAN CITY - AGUSAN DEL NORTE LOGISTICAL HIGHWAY, AGUSAN DEL NORTE</t>
  </si>
  <si>
    <t>Concreting/ Improvement of Tal-Ot- Cabcaban Road, Barili, Cebu</t>
  </si>
  <si>
    <t>Supply and  delivery of various materials and facilities for use in the  operation of MRF at Barangay New Cebu, Pres. Roxas, Cotabato</t>
  </si>
  <si>
    <t>Concreting/ Improvement of Mayana-Lamac Road, Barili, Cebu</t>
  </si>
  <si>
    <t>PEO-20-0838-B - Purchase of IT Equipment for use of the Provincial Engineer’s Office</t>
  </si>
  <si>
    <t>Road Rehabilitation /Brgy. Calingag to Brgy. Pambisan Malaki</t>
  </si>
  <si>
    <t>Proposed Purchase of Dental Chair for Enhancement of Barangay Administrative Office (Barangay Clinic)</t>
  </si>
  <si>
    <t>Supply and Delivery of Various Supplies and Equipment needed in Printing Modules for Elementary Schools of Looc District</t>
  </si>
  <si>
    <t>Proposed Purchase of Various Items for Communication Equipment</t>
  </si>
  <si>
    <t>Procurement of Air purifier, Instruments, and Accessories of Cardiac Monitor</t>
  </si>
  <si>
    <t>Road Concreting /Brgy. Pili Sitio Upper Bongol</t>
  </si>
  <si>
    <t>Supply of Security Services for the Six (6) Campuses of the College</t>
  </si>
  <si>
    <t>for  Supply and Delivery of 2,060 cyls. Medical Oxygen (Std. Type) and 35 cyls. Medical Oxygen (Flask Type)</t>
  </si>
  <si>
    <t>Supply and Delivery of Seven (7) units Cabinet Type Air Condition 5TR, Power (Non-Inverter)</t>
  </si>
  <si>
    <t>Procurement of Generator Sets</t>
  </si>
  <si>
    <t>PR# 20-1401- To supply labor, materials and necessary equipment for the Improvement of Four (4) Classroom School Building at Guillermo D. Mendoza National High School, Sta. Filomena, Guagua, Pampanga</t>
  </si>
  <si>
    <t>Furnishing of Labor and Materials for the Renovation of City Nursery Bldg. (Phase II) @Brgy. Daan Sarile, Cabanatuan City</t>
  </si>
  <si>
    <t>20FO0107 - Construction of Classrooms (2-Storey 6-Classroom School Building) at Travesia ES, Guinobatan, Albay (9.50m x 32.20m) Using Exposure D (Wind V = 340 kph)</t>
  </si>
  <si>
    <t>PR# 20-1400- To supply labor, materials and necessary equipment for the Improvement of Potrero Highschool at Bulaon, City of San Fernando, Pampanga.</t>
  </si>
  <si>
    <t>Construction of 2 Units Food Kiosk</t>
  </si>
  <si>
    <t>Concreting/ Improvement of Doldol-Balao Road, Dumanjug, Cebu</t>
  </si>
  <si>
    <t>CONCRETING OF PATHWAY AND BOX CULVERT @ P.I.A.T. Center/Central Terminal, Piat, Cagayan</t>
  </si>
  <si>
    <t>Installation of Solar Streetlighting System, Proper west, Brgy. Lobong, San Jacinto,Pangasinan</t>
  </si>
  <si>
    <t>Supply, Delivery and Installation of Diagnostic Machine and other Accessories</t>
  </si>
  <si>
    <t>Supply, Delivery, Installation and Implementation of Port Profile and Engineering Systems (PPES)</t>
  </si>
  <si>
    <t>20AC0109 - Repair of Box Culvert Along MNR, Sto. Domingo, Ilocos Sur, a) Sta. 415+540, b) K0415+313 - K0415+322.30, c) K0415+879.50 - K0415+894.20</t>
  </si>
  <si>
    <t>Supply and Delivery of 1 lot 	Various Library Books-Main Campus of Bukidnon State University</t>
  </si>
  <si>
    <t>Road Rehabilitation , Sitio Bagong Silang , Brgy. Panggulayan</t>
  </si>
  <si>
    <t>FARM Equipment &amp; Machineries</t>
  </si>
  <si>
    <t>Procurement of Multivitamins for distribution to households/families for COVID-19 Response</t>
  </si>
  <si>
    <t>Concreting/ Improvement of Valencia-Montpeller Road, Alegria, Cebu</t>
  </si>
  <si>
    <t>PROCUREMENT OF ONE (1) UNIT BRAND NEW MINI DUMP TRUCK</t>
  </si>
  <si>
    <t>INVITATION TO BID FOR REPAIR/IMPROVEMENT OF HEALTH CENTER PHASE II (FIRST BIDDING)</t>
  </si>
  <si>
    <t>20FO0108 - Construction of Classrooms (2-Storey 6-Classroom School Building) at Marcial O. Rañola Memorial School, Guinobatan, Albay (9.50m x 32.20m) Using Exposure D (Wind V = 340 kph)</t>
  </si>
  <si>
    <t>Furnishing of Labor and Materials for the Construction of Drainage Canal @Brgy.Magsaysay Norte, Cabanatuan City</t>
  </si>
  <si>
    <t>Supply and Delivery of One (1) Unit Secondhand Wheel loader to be used at the CEO-Maintenance Unit in the City of San Fernando, Pampanga</t>
  </si>
  <si>
    <t>Concreting of Approach (Obo Spillway)</t>
  </si>
  <si>
    <t>Construction of Sitio Pantar Farmers Multi-Purpose Building</t>
  </si>
  <si>
    <t>PR# 20-0845- To supply labor, materials and necessary equipment for the Construction OVERHEAD TANk (Including Drilingn with 10,000.00 Gallons Capacity) at BJMP, San Vicente (Ebus), Guagua, Pampanga</t>
  </si>
  <si>
    <t>REQUEST FOR QUOTATION (RFQ) For the Procurement of 4 pcs Tires for  BM Cirilo Galindez  For the Sangguiang Panlalawigan –BM (SP-BM)</t>
  </si>
  <si>
    <t>Procurement of Food Commodity, LGU-City Health, Baybay City, Leyte</t>
  </si>
  <si>
    <t>Supply, delivery and isntallation of One (1) unit rice mill with steel base and conveyor.</t>
  </si>
  <si>
    <t>20IJ-0086 REPAIR OF DRAINAGE SYSTEM ALONG CALBAYOG-CATARMAN (S00084SM) K0804+450, BRGY. OQUENDO, CALBAYOG CITY, SAMAR</t>
  </si>
  <si>
    <t>Procurement of Consulting Services for the Design and Development of Intramuros Administration Integrated Information System (Re-bid)</t>
  </si>
  <si>
    <t>Construction of Materials Recovery Facility Phase I, Brgy. Lico-an, Barotac Nuevo, Iloilo</t>
  </si>
  <si>
    <t>Upgrading of Local Access Road from Brgy. Pagsangahan - San Marcos</t>
  </si>
  <si>
    <t>PROCUREMENT OF MEDICINES AND MULTIVITAMINS USE  AS PROVISION TO SELECTED WOMENS MEMBER AND SENIOR CITIZEN TO THE 22 BARANGAYS OF PIÑAN, ZAMBOANGA DEL NORTE</t>
  </si>
  <si>
    <t>20AB0121 : REPAIR/ REHABILITATION OF SLOPE PROTECTION ALONG ILOCOS NORTE - APAYAO ROAD AT K0517+817 TO K0517+842</t>
  </si>
  <si>
    <t>Construction of Dairy Microbiological Facility</t>
  </si>
  <si>
    <t>20AJ0106-Concreting of Brgy. Tuliao FMR, Brgy. Tuliao, Sta. Barbara, Pangasinan</t>
  </si>
  <si>
    <t>20-012 CONCRETING OF COSTA RICA LOCAL ACCESS ROAD</t>
  </si>
  <si>
    <t>PR# 19-3827- To supply labor, materials and necessary equipment for the Concreting of Road, Barangay Pio, Porac, Pampanga. (Re-bidding)</t>
  </si>
  <si>
    <t>Furnishing of Labor and Materials for the Finishing of NHA Housing @Brgy.Kalikid Sur, Cabanatuan City</t>
  </si>
  <si>
    <t xml:space="preserve">CW20-034-1 Lot Improvement of Maragusan NHS Gymnasium [Improvement of one (1) bay covered court, 6 ln.m. bleacher (right side), 12 ln.m. bleacher (left side), repainting of existing trusses, existing </t>
  </si>
  <si>
    <t>Construction of Materials Recovery Facility Phase II, Brgy. Lico-an, Barotac Nuevo, Iloilo</t>
  </si>
  <si>
    <t>Upgrading of Barangay Road Dayawa-Siay from Dayawa-Siay</t>
  </si>
  <si>
    <t>PR# 20-0554- To supply labor, materials and necessary tools and equipment for the Improvement of Six (6) Classroom School Building with Comfort Rooms at Magumbali Elementary School, Magumbali, Candaba</t>
  </si>
  <si>
    <t>IMPROVEMENT OF SENIOR CITIZEN BUILDING PHASE 2 for Barangay Kaluknayan, Municipality of Lugait, Misamis Oriental.</t>
  </si>
  <si>
    <t>20AJ0107-Concreting of Brgy. Ambonao FMR, Brgy. Ambonao, Calasiao, Pangasinan</t>
  </si>
  <si>
    <t>One job furnishing of labor, Materials and Equipments in connection with; Expansion/ Renovation of Rural Health Unit located at Brgy. Ilaud Poblacion, Barotac Nuevo, Iloilo</t>
  </si>
  <si>
    <t>Supply, Delivery and Configuration of Unified Threat Management Devices</t>
  </si>
  <si>
    <t>Supply, Delivery, Installation and Commissioning of Seismic Accelerograph</t>
  </si>
  <si>
    <t>Procurement of Livestock for Livelihood, LGU (for various brgys), Baybay City, Leyte</t>
  </si>
  <si>
    <t>SUPPLY AND DELIVERY OF MOTOR VEHICLE TWO (2) UNITS BRAND NEW PATROL MARKED VEHICLES)</t>
  </si>
  <si>
    <t>Supply and Delivery of Construction Materials for the Roads, Solid Waste Disposal, and Water Disposal Treatment of Site Development – Resettlement Area NIAR6-JRMPII-GS01-20</t>
  </si>
  <si>
    <t>UPLB-S-046-08-20, SUPPLY AND DELIVERY OF BRANDED AND BRAND NEW VARIOUS MEDICAL LABORATORY SUPPLIES</t>
  </si>
  <si>
    <t>2020 Expanded PCA Response to COVID-19 Program (EPRCP): Rejuvenation thru Fertilization (Coco Coir Based Organic Fertilizer)</t>
  </si>
  <si>
    <t>Rehab./Const./Imprvt of Roads &amp; Drainage, BNHS Campus, Zone 12, Baybay City, Leyte</t>
  </si>
  <si>
    <t>SUPPLY AND DELIVERY OF MOTOR VEHICLE FIVE (5) UNITS BRAND NEW BIG BIKE PATROL MOTORCYCLE</t>
  </si>
  <si>
    <t>PROCUREMENT OF VARIOUS TB DRUGS FOR THE NATIONAL TB CONTROL PROGRAM (BAC 2020-G06)</t>
  </si>
  <si>
    <t>2020-0189-PR2020-0540  Furnishing of Labor, Materials and Equipment for the Concreting of Pob. (Catigbian) - Rizal - Causwagabn Sur (San Isidro) Road, by the Provincial Engineer's Office, New Capitol</t>
  </si>
  <si>
    <t>Contract ID: 20GOE0032 - Procurement of Office Supplies for use at DPWH–North Manila District Engineering Office</t>
  </si>
  <si>
    <t>CONSTRUCTION OF MULTI PURPOSE BUILDING, Municipal Compound, Masaya Centro, SAI</t>
  </si>
  <si>
    <t>Contract ID No. 20NC0138 - Construction of Two-Storey Municipal Operation Center at LGU Trento Municipal Complex Area, Trento, Agusan del Sur</t>
  </si>
  <si>
    <t>DESIGN and BUILD SERVICES for the ADAPTIVE REUSE OF THE OLD ILOILO CITY HALL TO THE UPV CULTURE AND ARTS MUSEUM, UPV ILOILO CITY CAMPUS”;(ITB 2020-008)</t>
  </si>
  <si>
    <t>Supply and Delivery of One (1) Unit Mid to High Range</t>
  </si>
  <si>
    <t>Contract ID: 20GOE0031 - Procurement of Measuring Equipments and Other Office Supplies for use at DPWH - North Manila District Engineering</t>
  </si>
  <si>
    <t>Construction/Improvement of Drainage &amp; Road Shoulder, 30 de Deciembre St. (Fr Corner Tres martinez St.-BCNNHS), Baybay City, Leyte</t>
  </si>
  <si>
    <t>Construction of Slope Protection (Downstream) of Mabuti Dam at Brgy. Mabuti, Marcos, Ilocos Norte</t>
  </si>
  <si>
    <t>PROCUREMENT OF FAMILY PLANNING COMMODITIES AND PPE SET (BAC 2020-G07)</t>
  </si>
  <si>
    <t>Supply of Security Services for UP Visayas Miag-ao and Iloilo City Campuses to include: Brackishwater Aquaculture Station Marine Biological Station	 Batan Mariculture Station( ITB 2020-009)</t>
  </si>
  <si>
    <t>(PENARO) INVITATION TO BID FOR THE SUPPLY AND DELIVERY OF MULTI-PARAMETER WATER QUALITY FIELD INSTRUMENT  FOR THE  PROVINCIAL ENVIRONMENT AND NATURAL RESOURCES OFFICE (PENARO)</t>
  </si>
  <si>
    <t>Invitation to bid for the repair/rehabilitation of municipal road at Poblacion, Uson, Masbate</t>
  </si>
  <si>
    <t>One (1) Unit Radiant Warmer</t>
  </si>
  <si>
    <t>Fabrication of 300 units Classroom Tables to be used for College of Management classes at the Old Sotech Building. (ITB 2020-011)</t>
  </si>
  <si>
    <t>Invitation to bid for the barangay road concreting at Sitio Daang Lungsod, Sto. Cristo, Uson, Masbate</t>
  </si>
  <si>
    <t>Procurement of 1 lot Fabrication and installation of 250 units bed bunks-B-20-0212</t>
  </si>
  <si>
    <t>SUPPLY, DELIVERY, INSTALLATION, TESTING AND COMMISSIONING OF 40 HP PUMP AND MOTOR COMPLETE WITH APPURTENANCES, DISCHARGE AND COLUMN PIPES</t>
  </si>
  <si>
    <t>Road Concreting /Brgy. Guinhawa, Sitio Babahurin</t>
  </si>
  <si>
    <t>Contract ID 20IG0069 - Repair/Maintenance of Concrete Bridges along National Road within the Leyte V DEO</t>
  </si>
  <si>
    <t>Supply of Materials, Labor, Tools, Equipment, Consumables, Technical Supervision and Other Services necessary for the Repair of various Architectural Finishes at the BSP Head Office</t>
  </si>
  <si>
    <t>20P00010 Baguio – La Trinidad – Itogon – Sablan – Tuba and Tublay, Labey - Lacamen Provincial Road (Section 4B of BLISTT Outer Ring Circumferential Road), Package 3, Benguet</t>
  </si>
  <si>
    <t>Construction of the Proposed Administration Services Building Phase I, UPV Iloilo City Campus”;(ITB 2020-010)</t>
  </si>
  <si>
    <t>Supply and Delivery of One (1) unit Genset, 75 KVA, Open Type with Complete Accessories and Battery</t>
  </si>
  <si>
    <t>PROCUREMENT OF CY 2020 PESTICIDES REQUIREMENT FOR NFA REGION VI</t>
  </si>
  <si>
    <t>REQUEST FOR QUOTATION for the REPAIR OF TRANSMITTER SITE PERIMETER FENCE</t>
  </si>
  <si>
    <t>Rehab./Const./ Imprvt of Road &amp; Drainage, Baybay I North, Zone 12, Baybay City, Leyte</t>
  </si>
  <si>
    <t>20GB00027: Purchase, Delivery and Installation of One (1) Unit Indoor LED Video Wall Display for use in the New Conference Room</t>
  </si>
  <si>
    <t>INVITATION TO BID FOR: CORE LOCAL ACCESS ROAD – UPGRADING/IMPROVEMENT OF C. SAYON ST. – POBLACION, CORELLA, BOHOL</t>
  </si>
  <si>
    <t>Contract ID No. 20NC0139 - Construction of (Completion) of Multipurpose Building, Brgy.  Binucayan, Loreto, Agusan del Sur</t>
  </si>
  <si>
    <t>SUPPLY AND DELIVERY OF TROMPA AND AMPLIFIER FOR CITY WIDE PUBLIC ADDRESS SYSTEM</t>
  </si>
  <si>
    <t>INVITATION TO BID FOR: REHABILITATION/IMPROVEMENT OF MUNICIPAL BUILDING (EXECUTIVE WING) – CORELLA, BOHOL</t>
  </si>
  <si>
    <t>Supply of Materials for the Installation of Genset Additional Distribution Line - PNP, BFP &amp; Multi-Purpose Building</t>
  </si>
  <si>
    <t>SUPPLY AND DELIVERY OF GPE ITEMS FOR RAPU-RAPU DPP</t>
  </si>
  <si>
    <t>Detailed Architectural Engineering Design for the UP Visayas Watersports Training Facility, UPV Miag-ao Campus (ITB 2020-013)</t>
  </si>
  <si>
    <t>ITB# 07-2020 Medical/Laboratory Supplies</t>
  </si>
  <si>
    <t>Invitation to bid for the rehabilitation and expansion of existing level II water system at Dapdap, Uson, Masbate</t>
  </si>
  <si>
    <t>Invitation to Bid for the Contract for Supply and Delivery ot Two (2) Units Brand New Office Vehicles-Rebid</t>
  </si>
  <si>
    <t>PR# 20-1454- To supply labor, materials and necessary equipment for the Construction of Two (2) Storey Multi-Purpose Building at Vizal San Pablo, Candaba, Pampanga</t>
  </si>
  <si>
    <t>Proposed Construction and Offshore Installation of Aids to Marine Navigation at Ports of Banago, Bredco, Pulupandan and San Carlos, Negros Occidental</t>
  </si>
  <si>
    <t>ITB# 12-2020 Other Supplies and Materials</t>
  </si>
  <si>
    <t>Digital Duplicator and Digital Duplicator - City Schools Division of Tacurong</t>
  </si>
  <si>
    <t>ITB# 05-2020 Food Supplies</t>
  </si>
  <si>
    <t>For the operational use in the RHU in this municipality</t>
  </si>
  <si>
    <t>Three (3) units Suction Machine</t>
  </si>
  <si>
    <t>CONSULTING SERVICES IN PREPARATION OF REGIONAL STRATEGIC INVESTMENT PLAN FOR COCONUT &amp; PROCESSED FRUITS AND NUTS - BANANA INDUSTRY</t>
  </si>
  <si>
    <t>SUPPLY AND DELIVERY OF EQUIPMENT FOR SLAUGHTERHOUSE</t>
  </si>
  <si>
    <t>ITB# 11-2020 Other Supplies and Materials</t>
  </si>
  <si>
    <t>Installation of Local Area Network - Office of the City Schools Division of Tacurong</t>
  </si>
  <si>
    <t>PR-2020-1441 One (1) Unit Utility Vehicle Cab &amp; Chassis Type, Brand new-PGO</t>
  </si>
  <si>
    <t>ITB# 06-2020 Food Supplies</t>
  </si>
  <si>
    <t>RFQ-GS-20200715-02 - 1 Lot Supply, Delivery, Installation, Testing &amp; Commissioning of Airconditioning Units at LANDBANK Oriental Mindoro Lending Center</t>
  </si>
  <si>
    <t>ITB# 10-2020 Other Supplies and Materials</t>
  </si>
  <si>
    <t>CONSTRUCTION OF  STREET  LIGHT- BRGY. POBLACION SUR, PARACALE,CAMARINES  NORTE</t>
  </si>
  <si>
    <t>20GB00029: Purchase, Delivery and Installation of Four (4) Units Highway Design Software</t>
  </si>
  <si>
    <t>ITB# 09-2020 Medical/Laboratory Supplies</t>
  </si>
  <si>
    <t>20GB00028: Purchase and Delivery of Tires and Batteries for Use in the Operation of various Equipment and Service Vehicles assigned at DPWH Regional Office No. 02 thru Ordering Agreement</t>
  </si>
  <si>
    <t>SUPPLY AND DELIVERY OF ASPHALT FOR ROAD IMPROVEMENT/REHABILITATION</t>
  </si>
  <si>
    <t>SUPPLY AND DELIVERY OF OFFICE, JANITORIAL AND OTHER SUPPLIES FOR VARIOUS OFFICES</t>
  </si>
  <si>
    <t xml:space="preserve">Proposed Construction and Offshore Installation of Aids to Marine Navigation, Mindoro Cluster: Ports of Calapan, Puerto Galera, Mansalay, Roxas and Bulalacao, Oriental Mindoro and San Jose Occidental </t>
  </si>
  <si>
    <t>Supply and Delivery of Various Tires for the Maintenance of Heavy Equipment</t>
  </si>
  <si>
    <t>ESTABLISHMENT OF OFFICE FRONTLINE SERVICES FACILITIES &amp; FIXTURES (FOR OFFICES NEW NORMAL DUE TO COVID 19)</t>
  </si>
  <si>
    <t>2nd Invitation for Lot 3 of Supply and Delivery of  Post-Harvest Related Machinery and Equipment</t>
  </si>
  <si>
    <t>SUPPLY AND DELIVERY OF VARIOUS CONSTRUCTIONS MATERIALS AND SUPPLIES FOR REPAIR AND MAINTENANCE OF VARIOUS BUILDINGS</t>
  </si>
  <si>
    <t>To purchase and Deliver Farm Machinery and Equipment</t>
  </si>
  <si>
    <t>PEO-2020-0186 PR2020-0537 INVITATION TO BID FOR THE PROCUREMENT OF LABOR, MATERIALS, AND EQUIPMENT FOR THE CONCRETING OF TIGUIS - CALVARIO (LILA) - CAMBANSE - ALEGRIA (LOBOC) ROAD, LOBOC, BOHOL</t>
  </si>
  <si>
    <t>Supply of Fuel for the Rehabilitation of Batasan-Biangan Road</t>
  </si>
  <si>
    <t>20CG0245 - Construction/ Repair/ Rehabilitation/ Improvement of Various Infrastructures including Local Projects: Local Roads and Bridges – Local Roads – Upgrading/ Concreting of San Nicolas Road, Mas</t>
  </si>
  <si>
    <t>ITB No. (INF) 2020-07-105 REHABILITATION/IMPROVEMENT OF BORONGAN ACCESS ROAD, Brgy. Bato, Borongan City, Eastern Samar</t>
  </si>
  <si>
    <t>20CG0241 - Local Infrastructure Program Local Roads – Concreting of Brgy. Road, Balucuc, Apalit, Pampanga</t>
  </si>
  <si>
    <t>Supply and Delivery of Prepaid WIFI Broadband</t>
  </si>
  <si>
    <t>INVITATION TO BID FOR THE SUPPLY AND DELIVERY OF FORTY-NINE (49) UNITS CELLPHONE</t>
  </si>
  <si>
    <t>ITB# 19-2020 Other MOOE</t>
  </si>
  <si>
    <t>20CG0239 - Local Infrastructure Program: Buildings and Other Structures – Multipurpose/ Facilities – Construction of Multi-Purpose Covered Area with Reinforced Concrete Slab, Matamo , Arayat, Pampanga</t>
  </si>
  <si>
    <t>20CG0238 - Local Infrastructure Program: Buildings and Other Structures – Multipurpose/ Facilities – Construction of Multi-Purpose Covered Area with Reinforced Concrete Slab, Buensuceso, Arayat, Pampa</t>
  </si>
  <si>
    <t>20CG0240 - Local Infrastructure Program: Buildings and Other Structures – Multipurpose/ Facilities – Construction of Multi-Purpose Building, Purok 3, Cupang, Arayat, Pampanga</t>
  </si>
  <si>
    <t>20CG0243 - Construction/ Repair/ Rehabilitation/ Improvement of Various Infrastructures including Local Projects: Buildings and Other Structures – Multipurpose/ Facilities – Construction of Multi-Purp</t>
  </si>
  <si>
    <t>SUPPLY AND DELIVERY OF TIRES WITH FLAP AND TUBE FOR REPLACEMENT OF TIRES OF VARIOUS CENRO VEHICLES</t>
  </si>
  <si>
    <t>PGSO-2020-0183 PR2020-0506 INVITATION TO BID FOR THE PROCUREMENT OF RAFFIA WALLING AT GROUND AREA &amp; DOME AND FORMWORKS AND SCAFFOLDING</t>
  </si>
  <si>
    <t>20GKA0007 / PR # 2020-07-0196  Supply and delivery of asphalt cement for use in the maintenance activities within the jurisdiction of Bukidnon 1st DEO</t>
  </si>
  <si>
    <t>20CG0242 - Local Infrastructure Program: Buildings and Other Structures – Multipurpose/ Facilities – Construction of Multi-Purpose Building, Duat Elementary School, Brgy. Duat, Bacolor, Pampanga</t>
  </si>
  <si>
    <t>Invitation to Bid for Concreting of SIEMPRE VIVA SUR Farm to Market Road (Road 1)</t>
  </si>
  <si>
    <t>SUPPLEMENTAL / BID BULLETIN - SUPPLY AND DELEVERY OF LED ROAD LIGHTING LUMINAIRE AND OTHERS</t>
  </si>
  <si>
    <t>PURCHASE OF 1-UNIT PICK-UP TRUCK TO BE USED AS  EMERGENCY SERVICE VEHICLE FOR PCG CALUYA</t>
  </si>
  <si>
    <t>SEF-20-06-01035 SUPPLY AND DELIVERY OF TABLETS, MOBILE PREPAID LTE SIM CARDS AND QUEZON CITY WIFI SERVICE FOR DISTANCE LEARNING MODALITY OF SCHOOLS DIVISION OFFICE QUEZON CITY FOR S.Y. 2020-2021</t>
  </si>
  <si>
    <t>PURCHASE OF SPARE PARTS FOR THE REPAIR AND MAINTENANCE OF  DOOSAN DIESEL GENERATOR SET</t>
  </si>
  <si>
    <t>20CG0244 - Local Infrastructure Program: Buildings and Other Structures – Multipurpose/ Facilities – Construction of Multi-Purpose Building, Brgy. San Isidro, San Fernando, Pampanga</t>
  </si>
  <si>
    <t>SUPPLY AND DELIVERY OF PATROL BOAT FOR SEABORNE AND  SURVEILLANCE OF COASTAL ACTIVITIES IN THE MUNICIPALITY OF CALUYA</t>
  </si>
  <si>
    <t>PURCHASE OF 1-UNIT PICK-UP TRUCK TO BE USED AS  EMERGENCY SERVICE VEHICLE FOR MDRRMO CALUYA</t>
  </si>
  <si>
    <t>PB-20-376, Supply &amp; Delivery of Hybrid Rice Seeds for production support to rice farmers in the Province of Cotabato</t>
  </si>
  <si>
    <t>PB-20-374, Supply &amp; Delivery of Shelter &amp; Modular Tents to be used in evacuation centers</t>
  </si>
  <si>
    <t>CONSTRUCTION OF  MULTI  PURPOSE  BUILDING, BRGY. TABAS, PARACALE,CAMARINES  NORTE</t>
  </si>
  <si>
    <t>PB-20-373, Supply &amp; Delivery of Agricultural Supplies for distribution to farmers affected by earthquake</t>
  </si>
  <si>
    <t>Rehabilitation of Farmers'Multi-Purpose Hall, Cadanglaan</t>
  </si>
  <si>
    <t>Invitation to Bid for Concreting of SIEMPRE VIVA SUR Farm to Market Road (Road 2)</t>
  </si>
  <si>
    <t>Construction of Farmers'Multi-Purpose Hall, (Plaza) Lopez</t>
  </si>
  <si>
    <t>20AH0223  Improvement of Road Intersection along Judge Jose De Venecia Blvd. Extension at K0375+(-316) Lucao Section, and K0379+566, Arellano Section, Dagupan City, Pangasinan</t>
  </si>
  <si>
    <t>Supply and Delivery of Three (3) Units Brand New Mini-Dump Truck for DENR-MBCO</t>
  </si>
  <si>
    <t>20CSPF0005: GEOTECHNICAL SOIL INVESTIGATION FOR THE PROPOSED CY 2021 FLOOD CONTROL PROJECTS LOCATED AT ATOK, BUGUIAS, KIBUNGAN AND TUBLAY, BENGUET (9 FLOOD CONTROL PROJECTS WITH 27 BOREHOLES)</t>
  </si>
  <si>
    <t>20CSPF0003: GEOTECHNICAL SOIL INVESTIGATION FOR THE PROPOSED CY 2021 FLOOD CONTROL PROJECTS LOCATED AT BUGUIAS AND MANKAYAN, BENGUET (16 FLOOD CONTROL PROJECTS WITH 68 BOREHOLES)</t>
  </si>
  <si>
    <t>Procurement of 3 units Digital Copy Printer Machine and 1 unit Digital Copy Printer with free Copier Machine to be used by three (3) Public High Schools in Guagua and in Guagua Community College all i</t>
  </si>
  <si>
    <t>100-2020-06-805 Supply and delivery of 1 unit generator 40KVA, diesel engine 220V including electrical wirings/lighting and other accessories</t>
  </si>
  <si>
    <t>PB-20-292, Supply &amp; Delivery of Medicines for different RHUs in the Province of Cotabato for treatment of COVID-19 patients</t>
  </si>
  <si>
    <t>SUPPLY AND DELIVERY OF MEDICINES FOR THE USE OF DR. TOMAS NOLASCO SR. MEMORIAL HOSPITAL</t>
  </si>
  <si>
    <t>Construction of LDRRMO Auxillary Building (Phase1)</t>
  </si>
  <si>
    <t>20CSDE03 Consulting Services for the Feasibility Study of San Jose- Ibaan Road, Batangas, Region IV-A</t>
  </si>
  <si>
    <t>100-2020-07-836 Supply and delivery of  self-contained breathing apparatus</t>
  </si>
  <si>
    <t>Construction of Farmers'Multi-Purpose Hall, Guardia</t>
  </si>
  <si>
    <t>Supply and delivery of machine and equipment for use in the establishment of Bataan Feed Manufacturing Plant of City Government of Balanga, Bataan</t>
  </si>
  <si>
    <t>100-2020-07-811 Supply and delivery of diesel and gasoline</t>
  </si>
  <si>
    <t>20CSPF0004: GEOTECHNICAL SOIL INVESTIGATION FOR THE PROPOSED CY 2021 FLOOD CONTROL PROJECTS LOCATED AT KAPANGAN, KIBUNGAN AND BAKUN, BENGUET (9 FLOOD CONTROL PROJECTS WITH 20 BOREHOLES)</t>
  </si>
  <si>
    <t>100-2020-03-479 Supply and delivery of 1 unit mobile x-ray vehicle</t>
  </si>
  <si>
    <t>S2-VMT0-009 - Supply, Delivery and Test of Meter Site Testing Equipment for SPUG-VOD</t>
  </si>
  <si>
    <t>S3-CTW20-021 &amp; S3-CTW20-022 - Supply and Delivery of Various Mechanical and Electrical Spare Parts for 500kW MAN Diesel Genset, Model No. CXZ MAN 6L/20</t>
  </si>
  <si>
    <t>S1-MRO20-009 - Supply and Delivery of Mechanical Spare Parts for 500kW CXZ MAN Diesel Engine, Model No. 6L 20/27</t>
  </si>
  <si>
    <t>S3-PLM20-002 - Supply and Delivery of Various Mechanical Spares for Perkins Genset for Palimbang Diesel Power Plant</t>
  </si>
  <si>
    <t>SUPPLY OF LABOR AND MATERIALS FOR THE IMPROVEMENT OF NSQCS LABORATORY BUILDING (PHASE I), SAN MATEO, ISABELA</t>
  </si>
  <si>
    <t>S3-PLM20-001 - Supply and Delivery of Mechanical Spare Parts for 1 x 80kW Cummins &amp; 1 x 275kW Cummins</t>
  </si>
  <si>
    <t>SUPPLY OF LABOR AND MATERIALS FOR THE REPAIR AND IMPROVEMENT OF NSQCS BUILDING, REGION III, NUEVA ECIJA</t>
  </si>
  <si>
    <t>20CG0237 - Construction/ Repair/ Rehabilitation/ Improvement of Various Infrastructures including Local Projects: Local Roads and Bridges – Local Roads – Rehabilitation of San Matias Barangay Road, St</t>
  </si>
  <si>
    <t>Supply of Labor, Materials and Equipment for the Installation of Streetlights, Brgy. Balagtasin I, San Jose, Batangas</t>
  </si>
  <si>
    <t>SUPPLY OF LABOR AND MATERIALS FOR THE REPAIR AND IMPROVEMENT OF GERMINATION UNIT AT NSQCS SEED TESTING LABORATORY IN QUEZON CITY</t>
  </si>
  <si>
    <t>LANDSCAPING</t>
  </si>
  <si>
    <t>Supply of Labor, Materials and Equipment for the Installation of Streetlights, Poblacion Barangay IV, San Jose, Batangas</t>
  </si>
  <si>
    <t>RE-BID FOR THE SUPPLY OF LABOR SERVICE, SUPPLIES, AND MATERIALS FOR THE ESTABLISHMENT OF 20KW GRID-TIED SOLAR PV ENERGY SYSTEM FOR TISSUE CULTURE LABORATORY OF BPI-DNCRDPSC, BAGO OSHIRO, DAVAO CITY</t>
  </si>
  <si>
    <t>Supply of Labor, Materials and Equipment for the Riprapping, Brgy. Bigain I, San Jose, Batangas</t>
  </si>
  <si>
    <t>CONSTRUCTION OF WASH AREA</t>
  </si>
  <si>
    <t>REHABILITATION OF OLD SANITARY LANDFILL</t>
  </si>
  <si>
    <t>REHABILITATION/IMPROVEMENT OF SANITARY &amp; PLUMBING WATER SYSTEM</t>
  </si>
  <si>
    <t>Rehabilitation of Barangay Road Pangihan-Cabawan to Toril</t>
  </si>
  <si>
    <t>IMPROVEMENT OF DRAINAGE SYSTEM</t>
  </si>
  <si>
    <t>CONSTRUCTION OF MULTI-PURPOSE BUILDING (COVERED COURT) Kapate, Kiamba, Sarangani Province</t>
  </si>
  <si>
    <t>COMPLETION OF  INNOVATION HUB AND BIODIVERSITY RESEARCH CENTER - PHASE 2</t>
  </si>
  <si>
    <t>FABRICATION OF MATERIAL RECOVERY FACILITIES (MRF)</t>
  </si>
  <si>
    <t>4 x 2 Pick-up M/T Colored Black - Office of the City Mayor</t>
  </si>
  <si>
    <t>CONSTRUCTION OF MULTI-PURPOSE BUILDING (COVERED COURT) Lago, Glan, Sarangani Province</t>
  </si>
  <si>
    <t>IMPROVEMENT OF MULTI - PURPOSE CENTER</t>
  </si>
  <si>
    <t>IMPROVEMENT OF SAPU PADIDU MULTI-PURPOSE BUILDING Malapatan, Sarangani Province</t>
  </si>
  <si>
    <t>ENHANCEMENT AND REPAIR OF ECPC BUILDING  AND LABORATORY Alabel, Sarangani Province</t>
  </si>
  <si>
    <t>PR# 20-07-715 PROCUREMENT OF TWO (2) UNITS ICE BLOCK MAKING MACHINE FOR BOHOL PROVINCE UNDER SAAD 2020</t>
  </si>
  <si>
    <t>Laboratory Supplies for LPH-Nagcarlan District Hospital for 3rd and 4th Quarter</t>
  </si>
  <si>
    <t>MEDICAL WASTE TREATMENT FACILITY-PYROCLAVE (CONCRETING OF PYROCLAVE SITE ACCESS ROAD) Alabel, Sarangani Province</t>
  </si>
  <si>
    <t>Supply/Delivery of Construction Materials</t>
  </si>
  <si>
    <t>CONSTRUCTION OF UPO MULTI-PURPOSE BUILDING Upo, Maitum, Sarangani Province</t>
  </si>
  <si>
    <t>COMPLETION OF PARAISO MULTI-PURPOSE BUILDING Paraiso, Alabel, Sarangani Province</t>
  </si>
  <si>
    <t>Construction of Covered Court, Don Quintin Balcita MHS, San Fernando City</t>
  </si>
  <si>
    <t>Transit Ambulance - Office of the City Mayor</t>
  </si>
  <si>
    <t>Construction of Covered Court, Caba Central School, Caba</t>
  </si>
  <si>
    <t>S2-VMT20-010 - Supply, Delivery and Test of Laser Shaft Alignment System and Vibration Analyzer for SPUG-VOD</t>
  </si>
  <si>
    <t>Rehabilitation of Biday-Carlatan Hanging Bridge, San Fernando City</t>
  </si>
  <si>
    <t>Improvement of Tanquigan-Birunget Farm to Market Road, San Fernando City</t>
  </si>
  <si>
    <t>SUPPLY AND DELIVERY OF  ANIMAL CONTROL VEHICLE</t>
  </si>
  <si>
    <t>Widening of General Santos Avenue, Brgy. Lower Bicutan to Brgy. Central Bicutan, Taguig City (Contract ID No. 20O00032)</t>
  </si>
  <si>
    <t>(PR NO.20-06-08-0049: 1 Lot Supply, Delivery, Installation and Commissioning of Brand-New Generator)</t>
  </si>
  <si>
    <t>CONCRETING OF NHW JCT. KAMANGA-LAMLANGIL PROVINCIAL ROAD Maasim, Sarangani Province</t>
  </si>
  <si>
    <t>Supply, Delivery, Installation and Configuration of Data Loss Prevention (DLP) Solution</t>
  </si>
  <si>
    <t>Construction of Covered Court, Naguilian National High School, Naguilian</t>
  </si>
  <si>
    <t>Construction of Power House in Batangas State University - Balayan</t>
  </si>
  <si>
    <t>LEASE OF ONE HUNDRED FORTY-ONE (141) UNITS OF LAPTOP COMPUTERS FOR THREE YEARS</t>
  </si>
  <si>
    <t>drugs and medicines</t>
  </si>
  <si>
    <t>ITB 2020-07-111 Procurement of Various Office Supplies for OM</t>
  </si>
  <si>
    <t>Supply and Delivery of One (1) Unit Vertical Take-Off and Landing  (VTOL) Drone</t>
  </si>
  <si>
    <t>Construction of Farmers'Multi-purpose Hall, Lopez</t>
  </si>
  <si>
    <t>PB-20-375, Procurement of Catering Services for various activities of Barangay peacekeeping/tanods of this province</t>
  </si>
  <si>
    <t>I.V. Fluids for LPH-Dr. J. P. Rizal Memorial District Hospital for 3rd and 4th Quarter</t>
  </si>
  <si>
    <t>PRINTING OF REPORTS</t>
  </si>
  <si>
    <t>RADIO AM/FM BATTERY AND PLUG OPERATED/IB No. DE-2020-009</t>
  </si>
  <si>
    <t>Construction of Flood Control Structure at Sitio Centro &amp; Sitio Hill-Top, Barangay San Juan West, Aringay</t>
  </si>
  <si>
    <t>ITB-Procurement of 4 Motor Vehicles</t>
  </si>
  <si>
    <t>Hospital supplies and equipment</t>
  </si>
  <si>
    <t>SUPPLY AND DELIVERY OF  VARIOUS EQUIPMENT (Pagbilao District I)</t>
  </si>
  <si>
    <t>Rehabilitation of Public Market Stalls</t>
  </si>
  <si>
    <t>SUPPLY AND DELIVERY OF  OTHER PROPERTY, PLANT &amp; EQUIPMENT (Tourism)</t>
  </si>
  <si>
    <t>SUPPLY AND DELIVERY OF  VARIOUS EQUIPMENT (Pagbilao District II)</t>
  </si>
  <si>
    <t>Procurement of 1 Unit Pick Up Vehicle</t>
  </si>
  <si>
    <t>1 lot Multistage Centrifugal Vertical Pump with Soft Starter Motor Controller</t>
  </si>
  <si>
    <t>PROJECT 2 - PROCUREMENT AND DELIVERY OF LABORATORY SUPPLIES FOR THE USE OF NTP PROGRAM FOR REGION 1</t>
  </si>
  <si>
    <t>Laboratory Supplies for LPH-Luisiana District Hospital for 3rd and 4th Quarter</t>
  </si>
  <si>
    <t>Purchase of Various Materials for Donation to Barangays (Province-wide) Province of Northern Samar</t>
  </si>
  <si>
    <t>Supply and Delivery of 1 Unit Emergency Response and Rescue Vehicle in the Municipality of Dauis, Bohol.</t>
  </si>
  <si>
    <t>PROJECT 1 - PROCUREMENT AND DELIVERY OF PERSONAL PROTECTIVE EQUIPMENT FOR THE PROVINCE OF LA UNION</t>
  </si>
  <si>
    <t>CONSTRUCTION OF FRUIT STAND</t>
  </si>
  <si>
    <t>Construction of Multi-purpose Building</t>
  </si>
  <si>
    <t>3 Lots Vertical Centrifugal Pump and Motor</t>
  </si>
  <si>
    <t>SUPPLY, DELIVERY AND INSTALLATION OF KITCHEN EQUIPMENT   (PROJECT REF. No.: CSU2020-07-008-HOTEL)</t>
  </si>
  <si>
    <t>Repair/Rehab of Muliti-Purpose Building</t>
  </si>
  <si>
    <t>Concreting of Existing Barangay Road at Sitio Engkoyan</t>
  </si>
  <si>
    <t>Supply and Delivery of Various Technical and Scientific Equipment CY 2019 - Re-Bidding</t>
  </si>
  <si>
    <t>BRIGADA</t>
  </si>
  <si>
    <t>Procurement of BRAND NEW FIRE TRUCK</t>
  </si>
  <si>
    <t>PROJECT 3 - PROCUREMENT AND DELIVERY OF PROGESTIN SUBDERMAL IMPLANT FOR REGION 1</t>
  </si>
  <si>
    <t>20KI0097 Contract Name		: Construction of Multi-Purpose Building, Magcamiguing, Calamba, Misamis Occidental</t>
  </si>
  <si>
    <t>Risograph Machine/IB No. 2020-008</t>
  </si>
  <si>
    <t>Purchase of Various Medical Equipment G. B. Tan Memorial Hospital Laoang, Northern Samar</t>
  </si>
  <si>
    <t>SUPPLY AND DELIVERY OF  OTHER PROPERTY, PLANT &amp; EQUIPMENT (MPFSDC)</t>
  </si>
  <si>
    <t>INSTALLATION OF WATER SYSTEM @ HIGHWAY FOOD COURT</t>
  </si>
  <si>
    <t>SUPPLY AND DELIVERY OF  PALAY SEEDS &amp; FERTILIZERS</t>
  </si>
  <si>
    <t>Construction / Concreting of Farm to Market Road with Bridge, Brgy. Pamplona-Catablingan Boundary, General Nakar, Quezon</t>
  </si>
  <si>
    <t>Medicines (Dangerous Drugs) for LPH-Dr. J. P. Rizal Memorial District Hospital for 3rd and 4th Quarter</t>
  </si>
  <si>
    <t>Medicines for Human Induced and Natural Disaster Operations of Provincial Disaster Risk Reduction Management Office (PDRRMO)</t>
  </si>
  <si>
    <t>INVITATION TO BID FOR 2020 KAANIB ENTERPRISE DEVELOPMENT PROJECT (KEDP) – COMMUNITY HOUSEHOLD LEVEL COCONUT PROCESSING (CHLCP) FOR VIRGIN COCONUT OIL PRODUCTION</t>
  </si>
  <si>
    <t>Diesel Fuel etc. (07-0734) CMO</t>
  </si>
  <si>
    <t>CONSTRUCTION OF 2-STOREY  PUBLIC MARKET WITH ACCESS ROAD</t>
  </si>
  <si>
    <t>Brand New Passenger Van for Governor’s Office – Executive for the Transport of Visitors and Personnel in the Implementation of Programs and Projects in the Province of Laguna</t>
  </si>
  <si>
    <t>Oxygen for Laguna Medical Center, LPH-San Pablo City District Hospital, LPH-Dr. J.P. Rizal Memorial District Hospital, LPH-Nagcarlan District Hospital, LPH-Majayjay District Hospital for 3rd and 4th Q</t>
  </si>
  <si>
    <t>Brand New Pick-Up for Governor’s Office – Executive for the Transport of Visitors and Personnel in the Implementation of Programs and Projects in the Province of Laguna</t>
  </si>
  <si>
    <t>CONSTRUCTION OF GOVERNMENT BUILDINGS/STRUCTURES/FACILITIES (CONSTRUCTION OF FOUR (4) STOREY MUNICIPAL BUILDING WITH BASEMENT-PHASE 1)</t>
  </si>
  <si>
    <t>Rehabilitation of Public Market (Awning)</t>
  </si>
  <si>
    <t>Brand New AUV for Governor’s Office</t>
  </si>
  <si>
    <t>Procurement of Medical Equipment-07-027(X)SDH</t>
  </si>
  <si>
    <t>Concreting of Caers Street</t>
  </si>
  <si>
    <t>Concreting of Gerardo Street</t>
  </si>
  <si>
    <t>Supply and Delivery of Insecticide for Dengue and Malaria Control for the use of Dr. Tomas Nolasco Sr. Memorial Hospital</t>
  </si>
  <si>
    <t>Negotiated Procurement for Orthopaedic Implants (53.1)</t>
  </si>
  <si>
    <t>Rehabilitation of Farmers'Multi-Purpose Hall, Pila</t>
  </si>
  <si>
    <t>Construction of Covered Walk Along Quirino Street</t>
  </si>
  <si>
    <t>CONSTRUCTION OF COVERED PATHWAY</t>
  </si>
  <si>
    <t>CONCRETING OF PAIT FARM TO MARKET ROAD Alabel, Sarangani Province</t>
  </si>
  <si>
    <t>Concreting of Simeon Galapon St. Extension</t>
  </si>
  <si>
    <t>20CSPF0001: GEOTECHNICAL SOIL INVESTIGATION FOR THE PROPOSED REHABILITATION/RECONSTRUCTION OF NATIONAL ROADS WITH SLIPS, SLOPE COLLAPSE, AND LANDSLIDE ALONG GOV. BADO DANGWA NATIONAL ROAD</t>
  </si>
  <si>
    <t>20GKA0006 / PR # 2020-07-0186  Supply and delivery of materials for the provision of Thermoplastic Paint along Sayre Highway Kisolon-Lumbo Road (selected section)</t>
  </si>
  <si>
    <t>SUPPLY OF LABOR AND MATERIALS FOR THE UPGRADING AND IMPROVEMENT OF NSQCS LABORATORY-REGION 4-A, LAGUNA</t>
  </si>
  <si>
    <t>INVITATION TO BID FOR THE PURCHASE AND PRODUCTION OF THE 2019 “DARANGEN” ( YEARBOOK)</t>
  </si>
  <si>
    <t>Supply and Delivery of Communication Equipment</t>
  </si>
  <si>
    <t>20CSPF0002: GEOTECHNICAL SOIL INVESTIGATION FOR THE PROPOSED REHABILITATION/RECONSTRUCTION OF NATIONAL ROADS WITH SLIPS, SLOPE COLLAPSE, AND LANDSLIDE ALONG KIANGAN-TINOC-BUGUIAS ROAD AND CONG. ANDRES</t>
  </si>
  <si>
    <t>Supply and Delivery of Common Medicine Supplies – 2020</t>
  </si>
  <si>
    <t>20CG0249 - Local Infrastructure Program: Local Roads and Bridges – Local Roads – Construction of Aquino By-Way Extension, Brgy. Calulut, San Fernando, Pampanga</t>
  </si>
  <si>
    <t>20CG0246 - Local Infrastructure Program: Local Roads and Bridges – Local Roads – Construction of Road with Drainage at Brgy. Sta. Rita, Minalin, Pampanga</t>
  </si>
  <si>
    <t>20CG0247 - Construction/ Repair/ Rehabilitation/ Improvement of Various Infrastructures including Local Projects:Local Roads – Construction of Access Road within Camp Olivas, City of San Fernando, Pam</t>
  </si>
  <si>
    <t>Supply and Delivery of 1 -Lot Riso FW 5230 and Ineo+226</t>
  </si>
  <si>
    <t>Supply and Delivery of Prepaid Cards</t>
  </si>
  <si>
    <t>Construction of Two (2) units Fix Vent Greenhouses with Aeroponic System and with Drip Irrigation System</t>
  </si>
  <si>
    <t>Procurement of Network Security Appliance Maintenance Service for the Department of Environment and Natural Resources (DENR) Field Offices</t>
  </si>
  <si>
    <t>20CG0248 - Network Development Program: Construction of By-Pass and Diversion Roads – Arayat – Magalang (Arayat Section) Bypass Road, Pampanga</t>
  </si>
  <si>
    <t>Concreting of Purog-Angare Barangay Road</t>
  </si>
  <si>
    <t>20CG0236 - Construction/ Repair/ Rehabilitation/ Improvement of Various Infrastructures including Local Projects: Local Roads and Bridges – Local Roads – Rehabilitation of Sto. Monica Barangay Road, S</t>
  </si>
  <si>
    <t>Land Development - New Puntaville</t>
  </si>
  <si>
    <t>PROVISION OF MEDICAL SUPPLIES</t>
  </si>
  <si>
    <t>PRINTING OF TARPAULINS</t>
  </si>
  <si>
    <t>PROVISION OF SCHOOL SUPPLIES</t>
  </si>
  <si>
    <t>Concreting of Upper Bales-Kabcal Road - Barangay Bales</t>
  </si>
  <si>
    <t>Improvement of Municipal Building, Barangay Poblacion, Concepcion, Iloilo</t>
  </si>
  <si>
    <t>Concreting of San Felipe-Gaas St. - Barangay Colon</t>
  </si>
  <si>
    <t>PB 2020-05-CS Managed Services the Operations of Tax Administration Core Systems and Other BIR Systems</t>
  </si>
  <si>
    <t>Construction/Rehabilitation of Cabulisan-Caminto Road</t>
  </si>
  <si>
    <t>2020-MS-106 LIQUID HELIUM</t>
  </si>
  <si>
    <t>20BE0095 - CONCRETING OF BRGY. SAN RAFAEL ABAJO PHASE II FMR BRGY. SAN RAFAEL ABAJO, STO. TOMAS, ISABELA</t>
  </si>
  <si>
    <t>Supply and Delivery of Construction Materials and Supply for the Improvement of Sagkaray Building</t>
  </si>
  <si>
    <t>Construction of Multi-Purpose Building and Site Development at Camp Bagong Diwa, Brgy. Central Bicutan, Taguig City (Contract ID No. 20O00051)</t>
  </si>
  <si>
    <t>Construction of Solar Dryer, Barangay Batiti, Concepcion, Iloilo</t>
  </si>
  <si>
    <t>MG-TSE20-025.TESTER, IMPEDANCE, MULTIFUNCTION, PRIMARY</t>
  </si>
  <si>
    <t>CONSTRUCTION OF STONE MASONRY</t>
  </si>
  <si>
    <t>RM Electrical Wiring</t>
  </si>
  <si>
    <t>Supply and Delivery of 2 units Customized Storage Container Van Total ABC: Php1,000,000.00</t>
  </si>
  <si>
    <t>PROCUREMENT OF MEDICAL SUPPLIES FOR ANIMAL BITE TREATMENT CENTER</t>
  </si>
  <si>
    <t>Construction of Solar Dryer, Barangay Plandico, Concepcion, Iloilo</t>
  </si>
  <si>
    <t>CONCRETING OF LABAAN FMR</t>
  </si>
  <si>
    <t>Expansion of Material Recovery Facilities, Municipal Eco Part, Barangay Lo-ong, Concepcion, Iloilo</t>
  </si>
  <si>
    <t>Construction of Solar Dryer, Barangay Bacjawan Sur, Concepcion, Iloilo</t>
  </si>
  <si>
    <t>Supply and Delivery of 12 units Hermetic Storage ABC: Php2,236,800.00</t>
  </si>
  <si>
    <t>IMPROVEMENT OF BARANGAY HEALTH CENTER</t>
  </si>
  <si>
    <t>JOB ORDER: To supply labor and materials for the Construction of Multi-Purpose Covered Court, Doña Angeles J. Montinola Memorial National High School, Brgy. Bagtic, Silay City.</t>
  </si>
  <si>
    <t>Supply and Delivery of Zoological Supplies and Feeds.</t>
  </si>
  <si>
    <t>PROVISIONS OF TEST PAPERS</t>
  </si>
  <si>
    <t>Supply and Delivery of 750 box Rodenticide ABC: Php1,875,000.00</t>
  </si>
  <si>
    <t>Supply and Delivery of Medical and Laboratory Supplies of San Pablo City General Hospital, San Pablo City 3rd Quarter.</t>
  </si>
  <si>
    <t>Supply and Delivery of 15,000 bags Organic Fertilizer ABC: Php4,500,000.00</t>
  </si>
  <si>
    <t>Supply, Delivery, Installation and Configuration of Brand New Network Security Appliances for the DENR ROs, PENROs, LMB and ERDB</t>
  </si>
  <si>
    <t>Procurement of Surgical Mask</t>
  </si>
  <si>
    <t>Construction of Rural Access Road</t>
  </si>
  <si>
    <t>Installation of Water Supply to Community Fish Landing Center</t>
  </si>
  <si>
    <t>Purchase of Drugs and Medicines to be used for the Municipal Health Office</t>
  </si>
  <si>
    <t>Supply and Delivery of Animal and Zoological Supplies ABC: Php1,457,800.00</t>
  </si>
  <si>
    <t>MA-A2H20-004..FIBER OPTIC CABLE</t>
  </si>
  <si>
    <t>Procurement of Various Criminology Laboratory Equipment and Supplies for Instructional use - Binalbagan Campus</t>
  </si>
  <si>
    <t>Procurement of N95 Mask</t>
  </si>
  <si>
    <t>Infrastructure in support of children at risk (vulnerable group), Poblaion, Mina, Iloilo.</t>
  </si>
  <si>
    <t>Supply and Delivery of Assorted and Common Office Supplies and Devices</t>
  </si>
  <si>
    <t>Procurement of Bauffant Cap</t>
  </si>
  <si>
    <t>20BE0096 - CONCRETING OF BRGY. ALINGUIGAN IST FMR BRGY. ALINGUIGAN IST, ILAGAN, ISABELA</t>
  </si>
  <si>
    <t>MG-A5C20-013, INSTALLATION OF CONTROL ROOM FIRE SUPPRESSION</t>
  </si>
  <si>
    <t xml:space="preserve">19GL00115; P.R. No. 2020-07-082 DATED 07/07/2020: PROCUREMENT OF ONE (1) LOT OF VARIOUS I.T. CONSUMABLES, SUPPLIES &amp; ACCESSORIES, FOR USE IN THE DPWH R.O. XI, UNDER THE ADMINISTRATIVE DIVISION, DAVAO </t>
  </si>
  <si>
    <t>20EA0001-R1 - Asset Preservation – Preventive Maintenance – Secondary Roads, Marinduque Circumferential Rd – K0008+000-K0008+030, K0058+000-K0058+773, K0062+126-K0063+154, K0063+704-K0066+855</t>
  </si>
  <si>
    <t>Consulting Services for the Development of Contactless Face Recognition Biometric System to the Existing NEDA Integrated Information System</t>
  </si>
  <si>
    <t>MG-A7M20-008, REHAB OF AGUS 6 UNIT NO 5 COOLING SYSTEM</t>
  </si>
  <si>
    <t>UPGRADING/IMPROVEMENT/REHAB OF LAYA BALONG, LAYA-BALONG BOUNDARY ROAD</t>
  </si>
  <si>
    <t>MA-A2H20-010..SURGE PROTECTOR, 13.8 KV CAPACITOR AT MDS, 3 UNITS PER SET, AGUS 2 HE PLANT</t>
  </si>
  <si>
    <t>Supply and Delivery of 495 bags NSIC 2019 GMCn67 Hybrid Yellow Corn Seeds ABC: Php2,227,500.00</t>
  </si>
  <si>
    <t>20KD0068 - Overlay Along Puerto Flyover, Brgy. Puerto, Cagayan de Oro City</t>
  </si>
  <si>
    <t>ITB No. 20-069 Supply and Delivery of Various Cardiovascular and Catheterization Supplies (Line Bidding)</t>
  </si>
  <si>
    <t>Supply and Delivery of Five (5) Unit Customized Ambulance</t>
  </si>
  <si>
    <t>CONSTRUCTION OF FARM TO MARKET ROAD (Brgy. Coral)</t>
  </si>
  <si>
    <t>Supply and Delivery of 795 bags Hybrid Yellow Corn Seeds Total ABC: Php3,577,500.00</t>
  </si>
  <si>
    <t>Construction of Brgy. Malabo Multi-Purpose Building</t>
  </si>
  <si>
    <t>20KA0101(Readvertisement) - Cluster 2 1.) Construction of Flood Control Structure along Malaybalay -Gingoog Road (Kulaman Br.), Malaybalay City, Bukidnon 2.) Construction of Flood Control Structure al</t>
  </si>
  <si>
    <t>MG-A5C20-051..FIRE EXTINGUISHER, PORTABLE, FOAM, AGUS 4 &amp; 5 HE PLANT</t>
  </si>
  <si>
    <t>Supply and Delivery of Various IT Equipment for the Educating Science Teachers for All (ESTA) Project</t>
  </si>
  <si>
    <t>CONSTRUCTION OF FRONTLINERS QUARTERS AT BRGY. POBLACION, KANANGA, LEYTE</t>
  </si>
  <si>
    <t>Purchase of Office Equipment for DepEd Division,COtabato City</t>
  </si>
  <si>
    <t>Supply and Delivery of Brand-New Desktop Computers for Issuance/Replacement of Defective/Beyond Economic Repair of Voter Registration Machines in Various Field Offices of the Commission</t>
  </si>
  <si>
    <t>20CSFL03-Geotechnical Investigation Work for the Rehabilitation of Road</t>
  </si>
  <si>
    <t>Supply and Delivery of HD Webcam for  Various Field Offices of the Commission</t>
  </si>
  <si>
    <t>COMPLETION WORKS FOR THE CONSTRUCTION OF HIGH SCHOOL BUILDING AT MNHS ANNEX , SOUTHVILLE 3, POBLACION, MUNTINLUPA CITY</t>
  </si>
  <si>
    <t>Reproduction Materials of Alternative Delivery Mode (ADM) Modules in All  Learning Areas from  Kinder to Grade 12 SY 2020</t>
  </si>
  <si>
    <t>RENOVATION OF MNHS BAHAY ALUMNI MULTI-PURPOSE BUILDING AT MNHS ALUMNI, UNIVERSITY ROAD, POBLACION, MUNTINLUPA CITY (*RE-POSTED)</t>
  </si>
  <si>
    <t>Supply, Delivery, Installation and Commissioning of Various Material Handling Units, as per BSP Technical Specifications and Terms of Reference, including Equipment Handling/Safety Seminar/Training of</t>
  </si>
  <si>
    <t>AFP Basing Support System Project - Construction of Five (5) Units 16-Door Door Condominium with Roof Deck at Camp General Emilio Aguinaldo, Quezon City</t>
  </si>
  <si>
    <t>REPAIR AND MAINTENANCE – BUILDING AND OTHER STRUCTURES MARKET AT BRGY. POBLACION, KANANGA, LEYTE</t>
  </si>
  <si>
    <t>CONSTRUCTION OF STP AT MUNTINLUPA CITY JAIL, NATIONAL ROAD BRGY TUNASAN, MUNTINLUPA CITY</t>
  </si>
  <si>
    <t>Const. of Riprap @ Cambayog</t>
  </si>
  <si>
    <t>Const. of Road Protection (Riprap Type)</t>
  </si>
  <si>
    <t>PRE-BID CONFERENCE 28/July/2020 - Procurement of Goods: Consolidated Office Supplies 2020 (3rd Quarter) (PR#100-20-07-0036,100-20-07-0197 &amp; 100-20-07-0187)</t>
  </si>
  <si>
    <t>PROFESSIONAL SERVICES  FOR THE STRUCTURAL DESIGN OF VARIOUS INFRASTRUCTURE PROJECTS</t>
  </si>
  <si>
    <t>Const. or River Protection @ Cabadiangan</t>
  </si>
  <si>
    <t>RENT OF PRINTER WITH CONTINUOUS INK TO BE USED AT OSPITAL NG MUNTINLUPA (*RE-POSTED)</t>
  </si>
  <si>
    <t>Supply and Delivery of Various Light Vehicles</t>
  </si>
  <si>
    <t>CONSTRUCTION OF DRAINAGE SYSTEM AT PANCE</t>
  </si>
  <si>
    <t>CONSTRUCTION OF ROAD AND DRAINAGE SYSTEM AT SOUTH GREENHEIGHTS, BRGY. PUTATAN, MUNTINLUPA CITY</t>
  </si>
  <si>
    <t>UPLB-RQ-7-150-20-RES SUPPLY AND DELIVERY OF LABORATORY SUPPLIES &amp; EQUIPMENT FOR IC</t>
  </si>
  <si>
    <t>Supply and Delivery of Forty (40) Unit Brand New Motorcycles</t>
  </si>
  <si>
    <t>SUPPLY, DELIVERY &amp; INSTALLATION OF AIRCONDITIONERS FOR VARIOUS HEALTH FACILITIES IN MUNTINLUPA CITY</t>
  </si>
  <si>
    <t>INVITATION TO BID SUPPLY, DELIVERY AND INSTALLATION OF LABORATORY TABLES (PB 20-03-19)</t>
  </si>
  <si>
    <t>Construction of COVID-19 Rapid Testing Laboratory at Medical Arts Building, Ospital ng Lipa,   Lipa City</t>
  </si>
  <si>
    <t>Supply and Delivery of One (1) Unit 11 Footer Light Truck, Single Cab, Drop Side</t>
  </si>
  <si>
    <t>SUPPLY AND DELIVERY OF VARIOUS I.T. EQUIPMENT (SECOND BIDDING)</t>
  </si>
  <si>
    <t>Labor and Materials for the Construction of Multi-Purpose Building at Hidalgo Street, Barangay Poblacion 7, SJOM</t>
  </si>
  <si>
    <t>S3-SIT20-002, S3-SCL20-017, S3-SIA20-004, S3-WSD20-006 - Supply and Delivery of Various Mechanical Spare Parts of Perkins Generator Sets of SPUG WMOD Plants</t>
  </si>
  <si>
    <t>PURCHASE OF 3 UNITS BLACK &amp; WHITE COPIER AND 1 UNIT COLORED COPIER (SAN LUIS, AURORA)</t>
  </si>
  <si>
    <t>RM Portable Handwashing</t>
  </si>
  <si>
    <t>CONSTRUCTION OF MULTI-PURPOSE COVERED COURT (PHASE 1) AT MUNTINLUPA ELEMENTARY SCHOOL, BRGY. POBLACION, MUNTINLUPA CITY</t>
  </si>
  <si>
    <t>RM Library Hub</t>
  </si>
  <si>
    <t>S1-CUY20-001 - Supply and Delivery of Spare Parts for 600kW Cummins Diesel Engine (Model: KTA 38) of Cuyo Diesel Power Plant</t>
  </si>
  <si>
    <t>S1-CUL20-011 - Supply and Delivery of Electrical Spare Parts for 600kW Cummins KTA38-G1 for Culion Diesel Power Plant</t>
  </si>
  <si>
    <t>S1-B2020-004 - Supply and Delivery of Mechanical Spare Parts for 1.8MW Daihatsu Generating Sets, Model: 6DK-32 of Power Barge 120</t>
  </si>
  <si>
    <t>RM Kindergarten</t>
  </si>
  <si>
    <t>20A00212: Concreting of Farm to Market Road, Brgy. Boyboy, Piddig, Ilocos Norte</t>
  </si>
  <si>
    <t>PB20-021-1: Construction of New Clark City Connecting Road Package 1</t>
  </si>
  <si>
    <t>Procurement of food supplies (meals and snacks, item 1 with venue and item 2 without venue -within Davao de Oro-B-20-0211</t>
  </si>
  <si>
    <t>Conversion of Dental/Medical  Clinic CY 2020</t>
  </si>
  <si>
    <t>Invitation to Bid - Supply and Delivery of Toners with Free Use Printers for Pag-IBIG Fund Southern &amp; Southwestern Mindanao Group</t>
  </si>
  <si>
    <t>Procurement of Supply &amp; Delivery of 56 heads Caracows (Typhoon Ursula) Rebid</t>
  </si>
  <si>
    <t>S1-MRN20-002 - Supply and Delivery of Spare Parts Needed for Rehabilitation / Reforestation of Unit No.5 – 1000kW Cummins Model: KTA50-G9</t>
  </si>
  <si>
    <t>Supply/Delivery of Latex Paint, 7 Liter White</t>
  </si>
  <si>
    <t>REQUEST FOR EXPRESSION OF INTEREST FOR THE Procurement of a Consultancy Service Provider (CSP) for the Review and Design of PDIC’s Organizational Structure and Staffing Pattern(OSSP)</t>
  </si>
  <si>
    <t>20GK0229 - Concreting of Brgy. Prosperidad FMR, Brgy. Prosperidad, San Carlos City, Negros Occidental</t>
  </si>
  <si>
    <t>Supply/Delivery of Standard ISO PE Pipes</t>
  </si>
  <si>
    <t>Rehabilitation of barangay roads at jardeleza subdivision and san vicente subdivision</t>
  </si>
  <si>
    <t>Supply/Delivery of Food Packs</t>
  </si>
  <si>
    <t>PROCUREMENT OF ONE (1) YEAR MAINTENANCE OF DICT FIBER OPTIC CABLE (FOC) NETWORK IN ILOILO CITY</t>
  </si>
  <si>
    <t>Procurement of Consulting Services of an Agency for Public Relations</t>
  </si>
  <si>
    <t>Re-Bidding for the Supply &amp; Delivery of Medicines for MHO use</t>
  </si>
  <si>
    <t>Construction of Reinforced Concrete Slope Protection for CY 2020</t>
  </si>
  <si>
    <t>S1-BHP20-008 - Supply and Delivery of Spare Parts and Other Materials for Balongbong HEPP</t>
  </si>
  <si>
    <t>ITB - One (1) Job One (1) Year Hauling of Non-infectious (Wet &amp; Dry) Waste from Corazon Locsin Montelibano Memorial Regional Hospital (CLMMRH) to the Authorized /Designated City Dumpsite (P.R. No. 20-</t>
  </si>
  <si>
    <t>SUPPLY AND DELIVERY OF WATER MATERIALS USE FOR WATER TREATMENT PLANT FACILITY &amp; EQUIPMENTS</t>
  </si>
  <si>
    <t>Two lots Utility Vehicles</t>
  </si>
  <si>
    <t>Procurement of Supply &amp; Delivery of Piglets (Typhoon Ursula) Rebid</t>
  </si>
  <si>
    <t>Procurement of Supply &amp; Delivery of 5,500 heads Native Chicken</t>
  </si>
  <si>
    <t>PURCHASE OF ONE (1) UNIT BRAND NEW WATER TANKER TRUCK</t>
  </si>
  <si>
    <t>SUPPLY AND DELIVERY OF DIESEL GENERATOR SET USE FOR WATER TREATMENT FACILITY PLANT</t>
  </si>
  <si>
    <t>CONTRACT ID: 20-07-097- PROCUREMENT OF PCR TEST KIT FOR COVID 19</t>
  </si>
  <si>
    <t>Supply and Delivery of Clamp Meter, Pump &amp; Tester use for Water Treatment Facility</t>
  </si>
  <si>
    <t>Procurement of Supply &amp; Delivery of NSIC Approved GM Hybrid Yellow Corn Seeds</t>
  </si>
  <si>
    <t>ITB - One (1) Lot Hazardous Waste Transport and Treatment (P.R. No. 20-02-70191)</t>
  </si>
  <si>
    <t>Installation of Street Lighting System, Along National Highway &amp; City Streets, Tacurong City</t>
  </si>
  <si>
    <t>20A00216: Rehabilitation of Sta. Rosa-Calincamasan Road, Brgys. Sta. Rosa and Calincamasan, San Juan, La Union</t>
  </si>
  <si>
    <t>ITB - Arterial Blood Gas Reagent (P.R. No. 20-06-70506)</t>
  </si>
  <si>
    <t>20A00214: Rehabilitation of Calincamasan - Quidem Road (including construction of two bridges), Brgys. Calincamasan and Quidem, San Juan, La Union</t>
  </si>
  <si>
    <t>(SBMA-BAC-CONS-RFEI-20-02) CONSULTANCY SERVICES FOR THE CONDUCT OF A REGULATORY AUDIT OF SUBIC BAY WATER AND SEWERAGE CO. ("SUBIC WATER") FOR WATER SUPPLY RATE ADJUSTMENTS</t>
  </si>
  <si>
    <t>ITB - Rice (White Special Rice 50kg per sack) (P.R. No. 20-06-70545)</t>
  </si>
  <si>
    <t>PROCUREMENT OF SUPPLY &amp; DELIVERY OF CORN SEEDS FOR FOOD SECURITY (COVID 19) BY LOT</t>
  </si>
  <si>
    <t>Construction of Multi-Purpose Building at Lipa City Community Park, Barangay 7, Lipa City</t>
  </si>
  <si>
    <t>ITB - Various CSSD Supplies (P.R. No.  20-06-70509)</t>
  </si>
  <si>
    <t>Improvement of Lipa City Community Park at Brgy. 7, Lipa City</t>
  </si>
  <si>
    <t>SUPPLY AND DELIVERY OF ELECTRICAL ITEMS USE FOR WATER TREATMENT PLANT</t>
  </si>
  <si>
    <t>REHABILITATION/ CONSTRUCTION OF PALITUD BRIDGE</t>
  </si>
  <si>
    <t>ITB - Bond Paper (Long and Short) (P.R. No.  20-07-70670)</t>
  </si>
  <si>
    <t>ITB - Various Housekeeping Supplies (P.R. No.  20-06-70574)</t>
  </si>
  <si>
    <t>ITB - Various Medical Oxygen (P.R. No.  20-07-70685)</t>
  </si>
  <si>
    <t>ITB - Various CSSD Supplies (P.R. No.  20-06-70513)</t>
  </si>
  <si>
    <t>ITB - Various CSSD Supplies (P.R. No.  20-06-70507)</t>
  </si>
  <si>
    <t>S3-KDP20-007 - Supply and Delivery of Various Mechanical Spare Parts for Unit #1 600kW Perkins with Engine Model: 4006-23TAG2 and Engine No. DGBF6001U19544U</t>
  </si>
  <si>
    <t>ITB 20-0071 - Supply and Delivery of 36 units Duplicating Machine.</t>
  </si>
  <si>
    <t>ITB - Various Housekeeping Supplies (P.R. No.  20-06-70573)</t>
  </si>
  <si>
    <t>Procurement of Supply &amp; Delivery of 200 heads Goat</t>
  </si>
  <si>
    <t>Purchase of Multicab (Recon)</t>
  </si>
  <si>
    <t>ITB - One (1) Lot CT Scan Machine (At least 64-slice) (P.R. No. 20-04-70407)</t>
  </si>
  <si>
    <t>PROCUREMENT OF GOODS: VARIOUS HOSPITAL EQUIPMENT (HFEP 2020) - ONE (1) UNIT STEAM STERILIZER (IB 2020-27)</t>
  </si>
  <si>
    <t>20GM0082 - Construction of One(1) Unit, Two (2) Storey, Six (6) Classrooms School Building at Inapoy NHS, Kabankalan City, Negros Occidental.</t>
  </si>
  <si>
    <t>ITB - Various CSSD Supplies (P.R. No.  20-06-70569)</t>
  </si>
  <si>
    <t>Supply and Delivery of Furnitures and Fixtures</t>
  </si>
  <si>
    <t>ITB - Various CSSD Supplies (P.R. No.  20-06-70564)</t>
  </si>
  <si>
    <t>ITB - Various CSSD Supplies (P.R. No.  20-06-70563)</t>
  </si>
  <si>
    <t>ITB - Various CSSD Supplies (P.R. No.  20-06-70548)</t>
  </si>
  <si>
    <t>ITB - Various CSSD Supplies (P.R. No.  20-06-70578)</t>
  </si>
  <si>
    <t>Procurement of Tools, Utensils &amp; Equipment Needed for Cookery, Bread &amp; Pastry and Food &amp; Beverage Services for Senior High</t>
  </si>
  <si>
    <t>Procurement of Supply and Delivery of Office  Supplies</t>
  </si>
  <si>
    <t>Laboratory Outsourcing 53.1-Two Failed Biddings</t>
  </si>
  <si>
    <t>Supply and Delivery of 16 Units Computer Desktop and 8 Units Printer</t>
  </si>
  <si>
    <t>Supply and Delivery of Materials for the Installation of Three (3) Phase Line and Electrical Rewiring</t>
  </si>
  <si>
    <t>ITB - Laboratory Supplies and Reagents (Blood Bank Section) (P.R. No. 20-06-70528)</t>
  </si>
  <si>
    <t>ITB - Various Operating Room Instruments (P.R. No. 20-06-70593)</t>
  </si>
  <si>
    <t>ITB - Various Operating Room Instruments (P.R. No. 20-06-70514)</t>
  </si>
  <si>
    <t>MECHANICAL VENTILATOR RENTAL</t>
  </si>
  <si>
    <t>ITB - Five (5) units Defibrillator (P.R. No. 20-06-70549)</t>
  </si>
  <si>
    <t>ITB -Four (4) Units of Biological Refrigerator-Double Door (P.R. No. 20-06-70649)</t>
  </si>
  <si>
    <t>ITB - Various CSSD Supplies (P.R. No.  20-07-70643)</t>
  </si>
  <si>
    <t>Procurement of supply and delivery of Laboratory Supplies</t>
  </si>
  <si>
    <t>INVITATION TO BID-Construction of Academic Building III</t>
  </si>
  <si>
    <t>ITB - Various CSSD Supplies (P.R. No.  20-07-70639)</t>
  </si>
  <si>
    <t>ITB - Various CSSD Supplies (P.R. No.  20-06-70631)</t>
  </si>
  <si>
    <t>ITB - Various CSSD Supplies (P.R. No.  20-07-70640)</t>
  </si>
  <si>
    <t>Supply and Delivery of Construction Materials for the Construction of Concrete Fence</t>
  </si>
  <si>
    <t>PROCUREMENT OF GOODS: VARIOUS HOSPITAL EQUIPMENT (HFEP 2020) - ONE (1) UNIT WASHER-DISINFECTOR MACHINE (IB 2020-28)</t>
  </si>
  <si>
    <t>ITB - Various CSSD Supplies (P.R. No.  20-06-70579)</t>
  </si>
  <si>
    <t>ITB - Laboratory Supplies and Reagents (Bacteriology Section) (P.R. No. 20-06-70503)</t>
  </si>
  <si>
    <t>Supply and Delivery of Construction Materials for the Completion of Fencing</t>
  </si>
  <si>
    <t>Supply and Delivery of 8 Units Laptop</t>
  </si>
  <si>
    <t>Supply and Delivery of Rescue Truck</t>
  </si>
  <si>
    <t>Construction of Multi-Purpose Building (Phase II)</t>
  </si>
  <si>
    <t>Supply and Delivery of 1-unit Sports Utility Vehicle for Bicol University (2nd)</t>
  </si>
  <si>
    <t>Supply and Delivery of 6 Units Split Type Aircon</t>
  </si>
  <si>
    <t>ITB - Various CSSD Supplies (P.R. No.  20-06-70581)</t>
  </si>
  <si>
    <t>ITB - Various CSSD Supplies (P.R. No.  20-06-70544)</t>
  </si>
  <si>
    <t>Supply and Delivery of Pre &amp; Post Chlorine Dosing Pump &amp; Water Materials use for Water Treatment Plant</t>
  </si>
  <si>
    <t>ITB - Various CSSD Supplies (P.R. No.  20-06-70515)</t>
  </si>
  <si>
    <t>ITB - Laboratory Supplies and Reagents (Blood Bank Section) (P.R. No. 20-06-70530)</t>
  </si>
  <si>
    <t>IMPROVEMENT OF SAMOKI RIVERSIDE ROAD, BONTOC</t>
  </si>
  <si>
    <t>Supply and Delivery of 7 Units Aircon</t>
  </si>
  <si>
    <t>ITB - Laboratory Supplies and Reagents (Blood Bank Section) (P.R. No. 20-06-70527)</t>
  </si>
  <si>
    <t>ITB - Drugs and Medicines (P.R. No. 20-06-70553)</t>
  </si>
  <si>
    <t>ITB - Laboratory Supplies and Reagents (Clinical Chemistry Section) (P.R. No. 20-06-70526)</t>
  </si>
  <si>
    <t>ITB - Laboratory Supplies and Reagents (Clinical Microscopy Section) (P.R. No. 20-06-70584)</t>
  </si>
  <si>
    <t>ITB - Laboratory Supplies and Reagents (Blood Bank Section) (P.R. No. 20-06-70529)</t>
  </si>
  <si>
    <t>PB INFRA 20-048_Energization of Malng District Hospital (New Building) Three Phase Line ,Poblacion, Mlang, Cotabato</t>
  </si>
  <si>
    <t>ITB - Laboratory Supplies and Reagents (Blood Bank Section) (P.R. No. 20-06-70531)</t>
  </si>
  <si>
    <t>ITB - Laboratory Supplies and Reagents (Histopathology Section) (P.R. No. 20-06-70522)</t>
  </si>
  <si>
    <t>ITB - Drugs and Medicines (P.R. No. 20-06-70546)</t>
  </si>
  <si>
    <t>ITB - Drugs and Medicines (P.R. No. 20-06-70123)</t>
  </si>
  <si>
    <t>ITB - Laboratory Supplies and Reagents (Clinical Microscopy Section) (P.R. No. 20-06-70524)</t>
  </si>
  <si>
    <t>ITB - Laboratory Supplies and Reagents (Histopathology Section) (P.R. No. 20-06-70523)</t>
  </si>
  <si>
    <t>Widening of Barangay Roads, Purok Sampaguita, Brgy. New Isabela, City of Tacurong</t>
  </si>
  <si>
    <t>Construction of Dalumay Barangay Health Station And IEC (Information Educational Communication &amp; Campaign Area) &amp; Construction of Perimeter Fence</t>
  </si>
  <si>
    <t>CONSTRUCTION OF MALONGON BARANGAY HEALTH STATION AND IEC (INFORMATION EDUCATIONAL COMMUNICATION AND CAMPAIGN AREA) AND CONSTRUCTION OF PERIMETER FENCE</t>
  </si>
  <si>
    <t>CONSTRUCTION OF TAGAYTAY BARANGAY HEALTH STATION AND IEC (INFORMATION EDUCATIONALCOMMUNICATION AND CAMPAIGN AREA) AND CONSTRUCTION OF PERIMETER FENCE</t>
  </si>
  <si>
    <t>ITB - Drugs and Medicines (P.R. No. 20-06-70541)</t>
  </si>
  <si>
    <t>Construction of Balnate Barangay Health Station &amp; IEC (Information Educational &amp; Campaign Area) &amp; Improvement of Perimeter Fence</t>
  </si>
  <si>
    <t>Provision of Manpower Services (Clerk, Housekeeping, Driver/Messenger, and Messenger)</t>
  </si>
  <si>
    <t>Procurement of CY 2020 SND’s Mementos and Other Giveaways</t>
  </si>
  <si>
    <t>ITB - Laboratory Supplies and Reagents (Histopathology Section) (P.R. No. 20-06-70521)</t>
  </si>
  <si>
    <t>PB INFRA 20-061_Concreting of Katidtuan - Malamote Road (Matalam Section), Matalam, Cotabato</t>
  </si>
  <si>
    <t>Supply and Delivery of Various Office Equipment and Paraphernalia</t>
  </si>
  <si>
    <t>Rehabilitation of Municipal Multi Purpose Building (Phase I) of Magsaysay, Davao del Sur</t>
  </si>
  <si>
    <t>Invitation to Bid for the Supply and Delivery of Branded and Brand New Printers and Consumables</t>
  </si>
  <si>
    <t>PB INFRA 20-063_Construction of Potable Water System Project, Camp Bulatukan, Brgy Old Bulatukan, Makilala, Coatabto</t>
  </si>
  <si>
    <t>PROCUREMENT OF GOODS:  2-D ECHO MACHINE WITH ONE (1) ADULT TRANSTHORACIC PROBE, (1) PEDIATRIC TRANSTHORACIC PROBE, ONE (1) ABDOMINAL CURVILINEAR PROBE, AND (1) NEONATAL AND ONE (1) PEDIATRIC TRANSESOP</t>
  </si>
  <si>
    <t>PB INFRA 20-062_Concreting of Sinawingan Road, Libungan, Cotabato</t>
  </si>
  <si>
    <t>PB INFRA 20-059_Concreting of Road, Nalin, Midsayap, Cotabato</t>
  </si>
  <si>
    <t>ITB - Drugs and Medicines (P.R. No. 20-06-70554)</t>
  </si>
  <si>
    <t>2020-153-I PROCUREMENT AND DELIVERY OF  FREE-RANGE CHICKEN UNDER NLP AND SAAD PROGRAM FOR CY 2020</t>
  </si>
  <si>
    <t>PROCUREMENT OF GOODS: INFUSION PUMP (IB 2020-31)</t>
  </si>
  <si>
    <t>20A00213: Concreting of Farm to Market Road, Brgy. Tangaoan, Piddig, Ilocos Norte</t>
  </si>
  <si>
    <t>Development and Beautification of Matingkis Tourism Site</t>
  </si>
  <si>
    <t>20EB0131: Construction of Evacuation Center, Sitio Looban, Barangay Tanyag, Calintaan, Occidental Mindoro</t>
  </si>
  <si>
    <t>74430 - Procurement of One (1) Set Pneumatic Piercing Tool</t>
  </si>
  <si>
    <t>20FO0106 - Construction of Bridge with Road Approachment and Slope Protection Leading to Kawakawa Natural Park and Proposed New Government Centers, Ligao City, Albay</t>
  </si>
  <si>
    <t>CONSTRUCTION OF LOCAL ACCESS ROADS</t>
  </si>
  <si>
    <t>Repair/Rehabilitation of National Road (Activity 711-Special Maintenance) along Abbut-Conner-Kabugao Road Conner, Apayao</t>
  </si>
  <si>
    <t>PRN 051-ANDROID 10 TABLET-LSB-GOODS-2020</t>
  </si>
  <si>
    <t>Repair of Chilled and Condenser Water Piping System for the  Air Handling Units at the Cash Department, Multi-Storey  Building, BSP Head Office, as per BSP Terms of Reference</t>
  </si>
  <si>
    <t>Supply and Delivery of Various IT Equipment for the College of Medicine</t>
  </si>
  <si>
    <t>PROCUREMENT OF GOODS:   C-ARM  (IB 2020-32)</t>
  </si>
  <si>
    <t>PROCUREMENT OF GOODS: ANESTHESIA MACHINE WITH PATIENT MONITOR AND PORTABLE SUCTION MACHINE (IB 2020-30)</t>
  </si>
  <si>
    <t>ITB NO. 2020-0018 Supply, Delivery, Installation, Integration, Testing, Training and Commissioning of One (1) Set of 10-Kilowatt Liquid- Cooled, Band IV-V ISDB-T Digital Transmitter with Complete Elec</t>
  </si>
  <si>
    <t>74535 - Supply and Delivery of Brass Fittings and Valves in Various Types and Sizes</t>
  </si>
  <si>
    <t>FABRICATION AND SUPPLY OF G.I. FRANCHISE PLATE @ City Franchising Office</t>
  </si>
  <si>
    <t>Upgrading of Desktop Computers intended for NSAP Office</t>
  </si>
  <si>
    <t>ITB NO. 2020-0015 Supply, Delivery, Design and Retrofitting of the Quezon City TV Broadcast Transmitter Tower including Rehabilitation of Building/Transmitter Shelter, Grounding and Lightning Protecti</t>
  </si>
  <si>
    <t>Invitation to Bid for the Construction/Extension of Seawall.</t>
  </si>
  <si>
    <t>Construction of Four (4) Storey Student Services Center Building in Batangas State University, ARASOF-Nasugbu (Phase I)</t>
  </si>
  <si>
    <t>2020-171-I PROCUREMENT AND DELIVERY OF  1,901 BAGS OF GM HYBRID YELLOW CORN SEEDS FOR  LOW ELEVATION CORN AREAS</t>
  </si>
  <si>
    <t>Invitation to Bid for the Concreting of FMR/ Local Road (Upgrading) Improvement of Zamora St., Acilo St. (Portion only) and Concrete Alley.</t>
  </si>
  <si>
    <t>20EB0130: Construction of Evacuation Center, Sitio Pambuhan, Barangay San Vicente, Abra de Ilog, Occidental Mindoro</t>
  </si>
  <si>
    <t>ITB NO. 2020-0016 Supply, Delivery, Installation, Supervision, Training, Testing and Commissioning of One (1) Set of Licensed Professional RF Network Planning Software for the People’s Television Netw</t>
  </si>
  <si>
    <t>Supply and Delivery of One (1) Equipment Set; Ready to Commission Mobile Shredding Machine and Accessories (with Mini Tractor with trailer) for Organic Fertilizer Production and Marketing of Magsaysay</t>
  </si>
  <si>
    <t>Supply &amp; Delivery of Various Agricultural &amp; Marine Supplies use for Environment Management Program 2020 for 3rd quarter, Himamaylan City</t>
  </si>
  <si>
    <t>Supply and Delivery of Monobloc Chair for Various Colleges of the University</t>
  </si>
  <si>
    <t>REPAIR OF POBLACION BARANGAY HEALTH STATION AT POBLACION, MAGSAYSAY, DAVAO DEL SUR</t>
  </si>
  <si>
    <t>20EB0128: Concreting of Brgy. Lourdes FMR, Brgy. Lourdes, Magsaysay, Occidental Mindoro</t>
  </si>
  <si>
    <t>REPAIR OF TACUL BARANGAY HEALTH STATION AND IEC (INFORMATION EDUCATIONAL COMMUNICATION AND CAMPAIGN AREA) AND CONSTRUCTION OF PERIMETER FENCE</t>
  </si>
  <si>
    <t>Cont. Ref. No. 093-20: Improvement of Multipurpose Building at Gumatdang, Itogon, Benguet</t>
  </si>
  <si>
    <t>PROCUREMENT OF GOODS: TARGET CONTROLLED INFUSION SYRINGE PUMP (IB 2020-29)</t>
  </si>
  <si>
    <t>20EB0129: Concreting of Brgy. Mapaya FMR, Brgy. Mapaya, San Jose, Occidental Mindoro</t>
  </si>
  <si>
    <t>Repair and Rehabilitation of Magsaysay Halfway House Facility at Municipal Health Center Site, Magsaysay, Davao del Sur</t>
  </si>
  <si>
    <t>Construction of Five (5) Storey Higher Education Building in Batangas State University - JPLPC - Malvar (Phase I)</t>
  </si>
  <si>
    <t>REHABILITATION/EXPANSION OF WATER SUPPLY SYSTEM, LEVEL III</t>
  </si>
  <si>
    <t>PARTIAL REPLACEMENT OF 3-SET CIRCUIT BREAKERS FOR LOW VOLTAGE SWITCHGEAR (LVS) AT POWER SUBSTATION # 1 (ATS AND STANDARD CONFIGURATION)</t>
  </si>
  <si>
    <t>BIDDING (VEHICLE)</t>
  </si>
  <si>
    <t>B20200263 - DIESEL AND GASOLINE FOR REHAB. OF JCT. HWAY CANATAN-DONA ANDREA, ASUNCION, DDN</t>
  </si>
  <si>
    <t>Construction of Bleacher</t>
  </si>
  <si>
    <t>Rehabilitation of Fence of Basketball Gym</t>
  </si>
  <si>
    <t>SUPPLY AND DELIVERY OF CONSTRUCTION MATERIALS FOR THE CONSTRUCTION OF STAIRCASE (PB-LAP-2020-078)</t>
  </si>
  <si>
    <t>Rehabilitation of Comfort Room</t>
  </si>
  <si>
    <t xml:space="preserve">Supply and Delivery of Common Used Office Supplies for the year 2020 to be used by the CMO, CAdminO, CAccO, CENRO, CVMO, CBO, CCRO, CAssO, CLO, CSWDO, CAdminO - CDRRMD, CHO and OSP in the City of San </t>
  </si>
  <si>
    <t>Supply and Delivery of IT Supplies and Equipment for VSU Component Colleges</t>
  </si>
  <si>
    <t>Cont. Ref. No. 063-20: Construction of Veteran’s Multi-Purpose Building and Freedom Park at Virac, Itogon, Benguet</t>
  </si>
  <si>
    <t>PROCUREMENT OF ONE (1) UNIT RESCUE VEHICLE</t>
  </si>
  <si>
    <t>Repair of Barayong Barangay Health Station at Barayong, Magsaysay, Davao del Sur</t>
  </si>
  <si>
    <t>PB INFRA 20-052_Completion of Covered Court, Flauta Elementary School, Lower Glad, Midsayap, Cotabato</t>
  </si>
  <si>
    <t>Construction of Multi Purpose Hall Kitchen, Barangay Pampango</t>
  </si>
  <si>
    <t>PB INFRA 20-050_Construction of Multi-Purpose Building, Poblacion 2, Midsayap, Cotabato</t>
  </si>
  <si>
    <t>INVITATION TO BID FOR REPAIR/IMPROVEMENT OF MULTI-PURPOSE BUILDING (FIRST BIDDING)</t>
  </si>
  <si>
    <t>PB INFRA 20-051_Completion of Covered Court, Bagontapay High School, Bagontapay, Mlang, Cotabato</t>
  </si>
  <si>
    <t>ITB - Laboratory Supplies and Reagents (Blood Bank Section) (P.R. No. 20-06-70532)</t>
  </si>
  <si>
    <t>(PEO) INVITATION TO BID FOR THE SUPPLY AND DELIVERY OF CONSTRUCTION MATERIALS  FOR THE  PROVINCIAL ENGINEERING OFFICE (PEO)</t>
  </si>
  <si>
    <t>Supply and Delivery of Multifarious Hardware Materials</t>
  </si>
  <si>
    <t>REPAIR AND REHABILITATION OF MAGSAYSAY BIRTHING FACILITY AT MUNICIPAL HEALTH CENTER SITE, MAGSAYSAY, DAVAO DEL SUR</t>
  </si>
  <si>
    <t>ITB - Drugs and Medicines (P.R. No. 20-06-70558)</t>
  </si>
  <si>
    <t>ITB - Drugs and Medicines (P.R. No. 20-06-70559)</t>
  </si>
  <si>
    <t>CW-Rehabilitation of New Municipal Hall Building</t>
  </si>
  <si>
    <t>(PGSO)  INVITATION TO BID FOR THE SUPPLY AND DELIVERY OF CONSTRUCTION MATERIALS (II) FOR THE  PROVINCIAL GENERAL SERVICES OFFICE (PGSO)</t>
  </si>
  <si>
    <t>Concreting of Pathway Barangay Alfonso XII</t>
  </si>
  <si>
    <t>ITB - Drugs and Medicines (P.R. No. 20-06-70555)</t>
  </si>
  <si>
    <t>RFQ / PR 20-06-0315 / PROCUREMENT OF SPARE PARTS &amp; MATERIALS FOR TOYOTA INNOVA MODELS 2014 &amp; 2018</t>
  </si>
  <si>
    <t>RFQ / PR 20-07-0352 / PROCUREMENT OF MONTHLY PREVENTIVE MAINTENANCE SERVICE OF ONE (1) UNIT WELLS MACHINE ROOMLESS PASSENGER ELEVATOR</t>
  </si>
  <si>
    <t>Construction of Mati Creek Verdant Wall</t>
  </si>
  <si>
    <t>(PENARO) 	 INVITATION TO BID FOR THE SUPPLY AND DELIVERY OF GRAFTED FRUIT TREES AND FOREST TREES FOR THE  PROVINCIAL ENVIRONMENT AND NATURAL RESOURCES OFFICE (PENARO)</t>
  </si>
  <si>
    <t>CONSULTANCY SERVICES FOR THE IMPROVEMENT OF DAGOHOY WATERWORKS SYSTEM (CONDUCT OF FEASIBILITY STUDY AND DETAILED ENG'G DESIGN INCLUDING FOUR (4) BRGY. OF LA ESPERANZA, ESTACA, CAN-OLING &amp; VILLA AURORA</t>
  </si>
  <si>
    <t>CW-Rehabilitation of MPB</t>
  </si>
  <si>
    <t>PURCHASE OF OFFICE EQUIPMENTS FOR THE PROVISION OF SCIENCE AND TECHNOLOGY INTERVENTIONS TO SUPPORT THE MUNICIPALITY OF UBAY AS A”SCIENCE MUNICIPALITY SMARTER LGU”</t>
  </si>
  <si>
    <t>PR# 20-1863- 100 units Digital Duplicator Printing Machine</t>
  </si>
  <si>
    <t>Supply &amp; Delivery of One (1) unit Seismic Accelerograph for use in monitoring Seismic Activities in Maasin City (OCES)</t>
  </si>
  <si>
    <t>Construction of Four (4) Storey Eight (8) Classroom School Building (2 Science Laboratory, and 2 Computer Room Layout) Cabaruan National High School  at Urdaneta City, Pangasinan</t>
  </si>
  <si>
    <t>Supply &amp; Delivery of Various Fire Fighting Equipment</t>
  </si>
  <si>
    <t>Supply &amp; Delivery of Water System Materials for installation of Steel Water Tank, Pipelines and Fittings for various Brgys. at Maasin City (OCES).</t>
  </si>
  <si>
    <t>20CSFC01 : CONSULTING SERVICES FOR THE PRE-FEASIBILITY STUDY/ PRELIMINARY AND DETAILED ENGINEERING / ECONOMIC ANALYSIS / TECHNICAL STUDIES/TRAFFIC IMPACT ASSESSMENT, Daang Maharlika – Tagas – Magang D</t>
  </si>
  <si>
    <t>Supply &amp; Delivery of 2 units Rice Mill for Agri-infra support for Rice Production to selected Farmers Association (OCAS).</t>
  </si>
  <si>
    <t>Rehabilitation/Improvement of Public Market Roofing</t>
  </si>
  <si>
    <t>Contract ID No. 20GMB0014- Equipment Lease for use in  Routine Maintenance of National Roads for 3rd  Quarter of CY 2020 (Initial Response to Emergency &amp; Shoulder Maintenance).</t>
  </si>
  <si>
    <t>Improvement/Rehabilitation of Daycare Center at Brgy. San Jose, Merida</t>
  </si>
  <si>
    <t>Improvement/Rehabilitation of Daycare Center at Brgy. Cabaliwan, Merida</t>
  </si>
  <si>
    <t>Supply &amp; Delivery of Hardware &amp; Construction Supplies for fabrication of 5 units Patrol Boat for Marine Reserve (OCES).</t>
  </si>
  <si>
    <t>PROCUREMENT OF I.T. EQUIPMENT (ITB No. 2020-174)-(Provl Government of Bukidnon Offices)</t>
  </si>
  <si>
    <t>Rehabilitation of Local Road at Brgy. Tubod, Merida, Leyte</t>
  </si>
  <si>
    <t>1,008 bags Portland Cement 40 kgs and other items for continuance construction of the 3rd and 4th floors of the City Treasurer’s Office (For City Accounting and other Offices) at Barangay 4.</t>
  </si>
  <si>
    <t>Improvement/Rehabilitation of Day Care Center at Brgy. Mahalit, Merida</t>
  </si>
  <si>
    <t>Supply, Delivery and Installation of Split-Type Air Conditioners and Flat-Screen Televisions</t>
  </si>
  <si>
    <t>Construction of Canbantug core local road at Brgy. Canbantug, Merida, Leyte</t>
  </si>
  <si>
    <t>Supply &amp; Delivery of Vehicle Parts for maintenance of garbage truck (CGSO).</t>
  </si>
  <si>
    <t>SUPPLY OF SECURITY SERVICES IN VARIOUS SKWD FACILITIES FOR THE PERIOD TWO (2) YEARS</t>
  </si>
  <si>
    <t>Construction/Installation of Railings of Concrete Foot Bridge</t>
  </si>
  <si>
    <t>ITB - Laboratory Supplies and Reagents (Histopathology Section) (P.R. No. 20-06-70520)</t>
  </si>
  <si>
    <t>2020 24th Public Bidding – REPAINTING OF EXTERIOR WALLS, ROOFS, ROOF EAVES, AND PERIMETER FENCE OF BGHMC</t>
  </si>
  <si>
    <t>(JAE - PSNS) SUPPLY AND DELIVERY OF AGRICULTURAL SUPPLIES FOR DEVELOPMENT OF LEGUME-BASED MULTI-NUTRIENT LICK PODS (MNLP)</t>
  </si>
  <si>
    <t>ITB - Laboratory Supplies and Reagents (Bacteriology Section) (P.R. No. 20-06-70504)</t>
  </si>
  <si>
    <t>Cont. Ref. No. 095-20:Completion of Itogon Central National High School at Ayosip at Poblacion, Itogon, Benguet</t>
  </si>
  <si>
    <t>ITB 20-0043-A - Supply and Delivery of Various Drugs &amp; Medicines.</t>
  </si>
  <si>
    <t>Cont. Ref. No. 094-20: Construction of Virac Barangay Health Station at Virac, Itogon, Benguet</t>
  </si>
  <si>
    <t>ITB - Laboratory Supplies and Reagents (Histopathology Section) (P.R. No. 20-06-70519)</t>
  </si>
  <si>
    <t>ITB - Laboratory Supplies and Reagents (Bacteriology Section) (P.R. No. 20-06-70505)</t>
  </si>
  <si>
    <t>20GM0081 -Construction of One(1) Unit, Two (2) Storey, Four (4) Classrooms School Building at Tabu ES, Ilog, Negros Occidental.</t>
  </si>
  <si>
    <t>Package 5 of 10: Supply and Delivery of 6,930 pieces 19mm.Ø (3/4") Plastic Union Coupling, Compression Type (CTS Pipe) (re-bidding)</t>
  </si>
  <si>
    <t>PROCUREMENT OF RESCUE EQUIPMENT AND RETRACTABLE TENT (PB-LAP-2020-083)</t>
  </si>
  <si>
    <t>Package 4 of 10: Supply and Delivery of 43 pieces Air Release Valve, 50mm Flange Type</t>
  </si>
  <si>
    <t>PROVISION OF SLIDING DOOR, SBO (1000-1-2-2-1), SARANGANI, DAVAO OCCIDENTAL.</t>
  </si>
  <si>
    <t>Package 6 of 10: Supply and Delivery of 3,697 pieces 19mm.Ø (3/4") Plastic Female Elbow, Compression Type (for CTS Pipe) (re-bidding)</t>
  </si>
  <si>
    <t>Package 2 of 10: Supply and Delivery of 117 pieces Respiratory Mask (Full Face Gas Mask) with inclusion of two (2) Cartridges (re-bidding)</t>
  </si>
  <si>
    <t>Procurement of Various Construction Equipment-07-423(O)PEO</t>
  </si>
  <si>
    <t>Package 3 of 10: Supply and Delivery of 15 lengths Riser Pipe with Coupling, 10" Ø  x 10 ft. (re-bidding) (re-bidding 2)</t>
  </si>
  <si>
    <t>ITB - One Lot Integrated Hospital Information System (P.R. No. 20-06-70580)</t>
  </si>
  <si>
    <t>Package 1 of 10: Supply of Labor and Materials for the Production and Delivery of 19 pieces Yellow Gold Bracelet with I.D. Bar (18K, 10 grams)</t>
  </si>
  <si>
    <t>Procurement of Medical Equipment-07-113(Q)ZNMC</t>
  </si>
  <si>
    <t>ITB - One (1) Lot Wireless Retrofit Direct Radiography System with PACS and RIS (P.R. No. 20-05-70501)</t>
  </si>
  <si>
    <t>Road Asphalting</t>
  </si>
  <si>
    <t>Procurement of Services for PPA Head Office 2nd Floor Concrete Deck Cladding and Waterproofing System</t>
  </si>
  <si>
    <t>SUPPLY OF LABOR AND MATERIALS FOR THE REHABILITATION OF ADMINISTRATION BUILDING (PHASE I) OF BPI-BNCRDPSC, GUISAD, BAGUIO CITY</t>
  </si>
  <si>
    <t>SUPPLY, DELIVERY AND INSTALLATION OF AIR CONDITIONING UNITS FOR USE IN SEED TESTING AND SEED CERTIFICATION OF NATIONAL SEED QUALITY CONTROL SERVICES DIVISION (NSQCSD)</t>
  </si>
  <si>
    <t>PR No. 20071301 – Supply and Delivery of Materials for Improvement of Eco-Athletic Field Track Oval, Eco-Athletic Field, F. Pimentel Avenue, Daet, Camarines Norte</t>
  </si>
  <si>
    <t>ITB20-6(infra)</t>
  </si>
  <si>
    <t>SUPPLY AND DELIVERY OF RICETER/RICE MOISTURE TESTER AND DIGITAL MOISTURE TESTER FOR USE IN SEED TESTING AND SEED CERTIFICATION OF NATIONAL SEED QUALITY CONTROL SERVICES DIVISION (NSQCSD)</t>
  </si>
  <si>
    <t>Construction of Calunasan Core Local Roads at Brgy. Calunasan, Merida, Leyte</t>
  </si>
  <si>
    <t>PURCHASE OF ONE (1) UNIT HIGH-SPEED INKJET PRINTER WITH CONSUMABLES (INK)</t>
  </si>
  <si>
    <t>Procurement of Various Drugs and Medicines-07-112(Q)ZNMC</t>
  </si>
  <si>
    <t>Supply and Delivery of Various Supplies to be used by the Field Election Officers for the 2020 Resumption of the Continuing Registration of Voters in connection with 2022 NLE &amp; BSKE, Lots 1 and 5 – 2n</t>
  </si>
  <si>
    <t>“Acquisition of One (1) Lot Health Care Services through Health Maintenance Organization</t>
  </si>
  <si>
    <t>VARIOUS INFRASTRUCTURE PROJECT</t>
  </si>
  <si>
    <t>PURCHASE OF ONE (1) LOT CONSTRUCTION SUPPLIES</t>
  </si>
  <si>
    <t>CONST./ IMPROVEMENT OF VILLANUEVA MUNICIPAL COMPLEX (PHASE 4)</t>
  </si>
  <si>
    <t>INFRA 2K20-51 CONSTRUCTION OF PSCG BRIDGE (ALONG SUNGAYAN - PISAAN ROAD)</t>
  </si>
  <si>
    <t>YELLOW PLASTIC BAG FOR HOUSEKEEPING SECTION</t>
  </si>
  <si>
    <t>INSTALLATION OF HORIZONTAL STRUT AND CANOPY OF VILLANUEVA COVERED COURT</t>
  </si>
  <si>
    <t>Construction Materials ( Aggregates)</t>
  </si>
  <si>
    <t>Procurement of One (1) Unit Ambulance for use of Tarlac City Disaster Risk Reduction Management Office. B2020-097-A</t>
  </si>
  <si>
    <t>Repair/Rehabilitation of One (1) Storey Multi-Purpose Building - PUP Mulanay Campus, Mulanay, Quezon</t>
  </si>
  <si>
    <t>Repair and Rehabilitation of CCIS Computer Laboratory, A. Mabini Campus, Sta. Mesa, Manila</t>
  </si>
  <si>
    <t>SBAC 2020-01 SUPPLY, DELIVERY, INSTALLATION AND COMMISSIONING OF SMART CITY COMMAND CENTER</t>
  </si>
  <si>
    <t>Procurement of Equipment &amp; Software for SAP Laboratory</t>
  </si>
  <si>
    <t>EARTHFILLING OF COVERED COURT  @ BOY SCOUT CAMP AND MARKET AREA (PB-LAP-2020-076)</t>
  </si>
  <si>
    <t>Food Stuff (sack of rice)</t>
  </si>
  <si>
    <t>SUPPLY AND DELIVERY OF CONSTRUCTION SUPPLIES FOR THE IMPROVEMENT OF MAYOR’S CONFERENCE ROOM</t>
  </si>
  <si>
    <t>Purchase of Ten (10) Units Handheld Radio and Ten (10) Units W80 Extended Battery</t>
  </si>
  <si>
    <t>CONCRETING/MAINTENANCE/REPAIR OF CONCRETE ROADS</t>
  </si>
  <si>
    <t>MEDICAL, DENTAL AND LABORATORY SUPPLIES EXPENSES</t>
  </si>
  <si>
    <t>CONTRACT ID: 20-07-098 - PROCUREMENT OF VARIOUS MASK AND ALCOHOL</t>
  </si>
  <si>
    <t>PURCHASE OF 1 UNIT HEAVY EQUIPMENT (MOTOR GRADER)</t>
  </si>
  <si>
    <t>Package 1 of 2 - Exploratory Drilling of Gumalang Production Well No. 1 with 200m Depth Pilot Hole</t>
  </si>
  <si>
    <t>Procurement of Laptop for CSPC Faculty Members and Key Officials for Flexible Learning and Public Service Delivery under New Normal</t>
  </si>
  <si>
    <t>PRN 050-FURNITURES/SOUND SYSTEM-BLOOD BANK-LDRRMF-GOODS-2020</t>
  </si>
  <si>
    <t>PROCUREMENT OF SPORTS EQUIPMENT - REPOST</t>
  </si>
  <si>
    <t>Supply and Delivery of Flow Totalizer Meter, Rising Stem, Gate Valves, Ultrasonic Flow Meters and Swing Check Valves</t>
  </si>
  <si>
    <t>PEO-20-0880 B- Procurement of Construction Materials for use in the Repair / Installation of Guardrails along various Provincial Roads in the Province of Iloilo</t>
  </si>
  <si>
    <t>proposed purchase of lighting for barangay hall ayala alabang new building</t>
  </si>
  <si>
    <t>Supply, Delivery and Installation of Airconditioning Units to be used at the City College of San Fernando, Pampanga</t>
  </si>
  <si>
    <t>ROAD OPENING OF CRISTO REY – STA. ISABEL ROAD CONNECTING AGDANGAN ROAD</t>
  </si>
  <si>
    <t>Supply, Delivery, Installation and Commissioning of Generator Sets</t>
  </si>
  <si>
    <t>Labor and Materials for the Improvement/Widening of Tourism Road at Malpitic, City of San Fernando, Pampanga</t>
  </si>
  <si>
    <t>proposed purchase of furniture &amp; fixtures for Barangay hall ayala alabang new building</t>
  </si>
  <si>
    <t>PROCUREMENT OF MULTI-BAND NETWORK SCANNING RECEIVER AND POST PROCESSING TOOL</t>
  </si>
  <si>
    <t>Food Stuff (Noodles and sardines)</t>
  </si>
  <si>
    <t>proposed purchase of air-condition for barangay hall ayala alabang new building</t>
  </si>
  <si>
    <t>SUPPLY AND DELIVERY OF ONE (1) UNIT BRAND NEW RURAL HEALTH UNIT SERVICE VAN</t>
  </si>
  <si>
    <t>construction materials and supplies (carpentry and electrical)</t>
  </si>
  <si>
    <t>construction materials (cement and steel)</t>
  </si>
  <si>
    <t>Procurement of Equipment for Electrical and Mechanical Engineering Laboratory</t>
  </si>
  <si>
    <t>Concreting of Government Center Road (Phase II).</t>
  </si>
  <si>
    <t>Contract ID 20CSCC01 Conduct of Sub Soil Exploration/Geotechnical Survey for the proposed building projects within the District</t>
  </si>
  <si>
    <t>construction materials (carpentry and eelctrical)</t>
  </si>
  <si>
    <t>Supply and Delivery of Various Equipment for Bamboo Processing Project</t>
  </si>
  <si>
    <t>Supply and Delivery of Brother HL-L5100DN Toner Cartridges to be used for the Overseas Registration Period</t>
  </si>
  <si>
    <t>UPLB-RQ-7-147-20-RES SUPPLY AND DELIVERY OF INFORMATION TECHNOLOGY FOR AMTEC</t>
  </si>
  <si>
    <t>Purchase of Goods/Materials for Improvement and Maintenance of Municipal Waterworks System Replacement of Defective Water meter and its fittings</t>
  </si>
  <si>
    <t>Isosorbide Dinitrate 1mg/ml.</t>
  </si>
  <si>
    <t>MACHINERY &amp; EQUIPMENT OUTLAY FOR THE PURCHASE OF VARIOUS LABORATORY EQUIPMENT FOR THE COLLEGE OF COMPUTER STUDIES</t>
  </si>
  <si>
    <t>Amiodarone Hydrochloride 50mg/ml.</t>
  </si>
  <si>
    <t>Furosemide 20mg. tablet</t>
  </si>
  <si>
    <t>Ascorbic Acid 500mg.</t>
  </si>
  <si>
    <t>Pag-IBIG Fund CHQ (Engagement of Manpower Service Provider for Lot I - Clerical and Administrative Support Assistant Services for Y2020 to Y2022))</t>
  </si>
  <si>
    <t>CONSTRUCTION OF DRAINAGE CANAL AT SAN MARIANO</t>
  </si>
  <si>
    <t>Calcium Gluconate 10%, 10ml, injection</t>
  </si>
  <si>
    <t>CRFPS SLP (Hauling Truck)</t>
  </si>
  <si>
    <t>Supply and Delivery of Cellcard</t>
  </si>
  <si>
    <t>Procurement of Refrigerated VAN use any Marketing Related Activities / Services Region-wide under CY 2020 Budget Allocation</t>
  </si>
  <si>
    <t>Pag-IBIG Fund CHQ (Provision of Rental of Motor Service Vehicles)</t>
  </si>
  <si>
    <t>Pag-IBIG Fund CHQ (Supply and Delivery of One (1) Unit Passenger Van Vehicle (PV) – (Rebidding))</t>
  </si>
  <si>
    <t>Q-048-20 PROCUREMENT OF KITCHEN EQUIPMENT</t>
  </si>
  <si>
    <t>Construction of Two (2) Storey Command Center Building in Batangas State University, Pablo Borbon Main I</t>
  </si>
  <si>
    <t>PROJECT # 20-083 - SUPPLY AND DELIVERY OF DRUGS AND MEDICINES 3RD  QUARTER - CHO</t>
  </si>
  <si>
    <t>Installation of Production Pump for Upper Tangke, San Isidro, San Fernando, Cebu</t>
  </si>
  <si>
    <t>PROJECT # 20-048 – PROCUREMENT OF DISASTER RESPONSE AND RESCUE EQUIPMENT - LDRRMO</t>
  </si>
  <si>
    <t>CRFPS SLP (farm machineries and equipment)</t>
  </si>
  <si>
    <t>Concreting of 588 meters Poblacion Local Access Road</t>
  </si>
  <si>
    <t>Construction of Plant Nurseries</t>
  </si>
  <si>
    <t>PBD 20-083 IT EQUIPMENT, AUDIOVISUAL EQUIPMENT, APPLIANCES AND MOBILE DEVICES</t>
  </si>
  <si>
    <t>Purchase of Fourteen (14) Units Duplicator Machine</t>
  </si>
  <si>
    <t>Ripraping of Periphery of BFP Office</t>
  </si>
  <si>
    <t>CID NO. 20IF0004-C-Geotechnical Investigation in Connection with the Road Widening of Tertiary Roads-Kananga-Tungonan Hot Spring Road</t>
  </si>
  <si>
    <t>CONSTRUCTION OF WATER SYSTEM LEVEL II</t>
  </si>
  <si>
    <t>Pag-IBIG Fund CHQ (Engagement of Manpower Service Provider for Lot V - IT Support Assistant Services for Y2020 to Y2022))</t>
  </si>
  <si>
    <t>IB-2020-07-06-106 SUPPLY AND DELIVERY OF SCHOOL VEHICLE (PASSENGER VAN) EVSU-TC</t>
  </si>
  <si>
    <t>Construction of Deep well Pump (Manual) at San Isidro, San Fernando, Cebu</t>
  </si>
  <si>
    <t>Supply of fuels for the Proposed road rehabilitation/spot gravelling/quarrying of limestone, and compaction of various barangay roads of different barangays(Katipunan, Kalaisan, Kalasuyan, Junction) o</t>
  </si>
  <si>
    <t>Supply and delivery of various materials and equipments needed for the Pangkabuhayan Starter Kits Beneficiaries of the City Government of Kidapawan</t>
  </si>
  <si>
    <t>3382-20 Electrocatalytic Water Treatment Facility w/ Nitrification System at Candelaria Municipal Hospital, Candelaria, Quezon - PEO</t>
  </si>
  <si>
    <t>20-06-239 SUPPLY AND DELIVERY OF  SIX (6) UNITS OF VAN AND  TWO (2) UNITS OF MULTI PURPOSE VAN</t>
  </si>
  <si>
    <t>PROJECT # 20-044 – PROCUREMENT OF STF DISASTER EQUIPMENT FOR DISASTER RESPONSE AND RESCUE ACTIVITES - LDRRMO</t>
  </si>
  <si>
    <t xml:space="preserve">20BG0149: 41X Emergency Projects and Activity 203 Repair to Major Roadside Structures, Brgy. Minanga, San Mariano, Isabela, Naguilian-San Mariano Road (S00789LZ), K408+305 to K408+398 (Left Side) and </t>
  </si>
  <si>
    <t>CONSTRUCTION SUPERVISION AND MANAGEMENT CONSULTANCY SERVICES FOR THE TWO (2) STOREY OFFICE BUILDING WITH RECORDS ROOM AND WAREHOUSE LOCATED RGC COMPOUND, CARIG SUR, TUGUEGARAO CITY</t>
  </si>
  <si>
    <t>UPLB-RQ-7-139-20-RES SUPPLY AND DELIVERY OF CHEMICALS &amp; CHEMICAL PRODUCTS FOR IFST</t>
  </si>
  <si>
    <t>UPLB-RQ-7-145-20-RES SUPPLY AND DELIVERY OF APPLIANCES FOR IHNF</t>
  </si>
  <si>
    <t>Improvement of Sanitary Landfill (Fence Enclosure) at Magsico, San Fernando, Cebu</t>
  </si>
  <si>
    <t>20BG0150: Activity 144 - Repair and/or Replacement of Minor drainage Structures and Activity 199- Other Maintenance to roadway and related Features along Santiago-Tuguegarao Road, Brgy. Raniag, Ramon,</t>
  </si>
  <si>
    <t>Proposed Improvement of Sanitary Landfill (Excavation, Layering of sand and gravel, Installation of Pipes and Installation of Perimeter Barb Wire Fence) at SLF Compound , Brgy. Onica, Kidapawan City</t>
  </si>
  <si>
    <t>Concreting of 720M Length  Local Access Road</t>
  </si>
  <si>
    <t>Purchase of Materials for the Construction of Sea Ambulance</t>
  </si>
  <si>
    <t>PROJECT # 20-094 - PROCUREMENT OF MOTOR VEHICLE (RESPONSE / RESCUE VEHICLE CUSTOMIZED VEHICLE) 2 – LDRRMO</t>
  </si>
  <si>
    <t>Installation of Solar Street Lights (Phase I) along Sunset Boulevard to Bagting, Dapitan City POW # 2020-07-07-009</t>
  </si>
  <si>
    <t>Procurement of Streetlight Post and Installation (Phase I) National Roads and City Streets of Dapitan City POW # 2020-07-07-008</t>
  </si>
  <si>
    <t>RE-BID FOR PROJECT # 20-053 - PROCUREMENT OF CCTV CAMERA WITH TV MONITOR SYSTEM AND NETWORK INFRASTRUCTURE – CITY SCHOOL DIVISION OFFICE</t>
  </si>
  <si>
    <t>LOCAL  ACCESS  ROAD  UPGRADING - Brgy. PINAGBRAYAN  MUNTI , PARACALE,CAMARINES  NORTE</t>
  </si>
  <si>
    <t>20B00026: Organizational Outcome 1: Ensure Safe and Reliable National Road System: Network Development Program: Construction of By-Pass and Diversion Road, Alcala-Sto. Niño-Lasam Road (Namuccayan Brid</t>
  </si>
  <si>
    <t>Labor for the Installation of Fishery Product Technology Center at Pawa, Tabaco City</t>
  </si>
  <si>
    <t>Concreting of Road (254 LM x 4.00M x 0.15M) at Sitio Luna to MRF Magsico, San Fernando, Cebu</t>
  </si>
  <si>
    <t>One (1) Lot – Maintenance and Subscription of BSP Unified Threat Management System (Fortinet), as per BSP Terms of Reference and Service Level Agreement</t>
  </si>
  <si>
    <t>Supply and Delivery of one (1) unit Utility Van</t>
  </si>
  <si>
    <t>Other Supplies and Materials Expenses</t>
  </si>
  <si>
    <t>Food Supplies Expenses</t>
  </si>
  <si>
    <t>Construction/Maintenance of Flood Mitigation Structures and Drainage Systems – Construction of Slope Protection along Porac River (Upstream), Valdez, Floridablanca, Pampanga</t>
  </si>
  <si>
    <t>INSTALLATION OF STREET LIGHTING'S OF PUROK</t>
  </si>
  <si>
    <t>Supply of fuels for the Proposed road rehabilitation/spot gravelling/quarrying of limestone, spreading and compaction of various barangay roads of different barangays(Malinan, Magsaysay, Macebolig, Lu</t>
  </si>
  <si>
    <t>20CE0244: Proposed Rehabilitation &amp; Improvement of Central Luzon State University (CLSU) Road Networks</t>
  </si>
  <si>
    <t>INFR-20-020– CONSTRUCTION OF ONE HUNDRED TWENTY (120)-UNITS 250 WATTS LED STREETLIGHTS ALONG JUANITO REMULLA SR. ROAD (GOVERNOR’S DRIVE), BARANGAY SAN FRANCISCO AND BARANGAY MANGGAHAN, CITY OF GEN. TR</t>
  </si>
  <si>
    <t>BLGU BARAYONG-AL-G-01-2020 PURCHASE OF NECESSARY PROVISION OF RELIEF GOODS</t>
  </si>
  <si>
    <t>BLGU-BARAYONG-AL-G-02-2020 PURCHASE OF RICE TO USE AS RELIEF</t>
  </si>
  <si>
    <t>Account Administration and Management of NCR West Sector Project under Service Provider located in Smokey Mountain Development and Reclamation Project (SMDRP), Tondo, Manila - Rebid</t>
  </si>
  <si>
    <t>Construction of All Weather Road</t>
  </si>
  <si>
    <t>Procurement of Service Provider for the Preventive Maintenance of Air Conditioning Units (ACU)-Rebid under IB No. 2020-204-A</t>
  </si>
  <si>
    <t>Procurement of Manpower Service Provider</t>
  </si>
  <si>
    <t>Invitation to Bid - Infrastructure Project for Construction of Covered Court at Barangay Cahumayan, Danao City</t>
  </si>
  <si>
    <t>20HD0096 - Construction of 4 Storey-12 Classroom School Building, Daanbantayan Central ES, Daanbantayan, Cebu</t>
  </si>
  <si>
    <t>Managed Internet Service (Bulacan)</t>
  </si>
  <si>
    <t>Procurement/delivery of 2 units refrigerated truck</t>
  </si>
  <si>
    <t>Labor and Materials for the Fabrication and Installation of Netting Materials for 1 Unit Fish Pen (25m x 25m x 6m)</t>
  </si>
  <si>
    <t>Procurement of Tires, Spare Parts and Oil for the Repair and Maintenance of Machinery Equipment</t>
  </si>
  <si>
    <t>Supply of Alpha-Globin StripASsay_PR 11065</t>
  </si>
  <si>
    <t>Invitation to Bid - Infrastructure Project for Construction of Covered Court at Barangay Quisol, Danao City</t>
  </si>
  <si>
    <t>Purchase of One (1) unit Backhoe Loader (Wheel Type)</t>
  </si>
  <si>
    <t>Purchase of Four (4) Units Brand New Mini Dump Truck</t>
  </si>
  <si>
    <t>Procurement of Oxygen Tanks and Refill</t>
  </si>
  <si>
    <t>CONSTRUCTION OF MULTI-PURPOSE BUILDING/GOVERNMENT CENTER</t>
  </si>
  <si>
    <t>Concreting of Sitio Sabang Road in Brgy. Dayap</t>
  </si>
  <si>
    <t>MANAGED INTERNET SERVICE 2 (AURORA AND TARLAC)</t>
  </si>
  <si>
    <t>Procurement of Disaster Response and Rescue Equipment</t>
  </si>
  <si>
    <t>P.R No. 20-06-0665: 1 Unit Brand New Doppler Ultrasound System</t>
  </si>
  <si>
    <t>20CSAG01: GEOTECHNICAL AND GEOLOGICAL SURVEY  (SOIL BORING EXPLORATION) OF RBP 2021 AT PANGASINAN FIRST ENGINEERING/LEGISTRATIVE DISTRICT</t>
  </si>
  <si>
    <t>Supply and Delivery of Janitorial and Garbage Collection Services at Naval Base Rafael Ramos (NBRR)</t>
  </si>
  <si>
    <t>PROCUREMENT OF RESCUE VEHICLES</t>
  </si>
  <si>
    <t>PROCUREMENT OF GARBAGE TRUCK FOR USE IN HAULING OF SEGRATED WASTE FROM MRF's SANITARY LANDFILL</t>
  </si>
  <si>
    <t>Security Orchestration Automation Response (SOAR) Tool</t>
  </si>
  <si>
    <t>Additional Storage for Disaster Recovery (DR) Site</t>
  </si>
  <si>
    <t>Print Advertisement for the DOH Advisories</t>
  </si>
  <si>
    <t>Supply and Delivery of Drugs and Medicines for Pharmaceutical Services of MNH</t>
  </si>
  <si>
    <t>IB-07-0447-20 COBE SUPPLY &amp; DELIVERY OF SMART TV (65” UHD TV)</t>
  </si>
  <si>
    <t>IB-06-094-2020 OCC SUPPLY &amp; DELIVERY OF LAPTOPS (OCC)</t>
  </si>
  <si>
    <t>2020-03G: Acquisition of Information Technology and Office Equipment for the 3-Storey Education Building Phase 2</t>
  </si>
  <si>
    <t>Supply and Delivery of Medical Supplies and Materials for use of MNH</t>
  </si>
  <si>
    <t>Improvement of Public Restroom in Batangas State University, Pablo Borbon Main I</t>
  </si>
  <si>
    <t>Replacement of Roofing and Ceiling of CITE Building in Batangas State University, ARASOF-Nasugbu</t>
  </si>
  <si>
    <t>PB 20-060A RENOVATION OF FONACIER HALL PHASE 2</t>
  </si>
  <si>
    <t>ENG'G PASBAC 011-20 Supply and Delivery of Sixty-Three (63) Sets Electrical Tools</t>
  </si>
  <si>
    <t>(20Z00006) Construction of the Priority Bridges Crossing Pasig-Marikina River and Manggahan Floodway Bridges Construction Project, under China Government Financing Facility, Contract Package 2 – Palan</t>
  </si>
  <si>
    <t>ENG'G PASBAC 010-20 Supply and Delivery of One Hundred Fourteen (114) Sets Masonry Tools</t>
  </si>
  <si>
    <t>INVITATION TO BID - PROCUREMENT OF LOANS MONITORING SYSTEM</t>
  </si>
  <si>
    <t>Rehabilitation of MPP - Senior Citizen</t>
  </si>
  <si>
    <t>Construction of Rural Access (FootWalk)</t>
  </si>
  <si>
    <t>ENG'G PASBAC 009-20 Supply and Delivery of One Hundred Fourteen (114) Sets Carpentry Tools</t>
  </si>
  <si>
    <t>Supply and Delivery of Materials for the Sustainment of Unit/Office Daily Operations LOT 1 and Sustainment of Daily Shipboard Operations of BRP TARLAC (LD601) and BRP DAVAO DEL SUR (LD602) LOT 2</t>
  </si>
  <si>
    <t>Supply and Delivery of Various Fertilizer under Rice Program CY 2020.</t>
  </si>
  <si>
    <t>Procurement of Janitorial Services Provider CY 2020 (Contract No. RO-PG2020-003)</t>
  </si>
  <si>
    <t>Purchase of One (1) unit Back Hoe (Wheel Type)</t>
  </si>
  <si>
    <t>ITB No. 2020-005-CSL - SUPPLY, DELIVERY, INSTALLATION, COMMISSIONING AND TESTING OF GAS CHROMATOGRAPH WITH FLAME IONIZATION DETECTOR COMPLETE WITH ALL NECESSARY PARTS AND ACCESSORIES FOR FDA-ALABANG T</t>
  </si>
  <si>
    <t>SUPPLY OF LABOR AND MATERIALS for the Construction of  National Child Development Center, Brgy. Calingatan, Mataasnakahoy, Batangas</t>
  </si>
  <si>
    <t>Supply and Delivery of Various Medical Equipment for the College of Medicine</t>
  </si>
  <si>
    <t>SUPPLY AND DELIVERY OF 2 UNITS CASSAVA GRANULATOR</t>
  </si>
  <si>
    <t>Invitation to Apply for Eligibility and to Bid For the Software update and Maintenance of a Cloud-Based Geographic Information System (GIS)</t>
  </si>
  <si>
    <t>SUPPLY AND DELIVERY CAPSTAIN HOIST FOR FOR ORIENTAL MINDORO S/S AND 69KV T/L</t>
  </si>
  <si>
    <t>(VJLN-BES) SUPPLY AND DELIVERY OF LABORATORY SUPPLIES  FOR AH-18001-ROG</t>
  </si>
  <si>
    <t>Invitation to Bid - Construction Project for Construction of Drainage System at Ilaya to Guinacot, Danao City</t>
  </si>
  <si>
    <t>Invitation to Bid - Construction Project for Concreting of Barangay Road at Sandayong Sur, Danao City</t>
  </si>
  <si>
    <t>Supply and Delivery of Various Fertilizers in support to Food Production amidst COVID 19 Pandemic under Corn Program CY 2020</t>
  </si>
  <si>
    <t>Invitation to Bid - Construction Project for Repair/Rehab of Road @ C.P Garcia Street, Poblacion, Danao City</t>
  </si>
  <si>
    <t>Construction of Barangay Hall</t>
  </si>
  <si>
    <t>Feasibility Study for Ihaon RIP</t>
  </si>
  <si>
    <t>Construction of Drainage Canal at Sitio Banal</t>
  </si>
  <si>
    <t>One (1) Lot Structural Engineering Audit/Investigation and Design Consultancy Services for the Proposed BSP Museum at PICC Project, as per BSP Terms of Reference</t>
  </si>
  <si>
    <t>PBD 20-080 JANITORIAL AND MAINTENANCE SERVICES (NORTH SECTOR)</t>
  </si>
  <si>
    <t>HO-CWA20-003 - Supply and Delivery of Bulb LED</t>
  </si>
  <si>
    <t>IP TRANSPORT MUNICIPAL SERVICES</t>
  </si>
  <si>
    <t>Regravelling of Sitio Bulbulala</t>
  </si>
  <si>
    <t>20GK0228 - Upgrading/Improvement/Expansion of Calatrava District Hospital</t>
  </si>
  <si>
    <t>HO-WIT20-008 - Supply and Delivery of Disc, Digital Video DVD Rewritable (DVD+RW)</t>
  </si>
  <si>
    <t>20CG0230 - Construction/ Repair/ Rehabilitation/ Improvement of Various Infrastructure including Local Projects: Local Roads and Bridges – Local Bridges - Construction of Pedestrian Overpass at Our La</t>
  </si>
  <si>
    <t>20CG0231 - Construction/ Repair/ Rehabilitation/ Improvement of Various Infrastructure including Local Projects: Local Roads and Bridges – Local Bridges - Construction of Pedestrian Overpass at Mt. Ca</t>
  </si>
  <si>
    <t>INFR-20-018– CONSTRUCTION OF MAIN CITY HEALTH CENTER (PHASE II) AT BARANGAY PINAGTIPUNAN, CITY OF GEN. TRIAS, CAVITE</t>
  </si>
  <si>
    <t>20A00209: Construction of PENRO 3-Storey Building, Capitol Compound, Lingayen, Pangasinan</t>
  </si>
  <si>
    <t>CONCRETING OF ROADS UNDER AIP 2020 (Barangay Dibay &amp; Dilam , Calayan, Cagayan)</t>
  </si>
  <si>
    <t>Supply and Delivery of Construction Materials for the Enhancement of Storage Facility at NSFA</t>
  </si>
  <si>
    <t>Project 1: Design and Build for the Construction of Medium Rise Building (5-Storey Tenement Housing), Brgy. Lorega-San Miguel, Cebu City</t>
  </si>
  <si>
    <t>REPAIR OF DAMAGED PORT FACILITIES, PORT OF LIMASAWA ISLAND, SO. LEYTE</t>
  </si>
  <si>
    <t>Supply and Delivery of Labor and Materials for the Repair/Rehabilitation of NLC Electrical Distribution System and Electrical Layouts and Flooring of Warehouse Nr 8</t>
  </si>
  <si>
    <t>Supply and Delivery of Construction Materials for the Enhancement of Storage Facility at NSJM</t>
  </si>
  <si>
    <t>Supply and Delivery of Gold Ring as token for GSIS Employees with 35 years of service</t>
  </si>
  <si>
    <t>FILM</t>
  </si>
  <si>
    <t>INVITATION TO BID-PROCUREMENT FOR THE SUPPLY, DELIVERY AND INSTALLATION OF SYSTEMS FURNITURE FOR PDIC OFFICE (Rebidding)</t>
  </si>
  <si>
    <t>Project No. 2: RENOVATION OF HEALTH CENTER AT BRGY. SAN NICOLAS PROPER, CEBU</t>
  </si>
  <si>
    <t>HO-TDD20-006 - Supply and Delivery of Ink Cartridge</t>
  </si>
  <si>
    <t>Provision of Security Services for a Period of One (1) Year in the DOLE Central Office from October 2020 to October 2021</t>
  </si>
  <si>
    <t>Invitation to Bid - Construction Project for Construction of Multi-Purpose Building at Barangay Cagat, Danao City</t>
  </si>
  <si>
    <t>20GB0135 - Construction of 4 Storey Twenty (20) Classroom School Building at  Barasanan National High School, Tobias Fornier (Dao), Antique</t>
  </si>
  <si>
    <t>PPO-20-0239-B OFFICE EQUIPMENT</t>
  </si>
  <si>
    <t>Managed Internet Service_ZAMPEN</t>
  </si>
  <si>
    <t>20GK0230 - Concreting of Sitio Aluyan, Brgy. Caduhaan FMR, Brgy. Caduhaan, Cadiz City, Negros Occidental</t>
  </si>
  <si>
    <t>Construction of MPP-Waiting Shed</t>
  </si>
  <si>
    <t>Procurement of Next Generation Privileged Account Management in DOH Data Center-Rebid under IB No. 2020-205-A</t>
  </si>
  <si>
    <t>Supply and Delivery of Global Navigation Satellite System (GNSS) Equipment for Use of Various District Engineering Offices (CY 2020)</t>
  </si>
  <si>
    <t>PROCUREMENT OF ONE (1) UNIT MOTOR VEHICLE</t>
  </si>
  <si>
    <t>Supply and Delivery of Five (5) units Sports Utility Vehicle (SUV)</t>
  </si>
  <si>
    <t>20GB0131 - Construction of 4 Storey Twenty (20) Classroom School Building  at  Belison NHS, Belison, Antique</t>
  </si>
  <si>
    <t>Supply and Delivery of Tilapia Fingerlings</t>
  </si>
  <si>
    <t>20GB0130 - Construction of 2 Units 1 Storey Two (2) Classroom School Building  at  Lawigan ES, Tobias Fornier (DAO), Antique</t>
  </si>
  <si>
    <t>20GB0133 - Construction of 2 Units Unique Workshop (9x22.5m) School Building  at  Gen. Leandro Fullon NS, Hamtic, Antique</t>
  </si>
  <si>
    <t>20GB0134 - Construction of 4 Units 1 Storey Three (3) Classroom School Building  at  Kawit Integrated School, Culasi, Antique</t>
  </si>
  <si>
    <t>20GB0132 - Construction of 3 Storey Nine (9) Classroom School Building  at  Igburi National High School, Patnongon, Antique</t>
  </si>
  <si>
    <t>20GB0128 - Construction of 2 Units 1 Storey Two (2) Classroom School Building  at  Apong Elementary School, Sibalom, Antique</t>
  </si>
  <si>
    <t>Supply &amp; Delivery of Thirty (30) sets Solar Kit for Donations to Various Schools, Himamaylan City</t>
  </si>
  <si>
    <t>Procurement of 1 lot Various Semi-Expendable Office Supplies</t>
  </si>
  <si>
    <t>20GB0129 - Construction of 1 Storey Two (2) Classroom School Building at Tigbaboy PS, Tibiao, Antique</t>
  </si>
  <si>
    <t>Procurement of supply and delivery of drugs and biologics &amp; feeds</t>
  </si>
  <si>
    <t>ESTABLISHMENT OF AGRICULTURE INNOVATION CENTER FOR AGRI-FISHERY-LIVESTOCK AT ILOCOS SUR POLYTECHNIC STATE COLLEGE</t>
  </si>
  <si>
    <t>ITB-GS-20200413-01 - Three (3) Years Subscription for Web Security Protection for LANDBANK Branches (700 Users)</t>
  </si>
  <si>
    <t>20GB0124 - Construction of 1 Storey Two (2) Classroom School Building at  Alberto Siasat ES (Casalngan ES), Hamtic, Antique</t>
  </si>
  <si>
    <t>HO-CRT20-004 - Supply and Delivery of Digital Duplicator</t>
  </si>
  <si>
    <t>20GB0125 - Construction of 1 Storey Three (3) Classroom School Building at  Capnayan PS, Laua-an, Antique</t>
  </si>
  <si>
    <t>SUPPLY AND DELIVERY OF ONE (1) UNIT 4 X 2 DRIVE FOUR WHEELER TRUCK, PASSENGER TYPE BODY IN SUPPORT TO CACAO PROCESSING AND MARKETING ENTERPRISE-(PRDP-IR-Ro10-BUK-001-000-000-2016)-(Loan No. 8421-PH)</t>
  </si>
  <si>
    <t>Supply and Delivery of 600 kgs. Corn Seeds-Hybrid White Glutinous in support to food production amidst COVID-19 pandemic under Corn Program CY 2020</t>
  </si>
  <si>
    <t>Supply and Delivery of 1,600 Bottles Insecticide in support to Food Production amidst COVID-19 pandemic under Corn Program CY 2020</t>
  </si>
  <si>
    <t>Procurement of Goods: Various Hospital Equipment (HFEP 2020) - Five (5) Units Laryngoscope Set IB 2020-26</t>
  </si>
  <si>
    <t>CONSTRUCTION OF PROCESSING CENTER (WITH SITE OR LAND DEVELOPMENT AND PERIMETER FENCE) IN SUPPORT TO CACAO PROCESSING AND MARKETING ENTERPRISE (prdp-ir-R010-BUK-001-000-000-2016-R-1)-(Loan No. 8421-PH)</t>
  </si>
  <si>
    <t>Contract ID No. 20GZ00004-Supply and Delivery of Six (6) Units Ground Penetrating Radar (GPR) for the Use of DPWH Regional Offices FY 2020</t>
  </si>
  <si>
    <t>Contract ID No. 20GZ00015- Supply, Delivery, Installation and Commissioning of Centrally-Managed Wireless Access Points (WAP)</t>
  </si>
  <si>
    <t>Purchase of medicine for use of the City Health Office I in the City of Binan, Laguna (subject to framework agreement)</t>
  </si>
  <si>
    <t>Supply and Delivery of 38,000 Bags Muriate of Potash (0-0-60) for Rehabilitation and Recovery of Damages caused by Taal Volcano Eruption under the Regular Agency Fund RA 11465 (Quick Response Fund)</t>
  </si>
  <si>
    <t>Supply and Delivery of 26,276 Bags Urea (46-0-0) under Rice Program CY 2020</t>
  </si>
  <si>
    <t>Public Bidding re: Procurement of Anti-Virus Software (AVS) Licenses Renewal for 1,500 Workstations  at the CSC Central and Regional Offices</t>
  </si>
  <si>
    <t>SUPPLY, DELIVERY, FABRICATION AND INSTALLATION OF MACHINERY AND EQUIPMENT IN SUPPORT TO THE CACAO PROCESSING AND MARKETING ENTERPRISE-(PRDP-IR-R010-BUK-001-000-000-2016)-(Loan No. 8421-PH)</t>
  </si>
  <si>
    <t>Public Bidding re: Procurement of Laptops and Printers</t>
  </si>
  <si>
    <t>Contract ID No. 20FA0060: CLUSTER 33 - CONCRETING OF FARM TO MARKET ROADS IN THE FIRST DISTRICT OF ALBAY</t>
  </si>
  <si>
    <t>Supply and Delivery of 2,151 bags GM Hybrid Corn Seeds under Corn Program CY 2020</t>
  </si>
  <si>
    <t>Supply and Delivery of Food and Beverages for Casino Customers, Players and Guests for Three (3) Years for Ronquillo Satellite under ITB No. PB20-06-035COR</t>
  </si>
  <si>
    <t>Supply and Delivery of High Resolution Optical and SAR Direct Reception Imaging Services</t>
  </si>
  <si>
    <t>Installation of Artesian Well</t>
  </si>
  <si>
    <t>20CG0209 - Local Infrastructure Program: Buildings and other Structures – Multipurpose/ Facilities – Extension/ Improvement of the Fish Port, Brgy. Bebe Anac, Masantol, Pampanga</t>
  </si>
  <si>
    <t>20GB0126 - Construction of 1 Storey Two (2) Classroom School Building at  Maybunga PS, Laua-an, Antique</t>
  </si>
  <si>
    <t>19CSZ016- Capacity Development of DPWH Staff in Tunnel Operation and Maintenance and Preparation of Tender Documents for Procurement of Services for the Operation and Maintenance of the Davao City Byp</t>
  </si>
  <si>
    <t>INVITATION TO BID FOR SECURITY SERVICES</t>
  </si>
  <si>
    <t>Rehab of Day Care Center</t>
  </si>
  <si>
    <t>Concreting of Alley Roads</t>
  </si>
  <si>
    <t>20DN0171 - CONSTRUCTION/ REHABILITATION OF MULTI - PURPOSE BUILDING (PRITIL MEDICAL CENTER INCLUDING SITE DEVELOPMENT), BRGY. LIBIS, BINANGONAN, RIZAL</t>
  </si>
  <si>
    <t>20GFO0022 - Purchase of Survey Equipment for Use in the Conduct of Feasibility Study/Pre-Feasibility Study and Preliminary Detailed Engineering Activities for Projects in Region V</t>
  </si>
  <si>
    <t>20DN0169 - CONSTRUCTION OF FLOODGATE, CAINTA RIVER, SAN FRANCISCO MANGGAHAN FLOODWAY, PHASE 3, BRGY. SAN JUAN, CAINTA, RIZAL</t>
  </si>
  <si>
    <t>20DN0168 - CONSTRUCTION OF FLOODGATE, CAINTA RIVER, SAN FRANCISCO, MANGGAHAN FLOODWAY, BRGY. SAN JUAN (PHASE 2), CAINTA, RIZAL</t>
  </si>
  <si>
    <t>20DN0161 - CONSTRUCTION OF PEDESTRIAN OVERPASS, SUN VALLEY (BARANGAY BAGONG NAYON TO DELA PAZ), ANTIPOLO CITY</t>
  </si>
  <si>
    <t>20DN0157 - IMPROVEMENT/ CONSTRUCTION OF FLOOD CONTROL STRUCTURES OF KAMIAS CREEK (COGEO GATE 1), ANTIPOLO CITY, RIZAL</t>
  </si>
  <si>
    <t>Expansion of Students Athletic Ground (Lot 2-Savings)</t>
  </si>
  <si>
    <t>20DN0160 - CONSTRUCTION OF MULTI - PURPOSE BUILDING, SITIO PINAGMISAHAN, BARANGAY DELA PAZ, ANTIPOLO CITY</t>
  </si>
  <si>
    <t>Continuation  Development Center</t>
  </si>
  <si>
    <t>20GK0226 - Concreting of Brgy. General Luna to Brgy. Barrera FMR, Brgy. General Luna and Brgy. Barrera, Sagay City, Negros Occidental</t>
  </si>
  <si>
    <t>Augmentation Bantay Bayan Outpost</t>
  </si>
  <si>
    <t>20DN0145 - CONSTRUCTION OF PEDESTRIAN OVERPASS, MAMBUGAN, ANTIPOLO CITY, RIZAL</t>
  </si>
  <si>
    <t>Contract ID No. 20GZ00002- Supply and Delivery of Six (6) Units 24-Channel Seismograph for the Use of DPWH Regional Offices FY 2020</t>
  </si>
  <si>
    <t>WIDENING OF BARANGAY ROAD, POBLACION 2, BARANGAY MABINI, BURDEOS, QUEZON</t>
  </si>
  <si>
    <t>Supply of Labor and Materials for the Replacement of Two (2) Units Four (4) MVA 4160/440 Oil Type Transformer, Main Electrical Room NAIA Terminal 1</t>
  </si>
  <si>
    <t>Rehabilitation/Extension of MIAA Buildings (MIAA Records Center, PMD Office, T3 Satellite Office) NAIA Complex, Pasay City</t>
  </si>
  <si>
    <t>MG-TSE20-018..METER MULTIFUNCTION</t>
  </si>
  <si>
    <t>ITB-GS-20200608-01 - Two (2) Years Subscription of Dark Fiber Facility</t>
  </si>
  <si>
    <t>Supply and Delivery of Various Filing Cabinet</t>
  </si>
  <si>
    <t>Electric Sterilizer</t>
  </si>
  <si>
    <t>20FN0107 Construction of Two (2) Storey Four (4) Classroom School Building, San Miguel Elementary School, Bato, Camarines Sur</t>
  </si>
  <si>
    <t>20FN0108 Construction of Three (3) Storey Fifteen (15) Classroom School Building, Nabua National High School, Nabua, Camarines Sur</t>
  </si>
  <si>
    <t>Procurement of Medicines &amp; Medical Supplies PR # 2020-06-15-193</t>
  </si>
  <si>
    <t>Supply of Labor And Materials For The Development Of Deployable And Collapsible Food Hub Including Fabrication Of Chassis Components, Food Hub Framing, Electrical and Automation Works-Rebidding</t>
  </si>
  <si>
    <t>Procurement of NVBSP Collaterals</t>
  </si>
  <si>
    <t>Procurement of Wheelchair &amp; Reading Glasses PR # 2020-06-23-209</t>
  </si>
  <si>
    <t>Invitation to Bid for the Consultancy Services for the Training Needs Assessment, Design, Development and Pilot Implementation of Training Programs on MSMEs Resiliency for the Creative Industries Sect</t>
  </si>
  <si>
    <t>20DN0148 - REHABILITATION OF ROAD WITH DRAINAGE, ORCHID ST., BRGY. MAYAMOT, ANTIPOLO CITY</t>
  </si>
  <si>
    <t>nvitation to Bid for the Consultancy Services for the Training Needs Assessment, Design, Development and Pilot Implementation of Training Programs on MSMEs Resiliency for the Creative Industries Secto</t>
  </si>
  <si>
    <t>Invitation to Bid for the Consultancy Services for the Training Needs Assessment, Design, Development and Pilot Implementation of Training Programs on MSMEs Resiliency for the Lifestyle Sector: Clothi</t>
  </si>
  <si>
    <t>ITB No. GOP/20-DSWD-038 - Provision of Multi-Year Contract for the Hiring of Service Provider for the Termite Treatment and General Pest Control of DSWD - Central Office and Other Satellite Offices</t>
  </si>
  <si>
    <t>20CN0125 - Slope Protection along Nueva Ecija – Aurora Road, K0184+800 – K0184+880, K0184+980 – K0185+090</t>
  </si>
  <si>
    <t>20CN0124 - Slope Protection along Nueva Ecija – Aurora Road, K0176+200 – K0176+360</t>
  </si>
  <si>
    <t>20GK0227 - Concreting of Brgy. Lagaan FMR, Brgy. Lagaan, Calatrava, Negros Occidental</t>
  </si>
  <si>
    <t>20CN0123 - Construction of Slope Protection along Baler - Casiguran Road (Dinadiawan-Casiguran Section), K0297+060 – K0297+143, K0297+190 – K0297+300, Casigura, Aurora</t>
  </si>
  <si>
    <t>20CN0075 - Construction of Slope Protection along Nueva Ecija – Aurora Road, K0204+325 – K0204+386, Aurora</t>
  </si>
  <si>
    <t>20GB0127 - Construction of 1 Storey Two (2) Classroom School Building at  Cabunga-an ES, San Remigio, Antique</t>
  </si>
  <si>
    <t>20CN0072 - Construction of Slope Protection along Nueva Ecija – Aurora Road, K0171+150 – K0171+195.52, Aurora</t>
  </si>
  <si>
    <t>20CN0126 - Slope Protection along Nueva Ecija – Aurora Road, (K0190+740 – K0190+890), (K0191+211 – K0191+260)</t>
  </si>
  <si>
    <t>CONSTRUCTION OF BARANGAY STAGE (PAHASE I), BARANGAY AMOT, BURDEOS, QUEZON</t>
  </si>
  <si>
    <t>20CN0073 - Construction of Slope Protection along Nueva Ecija – Aurora Road, K0212+155 – K0212+203, Aurora</t>
  </si>
  <si>
    <t>(VJLN-GSU) IMPROVEMENT OF OPERATIONS OFFICE</t>
  </si>
  <si>
    <t>ITB No. 19-DSWD-059-A - Supply and Delivery of Workstation Computer for DSWD-UCT NPMO</t>
  </si>
  <si>
    <t>Construction of Flood Control Structures along Bayanan River, Brgy. Bayanan, Muntinlupa City,  Sta. 0+000 to Sta. 0+325 (Contract ID No. 20O00059)</t>
  </si>
  <si>
    <t>Various Laboratory Supplies_PR 11128</t>
  </si>
  <si>
    <t>REPAIR / REPLACEMENT OF DEFECTIVE CCTV CAMERA</t>
  </si>
  <si>
    <t>HO-ETD20-001 - Supply and Delivery of Toner Cartridge for Fuji Xerox Docuprint</t>
  </si>
  <si>
    <t>Supply &amp; Delivery of Seven (7) units Motorcycles use for Mayor's Office &amp; Barangay Buenavista, Himamaylan City</t>
  </si>
  <si>
    <t>20CN0074 - Construction of Slope Protection along Nueva Ecija – Aurora Road, K0196+230 – K0196+277, Aurora</t>
  </si>
  <si>
    <t>20DN0141 (Re-Schedule) - ASPHALT OVERLAY, BRGY.MAYAMOT, ANTIPOLO CITY</t>
  </si>
  <si>
    <t>20DN0137 (Re-Schedule) - CONSTRUCTION/ IMPROVEMENT OF CLIFFSIDE AND ROAD WIDENING WITH DRAINAGE SYSTEM, BRGY. MACAMOT, BINANGONAN, RIZAL</t>
  </si>
  <si>
    <t>20DN0140 (Re-Schedule) - CONSTRUCTION OF PEDESTRIAN OVERPASS, BRGY. STA. CRUZ, ANTIPOLO CITY</t>
  </si>
  <si>
    <t>20DN0173 - CONSTRUCTION OF SPORTS FACILITY BUILDING AT BLUEBELLS, BRGY. MAYAMOT, ANTIPOLO CITY, RIZAL</t>
  </si>
  <si>
    <t>20DN0170 - REHABILITATION OF MULTI - PURPOSE BUILDING (ANTIPOLO SPORTS HUB), SITIO ORETA, BARANGAY SAN ISIDRO, ANTIPOLO CITY</t>
  </si>
  <si>
    <t>20DN0130 (Re-Schedule) - REHABILITATION OF ROAD WITH DRAINAGE AT ORCHID ST., GREENHEIGHTS SUBD., MAYAMOT , ANTIPOLO CITY, RIZAL</t>
  </si>
  <si>
    <t>20DN0174 - REHABILITATION OF NHA ROAD WITH DRAINAGE, BRGY. SAN ISIDRO, ANTIPOLO CITY</t>
  </si>
  <si>
    <t>20DN0131 (Re-Schedule) - REHABILITATION OF ROAD AND DRAINAGE SYSTEM, ANTIPOLO HILLS MUNICIPAL ROAD, BRGY. SAN LUIS, ANTIPOLO CITY</t>
  </si>
  <si>
    <t>SUPPLY AND DELIVERY OF 5 x 2HP WINDOW TYPE INVERTER AIR-CONDITIONING UNITS FOR SPUG-LOD BUILDING</t>
  </si>
  <si>
    <t>20DN0144 (Re-Schedule) - CONSTRUCTION OF PEDESTRIAN OVERPASS, BRGY. MAMBUGAN, ANTIPOLO CITY</t>
  </si>
  <si>
    <t>PROCUREMENT OF PROFESSIONAL CONSULTING SERVICE FOR THE CONDUCT OF FEASIBILITY STUDY ON THE SOLID WASTE MANAGEMENT FACILITY (LGU SANITARY LANDFILL) FOR LOCAL GOVERNMENT UNIT-CLUSTER (LGU CLUSTER)</t>
  </si>
  <si>
    <t>20DN0149 - REHABILITATION OF ROAD WITH DRAINAGE, CAROLINA VILLAGE, STA. CRUZ, ANTIPOLO CITY, RIZAL</t>
  </si>
  <si>
    <t>20DN0139 (Re-Schedule) - CONSTRUCTION OF PEDESTRIAN OVERPASS, BRGY. DELA PAZ, ANTIPOLO CITY</t>
  </si>
  <si>
    <t>20DN0150 - ASPHALT OVERLAY, PINAGMISAHAN ST., BRGY. DELA PAZ, ANTIPOLO CITY</t>
  </si>
  <si>
    <t>ITB-GS-20200323-01 - 1 Lot Supply, Delivery and Installation of Systems Furniture for LANDBANK Malolos Highway Office Building</t>
  </si>
  <si>
    <t>20DN0138 (Re-Schedule) - REHABILITATION OF ROAD AND DRAINAGE SYSTEM AT BROOKSIDE HILLS, BRGY. SAN JUAN, CAINTA, RIZAL</t>
  </si>
  <si>
    <t>AMP SVP 20-06-0262A: Desktop Computer</t>
  </si>
  <si>
    <t>INVITATION TO RE-BID FOR THE  SUPPLY AND DELIVERY OF COMPUTER NOTEBOOK PR Nos. 27619-001 to 27619-003</t>
  </si>
  <si>
    <t>AMP SVP 20-06-0278A: Repair Works at Bonsai Garden</t>
  </si>
  <si>
    <t>INVITATION TO RE-BID FOR THE  SUPPLY AND DELIVERY OF GIS DESKTOP SOFTWARE PR No. 27611-001</t>
  </si>
  <si>
    <t>INVITATION TO RE-BID FOR THE  SUPPLY, DELIVERY, AND INSTALLATION OF LOCAL AREA NETWORK (LAN) STRUCTURED CABLING IN THE NEW MSSD BUILDING, TALAMBAN, CEBU CITY PR No. 27608-001</t>
  </si>
  <si>
    <t>Contract ID No. 20NC0125 - Construction of Agusan River Flood Control Sta. 0+000-0+050.00, Veruela, Agusan del Sur</t>
  </si>
  <si>
    <t>PR# MG-LEG20-011 - COMPUTER SOFTWARE ECAD</t>
  </si>
  <si>
    <t>Invitation to Bid for Supply, Delivery and Installation of equipment for the DA-ACEF indigenous fruits project</t>
  </si>
  <si>
    <t>Contract ID No. 20NC0124 - Construction of Riverbank Protection of Ihawan River Sta. 0+000-0+060.00, Loreto, Agusan del Sur</t>
  </si>
  <si>
    <t>(SBMA-BAC-GOODS-ITB-09-20) SBMA MOTOROLA TRUNKED RADIO COMMUNICATION SYSTEM UPGRADE</t>
  </si>
  <si>
    <t>INVITATION TO RE-BID FOR THE  SUPPLY, DELIVERY, AND INSTALLATION OF FIRE SUPRESSION SYSTEM PR No. 27388-001</t>
  </si>
  <si>
    <t>DATA BACKUP STORAGE NETWORK ATTACHED STORAGE (NAS)/DISK STATION, RAID</t>
  </si>
  <si>
    <t>LUBRICANT, WIRE ROPE</t>
  </si>
  <si>
    <t>ITB-GS-20200313-01 - Supply and Delivery of 11,360 bundles Clear Plastic Jacket for Savings, Signature Card  and 10,400 reams Whitewove Paper Mimeo</t>
  </si>
  <si>
    <t>Invitation to Bid for Supply, Delivery and Installation of Digital Speech Laboratory</t>
  </si>
  <si>
    <t>20-DO-0079:LOCAL PROGRAM - Local Infrastructure Program - Building and Other Structures - Multipurpose/Facilities - Construction of Multi-Purpose Building and Facilities, San Francisco St., Brgy. Patu</t>
  </si>
  <si>
    <t>ITB and Bid Docs for Procurement ID/Contract ID:    20C00036  Contract Name:      Local Program – Local Infrastructure Program – Buildings and Other Structures – Multi Purpose Facilities – Constructio</t>
  </si>
  <si>
    <t>C-2020-01: ENGAGEMENT OF AN ADVERTSING /DESIGN AGENCY FOR THE DESIGN, CONTENT DEVELOPMENT, PRINTING AND DELIVERY OF THE 2019 ANNUAL REPORT OF THE DEVELOPMENT BANK OF THE PHILIPPINES (DBP)</t>
  </si>
  <si>
    <t>20KA0139 Road Widening along Jct SH Aglayan-Zamboanguita Rd (S00631MN) - K1523 + 850 - K1525 + 500 (Package 2 - K1525 + 340 - K1525 + 500) Malaybalay City, Bukidnon</t>
  </si>
  <si>
    <t>20KA0138 Construction of Multi Purpose Building - Construction of Multi-Purpose  Building, Brgy. Iba, Cabanglasan, Bukidnon (Phase I) Cabanglasan, Bukidnon</t>
  </si>
  <si>
    <t>20KA0135 Road Widening along Jct SH Aglayan-Zamboanguita Rd (S00631MN) - K1523 + 850 - K1525 + 500 (Package 1 - K1523 + 850 - K1525 + 340) Malaybalay City, Bukidnon</t>
  </si>
  <si>
    <t>20KA0140 Paving of Unpaved Roads with Construction of Road Slope Protection Structure along Kapalong-Talaingod-Valencia (Bukidnon) Rd (S00641MN) -  K1582 + 587 - K1582 + 734 (Package 2 - K1582 + 587 -</t>
  </si>
  <si>
    <t>HYDRAULIC OIL</t>
  </si>
  <si>
    <t>AMP SVP 20-05-0264A: Culture Optimization Materials</t>
  </si>
  <si>
    <t>ITB-GS-20190703-01 (2) - One (1) Lot Supply, Delivery, Installation, Testing and Commissioning of Variable Refrigerant Flow (VRF) Air-Conditioning Units at LANDBANK Sta. Cruz Office Building</t>
  </si>
  <si>
    <t>20KA0141 Paving of Unpaved Roads with Construction of Road Slope Protection Structure along Jct SH Aglayan-Zamboanguita Rd (S00631MN) - K1569 + 187 - K1570 + 092 (Package 2 - K1569 + 607 - K1570 + 092</t>
  </si>
  <si>
    <t>20KA0137 Paving of Unpaved Roads with Construction of Road Slope Protection Structure along Jct SH Aglayan-Zamboanguita Rd (S00631MN) - K1569 + 187 - K1570 + 092 (Package 1 - K1569 + 187 - K1569 + 607</t>
  </si>
  <si>
    <t>ITB-GS-20200305-03 - Supply &amp; Delivery of 4,300 Pcs. Ribbon for EPSON Printer FX2190 &amp; 440 Pcs.  Genuine Burroughs Black Multiline Print Inkjet Cartridge</t>
  </si>
  <si>
    <t>CY 2020 BASIC EDUCATIONAL FACILITIES FUND (BEFF) ELECTRICAL UPGRADE OF MAKILING NATIONAL HIGH SCHOOL (ITB 2020-Infra-006)</t>
  </si>
  <si>
    <t>CONSTRUCTION REHAB PROVISION OF AMENTIES OF DETENTION CELL</t>
  </si>
  <si>
    <t>CY 2020 BASIC EDUCATIONAL FACILITIES FUND (BEFF) REPAIR/IMPROVEMENT OF VARIOUS SCHOOL BUILDINGS – PUNTA ES (ITB 2020-Infra-003)</t>
  </si>
  <si>
    <t>CY 2020 BASIC EDUCATIONAL FACILITIES FUND (BEFF) REPAIR/IMPROVEMENT OF VARIOUS SCHOOL BUILDINGS – ULANGO ES (ITB 2020-Infra-005)</t>
  </si>
  <si>
    <t>20KA0136 Paving of Unpaved Roads with Construction of Road Slope Protection Structure along Kapalong-Talaingod-Valencia (Bukidnon) Rd (S00641MN) -  K1582 + 587 - K1582 + 734 (Package 1 - K1582 + 680 -</t>
  </si>
  <si>
    <t>CY 2020 BASIC EDUCATIONAL FACILITIES FUND (BEFF) REPAIR/IMPROVEMENT OF VARIOUS SCHOOL BUILDINGS – SAN JUAN ES (ITB 2020-Infra-004)</t>
  </si>
  <si>
    <t>Upgrading of Desktop Computer</t>
  </si>
  <si>
    <t>20GB0123 - Concreting of Brgy. Maybunga FMR, Brgy. Maybunga, Laua-an, Antique</t>
  </si>
  <si>
    <t>CY 2020 BASIC EDUCATIONAL FACILITIES FUND (BEFF) REPAIR/IMPROVEMENT OF VARIOUS SCHOOL BUILDINGS – JOSE PLATON MS (ITB 2020-Infra-001)</t>
  </si>
  <si>
    <t>Installation of CCTV's in Various Barangays</t>
  </si>
  <si>
    <t>BIDDING FOR THE PROCUREMENT OF ONE (1) LOT INTEGRATED SECURITY SUITE FOR TWO (2) YEARS</t>
  </si>
  <si>
    <t>CY 2020 BASIC EDUCATIONAL FACILITIES FUND (BEFF) REPAIR/IMPROVEMENT OF VARIOUS SCHOOL BUILDINGS – LOOC ES (ITB 2020-Infra-002)</t>
  </si>
  <si>
    <t>MPG-BI-2020-230 Rebid - SUPPLY AND DELIVERY OF 17 UNITS BRAND NEW MAJOR SURGERY SET AND  25 UNITS BRAND NEW MINOR SURGERY SET FOR THE PHILIPPINE ARMY (PA)</t>
  </si>
  <si>
    <t>WORK ENVIRONMENT MEASUREMENT</t>
  </si>
  <si>
    <t>Construction of Sta. Barbara Arena, Phase I under Design and Build Scheme</t>
  </si>
  <si>
    <t>Supply, Delivery, Installation, Testing and Commissioning of Fire Suppression System, 5-KW Aircon, UPS, Door Access Control, Temperature and Humidity Monitoring System, Server Rack and Retrofitting of</t>
  </si>
  <si>
    <t>Improvement of Public Plaza</t>
  </si>
  <si>
    <t>MPG-B1-2020-415 - SUPPLY AND DELIVERY OF BRAND NEW 3,552 PAIRS TANKER SUIT, PHILARPAT FOR THE PHILIPPINE ARMY (PA)</t>
  </si>
  <si>
    <t>Supply and Delivery of Construction Materials for the Nutrition Center</t>
  </si>
  <si>
    <t>MPG-B1-2020-250 - SUPPLY AND DELIVERY OF BRAND NEW 14,871 SETS TOWEL BATH AND FACE, MICROFIBER OD FOR THE PHILIPPINE ARMY (PA)</t>
  </si>
  <si>
    <t>MPG-B1-2019-416 - SUPPLY AND DELIVERY OF 9,615 BRAND NEW INDIVIDUAL FIRST AID KITS FOR THE PHILIPPINE ARMY (PA)</t>
  </si>
  <si>
    <t>MPG-B1-2020-045 - SUPPLY AND DELIVERY OF 45,000 PAIRS BRAND NEW SOCKS FOR BOOTS, GRAY FOR THE PHILIPPINE AIR FORCE (PAF)</t>
  </si>
  <si>
    <t>Construction of River Bank Protection</t>
  </si>
  <si>
    <t>20B00028: Organizational Outcome 1: Ensure Safe and Reliable National Road System: Network Development: Construction of By-Pass Road, Package 2, Isabela (Gov. Dy Bridge)</t>
  </si>
  <si>
    <t>MPG-B2-2020-310 Nego - SUPPLY OF LABOR AND MATERIALS FOR THE REPAIR AND IMPROVEMENT OF GEN. RICARTE SHRINE GROUNDS AND ATTENDANT PARKS OF THE PHILIPPINE VETERANS AFFAIRS OFFICE (PVAO)</t>
  </si>
  <si>
    <t>Supply and Delivery of Construction Materials for the Construction/Improvement of School Building (GAD)</t>
  </si>
  <si>
    <t>MPG-B1-2020-231 Rebid - SUPPLY AND DELIVERY OF ONE LOT BRAND NEW OPHTHALMIC OPERATING MICROSCOPE AND BRAND NEW OPHTHALMIC CHAIR AND STAND FOR THE  PHILIPPINE ARMY (PA)</t>
  </si>
  <si>
    <t>PROVISION OF WATCHMAN SERVICES FROM MARCH 1-DECEMBER 31, 2020</t>
  </si>
  <si>
    <t>ITB and Bid Docs for Procurement ID/Contract ID:    20C00042 - Local Program-Construction/Repair/Rehabilitation/Improvement of various Infrastructure including Local Projects – Flood Control &amp; Drainag</t>
  </si>
  <si>
    <t>ITB-GS-20200212-01 - Supply and Delivery of 600 Units Passbook Printer</t>
  </si>
  <si>
    <t>Supply and Delivery of FRP Materials, Underwater Fittings and Marine Engine</t>
  </si>
  <si>
    <t>Project No. 2: DIGITAL TRAFFIC SYSTEM AT VARIOUS INTERSECTION STREETS OF CEBU CITY</t>
  </si>
  <si>
    <t>Phytomenadione 10mg/ml</t>
  </si>
  <si>
    <t>MPG-B1-2020-002 - SUPPLY AND DELIVERY OF FOURTEEN (14) SETS BRAND NEW TRACKASSY (T130) FOR M113 APC OF THE PHILIPPINE ARMY (PA)</t>
  </si>
  <si>
    <t>Supply and Delivery of Seaweed Propagules/Seedlings intended for the Fisherfolks in the Province of Masbate</t>
  </si>
  <si>
    <t>Local Program: Construction/ Repair/ Rehabilitation/ Improvement of Buildings and Other Structures; Multi-Purpose/ Facilities; Construction of Multi-Purpose Building (Auditorium) at Brgy. Sto. Nino, M</t>
  </si>
  <si>
    <t>SUPPLY AND DELIVERY OF MECHANICAL PARTS FOR CAMIGUIN MINI-GRID (BALATUBAT)</t>
  </si>
  <si>
    <t>20BF0054: Concreting of Katuday-Simimbaan Road, Brgy. Bantug and Brgy. Simimbaan, Sta. 0+000 to Sta. 3+600, Roxas, Isabela</t>
  </si>
  <si>
    <t>20BF0053: Concreting of Road, Brgy. San Antonio, Roxas, Isabela</t>
  </si>
  <si>
    <t>(19Z00042) Contract Package -1, Design and Build of the Ambal-Simuay River and Rio Grande De Mindanao Flood Control Projects</t>
  </si>
  <si>
    <t>20KA0142 Construction of Multi Purpose Building - Construction of Multi-Purpose  Building, Brgy. Iba, Cabanglasan, Bukidnon (Phase II) Cabanglasan, Bukidnon</t>
  </si>
  <si>
    <t>REPAIR OF PHYTON CAGE</t>
  </si>
  <si>
    <t>(19Z00043) Contract Package -2, Design and Build of the Ambal-Simuay River and Rio Grande De Mindanao Flood Control Projects</t>
  </si>
  <si>
    <t>Invitation to Bid and Bidding Documents</t>
  </si>
  <si>
    <t>CY 2020 BASIC EDUCATIONAL FACILITIES FUND (BEFF) ELECTRICAL UPGRADE OF BUBUYAN NATIONAL HIGH SCHOOL (ITB 2020-Infra-007)</t>
  </si>
  <si>
    <t>REPAIR AND IMPROVEMENT OF BFP-NHQ MAIN BUILDING (Rehabilitation of Sanitary Line System)</t>
  </si>
  <si>
    <t>20CN0071 - Construction of Slope Protection Along Baler – Casiguran Road (Dinadiawan – Casiguran Section), (K0302+490 – K0302+570), Casiguran, Aurora</t>
  </si>
  <si>
    <t>20BF0052: Concreting of Road, Brgy. Bannawag, Aurora, Isabela</t>
  </si>
  <si>
    <t>20CN0070 - Construction of Slope Protection Along Baler – Casiguran Road (Dinadiawan – Casiguran Section), K0292+910 – K0292+988, Aurora</t>
  </si>
  <si>
    <t>20CN0067 - Construction of Slope Protection Along A. Castañeda – Ma. Aurora San Luis Road, (K0198+120 – K0198+171.84), Aurora</t>
  </si>
  <si>
    <t>20CN0066 - Construction of Slope Protection along Madela – Dinadiawan Road, K0410+100 – K0410+146, Aurora</t>
  </si>
  <si>
    <t>20CN0068 - Construction of Slope Protection Along A. Castañeda – Ma. Aurora San Luis Road, (K0211+175 – K0211+310), Aurora</t>
  </si>
  <si>
    <t>20CN0069 - Construction of Slope Protection Along Baler – Casiguran Road (Baler – Dinadiawan Section), (K0259+735 – K0259+775), Casiguran, Aurora</t>
  </si>
  <si>
    <t>SUPPLY, DELIVERY, INSTALLATION, CABLING, CONFIGURATION AND COMMISSIONING OF ICT EQUIPMENT FOR OPERATION CENTERS, REGION 2, 10, 12 AND CARAGA</t>
  </si>
  <si>
    <t>ITB-GS-20191202-01 - Additional License for the Existing Solarwinds Servers, Networks, Database and Application Monitoring Tool</t>
  </si>
  <si>
    <t>Invitation to Bid for the Consultancy Services for the Training Needs Assessment, Design, Development and Pilot Implementation of Training Programs on MSMEs Resiliency for the Food Manufacturing Secto</t>
  </si>
  <si>
    <t>SUPPLY AND DELIVERY OF GPE ITEMS INTENDED FOR OCCIDENTAL MINDORO S/S AND 69KTV T/L</t>
  </si>
  <si>
    <t>WIDENING OF BARANGAY ROAD, POBLACION 1, BARANGAY MABINI, BURDEOS, QUEZON</t>
  </si>
  <si>
    <t>Construction of Academic and Office Building Phase I,  PUP  Rizal  Campus,  S.H.  Loyola  Street,  Sampaloc,  Manila  (Using  a  Design  and Build  Scheme)</t>
  </si>
  <si>
    <t>20LB0311 - Construction of Seven-Storey Office Building with Roof Deck (Phase 2), DOLE Region XI, Davao City</t>
  </si>
  <si>
    <t>Local Infrastructure Program; Building and other Structures; Multi-Purpose/ Facilities: Construction and/or Repair/ Rehabilitation of Multi-Purpose Building, Brgy. Balibago, Angeles City, Pampanga</t>
  </si>
  <si>
    <t>Public Bidding re: Procurement of CSC Central Office Primary Internet Services Leased Line</t>
  </si>
  <si>
    <t>20LB0206 - Construction of Pedestrian Overpass along Davao City Diversion Road, Davao City</t>
  </si>
  <si>
    <t>UPLB-RQ-6-136-20-RES SUPPLY AND DELIVERY OF CHEMICALS &amp; CHEMICAL PRODUCTS FOR BIOTECH</t>
  </si>
  <si>
    <t>Purchase of cement</t>
  </si>
  <si>
    <t>1 lot Supply and delivery of Various Electrical Supplies</t>
  </si>
  <si>
    <t>GPG-B1-2020-309-REBID-Request for Expression of Interest-CONSULTING SERVICES FOR THE DETAILED ARCHITECTURAL &amp; ENGINEERING DESIGN FOR THE UNIV. OF THE PHILS MINDANAO CSM RESEARCH DEV'T. &amp; EXTENSION BLD</t>
  </si>
  <si>
    <t>Contract ID No. 20FA0061: CLUSTER 34 - CONSTRUCTION OF 2-STOREY SCHOOL BUILDINGS UNDER DEPED CY 2020 BEFF IN THE FIRST DISTRICT OF ALBAY</t>
  </si>
  <si>
    <t>Contract ID No. 19CSK00057 – Cluster - Consultancy Services for the Conduct of Feasibility Study for Region X Priority Road Infrastructure Projects-26 (REXPRIP-26), Total Length = 56.62 km:  a.) Quezo</t>
  </si>
  <si>
    <t>1 lot Supply and delivery of Various Painting Supplies</t>
  </si>
  <si>
    <t>20CK0088 - Concreting of Farm to Mill Road at Culatingan Road to Magao Road, Concepcion, Tarlac</t>
  </si>
  <si>
    <t>SUPPLY AND DELIVERY OF SOLID WASTE MANAGEMENT EQUIPMENT/MACHINERY FOR THE OPERATION OF MATERIAL RECOVERY FACILITY (MRF) IN BGY. POBLACION,  THIS MUNICIPALITY /2020-006.</t>
  </si>
  <si>
    <t>WATER POTABILITY TESTING</t>
  </si>
  <si>
    <t>1 lot Supply and delivery of Various Materials for Chiller Pump Maintenance</t>
  </si>
  <si>
    <t>Supply and Delivery of Various ICT Equipment to Support the Command, Control, and Communications Information System (C3IS)</t>
  </si>
  <si>
    <t>PR NO. MG-MGE20-001, VARIOUS OFFICE SUPPLIES</t>
  </si>
  <si>
    <t>Procurement of One (1) Lot, Three (3) Years Private Security Agency (PSA) Services for CF-Davao and Apo View Satellite</t>
  </si>
  <si>
    <t>ASD-B1-2020-316 Nego - SUPPLY AND DELIVERY OF VARIOUS BRAND NEW SERVICE VEHICLES  FOR THE PHILIPPINE INTERNATIONAL TRADING CORPORATION</t>
  </si>
  <si>
    <t>Contract I.D. No. 20OE0091 - Construction of Retention Basin at Estero de Sampaloc, Manila City</t>
  </si>
  <si>
    <t>Provision of Security Services for Pag-IBIG Fund Central and Eastern Visayas Branches, Offices and Warehouses covering the period Y2020-2021</t>
  </si>
  <si>
    <t>Contract ID No. 20FA0050: REHABILITATION/RECONSTRUCTION OF NATIONAL ROADS W/SLIPS, SLOPE COLLAPSE AND LANDSLIDE-SECONDARY ROADS, DM JCT-LEGAZPI-STO. DOMINGO-TABACO-CAMARINES SUR BDRY. RD- K0582+330-K0</t>
  </si>
  <si>
    <t>Contract ID No. 19CSK00047 – Consulting Services for the Conduct of Feasibility Study for Region X Priority Road Infrastructure Projects-27 (REXPRIP-27) a.	PIA Bypass Road, Misamis Oriental 2nd Legisl</t>
  </si>
  <si>
    <t>Production of Updated Risen from the Ashes</t>
  </si>
  <si>
    <t>MPG-BI 2020-318 4th Rebid SUPPLY AND DELIVERY OF BRAND NEW 2,031 PIECES MILITARY BINOCULAR, COMPACT, MODEL 1 FOR THE PHILIPPINE ARMY (PA)</t>
  </si>
  <si>
    <t>20EI0182 - Construction of Evacuation Center, Barangay San Juan,  Bongabong, Oriental Mindoro_063</t>
  </si>
  <si>
    <t>One (1) Lot Supply of Labor and Materials for the Construction of PCMC's New Building (Phase 2)</t>
  </si>
  <si>
    <t>Supply and Delivery of Various Vehicles for Resource Generation and Management Service (RGMS)</t>
  </si>
  <si>
    <t>ASD-B1-2020-315 2nd Rebid - PROCUREMENT OF PITC JANITORIAL AND ALLIED SERVICES REQUIREMENT FOR THREE (3) YEARS</t>
  </si>
  <si>
    <t>PROCUREMENT OF OTHER SUPPLIES AND MATERIALS (SUPPLIES AND TOOLS ON SHIELDED METAL ARTS &amp; WELDING) FOR SAN ROQUE NHS (UNDER SCHOOLS DIVISION OFFICE)</t>
  </si>
  <si>
    <t>ITB-GS-20200311-01 - One (1) Lot Supply, Delivery and Installation of Office Furniture at LANBBANK Buendia Branch</t>
  </si>
  <si>
    <t>RFQ / 20-06-0320 / PROCUREMENT OF 1 LOT FORTIWEB-600D 24X7 STANDARD BUNDLE AND FORTIGATE-800D UTM BUNDLE</t>
  </si>
  <si>
    <t>RE-INVITATION TO BID FOR THE CONSTRUCTION OF VARIOUS 2020 CAPEX INFRASTRUCTURE PROJECTS WITHIN THE PORO POINT FREEPORT ZONE, CITY OF SAN FERNANDO, LA UNIO</t>
  </si>
  <si>
    <t>Supply and Delivery of Two (2) units Truck-Mounted Long Distance/Widerange Sprayer under Rice Program CY 2020</t>
  </si>
  <si>
    <t>ITB No. FB20-03-007COR SUPPLY, FABRICATION AND DELIVERY OF STEEL GATE AND WINDOW GLASS FOR THE REHABILITATION AND IMPROVEMENT OF ANTIPOLO REPEATER TOWER</t>
  </si>
  <si>
    <t>Invitation to Bid - Infrastructure Project for Construction of Box Culvert at Barangay Guinacot, Danao City</t>
  </si>
  <si>
    <t>REQUEST FOR EXPRESSION OF INTEREST FOR HIRING OF CONSULTANCY SERVICES FOR THE DEVELOPMENT OF AN ENVIRONMENTAL MANAGEMENT SYSTEM (EMS) CERTIFIABLE TO ISO 14001:2015 FOR DENR RIV-A REGIONAL OFFICE</t>
  </si>
  <si>
    <t>Invitation to Bid - Infrastructure Project for Construction of Covered Court at Barangay Santican, Danao City</t>
  </si>
  <si>
    <t>Invitation to Bid - Infrastructure Project for Construction of Covered Court at Barangay Mantija, Danao City</t>
  </si>
  <si>
    <t>ITB and Bid Docs for Procurement ID/Contract ID:    20C00050  Contract Name:      Rehabilitation of Pampanga River (including Pulo) at Arayat and Macabebe, Pampanga</t>
  </si>
  <si>
    <t>ITB-GS-20200219-01 - Supply and Delivery of 1,100 Units Desktop Computer</t>
  </si>
  <si>
    <t>Invitation to Bid - Infrastructure Project for Rehab/Improvement of Barangay Road at Cogon, Guinsay, Danao City</t>
  </si>
  <si>
    <t>SUPPLY, DELIVERY AND INSTALLATION OF SOUND SYSTEM</t>
  </si>
  <si>
    <t>Q-022-20 PROCUREMENT OF PHYSICAL FITNESS EQUIPMENT AND ACCESSORIES</t>
  </si>
  <si>
    <t>Methylprednisolone Sodium Succinate 40mg.</t>
  </si>
  <si>
    <t>Contract ID No. 20FA0049: REPLACEMENT AND CONCRETING OF TRAMO BRIDGE WHICH CONNECTS BRGYS. STO. CRISTO AND SAN ROQUE TO BRGY. TAGAS AND NEIGHBORING BARANGAYS IN TABACO CITY, ALBAY</t>
  </si>
  <si>
    <t>PROJECT # 20-084 - SUPPLY AND DELIVERY OF MEDICAL SUPPLIES 3RD  QUARTER  - CHO</t>
  </si>
  <si>
    <t>Morphine Sulfate 10mg/ml.</t>
  </si>
  <si>
    <t>Pag-IBIG Fund CHQ (Engagement of Manpower Service Provider for Lot IV - Management/Technical Support Assistant Services for Y2020 to Y2022))</t>
  </si>
  <si>
    <t>Invitation to Bid - Infrastructure Project for River Bank Protection at Sitio Langlang, Barangay Cogon Cruz, Danao City</t>
  </si>
  <si>
    <t>Pag-IBIG Fund CHQ (Engagement of Manpower Service Provider for Lot III - Marketing/Customer Support Assistant Services for Y2020 to Y2022))</t>
  </si>
  <si>
    <t>Pag-IBIG Fund CHQ (Engagement of Manpower Service Provider for Lot II - Accounting/Loans Support Assistant Services for Y2020 to Y2022))</t>
  </si>
  <si>
    <t>PROCUREMENT OF RAPIDLY DEPLOYABLE COMMUNICATIONS SYSTEM</t>
  </si>
  <si>
    <t>PROJECT # 20-093 - PROCUREMENT OF MOTOR VEHICLE (RESPONSE / RESCUE VEHICLE CUSTOMIZED VEHICLE) – LDRRMO</t>
  </si>
  <si>
    <t>Supply and Delivery of Various Materials, Pipes &amp; Fitti8ngs for Impprovement of Water Supply System at Brgy. Ditucalan, Iligan City</t>
  </si>
  <si>
    <t>Isoxsuprine Hydrochloride 10mg.</t>
  </si>
  <si>
    <t>IMPROVEMENT OF MOTORPOOL EXTENSION (3.00Mx3.60M) AND GARAGE REPAIR (160.50SQM) AT MERCEDES, PORO, CEBU</t>
  </si>
  <si>
    <t>SUPPLY AND DELIVERY OF DIESEL FUEL, LUBRICANTS AND TIRE WITH FLUP USED FOR ROAD REHABILITATION(0.2Mx5.0Mx18KM) AT TUGAS RIVERSIDE, KANMANGASANG, CAIPE, CAGCAGAN, ADELA TO STA. RITA, PORO, CEBU</t>
  </si>
  <si>
    <t>CONSTRUCTION OF SINIBA-AN MP BUILDING (COVERED GYM)</t>
  </si>
  <si>
    <t>Package 2 of 2 - Pipeline Improvement from Junction Washington D.C. St. Rosalina Village, Along Davao-Cotabato Road and from Junction Going to Megrande To Bliss Compound</t>
  </si>
  <si>
    <t>Isosorbide Dinitrate 5mg. sublingual tablet</t>
  </si>
  <si>
    <t>PEO-20-0545-B (REBID)-Purchase of Technical and Scientific Equipment for use in the Material Testing and Quality Control Section, PEP, Sta, Barbara, Iloilo</t>
  </si>
  <si>
    <t>SUPPLY AND DELIVERY OF VARIOUS AGRICULTURAL EQUIPMENT AND ACCESSORIES</t>
  </si>
  <si>
    <t>One Job Order for the Supply and Delivery of ABG Reagent Kits with Free Use of One (1) Unit ABG Analyzer for a Period of One (1) Year (BAC 2020-015)</t>
  </si>
  <si>
    <t>Procurement of Various Office Supplies (BAC 2020-018)</t>
  </si>
  <si>
    <t>Procurement of supply and delivery of collapsible dryer</t>
  </si>
  <si>
    <t>PROCUREMENT OF VARIOUS LABORATORY SUPPLIES (BAC 2020-016)</t>
  </si>
  <si>
    <t>Procurement of Various IT Supplies and Equipment (BAC 2020-012)</t>
  </si>
  <si>
    <t>GPG-B1-2020-329-2ND REBID-SUPPLY &amp; DELIVERY OF TWO (2) UNITS BRAND NEW AERIAL LADDER TRUCK FOR THE BUREAU OF FIRE PROTECTION-NATIONAL HEADQUARTERS (BFP-NHQ)</t>
  </si>
  <si>
    <t>Procurement of Courier Services for Delivery of Documents under ITB No. PB20-07-037COR</t>
  </si>
  <si>
    <t>20-DO-0067: LOCAL PROGRAM - Local Infrastructure Program – Buildings and Other Structures – Multipurpose/Facilities – Construction and/or Repair/ Rehabilitation of Multi-Purpose Building, Brgy. Rizal,</t>
  </si>
  <si>
    <t>Contract ID No. 19CSK00048 – Consultancy Services for the Conduct of Feasibility Study for Tubod-Kapatagan Bypass Road, Sapad-Pualas Road, Kauswagan-Poona Piagapo-Marantao Road, Balo-i Bypass Road, (R</t>
  </si>
  <si>
    <t>Procurement for the Repair of Classrooms at Lanao del Norte Provincial Science and Technology High School under CY 2020 BEFF - Lot 6 (Rebid)</t>
  </si>
  <si>
    <t>Procurement of HDPE Tubing CY 2020</t>
  </si>
  <si>
    <t>Ropivacaine Hydrochloride 10mg/ml.</t>
  </si>
  <si>
    <t>Contract ID No. 19CSK00049 – Consultancy Services for the Conduct of Feasibility Study for Misamis Occidental Economic Zone Diversion Road (ReXPRIP-29), Misamis Occidental 1st and 2nd Legislative Dist</t>
  </si>
  <si>
    <t>IB 20CJ0065 Flood Management Program Construction/ Maintenance of Flood Mitigation Structures and Drainage Systems Construction of Tarlac City Urban Pumping Station along Masalasa Creek, Tarlac City</t>
  </si>
  <si>
    <t>20FC0071 : ASSET PRESERVATION – CONSTRUCTION/UPGRADING/REHABILITATION OF DRAINAGE ALONG NATIONAL ROADS – TERTIARY ROADS DAET-MERCEDES RD. – K0344+000-K0345+017, K0347+000-K0348+577, K0347+000-K0347+24</t>
  </si>
  <si>
    <t>GPG-B1-2020-107-SUPPLY &amp; DELIVERY OF 45 HEADS EXPLOSIVE DETECTION DOGS WITH ACCESSORIES &amp; TRAINING FOR 45 PERSONNEL  FOR THE PHIL. NATIONAL POLICE (PNP)</t>
  </si>
  <si>
    <t>20HD0073 - Construction of Multi-Purpose Building, Brgy. Maravilla, Tabuelan, Cebu</t>
  </si>
  <si>
    <t>MPG-B2-2020-005 - SUPPLY OF LABOR AND MATERIALS FOR THE REHABILITATION OF PETROLEUM, OIL AND LUBRICANTS (POL) DUMP AT LOWER CALARIAN, ZAMBOANGA CITY &amp;  BATU-BATU, TAWI-TAWI FOR THE PHILIPPINE NAVY (PN</t>
  </si>
  <si>
    <t>Replacement of Fire Sprinkler System and Installation of Jockey Pump of the DENR-CO under Bid Ref. No. DENR-CO-2020-003 Rebid</t>
  </si>
  <si>
    <t>Invitation to Bid - Infrastructure Project for Slope Protection of Landslide Prone Areas at Barangay Guinacot, Danao City</t>
  </si>
  <si>
    <t>MPG-B1-2019-562 3rd Rebid - SUPPLY AND DELIVERY OF BRAND NEW KM 500 TIRE 11.00-20, 16PR   (LUG TRACTION DESIGN) FOR THE PHILIPPINE NAVY (PN)</t>
  </si>
  <si>
    <t>IB 20CJ0137 Local Infrastructure Program Construction of Multi-Purpose Building (Right Wing), Brgy. Baras-Baras, Tarlac City, Tarlac</t>
  </si>
  <si>
    <t>IB 20CJ0134 Local Infrastructure Program Completion of Multi-Purpose Building, Brgy. Baras-Baras, Tarlac City</t>
  </si>
  <si>
    <t>PB No. 19-341-7 Engineering, Procurement, Construction and Commissioning (EPCC) Contract for the Subic-Clark Railway Project for the Department of Transportation (DOTr)</t>
  </si>
  <si>
    <t>Contract I.D. No. 20OE0173 - Rehabilitation / Reconstruction / Improvement of Multi-purpose Building, Brgy. 152, Tondo, Manila</t>
  </si>
  <si>
    <t>Contract I.D. No. 20OE0190 - Continuation of Multi – Purpose Building, Brgy. 259, Tondo, Manila</t>
  </si>
  <si>
    <t>Construction of Drainage Facility</t>
  </si>
  <si>
    <t>IB 20CJ0133 Local Infrastructure Program Completion of Multi-Purpose Building, Brgy. Barasbaras, Tarlac City</t>
  </si>
  <si>
    <t>One Job Order for the Supply and Delivery of Immunoassay Test kits and Consumables with free use of One (1) Unit Fully Automated Chemiluminescent Immunoassay (CLIA) Analyzer (BAC 2020-019)</t>
  </si>
  <si>
    <t>IB 20CJ0140 Local Infrastructure Program Construction of Multi-Purpose Building West Wing Brgy. Baras-Baras, Tarlac City</t>
  </si>
  <si>
    <t>One Job Order for the Supply and Delivery of Rapid Quantitative Fluorescence Immunochromatographic Assay Test kits and Consumables with free use of One (1) Unit Fluorescence Immunochromatographic Anal</t>
  </si>
  <si>
    <t>Procurement of Repair and Rehabilitation of Various School Building (Repair of 11 Classrooms) in Sinaloc Elementary School, Project 2020-03-0023</t>
  </si>
  <si>
    <t>Procurement of Various Cellcards</t>
  </si>
  <si>
    <t>Contract ID No. 20FA0047: CLUSTER 26 WIDENING AND CONCRETING OF BANAO-BICAL ROAD, BACACAY AND STO. DOMINGO, ALBAY AND REHABILITATION OF PAWA-TULIW-LABNIG-ESTANCIA-PARAPUTO ROAD, MALINAO AND TABACO CIT</t>
  </si>
  <si>
    <t>20GO0038 - WIDENING/IMPROVEMENT/ UPGRADING OF HONORATA MANALO (BURI ROAD), BRGY. MANDALAGAN , BACOLOD CITY</t>
  </si>
  <si>
    <t>INVITATION TO BID to the 4th Public Bidding of the Procurement for the Site Development Works for the NDC Industrial Estate (NDCIE)Project in Brgy. Langkaan, Dasmariñas City, Cavite</t>
  </si>
  <si>
    <t>EXTENSION OF MULTI-PURPOSE BUILDING AT BRGY. MACATIW, CITY OF ALAMINOS, PANGASINAN</t>
  </si>
  <si>
    <t>REHABILITATION / UPGRADING OF FARM TO MARKET ROAD (SABANGAN PORTION) AT BRGY. SABANGAN, CITY OF ALAMINOS, PANGASINAN</t>
  </si>
  <si>
    <t>REHAB/REPAIR/RENOVATION/ COMPLETION OF 10 DAY CARE CENTER IN THE MUNICIPALITY OF LAPUYAN (PB-LAP-2020-077)</t>
  </si>
  <si>
    <t>CONSTRUCTION OF WINGS OF MULTI-PURPOSE BUILDING AT BRGY. TELBANG, CITY OF ALAMINOS, PANGASINAN</t>
  </si>
  <si>
    <t>CONTRACT ID: 20-07-099- PROCUREMENT OF PERSONAL PROTECTIVE EQUIPMENT</t>
  </si>
  <si>
    <t>CONSTRUCTION OF MULTI-PURPOSE BUILDING AT BRGY. TANGCARANG, CITY OF ALAMINOS, PANGASINAN</t>
  </si>
  <si>
    <t>SUPPLY AND DELIVERY OF OTHER SUPPLIES</t>
  </si>
  <si>
    <t>Contract ID No. 20FA0040: CLUSTER 22 - REHABILITATION/CONSTRUCTION/IMPROVEMENT OF VARIOUS RIVER CONTROL AT STO. DOMINGO, MALINAO AND MALILIPOT, ALBAY</t>
  </si>
  <si>
    <t>20HD0074 - Construction of Multi-Purpose Building, Brgy. Pooc, Sta. Fe, Bantayan, Cebu</t>
  </si>
  <si>
    <t>Construction Materials (Aggregates)</t>
  </si>
  <si>
    <t xml:space="preserve">20GFL0003-Supply and delivery of various construction materials for Repair of Road Slip along Daan Maharlika, Brgy. Rangas, Juban, Sorsogon (41X – Emergency Projects) and Construction of Work Station </t>
  </si>
  <si>
    <t>Package 10 of 10: Supply and Delivery of 650 pieces Valve Box Cover, 160mm (Cast Iron or Ductile Iron) (re-bidding)</t>
  </si>
  <si>
    <t>Package 7 of 10: Supply and Delivery of 25 units Fire Hydrant Head 4"Ø (Angle Type) and 15 units Fire Hydrant Head 6"Ø (3-Way) (re-bidding 2)</t>
  </si>
  <si>
    <t>IMPROVEMENT OF MULTI PURPOSE BUILDING (DAY CARE CENTER) (BURGOS STREET, CENTRO 01, TUGUEGARAO CITY)</t>
  </si>
  <si>
    <t>Repair &amp; Maintenance of Machinery &amp; Equipment (Tools &amp; Parts- Ambulance, Nissan Van, Volvo Truck, Pay Loader) (Second Bidding)</t>
  </si>
  <si>
    <t>One Job Order for the Supply and Provision of Fifty-Six (56) Security Guards for a period of Six (6) months (BAC 2020-020)</t>
  </si>
  <si>
    <t>Purchase of ICT Equipment  (Desktop, Laptop &amp; Printer) (Second Bidding)</t>
  </si>
  <si>
    <t>PROCUREMENT OF REPAIR CLAMP</t>
  </si>
  <si>
    <t>SUPPLY AND DELIVERY OF HARDWARE SUPPLIES AND MATERIALS FOR THE COMPLETION AUXILIARY BUILDING</t>
  </si>
  <si>
    <t>MG-A7C20-006, CARBON BRUSH FOR UNITS 3, 4 &amp; 5 FOR AGUS 6 EE</t>
  </si>
  <si>
    <t>UPLB-S-045-08-20, SUPPLY AND DELIVERY OF BRANDED AND BRANDNEW DESKTOP COMPUTER FOR CAFS-ICROPS-CPMD</t>
  </si>
  <si>
    <t>Supply/Delivery of Oils, Coolant, Grease, ATF and Brake Fluid</t>
  </si>
  <si>
    <t>MG-GPD20-004, SUPPLY/INSTALLATION OF OPERATION DISPLAY/MONITORING SYSTEM</t>
  </si>
  <si>
    <t>PROCUREMENT OF RESCUE BOAT OF LGU FLORA, APAYAO</t>
  </si>
  <si>
    <t>MA-A2H20-009.. PAD, GENERATOR BRAKE PAD, AGUS 1 HE PLANT</t>
  </si>
  <si>
    <t>UPGRADING OF LOCAL ACCESS ROAD AT AMBATALI ST., BUGALLON PROPER, RAMON, ISABELA</t>
  </si>
  <si>
    <t>CONCRETING OF DUCLIGAN FMR</t>
  </si>
  <si>
    <t>VARIOUS LABORATORY SUPPLIES/CONSUMABLES</t>
  </si>
  <si>
    <t>PRINTING AND BINDING OF MSC YEARBOOK 2020 INCLUDING PHOTOGRAPHY AND MAKEUP SERVICES</t>
  </si>
  <si>
    <t>Procurement of Termite Treatment to be used by City Division Office</t>
  </si>
  <si>
    <t>Improvement of Material Recovery Facilities, Municipal Eco Park, Barangay Lo-ong, Concepcion, Iloilo</t>
  </si>
  <si>
    <t>PROCUREMENT OF PETROLEUM, OIL, &amp; OTHER LUBRICANT PRODUCTS</t>
  </si>
  <si>
    <t>CONCRETING OF LINGEY FMR</t>
  </si>
  <si>
    <t>PROVISION OF SPORTS MATERIALS</t>
  </si>
  <si>
    <t>PROVISIONS OF SCHOOL ID &amp; CORD</t>
  </si>
  <si>
    <t>GPG-B1-2020-223-SUPPLY, DELIVERY, INSTALLATION, TESTING &amp; COMMISSIONING OF IP-PBX SYSTEM FOR THE PROFESSIONAL REGULATION COMMISSION (PRC)–CENTRAL OFFICE</t>
  </si>
  <si>
    <t>SUPPLY AND DELIVERY OF IT EQUIPMENT &amp; OTHER SUPPLIES (BFP)</t>
  </si>
  <si>
    <t>Provisions of Office Supplies</t>
  </si>
  <si>
    <t>Supply and Delivery of Medicines, Vaccines, Equipment and Dentures for Senior Citizens (OSCA Fund)</t>
  </si>
  <si>
    <t>LANDSCAPING OF HIGHWAY FOOD COURT</t>
  </si>
  <si>
    <t>Construction/Rehabilitation of Cabulisan-De Los Santos Farm to Market Road Phase 2 Road</t>
  </si>
  <si>
    <t>Procurement of IT Equipment to be utilized by the Teaching and Learning via Alternative Delivery Mode of Division Office</t>
  </si>
  <si>
    <t>Package 8 of 10: Supply and Delivery of 365 pcs. D.I. Mechanical Sleeve Type Coupling, 110mm. O.D (4”) Standard Type</t>
  </si>
  <si>
    <t>Invitation to Bid Procurement of Ink and Toner</t>
  </si>
  <si>
    <t>INSTALLATION OF CCTV TO PUBLIC PLACES AND STREETS</t>
  </si>
  <si>
    <t>Opening/Construction of Settlement Site Road, Barangay Man-ogob, San Vicente, Camarines Norte</t>
  </si>
  <si>
    <t>PACKAGE 20-37:  COMMUNITY DEVELOPMENT</t>
  </si>
  <si>
    <t>Package 9 of 10: Supply and Delivery of 328 pieces D.I. Mechanical Sleeve Type Coupling, 100mm (4") Ø (Universal Type) (re-bidding)</t>
  </si>
  <si>
    <t>ITB# 16-2020 Printing of Ballistics Certificate and Pouches</t>
  </si>
  <si>
    <t>Contract ID No. 20FA0048: CLUSTER 27 CONSTRUCTION OF WATER SYSTEM IN THE FIRST DISTRICT OF ALBAY</t>
  </si>
  <si>
    <t>Supply and Delivery of Various GMO Yellow Corn Seeds</t>
  </si>
  <si>
    <t>ITB# 18-2020 Printing of Forms</t>
  </si>
  <si>
    <t>One (1) lot Supply of Materials, Labor, Tools, Equipment, Consumables, Supervision, and Other Services for the Application of Solar/Heat Reflective Roof Coating at the Coin Blank Storage, as per BSP S</t>
  </si>
  <si>
    <t>SUPPLY AND DELIVERY OF SERVICE VEHICLE</t>
  </si>
  <si>
    <t>SUPPLY AND DELIVERY OF KITCHEN WARES AND TOOLS FOR THE CSU HOTEL (PROJECT REF. No.: CSU2020-07-007- SUPPLIES)</t>
  </si>
  <si>
    <t>Additional Disaster Recovery (DR) Site Infrastructure for Non-SAP Systems</t>
  </si>
  <si>
    <t>Supply of Fuel for the Maintenance of Municipal and Barangay Roads and Delivery of Basic  Services</t>
  </si>
  <si>
    <t>PR-2020-1293 Drugs &amp; Medicines-CDH</t>
  </si>
  <si>
    <t>INVITATION TO BID FOR PHILIPPINE COCONUT AUTHORITY REJUVENATION THRU FERTILIZATION PROJECT OF PCA REGION  VI</t>
  </si>
  <si>
    <t>ITB# 08-2020 Medical/Laboratory Supplies</t>
  </si>
  <si>
    <t>ITB# 13-2020 Other Supplies and Materials</t>
  </si>
  <si>
    <t>SUPPLY AND DELIVERY OF VARIOUS SPARE PARTS FOR REPLACEMENT OF SPAREPARTS OF VARIOUS FARM EQUIPMENT OF CITY AGRICULTURE OFFICE</t>
  </si>
  <si>
    <t>HAULING OF ONE (1) UNIT FUEL STORAGE TANK FROM PULANG LUPA TO SAN JOSE DPP</t>
  </si>
  <si>
    <t>Procurement for Corrective Maintenance of Air Conditioning Units (ACU)</t>
  </si>
  <si>
    <t>Three (3) unit Fetal Monitor</t>
  </si>
  <si>
    <t>CONSTRUCTION OF  MULTI  PURPOSE HALL, BRGY. MACOLABO ISLAND, PARACALE,CAMARINES NORTE</t>
  </si>
  <si>
    <t>Supply of Laboratory Furniture for PGC Visayas Genomics Laboratory and Bioinformatics Laboratory (ITB 2020-012)</t>
  </si>
  <si>
    <t>PEO-2020-0187 PR2020-0538 INVITATION TO BID FOR THE PROCUREMENT OF LABOR, MATERIALS, AND EQUIPMENT FOR THE CONCRETING OF CABANTIAN - CANSIWANG - MAYUGA ROAD, GUINDULMAN, BOHOL</t>
  </si>
  <si>
    <t>ITB# 04-2020 Office Supplies</t>
  </si>
  <si>
    <t>Contract ID 20IG0070 - Installation of Drainage Marker along National Road within the Leyte V DEO</t>
  </si>
  <si>
    <t>(PGSO) INVITATION TO BID FOR THE SUPPLY AND DELIVERY OF 1 SET SOUND SYSTEM W/ INSTALLATION FOR THE  PROVINCIAL GENERAL SERVICES OFFICE--1M</t>
  </si>
  <si>
    <t>2020 Expanded PCA Response to COVID-19 Program (EPRCP): Rejuvenation thru Fertilization (Inorganic Fertilizer)</t>
  </si>
  <si>
    <t>SUPPLY AND DELIVERY OF BRANDNEW GENERATOR SET WITH MOBILE TRAILER WEATHER &amp; SOUNDPROOF ENCLOSURE</t>
  </si>
  <si>
    <t>Supply and Delivery of One (1) Unit Portable 2D Echo Machine</t>
  </si>
  <si>
    <t>CONSTRUCTION OF  WATER  TANK -RHU 11- BRGY. MAMPUNGO, PARACALE,CAMARINES  NORTE</t>
  </si>
  <si>
    <t>Procurement of Agricultural Supply (Livestock and Feeds), LGU (various brgys), Baybay City, Leyte</t>
  </si>
  <si>
    <t>SUPPLY AND DELIVERY OF HOSPITAL EQUIPMENT</t>
  </si>
  <si>
    <t>20-013 CONSTRUCTION/CONCRETING OF COASTAL ROAD PHASE I</t>
  </si>
  <si>
    <t>SUPPLY AND DELIVERY OF DUPLICATING/PRINTING MACHINES FOR MODULE PRINTING</t>
  </si>
  <si>
    <t>Rehabilitation of Municipal Street</t>
  </si>
  <si>
    <t>HO-FMG20-003 - Supply and Delivery of Engine Lubricating Oil to SPUG Power Plants and Barges for CY 2020</t>
  </si>
  <si>
    <t>SUPPLY AND DELIVERY OF MATERIALS FOR THE REPAINTING OF 31-UNITS SCHOOL BUILDING</t>
  </si>
  <si>
    <t>Concrete Paving of Brgy. Road, Brgy. Pansagan, Baybay City, Leyte</t>
  </si>
  <si>
    <t>Purchase &amp; Delivery of One (1) Unit Service Utility Vehicle for PGO-PSG (Re-bid)</t>
  </si>
  <si>
    <t>SUPPLY AND DELIVERY OF 3 UNITS RECIRCULATING DRYER</t>
  </si>
  <si>
    <t>2020-0188-PR2020-0539 Furnishing of Labor, Materials and Equipment for the Concreting of Jct. (LIR) Mahayag - Danao Road, by the Provincial Engineer's Office, New Capitol Building, Tagbilaran City</t>
  </si>
  <si>
    <t>Q-098-20 PROCUREMENT OF HARDWARE AND CONSTRUCTION SUPPLIES</t>
  </si>
  <si>
    <t>20IJ-0087 REPAIR OF DRAINAGE SYSTEM ALONG CALBAYOG-CATARMAN ROAD (S00084SM) K0795+200, BRGY. QUEZON, CALBAYOG CITY, SAMAR</t>
  </si>
  <si>
    <t>20P00019 Baguio – La Trinidad – Itogon – Sablan – Tuba and Tublay, Kamog Jct. - Calot - Pappa - Bagong - Balluay - Tuel Jct. (Section 2 of BLISTT Outer Ring Circumferential Road), Package 2, Benguet</t>
  </si>
  <si>
    <t>CONSTRUCTION OF MALINGAO BIRTHING FACILITY  Barangay Malingao, Tubod, Lanao del Norte</t>
  </si>
  <si>
    <t>20P00001 Baguio – La Trinidad – Itogon – Sablan – Tuba and Tublay, Kamog Jct. – Calot – Pappa – Bagong – Balluay – Tuel Jct. (Section 2 of BLISTT Outer Ring Circumferential Road), Package 1, Benguet</t>
  </si>
  <si>
    <t>Re-bidding for the Procurement of One (1) Unit 4WD Double Cab/Multi-Purpose</t>
  </si>
  <si>
    <t>PEGPES-EK TE BALEY TE KUKUMANAN WEY KEUPIANAN WEY KALALAGHAN (Construction of Tribal Hall with Amenities)</t>
  </si>
  <si>
    <t>PR# 20-1431- To supply labor, materials and necessary equipment for the Improvement of Ayala High School (Multi-Purposed Pavement) at Ayala Highschool, Ayala, Magalang, Pampanga</t>
  </si>
  <si>
    <t>Supply of Civil Works for Concreting of Brgy. Ugasan Farm-to-Market Road</t>
  </si>
  <si>
    <t>20CSN017; CONSULTING SERVICES FOR THE GEOTECHNICAL AND GEOLOGICAL SURVEY/ INVESTIGATIONS FOR THE CONSTRUCTION OF BRIDGE ALONG TALACOGON BYPASS ROAD, AGUSAN DEL SUR</t>
  </si>
  <si>
    <t>CONSTRUCTION OF MULTI-PURPOSE COVERED HALL AT ARASAN ELEMENTARY SCHOOL AND AGUSTIN ELLO ELEMENTARY SCHOOL</t>
  </si>
  <si>
    <t>CW20-033-1 Lot Construction of 5 bays Evacuation Center and Comfort Room at Side 4, Brgy. Mangayon, Compostela (Furnishing Labor, Materials and Equipment)</t>
  </si>
  <si>
    <t>Contract of Service for the Rental of Backhoe to be used at the Central Materials Recovery Facility (MRF) in the City of San Fernando, Pampanga</t>
  </si>
  <si>
    <t>Supply and Delivery of Body Worn Cameras</t>
  </si>
  <si>
    <t>Furnishing of Labor and Materials for the Animal Shelter Facility @Brgy.Macatbong, Cabanatuan City</t>
  </si>
  <si>
    <t>2020 27th Public Bidding: Peritoneal Dialysis Supplies</t>
  </si>
  <si>
    <t>CONSTRUCTION OF  MULTI PURPOSE HALL, BRGY . LABNIG, PARACALE,CAMARINES  NORTE</t>
  </si>
  <si>
    <t>(PT &amp; KMH) 2ND INVITATION TO BID FOR THE SUPPLY &amp; DELIVERY OF DESKTOP COMPUTERS, LAPTOP, ETC. FOR THE  PROVINCIAL TREASURY &amp; KASIBU MUNICIPAL HOSPITAL--290,000.00</t>
  </si>
  <si>
    <t>Procurement of Sound System</t>
  </si>
  <si>
    <t>Rehabilitation/ Construction of Slaughterhouse Extension, Brgy. Tabuc- Suba, Barotac Nuevo, Iloilo</t>
  </si>
  <si>
    <t>IMPROVEMENT OF MULTI-PURPOSE BUILDING CENTRO 09, TUGUEGARAO CITY</t>
  </si>
  <si>
    <t>(PSWDO)  INVITATION TO BID FOR THE SUPPLY AND DELIVERY OF 1 UNIT LAPTOP FOR THE  PROVINCIAL SOCIAL WELFARE &amp; DEVELOPMENT OFFICE--55,000.00</t>
  </si>
  <si>
    <t>S2-EVO20-001 &amp; S2-WVO20-001 - Supply of Two (2) Years Security Services for Eastern and Western Visayas Areas Plants and Installations in Two (2) Packages</t>
  </si>
  <si>
    <t>Relocation of Streetlights, Sitio Centro, Brgy. Lobong, San Jacinto, Pangasinan</t>
  </si>
  <si>
    <t>SUPPLY AND DELIVERY OF HARDWARE MATERIALS FOR THE REHABILITATION OF PUBLIC MARKET ROOFING AND GUTTER, BGY. POBLACION,  THIS MUNICIPALITY /2020-008</t>
  </si>
  <si>
    <t>INFRA PROJECT AUGUST 17, 2020</t>
  </si>
  <si>
    <t>Hog Fattening Project</t>
  </si>
  <si>
    <t>Procurement of Levetiracetam</t>
  </si>
  <si>
    <t>Project 2020-17: Construction of Water Testing Laboratory</t>
  </si>
  <si>
    <t>20BD0017 – RE-AD - LOCAL PROGRAM – LOCAL INFRASTRUCTURE PROGRAM – BUILDINGS AND OTHER STRUCTURES – MULTIPURPOSE/FACILITIES – REHABILITATION OF MULTI-PURPOSE BUILDING, BRGY. MARACURU, ENRILE, CAGAYAN</t>
  </si>
  <si>
    <t>PURCHASE OF OFFICE SUPPLIES AND CONSUMABLES FOR THE USE OF VARIOUS OFFICES/PROGRAMS OF DSWD RO III FOR THE PERIOD OF AUGUST - SEPTEMBER 2020</t>
  </si>
  <si>
    <t>SUPPLY AND DELIVERY OF OFFICE SUPPLIES, MATERIALS AND EQUIPMENT</t>
  </si>
  <si>
    <t>B20200284 - FUEL FOR REHAB OF FD. RD.2 STO. TOMAS-MAGWAWA &amp; SAN MIGUEL CROSING KINAMAYAN PROV'L. RD (PH I)</t>
  </si>
  <si>
    <t>Purchase of Drugs and Medicines for use in City Health Office, Silay City.</t>
  </si>
  <si>
    <t>REHABILITATION/IMPROVEMENT OF CLOSED DUMPSITE, BARANGAY GENGAROG, SAN JOSE, NORTHERN SAMAR</t>
  </si>
  <si>
    <t>Construction of Covered Court, Covered Walkway (GAD) Dilag Integrated School, Dilag</t>
  </si>
  <si>
    <t>20DL0233 - CONCRETING OF BRGY. RIZAL FMR, BRGY. RIZAL, PEREZ, QUEZON</t>
  </si>
  <si>
    <t>CONSTRUCTION OF BASKETBALL COURT PERIMETER FENCE</t>
  </si>
  <si>
    <t>SUPPLY AND DELIVERY OF 17,247 BOXES OF CANNED SARDINES (155g,100 cans / box), 17,247 BOXES OF CANNED BEEFLOAF (155g,100 cans/ box) and 3,449,244 SACHETS OF COFFEE (3-in-1 20g)</t>
  </si>
  <si>
    <t>PURCHASE OF TWO (2) DESKTOP COMPUTER FOR LAMAK CS</t>
  </si>
  <si>
    <t>SUPPLY &amp; DELIVERY OF VARIOUS MECHANICAL SPARE PARTS FOR 80KW CUMMINS.  MODEL 6BTAA5.9-G2; SERIAL NO.: 78333539 INTENDED FOR STO NINO DPP</t>
  </si>
  <si>
    <t>PROCUREMENT OF MEDICINE</t>
  </si>
  <si>
    <t>PURCHASE OF MATERIALS FOR THE CONCRETING OF ROAD AT FORTUNE TOWNE, 5TH ROAD, BRGY. ESTEFANIA</t>
  </si>
  <si>
    <t>Construction of Box Culvert @ Dulgadog, Lucog</t>
  </si>
  <si>
    <t>MAINTENANCE OF LOCAL ROADS &amp; BRIDGES</t>
  </si>
  <si>
    <t>CONSTRUCTION/REHABILITATION/ IMPROVEMENT OF DRAINAGE SYSTEM @ BRGY. 27</t>
  </si>
  <si>
    <t>20DP0078 : Concreting of Brgy. Sabang FMR, Brgy. Sabang, Nagcarlan, Laguna</t>
  </si>
  <si>
    <t>SUPPLY &amp; DELIVERY OF INJECTOR SLEEVE REMOVER KIT FOR 160KW FG WILSON (PERKINS) MODEL NO. P300H-1; SERIAL NO. FGWNAV04P JSW00270 INTENDED FOR CAPUL DPP</t>
  </si>
  <si>
    <t>Construction of Labayao-Tuway Road ,Construction of Malingin-Cabadiangan Road, Construction of Pamunglo-Pokan-Davao-Malingin Road and Construction of Labayao-Lobo-Kibugtong-Lanao Road</t>
  </si>
  <si>
    <t>Conduct Ground Delineation Survey of Community Protected Areas at Barangay Nurcia, Sibahay,Zone III, Mampi and Pakwan</t>
  </si>
  <si>
    <t>Procurement of One (1) unit Prime Mover with Low Bed Trailer</t>
  </si>
  <si>
    <t>Construction of 2STY6CL School Building at Midas Elementary School, Midas ES, Itogon, Benguet</t>
  </si>
  <si>
    <t>PROC OF CIVIL WORKS OF FLOOD CONTROL (150meters)</t>
  </si>
  <si>
    <t>SUPPLY AND DELIVERY OF VARIOUS ELECTRICAL SPARE PARTS FOR 163KW PERKINS, MODEL NO. 2006-TGI, SERIAL NO. 8B27396U86337U INTENDED FOR SAN ANTONIO DPP</t>
  </si>
  <si>
    <t>Construction of Side Slope Protection at Manacliw River</t>
  </si>
  <si>
    <t>Purchase and Installation of Solar Street Lighting</t>
  </si>
  <si>
    <t>Concreting of Ugalingan - Sitio Dungguan Road, Brgy. Ugalingan, Carmen, Cotabato</t>
  </si>
  <si>
    <t>PCDP : MEDICAL SUPPLIES  FOR CDP</t>
  </si>
  <si>
    <t>Purchase/Delivery and Installation of CCTVs</t>
  </si>
  <si>
    <t>Laptop and Printer</t>
  </si>
  <si>
    <t>20GNE0041-Supplies/Deliveries of Surveillance Camera System with Installation in the New DPWH Building, DIDEO for the 3rd Quarter C.Y. 2020</t>
  </si>
  <si>
    <t>Procurement of Various Drugs and Medicines-07-422(A)PGO</t>
  </si>
  <si>
    <t>Procurement of  Brand  New Van-Type AMBULANCE</t>
  </si>
  <si>
    <t>Purchase/Delivery and Installation of Sound System at the People's Hall</t>
  </si>
  <si>
    <t>20PI0099 - Improvement of Bagnen Oriente - Bagnen Proper Provincial Road located at the vegetable producing Bauko, Mountain Province</t>
  </si>
  <si>
    <t>Purchase and Delivery of Medicines and Other Medical Supplies</t>
  </si>
  <si>
    <t>Procurement of Office Eqipment, Furniture and Fixtures</t>
  </si>
  <si>
    <t>Invitation to bid for the improvement and additional work item of DA-Training Center at Quezon, Uson, Masbate</t>
  </si>
  <si>
    <t>Concreting of Tuy-an East Local Road, Tuy-an East, Maasin, Iloilo</t>
  </si>
  <si>
    <t>Procurement of Systems and Solutions with Managed Services  for the NCMH Crisis Hotline CY 2020</t>
  </si>
  <si>
    <t>Concreting of Tulahong Local Road, Maasin, Iloilo</t>
  </si>
  <si>
    <t>Procurement of Various Medical Equipment - SDH</t>
  </si>
  <si>
    <t>Improvement of Water System of LGU, Garcia-Hernandez, Bohol</t>
  </si>
  <si>
    <t>Supply and delivery of streetlight supplies and materials for installation and maintenance of streetlights at various barangay of Capas,Tarlac</t>
  </si>
  <si>
    <t>20GFG0022 - Procurement of construction materials for use in the Repair and Maintenance along Lagonoy-Presentacion Road; Tigaon-Goa-San Jose-Lagonoy-Guijalo via San Vicente Road (Maligaya – Caramoan S</t>
  </si>
  <si>
    <t>Const. of Mayngaway River Control</t>
  </si>
  <si>
    <t>Concreting of Cagraray - Barrio Site FMR</t>
  </si>
  <si>
    <t>Construction of Sioron Seawall</t>
  </si>
  <si>
    <t>Construction/Rehabilitation of Barangay Foot Trails</t>
  </si>
  <si>
    <t>Purchase of materials for the improvement of roads (Regravelling) Brgy. Balicotoc Proper to So. Taysican, Brgy. Balicotoc, Ilog, Neg. Occ.</t>
  </si>
  <si>
    <t>Concreting of Oco-Burgos-Almojuela Road</t>
  </si>
  <si>
    <t>20HD0097 - Repair and Maintenance of Road Safety Facilities along Cebu North Hagnaya Wharf Road, Sogod-Tabuelan Road, Antonio Y de Pio H-way, Bogo-Curva-Medellin-Daanbantayan-Maya Road and Toledo-Tabu</t>
  </si>
  <si>
    <t>Procurement of Heavy Duty Cot Beds</t>
  </si>
  <si>
    <t>RENOVATION OF THE ACADEMIC BUILDING (COLLEGE OF EDUCATION) PHASE 1</t>
  </si>
  <si>
    <t>Rental of Service Vehicle 4x4 Pick Up Vehicle Fuel and Driver included whole day use for the use for project monitoring and supervision of various BARMM - B.R.I.D.G.E Projects</t>
  </si>
  <si>
    <t>Const. of Hicming River Control</t>
  </si>
  <si>
    <t>(PAssO) INVITATION TO BID FOR THE SUPPLY &amp; DELIVERY OF HIGH-SPEED SCANNER, LAPTOP &amp; ALL IN ONE DESKTOP COMPUTER FOR THE  PROVINCIAL ASSESSMENT OFFICE--305,000.00</t>
  </si>
  <si>
    <t>100-2020-07-852 Supply and delivery of construction materials and supplies re Opening of Parangue Road, Bgy. Sicsican</t>
  </si>
  <si>
    <t>Procurement of 2-Units Government Vehicle (Rescue &amp; Service Vehicle)</t>
  </si>
  <si>
    <t>Procurement of Various Laboratory Supplies - SDH</t>
  </si>
  <si>
    <t>Construction of 1 Unit Day Care Center</t>
  </si>
  <si>
    <t>Various agricultural chemicals and supplies (Fertilizer, etc.)</t>
  </si>
  <si>
    <t>Metro Manila</t>
  </si>
  <si>
    <t>Davao Del Sur</t>
  </si>
  <si>
    <t>Cavite</t>
  </si>
  <si>
    <t>Benguet</t>
  </si>
  <si>
    <t>Camarines Sur</t>
  </si>
  <si>
    <t>Misamis Oriental</t>
  </si>
  <si>
    <t>Pangasinan</t>
  </si>
  <si>
    <t>Southern Leyte</t>
  </si>
  <si>
    <t>Masbate</t>
  </si>
  <si>
    <t>Albay</t>
  </si>
  <si>
    <t>Negros Occidental</t>
  </si>
  <si>
    <t>Kalinga</t>
  </si>
  <si>
    <t>Quirino</t>
  </si>
  <si>
    <t>Pampanga</t>
  </si>
  <si>
    <t>Cotabato</t>
  </si>
  <si>
    <t>Apayao</t>
  </si>
  <si>
    <t>Nueva Ecija</t>
  </si>
  <si>
    <t>Bohol</t>
  </si>
  <si>
    <t>Bataan</t>
  </si>
  <si>
    <t>Nueva Vizcaya</t>
  </si>
  <si>
    <t>Iloilo</t>
  </si>
  <si>
    <t>Quezon</t>
  </si>
  <si>
    <t>Aklan</t>
  </si>
  <si>
    <t>Occidental Mindoro</t>
  </si>
  <si>
    <t>Ifugao</t>
  </si>
  <si>
    <t>Oriental Mindoro</t>
  </si>
  <si>
    <t>Ilocos Norte</t>
  </si>
  <si>
    <t>Cagayan</t>
  </si>
  <si>
    <t>Leyte</t>
  </si>
  <si>
    <t>Antique</t>
  </si>
  <si>
    <t>Laguna</t>
  </si>
  <si>
    <t>Agusan Del Norte</t>
  </si>
  <si>
    <t>Zamboanga Del Sur</t>
  </si>
  <si>
    <t>South Cotabato</t>
  </si>
  <si>
    <t>Mountain Province</t>
  </si>
  <si>
    <t>Tarlac</t>
  </si>
  <si>
    <t>Maguindanao</t>
  </si>
  <si>
    <t>Zamboanga Del Norte</t>
  </si>
  <si>
    <t>Catanduanes</t>
  </si>
  <si>
    <t>La Union</t>
  </si>
  <si>
    <t>Batangas</t>
  </si>
  <si>
    <t>Negros Oriental</t>
  </si>
  <si>
    <t>Sorsogon</t>
  </si>
  <si>
    <t>Palawan</t>
  </si>
  <si>
    <t>Camarines Norte</t>
  </si>
  <si>
    <t>Bukidnon</t>
  </si>
  <si>
    <t>Batanes</t>
  </si>
  <si>
    <t>Zamboanga Sibugay</t>
  </si>
  <si>
    <t>Zambales</t>
  </si>
  <si>
    <t>Davao Occidental</t>
  </si>
  <si>
    <t>Agusan Del Sur</t>
  </si>
  <si>
    <t>Romblon</t>
  </si>
  <si>
    <t>Biliran</t>
  </si>
  <si>
    <t>Aurora</t>
  </si>
  <si>
    <t>Compostela Valley</t>
  </si>
  <si>
    <t>Negros Oriental,Northern Samar,Nueva Ecija,Nueva Vizcaya,Occidental Mindoro</t>
  </si>
  <si>
    <t>Davao Del Norte</t>
  </si>
  <si>
    <t>Isabela</t>
  </si>
  <si>
    <t>Marinduque</t>
  </si>
  <si>
    <t>Bohol,Cebu,Negros Oriental,Siquijor</t>
  </si>
  <si>
    <t>Cebu</t>
  </si>
  <si>
    <t>Ilocos Sur</t>
  </si>
  <si>
    <t>Lanao Del Norte</t>
  </si>
  <si>
    <t>Misamis Occidental</t>
  </si>
  <si>
    <t>Eastern Samar</t>
  </si>
  <si>
    <t>Siquijor</t>
  </si>
  <si>
    <t>Surigao Del Norte</t>
  </si>
  <si>
    <t>Capiz</t>
  </si>
  <si>
    <t>Davao Oriental</t>
  </si>
  <si>
    <t>Rizal</t>
  </si>
  <si>
    <t>Camiguin</t>
  </si>
  <si>
    <t>Bulacan</t>
  </si>
  <si>
    <t>Guimaras</t>
  </si>
  <si>
    <t>(Independent City)</t>
  </si>
  <si>
    <t>Samar</t>
  </si>
  <si>
    <t>Basilan</t>
  </si>
  <si>
    <t>Northern Samar</t>
  </si>
  <si>
    <t>Dinagat Island</t>
  </si>
  <si>
    <t>Surigao Del Sur</t>
  </si>
  <si>
    <t>Metro Manila,Misamis Occidental</t>
  </si>
  <si>
    <t>Sulu</t>
  </si>
  <si>
    <t>Masbate,Metro Manila</t>
  </si>
  <si>
    <t>Lanao Del Sur</t>
  </si>
  <si>
    <t>Sultan Kudarat</t>
  </si>
  <si>
    <t>Philippines</t>
  </si>
  <si>
    <t>Tawi-Tawi</t>
  </si>
  <si>
    <t>Abra</t>
  </si>
  <si>
    <t>Sarangani</t>
  </si>
  <si>
    <t>Batangas,Benguet</t>
  </si>
  <si>
    <t>Aklan,Antique,Capiz,Guimaras,Iloilo,Negros Occidental</t>
  </si>
  <si>
    <t>Albay,Camarines Norte,Camarines Sur,Masbate,Sorsogon</t>
  </si>
  <si>
    <t>Misamis Occidental,Misamis Oriental,Mountain Province,Negros Occidental</t>
  </si>
  <si>
    <t>Negros Occidental,Zambales</t>
  </si>
  <si>
    <t>Batanes,Metro Manila</t>
  </si>
  <si>
    <t>Leyte,Samar</t>
  </si>
  <si>
    <t>Eastern Samar,Leyte,Northern Samar,Samar,Southern Leyte</t>
  </si>
  <si>
    <t>Abra,Albay</t>
  </si>
  <si>
    <t>Antique,Negros Occidental</t>
  </si>
  <si>
    <t>Aklan,Antique,Capiz,Iloilo</t>
  </si>
  <si>
    <t>Albay,Camarines Sur,Masbate,Sorsogon</t>
  </si>
  <si>
    <t>Cavite,Cebu</t>
  </si>
  <si>
    <t>Benguet,Biliran</t>
  </si>
  <si>
    <t>Biliran,Leyte,Samar</t>
  </si>
  <si>
    <t>Oriental Mindoro,Palawan</t>
  </si>
  <si>
    <t>Aurora,Bulacan,Nueva Ecija,Pampanga</t>
  </si>
  <si>
    <t>Bohol,Negros Oriental</t>
  </si>
  <si>
    <t>Antique,Capiz,Iloilo,Negros Occidental</t>
  </si>
  <si>
    <t>Aklan,Antique,Capiz,Iloilo,Negros Occidental</t>
  </si>
  <si>
    <t>Agusan Del Norte,Agusan Del Sur,Surigao Del Norte,Surigao Del Sur,Dinagat Island</t>
  </si>
  <si>
    <t>Aklan,Negros Occidental</t>
  </si>
  <si>
    <t>NCEBDE-079-20</t>
  </si>
  <si>
    <t>PMC-020-183</t>
  </si>
  <si>
    <t>BAC PB 2019 - 22</t>
  </si>
  <si>
    <t>2020-003</t>
  </si>
  <si>
    <t>8-081820</t>
  </si>
  <si>
    <t>CAT-13-20</t>
  </si>
  <si>
    <t>CAT-11-20</t>
  </si>
  <si>
    <t>SFJ-12-20</t>
  </si>
  <si>
    <t>15ads20</t>
  </si>
  <si>
    <t>Maintroad2020-0810-2</t>
  </si>
  <si>
    <t>CAT-15-20</t>
  </si>
  <si>
    <t>12-081820</t>
  </si>
  <si>
    <t>7-081820</t>
  </si>
  <si>
    <t>11-081820</t>
  </si>
  <si>
    <t>10-081820</t>
  </si>
  <si>
    <t>14-081820</t>
  </si>
  <si>
    <t>9-081820</t>
  </si>
  <si>
    <t>2020-02</t>
  </si>
  <si>
    <t>15-081820</t>
  </si>
  <si>
    <t>LGU-POZ-2020-0063</t>
  </si>
  <si>
    <t>LGU-POZ-2020-0062</t>
  </si>
  <si>
    <t>LGU-POZ-2020-0061</t>
  </si>
  <si>
    <t>LGU-POZ-2020-0060</t>
  </si>
  <si>
    <t>16-081820</t>
  </si>
  <si>
    <t>2020-09-01-063CW</t>
  </si>
  <si>
    <t>23-081820</t>
  </si>
  <si>
    <t>22-081820</t>
  </si>
  <si>
    <t>20-1662</t>
  </si>
  <si>
    <t>LGU-POZ-2020-0059</t>
  </si>
  <si>
    <t>LGU-POZ-2020-0058</t>
  </si>
  <si>
    <t>21-081820</t>
  </si>
  <si>
    <t>20-081820</t>
  </si>
  <si>
    <t>19-081820</t>
  </si>
  <si>
    <t>18-081820</t>
  </si>
  <si>
    <t>2020-08-009</t>
  </si>
  <si>
    <t>17-081820</t>
  </si>
  <si>
    <t>13-081820</t>
  </si>
  <si>
    <t>Galicia202010</t>
  </si>
  <si>
    <t>LGU-Sagay-4765</t>
  </si>
  <si>
    <t>PMC-020-228</t>
  </si>
  <si>
    <t>7-8-20-ID2</t>
  </si>
  <si>
    <t>2020-07-22</t>
  </si>
  <si>
    <t>20-001</t>
  </si>
  <si>
    <t>ITB No. 20-08-18</t>
  </si>
  <si>
    <t>MMWD-0026-2020</t>
  </si>
  <si>
    <t>SF Infra 2020-18</t>
  </si>
  <si>
    <t>SF Infra 2020-17</t>
  </si>
  <si>
    <t>SF Infra 2020-15</t>
  </si>
  <si>
    <t>8-3-20-ID2</t>
  </si>
  <si>
    <t>07055320</t>
  </si>
  <si>
    <t>8-10-20-ID1</t>
  </si>
  <si>
    <t>angel127</t>
  </si>
  <si>
    <t>20-1682</t>
  </si>
  <si>
    <t>20-1672</t>
  </si>
  <si>
    <t>20-1683</t>
  </si>
  <si>
    <t>2020-SEF011</t>
  </si>
  <si>
    <t>1</t>
  </si>
  <si>
    <t>7-8-20-ID9</t>
  </si>
  <si>
    <t>106-2020</t>
  </si>
  <si>
    <t>PPD-20-0902-B</t>
  </si>
  <si>
    <t>20-1749</t>
  </si>
  <si>
    <t>OSS 20-024</t>
  </si>
  <si>
    <t>004</t>
  </si>
  <si>
    <t>SF Infra 2020-16</t>
  </si>
  <si>
    <t>Various Projects -Cluster A 2020</t>
  </si>
  <si>
    <t>109-2020</t>
  </si>
  <si>
    <t>2020 –0004</t>
  </si>
  <si>
    <t>Carlatan 2020-001</t>
  </si>
  <si>
    <t>GOODS 2020-31</t>
  </si>
  <si>
    <t>B-8661-20-19</t>
  </si>
  <si>
    <t>108-2020</t>
  </si>
  <si>
    <t>2020-08-05</t>
  </si>
  <si>
    <t>TINOC-2020-07-GOODS</t>
  </si>
  <si>
    <t>2020-08-07</t>
  </si>
  <si>
    <t>Calanaga202003</t>
  </si>
  <si>
    <t>107-2020</t>
  </si>
  <si>
    <t>2020-001</t>
  </si>
  <si>
    <t>IB No. GS-2020 – 101</t>
  </si>
  <si>
    <t>IBPL No. 2020-002</t>
  </si>
  <si>
    <t>PSU ITB 2007-102</t>
  </si>
  <si>
    <t>20AA0345</t>
  </si>
  <si>
    <t>2020-005</t>
  </si>
  <si>
    <t>svp 2019-19</t>
  </si>
  <si>
    <t>POW-2020-01</t>
  </si>
  <si>
    <t>2020-002</t>
  </si>
  <si>
    <t>E0-PIC20-038: Annual Physical Examination for OMA</t>
  </si>
  <si>
    <t>BLGU-MATAGNAO-AL-01-2020</t>
  </si>
  <si>
    <t>cal08042020-06</t>
  </si>
  <si>
    <t>2020-08-06</t>
  </si>
  <si>
    <t>2020-07-0376</t>
  </si>
  <si>
    <t>IB No. GS-2020 – 085-A</t>
  </si>
  <si>
    <t>IB No. GS-2020 – 102</t>
  </si>
  <si>
    <t>2020-01</t>
  </si>
  <si>
    <t>110-2020</t>
  </si>
  <si>
    <t>111-2020</t>
  </si>
  <si>
    <t>LUZ-2020-0008</t>
  </si>
  <si>
    <t>TJPH-2020-0463</t>
  </si>
  <si>
    <t>CBR-15</t>
  </si>
  <si>
    <t>APP-50213030A-SVP-2020</t>
  </si>
  <si>
    <t>TJPH-2020-0119</t>
  </si>
  <si>
    <t>INFRA-2020-025</t>
  </si>
  <si>
    <t>20-015</t>
  </si>
  <si>
    <t>ITB-2020-025</t>
  </si>
  <si>
    <t>LZDH-2020-0052</t>
  </si>
  <si>
    <t>20CSAI003</t>
  </si>
  <si>
    <t>ITB-2020-026</t>
  </si>
  <si>
    <t>CBR - 17</t>
  </si>
  <si>
    <t>2020-08-0016</t>
  </si>
  <si>
    <t>PEMO-2020-2110</t>
  </si>
  <si>
    <t>NOLI-2020-0201</t>
  </si>
  <si>
    <t>CAR-ADN-2020-102</t>
  </si>
  <si>
    <t>S4-PIC20-038: Annual Physical Examination for Non-</t>
  </si>
  <si>
    <t>PANG-2020-1004</t>
  </si>
  <si>
    <t>OPA-2020-0510</t>
  </si>
  <si>
    <t>PANG-2020-1003</t>
  </si>
  <si>
    <t>BLGU-MATAGNAO-AL-02-2020</t>
  </si>
  <si>
    <t>INFRA-2020-026</t>
  </si>
  <si>
    <t>LUZ-2020-0016</t>
  </si>
  <si>
    <t>2020-07-132(06207512)</t>
  </si>
  <si>
    <t>2020-085-snq</t>
  </si>
  <si>
    <t>52-2020</t>
  </si>
  <si>
    <t>51-2020</t>
  </si>
  <si>
    <t>20-08-07-002</t>
  </si>
  <si>
    <t>20-08-07-001</t>
  </si>
  <si>
    <t>2020-084-snq</t>
  </si>
  <si>
    <t>8-7-2020-1</t>
  </si>
  <si>
    <t>2020-086-snq</t>
  </si>
  <si>
    <t>RFQ 093-2020 MGB XII</t>
  </si>
  <si>
    <t>PANG-2020-1001</t>
  </si>
  <si>
    <t>MACALIDONG 2020-002</t>
  </si>
  <si>
    <t>PAULBA 2020-002</t>
  </si>
  <si>
    <t>20-08-0553</t>
  </si>
  <si>
    <t>2020-PR20-1020-1023-244</t>
  </si>
  <si>
    <t>lgm</t>
  </si>
  <si>
    <t>Goods-036D-2020</t>
  </si>
  <si>
    <t>08-01-2020</t>
  </si>
  <si>
    <t>2020-01-8751-69</t>
  </si>
  <si>
    <t>ITB-NO.44</t>
  </si>
  <si>
    <t>Goods-036C-2020</t>
  </si>
  <si>
    <t>RFQ 099-2020 MGB XII</t>
  </si>
  <si>
    <t>20080687</t>
  </si>
  <si>
    <t>ITB-NO.43</t>
  </si>
  <si>
    <t>RQ No. 2020-08-126</t>
  </si>
  <si>
    <t>200(01)20-07-448(A)</t>
  </si>
  <si>
    <t>SS-1420-20</t>
  </si>
  <si>
    <t>pR No. 135</t>
  </si>
  <si>
    <t>INFRA-2020-027</t>
  </si>
  <si>
    <t>2020-868-001</t>
  </si>
  <si>
    <t>PANG-2020-1002</t>
  </si>
  <si>
    <t>2008-0685-RICTMS</t>
  </si>
  <si>
    <t>2020-01-1011-71</t>
  </si>
  <si>
    <t>2020-08-643</t>
  </si>
  <si>
    <t>792</t>
  </si>
  <si>
    <t>SS-1421-20</t>
  </si>
  <si>
    <t>008</t>
  </si>
  <si>
    <t>20-07-144</t>
  </si>
  <si>
    <t>cgb2020-311</t>
  </si>
  <si>
    <t>PR No. 2020-07-285</t>
  </si>
  <si>
    <t>2020-01-9991-72</t>
  </si>
  <si>
    <t>SS-1422-20</t>
  </si>
  <si>
    <t>117319</t>
  </si>
  <si>
    <t>BAC-0058-2020</t>
  </si>
  <si>
    <t>070812020</t>
  </si>
  <si>
    <t>200(01)20-07-117(Q)</t>
  </si>
  <si>
    <t>INFRA-2020-028</t>
  </si>
  <si>
    <t>20-08-003</t>
  </si>
  <si>
    <t>PB NP 20-0004-B</t>
  </si>
  <si>
    <t>SN-2020-08-14</t>
  </si>
  <si>
    <t>3-01-001-20-119</t>
  </si>
  <si>
    <t>SS-1423-20</t>
  </si>
  <si>
    <t>2020-01-4431-70</t>
  </si>
  <si>
    <t>200(01)20-07-444(A)</t>
  </si>
  <si>
    <t>07082020</t>
  </si>
  <si>
    <t>GEPS-2020-08-001</t>
  </si>
  <si>
    <t>BCSTLIGH2020</t>
  </si>
  <si>
    <t>Goods-036B-2020</t>
  </si>
  <si>
    <t>2020-no.2</t>
  </si>
  <si>
    <t>Goods-036A-2020</t>
  </si>
  <si>
    <t>SS-1442-20</t>
  </si>
  <si>
    <t>REPAIRREGLPROVLOFFICELEGAZPI</t>
  </si>
  <si>
    <t>2020-01-8711-68</t>
  </si>
  <si>
    <t>cgb2020-314</t>
  </si>
  <si>
    <t>2020-01-1091-73</t>
  </si>
  <si>
    <t>RFQ - CPR No. GS-138-146-147-155-157-160-163-164-1</t>
  </si>
  <si>
    <t>2020-08-001</t>
  </si>
  <si>
    <t>SAR-GOODS-07-074-2020</t>
  </si>
  <si>
    <t>793</t>
  </si>
  <si>
    <t>200(01)20-08-006(AI)</t>
  </si>
  <si>
    <t>SAR-INFRA-08-004-2020</t>
  </si>
  <si>
    <t>SK- Flu tejero 2020-08-02</t>
  </si>
  <si>
    <t>cgb2020-313</t>
  </si>
  <si>
    <t>cgb2020-312</t>
  </si>
  <si>
    <t>SS-1399-20</t>
  </si>
  <si>
    <t>Printing of Booklet and Flyers-THWRDEC</t>
  </si>
  <si>
    <t>2020 B-07.399</t>
  </si>
  <si>
    <t>2020-PR20-1043-245</t>
  </si>
  <si>
    <t>2020-0100</t>
  </si>
  <si>
    <t>2007-0674-NHTS</t>
  </si>
  <si>
    <t>20-07-060</t>
  </si>
  <si>
    <t>8-7-2020-3</t>
  </si>
  <si>
    <t>20-07-062</t>
  </si>
  <si>
    <t>8-7-2020-2</t>
  </si>
  <si>
    <t>8-10-20-ID3</t>
  </si>
  <si>
    <t>8-7-2020-5</t>
  </si>
  <si>
    <t>PANG-2020-1009</t>
  </si>
  <si>
    <t>8-7-2020-4</t>
  </si>
  <si>
    <t>PANG-2020-1005</t>
  </si>
  <si>
    <t>PANG-2020-1010</t>
  </si>
  <si>
    <t>20GJF0143</t>
  </si>
  <si>
    <t>PANG-2020-1008</t>
  </si>
  <si>
    <t>ITB 20-0076</t>
  </si>
  <si>
    <t>SAR-GOODS-08-017-2020</t>
  </si>
  <si>
    <t>PANG-2020-1007</t>
  </si>
  <si>
    <t>SAR-GOODS-08-016-2020</t>
  </si>
  <si>
    <t>1002007-544</t>
  </si>
  <si>
    <t>SF Goods 005</t>
  </si>
  <si>
    <t>2020-06-001</t>
  </si>
  <si>
    <t>20-07-059</t>
  </si>
  <si>
    <t>PB-INF 2020-004</t>
  </si>
  <si>
    <t>cgb2020-316</t>
  </si>
  <si>
    <t>2020-06-079, 06-134B, 07-017E, 06-032G &amp; 03-058A</t>
  </si>
  <si>
    <t>JRF-2020-013-RFQ</t>
  </si>
  <si>
    <t>2020-0030</t>
  </si>
  <si>
    <t>cgb2020-315</t>
  </si>
  <si>
    <t>2020-08-01</t>
  </si>
  <si>
    <t>PANULAWAN INTEGRATED SCHOOL EDUCATIONAL MATERIALS</t>
  </si>
  <si>
    <t>DES-1321-20</t>
  </si>
  <si>
    <t>ITB 20-0077</t>
  </si>
  <si>
    <t>SVP-20-96</t>
  </si>
  <si>
    <t>RFQ 102-2020</t>
  </si>
  <si>
    <t>SAR-GOODS-08-007-2020</t>
  </si>
  <si>
    <t>SAR-GOODS-08-008-2020</t>
  </si>
  <si>
    <t>JRF-2020-014-JRF</t>
  </si>
  <si>
    <t>SAR-GOODS-08-026-2020</t>
  </si>
  <si>
    <t>cgb2020-318</t>
  </si>
  <si>
    <t>DM-BAC-2020-0062</t>
  </si>
  <si>
    <t>cgb2020-317</t>
  </si>
  <si>
    <t>100(01)20-07-035(AA)</t>
  </si>
  <si>
    <t>PR-2020-1870</t>
  </si>
  <si>
    <t>2020-005 RFQ</t>
  </si>
  <si>
    <t>8-10-20-ID10</t>
  </si>
  <si>
    <t>376</t>
  </si>
  <si>
    <t>200(01)20-07-005(AI)</t>
  </si>
  <si>
    <t>SAR-GOODS-08-027-2020</t>
  </si>
  <si>
    <t>ITB-2020-021</t>
  </si>
  <si>
    <t>SAR-GOODS-08-065-2020</t>
  </si>
  <si>
    <t>DM-BAC-2020-0063</t>
  </si>
  <si>
    <t>20-047</t>
  </si>
  <si>
    <t>PR-2020-1878</t>
  </si>
  <si>
    <t>Goods2020-06-008</t>
  </si>
  <si>
    <t>ITB 20-0078</t>
  </si>
  <si>
    <t>RFQ 103-2020</t>
  </si>
  <si>
    <t>200(01)20-08-005(AH)</t>
  </si>
  <si>
    <t>200(01)20-07-449(A)</t>
  </si>
  <si>
    <t>2020-07-PR051</t>
  </si>
  <si>
    <t>PR-2020-1936</t>
  </si>
  <si>
    <t>200(01)20-07-004(AI)</t>
  </si>
  <si>
    <t>INFRA 2020-08</t>
  </si>
  <si>
    <t>capinahan2020-001</t>
  </si>
  <si>
    <t>20-049</t>
  </si>
  <si>
    <t>DPWH-MS-2020-05-020</t>
  </si>
  <si>
    <t>017</t>
  </si>
  <si>
    <t>20-048</t>
  </si>
  <si>
    <t>JRF-2020-015-RFQ</t>
  </si>
  <si>
    <t>100(01)20-08-006(AH)</t>
  </si>
  <si>
    <t>7-27-20-ID5</t>
  </si>
  <si>
    <t>100(01)20-07-036(AA)</t>
  </si>
  <si>
    <t>tag-027-2020</t>
  </si>
  <si>
    <t>200(01)20-07-450(A)</t>
  </si>
  <si>
    <t>cgb2020-319</t>
  </si>
  <si>
    <t>300(18)20-07-459(O)</t>
  </si>
  <si>
    <t>2020.08.07</t>
  </si>
  <si>
    <t>100(01)20-08-484A(O)</t>
  </si>
  <si>
    <t>SAR-GOODS-07-043-2020</t>
  </si>
  <si>
    <t>2020-08-00006</t>
  </si>
  <si>
    <t>NOSO-RFQ-2020-06-459</t>
  </si>
  <si>
    <t>SAR-GOODS-08-014-2020</t>
  </si>
  <si>
    <t>018</t>
  </si>
  <si>
    <t>300(18)20-08-479(O)</t>
  </si>
  <si>
    <t>300(18)20-08-484(O)</t>
  </si>
  <si>
    <t>300(18)20-08-482(O)</t>
  </si>
  <si>
    <t>RFQ-2020-102</t>
  </si>
  <si>
    <t>101-2020</t>
  </si>
  <si>
    <t>20-05</t>
  </si>
  <si>
    <t>INFRA 2020-08A</t>
  </si>
  <si>
    <t>023-2020</t>
  </si>
  <si>
    <t>GF 2020-002</t>
  </si>
  <si>
    <t>131</t>
  </si>
  <si>
    <t>RFQ-08-07-20-12</t>
  </si>
  <si>
    <t>200(01)20-07-445(A)</t>
  </si>
  <si>
    <t>DM-BAC-2020-0064</t>
  </si>
  <si>
    <t>2020-08-07-001</t>
  </si>
  <si>
    <t>PR# 20-0942</t>
  </si>
  <si>
    <t>PR NO. 300-8711-20-07-0812</t>
  </si>
  <si>
    <t>2020-164</t>
  </si>
  <si>
    <t>2020-08-01(AM)</t>
  </si>
  <si>
    <t>100(01)20-07-457(O)</t>
  </si>
  <si>
    <t>DA7-08-FOD-OA-20-3054</t>
  </si>
  <si>
    <t>PR-2020-1808</t>
  </si>
  <si>
    <t>QN-200804-15/ SM-20-0849</t>
  </si>
  <si>
    <t>20-051</t>
  </si>
  <si>
    <t>MNHS RFQ 2020-008-048</t>
  </si>
  <si>
    <t>PR-2020-1959</t>
  </si>
  <si>
    <t>2020.08.07.1</t>
  </si>
  <si>
    <t>200(01)20-07-446(A)</t>
  </si>
  <si>
    <t>2004-01M02-01</t>
  </si>
  <si>
    <t>2020-08-01(PB)</t>
  </si>
  <si>
    <t>2020-08-007</t>
  </si>
  <si>
    <t>CBR-16</t>
  </si>
  <si>
    <t>2020-08-02(PB)</t>
  </si>
  <si>
    <t>2020-114</t>
  </si>
  <si>
    <t>NG-GOODS-2020-27</t>
  </si>
  <si>
    <t>GDS-397-2020</t>
  </si>
  <si>
    <t>CGS-2020-G017 (RE-BID)</t>
  </si>
  <si>
    <t>300(18)20-08-487(O)</t>
  </si>
  <si>
    <t>2040-S1M04</t>
  </si>
  <si>
    <t>RFQ-2020-103</t>
  </si>
  <si>
    <t>DA7-08-FOD-OA-20-3053</t>
  </si>
  <si>
    <t>300(18)20-07-458(O)</t>
  </si>
  <si>
    <t>200(18)20-07-466(O)</t>
  </si>
  <si>
    <t>20infra0801</t>
  </si>
  <si>
    <t>QN-200804-22/ DM-20-0819</t>
  </si>
  <si>
    <t>rfq-37</t>
  </si>
  <si>
    <t>DA7-08-FOD-OA-20-3052</t>
  </si>
  <si>
    <t>RFQ 20-08-047</t>
  </si>
  <si>
    <t>RFQ 2020-08-008</t>
  </si>
  <si>
    <t>2020-G-49</t>
  </si>
  <si>
    <t>2017-14C01</t>
  </si>
  <si>
    <t>GDS-398-2020</t>
  </si>
  <si>
    <t>2020-08-04(PB)</t>
  </si>
  <si>
    <t>RFQ No. 117-2020-G</t>
  </si>
  <si>
    <t>DA7-08-STO-20-3031</t>
  </si>
  <si>
    <t>PBG-2020-34</t>
  </si>
  <si>
    <t>G2020-08-011E</t>
  </si>
  <si>
    <t>PR-4</t>
  </si>
  <si>
    <t>RFQ No. 118-2020-G</t>
  </si>
  <si>
    <t>RFQ-8-7-2020</t>
  </si>
  <si>
    <t>MNHS RFQ 2020-008-047</t>
  </si>
  <si>
    <t>RFQ-08-07-20-13</t>
  </si>
  <si>
    <t>2020-23-001</t>
  </si>
  <si>
    <t>BSU Project No. 2020-294</t>
  </si>
  <si>
    <t>NP-2020-45</t>
  </si>
  <si>
    <t>8007012020</t>
  </si>
  <si>
    <t>PR No. 20-08-282</t>
  </si>
  <si>
    <t>2020-08-008</t>
  </si>
  <si>
    <t>NP-SVP-401-2020</t>
  </si>
  <si>
    <t>2020-08-05(PB)</t>
  </si>
  <si>
    <t>RFQ No. 119-2020-G</t>
  </si>
  <si>
    <t>2020-033 ILI</t>
  </si>
  <si>
    <t>2020-08-003</t>
  </si>
  <si>
    <t>BAYLE0820AMP074</t>
  </si>
  <si>
    <t>RFQ No. 121-2020-G</t>
  </si>
  <si>
    <t>2020-08-03(PB)</t>
  </si>
  <si>
    <t>07061420</t>
  </si>
  <si>
    <t>2020-06-022, 06-017, 01-194, 07-096 &amp; 02-038</t>
  </si>
  <si>
    <t>RFQ No. 123-2020-G</t>
  </si>
  <si>
    <t>NP-SVP-399-2020</t>
  </si>
  <si>
    <t>NP-SVP-402-2020</t>
  </si>
  <si>
    <t>C-127-2020</t>
  </si>
  <si>
    <t>2020-08-006</t>
  </si>
  <si>
    <t>20-08-151</t>
  </si>
  <si>
    <t>20-07-17</t>
  </si>
  <si>
    <t>PEU-0723-2020</t>
  </si>
  <si>
    <t>RFQ No. 122-2020-G</t>
  </si>
  <si>
    <t>smwd08072020-7162821</t>
  </si>
  <si>
    <t>2020-0101</t>
  </si>
  <si>
    <t>C-132-2020</t>
  </si>
  <si>
    <t>2020-08-005</t>
  </si>
  <si>
    <t>20GFH0025</t>
  </si>
  <si>
    <t>2020-06-062 to 064 and 027H</t>
  </si>
  <si>
    <t>872020</t>
  </si>
  <si>
    <t>677-2020</t>
  </si>
  <si>
    <t>675-2020</t>
  </si>
  <si>
    <t>SVP-118-2020</t>
  </si>
  <si>
    <t>PR-2020</t>
  </si>
  <si>
    <t>1011-20-205</t>
  </si>
  <si>
    <t>20-08-004</t>
  </si>
  <si>
    <t>20-08-424</t>
  </si>
  <si>
    <t>20-CRG-20-08-1127</t>
  </si>
  <si>
    <t>672-2020</t>
  </si>
  <si>
    <t>DA3-2020-21-08-04</t>
  </si>
  <si>
    <t>STC-INFRA-008-2020</t>
  </si>
  <si>
    <t>674-2020</t>
  </si>
  <si>
    <t>2020-PLA-083</t>
  </si>
  <si>
    <t>NP-SVP-400-2020</t>
  </si>
  <si>
    <t>2020-08-277</t>
  </si>
  <si>
    <t>BP-080720-032</t>
  </si>
  <si>
    <t>C-138-2020</t>
  </si>
  <si>
    <t>2020-43</t>
  </si>
  <si>
    <t>smwd08072020-7162837</t>
  </si>
  <si>
    <t>C-134-2020</t>
  </si>
  <si>
    <t>ERVHS-2020-08-11</t>
  </si>
  <si>
    <t>C-136-2020</t>
  </si>
  <si>
    <t>2020-08-002</t>
  </si>
  <si>
    <t>P.R. No. X7-20-07-279</t>
  </si>
  <si>
    <t>2020-08-2972</t>
  </si>
  <si>
    <t>2020-SVP-335</t>
  </si>
  <si>
    <t>P.R. No. X11-20-06-264</t>
  </si>
  <si>
    <t>112-2020</t>
  </si>
  <si>
    <t>C-135-2020</t>
  </si>
  <si>
    <t>RFQ 2020-08-012</t>
  </si>
  <si>
    <t>SVP-119-2020</t>
  </si>
  <si>
    <t>2020-012</t>
  </si>
  <si>
    <t>IP-2020-06</t>
  </si>
  <si>
    <t>C-122-2020</t>
  </si>
  <si>
    <t>P.R. No. X1-20-05-216</t>
  </si>
  <si>
    <t>2020-PLA-084</t>
  </si>
  <si>
    <t>TCW-2020-08-05-045</t>
  </si>
  <si>
    <t>08-07-2020-12</t>
  </si>
  <si>
    <t>20-07-0536</t>
  </si>
  <si>
    <t>673-2020</t>
  </si>
  <si>
    <t>Project 54a Corporate Fund</t>
  </si>
  <si>
    <t>R2020-08-337</t>
  </si>
  <si>
    <t>SVP 20-0319-A</t>
  </si>
  <si>
    <t>2020-011</t>
  </si>
  <si>
    <t>Aklan BAC ITB 444 Series of 2020</t>
  </si>
  <si>
    <t>C-131-2020</t>
  </si>
  <si>
    <t>C-133-2020</t>
  </si>
  <si>
    <t>Project No. 2020-37</t>
  </si>
  <si>
    <t>Project 54B Corporate Fund</t>
  </si>
  <si>
    <t>08-07-2020-11</t>
  </si>
  <si>
    <t>RFQ 2020-08-013</t>
  </si>
  <si>
    <t>2020-09-11</t>
  </si>
  <si>
    <t>BARANGAY STA. CRUZ 8</t>
  </si>
  <si>
    <t>RFQ-0001</t>
  </si>
  <si>
    <t>20CSBF0004</t>
  </si>
  <si>
    <t>C-139-2020</t>
  </si>
  <si>
    <t>LGUPROC 2020 -168N</t>
  </si>
  <si>
    <t>001</t>
  </si>
  <si>
    <t>SRWD-GOODS-SVP-17-2020</t>
  </si>
  <si>
    <t>RFQ.2020-010</t>
  </si>
  <si>
    <t>20-03-518</t>
  </si>
  <si>
    <t>SVP 20-0349</t>
  </si>
  <si>
    <t>RTF-06C Trust Fund</t>
  </si>
  <si>
    <t>INFRA 2020-18</t>
  </si>
  <si>
    <t>RFQ 2020-70</t>
  </si>
  <si>
    <t>PVAO-RFQ-44-DISINFECTIONSERVICES-2020</t>
  </si>
  <si>
    <t>2020-08-0145</t>
  </si>
  <si>
    <t>20-07-0541</t>
  </si>
  <si>
    <t>2020-06-1268</t>
  </si>
  <si>
    <t>2020-07-371-1ME</t>
  </si>
  <si>
    <t>2020-07-421-ME</t>
  </si>
  <si>
    <t>none</t>
  </si>
  <si>
    <t>2020-297</t>
  </si>
  <si>
    <t>SVP 20-0351</t>
  </si>
  <si>
    <t>RTF-06A Trust Fund</t>
  </si>
  <si>
    <t>RFQ-049-20</t>
  </si>
  <si>
    <t>RTF-06D Trust Fund</t>
  </si>
  <si>
    <t>SVP-092-2020</t>
  </si>
  <si>
    <t>200045</t>
  </si>
  <si>
    <t>20-08-0552</t>
  </si>
  <si>
    <t>Aklan BAC ITB 426 Series of 2020</t>
  </si>
  <si>
    <t>2020-08-MAO-GF-0032</t>
  </si>
  <si>
    <t>San Jose 2020-01</t>
  </si>
  <si>
    <t>C-126-2020</t>
  </si>
  <si>
    <t>SVP 20-08-166</t>
  </si>
  <si>
    <t>Goods-2020-186</t>
  </si>
  <si>
    <t>2020-271</t>
  </si>
  <si>
    <t>MNHS RFQ-2020-007-043</t>
  </si>
  <si>
    <t>329A-07-2020-101</t>
  </si>
  <si>
    <t>321A-07-2020-101</t>
  </si>
  <si>
    <t>NEDA-CAR 2020-08-6</t>
  </si>
  <si>
    <t>MNHS RFQ-2020-007-044</t>
  </si>
  <si>
    <t>BLGU-Incarizan-2020-36.1</t>
  </si>
  <si>
    <t>SM 20-0353</t>
  </si>
  <si>
    <t>2020-307</t>
  </si>
  <si>
    <t>P-0860</t>
  </si>
  <si>
    <t>20-07-0539</t>
  </si>
  <si>
    <t>SVP 20-0352</t>
  </si>
  <si>
    <t>ITB No. 109-Brgy-2020</t>
  </si>
  <si>
    <t>P-0863</t>
  </si>
  <si>
    <t>2020-08-1857</t>
  </si>
  <si>
    <t>P.R No. 101.20.07.026</t>
  </si>
  <si>
    <t>SVP 20-1252-2</t>
  </si>
  <si>
    <t>SVP 20-0355</t>
  </si>
  <si>
    <t>S-20-007</t>
  </si>
  <si>
    <t>0001-2020</t>
  </si>
  <si>
    <t>P-0865</t>
  </si>
  <si>
    <t>ITB No. 0110-Infra-2020</t>
  </si>
  <si>
    <t>2020-08-02</t>
  </si>
  <si>
    <t>200(01)20-08-010(C)</t>
  </si>
  <si>
    <t>2020-07-634</t>
  </si>
  <si>
    <t>2020-25</t>
  </si>
  <si>
    <t>RFQ No.: BIR-RR11-2020-016</t>
  </si>
  <si>
    <t>ITB No. 108-Brgy-2020</t>
  </si>
  <si>
    <t>P-0864</t>
  </si>
  <si>
    <t>2020-07-624</t>
  </si>
  <si>
    <t>2020-07-411</t>
  </si>
  <si>
    <t>RFQ No.: BIR-RR11-2020-019</t>
  </si>
  <si>
    <t>2020-07-633</t>
  </si>
  <si>
    <t>RTF-06B Trust Fund</t>
  </si>
  <si>
    <t>RFQ No.: BIR-RR11-2020-018</t>
  </si>
  <si>
    <t>SVP 20-1252-3</t>
  </si>
  <si>
    <t>19-12-00725 (late posting)</t>
  </si>
  <si>
    <t>0821-071</t>
  </si>
  <si>
    <t>ERVHS 2020-08-12</t>
  </si>
  <si>
    <t>2020-07-642</t>
  </si>
  <si>
    <t>BIDAY-004-20</t>
  </si>
  <si>
    <t>20-08-007</t>
  </si>
  <si>
    <t>2020-07-635</t>
  </si>
  <si>
    <t>PR-822</t>
  </si>
  <si>
    <t>B20-07-36-BAL-NC PAPS</t>
  </si>
  <si>
    <t>tomitom 2020-04</t>
  </si>
  <si>
    <t>2020-113</t>
  </si>
  <si>
    <t>B-20-34</t>
  </si>
  <si>
    <t>RFQ DENR-BATAAN-2020-19</t>
  </si>
  <si>
    <t>B-G-2020-112</t>
  </si>
  <si>
    <t>SVP 20-0354</t>
  </si>
  <si>
    <t>PG-RFQ-2020-07-23</t>
  </si>
  <si>
    <t>BSU Project No. 2020-295</t>
  </si>
  <si>
    <t>SVP 20-1295</t>
  </si>
  <si>
    <t>RFQ DENR-BATAAN-2020-18</t>
  </si>
  <si>
    <t>RFQ # 20-152</t>
  </si>
  <si>
    <t>2020-272A</t>
  </si>
  <si>
    <t>RFQ # 20-151</t>
  </si>
  <si>
    <t>RFQ # 20-154</t>
  </si>
  <si>
    <t>SVP 20-1300</t>
  </si>
  <si>
    <t>RFQ # 20-153</t>
  </si>
  <si>
    <t>2020-08-03</t>
  </si>
  <si>
    <t>PR-790</t>
  </si>
  <si>
    <t>0821-072</t>
  </si>
  <si>
    <t>20-08-006</t>
  </si>
  <si>
    <t>19-12-00663 (late posting)</t>
  </si>
  <si>
    <t>2020-g-08-001</t>
  </si>
  <si>
    <t>2020-7-29-282</t>
  </si>
  <si>
    <t>GSV2020-08-035</t>
  </si>
  <si>
    <t>PR No. 20-08-285</t>
  </si>
  <si>
    <t>2020-12</t>
  </si>
  <si>
    <t>B-20-35</t>
  </si>
  <si>
    <t>20-01-00054</t>
  </si>
  <si>
    <t>20-06-050</t>
  </si>
  <si>
    <t>RFQ DENR-BATAAN-2020-21</t>
  </si>
  <si>
    <t>PG-RFQ-2020-07-24</t>
  </si>
  <si>
    <t>VIN BAC 053-2020</t>
  </si>
  <si>
    <t>PG-RFQ-2020-07-25</t>
  </si>
  <si>
    <t>0821-073</t>
  </si>
  <si>
    <t>2020-087-snq</t>
  </si>
  <si>
    <t>2020-037</t>
  </si>
  <si>
    <t>2020-09</t>
  </si>
  <si>
    <t>RFQ-17-2020</t>
  </si>
  <si>
    <t>P-0861</t>
  </si>
  <si>
    <t>MCIAA 08-641-20</t>
  </si>
  <si>
    <t>DARFO2.CVRC.115.REC.2020-08-1040.00</t>
  </si>
  <si>
    <t>2020-013</t>
  </si>
  <si>
    <t>PG-RFQ-2020-07-26</t>
  </si>
  <si>
    <t>2008045</t>
  </si>
  <si>
    <t>339-A-07-2020-101</t>
  </si>
  <si>
    <t>19-08-00345 (LATE POSTING)</t>
  </si>
  <si>
    <t>8-7-2020</t>
  </si>
  <si>
    <t>2020infra-08-001</t>
  </si>
  <si>
    <t>678-2020</t>
  </si>
  <si>
    <t>S-404-2020</t>
  </si>
  <si>
    <t>2020-272B</t>
  </si>
  <si>
    <t>B-G-2020-113</t>
  </si>
  <si>
    <t>2020-07-0495</t>
  </si>
  <si>
    <t>20N00116</t>
  </si>
  <si>
    <t>RFQ 2020 - 08 - 039 Construction of Concrete Stair</t>
  </si>
  <si>
    <t>2020-112</t>
  </si>
  <si>
    <t>2020-01-9991-74</t>
  </si>
  <si>
    <t>BIDAY-003-20</t>
  </si>
  <si>
    <t>RFQ DENR-BATAAN-2020-20</t>
  </si>
  <si>
    <t>2020JO-008-004</t>
  </si>
  <si>
    <t>10</t>
  </si>
  <si>
    <t>BAYLE0820AMP0793</t>
  </si>
  <si>
    <t>B-G-2020-048</t>
  </si>
  <si>
    <t>2020-42</t>
  </si>
  <si>
    <t>2020-07-9000 Axitromycin Dihydrate 500 MG Powder (</t>
  </si>
  <si>
    <t>RFQ No.: BIR-RR11-2020-017</t>
  </si>
  <si>
    <t>GEPS- 2020-001</t>
  </si>
  <si>
    <t>DARFO2.CVRC.115.REC.2020-08-1041.00</t>
  </si>
  <si>
    <t>08312020-119</t>
  </si>
  <si>
    <t>CP 2020-58 B</t>
  </si>
  <si>
    <t>P-0866</t>
  </si>
  <si>
    <t>RFQ No.: BIR-RR11-2020-021</t>
  </si>
  <si>
    <t>GSV2020-08-034</t>
  </si>
  <si>
    <t>MUNPINCE-2008-140</t>
  </si>
  <si>
    <t>BAC-SI-2020-08-11</t>
  </si>
  <si>
    <t>2020-06-1369,2020-06-1389 etc</t>
  </si>
  <si>
    <t>TALB-08-12-2020</t>
  </si>
  <si>
    <t>SVP 20-0356</t>
  </si>
  <si>
    <t>RFQ No.: BIR-RR11-2020-020</t>
  </si>
  <si>
    <t>S-405-2020</t>
  </si>
  <si>
    <t>20-08-0811</t>
  </si>
  <si>
    <t>2020-06-0126</t>
  </si>
  <si>
    <t>202056</t>
  </si>
  <si>
    <t>BAC-SI-2020-08-09</t>
  </si>
  <si>
    <t>GS-2020-055</t>
  </si>
  <si>
    <t>BARASRIZAL2020-034</t>
  </si>
  <si>
    <t>MUNPINCE-2008-144</t>
  </si>
  <si>
    <t>MUNPINCE-2008-143</t>
  </si>
  <si>
    <t>ITB INFRA-033-2020</t>
  </si>
  <si>
    <t>Goods-16-2020</t>
  </si>
  <si>
    <t>RFQ 2020-08-032</t>
  </si>
  <si>
    <t>PR 2020-08-324</t>
  </si>
  <si>
    <t>BAC-SI-2020-08-15</t>
  </si>
  <si>
    <t>BAC-SI-2020-08-14</t>
  </si>
  <si>
    <t>Infra Projects 24-2020</t>
  </si>
  <si>
    <t>2020-01-1011-75</t>
  </si>
  <si>
    <t>MUNPINCE-2008-142</t>
  </si>
  <si>
    <t>B-G-2020-115</t>
  </si>
  <si>
    <t>BAC-SI-2020-08-12</t>
  </si>
  <si>
    <t>ITB2020-008</t>
  </si>
  <si>
    <t>MUNPINCE-2008-141</t>
  </si>
  <si>
    <t>IP-20-07-0184</t>
  </si>
  <si>
    <t>ITB2020-006</t>
  </si>
  <si>
    <t>BAC-SI-2020-08-13</t>
  </si>
  <si>
    <t>2020-07-425</t>
  </si>
  <si>
    <t>Goods-15-2020</t>
  </si>
  <si>
    <t>TALB-08-11-2020</t>
  </si>
  <si>
    <t>2020-08-139</t>
  </si>
  <si>
    <t>ITB2020-007</t>
  </si>
  <si>
    <t>202057</t>
  </si>
  <si>
    <t>LG2020MP</t>
  </si>
  <si>
    <t>2020-08-480</t>
  </si>
  <si>
    <t>2020-07-377-</t>
  </si>
  <si>
    <t>ITB 05-002-20</t>
  </si>
  <si>
    <t>Goods-2020-187</t>
  </si>
  <si>
    <t>HERRERA 2020-002</t>
  </si>
  <si>
    <t>SVP 20-1252-1</t>
  </si>
  <si>
    <t>2020-005G</t>
  </si>
  <si>
    <t>P-0862</t>
  </si>
  <si>
    <t>B-G-2020-114</t>
  </si>
  <si>
    <t>202055</t>
  </si>
  <si>
    <t>142020</t>
  </si>
  <si>
    <t>3</t>
  </si>
  <si>
    <t>P-0859</t>
  </si>
  <si>
    <t>R2020-08-338</t>
  </si>
  <si>
    <t>BAC-SI-2020-08-10</t>
  </si>
  <si>
    <t>062A-2020</t>
  </si>
  <si>
    <t>060A-2020</t>
  </si>
  <si>
    <t>062B-2020</t>
  </si>
  <si>
    <t>059-2020</t>
  </si>
  <si>
    <t>2020-01-1011-76</t>
  </si>
  <si>
    <t>060B-2020</t>
  </si>
  <si>
    <t>ITB2020-010</t>
  </si>
  <si>
    <t>20gso_535</t>
  </si>
  <si>
    <t>ITB-2020-001</t>
  </si>
  <si>
    <t>ITB2020-009</t>
  </si>
  <si>
    <t>NCIP-2020-08-027</t>
  </si>
  <si>
    <t>NCIP-2020-08-026</t>
  </si>
  <si>
    <t>NCIP-2020-08-025</t>
  </si>
  <si>
    <t>PR#100-20-08-086</t>
  </si>
  <si>
    <t>MUNPINCE-2008-146</t>
  </si>
  <si>
    <t>NCIP-2020-08-028</t>
  </si>
  <si>
    <t>RFQ#013-2020-08</t>
  </si>
  <si>
    <t>2020DBSHS 08-11</t>
  </si>
  <si>
    <t>2020DBSHS 08-12</t>
  </si>
  <si>
    <t>pvnhsjhs080720-01</t>
  </si>
  <si>
    <t>CGDNELZN-2020-08-003</t>
  </si>
  <si>
    <t>NCIP-2020-08-023</t>
  </si>
  <si>
    <t>2020-121</t>
  </si>
  <si>
    <t>2020-06-0659, 2020-06-0667, etc.</t>
  </si>
  <si>
    <t>NCIP-2020-08-024</t>
  </si>
  <si>
    <t>PGL-20 NEGO-17-08</t>
  </si>
  <si>
    <t>2020DBSHD 08-13</t>
  </si>
  <si>
    <t>PGL-20 NEGO-15-08</t>
  </si>
  <si>
    <t>INFRA2020-CMD-021 Construction of Fire Hydrant Sys</t>
  </si>
  <si>
    <t>RFQ-18-2020 LOT 1</t>
  </si>
  <si>
    <t>2020-120</t>
  </si>
  <si>
    <t>PGL-20 S-16-08</t>
  </si>
  <si>
    <t>2</t>
  </si>
  <si>
    <t>itb no. 2020-24</t>
  </si>
  <si>
    <t>itb no. 2020-25</t>
  </si>
  <si>
    <t>2020-08-04</t>
  </si>
  <si>
    <t>2020-08-016</t>
  </si>
  <si>
    <t>BARANGAY SAN JUAN 2020-01</t>
  </si>
  <si>
    <t>CW-ALPIP-05-2020</t>
  </si>
  <si>
    <t>ITB-2020-08-04 CW</t>
  </si>
  <si>
    <t>Barangay Lakip Atimonan, Quezon 2020-</t>
  </si>
  <si>
    <t>2020-08-015</t>
  </si>
  <si>
    <t>2020-0808</t>
  </si>
  <si>
    <t>JHV-20-08-0668</t>
  </si>
  <si>
    <t>293-7</t>
  </si>
  <si>
    <t>2020-122</t>
  </si>
  <si>
    <t>293-6</t>
  </si>
  <si>
    <t>2020-08-08</t>
  </si>
  <si>
    <t>Barangay Sokol Atimonan, Quezon 2020-</t>
  </si>
  <si>
    <t>20-0164</t>
  </si>
  <si>
    <t>20-0163</t>
  </si>
  <si>
    <t>PGL-20 NEGO-18-08</t>
  </si>
  <si>
    <t>20-0161</t>
  </si>
  <si>
    <t>GOODS- 07</t>
  </si>
  <si>
    <t>20-0159</t>
  </si>
  <si>
    <t>20-0158</t>
  </si>
  <si>
    <t>PR 2020 - 04</t>
  </si>
  <si>
    <t>MOP-2020-02</t>
  </si>
  <si>
    <t>GOODS2020-069</t>
  </si>
  <si>
    <t>ITB-2020-08-03 bayambang</t>
  </si>
  <si>
    <t>GOODS2020-068</t>
  </si>
  <si>
    <t>02-08-05-2020</t>
  </si>
  <si>
    <t>MOP-2020-01</t>
  </si>
  <si>
    <t>IB 2020-32</t>
  </si>
  <si>
    <t>EMBCAR-2020-8-46</t>
  </si>
  <si>
    <t>MOP-2020-11</t>
  </si>
  <si>
    <t>MOP-2020-09</t>
  </si>
  <si>
    <t>MOOE20203RDQUARTER</t>
  </si>
  <si>
    <t>ITB 2020-001</t>
  </si>
  <si>
    <t>20-0162</t>
  </si>
  <si>
    <t>Salvador-2020-08-001</t>
  </si>
  <si>
    <t>2020-08-0004</t>
  </si>
  <si>
    <t>CY 2020-08-G001</t>
  </si>
  <si>
    <t>MOP-2020-06</t>
  </si>
  <si>
    <t>08072020</t>
  </si>
  <si>
    <t>20-0160</t>
  </si>
  <si>
    <t>kal-2020-08-53</t>
  </si>
  <si>
    <t>kal-2020-08-52</t>
  </si>
  <si>
    <t>MOP-2020-07</t>
  </si>
  <si>
    <t>brgy.mangga 2020-1</t>
  </si>
  <si>
    <t>2020-08-004</t>
  </si>
  <si>
    <t>2020-08-09-01</t>
  </si>
  <si>
    <t>2020 -Mandaluyong -05</t>
  </si>
  <si>
    <t>002</t>
  </si>
  <si>
    <t>2020-08-179</t>
  </si>
  <si>
    <t>123452</t>
  </si>
  <si>
    <t>brgy.tula-tula 2020-1</t>
  </si>
  <si>
    <t>123451</t>
  </si>
  <si>
    <t>Geps-2020-002</t>
  </si>
  <si>
    <t>brgy.vigaan 2020-3</t>
  </si>
  <si>
    <t>2020-008</t>
  </si>
  <si>
    <t>MOB-BAC-2020-08-016-Goods (SVP)</t>
  </si>
  <si>
    <t>GOODS2020-067</t>
  </si>
  <si>
    <t>MP-080920-069</t>
  </si>
  <si>
    <t>kal-2020-08-54</t>
  </si>
  <si>
    <t>2020-infr-001</t>
  </si>
  <si>
    <t>Barangay Anahaw 2020-08-001</t>
  </si>
  <si>
    <t>MP-080920-073</t>
  </si>
  <si>
    <t>MBAC2020-01</t>
  </si>
  <si>
    <t>2020-009</t>
  </si>
  <si>
    <t>202021</t>
  </si>
  <si>
    <t>08-09-2020-02</t>
  </si>
  <si>
    <t>2020-0016</t>
  </si>
  <si>
    <t>301458-2020-08-001</t>
  </si>
  <si>
    <t>2020-3Q045</t>
  </si>
  <si>
    <t>MP-080920-074</t>
  </si>
  <si>
    <t>2020-010</t>
  </si>
  <si>
    <t>MP-080920-072</t>
  </si>
  <si>
    <t>2020-015</t>
  </si>
  <si>
    <t>BalatocES-2020</t>
  </si>
  <si>
    <t>2020-014</t>
  </si>
  <si>
    <t>ViracES-2020</t>
  </si>
  <si>
    <t>MP080920-070</t>
  </si>
  <si>
    <t>MP-080920-071</t>
  </si>
  <si>
    <t>SF-08-1</t>
  </si>
  <si>
    <t>20-08-001</t>
  </si>
  <si>
    <t>RFQ-ONLINE PATENT DATABASE PR#20-08-0055</t>
  </si>
  <si>
    <t>TAPI-RFQ2020-012</t>
  </si>
  <si>
    <t>DOH4A-ITB-2020-GS-009C-1 HFEP EQUIPMENT PACKAGE 3</t>
  </si>
  <si>
    <t>MP-080920-075</t>
  </si>
  <si>
    <t>09177003180</t>
  </si>
  <si>
    <t>PNHS-14-2020</t>
  </si>
  <si>
    <t>TAPI-RFQ2020-011</t>
  </si>
  <si>
    <t>PNHS-13-2020</t>
  </si>
  <si>
    <t>TAPI-RFQ2020-010</t>
  </si>
  <si>
    <t>2020-07-31-01</t>
  </si>
  <si>
    <t>PB No. 20-025-1</t>
  </si>
  <si>
    <t>2020-122-003</t>
  </si>
  <si>
    <t>DAL-2020-01</t>
  </si>
  <si>
    <t>20-07-535</t>
  </si>
  <si>
    <t>BAC PB 2019 - 44</t>
  </si>
  <si>
    <t>Goods 2020-025(NP)</t>
  </si>
  <si>
    <t>RFQ NO. EMB-AFMD-0107-08-7-2020- 2020-0591</t>
  </si>
  <si>
    <t>2020-06</t>
  </si>
  <si>
    <t>IB-2020-IX-01-01 CONSTRUCTION OF FEEDMILL</t>
  </si>
  <si>
    <t>2020-3Q046</t>
  </si>
  <si>
    <t>20-07-597</t>
  </si>
  <si>
    <t>CGB-2020-08-003</t>
  </si>
  <si>
    <t>RFQ NO. EMB-EEID-SHOPPING-G-112-8-7-2020 2020-0722</t>
  </si>
  <si>
    <t>DTR&amp;TVIFAF-CLUSTER2-082020</t>
  </si>
  <si>
    <t>2020-117</t>
  </si>
  <si>
    <t>SVP 56</t>
  </si>
  <si>
    <t>goods 2020-024(NP)</t>
  </si>
  <si>
    <t>20-08-172</t>
  </si>
  <si>
    <t>08092020</t>
  </si>
  <si>
    <t>2020-81</t>
  </si>
  <si>
    <t>CGB-2020-08-004</t>
  </si>
  <si>
    <t>2020-3Q049</t>
  </si>
  <si>
    <t>2020-07-008-C2-PR</t>
  </si>
  <si>
    <t>2020-78</t>
  </si>
  <si>
    <t>2020-77</t>
  </si>
  <si>
    <t>geps-2020-0001</t>
  </si>
  <si>
    <t>8-10-2020SGD5</t>
  </si>
  <si>
    <t>2020-80</t>
  </si>
  <si>
    <t>EMBCAR-2020-8-49</t>
  </si>
  <si>
    <t>Barangay 03-2020</t>
  </si>
  <si>
    <t>CAL-1-302604-3-20</t>
  </si>
  <si>
    <t>2020-3Q047</t>
  </si>
  <si>
    <t>ITB No. 2020-08-059</t>
  </si>
  <si>
    <t>08-2020-023</t>
  </si>
  <si>
    <t>2020-CCTV-002</t>
  </si>
  <si>
    <t>RFQ-2020-001</t>
  </si>
  <si>
    <t>RFQ No. 2020-SVP-049</t>
  </si>
  <si>
    <t>Barangay 04-2020</t>
  </si>
  <si>
    <t>2020-3Q051</t>
  </si>
  <si>
    <t>4</t>
  </si>
  <si>
    <t>2020-MUN-GF-GOODS-024</t>
  </si>
  <si>
    <t>RFQ NO. EMB-EEID-SHOPPING-G-110-8-7-2020 2020-0635</t>
  </si>
  <si>
    <t>JHS2020-08-02</t>
  </si>
  <si>
    <t>2020-MUN-BAYANIHAN-08</t>
  </si>
  <si>
    <t>2020-DEPED-ICT-A</t>
  </si>
  <si>
    <t>EAMJULY21-2020(2)</t>
  </si>
  <si>
    <t>2020-DEPED-ICT-B</t>
  </si>
  <si>
    <t>2020-3Q048</t>
  </si>
  <si>
    <t>RSSTHS-2020-08-11</t>
  </si>
  <si>
    <t>2020-SBO-CONST</t>
  </si>
  <si>
    <t>2020-79</t>
  </si>
  <si>
    <t>2020-3Q050</t>
  </si>
  <si>
    <t>20-08-187</t>
  </si>
  <si>
    <t>RFQ-2020-002</t>
  </si>
  <si>
    <t>2020-WTP-CALATEGAS-002</t>
  </si>
  <si>
    <t>2020-08-07-002</t>
  </si>
  <si>
    <t>2020-004</t>
  </si>
  <si>
    <t>20-08-188</t>
  </si>
  <si>
    <t>Barangay Camanchiles 2020-001</t>
  </si>
  <si>
    <t>2020-G03</t>
  </si>
  <si>
    <t>RMHS-2020-08-35</t>
  </si>
  <si>
    <t>20-08-301</t>
  </si>
  <si>
    <t>2020-82</t>
  </si>
  <si>
    <t>07-2020-1084</t>
  </si>
  <si>
    <t>20-08-299</t>
  </si>
  <si>
    <t>Nasugbu 1006-1045-1059</t>
  </si>
  <si>
    <t>20-08-298</t>
  </si>
  <si>
    <t>2020-08-10-01</t>
  </si>
  <si>
    <t>2008</t>
  </si>
  <si>
    <t>RSSTHS-2020-08-10</t>
  </si>
  <si>
    <t>LGU-100-2020-08-858</t>
  </si>
  <si>
    <t>20-08-297</t>
  </si>
  <si>
    <t>LGU-100-2020-08-G-855</t>
  </si>
  <si>
    <t>20-08-300</t>
  </si>
  <si>
    <t>PR#34</t>
  </si>
  <si>
    <t>202008016</t>
  </si>
  <si>
    <t>LGU-100-2020-08-857</t>
  </si>
  <si>
    <t>Nasugbu 0960-0932</t>
  </si>
  <si>
    <t>2020-TREASURY-CVAN-002</t>
  </si>
  <si>
    <t>2020-WTP-P.URDUJA-002</t>
  </si>
  <si>
    <t>2020-FOL-3Q</t>
  </si>
  <si>
    <t>20-08-002</t>
  </si>
  <si>
    <t>8-20-02</t>
  </si>
  <si>
    <t>RFQ NO. EMB-EEID-SHOPPING-G-111-8-7-2020 2020-0218</t>
  </si>
  <si>
    <t>SVP 54</t>
  </si>
  <si>
    <t>JHS2020-08-01</t>
  </si>
  <si>
    <t>2020-224</t>
  </si>
  <si>
    <t>MP-080920-076</t>
  </si>
  <si>
    <t>MP-080920-068</t>
  </si>
  <si>
    <t>geps-2020-001</t>
  </si>
  <si>
    <t>PR20-RHUMED-0912AUG001</t>
  </si>
  <si>
    <t>19-11-033</t>
  </si>
  <si>
    <t>INFR 2020-04</t>
  </si>
  <si>
    <t>2020-02-006</t>
  </si>
  <si>
    <t>RNHS - 2020-08-0043</t>
  </si>
  <si>
    <t>2020-07-017</t>
  </si>
  <si>
    <t>2020-08-032</t>
  </si>
  <si>
    <t>2020-ASSESSOR-001</t>
  </si>
  <si>
    <t>2020-03</t>
  </si>
  <si>
    <t>PB-20-443</t>
  </si>
  <si>
    <t>PB-20-442</t>
  </si>
  <si>
    <t>PB-20-441</t>
  </si>
  <si>
    <t>2020-08-031</t>
  </si>
  <si>
    <t>2020-16</t>
  </si>
  <si>
    <t>2020-07-0092</t>
  </si>
  <si>
    <t>PB-20-444</t>
  </si>
  <si>
    <t>2020-17</t>
  </si>
  <si>
    <t>N131-2020</t>
  </si>
  <si>
    <t>2020-07-0091</t>
  </si>
  <si>
    <t>N20-MO-120</t>
  </si>
  <si>
    <t>SSU-20-08-09</t>
  </si>
  <si>
    <t>030-2020</t>
  </si>
  <si>
    <t>5</t>
  </si>
  <si>
    <t>PR-2020-08-002</t>
  </si>
  <si>
    <t>2020-026</t>
  </si>
  <si>
    <t>MGPIN-2020-08-085</t>
  </si>
  <si>
    <t>2020-FOL-LANDFILL-001</t>
  </si>
  <si>
    <t>20-05-0545</t>
  </si>
  <si>
    <t>PB20200807-045</t>
  </si>
  <si>
    <t>PR2020-08-0017</t>
  </si>
  <si>
    <t>PR2020-08-0016</t>
  </si>
  <si>
    <t>20-014</t>
  </si>
  <si>
    <t>JHS2020-08-03</t>
  </si>
  <si>
    <t>20-05-0550</t>
  </si>
  <si>
    <t>3449-20</t>
  </si>
  <si>
    <t>3448-20</t>
  </si>
  <si>
    <t>2020-07-0085</t>
  </si>
  <si>
    <t>3633-20</t>
  </si>
  <si>
    <t>2268-20</t>
  </si>
  <si>
    <t>2020-56</t>
  </si>
  <si>
    <t>3334-20</t>
  </si>
  <si>
    <t>ISQ 2020-08-003</t>
  </si>
  <si>
    <t>NONE</t>
  </si>
  <si>
    <t>2020-028</t>
  </si>
  <si>
    <t>03080620</t>
  </si>
  <si>
    <t>2542-20</t>
  </si>
  <si>
    <t>2020-027</t>
  </si>
  <si>
    <t>2476-20</t>
  </si>
  <si>
    <t>MGPIN-2020-08-084</t>
  </si>
  <si>
    <t>2247-20</t>
  </si>
  <si>
    <t>SSU-20-08-08</t>
  </si>
  <si>
    <t>CRN 2020-07</t>
  </si>
  <si>
    <t>N130-2020</t>
  </si>
  <si>
    <t>2020-07-0093</t>
  </si>
  <si>
    <t>PB-20-211</t>
  </si>
  <si>
    <t>MP-080920-067</t>
  </si>
  <si>
    <t>LGUBS-CW-20-1376</t>
  </si>
  <si>
    <t>2020 -Mandaluyong -04</t>
  </si>
  <si>
    <t>202007015</t>
  </si>
  <si>
    <t>MGPIN-2020-08-082</t>
  </si>
  <si>
    <t>8989899</t>
  </si>
  <si>
    <t>ITB NO. 2020-0019</t>
  </si>
  <si>
    <t>TAGPO-2020-001</t>
  </si>
  <si>
    <t>2020-08-7-01</t>
  </si>
  <si>
    <t>2020-08-013</t>
  </si>
  <si>
    <t>MUNPINCE-2008-145</t>
  </si>
  <si>
    <t>MNE-G-2020-08-21</t>
  </si>
  <si>
    <t>bir pb 2020-32</t>
  </si>
  <si>
    <t>PB-20-438</t>
  </si>
  <si>
    <t>2020-1011-050</t>
  </si>
  <si>
    <t>MPQ-080720-127</t>
  </si>
  <si>
    <t>OSMEÑA 03-2020 - Installation of Solar-Powered LED</t>
  </si>
  <si>
    <t>RFQ 2020-08-16</t>
  </si>
  <si>
    <t>MGPIN-2020-08-083</t>
  </si>
  <si>
    <t>PB-20-437</t>
  </si>
  <si>
    <t>RFQ-2020-101</t>
  </si>
  <si>
    <t>RFQ-2020-99</t>
  </si>
  <si>
    <t>RFQ-2020-97</t>
  </si>
  <si>
    <t>RFQ-2020-96</t>
  </si>
  <si>
    <t>ITB-2020-081</t>
  </si>
  <si>
    <t>ITB-2020-107</t>
  </si>
  <si>
    <t>2020-185</t>
  </si>
  <si>
    <t>RFQ-2020-100</t>
  </si>
  <si>
    <t>2020-007</t>
  </si>
  <si>
    <t>RFQ-2020-98</t>
  </si>
  <si>
    <t>PB20200807-046</t>
  </si>
  <si>
    <t>901BDE-2020-2207-005 Constn Materials and Supplies</t>
  </si>
  <si>
    <t>RFQ-2020-95</t>
  </si>
  <si>
    <t>0868</t>
  </si>
  <si>
    <t>2020-07-06</t>
  </si>
  <si>
    <t>MP-080820-059</t>
  </si>
  <si>
    <t>10CMOBn-2020-03-004 Construction Materials &amp; Suppl</t>
  </si>
  <si>
    <t>NP-TFB-20-004</t>
  </si>
  <si>
    <t>0863</t>
  </si>
  <si>
    <t>2020-184</t>
  </si>
  <si>
    <t>2020-069</t>
  </si>
  <si>
    <t>0932</t>
  </si>
  <si>
    <t>0823</t>
  </si>
  <si>
    <t>MP-080820-058</t>
  </si>
  <si>
    <t>0894</t>
  </si>
  <si>
    <t>SPEDTC-2020-0016</t>
  </si>
  <si>
    <t>0902</t>
  </si>
  <si>
    <t>0891</t>
  </si>
  <si>
    <t>0889</t>
  </si>
  <si>
    <t>0911</t>
  </si>
  <si>
    <t>EMBCAR-2020-07-47</t>
  </si>
  <si>
    <t>MP-080820-057</t>
  </si>
  <si>
    <t>20-08-185/186</t>
  </si>
  <si>
    <t>2020-08-0003</t>
  </si>
  <si>
    <t>MOP-2020-04</t>
  </si>
  <si>
    <t>108207</t>
  </si>
  <si>
    <t>MOP-2020-03</t>
  </si>
  <si>
    <t>20-0165</t>
  </si>
  <si>
    <t>GOODS2020-065</t>
  </si>
  <si>
    <t>MOP-2020-05</t>
  </si>
  <si>
    <t>GOODS2020-064</t>
  </si>
  <si>
    <t>NP-TFB-20-003</t>
  </si>
  <si>
    <t>BARANGAY PISA 2020-01</t>
  </si>
  <si>
    <t>3QOS-07-20</t>
  </si>
  <si>
    <t>2020DBSHS 08-14</t>
  </si>
  <si>
    <t>08-2020-022</t>
  </si>
  <si>
    <t>Barangay San Andres Labak Atimonan, Quezon 2020-</t>
  </si>
  <si>
    <t>BARASRIZAL2020-032</t>
  </si>
  <si>
    <t>BARASRIZAL2020-31</t>
  </si>
  <si>
    <t>2020DBSHS 08-15</t>
  </si>
  <si>
    <t>GOODS2020-066</t>
  </si>
  <si>
    <t>GS-GF-2020-0357</t>
  </si>
  <si>
    <t>EMBCAR-2020-8-48</t>
  </si>
  <si>
    <t>0875</t>
  </si>
  <si>
    <t>2020DBSHS 08-16</t>
  </si>
  <si>
    <t>046</t>
  </si>
  <si>
    <t>GS-GF-2020-0358</t>
  </si>
  <si>
    <t>2020-068</t>
  </si>
  <si>
    <t>PNU - VIS - CW 2020.08.008</t>
  </si>
  <si>
    <t>0869</t>
  </si>
  <si>
    <t>0895</t>
  </si>
  <si>
    <t>MP-080820-063</t>
  </si>
  <si>
    <t>depedilocossur-2020-08-021</t>
  </si>
  <si>
    <t>CW-BKVC-2020-02</t>
  </si>
  <si>
    <t>GS-GF-2020-0356</t>
  </si>
  <si>
    <t>20200808-01</t>
  </si>
  <si>
    <t>PB-GS-2020-013</t>
  </si>
  <si>
    <t>2020-08-0219</t>
  </si>
  <si>
    <t>MP-080820-62</t>
  </si>
  <si>
    <t>0890</t>
  </si>
  <si>
    <t>MP-080820-061</t>
  </si>
  <si>
    <t>101-20-08-266</t>
  </si>
  <si>
    <t>101-20-08-265</t>
  </si>
  <si>
    <t>2020-8711-051</t>
  </si>
  <si>
    <t>RFQ-2020-08-01</t>
  </si>
  <si>
    <t>MP-080820-064</t>
  </si>
  <si>
    <t>CW-BKVC-2020-01</t>
  </si>
  <si>
    <t>20gm0013</t>
  </si>
  <si>
    <t>jayon-Bac-B-08-15-2020</t>
  </si>
  <si>
    <t>0892</t>
  </si>
  <si>
    <t>jayon-Bac-B-08-14-2020</t>
  </si>
  <si>
    <t>20gm0012</t>
  </si>
  <si>
    <t>20GM0008(RE-BID)</t>
  </si>
  <si>
    <t>jayon-B-08-13-2020</t>
  </si>
  <si>
    <t xml:space="preserve">CW-APAYAO-L-01-2020/ NABUANGAN - CUPIZ  MAGLANGAT </t>
  </si>
  <si>
    <t>PB-2020-184-021</t>
  </si>
  <si>
    <t>20-004</t>
  </si>
  <si>
    <t>PB-2020-184-020</t>
  </si>
  <si>
    <t>MP-080820-065</t>
  </si>
  <si>
    <t>20200808-02</t>
  </si>
  <si>
    <t>2020-35</t>
  </si>
  <si>
    <t>2020-1011-052</t>
  </si>
  <si>
    <t>20208.1</t>
  </si>
  <si>
    <t>43DRC-14043</t>
  </si>
  <si>
    <t>2015-001</t>
  </si>
  <si>
    <t>2020-37</t>
  </si>
  <si>
    <t>2020-379, 2020-381</t>
  </si>
  <si>
    <t>2020.08.044</t>
  </si>
  <si>
    <t>SVP-20-0576</t>
  </si>
  <si>
    <t>2020-GE08-0021</t>
  </si>
  <si>
    <t>2020-GE08-0020</t>
  </si>
  <si>
    <t>GepsSHS 2020-07-0021 supplies for Module Reproduct</t>
  </si>
  <si>
    <t>056-GSB50-CY2020</t>
  </si>
  <si>
    <t>DA3-2020-08-04-22</t>
  </si>
  <si>
    <t>depedilocossur-2020-08-022</t>
  </si>
  <si>
    <t>brgy. bulan 2020-2</t>
  </si>
  <si>
    <t>2020-05</t>
  </si>
  <si>
    <t>brgy.bulan 2020-1</t>
  </si>
  <si>
    <t>DA3-2020-08-04-23</t>
  </si>
  <si>
    <t>brgy.manangle 2020-1</t>
  </si>
  <si>
    <t>RFQ-14035</t>
  </si>
  <si>
    <t>RFQ-14038</t>
  </si>
  <si>
    <t>202001030</t>
  </si>
  <si>
    <t>20GM0011</t>
  </si>
  <si>
    <t>202000964</t>
  </si>
  <si>
    <t>PNU - VIS - GD 2020.08.007</t>
  </si>
  <si>
    <t>202001041</t>
  </si>
  <si>
    <t>2020-36</t>
  </si>
  <si>
    <t>202000801</t>
  </si>
  <si>
    <t>2020-08-08-01</t>
  </si>
  <si>
    <t>SVP-20-0587</t>
  </si>
  <si>
    <t>SVP-20-0581</t>
  </si>
  <si>
    <t>SVP-20-0593</t>
  </si>
  <si>
    <t>SVP-20-0589</t>
  </si>
  <si>
    <t>2020-GE08-0022</t>
  </si>
  <si>
    <t>SVP-20-0579</t>
  </si>
  <si>
    <t>SVP-20-0584</t>
  </si>
  <si>
    <t>RFQ-14040</t>
  </si>
  <si>
    <t>RFQ-14020</t>
  </si>
  <si>
    <t>202019</t>
  </si>
  <si>
    <t>2020-476</t>
  </si>
  <si>
    <t>SVP-20-0580</t>
  </si>
  <si>
    <t>RFQ2020-08-01</t>
  </si>
  <si>
    <t>20CSA011</t>
  </si>
  <si>
    <t>SVP-20-0583</t>
  </si>
  <si>
    <t>202001045</t>
  </si>
  <si>
    <t>20-07-22-105</t>
  </si>
  <si>
    <t>2020-08-RFQ-011</t>
  </si>
  <si>
    <t>73511</t>
  </si>
  <si>
    <t>GepsSHS 2020-07-0022 Materials for in-house reprod</t>
  </si>
  <si>
    <t>2020-08-RFQ-010</t>
  </si>
  <si>
    <t>RFQ NO. EMB-SISMS.-SHOPPING-G-109-08-7-2020- PR. N</t>
  </si>
  <si>
    <t>PGES 2020-05-01</t>
  </si>
  <si>
    <t>202020</t>
  </si>
  <si>
    <t>RFQ 20-07-044</t>
  </si>
  <si>
    <t>202001052</t>
  </si>
  <si>
    <t>100-2020-03-448</t>
  </si>
  <si>
    <t>202000751</t>
  </si>
  <si>
    <t>PPRD-20-08-436</t>
  </si>
  <si>
    <t>OSS 20-038</t>
  </si>
  <si>
    <t>100-2020-04-592</t>
  </si>
  <si>
    <t>2020-07-591</t>
  </si>
  <si>
    <t>PIKCOT-SUPP-002020-00170</t>
  </si>
  <si>
    <t>PIKCOT-SUPP-002020-00169</t>
  </si>
  <si>
    <t>RFQ NO. EMB-PROP.-SHOPPING-G-0107-8-7-2020  2020-0</t>
  </si>
  <si>
    <t>202018</t>
  </si>
  <si>
    <t>2020-04</t>
  </si>
  <si>
    <t>lu-200804-04</t>
  </si>
  <si>
    <t>PPRD-20-08-439</t>
  </si>
  <si>
    <t>PIKCOT-SUPP-002020-00171</t>
  </si>
  <si>
    <t>PR-2020-08-013</t>
  </si>
  <si>
    <t>BBG-WV#027-2020</t>
  </si>
  <si>
    <t>100-2020-07-817</t>
  </si>
  <si>
    <t>lu-200804-01</t>
  </si>
  <si>
    <t>CANBANTUG ITB 2020-01</t>
  </si>
  <si>
    <t>PPS-2020-0123</t>
  </si>
  <si>
    <t>202017</t>
  </si>
  <si>
    <t>PR No. 2020-03-25</t>
  </si>
  <si>
    <t>100-2020-07-910</t>
  </si>
  <si>
    <t>100-2020-07-903</t>
  </si>
  <si>
    <t>100-2020-07-901</t>
  </si>
  <si>
    <t>100-2020-07-900</t>
  </si>
  <si>
    <t>100-2020-07-869</t>
  </si>
  <si>
    <t>SVP2020-WMG-07</t>
  </si>
  <si>
    <t>RFQ 20-08-002</t>
  </si>
  <si>
    <t>PEMO-2020-2032 &amp; 2041</t>
  </si>
  <si>
    <t>100-2020-07-871</t>
  </si>
  <si>
    <t>LGU-POZ-2020-0064</t>
  </si>
  <si>
    <t>PIS-2020-0108</t>
  </si>
  <si>
    <t>PB-CW-2020-036</t>
  </si>
  <si>
    <t>SVP2020-PDD-006/MG-PDD20-010</t>
  </si>
  <si>
    <t>LGU-POZ-2020-0065</t>
  </si>
  <si>
    <t>20-08-087</t>
  </si>
  <si>
    <t>20-08-090</t>
  </si>
  <si>
    <t>ITB No. 20-29</t>
  </si>
  <si>
    <t>S00344-2020</t>
  </si>
  <si>
    <t>vict-eps20-040</t>
  </si>
  <si>
    <t>vict-eps20-044</t>
  </si>
  <si>
    <t>vict-eps20-042</t>
  </si>
  <si>
    <t>2020 Caib 141</t>
  </si>
  <si>
    <t>vict-eps20-041</t>
  </si>
  <si>
    <t>vict-eps20-039</t>
  </si>
  <si>
    <t>SVP No. 2020-041-A</t>
  </si>
  <si>
    <t>02080620</t>
  </si>
  <si>
    <t>PR20-061</t>
  </si>
  <si>
    <t>PR20-059</t>
  </si>
  <si>
    <t>PR20-057</t>
  </si>
  <si>
    <t>PB-CW-2020-08-42</t>
  </si>
  <si>
    <t>2020-07-287</t>
  </si>
  <si>
    <t>PB-CW-2020-039</t>
  </si>
  <si>
    <t>PB-CW-2020-041</t>
  </si>
  <si>
    <t>LGU-POZ-2020-0068</t>
  </si>
  <si>
    <t>PB-CW-2020-040</t>
  </si>
  <si>
    <t>LGU-POZ-2020-0066</t>
  </si>
  <si>
    <t>lu-200804-02</t>
  </si>
  <si>
    <t>SVP2020-RDW-004/MG-RDW20-003</t>
  </si>
  <si>
    <t>PR20-058</t>
  </si>
  <si>
    <t>LGU-POZ-2020-0067</t>
  </si>
  <si>
    <t>2020 Caib 142</t>
  </si>
  <si>
    <t>SVP2020-RDW-005/MG-RDW20-004</t>
  </si>
  <si>
    <t>SVP2020-RDW-003/MG-RDW20-002</t>
  </si>
  <si>
    <t>lu-200804-03</t>
  </si>
  <si>
    <t>RNHS - 2020-08-0042</t>
  </si>
  <si>
    <t>2020-GE08-0016</t>
  </si>
  <si>
    <t>RFQ-08-06-20 Jetmatic</t>
  </si>
  <si>
    <t>vict-eps20-043</t>
  </si>
  <si>
    <t>RNHS - 2020-08-0040</t>
  </si>
  <si>
    <t>2020-G1-014</t>
  </si>
  <si>
    <t>2020-GE08-0015</t>
  </si>
  <si>
    <t>RNHS - 2020-07-0039</t>
  </si>
  <si>
    <t>CULABA 2020-06</t>
  </si>
  <si>
    <t>LIMAO-BAC-15-20 (2)</t>
  </si>
  <si>
    <t>08-001</t>
  </si>
  <si>
    <t>RNHS - 2020-08-0041</t>
  </si>
  <si>
    <t>RFQ-08-06-20</t>
  </si>
  <si>
    <t>SVP2020-194</t>
  </si>
  <si>
    <t>SVP-BPI-082020-007</t>
  </si>
  <si>
    <t>3775-20</t>
  </si>
  <si>
    <t>3776-20</t>
  </si>
  <si>
    <t>VET-2020-0457</t>
  </si>
  <si>
    <t>PIKCOT-SUPP-002020-00173</t>
  </si>
  <si>
    <t>MGPIN 2020-023</t>
  </si>
  <si>
    <t>SVP2020-193</t>
  </si>
  <si>
    <t>10-2020-07-866</t>
  </si>
  <si>
    <t>100-2020-07-861</t>
  </si>
  <si>
    <t>100-2020-07-824</t>
  </si>
  <si>
    <t>100-2020-07-868</t>
  </si>
  <si>
    <t>CAVASI 2020-001</t>
  </si>
  <si>
    <t>202000965</t>
  </si>
  <si>
    <t>100-2020-07-865</t>
  </si>
  <si>
    <t>SVP No. 2020-038</t>
  </si>
  <si>
    <t>RFQ-14022</t>
  </si>
  <si>
    <t>BAC-AS-2020-07-27</t>
  </si>
  <si>
    <t>Geps SHS 2020-07-021 Materials for Module of G12 A</t>
  </si>
  <si>
    <t>NP-SVP(A)-2020-017-DTQAL-REPOST</t>
  </si>
  <si>
    <t>100-2020-06-794</t>
  </si>
  <si>
    <t xml:space="preserve">AMP SVP-S NO: 20-07-0399 One (1) Lot Printing and </t>
  </si>
  <si>
    <t xml:space="preserve">AMP SVP-S NO: 20-08-0428 One (1) Lot Printing and </t>
  </si>
  <si>
    <t xml:space="preserve">AMP SVP-S NO: 20-08-0427 One (1) Lot Printing and </t>
  </si>
  <si>
    <t>AMP SVP-D NO: 20-08-0429 One (1) Lot Printing of B</t>
  </si>
  <si>
    <t>RFQ-14043</t>
  </si>
  <si>
    <t>003</t>
  </si>
  <si>
    <t>007</t>
  </si>
  <si>
    <t xml:space="preserve">AMP SVP-S NO: 20-08-0424 One (1) Lot Printing and </t>
  </si>
  <si>
    <t xml:space="preserve">AMP SVP-S NO: 20-08-0426 One (1) Lot Printing and </t>
  </si>
  <si>
    <t>SVP2020-RDW-002/MG-RDW20-001</t>
  </si>
  <si>
    <t>2020-GE08-0018</t>
  </si>
  <si>
    <t>2020-GE08-0017</t>
  </si>
  <si>
    <t>RFQ#2020-035</t>
  </si>
  <si>
    <t>20-319</t>
  </si>
  <si>
    <t>BAC2020-08</t>
  </si>
  <si>
    <t>DOH-MMCHD 2020-08-220-G</t>
  </si>
  <si>
    <t xml:space="preserve">AMP SVP-S NO: 20-08-0423  Printing and Binding of </t>
  </si>
  <si>
    <t>LNHS - 2020-08-007</t>
  </si>
  <si>
    <t>PW-20-08-001</t>
  </si>
  <si>
    <t>RFQ#2020-034</t>
  </si>
  <si>
    <t>0</t>
  </si>
  <si>
    <t xml:space="preserve">AMP SVP-S NO: 20-08-0425 One (1) Lot Printing and </t>
  </si>
  <si>
    <t>852020</t>
  </si>
  <si>
    <t>125307boes</t>
  </si>
  <si>
    <t>RFQ (PR NO.) 2020-08-107</t>
  </si>
  <si>
    <t>20-320</t>
  </si>
  <si>
    <t>100-2020-07-867</t>
  </si>
  <si>
    <t>2020-08-012</t>
  </si>
  <si>
    <t>PR No. 203-20</t>
  </si>
  <si>
    <t>LIMAO-BAC-14-20 (2)</t>
  </si>
  <si>
    <t>DOH-MMCHD 2020-08-226-G</t>
  </si>
  <si>
    <t>R.I.S. No.: 20-34-024</t>
  </si>
  <si>
    <t>RFQ NO. 513</t>
  </si>
  <si>
    <t>20-323</t>
  </si>
  <si>
    <t>BAC2020-03</t>
  </si>
  <si>
    <t>DOH-MMCHD 2020-08-229-G</t>
  </si>
  <si>
    <t>DOH-MMCHD 2020-08-225-G</t>
  </si>
  <si>
    <t>DOH-MMCHD 2020-08-227-G</t>
  </si>
  <si>
    <t>RFQ 2020-100</t>
  </si>
  <si>
    <t>100-08-20-556</t>
  </si>
  <si>
    <t>Infra 2020-02</t>
  </si>
  <si>
    <t>RFQ NO. 514</t>
  </si>
  <si>
    <t>mos-20-0332</t>
  </si>
  <si>
    <t>SVP-2020-08-001</t>
  </si>
  <si>
    <t>100-20-08-217</t>
  </si>
  <si>
    <t>Infra 2020-01</t>
  </si>
  <si>
    <t>S3-SIA20-016 (Extended)</t>
  </si>
  <si>
    <t>20GIL0050</t>
  </si>
  <si>
    <t>2020-05-028-D</t>
  </si>
  <si>
    <t>20201684</t>
  </si>
  <si>
    <t>DOH-MMCHD 2020-08-223-G</t>
  </si>
  <si>
    <t>20-07-416</t>
  </si>
  <si>
    <t>DOH-MMCHD 2020-08-222-G</t>
  </si>
  <si>
    <t>20-321</t>
  </si>
  <si>
    <t>2020-RFQ-032G</t>
  </si>
  <si>
    <t>tugatog_infras2019-08-004</t>
  </si>
  <si>
    <t>DOH-MMCHD 2020-08-228-G</t>
  </si>
  <si>
    <t>DOH-MMCHD 2020-08-224-G</t>
  </si>
  <si>
    <t>2020-05-040-D</t>
  </si>
  <si>
    <t>AMP SVP-D NO: 20-01-0053B One (1) Unit Branded Lap</t>
  </si>
  <si>
    <t>AMP SVP-D NO: 20-07-0412 One (1) Unit Branded Lapt</t>
  </si>
  <si>
    <t>RFQ NO. EMB-SISMS.-SHOPPING-G-108-08-7-2020- PR. N</t>
  </si>
  <si>
    <t>PB-GS-2020-012</t>
  </si>
  <si>
    <t>RFO-2020-02</t>
  </si>
  <si>
    <t>SPEDTC-2020-0017</t>
  </si>
  <si>
    <t>RFQ20-29-KABRIS</t>
  </si>
  <si>
    <t>JASHS-CW0820-009</t>
  </si>
  <si>
    <t>0887</t>
  </si>
  <si>
    <t>rpy2020-08-01</t>
  </si>
  <si>
    <t>RFQ No. 2020-037</t>
  </si>
  <si>
    <t>20PE0091</t>
  </si>
  <si>
    <t>157.2020</t>
  </si>
  <si>
    <t>DOH-MMCHD 2020-08-221-G</t>
  </si>
  <si>
    <t>P.R. No. 2020-08-0061</t>
  </si>
  <si>
    <t>20-07-0431</t>
  </si>
  <si>
    <t>20-07-0399</t>
  </si>
  <si>
    <t>2020 Caib 143</t>
  </si>
  <si>
    <t>PR No. 2020-03-27</t>
  </si>
  <si>
    <t>2020-128</t>
  </si>
  <si>
    <t>2020-129</t>
  </si>
  <si>
    <t>PR. 20-07-295 (2020-08-276)</t>
  </si>
  <si>
    <t>GOODS-66-2020</t>
  </si>
  <si>
    <t>ris 20-78-024</t>
  </si>
  <si>
    <t>2020-0358</t>
  </si>
  <si>
    <t>DOH-MMCHD 2020-08-230-G</t>
  </si>
  <si>
    <t>2020-07-073</t>
  </si>
  <si>
    <t>2020-0360</t>
  </si>
  <si>
    <t>2020-06-007</t>
  </si>
  <si>
    <t>07-2020</t>
  </si>
  <si>
    <t>Bid No. 20-0399</t>
  </si>
  <si>
    <t>Bid No. 20-0398</t>
  </si>
  <si>
    <t>ITB-2020-37</t>
  </si>
  <si>
    <t>2020-07-01</t>
  </si>
  <si>
    <t>2020-0234</t>
  </si>
  <si>
    <t>001-08-07-2020</t>
  </si>
  <si>
    <t>100-20-08-93</t>
  </si>
  <si>
    <t>2020-0361</t>
  </si>
  <si>
    <t>LTFRB-008-030</t>
  </si>
  <si>
    <t>30-322</t>
  </si>
  <si>
    <t>0020-0301-1368-2020</t>
  </si>
  <si>
    <t>2020 Caib 144</t>
  </si>
  <si>
    <t>NP-ConstMate-Tabang-082020-08</t>
  </si>
  <si>
    <t>GS-GF-2020-0349</t>
  </si>
  <si>
    <t>2020-08-0456</t>
  </si>
  <si>
    <t>NIU-099-2020</t>
  </si>
  <si>
    <t>2020-08 (BARANGAY BASAK, MANDAUE CITY)</t>
  </si>
  <si>
    <t>SN-2020-013</t>
  </si>
  <si>
    <t>2020-0359</t>
  </si>
  <si>
    <t>DA7-2020-08-GASS-H-20-3057</t>
  </si>
  <si>
    <t>DOH-MMCHD 2020-08-231-G</t>
  </si>
  <si>
    <t>08202005</t>
  </si>
  <si>
    <t>2020-0364</t>
  </si>
  <si>
    <t>DA7-2020-08-R&amp;DR-20-3040</t>
  </si>
  <si>
    <t>RFQ-049-2020</t>
  </si>
  <si>
    <t>08112020-118</t>
  </si>
  <si>
    <t>NC#2020-0437-2020-0177-PR2020-0466</t>
  </si>
  <si>
    <t>LGUTMO BAC 2020-1437</t>
  </si>
  <si>
    <t>LGUTMO BAC 2020-1120</t>
  </si>
  <si>
    <t>Bmadasigon 2020-08</t>
  </si>
  <si>
    <t>P5-20-0558</t>
  </si>
  <si>
    <t>PR0023-20 PADAC REBID</t>
  </si>
  <si>
    <t>LTFRB-008-031</t>
  </si>
  <si>
    <t>LGU-2020-047</t>
  </si>
  <si>
    <t>N-197-2020</t>
  </si>
  <si>
    <t>005-20</t>
  </si>
  <si>
    <t>NIU-100-2020</t>
  </si>
  <si>
    <t>2020-34</t>
  </si>
  <si>
    <t>2020-105</t>
  </si>
  <si>
    <t>Bid No. 20-0400</t>
  </si>
  <si>
    <t>2020-08-0342</t>
  </si>
  <si>
    <t>RFQ 2020-4244</t>
  </si>
  <si>
    <t>300-20-07-0559</t>
  </si>
  <si>
    <t>20-07-139</t>
  </si>
  <si>
    <t>GS-GF-2020-0351</t>
  </si>
  <si>
    <t>PROC-20- Portable HEPA Filter Machine</t>
  </si>
  <si>
    <t>PR0028-20 PADO</t>
  </si>
  <si>
    <t>12-151</t>
  </si>
  <si>
    <t>RFQ 2020-4241</t>
  </si>
  <si>
    <t>PR#20-08-0762</t>
  </si>
  <si>
    <t>GS-GF-2020-0350</t>
  </si>
  <si>
    <t>001-2020</t>
  </si>
  <si>
    <t>PR No. 2020-03-26</t>
  </si>
  <si>
    <t>08-06-2020-005</t>
  </si>
  <si>
    <t>2020-08-046</t>
  </si>
  <si>
    <t>SVP-52-2020</t>
  </si>
  <si>
    <t>08-20-16</t>
  </si>
  <si>
    <t>08-07-01</t>
  </si>
  <si>
    <t>RFQ-GS-20200724-01</t>
  </si>
  <si>
    <t>2020-86</t>
  </si>
  <si>
    <t>RFQ2020-08-02</t>
  </si>
  <si>
    <t>2020-106</t>
  </si>
  <si>
    <t>20-07-0025</t>
  </si>
  <si>
    <t>DDN_08/13/2020</t>
  </si>
  <si>
    <t>DOH-MMCHD 2020-08-232-G</t>
  </si>
  <si>
    <t>2020-06-2674</t>
  </si>
  <si>
    <t>AP-01-08-2020-02</t>
  </si>
  <si>
    <t>2020-004 Masbate</t>
  </si>
  <si>
    <t>005_2020</t>
  </si>
  <si>
    <t>CHS2020-08-004</t>
  </si>
  <si>
    <t>DA7-2020-08-R&amp;DR-20-3042</t>
  </si>
  <si>
    <t>100-08-20-566</t>
  </si>
  <si>
    <t>2020-85</t>
  </si>
  <si>
    <t>ITB NO. 014 OF 2020</t>
  </si>
  <si>
    <t>2020 Caib 145</t>
  </si>
  <si>
    <t>PR No. 2020-03-28</t>
  </si>
  <si>
    <t>15</t>
  </si>
  <si>
    <t>RFQ-19-2020</t>
  </si>
  <si>
    <t>PR0029-20 PADAC</t>
  </si>
  <si>
    <t>MPQ-081020-129</t>
  </si>
  <si>
    <t>S2-CAL20-013</t>
  </si>
  <si>
    <t>0886</t>
  </si>
  <si>
    <t>2020-08-011</t>
  </si>
  <si>
    <t>027-ECE20</t>
  </si>
  <si>
    <t>2020 JHS 031</t>
  </si>
  <si>
    <t>LR_2020_08_2021</t>
  </si>
  <si>
    <t>2020 - 099</t>
  </si>
  <si>
    <t>NIU-105-2020</t>
  </si>
  <si>
    <t>BINALONAN-2020-78</t>
  </si>
  <si>
    <t>SVP 1261-2020</t>
  </si>
  <si>
    <t>RFQ NO 2020-093</t>
  </si>
  <si>
    <t>08-10-020</t>
  </si>
  <si>
    <t>2020-07-505</t>
  </si>
  <si>
    <t>10-08-004</t>
  </si>
  <si>
    <t>sfbac2020-</t>
  </si>
  <si>
    <t>SVP 1264-2020</t>
  </si>
  <si>
    <t>2020-08-380-RFQ</t>
  </si>
  <si>
    <t>PR-EASNHS001</t>
  </si>
  <si>
    <t>20-08-022</t>
  </si>
  <si>
    <t>GEN20-08-066</t>
  </si>
  <si>
    <t>PNU2020-0026</t>
  </si>
  <si>
    <t>2020-08-460</t>
  </si>
  <si>
    <t>0884</t>
  </si>
  <si>
    <t>IB NO. CW 2020 - 146</t>
  </si>
  <si>
    <t>2020-08-0014</t>
  </si>
  <si>
    <t>2020-2612</t>
  </si>
  <si>
    <t>20-90</t>
  </si>
  <si>
    <t>G-2020-08-001</t>
  </si>
  <si>
    <t>B2020-101-A</t>
  </si>
  <si>
    <t>BS 20-07-0811</t>
  </si>
  <si>
    <t>BSU Project No. 2020-300</t>
  </si>
  <si>
    <t>MA-A2M20-025</t>
  </si>
  <si>
    <t>2020 - 05</t>
  </si>
  <si>
    <t>PR No. 20-1243</t>
  </si>
  <si>
    <t>2020-08-14-332NP</t>
  </si>
  <si>
    <t>100200801146</t>
  </si>
  <si>
    <t>2020-07-503</t>
  </si>
  <si>
    <t>PR. 20-05-179 (2020-05-171 3RD QUOTE)</t>
  </si>
  <si>
    <t>pgeps#350-2020</t>
  </si>
  <si>
    <t>0820-075</t>
  </si>
  <si>
    <t>2020-09-01-461PG</t>
  </si>
  <si>
    <t>proc.123</t>
  </si>
  <si>
    <t>08102020</t>
  </si>
  <si>
    <t>CA-20-08-69</t>
  </si>
  <si>
    <t>ITB 20-164 R20-162</t>
  </si>
  <si>
    <t>2020-21</t>
  </si>
  <si>
    <t>SVP 1267-2020</t>
  </si>
  <si>
    <t>20-03-467</t>
  </si>
  <si>
    <t>INFRA 2020-19</t>
  </si>
  <si>
    <t>1011-20-211</t>
  </si>
  <si>
    <t>2020-POBLACION-047</t>
  </si>
  <si>
    <t>SF-GOODS NO. 73-(08-10-20)</t>
  </si>
  <si>
    <t>BFARIX-PFO-Sibugay-20-07-468</t>
  </si>
  <si>
    <t>2008129</t>
  </si>
  <si>
    <t>TRN-OAP-20-050</t>
  </si>
  <si>
    <t>2020-MDRRMO-008-517</t>
  </si>
  <si>
    <t>MA-A2M20-036</t>
  </si>
  <si>
    <t>pgeps#351-2020</t>
  </si>
  <si>
    <t>AFPSEO-REPE-1703-20</t>
  </si>
  <si>
    <t>BAC 2020-G08</t>
  </si>
  <si>
    <t>08202010</t>
  </si>
  <si>
    <t>GA 2020-08-114</t>
  </si>
  <si>
    <t>RFQ NO 2020-094</t>
  </si>
  <si>
    <t>2020-08-0033</t>
  </si>
  <si>
    <t>321</t>
  </si>
  <si>
    <t>08-310-2020</t>
  </si>
  <si>
    <t>2020 10</t>
  </si>
  <si>
    <t>ATI2020-07-273</t>
  </si>
  <si>
    <t>2020-08-14-334NP</t>
  </si>
  <si>
    <t>2020-08-14-333NP</t>
  </si>
  <si>
    <t>10082020</t>
  </si>
  <si>
    <t>033-2020 PES Purchase of Various Office Supplies a</t>
  </si>
  <si>
    <t>RFQ0204</t>
  </si>
  <si>
    <t>M-20-015-B</t>
  </si>
  <si>
    <t>10-08-053</t>
  </si>
  <si>
    <t>2020-08-458</t>
  </si>
  <si>
    <t>2020-08-14-336NP</t>
  </si>
  <si>
    <t>MOV-G-2020-015</t>
  </si>
  <si>
    <t>2020-RFQ-034G</t>
  </si>
  <si>
    <t>20-08-05</t>
  </si>
  <si>
    <t>pgeps#352-2020</t>
  </si>
  <si>
    <t>NP-SVP-20-067</t>
  </si>
  <si>
    <t>2020-08-40</t>
  </si>
  <si>
    <t>2020-07-508</t>
  </si>
  <si>
    <t>323</t>
  </si>
  <si>
    <t>2020-08-10-002 / 202008018</t>
  </si>
  <si>
    <t>2020-08-14-335NP</t>
  </si>
  <si>
    <t>25</t>
  </si>
  <si>
    <t>lgu-es-20-193</t>
  </si>
  <si>
    <t>BS 20-07-0813</t>
  </si>
  <si>
    <t>BSU Project No. 2020-301</t>
  </si>
  <si>
    <t>CONTRACT ID # 20-08-110</t>
  </si>
  <si>
    <t>2020-227</t>
  </si>
  <si>
    <t>2020-07-507</t>
  </si>
  <si>
    <t>NDCP-RFQ-053-08-20</t>
  </si>
  <si>
    <t>pgeps#353-2020</t>
  </si>
  <si>
    <t>2020-08-14-338NP</t>
  </si>
  <si>
    <t>102CO-2020-286</t>
  </si>
  <si>
    <t>2020-08-0024</t>
  </si>
  <si>
    <t>2019-11-4584</t>
  </si>
  <si>
    <t>GA 2020-08-115</t>
  </si>
  <si>
    <t>DENR10 2020-08-0418</t>
  </si>
  <si>
    <t>0287-2020</t>
  </si>
  <si>
    <t>PR No. 1000033244 dtd 24 June 2020</t>
  </si>
  <si>
    <t>20-08-195</t>
  </si>
  <si>
    <t>RFQ NO 2020-095</t>
  </si>
  <si>
    <t>CONTRACT ID # 20-08-109</t>
  </si>
  <si>
    <t>BS 20-07-0814</t>
  </si>
  <si>
    <t>pgeps#354-2020</t>
  </si>
  <si>
    <t>RFQ NO 2020-100</t>
  </si>
  <si>
    <t>326</t>
  </si>
  <si>
    <t>BS 20-07-0816</t>
  </si>
  <si>
    <t>102CO-2020-287</t>
  </si>
  <si>
    <t>2020-017</t>
  </si>
  <si>
    <t>RFQ2020-35</t>
  </si>
  <si>
    <t>PNU2020-0025</t>
  </si>
  <si>
    <t>2020-08-14-339NP</t>
  </si>
  <si>
    <t>08102020-68</t>
  </si>
  <si>
    <t>ITB 008-055-2020</t>
  </si>
  <si>
    <t>2020 - 06</t>
  </si>
  <si>
    <t>100-20-08-0086</t>
  </si>
  <si>
    <t>101-2020-08-362</t>
  </si>
  <si>
    <t>DA-20-5</t>
  </si>
  <si>
    <t>009</t>
  </si>
  <si>
    <t>01-2020</t>
  </si>
  <si>
    <t>27</t>
  </si>
  <si>
    <t>20200810-61</t>
  </si>
  <si>
    <t>20-08-196</t>
  </si>
  <si>
    <t>Supporting Documents</t>
  </si>
  <si>
    <t>BLGU-PAGSANGAN-AL-01-2020</t>
  </si>
  <si>
    <t>BS 20-07-0817</t>
  </si>
  <si>
    <t>2020 08</t>
  </si>
  <si>
    <t>32</t>
  </si>
  <si>
    <t>pgeps#355-2020</t>
  </si>
  <si>
    <t>PR No. 20-1253</t>
  </si>
  <si>
    <t>2020 - 07</t>
  </si>
  <si>
    <t>2020-70</t>
  </si>
  <si>
    <t>498-2020</t>
  </si>
  <si>
    <t>101-020-008-083</t>
  </si>
  <si>
    <t>208059</t>
  </si>
  <si>
    <t>300-20-08-009</t>
  </si>
  <si>
    <t>BAC-MGT-2020-009</t>
  </si>
  <si>
    <t>LGU-BLU-20-08-062</t>
  </si>
  <si>
    <t>2020-8751-54-519</t>
  </si>
  <si>
    <t>2020-076</t>
  </si>
  <si>
    <t>08-10-2020</t>
  </si>
  <si>
    <t>2020-RFQ-035G</t>
  </si>
  <si>
    <t>497-2020</t>
  </si>
  <si>
    <t>2020-05-13-0094</t>
  </si>
  <si>
    <t>PR-2008-893</t>
  </si>
  <si>
    <t>QN-200804-4/ SM-20-0199</t>
  </si>
  <si>
    <t>010</t>
  </si>
  <si>
    <t>0288-2020</t>
  </si>
  <si>
    <t>08-10-20-01</t>
  </si>
  <si>
    <t>20G036</t>
  </si>
  <si>
    <t>0570-20</t>
  </si>
  <si>
    <t>2020-2086</t>
  </si>
  <si>
    <t>102CO-2020-288</t>
  </si>
  <si>
    <t>IB NO. CW 2020 - 147</t>
  </si>
  <si>
    <t>2020-268</t>
  </si>
  <si>
    <t>GA 2020-08-117</t>
  </si>
  <si>
    <t>23-01-2020-08-841</t>
  </si>
  <si>
    <t>101-2020-08-267</t>
  </si>
  <si>
    <t>LGU-TAN-GOODS-2020-101</t>
  </si>
  <si>
    <t>2020-08-0026</t>
  </si>
  <si>
    <t>pgeps#356-2020</t>
  </si>
  <si>
    <t>SAR-GOODS-08-034-2020</t>
  </si>
  <si>
    <t>PR-ESSS03-20-08-00012</t>
  </si>
  <si>
    <t>Barangay Balubad Atimonan,Quezon 2020-</t>
  </si>
  <si>
    <t>2020-07-1126</t>
  </si>
  <si>
    <t>2020.06.597;07.639;08.653</t>
  </si>
  <si>
    <t>SVP 20-1294</t>
  </si>
  <si>
    <t>2020-RFQ-036G</t>
  </si>
  <si>
    <t>SDO GOODS 2020-041</t>
  </si>
  <si>
    <t>2020-RFQ-037G</t>
  </si>
  <si>
    <t>499-2020</t>
  </si>
  <si>
    <t>20-08-197</t>
  </si>
  <si>
    <t>2020-07-1125</t>
  </si>
  <si>
    <t>BS 20-07-0818</t>
  </si>
  <si>
    <t>20-08-198</t>
  </si>
  <si>
    <t>56-2020 RFQ</t>
  </si>
  <si>
    <t>NIU-106-2020</t>
  </si>
  <si>
    <t>PR No. 20-1250</t>
  </si>
  <si>
    <t>pgeps#357-2020</t>
  </si>
  <si>
    <t>2020118</t>
  </si>
  <si>
    <t>DA3-2020-08-05-34</t>
  </si>
  <si>
    <t>PR#20-08-0768</t>
  </si>
  <si>
    <t>QN-200804-21/ EQ-20-0859</t>
  </si>
  <si>
    <t>26</t>
  </si>
  <si>
    <t>496-2020</t>
  </si>
  <si>
    <t>DEPED-GSC 2020-030</t>
  </si>
  <si>
    <t>2020-1967</t>
  </si>
  <si>
    <t>RFQ-2020-08-023</t>
  </si>
  <si>
    <t>2020-08-381-RFQ</t>
  </si>
  <si>
    <t>2020119</t>
  </si>
  <si>
    <t>PR-CRS01-20-08-00013</t>
  </si>
  <si>
    <t>102CO-2020-289</t>
  </si>
  <si>
    <t>2019-08-85</t>
  </si>
  <si>
    <t>2020-04-227</t>
  </si>
  <si>
    <t>20-08-199</t>
  </si>
  <si>
    <t>57-2020 RFQ</t>
  </si>
  <si>
    <t>101-2020-08-268</t>
  </si>
  <si>
    <t>ITB # 2020-44</t>
  </si>
  <si>
    <t>2020-07-1118</t>
  </si>
  <si>
    <t>2020-02-004</t>
  </si>
  <si>
    <t>GSO-20-08-0357</t>
  </si>
  <si>
    <t>S2-VOD20-028</t>
  </si>
  <si>
    <t>2020-8751-55-520</t>
  </si>
  <si>
    <t>2020-153</t>
  </si>
  <si>
    <t>0820-123</t>
  </si>
  <si>
    <t>58-2020 RFQ</t>
  </si>
  <si>
    <t>PBI-2020-44</t>
  </si>
  <si>
    <t>095-2020</t>
  </si>
  <si>
    <t>LGU-TAN-GOODS-2020-102</t>
  </si>
  <si>
    <t>2020-06-0155</t>
  </si>
  <si>
    <t>PB-2020-08-005</t>
  </si>
  <si>
    <t>2020-1410</t>
  </si>
  <si>
    <t>RFQ No.2020-0304</t>
  </si>
  <si>
    <t>P.R NO. 200-2020-08-0015</t>
  </si>
  <si>
    <t>pgeps#358-2020</t>
  </si>
  <si>
    <t>PR-ESSS03-20-08-00013</t>
  </si>
  <si>
    <t>20CCDEO0028</t>
  </si>
  <si>
    <t>0820-124</t>
  </si>
  <si>
    <t>BAC RFQ 20-584</t>
  </si>
  <si>
    <t>NPG-2020-154</t>
  </si>
  <si>
    <t>2020-176-I</t>
  </si>
  <si>
    <t>G-095-0552-20</t>
  </si>
  <si>
    <t>2020-154</t>
  </si>
  <si>
    <t>pgeps#359-2020</t>
  </si>
  <si>
    <t>LGU-BLU-20-08-063</t>
  </si>
  <si>
    <t>2020-001B-PII</t>
  </si>
  <si>
    <t>ITB 21-2020</t>
  </si>
  <si>
    <t>AMP2020-136</t>
  </si>
  <si>
    <t>skmuzon2-002</t>
  </si>
  <si>
    <t>QN-200807-1-RC2/ EQ-19-0552</t>
  </si>
  <si>
    <t>BUGASS-2020-080</t>
  </si>
  <si>
    <t>LGU-TAN-INFRA-2020-103</t>
  </si>
  <si>
    <t>PRRI-2020ISA-048</t>
  </si>
  <si>
    <t>8-10-20</t>
  </si>
  <si>
    <t>MAY200623-152</t>
  </si>
  <si>
    <t>AMP2020-137</t>
  </si>
  <si>
    <t>BCS-2020-0276</t>
  </si>
  <si>
    <t>DEPED-GSC 2020-031</t>
  </si>
  <si>
    <t>BAC-2020-48</t>
  </si>
  <si>
    <t>IB No. K-2020-094(SC)</t>
  </si>
  <si>
    <t>LGU-BLU-20-08-064</t>
  </si>
  <si>
    <t>. 2020-06-446</t>
  </si>
  <si>
    <t>MNP-GOODS-122-2020</t>
  </si>
  <si>
    <t>IB 2020-08-013 NPPV</t>
  </si>
  <si>
    <t>2020-19</t>
  </si>
  <si>
    <t>RFQ-2020-08-024</t>
  </si>
  <si>
    <t>BAC-GS-2020-08-015</t>
  </si>
  <si>
    <t>2020-07-463</t>
  </si>
  <si>
    <t>495-2020</t>
  </si>
  <si>
    <t>DA3-2020-08-06-46</t>
  </si>
  <si>
    <t>PR No. 1000033243 dtd 24 June 2020</t>
  </si>
  <si>
    <t>05-2020</t>
  </si>
  <si>
    <t>2020-22</t>
  </si>
  <si>
    <t>2020-06-324</t>
  </si>
  <si>
    <t>0289-2020</t>
  </si>
  <si>
    <t>PR 20-08-0304</t>
  </si>
  <si>
    <t>2020-08-10</t>
  </si>
  <si>
    <t>2020-06-1193 etc.</t>
  </si>
  <si>
    <t>2020-001B-PI</t>
  </si>
  <si>
    <t>JOB ORDER NO. SPIS-2020-02-102R</t>
  </si>
  <si>
    <t>20-08-06</t>
  </si>
  <si>
    <t>sfbac2020-AP NO.03 S.2020</t>
  </si>
  <si>
    <t>20CCDEO0029</t>
  </si>
  <si>
    <t>2020-269</t>
  </si>
  <si>
    <t>2020-8751-56-521</t>
  </si>
  <si>
    <t>2020-06-317</t>
  </si>
  <si>
    <t>1011-20-08-09</t>
  </si>
  <si>
    <t>BAC RESOLUTION NO. 2020-006 (LUCENA LENDING CENTER</t>
  </si>
  <si>
    <t>2020-07-257</t>
  </si>
  <si>
    <t>2020-1-0011</t>
  </si>
  <si>
    <t>PR-MAS05-20-07-00006</t>
  </si>
  <si>
    <t>2020-08-021</t>
  </si>
  <si>
    <t>PR-MAS03-20-08-00006</t>
  </si>
  <si>
    <t>PG-2020-0035: Request for Quotation - Furnishing a</t>
  </si>
  <si>
    <t>Boklaoan</t>
  </si>
  <si>
    <t>PR0118-20 PGO-BSSS NEGO</t>
  </si>
  <si>
    <t>IB No. K-2020-091(SC)</t>
  </si>
  <si>
    <t>BCS-2020-0277</t>
  </si>
  <si>
    <t>BCS-2020-0279</t>
  </si>
  <si>
    <t>2020-07-1128</t>
  </si>
  <si>
    <t>SDO GOODS 2020-042</t>
  </si>
  <si>
    <t>ITB 2020-08-001</t>
  </si>
  <si>
    <t>2020-06-11</t>
  </si>
  <si>
    <t>Talaban ES 2020-003</t>
  </si>
  <si>
    <t>BAC-2020-853</t>
  </si>
  <si>
    <t>GEPS-2020-08-002</t>
  </si>
  <si>
    <t>IB-2020-10-41</t>
  </si>
  <si>
    <t>GSO-20-08-0359</t>
  </si>
  <si>
    <t>Tabio NHS</t>
  </si>
  <si>
    <t>2020-08-1463</t>
  </si>
  <si>
    <t>BAC-0059-2020</t>
  </si>
  <si>
    <t>2020-228</t>
  </si>
  <si>
    <t>STC-GOOD- NO. 2020-0057</t>
  </si>
  <si>
    <t>20CCDEO0030</t>
  </si>
  <si>
    <t>GF-20-02-00317B</t>
  </si>
  <si>
    <t>ITB # 2020-45</t>
  </si>
  <si>
    <t>BCS-2020-0278</t>
  </si>
  <si>
    <t>2020-G-126</t>
  </si>
  <si>
    <t>2020-08-0038</t>
  </si>
  <si>
    <t>2020 - 08</t>
  </si>
  <si>
    <t>2020-08-203</t>
  </si>
  <si>
    <t>LGU-ROX-CWC-23-2020</t>
  </si>
  <si>
    <t>DA3-2020-08-06-47</t>
  </si>
  <si>
    <t>02-2020</t>
  </si>
  <si>
    <t>2020-283</t>
  </si>
  <si>
    <t>AMP2020-138</t>
  </si>
  <si>
    <t>20-07-0218</t>
  </si>
  <si>
    <t>SN-20-06-015</t>
  </si>
  <si>
    <t>GSO-20-08-0358</t>
  </si>
  <si>
    <t>2020-8-17</t>
  </si>
  <si>
    <t>102CO-2020-290</t>
  </si>
  <si>
    <t>PR-ESSS03-20-08-00015</t>
  </si>
  <si>
    <t>137</t>
  </si>
  <si>
    <t>2020-07</t>
  </si>
  <si>
    <t>PR # 20-08-0274</t>
  </si>
  <si>
    <t>388548488</t>
  </si>
  <si>
    <t>2020-08-383-RFQ</t>
  </si>
  <si>
    <t>2020-08</t>
  </si>
  <si>
    <t>2020-06-1411/2020-06-1412</t>
  </si>
  <si>
    <t>PR No. 1000033352 dtd 29 June 2020</t>
  </si>
  <si>
    <t>0568-20</t>
  </si>
  <si>
    <t>171-1011-017</t>
  </si>
  <si>
    <t>2020-08-028</t>
  </si>
  <si>
    <t>04-2020</t>
  </si>
  <si>
    <t>SNCHS# 2020-0016</t>
  </si>
  <si>
    <t>sfbac2020 AP NO. 02 S. 2020</t>
  </si>
  <si>
    <t>2020-229</t>
  </si>
  <si>
    <t>PR-NarvBAC2020-035</t>
  </si>
  <si>
    <t>20-08-201</t>
  </si>
  <si>
    <t>2020-08-014</t>
  </si>
  <si>
    <t>2020-07-20-0146</t>
  </si>
  <si>
    <t>2020-08-027</t>
  </si>
  <si>
    <t>RFQ (20-08-048) @ PR # 20-07-159</t>
  </si>
  <si>
    <t>RFQ No. 2020-07-260</t>
  </si>
  <si>
    <t>102CO-2020-291</t>
  </si>
  <si>
    <t>PR#2020-08-146</t>
  </si>
  <si>
    <t>SAR-GOODS-08-033-2020</t>
  </si>
  <si>
    <t>PN-2020-08-006</t>
  </si>
  <si>
    <t>1896 &amp; 1897</t>
  </si>
  <si>
    <t>2020-GOODS-049</t>
  </si>
  <si>
    <t>PR#2020-08-149</t>
  </si>
  <si>
    <t>PR#20-07-0752</t>
  </si>
  <si>
    <t>300</t>
  </si>
  <si>
    <t>2020-08-0148</t>
  </si>
  <si>
    <t>IB No. K-2020-092(SC)</t>
  </si>
  <si>
    <t>ITB # 2020-46</t>
  </si>
  <si>
    <t>RFQ 2020-026</t>
  </si>
  <si>
    <t>SNCHS-SHS #2020-0009</t>
  </si>
  <si>
    <t>20NMSC27-G</t>
  </si>
  <si>
    <t>RFQ-2020-305</t>
  </si>
  <si>
    <t>20-70-054</t>
  </si>
  <si>
    <t>IB NO. CW 2020 - 148</t>
  </si>
  <si>
    <t>SVP 2020-177</t>
  </si>
  <si>
    <t>SF-GOODS NO. 74-(08-10-20)</t>
  </si>
  <si>
    <t>102CO-2020-292</t>
  </si>
  <si>
    <t>ITB No. 20 - 30</t>
  </si>
  <si>
    <t>IB No. K-2020-086(SC)</t>
  </si>
  <si>
    <t>2020-1-010</t>
  </si>
  <si>
    <t>2020-08-10-0165</t>
  </si>
  <si>
    <t>SVP-2020-08-002</t>
  </si>
  <si>
    <t>IB-2020-10-43</t>
  </si>
  <si>
    <t>G-2020-524</t>
  </si>
  <si>
    <t>2020-191</t>
  </si>
  <si>
    <t>004-1091-020</t>
  </si>
  <si>
    <t>SM-2020-02</t>
  </si>
  <si>
    <t>20-08-200</t>
  </si>
  <si>
    <t>sfbac2020 AP NO.03 S. 2020</t>
  </si>
  <si>
    <t>PR # 20-08-0275</t>
  </si>
  <si>
    <t>2020-GOODS-050</t>
  </si>
  <si>
    <t>IB No. K-2020-083(SC)</t>
  </si>
  <si>
    <t>IB-2020-10-42</t>
  </si>
  <si>
    <t>RFQ 08-20-098</t>
  </si>
  <si>
    <t>G-2020-042</t>
  </si>
  <si>
    <t>2020-POBLACION-048</t>
  </si>
  <si>
    <t>SDO GOODS 2020-040</t>
  </si>
  <si>
    <t>Barangay Balubad Atimonan, Quezon 2020-</t>
  </si>
  <si>
    <t>57</t>
  </si>
  <si>
    <t>081020-H04</t>
  </si>
  <si>
    <t>BARANGAY STA. CRUZ 9</t>
  </si>
  <si>
    <t>2020-520,521,522</t>
  </si>
  <si>
    <t>SN20-08-029</t>
  </si>
  <si>
    <t>2020-186</t>
  </si>
  <si>
    <t>TNHS PR-2020-08-040</t>
  </si>
  <si>
    <t>RFQ NO. 20-08-462</t>
  </si>
  <si>
    <t>IB-2020-10-44</t>
  </si>
  <si>
    <t>2020-032</t>
  </si>
  <si>
    <t>2020-08-02 Supplies for Printing of Learning Mater</t>
  </si>
  <si>
    <t>RFQ NO 2020-0101</t>
  </si>
  <si>
    <t>GF-20-02-00305</t>
  </si>
  <si>
    <t>2020-192</t>
  </si>
  <si>
    <t>SVP 20-08-169</t>
  </si>
  <si>
    <t>08-0042-20</t>
  </si>
  <si>
    <t>20-08-202</t>
  </si>
  <si>
    <t>ITB2020010</t>
  </si>
  <si>
    <t>G-2020-292</t>
  </si>
  <si>
    <t>RFQ-GF-117</t>
  </si>
  <si>
    <t>2020-18</t>
  </si>
  <si>
    <t>IB-2020-10-45</t>
  </si>
  <si>
    <t>GF-20-02-00160B</t>
  </si>
  <si>
    <t>B6-20-108</t>
  </si>
  <si>
    <t>300 A</t>
  </si>
  <si>
    <t>2019-12-1292</t>
  </si>
  <si>
    <t>2020-07-0258</t>
  </si>
  <si>
    <t>2008032</t>
  </si>
  <si>
    <t>01-01-2020-08-844</t>
  </si>
  <si>
    <t>ITB # 2020-47</t>
  </si>
  <si>
    <t>2020svp - 311-709</t>
  </si>
  <si>
    <t>Pro-20-07-006</t>
  </si>
  <si>
    <t>QM PABAC 031-19</t>
  </si>
  <si>
    <t>SVP-2020-08-172</t>
  </si>
  <si>
    <t>G-2020-525</t>
  </si>
  <si>
    <t>20-08-204</t>
  </si>
  <si>
    <t>2020svp - 312-712</t>
  </si>
  <si>
    <t>IB-2020-10-46</t>
  </si>
  <si>
    <t>2020-08-113</t>
  </si>
  <si>
    <t>20-07-80-A</t>
  </si>
  <si>
    <t>TCMO 20-283</t>
  </si>
  <si>
    <t>102CO-2020-293</t>
  </si>
  <si>
    <t>GF-20-02-00132B</t>
  </si>
  <si>
    <t>143-1011-017</t>
  </si>
  <si>
    <t>NPG-2020-155</t>
  </si>
  <si>
    <t>2020-133</t>
  </si>
  <si>
    <t>NP-SVP-2020-0005</t>
  </si>
  <si>
    <t>006-1091-020</t>
  </si>
  <si>
    <t>20-08-108</t>
  </si>
  <si>
    <t>BAC RESOLUTION NO. 2020-005 (LUCENA LENDING CENTER</t>
  </si>
  <si>
    <t>G-2020-531</t>
  </si>
  <si>
    <t>08-0043-20</t>
  </si>
  <si>
    <t>20-08-205</t>
  </si>
  <si>
    <t>IB-2020-10-47</t>
  </si>
  <si>
    <t>denr-r3-2020-46</t>
  </si>
  <si>
    <t>2008033</t>
  </si>
  <si>
    <t>BAC INFRA 2020-09-003</t>
  </si>
  <si>
    <t>IB No. DE-2020-012</t>
  </si>
  <si>
    <t>P-20-07-007</t>
  </si>
  <si>
    <t>NP-SVP-2020-0007</t>
  </si>
  <si>
    <t>2020-38</t>
  </si>
  <si>
    <t>302773-20-07-038</t>
  </si>
  <si>
    <t>PR-NarvBAC2020-036</t>
  </si>
  <si>
    <t>PR NO. ENGR-07-0011</t>
  </si>
  <si>
    <t>infra2</t>
  </si>
  <si>
    <t>G-2020-530</t>
  </si>
  <si>
    <t>DOLHOSVP2020-005</t>
  </si>
  <si>
    <t>IB-2020-10-48</t>
  </si>
  <si>
    <t>20-08-764</t>
  </si>
  <si>
    <t>NP-SVP-2020-0006</t>
  </si>
  <si>
    <t>20-08-109</t>
  </si>
  <si>
    <t>20-0503</t>
  </si>
  <si>
    <t>MCIAA 08-640-20</t>
  </si>
  <si>
    <t>OTOP-NG 001</t>
  </si>
  <si>
    <t>ITB01-MOTORVEHICLE-MARIFSOQUE</t>
  </si>
  <si>
    <t>BCS-2020-0280</t>
  </si>
  <si>
    <t>2020-07-82</t>
  </si>
  <si>
    <t>0820011</t>
  </si>
  <si>
    <t>2020-1-009</t>
  </si>
  <si>
    <t>GF-20-05-00735</t>
  </si>
  <si>
    <t>08102020001</t>
  </si>
  <si>
    <t>2020-08-LE-015</t>
  </si>
  <si>
    <t>NP-SVP-2020-0008</t>
  </si>
  <si>
    <t>2020-08-114</t>
  </si>
  <si>
    <t>2020-07-002</t>
  </si>
  <si>
    <t>RFQ-050-2020</t>
  </si>
  <si>
    <t>20-08-005</t>
  </si>
  <si>
    <t>2020svp - 313-712</t>
  </si>
  <si>
    <t>G-475,20</t>
  </si>
  <si>
    <t>2020-08-537</t>
  </si>
  <si>
    <t>20-08-207</t>
  </si>
  <si>
    <t>G-2020-528</t>
  </si>
  <si>
    <t>410MW-2020-0304</t>
  </si>
  <si>
    <t>1011-20-08-10</t>
  </si>
  <si>
    <t>ITB # 2020-48</t>
  </si>
  <si>
    <t>infra1</t>
  </si>
  <si>
    <t>1154</t>
  </si>
  <si>
    <t>PR#2020-08-144</t>
  </si>
  <si>
    <t>2020-08-461</t>
  </si>
  <si>
    <t>2020-08-112</t>
  </si>
  <si>
    <t>brgy.villa solidaridad</t>
  </si>
  <si>
    <t>bcwd-2020-075</t>
  </si>
  <si>
    <t>300-20-08-0089</t>
  </si>
  <si>
    <t>RFQ-G-2020-101</t>
  </si>
  <si>
    <t>2020-07-1700 etc.</t>
  </si>
  <si>
    <t>INFRA-20-59</t>
  </si>
  <si>
    <t>2020-016</t>
  </si>
  <si>
    <t>P-20-07-015</t>
  </si>
  <si>
    <t>S2-VOD20-030</t>
  </si>
  <si>
    <t>CW-2020-08-019</t>
  </si>
  <si>
    <t>IB No. OE-2020-001</t>
  </si>
  <si>
    <t>0528-20</t>
  </si>
  <si>
    <t>RFQ 2020-025</t>
  </si>
  <si>
    <t>IB-2020-10-49</t>
  </si>
  <si>
    <t>PR-ESSS03-20-08-00014</t>
  </si>
  <si>
    <t>2020-06-0058</t>
  </si>
  <si>
    <t>2020-08-010</t>
  </si>
  <si>
    <t>RFQ 20-08-049</t>
  </si>
  <si>
    <t>295</t>
  </si>
  <si>
    <t>2020-124</t>
  </si>
  <si>
    <t>RFQ-007</t>
  </si>
  <si>
    <t>2020svp - 314-710</t>
  </si>
  <si>
    <t>2020-077</t>
  </si>
  <si>
    <t>2020-39</t>
  </si>
  <si>
    <t>B2020-103-A</t>
  </si>
  <si>
    <t>S00345-2020</t>
  </si>
  <si>
    <t>20-08-208</t>
  </si>
  <si>
    <t>036-MIF20</t>
  </si>
  <si>
    <t>2020-03-158</t>
  </si>
  <si>
    <t>BMN-2020-BGC-PB004</t>
  </si>
  <si>
    <t>0567-20</t>
  </si>
  <si>
    <t>BS 20-07-0815</t>
  </si>
  <si>
    <t>20-5283</t>
  </si>
  <si>
    <t>2020-8751-53-518</t>
  </si>
  <si>
    <t>B2020-102-A</t>
  </si>
  <si>
    <t>G-2020-532</t>
  </si>
  <si>
    <t>sfbac2020- SAIP NO. 5 CY-2019 1000-8</t>
  </si>
  <si>
    <t>2020-08-356</t>
  </si>
  <si>
    <t>2020-1-012</t>
  </si>
  <si>
    <t>101-2020-08-363</t>
  </si>
  <si>
    <t>2020-08-14-337NP</t>
  </si>
  <si>
    <t>BAC RESOLUTION NO. 2020-008 (LUCENA LENDING CENTER</t>
  </si>
  <si>
    <t>2020-08-0010</t>
  </si>
  <si>
    <t>2020-07-488</t>
  </si>
  <si>
    <t>20-07-0385A</t>
  </si>
  <si>
    <t>31</t>
  </si>
  <si>
    <t>JO # 20-07-0166</t>
  </si>
  <si>
    <t>081020-H03</t>
  </si>
  <si>
    <t>2020 09</t>
  </si>
  <si>
    <t>IB No. MM-2020-031</t>
  </si>
  <si>
    <t>2020-07-48</t>
  </si>
  <si>
    <t>GF-20-03-00531B</t>
  </si>
  <si>
    <t>GF-20-02-00322B</t>
  </si>
  <si>
    <t>PCADG-08-10-2020</t>
  </si>
  <si>
    <t>G-2020-536</t>
  </si>
  <si>
    <t>PR No. 20-1242</t>
  </si>
  <si>
    <t>0699</t>
  </si>
  <si>
    <t>contract1</t>
  </si>
  <si>
    <t>2020-08-25</t>
  </si>
  <si>
    <t>ITB No.10.August  10,2020.GSO.LGU.Lugait</t>
  </si>
  <si>
    <t>EAAIS-2020-07-0481</t>
  </si>
  <si>
    <t>2020-1-008</t>
  </si>
  <si>
    <t>MNP-GOODS-148-2020</t>
  </si>
  <si>
    <t>SVP 1266-2020</t>
  </si>
  <si>
    <t>G-2020-533</t>
  </si>
  <si>
    <t>RFQ-2020-046</t>
  </si>
  <si>
    <t>08-0045-20</t>
  </si>
  <si>
    <t>2020-08-021 SVP</t>
  </si>
  <si>
    <t>DTI PB-20-014</t>
  </si>
  <si>
    <t>100-9919-20-537</t>
  </si>
  <si>
    <t>doc</t>
  </si>
  <si>
    <t>20CCDEO0031</t>
  </si>
  <si>
    <t>HFE-2020-08-0303</t>
  </si>
  <si>
    <t>BAC-GS 2020-234 (PR No. 1000032853)</t>
  </si>
  <si>
    <t>NEG. PROC. 53.10 L-2020-08-002</t>
  </si>
  <si>
    <t>BUHIGOODS202008-001</t>
  </si>
  <si>
    <t>2020-95</t>
  </si>
  <si>
    <t>105TH-13565-OG1-2020</t>
  </si>
  <si>
    <t>LCPC - 02</t>
  </si>
  <si>
    <t>117324-2</t>
  </si>
  <si>
    <t>20-06-73-A</t>
  </si>
  <si>
    <t>20-08-209</t>
  </si>
  <si>
    <t>081020201</t>
  </si>
  <si>
    <t>HO-2020-07-0472</t>
  </si>
  <si>
    <t>2020-03-PR024A</t>
  </si>
  <si>
    <t>POCW-07-2020</t>
  </si>
  <si>
    <t>1011-20-08-11</t>
  </si>
  <si>
    <t>pgeps#360-2020</t>
  </si>
  <si>
    <t>OSCA-7-8</t>
  </si>
  <si>
    <t>20J00217</t>
  </si>
  <si>
    <t>GOODS20-08-053</t>
  </si>
  <si>
    <t>G-2020-538</t>
  </si>
  <si>
    <t>2008034</t>
  </si>
  <si>
    <t>2020-08-022 SVP</t>
  </si>
  <si>
    <t>ITB # 2020-49</t>
  </si>
  <si>
    <t>G-B023-2020</t>
  </si>
  <si>
    <t>BCS-2020-0281</t>
  </si>
  <si>
    <t>IB No. B-2020-004</t>
  </si>
  <si>
    <t>2020svp - 316-708</t>
  </si>
  <si>
    <t>contract2</t>
  </si>
  <si>
    <t>contract3</t>
  </si>
  <si>
    <t>SVP No. B-2020-07-009</t>
  </si>
  <si>
    <t>2020svp - 317-707</t>
  </si>
  <si>
    <t>PCHT PABAC2 001-20 LOT 1</t>
  </si>
  <si>
    <t>ITB # 2020-50</t>
  </si>
  <si>
    <t>Goods 2020-078</t>
  </si>
  <si>
    <t>0700</t>
  </si>
  <si>
    <t>RFQ-2020-047</t>
  </si>
  <si>
    <t>30-20-06-067</t>
  </si>
  <si>
    <t>100-20-08-1017</t>
  </si>
  <si>
    <t>PR No. 14279 - 072120</t>
  </si>
  <si>
    <t>BCS-2020-0282</t>
  </si>
  <si>
    <t>OR 1403-20</t>
  </si>
  <si>
    <t>IB No. MM-2020-035(m)</t>
  </si>
  <si>
    <t>BRIS-20-07-0493</t>
  </si>
  <si>
    <t>ITB No.11.August 10,2020.GSO.LGU.Lugait</t>
  </si>
  <si>
    <t>RFQ 2020-08-030</t>
  </si>
  <si>
    <t>08-0047-20</t>
  </si>
  <si>
    <t>BUHIGOODS202008-004</t>
  </si>
  <si>
    <t>20-08-0814</t>
  </si>
  <si>
    <t>20-064</t>
  </si>
  <si>
    <t>RFQ No. 2020- 13</t>
  </si>
  <si>
    <t>OR 1348-20</t>
  </si>
  <si>
    <t>BAC-01-2020</t>
  </si>
  <si>
    <t>BAYLE0820AMP075</t>
  </si>
  <si>
    <t>037-MIF20</t>
  </si>
  <si>
    <t>BUHIGOODS202008-003</t>
  </si>
  <si>
    <t>BRIS-2020-07-0492</t>
  </si>
  <si>
    <t>2020-08-136</t>
  </si>
  <si>
    <t>BCS-2020-0283</t>
  </si>
  <si>
    <t>08-03-2020</t>
  </si>
  <si>
    <t>PCHT PABAC2 001-20 LOT 2</t>
  </si>
  <si>
    <t>012-1021-020</t>
  </si>
  <si>
    <t>BUHIGOODS202008-002</t>
  </si>
  <si>
    <t>0701</t>
  </si>
  <si>
    <t>2020-08-10-02</t>
  </si>
  <si>
    <t>20-07-82-A</t>
  </si>
  <si>
    <t>101-20-08-001</t>
  </si>
  <si>
    <t>2020-02-0076</t>
  </si>
  <si>
    <t>2020-126</t>
  </si>
  <si>
    <t>SVP-2020-08-173</t>
  </si>
  <si>
    <t>PCHT PABAC2 001-20 LOT 3</t>
  </si>
  <si>
    <t>2020-02-0079</t>
  </si>
  <si>
    <t>2020-08-036</t>
  </si>
  <si>
    <t>2020-08-091</t>
  </si>
  <si>
    <t>DENR XII No. 119-RICTU/HRD/FY2020</t>
  </si>
  <si>
    <t>G-2020-019</t>
  </si>
  <si>
    <t>shop2</t>
  </si>
  <si>
    <t>49</t>
  </si>
  <si>
    <t>shop1</t>
  </si>
  <si>
    <t>GOODS20-08-054</t>
  </si>
  <si>
    <t>08102001</t>
  </si>
  <si>
    <t>None</t>
  </si>
  <si>
    <t>SVP2020-196</t>
  </si>
  <si>
    <t>BAGO-01-20</t>
  </si>
  <si>
    <t>20bb0139</t>
  </si>
  <si>
    <t>S00350-2020</t>
  </si>
  <si>
    <t>2020-125</t>
  </si>
  <si>
    <t>INFRA20–08–060</t>
  </si>
  <si>
    <t>2020-02-0078</t>
  </si>
  <si>
    <t>BFPRHQSR4A-087</t>
  </si>
  <si>
    <t>S20-07-0313</t>
  </si>
  <si>
    <t>2020 INFRA 032</t>
  </si>
  <si>
    <t>NCB Publication No. 2020- 31</t>
  </si>
  <si>
    <t>2020-08-0055</t>
  </si>
  <si>
    <t>2020-270</t>
  </si>
  <si>
    <t>20200810-10-G</t>
  </si>
  <si>
    <t>08-0048-20</t>
  </si>
  <si>
    <t>2020-08-102</t>
  </si>
  <si>
    <t>RB2020-08-256</t>
  </si>
  <si>
    <t>2020-08-200</t>
  </si>
  <si>
    <t>BUHIGOODS202008-005</t>
  </si>
  <si>
    <t>15-08-2020</t>
  </si>
  <si>
    <t>CA Procurement of Laptops -2020 - 004</t>
  </si>
  <si>
    <t>DOLHOSVPSK2020-02</t>
  </si>
  <si>
    <t>2020-0122</t>
  </si>
  <si>
    <t>2020-07-138</t>
  </si>
  <si>
    <t>2020-08-359</t>
  </si>
  <si>
    <t>BAC-HO GS No. 2020-0362 dated 18 June 2020</t>
  </si>
  <si>
    <t>2020-02-003</t>
  </si>
  <si>
    <t>shop4</t>
  </si>
  <si>
    <t>GF-20-02-00362B</t>
  </si>
  <si>
    <t>2020-07-0012</t>
  </si>
  <si>
    <t>PR#2020-07-PR114</t>
  </si>
  <si>
    <t>20BB0140</t>
  </si>
  <si>
    <t>SVP2020-195</t>
  </si>
  <si>
    <t>2020 INFRA 034</t>
  </si>
  <si>
    <t>H-8(2)-20</t>
  </si>
  <si>
    <t>2020-08-137</t>
  </si>
  <si>
    <t>2020-1-007</t>
  </si>
  <si>
    <t>08-0049-20</t>
  </si>
  <si>
    <t>2020LCTES1</t>
  </si>
  <si>
    <t>14-08-2020</t>
  </si>
  <si>
    <t>shop3</t>
  </si>
  <si>
    <t>20GKD0004</t>
  </si>
  <si>
    <t>2020-08-518</t>
  </si>
  <si>
    <t>2020-07-0517 HFG</t>
  </si>
  <si>
    <t>20BB0141</t>
  </si>
  <si>
    <t>2020-07-029</t>
  </si>
  <si>
    <t>2020-HSCtrNL3QTR-026</t>
  </si>
  <si>
    <t>ITDI-200524</t>
  </si>
  <si>
    <t>HFW-2020-08-0309</t>
  </si>
  <si>
    <t>20-07-547</t>
  </si>
  <si>
    <t>shop6</t>
  </si>
  <si>
    <t>NCB Publication No. 2020- 32</t>
  </si>
  <si>
    <t>2020-07-0516A</t>
  </si>
  <si>
    <t>PR-FAS01-20-07-00081</t>
  </si>
  <si>
    <t>shop7</t>
  </si>
  <si>
    <t>100-20-07-0469</t>
  </si>
  <si>
    <t>RB2020-08-257</t>
  </si>
  <si>
    <t>BFPRHQSR4A-089</t>
  </si>
  <si>
    <t>08-106-2020</t>
  </si>
  <si>
    <t>08-008-20</t>
  </si>
  <si>
    <t>2020-8-7000</t>
  </si>
  <si>
    <t>ITDI-200543</t>
  </si>
  <si>
    <t>20MF0090</t>
  </si>
  <si>
    <t>2020-MUN-GF-GOODS-025</t>
  </si>
  <si>
    <t>CHO;2020-07-1970;MEDICAL SUPPLIES</t>
  </si>
  <si>
    <t>SKPPS-003</t>
  </si>
  <si>
    <t>008-029-2020</t>
  </si>
  <si>
    <t>ARRS-2020-08-0307</t>
  </si>
  <si>
    <t>003-infra-2020</t>
  </si>
  <si>
    <t>2020-8-6999</t>
  </si>
  <si>
    <t>SVP0010-2020</t>
  </si>
  <si>
    <t>200-20-07-0108</t>
  </si>
  <si>
    <t>100-20-08-0498b</t>
  </si>
  <si>
    <t>2020-08-522</t>
  </si>
  <si>
    <t>2020-08-0532PANTAWID</t>
  </si>
  <si>
    <t>2020 INFRA 033</t>
  </si>
  <si>
    <t>ITB # 2020-51</t>
  </si>
  <si>
    <t>RFQ No. 106</t>
  </si>
  <si>
    <t>C-143-2020</t>
  </si>
  <si>
    <t>2020-02-0077</t>
  </si>
  <si>
    <t>2020-08-26</t>
  </si>
  <si>
    <t>2020-008-001</t>
  </si>
  <si>
    <t>2020 INFRA 035</t>
  </si>
  <si>
    <t>2020-06-025</t>
  </si>
  <si>
    <t>2020-08-370</t>
  </si>
  <si>
    <t>7-16-2020</t>
  </si>
  <si>
    <t>2020-043</t>
  </si>
  <si>
    <t>shop5</t>
  </si>
  <si>
    <t>DA7-08-FOD-L-20-2347</t>
  </si>
  <si>
    <t>IB No. MM-2020-036(m)</t>
  </si>
  <si>
    <t>ITDI-200542</t>
  </si>
  <si>
    <t>20-08-0432</t>
  </si>
  <si>
    <t>004-infra-2020</t>
  </si>
  <si>
    <t>2020-08-135</t>
  </si>
  <si>
    <t>JFMH-048-20-RFQ</t>
  </si>
  <si>
    <t>2020-08-037</t>
  </si>
  <si>
    <t>IB 2020-19</t>
  </si>
  <si>
    <t>2020-8-7001</t>
  </si>
  <si>
    <t>200-20-07-0109</t>
  </si>
  <si>
    <t>ITB No.12.August 10,2020.GSO.LGU.Lugait</t>
  </si>
  <si>
    <t>20MF0092</t>
  </si>
  <si>
    <t>008-030-2020</t>
  </si>
  <si>
    <t>08-107-2020</t>
  </si>
  <si>
    <t>20MF0091</t>
  </si>
  <si>
    <t>2020-07-0013</t>
  </si>
  <si>
    <t>VMC-2020-080</t>
  </si>
  <si>
    <t>08-108-2020</t>
  </si>
  <si>
    <t>Goods 2020-079</t>
  </si>
  <si>
    <t>RBAC12-2020-SVP-H-069</t>
  </si>
  <si>
    <t>GS-P17-2020-09-02</t>
  </si>
  <si>
    <t>008-031-2020</t>
  </si>
  <si>
    <t>ITDI-200544</t>
  </si>
  <si>
    <t>08-02-2020</t>
  </si>
  <si>
    <t>ITDI-200546</t>
  </si>
  <si>
    <t>Goods 2020-077</t>
  </si>
  <si>
    <t>08-0046-20</t>
  </si>
  <si>
    <t>2020-064</t>
  </si>
  <si>
    <t>POCW-08-2020</t>
  </si>
  <si>
    <t>MA-A2M20-027</t>
  </si>
  <si>
    <t>2020-8-2065</t>
  </si>
  <si>
    <t>SKPPS-004</t>
  </si>
  <si>
    <t>2020-183</t>
  </si>
  <si>
    <t>P.R. NO. 0649 SERIES 2020</t>
  </si>
  <si>
    <t>2020-8-7002</t>
  </si>
  <si>
    <t>033-08-2020</t>
  </si>
  <si>
    <t>2020-GOODS-045</t>
  </si>
  <si>
    <t>2020-03-03</t>
  </si>
  <si>
    <t>ITDI-200537</t>
  </si>
  <si>
    <t>2020-07-0014</t>
  </si>
  <si>
    <t>P.R NO 0765 SERIES 2020</t>
  </si>
  <si>
    <t>2020-03-04</t>
  </si>
  <si>
    <t>TESDA PR-0293</t>
  </si>
  <si>
    <t>2020-08-11</t>
  </si>
  <si>
    <t>RSCC-2020-08-0311</t>
  </si>
  <si>
    <t>2020svp - 315-713</t>
  </si>
  <si>
    <t>MDF 2020 - 05</t>
  </si>
  <si>
    <t>QM PABAC 033-20</t>
  </si>
  <si>
    <t>P.R NO 0766 SERIES 2020</t>
  </si>
  <si>
    <t>PR 07-3740</t>
  </si>
  <si>
    <t>08-0044-20</t>
  </si>
  <si>
    <t>ITDI-200541</t>
  </si>
  <si>
    <t>SVP 1265-2020</t>
  </si>
  <si>
    <t>Infra-01-2020</t>
  </si>
  <si>
    <t>RFQ-2020-0810-239 PIMO</t>
  </si>
  <si>
    <t>P.R NO 0764 SERIES 2020</t>
  </si>
  <si>
    <t>JJWC-NNP-20-016</t>
  </si>
  <si>
    <t>C.Y. 2020 Basic Educational Facilities Fund (BEFF)</t>
  </si>
  <si>
    <t>2020-046</t>
  </si>
  <si>
    <t>2020-03-06</t>
  </si>
  <si>
    <t>MPQ-081020-130</t>
  </si>
  <si>
    <t>ITB No.13.August 10,2020.GSO.LGU.Lugait</t>
  </si>
  <si>
    <t>2020-08-0002</t>
  </si>
  <si>
    <t>MH-INFRA-MEO-ROAD-IMPROVEMENT-BRGY2-757</t>
  </si>
  <si>
    <t>2020-0012</t>
  </si>
  <si>
    <t>2020-08-0197</t>
  </si>
  <si>
    <t>P.R NO 0768 SERIES 2020</t>
  </si>
  <si>
    <t>MA-A2O20-007</t>
  </si>
  <si>
    <t>2020-065</t>
  </si>
  <si>
    <t>ITB 2020-12A</t>
  </si>
  <si>
    <t>291</t>
  </si>
  <si>
    <t>MA-A2M20-030</t>
  </si>
  <si>
    <t>MA-A2M20-047</t>
  </si>
  <si>
    <t>2020-8-6997</t>
  </si>
  <si>
    <t>RFQ-2020-017</t>
  </si>
  <si>
    <t>2020-03-05</t>
  </si>
  <si>
    <t>sjom-infra-0017-2020</t>
  </si>
  <si>
    <t>06-2020-08-009</t>
  </si>
  <si>
    <t>1000033747</t>
  </si>
  <si>
    <t>ITB 2020-017</t>
  </si>
  <si>
    <t>IB 2020-20</t>
  </si>
  <si>
    <t>RFQ NO. 2020-0673-EMB-S-ERLSD-ELSS DIGITAL BAROMET</t>
  </si>
  <si>
    <t>sjom-goods-0020-2020</t>
  </si>
  <si>
    <t>081020</t>
  </si>
  <si>
    <t>2020-03-09</t>
  </si>
  <si>
    <t>PAPC-OESPA_HHSG-2020-10917-5263</t>
  </si>
  <si>
    <t>P.R NO 0767 SERIES 2020</t>
  </si>
  <si>
    <t>sjom-infra-0018-2020</t>
  </si>
  <si>
    <t>105TH-13570-GSMO-2020</t>
  </si>
  <si>
    <t>sjom-infra-0019-2020</t>
  </si>
  <si>
    <t>2020-03-07</t>
  </si>
  <si>
    <t>RFQ NO 2020-092</t>
  </si>
  <si>
    <t>2020-03-08</t>
  </si>
  <si>
    <t>sjom-goods-0019-2020</t>
  </si>
  <si>
    <t>2020-8-6998</t>
  </si>
  <si>
    <t>100200801145</t>
  </si>
  <si>
    <t>DepEd LU=018-2020</t>
  </si>
  <si>
    <t>STCNHSSHS-2020-08-26</t>
  </si>
  <si>
    <t>20-08-3179</t>
  </si>
  <si>
    <t>2020-08-133</t>
  </si>
  <si>
    <t>20-0062</t>
  </si>
  <si>
    <t>20-05-3125</t>
  </si>
  <si>
    <t>QNV-033-2020</t>
  </si>
  <si>
    <t>116892</t>
  </si>
  <si>
    <t>20GD00007</t>
  </si>
  <si>
    <t>MA-A2M20-049</t>
  </si>
  <si>
    <t>MA-A2A20-003</t>
  </si>
  <si>
    <t>RFQ NO. 2020-0674 EMB-SVP-ERLSD-ECMU UV VIS 4802 P</t>
  </si>
  <si>
    <t>2020-049</t>
  </si>
  <si>
    <t>2020-08-134</t>
  </si>
  <si>
    <t>TPB PR No. 2020.08.229</t>
  </si>
  <si>
    <t>2020-GOODS-008</t>
  </si>
  <si>
    <t>2020-11</t>
  </si>
  <si>
    <t>2020121</t>
  </si>
  <si>
    <t>ITDI-200535</t>
  </si>
  <si>
    <t>Sip-2020-109</t>
  </si>
  <si>
    <t>20GFE0018</t>
  </si>
  <si>
    <t>8-20-06</t>
  </si>
  <si>
    <t>20GAA0158</t>
  </si>
  <si>
    <t>105TH-1361ECB-2020</t>
  </si>
  <si>
    <t>Sip-2020-108</t>
  </si>
  <si>
    <t>PB 2020-047</t>
  </si>
  <si>
    <t>PB-FM-2020-02</t>
  </si>
  <si>
    <t>2020120</t>
  </si>
  <si>
    <t>20GAA0156</t>
  </si>
  <si>
    <t>RFQ NO. 2020-0476-EMB-S-ERLSD-ELSS PPE(3rd)</t>
  </si>
  <si>
    <t>20GAA0155</t>
  </si>
  <si>
    <t>ITB 74</t>
  </si>
  <si>
    <t>116887</t>
  </si>
  <si>
    <t>20GAA0154</t>
  </si>
  <si>
    <t>2020-050</t>
  </si>
  <si>
    <t>8102020.2</t>
  </si>
  <si>
    <t>20GAA0157</t>
  </si>
  <si>
    <t>2020-08-101</t>
  </si>
  <si>
    <t>2020-08-075</t>
  </si>
  <si>
    <t>2020-048</t>
  </si>
  <si>
    <t>2020-08-0130</t>
  </si>
  <si>
    <t>100-08-20-568</t>
  </si>
  <si>
    <t>20GAA0153</t>
  </si>
  <si>
    <t>20-07-320</t>
  </si>
  <si>
    <t>TESDA PR-0291</t>
  </si>
  <si>
    <t>100-08-20-567</t>
  </si>
  <si>
    <t>Sip-2020-112</t>
  </si>
  <si>
    <t>20GAA0159</t>
  </si>
  <si>
    <t>20-07-0430</t>
  </si>
  <si>
    <t>ITDI-200527</t>
  </si>
  <si>
    <t>2020-10</t>
  </si>
  <si>
    <t>Sip-2020-111</t>
  </si>
  <si>
    <t>ITDI-200526</t>
  </si>
  <si>
    <t>2020-08-0017</t>
  </si>
  <si>
    <t>G2020-008</t>
  </si>
  <si>
    <t>08072001</t>
  </si>
  <si>
    <t>TESDA PR-0292</t>
  </si>
  <si>
    <t>Sip-2020-110</t>
  </si>
  <si>
    <t>BrgyCaningag 2020 - 004</t>
  </si>
  <si>
    <t>G-2020-8003</t>
  </si>
  <si>
    <t>ITDI-200525</t>
  </si>
  <si>
    <t>G-2020-08001</t>
  </si>
  <si>
    <t>20GFL0006</t>
  </si>
  <si>
    <t>G-2020-8002</t>
  </si>
  <si>
    <t>ITB-2020-36</t>
  </si>
  <si>
    <t>20GAA0161</t>
  </si>
  <si>
    <t>06-2020</t>
  </si>
  <si>
    <t>2020-0362</t>
  </si>
  <si>
    <t>20GAA0160</t>
  </si>
  <si>
    <t>20-325</t>
  </si>
  <si>
    <t>goods 2020-08-001</t>
  </si>
  <si>
    <t>MP-080820-060</t>
  </si>
  <si>
    <t>20032286</t>
  </si>
  <si>
    <t>2020-08-0168</t>
  </si>
  <si>
    <t>20GPK0074</t>
  </si>
  <si>
    <t>20200810-16-G</t>
  </si>
  <si>
    <t>0876</t>
  </si>
  <si>
    <t>PR 2020  08 146</t>
  </si>
  <si>
    <t>LGU-Banayoyo, ISur-2020-08-066</t>
  </si>
  <si>
    <t>S3-SIT20-016 (Extended)</t>
  </si>
  <si>
    <t>G-2020-08004</t>
  </si>
  <si>
    <t>LGU-Banayoyo, ISur 2020-08-065</t>
  </si>
  <si>
    <t>G-2020-0089</t>
  </si>
  <si>
    <t>2020-0308-013</t>
  </si>
  <si>
    <t>100-20-07-203</t>
  </si>
  <si>
    <t>PR-2020-3-033</t>
  </si>
  <si>
    <t>IB NO. 038-20</t>
  </si>
  <si>
    <t>PR-2020-8-127</t>
  </si>
  <si>
    <t>TESDA PR-0295</t>
  </si>
  <si>
    <t>RFQ-2020-08-06</t>
  </si>
  <si>
    <t>RFQ-MPBRIS-G-32-2020</t>
  </si>
  <si>
    <t>20200810-21-G</t>
  </si>
  <si>
    <t>0700-2020-08-041</t>
  </si>
  <si>
    <t>ITDI-200528</t>
  </si>
  <si>
    <t>20GHI0029</t>
  </si>
  <si>
    <t>LGU-Banayoyo, ISur 2020-08-069</t>
  </si>
  <si>
    <t>ITDI-200529</t>
  </si>
  <si>
    <t>LGU-Banayoyo, ISur 2020-08-067</t>
  </si>
  <si>
    <t>RFQ-MPBRIS-G-33-2020</t>
  </si>
  <si>
    <t>TUPBACEQ-PB-07-CBP-F164-20-G</t>
  </si>
  <si>
    <t>TESDA PR-0297</t>
  </si>
  <si>
    <t>RFQ # 2020-07-20109</t>
  </si>
  <si>
    <t>2020-06-108</t>
  </si>
  <si>
    <t>BgySanJuan 2020 - 002</t>
  </si>
  <si>
    <t>2020122</t>
  </si>
  <si>
    <t>20200810-18-G</t>
  </si>
  <si>
    <t>20200810-19-G</t>
  </si>
  <si>
    <t>infra 2020-08-001</t>
  </si>
  <si>
    <t>20200810-20-G</t>
  </si>
  <si>
    <t>BARASRIZAL2020-035</t>
  </si>
  <si>
    <t>BARASRIZAL2020-033</t>
  </si>
  <si>
    <t>SVP-116-2020</t>
  </si>
  <si>
    <t>20-1293</t>
  </si>
  <si>
    <t>16-08-2020</t>
  </si>
  <si>
    <t>20200810-23-G</t>
  </si>
  <si>
    <t>SA-INF-2020-08-0007</t>
  </si>
  <si>
    <t>N132-2020</t>
  </si>
  <si>
    <t>P.R. No. 2020-07-082</t>
  </si>
  <si>
    <t>PR-2020-7-125</t>
  </si>
  <si>
    <t>2020-10A</t>
  </si>
  <si>
    <t>2020-08-01R</t>
  </si>
  <si>
    <t>20200810-22-G</t>
  </si>
  <si>
    <t>2020004</t>
  </si>
  <si>
    <t>20GM00180</t>
  </si>
  <si>
    <t>AMP-GOODS-2020-08-0037</t>
  </si>
  <si>
    <t>20200810-15-G</t>
  </si>
  <si>
    <t>20200810-17-G</t>
  </si>
  <si>
    <t>H01-Aug2020</t>
  </si>
  <si>
    <t>AMP-GOODS-2020-08-0036</t>
  </si>
  <si>
    <t>20GM00185</t>
  </si>
  <si>
    <t>171-20</t>
  </si>
  <si>
    <t>2020-10B</t>
  </si>
  <si>
    <t>2020124</t>
  </si>
  <si>
    <t>GSD-20-97008(ECA)</t>
  </si>
  <si>
    <t>20GM00184</t>
  </si>
  <si>
    <t>AMP-GOODS-2020-08-0035</t>
  </si>
  <si>
    <t>LGU-Banayoyo, ISur 2020-08-068</t>
  </si>
  <si>
    <t>n133-2020</t>
  </si>
  <si>
    <t>2020-001-BID-A</t>
  </si>
  <si>
    <t>17-08-2020</t>
  </si>
  <si>
    <t>AMP-GOODS-2020-08-0034</t>
  </si>
  <si>
    <t>20GM00183</t>
  </si>
  <si>
    <t>20200810-24-G</t>
  </si>
  <si>
    <t>20GM00181</t>
  </si>
  <si>
    <t>P.R. No. 2020-07-083</t>
  </si>
  <si>
    <t>LGU-Banayoyo, ISur 2020-08-070</t>
  </si>
  <si>
    <t>2020-08-02R</t>
  </si>
  <si>
    <t>2020-64</t>
  </si>
  <si>
    <t>2020-002-RFQ</t>
  </si>
  <si>
    <t>RFQ No. 20-0723 NP-SV</t>
  </si>
  <si>
    <t>BPPP-2020-08-006</t>
  </si>
  <si>
    <t>CNU 20-08-247</t>
  </si>
  <si>
    <t>SA-GOODS-2020-08-0009</t>
  </si>
  <si>
    <t>CODH 200-20-06-07121</t>
  </si>
  <si>
    <t>2020-08-11-01</t>
  </si>
  <si>
    <t>PB2020-05</t>
  </si>
  <si>
    <t>2020-007-BID-A</t>
  </si>
  <si>
    <t>RFQ-GEPS2008-002</t>
  </si>
  <si>
    <t>BPPP-2020-08-007</t>
  </si>
  <si>
    <t>AMP-GOODS-2020-08-0039</t>
  </si>
  <si>
    <t>2020-08-083</t>
  </si>
  <si>
    <t>2020</t>
  </si>
  <si>
    <t>PB2020-06</t>
  </si>
  <si>
    <t>20GM00182</t>
  </si>
  <si>
    <t>20-08-367</t>
  </si>
  <si>
    <t>PGO 200-20-05-05981</t>
  </si>
  <si>
    <t>20-08-354</t>
  </si>
  <si>
    <t>RFQ 2020-08-027</t>
  </si>
  <si>
    <t>CBGAD 200-20-07-08698</t>
  </si>
  <si>
    <t>20-08-368</t>
  </si>
  <si>
    <t>2020-0006</t>
  </si>
  <si>
    <t>SCMGP 200-20-07-08693</t>
  </si>
  <si>
    <t>SVP-CAT20-71</t>
  </si>
  <si>
    <t>20-08-01-23</t>
  </si>
  <si>
    <t>RFQ-GEPS2008-001</t>
  </si>
  <si>
    <t>174-20</t>
  </si>
  <si>
    <t>Goods-2020-185</t>
  </si>
  <si>
    <t>N134-2020</t>
  </si>
  <si>
    <t>2020-08-0040</t>
  </si>
  <si>
    <t>2020-08-026</t>
  </si>
  <si>
    <t>DATA 200-20-05-05027</t>
  </si>
  <si>
    <t>2020123</t>
  </si>
  <si>
    <t>ITB No. GOP/20-DSWD-046</t>
  </si>
  <si>
    <t>RFQ-GS-20200720-07</t>
  </si>
  <si>
    <t>LGUTMO BAC 2020-1436</t>
  </si>
  <si>
    <t>PR0119-20 PEO</t>
  </si>
  <si>
    <t>OGDS 08-7-20</t>
  </si>
  <si>
    <t>2020-88</t>
  </si>
  <si>
    <t>2020-07-092(07308603)</t>
  </si>
  <si>
    <t>DOH-MMCHD 2020-08-233-G</t>
  </si>
  <si>
    <t>2020-87</t>
  </si>
  <si>
    <t>OCCO-2020-02</t>
  </si>
  <si>
    <t>PR0053-20 PSWDO</t>
  </si>
  <si>
    <t>2020-02-0075</t>
  </si>
  <si>
    <t>100-20-08-0021</t>
  </si>
  <si>
    <t>104-20</t>
  </si>
  <si>
    <t>GOODS-67-2020</t>
  </si>
  <si>
    <t>2020-182</t>
  </si>
  <si>
    <t>ITB NO. 013 OF 2020</t>
  </si>
  <si>
    <t>14cmob4-15-20</t>
  </si>
  <si>
    <t>RFQ-GS-20200713-05</t>
  </si>
  <si>
    <t>AMP-029-2020</t>
  </si>
  <si>
    <t>NP-ConstMate-DAB-082020-09</t>
  </si>
  <si>
    <t>bcwd-2020-072</t>
  </si>
  <si>
    <t>bcwd-2020-071</t>
  </si>
  <si>
    <t>20-04</t>
  </si>
  <si>
    <t>RFQ # 2020-07-20106</t>
  </si>
  <si>
    <t>103-20</t>
  </si>
  <si>
    <t>2020-0235</t>
  </si>
  <si>
    <t>24</t>
  </si>
  <si>
    <t>GOODS-20-S216</t>
  </si>
  <si>
    <t>Bidding-03-August2020</t>
  </si>
  <si>
    <t>GOODS-20-S215</t>
  </si>
  <si>
    <t>08-20-18</t>
  </si>
  <si>
    <t>20GOC0011</t>
  </si>
  <si>
    <t>2020-90</t>
  </si>
  <si>
    <t>RFQ-2020-08-0003</t>
  </si>
  <si>
    <t>PR-OE-2020-08-11</t>
  </si>
  <si>
    <t>2020-89</t>
  </si>
  <si>
    <t>2020-255-2</t>
  </si>
  <si>
    <t>100-2002-200-GF</t>
  </si>
  <si>
    <t>100-2007-0501</t>
  </si>
  <si>
    <t>2020-07-325</t>
  </si>
  <si>
    <t>100-08-20-565</t>
  </si>
  <si>
    <t>0000</t>
  </si>
  <si>
    <t>20-88</t>
  </si>
  <si>
    <t>SP(SEC)-20-062/20-063(NP/SV)</t>
  </si>
  <si>
    <t>PAPC-OVCPA_HHSG-2020-11392-5358</t>
  </si>
  <si>
    <t>20OC0117</t>
  </si>
  <si>
    <t>2020-08-047</t>
  </si>
  <si>
    <t>08-20-19</t>
  </si>
  <si>
    <t>RFQ NO. 2020-08-211</t>
  </si>
  <si>
    <t>2020080701</t>
  </si>
  <si>
    <t>OGDS 08-8-20</t>
  </si>
  <si>
    <t>bcwd-2020-074</t>
  </si>
  <si>
    <t>20OC0119</t>
  </si>
  <si>
    <t>08-2020-0306</t>
  </si>
  <si>
    <t>lgumat-2020-0048</t>
  </si>
  <si>
    <t>MinSCAT RFQ 2020-52</t>
  </si>
  <si>
    <t>SOCOM-SPOF-1665-20</t>
  </si>
  <si>
    <t>2020-07-206 E</t>
  </si>
  <si>
    <t>48</t>
  </si>
  <si>
    <t>PR No. 2020-03-24</t>
  </si>
  <si>
    <t>2008006</t>
  </si>
  <si>
    <t>G-130-20</t>
  </si>
  <si>
    <t>20OC00118</t>
  </si>
  <si>
    <t>DENR-NCR, PR NO. 2020-564</t>
  </si>
  <si>
    <t>Goods 2020-42</t>
  </si>
  <si>
    <t>08-20-17</t>
  </si>
  <si>
    <t>20OC0120</t>
  </si>
  <si>
    <t>GOODS-68-2020</t>
  </si>
  <si>
    <t>2020-055</t>
  </si>
  <si>
    <t>2020-08-0344</t>
  </si>
  <si>
    <t>2020-08-0178</t>
  </si>
  <si>
    <t>2020-08-492</t>
  </si>
  <si>
    <t>LGU-BALINGASAG-9005-20-087</t>
  </si>
  <si>
    <t>202008002</t>
  </si>
  <si>
    <t>100-08-20-562</t>
  </si>
  <si>
    <t>(2FB)N20-08-076 PURCHASE OF CAMERA FOR CITY ASSESS</t>
  </si>
  <si>
    <t>Goods 2020-43</t>
  </si>
  <si>
    <t>202-08-92-20</t>
  </si>
  <si>
    <t>20OC0121</t>
  </si>
  <si>
    <t>0883</t>
  </si>
  <si>
    <t>SVP-20-53</t>
  </si>
  <si>
    <t>RFQ2020-08-0271 (PR#1011-20-07-0378)</t>
  </si>
  <si>
    <t>DAG-2020-08-060</t>
  </si>
  <si>
    <t>Bid No. 20-0401</t>
  </si>
  <si>
    <t>00166-2020</t>
  </si>
  <si>
    <t>SVP-20-52</t>
  </si>
  <si>
    <t>lgumat-2020-0049</t>
  </si>
  <si>
    <t>Bid No. 20-0402</t>
  </si>
  <si>
    <t>DOH-MMCHD 2020-08-235-G</t>
  </si>
  <si>
    <t>100-08-20-561</t>
  </si>
  <si>
    <t>RQ NO. 2020.02.385</t>
  </si>
  <si>
    <t>PRN-2020-08-001</t>
  </si>
  <si>
    <t>56-2020</t>
  </si>
  <si>
    <t>08-2020-0313</t>
  </si>
  <si>
    <t>202-08-93-20</t>
  </si>
  <si>
    <t>20JBG0064</t>
  </si>
  <si>
    <t>20AC0117</t>
  </si>
  <si>
    <t>DOH-MMCHD 2020-08-234-G</t>
  </si>
  <si>
    <t>2020-01-1168</t>
  </si>
  <si>
    <t>1990</t>
  </si>
  <si>
    <t>100-08-20-559</t>
  </si>
  <si>
    <t>RFQ-2020-08-036</t>
  </si>
  <si>
    <t>RFQ2020-07-0225 (PR#1091-20-06-0258)</t>
  </si>
  <si>
    <t>20OC0122</t>
  </si>
  <si>
    <t>GA-BAC-AM # 2020-040</t>
  </si>
  <si>
    <t>DOH-MMCHD 2020-08-236-G</t>
  </si>
  <si>
    <t>2020-108</t>
  </si>
  <si>
    <t>tala_infras2020-08-002</t>
  </si>
  <si>
    <t>PR. 20-07-293 (2020-08-277)</t>
  </si>
  <si>
    <t>0544</t>
  </si>
  <si>
    <t>PB 01-08-2020</t>
  </si>
  <si>
    <t>GS-2020-09</t>
  </si>
  <si>
    <t>100-08-20-560</t>
  </si>
  <si>
    <t>94-E</t>
  </si>
  <si>
    <t>GHQPC-OJ7-RMB-1682-20</t>
  </si>
  <si>
    <t>SVP-20-54</t>
  </si>
  <si>
    <t>100-2020-07-912</t>
  </si>
  <si>
    <t>2020-541</t>
  </si>
  <si>
    <t>SDOCoM-Project No. 2020-001-G (Reproduction of Gr4</t>
  </si>
  <si>
    <t>TALOOT ITB 01-2020</t>
  </si>
  <si>
    <t>SVP-BSC-082020-010</t>
  </si>
  <si>
    <t>PG-SV-20-16</t>
  </si>
  <si>
    <t>08-2020-0307</t>
  </si>
  <si>
    <t>GOODS-69-2020</t>
  </si>
  <si>
    <t>100-08-20-558</t>
  </si>
  <si>
    <t>20OC0123</t>
  </si>
  <si>
    <t>202-08-94-20</t>
  </si>
  <si>
    <t>BUE-08072020-01</t>
  </si>
  <si>
    <t>20-08-07</t>
  </si>
  <si>
    <t>PB-13-07-2020-Goods</t>
  </si>
  <si>
    <t>(2FB)N20-08-078 PURCHASE OF MEDICAL SUPPLIES FOR C</t>
  </si>
  <si>
    <t>RFQ2020-08-0275 (PR#1011-20-08-0384)</t>
  </si>
  <si>
    <t>SVP 2020-040</t>
  </si>
  <si>
    <t>100-08-20-557</t>
  </si>
  <si>
    <t>SN20-08-834</t>
  </si>
  <si>
    <t>100-08-20-563</t>
  </si>
  <si>
    <t>2020-7-385</t>
  </si>
  <si>
    <t>2020-91</t>
  </si>
  <si>
    <t>100-08-20-564</t>
  </si>
  <si>
    <t>burgos-2020-206-062</t>
  </si>
  <si>
    <t>A5-20-1625</t>
  </si>
  <si>
    <t>ATI2020-07-267</t>
  </si>
  <si>
    <t>278</t>
  </si>
  <si>
    <t>2020-109</t>
  </si>
  <si>
    <t>lgumat-2020-0047</t>
  </si>
  <si>
    <t>PO 2020-07-30</t>
  </si>
  <si>
    <t>RFQ 2020-08-102</t>
  </si>
  <si>
    <t>INFR-2020-11</t>
  </si>
  <si>
    <t>0023-0096-1360-2020</t>
  </si>
  <si>
    <t>PB-14-07-2020-Goods</t>
  </si>
  <si>
    <t>RFQ-G-2020-100</t>
  </si>
  <si>
    <t>BANTAYAN-2020-08-0233</t>
  </si>
  <si>
    <t>20CC0214</t>
  </si>
  <si>
    <t>08-06-2020-007</t>
  </si>
  <si>
    <t>QSU-BAC-H-14-2020 05D DEFTAC</t>
  </si>
  <si>
    <t>0018-0013-1358-2020</t>
  </si>
  <si>
    <t>DOH-MMCHD 2020-08-237-G</t>
  </si>
  <si>
    <t>0072-0006-1371-2020</t>
  </si>
  <si>
    <t>DepEd.Pang2 2020-08-0001</t>
  </si>
  <si>
    <t>Tum2020-001</t>
  </si>
  <si>
    <t>566-08-2020 (IPHO)</t>
  </si>
  <si>
    <t>2020-02-129</t>
  </si>
  <si>
    <t>200-2020-07-024</t>
  </si>
  <si>
    <t>2020-07-215</t>
  </si>
  <si>
    <t>Tum2020-003</t>
  </si>
  <si>
    <t>200-2020-07-018</t>
  </si>
  <si>
    <t>08-06-2020-008</t>
  </si>
  <si>
    <t>PAPC-OG8PA_HHSG-2020-11326-5359</t>
  </si>
  <si>
    <t>100-2020-07-914</t>
  </si>
  <si>
    <t>BS20-07-0792</t>
  </si>
  <si>
    <t>NNP_CivilWorks_2020-08-038</t>
  </si>
  <si>
    <t>08-06-2020-006</t>
  </si>
  <si>
    <t>Tum2020-002</t>
  </si>
  <si>
    <t>SVP 2020-041</t>
  </si>
  <si>
    <t>202-08-95-20</t>
  </si>
  <si>
    <t>2020 - 01</t>
  </si>
  <si>
    <t>PB-17-08-2020-Goods</t>
  </si>
  <si>
    <t>Tum2020-004</t>
  </si>
  <si>
    <t>2020-107</t>
  </si>
  <si>
    <t>BS20-08-0824</t>
  </si>
  <si>
    <t>GOODS - 2020-08-082</t>
  </si>
  <si>
    <t>PB-15-07-20-Goods</t>
  </si>
  <si>
    <t>101-20-08-RFQ0982</t>
  </si>
  <si>
    <t>RFQ2020-08-0277 (PR#1011-20-08-0381)</t>
  </si>
  <si>
    <t>101-20-08-RFQ0981</t>
  </si>
  <si>
    <t>20-07-0092</t>
  </si>
  <si>
    <t>20-03-0094</t>
  </si>
  <si>
    <t>RFQ No. 2020-38-08</t>
  </si>
  <si>
    <t>BS20-06-0695</t>
  </si>
  <si>
    <t>RFQ 2020/08-025</t>
  </si>
  <si>
    <t>PR 2020-07-307</t>
  </si>
  <si>
    <t>2020 - 08 - 017 (136 - Shopping)</t>
  </si>
  <si>
    <t>101-20-08-RFQ0980</t>
  </si>
  <si>
    <t>2020-07-2820</t>
  </si>
  <si>
    <t>109CO - 07 - 2020 - 135</t>
  </si>
  <si>
    <t>101-20-08-RFQ0983</t>
  </si>
  <si>
    <t>RFQ2020-08-0276 (PR1011-20-08-0381)</t>
  </si>
  <si>
    <t>CMO(HRO)-20-033(NP/SV)</t>
  </si>
  <si>
    <t>202-08-96-20</t>
  </si>
  <si>
    <t>07-00877</t>
  </si>
  <si>
    <t>PR. 20-07-266 (2020-08-278)</t>
  </si>
  <si>
    <t>006</t>
  </si>
  <si>
    <t>HPMA-2020-07-0464</t>
  </si>
  <si>
    <t>563-08-2020 (PGO-Peace and Order Council)</t>
  </si>
  <si>
    <t>2020GUADALUPE001</t>
  </si>
  <si>
    <t>RFQ-LARISIP-2020-028</t>
  </si>
  <si>
    <t>proc123</t>
  </si>
  <si>
    <t>2020-07-149(05206441)</t>
  </si>
  <si>
    <t>MinSCAT RFQ 2020-53</t>
  </si>
  <si>
    <t>2020-002 TES</t>
  </si>
  <si>
    <t>BAC A1-2020-07-4001</t>
  </si>
  <si>
    <t>2020-08-0262</t>
  </si>
  <si>
    <t>SN20-08-835</t>
  </si>
  <si>
    <t>RFQ2020-34</t>
  </si>
  <si>
    <t>101-20-08-RFQ0984</t>
  </si>
  <si>
    <t>COLAWIN NfNP 2020-01</t>
  </si>
  <si>
    <t>PB2020-013</t>
  </si>
  <si>
    <t>G-131-20C</t>
  </si>
  <si>
    <t>020 Reproduction of Learning Modules</t>
  </si>
  <si>
    <t>565-08-2020 (IPHO)</t>
  </si>
  <si>
    <t>100-20-08-505</t>
  </si>
  <si>
    <t>2020 - 08 - 11 (26 - Small Value Procurement)</t>
  </si>
  <si>
    <t>SOLANO 095-2020</t>
  </si>
  <si>
    <t>03-2020</t>
  </si>
  <si>
    <t>G-092-0549-20</t>
  </si>
  <si>
    <t>080720</t>
  </si>
  <si>
    <t>300-2020-07-019</t>
  </si>
  <si>
    <t>2020-0076</t>
  </si>
  <si>
    <t>CMO(ADM)-20-013(NP/SV)</t>
  </si>
  <si>
    <t>2020-07-09</t>
  </si>
  <si>
    <t>564-08-2020 (IPHO)</t>
  </si>
  <si>
    <t>PB 2020-12</t>
  </si>
  <si>
    <t>20-08-009</t>
  </si>
  <si>
    <t>DAR-2020-10</t>
  </si>
  <si>
    <t>RFQ-LARISIP-2020-029</t>
  </si>
  <si>
    <t>2020-06-0191</t>
  </si>
  <si>
    <t>wvsurfq 20-032</t>
  </si>
  <si>
    <t>nlp2020-22</t>
  </si>
  <si>
    <t>20GH0128</t>
  </si>
  <si>
    <t>QSU-BAC-H-16-2020 01D CO</t>
  </si>
  <si>
    <t>UPR No TRADOC-OG4-MO3-T142-2020</t>
  </si>
  <si>
    <t>20-387</t>
  </si>
  <si>
    <t>MPDC-001-08-2020</t>
  </si>
  <si>
    <t>2020-8711-047</t>
  </si>
  <si>
    <t>567-08-2020 (IPHO)</t>
  </si>
  <si>
    <t>2020-Nanga-02</t>
  </si>
  <si>
    <t>RFQ-ASDI-ADN-2020-049</t>
  </si>
  <si>
    <t>202016</t>
  </si>
  <si>
    <t>2020-08-0074</t>
  </si>
  <si>
    <t>JAMPANG ITB 2020-04</t>
  </si>
  <si>
    <t>202008025</t>
  </si>
  <si>
    <t>562-08-2020 (LMCH)</t>
  </si>
  <si>
    <t>2020-08-07-01</t>
  </si>
  <si>
    <t>TIGUIB INFRA ITB 03-2020</t>
  </si>
  <si>
    <t>2020-G-311,312,313 &amp; 314</t>
  </si>
  <si>
    <t>014-20</t>
  </si>
  <si>
    <t>202008026</t>
  </si>
  <si>
    <t>PROC-20-CONSTRUCTION</t>
  </si>
  <si>
    <t>GOODS - 2020-08-083</t>
  </si>
  <si>
    <t>SVP-VJLN-2020-07-0785 GAA</t>
  </si>
  <si>
    <t>BAC-PGCS-019-2020</t>
  </si>
  <si>
    <t>ITB-20-06-003</t>
  </si>
  <si>
    <t>20-441</t>
  </si>
  <si>
    <t>2020-07-0242</t>
  </si>
  <si>
    <t>20-389</t>
  </si>
  <si>
    <t>SVP-VJLN-2020-07-0783 GAA</t>
  </si>
  <si>
    <t>RFQ 2020-010</t>
  </si>
  <si>
    <t>196-2020</t>
  </si>
  <si>
    <t>2020-300-004</t>
  </si>
  <si>
    <t>2020-08-0263</t>
  </si>
  <si>
    <t>S00341-2020</t>
  </si>
  <si>
    <t>197-2020</t>
  </si>
  <si>
    <t>OLD2020-001</t>
  </si>
  <si>
    <t>SVP-VJLN-2020-07-0774 GAA</t>
  </si>
  <si>
    <t>20-08-165</t>
  </si>
  <si>
    <t>GDS-2020-16</t>
  </si>
  <si>
    <t>PALG-03-2019</t>
  </si>
  <si>
    <t>OMM-2020-02</t>
  </si>
  <si>
    <t>PR2020080011</t>
  </si>
  <si>
    <t>202008024</t>
  </si>
  <si>
    <t>2020-SVP-08-038</t>
  </si>
  <si>
    <t>Brgy Sapaan</t>
  </si>
  <si>
    <t>BAC PGCS-027-2020</t>
  </si>
  <si>
    <t>RFQ (PR NO.) 2020-08-113</t>
  </si>
  <si>
    <t>RFQ NO. EMB-AFMD-AP-SHOPPING-G-0104-8-5-2020  2020</t>
  </si>
  <si>
    <t>2020-08-05-0161</t>
  </si>
  <si>
    <t>202001002C</t>
  </si>
  <si>
    <t>SVP-VJLN-2020-07-0772-0773</t>
  </si>
  <si>
    <t>100-20-08-0064</t>
  </si>
  <si>
    <t>DTIRO1-2020-009</t>
  </si>
  <si>
    <t>PR-TAC-3627-20</t>
  </si>
  <si>
    <t>SVP-VJLN-2020-0750 GAA</t>
  </si>
  <si>
    <t>LENGIGON ITB 01-2020</t>
  </si>
  <si>
    <t>86-2020</t>
  </si>
  <si>
    <t>SJADS GOODS 20-13</t>
  </si>
  <si>
    <t>100-20-08-0063</t>
  </si>
  <si>
    <t>2020-07-0765 GAA</t>
  </si>
  <si>
    <t>RFQ 679</t>
  </si>
  <si>
    <t>PR-2020-2044</t>
  </si>
  <si>
    <t>PR-OE-2020-08-20</t>
  </si>
  <si>
    <t>RFQ 2020-08-003</t>
  </si>
  <si>
    <t>PR-2020-2024</t>
  </si>
  <si>
    <t>2020-040 Risograph Machine</t>
  </si>
  <si>
    <t>RFQ-ATI-RTC4A-2020-07-092A</t>
  </si>
  <si>
    <t>RFQ 2020-168</t>
  </si>
  <si>
    <t>PR-2020-2018</t>
  </si>
  <si>
    <t>RFQ 2020-94</t>
  </si>
  <si>
    <t>DBM-NCR-2020-010</t>
  </si>
  <si>
    <t>041-2020</t>
  </si>
  <si>
    <t>11-2020</t>
  </si>
  <si>
    <t>BAC-20-08-081 (IMCD)</t>
  </si>
  <si>
    <t>2020-08-202</t>
  </si>
  <si>
    <t>RFQ # 20-0469.</t>
  </si>
  <si>
    <t>20-0053-08</t>
  </si>
  <si>
    <t>2020-SVP-08-039</t>
  </si>
  <si>
    <t>2020-03-0876.2020-02-0812</t>
  </si>
  <si>
    <t>GOODS-70-2020</t>
  </si>
  <si>
    <t>PR-2020-1935</t>
  </si>
  <si>
    <t>10-2020</t>
  </si>
  <si>
    <t>NIU-101-2020</t>
  </si>
  <si>
    <t>RFQ 2020-95</t>
  </si>
  <si>
    <t>2020-01-04</t>
  </si>
  <si>
    <t>20-0054-08</t>
  </si>
  <si>
    <t>LGUTMO BAC 2020-1230</t>
  </si>
  <si>
    <t>RFQ 2020-96</t>
  </si>
  <si>
    <t>100-2020-GOODS-511</t>
  </si>
  <si>
    <t>RFQ-28-20</t>
  </si>
  <si>
    <t>20-03-0110</t>
  </si>
  <si>
    <t>MGPIN 2020-016</t>
  </si>
  <si>
    <t>PR-2020-1997</t>
  </si>
  <si>
    <t>2020-08-24</t>
  </si>
  <si>
    <t>2020-08-093</t>
  </si>
  <si>
    <t>LGU Valencia, Bohol 2020 - 070</t>
  </si>
  <si>
    <t>PR-2020-1996</t>
  </si>
  <si>
    <t>UPRIIS-DII-2020-COT</t>
  </si>
  <si>
    <t>CAMPA-2020-001</t>
  </si>
  <si>
    <t>0562</t>
  </si>
  <si>
    <t>2020-08-204</t>
  </si>
  <si>
    <t>RFQ 2020-97</t>
  </si>
  <si>
    <t>302</t>
  </si>
  <si>
    <t>Budget Certificate No. 318-2020</t>
  </si>
  <si>
    <t>100-200-GOODS-506</t>
  </si>
  <si>
    <t>RFQ # 20-0502</t>
  </si>
  <si>
    <t>C20-005-08</t>
  </si>
  <si>
    <t>GS-GF-2020-0327 (repost)</t>
  </si>
  <si>
    <t>AMP2020-041</t>
  </si>
  <si>
    <t>304</t>
  </si>
  <si>
    <t>TOURISM-PR2020-08-161-SVP</t>
  </si>
  <si>
    <t>2020-2440</t>
  </si>
  <si>
    <t>PGC-RFQ-20200807-1</t>
  </si>
  <si>
    <t>ITB No. GOP/20-DSWD-045-A</t>
  </si>
  <si>
    <t>20-07-0050</t>
  </si>
  <si>
    <t>LGUTMO BAC 2020-1410</t>
  </si>
  <si>
    <t>01-AMBG-2020</t>
  </si>
  <si>
    <t>303</t>
  </si>
  <si>
    <t>2020-08-022</t>
  </si>
  <si>
    <t>117225</t>
  </si>
  <si>
    <t>305</t>
  </si>
  <si>
    <t>LSPUSinC-2020-033A</t>
  </si>
  <si>
    <t>GS-GF-2020-0352</t>
  </si>
  <si>
    <t>N-205-2020</t>
  </si>
  <si>
    <t>2020227</t>
  </si>
  <si>
    <t>CATCAM-2020-24</t>
  </si>
  <si>
    <t>0820-652-643</t>
  </si>
  <si>
    <t>DENR-NCR, PR NO. 2020-565</t>
  </si>
  <si>
    <t>2020-SVP-08-042</t>
  </si>
  <si>
    <t>2020-066</t>
  </si>
  <si>
    <t>2020-02-01</t>
  </si>
  <si>
    <t>1431</t>
  </si>
  <si>
    <t>SEF-I-71-2020</t>
  </si>
  <si>
    <t>100-1011-2020-07-577</t>
  </si>
  <si>
    <t>LGU Valencia, Bohol 2020 - 072</t>
  </si>
  <si>
    <t>ATI2020-07-268</t>
  </si>
  <si>
    <t>Dawan - 03-20</t>
  </si>
  <si>
    <t>RFQ (PR NO.) 2020-07-101</t>
  </si>
  <si>
    <t>GS-GF-2020-0354</t>
  </si>
  <si>
    <t>2020-PLA-085</t>
  </si>
  <si>
    <t>GS-GF-2020-0353</t>
  </si>
  <si>
    <t>SVP-VJLN-2020-08-0797-0798-0799 GAA</t>
  </si>
  <si>
    <t>RFQ NO. 2020-08-07-(9070)</t>
  </si>
  <si>
    <t>RFQ NO. 20-08-207</t>
  </si>
  <si>
    <t>20GB00033</t>
  </si>
  <si>
    <t>Aklan BAC RFQ 446 Series of 2020</t>
  </si>
  <si>
    <t>DENR-NCR, PR NO. 2020-562</t>
  </si>
  <si>
    <t>2020-SVP-08-041</t>
  </si>
  <si>
    <t>BAC RFQ 20-569</t>
  </si>
  <si>
    <t>2020-100-08-028</t>
  </si>
  <si>
    <t>SVP-VJLN-2020-07-0776 GAA</t>
  </si>
  <si>
    <t>20 - 569</t>
  </si>
  <si>
    <t>2020-2815</t>
  </si>
  <si>
    <t>BAC RFQ 20-579</t>
  </si>
  <si>
    <t>RFQ-NP-SVP-re262-2020</t>
  </si>
  <si>
    <t>306</t>
  </si>
  <si>
    <t>307</t>
  </si>
  <si>
    <t>CATCAM-2020-25</t>
  </si>
  <si>
    <t>J08-2020-001</t>
  </si>
  <si>
    <t>0820-653-644</t>
  </si>
  <si>
    <t>2020-07-85</t>
  </si>
  <si>
    <t>2020228</t>
  </si>
  <si>
    <t>cb-infra-2020-05</t>
  </si>
  <si>
    <t>2020-07-523</t>
  </si>
  <si>
    <t>100-1011-2020-07-578</t>
  </si>
  <si>
    <t>2020-07-009</t>
  </si>
  <si>
    <t>309</t>
  </si>
  <si>
    <t>BAC RFQ 20-576</t>
  </si>
  <si>
    <t>2020-08-205</t>
  </si>
  <si>
    <t>cb-infra-2020-04</t>
  </si>
  <si>
    <t>BAC-08-1100</t>
  </si>
  <si>
    <t>20-PR-137</t>
  </si>
  <si>
    <t>2020 - 35</t>
  </si>
  <si>
    <t>BAC RFQ 20-572</t>
  </si>
  <si>
    <t>2020-07-10</t>
  </si>
  <si>
    <t>2020 Caib 146</t>
  </si>
  <si>
    <t>200-2020-07-019</t>
  </si>
  <si>
    <t>TFW-2020-08-020</t>
  </si>
  <si>
    <t>RFQ 2020-0048</t>
  </si>
  <si>
    <t>20-08-01</t>
  </si>
  <si>
    <t>GS-GF-2020-0355</t>
  </si>
  <si>
    <t>2020-54</t>
  </si>
  <si>
    <t>2020-08-0457</t>
  </si>
  <si>
    <t>RFQ-4A-BNN-PSU-2020-08-0004</t>
  </si>
  <si>
    <t>DENR-NCR, PR NO. 2020-563</t>
  </si>
  <si>
    <t>2020-375, 2020-382</t>
  </si>
  <si>
    <t>308</t>
  </si>
  <si>
    <t>PR No.308115-2020-08-SGNHS-009</t>
  </si>
  <si>
    <t>BAC-08-1101</t>
  </si>
  <si>
    <t>BAC RFQ 20-577</t>
  </si>
  <si>
    <t>SPC PR No. 1000033646</t>
  </si>
  <si>
    <t>LAMISCA IMO 08-07-2020 RFQ</t>
  </si>
  <si>
    <t>300-2020-07-020</t>
  </si>
  <si>
    <t>4238</t>
  </si>
  <si>
    <t>DENR-NCR, PR NO. 2020-560</t>
  </si>
  <si>
    <t>PR_20_07_067_052_OfficeFurnitures</t>
  </si>
  <si>
    <t>0614-001</t>
  </si>
  <si>
    <t>2020-075</t>
  </si>
  <si>
    <t>RFQ-30</t>
  </si>
  <si>
    <t>20-159</t>
  </si>
  <si>
    <t>2020-08-044</t>
  </si>
  <si>
    <t>cb-infra-2020-06</t>
  </si>
  <si>
    <t>310</t>
  </si>
  <si>
    <t>20H00082</t>
  </si>
  <si>
    <t>MD4-20-0113</t>
  </si>
  <si>
    <t>RFQ No. 2020-044</t>
  </si>
  <si>
    <t>2020-G-279 &amp; 280</t>
  </si>
  <si>
    <t>F6-20-1635</t>
  </si>
  <si>
    <t>100-1011-2020-07-576</t>
  </si>
  <si>
    <t>Aklan BAC RFQ 445 Series of 2020</t>
  </si>
  <si>
    <t>2020-07-001</t>
  </si>
  <si>
    <t>N-204-2020</t>
  </si>
  <si>
    <t>100-07-20-02044</t>
  </si>
  <si>
    <t>CAL-3791-20</t>
  </si>
  <si>
    <t>100-20-08-0065</t>
  </si>
  <si>
    <t>LGU Valencia, Bohol 2020 - 071</t>
  </si>
  <si>
    <t>2008001</t>
  </si>
  <si>
    <t>cb-infra-2020-08</t>
  </si>
  <si>
    <t>20-08-02</t>
  </si>
  <si>
    <t>20-07-457</t>
  </si>
  <si>
    <t>2020-07-013-RFQ</t>
  </si>
  <si>
    <t>ATI2020-07-269</t>
  </si>
  <si>
    <t>InTB-PGAPEO2020OIP-CW3</t>
  </si>
  <si>
    <t>AFPPS-SPOF-1690-20</t>
  </si>
  <si>
    <t>494-2020</t>
  </si>
  <si>
    <t>cb-infra-2020-10</t>
  </si>
  <si>
    <t>20-46873</t>
  </si>
  <si>
    <t>311</t>
  </si>
  <si>
    <t>20-08-454</t>
  </si>
  <si>
    <t>nego7</t>
  </si>
  <si>
    <t>20-08-089</t>
  </si>
  <si>
    <t>2020-07-031-RFQ</t>
  </si>
  <si>
    <t>ITB 2020-47</t>
  </si>
  <si>
    <t>RFQ-TPB-PR.2020.07.227</t>
  </si>
  <si>
    <t>100-1011-2020-07-579</t>
  </si>
  <si>
    <t>100-2008-0557</t>
  </si>
  <si>
    <t>IB-GOODS-2020-04A Procurement of Medical, Dental a</t>
  </si>
  <si>
    <t>2020-08-206</t>
  </si>
  <si>
    <t>2019-0716-2G</t>
  </si>
  <si>
    <t>BAC-08-1102</t>
  </si>
  <si>
    <t>J08-2020-002</t>
  </si>
  <si>
    <t>PUR20-07-0618, PUR20-07-0619, PUR20-07-0620, PUR20</t>
  </si>
  <si>
    <t>QSU-BAC-H-15-2020</t>
  </si>
  <si>
    <t>11271</t>
  </si>
  <si>
    <t>DENR-NCR, PR NO. 2020-551</t>
  </si>
  <si>
    <t>RFQ-0807 #2 SM-430/437</t>
  </si>
  <si>
    <t>1435</t>
  </si>
  <si>
    <t>PR #00823</t>
  </si>
  <si>
    <t>20-08-453</t>
  </si>
  <si>
    <t>100(09-A)20-07-1456</t>
  </si>
  <si>
    <t>184-20 FINALIZATION OF MODULES IN M.A.P.E.H</t>
  </si>
  <si>
    <t>ATI2020-07-270</t>
  </si>
  <si>
    <t>BG2020-103-811</t>
  </si>
  <si>
    <t>RFQ NO. EMB-EMB-PGSS 103-08-07-2020-2ND POSTING PR</t>
  </si>
  <si>
    <t>2019-0710-3G</t>
  </si>
  <si>
    <t>BCS-2020-0275</t>
  </si>
  <si>
    <t>20-28</t>
  </si>
  <si>
    <t>msj-2020-30</t>
  </si>
  <si>
    <t>burgos-2020-209-063</t>
  </si>
  <si>
    <t>2020-SEF-024-462</t>
  </si>
  <si>
    <t>G-2020-08-0361 / G-2020-08-0362</t>
  </si>
  <si>
    <t>492-2020</t>
  </si>
  <si>
    <t>2020-08-PobD-ITB-ImprovMPHall-003</t>
  </si>
  <si>
    <t>S2-BIR20-011</t>
  </si>
  <si>
    <t>2020-278</t>
  </si>
  <si>
    <t>RFQ 20-08-055</t>
  </si>
  <si>
    <t>LPNHS-SHS-RFQ-G-2020-19</t>
  </si>
  <si>
    <t>908871</t>
  </si>
  <si>
    <t>2020-266</t>
  </si>
  <si>
    <t>bung-aw 03-2020</t>
  </si>
  <si>
    <t>100(01)20-07-1477</t>
  </si>
  <si>
    <t>08-0011-20</t>
  </si>
  <si>
    <t>11349</t>
  </si>
  <si>
    <t>G6-20-1567</t>
  </si>
  <si>
    <t>GOODS-2020-08-110</t>
  </si>
  <si>
    <t>RFQ 2020-08-004</t>
  </si>
  <si>
    <t>2008-049</t>
  </si>
  <si>
    <t>2020-267</t>
  </si>
  <si>
    <t>2020-067</t>
  </si>
  <si>
    <t>DOH-MMCHD 2020-08-238-G</t>
  </si>
  <si>
    <t>S00346-2020</t>
  </si>
  <si>
    <t>MG-A7M20-122</t>
  </si>
  <si>
    <t>RSPQ NO. 2020-08-044</t>
  </si>
  <si>
    <t>2020-PAPS-006-515</t>
  </si>
  <si>
    <t>BBG-WV#031-2020</t>
  </si>
  <si>
    <t>2020-08-009-RFQ</t>
  </si>
  <si>
    <t>TFW-2020-08-021</t>
  </si>
  <si>
    <t>0807-001</t>
  </si>
  <si>
    <t>SHb -136-20</t>
  </si>
  <si>
    <t>2020-08-010-RFQ</t>
  </si>
  <si>
    <t>Ibaan/2020/256</t>
  </si>
  <si>
    <t>DBM-2020-0122</t>
  </si>
  <si>
    <t>SVP-VJLN-2020-06-0613 GF-RF</t>
  </si>
  <si>
    <t>RFQ-GS-20200730-01</t>
  </si>
  <si>
    <t>G-2020-08-0363</t>
  </si>
  <si>
    <t>IB NO. N-2020-08-112</t>
  </si>
  <si>
    <t>8-8-2020</t>
  </si>
  <si>
    <t>000319</t>
  </si>
  <si>
    <t>RFQ-GS-20200803-02</t>
  </si>
  <si>
    <t>POD20-096</t>
  </si>
  <si>
    <t>100-20-07-0371</t>
  </si>
  <si>
    <t>Goods 2020-055</t>
  </si>
  <si>
    <t>MG-A7M20-121</t>
  </si>
  <si>
    <t>0807-002</t>
  </si>
  <si>
    <t>100-20-08-0070</t>
  </si>
  <si>
    <t>100-20-08-0069</t>
  </si>
  <si>
    <t>DBM-2020-0123</t>
  </si>
  <si>
    <t>2008-052</t>
  </si>
  <si>
    <t>2020-1021-049</t>
  </si>
  <si>
    <t>S2-CMD20-002</t>
  </si>
  <si>
    <t>0807-004</t>
  </si>
  <si>
    <t>08-0010-20</t>
  </si>
  <si>
    <t>101-20</t>
  </si>
  <si>
    <t>12042019A</t>
  </si>
  <si>
    <t>Aklan BAC RFQ 447 Series of 2020</t>
  </si>
  <si>
    <t>0807-003</t>
  </si>
  <si>
    <t>045-2020</t>
  </si>
  <si>
    <t>PR2020-529</t>
  </si>
  <si>
    <t>I-2020-023</t>
  </si>
  <si>
    <t>POD20-121</t>
  </si>
  <si>
    <t>EMB-R4A-017-20</t>
  </si>
  <si>
    <t>RFQ-GS-20200706-01</t>
  </si>
  <si>
    <t>0807-006</t>
  </si>
  <si>
    <t>2020-074</t>
  </si>
  <si>
    <t>RFQ 2020-98</t>
  </si>
  <si>
    <t>DBM-2020-0124</t>
  </si>
  <si>
    <t>2020-08-0005</t>
  </si>
  <si>
    <t>0000782-008-007-2020</t>
  </si>
  <si>
    <t>2020-8811-19-516</t>
  </si>
  <si>
    <t>20GH00003</t>
  </si>
  <si>
    <t>PR #00824</t>
  </si>
  <si>
    <t>MG-A7M20-119</t>
  </si>
  <si>
    <t>200-20-08-0145</t>
  </si>
  <si>
    <t>CONALUM ITB 01-2020</t>
  </si>
  <si>
    <t>ATFID-OTSM-1691-20</t>
  </si>
  <si>
    <t>2020-020</t>
  </si>
  <si>
    <t>GF-08-07-20-01</t>
  </si>
  <si>
    <t>Goods 2020-054</t>
  </si>
  <si>
    <t>B-20-33</t>
  </si>
  <si>
    <t>DEPED-BOHOL-2020-08-115</t>
  </si>
  <si>
    <t>2020-06-539</t>
  </si>
  <si>
    <t>2020-08-012-RFQ</t>
  </si>
  <si>
    <t>0000783-008-007-2020</t>
  </si>
  <si>
    <t>DBM-2020-0125</t>
  </si>
  <si>
    <t>046-2020</t>
  </si>
  <si>
    <t>PR 2020-07-305 &amp; 306</t>
  </si>
  <si>
    <t>PR #00821</t>
  </si>
  <si>
    <t>QSU-BAC-H-17-2020</t>
  </si>
  <si>
    <t>LGU LAUREL 20-08-003</t>
  </si>
  <si>
    <t>2008-050</t>
  </si>
  <si>
    <t>2008-051</t>
  </si>
  <si>
    <t>06-2020-INFRA</t>
  </si>
  <si>
    <t>2020-08-172</t>
  </si>
  <si>
    <t>POD20-127</t>
  </si>
  <si>
    <t>0000784-008-007-2020</t>
  </si>
  <si>
    <t>2020-08-0332</t>
  </si>
  <si>
    <t>POD20-128</t>
  </si>
  <si>
    <t>RFQ-GS-20200707-01</t>
  </si>
  <si>
    <t>JHS - 002 - 08 - 2020</t>
  </si>
  <si>
    <t>JHS - 003 - 08 - 2020</t>
  </si>
  <si>
    <t>100200801164</t>
  </si>
  <si>
    <t>PR # 2020-08-143</t>
  </si>
  <si>
    <t>2020-06-00441</t>
  </si>
  <si>
    <t>0000785-008-007-2020</t>
  </si>
  <si>
    <t>2020-02-36</t>
  </si>
  <si>
    <t>20-08-08</t>
  </si>
  <si>
    <t>DBM-2020-0128</t>
  </si>
  <si>
    <t>EQPT-2020-009</t>
  </si>
  <si>
    <t>POD20-130</t>
  </si>
  <si>
    <t>2020-111</t>
  </si>
  <si>
    <t>SGLU-N-2020-08-016</t>
  </si>
  <si>
    <t>RFQ-GS-20200715-05</t>
  </si>
  <si>
    <t>PGLDN 101-20-07-1284</t>
  </si>
  <si>
    <t>TULIC GOODS ITB 2020-01</t>
  </si>
  <si>
    <t>20-08-112</t>
  </si>
  <si>
    <t>DEPED-BOHOL-2020-08-116</t>
  </si>
  <si>
    <t>SGLU-N-2020-08-017</t>
  </si>
  <si>
    <t>S2-MPP20-018</t>
  </si>
  <si>
    <t>AMES2020-019</t>
  </si>
  <si>
    <t>RFQ Goods and Services 2020-018</t>
  </si>
  <si>
    <t>RFQ 200348</t>
  </si>
  <si>
    <t>POD20-129</t>
  </si>
  <si>
    <t>MPQ-080720-128</t>
  </si>
  <si>
    <t>DBM-2020-0127</t>
  </si>
  <si>
    <t>DBM-2020-0131</t>
  </si>
  <si>
    <t>20200807</t>
  </si>
  <si>
    <t>SGLU-B-2020-08-026</t>
  </si>
  <si>
    <t>2020-08-095</t>
  </si>
  <si>
    <t>0807-005</t>
  </si>
  <si>
    <t>2020-08-094</t>
  </si>
  <si>
    <t>S2-BH220-006</t>
  </si>
  <si>
    <t>S-133-2020</t>
  </si>
  <si>
    <t>SGLU-B-2020-08-025</t>
  </si>
  <si>
    <t>N-202-2020</t>
  </si>
  <si>
    <t>SVP-2020-08-171</t>
  </si>
  <si>
    <t>POD20-134</t>
  </si>
  <si>
    <t>DBM-2020-0130</t>
  </si>
  <si>
    <t>2020-031</t>
  </si>
  <si>
    <t>200-20-08-0148</t>
  </si>
  <si>
    <t>2020-389</t>
  </si>
  <si>
    <t>SLC-27-3RD-20OSE</t>
  </si>
  <si>
    <t>IB No. 2020-08</t>
  </si>
  <si>
    <t>2020LGU-08-68</t>
  </si>
  <si>
    <t>RFQ No. 2020 SVP-80</t>
  </si>
  <si>
    <t>POD20-135</t>
  </si>
  <si>
    <t>n-206-2020</t>
  </si>
  <si>
    <t>RFQ Goods and Services 2020-019</t>
  </si>
  <si>
    <t>2020-07-15</t>
  </si>
  <si>
    <t>08-0013-20</t>
  </si>
  <si>
    <t>0724-08-2020</t>
  </si>
  <si>
    <t>RFQ-GS-20200708-07</t>
  </si>
  <si>
    <t>2020-55</t>
  </si>
  <si>
    <t>2020-08-0027</t>
  </si>
  <si>
    <t>2020-390</t>
  </si>
  <si>
    <t>0695</t>
  </si>
  <si>
    <t>DAR-2020-11</t>
  </si>
  <si>
    <t>PGLDN 101-20-07-1409</t>
  </si>
  <si>
    <t>RFQ-1</t>
  </si>
  <si>
    <t>COLAWIN ITB 2020-02</t>
  </si>
  <si>
    <t>POD20-131</t>
  </si>
  <si>
    <t>200-2020-08-011</t>
  </si>
  <si>
    <t>MOOE2020001</t>
  </si>
  <si>
    <t>100-1011-2020-07-580</t>
  </si>
  <si>
    <t>2020-02-37</t>
  </si>
  <si>
    <t>RFQ No. 20-08-204</t>
  </si>
  <si>
    <t>2020-08-264</t>
  </si>
  <si>
    <t>2020-AUGUST-019</t>
  </si>
  <si>
    <t>2020svp -300-696</t>
  </si>
  <si>
    <t>N-638-2020</t>
  </si>
  <si>
    <t>PGLDN 101-20-06 1233</t>
  </si>
  <si>
    <t>BAC-08-1104</t>
  </si>
  <si>
    <t>20HL0114</t>
  </si>
  <si>
    <t>20-PR-138</t>
  </si>
  <si>
    <t>2020-GOODS-NP-86</t>
  </si>
  <si>
    <t>PR No. 1691 -20BAC</t>
  </si>
  <si>
    <t>001-08-2020</t>
  </si>
  <si>
    <t>POD20-132</t>
  </si>
  <si>
    <t>RFQ-2</t>
  </si>
  <si>
    <t>493-2020</t>
  </si>
  <si>
    <t>4LRC-LRR-NAF-40-20</t>
  </si>
  <si>
    <t>SVP 2020-414</t>
  </si>
  <si>
    <t>IB No. 2020-09</t>
  </si>
  <si>
    <t>N-597-2020</t>
  </si>
  <si>
    <t>S2-CAL20-016</t>
  </si>
  <si>
    <t>2020-GOODS-NP-87</t>
  </si>
  <si>
    <t>2020-362</t>
  </si>
  <si>
    <t>2020svp - 301-700</t>
  </si>
  <si>
    <t>RFQ-2020-08-0006</t>
  </si>
  <si>
    <t>479-07/29/2020</t>
  </si>
  <si>
    <t>MNE-G-2020-8-20</t>
  </si>
  <si>
    <t>100200801128</t>
  </si>
  <si>
    <t>G3-20-1522</t>
  </si>
  <si>
    <t>08-105-2020</t>
  </si>
  <si>
    <t>SVP-2020-443</t>
  </si>
  <si>
    <t>308117-2020-08-013</t>
  </si>
  <si>
    <t>2020-GOODS-NP-85</t>
  </si>
  <si>
    <t>2020-447</t>
  </si>
  <si>
    <t>2020-08-097</t>
  </si>
  <si>
    <t>20HJ0121</t>
  </si>
  <si>
    <t>2020-GOODS-NP-88</t>
  </si>
  <si>
    <t>Ibaan/2020/257</t>
  </si>
  <si>
    <t>08082020CATERING</t>
  </si>
  <si>
    <t>S00348-2020</t>
  </si>
  <si>
    <t>2020svp - 302-698</t>
  </si>
  <si>
    <t>S2-GUI20-012</t>
  </si>
  <si>
    <t>POD20-137</t>
  </si>
  <si>
    <t>2020-G1-015</t>
  </si>
  <si>
    <t>509-08/05/2020</t>
  </si>
  <si>
    <t>2020-08-0020</t>
  </si>
  <si>
    <t>ATI2020-07-271</t>
  </si>
  <si>
    <t>PR No. 2020-03-23</t>
  </si>
  <si>
    <t>RFQ NO. 2020-08-07-(9073)</t>
  </si>
  <si>
    <t>2020svp - 306-965</t>
  </si>
  <si>
    <t>2020-0096</t>
  </si>
  <si>
    <t>0072-0005-1270-2020</t>
  </si>
  <si>
    <t>2020svp - 303-694</t>
  </si>
  <si>
    <t>RFQ-3</t>
  </si>
  <si>
    <t>S2-GIG20-011</t>
  </si>
  <si>
    <t>TAYSAN2020-063R</t>
  </si>
  <si>
    <t>B7-20-28</t>
  </si>
  <si>
    <t>5LRC-LRR-NAF-41-2020</t>
  </si>
  <si>
    <t>20HL0115</t>
  </si>
  <si>
    <t>S2-TAG20-010</t>
  </si>
  <si>
    <t>2020-044</t>
  </si>
  <si>
    <t>20HJ0123</t>
  </si>
  <si>
    <t>GOODS-2020-164</t>
  </si>
  <si>
    <t>2020svp - 305-703</t>
  </si>
  <si>
    <t>2020svp - 308-698</t>
  </si>
  <si>
    <t>MOOE 2020 001</t>
  </si>
  <si>
    <t>MALONES ITB 04-2020</t>
  </si>
  <si>
    <t>RFQ-NP-SVP-338-2020</t>
  </si>
  <si>
    <t>ITB 20-08-003</t>
  </si>
  <si>
    <t>20GIL0056</t>
  </si>
  <si>
    <t>287</t>
  </si>
  <si>
    <t>RFQ#2</t>
  </si>
  <si>
    <t>GHQPC-OJ1-RMOS-1694-20</t>
  </si>
  <si>
    <t>2020svp - 307-701</t>
  </si>
  <si>
    <t>20HJ0122</t>
  </si>
  <si>
    <t>SVP-2020-08-07-01</t>
  </si>
  <si>
    <t>LRS-NAF-45-20</t>
  </si>
  <si>
    <t>2020-448</t>
  </si>
  <si>
    <t>AMES2020-021</t>
  </si>
  <si>
    <t>POD20-136</t>
  </si>
  <si>
    <t>MPG-B1-2020-373 2nd Rebid</t>
  </si>
  <si>
    <t>POD20-122</t>
  </si>
  <si>
    <t>MEEPUO-006-2020</t>
  </si>
  <si>
    <t>POD20-119</t>
  </si>
  <si>
    <t>RFQ 2020-044</t>
  </si>
  <si>
    <t>2020-08-603</t>
  </si>
  <si>
    <t>20HJ0124</t>
  </si>
  <si>
    <t>2020-07-012</t>
  </si>
  <si>
    <t>2020-08-099</t>
  </si>
  <si>
    <t>GoodsSVP-68-2020</t>
  </si>
  <si>
    <t>S2-CAP20-022</t>
  </si>
  <si>
    <t>ITB 20-08-004</t>
  </si>
  <si>
    <t>708200336</t>
  </si>
  <si>
    <t>2020svp - 310-704</t>
  </si>
  <si>
    <t>POD20-117</t>
  </si>
  <si>
    <t>20-07-150</t>
  </si>
  <si>
    <t>DSC-20-08-148</t>
  </si>
  <si>
    <t>2020-444</t>
  </si>
  <si>
    <t>708200335</t>
  </si>
  <si>
    <t>2020svp - 309-702</t>
  </si>
  <si>
    <t>HHC-LRR-NAF-44-20</t>
  </si>
  <si>
    <t>LRR-NAF-46-2020</t>
  </si>
  <si>
    <t>PGLDN 101-20-01-0223</t>
  </si>
  <si>
    <t>GOODS-2020-163</t>
  </si>
  <si>
    <t>LGU-100-2020-08-856</t>
  </si>
  <si>
    <t>2020-385</t>
  </si>
  <si>
    <t>PR No. 2020-03-22</t>
  </si>
  <si>
    <t>2020-06-562</t>
  </si>
  <si>
    <t>SLC-29-3RD-20SEME-ICT</t>
  </si>
  <si>
    <t>1983</t>
  </si>
  <si>
    <t>PB-2020-002</t>
  </si>
  <si>
    <t>ITB 20-08-001</t>
  </si>
  <si>
    <t>288</t>
  </si>
  <si>
    <t>2020-08-0022</t>
  </si>
  <si>
    <t>708200337</t>
  </si>
  <si>
    <t>S2-MGS20-005</t>
  </si>
  <si>
    <t>2020-08-098</t>
  </si>
  <si>
    <t>POD20-142</t>
  </si>
  <si>
    <t>G40-2020</t>
  </si>
  <si>
    <t>CLMD-20-08-440</t>
  </si>
  <si>
    <t>289</t>
  </si>
  <si>
    <t>RFQ No. 2020-135</t>
  </si>
  <si>
    <t>AMES2020-020</t>
  </si>
  <si>
    <t>GS-P16-2020-09-02</t>
  </si>
  <si>
    <t>2020-034</t>
  </si>
  <si>
    <t>NDCP-RFQ-052-07-20</t>
  </si>
  <si>
    <t>2020-08-0028</t>
  </si>
  <si>
    <t>RFQ 2020-08-049</t>
  </si>
  <si>
    <t>1011-20-08-06</t>
  </si>
  <si>
    <t>2020-08-0075</t>
  </si>
  <si>
    <t>S2-LIM20-003</t>
  </si>
  <si>
    <t>POD20-148</t>
  </si>
  <si>
    <t>290</t>
  </si>
  <si>
    <t>PR-059-2020</t>
  </si>
  <si>
    <t>2020-08-001DN</t>
  </si>
  <si>
    <t>RFQ No. 2020- 136</t>
  </si>
  <si>
    <t>20-07-152</t>
  </si>
  <si>
    <t>2020-1414</t>
  </si>
  <si>
    <t>2020-445</t>
  </si>
  <si>
    <t>20HJ0126</t>
  </si>
  <si>
    <t>sjom-2020-0628</t>
  </si>
  <si>
    <t>A2007-524</t>
  </si>
  <si>
    <t>2020svp - 296 -697</t>
  </si>
  <si>
    <t>LRR-NAF-37-2020</t>
  </si>
  <si>
    <t>100200701117</t>
  </si>
  <si>
    <t>2020-388</t>
  </si>
  <si>
    <t>GF-674</t>
  </si>
  <si>
    <t>2020-Goods-003</t>
  </si>
  <si>
    <t>2020-08-096</t>
  </si>
  <si>
    <t>2020-GGSS-BRGY. TANAGAN</t>
  </si>
  <si>
    <t>2008031</t>
  </si>
  <si>
    <t>ITB-2020-38</t>
  </si>
  <si>
    <t>MPG-B1-2020-344</t>
  </si>
  <si>
    <t>2020-08-LE-014</t>
  </si>
  <si>
    <t>030-20</t>
  </si>
  <si>
    <t>SLC-28-3RD-20TEM</t>
  </si>
  <si>
    <t>RFQ 20-195</t>
  </si>
  <si>
    <t>IB NO. N-2020-08-114</t>
  </si>
  <si>
    <t>RFQ 200345</t>
  </si>
  <si>
    <t>DBM-2020-0129</t>
  </si>
  <si>
    <t>NP-113-20</t>
  </si>
  <si>
    <t>2020-08-541/549</t>
  </si>
  <si>
    <t>0000786-008-007-2020</t>
  </si>
  <si>
    <t>RFQ RO1 2020-0807-019</t>
  </si>
  <si>
    <t>S2-SVP20-012</t>
  </si>
  <si>
    <t>0694</t>
  </si>
  <si>
    <t>S2-GIG20-008</t>
  </si>
  <si>
    <t>SJADS INFRA 20-10</t>
  </si>
  <si>
    <t>20-07-151</t>
  </si>
  <si>
    <t>SGLU-B-2020-08-024</t>
  </si>
  <si>
    <t>S-168-2020</t>
  </si>
  <si>
    <t>20-08-183 to 187</t>
  </si>
  <si>
    <t>DSC-20-08-149</t>
  </si>
  <si>
    <t>PR 20-08-1945</t>
  </si>
  <si>
    <t>RO-G-20-021</t>
  </si>
  <si>
    <t>20GMC0158</t>
  </si>
  <si>
    <t>2020-08-13</t>
  </si>
  <si>
    <t>GEPS-108375-001</t>
  </si>
  <si>
    <t>2020-042</t>
  </si>
  <si>
    <t>2020-08-039</t>
  </si>
  <si>
    <t>2020-08-0021</t>
  </si>
  <si>
    <t>20GMC0157</t>
  </si>
  <si>
    <t>2020-446</t>
  </si>
  <si>
    <t>2020-223</t>
  </si>
  <si>
    <t>RFQ No. 2020-138</t>
  </si>
  <si>
    <t>1011-20-08-07</t>
  </si>
  <si>
    <t>POD20-143</t>
  </si>
  <si>
    <t>08072003</t>
  </si>
  <si>
    <t>AdmD20-07-050</t>
  </si>
  <si>
    <t>ITB-2020-22a</t>
  </si>
  <si>
    <t>RFQ 2020-08-050</t>
  </si>
  <si>
    <t>SUPPLY AND DELIVERY OF VARIOUS ELECTRICAL SPARE PA</t>
  </si>
  <si>
    <t>2020-08-023</t>
  </si>
  <si>
    <t>20GMC0161</t>
  </si>
  <si>
    <t>S2-MPP20-017</t>
  </si>
  <si>
    <t>20-08-010</t>
  </si>
  <si>
    <t>BCD-2020-051</t>
  </si>
  <si>
    <t>2020-08-153</t>
  </si>
  <si>
    <t>20GMC0160</t>
  </si>
  <si>
    <t>POD20-115</t>
  </si>
  <si>
    <t>20HH0149</t>
  </si>
  <si>
    <t>PR 20-08-1944</t>
  </si>
  <si>
    <t>20DQ0133</t>
  </si>
  <si>
    <t>NFW-08-0061-20</t>
  </si>
  <si>
    <t>G-2020-300</t>
  </si>
  <si>
    <t>2020-PBG-08-006</t>
  </si>
  <si>
    <t>20-08-012</t>
  </si>
  <si>
    <t>AMP-RFQ-2020-136</t>
  </si>
  <si>
    <t>8/195/2020</t>
  </si>
  <si>
    <t>BCD-2020-052</t>
  </si>
  <si>
    <t>BCD-2020-053</t>
  </si>
  <si>
    <t>20-023</t>
  </si>
  <si>
    <t>medel81-0307</t>
  </si>
  <si>
    <t>2020-DES-0012</t>
  </si>
  <si>
    <t>LGU-2020-190</t>
  </si>
  <si>
    <t>doc 1</t>
  </si>
  <si>
    <t>20DQ0134</t>
  </si>
  <si>
    <t>LGU-2020-188</t>
  </si>
  <si>
    <t>308123-2020-08-04</t>
  </si>
  <si>
    <t>DSC-20-08-150</t>
  </si>
  <si>
    <t>DOLE-Caraga-2020-08-07-0001</t>
  </si>
  <si>
    <t>RFQ-S-LUIMO-04-08-2020</t>
  </si>
  <si>
    <t>Barangay Concepcion 2020-08-009</t>
  </si>
  <si>
    <t>RFQ No. 2020-137</t>
  </si>
  <si>
    <t>PIKCOT-SUPP-002020-00175</t>
  </si>
  <si>
    <t>PIKCOT-SUPP-002020-00174</t>
  </si>
  <si>
    <t>TESDA PR-0289</t>
  </si>
  <si>
    <t>ARCY2019</t>
  </si>
  <si>
    <t>72IB-2020-000 Construction Materials &amp; Supplies</t>
  </si>
  <si>
    <t>MPG-B1-2020-244</t>
  </si>
  <si>
    <t>AMP-RFQ-2020-137</t>
  </si>
  <si>
    <t>20-22</t>
  </si>
  <si>
    <t>20-08-013</t>
  </si>
  <si>
    <t>ITB-SSS-GOODS-2020-024</t>
  </si>
  <si>
    <t>PR NO. 20-08-670</t>
  </si>
  <si>
    <t>BAC3-NIH-IMBB-PR10759</t>
  </si>
  <si>
    <t>2020-20</t>
  </si>
  <si>
    <t>ITA-02-2020</t>
  </si>
  <si>
    <t>20-07-0761</t>
  </si>
  <si>
    <t>LGU-2020-189</t>
  </si>
  <si>
    <t>ITA-01-2020</t>
  </si>
  <si>
    <t>2020 - 08 - 041</t>
  </si>
  <si>
    <t>08-PR-2020-0042</t>
  </si>
  <si>
    <t>67IB-2020-05-06 Other Supplies &amp; Materials</t>
  </si>
  <si>
    <t>2020-DES-011</t>
  </si>
  <si>
    <t>2020 - 08 - 042</t>
  </si>
  <si>
    <t>08-2020-02</t>
  </si>
  <si>
    <t>2020-07-0021</t>
  </si>
  <si>
    <t>DIII-2020-08-106</t>
  </si>
  <si>
    <t>DIII-2020-08-105</t>
  </si>
  <si>
    <t>67IB-2020-04-04 Vehicle Parts &amp; Accessories</t>
  </si>
  <si>
    <t>2020-07-0022</t>
  </si>
  <si>
    <t>20GD0113</t>
  </si>
  <si>
    <t>TPB-RFQ 2020-08-228</t>
  </si>
  <si>
    <t>20-08-0431</t>
  </si>
  <si>
    <t>2020-08-082</t>
  </si>
  <si>
    <t>BRGY898 - 2020 - 01</t>
  </si>
  <si>
    <t>PR No. 2020-BE07-0009</t>
  </si>
  <si>
    <t>IA-S-20-028</t>
  </si>
  <si>
    <t>Goods2020-039</t>
  </si>
  <si>
    <t>080720202</t>
  </si>
  <si>
    <t>20-08-SO159</t>
  </si>
  <si>
    <t>2020-08-130</t>
  </si>
  <si>
    <t>G002-08-2020</t>
  </si>
  <si>
    <t>20-085-C</t>
  </si>
  <si>
    <t>20GD0112</t>
  </si>
  <si>
    <t>ITB-2020-08-009</t>
  </si>
  <si>
    <t>RFQ 2020-08-23</t>
  </si>
  <si>
    <t>PR no. 2020-03-20</t>
  </si>
  <si>
    <t>RFQ-2020-08-0008</t>
  </si>
  <si>
    <t>NS-08-08-20-02-R1</t>
  </si>
  <si>
    <t>POW#20-07-4021-Copyprinter</t>
  </si>
  <si>
    <t>RFQ-2020-08-0007</t>
  </si>
  <si>
    <t>NS-08-08-20-01-R1</t>
  </si>
  <si>
    <t>PR No. 2020-03-18</t>
  </si>
  <si>
    <t>RFQ 2020-08-24</t>
  </si>
  <si>
    <t>DIII-2020-08-104</t>
  </si>
  <si>
    <t>2020-07-173</t>
  </si>
  <si>
    <t>POW#20-07-4021-Laptop</t>
  </si>
  <si>
    <t>520200702658</t>
  </si>
  <si>
    <t>2020-06-1276, 2020-06-1222, etc.</t>
  </si>
  <si>
    <t>POW#20-08-2085</t>
  </si>
  <si>
    <t>ITB # 2020-43</t>
  </si>
  <si>
    <t>RFQ-08-042</t>
  </si>
  <si>
    <t>PR#100-20-07-387</t>
  </si>
  <si>
    <t>28IB-2020-005 Other Supplies &amp; Materials</t>
  </si>
  <si>
    <t>POW#20-07-4021-Bondpaper</t>
  </si>
  <si>
    <t>PR#100-20-08-087</t>
  </si>
  <si>
    <t>14544</t>
  </si>
  <si>
    <t>PWN-GOODS-2020-G-006</t>
  </si>
  <si>
    <t>202008001</t>
  </si>
  <si>
    <t>2020-08-056</t>
  </si>
  <si>
    <t>AMP SVP-D NO: 20-07-0420 One (1) Lot Laboratory Su</t>
  </si>
  <si>
    <t>RCEF 2020-07-</t>
  </si>
  <si>
    <t>POW#20-07-4021-Copier</t>
  </si>
  <si>
    <t>PR#100-20-06-488</t>
  </si>
  <si>
    <t>2020-08-0039</t>
  </si>
  <si>
    <t>GEPS-21-2020</t>
  </si>
  <si>
    <t>POW#20-07-4021-Printer lease</t>
  </si>
  <si>
    <t>2020-11-CW</t>
  </si>
  <si>
    <t>PR#100-20-07-013</t>
  </si>
  <si>
    <t>ITB 2020 08-001</t>
  </si>
  <si>
    <t>2020-B1-06-023</t>
  </si>
  <si>
    <t>2020-B1-03-009</t>
  </si>
  <si>
    <t>DENR-ORMIN-030-2020</t>
  </si>
  <si>
    <t>2020-B1-02</t>
  </si>
  <si>
    <t>2020-B1-07-027</t>
  </si>
  <si>
    <t>2020-12-CW</t>
  </si>
  <si>
    <t>20CSBD001</t>
  </si>
  <si>
    <t>REOI NO. EMB-EEID-CONSULTANCY-104 08-07-2020 P.R.</t>
  </si>
  <si>
    <t>54877</t>
  </si>
  <si>
    <t>2020-B1-07-026</t>
  </si>
  <si>
    <t>20-1700</t>
  </si>
  <si>
    <t>2020-B1-06-022</t>
  </si>
  <si>
    <t>36-GOODS-SVP-2020</t>
  </si>
  <si>
    <t>2020-B2-07-025</t>
  </si>
  <si>
    <t>20-1698</t>
  </si>
  <si>
    <t>20-0771</t>
  </si>
  <si>
    <t>35-GOODS-SVP-2020</t>
  </si>
  <si>
    <t>0822</t>
  </si>
  <si>
    <t>2020-07-006</t>
  </si>
  <si>
    <t>PIN 2020-01</t>
  </si>
  <si>
    <t>RFQ 2020-06</t>
  </si>
  <si>
    <t>2020-07-015</t>
  </si>
  <si>
    <t>20-08-05-27</t>
  </si>
  <si>
    <t>0778</t>
  </si>
  <si>
    <t>2020-Barangay San Vicente-002</t>
  </si>
  <si>
    <t>2020-07-131</t>
  </si>
  <si>
    <t>2020-07-110</t>
  </si>
  <si>
    <t>2020-08-G</t>
  </si>
  <si>
    <t>2020-B2-07-024</t>
  </si>
  <si>
    <t>AMP SVP-D NO: 20-07-0419 One (1) Lot Laboratory Su</t>
  </si>
  <si>
    <t>2020-221</t>
  </si>
  <si>
    <t>FY-2020-GOODS-020</t>
  </si>
  <si>
    <t xml:space="preserve">AMP SVP-S NO: 20-08-0430 One (1) Lot Managed WiFi </t>
  </si>
  <si>
    <t>420200702647</t>
  </si>
  <si>
    <t>20-004-03</t>
  </si>
  <si>
    <t>ITB-2020-08-008</t>
  </si>
  <si>
    <t>2020-0048</t>
  </si>
  <si>
    <t>PR No. 2020-03-21</t>
  </si>
  <si>
    <t>PR# 020-0246</t>
  </si>
  <si>
    <t>POW#20-08-2084</t>
  </si>
  <si>
    <t>2020-0047</t>
  </si>
  <si>
    <t>PR No. 2020-BE07-00010</t>
  </si>
  <si>
    <t>Pr 2020-08-081</t>
  </si>
  <si>
    <t>2020-07-0024</t>
  </si>
  <si>
    <t>IA-CM-20-027</t>
  </si>
  <si>
    <t>TESDA PR-0288-2</t>
  </si>
  <si>
    <t>FY-2020-GOODS-021</t>
  </si>
  <si>
    <t>20-07-719</t>
  </si>
  <si>
    <t>P.R. No. 20-0101</t>
  </si>
  <si>
    <t>SVP-0094-2020</t>
  </si>
  <si>
    <t>TESDA PR-0240</t>
  </si>
  <si>
    <t>TESDA PR-0288-1</t>
  </si>
  <si>
    <t>20-07-738</t>
  </si>
  <si>
    <t>20-08-757</t>
  </si>
  <si>
    <t>2020-08-28-061CW</t>
  </si>
  <si>
    <t>005</t>
  </si>
  <si>
    <t>20-07-740</t>
  </si>
  <si>
    <t>RFQ16-3</t>
  </si>
  <si>
    <t>2020-08-28-060CW</t>
  </si>
  <si>
    <t>20-06-690</t>
  </si>
  <si>
    <t>20-1696</t>
  </si>
  <si>
    <t>20-06-691</t>
  </si>
  <si>
    <t>2020-07-0023</t>
  </si>
  <si>
    <t>100(08-13-2020)</t>
  </si>
  <si>
    <t>BTA-BAC 003</t>
  </si>
  <si>
    <t>20-08-015</t>
  </si>
  <si>
    <t>medel82-0307</t>
  </si>
  <si>
    <t>20-08-011</t>
  </si>
  <si>
    <t>RFQ16-1</t>
  </si>
  <si>
    <t>TCW-2020-08-03-043</t>
  </si>
  <si>
    <t>20-1695</t>
  </si>
  <si>
    <t>20-1635</t>
  </si>
  <si>
    <t>20-08-016</t>
  </si>
  <si>
    <t>0881</t>
  </si>
  <si>
    <t>PR-2020-1061-0099</t>
  </si>
  <si>
    <t>PR-2020-1061-0089</t>
  </si>
  <si>
    <t>2020-08-28-062CW</t>
  </si>
  <si>
    <t>PR-2020-1061-0040</t>
  </si>
  <si>
    <t>04</t>
  </si>
  <si>
    <t>PR-2020-8751-0030</t>
  </si>
  <si>
    <t>20HH0150</t>
  </si>
  <si>
    <t>PR-2020-8751-0035</t>
  </si>
  <si>
    <t>PR-2020-8751-0034</t>
  </si>
  <si>
    <t>IB NO. CW 2020 - 111-A</t>
  </si>
  <si>
    <t>20-02-131</t>
  </si>
  <si>
    <t>0865</t>
  </si>
  <si>
    <t>IB NO. CW 2020 –  110-A</t>
  </si>
  <si>
    <t>GO-2020-08-143</t>
  </si>
  <si>
    <t>PR-2020-8751-0039</t>
  </si>
  <si>
    <t>IB NO. CW 2020 - 112-A</t>
  </si>
  <si>
    <t>20-02-272</t>
  </si>
  <si>
    <t>PR-2020-8751-0022</t>
  </si>
  <si>
    <t>GEPS-22-2020</t>
  </si>
  <si>
    <t>8-07-2020SGD1</t>
  </si>
  <si>
    <t>POD20-139</t>
  </si>
  <si>
    <t>360-2020</t>
  </si>
  <si>
    <t>PR-2020-9999-1640</t>
  </si>
  <si>
    <t>PR-2020-9999-1656</t>
  </si>
  <si>
    <t>PR-2020-8751-0020</t>
  </si>
  <si>
    <t>IB NO. CW 2020 - 113-A</t>
  </si>
  <si>
    <t>GEPS-23-2020</t>
  </si>
  <si>
    <t>IB NO. CW 2020 - 109-A</t>
  </si>
  <si>
    <t>2020-08-21</t>
  </si>
  <si>
    <t>IB NO. CW 2020 - 108-A</t>
  </si>
  <si>
    <t>20-06-688</t>
  </si>
  <si>
    <t>SUPPLY AND DELIVERY OF VARIOUS SIZES HDPE PIPE</t>
  </si>
  <si>
    <t>20-06-672</t>
  </si>
  <si>
    <t>20-06-697</t>
  </si>
  <si>
    <t>G-2020-299</t>
  </si>
  <si>
    <t>IB NO. CW 2020 - 082-B</t>
  </si>
  <si>
    <t>2020-08-225</t>
  </si>
  <si>
    <t>0882</t>
  </si>
  <si>
    <t>20DQ0132</t>
  </si>
  <si>
    <t>RFQ No. 2020-139</t>
  </si>
  <si>
    <t>POD20-114</t>
  </si>
  <si>
    <t xml:space="preserve">AMALBALAN 02-2020 - INSTALLATION OF SOLAR-POWERED </t>
  </si>
  <si>
    <t>DBM-2020-0126</t>
  </si>
  <si>
    <t>2020-08-00637</t>
  </si>
  <si>
    <t>S00347-2020</t>
  </si>
  <si>
    <t>20-037</t>
  </si>
  <si>
    <t>POD20-150</t>
  </si>
  <si>
    <t>20-8-200</t>
  </si>
  <si>
    <t>POD20-145</t>
  </si>
  <si>
    <t>PR #00822</t>
  </si>
  <si>
    <t>794</t>
  </si>
  <si>
    <t>20HC0190</t>
  </si>
  <si>
    <t>08-0012-20</t>
  </si>
  <si>
    <t>08072002</t>
  </si>
  <si>
    <t>20GMC0159</t>
  </si>
  <si>
    <t>BBG-WV#030-2020</t>
  </si>
  <si>
    <t>MG-A7T20-064</t>
  </si>
  <si>
    <t>2020-8711-048</t>
  </si>
  <si>
    <t>202008044</t>
  </si>
  <si>
    <t>2020-142-2</t>
  </si>
  <si>
    <t>RFQ-0807 #3 SM-525</t>
  </si>
  <si>
    <t>203877</t>
  </si>
  <si>
    <t>PR 20-08-1929</t>
  </si>
  <si>
    <t>20-26R</t>
  </si>
  <si>
    <t>P.R. No.:20-08-091</t>
  </si>
  <si>
    <t>F6-20-1636</t>
  </si>
  <si>
    <t>RESOLUTION 052 2020</t>
  </si>
  <si>
    <t>RFQ No. 20-0720 Shopping B</t>
  </si>
  <si>
    <t>P.R. No.:20-07-079</t>
  </si>
  <si>
    <t>RFQ NO. EMB-HRD-105-08-07-20</t>
  </si>
  <si>
    <t>BAC-08-1103</t>
  </si>
  <si>
    <t>SVP-CAT20-69</t>
  </si>
  <si>
    <t>nego9</t>
  </si>
  <si>
    <t>158.2020</t>
  </si>
  <si>
    <t>2020-130</t>
  </si>
  <si>
    <t>2020-3199</t>
  </si>
  <si>
    <t>20-160</t>
  </si>
  <si>
    <t>RFQ-0807 #1 SM-344</t>
  </si>
  <si>
    <t>20GH0129</t>
  </si>
  <si>
    <t>SJADS GOODS 20-14</t>
  </si>
  <si>
    <t>cb-infra-2020-07</t>
  </si>
  <si>
    <t>cb-infra-2020-09</t>
  </si>
  <si>
    <t>PROC 20- Supply and Delivery of BIR Deposit Slip</t>
  </si>
  <si>
    <t>20PE0092</t>
  </si>
  <si>
    <t>100-1011-2020-07-575</t>
  </si>
  <si>
    <t>BME-2020-CB-DT001</t>
  </si>
  <si>
    <t>2020-6</t>
  </si>
  <si>
    <t>2020-G-335, 339 &amp; 340</t>
  </si>
  <si>
    <t>20-46883</t>
  </si>
  <si>
    <t>20-0055-08</t>
  </si>
  <si>
    <t>2020-SVP-08-040</t>
  </si>
  <si>
    <t>GO-2020-08-144</t>
  </si>
  <si>
    <t>20DB0140</t>
  </si>
  <si>
    <t>CDH-20-0849-B</t>
  </si>
  <si>
    <t>GO-2020-08-145</t>
  </si>
  <si>
    <t>20DB0141</t>
  </si>
  <si>
    <t>CDH-19-1434-B ((RE-BID)</t>
  </si>
  <si>
    <t>CDH-20-0751-B</t>
  </si>
  <si>
    <t>15-2020_INFR</t>
  </si>
  <si>
    <t>RPT-20-0398-B (RE-BID)</t>
  </si>
  <si>
    <t>CDH-20-0434-B (RE-BID)</t>
  </si>
  <si>
    <t>RFQ-082020-N</t>
  </si>
  <si>
    <t>23-2020_INFR</t>
  </si>
  <si>
    <t>RPT-19-1100-B (RE-BID)</t>
  </si>
  <si>
    <t>GO-2020-08-148</t>
  </si>
  <si>
    <t>GO-2020-08-147</t>
  </si>
  <si>
    <t>GO-2020-08-146</t>
  </si>
  <si>
    <t>LMC-BBMPII-06</t>
  </si>
  <si>
    <t>2019-07-0003</t>
  </si>
  <si>
    <t>CDH-20-0826-B</t>
  </si>
  <si>
    <t>CAR-ADN-2020-097</t>
  </si>
  <si>
    <t>LMC-BBMPII-09</t>
  </si>
  <si>
    <t>CAR-ADN-2020-098</t>
  </si>
  <si>
    <t>LMC-BBMPII-20-07</t>
  </si>
  <si>
    <t>LMC-BBMPII-20-08</t>
  </si>
  <si>
    <t>2020-08-05-02</t>
  </si>
  <si>
    <t>08052020GOODSWINDOWBLINDS</t>
  </si>
  <si>
    <t>RPT-20-0399-B (RE-BID)</t>
  </si>
  <si>
    <t>2020-08-05-03</t>
  </si>
  <si>
    <t>LMC-BBMPII-20-05</t>
  </si>
  <si>
    <t>LMC-BBMPII-20-04</t>
  </si>
  <si>
    <t>201588</t>
  </si>
  <si>
    <t>MA-A2H20-019..TRANSDUCER KW MULTI PROGRAMMABLE</t>
  </si>
  <si>
    <t>PB2020-08-060I</t>
  </si>
  <si>
    <t>PB2020-08-059I</t>
  </si>
  <si>
    <t>CDH-20-0824-B</t>
  </si>
  <si>
    <t>RFQ 678</t>
  </si>
  <si>
    <t>JOY-SVP-2020-07-219-CD</t>
  </si>
  <si>
    <t>burgos-2020-177-060 (RP)</t>
  </si>
  <si>
    <t>CDH-20-0711-B (RE-BID)</t>
  </si>
  <si>
    <t>MG-TSE20-031..INST. OF ELECT'L. PANEL, CIRCUIT BRE</t>
  </si>
  <si>
    <t>burgos-2020-173-059 (RP)</t>
  </si>
  <si>
    <t>PR 308-020</t>
  </si>
  <si>
    <t>GO-2020-08-149</t>
  </si>
  <si>
    <t xml:space="preserve">MG-A5C20-002..SUBMERSIBLE PUMP FOR POTABLE WATER, </t>
  </si>
  <si>
    <t>PPO-20-0931-B</t>
  </si>
  <si>
    <t>PR# 020-0245</t>
  </si>
  <si>
    <t>200044</t>
  </si>
  <si>
    <t>08052020GOODSDEPEDSUPPLIES</t>
  </si>
  <si>
    <t xml:space="preserve">MG-A7C20-027..FILTER GOVERNOR, UNITS 3, 4 &amp; 5 FOR </t>
  </si>
  <si>
    <t>41</t>
  </si>
  <si>
    <t>ITB 2020 08-002</t>
  </si>
  <si>
    <t>2020-08-0031</t>
  </si>
  <si>
    <t>2020-1NFRA-P-03</t>
  </si>
  <si>
    <t>PB2020-08-111G</t>
  </si>
  <si>
    <t>PPO-20-0746-B</t>
  </si>
  <si>
    <t>BBG-WV#029-2020</t>
  </si>
  <si>
    <t>202177</t>
  </si>
  <si>
    <t>20HL0113</t>
  </si>
  <si>
    <t>PPO-20-0938-B</t>
  </si>
  <si>
    <t>CW001</t>
  </si>
  <si>
    <t>ITB No. 20-056 Supply and Delivery of Various Labo</t>
  </si>
  <si>
    <t>PB2020-08-112G</t>
  </si>
  <si>
    <t>AIP2020-DAG-2020(014)</t>
  </si>
  <si>
    <t>202186</t>
  </si>
  <si>
    <t>NPgoods025-2020</t>
  </si>
  <si>
    <t>MA-A2M20-003..REHAB OF GANTRY CRANE, AGUS 1 HEP</t>
  </si>
  <si>
    <t>20HK0113</t>
  </si>
  <si>
    <t>ECV-20GEE0048</t>
  </si>
  <si>
    <t>2020-08-061</t>
  </si>
  <si>
    <t>20HK0112</t>
  </si>
  <si>
    <t>2020-1NFRA-P-04</t>
  </si>
  <si>
    <t>B-048-2020</t>
  </si>
  <si>
    <t>2020-08-063</t>
  </si>
  <si>
    <t>20G032</t>
  </si>
  <si>
    <t>MG-A5M20-071..RE-TUBING OF 7 SETS AIR COOLER AG4</t>
  </si>
  <si>
    <t>SF Infra 2020-13</t>
  </si>
  <si>
    <t>2020-08-05-01</t>
  </si>
  <si>
    <t>ECV-20GEE0047</t>
  </si>
  <si>
    <t>006-08-2020</t>
  </si>
  <si>
    <t>SF Infra 2020-14</t>
  </si>
  <si>
    <t>JR# 020-0076</t>
  </si>
  <si>
    <t>B-047-2020</t>
  </si>
  <si>
    <t>018-2020</t>
  </si>
  <si>
    <t>AUGUST52020-5</t>
  </si>
  <si>
    <t>20-01-2020</t>
  </si>
  <si>
    <t>COB BAC Goods 2020-013-01</t>
  </si>
  <si>
    <t>2020-08-0002PB</t>
  </si>
  <si>
    <t>RGL2020-003</t>
  </si>
  <si>
    <t>ITB 20-08-13</t>
  </si>
  <si>
    <t>2020-08-066</t>
  </si>
  <si>
    <t>AUGUST52020-6</t>
  </si>
  <si>
    <t>ECV-20GEE0050</t>
  </si>
  <si>
    <t>2020-08-062</t>
  </si>
  <si>
    <t>RGL2020-006</t>
  </si>
  <si>
    <t>BSU - PROJECT NO. 2020- 292</t>
  </si>
  <si>
    <t>PB2020-08-061I</t>
  </si>
  <si>
    <t>INFRA 2020-43</t>
  </si>
  <si>
    <t>INFRA 2020-42</t>
  </si>
  <si>
    <t>RGL2020-005</t>
  </si>
  <si>
    <t>UCT-2020-08-0305</t>
  </si>
  <si>
    <t>HFE-2020-08-0302</t>
  </si>
  <si>
    <t>ITB-2020-08-055</t>
  </si>
  <si>
    <t>PR NO.2020-02-0001</t>
  </si>
  <si>
    <t>BMC-N-20-302</t>
  </si>
  <si>
    <t>TAPI-RFQ2020-004</t>
  </si>
  <si>
    <t>BMC-N-20-301</t>
  </si>
  <si>
    <t>RGL2020-004</t>
  </si>
  <si>
    <t>20FN0109</t>
  </si>
  <si>
    <t>LF 2020-002</t>
  </si>
  <si>
    <t>2020-030</t>
  </si>
  <si>
    <t>20-06-0847</t>
  </si>
  <si>
    <t>CIU-2020-08-0304</t>
  </si>
  <si>
    <t>SV-2020-005</t>
  </si>
  <si>
    <t>HCGDSV-0820-001</t>
  </si>
  <si>
    <t>20201648</t>
  </si>
  <si>
    <t>2020-0011</t>
  </si>
  <si>
    <t>20201657</t>
  </si>
  <si>
    <t>ITB No. 20-074   RE-BIDDING OF ONE (1) LOT SUPPLY</t>
  </si>
  <si>
    <t>SV-2020-004</t>
  </si>
  <si>
    <t>DOH-MMCHD 2020-08-201 G</t>
  </si>
  <si>
    <t>2020-AMP-084</t>
  </si>
  <si>
    <t>208056</t>
  </si>
  <si>
    <t>100-20-07-204</t>
  </si>
  <si>
    <t>2020-0010</t>
  </si>
  <si>
    <t>2020-08-0001</t>
  </si>
  <si>
    <t>GA-BAC-AM # 2020-039</t>
  </si>
  <si>
    <t>CBIMO-HO-2020-08-0524</t>
  </si>
  <si>
    <t>RFQ# 2020-07-2847</t>
  </si>
  <si>
    <t>RFQ-2020-G-048</t>
  </si>
  <si>
    <t>0820-067</t>
  </si>
  <si>
    <t>208058</t>
  </si>
  <si>
    <t>20201673</t>
  </si>
  <si>
    <t>2020-029</t>
  </si>
  <si>
    <t>150-08-2020</t>
  </si>
  <si>
    <t>C-2020-001</t>
  </si>
  <si>
    <t>208057</t>
  </si>
  <si>
    <t>20-07-0967</t>
  </si>
  <si>
    <t>BAC 2020-42</t>
  </si>
  <si>
    <t>149-08-2020</t>
  </si>
  <si>
    <t>286</t>
  </si>
  <si>
    <t>20L00174</t>
  </si>
  <si>
    <t>PR 2020 - 03</t>
  </si>
  <si>
    <t>20-07-373</t>
  </si>
  <si>
    <t>2020-06-1</t>
  </si>
  <si>
    <t>20201658</t>
  </si>
  <si>
    <t>COB BAC Goods 2020-013-02</t>
  </si>
  <si>
    <t>JR# 020-0078</t>
  </si>
  <si>
    <t>20-08-0385</t>
  </si>
  <si>
    <t>SEF-2020-013</t>
  </si>
  <si>
    <t>001-20</t>
  </si>
  <si>
    <t>2020-07-011</t>
  </si>
  <si>
    <t>AMP 2020-018</t>
  </si>
  <si>
    <t>SV-2020-006</t>
  </si>
  <si>
    <t>2020-08-352</t>
  </si>
  <si>
    <t>300-20-08-002</t>
  </si>
  <si>
    <t>20-16 BRGY</t>
  </si>
  <si>
    <t>AMP 2020-017</t>
  </si>
  <si>
    <t>SV-0880-2020</t>
  </si>
  <si>
    <t>RFQ# 2020-07-2846</t>
  </si>
  <si>
    <t>659-20</t>
  </si>
  <si>
    <t>SV-0878-2020</t>
  </si>
  <si>
    <t>BAC-PG-001-20</t>
  </si>
  <si>
    <t>100-20-01-001</t>
  </si>
  <si>
    <t>GOODS 2020-29</t>
  </si>
  <si>
    <t>19-12-0532</t>
  </si>
  <si>
    <t>G-2020-004</t>
  </si>
  <si>
    <t>PROC-0624-20</t>
  </si>
  <si>
    <t>2020-26</t>
  </si>
  <si>
    <t>2020-08-043</t>
  </si>
  <si>
    <t>2020-08-0863 TDG</t>
  </si>
  <si>
    <t>AMP 2020-020</t>
  </si>
  <si>
    <t>20-07-1191-SEF</t>
  </si>
  <si>
    <t>0824</t>
  </si>
  <si>
    <t>TAYSAN2020-085R</t>
  </si>
  <si>
    <t>INFRA 2020-44</t>
  </si>
  <si>
    <t>2020 GOODS 30</t>
  </si>
  <si>
    <t>Kapalong2020143</t>
  </si>
  <si>
    <t>QNV-039-2020</t>
  </si>
  <si>
    <t>S - 2020 - 06</t>
  </si>
  <si>
    <t>2020 DHVSU - 040</t>
  </si>
  <si>
    <t>0746</t>
  </si>
  <si>
    <t>2020 GOODS 31</t>
  </si>
  <si>
    <t>RFQ20-08-020</t>
  </si>
  <si>
    <t>300-20-07-008</t>
  </si>
  <si>
    <t>2020-07-573</t>
  </si>
  <si>
    <t>080620-82</t>
  </si>
  <si>
    <t>2020-08-0859 TDG</t>
  </si>
  <si>
    <t>2020-0098</t>
  </si>
  <si>
    <t>2020-0805SUBARO-083</t>
  </si>
  <si>
    <t>PR# 20-07-0942</t>
  </si>
  <si>
    <t>RFQ-01</t>
  </si>
  <si>
    <t>TOW-WEST-20-08-0073</t>
  </si>
  <si>
    <t>08202002</t>
  </si>
  <si>
    <t>100-20-06-143</t>
  </si>
  <si>
    <t>GOODS # 2020-394</t>
  </si>
  <si>
    <t>658-20</t>
  </si>
  <si>
    <t>791</t>
  </si>
  <si>
    <t>2020-08-0453</t>
  </si>
  <si>
    <t>042</t>
  </si>
  <si>
    <t>GOODS 2020-30</t>
  </si>
  <si>
    <t>P.R NO. 100-2020-07-0410</t>
  </si>
  <si>
    <t>BLGU-PBD-Tula Tula Norte-2020-37.1</t>
  </si>
  <si>
    <t>SF-GOODS - 003-020</t>
  </si>
  <si>
    <t>2020-07-0328</t>
  </si>
  <si>
    <t>PR No. 2020-07-163</t>
  </si>
  <si>
    <t>QNV-044-2020</t>
  </si>
  <si>
    <t>661-2020</t>
  </si>
  <si>
    <t>20-07-342</t>
  </si>
  <si>
    <t>PR No. 2020-08-182</t>
  </si>
  <si>
    <t>QNV-041-2020</t>
  </si>
  <si>
    <t>08062020</t>
  </si>
  <si>
    <t>LGU ORANI 2020-08-004</t>
  </si>
  <si>
    <t>GOODS #2020-395</t>
  </si>
  <si>
    <t>2020-13B</t>
  </si>
  <si>
    <t>2020-08-01G</t>
  </si>
  <si>
    <t>20-07-07-0241</t>
  </si>
  <si>
    <t>20-27-07-1000</t>
  </si>
  <si>
    <t>RFQ 2020-08-009 (P.R. # 2020-07-022)</t>
  </si>
  <si>
    <t>QNV-043-2020</t>
  </si>
  <si>
    <t>08-06-2020-311</t>
  </si>
  <si>
    <t>074-20</t>
  </si>
  <si>
    <t>202008-01</t>
  </si>
  <si>
    <t>MAR-00042I-2020</t>
  </si>
  <si>
    <t>SF-GOODS - 009-020</t>
  </si>
  <si>
    <t>2020-AMP-085</t>
  </si>
  <si>
    <t>657-2020</t>
  </si>
  <si>
    <t>BAC-HOJ-005-21</t>
  </si>
  <si>
    <t>2020-08-022 Purchase of Duplicator with Consumable</t>
  </si>
  <si>
    <t>Request for Quotation RIS# 20-74-030</t>
  </si>
  <si>
    <t>20-07-07-0233</t>
  </si>
  <si>
    <t>RFQ – 2020 – 023</t>
  </si>
  <si>
    <t>2020-08-0454</t>
  </si>
  <si>
    <t>302609-0079</t>
  </si>
  <si>
    <t>DOH-MMCHD 2020-08-202-G</t>
  </si>
  <si>
    <t>ITB-Goods-2020-08-041</t>
  </si>
  <si>
    <t>08-06-2020-312</t>
  </si>
  <si>
    <t>20-07-04-0090</t>
  </si>
  <si>
    <t>2020-08-0455</t>
  </si>
  <si>
    <t>RFQ-060</t>
  </si>
  <si>
    <t>100-20-07-206</t>
  </si>
  <si>
    <t>302609-0080</t>
  </si>
  <si>
    <t>Barabgay Mana-ul 2020 - 07</t>
  </si>
  <si>
    <t>PR# 20-08-0944</t>
  </si>
  <si>
    <t>Sta. Margarita</t>
  </si>
  <si>
    <t>080620-1</t>
  </si>
  <si>
    <t>20-08-128</t>
  </si>
  <si>
    <t>S00342-2020</t>
  </si>
  <si>
    <t>08-06-2020-313</t>
  </si>
  <si>
    <t>20-245</t>
  </si>
  <si>
    <t>2020-460</t>
  </si>
  <si>
    <t>0820-069</t>
  </si>
  <si>
    <t>Request for Quotation RIS# 20-69-034</t>
  </si>
  <si>
    <t>2008-002</t>
  </si>
  <si>
    <t>GOODS-2020-12</t>
  </si>
  <si>
    <t>INFRA 2020-46</t>
  </si>
  <si>
    <t>2020-090</t>
  </si>
  <si>
    <t>CW20-21</t>
  </si>
  <si>
    <t>20HK0114</t>
  </si>
  <si>
    <t>080620-2</t>
  </si>
  <si>
    <t>2020-07-118</t>
  </si>
  <si>
    <t>20-07-028</t>
  </si>
  <si>
    <t>PR#2020-08-142</t>
  </si>
  <si>
    <t>0872</t>
  </si>
  <si>
    <t>20-08-130</t>
  </si>
  <si>
    <t>2020 Caib 136</t>
  </si>
  <si>
    <t>EMBR02-SVP-CW-FAD072020-012</t>
  </si>
  <si>
    <t>655-2020</t>
  </si>
  <si>
    <t>N-2020-08-100</t>
  </si>
  <si>
    <t>QN-200804-10/ DM-20-0826</t>
  </si>
  <si>
    <t>PR #2020-07-003-SB</t>
  </si>
  <si>
    <t>2020-080601</t>
  </si>
  <si>
    <t>2020-080602</t>
  </si>
  <si>
    <t>ZN20-07-30-001</t>
  </si>
  <si>
    <t>2020-08-0051</t>
  </si>
  <si>
    <t>Quotation No. 20-07-0417</t>
  </si>
  <si>
    <t>20-07-07-0247</t>
  </si>
  <si>
    <t>BDNG-AUGUST-2020-2</t>
  </si>
  <si>
    <t>ITB No 2020-09</t>
  </si>
  <si>
    <t>20GAC0043</t>
  </si>
  <si>
    <t>20-08-132</t>
  </si>
  <si>
    <t>2020-07-252</t>
  </si>
  <si>
    <t>42</t>
  </si>
  <si>
    <t>Quotation No. 20-07-0420</t>
  </si>
  <si>
    <t>SL-OTOP-19</t>
  </si>
  <si>
    <t>2006-110</t>
  </si>
  <si>
    <t>80-18-06-055</t>
  </si>
  <si>
    <t>363-07-20-101</t>
  </si>
  <si>
    <t>08-06-2020-315</t>
  </si>
  <si>
    <t>PR No. 2020-08-051</t>
  </si>
  <si>
    <t>2020-07-0333</t>
  </si>
  <si>
    <t>2020-08-024</t>
  </si>
  <si>
    <t>20-08-048</t>
  </si>
  <si>
    <t>08-06-2020-314</t>
  </si>
  <si>
    <t>302609-0081</t>
  </si>
  <si>
    <t>6000840</t>
  </si>
  <si>
    <t>Quotation No. 20-07-0419</t>
  </si>
  <si>
    <t>20-08-131</t>
  </si>
  <si>
    <t>2020-07-0290</t>
  </si>
  <si>
    <t>20-08-049</t>
  </si>
  <si>
    <t>Quotation No. 20-07-0418</t>
  </si>
  <si>
    <t>MAR-00043I-2020</t>
  </si>
  <si>
    <t>2020-07-099</t>
  </si>
  <si>
    <t>PR# 020-0247</t>
  </si>
  <si>
    <t>Quotation No. 20-07-0422</t>
  </si>
  <si>
    <t>08-06-2020-316</t>
  </si>
  <si>
    <t>PR# 20-08-0945</t>
  </si>
  <si>
    <t>129</t>
  </si>
  <si>
    <t>2020-07-033</t>
  </si>
  <si>
    <t>100-2020-07-158</t>
  </si>
  <si>
    <t>100-2020-07-174</t>
  </si>
  <si>
    <t>BDNG-AUGUST-2020-3</t>
  </si>
  <si>
    <t>2020-6-2</t>
  </si>
  <si>
    <t>S00343-2020</t>
  </si>
  <si>
    <t>20GFO0026</t>
  </si>
  <si>
    <t>PR# 20-07-0939</t>
  </si>
  <si>
    <t>20-273</t>
  </si>
  <si>
    <t>20-08-050</t>
  </si>
  <si>
    <t>RMASS-LAU-062020-592</t>
  </si>
  <si>
    <t>SVP 20-08-158</t>
  </si>
  <si>
    <t>100-2020-07-157</t>
  </si>
  <si>
    <t>RFQ-003A-2020</t>
  </si>
  <si>
    <t>N-2020-08-101</t>
  </si>
  <si>
    <t>2020-162</t>
  </si>
  <si>
    <t>202008076</t>
  </si>
  <si>
    <t>RMASS-LAU-022020-260</t>
  </si>
  <si>
    <t>08-06-2020-317</t>
  </si>
  <si>
    <t>INFRA 2020-47</t>
  </si>
  <si>
    <t>100-2020-07-190</t>
  </si>
  <si>
    <t>Quotation No. 20-07-0421</t>
  </si>
  <si>
    <t>367-08-20-101</t>
  </si>
  <si>
    <t>DOH-MMCHD 2020-08-203-G</t>
  </si>
  <si>
    <t>2020-080603</t>
  </si>
  <si>
    <t>2020-07-035</t>
  </si>
  <si>
    <t>2020-08-023 Purchase of Emergency Supplies &amp; Equip</t>
  </si>
  <si>
    <t>2020-08-0192</t>
  </si>
  <si>
    <t>100-2020-07-159</t>
  </si>
  <si>
    <t>2020-601</t>
  </si>
  <si>
    <t>SHOP GOODS 2020-08-17</t>
  </si>
  <si>
    <t>INFRA 2020-45</t>
  </si>
  <si>
    <t>2020-018</t>
  </si>
  <si>
    <t>660-2020</t>
  </si>
  <si>
    <t>ITB2020-08-02</t>
  </si>
  <si>
    <t>INFRA 2020-48</t>
  </si>
  <si>
    <t>F5001-RO-058-20</t>
  </si>
  <si>
    <t>RFQ-004A-2020</t>
  </si>
  <si>
    <t>PB-2020-02</t>
  </si>
  <si>
    <t>202008077</t>
  </si>
  <si>
    <t>20-27-07-1010</t>
  </si>
  <si>
    <t>100-2020-07-164</t>
  </si>
  <si>
    <t>20-08-129</t>
  </si>
  <si>
    <t>20-08-051</t>
  </si>
  <si>
    <t>BDNG-AUGUST-2020-4</t>
  </si>
  <si>
    <t>PPS-2020-0161</t>
  </si>
  <si>
    <t>2020-163</t>
  </si>
  <si>
    <t>PR# 20-08-0326</t>
  </si>
  <si>
    <t>2020-08-2440</t>
  </si>
  <si>
    <t>20-246</t>
  </si>
  <si>
    <t>RFQ 17-2020</t>
  </si>
  <si>
    <t>ITB 20-096</t>
  </si>
  <si>
    <t>AMP2020-040</t>
  </si>
  <si>
    <t>300-2020-07-165</t>
  </si>
  <si>
    <t>08-2020-0309</t>
  </si>
  <si>
    <t>2020-08-28-451PG</t>
  </si>
  <si>
    <t>JFMH-047-20-RFQ</t>
  </si>
  <si>
    <t>202008003</t>
  </si>
  <si>
    <t>SD-Engineering2019-054</t>
  </si>
  <si>
    <t>130</t>
  </si>
  <si>
    <t>2020-08-2447</t>
  </si>
  <si>
    <t>20-09-052</t>
  </si>
  <si>
    <t>20GFI0003</t>
  </si>
  <si>
    <t>F501-RO-060-20</t>
  </si>
  <si>
    <t>MAR-00044I-2020</t>
  </si>
  <si>
    <t>100-20-07-184</t>
  </si>
  <si>
    <t>ITB 20-097</t>
  </si>
  <si>
    <t>20-0002</t>
  </si>
  <si>
    <t>SD-Engineering2020-055</t>
  </si>
  <si>
    <t>DOH-MMCHD 2020-08-205-G</t>
  </si>
  <si>
    <t>RFQ 2020-05-0578-C</t>
  </si>
  <si>
    <t>2020-G-67</t>
  </si>
  <si>
    <t>2020-08-2441</t>
  </si>
  <si>
    <t>2020-06-0006</t>
  </si>
  <si>
    <t>2020-08-06-203</t>
  </si>
  <si>
    <t>S-175-2020</t>
  </si>
  <si>
    <t>RFQ 2020-04-0413</t>
  </si>
  <si>
    <t>DOH-MMCHD 2020-08-207-G</t>
  </si>
  <si>
    <t>3rd Quarter Supplies Province 2020</t>
  </si>
  <si>
    <t>SPC PR No. 1000033310</t>
  </si>
  <si>
    <t>2020-08-2464</t>
  </si>
  <si>
    <t>QN-200804-5/ DM-20-0821</t>
  </si>
  <si>
    <t>vinya0626</t>
  </si>
  <si>
    <t>20-08-053</t>
  </si>
  <si>
    <t>SN-2020-08-018</t>
  </si>
  <si>
    <t>20-08-133</t>
  </si>
  <si>
    <t>20GAC0044</t>
  </si>
  <si>
    <t>ITB 20-098</t>
  </si>
  <si>
    <t>100-20-07-207</t>
  </si>
  <si>
    <t>2020-0058</t>
  </si>
  <si>
    <t>LGUTMO BAC 2020-1451</t>
  </si>
  <si>
    <t>100-20-06-157</t>
  </si>
  <si>
    <t>2020-07-423 Re-bid</t>
  </si>
  <si>
    <t>S-178-2020</t>
  </si>
  <si>
    <t>RFQ NO.2020-08-027</t>
  </si>
  <si>
    <t>DOH-MMCHD 2020-08-204-G</t>
  </si>
  <si>
    <t>2020-AMP-086</t>
  </si>
  <si>
    <t>100-20-07-208</t>
  </si>
  <si>
    <t>08-06-2020-318</t>
  </si>
  <si>
    <t>lgumat-2020-0045</t>
  </si>
  <si>
    <t>RFQ 2020-07-0796</t>
  </si>
  <si>
    <t>LGUTMO BAC 2020-1218</t>
  </si>
  <si>
    <t>P-0851</t>
  </si>
  <si>
    <t>AMP SVP-D NO: 20-08-0378C</t>
  </si>
  <si>
    <t>2020-SDN-08-043</t>
  </si>
  <si>
    <t>BDNG-AUGUST-2020-06</t>
  </si>
  <si>
    <t>G-2020-283</t>
  </si>
  <si>
    <t>N-212-2020</t>
  </si>
  <si>
    <t>2020-08-067</t>
  </si>
  <si>
    <t>2020-08-0142</t>
  </si>
  <si>
    <t>SD-Engineering2020-056</t>
  </si>
  <si>
    <t>2020-08-09</t>
  </si>
  <si>
    <t>2020-06-344 Re-bid</t>
  </si>
  <si>
    <t>20-08-3173</t>
  </si>
  <si>
    <t>20GCH0023</t>
  </si>
  <si>
    <t>GOODS-2020-13</t>
  </si>
  <si>
    <t>N-642-2020</t>
  </si>
  <si>
    <t>S-176-2020</t>
  </si>
  <si>
    <t>2020-61</t>
  </si>
  <si>
    <t>RFQ 2020-1</t>
  </si>
  <si>
    <t>QN-200804-2/ DM-20-0817</t>
  </si>
  <si>
    <t>P.R NO 0738 SERIES 2020</t>
  </si>
  <si>
    <t>20RFQ-01-00015-INFRA</t>
  </si>
  <si>
    <t>20-08-054</t>
  </si>
  <si>
    <t>QN-200804-9/ DM-20-0825</t>
  </si>
  <si>
    <t>MAR-00045I-2020</t>
  </si>
  <si>
    <t>SJ-20-215</t>
  </si>
  <si>
    <t>DOH-MMCHD 2020-08-208-G</t>
  </si>
  <si>
    <t>LGUTMO BAC 2020-0532</t>
  </si>
  <si>
    <t>2020-06-0007</t>
  </si>
  <si>
    <t>N-632-2020</t>
  </si>
  <si>
    <t>N-633-2020</t>
  </si>
  <si>
    <t>2020-08-025</t>
  </si>
  <si>
    <t>Aklan BAC ITB 440 Series of 2020</t>
  </si>
  <si>
    <t>BDNG-AUGUST-2020-7</t>
  </si>
  <si>
    <t>RFQ-061</t>
  </si>
  <si>
    <t>RFQ2020_03</t>
  </si>
  <si>
    <t>P.R. No.:DARFO2.QES.115.20-08-036</t>
  </si>
  <si>
    <t>100-20-07-194</t>
  </si>
  <si>
    <t>2020-08-28-454PG</t>
  </si>
  <si>
    <t>2020-08-056PBDD</t>
  </si>
  <si>
    <t>013</t>
  </si>
  <si>
    <t>SH-027-2020</t>
  </si>
  <si>
    <t>2020-08-054</t>
  </si>
  <si>
    <t>ITB No. 20-018</t>
  </si>
  <si>
    <t>20200806-2</t>
  </si>
  <si>
    <t>2020-08-068</t>
  </si>
  <si>
    <t>SH-028-2020</t>
  </si>
  <si>
    <t>2020-07-032</t>
  </si>
  <si>
    <t>P.R NO 0740 SERIES 2020</t>
  </si>
  <si>
    <t>P-0850</t>
  </si>
  <si>
    <t>20-07-76-A</t>
  </si>
  <si>
    <t>MAR-00046I-2020</t>
  </si>
  <si>
    <t>N-628-2020</t>
  </si>
  <si>
    <t>20-272</t>
  </si>
  <si>
    <t>08-06-2020-319</t>
  </si>
  <si>
    <t>SJ 2020-21-GOODS</t>
  </si>
  <si>
    <t>20GBD0042</t>
  </si>
  <si>
    <t>20-08-056</t>
  </si>
  <si>
    <t>2020-0427 dated 03 July 2020</t>
  </si>
  <si>
    <t>100-20-07-195</t>
  </si>
  <si>
    <t>SH-026-2020</t>
  </si>
  <si>
    <t>N-612-2020</t>
  </si>
  <si>
    <t>BGHMCPB-2020-26-001</t>
  </si>
  <si>
    <t>RFQ 2020-04-0572-A</t>
  </si>
  <si>
    <t>2020-436</t>
  </si>
  <si>
    <t>RFQ 2020-07-0793-A</t>
  </si>
  <si>
    <t>TAPI-RFQ2020-006</t>
  </si>
  <si>
    <t>SJ-20-216</t>
  </si>
  <si>
    <t>SVP No. 2020-0007</t>
  </si>
  <si>
    <t>lgumat-2020-0046</t>
  </si>
  <si>
    <t>SN-2020-08-019</t>
  </si>
  <si>
    <t>QN-200804-12/ MS-20-0838</t>
  </si>
  <si>
    <t>pgeps#349-2020</t>
  </si>
  <si>
    <t>2020-06-488</t>
  </si>
  <si>
    <t>8-20-01cvd</t>
  </si>
  <si>
    <t>OPSWD-NC-2020-0412 PR2020-0548</t>
  </si>
  <si>
    <t>CHO-19-001 OE</t>
  </si>
  <si>
    <t>s-173-2020</t>
  </si>
  <si>
    <t>2020-0729-44G</t>
  </si>
  <si>
    <t>ITB-001A-2020</t>
  </si>
  <si>
    <t>P-0849</t>
  </si>
  <si>
    <t>2020-63</t>
  </si>
  <si>
    <t>20-272 (b)</t>
  </si>
  <si>
    <t>ITB 20CL0089</t>
  </si>
  <si>
    <t>LGUTMO BAC 2020-1286</t>
  </si>
  <si>
    <t>2020-437</t>
  </si>
  <si>
    <t>BPB 2020-029</t>
  </si>
  <si>
    <t>GOODS 2020-32</t>
  </si>
  <si>
    <t>LGUTMO BAC 2020-0675</t>
  </si>
  <si>
    <t>TAPI-RFQ2020-008</t>
  </si>
  <si>
    <t>20-197</t>
  </si>
  <si>
    <t>2020-08-28-452PG</t>
  </si>
  <si>
    <t>CHO-20-0005</t>
  </si>
  <si>
    <t>20200806-3</t>
  </si>
  <si>
    <t>PHO-C-NC-2020-097 PR2020-113</t>
  </si>
  <si>
    <t>2020 Caib 137</t>
  </si>
  <si>
    <t>LGUTMO BAC 2020-1301</t>
  </si>
  <si>
    <t>QN-200804-8/ DM-20-0824</t>
  </si>
  <si>
    <t>BS20-07-0799</t>
  </si>
  <si>
    <t>ITB No. 20-019</t>
  </si>
  <si>
    <t>PHO-NC-2020-161</t>
  </si>
  <si>
    <t>2020-438</t>
  </si>
  <si>
    <t>20200806-4</t>
  </si>
  <si>
    <t>02-AMBG-2020</t>
  </si>
  <si>
    <t>BS20-08-ME04</t>
  </si>
  <si>
    <t>LGUTMO BAC 2020-0875</t>
  </si>
  <si>
    <t>2020-62</t>
  </si>
  <si>
    <t>100-20-07-205</t>
  </si>
  <si>
    <t>CYN-BAC-SVP-2020-138</t>
  </si>
  <si>
    <t>SN-2020-08-021</t>
  </si>
  <si>
    <t>BS20-07-0808</t>
  </si>
  <si>
    <t>117323pees</t>
  </si>
  <si>
    <t>LGUTMO BAC 2020-1078</t>
  </si>
  <si>
    <t>100-2020-goods-501</t>
  </si>
  <si>
    <t>2020-7-377</t>
  </si>
  <si>
    <t>BS20-08-ME05</t>
  </si>
  <si>
    <t>GS RX-2020-005</t>
  </si>
  <si>
    <t>045</t>
  </si>
  <si>
    <t>sanbartolome-2020-003</t>
  </si>
  <si>
    <t>SN-2020-08-020</t>
  </si>
  <si>
    <t>20-274</t>
  </si>
  <si>
    <t>LGUTMO BAC 2020-0454</t>
  </si>
  <si>
    <t>ITB No. 20-020</t>
  </si>
  <si>
    <t>BAC-2020-371</t>
  </si>
  <si>
    <t>QN-200804-11/ MS-20-0833</t>
  </si>
  <si>
    <t>Purchase of Office Equipment to be used in the ISA</t>
  </si>
  <si>
    <t>SV-0901-2020</t>
  </si>
  <si>
    <t>100-20-07-358</t>
  </si>
  <si>
    <t>RFQ NO. 516</t>
  </si>
  <si>
    <t>08-2020-0312</t>
  </si>
  <si>
    <t>Goods 2020-03</t>
  </si>
  <si>
    <t>G-2020-284</t>
  </si>
  <si>
    <t>20-352</t>
  </si>
  <si>
    <t>2020-67</t>
  </si>
  <si>
    <t>2020-439</t>
  </si>
  <si>
    <t>GOODS-2020-58-2ND</t>
  </si>
  <si>
    <t>GOODS-2020-57-2ND</t>
  </si>
  <si>
    <t>300-20-08-001</t>
  </si>
  <si>
    <t>2020-68</t>
  </si>
  <si>
    <t>BAC 2020G-08-01</t>
  </si>
  <si>
    <t>2020-08-28-453PG</t>
  </si>
  <si>
    <t>20-7-12-CS-ISO</t>
  </si>
  <si>
    <t>NIU-094-2020</t>
  </si>
  <si>
    <t>BGHMCPB-2020-26-002</t>
  </si>
  <si>
    <t>2020-7-378</t>
  </si>
  <si>
    <t>GOODS 2020-33</t>
  </si>
  <si>
    <t>GOODS-2020-38-2ND</t>
  </si>
  <si>
    <t>BS20-07-0800</t>
  </si>
  <si>
    <t>LGUTMO BAC 2020-1177</t>
  </si>
  <si>
    <t>20-358</t>
  </si>
  <si>
    <t>PR2020-005</t>
  </si>
  <si>
    <t>100-20-07-209</t>
  </si>
  <si>
    <t>BS20-08-MV002</t>
  </si>
  <si>
    <t>362-2020</t>
  </si>
  <si>
    <t>PMP-NC-2020-0400 PR2020-0526</t>
  </si>
  <si>
    <t>20MA0132</t>
  </si>
  <si>
    <t>SF-INFRA - 040-020</t>
  </si>
  <si>
    <t>2020-040</t>
  </si>
  <si>
    <t>QN-200804-24/ MS-20-0854</t>
  </si>
  <si>
    <t>2020-02-179</t>
  </si>
  <si>
    <t>200-20-07-004</t>
  </si>
  <si>
    <t>BGHMCPB-2020-26-003</t>
  </si>
  <si>
    <t>Aklan BAC ITB 441 Series of 2020</t>
  </si>
  <si>
    <t>bacgal-58-2020</t>
  </si>
  <si>
    <t>100-20-07-368</t>
  </si>
  <si>
    <t>BS20-07-0790</t>
  </si>
  <si>
    <t>1091-20-08-010</t>
  </si>
  <si>
    <t>GOODS-2020-54-2ND</t>
  </si>
  <si>
    <t>BS20-07-0796</t>
  </si>
  <si>
    <t>100-20-07-383</t>
  </si>
  <si>
    <t>2020-441</t>
  </si>
  <si>
    <t>BS20-07-0791</t>
  </si>
  <si>
    <t>01</t>
  </si>
  <si>
    <t>2020-220</t>
  </si>
  <si>
    <t>penrneg2020-ip16</t>
  </si>
  <si>
    <t>09362290838</t>
  </si>
  <si>
    <t>2020-440</t>
  </si>
  <si>
    <t>082520-01</t>
  </si>
  <si>
    <t>20-08-550</t>
  </si>
  <si>
    <t>Barangay 02-2020</t>
  </si>
  <si>
    <t>302512-13</t>
  </si>
  <si>
    <t>2020-07-0519 DRMD</t>
  </si>
  <si>
    <t>Barangay Kulawit 2020-08-013</t>
  </si>
  <si>
    <t>Penrneg2020-ip19</t>
  </si>
  <si>
    <t>LDN-2020-13</t>
  </si>
  <si>
    <t>100-20-08-212</t>
  </si>
  <si>
    <t>BGHMCPB-2020-26-004</t>
  </si>
  <si>
    <t>DEPEDZAM-024-2020</t>
  </si>
  <si>
    <t>20BD0138</t>
  </si>
  <si>
    <t>ITB NO. 41</t>
  </si>
  <si>
    <t>2020-GGSS-BRGY PARAISO</t>
  </si>
  <si>
    <t>PR#2020-07-025-HU</t>
  </si>
  <si>
    <t>156.2020</t>
  </si>
  <si>
    <t>2020-442</t>
  </si>
  <si>
    <t>ITB NO. 42</t>
  </si>
  <si>
    <t>Penrneg2020-ip18</t>
  </si>
  <si>
    <t>20-355</t>
  </si>
  <si>
    <t>penrneg2020-ip17</t>
  </si>
  <si>
    <t>DOH-MMCHD 2020-08-209-G</t>
  </si>
  <si>
    <t>20BD0139</t>
  </si>
  <si>
    <t>ITB NO. 40</t>
  </si>
  <si>
    <t>082-20 BAC</t>
  </si>
  <si>
    <t>SF-INFRA - 042-020</t>
  </si>
  <si>
    <t>LGUTMO BAC 2020-1291</t>
  </si>
  <si>
    <t>CEISS-REPE-1676-20</t>
  </si>
  <si>
    <t>2020-08-303</t>
  </si>
  <si>
    <t>LDN-CMGP-01</t>
  </si>
  <si>
    <t>HS-5020308000-088-2020</t>
  </si>
  <si>
    <t>20MA0133</t>
  </si>
  <si>
    <t>100-20-07-210</t>
  </si>
  <si>
    <t>081-20 BAC</t>
  </si>
  <si>
    <t>SF-INFRA - 041-020</t>
  </si>
  <si>
    <t>100-20-08-214</t>
  </si>
  <si>
    <t>2020-041</t>
  </si>
  <si>
    <t>PR No. 0955 - 20</t>
  </si>
  <si>
    <t>082520-02</t>
  </si>
  <si>
    <t>LGUTMO BAC 2020-1093</t>
  </si>
  <si>
    <t>PR No. 20-0842</t>
  </si>
  <si>
    <t>AMP-RFQ 2020-079</t>
  </si>
  <si>
    <t>HS-5020308000-087-2020</t>
  </si>
  <si>
    <t>20200721</t>
  </si>
  <si>
    <t>20CSJ004</t>
  </si>
  <si>
    <t>Penrneg2020-ip20</t>
  </si>
  <si>
    <t>NIU-095-2020</t>
  </si>
  <si>
    <t>SF-INFRA - 044-020</t>
  </si>
  <si>
    <t>2020-07-276</t>
  </si>
  <si>
    <t>LDN-CMGP-02</t>
  </si>
  <si>
    <t>DM-BAC-2020-0061</t>
  </si>
  <si>
    <t>LGUTMO BAC 2020-0510</t>
  </si>
  <si>
    <t>100-20-08-213</t>
  </si>
  <si>
    <t>ST20-08-015</t>
  </si>
  <si>
    <t>20MA0134</t>
  </si>
  <si>
    <t>S-080620-2</t>
  </si>
  <si>
    <t>GOODS 2020-47</t>
  </si>
  <si>
    <t>2020-08-28-455PG</t>
  </si>
  <si>
    <t>2020-07-434 re-bid</t>
  </si>
  <si>
    <t>2020-06-164-B</t>
  </si>
  <si>
    <t>20-08-03</t>
  </si>
  <si>
    <t>SF-INFRA - 046-020</t>
  </si>
  <si>
    <t>SF-INFRA - 045-020</t>
  </si>
  <si>
    <t>Kapalong2020144</t>
  </si>
  <si>
    <t>G-2020-288</t>
  </si>
  <si>
    <t>NIU-096-2020</t>
  </si>
  <si>
    <t>2020-SDN-02-044</t>
  </si>
  <si>
    <t>20MA0137</t>
  </si>
  <si>
    <t>SVP-080620-1</t>
  </si>
  <si>
    <t>083-20 BAC</t>
  </si>
  <si>
    <t>G-2020-287</t>
  </si>
  <si>
    <t>G-2020-289</t>
  </si>
  <si>
    <t>Kapalong2020145</t>
  </si>
  <si>
    <t>CYN-BAC-SVP-2020-139</t>
  </si>
  <si>
    <t>DOH-MMCHD 2020-08-212-G</t>
  </si>
  <si>
    <t>POB-06-2020</t>
  </si>
  <si>
    <t>EMBR02-SVP-GOODS-MIS082020-001</t>
  </si>
  <si>
    <t>20CSJ005</t>
  </si>
  <si>
    <t>8751-2--07-50</t>
  </si>
  <si>
    <t>20DJ0099 (Re-Advertised)</t>
  </si>
  <si>
    <t>20MA0136</t>
  </si>
  <si>
    <t>BS20-08-0822</t>
  </si>
  <si>
    <t>P-0855</t>
  </si>
  <si>
    <t>20KE0065</t>
  </si>
  <si>
    <t>2020-07-1702</t>
  </si>
  <si>
    <t>BS20-08-OE008</t>
  </si>
  <si>
    <t>LGUTMO BAC 2020-1144</t>
  </si>
  <si>
    <t>20192053</t>
  </si>
  <si>
    <t>SF-INFRA - 047-020</t>
  </si>
  <si>
    <t>BS20-07-0807</t>
  </si>
  <si>
    <t>S-080620-3</t>
  </si>
  <si>
    <t>vil2020-002</t>
  </si>
  <si>
    <t>20MA0138</t>
  </si>
  <si>
    <t>2020-08-218</t>
  </si>
  <si>
    <t>MGPIN-2020-08-075</t>
  </si>
  <si>
    <t>2020-Lamitan-39</t>
  </si>
  <si>
    <t>Oogong-Goods-001-2020</t>
  </si>
  <si>
    <t>pb-gd-2020-046</t>
  </si>
  <si>
    <t>PR No. 100-20-08-235</t>
  </si>
  <si>
    <t>G-2020-290</t>
  </si>
  <si>
    <t>Kapalong2020146</t>
  </si>
  <si>
    <t>NIU-097-2020</t>
  </si>
  <si>
    <t>Goods-035A-2020</t>
  </si>
  <si>
    <t>PB-CW-2020-030</t>
  </si>
  <si>
    <t>SB-2020-029</t>
  </si>
  <si>
    <t>RFQ 2020-08-0189</t>
  </si>
  <si>
    <t>092-2020</t>
  </si>
  <si>
    <t>Goods-035D-2020</t>
  </si>
  <si>
    <t>2020 Caib 138</t>
  </si>
  <si>
    <t>PB-CW-2020-031</t>
  </si>
  <si>
    <t>CYN-BAC-SVP-2020-140</t>
  </si>
  <si>
    <t>202008078</t>
  </si>
  <si>
    <t>SVP-080620-2</t>
  </si>
  <si>
    <t>PR-TAC-3620-20</t>
  </si>
  <si>
    <t>2020-07-1767  and 2020-03-0979</t>
  </si>
  <si>
    <t>CMO(ADM)-20-028(NP/SV)</t>
  </si>
  <si>
    <t>SVP2020-07-0149</t>
  </si>
  <si>
    <t>2020-07-0332</t>
  </si>
  <si>
    <t>PR No. 100-20-08-234</t>
  </si>
  <si>
    <t>Goods-035C-2020</t>
  </si>
  <si>
    <t>DWD#2020-041</t>
  </si>
  <si>
    <t>8006012020</t>
  </si>
  <si>
    <t>ITB-2020-005</t>
  </si>
  <si>
    <t>20-08-134</t>
  </si>
  <si>
    <t>20-08-135</t>
  </si>
  <si>
    <t>INFR-20-019</t>
  </si>
  <si>
    <t>POD20-070</t>
  </si>
  <si>
    <t>2020-65</t>
  </si>
  <si>
    <t>Kapalong2020147</t>
  </si>
  <si>
    <t>CAD-2020-07-0324</t>
  </si>
  <si>
    <t>APR No. 100-20-08-523</t>
  </si>
  <si>
    <t>8006022020</t>
  </si>
  <si>
    <t>ITB NO. 2020-08-042</t>
  </si>
  <si>
    <t>MG-PLM20-156</t>
  </si>
  <si>
    <t>SF-INFRA - 049-020</t>
  </si>
  <si>
    <t>300(18)20-08-481(O)</t>
  </si>
  <si>
    <t>PR NO. MG-IPP20-002, FUSER ASSEMBLY &amp; 3 OTHER ITEM</t>
  </si>
  <si>
    <t>2020-07-0323</t>
  </si>
  <si>
    <t>20-07-29-A035</t>
  </si>
  <si>
    <t>2020-08-070</t>
  </si>
  <si>
    <t>rfq-2020-35</t>
  </si>
  <si>
    <t>SB-2020-032</t>
  </si>
  <si>
    <t>23-d-2020-08-829</t>
  </si>
  <si>
    <t>RGAO-PR-11072</t>
  </si>
  <si>
    <t>2020MS1D-020</t>
  </si>
  <si>
    <t>PBG-2020-08-23</t>
  </si>
  <si>
    <t>ITB No. (INF) 2020-08-115 CONSTRUCTION OF MULTI-PU</t>
  </si>
  <si>
    <t>ITB-2020-40</t>
  </si>
  <si>
    <t>BAG-1-2020-055</t>
  </si>
  <si>
    <t>2020-57</t>
  </si>
  <si>
    <t>2020-07-003-Modules</t>
  </si>
  <si>
    <t>20-08-136</t>
  </si>
  <si>
    <t>SP(LEGIS)-20-192(NP/SV)</t>
  </si>
  <si>
    <t>POD20-123</t>
  </si>
  <si>
    <t>09-2020-INFRA</t>
  </si>
  <si>
    <t>rfq-2020-36</t>
  </si>
  <si>
    <t>RSQ20-08-072</t>
  </si>
  <si>
    <t>PB-CW-2020-033</t>
  </si>
  <si>
    <t>MG-PLM20-158</t>
  </si>
  <si>
    <t>RFQ No. 08-2020-371</t>
  </si>
  <si>
    <t>Kapalong2020148</t>
  </si>
  <si>
    <t>TESDA-MPLTP 2020 08-024</t>
  </si>
  <si>
    <t>AMP NO. 01-2020</t>
  </si>
  <si>
    <t>ITB 2020-010</t>
  </si>
  <si>
    <t>Oogong-Goods-002-2020</t>
  </si>
  <si>
    <t>001-08-06-2020</t>
  </si>
  <si>
    <t>SVP2020-07-0152</t>
  </si>
  <si>
    <t>ITB No. (INF) 2020-08-114 RENOVATION OF QUINAPONDA</t>
  </si>
  <si>
    <t>0804</t>
  </si>
  <si>
    <t>rfq-2020-37</t>
  </si>
  <si>
    <t>MO-001-08-2020</t>
  </si>
  <si>
    <t>ITB-2020-41</t>
  </si>
  <si>
    <t>N-623-2020</t>
  </si>
  <si>
    <t>0563</t>
  </si>
  <si>
    <t>MAR-00047G-2020</t>
  </si>
  <si>
    <t>S-080620-4</t>
  </si>
  <si>
    <t>HILONGOS 2020-239</t>
  </si>
  <si>
    <t>SF-INFRA - 050-020</t>
  </si>
  <si>
    <t>s-080620-5</t>
  </si>
  <si>
    <t>PG2020-08-01</t>
  </si>
  <si>
    <t>NP-SVP-20-070</t>
  </si>
  <si>
    <t xml:space="preserve">ITB No. (GDS) 2020-08-020  PROCUREMENT OF MEDICAL </t>
  </si>
  <si>
    <t>MG-PLM20-159</t>
  </si>
  <si>
    <t>MOR2-2020-S-054 - (Re-Invitation) Procurement spar</t>
  </si>
  <si>
    <t>SB-2020-033</t>
  </si>
  <si>
    <t>08-13 FMP</t>
  </si>
  <si>
    <t>SVP2020-37</t>
  </si>
  <si>
    <t>pb-infra-2020-047</t>
  </si>
  <si>
    <t>ITB 20-31</t>
  </si>
  <si>
    <t>SAGCAM 2020-0806-01</t>
  </si>
  <si>
    <t>2020 Caib 139</t>
  </si>
  <si>
    <t>MG-PTA20-017</t>
  </si>
  <si>
    <t>20-022-3</t>
  </si>
  <si>
    <t>cal08042020-02</t>
  </si>
  <si>
    <t>2020-07-188</t>
  </si>
  <si>
    <t>PR 74647</t>
  </si>
  <si>
    <t>Kapalong2020149</t>
  </si>
  <si>
    <t>MOR2-2020-S-055 - (Re-Invitation) Procurement spar</t>
  </si>
  <si>
    <t>NP-SVP-20-069</t>
  </si>
  <si>
    <t>HILONGOS 2020-240</t>
  </si>
  <si>
    <t>017-SVRFQ-SY2020</t>
  </si>
  <si>
    <t>401-070 dated 7-20-2020</t>
  </si>
  <si>
    <t>IB-03-2020</t>
  </si>
  <si>
    <t>2020-025J</t>
  </si>
  <si>
    <t>20FD0074</t>
  </si>
  <si>
    <t>POD20-133</t>
  </si>
  <si>
    <t>2020-07-266</t>
  </si>
  <si>
    <t>INFR-20-016</t>
  </si>
  <si>
    <t>DOH-MMCHD 2020-08-213-G</t>
  </si>
  <si>
    <t>SAGCAM 2020-0806-02</t>
  </si>
  <si>
    <t>CMO(RM-HE)-20-021(NP/SV)</t>
  </si>
  <si>
    <t>20-07-032</t>
  </si>
  <si>
    <t>cal08042020-03</t>
  </si>
  <si>
    <t>9</t>
  </si>
  <si>
    <t>ROXII-2020-08-001</t>
  </si>
  <si>
    <t>POD20-141</t>
  </si>
  <si>
    <t>2020- 034 SVP</t>
  </si>
  <si>
    <t>LCWD-2020-059 Fabrication of Polo Shirt for JO Wor</t>
  </si>
  <si>
    <t>2008263</t>
  </si>
  <si>
    <t>vict-eps20-037</t>
  </si>
  <si>
    <t>POD20-014</t>
  </si>
  <si>
    <t>2020-08-055</t>
  </si>
  <si>
    <t>BU Cluster 1-2020-010</t>
  </si>
  <si>
    <t>2020 Caib 140</t>
  </si>
  <si>
    <t>20HK0117</t>
  </si>
  <si>
    <t>2029-07-0384</t>
  </si>
  <si>
    <t>2020080601</t>
  </si>
  <si>
    <t>SP(LEGIS)-20-129(SHOPPING)</t>
  </si>
  <si>
    <t>401-080 DATED 7-27-2020</t>
  </si>
  <si>
    <t>PBG-2020-08-24</t>
  </si>
  <si>
    <t>IB-04-2020</t>
  </si>
  <si>
    <t>ITB-20-08035</t>
  </si>
  <si>
    <t>2020-08-337</t>
  </si>
  <si>
    <t>08062020-02</t>
  </si>
  <si>
    <t>POD20-055</t>
  </si>
  <si>
    <t>PR 74161</t>
  </si>
  <si>
    <t>20-07-0425</t>
  </si>
  <si>
    <t>Kapalong2020151</t>
  </si>
  <si>
    <t>SVP 20-0931</t>
  </si>
  <si>
    <t>100-2020-008-028</t>
  </si>
  <si>
    <t>cal08042020-04</t>
  </si>
  <si>
    <t>08062020-03</t>
  </si>
  <si>
    <t>2020080602</t>
  </si>
  <si>
    <t>20-08-146</t>
  </si>
  <si>
    <t>MO-002-08-2020</t>
  </si>
  <si>
    <t>ITB-2020-42</t>
  </si>
  <si>
    <t>MAFAR-08-117-2020</t>
  </si>
  <si>
    <t>51E-03-2020-060 (SPF)</t>
  </si>
  <si>
    <t>Goods 2020-01</t>
  </si>
  <si>
    <t>Oogong-INFRA-001-2020</t>
  </si>
  <si>
    <t>SB-2020-036</t>
  </si>
  <si>
    <t>CEO-20-58-A-56(NP/SV)</t>
  </si>
  <si>
    <t>2020-06-160</t>
  </si>
  <si>
    <t>2020080603</t>
  </si>
  <si>
    <t>RFQ No. 08-2020-370</t>
  </si>
  <si>
    <t>2020-07-0403</t>
  </si>
  <si>
    <t>SVP 20-0928</t>
  </si>
  <si>
    <t>MOR2-2020-S-070 -  Procurement of Equipments for t</t>
  </si>
  <si>
    <t>cal08042020-05</t>
  </si>
  <si>
    <t>12-01-2020-08-825</t>
  </si>
  <si>
    <t>SHSIS-SY 08-2020-6</t>
  </si>
  <si>
    <t>CMO(TART)-20-003(NP/SV)</t>
  </si>
  <si>
    <t>PB-CW-2020-035</t>
  </si>
  <si>
    <t>2020-0806-A</t>
  </si>
  <si>
    <t>QN-200804-3/ DM-20-0818</t>
  </si>
  <si>
    <t>BGUKulaman-001</t>
  </si>
  <si>
    <t>vict-eps20-038</t>
  </si>
  <si>
    <t>08062020-01</t>
  </si>
  <si>
    <t>LCWD-2020-060 LCWD I.D. Cards with Lanyards and Pa</t>
  </si>
  <si>
    <t>08202003</t>
  </si>
  <si>
    <t>DOH-MMCHD 2020-08-214G</t>
  </si>
  <si>
    <t>MOR2-2020-S-069 -  Procurement of Safety Shoes for</t>
  </si>
  <si>
    <t>SVP 20-0924</t>
  </si>
  <si>
    <t>PVAO-ITB-09-MSBREPAIR-2020</t>
  </si>
  <si>
    <t>GOODS 2020-34</t>
  </si>
  <si>
    <t>BAC-GS-2020-07-014</t>
  </si>
  <si>
    <t>MOR2-2020-S-071 -  Procurement of Infrared Body Te</t>
  </si>
  <si>
    <t>SF-INFRA - 051-020</t>
  </si>
  <si>
    <t>HILONGOS 2020-241</t>
  </si>
  <si>
    <t>POD20-125</t>
  </si>
  <si>
    <t>2020-SBO-001</t>
  </si>
  <si>
    <t>IB-05-2020</t>
  </si>
  <si>
    <t>2020-08-0283</t>
  </si>
  <si>
    <t>20-08-0810</t>
  </si>
  <si>
    <t>51E-03-2020-061 (SPF)</t>
  </si>
  <si>
    <t>2020080605</t>
  </si>
  <si>
    <t>0826</t>
  </si>
  <si>
    <t>POD20-146</t>
  </si>
  <si>
    <t>RFQ (20-07-041) @ PR # 20-07-153</t>
  </si>
  <si>
    <t>CMO(RM-HE)-20-023(NP/SV)</t>
  </si>
  <si>
    <t>PR No. 143</t>
  </si>
  <si>
    <t>CMO(CDLO)-17-001-CIB(NP/SV)</t>
  </si>
  <si>
    <t>117018</t>
  </si>
  <si>
    <t>GOODS-082620-046</t>
  </si>
  <si>
    <t>51E-03-2020-062 (SPF)</t>
  </si>
  <si>
    <t>126</t>
  </si>
  <si>
    <t>Kapalong2020152</t>
  </si>
  <si>
    <t>127</t>
  </si>
  <si>
    <t>2020-07-004-JHS</t>
  </si>
  <si>
    <t>20-07-137</t>
  </si>
  <si>
    <t>RFQ (20-08-045) @ PR # 20-07-159A</t>
  </si>
  <si>
    <t>2020-0806-B</t>
  </si>
  <si>
    <t>Kapalong2020150</t>
  </si>
  <si>
    <t>RGAO-PR-11094</t>
  </si>
  <si>
    <t>IB No. GS-2020 – 075-A</t>
  </si>
  <si>
    <t>RFQ2020-08-123</t>
  </si>
  <si>
    <t>2020080606</t>
  </si>
  <si>
    <t>2020-13</t>
  </si>
  <si>
    <t>TCW-2020-08-04-044</t>
  </si>
  <si>
    <t>BXU-2020-38</t>
  </si>
  <si>
    <t>GOODS-082620-047</t>
  </si>
  <si>
    <t>SVP-095-2020</t>
  </si>
  <si>
    <t>POD20-118</t>
  </si>
  <si>
    <t>2020-0806-C</t>
  </si>
  <si>
    <t>2020-08-0082</t>
  </si>
  <si>
    <t>20-07-025</t>
  </si>
  <si>
    <t>ITB 2020-08-043</t>
  </si>
  <si>
    <t>SF-INFRA - 052-020</t>
  </si>
  <si>
    <t>SVP 20-0923</t>
  </si>
  <si>
    <t>SVP 20-0930</t>
  </si>
  <si>
    <t>20JA0094</t>
  </si>
  <si>
    <t>EBMS 1324-20</t>
  </si>
  <si>
    <t>BAC-2020-020</t>
  </si>
  <si>
    <t>IB-06-2020</t>
  </si>
  <si>
    <t>SF-INFRA - 053-020</t>
  </si>
  <si>
    <t>CMOR-03-2020-028 (Other)</t>
  </si>
  <si>
    <t>2020080604</t>
  </si>
  <si>
    <t>RFQ-20-0005</t>
  </si>
  <si>
    <t>2020-08-476</t>
  </si>
  <si>
    <t>SJ-20-217</t>
  </si>
  <si>
    <t>IB No. GS-2020 – 094</t>
  </si>
  <si>
    <t>CEISS-RMCE-1678-20</t>
  </si>
  <si>
    <t>NFA-RO1-RBAC-2020-08-019</t>
  </si>
  <si>
    <t>DOH-MMCHD 2020-08-215-G</t>
  </si>
  <si>
    <t>SVP 20-0938</t>
  </si>
  <si>
    <t>2020-200</t>
  </si>
  <si>
    <t>CEISS-RMICTE-1677-20</t>
  </si>
  <si>
    <t>2020-100-08-012</t>
  </si>
  <si>
    <t>DRC.ODM.200-07-325</t>
  </si>
  <si>
    <t>EBMS 1466-20</t>
  </si>
  <si>
    <t>2020-PR-127</t>
  </si>
  <si>
    <t>20CG0267</t>
  </si>
  <si>
    <t>IB No. GS-2020 – 095</t>
  </si>
  <si>
    <t>BLGUPOB-20-02</t>
  </si>
  <si>
    <t>PG-RFQ-2020-07</t>
  </si>
  <si>
    <t>SL-OTOP-20</t>
  </si>
  <si>
    <t>2020-08-467</t>
  </si>
  <si>
    <t>INFR-20-017</t>
  </si>
  <si>
    <t>51E-03-2020-063 (SPF)</t>
  </si>
  <si>
    <t>NIU-098-2020</t>
  </si>
  <si>
    <t>AMP-RFQ-2020-131</t>
  </si>
  <si>
    <t>SVP 20-0929</t>
  </si>
  <si>
    <t>IB No. GS-2020 – 093</t>
  </si>
  <si>
    <t>DOH-MMCHD 2020-08-217-G</t>
  </si>
  <si>
    <t>DOH-MMCHD 2020-08-218-G</t>
  </si>
  <si>
    <t>GOODS 2020-35</t>
  </si>
  <si>
    <t>PR NO. 2K20-053</t>
  </si>
  <si>
    <t>IB No. GS-2020 – 092</t>
  </si>
  <si>
    <t>SB-2020-035</t>
  </si>
  <si>
    <t>8-20-01</t>
  </si>
  <si>
    <t>POD20-124</t>
  </si>
  <si>
    <t>MSCES 1 2020-001</t>
  </si>
  <si>
    <t>MG-PTA20-016</t>
  </si>
  <si>
    <t>DOH-MMCHD 2020-08-216-G</t>
  </si>
  <si>
    <t>2020-07-023</t>
  </si>
  <si>
    <t>MGPIN-2020-08-076</t>
  </si>
  <si>
    <t>IB No. GS-2020 – 096</t>
  </si>
  <si>
    <t>SVP 20-0922</t>
  </si>
  <si>
    <t>SB-2020-034</t>
  </si>
  <si>
    <t>12-01-2020-08-835</t>
  </si>
  <si>
    <t>BMC-N-20-303</t>
  </si>
  <si>
    <t>PR No. 06-033-2020</t>
  </si>
  <si>
    <t>128</t>
  </si>
  <si>
    <t>EBMS 1468-20</t>
  </si>
  <si>
    <t>BAC-20-0119 &amp; BAC-20-0118</t>
  </si>
  <si>
    <t>07-20-0467</t>
  </si>
  <si>
    <t>PPO-20-0932-B</t>
  </si>
  <si>
    <t>JGE2020-030</t>
  </si>
  <si>
    <t>nego1</t>
  </si>
  <si>
    <t>GHQPC-OTAG-RMOE-1679-20</t>
  </si>
  <si>
    <t>Oogong-INFRA-002-2020</t>
  </si>
  <si>
    <t>2020-93</t>
  </si>
  <si>
    <t>BACNAMPICUAN2020-029</t>
  </si>
  <si>
    <t>G-2020-023</t>
  </si>
  <si>
    <t>PR No. 06-034-2020</t>
  </si>
  <si>
    <t>08062020002</t>
  </si>
  <si>
    <t>2020-08-006-JHS</t>
  </si>
  <si>
    <t>DOC1</t>
  </si>
  <si>
    <t>2020-06-81</t>
  </si>
  <si>
    <t>G-2020-016</t>
  </si>
  <si>
    <t>20064159</t>
  </si>
  <si>
    <t>ITB - Goods - 2020 - 08-004</t>
  </si>
  <si>
    <t>SF-INFRA - 054-020</t>
  </si>
  <si>
    <t>DOH-MMCHD 2020-08-219-G</t>
  </si>
  <si>
    <t>MAFAR-08-127-2020</t>
  </si>
  <si>
    <t>EBMS 1465-20</t>
  </si>
  <si>
    <t>MGPIN-2020-08-077</t>
  </si>
  <si>
    <t>DRD-GOODS-CO-2-2020</t>
  </si>
  <si>
    <t>SVP 2020-180</t>
  </si>
  <si>
    <t>SAGCAM 2020-0806-03</t>
  </si>
  <si>
    <t>JGE2020-031</t>
  </si>
  <si>
    <t>20-08-005I</t>
  </si>
  <si>
    <t>LCWD-2020-061 Fabrication of Plaques for Loyalty A</t>
  </si>
  <si>
    <t>nego3</t>
  </si>
  <si>
    <t>20IH0110</t>
  </si>
  <si>
    <t>10012023</t>
  </si>
  <si>
    <t>PR No. 07-050-2020</t>
  </si>
  <si>
    <t>SV-0907-2020</t>
  </si>
  <si>
    <t>CMOR-03-2020-032</t>
  </si>
  <si>
    <t>2020-94</t>
  </si>
  <si>
    <t>PR No. 020-07-070</t>
  </si>
  <si>
    <t>DepEd-2020-08-06-001</t>
  </si>
  <si>
    <t>2020-100-08-024</t>
  </si>
  <si>
    <t>Invitation to Bid 20-44</t>
  </si>
  <si>
    <t>RFQ NO. 20-08-202</t>
  </si>
  <si>
    <t>PR No. 07-055-2020</t>
  </si>
  <si>
    <t>ITB-20-07021</t>
  </si>
  <si>
    <t>ITBPG2020-08-01</t>
  </si>
  <si>
    <t>BMC-N-20-304</t>
  </si>
  <si>
    <t>PR No. 06-044-2020</t>
  </si>
  <si>
    <t>depedilocossur-2020-08-020</t>
  </si>
  <si>
    <t>08202004</t>
  </si>
  <si>
    <t>nego2</t>
  </si>
  <si>
    <t>S1-BIM20-004</t>
  </si>
  <si>
    <t>0870</t>
  </si>
  <si>
    <t>EMBCAR-2020-8-44</t>
  </si>
  <si>
    <t>2020-214</t>
  </si>
  <si>
    <t>RSQ20-08-074</t>
  </si>
  <si>
    <t>GOODS 2020-37</t>
  </si>
  <si>
    <t>06-20-0451</t>
  </si>
  <si>
    <t>PR No. 07-054-2020</t>
  </si>
  <si>
    <t>MGPIN-2020-08-078</t>
  </si>
  <si>
    <t>20IH0109</t>
  </si>
  <si>
    <t>2020-40</t>
  </si>
  <si>
    <t>SJ-20-218</t>
  </si>
  <si>
    <t>IB No. GS-2020 – 100</t>
  </si>
  <si>
    <t>ITB - Goods - 2020 - 08-003</t>
  </si>
  <si>
    <t>RFQ M-13-20A</t>
  </si>
  <si>
    <t>PR No. 020-07-069</t>
  </si>
  <si>
    <t>RFQ2020-08-124</t>
  </si>
  <si>
    <t>GD17-1021-10705020-A</t>
  </si>
  <si>
    <t>PG-RFQ-2020-11</t>
  </si>
  <si>
    <t>nego4</t>
  </si>
  <si>
    <t>2020-08-0287</t>
  </si>
  <si>
    <t>MAFAR-08-128-2020</t>
  </si>
  <si>
    <t>GF 20 - 0806</t>
  </si>
  <si>
    <t>JHS-0806-2020</t>
  </si>
  <si>
    <t>BAC-20-0120</t>
  </si>
  <si>
    <t>RDC-3Q-2020-052</t>
  </si>
  <si>
    <t>Dao ES MOOE Subsidy Jan-Sept 2020</t>
  </si>
  <si>
    <t>20-0246</t>
  </si>
  <si>
    <t>2020-08-048</t>
  </si>
  <si>
    <t>MGPIN-2020-08-079</t>
  </si>
  <si>
    <t>SF-INFRA - 055-020</t>
  </si>
  <si>
    <t>2020-099</t>
  </si>
  <si>
    <t>EBMS 1467-20</t>
  </si>
  <si>
    <t>RFQ No. 251</t>
  </si>
  <si>
    <t>2020-41</t>
  </si>
  <si>
    <t>20IH0108</t>
  </si>
  <si>
    <t>2020-07-PR053</t>
  </si>
  <si>
    <t>20064066</t>
  </si>
  <si>
    <t>0827</t>
  </si>
  <si>
    <t>2020-100-08-013</t>
  </si>
  <si>
    <t>CMOR-03-2020-029</t>
  </si>
  <si>
    <t>20G033</t>
  </si>
  <si>
    <t>20HK0115</t>
  </si>
  <si>
    <t>cal08042020-01</t>
  </si>
  <si>
    <t>20B00064</t>
  </si>
  <si>
    <t>SG20-08-016</t>
  </si>
  <si>
    <t>PB-CW-2020-034</t>
  </si>
  <si>
    <t>Goods-035B-2020</t>
  </si>
  <si>
    <t>19GG00099</t>
  </si>
  <si>
    <t>2020-07-005-JHS</t>
  </si>
  <si>
    <t>RGAO-PR-11071</t>
  </si>
  <si>
    <t>SF-INFRA - 048-020</t>
  </si>
  <si>
    <t>202012</t>
  </si>
  <si>
    <t>GOODS 2020-48</t>
  </si>
  <si>
    <t>INFRA-2020-05</t>
  </si>
  <si>
    <t>2020-G2-020</t>
  </si>
  <si>
    <t>CMO(HEALTH)-20-012(NP/SV)</t>
  </si>
  <si>
    <t>042 - S 2020</t>
  </si>
  <si>
    <t>GOODS-20-16</t>
  </si>
  <si>
    <t>GOODS 2020-10</t>
  </si>
  <si>
    <t>20CH0080</t>
  </si>
  <si>
    <t>ITB-2020-39</t>
  </si>
  <si>
    <t>20GE033G</t>
  </si>
  <si>
    <t>SVCS-082620-049</t>
  </si>
  <si>
    <t>20NH0094</t>
  </si>
  <si>
    <t>20CH0081</t>
  </si>
  <si>
    <t>SV-0869-2020</t>
  </si>
  <si>
    <t>20GE034G</t>
  </si>
  <si>
    <t>PB-CW-2020-08-41</t>
  </si>
  <si>
    <t>Invitation to Bid 20-45</t>
  </si>
  <si>
    <t>various PR nos.</t>
  </si>
  <si>
    <t>2020-08-06-204</t>
  </si>
  <si>
    <t>2020-PR-126</t>
  </si>
  <si>
    <t>20074571</t>
  </si>
  <si>
    <t>2020-100-08-025</t>
  </si>
  <si>
    <t>SHA-2020-164-021</t>
  </si>
  <si>
    <t>S1-COR20-001</t>
  </si>
  <si>
    <t>MGPIN-2020-08-080</t>
  </si>
  <si>
    <t>2020-08-019</t>
  </si>
  <si>
    <t>20MA0135</t>
  </si>
  <si>
    <t>92</t>
  </si>
  <si>
    <t>GOODS 2020-38</t>
  </si>
  <si>
    <t>PhilGEPS 2020-08-040</t>
  </si>
  <si>
    <t>20074310</t>
  </si>
  <si>
    <t>SF-INFRA - 056-020</t>
  </si>
  <si>
    <t>ITB-2020-004</t>
  </si>
  <si>
    <t>ANTIPOLO-27AUGUST2020-01</t>
  </si>
  <si>
    <t>2020-094</t>
  </si>
  <si>
    <t>GOODS-082620-050</t>
  </si>
  <si>
    <t>EBMS 0889-20</t>
  </si>
  <si>
    <t>20-08-10</t>
  </si>
  <si>
    <t>2020-08-06-01</t>
  </si>
  <si>
    <t>RFQ No. 2020-99</t>
  </si>
  <si>
    <t>RFQ-2020-07-001</t>
  </si>
  <si>
    <t>2020-08-217-B</t>
  </si>
  <si>
    <t>Procurement of MOOE Subsidy for Kiranggel Tunghaan</t>
  </si>
  <si>
    <t>SV-0910-2020</t>
  </si>
  <si>
    <t>SVP GOODS 2020-20</t>
  </si>
  <si>
    <t>132</t>
  </si>
  <si>
    <t>EBMS 0626-20</t>
  </si>
  <si>
    <t>GOODS-082620-048</t>
  </si>
  <si>
    <t>EMB-R4B-26-20</t>
  </si>
  <si>
    <t>RFQ2020-08-079</t>
  </si>
  <si>
    <t>PG-RFQ-2020-20</t>
  </si>
  <si>
    <t>2020-ODY-08-256</t>
  </si>
  <si>
    <t>INFRA-2020-013</t>
  </si>
  <si>
    <t>RFQ T-11-20A</t>
  </si>
  <si>
    <t>GOODS-082620-051</t>
  </si>
  <si>
    <t>nego6</t>
  </si>
  <si>
    <t>SHA-2020-161-022</t>
  </si>
  <si>
    <t>S1-COR20-020</t>
  </si>
  <si>
    <t>2020-08-0144</t>
  </si>
  <si>
    <t>EBMS 0586-20</t>
  </si>
  <si>
    <t>2020-0245</t>
  </si>
  <si>
    <t>20074536</t>
  </si>
  <si>
    <t>2020-08-146</t>
  </si>
  <si>
    <t>SHS-0806-2020</t>
  </si>
  <si>
    <t>POB-03-2020</t>
  </si>
  <si>
    <t>ANTIPOLO-27AUGUST2020-02</t>
  </si>
  <si>
    <t>2020-08-477</t>
  </si>
  <si>
    <t>BASC2020-08-058</t>
  </si>
  <si>
    <t>VIN BAC 052-2020</t>
  </si>
  <si>
    <t>S-080620-1</t>
  </si>
  <si>
    <t>nego5</t>
  </si>
  <si>
    <t>G-2020-041</t>
  </si>
  <si>
    <t>2020-08-0143</t>
  </si>
  <si>
    <t>EMBCAR-2020-8-45</t>
  </si>
  <si>
    <t>RFQ2020-07-077</t>
  </si>
  <si>
    <t>2020-260</t>
  </si>
  <si>
    <t>20-07-126</t>
  </si>
  <si>
    <t>2020-261</t>
  </si>
  <si>
    <t>93</t>
  </si>
  <si>
    <t>SF-INFRA - 043-020</t>
  </si>
  <si>
    <t>2020-100</t>
  </si>
  <si>
    <t>ANTIPOLO-27AUGUST2020-04</t>
  </si>
  <si>
    <t>Oogong-INFRA-003-2020</t>
  </si>
  <si>
    <t>RFQ2020-23</t>
  </si>
  <si>
    <t>INFRA-20-55</t>
  </si>
  <si>
    <t>PR No. 142</t>
  </si>
  <si>
    <t>20074462</t>
  </si>
  <si>
    <t>133</t>
  </si>
  <si>
    <t>Quotation No. 20-07-0423</t>
  </si>
  <si>
    <t>20HA0135</t>
  </si>
  <si>
    <t>2020-08-00621</t>
  </si>
  <si>
    <t>2020-04-0107</t>
  </si>
  <si>
    <t>ANTIPOLO-27AUGUST2020-05</t>
  </si>
  <si>
    <t>RFQ NO. 20-08-203</t>
  </si>
  <si>
    <t>2020-RL07-024</t>
  </si>
  <si>
    <t>ANTIPOLO-27AUGUST2020-06</t>
  </si>
  <si>
    <t>2020-262</t>
  </si>
  <si>
    <t>01-001-2020</t>
  </si>
  <si>
    <t>20074603</t>
  </si>
  <si>
    <t>2020-07-0161</t>
  </si>
  <si>
    <t>ITB-Goods-2020-08-043</t>
  </si>
  <si>
    <t>SV-0917-2020</t>
  </si>
  <si>
    <t>N-603-2020</t>
  </si>
  <si>
    <t>BPB 2020-030</t>
  </si>
  <si>
    <t>GOODS 2020-28</t>
  </si>
  <si>
    <t>RFQ 2020-08-0191</t>
  </si>
  <si>
    <t>ITBPG2020-08-02</t>
  </si>
  <si>
    <t>20-07-130</t>
  </si>
  <si>
    <t>RFQ2020-07-076</t>
  </si>
  <si>
    <t>2020-08-0084</t>
  </si>
  <si>
    <t>20HA0136</t>
  </si>
  <si>
    <t>20-08-121</t>
  </si>
  <si>
    <t>08-2020</t>
  </si>
  <si>
    <t>100-1011-2020-05-571</t>
  </si>
  <si>
    <t>PR No. 20-08-0005</t>
  </si>
  <si>
    <t>08-06-01</t>
  </si>
  <si>
    <t>2020-PR-117</t>
  </si>
  <si>
    <t>20HA0137</t>
  </si>
  <si>
    <t>20FN0110</t>
  </si>
  <si>
    <t>TAYSAN2020-092</t>
  </si>
  <si>
    <t>INFRA-20-56</t>
  </si>
  <si>
    <t>S-080620-6</t>
  </si>
  <si>
    <t>ANTIPOLO-27AUGUST2020-07</t>
  </si>
  <si>
    <t>INFRA-20-54</t>
  </si>
  <si>
    <t>100-7611-20-518</t>
  </si>
  <si>
    <t>BANNA-ITB-80(VAN)-2020</t>
  </si>
  <si>
    <t>2020-08-00627</t>
  </si>
  <si>
    <t>PR No. 1024 - 90</t>
  </si>
  <si>
    <t>Quotation No. 20-06-0392 REBID</t>
  </si>
  <si>
    <t>2020-08-045</t>
  </si>
  <si>
    <t>2020-03-0097</t>
  </si>
  <si>
    <t>20GL0095</t>
  </si>
  <si>
    <t>20IH0111</t>
  </si>
  <si>
    <t>2020-263</t>
  </si>
  <si>
    <t>INFRA-20-57</t>
  </si>
  <si>
    <t>RFQ 2020-08-0190</t>
  </si>
  <si>
    <t>CENG-GDS2020-048</t>
  </si>
  <si>
    <t>MAFAR-08-129-2020</t>
  </si>
  <si>
    <t>ITB-GS-20200210-01</t>
  </si>
  <si>
    <t>20HA0138</t>
  </si>
  <si>
    <t>BPB 2020-031</t>
  </si>
  <si>
    <t>PR # 2020-08-124</t>
  </si>
  <si>
    <t>0706-08-2020</t>
  </si>
  <si>
    <t>2020-08-0137</t>
  </si>
  <si>
    <t>20GL0097</t>
  </si>
  <si>
    <t>TAL-08-25-2020</t>
  </si>
  <si>
    <t>RFQ No. 20-0718 NP-SV</t>
  </si>
  <si>
    <t>202024</t>
  </si>
  <si>
    <t>PR No. 1095 - 20</t>
  </si>
  <si>
    <t>IB NO. CW 2020 - 114</t>
  </si>
  <si>
    <t>20GFN0014</t>
  </si>
  <si>
    <t>RFQ-2020-07-0034</t>
  </si>
  <si>
    <t>20IH0112</t>
  </si>
  <si>
    <t>20GL0096</t>
  </si>
  <si>
    <t>Nasugbu ITB 20-13</t>
  </si>
  <si>
    <t>RFQ 2020-08-0192</t>
  </si>
  <si>
    <t>BANNA-ITB-82(IT. SUPPLIES ASSESOR'S OFFICE)-2020</t>
  </si>
  <si>
    <t>Oogong-INFRA-004-2020</t>
  </si>
  <si>
    <t>2020-222</t>
  </si>
  <si>
    <t>PCPB-01-2020</t>
  </si>
  <si>
    <t>ITB No. 2020-001</t>
  </si>
  <si>
    <t>SDO-Abra-018</t>
  </si>
  <si>
    <t>EMB-R4B-28-20</t>
  </si>
  <si>
    <t>ESP-GOODS-025-2020</t>
  </si>
  <si>
    <t>PR No. 1204 - 20</t>
  </si>
  <si>
    <t>BANNA-ITB-81(PARKING AREA ROOFING)-2020</t>
  </si>
  <si>
    <t>NP-Shopping-2020-003-MWC</t>
  </si>
  <si>
    <t>20-07-0267</t>
  </si>
  <si>
    <t>3NP-2020</t>
  </si>
  <si>
    <t>s-174-2020</t>
  </si>
  <si>
    <t>ZONE20202001</t>
  </si>
  <si>
    <t>195-2020</t>
  </si>
  <si>
    <t>P.R. # 2020-08-007</t>
  </si>
  <si>
    <t>2020-162-I</t>
  </si>
  <si>
    <t>RFQ # 2020-08-20161</t>
  </si>
  <si>
    <t>MAFAR-08-131-2020</t>
  </si>
  <si>
    <t>N-640-2020</t>
  </si>
  <si>
    <t>EMB-R4B-29-20</t>
  </si>
  <si>
    <t>PGL-20 NEGO-09-08</t>
  </si>
  <si>
    <t>BUGASS-2020-076</t>
  </si>
  <si>
    <t>IB NO. CW 2020 - 115</t>
  </si>
  <si>
    <t>2020-161-I</t>
  </si>
  <si>
    <t>INFRA-20-58</t>
  </si>
  <si>
    <t>2008-0679-BGMS</t>
  </si>
  <si>
    <t>Pr# 101-20-06-429</t>
  </si>
  <si>
    <t>S-254-2020</t>
  </si>
  <si>
    <t>2020-264</t>
  </si>
  <si>
    <t>INF17-014</t>
  </si>
  <si>
    <t>PR No. 0975 - 20</t>
  </si>
  <si>
    <t>ITB 2020-0012</t>
  </si>
  <si>
    <t>20GIB0041</t>
  </si>
  <si>
    <t>2020 - 08 - 014 (131 - Shopping)</t>
  </si>
  <si>
    <t>ITB 2020-0023</t>
  </si>
  <si>
    <t>BUHIINFRA202008-001</t>
  </si>
  <si>
    <t>2007-0677-NHTS</t>
  </si>
  <si>
    <t>ITBPG2020-08-03</t>
  </si>
  <si>
    <t>RFQ 20-189</t>
  </si>
  <si>
    <t>20-08-451</t>
  </si>
  <si>
    <t>RFQ NO. EMB-S-ERLSD-ELSS LABORATORY CONSUMABLES 20</t>
  </si>
  <si>
    <t>20-07-0080</t>
  </si>
  <si>
    <t>20-08-0001</t>
  </si>
  <si>
    <t>S-274-2020</t>
  </si>
  <si>
    <t>2020-06-003</t>
  </si>
  <si>
    <t>ASTGOODS30</t>
  </si>
  <si>
    <t>PGL-20 NEGO-08-08</t>
  </si>
  <si>
    <t>NP PG 20-56</t>
  </si>
  <si>
    <t>DRD-GOODS-CO-3-2020</t>
  </si>
  <si>
    <t>20-07-0262</t>
  </si>
  <si>
    <t>20-08-448</t>
  </si>
  <si>
    <t>MAFAR-08-132-2020</t>
  </si>
  <si>
    <t>EMB-R4B-27-20</t>
  </si>
  <si>
    <t>PR No. 1217 - 20</t>
  </si>
  <si>
    <t>2020-143(8)amp</t>
  </si>
  <si>
    <t>PGL-20 NEGO-10-08</t>
  </si>
  <si>
    <t>256-2020</t>
  </si>
  <si>
    <t>NPDC-2020-RFQ-018</t>
  </si>
  <si>
    <t>RFQ-2020-163-GOODS</t>
  </si>
  <si>
    <t>MAFAR-08-130-2020</t>
  </si>
  <si>
    <t>ESP-GOODS-026-2020</t>
  </si>
  <si>
    <t>ITB-2020-003</t>
  </si>
  <si>
    <t>2020-08-030</t>
  </si>
  <si>
    <t>862020</t>
  </si>
  <si>
    <t>200-20-08-08</t>
  </si>
  <si>
    <t>2008-0680-UCT</t>
  </si>
  <si>
    <t>ITB02-HEALTHSTATION|SNSAPA</t>
  </si>
  <si>
    <t>2020 - 08 - 014 (132 - Shopping)</t>
  </si>
  <si>
    <t>DRD-GOODS-CO-4-2020</t>
  </si>
  <si>
    <t>PR 2020-0452</t>
  </si>
  <si>
    <t>20-08-452</t>
  </si>
  <si>
    <t>NP PG 20-57</t>
  </si>
  <si>
    <t>MASLUG202001</t>
  </si>
  <si>
    <t>TAL-08-24-2020</t>
  </si>
  <si>
    <t>2020-06-076</t>
  </si>
  <si>
    <t>BUGASS-2020-078</t>
  </si>
  <si>
    <t>SVP-080620-3</t>
  </si>
  <si>
    <t>RFQ NO. 2020-0516-EMB-SVP-ERLSD-ECMU METROHM 881 P</t>
  </si>
  <si>
    <t>SEF-G-35-2020</t>
  </si>
  <si>
    <t>NP PG-20-61</t>
  </si>
  <si>
    <t>GOODS-ETG-20-08-015</t>
  </si>
  <si>
    <t>2020 - 08 - 014 (133 - Shopping)</t>
  </si>
  <si>
    <t>Bac-Pg-005-20</t>
  </si>
  <si>
    <t>2020-08-0083</t>
  </si>
  <si>
    <t>2020-07-000</t>
  </si>
  <si>
    <t>100200701112</t>
  </si>
  <si>
    <t>AMP-RFQ 2020-080</t>
  </si>
  <si>
    <t>BUHIINFRA202008-002</t>
  </si>
  <si>
    <t>PGL-20 NEGO-12-08</t>
  </si>
  <si>
    <t>0820-070</t>
  </si>
  <si>
    <t>RFQ 17 - 2020</t>
  </si>
  <si>
    <t>2020-021</t>
  </si>
  <si>
    <t>20-07-123-01</t>
  </si>
  <si>
    <t>NP PG-20-62</t>
  </si>
  <si>
    <t>20-07-0153</t>
  </si>
  <si>
    <t>ZONE 1 202002</t>
  </si>
  <si>
    <t>20-07-0089</t>
  </si>
  <si>
    <t>PG-RFQ-2020-21</t>
  </si>
  <si>
    <t>2008-0684-RICTMS</t>
  </si>
  <si>
    <t>0620201052</t>
  </si>
  <si>
    <t>100200891147</t>
  </si>
  <si>
    <t>2020-08-020</t>
  </si>
  <si>
    <t>RFQ 18 - 2020</t>
  </si>
  <si>
    <t>PGL-20 NEGO-11-08</t>
  </si>
  <si>
    <t>2020-07-0041</t>
  </si>
  <si>
    <t>ENG' 6ID, SBAC 02-2020</t>
  </si>
  <si>
    <t>Bid No. 20-0397</t>
  </si>
  <si>
    <t>2008-0687-RICTMS</t>
  </si>
  <si>
    <t>NP PW-20-17</t>
  </si>
  <si>
    <t>DRD-GOODS-CO-1-2020</t>
  </si>
  <si>
    <t>2020-265</t>
  </si>
  <si>
    <t>PGL-20 NEGO-14-08</t>
  </si>
  <si>
    <t>PR082000652</t>
  </si>
  <si>
    <t>BUGASS-2020-0079</t>
  </si>
  <si>
    <t>2008-0682-PP</t>
  </si>
  <si>
    <t>RFQ-2020-164-GOODS</t>
  </si>
  <si>
    <t>009-08-2020</t>
  </si>
  <si>
    <t>ITB 2020-46</t>
  </si>
  <si>
    <t>2020-AM-0724</t>
  </si>
  <si>
    <t>Napangan-2020-G01</t>
  </si>
  <si>
    <t>RFQ 2020-167</t>
  </si>
  <si>
    <t>NG-GOODS-2020-26</t>
  </si>
  <si>
    <t>MSDS-08-06-2020</t>
  </si>
  <si>
    <t>2020-08-073</t>
  </si>
  <si>
    <t>IB NO. CW 2020 - 116</t>
  </si>
  <si>
    <t>SEF-G-36-2020</t>
  </si>
  <si>
    <t>ITB-GS-20200605-02</t>
  </si>
  <si>
    <t>BUHIINFRA202008-003</t>
  </si>
  <si>
    <t>ADS-1897-20</t>
  </si>
  <si>
    <t>2020-08-029</t>
  </si>
  <si>
    <t>AIEB 2020-032</t>
  </si>
  <si>
    <t>PBD-2020-03_security-personnel.doc.repost</t>
  </si>
  <si>
    <t>RFQ-2020-165-GOODS</t>
  </si>
  <si>
    <t>NP - Goods-2020-005</t>
  </si>
  <si>
    <t>ITB 08-002-20</t>
  </si>
  <si>
    <t>RFQ 19 - 2020</t>
  </si>
  <si>
    <t>RFQ No. 2020-100</t>
  </si>
  <si>
    <t>NP2020-02-121</t>
  </si>
  <si>
    <t>AMP-RFQ 2020-081</t>
  </si>
  <si>
    <t>04-062020</t>
  </si>
  <si>
    <t>2020 - 08 - 10 (25 - Small Value Procurement)</t>
  </si>
  <si>
    <t>2020 - 08 - 014 (134 - Shopping)</t>
  </si>
  <si>
    <t>202013</t>
  </si>
  <si>
    <t>8006032020</t>
  </si>
  <si>
    <t>1011-08-06-2020</t>
  </si>
  <si>
    <t>BCS-2020-0269</t>
  </si>
  <si>
    <t>TAL-08-26-2020</t>
  </si>
  <si>
    <t>SF-INFRA - 057-020</t>
  </si>
  <si>
    <t>SVP20-639</t>
  </si>
  <si>
    <t>nego1UV</t>
  </si>
  <si>
    <t>2020-08-381</t>
  </si>
  <si>
    <t>083-2020</t>
  </si>
  <si>
    <t>ITB-GS-20200326-01</t>
  </si>
  <si>
    <t>msj-2020-28</t>
  </si>
  <si>
    <t>NP - Goods-2020-006</t>
  </si>
  <si>
    <t>20-07-0067</t>
  </si>
  <si>
    <t>2020-AM-0725</t>
  </si>
  <si>
    <t>100200801148</t>
  </si>
  <si>
    <t>nego4UV</t>
  </si>
  <si>
    <t>20GG0064-G</t>
  </si>
  <si>
    <t>RFQ PR NO. 905</t>
  </si>
  <si>
    <t>TAYSAN2020-086</t>
  </si>
  <si>
    <t>202014</t>
  </si>
  <si>
    <t>BCS-2020-0272</t>
  </si>
  <si>
    <t>RO-G-20-020</t>
  </si>
  <si>
    <t>nego3UV</t>
  </si>
  <si>
    <t>BCS-2020-0271</t>
  </si>
  <si>
    <t>2020-7-75</t>
  </si>
  <si>
    <t>2020-AM-0723</t>
  </si>
  <si>
    <t>BCS-2020-0270</t>
  </si>
  <si>
    <t>20-08-025</t>
  </si>
  <si>
    <t>PR 2020-07-305</t>
  </si>
  <si>
    <t>082-2020</t>
  </si>
  <si>
    <t>NJMPTI-PO20200806-001</t>
  </si>
  <si>
    <t>IB NO. CW 2020 - 117</t>
  </si>
  <si>
    <t>2020SINEGSHS-08-27</t>
  </si>
  <si>
    <t>PGL-20 NEGO-13-08</t>
  </si>
  <si>
    <t>NP PG-20-64</t>
  </si>
  <si>
    <t>NP - Goods-2020-010</t>
  </si>
  <si>
    <t>GOODS-20-41</t>
  </si>
  <si>
    <t>tag-11-20</t>
  </si>
  <si>
    <t>151-08-2020</t>
  </si>
  <si>
    <t>SF-INFRA - 058-020</t>
  </si>
  <si>
    <t>010-08-2020</t>
  </si>
  <si>
    <t>2020 - 08 - 014 (135 - Shopping)</t>
  </si>
  <si>
    <t>ITB No.009.August 5,2020.GSO.LGU.Lugait</t>
  </si>
  <si>
    <t>2008-0681-NHTS</t>
  </si>
  <si>
    <t>2020-07-PR049</t>
  </si>
  <si>
    <t>ANTIPOLO-27AUGUST2020-03</t>
  </si>
  <si>
    <t>SH-001-20 (SBAC)</t>
  </si>
  <si>
    <t>HS-5020308000-089-2020</t>
  </si>
  <si>
    <t>RFQ-G-2020-099</t>
  </si>
  <si>
    <t>penrneg2020-ip21</t>
  </si>
  <si>
    <t>2020-08-06-205</t>
  </si>
  <si>
    <t>LGUTMO BAC 2020-1092</t>
  </si>
  <si>
    <t>DOH-MMCHD 2020-08-210-G</t>
  </si>
  <si>
    <t>20MA0131</t>
  </si>
  <si>
    <t>BUGASS-2020-077</t>
  </si>
  <si>
    <t>PUR20-07-0623</t>
  </si>
  <si>
    <t>Publication No. 2020-08</t>
  </si>
  <si>
    <t>G-2020-286</t>
  </si>
  <si>
    <t>luna-0806-2020-1</t>
  </si>
  <si>
    <t>P-0854</t>
  </si>
  <si>
    <t>PR082000651</t>
  </si>
  <si>
    <t>G-2020-285</t>
  </si>
  <si>
    <t>20-198</t>
  </si>
  <si>
    <t>TAPI-RFQ2020-009</t>
  </si>
  <si>
    <t>ITB-002A-2020</t>
  </si>
  <si>
    <t>2006-105</t>
  </si>
  <si>
    <t>20-0003</t>
  </si>
  <si>
    <t>TAPI-RFQ2020-007</t>
  </si>
  <si>
    <t>PHO-C-NC-2020-094 PR2020-110</t>
  </si>
  <si>
    <t>PR20-08-050</t>
  </si>
  <si>
    <t>LGUTMO BAC 2020-0927</t>
  </si>
  <si>
    <t>SF-GOODS - 010-020</t>
  </si>
  <si>
    <t>BM-GARCIA-NC-2020-0411 PR2020-0543</t>
  </si>
  <si>
    <t>SH-025-2020</t>
  </si>
  <si>
    <t>TAPI-RFQ2020-005</t>
  </si>
  <si>
    <t>BEMO-NC-2020-0413 PR2020-549</t>
  </si>
  <si>
    <t>100-20-07-193</t>
  </si>
  <si>
    <t>LGUTMO BAC 2020-1173</t>
  </si>
  <si>
    <t>ZONE 1 202001</t>
  </si>
  <si>
    <t>P.R. No.:DARFO2.QES.115.20-08-035</t>
  </si>
  <si>
    <t>07062020-1</t>
  </si>
  <si>
    <t>20200806-1</t>
  </si>
  <si>
    <t>TAL-08-27-2020</t>
  </si>
  <si>
    <t>20CSHJ01</t>
  </si>
  <si>
    <t>RFQ-2020-09_hdpe pipe</t>
  </si>
  <si>
    <t>2008-0683-RICTMS</t>
  </si>
  <si>
    <t>FAD2020-07-138</t>
  </si>
  <si>
    <t>BAC-PG-00182-20</t>
  </si>
  <si>
    <t>G-2020-024</t>
  </si>
  <si>
    <t>BAC-PG-00183-20</t>
  </si>
  <si>
    <t>BAC-PG-00181-20</t>
  </si>
  <si>
    <t>2020-06-09B</t>
  </si>
  <si>
    <t>2020 - 08 - 032</t>
  </si>
  <si>
    <t>CLB-2020-08</t>
  </si>
  <si>
    <t>Supply and Delivery of Vellum Paper back with prin</t>
  </si>
  <si>
    <t>LTO-SU-20-075</t>
  </si>
  <si>
    <t>20-08-055</t>
  </si>
  <si>
    <t>TAL-08-28-2020</t>
  </si>
  <si>
    <t>2008-0750-BGMS</t>
  </si>
  <si>
    <t>CENRO- DC- 20- 003</t>
  </si>
  <si>
    <t>MPG-B1-2020-418</t>
  </si>
  <si>
    <t>2008-0756-DRMD</t>
  </si>
  <si>
    <t>074-GSA50-CY2020</t>
  </si>
  <si>
    <t>PNU2020-0074</t>
  </si>
  <si>
    <t>20-08-3174</t>
  </si>
  <si>
    <t>M2008-538</t>
  </si>
  <si>
    <t>2008-0741-PDPS</t>
  </si>
  <si>
    <t>21CSGI0001</t>
  </si>
  <si>
    <t>RFQ NO.2020-0477-EMB-S-ERLSD-ELSS BALANCE TABLE (2</t>
  </si>
  <si>
    <t>2020-08-0531 DRMD</t>
  </si>
  <si>
    <t>BAC-PG-00180-20</t>
  </si>
  <si>
    <t>12</t>
  </si>
  <si>
    <t>2020-08-038</t>
  </si>
  <si>
    <t>2020-008-016</t>
  </si>
  <si>
    <t>PR 2020-07-16-109</t>
  </si>
  <si>
    <t>20GAF0058SVP</t>
  </si>
  <si>
    <t>INFRA 2020-06-06</t>
  </si>
  <si>
    <t>BAC-PG-00179-20</t>
  </si>
  <si>
    <t>DOH-MMCHD 2020-08-206-G</t>
  </si>
  <si>
    <t>ITB-GS-20200629-01</t>
  </si>
  <si>
    <t>20GFC0040</t>
  </si>
  <si>
    <t>004-08-05-2020</t>
  </si>
  <si>
    <t>PR 20-02-1132</t>
  </si>
  <si>
    <t>2020-022</t>
  </si>
  <si>
    <t>001-08-04-2020</t>
  </si>
  <si>
    <t>2020-07-034</t>
  </si>
  <si>
    <t>burgos-2020-203-061</t>
  </si>
  <si>
    <t>CLB-2020-09</t>
  </si>
  <si>
    <t>PO20-08-0344-0348</t>
  </si>
  <si>
    <t>117091</t>
  </si>
  <si>
    <t>018-GSA50-CY2020</t>
  </si>
  <si>
    <t>2008-0755-BGMS</t>
  </si>
  <si>
    <t>PB20200806</t>
  </si>
  <si>
    <t>1000033777</t>
  </si>
  <si>
    <t>2020-60</t>
  </si>
  <si>
    <t>2020-08-170</t>
  </si>
  <si>
    <t>TAL-08-30-2020</t>
  </si>
  <si>
    <t>20GFC0043</t>
  </si>
  <si>
    <t>20GFC0039</t>
  </si>
  <si>
    <t>PhilGEPS 2020-08-042</t>
  </si>
  <si>
    <t>IB NO. 2020-002</t>
  </si>
  <si>
    <t>20GFC0042</t>
  </si>
  <si>
    <t>019-GSA50-CY2020</t>
  </si>
  <si>
    <t>202015</t>
  </si>
  <si>
    <t>2020-08-103</t>
  </si>
  <si>
    <t>08-83-2020</t>
  </si>
  <si>
    <t>08-82-2020</t>
  </si>
  <si>
    <t>PR 20-08-1932, 1934</t>
  </si>
  <si>
    <t>010-CSA50-CY2020</t>
  </si>
  <si>
    <t>20-07-23</t>
  </si>
  <si>
    <t>TAL-08-31-2020</t>
  </si>
  <si>
    <t>PR 20-08-1929, 1939, 1935</t>
  </si>
  <si>
    <t>PR 20-08-1940</t>
  </si>
  <si>
    <t>20-07-22</t>
  </si>
  <si>
    <t>2020-045</t>
  </si>
  <si>
    <t>PR 20-08-1936, 1937, 1938</t>
  </si>
  <si>
    <t>2020-08-129</t>
  </si>
  <si>
    <t>PSMO20-05-0256</t>
  </si>
  <si>
    <t>PBINFRA-20-001</t>
  </si>
  <si>
    <t>2020 GOODS 32</t>
  </si>
  <si>
    <t>20GFC0048</t>
  </si>
  <si>
    <t>MIDSBAC(ARMOR)-PB-007-20 Procurement of Nine (9) s</t>
  </si>
  <si>
    <t>20-07-29</t>
  </si>
  <si>
    <t>2020-047</t>
  </si>
  <si>
    <t>20GFE0017</t>
  </si>
  <si>
    <t>20GFC0046</t>
  </si>
  <si>
    <t>08-07-2020 SGD2</t>
  </si>
  <si>
    <t>2020-051</t>
  </si>
  <si>
    <t>gsis/npsvp-253-20</t>
  </si>
  <si>
    <t>PR 20-02-1137</t>
  </si>
  <si>
    <t>8-2020-1</t>
  </si>
  <si>
    <t>G001-08-2020</t>
  </si>
  <si>
    <t>dorongan2020-01</t>
  </si>
  <si>
    <t>PR 20-01-0919</t>
  </si>
  <si>
    <t>2020-054</t>
  </si>
  <si>
    <t>Barangay Zone IV Poblacion 20-08-12s</t>
  </si>
  <si>
    <t>2020-08-45</t>
  </si>
  <si>
    <t>MIDSBAC(ARMOR)-008-20 Procurement of Tires for SFV</t>
  </si>
  <si>
    <t>gsis/npsvp-256-20</t>
  </si>
  <si>
    <t>PUR20-07-0612</t>
  </si>
  <si>
    <t>PR 20-01-1928</t>
  </si>
  <si>
    <t>SVP20-0009</t>
  </si>
  <si>
    <t>IB No. 2020-234</t>
  </si>
  <si>
    <t>20GFC0049</t>
  </si>
  <si>
    <t>2020-08-44</t>
  </si>
  <si>
    <t>gsis/npsvp-255-20</t>
  </si>
  <si>
    <t>2020-053</t>
  </si>
  <si>
    <t>2020-08-128</t>
  </si>
  <si>
    <t>G-2020-499</t>
  </si>
  <si>
    <t>2020-08-48</t>
  </si>
  <si>
    <t>DARGEPS-004</t>
  </si>
  <si>
    <t>PB2020-08-03</t>
  </si>
  <si>
    <t>02</t>
  </si>
  <si>
    <t>RFQ-06-2020</t>
  </si>
  <si>
    <t>2020-08-47</t>
  </si>
  <si>
    <t>2020 - 08 - 033</t>
  </si>
  <si>
    <t>2020-08-0054</t>
  </si>
  <si>
    <t>03</t>
  </si>
  <si>
    <t>RFQ NO. 2020-0545-EMB-S-ERLSD-ESRS FILTERS (3rd)</t>
  </si>
  <si>
    <t>2020-07-0099- BAC0082</t>
  </si>
  <si>
    <t>2020-B01</t>
  </si>
  <si>
    <t>20-07-003</t>
  </si>
  <si>
    <t>G-2020-504</t>
  </si>
  <si>
    <t>INFRA-2020-08-09</t>
  </si>
  <si>
    <t>Barangay Zone IV Poblacion 20-08-14s</t>
  </si>
  <si>
    <t>G-2020-505</t>
  </si>
  <si>
    <t>2020-08-37</t>
  </si>
  <si>
    <t>DPWH-SK2DEO-20GMH075</t>
  </si>
  <si>
    <t>PUR20-07-0621</t>
  </si>
  <si>
    <t>00025-2020</t>
  </si>
  <si>
    <t>DPWH-SK2DEO-20GMH074</t>
  </si>
  <si>
    <t>DPWH-SK2DEO-20GMH073</t>
  </si>
  <si>
    <t>ITB-2020-078</t>
  </si>
  <si>
    <t>2020-08-36</t>
  </si>
  <si>
    <t>2020-PB-014</t>
  </si>
  <si>
    <t>G-2020-513</t>
  </si>
  <si>
    <t>2020-08-26 (17)</t>
  </si>
  <si>
    <t>2020-08-0110-BAC0089</t>
  </si>
  <si>
    <t>2020-PB-015</t>
  </si>
  <si>
    <t>20GHI0028</t>
  </si>
  <si>
    <t>mb pr5</t>
  </si>
  <si>
    <t>2020-06-179</t>
  </si>
  <si>
    <t>G-2020-510</t>
  </si>
  <si>
    <t>DEPED-GSC 2020-028</t>
  </si>
  <si>
    <t>20OH0158</t>
  </si>
  <si>
    <t>20OH0157</t>
  </si>
  <si>
    <t>G-2020-512</t>
  </si>
  <si>
    <t>BMadasigon 2020-08</t>
  </si>
  <si>
    <t>20OH0156</t>
  </si>
  <si>
    <t>G-2020-522</t>
  </si>
  <si>
    <t>G-2020-511</t>
  </si>
  <si>
    <t>2020-07-0027</t>
  </si>
  <si>
    <t>G-2020-521</t>
  </si>
  <si>
    <t>ITB-2020-080</t>
  </si>
  <si>
    <t>G-2020-520</t>
  </si>
  <si>
    <t>ITB-2020-079</t>
  </si>
  <si>
    <t>2020-14</t>
  </si>
  <si>
    <t>INFRA-2020-08-07</t>
  </si>
  <si>
    <t>ITB No. 2020-03-02</t>
  </si>
  <si>
    <t>SC-20-08-001</t>
  </si>
  <si>
    <t>2020-08-38</t>
  </si>
  <si>
    <t>INFRA-2020-08-08</t>
  </si>
  <si>
    <t>G-2020-503</t>
  </si>
  <si>
    <t>20GD0111</t>
  </si>
  <si>
    <t>20-08-07-003</t>
  </si>
  <si>
    <t>RFQ 2020-08-22</t>
  </si>
  <si>
    <t>20-07-546</t>
  </si>
  <si>
    <t>ITB-2020-084</t>
  </si>
  <si>
    <t>G-2020-502</t>
  </si>
  <si>
    <t>ITB No. 2020-03-01</t>
  </si>
  <si>
    <t>2020-110</t>
  </si>
  <si>
    <t>VCWD-2020-015</t>
  </si>
  <si>
    <t>ITB-2020-083</t>
  </si>
  <si>
    <t>RFQ 2020-08-20</t>
  </si>
  <si>
    <t>20-08-06-002</t>
  </si>
  <si>
    <t>20OH0159</t>
  </si>
  <si>
    <t>ITB-2020-082</t>
  </si>
  <si>
    <t>SNHS-07-2020</t>
  </si>
  <si>
    <t>20-06-506</t>
  </si>
  <si>
    <t>PR No.  	:	20-VII-47</t>
  </si>
  <si>
    <t>RGL2020-008</t>
  </si>
  <si>
    <t>FY-2020-GOODS-017</t>
  </si>
  <si>
    <t>BCS-2020-0274</t>
  </si>
  <si>
    <t>PR No.  	:	20-VII-36</t>
  </si>
  <si>
    <t>2020-B2-</t>
  </si>
  <si>
    <t>VCWD-2020-016</t>
  </si>
  <si>
    <t>20OH0160</t>
  </si>
  <si>
    <t>2020-024</t>
  </si>
  <si>
    <t>OPA-2020-0516</t>
  </si>
  <si>
    <t>RGL2020-007</t>
  </si>
  <si>
    <t>20-07-538</t>
  </si>
  <si>
    <t>20-07-554</t>
  </si>
  <si>
    <t>BCS-2020-0273</t>
  </si>
  <si>
    <t>G2020-08-002</t>
  </si>
  <si>
    <t>SDO GOODS 2020-039</t>
  </si>
  <si>
    <t>2020-07-055</t>
  </si>
  <si>
    <t>IB NO. 2020-190</t>
  </si>
  <si>
    <t>RGL2020-012</t>
  </si>
  <si>
    <t>BAC-PROP-2020-06</t>
  </si>
  <si>
    <t>PEO-2020-0072</t>
  </si>
  <si>
    <t>PR No.  	:	20-VII-46</t>
  </si>
  <si>
    <t>RGL2020-009</t>
  </si>
  <si>
    <t>20-013</t>
  </si>
  <si>
    <t>PEO-2020-0065</t>
  </si>
  <si>
    <t>RGL2020-010</t>
  </si>
  <si>
    <t>2020-07-0032</t>
  </si>
  <si>
    <t>DAVOR-G-2020-19</t>
  </si>
  <si>
    <t>PR No.  	:	20-VII-49</t>
  </si>
  <si>
    <t>DAVOR-G-2020-18</t>
  </si>
  <si>
    <t>08-07-2020-02</t>
  </si>
  <si>
    <t>2020-07-0031</t>
  </si>
  <si>
    <t>47-2020</t>
  </si>
  <si>
    <t>08-07-2020-05</t>
  </si>
  <si>
    <t>2020-08-0006</t>
  </si>
  <si>
    <t>DAVOR-G-2020-17</t>
  </si>
  <si>
    <t>RGL2020-011</t>
  </si>
  <si>
    <t>48-2020</t>
  </si>
  <si>
    <t>NCMH-DMMAP-MH2CY2019</t>
  </si>
  <si>
    <t>2020-08-32</t>
  </si>
  <si>
    <t>20-07-506</t>
  </si>
  <si>
    <t>DAVOR-G-2020-16</t>
  </si>
  <si>
    <t>JHS-2020-07-0054</t>
  </si>
  <si>
    <t>SHS-2020-002</t>
  </si>
  <si>
    <t>20CSPJ02</t>
  </si>
  <si>
    <t>20-04-00332</t>
  </si>
  <si>
    <t>2020-Barangay ibol-003</t>
  </si>
  <si>
    <t>PR NO. 007-04-20</t>
  </si>
  <si>
    <t>50-2020</t>
  </si>
  <si>
    <t>PB-GE3-2020-26</t>
  </si>
  <si>
    <t>20CSDB01</t>
  </si>
  <si>
    <t>RDD-2020-GO-21</t>
  </si>
  <si>
    <t>MRH-009-2020</t>
  </si>
  <si>
    <t>G-2020-077</t>
  </si>
  <si>
    <t>107-0793</t>
  </si>
  <si>
    <t>G-2020-076</t>
  </si>
  <si>
    <t>22-2020_INFR</t>
  </si>
  <si>
    <t>G-2020-078</t>
  </si>
  <si>
    <t>21-2020_INFR</t>
  </si>
  <si>
    <t>PR 0720-042</t>
  </si>
  <si>
    <t>LGULAGONOY-BAC-020-INFRA-004</t>
  </si>
  <si>
    <t>2020-09-CW</t>
  </si>
  <si>
    <t>2020-08-CW</t>
  </si>
  <si>
    <t>2020-007-005</t>
  </si>
  <si>
    <t>2020-Barangay Cinco sierra-005</t>
  </si>
  <si>
    <t>RFQ-INFRA-2020-026</t>
  </si>
  <si>
    <t>2020-Brgy.13-005</t>
  </si>
  <si>
    <t>20BERNABE001</t>
  </si>
  <si>
    <t>GOODS-040-2020</t>
  </si>
  <si>
    <t>2020-Brgy. Cagutian-002</t>
  </si>
  <si>
    <t>2020-10-CW</t>
  </si>
  <si>
    <t>POW-1041-2020-PCO-14B</t>
  </si>
  <si>
    <t>2020-Brgy. Estaka Buri-001</t>
  </si>
  <si>
    <t>AB 2020-06</t>
  </si>
  <si>
    <t>AB 2020-04</t>
  </si>
  <si>
    <t>20GIE0025</t>
  </si>
  <si>
    <t>20GIE0023 (RFQ No.20-06-023)</t>
  </si>
  <si>
    <t>AB 2020-05</t>
  </si>
  <si>
    <t>G-2020-079</t>
  </si>
  <si>
    <t>BBG-WV#019-2020</t>
  </si>
  <si>
    <t>20BERNABE002</t>
  </si>
  <si>
    <t>LGU-Sagay-4763</t>
  </si>
  <si>
    <t>BBG-WV#018-2020</t>
  </si>
  <si>
    <t>G-PHO-066-20</t>
  </si>
  <si>
    <t>20-07-169,170,184,186,188</t>
  </si>
  <si>
    <t>20DIVNORTE001</t>
  </si>
  <si>
    <t>G-HMO-065-20</t>
  </si>
  <si>
    <t>G-HMO-064-20</t>
  </si>
  <si>
    <t>0813</t>
  </si>
  <si>
    <t>PES-2020-003</t>
  </si>
  <si>
    <t>PB07-2020</t>
  </si>
  <si>
    <t>PB06-2020</t>
  </si>
  <si>
    <t>2020-07-30-009</t>
  </si>
  <si>
    <t>PB04-2020</t>
  </si>
  <si>
    <t>p02-2020</t>
  </si>
  <si>
    <t>2020-033</t>
  </si>
  <si>
    <t>20GIE0026</t>
  </si>
  <si>
    <t>PB05-2020</t>
  </si>
  <si>
    <t>RFQ BACMADD2020-034</t>
  </si>
  <si>
    <t>PB03-2020</t>
  </si>
  <si>
    <t>pb01-2020</t>
  </si>
  <si>
    <t>2020-07-30-008</t>
  </si>
  <si>
    <t>PB09-2020</t>
  </si>
  <si>
    <t>G-PEEIPO-072-20</t>
  </si>
  <si>
    <t>PB08-2020</t>
  </si>
  <si>
    <t>PB-GE1-2020-27</t>
  </si>
  <si>
    <t>2020-07-438</t>
  </si>
  <si>
    <t>BFAR IV-A.PR20-0429</t>
  </si>
  <si>
    <t>2020-07-437</t>
  </si>
  <si>
    <t>G-PGO-070-20</t>
  </si>
  <si>
    <t>20CSF003</t>
  </si>
  <si>
    <t>G-TLDH-069-20</t>
  </si>
  <si>
    <t>19F00143</t>
  </si>
  <si>
    <t>G2020-08-006(NP-SV)</t>
  </si>
  <si>
    <t>BFAR IV-A.PR20-0427</t>
  </si>
  <si>
    <t>07-020-2-</t>
  </si>
  <si>
    <t>G-PHO-067-20</t>
  </si>
  <si>
    <t>RFQ-GOODS-2020-021</t>
  </si>
  <si>
    <t>BFAR IV-A.PR20-0426</t>
  </si>
  <si>
    <t>2020-07-30-007</t>
  </si>
  <si>
    <t>G-TLDH-068-20</t>
  </si>
  <si>
    <t>ITB 2020-06</t>
  </si>
  <si>
    <t>G-CONSO-071-20</t>
  </si>
  <si>
    <t>BSPMD PR No. 2000005523</t>
  </si>
  <si>
    <t>08-07-2020-04</t>
  </si>
  <si>
    <t>RGL2020-013</t>
  </si>
  <si>
    <t>49-2020</t>
  </si>
  <si>
    <t>08-07-2020-03</t>
  </si>
  <si>
    <t>20-08-183</t>
  </si>
  <si>
    <t>OSAG PR No. 1000032901</t>
  </si>
  <si>
    <t>08-07-2020-01</t>
  </si>
  <si>
    <t>INFRA-2020-08-06</t>
  </si>
  <si>
    <t>20-08-07-004</t>
  </si>
  <si>
    <t>PEO-2020-1043</t>
  </si>
  <si>
    <t>Barangay Zone IV Poblacion 20-08-13s</t>
  </si>
  <si>
    <t>2020-08-46</t>
  </si>
  <si>
    <t>PB2020-08-01</t>
  </si>
  <si>
    <t>2020-052</t>
  </si>
  <si>
    <t>gsis/npsvp-254-20</t>
  </si>
  <si>
    <t>IB No. 2020-233</t>
  </si>
  <si>
    <t>2020-03-340</t>
  </si>
  <si>
    <t>2020 - 002</t>
  </si>
  <si>
    <t>TAL-08-33-2020</t>
  </si>
  <si>
    <t>RFQ20-069</t>
  </si>
  <si>
    <t>PR 20-02-1139</t>
  </si>
  <si>
    <t>TAL-08-32-2020</t>
  </si>
  <si>
    <t>BRGYDITA 2020-08-03</t>
  </si>
  <si>
    <t>BFAR IV-A.PR20-0428</t>
  </si>
  <si>
    <t>SH-050-20</t>
  </si>
  <si>
    <t>20-07-28</t>
  </si>
  <si>
    <t>2020-08-28-456PG</t>
  </si>
  <si>
    <t>PB.No. 2020-08-0053</t>
  </si>
  <si>
    <t>RFQ No. 2020-008-008</t>
  </si>
  <si>
    <t>07-00977</t>
  </si>
  <si>
    <t>8-2020-2</t>
  </si>
  <si>
    <t>20GFC0047</t>
  </si>
  <si>
    <t>PhilGEPS 2020-08-041</t>
  </si>
  <si>
    <t>20GIE0024</t>
  </si>
  <si>
    <t>20GBF0003</t>
  </si>
  <si>
    <t>TAL-08-29-2020</t>
  </si>
  <si>
    <t>2020-07-439</t>
  </si>
  <si>
    <t>20-07-0290</t>
  </si>
  <si>
    <t>20GFC0044</t>
  </si>
  <si>
    <t>RFQ NO 2020-0540-EMB-S-ERLSD-ELSS GLASSWARE (3rd)</t>
  </si>
  <si>
    <t>005-08-2020</t>
  </si>
  <si>
    <t>PBD 20-093</t>
  </si>
  <si>
    <t>2020--52</t>
  </si>
  <si>
    <t>20GFC0041</t>
  </si>
  <si>
    <t>PHO-2020-0403</t>
  </si>
  <si>
    <t>GFP100-2020-07-054</t>
  </si>
  <si>
    <t>2020-07-422</t>
  </si>
  <si>
    <t>20-05-0211</t>
  </si>
  <si>
    <t>2020-07-74</t>
  </si>
  <si>
    <t>2020-07-440</t>
  </si>
  <si>
    <t>07-00983</t>
  </si>
  <si>
    <t>183 - 2020</t>
  </si>
  <si>
    <t>185 - 2020</t>
  </si>
  <si>
    <t>LGU-Sagay-4764</t>
  </si>
  <si>
    <t>186 - 2020</t>
  </si>
  <si>
    <t>LL-28-20</t>
  </si>
  <si>
    <t>20-162</t>
  </si>
  <si>
    <t>G2020-08-005(NP-SV)</t>
  </si>
  <si>
    <t>187 - 2020</t>
  </si>
  <si>
    <t>PHO-2020-0269, 0147, 0150</t>
  </si>
  <si>
    <t>20-158</t>
  </si>
  <si>
    <t>20DPTN005</t>
  </si>
  <si>
    <t>20-161</t>
  </si>
  <si>
    <t>20-156</t>
  </si>
  <si>
    <t>CW2020-08-003(NP-SV)</t>
  </si>
  <si>
    <t>OPA-2020-0388</t>
  </si>
  <si>
    <t>20DPTN004</t>
  </si>
  <si>
    <t>NOTD-2020-0233</t>
  </si>
  <si>
    <t>msj-2020-27</t>
  </si>
  <si>
    <t>LL-29-20</t>
  </si>
  <si>
    <t>SVP-2020-08-012</t>
  </si>
  <si>
    <t>APR No. 100-20-06-427A</t>
  </si>
  <si>
    <t>20-171</t>
  </si>
  <si>
    <t>GOV-2020-0548</t>
  </si>
  <si>
    <t>APR No. 100-20-07-505</t>
  </si>
  <si>
    <t>APR No. 100-20-07-507</t>
  </si>
  <si>
    <t>GOV-2020-0428</t>
  </si>
  <si>
    <t>20-170</t>
  </si>
  <si>
    <t>179 - 2020</t>
  </si>
  <si>
    <t>181 - 2020</t>
  </si>
  <si>
    <t>AB 2020-07</t>
  </si>
  <si>
    <t>NOLI-2020-0198</t>
  </si>
  <si>
    <t>APR No. 100-20-06-448</t>
  </si>
  <si>
    <t>AB 2020-08</t>
  </si>
  <si>
    <t>2020-536</t>
  </si>
  <si>
    <t>INFRA-2020-014</t>
  </si>
  <si>
    <t>184 - 2020</t>
  </si>
  <si>
    <t>20GCH0017</t>
  </si>
  <si>
    <t>RFQ 2020-08-30</t>
  </si>
  <si>
    <t>20GCH0016</t>
  </si>
  <si>
    <t>20-173</t>
  </si>
  <si>
    <t>APR No. 300-20-03-205</t>
  </si>
  <si>
    <t>BS-2020-01</t>
  </si>
  <si>
    <t>APR No. 100-20-08-522</t>
  </si>
  <si>
    <t>APR No. 300-20-03-204</t>
  </si>
  <si>
    <t>2020-080-002-2-GDS</t>
  </si>
  <si>
    <t>ITB No.008.August 3,2020.GSO.LGU.Lugait</t>
  </si>
  <si>
    <t>2020-2</t>
  </si>
  <si>
    <t>AL-LFP-009-2020RFQ</t>
  </si>
  <si>
    <t>GFP100-2020-07-058</t>
  </si>
  <si>
    <t>300-2020-07-009</t>
  </si>
  <si>
    <t>20-174</t>
  </si>
  <si>
    <t>2020-1</t>
  </si>
  <si>
    <t>20GCH0019</t>
  </si>
  <si>
    <t>FCP-L-20-08-004</t>
  </si>
  <si>
    <t>BBG-WV#024-2020</t>
  </si>
  <si>
    <t>ITB No. 2020-33</t>
  </si>
  <si>
    <t>INFRA-2020-015</t>
  </si>
  <si>
    <t>PBD 20-094</t>
  </si>
  <si>
    <t>180 - 2020</t>
  </si>
  <si>
    <t>GFP100-2020-07-061</t>
  </si>
  <si>
    <t>APR No. 100-20-03-236</t>
  </si>
  <si>
    <t>RFQ 2020-08-32</t>
  </si>
  <si>
    <t>PBD 20-095</t>
  </si>
  <si>
    <t>APR No. 100-20-04-252</t>
  </si>
  <si>
    <t>AL-LFP-008-2020RFQ</t>
  </si>
  <si>
    <t>g2020-018</t>
  </si>
  <si>
    <t>2020-08-NO-POP-GF-0026</t>
  </si>
  <si>
    <t>ITB # 2020-08-049</t>
  </si>
  <si>
    <t>20GFC0045</t>
  </si>
  <si>
    <t>202001</t>
  </si>
  <si>
    <t>MGPIN 2020-022</t>
  </si>
  <si>
    <t>Purchase of Motorcycle with Kolong kolong</t>
  </si>
  <si>
    <t>20GGI0040</t>
  </si>
  <si>
    <t>Infra-02</t>
  </si>
  <si>
    <t>Re-Adv. No. 20-007</t>
  </si>
  <si>
    <t>PCMT 2020 - 077</t>
  </si>
  <si>
    <t>ITB # 2020-08-048</t>
  </si>
  <si>
    <t>20-07-0284</t>
  </si>
  <si>
    <t>2020-28</t>
  </si>
  <si>
    <t>ISL-08052020</t>
  </si>
  <si>
    <t>2020-07-0178</t>
  </si>
  <si>
    <t>2020-07-0175</t>
  </si>
  <si>
    <t>SMAC-SVP-2020-007</t>
  </si>
  <si>
    <t>SK BALEYADAAN -2020-08-001</t>
  </si>
  <si>
    <t>ITB 04-2020</t>
  </si>
  <si>
    <t>PBD 20-096</t>
  </si>
  <si>
    <t>flritbno001</t>
  </si>
  <si>
    <t>PUBLIC BIDDING NO. 2020-2</t>
  </si>
  <si>
    <t>ITB 03-2020</t>
  </si>
  <si>
    <t>2020-07-0174</t>
  </si>
  <si>
    <t>07-020-20</t>
  </si>
  <si>
    <t>BSU - PROJECT NO. 2020- 287</t>
  </si>
  <si>
    <t>EMC-017-2020 Other Supplies</t>
  </si>
  <si>
    <t>flritbno 002</t>
  </si>
  <si>
    <t>RB-08062020</t>
  </si>
  <si>
    <t>005-2020</t>
  </si>
  <si>
    <t>PGR-GOODS-20-2020</t>
  </si>
  <si>
    <t>20GCH0018</t>
  </si>
  <si>
    <t>178 - 2020</t>
  </si>
  <si>
    <t>20BH0161</t>
  </si>
  <si>
    <t>AMP-RFQ 2020-076</t>
  </si>
  <si>
    <t>LGULILA-08-2020</t>
  </si>
  <si>
    <t>20GF00002</t>
  </si>
  <si>
    <t>20-07-0000114</t>
  </si>
  <si>
    <t>2020-03-037B &amp; 03-021</t>
  </si>
  <si>
    <t>PGR-GOODS-17-2020</t>
  </si>
  <si>
    <t>2020-07-3118</t>
  </si>
  <si>
    <t>2020-08-04 INFRA</t>
  </si>
  <si>
    <t>Sarrat-2020-028</t>
  </si>
  <si>
    <t>1090-20</t>
  </si>
  <si>
    <t>BWD-RFQ-2020-10</t>
  </si>
  <si>
    <t>RFQ 2020-08-0188</t>
  </si>
  <si>
    <t>20-07-279</t>
  </si>
  <si>
    <t>08-05-2020-309</t>
  </si>
  <si>
    <t>08-05-2020-310</t>
  </si>
  <si>
    <t>2020-08-02 INFRA</t>
  </si>
  <si>
    <t>2020-08-0090</t>
  </si>
  <si>
    <t>CONSOLIDATED PR'S (2020-07-247 2ND QUOTE)</t>
  </si>
  <si>
    <t>APR No. 100-20-03-226</t>
  </si>
  <si>
    <t>20-172</t>
  </si>
  <si>
    <t>20-169</t>
  </si>
  <si>
    <t>2020-08-03 INFRA</t>
  </si>
  <si>
    <t>182 - 2020</t>
  </si>
  <si>
    <t>RFQ NO. 508</t>
  </si>
  <si>
    <t>2020-08-01 INFRA</t>
  </si>
  <si>
    <t>PEMO-2020-2143</t>
  </si>
  <si>
    <t>PGR-GOODS-16-2020</t>
  </si>
  <si>
    <t>07-01002</t>
  </si>
  <si>
    <t>07-00981</t>
  </si>
  <si>
    <t>20GI0099</t>
  </si>
  <si>
    <t>20-07-0296</t>
  </si>
  <si>
    <t>13-2020</t>
  </si>
  <si>
    <t>2020-04-152</t>
  </si>
  <si>
    <t>S-179-2020</t>
  </si>
  <si>
    <t>20GFC0038</t>
  </si>
  <si>
    <t>QN-200804-6/ DM-20-0822</t>
  </si>
  <si>
    <t>20GIH0017</t>
  </si>
  <si>
    <t>lgumambu_g_aug_2020_004</t>
  </si>
  <si>
    <t>20DPTN006</t>
  </si>
  <si>
    <t>HILONGOS 2020-237</t>
  </si>
  <si>
    <t>PR No. 20071396</t>
  </si>
  <si>
    <t>BDNG-AUGUST-2020-5</t>
  </si>
  <si>
    <t>2020-0637</t>
  </si>
  <si>
    <t>Bid No. 20-0353</t>
  </si>
  <si>
    <t>2020-08-06 INFRA</t>
  </si>
  <si>
    <t>2020.08.05.003</t>
  </si>
  <si>
    <t>PR No. 20071388</t>
  </si>
  <si>
    <t>20-08-107</t>
  </si>
  <si>
    <t>HILONGOS 2020-236</t>
  </si>
  <si>
    <t>2020-08-62</t>
  </si>
  <si>
    <t>2020.08.05.002</t>
  </si>
  <si>
    <t>NS-2020-07-0294</t>
  </si>
  <si>
    <t>20-060</t>
  </si>
  <si>
    <t>2020-08-051</t>
  </si>
  <si>
    <t>2020.08.05.001</t>
  </si>
  <si>
    <t>2020-08-05 INFRA</t>
  </si>
  <si>
    <t>HILONGOS 2020-238</t>
  </si>
  <si>
    <t>Bid No. 20-0372</t>
  </si>
  <si>
    <t>1089-20</t>
  </si>
  <si>
    <t>PEO-2020-1110</t>
  </si>
  <si>
    <t>20-221</t>
  </si>
  <si>
    <t>PR No. 20071430</t>
  </si>
  <si>
    <t>20-02-161</t>
  </si>
  <si>
    <t>LGU-MOALBOAL2020-0801</t>
  </si>
  <si>
    <t>CAB2020-001</t>
  </si>
  <si>
    <t>LGUPROC 2020 -165N</t>
  </si>
  <si>
    <t>2020.08.05.004</t>
  </si>
  <si>
    <t>20GCE0033</t>
  </si>
  <si>
    <t>2020-032J</t>
  </si>
  <si>
    <t>1086-20</t>
  </si>
  <si>
    <t>2020-01-001</t>
  </si>
  <si>
    <t>LGUPROC 2020 -167N</t>
  </si>
  <si>
    <t>2020-06-002</t>
  </si>
  <si>
    <t>20-222</t>
  </si>
  <si>
    <t>Bid No. 20-0373</t>
  </si>
  <si>
    <t>ITB 20-30</t>
  </si>
  <si>
    <t>GOODS2020-48</t>
  </si>
  <si>
    <t>PR No. 20071370</t>
  </si>
  <si>
    <t>2020-08-08 INFRA</t>
  </si>
  <si>
    <t>20-02-163</t>
  </si>
  <si>
    <t>2020-PR-121-CAR</t>
  </si>
  <si>
    <t>BP-080320-031</t>
  </si>
  <si>
    <t>20GKB0005</t>
  </si>
  <si>
    <t>PR No. 20081458</t>
  </si>
  <si>
    <t>CAT-12-20</t>
  </si>
  <si>
    <t>RFQ NO. 507</t>
  </si>
  <si>
    <t>2020-17-001</t>
  </si>
  <si>
    <t>Bid No. 20-0374</t>
  </si>
  <si>
    <t>PR# 07-2020-099</t>
  </si>
  <si>
    <t>2020-08-052</t>
  </si>
  <si>
    <t>PR No. 20081449</t>
  </si>
  <si>
    <t>50-20-05-041</t>
  </si>
  <si>
    <t>2020-033J</t>
  </si>
  <si>
    <t>BAC-PG-002-20</t>
  </si>
  <si>
    <t>2020-082-19-20</t>
  </si>
  <si>
    <t>2020-0233</t>
  </si>
  <si>
    <t>G2020-08-007(NP-SV)</t>
  </si>
  <si>
    <t>SVP-20-38</t>
  </si>
  <si>
    <t>Brgy. Torre 1st., Mangatarem, Pangasinan 2020-02</t>
  </si>
  <si>
    <t>2020-034J</t>
  </si>
  <si>
    <t>20GDB0040</t>
  </si>
  <si>
    <t>BAC 2020-46</t>
  </si>
  <si>
    <t>2020-082-19-19</t>
  </si>
  <si>
    <t>2020-08-42</t>
  </si>
  <si>
    <t>2020-08-10 INFRA</t>
  </si>
  <si>
    <t>100-2008-1444</t>
  </si>
  <si>
    <t>NLC-SDD-20-07-023</t>
  </si>
  <si>
    <t>EMB13-2020-08-042</t>
  </si>
  <si>
    <t>08-80-2020</t>
  </si>
  <si>
    <t>2020-BCN-004</t>
  </si>
  <si>
    <t>2020-CW011</t>
  </si>
  <si>
    <t>2020-08-0160</t>
  </si>
  <si>
    <t>2020-082-19-21</t>
  </si>
  <si>
    <t>Rehabilitation/Improvement of Binodegahan-Nablangb</t>
  </si>
  <si>
    <t>RFQ 2020-166</t>
  </si>
  <si>
    <t>2020-01-002</t>
  </si>
  <si>
    <t>bacgal-57-2020</t>
  </si>
  <si>
    <t>25-Goods-2020</t>
  </si>
  <si>
    <t>20GKB0008</t>
  </si>
  <si>
    <t>2020-165</t>
  </si>
  <si>
    <t>PR-2020-08-036</t>
  </si>
  <si>
    <t>NS-2020-07-0299</t>
  </si>
  <si>
    <t>RSPQ NO. 2020-08-042</t>
  </si>
  <si>
    <t>2020-07-0157</t>
  </si>
  <si>
    <t>2020-019-GDS-NPTFB-004</t>
  </si>
  <si>
    <t>PR NO.2020-08-016</t>
  </si>
  <si>
    <t>APR No. 100-20-07-480</t>
  </si>
  <si>
    <t>20-061</t>
  </si>
  <si>
    <t>Bid No. 20-0378</t>
  </si>
  <si>
    <t>2020-082-19-18</t>
  </si>
  <si>
    <t>2020-Barangay socorro-03</t>
  </si>
  <si>
    <t>2020-08-0161</t>
  </si>
  <si>
    <t>2020-082-19-23</t>
  </si>
  <si>
    <t>2020-08-0841 TDG</t>
  </si>
  <si>
    <t>2020-08-393-15</t>
  </si>
  <si>
    <t>GOODS-PB-2020-053</t>
  </si>
  <si>
    <t>ITB-NO.36</t>
  </si>
  <si>
    <t>NLC-SDD-20-07-024</t>
  </si>
  <si>
    <t>30</t>
  </si>
  <si>
    <t>20CSN018</t>
  </si>
  <si>
    <t>172 - 2020</t>
  </si>
  <si>
    <t>NLC-SDD-20-07-036</t>
  </si>
  <si>
    <t>NLC-SDD-20-07-025</t>
  </si>
  <si>
    <t>080520-R1</t>
  </si>
  <si>
    <t>NLC-SDD-20-07-035</t>
  </si>
  <si>
    <t>GOODS2020-49</t>
  </si>
  <si>
    <t>08-81-2020</t>
  </si>
  <si>
    <t>080520-R2</t>
  </si>
  <si>
    <t>Mkna-GSO-20-337</t>
  </si>
  <si>
    <t>ITB-NO.37</t>
  </si>
  <si>
    <t>BAGO-BAC-RFQ-20-1413</t>
  </si>
  <si>
    <t>NLC-SDD-20-07-034</t>
  </si>
  <si>
    <t>396487</t>
  </si>
  <si>
    <t>301</t>
  </si>
  <si>
    <t>PR-2020-08-035</t>
  </si>
  <si>
    <t>20GKB0007</t>
  </si>
  <si>
    <t>AMP-RFQ 2020-077</t>
  </si>
  <si>
    <t>20GDB0041</t>
  </si>
  <si>
    <t>NP-07-38-20</t>
  </si>
  <si>
    <t>NLC-SDD-20-07-0017A</t>
  </si>
  <si>
    <t>2020-056</t>
  </si>
  <si>
    <t>08052020</t>
  </si>
  <si>
    <t>2020-01-003</t>
  </si>
  <si>
    <t>20JA0095</t>
  </si>
  <si>
    <t>19CSN019</t>
  </si>
  <si>
    <t>202053</t>
  </si>
  <si>
    <t>2020 Caib 133</t>
  </si>
  <si>
    <t>2020-08-0853 TDG</t>
  </si>
  <si>
    <t>2020-45</t>
  </si>
  <si>
    <t>174 - 2020</t>
  </si>
  <si>
    <t>RSPQ NO. 2020-08-043</t>
  </si>
  <si>
    <t>RFQ NO. 2020-06-133</t>
  </si>
  <si>
    <t>canalbatiano</t>
  </si>
  <si>
    <t>0246-072020</t>
  </si>
  <si>
    <t>0020-0294-1352-2020</t>
  </si>
  <si>
    <t>20-07-0103</t>
  </si>
  <si>
    <t>PR No.: 2020-07-0386</t>
  </si>
  <si>
    <t>0020-0292-1350-2020</t>
  </si>
  <si>
    <t>2020-INREMP-1</t>
  </si>
  <si>
    <t>08242020-116</t>
  </si>
  <si>
    <t>0266-072020</t>
  </si>
  <si>
    <t>BAGO-BAC-RFQ-20-1420</t>
  </si>
  <si>
    <t>VJNVHS2020-17</t>
  </si>
  <si>
    <t>2020-08-110</t>
  </si>
  <si>
    <t>0108052020</t>
  </si>
  <si>
    <t>089-2020</t>
  </si>
  <si>
    <t>C-125-2020</t>
  </si>
  <si>
    <t>0208052020</t>
  </si>
  <si>
    <t>BLGU-MALAGUICAY-03-2020</t>
  </si>
  <si>
    <t>0260-072020</t>
  </si>
  <si>
    <t>brgy.zone 23</t>
  </si>
  <si>
    <t>BLGU-MALAGUICAY-02-2020</t>
  </si>
  <si>
    <t>2020-07-56</t>
  </si>
  <si>
    <t>ITB-2020-02</t>
  </si>
  <si>
    <t>200724021</t>
  </si>
  <si>
    <t>200-20-08-0144</t>
  </si>
  <si>
    <t>202054</t>
  </si>
  <si>
    <t>DA7-2020-08-RAED-20-2973</t>
  </si>
  <si>
    <t>19-12-00662</t>
  </si>
  <si>
    <t>AUGUST52020</t>
  </si>
  <si>
    <t>20GB00032</t>
  </si>
  <si>
    <t>GFP100-2020-07-070</t>
  </si>
  <si>
    <t>99-2020</t>
  </si>
  <si>
    <t>C-2020-008</t>
  </si>
  <si>
    <t>2020-08-394-16</t>
  </si>
  <si>
    <t>0020-0296-1354-2020</t>
  </si>
  <si>
    <t>ADS-1866-20</t>
  </si>
  <si>
    <t>0250-072020</t>
  </si>
  <si>
    <t>BAGO-BAC-RFQ-20-1419</t>
  </si>
  <si>
    <t>221-08-20-553</t>
  </si>
  <si>
    <t>ITB- 2020 -01 (RE-BID)</t>
  </si>
  <si>
    <t>100-08-20-554</t>
  </si>
  <si>
    <t>0267-072020</t>
  </si>
  <si>
    <t>100-20-05-0537</t>
  </si>
  <si>
    <t>PR 74927</t>
  </si>
  <si>
    <t>211547</t>
  </si>
  <si>
    <t>20MC0115</t>
  </si>
  <si>
    <t>2020-GEN FUND-RFQ-026</t>
  </si>
  <si>
    <t>0259-072020</t>
  </si>
  <si>
    <t>2020-07-054</t>
  </si>
  <si>
    <t>2020085</t>
  </si>
  <si>
    <t>2020-08-109</t>
  </si>
  <si>
    <t>PR No.: 2020-07-0391</t>
  </si>
  <si>
    <t>SVP 20-1147-1</t>
  </si>
  <si>
    <t>0276-082020</t>
  </si>
  <si>
    <t>RFQ 2020-088</t>
  </si>
  <si>
    <t>SVP-2020-08-161</t>
  </si>
  <si>
    <t>BSU Project No. 2020-288</t>
  </si>
  <si>
    <t>VS-2020-033</t>
  </si>
  <si>
    <t>PR 20-05-0292</t>
  </si>
  <si>
    <t>GTLMH-20-083</t>
  </si>
  <si>
    <t>2020-06-189</t>
  </si>
  <si>
    <t>QN-200312-6/ MS-20-0273</t>
  </si>
  <si>
    <t>2020-0198-PR2020-0580</t>
  </si>
  <si>
    <t>JHS-2020-02</t>
  </si>
  <si>
    <t>2020-082-19-24</t>
  </si>
  <si>
    <t>2020-07-55</t>
  </si>
  <si>
    <t>2020-GEN. FUND-RFQ-027</t>
  </si>
  <si>
    <t>2020081201</t>
  </si>
  <si>
    <t>2020-08-166</t>
  </si>
  <si>
    <t>AUGUST52020-2</t>
  </si>
  <si>
    <t>202008075</t>
  </si>
  <si>
    <t>Project No. 2020-36</t>
  </si>
  <si>
    <t>000-863-958-366</t>
  </si>
  <si>
    <t>2020LGU-08-65</t>
  </si>
  <si>
    <t>2020-035J</t>
  </si>
  <si>
    <t>0278-082020</t>
  </si>
  <si>
    <t>ADS-1869-20</t>
  </si>
  <si>
    <t>DA7-2020-08-RAED-20-2972</t>
  </si>
  <si>
    <t>211548</t>
  </si>
  <si>
    <t>C-120-2020</t>
  </si>
  <si>
    <t>BBG-WV#025-2020</t>
  </si>
  <si>
    <t>PR 121-20</t>
  </si>
  <si>
    <t>RFQ 2020-08-18</t>
  </si>
  <si>
    <t>GFG-2020-06-017NP</t>
  </si>
  <si>
    <t>100-08-20-555</t>
  </si>
  <si>
    <t>PR# 016</t>
  </si>
  <si>
    <t>68-20</t>
  </si>
  <si>
    <t>ADS-1875-20</t>
  </si>
  <si>
    <t>2020-082-19-25</t>
  </si>
  <si>
    <t>ADS-1872-20</t>
  </si>
  <si>
    <t>BAGO-BAC-RFQ-20-1329</t>
  </si>
  <si>
    <t>BGHMCPB-2020-25-001</t>
  </si>
  <si>
    <t>PR 74920</t>
  </si>
  <si>
    <t>AEE August5-2020</t>
  </si>
  <si>
    <t>70-20</t>
  </si>
  <si>
    <t>0039-07-2020</t>
  </si>
  <si>
    <t>2020-0039</t>
  </si>
  <si>
    <t>PR No. 100-20-08-232</t>
  </si>
  <si>
    <t>2020 - 08 - 01</t>
  </si>
  <si>
    <t>AUGUST52020-3</t>
  </si>
  <si>
    <t>2020-07-58</t>
  </si>
  <si>
    <t>211549</t>
  </si>
  <si>
    <t>PR-20-03-079-REBID</t>
  </si>
  <si>
    <t>CAG-19-002(CB)</t>
  </si>
  <si>
    <t>2020-082-19-26</t>
  </si>
  <si>
    <t>211550</t>
  </si>
  <si>
    <t>69-20</t>
  </si>
  <si>
    <t>2020-GEN. FUND-RFQ-029</t>
  </si>
  <si>
    <t>2020-07-54</t>
  </si>
  <si>
    <t>2020-GEN FUND-RFQ-028</t>
  </si>
  <si>
    <t>PR-2020-SK-12</t>
  </si>
  <si>
    <t>PR No. 100-2007-019</t>
  </si>
  <si>
    <t>2020-08-092</t>
  </si>
  <si>
    <t>DepEd-2020-08-05-001</t>
  </si>
  <si>
    <t>0277-082020</t>
  </si>
  <si>
    <t>C-124-2020</t>
  </si>
  <si>
    <t>IntBLGU201820%DFGoods-003</t>
  </si>
  <si>
    <t>0040-07-2020</t>
  </si>
  <si>
    <t>PR#2020-07-075-GS</t>
  </si>
  <si>
    <t>211551</t>
  </si>
  <si>
    <t>001-08052020</t>
  </si>
  <si>
    <t>SVP 20-1147-2</t>
  </si>
  <si>
    <t>PB-2020-08-043</t>
  </si>
  <si>
    <t>CW002</t>
  </si>
  <si>
    <t>FRANCIA 2020-001</t>
  </si>
  <si>
    <t>211552</t>
  </si>
  <si>
    <t>2020-08-396-18</t>
  </si>
  <si>
    <t>211554</t>
  </si>
  <si>
    <t>2020-082-19-28</t>
  </si>
  <si>
    <t>AMP-RFQ 2020-078</t>
  </si>
  <si>
    <t>SVP-2020-08-162</t>
  </si>
  <si>
    <t>GOODS-08-05-2020-02</t>
  </si>
  <si>
    <t>GOODS-08-05-2020-01</t>
  </si>
  <si>
    <t>002-08052020</t>
  </si>
  <si>
    <t>312</t>
  </si>
  <si>
    <t>PR-2008-866</t>
  </si>
  <si>
    <t>N-635-2020</t>
  </si>
  <si>
    <t>GFG-2020-07-021NP</t>
  </si>
  <si>
    <t>211553</t>
  </si>
  <si>
    <t>2020-082-19-27</t>
  </si>
  <si>
    <t>ppn-147-2020</t>
  </si>
  <si>
    <t>2020-07-1259</t>
  </si>
  <si>
    <t>0020-0293-1351-2020</t>
  </si>
  <si>
    <t>BALZN9-2019</t>
  </si>
  <si>
    <t>RFQ-SHS-0022</t>
  </si>
  <si>
    <t>2020-098</t>
  </si>
  <si>
    <t>BMC-N-20-289</t>
  </si>
  <si>
    <t>0265-072020</t>
  </si>
  <si>
    <t>2020-06-045B</t>
  </si>
  <si>
    <t>211557</t>
  </si>
  <si>
    <t>SVP-2020-08-163</t>
  </si>
  <si>
    <t>2020-07-033-RFQ</t>
  </si>
  <si>
    <t>08242020-117</t>
  </si>
  <si>
    <t>ADS-1870-20</t>
  </si>
  <si>
    <t>00010049</t>
  </si>
  <si>
    <t>20-08-186</t>
  </si>
  <si>
    <t>PR No.: 2020-07-0365</t>
  </si>
  <si>
    <t>211556</t>
  </si>
  <si>
    <t>2020-082-19-29</t>
  </si>
  <si>
    <t>211555</t>
  </si>
  <si>
    <t>RFQ 2020-08-330</t>
  </si>
  <si>
    <t>QN-200804-23/ DM-20-0827</t>
  </si>
  <si>
    <t>BARANGAY PROJECT: PURCHASE OF MACHINERY EQUIPMENT</t>
  </si>
  <si>
    <t>IL-2020-B-30</t>
  </si>
  <si>
    <t>2020-08-395-17</t>
  </si>
  <si>
    <t>0820-003</t>
  </si>
  <si>
    <t>003-08052020</t>
  </si>
  <si>
    <t>N-636-2020</t>
  </si>
  <si>
    <t>HBC20-08-327 TO 329</t>
  </si>
  <si>
    <t>N-613-2020</t>
  </si>
  <si>
    <t>25-20-01</t>
  </si>
  <si>
    <t>lgumambu_g_aug_2020_003</t>
  </si>
  <si>
    <t>BARANGAY PROJECT: PURCHASE OF FURNITURE AND FIXTUR</t>
  </si>
  <si>
    <t>2020-08-397-19</t>
  </si>
  <si>
    <t>2020LGU-08-66</t>
  </si>
  <si>
    <t>RQ 08-005</t>
  </si>
  <si>
    <t>20-08-185</t>
  </si>
  <si>
    <t>DA7-2020-08-RAED-20-2971</t>
  </si>
  <si>
    <t>SVP 20-1147-3</t>
  </si>
  <si>
    <t>RQ 08-002</t>
  </si>
  <si>
    <t>PR-20-01-039-REBID</t>
  </si>
  <si>
    <t>20-1022-07-19</t>
  </si>
  <si>
    <t>PR-2008-859</t>
  </si>
  <si>
    <t>002 2020 BWSPS</t>
  </si>
  <si>
    <t>2020 INFRA 001</t>
  </si>
  <si>
    <t>2020-082-19-30</t>
  </si>
  <si>
    <t>sawat08-2020</t>
  </si>
  <si>
    <t>NLC-SDD-20-07-0015A</t>
  </si>
  <si>
    <t>ITB-NO.39</t>
  </si>
  <si>
    <t>RFQ 2020-242</t>
  </si>
  <si>
    <t>ITB-NO.38</t>
  </si>
  <si>
    <t>2020-SVP-MPDP-LAPULAPU</t>
  </si>
  <si>
    <t>0001-0023-0254-2020</t>
  </si>
  <si>
    <t>ITB-2020-08-21</t>
  </si>
  <si>
    <t>ITB No. 2020-34</t>
  </si>
  <si>
    <t>BE20-08-010</t>
  </si>
  <si>
    <t>105-2020</t>
  </si>
  <si>
    <t>2020-082-19-33</t>
  </si>
  <si>
    <t>2020-025</t>
  </si>
  <si>
    <t>SPCES-08-2020</t>
  </si>
  <si>
    <t>2020 - 08 - 02</t>
  </si>
  <si>
    <t>I.D. NO. –Aug.4-2020-486</t>
  </si>
  <si>
    <t>DA7-2020-08-RAED-20-2975</t>
  </si>
  <si>
    <t>2020 Caib 134</t>
  </si>
  <si>
    <t>0548</t>
  </si>
  <si>
    <t>PR No. 100-20-08-233</t>
  </si>
  <si>
    <t>20-08-184</t>
  </si>
  <si>
    <t>ITB # 2020-42</t>
  </si>
  <si>
    <t>2020-082-19-32</t>
  </si>
  <si>
    <t>2020-082-19-31</t>
  </si>
  <si>
    <t>BAC-2020-483</t>
  </si>
  <si>
    <t>NLC-SDD-20-07-037</t>
  </si>
  <si>
    <t>20-08-04-142</t>
  </si>
  <si>
    <t>SVP-2020-08-160</t>
  </si>
  <si>
    <t>ppn-148-2020</t>
  </si>
  <si>
    <t>RQ 08-006</t>
  </si>
  <si>
    <t>RQ 08-007</t>
  </si>
  <si>
    <t>BSU Project No. 2020-289</t>
  </si>
  <si>
    <t>2020-Barangay socorro-003</t>
  </si>
  <si>
    <t>VJNVHS2020-16</t>
  </si>
  <si>
    <t>044</t>
  </si>
  <si>
    <t>2020-G013</t>
  </si>
  <si>
    <t>100-2008-1442</t>
  </si>
  <si>
    <t>IB NO. N-2020-08-111</t>
  </si>
  <si>
    <t>NLC-SDD-20-07-026</t>
  </si>
  <si>
    <t>PR 19-11-0578</t>
  </si>
  <si>
    <t>UPLB-RES-037-08-20 REAL TIME PCR FOR IPB</t>
  </si>
  <si>
    <t>RFQ-2020-32</t>
  </si>
  <si>
    <t>Carabalan ES 2020-001</t>
  </si>
  <si>
    <t>8005012020</t>
  </si>
  <si>
    <t>39-20</t>
  </si>
  <si>
    <t>01-20 pob</t>
  </si>
  <si>
    <t>ppn-149-2020</t>
  </si>
  <si>
    <t>100-2008-1446</t>
  </si>
  <si>
    <t>2020-7-2011</t>
  </si>
  <si>
    <t>ADS-1876-20</t>
  </si>
  <si>
    <t>2020-082-19-34</t>
  </si>
  <si>
    <t>2020-Brgy.04 Pob.-003</t>
  </si>
  <si>
    <t>BBG-WV#026-2020</t>
  </si>
  <si>
    <t>2020 - 08 - 03</t>
  </si>
  <si>
    <t>20-08-181</t>
  </si>
  <si>
    <t>2020-082-19-35</t>
  </si>
  <si>
    <t>ADS-1851-20</t>
  </si>
  <si>
    <t>2020-082-19-36</t>
  </si>
  <si>
    <t>20-08-182</t>
  </si>
  <si>
    <t>KB-IP-GOODS-2020-02</t>
  </si>
  <si>
    <t>211558</t>
  </si>
  <si>
    <t>2020-Brgy.06 Pob.-001</t>
  </si>
  <si>
    <t>PR. 20-07-268 (2020-08-271)</t>
  </si>
  <si>
    <t>2020-08-</t>
  </si>
  <si>
    <t>RQ 08-009</t>
  </si>
  <si>
    <t>AB-2020-0028</t>
  </si>
  <si>
    <t>BAC-2020-485</t>
  </si>
  <si>
    <t>020-008-003</t>
  </si>
  <si>
    <t>20-08-26</t>
  </si>
  <si>
    <t>NIU-083-2020</t>
  </si>
  <si>
    <t>2020-08-11 INFRA</t>
  </si>
  <si>
    <t>GFP100-2020-07-074</t>
  </si>
  <si>
    <t>2020- 006</t>
  </si>
  <si>
    <t>20-07-0100</t>
  </si>
  <si>
    <t>2020-082-19-22</t>
  </si>
  <si>
    <t>828</t>
  </si>
  <si>
    <t>RFQ-2020-07-002</t>
  </si>
  <si>
    <t>BMC-N-20-0291</t>
  </si>
  <si>
    <t>BAC-2020-484</t>
  </si>
  <si>
    <t>20GKB0006</t>
  </si>
  <si>
    <t>20-08-177</t>
  </si>
  <si>
    <t>elec2020c1a</t>
  </si>
  <si>
    <t>004-08052020</t>
  </si>
  <si>
    <t>PR No. 20081459</t>
  </si>
  <si>
    <t>2020LGU012</t>
  </si>
  <si>
    <t>2020-078</t>
  </si>
  <si>
    <t>INFRA 2020-05</t>
  </si>
  <si>
    <t>211562</t>
  </si>
  <si>
    <t>211560</t>
  </si>
  <si>
    <t>RIS no. 19-10-124</t>
  </si>
  <si>
    <t>08-08-2020</t>
  </si>
  <si>
    <t>20-7-0053</t>
  </si>
  <si>
    <t>211559</t>
  </si>
  <si>
    <t>elec2020batch2a</t>
  </si>
  <si>
    <t>NIU-084-2020</t>
  </si>
  <si>
    <t>G-2020-42</t>
  </si>
  <si>
    <t>elec2020c2a</t>
  </si>
  <si>
    <t>211561</t>
  </si>
  <si>
    <t>BMC-N-20-0293</t>
  </si>
  <si>
    <t>DAVOR-G-2020-15</t>
  </si>
  <si>
    <t>20-08-178</t>
  </si>
  <si>
    <t>2020 - 08 - 04</t>
  </si>
  <si>
    <t>ITB 2020-188</t>
  </si>
  <si>
    <t>211565</t>
  </si>
  <si>
    <t>25-20-02</t>
  </si>
  <si>
    <t>211564</t>
  </si>
  <si>
    <t>BAC-2020-486</t>
  </si>
  <si>
    <t>NIU-085-2020</t>
  </si>
  <si>
    <t>G-2020-43</t>
  </si>
  <si>
    <t>20AH0025SVP</t>
  </si>
  <si>
    <t>401-20-07-550</t>
  </si>
  <si>
    <t>GOODS-2020-08-003 LT2</t>
  </si>
  <si>
    <t>IB No. GS-2020 – 090</t>
  </si>
  <si>
    <t>08052020-A</t>
  </si>
  <si>
    <t>BMC-N-20-0295</t>
  </si>
  <si>
    <t>GOODS-2020-08-003 LT1</t>
  </si>
  <si>
    <t>goods 216-2020</t>
  </si>
  <si>
    <t>211566</t>
  </si>
  <si>
    <t>20-08-176</t>
  </si>
  <si>
    <t>LGU_Piddig_2020_050</t>
  </si>
  <si>
    <t>IB No. GS-2020 – 089</t>
  </si>
  <si>
    <t>B20-08-011</t>
  </si>
  <si>
    <t>TFG-2020-08-026</t>
  </si>
  <si>
    <t>BMC-N-20-0294</t>
  </si>
  <si>
    <t>IB NO. N-2020-08-109</t>
  </si>
  <si>
    <t>NIU-086-2020</t>
  </si>
  <si>
    <t>2020-10G</t>
  </si>
  <si>
    <t>211563</t>
  </si>
  <si>
    <t>ITB No. 2020-30</t>
  </si>
  <si>
    <t>2020-07-0030</t>
  </si>
  <si>
    <t>B20-08-012</t>
  </si>
  <si>
    <t>C-129-2020</t>
  </si>
  <si>
    <t>DAVOR-G-2020-14</t>
  </si>
  <si>
    <t>Casinagan  001-2020</t>
  </si>
  <si>
    <t>ITB # 2020-08-050</t>
  </si>
  <si>
    <t>100-20-07-0768</t>
  </si>
  <si>
    <t>ITB No. 2020-08-04</t>
  </si>
  <si>
    <t>CENG-GDS2020-041</t>
  </si>
  <si>
    <t>08-05-2020</t>
  </si>
  <si>
    <t>RFQ 2020-08-019</t>
  </si>
  <si>
    <t>BMC-N-20-0292</t>
  </si>
  <si>
    <t>goods 217-2020</t>
  </si>
  <si>
    <t>RFQ2020-30</t>
  </si>
  <si>
    <t>IB No. GS-2020 – 091</t>
  </si>
  <si>
    <t>2020-0021</t>
  </si>
  <si>
    <t>DA7-2020-08-RAED-20-2969</t>
  </si>
  <si>
    <t>RO3-2020-08-004</t>
  </si>
  <si>
    <t>ITB No. 016-2020</t>
  </si>
  <si>
    <t>DA7-2020-08-RAED-20-2970</t>
  </si>
  <si>
    <t>2020LGU013</t>
  </si>
  <si>
    <t>goods 218-2020</t>
  </si>
  <si>
    <t>PR-20-01-028-REBID</t>
  </si>
  <si>
    <t>211567</t>
  </si>
  <si>
    <t>Busac 003-2020</t>
  </si>
  <si>
    <t>PR No. 2020-07-109</t>
  </si>
  <si>
    <t>nlontoc-ITB073-2020</t>
  </si>
  <si>
    <t>CEO-2020-30,31</t>
  </si>
  <si>
    <t>DA7-2020-08-RAED-20-2968</t>
  </si>
  <si>
    <t>BMC-N-20-0296</t>
  </si>
  <si>
    <t>M20-08-014</t>
  </si>
  <si>
    <t>LOS BANOS-20-66</t>
  </si>
  <si>
    <t>06-08-2020(1)</t>
  </si>
  <si>
    <t>2020-08-05-24</t>
  </si>
  <si>
    <t>100-2008-1455</t>
  </si>
  <si>
    <t>2020 -</t>
  </si>
  <si>
    <t>SVP-024-2020-RC</t>
  </si>
  <si>
    <t>20200805</t>
  </si>
  <si>
    <t>nlontoc-ITB072-2020</t>
  </si>
  <si>
    <t>20-7-0054</t>
  </si>
  <si>
    <t>DVO-200813-16</t>
  </si>
  <si>
    <t>NIU-087-2020</t>
  </si>
  <si>
    <t>pontevedra-20-G024</t>
  </si>
  <si>
    <t>211568</t>
  </si>
  <si>
    <t>2020-08-001-02</t>
  </si>
  <si>
    <t>pontevedra-20-G026</t>
  </si>
  <si>
    <t>PBD 20-067C</t>
  </si>
  <si>
    <t>CABARIAN 2020-001</t>
  </si>
  <si>
    <t>20-020(1)</t>
  </si>
  <si>
    <t>CLS - 2020 - 7 - 156</t>
  </si>
  <si>
    <t>goods 219-2020</t>
  </si>
  <si>
    <t>pontevedra-20-G025</t>
  </si>
  <si>
    <t>2020-08-001-01</t>
  </si>
  <si>
    <t>2020-11G</t>
  </si>
  <si>
    <t>32-s-20</t>
  </si>
  <si>
    <t>GOODS-2020-08-003 LT3</t>
  </si>
  <si>
    <t>PR 1-20-07-0873 - CMO</t>
  </si>
  <si>
    <t>2020-7-2029</t>
  </si>
  <si>
    <t>ROSAL-433-2020</t>
  </si>
  <si>
    <t>34-2020</t>
  </si>
  <si>
    <t>BAC-0057-2020</t>
  </si>
  <si>
    <t>IB NO. N-2020-08-110</t>
  </si>
  <si>
    <t>20GLH0018 (P.R. 2020-07-044 dated 07/29/2020)</t>
  </si>
  <si>
    <t>P-0841</t>
  </si>
  <si>
    <t>BAC 2019-E13 (EP) ITEM 3 2ND NP</t>
  </si>
  <si>
    <t>CP 2020-53 B</t>
  </si>
  <si>
    <t>BAC-0056-2020</t>
  </si>
  <si>
    <t>GOODS-2020-08-003 LT4</t>
  </si>
  <si>
    <t>2020-G-046</t>
  </si>
  <si>
    <t>33-2020</t>
  </si>
  <si>
    <t>goods 220-2020</t>
  </si>
  <si>
    <t>B20-08-013</t>
  </si>
  <si>
    <t>DVO-200813-17</t>
  </si>
  <si>
    <t>RFQ-2020-298</t>
  </si>
  <si>
    <t>2020-12G</t>
  </si>
  <si>
    <t>2020-166</t>
  </si>
  <si>
    <t>LOS BANOS-20-65</t>
  </si>
  <si>
    <t>Aklan BAC ITB 431 Series of 2020</t>
  </si>
  <si>
    <t>RFQ-DARFO12-2020-0679</t>
  </si>
  <si>
    <t>Busac 002-2020</t>
  </si>
  <si>
    <t>SWEP-PNBAC1-2020-03</t>
  </si>
  <si>
    <t>CEO-2020-28-29</t>
  </si>
  <si>
    <t>Aklan BAC ITB 430 Series of 2020</t>
  </si>
  <si>
    <t>2020-07-904</t>
  </si>
  <si>
    <t>2020-588</t>
  </si>
  <si>
    <t>20GJG0029 (SVP)</t>
  </si>
  <si>
    <t>S-266-2020</t>
  </si>
  <si>
    <t>PR 1-20-07-0896 - CMO</t>
  </si>
  <si>
    <t>RFQ-2020-01</t>
  </si>
  <si>
    <t>CP 2020-54 B</t>
  </si>
  <si>
    <t>35-2020</t>
  </si>
  <si>
    <t>36-2020</t>
  </si>
  <si>
    <t>S-271-2020</t>
  </si>
  <si>
    <t>DVO-200813-19</t>
  </si>
  <si>
    <t>20-7-0055</t>
  </si>
  <si>
    <t>BSU Project No. 2020-290</t>
  </si>
  <si>
    <t>PR 18-20-07-0915 - CED</t>
  </si>
  <si>
    <t>101-2020-07-419</t>
  </si>
  <si>
    <t>CP 2020-55 B</t>
  </si>
  <si>
    <t>2020-590</t>
  </si>
  <si>
    <t>024-20</t>
  </si>
  <si>
    <t>S-267-2020</t>
  </si>
  <si>
    <t>INFR-037-2020</t>
  </si>
  <si>
    <t>08-05-02</t>
  </si>
  <si>
    <t>DWD-04-2020</t>
  </si>
  <si>
    <t>BARANGAY TAGNATE 1</t>
  </si>
  <si>
    <t>RO3-2020-08-005</t>
  </si>
  <si>
    <t>CP 2020-56 B</t>
  </si>
  <si>
    <t>LGU-RFQ-2020-74</t>
  </si>
  <si>
    <t>N-637-2020</t>
  </si>
  <si>
    <t>RFQ2020-08-04</t>
  </si>
  <si>
    <t>RFQ2020-08-03</t>
  </si>
  <si>
    <t>08-05-01</t>
  </si>
  <si>
    <t>20GLH0019 (P.R. 2020-07-045 dated 07/30/2020)</t>
  </si>
  <si>
    <t>DVO-200813-21</t>
  </si>
  <si>
    <t>LGU_Piddig_2020_051</t>
  </si>
  <si>
    <t>G-2020-44</t>
  </si>
  <si>
    <t>249-2020</t>
  </si>
  <si>
    <t>105-07-20-TRUST FUND</t>
  </si>
  <si>
    <t>PR 221-20-06-0712 - CED</t>
  </si>
  <si>
    <t>DVO-200813-18</t>
  </si>
  <si>
    <t>2020-08-530</t>
  </si>
  <si>
    <t>SRAVIS 20-07-349</t>
  </si>
  <si>
    <t>DVO-200813-20</t>
  </si>
  <si>
    <t>PR 2020-050</t>
  </si>
  <si>
    <t>20GJG0031 (SVP)</t>
  </si>
  <si>
    <t>LDRRMF-2020-423,424</t>
  </si>
  <si>
    <t>2020-591</t>
  </si>
  <si>
    <t>ITB 20-040</t>
  </si>
  <si>
    <t>CABARIAN 2020-002</t>
  </si>
  <si>
    <t>Aklan BAC ITB 432 Series of 2020</t>
  </si>
  <si>
    <t>S-269-2020</t>
  </si>
  <si>
    <t>2020-593</t>
  </si>
  <si>
    <t>P-0844</t>
  </si>
  <si>
    <t>106-07-20-TRUST FUND</t>
  </si>
  <si>
    <t>PR2020-500</t>
  </si>
  <si>
    <t>SWEP-PNBAC1-2020-05</t>
  </si>
  <si>
    <t>20-7-0056</t>
  </si>
  <si>
    <t>ITB No. 2020-08-007</t>
  </si>
  <si>
    <t>S002-2020</t>
  </si>
  <si>
    <t>Sip-2020-101</t>
  </si>
  <si>
    <t>2020-151</t>
  </si>
  <si>
    <t>20AH0026SVP</t>
  </si>
  <si>
    <t>2020-08-35</t>
  </si>
  <si>
    <t>2020-587</t>
  </si>
  <si>
    <t>2020-003-08</t>
  </si>
  <si>
    <t>LGUBaras-2020-0058</t>
  </si>
  <si>
    <t>20AH0224</t>
  </si>
  <si>
    <t>NIU-088-2020</t>
  </si>
  <si>
    <t>GFP100-2020-07-057</t>
  </si>
  <si>
    <t>0284-2020</t>
  </si>
  <si>
    <t>ecses-20-02</t>
  </si>
  <si>
    <t>08-05-03</t>
  </si>
  <si>
    <t>CP 2020-57 B</t>
  </si>
  <si>
    <t>RFQ2020-08-05</t>
  </si>
  <si>
    <t>P-0848</t>
  </si>
  <si>
    <t>CEO-2020-26,27</t>
  </si>
  <si>
    <t>S003-2020</t>
  </si>
  <si>
    <t>20-7-0057</t>
  </si>
  <si>
    <t>2020-31</t>
  </si>
  <si>
    <t>20-07-0374</t>
  </si>
  <si>
    <t>RFQ-DARFO12-2020-0678</t>
  </si>
  <si>
    <t>ECV-20EE0141</t>
  </si>
  <si>
    <t>0007-2020</t>
  </si>
  <si>
    <t>20-02-167</t>
  </si>
  <si>
    <t>0003-0099-1333-2020</t>
  </si>
  <si>
    <t>Bid Reference No. 2020-012; PR # 2020-07-0220</t>
  </si>
  <si>
    <t>20GJG0030 (SVP)</t>
  </si>
  <si>
    <t>REQUEST FOR QUOTATION 2020</t>
  </si>
  <si>
    <t>1078-20</t>
  </si>
  <si>
    <t>MAFAR-08-122-2020</t>
  </si>
  <si>
    <t>2020-08-09 INFRA</t>
  </si>
  <si>
    <t>NIFSL4-0920-076</t>
  </si>
  <si>
    <t>Bid No. 20-0370</t>
  </si>
  <si>
    <t>2020-031J</t>
  </si>
  <si>
    <t>20GDB0042</t>
  </si>
  <si>
    <t>20-7-0058</t>
  </si>
  <si>
    <t>2020-08-07 INFRA</t>
  </si>
  <si>
    <t>2020-210</t>
  </si>
  <si>
    <t>ROSAL-442-2020</t>
  </si>
  <si>
    <t>101-2020-07-430</t>
  </si>
  <si>
    <t>20-08-180</t>
  </si>
  <si>
    <t>20HI0094</t>
  </si>
  <si>
    <t>BARANGAY TEJERO 2</t>
  </si>
  <si>
    <t>ITB # 2020-08-051</t>
  </si>
  <si>
    <t>JHS-2020-023</t>
  </si>
  <si>
    <t>DVO-200813-22</t>
  </si>
  <si>
    <t>RFQ-GOODS-2020-020</t>
  </si>
  <si>
    <t>P-0842</t>
  </si>
  <si>
    <t>GOODS-2020-27</t>
  </si>
  <si>
    <t>2020-08-34</t>
  </si>
  <si>
    <t>20PA0138</t>
  </si>
  <si>
    <t>2020-500</t>
  </si>
  <si>
    <t>2020-Lamitan-36</t>
  </si>
  <si>
    <t>RFQ-DARFO12-2020-0681</t>
  </si>
  <si>
    <t>Bid No. 20-0394</t>
  </si>
  <si>
    <t>2019was</t>
  </si>
  <si>
    <t>SN20-08-831</t>
  </si>
  <si>
    <t>GD35-2020</t>
  </si>
  <si>
    <t>BAC-031</t>
  </si>
  <si>
    <t>PR. NO. 2020-07-000035</t>
  </si>
  <si>
    <t>2020-PR-124</t>
  </si>
  <si>
    <t>oshc2020FAD_09</t>
  </si>
  <si>
    <t>RFQ-DARFO12-2020-0683</t>
  </si>
  <si>
    <t>mabpang-0805-2020-PNP</t>
  </si>
  <si>
    <t>LGUPROC 2020 - 166N</t>
  </si>
  <si>
    <t>DVO-200813-23</t>
  </si>
  <si>
    <t>530-07-2020 (DEP-ED) (Re-Advertisement)</t>
  </si>
  <si>
    <t>40-20</t>
  </si>
  <si>
    <t>Bid No. 20-0395</t>
  </si>
  <si>
    <t>PR 2020-053</t>
  </si>
  <si>
    <t>08-05-06</t>
  </si>
  <si>
    <t>2020-019</t>
  </si>
  <si>
    <t>ITB 2020-189</t>
  </si>
  <si>
    <t>2020-SVP-333</t>
  </si>
  <si>
    <t>UBC-036-2020</t>
  </si>
  <si>
    <t>2000005536</t>
  </si>
  <si>
    <t>08-05-07</t>
  </si>
  <si>
    <t>BARANGAY PROTECCION 1</t>
  </si>
  <si>
    <t>ITB2020-08-01</t>
  </si>
  <si>
    <t>P-0843</t>
  </si>
  <si>
    <t>714</t>
  </si>
  <si>
    <t>N127-2020</t>
  </si>
  <si>
    <t>Bid No. 20-0396</t>
  </si>
  <si>
    <t>08-05-05</t>
  </si>
  <si>
    <t>JHS-2020-024</t>
  </si>
  <si>
    <t>20HI0095</t>
  </si>
  <si>
    <t>200(01)20-07-003(AI)</t>
  </si>
  <si>
    <t>300(18)20-08-488(O)</t>
  </si>
  <si>
    <t>O1-20-1586</t>
  </si>
  <si>
    <t>LGU_Piddig_2020_052</t>
  </si>
  <si>
    <t>RFQ 008-058-2020</t>
  </si>
  <si>
    <t>20AC0116</t>
  </si>
  <si>
    <t>H-2020-08-04</t>
  </si>
  <si>
    <t>BARANGAY PROTECCION 2</t>
  </si>
  <si>
    <t>20HI0096</t>
  </si>
  <si>
    <t>lgu-es-20-191</t>
  </si>
  <si>
    <t>RFQ 2020-08-0847</t>
  </si>
  <si>
    <t>Aklan BAC ITB 433 Series of 2020</t>
  </si>
  <si>
    <t>100(01)20-07-381(A)</t>
  </si>
  <si>
    <t>20200271</t>
  </si>
  <si>
    <t>100-2020-008-027</t>
  </si>
  <si>
    <t>H-2020-08-05</t>
  </si>
  <si>
    <t>ITB2020-02</t>
  </si>
  <si>
    <t>ITB-2020-015</t>
  </si>
  <si>
    <t>20HI0097</t>
  </si>
  <si>
    <t>LGU-100-2020-07-802</t>
  </si>
  <si>
    <t>2008261</t>
  </si>
  <si>
    <t>pbago_goods2020-08-001</t>
  </si>
  <si>
    <t>2020-543</t>
  </si>
  <si>
    <t>INF2020-08-029</t>
  </si>
  <si>
    <t>100(01)20-07-375(A)</t>
  </si>
  <si>
    <t>2020-07-0180</t>
  </si>
  <si>
    <t>PB GOODS 2020-07</t>
  </si>
  <si>
    <t>002-INFRA-2020</t>
  </si>
  <si>
    <t>100(01)20-07-376(A)</t>
  </si>
  <si>
    <t>2020-00028 (MAO)</t>
  </si>
  <si>
    <t>AC-PNBAC1-2020-10</t>
  </si>
  <si>
    <t>0559</t>
  </si>
  <si>
    <t>0020-0279-1299-2020</t>
  </si>
  <si>
    <t>2020-08-119</t>
  </si>
  <si>
    <t>ITB 20-2020</t>
  </si>
  <si>
    <t>I4-20-1585</t>
  </si>
  <si>
    <t>752</t>
  </si>
  <si>
    <t>25-2020</t>
  </si>
  <si>
    <t>2020-DRD-INF-05</t>
  </si>
  <si>
    <t>SN-2020-8</t>
  </si>
  <si>
    <t>2050-01C01-01</t>
  </si>
  <si>
    <t>117402</t>
  </si>
  <si>
    <t>3002008402</t>
  </si>
  <si>
    <t>20gso_528</t>
  </si>
  <si>
    <t>2020goods-08-001</t>
  </si>
  <si>
    <t>SVP_20-31</t>
  </si>
  <si>
    <t>BAC164-SEDANNEX2BLDG-2020</t>
  </si>
  <si>
    <t>TFB-080520-1</t>
  </si>
  <si>
    <t>2020-08-Bayong</t>
  </si>
  <si>
    <t>PR NO. 100-8811-20-07-0807</t>
  </si>
  <si>
    <t>nlontoc-ITB074-2020</t>
  </si>
  <si>
    <t>MAFAR-08-124-2020</t>
  </si>
  <si>
    <t>SAN-ADN-INFRA-2020-04</t>
  </si>
  <si>
    <t>20gso_527</t>
  </si>
  <si>
    <t>ITB-196</t>
  </si>
  <si>
    <t>2020-08-Cabagdalan</t>
  </si>
  <si>
    <t>SV-0891-2020</t>
  </si>
  <si>
    <t>2008-001</t>
  </si>
  <si>
    <t>P.O. No. BB-07-028</t>
  </si>
  <si>
    <t>ITB No. 20-055 Supply and Delivery of Various Comm</t>
  </si>
  <si>
    <t>2021-S1-01M05</t>
  </si>
  <si>
    <t>RFQ 12-2020</t>
  </si>
  <si>
    <t>2020-08-041</t>
  </si>
  <si>
    <t>NIU-089-2020</t>
  </si>
  <si>
    <t>2020-ANT-INFRA-0011</t>
  </si>
  <si>
    <t>RFQ 2020-08-037</t>
  </si>
  <si>
    <t>20NC0140</t>
  </si>
  <si>
    <t>BLGU Mabuhay 2020-07-031</t>
  </si>
  <si>
    <t>CEO-2020-32-33</t>
  </si>
  <si>
    <t>2020-Lamitan-37</t>
  </si>
  <si>
    <t>2020-Lamitan-38</t>
  </si>
  <si>
    <t>GFG-2020-08-027</t>
  </si>
  <si>
    <t>INF2020-08-030</t>
  </si>
  <si>
    <t>ITB-198</t>
  </si>
  <si>
    <t>2020-08-33</t>
  </si>
  <si>
    <t>DA3-2020-06-02-33</t>
  </si>
  <si>
    <t>EMC-022-20 Repair and Maintenance Motor Vehicle</t>
  </si>
  <si>
    <t>100-20-07-0267</t>
  </si>
  <si>
    <t>RFQ 16-2020</t>
  </si>
  <si>
    <t>MAFAR-08-123-2020</t>
  </si>
  <si>
    <t>2020-06-0317 &amp; 2020-06-0332</t>
  </si>
  <si>
    <t>2020-152</t>
  </si>
  <si>
    <t>2020-JO-125</t>
  </si>
  <si>
    <t>2020-023</t>
  </si>
  <si>
    <t>20IG0071</t>
  </si>
  <si>
    <t>2020-06-041</t>
  </si>
  <si>
    <t>Project Reference No. 2020-01</t>
  </si>
  <si>
    <t>BCS-2020-0263</t>
  </si>
  <si>
    <t>RP-36-2020</t>
  </si>
  <si>
    <t>20-0804-073</t>
  </si>
  <si>
    <t>2020-07-511</t>
  </si>
  <si>
    <t>2020-07-066</t>
  </si>
  <si>
    <t>P.O.-BB-07-029</t>
  </si>
  <si>
    <t>Sip-2020-104</t>
  </si>
  <si>
    <t>2020-07-29 (MDRRMO)</t>
  </si>
  <si>
    <t>BCS-2020-0264</t>
  </si>
  <si>
    <t>RFQ2020-06-0064</t>
  </si>
  <si>
    <t>ITB-199</t>
  </si>
  <si>
    <t>DSWD7-20-0861</t>
  </si>
  <si>
    <t>BMC-N-20-0297</t>
  </si>
  <si>
    <t>2020-02-021</t>
  </si>
  <si>
    <t>RFQ2020-07-070</t>
  </si>
  <si>
    <t>P.O.-BB-07-030</t>
  </si>
  <si>
    <t>UPLB-RES-039-08-20 LAB SUPPLIES AND EQUIIP FOR MNH</t>
  </si>
  <si>
    <t>MAFAR-08-125-2020</t>
  </si>
  <si>
    <t>20GCH0022</t>
  </si>
  <si>
    <t>ITB 20-095</t>
  </si>
  <si>
    <t>41-20</t>
  </si>
  <si>
    <t>Sip-2020-105</t>
  </si>
  <si>
    <t>Aklan BAC ITB 422 Series of 2020</t>
  </si>
  <si>
    <t>RFQ2020-06-0065</t>
  </si>
  <si>
    <t>35-20</t>
  </si>
  <si>
    <t>2020-434</t>
  </si>
  <si>
    <t>SF Infra 2020-07</t>
  </si>
  <si>
    <t>RFQ 2020-08-0844</t>
  </si>
  <si>
    <t>NOSO-RFQ-2020-06-530</t>
  </si>
  <si>
    <t>254-2020</t>
  </si>
  <si>
    <t>BCS-2020-0265</t>
  </si>
  <si>
    <t>BMC-N-20-0298</t>
  </si>
  <si>
    <t>RFQ 2020-006</t>
  </si>
  <si>
    <t>CGIAS0820-008</t>
  </si>
  <si>
    <t>36-20</t>
  </si>
  <si>
    <t>26-2020</t>
  </si>
  <si>
    <t>08052020-B</t>
  </si>
  <si>
    <t>H-2020-08-06</t>
  </si>
  <si>
    <t>20GCH0020</t>
  </si>
  <si>
    <t>2020-08-023 (Magsaysay Elem school)</t>
  </si>
  <si>
    <t>001-infra-2020</t>
  </si>
  <si>
    <t xml:space="preserve">UPLB-RQ-8-164-20-RES INFORMATION TECHNOLOGY PARTS </t>
  </si>
  <si>
    <t>0557</t>
  </si>
  <si>
    <t>SAN-ADN-INFRA-2020-05</t>
  </si>
  <si>
    <t>UPLB-RQ-8-163-20-RES LABORATORY SUPPLIES &amp; EQUIPME</t>
  </si>
  <si>
    <t>MES 08-2020</t>
  </si>
  <si>
    <t>34-20</t>
  </si>
  <si>
    <t>ADS-1825-20</t>
  </si>
  <si>
    <t>UPLB-RQ-8-165-20-RES LABORATORY SUPPLIES &amp; EQUIPME</t>
  </si>
  <si>
    <t>DA3-2020-07-24-239</t>
  </si>
  <si>
    <t>AC-PNBAC1-2020-12</t>
  </si>
  <si>
    <t>080520-R7</t>
  </si>
  <si>
    <t>RFQ 2020-08-0841</t>
  </si>
  <si>
    <t>20GCH0021</t>
  </si>
  <si>
    <t>RFQ 2020-08-0845</t>
  </si>
  <si>
    <t>29gso_536</t>
  </si>
  <si>
    <t>BAG-1-2020-053</t>
  </si>
  <si>
    <t>SV-0888-2020</t>
  </si>
  <si>
    <t>BMC-N-20-299</t>
  </si>
  <si>
    <t>2020-250</t>
  </si>
  <si>
    <t>PR 2020-052</t>
  </si>
  <si>
    <t>100-20-07-0265</t>
  </si>
  <si>
    <t>Sip-2020-103</t>
  </si>
  <si>
    <t>ITB-197</t>
  </si>
  <si>
    <t>2020-249</t>
  </si>
  <si>
    <t>RFQ-DARFO12-2020-0682</t>
  </si>
  <si>
    <t>DVO-200813-25</t>
  </si>
  <si>
    <t>ITB No. 20-072 Supply and Delivery of Various Comm</t>
  </si>
  <si>
    <t>T/R-2020-07-437</t>
  </si>
  <si>
    <t>38-20</t>
  </si>
  <si>
    <t>2020-07-011-03</t>
  </si>
  <si>
    <t>252-2020</t>
  </si>
  <si>
    <t>20-08-008</t>
  </si>
  <si>
    <t>RFQ-20-023</t>
  </si>
  <si>
    <t>ADS-1821-20</t>
  </si>
  <si>
    <t>DVO-200813-24</t>
  </si>
  <si>
    <t>2019-12-1130</t>
  </si>
  <si>
    <t>37-20</t>
  </si>
  <si>
    <t>20-357</t>
  </si>
  <si>
    <t>08052020-C</t>
  </si>
  <si>
    <t>AC-PNBAC1-2020-15</t>
  </si>
  <si>
    <t>BAG-1-2020-054</t>
  </si>
  <si>
    <t>2020-592</t>
  </si>
  <si>
    <t>SVP-2020-08-164</t>
  </si>
  <si>
    <t>BMC-N-20-300</t>
  </si>
  <si>
    <t>27-2020</t>
  </si>
  <si>
    <t>Goods TF 04-2020</t>
  </si>
  <si>
    <t>RFQ 2020-011</t>
  </si>
  <si>
    <t>20GCK0045</t>
  </si>
  <si>
    <t>2020-V006</t>
  </si>
  <si>
    <t>MAYBOG202001</t>
  </si>
  <si>
    <t>20-02-037</t>
  </si>
  <si>
    <t>00018</t>
  </si>
  <si>
    <t>2020-08-167</t>
  </si>
  <si>
    <t>RFQ-20-024</t>
  </si>
  <si>
    <t>2020-08-071</t>
  </si>
  <si>
    <t>mabpang-0805-2020-MO</t>
  </si>
  <si>
    <t>ITB GOODS8.05.20</t>
  </si>
  <si>
    <t>2020-92</t>
  </si>
  <si>
    <t>2020-217</t>
  </si>
  <si>
    <t>SRAVIS 20-07-350</t>
  </si>
  <si>
    <t>20GP00115</t>
  </si>
  <si>
    <t>RFQ-2020-08-010</t>
  </si>
  <si>
    <t>2020-08-072</t>
  </si>
  <si>
    <t>PR 2020-051</t>
  </si>
  <si>
    <t>20GCK0047</t>
  </si>
  <si>
    <t>Sip-2020-102</t>
  </si>
  <si>
    <t>2020-001-A</t>
  </si>
  <si>
    <t>GSD-J-20-392</t>
  </si>
  <si>
    <t>SF Infra 2020-08</t>
  </si>
  <si>
    <t>EBMS 0402-20</t>
  </si>
  <si>
    <t>RFQ 2020-08-0838</t>
  </si>
  <si>
    <t>UBC-037-2020</t>
  </si>
  <si>
    <t>RFQ-20-025</t>
  </si>
  <si>
    <t>CGIASWO0820-001</t>
  </si>
  <si>
    <t>2020-0040</t>
  </si>
  <si>
    <t>054-LGU-LAOANG-2020</t>
  </si>
  <si>
    <t>BGRY-2020-001</t>
  </si>
  <si>
    <t>UPLB-RQ-8-166-20-RES LABORATORY SUPPLIES &amp; EQUIPME</t>
  </si>
  <si>
    <t>2020-07-186</t>
  </si>
  <si>
    <t>ADS-1885-20</t>
  </si>
  <si>
    <t>S5-20-1609</t>
  </si>
  <si>
    <t>20-0805-074</t>
  </si>
  <si>
    <t>20GIB0038</t>
  </si>
  <si>
    <t>RFQ 2020-012</t>
  </si>
  <si>
    <t>2020-054R</t>
  </si>
  <si>
    <t>2020-104</t>
  </si>
  <si>
    <t>MZSP-2020-51</t>
  </si>
  <si>
    <t>INF2020-08-031</t>
  </si>
  <si>
    <t>PRN-497-2019</t>
  </si>
  <si>
    <t>RFQ-20-026</t>
  </si>
  <si>
    <t>RFQ 2020-089</t>
  </si>
  <si>
    <t>LINTAON202001</t>
  </si>
  <si>
    <t>2020-002 ( MTO/MBO/ACCTO/MASSO)</t>
  </si>
  <si>
    <t>3002007396</t>
  </si>
  <si>
    <t>42-20</t>
  </si>
  <si>
    <t>SF Infra 2020-09</t>
  </si>
  <si>
    <t>20GP00116</t>
  </si>
  <si>
    <t>SVP-2020-08-165</t>
  </si>
  <si>
    <t>RFQ 2020-017</t>
  </si>
  <si>
    <t>09-2020</t>
  </si>
  <si>
    <t>1011-20-08-04</t>
  </si>
  <si>
    <t>SV-2020-060</t>
  </si>
  <si>
    <t>20-03-0287</t>
  </si>
  <si>
    <t>RFQ-DARFO12-2020-0680</t>
  </si>
  <si>
    <t>21A00002</t>
  </si>
  <si>
    <t>20-06-0361</t>
  </si>
  <si>
    <t>07-23-20-G41</t>
  </si>
  <si>
    <t>DVO-200813-29</t>
  </si>
  <si>
    <t>MR-PNBAC1-2020-27</t>
  </si>
  <si>
    <t>Infra GF 06-2020</t>
  </si>
  <si>
    <t>331-20</t>
  </si>
  <si>
    <t>20 - OG - 07 - 085</t>
  </si>
  <si>
    <t>ITB 2020-101</t>
  </si>
  <si>
    <t>P.O.W. 2020-01-043</t>
  </si>
  <si>
    <t>21A00001</t>
  </si>
  <si>
    <t>21A00003</t>
  </si>
  <si>
    <t>DVO-200813-27</t>
  </si>
  <si>
    <t>BSU Project No. 2020-291</t>
  </si>
  <si>
    <t>ITB 2020-100</t>
  </si>
  <si>
    <t>CGIAS0820-009</t>
  </si>
  <si>
    <t>DVO-200813-26</t>
  </si>
  <si>
    <t>2020-321</t>
  </si>
  <si>
    <t>RFQ2020-32</t>
  </si>
  <si>
    <t>ADS-1822-20</t>
  </si>
  <si>
    <t>50-20-07-052</t>
  </si>
  <si>
    <t>20GCK0046</t>
  </si>
  <si>
    <t>2020-627-002</t>
  </si>
  <si>
    <t>20-155</t>
  </si>
  <si>
    <t>PG-20-70</t>
  </si>
  <si>
    <t>Bid No. 20-0393</t>
  </si>
  <si>
    <t>08-05-04</t>
  </si>
  <si>
    <t>PR No. 20071417</t>
  </si>
  <si>
    <t>2020-07-077a</t>
  </si>
  <si>
    <t>HILONGOS 2020-235</t>
  </si>
  <si>
    <t>PEO-2020-1327</t>
  </si>
  <si>
    <t>2020-0519</t>
  </si>
  <si>
    <t>BIR-RR5-2020-08-011</t>
  </si>
  <si>
    <t>20RFQ-G-02-00039</t>
  </si>
  <si>
    <t>684-2020</t>
  </si>
  <si>
    <t>DVO-200813-28</t>
  </si>
  <si>
    <t>INF-2020-02</t>
  </si>
  <si>
    <t>SV-2020-061</t>
  </si>
  <si>
    <t>PG-20-72</t>
  </si>
  <si>
    <t>1083-20</t>
  </si>
  <si>
    <t>20-0068</t>
  </si>
  <si>
    <t>2020-08-471</t>
  </si>
  <si>
    <t>QN-200804-14/ SM-20-0847</t>
  </si>
  <si>
    <t>20GP00118</t>
  </si>
  <si>
    <t>20-348</t>
  </si>
  <si>
    <t>20 - OG - 07 - 087</t>
  </si>
  <si>
    <t>43-20</t>
  </si>
  <si>
    <t>202-101-075</t>
  </si>
  <si>
    <t>RFQ-2020-08-011</t>
  </si>
  <si>
    <t>PRN-632-2019</t>
  </si>
  <si>
    <t>SVP-2020-08-166</t>
  </si>
  <si>
    <t>RCEF Goods 20-07-05A</t>
  </si>
  <si>
    <t>MC1-2008-034</t>
  </si>
  <si>
    <t>20-08-175</t>
  </si>
  <si>
    <t>20-08-065</t>
  </si>
  <si>
    <t>2020-055R</t>
  </si>
  <si>
    <t>2020-07-075a</t>
  </si>
  <si>
    <t>RFQ-20-08001</t>
  </si>
  <si>
    <t>TOW-WEST-20-08-0074</t>
  </si>
  <si>
    <t>2020-08-0191</t>
  </si>
  <si>
    <t>2020 DHVSU - 041</t>
  </si>
  <si>
    <t>2020-7-573</t>
  </si>
  <si>
    <t>2020 DHVSU - 039</t>
  </si>
  <si>
    <t xml:space="preserve">ITB No. 20-075  RE-BIDDING OF DESIGN AND BUILD OF </t>
  </si>
  <si>
    <t>2020-2708-018</t>
  </si>
  <si>
    <t>2020.08.06</t>
  </si>
  <si>
    <t>PR No. 200-20-08-009</t>
  </si>
  <si>
    <t>AMP 2020-019</t>
  </si>
  <si>
    <t>EBMS 0392-20</t>
  </si>
  <si>
    <t>2020-08-104</t>
  </si>
  <si>
    <t>21A00004</t>
  </si>
  <si>
    <t>0820-004</t>
  </si>
  <si>
    <t>NFA-NCR-RBAC-2020-08-05-011</t>
  </si>
  <si>
    <t>200-07-20-00002</t>
  </si>
  <si>
    <t>2020-0000-017</t>
  </si>
  <si>
    <t>2020-07-076a</t>
  </si>
  <si>
    <t>CHMSC 20-024-0805-I</t>
  </si>
  <si>
    <t>DVO-200813-30</t>
  </si>
  <si>
    <t>21A00005</t>
  </si>
  <si>
    <t>302774-2020-07-016</t>
  </si>
  <si>
    <t>RFQ 2020-016</t>
  </si>
  <si>
    <t>20-07-0437</t>
  </si>
  <si>
    <t>RFQ 3-820-016</t>
  </si>
  <si>
    <t>2002007388</t>
  </si>
  <si>
    <t>SN20-08-830</t>
  </si>
  <si>
    <t>SUPPLY AND DELIVERY OF HYBRID CORN SEEDS, VEGETABL</t>
  </si>
  <si>
    <t>20-01-0101</t>
  </si>
  <si>
    <t>20-08-047</t>
  </si>
  <si>
    <t>NIU-092-2020</t>
  </si>
  <si>
    <t>2020-07-235</t>
  </si>
  <si>
    <t>IA-OS-20-026</t>
  </si>
  <si>
    <t>20-08-166</t>
  </si>
  <si>
    <t>INVITATION TO BID No. 2020-08-006</t>
  </si>
  <si>
    <t>PR. 20-07-267 (2020-08-275)</t>
  </si>
  <si>
    <t>RFQ 2020-021</t>
  </si>
  <si>
    <t>LGU-100-2020-08-852</t>
  </si>
  <si>
    <t>SVP-2020-08-170</t>
  </si>
  <si>
    <t>Cantandog II</t>
  </si>
  <si>
    <t>2020-08-81</t>
  </si>
  <si>
    <t>SVP 20-0194-A</t>
  </si>
  <si>
    <t>INFRA 2020-001</t>
  </si>
  <si>
    <t>SF Infra 2020-10</t>
  </si>
  <si>
    <t>2020-08-0857 TDG</t>
  </si>
  <si>
    <t>rfq#2020-07-2,333-pgo-benro</t>
  </si>
  <si>
    <t>11-08-2020</t>
  </si>
  <si>
    <t>20-02-0050</t>
  </si>
  <si>
    <t>rfq#2020-06-2,011-pgo-coa</t>
  </si>
  <si>
    <t>RFQ-2020-08-018</t>
  </si>
  <si>
    <t>2020-02-037</t>
  </si>
  <si>
    <t>RFQ-2020-083</t>
  </si>
  <si>
    <t>2020-07-0874</t>
  </si>
  <si>
    <t>MR-PNBAC1-2020-35</t>
  </si>
  <si>
    <t>20-08-163</t>
  </si>
  <si>
    <t>SOLANO 094-2020</t>
  </si>
  <si>
    <t>rfq#2020-07-2,667-pgo-pdrrmd-provl agriculture off</t>
  </si>
  <si>
    <t>ITB-2020-35</t>
  </si>
  <si>
    <t>SVP 20-0296-A</t>
  </si>
  <si>
    <t>2020-08-84</t>
  </si>
  <si>
    <t>20GIB0039</t>
  </si>
  <si>
    <t>BCS-2020-0267</t>
  </si>
  <si>
    <t>2020-05-129</t>
  </si>
  <si>
    <t>GHQPC-OJ4-RMMV-1643-20</t>
  </si>
  <si>
    <t>RCP20-08-0166</t>
  </si>
  <si>
    <t>rfq#2020-05-2,511-bpmc</t>
  </si>
  <si>
    <t>202006-26</t>
  </si>
  <si>
    <t>PR 20-07-0232</t>
  </si>
  <si>
    <t>rfq#2020-07-2,816-pswdo</t>
  </si>
  <si>
    <t>20-08-164</t>
  </si>
  <si>
    <t>082511-03</t>
  </si>
  <si>
    <t>AL-LFP-010-2020RFQ</t>
  </si>
  <si>
    <t>BIDSTAC # NP-SVP 158-2020</t>
  </si>
  <si>
    <t>2492</t>
  </si>
  <si>
    <t>BCS-2020-0268</t>
  </si>
  <si>
    <t>BIDSTAC # SB 002-(2)-2020</t>
  </si>
  <si>
    <t>20-08-162</t>
  </si>
  <si>
    <t>2020-08-Arpili</t>
  </si>
  <si>
    <t>2020-086</t>
  </si>
  <si>
    <t>ITB 2020-08-01</t>
  </si>
  <si>
    <t>GHQPC-OJ8-REPE-1641-20</t>
  </si>
  <si>
    <t>082511-04</t>
  </si>
  <si>
    <t>rfq#2020-07-2,744-peo-motorpool</t>
  </si>
  <si>
    <t>Ibaan/2020/255</t>
  </si>
  <si>
    <t>202003012</t>
  </si>
  <si>
    <t>2020-08-15</t>
  </si>
  <si>
    <t>Infra-2020-P12-08-24</t>
  </si>
  <si>
    <t>WPU-2020-010</t>
  </si>
  <si>
    <t>100-202007-01030</t>
  </si>
  <si>
    <t>20-08-SO158</t>
  </si>
  <si>
    <t>BIDSTAC # SB 040-2020</t>
  </si>
  <si>
    <t>EMB-R4B-24-20</t>
  </si>
  <si>
    <t>PHILGEPS-2020-19</t>
  </si>
  <si>
    <t>082511-02</t>
  </si>
  <si>
    <t>PR 2020-VIII-01 - NVZ</t>
  </si>
  <si>
    <t>200-2020-goods-005</t>
  </si>
  <si>
    <t>20-08-024B</t>
  </si>
  <si>
    <t>rfq#2020-07-2,836-peo</t>
  </si>
  <si>
    <t>20-08-160</t>
  </si>
  <si>
    <t>2020-08-111</t>
  </si>
  <si>
    <t>101-2020-08-249</t>
  </si>
  <si>
    <t>194-2020</t>
  </si>
  <si>
    <t>QSU-BACMADD2020-036</t>
  </si>
  <si>
    <t>rfq#2020-07-2,843-sp-garcia</t>
  </si>
  <si>
    <t>MR-PNBAC1-2020-37</t>
  </si>
  <si>
    <t>082511-05</t>
  </si>
  <si>
    <t>GOODS-2020-081</t>
  </si>
  <si>
    <t>53-2020</t>
  </si>
  <si>
    <t>ITB-KOR: 20-08-0763 CMO-POP</t>
  </si>
  <si>
    <t>RFQ 20-07-1696</t>
  </si>
  <si>
    <t>GHQPC-OJ8-OTSM-1642-20</t>
  </si>
  <si>
    <t>20-08-161</t>
  </si>
  <si>
    <t>SVP 20-0342</t>
  </si>
  <si>
    <t>2020-516</t>
  </si>
  <si>
    <t>SF-2020-063</t>
  </si>
  <si>
    <t>20CSKB02</t>
  </si>
  <si>
    <t>ITB No. 2020-08-008</t>
  </si>
  <si>
    <t>PR082000647</t>
  </si>
  <si>
    <t>2020-08-074</t>
  </si>
  <si>
    <t>MR-PNBAC1-2020-36</t>
  </si>
  <si>
    <t>PR No. 2020-08-053</t>
  </si>
  <si>
    <t>GB2-PB-01-20</t>
  </si>
  <si>
    <t>2020-Barangay 11 Poblacion -003</t>
  </si>
  <si>
    <t>20GIB0040</t>
  </si>
  <si>
    <t>00125</t>
  </si>
  <si>
    <t>ITB 2020-08-039</t>
  </si>
  <si>
    <t>GOODS-2020-080</t>
  </si>
  <si>
    <t>047-20</t>
  </si>
  <si>
    <t>2020-08-85</t>
  </si>
  <si>
    <t>2020-08-12</t>
  </si>
  <si>
    <t>08-004-20</t>
  </si>
  <si>
    <t>SVP-094-2020</t>
  </si>
  <si>
    <t>PR082000648</t>
  </si>
  <si>
    <t>GHQPC-OJ4-OTSM-1640-20</t>
  </si>
  <si>
    <t>001-08-05-2020</t>
  </si>
  <si>
    <t>45-20</t>
  </si>
  <si>
    <t>20-08-025B</t>
  </si>
  <si>
    <t>RFQ-GS-20200623-01</t>
  </si>
  <si>
    <t>RCP20-08-0167</t>
  </si>
  <si>
    <t>GHQPC-OJ4-REPE-1655-20</t>
  </si>
  <si>
    <t>RCP20-08-0168</t>
  </si>
  <si>
    <t>TAYSAN2020-091</t>
  </si>
  <si>
    <t>SVP 20-0344</t>
  </si>
  <si>
    <t>20CSED0001</t>
  </si>
  <si>
    <t>ITB 2020-08-040</t>
  </si>
  <si>
    <t>20GFC0034</t>
  </si>
  <si>
    <t>2020-07-0925</t>
  </si>
  <si>
    <t>RCP20-08-0169</t>
  </si>
  <si>
    <t>ITB-2020-08-054</t>
  </si>
  <si>
    <t>08-003-20</t>
  </si>
  <si>
    <t>101202008248</t>
  </si>
  <si>
    <t>GHQPC-OJ4-REPE-1656-20</t>
  </si>
  <si>
    <t>IB-ATI-RTC02-2020-08-02</t>
  </si>
  <si>
    <t>0285-2020</t>
  </si>
  <si>
    <t>PR082000649</t>
  </si>
  <si>
    <t>ENG'G PASBAC 002-20 Supply and Delivery of Three (</t>
  </si>
  <si>
    <t>101-2020-08-251</t>
  </si>
  <si>
    <t>PR 2020-VIII-02 - NVZ</t>
  </si>
  <si>
    <t>ECA-20-07-0500/0611/0610/0609/0608/0607/0606</t>
  </si>
  <si>
    <t>2020-07-0855</t>
  </si>
  <si>
    <t>INF 20-01</t>
  </si>
  <si>
    <t>08-006-20</t>
  </si>
  <si>
    <t>0561</t>
  </si>
  <si>
    <t>Infra-01</t>
  </si>
  <si>
    <t>CGDNELZN-2020-08-001</t>
  </si>
  <si>
    <t>RFQ2020-08-06</t>
  </si>
  <si>
    <t>PR-OS-2020-08-25</t>
  </si>
  <si>
    <t>20GFC0037</t>
  </si>
  <si>
    <t>2020-07-514</t>
  </si>
  <si>
    <t>2020-07-518</t>
  </si>
  <si>
    <t>RFQ - 2020 - 129</t>
  </si>
  <si>
    <t>ITB 2020-190</t>
  </si>
  <si>
    <t>2020-07-513</t>
  </si>
  <si>
    <t>002-08-2020</t>
  </si>
  <si>
    <t>G2020 021</t>
  </si>
  <si>
    <t>2020-07-0856 etc</t>
  </si>
  <si>
    <t>PR082000650</t>
  </si>
  <si>
    <t>101-2020-08-250</t>
  </si>
  <si>
    <t>2020-08-05 LGU</t>
  </si>
  <si>
    <t>ITB-2020-07</t>
  </si>
  <si>
    <t>PW-20-19</t>
  </si>
  <si>
    <t>rfq 2020-08-02</t>
  </si>
  <si>
    <t>2020-116</t>
  </si>
  <si>
    <t>AFPSEO-REPE-1661-20</t>
  </si>
  <si>
    <t>GHQPC-OJ4-OTSM-1657-20</t>
  </si>
  <si>
    <t>202001007</t>
  </si>
  <si>
    <t>ENG'G PASBAC 014-20  Supply and Delivery of Materi</t>
  </si>
  <si>
    <t>RFQ 2020-129</t>
  </si>
  <si>
    <t>2020-66</t>
  </si>
  <si>
    <t>20GAF0004</t>
  </si>
  <si>
    <t>20-08-0467</t>
  </si>
  <si>
    <t>GHQPC-OFM-RMMV-1648-20</t>
  </si>
  <si>
    <t>ITB 2020-08-047</t>
  </si>
  <si>
    <t>2020-33</t>
  </si>
  <si>
    <t>ITB 2020-08-044</t>
  </si>
  <si>
    <t>ITB 2020-191</t>
  </si>
  <si>
    <t>ITB 2020-08-049</t>
  </si>
  <si>
    <t>LCWD-2020-063 Modification of Read and Bill System</t>
  </si>
  <si>
    <t>PB-PAFBAC-161-20</t>
  </si>
  <si>
    <t>GHQPC-OFM-RMOE-1652-20</t>
  </si>
  <si>
    <t>20GFC0036</t>
  </si>
  <si>
    <t>PR-SP-2020-08-21</t>
  </si>
  <si>
    <t>2020-32</t>
  </si>
  <si>
    <t>ENG'G PASBAC 012-20  Supply and Delivery of Materi</t>
  </si>
  <si>
    <t>202001008</t>
  </si>
  <si>
    <t>ITB 2020-08-045</t>
  </si>
  <si>
    <t>2020-07-519</t>
  </si>
  <si>
    <t>WPU-2020-013</t>
  </si>
  <si>
    <t>RFQ-GS-20200720-01</t>
  </si>
  <si>
    <t>GHQPC-OTQMG-REPE-1660-20</t>
  </si>
  <si>
    <t>GHQPC-OSPS-RMB-1646-20</t>
  </si>
  <si>
    <t>SINS-Inf-2020-05</t>
  </si>
  <si>
    <t>BAC-ITIO GS No. 2020-0056 dated 09 June 2020</t>
  </si>
  <si>
    <t>GHQPC-OFM-TRNG-1650-20</t>
  </si>
  <si>
    <t>DSWD 4B 2020-013</t>
  </si>
  <si>
    <t>RDD-2020-GO-22</t>
  </si>
  <si>
    <t>PB-PAFBAC-222-19</t>
  </si>
  <si>
    <t>ITB 2020-08-046</t>
  </si>
  <si>
    <t>GHQPC-OSPS-RMB-1647-20</t>
  </si>
  <si>
    <t>100-08-20-02091</t>
  </si>
  <si>
    <t>GHQPC-OJ5-SPOF-1644-20</t>
  </si>
  <si>
    <t>2020-0116</t>
  </si>
  <si>
    <t>WPU-2020-012</t>
  </si>
  <si>
    <t>ITB 2020-08-048</t>
  </si>
  <si>
    <t>GHQPC-OFM-TELM-1653-20</t>
  </si>
  <si>
    <t>ICRFQ08052020A</t>
  </si>
  <si>
    <t>2020-08-1814</t>
  </si>
  <si>
    <t>ITB 2020-08-042</t>
  </si>
  <si>
    <t>B-8661-20-14</t>
  </si>
  <si>
    <t>PB-PAFBAC-081-20</t>
  </si>
  <si>
    <t>20-07-578</t>
  </si>
  <si>
    <t>PB-PAFBAC-162-20</t>
  </si>
  <si>
    <t>RFQ RO1 2020-0805-018</t>
  </si>
  <si>
    <t>MA-A2M20-044</t>
  </si>
  <si>
    <t>SOCOM-TELM-1664-20</t>
  </si>
  <si>
    <t>2020.08.039</t>
  </si>
  <si>
    <t>GHQPC-CEISS-RMCE-1671-20</t>
  </si>
  <si>
    <t>ITB 2020-08-050</t>
  </si>
  <si>
    <t>ATI-RTC3-2020-0098</t>
  </si>
  <si>
    <t>GHQPC-OSSSM-RMOE-1674-20</t>
  </si>
  <si>
    <t>PB-PAFBAC-164-20</t>
  </si>
  <si>
    <t>CGB-2020-08-002</t>
  </si>
  <si>
    <t>PB-PAFBAC-160-20</t>
  </si>
  <si>
    <t>GHQPC-CEISS-RMCE-1672-20</t>
  </si>
  <si>
    <t>ICRFQ08052020B</t>
  </si>
  <si>
    <t>GHQPC-OSPS-REPE-1675-20</t>
  </si>
  <si>
    <t>20GFC0035</t>
  </si>
  <si>
    <t>08-007-20</t>
  </si>
  <si>
    <t>2020-07-0253</t>
  </si>
  <si>
    <t>SVP 20-0346</t>
  </si>
  <si>
    <t>ITB 2020-08-041</t>
  </si>
  <si>
    <t>100-20-04-0057</t>
  </si>
  <si>
    <t>WPU-2020-011</t>
  </si>
  <si>
    <t>20-07-605</t>
  </si>
  <si>
    <t>ICRFQ08052020C</t>
  </si>
  <si>
    <t>20-07-608</t>
  </si>
  <si>
    <t>PB-PAFBAC-163-20</t>
  </si>
  <si>
    <t>MA-A2M20-050</t>
  </si>
  <si>
    <t>MA-A2M20-033</t>
  </si>
  <si>
    <t>2020-07-0166</t>
  </si>
  <si>
    <t>20FB0162</t>
  </si>
  <si>
    <t>PCMT 2020 - 078</t>
  </si>
  <si>
    <t>ITB-2020-91</t>
  </si>
  <si>
    <t>20CSKC0003</t>
  </si>
  <si>
    <t>20-07-603</t>
  </si>
  <si>
    <t>20-07-103</t>
  </si>
  <si>
    <t>LGU-ALCOY-2020-048</t>
  </si>
  <si>
    <t>PHILGEPS-2020-20</t>
  </si>
  <si>
    <t>SINS-G-2020-10</t>
  </si>
  <si>
    <t>2020-06-034-RFQ</t>
  </si>
  <si>
    <t>0700-2020-08-040</t>
  </si>
  <si>
    <t>GOODS-2020-079</t>
  </si>
  <si>
    <t>RFQ 084</t>
  </si>
  <si>
    <t>ITB # 2020-08-052</t>
  </si>
  <si>
    <t>RFQ 083</t>
  </si>
  <si>
    <t>MA-A2O20-006</t>
  </si>
  <si>
    <t>RFQ 082</t>
  </si>
  <si>
    <t>PCMT 2020 - 080</t>
  </si>
  <si>
    <t>MA-A2O20-004</t>
  </si>
  <si>
    <t>DEPED-BOHOL-2020-08-108</t>
  </si>
  <si>
    <t>DEPED-BOHOL-2020-08-107</t>
  </si>
  <si>
    <t>20FJ0030</t>
  </si>
  <si>
    <t>1-8-2020</t>
  </si>
  <si>
    <t>ITB # 2020-08-053</t>
  </si>
  <si>
    <t>TES-2020-007</t>
  </si>
  <si>
    <t>202007294</t>
  </si>
  <si>
    <t>20CM0086</t>
  </si>
  <si>
    <t>2020-PB-002</t>
  </si>
  <si>
    <t>20CSKC0004</t>
  </si>
  <si>
    <t>LGU-COR. 2020-90</t>
  </si>
  <si>
    <t>2020-07-0212</t>
  </si>
  <si>
    <t>20CM0087</t>
  </si>
  <si>
    <t>20-06-488</t>
  </si>
  <si>
    <t>MA-A2O20-005</t>
  </si>
  <si>
    <t>PB-PAFBAC-166-20</t>
  </si>
  <si>
    <t>2020-07-0205</t>
  </si>
  <si>
    <t>20FJ0033</t>
  </si>
  <si>
    <t>gsis/npsvp-252-20</t>
  </si>
  <si>
    <t>2020-07-0209 (Readvertisement)</t>
  </si>
  <si>
    <t>2019-001</t>
  </si>
  <si>
    <t>RFQ - 2020 - 130</t>
  </si>
  <si>
    <t>40-2020</t>
  </si>
  <si>
    <t>202007300</t>
  </si>
  <si>
    <t>2020-08-MEO-GF-0031</t>
  </si>
  <si>
    <t>PB-PAFBAC-165-20</t>
  </si>
  <si>
    <t>019-2020 Supplies for Modular Learning (printer)</t>
  </si>
  <si>
    <t>2020-08-NO-POP-GF-0029</t>
  </si>
  <si>
    <t>20FJ0032 - Construction of One(1) Unit One(1) Stor</t>
  </si>
  <si>
    <t>PB-PAFBAC-171-20</t>
  </si>
  <si>
    <t>MA-A2M20-054</t>
  </si>
  <si>
    <t>20-002-03</t>
  </si>
  <si>
    <t>08-05-2020-01</t>
  </si>
  <si>
    <t>AFP-RSBS 2020 PLC01</t>
  </si>
  <si>
    <t>PB-PAFBAC-169-20</t>
  </si>
  <si>
    <t>2020-08-NO-POP-GF-0027</t>
  </si>
  <si>
    <t>2020-PR20-1038-242</t>
  </si>
  <si>
    <t>2020-PR20-983-243</t>
  </si>
  <si>
    <t>PB-PAFBAC-168-20</t>
  </si>
  <si>
    <t>2020-07-0214</t>
  </si>
  <si>
    <t>PR No.02 and 03</t>
  </si>
  <si>
    <t>ITB No. 2020-08-05</t>
  </si>
  <si>
    <t>PCMT 2020 - 081</t>
  </si>
  <si>
    <t>20CM0085</t>
  </si>
  <si>
    <t>PB-PAFBAC-170-20</t>
  </si>
  <si>
    <t>GLQ-2020-16</t>
  </si>
  <si>
    <t>20-001-03</t>
  </si>
  <si>
    <t>20-07-515</t>
  </si>
  <si>
    <t>ITB-002-08-2020</t>
  </si>
  <si>
    <t>MA-A2M20-038</t>
  </si>
  <si>
    <t>2020-06-038-RFQ</t>
  </si>
  <si>
    <t>B-8661-20-20</t>
  </si>
  <si>
    <t>SVP-CAT20-68</t>
  </si>
  <si>
    <t>20GFE0015</t>
  </si>
  <si>
    <t>PB-PAFBAC-167-20</t>
  </si>
  <si>
    <t xml:space="preserve">20BG0152-Construction of One (1) Storey Three (3) </t>
  </si>
  <si>
    <t>SVP20-640</t>
  </si>
  <si>
    <t>2020-PR20-704-241</t>
  </si>
  <si>
    <t>20BG0153-Construction of One (1) Storey Four (4) C</t>
  </si>
  <si>
    <t>20-003-03</t>
  </si>
  <si>
    <t>PIKCOT-SUPP-002020-00172</t>
  </si>
  <si>
    <t>SVP20-638</t>
  </si>
  <si>
    <t>SN 2020 02-01</t>
  </si>
  <si>
    <t>2020-76</t>
  </si>
  <si>
    <t>2020-74</t>
  </si>
  <si>
    <t>2020-73</t>
  </si>
  <si>
    <t>PR-2020-08-006</t>
  </si>
  <si>
    <t>PR-2020-08-005</t>
  </si>
  <si>
    <t>20BG0151-Construction of One (1) Storey Two (2) Cl</t>
  </si>
  <si>
    <t>2020-08-0120</t>
  </si>
  <si>
    <t>2020-75</t>
  </si>
  <si>
    <t>2020-72</t>
  </si>
  <si>
    <t>Printing and Delivery of Modules S.Y. 2020-2021</t>
  </si>
  <si>
    <t>2020-08-0119</t>
  </si>
  <si>
    <t>ML-2020-04-18</t>
  </si>
  <si>
    <t>NOLI-2020-0199 &amp; 0206</t>
  </si>
  <si>
    <t>020-2020</t>
  </si>
  <si>
    <t>PB-G-2020-07-40</t>
  </si>
  <si>
    <t>2020-08-14</t>
  </si>
  <si>
    <t>CB(B0-20-030(CMO)</t>
  </si>
  <si>
    <t>PB-202007</t>
  </si>
  <si>
    <t>IN-BAC-2020-08-063</t>
  </si>
  <si>
    <t>ITB NO: 2020-008-038</t>
  </si>
  <si>
    <t>CHO-20-100</t>
  </si>
  <si>
    <t>ITB 051-2020</t>
  </si>
  <si>
    <t>G-072020-008681</t>
  </si>
  <si>
    <t>BV-23-20</t>
  </si>
  <si>
    <t>20-CSDG-02</t>
  </si>
  <si>
    <t>DENR-ORMIN-031-2020</t>
  </si>
  <si>
    <t>Barangay Basiao-003-2020</t>
  </si>
  <si>
    <t>SVP20-645</t>
  </si>
  <si>
    <t>032-2020 PES Purchase of Printer (Epson) 2020-Supp</t>
  </si>
  <si>
    <t>030-2020 PES Purchase of Office Supplies 2020-Supp</t>
  </si>
  <si>
    <t>20-08-05-06</t>
  </si>
  <si>
    <t>ITB2020-15</t>
  </si>
  <si>
    <t>2020-08-0118</t>
  </si>
  <si>
    <t>CHO-20-099</t>
  </si>
  <si>
    <t>TM-20-07-0058</t>
  </si>
  <si>
    <t>Goods 2020-011</t>
  </si>
  <si>
    <t>G-2020-073</t>
  </si>
  <si>
    <t>G-2020-074</t>
  </si>
  <si>
    <t>G-2020-071</t>
  </si>
  <si>
    <t>G-2020-070</t>
  </si>
  <si>
    <t>2020-07-405 Re-bid</t>
  </si>
  <si>
    <t>IB 2020-08-012 PME2</t>
  </si>
  <si>
    <t>PB2020-07-043I</t>
  </si>
  <si>
    <t>2020-03-224 Re-bid</t>
  </si>
  <si>
    <t>2020-8-5</t>
  </si>
  <si>
    <t>G-2020-072</t>
  </si>
  <si>
    <t>20FB0160</t>
  </si>
  <si>
    <t>20-1660</t>
  </si>
  <si>
    <t>DRL-20-0743-B</t>
  </si>
  <si>
    <t>msj-2020-25</t>
  </si>
  <si>
    <t>20FB0161</t>
  </si>
  <si>
    <t>DRL-20-0721-B</t>
  </si>
  <si>
    <t>DRL-20-0722-B</t>
  </si>
  <si>
    <t>DRL-20-0745-B</t>
  </si>
  <si>
    <t>2020-49</t>
  </si>
  <si>
    <t>DRL-20-0326-B</t>
  </si>
  <si>
    <t>QIS_NFRA_2020#49</t>
  </si>
  <si>
    <t>DRL-20-0744-B</t>
  </si>
  <si>
    <t>INFR-20-021</t>
  </si>
  <si>
    <t>QIS_NFRA_2020#48</t>
  </si>
  <si>
    <t>Adv. 20-079</t>
  </si>
  <si>
    <t>QIS_NFRA_2020#46</t>
  </si>
  <si>
    <t>2020-634-07</t>
  </si>
  <si>
    <t>NOSP-2020-0022</t>
  </si>
  <si>
    <t>20-089</t>
  </si>
  <si>
    <t>QIS_NFRA_2020#47</t>
  </si>
  <si>
    <t>Project Reference No.: 20R0001- Equipment Rental f</t>
  </si>
  <si>
    <t>VET-2020-0122</t>
  </si>
  <si>
    <t>SCMGP 200-20-07-08694</t>
  </si>
  <si>
    <t>DA8-Goods-TFB-2020-2 (PR NO. RICE 20-02-19-0514)</t>
  </si>
  <si>
    <t>QIS_GDS_2020#24</t>
  </si>
  <si>
    <t>QIS_NFRA_2020#52</t>
  </si>
  <si>
    <t>Adv. 20-090</t>
  </si>
  <si>
    <t>Adv. 20-088</t>
  </si>
  <si>
    <t>DRL-20-0723-B</t>
  </si>
  <si>
    <t>CABANCALAN-01-2020</t>
  </si>
  <si>
    <t>PHO-2020-0373</t>
  </si>
  <si>
    <t>N20-003</t>
  </si>
  <si>
    <t>SanJoseBatsAeb2020-136</t>
  </si>
  <si>
    <t>Adv. 20-086</t>
  </si>
  <si>
    <t>SanJoseBatsAeb2020-134</t>
  </si>
  <si>
    <t>AB 2020-01</t>
  </si>
  <si>
    <t>SanJoseBatsAeb2020-133</t>
  </si>
  <si>
    <t>2020-684-07</t>
  </si>
  <si>
    <t>SanJoseBatsAeb2020-131</t>
  </si>
  <si>
    <t>N20-002</t>
  </si>
  <si>
    <t>SanJoseBatsAeb2020-130</t>
  </si>
  <si>
    <t>20-CSDG-03</t>
  </si>
  <si>
    <t>SanJoseBatsAeb2020-129</t>
  </si>
  <si>
    <t>PHO-2020-0374</t>
  </si>
  <si>
    <t>N20-001</t>
  </si>
  <si>
    <t>NFBC-2020-0020</t>
  </si>
  <si>
    <t>SanJoseBatsAeb2020-111</t>
  </si>
  <si>
    <t>SanJoseBatsAeb2020-132</t>
  </si>
  <si>
    <t>Adv. 20-085</t>
  </si>
  <si>
    <t>4Ps-2020-08-0301</t>
  </si>
  <si>
    <t>QIS_NFRA_2020#51</t>
  </si>
  <si>
    <t>PHO-2020-0277</t>
  </si>
  <si>
    <t>QIS_NFRA_2020#50</t>
  </si>
  <si>
    <t>2020-679-07</t>
  </si>
  <si>
    <t>20-082</t>
  </si>
  <si>
    <t>2020-695-07</t>
  </si>
  <si>
    <t>2020-676-07</t>
  </si>
  <si>
    <t>Barangay Basiao-004-2020</t>
  </si>
  <si>
    <t>2020-INFRA-08-24-2020-2</t>
  </si>
  <si>
    <t>2020-INFRA-08-24-2020-1</t>
  </si>
  <si>
    <t>MMWD-0024-2020</t>
  </si>
  <si>
    <t>LGU-BLU-20-08-061</t>
  </si>
  <si>
    <t>B-ITB-48-G-2020</t>
  </si>
  <si>
    <t>Adv. 20-084</t>
  </si>
  <si>
    <t>Adv. 20-083</t>
  </si>
  <si>
    <t>PAD (RICE,CORN,ESP) FUND 2020-06-34A</t>
  </si>
  <si>
    <t>AB 2020-03</t>
  </si>
  <si>
    <t>2020-693-07</t>
  </si>
  <si>
    <t>QIS_GDS_2020#25</t>
  </si>
  <si>
    <t>0013-2020</t>
  </si>
  <si>
    <t>08-03-2020-300</t>
  </si>
  <si>
    <t>2020-020R</t>
  </si>
  <si>
    <t>IN-BAC-2020-08-064</t>
  </si>
  <si>
    <t>AB 2020-02</t>
  </si>
  <si>
    <t>PR No. 1000032963 dated 14 May 2020</t>
  </si>
  <si>
    <t>N20-004</t>
  </si>
  <si>
    <t>NIAR6-SIP-MAGDALENA-BALADJAY-CW69-20</t>
  </si>
  <si>
    <t>mabpang-0804-2020-MSWD</t>
  </si>
  <si>
    <t>NIAR6-LFLP-PRBIDP-CW60-20</t>
  </si>
  <si>
    <t>N20-005</t>
  </si>
  <si>
    <t>0014-2020</t>
  </si>
  <si>
    <t>2020-021R</t>
  </si>
  <si>
    <t>2020-08-018</t>
  </si>
  <si>
    <t>08-03-2020-304</t>
  </si>
  <si>
    <t>2020-019R</t>
  </si>
  <si>
    <t>08-03-2020-303</t>
  </si>
  <si>
    <t>2020-INFRA-08-24-2020-3</t>
  </si>
  <si>
    <t>BAC-2020-08-01</t>
  </si>
  <si>
    <t>2020-06-0544</t>
  </si>
  <si>
    <t>MAM-2019-0014</t>
  </si>
  <si>
    <t>08-03-2020-305</t>
  </si>
  <si>
    <t>08-03-2020-302</t>
  </si>
  <si>
    <t>20-1705</t>
  </si>
  <si>
    <t>QIS_NFRA_2020#45</t>
  </si>
  <si>
    <t>LGULAGONOY-BAC-020-INFRA-003</t>
  </si>
  <si>
    <t>20-08-017</t>
  </si>
  <si>
    <t>Barangay Poblacion 1-2020-07</t>
  </si>
  <si>
    <t>lgu sta. Barbara</t>
  </si>
  <si>
    <t>20201649</t>
  </si>
  <si>
    <t>08-03-2020-301</t>
  </si>
  <si>
    <t>2020-B57-01</t>
  </si>
  <si>
    <t>wawa2020-02</t>
  </si>
  <si>
    <t>2020-08-04-003</t>
  </si>
  <si>
    <t>PLAWD 2020-08-057</t>
  </si>
  <si>
    <t>2020-08-04-001</t>
  </si>
  <si>
    <t>2020-08-04-005</t>
  </si>
  <si>
    <t>libsongwest2020-01</t>
  </si>
  <si>
    <t>0015-20 INFRA</t>
  </si>
  <si>
    <t>2020-08-04-004</t>
  </si>
  <si>
    <t>20HJ0120</t>
  </si>
  <si>
    <t>2020-08-04-002</t>
  </si>
  <si>
    <t>016-svp-2020 (OMAG)</t>
  </si>
  <si>
    <t>RFQ No. 2020-SVP-048</t>
  </si>
  <si>
    <t>0020-0252-1208-2020</t>
  </si>
  <si>
    <t>B#008-20</t>
  </si>
  <si>
    <t>B08-2020</t>
  </si>
  <si>
    <t>PR # 20-07-1248 OVS</t>
  </si>
  <si>
    <t>2020-07-931</t>
  </si>
  <si>
    <t>INFRA 20-08-22</t>
  </si>
  <si>
    <t>CID NO. 20IF0078 (READV)</t>
  </si>
  <si>
    <t>TF 003</t>
  </si>
  <si>
    <t>2020-005-07</t>
  </si>
  <si>
    <t>2020-0569</t>
  </si>
  <si>
    <t>PR 07-3743</t>
  </si>
  <si>
    <t>2020-07-210</t>
  </si>
  <si>
    <t>0061-07-2020</t>
  </si>
  <si>
    <t>2020-08-050</t>
  </si>
  <si>
    <t>BFAR5BAC-2020-146</t>
  </si>
  <si>
    <t>2020-119</t>
  </si>
  <si>
    <t>PR#79</t>
  </si>
  <si>
    <t>INFRA 20-08-26</t>
  </si>
  <si>
    <t>MIL-GOODS-2020-08-01</t>
  </si>
  <si>
    <t>2020-01-0077</t>
  </si>
  <si>
    <t>2020-396</t>
  </si>
  <si>
    <t>20GGA0008</t>
  </si>
  <si>
    <t>BFAR5BAC-2020-147</t>
  </si>
  <si>
    <t>2020-02-053H, 01-179, 02-026, 02-041, 02-058, 02-0</t>
  </si>
  <si>
    <t>ISD FUND 2020-07-33</t>
  </si>
  <si>
    <t>IB 2020-054</t>
  </si>
  <si>
    <t>INFRA 20-08-25</t>
  </si>
  <si>
    <t>20LA0352</t>
  </si>
  <si>
    <t>127000</t>
  </si>
  <si>
    <t>NP-08-42-20</t>
  </si>
  <si>
    <t>202008040001</t>
  </si>
  <si>
    <t>2020-04-08-40</t>
  </si>
  <si>
    <t>RSQ 01-2020-06-068</t>
  </si>
  <si>
    <t>08042020ITEQPT</t>
  </si>
  <si>
    <t>INFRA 20-08-23</t>
  </si>
  <si>
    <t>2020-08-389-12</t>
  </si>
  <si>
    <t>20LA0345</t>
  </si>
  <si>
    <t>20LA0347</t>
  </si>
  <si>
    <t>0027-0010-1082.2020</t>
  </si>
  <si>
    <t>BFAR5BAC-2020-148</t>
  </si>
  <si>
    <t>cam2020-005</t>
  </si>
  <si>
    <t>PR2020-07-040</t>
  </si>
  <si>
    <t>22-2020</t>
  </si>
  <si>
    <t>Composting</t>
  </si>
  <si>
    <t>2020-07-999</t>
  </si>
  <si>
    <t>IB 2020-56</t>
  </si>
  <si>
    <t>2019-12-1246</t>
  </si>
  <si>
    <t>ITB-07-2020-001</t>
  </si>
  <si>
    <t>SVP-2020-048</t>
  </si>
  <si>
    <t>100-04-076-17-680</t>
  </si>
  <si>
    <t>2020-08-0015</t>
  </si>
  <si>
    <t>100-04-076-17-679</t>
  </si>
  <si>
    <t>202008040002</t>
  </si>
  <si>
    <t>LEECemeteries</t>
  </si>
  <si>
    <t>2020-Barangay Cabugawan-003</t>
  </si>
  <si>
    <t>RFQ No. 20-08-197</t>
  </si>
  <si>
    <t>100-04-076-17-678</t>
  </si>
  <si>
    <t>015-svp-2020</t>
  </si>
  <si>
    <t>pontevedra-20-CW08</t>
  </si>
  <si>
    <t>IB 2020-055</t>
  </si>
  <si>
    <t>GOODS-2020-26</t>
  </si>
  <si>
    <t>Infra 2020-02-03</t>
  </si>
  <si>
    <t>RFQ No. 20-08-198</t>
  </si>
  <si>
    <t>UPLB-RQ-8-162-20-RES CHEMICALS &amp; CHEMICAL PRODUCTS</t>
  </si>
  <si>
    <t>ITB 2020-083</t>
  </si>
  <si>
    <t>PB2020-08-109G</t>
  </si>
  <si>
    <t>ITB 2020-091</t>
  </si>
  <si>
    <t>ITB20OA0077</t>
  </si>
  <si>
    <t>Goods-147-2020</t>
  </si>
  <si>
    <t>IB 2020-057</t>
  </si>
  <si>
    <t>RFQ-GOODS-2020-017</t>
  </si>
  <si>
    <t>00121</t>
  </si>
  <si>
    <t>G-056-0513-20</t>
  </si>
  <si>
    <t>SVP 2020-418</t>
  </si>
  <si>
    <t>ITB 2020-095</t>
  </si>
  <si>
    <t>PRDP-PSO-Admin 2020-07-018</t>
  </si>
  <si>
    <t>2020-50</t>
  </si>
  <si>
    <t>2020-08-525</t>
  </si>
  <si>
    <t>PR 20-07-0091</t>
  </si>
  <si>
    <t>BFAR5BAC-2020-149</t>
  </si>
  <si>
    <t>0059-07-2020</t>
  </si>
  <si>
    <t>20GDF0022</t>
  </si>
  <si>
    <t>2020-RFQ-031G</t>
  </si>
  <si>
    <t>100-2020-INFRA-398</t>
  </si>
  <si>
    <t>1918-23-13-20</t>
  </si>
  <si>
    <t>2020-07-450</t>
  </si>
  <si>
    <t>2020-08-04c</t>
  </si>
  <si>
    <t>pontevedra-20-CW09</t>
  </si>
  <si>
    <t>2020-0185-PR2020-0530 Rebid</t>
  </si>
  <si>
    <t>2020-08-04d</t>
  </si>
  <si>
    <t>20-149</t>
  </si>
  <si>
    <t>PR 2020-03-07</t>
  </si>
  <si>
    <t>061</t>
  </si>
  <si>
    <t>westernpob2020-001</t>
  </si>
  <si>
    <t>LGUBaras-2020-0057</t>
  </si>
  <si>
    <t>2020-08-04b</t>
  </si>
  <si>
    <t>RFQ-GOODS-2020-018</t>
  </si>
  <si>
    <t>20-148</t>
  </si>
  <si>
    <t>2020-07-449</t>
  </si>
  <si>
    <t>PR. NO. 2020-07-000029</t>
  </si>
  <si>
    <t>INVITATION TO BID  2020</t>
  </si>
  <si>
    <t>2020-05-693</t>
  </si>
  <si>
    <t>2007-0666-NHTS</t>
  </si>
  <si>
    <t>20-147</t>
  </si>
  <si>
    <t>PRDP-PSO-Admin 2020-07-012</t>
  </si>
  <si>
    <t>2020-08-0491 DRMD</t>
  </si>
  <si>
    <t>FAS-20-28</t>
  </si>
  <si>
    <t xml:space="preserve">MATERIALS-REHABILITATION OF LINE CANAL AT P 2,3 &amp; </t>
  </si>
  <si>
    <t>2020 - 0804 - 1G</t>
  </si>
  <si>
    <t>2020-231</t>
  </si>
  <si>
    <t>BAC-HO GS No. 2020-0263</t>
  </si>
  <si>
    <t>yen-08</t>
  </si>
  <si>
    <t>8918-23-3-S20</t>
  </si>
  <si>
    <t>RFQ-200-2020</t>
  </si>
  <si>
    <t>2020-0038</t>
  </si>
  <si>
    <t>bub2020-002</t>
  </si>
  <si>
    <t>2020-07-61-02</t>
  </si>
  <si>
    <t>842020-041</t>
  </si>
  <si>
    <t>ITB GOODS 2020-08-52</t>
  </si>
  <si>
    <t>SJ-20-209</t>
  </si>
  <si>
    <t>DA8-Goods-2020-48 (PR No. SAAD 20-07-23-0237)</t>
  </si>
  <si>
    <t>2020-233</t>
  </si>
  <si>
    <t>2020-002 (Brgy. Kauswagan)(REBID)</t>
  </si>
  <si>
    <t>022-2020</t>
  </si>
  <si>
    <t>08-04-01</t>
  </si>
  <si>
    <t>747, 747-A</t>
  </si>
  <si>
    <t>20GCH0015</t>
  </si>
  <si>
    <t>8918-02-2748-20</t>
  </si>
  <si>
    <t>RFQ-199-2020</t>
  </si>
  <si>
    <t>Goods-149-2020</t>
  </si>
  <si>
    <t>20M0012-13</t>
  </si>
  <si>
    <t>NIAREG9-08032020-695</t>
  </si>
  <si>
    <t>SVP 2020-038</t>
  </si>
  <si>
    <t>2020-08-085</t>
  </si>
  <si>
    <t>RFQ-203-2020</t>
  </si>
  <si>
    <t>RFQ-204-2020</t>
  </si>
  <si>
    <t>2020-08-0177</t>
  </si>
  <si>
    <t>INF-SFO-12-20</t>
  </si>
  <si>
    <t>6911-02-853-20</t>
  </si>
  <si>
    <t>20-0054 (NP)</t>
  </si>
  <si>
    <t>2020-51</t>
  </si>
  <si>
    <t>2020-428</t>
  </si>
  <si>
    <t>INF-SFO-11-20</t>
  </si>
  <si>
    <t>2020-08-390-13</t>
  </si>
  <si>
    <t>017-svp-2020 (LTMPS)</t>
  </si>
  <si>
    <t>097221</t>
  </si>
  <si>
    <t>PNU2020-0073</t>
  </si>
  <si>
    <t>INFRA-2020-08-50</t>
  </si>
  <si>
    <t>2020-07-54-03</t>
  </si>
  <si>
    <t>2020-08-469</t>
  </si>
  <si>
    <t>2020-096</t>
  </si>
  <si>
    <t>GF 001</t>
  </si>
  <si>
    <t>8918-04-2885-20</t>
  </si>
  <si>
    <t>032251</t>
  </si>
  <si>
    <t>20R002-03</t>
  </si>
  <si>
    <t>RFQ-205-2020</t>
  </si>
  <si>
    <t>2020-HT2-001</t>
  </si>
  <si>
    <t>GEPS-20-2020</t>
  </si>
  <si>
    <t>2020-83</t>
  </si>
  <si>
    <t>2020-618-07 (02)</t>
  </si>
  <si>
    <t>RFQ-206-2020</t>
  </si>
  <si>
    <t>2020-006</t>
  </si>
  <si>
    <t>INF-SFO-13-20</t>
  </si>
  <si>
    <t>PB-GS-2020-008</t>
  </si>
  <si>
    <t>RFQ 008-055-2020</t>
  </si>
  <si>
    <t>20-0062 (re-bid)</t>
  </si>
  <si>
    <t>GDS-393-2020</t>
  </si>
  <si>
    <t>6911-04-911-20</t>
  </si>
  <si>
    <t>nin-shop 1</t>
  </si>
  <si>
    <t>LB-SB-2020a</t>
  </si>
  <si>
    <t>0016-20 INFRA</t>
  </si>
  <si>
    <t>2020-WP2-001</t>
  </si>
  <si>
    <t>GF 002</t>
  </si>
  <si>
    <t>PR NO. 100-8751-20-07-0806</t>
  </si>
  <si>
    <t>2020-84</t>
  </si>
  <si>
    <t>08-01</t>
  </si>
  <si>
    <t>20-0061 (re-bid)</t>
  </si>
  <si>
    <t>08-79-2020</t>
  </si>
  <si>
    <t>6911-02-1196-20</t>
  </si>
  <si>
    <t>P.R NO 0719 SERIES 2020</t>
  </si>
  <si>
    <t>RFQ-GOODS-2020-016</t>
  </si>
  <si>
    <t>2020002</t>
  </si>
  <si>
    <t>20-35 goods</t>
  </si>
  <si>
    <t>2020-429</t>
  </si>
  <si>
    <t>IB 2020-58</t>
  </si>
  <si>
    <t>2020-095</t>
  </si>
  <si>
    <t>GEPS-19-2020</t>
  </si>
  <si>
    <t>08042020GOODS</t>
  </si>
  <si>
    <t>2020-CW-022</t>
  </si>
  <si>
    <t>2020-430</t>
  </si>
  <si>
    <t>2020-07-0526 DRMD</t>
  </si>
  <si>
    <t>GLQ-2020-1.2</t>
  </si>
  <si>
    <t>2020-097</t>
  </si>
  <si>
    <t>082511-01</t>
  </si>
  <si>
    <t>6911-02-1349-20</t>
  </si>
  <si>
    <t>2020.04.010</t>
  </si>
  <si>
    <t>20-0066</t>
  </si>
  <si>
    <t>20-0063 (re-bid)</t>
  </si>
  <si>
    <t>0017-20 INFRA</t>
  </si>
  <si>
    <t>2020-H15-001</t>
  </si>
  <si>
    <t>PRDP-PSO-Admin 2020-07-015</t>
  </si>
  <si>
    <t>2020-07-453</t>
  </si>
  <si>
    <t>2020-CW-023</t>
  </si>
  <si>
    <t>20-08-233</t>
  </si>
  <si>
    <t>6911-13-859-20</t>
  </si>
  <si>
    <t>BAC2020-08-037</t>
  </si>
  <si>
    <t>202008142</t>
  </si>
  <si>
    <t>nin brgy -1</t>
  </si>
  <si>
    <t>2020-CMC-001</t>
  </si>
  <si>
    <t>LGU-TAN-GOODS-2020-099</t>
  </si>
  <si>
    <t>202008040003</t>
  </si>
  <si>
    <t>6911-02-1144-20</t>
  </si>
  <si>
    <t>PB-GS-2020-010</t>
  </si>
  <si>
    <t>0042-07-2020-A</t>
  </si>
  <si>
    <t>B-ITB-29-2020-I</t>
  </si>
  <si>
    <t>2020-0804-1</t>
  </si>
  <si>
    <t>DA7-2020-08-ILD-SF-20-3029</t>
  </si>
  <si>
    <t>Mabuhay 2020-08-002</t>
  </si>
  <si>
    <t>2020-06-035</t>
  </si>
  <si>
    <t>2020 - 04</t>
  </si>
  <si>
    <t>0003-08-2020</t>
  </si>
  <si>
    <t>B-ITB-53-G-2020</t>
  </si>
  <si>
    <t>Mabuhay 2020-08-003</t>
  </si>
  <si>
    <t>2020-432</t>
  </si>
  <si>
    <t>ITB 08-021-2020</t>
  </si>
  <si>
    <t>LGU-TAN-GOODS-2020-100</t>
  </si>
  <si>
    <t>2020-431</t>
  </si>
  <si>
    <t>Dawan - 02-20</t>
  </si>
  <si>
    <t>6911-02-1029-20</t>
  </si>
  <si>
    <t>RFQ NO. 2020-08-65</t>
  </si>
  <si>
    <t>lgu-es-20-08-190</t>
  </si>
  <si>
    <t>2020-433</t>
  </si>
  <si>
    <t>nin brgy -2</t>
  </si>
  <si>
    <t>DOH-RFQ-2020-TFB-008A</t>
  </si>
  <si>
    <t>Flu 2020-08-001</t>
  </si>
  <si>
    <t>301703-2020-001</t>
  </si>
  <si>
    <t>Brgy. Pa-a 2020 - 09</t>
  </si>
  <si>
    <t>IB 2020-060</t>
  </si>
  <si>
    <t>202008143</t>
  </si>
  <si>
    <t>UPLB-S-050-08-20</t>
  </si>
  <si>
    <t>SLHS-2020-08-002</t>
  </si>
  <si>
    <t>LGU-ALCOY-2020-047</t>
  </si>
  <si>
    <t>2020-082-19-1</t>
  </si>
  <si>
    <t>philgeps08042020</t>
  </si>
  <si>
    <t>ITB20OA0078</t>
  </si>
  <si>
    <t>2020-08-0023</t>
  </si>
  <si>
    <t>2019-05-025</t>
  </si>
  <si>
    <t>6746024</t>
  </si>
  <si>
    <t>2020-0804-2</t>
  </si>
  <si>
    <t>NAA1-2020-005</t>
  </si>
  <si>
    <t>2020-08-060</t>
  </si>
  <si>
    <t>ITB No. 2020-15</t>
  </si>
  <si>
    <t>2020-08-343</t>
  </si>
  <si>
    <t>RFQ-20-08009</t>
  </si>
  <si>
    <t>6911-02-1047-19</t>
  </si>
  <si>
    <t>SB-228-C-2020</t>
  </si>
  <si>
    <t>LIB2020-002</t>
  </si>
  <si>
    <t>0000189-008-004-2020</t>
  </si>
  <si>
    <t>Barangay Pa-a 2020 - 10</t>
  </si>
  <si>
    <t>Contract ID: 20KH0048</t>
  </si>
  <si>
    <t>202008040004</t>
  </si>
  <si>
    <t>20-0067</t>
  </si>
  <si>
    <t>2020-58</t>
  </si>
  <si>
    <t>2020-804-1</t>
  </si>
  <si>
    <t>2020-07-048</t>
  </si>
  <si>
    <t>2020-082-19-3</t>
  </si>
  <si>
    <t>ITB GOODS 2020-08-53</t>
  </si>
  <si>
    <t>RFQ-2020-231</t>
  </si>
  <si>
    <t>080420-81</t>
  </si>
  <si>
    <t>20200804-31</t>
  </si>
  <si>
    <t>2020-08-0025</t>
  </si>
  <si>
    <t>ITB20OA0080</t>
  </si>
  <si>
    <t>ITB20OA0079</t>
  </si>
  <si>
    <t>20-216</t>
  </si>
  <si>
    <t>Goods2020</t>
  </si>
  <si>
    <t>0063-07-2020</t>
  </si>
  <si>
    <t>20-217</t>
  </si>
  <si>
    <t>2020-082-19-2</t>
  </si>
  <si>
    <t>LGU-TAN-GOODS-2020-098</t>
  </si>
  <si>
    <t>DOH4A-ITB-2020-GS-010</t>
  </si>
  <si>
    <t>SKVALENZUELA-004</t>
  </si>
  <si>
    <t>EMAN 2020-008-002</t>
  </si>
  <si>
    <t>006-2020</t>
  </si>
  <si>
    <t>202008141</t>
  </si>
  <si>
    <t>2020-07-0527 DRMD</t>
  </si>
  <si>
    <t>ITB No. 2020-29</t>
  </si>
  <si>
    <t>2020-08-0029</t>
  </si>
  <si>
    <t>04-2020 (Brgy. San Miguel)(REBID)</t>
  </si>
  <si>
    <t>004-2020</t>
  </si>
  <si>
    <t>2020-082-19-5</t>
  </si>
  <si>
    <t>2020-07-448</t>
  </si>
  <si>
    <t>2020-07-0525 DRMD</t>
  </si>
  <si>
    <t>epslingayen2020-84</t>
  </si>
  <si>
    <t>2020-Barangay San Roque-004</t>
  </si>
  <si>
    <t>cgb2020-309</t>
  </si>
  <si>
    <t>0001-08-2020</t>
  </si>
  <si>
    <t>Cablong-2020-002</t>
  </si>
  <si>
    <t>21</t>
  </si>
  <si>
    <t>NS-08-05-20-01</t>
  </si>
  <si>
    <t>05-2020 (Brgy. San Miguel)(REBID)</t>
  </si>
  <si>
    <t>2020-039</t>
  </si>
  <si>
    <t>2020-08-0030</t>
  </si>
  <si>
    <t>23-2020</t>
  </si>
  <si>
    <t>SKVALENZUELA-005</t>
  </si>
  <si>
    <t>2020-07-148</t>
  </si>
  <si>
    <t>BAC-08-1098</t>
  </si>
  <si>
    <t>2020bid002</t>
  </si>
  <si>
    <t>PB-GS-2020-009</t>
  </si>
  <si>
    <t>100-20-08-92</t>
  </si>
  <si>
    <t>SUBM#2020-08-08</t>
  </si>
  <si>
    <t>200(01)20-07-004(F)</t>
  </si>
  <si>
    <t>PR# 20-021</t>
  </si>
  <si>
    <t>2020-03-122</t>
  </si>
  <si>
    <t>Bid No. 2020-031</t>
  </si>
  <si>
    <t>08042020</t>
  </si>
  <si>
    <t>995</t>
  </si>
  <si>
    <t>2020-1679</t>
  </si>
  <si>
    <t>Bid No. 2020-032</t>
  </si>
  <si>
    <t>SVP 2020-039</t>
  </si>
  <si>
    <t>200(01)20-07-008(AD)</t>
  </si>
  <si>
    <t>2020-07-452</t>
  </si>
  <si>
    <t>200(01)20-07-036(P)</t>
  </si>
  <si>
    <t>043</t>
  </si>
  <si>
    <t>PRDP-PSO-Admin 2020-07-017</t>
  </si>
  <si>
    <t>24-2020</t>
  </si>
  <si>
    <t>sal-2020-002</t>
  </si>
  <si>
    <t>PB-GS-2020-011</t>
  </si>
  <si>
    <t>TF-20-07-436(O)</t>
  </si>
  <si>
    <t>200(01)20-07-003(F)</t>
  </si>
  <si>
    <t>2020-07-153</t>
  </si>
  <si>
    <t>007-2020</t>
  </si>
  <si>
    <t>PR#20-07-045</t>
  </si>
  <si>
    <t>200(01)20-07-009(AD)</t>
  </si>
  <si>
    <t>ITB 08-022-2020</t>
  </si>
  <si>
    <t>BAC-08-1099</t>
  </si>
  <si>
    <t>B-ITB-50-G-2020</t>
  </si>
  <si>
    <t>gsis/luc ampe 2020</t>
  </si>
  <si>
    <t>20-218</t>
  </si>
  <si>
    <t>20GGF0023</t>
  </si>
  <si>
    <t>200(01)20-07-077(M)</t>
  </si>
  <si>
    <t>200(01)20-07-006(F)</t>
  </si>
  <si>
    <t>200(01)20-07-067(M)</t>
  </si>
  <si>
    <t>080420-H01</t>
  </si>
  <si>
    <t>PR 2020-07-046</t>
  </si>
  <si>
    <t>Bidding-01-August2020</t>
  </si>
  <si>
    <t>2020104</t>
  </si>
  <si>
    <t>ITB-20-08001</t>
  </si>
  <si>
    <t>200(01)20-07-072(M)</t>
  </si>
  <si>
    <t>202008040005</t>
  </si>
  <si>
    <t>20-150</t>
  </si>
  <si>
    <t>2020-02-127</t>
  </si>
  <si>
    <t>300(01)20-07-120(Q)</t>
  </si>
  <si>
    <t>080420-B2</t>
  </si>
  <si>
    <t>Bidding-02-August2020</t>
  </si>
  <si>
    <t>202008040006</t>
  </si>
  <si>
    <t>300(01)20-07-068(M)</t>
  </si>
  <si>
    <t>086-20</t>
  </si>
  <si>
    <t>2020-07-181</t>
  </si>
  <si>
    <t>SJ-20-210</t>
  </si>
  <si>
    <t>NAA1-2020-006</t>
  </si>
  <si>
    <t>SVP-2020-08-155</t>
  </si>
  <si>
    <t>2020-101-073</t>
  </si>
  <si>
    <t>2020-07-432</t>
  </si>
  <si>
    <t>PRDP-PSO-Admin 2020-07-016</t>
  </si>
  <si>
    <t>200(01)20-07-078(M)</t>
  </si>
  <si>
    <t>ITB GOODS 2020-08-54</t>
  </si>
  <si>
    <t>100(01)20-07-428(A)</t>
  </si>
  <si>
    <t>300(01)20-07-073(M)</t>
  </si>
  <si>
    <t>P. R. No. 2020-0580</t>
  </si>
  <si>
    <t>Barangay Canhawan Gote-003-2020</t>
  </si>
  <si>
    <t>20FH0100</t>
  </si>
  <si>
    <t>3918-03-543-19 2019 DF</t>
  </si>
  <si>
    <t>061620-02</t>
  </si>
  <si>
    <t>20GME0060(Re-bid)</t>
  </si>
  <si>
    <t>200(01)20-07-079(M)</t>
  </si>
  <si>
    <t>rfq 2020-08-01</t>
  </si>
  <si>
    <t>100(01)20-07-426(A)</t>
  </si>
  <si>
    <t>2020-0002</t>
  </si>
  <si>
    <t>P. R. No. 2020-0576</t>
  </si>
  <si>
    <t>20GME0044(Re-bid)</t>
  </si>
  <si>
    <t>2020- 07-1116</t>
  </si>
  <si>
    <t>2020-07-0120</t>
  </si>
  <si>
    <t>2020-02-128</t>
  </si>
  <si>
    <t>6911-01-1453-19 / LDRRM</t>
  </si>
  <si>
    <t>044-20</t>
  </si>
  <si>
    <t>080420-H02</t>
  </si>
  <si>
    <t>8-4-2020</t>
  </si>
  <si>
    <t>S-0238</t>
  </si>
  <si>
    <t>20FH0096</t>
  </si>
  <si>
    <t>0002-08-2020</t>
  </si>
  <si>
    <t>6911-02-934-19</t>
  </si>
  <si>
    <t>2020-7-01</t>
  </si>
  <si>
    <t>B-ITB-52-2020</t>
  </si>
  <si>
    <t>200(01)20-07-443(A)</t>
  </si>
  <si>
    <t>B-ITB-51-2020</t>
  </si>
  <si>
    <t>300(01)20-07-441(O)</t>
  </si>
  <si>
    <t>Barangay Canhawan Gote-004-2020</t>
  </si>
  <si>
    <t>20GGJ0058</t>
  </si>
  <si>
    <t>GOODS#0150, ITB#0153,  PR#0428: SCG-2020</t>
  </si>
  <si>
    <t>PG-RFQ-2020-16</t>
  </si>
  <si>
    <t>080420-H03</t>
  </si>
  <si>
    <t>200(01)20-07-075(M)</t>
  </si>
  <si>
    <t>20GME0066</t>
  </si>
  <si>
    <t>SUBM#2020 -08 - 07</t>
  </si>
  <si>
    <t>8918-03-3424-19</t>
  </si>
  <si>
    <t>20GME0065</t>
  </si>
  <si>
    <t>20GME0064</t>
  </si>
  <si>
    <t>200(01)20-07-074(M)</t>
  </si>
  <si>
    <t>UPLB-S-030-08-20 REBID</t>
  </si>
  <si>
    <t>045-20</t>
  </si>
  <si>
    <t>080420-B3</t>
  </si>
  <si>
    <t>100(01)20-07-082(M)</t>
  </si>
  <si>
    <t>080420-B1</t>
  </si>
  <si>
    <t>PRO2 BAC 2020-0801</t>
  </si>
  <si>
    <t>200(01)20-07-005(F)</t>
  </si>
  <si>
    <t>ITB20200801</t>
  </si>
  <si>
    <t>2020-02-126</t>
  </si>
  <si>
    <t>2020-07-147</t>
  </si>
  <si>
    <t>PR#93</t>
  </si>
  <si>
    <t>20-08-033-052</t>
  </si>
  <si>
    <t>08-04-2020-308</t>
  </si>
  <si>
    <t>2020-0232</t>
  </si>
  <si>
    <t>Bid No.2020-030</t>
  </si>
  <si>
    <t>2020-08-0032</t>
  </si>
  <si>
    <t>JHS - 2020 - 008 - 0039</t>
  </si>
  <si>
    <t>PR No. : 2020-07-037</t>
  </si>
  <si>
    <t>2020-2076-07-271</t>
  </si>
  <si>
    <t>SEF 26</t>
  </si>
  <si>
    <t>GOODS#0147, ITB#0150,  PR#0345: SCG-2020</t>
  </si>
  <si>
    <t>RFQ No. 2020-SVP-023 (RE-POSTING)</t>
  </si>
  <si>
    <t>100-20-07-0254 (LOT 2)</t>
  </si>
  <si>
    <t>bfp-021-2020</t>
  </si>
  <si>
    <t>2020-08-04-01</t>
  </si>
  <si>
    <t>20-07-000078</t>
  </si>
  <si>
    <t>SJ-20-211</t>
  </si>
  <si>
    <t>SVP-2020-08-156</t>
  </si>
  <si>
    <t>2020-1746</t>
  </si>
  <si>
    <t>20-06-0074</t>
  </si>
  <si>
    <t>RFQ 008-057-2020</t>
  </si>
  <si>
    <t>200(01)20-07-080(M)</t>
  </si>
  <si>
    <t>2020-082-19-6</t>
  </si>
  <si>
    <t>20-07-000079</t>
  </si>
  <si>
    <t>IB 2020-06-I</t>
  </si>
  <si>
    <t>200-2020-008-026</t>
  </si>
  <si>
    <t>V-Aug-20</t>
  </si>
  <si>
    <t>2020-535</t>
  </si>
  <si>
    <t>2020-PLA-082</t>
  </si>
  <si>
    <t>PR#94</t>
  </si>
  <si>
    <t>2020-584</t>
  </si>
  <si>
    <t>brgy.higuloan</t>
  </si>
  <si>
    <t>DF 20 - 013</t>
  </si>
  <si>
    <t>TF-20-07-081(M)</t>
  </si>
  <si>
    <t>20GGJ0060</t>
  </si>
  <si>
    <t>GOODS#0149, ITB#0152,  PR#0427: SCG-2020</t>
  </si>
  <si>
    <t>300(18)20-07-453(O)</t>
  </si>
  <si>
    <t>TF-20-07-091(M)</t>
  </si>
  <si>
    <t>RFQ 008-056-2020</t>
  </si>
  <si>
    <t>2020-557</t>
  </si>
  <si>
    <t>BAC2020-08-038</t>
  </si>
  <si>
    <t>20-07-000081</t>
  </si>
  <si>
    <t>2020-082-19-7</t>
  </si>
  <si>
    <t>100-1917-20-513</t>
  </si>
  <si>
    <t>SEF 38</t>
  </si>
  <si>
    <t>2020-255</t>
  </si>
  <si>
    <t>20GGJ0059</t>
  </si>
  <si>
    <t>2020-308-RICE BRAN @ 40KG/BAG</t>
  </si>
  <si>
    <t>2020-558</t>
  </si>
  <si>
    <t>SEF 37</t>
  </si>
  <si>
    <t>2020-082-19-9</t>
  </si>
  <si>
    <t>Maintroad2020Aug-1</t>
  </si>
  <si>
    <t>2020-101-074</t>
  </si>
  <si>
    <t>MRH-011-2020</t>
  </si>
  <si>
    <t>2020-583</t>
  </si>
  <si>
    <t>Maintroad2020Aug-2</t>
  </si>
  <si>
    <t>2020-07-2682/2683</t>
  </si>
  <si>
    <t>08202001</t>
  </si>
  <si>
    <t>2020-534</t>
  </si>
  <si>
    <t>2020-082-19-8</t>
  </si>
  <si>
    <t>100(18)20-08-470(O)</t>
  </si>
  <si>
    <t>A-166-2020</t>
  </si>
  <si>
    <t>8771-20-007</t>
  </si>
  <si>
    <t>2020-082-19-10</t>
  </si>
  <si>
    <t>GOODS#0139, ITB#0142,  PR#0455: SCG-2020</t>
  </si>
  <si>
    <t>RSQ 0120-08-033</t>
  </si>
  <si>
    <t>2020-546</t>
  </si>
  <si>
    <t>2020-GOODS-014R-01-0805</t>
  </si>
  <si>
    <t>B-ITB-30-2020-I</t>
  </si>
  <si>
    <t>2020-53</t>
  </si>
  <si>
    <t>2020-518</t>
  </si>
  <si>
    <t>B-117-2020</t>
  </si>
  <si>
    <t>2020-256</t>
  </si>
  <si>
    <t>20csd010</t>
  </si>
  <si>
    <t>2020-696-07</t>
  </si>
  <si>
    <t>11</t>
  </si>
  <si>
    <t>20-07-000083</t>
  </si>
  <si>
    <t>ITB12</t>
  </si>
  <si>
    <t>P.R NO 0722 SERIES 2020</t>
  </si>
  <si>
    <t>GOODS#0145, ITB#0148,  PR#0463: SCG-2020</t>
  </si>
  <si>
    <t>GO-2020-08-142</t>
  </si>
  <si>
    <t>200-20-08-07</t>
  </si>
  <si>
    <t>RFP 2020-04</t>
  </si>
  <si>
    <t>27796-033 to 27796-052, 27803-001 to 27803-019</t>
  </si>
  <si>
    <t>2020-416</t>
  </si>
  <si>
    <t>IB 2020-06-Package III</t>
  </si>
  <si>
    <t>PB 08-01-2020</t>
  </si>
  <si>
    <t>BWD- 2020-11</t>
  </si>
  <si>
    <t>ITB-036-2020</t>
  </si>
  <si>
    <t>20-07-000089</t>
  </si>
  <si>
    <t>N-198-2020</t>
  </si>
  <si>
    <t>LGU_Piddig_2020_048</t>
  </si>
  <si>
    <t>ITB6</t>
  </si>
  <si>
    <t>27831-001</t>
  </si>
  <si>
    <t>1011-20-209</t>
  </si>
  <si>
    <t>2020-08-0251</t>
  </si>
  <si>
    <t>IB GOP/2020-DSWD-16</t>
  </si>
  <si>
    <t>100-2020-08-31</t>
  </si>
  <si>
    <t>MG-A7M20-010..REPLACEMENT OF STOP LOGS IN THE TAIL</t>
  </si>
  <si>
    <t>Resolution No. 320, S- 2020</t>
  </si>
  <si>
    <t>200-20-07-05</t>
  </si>
  <si>
    <t>RB-12-2020-M</t>
  </si>
  <si>
    <t>20GJF0137</t>
  </si>
  <si>
    <t>P.R NO 0723 SERIES 2020</t>
  </si>
  <si>
    <t>20GAG0004</t>
  </si>
  <si>
    <t>KAP-20-19</t>
  </si>
  <si>
    <t>2020-082-19-14</t>
  </si>
  <si>
    <t>20-07-000088</t>
  </si>
  <si>
    <t>2020-422</t>
  </si>
  <si>
    <t>N-192-2020</t>
  </si>
  <si>
    <t>Grants-20-07-58</t>
  </si>
  <si>
    <t>20 - OG - 07 - 086</t>
  </si>
  <si>
    <t>20CSKG04</t>
  </si>
  <si>
    <t>2020-044I</t>
  </si>
  <si>
    <t>2020-08-0856 TDG</t>
  </si>
  <si>
    <t>SVP-2020-049</t>
  </si>
  <si>
    <t>2020-405</t>
  </si>
  <si>
    <t>20GAG0005</t>
  </si>
  <si>
    <t>S-172-2020</t>
  </si>
  <si>
    <t>Consulting Services-2020-01</t>
  </si>
  <si>
    <t>2020-082-19-15</t>
  </si>
  <si>
    <t>2020-401</t>
  </si>
  <si>
    <t>2020-07-0225</t>
  </si>
  <si>
    <t>KAP-20-20</t>
  </si>
  <si>
    <t>2020-8-4-2</t>
  </si>
  <si>
    <t>0820-002</t>
  </si>
  <si>
    <t>P.R NO 0730 SERIES 2020</t>
  </si>
  <si>
    <t>doletac8-2020-20</t>
  </si>
  <si>
    <t>2020-0003</t>
  </si>
  <si>
    <t>SVP-2020-050</t>
  </si>
  <si>
    <t>2020-89 (GAS)</t>
  </si>
  <si>
    <t>2020  Allab</t>
  </si>
  <si>
    <t>RB-13-2020-M</t>
  </si>
  <si>
    <t>S-167-2020</t>
  </si>
  <si>
    <t>IB No. 2020-040</t>
  </si>
  <si>
    <t>Consulting Services-2020-02</t>
  </si>
  <si>
    <t>DOJ ITB 2020-08-005</t>
  </si>
  <si>
    <t>2020-PB-031</t>
  </si>
  <si>
    <t>2020-082-19-16</t>
  </si>
  <si>
    <t>RB-14-2020-M</t>
  </si>
  <si>
    <t>2020-045I</t>
  </si>
  <si>
    <t>2020-072</t>
  </si>
  <si>
    <t>2020-08-00038</t>
  </si>
  <si>
    <t>MG-A5C20-011..BATTAERY BANK, 125VDC INDUSTRIAL LEA</t>
  </si>
  <si>
    <t>DOJ ITB 2020-08-006</t>
  </si>
  <si>
    <t>FCP-L-20-08-002</t>
  </si>
  <si>
    <t>MG-A7M20-006..FABRICATION OF TRASH RACKS AT AGUS 6</t>
  </si>
  <si>
    <t>ITB7</t>
  </si>
  <si>
    <t>RFQ-2020-08-005</t>
  </si>
  <si>
    <t>Adv. 20-087</t>
  </si>
  <si>
    <t>Adv. 20-080</t>
  </si>
  <si>
    <t>Resolution No. 321, S-2020</t>
  </si>
  <si>
    <t>GF 659</t>
  </si>
  <si>
    <t>2020-8-4-</t>
  </si>
  <si>
    <t>RSQ 01-2020-08-043</t>
  </si>
  <si>
    <t>PR0040-20 PVET</t>
  </si>
  <si>
    <t>20-07-000094</t>
  </si>
  <si>
    <t>2020-051R</t>
  </si>
  <si>
    <t>B-114-2020</t>
  </si>
  <si>
    <t>BSNHS-10704010</t>
  </si>
  <si>
    <t>ITB 2020-097</t>
  </si>
  <si>
    <t>RFQ-2020-08-004</t>
  </si>
  <si>
    <t>2020-NFA-RBAC8-INFR- 22</t>
  </si>
  <si>
    <t>DOJ ITB 2020-08-007</t>
  </si>
  <si>
    <t>100-20-07-0238</t>
  </si>
  <si>
    <t>HILONGOS 2020-233</t>
  </si>
  <si>
    <t>2020-PB-032</t>
  </si>
  <si>
    <t>GF 658</t>
  </si>
  <si>
    <t>epslingayen2020-85</t>
  </si>
  <si>
    <t>MG-A5C20-021..BUCHHOLZ RELAY, AGUS 5 HEP</t>
  </si>
  <si>
    <t>RFQ-GOODS-2020-019</t>
  </si>
  <si>
    <t>2020-082-19-17</t>
  </si>
  <si>
    <t>BMN-2020-CDC-PB003</t>
  </si>
  <si>
    <t>RFQ NO. 2020-08-03-(9067)</t>
  </si>
  <si>
    <t>np 2020-23 (GAS)</t>
  </si>
  <si>
    <t>GR-01-08-20-GOODS</t>
  </si>
  <si>
    <t>SJ-20-212</t>
  </si>
  <si>
    <t>20-07-000093</t>
  </si>
  <si>
    <t>np 2020-22 (GAS)</t>
  </si>
  <si>
    <t>np 2020-21 (GAS)</t>
  </si>
  <si>
    <t>03b-G-2020 (SB)</t>
  </si>
  <si>
    <t>G2020-08-001</t>
  </si>
  <si>
    <t>Adv. 20-081</t>
  </si>
  <si>
    <t>HILONGOS 2020-232</t>
  </si>
  <si>
    <t>2020-90 (GAS)</t>
  </si>
  <si>
    <t>FCP-L-20-08-003</t>
  </si>
  <si>
    <t>2020-082-19-13</t>
  </si>
  <si>
    <t>20-07-000092</t>
  </si>
  <si>
    <t>2020-08-0282</t>
  </si>
  <si>
    <t>AFP-RSBS 2020 PMSSA4S03</t>
  </si>
  <si>
    <t>20GJF0138</t>
  </si>
  <si>
    <t>SVP-2020-051</t>
  </si>
  <si>
    <t>SL-NC-20</t>
  </si>
  <si>
    <t>KAP-20-18</t>
  </si>
  <si>
    <t>20AD0112</t>
  </si>
  <si>
    <t>PB20200804-044</t>
  </si>
  <si>
    <t>2020-082-19-11</t>
  </si>
  <si>
    <t>Resolution No. 319, S-2020</t>
  </si>
  <si>
    <t>2020-NFA-RBAC8-INFR-21</t>
  </si>
  <si>
    <t>20-08-036</t>
  </si>
  <si>
    <t>20-07-000087</t>
  </si>
  <si>
    <t>Grants-20-07-57</t>
  </si>
  <si>
    <t>TF-20-07-029(X)</t>
  </si>
  <si>
    <t>BAC-2020-08-001</t>
  </si>
  <si>
    <t>2020-082-19-12</t>
  </si>
  <si>
    <t>006-2020-I</t>
  </si>
  <si>
    <t>2020-8-4-1</t>
  </si>
  <si>
    <t>2020-575</t>
  </si>
  <si>
    <t>2019-07-0002</t>
  </si>
  <si>
    <t>2020-503</t>
  </si>
  <si>
    <t>PR No. :    2020-07-039</t>
  </si>
  <si>
    <t>RFQ 2020-007-001</t>
  </si>
  <si>
    <t>POG/CO-62</t>
  </si>
  <si>
    <t>GOODS#0130, ITB#0133,  PR#0412: SCG-2020</t>
  </si>
  <si>
    <t>gsis/luc 082020</t>
  </si>
  <si>
    <t>2020-313 -plastic drum @ 100 liters</t>
  </si>
  <si>
    <t>BOC-GOODS-RFQ-02-2020</t>
  </si>
  <si>
    <t>IB 2020 - 06 - Package II</t>
  </si>
  <si>
    <t>08-90-2020</t>
  </si>
  <si>
    <t>Maintroad2020Aug-3</t>
  </si>
  <si>
    <t>2020-08-0855 TDG</t>
  </si>
  <si>
    <t>RB-ITB-32-G-2020</t>
  </si>
  <si>
    <t>20csd9</t>
  </si>
  <si>
    <t>2020-08-0839 TDG</t>
  </si>
  <si>
    <t>GF 660</t>
  </si>
  <si>
    <t>200(01)20-07-447(A)</t>
  </si>
  <si>
    <t>20-07-0736</t>
  </si>
  <si>
    <t>2020-RP-34</t>
  </si>
  <si>
    <t>RFQ2020-07-02</t>
  </si>
  <si>
    <t>20-07-000085</t>
  </si>
  <si>
    <t>HILONGOS 2020-234</t>
  </si>
  <si>
    <t>CW20-08-039</t>
  </si>
  <si>
    <t>2020- PB-033</t>
  </si>
  <si>
    <t>IB No. 2020-041</t>
  </si>
  <si>
    <t>RB-15-2020-M</t>
  </si>
  <si>
    <t>PB2020-08-110G</t>
  </si>
  <si>
    <t>2020-06-499</t>
  </si>
  <si>
    <t>SVP-2020-08-157</t>
  </si>
  <si>
    <t>ITB 2020-098</t>
  </si>
  <si>
    <t>20-07-0000095</t>
  </si>
  <si>
    <t>20AD0113</t>
  </si>
  <si>
    <t>01-MN20</t>
  </si>
  <si>
    <t>GOODS#0148, ITB#0151,  PR#0426: SCG-2020</t>
  </si>
  <si>
    <t>2020-08-0854 TDG</t>
  </si>
  <si>
    <t>LP 2020-03</t>
  </si>
  <si>
    <t>ITB 20-094</t>
  </si>
  <si>
    <t>BIDDING20-30</t>
  </si>
  <si>
    <t>BWD-2020-10</t>
  </si>
  <si>
    <t>GOODS-NP-2020-113</t>
  </si>
  <si>
    <t>300(01)20-07-448(O)</t>
  </si>
  <si>
    <t>2020-PLA-081</t>
  </si>
  <si>
    <t>BD-2020-07-007</t>
  </si>
  <si>
    <t>2020-245</t>
  </si>
  <si>
    <t>2020-035</t>
  </si>
  <si>
    <t>SKPPS-002</t>
  </si>
  <si>
    <t>20-07-000096</t>
  </si>
  <si>
    <t>IB 2020-59</t>
  </si>
  <si>
    <t>RFQ-202-2020</t>
  </si>
  <si>
    <t>2020-234</t>
  </si>
  <si>
    <t>20-07-RAED24</t>
  </si>
  <si>
    <t>kolwd-2020-08-214</t>
  </si>
  <si>
    <t>PR No. 20-05-162 (Re-bidding)</t>
  </si>
  <si>
    <t>2020-052I</t>
  </si>
  <si>
    <t>PR No. 2007-157</t>
  </si>
  <si>
    <t>BAC 2-2020-08-074</t>
  </si>
  <si>
    <t>2020-515</t>
  </si>
  <si>
    <t>01-TWO FAILED-CORN-2020</t>
  </si>
  <si>
    <t>POG-06-2020</t>
  </si>
  <si>
    <t>np 2020-24 (GAS)</t>
  </si>
  <si>
    <t>2020-CIVIL WORKS-13</t>
  </si>
  <si>
    <t>RFQ NO. 2020-08-03-(9068)</t>
  </si>
  <si>
    <t>LTO R4A-SPS-2020-008</t>
  </si>
  <si>
    <t>BOD20-131</t>
  </si>
  <si>
    <t>INF-SFO-10-20</t>
  </si>
  <si>
    <t>RFQ-2020-08-006</t>
  </si>
  <si>
    <t>2020-07-454</t>
  </si>
  <si>
    <t>2020-08-04e</t>
  </si>
  <si>
    <t>DA RFO-1-2020-GOODS-039-R</t>
  </si>
  <si>
    <t>RFQ-201-2020</t>
  </si>
  <si>
    <t>062</t>
  </si>
  <si>
    <t>RFQ No. 20-08-201</t>
  </si>
  <si>
    <t>20-07-000100</t>
  </si>
  <si>
    <t>2020-082-19-4</t>
  </si>
  <si>
    <t>60</t>
  </si>
  <si>
    <t>SVP No. 2020-035-A</t>
  </si>
  <si>
    <t>20-07-000101</t>
  </si>
  <si>
    <t>ITB 2020-099</t>
  </si>
  <si>
    <t>2020-08-517</t>
  </si>
  <si>
    <t>2020- PB-034</t>
  </si>
  <si>
    <t>CNSC2NDSURVEILANCE2020</t>
  </si>
  <si>
    <t>PR No. 2007-174</t>
  </si>
  <si>
    <t>20GCH0014</t>
  </si>
  <si>
    <t>CW20-08-040</t>
  </si>
  <si>
    <t>RFQ No. 2020-07-047</t>
  </si>
  <si>
    <t>PB-20-16</t>
  </si>
  <si>
    <t>2020-091</t>
  </si>
  <si>
    <t>POG-05-2020</t>
  </si>
  <si>
    <t>DOJ ITB 2020-08-008</t>
  </si>
  <si>
    <t>P.R NO 0718 SERIES 2020</t>
  </si>
  <si>
    <t>GOODS 2020- 07</t>
  </si>
  <si>
    <t>2020-PB-035</t>
  </si>
  <si>
    <t>ITB 2020-096</t>
  </si>
  <si>
    <t>Managa 2020-08-003</t>
  </si>
  <si>
    <t>LTO R4A-SPS-2020-009</t>
  </si>
  <si>
    <t>RFQ-2020-08-007</t>
  </si>
  <si>
    <t>2020-053R</t>
  </si>
  <si>
    <t>8-001</t>
  </si>
  <si>
    <t>09-G-2020 (SEF)</t>
  </si>
  <si>
    <t>BAS-2020-02</t>
  </si>
  <si>
    <t>Managa 2020-08-002</t>
  </si>
  <si>
    <t>20-219</t>
  </si>
  <si>
    <t>010-G-2020 (SEF)</t>
  </si>
  <si>
    <t>SJ-20-213</t>
  </si>
  <si>
    <t>B2020-099-A</t>
  </si>
  <si>
    <t>20-07-0000104</t>
  </si>
  <si>
    <t>RSQ 01-2020-08-044</t>
  </si>
  <si>
    <t>SVP-2020-08-158</t>
  </si>
  <si>
    <t>2020-05-274</t>
  </si>
  <si>
    <t>CW20-08-041</t>
  </si>
  <si>
    <t>2020-PB-036</t>
  </si>
  <si>
    <t>2020-073</t>
  </si>
  <si>
    <t>2020-PBDD-CRF-UARB-08-04-055</t>
  </si>
  <si>
    <t>BAC-PG-00178-20</t>
  </si>
  <si>
    <t>2020-PB-037</t>
  </si>
  <si>
    <t>2020-GOODS-043</t>
  </si>
  <si>
    <t>BAC 1-2020-08-076</t>
  </si>
  <si>
    <t>RFQ-A-024-2020</t>
  </si>
  <si>
    <t>SJ-20-214</t>
  </si>
  <si>
    <t>2020-GOODS-044</t>
  </si>
  <si>
    <t xml:space="preserve">20CB-GSC-490	PURCHASE OF VARIOUS OFFICE EQUIPMENT </t>
  </si>
  <si>
    <t>2020-08-017</t>
  </si>
  <si>
    <t>20-07-000106</t>
  </si>
  <si>
    <t>PR No. 2008-179</t>
  </si>
  <si>
    <t>APP-004B-SVP-2020</t>
  </si>
  <si>
    <t>12-2020</t>
  </si>
  <si>
    <t>upi_2020_019</t>
  </si>
  <si>
    <t>2020-258</t>
  </si>
  <si>
    <t>TAL-08-20-2020</t>
  </si>
  <si>
    <t>RFQ-2020-08-008</t>
  </si>
  <si>
    <t>DITB # 001-2020</t>
  </si>
  <si>
    <t>SANTIAGO, I. SUR 20-069</t>
  </si>
  <si>
    <t>SANTIAGO, I. SUR 20-068</t>
  </si>
  <si>
    <t>2020-259</t>
  </si>
  <si>
    <t>CW20-08-042</t>
  </si>
  <si>
    <t>20-07-000108</t>
  </si>
  <si>
    <t>02-TWO FAILED-HVCDP-2020</t>
  </si>
  <si>
    <t>20CB-GSC-492	PURCHASE OF TARPAULIN FOR BPLD (RE-BI</t>
  </si>
  <si>
    <t>2020-PBDD-CRFPSP-CDARBC-08-04-057</t>
  </si>
  <si>
    <t>202008040007</t>
  </si>
  <si>
    <t>2020225</t>
  </si>
  <si>
    <t>20-220</t>
  </si>
  <si>
    <t>034-2020</t>
  </si>
  <si>
    <t>epslingayen2020-86</t>
  </si>
  <si>
    <t>N20-006</t>
  </si>
  <si>
    <t>2020-08-053</t>
  </si>
  <si>
    <t>20CB-GSC-491	REPAIR OF MOTOR VEHICLE FOR CHO (RE-B</t>
  </si>
  <si>
    <t>2020-509</t>
  </si>
  <si>
    <t>ITB 2020-004</t>
  </si>
  <si>
    <t>2020-ODY-08-251</t>
  </si>
  <si>
    <t>N20-007</t>
  </si>
  <si>
    <t>SANTIAGO, I. SUR 20-070</t>
  </si>
  <si>
    <t>20-07-000113</t>
  </si>
  <si>
    <t>TALB-08-09-2020</t>
  </si>
  <si>
    <t>N20-009</t>
  </si>
  <si>
    <t>2020-08-2430</t>
  </si>
  <si>
    <t>SVP20-634</t>
  </si>
  <si>
    <t>FB20-07-011COR-Supply and Delivery of Printer Cons</t>
  </si>
  <si>
    <t>2020-08-0165</t>
  </si>
  <si>
    <t>P.R. No. 20-07-220</t>
  </si>
  <si>
    <t>2020-01-0081</t>
  </si>
  <si>
    <t>2020-07-428</t>
  </si>
  <si>
    <t>2020-ODY-08-254</t>
  </si>
  <si>
    <t>RFQ-2020-08-009</t>
  </si>
  <si>
    <t>B-2020-032</t>
  </si>
  <si>
    <t>SANTIAGO, I. SUR 20-072</t>
  </si>
  <si>
    <t>CW20-08-043</t>
  </si>
  <si>
    <t>2020-23</t>
  </si>
  <si>
    <t>2020-PB-038</t>
  </si>
  <si>
    <t>20CB-GSC-502	PURCHASE OF GASOLINE FOR CITY VET.(RE</t>
  </si>
  <si>
    <t>2020-ODY-08-252</t>
  </si>
  <si>
    <t>B-118-2020</t>
  </si>
  <si>
    <t>RFQ 2020-08-011</t>
  </si>
  <si>
    <t>SVP20-637</t>
  </si>
  <si>
    <t>upi_2020_020</t>
  </si>
  <si>
    <t>2020-08-391-14</t>
  </si>
  <si>
    <t>2020-08-0166</t>
  </si>
  <si>
    <t>ITB 2020-022</t>
  </si>
  <si>
    <t>BAC 08/04/20-01</t>
  </si>
  <si>
    <t>2020-GOODS-016-01-0805</t>
  </si>
  <si>
    <t>SANTIAGO, I. SUR 20-073</t>
  </si>
  <si>
    <t>2020-01-0082</t>
  </si>
  <si>
    <t>CW20-08-044</t>
  </si>
  <si>
    <t>LF 2020-032</t>
  </si>
  <si>
    <t>20-07-0373</t>
  </si>
  <si>
    <t>CW20-08-045</t>
  </si>
  <si>
    <t>itb 2020-42</t>
  </si>
  <si>
    <t>DIN-G-08-04-2020</t>
  </si>
  <si>
    <t>2020-08-0167</t>
  </si>
  <si>
    <t>itb 2020-41</t>
  </si>
  <si>
    <t>2020-PB-039</t>
  </si>
  <si>
    <t>2020-ODY-08-255</t>
  </si>
  <si>
    <t>2020-07-0566</t>
  </si>
  <si>
    <t>2020-06-718</t>
  </si>
  <si>
    <t>ITB NO. GOP/20-DSWD-044</t>
  </si>
  <si>
    <t>2020-08-001 GD</t>
  </si>
  <si>
    <t>2020226</t>
  </si>
  <si>
    <t>CW20-08-046</t>
  </si>
  <si>
    <t>PO020-07-0328</t>
  </si>
  <si>
    <t>202007060</t>
  </si>
  <si>
    <t>20GLC0008</t>
  </si>
  <si>
    <t>P.R NO 0734 SERIES 2020</t>
  </si>
  <si>
    <t>2020-07- 899</t>
  </si>
  <si>
    <t>TAL-08-23-2020</t>
  </si>
  <si>
    <t>PCMT 2020 - 075</t>
  </si>
  <si>
    <t>penrneg2020-ip15</t>
  </si>
  <si>
    <t>08-061-20</t>
  </si>
  <si>
    <t>2020-07-890</t>
  </si>
  <si>
    <t>2020-200-018</t>
  </si>
  <si>
    <t>087-20</t>
  </si>
  <si>
    <t>2020-RP-35</t>
  </si>
  <si>
    <t>ITB No. 2020-2D ECHO-108</t>
  </si>
  <si>
    <t>itb 2020-43</t>
  </si>
  <si>
    <t>TAL-08-22-2020</t>
  </si>
  <si>
    <t>20-07-141</t>
  </si>
  <si>
    <t>2020-07-30-200</t>
  </si>
  <si>
    <t>GOODS-2020-08-16</t>
  </si>
  <si>
    <t>RFQ-16-2020</t>
  </si>
  <si>
    <t>202008040008</t>
  </si>
  <si>
    <t>SANTIAGO, I. SUR 20-074</t>
  </si>
  <si>
    <t>20LB0324</t>
  </si>
  <si>
    <t>TAL-08-21-2020</t>
  </si>
  <si>
    <t>B-CW-2020-036</t>
  </si>
  <si>
    <t>BSJ2020-02</t>
  </si>
  <si>
    <t>20LB0316</t>
  </si>
  <si>
    <t>B-CW-2020-035</t>
  </si>
  <si>
    <t>20LB0323</t>
  </si>
  <si>
    <t>PCADG-08-4-2020</t>
  </si>
  <si>
    <t>IB No. 2020-071/MACA</t>
  </si>
  <si>
    <t>PEO-2020-0197 PR2020-0575</t>
  </si>
  <si>
    <t>2020-3Q042</t>
  </si>
  <si>
    <t>BEMO-2020-0196 PR2020-0563</t>
  </si>
  <si>
    <t>BSJ2020-01</t>
  </si>
  <si>
    <t>GOODS-2020-170</t>
  </si>
  <si>
    <t>itb 2020-44</t>
  </si>
  <si>
    <t>PCMT 2020 - 076</t>
  </si>
  <si>
    <t>SUPPLY, DELIVERY, INSTALLATION, PROGRAMMING, TESTI</t>
  </si>
  <si>
    <t>14-2020</t>
  </si>
  <si>
    <t>2020-07-052</t>
  </si>
  <si>
    <t>SVP-2020-08-159</t>
  </si>
  <si>
    <t>ITB 08-001-20</t>
  </si>
  <si>
    <t>sjom-infra-0015-2020</t>
  </si>
  <si>
    <t>SDOCoM-PR#20-07-031 (Reproduction of Grade 4 Modul</t>
  </si>
  <si>
    <t>2020-3Q043</t>
  </si>
  <si>
    <t>2020-MBP-Phase II</t>
  </si>
  <si>
    <t>B-CW-2020-034</t>
  </si>
  <si>
    <t>20LB0301</t>
  </si>
  <si>
    <t>B-CW-2020-037</t>
  </si>
  <si>
    <t>2020-08-1</t>
  </si>
  <si>
    <t>20CG261</t>
  </si>
  <si>
    <t>20CG0260</t>
  </si>
  <si>
    <t>20CG0259</t>
  </si>
  <si>
    <t>sjom-goods-0018-2020</t>
  </si>
  <si>
    <t>2020-08CW-028</t>
  </si>
  <si>
    <t>sjom-goods-0017-2020</t>
  </si>
  <si>
    <t>285</t>
  </si>
  <si>
    <t>20CG0263</t>
  </si>
  <si>
    <t>20EA0058</t>
  </si>
  <si>
    <t>20LB0296</t>
  </si>
  <si>
    <t>BEMO-2020-0182 Rebidding</t>
  </si>
  <si>
    <t>2020-3Q044</t>
  </si>
  <si>
    <t>ITB-2020-076</t>
  </si>
  <si>
    <t>RFQ No. 1064-20</t>
  </si>
  <si>
    <t>ITB-2020-077</t>
  </si>
  <si>
    <t>20EA0057</t>
  </si>
  <si>
    <t>0006</t>
  </si>
  <si>
    <t>CB(B)-20-031(CMO)</t>
  </si>
  <si>
    <t>284</t>
  </si>
  <si>
    <t>20CG0262</t>
  </si>
  <si>
    <t>INFRA-001-2020</t>
  </si>
  <si>
    <t>20CG0266</t>
  </si>
  <si>
    <t>2020-71</t>
  </si>
  <si>
    <t>20CW-GSC-024</t>
  </si>
  <si>
    <t>AB 2020-09</t>
  </si>
  <si>
    <t>itb 2020-45</t>
  </si>
  <si>
    <t>PR-20-06-0146</t>
  </si>
  <si>
    <t>017-2020</t>
  </si>
  <si>
    <t>MHO-2020-71</t>
  </si>
  <si>
    <t>ITB-2020-089</t>
  </si>
  <si>
    <t>lam-bac-260-020</t>
  </si>
  <si>
    <t>GDS-2020-13</t>
  </si>
  <si>
    <t>doc1</t>
  </si>
  <si>
    <t>Supply and Delivery of Brass Water Meter (Re-biddi</t>
  </si>
  <si>
    <t>ITB No. 2020-021</t>
  </si>
  <si>
    <t>100-20-07-066</t>
  </si>
  <si>
    <t>PB INFRA 20-071</t>
  </si>
  <si>
    <t>INF 2020-09, INF 2020-10</t>
  </si>
  <si>
    <t>20M00188 (RE-BID)</t>
  </si>
  <si>
    <t>20-21</t>
  </si>
  <si>
    <t>PB INFRA 20-072</t>
  </si>
  <si>
    <t>SPC PR NO. 1000032848</t>
  </si>
  <si>
    <t>ITB No. 2020-020</t>
  </si>
  <si>
    <t>100-20-07-063</t>
  </si>
  <si>
    <t>20M00187 (RE-BID)</t>
  </si>
  <si>
    <t>2020-093</t>
  </si>
  <si>
    <t>RFQ No. 1051-20</t>
  </si>
  <si>
    <t>Malaguicay-2020-08-001</t>
  </si>
  <si>
    <t>RFQNo. 2020 - Printing of Modules Week 1 and 2</t>
  </si>
  <si>
    <t>300-20-07-006</t>
  </si>
  <si>
    <t>RFQ No. 1062-20</t>
  </si>
  <si>
    <t>2020-092</t>
  </si>
  <si>
    <t>2020-69</t>
  </si>
  <si>
    <t>8472983</t>
  </si>
  <si>
    <t>PB-202004-2</t>
  </si>
  <si>
    <t>2020-08-04-201</t>
  </si>
  <si>
    <t>ITB No. 2020-023</t>
  </si>
  <si>
    <t>20-06-00422</t>
  </si>
  <si>
    <t>20CW-GSC-023</t>
  </si>
  <si>
    <t>20-03-00235, 20-03-00237, 20-03-00242, 20-03-00243</t>
  </si>
  <si>
    <t>ITB No. 2020-08-02</t>
  </si>
  <si>
    <t>GDS-2020-14</t>
  </si>
  <si>
    <t>ITB No. 2020-022</t>
  </si>
  <si>
    <t>MZDS-BAC-CW-2020-09</t>
  </si>
  <si>
    <t>ITB No. 2020-08-01</t>
  </si>
  <si>
    <t>RFQ No. 1063-20</t>
  </si>
  <si>
    <t>20-07-00451</t>
  </si>
  <si>
    <t>20-06-00423</t>
  </si>
  <si>
    <t>PN 2020-20</t>
  </si>
  <si>
    <t>DPWH-SK2DEO-20MH0112</t>
  </si>
  <si>
    <t>LUC-2020-02</t>
  </si>
  <si>
    <t>PB-20-431</t>
  </si>
  <si>
    <t>ITB No. 2020-08-03</t>
  </si>
  <si>
    <t>ITB-GS-20200609-01(2)</t>
  </si>
  <si>
    <t>PB-20-432</t>
  </si>
  <si>
    <t>2020-07-0173</t>
  </si>
  <si>
    <t>PB-20-429</t>
  </si>
  <si>
    <t>VILLACAN-2020-06</t>
  </si>
  <si>
    <t>DSWD NNP NO. 20-GOP-SVC-003 - “HIRING OF RISK MANA</t>
  </si>
  <si>
    <t>MGPIN 2020-019</t>
  </si>
  <si>
    <t>PB-20-430</t>
  </si>
  <si>
    <t>2020-07-0172</t>
  </si>
  <si>
    <t>PB-20-428</t>
  </si>
  <si>
    <t>PB-20-389</t>
  </si>
  <si>
    <t>2020-08-04-202</t>
  </si>
  <si>
    <t>CAL-2020-04</t>
  </si>
  <si>
    <t>08-05-2020-02</t>
  </si>
  <si>
    <t>20CG0264</t>
  </si>
  <si>
    <t>20CG0265</t>
  </si>
  <si>
    <t>INF 2020-07, INF 2020-08</t>
  </si>
  <si>
    <t>PGSO-2020-0194 PR2020-0561</t>
  </si>
  <si>
    <t>20-07-029</t>
  </si>
  <si>
    <t>OPA-FISHERIES-2020-0193 PR2020-0551</t>
  </si>
  <si>
    <t>GOODS-2020-08-019</t>
  </si>
  <si>
    <t>100-2020-07-915</t>
  </si>
  <si>
    <t>BSU - PROJECT NO. 2020- 286</t>
  </si>
  <si>
    <t>MGPIN 2020-021</t>
  </si>
  <si>
    <t>2020-08-25 (15)</t>
  </si>
  <si>
    <t>2020-08-25 (16)</t>
  </si>
  <si>
    <t>MAFAR-08-120-2020</t>
  </si>
  <si>
    <t>2020-08-2</t>
  </si>
  <si>
    <t>MAFAR-08-119-2020</t>
  </si>
  <si>
    <t>Goods2020-040</t>
  </si>
  <si>
    <t>2020-08-25 (14)</t>
  </si>
  <si>
    <t>NFA-RBACXII-2020-H-065</t>
  </si>
  <si>
    <t>MGPIN 2020-020</t>
  </si>
  <si>
    <t>Barangay San Rafael 2020-08-00</t>
  </si>
  <si>
    <t>08-05-2020-03</t>
  </si>
  <si>
    <t>BSU - PROJECT NO. 2020- 285</t>
  </si>
  <si>
    <t>PB-20-436</t>
  </si>
  <si>
    <t>RFQ No. 2020-184</t>
  </si>
  <si>
    <t>PEO-2020-0195 PR2020-0562</t>
  </si>
  <si>
    <t>PB-20-434</t>
  </si>
  <si>
    <t>20-07-143</t>
  </si>
  <si>
    <t>20-08073</t>
  </si>
  <si>
    <t>CAL-2020-03</t>
  </si>
  <si>
    <t>2020-07-935</t>
  </si>
  <si>
    <t>20-07-142</t>
  </si>
  <si>
    <t>TALB-08-10-2020</t>
  </si>
  <si>
    <t>20-08-SO157</t>
  </si>
  <si>
    <t>PB-20-435</t>
  </si>
  <si>
    <t>2020-G-114</t>
  </si>
  <si>
    <t>BAC Resolution 07-004A S.2020</t>
  </si>
  <si>
    <t>MAFAR-08-118-2020</t>
  </si>
  <si>
    <t>sjom-infra-0016-2020</t>
  </si>
  <si>
    <t>PB-20-433</t>
  </si>
  <si>
    <t>BAC Resolution 07-004 S. 2020</t>
  </si>
  <si>
    <t>2020-Barangay Mercedes-003</t>
  </si>
  <si>
    <t>2020-G-115</t>
  </si>
  <si>
    <t>CONTRACT ID #: 19-10-195</t>
  </si>
  <si>
    <t>RF-2020-001</t>
  </si>
  <si>
    <t>100-2020-02-308</t>
  </si>
  <si>
    <t>Goods 2020-013</t>
  </si>
  <si>
    <t>20CSMC04</t>
  </si>
  <si>
    <t>CRN-PB-019-GOODS-2020</t>
  </si>
  <si>
    <t>PB-202005-2</t>
  </si>
  <si>
    <t>100-2020-07-849</t>
  </si>
  <si>
    <t>ADS-1355-20</t>
  </si>
  <si>
    <t>ADS-1354-20</t>
  </si>
  <si>
    <t>MAFAR-08-121-2020</t>
  </si>
  <si>
    <t>B-2020-029</t>
  </si>
  <si>
    <t>B-2020-030</t>
  </si>
  <si>
    <t>100-2020-01-129</t>
  </si>
  <si>
    <t>GOODS-2020-08-020</t>
  </si>
  <si>
    <t>ITB No. 107-Brgy-2020</t>
  </si>
  <si>
    <t>08-05-2020-04</t>
  </si>
  <si>
    <t>Goods 2020-012</t>
  </si>
  <si>
    <t>ITB No. 105-Brgy-2020</t>
  </si>
  <si>
    <t>ITB-080420-3</t>
  </si>
  <si>
    <t>ITB No. 106-Brgy-2020</t>
  </si>
  <si>
    <t>G-2020-069</t>
  </si>
  <si>
    <t>B Package 2020-01</t>
  </si>
  <si>
    <t>ITB No. 104-Brgy-2020</t>
  </si>
  <si>
    <t>G-2020-068</t>
  </si>
  <si>
    <t>G-2020-067</t>
  </si>
  <si>
    <t>I2020-005</t>
  </si>
  <si>
    <t>PURCHASE REQUEST NO. 101-2020-07-170</t>
  </si>
  <si>
    <t>B-2020-028</t>
  </si>
  <si>
    <t>G-2020-066</t>
  </si>
  <si>
    <t>mnto 20 0014</t>
  </si>
  <si>
    <t>ITB No. 0103-Infra-2020</t>
  </si>
  <si>
    <t>cgb2020-293</t>
  </si>
  <si>
    <t>MG-A7M20-115</t>
  </si>
  <si>
    <t>cgb2020-292</t>
  </si>
  <si>
    <t>cgb2020-291</t>
  </si>
  <si>
    <t>cgb2020-288</t>
  </si>
  <si>
    <t>cgb2020-290</t>
  </si>
  <si>
    <t>jayon-08-01-2020</t>
  </si>
  <si>
    <t>INFRA2020-11</t>
  </si>
  <si>
    <t>G-2020-065</t>
  </si>
  <si>
    <t>Various PR's</t>
  </si>
  <si>
    <t>cgb2020-289</t>
  </si>
  <si>
    <t>cgb2020-286</t>
  </si>
  <si>
    <t>PR 1-20-07-0887 - AGRI</t>
  </si>
  <si>
    <t>PR 1-20-07-0869 - CED</t>
  </si>
  <si>
    <t>PR 1-20-07-0867 - CHO</t>
  </si>
  <si>
    <t>PR 1-20-07-0846 - CHO</t>
  </si>
  <si>
    <t>PR 1-20-07-0842 - TOURISM (REBIDDING)</t>
  </si>
  <si>
    <t>2020-08-450</t>
  </si>
  <si>
    <t>INFRA2020-10</t>
  </si>
  <si>
    <t>PR 1-20-07-0840 - AGRI (REBIDDING)</t>
  </si>
  <si>
    <t>PR 1-20-07-0811 - CMO (CLDO) (REBIDDING)</t>
  </si>
  <si>
    <t>PR 1034-20</t>
  </si>
  <si>
    <t>PNUNL GD 2020-08-04</t>
  </si>
  <si>
    <t>PR 1-20-07-0845 - CHO</t>
  </si>
  <si>
    <t>cgb2020-287</t>
  </si>
  <si>
    <t>Goods-14-2020</t>
  </si>
  <si>
    <t>2020-2591</t>
  </si>
  <si>
    <t>cgb2020-297</t>
  </si>
  <si>
    <t>cgb2020-295</t>
  </si>
  <si>
    <t>PB-2020-08-048</t>
  </si>
  <si>
    <t>Goods-13-2020</t>
  </si>
  <si>
    <t>PR 1-20-07-0824 - CED</t>
  </si>
  <si>
    <t>PR 1169-20</t>
  </si>
  <si>
    <t>cgb2020-294</t>
  </si>
  <si>
    <t>PR 1162-20</t>
  </si>
  <si>
    <t>cgb2020-296</t>
  </si>
  <si>
    <t>PR#2020-07-145</t>
  </si>
  <si>
    <t>INFRA2020-09</t>
  </si>
  <si>
    <t>2020-02-0143</t>
  </si>
  <si>
    <t>P-2020-16</t>
  </si>
  <si>
    <t>P-2020-15</t>
  </si>
  <si>
    <t>PR 1-20-07-0825 - CED (REBIDDING)</t>
  </si>
  <si>
    <t>B-010-2020-A</t>
  </si>
  <si>
    <t>B-011-2020</t>
  </si>
  <si>
    <t>2020-08-118</t>
  </si>
  <si>
    <t>ITB No. 20-08-17</t>
  </si>
  <si>
    <t>BAC-PG-00176-20</t>
  </si>
  <si>
    <t>cgb2020-298</t>
  </si>
  <si>
    <t>BAC-PG-00174-20</t>
  </si>
  <si>
    <t>BAC-PG-00172-20</t>
  </si>
  <si>
    <t>B-010-2020-C</t>
  </si>
  <si>
    <t>B-010-2020-B</t>
  </si>
  <si>
    <t>BAC-PG-00171-20</t>
  </si>
  <si>
    <t>PR 1-20-07-0916 - CDRRMO</t>
  </si>
  <si>
    <t>BAC-PG-00175-20</t>
  </si>
  <si>
    <t>B-015-2020</t>
  </si>
  <si>
    <t>PR 9-20-06-0794 - CITY HOSPITAL (REBIDDING)</t>
  </si>
  <si>
    <t>CRN-PB-021-GOODS-2020</t>
  </si>
  <si>
    <t>2020-BLU-CO-08-02</t>
  </si>
  <si>
    <t>2020-BLU-LDRRMF-07-01</t>
  </si>
  <si>
    <t>epslingayen2020-81</t>
  </si>
  <si>
    <t>08032020</t>
  </si>
  <si>
    <t>PR 1-20-07-0910 - AGRI</t>
  </si>
  <si>
    <t>2020-127</t>
  </si>
  <si>
    <t>PR 1-20-07-0893 - CMO</t>
  </si>
  <si>
    <t>BAC-PG-00173-20</t>
  </si>
  <si>
    <t>KC-2020-07-0300</t>
  </si>
  <si>
    <t>cgb2020-299</t>
  </si>
  <si>
    <t>epslingayen2020-82</t>
  </si>
  <si>
    <t>MG-A7M20-100</t>
  </si>
  <si>
    <t>cgb2020-300</t>
  </si>
  <si>
    <t>MG-A7M20-106</t>
  </si>
  <si>
    <t>PR 1-20-07-0892 - AGRI</t>
  </si>
  <si>
    <t>2020-07-0827 TDG</t>
  </si>
  <si>
    <t>2020-07-0835 TDG</t>
  </si>
  <si>
    <t>MG-A7M20-099</t>
  </si>
  <si>
    <t>2020-BLU-A20%DF-08-02</t>
  </si>
  <si>
    <t>MG-A7C20-033</t>
  </si>
  <si>
    <t>cgb2020-308</t>
  </si>
  <si>
    <t>20-265</t>
  </si>
  <si>
    <t>RFQ-080320</t>
  </si>
  <si>
    <t>2020-08-378-01</t>
  </si>
  <si>
    <t>20-263</t>
  </si>
  <si>
    <t>cgb2020-306</t>
  </si>
  <si>
    <t>2020-BLU-A20%DF-08-01</t>
  </si>
  <si>
    <t>cgb2020-305</t>
  </si>
  <si>
    <t>cgb2020-307</t>
  </si>
  <si>
    <t>cgb2020-304</t>
  </si>
  <si>
    <t>cgb2020-303</t>
  </si>
  <si>
    <t>01-20 na</t>
  </si>
  <si>
    <t>0020-0286-1313-2020</t>
  </si>
  <si>
    <t>cgb2020-302</t>
  </si>
  <si>
    <t>BLGU-PBD-Anibong-2020-33.1</t>
  </si>
  <si>
    <t>BSU Project No. 2020-281</t>
  </si>
  <si>
    <t>2020-07-0826 TDG</t>
  </si>
  <si>
    <t>cgb2020-301</t>
  </si>
  <si>
    <t>MG-A7O20-012</t>
  </si>
  <si>
    <t>BRGY 012-2020</t>
  </si>
  <si>
    <t>POW-1041-2020-PCO-013B</t>
  </si>
  <si>
    <t>A-07232020-10</t>
  </si>
  <si>
    <t>2020-07-0828 TGD</t>
  </si>
  <si>
    <t>025-ECE20</t>
  </si>
  <si>
    <t>A-02282020-01</t>
  </si>
  <si>
    <t>PGL 20-100</t>
  </si>
  <si>
    <t>5020301000-871-20</t>
  </si>
  <si>
    <t>20-264</t>
  </si>
  <si>
    <t>08032020-2</t>
  </si>
  <si>
    <t>07282020</t>
  </si>
  <si>
    <t>5020399000-872-20</t>
  </si>
  <si>
    <t>20MADD0032</t>
  </si>
  <si>
    <t>20MADD0031</t>
  </si>
  <si>
    <t>PGL 20-099</t>
  </si>
  <si>
    <t>20MADD0030</t>
  </si>
  <si>
    <t>2020-ODY-08-253</t>
  </si>
  <si>
    <t>08032020-1</t>
  </si>
  <si>
    <t>ITB-080420-2</t>
  </si>
  <si>
    <t>RFQ 2020-08-010</t>
  </si>
  <si>
    <t>ITB-080420-1</t>
  </si>
  <si>
    <t>SANTIAGO, I. SUR 20-071</t>
  </si>
  <si>
    <t>20MADD0033</t>
  </si>
  <si>
    <t>G-2020-040</t>
  </si>
  <si>
    <t>PR NO. 100-8811-20-04-0402</t>
  </si>
  <si>
    <t>PRN 2020-07-025</t>
  </si>
  <si>
    <t>0020-0226-1160-2020</t>
  </si>
  <si>
    <t>2020-08-380-03</t>
  </si>
  <si>
    <t>02-20 na</t>
  </si>
  <si>
    <t>PR No. 2020-07-03</t>
  </si>
  <si>
    <t>PR#5</t>
  </si>
  <si>
    <t>STC-INFRA-007-2020</t>
  </si>
  <si>
    <t>2020-08-379-02</t>
  </si>
  <si>
    <t>DARFO2.CVRC.115.REC.2020-07-978.00</t>
  </si>
  <si>
    <t>2020-ANT-GOODS-0115</t>
  </si>
  <si>
    <t>Goods TF 03-2020</t>
  </si>
  <si>
    <t>LGU LAUREL 20-08-001</t>
  </si>
  <si>
    <t>100-1917-20-289</t>
  </si>
  <si>
    <t>0020-0277-1287D2020</t>
  </si>
  <si>
    <t>2007-0942</t>
  </si>
  <si>
    <t>NVQSD 2020-03-058</t>
  </si>
  <si>
    <t>Goods TF 05-2020</t>
  </si>
  <si>
    <t>2007-0947</t>
  </si>
  <si>
    <t>BGHMCPB-2020-20-001</t>
  </si>
  <si>
    <t>101-20-08-01</t>
  </si>
  <si>
    <t>159</t>
  </si>
  <si>
    <t>ITB 20-093</t>
  </si>
  <si>
    <t>ITB 20-092</t>
  </si>
  <si>
    <t>2007-0969</t>
  </si>
  <si>
    <t>ITB 20-091</t>
  </si>
  <si>
    <t>2020-GOODS-10</t>
  </si>
  <si>
    <t>pontevedra-20-G023</t>
  </si>
  <si>
    <t>01-05-2020-07-787</t>
  </si>
  <si>
    <t>CRN NO. 2020-002</t>
  </si>
  <si>
    <t>Brgy. Canroma-20-G01</t>
  </si>
  <si>
    <t>20-07-097</t>
  </si>
  <si>
    <t>CY 2020-20% DF (Continuing Appropriation) G-01-062</t>
  </si>
  <si>
    <t>INFRA-2020-237</t>
  </si>
  <si>
    <t>2020-Barangay Cabugawan-02</t>
  </si>
  <si>
    <t>2020-118</t>
  </si>
  <si>
    <t>Public Bidding No. 2019-019</t>
  </si>
  <si>
    <t>0031-0003-1219-2020</t>
  </si>
  <si>
    <t>PR#20-07-0409</t>
  </si>
  <si>
    <t>0020-0201-1091.2020</t>
  </si>
  <si>
    <t>0015-0036-1229.2020</t>
  </si>
  <si>
    <t>INFRA-NCB-NVIMO-38R-20</t>
  </si>
  <si>
    <t>2020-08-381-04</t>
  </si>
  <si>
    <t>2020-PB-06-02</t>
  </si>
  <si>
    <t>2020-GOODS-08-017</t>
  </si>
  <si>
    <t>20CSK00003</t>
  </si>
  <si>
    <t>INFRA-2020-238</t>
  </si>
  <si>
    <t>PBgoods023-2020</t>
  </si>
  <si>
    <t>SN-2020-08-014</t>
  </si>
  <si>
    <t>LGU-ROX-CWC-13-2020</t>
  </si>
  <si>
    <t>2020-24B</t>
  </si>
  <si>
    <t>Supply and Delivery of Various Construction Materi</t>
  </si>
  <si>
    <t>Goods TF 08-2020</t>
  </si>
  <si>
    <t>20CSK00002</t>
  </si>
  <si>
    <t>094-2020</t>
  </si>
  <si>
    <t>20-516</t>
  </si>
  <si>
    <t>DARFO2.CVRC.115.REC.2020-07-979.00</t>
  </si>
  <si>
    <t>BA 2020-08</t>
  </si>
  <si>
    <t>BSU Project No. 2020-282</t>
  </si>
  <si>
    <t>AGINF2020-0804A</t>
  </si>
  <si>
    <t>2020-7</t>
  </si>
  <si>
    <t>PBG-2020-07-22</t>
  </si>
  <si>
    <t>2020-07-53</t>
  </si>
  <si>
    <t>2020-25B</t>
  </si>
  <si>
    <t>BALZN9-2018</t>
  </si>
  <si>
    <t>ITB 20-090</t>
  </si>
  <si>
    <t>2007-0932</t>
  </si>
  <si>
    <t>20GG0063-G</t>
  </si>
  <si>
    <t>G-B012-2020</t>
  </si>
  <si>
    <t>N20-008</t>
  </si>
  <si>
    <t>2020-383</t>
  </si>
  <si>
    <t>PR#20-07-0453</t>
  </si>
  <si>
    <t>RFQ 2020-08-009</t>
  </si>
  <si>
    <t>20CSK00005</t>
  </si>
  <si>
    <t>SN-2020-08-015</t>
  </si>
  <si>
    <t>20-07-000102</t>
  </si>
  <si>
    <t>PR No. 100-20-07-209</t>
  </si>
  <si>
    <t>20PK0073</t>
  </si>
  <si>
    <t>BLGU-PBD-Bulala-2020-39</t>
  </si>
  <si>
    <t>PR No. 2020-08-018</t>
  </si>
  <si>
    <t>100-9998-20-428</t>
  </si>
  <si>
    <t>SEF-I-67-2020</t>
  </si>
  <si>
    <t>20-020</t>
  </si>
  <si>
    <t>TLU-010720G</t>
  </si>
  <si>
    <t>20CSK00009</t>
  </si>
  <si>
    <t>2020-03-08-01</t>
  </si>
  <si>
    <t>097-2020</t>
  </si>
  <si>
    <t>20CSK00004</t>
  </si>
  <si>
    <t>ITB-2020-08-058</t>
  </si>
  <si>
    <t>234154</t>
  </si>
  <si>
    <t>20CSK00008</t>
  </si>
  <si>
    <t>20CSK00007</t>
  </si>
  <si>
    <t>0302020</t>
  </si>
  <si>
    <t>096-2020</t>
  </si>
  <si>
    <t>100-1011-20-440</t>
  </si>
  <si>
    <t>20-07-231</t>
  </si>
  <si>
    <t>GOODS-C-UCRIS PIP/PIS-01-2020</t>
  </si>
  <si>
    <t>BSU Project No. 2020-283</t>
  </si>
  <si>
    <t>BUCAF-2020-033</t>
  </si>
  <si>
    <t>SJ-20-201</t>
  </si>
  <si>
    <t>20CSK00006</t>
  </si>
  <si>
    <t>SJ-20-202</t>
  </si>
  <si>
    <t>LGU-ROX-CWC-14-2020</t>
  </si>
  <si>
    <t>STC-GOOD- NO. 2020-0054</t>
  </si>
  <si>
    <t>HILONGOS 2020-228</t>
  </si>
  <si>
    <t>2020-08-035</t>
  </si>
  <si>
    <t>PBgoos025-2020</t>
  </si>
  <si>
    <t>BIMO-GOODS-SVP2020-SP-P4</t>
  </si>
  <si>
    <t>20CSK00012</t>
  </si>
  <si>
    <t>SN-2020-08-016</t>
  </si>
  <si>
    <t>20CSK00011</t>
  </si>
  <si>
    <t>mnto 20 0015</t>
  </si>
  <si>
    <t>2019-07-0001</t>
  </si>
  <si>
    <t>20CSK00010</t>
  </si>
  <si>
    <t>2020-2447</t>
  </si>
  <si>
    <t>RFQ  097-2020 MGB XII</t>
  </si>
  <si>
    <t>20GG0058-G</t>
  </si>
  <si>
    <t>2019-47a</t>
  </si>
  <si>
    <t>LSB-2020-01</t>
  </si>
  <si>
    <t>HILONGOS 2020-229</t>
  </si>
  <si>
    <t>BAC 1-2020-08-075</t>
  </si>
  <si>
    <t>IB No. 2020-027</t>
  </si>
  <si>
    <t>IB 2020-07</t>
  </si>
  <si>
    <t>BLGU-PBD-Binisitahan Sur-2020-35.1</t>
  </si>
  <si>
    <t>NAA1-2020-004</t>
  </si>
  <si>
    <t>2020-232</t>
  </si>
  <si>
    <t>0051-07-2020</t>
  </si>
  <si>
    <t>P.R NO 0714 SERIES 2020</t>
  </si>
  <si>
    <t>2020-08-0452</t>
  </si>
  <si>
    <t>0067-0014-1286-2020</t>
  </si>
  <si>
    <t>PENRO-BUK.-20-047</t>
  </si>
  <si>
    <t>2020-07-1004</t>
  </si>
  <si>
    <t>2020-07-0483 SOCIAL PENSION</t>
  </si>
  <si>
    <t>2020-08-0840 TDG</t>
  </si>
  <si>
    <t>001-08-2020(BRGY.LABIT, VILLASIS, PANGASINAN)</t>
  </si>
  <si>
    <t>20-099</t>
  </si>
  <si>
    <t>2020-08-02 TDG</t>
  </si>
  <si>
    <t>DA8-Goods-2020-50 (PR No. RICE 20-07-27-0928)</t>
  </si>
  <si>
    <t>2020-0217</t>
  </si>
  <si>
    <t>2020-Brgy. San Roque-003</t>
  </si>
  <si>
    <t>SVP 2020-417</t>
  </si>
  <si>
    <t>060</t>
  </si>
  <si>
    <t>Goods-148-2020</t>
  </si>
  <si>
    <t>20-07-026</t>
  </si>
  <si>
    <t>21-2020</t>
  </si>
  <si>
    <t>2020-08-382-05</t>
  </si>
  <si>
    <t>RFQ No. 20-08-200</t>
  </si>
  <si>
    <t>HILONGOS 2020-230</t>
  </si>
  <si>
    <t>SB6 HDMP19 300-20-06-06236</t>
  </si>
  <si>
    <t>LGU-ROX-CWC-15-2020</t>
  </si>
  <si>
    <t>00122</t>
  </si>
  <si>
    <t>Lgn1-SVP2020-08-0019</t>
  </si>
  <si>
    <t>LTFRB-008-001</t>
  </si>
  <si>
    <t>2020-08-01 TDG</t>
  </si>
  <si>
    <t>2020-2195</t>
  </si>
  <si>
    <t>mnto 20 0016</t>
  </si>
  <si>
    <t>20GIL0051</t>
  </si>
  <si>
    <t>2020-08-0451</t>
  </si>
  <si>
    <t>2020-07-584</t>
  </si>
  <si>
    <t>BLGU-PBD-Aguada Sur-2020-34.1</t>
  </si>
  <si>
    <t>SN 2020-002</t>
  </si>
  <si>
    <t>2020080301</t>
  </si>
  <si>
    <t>CWD- 2020-07-01</t>
  </si>
  <si>
    <t>Jiab-2020-10D</t>
  </si>
  <si>
    <t>RQ 07-275</t>
  </si>
  <si>
    <t>429-2020</t>
  </si>
  <si>
    <t>2020-08-03-002</t>
  </si>
  <si>
    <t>CBAA2020-08-08</t>
  </si>
  <si>
    <t>B16-1</t>
  </si>
  <si>
    <t>nagcalsot202006</t>
  </si>
  <si>
    <t>RFQ 0720-049</t>
  </si>
  <si>
    <t>SN-20-06-013</t>
  </si>
  <si>
    <t>CNSCVPRE2020</t>
  </si>
  <si>
    <t>Acquisition of Equipment for Tech-Gabay Program</t>
  </si>
  <si>
    <t>20-002</t>
  </si>
  <si>
    <t>032-2020</t>
  </si>
  <si>
    <t>RQ 07-019A</t>
  </si>
  <si>
    <t>ITB-2020-053</t>
  </si>
  <si>
    <t>PR NO. 2020-05-028</t>
  </si>
  <si>
    <t>B16-3</t>
  </si>
  <si>
    <t>017-MUN-INFRA-20</t>
  </si>
  <si>
    <t>LGU-ROX-CWC-16-2020</t>
  </si>
  <si>
    <t>PR NO. 2020-08-020</t>
  </si>
  <si>
    <t>2020-2301</t>
  </si>
  <si>
    <t>B16-4</t>
  </si>
  <si>
    <t>098-2020</t>
  </si>
  <si>
    <t>RFQ 0720-052</t>
  </si>
  <si>
    <t>SN 2020-001</t>
  </si>
  <si>
    <t>DRMD-2020-07-0267</t>
  </si>
  <si>
    <t>20-003</t>
  </si>
  <si>
    <t>B16-2</t>
  </si>
  <si>
    <t>8032020</t>
  </si>
  <si>
    <t>20-286</t>
  </si>
  <si>
    <t>2020-08-383-06</t>
  </si>
  <si>
    <t>RQ 07-065A</t>
  </si>
  <si>
    <t>2020083</t>
  </si>
  <si>
    <t>0015-2020</t>
  </si>
  <si>
    <t>20-29</t>
  </si>
  <si>
    <t>ITB No. 2020-14</t>
  </si>
  <si>
    <t>2020-ANT-INFRA-0006</t>
  </si>
  <si>
    <t>PR NO. 2020-08-022</t>
  </si>
  <si>
    <t>BAC-PG-00177-20</t>
  </si>
  <si>
    <t>2020-08-03-02</t>
  </si>
  <si>
    <t>ITB-2020-051</t>
  </si>
  <si>
    <t>B16-6</t>
  </si>
  <si>
    <t>2020-ANT-INFRA-0007</t>
  </si>
  <si>
    <t>B16-5</t>
  </si>
  <si>
    <t>PB-2020-08-050</t>
  </si>
  <si>
    <t>PR. No. 20-07-059</t>
  </si>
  <si>
    <t>2020222</t>
  </si>
  <si>
    <t>2020-2508-017</t>
  </si>
  <si>
    <t>GOODS-2020-25</t>
  </si>
  <si>
    <t>018-MUN-INFRA-20</t>
  </si>
  <si>
    <t>LGU-ROX-CWC-17-2020</t>
  </si>
  <si>
    <t>INFRA-0003-2020</t>
  </si>
  <si>
    <t>2020-ANT-INFRA-0008</t>
  </si>
  <si>
    <t>020-MUN-INFRA-20</t>
  </si>
  <si>
    <t>PB-2020-08-049</t>
  </si>
  <si>
    <t>BP-080320-029</t>
  </si>
  <si>
    <t>00161-2020</t>
  </si>
  <si>
    <t>DF-2020-20</t>
  </si>
  <si>
    <t>pgeps#342-2020</t>
  </si>
  <si>
    <t>072020-01</t>
  </si>
  <si>
    <t>ITB No. 2020-28</t>
  </si>
  <si>
    <t>019-MUN-INFRA-20</t>
  </si>
  <si>
    <t>P.R.#20-07-273 Audio Video Capture &amp; Playback Devi</t>
  </si>
  <si>
    <t>2020-PLA-079</t>
  </si>
  <si>
    <t>BRGY. TAUGTOG- INFRA-2020-002</t>
  </si>
  <si>
    <t>ITB No. 2020-27</t>
  </si>
  <si>
    <t>080320</t>
  </si>
  <si>
    <t>B16-7</t>
  </si>
  <si>
    <t>BRGY. TAUGTOG -INFRA-003</t>
  </si>
  <si>
    <t>2020-08-03-01</t>
  </si>
  <si>
    <t>LGU LAUREL 20-08-002</t>
  </si>
  <si>
    <t>2020-04-LIBAS</t>
  </si>
  <si>
    <t>ADS-1752-20</t>
  </si>
  <si>
    <t>2020-2485</t>
  </si>
  <si>
    <t>INFRA-2020-239</t>
  </si>
  <si>
    <t>20-07-0</t>
  </si>
  <si>
    <t>4PS-2020-06-0186</t>
  </si>
  <si>
    <t>2020-08-03-001</t>
  </si>
  <si>
    <t>AGGDS2020-0804B</t>
  </si>
  <si>
    <t>CNSCOVPRE2020</t>
  </si>
  <si>
    <t>0008-2020</t>
  </si>
  <si>
    <t>B16-8</t>
  </si>
  <si>
    <t>2007-0948</t>
  </si>
  <si>
    <t>2020-2420</t>
  </si>
  <si>
    <t>2020-07-002-A</t>
  </si>
  <si>
    <t>ITB2020-020</t>
  </si>
  <si>
    <t>08-04-2020-307</t>
  </si>
  <si>
    <t>2007-0893</t>
  </si>
  <si>
    <t>ITB-2020-052</t>
  </si>
  <si>
    <t>Lgn1-SVP2020-08-0018</t>
  </si>
  <si>
    <t>RQ 07-047A</t>
  </si>
  <si>
    <t>20-07-05A-0041</t>
  </si>
  <si>
    <t>INFRA 20-08-24</t>
  </si>
  <si>
    <t>ADS-1753-20</t>
  </si>
  <si>
    <t>MAL-2020-07-02</t>
  </si>
  <si>
    <t>33-S-20</t>
  </si>
  <si>
    <t>SJ-20-203</t>
  </si>
  <si>
    <t>ADS-1782-20</t>
  </si>
  <si>
    <t>021-MUN-INFRA-20</t>
  </si>
  <si>
    <t>2020-ANT-INFRA-0009</t>
  </si>
  <si>
    <t>022-BAC-01-SBO-20</t>
  </si>
  <si>
    <t>RFQ-GOODS-2020-091</t>
  </si>
  <si>
    <t>2020-0090</t>
  </si>
  <si>
    <t>BP-080320-030</t>
  </si>
  <si>
    <t>2020-02-0376, 2020-02-0240, 2020-02-0371</t>
  </si>
  <si>
    <t>IB NO. CW 2020 - 130</t>
  </si>
  <si>
    <t>pgeps#343-2020</t>
  </si>
  <si>
    <t>nlp2020-21</t>
  </si>
  <si>
    <t>B16-10</t>
  </si>
  <si>
    <t>2020-0025</t>
  </si>
  <si>
    <t>ITB (CW-08-2020-022) 20DD0377</t>
  </si>
  <si>
    <t>PR 18-20-07-0875 - CED</t>
  </si>
  <si>
    <t>DARFO2.CVRC.115.REC.2020-07-1007.00</t>
  </si>
  <si>
    <t>ADS-1599-20</t>
  </si>
  <si>
    <t>pgeps#345-2020</t>
  </si>
  <si>
    <t>088</t>
  </si>
  <si>
    <t>ADS-1750-20</t>
  </si>
  <si>
    <t>134</t>
  </si>
  <si>
    <t>MES-2020-03</t>
  </si>
  <si>
    <t>DARFO2.CVRC.115.REC.2020-07-1006.00</t>
  </si>
  <si>
    <t>2020-06-0584</t>
  </si>
  <si>
    <t>20GFL0005</t>
  </si>
  <si>
    <t>0020-0290-1332-2020</t>
  </si>
  <si>
    <t>ITB (CW-08-2020-022) 20DD0378</t>
  </si>
  <si>
    <t>2020-2342</t>
  </si>
  <si>
    <t>722</t>
  </si>
  <si>
    <t>pgeps#344-2020</t>
  </si>
  <si>
    <t>ADS-1754-20</t>
  </si>
  <si>
    <t>RFQ-GOODS-2020-092</t>
  </si>
  <si>
    <t>PR 18-20-06-0773 - CED (REBIDDING)</t>
  </si>
  <si>
    <t>lgu-es-20-08-185</t>
  </si>
  <si>
    <t>2020-ANT-INFRA-0010</t>
  </si>
  <si>
    <t>B16-11</t>
  </si>
  <si>
    <t>ADS-1749-20</t>
  </si>
  <si>
    <t>USTP-GSPB-08-5050105003/5020503000-2020</t>
  </si>
  <si>
    <t>ADS-1751-20</t>
  </si>
  <si>
    <t>ADS-1783-20</t>
  </si>
  <si>
    <t>2020-07-409</t>
  </si>
  <si>
    <t>726</t>
  </si>
  <si>
    <t>2020-06-0593, 2020-05-0507, 2020-02-0243, 2020-02-</t>
  </si>
  <si>
    <t>ITB 2020-074</t>
  </si>
  <si>
    <t>GO-20-08-054</t>
  </si>
  <si>
    <t>ppn-137-2020</t>
  </si>
  <si>
    <t>ITB (CW-08-2020-022) 20DD0379</t>
  </si>
  <si>
    <t>PR 1-20-07-0913 - GSD</t>
  </si>
  <si>
    <t>B16-12</t>
  </si>
  <si>
    <t>20-07-07-0238</t>
  </si>
  <si>
    <t>100-20-06-0681</t>
  </si>
  <si>
    <t>IB NO. CW 2020 - 131</t>
  </si>
  <si>
    <t>S-262-2020</t>
  </si>
  <si>
    <t>pgeps#347-2020</t>
  </si>
  <si>
    <t>PR2020-06-0045 INFRA</t>
  </si>
  <si>
    <t>B16-13</t>
  </si>
  <si>
    <t>N-592-2020</t>
  </si>
  <si>
    <t>20-07-056</t>
  </si>
  <si>
    <t>2020-02-0226, 2020-02-0210, 2020-02-0280</t>
  </si>
  <si>
    <t>0031-0004.-1220.2020</t>
  </si>
  <si>
    <t>725</t>
  </si>
  <si>
    <t>ITB (CW-08-2020-022) 20DD0380</t>
  </si>
  <si>
    <t>20-07-07-0213</t>
  </si>
  <si>
    <t>pgeps#348-2020</t>
  </si>
  <si>
    <t>648</t>
  </si>
  <si>
    <t>409</t>
  </si>
  <si>
    <t>pgeps#346-2020</t>
  </si>
  <si>
    <t>N-596-2020</t>
  </si>
  <si>
    <t>2020-07-504</t>
  </si>
  <si>
    <t>TF-20-07-447(O)</t>
  </si>
  <si>
    <t>GO-20-08-055</t>
  </si>
  <si>
    <t>2020-GOODS-41</t>
  </si>
  <si>
    <t>20-07-09-0021</t>
  </si>
  <si>
    <t>BR-TIGUMA-INF20-08-01</t>
  </si>
  <si>
    <t>TM-2020-0045</t>
  </si>
  <si>
    <t>IB NO. CW 2020 - 132</t>
  </si>
  <si>
    <t>2020-01-0054, 2020-02-0308, 2020-02-0204, 2020-06-</t>
  </si>
  <si>
    <t>ITB (CW-08-2020-022) 20DD0381</t>
  </si>
  <si>
    <t>ADS-1732-20</t>
  </si>
  <si>
    <t>N-614-2020</t>
  </si>
  <si>
    <t>GO-20-08-056</t>
  </si>
  <si>
    <t>024-BAC-02-MEO-20</t>
  </si>
  <si>
    <t>100-20-07-0721</t>
  </si>
  <si>
    <t>BR-TIGUMA-INF20-08-02</t>
  </si>
  <si>
    <t>07-2020-0286</t>
  </si>
  <si>
    <t>2020-02-0285</t>
  </si>
  <si>
    <t>S-261-2020</t>
  </si>
  <si>
    <t>2020-07-500</t>
  </si>
  <si>
    <t>B16-14</t>
  </si>
  <si>
    <t>2020-08-JD63</t>
  </si>
  <si>
    <t>SV-0868-2020</t>
  </si>
  <si>
    <t>100(01)20-07-090(M)</t>
  </si>
  <si>
    <t>SJ-20-204</t>
  </si>
  <si>
    <t>091</t>
  </si>
  <si>
    <t>2020-466</t>
  </si>
  <si>
    <t>LGU-LEZO-2020-013</t>
  </si>
  <si>
    <t>092</t>
  </si>
  <si>
    <t>ITB (CW-08-2020-022) 20DD0382</t>
  </si>
  <si>
    <t>2020-02-0120, 2020-02-0312, 2020-02-0203, 2020-02-</t>
  </si>
  <si>
    <t>100(01)20-07-033(P)</t>
  </si>
  <si>
    <t>07-2020-0287</t>
  </si>
  <si>
    <t>2020-0230</t>
  </si>
  <si>
    <t>B-08-31-20</t>
  </si>
  <si>
    <t>SEC PB 2020-020</t>
  </si>
  <si>
    <t>20-20-04-140</t>
  </si>
  <si>
    <t>OGDS 08-3-20</t>
  </si>
  <si>
    <t>093</t>
  </si>
  <si>
    <t>2020-02-0292, 2020-02-0291</t>
  </si>
  <si>
    <t>2020-2103</t>
  </si>
  <si>
    <t>B16-15</t>
  </si>
  <si>
    <t>2020-471</t>
  </si>
  <si>
    <t>LGU-LEZO-2020-014</t>
  </si>
  <si>
    <t>07-2020-0300</t>
  </si>
  <si>
    <t>100(01)20-07-035(P)</t>
  </si>
  <si>
    <t>2020-15</t>
  </si>
  <si>
    <t>2020-2369</t>
  </si>
  <si>
    <t>03-2020-0141</t>
  </si>
  <si>
    <t>ORM-2026-20</t>
  </si>
  <si>
    <t>20AB0123</t>
  </si>
  <si>
    <t>CDC 59-08-2020</t>
  </si>
  <si>
    <t>TF-20-07-069(M)</t>
  </si>
  <si>
    <t>LGUBal2020-06</t>
  </si>
  <si>
    <t>BR-TIGUMA-INF20-08-03</t>
  </si>
  <si>
    <t>20-07-07-0214</t>
  </si>
  <si>
    <t>TF-20-07-071(M)</t>
  </si>
  <si>
    <t>BAC2020-08-033</t>
  </si>
  <si>
    <t>089</t>
  </si>
  <si>
    <t>HCC2020016</t>
  </si>
  <si>
    <t>04-AUGUST- 2020- GOODS- CARPENTRY</t>
  </si>
  <si>
    <t>20-07-07-0236</t>
  </si>
  <si>
    <t>100(200)20-07-456(O)</t>
  </si>
  <si>
    <t>ppn-140-2020</t>
  </si>
  <si>
    <t>300(18)20-07-450(O)</t>
  </si>
  <si>
    <t>2020-07-018</t>
  </si>
  <si>
    <t>BS20-07-0776</t>
  </si>
  <si>
    <t>INFRA-2020-08-49</t>
  </si>
  <si>
    <t>BS20-07-0777</t>
  </si>
  <si>
    <t>B16-16</t>
  </si>
  <si>
    <t>2020/08/01</t>
  </si>
  <si>
    <t>551-07-2020 (DEP-ED)</t>
  </si>
  <si>
    <t>INFRA-ETG-20-06-013</t>
  </si>
  <si>
    <t>RFQ 20-174</t>
  </si>
  <si>
    <t>20G00115</t>
  </si>
  <si>
    <t>DBM-2020-0119</t>
  </si>
  <si>
    <t>28dambuk20</t>
  </si>
  <si>
    <t>300(18)20-07-446(O)</t>
  </si>
  <si>
    <t>BS20-07-0775</t>
  </si>
  <si>
    <t>SJ-20-205</t>
  </si>
  <si>
    <t>PR-2020-1481</t>
  </si>
  <si>
    <t>100(01)20-07-439(O)</t>
  </si>
  <si>
    <t>RFQ 20-176</t>
  </si>
  <si>
    <t>2020-02-0311, 2020-02-0380, 2020-02-0273, 2020-01-</t>
  </si>
  <si>
    <t>BS20-07-0780</t>
  </si>
  <si>
    <t>SPC PR No. 1000033324</t>
  </si>
  <si>
    <t>2020-07-020</t>
  </si>
  <si>
    <t>2020-07-019</t>
  </si>
  <si>
    <t>B-115-2020</t>
  </si>
  <si>
    <t>20GBI018</t>
  </si>
  <si>
    <t>BS20-07-0779</t>
  </si>
  <si>
    <t>20GNE0043</t>
  </si>
  <si>
    <t>LGU-RX-CWC-18-2020</t>
  </si>
  <si>
    <t>MPDPaugust-2</t>
  </si>
  <si>
    <t>300(18)20-07-449(O)</t>
  </si>
  <si>
    <t>20G00114</t>
  </si>
  <si>
    <t>B16-17</t>
  </si>
  <si>
    <t>SVP 20-0917</t>
  </si>
  <si>
    <t>2020-568</t>
  </si>
  <si>
    <t>BS20-07-0782/0783</t>
  </si>
  <si>
    <t>ESP-GOODS-017-2020</t>
  </si>
  <si>
    <t>2020-08-027-MEO</t>
  </si>
  <si>
    <t>20-03-05-0004 Re-canvass</t>
  </si>
  <si>
    <t>PB-2020-08-001</t>
  </si>
  <si>
    <t>27dambuk20</t>
  </si>
  <si>
    <t>20GBI019</t>
  </si>
  <si>
    <t>300(01)20-07-010(AD)</t>
  </si>
  <si>
    <t>Manila202007</t>
  </si>
  <si>
    <t>GOODS-2020-02-03</t>
  </si>
  <si>
    <t>2020-12-038-INFRA</t>
  </si>
  <si>
    <t>2020-0095</t>
  </si>
  <si>
    <t>100(01)20-07-440(O)</t>
  </si>
  <si>
    <t>2020-569</t>
  </si>
  <si>
    <t>2020/08/002</t>
  </si>
  <si>
    <t>BSU Malvar-Project No. 2020-018</t>
  </si>
  <si>
    <t>BAC2020-08-034</t>
  </si>
  <si>
    <t>ppn-138-2020</t>
  </si>
  <si>
    <t>20-07-063</t>
  </si>
  <si>
    <t>B16-18</t>
  </si>
  <si>
    <t>LGU-BLU-20-08-059</t>
  </si>
  <si>
    <t>concreting2020August-2</t>
  </si>
  <si>
    <t>2020-522</t>
  </si>
  <si>
    <t>100(01)20-07-034(P)</t>
  </si>
  <si>
    <t>BS20-07-0788</t>
  </si>
  <si>
    <t>2020-08-026-MEO</t>
  </si>
  <si>
    <t>0029-2020</t>
  </si>
  <si>
    <t>DBM-2020-0120</t>
  </si>
  <si>
    <t>20-07-07-0205</t>
  </si>
  <si>
    <t>2020-08-028-MEO</t>
  </si>
  <si>
    <t>ppn-141-2020</t>
  </si>
  <si>
    <t>2020-544</t>
  </si>
  <si>
    <t>HCC2020017</t>
  </si>
  <si>
    <t>PR NO. 100-8751-20-07-0804</t>
  </si>
  <si>
    <t>ITB NO: SFZ-INFRA 2020-007</t>
  </si>
  <si>
    <t>2020-08-004-NP-INFRA</t>
  </si>
  <si>
    <t>B16-19</t>
  </si>
  <si>
    <t>PR-2020-1480</t>
  </si>
  <si>
    <t>ppn-139-2020</t>
  </si>
  <si>
    <t>20GNE0044</t>
  </si>
  <si>
    <t>2020-13-040-INFRA</t>
  </si>
  <si>
    <t>2020-559</t>
  </si>
  <si>
    <t>PR-2020-0665</t>
  </si>
  <si>
    <t>200(01)20-07-121(Q)</t>
  </si>
  <si>
    <t>2020-343</t>
  </si>
  <si>
    <t>04-AUGUST- 2020- GOODS- REFRESHMENT/EATERY</t>
  </si>
  <si>
    <t>100-20-07-0812</t>
  </si>
  <si>
    <t>2020-01-029-MEO</t>
  </si>
  <si>
    <t>2020-08-021 Purchase of Well-Milled Rice</t>
  </si>
  <si>
    <t>2020-344</t>
  </si>
  <si>
    <t>20GIE0022 (RFQ No. 20-06-022)</t>
  </si>
  <si>
    <t>REF #050-08-2020</t>
  </si>
  <si>
    <t>LGU-BLU-20-08-060</t>
  </si>
  <si>
    <t>P.R. No. 20-07-201</t>
  </si>
  <si>
    <t>2020-08-385-08</t>
  </si>
  <si>
    <t>BS20-07-0787</t>
  </si>
  <si>
    <t>2020-07-00548</t>
  </si>
  <si>
    <t>2020-08-002PB</t>
  </si>
  <si>
    <t>20PC0062</t>
  </si>
  <si>
    <t>ppn-146-2020</t>
  </si>
  <si>
    <t>DBM-2020-0121</t>
  </si>
  <si>
    <t>PSU-GOODS-2020-12</t>
  </si>
  <si>
    <t>SJ-20-206</t>
  </si>
  <si>
    <t>20GGL0007</t>
  </si>
  <si>
    <t>ppn-144-2020</t>
  </si>
  <si>
    <t>20GGL0008</t>
  </si>
  <si>
    <t>100-20-07-0800</t>
  </si>
  <si>
    <t>PB2020-07-117</t>
  </si>
  <si>
    <t>GOODS-2020-63-2ND</t>
  </si>
  <si>
    <t>08-89-2020</t>
  </si>
  <si>
    <t>2020-519</t>
  </si>
  <si>
    <t>04-AUGUST- 2020- GOODS- DRESSMAKING</t>
  </si>
  <si>
    <t>04-AUGUST- 2020- GOODS- VULCANIZING SERVICES &amp; MOT</t>
  </si>
  <si>
    <t>N-602-2020</t>
  </si>
  <si>
    <t>2020-038</t>
  </si>
  <si>
    <t>PR NO. 100-8751-20-07-0805</t>
  </si>
  <si>
    <t>N-605-2020</t>
  </si>
  <si>
    <t>2020-540</t>
  </si>
  <si>
    <t>100-20-06-0630</t>
  </si>
  <si>
    <t>PSU-GOODS-2020-13</t>
  </si>
  <si>
    <t>2020-01 GNHS</t>
  </si>
  <si>
    <t>SJ-20-207</t>
  </si>
  <si>
    <t>04-AUGUST- 2020- GOODS- BARBERSHOP</t>
  </si>
  <si>
    <t>RFQ 2020-01</t>
  </si>
  <si>
    <t>20GGL0009</t>
  </si>
  <si>
    <t>20-07-48</t>
  </si>
  <si>
    <t>PR NO. 2020-08-023</t>
  </si>
  <si>
    <t>RFQ No. 2020-07-043</t>
  </si>
  <si>
    <t>ITB No. 2020 – 83</t>
  </si>
  <si>
    <t>04-AUGUST- 2020- GOODS- WIELDING/VULCANIZING AND D</t>
  </si>
  <si>
    <t>gsis/npsvp-249-20</t>
  </si>
  <si>
    <t>1790</t>
  </si>
  <si>
    <t>lgu-es-20-08-186</t>
  </si>
  <si>
    <t>PSU-GOODS-2020-14</t>
  </si>
  <si>
    <t>SJ-20-208</t>
  </si>
  <si>
    <t>2020-Barangay Silanga-002</t>
  </si>
  <si>
    <t>MP2020P3</t>
  </si>
  <si>
    <t>Medicne2020</t>
  </si>
  <si>
    <t>RFQ No. 2020-07-044</t>
  </si>
  <si>
    <t>20-07-093</t>
  </si>
  <si>
    <t>DTI-3-2020-JP-009</t>
  </si>
  <si>
    <t>2020-08-328</t>
  </si>
  <si>
    <t>100-20-07-0791</t>
  </si>
  <si>
    <t>ITB No. 20-073: Supply and Delivery of Three Hundr</t>
  </si>
  <si>
    <t>ESP-GOODS-016-2020</t>
  </si>
  <si>
    <t>NS 1370-20</t>
  </si>
  <si>
    <t>2020-08-0449</t>
  </si>
  <si>
    <t>021-2020</t>
  </si>
  <si>
    <t>RFQ No. 2020-07-045</t>
  </si>
  <si>
    <t>2020-08-386-09</t>
  </si>
  <si>
    <t>UpgradingaccessAM2020</t>
  </si>
  <si>
    <t>gsis/npsvp-250-20</t>
  </si>
  <si>
    <t>2020-372</t>
  </si>
  <si>
    <t>2020-02-0185, 2020-02-0299, 2020-02-0152, 2020-02-</t>
  </si>
  <si>
    <t>80</t>
  </si>
  <si>
    <t>2020-GOODS-30</t>
  </si>
  <si>
    <t>100-202007-01066</t>
  </si>
  <si>
    <t>IB NO. CW 2020 - 128</t>
  </si>
  <si>
    <t>pal-20-08-021</t>
  </si>
  <si>
    <t>Park2020</t>
  </si>
  <si>
    <t>2020-424</t>
  </si>
  <si>
    <t>PRN 039</t>
  </si>
  <si>
    <t>2020-08-388-11</t>
  </si>
  <si>
    <t>IB-2020-09-32</t>
  </si>
  <si>
    <t>C10-20-1581</t>
  </si>
  <si>
    <t>HILONGOS 2020-231</t>
  </si>
  <si>
    <t>ITB No. GOP/20-DSWD-028-B</t>
  </si>
  <si>
    <t>PSU-GOODS-2020-15</t>
  </si>
  <si>
    <t>2020-08-387-10</t>
  </si>
  <si>
    <t>BD2020-A-005-G</t>
  </si>
  <si>
    <t>IB-2020-09-35</t>
  </si>
  <si>
    <t>20C00053</t>
  </si>
  <si>
    <t>2020-08-329</t>
  </si>
  <si>
    <t>IB-2020-09-34</t>
  </si>
  <si>
    <t>2020-213</t>
  </si>
  <si>
    <t>2020-07-28</t>
  </si>
  <si>
    <t>PB-2020-08-002</t>
  </si>
  <si>
    <t>IB-2020-09-33</t>
  </si>
  <si>
    <t>IB-2020-09-38</t>
  </si>
  <si>
    <t>2020-8-14</t>
  </si>
  <si>
    <t>IB-2020-09-39</t>
  </si>
  <si>
    <t>2020-103</t>
  </si>
  <si>
    <t>2020-567</t>
  </si>
  <si>
    <t>IB-2020-09-37</t>
  </si>
  <si>
    <t>CRN-PB-007-INFRA-2020</t>
  </si>
  <si>
    <t>2020-426</t>
  </si>
  <si>
    <t>lgumambu_g_aug_2020_001</t>
  </si>
  <si>
    <t>20CSKA0001</t>
  </si>
  <si>
    <t>PR NO. 010-07-20</t>
  </si>
  <si>
    <t>RFQ No. 2020- 12</t>
  </si>
  <si>
    <t>2020-8-15</t>
  </si>
  <si>
    <t>ITB No. 20-077 Supply and Delivery of Various Frui</t>
  </si>
  <si>
    <t>IB NO. 2020-08-24 (15)</t>
  </si>
  <si>
    <t>2020-364</t>
  </si>
  <si>
    <t>2020-POBSK-004</t>
  </si>
  <si>
    <t>ML-2020-02-16</t>
  </si>
  <si>
    <t>Infra-20-13</t>
  </si>
  <si>
    <t>2020-0097</t>
  </si>
  <si>
    <t>PR NO. 011-07-20</t>
  </si>
  <si>
    <t>ITB 2020-079</t>
  </si>
  <si>
    <t>PR NO. 013-07-20</t>
  </si>
  <si>
    <t>3LSSM2020A-114</t>
  </si>
  <si>
    <t>msj-2020-26</t>
  </si>
  <si>
    <t>3LSSM2020A-111</t>
  </si>
  <si>
    <t>PZDS-2020-08-054-IB</t>
  </si>
  <si>
    <t>ITB 2020-080</t>
  </si>
  <si>
    <t>3LSSM2020A-112</t>
  </si>
  <si>
    <t>RFQ 081</t>
  </si>
  <si>
    <t>lgumambu_g_aug_2020_002</t>
  </si>
  <si>
    <t>2020-8-16</t>
  </si>
  <si>
    <t>2020-472</t>
  </si>
  <si>
    <t>ML-2020-04-17</t>
  </si>
  <si>
    <t>JOY-SVP-2020-07-217-CD</t>
  </si>
  <si>
    <t>2007126</t>
  </si>
  <si>
    <t>RFQ 080</t>
  </si>
  <si>
    <t>PZDS-2020-08-053-IB</t>
  </si>
  <si>
    <t>2020-556</t>
  </si>
  <si>
    <t>SJ 2020-68-GOODS</t>
  </si>
  <si>
    <t>ITB2020-14</t>
  </si>
  <si>
    <t>IB-2020-09-40</t>
  </si>
  <si>
    <t>2020-554</t>
  </si>
  <si>
    <t>128-2020</t>
  </si>
  <si>
    <t>20DJ0106</t>
  </si>
  <si>
    <t>PR NO. 012-07-20</t>
  </si>
  <si>
    <t>3LSSM2020A-113</t>
  </si>
  <si>
    <t>IB-2020-09-36</t>
  </si>
  <si>
    <t>2020-07-031</t>
  </si>
  <si>
    <t>C10-20-1608</t>
  </si>
  <si>
    <t>2-082520</t>
  </si>
  <si>
    <t>2020-GOODS-NP-84</t>
  </si>
  <si>
    <t>LAMISCA IMO 08-03-2020 CW</t>
  </si>
  <si>
    <t>2020-425</t>
  </si>
  <si>
    <t>CRN-PB-020-GOODS-2020</t>
  </si>
  <si>
    <t>3LSSM2020A-116</t>
  </si>
  <si>
    <t>20-008</t>
  </si>
  <si>
    <t>C10-20-1606</t>
  </si>
  <si>
    <t>S-080320-1</t>
  </si>
  <si>
    <t>Calaca 2020-062</t>
  </si>
  <si>
    <t>ITB 2020-082</t>
  </si>
  <si>
    <t>OC-77(ESMO-07) 20 GD</t>
  </si>
  <si>
    <t>BAC-2020-43</t>
  </si>
  <si>
    <t>20DJ0107</t>
  </si>
  <si>
    <t>20-08-286</t>
  </si>
  <si>
    <t>202002</t>
  </si>
  <si>
    <t>Quotation No. 20-07-423</t>
  </si>
  <si>
    <t>3LSSM2020A-115</t>
  </si>
  <si>
    <t>2020-GOODS-NP-83</t>
  </si>
  <si>
    <t>2020224</t>
  </si>
  <si>
    <t>129-2020</t>
  </si>
  <si>
    <t>INFRA-2020-P4</t>
  </si>
  <si>
    <t>131-2020</t>
  </si>
  <si>
    <t>epslingayen2020-83</t>
  </si>
  <si>
    <t>TAYSAN2020-090</t>
  </si>
  <si>
    <t>HS-760-086-2020</t>
  </si>
  <si>
    <t>ITB 20-08-009</t>
  </si>
  <si>
    <t>3LSSM2020A-118</t>
  </si>
  <si>
    <t>20CSIL0001</t>
  </si>
  <si>
    <t>HS-759-085-2020</t>
  </si>
  <si>
    <t>20GG0059-G</t>
  </si>
  <si>
    <t>2020-07-418</t>
  </si>
  <si>
    <t>BAC GS No. 2020-128/DGS PR No. 2000005421</t>
  </si>
  <si>
    <t>130-2020</t>
  </si>
  <si>
    <t>HS-765-084-2020</t>
  </si>
  <si>
    <t>PRN 053</t>
  </si>
  <si>
    <t>ITB 2020-081</t>
  </si>
  <si>
    <t>Quotation No.20-05-304 REBID</t>
  </si>
  <si>
    <t>NCB Publication No. 2020- 28</t>
  </si>
  <si>
    <t>RFQ No. 2020-07-046</t>
  </si>
  <si>
    <t>ITB 20-29</t>
  </si>
  <si>
    <t>2008152</t>
  </si>
  <si>
    <t>BAC2020-08-036</t>
  </si>
  <si>
    <t>PZDS-2020-08-055-IB</t>
  </si>
  <si>
    <t>2020-08-02-025</t>
  </si>
  <si>
    <t>2020-48</t>
  </si>
  <si>
    <t>3LSSM2020A-120</t>
  </si>
  <si>
    <t>Pang2-Goods-2020-08-001</t>
  </si>
  <si>
    <t>2007128</t>
  </si>
  <si>
    <t>INFRA-2020-P5</t>
  </si>
  <si>
    <t>20-009</t>
  </si>
  <si>
    <t>2020-08-02-026</t>
  </si>
  <si>
    <t>NCB Publication No. 2020- 30</t>
  </si>
  <si>
    <t>3LSSM2020A-119</t>
  </si>
  <si>
    <t>NCB Publication No. 2020- 29</t>
  </si>
  <si>
    <t>3LSSM2020A-117</t>
  </si>
  <si>
    <t>SVP 2020-419</t>
  </si>
  <si>
    <t>PR-20-07-0171</t>
  </si>
  <si>
    <t>TWDPR 2020-07-06</t>
  </si>
  <si>
    <t>2020-08-0450</t>
  </si>
  <si>
    <t>2020-GOODS-NP-82</t>
  </si>
  <si>
    <t>2020-423</t>
  </si>
  <si>
    <t>2020-08 -002</t>
  </si>
  <si>
    <t>2020-08-265</t>
  </si>
  <si>
    <t>IB NO. 2020-08-25 (16)</t>
  </si>
  <si>
    <t>2062020</t>
  </si>
  <si>
    <t>2020-08 -001</t>
  </si>
  <si>
    <t>RFQ-2020-099</t>
  </si>
  <si>
    <t>100-20-07-0799</t>
  </si>
  <si>
    <t>300-20-08-04</t>
  </si>
  <si>
    <t>ppn-145-2020</t>
  </si>
  <si>
    <t>HCC2020019</t>
  </si>
  <si>
    <t>202003013</t>
  </si>
  <si>
    <t>no.20-01</t>
  </si>
  <si>
    <t>2020-GOODS-NP-81</t>
  </si>
  <si>
    <t>S-260-2020</t>
  </si>
  <si>
    <t>2020-0231</t>
  </si>
  <si>
    <t>07-20</t>
  </si>
  <si>
    <t>20-08-124</t>
  </si>
  <si>
    <t>gsis/npsvp-248-20</t>
  </si>
  <si>
    <t>20AC0115</t>
  </si>
  <si>
    <t>HCC2020018</t>
  </si>
  <si>
    <t>2020-08-03a</t>
  </si>
  <si>
    <t>GOODS-2020-08-15</t>
  </si>
  <si>
    <t>3LSSM2020A-121</t>
  </si>
  <si>
    <t>G2020-08-001(PB)</t>
  </si>
  <si>
    <t>NMF GOODS 2020-08</t>
  </si>
  <si>
    <t>C10-20-1607</t>
  </si>
  <si>
    <t>DSWD NNP No. 20-TFB-005</t>
  </si>
  <si>
    <t>R4-ORD-ARDMS-ADM-20-07-435</t>
  </si>
  <si>
    <t>Supply of Materials, Labor and Equipment for the C</t>
  </si>
  <si>
    <t>janiuay-2020-33</t>
  </si>
  <si>
    <t>CW2020-08-004</t>
  </si>
  <si>
    <t>NMF GOODS 2020-06</t>
  </si>
  <si>
    <t>DOJ ITB 2020-08-004</t>
  </si>
  <si>
    <t>IB No. MM-2020-032(m)</t>
  </si>
  <si>
    <t>CA-BAC-PB-2020-08-01</t>
  </si>
  <si>
    <t>IB No. MM-2020-030(m)</t>
  </si>
  <si>
    <t>RE-IB No. MM-2020-007(m)</t>
  </si>
  <si>
    <t>DOJ ITB 2020-08-003</t>
  </si>
  <si>
    <t>TON-2020-08-001-IB</t>
  </si>
  <si>
    <t>DOJ ITB 2020-08-002</t>
  </si>
  <si>
    <t>3LSSM2020A-123</t>
  </si>
  <si>
    <t>IB. NO. K-2020-090(SC)</t>
  </si>
  <si>
    <t>RE-IB. NO. K-2020-059(SC)</t>
  </si>
  <si>
    <t>3LSSM2020A-122</t>
  </si>
  <si>
    <t>NMF GOODS 2020-09</t>
  </si>
  <si>
    <t>2020-545</t>
  </si>
  <si>
    <t>G-2020-41</t>
  </si>
  <si>
    <t>20FA0062</t>
  </si>
  <si>
    <t>742</t>
  </si>
  <si>
    <t>G2020-08-002(PB)</t>
  </si>
  <si>
    <t>BS20-07-0778</t>
  </si>
  <si>
    <t>PR # 100-2020-07-0038</t>
  </si>
  <si>
    <t>NMF GOODS 2020-07</t>
  </si>
  <si>
    <t>MGCP-20G-604A</t>
  </si>
  <si>
    <t>ITB 2020-084</t>
  </si>
  <si>
    <t>2020-07-0086</t>
  </si>
  <si>
    <t>2020-01-030-MEO</t>
  </si>
  <si>
    <t>IB No. MM-2020-034</t>
  </si>
  <si>
    <t>IB No. X-2020-001</t>
  </si>
  <si>
    <t>RFQ No. 20-07-097</t>
  </si>
  <si>
    <t>202006024</t>
  </si>
  <si>
    <t>IB No. AA-2020-004(m)</t>
  </si>
  <si>
    <t>lgu-es-20-08-188</t>
  </si>
  <si>
    <t>MGCP-20G-605A</t>
  </si>
  <si>
    <t>RFQ NO. 20-07-091</t>
  </si>
  <si>
    <t>RE-IB No.DE-2020-010</t>
  </si>
  <si>
    <t>RFQ No. 1037-20</t>
  </si>
  <si>
    <t>IB No. N-2020-003</t>
  </si>
  <si>
    <t>2020-Various Funds-GOODS-27</t>
  </si>
  <si>
    <t>RFQ No. 1039-20</t>
  </si>
  <si>
    <t>ITB 2020-092</t>
  </si>
  <si>
    <t>RFQ No. 2503-20</t>
  </si>
  <si>
    <t>SVP No. M-2020-07-011</t>
  </si>
  <si>
    <t>ITB 2020-094</t>
  </si>
  <si>
    <t>ITB 2020-089</t>
  </si>
  <si>
    <t>doc 2</t>
  </si>
  <si>
    <t>KAP-20-GOODS-09 (2nd posting)</t>
  </si>
  <si>
    <t>SVP No. AA-2020-07-006</t>
  </si>
  <si>
    <t>2020-181</t>
  </si>
  <si>
    <t>2020-08-089</t>
  </si>
  <si>
    <t>NEG. PROC. 53.10 X-2020-07-002</t>
  </si>
  <si>
    <t>BOC-GOODS-2020-04</t>
  </si>
  <si>
    <t>RFQ No. 1029-20</t>
  </si>
  <si>
    <t>TAS-20-02-042</t>
  </si>
  <si>
    <t>2020-CN011</t>
  </si>
  <si>
    <t>2020-CN012</t>
  </si>
  <si>
    <t>LGU-M-INFRA-18-20</t>
  </si>
  <si>
    <t>ITBN08032020A</t>
  </si>
  <si>
    <t>RFQ No. 1032-20</t>
  </si>
  <si>
    <t>IB NO. 2020-232</t>
  </si>
  <si>
    <t>2020-24</t>
  </si>
  <si>
    <t>2020-30</t>
  </si>
  <si>
    <t>LIN-LDN-08-04-20</t>
  </si>
  <si>
    <t>2020-29</t>
  </si>
  <si>
    <t>8-03-01</t>
  </si>
  <si>
    <t>RFQ No. 20-07-087</t>
  </si>
  <si>
    <t>202008036</t>
  </si>
  <si>
    <t>ITBN08032020B</t>
  </si>
  <si>
    <t>ITBF-2020-04INFRA</t>
  </si>
  <si>
    <t>2020-27</t>
  </si>
  <si>
    <t>PRDP-RPCOXI-016-2020</t>
  </si>
  <si>
    <t>Dawan - 01-20</t>
  </si>
  <si>
    <t>ITB No. 2020-GOODS-8(01)</t>
  </si>
  <si>
    <t>388548479</t>
  </si>
  <si>
    <t>ICITB08032020A</t>
  </si>
  <si>
    <t>LGU-M-INFRA-20-20</t>
  </si>
  <si>
    <t>ITB-2020-08-059</t>
  </si>
  <si>
    <t>07-2020-1111</t>
  </si>
  <si>
    <t>388548478</t>
  </si>
  <si>
    <t>ITB No. 2020-GOODS-8(04)</t>
  </si>
  <si>
    <t>ICITB08032020B</t>
  </si>
  <si>
    <t>ITB No. 2020-GOODS-8(03)</t>
  </si>
  <si>
    <t>IB-2020-107-INFRA</t>
  </si>
  <si>
    <t>ICITB08032020H</t>
  </si>
  <si>
    <t>JRF-2020-036</t>
  </si>
  <si>
    <t>ITB No. 2020-GOODS-8(05)</t>
  </si>
  <si>
    <t>SL-2020-017</t>
  </si>
  <si>
    <t>ITB-2020-08-062</t>
  </si>
  <si>
    <t>CB 13 - 2020</t>
  </si>
  <si>
    <t>JRF-2020-035</t>
  </si>
  <si>
    <t>CB 12 - 2020</t>
  </si>
  <si>
    <t>IB-2020-108-INFRA</t>
  </si>
  <si>
    <t>ITB No. 2020-INFRA-8(01) BRGY. COLON</t>
  </si>
  <si>
    <t>ESPERANZA-GDS-2020-08-24</t>
  </si>
  <si>
    <t>SL-2020-018</t>
  </si>
  <si>
    <t>ITB No. 2020-GOODS-8(07)</t>
  </si>
  <si>
    <t>ESPERANZA-GDS-2020-08-25</t>
  </si>
  <si>
    <t>ITB NO. 2020-19</t>
  </si>
  <si>
    <t>ITB-2020-08-057</t>
  </si>
  <si>
    <t>SL-2020-016</t>
  </si>
  <si>
    <t>2020-20% EDF (Continuing Appropriation) I-05-07272</t>
  </si>
  <si>
    <t>PR-20-01-0007</t>
  </si>
  <si>
    <t>SPC PR No. 1000032550</t>
  </si>
  <si>
    <t>ITB-2020-08-060</t>
  </si>
  <si>
    <t>PB-2020-05</t>
  </si>
  <si>
    <t>PR-20-01-0014</t>
  </si>
  <si>
    <t>GOODS-2020-08-017</t>
  </si>
  <si>
    <t>0806</t>
  </si>
  <si>
    <t>GOODS-2020-08-018</t>
  </si>
  <si>
    <t>CRN-PB-018-GOODS-2020</t>
  </si>
  <si>
    <t>388548480</t>
  </si>
  <si>
    <t>2020-07-69</t>
  </si>
  <si>
    <t>ITB 08-2020-009</t>
  </si>
  <si>
    <t>2020-20% EDF (Realigned Projects-Current Appropria</t>
  </si>
  <si>
    <t>PB2020-003</t>
  </si>
  <si>
    <t>2020-BLGU-GOODS-004</t>
  </si>
  <si>
    <t>JULUGAN V 2020-01</t>
  </si>
  <si>
    <t>20-08-086</t>
  </si>
  <si>
    <t>IB-2020-109-INFRA</t>
  </si>
  <si>
    <t>PB 001-08-2020</t>
  </si>
  <si>
    <t>GOODS-ITB 2020-08-015-A</t>
  </si>
  <si>
    <t>CRN-PB-016-GOODS-2020</t>
  </si>
  <si>
    <t>MP-INFR-2020-030</t>
  </si>
  <si>
    <t>MP-INFR-2020-029</t>
  </si>
  <si>
    <t>14th Batch 2020</t>
  </si>
  <si>
    <t>2020-VP-GOODS-30</t>
  </si>
  <si>
    <t>2020-Goods-002</t>
  </si>
  <si>
    <t>IB NO. CW 2020 - 127</t>
  </si>
  <si>
    <t>IB NO. CW 2020 - 129</t>
  </si>
  <si>
    <t>CRN-PB-022-GOODS-2020</t>
  </si>
  <si>
    <t>IB NO. CW 2020 - 125</t>
  </si>
  <si>
    <t>CRN-PB-015-GOODS-2020</t>
  </si>
  <si>
    <t>IB NO. CW 2020 - 123</t>
  </si>
  <si>
    <t>IB NO. CW 2020 - 124</t>
  </si>
  <si>
    <t>20-298</t>
  </si>
  <si>
    <t>PB20-07</t>
  </si>
  <si>
    <t>IB NO. CW 2020 - 126</t>
  </si>
  <si>
    <t>7-20-20-ID2</t>
  </si>
  <si>
    <t>2020-07-424</t>
  </si>
  <si>
    <t>DOTC-PPA-CAB NO. 85-15</t>
  </si>
  <si>
    <t>nlontoc-ITB065-2020</t>
  </si>
  <si>
    <t>CRN-PB-017-GOODS-2020</t>
  </si>
  <si>
    <t>nlontoc-ITB064-2020</t>
  </si>
  <si>
    <t>G2020-03</t>
  </si>
  <si>
    <t>sj 2020 b aug 014</t>
  </si>
  <si>
    <t>sj 2020 b aug 013</t>
  </si>
  <si>
    <t>sj 2020 b aug 012</t>
  </si>
  <si>
    <t>sj 2020 b aug 015</t>
  </si>
  <si>
    <t>MP-INFR-2020-036</t>
  </si>
  <si>
    <t>MP-INFR-2020-035</t>
  </si>
  <si>
    <t>07-2020-1118</t>
  </si>
  <si>
    <t>MP-INFR-2020-034</t>
  </si>
  <si>
    <t>MP-INFR-2020-031</t>
  </si>
  <si>
    <t>sj 2020 b aug 011</t>
  </si>
  <si>
    <t>PB20-06</t>
  </si>
  <si>
    <t>E20080301</t>
  </si>
  <si>
    <t>ITB NO. 2020-18</t>
  </si>
  <si>
    <t>B-08-30-20</t>
  </si>
  <si>
    <t>202-08-03</t>
  </si>
  <si>
    <t>ITB 08-2020-011</t>
  </si>
  <si>
    <t>PR # 100-2020-07-0136</t>
  </si>
  <si>
    <t>ITB 08-2020-010</t>
  </si>
  <si>
    <t>brgy20200729</t>
  </si>
  <si>
    <t>MP-INFR-2020-033</t>
  </si>
  <si>
    <t>PR # 100-2020-07-0107</t>
  </si>
  <si>
    <t>2020-INFRA-16B</t>
  </si>
  <si>
    <t>000369</t>
  </si>
  <si>
    <t>000371</t>
  </si>
  <si>
    <t>PR # 100-2020-07-0078</t>
  </si>
  <si>
    <t>000416</t>
  </si>
  <si>
    <t>PR # 100-2020-07-0077</t>
  </si>
  <si>
    <t>2020-INFRA-17C</t>
  </si>
  <si>
    <t>2020-GOODS-3B</t>
  </si>
  <si>
    <t>BAC IN 2020-29</t>
  </si>
  <si>
    <t>PROCUREMENT OF OTHER SUPPLIES AND MATERIALS FOR TH</t>
  </si>
  <si>
    <t>PROCUREMENT OF PRINTING SERVICES FOR THE USE OF VA</t>
  </si>
  <si>
    <t>BAC IN 2020-28</t>
  </si>
  <si>
    <t>2020-GOODS-2B</t>
  </si>
  <si>
    <t>BAC IN 2020-26</t>
  </si>
  <si>
    <t>PROCUREMENT OF OTHER SUPPLIES AND MATERIALS (FOOD/</t>
  </si>
  <si>
    <t>662-2020</t>
  </si>
  <si>
    <t>648-2020</t>
  </si>
  <si>
    <t>Barangay Habingan 2020-07-00</t>
  </si>
  <si>
    <t>IB NO. 08-2020- PROCUREMENT OF UV GERMICIDAL LIGHT</t>
  </si>
  <si>
    <t>07292020</t>
  </si>
  <si>
    <t>EARIST-BID-2020-009</t>
  </si>
  <si>
    <t>GEPS-014-2020</t>
  </si>
  <si>
    <t>02-049-2020</t>
  </si>
  <si>
    <t>BAC IN 2020-38</t>
  </si>
  <si>
    <t>BAC IN 2020-36</t>
  </si>
  <si>
    <t>650-2020</t>
  </si>
  <si>
    <t>MP-INFR-2020-032</t>
  </si>
  <si>
    <t>BAC IN 2020-35</t>
  </si>
  <si>
    <t>STC-GOOD- NO. 2020-0051</t>
  </si>
  <si>
    <t>BAC IN 2020-27</t>
  </si>
  <si>
    <t>BAC IN 2020-33</t>
  </si>
  <si>
    <t>BAC IN 2020-32</t>
  </si>
  <si>
    <t>sj 2020 b aug 010</t>
  </si>
  <si>
    <t>BAC IN 2020-31</t>
  </si>
  <si>
    <t>BAC IN 2020-30</t>
  </si>
  <si>
    <t>BAC IN 2020-34</t>
  </si>
  <si>
    <t>STC-GOOD- NO. 2020-0053</t>
  </si>
  <si>
    <t>664-2020</t>
  </si>
  <si>
    <t>2020-GOODS-29</t>
  </si>
  <si>
    <t>BAC IN 2020-37</t>
  </si>
  <si>
    <t>KC-2020-07-0290</t>
  </si>
  <si>
    <t>666-2020</t>
  </si>
  <si>
    <t>PR # 100-2020-07-0135</t>
  </si>
  <si>
    <t>665-2020</t>
  </si>
  <si>
    <t>CRN 2020-08</t>
  </si>
  <si>
    <t>000398</t>
  </si>
  <si>
    <t>667-2020</t>
  </si>
  <si>
    <t>nlontoc-ITB069-2020</t>
  </si>
  <si>
    <t>nlontoc-ITB066-2020</t>
  </si>
  <si>
    <t>nlontoc-ITB071-2020</t>
  </si>
  <si>
    <t>nlontoc-ITB068-2020</t>
  </si>
  <si>
    <t>PR# 20-07-0742</t>
  </si>
  <si>
    <t>nlontoc-ITB067-2020</t>
  </si>
  <si>
    <t>000165</t>
  </si>
  <si>
    <t>000359</t>
  </si>
  <si>
    <t>INFRA-2020-07-46</t>
  </si>
  <si>
    <t>INFRA-2020-07-45</t>
  </si>
  <si>
    <t>LGU-MABINI2020-050</t>
  </si>
  <si>
    <t>LGU-MABINI2020-052</t>
  </si>
  <si>
    <t>nlontoc-ITB070-2020</t>
  </si>
  <si>
    <t>DDO-20-5069</t>
  </si>
  <si>
    <t>DDO-20-C0812</t>
  </si>
  <si>
    <t>DDO-20-2058-rebid</t>
  </si>
  <si>
    <t>DDO-20-5520</t>
  </si>
  <si>
    <t>LGU-MABINI2020-045</t>
  </si>
  <si>
    <t>07-103-2020</t>
  </si>
  <si>
    <t>STC-GOOD- NO. 2020-0050</t>
  </si>
  <si>
    <t>07-118-2020</t>
  </si>
  <si>
    <t>DDO-20-C0813</t>
  </si>
  <si>
    <t>STC-GOOD- NO. 2020-0052</t>
  </si>
  <si>
    <t>BAC IN 2020-39</t>
  </si>
  <si>
    <t>SL-2020-019</t>
  </si>
  <si>
    <t>LGU-MABINI2020-051</t>
  </si>
  <si>
    <t>PR-20-06-0148</t>
  </si>
  <si>
    <t>BP-2020-04</t>
  </si>
  <si>
    <t>CB 14 - 2020</t>
  </si>
  <si>
    <t>663-2020</t>
  </si>
  <si>
    <t>ITB-2020-08-063</t>
  </si>
  <si>
    <t>022-20</t>
  </si>
  <si>
    <t>BAC IN 2020-41</t>
  </si>
  <si>
    <t>DDO-20-5567</t>
  </si>
  <si>
    <t>DDO-20-C0563</t>
  </si>
  <si>
    <t>LGU-SIN-2020-07-222</t>
  </si>
  <si>
    <t>DDO-20-5384</t>
  </si>
  <si>
    <t>CYN-BAC-2020-46</t>
  </si>
  <si>
    <t>msj-2020-24</t>
  </si>
  <si>
    <t>CYN-BAC-2020-47</t>
  </si>
  <si>
    <t>20NG0099</t>
  </si>
  <si>
    <t>BAC IN 2020-40</t>
  </si>
  <si>
    <t>20NG0030 (RE-AD)</t>
  </si>
  <si>
    <t>Adv.20-020</t>
  </si>
  <si>
    <t>2020-INFRA-18C</t>
  </si>
  <si>
    <t>PR. NO. 2020-07-000020</t>
  </si>
  <si>
    <t>PPA-DOTr-7100-P1000-20401010B</t>
  </si>
  <si>
    <t>AGR-20-0906-B</t>
  </si>
  <si>
    <t>GOV-20-0942-B</t>
  </si>
  <si>
    <t>AGR-20-0905-B</t>
  </si>
  <si>
    <t>PPD-20-0901-B</t>
  </si>
  <si>
    <t>CYN-BAC-2020-49</t>
  </si>
  <si>
    <t>CYN-BAC-2020-54</t>
  </si>
  <si>
    <t>CYN-BAC-2020-55</t>
  </si>
  <si>
    <t>Infra Projects 22-2020</t>
  </si>
  <si>
    <t>2020-INFRA-5D</t>
  </si>
  <si>
    <t>Infra Projects 23-2020</t>
  </si>
  <si>
    <t>SANPEDRO-001</t>
  </si>
  <si>
    <t>SKWR-20-08-004</t>
  </si>
  <si>
    <t>MUNPINCE-2007-140</t>
  </si>
  <si>
    <t>gsis/npsvp-247-20</t>
  </si>
  <si>
    <t>ITB # 2020-07-046</t>
  </si>
  <si>
    <t>SKWR-20-08-005</t>
  </si>
  <si>
    <t>SKWR-20-08-003</t>
  </si>
  <si>
    <t>ITB # 2020-07-045</t>
  </si>
  <si>
    <t>PG20202-08-01</t>
  </si>
  <si>
    <t>20DK0138</t>
  </si>
  <si>
    <t>San Jose-2020-07-001</t>
  </si>
  <si>
    <t>2020-SAAD-30</t>
  </si>
  <si>
    <t>20DK0139</t>
  </si>
  <si>
    <t>SKWR-08-002</t>
  </si>
  <si>
    <t>EAMJULY16-2020(1)</t>
  </si>
  <si>
    <t>CBGAD 200-20-07-08697</t>
  </si>
  <si>
    <t>2020-02-043 (3rd Posting)</t>
  </si>
  <si>
    <t>SB1 NPPH 300-20-07-08942</t>
  </si>
  <si>
    <t>001 PDU</t>
  </si>
  <si>
    <t>001 MRVETU</t>
  </si>
  <si>
    <t>PADAP 200-20-06-06417</t>
  </si>
  <si>
    <t>ANHS Procurement 3-5</t>
  </si>
  <si>
    <t>ITB-2020-08-001</t>
  </si>
  <si>
    <t>ANHS Procurement 3-4</t>
  </si>
  <si>
    <t>ANHS Procurement 3-3</t>
  </si>
  <si>
    <t>ANHS Procurement 3-2</t>
  </si>
  <si>
    <t>54-2020</t>
  </si>
  <si>
    <t>ANHS Procurement 3-1</t>
  </si>
  <si>
    <t>SB2 PEO19 300-20-06-07906</t>
  </si>
  <si>
    <t>CYN-BAC-2020-45</t>
  </si>
  <si>
    <t>PB-202006</t>
  </si>
  <si>
    <t>PR. NO. 2020-07-000014</t>
  </si>
  <si>
    <t>KC-2020-12-0297</t>
  </si>
  <si>
    <t>PROCUREMENT OF COMPUTERIZED HOSPITAL INFORMATION S</t>
  </si>
  <si>
    <t>PR-20-08-08b</t>
  </si>
  <si>
    <t>08022020</t>
  </si>
  <si>
    <t>jayon-Bac-B-08-11-2020</t>
  </si>
  <si>
    <t>KC-2020-07-0296</t>
  </si>
  <si>
    <t>PR-20-08-07b</t>
  </si>
  <si>
    <t>jayon-Bac-B-08-10-2020</t>
  </si>
  <si>
    <t>jayon-Bac-B-08-13-2020</t>
  </si>
  <si>
    <t>jayon-Bac-B-08-12-2020</t>
  </si>
  <si>
    <t>KC-2020-07-0294</t>
  </si>
  <si>
    <t>BH 200-20-07-08825</t>
  </si>
  <si>
    <t>Pitogo 2020-08-06</t>
  </si>
  <si>
    <t>jayon-Bac-B-08-09-2020</t>
  </si>
  <si>
    <t>Pitogo 2020-08-05</t>
  </si>
  <si>
    <t>KC-2020-07-0295</t>
  </si>
  <si>
    <t>2020-Goods-008</t>
  </si>
  <si>
    <t>ITB # 2020-07-047</t>
  </si>
  <si>
    <t>SB4 NMH 200-20-07-08869</t>
  </si>
  <si>
    <t>2020-Goods-007</t>
  </si>
  <si>
    <t>PB-20-377</t>
  </si>
  <si>
    <t>2020-007-03</t>
  </si>
  <si>
    <t>BSU - PROJECT NO. 2020- 280</t>
  </si>
  <si>
    <t>PB-20-372</t>
  </si>
  <si>
    <t>2020-007-02</t>
  </si>
  <si>
    <t>07-2020-01</t>
  </si>
  <si>
    <t>CCSPC-INFRA-004-2020</t>
  </si>
  <si>
    <t>CCSPC-INFRA-003-2020</t>
  </si>
  <si>
    <t>CCSPC-INFRA-002-2020</t>
  </si>
  <si>
    <t>07-2020-001</t>
  </si>
  <si>
    <t>BPB 2020-028</t>
  </si>
  <si>
    <t>NFA-2020-RBAC-REGIII-029</t>
  </si>
  <si>
    <t>BPB 2020-027</t>
  </si>
  <si>
    <t>CCSPC-INFRA-001-2020</t>
  </si>
  <si>
    <t>0803202001</t>
  </si>
  <si>
    <t>NNP-2020-024</t>
  </si>
  <si>
    <t>2020-001-02</t>
  </si>
  <si>
    <t>NNP 2020-026</t>
  </si>
  <si>
    <t>R9-2020-06-020</t>
  </si>
  <si>
    <t>ANHS Procurement 3-7</t>
  </si>
  <si>
    <t>ITB202009</t>
  </si>
  <si>
    <t>NNP 2020-025</t>
  </si>
  <si>
    <t>jayon-Bac-B-08-08-2020</t>
  </si>
  <si>
    <t>SJMC-2020-006</t>
  </si>
  <si>
    <t>R9-2020-06-023</t>
  </si>
  <si>
    <t>PR No. 2020.07.008</t>
  </si>
  <si>
    <t>KC-2020-12-0298</t>
  </si>
  <si>
    <t>KC-2020-07-0291</t>
  </si>
  <si>
    <t>2020-0001</t>
  </si>
  <si>
    <t>PB INFRA 20-055</t>
  </si>
  <si>
    <t>PB INFRA 20-057</t>
  </si>
  <si>
    <t>Goods-2020-009</t>
  </si>
  <si>
    <t>PB INFRA 20-047</t>
  </si>
  <si>
    <t>2020-601-035</t>
  </si>
  <si>
    <t>07-2020-1237</t>
  </si>
  <si>
    <t>07-2020-1236</t>
  </si>
  <si>
    <t>20CB-GSC-481	GENERAL MERCHANDISE (RE-BID)</t>
  </si>
  <si>
    <t>2020-07-003</t>
  </si>
  <si>
    <t>PB INFRA 20-053</t>
  </si>
  <si>
    <t>ITB No. 2020-08-058</t>
  </si>
  <si>
    <t>025</t>
  </si>
  <si>
    <t>SJMC-2020-002</t>
  </si>
  <si>
    <t>PHO 200-20-06-06524</t>
  </si>
  <si>
    <t>2020-017R-A</t>
  </si>
  <si>
    <t>SCAA 200-20-06-06689</t>
  </si>
  <si>
    <t>026</t>
  </si>
  <si>
    <t>NFA-2020-RBAC-REGIII-013</t>
  </si>
  <si>
    <t>SJMC-2020-007</t>
  </si>
  <si>
    <t>ITB202008</t>
  </si>
  <si>
    <t>PB INFRA 20-058</t>
  </si>
  <si>
    <t>PGSO 200-20-07-08437</t>
  </si>
  <si>
    <t>PB-20-378</t>
  </si>
  <si>
    <t>2020-007-004</t>
  </si>
  <si>
    <t>CSJ-2020-037</t>
  </si>
  <si>
    <t>7-2020-1167</t>
  </si>
  <si>
    <t>080220203</t>
  </si>
  <si>
    <t>080120202</t>
  </si>
  <si>
    <t>ITB 002 PROPOSED IMPROVEMENT OF BARANGAY FACILITIE</t>
  </si>
  <si>
    <t>080120201</t>
  </si>
  <si>
    <t>ITB-2020-09-002</t>
  </si>
  <si>
    <t>ITB-2020-09-001</t>
  </si>
  <si>
    <t>PB-ALBAYGOODS 20-01</t>
  </si>
  <si>
    <t>08012020</t>
  </si>
  <si>
    <t>SB4 WDP 300-20-07-09106</t>
  </si>
  <si>
    <t>ITB GOODS NO. 2020-003</t>
  </si>
  <si>
    <t>PR 07-3763</t>
  </si>
  <si>
    <t>2020-02-001</t>
  </si>
  <si>
    <t>PGO 200-20-05-05987</t>
  </si>
  <si>
    <t>ITB-2020-01</t>
  </si>
  <si>
    <t>ASA 200-20-06-07126</t>
  </si>
  <si>
    <t>PIP PIO 200-20-05-04961</t>
  </si>
  <si>
    <t>SB4 NMH 200-20-07-07991</t>
  </si>
  <si>
    <t>20GKC0013</t>
  </si>
  <si>
    <t>QMH 300-20-06-07629</t>
  </si>
  <si>
    <t>IPMR 200-20-06-06691</t>
  </si>
  <si>
    <t>20GKC0012</t>
  </si>
  <si>
    <t>RMH 200-20-06-07627</t>
  </si>
  <si>
    <t>19DN0232</t>
  </si>
  <si>
    <t>SB1 NMH 200-20-06-07907</t>
  </si>
  <si>
    <t>PB2020-07-008 GAA</t>
  </si>
  <si>
    <t>07-2020-01I</t>
  </si>
  <si>
    <t>SB4 WDP 300-20-07-09105</t>
  </si>
  <si>
    <t>02newcomdambuk20</t>
  </si>
  <si>
    <t>649bgy2020-02</t>
  </si>
  <si>
    <t>CM 20-08-002</t>
  </si>
  <si>
    <t>CM 20-08-003</t>
  </si>
  <si>
    <t>CM 20-08-001</t>
  </si>
  <si>
    <t>NPPH 200-20-06-07122</t>
  </si>
  <si>
    <t>ITB 2020-021</t>
  </si>
  <si>
    <t>OVG 200-20-05-05468</t>
  </si>
  <si>
    <t>101-8917-2020-07-09</t>
  </si>
  <si>
    <t>INFRA 2020-07-001</t>
  </si>
  <si>
    <t>BIMP 200-20-06-06690</t>
  </si>
  <si>
    <t>101-8917-2020-07-08</t>
  </si>
  <si>
    <t>2020-ITB-08-053</t>
  </si>
  <si>
    <t>2020-ITB-08-051</t>
  </si>
  <si>
    <t>101-8917-2020-07-07</t>
  </si>
  <si>
    <t>2020-ITB-08-052</t>
  </si>
  <si>
    <t>2020-ITB-08-048</t>
  </si>
  <si>
    <t>101-8917-2020-07-06</t>
  </si>
  <si>
    <t>2020-ITB-08-050</t>
  </si>
  <si>
    <t>GF-G-75-2020</t>
  </si>
  <si>
    <t>2020-ITB-08-049</t>
  </si>
  <si>
    <t>2020-ITB-08-068</t>
  </si>
  <si>
    <t>2020-ITB-08-067</t>
  </si>
  <si>
    <t>2020-ITB-08-064</t>
  </si>
  <si>
    <t>2020-ITB-08-066</t>
  </si>
  <si>
    <t>2020-ITB-08-063</t>
  </si>
  <si>
    <t>2020-ITB-08-065</t>
  </si>
  <si>
    <t>2020-ITB-08-062</t>
  </si>
  <si>
    <t>2020-ITB-08-061</t>
  </si>
  <si>
    <t>2020-ITB-08-060</t>
  </si>
  <si>
    <t>2020-ITB-058</t>
  </si>
  <si>
    <t>BCS-2020-0252</t>
  </si>
  <si>
    <t>2020-ITB-08-069</t>
  </si>
  <si>
    <t>649bgy2020-01</t>
  </si>
  <si>
    <t>2020-ITB-08-054</t>
  </si>
  <si>
    <t>20CSDQ03</t>
  </si>
  <si>
    <t>2020-ITB-08-059</t>
  </si>
  <si>
    <t>GOODS-038-2020</t>
  </si>
  <si>
    <t>20CSDQ02</t>
  </si>
  <si>
    <t>SolarStlights2020-1Aug-2</t>
  </si>
  <si>
    <t>20CSE013</t>
  </si>
  <si>
    <t>20GHF0008</t>
  </si>
  <si>
    <t>ITB2020-08-001 STA. CRUZ</t>
  </si>
  <si>
    <t>INFRA-2020-01</t>
  </si>
  <si>
    <t>2020-PB-001</t>
  </si>
  <si>
    <t>20CSDQ01</t>
  </si>
  <si>
    <t>B-8661-20-17</t>
  </si>
  <si>
    <t>20GHF0007</t>
  </si>
  <si>
    <t>2020-011C</t>
  </si>
  <si>
    <t>CWD 35-2020</t>
  </si>
  <si>
    <t>BCS-2020-0251</t>
  </si>
  <si>
    <t>20-12</t>
  </si>
  <si>
    <t>GEPS-18-2020</t>
  </si>
  <si>
    <t>20GEB0022-R1</t>
  </si>
  <si>
    <t>DA7-08-FOD-R-20-2981</t>
  </si>
  <si>
    <t>DA7-08-FOD-C-20-2904</t>
  </si>
  <si>
    <t>2020-010C</t>
  </si>
  <si>
    <t>2020-08-LOYALTY</t>
  </si>
  <si>
    <t>2020-009C</t>
  </si>
  <si>
    <t>2020-008C</t>
  </si>
  <si>
    <t>2020-007C</t>
  </si>
  <si>
    <t>2020-006C-A</t>
  </si>
  <si>
    <t>20-13</t>
  </si>
  <si>
    <t>DA7-08-FOD-OA-20-3018</t>
  </si>
  <si>
    <t>2020-A</t>
  </si>
  <si>
    <t>RDD CW-5% 2020-04</t>
  </si>
  <si>
    <t>2020-001-SK</t>
  </si>
  <si>
    <t>20CSE014</t>
  </si>
  <si>
    <t>2020-ITB-08-047</t>
  </si>
  <si>
    <t>20CSDQ04</t>
  </si>
  <si>
    <t>2020-ITB-08-070</t>
  </si>
  <si>
    <t>PROJECT ID NO. I-2020-016</t>
  </si>
  <si>
    <t>GMRS-PNBAC2-2020-05</t>
  </si>
  <si>
    <t>2020-ITB-08-056</t>
  </si>
  <si>
    <t>2020-ITB-08-071</t>
  </si>
  <si>
    <t>2020-ITB-08-055</t>
  </si>
  <si>
    <t>20DN0180</t>
  </si>
  <si>
    <t>2020-ITB-08-057</t>
  </si>
  <si>
    <t>20DN0135 (Re-bid)</t>
  </si>
  <si>
    <t>DOST IX-20-004</t>
  </si>
  <si>
    <t>221-3322-2020-07-02</t>
  </si>
  <si>
    <t>20DN0179</t>
  </si>
  <si>
    <t>GF(MOOE)2020-DAG-2020(013)</t>
  </si>
  <si>
    <t>20GEB0058-R1</t>
  </si>
  <si>
    <t>20CB-GSC-487	REHABILITATION OF MITSUBISHI L300 FOR</t>
  </si>
  <si>
    <t>2020-172</t>
  </si>
  <si>
    <t>BCS-2020-0250</t>
  </si>
  <si>
    <t>KC-2020-07-0289</t>
  </si>
  <si>
    <t>KC-2020-07-0288</t>
  </si>
  <si>
    <t>2020-176</t>
  </si>
  <si>
    <t>20GDK0046</t>
  </si>
  <si>
    <t>AGR-20-0924-B</t>
  </si>
  <si>
    <t>AGR-20-0925-B</t>
  </si>
  <si>
    <t>REROOFINGGIDWHSEMBT</t>
  </si>
  <si>
    <t>ITB 06-2020</t>
  </si>
  <si>
    <t>Infra Projects 21-2020</t>
  </si>
  <si>
    <t>Infra Projects 20-2020</t>
  </si>
  <si>
    <t>CYN-BAC-2020-51</t>
  </si>
  <si>
    <t>03-2019</t>
  </si>
  <si>
    <t>CYN-BAC-2020-48</t>
  </si>
  <si>
    <t>SUC 2020-07-002</t>
  </si>
  <si>
    <t>VS-2020-035</t>
  </si>
  <si>
    <t>INFRA-2020-07-48</t>
  </si>
  <si>
    <t>ESP-GOODS-015-2020</t>
  </si>
  <si>
    <t>CYN-BAC-2020-50</t>
  </si>
  <si>
    <t>PWN-2020-H-005</t>
  </si>
  <si>
    <t>2020-GIBAC-PB-022</t>
  </si>
  <si>
    <t>20PBTNMSC11-G</t>
  </si>
  <si>
    <t>ITB-2020-08-056</t>
  </si>
  <si>
    <t>CB-20-08-A-01</t>
  </si>
  <si>
    <t>ITB No. 2020-GOODS-8(06)</t>
  </si>
  <si>
    <t>20PBTNMSC10-G</t>
  </si>
  <si>
    <t>CYN-BAC-2020-52</t>
  </si>
  <si>
    <t>LGU-M-INFRA-19-20</t>
  </si>
  <si>
    <t>RFQ No. 1035-20</t>
  </si>
  <si>
    <t>ITB No. 2020-GOODS-8(02)</t>
  </si>
  <si>
    <t>Bac-Pg-003-20</t>
  </si>
  <si>
    <t>ITB-2020-08-061</t>
  </si>
  <si>
    <t>ITB 2020-085</t>
  </si>
  <si>
    <t>lgu-es-20-08-189</t>
  </si>
  <si>
    <t>RE-IB No.DE-2020-006</t>
  </si>
  <si>
    <t>Damacan 2020-08-01</t>
  </si>
  <si>
    <t>IB No. MM-2020-033(m)</t>
  </si>
  <si>
    <t>Damacan 2020-08-02</t>
  </si>
  <si>
    <t>2020-13-039-INFRA</t>
  </si>
  <si>
    <t>ppn-142-2020</t>
  </si>
  <si>
    <t>20-07-064</t>
  </si>
  <si>
    <t>20-08-0195</t>
  </si>
  <si>
    <t>BAG-1-2020-052</t>
  </si>
  <si>
    <t>RFQ No. 20-08-048P</t>
  </si>
  <si>
    <t>RFP-20-08-004</t>
  </si>
  <si>
    <t>CYN-BAC-2020-53</t>
  </si>
  <si>
    <t>2020-07-004</t>
  </si>
  <si>
    <t>2020-07-323</t>
  </si>
  <si>
    <t>004-RFQ-01-MEO-20</t>
  </si>
  <si>
    <t>sal-2020-006</t>
  </si>
  <si>
    <t>2020-07-00618</t>
  </si>
  <si>
    <t>090</t>
  </si>
  <si>
    <t>20PA0137</t>
  </si>
  <si>
    <t>CS 20-007</t>
  </si>
  <si>
    <t>INF-2020-003</t>
  </si>
  <si>
    <t>2020223</t>
  </si>
  <si>
    <t>2020-08-384-07</t>
  </si>
  <si>
    <t>PR No. 2020-08</t>
  </si>
  <si>
    <t>171, 185</t>
  </si>
  <si>
    <t>023-BAC-02-MMO-20</t>
  </si>
  <si>
    <t>SEF-I-69-2020</t>
  </si>
  <si>
    <t>DA7-08-FOD-L-20-2842</t>
  </si>
  <si>
    <t>2020-03-0474</t>
  </si>
  <si>
    <t>INFRA 2020-17</t>
  </si>
  <si>
    <t>2020-039 Improvement of Basketball Court</t>
  </si>
  <si>
    <t>2020-G-331</t>
  </si>
  <si>
    <t>20-07-07-0237</t>
  </si>
  <si>
    <t>2019_01</t>
  </si>
  <si>
    <t>2020 - 001</t>
  </si>
  <si>
    <t>08-04-2020-306</t>
  </si>
  <si>
    <t>2020-G-289</t>
  </si>
  <si>
    <t>PB20-08</t>
  </si>
  <si>
    <t>GOODS-2020-34</t>
  </si>
  <si>
    <t>CONVERGE-2020-0903-P-1</t>
  </si>
  <si>
    <t>GOODS-2020-33</t>
  </si>
  <si>
    <t>2020-07-021</t>
  </si>
  <si>
    <t>G-2020-075</t>
  </si>
  <si>
    <t>2020-07-412</t>
  </si>
  <si>
    <t>G-129-20</t>
  </si>
  <si>
    <t>2020-07-510</t>
  </si>
  <si>
    <t>PR NO. 2020-07-021</t>
  </si>
  <si>
    <t>MS2020-07.036.5</t>
  </si>
  <si>
    <t>MS2020-07-036.4</t>
  </si>
  <si>
    <t>MS2020-07-036.2</t>
  </si>
  <si>
    <t>2020-07-451</t>
  </si>
  <si>
    <t>MS2020-07-036.1</t>
  </si>
  <si>
    <t>NOLI-2020-0034</t>
  </si>
  <si>
    <t>MS2020-07-036.6</t>
  </si>
  <si>
    <t>2020-08-BLGU-BI-TF-0030</t>
  </si>
  <si>
    <t>DRL-20-0327-B</t>
  </si>
  <si>
    <t>CHO-20-098</t>
  </si>
  <si>
    <t>2020-008-007</t>
  </si>
  <si>
    <t>S01-Aug2020</t>
  </si>
  <si>
    <t>SINS-Inf-2019-12</t>
  </si>
  <si>
    <t>20-08-05-05</t>
  </si>
  <si>
    <t>20GAF0056SVP</t>
  </si>
  <si>
    <t>07-77-2020</t>
  </si>
  <si>
    <t>20-07-599</t>
  </si>
  <si>
    <t>20-07-104</t>
  </si>
  <si>
    <t>Contract ID 20JH0066</t>
  </si>
  <si>
    <t>COB BAC INFRA 2020-005-007</t>
  </si>
  <si>
    <t>20GAF0057SVP</t>
  </si>
  <si>
    <t>COB BAC INFRA 2020-005-006</t>
  </si>
  <si>
    <t>COB BAC INFRA 2020-005-004</t>
  </si>
  <si>
    <t>COB BAC INFRA 2020-005-001</t>
  </si>
  <si>
    <t>COB BAC INFRA 2020-005-003</t>
  </si>
  <si>
    <t>ID NO. TPDF-MAL-SDN-10-20</t>
  </si>
  <si>
    <t>COB BAC INFRA 2020-005-005</t>
  </si>
  <si>
    <t>COB BAC INFRA 2020-005-008</t>
  </si>
  <si>
    <t>2020-07-1015</t>
  </si>
  <si>
    <t>DA7-08-FOD-C-20-2993</t>
  </si>
  <si>
    <t>COB BAC INFRA 2020-005-002</t>
  </si>
  <si>
    <t>20KD0070</t>
  </si>
  <si>
    <t>2020-08-NO-POP-GF-0028</t>
  </si>
  <si>
    <t>2020-07-1016</t>
  </si>
  <si>
    <t>MS2020-07-036.3</t>
  </si>
  <si>
    <t>2020-014C</t>
  </si>
  <si>
    <t>INFRA2020-IPP-010 SUPPLY OF LABOR &amp; MATERIALS- REP</t>
  </si>
  <si>
    <t>2020-015C</t>
  </si>
  <si>
    <t>SHS-002-01</t>
  </si>
  <si>
    <t>2020-115</t>
  </si>
  <si>
    <t>2020-013C</t>
  </si>
  <si>
    <t>COB BAC INFRA 2020-005-010</t>
  </si>
  <si>
    <t>G2020 009</t>
  </si>
  <si>
    <t>COB BAC INFRA 2020-005-009</t>
  </si>
  <si>
    <t>202072901</t>
  </si>
  <si>
    <t>PBgoods021-2020</t>
  </si>
  <si>
    <t>Bacong - 002-2020</t>
  </si>
  <si>
    <t>ITB-02</t>
  </si>
  <si>
    <t>SPO-20-0892-B</t>
  </si>
  <si>
    <t>VILLAPAN-2020-006</t>
  </si>
  <si>
    <t>20GKF0046</t>
  </si>
  <si>
    <t>SPUG-LUZ20-020</t>
  </si>
  <si>
    <t>BCS-2020-0246</t>
  </si>
  <si>
    <t>2007-038-01</t>
  </si>
  <si>
    <t>BCS-2020-0245</t>
  </si>
  <si>
    <t>BCS-2020-0244</t>
  </si>
  <si>
    <t>JHS-002-002</t>
  </si>
  <si>
    <t>20AD0097</t>
  </si>
  <si>
    <t>2020-07-009-E</t>
  </si>
  <si>
    <t>2020-07-11</t>
  </si>
  <si>
    <t>2020-0729-2</t>
  </si>
  <si>
    <t>BUE-07302020-01</t>
  </si>
  <si>
    <t>ITB No. 2020-I-P9-01</t>
  </si>
  <si>
    <t>HFW-2020-07-0286</t>
  </si>
  <si>
    <t>Mal123</t>
  </si>
  <si>
    <t>20-022</t>
  </si>
  <si>
    <t>BCS-2020-0242</t>
  </si>
  <si>
    <t>033</t>
  </si>
  <si>
    <t>20-07-067</t>
  </si>
  <si>
    <t>2020-06-277</t>
  </si>
  <si>
    <t>018-0820-CP</t>
  </si>
  <si>
    <t>ITB No. 2020-I-P8-01</t>
  </si>
  <si>
    <t>BCS-2020-0243</t>
  </si>
  <si>
    <t>20AD0098</t>
  </si>
  <si>
    <t>2020-100-07-471</t>
  </si>
  <si>
    <t>2020-170A</t>
  </si>
  <si>
    <t>ITB-TASS-07-09-2020</t>
  </si>
  <si>
    <t>ITB-2020-06-004</t>
  </si>
  <si>
    <t>HFW-2020-07-0285</t>
  </si>
  <si>
    <t>GOODS-63-2020</t>
  </si>
  <si>
    <t>2020-016C</t>
  </si>
  <si>
    <t>PR No. 300-20-376</t>
  </si>
  <si>
    <t>20-07-010</t>
  </si>
  <si>
    <t>brgy.sapa</t>
  </si>
  <si>
    <t>CP 2020-49 B</t>
  </si>
  <si>
    <t>7-20-35</t>
  </si>
  <si>
    <t>20GFL0004</t>
  </si>
  <si>
    <t>9000.48</t>
  </si>
  <si>
    <t>2020-07-29</t>
  </si>
  <si>
    <t>BLGU Aguinaldo 2020-07-016</t>
  </si>
  <si>
    <t>2020-017C</t>
  </si>
  <si>
    <t>BLGU Aguinaldo 2020-07-017</t>
  </si>
  <si>
    <t>CP 2020-45 B</t>
  </si>
  <si>
    <t>Mabuhay 2020-07-001</t>
  </si>
  <si>
    <t>BInfr-2020-13</t>
  </si>
  <si>
    <t>GOODS PROC 011-2020</t>
  </si>
  <si>
    <t>INFRA-2020-02</t>
  </si>
  <si>
    <t>20010183</t>
  </si>
  <si>
    <t>2020-C9-05</t>
  </si>
  <si>
    <t>20074419</t>
  </si>
  <si>
    <t>CP 2020-52 B</t>
  </si>
  <si>
    <t>2020-C9-04</t>
  </si>
  <si>
    <t>2020-C9-03</t>
  </si>
  <si>
    <t>035</t>
  </si>
  <si>
    <t>sanpedro123</t>
  </si>
  <si>
    <t>CP 2020-51 B</t>
  </si>
  <si>
    <t>PBgoods022-2020</t>
  </si>
  <si>
    <t>20074380</t>
  </si>
  <si>
    <t>20HF0101</t>
  </si>
  <si>
    <t>50-20-07-059</t>
  </si>
  <si>
    <t>CID-2020-021</t>
  </si>
  <si>
    <t>G-082-0539-20</t>
  </si>
  <si>
    <t>BAC-HOJ-005-20</t>
  </si>
  <si>
    <t>20GEF015</t>
  </si>
  <si>
    <t>20GEF014</t>
  </si>
  <si>
    <t>20074384</t>
  </si>
  <si>
    <t>20GEF013</t>
  </si>
  <si>
    <t>G-081-0538-20</t>
  </si>
  <si>
    <t>INFRA-2020-03</t>
  </si>
  <si>
    <t>20NH0093</t>
  </si>
  <si>
    <t>2020-C9-06</t>
  </si>
  <si>
    <t>20GEF011 (Re-bid 1)</t>
  </si>
  <si>
    <t>20HF0100</t>
  </si>
  <si>
    <t>QSU-BAC-G-54-2020 DA-ACEF</t>
  </si>
  <si>
    <t>2020-018C</t>
  </si>
  <si>
    <t>2020-C9-02</t>
  </si>
  <si>
    <t>INFRA-2020-04</t>
  </si>
  <si>
    <t>ITB20200702</t>
  </si>
  <si>
    <t>2020-C9-01</t>
  </si>
  <si>
    <t>07-130-2020</t>
  </si>
  <si>
    <t>7-20-36</t>
  </si>
  <si>
    <t>CP 2020-50 B</t>
  </si>
  <si>
    <t>2020 INFRA 029</t>
  </si>
  <si>
    <t>HFW-2020-05-0157</t>
  </si>
  <si>
    <t>2020-012C</t>
  </si>
  <si>
    <t>RDD  GO-2020-22</t>
  </si>
  <si>
    <t>07-231-2020</t>
  </si>
  <si>
    <t>034</t>
  </si>
  <si>
    <t>IBTGH No. 2020-009</t>
  </si>
  <si>
    <t>G2020 020</t>
  </si>
  <si>
    <t>20GAF0055SVP</t>
  </si>
  <si>
    <t>GHQPC-OJ4-REPE-1654-20</t>
  </si>
  <si>
    <t>EMB-R4B-25-20</t>
  </si>
  <si>
    <t>20KJ0189</t>
  </si>
  <si>
    <t>2020-SIB-10</t>
  </si>
  <si>
    <t>2020-07-091bid</t>
  </si>
  <si>
    <t>20HF0102</t>
  </si>
  <si>
    <t>20074324</t>
  </si>
  <si>
    <t>HFW-2020-07-292</t>
  </si>
  <si>
    <t>ITB-INFRA 2020-01</t>
  </si>
  <si>
    <t>2020-SIB-05</t>
  </si>
  <si>
    <t>29</t>
  </si>
  <si>
    <t>20064074</t>
  </si>
  <si>
    <t>BAG-1-2020-051</t>
  </si>
  <si>
    <t>20074339</t>
  </si>
  <si>
    <t>20GP0073</t>
  </si>
  <si>
    <t>BFAR5BAC-2020-145</t>
  </si>
  <si>
    <t>MA-A2O20-003</t>
  </si>
  <si>
    <t>20074290</t>
  </si>
  <si>
    <t>100(18)20-07-452(O)</t>
  </si>
  <si>
    <t>0020-0225-1159-2020</t>
  </si>
  <si>
    <t>100200300379</t>
  </si>
  <si>
    <t>ITB 07-005-20</t>
  </si>
  <si>
    <t>20074483</t>
  </si>
  <si>
    <t>DF-I-23-2020</t>
  </si>
  <si>
    <t>ITB 07-007-20</t>
  </si>
  <si>
    <t>401-20-07-582</t>
  </si>
  <si>
    <t>AREA V- 2020-SVP-037</t>
  </si>
  <si>
    <t>NAPO-INB-2020-07-001</t>
  </si>
  <si>
    <t>PR-07-2020-352</t>
  </si>
  <si>
    <t>PR-07-2020-357</t>
  </si>
  <si>
    <t>7-48-20</t>
  </si>
  <si>
    <t>20-314</t>
  </si>
  <si>
    <t>DF-I-22-2020</t>
  </si>
  <si>
    <t>ITB 07-006-20</t>
  </si>
  <si>
    <t>mda130</t>
  </si>
  <si>
    <t>20GP0074</t>
  </si>
  <si>
    <t>cal07292020-07</t>
  </si>
  <si>
    <t>cal07292020-08</t>
  </si>
  <si>
    <t>100(18)20-02-124(O)</t>
  </si>
  <si>
    <t>INFRA-44-2020</t>
  </si>
  <si>
    <t>LAPGAP-01-2020</t>
  </si>
  <si>
    <t>20KF0135</t>
  </si>
  <si>
    <t>CAL07292020-09</t>
  </si>
  <si>
    <t>100(01)20-07-401(O)</t>
  </si>
  <si>
    <t>SJADS GOODS 20-10</t>
  </si>
  <si>
    <t>RQ 07-247</t>
  </si>
  <si>
    <t>ITB-2020-34</t>
  </si>
  <si>
    <t>AREA V- 2020-SVP-036</t>
  </si>
  <si>
    <t>0821</t>
  </si>
  <si>
    <t>RQ 07-237</t>
  </si>
  <si>
    <t>Sarrat-2020-026</t>
  </si>
  <si>
    <t>RQ 07-236</t>
  </si>
  <si>
    <t>2020-C9-08</t>
  </si>
  <si>
    <t>2020-C9-07</t>
  </si>
  <si>
    <t>S3-MAN20-017</t>
  </si>
  <si>
    <t>sra2020-004</t>
  </si>
  <si>
    <t>100(01)20-07-405(O)</t>
  </si>
  <si>
    <t>20OD0215</t>
  </si>
  <si>
    <t>100(18)20-07-451(O)</t>
  </si>
  <si>
    <t>RQ 07-063A</t>
  </si>
  <si>
    <t>PR#20-092</t>
  </si>
  <si>
    <t>ITB 2020 - 087</t>
  </si>
  <si>
    <t>PR2020-07-00070</t>
  </si>
  <si>
    <t>PR-2020-02-245</t>
  </si>
  <si>
    <t>2020-C9-11</t>
  </si>
  <si>
    <t>ITB 08-04-2020</t>
  </si>
  <si>
    <t>LAPGAP-02-2020</t>
  </si>
  <si>
    <t>FCT-2020-03</t>
  </si>
  <si>
    <t>G39-2020</t>
  </si>
  <si>
    <t>PR#20-091</t>
  </si>
  <si>
    <t>100(01)20-07-404(O)</t>
  </si>
  <si>
    <t>100(01)20-07-403(O)</t>
  </si>
  <si>
    <t>2020-C9-09</t>
  </si>
  <si>
    <t>100(01)20-07-402(O)</t>
  </si>
  <si>
    <t>2020-C9-10</t>
  </si>
  <si>
    <t>ITB 100-2020-07-12</t>
  </si>
  <si>
    <t>RQ 07-064A</t>
  </si>
  <si>
    <t>PR#20-07-0743</t>
  </si>
  <si>
    <t>RQ 07-060A</t>
  </si>
  <si>
    <t>S3-PDM20-022</t>
  </si>
  <si>
    <t>CATCAM-2020-22</t>
  </si>
  <si>
    <t>G38-2020</t>
  </si>
  <si>
    <t>IbajayNHS-2020-07-01</t>
  </si>
  <si>
    <t>DF-I-21-2020</t>
  </si>
  <si>
    <t>20CSKG03</t>
  </si>
  <si>
    <t>20KJ0191</t>
  </si>
  <si>
    <t>ITB-20-07-005</t>
  </si>
  <si>
    <t>2020-07-263</t>
  </si>
  <si>
    <t>20074260</t>
  </si>
  <si>
    <t>08-005-20</t>
  </si>
  <si>
    <t>P.R NO 0736 SERIES 2020</t>
  </si>
  <si>
    <t>PR#20-095</t>
  </si>
  <si>
    <t>RQ 07-059A</t>
  </si>
  <si>
    <t>2020-C9-14</t>
  </si>
  <si>
    <t>20-07-271</t>
  </si>
  <si>
    <t>098765</t>
  </si>
  <si>
    <t>ITB 2020 - 088</t>
  </si>
  <si>
    <t>20KJ0190</t>
  </si>
  <si>
    <t>2020-C9-13</t>
  </si>
  <si>
    <t>RQ 07-062A</t>
  </si>
  <si>
    <t>EOI 08-01-2020</t>
  </si>
  <si>
    <t>PR#20-093</t>
  </si>
  <si>
    <t>07-30-20-11</t>
  </si>
  <si>
    <t>IAEB NO. 2020-011</t>
  </si>
  <si>
    <t>0020-0277-1287-2020</t>
  </si>
  <si>
    <t>ITB 08-06-2020</t>
  </si>
  <si>
    <t>infra-45-2020</t>
  </si>
  <si>
    <t>2020-C9-12</t>
  </si>
  <si>
    <t>ITB 08-05-2020</t>
  </si>
  <si>
    <t>cal07292020-10</t>
  </si>
  <si>
    <t>APP-10404130C-S-2020</t>
  </si>
  <si>
    <t>20AF0080</t>
  </si>
  <si>
    <t>CWD 36-2020</t>
  </si>
  <si>
    <t>RQ 07-061A</t>
  </si>
  <si>
    <t>100(18)20-07-406(O)</t>
  </si>
  <si>
    <t>rfq#2020-01-1,138-pho</t>
  </si>
  <si>
    <t>20PK0072</t>
  </si>
  <si>
    <t>202007300001</t>
  </si>
  <si>
    <t>20-07-273</t>
  </si>
  <si>
    <t>S - 2020 - 05</t>
  </si>
  <si>
    <t>G-2020-031</t>
  </si>
  <si>
    <t>cal07292020-11</t>
  </si>
  <si>
    <t>20CSKB01</t>
  </si>
  <si>
    <t>20-07-272</t>
  </si>
  <si>
    <t>PR#20-094</t>
  </si>
  <si>
    <t>20PG0064</t>
  </si>
  <si>
    <t>2020-07-051</t>
  </si>
  <si>
    <t>100(18)20-07-407(O)</t>
  </si>
  <si>
    <t>004-2020-I</t>
  </si>
  <si>
    <t>0020-0277-1287A2020</t>
  </si>
  <si>
    <t>ITB No. 2020-026</t>
  </si>
  <si>
    <t>C-PEO-059-20</t>
  </si>
  <si>
    <t>0020-0278-1291-2020</t>
  </si>
  <si>
    <t>20CSCN02</t>
  </si>
  <si>
    <t>20ITB-G-03-00053</t>
  </si>
  <si>
    <t>lgu-2020-030</t>
  </si>
  <si>
    <t>073020</t>
  </si>
  <si>
    <t>1091-101-2020-07-342</t>
  </si>
  <si>
    <t>20-07-260</t>
  </si>
  <si>
    <t>CDC 58-07-2020</t>
  </si>
  <si>
    <t>cal07292020-12</t>
  </si>
  <si>
    <t>LGULILA-07-2020</t>
  </si>
  <si>
    <t>SJADS INFRA 20-09</t>
  </si>
  <si>
    <t>Infra-20-12</t>
  </si>
  <si>
    <t>BAC RFQ 20-545</t>
  </si>
  <si>
    <t>076</t>
  </si>
  <si>
    <t>ITB No. 2020-027</t>
  </si>
  <si>
    <t>21CSIA001 Conduct of Soil Exploration for the wide</t>
  </si>
  <si>
    <t>ICITB07302020A</t>
  </si>
  <si>
    <t>2020-07-30</t>
  </si>
  <si>
    <t>20-07-275</t>
  </si>
  <si>
    <t>20-098</t>
  </si>
  <si>
    <t>IAEB-2020-I004</t>
  </si>
  <si>
    <t>PR# 10-20-06-453,454,455,456,457,458,459,460,461,4</t>
  </si>
  <si>
    <t>005-2020-I</t>
  </si>
  <si>
    <t>RQ 07-271</t>
  </si>
  <si>
    <t>ITB-08-2020</t>
  </si>
  <si>
    <t>Sarrat-2020-027</t>
  </si>
  <si>
    <t>pr#101-20-07-521,522,523,524,525,526,527,528,529</t>
  </si>
  <si>
    <t>20NPNMSC12 - C</t>
  </si>
  <si>
    <t>PR# 20-08-0947</t>
  </si>
  <si>
    <t>PB 07-07-2020</t>
  </si>
  <si>
    <t>2020-08-82</t>
  </si>
  <si>
    <t>20201669</t>
  </si>
  <si>
    <t>100-20-08-0948</t>
  </si>
  <si>
    <t>2020-0295</t>
  </si>
  <si>
    <t>C-2020-002</t>
  </si>
  <si>
    <t>2020-08-065</t>
  </si>
  <si>
    <t>AUGUST52020-4</t>
  </si>
  <si>
    <t>20-03-0163</t>
  </si>
  <si>
    <t>2020 Caib 135</t>
  </si>
  <si>
    <t>2020-07-08</t>
  </si>
  <si>
    <t>ECV-20GEE0049</t>
  </si>
  <si>
    <t>20HK0116</t>
  </si>
  <si>
    <t>SF Infra 2020-12</t>
  </si>
  <si>
    <t>SF Infra 2020-11</t>
  </si>
  <si>
    <t>CAR-ADN-2020-100</t>
  </si>
  <si>
    <t>20-030</t>
  </si>
  <si>
    <t>20MADD0034</t>
  </si>
  <si>
    <t>09-08-05-01</t>
  </si>
  <si>
    <t>2020-08-064</t>
  </si>
  <si>
    <t>BLGU-BAYBAYON2020-001</t>
  </si>
  <si>
    <t>gsis/npsvp-251-20</t>
  </si>
  <si>
    <t>CAR-ADN-2020-099</t>
  </si>
  <si>
    <t>CDH-20-0825-B</t>
  </si>
  <si>
    <t>CDH-20-0823-B</t>
  </si>
  <si>
    <t>07-012-474-20</t>
  </si>
  <si>
    <t>08202006</t>
  </si>
  <si>
    <t>20-07-02</t>
  </si>
  <si>
    <t>FCT-2020-04</t>
  </si>
  <si>
    <t>2020- NFA-RBAC8-INFR- 19</t>
  </si>
  <si>
    <t>MIL-INFR-2020-07-01</t>
  </si>
  <si>
    <t>S3-SPUGWM20-003 (NP4)</t>
  </si>
  <si>
    <t>IAEB-2020-I003</t>
  </si>
  <si>
    <t>SF-02-07-20-Goods</t>
  </si>
  <si>
    <t>08202008</t>
  </si>
  <si>
    <t>ITB-035-2020</t>
  </si>
  <si>
    <t>08202009</t>
  </si>
  <si>
    <t>S3-B1920-009 (NP-2)</t>
  </si>
  <si>
    <t>ITB No. (INF) 2020-07-113 CONSTRUCTION OF MULTI-PU</t>
  </si>
  <si>
    <t>077</t>
  </si>
  <si>
    <t>S3-JOL20-017 (NP4)</t>
  </si>
  <si>
    <t>20-07-278</t>
  </si>
  <si>
    <t>SF-01-07-20-GOODS</t>
  </si>
  <si>
    <t>2020-ODY-07-250</t>
  </si>
  <si>
    <t>104-2020</t>
  </si>
  <si>
    <t>OGDS 07-30-20</t>
  </si>
  <si>
    <t>CN-2020-03-134</t>
  </si>
  <si>
    <t>20-07-277</t>
  </si>
  <si>
    <t>08202011</t>
  </si>
  <si>
    <t>202007300002</t>
  </si>
  <si>
    <t>17</t>
  </si>
  <si>
    <t>101-1011-2020-06-154</t>
  </si>
  <si>
    <t>Goods-2020-PB-O3</t>
  </si>
  <si>
    <t>20-07-001</t>
  </si>
  <si>
    <t>DOST IX-20-003B</t>
  </si>
  <si>
    <t>ITB 2020-024</t>
  </si>
  <si>
    <t>GOODS-2020-156</t>
  </si>
  <si>
    <t>RFQ No. MCS-20-07-062</t>
  </si>
  <si>
    <t>DAR-ADS PB-2020-OS-07-216</t>
  </si>
  <si>
    <t>20HM0093</t>
  </si>
  <si>
    <t>ITB NO: 2020-008-037</t>
  </si>
  <si>
    <t>07-30-2020-3</t>
  </si>
  <si>
    <t>2020216</t>
  </si>
  <si>
    <t>FCT-2020-05</t>
  </si>
  <si>
    <t>2020215</t>
  </si>
  <si>
    <t>2020-PBDD-WCSC-07-30-054</t>
  </si>
  <si>
    <t>2020214</t>
  </si>
  <si>
    <t>2020-026cw</t>
  </si>
  <si>
    <t>202007300003</t>
  </si>
  <si>
    <t>0730-001</t>
  </si>
  <si>
    <t>2020221</t>
  </si>
  <si>
    <t>19KA0162</t>
  </si>
  <si>
    <t>GOODS-2020-157</t>
  </si>
  <si>
    <t>ITB# 122-2020 Medical, Dental &amp; Laboratory Supplie</t>
  </si>
  <si>
    <t>PB-Goods-2020-07</t>
  </si>
  <si>
    <t>2020-027cw</t>
  </si>
  <si>
    <t>GS-PNBAC2-2020-35</t>
  </si>
  <si>
    <t>2020-07-008</t>
  </si>
  <si>
    <t>Goods-2020-PB-O2</t>
  </si>
  <si>
    <t>2020219</t>
  </si>
  <si>
    <t>lgu-es-20-184</t>
  </si>
  <si>
    <t>2020- NFA-RBAC8-INFR- 20</t>
  </si>
  <si>
    <t>Infra-05-2020</t>
  </si>
  <si>
    <t>ITB# 123-2020 Medical, Dental &amp; Laboratory Supplie</t>
  </si>
  <si>
    <t>2020217</t>
  </si>
  <si>
    <t>Infra-04-2020</t>
  </si>
  <si>
    <t>202007300004</t>
  </si>
  <si>
    <t>Budget Certificate No. 299 - 2020</t>
  </si>
  <si>
    <t>2020-LINGSAT-05</t>
  </si>
  <si>
    <t>2020-172-I</t>
  </si>
  <si>
    <t>20GGF0022</t>
  </si>
  <si>
    <t>20GGF0021</t>
  </si>
  <si>
    <t>GS-PNBAC2-2020-32</t>
  </si>
  <si>
    <t>GOODS-2020-159</t>
  </si>
  <si>
    <t>ITB# 124-2020 Medical, Dental &amp; Laboratory Supplie</t>
  </si>
  <si>
    <t>GS-PNBAC2-2020-36</t>
  </si>
  <si>
    <t>2020220</t>
  </si>
  <si>
    <t>20-07-283</t>
  </si>
  <si>
    <t>2020-0037</t>
  </si>
  <si>
    <t>20-07-282</t>
  </si>
  <si>
    <t>Budget  Certificate No. 296-2020</t>
  </si>
  <si>
    <t>2020-0035</t>
  </si>
  <si>
    <t>2020-52</t>
  </si>
  <si>
    <t>20-07-280</t>
  </si>
  <si>
    <t>20-07-281</t>
  </si>
  <si>
    <t>GOODS-2020-158</t>
  </si>
  <si>
    <t>2020-SAGNEB-01</t>
  </si>
  <si>
    <t>Goods-2020-PB-O1</t>
  </si>
  <si>
    <t>2020-LINGSAT-06</t>
  </si>
  <si>
    <t>2020-0036</t>
  </si>
  <si>
    <t>ITB# 125-2020 Medical, Dental &amp; Laboratory Supplie</t>
  </si>
  <si>
    <t>nlp2020-20</t>
  </si>
  <si>
    <t>MGL-INFR-2020-04</t>
  </si>
  <si>
    <t>2020-BULAG-01</t>
  </si>
  <si>
    <t>2020-SAGNEB-02</t>
  </si>
  <si>
    <t>Labor and Materials for the Construction of Multi-</t>
  </si>
  <si>
    <t>20LC0162</t>
  </si>
  <si>
    <t>CS 2020-02</t>
  </si>
  <si>
    <t>20LC0112</t>
  </si>
  <si>
    <t>JHS - 2020 - 007 - 0037</t>
  </si>
  <si>
    <t>ITB# 126-2020 Medical, Dental &amp; Laboratory Supplie</t>
  </si>
  <si>
    <t>20200720-01-I</t>
  </si>
  <si>
    <t>BSU - PROJECT NO. 2020- 279</t>
  </si>
  <si>
    <t>20LC0159</t>
  </si>
  <si>
    <t>20LC0170</t>
  </si>
  <si>
    <t>20LC0169</t>
  </si>
  <si>
    <t>20LC0168</t>
  </si>
  <si>
    <t>08202020-01</t>
  </si>
  <si>
    <t>20-06-05A-0036</t>
  </si>
  <si>
    <t>20LC0133</t>
  </si>
  <si>
    <t>NMH 200-20-06-06525</t>
  </si>
  <si>
    <t>20200720-04-G</t>
  </si>
  <si>
    <t>20LC0167</t>
  </si>
  <si>
    <t>20LC0166</t>
  </si>
  <si>
    <t>20LC0165</t>
  </si>
  <si>
    <t>200004</t>
  </si>
  <si>
    <t>ME2020-08-035.2</t>
  </si>
  <si>
    <t>MCS-20-07-005</t>
  </si>
  <si>
    <t>2020-078-snq</t>
  </si>
  <si>
    <t>20200720-03-G</t>
  </si>
  <si>
    <t>PB2020-07-050I</t>
  </si>
  <si>
    <t>20LC0164</t>
  </si>
  <si>
    <t>001-INFRA-2020</t>
  </si>
  <si>
    <t>08182020-119</t>
  </si>
  <si>
    <t>ME2020-08-035.3</t>
  </si>
  <si>
    <t>2020-077-snq</t>
  </si>
  <si>
    <t>PB2020-07-049I</t>
  </si>
  <si>
    <t>ME2020-07-35.1</t>
  </si>
  <si>
    <t>2020-GOODS-006R-01-0730 LOT 1 Rep</t>
  </si>
  <si>
    <t>20NG0098</t>
  </si>
  <si>
    <t>2020-GOODS-011R-01-0730 Rep</t>
  </si>
  <si>
    <t>2020005</t>
  </si>
  <si>
    <t>20-07-0275</t>
  </si>
  <si>
    <t>CW-2020-05</t>
  </si>
  <si>
    <t>20ITB-INF-03-00054</t>
  </si>
  <si>
    <t>20-07-0268</t>
  </si>
  <si>
    <t>PR 221-20-06-0766 - CED</t>
  </si>
  <si>
    <t>PR 221-20-06-0723 - CED</t>
  </si>
  <si>
    <t>PB2020-07-076G</t>
  </si>
  <si>
    <t>2020-AP-07-32</t>
  </si>
  <si>
    <t>G-2020-22</t>
  </si>
  <si>
    <t>PR 221-20-06-0710 - CED</t>
  </si>
  <si>
    <t>175 - 2020</t>
  </si>
  <si>
    <t>CW-2020-04</t>
  </si>
  <si>
    <t>PB2020-08-100G</t>
  </si>
  <si>
    <t>20-01-0016</t>
  </si>
  <si>
    <t>INFRA-2020-022</t>
  </si>
  <si>
    <t>PB2020-08-099G</t>
  </si>
  <si>
    <t>PEO-2020-1108-1109</t>
  </si>
  <si>
    <t>20-157</t>
  </si>
  <si>
    <t>2020 B-07.375</t>
  </si>
  <si>
    <t>INFRA -03- 2020</t>
  </si>
  <si>
    <t>20LC0163</t>
  </si>
  <si>
    <t>2020 B-07.358</t>
  </si>
  <si>
    <t>02-2020_G</t>
  </si>
  <si>
    <t>04-2020_G</t>
  </si>
  <si>
    <t>ME2020-07-035.6</t>
  </si>
  <si>
    <t>2020 B-06.317/283/318</t>
  </si>
  <si>
    <t>ME2020-07-035.5</t>
  </si>
  <si>
    <t>ME2020-07-035.4</t>
  </si>
  <si>
    <t>CONSTRUCTION  OF MPH</t>
  </si>
  <si>
    <t>03-2020_G</t>
  </si>
  <si>
    <t>20-166</t>
  </si>
  <si>
    <t>PB2020-08-105G</t>
  </si>
  <si>
    <t>ITB No. 2020-019</t>
  </si>
  <si>
    <t>PB2020-08-106G</t>
  </si>
  <si>
    <t>PB2020-08-104G</t>
  </si>
  <si>
    <t>Limbuahn Guti-2020-07-001</t>
  </si>
  <si>
    <t>ITB No. 2020-030</t>
  </si>
  <si>
    <t>INFRA-2020-024</t>
  </si>
  <si>
    <t>20-165</t>
  </si>
  <si>
    <t>PB2020-08-107G</t>
  </si>
  <si>
    <t>ITB No. 2020-029</t>
  </si>
  <si>
    <t>ITB No. 2020-028</t>
  </si>
  <si>
    <t>RE ITBF-2020-03INFRA</t>
  </si>
  <si>
    <t>PB2020-08-108G</t>
  </si>
  <si>
    <t>PR-2020-06-132</t>
  </si>
  <si>
    <t>ME2020-07-035.10</t>
  </si>
  <si>
    <t>SKBO2020-001</t>
  </si>
  <si>
    <t>ME2020-07-035.7</t>
  </si>
  <si>
    <t>ME2020-07-035.8</t>
  </si>
  <si>
    <t>PBD 20-091</t>
  </si>
  <si>
    <t>2020-079-snq</t>
  </si>
  <si>
    <t>PBD 20-090</t>
  </si>
  <si>
    <t>19GL00119</t>
  </si>
  <si>
    <t>ME2020-07-035.9</t>
  </si>
  <si>
    <t>GOV-2020-0411</t>
  </si>
  <si>
    <t>PB2020-08-103G</t>
  </si>
  <si>
    <t>PB2020-08-101G</t>
  </si>
  <si>
    <t>20-164</t>
  </si>
  <si>
    <t>478-2020 Bidding</t>
  </si>
  <si>
    <t>2020-0728-02</t>
  </si>
  <si>
    <t>2020-07-029-004</t>
  </si>
  <si>
    <t>CON-TRANS-202007001</t>
  </si>
  <si>
    <t>2020072901</t>
  </si>
  <si>
    <t>BIMO-GOODS-2020-OE-PBBIMOP2</t>
  </si>
  <si>
    <t>HOD-2020-0565</t>
  </si>
  <si>
    <t>2020-0729-1</t>
  </si>
  <si>
    <t>2020-0417 RB</t>
  </si>
  <si>
    <t>20-146</t>
  </si>
  <si>
    <t>C10-20-1564</t>
  </si>
  <si>
    <t>PB-CW-2020-07-37</t>
  </si>
  <si>
    <t>07-20-017</t>
  </si>
  <si>
    <t>C10-20-1563</t>
  </si>
  <si>
    <t>pang pang pr2</t>
  </si>
  <si>
    <t>20NF-GOODS-01</t>
  </si>
  <si>
    <t>20NF0080</t>
  </si>
  <si>
    <t>INFRA-2020-023</t>
  </si>
  <si>
    <t>ITB No. 2020-032</t>
  </si>
  <si>
    <t>20-07-0279</t>
  </si>
  <si>
    <t>PB2020-05-029I</t>
  </si>
  <si>
    <t>029</t>
  </si>
  <si>
    <t>PB2020-08-102G</t>
  </si>
  <si>
    <t>S3-DIN20-015</t>
  </si>
  <si>
    <t>20-07-0283</t>
  </si>
  <si>
    <t>Demolition of old Slaughterhouse,old warehouse,old</t>
  </si>
  <si>
    <t>2020-INFRA-059</t>
  </si>
  <si>
    <t>PB2020-08-058I</t>
  </si>
  <si>
    <t>ITB No. 2020-031</t>
  </si>
  <si>
    <t>2020-0506</t>
  </si>
  <si>
    <t>BAC-081-2020</t>
  </si>
  <si>
    <t>2007-436A</t>
  </si>
  <si>
    <t>BAC-082-2020</t>
  </si>
  <si>
    <t>2020-0596</t>
  </si>
  <si>
    <t>BAC-080-2020</t>
  </si>
  <si>
    <t>20-168</t>
  </si>
  <si>
    <t>20-163</t>
  </si>
  <si>
    <t>BAL-APSU2020-004</t>
  </si>
  <si>
    <t>SKPA2020-001</t>
  </si>
  <si>
    <t>043-FTC 2020</t>
  </si>
  <si>
    <t>002114</t>
  </si>
  <si>
    <t>S3-DIN20-026</t>
  </si>
  <si>
    <t>ITB No. 2020-07-040</t>
  </si>
  <si>
    <t>20HA0134</t>
  </si>
  <si>
    <t>G-31-2020</t>
  </si>
  <si>
    <t>RFQ-2020-07-019</t>
  </si>
  <si>
    <t>2020-INFRA-060</t>
  </si>
  <si>
    <t>20-07-10</t>
  </si>
  <si>
    <t>20MC0112</t>
  </si>
  <si>
    <t>2007-436</t>
  </si>
  <si>
    <t>BGH - 07 - 0130</t>
  </si>
  <si>
    <t>2020-0728-01</t>
  </si>
  <si>
    <t>20-07-12</t>
  </si>
  <si>
    <t>2020-07-</t>
  </si>
  <si>
    <t>2020-07-030</t>
  </si>
  <si>
    <t>103-2020</t>
  </si>
  <si>
    <t>2020072905</t>
  </si>
  <si>
    <t>PR No. 2020-07-003</t>
  </si>
  <si>
    <t>20-07-11</t>
  </si>
  <si>
    <t>G-007-2020</t>
  </si>
  <si>
    <t>JULY292020-2</t>
  </si>
  <si>
    <t>2020-44</t>
  </si>
  <si>
    <t>S3-NAQ20-008</t>
  </si>
  <si>
    <t>028</t>
  </si>
  <si>
    <t>OGDS 07-29-20</t>
  </si>
  <si>
    <t>20HL0112</t>
  </si>
  <si>
    <t>19GL00122</t>
  </si>
  <si>
    <t>RFQ NO. 66</t>
  </si>
  <si>
    <t>02-147-2020</t>
  </si>
  <si>
    <t>S3-HKD20-001</t>
  </si>
  <si>
    <t>infra 047-2020</t>
  </si>
  <si>
    <t>OGDS 07-28-20</t>
  </si>
  <si>
    <t>01-2020-007B</t>
  </si>
  <si>
    <t>19RI-014R</t>
  </si>
  <si>
    <t>123456</t>
  </si>
  <si>
    <t>01-2020-0036</t>
  </si>
  <si>
    <t>2020-07-091</t>
  </si>
  <si>
    <t>2020-07-047</t>
  </si>
  <si>
    <t>19RI-B1.5B</t>
  </si>
  <si>
    <t>DAR-ADS PB-2020-OS-07-228</t>
  </si>
  <si>
    <t>infra 048-2020</t>
  </si>
  <si>
    <t>80-20-06-086</t>
  </si>
  <si>
    <t>19GL00121</t>
  </si>
  <si>
    <t>TAG-SDS-073 -2020</t>
  </si>
  <si>
    <t>2020-07-089bid</t>
  </si>
  <si>
    <t>TAG-SDS-074 -2020</t>
  </si>
  <si>
    <t>19RI-B1.1B</t>
  </si>
  <si>
    <t>S3-KDP20-012</t>
  </si>
  <si>
    <t>19GL00120</t>
  </si>
  <si>
    <t>ACC-20-0918-B</t>
  </si>
  <si>
    <t>2020-060</t>
  </si>
  <si>
    <t>20-07-14</t>
  </si>
  <si>
    <t>ITB 20-07-001</t>
  </si>
  <si>
    <t>Bugang-INB-2020-07-01</t>
  </si>
  <si>
    <t>infra 049-2020</t>
  </si>
  <si>
    <t>2020-07-027</t>
  </si>
  <si>
    <t>002113</t>
  </si>
  <si>
    <t>SKPA2020-002</t>
  </si>
  <si>
    <t>2020.07.29.002</t>
  </si>
  <si>
    <t>2020.07.29.001</t>
  </si>
  <si>
    <t>2020-059</t>
  </si>
  <si>
    <t>2017-14C02-01</t>
  </si>
  <si>
    <t>2020-063</t>
  </si>
  <si>
    <t>2020-07-356-3</t>
  </si>
  <si>
    <t>2020-07-356-2</t>
  </si>
  <si>
    <t>2020-062</t>
  </si>
  <si>
    <t>100-07-20-01720</t>
  </si>
  <si>
    <t>2020.07.29.003</t>
  </si>
  <si>
    <t>2020-07-356-1</t>
  </si>
  <si>
    <t>20-03-0162</t>
  </si>
  <si>
    <t>20GMC0150</t>
  </si>
  <si>
    <t>FLGU-CW-2020-25</t>
  </si>
  <si>
    <t>20-07-16</t>
  </si>
  <si>
    <t>2020-GSIS-PB-084</t>
  </si>
  <si>
    <t>20-02-0107</t>
  </si>
  <si>
    <t>20-07-15</t>
  </si>
  <si>
    <t>FLGU-CW-2020-26</t>
  </si>
  <si>
    <t>2020-07-005</t>
  </si>
  <si>
    <t>2020-061</t>
  </si>
  <si>
    <t>ITB No. I11-2-2020</t>
  </si>
  <si>
    <t>infra 050-2020</t>
  </si>
  <si>
    <t>2040-S2M01</t>
  </si>
  <si>
    <t>infra 055-2020</t>
  </si>
  <si>
    <t>2020-88 (GAS)</t>
  </si>
  <si>
    <t>2020.07.29.004</t>
  </si>
  <si>
    <t>101-2020-07-0363</t>
  </si>
  <si>
    <t>infra 054-2020</t>
  </si>
  <si>
    <t>Aklan BAC ITB 424 Series of 2020</t>
  </si>
  <si>
    <t>NP-SVP-20-062</t>
  </si>
  <si>
    <t>20-07-18</t>
  </si>
  <si>
    <t>20-07-19</t>
  </si>
  <si>
    <t>ITB No. I09-02-2020</t>
  </si>
  <si>
    <t>infra 052-2020</t>
  </si>
  <si>
    <t>20II0061(Re-Ad)</t>
  </si>
  <si>
    <t>S3-HKD20-002</t>
  </si>
  <si>
    <t>infra 053-2020</t>
  </si>
  <si>
    <t>S3-HKD20-003</t>
  </si>
  <si>
    <t>STC-INFRA-006-2020</t>
  </si>
  <si>
    <t>20-00054</t>
  </si>
  <si>
    <t>L.Sur-INB-Jul-001</t>
  </si>
  <si>
    <t>LGU-BLU-20-07-57</t>
  </si>
  <si>
    <t>Infra 2020-011</t>
  </si>
  <si>
    <t>2020-0082</t>
  </si>
  <si>
    <t>PB-2020-163-019</t>
  </si>
  <si>
    <t>101-2020-05-0193</t>
  </si>
  <si>
    <t>2020-0081</t>
  </si>
  <si>
    <t>infra 051-2020</t>
  </si>
  <si>
    <t>Capaoay 2020-04</t>
  </si>
  <si>
    <t>20-167</t>
  </si>
  <si>
    <t>20-07-20</t>
  </si>
  <si>
    <t>2020-INFRA-061</t>
  </si>
  <si>
    <t>07-29-12</t>
  </si>
  <si>
    <t>N005-2020</t>
  </si>
  <si>
    <t>2020-0087</t>
  </si>
  <si>
    <t>S3-HKD20-004</t>
  </si>
  <si>
    <t>San Pedro 01-01-2020</t>
  </si>
  <si>
    <t>2020-0085</t>
  </si>
  <si>
    <t>LGU Valencia, Bohol 2020 - 069</t>
  </si>
  <si>
    <t>2020-07-352-3</t>
  </si>
  <si>
    <t>Aklan BAC ITB 425 Series of 2020</t>
  </si>
  <si>
    <t>2020-0086</t>
  </si>
  <si>
    <t>2020-07-352-2</t>
  </si>
  <si>
    <t>2020 Caib 128</t>
  </si>
  <si>
    <t>2020-0092</t>
  </si>
  <si>
    <t>G-CONSO-061-20</t>
  </si>
  <si>
    <t>NS-07-30-20</t>
  </si>
  <si>
    <t>BLGU-CW-2020-04</t>
  </si>
  <si>
    <t>20GPL0003</t>
  </si>
  <si>
    <t>2020-0091</t>
  </si>
  <si>
    <t>20-262</t>
  </si>
  <si>
    <t>123</t>
  </si>
  <si>
    <t>7B-2020</t>
  </si>
  <si>
    <t>ITB no. 20-004</t>
  </si>
  <si>
    <t>SBMA-BAC-CONS-RFEI-20-03</t>
  </si>
  <si>
    <t>Infra 2020-012</t>
  </si>
  <si>
    <t>2020-0088</t>
  </si>
  <si>
    <t>hinag-01-20</t>
  </si>
  <si>
    <t>20GPL0002</t>
  </si>
  <si>
    <t>20L00172</t>
  </si>
  <si>
    <t>G-TLDH-062-20</t>
  </si>
  <si>
    <t>20-07-136</t>
  </si>
  <si>
    <t>2020-0440</t>
  </si>
  <si>
    <t>2020-0084</t>
  </si>
  <si>
    <t>20DJ0100 (Re-Advertised)</t>
  </si>
  <si>
    <t>2020-01-0042</t>
  </si>
  <si>
    <t>BLGU-CW-2020-03</t>
  </si>
  <si>
    <t>20-215</t>
  </si>
  <si>
    <t>2020-0083</t>
  </si>
  <si>
    <t>2020-0089</t>
  </si>
  <si>
    <t>07-29-11</t>
  </si>
  <si>
    <t>Q-122-20</t>
  </si>
  <si>
    <t>Mkna-GSO-20-327</t>
  </si>
  <si>
    <t>N004-2020</t>
  </si>
  <si>
    <t>07-29-10</t>
  </si>
  <si>
    <t>ITB2020701</t>
  </si>
  <si>
    <t>Capaoay 2020-05</t>
  </si>
  <si>
    <t>055-2020</t>
  </si>
  <si>
    <t>Capaoay 2020-06</t>
  </si>
  <si>
    <t>PB2020-08-057I</t>
  </si>
  <si>
    <t>Jiab-2020-9D</t>
  </si>
  <si>
    <t>INFR-20-018</t>
  </si>
  <si>
    <t>TAMP-PB-GOODS-08-2020</t>
  </si>
  <si>
    <t>2020-07-352</t>
  </si>
  <si>
    <t>056-2020</t>
  </si>
  <si>
    <t>DF-I-18-2020</t>
  </si>
  <si>
    <t>ITB NO. 03-GOODS-2020</t>
  </si>
  <si>
    <t>B-109-2020</t>
  </si>
  <si>
    <t>GEPS-2020-0018</t>
  </si>
  <si>
    <t>np 2020-20 (GAS)</t>
  </si>
  <si>
    <t>PBG-2020-28</t>
  </si>
  <si>
    <t>2020-0093</t>
  </si>
  <si>
    <t>Infra 2020-013</t>
  </si>
  <si>
    <t>2020-0094</t>
  </si>
  <si>
    <t>0991-20</t>
  </si>
  <si>
    <t>B-112-2020</t>
  </si>
  <si>
    <t>PB-CW-2020-07-38</t>
  </si>
  <si>
    <t>LGU-TAN-INFRA-2020-095</t>
  </si>
  <si>
    <t>2020-07-460</t>
  </si>
  <si>
    <t>GEPS-2020-0019</t>
  </si>
  <si>
    <t>G-PHO-063-20</t>
  </si>
  <si>
    <t>B-113-2020</t>
  </si>
  <si>
    <t>B-111-2020</t>
  </si>
  <si>
    <t>LGU-TAN-GOODS-2020-092</t>
  </si>
  <si>
    <t>LGU-TAN-INFRA-2020-094</t>
  </si>
  <si>
    <t>DANG-20-023</t>
  </si>
  <si>
    <t>RFQ 2020-4235</t>
  </si>
  <si>
    <t>0989-20</t>
  </si>
  <si>
    <t>057-2020</t>
  </si>
  <si>
    <t>DF-I-19-2020</t>
  </si>
  <si>
    <t>ITB2020-031</t>
  </si>
  <si>
    <t>OC-76(CHD-03) 20 GD</t>
  </si>
  <si>
    <t>BS20-07-0763</t>
  </si>
  <si>
    <t>MEO-237-2020</t>
  </si>
  <si>
    <t>ITB2020-030</t>
  </si>
  <si>
    <t>ITB 2020-30</t>
  </si>
  <si>
    <t>GEPS-2020-0020</t>
  </si>
  <si>
    <t>PB041-20</t>
  </si>
  <si>
    <t>2020-07-29-01</t>
  </si>
  <si>
    <t>ITB 19-2020</t>
  </si>
  <si>
    <t>DF-I-20-2020</t>
  </si>
  <si>
    <t>ITB2020-029</t>
  </si>
  <si>
    <t>2020-028J</t>
  </si>
  <si>
    <t>20EH0079-R1</t>
  </si>
  <si>
    <t>BS20-07-0752</t>
  </si>
  <si>
    <t>ITB No. 20-070</t>
  </si>
  <si>
    <t>2020-07-010</t>
  </si>
  <si>
    <t>BS20-07-ME02</t>
  </si>
  <si>
    <t>27583-001</t>
  </si>
  <si>
    <t>skbangkal-001</t>
  </si>
  <si>
    <t>GEPS-2020-0021</t>
  </si>
  <si>
    <t>BS20-07-MS007</t>
  </si>
  <si>
    <t>B-108-2020</t>
  </si>
  <si>
    <t>BS20-07-ME03</t>
  </si>
  <si>
    <t>ITB2020-033</t>
  </si>
  <si>
    <t>2020-08-39</t>
  </si>
  <si>
    <t>IB NO.2020-068/MJS</t>
  </si>
  <si>
    <t>ITB2020-037</t>
  </si>
  <si>
    <t>101-2020-05-0238-B</t>
  </si>
  <si>
    <t>101-2020-05-0218</t>
  </si>
  <si>
    <t>BS20-07-M010</t>
  </si>
  <si>
    <t>20GMC0156</t>
  </si>
  <si>
    <t>BAC2020-25</t>
  </si>
  <si>
    <t>20GCI0005</t>
  </si>
  <si>
    <t>SF-20-14</t>
  </si>
  <si>
    <t>ITB2020-035</t>
  </si>
  <si>
    <t>101-2020-05-0240</t>
  </si>
  <si>
    <t>20-06-1410</t>
  </si>
  <si>
    <t>2020-080-snq</t>
  </si>
  <si>
    <t>512020a</t>
  </si>
  <si>
    <t>27613-001</t>
  </si>
  <si>
    <t>bfpmimaropa-2020-21</t>
  </si>
  <si>
    <t>20GCI0006</t>
  </si>
  <si>
    <t>SF-20-13</t>
  </si>
  <si>
    <t>ITB2020-036</t>
  </si>
  <si>
    <t>19-11-1191 Re-Bid</t>
  </si>
  <si>
    <t>ITB2020-034</t>
  </si>
  <si>
    <t>1053-20</t>
  </si>
  <si>
    <t>IB NO. 2020 - 070/ AGMR</t>
  </si>
  <si>
    <t>BAC2020-26</t>
  </si>
  <si>
    <t>GOODS-07-29-2020-02</t>
  </si>
  <si>
    <t>ITB2020-042</t>
  </si>
  <si>
    <t>ITB2020-041</t>
  </si>
  <si>
    <t>ITB2020-040</t>
  </si>
  <si>
    <t>ITB2020-039</t>
  </si>
  <si>
    <t>200-2020-07-011</t>
  </si>
  <si>
    <t>BS20-07-0772</t>
  </si>
  <si>
    <t>0922-20</t>
  </si>
  <si>
    <t>200-2020-07-009</t>
  </si>
  <si>
    <t>101-2020-07-0366</t>
  </si>
  <si>
    <t>2020-07-014B</t>
  </si>
  <si>
    <t>542020a</t>
  </si>
  <si>
    <t>ITB2020-046</t>
  </si>
  <si>
    <t>GOODS-07-29-2020-05</t>
  </si>
  <si>
    <t>BS20-07-0759</t>
  </si>
  <si>
    <t>532020a</t>
  </si>
  <si>
    <t>ITB2020-044</t>
  </si>
  <si>
    <t>GOODS-07-29-2020-04</t>
  </si>
  <si>
    <t>01-253-2020</t>
  </si>
  <si>
    <t>ITB2020-045</t>
  </si>
  <si>
    <t>2020-G1-012</t>
  </si>
  <si>
    <t>UPLB-RES-038-08-20 VEHICLES FOR CEAT - AMTEC</t>
  </si>
  <si>
    <t>07-0126-20</t>
  </si>
  <si>
    <t>GOODS-07-29-2020-03</t>
  </si>
  <si>
    <t>2020-07-76</t>
  </si>
  <si>
    <t>ITB NO. 02-07-2020</t>
  </si>
  <si>
    <t>101-2020-07-0365</t>
  </si>
  <si>
    <t>ITB2020-043</t>
  </si>
  <si>
    <t>ITB2020-038</t>
  </si>
  <si>
    <t>IB NO. 2020 – 069/ JJL</t>
  </si>
  <si>
    <t>552020a</t>
  </si>
  <si>
    <t>03-2020-07-29</t>
  </si>
  <si>
    <t>2020-g1-011</t>
  </si>
  <si>
    <t>2020-01-0066</t>
  </si>
  <si>
    <t>101-2020-05-0238-D</t>
  </si>
  <si>
    <t>20-07-230</t>
  </si>
  <si>
    <t>100-20</t>
  </si>
  <si>
    <t>Infra 2020-014</t>
  </si>
  <si>
    <t>POW-1041-2020-ALN-(02B,03B,04B,05B,06B,07B)</t>
  </si>
  <si>
    <t>ITB2020-032</t>
  </si>
  <si>
    <t>LGU-TAN-INFRA-2020-093</t>
  </si>
  <si>
    <t>032</t>
  </si>
  <si>
    <t>B-110-2020</t>
  </si>
  <si>
    <t>NFA-R02-NCA-PPC-2020-07-002</t>
  </si>
  <si>
    <t>522020a</t>
  </si>
  <si>
    <t>ITB - 02 JULY 2020</t>
  </si>
  <si>
    <t>2020-081-snq</t>
  </si>
  <si>
    <t>UPLB-RES-035-08-20 DIAGNOSTIC AND LAB SERVICE</t>
  </si>
  <si>
    <t>2020-07-015B</t>
  </si>
  <si>
    <t>2020-07-090bid</t>
  </si>
  <si>
    <t>2020-0611</t>
  </si>
  <si>
    <t>2020-07-317</t>
  </si>
  <si>
    <t>GOODS 2020-028</t>
  </si>
  <si>
    <t>MEO-260-20</t>
  </si>
  <si>
    <t>2020-07-016B</t>
  </si>
  <si>
    <t>2020-07-77</t>
  </si>
  <si>
    <t>202027</t>
  </si>
  <si>
    <t>IB No. K-2020-084 (SC)</t>
  </si>
  <si>
    <t>NFA RO5-GOODS-2020-G-04</t>
  </si>
  <si>
    <t>MLGOO-101-2020-07-344</t>
  </si>
  <si>
    <t>PANSAGAN202001</t>
  </si>
  <si>
    <t>IB No. K-2020-089(SC)</t>
  </si>
  <si>
    <t>DOLE-Caraga-2020-07-29-0002</t>
  </si>
  <si>
    <t>CB(B)-20-022(CMO-ICDRRMO)</t>
  </si>
  <si>
    <t>UPLB-RES-036-08-20 LAB AND SCIENTIFIC EQUIP.</t>
  </si>
  <si>
    <t>2020-07-29-02</t>
  </si>
  <si>
    <t>23020-0610</t>
  </si>
  <si>
    <t>2020-07-017B</t>
  </si>
  <si>
    <t>2020-07-29-03</t>
  </si>
  <si>
    <t>IB No. K-2020-081(SC)</t>
  </si>
  <si>
    <t>2007-0563-PPD</t>
  </si>
  <si>
    <t>DA3-2020-07-03-43</t>
  </si>
  <si>
    <t>IB No. K-2020-082(SC)</t>
  </si>
  <si>
    <t>GOODS 2020-029</t>
  </si>
  <si>
    <t>IB No. K-2020-087(SC)</t>
  </si>
  <si>
    <t>IB No. K-2020-088(SC)</t>
  </si>
  <si>
    <t>DOLE-Caraga-2020-07-29-0003</t>
  </si>
  <si>
    <t>2020-07-29-05</t>
  </si>
  <si>
    <t>2020-030J</t>
  </si>
  <si>
    <t>2020 - 07 - 1</t>
  </si>
  <si>
    <t>2020-07-29-04</t>
  </si>
  <si>
    <t>2020-PBGOODS-06-011</t>
  </si>
  <si>
    <t>DA3-2020-07-02-41</t>
  </si>
  <si>
    <t>20MC0113</t>
  </si>
  <si>
    <t>R4-ORD-ARDMS-ADM-20-06-338</t>
  </si>
  <si>
    <t>084-20</t>
  </si>
  <si>
    <t>101-2020-07-0369</t>
  </si>
  <si>
    <t>52</t>
  </si>
  <si>
    <t>20CSZ006</t>
  </si>
  <si>
    <t>NP-ATFB 2020-07-002</t>
  </si>
  <si>
    <t>2020-07-318</t>
  </si>
  <si>
    <t>ZONE9202001</t>
  </si>
  <si>
    <t>085-20</t>
  </si>
  <si>
    <t>101-2020-07-0368</t>
  </si>
  <si>
    <t>MKWD2020-063</t>
  </si>
  <si>
    <t>20-07-379</t>
  </si>
  <si>
    <t>BAC-HO GS No. 2020-0464</t>
  </si>
  <si>
    <t>101-2020-07-0370</t>
  </si>
  <si>
    <t>IB No. K-2020-085(SC)</t>
  </si>
  <si>
    <t>POB5-01-2020</t>
  </si>
  <si>
    <t>ITB NO. 2020-07-017</t>
  </si>
  <si>
    <t>gOODS 2020-018</t>
  </si>
  <si>
    <t>20MC0114</t>
  </si>
  <si>
    <t>2020-07-29-06</t>
  </si>
  <si>
    <t>101-2020-07-0371</t>
  </si>
  <si>
    <t>401-2020-07-0367</t>
  </si>
  <si>
    <t>07-29-2020</t>
  </si>
  <si>
    <t>ITB NO. 2020-07-018</t>
  </si>
  <si>
    <t>2020-06-364/2020-06-363/2020-06-365</t>
  </si>
  <si>
    <t>2020-07-29-07</t>
  </si>
  <si>
    <t>20A00218</t>
  </si>
  <si>
    <t>NFA-RXI-2020-08</t>
  </si>
  <si>
    <t>101-2020-03-0016</t>
  </si>
  <si>
    <t>Goods 2020-019</t>
  </si>
  <si>
    <t>1000033002</t>
  </si>
  <si>
    <t>2020212</t>
  </si>
  <si>
    <t>2020211</t>
  </si>
  <si>
    <t>2020210</t>
  </si>
  <si>
    <t>2020-082-snq</t>
  </si>
  <si>
    <t>2020-PB-SS-MCWS-039-01</t>
  </si>
  <si>
    <t>SPPF2020-PR.220</t>
  </si>
  <si>
    <t>2020-PB-SS-P4HPP/GLP-017-02</t>
  </si>
  <si>
    <t>2020-PB-SS-SRMFB-038-01</t>
  </si>
  <si>
    <t>Pasil-2020-07-001</t>
  </si>
  <si>
    <t>2020209</t>
  </si>
  <si>
    <t>2020208</t>
  </si>
  <si>
    <t>2002-93</t>
  </si>
  <si>
    <t>2020-06-261</t>
  </si>
  <si>
    <t>2002-21-20-37-31</t>
  </si>
  <si>
    <t>2020207</t>
  </si>
  <si>
    <t>2003-34</t>
  </si>
  <si>
    <t>GOODS-20-40</t>
  </si>
  <si>
    <t>016-2020</t>
  </si>
  <si>
    <t>20FL0087</t>
  </si>
  <si>
    <t>PR No. 2020-06</t>
  </si>
  <si>
    <t>2003-51</t>
  </si>
  <si>
    <t>NMF INFRA 2020-35</t>
  </si>
  <si>
    <t>GOODS-2020-16</t>
  </si>
  <si>
    <t>NMF INFRA 2020-34</t>
  </si>
  <si>
    <t>ITB NO. 03-07-2020</t>
  </si>
  <si>
    <t>07-29-2020-2</t>
  </si>
  <si>
    <t>BAC-ITIO GS No. 2020-0067 dated 19 June 2020 (ITIO</t>
  </si>
  <si>
    <t>NMF INFRA 2020-36</t>
  </si>
  <si>
    <t>QNV-042-2020</t>
  </si>
  <si>
    <t>QNV-040-2020</t>
  </si>
  <si>
    <t>20PJ0034</t>
  </si>
  <si>
    <t>2005-24</t>
  </si>
  <si>
    <t>QNV-038-2020</t>
  </si>
  <si>
    <t>2020-729</t>
  </si>
  <si>
    <t>I-20-07-013</t>
  </si>
  <si>
    <t>SF-GOODS:2020-007-006</t>
  </si>
  <si>
    <t>ITB-2020-07-16</t>
  </si>
  <si>
    <t>I-20-07-015</t>
  </si>
  <si>
    <t>I-20-07-016</t>
  </si>
  <si>
    <t>I-20-07-014</t>
  </si>
  <si>
    <t>I-20-07-010</t>
  </si>
  <si>
    <t>I-20-07-011</t>
  </si>
  <si>
    <t>I-20-07-012</t>
  </si>
  <si>
    <t>2020-07-003B</t>
  </si>
  <si>
    <t>BL-07-28-2020</t>
  </si>
  <si>
    <t>300(200)20-07-410(A)</t>
  </si>
  <si>
    <t>2020-PB-SS-SLPFI-018-02</t>
  </si>
  <si>
    <t>2020-20%-10</t>
  </si>
  <si>
    <t>SF-GOODS:2020-004-003A</t>
  </si>
  <si>
    <t>I-20-07-009</t>
  </si>
  <si>
    <t>2020-20%-09</t>
  </si>
  <si>
    <t>SM2020-07-011</t>
  </si>
  <si>
    <t>SM2020-07-008</t>
  </si>
  <si>
    <t>SM2020-07-012</t>
  </si>
  <si>
    <t>B-046-2020</t>
  </si>
  <si>
    <t>SM2020-07-010</t>
  </si>
  <si>
    <t>07272020B</t>
  </si>
  <si>
    <t>20FD0071</t>
  </si>
  <si>
    <t>P.R No: 00-01-20</t>
  </si>
  <si>
    <t>100-18(08-13-20)</t>
  </si>
  <si>
    <t>19CSK00053</t>
  </si>
  <si>
    <t>ITB 2020-07-01</t>
  </si>
  <si>
    <t>07272020A</t>
  </si>
  <si>
    <t>20GIJ-0003</t>
  </si>
  <si>
    <t>GSB 200-20-05-05807</t>
  </si>
  <si>
    <t>19CSK00056</t>
  </si>
  <si>
    <t>8000-2-2-15</t>
  </si>
  <si>
    <t>CB-2020-017</t>
  </si>
  <si>
    <t>P.R No: 00-02-20</t>
  </si>
  <si>
    <t>2020-47</t>
  </si>
  <si>
    <t>LGU-Sagay-4762</t>
  </si>
  <si>
    <t>ITB No. 20-07-16</t>
  </si>
  <si>
    <t>itb20-07-031B</t>
  </si>
  <si>
    <t>ITB 2020-07-009</t>
  </si>
  <si>
    <t>2020-367</t>
  </si>
  <si>
    <t>SM2020-07-009</t>
  </si>
  <si>
    <t>COB BAC Goods 2020-012-02</t>
  </si>
  <si>
    <t>itb20-07-031A</t>
  </si>
  <si>
    <t>2020-07-013B</t>
  </si>
  <si>
    <t>PB-2020-06-046</t>
  </si>
  <si>
    <t>20-07-27-007</t>
  </si>
  <si>
    <t>PR NO. 100-1181-20-03-0367</t>
  </si>
  <si>
    <t>SB2 POP19 300-20-02-01021</t>
  </si>
  <si>
    <t>PREDP 200-20-05-05633</t>
  </si>
  <si>
    <t>NPPH 200-20-05-05697</t>
  </si>
  <si>
    <t>PB-2020-06-044</t>
  </si>
  <si>
    <t>COB BAC Goods 2020-012-01</t>
  </si>
  <si>
    <t>2020-ASL-001</t>
  </si>
  <si>
    <t>Invitation to Bid BP 20-01</t>
  </si>
  <si>
    <t>lgu-es-20-07-180</t>
  </si>
  <si>
    <t>8</t>
  </si>
  <si>
    <t>2020-024J</t>
  </si>
  <si>
    <t>PGSO 200-20-01-00302</t>
  </si>
  <si>
    <t>2020-ART TOWER-107</t>
  </si>
  <si>
    <t>20JA0093</t>
  </si>
  <si>
    <t>REHABMPHALL2019</t>
  </si>
  <si>
    <t>PB-2020-06-043</t>
  </si>
  <si>
    <t>BBC2020-001</t>
  </si>
  <si>
    <t>PB-2020-06-045</t>
  </si>
  <si>
    <t>bakiad pr1</t>
  </si>
  <si>
    <t>DALIPIT WEST 2020-07-003</t>
  </si>
  <si>
    <t>00021=2020</t>
  </si>
  <si>
    <t>ITB 2020-07-010</t>
  </si>
  <si>
    <t>20JA0092</t>
  </si>
  <si>
    <t>SB4 WDP 300-20-07-09103</t>
  </si>
  <si>
    <t>PB-2020-06-042</t>
  </si>
  <si>
    <t>SB4 SPPH 200-20-07-08868</t>
  </si>
  <si>
    <t>BUNGAHAN 2020-07-004</t>
  </si>
  <si>
    <t>ITB No. (INF) 2020-07-112 ROAD OPENING/FARM-TO-MAR</t>
  </si>
  <si>
    <t>PB-0720-56</t>
  </si>
  <si>
    <t>INFRA 2020-04</t>
  </si>
  <si>
    <t>300-20-06-009</t>
  </si>
  <si>
    <t>147-2020</t>
  </si>
  <si>
    <t>20-257</t>
  </si>
  <si>
    <t>LGUBaras-2020-0056</t>
  </si>
  <si>
    <t>ITB No. (INF) 2020-07-111 CONSTRUCTION OF BRGY. ST</t>
  </si>
  <si>
    <t>110320191C</t>
  </si>
  <si>
    <t>2020-06-0578 TDG</t>
  </si>
  <si>
    <t>SINS-Inf-2020-04</t>
  </si>
  <si>
    <t>202072801</t>
  </si>
  <si>
    <t>00020-2020</t>
  </si>
  <si>
    <t>2020 ITB - 037</t>
  </si>
  <si>
    <t>ITB No. (INF) 2020-07-110 ROAD OPENING/FMR VIGAN T</t>
  </si>
  <si>
    <t>msj-2020-23</t>
  </si>
  <si>
    <t>2020-102</t>
  </si>
  <si>
    <t>20GII0010</t>
  </si>
  <si>
    <t>Construction of Multi-purpose Building (Phase 1) i</t>
  </si>
  <si>
    <t>2007-037-01</t>
  </si>
  <si>
    <t>Improvement of Footbridge In Brgy. San Vicente, To</t>
  </si>
  <si>
    <t>AGINF2020-0729</t>
  </si>
  <si>
    <t>PEO-2020-1080</t>
  </si>
  <si>
    <t>Construction, Repair &amp; Declogging of Drainage Cana</t>
  </si>
  <si>
    <t>GOODS-2020-07-020</t>
  </si>
  <si>
    <t>2020 ITB - 038</t>
  </si>
  <si>
    <t>BALZN9-2017</t>
  </si>
  <si>
    <t>2020072802</t>
  </si>
  <si>
    <t>SINS-Inf-2020-03</t>
  </si>
  <si>
    <t>M-20-25</t>
  </si>
  <si>
    <t>2020 ITB - 036</t>
  </si>
  <si>
    <t>INFRA-2020-07-003</t>
  </si>
  <si>
    <t>batgoods 2020-07-019</t>
  </si>
  <si>
    <t>SVP2020-07-0131</t>
  </si>
  <si>
    <t>07282020001</t>
  </si>
  <si>
    <t>SINS-G-2019-18</t>
  </si>
  <si>
    <t>HILONGOS 2020-226</t>
  </si>
  <si>
    <t>20DE0157</t>
  </si>
  <si>
    <t>SVP2020-07-0144</t>
  </si>
  <si>
    <t>CW-372-2020</t>
  </si>
  <si>
    <t>SVP2020-07-0137</t>
  </si>
  <si>
    <t>20DE0156</t>
  </si>
  <si>
    <t>INFR-036-2020</t>
  </si>
  <si>
    <t>3000-200-1-2</t>
  </si>
  <si>
    <t>PL2020-03-001</t>
  </si>
  <si>
    <t>ITB 20-27</t>
  </si>
  <si>
    <t>CW-371-2020</t>
  </si>
  <si>
    <t>2020072803</t>
  </si>
  <si>
    <t>ITB No. 2020-G-05-02</t>
  </si>
  <si>
    <t>07282020002</t>
  </si>
  <si>
    <t>DAPA-086-2020</t>
  </si>
  <si>
    <t>INFRA-2020-010</t>
  </si>
  <si>
    <t>20-06-020</t>
  </si>
  <si>
    <t>DANG-20-022</t>
  </si>
  <si>
    <t>2020-07-0015</t>
  </si>
  <si>
    <t>SVP2020-07-0138</t>
  </si>
  <si>
    <t>469</t>
  </si>
  <si>
    <t>470</t>
  </si>
  <si>
    <t>20GIK0011</t>
  </si>
  <si>
    <t>2020-310</t>
  </si>
  <si>
    <t>SVP2020-07-0142</t>
  </si>
  <si>
    <t>HILONGOS 2020-227</t>
  </si>
  <si>
    <t>PR #81</t>
  </si>
  <si>
    <t>20-07-120</t>
  </si>
  <si>
    <t>20200728</t>
  </si>
  <si>
    <t>2020072801</t>
  </si>
  <si>
    <t>2020-07-022</t>
  </si>
  <si>
    <t>ITB No. 2020-G-06-02</t>
  </si>
  <si>
    <t>DANG-20-024</t>
  </si>
  <si>
    <t>I.B. No. 2020-0040</t>
  </si>
  <si>
    <t>Aklan BAC ITB 418 Series of 2020</t>
  </si>
  <si>
    <t>07-2020-008</t>
  </si>
  <si>
    <t>pal-20-07-018</t>
  </si>
  <si>
    <t>PR #80</t>
  </si>
  <si>
    <t>MA-A2H20-012</t>
  </si>
  <si>
    <t>POW #E-GF-20-01</t>
  </si>
  <si>
    <t>DANG-20-025</t>
  </si>
  <si>
    <t>20KB0172 Re</t>
  </si>
  <si>
    <t>I.B. No. 2020-0041</t>
  </si>
  <si>
    <t>ISC-20-0900-B</t>
  </si>
  <si>
    <t>MA-A2M20-035</t>
  </si>
  <si>
    <t>2020-GOODS-38</t>
  </si>
  <si>
    <t>Aklan BAC ITB 419 Series of 2020</t>
  </si>
  <si>
    <t>VS-2020-030</t>
  </si>
  <si>
    <t>MA-A2M20-052</t>
  </si>
  <si>
    <t>ISC-20-0899-B</t>
  </si>
  <si>
    <t>PEO-20-0928-B</t>
  </si>
  <si>
    <t>2006-029-10</t>
  </si>
  <si>
    <t>philgeps07282020</t>
  </si>
  <si>
    <t>2020728</t>
  </si>
  <si>
    <t>MA-A2H20-13</t>
  </si>
  <si>
    <t>20FD0072</t>
  </si>
  <si>
    <t>20KB0187</t>
  </si>
  <si>
    <t>20-07-0719</t>
  </si>
  <si>
    <t>2020-003-G</t>
  </si>
  <si>
    <t>20-07-015</t>
  </si>
  <si>
    <t>BP-072820-027</t>
  </si>
  <si>
    <t>PEO-20-0929-B</t>
  </si>
  <si>
    <t>20PK0071</t>
  </si>
  <si>
    <t>SPUG-LUZ20-004 (PB2)</t>
  </si>
  <si>
    <t>100-06-20-01588</t>
  </si>
  <si>
    <t>MG-A7M20-109</t>
  </si>
  <si>
    <t>MA-A2M20-021</t>
  </si>
  <si>
    <t>SB-2020-027</t>
  </si>
  <si>
    <t>SB-2020-020</t>
  </si>
  <si>
    <t>ITBO5-GOODS-AMBULANCE</t>
  </si>
  <si>
    <t>20GG00024</t>
  </si>
  <si>
    <t>ITB-2020-07-17</t>
  </si>
  <si>
    <t>ITB GOODS 2020-07-43</t>
  </si>
  <si>
    <t>2020-07-180</t>
  </si>
  <si>
    <t>02Tangkulandambuk20</t>
  </si>
  <si>
    <t>200-1-07-05-020</t>
  </si>
  <si>
    <t>GOODS 2020-07-0006</t>
  </si>
  <si>
    <t>A44</t>
  </si>
  <si>
    <t>'024-Re Bid</t>
  </si>
  <si>
    <t>2020-02-125</t>
  </si>
  <si>
    <t>SB-2020-022</t>
  </si>
  <si>
    <t>ITB-2020-07-001</t>
  </si>
  <si>
    <t>SB-2020-026</t>
  </si>
  <si>
    <t>PMOMIN 07-2020-001</t>
  </si>
  <si>
    <t>CONSTRUCTION OF SLAUGHTERHOUSE PHASE II AND OTHER</t>
  </si>
  <si>
    <t>GDS-373-2020</t>
  </si>
  <si>
    <t>ESP-GOODS-024-2020</t>
  </si>
  <si>
    <t>ITBO8-GOODS-WATERPURIFIER</t>
  </si>
  <si>
    <t>MAD 024-2020</t>
  </si>
  <si>
    <t>27838-001</t>
  </si>
  <si>
    <t>27852-001</t>
  </si>
  <si>
    <t>INFRA-2020-17</t>
  </si>
  <si>
    <t>ITB 2020-29</t>
  </si>
  <si>
    <t>I-2020-021</t>
  </si>
  <si>
    <t>SB-2020-025</t>
  </si>
  <si>
    <t>POS-20-0698-B</t>
  </si>
  <si>
    <t>2777-001-004</t>
  </si>
  <si>
    <t>MG-A7M20-113</t>
  </si>
  <si>
    <t>2020-07-728</t>
  </si>
  <si>
    <t>SJ-20-199</t>
  </si>
  <si>
    <t>002/July/2020</t>
  </si>
  <si>
    <t>GOODS-039-2020</t>
  </si>
  <si>
    <t>2020-07-261</t>
  </si>
  <si>
    <t>2020-07--725</t>
  </si>
  <si>
    <t>PB2020-051</t>
  </si>
  <si>
    <t>20PC0061</t>
  </si>
  <si>
    <t>2020-07-727</t>
  </si>
  <si>
    <t>ITB GOODS 2020-07-46</t>
  </si>
  <si>
    <t>ITB GOODS 2020-07-44</t>
  </si>
  <si>
    <t>LGU ORANI 2020-07-002</t>
  </si>
  <si>
    <t>PB2020-054</t>
  </si>
  <si>
    <t>PB2020-055</t>
  </si>
  <si>
    <t>MAD 027-2020</t>
  </si>
  <si>
    <t>PR-2020-1491</t>
  </si>
  <si>
    <t>ITB-2020-07-19</t>
  </si>
  <si>
    <t>PR-2020-1794</t>
  </si>
  <si>
    <t>2020-07-69-CMGP20(INFRA)</t>
  </si>
  <si>
    <t>G2020 019</t>
  </si>
  <si>
    <t>MG-A7M20-101</t>
  </si>
  <si>
    <t>PB2020-052</t>
  </si>
  <si>
    <t>2020-cw-07-001</t>
  </si>
  <si>
    <t>401-2020-07-0360</t>
  </si>
  <si>
    <t>ITB-072820-1</t>
  </si>
  <si>
    <t>20C00049</t>
  </si>
  <si>
    <t>PB2020-057</t>
  </si>
  <si>
    <t>IT GOODS 2020-07-48</t>
  </si>
  <si>
    <t>20MGU-064</t>
  </si>
  <si>
    <t>G-2020-028</t>
  </si>
  <si>
    <t>PB2020-056</t>
  </si>
  <si>
    <t>20-07-048</t>
  </si>
  <si>
    <t>MAD 026-2020</t>
  </si>
  <si>
    <t>20-07-0019</t>
  </si>
  <si>
    <t>20-07-049</t>
  </si>
  <si>
    <t>ITB GOODS 2020-07-49</t>
  </si>
  <si>
    <t>GO-20-07-051</t>
  </si>
  <si>
    <t>20MGU-067</t>
  </si>
  <si>
    <t>ITB-072820-2</t>
  </si>
  <si>
    <t>002 ITPM 2020</t>
  </si>
  <si>
    <t>LGU ORANI 2020-07-003</t>
  </si>
  <si>
    <t>ITB-2020-JDL-017 Re-Bid</t>
  </si>
  <si>
    <t>PB2020-060</t>
  </si>
  <si>
    <t>20-07-0018</t>
  </si>
  <si>
    <t>7-28-20</t>
  </si>
  <si>
    <t>ITB-2020-JDL-016 Re-Bid</t>
  </si>
  <si>
    <t>20200728-01</t>
  </si>
  <si>
    <t>20MGU-066</t>
  </si>
  <si>
    <t>PB2020-059</t>
  </si>
  <si>
    <t>80-20-07-084</t>
  </si>
  <si>
    <t>BAC 2020-29</t>
  </si>
  <si>
    <t>INFRA-2020-42</t>
  </si>
  <si>
    <t>20GNE0042</t>
  </si>
  <si>
    <t>G-2020-027</t>
  </si>
  <si>
    <t>ITB GOODS 2020-07-48</t>
  </si>
  <si>
    <t>IT GOODS 2020-07-47</t>
  </si>
  <si>
    <t>MG-A7C20-031</t>
  </si>
  <si>
    <t>PR-5</t>
  </si>
  <si>
    <t>INFRA-2020-44</t>
  </si>
  <si>
    <t>G-2020-029</t>
  </si>
  <si>
    <t>ITB-2020-07-18</t>
  </si>
  <si>
    <t>20MGU-070</t>
  </si>
  <si>
    <t>ITB GOODS 2020-07-50</t>
  </si>
  <si>
    <t>GO-20-07-052</t>
  </si>
  <si>
    <t>INFRA-2020-43</t>
  </si>
  <si>
    <t>brgy.zone 18</t>
  </si>
  <si>
    <t>20MGU-065</t>
  </si>
  <si>
    <t>20MGU-069</t>
  </si>
  <si>
    <t>2020-0728-1</t>
  </si>
  <si>
    <t>ITB-2020-07-20</t>
  </si>
  <si>
    <t>PR0081-20 PAGRO</t>
  </si>
  <si>
    <t>20MGU-068</t>
  </si>
  <si>
    <t>PB2020-053</t>
  </si>
  <si>
    <t>MG-A7M20-102</t>
  </si>
  <si>
    <t>MAD 029-2020</t>
  </si>
  <si>
    <t>MAD 025-2020</t>
  </si>
  <si>
    <t>I-2020-022</t>
  </si>
  <si>
    <t>G-2020-026</t>
  </si>
  <si>
    <t>2020-07-726</t>
  </si>
  <si>
    <t>27828-001</t>
  </si>
  <si>
    <t>ITB GOODS 2020-07-45</t>
  </si>
  <si>
    <t>SB-2020-030</t>
  </si>
  <si>
    <t>2020-0728-2</t>
  </si>
  <si>
    <t>031</t>
  </si>
  <si>
    <t>SB-2020-028</t>
  </si>
  <si>
    <t>2020-072810</t>
  </si>
  <si>
    <t>2020-07-200</t>
  </si>
  <si>
    <t>01tangkulandambuk20</t>
  </si>
  <si>
    <t>2020-00001</t>
  </si>
  <si>
    <t>2020-0728</t>
  </si>
  <si>
    <t>SB-2020-016</t>
  </si>
  <si>
    <t>SPUG-LUZ20-001 (PB2)</t>
  </si>
  <si>
    <t>ROSAL 0424-2020</t>
  </si>
  <si>
    <t>G-2020-030</t>
  </si>
  <si>
    <t>SB-2020-021</t>
  </si>
  <si>
    <t>2020-0322</t>
  </si>
  <si>
    <t>philgeps07282020b</t>
  </si>
  <si>
    <t>20KB0186</t>
  </si>
  <si>
    <t>MA-A2M20-051</t>
  </si>
  <si>
    <t>SPUG-LUZ20-009 (PB2)</t>
  </si>
  <si>
    <t>20GKI0044</t>
  </si>
  <si>
    <t>20FD0073</t>
  </si>
  <si>
    <t>20KB0184</t>
  </si>
  <si>
    <t>MA-A2M20-024</t>
  </si>
  <si>
    <t>ITBO7-GOODS-RESCUEVEHICLE</t>
  </si>
  <si>
    <t>2020-07-001-G</t>
  </si>
  <si>
    <t>CALI-01-2020</t>
  </si>
  <si>
    <t>20KB0183</t>
  </si>
  <si>
    <t>GOODS-2020-07-018</t>
  </si>
  <si>
    <t>INFRA-2020-009</t>
  </si>
  <si>
    <t>2020-06-009</t>
  </si>
  <si>
    <t>BALZN9-2015</t>
  </si>
  <si>
    <t>PR NO. 2020-07-008</t>
  </si>
  <si>
    <t>20KB0185</t>
  </si>
  <si>
    <t>'028</t>
  </si>
  <si>
    <t>CDC 57-07-2020</t>
  </si>
  <si>
    <t>'029</t>
  </si>
  <si>
    <t>SJ-20-197</t>
  </si>
  <si>
    <t>2020-07-02</t>
  </si>
  <si>
    <t>CULABA 2020-05</t>
  </si>
  <si>
    <t>146-2020</t>
  </si>
  <si>
    <t>PMRB 200-20-05-05927</t>
  </si>
  <si>
    <t>GEPS-17-2020</t>
  </si>
  <si>
    <t>20-06-001</t>
  </si>
  <si>
    <t>2020-07-20</t>
  </si>
  <si>
    <t>20FK0051-RE-BID</t>
  </si>
  <si>
    <t>07-096-2020</t>
  </si>
  <si>
    <t>2020-07-19</t>
  </si>
  <si>
    <t>2020-07-114</t>
  </si>
  <si>
    <t>2020-07-17</t>
  </si>
  <si>
    <t>2020-07-21</t>
  </si>
  <si>
    <t>2020-07-18</t>
  </si>
  <si>
    <t>2020-07-005B</t>
  </si>
  <si>
    <t>20CSGG0002</t>
  </si>
  <si>
    <t>MAD 028-2020</t>
  </si>
  <si>
    <t>200(01)20-07-427(A)</t>
  </si>
  <si>
    <t>2020-PB-SS-AHEPP-040-01</t>
  </si>
  <si>
    <t>OMM-LSB-2020-02</t>
  </si>
  <si>
    <t>INFRA-2020-46</t>
  </si>
  <si>
    <t>20200729-56</t>
  </si>
  <si>
    <t>2020-0728-3</t>
  </si>
  <si>
    <t>2020-07-001B</t>
  </si>
  <si>
    <t>20-05-00365</t>
  </si>
  <si>
    <t>20-07-00452</t>
  </si>
  <si>
    <t>2020-B006</t>
  </si>
  <si>
    <t>MG-A7M20-111</t>
  </si>
  <si>
    <t>BAC-20-07-079 (OED)</t>
  </si>
  <si>
    <t>PR-7</t>
  </si>
  <si>
    <t>INFRA-2020-45</t>
  </si>
  <si>
    <t>CW-2020-006</t>
  </si>
  <si>
    <t>ASS-20-0878-B</t>
  </si>
  <si>
    <t>0074-2020</t>
  </si>
  <si>
    <t>ITB2020-07-06</t>
  </si>
  <si>
    <t>2020-07-16</t>
  </si>
  <si>
    <t>401-2020-07-0361</t>
  </si>
  <si>
    <t>20-06-00392</t>
  </si>
  <si>
    <t>20-04-00301</t>
  </si>
  <si>
    <t>PB-2020-184-017</t>
  </si>
  <si>
    <t>PR 07-3735</t>
  </si>
  <si>
    <t>ITB GOODS 2020-07-51</t>
  </si>
  <si>
    <t>072820-B2</t>
  </si>
  <si>
    <t>20-07-00445</t>
  </si>
  <si>
    <t>2020-07-13</t>
  </si>
  <si>
    <t>UPLB-S-049-08-20, PROCUREMENT FOR THE REHABILITATI</t>
  </si>
  <si>
    <t>PPD-20-0845-B</t>
  </si>
  <si>
    <t>2020-187</t>
  </si>
  <si>
    <t>20-06-0224</t>
  </si>
  <si>
    <t>PB-0720-60</t>
  </si>
  <si>
    <t>UPLB-S-048-08-20, SUPPLY AND DELIVERY OF BRANDED A</t>
  </si>
  <si>
    <t>2020-036</t>
  </si>
  <si>
    <t>2020-07-14</t>
  </si>
  <si>
    <t>2020-INFRA-01</t>
  </si>
  <si>
    <t>2020-cw-07-002</t>
  </si>
  <si>
    <t>BCS-2020-0232</t>
  </si>
  <si>
    <t>2020-RBAC-REGIII-INFR-NEJ-025</t>
  </si>
  <si>
    <t>072020016</t>
  </si>
  <si>
    <t>NFA-RXIV-2020-G-009</t>
  </si>
  <si>
    <t>072820-B1</t>
  </si>
  <si>
    <t>20-06-00425</t>
  </si>
  <si>
    <t>DIS-20-0817-B</t>
  </si>
  <si>
    <t>PB 07-06-2020</t>
  </si>
  <si>
    <t>UPLB-S-047-08-20</t>
  </si>
  <si>
    <t>IB NO.2020-08-18(09)CAT II - MED/ LAB SUPPLIES &amp; R</t>
  </si>
  <si>
    <t>2020-RBAC-REGIII-INFR-NEJ-024</t>
  </si>
  <si>
    <t>BCS-2020-0233</t>
  </si>
  <si>
    <t>401-2020-07-0362</t>
  </si>
  <si>
    <t>2020-07-26</t>
  </si>
  <si>
    <t>2020-07-27</t>
  </si>
  <si>
    <t>2020-07-262</t>
  </si>
  <si>
    <t>ITB No. PB20-07-041COR</t>
  </si>
  <si>
    <t>2020-07-25</t>
  </si>
  <si>
    <t>80-20-04-051</t>
  </si>
  <si>
    <t>BCS-2020-0235</t>
  </si>
  <si>
    <t>072820-B3</t>
  </si>
  <si>
    <t>MJJLECINFRA002-2020-01</t>
  </si>
  <si>
    <t>101-2020-05-0189</t>
  </si>
  <si>
    <t>20-07-138</t>
  </si>
  <si>
    <t>101-2020-05-0187</t>
  </si>
  <si>
    <t>20-07-134</t>
  </si>
  <si>
    <t>SF-GOODS:2020-008-008</t>
  </si>
  <si>
    <t>BCS-2020-0236</t>
  </si>
  <si>
    <t>BCS-2020-0237</t>
  </si>
  <si>
    <t>GOODS-2020-153</t>
  </si>
  <si>
    <t>101-2020-05-0238-A</t>
  </si>
  <si>
    <t>101-2020-05-0192</t>
  </si>
  <si>
    <t>101-2020-05-0239</t>
  </si>
  <si>
    <t>2020-cw-07-003</t>
  </si>
  <si>
    <t>20-03-060</t>
  </si>
  <si>
    <t>2020-07-466</t>
  </si>
  <si>
    <t>2020-07-458</t>
  </si>
  <si>
    <t>ITB 2020-07-039 (GOODS)</t>
  </si>
  <si>
    <t>BG20-07-20</t>
  </si>
  <si>
    <t>2020-07-476</t>
  </si>
  <si>
    <t>2020-RBAC-REGIII-026</t>
  </si>
  <si>
    <t>2020-07-474</t>
  </si>
  <si>
    <t>2020-07-471</t>
  </si>
  <si>
    <t>23456</t>
  </si>
  <si>
    <t>2020-07-467</t>
  </si>
  <si>
    <t>2020-07-477</t>
  </si>
  <si>
    <t>GOODS-2020-151</t>
  </si>
  <si>
    <t>SM2020-07-013</t>
  </si>
  <si>
    <t>00016-20-0629-0286</t>
  </si>
  <si>
    <t>CA Procurement of Broadcast Camera and Video Switc</t>
  </si>
  <si>
    <t>2020-cw-07-009</t>
  </si>
  <si>
    <t>2020-cw-07-008</t>
  </si>
  <si>
    <t>20-06-492</t>
  </si>
  <si>
    <t>009-2020</t>
  </si>
  <si>
    <t>20PJ0059</t>
  </si>
  <si>
    <t>2020-cw-07-007</t>
  </si>
  <si>
    <t>MIWD</t>
  </si>
  <si>
    <t>2020-cw-07-006</t>
  </si>
  <si>
    <t>2020-cw-07-005</t>
  </si>
  <si>
    <t>GFT-08312020-MAT-MAG-BARMM</t>
  </si>
  <si>
    <t>DENR-NCR, PR No. 2020-020 &amp; 2020-213</t>
  </si>
  <si>
    <t>101-2020-05-0238-C</t>
  </si>
  <si>
    <t>2020-PBG-56</t>
  </si>
  <si>
    <t>20GD0109</t>
  </si>
  <si>
    <t>2020-cw-07-004</t>
  </si>
  <si>
    <t>20GD0108</t>
  </si>
  <si>
    <t>2020-cw-07-012</t>
  </si>
  <si>
    <t>INFRA-2020-07-006</t>
  </si>
  <si>
    <t>20-0007</t>
  </si>
  <si>
    <t>BCS-2020-0239</t>
  </si>
  <si>
    <t>MNE2020-010</t>
  </si>
  <si>
    <t>2020-cw-07-011</t>
  </si>
  <si>
    <t>20-00005</t>
  </si>
  <si>
    <t>BCS-2020-0238</t>
  </si>
  <si>
    <t>20-00006</t>
  </si>
  <si>
    <t>20-00004</t>
  </si>
  <si>
    <t>2020-cw-07-010</t>
  </si>
  <si>
    <t>20-05-100</t>
  </si>
  <si>
    <t>00051-20-0713-0296</t>
  </si>
  <si>
    <t>20-00003</t>
  </si>
  <si>
    <t>20-00002</t>
  </si>
  <si>
    <t>20MF0089</t>
  </si>
  <si>
    <t>INFRA-2020-07-002</t>
  </si>
  <si>
    <t>20LG0120</t>
  </si>
  <si>
    <t>2020-07-050</t>
  </si>
  <si>
    <t>2020-07-459</t>
  </si>
  <si>
    <t>INFRA-2020-07-004</t>
  </si>
  <si>
    <t>2020-07-468</t>
  </si>
  <si>
    <t>BCS-2020-0234</t>
  </si>
  <si>
    <t>20-04-021</t>
  </si>
  <si>
    <t>ITB 2020-07-041</t>
  </si>
  <si>
    <t>2020-07-464</t>
  </si>
  <si>
    <t>ITB-GS-20200611-01</t>
  </si>
  <si>
    <t>20-06-493</t>
  </si>
  <si>
    <t>INFRA-2020-07-005</t>
  </si>
  <si>
    <t>MNE2020-011</t>
  </si>
  <si>
    <t>PB-20-395</t>
  </si>
  <si>
    <t>PB-20-398</t>
  </si>
  <si>
    <t>2020-PBG-57</t>
  </si>
  <si>
    <t>PB-20-394</t>
  </si>
  <si>
    <t>20GD0110</t>
  </si>
  <si>
    <t>Cansamada East-2020-07-001</t>
  </si>
  <si>
    <t>RB-08202020</t>
  </si>
  <si>
    <t>MNE2020-12</t>
  </si>
  <si>
    <t>2020-PBG-60</t>
  </si>
  <si>
    <t>PB-20-396</t>
  </si>
  <si>
    <t>2020_BEFF_Repair of Classrooms</t>
  </si>
  <si>
    <t>A6-2020-001</t>
  </si>
  <si>
    <t>MNE2020-013</t>
  </si>
  <si>
    <t>100-2020-07-856</t>
  </si>
  <si>
    <t>A6-2020-002</t>
  </si>
  <si>
    <t>Goods 2020-010</t>
  </si>
  <si>
    <t>REI 2020-06-0077</t>
  </si>
  <si>
    <t>PR-2020-1061-0201</t>
  </si>
  <si>
    <t>100-2020-07-850</t>
  </si>
  <si>
    <t>2020-06-0002</t>
  </si>
  <si>
    <t>20CSIB10</t>
  </si>
  <si>
    <t>2020-003 LGUSJ-G</t>
  </si>
  <si>
    <t>19FI0063</t>
  </si>
  <si>
    <t>300-19-10-090</t>
  </si>
  <si>
    <t>100-20-04-506; 05-642; 07-866</t>
  </si>
  <si>
    <t>PEO-20-0664 B</t>
  </si>
  <si>
    <t>100-2020-07-857</t>
  </si>
  <si>
    <t>2020-PBG-59</t>
  </si>
  <si>
    <t>100-2020-07-846</t>
  </si>
  <si>
    <t>300-20-04-039</t>
  </si>
  <si>
    <t>20FI0039(RE-ADVERTISED)</t>
  </si>
  <si>
    <t>20-07-014</t>
  </si>
  <si>
    <t>100-2020-07-848</t>
  </si>
  <si>
    <t>PGL 20-097</t>
  </si>
  <si>
    <t>PGL 20-096</t>
  </si>
  <si>
    <t>101-4917-07-01-2020</t>
  </si>
  <si>
    <t>00159-2020</t>
  </si>
  <si>
    <t>PGL 20-098</t>
  </si>
  <si>
    <t>2020-07-369-ME</t>
  </si>
  <si>
    <t>300-20-07-064</t>
  </si>
  <si>
    <t>300-20-07-063</t>
  </si>
  <si>
    <t>PGL 20-095</t>
  </si>
  <si>
    <t>PSB-2019-0167</t>
  </si>
  <si>
    <t>300-20-07-065</t>
  </si>
  <si>
    <t>20K00354</t>
  </si>
  <si>
    <t>2020-PBG-58</t>
  </si>
  <si>
    <t>20GCB0007</t>
  </si>
  <si>
    <t>20-07-0344</t>
  </si>
  <si>
    <t>20-06-05A-0035</t>
  </si>
  <si>
    <t>20-03-0175</t>
  </si>
  <si>
    <t>300-20202-Infra-016</t>
  </si>
  <si>
    <t>OPA-2019-1645</t>
  </si>
  <si>
    <t>PB-20-397</t>
  </si>
  <si>
    <t>BAC-PG-00170-20</t>
  </si>
  <si>
    <t>2020-06-080(07308603)</t>
  </si>
  <si>
    <t>20-07-0363</t>
  </si>
  <si>
    <t>2020-013 LGUSJ-I</t>
  </si>
  <si>
    <t>2020-08-18-431PG</t>
  </si>
  <si>
    <t>PR 1096 &amp; 1097</t>
  </si>
  <si>
    <t>2020-08-18-432PG</t>
  </si>
  <si>
    <t>2020-08-18-430PG</t>
  </si>
  <si>
    <t>GOODS AUGUST 2020-001</t>
  </si>
  <si>
    <t>PB-LRP-2007-065</t>
  </si>
  <si>
    <t>2020-015  LGUSJ-I</t>
  </si>
  <si>
    <t>LunaLU 2020-07-041</t>
  </si>
  <si>
    <t>LunaLU 2020-07-039</t>
  </si>
  <si>
    <t>LunaLU 2020-07-042</t>
  </si>
  <si>
    <t>ITB No. 2020-24</t>
  </si>
  <si>
    <t>LunaLU 2020-040</t>
  </si>
  <si>
    <t>2020-014 LGUSJ-I</t>
  </si>
  <si>
    <t>2020-08-18-058CW</t>
  </si>
  <si>
    <t>2020-08-18-443PG</t>
  </si>
  <si>
    <t>2020-08-18-442PG</t>
  </si>
  <si>
    <t>B-044-2020</t>
  </si>
  <si>
    <t>2020-08-18-441PG</t>
  </si>
  <si>
    <t>B-045-2020</t>
  </si>
  <si>
    <t>2020-08-18-440PG</t>
  </si>
  <si>
    <t>2020-08-18-439PG</t>
  </si>
  <si>
    <t>2020-08-18-059CW</t>
  </si>
  <si>
    <t>INFR-032-2020</t>
  </si>
  <si>
    <t>GOODS 2020-36</t>
  </si>
  <si>
    <t>B-043-2020</t>
  </si>
  <si>
    <t>2020-08-18-444PG</t>
  </si>
  <si>
    <t>2020-08-18-446PG</t>
  </si>
  <si>
    <t>PR2020-06-29-077</t>
  </si>
  <si>
    <t>20DG0046</t>
  </si>
  <si>
    <t>20DG0045</t>
  </si>
  <si>
    <t>20-07-261</t>
  </si>
  <si>
    <t>2020-07-28-445PG</t>
  </si>
  <si>
    <t>Supply and Delivery of Remote Sensing Software Lic</t>
  </si>
  <si>
    <t>20DG0044</t>
  </si>
  <si>
    <t>ITB No. 2020-91</t>
  </si>
  <si>
    <t>ITB No. 2020-26</t>
  </si>
  <si>
    <t>NHAR1CAR1-ROBAC-INFR-20-001</t>
  </si>
  <si>
    <t>NHAR1CAR1-ROBAC-INFR-20-002</t>
  </si>
  <si>
    <t>2020-08-18-438PG</t>
  </si>
  <si>
    <t>goods-pr-06-2020</t>
  </si>
  <si>
    <t>goods-pr-05-2020</t>
  </si>
  <si>
    <t>2020-08-18-435PG</t>
  </si>
  <si>
    <t>2020-08-18-433PG</t>
  </si>
  <si>
    <t>PB-20-399</t>
  </si>
  <si>
    <t>2020-004 LGUSJ-G</t>
  </si>
  <si>
    <t>2020-08-18-436PG</t>
  </si>
  <si>
    <t>2020-27-07-37</t>
  </si>
  <si>
    <t>2020-07-024</t>
  </si>
  <si>
    <t>mda129</t>
  </si>
  <si>
    <t>46-2020</t>
  </si>
  <si>
    <t>20JG0088</t>
  </si>
  <si>
    <t>GOODS-2020-68</t>
  </si>
  <si>
    <t>GOODS-2020-69</t>
  </si>
  <si>
    <t>GOODS-2020-66</t>
  </si>
  <si>
    <t>Mkna-GSO-20-320</t>
  </si>
  <si>
    <t>2020-08-18-449PG</t>
  </si>
  <si>
    <t>20GFG0024</t>
  </si>
  <si>
    <t>20GFG0023</t>
  </si>
  <si>
    <t>2020-08-18-434PG</t>
  </si>
  <si>
    <t>ITB No. 2020-92</t>
  </si>
  <si>
    <t>Mkna-GSO-20-321</t>
  </si>
  <si>
    <t>AKLAN BAC ITB 390 SERIES 2020</t>
  </si>
  <si>
    <t>2020-08-18-437PG</t>
  </si>
  <si>
    <t>RFQ No. 2020-07-042</t>
  </si>
  <si>
    <t>AKLAN BAC ITB 211 SERIES 2020</t>
  </si>
  <si>
    <t>BCS-2020-0224</t>
  </si>
  <si>
    <t>G-126-20</t>
  </si>
  <si>
    <t>012</t>
  </si>
  <si>
    <t>BCS-2020-0225</t>
  </si>
  <si>
    <t>B2 RAC 200-20-07-08701</t>
  </si>
  <si>
    <t>BCS-2020-0223</t>
  </si>
  <si>
    <t>ITB No. 2020-07-001</t>
  </si>
  <si>
    <t>PB-GE1-2020-25</t>
  </si>
  <si>
    <t>AKLAN BAC ITB 404 SERIES 2020</t>
  </si>
  <si>
    <t>LunaLU 2020-07-038</t>
  </si>
  <si>
    <t>GOODS-2020-07-14</t>
  </si>
  <si>
    <t>20JG0087</t>
  </si>
  <si>
    <t>ITB-2020-REL-004 Re-Bid</t>
  </si>
  <si>
    <t>ITB No. (INF) 2020-07-107 CONCRETING OF BARANGAY R</t>
  </si>
  <si>
    <t>20GKE0007 Lot2</t>
  </si>
  <si>
    <t>PR No. 2020-06-248</t>
  </si>
  <si>
    <t>B058-2020</t>
  </si>
  <si>
    <t>LGU-COR. 2020-034 (Re-bid)</t>
  </si>
  <si>
    <t>ITB No. 2020-93</t>
  </si>
  <si>
    <t>2020-0191-PR2020-0545</t>
  </si>
  <si>
    <t>B057-2020</t>
  </si>
  <si>
    <t>2020-07-24</t>
  </si>
  <si>
    <t>2020-0727</t>
  </si>
  <si>
    <t>ITBO5-GOODS-LIVELIHOOD|GAD</t>
  </si>
  <si>
    <t>B064-2020</t>
  </si>
  <si>
    <t>B063-2020</t>
  </si>
  <si>
    <t>ITB 20-0057-A</t>
  </si>
  <si>
    <t>004-07-2020</t>
  </si>
  <si>
    <t>B062-2020</t>
  </si>
  <si>
    <t>Mkna-GSO-20-322</t>
  </si>
  <si>
    <t>PROV-2020-02-GS</t>
  </si>
  <si>
    <t>ITB-2020-REL-005 Re-Bid</t>
  </si>
  <si>
    <t>005-07-2020</t>
  </si>
  <si>
    <t>B061-2020</t>
  </si>
  <si>
    <t>SOLANO 086-2020</t>
  </si>
  <si>
    <t>B060-2020</t>
  </si>
  <si>
    <t>SOLANO 087-2020</t>
  </si>
  <si>
    <t>bac-azds-20-07-021</t>
  </si>
  <si>
    <t>ITB No. (INF) 2020-07-106 BRGY. ROAD CONCRETING, B</t>
  </si>
  <si>
    <t>2020-07-145</t>
  </si>
  <si>
    <t>AKLAN BAC ITB 406 SERIES 2020</t>
  </si>
  <si>
    <t>CDC 56-07-2020</t>
  </si>
  <si>
    <t>B059-2020</t>
  </si>
  <si>
    <t>072720-76</t>
  </si>
  <si>
    <t>ITB 20-0075</t>
  </si>
  <si>
    <t>SAYON GOODS 20-01</t>
  </si>
  <si>
    <t>ITB 20-0074</t>
  </si>
  <si>
    <t>DTI8.REGRO.20-07099</t>
  </si>
  <si>
    <t>BGH - 07 - 0125</t>
  </si>
  <si>
    <t>BAC-HO CS 2020-0471</t>
  </si>
  <si>
    <t>033-2020</t>
  </si>
  <si>
    <t>ITB-2020-03</t>
  </si>
  <si>
    <t>PR No. 2020-07-002</t>
  </si>
  <si>
    <t>BAC-PGCS-009-2020</t>
  </si>
  <si>
    <t>2020-02-0130</t>
  </si>
  <si>
    <t>07272020G</t>
  </si>
  <si>
    <t>20GKE0007 Lot1</t>
  </si>
  <si>
    <t>20-07-1026-GSO</t>
  </si>
  <si>
    <t>PPSC BAC IB NO.011 (G/I) 2020</t>
  </si>
  <si>
    <t>SKSIRENE20-001</t>
  </si>
  <si>
    <t>388548474</t>
  </si>
  <si>
    <t>SKSIRENE20-002</t>
  </si>
  <si>
    <t>2020-06-0542, 2020-02-0145, 2020-06-0553</t>
  </si>
  <si>
    <t>T/F-2020-06-350,351,355,357,358</t>
  </si>
  <si>
    <t>2020-02-0130, 2020-06-0564, 2020-06-0598, 2020-01-</t>
  </si>
  <si>
    <t>409TH CO-GHQ &amp; HSC-RMBD-170-20</t>
  </si>
  <si>
    <t>Alaminos City</t>
  </si>
  <si>
    <t>2020-7-0010</t>
  </si>
  <si>
    <t>G315-20</t>
  </si>
  <si>
    <t>B066-2020</t>
  </si>
  <si>
    <t>ITB-20-06097</t>
  </si>
  <si>
    <t>2019-01</t>
  </si>
  <si>
    <t>2020-INFRA-1B</t>
  </si>
  <si>
    <t>2020-INFRA-14C</t>
  </si>
  <si>
    <t>G381-20</t>
  </si>
  <si>
    <t>NCB Publication No. 2020- 24</t>
  </si>
  <si>
    <t>20K00356</t>
  </si>
  <si>
    <t>ITB 20-089</t>
  </si>
  <si>
    <t>ITB NO.: INFRA 2020-07-004</t>
  </si>
  <si>
    <t>20LB0308</t>
  </si>
  <si>
    <t>2020-0190-PR2020-0544</t>
  </si>
  <si>
    <t>blgumabini-2019</t>
  </si>
  <si>
    <t>20K00355</t>
  </si>
  <si>
    <t>01-2020-006B</t>
  </si>
  <si>
    <t>20HB0172</t>
  </si>
  <si>
    <t>20HB0170</t>
  </si>
  <si>
    <t>2020-01-0029, 2020-02-0178, 2020-02-0168, 2020-02-</t>
  </si>
  <si>
    <t>20GLB0072</t>
  </si>
  <si>
    <t>IB No 2020-002</t>
  </si>
  <si>
    <t>DOC2</t>
  </si>
  <si>
    <t>23-20 cw</t>
  </si>
  <si>
    <t>015-2020</t>
  </si>
  <si>
    <t>20LB0298</t>
  </si>
  <si>
    <t>20G00105</t>
  </si>
  <si>
    <t>ppn-135-2020</t>
  </si>
  <si>
    <t>IB No 2020-003</t>
  </si>
  <si>
    <t>DOC4</t>
  </si>
  <si>
    <t>2020-07-PR048</t>
  </si>
  <si>
    <t xml:space="preserve">NCB Publication No. 2020- 26 (First Publication)- </t>
  </si>
  <si>
    <t>AKLAN BAC ITB 407 SERIES 2020</t>
  </si>
  <si>
    <t>20LB0322</t>
  </si>
  <si>
    <t>infra2020-5</t>
  </si>
  <si>
    <t>G2020-07-03</t>
  </si>
  <si>
    <t>20G00109</t>
  </si>
  <si>
    <t>19CSK00054</t>
  </si>
  <si>
    <t>2020-07-0057-repost</t>
  </si>
  <si>
    <t>NCB Publication No. 2020- 25</t>
  </si>
  <si>
    <t>2020-023J</t>
  </si>
  <si>
    <t>2020-07-436</t>
  </si>
  <si>
    <t>20G00108</t>
  </si>
  <si>
    <t>TAYSAN2020-084</t>
  </si>
  <si>
    <t>PRN 052</t>
  </si>
  <si>
    <t>ASTGOODS25</t>
  </si>
  <si>
    <t>DOC7</t>
  </si>
  <si>
    <t>LSPU2020-G02</t>
  </si>
  <si>
    <t>2020-07-089</t>
  </si>
  <si>
    <t>DOC6</t>
  </si>
  <si>
    <t>SB4 ASA 300-20-05-05805</t>
  </si>
  <si>
    <t>PB20-07-004BAC LOT 2</t>
  </si>
  <si>
    <t>20-07-43</t>
  </si>
  <si>
    <t>20HB0171</t>
  </si>
  <si>
    <t>BLGUBALLUYAN-CW-2020-003</t>
  </si>
  <si>
    <t>20053369</t>
  </si>
  <si>
    <t>DOC3</t>
  </si>
  <si>
    <t>02-157-2020</t>
  </si>
  <si>
    <t>OM-220-L-2020</t>
  </si>
  <si>
    <t>20-07-42</t>
  </si>
  <si>
    <t>20PG0063</t>
  </si>
  <si>
    <t>brgy.bidlinan</t>
  </si>
  <si>
    <t>2020-27-07-008MLUC</t>
  </si>
  <si>
    <t>20CSDI02</t>
  </si>
  <si>
    <t>SUC 2020-02-017</t>
  </si>
  <si>
    <t>BAC GS No. 2020-183/DGS PR No. 2000005511</t>
  </si>
  <si>
    <t>2020-07-026</t>
  </si>
  <si>
    <t>2020-12-05-003SRDI</t>
  </si>
  <si>
    <t>BCS-2020-0230</t>
  </si>
  <si>
    <t>PSO-VIS-SIC-003-20</t>
  </si>
  <si>
    <t>20LB0314</t>
  </si>
  <si>
    <t>PB20-07-004BAC LOT 3</t>
  </si>
  <si>
    <t>BCS-2020-0229</t>
  </si>
  <si>
    <t>2020-12-05-002SRDI</t>
  </si>
  <si>
    <t>20 – 0033 – S</t>
  </si>
  <si>
    <t>2020-PBGOODS-07-013</t>
  </si>
  <si>
    <t>IB No. 2020-039</t>
  </si>
  <si>
    <t>20 – 0032– S</t>
  </si>
  <si>
    <t>20 – 0031 – S</t>
  </si>
  <si>
    <t>07-28-2020-01</t>
  </si>
  <si>
    <t>20 – 0030 – S</t>
  </si>
  <si>
    <t>2020-07-046</t>
  </si>
  <si>
    <t>18-2020</t>
  </si>
  <si>
    <t>01620</t>
  </si>
  <si>
    <t>C-012-20</t>
  </si>
  <si>
    <t>brgy.kilim20</t>
  </si>
  <si>
    <t>07-28-2020-04</t>
  </si>
  <si>
    <t>PSO-VIS-SIC-004-20</t>
  </si>
  <si>
    <t>2020C -19-818</t>
  </si>
  <si>
    <t>20KL0142 - CONSTRUCTION OF MULTI-PURPOSE BUILDING-</t>
  </si>
  <si>
    <t>20-256</t>
  </si>
  <si>
    <t>07-28-2020-03</t>
  </si>
  <si>
    <t>07-28-2020-02</t>
  </si>
  <si>
    <t>ITB PR 0541</t>
  </si>
  <si>
    <t>019-2020</t>
  </si>
  <si>
    <t>PB20-07-004BAC LOT 1</t>
  </si>
  <si>
    <t>2020-037 RHU Phase II</t>
  </si>
  <si>
    <t>200-202007-00045</t>
  </si>
  <si>
    <t>20CSDI04</t>
  </si>
  <si>
    <t>2020-PB-045</t>
  </si>
  <si>
    <t>20 – 0036 – S</t>
  </si>
  <si>
    <t>100-202007-01042</t>
  </si>
  <si>
    <t>INFR-033-2020</t>
  </si>
  <si>
    <t>2020-201</t>
  </si>
  <si>
    <t>01616</t>
  </si>
  <si>
    <t>20 – 0034 – S</t>
  </si>
  <si>
    <t>CW-08-2020</t>
  </si>
  <si>
    <t>07-28-2020-07</t>
  </si>
  <si>
    <t>07-28-2020-08</t>
  </si>
  <si>
    <t>03-261-2020</t>
  </si>
  <si>
    <t>2020-038 Storage and Parking Area Phase II</t>
  </si>
  <si>
    <t>CW-07-2020</t>
  </si>
  <si>
    <t>07-28-2020-06</t>
  </si>
  <si>
    <t>GOODS-2020-146</t>
  </si>
  <si>
    <t>2020-7-0009</t>
  </si>
  <si>
    <t>CW-06-2020</t>
  </si>
  <si>
    <t>GOODS 2020-01-001-(2.0)</t>
  </si>
  <si>
    <t>2020-PB-046</t>
  </si>
  <si>
    <t>101-020-007-079</t>
  </si>
  <si>
    <t>07-28-2020-09</t>
  </si>
  <si>
    <t>20 – 0037 – S</t>
  </si>
  <si>
    <t>20 – 0029 – S</t>
  </si>
  <si>
    <t>20CSDI03</t>
  </si>
  <si>
    <t>07-28-2020-05</t>
  </si>
  <si>
    <t>sfbac2020-RHU I-07.27</t>
  </si>
  <si>
    <t>BCS-2020-0231</t>
  </si>
  <si>
    <t>BLGU Bagong Silang 2020-07-015</t>
  </si>
  <si>
    <t>2020-180</t>
  </si>
  <si>
    <t>20CI0106</t>
  </si>
  <si>
    <t>20-07-38A</t>
  </si>
  <si>
    <t>01045</t>
  </si>
  <si>
    <t>2020-PB-044</t>
  </si>
  <si>
    <t>GOODS-2020-145</t>
  </si>
  <si>
    <t>barangay danao 2020-01</t>
  </si>
  <si>
    <t>PPSC BAC IB NO.013 (G) 2020</t>
  </si>
  <si>
    <t>20200727</t>
  </si>
  <si>
    <t>7/24/2020</t>
  </si>
  <si>
    <t>sal-2020-005</t>
  </si>
  <si>
    <t>SF-CW-LGSF-FA-2020-15</t>
  </si>
  <si>
    <t>M6-20-1587</t>
  </si>
  <si>
    <t>2020-028-PB</t>
  </si>
  <si>
    <t>BAC2020-24</t>
  </si>
  <si>
    <t>2020-PBINFRA-07-007</t>
  </si>
  <si>
    <t>RFQ NO. 20-07-441</t>
  </si>
  <si>
    <t>PR-2020-03-071</t>
  </si>
  <si>
    <t>2020-02-INFRA-JULY-12</t>
  </si>
  <si>
    <t>ITB 2020-001 ROAD NETWORKS</t>
  </si>
  <si>
    <t>BAC2019-18A</t>
  </si>
  <si>
    <t>GOODS-01-2020</t>
  </si>
  <si>
    <t>PCDP-2020-07-0283</t>
  </si>
  <si>
    <t>GOODS-2020-150</t>
  </si>
  <si>
    <t>20NE0097</t>
  </si>
  <si>
    <t>INFR-034-2020</t>
  </si>
  <si>
    <t>GOODS-2020-149</t>
  </si>
  <si>
    <t>2020G - 20-818</t>
  </si>
  <si>
    <t>B2020-098-A</t>
  </si>
  <si>
    <t>PR-2020-03-060</t>
  </si>
  <si>
    <t>2020G - 020-818</t>
  </si>
  <si>
    <t>INFRA 2020-014</t>
  </si>
  <si>
    <t>BLGUNORTE-CW-2020-002</t>
  </si>
  <si>
    <t>NCB Publication No. 2020- 27</t>
  </si>
  <si>
    <t>PGSO 300-20-01-00299</t>
  </si>
  <si>
    <t>07-28-2020-10</t>
  </si>
  <si>
    <t>BLGU Bagong Silang 2020-07-016</t>
  </si>
  <si>
    <t>ASTGOODS26</t>
  </si>
  <si>
    <t>2020-PB-043</t>
  </si>
  <si>
    <t>20CG0254</t>
  </si>
  <si>
    <t>GOODS-2020-147</t>
  </si>
  <si>
    <t>20CG0253</t>
  </si>
  <si>
    <t>2020-06-43</t>
  </si>
  <si>
    <t>NHAXII-2020-073</t>
  </si>
  <si>
    <t>2020031</t>
  </si>
  <si>
    <t>20CG0250</t>
  </si>
  <si>
    <t>DepEd.Pang2 2020-07-0001</t>
  </si>
  <si>
    <t>07-003-20</t>
  </si>
  <si>
    <t>388548476</t>
  </si>
  <si>
    <t>07-004-20</t>
  </si>
  <si>
    <t>INFR-035-2020</t>
  </si>
  <si>
    <t>20CG0251</t>
  </si>
  <si>
    <t>G-2020-23</t>
  </si>
  <si>
    <t>BAC-BLGU- TADS-2020-03</t>
  </si>
  <si>
    <t>LGU GUA 23-20</t>
  </si>
  <si>
    <t>Supply and Delivery various Agricultural Inputs fo</t>
  </si>
  <si>
    <t>G37-2020</t>
  </si>
  <si>
    <t>Canramos-2020-07-001</t>
  </si>
  <si>
    <t>G2020-07-04</t>
  </si>
  <si>
    <t>Supply and Installation of Closed-Circuit Televisi</t>
  </si>
  <si>
    <t>20CG0252</t>
  </si>
  <si>
    <t>PCA-2020-02-006</t>
  </si>
  <si>
    <t>BAC-BLGU-DEL MONTE TADS-2020-04</t>
  </si>
  <si>
    <t>GOODS-2020-148</t>
  </si>
  <si>
    <t>2020-0033</t>
  </si>
  <si>
    <t>20-07-27-001</t>
  </si>
  <si>
    <t>2020-0034</t>
  </si>
  <si>
    <t>20CG257</t>
  </si>
  <si>
    <t>ITB-2020-075</t>
  </si>
  <si>
    <t>2020-0031</t>
  </si>
  <si>
    <t>2020-0032</t>
  </si>
  <si>
    <t>G36-2020</t>
  </si>
  <si>
    <t>2020-06-0056-repost</t>
  </si>
  <si>
    <t>20% ESIVA.3-2020</t>
  </si>
  <si>
    <t>LGU GUA 28-20</t>
  </si>
  <si>
    <t>QNV-029-2020</t>
  </si>
  <si>
    <t>20CG0258</t>
  </si>
  <si>
    <t>20% ESIVB.10-2020</t>
  </si>
  <si>
    <t>LGU GUA 26-20</t>
  </si>
  <si>
    <t>PEO SB 2-2016</t>
  </si>
  <si>
    <t>LGU GUA 25-20</t>
  </si>
  <si>
    <t>LGU GUA 27-20</t>
  </si>
  <si>
    <t>20FG0102</t>
  </si>
  <si>
    <t>LGU GUA 24-20</t>
  </si>
  <si>
    <t>20% ESIVD.3-2020</t>
  </si>
  <si>
    <t>QNV-012</t>
  </si>
  <si>
    <t>QNV-011-2020</t>
  </si>
  <si>
    <t>1-081820</t>
  </si>
  <si>
    <t>QNV-025-2020</t>
  </si>
  <si>
    <t>LGU GUA 29-20</t>
  </si>
  <si>
    <t>PEO SB2-1-07-04-010-2019</t>
  </si>
  <si>
    <t>45-2020</t>
  </si>
  <si>
    <t>LGU GUA 30-20</t>
  </si>
  <si>
    <t>43-220</t>
  </si>
  <si>
    <t>Infra 2020-07</t>
  </si>
  <si>
    <t>Infra 2020-04</t>
  </si>
  <si>
    <t>2020-06-13</t>
  </si>
  <si>
    <t>Infra 2020-03</t>
  </si>
  <si>
    <t>BACTGOODS202007005</t>
  </si>
  <si>
    <t>2020-06-0001</t>
  </si>
  <si>
    <t>Infra 2020-05</t>
  </si>
  <si>
    <t>BAC PBP 2020-19</t>
  </si>
  <si>
    <t>GHQBAC1-PB-009-GHQ-20</t>
  </si>
  <si>
    <t>6-8-20-ID9</t>
  </si>
  <si>
    <t>20CSFE03</t>
  </si>
  <si>
    <t>ROSAL 0398-2020</t>
  </si>
  <si>
    <t>DA7-08-FOD-C-20-2905</t>
  </si>
  <si>
    <t>DA7-08-FOD-C-20-2902</t>
  </si>
  <si>
    <t>100-2020-0988</t>
  </si>
  <si>
    <t>Infra 2020-06</t>
  </si>
  <si>
    <t>ROSAL 0397-2020</t>
  </si>
  <si>
    <t>100-2020-0943</t>
  </si>
  <si>
    <t>ITB No. 096-Brgy-2020</t>
  </si>
  <si>
    <t>DA7-08-FOD-C-20-2903</t>
  </si>
  <si>
    <t>4-081820</t>
  </si>
  <si>
    <t>ITB No. 098-Goods-2020</t>
  </si>
  <si>
    <t>ITB No. 097-Infra-2020</t>
  </si>
  <si>
    <t>INFRA-PB-2020-016</t>
  </si>
  <si>
    <t>5-081820</t>
  </si>
  <si>
    <t>44-2020</t>
  </si>
  <si>
    <t>006-s 2020 SARA LGU</t>
  </si>
  <si>
    <t>INFRA-PB-2020-015</t>
  </si>
  <si>
    <t>ITB 070-2020</t>
  </si>
  <si>
    <t>GOODS2020-08-001</t>
  </si>
  <si>
    <t>7-20-30</t>
  </si>
  <si>
    <t>GHQBAC1-PB-020-GHQ-20</t>
  </si>
  <si>
    <t>CWD 33-2020</t>
  </si>
  <si>
    <t>100-2020-07-823</t>
  </si>
  <si>
    <t>26dambuk20</t>
  </si>
  <si>
    <t>2020-GOODS-012-01-0727Rep</t>
  </si>
  <si>
    <t>100-2020-06-819</t>
  </si>
  <si>
    <t>IB-2020-019-GOODS-OSEG-TDO</t>
  </si>
  <si>
    <t>FB20-07-010CORa</t>
  </si>
  <si>
    <t>5021304001-870-20</t>
  </si>
  <si>
    <t>CWD 34-2020</t>
  </si>
  <si>
    <t>ITB No. 2020-07-037</t>
  </si>
  <si>
    <t>PB20-02-026CORa-07</t>
  </si>
  <si>
    <t>2020-CW-021</t>
  </si>
  <si>
    <t>INFRA-PB-2020-018</t>
  </si>
  <si>
    <t>POW - 8751 - 2020 - BNG - 02</t>
  </si>
  <si>
    <t>20GKI0043</t>
  </si>
  <si>
    <t>blgupoblacion-2019</t>
  </si>
  <si>
    <t>20KI0098</t>
  </si>
  <si>
    <t>20GKI0042</t>
  </si>
  <si>
    <t>001 CLS-BACBITB</t>
  </si>
  <si>
    <t>20GKI0037</t>
  </si>
  <si>
    <t>20GKI0038</t>
  </si>
  <si>
    <t>20GKI0036</t>
  </si>
  <si>
    <t>CONTRACT ID #: 20-07-106</t>
  </si>
  <si>
    <t>20GKI0039</t>
  </si>
  <si>
    <t>2020-GD-07-04</t>
  </si>
  <si>
    <t>20GKI0041</t>
  </si>
  <si>
    <t>PB GOODS 20-001</t>
  </si>
  <si>
    <t>sj 2020 b aug 004</t>
  </si>
  <si>
    <t>sj 2020 b aug 003</t>
  </si>
  <si>
    <t>sj 2020 b aug 002</t>
  </si>
  <si>
    <t>20-11 GOODS</t>
  </si>
  <si>
    <t>sj 2020 b aug 006</t>
  </si>
  <si>
    <t>sj 2020 b aug 001</t>
  </si>
  <si>
    <t>CONTRACT ID # 20-07-103</t>
  </si>
  <si>
    <t>INFRA-PB-2020-019</t>
  </si>
  <si>
    <t>CONTRACT ID # 20-07-102</t>
  </si>
  <si>
    <t>CONTRACT ID # 20-07-100</t>
  </si>
  <si>
    <t>CONTRACT ID #Z:  20-07-105</t>
  </si>
  <si>
    <t>sj 2020 b aug 005</t>
  </si>
  <si>
    <t>CONTRACT ID # 19-10-197 2ND REBID</t>
  </si>
  <si>
    <t>CONTRACT ID #: 19-11-219 2ND REBID</t>
  </si>
  <si>
    <t>CONTRACT ID # 20-07-101</t>
  </si>
  <si>
    <t>20GKI0035</t>
  </si>
  <si>
    <t>GA-BAC-2020-IP-03</t>
  </si>
  <si>
    <t>CONTRACT ID #: 20-07-104</t>
  </si>
  <si>
    <t>sj 2020 b aug 007</t>
  </si>
  <si>
    <t>ITB No. 099-Goods-2020</t>
  </si>
  <si>
    <t>GOODS2020-08-002</t>
  </si>
  <si>
    <t>IB-2020-017-GOODS-WB</t>
  </si>
  <si>
    <t>IB-2020-018-GOODS-WB</t>
  </si>
  <si>
    <t>Goods-11-2020</t>
  </si>
  <si>
    <t>RFQ NO. 20-00041</t>
  </si>
  <si>
    <t>2020-000003</t>
  </si>
  <si>
    <t>Infra Projects 19-2020</t>
  </si>
  <si>
    <t>ITB#-001,PR#24-07-2020</t>
  </si>
  <si>
    <t>Goods-06-2020; 2nd Posting</t>
  </si>
  <si>
    <t>20-0055 (re-bid)</t>
  </si>
  <si>
    <t>531-07-2020 (DEP-ED)</t>
  </si>
  <si>
    <t>PR NO. 20-07-005</t>
  </si>
  <si>
    <t>INFRA-PB-2020-017</t>
  </si>
  <si>
    <t>ITB No. 0100-Goods-2020</t>
  </si>
  <si>
    <t>ITB 2020-07-002</t>
  </si>
  <si>
    <t>ITB-2020-JDL-015</t>
  </si>
  <si>
    <t>ITB NO. 25-2020</t>
  </si>
  <si>
    <t>sj 2020 b aug 009</t>
  </si>
  <si>
    <t>CONTRACT ID #: 20-07-107</t>
  </si>
  <si>
    <t>BAC 2020-I02</t>
  </si>
  <si>
    <t>ITB 2020-07-003</t>
  </si>
  <si>
    <t>ITB No. 0101-Infra-2020</t>
  </si>
  <si>
    <t>MP-GOODS-2020-014</t>
  </si>
  <si>
    <t>MP-GOODS-2020-013</t>
  </si>
  <si>
    <t>INF-SFO-07-20</t>
  </si>
  <si>
    <t>BALZN9-2016</t>
  </si>
  <si>
    <t>PGLDN 101-20-07 1388</t>
  </si>
  <si>
    <t>CW-365-2020</t>
  </si>
  <si>
    <t>NAB-0002I-2020</t>
  </si>
  <si>
    <t>PGLDNMCC HOTEL 2020-01</t>
  </si>
  <si>
    <t>ITB No. 20-071</t>
  </si>
  <si>
    <t>100-2020-0852, 0692, 0820, 0880</t>
  </si>
  <si>
    <t>MUNPINCE-2007-132</t>
  </si>
  <si>
    <t>BAC 2020-I03</t>
  </si>
  <si>
    <t>20GFH0024</t>
  </si>
  <si>
    <t>PGLDN 101-20-01-0208</t>
  </si>
  <si>
    <t>20-07-005</t>
  </si>
  <si>
    <t>MUNPINCE-2007-131</t>
  </si>
  <si>
    <t>20-07-004</t>
  </si>
  <si>
    <t>PGLDN 101-20-07-1414</t>
  </si>
  <si>
    <t>20GFH0023</t>
  </si>
  <si>
    <t>ITB No. 0102-Infra-2020</t>
  </si>
  <si>
    <t>NAB-0003I-2020</t>
  </si>
  <si>
    <t>007-s 2020 SARA LGU</t>
  </si>
  <si>
    <t>INF-SFO-08-20</t>
  </si>
  <si>
    <t>MP-GOODS-2020-016</t>
  </si>
  <si>
    <t>SEF-20-07-01113</t>
  </si>
  <si>
    <t>NAB-0004I-2020</t>
  </si>
  <si>
    <t>PGLDN PENRO 2020-01</t>
  </si>
  <si>
    <t>Lgn1 - 20-DH-0097</t>
  </si>
  <si>
    <t>INF-SFO-09-20</t>
  </si>
  <si>
    <t>Infra-2020-07</t>
  </si>
  <si>
    <t>UPLB-IF-005-08-20 REBID</t>
  </si>
  <si>
    <t>20GFH0022</t>
  </si>
  <si>
    <t>Lgn1 - 20-DH-0093</t>
  </si>
  <si>
    <t>Lgn1 - 20-DH-0092</t>
  </si>
  <si>
    <t>Lgn1 - 20-DH-0095</t>
  </si>
  <si>
    <t>Lgn1 - 20-DH-0096</t>
  </si>
  <si>
    <t>CB(B)-20-028(LSB-DEPED)</t>
  </si>
  <si>
    <t>GS 2020-007-025</t>
  </si>
  <si>
    <t>20-05-0864</t>
  </si>
  <si>
    <t>MCS-20-07-001</t>
  </si>
  <si>
    <t>20-05-0865</t>
  </si>
  <si>
    <t>UPLB-IF-016-08-20 REBID</t>
  </si>
  <si>
    <t>DA8-Goods-2020-36 Rebidding (PR No. CORN 20-05-20-</t>
  </si>
  <si>
    <t>Lgn1 - 20-DH-0094</t>
  </si>
  <si>
    <t>itb no. 2020-23</t>
  </si>
  <si>
    <t>MP-GOODS-2020-015</t>
  </si>
  <si>
    <t>N20-HE-117</t>
  </si>
  <si>
    <t>INFRA-07-24-2020-01</t>
  </si>
  <si>
    <t>ITB No. GOODS-20-127</t>
  </si>
  <si>
    <t>Goods 0044-2020</t>
  </si>
  <si>
    <t>Goods 0043-2020</t>
  </si>
  <si>
    <t>6-081820</t>
  </si>
  <si>
    <t>itb no. 2020-22</t>
  </si>
  <si>
    <t>ITB No. GOODS-20-128</t>
  </si>
  <si>
    <t>Goods 0039-2020</t>
  </si>
  <si>
    <t>Goods 0037-2020</t>
  </si>
  <si>
    <t>DA8-Goods-2020-46 (PR No. NLP 20-06-26-0298)</t>
  </si>
  <si>
    <t>Goods 0041-2020</t>
  </si>
  <si>
    <t>Goods 0040-2020</t>
  </si>
  <si>
    <t>2020-07-26-194</t>
  </si>
  <si>
    <t>2020-07-26-195</t>
  </si>
  <si>
    <t>2020-BBS-003</t>
  </si>
  <si>
    <t>SJDB-2020-26</t>
  </si>
  <si>
    <t>Goods 0038-2020</t>
  </si>
  <si>
    <t>SJDB-2020-25</t>
  </si>
  <si>
    <t>itb20-07-030C</t>
  </si>
  <si>
    <t>Goods 0036-2020</t>
  </si>
  <si>
    <t>itb20-07-030A</t>
  </si>
  <si>
    <t>MCS-20-07-002</t>
  </si>
  <si>
    <t>PB-20-393</t>
  </si>
  <si>
    <t>07262020001</t>
  </si>
  <si>
    <t>PB-20-392</t>
  </si>
  <si>
    <t>2020-I07-11</t>
  </si>
  <si>
    <t>PB 16-2020</t>
  </si>
  <si>
    <t>PB 15-2020</t>
  </si>
  <si>
    <t>023</t>
  </si>
  <si>
    <t>itb20-07-030B</t>
  </si>
  <si>
    <t>022</t>
  </si>
  <si>
    <t>DTI-BAC-20-10A</t>
  </si>
  <si>
    <t>N20-HE-116</t>
  </si>
  <si>
    <t>2020-BBS-002</t>
  </si>
  <si>
    <t>2020-07-26-193</t>
  </si>
  <si>
    <t>2020-BBS-001</t>
  </si>
  <si>
    <t>021-20</t>
  </si>
  <si>
    <t>ITB NO.2020-034</t>
  </si>
  <si>
    <t>PRDP-IR-CAR-BEN-021-LAT-021-2019</t>
  </si>
  <si>
    <t>N20-HE-119</t>
  </si>
  <si>
    <t>N20-HE-115</t>
  </si>
  <si>
    <t>068-2020</t>
  </si>
  <si>
    <t>N20-HE-118</t>
  </si>
  <si>
    <t>20-07-0660</t>
  </si>
  <si>
    <t>Goods 0042-2020</t>
  </si>
  <si>
    <t>SA08172020</t>
  </si>
  <si>
    <t>20-07-0662</t>
  </si>
  <si>
    <t>20GPB0003</t>
  </si>
  <si>
    <t>20-07-0664</t>
  </si>
  <si>
    <t>CA08172020</t>
  </si>
  <si>
    <t>20-07-0649</t>
  </si>
  <si>
    <t>itb no. 2020-14</t>
  </si>
  <si>
    <t>00207262020</t>
  </si>
  <si>
    <t>00107262020</t>
  </si>
  <si>
    <t>MG-A7C20-007, Rubber Gasket, Rectangular, 8mm x 15</t>
  </si>
  <si>
    <t>INFRA-CNO-20-0009</t>
  </si>
  <si>
    <t>DTI-BAC-20-013</t>
  </si>
  <si>
    <t>20DF0192 - 20DF0194</t>
  </si>
  <si>
    <t>0625-20</t>
  </si>
  <si>
    <t>INFRA-CNO-20-0004</t>
  </si>
  <si>
    <t>2020-01A</t>
  </si>
  <si>
    <t>20GGK0008</t>
  </si>
  <si>
    <t>17202007068</t>
  </si>
  <si>
    <t>BHG-01-G-2020</t>
  </si>
  <si>
    <t>3371-20</t>
  </si>
  <si>
    <t>20-82-024</t>
  </si>
  <si>
    <t>07242020A</t>
  </si>
  <si>
    <t>20-03-0434</t>
  </si>
  <si>
    <t>sj 2020 b aug 008</t>
  </si>
  <si>
    <t>2020-175</t>
  </si>
  <si>
    <t>20GGK0007</t>
  </si>
  <si>
    <t>ITB No. 20-28</t>
  </si>
  <si>
    <t>ESSD-SHS-ITB-MS</t>
  </si>
  <si>
    <t>ESSD-SHS-ITB-DHCS</t>
  </si>
  <si>
    <t>19-92-027</t>
  </si>
  <si>
    <t>UPB-BID-2020-05A</t>
  </si>
  <si>
    <t>SN-2020-10</t>
  </si>
  <si>
    <t>3-081820</t>
  </si>
  <si>
    <t>2020-07-041</t>
  </si>
  <si>
    <t>101-2020-06-162-050</t>
  </si>
  <si>
    <t>BAC PB 2020-20</t>
  </si>
  <si>
    <t>401-2020-06-20-049</t>
  </si>
  <si>
    <t>DOT-BAC-REI NO. 2020-012 (2nd Posting)</t>
  </si>
  <si>
    <t>20CG0255</t>
  </si>
  <si>
    <t>20CG256</t>
  </si>
  <si>
    <t>20H00081</t>
  </si>
  <si>
    <t>20-07-41</t>
  </si>
  <si>
    <t>2020-PB-042</t>
  </si>
  <si>
    <t>101-2020-07-197-051</t>
  </si>
  <si>
    <t>AKLAN BAC ITB 408 SERIES 2020</t>
  </si>
  <si>
    <t>PRN 024</t>
  </si>
  <si>
    <t>20K00270</t>
  </si>
  <si>
    <t>20053370</t>
  </si>
  <si>
    <t>2020-07-088</t>
  </si>
  <si>
    <t>20IF0109(READV)</t>
  </si>
  <si>
    <t>19CSK00055</t>
  </si>
  <si>
    <t>20PG0045</t>
  </si>
  <si>
    <t>20G00107</t>
  </si>
  <si>
    <t>453-2020 Bidding</t>
  </si>
  <si>
    <t>DOC5</t>
  </si>
  <si>
    <t>BLGU-03</t>
  </si>
  <si>
    <t>HILONGOS 2020-225</t>
  </si>
  <si>
    <t>CID NO. 20IF0108 (READV)</t>
  </si>
  <si>
    <t>20GP0072</t>
  </si>
  <si>
    <t>20CN0161</t>
  </si>
  <si>
    <t>LGU GUA 31-20</t>
  </si>
  <si>
    <t>G-2020-36</t>
  </si>
  <si>
    <t>2020-CHS-001</t>
  </si>
  <si>
    <t>2020-05-044</t>
  </si>
  <si>
    <t>G-124-20</t>
  </si>
  <si>
    <t>JOR No. 20-059A</t>
  </si>
  <si>
    <t>IB-2020-52</t>
  </si>
  <si>
    <t>BAGO-BAC-2020-0188</t>
  </si>
  <si>
    <t>BAGO-BAC-2020-0187</t>
  </si>
  <si>
    <t>BAGO-BAC-2020-0181</t>
  </si>
  <si>
    <t>20GFN0013</t>
  </si>
  <si>
    <t>2020-01-V</t>
  </si>
  <si>
    <t>INF 2AR-FA-20-02</t>
  </si>
  <si>
    <t>IB-2020-51</t>
  </si>
  <si>
    <t>RCEF Goods 20-07-08</t>
  </si>
  <si>
    <t>RCEF Goods 20-07-07</t>
  </si>
  <si>
    <t>PGR-INFRA-2020-03-13</t>
  </si>
  <si>
    <t>2020-07-014</t>
  </si>
  <si>
    <t>LTFRB-007-027</t>
  </si>
  <si>
    <t>BAG-1-2020-046</t>
  </si>
  <si>
    <t>BAG-1-2020-050</t>
  </si>
  <si>
    <t>46</t>
  </si>
  <si>
    <t>47</t>
  </si>
  <si>
    <t>RCEF Goods 20-07-06</t>
  </si>
  <si>
    <t>44</t>
  </si>
  <si>
    <t>HILONGOS 2020-224</t>
  </si>
  <si>
    <t>01A-2020</t>
  </si>
  <si>
    <t>BAG-1-2020-049</t>
  </si>
  <si>
    <t>45</t>
  </si>
  <si>
    <t>PB-2020-19</t>
  </si>
  <si>
    <t>43</t>
  </si>
  <si>
    <t>2020-07-190</t>
  </si>
  <si>
    <t>2020-0078</t>
  </si>
  <si>
    <t>LGU-2020-045</t>
  </si>
  <si>
    <t>149-2020</t>
  </si>
  <si>
    <t>145-2020</t>
  </si>
  <si>
    <t>2020-07-189</t>
  </si>
  <si>
    <t>148-2020</t>
  </si>
  <si>
    <t>PRDP-PSO-Admin 2020-06-010</t>
  </si>
  <si>
    <t>TFG-2020-07-025</t>
  </si>
  <si>
    <t>PB-LAP-2020-085</t>
  </si>
  <si>
    <t>INF 20AR-EZ-20-03</t>
  </si>
  <si>
    <t>ITB 2020-181</t>
  </si>
  <si>
    <t>07-124-2020</t>
  </si>
  <si>
    <t>07242020</t>
  </si>
  <si>
    <t>07242020B</t>
  </si>
  <si>
    <t>01M-2020</t>
  </si>
  <si>
    <t>GS-2020-08</t>
  </si>
  <si>
    <t>2020-07-009B</t>
  </si>
  <si>
    <t>20GF0008</t>
  </si>
  <si>
    <t>ITB No. 2020-16 Procurement of Security Services f</t>
  </si>
  <si>
    <t>GOODS-2020-07-11</t>
  </si>
  <si>
    <t>ITB 2020-184</t>
  </si>
  <si>
    <t>PB-LAP-2020-086</t>
  </si>
  <si>
    <t>ITB-072420-1</t>
  </si>
  <si>
    <t>PB 2020-01 Minsalerac</t>
  </si>
  <si>
    <t>ITB 2020-183</t>
  </si>
  <si>
    <t>ITB-072420-2</t>
  </si>
  <si>
    <t>INF 20AR-FA-20-03</t>
  </si>
  <si>
    <t>ITB 2020-182</t>
  </si>
  <si>
    <t>07242020-1</t>
  </si>
  <si>
    <t>452-2020 Bidding</t>
  </si>
  <si>
    <t>ITB-SSS-GOODS-2020-023</t>
  </si>
  <si>
    <t>07242020C</t>
  </si>
  <si>
    <t>ITB 2020-178</t>
  </si>
  <si>
    <t>ITB-072420-4</t>
  </si>
  <si>
    <t>463-2019 Bidding</t>
  </si>
  <si>
    <t>ITB No. 2020-18 Supply and Delivery of Operating R</t>
  </si>
  <si>
    <t>ITB-072420-3</t>
  </si>
  <si>
    <t>464-2020 Bidding</t>
  </si>
  <si>
    <t>07-0040-20</t>
  </si>
  <si>
    <t>2020-07-010B</t>
  </si>
  <si>
    <t>2020-07-008B</t>
  </si>
  <si>
    <t>07-224-2020</t>
  </si>
  <si>
    <t>2020-07-011B</t>
  </si>
  <si>
    <t>GEPS-2020-07-005</t>
  </si>
  <si>
    <t>20IK0099</t>
  </si>
  <si>
    <t>20MC-INFRA-038</t>
  </si>
  <si>
    <t>ITB 2020-180</t>
  </si>
  <si>
    <t>CB2020-GDS-04</t>
  </si>
  <si>
    <t>2020-07-042</t>
  </si>
  <si>
    <t>20ED0136</t>
  </si>
  <si>
    <t>2020-0227</t>
  </si>
  <si>
    <t>0102122019</t>
  </si>
  <si>
    <t>ITB-2020-07-002</t>
  </si>
  <si>
    <t>G-2020-40</t>
  </si>
  <si>
    <t>20MC-INFRA-040</t>
  </si>
  <si>
    <t>20MC-INFRA-039</t>
  </si>
  <si>
    <t>186 – 2020</t>
  </si>
  <si>
    <t>185 – 2020</t>
  </si>
  <si>
    <t>NP IF 2020-07-001</t>
  </si>
  <si>
    <t>184 – 2020</t>
  </si>
  <si>
    <t>182 – 2020</t>
  </si>
  <si>
    <t>20200724-023</t>
  </si>
  <si>
    <t>BCS-2020-0219</t>
  </si>
  <si>
    <t>INFRASTRUTURE PROJECT 2020-001</t>
  </si>
  <si>
    <t>BCS-2020-0216</t>
  </si>
  <si>
    <t>BAC INFRA 2020-08-01</t>
  </si>
  <si>
    <t>BCS-2020-0217</t>
  </si>
  <si>
    <t>GOODS-2020-143</t>
  </si>
  <si>
    <t>183 – 2020</t>
  </si>
  <si>
    <t>SUPPLY AND DELIVERY OF  UPVC PIPES WITH EPDM RUBBE</t>
  </si>
  <si>
    <t>G-2020-010</t>
  </si>
  <si>
    <t>G-2020-009</t>
  </si>
  <si>
    <t>BJMP NHQ-IB No. W001-2020</t>
  </si>
  <si>
    <t>ITB 2020-179</t>
  </si>
  <si>
    <t>PB-2020-26</t>
  </si>
  <si>
    <t>G-2020-37</t>
  </si>
  <si>
    <t>20200724-024</t>
  </si>
  <si>
    <t>ITB No. 2020-145-B-pgo-pdrrmd</t>
  </si>
  <si>
    <t>095 - 2020</t>
  </si>
  <si>
    <t>2020-07-012B</t>
  </si>
  <si>
    <t>07242020E</t>
  </si>
  <si>
    <t>2020-07-005PB</t>
  </si>
  <si>
    <t>20IJ-0089</t>
  </si>
  <si>
    <t>07242020D</t>
  </si>
  <si>
    <t>20MC-GOODS-041</t>
  </si>
  <si>
    <t>20IJ-0088</t>
  </si>
  <si>
    <t>ITB No. I10-02-2020</t>
  </si>
  <si>
    <t>2020-07-260</t>
  </si>
  <si>
    <t>2020-7-24-1</t>
  </si>
  <si>
    <t>451-2020 Bidding</t>
  </si>
  <si>
    <t>ITB No. I32-03-2020</t>
  </si>
  <si>
    <t>BAGO-BAC-2020-0177</t>
  </si>
  <si>
    <t>BACNAMPICUAN2020-027</t>
  </si>
  <si>
    <t>20DJ0105</t>
  </si>
  <si>
    <t>ITB No. 2020-13</t>
  </si>
  <si>
    <t>MBC 200-20-07-08692</t>
  </si>
  <si>
    <t>ITB No. 2020-25</t>
  </si>
  <si>
    <t>ITB No. 2020-17 Procurement of Drugs and Medicines</t>
  </si>
  <si>
    <t>GOODS-2019-11-15</t>
  </si>
  <si>
    <t>PR-2020-1285</t>
  </si>
  <si>
    <t>20LB0318</t>
  </si>
  <si>
    <t>B067-2020</t>
  </si>
  <si>
    <t>012697</t>
  </si>
  <si>
    <t>20LB0315</t>
  </si>
  <si>
    <t>ITB-2020-045</t>
  </si>
  <si>
    <t>HCC2020015</t>
  </si>
  <si>
    <t>20PI0098</t>
  </si>
  <si>
    <t>2020-06-0597, 2020-02-0122</t>
  </si>
  <si>
    <t>ITB No. 2020-130-C-pgo-pdrc</t>
  </si>
  <si>
    <t>20AD0110</t>
  </si>
  <si>
    <t>DENR-ORMIN-028-2020</t>
  </si>
  <si>
    <t>20G00106</t>
  </si>
  <si>
    <t>2020-07-259</t>
  </si>
  <si>
    <t>ITB-2020-050</t>
  </si>
  <si>
    <t>20PI0097</t>
  </si>
  <si>
    <t>PR #83</t>
  </si>
  <si>
    <t>PB-HE-2020-009</t>
  </si>
  <si>
    <t>IN-BAC-2020-07-062</t>
  </si>
  <si>
    <t>20CSD004</t>
  </si>
  <si>
    <t>PR #89</t>
  </si>
  <si>
    <t>ITB-2020-PR1132</t>
  </si>
  <si>
    <t>DAR-PANG-011-2020</t>
  </si>
  <si>
    <t>ITB 2020-28</t>
  </si>
  <si>
    <t>20AD0111</t>
  </si>
  <si>
    <t>SVP 2020-415</t>
  </si>
  <si>
    <t>ITB-2020-049</t>
  </si>
  <si>
    <t>20CSD003</t>
  </si>
  <si>
    <t>PPSC BAC IB NO.012 (G) 2020</t>
  </si>
  <si>
    <t>20-07-1025-EXE</t>
  </si>
  <si>
    <t>20CSDM01</t>
  </si>
  <si>
    <t>IN-BAC-2020-07-061</t>
  </si>
  <si>
    <t>ITB No. (INF) 2020-07-109 CONCRETING OF BARANGAY 7</t>
  </si>
  <si>
    <t>2020-02-0095, 2020-02-0096, 2020-02-0200, . 2020-0</t>
  </si>
  <si>
    <t>07272020F</t>
  </si>
  <si>
    <t>ITB 20-0073</t>
  </si>
  <si>
    <t>ITB No. (INF) 2020-07-108 CONCRETING OF BARANGAY R</t>
  </si>
  <si>
    <t>20GIB0037</t>
  </si>
  <si>
    <t>IB NO. PB-2020-07-24</t>
  </si>
  <si>
    <t>2020-07-23</t>
  </si>
  <si>
    <t>20-07-024</t>
  </si>
  <si>
    <t>AKLAN BAC ITB 405 SERIES 2020</t>
  </si>
  <si>
    <t>STLU-017-2020</t>
  </si>
  <si>
    <t>STLU-016-2020</t>
  </si>
  <si>
    <t>STLU-013-2020</t>
  </si>
  <si>
    <t>2020-07-144</t>
  </si>
  <si>
    <t>STLU-014-2020</t>
  </si>
  <si>
    <t>STLU-012-2020</t>
  </si>
  <si>
    <t>20MD0134</t>
  </si>
  <si>
    <t>STLU-011-2020</t>
  </si>
  <si>
    <t>2020-07-016</t>
  </si>
  <si>
    <t>STLU-015-2020</t>
  </si>
  <si>
    <t>20MD0135</t>
  </si>
  <si>
    <t>007-01-2020</t>
  </si>
  <si>
    <t>007-03-2020</t>
  </si>
  <si>
    <t>20OC0044</t>
  </si>
  <si>
    <t>007-02-2020</t>
  </si>
  <si>
    <t>20DK0126 (Re-Invitation)</t>
  </si>
  <si>
    <t>PEO-2018-3162</t>
  </si>
  <si>
    <t>BAC-GS-2020-07-013</t>
  </si>
  <si>
    <t>B2 PEO 300-20-07-08703</t>
  </si>
  <si>
    <t>PEO-2020-0988</t>
  </si>
  <si>
    <t>20A-03-0011I</t>
  </si>
  <si>
    <t>S2-SND20-001</t>
  </si>
  <si>
    <t>CDC 54-07-2020</t>
  </si>
  <si>
    <t>brgy.sto.rosario</t>
  </si>
  <si>
    <t>20A-03-0015I</t>
  </si>
  <si>
    <t>07232020003</t>
  </si>
  <si>
    <t>20A-03-0013I</t>
  </si>
  <si>
    <t>20A-02-0073</t>
  </si>
  <si>
    <t>2020-3</t>
  </si>
  <si>
    <t>07232020001</t>
  </si>
  <si>
    <t>2020-59</t>
  </si>
  <si>
    <t>CDC 55-07-2020</t>
  </si>
  <si>
    <t>070042020</t>
  </si>
  <si>
    <t>070022020</t>
  </si>
  <si>
    <t>2020-27-07-38</t>
  </si>
  <si>
    <t>070012020</t>
  </si>
  <si>
    <t>211531</t>
  </si>
  <si>
    <t>Construction of Perimeter Fence at Brgy. Poblacion</t>
  </si>
  <si>
    <t>GOODS #2020-4</t>
  </si>
  <si>
    <t>20EB0134</t>
  </si>
  <si>
    <t>070032020</t>
  </si>
  <si>
    <t>20FK0060</t>
  </si>
  <si>
    <t>20GCB0008</t>
  </si>
  <si>
    <t>HILONGOS 2020-223</t>
  </si>
  <si>
    <t>LIN-LDN-07-23-20</t>
  </si>
  <si>
    <t>2-07232020</t>
  </si>
  <si>
    <t>HILONGOS 2020-222</t>
  </si>
  <si>
    <t>4-07232020</t>
  </si>
  <si>
    <t>pb-infra-2020-043</t>
  </si>
  <si>
    <t>S2-SVP20-001</t>
  </si>
  <si>
    <t>LGU-164-2020</t>
  </si>
  <si>
    <t>070062020</t>
  </si>
  <si>
    <t>20DK0137</t>
  </si>
  <si>
    <t>WOR-0017</t>
  </si>
  <si>
    <t>3-07232020</t>
  </si>
  <si>
    <t>211534</t>
  </si>
  <si>
    <t>20II0064</t>
  </si>
  <si>
    <t>070052020</t>
  </si>
  <si>
    <t>M-20-23</t>
  </si>
  <si>
    <t>WOR-0006</t>
  </si>
  <si>
    <t>GOODS-2020-02-007</t>
  </si>
  <si>
    <t>20GCB0009</t>
  </si>
  <si>
    <t>S2-MGS20-007</t>
  </si>
  <si>
    <t>91-2020</t>
  </si>
  <si>
    <t>SN -2020-07-002</t>
  </si>
  <si>
    <t>211532</t>
  </si>
  <si>
    <t>211541</t>
  </si>
  <si>
    <t>GOODS-2020-008</t>
  </si>
  <si>
    <t>GOODS 2020-06</t>
  </si>
  <si>
    <t>1-07232020</t>
  </si>
  <si>
    <t>211542</t>
  </si>
  <si>
    <t>211539</t>
  </si>
  <si>
    <t>211538</t>
  </si>
  <si>
    <t>211540</t>
  </si>
  <si>
    <t>211537</t>
  </si>
  <si>
    <t>jayon-B-infra-08-03-2020</t>
  </si>
  <si>
    <t>211533</t>
  </si>
  <si>
    <t>S2-LIM20-005</t>
  </si>
  <si>
    <t>jayon-B-infra-08-02-2020</t>
  </si>
  <si>
    <t>6-07232020</t>
  </si>
  <si>
    <t>211536</t>
  </si>
  <si>
    <t>brgy.maganhan</t>
  </si>
  <si>
    <t>211535</t>
  </si>
  <si>
    <t>20074229</t>
  </si>
  <si>
    <t>jayon-B-infra-08-01-2020</t>
  </si>
  <si>
    <t>VARIOUS LAB. SUPPLIES-AMMONIUM ETC..</t>
  </si>
  <si>
    <t>DBS-005-2020</t>
  </si>
  <si>
    <t>20064088</t>
  </si>
  <si>
    <t>90-2020</t>
  </si>
  <si>
    <t>20074235</t>
  </si>
  <si>
    <t>2020-07-040</t>
  </si>
  <si>
    <t>5-07232020</t>
  </si>
  <si>
    <t>M-20-24</t>
  </si>
  <si>
    <t>20053422</t>
  </si>
  <si>
    <t>20074306</t>
  </si>
  <si>
    <t>20EB0135</t>
  </si>
  <si>
    <t>211546</t>
  </si>
  <si>
    <t>20053460</t>
  </si>
  <si>
    <t>20063773</t>
  </si>
  <si>
    <t>211545</t>
  </si>
  <si>
    <t>brgy.zone23</t>
  </si>
  <si>
    <t>20EB0137</t>
  </si>
  <si>
    <t>MRH-008-2020</t>
  </si>
  <si>
    <t>20-DO-0087</t>
  </si>
  <si>
    <t>DBS-006-2020</t>
  </si>
  <si>
    <t>20EB0136</t>
  </si>
  <si>
    <t>20DL0232</t>
  </si>
  <si>
    <t>OGDS 07-23-20</t>
  </si>
  <si>
    <t>Aklan BAC ITB 400 Series of 2020</t>
  </si>
  <si>
    <t>GOODS 2020-027</t>
  </si>
  <si>
    <t>DAR-PANG-012-2020</t>
  </si>
  <si>
    <t>20BD0016 - RE-AD</t>
  </si>
  <si>
    <t>TAYSAN2020-077</t>
  </si>
  <si>
    <t>NS-07-24-20</t>
  </si>
  <si>
    <t>20074245</t>
  </si>
  <si>
    <t>PR. NO. 2020-07-000011</t>
  </si>
  <si>
    <t>2020-snv-007</t>
  </si>
  <si>
    <t>070082020</t>
  </si>
  <si>
    <t>2020-07-0297</t>
  </si>
  <si>
    <t>20BD0015 - RE-AD</t>
  </si>
  <si>
    <t>LGU - Quirino INFRA 2020 - 010</t>
  </si>
  <si>
    <t>INFRA-ETG-20-07-014</t>
  </si>
  <si>
    <t>TAYSAN2020-075</t>
  </si>
  <si>
    <t>446-2020 Bidding</t>
  </si>
  <si>
    <t>GF(MOOE/C.O)-DAG-2020(012)</t>
  </si>
  <si>
    <t>PR 07-20-003</t>
  </si>
  <si>
    <t>20BD0013 - RE-AD</t>
  </si>
  <si>
    <t>20EB0138</t>
  </si>
  <si>
    <t>OB-2020-01-002</t>
  </si>
  <si>
    <t>20OC0066</t>
  </si>
  <si>
    <t>070092020</t>
  </si>
  <si>
    <t>20-0899</t>
  </si>
  <si>
    <t>20ND0078</t>
  </si>
  <si>
    <t>447-2020 Bidding</t>
  </si>
  <si>
    <t>20ND0077</t>
  </si>
  <si>
    <t>PR. NO. 2020-06-000010</t>
  </si>
  <si>
    <t>20EB0139</t>
  </si>
  <si>
    <t>20ND0076</t>
  </si>
  <si>
    <t>20BD0024 - RE-AD</t>
  </si>
  <si>
    <t>20BD0019 - RE-AD</t>
  </si>
  <si>
    <t>20BD0039 - RE-AD</t>
  </si>
  <si>
    <t>CDRRMO-2020-02</t>
  </si>
  <si>
    <t>S2-GUI20-008</t>
  </si>
  <si>
    <t>2020-06-264</t>
  </si>
  <si>
    <t>TAYSAN2020-078</t>
  </si>
  <si>
    <t>PR. NO. 2020-06-000035</t>
  </si>
  <si>
    <t>20BD0037 - RE-AD</t>
  </si>
  <si>
    <t>doletac8-2020-19</t>
  </si>
  <si>
    <t>ITB2020-07-02</t>
  </si>
  <si>
    <t>INFR-028-2020</t>
  </si>
  <si>
    <t>07-07</t>
  </si>
  <si>
    <t>CGB-2020-07-013</t>
  </si>
  <si>
    <t>20074244</t>
  </si>
  <si>
    <t>S2-BH220-001</t>
  </si>
  <si>
    <t>TAYSAN2020-081</t>
  </si>
  <si>
    <t>PR. NO. 2020-07-000016</t>
  </si>
  <si>
    <t>20BD0027 - RE-AD</t>
  </si>
  <si>
    <t>PRDP-IR-RCAR-MOP-010-000-000-2019-R1</t>
  </si>
  <si>
    <t>20BD0025 - RE-AD</t>
  </si>
  <si>
    <t>S2-CAL20-015</t>
  </si>
  <si>
    <t>20ND0075</t>
  </si>
  <si>
    <t>20-0960</t>
  </si>
  <si>
    <t>20BD0018 - RE-AD</t>
  </si>
  <si>
    <t>PR. NO. 2020-07-000017</t>
  </si>
  <si>
    <t>INFR-029-2020</t>
  </si>
  <si>
    <t>2020-07-043</t>
  </si>
  <si>
    <t>CB(B)-20-029(LSB-DEPED)</t>
  </si>
  <si>
    <t>TAYSAN2020-082</t>
  </si>
  <si>
    <t>B-8661-20-16</t>
  </si>
  <si>
    <t>20GDB0038</t>
  </si>
  <si>
    <t>7-2-20</t>
  </si>
  <si>
    <t>20EB0140</t>
  </si>
  <si>
    <t>DOST-CO-PB NO. 2020-03-003A</t>
  </si>
  <si>
    <t>PAA-2020-07</t>
  </si>
  <si>
    <t>2020-07-23-001</t>
  </si>
  <si>
    <t>2020-06-2808</t>
  </si>
  <si>
    <t>ITB 2020-0011</t>
  </si>
  <si>
    <t>2020-07-23-002</t>
  </si>
  <si>
    <t>20-017</t>
  </si>
  <si>
    <t>A3-20-1419</t>
  </si>
  <si>
    <t>20-019</t>
  </si>
  <si>
    <t>Capaoay 2020-03</t>
  </si>
  <si>
    <t>INFR-030-2020</t>
  </si>
  <si>
    <t>20GDB0039</t>
  </si>
  <si>
    <t>IB NO 2020-053</t>
  </si>
  <si>
    <t>2020-87 (GAS)</t>
  </si>
  <si>
    <t>INFRA 2020-03</t>
  </si>
  <si>
    <t>2020-07-55R</t>
  </si>
  <si>
    <t>20JBG0086</t>
  </si>
  <si>
    <t>07-20-002</t>
  </si>
  <si>
    <t>2020-06-2786</t>
  </si>
  <si>
    <t>20JB0085</t>
  </si>
  <si>
    <t>ITB No. 2020-025</t>
  </si>
  <si>
    <t>20BD0068 - RE-AD</t>
  </si>
  <si>
    <t>20BD0067 - RE-AD</t>
  </si>
  <si>
    <t>20PI0100</t>
  </si>
  <si>
    <t>20JB0087</t>
  </si>
  <si>
    <t>20DP0081</t>
  </si>
  <si>
    <t>ITB 2020-07</t>
  </si>
  <si>
    <t>GOODS20-07-048</t>
  </si>
  <si>
    <t>ITB 18-2020</t>
  </si>
  <si>
    <t>20DP0080</t>
  </si>
  <si>
    <t>20DP0079</t>
  </si>
  <si>
    <t>ITB 17-2020</t>
  </si>
  <si>
    <t>20-018</t>
  </si>
  <si>
    <t>SVP-072320-6</t>
  </si>
  <si>
    <t>CGB-2020-07-015</t>
  </si>
  <si>
    <t>BAC2020-22</t>
  </si>
  <si>
    <t>Lobong 2020-06</t>
  </si>
  <si>
    <t>20BC0215</t>
  </si>
  <si>
    <t>2020-06-2661</t>
  </si>
  <si>
    <t>LGU-TAN-GOODS-2020-090</t>
  </si>
  <si>
    <t>cw20-002</t>
  </si>
  <si>
    <t>20EB0141</t>
  </si>
  <si>
    <t>Lobong 2020-05</t>
  </si>
  <si>
    <t>20EB0142</t>
  </si>
  <si>
    <t>cw20-001</t>
  </si>
  <si>
    <t>INFRA 2020-13</t>
  </si>
  <si>
    <t>LGU-TAN-INFRA-2020-088</t>
  </si>
  <si>
    <t>INFR-031-2020</t>
  </si>
  <si>
    <t>PSU ITB 2003 085 087</t>
  </si>
  <si>
    <t>Lobong 2020-04</t>
  </si>
  <si>
    <t>INFRA 2020-14</t>
  </si>
  <si>
    <t>19PL0162</t>
  </si>
  <si>
    <t>PR #88</t>
  </si>
  <si>
    <t>2020-07-087</t>
  </si>
  <si>
    <t>2020-05-03</t>
  </si>
  <si>
    <t>2020-7-23-2</t>
  </si>
  <si>
    <t>IGANG202001</t>
  </si>
  <si>
    <t>92-2020</t>
  </si>
  <si>
    <t>BCS-2020-0213</t>
  </si>
  <si>
    <t>PB2020-07-003</t>
  </si>
  <si>
    <t>BDF-2020</t>
  </si>
  <si>
    <t>HS-5020308000-083-2020</t>
  </si>
  <si>
    <t>HS-5020308000-082-2020</t>
  </si>
  <si>
    <t>2020-07-402</t>
  </si>
  <si>
    <t>HS-5020308000-081-2020</t>
  </si>
  <si>
    <t>CID No. 20IO0083 (Re-Advertisement)</t>
  </si>
  <si>
    <t>2020-07-399</t>
  </si>
  <si>
    <t>20OC0114</t>
  </si>
  <si>
    <t>HS-5020308000-080-2020</t>
  </si>
  <si>
    <t>KABATUAN202001</t>
  </si>
  <si>
    <t>2020-07-417</t>
  </si>
  <si>
    <t>ITB-KOR: 20-07-0741 CEO</t>
  </si>
  <si>
    <t>JRF-2020-032</t>
  </si>
  <si>
    <t>012-2020</t>
  </si>
  <si>
    <t>BCS-2020-0212</t>
  </si>
  <si>
    <t>BAC2020-21</t>
  </si>
  <si>
    <t>BCS-2020-0215</t>
  </si>
  <si>
    <t>BAC2020-23</t>
  </si>
  <si>
    <t>BCS-2020-0214</t>
  </si>
  <si>
    <t>CID No. 20GLE0089 PR 20-07-0143</t>
  </si>
  <si>
    <t>IB No. 2020-004</t>
  </si>
  <si>
    <t>IB No. 2020-005</t>
  </si>
  <si>
    <t>SEF-20-07-01097</t>
  </si>
  <si>
    <t>tm-8-18-2020</t>
  </si>
  <si>
    <t>hrs-8-18-2020</t>
  </si>
  <si>
    <t>BCS-2020-0211</t>
  </si>
  <si>
    <t>SEF-20-07-01088</t>
  </si>
  <si>
    <t>hcs-8-18-2020</t>
  </si>
  <si>
    <t>irs-8-18-2020</t>
  </si>
  <si>
    <t>20GDB0037</t>
  </si>
  <si>
    <t>IB No. 2020-067/ACN</t>
  </si>
  <si>
    <t>DPWH-SK2DEO-20GMH071</t>
  </si>
  <si>
    <t>CID No. 20GLE0095 PR 20-07-0149</t>
  </si>
  <si>
    <t>vlp-8-18-2020</t>
  </si>
  <si>
    <t>LGU-SA-2020-07-007</t>
  </si>
  <si>
    <t>CID No. 20GLE0093 PR 20-07-0147</t>
  </si>
  <si>
    <t>CID No. 20GLE0094 PR 20-07-0148</t>
  </si>
  <si>
    <t>DPWH-SK2DEO-20GMH072</t>
  </si>
  <si>
    <t>CID No. 20GLE0092 PR 20-07-0146</t>
  </si>
  <si>
    <t>SEF-20-07-01111</t>
  </si>
  <si>
    <t>DPWH-SK2DEO-20GMH070</t>
  </si>
  <si>
    <t>DPWH-SK2DEO-20GMH069</t>
  </si>
  <si>
    <t>DPWH-SK2DEO-20GMH068</t>
  </si>
  <si>
    <t>ITB#001,PR#23-07-2020</t>
  </si>
  <si>
    <t>LGU-SA-2020-07-008</t>
  </si>
  <si>
    <t>SKSR2020-005</t>
  </si>
  <si>
    <t>20GAF0003</t>
  </si>
  <si>
    <t>20EB0097</t>
  </si>
  <si>
    <t>urea-8-18-2020</t>
  </si>
  <si>
    <t>20EB0093</t>
  </si>
  <si>
    <t>20EB0095</t>
  </si>
  <si>
    <t>Construction of Multi-Purpose Building and Sports</t>
  </si>
  <si>
    <t>20EB0096</t>
  </si>
  <si>
    <t>BAC-SI-2020-07-08</t>
  </si>
  <si>
    <t>QRFCY2020RCL-C1</t>
  </si>
  <si>
    <t>101-020-007-078</t>
  </si>
  <si>
    <t>MSUN-INFRA-01-2020</t>
  </si>
  <si>
    <t>180 – 2020</t>
  </si>
  <si>
    <t>20EB0094</t>
  </si>
  <si>
    <t>QRFCY2020RCL-C13</t>
  </si>
  <si>
    <t>ITB No. 20-069  RE-BIDDING OF ONE (1) LOT SUPPLY A</t>
  </si>
  <si>
    <t>ADS-1673-20</t>
  </si>
  <si>
    <t>20OC0115</t>
  </si>
  <si>
    <t>20OC0116</t>
  </si>
  <si>
    <t>QRFCY2020RCL-C14</t>
  </si>
  <si>
    <t>QRFCY2020RCL-C11</t>
  </si>
  <si>
    <t>QRFCY2020RCL- C12</t>
  </si>
  <si>
    <t>QRFCY2020RCL-C9</t>
  </si>
  <si>
    <t>QRFCY2020RCL- C8</t>
  </si>
  <si>
    <t>QRFCY2020RCL-C10</t>
  </si>
  <si>
    <t>20200719-04INF</t>
  </si>
  <si>
    <t>QRFCY2020RCL- C6</t>
  </si>
  <si>
    <t>20EB0132</t>
  </si>
  <si>
    <t>QRFCY2020RCL-C5</t>
  </si>
  <si>
    <t>ADS-1675-20</t>
  </si>
  <si>
    <t>QRFCY2020RCL-C7</t>
  </si>
  <si>
    <t>07212020</t>
  </si>
  <si>
    <t>ADS-1674-20</t>
  </si>
  <si>
    <t>SKSR2020-006</t>
  </si>
  <si>
    <t>ADS-1678-20</t>
  </si>
  <si>
    <t>20-06-0243</t>
  </si>
  <si>
    <t>PGR-GOODS-12-2020</t>
  </si>
  <si>
    <t>DPWH-SK2DEO-20GMH067</t>
  </si>
  <si>
    <t>ADS-1719-20</t>
  </si>
  <si>
    <t>20-07-0257</t>
  </si>
  <si>
    <t>PGR-GOODS-22-2020</t>
  </si>
  <si>
    <t>ADS-1718-20</t>
  </si>
  <si>
    <t>2020-07-22&amp;23</t>
  </si>
  <si>
    <t>20GK0235</t>
  </si>
  <si>
    <t>20GK0233</t>
  </si>
  <si>
    <t>ADS-1677-20</t>
  </si>
  <si>
    <t>07202020</t>
  </si>
  <si>
    <t>ADS-1157-20</t>
  </si>
  <si>
    <t>20GK0234</t>
  </si>
  <si>
    <t>QRFCY2020RCLC4</t>
  </si>
  <si>
    <t>20GK0232</t>
  </si>
  <si>
    <t>ADS-1676-20</t>
  </si>
  <si>
    <t>20EB0098</t>
  </si>
  <si>
    <t>179 – 2020</t>
  </si>
  <si>
    <t>20F00127</t>
  </si>
  <si>
    <t>2020-007 LGUSJ-I</t>
  </si>
  <si>
    <t>168 - 2020</t>
  </si>
  <si>
    <t>2020-0811-47</t>
  </si>
  <si>
    <t>2020-0811-44</t>
  </si>
  <si>
    <t>QFRRRPCY2020-C3</t>
  </si>
  <si>
    <t>20IE0107</t>
  </si>
  <si>
    <t>20EB0133</t>
  </si>
  <si>
    <t>157 - 2020</t>
  </si>
  <si>
    <t>2020-0811-41</t>
  </si>
  <si>
    <t>20IE0105</t>
  </si>
  <si>
    <t>2020-0811-40</t>
  </si>
  <si>
    <t>2020-006 LGUSJ-I</t>
  </si>
  <si>
    <t>PR # 100-2020-07-0076</t>
  </si>
  <si>
    <t>2020-0811-45</t>
  </si>
  <si>
    <t>2020-0811-43</t>
  </si>
  <si>
    <t>Infra-055-2020</t>
  </si>
  <si>
    <t>QRFCY2020RCL-C2</t>
  </si>
  <si>
    <t>161 - 2020</t>
  </si>
  <si>
    <t>2020-010 LGUSJ-I</t>
  </si>
  <si>
    <t>100-20-07-0856</t>
  </si>
  <si>
    <t>159 - 2020</t>
  </si>
  <si>
    <t>20IE0106</t>
  </si>
  <si>
    <t>153 - 2020</t>
  </si>
  <si>
    <t>158 - 2020</t>
  </si>
  <si>
    <t>2020-0811-42</t>
  </si>
  <si>
    <t>20IE0110</t>
  </si>
  <si>
    <t>20-062</t>
  </si>
  <si>
    <t>2020-008 LGUSJ-I</t>
  </si>
  <si>
    <t>2020-0811-49</t>
  </si>
  <si>
    <t>2020-009 LGUSJ-I</t>
  </si>
  <si>
    <t>Goods-034-2020</t>
  </si>
  <si>
    <t>20IE0108</t>
  </si>
  <si>
    <t>2020-0811-39</t>
  </si>
  <si>
    <t>2020-0811-48</t>
  </si>
  <si>
    <t>20IE0109</t>
  </si>
  <si>
    <t>Lot 34-GAA-2020</t>
  </si>
  <si>
    <t>88-2020</t>
  </si>
  <si>
    <t>89-2020</t>
  </si>
  <si>
    <t>3LSSM2020A-088</t>
  </si>
  <si>
    <t>3LSSM2020A-086</t>
  </si>
  <si>
    <t>3LSSM2020A-085</t>
  </si>
  <si>
    <t>3LSSM2020A-089</t>
  </si>
  <si>
    <t>3LSSM2020A-083</t>
  </si>
  <si>
    <t>3LSSM2020A-084</t>
  </si>
  <si>
    <t>ITB No. 20-068: RE-BIDDING FOR THE SUPPLY AND DELI</t>
  </si>
  <si>
    <t>171 - 2020</t>
  </si>
  <si>
    <t>156 - 2020</t>
  </si>
  <si>
    <t>ADS-1148-20</t>
  </si>
  <si>
    <t>20GIB0036</t>
  </si>
  <si>
    <t>ADS-1147-20</t>
  </si>
  <si>
    <t>19GL00118</t>
  </si>
  <si>
    <t>2020-012 LGUSJ-I</t>
  </si>
  <si>
    <t>ISAT U GOODS-2020-07-07</t>
  </si>
  <si>
    <t>ROSAL 0383-2020</t>
  </si>
  <si>
    <t>3LSSM2020A-087</t>
  </si>
  <si>
    <t>ADS-1146-20</t>
  </si>
  <si>
    <t>ADS-1145-20</t>
  </si>
  <si>
    <t>20GKJ0005</t>
  </si>
  <si>
    <t>brgy.caridad</t>
  </si>
  <si>
    <t>101-2020-07-398</t>
  </si>
  <si>
    <t>T/F-2020-07-402</t>
  </si>
  <si>
    <t>20BF0066</t>
  </si>
  <si>
    <t>169 - 2020</t>
  </si>
  <si>
    <t>MPDO-CLUP-2020</t>
  </si>
  <si>
    <t>LOT 35-PVDC-2020</t>
  </si>
  <si>
    <t>01.2020.0016</t>
  </si>
  <si>
    <t>2020-07-685</t>
  </si>
  <si>
    <t>20-108</t>
  </si>
  <si>
    <t>20IE0115</t>
  </si>
  <si>
    <t>20-07-084</t>
  </si>
  <si>
    <t>20-135</t>
  </si>
  <si>
    <t>20IE0113</t>
  </si>
  <si>
    <t>2020-0811-46</t>
  </si>
  <si>
    <t>20IE0114</t>
  </si>
  <si>
    <t>ITB No. (GDS) 2020-07-019  PROCUREMENT OF 1 UNIT D</t>
  </si>
  <si>
    <t>2020-058</t>
  </si>
  <si>
    <t>20IE0112</t>
  </si>
  <si>
    <t>LGU-ROX-SDG-07-2020</t>
  </si>
  <si>
    <t>ADS-1149-20</t>
  </si>
  <si>
    <t>2020-057</t>
  </si>
  <si>
    <t>NIAR6-GAA-SOLAR-GS03-20</t>
  </si>
  <si>
    <t>ISAT U GOODS-2020-07-08</t>
  </si>
  <si>
    <t>BAC-GS No. 2020-167</t>
  </si>
  <si>
    <t>93-2020</t>
  </si>
  <si>
    <t>IB No. K-2020-074(SC)</t>
  </si>
  <si>
    <t>20-123</t>
  </si>
  <si>
    <t>ADS-1150-20</t>
  </si>
  <si>
    <t>20AI0186</t>
  </si>
  <si>
    <t>ITB No. 2020-07-006</t>
  </si>
  <si>
    <t>IB No. K-2020-075(SC)</t>
  </si>
  <si>
    <t>ITB # 2020-39</t>
  </si>
  <si>
    <t>2020-0004</t>
  </si>
  <si>
    <t>G-2020-07-020-5%CF</t>
  </si>
  <si>
    <t>20CSBC0001</t>
  </si>
  <si>
    <t>2020-07-684</t>
  </si>
  <si>
    <t>IB No. K-2020-076(SC)</t>
  </si>
  <si>
    <t>Goods 2020-003</t>
  </si>
  <si>
    <t>07-122-2020</t>
  </si>
  <si>
    <t>PGR-GOODS-06-2018</t>
  </si>
  <si>
    <t>HILONGOS 2020-218</t>
  </si>
  <si>
    <t>BAC3-PO-PR10654</t>
  </si>
  <si>
    <t>IB No. 2020-073(SC)</t>
  </si>
  <si>
    <t>geps-2020-002</t>
  </si>
  <si>
    <t>2020-018R</t>
  </si>
  <si>
    <t>072220</t>
  </si>
  <si>
    <t>20PA0136</t>
  </si>
  <si>
    <t>HILONGOS 2020-217</t>
  </si>
  <si>
    <t>2020-0292, 2020-0293, 2020-0294, 2020-0298</t>
  </si>
  <si>
    <t>PN 12-2020</t>
  </si>
  <si>
    <t>2020-07-22-01</t>
  </si>
  <si>
    <t>20CSIM001</t>
  </si>
  <si>
    <t>20GNE0040</t>
  </si>
  <si>
    <t>20PA0135</t>
  </si>
  <si>
    <t>ISAT U GOODS-2020-07-05</t>
  </si>
  <si>
    <t>2020-0080</t>
  </si>
  <si>
    <t>20BC0178 re-adv.</t>
  </si>
  <si>
    <t>2020-0005</t>
  </si>
  <si>
    <t>20ND0074</t>
  </si>
  <si>
    <t>20BC0181</t>
  </si>
  <si>
    <t>IB No. K-2020-072(SC)</t>
  </si>
  <si>
    <t>20GKI0040</t>
  </si>
  <si>
    <t>20ND0066 (Re-Ad)</t>
  </si>
  <si>
    <t>2020-13 (20DI0171)</t>
  </si>
  <si>
    <t>HILONGOS 2020-220</t>
  </si>
  <si>
    <t>HILONGOS 2020-219</t>
  </si>
  <si>
    <t>07-223-2020</t>
  </si>
  <si>
    <t>2020-INFRA-07-009</t>
  </si>
  <si>
    <t>20GFE0013</t>
  </si>
  <si>
    <t>Competitive Bidding 2020-24</t>
  </si>
  <si>
    <t>20GGJ0053</t>
  </si>
  <si>
    <t>2020-071-18-1</t>
  </si>
  <si>
    <t>097-20</t>
  </si>
  <si>
    <t>20GGJ0052</t>
  </si>
  <si>
    <t>100-20-07-0857</t>
  </si>
  <si>
    <t>INFRA 2020-15</t>
  </si>
  <si>
    <t>2020-13 (20DI0172)</t>
  </si>
  <si>
    <t>2020-06-PR040A</t>
  </si>
  <si>
    <t>1016-20</t>
  </si>
  <si>
    <t>20-06-0311</t>
  </si>
  <si>
    <t>INF-SFO-06-20</t>
  </si>
  <si>
    <t>20LB0191</t>
  </si>
  <si>
    <t>20LB0194</t>
  </si>
  <si>
    <t>08-2020-INFRA</t>
  </si>
  <si>
    <t>2020-INFRA-07-010</t>
  </si>
  <si>
    <t>2020-071-18-2</t>
  </si>
  <si>
    <t>20GGJ0057</t>
  </si>
  <si>
    <t>07222020-1</t>
  </si>
  <si>
    <t>20GGJ0056</t>
  </si>
  <si>
    <t>096-20</t>
  </si>
  <si>
    <t>20BC0180</t>
  </si>
  <si>
    <t>NFA-ISA-RFQ-G-01-2020</t>
  </si>
  <si>
    <t>OMM-LSB-2020</t>
  </si>
  <si>
    <t>20-53 BLDG</t>
  </si>
  <si>
    <t>20BC0216</t>
  </si>
  <si>
    <t>20GJ0114</t>
  </si>
  <si>
    <t>20IE0111</t>
  </si>
  <si>
    <t>20LB0319</t>
  </si>
  <si>
    <t>MAR-00037G-2020</t>
  </si>
  <si>
    <t>20CB-GSC-463	ELECTRONIC TERMINAL SYSTEM (ETRACS) F</t>
  </si>
  <si>
    <t>SOLANO 081-2020</t>
  </si>
  <si>
    <t>100-20-07-0865</t>
  </si>
  <si>
    <t>2020-INFRA-07-011</t>
  </si>
  <si>
    <t>2020-071-18-6</t>
  </si>
  <si>
    <t>DVO-200813-01</t>
  </si>
  <si>
    <t>2020-INFRA-07-013</t>
  </si>
  <si>
    <t>20GLB0066</t>
  </si>
  <si>
    <t>PR 221-20-06-0692 - CED</t>
  </si>
  <si>
    <t>DVO-200813-03</t>
  </si>
  <si>
    <t>P. R. No. 2020-0515</t>
  </si>
  <si>
    <t>SOLANO 083-2020</t>
  </si>
  <si>
    <t>2020-INFRA-07-012</t>
  </si>
  <si>
    <t>20LB0321</t>
  </si>
  <si>
    <t>PR 221-20-06-0685 - CED</t>
  </si>
  <si>
    <t>ITB NO. OCD 2020-09 (REPOSTING)</t>
  </si>
  <si>
    <t>LGU-ROX-CWC-12-2020</t>
  </si>
  <si>
    <t>PR 221-20-06-0711 - CED</t>
  </si>
  <si>
    <t>2020-071-18-5</t>
  </si>
  <si>
    <t>017-20</t>
  </si>
  <si>
    <t>INFRA-2020-12</t>
  </si>
  <si>
    <t>BAC-PG-00167-20</t>
  </si>
  <si>
    <t>20BC0217</t>
  </si>
  <si>
    <t>BS 20-07-0744</t>
  </si>
  <si>
    <t>BS 20-07-0732</t>
  </si>
  <si>
    <t>COBAC IB NO. 004 (G) S. 2020</t>
  </si>
  <si>
    <t>2020-07-0001</t>
  </si>
  <si>
    <t>JAE-SVP-2020-06-0678-GAA</t>
  </si>
  <si>
    <t>20GJ0116</t>
  </si>
  <si>
    <t>DVO-200813-07</t>
  </si>
  <si>
    <t>BAC-PG-00169-20</t>
  </si>
  <si>
    <t>879-20</t>
  </si>
  <si>
    <t>PR 221-20-06-0713 - CED</t>
  </si>
  <si>
    <t>BS 20-06-OS004</t>
  </si>
  <si>
    <t>I-2020-015</t>
  </si>
  <si>
    <t>20-07-07</t>
  </si>
  <si>
    <t>DVO-200813-05</t>
  </si>
  <si>
    <t>DVO-200813-06</t>
  </si>
  <si>
    <t>2019-007-G</t>
  </si>
  <si>
    <t>098-20</t>
  </si>
  <si>
    <t>2020-071-18-3</t>
  </si>
  <si>
    <t>I-2020-019</t>
  </si>
  <si>
    <t>BS 20-02-0386</t>
  </si>
  <si>
    <t>I-2020-020</t>
  </si>
  <si>
    <t>I-2020-018</t>
  </si>
  <si>
    <t>DVO-200813-11</t>
  </si>
  <si>
    <t>LOT 31-GAA-2020 HEMODIALYSIS BLOODLINES 3-IN-1 WIT</t>
  </si>
  <si>
    <t>DVO-200813-09</t>
  </si>
  <si>
    <t>BS 20-07-0743</t>
  </si>
  <si>
    <t>ITB No. 20-068 Supply and Delivery of Various Immu</t>
  </si>
  <si>
    <t>DVO-200813-13</t>
  </si>
  <si>
    <t>DVO-200813-10</t>
  </si>
  <si>
    <t>ITB 2020-27</t>
  </si>
  <si>
    <t>LOT 30-GAA-2020 SUPPLY AND DELIVERY OF ARTERIAL BL</t>
  </si>
  <si>
    <t>LOT 32-GAA-2020</t>
  </si>
  <si>
    <t>RE-ITB-20MF0081</t>
  </si>
  <si>
    <t>LGUBTA 20-083</t>
  </si>
  <si>
    <t>94-2020</t>
  </si>
  <si>
    <t>PB-2020-25</t>
  </si>
  <si>
    <t>I-2020-017</t>
  </si>
  <si>
    <t>2020-07-62- 20DF20 (INFRA)</t>
  </si>
  <si>
    <t>2020-07-084</t>
  </si>
  <si>
    <t>DVO-200813-15</t>
  </si>
  <si>
    <t>20KG0065(Rebid)</t>
  </si>
  <si>
    <t>ITB PR 0538</t>
  </si>
  <si>
    <t>LGUBTA 20-081</t>
  </si>
  <si>
    <t>DVO-200813-12</t>
  </si>
  <si>
    <t>2020-06-0003</t>
  </si>
  <si>
    <t>2020-07-65- 20DF20 (INFRA)</t>
  </si>
  <si>
    <t>LOT 37-UOI-2020</t>
  </si>
  <si>
    <t>27829-001, 27830-001</t>
  </si>
  <si>
    <t>POW-20-07-13-195</t>
  </si>
  <si>
    <t>2020-07-085</t>
  </si>
  <si>
    <t>PB-2020-11</t>
  </si>
  <si>
    <t>200-2020-07-008</t>
  </si>
  <si>
    <t>ISAT U GOODS-2020-07-09</t>
  </si>
  <si>
    <t>SCM 0722-01-2020</t>
  </si>
  <si>
    <t>PB-2020-27</t>
  </si>
  <si>
    <t>2020-07-64- 20DF20 (INFRA)</t>
  </si>
  <si>
    <t>20GSK00011 - Re-ITB</t>
  </si>
  <si>
    <t>PGR-GOODS-19-2020</t>
  </si>
  <si>
    <t>ISAT U GOODS-2020-07-10</t>
  </si>
  <si>
    <t>PB- 2020-</t>
  </si>
  <si>
    <t>PB-2020-23</t>
  </si>
  <si>
    <t>2020-07-67-20DF20(INFRA)</t>
  </si>
  <si>
    <t>ISAT U GOODS-2020-07-06</t>
  </si>
  <si>
    <t>PB-2020-0010</t>
  </si>
  <si>
    <t>ITB 2020-26</t>
  </si>
  <si>
    <t>PB-2020-10</t>
  </si>
  <si>
    <t>OC-74(CEO-22) 20 CW</t>
  </si>
  <si>
    <t>TIEZA-80-2020</t>
  </si>
  <si>
    <t>2020-07-194</t>
  </si>
  <si>
    <t>LGU-162-2020</t>
  </si>
  <si>
    <t>CGB-2020-07-014</t>
  </si>
  <si>
    <t>TIEZA-81-2020</t>
  </si>
  <si>
    <t>027-20</t>
  </si>
  <si>
    <t>PBI-2020-28</t>
  </si>
  <si>
    <t>2020-06-0004</t>
  </si>
  <si>
    <t>ITB 2020-0022</t>
  </si>
  <si>
    <t>POW-20-07-07-187</t>
  </si>
  <si>
    <t>2020-07-63- 20DF20 (INFRA)</t>
  </si>
  <si>
    <t>2040-S1C03</t>
  </si>
  <si>
    <t>A43</t>
  </si>
  <si>
    <t>B-107-2020</t>
  </si>
  <si>
    <t>OGDS 07-22-20</t>
  </si>
  <si>
    <t>LGU-163-2020</t>
  </si>
  <si>
    <t>0990-20</t>
  </si>
  <si>
    <t>PB-2020-13</t>
  </si>
  <si>
    <t>01-0722</t>
  </si>
  <si>
    <t>20-009-20BID</t>
  </si>
  <si>
    <t>20GSK00016</t>
  </si>
  <si>
    <t>2020-07-66-20DF20(INFRA)</t>
  </si>
  <si>
    <t>INF-B004-2020</t>
  </si>
  <si>
    <t>078-20</t>
  </si>
  <si>
    <t>ISAT INFRA-2020-07-02</t>
  </si>
  <si>
    <t>PB-2020-24</t>
  </si>
  <si>
    <t>013-20</t>
  </si>
  <si>
    <t>07222005</t>
  </si>
  <si>
    <t>MEO-2020-67</t>
  </si>
  <si>
    <t>079-20</t>
  </si>
  <si>
    <t>PR-2020-1604</t>
  </si>
  <si>
    <t>20GSK00013 - Re-ITB</t>
  </si>
  <si>
    <t>0993-20</t>
  </si>
  <si>
    <t>darposoleyte_2020-01-0021</t>
  </si>
  <si>
    <t>UPLB-RQ-7-151-20-RES OFFICE SUPPLIES &amp; DEVICES</t>
  </si>
  <si>
    <t>I-2020-016</t>
  </si>
  <si>
    <t>2020-07-086</t>
  </si>
  <si>
    <t>PR 221-20-06-0753 - CED</t>
  </si>
  <si>
    <t>MAR-00038G-2020</t>
  </si>
  <si>
    <t>PR-2020-1605</t>
  </si>
  <si>
    <t>G-006-2020</t>
  </si>
  <si>
    <t>20GSK00014</t>
  </si>
  <si>
    <t>LOT 33-GAA-2020 CARDIAC CATHETERIZATION LABORATORY</t>
  </si>
  <si>
    <t>BS 20-07-0730</t>
  </si>
  <si>
    <t>PB-2020-09</t>
  </si>
  <si>
    <t>ITB PPA PNG BAC 2020-02</t>
  </si>
  <si>
    <t>388548467</t>
  </si>
  <si>
    <t>LTFRB-007-024</t>
  </si>
  <si>
    <t>INFRA 2020 - 001</t>
  </si>
  <si>
    <t>1234</t>
  </si>
  <si>
    <t>Infra-2020-13</t>
  </si>
  <si>
    <t>2020-07-68-20DF20 (INFRA)</t>
  </si>
  <si>
    <t>BAC-GS-2020-07-012</t>
  </si>
  <si>
    <t>081-20</t>
  </si>
  <si>
    <t>20-045</t>
  </si>
  <si>
    <t>20PK0061</t>
  </si>
  <si>
    <t>20PK0062</t>
  </si>
  <si>
    <t>20-OG-0104</t>
  </si>
  <si>
    <t>20FC0030</t>
  </si>
  <si>
    <t>20-046</t>
  </si>
  <si>
    <t>20-OG-0103</t>
  </si>
  <si>
    <t>20-196</t>
  </si>
  <si>
    <t>20-195</t>
  </si>
  <si>
    <t>BCS-2020-0209</t>
  </si>
  <si>
    <t>BAC-ITIO-GS No. 2020-0044 dated 22 May 2020</t>
  </si>
  <si>
    <t>PB-012</t>
  </si>
  <si>
    <t>BS-001-2020-R</t>
  </si>
  <si>
    <t>BTG3-2020-CS04</t>
  </si>
  <si>
    <t>BCS-2020-0206</t>
  </si>
  <si>
    <t>BCS-2020-0207</t>
  </si>
  <si>
    <t>Project Reference No. 2020-PB-DWM-037-01</t>
  </si>
  <si>
    <t>20GDB0036</t>
  </si>
  <si>
    <t>20GDB0033</t>
  </si>
  <si>
    <t>PRRI-PB-2020-037</t>
  </si>
  <si>
    <t>BCS-2020-0208</t>
  </si>
  <si>
    <t>20GGD0003</t>
  </si>
  <si>
    <t>080-20</t>
  </si>
  <si>
    <t>1000032215 and 1000033245</t>
  </si>
  <si>
    <t>RFQ-13-RIS-15620</t>
  </si>
  <si>
    <t>20GDB0032</t>
  </si>
  <si>
    <t>Adv. 20-066</t>
  </si>
  <si>
    <t>IB No. 2020-07-05</t>
  </si>
  <si>
    <t>20-010-17BID</t>
  </si>
  <si>
    <t>COB BAC Goods 2020-011-001</t>
  </si>
  <si>
    <t>Adv. 20-063</t>
  </si>
  <si>
    <t>IB No. 2020-07-04</t>
  </si>
  <si>
    <t>PB2020-08-055I</t>
  </si>
  <si>
    <t>72220-1</t>
  </si>
  <si>
    <t>Adv. 20-062</t>
  </si>
  <si>
    <t>Adv. 20-057</t>
  </si>
  <si>
    <t>BTG3-2020-CS03</t>
  </si>
  <si>
    <t>20GG00018 (Rebid)</t>
  </si>
  <si>
    <t>Adv. 20-059</t>
  </si>
  <si>
    <t>016</t>
  </si>
  <si>
    <t>Adv. 20-058</t>
  </si>
  <si>
    <t>200041</t>
  </si>
  <si>
    <t>Adv. 20-061</t>
  </si>
  <si>
    <t>Adv. 20-060</t>
  </si>
  <si>
    <t>PBD-20-07-006</t>
  </si>
  <si>
    <t>BAC-IB No.: 2020-33</t>
  </si>
  <si>
    <t>24dambuk20</t>
  </si>
  <si>
    <t>G-20-07-005</t>
  </si>
  <si>
    <t>25dambuk20</t>
  </si>
  <si>
    <t>CW2020-07-006(PB)</t>
  </si>
  <si>
    <t>BAG-I-2020-042</t>
  </si>
  <si>
    <t>002-TAL-INFRA-2020</t>
  </si>
  <si>
    <t>INFRA2020005</t>
  </si>
  <si>
    <t>AGR-20-0883-B</t>
  </si>
  <si>
    <t>DVO-200813-14</t>
  </si>
  <si>
    <t>20-07-0149</t>
  </si>
  <si>
    <t>20-010-07 CHARLIE</t>
  </si>
  <si>
    <t>Adv. 20-056</t>
  </si>
  <si>
    <t>PB-P13</t>
  </si>
  <si>
    <t>20-001-07 DELTA</t>
  </si>
  <si>
    <t>20-OG-0105</t>
  </si>
  <si>
    <t>20FC0066</t>
  </si>
  <si>
    <t>20PK0060</t>
  </si>
  <si>
    <t>DVO-200813-08</t>
  </si>
  <si>
    <t>20070331</t>
  </si>
  <si>
    <t>20GJ0115</t>
  </si>
  <si>
    <t>20FC0109</t>
  </si>
  <si>
    <t>BS 20-07-0731</t>
  </si>
  <si>
    <t>PR 221-20-06-0694 - CED</t>
  </si>
  <si>
    <t>SOLANO 082-2020</t>
  </si>
  <si>
    <t>CW2020-07-005(PB)</t>
  </si>
  <si>
    <t>DVO-200813-04</t>
  </si>
  <si>
    <t>20GLB0068</t>
  </si>
  <si>
    <t>20CSFE02</t>
  </si>
  <si>
    <t>2020-198</t>
  </si>
  <si>
    <t>INFRA-2020-11</t>
  </si>
  <si>
    <t>DVO-200813-02</t>
  </si>
  <si>
    <t>20-52 RD</t>
  </si>
  <si>
    <t>0320-075</t>
  </si>
  <si>
    <t>20BC0211</t>
  </si>
  <si>
    <t>20LB0259</t>
  </si>
  <si>
    <t>MAR-00036G-2020</t>
  </si>
  <si>
    <t>20LB0320</t>
  </si>
  <si>
    <t>SOLANO 080-2020</t>
  </si>
  <si>
    <t>QSU-BAC-G-44-2020 05C SDF</t>
  </si>
  <si>
    <t>PEDIA-2020-06-0002</t>
  </si>
  <si>
    <t>2020-071-18-4</t>
  </si>
  <si>
    <t>BAC-PG-00168-20</t>
  </si>
  <si>
    <t>050-20</t>
  </si>
  <si>
    <t>PR 18-20-06-0788 - CED</t>
  </si>
  <si>
    <t>100-20-07-0861</t>
  </si>
  <si>
    <t>2020-13 (20DI0173)</t>
  </si>
  <si>
    <t>20GGJ0055</t>
  </si>
  <si>
    <t>20GGJ0054</t>
  </si>
  <si>
    <t>20GFE0014</t>
  </si>
  <si>
    <t>V07222020-220</t>
  </si>
  <si>
    <t>Aklan BAC ITB 395 Series of 2020</t>
  </si>
  <si>
    <t>20BC0182</t>
  </si>
  <si>
    <t>IAEB NO. 2020-010</t>
  </si>
  <si>
    <t>PR 31-20-07-0814 - DEPED</t>
  </si>
  <si>
    <t>2020-007 INFRA "IMPROVEMENT OF TAU DATA CENTER AND</t>
  </si>
  <si>
    <t>ITB No. 2020-12</t>
  </si>
  <si>
    <t>ITB-DARFO12-2020-0647</t>
  </si>
  <si>
    <t>08112020-112</t>
  </si>
  <si>
    <t>SN-2020-1</t>
  </si>
  <si>
    <t>SN-2020-9</t>
  </si>
  <si>
    <t>IAEB NO. 2020-002</t>
  </si>
  <si>
    <t>Goods 2020-41</t>
  </si>
  <si>
    <t>20-MC-CO-0701</t>
  </si>
  <si>
    <t>CW20-20</t>
  </si>
  <si>
    <t>19CSK00043</t>
  </si>
  <si>
    <t>INF-SFO-05-20</t>
  </si>
  <si>
    <t>20-M-G-005</t>
  </si>
  <si>
    <t>BSV-2020-001</t>
  </si>
  <si>
    <t>PB2020-08-097G</t>
  </si>
  <si>
    <t>PB2020-08-096G</t>
  </si>
  <si>
    <t>PB2020-08-098G</t>
  </si>
  <si>
    <t>19CSK00044</t>
  </si>
  <si>
    <t>2020-005C</t>
  </si>
  <si>
    <t>07-00974</t>
  </si>
  <si>
    <t>2020-011 LGUSJ-I</t>
  </si>
  <si>
    <t>20GGM0016</t>
  </si>
  <si>
    <t>19CSK00042</t>
  </si>
  <si>
    <t>IB No. K-2020-077(SC)</t>
  </si>
  <si>
    <t>20BF0065</t>
  </si>
  <si>
    <t>162 - 2020</t>
  </si>
  <si>
    <t>178 – 2020</t>
  </si>
  <si>
    <t>CID No. 20GLE0097 PR 20-07-0151</t>
  </si>
  <si>
    <t>24-2020-July-INFRA-DATAL TAMPAL</t>
  </si>
  <si>
    <t>2020-400</t>
  </si>
  <si>
    <t>CID No. 20GLE0098 PR 20-07-0152</t>
  </si>
  <si>
    <t>SPC PR No. 2000005534</t>
  </si>
  <si>
    <t>CID No. 20GLE0091 PR 20-07-0145</t>
  </si>
  <si>
    <t>DPWH-SK2DEO-20GMH066</t>
  </si>
  <si>
    <t>CID No. 20GLE0090 PR 20-07-0144</t>
  </si>
  <si>
    <t>PB-2020-29</t>
  </si>
  <si>
    <t>3-01-001-20-076A (Re-bidding)</t>
  </si>
  <si>
    <t>GF-20-06-00893</t>
  </si>
  <si>
    <t>20BD0137</t>
  </si>
  <si>
    <t>IB No. K-202-078(SC)</t>
  </si>
  <si>
    <t>DPWH-SK2DEO-20GMH065</t>
  </si>
  <si>
    <t>2020-07-155</t>
  </si>
  <si>
    <t>ITB # 2020-38</t>
  </si>
  <si>
    <t>20-477</t>
  </si>
  <si>
    <t>GOODS 2020-018</t>
  </si>
  <si>
    <t>MAD 021-2020</t>
  </si>
  <si>
    <t>20-478</t>
  </si>
  <si>
    <t>INFRA 20-10-35: PACKAGE 20-35</t>
  </si>
  <si>
    <t>CID No. 20GLE0096 PR 20-07-0150</t>
  </si>
  <si>
    <t>Procurement of one (1) unit service vehicle 4x2 pi</t>
  </si>
  <si>
    <t>2020-11-Infra</t>
  </si>
  <si>
    <t>211530</t>
  </si>
  <si>
    <t>lgumat-2020-0042</t>
  </si>
  <si>
    <t>2020-07-152</t>
  </si>
  <si>
    <t>PANG-2020-0855</t>
  </si>
  <si>
    <t>MAD 023-2020</t>
  </si>
  <si>
    <t>2020-17-Infra</t>
  </si>
  <si>
    <t>20IE0116</t>
  </si>
  <si>
    <t>20MC0100 (Re-Published)</t>
  </si>
  <si>
    <t>2020-13-Infra</t>
  </si>
  <si>
    <t>20MC0098(Re-Published)</t>
  </si>
  <si>
    <t>PANG-2020-0854</t>
  </si>
  <si>
    <t>PB2020-02</t>
  </si>
  <si>
    <t>MAD 020-2020</t>
  </si>
  <si>
    <t>PGR-INFRA-2019-12-04</t>
  </si>
  <si>
    <t>2020-ANT-GOODS-0144</t>
  </si>
  <si>
    <t>20-07-03</t>
  </si>
  <si>
    <t>lgumat-2020-0041</t>
  </si>
  <si>
    <t>PGR-INFRA-2020-03-01</t>
  </si>
  <si>
    <t>GS-P13-2020-08-13</t>
  </si>
  <si>
    <t>20-07-023</t>
  </si>
  <si>
    <t>2001-004-02</t>
  </si>
  <si>
    <t>PANG-2020-0857</t>
  </si>
  <si>
    <t>ITB 2020-45</t>
  </si>
  <si>
    <t>PR No. 4000004556 dtd. 7/1/2020</t>
  </si>
  <si>
    <t>ITB 2020-43</t>
  </si>
  <si>
    <t>PANG-2020-0856</t>
  </si>
  <si>
    <t>MAD 022-2020</t>
  </si>
  <si>
    <t>INFR-2020 -14</t>
  </si>
  <si>
    <t>HILONGOS 2020-216</t>
  </si>
  <si>
    <t>2020-16-Infra</t>
  </si>
  <si>
    <t>PANG-2020-0976</t>
  </si>
  <si>
    <t>lgumat-2020-0043</t>
  </si>
  <si>
    <t>ITB 2020-44</t>
  </si>
  <si>
    <t>20-07-0150</t>
  </si>
  <si>
    <t>2020-02-0267-MAIN</t>
  </si>
  <si>
    <t>PGR-INFRA-2020-07-8</t>
  </si>
  <si>
    <t>2020-030-INF</t>
  </si>
  <si>
    <t>PANG-2020-0977</t>
  </si>
  <si>
    <t>brgy.zone11</t>
  </si>
  <si>
    <t>PGR-INFRA-2020-07-3</t>
  </si>
  <si>
    <t>ITB 2020-36</t>
  </si>
  <si>
    <t>BFAR5BAC-2020-137</t>
  </si>
  <si>
    <t>ITB 2020-37</t>
  </si>
  <si>
    <t>P.R. No. 20-0097</t>
  </si>
  <si>
    <t>Infra 2020-09</t>
  </si>
  <si>
    <t>20-00052</t>
  </si>
  <si>
    <t>PGR-INFRA-2020-08-03</t>
  </si>
  <si>
    <t>ITB 2020-38</t>
  </si>
  <si>
    <t>PANG-2020-0858</t>
  </si>
  <si>
    <t>20-07-117</t>
  </si>
  <si>
    <t>GOODS-20-38</t>
  </si>
  <si>
    <t>ITB 2020-41</t>
  </si>
  <si>
    <t>PGR-INFRA-2020-08-02</t>
  </si>
  <si>
    <t>GOODS-20-39</t>
  </si>
  <si>
    <t>2020-015-GDS-2</t>
  </si>
  <si>
    <t>PANG-2020-0863</t>
  </si>
  <si>
    <t>07212020B</t>
  </si>
  <si>
    <t>Infra 2020-11</t>
  </si>
  <si>
    <t>IAEB NO. 2020-005A</t>
  </si>
  <si>
    <t>Infra 2020-10</t>
  </si>
  <si>
    <t>PANG-2020-0861</t>
  </si>
  <si>
    <t>IB-2020-49</t>
  </si>
  <si>
    <t>PANG-2020-0859</t>
  </si>
  <si>
    <t>ITB 2020-34</t>
  </si>
  <si>
    <t>ITB 2020-35</t>
  </si>
  <si>
    <t>ITB 2020-33</t>
  </si>
  <si>
    <t>20NB0055 (re-advertised)</t>
  </si>
  <si>
    <t>MAITUM202001</t>
  </si>
  <si>
    <t>2020-03-0432-MAIN</t>
  </si>
  <si>
    <t>Infra 2020-12</t>
  </si>
  <si>
    <t>MO-004-07-2020</t>
  </si>
  <si>
    <t>2020-07-081</t>
  </si>
  <si>
    <t>20-07-0151</t>
  </si>
  <si>
    <t>ITB 2020-39</t>
  </si>
  <si>
    <t>2020-06-0565, 2020-05-0511, 2020-02-0178, 2020-02-</t>
  </si>
  <si>
    <t>072120-H01</t>
  </si>
  <si>
    <t>P.R. No. 20-0096</t>
  </si>
  <si>
    <t>2020-01-0029,2020-06-0540, 2020-02-0167, 2020-02-0</t>
  </si>
  <si>
    <t>BAG-1-2020-047</t>
  </si>
  <si>
    <t>20-07-027</t>
  </si>
  <si>
    <t>PGR-INFRA-2020-08-01</t>
  </si>
  <si>
    <t>CIACBAC-Infra-P07</t>
  </si>
  <si>
    <t>2020-02-0304, 2020-02-0198, 2020-02-0151, 2020-02-</t>
  </si>
  <si>
    <t>LunaLU 2020-07-032</t>
  </si>
  <si>
    <t>Gs-2020-11</t>
  </si>
  <si>
    <t>LGU LAUREL 20-05-012</t>
  </si>
  <si>
    <t>PANG-2020-0865</t>
  </si>
  <si>
    <t>2020-02-0167</t>
  </si>
  <si>
    <t>lam-bac-247-020</t>
  </si>
  <si>
    <t>Infra 2020-15</t>
  </si>
  <si>
    <t>PANG-2020-0864</t>
  </si>
  <si>
    <t>0075-0013-1215-2020</t>
  </si>
  <si>
    <t>LunaLU 2020-07-031</t>
  </si>
  <si>
    <t>20NE0096</t>
  </si>
  <si>
    <t>2020-07-162-E</t>
  </si>
  <si>
    <t>PANG-2020-0862</t>
  </si>
  <si>
    <t>INFRA-2020-233</t>
  </si>
  <si>
    <t>ITB GOODS 2020-07-42</t>
  </si>
  <si>
    <t>2020-06-050-D</t>
  </si>
  <si>
    <t>PGR-INFRA-2020-08-04</t>
  </si>
  <si>
    <t>20NC0137</t>
  </si>
  <si>
    <t>2020-03-0470, 2020-02-0424, 2020-06-0578, 2020-06-</t>
  </si>
  <si>
    <t>INFRA-38-2020</t>
  </si>
  <si>
    <t>Infra 2020-16</t>
  </si>
  <si>
    <t>20NB0073</t>
  </si>
  <si>
    <t>20CSN013</t>
  </si>
  <si>
    <t>20NB0071</t>
  </si>
  <si>
    <t>ITB 2020-40</t>
  </si>
  <si>
    <t>20CI0105</t>
  </si>
  <si>
    <t>20GBD0034</t>
  </si>
  <si>
    <t>Aklan BAC ITB 394 Series of 2020</t>
  </si>
  <si>
    <t>Infra-2020-04</t>
  </si>
  <si>
    <t>20NB0072</t>
  </si>
  <si>
    <t>PGR-INFRA-2020-03-04</t>
  </si>
  <si>
    <t>20CSN014</t>
  </si>
  <si>
    <t>ITB 2020-42</t>
  </si>
  <si>
    <t>INFRA 20-11-36: PACKAGE 20-36</t>
  </si>
  <si>
    <t>20CSN015</t>
  </si>
  <si>
    <t>2020-02-0252-MAIN</t>
  </si>
  <si>
    <t>PGR-INFRA-2020-03-16</t>
  </si>
  <si>
    <t>HILONGOS 2020-215</t>
  </si>
  <si>
    <t>MO-003-07-2020</t>
  </si>
  <si>
    <t>2020 B-06.307</t>
  </si>
  <si>
    <t>ITB 20-087</t>
  </si>
  <si>
    <t>211529</t>
  </si>
  <si>
    <t>BMC-N-20-0253</t>
  </si>
  <si>
    <t>BAC-ITR-2020-07-002</t>
  </si>
  <si>
    <t>037-FTC 2020</t>
  </si>
  <si>
    <t>2020-06-052-D</t>
  </si>
  <si>
    <t>20ITB-INF-02-00032</t>
  </si>
  <si>
    <t>20-06-05A-0030</t>
  </si>
  <si>
    <t>PANG-2020-0970</t>
  </si>
  <si>
    <t>GS-P14-2020-08-13</t>
  </si>
  <si>
    <t>20CSN016</t>
  </si>
  <si>
    <t>Adv. 20-064</t>
  </si>
  <si>
    <t>20200721-01</t>
  </si>
  <si>
    <t>Concreting/ Improvement of Mayana-Lamac Road, Bari</t>
  </si>
  <si>
    <t>PEO-20-0838-B</t>
  </si>
  <si>
    <t>ITB-2020-30</t>
  </si>
  <si>
    <t>ITB GOODS 2020-7-43</t>
  </si>
  <si>
    <t>20-07-030</t>
  </si>
  <si>
    <t>IB No. 2020-026</t>
  </si>
  <si>
    <t>ITB-2020-29</t>
  </si>
  <si>
    <t>CNSCSECURITY2020</t>
  </si>
  <si>
    <t>PANG-2020-0866</t>
  </si>
  <si>
    <t>PANG-2020-0994</t>
  </si>
  <si>
    <t>ITB 2020-25</t>
  </si>
  <si>
    <t>I.B. No. 2020-0036</t>
  </si>
  <si>
    <t>20FO0107</t>
  </si>
  <si>
    <t>DAPA-084-2020</t>
  </si>
  <si>
    <t>Adv. 20-078</t>
  </si>
  <si>
    <t>Lobong 2020-07</t>
  </si>
  <si>
    <t>PANG-2020-0910</t>
  </si>
  <si>
    <t>BAC-PGCS-056-2020</t>
  </si>
  <si>
    <t>20AC0109</t>
  </si>
  <si>
    <t>GS-P15-2020-08-13</t>
  </si>
  <si>
    <t>ITB-2020-31</t>
  </si>
  <si>
    <t>DARLU-07-01-20-B-GOODS</t>
  </si>
  <si>
    <t>MIL-GOODS-2020-07-03</t>
  </si>
  <si>
    <t>Adv. 20-077</t>
  </si>
  <si>
    <t>MABASA ITB 2020-02</t>
  </si>
  <si>
    <t>20FO0108</t>
  </si>
  <si>
    <t>I.B. No.2020-0038</t>
  </si>
  <si>
    <t>V3-20-1416</t>
  </si>
  <si>
    <t>038-FTC 2020</t>
  </si>
  <si>
    <t>2020-07 -01BK</t>
  </si>
  <si>
    <t>BAC 2020-25</t>
  </si>
  <si>
    <t>SVP-072320-7</t>
  </si>
  <si>
    <t>BAYLEGOOD0520055-RE-BID</t>
  </si>
  <si>
    <t>20200721-02</t>
  </si>
  <si>
    <t>20IJ-0086</t>
  </si>
  <si>
    <t>IA-P-2020-02</t>
  </si>
  <si>
    <t>2020-06-283</t>
  </si>
  <si>
    <t>039-FTC 2020</t>
  </si>
  <si>
    <t>2020-07-082</t>
  </si>
  <si>
    <t>20AB0121</t>
  </si>
  <si>
    <t>PRDP-IB-RO02-ISA-048-000-000-2019-AF</t>
  </si>
  <si>
    <t>20AJ0106</t>
  </si>
  <si>
    <t>20-012</t>
  </si>
  <si>
    <t>I.B. No.2020-0039</t>
  </si>
  <si>
    <t>DDO-20-4520</t>
  </si>
  <si>
    <t>2020-05-232</t>
  </si>
  <si>
    <t>040-FTC 2020</t>
  </si>
  <si>
    <t>ITB NO.2. Barangay Kaluknayan</t>
  </si>
  <si>
    <t>20AJ0107</t>
  </si>
  <si>
    <t>2020-04-216</t>
  </si>
  <si>
    <t>20-ICT4</t>
  </si>
  <si>
    <t>BAC-PGCS-062-2020</t>
  </si>
  <si>
    <t>BAYLEGOOD0620060-RE-BID</t>
  </si>
  <si>
    <t>PB-G-2020-005</t>
  </si>
  <si>
    <t>NIAR6-JRMPII-GS01-20</t>
  </si>
  <si>
    <t>UPLB-S-046-08-20, SUPPLY AND DELIVERY OF BRANDED A</t>
  </si>
  <si>
    <t>PR No. 2020 07 0083</t>
  </si>
  <si>
    <t>BAYLECON0720076</t>
  </si>
  <si>
    <t>PB-G-2020-004</t>
  </si>
  <si>
    <t>BAC 2020-G06</t>
  </si>
  <si>
    <t>2020-0189-PR2020-0540</t>
  </si>
  <si>
    <t>20GOE0032</t>
  </si>
  <si>
    <t>CIVIL-2020-7</t>
  </si>
  <si>
    <t>20NC0138</t>
  </si>
  <si>
    <t>ITB 2020-008</t>
  </si>
  <si>
    <t>IB 2020-085</t>
  </si>
  <si>
    <t>20GOE0031</t>
  </si>
  <si>
    <t>BAYLECON0720075</t>
  </si>
  <si>
    <t>IB-2020-50</t>
  </si>
  <si>
    <t>BAC 2020-G07</t>
  </si>
  <si>
    <t>ITB 2020-009</t>
  </si>
  <si>
    <t>ITB-072120-1</t>
  </si>
  <si>
    <t>INFRA-2020-19</t>
  </si>
  <si>
    <t>IB-2020-083</t>
  </si>
  <si>
    <t>ITB 2020-011</t>
  </si>
  <si>
    <t>INFRA-2020-18</t>
  </si>
  <si>
    <t>DDO-20-4156</t>
  </si>
  <si>
    <t>2020-6-006a</t>
  </si>
  <si>
    <t>ITB-2020-28</t>
  </si>
  <si>
    <t>20IG0069</t>
  </si>
  <si>
    <t>IN No. 2020-0039</t>
  </si>
  <si>
    <t>20P00010</t>
  </si>
  <si>
    <t>PANG-2020-0995</t>
  </si>
  <si>
    <t>RO6-2020-34</t>
  </si>
  <si>
    <t>BAYLECON0720077</t>
  </si>
  <si>
    <t>20GB00027</t>
  </si>
  <si>
    <t>2020-07-483</t>
  </si>
  <si>
    <t>20NC0139</t>
  </si>
  <si>
    <t>ITB NO. 07-20-02</t>
  </si>
  <si>
    <t>2020-07-484</t>
  </si>
  <si>
    <t>DAPA-085-2020</t>
  </si>
  <si>
    <t>S1-RDP20-013</t>
  </si>
  <si>
    <t>ITB 2020-013</t>
  </si>
  <si>
    <t>INFRA-2020-21</t>
  </si>
  <si>
    <t>LFP NBB No. 002-2020</t>
  </si>
  <si>
    <t>PR 1093-20</t>
  </si>
  <si>
    <t>IB-2020-086</t>
  </si>
  <si>
    <t>RCU 2020-05-016</t>
  </si>
  <si>
    <t>ITB NO. 07-20-01</t>
  </si>
  <si>
    <t>PR 1122-20</t>
  </si>
  <si>
    <t>PR-2020-1441</t>
  </si>
  <si>
    <t>RFQ-GS-20200715-02</t>
  </si>
  <si>
    <t>INFRA-42-2020</t>
  </si>
  <si>
    <t>20GB00029</t>
  </si>
  <si>
    <t>20GB00028</t>
  </si>
  <si>
    <t>ITB NO. 07-20-07</t>
  </si>
  <si>
    <t>ITB NO. 07-20-06</t>
  </si>
  <si>
    <t>LFP MDO No. 001-2020</t>
  </si>
  <si>
    <t>SJ 2020-16-INFRA</t>
  </si>
  <si>
    <t>31-GOODS-CORN-2020</t>
  </si>
  <si>
    <t>ITB NO. 07-20-05</t>
  </si>
  <si>
    <t>PEO-2020-0186 PR2020-0537</t>
  </si>
  <si>
    <t>20CG0245</t>
  </si>
  <si>
    <t>ITB No. (INF) 2020-07-105  REHABILITATION/IMPROVEM</t>
  </si>
  <si>
    <t>20CG0241</t>
  </si>
  <si>
    <t>CB(B0-20-024(CB)</t>
  </si>
  <si>
    <t>7212020</t>
  </si>
  <si>
    <t>20CG0239</t>
  </si>
  <si>
    <t>20CG0238</t>
  </si>
  <si>
    <t>20CG0240</t>
  </si>
  <si>
    <t>20CG0243</t>
  </si>
  <si>
    <t>ITB NO. 07-20-03</t>
  </si>
  <si>
    <t>PGSO-2020-0183 PR2020-0506</t>
  </si>
  <si>
    <t>20GKA0007</t>
  </si>
  <si>
    <t>20CG0242</t>
  </si>
  <si>
    <t>lGU-M-INFRA-16-20</t>
  </si>
  <si>
    <t>CB(B)-20-019(CEO)</t>
  </si>
  <si>
    <t>PB2020-59</t>
  </si>
  <si>
    <t>SEF-20-06-01035</t>
  </si>
  <si>
    <t>PB2020-57</t>
  </si>
  <si>
    <t>20CG0244</t>
  </si>
  <si>
    <t>CB(B)-20-20(CEO)</t>
  </si>
  <si>
    <t>PB2020-56</t>
  </si>
  <si>
    <t>PB2020-58</t>
  </si>
  <si>
    <t>PB-20-376</t>
  </si>
  <si>
    <t>PB-20-374</t>
  </si>
  <si>
    <t>INFRA-43</t>
  </si>
  <si>
    <t>PB-20-373</t>
  </si>
  <si>
    <t>LGU-Banayoyo, ISur 2020-07-062</t>
  </si>
  <si>
    <t>LGU-M-INFRA-17-20</t>
  </si>
  <si>
    <t>LGU-Banayoyo, ISur 2020-07-060</t>
  </si>
  <si>
    <t>20AH0223</t>
  </si>
  <si>
    <t>Bid Ref. No. DENR-CO-2020-001 REBID</t>
  </si>
  <si>
    <t>20CSPF0005</t>
  </si>
  <si>
    <t>20CSPF0003</t>
  </si>
  <si>
    <t>LGU GUA 22-20</t>
  </si>
  <si>
    <t>100-2020-06-805</t>
  </si>
  <si>
    <t>PB-20-292</t>
  </si>
  <si>
    <t>20MADD0025</t>
  </si>
  <si>
    <t>REOI (CS-07-2020-02) 20CSDE03</t>
  </si>
  <si>
    <t>100-2020-07-836</t>
  </si>
  <si>
    <t>LGU-Banayoyo, ISur 2020-07-061</t>
  </si>
  <si>
    <t>COB BAC Goods 2020-011-002</t>
  </si>
  <si>
    <t>100-2020-07-811</t>
  </si>
  <si>
    <t>20CSPF0004</t>
  </si>
  <si>
    <t>100-2020-03-479</t>
  </si>
  <si>
    <t>BCS-2020-0204</t>
  </si>
  <si>
    <t>BCS-2020-0203</t>
  </si>
  <si>
    <t>BCS-2020-0202</t>
  </si>
  <si>
    <t>BCS-2020-0201</t>
  </si>
  <si>
    <t>ITB PR No.: 1563-20BAC</t>
  </si>
  <si>
    <t>BCS-2020-0200</t>
  </si>
  <si>
    <t>ITB PR No.: 1564-20BAC</t>
  </si>
  <si>
    <t>20CG0237</t>
  </si>
  <si>
    <t>SanJoseBatsAeb2020-123</t>
  </si>
  <si>
    <t>ITB PR No.: 1279-20BAC</t>
  </si>
  <si>
    <t>C-07.024</t>
  </si>
  <si>
    <t>SanJoseBatsAeb2020-124</t>
  </si>
  <si>
    <t>ITB PR No.: 3310-19BAC</t>
  </si>
  <si>
    <t>SanJoseBatsAeb2020-118</t>
  </si>
  <si>
    <t>C-07.026</t>
  </si>
  <si>
    <t>C-07.030</t>
  </si>
  <si>
    <t>C-07.028</t>
  </si>
  <si>
    <t>C-07.023</t>
  </si>
  <si>
    <t>INFRA-2020-38</t>
  </si>
  <si>
    <t>UPB-BID-2020-06</t>
  </si>
  <si>
    <t>2020 - 06 - 02</t>
  </si>
  <si>
    <t>PR 1005-20</t>
  </si>
  <si>
    <t>INFRA-2020-37</t>
  </si>
  <si>
    <t>2020 - 06 - 01</t>
  </si>
  <si>
    <t>INFRA-2020-36</t>
  </si>
  <si>
    <t>INFRA-2020-34</t>
  </si>
  <si>
    <t>2020-07-074</t>
  </si>
  <si>
    <t>PGL 20-092</t>
  </si>
  <si>
    <t>INFRA-2020-33</t>
  </si>
  <si>
    <t>G-PVET-060-20</t>
  </si>
  <si>
    <t>INFRA-2020-39</t>
  </si>
  <si>
    <t>INFRA-2020-35</t>
  </si>
  <si>
    <t>INFRA-12-20-06</t>
  </si>
  <si>
    <t>PR 1017-20</t>
  </si>
  <si>
    <t>INFRA-12-20-04</t>
  </si>
  <si>
    <t>BCS-2020-0205</t>
  </si>
  <si>
    <t>INFRA-12-20-02</t>
  </si>
  <si>
    <t>INFRA-12-20-01</t>
  </si>
  <si>
    <t>2020 B-05.276</t>
  </si>
  <si>
    <t>20O00032</t>
  </si>
  <si>
    <t>20-06-08-0049</t>
  </si>
  <si>
    <t>INFRA-2020-40</t>
  </si>
  <si>
    <t>PB-INT-2007-062</t>
  </si>
  <si>
    <t>INFRA-12-20-05</t>
  </si>
  <si>
    <t>BSU - PROJECT NO. 2020- 262</t>
  </si>
  <si>
    <t>PB-LRP-2007-067</t>
  </si>
  <si>
    <t>100-20-06-121</t>
  </si>
  <si>
    <t>2020-07-111</t>
  </si>
  <si>
    <t>NIAR6-PRBIDP-DRONE-GS04-20</t>
  </si>
  <si>
    <t>LGU-Banayoyo, ISur 2020-07-059</t>
  </si>
  <si>
    <t>100-20-06-142</t>
  </si>
  <si>
    <t>PB-20-375</t>
  </si>
  <si>
    <t>PGL 20-094</t>
  </si>
  <si>
    <t>2020 B-06.323</t>
  </si>
  <si>
    <t>IB No. DE-2020-009</t>
  </si>
  <si>
    <t>INFRA-12-20-03</t>
  </si>
  <si>
    <t>PGC-20200720-1</t>
  </si>
  <si>
    <t>100-20-06-136</t>
  </si>
  <si>
    <t>2020 B-06.315</t>
  </si>
  <si>
    <t>300-20-06-007</t>
  </si>
  <si>
    <t>2020 B-06.300/295/294/289/288</t>
  </si>
  <si>
    <t>2020 B-06.316</t>
  </si>
  <si>
    <t>07-208P-R</t>
  </si>
  <si>
    <t>IB-2020-08-30</t>
  </si>
  <si>
    <t>PGL 20-093</t>
  </si>
  <si>
    <t>NS-07-21-20-02</t>
  </si>
  <si>
    <t>IB-2020-08-29</t>
  </si>
  <si>
    <t>05-021P</t>
  </si>
  <si>
    <t>CSU2020-07-008-HOTEL</t>
  </si>
  <si>
    <t>2020-G-16</t>
  </si>
  <si>
    <t>GOODS-2020-07-014</t>
  </si>
  <si>
    <t>IB-2020-08-31</t>
  </si>
  <si>
    <t>100-20-06-140</t>
  </si>
  <si>
    <t>20KI0097</t>
  </si>
  <si>
    <t>IB No. 2020-008</t>
  </si>
  <si>
    <t>NS-07-21-20-01</t>
  </si>
  <si>
    <t>2020 B-06.312</t>
  </si>
  <si>
    <t>2020 B-06.305</t>
  </si>
  <si>
    <t>PB-GE1-2020-23</t>
  </si>
  <si>
    <t>PGL 20-091</t>
  </si>
  <si>
    <t>PGL 20-090</t>
  </si>
  <si>
    <t>PCA6-2020-07-02</t>
  </si>
  <si>
    <t>100-20-07-0734</t>
  </si>
  <si>
    <t>BARRM-SUL-07-SIA-17-20</t>
  </si>
  <si>
    <t>PGL 20-087</t>
  </si>
  <si>
    <t>PGL 20-086</t>
  </si>
  <si>
    <t>PGL 20-088</t>
  </si>
  <si>
    <t>C-07.027</t>
  </si>
  <si>
    <t>C-07.025</t>
  </si>
  <si>
    <t>C-07.031</t>
  </si>
  <si>
    <t>BAC2020-11</t>
  </si>
  <si>
    <t>PGL 20-089</t>
  </si>
  <si>
    <t>TF-20-07-027(X)</t>
  </si>
  <si>
    <t>20MADD0028</t>
  </si>
  <si>
    <t>20MADD0027</t>
  </si>
  <si>
    <t>2020-ortho-103</t>
  </si>
  <si>
    <t>LGU-Banayoyo, ISur 2020-07-063</t>
  </si>
  <si>
    <t>20MADD0026</t>
  </si>
  <si>
    <t>C-07.022</t>
  </si>
  <si>
    <t>INFRA-2020-41</t>
  </si>
  <si>
    <t>20MADD0029</t>
  </si>
  <si>
    <t>20CSPF0001</t>
  </si>
  <si>
    <t>20GKA0006</t>
  </si>
  <si>
    <t>ITB PR No.: 1181-20BAC</t>
  </si>
  <si>
    <t>UYB-06-671-20</t>
  </si>
  <si>
    <t>CB(B)-20-023(DEPED)</t>
  </si>
  <si>
    <t>20CSPF0002</t>
  </si>
  <si>
    <t>MGPQ-RML-2020-07-005</t>
  </si>
  <si>
    <t>20CG0249</t>
  </si>
  <si>
    <t>20CG0246</t>
  </si>
  <si>
    <t>20CG0247</t>
  </si>
  <si>
    <t>CB(B)-20-025(DEPED)</t>
  </si>
  <si>
    <t>LSB(Admin)-20-002(CB)</t>
  </si>
  <si>
    <t>IB 2020-14</t>
  </si>
  <si>
    <t>Bid Ref. No. DENR-CO-2020-006</t>
  </si>
  <si>
    <t>20CG0248</t>
  </si>
  <si>
    <t>Infra-2020-001</t>
  </si>
  <si>
    <t>20CG0236</t>
  </si>
  <si>
    <t>ITB No. 2020 – 82</t>
  </si>
  <si>
    <t>072020-72</t>
  </si>
  <si>
    <t>ITB No. 2020-LCB-PG-017</t>
  </si>
  <si>
    <t>072020-71</t>
  </si>
  <si>
    <t>bir pb 2020-05 cs</t>
  </si>
  <si>
    <t>BAC2020-20</t>
  </si>
  <si>
    <t>2020-MS-106</t>
  </si>
  <si>
    <t>20BE0095</t>
  </si>
  <si>
    <t>QES-07-021-20</t>
  </si>
  <si>
    <t>20O00051</t>
  </si>
  <si>
    <t>ITB No. 2020-LCB-PG-021</t>
  </si>
  <si>
    <t>MG-TSE20-025 TESTER, IMPEDANCE, MULTIFUNCTION PRIM</t>
  </si>
  <si>
    <t>InTB-PGAPEO2020OIP-CW2</t>
  </si>
  <si>
    <t>015</t>
  </si>
  <si>
    <t>ITB-DARFO12-2020-0645</t>
  </si>
  <si>
    <t>ITB GOODS 20-07-013</t>
  </si>
  <si>
    <t>ITB No. 2020-LCB-PG-022</t>
  </si>
  <si>
    <t>InTB-PGA7171PEO2020-CW11</t>
  </si>
  <si>
    <t>ITB No. 2020-LCB-PG-019</t>
  </si>
  <si>
    <t>ITB No. 2020-LCB-PG-020</t>
  </si>
  <si>
    <t>ITB-DARFO12-2020-0646</t>
  </si>
  <si>
    <t>PB-INF-002-2020</t>
  </si>
  <si>
    <t>INFRA#0006 ,ITB#0111, JO#0062: SCG-2020</t>
  </si>
  <si>
    <t>DA8-Goods-2020-35 Rebidding (PR NO. NLP 20-03-02-0</t>
  </si>
  <si>
    <t>014</t>
  </si>
  <si>
    <t>ITB-DARFO12-2020-0649</t>
  </si>
  <si>
    <t>PB NO. 2020-051</t>
  </si>
  <si>
    <t>ITB-DARFO12-2020-0648</t>
  </si>
  <si>
    <t>Bid Ref. No. DENR-CO-2020-005</t>
  </si>
  <si>
    <t>IB No. 2020 - 051</t>
  </si>
  <si>
    <t>ITB-2020-04</t>
  </si>
  <si>
    <t>QES-07-020-20</t>
  </si>
  <si>
    <t>ASTGOODS23</t>
  </si>
  <si>
    <t>ITB-DARFO12-2020-0653</t>
  </si>
  <si>
    <t>CHMSC 20-022-0720-G</t>
  </si>
  <si>
    <t>IB No. 2020-050</t>
  </si>
  <si>
    <t>GADD 20 - 2M</t>
  </si>
  <si>
    <t>QES-07-019-20</t>
  </si>
  <si>
    <t>IB No. 2020-052</t>
  </si>
  <si>
    <t>20BE0096</t>
  </si>
  <si>
    <t>MG-A5C20-013, INSTALLATION OF CONTROL ROOM FIRE SU</t>
  </si>
  <si>
    <t>19GL00115</t>
  </si>
  <si>
    <t>20EA0001-R1</t>
  </si>
  <si>
    <t>RFP No. 2020-009</t>
  </si>
  <si>
    <t>MG-A7M20-008, REHAB OF AGUS 6 UNIT NO 5 COOLING SY</t>
  </si>
  <si>
    <t>8918-23-4-S20 (SUPPLEMENTAL #1-2020)</t>
  </si>
  <si>
    <t>MA-A2H20-010..SURGE PROTECTOR, 13.8 CAPACITOR AT M</t>
  </si>
  <si>
    <t>ITB-DARFO12-2020-0652</t>
  </si>
  <si>
    <t>20KD0068</t>
  </si>
  <si>
    <t>ITB No. 20-069 Supply and Delivery of Various Card</t>
  </si>
  <si>
    <t>Goods 0033-2020</t>
  </si>
  <si>
    <t>CW2020-001</t>
  </si>
  <si>
    <t>ITB-DARFO12-2020-0651</t>
  </si>
  <si>
    <t>20-07-0345</t>
  </si>
  <si>
    <t>20KA0101 (Readvertisement)</t>
  </si>
  <si>
    <t>MG-A5C20-051..FIRE EXTINGUISHER, PORTABLE, FOAM, A</t>
  </si>
  <si>
    <t>GD 2020-07-023</t>
  </si>
  <si>
    <t>INFRA20–07–059</t>
  </si>
  <si>
    <t>DepEd-2020-01</t>
  </si>
  <si>
    <t>BAC Ref No. 07-2020DC</t>
  </si>
  <si>
    <t>20CSFL03</t>
  </si>
  <si>
    <t>BAC Ref No. 06-2020</t>
  </si>
  <si>
    <t>200-202006-00033</t>
  </si>
  <si>
    <t>2020-07-079</t>
  </si>
  <si>
    <t>100-1912-02005</t>
  </si>
  <si>
    <t>BAC-GS 2020-097, 2020-098</t>
  </si>
  <si>
    <t>DND/AFP-BSSP-07-2020</t>
  </si>
  <si>
    <t>INFRA20–07–058</t>
  </si>
  <si>
    <t>100-202006-00969</t>
  </si>
  <si>
    <t>INF20-13</t>
  </si>
  <si>
    <t>INF20-12</t>
  </si>
  <si>
    <t>20-27</t>
  </si>
  <si>
    <t>100-202007-00990</t>
  </si>
  <si>
    <t>INF20-11</t>
  </si>
  <si>
    <t>0100</t>
  </si>
  <si>
    <t>Goods 0032-2020</t>
  </si>
  <si>
    <t>CW2020-006</t>
  </si>
  <si>
    <t>100-202003-00562</t>
  </si>
  <si>
    <t>UPLB-RQ-7-150-20-RES LABORATORY SUPPLIES &amp; EQUIPME</t>
  </si>
  <si>
    <t>Goods 0035-2020</t>
  </si>
  <si>
    <t>1738</t>
  </si>
  <si>
    <t>PB 20-03-19</t>
  </si>
  <si>
    <t>0032-07-2020</t>
  </si>
  <si>
    <t>Goods 0034-2020</t>
  </si>
  <si>
    <t>IB NO. 039-20</t>
  </si>
  <si>
    <t>sjom-infra-0011-2020</t>
  </si>
  <si>
    <t>BCS-2020-0190</t>
  </si>
  <si>
    <t>GOODS-2020-013</t>
  </si>
  <si>
    <t>19</t>
  </si>
  <si>
    <t>200-202006-00035</t>
  </si>
  <si>
    <t>18</t>
  </si>
  <si>
    <t>BCS-2020-0193</t>
  </si>
  <si>
    <t>BCS-2020-0194</t>
  </si>
  <si>
    <t>BCS-2020-0191</t>
  </si>
  <si>
    <t>20A00212</t>
  </si>
  <si>
    <t>PB20-021-1</t>
  </si>
  <si>
    <t>DDO-20-4553</t>
  </si>
  <si>
    <t>2020-07-077</t>
  </si>
  <si>
    <t>Various PRs - Toner with Free use Printers</t>
  </si>
  <si>
    <t>2020-82 (GAS)</t>
  </si>
  <si>
    <t>BCS-2020-0192</t>
  </si>
  <si>
    <t>G-PGO-055-20</t>
  </si>
  <si>
    <t>20GK0229</t>
  </si>
  <si>
    <t>G-PEO-057-20</t>
  </si>
  <si>
    <t>2020-01-01</t>
  </si>
  <si>
    <t>G-PHO-054-20</t>
  </si>
  <si>
    <t>G-PGO-056-20</t>
  </si>
  <si>
    <t>DOT-BAC-REI NO. 2020-005</t>
  </si>
  <si>
    <t>IAEB 222-20</t>
  </si>
  <si>
    <t>BCS-2020-0195</t>
  </si>
  <si>
    <t>PB 03-2020 - 06</t>
  </si>
  <si>
    <t>SUPPLY AND DELIVERY OF WATER MATERIALS USE FOR WAT</t>
  </si>
  <si>
    <t>ROSS PR Nos. 1000032416 and 1000033046</t>
  </si>
  <si>
    <t>2020-81 (GAS)</t>
  </si>
  <si>
    <t>2020-86 (GAS)</t>
  </si>
  <si>
    <t>2020-148</t>
  </si>
  <si>
    <t>ESP-GOODS-021-2020</t>
  </si>
  <si>
    <t>CONTRACT ID: 20-07-097</t>
  </si>
  <si>
    <t>ESP-GOODS-020-2020</t>
  </si>
  <si>
    <t>2020-84 (GAS)</t>
  </si>
  <si>
    <t>PB 03-202 - 03</t>
  </si>
  <si>
    <t>2020-CW-020</t>
  </si>
  <si>
    <t>20A00216</t>
  </si>
  <si>
    <t>PB 03-2020 - 02</t>
  </si>
  <si>
    <t>20A00214</t>
  </si>
  <si>
    <t>SBMA-BAC-CONS-RFEI-20-02</t>
  </si>
  <si>
    <t>PB 03-2020 - 01</t>
  </si>
  <si>
    <t>2020-85 (GAS)</t>
  </si>
  <si>
    <t>0070-07-2020</t>
  </si>
  <si>
    <t>PB 03-2020-15</t>
  </si>
  <si>
    <t>0033-07-2020</t>
  </si>
  <si>
    <t>ESP-GOODS-019-2020</t>
  </si>
  <si>
    <t>PB 03-2020-13</t>
  </si>
  <si>
    <t>PB 03-2020-12</t>
  </si>
  <si>
    <t>PB 03-2020 - 10</t>
  </si>
  <si>
    <t>PB 03-2020-16</t>
  </si>
  <si>
    <t>PB 03-2020-14</t>
  </si>
  <si>
    <t>BCS-2020-0196</t>
  </si>
  <si>
    <t>ITB 20-0071</t>
  </si>
  <si>
    <t>PB 03-2020-11</t>
  </si>
  <si>
    <t>2020-83 (GAS)</t>
  </si>
  <si>
    <t>BAC-2020-07-02</t>
  </si>
  <si>
    <t>PB 03-2020 - 09</t>
  </si>
  <si>
    <t>IB 2020-27</t>
  </si>
  <si>
    <t>20GM0082</t>
  </si>
  <si>
    <t>PB 03-2020-22</t>
  </si>
  <si>
    <t>20-03-024</t>
  </si>
  <si>
    <t>PB 03-2020-21</t>
  </si>
  <si>
    <t>PB 03-2020-20</t>
  </si>
  <si>
    <t>PB 03-2020-19</t>
  </si>
  <si>
    <t>PB 03-2020-23</t>
  </si>
  <si>
    <t>SVP 2020-402</t>
  </si>
  <si>
    <t>2020-LO-104</t>
  </si>
  <si>
    <t>20-03-023</t>
  </si>
  <si>
    <t>Goods-2020-001</t>
  </si>
  <si>
    <t>PB 03-2020-36</t>
  </si>
  <si>
    <t>PB 03-2020-33</t>
  </si>
  <si>
    <t>PB 03-2020-32</t>
  </si>
  <si>
    <t>2020-MVR-105</t>
  </si>
  <si>
    <t>PB 03-2020-31</t>
  </si>
  <si>
    <t>PB 03-2020-34</t>
  </si>
  <si>
    <t>PB 03-2020-30</t>
  </si>
  <si>
    <t>SVP 2020-379</t>
  </si>
  <si>
    <t>2020-07-219</t>
  </si>
  <si>
    <t>PB 03-2020-28</t>
  </si>
  <si>
    <t>PB 03-2020-27</t>
  </si>
  <si>
    <t>PB 03-2020-29</t>
  </si>
  <si>
    <t>20-03-028</t>
  </si>
  <si>
    <t>IB 2020-28</t>
  </si>
  <si>
    <t>PB 03-2020-24</t>
  </si>
  <si>
    <t>PB 03-2020-37</t>
  </si>
  <si>
    <t>20-03-027</t>
  </si>
  <si>
    <t>20-03-026</t>
  </si>
  <si>
    <t>20-03-021</t>
  </si>
  <si>
    <t>20-03-020</t>
  </si>
  <si>
    <t>BUGASS-2020-067</t>
  </si>
  <si>
    <t>20-03-022</t>
  </si>
  <si>
    <t>PB 03-2020-25</t>
  </si>
  <si>
    <t>PB 03-2020-18</t>
  </si>
  <si>
    <t>ESP-GOODS-023-2020</t>
  </si>
  <si>
    <t>PB 03-2020-17</t>
  </si>
  <si>
    <t>PB 03-2020-50</t>
  </si>
  <si>
    <t>20-03-025</t>
  </si>
  <si>
    <t>PB 03-2020-48</t>
  </si>
  <si>
    <t>PB 03-2020- 56</t>
  </si>
  <si>
    <t>PB 03-2020-47</t>
  </si>
  <si>
    <t>PB 03-2020-46</t>
  </si>
  <si>
    <t>PB 03-2020-49</t>
  </si>
  <si>
    <t>PB INFRA 20-048</t>
  </si>
  <si>
    <t>PB 03-2020-51</t>
  </si>
  <si>
    <t>PB 03-2020-43</t>
  </si>
  <si>
    <t>PB 03-2020- 55</t>
  </si>
  <si>
    <t>PB 03-2020-53</t>
  </si>
  <si>
    <t>PB 03-2020-45</t>
  </si>
  <si>
    <t>PB 03-2020-44</t>
  </si>
  <si>
    <t>2020-CW-019</t>
  </si>
  <si>
    <t>2020-07-20-05</t>
  </si>
  <si>
    <t>2020-07-20-04</t>
  </si>
  <si>
    <t>2020-07-20-03</t>
  </si>
  <si>
    <t>PB 03-2020- 54</t>
  </si>
  <si>
    <t>2020-07-20-02</t>
  </si>
  <si>
    <t>PMO-01-2020</t>
  </si>
  <si>
    <t>ITB-2020-07-007</t>
  </si>
  <si>
    <t>PB 03-2020-42</t>
  </si>
  <si>
    <t>PB INFRA 20-061</t>
  </si>
  <si>
    <t>2020 AIP (General Fund) G-08-06162020</t>
  </si>
  <si>
    <t>2020-07-20-01</t>
  </si>
  <si>
    <t>PR2007264</t>
  </si>
  <si>
    <t>PB INFRA 20-063</t>
  </si>
  <si>
    <t>IB 2020-33</t>
  </si>
  <si>
    <t>PB INFRA 20-062</t>
  </si>
  <si>
    <t>PB INFRA 20-059</t>
  </si>
  <si>
    <t>PB 03-2020-57</t>
  </si>
  <si>
    <t>2020-153-I</t>
  </si>
  <si>
    <t>IB 2020-31</t>
  </si>
  <si>
    <t>20A00213</t>
  </si>
  <si>
    <t>SCM-INFRA-07202020-01</t>
  </si>
  <si>
    <t>20EB0131</t>
  </si>
  <si>
    <t>PR 74430</t>
  </si>
  <si>
    <t>20FO0106</t>
  </si>
  <si>
    <t>INFRA-20-004</t>
  </si>
  <si>
    <t>20PB0039</t>
  </si>
  <si>
    <t>PRN 051</t>
  </si>
  <si>
    <t>BAC HO GS NO. 2020-0390</t>
  </si>
  <si>
    <t>pr-20-06-107</t>
  </si>
  <si>
    <t>BFAR5BAC-2020-132</t>
  </si>
  <si>
    <t>PR# 20-07-0691</t>
  </si>
  <si>
    <t>IB 2020-30</t>
  </si>
  <si>
    <t>ITB NO. 2020-0018</t>
  </si>
  <si>
    <t>PR 74535</t>
  </si>
  <si>
    <t>GS 2020-007-024</t>
  </si>
  <si>
    <t>BFAR5BAC-2020-129</t>
  </si>
  <si>
    <t>ITB NO. 2020-0015</t>
  </si>
  <si>
    <t>BSU - PROJECT NO. 2020- 260</t>
  </si>
  <si>
    <t>2020-171-I</t>
  </si>
  <si>
    <t>20EB0130</t>
  </si>
  <si>
    <t>ITB NO. 2020-0016</t>
  </si>
  <si>
    <t>2020-07-20-11</t>
  </si>
  <si>
    <t>07-00947</t>
  </si>
  <si>
    <t>PR-20-05-098</t>
  </si>
  <si>
    <t>2020-07-20-10</t>
  </si>
  <si>
    <t>20EB0128</t>
  </si>
  <si>
    <t>2020-07-20-09</t>
  </si>
  <si>
    <t>093-20</t>
  </si>
  <si>
    <t>IB 2020-29</t>
  </si>
  <si>
    <t>20EB0129</t>
  </si>
  <si>
    <t>2020-07-20-07</t>
  </si>
  <si>
    <t>BSU - PROJECT NO. 2020- 261</t>
  </si>
  <si>
    <t>101-2020-07-350</t>
  </si>
  <si>
    <t>ITB-SSS-GOODS-2020-022</t>
  </si>
  <si>
    <t>2020137</t>
  </si>
  <si>
    <t>2020138</t>
  </si>
  <si>
    <t>20063984</t>
  </si>
  <si>
    <t>2020136</t>
  </si>
  <si>
    <t>PB-LAP-2020-078</t>
  </si>
  <si>
    <t>O4-20-1506</t>
  </si>
  <si>
    <t>GOODS-20-37</t>
  </si>
  <si>
    <t>063-20</t>
  </si>
  <si>
    <t>2020-PBGOODS-06-010</t>
  </si>
  <si>
    <t>2020-07-20-06</t>
  </si>
  <si>
    <t>PB INFRA 20-052</t>
  </si>
  <si>
    <t>Pampango - 03</t>
  </si>
  <si>
    <t>2020135</t>
  </si>
  <si>
    <t>PB INFRA 20-050</t>
  </si>
  <si>
    <t>LAPAY INFRA ITB 03-2020</t>
  </si>
  <si>
    <t>PB INFRA 20-051</t>
  </si>
  <si>
    <t>PB 03-2020-52</t>
  </si>
  <si>
    <t>ITB-071720-1</t>
  </si>
  <si>
    <t>2020 AIP (General Fund) G-07-06162020</t>
  </si>
  <si>
    <t>2020-07-20-08</t>
  </si>
  <si>
    <t>PB 03-2020-59</t>
  </si>
  <si>
    <t>PB 03-2020-60</t>
  </si>
  <si>
    <t>PB 2020-18</t>
  </si>
  <si>
    <t>ITB-071720-2</t>
  </si>
  <si>
    <t>01ALFONSO XII2020</t>
  </si>
  <si>
    <t>PB 03-2020-58</t>
  </si>
  <si>
    <t>20-06-0315</t>
  </si>
  <si>
    <t>20-07-0352</t>
  </si>
  <si>
    <t>ITB No. 2020-81</t>
  </si>
  <si>
    <t>ITB-071720-4</t>
  </si>
  <si>
    <t>ITB 2020-24</t>
  </si>
  <si>
    <t>2020-07-0287</t>
  </si>
  <si>
    <t>20AI0185</t>
  </si>
  <si>
    <t>FPR-20-096 to 100</t>
  </si>
  <si>
    <t>2020-07-0286</t>
  </si>
  <si>
    <t>ITB-071720-3</t>
  </si>
  <si>
    <t>20CSFC01</t>
  </si>
  <si>
    <t>2020-07-0289</t>
  </si>
  <si>
    <t>2020LGU011</t>
  </si>
  <si>
    <t>20GMB0014 (EQUIPMENT LEASE)</t>
  </si>
  <si>
    <t>ITB 2020-07-028</t>
  </si>
  <si>
    <t>ITB 2020-07-027</t>
  </si>
  <si>
    <t>ITB 2020-07-034</t>
  </si>
  <si>
    <t>2020-07-0293</t>
  </si>
  <si>
    <t>ITB No. 2020-174-provl government of bukidnon offi</t>
  </si>
  <si>
    <t>ITB 2020-07-037</t>
  </si>
  <si>
    <t>0020-0244-1194-2020</t>
  </si>
  <si>
    <t>ITB 2020-07-035</t>
  </si>
  <si>
    <t>ITB 2020-07-033</t>
  </si>
  <si>
    <t>ITB 2020-07-036</t>
  </si>
  <si>
    <t>2020-07-0273</t>
  </si>
  <si>
    <t>20-0073</t>
  </si>
  <si>
    <t>Pampango - 04</t>
  </si>
  <si>
    <t>PB 03-2020-41</t>
  </si>
  <si>
    <t>BGHMCPB-2020-24-001</t>
  </si>
  <si>
    <t>JAE-SVP-2020-06-677-GAA</t>
  </si>
  <si>
    <t>PB 03-2020-38</t>
  </si>
  <si>
    <t>095-20</t>
  </si>
  <si>
    <t>ITB 20-0043-A</t>
  </si>
  <si>
    <t>094-20</t>
  </si>
  <si>
    <t>PB 03-2020-40</t>
  </si>
  <si>
    <t>PB 03-2020-39</t>
  </si>
  <si>
    <t>20GM0081</t>
  </si>
  <si>
    <t>PR No. 91685</t>
  </si>
  <si>
    <t>PB-LAP-2020-083</t>
  </si>
  <si>
    <t>PR No. 92586</t>
  </si>
  <si>
    <t>1000-1-2-2-1</t>
  </si>
  <si>
    <t>PR No. 91686</t>
  </si>
  <si>
    <t>PR No. 91815</t>
  </si>
  <si>
    <t>100(18)20-07-423(O)</t>
  </si>
  <si>
    <t>PR No. 90373</t>
  </si>
  <si>
    <t>PB 03-2020 - 08</t>
  </si>
  <si>
    <t>JR No. 23759</t>
  </si>
  <si>
    <t>TF-20-07-113(Q)</t>
  </si>
  <si>
    <t>PB 03-2020 - 07</t>
  </si>
  <si>
    <t>17202007064</t>
  </si>
  <si>
    <t>BAC-PGCS-109-2020</t>
  </si>
  <si>
    <t>ITB PR NO.: 1562-20BAC</t>
  </si>
  <si>
    <t>ITB PR NO.: 1261-20BAC</t>
  </si>
  <si>
    <t>ITB-2020-PR1301</t>
  </si>
  <si>
    <t>ITB PR NO.: 1260-20BAC</t>
  </si>
  <si>
    <t>ITB 2020-07-038</t>
  </si>
  <si>
    <t>2020-149</t>
  </si>
  <si>
    <t>17202007065</t>
  </si>
  <si>
    <t>100(09)20-07-112(Q)</t>
  </si>
  <si>
    <t>BAC Ref No. 01-2020VS (2nd Bidding)</t>
  </si>
  <si>
    <t>2020-150</t>
  </si>
  <si>
    <t>INFRA 2K20-51</t>
  </si>
  <si>
    <t>NP-SVP-20-058</t>
  </si>
  <si>
    <t>100-20-06-170</t>
  </si>
  <si>
    <t>B2020-097-A</t>
  </si>
  <si>
    <t>Repair/Rehabilitation of One (1) Storey Multi-Purp</t>
  </si>
  <si>
    <t>BGH - 07 - 0119</t>
  </si>
  <si>
    <t>Repair and Rehabilitation of CCIS Computer Laborat</t>
  </si>
  <si>
    <t>SBAC 2020-01</t>
  </si>
  <si>
    <t>2020-GOODS-36</t>
  </si>
  <si>
    <t>PB-LAP-2020-076</t>
  </si>
  <si>
    <t>100-20-06-105</t>
  </si>
  <si>
    <t>2020-029-GDS</t>
  </si>
  <si>
    <t>RFQ NO. 2020-07-048</t>
  </si>
  <si>
    <t>POCW-04-2020</t>
  </si>
  <si>
    <t>01-05-2020-07-733</t>
  </si>
  <si>
    <t>CONTRACT ID: 20-07-098</t>
  </si>
  <si>
    <t>0101-645</t>
  </si>
  <si>
    <t>2020-GOODS-35</t>
  </si>
  <si>
    <t>PRN 050</t>
  </si>
  <si>
    <t>GOODS20-07-045</t>
  </si>
  <si>
    <t>FPR 20 - 057/058/073/075/076</t>
  </si>
  <si>
    <t>PEO-20-0880-B</t>
  </si>
  <si>
    <t>baa - 20 - 008</t>
  </si>
  <si>
    <t>A4-20-1490</t>
  </si>
  <si>
    <t>2020-031-INF</t>
  </si>
  <si>
    <t>WFM 20 - 015</t>
  </si>
  <si>
    <t>C10-20-1469</t>
  </si>
  <si>
    <t>baa - 20 - 07 - 006</t>
  </si>
  <si>
    <t>NTC RIV-A 2020-07-002</t>
  </si>
  <si>
    <t>100-20-06-106</t>
  </si>
  <si>
    <t>baa - 20 - 07 - 007</t>
  </si>
  <si>
    <t>PR. NO. 2020060722</t>
  </si>
  <si>
    <t>100-20-06-171</t>
  </si>
  <si>
    <t>100-20-05-103</t>
  </si>
  <si>
    <t>100-20-06-169</t>
  </si>
  <si>
    <t>2020-GOODS-37</t>
  </si>
  <si>
    <t>2020-07-107</t>
  </si>
  <si>
    <t>20CSCC01</t>
  </si>
  <si>
    <t>100-20-07-172</t>
  </si>
  <si>
    <t>BUGASS-2020-065</t>
  </si>
  <si>
    <t>BAC Ref No. 08-2020BTC</t>
  </si>
  <si>
    <t>UPLB-RQ-7-147-20-RES INFORMATION TECHNOLOGY</t>
  </si>
  <si>
    <t>20-06-0319</t>
  </si>
  <si>
    <t>2020-0318</t>
  </si>
  <si>
    <t>0043-2020</t>
  </si>
  <si>
    <t>2020-0315</t>
  </si>
  <si>
    <t>2020-0317</t>
  </si>
  <si>
    <t>2020-0314</t>
  </si>
  <si>
    <t>BAC-GS-2020-07-005</t>
  </si>
  <si>
    <t>2020-0316</t>
  </si>
  <si>
    <t>DARLU-07-01-20-A-GOODS</t>
  </si>
  <si>
    <t>ITB2020-07-008</t>
  </si>
  <si>
    <t>BFARIX-FAD-20-07-439</t>
  </si>
  <si>
    <t>BAC-GS-2020-07-011</t>
  </si>
  <si>
    <t>BAC-GS-2020-07-010</t>
  </si>
  <si>
    <t>Q-048-20</t>
  </si>
  <si>
    <t>BSU - PROJECT NO. 2020- 255</t>
  </si>
  <si>
    <t>PROJECT # 20-083</t>
  </si>
  <si>
    <t>ITB NO. 2020-07-009</t>
  </si>
  <si>
    <t>PROJECT # 20-048</t>
  </si>
  <si>
    <t>DARLU-07-01-20 GOODS</t>
  </si>
  <si>
    <t>MZSP-2020-046</t>
  </si>
  <si>
    <t>SN-2020-7</t>
  </si>
  <si>
    <t>PBD 20-083</t>
  </si>
  <si>
    <t>ITB NO. 2020-07-007</t>
  </si>
  <si>
    <t>7152020</t>
  </si>
  <si>
    <t>CID NO. 20IF0004-C</t>
  </si>
  <si>
    <t>BAC-GS-2020-07-009</t>
  </si>
  <si>
    <t>IB-2020-07-06-106</t>
  </si>
  <si>
    <t>ITB NO. 2020-07-008</t>
  </si>
  <si>
    <t>PB2020-08-091G</t>
  </si>
  <si>
    <t>PB2020-08-090G</t>
  </si>
  <si>
    <t>INFRA-CNO-20-0007</t>
  </si>
  <si>
    <t>20-06-239</t>
  </si>
  <si>
    <t>PROJECT # 20-044</t>
  </si>
  <si>
    <t>20BG0149</t>
  </si>
  <si>
    <t>CONSTRUCTION SUPERVISION AND MANAGEMENT CONSULTANC</t>
  </si>
  <si>
    <t>UPLB-RQ-7-139-20-RES CHEMICALS &amp; CHEMICAL PRODUCTS</t>
  </si>
  <si>
    <t>UPLB-RQ-7-145-20-RES APPLIANCES</t>
  </si>
  <si>
    <t>ITB NO. 2020-07-010</t>
  </si>
  <si>
    <t>20BG0150</t>
  </si>
  <si>
    <t>PB2020-08-056I</t>
  </si>
  <si>
    <t>2020-0074</t>
  </si>
  <si>
    <t>PROJECT # 20-094</t>
  </si>
  <si>
    <t>2020198</t>
  </si>
  <si>
    <t>2020197</t>
  </si>
  <si>
    <t>PROJECT # 20-053</t>
  </si>
  <si>
    <t>INFRA-37-2020</t>
  </si>
  <si>
    <t>20B00026</t>
  </si>
  <si>
    <t>BFAR5BAC-2020-125</t>
  </si>
  <si>
    <t>ITB NO. 2020-07-011</t>
  </si>
  <si>
    <t>100-20-06-160</t>
  </si>
  <si>
    <t>2020-0057</t>
  </si>
  <si>
    <t>ICITB07142020A</t>
  </si>
  <si>
    <t>5020399000-53-2QISO -20</t>
  </si>
  <si>
    <t>5020399000-52-1QISO -20</t>
  </si>
  <si>
    <t>5020305000-51-3QISO-20</t>
  </si>
  <si>
    <t>5020305000-49-1QISO-20</t>
  </si>
  <si>
    <t>20CH0077</t>
  </si>
  <si>
    <t>5020305000-50-2QISO-20</t>
  </si>
  <si>
    <t>PB2020-08-092G</t>
  </si>
  <si>
    <t>20CE0244</t>
  </si>
  <si>
    <t>INFR-20-020</t>
  </si>
  <si>
    <t>BLGU-BARAYONG-AL-G-01-2020</t>
  </si>
  <si>
    <t>5020399000-54-3QISO -20</t>
  </si>
  <si>
    <t>BLGU-AL-G-02-2020</t>
  </si>
  <si>
    <t>WS-2020-06-001</t>
  </si>
  <si>
    <t>MJES-0714-2020</t>
  </si>
  <si>
    <t>IB No. 2020-204-A</t>
  </si>
  <si>
    <t>ITB No. DC-20-29</t>
  </si>
  <si>
    <t>2020-G-15</t>
  </si>
  <si>
    <t>20HD0096</t>
  </si>
  <si>
    <t>130-07-2020</t>
  </si>
  <si>
    <t>BFAR5BAC-2020-126</t>
  </si>
  <si>
    <t>WDP 200-20-06-07624</t>
  </si>
  <si>
    <t>WDP 200-20-05-05466</t>
  </si>
  <si>
    <t>11065</t>
  </si>
  <si>
    <t>ITB No. DC-20-28</t>
  </si>
  <si>
    <t>SB2 PEO19 300-20-06-07905</t>
  </si>
  <si>
    <t>PEO 300-20-06-07773</t>
  </si>
  <si>
    <t>GAMOT 200-20-06-06112</t>
  </si>
  <si>
    <t>OGDS 07-13-20</t>
  </si>
  <si>
    <t>100-20-16-161</t>
  </si>
  <si>
    <t>DPF 300-20-02-00455</t>
  </si>
  <si>
    <t>20-06-0665</t>
  </si>
  <si>
    <t>20CSAG01</t>
  </si>
  <si>
    <t>GS-PNBAC2-2020-21</t>
  </si>
  <si>
    <t>ITB 2020-0020</t>
  </si>
  <si>
    <t>ITB 2020-0019</t>
  </si>
  <si>
    <t>2020-GSIS-PB-057</t>
  </si>
  <si>
    <t>2020-GSIS-PB-074</t>
  </si>
  <si>
    <t>IB No. 2020-230</t>
  </si>
  <si>
    <t>GS-PNBAC2-2020-33</t>
  </si>
  <si>
    <t>IB-07-0447-20 COBE</t>
  </si>
  <si>
    <t>IB-06-094-2020 OCC</t>
  </si>
  <si>
    <t>BASC2020-07-041</t>
  </si>
  <si>
    <t>GS-PNBAC2-2020-34</t>
  </si>
  <si>
    <t>BSU - PROJECT NO. 2020- 244</t>
  </si>
  <si>
    <t>BSU - PROJECT NO. 2020- 243</t>
  </si>
  <si>
    <t>PB 20-060A</t>
  </si>
  <si>
    <t>ENG'G PASBAC 011-20</t>
  </si>
  <si>
    <t>20Z00006</t>
  </si>
  <si>
    <t>ENG’G PASBAC 010-20</t>
  </si>
  <si>
    <t>ITB-2020-08</t>
  </si>
  <si>
    <t>ENG’G PASBAC 009-20</t>
  </si>
  <si>
    <t>GS-PNBAC2-2020-24</t>
  </si>
  <si>
    <t>ITB-124-2020</t>
  </si>
  <si>
    <t>RO-PG2020-003</t>
  </si>
  <si>
    <t>ITB No. 2020-005-CSL</t>
  </si>
  <si>
    <t>lgu-2020-017</t>
  </si>
  <si>
    <t>PR-20-03-076</t>
  </si>
  <si>
    <t>SVP 20-1151</t>
  </si>
  <si>
    <t>Contract No. 04-2020</t>
  </si>
  <si>
    <t>S1-OMS20-033</t>
  </si>
  <si>
    <t>VJLN-SVP-2020-07-0685</t>
  </si>
  <si>
    <t>ITB No. DC-2020-20</t>
  </si>
  <si>
    <t>ITB No. DC-2020-19</t>
  </si>
  <si>
    <t>ITB-128-2020</t>
  </si>
  <si>
    <t>ITB No. DC-2020-18</t>
  </si>
  <si>
    <t>FS-2020-IHAOAN-RIP-001-RO</t>
  </si>
  <si>
    <t>2020-0055 dated 19 June 2020</t>
  </si>
  <si>
    <t>PBD 20-080</t>
  </si>
  <si>
    <t>BCS-2020-0168</t>
  </si>
  <si>
    <t>ITB-2020-001Lumintao</t>
  </si>
  <si>
    <t>MC1-2007-032</t>
  </si>
  <si>
    <t>20GK0228</t>
  </si>
  <si>
    <t>BCS-2020-0169</t>
  </si>
  <si>
    <t>20CG0230</t>
  </si>
  <si>
    <t>20CG0231</t>
  </si>
  <si>
    <t>20A00209</t>
  </si>
  <si>
    <t>PBD-20-07-005</t>
  </si>
  <si>
    <t>INFRA-PNBAC2-2020-15</t>
  </si>
  <si>
    <t>07272020-01</t>
  </si>
  <si>
    <t>NRP-WLB-01-20</t>
  </si>
  <si>
    <t>INFRA-PNBAC2-2020-14</t>
  </si>
  <si>
    <t>INFRA-PNBAC2-2020-16</t>
  </si>
  <si>
    <t>2020-GSIS-PB-083</t>
  </si>
  <si>
    <t>MG-A7M20-088</t>
  </si>
  <si>
    <t>07272020-02</t>
  </si>
  <si>
    <t>BCS-2020-0159</t>
  </si>
  <si>
    <t>BAC-AS-2020-06-019</t>
  </si>
  <si>
    <t>ITB No. DC-2020-21</t>
  </si>
  <si>
    <t>20GB0135</t>
  </si>
  <si>
    <t>PPO-20-0239-B</t>
  </si>
  <si>
    <t>MC1-2007-030</t>
  </si>
  <si>
    <t>20GK0230</t>
  </si>
  <si>
    <t>IB No. 2020-205-A</t>
  </si>
  <si>
    <t>20GZ00001</t>
  </si>
  <si>
    <t>NTC RIV-A 2020-07-001</t>
  </si>
  <si>
    <t>BAC-GS-2020-06-004</t>
  </si>
  <si>
    <t>20GB0131</t>
  </si>
  <si>
    <t>BFAR5BAC-2020-113</t>
  </si>
  <si>
    <t>20GB0130</t>
  </si>
  <si>
    <t>20GB0133</t>
  </si>
  <si>
    <t>20GB0134</t>
  </si>
  <si>
    <t>20GB0132</t>
  </si>
  <si>
    <t>20GB0128</t>
  </si>
  <si>
    <t>05-00694</t>
  </si>
  <si>
    <t>AMP-RFQ-2020-112</t>
  </si>
  <si>
    <t>20GB0129</t>
  </si>
  <si>
    <t>SVP 2020-1082</t>
  </si>
  <si>
    <t>2020-06-INFR</t>
  </si>
  <si>
    <t>SVP 2020-390</t>
  </si>
  <si>
    <t>ITB-GS-20200413-01</t>
  </si>
  <si>
    <t>20GB0124</t>
  </si>
  <si>
    <t>BCS-2020-0161</t>
  </si>
  <si>
    <t>20GB0125</t>
  </si>
  <si>
    <t>prdp-ir-r010-buk-001-000-000-2016-loan no. 8421-ph</t>
  </si>
  <si>
    <t>ITB-129-2020</t>
  </si>
  <si>
    <t>ITB-130-2020</t>
  </si>
  <si>
    <t>IB 2020-26</t>
  </si>
  <si>
    <t>20GZ00004</t>
  </si>
  <si>
    <t>20GZ00015</t>
  </si>
  <si>
    <t>BINAN-PB-055-2020</t>
  </si>
  <si>
    <t>ITB-126-2020</t>
  </si>
  <si>
    <t>ITB-125-2020</t>
  </si>
  <si>
    <t>CSC-ITB No. 2020-09 (Proc. of AVS Licenses)</t>
  </si>
  <si>
    <t>CSC-ITB No. 2020-08 (Proc. of Laptops &amp; Printers</t>
  </si>
  <si>
    <t>20FA0060</t>
  </si>
  <si>
    <t>ITB-127-2020</t>
  </si>
  <si>
    <t>PB20-06-035COR</t>
  </si>
  <si>
    <t>20-06-3141</t>
  </si>
  <si>
    <t>20CG0209</t>
  </si>
  <si>
    <t>20GB0126</t>
  </si>
  <si>
    <t>19CSZ016</t>
  </si>
  <si>
    <t>ITB 2020-03 SECURITY SERVICE</t>
  </si>
  <si>
    <t>20DN0171</t>
  </si>
  <si>
    <t>20GFO0022</t>
  </si>
  <si>
    <t>20DN0169</t>
  </si>
  <si>
    <t>20DN0168</t>
  </si>
  <si>
    <t>20DN0161</t>
  </si>
  <si>
    <t>20DN0157</t>
  </si>
  <si>
    <t>2020-INFRA-05</t>
  </si>
  <si>
    <t>20DN0160</t>
  </si>
  <si>
    <t>20GK0226</t>
  </si>
  <si>
    <t>20DN0145</t>
  </si>
  <si>
    <t>20GZ00002</t>
  </si>
  <si>
    <t>2020-twg1-005 with RIS No.19-82-025</t>
  </si>
  <si>
    <t>2020-twg1-006 with RIS No.19-82-025</t>
  </si>
  <si>
    <t>MG-TSE20-018..METER, MULTIFUNCTION</t>
  </si>
  <si>
    <t>ITB-GS-20200608-01</t>
  </si>
  <si>
    <t>RSPQ NO. 2020-06-035</t>
  </si>
  <si>
    <t>SRAVIS 20-06-293</t>
  </si>
  <si>
    <t>20FN0107</t>
  </si>
  <si>
    <t>20FN0108</t>
  </si>
  <si>
    <t>MG-A7C20-028</t>
  </si>
  <si>
    <t>2020168</t>
  </si>
  <si>
    <t>20030200</t>
  </si>
  <si>
    <t>2020-218</t>
  </si>
  <si>
    <t>2020170</t>
  </si>
  <si>
    <t>20-VI-05</t>
  </si>
  <si>
    <t>20DN0148</t>
  </si>
  <si>
    <t>20-VI-08</t>
  </si>
  <si>
    <t>20-VI-06</t>
  </si>
  <si>
    <t xml:space="preserve">ITB No. GOP/20-DSWD-038 - Provision of Multi-Year </t>
  </si>
  <si>
    <t>20CN0125</t>
  </si>
  <si>
    <t>20CN0124</t>
  </si>
  <si>
    <t>20GK0227</t>
  </si>
  <si>
    <t>20CN0123</t>
  </si>
  <si>
    <t>20CN0075</t>
  </si>
  <si>
    <t>20GB0127</t>
  </si>
  <si>
    <t>20CN0072</t>
  </si>
  <si>
    <t>20CN0126</t>
  </si>
  <si>
    <t>blguamot-2019</t>
  </si>
  <si>
    <t>20CN0073</t>
  </si>
  <si>
    <t>VJLN-SVP-2020-06-0600</t>
  </si>
  <si>
    <t>ITB No. GOP/19-DSWD-059-A</t>
  </si>
  <si>
    <t>20O00059</t>
  </si>
  <si>
    <t>11128</t>
  </si>
  <si>
    <t>MG-A7T20-055</t>
  </si>
  <si>
    <t>BCS-2020-0135</t>
  </si>
  <si>
    <t>06-00723</t>
  </si>
  <si>
    <t>20CN0074</t>
  </si>
  <si>
    <t>20DN0141</t>
  </si>
  <si>
    <t>20DN0137</t>
  </si>
  <si>
    <t>20DN0140</t>
  </si>
  <si>
    <t>20DN0173</t>
  </si>
  <si>
    <t>20DN0170</t>
  </si>
  <si>
    <t>20DN0130</t>
  </si>
  <si>
    <t>20DN0174</t>
  </si>
  <si>
    <t>20DN0131</t>
  </si>
  <si>
    <t>S1AFL20006</t>
  </si>
  <si>
    <t>20DN0144</t>
  </si>
  <si>
    <t>EMBR02-PB-CONSULTINGSERVICES- EMED052020-140</t>
  </si>
  <si>
    <t>20DN0149</t>
  </si>
  <si>
    <t>20DN0139</t>
  </si>
  <si>
    <t>20DN0150</t>
  </si>
  <si>
    <t>ITB-GS-20200323-01</t>
  </si>
  <si>
    <t>20DN0138</t>
  </si>
  <si>
    <t>AMP SVP 20-06-0262A</t>
  </si>
  <si>
    <t>27619-001 to 27619-003</t>
  </si>
  <si>
    <t>AMP SVP 20-06-0278A</t>
  </si>
  <si>
    <t>27611-001</t>
  </si>
  <si>
    <t>27608-001</t>
  </si>
  <si>
    <t>20NC0125</t>
  </si>
  <si>
    <t>wpu-2020-007</t>
  </si>
  <si>
    <t>20NC0124</t>
  </si>
  <si>
    <t>SBMA-BAC-GOODS-ITB-09-20</t>
  </si>
  <si>
    <t>27388-001</t>
  </si>
  <si>
    <t>MG-A7C20-020</t>
  </si>
  <si>
    <t>MG-A7M20-069</t>
  </si>
  <si>
    <t>ITB-GS-20200313-01</t>
  </si>
  <si>
    <t>20-DO-0079</t>
  </si>
  <si>
    <t>20C00036</t>
  </si>
  <si>
    <t>C-2020-01</t>
  </si>
  <si>
    <t>20KA0139</t>
  </si>
  <si>
    <t>20KA0138</t>
  </si>
  <si>
    <t>20KA0135</t>
  </si>
  <si>
    <t>20KA0140</t>
  </si>
  <si>
    <t>MG-A7O20-007</t>
  </si>
  <si>
    <t>AMP SVP 20-05-0264A</t>
  </si>
  <si>
    <t>ITB-GS-20190703-01(2)</t>
  </si>
  <si>
    <t>20KA0141</t>
  </si>
  <si>
    <t>20KA0137</t>
  </si>
  <si>
    <t>ITB-GS-20200305-03</t>
  </si>
  <si>
    <t>ITB 2020-INFRA-006</t>
  </si>
  <si>
    <t>TAL-06-03-2020</t>
  </si>
  <si>
    <t>ITB 2020-INFRA-003</t>
  </si>
  <si>
    <t>ITB 2020-INFRA-005</t>
  </si>
  <si>
    <t>20KA0136</t>
  </si>
  <si>
    <t>ITB 2020-INFRA-004</t>
  </si>
  <si>
    <t>BFAR5BAC-2020-036</t>
  </si>
  <si>
    <t>20GB0123</t>
  </si>
  <si>
    <t>ITB 2020-INFRA-001</t>
  </si>
  <si>
    <t>2020-05-06a</t>
  </si>
  <si>
    <t>ISS 2020-008-IT</t>
  </si>
  <si>
    <t>ITB 2020-INFRA-002</t>
  </si>
  <si>
    <t>MPG-B1-2020-230 Rebid</t>
  </si>
  <si>
    <t>MG-A7T20-023</t>
  </si>
  <si>
    <t>PB 20-16</t>
  </si>
  <si>
    <t>ITB No. PB20-01-007ANGa-03</t>
  </si>
  <si>
    <t>PB 20-15</t>
  </si>
  <si>
    <t>MPG-B1-2020-415</t>
  </si>
  <si>
    <t>20-03-016</t>
  </si>
  <si>
    <t>MPG-B1-2020-250</t>
  </si>
  <si>
    <t>MPG-B1-2019-416</t>
  </si>
  <si>
    <t>MPG-B1-2020-045</t>
  </si>
  <si>
    <t>20-03-011</t>
  </si>
  <si>
    <t>20B00028</t>
  </si>
  <si>
    <t>MPG-B2-2020-310 Nego</t>
  </si>
  <si>
    <t>20-03-019</t>
  </si>
  <si>
    <t>MPG-B1-2020-231 Rebid</t>
  </si>
  <si>
    <t>001-01-2020</t>
  </si>
  <si>
    <t>20C00042</t>
  </si>
  <si>
    <t>ITB-GS-20200212-01</t>
  </si>
  <si>
    <t>BFAR5BAC-2020-077</t>
  </si>
  <si>
    <t>05052020-02</t>
  </si>
  <si>
    <t>2020-0214</t>
  </si>
  <si>
    <t>MPG-B1-2020-002</t>
  </si>
  <si>
    <t>BFAR5BAC-2020-081</t>
  </si>
  <si>
    <t>20CI0087</t>
  </si>
  <si>
    <t>MG-A7A20-005</t>
  </si>
  <si>
    <t>S1-BMD20-004</t>
  </si>
  <si>
    <t>20BF0054</t>
  </si>
  <si>
    <t>20BF0053</t>
  </si>
  <si>
    <t>19Z00042</t>
  </si>
  <si>
    <t>20KA0142</t>
  </si>
  <si>
    <t>MG-A7C20-023</t>
  </si>
  <si>
    <t>19Z00043</t>
  </si>
  <si>
    <t>BAC-PROP-2020-05</t>
  </si>
  <si>
    <t>ITB 2020-INFRA-007</t>
  </si>
  <si>
    <t>BFP BAC IB No. 001 (I) s. 2020</t>
  </si>
  <si>
    <t>20CN0071</t>
  </si>
  <si>
    <t>20BF0052</t>
  </si>
  <si>
    <t>20CN0070</t>
  </si>
  <si>
    <t>20CN0067</t>
  </si>
  <si>
    <t>20CN0066</t>
  </si>
  <si>
    <t>20CN0068</t>
  </si>
  <si>
    <t>20CN0069</t>
  </si>
  <si>
    <t>BFP BAC IB No. 002 (G) s. 2020</t>
  </si>
  <si>
    <t>ITB-GS-20191202-01</t>
  </si>
  <si>
    <t>20-VI-09</t>
  </si>
  <si>
    <t>S1-OCS20-020</t>
  </si>
  <si>
    <t>20-VI-07</t>
  </si>
  <si>
    <t>Construction of Academic and Office Building Phase</t>
  </si>
  <si>
    <t>20LB0311</t>
  </si>
  <si>
    <t>20CI0094</t>
  </si>
  <si>
    <t>CSC-ITB No. 2020-10  (Proc. of Primary Internet Se</t>
  </si>
  <si>
    <t>20LB0206</t>
  </si>
  <si>
    <t>UPLB-RQ-6-136-20-RES CHEMICALS &amp; CHEMICAL PRODUCTS</t>
  </si>
  <si>
    <t>chitongco 2020-01</t>
  </si>
  <si>
    <t>BAC LURO PR No. 2020-071</t>
  </si>
  <si>
    <t xml:space="preserve">GPG-B1-2020-309-REBID-CONSULTING SERVICES FOR THE </t>
  </si>
  <si>
    <t>20FA0061</t>
  </si>
  <si>
    <t>19CSK00057</t>
  </si>
  <si>
    <t>BAC LURO PR No. 2020-072</t>
  </si>
  <si>
    <t>20CK0088</t>
  </si>
  <si>
    <t>MG-A7T20-021</t>
  </si>
  <si>
    <t>BAC LURO PR No. 2020-074</t>
  </si>
  <si>
    <t>ITB NO. OCD 2020-11</t>
  </si>
  <si>
    <t>ITB No. PB20-03-002DAV</t>
  </si>
  <si>
    <t>ASD-B1-2020-316 Nego</t>
  </si>
  <si>
    <t>20OE0091</t>
  </si>
  <si>
    <t>TAS-20-03-068</t>
  </si>
  <si>
    <t>20FA0050</t>
  </si>
  <si>
    <t>19CSK00047</t>
  </si>
  <si>
    <t>CDC 42-03-2020</t>
  </si>
  <si>
    <t>MPG-BI 2020-318 4th Rebid SUPPLY AND DELIVERY OF B</t>
  </si>
  <si>
    <t>063</t>
  </si>
  <si>
    <t>IB-2020-078</t>
  </si>
  <si>
    <t>DTI PB-20-012</t>
  </si>
  <si>
    <t>ASD-B1-2020-315 2nd Rebid</t>
  </si>
  <si>
    <t>PROCUREMENT OF OTHER SUPPLIES AND MATERIALS (SUPPL</t>
  </si>
  <si>
    <t>ITB-GS-20200311-01</t>
  </si>
  <si>
    <t>20-06-0320</t>
  </si>
  <si>
    <t>GEPS 20-007</t>
  </si>
  <si>
    <t>ITB-114-2020</t>
  </si>
  <si>
    <t>ITB No. FB20-03-007COR</t>
  </si>
  <si>
    <t>ITB No. DC-20-27</t>
  </si>
  <si>
    <t>R4-ORD-ARDMS-ADM-20-07-452</t>
  </si>
  <si>
    <t>ITB No. DC-20-26</t>
  </si>
  <si>
    <t>ITB No. DC-20-23</t>
  </si>
  <si>
    <t>20C00050</t>
  </si>
  <si>
    <t>ITB-GS-20200219-01</t>
  </si>
  <si>
    <t>ITB No. DC-20-22</t>
  </si>
  <si>
    <t>IB NO. 2020-225</t>
  </si>
  <si>
    <t>Q-022-20</t>
  </si>
  <si>
    <t>2020-0321</t>
  </si>
  <si>
    <t>20FA0049</t>
  </si>
  <si>
    <t>PROJECT # 20-084</t>
  </si>
  <si>
    <t>2020-0320</t>
  </si>
  <si>
    <t>BAC-GS-2020-07-008</t>
  </si>
  <si>
    <t>ITB No. DC-20-25</t>
  </si>
  <si>
    <t>BAC-GS-2020-07-007</t>
  </si>
  <si>
    <t>BAC-GS-2020-07-006</t>
  </si>
  <si>
    <t>NTC RIV-A 2020-07-003</t>
  </si>
  <si>
    <t>PROJECT # 20-093</t>
  </si>
  <si>
    <t>CB(B)-20-021(ICWS)</t>
  </si>
  <si>
    <t>2020-0319</t>
  </si>
  <si>
    <t>100-20-06-163</t>
  </si>
  <si>
    <t>PR. NO. 2019030491</t>
  </si>
  <si>
    <t>2020060699</t>
  </si>
  <si>
    <t>029-2020</t>
  </si>
  <si>
    <t>0101-630</t>
  </si>
  <si>
    <t>2020-0323</t>
  </si>
  <si>
    <t>PEO-20-0545-B (REBID)</t>
  </si>
  <si>
    <t>100-20-06-159</t>
  </si>
  <si>
    <t>2020-G-021</t>
  </si>
  <si>
    <t>BAC No. 2020-015</t>
  </si>
  <si>
    <t>BAC 2020-018</t>
  </si>
  <si>
    <t>100-20-06-168</t>
  </si>
  <si>
    <t>SVP 2020-105</t>
  </si>
  <si>
    <t>BAC No. 2020-016</t>
  </si>
  <si>
    <t>BAC 2020-012</t>
  </si>
  <si>
    <t>GPG-B1-2020-329-2ND REBID-AERIAL LADDER TRUCK</t>
  </si>
  <si>
    <t>PB20-07-037COR</t>
  </si>
  <si>
    <t>20-DO-0067</t>
  </si>
  <si>
    <t>19CSK00048</t>
  </si>
  <si>
    <t>2020-02 Infra (Rebid 2020 BEFF Lot 6)</t>
  </si>
  <si>
    <t>PBD - 2020 - 10_HDPE Tubing</t>
  </si>
  <si>
    <t>19CSK00049</t>
  </si>
  <si>
    <t>20CJ0065</t>
  </si>
  <si>
    <t>20FC0071</t>
  </si>
  <si>
    <t>GPG-B1-2020-107-EXPLOSIVE DETECTION DOGS</t>
  </si>
  <si>
    <t>20HD0073</t>
  </si>
  <si>
    <t>MPG-B2-2020-005</t>
  </si>
  <si>
    <t>DENR-CO-2020-003 REBID</t>
  </si>
  <si>
    <t>ITB No. DC-20-24</t>
  </si>
  <si>
    <t>MPG-B1-2019-562 3rd Rebid</t>
  </si>
  <si>
    <t>20CJ0137</t>
  </si>
  <si>
    <t>20CJ0134</t>
  </si>
  <si>
    <t>PB No. 19-341-7</t>
  </si>
  <si>
    <t>20OE0173</t>
  </si>
  <si>
    <t>20OE0190</t>
  </si>
  <si>
    <t>CAT-2020-001</t>
  </si>
  <si>
    <t>20CJ0133</t>
  </si>
  <si>
    <t>BAC No. 2020-019</t>
  </si>
  <si>
    <t>20CJ0140</t>
  </si>
  <si>
    <t>BAC No. 2020-017</t>
  </si>
  <si>
    <t>2020-03-0023</t>
  </si>
  <si>
    <t>MCPD2020-RFQ01-002-G</t>
  </si>
  <si>
    <t>20FA0047</t>
  </si>
  <si>
    <t>20GO0038</t>
  </si>
  <si>
    <t>BAC19-001-004</t>
  </si>
  <si>
    <t>PB-LAP-2020-077</t>
  </si>
  <si>
    <t>CONTRACT ID: 20-07-099</t>
  </si>
  <si>
    <t>2020-014-GDS-2</t>
  </si>
  <si>
    <t>20FA0040</t>
  </si>
  <si>
    <t>20HD0074</t>
  </si>
  <si>
    <t>100-20-06-162</t>
  </si>
  <si>
    <t>20GFL0003</t>
  </si>
  <si>
    <t>PR No. 91681</t>
  </si>
  <si>
    <t>PR No. 91032</t>
  </si>
  <si>
    <t>PB-INF-004-2020</t>
  </si>
  <si>
    <t>BAC 2020-020</t>
  </si>
  <si>
    <t>20-07-077</t>
  </si>
  <si>
    <t>164-20-07-109</t>
  </si>
  <si>
    <t>MG-A7C20-006, CARBON BRUSH FOR UNITS 3, 4 &amp; 5 FOR</t>
  </si>
  <si>
    <t>UPLB-S-045-08-20, SUPPLY AND DELIVERY OF BRANDED A</t>
  </si>
  <si>
    <t>G-121-20</t>
  </si>
  <si>
    <t>MG-GPD20-004, SUPPLY/INSTALLATION OF OPERATION DIS</t>
  </si>
  <si>
    <t>FLGU-G-2020-37</t>
  </si>
  <si>
    <t xml:space="preserve">MA-A2H20-009..PAD, GENERATOR BRAKE PAD, AGUS 1 HE </t>
  </si>
  <si>
    <t>InTB-PGA7171PEO2020-CW10</t>
  </si>
  <si>
    <t>PR # 20-07-995/994/996</t>
  </si>
  <si>
    <t>1176-20-07-84</t>
  </si>
  <si>
    <t>20200626-03-G</t>
  </si>
  <si>
    <t>ITB No. 2020-LCB-PG-018</t>
  </si>
  <si>
    <t>ITB GOODS 20-07-014</t>
  </si>
  <si>
    <t>InTB-PGA7171PEO2020-CW9</t>
  </si>
  <si>
    <t>011</t>
  </si>
  <si>
    <t>GPG-B1-2020-223-IP-PBX SYSTEM</t>
  </si>
  <si>
    <t>2020 B-07.345</t>
  </si>
  <si>
    <t>GOODS-ETG-20-02-001</t>
  </si>
  <si>
    <t>BAC2020-19</t>
  </si>
  <si>
    <t>20200626-02-G</t>
  </si>
  <si>
    <t>PR No. 92588</t>
  </si>
  <si>
    <t>R4-ORD-ARDMS-ADM-20-07-449</t>
  </si>
  <si>
    <t>PB-15-2020</t>
  </si>
  <si>
    <t>INFRA 20-11-37: PACKAGE 20-37</t>
  </si>
  <si>
    <t>PR No. 91687</t>
  </si>
  <si>
    <t>ITB# 16-2020 Printing of Ballistics Certificate an</t>
  </si>
  <si>
    <t>20FA0048</t>
  </si>
  <si>
    <t>30-GOODS-CORN-2020</t>
  </si>
  <si>
    <t>2000005452</t>
  </si>
  <si>
    <t>CSU2020-07-007-HOTEL</t>
  </si>
  <si>
    <t>2019-GSIS-PB-083</t>
  </si>
  <si>
    <t>PR-2020-1293</t>
  </si>
  <si>
    <t>PCA6-2020-07-01</t>
  </si>
  <si>
    <t>ITB NO. 07-20-04</t>
  </si>
  <si>
    <t>S1-SJD20-010</t>
  </si>
  <si>
    <t>IB No. 2020-223</t>
  </si>
  <si>
    <t>IB-2020-087</t>
  </si>
  <si>
    <t>INFRA-40-2020</t>
  </si>
  <si>
    <t>ITB 2020-012</t>
  </si>
  <si>
    <t>PEO-2020-0187 PR2020-0538</t>
  </si>
  <si>
    <t>20IG0070</t>
  </si>
  <si>
    <t>072120-B4</t>
  </si>
  <si>
    <t>PR No. 2020 07 0084</t>
  </si>
  <si>
    <t>20-0201</t>
  </si>
  <si>
    <t>IB 2020-084</t>
  </si>
  <si>
    <t>INFRA-39-2020</t>
  </si>
  <si>
    <t>BAC-SBSL-MDRRMO-2020-015</t>
  </si>
  <si>
    <t>BAYLEGOOD0620063-RE-BID</t>
  </si>
  <si>
    <t>PB-G-2020-006</t>
  </si>
  <si>
    <t>PB-G-2020-007</t>
  </si>
  <si>
    <t>BCS-2020-0199</t>
  </si>
  <si>
    <t>itb 2020-37</t>
  </si>
  <si>
    <t>BAYLECON0720078</t>
  </si>
  <si>
    <t>GOODS-2020-64-2ND</t>
  </si>
  <si>
    <t>IB NO.  2020 - 066/RJP</t>
  </si>
  <si>
    <t>2020-0188-PR2020-0539</t>
  </si>
  <si>
    <t>Q-098-20</t>
  </si>
  <si>
    <t>20IJ-0087</t>
  </si>
  <si>
    <t>20P00019</t>
  </si>
  <si>
    <t>ITB-2020-JDL-014 Re-Bid</t>
  </si>
  <si>
    <t>20P00001</t>
  </si>
  <si>
    <t>20CSN017</t>
  </si>
  <si>
    <t>itb 2020-35</t>
  </si>
  <si>
    <t>DDO-20-4623</t>
  </si>
  <si>
    <t>S5-20-1489</t>
  </si>
  <si>
    <t>BAC-PGCS-044-2020</t>
  </si>
  <si>
    <t>I.B. No.2020-0037</t>
  </si>
  <si>
    <t>BGHMCPB-2020-27-001</t>
  </si>
  <si>
    <t>INFRA -41-2020</t>
  </si>
  <si>
    <t>072120-B2</t>
  </si>
  <si>
    <t>2020-06-154-E</t>
  </si>
  <si>
    <t>2020-06-289</t>
  </si>
  <si>
    <t>PB-INF-001-2020</t>
  </si>
  <si>
    <t>072120-B1</t>
  </si>
  <si>
    <t>BCS-2020-0210</t>
  </si>
  <si>
    <t>Lobong 2020-03</t>
  </si>
  <si>
    <t>7</t>
  </si>
  <si>
    <t>Pan-001</t>
  </si>
  <si>
    <t>IB NO 2020-054</t>
  </si>
  <si>
    <t>20BD0017 - RE-AD</t>
  </si>
  <si>
    <t>20200723-49</t>
  </si>
  <si>
    <t>PB GOODS 2020-06</t>
  </si>
  <si>
    <t>20074240</t>
  </si>
  <si>
    <t>GOODS#0140, ITB#0143,  PR#0456: SCG-2020</t>
  </si>
  <si>
    <t>211543</t>
  </si>
  <si>
    <t>20DL0233</t>
  </si>
  <si>
    <t>20-016</t>
  </si>
  <si>
    <t>HILONGOS 2020-221</t>
  </si>
  <si>
    <t>S2-SND20-002</t>
  </si>
  <si>
    <t>TANZA 2 2020-07-02</t>
  </si>
  <si>
    <t>20A-03-0014I</t>
  </si>
  <si>
    <t>211544</t>
  </si>
  <si>
    <t>07232020</t>
  </si>
  <si>
    <t>WOR-0028</t>
  </si>
  <si>
    <t>20DP0078</t>
  </si>
  <si>
    <t>S2-CAP20-003</t>
  </si>
  <si>
    <t>101-20-06-044</t>
  </si>
  <si>
    <t>031-2020</t>
  </si>
  <si>
    <t>20PE0090</t>
  </si>
  <si>
    <t>CB 01-2020</t>
  </si>
  <si>
    <t>S2-ANT20-003</t>
  </si>
  <si>
    <t>STLU-021-2020</t>
  </si>
  <si>
    <t>STLU-022-2020</t>
  </si>
  <si>
    <t>PCDP-2020-06-0201</t>
  </si>
  <si>
    <t>STLU-019-2020</t>
  </si>
  <si>
    <t>ID NO. GF -MAL-SDN-04-20</t>
  </si>
  <si>
    <t>20GNE0041</t>
  </si>
  <si>
    <t>200(01)20-07-422((A)</t>
  </si>
  <si>
    <t>MDRRMO-AMBULANCE-PR2020-07-149-1PB</t>
  </si>
  <si>
    <t>STLU-020-2020</t>
  </si>
  <si>
    <t>20PI0099</t>
  </si>
  <si>
    <t>STLU-018-2020</t>
  </si>
  <si>
    <t>INFRA-2020-20</t>
  </si>
  <si>
    <t>NCMH-PB-Procurement of Systems and Solution CY 202</t>
  </si>
  <si>
    <t>M-20-22</t>
  </si>
  <si>
    <t>2020-08-18-448PG</t>
  </si>
  <si>
    <t>2020-B-07-027</t>
  </si>
  <si>
    <t>2020-036 Streetlights</t>
  </si>
  <si>
    <t>20GFG0022</t>
  </si>
  <si>
    <t>100-20-07-913</t>
  </si>
  <si>
    <t>100-20-07-912</t>
  </si>
  <si>
    <t>100-20-07-910</t>
  </si>
  <si>
    <t>SF INFRA 2020-07</t>
  </si>
  <si>
    <t>100-20-06-788</t>
  </si>
  <si>
    <t>20HD0097</t>
  </si>
  <si>
    <t>IB NO. 2020-231</t>
  </si>
  <si>
    <t>2020-I-091</t>
  </si>
  <si>
    <t>20S033</t>
  </si>
  <si>
    <t>100-20-07-909</t>
  </si>
  <si>
    <t>072820-B4</t>
  </si>
  <si>
    <t>100-2020-07-852</t>
  </si>
  <si>
    <t>GOODS-2020-009</t>
  </si>
  <si>
    <t>2020-08-18-447PG</t>
  </si>
  <si>
    <t>SF INFRA 2020-06</t>
  </si>
  <si>
    <t>SRAVIS 20-07-340</t>
  </si>
  <si>
    <t>Implementing Rules and Regulations</t>
  </si>
  <si>
    <t>ADB Procurement Guidelines</t>
  </si>
  <si>
    <t>Others</t>
  </si>
  <si>
    <t>WB Procurement Guidelines</t>
  </si>
  <si>
    <t>International / Executive Agreement</t>
  </si>
  <si>
    <t>ADB Guidelines on the use of Consultants</t>
  </si>
  <si>
    <t>WB Guidelines on the use of Consultants</t>
  </si>
  <si>
    <t>Negotiated Procurement - Small Value Procurement (Sec. 53.9)</t>
  </si>
  <si>
    <t>Public Bidding</t>
  </si>
  <si>
    <t>Shopping</t>
  </si>
  <si>
    <t>Negotiated Procurement - Two Failed Biddings (Sec. 53.1)</t>
  </si>
  <si>
    <t>Shopping - Ordinary/Regular Office Supplies &amp; Equipment (Sec. 52.1.b)</t>
  </si>
  <si>
    <t>Negotiated Procurement - NGO Participation (Sec. 53.11)</t>
  </si>
  <si>
    <t>Selection based on Consultants Qualification</t>
  </si>
  <si>
    <t>National Competitive Bidding</t>
  </si>
  <si>
    <t>Limited Source Bidding (Sec. 49)</t>
  </si>
  <si>
    <t>International Competitive Bidding</t>
  </si>
  <si>
    <t>Goods</t>
  </si>
  <si>
    <t>Civil Works</t>
  </si>
  <si>
    <t>Goods - General Support Services</t>
  </si>
  <si>
    <t>Electronic Parts and Components</t>
  </si>
  <si>
    <t>Electrical Systems and Lighting Components</t>
  </si>
  <si>
    <t>Grocery Items</t>
  </si>
  <si>
    <t>Communication Equipment</t>
  </si>
  <si>
    <t>Water Service Connection Materials/Fittings</t>
  </si>
  <si>
    <t>Airconditioning and Airconditioning Systems</t>
  </si>
  <si>
    <t>Medical Supplies and Laboratory Instrument</t>
  </si>
  <si>
    <t>Educational Materials and Supplies</t>
  </si>
  <si>
    <t>Agricultural Products (Seeds, Seedlings, Plants..)</t>
  </si>
  <si>
    <t>Office Equipment Supplies and Consumables</t>
  </si>
  <si>
    <t>Medical and Dental Equipment</t>
  </si>
  <si>
    <t>Vehicle Parts and Accessories</t>
  </si>
  <si>
    <t>Services</t>
  </si>
  <si>
    <t>Printing Services</t>
  </si>
  <si>
    <t>Diagnostic and Laboratory Services</t>
  </si>
  <si>
    <t>General Repair and Maintenance Services</t>
  </si>
  <si>
    <t>Furniture</t>
  </si>
  <si>
    <t>Books, Maps and Other Publications</t>
  </si>
  <si>
    <t>Audio and Visual Equipment</t>
  </si>
  <si>
    <t>Fuels/Fuel Additives &amp; Lubricants &amp; Anti Corrosive</t>
  </si>
  <si>
    <t>Hospital / Medical Equipment</t>
  </si>
  <si>
    <t>IT Broadcasting and Telecommunications</t>
  </si>
  <si>
    <t>Navigation Equipment</t>
  </si>
  <si>
    <t>Laboratory Supplies and Equipment</t>
  </si>
  <si>
    <t>Fertilizers</t>
  </si>
  <si>
    <t>Surveying Instruments</t>
  </si>
  <si>
    <t>Kitchenware</t>
  </si>
  <si>
    <t>Agricultural Chemicals</t>
  </si>
  <si>
    <t>Environmental Health/Safety Equipment</t>
  </si>
  <si>
    <t>Hospital / Medical Equipment Services</t>
  </si>
  <si>
    <t>Furniture Parts and Accessories</t>
  </si>
  <si>
    <t>Metal Fabrication</t>
  </si>
  <si>
    <t>Agricultural Machinery and Equipment</t>
  </si>
  <si>
    <t>Garments</t>
  </si>
  <si>
    <t>Airconditioning Maintenance Services</t>
  </si>
  <si>
    <t>Industrial Machinery and Equipment</t>
  </si>
  <si>
    <t>Plastic Products</t>
  </si>
  <si>
    <t>Beverages</t>
  </si>
  <si>
    <t>Well Drilling and Construction Services</t>
  </si>
  <si>
    <t>Live Animals (Livestock, Birds, Live fish &amp; etc..)</t>
  </si>
  <si>
    <t>Chemical Detergents</t>
  </si>
  <si>
    <t>Veterinary Products and Supplies</t>
  </si>
  <si>
    <t>Public Relations Programs or Services</t>
  </si>
  <si>
    <t>Chemicals and Chemical Products</t>
  </si>
  <si>
    <t>Maritime Spare Parts</t>
  </si>
  <si>
    <t>Sporting Goods</t>
  </si>
  <si>
    <t>Transmission and Distribution Lines</t>
  </si>
  <si>
    <t>Packaging Supplies and Materials</t>
  </si>
  <si>
    <t>General Engineering Services</t>
  </si>
  <si>
    <t>Arts and Crafts Accessories and Supplies</t>
  </si>
  <si>
    <t>Ammunitions and Explosives</t>
  </si>
  <si>
    <t>Safety and Occupational Products</t>
  </si>
  <si>
    <t>Water and Waste Water Treatment Supply &amp; Disposal</t>
  </si>
  <si>
    <t>Cargo Forwarding and Hauling Services</t>
  </si>
  <si>
    <t>Transportation and Communications Services</t>
  </si>
  <si>
    <t>Personal Care Products</t>
  </si>
  <si>
    <t>Telecommunications Provider</t>
  </si>
  <si>
    <t>Surveying Services</t>
  </si>
  <si>
    <t>Signage and Accessories</t>
  </si>
  <si>
    <t>Paper Materials and Products</t>
  </si>
  <si>
    <t>Internet Services</t>
  </si>
  <si>
    <t>Tokens and Awards</t>
  </si>
  <si>
    <t>General Contractor</t>
  </si>
  <si>
    <t>Engineering and Laboratory Testing Equipment</t>
  </si>
  <si>
    <t>Investigative Equipment</t>
  </si>
  <si>
    <t>Freight Forwarder Services</t>
  </si>
  <si>
    <t>Machine Tools</t>
  </si>
  <si>
    <t>Industrial pumps and compressors</t>
  </si>
  <si>
    <t>Construction Management Services</t>
  </si>
  <si>
    <t>Financial and Insurance Services</t>
  </si>
  <si>
    <t>Janitorial Services</t>
  </si>
  <si>
    <t>Rice Milling Services</t>
  </si>
  <si>
    <t>Photographic Equipment</t>
  </si>
  <si>
    <t>Events Management</t>
  </si>
  <si>
    <t>Power Generation and Distribution Machinery</t>
  </si>
  <si>
    <t>Lease and Rental of Property or Building</t>
  </si>
  <si>
    <t>Travel, Food, Lodging and Entertainment Services</t>
  </si>
  <si>
    <t>Video Production Services</t>
  </si>
  <si>
    <t>Advertising Agency Services</t>
  </si>
  <si>
    <t>Purses, handbags and bags</t>
  </si>
  <si>
    <t>Fire Fighting &amp; Rescue and Safety Equipment</t>
  </si>
  <si>
    <t>Computer Furniture</t>
  </si>
  <si>
    <t>Corporate Giveaways</t>
  </si>
  <si>
    <t>Bedclothes, Linens and Towels</t>
  </si>
  <si>
    <t>Marine Transport</t>
  </si>
  <si>
    <t>Dairy Products</t>
  </si>
  <si>
    <t>Quartermaster Items</t>
  </si>
  <si>
    <t>Janitorial Equipment</t>
  </si>
  <si>
    <t>Pyrotechnics and Fireworks</t>
  </si>
  <si>
    <t>Packed Food Distributor</t>
  </si>
  <si>
    <t>Traffic Control Systems</t>
  </si>
  <si>
    <t>Print and Broadcast and Aerial Advertising</t>
  </si>
  <si>
    <t>Geotechnical Instrumentation</t>
  </si>
  <si>
    <t>Musical Instrument Parts and Accesories</t>
  </si>
  <si>
    <t>Lifting equipment and accessories</t>
  </si>
  <si>
    <t>Aviation Products</t>
  </si>
  <si>
    <t>Oil/Heat Chemical Resistant Rubber</t>
  </si>
  <si>
    <t>Hydrological Instruments</t>
  </si>
  <si>
    <t>Waste Management and Recycling</t>
  </si>
  <si>
    <t>Education and Training Services</t>
  </si>
  <si>
    <t>Radiological/Diagnostic Equipment</t>
  </si>
  <si>
    <t>Newspapers</t>
  </si>
  <si>
    <t>Pest Control Services</t>
  </si>
  <si>
    <t>Sub-station Contractors</t>
  </si>
  <si>
    <t>Architectural Design</t>
  </si>
  <si>
    <t>Landscaping Services</t>
  </si>
  <si>
    <t>Telecommunications Engineering</t>
  </si>
  <si>
    <t>Pest Control Products</t>
  </si>
  <si>
    <t>Meteorological Equipments and Instruments</t>
  </si>
  <si>
    <t>Industrial Safety Equipment</t>
  </si>
  <si>
    <t>Guns and Weapons</t>
  </si>
  <si>
    <t>Real Estate Developement and Maintenance</t>
  </si>
  <si>
    <t>Musical Instruments</t>
  </si>
  <si>
    <t>Ordnance Products</t>
  </si>
  <si>
    <t>Photographic Parts, Supplies and Accessories</t>
  </si>
  <si>
    <t>Mail and Cargo Transport Services</t>
  </si>
  <si>
    <t>Laundry Services</t>
  </si>
  <si>
    <t>Timepieces and Jewelry and Gemstone Products</t>
  </si>
  <si>
    <t>Gaming Equipment and Paraphernalia</t>
  </si>
  <si>
    <t>Structured Cabling</t>
  </si>
  <si>
    <t>Market Research Services</t>
  </si>
  <si>
    <t>Systems Integration</t>
  </si>
  <si>
    <t>Photography Services</t>
  </si>
  <si>
    <t>590,850.24</t>
  </si>
  <si>
    <t>774,911.30</t>
  </si>
  <si>
    <t>80,000.00</t>
  </si>
  <si>
    <t>973,003.68</t>
  </si>
  <si>
    <t>500,000.00</t>
  </si>
  <si>
    <t>140,000.00</t>
  </si>
  <si>
    <t>100,000.00</t>
  </si>
  <si>
    <t>126,720.00</t>
  </si>
  <si>
    <t>296,714.20</t>
  </si>
  <si>
    <t>150,000.00</t>
  </si>
  <si>
    <t>483,208.12</t>
  </si>
  <si>
    <t>250,000.00</t>
  </si>
  <si>
    <t>297,714.81</t>
  </si>
  <si>
    <t>370,859.24</t>
  </si>
  <si>
    <t>93,906.16</t>
  </si>
  <si>
    <t>263,244.72</t>
  </si>
  <si>
    <t>63,772.95</t>
  </si>
  <si>
    <t>550,625.00</t>
  </si>
  <si>
    <t>799,685.00</t>
  </si>
  <si>
    <t>299,885.00</t>
  </si>
  <si>
    <t>466,175.00</t>
  </si>
  <si>
    <t>232,384.10</t>
  </si>
  <si>
    <t>91,942,758.00</t>
  </si>
  <si>
    <t>197,714.81</t>
  </si>
  <si>
    <t>148,955.00</t>
  </si>
  <si>
    <t>299,975.00</t>
  </si>
  <si>
    <t>417,525.00</t>
  </si>
  <si>
    <t>495,429.62</t>
  </si>
  <si>
    <t>296,191.35</t>
  </si>
  <si>
    <t>287,812.32</t>
  </si>
  <si>
    <t>179,216.00</t>
  </si>
  <si>
    <t>199,238.27</t>
  </si>
  <si>
    <t>190,097.51</t>
  </si>
  <si>
    <t>70,000.00</t>
  </si>
  <si>
    <t>461,530.00</t>
  </si>
  <si>
    <t>266,203.00</t>
  </si>
  <si>
    <t>209,864.50</t>
  </si>
  <si>
    <t>370,000.00</t>
  </si>
  <si>
    <t>650,000.00</t>
  </si>
  <si>
    <t>620,289.80</t>
  </si>
  <si>
    <t>310,000.00</t>
  </si>
  <si>
    <t>305,000.00</t>
  </si>
  <si>
    <t>1,200,000.00</t>
  </si>
  <si>
    <t>800,000.00</t>
  </si>
  <si>
    <t>160,000.00</t>
  </si>
  <si>
    <t>199,000.00</t>
  </si>
  <si>
    <t>99,629.03</t>
  </si>
  <si>
    <t>52,940.00</t>
  </si>
  <si>
    <t>279,878.00</t>
  </si>
  <si>
    <t>76,000.00</t>
  </si>
  <si>
    <t>1,400,000.00</t>
  </si>
  <si>
    <t>85,000.00</t>
  </si>
  <si>
    <t>135,000.00</t>
  </si>
  <si>
    <t>140,250.00</t>
  </si>
  <si>
    <t>157,332.50</t>
  </si>
  <si>
    <t>56,000.00</t>
  </si>
  <si>
    <t>220,116.60</t>
  </si>
  <si>
    <t>180,000.00</t>
  </si>
  <si>
    <t>2,500,000.00</t>
  </si>
  <si>
    <t>467,315.94</t>
  </si>
  <si>
    <t>65,995.82</t>
  </si>
  <si>
    <t>90,750.00</t>
  </si>
  <si>
    <t>299,824.39</t>
  </si>
  <si>
    <t>1,135,694.00</t>
  </si>
  <si>
    <t>552,000.00</t>
  </si>
  <si>
    <t>290,000.00</t>
  </si>
  <si>
    <t>130,000.00</t>
  </si>
  <si>
    <t>60,000.00</t>
  </si>
  <si>
    <t>65,681.55</t>
  </si>
  <si>
    <t>125,326.84</t>
  </si>
  <si>
    <t>300,000.00</t>
  </si>
  <si>
    <t>297,000.00</t>
  </si>
  <si>
    <t>1,700,000.00</t>
  </si>
  <si>
    <t>11,939,801.35</t>
  </si>
  <si>
    <t>695,652.50</t>
  </si>
  <si>
    <t>120,732.15</t>
  </si>
  <si>
    <t>196,649.00</t>
  </si>
  <si>
    <t>87,228.63</t>
  </si>
  <si>
    <t>51,732.00</t>
  </si>
  <si>
    <t>459,000.00</t>
  </si>
  <si>
    <t>853,295.23</t>
  </si>
  <si>
    <t>1,100,000.00</t>
  </si>
  <si>
    <t>540,120.00</t>
  </si>
  <si>
    <t>780,000.00</t>
  </si>
  <si>
    <t>151,199.04</t>
  </si>
  <si>
    <t>969,892.88</t>
  </si>
  <si>
    <t>969,935.02</t>
  </si>
  <si>
    <t>137,626.70</t>
  </si>
  <si>
    <t>268,279.13</t>
  </si>
  <si>
    <t>117,982.08</t>
  </si>
  <si>
    <t>68,100.00</t>
  </si>
  <si>
    <t>121,800.00</t>
  </si>
  <si>
    <t>4,000,000.00</t>
  </si>
  <si>
    <t>240,000.00</t>
  </si>
  <si>
    <t>271,325.00</t>
  </si>
  <si>
    <t>31,468.60</t>
  </si>
  <si>
    <t>1,671,855.00</t>
  </si>
  <si>
    <t>564,100.00</t>
  </si>
  <si>
    <t>400,000.00</t>
  </si>
  <si>
    <t>47,000.00</t>
  </si>
  <si>
    <t>126,738.00</t>
  </si>
  <si>
    <t>389,996.40</t>
  </si>
  <si>
    <t>986,400.00</t>
  </si>
  <si>
    <t>55,000.00</t>
  </si>
  <si>
    <t>600,000.00</t>
  </si>
  <si>
    <t>682,000.00</t>
  </si>
  <si>
    <t>830,000.00</t>
  </si>
  <si>
    <t>1,900,000.00</t>
  </si>
  <si>
    <t>61,484.20</t>
  </si>
  <si>
    <t>2,000,000.00</t>
  </si>
  <si>
    <t>199,500.00</t>
  </si>
  <si>
    <t>7,800.00</t>
  </si>
  <si>
    <t>5,000.00</t>
  </si>
  <si>
    <t>200,000.00</t>
  </si>
  <si>
    <t>99,400.00</t>
  </si>
  <si>
    <t>141,980.00</t>
  </si>
  <si>
    <t>120,000.00</t>
  </si>
  <si>
    <t>141,466.00</t>
  </si>
  <si>
    <t>600,530.00</t>
  </si>
  <si>
    <t>83,050.00</t>
  </si>
  <si>
    <t>182,564.00</t>
  </si>
  <si>
    <t>159,000.00</t>
  </si>
  <si>
    <t>2,646,621.00</t>
  </si>
  <si>
    <t>685,000.00</t>
  </si>
  <si>
    <t>105,000.00</t>
  </si>
  <si>
    <t>2,297,700.00</t>
  </si>
  <si>
    <t>14,000.00</t>
  </si>
  <si>
    <t>94,300.00</t>
  </si>
  <si>
    <t>407,580.00</t>
  </si>
  <si>
    <t>64,480.00</t>
  </si>
  <si>
    <t>19,241.48</t>
  </si>
  <si>
    <t>85,565.00</t>
  </si>
  <si>
    <t>4,700,000.00</t>
  </si>
  <si>
    <t>419,972.00</t>
  </si>
  <si>
    <t>1,600,000.00</t>
  </si>
  <si>
    <t>283,442.40</t>
  </si>
  <si>
    <t>265,350.00</t>
  </si>
  <si>
    <t>3,000,000.00</t>
  </si>
  <si>
    <t>68,900.00</t>
  </si>
  <si>
    <t>4,395.60</t>
  </si>
  <si>
    <t>100,092.00</t>
  </si>
  <si>
    <t>163,420.00</t>
  </si>
  <si>
    <t>264,850.00</t>
  </si>
  <si>
    <t>1,054,409.00</t>
  </si>
  <si>
    <t>1,000,000.00</t>
  </si>
  <si>
    <t>66,000.00</t>
  </si>
  <si>
    <t>9,051.03</t>
  </si>
  <si>
    <t>564,400.00</t>
  </si>
  <si>
    <t>16,800.00</t>
  </si>
  <si>
    <t>147,200.00</t>
  </si>
  <si>
    <t>264,075.00</t>
  </si>
  <si>
    <t>568,780.00</t>
  </si>
  <si>
    <t>5,509,207.60</t>
  </si>
  <si>
    <t>61,200.00</t>
  </si>
  <si>
    <t>6,564,793.00</t>
  </si>
  <si>
    <t>1,545.00</t>
  </si>
  <si>
    <t>1,499,381.61</t>
  </si>
  <si>
    <t>499,950.00</t>
  </si>
  <si>
    <t>111,000.00</t>
  </si>
  <si>
    <t>50,000.00</t>
  </si>
  <si>
    <t>883,804.42</t>
  </si>
  <si>
    <t>38,400.00</t>
  </si>
  <si>
    <t>1,008,000.00</t>
  </si>
  <si>
    <t>49,500.00</t>
  </si>
  <si>
    <t>37,968.00</t>
  </si>
  <si>
    <t>186,000.00</t>
  </si>
  <si>
    <t>220,000.00</t>
  </si>
  <si>
    <t>818,000.00</t>
  </si>
  <si>
    <t>46,332.00</t>
  </si>
  <si>
    <t>78,000.00</t>
  </si>
  <si>
    <t>99,000.00</t>
  </si>
  <si>
    <t>67,900.00</t>
  </si>
  <si>
    <t>131,075.32</t>
  </si>
  <si>
    <t>376,558.64</t>
  </si>
  <si>
    <t>58,000.00</t>
  </si>
  <si>
    <t>393,668.10</t>
  </si>
  <si>
    <t>147,997.60</t>
  </si>
  <si>
    <t>998,039.46</t>
  </si>
  <si>
    <t>51,900.00</t>
  </si>
  <si>
    <t>598,816.00</t>
  </si>
  <si>
    <t>60,710.00</t>
  </si>
  <si>
    <t>600,060.00</t>
  </si>
  <si>
    <t>315,000.00</t>
  </si>
  <si>
    <t>599,916.00</t>
  </si>
  <si>
    <t>1,687,476.00</t>
  </si>
  <si>
    <t>30,950.00</t>
  </si>
  <si>
    <t>9,700.00</t>
  </si>
  <si>
    <t>114,060.00</t>
  </si>
  <si>
    <t>75,000.00</t>
  </si>
  <si>
    <t>79,256.60</t>
  </si>
  <si>
    <t>163,200.00</t>
  </si>
  <si>
    <t>358,050.00</t>
  </si>
  <si>
    <t>202,059.00</t>
  </si>
  <si>
    <t>274,000.00</t>
  </si>
  <si>
    <t>66,425.09</t>
  </si>
  <si>
    <t>296,400.00</t>
  </si>
  <si>
    <t>1,709,880.00</t>
  </si>
  <si>
    <t>162,918.00</t>
  </si>
  <si>
    <t>841,650.00</t>
  </si>
  <si>
    <t>58,996.00</t>
  </si>
  <si>
    <t>38,450.00</t>
  </si>
  <si>
    <t>20,000.00</t>
  </si>
  <si>
    <t>231,400.00</t>
  </si>
  <si>
    <t>1,610,000.00</t>
  </si>
  <si>
    <t>110,000.00</t>
  </si>
  <si>
    <t>171,000.00</t>
  </si>
  <si>
    <t>520,715.00</t>
  </si>
  <si>
    <t>249,835.81</t>
  </si>
  <si>
    <t>99,557.00</t>
  </si>
  <si>
    <t>10,590.00</t>
  </si>
  <si>
    <t>190,000.00</t>
  </si>
  <si>
    <t>11,080.00</t>
  </si>
  <si>
    <t>357,201.40</t>
  </si>
  <si>
    <t>945,360.70</t>
  </si>
  <si>
    <t>971,119.70</t>
  </si>
  <si>
    <t>25,534,500.00</t>
  </si>
  <si>
    <t>236,640.00</t>
  </si>
  <si>
    <t>4,290.00</t>
  </si>
  <si>
    <t>389,727.60</t>
  </si>
  <si>
    <t>900,000.00</t>
  </si>
  <si>
    <t>28,600.00</t>
  </si>
  <si>
    <t>1,648,307.43</t>
  </si>
  <si>
    <t>125,244.99</t>
  </si>
  <si>
    <t>603,000.00</t>
  </si>
  <si>
    <t>63,000.00</t>
  </si>
  <si>
    <t>226,425.00</t>
  </si>
  <si>
    <t>149,354.00</t>
  </si>
  <si>
    <t>78,579.00</t>
  </si>
  <si>
    <t>1,300.00</t>
  </si>
  <si>
    <t>293,000.00</t>
  </si>
  <si>
    <t>8,670.00</t>
  </si>
  <si>
    <t>1,364,800.00</t>
  </si>
  <si>
    <t>72,750.00</t>
  </si>
  <si>
    <t>198,000.00</t>
  </si>
  <si>
    <t>237,000.00</t>
  </si>
  <si>
    <t>72,400.00</t>
  </si>
  <si>
    <t>8,050.00</t>
  </si>
  <si>
    <t>42,570.00</t>
  </si>
  <si>
    <t>625,625.00</t>
  </si>
  <si>
    <t>136,561.00</t>
  </si>
  <si>
    <t>37,352.00</t>
  </si>
  <si>
    <t>226,500.00</t>
  </si>
  <si>
    <t>50,775.00</t>
  </si>
  <si>
    <t>223,905.00</t>
  </si>
  <si>
    <t>124,000.00</t>
  </si>
  <si>
    <t>3,550.00</t>
  </si>
  <si>
    <t>162,000.00</t>
  </si>
  <si>
    <t>99,610.00</t>
  </si>
  <si>
    <t>500,557.60</t>
  </si>
  <si>
    <t>53,000.00</t>
  </si>
  <si>
    <t>560,800.00</t>
  </si>
  <si>
    <t>133,500.00</t>
  </si>
  <si>
    <t>54,000.00</t>
  </si>
  <si>
    <t>205,000.00</t>
  </si>
  <si>
    <t>39,900.00</t>
  </si>
  <si>
    <t>320,490.00</t>
  </si>
  <si>
    <t>2,655,167.60</t>
  </si>
  <si>
    <t>34,000.00</t>
  </si>
  <si>
    <t>49,000.00</t>
  </si>
  <si>
    <t>70,205.00</t>
  </si>
  <si>
    <t>44,900.00</t>
  </si>
  <si>
    <t>76,195.15</t>
  </si>
  <si>
    <t>2,150,000.00</t>
  </si>
  <si>
    <t>2,536,619.40</t>
  </si>
  <si>
    <t>56,100.00</t>
  </si>
  <si>
    <t>1,510,000.00</t>
  </si>
  <si>
    <t>255,089.56</t>
  </si>
  <si>
    <t>450,000.00</t>
  </si>
  <si>
    <t>228,400.00</t>
  </si>
  <si>
    <t>262,500.00</t>
  </si>
  <si>
    <t>4,380.00</t>
  </si>
  <si>
    <t>28,800.00</t>
  </si>
  <si>
    <t>390,000.00</t>
  </si>
  <si>
    <t>125,500.00</t>
  </si>
  <si>
    <t>272,625.00</t>
  </si>
  <si>
    <t>999,000.00</t>
  </si>
  <si>
    <t>327,040.00</t>
  </si>
  <si>
    <t>693,200.00</t>
  </si>
  <si>
    <t>1,047,700.00</t>
  </si>
  <si>
    <t>51,930.00</t>
  </si>
  <si>
    <t>61,000.00</t>
  </si>
  <si>
    <t>193,705.00</t>
  </si>
  <si>
    <t>79,999.98</t>
  </si>
  <si>
    <t>1,500,000.00</t>
  </si>
  <si>
    <t>73,500.00</t>
  </si>
  <si>
    <t>277,645.00</t>
  </si>
  <si>
    <t>227,963.00</t>
  </si>
  <si>
    <t>73,000.00</t>
  </si>
  <si>
    <t>87,750.00</t>
  </si>
  <si>
    <t>176,793.37</t>
  </si>
  <si>
    <t>376,060.00</t>
  </si>
  <si>
    <t>64,300.00</t>
  </si>
  <si>
    <t>83,975.00</t>
  </si>
  <si>
    <t>7,797.00</t>
  </si>
  <si>
    <t>25,000.00</t>
  </si>
  <si>
    <t>136,700.00</t>
  </si>
  <si>
    <t>14,506.00</t>
  </si>
  <si>
    <t>127,130.00</t>
  </si>
  <si>
    <t>122,301.38</t>
  </si>
  <si>
    <t>111,600.00</t>
  </si>
  <si>
    <t>112,565.00</t>
  </si>
  <si>
    <t>563,000.00</t>
  </si>
  <si>
    <t>286,729.80</t>
  </si>
  <si>
    <t>3,030.00</t>
  </si>
  <si>
    <t>11,000.00</t>
  </si>
  <si>
    <t>350,000.00</t>
  </si>
  <si>
    <t>51,505.00</t>
  </si>
  <si>
    <t>760,000.00</t>
  </si>
  <si>
    <t>239,937.05</t>
  </si>
  <si>
    <t>192,000.00</t>
  </si>
  <si>
    <t>365,000.00</t>
  </si>
  <si>
    <t>1,938,420.00</t>
  </si>
  <si>
    <t>58,900.00</t>
  </si>
  <si>
    <t>196,395.00</t>
  </si>
  <si>
    <t>6,500,000.00</t>
  </si>
  <si>
    <t>183,120.00</t>
  </si>
  <si>
    <t>163,320.00</t>
  </si>
  <si>
    <t>270,000.00</t>
  </si>
  <si>
    <t>30,000.00</t>
  </si>
  <si>
    <t>406,753.85</t>
  </si>
  <si>
    <t>132,900.00</t>
  </si>
  <si>
    <t>143,445.00</t>
  </si>
  <si>
    <t>138,000.00</t>
  </si>
  <si>
    <t>2,800,000.00</t>
  </si>
  <si>
    <t>93,400.00</t>
  </si>
  <si>
    <t>179,580.00</t>
  </si>
  <si>
    <t>772,200.00</t>
  </si>
  <si>
    <t>12,640,297.18</t>
  </si>
  <si>
    <t>369,574.15</t>
  </si>
  <si>
    <t>675,000.00</t>
  </si>
  <si>
    <t>110,625.00</t>
  </si>
  <si>
    <t>50,750.00</t>
  </si>
  <si>
    <t>403,828.00</t>
  </si>
  <si>
    <t>206,000.00</t>
  </si>
  <si>
    <t>204,900.00</t>
  </si>
  <si>
    <t>346,000.00</t>
  </si>
  <si>
    <t>194,000.00</t>
  </si>
  <si>
    <t>155,000.00</t>
  </si>
  <si>
    <t>1,187,012.79</t>
  </si>
  <si>
    <t>195,000.00</t>
  </si>
  <si>
    <t>508,079.57</t>
  </si>
  <si>
    <t>495,000.00</t>
  </si>
  <si>
    <t>213,500.00</t>
  </si>
  <si>
    <t>69,620.00</t>
  </si>
  <si>
    <t>780,270.00</t>
  </si>
  <si>
    <t>159,952.41</t>
  </si>
  <si>
    <t>53,644.70</t>
  </si>
  <si>
    <t>13,770.00</t>
  </si>
  <si>
    <t>5,835,603.83</t>
  </si>
  <si>
    <t>115,116.07</t>
  </si>
  <si>
    <t>283,000.00</t>
  </si>
  <si>
    <t>151,241.00</t>
  </si>
  <si>
    <t>1,650,607.00</t>
  </si>
  <si>
    <t>123,587.10</t>
  </si>
  <si>
    <t>227,400.00</t>
  </si>
  <si>
    <t>144,830.32</t>
  </si>
  <si>
    <t>62,997.00</t>
  </si>
  <si>
    <t>13,920.00</t>
  </si>
  <si>
    <t>1,540,494.04</t>
  </si>
  <si>
    <t>74,351.52</t>
  </si>
  <si>
    <t>98,000.00</t>
  </si>
  <si>
    <t>106,953.00</t>
  </si>
  <si>
    <t>299,700.00</t>
  </si>
  <si>
    <t>191,000.00</t>
  </si>
  <si>
    <t>170,000.00</t>
  </si>
  <si>
    <t>25,000,000.00</t>
  </si>
  <si>
    <t>87,350.00</t>
  </si>
  <si>
    <t>145,068.59</t>
  </si>
  <si>
    <t>16,355.04</t>
  </si>
  <si>
    <t>100,902.14</t>
  </si>
  <si>
    <t>111,862.79</t>
  </si>
  <si>
    <t>202,500.00</t>
  </si>
  <si>
    <t>410,130.00</t>
  </si>
  <si>
    <t>147,585.00</t>
  </si>
  <si>
    <t>473,000.00</t>
  </si>
  <si>
    <t>151,226.50</t>
  </si>
  <si>
    <t>4,999,923.15</t>
  </si>
  <si>
    <t>390,750.00</t>
  </si>
  <si>
    <t>210,174.00</t>
  </si>
  <si>
    <t>123,500.00</t>
  </si>
  <si>
    <t>278,588.97</t>
  </si>
  <si>
    <t>275,018.93</t>
  </si>
  <si>
    <t>197,928.00</t>
  </si>
  <si>
    <t>229,920.00</t>
  </si>
  <si>
    <t>169,720.00</t>
  </si>
  <si>
    <t>122,008.00</t>
  </si>
  <si>
    <t>124,350.00</t>
  </si>
  <si>
    <t>126,845.00</t>
  </si>
  <si>
    <t>79,850.00</t>
  </si>
  <si>
    <t>151,597.00</t>
  </si>
  <si>
    <t>90,000.00</t>
  </si>
  <si>
    <t>156,480.00</t>
  </si>
  <si>
    <t>4,000.00</t>
  </si>
  <si>
    <t>417,500.00</t>
  </si>
  <si>
    <t>4,830.00</t>
  </si>
  <si>
    <t>75,850.00</t>
  </si>
  <si>
    <t>62,300.00</t>
  </si>
  <si>
    <t>71,295.00</t>
  </si>
  <si>
    <t>26,000.00</t>
  </si>
  <si>
    <t>117,097.00</t>
  </si>
  <si>
    <t>360,224.00</t>
  </si>
  <si>
    <t>800,250.00</t>
  </si>
  <si>
    <t>426,000.00</t>
  </si>
  <si>
    <t>222,840.00</t>
  </si>
  <si>
    <t>137,500.00</t>
  </si>
  <si>
    <t>102,800.00</t>
  </si>
  <si>
    <t>480,000.00</t>
  </si>
  <si>
    <t>479,976.00</t>
  </si>
  <si>
    <t>97,585.76</t>
  </si>
  <si>
    <t>62,100.00</t>
  </si>
  <si>
    <t>84,000.00</t>
  </si>
  <si>
    <t>10,000.00</t>
  </si>
  <si>
    <t>311,500.00</t>
  </si>
  <si>
    <t>5,695,000.00</t>
  </si>
  <si>
    <t>555,000.00</t>
  </si>
  <si>
    <t>220,250.00</t>
  </si>
  <si>
    <t>65,031.00</t>
  </si>
  <si>
    <t>139,400.00</t>
  </si>
  <si>
    <t>61,940.00</t>
  </si>
  <si>
    <t>52,450.00</t>
  </si>
  <si>
    <t>477,500.00</t>
  </si>
  <si>
    <t>77,000.00</t>
  </si>
  <si>
    <t>71,110.00</t>
  </si>
  <si>
    <t>112,500.00</t>
  </si>
  <si>
    <t>906,400.00</t>
  </si>
  <si>
    <t>65,200.00</t>
  </si>
  <si>
    <t>70,322.00</t>
  </si>
  <si>
    <t>320,000.00</t>
  </si>
  <si>
    <t>88,000.00</t>
  </si>
  <si>
    <t>83,000.00</t>
  </si>
  <si>
    <t>108,400.00</t>
  </si>
  <si>
    <t>219,856.00</t>
  </si>
  <si>
    <t>399,363.20</t>
  </si>
  <si>
    <t>1,254,925.00</t>
  </si>
  <si>
    <t>301,200.00</t>
  </si>
  <si>
    <t>95,300.00</t>
  </si>
  <si>
    <t>237,277.00</t>
  </si>
  <si>
    <t>496,000.00</t>
  </si>
  <si>
    <t>8,080.00</t>
  </si>
  <si>
    <t>118,711.00</t>
  </si>
  <si>
    <t>192,980.00</t>
  </si>
  <si>
    <t>123,000.00</t>
  </si>
  <si>
    <t>275,000.00</t>
  </si>
  <si>
    <t>51,805.00</t>
  </si>
  <si>
    <t>923,480.00</t>
  </si>
  <si>
    <t>499,998.00</t>
  </si>
  <si>
    <t>50,366.86</t>
  </si>
  <si>
    <t>286,000.00</t>
  </si>
  <si>
    <t>81,000.00</t>
  </si>
  <si>
    <t>999,750.00</t>
  </si>
  <si>
    <t>125,000.00</t>
  </si>
  <si>
    <t>164,200.00</t>
  </si>
  <si>
    <t>1,594,100.00</t>
  </si>
  <si>
    <t>74,854.00</t>
  </si>
  <si>
    <t>520,000.00</t>
  </si>
  <si>
    <t>4,820,230.80</t>
  </si>
  <si>
    <t>95,000.00</t>
  </si>
  <si>
    <t>22,011.60</t>
  </si>
  <si>
    <t>108,300.00</t>
  </si>
  <si>
    <t>65,000.00</t>
  </si>
  <si>
    <t>73,100.00</t>
  </si>
  <si>
    <t>179,800.00</t>
  </si>
  <si>
    <t>132,628.00</t>
  </si>
  <si>
    <t>340,000.00</t>
  </si>
  <si>
    <t>144,972.20</t>
  </si>
  <si>
    <t>82,325.00</t>
  </si>
  <si>
    <t>231,540.00</t>
  </si>
  <si>
    <t>1,212,037.50</t>
  </si>
  <si>
    <t>252,260.00</t>
  </si>
  <si>
    <t>562,545.43</t>
  </si>
  <si>
    <t>241,923.00</t>
  </si>
  <si>
    <t>990,000.00</t>
  </si>
  <si>
    <t>118,740.00</t>
  </si>
  <si>
    <t>60,220.88</t>
  </si>
  <si>
    <t>11,955,820.00</t>
  </si>
  <si>
    <t>124,440.00</t>
  </si>
  <si>
    <t>103,858.00</t>
  </si>
  <si>
    <t>89,586.50</t>
  </si>
  <si>
    <t>776,147.58</t>
  </si>
  <si>
    <t>1,174,750.00</t>
  </si>
  <si>
    <t>289,364.00</t>
  </si>
  <si>
    <t>448,000.00</t>
  </si>
  <si>
    <t>501,205.02</t>
  </si>
  <si>
    <t>84,300.00</t>
  </si>
  <si>
    <t>99,960.00</t>
  </si>
  <si>
    <t>500,375.00</t>
  </si>
  <si>
    <t>37,955.15</t>
  </si>
  <si>
    <t>52,000.00</t>
  </si>
  <si>
    <t>610,300.00</t>
  </si>
  <si>
    <t>211,285.86</t>
  </si>
  <si>
    <t>99,900.00</t>
  </si>
  <si>
    <t>3,500,000.00</t>
  </si>
  <si>
    <t>270,709.37</t>
  </si>
  <si>
    <t>30,811,650.66</t>
  </si>
  <si>
    <t>330,000.00</t>
  </si>
  <si>
    <t>388,020.00</t>
  </si>
  <si>
    <t>728,200.00</t>
  </si>
  <si>
    <t>951,159.00</t>
  </si>
  <si>
    <t>11,000,000.00</t>
  </si>
  <si>
    <t>465,000.00</t>
  </si>
  <si>
    <t>3,315,878.87</t>
  </si>
  <si>
    <t>395,000.00</t>
  </si>
  <si>
    <t>91,000.00</t>
  </si>
  <si>
    <t>25,961,000.00</t>
  </si>
  <si>
    <t>968,520.00</t>
  </si>
  <si>
    <t>72,000.00</t>
  </si>
  <si>
    <t>349,500.00</t>
  </si>
  <si>
    <t>1,617,000.00</t>
  </si>
  <si>
    <t>127,655.00</t>
  </si>
  <si>
    <t>1,400,000,000.00</t>
  </si>
  <si>
    <t>265,000.00</t>
  </si>
  <si>
    <t>999,605.00</t>
  </si>
  <si>
    <t>245,000.00</t>
  </si>
  <si>
    <t>95,810.00</t>
  </si>
  <si>
    <t>188,500.00</t>
  </si>
  <si>
    <t>496,200.00</t>
  </si>
  <si>
    <t>420,000.00</t>
  </si>
  <si>
    <t>175,500.00</t>
  </si>
  <si>
    <t>143,620.00</t>
  </si>
  <si>
    <t>520,800.00</t>
  </si>
  <si>
    <t>361,200.00</t>
  </si>
  <si>
    <t>61,100.00</t>
  </si>
  <si>
    <t>284,000.00</t>
  </si>
  <si>
    <t>71,000.00</t>
  </si>
  <si>
    <t>291,501.00</t>
  </si>
  <si>
    <t>6,946,000.00</t>
  </si>
  <si>
    <t>87,000.00</t>
  </si>
  <si>
    <t>462,181.50</t>
  </si>
  <si>
    <t>249,447.00</t>
  </si>
  <si>
    <t>141,067.50</t>
  </si>
  <si>
    <t>113,400.00</t>
  </si>
  <si>
    <t>133,200.00</t>
  </si>
  <si>
    <t>140,140.00</t>
  </si>
  <si>
    <t>74,750.00</t>
  </si>
  <si>
    <t>45,000.00</t>
  </si>
  <si>
    <t>17,000.00</t>
  </si>
  <si>
    <t>126,000.00</t>
  </si>
  <si>
    <t>184,565.00</t>
  </si>
  <si>
    <t>72,830.00</t>
  </si>
  <si>
    <t>63,200.00</t>
  </si>
  <si>
    <t>292,159.66</t>
  </si>
  <si>
    <t>312,100.00</t>
  </si>
  <si>
    <t>162,103.00</t>
  </si>
  <si>
    <t>139,800.00</t>
  </si>
  <si>
    <t>2,499,440.35</t>
  </si>
  <si>
    <t>57,000.00</t>
  </si>
  <si>
    <t>291,000.00</t>
  </si>
  <si>
    <t>450,825.00</t>
  </si>
  <si>
    <t>402,335.95</t>
  </si>
  <si>
    <t>136,500.00</t>
  </si>
  <si>
    <t>3,600,000.00</t>
  </si>
  <si>
    <t>6,400,000.00</t>
  </si>
  <si>
    <t>428,730.00</t>
  </si>
  <si>
    <t>238,585.00</t>
  </si>
  <si>
    <t>5,000,000.00</t>
  </si>
  <si>
    <t>38,256,994.18</t>
  </si>
  <si>
    <t>368,800.00</t>
  </si>
  <si>
    <t>39,937,968.35</t>
  </si>
  <si>
    <t>28,682,972.77</t>
  </si>
  <si>
    <t>779,591.61</t>
  </si>
  <si>
    <t>121,690.00</t>
  </si>
  <si>
    <t>69,113,158.67</t>
  </si>
  <si>
    <t>393,923.74</t>
  </si>
  <si>
    <t>45,256.16</t>
  </si>
  <si>
    <t>365,400.00</t>
  </si>
  <si>
    <t>300,795.00</t>
  </si>
  <si>
    <t>565,700.00</t>
  </si>
  <si>
    <t>54,570.00</t>
  </si>
  <si>
    <t>59,575.00</t>
  </si>
  <si>
    <t>74,999.00</t>
  </si>
  <si>
    <t>213,145.00</t>
  </si>
  <si>
    <t>78,305.91</t>
  </si>
  <si>
    <t>57,050.00</t>
  </si>
  <si>
    <t>146,004.80</t>
  </si>
  <si>
    <t>55,786.50</t>
  </si>
  <si>
    <t>193,000.00</t>
  </si>
  <si>
    <t>2,500,593.00</t>
  </si>
  <si>
    <t>233,500.00</t>
  </si>
  <si>
    <t>1,080,000.00</t>
  </si>
  <si>
    <t>2,300,000.00</t>
  </si>
  <si>
    <t>197,205.00</t>
  </si>
  <si>
    <t>76,089.44</t>
  </si>
  <si>
    <t>8,071,500.00</t>
  </si>
  <si>
    <t>2,090,632.90</t>
  </si>
  <si>
    <t>485,000.00</t>
  </si>
  <si>
    <t>73,440.00</t>
  </si>
  <si>
    <t>111,082.27</t>
  </si>
  <si>
    <t>1,800,000.00</t>
  </si>
  <si>
    <t>119,000.00</t>
  </si>
  <si>
    <t>35,976,578.05</t>
  </si>
  <si>
    <t>110,500.00</t>
  </si>
  <si>
    <t>79,790.00</t>
  </si>
  <si>
    <t>107,650.00</t>
  </si>
  <si>
    <t>62,090.00</t>
  </si>
  <si>
    <t>15,000.00</t>
  </si>
  <si>
    <t>140,300.00</t>
  </si>
  <si>
    <t>78,500.00</t>
  </si>
  <si>
    <t>92,610.00</t>
  </si>
  <si>
    <t>732,065.00</t>
  </si>
  <si>
    <t>97,200.00</t>
  </si>
  <si>
    <t>1,044,706.25</t>
  </si>
  <si>
    <t>866,250.00</t>
  </si>
  <si>
    <t>468,950.00</t>
  </si>
  <si>
    <t>453,714.98</t>
  </si>
  <si>
    <t>35,000.00</t>
  </si>
  <si>
    <t>763,900.00</t>
  </si>
  <si>
    <t>12,944.21</t>
  </si>
  <si>
    <t>175,380.00</t>
  </si>
  <si>
    <t>165,742.20</t>
  </si>
  <si>
    <t>401,800.00</t>
  </si>
  <si>
    <t>3,573.08</t>
  </si>
  <si>
    <t>776,650.00</t>
  </si>
  <si>
    <t>264,444.00</t>
  </si>
  <si>
    <t>580,000.00</t>
  </si>
  <si>
    <t>8,200.00</t>
  </si>
  <si>
    <t>4,521,500.00</t>
  </si>
  <si>
    <t>75,437.50</t>
  </si>
  <si>
    <t>469,250.00</t>
  </si>
  <si>
    <t>60,987.00</t>
  </si>
  <si>
    <t>185,000.00</t>
  </si>
  <si>
    <t>20,100.00</t>
  </si>
  <si>
    <t>2,500.00</t>
  </si>
  <si>
    <t>69,062.50</t>
  </si>
  <si>
    <t>331,075.00</t>
  </si>
  <si>
    <t>150,615,900.00</t>
  </si>
  <si>
    <t>179,585.00</t>
  </si>
  <si>
    <t>68,000.00</t>
  </si>
  <si>
    <t>346,480.00</t>
  </si>
  <si>
    <t>68,750.00</t>
  </si>
  <si>
    <t>71,612.50</t>
  </si>
  <si>
    <t>81,088.00</t>
  </si>
  <si>
    <t>187,000.00</t>
  </si>
  <si>
    <t>51,000.00</t>
  </si>
  <si>
    <t>251,200.00</t>
  </si>
  <si>
    <t>4,641,000.00</t>
  </si>
  <si>
    <t>68,150.00</t>
  </si>
  <si>
    <t>494,500.00</t>
  </si>
  <si>
    <t>160,200.00</t>
  </si>
  <si>
    <t>159,991.00</t>
  </si>
  <si>
    <t>134,000.00</t>
  </si>
  <si>
    <t>94,945.00</t>
  </si>
  <si>
    <t>188,000.00</t>
  </si>
  <si>
    <t>84,362.50</t>
  </si>
  <si>
    <t>647,100.00</t>
  </si>
  <si>
    <t>1,847,420.00</t>
  </si>
  <si>
    <t>40,630.00</t>
  </si>
  <si>
    <t>120,412.50</t>
  </si>
  <si>
    <t>70,141.00</t>
  </si>
  <si>
    <t>128,040.00</t>
  </si>
  <si>
    <t>31,000.00</t>
  </si>
  <si>
    <t>995,000.00</t>
  </si>
  <si>
    <t>205,570.16</t>
  </si>
  <si>
    <t>550,000.00</t>
  </si>
  <si>
    <t>49,999.00</t>
  </si>
  <si>
    <t>96,184.20</t>
  </si>
  <si>
    <t>12,280.00</t>
  </si>
  <si>
    <t>8,131.20</t>
  </si>
  <si>
    <t>392,999.60</t>
  </si>
  <si>
    <t>4,640.00</t>
  </si>
  <si>
    <t>32,195.00</t>
  </si>
  <si>
    <t>595,000.00</t>
  </si>
  <si>
    <t>15,900.00</t>
  </si>
  <si>
    <t>908,000.00</t>
  </si>
  <si>
    <t>68,141.00</t>
  </si>
  <si>
    <t>107,000.00</t>
  </si>
  <si>
    <t>212,204.75</t>
  </si>
  <si>
    <t>141,000.00</t>
  </si>
  <si>
    <t>45,100.00</t>
  </si>
  <si>
    <t>229,173.10</t>
  </si>
  <si>
    <t>771,576.00</t>
  </si>
  <si>
    <t>700,000.00</t>
  </si>
  <si>
    <t>63,920.00</t>
  </si>
  <si>
    <t>185,130.00</t>
  </si>
  <si>
    <t>176,000.00</t>
  </si>
  <si>
    <t>38,578,938.14</t>
  </si>
  <si>
    <t>568,147.00</t>
  </si>
  <si>
    <t>157,580.00</t>
  </si>
  <si>
    <t>67,507.00</t>
  </si>
  <si>
    <t>149,850.00</t>
  </si>
  <si>
    <t>111,350.00</t>
  </si>
  <si>
    <t>768,460.00</t>
  </si>
  <si>
    <t>170,002.00</t>
  </si>
  <si>
    <t>1,850.00</t>
  </si>
  <si>
    <t>144,000.00</t>
  </si>
  <si>
    <t>149,997.28</t>
  </si>
  <si>
    <t>149,988.65</t>
  </si>
  <si>
    <t>52,500.00</t>
  </si>
  <si>
    <t>185,172.36</t>
  </si>
  <si>
    <t>147,980.00</t>
  </si>
  <si>
    <t>99,957.66</t>
  </si>
  <si>
    <t>8,999,637.00</t>
  </si>
  <si>
    <t>456,950.00</t>
  </si>
  <si>
    <t>5,725.00</t>
  </si>
  <si>
    <t>173,050.00</t>
  </si>
  <si>
    <t>499,989.49</t>
  </si>
  <si>
    <t>237,195.00</t>
  </si>
  <si>
    <t>192,081.20</t>
  </si>
  <si>
    <t>1,077,500.00</t>
  </si>
  <si>
    <t>784,000.00</t>
  </si>
  <si>
    <t>196,000.00</t>
  </si>
  <si>
    <t>199,200.00</t>
  </si>
  <si>
    <t>285,041.40</t>
  </si>
  <si>
    <t>934,640.00</t>
  </si>
  <si>
    <t>62,000.00</t>
  </si>
  <si>
    <t>174,209.00</t>
  </si>
  <si>
    <t>100,903.00</t>
  </si>
  <si>
    <t>224,910.00</t>
  </si>
  <si>
    <t>53,216.00</t>
  </si>
  <si>
    <t>37,398.00</t>
  </si>
  <si>
    <t>9,750.00</t>
  </si>
  <si>
    <t>70,429.00</t>
  </si>
  <si>
    <t>7,840.00</t>
  </si>
  <si>
    <t>259,100.00</t>
  </si>
  <si>
    <t>182,203.00</t>
  </si>
  <si>
    <t>1,921,440.00</t>
  </si>
  <si>
    <t>2,876,923.50</t>
  </si>
  <si>
    <t>68,290.00</t>
  </si>
  <si>
    <t>86,400.00</t>
  </si>
  <si>
    <t>225,000.00</t>
  </si>
  <si>
    <t>40,979.00</t>
  </si>
  <si>
    <t>1,473,530.00</t>
  </si>
  <si>
    <t>699,172.50</t>
  </si>
  <si>
    <t>701,055.00</t>
  </si>
  <si>
    <t>674,000.00</t>
  </si>
  <si>
    <t>281,800.00</t>
  </si>
  <si>
    <t>324,226.18</t>
  </si>
  <si>
    <t>824,370.00</t>
  </si>
  <si>
    <t>98,750.00</t>
  </si>
  <si>
    <t>3,500.00</t>
  </si>
  <si>
    <t>0.00</t>
  </si>
  <si>
    <t>20,400.00</t>
  </si>
  <si>
    <t>1,092,434.00</t>
  </si>
  <si>
    <t>260,000.00</t>
  </si>
  <si>
    <t>4,500,000.00</t>
  </si>
  <si>
    <t>116,120.00</t>
  </si>
  <si>
    <t>148,000.00</t>
  </si>
  <si>
    <t>4,339,000.00</t>
  </si>
  <si>
    <t>508,840.00</t>
  </si>
  <si>
    <t>1,599,530.00</t>
  </si>
  <si>
    <t>56,702,599.32</t>
  </si>
  <si>
    <t>74,000.00</t>
  </si>
  <si>
    <t>292,060.00</t>
  </si>
  <si>
    <t>16,913,371.44</t>
  </si>
  <si>
    <t>70,845.00</t>
  </si>
  <si>
    <t>127,725.00</t>
  </si>
  <si>
    <t>4,143,315.00</t>
  </si>
  <si>
    <t>196,524.00</t>
  </si>
  <si>
    <t>94,000.00</t>
  </si>
  <si>
    <t>214,668.00</t>
  </si>
  <si>
    <t>255,604.50</t>
  </si>
  <si>
    <t>225,750.00</t>
  </si>
  <si>
    <t>2,798,715.00</t>
  </si>
  <si>
    <t>972,493.00</t>
  </si>
  <si>
    <t>1,240,000.00</t>
  </si>
  <si>
    <t>133,820.00</t>
  </si>
  <si>
    <t>267,200.00</t>
  </si>
  <si>
    <t>2,104,952.00</t>
  </si>
  <si>
    <t>380,956.00</t>
  </si>
  <si>
    <t>124,150.00</t>
  </si>
  <si>
    <t>188,600.00</t>
  </si>
  <si>
    <t>127,550.00</t>
  </si>
  <si>
    <t>53,665.00</t>
  </si>
  <si>
    <t>155,975.00</t>
  </si>
  <si>
    <t>8,539,825.00</t>
  </si>
  <si>
    <t>113,066.70</t>
  </si>
  <si>
    <t>2,299,856.33</t>
  </si>
  <si>
    <t>136,460.00</t>
  </si>
  <si>
    <t>9,825,540.00</t>
  </si>
  <si>
    <t>37,789.00</t>
  </si>
  <si>
    <t>133,139.50</t>
  </si>
  <si>
    <t>112,200.00</t>
  </si>
  <si>
    <t>376,762.50</t>
  </si>
  <si>
    <t>393,143.00</t>
  </si>
  <si>
    <t>10,640.00</t>
  </si>
  <si>
    <t>1,351,218.00</t>
  </si>
  <si>
    <t>22,200.00</t>
  </si>
  <si>
    <t>49,464.50</t>
  </si>
  <si>
    <t>6,690.00</t>
  </si>
  <si>
    <t>115,900.00</t>
  </si>
  <si>
    <t>16,450.00</t>
  </si>
  <si>
    <t>157,440.00</t>
  </si>
  <si>
    <t>8,750.00</t>
  </si>
  <si>
    <t>389,475.00</t>
  </si>
  <si>
    <t>15,698.00</t>
  </si>
  <si>
    <t>396,000.00</t>
  </si>
  <si>
    <t>74,611.00</t>
  </si>
  <si>
    <t>155,339.74</t>
  </si>
  <si>
    <t>186,883.68</t>
  </si>
  <si>
    <t>199,680.00</t>
  </si>
  <si>
    <t>198,100.00</t>
  </si>
  <si>
    <t>76,850.00</t>
  </si>
  <si>
    <t>21,043,701.12</t>
  </si>
  <si>
    <t>1,786,400.00</t>
  </si>
  <si>
    <t>370,250.00</t>
  </si>
  <si>
    <t>304,650.00</t>
  </si>
  <si>
    <t>263,200.00</t>
  </si>
  <si>
    <t>1,906,705.00</t>
  </si>
  <si>
    <t>40,000.00</t>
  </si>
  <si>
    <t>415,000.00</t>
  </si>
  <si>
    <t>59,015.00</t>
  </si>
  <si>
    <t>137,100.00</t>
  </si>
  <si>
    <t>6,000.00</t>
  </si>
  <si>
    <t>142,630.00</t>
  </si>
  <si>
    <t>638,500.00</t>
  </si>
  <si>
    <t>62,640.00</t>
  </si>
  <si>
    <t>386,320.00</t>
  </si>
  <si>
    <t>52,307.00</t>
  </si>
  <si>
    <t>888,000.00</t>
  </si>
  <si>
    <t>1,424,161.00</t>
  </si>
  <si>
    <t>41,142.00</t>
  </si>
  <si>
    <t>40,821.00</t>
  </si>
  <si>
    <t>309,942.50</t>
  </si>
  <si>
    <t>79,100.00</t>
  </si>
  <si>
    <t>95,504.00</t>
  </si>
  <si>
    <t>392,000.00</t>
  </si>
  <si>
    <t>118,000.00</t>
  </si>
  <si>
    <t>463,520.00</t>
  </si>
  <si>
    <t>98,735.00</t>
  </si>
  <si>
    <t>503,701.00</t>
  </si>
  <si>
    <t>114,750.00</t>
  </si>
  <si>
    <t>1,300,000.00</t>
  </si>
  <si>
    <t>92,000.00</t>
  </si>
  <si>
    <t>348,768.00</t>
  </si>
  <si>
    <t>143,197.40</t>
  </si>
  <si>
    <t>988,800.00</t>
  </si>
  <si>
    <t>13,935.00</t>
  </si>
  <si>
    <t>4,303,340.00</t>
  </si>
  <si>
    <t>1,027,744.20</t>
  </si>
  <si>
    <t>7,531,757.77</t>
  </si>
  <si>
    <t>14,331,000.00</t>
  </si>
  <si>
    <t>66,179,377.17</t>
  </si>
  <si>
    <t>3,790,000.00</t>
  </si>
  <si>
    <t>118,125.00</t>
  </si>
  <si>
    <t>290,510.25</t>
  </si>
  <si>
    <t>184,557.10</t>
  </si>
  <si>
    <t>520,505.00</t>
  </si>
  <si>
    <t>21,200.00</t>
  </si>
  <si>
    <t>90,420.00</t>
  </si>
  <si>
    <t>210,000.00</t>
  </si>
  <si>
    <t>154,311.17</t>
  </si>
  <si>
    <t>12,500.00</t>
  </si>
  <si>
    <t>79,380.00</t>
  </si>
  <si>
    <t>61,658.00</t>
  </si>
  <si>
    <t>36,900.00</t>
  </si>
  <si>
    <t>31,100.00</t>
  </si>
  <si>
    <t>24,375.00</t>
  </si>
  <si>
    <t>41,650.00</t>
  </si>
  <si>
    <t>22,500.00</t>
  </si>
  <si>
    <t>110,316,600.00</t>
  </si>
  <si>
    <t>120,900.00</t>
  </si>
  <si>
    <t>100,714.00</t>
  </si>
  <si>
    <t>27,632.75</t>
  </si>
  <si>
    <t>246,000.00</t>
  </si>
  <si>
    <t>50,733,000.00</t>
  </si>
  <si>
    <t>13,500.00</t>
  </si>
  <si>
    <t>56,452.00</t>
  </si>
  <si>
    <t>1,253,378.12</t>
  </si>
  <si>
    <t>96,467.40</t>
  </si>
  <si>
    <t>482,000.00</t>
  </si>
  <si>
    <t>37,260.00</t>
  </si>
  <si>
    <t>51,400.00</t>
  </si>
  <si>
    <t>70,550.00</t>
  </si>
  <si>
    <t>247,500.00</t>
  </si>
  <si>
    <t>499,968.36</t>
  </si>
  <si>
    <t>199,940.00</t>
  </si>
  <si>
    <t>399,979.19</t>
  </si>
  <si>
    <t>35,300.00</t>
  </si>
  <si>
    <t>312,000.00</t>
  </si>
  <si>
    <t>719,000.00</t>
  </si>
  <si>
    <t>326,156.00</t>
  </si>
  <si>
    <t>82,340.10</t>
  </si>
  <si>
    <t>840,000.00</t>
  </si>
  <si>
    <t>10,917,691.66</t>
  </si>
  <si>
    <t>114,999.97</t>
  </si>
  <si>
    <t>72,300.00</t>
  </si>
  <si>
    <t>69,759.00</t>
  </si>
  <si>
    <t>220,500.00</t>
  </si>
  <si>
    <t>268,500.00</t>
  </si>
  <si>
    <t>43,875.00</t>
  </si>
  <si>
    <t>67,500.00</t>
  </si>
  <si>
    <t>435,000.00</t>
  </si>
  <si>
    <t>294,000.00</t>
  </si>
  <si>
    <t>484,806.00</t>
  </si>
  <si>
    <t>216,300.00</t>
  </si>
  <si>
    <t>85,587.43</t>
  </si>
  <si>
    <t>50,400.00</t>
  </si>
  <si>
    <t>690,000.00</t>
  </si>
  <si>
    <t>63,300.00</t>
  </si>
  <si>
    <t>428,800.00</t>
  </si>
  <si>
    <t>199,180.00</t>
  </si>
  <si>
    <t>966,000.00</t>
  </si>
  <si>
    <t>97,435.00</t>
  </si>
  <si>
    <t>78,331.00</t>
  </si>
  <si>
    <t>570,000.00</t>
  </si>
  <si>
    <t>156,000.00</t>
  </si>
  <si>
    <t>55,545.00</t>
  </si>
  <si>
    <t>168,410.88</t>
  </si>
  <si>
    <t>82,500.00</t>
  </si>
  <si>
    <t>253,224.00</t>
  </si>
  <si>
    <t>81,829.00</t>
  </si>
  <si>
    <t>89,900.00</t>
  </si>
  <si>
    <t>525,600.00</t>
  </si>
  <si>
    <t>124,950.00</t>
  </si>
  <si>
    <t>539,961.12</t>
  </si>
  <si>
    <t>105,239.72</t>
  </si>
  <si>
    <t>191,250.00</t>
  </si>
  <si>
    <t>68,370.00</t>
  </si>
  <si>
    <t>999,634.93</t>
  </si>
  <si>
    <t>996,817.14</t>
  </si>
  <si>
    <t>149,970.07</t>
  </si>
  <si>
    <t>199,525.00</t>
  </si>
  <si>
    <t>287,100.00</t>
  </si>
  <si>
    <t>2,593,831.00</t>
  </si>
  <si>
    <t>109,900.00</t>
  </si>
  <si>
    <t>1,685,850.00</t>
  </si>
  <si>
    <t>2,542,408.00</t>
  </si>
  <si>
    <t>1,040,245.74</t>
  </si>
  <si>
    <t>1,209,940.00</t>
  </si>
  <si>
    <t>6,600.00</t>
  </si>
  <si>
    <t>33,000.00</t>
  </si>
  <si>
    <t>172,080.00</t>
  </si>
  <si>
    <t>997,771.86</t>
  </si>
  <si>
    <t>53,556.70</t>
  </si>
  <si>
    <t>76,505.00</t>
  </si>
  <si>
    <t>318,010.00</t>
  </si>
  <si>
    <t>118,627.04</t>
  </si>
  <si>
    <t>74,711.00</t>
  </si>
  <si>
    <t>303,450.00</t>
  </si>
  <si>
    <t>136,080.00</t>
  </si>
  <si>
    <t>126,260.00</t>
  </si>
  <si>
    <t>2,373,892.22</t>
  </si>
  <si>
    <t>77,800.00</t>
  </si>
  <si>
    <t>10,710,000.00</t>
  </si>
  <si>
    <t>995,220.50</t>
  </si>
  <si>
    <t>905.40</t>
  </si>
  <si>
    <t>571,258.10</t>
  </si>
  <si>
    <t>160,767.00</t>
  </si>
  <si>
    <t>90,200.00</t>
  </si>
  <si>
    <t>86,700.00</t>
  </si>
  <si>
    <t>72,500.00</t>
  </si>
  <si>
    <t>531,645.80</t>
  </si>
  <si>
    <t>831,229.00</t>
  </si>
  <si>
    <t>280,960.00</t>
  </si>
  <si>
    <t>143,601.50</t>
  </si>
  <si>
    <t>74,720.00</t>
  </si>
  <si>
    <t>67,706.00</t>
  </si>
  <si>
    <t>52,200.00</t>
  </si>
  <si>
    <t>275,920.00</t>
  </si>
  <si>
    <t>12,000.00</t>
  </si>
  <si>
    <t>720,000.00</t>
  </si>
  <si>
    <t>999,474.00</t>
  </si>
  <si>
    <t>67,162.27</t>
  </si>
  <si>
    <t>137,685.00</t>
  </si>
  <si>
    <t>127,635.00</t>
  </si>
  <si>
    <t>342,615.00</t>
  </si>
  <si>
    <t>115,000.00</t>
  </si>
  <si>
    <t>96,000.00</t>
  </si>
  <si>
    <t>83,415.00</t>
  </si>
  <si>
    <t>442,746.00</t>
  </si>
  <si>
    <t>250,245.00</t>
  </si>
  <si>
    <t>204,356.26</t>
  </si>
  <si>
    <t>8,000.00</t>
  </si>
  <si>
    <t>24,500.00</t>
  </si>
  <si>
    <t>142,500.00</t>
  </si>
  <si>
    <t>133,800.00</t>
  </si>
  <si>
    <t>59,989.65</t>
  </si>
  <si>
    <t>301,991.00</t>
  </si>
  <si>
    <t>481,275.00</t>
  </si>
  <si>
    <t>55,500.00</t>
  </si>
  <si>
    <t>632,270.00</t>
  </si>
  <si>
    <t>249,771.30</t>
  </si>
  <si>
    <t>17,742.00</t>
  </si>
  <si>
    <t>957,500.00</t>
  </si>
  <si>
    <t>529,600.00</t>
  </si>
  <si>
    <t>298,440.00</t>
  </si>
  <si>
    <t>62,720.00</t>
  </si>
  <si>
    <t>13,000.00</t>
  </si>
  <si>
    <t>42,000.00</t>
  </si>
  <si>
    <t>237,650.00</t>
  </si>
  <si>
    <t>84,640.00</t>
  </si>
  <si>
    <t>126,500.00</t>
  </si>
  <si>
    <t>32,030.62</t>
  </si>
  <si>
    <t>55,834.00</t>
  </si>
  <si>
    <t>13,200.00</t>
  </si>
  <si>
    <t>116,655.10</t>
  </si>
  <si>
    <t>808,500.00</t>
  </si>
  <si>
    <t>73,940.00</t>
  </si>
  <si>
    <t>24,000.00</t>
  </si>
  <si>
    <t>443,520.00</t>
  </si>
  <si>
    <t>156,100.00</t>
  </si>
  <si>
    <t>299,184.38</t>
  </si>
  <si>
    <t>151,750.00</t>
  </si>
  <si>
    <t>14,048.00</t>
  </si>
  <si>
    <t>131,899.00</t>
  </si>
  <si>
    <t>5,570.00</t>
  </si>
  <si>
    <t>5,100,000.00</t>
  </si>
  <si>
    <t>23,000.00</t>
  </si>
  <si>
    <t>438,232.75</t>
  </si>
  <si>
    <t>21,460.00</t>
  </si>
  <si>
    <t>380,000.00</t>
  </si>
  <si>
    <t>29,392,133.43</t>
  </si>
  <si>
    <t>12,006.00</t>
  </si>
  <si>
    <t>19,000.00</t>
  </si>
  <si>
    <t>70,400.00</t>
  </si>
  <si>
    <t>280,000.00</t>
  </si>
  <si>
    <t>78,300.00</t>
  </si>
  <si>
    <t>75,600.00</t>
  </si>
  <si>
    <t>51,408.00</t>
  </si>
  <si>
    <t>4,154.00</t>
  </si>
  <si>
    <t>241,311.80</t>
  </si>
  <si>
    <t>224,125.00</t>
  </si>
  <si>
    <t>7,500.00</t>
  </si>
  <si>
    <t>999,500.00</t>
  </si>
  <si>
    <t>32,500.00</t>
  </si>
  <si>
    <t>399,984.79</t>
  </si>
  <si>
    <t>16,000.00</t>
  </si>
  <si>
    <t>2,205.00</t>
  </si>
  <si>
    <t>286,351.00</t>
  </si>
  <si>
    <t>71,212.00</t>
  </si>
  <si>
    <t>64,000.00</t>
  </si>
  <si>
    <t>427,200.00</t>
  </si>
  <si>
    <t>1,186,200.00</t>
  </si>
  <si>
    <t>11,405.00</t>
  </si>
  <si>
    <t>425,040.00</t>
  </si>
  <si>
    <t>456,000.00</t>
  </si>
  <si>
    <t>235,050.00</t>
  </si>
  <si>
    <t>147,600.00</t>
  </si>
  <si>
    <t>320,383.00</t>
  </si>
  <si>
    <t>136,112.00</t>
  </si>
  <si>
    <t>1,995,000.00</t>
  </si>
  <si>
    <t>346,500.00</t>
  </si>
  <si>
    <t>284,980.30</t>
  </si>
  <si>
    <t>19,052.00</t>
  </si>
  <si>
    <t>71,984.00</t>
  </si>
  <si>
    <t>99,990.00</t>
  </si>
  <si>
    <t>78,343.00</t>
  </si>
  <si>
    <t>68,525.00</t>
  </si>
  <si>
    <t>1,399,391.00</t>
  </si>
  <si>
    <t>117,600.00</t>
  </si>
  <si>
    <t>444,428.86</t>
  </si>
  <si>
    <t>58,700.00</t>
  </si>
  <si>
    <t>499,998.72</t>
  </si>
  <si>
    <t>92,392.00</t>
  </si>
  <si>
    <t>67,600.00</t>
  </si>
  <si>
    <t>19,600.00</t>
  </si>
  <si>
    <t>494,000.00</t>
  </si>
  <si>
    <t>535,413.75</t>
  </si>
  <si>
    <t>568,978.53</t>
  </si>
  <si>
    <t>809,500.00</t>
  </si>
  <si>
    <t>309,000.00</t>
  </si>
  <si>
    <t>129,162.00</t>
  </si>
  <si>
    <t>291,500.00</t>
  </si>
  <si>
    <t>975,000.00</t>
  </si>
  <si>
    <t>59,400.00</t>
  </si>
  <si>
    <t>80,666.00</t>
  </si>
  <si>
    <t>123,750.00</t>
  </si>
  <si>
    <t>53,050.00</t>
  </si>
  <si>
    <t>301,925.00</t>
  </si>
  <si>
    <t>199,800.00</t>
  </si>
  <si>
    <t>114,000.00</t>
  </si>
  <si>
    <t>494,835.00</t>
  </si>
  <si>
    <t>131,962.00</t>
  </si>
  <si>
    <t>148,215.00</t>
  </si>
  <si>
    <t>128,000.00</t>
  </si>
  <si>
    <t>100,016.00</t>
  </si>
  <si>
    <t>148,400.00</t>
  </si>
  <si>
    <t>301,000.00</t>
  </si>
  <si>
    <t>494,902.93</t>
  </si>
  <si>
    <t>423,000.00</t>
  </si>
  <si>
    <t>85,300.00</t>
  </si>
  <si>
    <t>89,345.00</t>
  </si>
  <si>
    <t>70,200.00</t>
  </si>
  <si>
    <t>1,999,945.21</t>
  </si>
  <si>
    <t>373,088.63</t>
  </si>
  <si>
    <t>122,650.00</t>
  </si>
  <si>
    <t>769,819.00</t>
  </si>
  <si>
    <t>14,996.00</t>
  </si>
  <si>
    <t>1,935,700.00</t>
  </si>
  <si>
    <t>973,600.00</t>
  </si>
  <si>
    <t>85,010.00</t>
  </si>
  <si>
    <t>51,500.00</t>
  </si>
  <si>
    <t>150,900.00</t>
  </si>
  <si>
    <t>180,580.00</t>
  </si>
  <si>
    <t>41,000.00</t>
  </si>
  <si>
    <t>2,799,417.50</t>
  </si>
  <si>
    <t>6,600,000.00</t>
  </si>
  <si>
    <t>735,317.40</t>
  </si>
  <si>
    <t>375,000.00</t>
  </si>
  <si>
    <t>182,000.00</t>
  </si>
  <si>
    <t>89,000.00</t>
  </si>
  <si>
    <t>57,525.00</t>
  </si>
  <si>
    <t>999,915.47</t>
  </si>
  <si>
    <t>116,300.00</t>
  </si>
  <si>
    <t>489,000.00</t>
  </si>
  <si>
    <t>64,155.00</t>
  </si>
  <si>
    <t>646,998.00</t>
  </si>
  <si>
    <t>165,000.00</t>
  </si>
  <si>
    <t>1,959,988.08</t>
  </si>
  <si>
    <t>3,190,000.00</t>
  </si>
  <si>
    <t>160,395.00</t>
  </si>
  <si>
    <t>199,566.00</t>
  </si>
  <si>
    <t>2,139,998.51</t>
  </si>
  <si>
    <t>18,900.00</t>
  </si>
  <si>
    <t>137,440.00</t>
  </si>
  <si>
    <t>275,260.00</t>
  </si>
  <si>
    <t>99,200.00</t>
  </si>
  <si>
    <t>797,000.00</t>
  </si>
  <si>
    <t>213,714.00</t>
  </si>
  <si>
    <t>14,980.00</t>
  </si>
  <si>
    <t>250,100.00</t>
  </si>
  <si>
    <t>452,554.00</t>
  </si>
  <si>
    <t>249,057.04</t>
  </si>
  <si>
    <t>177,149.59</t>
  </si>
  <si>
    <t>986,000.00</t>
  </si>
  <si>
    <t>59,772.00</t>
  </si>
  <si>
    <t>102,961.00</t>
  </si>
  <si>
    <t>192,088.00</t>
  </si>
  <si>
    <t>470,415.00</t>
  </si>
  <si>
    <t>90,500.00</t>
  </si>
  <si>
    <t>149,160.15</t>
  </si>
  <si>
    <t>11,500.00</t>
  </si>
  <si>
    <t>175,000.00</t>
  </si>
  <si>
    <t>80,500.00</t>
  </si>
  <si>
    <t>76,800.00</t>
  </si>
  <si>
    <t>85,039.13</t>
  </si>
  <si>
    <t>9,980.00</t>
  </si>
  <si>
    <t>750,000.00</t>
  </si>
  <si>
    <t>26,441,000.00</t>
  </si>
  <si>
    <t>97,240.00</t>
  </si>
  <si>
    <t>106,800.00</t>
  </si>
  <si>
    <t>486,000.00</t>
  </si>
  <si>
    <t>199,080.00</t>
  </si>
  <si>
    <t>56,750.00</t>
  </si>
  <si>
    <t>489,500.00</t>
  </si>
  <si>
    <t>164,383.83</t>
  </si>
  <si>
    <t>512,000.00</t>
  </si>
  <si>
    <t>82,800.00</t>
  </si>
  <si>
    <t>7,040,000.00</t>
  </si>
  <si>
    <t>920,000.00</t>
  </si>
  <si>
    <t>2,474,058.86</t>
  </si>
  <si>
    <t>899,830.00</t>
  </si>
  <si>
    <t>52,670.00</t>
  </si>
  <si>
    <t>260,050.00</t>
  </si>
  <si>
    <t>548,993.00</t>
  </si>
  <si>
    <t>158,750.00</t>
  </si>
  <si>
    <t>72,864.00</t>
  </si>
  <si>
    <t>50,500.00</t>
  </si>
  <si>
    <t>55,600.00</t>
  </si>
  <si>
    <t>578,108.16</t>
  </si>
  <si>
    <t>77,451.00</t>
  </si>
  <si>
    <t>989,999.81</t>
  </si>
  <si>
    <t>2,530,000.00</t>
  </si>
  <si>
    <t>86,030.00</t>
  </si>
  <si>
    <t>230,837.15</t>
  </si>
  <si>
    <t>54,400,000.00</t>
  </si>
  <si>
    <t>108,000.00</t>
  </si>
  <si>
    <t>93,750.00</t>
  </si>
  <si>
    <t>506,000.00</t>
  </si>
  <si>
    <t>59,500.00</t>
  </si>
  <si>
    <t>128,950.00</t>
  </si>
  <si>
    <t>6,396,696.10</t>
  </si>
  <si>
    <t>1,018,776.69</t>
  </si>
  <si>
    <t>69,900.00</t>
  </si>
  <si>
    <t>336,600.00</t>
  </si>
  <si>
    <t>99,750.00</t>
  </si>
  <si>
    <t>513,000.00</t>
  </si>
  <si>
    <t>367,780.00</t>
  </si>
  <si>
    <t>184,838.00</t>
  </si>
  <si>
    <t>409,000.00</t>
  </si>
  <si>
    <t>26,451,550.00</t>
  </si>
  <si>
    <t>219,600.00</t>
  </si>
  <si>
    <t>1,065,591.33</t>
  </si>
  <si>
    <t>199,912.60</t>
  </si>
  <si>
    <t>632,580.00</t>
  </si>
  <si>
    <t>209,052.57</t>
  </si>
  <si>
    <t>50,700.00</t>
  </si>
  <si>
    <t>238,030.00</t>
  </si>
  <si>
    <t>98,710.00</t>
  </si>
  <si>
    <t>403,380.00</t>
  </si>
  <si>
    <t>148,600.00</t>
  </si>
  <si>
    <t>145,209.00</t>
  </si>
  <si>
    <t>950,000.00</t>
  </si>
  <si>
    <t>3,742,800.60</t>
  </si>
  <si>
    <t>79,587.50</t>
  </si>
  <si>
    <t>282,040.00</t>
  </si>
  <si>
    <t>88,950.00</t>
  </si>
  <si>
    <t>989,826.03</t>
  </si>
  <si>
    <t>237,988.00</t>
  </si>
  <si>
    <t>597,320.00</t>
  </si>
  <si>
    <t>899,850.00</t>
  </si>
  <si>
    <t>61,750.00</t>
  </si>
  <si>
    <t>149,995.00</t>
  </si>
  <si>
    <t>507,600.00</t>
  </si>
  <si>
    <t>145,570.00</t>
  </si>
  <si>
    <t>236,250.00</t>
  </si>
  <si>
    <t>161,500.00</t>
  </si>
  <si>
    <t>72,395.00</t>
  </si>
  <si>
    <t>250,700.00</t>
  </si>
  <si>
    <t>347,800.00</t>
  </si>
  <si>
    <t>4,842,637.00</t>
  </si>
  <si>
    <t>86,147.44</t>
  </si>
  <si>
    <t>65,628.00</t>
  </si>
  <si>
    <t>99,560.00</t>
  </si>
  <si>
    <t>12,865,492.97</t>
  </si>
  <si>
    <t>148,090.00</t>
  </si>
  <si>
    <t>400,007.00</t>
  </si>
  <si>
    <t>384,900.00</t>
  </si>
  <si>
    <t>77,564.93</t>
  </si>
  <si>
    <t>154,115.50</t>
  </si>
  <si>
    <t>44,993.75</t>
  </si>
  <si>
    <t>4,920,898.91</t>
  </si>
  <si>
    <t>135,900.00</t>
  </si>
  <si>
    <t>429,353.10</t>
  </si>
  <si>
    <t>498,000.00</t>
  </si>
  <si>
    <t>93,000.00</t>
  </si>
  <si>
    <t>238,800.00</t>
  </si>
  <si>
    <t>999,700.00</t>
  </si>
  <si>
    <t>8,033,000.00</t>
  </si>
  <si>
    <t>12,260.00</t>
  </si>
  <si>
    <t>99,358.00</t>
  </si>
  <si>
    <t>73,520.00</t>
  </si>
  <si>
    <t>50,220.00</t>
  </si>
  <si>
    <t>183,403.00</t>
  </si>
  <si>
    <t>735,815.34</t>
  </si>
  <si>
    <t>999,809.34</t>
  </si>
  <si>
    <t>222,500.00</t>
  </si>
  <si>
    <t>186,420.00</t>
  </si>
  <si>
    <t>313,844.07</t>
  </si>
  <si>
    <t>530,600.00</t>
  </si>
  <si>
    <t>147,000.00</t>
  </si>
  <si>
    <t>227,150.00</t>
  </si>
  <si>
    <t>69,735.00</t>
  </si>
  <si>
    <t>65,120.00</t>
  </si>
  <si>
    <t>960,000.00</t>
  </si>
  <si>
    <t>3,506,350.00</t>
  </si>
  <si>
    <t>69,750.00</t>
  </si>
  <si>
    <t>125,800.00</t>
  </si>
  <si>
    <t>89,080.00</t>
  </si>
  <si>
    <t>77,418.79</t>
  </si>
  <si>
    <t>4,891,668.72</t>
  </si>
  <si>
    <t>496,859.28</t>
  </si>
  <si>
    <t>12,930.00</t>
  </si>
  <si>
    <t>564,340.00</t>
  </si>
  <si>
    <t>192,171.00</t>
  </si>
  <si>
    <t>14,225.00</t>
  </si>
  <si>
    <t>3,480.00</t>
  </si>
  <si>
    <t>445,204.06</t>
  </si>
  <si>
    <t>1,476,338.10</t>
  </si>
  <si>
    <t>740,000.00</t>
  </si>
  <si>
    <t>1,875,000.00</t>
  </si>
  <si>
    <t>277,571.31</t>
  </si>
  <si>
    <t>9,015,325.00</t>
  </si>
  <si>
    <t>53,450.00</t>
  </si>
  <si>
    <t>108,684.58</t>
  </si>
  <si>
    <t>995,312.71</t>
  </si>
  <si>
    <t>2,920,000.00</t>
  </si>
  <si>
    <t>249,610.00</t>
  </si>
  <si>
    <t>497,990.00</t>
  </si>
  <si>
    <t>68,842.00</t>
  </si>
  <si>
    <t>51,750.00</t>
  </si>
  <si>
    <t>12,935.00</t>
  </si>
  <si>
    <t>120,769.54</t>
  </si>
  <si>
    <t>59,481.00</t>
  </si>
  <si>
    <t>579,925.00</t>
  </si>
  <si>
    <t>59,000.00</t>
  </si>
  <si>
    <t>56,834.00</t>
  </si>
  <si>
    <t>921,702.00</t>
  </si>
  <si>
    <t>195,800.00</t>
  </si>
  <si>
    <t>288,540.00</t>
  </si>
  <si>
    <t>72,499.00</t>
  </si>
  <si>
    <t>155,695.75</t>
  </si>
  <si>
    <t>1,944,258.55</t>
  </si>
  <si>
    <t>7,042.00</t>
  </si>
  <si>
    <t>89,400.00</t>
  </si>
  <si>
    <t>277,000.00</t>
  </si>
  <si>
    <t>82,475.00</t>
  </si>
  <si>
    <t>98,450.00</t>
  </si>
  <si>
    <t>371,960.00</t>
  </si>
  <si>
    <t>4,207,064.03</t>
  </si>
  <si>
    <t>209,910.00</t>
  </si>
  <si>
    <t>194,055.00</t>
  </si>
  <si>
    <t>199,727.00</t>
  </si>
  <si>
    <t>106,787.80</t>
  </si>
  <si>
    <t>562,500.00</t>
  </si>
  <si>
    <t>159,300.00</t>
  </si>
  <si>
    <t>69,051.00</t>
  </si>
  <si>
    <t>9,257,000.00</t>
  </si>
  <si>
    <t>166,969.65</t>
  </si>
  <si>
    <t>37,738.00</t>
  </si>
  <si>
    <t>50,545.00</t>
  </si>
  <si>
    <t>93,200.00</t>
  </si>
  <si>
    <t>291,997.30</t>
  </si>
  <si>
    <t>4,605,848.20</t>
  </si>
  <si>
    <t>455,600.00</t>
  </si>
  <si>
    <t>91,877.00</t>
  </si>
  <si>
    <t>4,940,000.00</t>
  </si>
  <si>
    <t>13,550.00</t>
  </si>
  <si>
    <t>101,190.00</t>
  </si>
  <si>
    <t>89,980.00</t>
  </si>
  <si>
    <t>98,500.00</t>
  </si>
  <si>
    <t>931,500.00</t>
  </si>
  <si>
    <t>1,700.00</t>
  </si>
  <si>
    <t>97,650.00</t>
  </si>
  <si>
    <t>885,000.00</t>
  </si>
  <si>
    <t>50,259.02</t>
  </si>
  <si>
    <t>261,979.20</t>
  </si>
  <si>
    <t>15,300.00</t>
  </si>
  <si>
    <t>3,900,000.00</t>
  </si>
  <si>
    <t>129,822.00</t>
  </si>
  <si>
    <t>67,000.00</t>
  </si>
  <si>
    <t>93,640.00</t>
  </si>
  <si>
    <t>455,750.00</t>
  </si>
  <si>
    <t>49,300.00</t>
  </si>
  <si>
    <t>61,729.36</t>
  </si>
  <si>
    <t>161,110.00</t>
  </si>
  <si>
    <t>960,640.00</t>
  </si>
  <si>
    <t>121,374.00</t>
  </si>
  <si>
    <t>80,400.00</t>
  </si>
  <si>
    <t>143,250.00</t>
  </si>
  <si>
    <t>86,083.00</t>
  </si>
  <si>
    <t>90,413.00</t>
  </si>
  <si>
    <t>1,956,675.30</t>
  </si>
  <si>
    <t>185,850.00</t>
  </si>
  <si>
    <t>64,270.00</t>
  </si>
  <si>
    <t>273,500.00</t>
  </si>
  <si>
    <t>802,879.86</t>
  </si>
  <si>
    <t>896,939.03</t>
  </si>
  <si>
    <t>91,900.00</t>
  </si>
  <si>
    <t>50.00</t>
  </si>
  <si>
    <t>10,498,214.00</t>
  </si>
  <si>
    <t>1,966,053.60</t>
  </si>
  <si>
    <t>65,255.00</t>
  </si>
  <si>
    <t>64,824.00</t>
  </si>
  <si>
    <t>85,800.00</t>
  </si>
  <si>
    <t>1,625,000.00</t>
  </si>
  <si>
    <t>316,800.00</t>
  </si>
  <si>
    <t>9,000.00</t>
  </si>
  <si>
    <t>312,884.91</t>
  </si>
  <si>
    <t>95,854.00</t>
  </si>
  <si>
    <t>771,500.00</t>
  </si>
  <si>
    <t>2,955,000.42</t>
  </si>
  <si>
    <t>3,300.00</t>
  </si>
  <si>
    <t>1,124,835.01</t>
  </si>
  <si>
    <t>577,680.00</t>
  </si>
  <si>
    <t>125,077.75</t>
  </si>
  <si>
    <t>55,411.00</t>
  </si>
  <si>
    <t>1,488,905.00</t>
  </si>
  <si>
    <t>33,105.00</t>
  </si>
  <si>
    <t>291,600.00</t>
  </si>
  <si>
    <t>10,900.00</t>
  </si>
  <si>
    <t>291,960.00</t>
  </si>
  <si>
    <t>49,990.00</t>
  </si>
  <si>
    <t>277,964.00</t>
  </si>
  <si>
    <t>3,305,218.50</t>
  </si>
  <si>
    <t>925,000.00</t>
  </si>
  <si>
    <t>104,000.00</t>
  </si>
  <si>
    <t>81,500.00</t>
  </si>
  <si>
    <t>18,000.00</t>
  </si>
  <si>
    <t>61,273.00</t>
  </si>
  <si>
    <t>195,171.00</t>
  </si>
  <si>
    <t>5,512,300.00</t>
  </si>
  <si>
    <t>3,943,105.90</t>
  </si>
  <si>
    <t>360,632.19</t>
  </si>
  <si>
    <t>181,250.00</t>
  </si>
  <si>
    <t>102,637.50</t>
  </si>
  <si>
    <t>75,650.00</t>
  </si>
  <si>
    <t>76,500.00</t>
  </si>
  <si>
    <t>94,468.00</t>
  </si>
  <si>
    <t>3,800,000.00</t>
  </si>
  <si>
    <t>198,750.00</t>
  </si>
  <si>
    <t>174,000.00</t>
  </si>
  <si>
    <t>65,389.82</t>
  </si>
  <si>
    <t>117,600,000.00</t>
  </si>
  <si>
    <t>288,000.00</t>
  </si>
  <si>
    <t>360,000.00</t>
  </si>
  <si>
    <t>187,358.00</t>
  </si>
  <si>
    <t>167,500.00</t>
  </si>
  <si>
    <t>2,933,582.00</t>
  </si>
  <si>
    <t>59,850.00</t>
  </si>
  <si>
    <t>481,200.00</t>
  </si>
  <si>
    <t>8,440.00</t>
  </si>
  <si>
    <t>97,500.00</t>
  </si>
  <si>
    <t>244,113.60</t>
  </si>
  <si>
    <t>238,400.00</t>
  </si>
  <si>
    <t>5,500.00</t>
  </si>
  <si>
    <t>167,231.40</t>
  </si>
  <si>
    <t>191,196.96</t>
  </si>
  <si>
    <t>3,475,516.00</t>
  </si>
  <si>
    <t>101,500.00</t>
  </si>
  <si>
    <t>2,750,694.21</t>
  </si>
  <si>
    <t>8,610,800.00</t>
  </si>
  <si>
    <t>56,701.93</t>
  </si>
  <si>
    <t>142,965.00</t>
  </si>
  <si>
    <t>385,400.00</t>
  </si>
  <si>
    <t>308,304.00</t>
  </si>
  <si>
    <t>145,800.00</t>
  </si>
  <si>
    <t>3,417,357.88</t>
  </si>
  <si>
    <t>252,352.80</t>
  </si>
  <si>
    <t>57,600.00</t>
  </si>
  <si>
    <t>52,830.00</t>
  </si>
  <si>
    <t>468,000.00</t>
  </si>
  <si>
    <t>204,000.00</t>
  </si>
  <si>
    <t>14,999.00</t>
  </si>
  <si>
    <t>333,200.00</t>
  </si>
  <si>
    <t>119,995.00</t>
  </si>
  <si>
    <t>319,992.00</t>
  </si>
  <si>
    <t>166,000.00</t>
  </si>
  <si>
    <t>178,700.00</t>
  </si>
  <si>
    <t>53,750.00</t>
  </si>
  <si>
    <t>99,562.80</t>
  </si>
  <si>
    <t>437,000.00</t>
  </si>
  <si>
    <t>109,800.00</t>
  </si>
  <si>
    <t>220,259.52</t>
  </si>
  <si>
    <t>62,500.00</t>
  </si>
  <si>
    <t>237,850.00</t>
  </si>
  <si>
    <t>128,549.14</t>
  </si>
  <si>
    <t>129,500.00</t>
  </si>
  <si>
    <t>730,527.25</t>
  </si>
  <si>
    <t>497,686.00</t>
  </si>
  <si>
    <t>1,200.00</t>
  </si>
  <si>
    <t>53,800.00</t>
  </si>
  <si>
    <t>65,244.00</t>
  </si>
  <si>
    <t>167,875.00</t>
  </si>
  <si>
    <t>1,658,200.00</t>
  </si>
  <si>
    <t>783,400.00</t>
  </si>
  <si>
    <t>17,625.00</t>
  </si>
  <si>
    <t>5,164,079.00</t>
  </si>
  <si>
    <t>60,500.00</t>
  </si>
  <si>
    <t>233,000.00</t>
  </si>
  <si>
    <t>999,988.00</t>
  </si>
  <si>
    <t>110,129.15</t>
  </si>
  <si>
    <t>22,000.00</t>
  </si>
  <si>
    <t>62,722.50</t>
  </si>
  <si>
    <t>67,362.50</t>
  </si>
  <si>
    <t>1,861,988.46</t>
  </si>
  <si>
    <t>98,200.00</t>
  </si>
  <si>
    <t>274,735.28</t>
  </si>
  <si>
    <t>549,920.00</t>
  </si>
  <si>
    <t>9,830.00</t>
  </si>
  <si>
    <t>132,763.00</t>
  </si>
  <si>
    <t>229,100.00</t>
  </si>
  <si>
    <t>65,331.21</t>
  </si>
  <si>
    <t>30,600,000.00</t>
  </si>
  <si>
    <t>11,700.00</t>
  </si>
  <si>
    <t>776,349.53</t>
  </si>
  <si>
    <t>1,959,989.07</t>
  </si>
  <si>
    <t>208,500.00</t>
  </si>
  <si>
    <t>117,532.00</t>
  </si>
  <si>
    <t>2,041.20</t>
  </si>
  <si>
    <t>323,000.00</t>
  </si>
  <si>
    <t>527,343.00</t>
  </si>
  <si>
    <t>191,685.00</t>
  </si>
  <si>
    <t>592,081.93</t>
  </si>
  <si>
    <t>1,601,605.00</t>
  </si>
  <si>
    <t>1,999,728.00</t>
  </si>
  <si>
    <t>140,700.00</t>
  </si>
  <si>
    <t>25,526.00</t>
  </si>
  <si>
    <t>66,500.00</t>
  </si>
  <si>
    <t>60,476.00</t>
  </si>
  <si>
    <t>564,000.00</t>
  </si>
  <si>
    <t>583,202.48</t>
  </si>
  <si>
    <t>75,500.00</t>
  </si>
  <si>
    <t>149,499.80</t>
  </si>
  <si>
    <t>591,475.00</t>
  </si>
  <si>
    <t>464,565.00</t>
  </si>
  <si>
    <t>2,358,000.00</t>
  </si>
  <si>
    <t>116,100.00</t>
  </si>
  <si>
    <t>193,200.00</t>
  </si>
  <si>
    <t>251,900.00</t>
  </si>
  <si>
    <t>77,981.50</t>
  </si>
  <si>
    <t>314,950.00</t>
  </si>
  <si>
    <t>597,398.52</t>
  </si>
  <si>
    <t>2,492,058.95</t>
  </si>
  <si>
    <t>6,000,000.00</t>
  </si>
  <si>
    <t>54,200.00</t>
  </si>
  <si>
    <t>100,900.00</t>
  </si>
  <si>
    <t>462,882.00</t>
  </si>
  <si>
    <t>60,650.00</t>
  </si>
  <si>
    <t>65,106.24</t>
  </si>
  <si>
    <t>192,949.08</t>
  </si>
  <si>
    <t>476,600.00</t>
  </si>
  <si>
    <t>791,160.00</t>
  </si>
  <si>
    <t>5,775.00</t>
  </si>
  <si>
    <t>2,217,982.28</t>
  </si>
  <si>
    <t>14,715,000.00</t>
  </si>
  <si>
    <t>899,610.00</t>
  </si>
  <si>
    <t>546,000.00</t>
  </si>
  <si>
    <t>199,975.00</t>
  </si>
  <si>
    <t>64,481.00</t>
  </si>
  <si>
    <t>199,467.90</t>
  </si>
  <si>
    <t>237,880.00</t>
  </si>
  <si>
    <t>68,129.00</t>
  </si>
  <si>
    <t>1,245,000.00</t>
  </si>
  <si>
    <t>81,400.00</t>
  </si>
  <si>
    <t>75,900.00</t>
  </si>
  <si>
    <t>101,000.00</t>
  </si>
  <si>
    <t>66,350.00</t>
  </si>
  <si>
    <t>924,266.00</t>
  </si>
  <si>
    <t>51,961.00</t>
  </si>
  <si>
    <t>3,924,000.00</t>
  </si>
  <si>
    <t>361,275.00</t>
  </si>
  <si>
    <t>55,969.20</t>
  </si>
  <si>
    <t>61,500.00</t>
  </si>
  <si>
    <t>10,623,228.79</t>
  </si>
  <si>
    <t>25,250.00</t>
  </si>
  <si>
    <t>1,454,395.37</t>
  </si>
  <si>
    <t>12,520.00</t>
  </si>
  <si>
    <t>122,280.00</t>
  </si>
  <si>
    <t>99,600.00</t>
  </si>
  <si>
    <t>160,100.00</t>
  </si>
  <si>
    <t>15,427.00</t>
  </si>
  <si>
    <t>63,550.00</t>
  </si>
  <si>
    <t>499,990.00</t>
  </si>
  <si>
    <t>2,349,000.00</t>
  </si>
  <si>
    <t>23,100.00</t>
  </si>
  <si>
    <t>167,000.00</t>
  </si>
  <si>
    <t>208,574.00</t>
  </si>
  <si>
    <t>594,927.38</t>
  </si>
  <si>
    <t>176,410.00</t>
  </si>
  <si>
    <t>53,940.00</t>
  </si>
  <si>
    <t>3,933,000.00</t>
  </si>
  <si>
    <t>148,997.80</t>
  </si>
  <si>
    <t>126,549.09</t>
  </si>
  <si>
    <t>56,800.00</t>
  </si>
  <si>
    <t>992,300.00</t>
  </si>
  <si>
    <t>165,255.00</t>
  </si>
  <si>
    <t>159,031.90</t>
  </si>
  <si>
    <t>107,025.00</t>
  </si>
  <si>
    <t>102,521.00</t>
  </si>
  <si>
    <t>4,869,000.00</t>
  </si>
  <si>
    <t>161,100.00</t>
  </si>
  <si>
    <t>129,499.00</t>
  </si>
  <si>
    <t>72,490.00</t>
  </si>
  <si>
    <t>1,089,257.05</t>
  </si>
  <si>
    <t>50,184.84</t>
  </si>
  <si>
    <t>102,000.00</t>
  </si>
  <si>
    <t>5,376,427.46</t>
  </si>
  <si>
    <t>59,790.00</t>
  </si>
  <si>
    <t>1,930,679.60</t>
  </si>
  <si>
    <t>111,649.00</t>
  </si>
  <si>
    <t>149,927.00</t>
  </si>
  <si>
    <t>52,720.00</t>
  </si>
  <si>
    <t>31,900.00</t>
  </si>
  <si>
    <t>4,108,000.00</t>
  </si>
  <si>
    <t>41,176.00</t>
  </si>
  <si>
    <t>21,500.00</t>
  </si>
  <si>
    <t>2,107,838.00</t>
  </si>
  <si>
    <t>78,445.00</t>
  </si>
  <si>
    <t>180,720.00</t>
  </si>
  <si>
    <t>67,932.00</t>
  </si>
  <si>
    <t>1,535,742.95</t>
  </si>
  <si>
    <t>10,990.00</t>
  </si>
  <si>
    <t>332,677.00</t>
  </si>
  <si>
    <t>80,600.00</t>
  </si>
  <si>
    <t>119,920.00</t>
  </si>
  <si>
    <t>67,254.00</t>
  </si>
  <si>
    <t>2,250,000.00</t>
  </si>
  <si>
    <t>282,878.79</t>
  </si>
  <si>
    <t>68,600.00</t>
  </si>
  <si>
    <t>284,200.00</t>
  </si>
  <si>
    <t>36,000.00</t>
  </si>
  <si>
    <t>73,026.00</t>
  </si>
  <si>
    <t>1,017,125.79</t>
  </si>
  <si>
    <t>59,870.00</t>
  </si>
  <si>
    <t>32,675.00</t>
  </si>
  <si>
    <t>108,685.00</t>
  </si>
  <si>
    <t>186,885.00</t>
  </si>
  <si>
    <t>24,587.25</t>
  </si>
  <si>
    <t>55,100.00</t>
  </si>
  <si>
    <t>117,000.00</t>
  </si>
  <si>
    <t>11,929,824.83</t>
  </si>
  <si>
    <t>147,720.00</t>
  </si>
  <si>
    <t>987,500.00</t>
  </si>
  <si>
    <t>51,550.00</t>
  </si>
  <si>
    <t>112,000.00</t>
  </si>
  <si>
    <t>87,525.00</t>
  </si>
  <si>
    <t>195,700.00</t>
  </si>
  <si>
    <t>121,400.00</t>
  </si>
  <si>
    <t>492,243.00</t>
  </si>
  <si>
    <t>164,250.00</t>
  </si>
  <si>
    <t>103,086.00</t>
  </si>
  <si>
    <t>607,850.00</t>
  </si>
  <si>
    <t>88,230.00</t>
  </si>
  <si>
    <t>228,025.00</t>
  </si>
  <si>
    <t>499,434.80</t>
  </si>
  <si>
    <t>251,790.00</t>
  </si>
  <si>
    <t>769,250.00</t>
  </si>
  <si>
    <t>800,715.00</t>
  </si>
  <si>
    <t>19,500.00</t>
  </si>
  <si>
    <t>312,500.00</t>
  </si>
  <si>
    <t>194,350.00</t>
  </si>
  <si>
    <t>3,700,000.00</t>
  </si>
  <si>
    <t>22,344.00</t>
  </si>
  <si>
    <t>1,999,510.08</t>
  </si>
  <si>
    <t>448,500.00</t>
  </si>
  <si>
    <t>12,916,488.52</t>
  </si>
  <si>
    <t>888,220.00</t>
  </si>
  <si>
    <t>108,990.00</t>
  </si>
  <si>
    <t>181,500.00</t>
  </si>
  <si>
    <t>276,407.00</t>
  </si>
  <si>
    <t>137,080.00</t>
  </si>
  <si>
    <t>46,000.00</t>
  </si>
  <si>
    <t>725,000.00</t>
  </si>
  <si>
    <t>18,860.00</t>
  </si>
  <si>
    <t>7,500,000.00</t>
  </si>
  <si>
    <t>149,000.00</t>
  </si>
  <si>
    <t>5,040.00</t>
  </si>
  <si>
    <t>91,595.80</t>
  </si>
  <si>
    <t>18,733.00</t>
  </si>
  <si>
    <t>152,942.35</t>
  </si>
  <si>
    <t>2,362,972.19</t>
  </si>
  <si>
    <t>42,875,000.00</t>
  </si>
  <si>
    <t>765,885.00</t>
  </si>
  <si>
    <t>217,000.00</t>
  </si>
  <si>
    <t>2,927,710.59</t>
  </si>
  <si>
    <t>1,460,440.00</t>
  </si>
  <si>
    <t>88,815.50</t>
  </si>
  <si>
    <t>7,000.00</t>
  </si>
  <si>
    <t>177,892.00</t>
  </si>
  <si>
    <t>92,303.17</t>
  </si>
  <si>
    <t>29,970.00</t>
  </si>
  <si>
    <t>69,225.00</t>
  </si>
  <si>
    <t>163,995.00</t>
  </si>
  <si>
    <t>3,409,000.00</t>
  </si>
  <si>
    <t>3,650.00</t>
  </si>
  <si>
    <t>92,500.00</t>
  </si>
  <si>
    <t>122,000.00</t>
  </si>
  <si>
    <t>33,560.00</t>
  </si>
  <si>
    <t>13,750.00</t>
  </si>
  <si>
    <t>87,332.00</t>
  </si>
  <si>
    <t>494,300.00</t>
  </si>
  <si>
    <t>281,695.00</t>
  </si>
  <si>
    <t>21,550.00</t>
  </si>
  <si>
    <t>450,560.04</t>
  </si>
  <si>
    <t>99,525.00</t>
  </si>
  <si>
    <t>79,765.00</t>
  </si>
  <si>
    <t>227,760.00</t>
  </si>
  <si>
    <t>69,555.00</t>
  </si>
  <si>
    <t>5,442,007.05</t>
  </si>
  <si>
    <t>11,975.00</t>
  </si>
  <si>
    <t>833,333.33</t>
  </si>
  <si>
    <t>3,008,000.00</t>
  </si>
  <si>
    <t>8,727,000.00</t>
  </si>
  <si>
    <t>68,500.00</t>
  </si>
  <si>
    <t>99,922.00</t>
  </si>
  <si>
    <t>7,918,710.00</t>
  </si>
  <si>
    <t>492,807.00</t>
  </si>
  <si>
    <t>245,994.00</t>
  </si>
  <si>
    <t>96,708.00</t>
  </si>
  <si>
    <t>92,810.00</t>
  </si>
  <si>
    <t>99,350.00</t>
  </si>
  <si>
    <t>428,843.00</t>
  </si>
  <si>
    <t>195,473.53</t>
  </si>
  <si>
    <t>32,050.00</t>
  </si>
  <si>
    <t>116,875.00</t>
  </si>
  <si>
    <t>172,000.00</t>
  </si>
  <si>
    <t>113,020.60</t>
  </si>
  <si>
    <t>491,568.00</t>
  </si>
  <si>
    <t>61,250.00</t>
  </si>
  <si>
    <t>9,631,000.00</t>
  </si>
  <si>
    <t>299,800.00</t>
  </si>
  <si>
    <t>987,840.00</t>
  </si>
  <si>
    <t>491,059.50</t>
  </si>
  <si>
    <t>1,350,000.00</t>
  </si>
  <si>
    <t>974,400.00</t>
  </si>
  <si>
    <t>88,780.00</t>
  </si>
  <si>
    <t>52,915.80</t>
  </si>
  <si>
    <t>65,600.00</t>
  </si>
  <si>
    <t>61,723.00</t>
  </si>
  <si>
    <t>39,465.00</t>
  </si>
  <si>
    <t>31,833.00</t>
  </si>
  <si>
    <t>998,400.00</t>
  </si>
  <si>
    <t>51,090.00</t>
  </si>
  <si>
    <t>27,862.50</t>
  </si>
  <si>
    <t>25,413,886.50</t>
  </si>
  <si>
    <t>99,940.00</t>
  </si>
  <si>
    <t>350,850.40</t>
  </si>
  <si>
    <t>2,341.00</t>
  </si>
  <si>
    <t>299,950.00</t>
  </si>
  <si>
    <t>149,265.00</t>
  </si>
  <si>
    <t>306,290.00</t>
  </si>
  <si>
    <t>306,180.00</t>
  </si>
  <si>
    <t>156,376.60</t>
  </si>
  <si>
    <t>1,162,108.04</t>
  </si>
  <si>
    <t>197,699.00</t>
  </si>
  <si>
    <t>67,745.00</t>
  </si>
  <si>
    <t>99,918.00</t>
  </si>
  <si>
    <t>483,063.00</t>
  </si>
  <si>
    <t>855,312.50</t>
  </si>
  <si>
    <t>348,518.00</t>
  </si>
  <si>
    <t>1,680,000.00</t>
  </si>
  <si>
    <t>87,182.00</t>
  </si>
  <si>
    <t>94,398.15</t>
  </si>
  <si>
    <t>199,980.00</t>
  </si>
  <si>
    <t>1,971,676.88</t>
  </si>
  <si>
    <t>1,499,990.00</t>
  </si>
  <si>
    <t>992,912.62</t>
  </si>
  <si>
    <t>18,985.00</t>
  </si>
  <si>
    <t>2,397,000.00</t>
  </si>
  <si>
    <t>131,000.00</t>
  </si>
  <si>
    <t>420,320.00</t>
  </si>
  <si>
    <t>216,421.00</t>
  </si>
  <si>
    <t>495,140.07</t>
  </si>
  <si>
    <t>166,725.00</t>
  </si>
  <si>
    <t>988,301.19</t>
  </si>
  <si>
    <t>1,991,253.64</t>
  </si>
  <si>
    <t>982,823.83</t>
  </si>
  <si>
    <t>5,499,372.18</t>
  </si>
  <si>
    <t>160,818.01</t>
  </si>
  <si>
    <t>10,492,000.00</t>
  </si>
  <si>
    <t>13,350.00</t>
  </si>
  <si>
    <t>110,250.00</t>
  </si>
  <si>
    <t>65,300.00</t>
  </si>
  <si>
    <t>128,095.00</t>
  </si>
  <si>
    <t>73,077.94</t>
  </si>
  <si>
    <t>193,801.46</t>
  </si>
  <si>
    <t>175,144.00</t>
  </si>
  <si>
    <t>92,225.00</t>
  </si>
  <si>
    <t>100,230.00</t>
  </si>
  <si>
    <t>2,900,205.23</t>
  </si>
  <si>
    <t>399,978.13</t>
  </si>
  <si>
    <t>107,600.00</t>
  </si>
  <si>
    <t>505,000.00</t>
  </si>
  <si>
    <t>199,545.00</t>
  </si>
  <si>
    <t>71,217.60</t>
  </si>
  <si>
    <t>257,580.09</t>
  </si>
  <si>
    <t>62,400.00</t>
  </si>
  <si>
    <t>119,700.00</t>
  </si>
  <si>
    <t>241,870.96</t>
  </si>
  <si>
    <t>673,531.04</t>
  </si>
  <si>
    <t>32,255.33</t>
  </si>
  <si>
    <t>273,545.00</t>
  </si>
  <si>
    <t>364,060.00</t>
  </si>
  <si>
    <t>377,130.00</t>
  </si>
  <si>
    <t>491,970.71</t>
  </si>
  <si>
    <t>198,150.00</t>
  </si>
  <si>
    <t>32,255.31</t>
  </si>
  <si>
    <t>281,991.57</t>
  </si>
  <si>
    <t>82,875.00</t>
  </si>
  <si>
    <t>599,344.34</t>
  </si>
  <si>
    <t>25,343.38</t>
  </si>
  <si>
    <t>688,008.40</t>
  </si>
  <si>
    <t>173,580.00</t>
  </si>
  <si>
    <t>149,085.00</t>
  </si>
  <si>
    <t>89,070.00</t>
  </si>
  <si>
    <t>370,500.00</t>
  </si>
  <si>
    <t>494,433.02</t>
  </si>
  <si>
    <t>60,250.00</t>
  </si>
  <si>
    <t>263,000.00</t>
  </si>
  <si>
    <t>80,115.34</t>
  </si>
  <si>
    <t>36,102.00</t>
  </si>
  <si>
    <t>96,310.00</t>
  </si>
  <si>
    <t>903,650.00</t>
  </si>
  <si>
    <t>169,831.06</t>
  </si>
  <si>
    <t>51,637.50</t>
  </si>
  <si>
    <t>40,000,000.00</t>
  </si>
  <si>
    <t>230,683.00</t>
  </si>
  <si>
    <t>165,330.00</t>
  </si>
  <si>
    <t>299,917.56</t>
  </si>
  <si>
    <t>8,000,000.00</t>
  </si>
  <si>
    <t>32,255.21</t>
  </si>
  <si>
    <t>2,000.00</t>
  </si>
  <si>
    <t>382,847.00</t>
  </si>
  <si>
    <t>135,525.00</t>
  </si>
  <si>
    <t>249,948.00</t>
  </si>
  <si>
    <t>181,181.00</t>
  </si>
  <si>
    <t>107,920.00</t>
  </si>
  <si>
    <t>180,500.00</t>
  </si>
  <si>
    <t>355,881.20</t>
  </si>
  <si>
    <t>177,600.00</t>
  </si>
  <si>
    <t>21,375.00</t>
  </si>
  <si>
    <t>422,055.00</t>
  </si>
  <si>
    <t>351,986.00</t>
  </si>
  <si>
    <t>194,246.51</t>
  </si>
  <si>
    <t>102,335.00</t>
  </si>
  <si>
    <t>89,900,000.00</t>
  </si>
  <si>
    <t>248,500.00</t>
  </si>
  <si>
    <t>115,604.00</t>
  </si>
  <si>
    <t>589,621.00</t>
  </si>
  <si>
    <t>64,720.00</t>
  </si>
  <si>
    <t>1,920,690.00</t>
  </si>
  <si>
    <t>1,050,000.00</t>
  </si>
  <si>
    <t>3,061,800.00</t>
  </si>
  <si>
    <t>24,830.00</t>
  </si>
  <si>
    <t>168,000.00</t>
  </si>
  <si>
    <t>22,000,000.00</t>
  </si>
  <si>
    <t>834,000.00</t>
  </si>
  <si>
    <t>59,996.00</t>
  </si>
  <si>
    <t>201,077.20</t>
  </si>
  <si>
    <t>811,827.19</t>
  </si>
  <si>
    <t>98,346.45</t>
  </si>
  <si>
    <t>102,596.00</t>
  </si>
  <si>
    <t>266,995.00</t>
  </si>
  <si>
    <t>175,506.00</t>
  </si>
  <si>
    <t>1,229,050.00</t>
  </si>
  <si>
    <t>60,900.00</t>
  </si>
  <si>
    <t>69,000.00</t>
  </si>
  <si>
    <t>1,918,705.00</t>
  </si>
  <si>
    <t>879,934.07</t>
  </si>
  <si>
    <t>84,750.00</t>
  </si>
  <si>
    <t>579,998.00</t>
  </si>
  <si>
    <t>104,355.00</t>
  </si>
  <si>
    <t>40,200.00</t>
  </si>
  <si>
    <t>220,550.00</t>
  </si>
  <si>
    <t>9,800,000.00</t>
  </si>
  <si>
    <t>172,800.00</t>
  </si>
  <si>
    <t>525,403.20</t>
  </si>
  <si>
    <t>171,561.00</t>
  </si>
  <si>
    <t>17,800.00</t>
  </si>
  <si>
    <t>58,478.00</t>
  </si>
  <si>
    <t>24,685,462.42</t>
  </si>
  <si>
    <t>624,000.00</t>
  </si>
  <si>
    <t>108,925.00</t>
  </si>
  <si>
    <t>190,850.00</t>
  </si>
  <si>
    <t>241,766.50</t>
  </si>
  <si>
    <t>684,000.00</t>
  </si>
  <si>
    <t>151,200.00</t>
  </si>
  <si>
    <t>729,735.00</t>
  </si>
  <si>
    <t>19,600,000.00</t>
  </si>
  <si>
    <t>74,404.00</t>
  </si>
  <si>
    <t>120,886.20</t>
  </si>
  <si>
    <t>49,245.75</t>
  </si>
  <si>
    <t>385,575.00</t>
  </si>
  <si>
    <t>749,483.24</t>
  </si>
  <si>
    <t>1,074,766.00</t>
  </si>
  <si>
    <t>280,500.00</t>
  </si>
  <si>
    <t>129,350.00</t>
  </si>
  <si>
    <t>9,304,120.00</t>
  </si>
  <si>
    <t>24,999.00</t>
  </si>
  <si>
    <t>288,730.00</t>
  </si>
  <si>
    <t>135,077.44</t>
  </si>
  <si>
    <t>157,855.00</t>
  </si>
  <si>
    <t>15,397.00</t>
  </si>
  <si>
    <t>65,700.00</t>
  </si>
  <si>
    <t>254,720.00</t>
  </si>
  <si>
    <t>440,240.00</t>
  </si>
  <si>
    <t>286,580.00</t>
  </si>
  <si>
    <t>800,400.00</t>
  </si>
  <si>
    <t>87,396.00</t>
  </si>
  <si>
    <t>99,419.00</t>
  </si>
  <si>
    <t>184,410.00</t>
  </si>
  <si>
    <t>773,270.00</t>
  </si>
  <si>
    <t>680,000.00</t>
  </si>
  <si>
    <t>202,606.95</t>
  </si>
  <si>
    <t>64,500.00</t>
  </si>
  <si>
    <t>47,240.00</t>
  </si>
  <si>
    <t>54,275.00</t>
  </si>
  <si>
    <t>86,742.00</t>
  </si>
  <si>
    <t>29,400,000.00</t>
  </si>
  <si>
    <t>789,360.00</t>
  </si>
  <si>
    <t>76,314.00</t>
  </si>
  <si>
    <t>116,698.31</t>
  </si>
  <si>
    <t>207,500.00</t>
  </si>
  <si>
    <t>116,840.00</t>
  </si>
  <si>
    <t>2,400,000.00</t>
  </si>
  <si>
    <t>683,520.00</t>
  </si>
  <si>
    <t>201,352.80</t>
  </si>
  <si>
    <t>380,860.00</t>
  </si>
  <si>
    <t>1,469,937.00</t>
  </si>
  <si>
    <t>77,756.00</t>
  </si>
  <si>
    <t>68,317.99</t>
  </si>
  <si>
    <t>10,290,000.00</t>
  </si>
  <si>
    <t>679,800.00</t>
  </si>
  <si>
    <t>604,500.00</t>
  </si>
  <si>
    <t>94,040.00</t>
  </si>
  <si>
    <t>570,080.40</t>
  </si>
  <si>
    <t>26,411.75</t>
  </si>
  <si>
    <t>753,125.16</t>
  </si>
  <si>
    <t>112,640.00</t>
  </si>
  <si>
    <t>195,590.00</t>
  </si>
  <si>
    <t>96,980.00</t>
  </si>
  <si>
    <t>89,700.00</t>
  </si>
  <si>
    <t>207,600.00</t>
  </si>
  <si>
    <t>72,827.00</t>
  </si>
  <si>
    <t>66,297.00</t>
  </si>
  <si>
    <t>240,215.00</t>
  </si>
  <si>
    <t>5,472,675.73</t>
  </si>
  <si>
    <t>306,000.00</t>
  </si>
  <si>
    <t>198,182.00</t>
  </si>
  <si>
    <t>29,699,919.87</t>
  </si>
  <si>
    <t>457,099.79</t>
  </si>
  <si>
    <t>74,920.00</t>
  </si>
  <si>
    <t>135,450.00</t>
  </si>
  <si>
    <t>1.00</t>
  </si>
  <si>
    <t>60,050.00</t>
  </si>
  <si>
    <t>419,716.73</t>
  </si>
  <si>
    <t>12,000,000.00</t>
  </si>
  <si>
    <t>754,599.96</t>
  </si>
  <si>
    <t>188,240.00</t>
  </si>
  <si>
    <t>8,280.00</t>
  </si>
  <si>
    <t>221,911.50</t>
  </si>
  <si>
    <t>15,525.00</t>
  </si>
  <si>
    <t>227,500.00</t>
  </si>
  <si>
    <t>59,950.00</t>
  </si>
  <si>
    <t>334,400.00</t>
  </si>
  <si>
    <t>50,720.00</t>
  </si>
  <si>
    <t>998,000.00</t>
  </si>
  <si>
    <t>268,000.00</t>
  </si>
  <si>
    <t>884,034.77</t>
  </si>
  <si>
    <t>528,000.00</t>
  </si>
  <si>
    <t>66,761.00</t>
  </si>
  <si>
    <t>2,230,000.00</t>
  </si>
  <si>
    <t>160,140.00</t>
  </si>
  <si>
    <t>176,550.00</t>
  </si>
  <si>
    <t>3,800.00</t>
  </si>
  <si>
    <t>2,980.00</t>
  </si>
  <si>
    <t>1,612,350.00</t>
  </si>
  <si>
    <t>78,550.00</t>
  </si>
  <si>
    <t>225,004.00</t>
  </si>
  <si>
    <t>67,200.00</t>
  </si>
  <si>
    <t>319,393.69</t>
  </si>
  <si>
    <t>36,200.00</t>
  </si>
  <si>
    <t>81,454.00</t>
  </si>
  <si>
    <t>509,000.00</t>
  </si>
  <si>
    <t>513,900.00</t>
  </si>
  <si>
    <t>168,300.00</t>
  </si>
  <si>
    <t>574,030.50</t>
  </si>
  <si>
    <t>155,800.00</t>
  </si>
  <si>
    <t>176,042.00</t>
  </si>
  <si>
    <t>9,282.50</t>
  </si>
  <si>
    <t>972,916.22</t>
  </si>
  <si>
    <t>343,395.00</t>
  </si>
  <si>
    <t>149,245.00</t>
  </si>
  <si>
    <t>93,555.00</t>
  </si>
  <si>
    <t>52,280.00</t>
  </si>
  <si>
    <t>624,634.00</t>
  </si>
  <si>
    <t>615,000.00</t>
  </si>
  <si>
    <t>2,289,893.63</t>
  </si>
  <si>
    <t>1,348,293.62</t>
  </si>
  <si>
    <t>249,200.00</t>
  </si>
  <si>
    <t>50,130.00</t>
  </si>
  <si>
    <t>107,500.00</t>
  </si>
  <si>
    <t>79,160.00</t>
  </si>
  <si>
    <t>394,335.00</t>
  </si>
  <si>
    <t>312,375.00</t>
  </si>
  <si>
    <t>947,375.00</t>
  </si>
  <si>
    <t>146,750.00</t>
  </si>
  <si>
    <t>11,300,000.00</t>
  </si>
  <si>
    <t>67,170,451.01</t>
  </si>
  <si>
    <t>99,800.00</t>
  </si>
  <si>
    <t>1,341,500.00</t>
  </si>
  <si>
    <t>157,000.00</t>
  </si>
  <si>
    <t>142,435.00</t>
  </si>
  <si>
    <t>92,400.00</t>
  </si>
  <si>
    <t>124,286.25</t>
  </si>
  <si>
    <t>105,550.00</t>
  </si>
  <si>
    <t>77,514.10</t>
  </si>
  <si>
    <t>10,000,000.00</t>
  </si>
  <si>
    <t>44,200.00</t>
  </si>
  <si>
    <t>239,720.00</t>
  </si>
  <si>
    <t>514,625.00</t>
  </si>
  <si>
    <t>77,200.00</t>
  </si>
  <si>
    <t>30,000,000.00</t>
  </si>
  <si>
    <t>1,783,798.00</t>
  </si>
  <si>
    <t>28,957,357.98</t>
  </si>
  <si>
    <t>15,101,040.08</t>
  </si>
  <si>
    <t>325,000.00</t>
  </si>
  <si>
    <t>85,644.00</t>
  </si>
  <si>
    <t>304,587.66</t>
  </si>
  <si>
    <t>122,320.00</t>
  </si>
  <si>
    <t>331,500.00</t>
  </si>
  <si>
    <t>268,563.00</t>
  </si>
  <si>
    <t>187,740.00</t>
  </si>
  <si>
    <t>235,470.00</t>
  </si>
  <si>
    <t>868,249.00</t>
  </si>
  <si>
    <t>49,986.00</t>
  </si>
  <si>
    <t>145,000.00</t>
  </si>
  <si>
    <t>335,695.20</t>
  </si>
  <si>
    <t>166,750.00</t>
  </si>
  <si>
    <t>55,280.00</t>
  </si>
  <si>
    <t>54,803.53</t>
  </si>
  <si>
    <t>480,000,000.00</t>
  </si>
  <si>
    <t>585,000.00</t>
  </si>
  <si>
    <t>333,000.00</t>
  </si>
  <si>
    <t>256,312.52</t>
  </si>
  <si>
    <t>28,100.00</t>
  </si>
  <si>
    <t>288,200.00</t>
  </si>
  <si>
    <t>7,540.00</t>
  </si>
  <si>
    <t>922,410.00</t>
  </si>
  <si>
    <t>113,535.00</t>
  </si>
  <si>
    <t>56,010.00</t>
  </si>
  <si>
    <t>388,000.00</t>
  </si>
  <si>
    <t>302,214.08</t>
  </si>
  <si>
    <t>138,450.00</t>
  </si>
  <si>
    <t>63,124.00</t>
  </si>
  <si>
    <t>801,000.00</t>
  </si>
  <si>
    <t>792,000.00</t>
  </si>
  <si>
    <t>140,655.00</t>
  </si>
  <si>
    <t>284,022.62</t>
  </si>
  <si>
    <t>63,802.00</t>
  </si>
  <si>
    <t>189,100.00</t>
  </si>
  <si>
    <t>19,994.00</t>
  </si>
  <si>
    <t>1,023,001.47</t>
  </si>
  <si>
    <t>101,687.00</t>
  </si>
  <si>
    <t>149,220.00</t>
  </si>
  <si>
    <t>770,000.00</t>
  </si>
  <si>
    <t>381,000.00</t>
  </si>
  <si>
    <t>99,465.00</t>
  </si>
  <si>
    <t>21,450.00</t>
  </si>
  <si>
    <t>112,547.98</t>
  </si>
  <si>
    <t>285,910.00</t>
  </si>
  <si>
    <t>149,740.78</t>
  </si>
  <si>
    <t>779,344.19</t>
  </si>
  <si>
    <t>81,200.00</t>
  </si>
  <si>
    <t>299,400.00</t>
  </si>
  <si>
    <t>986,720.00</t>
  </si>
  <si>
    <t>65,545.00</t>
  </si>
  <si>
    <t>285,700.00</t>
  </si>
  <si>
    <t>59,900.00</t>
  </si>
  <si>
    <t>477,000.00</t>
  </si>
  <si>
    <t>1,236,000.00</t>
  </si>
  <si>
    <t>122,780.00</t>
  </si>
  <si>
    <t>464,780.00</t>
  </si>
  <si>
    <t>86,100.00</t>
  </si>
  <si>
    <t>473,104.86</t>
  </si>
  <si>
    <t>84,500.00</t>
  </si>
  <si>
    <t>228,080.00</t>
  </si>
  <si>
    <t>157,200.00</t>
  </si>
  <si>
    <t>1,204,636.30</t>
  </si>
  <si>
    <t>580,070.00</t>
  </si>
  <si>
    <t>219,100.00</t>
  </si>
  <si>
    <t>229,615.00</t>
  </si>
  <si>
    <t>770,472.00</t>
  </si>
  <si>
    <t>187,600.00</t>
  </si>
  <si>
    <t>451,800.00</t>
  </si>
  <si>
    <t>131,100.00</t>
  </si>
  <si>
    <t>39,000.00</t>
  </si>
  <si>
    <t>155,499.00</t>
  </si>
  <si>
    <t>783,000.00</t>
  </si>
  <si>
    <t>122,645.00</t>
  </si>
  <si>
    <t>54,550.00</t>
  </si>
  <si>
    <t>12,374,955.73</t>
  </si>
  <si>
    <t>65,500.00</t>
  </si>
  <si>
    <t>56,200.00</t>
  </si>
  <si>
    <t>1,248,861.22</t>
  </si>
  <si>
    <t>487,500.00</t>
  </si>
  <si>
    <t>5,028.00</t>
  </si>
  <si>
    <t>258,718.00</t>
  </si>
  <si>
    <t>110,400.00</t>
  </si>
  <si>
    <t>88,157.50</t>
  </si>
  <si>
    <t>208,371.00</t>
  </si>
  <si>
    <t>224,259.00</t>
  </si>
  <si>
    <t>299,200.00</t>
  </si>
  <si>
    <t>481,013.00</t>
  </si>
  <si>
    <t>253,935.00</t>
  </si>
  <si>
    <t>58,800.00</t>
  </si>
  <si>
    <t>448,840.00</t>
  </si>
  <si>
    <t>309,538.00</t>
  </si>
  <si>
    <t>3,088,337.50</t>
  </si>
  <si>
    <t>227,000.00</t>
  </si>
  <si>
    <t>497,497.67</t>
  </si>
  <si>
    <t>613,040.00</t>
  </si>
  <si>
    <t>999,186.65</t>
  </si>
  <si>
    <t>130,454.60</t>
  </si>
  <si>
    <t>354,000.00</t>
  </si>
  <si>
    <t>45,200.00</t>
  </si>
  <si>
    <t>168,968.00</t>
  </si>
  <si>
    <t>1,210,000.00</t>
  </si>
  <si>
    <t>988,200.00</t>
  </si>
  <si>
    <t>530,000.00</t>
  </si>
  <si>
    <t>214,800.00</t>
  </si>
  <si>
    <t>429,076.58</t>
  </si>
  <si>
    <t>135,100,000.00</t>
  </si>
  <si>
    <t>64,805.50</t>
  </si>
  <si>
    <t>121,000.00</t>
  </si>
  <si>
    <t>117,084.90</t>
  </si>
  <si>
    <t>57,500.00</t>
  </si>
  <si>
    <t>74,190.00</t>
  </si>
  <si>
    <t>79,900.00</t>
  </si>
  <si>
    <t>3,496,407.84</t>
  </si>
  <si>
    <t>182,990.00</t>
  </si>
  <si>
    <t>133,520.00</t>
  </si>
  <si>
    <t>56,253.00</t>
  </si>
  <si>
    <t>34,500.00</t>
  </si>
  <si>
    <t>21,949,000.00</t>
  </si>
  <si>
    <t>241,466.00</t>
  </si>
  <si>
    <t>91,250.00</t>
  </si>
  <si>
    <t>496,500.00</t>
  </si>
  <si>
    <t>4,599,987.58</t>
  </si>
  <si>
    <t>623,850.00</t>
  </si>
  <si>
    <t>115,200.00</t>
  </si>
  <si>
    <t>1,095,728.00</t>
  </si>
  <si>
    <t>2,639,938.80</t>
  </si>
  <si>
    <t>481,436.00</t>
  </si>
  <si>
    <t>186,882.00</t>
  </si>
  <si>
    <t>51,250.00</t>
  </si>
  <si>
    <t>57,700.00</t>
  </si>
  <si>
    <t>568,852.01</t>
  </si>
  <si>
    <t>88,840.00</t>
  </si>
  <si>
    <t>30,890.00</t>
  </si>
  <si>
    <t>7,290.00</t>
  </si>
  <si>
    <t>13,700.00</t>
  </si>
  <si>
    <t>378,000.00</t>
  </si>
  <si>
    <t>492,600.00</t>
  </si>
  <si>
    <t>166,800.00</t>
  </si>
  <si>
    <t>921,672,000.00</t>
  </si>
  <si>
    <t>142,925.00</t>
  </si>
  <si>
    <t>35,500.00</t>
  </si>
  <si>
    <t>498,978.00</t>
  </si>
  <si>
    <t>631,700.00</t>
  </si>
  <si>
    <t>253,640.00</t>
  </si>
  <si>
    <t>112,751.00</t>
  </si>
  <si>
    <t>286,156.00</t>
  </si>
  <si>
    <t>143,678.50</t>
  </si>
  <si>
    <t>73,825.00</t>
  </si>
  <si>
    <t>864,000.00</t>
  </si>
  <si>
    <t>82,555.00</t>
  </si>
  <si>
    <t>232,000.00</t>
  </si>
  <si>
    <t>48,000.00</t>
  </si>
  <si>
    <t>640,000.00</t>
  </si>
  <si>
    <t>199,430.00</t>
  </si>
  <si>
    <t>81,365.00</t>
  </si>
  <si>
    <t>227,550.00</t>
  </si>
  <si>
    <t>726,660.00</t>
  </si>
  <si>
    <t>345,000.00</t>
  </si>
  <si>
    <t>83,250.00</t>
  </si>
  <si>
    <t>23,500.00</t>
  </si>
  <si>
    <t>167,775.00</t>
  </si>
  <si>
    <t>186,100.00</t>
  </si>
  <si>
    <t>665,000.00</t>
  </si>
  <si>
    <t>50,065.00</t>
  </si>
  <si>
    <t>79,818.00</t>
  </si>
  <si>
    <t>214,200.00</t>
  </si>
  <si>
    <t>72,602.50</t>
  </si>
  <si>
    <t>476,340.50</t>
  </si>
  <si>
    <t>700,600.00</t>
  </si>
  <si>
    <t>178,000.00</t>
  </si>
  <si>
    <t>269,001.00</t>
  </si>
  <si>
    <t>295,000.00</t>
  </si>
  <si>
    <t>321,160.00</t>
  </si>
  <si>
    <t>430,000.00</t>
  </si>
  <si>
    <t>127,800.00</t>
  </si>
  <si>
    <t>335,760.00</t>
  </si>
  <si>
    <t>448,147.65</t>
  </si>
  <si>
    <t>99,010.50</t>
  </si>
  <si>
    <t>226,997.00</t>
  </si>
  <si>
    <t>59,438.00</t>
  </si>
  <si>
    <t>457,439.02</t>
  </si>
  <si>
    <t>32,000.00</t>
  </si>
  <si>
    <t>648,850.00</t>
  </si>
  <si>
    <t>2,194,341.37</t>
  </si>
  <si>
    <t>155,790.00</t>
  </si>
  <si>
    <t>252,684.00</t>
  </si>
  <si>
    <t>870,000.00</t>
  </si>
  <si>
    <t>272,000.00</t>
  </si>
  <si>
    <t>770,500.00</t>
  </si>
  <si>
    <t>69,976.00</t>
  </si>
  <si>
    <t>43,496.00</t>
  </si>
  <si>
    <t>9,960.00</t>
  </si>
  <si>
    <t>1,440,764.00</t>
  </si>
  <si>
    <t>239,645.00</t>
  </si>
  <si>
    <t>216,000.00</t>
  </si>
  <si>
    <t>3,700.00</t>
  </si>
  <si>
    <t>140,900.00</t>
  </si>
  <si>
    <t>412,500.00</t>
  </si>
  <si>
    <t>155,400.00</t>
  </si>
  <si>
    <t>141,300.00</t>
  </si>
  <si>
    <t>1,203,757.30</t>
  </si>
  <si>
    <t>1,737,731.63</t>
  </si>
  <si>
    <t>97,050.00</t>
  </si>
  <si>
    <t>283,111.00</t>
  </si>
  <si>
    <t>121,200.00</t>
  </si>
  <si>
    <t>619,488.00</t>
  </si>
  <si>
    <t>3,000.00</t>
  </si>
  <si>
    <t>61,800.00</t>
  </si>
  <si>
    <t>39,885.00</t>
  </si>
  <si>
    <t>180,334.00</t>
  </si>
  <si>
    <t>228,280.00</t>
  </si>
  <si>
    <t>261,800.00</t>
  </si>
  <si>
    <t>614,000.00</t>
  </si>
  <si>
    <t>23,720.00</t>
  </si>
  <si>
    <t>142,472.00</t>
  </si>
  <si>
    <t>48,290.00</t>
  </si>
  <si>
    <t>510,376.38</t>
  </si>
  <si>
    <t>68,200.00</t>
  </si>
  <si>
    <t>1,443,985.00</t>
  </si>
  <si>
    <t>177,866.51</t>
  </si>
  <si>
    <t>1,606,155.76</t>
  </si>
  <si>
    <t>874,000.00</t>
  </si>
  <si>
    <t>781,200.00</t>
  </si>
  <si>
    <t>186,687.45</t>
  </si>
  <si>
    <t>210,800.00</t>
  </si>
  <si>
    <t>160,040.00</t>
  </si>
  <si>
    <t>244,148.00</t>
  </si>
  <si>
    <t>298,631.00</t>
  </si>
  <si>
    <t>191,605.00</t>
  </si>
  <si>
    <t>59,192.00</t>
  </si>
  <si>
    <t>325,500.00</t>
  </si>
  <si>
    <t>209,634.00</t>
  </si>
  <si>
    <t>459,946.61</t>
  </si>
  <si>
    <t>410,735.00</t>
  </si>
  <si>
    <t>99,020.00</t>
  </si>
  <si>
    <t>319,852.30</t>
  </si>
  <si>
    <t>94,495.00</t>
  </si>
  <si>
    <t>374,044.35</t>
  </si>
  <si>
    <t>234,000.00</t>
  </si>
  <si>
    <t>115,350.00</t>
  </si>
  <si>
    <t>7,900.00</t>
  </si>
  <si>
    <t>95,151.00</t>
  </si>
  <si>
    <t>290,215.60</t>
  </si>
  <si>
    <t>5,800,390.27</t>
  </si>
  <si>
    <t>6,758,993.64</t>
  </si>
  <si>
    <t>241,994.00</t>
  </si>
  <si>
    <t>59,700.00</t>
  </si>
  <si>
    <t>278,000.00</t>
  </si>
  <si>
    <t>374,289.51</t>
  </si>
  <si>
    <t>880,000.00</t>
  </si>
  <si>
    <t>321,000.00</t>
  </si>
  <si>
    <t>130,910.00</t>
  </si>
  <si>
    <t>150,489.00</t>
  </si>
  <si>
    <t>123,940.00</t>
  </si>
  <si>
    <t>144,998.00</t>
  </si>
  <si>
    <t>139,480.00</t>
  </si>
  <si>
    <t>56,513.00</t>
  </si>
  <si>
    <t>993,600.00</t>
  </si>
  <si>
    <t>996,912.00</t>
  </si>
  <si>
    <t>340,506.90</t>
  </si>
  <si>
    <t>177,500.00</t>
  </si>
  <si>
    <t>139,909.00</t>
  </si>
  <si>
    <t>311,615.00</t>
  </si>
  <si>
    <t>198,900.00</t>
  </si>
  <si>
    <t>12,409,167.63</t>
  </si>
  <si>
    <t>112,410.00</t>
  </si>
  <si>
    <t>334,606.19</t>
  </si>
  <si>
    <t>230,000.00</t>
  </si>
  <si>
    <t>140,182.00</t>
  </si>
  <si>
    <t>92,992.00</t>
  </si>
  <si>
    <t>903,600.00</t>
  </si>
  <si>
    <t>1,880,000.00</t>
  </si>
  <si>
    <t>113,000.00</t>
  </si>
  <si>
    <t>251,236.00</t>
  </si>
  <si>
    <t>121,338.00</t>
  </si>
  <si>
    <t>218,444.00</t>
  </si>
  <si>
    <t>203,550.00</t>
  </si>
  <si>
    <t>132,065.00</t>
  </si>
  <si>
    <t>1,352,850.00</t>
  </si>
  <si>
    <t>196,954.00</t>
  </si>
  <si>
    <t>173,640.00</t>
  </si>
  <si>
    <t>148,450.00</t>
  </si>
  <si>
    <t>24,800,000.00</t>
  </si>
  <si>
    <t>186,200.00</t>
  </si>
  <si>
    <t>172,500.00</t>
  </si>
  <si>
    <t>104,800.00</t>
  </si>
  <si>
    <t>371,723.00</t>
  </si>
  <si>
    <t>57,886.00</t>
  </si>
  <si>
    <t>4,334,000.00</t>
  </si>
  <si>
    <t>329,300.00</t>
  </si>
  <si>
    <t>99,950.00</t>
  </si>
  <si>
    <t>26,983,875.00</t>
  </si>
  <si>
    <t>199,977.00</t>
  </si>
  <si>
    <t>136,687.00</t>
  </si>
  <si>
    <t>51,728.00</t>
  </si>
  <si>
    <t>280,678.00</t>
  </si>
  <si>
    <t>1,263,760.00</t>
  </si>
  <si>
    <t>23,330,353.39</t>
  </si>
  <si>
    <t>458,129.00</t>
  </si>
  <si>
    <t>90,250.00</t>
  </si>
  <si>
    <t>4,455,000.00</t>
  </si>
  <si>
    <t>738,578.20</t>
  </si>
  <si>
    <t>197,000.00</t>
  </si>
  <si>
    <t>403,230.00</t>
  </si>
  <si>
    <t>173,790.00</t>
  </si>
  <si>
    <t>1,285,140.00</t>
  </si>
  <si>
    <t>55,240.46</t>
  </si>
  <si>
    <t>118,978.00</t>
  </si>
  <si>
    <t>5,025,000.00</t>
  </si>
  <si>
    <t>100,328.50</t>
  </si>
  <si>
    <t>206,010.00</t>
  </si>
  <si>
    <t>296,100.00</t>
  </si>
  <si>
    <t>2,560,754.81</t>
  </si>
  <si>
    <t>227,252.00</t>
  </si>
  <si>
    <t>142,415.00</t>
  </si>
  <si>
    <t>100,800.00</t>
  </si>
  <si>
    <t>93,360.00</t>
  </si>
  <si>
    <t>17,309,000.00</t>
  </si>
  <si>
    <t>339,080.00</t>
  </si>
  <si>
    <t>198,500.00</t>
  </si>
  <si>
    <t>84,660.00</t>
  </si>
  <si>
    <t>294,765.00</t>
  </si>
  <si>
    <t>186,803.00</t>
  </si>
  <si>
    <t>137,880.00</t>
  </si>
  <si>
    <t>79,920.00</t>
  </si>
  <si>
    <t>178,858.00</t>
  </si>
  <si>
    <t>156,717.68</t>
  </si>
  <si>
    <t>1,290,000.00</t>
  </si>
  <si>
    <t>81,450.00</t>
  </si>
  <si>
    <t>217,145.00</t>
  </si>
  <si>
    <t>121,045.00</t>
  </si>
  <si>
    <t>531,051.00</t>
  </si>
  <si>
    <t>416,086.43</t>
  </si>
  <si>
    <t>110,164.00</t>
  </si>
  <si>
    <t>235,023.00</t>
  </si>
  <si>
    <t>373,215.00</t>
  </si>
  <si>
    <t>505,020.00</t>
  </si>
  <si>
    <t>488,165.74</t>
  </si>
  <si>
    <t>7,266,200.00</t>
  </si>
  <si>
    <t>103,700.00</t>
  </si>
  <si>
    <t>165,125.00</t>
  </si>
  <si>
    <t>212,745.00</t>
  </si>
  <si>
    <t>29,645.00</t>
  </si>
  <si>
    <t>94,696.00</t>
  </si>
  <si>
    <t>5,880,000.00</t>
  </si>
  <si>
    <t>848,000.00</t>
  </si>
  <si>
    <t>51,110.00</t>
  </si>
  <si>
    <t>999,960.00</t>
  </si>
  <si>
    <t>199,997.80</t>
  </si>
  <si>
    <t>767,313.68</t>
  </si>
  <si>
    <t>233,220.00</t>
  </si>
  <si>
    <t>64,400.00</t>
  </si>
  <si>
    <t>438,880.00</t>
  </si>
  <si>
    <t>1,388,700.00</t>
  </si>
  <si>
    <t>79,970.00</t>
  </si>
  <si>
    <t>98,668.00</t>
  </si>
  <si>
    <t>129,659.00</t>
  </si>
  <si>
    <t>87,500.00</t>
  </si>
  <si>
    <t>78,596.00</t>
  </si>
  <si>
    <t>23,142,452.40</t>
  </si>
  <si>
    <t>19,400.00</t>
  </si>
  <si>
    <t>929,000.00</t>
  </si>
  <si>
    <t>432,812.00</t>
  </si>
  <si>
    <t>200,533,128.58</t>
  </si>
  <si>
    <t>463,500.00</t>
  </si>
  <si>
    <t>396,600.00</t>
  </si>
  <si>
    <t>158,391.00</t>
  </si>
  <si>
    <t>180,600.10</t>
  </si>
  <si>
    <t>230,685.56</t>
  </si>
  <si>
    <t>102,030.00</t>
  </si>
  <si>
    <t>490,041.00</t>
  </si>
  <si>
    <t>59,982.88</t>
  </si>
  <si>
    <t>686,081.00</t>
  </si>
  <si>
    <t>3,966,521.06</t>
  </si>
  <si>
    <t>560,000.00</t>
  </si>
  <si>
    <t>219,990.00</t>
  </si>
  <si>
    <t>656,600.00</t>
  </si>
  <si>
    <t>537,472.00</t>
  </si>
  <si>
    <t>231,980.00</t>
  </si>
  <si>
    <t>339,600.00</t>
  </si>
  <si>
    <t>937,125.00</t>
  </si>
  <si>
    <t>208,350.00</t>
  </si>
  <si>
    <t>294,572.82</t>
  </si>
  <si>
    <t>402,000.00</t>
  </si>
  <si>
    <t>858,250.00</t>
  </si>
  <si>
    <t>188,355.00</t>
  </si>
  <si>
    <t>945,000.00</t>
  </si>
  <si>
    <t>178,927.00</t>
  </si>
  <si>
    <t>98,703.00</t>
  </si>
  <si>
    <t>5,308,291.06</t>
  </si>
  <si>
    <t>77,500.00</t>
  </si>
  <si>
    <t>328,500.00</t>
  </si>
  <si>
    <t>89,880.00</t>
  </si>
  <si>
    <t>870,113.00</t>
  </si>
  <si>
    <t>527,190.00</t>
  </si>
  <si>
    <t>378,629.00</t>
  </si>
  <si>
    <t>500,940.00</t>
  </si>
  <si>
    <t>408,220.15</t>
  </si>
  <si>
    <t>154,460.00</t>
  </si>
  <si>
    <t>800,505.00</t>
  </si>
  <si>
    <t>11,940,000.00</t>
  </si>
  <si>
    <t>24,874,958.84</t>
  </si>
  <si>
    <t>62,660.00</t>
  </si>
  <si>
    <t>50,425.00</t>
  </si>
  <si>
    <t>4,494,659.00</t>
  </si>
  <si>
    <t>149,665.00</t>
  </si>
  <si>
    <t>278,120.00</t>
  </si>
  <si>
    <t>397,700.00</t>
  </si>
  <si>
    <t>956,700.00</t>
  </si>
  <si>
    <t>108,750.00</t>
  </si>
  <si>
    <t>577,189.60</t>
  </si>
  <si>
    <t>798,963.75</t>
  </si>
  <si>
    <t>261,000.00</t>
  </si>
  <si>
    <t>10,880.00</t>
  </si>
  <si>
    <t>30,722,615.00</t>
  </si>
  <si>
    <t>116,000.00</t>
  </si>
  <si>
    <t>248,000.00</t>
  </si>
  <si>
    <t>1,100,875.00</t>
  </si>
  <si>
    <t>238,600.00</t>
  </si>
  <si>
    <t>111,500.00</t>
  </si>
  <si>
    <t>62,055.00</t>
  </si>
  <si>
    <t>99,989.00</t>
  </si>
  <si>
    <t>151,260.00</t>
  </si>
  <si>
    <t>80,570.00</t>
  </si>
  <si>
    <t>472,000.00</t>
  </si>
  <si>
    <t>173,553.00</t>
  </si>
  <si>
    <t>17,441,308.10</t>
  </si>
  <si>
    <t>224,760.00</t>
  </si>
  <si>
    <t>353,000.00</t>
  </si>
  <si>
    <t>296,710.00</t>
  </si>
  <si>
    <t>80,279.99</t>
  </si>
  <si>
    <t>841,471.40</t>
  </si>
  <si>
    <t>7,668,000.00</t>
  </si>
  <si>
    <t>105,500.00</t>
  </si>
  <si>
    <t>45,400.00</t>
  </si>
  <si>
    <t>327,944.00</t>
  </si>
  <si>
    <t>264,000.00</t>
  </si>
  <si>
    <t>39,972.00</t>
  </si>
  <si>
    <t>185,600.00</t>
  </si>
  <si>
    <t>198,475.00</t>
  </si>
  <si>
    <t>296,000.00</t>
  </si>
  <si>
    <t>115,500.00</t>
  </si>
  <si>
    <t>305,770.00</t>
  </si>
  <si>
    <t>35,325.00</t>
  </si>
  <si>
    <t>122,518.00</t>
  </si>
  <si>
    <t>205,750.00</t>
  </si>
  <si>
    <t>32,435.00</t>
  </si>
  <si>
    <t>14,049,626.56</t>
  </si>
  <si>
    <t>517,500.00</t>
  </si>
  <si>
    <t>875,000.00</t>
  </si>
  <si>
    <t>28,125.00</t>
  </si>
  <si>
    <t>203,035.00</t>
  </si>
  <si>
    <t>470,850.00</t>
  </si>
  <si>
    <t>201,450.00</t>
  </si>
  <si>
    <t>2,179,610.00</t>
  </si>
  <si>
    <t>16,897,796.72</t>
  </si>
  <si>
    <t>778,905.89</t>
  </si>
  <si>
    <t>713,307.34</t>
  </si>
  <si>
    <t>83,700.00</t>
  </si>
  <si>
    <t>69,570.00</t>
  </si>
  <si>
    <t>193,506.84</t>
  </si>
  <si>
    <t>5,251,360.00</t>
  </si>
  <si>
    <t>482,834.41</t>
  </si>
  <si>
    <t>89,100.00</t>
  </si>
  <si>
    <t>62,800.00</t>
  </si>
  <si>
    <t>336,925.00</t>
  </si>
  <si>
    <t>288,841.50</t>
  </si>
  <si>
    <t>95,250.00</t>
  </si>
  <si>
    <t>1,936,000.00</t>
  </si>
  <si>
    <t>503,847.73</t>
  </si>
  <si>
    <t>95,499.98</t>
  </si>
  <si>
    <t>137,800.00</t>
  </si>
  <si>
    <t>139,354.00</t>
  </si>
  <si>
    <t>11,316,230.00</t>
  </si>
  <si>
    <t>999,810.00</t>
  </si>
  <si>
    <t>99,784.50</t>
  </si>
  <si>
    <t>148,092.05</t>
  </si>
  <si>
    <t>59,200.00</t>
  </si>
  <si>
    <t>2,822,400.00</t>
  </si>
  <si>
    <t>157,918.00</t>
  </si>
  <si>
    <t>33,600.00</t>
  </si>
  <si>
    <t>27,000,000.00</t>
  </si>
  <si>
    <t>18,492,000.00</t>
  </si>
  <si>
    <t>599,999.96</t>
  </si>
  <si>
    <t>1,198,900.00</t>
  </si>
  <si>
    <t>379,529.50</t>
  </si>
  <si>
    <t>444,311.00</t>
  </si>
  <si>
    <t>232,367.25</t>
  </si>
  <si>
    <t>791,078.52</t>
  </si>
  <si>
    <t>3,177,367.00</t>
  </si>
  <si>
    <t>206,500.00</t>
  </si>
  <si>
    <t>294,750.00</t>
  </si>
  <si>
    <t>579,110.00</t>
  </si>
  <si>
    <t>499,665.00</t>
  </si>
  <si>
    <t>104,197.00</t>
  </si>
  <si>
    <t>32,410.00</t>
  </si>
  <si>
    <t>404,807.20</t>
  </si>
  <si>
    <t>239,809.46</t>
  </si>
  <si>
    <t>173,995.00</t>
  </si>
  <si>
    <t>99,999.00</t>
  </si>
  <si>
    <t>853,500.00</t>
  </si>
  <si>
    <t>320,281.20</t>
  </si>
  <si>
    <t>79,682.00</t>
  </si>
  <si>
    <t>257,052.05</t>
  </si>
  <si>
    <t>88,455.00</t>
  </si>
  <si>
    <t>23,218,435.00</t>
  </si>
  <si>
    <t>113,691.00</t>
  </si>
  <si>
    <t>16,625.00</t>
  </si>
  <si>
    <t>745,000.00</t>
  </si>
  <si>
    <t>258,870.00</t>
  </si>
  <si>
    <t>30,600.00</t>
  </si>
  <si>
    <t>1,084,519.00</t>
  </si>
  <si>
    <t>63,344.00</t>
  </si>
  <si>
    <t>118,850.00</t>
  </si>
  <si>
    <t>3,564,000.00</t>
  </si>
  <si>
    <t>311,084.00</t>
  </si>
  <si>
    <t>8,500.00</t>
  </si>
  <si>
    <t>69,690.00</t>
  </si>
  <si>
    <t>63,754.00</t>
  </si>
  <si>
    <t>247,607.60</t>
  </si>
  <si>
    <t>1,213,340.00</t>
  </si>
  <si>
    <t>51,780.00</t>
  </si>
  <si>
    <t>347,600.00</t>
  </si>
  <si>
    <t>77,965.00</t>
  </si>
  <si>
    <t>21,667.00</t>
  </si>
  <si>
    <t>72,203.00</t>
  </si>
  <si>
    <t>60,200.00</t>
  </si>
  <si>
    <t>136,425.00</t>
  </si>
  <si>
    <t>2,040,691.32</t>
  </si>
  <si>
    <t>465,109.00</t>
  </si>
  <si>
    <t>2,720,921.76</t>
  </si>
  <si>
    <t>484,395.00</t>
  </si>
  <si>
    <t>156,700.00</t>
  </si>
  <si>
    <t>100,540.00</t>
  </si>
  <si>
    <t>1,470,810.00</t>
  </si>
  <si>
    <t>302,170.00</t>
  </si>
  <si>
    <t>927,563.18</t>
  </si>
  <si>
    <t>579,726.80</t>
  </si>
  <si>
    <t>154,000.00</t>
  </si>
  <si>
    <t>987,000.00</t>
  </si>
  <si>
    <t>167,100.00</t>
  </si>
  <si>
    <t>226,160.00</t>
  </si>
  <si>
    <t>14,925,000.00</t>
  </si>
  <si>
    <t>67,320.00</t>
  </si>
  <si>
    <t>235,065.00</t>
  </si>
  <si>
    <t>1,494,032.95</t>
  </si>
  <si>
    <t>66,564.30</t>
  </si>
  <si>
    <t>2,488,981.47</t>
  </si>
  <si>
    <t>37,023.00</t>
  </si>
  <si>
    <t>134,400.00</t>
  </si>
  <si>
    <t>1,110,927.60</t>
  </si>
  <si>
    <t>440,050.00</t>
  </si>
  <si>
    <t>4,950,757.92</t>
  </si>
  <si>
    <t>164,750.00</t>
  </si>
  <si>
    <t>352,455.00</t>
  </si>
  <si>
    <t>284,397.00</t>
  </si>
  <si>
    <t>7,665,000.00</t>
  </si>
  <si>
    <t>168,941.00</t>
  </si>
  <si>
    <t>736,725.00</t>
  </si>
  <si>
    <t>980,000.00</t>
  </si>
  <si>
    <t>7,880.00</t>
  </si>
  <si>
    <t>4,975,137.16</t>
  </si>
  <si>
    <t>9,468,545.00</t>
  </si>
  <si>
    <t>1,383,770.34</t>
  </si>
  <si>
    <t>1,957,586.58</t>
  </si>
  <si>
    <t>96,500.00</t>
  </si>
  <si>
    <t>163,000.00</t>
  </si>
  <si>
    <t>112,800.00</t>
  </si>
  <si>
    <t>710,000.00</t>
  </si>
  <si>
    <t>1,992,119.67</t>
  </si>
  <si>
    <t>199,410.00</t>
  </si>
  <si>
    <t>74,020.00</t>
  </si>
  <si>
    <t>11,939,996.04</t>
  </si>
  <si>
    <t>74,075.00</t>
  </si>
  <si>
    <t>17,398.40</t>
  </si>
  <si>
    <t>243,171.00</t>
  </si>
  <si>
    <t>1,653,930.00</t>
  </si>
  <si>
    <t>435,431.00</t>
  </si>
  <si>
    <t>812,000.00</t>
  </si>
  <si>
    <t>281,532.00</t>
  </si>
  <si>
    <t>13,278.00</t>
  </si>
  <si>
    <t>158,100.00</t>
  </si>
  <si>
    <t>4,086,775.00</t>
  </si>
  <si>
    <t>73,400.00</t>
  </si>
  <si>
    <t>918,382.50</t>
  </si>
  <si>
    <t>2,387,050.00</t>
  </si>
  <si>
    <t>140,485.00</t>
  </si>
  <si>
    <t>40,760.00</t>
  </si>
  <si>
    <t>106,280.00</t>
  </si>
  <si>
    <t>238,000.00</t>
  </si>
  <si>
    <t>412,550.00</t>
  </si>
  <si>
    <t>101,200.00</t>
  </si>
  <si>
    <t>57,735.00</t>
  </si>
  <si>
    <t>95,700.00</t>
  </si>
  <si>
    <t>172,872.73</t>
  </si>
  <si>
    <t>1,552,820.00</t>
  </si>
  <si>
    <t>565,950.00</t>
  </si>
  <si>
    <t>9,600,000.00</t>
  </si>
  <si>
    <t>477,850.00</t>
  </si>
  <si>
    <t>490,874.59</t>
  </si>
  <si>
    <t>850,000.00</t>
  </si>
  <si>
    <t>34,739,798.04</t>
  </si>
  <si>
    <t>154,675.00</t>
  </si>
  <si>
    <t>873,945.50</t>
  </si>
  <si>
    <t>84,784.00</t>
  </si>
  <si>
    <t>242,000.00</t>
  </si>
  <si>
    <t>999,999.98</t>
  </si>
  <si>
    <t>12,935,000.00</t>
  </si>
  <si>
    <t>208,647.82</t>
  </si>
  <si>
    <t>259,000.00</t>
  </si>
  <si>
    <t>653,640.00</t>
  </si>
  <si>
    <t>3,999,991.73</t>
  </si>
  <si>
    <t>53,400.00</t>
  </si>
  <si>
    <t>3,041,181.44</t>
  </si>
  <si>
    <t>224,999.52</t>
  </si>
  <si>
    <t>503,300.00</t>
  </si>
  <si>
    <t>2,211,300.00</t>
  </si>
  <si>
    <t>272,700.00</t>
  </si>
  <si>
    <t>26,238,457.32</t>
  </si>
  <si>
    <t>63,407.00</t>
  </si>
  <si>
    <t>452,996.51</t>
  </si>
  <si>
    <t>12,079,327.64</t>
  </si>
  <si>
    <t>2,200,000.00</t>
  </si>
  <si>
    <t>4,841,665.93</t>
  </si>
  <si>
    <t>6,972,268.60</t>
  </si>
  <si>
    <t>2,648,054.43</t>
  </si>
  <si>
    <t>254,375.00</t>
  </si>
  <si>
    <t>14,915,128.72</t>
  </si>
  <si>
    <t>24,072,949.52</t>
  </si>
  <si>
    <t>22,657,753.38</t>
  </si>
  <si>
    <t>194,449.40</t>
  </si>
  <si>
    <t>199,297.34</t>
  </si>
  <si>
    <t>243,352.00</t>
  </si>
  <si>
    <t>138,758.78</t>
  </si>
  <si>
    <t>1,518,868.89</t>
  </si>
  <si>
    <t>388,350.00</t>
  </si>
  <si>
    <t>124,500.00</t>
  </si>
  <si>
    <t>181,944.00</t>
  </si>
  <si>
    <t>617,152.00</t>
  </si>
  <si>
    <t>43,500.00</t>
  </si>
  <si>
    <t>974,091.62</t>
  </si>
  <si>
    <t>523,293.92</t>
  </si>
  <si>
    <t>3,100,000.00</t>
  </si>
  <si>
    <t>119,002.00</t>
  </si>
  <si>
    <t>1,485,991.28</t>
  </si>
  <si>
    <t>279,650.00</t>
  </si>
  <si>
    <t>24,875,000.00</t>
  </si>
  <si>
    <t>132,000.00</t>
  </si>
  <si>
    <t>156,800.00</t>
  </si>
  <si>
    <t>3,437,884.82</t>
  </si>
  <si>
    <t>515,383.00</t>
  </si>
  <si>
    <t>4,944,000.00</t>
  </si>
  <si>
    <t>4,990,000.00</t>
  </si>
  <si>
    <t>499,362.30</t>
  </si>
  <si>
    <t>322,000.00</t>
  </si>
  <si>
    <t>10,370,000.00</t>
  </si>
  <si>
    <t>377,578.00</t>
  </si>
  <si>
    <t>1,960.00</t>
  </si>
  <si>
    <t>140,784.00</t>
  </si>
  <si>
    <t>9,700,000.00</t>
  </si>
  <si>
    <t>92,650.00</t>
  </si>
  <si>
    <t>160,400.00</t>
  </si>
  <si>
    <t>215,888.32</t>
  </si>
  <si>
    <t>88,750.00</t>
  </si>
  <si>
    <t>722,491.15</t>
  </si>
  <si>
    <t>738,810.00</t>
  </si>
  <si>
    <t>127,100.00</t>
  </si>
  <si>
    <t>76,851.00</t>
  </si>
  <si>
    <t>1,230,000.00</t>
  </si>
  <si>
    <t>12,812,160.00</t>
  </si>
  <si>
    <t>180,793,360.00</t>
  </si>
  <si>
    <t>540,000.00</t>
  </si>
  <si>
    <t>397,659.00</t>
  </si>
  <si>
    <t>244,436.00</t>
  </si>
  <si>
    <t>158,775.00</t>
  </si>
  <si>
    <t>46,108,275.00</t>
  </si>
  <si>
    <t>55,780.00</t>
  </si>
  <si>
    <t>199,764.90</t>
  </si>
  <si>
    <t>1,981,009.32</t>
  </si>
  <si>
    <t>3,994,518.51</t>
  </si>
  <si>
    <t>174,500.00</t>
  </si>
  <si>
    <t>242,584.00</t>
  </si>
  <si>
    <t>172,557.00</t>
  </si>
  <si>
    <t>574,000.00</t>
  </si>
  <si>
    <t>115,800.00</t>
  </si>
  <si>
    <t>15,052,718.36</t>
  </si>
  <si>
    <t>116,794.60</t>
  </si>
  <si>
    <t>109,429.34</t>
  </si>
  <si>
    <t>92,150.00</t>
  </si>
  <si>
    <t>446,251.00</t>
  </si>
  <si>
    <t>701,700.00</t>
  </si>
  <si>
    <t>336,021.80</t>
  </si>
  <si>
    <t>280,275.00</t>
  </si>
  <si>
    <t>103,100.00</t>
  </si>
  <si>
    <t>141,987.81</t>
  </si>
  <si>
    <t>103,545.00</t>
  </si>
  <si>
    <t>374,982.00</t>
  </si>
  <si>
    <t>630,000.00</t>
  </si>
  <si>
    <t>4,592,000.00</t>
  </si>
  <si>
    <t>582,800.00</t>
  </si>
  <si>
    <t>456,993.79</t>
  </si>
  <si>
    <t>199,986.25</t>
  </si>
  <si>
    <t>426,660.00</t>
  </si>
  <si>
    <t>255,750.00</t>
  </si>
  <si>
    <t>180,155.32</t>
  </si>
  <si>
    <t>6,605,300.00</t>
  </si>
  <si>
    <t>248,160.00</t>
  </si>
  <si>
    <t>292,000.00</t>
  </si>
  <si>
    <t>139,200.00</t>
  </si>
  <si>
    <t>103,000.00</t>
  </si>
  <si>
    <t>178,122.00</t>
  </si>
  <si>
    <t>72,375,000.00</t>
  </si>
  <si>
    <t>117,750.00</t>
  </si>
  <si>
    <t>526,500.00</t>
  </si>
  <si>
    <t>2,218,000.00</t>
  </si>
  <si>
    <t>69,800.00</t>
  </si>
  <si>
    <t>6,488,000.00</t>
  </si>
  <si>
    <t>99,995.70</t>
  </si>
  <si>
    <t>234,360.00</t>
  </si>
  <si>
    <t>1,005,932.00</t>
  </si>
  <si>
    <t>58,600.00</t>
  </si>
  <si>
    <t>261,300.00</t>
  </si>
  <si>
    <t>805,000.00</t>
  </si>
  <si>
    <t>536,400.00</t>
  </si>
  <si>
    <t>79,500.00</t>
  </si>
  <si>
    <t>299,999.00</t>
  </si>
  <si>
    <t>73,903.00</t>
  </si>
  <si>
    <t>2,470,000.00</t>
  </si>
  <si>
    <t>156,260.00</t>
  </si>
  <si>
    <t>318,661.00</t>
  </si>
  <si>
    <t>3,144,000.00</t>
  </si>
  <si>
    <t>26,800.00</t>
  </si>
  <si>
    <t>432,000.00</t>
  </si>
  <si>
    <t>222,000.00</t>
  </si>
  <si>
    <t>53,490.00</t>
  </si>
  <si>
    <t>628,744.00</t>
  </si>
  <si>
    <t>984,624.00</t>
  </si>
  <si>
    <t>654,000.00</t>
  </si>
  <si>
    <t>381,641.57</t>
  </si>
  <si>
    <t>980,297.06</t>
  </si>
  <si>
    <t>608,494.00</t>
  </si>
  <si>
    <t>1,002,000.00</t>
  </si>
  <si>
    <t>44,670.88</t>
  </si>
  <si>
    <t>189,900.00</t>
  </si>
  <si>
    <t>499,450.00</t>
  </si>
  <si>
    <t>414,750.00</t>
  </si>
  <si>
    <t>215,421.50</t>
  </si>
  <si>
    <t>330,465.20</t>
  </si>
  <si>
    <t>351,323.00</t>
  </si>
  <si>
    <t>305,300.00</t>
  </si>
  <si>
    <t>154,470.60</t>
  </si>
  <si>
    <t>345,410.00</t>
  </si>
  <si>
    <t>70,109.00</t>
  </si>
  <si>
    <t>1,012,500.00</t>
  </si>
  <si>
    <t>166,920.00</t>
  </si>
  <si>
    <t>117,670.00</t>
  </si>
  <si>
    <t>1,060,000.00</t>
  </si>
  <si>
    <t>50,294.25</t>
  </si>
  <si>
    <t>2,007,000.00</t>
  </si>
  <si>
    <t>14,400,000.00</t>
  </si>
  <si>
    <t>481,788.00</t>
  </si>
  <si>
    <t>118,960.00</t>
  </si>
  <si>
    <t>290,430.00</t>
  </si>
  <si>
    <t>144,241.00</t>
  </si>
  <si>
    <t>66,200.00</t>
  </si>
  <si>
    <t>450,080.60</t>
  </si>
  <si>
    <t>15,600.00</t>
  </si>
  <si>
    <t>2,922,476.93</t>
  </si>
  <si>
    <t>1,500,855.00</t>
  </si>
  <si>
    <t>19,100.00</t>
  </si>
  <si>
    <t>50,165.00</t>
  </si>
  <si>
    <t>201,117.50</t>
  </si>
  <si>
    <t>235,150.00</t>
  </si>
  <si>
    <t>799,190.00</t>
  </si>
  <si>
    <t>315,766.19</t>
  </si>
  <si>
    <t>24,755.00</t>
  </si>
  <si>
    <t>81,870.00</t>
  </si>
  <si>
    <t>2,900,000.00</t>
  </si>
  <si>
    <t>3,067,162.51</t>
  </si>
  <si>
    <t>57,469.77</t>
  </si>
  <si>
    <t>177,760.00</t>
  </si>
  <si>
    <t>4,500.00</t>
  </si>
  <si>
    <t>16,050.00</t>
  </si>
  <si>
    <t>55,032.00</t>
  </si>
  <si>
    <t>440,000.00</t>
  </si>
  <si>
    <t>29,963,594.00</t>
  </si>
  <si>
    <t>916,800.00</t>
  </si>
  <si>
    <t>60,000,000.00</t>
  </si>
  <si>
    <t>776,800.00</t>
  </si>
  <si>
    <t>1,999,024.84</t>
  </si>
  <si>
    <t>88,575,976.55</t>
  </si>
  <si>
    <t>9,101,220.53</t>
  </si>
  <si>
    <t>101,550.00</t>
  </si>
  <si>
    <t>70,500.00</t>
  </si>
  <si>
    <t>286,100.00</t>
  </si>
  <si>
    <t>75,700.00</t>
  </si>
  <si>
    <t>57,085.00</t>
  </si>
  <si>
    <t>323,425.45</t>
  </si>
  <si>
    <t>87,600.00</t>
  </si>
  <si>
    <t>62,409.75</t>
  </si>
  <si>
    <t>77,400.00</t>
  </si>
  <si>
    <t>590,043.50</t>
  </si>
  <si>
    <t>705,780.00</t>
  </si>
  <si>
    <t>123,200.00</t>
  </si>
  <si>
    <t>120,600.00</t>
  </si>
  <si>
    <t>312,555.66</t>
  </si>
  <si>
    <t>158,039.00</t>
  </si>
  <si>
    <t>292,100.00</t>
  </si>
  <si>
    <t>130,600.00</t>
  </si>
  <si>
    <t>419,190.00</t>
  </si>
  <si>
    <t>159,500.00</t>
  </si>
  <si>
    <t>24,300.00</t>
  </si>
  <si>
    <t>127,500.00</t>
  </si>
  <si>
    <t>161,400.00</t>
  </si>
  <si>
    <t>33,665,939.00</t>
  </si>
  <si>
    <t>439,500.00</t>
  </si>
  <si>
    <t>199,895.00</t>
  </si>
  <si>
    <t>51,598.90</t>
  </si>
  <si>
    <t>23,040,759.00</t>
  </si>
  <si>
    <t>26,730.00</t>
  </si>
  <si>
    <t>324,000.00</t>
  </si>
  <si>
    <t>14,900.00</t>
  </si>
  <si>
    <t>133,586.00</t>
  </si>
  <si>
    <t>97,600.00</t>
  </si>
  <si>
    <t>548,589.21</t>
  </si>
  <si>
    <t>3,017,500.00</t>
  </si>
  <si>
    <t>129,800.00</t>
  </si>
  <si>
    <t>204,390.00</t>
  </si>
  <si>
    <t>43,300.00</t>
  </si>
  <si>
    <t>7,392,907.70</t>
  </si>
  <si>
    <t>129,600.00</t>
  </si>
  <si>
    <t>339,280.00</t>
  </si>
  <si>
    <t>134,888.00</t>
  </si>
  <si>
    <t>2,225,385.75</t>
  </si>
  <si>
    <t>5,550.00</t>
  </si>
  <si>
    <t>75,300.00</t>
  </si>
  <si>
    <t>94,750.00</t>
  </si>
  <si>
    <t>122,220.00</t>
  </si>
  <si>
    <t>2,549,300.00</t>
  </si>
  <si>
    <t>4,986,967.86</t>
  </si>
  <si>
    <t>104,462.00</t>
  </si>
  <si>
    <t>1,519.46</t>
  </si>
  <si>
    <t>125,868.00</t>
  </si>
  <si>
    <t>797,150.00</t>
  </si>
  <si>
    <t>158,155.00</t>
  </si>
  <si>
    <t>41,800.00</t>
  </si>
  <si>
    <t>294,600.00</t>
  </si>
  <si>
    <t>1,497,374.36</t>
  </si>
  <si>
    <t>5,600.00</t>
  </si>
  <si>
    <t>110,910.00</t>
  </si>
  <si>
    <t>51,036.00</t>
  </si>
  <si>
    <t>311,700.00</t>
  </si>
  <si>
    <t>10,997,261.58</t>
  </si>
  <si>
    <t>259,778.40</t>
  </si>
  <si>
    <t>175,536.00</t>
  </si>
  <si>
    <t>438,074.00</t>
  </si>
  <si>
    <t>683,915.00</t>
  </si>
  <si>
    <t>113,402.92</t>
  </si>
  <si>
    <t>341,011.50</t>
  </si>
  <si>
    <t>27,800,000.00</t>
  </si>
  <si>
    <t>797,275.00</t>
  </si>
  <si>
    <t>268,806.95</t>
  </si>
  <si>
    <t>414,500.00</t>
  </si>
  <si>
    <t>52,620.00</t>
  </si>
  <si>
    <t>6,599,360.00</t>
  </si>
  <si>
    <t>111,345.00</t>
  </si>
  <si>
    <t>2,208,000.00</t>
  </si>
  <si>
    <t>80,611.00</t>
  </si>
  <si>
    <t>424,870.00</t>
  </si>
  <si>
    <t>1,405,385.00</t>
  </si>
  <si>
    <t>3,613,520.00</t>
  </si>
  <si>
    <t>9,862,000.00</t>
  </si>
  <si>
    <t>96,415.00</t>
  </si>
  <si>
    <t>613,765.50</t>
  </si>
  <si>
    <t>10.00</t>
  </si>
  <si>
    <t>229,740.00</t>
  </si>
  <si>
    <t>4,838,630.00</t>
  </si>
  <si>
    <t>627,000.00</t>
  </si>
  <si>
    <t>155,820.00</t>
  </si>
  <si>
    <t>296,553.20</t>
  </si>
  <si>
    <t>39,830.00</t>
  </si>
  <si>
    <t>85,900.00</t>
  </si>
  <si>
    <t>79,600.00</t>
  </si>
  <si>
    <t>118,447.50</t>
  </si>
  <si>
    <t>166,399.97</t>
  </si>
  <si>
    <t>62,900.00</t>
  </si>
  <si>
    <t>166,720.00</t>
  </si>
  <si>
    <t>341,000.00</t>
  </si>
  <si>
    <t>2,083,900.00</t>
  </si>
  <si>
    <t>18,481.00</t>
  </si>
  <si>
    <t>135,200.00</t>
  </si>
  <si>
    <t>332,380.00</t>
  </si>
  <si>
    <t>668,172.90</t>
  </si>
  <si>
    <t>138,520.00</t>
  </si>
  <si>
    <t>11,192.00</t>
  </si>
  <si>
    <t>259,292.15</t>
  </si>
  <si>
    <t>107,688.00</t>
  </si>
  <si>
    <t>2,009,674.00</t>
  </si>
  <si>
    <t>112,825.00</t>
  </si>
  <si>
    <t>84,780.00</t>
  </si>
  <si>
    <t>217,765.66</t>
  </si>
  <si>
    <t>165,245.00</t>
  </si>
  <si>
    <t>95,200.00</t>
  </si>
  <si>
    <t>116,680.00</t>
  </si>
  <si>
    <t>162,283.00</t>
  </si>
  <si>
    <t>2,431,781.81</t>
  </si>
  <si>
    <t>107,700.00</t>
  </si>
  <si>
    <t>816,457.76</t>
  </si>
  <si>
    <t>360,100.00</t>
  </si>
  <si>
    <t>337,850.00</t>
  </si>
  <si>
    <t>114,560.00</t>
  </si>
  <si>
    <t>133,000.00</t>
  </si>
  <si>
    <t>36,765.00</t>
  </si>
  <si>
    <t>13,650.00</t>
  </si>
  <si>
    <t>113,816.00</t>
  </si>
  <si>
    <t>87,420.00</t>
  </si>
  <si>
    <t>486,792.20</t>
  </si>
  <si>
    <t>126,591.00</t>
  </si>
  <si>
    <t>138,210.00</t>
  </si>
  <si>
    <t>997,000.00</t>
  </si>
  <si>
    <t>149,668.50</t>
  </si>
  <si>
    <t>93,300.00</t>
  </si>
  <si>
    <t>376,755.00</t>
  </si>
  <si>
    <t>108,500.00</t>
  </si>
  <si>
    <t>166,465.00</t>
  </si>
  <si>
    <t>237,825.00</t>
  </si>
  <si>
    <t>221,279.00</t>
  </si>
  <si>
    <t>150,204.00</t>
  </si>
  <si>
    <t>122,873.60</t>
  </si>
  <si>
    <t>132,704.25</t>
  </si>
  <si>
    <t>1,409,850.00</t>
  </si>
  <si>
    <t>322,622.30</t>
  </si>
  <si>
    <t>3,289,000.00</t>
  </si>
  <si>
    <t>94,500.00</t>
  </si>
  <si>
    <t>246,900.00</t>
  </si>
  <si>
    <t>258,000.00</t>
  </si>
  <si>
    <t>57,450.00</t>
  </si>
  <si>
    <t>12,200.00</t>
  </si>
  <si>
    <t>18,850.00</t>
  </si>
  <si>
    <t>99,891.75</t>
  </si>
  <si>
    <t>449,480.00</t>
  </si>
  <si>
    <t>200,900.00</t>
  </si>
  <si>
    <t>460,564.00</t>
  </si>
  <si>
    <t>112,086.00</t>
  </si>
  <si>
    <t>84,100.00</t>
  </si>
  <si>
    <t>602,097.00</t>
  </si>
  <si>
    <t>147,500.00</t>
  </si>
  <si>
    <t>470,500.00</t>
  </si>
  <si>
    <t>100,600.00</t>
  </si>
  <si>
    <t>75,800.00</t>
  </si>
  <si>
    <t>52,300.00</t>
  </si>
  <si>
    <t>5,749,935.67</t>
  </si>
  <si>
    <t>12,345.00</t>
  </si>
  <si>
    <t>261,567.88</t>
  </si>
  <si>
    <t>163,224.60</t>
  </si>
  <si>
    <t>115,865.00</t>
  </si>
  <si>
    <t>1,640,000.00</t>
  </si>
  <si>
    <t>3,013,300.00</t>
  </si>
  <si>
    <t>118,910.00</t>
  </si>
  <si>
    <t>271,800.00</t>
  </si>
  <si>
    <t>174,015.00</t>
  </si>
  <si>
    <t>9,500,000.00</t>
  </si>
  <si>
    <t>767,922.50</t>
  </si>
  <si>
    <t>67,645.00</t>
  </si>
  <si>
    <t>7,030,600.00</t>
  </si>
  <si>
    <t>1,795,080.00</t>
  </si>
  <si>
    <t>231,500.00</t>
  </si>
  <si>
    <t>525,065.00</t>
  </si>
  <si>
    <t>66,300.00</t>
  </si>
  <si>
    <t>4,960,000.00</t>
  </si>
  <si>
    <t>474,414.40</t>
  </si>
  <si>
    <t>76,870.00</t>
  </si>
  <si>
    <t>552,120.00</t>
  </si>
  <si>
    <t>419,407.00</t>
  </si>
  <si>
    <t>210,137.00</t>
  </si>
  <si>
    <t>54,600.00</t>
  </si>
  <si>
    <t>699,676.69</t>
  </si>
  <si>
    <t>90,800.00</t>
  </si>
  <si>
    <t>419,000.00</t>
  </si>
  <si>
    <t>157,348.00</t>
  </si>
  <si>
    <t>315,950.00</t>
  </si>
  <si>
    <t>82,000.00</t>
  </si>
  <si>
    <t>4,360,000.00</t>
  </si>
  <si>
    <t>969,691.50</t>
  </si>
  <si>
    <t>90,300.00</t>
  </si>
  <si>
    <t>775,050.00</t>
  </si>
  <si>
    <t>6,900,000.00</t>
  </si>
  <si>
    <t>537,850.00</t>
  </si>
  <si>
    <t>56,040.00</t>
  </si>
  <si>
    <t>197,030.00</t>
  </si>
  <si>
    <t>94,869.00</t>
  </si>
  <si>
    <t>275,500.00</t>
  </si>
  <si>
    <t>260,130.00</t>
  </si>
  <si>
    <t>307,712.00</t>
  </si>
  <si>
    <t>22,306,780.00</t>
  </si>
  <si>
    <t>272,745.00</t>
  </si>
  <si>
    <t>240,800.00</t>
  </si>
  <si>
    <t>11,939,881.02</t>
  </si>
  <si>
    <t>705,783.40</t>
  </si>
  <si>
    <t>982,154.00</t>
  </si>
  <si>
    <t>433,235.00</t>
  </si>
  <si>
    <t>206,910.00</t>
  </si>
  <si>
    <t>2,857,010.10</t>
  </si>
  <si>
    <t>346,980.00</t>
  </si>
  <si>
    <t>201,491.25</t>
  </si>
  <si>
    <t>83,100.00</t>
  </si>
  <si>
    <t>23,511,064.00</t>
  </si>
  <si>
    <t>189,337.16</t>
  </si>
  <si>
    <t>75,050.00</t>
  </si>
  <si>
    <t>403,680.78</t>
  </si>
  <si>
    <t>164,150.00</t>
  </si>
  <si>
    <t>1,372,256.00</t>
  </si>
  <si>
    <t>155,401.00</t>
  </si>
  <si>
    <t>244,890.00</t>
  </si>
  <si>
    <t>223,000.00</t>
  </si>
  <si>
    <t>996,294.51</t>
  </si>
  <si>
    <t>497,400.00</t>
  </si>
  <si>
    <t>89,440.00</t>
  </si>
  <si>
    <t>67,410.00</t>
  </si>
  <si>
    <t>3,094,320.00</t>
  </si>
  <si>
    <t>276,000.00</t>
  </si>
  <si>
    <t>20,000,000.00</t>
  </si>
  <si>
    <t>2,970.00</t>
  </si>
  <si>
    <t>2,825,000.00</t>
  </si>
  <si>
    <t>63,497.53</t>
  </si>
  <si>
    <t>702,000.00</t>
  </si>
  <si>
    <t>30,150,000.00</t>
  </si>
  <si>
    <t>99,987.00</t>
  </si>
  <si>
    <t>269,126.00</t>
  </si>
  <si>
    <t>224,000.00</t>
  </si>
  <si>
    <t>385,000.00</t>
  </si>
  <si>
    <t>15,150,000.00</t>
  </si>
  <si>
    <t>1,085,227.08</t>
  </si>
  <si>
    <t>284,134.12</t>
  </si>
  <si>
    <t>39,393,660.00</t>
  </si>
  <si>
    <t>12,437,456.94</t>
  </si>
  <si>
    <t>7,490.00</t>
  </si>
  <si>
    <t>8,100.00</t>
  </si>
  <si>
    <t>30,350.00</t>
  </si>
  <si>
    <t>38,000.00</t>
  </si>
  <si>
    <t>832,544.00</t>
  </si>
  <si>
    <t>90,390.00</t>
  </si>
  <si>
    <t>819,770.02</t>
  </si>
  <si>
    <t>66,289.49</t>
  </si>
  <si>
    <t>405,000.00</t>
  </si>
  <si>
    <t>735,939.29</t>
  </si>
  <si>
    <t>256,000.00</t>
  </si>
  <si>
    <t>164,920.00</t>
  </si>
  <si>
    <t>153,500.00</t>
  </si>
  <si>
    <t>544,574.95</t>
  </si>
  <si>
    <t>82,000,000.00</t>
  </si>
  <si>
    <t>30,700,000.00</t>
  </si>
  <si>
    <t>23,430.00</t>
  </si>
  <si>
    <t>592,506.85</t>
  </si>
  <si>
    <t>12,437,413.20</t>
  </si>
  <si>
    <t>56,083.36</t>
  </si>
  <si>
    <t>456,795.00</t>
  </si>
  <si>
    <t>796,002.00</t>
  </si>
  <si>
    <t>371,695.30</t>
  </si>
  <si>
    <t>291,496.33</t>
  </si>
  <si>
    <t>899,986.00</t>
  </si>
  <si>
    <t>69,875.00</t>
  </si>
  <si>
    <t>11,939,885.66</t>
  </si>
  <si>
    <t>145,100.00</t>
  </si>
  <si>
    <t>970,000.00</t>
  </si>
  <si>
    <t>289,000.00</t>
  </si>
  <si>
    <t>874,738.00</t>
  </si>
  <si>
    <t>490,000.00</t>
  </si>
  <si>
    <t>29,998.00</t>
  </si>
  <si>
    <t>59,300.00</t>
  </si>
  <si>
    <t>460,000.00</t>
  </si>
  <si>
    <t>59,990.00</t>
  </si>
  <si>
    <t>1,022,335.05</t>
  </si>
  <si>
    <t>87,200.00</t>
  </si>
  <si>
    <t>2,450,000.00</t>
  </si>
  <si>
    <t>11,939,700.28</t>
  </si>
  <si>
    <t>2,281,600.00</t>
  </si>
  <si>
    <t>245,518.00</t>
  </si>
  <si>
    <t>9,999,964.13</t>
  </si>
  <si>
    <t>242,400.00</t>
  </si>
  <si>
    <t>754,865.10</t>
  </si>
  <si>
    <t>86,978.00</t>
  </si>
  <si>
    <t>13,781,062.34</t>
  </si>
  <si>
    <t>94,210.00</t>
  </si>
  <si>
    <t>1,345,640.00</t>
  </si>
  <si>
    <t>52,812.70</t>
  </si>
  <si>
    <t>12,437,348.37</t>
  </si>
  <si>
    <t>2,070,733.34</t>
  </si>
  <si>
    <t>8,500,000.00</t>
  </si>
  <si>
    <t>1,450,000.00</t>
  </si>
  <si>
    <t>757,150.00</t>
  </si>
  <si>
    <t>202,460.00</t>
  </si>
  <si>
    <t>8,410,856.44</t>
  </si>
  <si>
    <t>1,934,767.06</t>
  </si>
  <si>
    <t>2,600,000.00</t>
  </si>
  <si>
    <t>81,804.00</t>
  </si>
  <si>
    <t>133,700.00</t>
  </si>
  <si>
    <t>1,581,927.00</t>
  </si>
  <si>
    <t>496,685.80</t>
  </si>
  <si>
    <t>7,752,440.00</t>
  </si>
  <si>
    <t>3,794,521.30</t>
  </si>
  <si>
    <t>72,148.00</t>
  </si>
  <si>
    <t>97,550.00</t>
  </si>
  <si>
    <t>88,200.00</t>
  </si>
  <si>
    <t>871,600.00</t>
  </si>
  <si>
    <t>374,850.00</t>
  </si>
  <si>
    <t>3,824,648.00</t>
  </si>
  <si>
    <t>163,992.00</t>
  </si>
  <si>
    <t>9,048,518.04</t>
  </si>
  <si>
    <t>237,435.00</t>
  </si>
  <si>
    <t>185,590.00</t>
  </si>
  <si>
    <t>420,125.00</t>
  </si>
  <si>
    <t>459,800.00</t>
  </si>
  <si>
    <t>120,700.00</t>
  </si>
  <si>
    <t>252,396.00</t>
  </si>
  <si>
    <t>311,800.00</t>
  </si>
  <si>
    <t>28,545,866.97</t>
  </si>
  <si>
    <t>333,333.00</t>
  </si>
  <si>
    <t>326,340.00</t>
  </si>
  <si>
    <t>704,000.00</t>
  </si>
  <si>
    <t>339,000.00</t>
  </si>
  <si>
    <t>331,795.40</t>
  </si>
  <si>
    <t>85,500.00</t>
  </si>
  <si>
    <t>4,945,575.00</t>
  </si>
  <si>
    <t>8,971,878.01</t>
  </si>
  <si>
    <t>153,378.00</t>
  </si>
  <si>
    <t>406,583.80</t>
  </si>
  <si>
    <t>526,075.00</t>
  </si>
  <si>
    <t>128,690.00</t>
  </si>
  <si>
    <t>126,203.75</t>
  </si>
  <si>
    <t>6,339,600.00</t>
  </si>
  <si>
    <t>9,985,917.62</t>
  </si>
  <si>
    <t>2,323,432.77</t>
  </si>
  <si>
    <t>372,387.60</t>
  </si>
  <si>
    <t>6,800.00</t>
  </si>
  <si>
    <t>177,987.00</t>
  </si>
  <si>
    <t>6,610,000.00</t>
  </si>
  <si>
    <t>6,300,000.00</t>
  </si>
  <si>
    <t>77,320.00</t>
  </si>
  <si>
    <t>684,275.00</t>
  </si>
  <si>
    <t>93,172.00</t>
  </si>
  <si>
    <t>595,045.00</t>
  </si>
  <si>
    <t>114,880.00</t>
  </si>
  <si>
    <t>183,214.00</t>
  </si>
  <si>
    <t>88,807.00</t>
  </si>
  <si>
    <t>174,200.00</t>
  </si>
  <si>
    <t>342,509.20</t>
  </si>
  <si>
    <t>69,212.92</t>
  </si>
  <si>
    <t>49,850.00</t>
  </si>
  <si>
    <t>1,798,000.00</t>
  </si>
  <si>
    <t>54,500.00</t>
  </si>
  <si>
    <t>1,078,896.00</t>
  </si>
  <si>
    <t>806,690.39</t>
  </si>
  <si>
    <t>1,999,800.00</t>
  </si>
  <si>
    <t>86,530.00</t>
  </si>
  <si>
    <t>940,000.00</t>
  </si>
  <si>
    <t>231,000.00</t>
  </si>
  <si>
    <t>1,591,850,199.91</t>
  </si>
  <si>
    <t>75,340.00</t>
  </si>
  <si>
    <t>892,090.32</t>
  </si>
  <si>
    <t>189,000.00</t>
  </si>
  <si>
    <t>19,762.98</t>
  </si>
  <si>
    <t>60,800.00</t>
  </si>
  <si>
    <t>193,856.00</t>
  </si>
  <si>
    <t>2,385,745.65</t>
  </si>
  <si>
    <t>791,200.00</t>
  </si>
  <si>
    <t>2,999,322.02</t>
  </si>
  <si>
    <t>2,100.00</t>
  </si>
  <si>
    <t>121,716.00</t>
  </si>
  <si>
    <t>6,288,708.14</t>
  </si>
  <si>
    <t>6,800,000.00</t>
  </si>
  <si>
    <t>324,250.00</t>
  </si>
  <si>
    <t>168,699.00</t>
  </si>
  <si>
    <t>1,323,135.00</t>
  </si>
  <si>
    <t>233,331.00</t>
  </si>
  <si>
    <t>111,388.45</t>
  </si>
  <si>
    <t>2,593,488.11</t>
  </si>
  <si>
    <t>304,000.00</t>
  </si>
  <si>
    <t>408,000.00</t>
  </si>
  <si>
    <t>72,600.00</t>
  </si>
  <si>
    <t>135,600.00</t>
  </si>
  <si>
    <t>387,000.00</t>
  </si>
  <si>
    <t>136,000.00</t>
  </si>
  <si>
    <t>44,950.00</t>
  </si>
  <si>
    <t>259,945.00</t>
  </si>
  <si>
    <t>742,500.00</t>
  </si>
  <si>
    <t>52,050.00</t>
  </si>
  <si>
    <t>11,623,000.00</t>
  </si>
  <si>
    <t>9,976,912.00</t>
  </si>
  <si>
    <t>97,735.00</t>
  </si>
  <si>
    <t>136,497.00</t>
  </si>
  <si>
    <t>2,566,817.52</t>
  </si>
  <si>
    <t>4,800,000.00</t>
  </si>
  <si>
    <t>1,845,000.00</t>
  </si>
  <si>
    <t>142,000.00</t>
  </si>
  <si>
    <t>852,934.60</t>
  </si>
  <si>
    <t>522,080.00</t>
  </si>
  <si>
    <t>305,545.50</t>
  </si>
  <si>
    <t>124,930.00</t>
  </si>
  <si>
    <t>1,578,900.00</t>
  </si>
  <si>
    <t>10,277,890.00</t>
  </si>
  <si>
    <t>979,000.00</t>
  </si>
  <si>
    <t>207,682.76</t>
  </si>
  <si>
    <t>147,003.81</t>
  </si>
  <si>
    <t>22,440,000.00</t>
  </si>
  <si>
    <t>69,300.00</t>
  </si>
  <si>
    <t>316,202.50</t>
  </si>
  <si>
    <t>533,900.00</t>
  </si>
  <si>
    <t>248,800.00</t>
  </si>
  <si>
    <t>297,875.00</t>
  </si>
  <si>
    <t>245,530.13</t>
  </si>
  <si>
    <t>1,115,800.00</t>
  </si>
  <si>
    <t>8,588.81</t>
  </si>
  <si>
    <t>669,190.00</t>
  </si>
  <si>
    <t>72,515.00</t>
  </si>
  <si>
    <t>59,026.00</t>
  </si>
  <si>
    <t>1,360,548.00</t>
  </si>
  <si>
    <t>75,221.35</t>
  </si>
  <si>
    <t>1,499,903.33</t>
  </si>
  <si>
    <t>77,900.00</t>
  </si>
  <si>
    <t>143,000.00</t>
  </si>
  <si>
    <t>805,960.83</t>
  </si>
  <si>
    <t>4,934,159.54</t>
  </si>
  <si>
    <t>187,050.00</t>
  </si>
  <si>
    <t>216,750.00</t>
  </si>
  <si>
    <t>59,075.00</t>
  </si>
  <si>
    <t>150,780.00</t>
  </si>
  <si>
    <t>252,000.00</t>
  </si>
  <si>
    <t>155,240.00</t>
  </si>
  <si>
    <t>229,990.00</t>
  </si>
  <si>
    <t>499,746.00</t>
  </si>
  <si>
    <t>53,300.00</t>
  </si>
  <si>
    <t>445,000.00</t>
  </si>
  <si>
    <t>162,930.00</t>
  </si>
  <si>
    <t>20,428,800.00</t>
  </si>
  <si>
    <t>405,128.43</t>
  </si>
  <si>
    <t>1,100.00</t>
  </si>
  <si>
    <t>162,200.00</t>
  </si>
  <si>
    <t>723,070.00</t>
  </si>
  <si>
    <t>1,157,408.00</t>
  </si>
  <si>
    <t>215,000.00</t>
  </si>
  <si>
    <t>196,200.00</t>
  </si>
  <si>
    <t>143,067.00</t>
  </si>
  <si>
    <t>362,500.00</t>
  </si>
  <si>
    <t>5,156,133.50</t>
  </si>
  <si>
    <t>79,558.00</t>
  </si>
  <si>
    <t>337,800.00</t>
  </si>
  <si>
    <t>452,300.00</t>
  </si>
  <si>
    <t>384,182.60</t>
  </si>
  <si>
    <t>667,049.61</t>
  </si>
  <si>
    <t>149,344.00</t>
  </si>
  <si>
    <t>70,181.00</t>
  </si>
  <si>
    <t>27,400,091.58</t>
  </si>
  <si>
    <t>1,135,710.00</t>
  </si>
  <si>
    <t>213,000.00</t>
  </si>
  <si>
    <t>431,907.35</t>
  </si>
  <si>
    <t>48,310.00</t>
  </si>
  <si>
    <t>1,599,902.00</t>
  </si>
  <si>
    <t>1,250,000.00</t>
  </si>
  <si>
    <t>27,500.00</t>
  </si>
  <si>
    <t>71,160.00</t>
  </si>
  <si>
    <t>242,723.80</t>
  </si>
  <si>
    <t>590,000.00</t>
  </si>
  <si>
    <t>348,050.00</t>
  </si>
  <si>
    <t>99,000,000.00</t>
  </si>
  <si>
    <t>1,098,293.00</t>
  </si>
  <si>
    <t>14,872.00</t>
  </si>
  <si>
    <t>653,934.01</t>
  </si>
  <si>
    <t>72,648.00</t>
  </si>
  <si>
    <t>149,880.00</t>
  </si>
  <si>
    <t>1,337,692.00</t>
  </si>
  <si>
    <t>287,770.00</t>
  </si>
  <si>
    <t>1,388,640.00</t>
  </si>
  <si>
    <t>746,380.31</t>
  </si>
  <si>
    <t>145,560.00</t>
  </si>
  <si>
    <t>2,197,942.77</t>
  </si>
  <si>
    <t>73,710.00</t>
  </si>
  <si>
    <t>134,180.00</t>
  </si>
  <si>
    <t>49,950.00</t>
  </si>
  <si>
    <t>3,429,266.66</t>
  </si>
  <si>
    <t>1,004,682.35</t>
  </si>
  <si>
    <t>323,500.00</t>
  </si>
  <si>
    <t>3,441,241.55</t>
  </si>
  <si>
    <t>699,191.00</t>
  </si>
  <si>
    <t>280,007.12</t>
  </si>
  <si>
    <t>637,000.00</t>
  </si>
  <si>
    <t>97,690.00</t>
  </si>
  <si>
    <t>79,212.76</t>
  </si>
  <si>
    <t>77,077.00</t>
  </si>
  <si>
    <t>305,350.00</t>
  </si>
  <si>
    <t>1,036,312.00</t>
  </si>
  <si>
    <t>88,800.00</t>
  </si>
  <si>
    <t>121,100.00</t>
  </si>
  <si>
    <t>328,200.00</t>
  </si>
  <si>
    <t>4,510.00</t>
  </si>
  <si>
    <t>206,707.15</t>
  </si>
  <si>
    <t>212,000.00</t>
  </si>
  <si>
    <t>46,368.00</t>
  </si>
  <si>
    <t>608,658.75</t>
  </si>
  <si>
    <t>999,524.66</t>
  </si>
  <si>
    <t>855,000.00</t>
  </si>
  <si>
    <t>2,270,000.00</t>
  </si>
  <si>
    <t>97,000.00</t>
  </si>
  <si>
    <t>157,447.95</t>
  </si>
  <si>
    <t>4,378,433.00</t>
  </si>
  <si>
    <t>629,960.23</t>
  </si>
  <si>
    <t>94,600.00</t>
  </si>
  <si>
    <t>69,993.00</t>
  </si>
  <si>
    <t>58,450.00</t>
  </si>
  <si>
    <t>998,082.75</t>
  </si>
  <si>
    <t>287,500.00</t>
  </si>
  <si>
    <t>8,136,467.00</t>
  </si>
  <si>
    <t>200,682.62</t>
  </si>
  <si>
    <t>4,390,483.50</t>
  </si>
  <si>
    <t>79,516.00</t>
  </si>
  <si>
    <t>799,680.00</t>
  </si>
  <si>
    <t>100,302.00</t>
  </si>
  <si>
    <t>236,750.00</t>
  </si>
  <si>
    <t>261,727.00</t>
  </si>
  <si>
    <t>506,698.50</t>
  </si>
  <si>
    <t>300,150.00</t>
  </si>
  <si>
    <t>349,359.74</t>
  </si>
  <si>
    <t>69,938.00</t>
  </si>
  <si>
    <t>1,820,000.00</t>
  </si>
  <si>
    <t>394,680.00</t>
  </si>
  <si>
    <t>255,000.00</t>
  </si>
  <si>
    <t>99,920.00</t>
  </si>
  <si>
    <t>98,700.00</t>
  </si>
  <si>
    <t>20,040.00</t>
  </si>
  <si>
    <t>256,905.00</t>
  </si>
  <si>
    <t>110,523.00</t>
  </si>
  <si>
    <t>256,808.70</t>
  </si>
  <si>
    <t>69,505.00</t>
  </si>
  <si>
    <t>152,000.00</t>
  </si>
  <si>
    <t>2,213,148.00</t>
  </si>
  <si>
    <t>1,531,280.89</t>
  </si>
  <si>
    <t>103,230.00</t>
  </si>
  <si>
    <t>199,332.97</t>
  </si>
  <si>
    <t>12,550.00</t>
  </si>
  <si>
    <t>149,550.00</t>
  </si>
  <si>
    <t>418,339.97</t>
  </si>
  <si>
    <t>16,778,600.85</t>
  </si>
  <si>
    <t>733,642.80</t>
  </si>
  <si>
    <t>94,970.00</t>
  </si>
  <si>
    <t>47,953,816.00</t>
  </si>
  <si>
    <t>169,718.95</t>
  </si>
  <si>
    <t>3,997,769.12</t>
  </si>
  <si>
    <t>4,168,934.90</t>
  </si>
  <si>
    <t>498,059.00</t>
  </si>
  <si>
    <t>645,300.00</t>
  </si>
  <si>
    <t>4,580,000.00</t>
  </si>
  <si>
    <t>348,200.00</t>
  </si>
  <si>
    <t>11,100,000.00</t>
  </si>
  <si>
    <t>2,980,000.00</t>
  </si>
  <si>
    <t>11,939,640.78</t>
  </si>
  <si>
    <t>999,754.06</t>
  </si>
  <si>
    <t>13,170,852.72</t>
  </si>
  <si>
    <t>12,934,585.53</t>
  </si>
  <si>
    <t>60,770.00</t>
  </si>
  <si>
    <t>949,500.00</t>
  </si>
  <si>
    <t>3,349,956.00</t>
  </si>
  <si>
    <t>994,050.00</t>
  </si>
  <si>
    <t>21,000.00</t>
  </si>
  <si>
    <t>267,000.00</t>
  </si>
  <si>
    <t>1,388,188.62</t>
  </si>
  <si>
    <t>522,131.33</t>
  </si>
  <si>
    <t>11,939,282.67</t>
  </si>
  <si>
    <t>55,544.00</t>
  </si>
  <si>
    <t>199,900.00</t>
  </si>
  <si>
    <t>2,262,600.00</t>
  </si>
  <si>
    <t>73,741.00</t>
  </si>
  <si>
    <t>2,537,781.36</t>
  </si>
  <si>
    <t>819,126.00</t>
  </si>
  <si>
    <t>2,959,494.00</t>
  </si>
  <si>
    <t>597,400.00</t>
  </si>
  <si>
    <t>2,626,600.00</t>
  </si>
  <si>
    <t>138,152.00</t>
  </si>
  <si>
    <t>2,480.00</t>
  </si>
  <si>
    <t>10,880,656.24</t>
  </si>
  <si>
    <t>199,999.93</t>
  </si>
  <si>
    <t>112,482.16</t>
  </si>
  <si>
    <t>4,368,026.00</t>
  </si>
  <si>
    <t>825,850.00</t>
  </si>
  <si>
    <t>770,618.90</t>
  </si>
  <si>
    <t>87,950.00</t>
  </si>
  <si>
    <t>74,414.00</t>
  </si>
  <si>
    <t>1,150,000.00</t>
  </si>
  <si>
    <t>91,050.00</t>
  </si>
  <si>
    <t>23,524,500.00</t>
  </si>
  <si>
    <t>190,280.00</t>
  </si>
  <si>
    <t>139,772.00</t>
  </si>
  <si>
    <t>39,375,835.95</t>
  </si>
  <si>
    <t>908,600.00</t>
  </si>
  <si>
    <t>68,250.00</t>
  </si>
  <si>
    <t>51,485.00</t>
  </si>
  <si>
    <t>5,986,381.32</t>
  </si>
  <si>
    <t>2,334,600.00</t>
  </si>
  <si>
    <t>107,691.33</t>
  </si>
  <si>
    <t>82,224.00</t>
  </si>
  <si>
    <t>257,000.00</t>
  </si>
  <si>
    <t>106,753.50</t>
  </si>
  <si>
    <t>288,850.00</t>
  </si>
  <si>
    <t>274,500.00</t>
  </si>
  <si>
    <t>2,022,250.00</t>
  </si>
  <si>
    <t>215,097.00</t>
  </si>
  <si>
    <t>68,720.00</t>
  </si>
  <si>
    <t>882,000.00</t>
  </si>
  <si>
    <t>7,000,000.00</t>
  </si>
  <si>
    <t>151,500.00</t>
  </si>
  <si>
    <t>104,951.38</t>
  </si>
  <si>
    <t>3,074,400.00</t>
  </si>
  <si>
    <t>616,051.00</t>
  </si>
  <si>
    <t>57,086,240.00</t>
  </si>
  <si>
    <t>73,270.00</t>
  </si>
  <si>
    <t>576,000.00</t>
  </si>
  <si>
    <t>173,422.08</t>
  </si>
  <si>
    <t>170,492.13</t>
  </si>
  <si>
    <t>820,000.00</t>
  </si>
  <si>
    <t>148,560.00</t>
  </si>
  <si>
    <t>54,780.00</t>
  </si>
  <si>
    <t>54,980.00</t>
  </si>
  <si>
    <t>432,520.00</t>
  </si>
  <si>
    <t>618,906.98</t>
  </si>
  <si>
    <t>97,713.75</t>
  </si>
  <si>
    <t>122,809.00</t>
  </si>
  <si>
    <t>2,558,484.00</t>
  </si>
  <si>
    <t>51,100.00</t>
  </si>
  <si>
    <t>104,400.00</t>
  </si>
  <si>
    <t>117,355.00</t>
  </si>
  <si>
    <t>94,150.00</t>
  </si>
  <si>
    <t>124,064.00</t>
  </si>
  <si>
    <t>28,320,000.00</t>
  </si>
  <si>
    <t>50,939.03</t>
  </si>
  <si>
    <t>457,000.00</t>
  </si>
  <si>
    <t>402,207.48</t>
  </si>
  <si>
    <t>269,804.00</t>
  </si>
  <si>
    <t>21,529.80</t>
  </si>
  <si>
    <t>64,100.00</t>
  </si>
  <si>
    <t>194,045.17</t>
  </si>
  <si>
    <t>14,850,000.00</t>
  </si>
  <si>
    <t>61,400.00</t>
  </si>
  <si>
    <t>69,130.00</t>
  </si>
  <si>
    <t>285,465.00</t>
  </si>
  <si>
    <t>4,013,000.00</t>
  </si>
  <si>
    <t>72,412.00</t>
  </si>
  <si>
    <t>8,091.00</t>
  </si>
  <si>
    <t>356,333.00</t>
  </si>
  <si>
    <t>5,392,731.23</t>
  </si>
  <si>
    <t>8,399,942.74</t>
  </si>
  <si>
    <t>139,500.00</t>
  </si>
  <si>
    <t>63,960.40</t>
  </si>
  <si>
    <t>51,600.00</t>
  </si>
  <si>
    <t>369,700.00</t>
  </si>
  <si>
    <t>10,793,455.00</t>
  </si>
  <si>
    <t>4,900,000.00</t>
  </si>
  <si>
    <t>316,928.60</t>
  </si>
  <si>
    <t>110,779.00</t>
  </si>
  <si>
    <t>569,289.60</t>
  </si>
  <si>
    <t>593,500.00</t>
  </si>
  <si>
    <t>99,996.00</t>
  </si>
  <si>
    <t>53,970.00</t>
  </si>
  <si>
    <t>1,683,956.29</t>
  </si>
  <si>
    <t>787,299.00</t>
  </si>
  <si>
    <t>159,701.73</t>
  </si>
  <si>
    <t>10,247,486.31</t>
  </si>
  <si>
    <t>139,450.00</t>
  </si>
  <si>
    <t>2,357,966.40</t>
  </si>
  <si>
    <t>187,715.45</t>
  </si>
  <si>
    <t>108,600.00</t>
  </si>
  <si>
    <t>6,977,180.80</t>
  </si>
  <si>
    <t>184,262.69</t>
  </si>
  <si>
    <t>269,539.20</t>
  </si>
  <si>
    <t>86,350.00</t>
  </si>
  <si>
    <t>674,397.00</t>
  </si>
  <si>
    <t>777,816.00</t>
  </si>
  <si>
    <t>192,521.20</t>
  </si>
  <si>
    <t>158,411.00</t>
  </si>
  <si>
    <t>2,498,968.55</t>
  </si>
  <si>
    <t>266,330.50</t>
  </si>
  <si>
    <t>424,300.00</t>
  </si>
  <si>
    <t>60,100.00</t>
  </si>
  <si>
    <t>62,181.00</t>
  </si>
  <si>
    <t>2,850,038.72</t>
  </si>
  <si>
    <t>319,361.80</t>
  </si>
  <si>
    <t>890,000.00</t>
  </si>
  <si>
    <t>537,800.00</t>
  </si>
  <si>
    <t>131,400.00</t>
  </si>
  <si>
    <t>83,805.00</t>
  </si>
  <si>
    <t>478,000.00</t>
  </si>
  <si>
    <t>2,016,594.19</t>
  </si>
  <si>
    <t>70,480.00</t>
  </si>
  <si>
    <t>143,432.00</t>
  </si>
  <si>
    <t>214,000.00</t>
  </si>
  <si>
    <t>138,490.00</t>
  </si>
  <si>
    <t>55,493.00</t>
  </si>
  <si>
    <t>16,518.00</t>
  </si>
  <si>
    <t>64,530.00</t>
  </si>
  <si>
    <t>985,000.00</t>
  </si>
  <si>
    <t>244,000.00</t>
  </si>
  <si>
    <t>2,461,584.20</t>
  </si>
  <si>
    <t>53,055.00</t>
  </si>
  <si>
    <t>146,000.00</t>
  </si>
  <si>
    <t>351,000.00</t>
  </si>
  <si>
    <t>86,112.50</t>
  </si>
  <si>
    <t>117,735.00</t>
  </si>
  <si>
    <t>591,150.00</t>
  </si>
  <si>
    <t>182,725.00</t>
  </si>
  <si>
    <t>9,070,420.00</t>
  </si>
  <si>
    <t>214,600.00</t>
  </si>
  <si>
    <t>512,660.88</t>
  </si>
  <si>
    <t>97,750.00</t>
  </si>
  <si>
    <t>439,650.00</t>
  </si>
  <si>
    <t>74,470.00</t>
  </si>
  <si>
    <t>190,600.00</t>
  </si>
  <si>
    <t>171,578.00</t>
  </si>
  <si>
    <t>54,484.00</t>
  </si>
  <si>
    <t>688,503.50</t>
  </si>
  <si>
    <t>215,935.00</t>
  </si>
  <si>
    <t>796,812.80</t>
  </si>
  <si>
    <t>74,180.00</t>
  </si>
  <si>
    <t>96,600.00</t>
  </si>
  <si>
    <t>555,019.76</t>
  </si>
  <si>
    <t>20,300.00</t>
  </si>
  <si>
    <t>69,650.00</t>
  </si>
  <si>
    <t>226,780.00</t>
  </si>
  <si>
    <t>66,490.00</t>
  </si>
  <si>
    <t>53,060.00</t>
  </si>
  <si>
    <t>3,021,974.61</t>
  </si>
  <si>
    <t>158,868.00</t>
  </si>
  <si>
    <t>54,553,400.00</t>
  </si>
  <si>
    <t>79,000.00</t>
  </si>
  <si>
    <t>173,950.00</t>
  </si>
  <si>
    <t>9,610.00</t>
  </si>
  <si>
    <t>67,190.00</t>
  </si>
  <si>
    <t>1,755,000.00</t>
  </si>
  <si>
    <t>7,472,000.00</t>
  </si>
  <si>
    <t>980,680.00</t>
  </si>
  <si>
    <t>140,034.00</t>
  </si>
  <si>
    <t>297,571.50</t>
  </si>
  <si>
    <t>133,296.00</t>
  </si>
  <si>
    <t>178,459.00</t>
  </si>
  <si>
    <t>75,510.00</t>
  </si>
  <si>
    <t>581,404.61</t>
  </si>
  <si>
    <t>4,685,699.56</t>
  </si>
  <si>
    <t>812,500.00</t>
  </si>
  <si>
    <t>9,475,000.00</t>
  </si>
  <si>
    <t>90,150.00</t>
  </si>
  <si>
    <t>140,400.00</t>
  </si>
  <si>
    <t>99,700.00</t>
  </si>
  <si>
    <t>73,150.00</t>
  </si>
  <si>
    <t>34,489.50</t>
  </si>
  <si>
    <t>84,197.00</t>
  </si>
  <si>
    <t>199,912.00</t>
  </si>
  <si>
    <t>1,550,000.00</t>
  </si>
  <si>
    <t>198,500.86</t>
  </si>
  <si>
    <t>74,485.00</t>
  </si>
  <si>
    <t>3,411,360.00</t>
  </si>
  <si>
    <t>24,400.00</t>
  </si>
  <si>
    <t>65,497.00</t>
  </si>
  <si>
    <t>3,014,000.00</t>
  </si>
  <si>
    <t>348,700.00</t>
  </si>
  <si>
    <t>70,560.00</t>
  </si>
  <si>
    <t>215,636.80</t>
  </si>
  <si>
    <t>618,250.00</t>
  </si>
  <si>
    <t>76,997.00</t>
  </si>
  <si>
    <t>203,230.00</t>
  </si>
  <si>
    <t>501,901.50</t>
  </si>
  <si>
    <t>103,897.95</t>
  </si>
  <si>
    <t>220,830.00</t>
  </si>
  <si>
    <t>176,158.33</t>
  </si>
  <si>
    <t>2,902,728.70</t>
  </si>
  <si>
    <t>28,102,650.00</t>
  </si>
  <si>
    <t>5,284,000.00</t>
  </si>
  <si>
    <t>77,992.00</t>
  </si>
  <si>
    <t>361,650.00</t>
  </si>
  <si>
    <t>290,520.30</t>
  </si>
  <si>
    <t>3,175,265.75</t>
  </si>
  <si>
    <t>21,470,820.00</t>
  </si>
  <si>
    <t>789,694.08</t>
  </si>
  <si>
    <t>149,778.53</t>
  </si>
  <si>
    <t>302,300.00</t>
  </si>
  <si>
    <t>551,015.00</t>
  </si>
  <si>
    <t>186,830.00</t>
  </si>
  <si>
    <t>2,070,000.00</t>
  </si>
  <si>
    <t>773,824.88</t>
  </si>
  <si>
    <t>698,010.45</t>
  </si>
  <si>
    <t>636,500.00</t>
  </si>
  <si>
    <t>164,000.00</t>
  </si>
  <si>
    <t>266,400.00</t>
  </si>
  <si>
    <t>286,236.43</t>
  </si>
  <si>
    <t>16,200,000.00</t>
  </si>
  <si>
    <t>139,000.00</t>
  </si>
  <si>
    <t>3,770,300.00</t>
  </si>
  <si>
    <t>473,900.00</t>
  </si>
  <si>
    <t>99,314.25</t>
  </si>
  <si>
    <t>122,250.00</t>
  </si>
  <si>
    <t>503,192.30</t>
  </si>
  <si>
    <t>2,098,000.00</t>
  </si>
  <si>
    <t>115,718.00</t>
  </si>
  <si>
    <t>87,648.76</t>
  </si>
  <si>
    <t>472,478.00</t>
  </si>
  <si>
    <t>49,800.00</t>
  </si>
  <si>
    <t>967,950.00</t>
  </si>
  <si>
    <t>44,881,000.00</t>
  </si>
  <si>
    <t>3,246,600.00</t>
  </si>
  <si>
    <t>1,118,000.00</t>
  </si>
  <si>
    <t>756,000.00</t>
  </si>
  <si>
    <t>1,462,500.00</t>
  </si>
  <si>
    <t>122,913.50</t>
  </si>
  <si>
    <t>670,772.00</t>
  </si>
  <si>
    <t>334,205.00</t>
  </si>
  <si>
    <t>310,500.00</t>
  </si>
  <si>
    <t>2,193,346.68</t>
  </si>
  <si>
    <t>109,260.00</t>
  </si>
  <si>
    <t>2,739,000.00</t>
  </si>
  <si>
    <t>1,429,311.00</t>
  </si>
  <si>
    <t>2,368,000.00</t>
  </si>
  <si>
    <t>192,792.00</t>
  </si>
  <si>
    <t>74,524.04</t>
  </si>
  <si>
    <t>96,900.00</t>
  </si>
  <si>
    <t>457,650.00</t>
  </si>
  <si>
    <t>1,127,813.17</t>
  </si>
  <si>
    <t>251,079.00</t>
  </si>
  <si>
    <t>934,200.00</t>
  </si>
  <si>
    <t>1,110,640.00</t>
  </si>
  <si>
    <t>68,690.00</t>
  </si>
  <si>
    <t>217,025.25</t>
  </si>
  <si>
    <t>131,500.00</t>
  </si>
  <si>
    <t>2,549,928.00</t>
  </si>
  <si>
    <t>71,824.00</t>
  </si>
  <si>
    <t>288,640.00</t>
  </si>
  <si>
    <t>12,436,925.05</t>
  </si>
  <si>
    <t>863,500.00</t>
  </si>
  <si>
    <t>761,500.00</t>
  </si>
  <si>
    <t>233,818.00</t>
  </si>
  <si>
    <t>53,550.00</t>
  </si>
  <si>
    <t>358,016.00</t>
  </si>
  <si>
    <t>87,400.00</t>
  </si>
  <si>
    <t>349,700.00</t>
  </si>
  <si>
    <t>70,218.20</t>
  </si>
  <si>
    <t>1,703,000.00</t>
  </si>
  <si>
    <t>19,700.00</t>
  </si>
  <si>
    <t>133,673.83</t>
  </si>
  <si>
    <t>386,733.00</t>
  </si>
  <si>
    <t>1,163,000.00</t>
  </si>
  <si>
    <t>88,170.00</t>
  </si>
  <si>
    <t>5,851,000.00</t>
  </si>
  <si>
    <t>9,200.00</t>
  </si>
  <si>
    <t>26,280.00</t>
  </si>
  <si>
    <t>68,435.00</t>
  </si>
  <si>
    <t>130,200.00</t>
  </si>
  <si>
    <t>73,342.19</t>
  </si>
  <si>
    <t>158,760.00</t>
  </si>
  <si>
    <t>356,283.00</t>
  </si>
  <si>
    <t>4,940.00</t>
  </si>
  <si>
    <t>144,300.00</t>
  </si>
  <si>
    <t>3,940,305.57</t>
  </si>
  <si>
    <t>825,000.00</t>
  </si>
  <si>
    <t>432,841.66</t>
  </si>
  <si>
    <t>91,350.00</t>
  </si>
  <si>
    <t>72,100.00</t>
  </si>
  <si>
    <t>219,000.00</t>
  </si>
  <si>
    <t>599,291.25</t>
  </si>
  <si>
    <t>915,000.00</t>
  </si>
  <si>
    <t>148,860.66</t>
  </si>
  <si>
    <t>293,590.00</t>
  </si>
  <si>
    <t>9,407.00</t>
  </si>
  <si>
    <t>86,000.00</t>
  </si>
  <si>
    <t>245,600.91</t>
  </si>
  <si>
    <t>205,625.00</t>
  </si>
  <si>
    <t>175,037,000.00</t>
  </si>
  <si>
    <t>57,971.91</t>
  </si>
  <si>
    <t>21,700.00</t>
  </si>
  <si>
    <t>391,500.00</t>
  </si>
  <si>
    <t>699,974.80</t>
  </si>
  <si>
    <t>5,200,000.00</t>
  </si>
  <si>
    <t>122,400.00</t>
  </si>
  <si>
    <t>880,970.00</t>
  </si>
  <si>
    <t>78,400.00</t>
  </si>
  <si>
    <t>132,430.00</t>
  </si>
  <si>
    <t>100,285.00</t>
  </si>
  <si>
    <t>113,530.94</t>
  </si>
  <si>
    <t>695,796.00</t>
  </si>
  <si>
    <t>216,000,000.00</t>
  </si>
  <si>
    <t>399,810.00</t>
  </si>
  <si>
    <t>233,152.65</t>
  </si>
  <si>
    <t>387,800.00</t>
  </si>
  <si>
    <t>99,015.00</t>
  </si>
  <si>
    <t>575,000.00</t>
  </si>
  <si>
    <t>71,706.00</t>
  </si>
  <si>
    <t>205,575.77</t>
  </si>
  <si>
    <t>263,948.75</t>
  </si>
  <si>
    <t>137,280.00</t>
  </si>
  <si>
    <t>442,200.00</t>
  </si>
  <si>
    <t>67,883.95</t>
  </si>
  <si>
    <t>153,100.00</t>
  </si>
  <si>
    <t>942,330.00</t>
  </si>
  <si>
    <t>7,205.00</t>
  </si>
  <si>
    <t>615,200.00</t>
  </si>
  <si>
    <t>369,090.00</t>
  </si>
  <si>
    <t>2,133,980.00</t>
  </si>
  <si>
    <t>899,440.00</t>
  </si>
  <si>
    <t>151,004.00</t>
  </si>
  <si>
    <t>720,630.00</t>
  </si>
  <si>
    <t>155,100.00</t>
  </si>
  <si>
    <t>24,200.00</t>
  </si>
  <si>
    <t>2,600.00</t>
  </si>
  <si>
    <t>1,800,950.27</t>
  </si>
  <si>
    <t>59,849.92</t>
  </si>
  <si>
    <t>9,103,056.31</t>
  </si>
  <si>
    <t>91,500.00</t>
  </si>
  <si>
    <t>1,499,780.00</t>
  </si>
  <si>
    <t>5,005.00</t>
  </si>
  <si>
    <t>29,999,997.00</t>
  </si>
  <si>
    <t>1,070,000.00</t>
  </si>
  <si>
    <t>1,302,714.56</t>
  </si>
  <si>
    <t>1,799,147.50</t>
  </si>
  <si>
    <t>354,030.00</t>
  </si>
  <si>
    <t>27,000.00</t>
  </si>
  <si>
    <t>3,926,164.27</t>
  </si>
  <si>
    <t>307,712.30</t>
  </si>
  <si>
    <t>134,200.00</t>
  </si>
  <si>
    <t>100,000,000.00</t>
  </si>
  <si>
    <t>999,980.00</t>
  </si>
  <si>
    <t>4,927,737.49</t>
  </si>
  <si>
    <t>835,000.00</t>
  </si>
  <si>
    <t>649,980.00</t>
  </si>
  <si>
    <t>1,466,368.16</t>
  </si>
  <si>
    <t>117,434.00</t>
  </si>
  <si>
    <t>1,960,287.44</t>
  </si>
  <si>
    <t>1,499,500.00</t>
  </si>
  <si>
    <t>283,500.00</t>
  </si>
  <si>
    <t>188,079.73</t>
  </si>
  <si>
    <t>393,408.07</t>
  </si>
  <si>
    <t>313,045.20</t>
  </si>
  <si>
    <t>125,200.00</t>
  </si>
  <si>
    <t>289,781.11</t>
  </si>
  <si>
    <t>142,078.80</t>
  </si>
  <si>
    <t>3,999,975.90</t>
  </si>
  <si>
    <t>139,310.00</t>
  </si>
  <si>
    <t>1,750,000.00</t>
  </si>
  <si>
    <t>151,440.00</t>
  </si>
  <si>
    <t>3,685,500.00</t>
  </si>
  <si>
    <t>139,648.50</t>
  </si>
  <si>
    <t>1,792,000.00</t>
  </si>
  <si>
    <t>5,837,400.00</t>
  </si>
  <si>
    <t>504,055.20</t>
  </si>
  <si>
    <t>470,450.00</t>
  </si>
  <si>
    <t>77,669,588.16</t>
  </si>
  <si>
    <t>105,890.00</t>
  </si>
  <si>
    <t>63,700.00</t>
  </si>
  <si>
    <t>3,775,973.45</t>
  </si>
  <si>
    <t>41,605.00</t>
  </si>
  <si>
    <t>501,047.00</t>
  </si>
  <si>
    <t>594,958.72</t>
  </si>
  <si>
    <t>699,720.00</t>
  </si>
  <si>
    <t>752,068.80</t>
  </si>
  <si>
    <t>272,944.80</t>
  </si>
  <si>
    <t>577,712.91</t>
  </si>
  <si>
    <t>142,494.90</t>
  </si>
  <si>
    <t>350,810.00</t>
  </si>
  <si>
    <t>1,545,025.00</t>
  </si>
  <si>
    <t>65,250.00</t>
  </si>
  <si>
    <t>64,449.00</t>
  </si>
  <si>
    <t>108,800.00</t>
  </si>
  <si>
    <t>217,863.60</t>
  </si>
  <si>
    <t>1,935,733.70</t>
  </si>
  <si>
    <t>249,000.00</t>
  </si>
  <si>
    <t>88,551.00</t>
  </si>
  <si>
    <t>314,376.14</t>
  </si>
  <si>
    <t>61,498.80</t>
  </si>
  <si>
    <t>998,057.60</t>
  </si>
  <si>
    <t>117,771.00</t>
  </si>
  <si>
    <t>97,087,243.85</t>
  </si>
  <si>
    <t>304,870.00</t>
  </si>
  <si>
    <t>114,800.00</t>
  </si>
  <si>
    <t>109,000.00</t>
  </si>
  <si>
    <t>475,000.00</t>
  </si>
  <si>
    <t>667,000.00</t>
  </si>
  <si>
    <t>670,000.00</t>
  </si>
  <si>
    <t>43,689,051.17</t>
  </si>
  <si>
    <t>2,299,767.76</t>
  </si>
  <si>
    <t>128,700.00</t>
  </si>
  <si>
    <t>5,931,220.00</t>
  </si>
  <si>
    <t>53,736.90</t>
  </si>
  <si>
    <t>5,840,249.61</t>
  </si>
  <si>
    <t>750,000,000.00</t>
  </si>
  <si>
    <t>14,400.00</t>
  </si>
  <si>
    <t>429,200.00</t>
  </si>
  <si>
    <t>65,023.90</t>
  </si>
  <si>
    <t>166,140.00</t>
  </si>
  <si>
    <t>34,200.00</t>
  </si>
  <si>
    <t>167,013.40</t>
  </si>
  <si>
    <t>3,812,953.94</t>
  </si>
  <si>
    <t>285,900.00</t>
  </si>
  <si>
    <t>331,518.00</t>
  </si>
  <si>
    <t>112,145.00</t>
  </si>
  <si>
    <t>120,010.00</t>
  </si>
  <si>
    <t>6,090,309.20</t>
  </si>
  <si>
    <t>2,700,000.00</t>
  </si>
  <si>
    <t>236,480.00</t>
  </si>
  <si>
    <t>967,500.00</t>
  </si>
  <si>
    <t>5,000,000.17</t>
  </si>
  <si>
    <t>159,360.00</t>
  </si>
  <si>
    <t>351,299.00</t>
  </si>
  <si>
    <t>126,300.00</t>
  </si>
  <si>
    <t>1,373,518.03</t>
  </si>
  <si>
    <t>36,500.00</t>
  </si>
  <si>
    <t>1,499,868.14</t>
  </si>
  <si>
    <t>4,823,471.19</t>
  </si>
  <si>
    <t>66,220.00</t>
  </si>
  <si>
    <t>16,053,593.05</t>
  </si>
  <si>
    <t>12,778,800.00</t>
  </si>
  <si>
    <t>174,403.30</t>
  </si>
  <si>
    <t>499,221.18</t>
  </si>
  <si>
    <t>499,603.36</t>
  </si>
  <si>
    <t>1,282,230.38</t>
  </si>
  <si>
    <t>2,999,853.16</t>
  </si>
  <si>
    <t>198,200.00</t>
  </si>
  <si>
    <t>206,900.00</t>
  </si>
  <si>
    <t>117,805.30</t>
  </si>
  <si>
    <t>924,779.21</t>
  </si>
  <si>
    <t>931,136.00</t>
  </si>
  <si>
    <t>1,440,850.57</t>
  </si>
  <si>
    <t>1,311,000.00</t>
  </si>
  <si>
    <t>1,047,050.72</t>
  </si>
  <si>
    <t>1,607,964.76</t>
  </si>
  <si>
    <t>446,250.00</t>
  </si>
  <si>
    <t>94,300.08</t>
  </si>
  <si>
    <t>1,178,217.92</t>
  </si>
  <si>
    <t>133,195.00</t>
  </si>
  <si>
    <t>398,863.54</t>
  </si>
  <si>
    <t>71,200.00</t>
  </si>
  <si>
    <t>1,031,413.00</t>
  </si>
  <si>
    <t>129,967.05</t>
  </si>
  <si>
    <t>599,826.74</t>
  </si>
  <si>
    <t>881,400.00</t>
  </si>
  <si>
    <t>643,087.65</t>
  </si>
  <si>
    <t>1,313,515.00</t>
  </si>
  <si>
    <t>6,373,200.00</t>
  </si>
  <si>
    <t>282,684.00</t>
  </si>
  <si>
    <t>902,841.16</t>
  </si>
  <si>
    <t>635,617.00</t>
  </si>
  <si>
    <t>183,263.60</t>
  </si>
  <si>
    <t>692,000.00</t>
  </si>
  <si>
    <t>1,027,965.00</t>
  </si>
  <si>
    <t>3,256,000.00</t>
  </si>
  <si>
    <t>151,959.51</t>
  </si>
  <si>
    <t>410,000.00</t>
  </si>
  <si>
    <t>427,150.00</t>
  </si>
  <si>
    <t>173,517.43</t>
  </si>
  <si>
    <t>262,050.00</t>
  </si>
  <si>
    <t>999,984.00</t>
  </si>
  <si>
    <t>2,180,200.00</t>
  </si>
  <si>
    <t>1,339,740.85</t>
  </si>
  <si>
    <t>156,911.98</t>
  </si>
  <si>
    <t>5,977,648.84</t>
  </si>
  <si>
    <t>141,186.00</t>
  </si>
  <si>
    <t>132,200.00</t>
  </si>
  <si>
    <t>95,500.00</t>
  </si>
  <si>
    <t>2,272,060.00</t>
  </si>
  <si>
    <t>62,406.00</t>
  </si>
  <si>
    <t>86,830.00</t>
  </si>
  <si>
    <t>3,183,265.50</t>
  </si>
  <si>
    <t>13,056,127.50</t>
  </si>
  <si>
    <t>2,711,753.52</t>
  </si>
  <si>
    <t>64,444.44</t>
  </si>
  <si>
    <t>9,234,385.88</t>
  </si>
  <si>
    <t>20,670.10</t>
  </si>
  <si>
    <t>3,904,319.52</t>
  </si>
  <si>
    <t>15,000,000.00</t>
  </si>
  <si>
    <t>432,473.14</t>
  </si>
  <si>
    <t>4,950.00</t>
  </si>
  <si>
    <t>27,200.00</t>
  </si>
  <si>
    <t>10,725.00</t>
  </si>
  <si>
    <t>207,000.00</t>
  </si>
  <si>
    <t>1,630,000.00</t>
  </si>
  <si>
    <t>1,247,500.00</t>
  </si>
  <si>
    <t>4,923,096.75</t>
  </si>
  <si>
    <t>63,600.00</t>
  </si>
  <si>
    <t>1,180,000.00</t>
  </si>
  <si>
    <t>1,498,970.40</t>
  </si>
  <si>
    <t>2,458,000.00</t>
  </si>
  <si>
    <t>98,858.55</t>
  </si>
  <si>
    <t>1,705,000.00</t>
  </si>
  <si>
    <t>4,550.00</t>
  </si>
  <si>
    <t>182,754.00</t>
  </si>
  <si>
    <t>910,791.25</t>
  </si>
  <si>
    <t>650,704.16</t>
  </si>
  <si>
    <t>509,600.00</t>
  </si>
  <si>
    <t>180,600.00</t>
  </si>
  <si>
    <t>57,100.00</t>
  </si>
  <si>
    <t>1,596,476.00</t>
  </si>
  <si>
    <t>999,979.40</t>
  </si>
  <si>
    <t>423,874.64</t>
  </si>
  <si>
    <t>251,575.00</t>
  </si>
  <si>
    <t>82,200.00</t>
  </si>
  <si>
    <t>65,780.00</t>
  </si>
  <si>
    <t>1,971,063.90</t>
  </si>
  <si>
    <t>2,999,999.78</t>
  </si>
  <si>
    <t>4,999,999.98</t>
  </si>
  <si>
    <t>1,499,999.53</t>
  </si>
  <si>
    <t>199,300.00</t>
  </si>
  <si>
    <t>2,999,999.48</t>
  </si>
  <si>
    <t>151,462.00</t>
  </si>
  <si>
    <t>153,800.00</t>
  </si>
  <si>
    <t>126,744.50</t>
  </si>
  <si>
    <t>185,900.00</t>
  </si>
  <si>
    <t>777,275.00</t>
  </si>
  <si>
    <t>285,000.00</t>
  </si>
  <si>
    <t>370,042.00</t>
  </si>
  <si>
    <t>672,000.00</t>
  </si>
  <si>
    <t>15,050.00</t>
  </si>
  <si>
    <t>82,790.00</t>
  </si>
  <si>
    <t>285,500.00</t>
  </si>
  <si>
    <t>3,999,999.67</t>
  </si>
  <si>
    <t>3,499,997.79</t>
  </si>
  <si>
    <t>7,217,033.32</t>
  </si>
  <si>
    <t>9,999,999.99</t>
  </si>
  <si>
    <t>184,881.08</t>
  </si>
  <si>
    <t>654,491.19</t>
  </si>
  <si>
    <t>279,858.32</t>
  </si>
  <si>
    <t>1,085,000.00</t>
  </si>
  <si>
    <t>330,755.50</t>
  </si>
  <si>
    <t>19,000,000.00</t>
  </si>
  <si>
    <t>71,550.00</t>
  </si>
  <si>
    <t>188,200.00</t>
  </si>
  <si>
    <t>565,000.00</t>
  </si>
  <si>
    <t>169,649.20</t>
  </si>
  <si>
    <t>33,037.00</t>
  </si>
  <si>
    <t>367,592.00</t>
  </si>
  <si>
    <t>178,188.19</t>
  </si>
  <si>
    <t>99,833.50</t>
  </si>
  <si>
    <t>15,500,000.00</t>
  </si>
  <si>
    <t>2,598,005.81</t>
  </si>
  <si>
    <t>9,999,999.70</t>
  </si>
  <si>
    <t>1,000.00</t>
  </si>
  <si>
    <t>66,061.00</t>
  </si>
  <si>
    <t>276,074.15</t>
  </si>
  <si>
    <t>234,416.00</t>
  </si>
  <si>
    <t>1,920,000.00</t>
  </si>
  <si>
    <t>408,890.00</t>
  </si>
  <si>
    <t>3,200,000.00</t>
  </si>
  <si>
    <t>1,699,991.00</t>
  </si>
  <si>
    <t>499,000.00</t>
  </si>
  <si>
    <t>122,482.01</t>
  </si>
  <si>
    <t>74,400.00</t>
  </si>
  <si>
    <t>13,092,000.00</t>
  </si>
  <si>
    <t>462,649.69</t>
  </si>
  <si>
    <t>175,283.75</t>
  </si>
  <si>
    <t>1,999,980.00</t>
  </si>
  <si>
    <t>296,569.94</t>
  </si>
  <si>
    <t>1,498,500.00</t>
  </si>
  <si>
    <t>90,450.00</t>
  </si>
  <si>
    <t>431,373.20</t>
  </si>
  <si>
    <t>601,500.00</t>
  </si>
  <si>
    <t>27,700.00</t>
  </si>
  <si>
    <t>307,710.98</t>
  </si>
  <si>
    <t>292,578.86</t>
  </si>
  <si>
    <t>1,990,884.00</t>
  </si>
  <si>
    <t>52,265.02</t>
  </si>
  <si>
    <t>203,500.00</t>
  </si>
  <si>
    <t>118,710.25</t>
  </si>
  <si>
    <t>70,984.34</t>
  </si>
  <si>
    <t>149,848.28</t>
  </si>
  <si>
    <t>1,017,000.00</t>
  </si>
  <si>
    <t>532,410.00</t>
  </si>
  <si>
    <t>6,482,094.40</t>
  </si>
  <si>
    <t>143,536.80</t>
  </si>
  <si>
    <t>9,999,999.75</t>
  </si>
  <si>
    <t>4,649,000.00</t>
  </si>
  <si>
    <t>184,000.00</t>
  </si>
  <si>
    <t>56,150.00</t>
  </si>
  <si>
    <t>5,756,130.00</t>
  </si>
  <si>
    <t>198,300.00</t>
  </si>
  <si>
    <t>657,500.00</t>
  </si>
  <si>
    <t>2,266,745.40</t>
  </si>
  <si>
    <t>179,635.00</t>
  </si>
  <si>
    <t>2,968,500.00</t>
  </si>
  <si>
    <t>850,294.00</t>
  </si>
  <si>
    <t>660,000.00</t>
  </si>
  <si>
    <t>130,500.00</t>
  </si>
  <si>
    <t>56,250.00</t>
  </si>
  <si>
    <t>255,804.57</t>
  </si>
  <si>
    <t>324,977.93</t>
  </si>
  <si>
    <t>1,474,675.14</t>
  </si>
  <si>
    <t>224,850.00</t>
  </si>
  <si>
    <t>55,700.00</t>
  </si>
  <si>
    <t>28,000,000.00</t>
  </si>
  <si>
    <t>4,999,997.89</t>
  </si>
  <si>
    <t>68,840.00</t>
  </si>
  <si>
    <t>2,982,752.64</t>
  </si>
  <si>
    <t>1,331,043.50</t>
  </si>
  <si>
    <t>4,967,212.63</t>
  </si>
  <si>
    <t>4,969,876.86</t>
  </si>
  <si>
    <t>2,475,000.00</t>
  </si>
  <si>
    <t>3,500,465.00</t>
  </si>
  <si>
    <t>759,000.00</t>
  </si>
  <si>
    <t>352,110.00</t>
  </si>
  <si>
    <t>999,593.23</t>
  </si>
  <si>
    <t>1,160,000.00</t>
  </si>
  <si>
    <t>142,800.00</t>
  </si>
  <si>
    <t>1,270,755.00</t>
  </si>
  <si>
    <t>259,065.00</t>
  </si>
  <si>
    <t>145,830.00</t>
  </si>
  <si>
    <t>241,000.00</t>
  </si>
  <si>
    <t>2,967,250.53</t>
  </si>
  <si>
    <t>3,725,000.00</t>
  </si>
  <si>
    <t>395,750.00</t>
  </si>
  <si>
    <t>111,200.00</t>
  </si>
  <si>
    <t>173,250.00</t>
  </si>
  <si>
    <t>324,750.00</t>
  </si>
  <si>
    <t>2,050,000.00</t>
  </si>
  <si>
    <t>2,976,277.66</t>
  </si>
  <si>
    <t>69,995.00</t>
  </si>
  <si>
    <t>503,200.00</t>
  </si>
  <si>
    <t>100,990.00</t>
  </si>
  <si>
    <t>54,371.00</t>
  </si>
  <si>
    <t>40,104.00</t>
  </si>
  <si>
    <t>33,880.00</t>
  </si>
  <si>
    <t>903,658.40</t>
  </si>
  <si>
    <t>493,520.00</t>
  </si>
  <si>
    <t>6,480.00</t>
  </si>
  <si>
    <t>199,563.42</t>
  </si>
  <si>
    <t>199,850.00</t>
  </si>
  <si>
    <t>17,400.00</t>
  </si>
  <si>
    <t>1,137,350.00</t>
  </si>
  <si>
    <t>670,850.00</t>
  </si>
  <si>
    <t>229,000.00</t>
  </si>
  <si>
    <t>1,485,202.18</t>
  </si>
  <si>
    <t>36,939.00</t>
  </si>
  <si>
    <t>348,769.00</t>
  </si>
  <si>
    <t>1,210,560.00</t>
  </si>
  <si>
    <t>187,250.00</t>
  </si>
  <si>
    <t>356,922.92</t>
  </si>
  <si>
    <t>400,639.00</t>
  </si>
  <si>
    <t>545,685.94</t>
  </si>
  <si>
    <t>399,999.90</t>
  </si>
  <si>
    <t>2,438,095.62</t>
  </si>
  <si>
    <t>437,663.00</t>
  </si>
  <si>
    <t>68,300.00</t>
  </si>
  <si>
    <t>89,790.00</t>
  </si>
  <si>
    <t>736,320.00</t>
  </si>
  <si>
    <t>3,459,174.71</t>
  </si>
  <si>
    <t>2,458,693.79</t>
  </si>
  <si>
    <t>1,691,581.17</t>
  </si>
  <si>
    <t>989,908.00</t>
  </si>
  <si>
    <t>58,240.00</t>
  </si>
  <si>
    <t>189,300.00</t>
  </si>
  <si>
    <t>74,450.00</t>
  </si>
  <si>
    <t>50,160.00</t>
  </si>
  <si>
    <t>204,700.00</t>
  </si>
  <si>
    <t>961,658.77</t>
  </si>
  <si>
    <t>2,104,761.77</t>
  </si>
  <si>
    <t>8,397,000.00</t>
  </si>
  <si>
    <t>716,070.00</t>
  </si>
  <si>
    <t>2,495,540.62</t>
  </si>
  <si>
    <t>328,100.00</t>
  </si>
  <si>
    <t>59,620.00</t>
  </si>
  <si>
    <t>1,805,415.00</t>
  </si>
  <si>
    <t>74,260.00</t>
  </si>
  <si>
    <t>138,600.00</t>
  </si>
  <si>
    <t>2,469,208.94</t>
  </si>
  <si>
    <t>56,500.00</t>
  </si>
  <si>
    <t>176,352.00</t>
  </si>
  <si>
    <t>78,050.00</t>
  </si>
  <si>
    <t>16,650,000.00</t>
  </si>
  <si>
    <t>349,960.00</t>
  </si>
  <si>
    <t>18,000,000.00</t>
  </si>
  <si>
    <t>2,996,484.00</t>
  </si>
  <si>
    <t>874,989.00</t>
  </si>
  <si>
    <t>974,973.00</t>
  </si>
  <si>
    <t>401,500.00</t>
  </si>
  <si>
    <t>997,052.00</t>
  </si>
  <si>
    <t>114,097.30</t>
  </si>
  <si>
    <t>158,996,800.00</t>
  </si>
  <si>
    <t>919,987.00</t>
  </si>
  <si>
    <t>244,360.00</t>
  </si>
  <si>
    <t>236,715.00</t>
  </si>
  <si>
    <t>100,730.00</t>
  </si>
  <si>
    <t>1,350,575.00</t>
  </si>
  <si>
    <t>57,615.00</t>
  </si>
  <si>
    <t>109,980.00</t>
  </si>
  <si>
    <t>90,610.00</t>
  </si>
  <si>
    <t>177,750.00</t>
  </si>
  <si>
    <t>25,355.00</t>
  </si>
  <si>
    <t>15,900,000.00</t>
  </si>
  <si>
    <t>801,230.00</t>
  </si>
  <si>
    <t>51,144.00</t>
  </si>
  <si>
    <t>179,998.00</t>
  </si>
  <si>
    <t>52,330.00</t>
  </si>
  <si>
    <t>124,750.00</t>
  </si>
  <si>
    <t>199,738.81</t>
  </si>
  <si>
    <t>98,600.00</t>
  </si>
  <si>
    <t>220,642.00</t>
  </si>
  <si>
    <t>193,750.00</t>
  </si>
  <si>
    <t>37,700.00</t>
  </si>
  <si>
    <t>191,100.00</t>
  </si>
  <si>
    <t>187,320.00</t>
  </si>
  <si>
    <t>1,561,000.00</t>
  </si>
  <si>
    <t>6,100.00</t>
  </si>
  <si>
    <t>123,249.28</t>
  </si>
  <si>
    <t>168,100.00</t>
  </si>
  <si>
    <t>71,250.00</t>
  </si>
  <si>
    <t>227,123.60</t>
  </si>
  <si>
    <t>1,890,279.58</t>
  </si>
  <si>
    <t>295,210.00</t>
  </si>
  <si>
    <t>55,325.00</t>
  </si>
  <si>
    <t>996,250.00</t>
  </si>
  <si>
    <t>1,035,196.00</t>
  </si>
  <si>
    <t>868,146.75</t>
  </si>
  <si>
    <t>1,891,500.00</t>
  </si>
  <si>
    <t>279,402.00</t>
  </si>
  <si>
    <t>173,600.00</t>
  </si>
  <si>
    <t>8,600.00</t>
  </si>
  <si>
    <t>337,450.00</t>
  </si>
  <si>
    <t>433,000.00</t>
  </si>
  <si>
    <t>207,965.00</t>
  </si>
  <si>
    <t>219,265.00</t>
  </si>
  <si>
    <t>53,850.00</t>
  </si>
  <si>
    <t>225,309.06</t>
  </si>
  <si>
    <t>240,600.00</t>
  </si>
  <si>
    <t>44,550,000.00</t>
  </si>
  <si>
    <t>99,453.40</t>
  </si>
  <si>
    <t>991,913.82</t>
  </si>
  <si>
    <t>203,438.16</t>
  </si>
  <si>
    <t>158,685.00</t>
  </si>
  <si>
    <t>76,465.00</t>
  </si>
  <si>
    <t>199,937.87</t>
  </si>
  <si>
    <t>116,800.00</t>
  </si>
  <si>
    <t>198,800.00</t>
  </si>
  <si>
    <t>964,800.00</t>
  </si>
  <si>
    <t>98,997.00</t>
  </si>
  <si>
    <t>499,651.50</t>
  </si>
  <si>
    <t>76,890.00</t>
  </si>
  <si>
    <t>2,927,757.86</t>
  </si>
  <si>
    <t>351,924.00</t>
  </si>
  <si>
    <t>1,992,757.62</t>
  </si>
  <si>
    <t>1,685,330.33</t>
  </si>
  <si>
    <t>199,999.23</t>
  </si>
  <si>
    <t>56,355.00</t>
  </si>
  <si>
    <t>74,325.00</t>
  </si>
  <si>
    <t>164,101.66</t>
  </si>
  <si>
    <t>1,516,600.00</t>
  </si>
  <si>
    <t>59,600.00</t>
  </si>
  <si>
    <t>290,156.00</t>
  </si>
  <si>
    <t>12,217,540.61</t>
  </si>
  <si>
    <t>92,360.66</t>
  </si>
  <si>
    <t>298,809.30</t>
  </si>
  <si>
    <t>138,610.00</t>
  </si>
  <si>
    <t>1,140,000.00</t>
  </si>
  <si>
    <t>1,981,179.50</t>
  </si>
  <si>
    <t>307,350.00</t>
  </si>
  <si>
    <t>75,166.00</t>
  </si>
  <si>
    <t>4,708,406.88</t>
  </si>
  <si>
    <t>666,659.25</t>
  </si>
  <si>
    <t>10,500.00</t>
  </si>
  <si>
    <t>244,824.36</t>
  </si>
  <si>
    <t>128,203.90</t>
  </si>
  <si>
    <t>1,415,008.59</t>
  </si>
  <si>
    <t>1,944,317.51</t>
  </si>
  <si>
    <t>72,950.00</t>
  </si>
  <si>
    <t>1,515,850.34</t>
  </si>
  <si>
    <t>268,736.00</t>
  </si>
  <si>
    <t>12,202,742.94</t>
  </si>
  <si>
    <t>486,834.05</t>
  </si>
  <si>
    <t>829,240.00</t>
  </si>
  <si>
    <t>193,394.40</t>
  </si>
  <si>
    <t>1,913,208.95</t>
  </si>
  <si>
    <t>58,040.00</t>
  </si>
  <si>
    <t>409,752.00</t>
  </si>
  <si>
    <t>72,993.69</t>
  </si>
  <si>
    <t>235,500.00</t>
  </si>
  <si>
    <t>63,325.00</t>
  </si>
  <si>
    <t>398,220.00</t>
  </si>
  <si>
    <t>229,800.00</t>
  </si>
  <si>
    <t>199,920.00</t>
  </si>
  <si>
    <t>1,920,650.19</t>
  </si>
  <si>
    <t>35,400.00</t>
  </si>
  <si>
    <t>39,995.00</t>
  </si>
  <si>
    <t>1,035,246.61</t>
  </si>
  <si>
    <t>154,944.00</t>
  </si>
  <si>
    <t>75,929.00</t>
  </si>
  <si>
    <t>2,020.00</t>
  </si>
  <si>
    <t>297,500.00</t>
  </si>
  <si>
    <t>122,325.00</t>
  </si>
  <si>
    <t>62,722.00</t>
  </si>
  <si>
    <t>4,530,315.00</t>
  </si>
  <si>
    <t>78,573.36</t>
  </si>
  <si>
    <t>55,200.00</t>
  </si>
  <si>
    <t>1,889,328.91</t>
  </si>
  <si>
    <t>173,100.00</t>
  </si>
  <si>
    <t>8,257,000.00</t>
  </si>
  <si>
    <t>373,000.00</t>
  </si>
  <si>
    <t>53,122.00</t>
  </si>
  <si>
    <t>106,000.00</t>
  </si>
  <si>
    <t>97,300.00</t>
  </si>
  <si>
    <t>2,040,000.00</t>
  </si>
  <si>
    <t>92,652.29</t>
  </si>
  <si>
    <t>149,985.00</t>
  </si>
  <si>
    <t>191,546.00</t>
  </si>
  <si>
    <t>1,847,565.32</t>
  </si>
  <si>
    <t>50,702.00</t>
  </si>
  <si>
    <t>83,500.00</t>
  </si>
  <si>
    <t>67,613.00</t>
  </si>
  <si>
    <t>92,442.50</t>
  </si>
  <si>
    <t>101,775.00</t>
  </si>
  <si>
    <t>6,461,970.00</t>
  </si>
  <si>
    <t>154,178.64</t>
  </si>
  <si>
    <t>60,184.00</t>
  </si>
  <si>
    <t>5,314,900.60</t>
  </si>
  <si>
    <t>533,964.07</t>
  </si>
  <si>
    <t>5,817,733.88</t>
  </si>
  <si>
    <t>1,315,784.28</t>
  </si>
  <si>
    <t>259,032.60</t>
  </si>
  <si>
    <t>72,900.00</t>
  </si>
  <si>
    <t>97,730.50</t>
  </si>
  <si>
    <t>241,409,480.57</t>
  </si>
  <si>
    <t>150,432.00</t>
  </si>
  <si>
    <t>42,500.00</t>
  </si>
  <si>
    <t>297,748.00</t>
  </si>
  <si>
    <t>163,005.25</t>
  </si>
  <si>
    <t>97,724.16</t>
  </si>
  <si>
    <t>1,385,962.99</t>
  </si>
  <si>
    <t>1,829,770.53</t>
  </si>
  <si>
    <t>864,830.00</t>
  </si>
  <si>
    <t>999,831.00</t>
  </si>
  <si>
    <t>203,000.00</t>
  </si>
  <si>
    <t>94,250.05</t>
  </si>
  <si>
    <t>449,981.00</t>
  </si>
  <si>
    <t>227,850.00</t>
  </si>
  <si>
    <t>186,048.30</t>
  </si>
  <si>
    <t>1,533,600.00</t>
  </si>
  <si>
    <t>209,813.50</t>
  </si>
  <si>
    <t>151,925.00</t>
  </si>
  <si>
    <t>118,827.00</t>
  </si>
  <si>
    <t>1,241,627.40</t>
  </si>
  <si>
    <t>699,583.75</t>
  </si>
  <si>
    <t>451,412.00</t>
  </si>
  <si>
    <t>25,390.00</t>
  </si>
  <si>
    <t>174,705.41</t>
  </si>
  <si>
    <t>1,155,333.86</t>
  </si>
  <si>
    <t>102,401.00</t>
  </si>
  <si>
    <t>1,004,238.07</t>
  </si>
  <si>
    <t>110,060.12</t>
  </si>
  <si>
    <t>74,900.00</t>
  </si>
  <si>
    <t>98,640.72</t>
  </si>
  <si>
    <t>52,809.99</t>
  </si>
  <si>
    <t>256,120.00</t>
  </si>
  <si>
    <t>90,268.00</t>
  </si>
  <si>
    <t>307,892.81</t>
  </si>
  <si>
    <t>109,635.00</t>
  </si>
  <si>
    <t>486,522.07</t>
  </si>
  <si>
    <t>51,190.00</t>
  </si>
  <si>
    <t>987,054.98</t>
  </si>
  <si>
    <t>2,098,233.12</t>
  </si>
  <si>
    <t>79,256.00</t>
  </si>
  <si>
    <t>1,918,900.00</t>
  </si>
  <si>
    <t>93,334.00</t>
  </si>
  <si>
    <t>1,731,191.68</t>
  </si>
  <si>
    <t>149,724.45</t>
  </si>
  <si>
    <t>559,814.16</t>
  </si>
  <si>
    <t>1,264,115.50</t>
  </si>
  <si>
    <t>3,125.00</t>
  </si>
  <si>
    <t>212,872.00</t>
  </si>
  <si>
    <t>1,882,118.05</t>
  </si>
  <si>
    <t>60,918.75</t>
  </si>
  <si>
    <t>92,296.05</t>
  </si>
  <si>
    <t>2,931,138.81</t>
  </si>
  <si>
    <t>72,229.67</t>
  </si>
  <si>
    <t>68,350.00</t>
  </si>
  <si>
    <t>22,736,700.00</t>
  </si>
  <si>
    <t>610,000.00</t>
  </si>
  <si>
    <t>593,930.00</t>
  </si>
  <si>
    <t>84,450.00</t>
  </si>
  <si>
    <t>107,132.00</t>
  </si>
  <si>
    <t>510,000.00</t>
  </si>
  <si>
    <t>61,740.00</t>
  </si>
  <si>
    <t>62,125.00</t>
  </si>
  <si>
    <t>10,845,000.00</t>
  </si>
  <si>
    <t>20,144,000.00</t>
  </si>
  <si>
    <t>12,116,000.00</t>
  </si>
  <si>
    <t>204,754.00</t>
  </si>
  <si>
    <t>696,666.13</t>
  </si>
  <si>
    <t>361,372.37</t>
  </si>
  <si>
    <t>1,305,743.00</t>
  </si>
  <si>
    <t>335,000.00</t>
  </si>
  <si>
    <t>19,590,000.00</t>
  </si>
  <si>
    <t>570,070.00</t>
  </si>
  <si>
    <t>339,625.09</t>
  </si>
  <si>
    <t>266,420.60</t>
  </si>
  <si>
    <t>399,774.00</t>
  </si>
  <si>
    <t>253,500.00</t>
  </si>
  <si>
    <t>5,338,750.00</t>
  </si>
  <si>
    <t>110,619.30</t>
  </si>
  <si>
    <t>96,750.00</t>
  </si>
  <si>
    <t>249,992.34</t>
  </si>
  <si>
    <t>58,709.45</t>
  </si>
  <si>
    <t>357,000.00</t>
  </si>
  <si>
    <t>70,100.00</t>
  </si>
  <si>
    <t>1,725,000.00</t>
  </si>
  <si>
    <t>85,776.00</t>
  </si>
  <si>
    <t>6,615,000.00</t>
  </si>
  <si>
    <t>173,500.00</t>
  </si>
  <si>
    <t>127,000.00</t>
  </si>
  <si>
    <t>87,410.50</t>
  </si>
  <si>
    <t>7,200.00</t>
  </si>
  <si>
    <t>681,120.00</t>
  </si>
  <si>
    <t>645,600.00</t>
  </si>
  <si>
    <t>1,599,836.00</t>
  </si>
  <si>
    <t>7,919,434.32</t>
  </si>
  <si>
    <t>82,841.50</t>
  </si>
  <si>
    <t>581,420.00</t>
  </si>
  <si>
    <t>89,820.00</t>
  </si>
  <si>
    <t>643,992.23</t>
  </si>
  <si>
    <t>74,800.00</t>
  </si>
  <si>
    <t>3,300,000.00</t>
  </si>
  <si>
    <t>96,150.00</t>
  </si>
  <si>
    <t>4,784,942.29</t>
  </si>
  <si>
    <t>1,545,940.00</t>
  </si>
  <si>
    <t>677,975.00</t>
  </si>
  <si>
    <t>177,000.00</t>
  </si>
  <si>
    <t>481,105.70</t>
  </si>
  <si>
    <t>58,129.00</t>
  </si>
  <si>
    <t>19,992.00</t>
  </si>
  <si>
    <t>2,498,400.00</t>
  </si>
  <si>
    <t>419,102.00</t>
  </si>
  <si>
    <t>66,375.00</t>
  </si>
  <si>
    <t>246,820.00</t>
  </si>
  <si>
    <t>220,835.60</t>
  </si>
  <si>
    <t>329,776.67</t>
  </si>
  <si>
    <t>205,650.00</t>
  </si>
  <si>
    <t>674,900.00</t>
  </si>
  <si>
    <t>83,095.00</t>
  </si>
  <si>
    <t>611,284.00</t>
  </si>
  <si>
    <t>113,700.00</t>
  </si>
  <si>
    <t>86,594.16</t>
  </si>
  <si>
    <t>397,485.00</t>
  </si>
  <si>
    <t>628,210.00</t>
  </si>
  <si>
    <t>36,455,000.00</t>
  </si>
  <si>
    <t>2,866,000.00</t>
  </si>
  <si>
    <t>80,405.00</t>
  </si>
  <si>
    <t>149,956.00</t>
  </si>
  <si>
    <t>984,500.00</t>
  </si>
  <si>
    <t>896,700.00</t>
  </si>
  <si>
    <t>198,980.00</t>
  </si>
  <si>
    <t>273,160.00</t>
  </si>
  <si>
    <t>810,000.00</t>
  </si>
  <si>
    <t>1,640,979.00</t>
  </si>
  <si>
    <t>39,046,000.00</t>
  </si>
  <si>
    <t>774,200.00</t>
  </si>
  <si>
    <t>384,000.00</t>
  </si>
  <si>
    <t>259,292.27</t>
  </si>
  <si>
    <t>1,429,000.00</t>
  </si>
  <si>
    <t>880,101.42</t>
  </si>
  <si>
    <t>885,120.00</t>
  </si>
  <si>
    <t>991,750.00</t>
  </si>
  <si>
    <t>12,589.50</t>
  </si>
  <si>
    <t>445,005.00</t>
  </si>
  <si>
    <t>249,800.00</t>
  </si>
  <si>
    <t>230,100.00</t>
  </si>
  <si>
    <t>14,956,500.00</t>
  </si>
  <si>
    <t>159,956.00</t>
  </si>
  <si>
    <t>329,075.00</t>
  </si>
  <si>
    <t>2,176,071.00</t>
  </si>
  <si>
    <t>68,550.00</t>
  </si>
  <si>
    <t>240,943.00</t>
  </si>
  <si>
    <t>386,852.72</t>
  </si>
  <si>
    <t>95,247.00</t>
  </si>
  <si>
    <t>2,330,000.00</t>
  </si>
  <si>
    <t>98,880.00</t>
  </si>
  <si>
    <t>862,500.00</t>
  </si>
  <si>
    <t>611,685.00</t>
  </si>
  <si>
    <t>246,300.00</t>
  </si>
  <si>
    <t>117,900.00</t>
  </si>
  <si>
    <t>1,117,600.00</t>
  </si>
  <si>
    <t>36,250,000.00</t>
  </si>
  <si>
    <t>94,665.93</t>
  </si>
  <si>
    <t>344,917.00</t>
  </si>
  <si>
    <t>243,663.46</t>
  </si>
  <si>
    <t>101,930.00</t>
  </si>
  <si>
    <t>9,989,445.91</t>
  </si>
  <si>
    <t>106,700.00</t>
  </si>
  <si>
    <t>39,850.00</t>
  </si>
  <si>
    <t>3,036,658.62</t>
  </si>
  <si>
    <t>15,640.00</t>
  </si>
  <si>
    <t>275,706.00</t>
  </si>
  <si>
    <t>1,220,000.00</t>
  </si>
  <si>
    <t>100,344.00</t>
  </si>
  <si>
    <t>709,610.00</t>
  </si>
  <si>
    <t>103,920.00</t>
  </si>
  <si>
    <t>112,380.00</t>
  </si>
  <si>
    <t>492,500.00</t>
  </si>
  <si>
    <t>314,000.00</t>
  </si>
  <si>
    <t>5,897,000.00</t>
  </si>
  <si>
    <t>532,000.00</t>
  </si>
  <si>
    <t>205,388.00</t>
  </si>
  <si>
    <t>218,198.92</t>
  </si>
  <si>
    <t>78,807.00</t>
  </si>
  <si>
    <t>14,714,672.46</t>
  </si>
  <si>
    <t>167,142.00</t>
  </si>
  <si>
    <t>149,129.00</t>
  </si>
  <si>
    <t>69,963.00</t>
  </si>
  <si>
    <t>104,645.00</t>
  </si>
  <si>
    <t>51,502,780.52</t>
  </si>
  <si>
    <t>1,945,000.00</t>
  </si>
  <si>
    <t>146,700.00</t>
  </si>
  <si>
    <t>283,208.00</t>
  </si>
  <si>
    <t>154,890.50</t>
  </si>
  <si>
    <t>285,699.00</t>
  </si>
  <si>
    <t>19,375.00</t>
  </si>
  <si>
    <t>1,439,200.00</t>
  </si>
  <si>
    <t>137,000.00</t>
  </si>
  <si>
    <t>51,200.00</t>
  </si>
  <si>
    <t>427,495.00</t>
  </si>
  <si>
    <t>183,950.00</t>
  </si>
  <si>
    <t>125,700.00</t>
  </si>
  <si>
    <t>89,652.00</t>
  </si>
  <si>
    <t>9,777,000.00</t>
  </si>
  <si>
    <t>527,576.00</t>
  </si>
  <si>
    <t>31,158.00</t>
  </si>
  <si>
    <t>3,654,365.00</t>
  </si>
  <si>
    <t>157,500.00</t>
  </si>
  <si>
    <t>2,982,443.90</t>
  </si>
  <si>
    <t>2,315.00</t>
  </si>
  <si>
    <t>1,464,750.00</t>
  </si>
  <si>
    <t>2,800.00</t>
  </si>
  <si>
    <t>1,982,686.63</t>
  </si>
  <si>
    <t>193,200.67</t>
  </si>
  <si>
    <t>999,999.97</t>
  </si>
  <si>
    <t>292,620.00</t>
  </si>
  <si>
    <t>52,375.66</t>
  </si>
  <si>
    <t>72,348.00</t>
  </si>
  <si>
    <t>305,410.00</t>
  </si>
  <si>
    <t>10,299,947.81</t>
  </si>
  <si>
    <t>16,252.60</t>
  </si>
  <si>
    <t>30,240.00</t>
  </si>
  <si>
    <t>126,400.00</t>
  </si>
  <si>
    <t>21,968,337.39</t>
  </si>
  <si>
    <t>51,478.42</t>
  </si>
  <si>
    <t>330,406.00</t>
  </si>
  <si>
    <t>348,800.00</t>
  </si>
  <si>
    <t>816,565.20</t>
  </si>
  <si>
    <t>12,676,930.00</t>
  </si>
  <si>
    <t>55,130.00</t>
  </si>
  <si>
    <t>250,001.57</t>
  </si>
  <si>
    <t>354,280.00</t>
  </si>
  <si>
    <t>791,986.00</t>
  </si>
  <si>
    <t>687,895.00</t>
  </si>
  <si>
    <t>454,860.00</t>
  </si>
  <si>
    <t>78,910.00</t>
  </si>
  <si>
    <t>4,600,000.00</t>
  </si>
  <si>
    <t>16,000,000.00</t>
  </si>
  <si>
    <t>93,500.00</t>
  </si>
  <si>
    <t>191,762.00</t>
  </si>
  <si>
    <t>24,981.00</t>
  </si>
  <si>
    <t>499,995.00</t>
  </si>
  <si>
    <t>278,740.00</t>
  </si>
  <si>
    <t>326,305.00</t>
  </si>
  <si>
    <t>25,774.00</t>
  </si>
  <si>
    <t>14,995.00</t>
  </si>
  <si>
    <t>4,999,999.75</t>
  </si>
  <si>
    <t>52,636.08</t>
  </si>
  <si>
    <t>74,950.00</t>
  </si>
  <si>
    <t>121,835.00</t>
  </si>
  <si>
    <t>416,000.00</t>
  </si>
  <si>
    <t>2,715,800.00</t>
  </si>
  <si>
    <t>236,070.00</t>
  </si>
  <si>
    <t>2,666,630.44</t>
  </si>
  <si>
    <t>393,236.00</t>
  </si>
  <si>
    <t>2,518,490.00</t>
  </si>
  <si>
    <t>13,800,000.00</t>
  </si>
  <si>
    <t>2,713,783.13</t>
  </si>
  <si>
    <t>288,210.00</t>
  </si>
  <si>
    <t>955,800.00</t>
  </si>
  <si>
    <t>122,110.00</t>
  </si>
  <si>
    <t>1,270,392.81</t>
  </si>
  <si>
    <t>98,610.00</t>
  </si>
  <si>
    <t>111,725.00</t>
  </si>
  <si>
    <t>12,174,040.00</t>
  </si>
  <si>
    <t>70,490.00</t>
  </si>
  <si>
    <t>483,714.00</t>
  </si>
  <si>
    <t>1,295,800.00</t>
  </si>
  <si>
    <t>2,837,286.14</t>
  </si>
  <si>
    <t>6,372,886.70</t>
  </si>
  <si>
    <t>9,000,000.00</t>
  </si>
  <si>
    <t>452,620.00</t>
  </si>
  <si>
    <t>115,730.00</t>
  </si>
  <si>
    <t>490,626.00</t>
  </si>
  <si>
    <t>10,525,280.00</t>
  </si>
  <si>
    <t>552,888.00</t>
  </si>
  <si>
    <t>314,750.00</t>
  </si>
  <si>
    <t>1,239,109.80</t>
  </si>
  <si>
    <t>29,767,749.00</t>
  </si>
  <si>
    <t>220,471.00</t>
  </si>
  <si>
    <t>14,690,000.00</t>
  </si>
  <si>
    <t>822,535.80</t>
  </si>
  <si>
    <t>230,608.00</t>
  </si>
  <si>
    <t>812,972.00</t>
  </si>
  <si>
    <t>75,000,000.00</t>
  </si>
  <si>
    <t>186,125.00</t>
  </si>
  <si>
    <t>605,205.00</t>
  </si>
  <si>
    <t>282,352.00</t>
  </si>
  <si>
    <t>30,505,440.00</t>
  </si>
  <si>
    <t>1,041,849.00</t>
  </si>
  <si>
    <t>248,200.00</t>
  </si>
  <si>
    <t>957,725.66</t>
  </si>
  <si>
    <t>84,850.00</t>
  </si>
  <si>
    <t>4,761,710.68</t>
  </si>
  <si>
    <t>61,950.00</t>
  </si>
  <si>
    <t>61,300.00</t>
  </si>
  <si>
    <t>78,625.00</t>
  </si>
  <si>
    <t>452,500.00</t>
  </si>
  <si>
    <t>197,989.00</t>
  </si>
  <si>
    <t>81,812.50</t>
  </si>
  <si>
    <t>167,640.00</t>
  </si>
  <si>
    <t>287,138.80</t>
  </si>
  <si>
    <t>1,363,894.00</t>
  </si>
  <si>
    <t>1,805,000.00</t>
  </si>
  <si>
    <t>90,280.00</t>
  </si>
  <si>
    <t>88,500.00</t>
  </si>
  <si>
    <t>62,860.00</t>
  </si>
  <si>
    <t>146,597.50</t>
  </si>
  <si>
    <t>19,295,000.00</t>
  </si>
  <si>
    <t>230,800.00</t>
  </si>
  <si>
    <t>82,264,892.00</t>
  </si>
  <si>
    <t>49,886.00</t>
  </si>
  <si>
    <t>58,185.00</t>
  </si>
  <si>
    <t>143,664.00</t>
  </si>
  <si>
    <t>702,500.00</t>
  </si>
  <si>
    <t>143,280.00</t>
  </si>
  <si>
    <t>552,323.30</t>
  </si>
  <si>
    <t>744,852.00</t>
  </si>
  <si>
    <t>98,385.00</t>
  </si>
  <si>
    <t>885,216.60</t>
  </si>
  <si>
    <t>469,725.00</t>
  </si>
  <si>
    <t>499,787.27</t>
  </si>
  <si>
    <t>30,386,000.00</t>
  </si>
  <si>
    <t>205,400.00</t>
  </si>
  <si>
    <t>497,879.22</t>
  </si>
  <si>
    <t>504,932.90</t>
  </si>
  <si>
    <t>127,255.00</t>
  </si>
  <si>
    <t>116,400.00</t>
  </si>
  <si>
    <t>102,286.55</t>
  </si>
  <si>
    <t>61,420.00</t>
  </si>
  <si>
    <t>57,071.00</t>
  </si>
  <si>
    <t>1,458,000.00</t>
  </si>
  <si>
    <t>1,099,759.92</t>
  </si>
  <si>
    <t>89,930.37</t>
  </si>
  <si>
    <t>80,700.00</t>
  </si>
  <si>
    <t>56,731.00</t>
  </si>
  <si>
    <t>39,001,000.00</t>
  </si>
  <si>
    <t>317,000.00</t>
  </si>
  <si>
    <t>841,020.00</t>
  </si>
  <si>
    <t>72,136.25</t>
  </si>
  <si>
    <t>58,020.00</t>
  </si>
  <si>
    <t>386,000.00</t>
  </si>
  <si>
    <t>83,074.00</t>
  </si>
  <si>
    <t>1,354,989.00</t>
  </si>
  <si>
    <t>2,206,000.00</t>
  </si>
  <si>
    <t>59,995.00</t>
  </si>
  <si>
    <t>507,500.00</t>
  </si>
  <si>
    <t>1,947,747.00</t>
  </si>
  <si>
    <t>497,561.54</t>
  </si>
  <si>
    <t>168,750.00</t>
  </si>
  <si>
    <t>146,120.00</t>
  </si>
  <si>
    <t>218,150.00</t>
  </si>
  <si>
    <t>682,500.00</t>
  </si>
  <si>
    <t>70,135.16</t>
  </si>
  <si>
    <t>435,351.00</t>
  </si>
  <si>
    <t>116,500.00</t>
  </si>
  <si>
    <t>29,000,500.00</t>
  </si>
  <si>
    <t>46,700.00</t>
  </si>
  <si>
    <t>57,250.00</t>
  </si>
  <si>
    <t>163,756.11</t>
  </si>
  <si>
    <t>5,987,101.30</t>
  </si>
  <si>
    <t>60,350.00</t>
  </si>
  <si>
    <t>832,650.00</t>
  </si>
  <si>
    <t>187,978.00</t>
  </si>
  <si>
    <t>66,058.00</t>
  </si>
  <si>
    <t>688,001.00</t>
  </si>
  <si>
    <t>9,377,821.74</t>
  </si>
  <si>
    <t>116,684.00</t>
  </si>
  <si>
    <t>97,387.54</t>
  </si>
  <si>
    <t>39,775,635.00</t>
  </si>
  <si>
    <t>153,770.00</t>
  </si>
  <si>
    <t>50,679.37</t>
  </si>
  <si>
    <t>51,150.00</t>
  </si>
  <si>
    <t>4,080,000.00</t>
  </si>
  <si>
    <t>58,940.00</t>
  </si>
  <si>
    <t>80,760.42</t>
  </si>
  <si>
    <t>307,361.25</t>
  </si>
  <si>
    <t>171,250.00</t>
  </si>
  <si>
    <t>23,715.00</t>
  </si>
  <si>
    <t>249,930.00</t>
  </si>
  <si>
    <t>951,836.38</t>
  </si>
  <si>
    <t>99,970.00</t>
  </si>
  <si>
    <t>100,219.00</t>
  </si>
  <si>
    <t>52,950.00</t>
  </si>
  <si>
    <t>13,499,614.00</t>
  </si>
  <si>
    <t>195,135.00</t>
  </si>
  <si>
    <t>1,998,182.00</t>
  </si>
  <si>
    <t>999,900.00</t>
  </si>
  <si>
    <t>123,100.00</t>
  </si>
  <si>
    <t>432,973.15</t>
  </si>
  <si>
    <t>499,190.00</t>
  </si>
  <si>
    <t>1,858,613.46</t>
  </si>
  <si>
    <t>130,207.50</t>
  </si>
  <si>
    <t>1,040,000.00</t>
  </si>
  <si>
    <t>1,541,850.00</t>
  </si>
  <si>
    <t>99,300.00</t>
  </si>
  <si>
    <t>190,800.00</t>
  </si>
  <si>
    <t>261,672.75</t>
  </si>
  <si>
    <t>104,040.00</t>
  </si>
  <si>
    <t>131,920.00</t>
  </si>
  <si>
    <t>92,090.00</t>
  </si>
  <si>
    <t>36,187,500.00</t>
  </si>
  <si>
    <t>63,280.00</t>
  </si>
  <si>
    <t>196,300.00</t>
  </si>
  <si>
    <t>5,039,460.00</t>
  </si>
  <si>
    <t>1,790,380.00</t>
  </si>
  <si>
    <t>816,550.00</t>
  </si>
  <si>
    <t>845,500.00</t>
  </si>
  <si>
    <t>101,325,000.00</t>
  </si>
  <si>
    <t>1,587,795.00</t>
  </si>
  <si>
    <t>677,374.25</t>
  </si>
  <si>
    <t>98,230.00</t>
  </si>
  <si>
    <t>232,206.00</t>
  </si>
  <si>
    <t>29,250.00</t>
  </si>
  <si>
    <t>296,355.00</t>
  </si>
  <si>
    <t>66,250.00</t>
  </si>
  <si>
    <t>842,400.00</t>
  </si>
  <si>
    <t>193,030.00</t>
  </si>
  <si>
    <t>87,576.51</t>
  </si>
  <si>
    <t>289,955.00</t>
  </si>
  <si>
    <t>194,987.00</t>
  </si>
  <si>
    <t>4,200,000.00</t>
  </si>
  <si>
    <t>84,005.00</t>
  </si>
  <si>
    <t>354,946.80</t>
  </si>
  <si>
    <t>138,040.00</t>
  </si>
  <si>
    <t>132,338.41</t>
  </si>
  <si>
    <t>2,656,000.00</t>
  </si>
  <si>
    <t>499,903.85</t>
  </si>
  <si>
    <t>3,419,000.00</t>
  </si>
  <si>
    <t>56,310.00</t>
  </si>
  <si>
    <t>483,695.00</t>
  </si>
  <si>
    <t>51,841.00</t>
  </si>
  <si>
    <t>54,300.00</t>
  </si>
  <si>
    <t>69,768.84</t>
  </si>
  <si>
    <t>40,550.00</t>
  </si>
  <si>
    <t>150,528.74</t>
  </si>
  <si>
    <t>149,990.04</t>
  </si>
  <si>
    <t>28,947,700.00</t>
  </si>
  <si>
    <t>372,120.00</t>
  </si>
  <si>
    <t>404,800.00</t>
  </si>
  <si>
    <t>1,393,116.00</t>
  </si>
  <si>
    <t>85,562.00</t>
  </si>
  <si>
    <t>886,034.20</t>
  </si>
  <si>
    <t>73,207.50</t>
  </si>
  <si>
    <t>56,452,500.00</t>
  </si>
  <si>
    <t>82,162.00</t>
  </si>
  <si>
    <t>26,574,902.46</t>
  </si>
  <si>
    <t>161,129.30</t>
  </si>
  <si>
    <t>98,757.20</t>
  </si>
  <si>
    <t>137,769.50</t>
  </si>
  <si>
    <t>1,083,189.96</t>
  </si>
  <si>
    <t>106,150,000.00</t>
  </si>
  <si>
    <t>109,125.00</t>
  </si>
  <si>
    <t>323,070.00</t>
  </si>
  <si>
    <t>198,936.00</t>
  </si>
  <si>
    <t>720,300.00</t>
  </si>
  <si>
    <t>828,975.00</t>
  </si>
  <si>
    <t>66,234.00</t>
  </si>
  <si>
    <t>97,400.00</t>
  </si>
  <si>
    <t>13,823,000.00</t>
  </si>
  <si>
    <t>151,000.00</t>
  </si>
  <si>
    <t>118,700.00</t>
  </si>
  <si>
    <t>178,295.00</t>
  </si>
  <si>
    <t>814,228.20</t>
  </si>
  <si>
    <t>80,010.00</t>
  </si>
  <si>
    <t>344,000.00</t>
  </si>
  <si>
    <t>117,175.00</t>
  </si>
  <si>
    <t>5,381,908.82</t>
  </si>
  <si>
    <t>98,212.50</t>
  </si>
  <si>
    <t>192,708.75</t>
  </si>
  <si>
    <t>378,660.00</t>
  </si>
  <si>
    <t>19,150.00</t>
  </si>
  <si>
    <t>699,991.23</t>
  </si>
  <si>
    <t>1,485,000.00</t>
  </si>
  <si>
    <t>8,751,688.00</t>
  </si>
  <si>
    <t>80,758.00</t>
  </si>
  <si>
    <t>476,500.00</t>
  </si>
  <si>
    <t>141,403.00</t>
  </si>
  <si>
    <t>105,499.00</t>
  </si>
  <si>
    <t>174,272.44</t>
  </si>
  <si>
    <t>538,000.00</t>
  </si>
  <si>
    <t>588,800.00</t>
  </si>
  <si>
    <t>1,262,500.00</t>
  </si>
  <si>
    <t>7,765,163.56</t>
  </si>
  <si>
    <t>74,699.00</t>
  </si>
  <si>
    <t>250,747.91</t>
  </si>
  <si>
    <t>71,140.00</t>
  </si>
  <si>
    <t>151,585.00</t>
  </si>
  <si>
    <t>1,304,905.33</t>
  </si>
  <si>
    <t>220,800.00</t>
  </si>
  <si>
    <t>1,454,928.76</t>
  </si>
  <si>
    <t>655,000.00</t>
  </si>
  <si>
    <t>437,500.00</t>
  </si>
  <si>
    <t>3,365,000.00</t>
  </si>
  <si>
    <t>1,170,755.00</t>
  </si>
  <si>
    <t>184,950,408.95</t>
  </si>
  <si>
    <t>264,240.00</t>
  </si>
  <si>
    <t>287,851.50</t>
  </si>
  <si>
    <t>617,900.00</t>
  </si>
  <si>
    <t>968,865.00</t>
  </si>
  <si>
    <t>161,156.00</t>
  </si>
  <si>
    <t>167,705.00</t>
  </si>
  <si>
    <t>498,631.25</t>
  </si>
  <si>
    <t>465,211.00</t>
  </si>
  <si>
    <t>1,114,873.00</t>
  </si>
  <si>
    <t>13,914,060.00</t>
  </si>
  <si>
    <t>158,265.00</t>
  </si>
  <si>
    <t>607,825.00</t>
  </si>
  <si>
    <t>694,000.00</t>
  </si>
  <si>
    <t>360,329.31</t>
  </si>
  <si>
    <t>52,080.00</t>
  </si>
  <si>
    <t>30,259,611.00</t>
  </si>
  <si>
    <t>412,000.00</t>
  </si>
  <si>
    <t>92,100.00</t>
  </si>
  <si>
    <t>139,873,620.50</t>
  </si>
  <si>
    <t>122,015.00</t>
  </si>
  <si>
    <t>3,161,600.00</t>
  </si>
  <si>
    <t>1,847,275.20</t>
  </si>
  <si>
    <t>1,839,000.00</t>
  </si>
  <si>
    <t>71,790.00</t>
  </si>
  <si>
    <t>3,253,881.22</t>
  </si>
  <si>
    <t>65,400.00</t>
  </si>
  <si>
    <t>82,398.00</t>
  </si>
  <si>
    <t>553,287.56</t>
  </si>
  <si>
    <t>160,225.00</t>
  </si>
  <si>
    <t>935,000.00</t>
  </si>
  <si>
    <t>8,100,000.00</t>
  </si>
  <si>
    <t>523,252.80</t>
  </si>
  <si>
    <t>129,400.00</t>
  </si>
  <si>
    <t>486,720.00</t>
  </si>
  <si>
    <t>594,973.21</t>
  </si>
  <si>
    <t>16,032,600.00</t>
  </si>
  <si>
    <t>463,525.00</t>
  </si>
  <si>
    <t>99,954.00</t>
  </si>
  <si>
    <t>299,620.00</t>
  </si>
  <si>
    <t>129,734.00</t>
  </si>
  <si>
    <t>104,100.10</t>
  </si>
  <si>
    <t>94,460.00</t>
  </si>
  <si>
    <t>86,200.00</t>
  </si>
  <si>
    <t>1,725,823.33</t>
  </si>
  <si>
    <t>469,520.00</t>
  </si>
  <si>
    <t>551,477.00</t>
  </si>
  <si>
    <t>245,200.00</t>
  </si>
  <si>
    <t>62,370.00</t>
  </si>
  <si>
    <t>104,831.00</t>
  </si>
  <si>
    <t>188,214.00</t>
  </si>
  <si>
    <t>91,188.00</t>
  </si>
  <si>
    <t>290,993.33</t>
  </si>
  <si>
    <t>3,999,810.00</t>
  </si>
  <si>
    <t>85,450.00</t>
  </si>
  <si>
    <t>12,200,000.00</t>
  </si>
  <si>
    <t>220,418.25</t>
  </si>
  <si>
    <t>600,009.96</t>
  </si>
  <si>
    <t>178,200.00</t>
  </si>
  <si>
    <t>90,720.00</t>
  </si>
  <si>
    <t>93,258.00</t>
  </si>
  <si>
    <t>525,000.00</t>
  </si>
  <si>
    <t>95,945.00</t>
  </si>
  <si>
    <t>2,626,751.73</t>
  </si>
  <si>
    <t>4,770,000.00</t>
  </si>
  <si>
    <t>251,929.00</t>
  </si>
  <si>
    <t>1,052,000.00</t>
  </si>
  <si>
    <t>303,962.75</t>
  </si>
  <si>
    <t>352,118.00</t>
  </si>
  <si>
    <t>104,500.00</t>
  </si>
  <si>
    <t>660,409.45</t>
  </si>
  <si>
    <t>1,870,985.00</t>
  </si>
  <si>
    <t>107,950.00</t>
  </si>
  <si>
    <t>493,680.00</t>
  </si>
  <si>
    <t>488,610.00</t>
  </si>
  <si>
    <t>1,954,783.71</t>
  </si>
  <si>
    <t>52,800.00</t>
  </si>
  <si>
    <t>772,306.65</t>
  </si>
  <si>
    <t>919,000.00</t>
  </si>
  <si>
    <t>116,750.00</t>
  </si>
  <si>
    <t>1,199,889.56</t>
  </si>
  <si>
    <t>7,200,000.00</t>
  </si>
  <si>
    <t>282,187.50</t>
  </si>
  <si>
    <t>1,691,600.00</t>
  </si>
  <si>
    <t>63,023.00</t>
  </si>
  <si>
    <t>4,881,000.00</t>
  </si>
  <si>
    <t>934,663.24</t>
  </si>
  <si>
    <t>1,354,500.00</t>
  </si>
  <si>
    <t>75,275.00</t>
  </si>
  <si>
    <t>142,275.00</t>
  </si>
  <si>
    <t>4,883,500.00</t>
  </si>
  <si>
    <t>85,650.00</t>
  </si>
  <si>
    <t>28,500,000.00</t>
  </si>
  <si>
    <t>162,143.20</t>
  </si>
  <si>
    <t>204,908.00</t>
  </si>
  <si>
    <t>566,940.00</t>
  </si>
  <si>
    <t>3,107,663.00</t>
  </si>
  <si>
    <t>88,202.75</t>
  </si>
  <si>
    <t>246,451,000.00</t>
  </si>
  <si>
    <t>2,112,000.00</t>
  </si>
  <si>
    <t>126,185,000.00</t>
  </si>
  <si>
    <t>651,855.50</t>
  </si>
  <si>
    <t>391,299.00</t>
  </si>
  <si>
    <t>115,245.40</t>
  </si>
  <si>
    <t>2,267,395.50</t>
  </si>
  <si>
    <t>333,600.00</t>
  </si>
  <si>
    <t>2,882,760.84</t>
  </si>
  <si>
    <t>2,643,000.00</t>
  </si>
  <si>
    <t>201,700.00</t>
  </si>
  <si>
    <t>596,350.13</t>
  </si>
  <si>
    <t>279,214.00</t>
  </si>
  <si>
    <t>6,919.08</t>
  </si>
  <si>
    <t>222,275.00</t>
  </si>
  <si>
    <t>289,600.00</t>
  </si>
  <si>
    <t>59,687,735.81</t>
  </si>
  <si>
    <t>279,460.00</t>
  </si>
  <si>
    <t>782,857.75</t>
  </si>
  <si>
    <t>156,045.00</t>
  </si>
  <si>
    <t>6,250.00</t>
  </si>
  <si>
    <t>269,000.00</t>
  </si>
  <si>
    <t>295,125.00</t>
  </si>
  <si>
    <t>4,159,645.60</t>
  </si>
  <si>
    <t>597,006.72</t>
  </si>
  <si>
    <t>299,000.00</t>
  </si>
  <si>
    <t>693,824.25</t>
  </si>
  <si>
    <t>785,117.60</t>
  </si>
  <si>
    <t>154,967.53</t>
  </si>
  <si>
    <t>450,602.00</t>
  </si>
  <si>
    <t>58,863,945.00</t>
  </si>
  <si>
    <t>6,557,430.00</t>
  </si>
  <si>
    <t>3,256,942.54</t>
  </si>
  <si>
    <t>331,990.00</t>
  </si>
  <si>
    <t>371,110.00</t>
  </si>
  <si>
    <t>24,498,831.28</t>
  </si>
  <si>
    <t>6,195,742.00</t>
  </si>
  <si>
    <t>58,840.00</t>
  </si>
  <si>
    <t>469,714.65</t>
  </si>
  <si>
    <t>2,052,000.00</t>
  </si>
  <si>
    <t>82,340.50</t>
  </si>
  <si>
    <t>17,819,672.03</t>
  </si>
  <si>
    <t>99,999.99</t>
  </si>
  <si>
    <t>13,444,400.00</t>
  </si>
  <si>
    <t>716,000.00</t>
  </si>
  <si>
    <t>51,146.00</t>
  </si>
  <si>
    <t>77,854.55</t>
  </si>
  <si>
    <t>1,039,606.84</t>
  </si>
  <si>
    <t>28,341,000.00</t>
  </si>
  <si>
    <t>121,035.00</t>
  </si>
  <si>
    <t>738,456.00</t>
  </si>
  <si>
    <t>68,695,360.00</t>
  </si>
  <si>
    <t>19,780.00</t>
  </si>
  <si>
    <t>1,999,941.50</t>
  </si>
  <si>
    <t>622,500.00</t>
  </si>
  <si>
    <t>108,000,000.00</t>
  </si>
  <si>
    <t>59,160,000.00</t>
  </si>
  <si>
    <t>238,064.73</t>
  </si>
  <si>
    <t>3,280,000.00</t>
  </si>
  <si>
    <t>218,375.00</t>
  </si>
  <si>
    <t>2,089,329.16</t>
  </si>
  <si>
    <t>56,353,280.00</t>
  </si>
  <si>
    <t>71,092.00</t>
  </si>
  <si>
    <t>164,365.35</t>
  </si>
  <si>
    <t>176,923.08</t>
  </si>
  <si>
    <t>15,646.62</t>
  </si>
  <si>
    <t>192,500.00</t>
  </si>
  <si>
    <t>195,491.00</t>
  </si>
  <si>
    <t>2,552,964.50</t>
  </si>
  <si>
    <t>20,513,600.00</t>
  </si>
  <si>
    <t>76,540.00</t>
  </si>
  <si>
    <t>7,973,244.46</t>
  </si>
  <si>
    <t>270,368.88</t>
  </si>
  <si>
    <t>10,761,526.73</t>
  </si>
  <si>
    <t>98,657.03</t>
  </si>
  <si>
    <t>294,140.59</t>
  </si>
  <si>
    <t>1,608,048.83</t>
  </si>
  <si>
    <t>51,120.00</t>
  </si>
  <si>
    <t>66,446.00</t>
  </si>
  <si>
    <t>5,883,087.95</t>
  </si>
  <si>
    <t>122,500.00</t>
  </si>
  <si>
    <t>81,600.00</t>
  </si>
  <si>
    <t>824,109.50</t>
  </si>
  <si>
    <t>619,693.00</t>
  </si>
  <si>
    <t>252,468.00</t>
  </si>
  <si>
    <t>64,320.00</t>
  </si>
  <si>
    <t>1,066,326.00</t>
  </si>
  <si>
    <t>886,500.00</t>
  </si>
  <si>
    <t>2,375,600.00</t>
  </si>
  <si>
    <t>82,986.75</t>
  </si>
  <si>
    <t>6,063,107.99</t>
  </si>
  <si>
    <t>2,654,691.83</t>
  </si>
  <si>
    <t>511,500.00</t>
  </si>
  <si>
    <t>9,358,048.50</t>
  </si>
  <si>
    <t>3,955,500.00</t>
  </si>
  <si>
    <t>129,334.40</t>
  </si>
  <si>
    <t>64,200.00</t>
  </si>
  <si>
    <t>8,450.00</t>
  </si>
  <si>
    <t>5,272,773.10</t>
  </si>
  <si>
    <t>11,897,000.00</t>
  </si>
  <si>
    <t>249,925.00</t>
  </si>
  <si>
    <t>7,271,506.00</t>
  </si>
  <si>
    <t>350,684.00</t>
  </si>
  <si>
    <t>136,595.00</t>
  </si>
  <si>
    <t>239,248.98</t>
  </si>
  <si>
    <t>288,963.00</t>
  </si>
  <si>
    <t>316,169.00</t>
  </si>
  <si>
    <t>8,411,500.00</t>
  </si>
  <si>
    <t>30,170,809.50</t>
  </si>
  <si>
    <t>99,905.00</t>
  </si>
  <si>
    <t>286,817.50</t>
  </si>
  <si>
    <t>80,325.00</t>
  </si>
  <si>
    <t>12,426,894.25</t>
  </si>
  <si>
    <t>104,860.00</t>
  </si>
  <si>
    <t>2,120,000.00</t>
  </si>
  <si>
    <t>12,435,895.90</t>
  </si>
  <si>
    <t>65,414.26</t>
  </si>
  <si>
    <t>1,498,147.81</t>
  </si>
  <si>
    <t>9,995,883.14</t>
  </si>
  <si>
    <t>1,998,162.47</t>
  </si>
  <si>
    <t>45,843,600.00</t>
  </si>
  <si>
    <t>1,997,029.44</t>
  </si>
  <si>
    <t>61,470.00</t>
  </si>
  <si>
    <t>22,241.00</t>
  </si>
  <si>
    <t>34,426,600.00</t>
  </si>
  <si>
    <t>999,658.26</t>
  </si>
  <si>
    <t>644,312.63</t>
  </si>
  <si>
    <t>545,000.00</t>
  </si>
  <si>
    <t>575,800.00</t>
  </si>
  <si>
    <t>7,740,000.00</t>
  </si>
  <si>
    <t>998,886.40</t>
  </si>
  <si>
    <t>29,249,564.04</t>
  </si>
  <si>
    <t>2,800,537.00</t>
  </si>
  <si>
    <t>298,534.90</t>
  </si>
  <si>
    <t>479,855.70</t>
  </si>
  <si>
    <t>250,876.07</t>
  </si>
  <si>
    <t>296,120.14</t>
  </si>
  <si>
    <t>199,770.00</t>
  </si>
  <si>
    <t>841,234.53</t>
  </si>
  <si>
    <t>1,980,000.00</t>
  </si>
  <si>
    <t>1,349,427.18</t>
  </si>
  <si>
    <t>7,576,641.00</t>
  </si>
  <si>
    <t>618,816.00</t>
  </si>
  <si>
    <t>499,480.19</t>
  </si>
  <si>
    <t>1,365,000.00</t>
  </si>
  <si>
    <t>299,798.87</t>
  </si>
  <si>
    <t>429,082.00</t>
  </si>
  <si>
    <t>999,311.40</t>
  </si>
  <si>
    <t>2,998,124.38</t>
  </si>
  <si>
    <t>1,110,000.00</t>
  </si>
  <si>
    <t>611,000.00</t>
  </si>
  <si>
    <t>749,110.74</t>
  </si>
  <si>
    <t>499,722.85</t>
  </si>
  <si>
    <t>61,485.00</t>
  </si>
  <si>
    <t>1,136,000.00</t>
  </si>
  <si>
    <t>35,880,000.00</t>
  </si>
  <si>
    <t>957,000.00</t>
  </si>
  <si>
    <t>777,963.96</t>
  </si>
  <si>
    <t>116,896.00</t>
  </si>
  <si>
    <t>177,080.00</t>
  </si>
  <si>
    <t>3,600.00</t>
  </si>
  <si>
    <t>1,342,433.00</t>
  </si>
  <si>
    <t>1,044,000.00</t>
  </si>
  <si>
    <t>156,728.00</t>
  </si>
  <si>
    <t>18,737,743.74</t>
  </si>
  <si>
    <t>62,511.00</t>
  </si>
  <si>
    <t>28,176,753.00</t>
  </si>
  <si>
    <t>372,000.00</t>
  </si>
  <si>
    <t>241,424.00</t>
  </si>
  <si>
    <t>4,991,500.00</t>
  </si>
  <si>
    <t>2,902,813.50</t>
  </si>
  <si>
    <t>2,694,111.43</t>
  </si>
  <si>
    <t>1,499,648.27</t>
  </si>
  <si>
    <t>809,000.00</t>
  </si>
  <si>
    <t>82,750.00</t>
  </si>
  <si>
    <t>401,000.00</t>
  </si>
  <si>
    <t>8,985,000.00</t>
  </si>
  <si>
    <t>1,947,362.35</t>
  </si>
  <si>
    <t>58,500.00</t>
  </si>
  <si>
    <t>2,495,365.08</t>
  </si>
  <si>
    <t>370,118.00</t>
  </si>
  <si>
    <t>153,000.00</t>
  </si>
  <si>
    <t>185,355.20</t>
  </si>
  <si>
    <t>3,111,070.15</t>
  </si>
  <si>
    <t>205,784.12</t>
  </si>
  <si>
    <t>535,606.40</t>
  </si>
  <si>
    <t>812,601.40</t>
  </si>
  <si>
    <t>997,130.83</t>
  </si>
  <si>
    <t>382,884.20</t>
  </si>
  <si>
    <t>120,980.00</t>
  </si>
  <si>
    <t>91,200.00</t>
  </si>
  <si>
    <t>376,524.60</t>
  </si>
  <si>
    <t>144,750.00</t>
  </si>
  <si>
    <t>49,499,758.54</t>
  </si>
  <si>
    <t>263,066.00</t>
  </si>
  <si>
    <t>199,690.00</t>
  </si>
  <si>
    <t>2,350,000.00</t>
  </si>
  <si>
    <t>332,839.85</t>
  </si>
  <si>
    <t>373,061.50</t>
  </si>
  <si>
    <t>125,821.00</t>
  </si>
  <si>
    <t>100,947.00</t>
  </si>
  <si>
    <t>1,674,300.00</t>
  </si>
  <si>
    <t>3,996,500.00</t>
  </si>
  <si>
    <t>564,500.00</t>
  </si>
  <si>
    <t>768,000.00</t>
  </si>
  <si>
    <t>18,054,099.56</t>
  </si>
  <si>
    <t>412,955.00</t>
  </si>
  <si>
    <t>467,815.61</t>
  </si>
  <si>
    <t>892,003.00</t>
  </si>
  <si>
    <t>367,460.00</t>
  </si>
  <si>
    <t>9,974,477.72</t>
  </si>
  <si>
    <t>17,904,290.17</t>
  </si>
  <si>
    <t>121,050.00</t>
  </si>
  <si>
    <t>58,750.00</t>
  </si>
  <si>
    <t>163,410.00</t>
  </si>
  <si>
    <t>79,086.00</t>
  </si>
  <si>
    <t>456,243.69</t>
  </si>
  <si>
    <t>2,611,524.28</t>
  </si>
  <si>
    <t>1,520,937.73</t>
  </si>
  <si>
    <t>161,300.00</t>
  </si>
  <si>
    <t>1,662,000.00</t>
  </si>
  <si>
    <t>47,250.00</t>
  </si>
  <si>
    <t>1,699,990.00</t>
  </si>
  <si>
    <t>217,800.00</t>
  </si>
  <si>
    <t>599,417.73</t>
  </si>
  <si>
    <t>999,994.49</t>
  </si>
  <si>
    <t>1,674,310.40</t>
  </si>
  <si>
    <t>80,850.00</t>
  </si>
  <si>
    <t>129,943.00</t>
  </si>
  <si>
    <t>7,202,000.00</t>
  </si>
  <si>
    <t>989,132.44</t>
  </si>
  <si>
    <t>372,728.37</t>
  </si>
  <si>
    <t>3,916,739.88</t>
  </si>
  <si>
    <t>44,189.00</t>
  </si>
  <si>
    <t>1,027,500.00</t>
  </si>
  <si>
    <t>246,520.00</t>
  </si>
  <si>
    <t>55,750.00</t>
  </si>
  <si>
    <t>399,992.50</t>
  </si>
  <si>
    <t>133,288.47</t>
  </si>
  <si>
    <t>709,800.00</t>
  </si>
  <si>
    <t>880,550.00</t>
  </si>
  <si>
    <t>199,999.00</t>
  </si>
  <si>
    <t>1,484,906.06</t>
  </si>
  <si>
    <t>1,960,683.27</t>
  </si>
  <si>
    <t>201,000.00</t>
  </si>
  <si>
    <t>6,302,851.99</t>
  </si>
  <si>
    <t>54,250.00</t>
  </si>
  <si>
    <t>1,703,340.80</t>
  </si>
  <si>
    <t>449,800.00</t>
  </si>
  <si>
    <t>125,661.00</t>
  </si>
  <si>
    <t>72,050.00</t>
  </si>
  <si>
    <t>77,978.60</t>
  </si>
  <si>
    <t>113,871.00</t>
  </si>
  <si>
    <t>99,450.00</t>
  </si>
  <si>
    <t>160,800.00</t>
  </si>
  <si>
    <t>125,850.00</t>
  </si>
  <si>
    <t>1,973,611.00</t>
  </si>
  <si>
    <t>514,000.00</t>
  </si>
  <si>
    <t>216,275.00</t>
  </si>
  <si>
    <t>56,826.00</t>
  </si>
  <si>
    <t>149,308.53</t>
  </si>
  <si>
    <t>110,465.54</t>
  </si>
  <si>
    <t>2,220,000.00</t>
  </si>
  <si>
    <t>5,565,000.00</t>
  </si>
  <si>
    <t>5,828,993.83</t>
  </si>
  <si>
    <t>1,954,865.60</t>
  </si>
  <si>
    <t>2,130,000.00</t>
  </si>
  <si>
    <t>339,120.00</t>
  </si>
  <si>
    <t>1,562,360.00</t>
  </si>
  <si>
    <t>16,163,256.00</t>
  </si>
  <si>
    <t>407,700.00</t>
  </si>
  <si>
    <t>168,755.45</t>
  </si>
  <si>
    <t>119,500.00</t>
  </si>
  <si>
    <t>180,700.00</t>
  </si>
  <si>
    <t>99,780.00</t>
  </si>
  <si>
    <t>99,511.44</t>
  </si>
  <si>
    <t>17,475.00</t>
  </si>
  <si>
    <t>7,721,116.92</t>
  </si>
  <si>
    <t>889,354.00</t>
  </si>
  <si>
    <t>98,475.00</t>
  </si>
  <si>
    <t>307,150.00</t>
  </si>
  <si>
    <t>2,567.00</t>
  </si>
  <si>
    <t>21,630.00</t>
  </si>
  <si>
    <t>942,689.00</t>
  </si>
  <si>
    <t>147,470.64</t>
  </si>
  <si>
    <t>137,590.00</t>
  </si>
  <si>
    <t>795,850.00</t>
  </si>
  <si>
    <t>676,725.00</t>
  </si>
  <si>
    <t>99,827.00</t>
  </si>
  <si>
    <t>226,900.00</t>
  </si>
  <si>
    <t>1,003,800.00</t>
  </si>
  <si>
    <t>169,185.00</t>
  </si>
  <si>
    <t>505,500.00</t>
  </si>
  <si>
    <t>50,040.00</t>
  </si>
  <si>
    <t>99,066.84</t>
  </si>
  <si>
    <t>128,720.90</t>
  </si>
  <si>
    <t>6,727,760.00</t>
  </si>
  <si>
    <t>1,680.00</t>
  </si>
  <si>
    <t>10,791,182.40</t>
  </si>
  <si>
    <t>2,961.00</t>
  </si>
  <si>
    <t>858,497.36</t>
  </si>
  <si>
    <t>60,575.00</t>
  </si>
  <si>
    <t>744,935.00</t>
  </si>
  <si>
    <t>99,345.00</t>
  </si>
  <si>
    <t>1,212,814.00</t>
  </si>
  <si>
    <t>198,899.74</t>
  </si>
  <si>
    <t>999,475.49</t>
  </si>
  <si>
    <t>1,627,750.00</t>
  </si>
  <si>
    <t>567,644.26</t>
  </si>
  <si>
    <t>130,133.00</t>
  </si>
  <si>
    <t>161,428.97</t>
  </si>
  <si>
    <t>98,914.41</t>
  </si>
  <si>
    <t>215,600.00</t>
  </si>
  <si>
    <t>9,725,160.00</t>
  </si>
  <si>
    <t>152,750.00</t>
  </si>
  <si>
    <t>154,404.75</t>
  </si>
  <si>
    <t>129,200.00</t>
  </si>
  <si>
    <t>72,010,636.68</t>
  </si>
  <si>
    <t>139,989.00</t>
  </si>
  <si>
    <t>79,050.00</t>
  </si>
  <si>
    <t>4,989,035.34</t>
  </si>
  <si>
    <t>128,829.00</t>
  </si>
  <si>
    <t>4,637,448.00</t>
  </si>
  <si>
    <t>98,937.32</t>
  </si>
  <si>
    <t>430,768.61</t>
  </si>
  <si>
    <t>164,935.00</t>
  </si>
  <si>
    <t>299,671.90</t>
  </si>
  <si>
    <t>4,524,041.08</t>
  </si>
  <si>
    <t>810,100.00</t>
  </si>
  <si>
    <t>3,875,769.19</t>
  </si>
  <si>
    <t>199,880.00</t>
  </si>
  <si>
    <t>70,250.00</t>
  </si>
  <si>
    <t>197,679.12</t>
  </si>
  <si>
    <t>2,650,000.00</t>
  </si>
  <si>
    <t>1,255,442.38</t>
  </si>
  <si>
    <t>396,357.00</t>
  </si>
  <si>
    <t>152,088.00</t>
  </si>
  <si>
    <t>148,997.11</t>
  </si>
  <si>
    <t>4,745,783.60</t>
  </si>
  <si>
    <t>1,373,593.20</t>
  </si>
  <si>
    <t>560,200.00</t>
  </si>
  <si>
    <t>52,265.00</t>
  </si>
  <si>
    <t>130,725.00</t>
  </si>
  <si>
    <t>110,025.00</t>
  </si>
  <si>
    <t>299,550.00</t>
  </si>
  <si>
    <t>176,487.00</t>
  </si>
  <si>
    <t>1,687,942.78</t>
  </si>
  <si>
    <t>992,670.00</t>
  </si>
  <si>
    <t>201,744.00</t>
  </si>
  <si>
    <t>176,750.00</t>
  </si>
  <si>
    <t>229,690.00</t>
  </si>
  <si>
    <t>69,915.00</t>
  </si>
  <si>
    <t>91,401.58</t>
  </si>
  <si>
    <t>106,512.41</t>
  </si>
  <si>
    <t>458,139.80</t>
  </si>
  <si>
    <t>9,890,500.00</t>
  </si>
  <si>
    <t>112,885.00</t>
  </si>
  <si>
    <t>242,998.94</t>
  </si>
  <si>
    <t>918,620.00</t>
  </si>
  <si>
    <t>113,850.00</t>
  </si>
  <si>
    <t>4,989,598.41</t>
  </si>
  <si>
    <t>107,630.00</t>
  </si>
  <si>
    <t>3,429,839.44</t>
  </si>
  <si>
    <t>499,971.75</t>
  </si>
  <si>
    <t>149,907.00</t>
  </si>
  <si>
    <t>175,910.00</t>
  </si>
  <si>
    <t>69,330.00</t>
  </si>
  <si>
    <t>15,599,936.92</t>
  </si>
  <si>
    <t>63,845.00</t>
  </si>
  <si>
    <t>318,915.00</t>
  </si>
  <si>
    <t>98,393.64</t>
  </si>
  <si>
    <t>41,998,557.00</t>
  </si>
  <si>
    <t>12,500,000.00</t>
  </si>
  <si>
    <t>243,250.00</t>
  </si>
  <si>
    <t>314,440.00</t>
  </si>
  <si>
    <t>2,125,000.00</t>
  </si>
  <si>
    <t>129,630.00</t>
  </si>
  <si>
    <t>3,637,869.68</t>
  </si>
  <si>
    <t>205,688.00</t>
  </si>
  <si>
    <t>989,142.05</t>
  </si>
  <si>
    <t>198,450.00</t>
  </si>
  <si>
    <t>12,737,963.69</t>
  </si>
  <si>
    <t>21,074,577.67</t>
  </si>
  <si>
    <t>285,003.60</t>
  </si>
  <si>
    <t>143,662.00</t>
  </si>
  <si>
    <t>111,650.00</t>
  </si>
  <si>
    <t>4,278,091.47</t>
  </si>
  <si>
    <t>1,241,200.00</t>
  </si>
  <si>
    <t>130,410.00</t>
  </si>
  <si>
    <t>575,782.50</t>
  </si>
  <si>
    <t>4,720,550.00</t>
  </si>
  <si>
    <t>320,800.00</t>
  </si>
  <si>
    <t>620,250.00</t>
  </si>
  <si>
    <t>135,452.00</t>
  </si>
  <si>
    <t>380,155.60</t>
  </si>
  <si>
    <t>3,264,650.15</t>
  </si>
  <si>
    <t>499,600.00</t>
  </si>
  <si>
    <t>159,714.00</t>
  </si>
  <si>
    <t>120,800.00</t>
  </si>
  <si>
    <t>83,580.00</t>
  </si>
  <si>
    <t>247,994.00</t>
  </si>
  <si>
    <t>1,576,152.00</t>
  </si>
  <si>
    <t>129,000.00</t>
  </si>
  <si>
    <t>119,844.40</t>
  </si>
  <si>
    <t>1,642,635.00</t>
  </si>
  <si>
    <t>996,500.00</t>
  </si>
  <si>
    <t>43,000.00</t>
  </si>
  <si>
    <t>111,842.00</t>
  </si>
  <si>
    <t>81,550.00</t>
  </si>
  <si>
    <t>109,012.00</t>
  </si>
  <si>
    <t>60,980.00</t>
  </si>
  <si>
    <t>116,799.00</t>
  </si>
  <si>
    <t>2,030,784.00</t>
  </si>
  <si>
    <t>454,650.00</t>
  </si>
  <si>
    <t>19,630.00</t>
  </si>
  <si>
    <t>103,050.00</t>
  </si>
  <si>
    <t>1,270,000.00</t>
  </si>
  <si>
    <t>174,475.00</t>
  </si>
  <si>
    <t>223,430.00</t>
  </si>
  <si>
    <t>17,150.00</t>
  </si>
  <si>
    <t>59,650.00</t>
  </si>
  <si>
    <t>337,500.00</t>
  </si>
  <si>
    <t>793,752.42</t>
  </si>
  <si>
    <t>182,975.00</t>
  </si>
  <si>
    <t>2,768,497.00</t>
  </si>
  <si>
    <t>5,656,548.36</t>
  </si>
  <si>
    <t>139,809.00</t>
  </si>
  <si>
    <t>454,054.50</t>
  </si>
  <si>
    <t>19,079.00</t>
  </si>
  <si>
    <t>299,960.88</t>
  </si>
  <si>
    <t>47,430.00</t>
  </si>
  <si>
    <t>17,730.00</t>
  </si>
  <si>
    <t>181,434.00</t>
  </si>
  <si>
    <t>195,490.00</t>
  </si>
  <si>
    <t>1,384,755.00</t>
  </si>
  <si>
    <t>173,300.00</t>
  </si>
  <si>
    <t>26,250.00</t>
  </si>
  <si>
    <t>137,985.00</t>
  </si>
  <si>
    <t>744,112.60</t>
  </si>
  <si>
    <t>2,975,668.00</t>
  </si>
  <si>
    <t>116,160.00</t>
  </si>
  <si>
    <t>18,400.00</t>
  </si>
  <si>
    <t>146,850.00</t>
  </si>
  <si>
    <t>239,145.00</t>
  </si>
  <si>
    <t>97,900.00</t>
  </si>
  <si>
    <t>366,000.00</t>
  </si>
  <si>
    <t>64,381.30</t>
  </si>
  <si>
    <t>235,562.00</t>
  </si>
  <si>
    <t>9,970.00</t>
  </si>
  <si>
    <t>6,720.00</t>
  </si>
  <si>
    <t>337,510.00</t>
  </si>
  <si>
    <t>111,165.00</t>
  </si>
  <si>
    <t>64,075.00</t>
  </si>
  <si>
    <t>61,753.00</t>
  </si>
  <si>
    <t>184,500.00</t>
  </si>
  <si>
    <t>10,655.00</t>
  </si>
  <si>
    <t>687,000.00</t>
  </si>
  <si>
    <t>14,877,328.94</t>
  </si>
  <si>
    <t>98,684.98</t>
  </si>
  <si>
    <t>125,037.08</t>
  </si>
  <si>
    <t>9,280.00</t>
  </si>
  <si>
    <t>71,795.00</t>
  </si>
  <si>
    <t>778,783.50</t>
  </si>
  <si>
    <t>147,050.00</t>
  </si>
  <si>
    <t>9,514,000.00</t>
  </si>
  <si>
    <t>176,980.00</t>
  </si>
  <si>
    <t>197,685.66</t>
  </si>
  <si>
    <t>4,656,725.00</t>
  </si>
  <si>
    <t>276,750.00</t>
  </si>
  <si>
    <t>1,681,859.87</t>
  </si>
  <si>
    <t>99,057.86</t>
  </si>
  <si>
    <t>85,362.00</t>
  </si>
  <si>
    <t>545,100.00</t>
  </si>
  <si>
    <t>223,400.00</t>
  </si>
  <si>
    <t>49,960.00</t>
  </si>
  <si>
    <t>239,870.00</t>
  </si>
  <si>
    <t>751,250.00</t>
  </si>
  <si>
    <t>10,340.00</t>
  </si>
  <si>
    <t>217,500.00</t>
  </si>
  <si>
    <t>148,353.06</t>
  </si>
  <si>
    <t>165,385.75</t>
  </si>
  <si>
    <t>257,300.00</t>
  </si>
  <si>
    <t>815,000.00</t>
  </si>
  <si>
    <t>35,598,192.00</t>
  </si>
  <si>
    <t>65,380.00</t>
  </si>
  <si>
    <t>438,600.00</t>
  </si>
  <si>
    <t>21,090.00</t>
  </si>
  <si>
    <t>405,602.48</t>
  </si>
  <si>
    <t>76,488.00</t>
  </si>
  <si>
    <t>85,600.00</t>
  </si>
  <si>
    <t>29,402.00</t>
  </si>
  <si>
    <t>999,988.50</t>
  </si>
  <si>
    <t>92,244.00</t>
  </si>
  <si>
    <t>238,127.80</t>
  </si>
  <si>
    <t>821,980.00</t>
  </si>
  <si>
    <t>179,999.00</t>
  </si>
  <si>
    <t>464,845.33</t>
  </si>
  <si>
    <t>147,484.00</t>
  </si>
  <si>
    <t>424,433.00</t>
  </si>
  <si>
    <t>350,771.50</t>
  </si>
  <si>
    <t>538,024.70</t>
  </si>
  <si>
    <t>90,600.00</t>
  </si>
  <si>
    <t>58,343.00</t>
  </si>
  <si>
    <t>44,100.00</t>
  </si>
  <si>
    <t>3,134,682.45</t>
  </si>
  <si>
    <t>80,253.55</t>
  </si>
  <si>
    <t>22,558,214.09</t>
  </si>
  <si>
    <t>874,972.02</t>
  </si>
  <si>
    <t>1,655,000.00</t>
  </si>
  <si>
    <t>287,176.97</t>
  </si>
  <si>
    <t>6,750.00</t>
  </si>
  <si>
    <t>60,610.00</t>
  </si>
  <si>
    <t>41,616.24</t>
  </si>
  <si>
    <t>41,070.00</t>
  </si>
  <si>
    <t>5,123.00</t>
  </si>
  <si>
    <t>2,988,619.00</t>
  </si>
  <si>
    <t>59,815.00</t>
  </si>
  <si>
    <t>187,500.00</t>
  </si>
  <si>
    <t>4,760.00</t>
  </si>
  <si>
    <t>199,975.10</t>
  </si>
  <si>
    <t>2,646,574.12</t>
  </si>
  <si>
    <t>50,422.33</t>
  </si>
  <si>
    <t>5,374,500.00</t>
  </si>
  <si>
    <t>175,016.65</t>
  </si>
  <si>
    <t>2,708,641.31</t>
  </si>
  <si>
    <t>1,437,470.00</t>
  </si>
  <si>
    <t>103,773.00</t>
  </si>
  <si>
    <t>386,500.00</t>
  </si>
  <si>
    <t>2,639,337.41</t>
  </si>
  <si>
    <t>110,035.00</t>
  </si>
  <si>
    <t>12,600.00</t>
  </si>
  <si>
    <t>17,000,000.00</t>
  </si>
  <si>
    <t>278,300.00</t>
  </si>
  <si>
    <t>10,213,712.00</t>
  </si>
  <si>
    <t>79,655.00</t>
  </si>
  <si>
    <t>101,542.60</t>
  </si>
  <si>
    <t>149,400.00</t>
  </si>
  <si>
    <t>659,450.00</t>
  </si>
  <si>
    <t>6,926,590.02</t>
  </si>
  <si>
    <t>1,032,295.40</t>
  </si>
  <si>
    <t>3,465,838.30</t>
  </si>
  <si>
    <t>4,258,516.00</t>
  </si>
  <si>
    <t>208,000.00</t>
  </si>
  <si>
    <t>370,200.00</t>
  </si>
  <si>
    <t>499,408.00</t>
  </si>
  <si>
    <t>217,672.00</t>
  </si>
  <si>
    <t>1,112,320.00</t>
  </si>
  <si>
    <t>346,250.00</t>
  </si>
  <si>
    <t>2,742,350.00</t>
  </si>
  <si>
    <t>147,395.33</t>
  </si>
  <si>
    <t>859,992.00</t>
  </si>
  <si>
    <t>184,999.80</t>
  </si>
  <si>
    <t>297,038.38</t>
  </si>
  <si>
    <t>145,900.00</t>
  </si>
  <si>
    <t>6,450,000.00</t>
  </si>
  <si>
    <t>2,544,437.45</t>
  </si>
  <si>
    <t>552,700.00</t>
  </si>
  <si>
    <t>85,560.00</t>
  </si>
  <si>
    <t>620,000.00</t>
  </si>
  <si>
    <t>5,760,000.00</t>
  </si>
  <si>
    <t>179,906.00</t>
  </si>
  <si>
    <t>320,200.00</t>
  </si>
  <si>
    <t>133,900.00</t>
  </si>
  <si>
    <t>121,500.00</t>
  </si>
  <si>
    <t>2,160,741.60</t>
  </si>
  <si>
    <t>156,209.54</t>
  </si>
  <si>
    <t>2,516,977.72</t>
  </si>
  <si>
    <t>64,991.80</t>
  </si>
  <si>
    <t>249,133.00</t>
  </si>
  <si>
    <t>61,514.60</t>
  </si>
  <si>
    <t>178,500.00</t>
  </si>
  <si>
    <t>127,758.00</t>
  </si>
  <si>
    <t>155,188.00</t>
  </si>
  <si>
    <t>365,579.11</t>
  </si>
  <si>
    <t>454,000.00</t>
  </si>
  <si>
    <t>1,020,000.00</t>
  </si>
  <si>
    <t>5,248,000.00</t>
  </si>
  <si>
    <t>2,500,185.19</t>
  </si>
  <si>
    <t>689,736.29</t>
  </si>
  <si>
    <t>219,550.00</t>
  </si>
  <si>
    <t>1,900,800.00</t>
  </si>
  <si>
    <t>984,631.50</t>
  </si>
  <si>
    <t>244,515.00</t>
  </si>
  <si>
    <t>132,800.00</t>
  </si>
  <si>
    <t>145,861.28</t>
  </si>
  <si>
    <t>2,722,774.00</t>
  </si>
  <si>
    <t>93,731.00</t>
  </si>
  <si>
    <t>9,278,272.00</t>
  </si>
  <si>
    <t>233,970.00</t>
  </si>
  <si>
    <t>1,089.70</t>
  </si>
  <si>
    <t>111,580.00</t>
  </si>
  <si>
    <t>169,600.00</t>
  </si>
  <si>
    <t>263,250.00</t>
  </si>
  <si>
    <t>151,631.00</t>
  </si>
  <si>
    <t>491,700.00</t>
  </si>
  <si>
    <t>379,600.00</t>
  </si>
  <si>
    <t>577,500.00</t>
  </si>
  <si>
    <t>1,454,612.05</t>
  </si>
  <si>
    <t>332,309.00</t>
  </si>
  <si>
    <t>999,537.00</t>
  </si>
  <si>
    <t>87,405.00</t>
  </si>
  <si>
    <t>2,495,607.20</t>
  </si>
  <si>
    <t>114,435.00</t>
  </si>
  <si>
    <t>124,878.00</t>
  </si>
  <si>
    <t>3,515,000.00</t>
  </si>
  <si>
    <t>629,460.00</t>
  </si>
  <si>
    <t>3,186,858.93</t>
  </si>
  <si>
    <t>114,135.00</t>
  </si>
  <si>
    <t>1,152,000.00</t>
  </si>
  <si>
    <t>1,760,000.00</t>
  </si>
  <si>
    <t>16,642,850.00</t>
  </si>
  <si>
    <t>45,700,700.00</t>
  </si>
  <si>
    <t>2,584,238.36</t>
  </si>
  <si>
    <t>63,682.00</t>
  </si>
  <si>
    <t>224,540.00</t>
  </si>
  <si>
    <t>130,750.00</t>
  </si>
  <si>
    <t>2,310,000.00</t>
  </si>
  <si>
    <t>2,604,216.30</t>
  </si>
  <si>
    <t>1,499,964.48</t>
  </si>
  <si>
    <t>1,502,396.46</t>
  </si>
  <si>
    <t>108,575.00</t>
  </si>
  <si>
    <t>812,222.00</t>
  </si>
  <si>
    <t>1,102,942.00</t>
  </si>
  <si>
    <t>2,588,734.33</t>
  </si>
  <si>
    <t>88,400.00</t>
  </si>
  <si>
    <t>8,680.00</t>
  </si>
  <si>
    <t>118,846.00</t>
  </si>
  <si>
    <t>10,200.00</t>
  </si>
  <si>
    <t>184,560.23</t>
  </si>
  <si>
    <t>88,607.47</t>
  </si>
  <si>
    <t>99,629.40</t>
  </si>
  <si>
    <t>242,301.00</t>
  </si>
  <si>
    <t>76,600.00</t>
  </si>
  <si>
    <t>8,815,404.97</t>
  </si>
  <si>
    <t>94,380.25</t>
  </si>
  <si>
    <t>13,471,409.00</t>
  </si>
  <si>
    <t>193,650.00</t>
  </si>
  <si>
    <t>233,770.00</t>
  </si>
  <si>
    <t>91,925.00</t>
  </si>
  <si>
    <t>122,960,000.00</t>
  </si>
  <si>
    <t>981,998.40</t>
  </si>
  <si>
    <t>121,782.66</t>
  </si>
  <si>
    <t>4,815,756.95</t>
  </si>
  <si>
    <t>4,946,600.72</t>
  </si>
  <si>
    <t>307,295.82</t>
  </si>
  <si>
    <t>1,384,718.00</t>
  </si>
  <si>
    <t>224,700.00</t>
  </si>
  <si>
    <t>769,669.63</t>
  </si>
  <si>
    <t>453,968.00</t>
  </si>
  <si>
    <t>12,437,500.00</t>
  </si>
  <si>
    <t>176,525.00</t>
  </si>
  <si>
    <t>229,870.00</t>
  </si>
  <si>
    <t>2,100,000.00</t>
  </si>
  <si>
    <t>37,000.00</t>
  </si>
  <si>
    <t>186,046.00</t>
  </si>
  <si>
    <t>215,305.20</t>
  </si>
  <si>
    <t>422,100.00</t>
  </si>
  <si>
    <t>991,232.00</t>
  </si>
  <si>
    <t>248,657.00</t>
  </si>
  <si>
    <t>78,563.75</t>
  </si>
  <si>
    <t>275,620.00</t>
  </si>
  <si>
    <t>60,096.02</t>
  </si>
  <si>
    <t>195,940.00</t>
  </si>
  <si>
    <t>5,782,204.56</t>
  </si>
  <si>
    <t>206,336.00</t>
  </si>
  <si>
    <t>299,750.00</t>
  </si>
  <si>
    <t>11,174.02</t>
  </si>
  <si>
    <t>1,096,660.00</t>
  </si>
  <si>
    <t>5,860,000.00</t>
  </si>
  <si>
    <t>997,873.92</t>
  </si>
  <si>
    <t>588,250.00</t>
  </si>
  <si>
    <t>927,000.00</t>
  </si>
  <si>
    <t>76,635.00</t>
  </si>
  <si>
    <t>17,081.00</t>
  </si>
  <si>
    <t>260,252.69</t>
  </si>
  <si>
    <t>159,993.30</t>
  </si>
  <si>
    <t>3,315,231.96</t>
  </si>
  <si>
    <t>370,880.00</t>
  </si>
  <si>
    <t>894,000.00</t>
  </si>
  <si>
    <t>429,810.00</t>
  </si>
  <si>
    <t>1,151,273.64</t>
  </si>
  <si>
    <t>1,794,000.00</t>
  </si>
  <si>
    <t>169,000.00</t>
  </si>
  <si>
    <t>321,860.00</t>
  </si>
  <si>
    <t>482,625.42</t>
  </si>
  <si>
    <t>3,150,000.00</t>
  </si>
  <si>
    <t>293,960.00</t>
  </si>
  <si>
    <t>499,787.67</t>
  </si>
  <si>
    <t>135,629.45</t>
  </si>
  <si>
    <t>347,500.00</t>
  </si>
  <si>
    <t>343,000.00</t>
  </si>
  <si>
    <t>77,750.00</t>
  </si>
  <si>
    <t>235,365.00</t>
  </si>
  <si>
    <t>1,432,000.00</t>
  </si>
  <si>
    <t>1,083,940.00</t>
  </si>
  <si>
    <t>164,997.00</t>
  </si>
  <si>
    <t>1,480,000.00</t>
  </si>
  <si>
    <t>205,083.00</t>
  </si>
  <si>
    <t>351,600.00</t>
  </si>
  <si>
    <t>3,750,000.00</t>
  </si>
  <si>
    <t>229,975.00</t>
  </si>
  <si>
    <t>1,479,400.00</t>
  </si>
  <si>
    <t>962,535.87</t>
  </si>
  <si>
    <t>1,429,870.00</t>
  </si>
  <si>
    <t>337,851.00</t>
  </si>
  <si>
    <t>304,500.00</t>
  </si>
  <si>
    <t>98,275.00</t>
  </si>
  <si>
    <t>54,565.00</t>
  </si>
  <si>
    <t>8,200,000.00</t>
  </si>
  <si>
    <t>101,040.00</t>
  </si>
  <si>
    <t>999,935.00</t>
  </si>
  <si>
    <t>678,518.00</t>
  </si>
  <si>
    <t>132,590.00</t>
  </si>
  <si>
    <t>991,343.00</t>
  </si>
  <si>
    <t>103,500.00</t>
  </si>
  <si>
    <t>713,650.00</t>
  </si>
  <si>
    <t>8,640.00</t>
  </si>
  <si>
    <t>308,000.00</t>
  </si>
  <si>
    <t>91,340.00</t>
  </si>
  <si>
    <t>5,226,450.00</t>
  </si>
  <si>
    <t>260,450.00</t>
  </si>
  <si>
    <t>262,075.50</t>
  </si>
  <si>
    <t>2,750.00</t>
  </si>
  <si>
    <t>300,300.00</t>
  </si>
  <si>
    <t>35,065.00</t>
  </si>
  <si>
    <t>75,737.25</t>
  </si>
  <si>
    <t>80,300.00</t>
  </si>
  <si>
    <t>133,955.00</t>
  </si>
  <si>
    <t>1,559,182.98</t>
  </si>
  <si>
    <t>53,130.00</t>
  </si>
  <si>
    <t>341,550.00</t>
  </si>
  <si>
    <t>125,265.00</t>
  </si>
  <si>
    <t>78,293.50</t>
  </si>
  <si>
    <t>886,000.00</t>
  </si>
  <si>
    <t>10,176,163.20</t>
  </si>
  <si>
    <t>1,234,180.00</t>
  </si>
  <si>
    <t>247,000.00</t>
  </si>
  <si>
    <t>312,110.00</t>
  </si>
  <si>
    <t>37,350.00</t>
  </si>
  <si>
    <t>52,415.00</t>
  </si>
  <si>
    <t>179,842.58</t>
  </si>
  <si>
    <t>4,623,652.50</t>
  </si>
  <si>
    <t>898,155.31</t>
  </si>
  <si>
    <t>253,390.00</t>
  </si>
  <si>
    <t>538,200.00</t>
  </si>
  <si>
    <t>69,439.00</t>
  </si>
  <si>
    <t>544,975.00</t>
  </si>
  <si>
    <t>68,070.00</t>
  </si>
  <si>
    <t>447,050.00</t>
  </si>
  <si>
    <t>1,225,000.00</t>
  </si>
  <si>
    <t>32,000,000.00</t>
  </si>
  <si>
    <t>144,452.00</t>
  </si>
  <si>
    <t>287,393.00</t>
  </si>
  <si>
    <t>826,330.00</t>
  </si>
  <si>
    <t>675,120.00</t>
  </si>
  <si>
    <t>348,300.00</t>
  </si>
  <si>
    <t>1,766,644.00</t>
  </si>
  <si>
    <t>40,670.00</t>
  </si>
  <si>
    <t>525,160.00</t>
  </si>
  <si>
    <t>185,952.50</t>
  </si>
  <si>
    <t>1,301,444.55</t>
  </si>
  <si>
    <t>2,936,930.00</t>
  </si>
  <si>
    <t>9,599,850.00</t>
  </si>
  <si>
    <t>402,800.00</t>
  </si>
  <si>
    <t>430,962.50</t>
  </si>
  <si>
    <t>930,000.00</t>
  </si>
  <si>
    <t>4,440,000.00</t>
  </si>
  <si>
    <t>1,926,772.10</t>
  </si>
  <si>
    <t>1,437,280.00</t>
  </si>
  <si>
    <t>29,900.00</t>
  </si>
  <si>
    <t>855,564.89</t>
  </si>
  <si>
    <t>540,660.87</t>
  </si>
  <si>
    <t>1,299,124.00</t>
  </si>
  <si>
    <t>1,185,000.00</t>
  </si>
  <si>
    <t>1,280,000.00</t>
  </si>
  <si>
    <t>122,800.00</t>
  </si>
  <si>
    <t>96,312,000.00</t>
  </si>
  <si>
    <t>626,038.67</t>
  </si>
  <si>
    <t>361,089.00</t>
  </si>
  <si>
    <t>440,027.01</t>
  </si>
  <si>
    <t>24,986.00</t>
  </si>
  <si>
    <t>3,052,000.00</t>
  </si>
  <si>
    <t>281,200.00</t>
  </si>
  <si>
    <t>1,029,320.16</t>
  </si>
  <si>
    <t>83,310.00</t>
  </si>
  <si>
    <t>14,689,176.00</t>
  </si>
  <si>
    <t>194,117.41</t>
  </si>
  <si>
    <t>41,405,626.00</t>
  </si>
  <si>
    <t>2,030,035.84</t>
  </si>
  <si>
    <t>757,500.00</t>
  </si>
  <si>
    <t>360,240.00</t>
  </si>
  <si>
    <t>3,077,874.05</t>
  </si>
  <si>
    <t>764,086.98</t>
  </si>
  <si>
    <t>6,462,556.80</t>
  </si>
  <si>
    <t>335,202.80</t>
  </si>
  <si>
    <t>999,988.88</t>
  </si>
  <si>
    <t>52,480.00</t>
  </si>
  <si>
    <t>24,625,000.00</t>
  </si>
  <si>
    <t>508,212.18</t>
  </si>
  <si>
    <t>399,962.00</t>
  </si>
  <si>
    <t>694,432.00</t>
  </si>
  <si>
    <t>289,731.00</t>
  </si>
  <si>
    <t>47,347,902.00</t>
  </si>
  <si>
    <t>2,450,987.95</t>
  </si>
  <si>
    <t>168,780.00</t>
  </si>
  <si>
    <t>4,950,000.00</t>
  </si>
  <si>
    <t>389,000.00</t>
  </si>
  <si>
    <t>1,650,000.00</t>
  </si>
  <si>
    <t>12,867,588.75</t>
  </si>
  <si>
    <t>5,998,000.00</t>
  </si>
  <si>
    <t>2,999,978.00</t>
  </si>
  <si>
    <t>151,050.00</t>
  </si>
  <si>
    <t>336,375.00</t>
  </si>
  <si>
    <t>162,780.00</t>
  </si>
  <si>
    <t>1,481,955.00</t>
  </si>
  <si>
    <t>32,537,589.54</t>
  </si>
  <si>
    <t>378,190.50</t>
  </si>
  <si>
    <t>24,500,000.00</t>
  </si>
  <si>
    <t>1,324,533.10</t>
  </si>
  <si>
    <t>92,075.00</t>
  </si>
  <si>
    <t>2,948,913.78</t>
  </si>
  <si>
    <t>31,535,000.00</t>
  </si>
  <si>
    <t>71,600.00</t>
  </si>
  <si>
    <t>318,400.00</t>
  </si>
  <si>
    <t>369,134.80</t>
  </si>
  <si>
    <t>8,674,000.00</t>
  </si>
  <si>
    <t>586,600.00</t>
  </si>
  <si>
    <t>53,624,696.00</t>
  </si>
  <si>
    <t>1,930,600.00</t>
  </si>
  <si>
    <t>100,250.00</t>
  </si>
  <si>
    <t>69,199,706.91</t>
  </si>
  <si>
    <t>1,942,500.00</t>
  </si>
  <si>
    <t>495,560.00</t>
  </si>
  <si>
    <t>181,502.88</t>
  </si>
  <si>
    <t>155,195.00</t>
  </si>
  <si>
    <t>143,900.00</t>
  </si>
  <si>
    <t>198,872.67</t>
  </si>
  <si>
    <t>612,960.75</t>
  </si>
  <si>
    <t>362,896.20</t>
  </si>
  <si>
    <t>3,599,213.63</t>
  </si>
  <si>
    <t>173,398.00</t>
  </si>
  <si>
    <t>67,800.00</t>
  </si>
  <si>
    <t>66,914.00</t>
  </si>
  <si>
    <t>1,499,999.98</t>
  </si>
  <si>
    <t>2,438,076.22</t>
  </si>
  <si>
    <t>5,489,715.38</t>
  </si>
  <si>
    <t>29,449,572.00</t>
  </si>
  <si>
    <t>60,273.00</t>
  </si>
  <si>
    <t>701,290.01</t>
  </si>
  <si>
    <t>103,483.80</t>
  </si>
  <si>
    <t>38,640,000.00</t>
  </si>
  <si>
    <t>1,214,550.00</t>
  </si>
  <si>
    <t>127,600.00</t>
  </si>
  <si>
    <t>133,632.00</t>
  </si>
  <si>
    <t>1,744,590.00</t>
  </si>
  <si>
    <t>198,572.50</t>
  </si>
  <si>
    <t>135,082.00</t>
  </si>
  <si>
    <t>558,050.00</t>
  </si>
  <si>
    <t>125,980.00</t>
  </si>
  <si>
    <t>4,219,900.00</t>
  </si>
  <si>
    <t>412,924.00</t>
  </si>
  <si>
    <t>204,811.60</t>
  </si>
  <si>
    <t>887,282.50</t>
  </si>
  <si>
    <t>203,760.00</t>
  </si>
  <si>
    <t>5,850,000.00</t>
  </si>
  <si>
    <t>146,300.00</t>
  </si>
  <si>
    <t>13,411,204.54</t>
  </si>
  <si>
    <t>277,192.60</t>
  </si>
  <si>
    <t>591,460.00</t>
  </si>
  <si>
    <t>405,400.00</t>
  </si>
  <si>
    <t>2,882,440.00</t>
  </si>
  <si>
    <t>6,558,859.00</t>
  </si>
  <si>
    <t>89,571,667.84</t>
  </si>
  <si>
    <t>70,918,464.00</t>
  </si>
  <si>
    <t>265,935.00</t>
  </si>
  <si>
    <t>497,000.00</t>
  </si>
  <si>
    <t>609,092.56</t>
  </si>
  <si>
    <t>94,071,678.94</t>
  </si>
  <si>
    <t>13,857,710.00</t>
  </si>
  <si>
    <t>28,292,383.61</t>
  </si>
  <si>
    <t>7,318,500.00</t>
  </si>
  <si>
    <t>173,764.60</t>
  </si>
  <si>
    <t>4,050,000.00</t>
  </si>
  <si>
    <t>923,500.00</t>
  </si>
  <si>
    <t>1,153,565.00</t>
  </si>
  <si>
    <t>119,790.00</t>
  </si>
  <si>
    <t>254,385.20</t>
  </si>
  <si>
    <t>222,123.00</t>
  </si>
  <si>
    <t>12,036,160.00</t>
  </si>
  <si>
    <t>187,200.00</t>
  </si>
  <si>
    <t>15,456,000.00</t>
  </si>
  <si>
    <t>461,144.51</t>
  </si>
  <si>
    <t>14,549,785.51</t>
  </si>
  <si>
    <t>463,825.00</t>
  </si>
  <si>
    <t>865,000.00</t>
  </si>
  <si>
    <t>290,046.00</t>
  </si>
  <si>
    <t>14,493,002.16</t>
  </si>
  <si>
    <t>509,403.19</t>
  </si>
  <si>
    <t>899,998.94</t>
  </si>
  <si>
    <t>200,395.20</t>
  </si>
  <si>
    <t>2,379,987.53</t>
  </si>
  <si>
    <t>715,000.00</t>
  </si>
  <si>
    <t>307,520.00</t>
  </si>
  <si>
    <t>117,300.00</t>
  </si>
  <si>
    <t>999,905.72</t>
  </si>
  <si>
    <t>330,400.00</t>
  </si>
  <si>
    <t>811,660.00</t>
  </si>
  <si>
    <t>180,075.70</t>
  </si>
  <si>
    <t>1,738,196.32</t>
  </si>
  <si>
    <t>553,430.00</t>
  </si>
  <si>
    <t>66,915.38</t>
  </si>
  <si>
    <t>125,366.00</t>
  </si>
  <si>
    <t>1,245,603.41</t>
  </si>
  <si>
    <t>623,987.00</t>
  </si>
  <si>
    <t>349,476.49</t>
  </si>
  <si>
    <t>596,000.00</t>
  </si>
  <si>
    <t>106,710.00</t>
  </si>
  <si>
    <t>591,670.00</t>
  </si>
  <si>
    <t>143,165.00</t>
  </si>
  <si>
    <t>124,990.00</t>
  </si>
  <si>
    <t>255,500.00</t>
  </si>
  <si>
    <t>279,000.00</t>
  </si>
  <si>
    <t>2,869,000.00</t>
  </si>
  <si>
    <t>1,456,720.81</t>
  </si>
  <si>
    <t>97,055.00</t>
  </si>
  <si>
    <t>98,838.00</t>
  </si>
  <si>
    <t>177,243.00</t>
  </si>
  <si>
    <t>133,300.00</t>
  </si>
  <si>
    <t>170,750.00</t>
  </si>
  <si>
    <t>881,160.00</t>
  </si>
  <si>
    <t>582,290.00</t>
  </si>
  <si>
    <t>388,726.09</t>
  </si>
  <si>
    <t>117,500.00</t>
  </si>
  <si>
    <t>441,200.00</t>
  </si>
  <si>
    <t>74,970.40</t>
  </si>
  <si>
    <t>123,190.00</t>
  </si>
  <si>
    <t>233,170.00</t>
  </si>
  <si>
    <t>270,050.00</t>
  </si>
  <si>
    <t>1,466,218.00</t>
  </si>
  <si>
    <t>25,565.00</t>
  </si>
  <si>
    <t>292,125.00</t>
  </si>
  <si>
    <t>39,653.00</t>
  </si>
  <si>
    <t>293,155.00</t>
  </si>
  <si>
    <t>942,800.00</t>
  </si>
  <si>
    <t>972,331.80</t>
  </si>
  <si>
    <t>460,900.00</t>
  </si>
  <si>
    <t>1,170,262.45</t>
  </si>
  <si>
    <t>1,207,610.22</t>
  </si>
  <si>
    <t>366,140.00</t>
  </si>
  <si>
    <t>512,125.00</t>
  </si>
  <si>
    <t>505,700.00</t>
  </si>
  <si>
    <t>218,710.00</t>
  </si>
  <si>
    <t>1,809,286.00</t>
  </si>
  <si>
    <t>57,070.00</t>
  </si>
  <si>
    <t>165,805.00</t>
  </si>
  <si>
    <t>279,900.00</t>
  </si>
  <si>
    <t>28,295.00</t>
  </si>
  <si>
    <t>218,005.00</t>
  </si>
  <si>
    <t>120,519.50</t>
  </si>
  <si>
    <t>437,034.90</t>
  </si>
  <si>
    <t>199,985.00</t>
  </si>
  <si>
    <t>473,300.00</t>
  </si>
  <si>
    <t>419,462.76</t>
  </si>
  <si>
    <t>313,804.92</t>
  </si>
  <si>
    <t>182,700.00</t>
  </si>
  <si>
    <t>105,235.00</t>
  </si>
  <si>
    <t>637,100.00</t>
  </si>
  <si>
    <t>4,899,960.00</t>
  </si>
  <si>
    <t>103,940.00</t>
  </si>
  <si>
    <t>70,285.00</t>
  </si>
  <si>
    <t>115,300.00</t>
  </si>
  <si>
    <t>367,700.00</t>
  </si>
  <si>
    <t>12,383,000.00</t>
  </si>
  <si>
    <t>54,990.00</t>
  </si>
  <si>
    <t>87,875.00</t>
  </si>
  <si>
    <t>221,645.00</t>
  </si>
  <si>
    <t>269,200.00</t>
  </si>
  <si>
    <t>973,175.00</t>
  </si>
  <si>
    <t>428,215.00</t>
  </si>
  <si>
    <t>92,840.00</t>
  </si>
  <si>
    <t>150,535.00</t>
  </si>
  <si>
    <t>110,725.00</t>
  </si>
  <si>
    <t>278,550.00</t>
  </si>
  <si>
    <t>72,474.00</t>
  </si>
  <si>
    <t>132,750.00</t>
  </si>
  <si>
    <t>1,267,000.00</t>
  </si>
  <si>
    <t>741,307.95</t>
  </si>
  <si>
    <t>2,960.00</t>
  </si>
  <si>
    <t>149,815.00</t>
  </si>
  <si>
    <t>179,000.00</t>
  </si>
  <si>
    <t>46,760.00</t>
  </si>
  <si>
    <t>175,765.00</t>
  </si>
  <si>
    <t>197,985.00</t>
  </si>
  <si>
    <t>384,625.00</t>
  </si>
  <si>
    <t>83,595.00</t>
  </si>
  <si>
    <t>221,864.60</t>
  </si>
  <si>
    <t>186,312.00</t>
  </si>
  <si>
    <t>213,240.00</t>
  </si>
  <si>
    <t>1,182,426.00</t>
  </si>
  <si>
    <t>171,675.00</t>
  </si>
  <si>
    <t>96,290.00</t>
  </si>
  <si>
    <t>107,167.42</t>
  </si>
  <si>
    <t>88,730.00</t>
  </si>
  <si>
    <t>419,850.00</t>
  </si>
  <si>
    <t>9,995,720.00</t>
  </si>
  <si>
    <t>1,295,000.00</t>
  </si>
  <si>
    <t>483,571.46</t>
  </si>
  <si>
    <t>143,174.90</t>
  </si>
  <si>
    <t>451,000.00</t>
  </si>
  <si>
    <t>5,264,000.00</t>
  </si>
  <si>
    <t>15,516,500.00</t>
  </si>
  <si>
    <t>50,100.00</t>
  </si>
  <si>
    <t>112,360.64</t>
  </si>
  <si>
    <t>963,300.00</t>
  </si>
  <si>
    <t>154,840.00</t>
  </si>
  <si>
    <t>349,942.13</t>
  </si>
  <si>
    <t>83,751.00</t>
  </si>
  <si>
    <t>32,072.00</t>
  </si>
  <si>
    <t>100,750.00</t>
  </si>
  <si>
    <t>892,055.00</t>
  </si>
  <si>
    <t>7,449,786.70</t>
  </si>
  <si>
    <t>36,068.00</t>
  </si>
  <si>
    <t>9,405.00</t>
  </si>
  <si>
    <t>261,365.87</t>
  </si>
  <si>
    <t>293,630.59</t>
  </si>
  <si>
    <t>4,480,900.00</t>
  </si>
  <si>
    <t>33,500.00</t>
  </si>
  <si>
    <t>3,737,193.00</t>
  </si>
  <si>
    <t>192,541.93</t>
  </si>
  <si>
    <t>269,500.00</t>
  </si>
  <si>
    <t>590,152.50</t>
  </si>
  <si>
    <t>254,000.00</t>
  </si>
  <si>
    <t>199,620.00</t>
  </si>
  <si>
    <t>2,063,536.00</t>
  </si>
  <si>
    <t>572,675.50</t>
  </si>
  <si>
    <t>85,990.00</t>
  </si>
  <si>
    <t>962,702.25</t>
  </si>
  <si>
    <t>70,375.00</t>
  </si>
  <si>
    <t>5,500,000.00</t>
  </si>
  <si>
    <t>59,522.00</t>
  </si>
  <si>
    <t>5,943.00</t>
  </si>
  <si>
    <t>18,937,230.26</t>
  </si>
  <si>
    <t>802,000.00</t>
  </si>
  <si>
    <t>602,005.81</t>
  </si>
  <si>
    <t>120,300.00</t>
  </si>
  <si>
    <t>512,290.54</t>
  </si>
  <si>
    <t>289,999.60</t>
  </si>
  <si>
    <t>2,321,000.00</t>
  </si>
  <si>
    <t>68,430.00</t>
  </si>
  <si>
    <t>86,765.00</t>
  </si>
  <si>
    <t>1,440,000.00</t>
  </si>
  <si>
    <t>455,592.62</t>
  </si>
  <si>
    <t>294,700.00</t>
  </si>
  <si>
    <t>372,950.00</t>
  </si>
  <si>
    <t>5,679,740.00</t>
  </si>
  <si>
    <t>124,255.00</t>
  </si>
  <si>
    <t>2,482,621.45</t>
  </si>
  <si>
    <t>197,239.00</t>
  </si>
  <si>
    <t>84,540.00</t>
  </si>
  <si>
    <t>399,000.00</t>
  </si>
  <si>
    <t>895,404.28</t>
  </si>
  <si>
    <t>81,470.00</t>
  </si>
  <si>
    <t>602,741.66</t>
  </si>
  <si>
    <t>226,202.40</t>
  </si>
  <si>
    <t>499,933.15</t>
  </si>
  <si>
    <t>563,389.00</t>
  </si>
  <si>
    <t>366,300.00</t>
  </si>
  <si>
    <t>597,000.00</t>
  </si>
  <si>
    <t>56,851.00</t>
  </si>
  <si>
    <t>682,222.41</t>
  </si>
  <si>
    <t>159,235.00</t>
  </si>
  <si>
    <t>241,250.00</t>
  </si>
  <si>
    <t>169,678.66</t>
  </si>
  <si>
    <t>5,568,140.00</t>
  </si>
  <si>
    <t>430,550.16</t>
  </si>
  <si>
    <t>702,138.83</t>
  </si>
  <si>
    <t>383,177.91</t>
  </si>
  <si>
    <t>711,000.00</t>
  </si>
  <si>
    <t>53,955.00</t>
  </si>
  <si>
    <t>1,131,486.16</t>
  </si>
  <si>
    <t>681,243.10</t>
  </si>
  <si>
    <t>159,900.00</t>
  </si>
  <si>
    <t>399,192.60</t>
  </si>
  <si>
    <t>774,933.16</t>
  </si>
  <si>
    <t>185,500.00</t>
  </si>
  <si>
    <t>2,237,000.00</t>
  </si>
  <si>
    <t>399,817.70</t>
  </si>
  <si>
    <t>39,400.00</t>
  </si>
  <si>
    <t>99,941.00</t>
  </si>
  <si>
    <t>117,104.00</t>
  </si>
  <si>
    <t>734,245.00</t>
  </si>
  <si>
    <t>819,100.33</t>
  </si>
  <si>
    <t>439,330.00</t>
  </si>
  <si>
    <t>505,604.12</t>
  </si>
  <si>
    <t>65,685.00</t>
  </si>
  <si>
    <t>585,084.87</t>
  </si>
  <si>
    <t>69,990.00</t>
  </si>
  <si>
    <t>6,202,346.00</t>
  </si>
  <si>
    <t>4,692,000.00</t>
  </si>
  <si>
    <t>3,340,000.00</t>
  </si>
  <si>
    <t>154,600.00</t>
  </si>
  <si>
    <t>12,376,034.80</t>
  </si>
  <si>
    <t>8,205,994.87</t>
  </si>
  <si>
    <t>244,200.00</t>
  </si>
  <si>
    <t>144,473.00</t>
  </si>
  <si>
    <t>495,123.00</t>
  </si>
  <si>
    <t>3,973,680.90</t>
  </si>
  <si>
    <t>288,553.75</t>
  </si>
  <si>
    <t>237,660.00</t>
  </si>
  <si>
    <t>2,992,318.78</t>
  </si>
  <si>
    <t>90,030.00</t>
  </si>
  <si>
    <t>253,425.00</t>
  </si>
  <si>
    <t>1,457,200.00</t>
  </si>
  <si>
    <t>5,324,000.00</t>
  </si>
  <si>
    <t>87,150.00</t>
  </si>
  <si>
    <t>179,846.00</t>
  </si>
  <si>
    <t>59,800.00</t>
  </si>
  <si>
    <t>149,250.00</t>
  </si>
  <si>
    <t>239,505.00</t>
  </si>
  <si>
    <t>1,144,196.52</t>
  </si>
  <si>
    <t>2,471,000.00</t>
  </si>
  <si>
    <t>57,315.00</t>
  </si>
  <si>
    <t>97,775.00</t>
  </si>
  <si>
    <t>1,710,000.00</t>
  </si>
  <si>
    <t>261,250.00</t>
  </si>
  <si>
    <t>90,860.00</t>
  </si>
  <si>
    <t>104,850.00</t>
  </si>
  <si>
    <t>66,700.00</t>
  </si>
  <si>
    <t>9,477,219.18</t>
  </si>
  <si>
    <t>22.40</t>
  </si>
  <si>
    <t>1,131,110.82</t>
  </si>
  <si>
    <t>2,882,051.00</t>
  </si>
  <si>
    <t>213,275.60</t>
  </si>
  <si>
    <t>23,300.00</t>
  </si>
  <si>
    <t>103,161.50</t>
  </si>
  <si>
    <t>1,297,223.00</t>
  </si>
  <si>
    <t>255,993.00</t>
  </si>
  <si>
    <t>6,703,000.00</t>
  </si>
  <si>
    <t>4,400.00</t>
  </si>
  <si>
    <t>1,790,567.96</t>
  </si>
  <si>
    <t>2,377,500.00</t>
  </si>
  <si>
    <t>73,760.00</t>
  </si>
  <si>
    <t>120,100.00</t>
  </si>
  <si>
    <t>3,407.50</t>
  </si>
  <si>
    <t>43,610,000.00</t>
  </si>
  <si>
    <t>98,855.00</t>
  </si>
  <si>
    <t>2,460.00</t>
  </si>
  <si>
    <t>589,595.00</t>
  </si>
  <si>
    <t>63,010.00</t>
  </si>
  <si>
    <t>149,846.00</t>
  </si>
  <si>
    <t>555,088.13</t>
  </si>
  <si>
    <t>2,115,290.00</t>
  </si>
  <si>
    <t>19,399,932.09</t>
  </si>
  <si>
    <t>1,992,381.00</t>
  </si>
  <si>
    <t>24,205.00</t>
  </si>
  <si>
    <t>24,960.00</t>
  </si>
  <si>
    <t>188,920.00</t>
  </si>
  <si>
    <t>576,100.00</t>
  </si>
  <si>
    <t>99,981.42</t>
  </si>
  <si>
    <t>598,717.25</t>
  </si>
  <si>
    <t>1,595,193.44</t>
  </si>
  <si>
    <t>63,159.17</t>
  </si>
  <si>
    <t>2,479,542.33</t>
  </si>
  <si>
    <t>12,204,000.00</t>
  </si>
  <si>
    <t>69,363.00</t>
  </si>
  <si>
    <t>1,499,903.68</t>
  </si>
  <si>
    <t>84,670.00</t>
  </si>
  <si>
    <t>1,873,763.71</t>
  </si>
  <si>
    <t>212,490.00</t>
  </si>
  <si>
    <t>335,677.09</t>
  </si>
  <si>
    <t>1,373,648.00</t>
  </si>
  <si>
    <t>13,500,000.00</t>
  </si>
  <si>
    <t>94,984.00</t>
  </si>
  <si>
    <t>142,256.34</t>
  </si>
  <si>
    <t>999,097.53</t>
  </si>
  <si>
    <t>1,499,958.05</t>
  </si>
  <si>
    <t>146,955.00</t>
  </si>
  <si>
    <t>239,630.00</t>
  </si>
  <si>
    <t>310,225.00</t>
  </si>
  <si>
    <t>365,995.81</t>
  </si>
  <si>
    <t>2,481,269.29</t>
  </si>
  <si>
    <t>55,595.00</t>
  </si>
  <si>
    <t>189,500.00</t>
  </si>
  <si>
    <t>203,253.00</t>
  </si>
  <si>
    <t>61,073.81</t>
  </si>
  <si>
    <t>93,967.00</t>
  </si>
  <si>
    <t>4,498,547.21</t>
  </si>
  <si>
    <t>427,350.00</t>
  </si>
  <si>
    <t>149,910.00</t>
  </si>
  <si>
    <t>401,600.00</t>
  </si>
  <si>
    <t>1,651,096.43</t>
  </si>
  <si>
    <t>497,316.22</t>
  </si>
  <si>
    <t>121,761.00</t>
  </si>
  <si>
    <t>730,907.24</t>
  </si>
  <si>
    <t>371,000.00</t>
  </si>
  <si>
    <t>46,699.00</t>
  </si>
  <si>
    <t>45,983.00</t>
  </si>
  <si>
    <t>699,000.00</t>
  </si>
  <si>
    <t>73,802,175.00</t>
  </si>
  <si>
    <t>241,700.00</t>
  </si>
  <si>
    <t>328,115.80</t>
  </si>
  <si>
    <t>233,420.00</t>
  </si>
  <si>
    <t>126,508.50</t>
  </si>
  <si>
    <t>568,315.00</t>
  </si>
  <si>
    <t>498,900.00</t>
  </si>
  <si>
    <t>80,099.00</t>
  </si>
  <si>
    <t>1,242,000.00</t>
  </si>
  <si>
    <t>145,181.00</t>
  </si>
  <si>
    <t>45,292,000.00</t>
  </si>
  <si>
    <t>199,960.00</t>
  </si>
  <si>
    <t>972,500.00</t>
  </si>
  <si>
    <t>102,500.00</t>
  </si>
  <si>
    <t>74,445.00</t>
  </si>
  <si>
    <t>68,400.00</t>
  </si>
  <si>
    <t>11,200.00</t>
  </si>
  <si>
    <t>2,752,800.00</t>
  </si>
  <si>
    <t>238,567.00</t>
  </si>
  <si>
    <t>1,159,720.96</t>
  </si>
  <si>
    <t>703,114.00</t>
  </si>
  <si>
    <t>66,180.00</t>
  </si>
  <si>
    <t>3,156,128.25</t>
  </si>
  <si>
    <t>14,209,000.00</t>
  </si>
  <si>
    <t>606,000.00</t>
  </si>
  <si>
    <t>245,100.00</t>
  </si>
  <si>
    <t>10,164,884.44</t>
  </si>
  <si>
    <t>71,500.00</t>
  </si>
  <si>
    <t>121,920.00</t>
  </si>
  <si>
    <t>995,704.48</t>
  </si>
  <si>
    <t>773,500.00</t>
  </si>
  <si>
    <t>312,005.57</t>
  </si>
  <si>
    <t>498,380.00</t>
  </si>
  <si>
    <t>94,088.00</t>
  </si>
  <si>
    <t>12,392,000.00</t>
  </si>
  <si>
    <t>428,636.75</t>
  </si>
  <si>
    <t>233,080.00</t>
  </si>
  <si>
    <t>70,460.75</t>
  </si>
  <si>
    <t>2,205,000.00</t>
  </si>
  <si>
    <t>245,990.00</t>
  </si>
  <si>
    <t>601,088.00</t>
  </si>
  <si>
    <t>1,028,895.78</t>
  </si>
  <si>
    <t>2,125,170.00</t>
  </si>
  <si>
    <t>2,110,000.00</t>
  </si>
  <si>
    <t>690,915.62</t>
  </si>
  <si>
    <t>359,940.00</t>
  </si>
  <si>
    <t>803,641.77</t>
  </si>
  <si>
    <t>410,474.00</t>
  </si>
  <si>
    <t>1,738,800.00</t>
  </si>
  <si>
    <t>54,650.00</t>
  </si>
  <si>
    <t>362,692.00</t>
  </si>
  <si>
    <t>202,600.00</t>
  </si>
  <si>
    <t>533,515.50</t>
  </si>
  <si>
    <t>415,700.00</t>
  </si>
  <si>
    <t>648,000.00</t>
  </si>
  <si>
    <t>5,016.00</t>
  </si>
  <si>
    <t>9,900,000.00</t>
  </si>
  <si>
    <t>87,396.46</t>
  </si>
  <si>
    <t>72,947.00</t>
  </si>
  <si>
    <t>95,495.00</t>
  </si>
  <si>
    <t>2,478,600.00</t>
  </si>
  <si>
    <t>1,314,000.00</t>
  </si>
  <si>
    <t>119,990.00</t>
  </si>
  <si>
    <t>175,100.00</t>
  </si>
  <si>
    <t>148,378.50</t>
  </si>
  <si>
    <t>14,854.00</t>
  </si>
  <si>
    <t>149,050.00</t>
  </si>
  <si>
    <t>312,960.48</t>
  </si>
  <si>
    <t>8,912,982.47</t>
  </si>
  <si>
    <t>14,934,127.68</t>
  </si>
  <si>
    <t>68,414.50</t>
  </si>
  <si>
    <t>81,690.00</t>
  </si>
  <si>
    <t>2,133,804.42</t>
  </si>
  <si>
    <t>670,381.00</t>
  </si>
  <si>
    <t>58,562.00</t>
  </si>
  <si>
    <t>7,440.00</t>
  </si>
  <si>
    <t>58,245.00</t>
  </si>
  <si>
    <t>398,800.00</t>
  </si>
  <si>
    <t>8,590,816.00</t>
  </si>
  <si>
    <t>999,998.73</t>
  </si>
  <si>
    <t>5,900,000.00</t>
  </si>
  <si>
    <t>1,878,538.00</t>
  </si>
  <si>
    <t>791,899.51</t>
  </si>
  <si>
    <t>149,036.00</t>
  </si>
  <si>
    <t>122,777.00</t>
  </si>
  <si>
    <t>17,600.00</t>
  </si>
  <si>
    <t>47,500.00</t>
  </si>
  <si>
    <t>112,060.21</t>
  </si>
  <si>
    <t>91,376.76</t>
  </si>
  <si>
    <t>259,976.39</t>
  </si>
  <si>
    <t>3,744,500.00</t>
  </si>
  <si>
    <t>329,000.00</t>
  </si>
  <si>
    <t>208,000.01</t>
  </si>
  <si>
    <t>580,975.00</t>
  </si>
  <si>
    <t>2,241,750.00</t>
  </si>
  <si>
    <t>2,696,000.00</t>
  </si>
  <si>
    <t>2,562,555.00</t>
  </si>
  <si>
    <t>39,075.00</t>
  </si>
  <si>
    <t>571,036.00</t>
  </si>
  <si>
    <t>3,969,013.00</t>
  </si>
  <si>
    <t>266,750.00</t>
  </si>
  <si>
    <t>3,613,385.00</t>
  </si>
  <si>
    <t>396,850.00</t>
  </si>
  <si>
    <t>488,860.01</t>
  </si>
  <si>
    <t>1,108,000.00</t>
  </si>
  <si>
    <t>1,299,935.37</t>
  </si>
  <si>
    <t>269,400.00</t>
  </si>
  <si>
    <t>667,200.00</t>
  </si>
  <si>
    <t>487,000.00</t>
  </si>
  <si>
    <t>72,448.00</t>
  </si>
  <si>
    <t>749,500.00</t>
  </si>
  <si>
    <t>49,995.00</t>
  </si>
  <si>
    <t>27,600.00</t>
  </si>
  <si>
    <t>366,340,000.00</t>
  </si>
  <si>
    <t>1,720,000.00</t>
  </si>
  <si>
    <t>100,280.00</t>
  </si>
  <si>
    <t>2,811,821.00</t>
  </si>
  <si>
    <t>61,600.00</t>
  </si>
  <si>
    <t>688,800.00</t>
  </si>
  <si>
    <t>26,309.00</t>
  </si>
  <si>
    <t>485,180.20</t>
  </si>
  <si>
    <t>1,670,000.00</t>
  </si>
  <si>
    <t>341,608.11</t>
  </si>
  <si>
    <t>207,003.00</t>
  </si>
  <si>
    <t>134,127.80</t>
  </si>
  <si>
    <t>120,437.00</t>
  </si>
  <si>
    <t>1,499,083.72</t>
  </si>
  <si>
    <t>999,917.30</t>
  </si>
  <si>
    <t>393,500.00</t>
  </si>
  <si>
    <t>1,643,500.00</t>
  </si>
  <si>
    <t>374,990.00</t>
  </si>
  <si>
    <t>342,420.00</t>
  </si>
  <si>
    <t>49,350.00</t>
  </si>
  <si>
    <t>1,377,963.64</t>
  </si>
  <si>
    <t>1,218,241.72</t>
  </si>
  <si>
    <t>2,333,000.00</t>
  </si>
  <si>
    <t>50,000,000.00</t>
  </si>
  <si>
    <t>9,167,500.00</t>
  </si>
  <si>
    <t>697,300.00</t>
  </si>
  <si>
    <t>29,380.00</t>
  </si>
  <si>
    <t>910,000.00</t>
  </si>
  <si>
    <t>470,043.00</t>
  </si>
  <si>
    <t>988,500.00</t>
  </si>
  <si>
    <t>51,850.00</t>
  </si>
  <si>
    <t>51,016,876.00</t>
  </si>
  <si>
    <t>1,179,700.00</t>
  </si>
  <si>
    <t>208,000.05</t>
  </si>
  <si>
    <t>109,495.00</t>
  </si>
  <si>
    <t>4,415,000.00</t>
  </si>
  <si>
    <t>53,500.00</t>
  </si>
  <si>
    <t>75,222.50</t>
  </si>
  <si>
    <t>89,975.00</t>
  </si>
  <si>
    <t>781,000.00</t>
  </si>
  <si>
    <t>417,400.00</t>
  </si>
  <si>
    <t>472,866.00</t>
  </si>
  <si>
    <t>419,867.00</t>
  </si>
  <si>
    <t>948,960.00</t>
  </si>
  <si>
    <t>990,289.50</t>
  </si>
  <si>
    <t>7,442,000.00</t>
  </si>
  <si>
    <t>1,674,900.00</t>
  </si>
  <si>
    <t>7,780,600.00</t>
  </si>
  <si>
    <t>16,783.00</t>
  </si>
  <si>
    <t>363,815.00</t>
  </si>
  <si>
    <t>94,343.00</t>
  </si>
  <si>
    <t>299,855.28</t>
  </si>
  <si>
    <t>309,745.00</t>
  </si>
  <si>
    <t>716,100.00</t>
  </si>
  <si>
    <t>924,670.00</t>
  </si>
  <si>
    <t>31,990.00</t>
  </si>
  <si>
    <t>1,229,141.64</t>
  </si>
  <si>
    <t>163,455.00</t>
  </si>
  <si>
    <t>7,284,000.00</t>
  </si>
  <si>
    <t>23,658.00</t>
  </si>
  <si>
    <t>54,800.00</t>
  </si>
  <si>
    <t>395,800.00</t>
  </si>
  <si>
    <t>691,880.00</t>
  </si>
  <si>
    <t>1,143,414.58</t>
  </si>
  <si>
    <t>55,914.17</t>
  </si>
  <si>
    <t>495,969.46</t>
  </si>
  <si>
    <t>334,000.00</t>
  </si>
  <si>
    <t>78,963.38</t>
  </si>
  <si>
    <t>12,225,701.96</t>
  </si>
  <si>
    <t>1,031,000.00</t>
  </si>
  <si>
    <t>59,808.00</t>
  </si>
  <si>
    <t>1,557,600.00</t>
  </si>
  <si>
    <t>324,400.00</t>
  </si>
  <si>
    <t>5,112,000.00</t>
  </si>
  <si>
    <t>2,959,200.00</t>
  </si>
  <si>
    <t>48,023,698.52</t>
  </si>
  <si>
    <t>463,690.00</t>
  </si>
  <si>
    <t>3,060,000.00</t>
  </si>
  <si>
    <t>70,788,300.00</t>
  </si>
  <si>
    <t>2,999,418.70</t>
  </si>
  <si>
    <t>950,700.00</t>
  </si>
  <si>
    <t>937,000.00</t>
  </si>
  <si>
    <t>1,282,000.00</t>
  </si>
  <si>
    <t>2,213,100.00</t>
  </si>
  <si>
    <t>483,750.00</t>
  </si>
  <si>
    <t>1,535,480.00</t>
  </si>
  <si>
    <t>299,960.09</t>
  </si>
  <si>
    <t>119,194.00</t>
  </si>
  <si>
    <t>1,592,800.00</t>
  </si>
  <si>
    <t>3,359,892.00</t>
  </si>
  <si>
    <t>10,958,645.09</t>
  </si>
  <si>
    <t>2,445,086.00</t>
  </si>
  <si>
    <t>2,941,600.00</t>
  </si>
  <si>
    <t>364,570.00</t>
  </si>
  <si>
    <t>4,333,116.51</t>
  </si>
  <si>
    <t>356,522.99</t>
  </si>
  <si>
    <t>468,750.00</t>
  </si>
  <si>
    <t>224,060.00</t>
  </si>
  <si>
    <t>588,500.00</t>
  </si>
  <si>
    <t>999,920.54</t>
  </si>
  <si>
    <t>4,020,341.61</t>
  </si>
  <si>
    <t>637,946.75</t>
  </si>
  <si>
    <t>2,022,966.00</t>
  </si>
  <si>
    <t>168,110.00</t>
  </si>
  <si>
    <t>114,576.50</t>
  </si>
  <si>
    <t>3,345,424.67</t>
  </si>
  <si>
    <t>127,300.00</t>
  </si>
  <si>
    <t>100,464.00</t>
  </si>
  <si>
    <t>7,313,370.00</t>
  </si>
  <si>
    <t>318,954.00</t>
  </si>
  <si>
    <t>105,775.00</t>
  </si>
  <si>
    <t>2,040.00</t>
  </si>
  <si>
    <t>168,540.00</t>
  </si>
  <si>
    <t>612,700.00</t>
  </si>
  <si>
    <t>64,640.00</t>
  </si>
  <si>
    <t>16,720.00</t>
  </si>
  <si>
    <t>3,699,999.99</t>
  </si>
  <si>
    <t>5,340,500.00</t>
  </si>
  <si>
    <t>91,060.00</t>
  </si>
  <si>
    <t>4,946,678.90</t>
  </si>
  <si>
    <t>4,271,290.35</t>
  </si>
  <si>
    <t>125,415.00</t>
  </si>
  <si>
    <t>361,680.00</t>
  </si>
  <si>
    <t>2,685,000.00</t>
  </si>
  <si>
    <t>397,393.33</t>
  </si>
  <si>
    <t>189,302.76</t>
  </si>
  <si>
    <t>32,502,636.00</t>
  </si>
  <si>
    <t>1,199,992.21</t>
  </si>
  <si>
    <t>1,366,084.00</t>
  </si>
  <si>
    <t>174,986.80</t>
  </si>
  <si>
    <t>2,998,029.37</t>
  </si>
  <si>
    <t>2,135,822.07</t>
  </si>
  <si>
    <t>72,392.27</t>
  </si>
  <si>
    <t>448,005.64</t>
  </si>
  <si>
    <t>189,172.00</t>
  </si>
  <si>
    <t>81,730.00</t>
  </si>
  <si>
    <t>1,565,000.00</t>
  </si>
  <si>
    <t>13,447,152.39</t>
  </si>
  <si>
    <t>5,620,000.00</t>
  </si>
  <si>
    <t>3,450,000.00</t>
  </si>
  <si>
    <t>888,674.43</t>
  </si>
  <si>
    <t>103,550.00</t>
  </si>
  <si>
    <t>1,820,625.00</t>
  </si>
  <si>
    <t>301,194.30</t>
  </si>
  <si>
    <t>1,069,888.17</t>
  </si>
  <si>
    <t>508,000.00</t>
  </si>
  <si>
    <t>1,760,880.25</t>
  </si>
  <si>
    <t>2,190,000.00</t>
  </si>
  <si>
    <t>931,000.00</t>
  </si>
  <si>
    <t>118,500,000.00</t>
  </si>
  <si>
    <t>3,131,823.00</t>
  </si>
  <si>
    <t>13,722,506.00</t>
  </si>
  <si>
    <t>1,197,000.00</t>
  </si>
  <si>
    <t>480,451.64</t>
  </si>
  <si>
    <t>123,800.00</t>
  </si>
  <si>
    <t>191,600.00</t>
  </si>
  <si>
    <t>1,060,200.55</t>
  </si>
  <si>
    <t>4,876,457.06</t>
  </si>
  <si>
    <t>1,155,281.83</t>
  </si>
  <si>
    <t>4,539,626.58</t>
  </si>
  <si>
    <t>367,500.00</t>
  </si>
  <si>
    <t>6,933,100.00</t>
  </si>
  <si>
    <t>22,150,000.00</t>
  </si>
  <si>
    <t>5,280,000.00</t>
  </si>
  <si>
    <t>297,825.00</t>
  </si>
  <si>
    <t>1,441,000.00</t>
  </si>
  <si>
    <t>128,585.00</t>
  </si>
  <si>
    <t>23,655.00</t>
  </si>
  <si>
    <t>9,999,991.29</t>
  </si>
  <si>
    <t>160,512.22</t>
  </si>
  <si>
    <t>163,700.00</t>
  </si>
  <si>
    <t>2,079,326.08</t>
  </si>
  <si>
    <t>789,080.00</t>
  </si>
  <si>
    <t>14,850.00</t>
  </si>
  <si>
    <t>144,554.50</t>
  </si>
  <si>
    <t>17,152,000.00</t>
  </si>
  <si>
    <t>469,000.00</t>
  </si>
  <si>
    <t>1,134,170.42</t>
  </si>
  <si>
    <t>1,065,000.00</t>
  </si>
  <si>
    <t>252,500.00</t>
  </si>
  <si>
    <t>958,072.00</t>
  </si>
  <si>
    <t>12,324,000.00</t>
  </si>
  <si>
    <t>1,140,970.00</t>
  </si>
  <si>
    <t>7,700,000.00</t>
  </si>
  <si>
    <t>1,762,648.00</t>
  </si>
  <si>
    <t>614,872.00</t>
  </si>
  <si>
    <t>1,427,569.00</t>
  </si>
  <si>
    <t>137,996.50</t>
  </si>
  <si>
    <t>1,143,333.00</t>
  </si>
  <si>
    <t>287,076.00</t>
  </si>
  <si>
    <t>468,342.00</t>
  </si>
  <si>
    <t>105,217.89</t>
  </si>
  <si>
    <t>6,248,000.00</t>
  </si>
  <si>
    <t>1,113,300.00</t>
  </si>
  <si>
    <t>280,950.00</t>
  </si>
  <si>
    <t>968,195.20</t>
  </si>
  <si>
    <t>1,951,693.72</t>
  </si>
  <si>
    <t>960,769.97</t>
  </si>
  <si>
    <t>379,720.00</t>
  </si>
  <si>
    <t>61,650.00</t>
  </si>
  <si>
    <t>1,333,230.00</t>
  </si>
  <si>
    <t>625,000.00</t>
  </si>
  <si>
    <t>653,237.68</t>
  </si>
  <si>
    <t>385,920.00</t>
  </si>
  <si>
    <t>49,919,993.69</t>
  </si>
  <si>
    <t>311,450.00</t>
  </si>
  <si>
    <t>7,749,000.00</t>
  </si>
  <si>
    <t>256,356.10</t>
  </si>
  <si>
    <t>358,920.00</t>
  </si>
  <si>
    <t>201,600.00</t>
  </si>
  <si>
    <t>999,952.24</t>
  </si>
  <si>
    <t>434,017.00</t>
  </si>
  <si>
    <t>105,850.00</t>
  </si>
  <si>
    <t>472,150.00</t>
  </si>
  <si>
    <t>297,595.00</t>
  </si>
  <si>
    <t>1,499,035.38</t>
  </si>
  <si>
    <t>9,996,000.00</t>
  </si>
  <si>
    <t>107,470.40</t>
  </si>
  <si>
    <t>247,450.00</t>
  </si>
  <si>
    <t>1,343,100.00</t>
  </si>
  <si>
    <t>1,999,982.37</t>
  </si>
  <si>
    <t>358,800.00</t>
  </si>
  <si>
    <t>75,400.00</t>
  </si>
  <si>
    <t>1,139,296.57</t>
  </si>
  <si>
    <t>1,950,000.00</t>
  </si>
  <si>
    <t>78,092.38</t>
  </si>
  <si>
    <t>37,795,400.00</t>
  </si>
  <si>
    <t>78,092.37</t>
  </si>
  <si>
    <t>326,000.00</t>
  </si>
  <si>
    <t>2,665,000.00</t>
  </si>
  <si>
    <t>434,000.00</t>
  </si>
  <si>
    <t>74,700.00</t>
  </si>
  <si>
    <t>608,500.00</t>
  </si>
  <si>
    <t>73,200.00</t>
  </si>
  <si>
    <t>12,745,920.00</t>
  </si>
  <si>
    <t>83,240.00</t>
  </si>
  <si>
    <t>8,209,651.00</t>
  </si>
  <si>
    <t>1,965,740.00</t>
  </si>
  <si>
    <t>18,416,890.00</t>
  </si>
  <si>
    <t>818,837.56</t>
  </si>
  <si>
    <t>370,424.20</t>
  </si>
  <si>
    <t>65,640.00</t>
  </si>
  <si>
    <t>2,786,970.00</t>
  </si>
  <si>
    <t>222,305.00</t>
  </si>
  <si>
    <t>875,355.00</t>
  </si>
  <si>
    <t>4,000,160.00</t>
  </si>
  <si>
    <t>209,988.10</t>
  </si>
  <si>
    <t>915,300.00</t>
  </si>
  <si>
    <t>4,383,098.00</t>
  </si>
  <si>
    <t>1,327,500.00</t>
  </si>
  <si>
    <t>768,696.67</t>
  </si>
  <si>
    <t>298,940.00</t>
  </si>
  <si>
    <t>3,349,185.00</t>
  </si>
  <si>
    <t>193,886.00</t>
  </si>
  <si>
    <t>2,286,609.96</t>
  </si>
  <si>
    <t>1,333,333.33</t>
  </si>
  <si>
    <t>924,000.00</t>
  </si>
  <si>
    <t>1,120,825.00</t>
  </si>
  <si>
    <t>4,381,666.67</t>
  </si>
  <si>
    <t>1,272,847.62</t>
  </si>
  <si>
    <t>74,999,758.72</t>
  </si>
  <si>
    <t>767,035.00</t>
  </si>
  <si>
    <t>120,845.00</t>
  </si>
  <si>
    <t>2,499,320.00</t>
  </si>
  <si>
    <t>3,249,995.85</t>
  </si>
  <si>
    <t>203,800.00</t>
  </si>
  <si>
    <t>4,410,284.00</t>
  </si>
  <si>
    <t>118,000,000.00</t>
  </si>
  <si>
    <t>2,099,816.25</t>
  </si>
  <si>
    <t>476,317.00</t>
  </si>
  <si>
    <t>13,966,318.00</t>
  </si>
  <si>
    <t>295,014.00</t>
  </si>
  <si>
    <t>6,409,325.00</t>
  </si>
  <si>
    <t>773,897.20</t>
  </si>
  <si>
    <t>1,856,000.00</t>
  </si>
  <si>
    <t>6,580,675.00</t>
  </si>
  <si>
    <t>229,770.00</t>
  </si>
  <si>
    <t>239,660.00</t>
  </si>
  <si>
    <t>3,067,400.00</t>
  </si>
  <si>
    <t>1,061,500.00</t>
  </si>
  <si>
    <t>3,194,000.00</t>
  </si>
  <si>
    <t>3,727,000.00</t>
  </si>
  <si>
    <t>2,999,833.96</t>
  </si>
  <si>
    <t>946,800.00</t>
  </si>
  <si>
    <t>113,420.00</t>
  </si>
  <si>
    <t>241,008.05</t>
  </si>
  <si>
    <t>355,000.00</t>
  </si>
  <si>
    <t>19,846,545.25</t>
  </si>
  <si>
    <t>1,144,000.00</t>
  </si>
  <si>
    <t>118,785.00</t>
  </si>
  <si>
    <t>4,866,232.42</t>
  </si>
  <si>
    <t>4,865,589.08</t>
  </si>
  <si>
    <t>1,443,308.48</t>
  </si>
  <si>
    <t>2,577,200.00</t>
  </si>
  <si>
    <t>931,388.04</t>
  </si>
  <si>
    <t>971,338.37</t>
  </si>
  <si>
    <t>991,576.29</t>
  </si>
  <si>
    <t>749,814.00</t>
  </si>
  <si>
    <t>595,211.57</t>
  </si>
  <si>
    <t>589,687.38</t>
  </si>
  <si>
    <t>8,300,000.00</t>
  </si>
  <si>
    <t>1,041,110.00</t>
  </si>
  <si>
    <t>898,586.95</t>
  </si>
  <si>
    <t>717,976.00</t>
  </si>
  <si>
    <t>1,999,999.03</t>
  </si>
  <si>
    <t>1,495,200.00</t>
  </si>
  <si>
    <t>31,721,902.36</t>
  </si>
  <si>
    <t>7,337,052.00</t>
  </si>
  <si>
    <t>149,600.00</t>
  </si>
  <si>
    <t>5,000,170.00</t>
  </si>
  <si>
    <t>7,707,642.50</t>
  </si>
  <si>
    <t>5,498,808.05</t>
  </si>
  <si>
    <t>1,356,151.98</t>
  </si>
  <si>
    <t>1,144,601.03</t>
  </si>
  <si>
    <t>372,465.00</t>
  </si>
  <si>
    <t>1,377,155.23</t>
  </si>
  <si>
    <t>1,116,650.03</t>
  </si>
  <si>
    <t>61,570,113.00</t>
  </si>
  <si>
    <t>55,563,273.00</t>
  </si>
  <si>
    <t>154,366.02</t>
  </si>
  <si>
    <t>768,452.77</t>
  </si>
  <si>
    <t>1,464,864.24</t>
  </si>
  <si>
    <t>333,278.36</t>
  </si>
  <si>
    <t>5,330,000.00</t>
  </si>
  <si>
    <t>3,194,038.40</t>
  </si>
  <si>
    <t>1,099,970.44</t>
  </si>
  <si>
    <t>9,970,000.00</t>
  </si>
  <si>
    <t>993,908.13</t>
  </si>
  <si>
    <t>126,952.00</t>
  </si>
  <si>
    <t>218,507.20</t>
  </si>
  <si>
    <t>581,492.80</t>
  </si>
  <si>
    <t>996,031.64</t>
  </si>
  <si>
    <t>362,128.33</t>
  </si>
  <si>
    <t>1,983,394.98</t>
  </si>
  <si>
    <t>68,464.00</t>
  </si>
  <si>
    <t>2,285,092.00</t>
  </si>
  <si>
    <t>2,222,461.60</t>
  </si>
  <si>
    <t>556,948.52</t>
  </si>
  <si>
    <t>114,545.00</t>
  </si>
  <si>
    <t>1,058,345.00</t>
  </si>
  <si>
    <t>1,532,639.50</t>
  </si>
  <si>
    <t>49,950.50</t>
  </si>
  <si>
    <t>129,690.00</t>
  </si>
  <si>
    <t>451,520.00</t>
  </si>
  <si>
    <t>2,966,314.00</t>
  </si>
  <si>
    <t>1,149,588.64</t>
  </si>
  <si>
    <t>34,850,000.00</t>
  </si>
  <si>
    <t>1,997,795.78</t>
  </si>
  <si>
    <t>212,800.00</t>
  </si>
  <si>
    <t>997,300.00</t>
  </si>
  <si>
    <t>2,048,699.56</t>
  </si>
  <si>
    <t>730,909.49</t>
  </si>
  <si>
    <t>1,200,000.12</t>
  </si>
  <si>
    <t>150,418.14</t>
  </si>
  <si>
    <t>336,773.75</t>
  </si>
  <si>
    <t>266,220.96</t>
  </si>
  <si>
    <t>1,802,159.00</t>
  </si>
  <si>
    <t>299,554.40</t>
  </si>
  <si>
    <t>5,039,000.00</t>
  </si>
  <si>
    <t>230,754.84</t>
  </si>
  <si>
    <t>1,697,371.00</t>
  </si>
  <si>
    <t>1,791,252.00</t>
  </si>
  <si>
    <t>19,170,000.00</t>
  </si>
  <si>
    <t>3,320,000.00</t>
  </si>
  <si>
    <t>255,200.00</t>
  </si>
  <si>
    <t>79,990.00</t>
  </si>
  <si>
    <t>249,983.38</t>
  </si>
  <si>
    <t>999,569.17</t>
  </si>
  <si>
    <t>3,542,510.00</t>
  </si>
  <si>
    <t>341,315.00</t>
  </si>
  <si>
    <t>361,226.00</t>
  </si>
  <si>
    <t>514,000.96</t>
  </si>
  <si>
    <t>612,230.00</t>
  </si>
  <si>
    <t>1,840,000.00</t>
  </si>
  <si>
    <t>27,423,841.00</t>
  </si>
  <si>
    <t>211,846.70</t>
  </si>
  <si>
    <t>151,964.84</t>
  </si>
  <si>
    <t>5,099,585.00</t>
  </si>
  <si>
    <t>243,792.00</t>
  </si>
  <si>
    <t>1,799,915.00</t>
  </si>
  <si>
    <t>207,711.71</t>
  </si>
  <si>
    <t>3,555,369.50</t>
  </si>
  <si>
    <t>478,940.00</t>
  </si>
  <si>
    <t>5,569,572.70</t>
  </si>
  <si>
    <t>2,655,702.20</t>
  </si>
  <si>
    <t>50,180,000.00</t>
  </si>
  <si>
    <t>95,062,512.94</t>
  </si>
  <si>
    <t>969,103.43</t>
  </si>
  <si>
    <t>249,964.58</t>
  </si>
  <si>
    <t>9,230,982.40</t>
  </si>
  <si>
    <t>104,885.00</t>
  </si>
  <si>
    <t>1,799,800.00</t>
  </si>
  <si>
    <t>157,848.80</t>
  </si>
  <si>
    <t>116,517.00</t>
  </si>
  <si>
    <t>4,454,020.58</t>
  </si>
  <si>
    <t>35,608.79</t>
  </si>
  <si>
    <t>17,311,362.21</t>
  </si>
  <si>
    <t>4,694,928.10</t>
  </si>
  <si>
    <t>498,788.90</t>
  </si>
  <si>
    <t>413,465.00</t>
  </si>
  <si>
    <t>1,124,765.51</t>
  </si>
  <si>
    <t>27,442.54</t>
  </si>
  <si>
    <t>1,063,346.82</t>
  </si>
  <si>
    <t>297,800.00</t>
  </si>
  <si>
    <t>224,914.73</t>
  </si>
  <si>
    <t>1,210.00</t>
  </si>
  <si>
    <t>8,900.00</t>
  </si>
  <si>
    <t>2,692.78</t>
  </si>
  <si>
    <t>67,992.00</t>
  </si>
  <si>
    <t>1,199,788.03</t>
  </si>
  <si>
    <t>174,111.05</t>
  </si>
  <si>
    <t>218,548.20</t>
  </si>
  <si>
    <t>19,999,184.58</t>
  </si>
  <si>
    <t>166,500.00</t>
  </si>
  <si>
    <t>103,320.00</t>
  </si>
  <si>
    <t>235,690.00</t>
  </si>
  <si>
    <t>115,832.50</t>
  </si>
  <si>
    <t>2,503,000.00</t>
  </si>
  <si>
    <t>2,174,000.00</t>
  </si>
  <si>
    <t>5,012,000.00</t>
  </si>
  <si>
    <t>5,054,000.00</t>
  </si>
  <si>
    <t>103,200.00</t>
  </si>
  <si>
    <t>90,743.04</t>
  </si>
  <si>
    <t>7,429,000.00</t>
  </si>
  <si>
    <t>198,598.00</t>
  </si>
  <si>
    <t>2,434,000.00</t>
  </si>
  <si>
    <t>3,753,000.00</t>
  </si>
  <si>
    <t>269,950.00</t>
  </si>
  <si>
    <t>1,430,000.00</t>
  </si>
  <si>
    <t>3,955,030.05</t>
  </si>
  <si>
    <t>1,830,000.00</t>
  </si>
  <si>
    <t>18,774,000.00</t>
  </si>
  <si>
    <t>6,989,380.00</t>
  </si>
  <si>
    <t>10,350.00</t>
  </si>
  <si>
    <t>4,367,304.32</t>
  </si>
  <si>
    <t>8,732,630.77</t>
  </si>
  <si>
    <t>8,736,333.12</t>
  </si>
  <si>
    <t>298,043.00</t>
  </si>
  <si>
    <t>34,198,704.00</t>
  </si>
  <si>
    <t>332,000.00</t>
  </si>
  <si>
    <t>23,591,614.49</t>
  </si>
  <si>
    <t>2,232,000.00</t>
  </si>
  <si>
    <t>444,966.00</t>
  </si>
  <si>
    <t>148,110.00</t>
  </si>
  <si>
    <t>70,416.55</t>
  </si>
  <si>
    <t>279,554.00</t>
  </si>
  <si>
    <t>6,970,000.00</t>
  </si>
  <si>
    <t>4,312,000.00</t>
  </si>
  <si>
    <t>602,000.00</t>
  </si>
  <si>
    <t>596,560.00</t>
  </si>
  <si>
    <t>297,895.00</t>
  </si>
  <si>
    <t>21,999,999.98</t>
  </si>
  <si>
    <t>10,900,000.00</t>
  </si>
  <si>
    <t>1,536,380.00</t>
  </si>
  <si>
    <t>28,900.00</t>
  </si>
  <si>
    <t>116,350.00</t>
  </si>
  <si>
    <t>233,526.00</t>
  </si>
  <si>
    <t>7,196,800.00</t>
  </si>
  <si>
    <t>969,050.00</t>
  </si>
  <si>
    <t>148,304.12</t>
  </si>
  <si>
    <t>2,928,139.00</t>
  </si>
  <si>
    <t>248,400.00</t>
  </si>
  <si>
    <t>42,974,005.00</t>
  </si>
  <si>
    <t>1,599,076.80</t>
  </si>
  <si>
    <t>485,667.32</t>
  </si>
  <si>
    <t>9,855,694.72</t>
  </si>
  <si>
    <t>4,110,150.00</t>
  </si>
  <si>
    <t>2,353.00</t>
  </si>
  <si>
    <t>435,375.00</t>
  </si>
  <si>
    <t>1,635,000.00</t>
  </si>
  <si>
    <t>442,770.00</t>
  </si>
  <si>
    <t>460,392.00</t>
  </si>
  <si>
    <t>54,878,828.50</t>
  </si>
  <si>
    <t>257,639.27</t>
  </si>
  <si>
    <t>85,556.90</t>
  </si>
  <si>
    <t>1,155,000.00</t>
  </si>
  <si>
    <t>1,456,319.22</t>
  </si>
  <si>
    <t>125,014.00</t>
  </si>
  <si>
    <t>8,895,000.00</t>
  </si>
  <si>
    <t>69,999.90</t>
  </si>
  <si>
    <t>128,990.00</t>
  </si>
  <si>
    <t>214,380.00</t>
  </si>
  <si>
    <t>391,216.75</t>
  </si>
  <si>
    <t>335,964.00</t>
  </si>
  <si>
    <t>183,657.05</t>
  </si>
  <si>
    <t>149,983.15</t>
  </si>
  <si>
    <t>5,520,000.00</t>
  </si>
  <si>
    <t>638,752.00</t>
  </si>
  <si>
    <t>398,366.50</t>
  </si>
  <si>
    <t>194,460.00</t>
  </si>
  <si>
    <t>1,245,313.20</t>
  </si>
  <si>
    <t>998,190.00</t>
  </si>
  <si>
    <t>156,733.00</t>
  </si>
  <si>
    <t>5,450,000.00</t>
  </si>
  <si>
    <t>999,074.21</t>
  </si>
  <si>
    <t>999,724.31</t>
  </si>
  <si>
    <t>338,196.00</t>
  </si>
  <si>
    <t>719,887.80</t>
  </si>
  <si>
    <t>1,799,912.36</t>
  </si>
  <si>
    <t>691,500.00</t>
  </si>
  <si>
    <t>2,699,932.60</t>
  </si>
  <si>
    <t>1,203,059.00</t>
  </si>
  <si>
    <t>102,941.62</t>
  </si>
  <si>
    <t>362,595.00</t>
  </si>
  <si>
    <t>767,000.00</t>
  </si>
  <si>
    <t>705,000.00</t>
  </si>
  <si>
    <t>502,680.00</t>
  </si>
  <si>
    <t>472,550.00</t>
  </si>
  <si>
    <t>1,379,569.90</t>
  </si>
  <si>
    <t>34,743.00</t>
  </si>
  <si>
    <t>483,900.00</t>
  </si>
  <si>
    <t>7,329,847.55</t>
  </si>
  <si>
    <t>128,116.00</t>
  </si>
  <si>
    <t>8,590,000.00</t>
  </si>
  <si>
    <t>1,066,510.00</t>
  </si>
  <si>
    <t>5,321,250.00</t>
  </si>
  <si>
    <t>19,805,887.04</t>
  </si>
  <si>
    <t>1,644,500.00</t>
  </si>
  <si>
    <t>3,209,463.00</t>
  </si>
  <si>
    <t>214,400.00</t>
  </si>
  <si>
    <t>1,724,200.00</t>
  </si>
  <si>
    <t>1,237,900.00</t>
  </si>
  <si>
    <t>1,501,500.00</t>
  </si>
  <si>
    <t>24,140,550.00</t>
  </si>
  <si>
    <t>34,621,913.75</t>
  </si>
  <si>
    <t>1,448,394.30</t>
  </si>
  <si>
    <t>12,351,000.00</t>
  </si>
  <si>
    <t>2,930,000.00</t>
  </si>
  <si>
    <t>1,774,350.00</t>
  </si>
  <si>
    <t>5,377,234.60</t>
  </si>
  <si>
    <t>160,699.00</t>
  </si>
  <si>
    <t>537,807.45</t>
  </si>
  <si>
    <t>905,000.00</t>
  </si>
  <si>
    <t>299,474.44</t>
  </si>
  <si>
    <t>273,749.68</t>
  </si>
  <si>
    <t>1,087,541.25</t>
  </si>
  <si>
    <t>7,240,000.00</t>
  </si>
  <si>
    <t>671,500.00</t>
  </si>
  <si>
    <t>144,963.66</t>
  </si>
  <si>
    <t>33,976,343.26</t>
  </si>
  <si>
    <t>709,495.00</t>
  </si>
  <si>
    <t>428,500.00</t>
  </si>
  <si>
    <t>438,500.00</t>
  </si>
  <si>
    <t>12,870,000.00</t>
  </si>
  <si>
    <t>2,970,000.00</t>
  </si>
  <si>
    <t>499,996.00</t>
  </si>
  <si>
    <t>11,880,000.00</t>
  </si>
  <si>
    <t>514,912.40</t>
  </si>
  <si>
    <t>998,151.50</t>
  </si>
  <si>
    <t>130,680.00</t>
  </si>
  <si>
    <t>274,850.00</t>
  </si>
  <si>
    <t>352,319.50</t>
  </si>
  <si>
    <t>378,400.00</t>
  </si>
  <si>
    <t>756,680.00</t>
  </si>
  <si>
    <t>1,366,900.00</t>
  </si>
  <si>
    <t>695,069.44</t>
  </si>
  <si>
    <t>1,324,700.00</t>
  </si>
  <si>
    <t>168,332.64</t>
  </si>
  <si>
    <t>1,715,786.00</t>
  </si>
  <si>
    <t>3,016,192.49</t>
  </si>
  <si>
    <t>105,363.86</t>
  </si>
  <si>
    <t>3,875,656.35</t>
  </si>
  <si>
    <t>318,856.00</t>
  </si>
  <si>
    <t>3,583,292.70</t>
  </si>
  <si>
    <t>810,857.00</t>
  </si>
  <si>
    <t>2,998,957.38</t>
  </si>
  <si>
    <t>2,397,801.48</t>
  </si>
  <si>
    <t>4,350,600.00</t>
  </si>
  <si>
    <t>283,700.00</t>
  </si>
  <si>
    <t>102,870,291.41</t>
  </si>
  <si>
    <t>3,408,935.00</t>
  </si>
  <si>
    <t>49,949,909.49</t>
  </si>
  <si>
    <t>2,056,140.30</t>
  </si>
  <si>
    <t>5,740,000.00</t>
  </si>
  <si>
    <t>4,504,316.01</t>
  </si>
  <si>
    <t>3,697,025.61</t>
  </si>
  <si>
    <t>318,500.00</t>
  </si>
  <si>
    <t>1,131,500.00</t>
  </si>
  <si>
    <t>6,474,240.00</t>
  </si>
  <si>
    <t>621,555.00</t>
  </si>
  <si>
    <t>1,941,255.51</t>
  </si>
  <si>
    <t>57,058.00</t>
  </si>
  <si>
    <t>299,999.38</t>
  </si>
  <si>
    <t>201,200.00</t>
  </si>
  <si>
    <t>1,983,285.89</t>
  </si>
  <si>
    <t>92,790.70</t>
  </si>
  <si>
    <t>1,945,945.13</t>
  </si>
  <si>
    <t>116,519.00</t>
  </si>
  <si>
    <t>1,399,036.46</t>
  </si>
  <si>
    <t>158,720.00</t>
  </si>
  <si>
    <t>29,950,000.00</t>
  </si>
  <si>
    <t>232,501.00</t>
  </si>
  <si>
    <t>1,299,966.26</t>
  </si>
  <si>
    <t>37,605,100.00</t>
  </si>
  <si>
    <t>399,166.40</t>
  </si>
  <si>
    <t>102,723.50</t>
  </si>
  <si>
    <t>253,000.00</t>
  </si>
  <si>
    <t>1,535,164.81</t>
  </si>
  <si>
    <t>1,620,000.00</t>
  </si>
  <si>
    <t>104,470.00</t>
  </si>
  <si>
    <t>1,049,899.59</t>
  </si>
  <si>
    <t>1,699,406.00</t>
  </si>
  <si>
    <t>1,057,900.00</t>
  </si>
  <si>
    <t>105,577.34</t>
  </si>
  <si>
    <t>227,124.25</t>
  </si>
  <si>
    <t>389,632.00</t>
  </si>
  <si>
    <t>812,450.00</t>
  </si>
  <si>
    <t>1,906,943.00</t>
  </si>
  <si>
    <t>2,595,776.50</t>
  </si>
  <si>
    <t>75,083.43</t>
  </si>
  <si>
    <t>250,080.00</t>
  </si>
  <si>
    <t>868,510.00</t>
  </si>
  <si>
    <t>801,960.00</t>
  </si>
  <si>
    <t>504,400.00</t>
  </si>
  <si>
    <t>411,317.00</t>
  </si>
  <si>
    <t>271,989.44</t>
  </si>
  <si>
    <t>199,781.10</t>
  </si>
  <si>
    <t>1,999,607.91</t>
  </si>
  <si>
    <t>334,899.33</t>
  </si>
  <si>
    <t>95,482.75</t>
  </si>
  <si>
    <t>2,895,000.00</t>
  </si>
  <si>
    <t>172,361.98</t>
  </si>
  <si>
    <t>1,447,500.00</t>
  </si>
  <si>
    <t>965,000.00</t>
  </si>
  <si>
    <t>13,863,040.00</t>
  </si>
  <si>
    <t>1,502,505.00</t>
  </si>
  <si>
    <t>1,153,000.00</t>
  </si>
  <si>
    <t>15,112,438.00</t>
  </si>
  <si>
    <t>4,001,000.00</t>
  </si>
  <si>
    <t>1,455,220.00</t>
  </si>
  <si>
    <t>19,988,401.71</t>
  </si>
  <si>
    <t>147,112.28</t>
  </si>
  <si>
    <t>5,712,775.00</t>
  </si>
  <si>
    <t>1,944,640.00</t>
  </si>
  <si>
    <t>432,500.00</t>
  </si>
  <si>
    <t>4,671,000.00</t>
  </si>
  <si>
    <t>3,999,861.98</t>
  </si>
  <si>
    <t>194,754.17</t>
  </si>
  <si>
    <t>590,077.71</t>
  </si>
  <si>
    <t>3,984,370.33</t>
  </si>
  <si>
    <t>196,901.80</t>
  </si>
  <si>
    <t>9,986,706.58</t>
  </si>
  <si>
    <t>11,989,967.56</t>
  </si>
  <si>
    <t>3,618,750.00</t>
  </si>
  <si>
    <t>992,633.00</t>
  </si>
  <si>
    <t>5,790,000.00</t>
  </si>
  <si>
    <t>8,071,731.00</t>
  </si>
  <si>
    <t>77,705.00</t>
  </si>
  <si>
    <t>127,480.00</t>
  </si>
  <si>
    <t>55,726.00</t>
  </si>
  <si>
    <t>250,600.00</t>
  </si>
  <si>
    <t>77,798.00</t>
  </si>
  <si>
    <t>253,685.00</t>
  </si>
  <si>
    <t>167,612.00</t>
  </si>
  <si>
    <t>2,678,738.00</t>
  </si>
  <si>
    <t>1,590,500.00</t>
  </si>
  <si>
    <t>2,319,910.98</t>
  </si>
  <si>
    <t>4,943,000.00</t>
  </si>
  <si>
    <t>387,912.39</t>
  </si>
  <si>
    <t>44,100,000.00</t>
  </si>
  <si>
    <t>1,348,886.50</t>
  </si>
  <si>
    <t>124,100.00</t>
  </si>
  <si>
    <t>282,400.00</t>
  </si>
  <si>
    <t>684,030.00</t>
  </si>
  <si>
    <t>3,843,969.00</t>
  </si>
  <si>
    <t>2,682,231.00</t>
  </si>
  <si>
    <t>3,315,988.00</t>
  </si>
  <si>
    <t>2,910,000.00</t>
  </si>
  <si>
    <t>1,208,232.00</t>
  </si>
  <si>
    <t>1,380,000.00</t>
  </si>
  <si>
    <t>1,658,553.00</t>
  </si>
  <si>
    <t>163,393.00</t>
  </si>
  <si>
    <t>1,420,727.73</t>
  </si>
  <si>
    <t>53,183.00</t>
  </si>
  <si>
    <t>6,161,899.22</t>
  </si>
  <si>
    <t>416,984.10</t>
  </si>
  <si>
    <t>4,725,000.00</t>
  </si>
  <si>
    <t>2,000,310.00</t>
  </si>
  <si>
    <t>862,000.00</t>
  </si>
  <si>
    <t>5,207,000.00</t>
  </si>
  <si>
    <t>109,860.00</t>
  </si>
  <si>
    <t>137,750.00</t>
  </si>
  <si>
    <t>4,953,855.27</t>
  </si>
  <si>
    <t>1,998,027.95</t>
  </si>
  <si>
    <t>6,897,000.00</t>
  </si>
  <si>
    <t>4,992,149.00</t>
  </si>
  <si>
    <t>11,407,000.00</t>
  </si>
  <si>
    <t>622,875.00</t>
  </si>
  <si>
    <t>3,129,269.00</t>
  </si>
  <si>
    <t>299,462.58</t>
  </si>
  <si>
    <t>2,989,800.00</t>
  </si>
  <si>
    <t>2,422,000.00</t>
  </si>
  <si>
    <t>116,900.00</t>
  </si>
  <si>
    <t>57,168,899.44</t>
  </si>
  <si>
    <t>87,100.00</t>
  </si>
  <si>
    <t>199,913.70</t>
  </si>
  <si>
    <t>301,600.00</t>
  </si>
  <si>
    <t>410,830.00</t>
  </si>
  <si>
    <t>569,200.00</t>
  </si>
  <si>
    <t>1,335,747.00</t>
  </si>
  <si>
    <t>38,924,634.28</t>
  </si>
  <si>
    <t>1,455,000.00</t>
  </si>
  <si>
    <t>153,780.00</t>
  </si>
  <si>
    <t>161,485.00</t>
  </si>
  <si>
    <t>346,025.00</t>
  </si>
  <si>
    <t>185,704.47</t>
  </si>
  <si>
    <t>9,500,400.00</t>
  </si>
  <si>
    <t>986,755.00</t>
  </si>
  <si>
    <t>237,599.00</t>
  </si>
  <si>
    <t>206,482.88</t>
  </si>
  <si>
    <t>7,302,910.64</t>
  </si>
  <si>
    <t>28,200,000.00</t>
  </si>
  <si>
    <t>37,968.36</t>
  </si>
  <si>
    <t>207,611.78</t>
  </si>
  <si>
    <t>263,875.00</t>
  </si>
  <si>
    <t>199,724.10</t>
  </si>
  <si>
    <t>1,084,940.00</t>
  </si>
  <si>
    <t>1,057,100.00</t>
  </si>
  <si>
    <t>190,750.00</t>
  </si>
  <si>
    <t>994,500.00</t>
  </si>
  <si>
    <t>6,899,000.00</t>
  </si>
  <si>
    <t>297,577.77</t>
  </si>
  <si>
    <t>216,480.00</t>
  </si>
  <si>
    <t>379,900.00</t>
  </si>
  <si>
    <t>94,020.00</t>
  </si>
  <si>
    <t>3,465,000.00</t>
  </si>
  <si>
    <t>360,500.00</t>
  </si>
  <si>
    <t>24,775,726.14</t>
  </si>
  <si>
    <t>126,650.00</t>
  </si>
  <si>
    <t>630,800.00</t>
  </si>
  <si>
    <t>26,028.00</t>
  </si>
  <si>
    <t>396,929.79</t>
  </si>
  <si>
    <t>2,940,495.00</t>
  </si>
  <si>
    <t>1,668,144.00</t>
  </si>
  <si>
    <t>1,141,376.24</t>
  </si>
  <si>
    <t>882,353.96</t>
  </si>
  <si>
    <t>199,266.30</t>
  </si>
  <si>
    <t>245,620.00</t>
  </si>
  <si>
    <t>446,580.90</t>
  </si>
  <si>
    <t>369,566.00</t>
  </si>
  <si>
    <t>72,390.00</t>
  </si>
  <si>
    <t>600,764.15</t>
  </si>
  <si>
    <t>1,363,400.00</t>
  </si>
  <si>
    <t>1,572,200.00</t>
  </si>
  <si>
    <t>17,502,810.56</t>
  </si>
  <si>
    <t>1,992,600.00</t>
  </si>
  <si>
    <t>549,620.00</t>
  </si>
  <si>
    <t>9,950,000.00</t>
  </si>
  <si>
    <t>344,100.00</t>
  </si>
  <si>
    <t>333,900.00</t>
  </si>
  <si>
    <t>1,499,269.06</t>
  </si>
  <si>
    <t>85,812.30</t>
  </si>
  <si>
    <t>150,500.00</t>
  </si>
  <si>
    <t>1,699,933.36</t>
  </si>
  <si>
    <t>649,080.00</t>
  </si>
  <si>
    <t>81,300.00</t>
  </si>
  <si>
    <t>112,480.00</t>
  </si>
  <si>
    <t>9,899,103.08</t>
  </si>
  <si>
    <t>1,361,160.00</t>
  </si>
  <si>
    <t>1,558,950.00</t>
  </si>
  <si>
    <t>3,800,867.18</t>
  </si>
  <si>
    <t>480,573.50</t>
  </si>
  <si>
    <t>1,325,947.75</t>
  </si>
  <si>
    <t>65,411.00</t>
  </si>
  <si>
    <t>47,100.00</t>
  </si>
  <si>
    <t>935,600.00</t>
  </si>
  <si>
    <t>497,500.00</t>
  </si>
  <si>
    <t>1,190,000.00</t>
  </si>
  <si>
    <t>854,414.00</t>
  </si>
  <si>
    <t>100,355.00</t>
  </si>
  <si>
    <t>750,062.39</t>
  </si>
  <si>
    <t>260,220.38</t>
  </si>
  <si>
    <t>138,500.00</t>
  </si>
  <si>
    <t>572,910.00</t>
  </si>
  <si>
    <t>2,448,000.00</t>
  </si>
  <si>
    <t>1,005,564.95</t>
  </si>
  <si>
    <t>31,800.00</t>
  </si>
  <si>
    <t>627,650.00</t>
  </si>
  <si>
    <t>1,470,000.00</t>
  </si>
  <si>
    <t>980,532.15</t>
  </si>
  <si>
    <t>657,069.50</t>
  </si>
  <si>
    <t>18,158,258.79</t>
  </si>
  <si>
    <t>87,700.00</t>
  </si>
  <si>
    <t>2,966,530.26</t>
  </si>
  <si>
    <t>352,710.00</t>
  </si>
  <si>
    <t>739,250.00</t>
  </si>
  <si>
    <t>22,443,749.00</t>
  </si>
  <si>
    <t>1,664,380.00</t>
  </si>
  <si>
    <t>182,400.00</t>
  </si>
  <si>
    <t>13,913,129.13</t>
  </si>
  <si>
    <t>343,928.00</t>
  </si>
  <si>
    <t>74,830,898.60</t>
  </si>
  <si>
    <t>2,017,455.00</t>
  </si>
  <si>
    <t>225,215.00</t>
  </si>
  <si>
    <t>53,350.00</t>
  </si>
  <si>
    <t>209,754.57</t>
  </si>
  <si>
    <t>235,205.00</t>
  </si>
  <si>
    <t>395,203.00</t>
  </si>
  <si>
    <t>34,740,000.00</t>
  </si>
  <si>
    <t>709,977,660.00</t>
  </si>
  <si>
    <t>6,903,816.00</t>
  </si>
  <si>
    <t>971,861.84</t>
  </si>
  <si>
    <t>53,582.00</t>
  </si>
  <si>
    <t>967,000.00</t>
  </si>
  <si>
    <t>200,000,000.00</t>
  </si>
  <si>
    <t>47,274.00</t>
  </si>
  <si>
    <t>3,588,712.50</t>
  </si>
  <si>
    <t>2,499,984.00</t>
  </si>
  <si>
    <t>579,573,600.00</t>
  </si>
  <si>
    <t>3,123,079.75</t>
  </si>
  <si>
    <t>766,038.00</t>
  </si>
  <si>
    <t>394,475.00</t>
  </si>
  <si>
    <t>8,837,317.56</t>
  </si>
  <si>
    <t>422,562.00</t>
  </si>
  <si>
    <t>2,286,188.51</t>
  </si>
  <si>
    <t>37,777,273.30</t>
  </si>
  <si>
    <t>110,898,926.55</t>
  </si>
  <si>
    <t>1,583,000.00</t>
  </si>
  <si>
    <t>82,680.00</t>
  </si>
  <si>
    <t>287,723,710.80</t>
  </si>
  <si>
    <t>255,369,933.76</t>
  </si>
  <si>
    <t>222,355.00</t>
  </si>
  <si>
    <t>1,119,790.00</t>
  </si>
  <si>
    <t>1,123,750.00</t>
  </si>
  <si>
    <t>119,729.00</t>
  </si>
  <si>
    <t>1,122,015.00</t>
  </si>
  <si>
    <t>36,824,100.00</t>
  </si>
  <si>
    <t>2,096,767.02</t>
  </si>
  <si>
    <t>1,655,476.74</t>
  </si>
  <si>
    <t>959,898.00</t>
  </si>
  <si>
    <t>576,880.00</t>
  </si>
  <si>
    <t>149,504.40</t>
  </si>
  <si>
    <t>432,045.00</t>
  </si>
  <si>
    <t>823,500.00</t>
  </si>
  <si>
    <t>35,739.29</t>
  </si>
  <si>
    <t>102,791.50</t>
  </si>
  <si>
    <t>968,716.23</t>
  </si>
  <si>
    <t>7,552,000.00</t>
  </si>
  <si>
    <t>107,931.77</t>
  </si>
  <si>
    <t>4,190,000.00</t>
  </si>
  <si>
    <t>498,317.50</t>
  </si>
  <si>
    <t>90,659,650.00</t>
  </si>
  <si>
    <t>1,820,162.66</t>
  </si>
  <si>
    <t>7,397,648.82</t>
  </si>
  <si>
    <t>142,820.00</t>
  </si>
  <si>
    <t>1,988,993.45</t>
  </si>
  <si>
    <t>547,525.00</t>
  </si>
  <si>
    <t>2,906,518.13</t>
  </si>
  <si>
    <t>105,945.00</t>
  </si>
  <si>
    <t>100,336,108.59</t>
  </si>
  <si>
    <t>136,893,553.40</t>
  </si>
  <si>
    <t>9,610,000.00</t>
  </si>
  <si>
    <t>33,090.00</t>
  </si>
  <si>
    <t>34,102,000.00</t>
  </si>
  <si>
    <t>255,826,933.76</t>
  </si>
  <si>
    <t>1,683,493.45</t>
  </si>
  <si>
    <t>203,200.00</t>
  </si>
  <si>
    <t>3,000,499.80</t>
  </si>
  <si>
    <t>900,890.00</t>
  </si>
  <si>
    <t>645,309.00</t>
  </si>
  <si>
    <t>656,861.42</t>
  </si>
  <si>
    <t>363,000.00</t>
  </si>
  <si>
    <t>136,136.00</t>
  </si>
  <si>
    <t>159,407.50</t>
  </si>
  <si>
    <t>314,120.00</t>
  </si>
  <si>
    <t>111,840.00</t>
  </si>
  <si>
    <t>12,434,921.55</t>
  </si>
  <si>
    <t>499,800.00</t>
  </si>
  <si>
    <t>149,700.00</t>
  </si>
  <si>
    <t>1,123,620.00</t>
  </si>
  <si>
    <t>1,566,384.85</t>
  </si>
  <si>
    <t>137,380.00</t>
  </si>
  <si>
    <t>657,095.58</t>
  </si>
  <si>
    <t>311,060.40</t>
  </si>
  <si>
    <t>978,000.00</t>
  </si>
  <si>
    <t>121,540.00</t>
  </si>
  <si>
    <t>61,509.00</t>
  </si>
  <si>
    <t>1,656,250.00</t>
  </si>
  <si>
    <t>4,095,109.99</t>
  </si>
  <si>
    <t>1,878,750.00</t>
  </si>
  <si>
    <t>971,175.14</t>
  </si>
  <si>
    <t>7,252,000.00</t>
  </si>
  <si>
    <t>41,000,000.00</t>
  </si>
  <si>
    <t>269,829.00</t>
  </si>
  <si>
    <t>4,150.00</t>
  </si>
  <si>
    <t>271,442.00</t>
  </si>
  <si>
    <t>400,943.12</t>
  </si>
  <si>
    <t>194,391.00</t>
  </si>
  <si>
    <t>216,188.44</t>
  </si>
  <si>
    <t>736,000.00</t>
  </si>
  <si>
    <t>7,100,000.00</t>
  </si>
  <si>
    <t>1,393,000.00</t>
  </si>
  <si>
    <t>25,099,000.00</t>
  </si>
  <si>
    <t>67,419,086.00</t>
  </si>
  <si>
    <t>2,977,849.00</t>
  </si>
  <si>
    <t>593,721.93</t>
  </si>
  <si>
    <t>56,365,200.00</t>
  </si>
  <si>
    <t>497,005.00</t>
  </si>
  <si>
    <t>610,433.00</t>
  </si>
  <si>
    <t>2,266,893.85</t>
  </si>
  <si>
    <t>88,000,000.00</t>
  </si>
  <si>
    <t>1,161,882.00</t>
  </si>
  <si>
    <t>33,000,000.00</t>
  </si>
  <si>
    <t>1,191,500.00</t>
  </si>
  <si>
    <t>131,060.20</t>
  </si>
  <si>
    <t>6,248,250.00</t>
  </si>
  <si>
    <t>2,147,000.00</t>
  </si>
  <si>
    <t>2,738,115.50</t>
  </si>
  <si>
    <t>4,691,080.00</t>
  </si>
  <si>
    <t>555,720.24</t>
  </si>
  <si>
    <t>1,733,995.00</t>
  </si>
  <si>
    <t>4,560,000.00</t>
  </si>
  <si>
    <t>1,066,450.00</t>
  </si>
  <si>
    <t>998,579.10</t>
  </si>
  <si>
    <t>1,382,100.00</t>
  </si>
  <si>
    <t>1,349,039.16</t>
  </si>
  <si>
    <t>499,999.34</t>
  </si>
  <si>
    <t>4,499,993.54</t>
  </si>
  <si>
    <t>409,150.00</t>
  </si>
  <si>
    <t>70,600.00</t>
  </si>
  <si>
    <t>1,531,480.00</t>
  </si>
  <si>
    <t>999,926.43</t>
  </si>
  <si>
    <t>266,201.13</t>
  </si>
  <si>
    <t>1,418,000.00</t>
  </si>
  <si>
    <t>62,232.40</t>
  </si>
  <si>
    <t>4,997,382.00</t>
  </si>
  <si>
    <t>27,500,000.00</t>
  </si>
  <si>
    <t>625,395.00</t>
  </si>
  <si>
    <t>1,507,261.80</t>
  </si>
  <si>
    <t>514,385.00</t>
  </si>
  <si>
    <t>34,919,435.71</t>
  </si>
  <si>
    <t>19,240,000.00</t>
  </si>
  <si>
    <t>49,500,000.00</t>
  </si>
  <si>
    <t>73,600.00</t>
  </si>
  <si>
    <t>20,500,000.00</t>
  </si>
  <si>
    <t>12,573,536.00</t>
  </si>
  <si>
    <t>4,944,999.83</t>
  </si>
  <si>
    <t>2,011,895.00</t>
  </si>
  <si>
    <t>2,999,992.56</t>
  </si>
  <si>
    <t>199,084.63</t>
  </si>
  <si>
    <t>18,305,059.00</t>
  </si>
  <si>
    <t>2,593,784.02</t>
  </si>
  <si>
    <t>1,170,000.00</t>
  </si>
  <si>
    <t>239,118.72</t>
  </si>
  <si>
    <t>299,900.00</t>
  </si>
  <si>
    <t>2,849,728.00</t>
  </si>
  <si>
    <t>4,820,000.81</t>
  </si>
  <si>
    <t>601,695.20</t>
  </si>
  <si>
    <t>283,382.50</t>
  </si>
  <si>
    <t>4,959,712.11</t>
  </si>
  <si>
    <t>19,493,579.92</t>
  </si>
  <si>
    <t>843,911.54</t>
  </si>
  <si>
    <t>5,451,769.68</t>
  </si>
  <si>
    <t>14,300,000.00</t>
  </si>
  <si>
    <t>351,242.50</t>
  </si>
  <si>
    <t>3,062,750.00</t>
  </si>
  <si>
    <t>772,000.00</t>
  </si>
  <si>
    <t>118,929.50</t>
  </si>
  <si>
    <t>5,600,000.00</t>
  </si>
  <si>
    <t>3,400,000.00</t>
  </si>
  <si>
    <t>701,880.00</t>
  </si>
  <si>
    <t>172,670.40</t>
  </si>
  <si>
    <t>4,298,989.90</t>
  </si>
  <si>
    <t>3,506,480.00</t>
  </si>
  <si>
    <t>7,913,027.40</t>
  </si>
  <si>
    <t>616,980.00</t>
  </si>
  <si>
    <t>545,700.00</t>
  </si>
  <si>
    <t>119,131,382.00</t>
  </si>
  <si>
    <t>3,550,000.00</t>
  </si>
  <si>
    <t>281,220.00</t>
  </si>
  <si>
    <t>852,475.50</t>
  </si>
  <si>
    <t>151,784.64</t>
  </si>
  <si>
    <t>149,773.75</t>
  </si>
  <si>
    <t>1,179,000.00</t>
  </si>
  <si>
    <t>1,517,400.00</t>
  </si>
  <si>
    <t>43,200.00</t>
  </si>
  <si>
    <t>54,395.00</t>
  </si>
  <si>
    <t>62,000.40</t>
  </si>
  <si>
    <t>1,518,480.00</t>
  </si>
  <si>
    <t>4,910,000.00</t>
  </si>
  <si>
    <t>180,557.61</t>
  </si>
  <si>
    <t>1,499,990.83</t>
  </si>
  <si>
    <t>22,662,975.00</t>
  </si>
  <si>
    <t>1,732,200.00</t>
  </si>
  <si>
    <t>83,145.00</t>
  </si>
  <si>
    <t>500,866.00</t>
  </si>
  <si>
    <t>189,965.00</t>
  </si>
  <si>
    <t>1,321,529.26</t>
  </si>
  <si>
    <t>1,360,000.00</t>
  </si>
  <si>
    <t>84,884.00</t>
  </si>
  <si>
    <t>60,139.40</t>
  </si>
  <si>
    <t>908,437.75</t>
  </si>
  <si>
    <t>172,890.00</t>
  </si>
  <si>
    <t>489,879.00</t>
  </si>
  <si>
    <t>1,538,669.68</t>
  </si>
  <si>
    <t>108,131.00</t>
  </si>
  <si>
    <t>772,423.55</t>
  </si>
  <si>
    <t>341,095.00</t>
  </si>
  <si>
    <t>1,412,382.00</t>
  </si>
  <si>
    <t>243,386.80</t>
  </si>
  <si>
    <t>5,908,516.87</t>
  </si>
  <si>
    <t>5,916,482.29</t>
  </si>
  <si>
    <t>99,825.00</t>
  </si>
  <si>
    <t>4,549,200.00</t>
  </si>
  <si>
    <t>1,035,059.69</t>
  </si>
  <si>
    <t>172,016.00</t>
  </si>
  <si>
    <t>1,497,600.00</t>
  </si>
  <si>
    <t>1,492,723.81</t>
  </si>
  <si>
    <t>149,997.23</t>
  </si>
  <si>
    <t>2,539,257.53</t>
  </si>
  <si>
    <t>939,761.84</t>
  </si>
  <si>
    <t>49,985.00</t>
  </si>
  <si>
    <t>414,650.00</t>
  </si>
  <si>
    <t>246,084.00</t>
  </si>
  <si>
    <t>11,207,000.00</t>
  </si>
  <si>
    <t>4,300,000.00</t>
  </si>
  <si>
    <t>1,499,498.36</t>
  </si>
  <si>
    <t>640,173.79</t>
  </si>
  <si>
    <t>74,880.00</t>
  </si>
  <si>
    <t>572,676.56</t>
  </si>
  <si>
    <t>305,040.00</t>
  </si>
  <si>
    <t>193,180.00</t>
  </si>
  <si>
    <t>992,714.00</t>
  </si>
  <si>
    <t>1,624,840.00</t>
  </si>
  <si>
    <t>1,123,770.00</t>
  </si>
  <si>
    <t>10,307,341.43</t>
  </si>
  <si>
    <t>3,064,853.87</t>
  </si>
  <si>
    <t>102,035.00</t>
  </si>
  <si>
    <t>16,957,390.27</t>
  </si>
  <si>
    <t>107,304.00</t>
  </si>
  <si>
    <t>2,834,000.00</t>
  </si>
  <si>
    <t>107,800.00</t>
  </si>
  <si>
    <t>431,694.00</t>
  </si>
  <si>
    <t>1,530,000.00</t>
  </si>
  <si>
    <t>408,050.00</t>
  </si>
  <si>
    <t>255,275.00</t>
  </si>
  <si>
    <t>166,060.00</t>
  </si>
  <si>
    <t>61,765.00</t>
  </si>
  <si>
    <t>19,950,000.00</t>
  </si>
  <si>
    <t>5,042,553.00</t>
  </si>
  <si>
    <t>422,000.00</t>
  </si>
  <si>
    <t>4,499,999.25</t>
  </si>
  <si>
    <t>413,750.00</t>
  </si>
  <si>
    <t>884,600.00</t>
  </si>
  <si>
    <t>1,191,087.35</t>
  </si>
  <si>
    <t>15,520,000.00</t>
  </si>
  <si>
    <t>400,200.00</t>
  </si>
  <si>
    <t>14,550,000.00</t>
  </si>
  <si>
    <t>888,500.00</t>
  </si>
  <si>
    <t>1,199,371.59</t>
  </si>
  <si>
    <t>75,150.00</t>
  </si>
  <si>
    <t>198,530.30</t>
  </si>
  <si>
    <t>1,017,871.39</t>
  </si>
  <si>
    <t>306,775.00</t>
  </si>
  <si>
    <t>3,999,926.45</t>
  </si>
  <si>
    <t>167,600.00</t>
  </si>
  <si>
    <t>9,708,000.00</t>
  </si>
  <si>
    <t>175,650.00</t>
  </si>
  <si>
    <t>74,500.00</t>
  </si>
  <si>
    <t>1,210,822.80</t>
  </si>
  <si>
    <t>131,850.00</t>
  </si>
  <si>
    <t>179,807.25</t>
  </si>
  <si>
    <t>609,306.00</t>
  </si>
  <si>
    <t>222,270.00</t>
  </si>
  <si>
    <t>1,916,720.00</t>
  </si>
  <si>
    <t>706,000.00</t>
  </si>
  <si>
    <t>270,900.00</t>
  </si>
  <si>
    <t>1,109,117.50</t>
  </si>
  <si>
    <t>499,165.28</t>
  </si>
  <si>
    <t>882,376.43</t>
  </si>
  <si>
    <t>2,925,333.25</t>
  </si>
  <si>
    <t>1,251,190.00</t>
  </si>
  <si>
    <t>133,320.00</t>
  </si>
  <si>
    <t>2,726,757.11</t>
  </si>
  <si>
    <t>1,301,130.93</t>
  </si>
  <si>
    <t>4,499,286.82</t>
  </si>
  <si>
    <t>1,351,089.23</t>
  </si>
  <si>
    <t>406,000.00</t>
  </si>
  <si>
    <t>3,999,074.89</t>
  </si>
  <si>
    <t>18,345.00</t>
  </si>
  <si>
    <t>4,483,457.67</t>
  </si>
  <si>
    <t>1,399,403.84</t>
  </si>
  <si>
    <t>2,895,902.33</t>
  </si>
  <si>
    <t>1,701,876.47</t>
  </si>
  <si>
    <t>13,100,000.00</t>
  </si>
  <si>
    <t>209,350.00</t>
  </si>
  <si>
    <t>1,922,000.00</t>
  </si>
  <si>
    <t>312,703.71</t>
  </si>
  <si>
    <t>414,720.00</t>
  </si>
  <si>
    <t>666,000.00</t>
  </si>
  <si>
    <t>35,000,000.00</t>
  </si>
  <si>
    <t>1,349,478.73</t>
  </si>
  <si>
    <t>83,890.60</t>
  </si>
  <si>
    <t>4,917,850.31</t>
  </si>
  <si>
    <t>226,723.00</t>
  </si>
  <si>
    <t>11,529,050.00</t>
  </si>
  <si>
    <t>70,000,000.00</t>
  </si>
  <si>
    <t>904,370.00</t>
  </si>
  <si>
    <t>166,345.82</t>
  </si>
  <si>
    <t>1,939,800.00</t>
  </si>
  <si>
    <t>5,463,040.00</t>
  </si>
  <si>
    <t>1,204,355.00</t>
  </si>
  <si>
    <t>7,142,000.00</t>
  </si>
  <si>
    <t>43,920,000.00</t>
  </si>
  <si>
    <t>199,916.69</t>
  </si>
  <si>
    <t>1,474,315.00</t>
  </si>
  <si>
    <t>95,400.00</t>
  </si>
  <si>
    <t>78,630.00</t>
  </si>
  <si>
    <t>1,143,595.00</t>
  </si>
  <si>
    <t>150,000,000.00</t>
  </si>
  <si>
    <t>26,850,000.00</t>
  </si>
  <si>
    <t>1,065,256.00</t>
  </si>
  <si>
    <t>114,053.60</t>
  </si>
  <si>
    <t>539,510.00</t>
  </si>
  <si>
    <t>1,549,751.34</t>
  </si>
  <si>
    <t>479,060.00</t>
  </si>
  <si>
    <t>3,680,849.58</t>
  </si>
  <si>
    <t>92,311.47</t>
  </si>
  <si>
    <t>641,000.00</t>
  </si>
  <si>
    <t>28,324.98</t>
  </si>
  <si>
    <t>1,332,110.00</t>
  </si>
  <si>
    <t>1,850,100.00</t>
  </si>
  <si>
    <t>25,535.00</t>
  </si>
  <si>
    <t>11,476,792.14</t>
  </si>
  <si>
    <t>998,529.88</t>
  </si>
  <si>
    <t>1,868,815.98</t>
  </si>
  <si>
    <t>388,740.00</t>
  </si>
  <si>
    <t>7,073,000.00</t>
  </si>
  <si>
    <t>2,743,400.00</t>
  </si>
  <si>
    <t>1,296,956.26</t>
  </si>
  <si>
    <t>2,940,000.00</t>
  </si>
  <si>
    <t>8,933,165.00</t>
  </si>
  <si>
    <t>3,980,000.00</t>
  </si>
  <si>
    <t>5,425,000.00</t>
  </si>
  <si>
    <t>9,527,832.00</t>
  </si>
  <si>
    <t>994,542.04</t>
  </si>
  <si>
    <t>965,025.17</t>
  </si>
  <si>
    <t>1,028,677.69</t>
  </si>
  <si>
    <t>1,549,696.00</t>
  </si>
  <si>
    <t>1,128,793.50</t>
  </si>
  <si>
    <t>1,268,545.28</t>
  </si>
  <si>
    <t>1,190,365.00</t>
  </si>
  <si>
    <t>5,307,000.00</t>
  </si>
  <si>
    <t>2,097,710.66</t>
  </si>
  <si>
    <t>1,465,899.00</t>
  </si>
  <si>
    <t>362,758.88</t>
  </si>
  <si>
    <t>1,844,564.99</t>
  </si>
  <si>
    <t>1,650,680.91</t>
  </si>
  <si>
    <t>1,112,792.63</t>
  </si>
  <si>
    <t>336,335.74</t>
  </si>
  <si>
    <t>426,043.28</t>
  </si>
  <si>
    <t>1,498,000.00</t>
  </si>
  <si>
    <t>300,450.65</t>
  </si>
  <si>
    <t>4,897,600.00</t>
  </si>
  <si>
    <t>4,397,669.40</t>
  </si>
  <si>
    <t>2,855,325.00</t>
  </si>
  <si>
    <t>3,259,227.00</t>
  </si>
  <si>
    <t>978,317.44</t>
  </si>
  <si>
    <t>773,538.94</t>
  </si>
  <si>
    <t>1,290,346.60</t>
  </si>
  <si>
    <t>999,477.44</t>
  </si>
  <si>
    <t>19,799,999.50</t>
  </si>
  <si>
    <t>15,718,000.00</t>
  </si>
  <si>
    <t>157,820.00</t>
  </si>
  <si>
    <t>21,885,000.00</t>
  </si>
  <si>
    <t>6,239,336.90</t>
  </si>
  <si>
    <t>797,750.00</t>
  </si>
  <si>
    <t>4,433,877.00</t>
  </si>
  <si>
    <t>521,025.50</t>
  </si>
  <si>
    <t>2,399,665.89</t>
  </si>
  <si>
    <t>1,020,820.43</t>
  </si>
  <si>
    <t>299,005.05</t>
  </si>
  <si>
    <t>1,260,800.00</t>
  </si>
  <si>
    <t>9,200,000.00</t>
  </si>
  <si>
    <t>344,500.00</t>
  </si>
  <si>
    <t>2,097,666.92</t>
  </si>
  <si>
    <t>589,197.00</t>
  </si>
  <si>
    <t>2,636,440.70</t>
  </si>
  <si>
    <t>223,600.00</t>
  </si>
  <si>
    <t>285,455.00</t>
  </si>
  <si>
    <t>6,815,000.00</t>
  </si>
  <si>
    <t>144,398.00</t>
  </si>
  <si>
    <t>1,499,998.90</t>
  </si>
  <si>
    <t>10,936,904.80</t>
  </si>
  <si>
    <t>318,776.09</t>
  </si>
  <si>
    <t>2,579,215.74</t>
  </si>
  <si>
    <t>178,437.50</t>
  </si>
  <si>
    <t>9,568,110.00</t>
  </si>
  <si>
    <t>2,233,333.40</t>
  </si>
  <si>
    <t>1,960,000.00</t>
  </si>
  <si>
    <t>2,425,000.00</t>
  </si>
  <si>
    <t>1,067,792.25</t>
  </si>
  <si>
    <t>263,899.95</t>
  </si>
  <si>
    <t>3,866,220.00</t>
  </si>
  <si>
    <t>14,339,277.00</t>
  </si>
  <si>
    <t>2,827,475.26</t>
  </si>
  <si>
    <t>3,360,000.00</t>
  </si>
  <si>
    <t>67,680.00</t>
  </si>
  <si>
    <t>628,050.00</t>
  </si>
  <si>
    <t>4,772,500.00</t>
  </si>
  <si>
    <t>217,035.00</t>
  </si>
  <si>
    <t>3,315,500.00</t>
  </si>
  <si>
    <t>137,400.00</t>
  </si>
  <si>
    <t>3,004,542.00</t>
  </si>
  <si>
    <t>99,820.00</t>
  </si>
  <si>
    <t>1,192,000.00</t>
  </si>
  <si>
    <t>66,026.50</t>
  </si>
  <si>
    <t>663,530.00</t>
  </si>
  <si>
    <t>152,850.00</t>
  </si>
  <si>
    <t>472,200.00</t>
  </si>
  <si>
    <t>61,564.00</t>
  </si>
  <si>
    <t>381,990.00</t>
  </si>
  <si>
    <t>1,093,971.63</t>
  </si>
  <si>
    <t>7,863,000.00</t>
  </si>
  <si>
    <t>1,499,998.14</t>
  </si>
  <si>
    <t>2,999,449.91</t>
  </si>
  <si>
    <t>8,682,933.16</t>
  </si>
  <si>
    <t>1,199,584.67</t>
  </si>
  <si>
    <t>110,150.00</t>
  </si>
  <si>
    <t>1,204,000.00</t>
  </si>
  <si>
    <t>1,458,987.49</t>
  </si>
  <si>
    <t>1,975,268.00</t>
  </si>
  <si>
    <t>1,117,999.00</t>
  </si>
  <si>
    <t>104,743.00</t>
  </si>
  <si>
    <t>1,159,436.25</t>
  </si>
  <si>
    <t>130,465.00</t>
  </si>
  <si>
    <t>1,947,102.54</t>
  </si>
  <si>
    <t>1,948,454.28</t>
  </si>
  <si>
    <t>4,230,000.00</t>
  </si>
  <si>
    <t>1,968,674.22</t>
  </si>
  <si>
    <t>1,457,734.53</t>
  </si>
  <si>
    <t>470,160.00</t>
  </si>
  <si>
    <t>264,931.00</t>
  </si>
  <si>
    <t>3,175,000.00</t>
  </si>
  <si>
    <t>220,722.60</t>
  </si>
  <si>
    <t>107,018.48</t>
  </si>
  <si>
    <t>37,557,000.00</t>
  </si>
  <si>
    <t>1,559,250.00</t>
  </si>
  <si>
    <t>2,818,962.07</t>
  </si>
  <si>
    <t>7,999,822.50</t>
  </si>
  <si>
    <t>2,442,213.20</t>
  </si>
  <si>
    <t>6,995,054.08</t>
  </si>
  <si>
    <t>6,966,992.70</t>
  </si>
  <si>
    <t>348,000.00</t>
  </si>
  <si>
    <t>1,395,720.00</t>
  </si>
  <si>
    <t>1,945,113.61</t>
  </si>
  <si>
    <t>102,450.00</t>
  </si>
  <si>
    <t>2,302,000.00</t>
  </si>
  <si>
    <t>1,385,940.00</t>
  </si>
  <si>
    <t>12,934,996.85</t>
  </si>
  <si>
    <t>318,980.00</t>
  </si>
  <si>
    <t>1,998,650.00</t>
  </si>
  <si>
    <t>511,098.50</t>
  </si>
  <si>
    <t>20,622,794.98</t>
  </si>
  <si>
    <t>23,003,434.20</t>
  </si>
  <si>
    <t>620,100.00</t>
  </si>
  <si>
    <t>226,440.00</t>
  </si>
  <si>
    <t>3,817,000.00</t>
  </si>
  <si>
    <t>3,113,577.00</t>
  </si>
  <si>
    <t>17,651,000.00</t>
  </si>
  <si>
    <t>895,854.76</t>
  </si>
  <si>
    <t>1,981,700.00</t>
  </si>
  <si>
    <t>764,525.00</t>
  </si>
  <si>
    <t>103,565.00</t>
  </si>
  <si>
    <t>1,506,000.00</t>
  </si>
  <si>
    <t>9,302,000.00</t>
  </si>
  <si>
    <t>15,200.00</t>
  </si>
  <si>
    <t>163,787.00</t>
  </si>
  <si>
    <t>1,018,800.00</t>
  </si>
  <si>
    <t>816,856.00</t>
  </si>
  <si>
    <t>1,136,373.30</t>
  </si>
  <si>
    <t>26,969,829.00</t>
  </si>
  <si>
    <t>29,700,000.00</t>
  </si>
  <si>
    <t>11,342,903.67</t>
  </si>
  <si>
    <t>1,580,900.00</t>
  </si>
  <si>
    <t>2,969,778.47</t>
  </si>
  <si>
    <t>1,565,500.00</t>
  </si>
  <si>
    <t>535,877.00</t>
  </si>
  <si>
    <t>1,182,477.00</t>
  </si>
  <si>
    <t>3,440,615.06</t>
  </si>
  <si>
    <t>594,626.82</t>
  </si>
  <si>
    <t>115,710.00</t>
  </si>
  <si>
    <t>328,437.50</t>
  </si>
  <si>
    <t>833,530.00</t>
  </si>
  <si>
    <t>2,332,555.25</t>
  </si>
  <si>
    <t>2,499,186.85</t>
  </si>
  <si>
    <t>594,529.69</t>
  </si>
  <si>
    <t>9,481,464.26</t>
  </si>
  <si>
    <t>4,002,624.27</t>
  </si>
  <si>
    <t>466,281.98</t>
  </si>
  <si>
    <t>278,437.50</t>
  </si>
  <si>
    <t>12,550,000.00</t>
  </si>
  <si>
    <t>7,178,000.00</t>
  </si>
  <si>
    <t>103,020.00</t>
  </si>
  <si>
    <t>1,991,543.43</t>
  </si>
  <si>
    <t>826,068.08</t>
  </si>
  <si>
    <t>2,089,341.90</t>
  </si>
  <si>
    <t>1,298,587.77</t>
  </si>
  <si>
    <t>995,416.27</t>
  </si>
  <si>
    <t>1,489,429.78</t>
  </si>
  <si>
    <t>10,570,735.00</t>
  </si>
  <si>
    <t>824,000.00</t>
  </si>
  <si>
    <t>4,665,840.00</t>
  </si>
  <si>
    <t>799,900.00</t>
  </si>
  <si>
    <t>1,094,201.17</t>
  </si>
  <si>
    <t>799,300.00</t>
  </si>
  <si>
    <t>175,962.86</t>
  </si>
  <si>
    <t>1,189,060.00</t>
  </si>
  <si>
    <t>7,157,627.58</t>
  </si>
  <si>
    <t>525,745.00</t>
  </si>
  <si>
    <t>1,340,905.00</t>
  </si>
  <si>
    <t>2,957,125.00</t>
  </si>
  <si>
    <t>3,498,851.70</t>
  </si>
  <si>
    <t>1,199,999.99</t>
  </si>
  <si>
    <t>17,999,999.60</t>
  </si>
  <si>
    <t>691,390.00</t>
  </si>
  <si>
    <t>4,165,060.00</t>
  </si>
  <si>
    <t>580,229.00</t>
  </si>
  <si>
    <t>2,998,042.27</t>
  </si>
  <si>
    <t>2,251,590.60</t>
  </si>
  <si>
    <t>159,043.00</t>
  </si>
  <si>
    <t>2,199,840.10</t>
  </si>
  <si>
    <t>1,564,900.00</t>
  </si>
  <si>
    <t>12,323,292.47</t>
  </si>
  <si>
    <t>12,749,293.33</t>
  </si>
  <si>
    <t>2,321,536.00</t>
  </si>
  <si>
    <t>68,578.53</t>
  </si>
  <si>
    <t>3,002,671.00</t>
  </si>
  <si>
    <t>32,499,008.49</t>
  </si>
  <si>
    <t>789,170.00</t>
  </si>
  <si>
    <t>3,489,088.72</t>
  </si>
  <si>
    <t>599,940.00</t>
  </si>
  <si>
    <t>115,379.10</t>
  </si>
  <si>
    <t>291,565.00</t>
  </si>
  <si>
    <t>1,348,536.11</t>
  </si>
  <si>
    <t>568,500.00</t>
  </si>
  <si>
    <t>279,130.00</t>
  </si>
  <si>
    <t>72,340.00</t>
  </si>
  <si>
    <t>2,509,000.00</t>
  </si>
  <si>
    <t>1,694,323.71</t>
  </si>
  <si>
    <t>581,300.00</t>
  </si>
  <si>
    <t>249,103.60</t>
  </si>
  <si>
    <t>2,520,000.00</t>
  </si>
  <si>
    <t>555,240.00</t>
  </si>
  <si>
    <t>7,313,160.00</t>
  </si>
  <si>
    <t>2,985,404.17</t>
  </si>
  <si>
    <t>4,017,000.00</t>
  </si>
  <si>
    <t>2,999,000.00</t>
  </si>
  <si>
    <t>274,193.17</t>
  </si>
  <si>
    <t>607,085.00</t>
  </si>
  <si>
    <t>242,040.68</t>
  </si>
  <si>
    <t>1,848,658.35</t>
  </si>
  <si>
    <t>2,138,840.00</t>
  </si>
  <si>
    <t>456,738.06</t>
  </si>
  <si>
    <t>157,996.00</t>
  </si>
  <si>
    <t>63,980.00</t>
  </si>
  <si>
    <t>105,000,000.00</t>
  </si>
  <si>
    <t>62,290,000.00</t>
  </si>
  <si>
    <t>1,199,890.00</t>
  </si>
  <si>
    <t>354,683.86</t>
  </si>
  <si>
    <t>3,972,800.00</t>
  </si>
  <si>
    <t>24,706,040.00</t>
  </si>
  <si>
    <t>152,771.00</t>
  </si>
  <si>
    <t>534,582.66</t>
  </si>
  <si>
    <t>333,270.00</t>
  </si>
  <si>
    <t>5,802,519.00</t>
  </si>
  <si>
    <t>90,770.00</t>
  </si>
  <si>
    <t>2,324,550.00</t>
  </si>
  <si>
    <t>1,396,222.39</t>
  </si>
  <si>
    <t>581,930.00</t>
  </si>
  <si>
    <t>56,735.00</t>
  </si>
  <si>
    <t>980,960.00</t>
  </si>
  <si>
    <t>99,712.14</t>
  </si>
  <si>
    <t>430,200.00</t>
  </si>
  <si>
    <t>365,301.00</t>
  </si>
  <si>
    <t>1,748,591.30</t>
  </si>
  <si>
    <t>202,040.00</t>
  </si>
  <si>
    <t>370,330.00</t>
  </si>
  <si>
    <t>1,430,873.30</t>
  </si>
  <si>
    <t>1,994,763.00</t>
  </si>
  <si>
    <t>582,561.00</t>
  </si>
  <si>
    <t>1,997,000.00</t>
  </si>
  <si>
    <t>280,800.00</t>
  </si>
  <si>
    <t>2,831,736.40</t>
  </si>
  <si>
    <t>260,377.30</t>
  </si>
  <si>
    <t>99,565.00</t>
  </si>
  <si>
    <t>19,405,269.32</t>
  </si>
  <si>
    <t>53,724.00</t>
  </si>
  <si>
    <t>999,921.56</t>
  </si>
  <si>
    <t>413,869.00</t>
  </si>
  <si>
    <t>499,987.69</t>
  </si>
  <si>
    <t>1,055,452.00</t>
  </si>
  <si>
    <t>358,950.00</t>
  </si>
  <si>
    <t>1,081,000.00</t>
  </si>
  <si>
    <t>149,900.00</t>
  </si>
  <si>
    <t>79,062.00</t>
  </si>
  <si>
    <t>4,086,774.09</t>
  </si>
  <si>
    <t>1,183,280.00</t>
  </si>
  <si>
    <t>217,723.55</t>
  </si>
  <si>
    <t>1,804,101.90</t>
  </si>
  <si>
    <t>181,200.00</t>
  </si>
  <si>
    <t>219,918.00</t>
  </si>
  <si>
    <t>762,160.00</t>
  </si>
  <si>
    <t>995,280.00</t>
  </si>
  <si>
    <t>1,330,000.00</t>
  </si>
  <si>
    <t>599,545.01</t>
  </si>
  <si>
    <t>4,363,016.40</t>
  </si>
  <si>
    <t>819,000.00</t>
  </si>
  <si>
    <t>6,184,719.94</t>
  </si>
  <si>
    <t>157,930.00</t>
  </si>
  <si>
    <t>1,263,893.90</t>
  </si>
  <si>
    <t>130,660.00</t>
  </si>
  <si>
    <t>645,000.68</t>
  </si>
  <si>
    <t>2,035,000.00</t>
  </si>
  <si>
    <t>1,500,505.00</t>
  </si>
  <si>
    <t>9,131,847.06</t>
  </si>
  <si>
    <t>1,495,800.00</t>
  </si>
  <si>
    <t>3,942,591.59</t>
  </si>
  <si>
    <t>425,000.00</t>
  </si>
  <si>
    <t>4,122,637.22</t>
  </si>
  <si>
    <t>2,749,621.26</t>
  </si>
  <si>
    <t>29,652,177.60</t>
  </si>
  <si>
    <t>1,697,918.12</t>
  </si>
  <si>
    <t>7,085,402.80</t>
  </si>
  <si>
    <t>4,888,383.44</t>
  </si>
  <si>
    <t>312,793.59</t>
  </si>
  <si>
    <t>496,084.27</t>
  </si>
  <si>
    <t>5,198,812.02</t>
  </si>
  <si>
    <t>411,412.68</t>
  </si>
  <si>
    <t>6,063,371.36</t>
  </si>
  <si>
    <t>1,496,670.00</t>
  </si>
  <si>
    <t>2,499,624.70</t>
  </si>
  <si>
    <t>1,028,623.64</t>
  </si>
  <si>
    <t>31,060.00</t>
  </si>
  <si>
    <t>1,025,826.00</t>
  </si>
  <si>
    <t>1,498,900.00</t>
  </si>
  <si>
    <t>51,407,072.00</t>
  </si>
  <si>
    <t>110,670.00</t>
  </si>
  <si>
    <t>23,636,115.00</t>
  </si>
  <si>
    <t>1,051,020.14</t>
  </si>
  <si>
    <t>3,454,798.60</t>
  </si>
  <si>
    <t>1,848,653.97</t>
  </si>
  <si>
    <t>4,199,000.00</t>
  </si>
  <si>
    <t>43,424,758.68</t>
  </si>
  <si>
    <t>2,938,898.01</t>
  </si>
  <si>
    <t>44,000.00</t>
  </si>
  <si>
    <t>693,540.00</t>
  </si>
  <si>
    <t>608,334.96</t>
  </si>
  <si>
    <t>1,497,422.63</t>
  </si>
  <si>
    <t>1,298,929.06</t>
  </si>
  <si>
    <t>1,545,794.64</t>
  </si>
  <si>
    <t>1,970,300.00</t>
  </si>
  <si>
    <t>464,187.72</t>
  </si>
  <si>
    <t>301,284.00</t>
  </si>
  <si>
    <t>3,106,400.00</t>
  </si>
  <si>
    <t>1,723,784.83</t>
  </si>
  <si>
    <t>5,833,762.46</t>
  </si>
  <si>
    <t>28,400.00</t>
  </si>
  <si>
    <t>428,653.17</t>
  </si>
  <si>
    <t>3,530,000.00</t>
  </si>
  <si>
    <t>2,814,717.93</t>
  </si>
  <si>
    <t>1,499,999.56</t>
  </si>
  <si>
    <t>1,238,050.00</t>
  </si>
  <si>
    <t>1,584,237.50</t>
  </si>
  <si>
    <t>133,600.00</t>
  </si>
  <si>
    <t>209,870.00</t>
  </si>
  <si>
    <t>9,999,962.33</t>
  </si>
  <si>
    <t>2,722,050.00</t>
  </si>
  <si>
    <t>2,623,000.00</t>
  </si>
  <si>
    <t>371,467.64</t>
  </si>
  <si>
    <t>1,113,310.00</t>
  </si>
  <si>
    <t>1,499,158.45</t>
  </si>
  <si>
    <t>232,217.53</t>
  </si>
  <si>
    <t>235,501.40</t>
  </si>
  <si>
    <t>1,715,000.00</t>
  </si>
  <si>
    <t>999,998.00</t>
  </si>
  <si>
    <t>272,944.90</t>
  </si>
  <si>
    <t>1,394,459.68</t>
  </si>
  <si>
    <t>1,732,267.50</t>
  </si>
  <si>
    <t>718,800.00</t>
  </si>
  <si>
    <t>735,747.89</t>
  </si>
  <si>
    <t>4,382,010.55</t>
  </si>
  <si>
    <t>364,816.00</t>
  </si>
  <si>
    <t>4,845,937.96</t>
  </si>
  <si>
    <t>135,380.00</t>
  </si>
  <si>
    <t>2,766,150.00</t>
  </si>
  <si>
    <t>4,498,788.34</t>
  </si>
  <si>
    <t>186,250.00</t>
  </si>
  <si>
    <t>2,401,778.06</t>
  </si>
  <si>
    <t>429,409.65</t>
  </si>
  <si>
    <t>317,550.00</t>
  </si>
  <si>
    <t>4,208,833.13</t>
  </si>
  <si>
    <t>4,598,176.50</t>
  </si>
  <si>
    <t>155,600.00</t>
  </si>
  <si>
    <t>4,470,000.00</t>
  </si>
  <si>
    <t>199,030.00</t>
  </si>
  <si>
    <t>1,796,900.00</t>
  </si>
  <si>
    <t>547,200.00</t>
  </si>
  <si>
    <t>668,731.35</t>
  </si>
  <si>
    <t>424,000.00</t>
  </si>
  <si>
    <t>4,247,926.05</t>
  </si>
  <si>
    <t>12,468,593.75</t>
  </si>
  <si>
    <t>974,864.23</t>
  </si>
  <si>
    <t>1,303,473.65</t>
  </si>
  <si>
    <t>14,232,082.60</t>
  </si>
  <si>
    <t>5,800,000.00</t>
  </si>
  <si>
    <t>117,068.00</t>
  </si>
  <si>
    <t>629,675.00</t>
  </si>
  <si>
    <t>383,229.00</t>
  </si>
  <si>
    <t>262,800.00</t>
  </si>
  <si>
    <t>3,714,000.00</t>
  </si>
  <si>
    <t>556,000.00</t>
  </si>
  <si>
    <t>7,272,996.07</t>
  </si>
  <si>
    <t>516,800.00</t>
  </si>
  <si>
    <t>18,900,000.00</t>
  </si>
  <si>
    <t>188,010.00</t>
  </si>
  <si>
    <t>299,954.54</t>
  </si>
  <si>
    <t>9,799,997.65</t>
  </si>
  <si>
    <t>4,999,999.97</t>
  </si>
  <si>
    <t>30,500.00</t>
  </si>
  <si>
    <t>6,623,000.00</t>
  </si>
  <si>
    <t>5,747,603.00</t>
  </si>
  <si>
    <t>4,270,000.00</t>
  </si>
  <si>
    <t>995,621.05</t>
  </si>
  <si>
    <t>3,541,000.00</t>
  </si>
  <si>
    <t>133,400.00</t>
  </si>
  <si>
    <t>1,963,966.27</t>
  </si>
  <si>
    <t>550,883.40</t>
  </si>
  <si>
    <t>196,374.00</t>
  </si>
  <si>
    <t>7,038,348.66</t>
  </si>
  <si>
    <t>2,880,000.00</t>
  </si>
  <si>
    <t>7,660,000.00</t>
  </si>
  <si>
    <t>294,500.00</t>
  </si>
  <si>
    <t>269,300.00</t>
  </si>
  <si>
    <t>999,986.98</t>
  </si>
  <si>
    <t>282,857.70</t>
  </si>
  <si>
    <t>4,980,074.94</t>
  </si>
  <si>
    <t>2,768,702.15</t>
  </si>
  <si>
    <t>5,110,000.00</t>
  </si>
  <si>
    <t>7,400,000.00</t>
  </si>
  <si>
    <t>1,509,800.00</t>
  </si>
  <si>
    <t>1,051,950.01</t>
  </si>
  <si>
    <t>512,260.00</t>
  </si>
  <si>
    <t>3,958,247.40</t>
  </si>
  <si>
    <t>1,377,800.00</t>
  </si>
  <si>
    <t>868,280.00</t>
  </si>
  <si>
    <t>25,640.00</t>
  </si>
  <si>
    <t>1,372,476.25</t>
  </si>
  <si>
    <t>2,972,323.98</t>
  </si>
  <si>
    <t>622,200.00</t>
  </si>
  <si>
    <t>527,137.40</t>
  </si>
  <si>
    <t>2,176,130.00</t>
  </si>
  <si>
    <t>33,091,200.00</t>
  </si>
  <si>
    <t>505,200.00</t>
  </si>
  <si>
    <t>775,556.20</t>
  </si>
  <si>
    <t>4,805,000.00</t>
  </si>
  <si>
    <t>1,756,506.00</t>
  </si>
  <si>
    <t>1,598,000.00</t>
  </si>
  <si>
    <t>1,356,724.00</t>
  </si>
  <si>
    <t>706,840.00</t>
  </si>
  <si>
    <t>2,048,000.00</t>
  </si>
  <si>
    <t>376,750.00</t>
  </si>
  <si>
    <t>364,129.40</t>
  </si>
  <si>
    <t>3,915,000.00</t>
  </si>
  <si>
    <t>284,620.00</t>
  </si>
  <si>
    <t>5,044,000.00</t>
  </si>
  <si>
    <t>2,329,000.00</t>
  </si>
  <si>
    <t>2,177,575.00</t>
  </si>
  <si>
    <t>377,000.00</t>
  </si>
  <si>
    <t>383,335.00</t>
  </si>
  <si>
    <t>4,999,974.00</t>
  </si>
  <si>
    <t>2,549,000.00</t>
  </si>
  <si>
    <t>1,836,890.00</t>
  </si>
  <si>
    <t>1,102,000.00</t>
  </si>
  <si>
    <t>1,341,106.10</t>
  </si>
  <si>
    <t>1,134,621.21</t>
  </si>
  <si>
    <t>112,050.00</t>
  </si>
  <si>
    <t>963,600.00</t>
  </si>
  <si>
    <t>68,850.00</t>
  </si>
  <si>
    <t>57,150.00</t>
  </si>
  <si>
    <t>54,900.00</t>
  </si>
  <si>
    <t>1,457,755.00</t>
  </si>
  <si>
    <t>2,420,000.00</t>
  </si>
  <si>
    <t>1,100,357.72</t>
  </si>
  <si>
    <t>10,473,563.63</t>
  </si>
  <si>
    <t>4,670,000.00</t>
  </si>
  <si>
    <t>182,699.50</t>
  </si>
  <si>
    <t>244,342.00</t>
  </si>
  <si>
    <t>13,046,971.98</t>
  </si>
  <si>
    <t>60,960,544.86</t>
  </si>
  <si>
    <t>6,031,900.00</t>
  </si>
  <si>
    <t>16,638,749.91</t>
  </si>
  <si>
    <t>21,171,978.58</t>
  </si>
  <si>
    <t>14,160,532.23</t>
  </si>
  <si>
    <t>276,950.00</t>
  </si>
  <si>
    <t>6,570,000.00</t>
  </si>
  <si>
    <t>9,516,037.02</t>
  </si>
  <si>
    <t>2,080,437.84</t>
  </si>
  <si>
    <t>2,473,248.24</t>
  </si>
  <si>
    <t>22,568,960.60</t>
  </si>
  <si>
    <t>93,150.00</t>
  </si>
  <si>
    <t>255,600.00</t>
  </si>
  <si>
    <t>2,373,000.00</t>
  </si>
  <si>
    <t>345,134.20</t>
  </si>
  <si>
    <t>1,999,990.00</t>
  </si>
  <si>
    <t>31,405,000.00</t>
  </si>
  <si>
    <t>1,299,949.88</t>
  </si>
  <si>
    <t>1,375,000.00</t>
  </si>
  <si>
    <t>1,998,000.00</t>
  </si>
  <si>
    <t>289,975.00</t>
  </si>
  <si>
    <t>215,100.00</t>
  </si>
  <si>
    <t>1,199,937.57</t>
  </si>
  <si>
    <t>4,211,385.79</t>
  </si>
  <si>
    <t>7,644,000.00</t>
  </si>
  <si>
    <t>2,960,000.00</t>
  </si>
  <si>
    <t>8,688,066.00</t>
  </si>
  <si>
    <t>15,853,442.30</t>
  </si>
  <si>
    <t>3,809,500.00</t>
  </si>
  <si>
    <t>2,326,000.00</t>
  </si>
  <si>
    <t>4,508,400.00</t>
  </si>
  <si>
    <t>2,914,084.81</t>
  </si>
  <si>
    <t>3,324,920.00</t>
  </si>
  <si>
    <t>728,000.00</t>
  </si>
  <si>
    <t>849,065.50</t>
  </si>
  <si>
    <t>235,358.01</t>
  </si>
  <si>
    <t>1,850,000.00</t>
  </si>
  <si>
    <t>1,586,100.00</t>
  </si>
  <si>
    <t>609,000.00</t>
  </si>
  <si>
    <t>9,144,052.50</t>
  </si>
  <si>
    <t>1,920,112.25</t>
  </si>
  <si>
    <t>16,940,579.58</t>
  </si>
  <si>
    <t>2,105,919.50</t>
  </si>
  <si>
    <t>1,499,989.80</t>
  </si>
  <si>
    <t>4,082,000.00</t>
  </si>
  <si>
    <t>1,379,550.00</t>
  </si>
  <si>
    <t>1,499,898.10</t>
  </si>
  <si>
    <t>21,089,524.00</t>
  </si>
  <si>
    <t>49,486,701.00</t>
  </si>
  <si>
    <t>5,436,308.07</t>
  </si>
  <si>
    <t>23,305,258.00</t>
  </si>
  <si>
    <t>4,171,475.00</t>
  </si>
  <si>
    <t>784,130.04</t>
  </si>
  <si>
    <t>874,143.20</t>
  </si>
  <si>
    <t>2,778,740.00</t>
  </si>
  <si>
    <t>1,986,115.77</t>
  </si>
  <si>
    <t>2,999,399.46</t>
  </si>
  <si>
    <t>1,560,000.00</t>
  </si>
  <si>
    <t>16,516,651.25</t>
  </si>
  <si>
    <t>5,926,424.00</t>
  </si>
  <si>
    <t>207,400.00</t>
  </si>
  <si>
    <t>22,400.00</t>
  </si>
  <si>
    <t>1,058,698.00</t>
  </si>
  <si>
    <t>49,600.00</t>
  </si>
  <si>
    <t>5,985,000.00</t>
  </si>
  <si>
    <t>1,352,768.00</t>
  </si>
  <si>
    <t>4,013,800.00</t>
  </si>
  <si>
    <t>13,997,015.31</t>
  </si>
  <si>
    <t>45,800.00</t>
  </si>
  <si>
    <t>96,800.00</t>
  </si>
  <si>
    <t>454,992.00</t>
  </si>
  <si>
    <t>246,450.00</t>
  </si>
  <si>
    <t>31,090.00</t>
  </si>
  <si>
    <t>144,690.00</t>
  </si>
  <si>
    <t>1,382,984.83</t>
  </si>
  <si>
    <t>15,133,810.98</t>
  </si>
  <si>
    <t>1,092,000.00</t>
  </si>
  <si>
    <t>1,669,096.00</t>
  </si>
  <si>
    <t>39,199,564.12</t>
  </si>
  <si>
    <t>9,899,937.83</t>
  </si>
  <si>
    <t>2,389,800.00</t>
  </si>
  <si>
    <t>1,123,907.00</t>
  </si>
  <si>
    <t>13,880,000.00</t>
  </si>
  <si>
    <t>24,972,288.00</t>
  </si>
  <si>
    <t>24,540,356.00</t>
  </si>
  <si>
    <t>104,200.00</t>
  </si>
  <si>
    <t>260,265.00</t>
  </si>
  <si>
    <t>213,600.00</t>
  </si>
  <si>
    <t>21,327.00</t>
  </si>
  <si>
    <t>889,150.00</t>
  </si>
  <si>
    <t>320,910.00</t>
  </si>
  <si>
    <t>1,105,000.00</t>
  </si>
  <si>
    <t>68,782.00</t>
  </si>
  <si>
    <t>3,271,330.00</t>
  </si>
  <si>
    <t>1,825,000.00</t>
  </si>
  <si>
    <t>39,757,120.00</t>
  </si>
  <si>
    <t>232,100.00</t>
  </si>
  <si>
    <t>2,730,320.30</t>
  </si>
  <si>
    <t>1,093,357.50</t>
  </si>
  <si>
    <t>3,499,997.40</t>
  </si>
  <si>
    <t>1,648,080.00</t>
  </si>
  <si>
    <t>1,963,773.72</t>
  </si>
  <si>
    <t>264,725.00</t>
  </si>
  <si>
    <t>4,887,241.63</t>
  </si>
  <si>
    <t>15,400.00</t>
  </si>
  <si>
    <t>1,750,195.00</t>
  </si>
  <si>
    <t>2,018,320.48</t>
  </si>
  <si>
    <t>4,100,000.00</t>
  </si>
  <si>
    <t>650,050.00</t>
  </si>
  <si>
    <t>88,191.99</t>
  </si>
  <si>
    <t>2,324,850.00</t>
  </si>
  <si>
    <t>9,829,370.00</t>
  </si>
  <si>
    <t>1,188,421.70</t>
  </si>
  <si>
    <t>3,744,000.00</t>
  </si>
  <si>
    <t>1,187,500.00</t>
  </si>
  <si>
    <t>11,196,359.42</t>
  </si>
  <si>
    <t>630,100.00</t>
  </si>
  <si>
    <t>2,974,711.54</t>
  </si>
  <si>
    <t>58,963,353.68</t>
  </si>
  <si>
    <t>3,968,728.53</t>
  </si>
  <si>
    <t>6,973,874.00</t>
  </si>
  <si>
    <t>2,499,886.30</t>
  </si>
  <si>
    <t>1,775,003.39</t>
  </si>
  <si>
    <t>4,762,725.00</t>
  </si>
  <si>
    <t>344,234.00</t>
  </si>
  <si>
    <t>9,596,206.74</t>
  </si>
  <si>
    <t>4,398,741.00</t>
  </si>
  <si>
    <t>1,499,607.19</t>
  </si>
  <si>
    <t>1,978,628.70</t>
  </si>
  <si>
    <t>1,576,652.32</t>
  </si>
  <si>
    <t>342,000.00</t>
  </si>
  <si>
    <t>12,999,204.36</t>
  </si>
  <si>
    <t>3,888,022.90</t>
  </si>
  <si>
    <t>3,510,000.00</t>
  </si>
  <si>
    <t>267,044.90</t>
  </si>
  <si>
    <t>137,240.00</t>
  </si>
  <si>
    <t>151,460.00</t>
  </si>
  <si>
    <t>1,499,840.00</t>
  </si>
  <si>
    <t>3,242,450.00</t>
  </si>
  <si>
    <t>2,055,000.00</t>
  </si>
  <si>
    <t>27,196,400.00</t>
  </si>
  <si>
    <t>415,730.00</t>
  </si>
  <si>
    <t>2,281,485.00</t>
  </si>
  <si>
    <t>95,790.00</t>
  </si>
  <si>
    <t>177,508.00</t>
  </si>
  <si>
    <t>169,997.00</t>
  </si>
  <si>
    <t>228,376.00</t>
  </si>
  <si>
    <t>525,860.21</t>
  </si>
  <si>
    <t>303,800.00</t>
  </si>
  <si>
    <t>1,914,091.51</t>
  </si>
  <si>
    <t>575,772.00</t>
  </si>
  <si>
    <t>998,250.00</t>
  </si>
  <si>
    <t>612,739.33</t>
  </si>
  <si>
    <t>130,719,563.80</t>
  </si>
  <si>
    <t>8,083,370.49</t>
  </si>
  <si>
    <t>4,704,973.69</t>
  </si>
  <si>
    <t>2,138,521.70</t>
  </si>
  <si>
    <t>865,300.00</t>
  </si>
  <si>
    <t>3,783,681.58</t>
  </si>
  <si>
    <t>284,168.72</t>
  </si>
  <si>
    <t>4,991,829.97</t>
  </si>
  <si>
    <t>2,811,543.87</t>
  </si>
  <si>
    <t>33,720,309.02</t>
  </si>
  <si>
    <t>125,585,000.00</t>
  </si>
  <si>
    <t>1,093,000.00</t>
  </si>
  <si>
    <t>404,550.00</t>
  </si>
  <si>
    <t>1,212,500.00</t>
  </si>
  <si>
    <t>11,563,239.35</t>
  </si>
  <si>
    <t>2,257,202.50</t>
  </si>
  <si>
    <t>3,254,599.16</t>
  </si>
  <si>
    <t>1,199,256.88</t>
  </si>
  <si>
    <t>1,957,698.75</t>
  </si>
  <si>
    <t>1,999,847.12</t>
  </si>
  <si>
    <t>241,860.78</t>
  </si>
  <si>
    <t>38,117,500.00</t>
  </si>
  <si>
    <t>2,194,653.47</t>
  </si>
  <si>
    <t>10,788,064.49</t>
  </si>
  <si>
    <t>1,200,300.00</t>
  </si>
  <si>
    <t>858,000.00</t>
  </si>
  <si>
    <t>1,291,486.07</t>
  </si>
  <si>
    <t>1,923,223.13</t>
  </si>
  <si>
    <t>4,888,206.03</t>
  </si>
  <si>
    <t>1,918,150.00</t>
  </si>
  <si>
    <t>5,082,000.00</t>
  </si>
  <si>
    <t>194,184.00</t>
  </si>
  <si>
    <t>6,255,165.71</t>
  </si>
  <si>
    <t>247,517.81</t>
  </si>
  <si>
    <t>2,897,996.25</t>
  </si>
  <si>
    <t>1,260,043.00</t>
  </si>
  <si>
    <t>1,917,225.00</t>
  </si>
  <si>
    <t>3,270,557.39</t>
  </si>
  <si>
    <t>10,498,598.40</t>
  </si>
  <si>
    <t>399,250.00</t>
  </si>
  <si>
    <t>352,866.15</t>
  </si>
  <si>
    <t>1,967,949.40</t>
  </si>
  <si>
    <t>5,121,000.00</t>
  </si>
  <si>
    <t>123,183.64</t>
  </si>
  <si>
    <t>5,700,000.00</t>
  </si>
  <si>
    <t>1,817,983.45</t>
  </si>
  <si>
    <t>268,482.00</t>
  </si>
  <si>
    <t>445,290.16</t>
  </si>
  <si>
    <t>324,482.00</t>
  </si>
  <si>
    <t>2,354,000.00</t>
  </si>
  <si>
    <t>2,045,000.00</t>
  </si>
  <si>
    <t>2,488,260.93</t>
  </si>
  <si>
    <t>3,410,400.00</t>
  </si>
  <si>
    <t>1,204,958.00</t>
  </si>
  <si>
    <t>1,553,600.00</t>
  </si>
  <si>
    <t>5,225,200.00</t>
  </si>
  <si>
    <t>244,885.00</t>
  </si>
  <si>
    <t>994,800.00</t>
  </si>
  <si>
    <t>997,043.00</t>
  </si>
  <si>
    <t>401,308.00</t>
  </si>
  <si>
    <t>107,394,000.00</t>
  </si>
  <si>
    <t>780,703.80</t>
  </si>
  <si>
    <t>919,352.00</t>
  </si>
  <si>
    <t>3,220,000.00</t>
  </si>
  <si>
    <t>1,327,039.77</t>
  </si>
  <si>
    <t>3,109,241.00</t>
  </si>
  <si>
    <t>89,999,547.61</t>
  </si>
  <si>
    <t>9,975,000.00</t>
  </si>
  <si>
    <t>1,399,250.00</t>
  </si>
  <si>
    <t>368,936.00</t>
  </si>
  <si>
    <t>6,738,912.59</t>
  </si>
  <si>
    <t>2,317,495.00</t>
  </si>
  <si>
    <t>1,031,031.00</t>
  </si>
  <si>
    <t>90,385.00</t>
  </si>
  <si>
    <t>2,353,026.23</t>
  </si>
  <si>
    <t>4,850,000.00</t>
  </si>
  <si>
    <t>1,544,581.52</t>
  </si>
  <si>
    <t>1,940,000.00</t>
  </si>
  <si>
    <t>2,300,723.85</t>
  </si>
  <si>
    <t>1,183,550.88</t>
  </si>
  <si>
    <t>17,875,750.00</t>
  </si>
  <si>
    <t>998,537.50</t>
  </si>
  <si>
    <t>24,768,230.00</t>
  </si>
  <si>
    <t>49,400.00</t>
  </si>
  <si>
    <t>332,144.55</t>
  </si>
  <si>
    <t>1,485,086.16</t>
  </si>
  <si>
    <t>253,458.00</t>
  </si>
  <si>
    <t>5,524,400.00</t>
  </si>
  <si>
    <t>5,300,000.00</t>
  </si>
  <si>
    <t>2,897,000.00</t>
  </si>
  <si>
    <t>642,000.00</t>
  </si>
  <si>
    <t>172,664.00</t>
  </si>
  <si>
    <t>730,230.00</t>
  </si>
  <si>
    <t>9,995,922.70</t>
  </si>
  <si>
    <t>1,345,500.00</t>
  </si>
  <si>
    <t>15,340,000.00</t>
  </si>
  <si>
    <t>1,999,983.38</t>
  </si>
  <si>
    <t>307,852.00</t>
  </si>
  <si>
    <t>1,896,000.00</t>
  </si>
  <si>
    <t>525,523.10</t>
  </si>
  <si>
    <t>6,191,996.24</t>
  </si>
  <si>
    <t>643,500.00</t>
  </si>
  <si>
    <t>997,900.00</t>
  </si>
  <si>
    <t>2,999,810.81</t>
  </si>
  <si>
    <t>253,126.84</t>
  </si>
  <si>
    <t>2,979,999.49</t>
  </si>
  <si>
    <t>1,499,999.81</t>
  </si>
  <si>
    <t>2,479,000.00</t>
  </si>
  <si>
    <t>3,391,867.56</t>
  </si>
  <si>
    <t>2,998,122.51</t>
  </si>
  <si>
    <t>283,224.00</t>
  </si>
  <si>
    <t>6,725,600.00</t>
  </si>
  <si>
    <t>199,792.49</t>
  </si>
  <si>
    <t>139,334.00</t>
  </si>
  <si>
    <t>1,459,423.87</t>
  </si>
  <si>
    <t>1,625,400.00</t>
  </si>
  <si>
    <t>330,668.50</t>
  </si>
  <si>
    <t>2,296,939.00</t>
  </si>
  <si>
    <t>11,400,000.00</t>
  </si>
  <si>
    <t>19,999,918.37</t>
  </si>
  <si>
    <t>3,601,068.00</t>
  </si>
  <si>
    <t>2,332,750.00</t>
  </si>
  <si>
    <t>575,436.41</t>
  </si>
  <si>
    <t>4,600,800.00</t>
  </si>
  <si>
    <t>30,691,985.00</t>
  </si>
  <si>
    <t>1,461,679.39</t>
  </si>
  <si>
    <t>156,900,000.00</t>
  </si>
  <si>
    <t>1,271,204.05</t>
  </si>
  <si>
    <t>1,545,939.00</t>
  </si>
  <si>
    <t>505,990.00</t>
  </si>
  <si>
    <t>540,258.11</t>
  </si>
  <si>
    <t>149,936.88</t>
  </si>
  <si>
    <t>3,440,360.00</t>
  </si>
  <si>
    <t>8,947,831.00</t>
  </si>
  <si>
    <t>136,800.00</t>
  </si>
  <si>
    <t>1,108,452.00</t>
  </si>
  <si>
    <t>11,804,598.70</t>
  </si>
  <si>
    <t>1,225,620.00</t>
  </si>
  <si>
    <t>14,463,568.75</t>
  </si>
  <si>
    <t>727,162.00</t>
  </si>
  <si>
    <t>1,597,370.00</t>
  </si>
  <si>
    <t>500,400.00</t>
  </si>
  <si>
    <t>834,758.28</t>
  </si>
  <si>
    <t>25,985,174.42</t>
  </si>
  <si>
    <t>1,498,727.95</t>
  </si>
  <si>
    <t>1,573,379.20</t>
  </si>
  <si>
    <t>8,497,459.82</t>
  </si>
  <si>
    <t>1,499,286.02</t>
  </si>
  <si>
    <t>16,125.00</t>
  </si>
  <si>
    <t>3,661,907.28</t>
  </si>
  <si>
    <t>1,837,369.14</t>
  </si>
  <si>
    <t>2,495,186.18</t>
  </si>
  <si>
    <t>14,842,260.50</t>
  </si>
  <si>
    <t>231,391.60</t>
  </si>
  <si>
    <t>79,150.00</t>
  </si>
  <si>
    <t>3,356,650.42</t>
  </si>
  <si>
    <t>3,292,500.00</t>
  </si>
  <si>
    <t>4,778,950.29</t>
  </si>
  <si>
    <t>3,484,751.82</t>
  </si>
  <si>
    <t>7,748,407.93</t>
  </si>
  <si>
    <t>3,818,825.17</t>
  </si>
  <si>
    <t>3,287,848.88</t>
  </si>
  <si>
    <t>3,999,917.38</t>
  </si>
  <si>
    <t>1,836,050.00</t>
  </si>
  <si>
    <t>1,153,300.20</t>
  </si>
  <si>
    <t>2,310,370.62</t>
  </si>
  <si>
    <t>2,939,091.60</t>
  </si>
  <si>
    <t>567,600.00</t>
  </si>
  <si>
    <t>2,127,702.56</t>
  </si>
  <si>
    <t>2,744,120.70</t>
  </si>
  <si>
    <t>745,955.50</t>
  </si>
  <si>
    <t>1,767,000.00</t>
  </si>
  <si>
    <t>134,602.80</t>
  </si>
  <si>
    <t>1,364,961.00</t>
  </si>
  <si>
    <t>9,613.33</t>
  </si>
  <si>
    <t>42,166.67</t>
  </si>
  <si>
    <t>1,990,000.00</t>
  </si>
  <si>
    <t>45,750.00</t>
  </si>
  <si>
    <t>1,206,902.90</t>
  </si>
  <si>
    <t>1,348,812.05</t>
  </si>
  <si>
    <t>3,989,950.43</t>
  </si>
  <si>
    <t>17,200.00</t>
  </si>
  <si>
    <t>6,525,797.76</t>
  </si>
  <si>
    <t>9,801,171.85</t>
  </si>
  <si>
    <t>1,118,842.95</t>
  </si>
  <si>
    <t>673,460.83</t>
  </si>
  <si>
    <t>144,800.00</t>
  </si>
  <si>
    <t>64,225.00</t>
  </si>
  <si>
    <t>6,507,600.00</t>
  </si>
  <si>
    <t>116,695.00</t>
  </si>
  <si>
    <t>2,879,999.95</t>
  </si>
  <si>
    <t>403,200.00</t>
  </si>
  <si>
    <t>1,135,053.00</t>
  </si>
  <si>
    <t>1,170,363.17</t>
  </si>
  <si>
    <t>1,994,427.91</t>
  </si>
  <si>
    <t>744,705.29</t>
  </si>
  <si>
    <t>1,943,063.25</t>
  </si>
  <si>
    <t>492,552.97</t>
  </si>
  <si>
    <t>1,822,912.29</t>
  </si>
  <si>
    <t>9,899,994.50</t>
  </si>
  <si>
    <t>226,200.00</t>
  </si>
  <si>
    <t>881,794.86</t>
  </si>
  <si>
    <t>7,150,000.00</t>
  </si>
  <si>
    <t>4,701,364.53</t>
  </si>
  <si>
    <t>68,890.00</t>
  </si>
  <si>
    <t>2,905,000.00</t>
  </si>
  <si>
    <t>2,215,080.00</t>
  </si>
  <si>
    <t>258,183.09</t>
  </si>
  <si>
    <t>909,388.50</t>
  </si>
  <si>
    <t>309,444.00</t>
  </si>
  <si>
    <t>15,028,063.14</t>
  </si>
  <si>
    <t>550,280.00</t>
  </si>
  <si>
    <t>3,999,007.50</t>
  </si>
  <si>
    <t>3,384,151.00</t>
  </si>
  <si>
    <t>9,775,124.88</t>
  </si>
  <si>
    <t>1,034,588.65</t>
  </si>
  <si>
    <t>2,999,997.56</t>
  </si>
  <si>
    <t>412,987.00</t>
  </si>
  <si>
    <t>5,038,142.11</t>
  </si>
  <si>
    <t>2,685,845.00</t>
  </si>
  <si>
    <t>31,667,483.57</t>
  </si>
  <si>
    <t>98,520.00</t>
  </si>
  <si>
    <t>274,950.00</t>
  </si>
  <si>
    <t>282,300.00</t>
  </si>
  <si>
    <t>24,219,200.00</t>
  </si>
  <si>
    <t>35,414,900.00</t>
  </si>
  <si>
    <t>777,775.42</t>
  </si>
  <si>
    <t>2,959,466.00</t>
  </si>
  <si>
    <t>1,379,575.97</t>
  </si>
  <si>
    <t>11,563,551.00</t>
  </si>
  <si>
    <t>6,757,122.34</t>
  </si>
  <si>
    <t>5,966,976.51</t>
  </si>
  <si>
    <t>13,200,000.00</t>
  </si>
  <si>
    <t>4,400,000.00</t>
  </si>
  <si>
    <t>2,564,231.00</t>
  </si>
  <si>
    <t>11,833,900.00</t>
  </si>
  <si>
    <t>2,736,981.00</t>
  </si>
  <si>
    <t>1,555,122.75</t>
  </si>
  <si>
    <t>2,476,000.00</t>
  </si>
  <si>
    <t>4,617,151.75</t>
  </si>
  <si>
    <t>2,831,836.64</t>
  </si>
  <si>
    <t>1,078,182.00</t>
  </si>
  <si>
    <t>2,799,590.00</t>
  </si>
  <si>
    <t>5,400,000.00</t>
  </si>
  <si>
    <t>19,123,600.00</t>
  </si>
  <si>
    <t>4,115,000.00</t>
  </si>
  <si>
    <t>2,421,460.00</t>
  </si>
  <si>
    <t>5,990,000.00</t>
  </si>
  <si>
    <t>5,255,747.50</t>
  </si>
  <si>
    <t>63,714.87</t>
  </si>
  <si>
    <t>5,204,645.00</t>
  </si>
  <si>
    <t>40,361,750.00</t>
  </si>
  <si>
    <t>18,109,000.00</t>
  </si>
  <si>
    <t>1,883,556.54</t>
  </si>
  <si>
    <t>1,443,330.00</t>
  </si>
  <si>
    <t>3,378,668.40</t>
  </si>
  <si>
    <t>1,254,100.00</t>
  </si>
  <si>
    <t>12,552,000.00</t>
  </si>
  <si>
    <t>1,297,500.00</t>
  </si>
  <si>
    <t>1,807,200.00</t>
  </si>
  <si>
    <t>1,803,000.00</t>
  </si>
  <si>
    <t>11,800,000.00</t>
  </si>
  <si>
    <t>160,500.00</t>
  </si>
  <si>
    <t>471,842.68</t>
  </si>
  <si>
    <t>3,846,000.00</t>
  </si>
  <si>
    <t>596,011.00</t>
  </si>
  <si>
    <t>1,782,000.00</t>
  </si>
  <si>
    <t>1,222,461.43</t>
  </si>
  <si>
    <t>1,486,555.37</t>
  </si>
  <si>
    <t>1,476,158.77</t>
  </si>
  <si>
    <t>22,863,600.00</t>
  </si>
  <si>
    <t>3,152,283.00</t>
  </si>
  <si>
    <t>1,276,418.00</t>
  </si>
  <si>
    <t>2,102,544.00</t>
  </si>
  <si>
    <t>499,500.00</t>
  </si>
  <si>
    <t>400,072.00</t>
  </si>
  <si>
    <t>29,999,452.27</t>
  </si>
  <si>
    <t>26,159,744.00</t>
  </si>
  <si>
    <t>66,592,000.00</t>
  </si>
  <si>
    <t>4,000,000.31</t>
  </si>
  <si>
    <t>64,706,962.68</t>
  </si>
  <si>
    <t>3,649,000.00</t>
  </si>
  <si>
    <t>122,900.00</t>
  </si>
  <si>
    <t>3,764,944.00</t>
  </si>
  <si>
    <t>1,616,720.00</t>
  </si>
  <si>
    <t>6,455,220.00</t>
  </si>
  <si>
    <t>2,524,100.00</t>
  </si>
  <si>
    <t>2,953,330.00</t>
  </si>
  <si>
    <t>6,031,944.73</t>
  </si>
  <si>
    <t>2,479,939.00</t>
  </si>
  <si>
    <t>1,088,000.00</t>
  </si>
  <si>
    <t>679,409.98</t>
  </si>
  <si>
    <t>3,762,344.00</t>
  </si>
  <si>
    <t>1,875,600.00</t>
  </si>
  <si>
    <t>25,400,000.00</t>
  </si>
  <si>
    <t>28,086,080.00</t>
  </si>
  <si>
    <t>3,696,000.00</t>
  </si>
  <si>
    <t>1,399,996.00</t>
  </si>
  <si>
    <t>298,926.00</t>
  </si>
  <si>
    <t>299,494.00</t>
  </si>
  <si>
    <t>197,450.00</t>
  </si>
  <si>
    <t>1,910,000.00</t>
  </si>
  <si>
    <t>256,723.25</t>
  </si>
  <si>
    <t>8,298,376.57</t>
  </si>
  <si>
    <t>321,750.00</t>
  </si>
  <si>
    <t>12,350,000.00</t>
  </si>
  <si>
    <t>1,171,409.36</t>
  </si>
  <si>
    <t>1,022,975.00</t>
  </si>
  <si>
    <t>5,094,196.00</t>
  </si>
  <si>
    <t>221,479.00</t>
  </si>
  <si>
    <t>3,412,083.95</t>
  </si>
  <si>
    <t>4,887,468.00</t>
  </si>
  <si>
    <t>1,157,300.00</t>
  </si>
  <si>
    <t>278,200.00</t>
  </si>
  <si>
    <t>2,439,524.09</t>
  </si>
  <si>
    <t>1,836,196.10</t>
  </si>
  <si>
    <t>5,220,410.60</t>
  </si>
  <si>
    <t>24,961,300.00</t>
  </si>
  <si>
    <t>73,123.05</t>
  </si>
  <si>
    <t>2,439,431.32</t>
  </si>
  <si>
    <t>12,436,527.74</t>
  </si>
  <si>
    <t>652,663.10</t>
  </si>
  <si>
    <t>546,072.49</t>
  </si>
  <si>
    <t>1,272,160.00</t>
  </si>
  <si>
    <t>1,011,236.10</t>
  </si>
  <si>
    <t>2,174,711.00</t>
  </si>
  <si>
    <t>1,256,988.00</t>
  </si>
  <si>
    <t>5,829,133.18</t>
  </si>
  <si>
    <t>150,150.00</t>
  </si>
  <si>
    <t>69,600.00</t>
  </si>
  <si>
    <t>281,350.00</t>
  </si>
  <si>
    <t>351,100.00</t>
  </si>
  <si>
    <t>182,370.00</t>
  </si>
  <si>
    <t>1,804,147.00</t>
  </si>
  <si>
    <t>1,999,813.11</t>
  </si>
  <si>
    <t>134,053.50</t>
  </si>
  <si>
    <t>8,650,000.00</t>
  </si>
  <si>
    <t>976,893.75</t>
  </si>
  <si>
    <t>279,243.00</t>
  </si>
  <si>
    <t>2,499,999.34</t>
  </si>
  <si>
    <t>750,304.00</t>
  </si>
  <si>
    <t>679,852.32</t>
  </si>
  <si>
    <t>1,205,400.00</t>
  </si>
  <si>
    <t>169,555.00</t>
  </si>
  <si>
    <t>54,693.00</t>
  </si>
  <si>
    <t>1,999,720.66</t>
  </si>
  <si>
    <t>1,520,000.00</t>
  </si>
  <si>
    <t>2,170,741.92</t>
  </si>
  <si>
    <t>48,895,000.00</t>
  </si>
  <si>
    <t>993,927.70</t>
  </si>
  <si>
    <t>1,175,000.00</t>
  </si>
  <si>
    <t>8,700,000.00</t>
  </si>
  <si>
    <t>2,213,934.00</t>
  </si>
  <si>
    <t>388,800.00</t>
  </si>
  <si>
    <t>120,475.26</t>
  </si>
  <si>
    <t>252,825.00</t>
  </si>
  <si>
    <t>1,199,913.25</t>
  </si>
  <si>
    <t>2,971,061.57</t>
  </si>
  <si>
    <t>309,253.00</t>
  </si>
  <si>
    <t>1,799,500.00</t>
  </si>
  <si>
    <t>94,274.40</t>
  </si>
  <si>
    <t>886,133.33</t>
  </si>
  <si>
    <t>1,922,665.19</t>
  </si>
  <si>
    <t>1,378,819.00</t>
  </si>
  <si>
    <t>166,880.00</t>
  </si>
  <si>
    <t>116,190.00</t>
  </si>
  <si>
    <t>1,099,306.30</t>
  </si>
  <si>
    <t>16,710,200.00</t>
  </si>
  <si>
    <t>7,687,932.00</t>
  </si>
  <si>
    <t>281,065.00</t>
  </si>
  <si>
    <t>7,437,529.50</t>
  </si>
  <si>
    <t>4,075,000.00</t>
  </si>
  <si>
    <t>956,890.00</t>
  </si>
  <si>
    <t>963,420.00</t>
  </si>
  <si>
    <t>99,147.20</t>
  </si>
  <si>
    <t>3,483,299.56</t>
  </si>
  <si>
    <t>972,840.00</t>
  </si>
  <si>
    <t>148,500.00</t>
  </si>
  <si>
    <t>2,594,185.00</t>
  </si>
  <si>
    <t>24,874,892.98</t>
  </si>
  <si>
    <t>4,974,040.98</t>
  </si>
  <si>
    <t>16,205,121.65</t>
  </si>
  <si>
    <t>603,850.18</t>
  </si>
  <si>
    <t>40,120,215.67</t>
  </si>
  <si>
    <t>5,015,000.00</t>
  </si>
  <si>
    <t>329,180.25</t>
  </si>
  <si>
    <t>177,068.00</t>
  </si>
  <si>
    <t>334,999.98</t>
  </si>
  <si>
    <t>227,165.00</t>
  </si>
  <si>
    <t>346,343.50</t>
  </si>
  <si>
    <t>699,314.96</t>
  </si>
  <si>
    <t>21,372,000.00</t>
  </si>
  <si>
    <t>449,790.40</t>
  </si>
  <si>
    <t>99,999,999.90</t>
  </si>
  <si>
    <t>1,593,000.00</t>
  </si>
  <si>
    <t>16,500,000.00</t>
  </si>
  <si>
    <t>34,500,000.00</t>
  </si>
  <si>
    <t>1,567,440.00</t>
  </si>
  <si>
    <t>4,807,281.50</t>
  </si>
  <si>
    <t>420,288.42</t>
  </si>
  <si>
    <t>399,998.50</t>
  </si>
  <si>
    <t>473,896.00</t>
  </si>
  <si>
    <t>8,159,603.00</t>
  </si>
  <si>
    <t>4,225,433.42</t>
  </si>
  <si>
    <t>8,264,855.00</t>
  </si>
  <si>
    <t>24,750,625.00</t>
  </si>
  <si>
    <t>1,627,162.23</t>
  </si>
  <si>
    <t>590,500.00</t>
  </si>
  <si>
    <t>212,160.00</t>
  </si>
  <si>
    <t>24,753,700.00</t>
  </si>
  <si>
    <t>206,790.00</t>
  </si>
  <si>
    <t>10,710,114.39</t>
  </si>
  <si>
    <t>3,710,000.00</t>
  </si>
  <si>
    <t>3,999,935.39</t>
  </si>
  <si>
    <t>15,404,364.80</t>
  </si>
  <si>
    <t>1,449,000.00</t>
  </si>
  <si>
    <t>4,826,394.00</t>
  </si>
  <si>
    <t>10,700,000.00</t>
  </si>
  <si>
    <t>1,035,300.00</t>
  </si>
  <si>
    <t>4,288,748.44</t>
  </si>
  <si>
    <t>5,593,510.86</t>
  </si>
  <si>
    <t>58,230.00</t>
  </si>
  <si>
    <t>4,861,597.00</t>
  </si>
  <si>
    <t>4,949,999.30</t>
  </si>
  <si>
    <t>1,695,000.00</t>
  </si>
  <si>
    <t>20,400,000.00</t>
  </si>
  <si>
    <t>3,662,500.00</t>
  </si>
  <si>
    <t>740,480.00</t>
  </si>
  <si>
    <t>149,962,440.70</t>
  </si>
  <si>
    <t>149,810.00</t>
  </si>
  <si>
    <t>28,949,998.90</t>
  </si>
  <si>
    <t>335,959.00</t>
  </si>
  <si>
    <t>3,056,000.00</t>
  </si>
  <si>
    <t>10,894,306.00</t>
  </si>
  <si>
    <t>684,036.00</t>
  </si>
  <si>
    <t>636,000.00</t>
  </si>
  <si>
    <t>4,273,507.60</t>
  </si>
  <si>
    <t>20,143,209.10</t>
  </si>
  <si>
    <t>50,450.00</t>
  </si>
  <si>
    <t>116,835,240.00</t>
  </si>
  <si>
    <t>11,099,004.00</t>
  </si>
  <si>
    <t>3,156,000.00</t>
  </si>
  <si>
    <t>2,983,916.30</t>
  </si>
  <si>
    <t>567,964.80</t>
  </si>
  <si>
    <t>2,153,000.00</t>
  </si>
  <si>
    <t>1,394,080.00</t>
  </si>
  <si>
    <t>2,999,605.05</t>
  </si>
  <si>
    <t>221,370.00</t>
  </si>
  <si>
    <t>634,792.60</t>
  </si>
  <si>
    <t>1,931,310.23</t>
  </si>
  <si>
    <t>83,419.14</t>
  </si>
  <si>
    <t>2,999,998.07</t>
  </si>
  <si>
    <t>2,950,000.00</t>
  </si>
  <si>
    <t>4,999,916.74</t>
  </si>
  <si>
    <t>3,254,599.69</t>
  </si>
  <si>
    <t>998,759.90</t>
  </si>
  <si>
    <t>21,500,000.00</t>
  </si>
  <si>
    <t>14,000,000.00</t>
  </si>
  <si>
    <t>6,860,000.00</t>
  </si>
  <si>
    <t>14,500,000.00</t>
  </si>
  <si>
    <t>1,844,995.00</t>
  </si>
  <si>
    <t>973,539.99</t>
  </si>
  <si>
    <t>9,669,304.29</t>
  </si>
  <si>
    <t>1,642,960.00</t>
  </si>
  <si>
    <t>7,002,700.00</t>
  </si>
  <si>
    <t>1,617,624.00</t>
  </si>
  <si>
    <t>1,303,926.00</t>
  </si>
  <si>
    <t>62,526.00</t>
  </si>
  <si>
    <t>2,607,650.00</t>
  </si>
  <si>
    <t>3,869,491.00</t>
  </si>
  <si>
    <t>2,042,500.00</t>
  </si>
  <si>
    <t>14,637,349.03</t>
  </si>
  <si>
    <t>499,779.00</t>
  </si>
  <si>
    <t>1,739,567.35</t>
  </si>
  <si>
    <t>1,954,158.82</t>
  </si>
  <si>
    <t>966,919.29</t>
  </si>
  <si>
    <t>2,398,331.91</t>
  </si>
  <si>
    <t>978,765.00</t>
  </si>
  <si>
    <t>43,120,000.00</t>
  </si>
  <si>
    <t>9,755,869.03</t>
  </si>
  <si>
    <t>3,947,470.24</t>
  </si>
  <si>
    <t>24,874,252.24</t>
  </si>
  <si>
    <t>2,627,100.00</t>
  </si>
  <si>
    <t>19,605,746.50</t>
  </si>
  <si>
    <t>7,320,968.16</t>
  </si>
  <si>
    <t>12,314,817.49</t>
  </si>
  <si>
    <t>2,037,000.00</t>
  </si>
  <si>
    <t>734,600.00</t>
  </si>
  <si>
    <t>5,896,998.10</t>
  </si>
  <si>
    <t>580,487.00</t>
  </si>
  <si>
    <t>4,947,990.12</t>
  </si>
  <si>
    <t>15,525,503.00</t>
  </si>
  <si>
    <t>6,957,036.00</t>
  </si>
  <si>
    <t>4,883,447.38</t>
  </si>
  <si>
    <t>352,955.00</t>
  </si>
  <si>
    <t>39,919,933.00</t>
  </si>
  <si>
    <t>263,587.20</t>
  </si>
  <si>
    <t>395,260.40</t>
  </si>
  <si>
    <t>465,580.00</t>
  </si>
  <si>
    <t>5,999,645.00</t>
  </si>
  <si>
    <t>495,555.00</t>
  </si>
  <si>
    <t>159,200.00</t>
  </si>
  <si>
    <t>2,457,518.52</t>
  </si>
  <si>
    <t>268,557.00</t>
  </si>
  <si>
    <t>2,098,135.00</t>
  </si>
  <si>
    <t>294,100.00</t>
  </si>
  <si>
    <t>257,140.00</t>
  </si>
  <si>
    <t>7,920,000.00</t>
  </si>
  <si>
    <t>15,800,000.00</t>
  </si>
  <si>
    <t>9,899,260.04</t>
  </si>
  <si>
    <t>1,177,650.00</t>
  </si>
  <si>
    <t>1,803,715.00</t>
  </si>
  <si>
    <t>1,339,996.00</t>
  </si>
  <si>
    <t>4,133,500.00</t>
  </si>
  <si>
    <t>267,280.00</t>
  </si>
  <si>
    <t>1,699,229.34</t>
  </si>
  <si>
    <t>1,006,500.00</t>
  </si>
  <si>
    <t>15,024,159.41</t>
  </si>
  <si>
    <t>11,537,272.89</t>
  </si>
  <si>
    <t>1,426,500.00</t>
  </si>
  <si>
    <t>4,994,222.63</t>
  </si>
  <si>
    <t>1,079,621.71</t>
  </si>
  <si>
    <t>15,840,000.00</t>
  </si>
  <si>
    <t>5,130,000.00</t>
  </si>
  <si>
    <t>828,659.81</t>
  </si>
  <si>
    <t>11,760,000.00</t>
  </si>
  <si>
    <t>7,960,000.00</t>
  </si>
  <si>
    <t>35,809,915.39</t>
  </si>
  <si>
    <t>13,953,254.68</t>
  </si>
  <si>
    <t>35,805,805.81</t>
  </si>
  <si>
    <t>34,816,245.31</t>
  </si>
  <si>
    <t>776,224.00</t>
  </si>
  <si>
    <t>1,554,870.00</t>
  </si>
  <si>
    <t>1,325,150.00</t>
  </si>
  <si>
    <t>12,593,000.00</t>
  </si>
  <si>
    <t>1,855,286.30</t>
  </si>
  <si>
    <t>851,934.40</t>
  </si>
  <si>
    <t>24,399,231.22</t>
  </si>
  <si>
    <t>500,550.00</t>
  </si>
  <si>
    <t>2,380,250.00</t>
  </si>
  <si>
    <t>536,094.00</t>
  </si>
  <si>
    <t>4,080.00</t>
  </si>
  <si>
    <t>68,515,000.00</t>
  </si>
  <si>
    <t>415,713.00</t>
  </si>
  <si>
    <t>25,869,102.33</t>
  </si>
  <si>
    <t>1,215,000.00</t>
  </si>
  <si>
    <t>29,000,000.00</t>
  </si>
  <si>
    <t>6,840,000.00</t>
  </si>
  <si>
    <t>1,078,600.00</t>
  </si>
  <si>
    <t>1,154,013.00</t>
  </si>
  <si>
    <t>66,669.00</t>
  </si>
  <si>
    <t>299,980.00</t>
  </si>
  <si>
    <t>19,800,000.00</t>
  </si>
  <si>
    <t>3,431,302.00</t>
  </si>
  <si>
    <t>122,936.00</t>
  </si>
  <si>
    <t>1,023,500.00</t>
  </si>
  <si>
    <t>1,365,339.00</t>
  </si>
  <si>
    <t>171,818.90</t>
  </si>
  <si>
    <t>1,016,597.40</t>
  </si>
  <si>
    <t>4,890,000.00</t>
  </si>
  <si>
    <t>1,226,769.00</t>
  </si>
  <si>
    <t>731,000.00</t>
  </si>
  <si>
    <t>1,305,200.00</t>
  </si>
  <si>
    <t>59,119,537.20</t>
  </si>
  <si>
    <t>591,416.00</t>
  </si>
  <si>
    <t>2,739,300.00</t>
  </si>
  <si>
    <t>1,223,684.00</t>
  </si>
  <si>
    <t>2,004,205.36</t>
  </si>
  <si>
    <t>34,729,660.81</t>
  </si>
  <si>
    <t>282,000.00</t>
  </si>
  <si>
    <t>813,970.73</t>
  </si>
  <si>
    <t>616,346.40</t>
  </si>
  <si>
    <t>340,277.10</t>
  </si>
  <si>
    <t>491,641.50</t>
  </si>
  <si>
    <t>2,874,370.00</t>
  </si>
  <si>
    <t>5,845,913.63</t>
  </si>
  <si>
    <t>1,015,676.55</t>
  </si>
  <si>
    <t>1,735,070.00</t>
  </si>
  <si>
    <t>2,853,799.44</t>
  </si>
  <si>
    <t>112,959.40</t>
  </si>
  <si>
    <t>2,280,743.33</t>
  </si>
  <si>
    <t>5,837,931.13</t>
  </si>
  <si>
    <t>1,607,201.22</t>
  </si>
  <si>
    <t>734,250.00</t>
  </si>
  <si>
    <t>4,897,118.76</t>
  </si>
  <si>
    <t>573,954.67</t>
  </si>
  <si>
    <t>169,880.00</t>
  </si>
  <si>
    <t>4,996,042.82</t>
  </si>
  <si>
    <t>335,080.00</t>
  </si>
  <si>
    <t>3,390,007.50</t>
  </si>
  <si>
    <t>999,978.21</t>
  </si>
  <si>
    <t>6,953,182.00</t>
  </si>
  <si>
    <t>339,226.13</t>
  </si>
  <si>
    <t>6,950,000.00</t>
  </si>
  <si>
    <t>5,265,000.00</t>
  </si>
  <si>
    <t>5,245,597.35</t>
  </si>
  <si>
    <t>599,721.55</t>
  </si>
  <si>
    <t>5,035,750.00</t>
  </si>
  <si>
    <t>183,159,105.06</t>
  </si>
  <si>
    <t>1,999,915.24</t>
  </si>
  <si>
    <t>5,999,355.34</t>
  </si>
  <si>
    <t>4,181,483.15</t>
  </si>
  <si>
    <t>2,664,119.22</t>
  </si>
  <si>
    <t>10,655,680.00</t>
  </si>
  <si>
    <t>337,690.50</t>
  </si>
  <si>
    <t>181,680.00</t>
  </si>
  <si>
    <t>3,688,800.00</t>
  </si>
  <si>
    <t>80,808.00</t>
  </si>
  <si>
    <t>637,984.00</t>
  </si>
  <si>
    <t>457,944.00</t>
  </si>
  <si>
    <t>35,700,000.00</t>
  </si>
  <si>
    <t>18,636,400.00</t>
  </si>
  <si>
    <t>2,140,000.00</t>
  </si>
  <si>
    <t>10,427,914.00</t>
  </si>
  <si>
    <t>1,392,333.74</t>
  </si>
  <si>
    <t>339,412.50</t>
  </si>
  <si>
    <t>125,100.00</t>
  </si>
  <si>
    <t>282,197.00</t>
  </si>
  <si>
    <t>812,744.91</t>
  </si>
  <si>
    <t>64,000,000.00</t>
  </si>
  <si>
    <t>90,090.00</t>
  </si>
  <si>
    <t>300,094.80</t>
  </si>
  <si>
    <t>5,204,000.00</t>
  </si>
  <si>
    <t>107,349.38</t>
  </si>
  <si>
    <t>2,590,684.00</t>
  </si>
  <si>
    <t>22,259,000.00</t>
  </si>
  <si>
    <t>18,998,224.54</t>
  </si>
  <si>
    <t>4,318,000.00</t>
  </si>
  <si>
    <t>3,359,829.67</t>
  </si>
  <si>
    <t>2,497,826.00</t>
  </si>
  <si>
    <t>26,500,000.00</t>
  </si>
  <si>
    <t>118,350.00</t>
  </si>
  <si>
    <t>2,787,904.90</t>
  </si>
  <si>
    <t>2,589,000.00</t>
  </si>
  <si>
    <t>10,878,000.00</t>
  </si>
  <si>
    <t>3,272,344.18</t>
  </si>
  <si>
    <t>3,168,109.60</t>
  </si>
  <si>
    <t>3,184,345.08</t>
  </si>
  <si>
    <t>3,779,115.22</t>
  </si>
  <si>
    <t>3,489,090.67</t>
  </si>
  <si>
    <t>3,705,090.71</t>
  </si>
  <si>
    <t>3,695,919.22</t>
  </si>
  <si>
    <t>11,643,750.79</t>
  </si>
  <si>
    <t>2,809,968.46</t>
  </si>
  <si>
    <t>2,402,670.22</t>
  </si>
  <si>
    <t>1,021,940.00</t>
  </si>
  <si>
    <t>1,915,920.00</t>
  </si>
  <si>
    <t>612,594.00</t>
  </si>
  <si>
    <t>1,681,659.40</t>
  </si>
  <si>
    <t>13,600,000.00</t>
  </si>
  <si>
    <t>11,830,979.00</t>
  </si>
  <si>
    <t>5,976,486.72</t>
  </si>
  <si>
    <t>12,499,966.87</t>
  </si>
  <si>
    <t>1,612,678.00</t>
  </si>
  <si>
    <t>2,656,643.93</t>
  </si>
  <si>
    <t>18,708,972.08</t>
  </si>
  <si>
    <t>3,402,097.21</t>
  </si>
  <si>
    <t>12,399,790.68</t>
  </si>
  <si>
    <t>1,981,600.00</t>
  </si>
  <si>
    <t>10,890,000.00</t>
  </si>
  <si>
    <t>738,312.50</t>
  </si>
  <si>
    <t>8,998,360.78</t>
  </si>
  <si>
    <t>3,854,899.26</t>
  </si>
  <si>
    <t>3,489,999.01</t>
  </si>
  <si>
    <t>963,514.54</t>
  </si>
  <si>
    <t>3,680,921.03</t>
  </si>
  <si>
    <t>364,890.62</t>
  </si>
  <si>
    <t>13,356,249.21</t>
  </si>
  <si>
    <t>1,999,999.44</t>
  </si>
  <si>
    <t>945,885.47</t>
  </si>
  <si>
    <t>794,192.00</t>
  </si>
  <si>
    <t>4,349,999.59</t>
  </si>
  <si>
    <t>3,296,284.79</t>
  </si>
  <si>
    <t>1,999,999.60</t>
  </si>
  <si>
    <t>1,398,401.00</t>
  </si>
  <si>
    <t>1,999,997.57</t>
  </si>
  <si>
    <t>1,999,999.99</t>
  </si>
  <si>
    <t>1,499,991.57</t>
  </si>
  <si>
    <t>21,199,952.98</t>
  </si>
  <si>
    <t>1,374,425.00</t>
  </si>
  <si>
    <t>2,802,500.00</t>
  </si>
  <si>
    <t>2,418,781.71</t>
  </si>
  <si>
    <t>1,986,798.71</t>
  </si>
  <si>
    <t>1,073,429.95</t>
  </si>
  <si>
    <t>5,166,962.67</t>
  </si>
  <si>
    <t>2,319,127.68</t>
  </si>
  <si>
    <t>3,605,582.97</t>
  </si>
  <si>
    <t>2,428,739.31</t>
  </si>
  <si>
    <t>4,851,026.01</t>
  </si>
  <si>
    <t>9,525,904.00</t>
  </si>
  <si>
    <t>5,164,159.27</t>
  </si>
  <si>
    <t>2,999,999.08</t>
  </si>
  <si>
    <t>1,604,529.00</t>
  </si>
  <si>
    <t>673,000.00</t>
  </si>
  <si>
    <t>1,111,634.00</t>
  </si>
  <si>
    <t>1,596,600.00</t>
  </si>
  <si>
    <t>258,888.00</t>
  </si>
  <si>
    <t>2,064,691.14</t>
  </si>
  <si>
    <t>1,089,033.00</t>
  </si>
  <si>
    <t>1,072,748.00</t>
  </si>
  <si>
    <t>3,233,811.81</t>
  </si>
  <si>
    <t>496,845.80</t>
  </si>
  <si>
    <t>1,025,855.52</t>
  </si>
  <si>
    <t>6,250,000.00</t>
  </si>
  <si>
    <t>8,989,015.07</t>
  </si>
  <si>
    <t>94,176.00</t>
  </si>
  <si>
    <t>2,173,380.00</t>
  </si>
  <si>
    <t>1,999,966.82</t>
  </si>
  <si>
    <t>1,457,691.94</t>
  </si>
  <si>
    <t>50,400,000.00</t>
  </si>
  <si>
    <t>556,880.00</t>
  </si>
  <si>
    <t>1,469,876.52</t>
  </si>
  <si>
    <t>1,951,282.01</t>
  </si>
  <si>
    <t>38,000,000.00</t>
  </si>
  <si>
    <t>2,629,984.00</t>
  </si>
  <si>
    <t>1,548,000.00</t>
  </si>
  <si>
    <t>54,497,365.56</t>
  </si>
  <si>
    <t>517,599.29</t>
  </si>
  <si>
    <t>2,932,144.36</t>
  </si>
  <si>
    <t>336,540.00</t>
  </si>
  <si>
    <t>1,498,079.50</t>
  </si>
  <si>
    <t>10,650,000.00</t>
  </si>
  <si>
    <t>7,326,895.33</t>
  </si>
  <si>
    <t>1,955,912.28</t>
  </si>
  <si>
    <t>332,030.00</t>
  </si>
  <si>
    <t>1,435,829.49</t>
  </si>
  <si>
    <t>4,977,000.00</t>
  </si>
  <si>
    <t>1,080,956.00</t>
  </si>
  <si>
    <t>1,435,256.85</t>
  </si>
  <si>
    <t>1,751,202.39</t>
  </si>
  <si>
    <t>9,810,000.00</t>
  </si>
  <si>
    <t>2,553,240.00</t>
  </si>
  <si>
    <t>783,899.00</t>
  </si>
  <si>
    <t>3,752,240.63</t>
  </si>
  <si>
    <t>2,148,308.00</t>
  </si>
  <si>
    <t>2,247,786.61</t>
  </si>
  <si>
    <t>689,787.00</t>
  </si>
  <si>
    <t>2,613,745.92</t>
  </si>
  <si>
    <t>24,869,866.69</t>
  </si>
  <si>
    <t>1,973,066.17</t>
  </si>
  <si>
    <t>1,475,422.34</t>
  </si>
  <si>
    <t>566,015.00</t>
  </si>
  <si>
    <t>1,466,552.69</t>
  </si>
  <si>
    <t>2,974,490.39</t>
  </si>
  <si>
    <t>6,977,000.00</t>
  </si>
  <si>
    <t>39,878.00</t>
  </si>
  <si>
    <t>1,659,881.80</t>
  </si>
  <si>
    <t>735,784.16</t>
  </si>
  <si>
    <t>499,887.25</t>
  </si>
  <si>
    <t>238,660.00</t>
  </si>
  <si>
    <t>30,900,000.00</t>
  </si>
  <si>
    <t>1,468,833.28</t>
  </si>
  <si>
    <t>1,031,139.00</t>
  </si>
  <si>
    <t>2,767,381.63</t>
  </si>
  <si>
    <t>23,520,000.00</t>
  </si>
  <si>
    <t>8,612,563.00</t>
  </si>
  <si>
    <t>1,108,077.00</t>
  </si>
  <si>
    <t>565,386.50</t>
  </si>
  <si>
    <t>790,000.00</t>
  </si>
  <si>
    <t>1,575,000.00</t>
  </si>
  <si>
    <t>40,917,940.00</t>
  </si>
  <si>
    <t>96,500,000.00</t>
  </si>
  <si>
    <t>3,385,000.00</t>
  </si>
  <si>
    <t>11,220,000.00</t>
  </si>
  <si>
    <t>105,665.00</t>
  </si>
  <si>
    <t>251,330.00</t>
  </si>
  <si>
    <t>4,892,836.07</t>
  </si>
  <si>
    <t>1,185,658.00</t>
  </si>
  <si>
    <t>24,840,000.00</t>
  </si>
  <si>
    <t>118,215.00</t>
  </si>
  <si>
    <t>322,078.40</t>
  </si>
  <si>
    <t>530,430.00</t>
  </si>
  <si>
    <t>1,733,500.00</t>
  </si>
  <si>
    <t>4,900,700.00</t>
  </si>
  <si>
    <t>3,751,255.20</t>
  </si>
  <si>
    <t>5,540,000.00</t>
  </si>
  <si>
    <t>2,374,000.00</t>
  </si>
  <si>
    <t>1,701,000.00</t>
  </si>
  <si>
    <t>257,215.00</t>
  </si>
  <si>
    <t>10,442,880.00</t>
  </si>
  <si>
    <t>12,146,967.54</t>
  </si>
  <si>
    <t>12,237,416.68</t>
  </si>
  <si>
    <t>2,506,900.00</t>
  </si>
  <si>
    <t>299,682.76</t>
  </si>
  <si>
    <t>253,967.00</t>
  </si>
  <si>
    <t>1,130,815.16</t>
  </si>
  <si>
    <t>171,250,000.00</t>
  </si>
  <si>
    <t>2,172,000.00</t>
  </si>
  <si>
    <t>16,477,488.50</t>
  </si>
  <si>
    <t>5,220,000.00</t>
  </si>
  <si>
    <t>1,217,160.00</t>
  </si>
  <si>
    <t>26,300,618.11</t>
  </si>
  <si>
    <t>1,238,000.00</t>
  </si>
  <si>
    <t>1,062,527.50</t>
  </si>
  <si>
    <t>1,581,844.00</t>
  </si>
  <si>
    <t>6,999,992.86</t>
  </si>
  <si>
    <t>2,220,750.00</t>
  </si>
  <si>
    <t>10,536,600.00</t>
  </si>
  <si>
    <t>1,999,992.32</t>
  </si>
  <si>
    <t>4,568,061.00</t>
  </si>
  <si>
    <t>1,999,947.33</t>
  </si>
  <si>
    <t>2,983,716.46</t>
  </si>
  <si>
    <t>3,665,000.00</t>
  </si>
  <si>
    <t>1,052,764.00</t>
  </si>
  <si>
    <t>5,692,291.00</t>
  </si>
  <si>
    <t>1,104,180.00</t>
  </si>
  <si>
    <t>1,451,500.00</t>
  </si>
  <si>
    <t>1,191,800.00</t>
  </si>
  <si>
    <t>8,415,043.98</t>
  </si>
  <si>
    <t>19,799,556.77</t>
  </si>
  <si>
    <t>1,997,946.72</t>
  </si>
  <si>
    <t>2,971,924.64</t>
  </si>
  <si>
    <t>1,295,409.26</t>
  </si>
  <si>
    <t>363,200.00</t>
  </si>
  <si>
    <t>3,447,914.58</t>
  </si>
  <si>
    <t>897,206.00</t>
  </si>
  <si>
    <t>3,547,781.30</t>
  </si>
  <si>
    <t>19,434,748.78</t>
  </si>
  <si>
    <t>9,751,680.00</t>
  </si>
  <si>
    <t>39,994,720.06</t>
  </si>
  <si>
    <t>1,979,212.00</t>
  </si>
  <si>
    <t>4,398,236.66</t>
  </si>
  <si>
    <t>4,843,124.00</t>
  </si>
  <si>
    <t>220,202.89</t>
  </si>
  <si>
    <t>121,440.00</t>
  </si>
  <si>
    <t>1,738,382.00</t>
  </si>
  <si>
    <t>1,084,206.00</t>
  </si>
  <si>
    <t>227,870.00</t>
  </si>
  <si>
    <t>5,372,902.00</t>
  </si>
  <si>
    <t>1,507,450.00</t>
  </si>
  <si>
    <t>32,500,000.00</t>
  </si>
  <si>
    <t>10,541,000.00</t>
  </si>
  <si>
    <t>289,200.00</t>
  </si>
  <si>
    <t>1,049,985.00</t>
  </si>
  <si>
    <t>2,597,079.15</t>
  </si>
  <si>
    <t>150,263.60</t>
  </si>
  <si>
    <t>109,440.00</t>
  </si>
  <si>
    <t>1,299,000.00</t>
  </si>
  <si>
    <t>2,747,106.43</t>
  </si>
  <si>
    <t>2,150,248.56</t>
  </si>
  <si>
    <t>5,415,897.36</t>
  </si>
  <si>
    <t>1,499,745.38</t>
  </si>
  <si>
    <t>122,700.00</t>
  </si>
  <si>
    <t>1,079,118.61</t>
  </si>
  <si>
    <t>52,356.82</t>
  </si>
  <si>
    <t>1,999,999.75</t>
  </si>
  <si>
    <t>6,958,000.00</t>
  </si>
  <si>
    <t>88,235,912.68</t>
  </si>
  <si>
    <t>248,422.50</t>
  </si>
  <si>
    <t>1,999,490.59</t>
  </si>
  <si>
    <t>1,149,603.80</t>
  </si>
  <si>
    <t>12,570,120.00</t>
  </si>
  <si>
    <t>2,323,200.00</t>
  </si>
  <si>
    <t>1,237,888.60</t>
  </si>
  <si>
    <t>4,808,350.60</t>
  </si>
  <si>
    <t>1,882,826.00</t>
  </si>
  <si>
    <t>3,137,117.42</t>
  </si>
  <si>
    <t>3,516,000.00</t>
  </si>
  <si>
    <t>938,327.50</t>
  </si>
  <si>
    <t>449,625.00</t>
  </si>
  <si>
    <t>4,917,844.00</t>
  </si>
  <si>
    <t>8,941,922.70</t>
  </si>
  <si>
    <t>1,653,690.01</t>
  </si>
  <si>
    <t>9,484,593.77</t>
  </si>
  <si>
    <t>1,312,700.00</t>
  </si>
  <si>
    <t>3,999,325.73</t>
  </si>
  <si>
    <t>200,753.50</t>
  </si>
  <si>
    <t>162,483.00</t>
  </si>
  <si>
    <t>62,940,000.00</t>
  </si>
  <si>
    <t>1,115,520.00</t>
  </si>
  <si>
    <t>3,099,135.00</t>
  </si>
  <si>
    <t>14,570,000.00</t>
  </si>
  <si>
    <t>2,602,500.00</t>
  </si>
  <si>
    <t>1,490,922.56</t>
  </si>
  <si>
    <t>5,250,500.00</t>
  </si>
  <si>
    <t>499,988.39</t>
  </si>
  <si>
    <t>199,552.50</t>
  </si>
  <si>
    <t>12,266,855.00</t>
  </si>
  <si>
    <t>1,799,998.75</t>
  </si>
  <si>
    <t>4,949,107.84</t>
  </si>
  <si>
    <t>47,518,883.47</t>
  </si>
  <si>
    <t>2,565,522.01</t>
  </si>
  <si>
    <t>6,461,147.70</t>
  </si>
  <si>
    <t>403,077.00</t>
  </si>
  <si>
    <t>2,187,000.00</t>
  </si>
  <si>
    <t>1,122,784.00</t>
  </si>
  <si>
    <t>8,714,400.00</t>
  </si>
  <si>
    <t>1,015,500.00</t>
  </si>
  <si>
    <t>4,363,650.00</t>
  </si>
  <si>
    <t>1,220,625.00</t>
  </si>
  <si>
    <t>457,800.00</t>
  </si>
  <si>
    <t>1,547,488.00</t>
  </si>
  <si>
    <t>1,913,250.00</t>
  </si>
  <si>
    <t>2,089,159.00</t>
  </si>
  <si>
    <t>1,235,000.00</t>
  </si>
  <si>
    <t>509,017.00</t>
  </si>
  <si>
    <t>674,919.00</t>
  </si>
  <si>
    <t>48,000,000.00</t>
  </si>
  <si>
    <t>2,258,156.83</t>
  </si>
  <si>
    <t>67,344,000.00</t>
  </si>
  <si>
    <t>1,154,524.05</t>
  </si>
  <si>
    <t>2,354,475.57</t>
  </si>
  <si>
    <t>6,755,000.00</t>
  </si>
  <si>
    <t>5,088,000.00</t>
  </si>
  <si>
    <t>29,352,000.00</t>
  </si>
  <si>
    <t>4,650,000.00</t>
  </si>
  <si>
    <t>526,300.44</t>
  </si>
  <si>
    <t>41,400,000.00</t>
  </si>
  <si>
    <t>4,250.00</t>
  </si>
  <si>
    <t>39,984,000.00</t>
  </si>
  <si>
    <t>1,986,028.00</t>
  </si>
  <si>
    <t>32,328,000.00</t>
  </si>
  <si>
    <t>37,842,360.00</t>
  </si>
  <si>
    <t>11,011,000.00</t>
  </si>
  <si>
    <t>2,700.00</t>
  </si>
  <si>
    <t>498,960.00</t>
  </si>
  <si>
    <t>500.00</t>
  </si>
  <si>
    <t>4,568,127.00</t>
  </si>
  <si>
    <t>51,755,913.30</t>
  </si>
  <si>
    <t>7,871,669.63</t>
  </si>
  <si>
    <t>26,496,000.00</t>
  </si>
  <si>
    <t>89,988,107.14</t>
  </si>
  <si>
    <t>28,949,400.96</t>
  </si>
  <si>
    <t>19,599,952.89</t>
  </si>
  <si>
    <t>389,834.37</t>
  </si>
  <si>
    <t>1,320,000.00</t>
  </si>
  <si>
    <t>1,690,000.00</t>
  </si>
  <si>
    <t>16,318,885.66</t>
  </si>
  <si>
    <t>19,599,110.65</t>
  </si>
  <si>
    <t>599,928.04</t>
  </si>
  <si>
    <t>470,000.00</t>
  </si>
  <si>
    <t>2,733,625.00</t>
  </si>
  <si>
    <t>5,975,643.58</t>
  </si>
  <si>
    <t>20,907,415.40</t>
  </si>
  <si>
    <t>432,477.87</t>
  </si>
  <si>
    <t>2,503,250.00</t>
  </si>
  <si>
    <t>2,340,000.00</t>
  </si>
  <si>
    <t>35,280,000.00</t>
  </si>
  <si>
    <t>10,994,620.00</t>
  </si>
  <si>
    <t>477,592.35</t>
  </si>
  <si>
    <t>2,853,049.61</t>
  </si>
  <si>
    <t>7,824,000.00</t>
  </si>
  <si>
    <t>126,187.43</t>
  </si>
  <si>
    <t>1,122,282.00</t>
  </si>
  <si>
    <t>30,380,000.00</t>
  </si>
  <si>
    <t>99,925.00</t>
  </si>
  <si>
    <t>849,999.50</t>
  </si>
  <si>
    <t>4,375,057.80</t>
  </si>
  <si>
    <t>191,795.50</t>
  </si>
  <si>
    <t>1,189,000.00</t>
  </si>
  <si>
    <t>16,582,001.77</t>
  </si>
  <si>
    <t>1,383,930.95</t>
  </si>
  <si>
    <t>10,199,947.68</t>
  </si>
  <si>
    <t>46,369,976.45</t>
  </si>
  <si>
    <t>7,537,877.55</t>
  </si>
  <si>
    <t>8,226,000.00</t>
  </si>
  <si>
    <t>4,490,622.00</t>
  </si>
  <si>
    <t>220,940.50</t>
  </si>
  <si>
    <t>299,757.20</t>
  </si>
  <si>
    <t>338,452.60</t>
  </si>
  <si>
    <t>762,171.00</t>
  </si>
  <si>
    <t>1,100,719.51</t>
  </si>
  <si>
    <t>2,550,000.00</t>
  </si>
  <si>
    <t>19,999,966.78</t>
  </si>
  <si>
    <t>2,231,424.72</t>
  </si>
  <si>
    <t>1,521,408.00</t>
  </si>
  <si>
    <t>3,270,956.40</t>
  </si>
  <si>
    <t>1,258,560.00</t>
  </si>
  <si>
    <t>1,299,084.33</t>
  </si>
  <si>
    <t>14,901,836.34</t>
  </si>
  <si>
    <t>3,029,000.00</t>
  </si>
  <si>
    <t>1,983,520.00</t>
  </si>
  <si>
    <t>1,468,059.84</t>
  </si>
  <si>
    <t>2,399,999.43</t>
  </si>
  <si>
    <t>663,000.00</t>
  </si>
  <si>
    <t>784,404.40</t>
  </si>
  <si>
    <t>1,453,540.91</t>
  </si>
  <si>
    <t>1,192,492.00</t>
  </si>
  <si>
    <t>497,108.84</t>
  </si>
  <si>
    <t>271,500.00</t>
  </si>
  <si>
    <t>936,303.01</t>
  </si>
  <si>
    <t>7,632,000.00</t>
  </si>
  <si>
    <t>2,910,157.16</t>
  </si>
  <si>
    <t>179,675.88</t>
  </si>
  <si>
    <t>26,142,186.72</t>
  </si>
  <si>
    <t>1,053,400.00</t>
  </si>
  <si>
    <t>867,973.94</t>
  </si>
  <si>
    <t>346,604.95</t>
  </si>
  <si>
    <t>6,783,900.00</t>
  </si>
  <si>
    <t>1,296,900.00</t>
  </si>
  <si>
    <t>442,000.00</t>
  </si>
  <si>
    <t>3,288,996.00</t>
  </si>
  <si>
    <t>997,500.00</t>
  </si>
  <si>
    <t>1,727,261.00</t>
  </si>
  <si>
    <t>99,755.35</t>
  </si>
  <si>
    <t>2,646,332.78</t>
  </si>
  <si>
    <t>1,499,729.60</t>
  </si>
  <si>
    <t>3,499,399.19</t>
  </si>
  <si>
    <t>1,719,577.00</t>
  </si>
  <si>
    <t>888,577.00</t>
  </si>
  <si>
    <t>1,563,720.00</t>
  </si>
  <si>
    <t>293,310.94</t>
  </si>
  <si>
    <t>143,085.72</t>
  </si>
  <si>
    <t>976,237.50</t>
  </si>
  <si>
    <t>212,500.00</t>
  </si>
  <si>
    <t>130,275,000.00</t>
  </si>
  <si>
    <t>1,901,726.00</t>
  </si>
  <si>
    <t>369,932.00</t>
  </si>
  <si>
    <t>4,775,446.00</t>
  </si>
  <si>
    <t>45,595.00</t>
  </si>
  <si>
    <t>1,221,817.00</t>
  </si>
  <si>
    <t>189,125.00</t>
  </si>
  <si>
    <t>189,311.30</t>
  </si>
  <si>
    <t>49,840.00</t>
  </si>
  <si>
    <t>1,104,365.00</t>
  </si>
  <si>
    <t>586,810.00</t>
  </si>
  <si>
    <t>162,500.00</t>
  </si>
  <si>
    <t>1,632,530.00</t>
  </si>
  <si>
    <t>1,592,600.00</t>
  </si>
  <si>
    <t>499,865.63</t>
  </si>
  <si>
    <t>999,933.95</t>
  </si>
  <si>
    <t>1,322,693.00</t>
  </si>
  <si>
    <t>179,100.00</t>
  </si>
  <si>
    <t>499,240.88</t>
  </si>
  <si>
    <t>370,540.00</t>
  </si>
  <si>
    <t>1,162,560.00</t>
  </si>
  <si>
    <t>380,040.00</t>
  </si>
  <si>
    <t>4,335,000.00</t>
  </si>
  <si>
    <t>1,255,817.64</t>
  </si>
  <si>
    <t>208,750.00</t>
  </si>
  <si>
    <t>2,999,456.25</t>
  </si>
  <si>
    <t>14,014,500.00</t>
  </si>
  <si>
    <t>6,683,040.00</t>
  </si>
  <si>
    <t>2,955,125.90</t>
  </si>
  <si>
    <t>998,865.00</t>
  </si>
  <si>
    <t>3,567,776.00</t>
  </si>
  <si>
    <t>1,151,184.33</t>
  </si>
  <si>
    <t>104,998.30</t>
  </si>
  <si>
    <t>1,633,004.30</t>
  </si>
  <si>
    <t>11,433,000.00</t>
  </si>
  <si>
    <t>1,539,000.34</t>
  </si>
  <si>
    <t>1,339,237.98</t>
  </si>
  <si>
    <t>2,444,400.00</t>
  </si>
  <si>
    <t>1,369,999.80</t>
  </si>
  <si>
    <t>2,260,440.00</t>
  </si>
  <si>
    <t>11,210,000.00</t>
  </si>
  <si>
    <t>1,194,659.43</t>
  </si>
  <si>
    <t>1,313,808.00</t>
  </si>
  <si>
    <t>2,741,625.00</t>
  </si>
  <si>
    <t>380,060.00</t>
  </si>
  <si>
    <t>309,844.21</t>
  </si>
  <si>
    <t>478,544.00</t>
  </si>
  <si>
    <t>1,851,017.38</t>
  </si>
  <si>
    <t>144,500.00</t>
  </si>
  <si>
    <t>912,587.81</t>
  </si>
  <si>
    <t>291,009,954.49</t>
  </si>
  <si>
    <t>76,891.05</t>
  </si>
  <si>
    <t>736,120.00</t>
  </si>
  <si>
    <t>11,285,000.00</t>
  </si>
  <si>
    <t>2,916,550.00</t>
  </si>
  <si>
    <t>295,366.75</t>
  </si>
  <si>
    <t>1,411,090.95</t>
  </si>
  <si>
    <t>414,645.00</t>
  </si>
  <si>
    <t>1,201,000.00</t>
  </si>
  <si>
    <t>1,466,931.00</t>
  </si>
  <si>
    <t>2,997,268.31</t>
  </si>
  <si>
    <t>3,590,111.26</t>
  </si>
  <si>
    <t>385,998.00</t>
  </si>
  <si>
    <t>595,795.65</t>
  </si>
  <si>
    <t>107,785.00</t>
  </si>
  <si>
    <t>393,987.61</t>
  </si>
  <si>
    <t>6,034,000.00</t>
  </si>
  <si>
    <t>19,598,851.27</t>
  </si>
  <si>
    <t>1,707,300.00</t>
  </si>
  <si>
    <t>3,540,000.00</t>
  </si>
  <si>
    <t>1,636,614.74</t>
  </si>
  <si>
    <t>1,955,021.25</t>
  </si>
  <si>
    <t>2,210,153.15</t>
  </si>
  <si>
    <t>6,982,370.45</t>
  </si>
  <si>
    <t>998,492.37</t>
  </si>
  <si>
    <t>816,000.00</t>
  </si>
  <si>
    <t>1,954,233.75</t>
  </si>
  <si>
    <t>1,340,788.49</t>
  </si>
  <si>
    <t>2,052,652.00</t>
  </si>
  <si>
    <t>492,840.00</t>
  </si>
  <si>
    <t>382,829.13</t>
  </si>
  <si>
    <t>39,800,000.00</t>
  </si>
  <si>
    <t>2,997,902.34</t>
  </si>
  <si>
    <t>298,670.00</t>
  </si>
  <si>
    <t>495,137.88</t>
  </si>
  <si>
    <t>997,753.00</t>
  </si>
  <si>
    <t>1,519,965.00</t>
  </si>
  <si>
    <t>2,026,090.00</t>
  </si>
  <si>
    <t>2,329,993.60</t>
  </si>
  <si>
    <t>47,077,320.00</t>
  </si>
  <si>
    <t>72,700.00</t>
  </si>
  <si>
    <t>1,990,403.71</t>
  </si>
  <si>
    <t>6,796,176.00</t>
  </si>
  <si>
    <t>6,520,000.00</t>
  </si>
  <si>
    <t>1,486,095.00</t>
  </si>
  <si>
    <t>1,078,000.00</t>
  </si>
  <si>
    <t>870,694.65</t>
  </si>
  <si>
    <t>857,448.62</t>
  </si>
  <si>
    <t>15,700,000.00</t>
  </si>
  <si>
    <t>899,527.70</t>
  </si>
  <si>
    <t>1,829,551.09</t>
  </si>
  <si>
    <t>36,660,000.00</t>
  </si>
  <si>
    <t>2,250,890.20</t>
  </si>
  <si>
    <t>3,027,560.59</t>
  </si>
  <si>
    <t>1,974,501.38</t>
  </si>
  <si>
    <t>46,188,600.00</t>
  </si>
  <si>
    <t>2,089,087.87</t>
  </si>
  <si>
    <t>3,499,858.39</t>
  </si>
  <si>
    <t>135,411.00</t>
  </si>
  <si>
    <t>2,439,009.01</t>
  </si>
  <si>
    <t>2,490,000.00</t>
  </si>
  <si>
    <t>8,038,450.00</t>
  </si>
  <si>
    <t>14,057,904.00</t>
  </si>
  <si>
    <t>79,350.00</t>
  </si>
  <si>
    <t>5,513,099.51</t>
  </si>
  <si>
    <t>1,054,484.12</t>
  </si>
  <si>
    <t>6,871,000.00</t>
  </si>
  <si>
    <t>5,811,000.00</t>
  </si>
  <si>
    <t>1,797,532.31</t>
  </si>
  <si>
    <t>186,964.77</t>
  </si>
  <si>
    <t>1,962,813.04</t>
  </si>
  <si>
    <t>171,934.00</t>
  </si>
  <si>
    <t>5,499,759.37</t>
  </si>
  <si>
    <t>3,796,110.65</t>
  </si>
  <si>
    <t>9,848,896.42</t>
  </si>
  <si>
    <t>11,387,814.00</t>
  </si>
  <si>
    <t>903,350.00</t>
  </si>
  <si>
    <t>1,011,375.00</t>
  </si>
  <si>
    <t>9,996,335.72</t>
  </si>
  <si>
    <t>1,039,553.33</t>
  </si>
  <si>
    <t>13,654,239.00</t>
  </si>
  <si>
    <t>6,700,000.00</t>
  </si>
  <si>
    <t>1,363,842.75</t>
  </si>
  <si>
    <t>16,264,300.00</t>
  </si>
  <si>
    <t>20,620,287.00</t>
  </si>
  <si>
    <t>931,361.94</t>
  </si>
  <si>
    <t>1,116,783.50</t>
  </si>
  <si>
    <t>581,134.00</t>
  </si>
  <si>
    <t>143,994,038.83</t>
  </si>
  <si>
    <t>1,033,000.00</t>
  </si>
  <si>
    <t>2,227,240.00</t>
  </si>
  <si>
    <t>3,420,000.00</t>
  </si>
  <si>
    <t>2,155,000.00</t>
  </si>
  <si>
    <t>1,895,818.51</t>
  </si>
  <si>
    <t>1,725,310.00</t>
  </si>
  <si>
    <t>8,124,000.00</t>
  </si>
  <si>
    <t>170,365.00</t>
  </si>
  <si>
    <t>588,590.00</t>
  </si>
  <si>
    <t>5,969,777.71</t>
  </si>
  <si>
    <t>2,252,858.00</t>
  </si>
  <si>
    <t>233,231,488.32</t>
  </si>
  <si>
    <t>2,178,000.00</t>
  </si>
  <si>
    <t>8,416,100.00</t>
  </si>
  <si>
    <t>2,499,500.00</t>
  </si>
  <si>
    <t>62,402.19</t>
  </si>
  <si>
    <t>298,000.00</t>
  </si>
  <si>
    <t>666,666.67</t>
  </si>
  <si>
    <t>1,423,700.00</t>
  </si>
  <si>
    <t>1,332,000.00</t>
  </si>
  <si>
    <t>15,697,507.94</t>
  </si>
  <si>
    <t>409,849,505.79</t>
  </si>
  <si>
    <t>201,632.78</t>
  </si>
  <si>
    <t>1,934,055.55</t>
  </si>
  <si>
    <t>29,882,481.44</t>
  </si>
  <si>
    <t>1,125,000.00</t>
  </si>
  <si>
    <t>4,170,600.00</t>
  </si>
  <si>
    <t>1,477,200.00</t>
  </si>
  <si>
    <t>2,247,613.64</t>
  </si>
  <si>
    <t>1,161,000.00</t>
  </si>
  <si>
    <t>1,732,941.75</t>
  </si>
  <si>
    <t>1,390,400,000.00</t>
  </si>
  <si>
    <t>3,184,036.80</t>
  </si>
  <si>
    <t>1,226,000.00</t>
  </si>
  <si>
    <t>1,495,000.00</t>
  </si>
  <si>
    <t>1,252,000.00</t>
  </si>
  <si>
    <t>2,485,114.73</t>
  </si>
  <si>
    <t>1,507,175.58</t>
  </si>
  <si>
    <t>2,479,857.67</t>
  </si>
  <si>
    <t>3,999,000.00</t>
  </si>
  <si>
    <t>698,769.00</t>
  </si>
  <si>
    <t>1,590,696.00</t>
  </si>
  <si>
    <t>519,083.21</t>
  </si>
  <si>
    <t>4,999,995.00</t>
  </si>
  <si>
    <t>5,200,250.00</t>
  </si>
  <si>
    <t>4,491,047.67</t>
  </si>
  <si>
    <t>1,584,576.00</t>
  </si>
  <si>
    <t>2,984,984.76</t>
  </si>
  <si>
    <t>1,930,000.00</t>
  </si>
  <si>
    <t>526,705.00</t>
  </si>
  <si>
    <t>1,265,653.92</t>
  </si>
  <si>
    <t>2,892,100.00</t>
  </si>
  <si>
    <t>1,561,770.00</t>
  </si>
  <si>
    <t>1,277,562.65</t>
  </si>
  <si>
    <t>344,931.96</t>
  </si>
  <si>
    <t>1,125,453.86</t>
  </si>
  <si>
    <t>219,436.03</t>
  </si>
  <si>
    <t>9,405,423.09</t>
  </si>
  <si>
    <t>1,601,594.57</t>
  </si>
  <si>
    <t>5,671,396.61</t>
  </si>
  <si>
    <t>684,320.36</t>
  </si>
  <si>
    <t>2,999,999.68</t>
  </si>
  <si>
    <t>62,057,566.93</t>
  </si>
  <si>
    <t>120,726.60</t>
  </si>
  <si>
    <t>2,990,000.00</t>
  </si>
  <si>
    <t>2,999,941.06</t>
  </si>
  <si>
    <t>999,982.13</t>
  </si>
  <si>
    <t>798,432.53</t>
  </si>
  <si>
    <t>1,118,800.00</t>
  </si>
  <si>
    <t>2,999,974.34</t>
  </si>
  <si>
    <t>1,226,100.00</t>
  </si>
  <si>
    <t>2,999,983.01</t>
  </si>
  <si>
    <t>699,997.52</t>
  </si>
  <si>
    <t>3,152,420.00</t>
  </si>
  <si>
    <t>1,970,000.00</t>
  </si>
  <si>
    <t>2,925,006.22</t>
  </si>
  <si>
    <t>232,512,537.05</t>
  </si>
  <si>
    <t>1,226,300.00</t>
  </si>
  <si>
    <t>1,301,464.00</t>
  </si>
  <si>
    <t>6,145,000.00</t>
  </si>
  <si>
    <t>1,492,894.44</t>
  </si>
  <si>
    <t>500,001.00</t>
  </si>
  <si>
    <t>1,180,880.00</t>
  </si>
  <si>
    <t>1,656,500.00</t>
  </si>
  <si>
    <t>6,995,530.00</t>
  </si>
  <si>
    <t>375,750.00</t>
  </si>
  <si>
    <t>998,153.00</t>
  </si>
  <si>
    <t>3,146,595.00</t>
  </si>
  <si>
    <t>1,120,000.00</t>
  </si>
  <si>
    <t>961,080.00</t>
  </si>
  <si>
    <t>1,680,302.00</t>
  </si>
  <si>
    <t>6,752,000.00</t>
  </si>
  <si>
    <t>1,218,050.00</t>
  </si>
  <si>
    <t>10,850,000.00</t>
  </si>
  <si>
    <t>7,720,700.00</t>
  </si>
  <si>
    <t>273,305.08</t>
  </si>
  <si>
    <t>1,503,000.00</t>
  </si>
  <si>
    <t>2,480,000.00</t>
  </si>
  <si>
    <t>1,123,875.00</t>
  </si>
  <si>
    <t>2,285,000.00</t>
  </si>
  <si>
    <t>3,462,000.00</t>
  </si>
  <si>
    <t>1,378,252.60</t>
  </si>
  <si>
    <t>1,499,409.00</t>
  </si>
  <si>
    <t>44,910,929.92</t>
  </si>
  <si>
    <t>3,424,000.00</t>
  </si>
  <si>
    <t>10,347,000.00</t>
  </si>
  <si>
    <t>2,716,400.00</t>
  </si>
  <si>
    <t>1,333,858.98</t>
  </si>
  <si>
    <t>2,821,200.20</t>
  </si>
  <si>
    <t>16,999,769.12</t>
  </si>
  <si>
    <t>209,790.00</t>
  </si>
  <si>
    <t>1,311,200.00</t>
  </si>
  <si>
    <t>8,868,000.00</t>
  </si>
  <si>
    <t>493,329.31</t>
  </si>
  <si>
    <t>635,885.25</t>
  </si>
  <si>
    <t>2,819,567.63</t>
  </si>
  <si>
    <t>9,999,978.87</t>
  </si>
  <si>
    <t>1,811,932.55</t>
  </si>
  <si>
    <t>1,087,367.00</t>
  </si>
  <si>
    <t>1,788,936.59</t>
  </si>
  <si>
    <t>1,748,800.00</t>
  </si>
  <si>
    <t>2,034,000.00</t>
  </si>
  <si>
    <t>379,197.00</t>
  </si>
  <si>
    <t>799,999.00</t>
  </si>
  <si>
    <t>24,482,360.00</t>
  </si>
  <si>
    <t>1,513,400.00</t>
  </si>
  <si>
    <t>2,533,769.68</t>
  </si>
  <si>
    <t>49,000,000.00</t>
  </si>
  <si>
    <t>1,999,690.63</t>
  </si>
  <si>
    <t>2,750,000.00</t>
  </si>
  <si>
    <t>477,597.80</t>
  </si>
  <si>
    <t>43,537,500.00</t>
  </si>
  <si>
    <t>1,499,993.86</t>
  </si>
  <si>
    <t>2,858,746.00</t>
  </si>
  <si>
    <t>147,339.00</t>
  </si>
  <si>
    <t>192,993,898.45</t>
  </si>
  <si>
    <t>232,410.00</t>
  </si>
  <si>
    <t>2,651,000.00</t>
  </si>
  <si>
    <t>1,352,400.00</t>
  </si>
  <si>
    <t>204,325.00</t>
  </si>
  <si>
    <t>4,999,494.48</t>
  </si>
  <si>
    <t>338,363.50</t>
  </si>
  <si>
    <t>2,236,800.00</t>
  </si>
  <si>
    <t>178,519.84</t>
  </si>
  <si>
    <t>5,476,016.00</t>
  </si>
  <si>
    <t>1,461,300.00</t>
  </si>
  <si>
    <t>2,467,860.71</t>
  </si>
  <si>
    <t>11,960,000.00</t>
  </si>
  <si>
    <t>257,010.00</t>
  </si>
  <si>
    <t>155,461.76</t>
  </si>
  <si>
    <t>828,958.50</t>
  </si>
  <si>
    <t>1,457,800.00</t>
  </si>
  <si>
    <t>1,615,000.00</t>
  </si>
  <si>
    <t>5,031,606.76</t>
  </si>
  <si>
    <t>5,625,000.00</t>
  </si>
  <si>
    <t>429,254.00</t>
  </si>
  <si>
    <t>3,597,845.00</t>
  </si>
  <si>
    <t>91,542,795.00</t>
  </si>
  <si>
    <t>1,441,286.29</t>
  </si>
  <si>
    <t>2,227,500.00</t>
  </si>
  <si>
    <t>2,397,650.00</t>
  </si>
  <si>
    <t>3,577,500.00</t>
  </si>
  <si>
    <t>892,390.42</t>
  </si>
  <si>
    <t>133,650,000.00</t>
  </si>
  <si>
    <t>2,850,000.00</t>
  </si>
  <si>
    <t>1,349,955.00</t>
  </si>
  <si>
    <t>366,575.83</t>
  </si>
  <si>
    <t>3,960,000.00</t>
  </si>
  <si>
    <t>20,419,962.00</t>
  </si>
  <si>
    <t>1,913,678.00</t>
  </si>
  <si>
    <t>21,978,734.44</t>
  </si>
  <si>
    <t>1,251,510.00</t>
  </si>
  <si>
    <t>2,725,502.78</t>
  </si>
  <si>
    <t>1,649,200.00</t>
  </si>
  <si>
    <t>250,000,000.00</t>
  </si>
  <si>
    <t>499,989.80</t>
  </si>
  <si>
    <t>7,714,997.80</t>
  </si>
  <si>
    <t>664,492.00</t>
  </si>
  <si>
    <t>1,347,438.58</t>
  </si>
  <si>
    <t>1,655,370.00</t>
  </si>
  <si>
    <t>37,510,000.00</t>
  </si>
  <si>
    <t>1,021,524.20</t>
  </si>
  <si>
    <t>2,578,598.23</t>
  </si>
  <si>
    <t>5,480,000.00</t>
  </si>
  <si>
    <t>2,134,160.00</t>
  </si>
  <si>
    <t>564,751.75</t>
  </si>
  <si>
    <t>2,618,000.00</t>
  </si>
  <si>
    <t>5,438,530.00</t>
  </si>
  <si>
    <t>22,303,600.71</t>
  </si>
  <si>
    <t>4,495,400.00</t>
  </si>
  <si>
    <t>2,730,100.00</t>
  </si>
  <si>
    <t>11,695,196.00</t>
  </si>
  <si>
    <t>4,925,000.00</t>
  </si>
  <si>
    <t>1,205,444,643.31</t>
  </si>
  <si>
    <t>1,731,250.00</t>
  </si>
  <si>
    <t>1,642,711.23</t>
  </si>
  <si>
    <t>9,315,368.00</t>
  </si>
  <si>
    <t>2,580,000.00</t>
  </si>
  <si>
    <t>4,450,000.00</t>
  </si>
  <si>
    <t>12,437,353.64</t>
  </si>
  <si>
    <t>49,860,000.00</t>
  </si>
  <si>
    <t>3,300,186.48</t>
  </si>
  <si>
    <t>28,877,500.00</t>
  </si>
  <si>
    <t>236,710.50</t>
  </si>
  <si>
    <t>7,228,882.95</t>
  </si>
  <si>
    <t>2,047,000.00</t>
  </si>
  <si>
    <t>2,670,000.00</t>
  </si>
  <si>
    <t>2,261,000.00</t>
  </si>
  <si>
    <t>4,177,800.00</t>
  </si>
  <si>
    <t>8,565,000.00</t>
  </si>
  <si>
    <t>12,154,375.00</t>
  </si>
  <si>
    <t>17,730,000.00</t>
  </si>
  <si>
    <t>1,259,968.50</t>
  </si>
  <si>
    <t>31,520,000.00</t>
  </si>
  <si>
    <t>2,950,186.00</t>
  </si>
  <si>
    <t>1,381,380.00</t>
  </si>
  <si>
    <t>1,621,200.00</t>
  </si>
  <si>
    <t>5,723,650.00</t>
  </si>
  <si>
    <t>17,926,590.00</t>
  </si>
  <si>
    <t>1,263,635.90</t>
  </si>
  <si>
    <t>1,570,000.00</t>
  </si>
  <si>
    <t>1,431,430.00</t>
  </si>
  <si>
    <t>1,691,500.00</t>
  </si>
  <si>
    <t>2,855,000.00</t>
  </si>
  <si>
    <t>2,978,300.00</t>
  </si>
  <si>
    <t>3,222,000.00</t>
  </si>
  <si>
    <t>2,658,675.84</t>
  </si>
  <si>
    <t>45,000,000.00</t>
  </si>
  <si>
    <t>16,150,000.00</t>
  </si>
  <si>
    <t>10,051,800.00</t>
  </si>
  <si>
    <t>1,089,000.00</t>
  </si>
  <si>
    <t>2,080,000.00</t>
  </si>
  <si>
    <t>1,581,250.00</t>
  </si>
  <si>
    <t>2,567,900.00</t>
  </si>
  <si>
    <t>3,533,250.00</t>
  </si>
  <si>
    <t>1,206,800.00</t>
  </si>
  <si>
    <t>141,750.00</t>
  </si>
  <si>
    <t>1,249,730.00</t>
  </si>
  <si>
    <t>853,200.00</t>
  </si>
  <si>
    <t>1,323,225.40</t>
  </si>
  <si>
    <t>2,126,600.00</t>
  </si>
  <si>
    <t>1,245,400.00</t>
  </si>
  <si>
    <t>745,600.00</t>
  </si>
  <si>
    <t>1,936,500.00</t>
  </si>
  <si>
    <t>895,450.00</t>
  </si>
  <si>
    <t>331,600.00</t>
  </si>
  <si>
    <t>2,925,000.00</t>
  </si>
  <si>
    <t>494,128.95</t>
  </si>
  <si>
    <t>352,990.00</t>
  </si>
  <si>
    <t>3,490,000.00</t>
  </si>
  <si>
    <t>3,357,961.80</t>
  </si>
  <si>
    <t>1,756,700.00</t>
  </si>
  <si>
    <t>6,964,400.00</t>
  </si>
  <si>
    <t>4,914,800.00</t>
  </si>
  <si>
    <t>972,000.00</t>
  </si>
  <si>
    <t>1,665,000.00</t>
  </si>
  <si>
    <t>1,045,500.00</t>
  </si>
  <si>
    <t>5,484,741.60</t>
  </si>
  <si>
    <t>507,300.00</t>
  </si>
  <si>
    <t>98,755.00</t>
  </si>
  <si>
    <t>4,215,062.00</t>
  </si>
  <si>
    <t>9,619,205.00</t>
  </si>
  <si>
    <t>427,580.00</t>
  </si>
  <si>
    <t>482,400.00</t>
  </si>
  <si>
    <t>6,443,090.67</t>
  </si>
  <si>
    <t>1,670,477.13</t>
  </si>
  <si>
    <t>1,967,858.62</t>
  </si>
  <si>
    <t>4,199,656.00</t>
  </si>
  <si>
    <t>1,967,856.71</t>
  </si>
  <si>
    <t>1,663,500.00</t>
  </si>
  <si>
    <t>243,000.00</t>
  </si>
  <si>
    <t>372,590.00</t>
  </si>
  <si>
    <t>24,750,000.00</t>
  </si>
  <si>
    <t>2,635,000.00</t>
  </si>
  <si>
    <t>2,999,989.55</t>
  </si>
  <si>
    <t>2,753,813.00</t>
  </si>
  <si>
    <t>958,361.42</t>
  </si>
  <si>
    <t>68,150,000.00</t>
  </si>
  <si>
    <t>1,810,000.00</t>
  </si>
  <si>
    <t>53,060.04</t>
  </si>
  <si>
    <t>34,000,000.00</t>
  </si>
  <si>
    <t>4,233,668.13</t>
  </si>
  <si>
    <t>66,500,000.00</t>
  </si>
  <si>
    <t>5,199,966.05</t>
  </si>
  <si>
    <t>124,998,300.00</t>
  </si>
  <si>
    <t>11,406,000.00</t>
  </si>
  <si>
    <t>4,199,959.40</t>
  </si>
  <si>
    <t>525,540.00</t>
  </si>
  <si>
    <t>464,340.31</t>
  </si>
  <si>
    <t>37,810,000.00</t>
  </si>
  <si>
    <t>483,219.94</t>
  </si>
  <si>
    <t>49,750,000.00</t>
  </si>
  <si>
    <t>491,764.79</t>
  </si>
  <si>
    <t>100,171,100.00</t>
  </si>
  <si>
    <t>11,824,122.00</t>
  </si>
  <si>
    <t>1,676,020.00</t>
  </si>
  <si>
    <t>301,840.00</t>
  </si>
  <si>
    <t>76,253.00</t>
  </si>
  <si>
    <t>12,217,949.14</t>
  </si>
  <si>
    <t>5,343,602.82</t>
  </si>
  <si>
    <t>1,644,970.00</t>
  </si>
  <si>
    <t>718,332.91</t>
  </si>
  <si>
    <t>1,499,333.79</t>
  </si>
  <si>
    <t>95,265.00</t>
  </si>
  <si>
    <t>1,870,000.00</t>
  </si>
  <si>
    <t>1,999,386.58</t>
  </si>
  <si>
    <t>3,267,000.00</t>
  </si>
  <si>
    <t>4,349,529.46</t>
  </si>
  <si>
    <t>144,450.00</t>
  </si>
  <si>
    <t>491,763.36</t>
  </si>
  <si>
    <t>2,623,214.00</t>
  </si>
  <si>
    <t>1,887,175.00</t>
  </si>
  <si>
    <t>260,255.33</t>
  </si>
  <si>
    <t>797,365.20</t>
  </si>
  <si>
    <t>64,450.00</t>
  </si>
  <si>
    <t>1,801,079.00</t>
  </si>
  <si>
    <t>871,453.50</t>
  </si>
  <si>
    <t>619,550.00</t>
  </si>
  <si>
    <t>242,500.00</t>
  </si>
  <si>
    <t>527,310.16</t>
  </si>
  <si>
    <t>884,500.00</t>
  </si>
  <si>
    <t>23,738,953.96</t>
  </si>
  <si>
    <t>3,210,000.00</t>
  </si>
  <si>
    <t>1,494,781.00</t>
  </si>
  <si>
    <t>8,499,337.31</t>
  </si>
  <si>
    <t>3,494,222.55</t>
  </si>
  <si>
    <t>1,464,428.16</t>
  </si>
  <si>
    <t>183,000.00</t>
  </si>
  <si>
    <t>304,570.00</t>
  </si>
  <si>
    <t>151,197.50</t>
  </si>
  <si>
    <t>1,688,000.00</t>
  </si>
  <si>
    <t>1,966,563.00</t>
  </si>
  <si>
    <t>2,850,486.00</t>
  </si>
  <si>
    <t>1,108,767.85</t>
  </si>
  <si>
    <t>924,460.00</t>
  </si>
  <si>
    <t>4,887,952.56</t>
  </si>
  <si>
    <t>121,860.00</t>
  </si>
  <si>
    <t>943,000.00</t>
  </si>
  <si>
    <t>158,410.00</t>
  </si>
  <si>
    <t>464,600.00</t>
  </si>
  <si>
    <t>10,100,000.00</t>
  </si>
  <si>
    <t>1,975,825.00</t>
  </si>
  <si>
    <t>3,867,786.28</t>
  </si>
  <si>
    <t>914,740.00</t>
  </si>
  <si>
    <t>312,900.00</t>
  </si>
  <si>
    <t>11,362,000.00</t>
  </si>
  <si>
    <t>1,584,198.00</t>
  </si>
  <si>
    <t>498,955.00</t>
  </si>
  <si>
    <t>559,000.00</t>
  </si>
  <si>
    <t>1,086,548.30</t>
  </si>
  <si>
    <t>1,872,000.00</t>
  </si>
  <si>
    <t>32,100,000.00</t>
  </si>
  <si>
    <t>4,552,000.00</t>
  </si>
  <si>
    <t>2,128,510.00</t>
  </si>
  <si>
    <t>9,561,000.00</t>
  </si>
  <si>
    <t>1,238,994.75</t>
  </si>
  <si>
    <t>8,853,650.00</t>
  </si>
  <si>
    <t>11,372,015.00</t>
  </si>
  <si>
    <t>37,008,000.00</t>
  </si>
  <si>
    <t>11,263,088.69</t>
  </si>
  <si>
    <t>351,847.00</t>
  </si>
  <si>
    <t>96,000,000.00</t>
  </si>
  <si>
    <t>80,519,241.26</t>
  </si>
  <si>
    <t>5,222,270.00</t>
  </si>
  <si>
    <t>2,999,274.22</t>
  </si>
  <si>
    <t>1,599,991.18</t>
  </si>
  <si>
    <t>999,291.92</t>
  </si>
  <si>
    <t>199,751,461.80</t>
  </si>
  <si>
    <t>5,080,000.00</t>
  </si>
  <si>
    <t>1,222,977.00</t>
  </si>
  <si>
    <t>4,843,750.00</t>
  </si>
  <si>
    <t>632,751.17</t>
  </si>
  <si>
    <t>2,121,368.00</t>
  </si>
  <si>
    <t>7,620,000.00</t>
  </si>
  <si>
    <t>1,676,750.00</t>
  </si>
  <si>
    <t>2,469,841.74</t>
  </si>
  <si>
    <t>8,642,902.11</t>
  </si>
  <si>
    <t>1,257,670.00</t>
  </si>
  <si>
    <t>3,499,645.30</t>
  </si>
  <si>
    <t>8,366,839.64</t>
  </si>
  <si>
    <t>1,157,500.00</t>
  </si>
  <si>
    <t>1,212,362.00</t>
  </si>
  <si>
    <t>389,710.00</t>
  </si>
  <si>
    <t>5,325,000.00</t>
  </si>
  <si>
    <t>2,693,460.60</t>
  </si>
  <si>
    <t>106,061.00</t>
  </si>
  <si>
    <t>1,954,800.00</t>
  </si>
  <si>
    <t>1,716,800.00</t>
  </si>
  <si>
    <t>3,761,800.00</t>
  </si>
  <si>
    <t>145,716.00</t>
  </si>
  <si>
    <t>1,250,067.50</t>
  </si>
  <si>
    <t>115,930.00</t>
  </si>
  <si>
    <t>3,900.00</t>
  </si>
  <si>
    <t>682,094,848.60</t>
  </si>
  <si>
    <t>9,240.00</t>
  </si>
  <si>
    <t>54,400.00</t>
  </si>
  <si>
    <t>39,930,000.00</t>
  </si>
  <si>
    <t>428,153.00</t>
  </si>
  <si>
    <t>36,344,640.00</t>
  </si>
  <si>
    <t>1,506,392.75</t>
  </si>
  <si>
    <t>1,403,140.00</t>
  </si>
  <si>
    <t>12,763,621.85</t>
  </si>
  <si>
    <t>214,586.65</t>
  </si>
  <si>
    <t>3,663,000.00</t>
  </si>
  <si>
    <t>198,210.00</t>
  </si>
  <si>
    <t>290,556.84</t>
  </si>
  <si>
    <t>54,636,112.96</t>
  </si>
  <si>
    <t>1,490,511.62</t>
  </si>
  <si>
    <t>1,347,840.00</t>
  </si>
  <si>
    <t>1,146,036.00</t>
  </si>
  <si>
    <t>3,949,823.46</t>
  </si>
  <si>
    <t>91,859.00</t>
  </si>
  <si>
    <t>1,701,272.63</t>
  </si>
  <si>
    <t>2,949,479.87</t>
  </si>
  <si>
    <t>64,550.00</t>
  </si>
  <si>
    <t>1,638,000.00</t>
  </si>
  <si>
    <t>4,580,868.60</t>
  </si>
  <si>
    <t>7,983,000.00</t>
  </si>
  <si>
    <t>154,325.00</t>
  </si>
  <si>
    <t>2,867,060.00</t>
  </si>
  <si>
    <t>11,995,797.79</t>
  </si>
  <si>
    <t>9,873,360.00</t>
  </si>
  <si>
    <t>353,151,208.00</t>
  </si>
  <si>
    <t>117,474.35</t>
  </si>
  <si>
    <t>1,020,265.00</t>
  </si>
  <si>
    <t>13,000,000.00</t>
  </si>
  <si>
    <t>1,415,000.00</t>
  </si>
  <si>
    <t>14,699,923.84</t>
  </si>
  <si>
    <t>112,616.00</t>
  </si>
  <si>
    <t>1,820,340.00</t>
  </si>
  <si>
    <t>57,900,000.00</t>
  </si>
  <si>
    <t>17,981,710.77</t>
  </si>
  <si>
    <t>63,900.00</t>
  </si>
  <si>
    <t>22,256,000.00</t>
  </si>
  <si>
    <t>1,336,253.63</t>
  </si>
  <si>
    <t>2,250,600.00</t>
  </si>
  <si>
    <t>9,951,082.66</t>
  </si>
  <si>
    <t>2,999,899.62</t>
  </si>
  <si>
    <t>1,238,799.00</t>
  </si>
  <si>
    <t>35,317,962.84</t>
  </si>
  <si>
    <t>1,294,045.20</t>
  </si>
  <si>
    <t>77,155.00</t>
  </si>
  <si>
    <t>4,499,775.25</t>
  </si>
  <si>
    <t>1,838,363.50</t>
  </si>
  <si>
    <t>2,988,557.81</t>
  </si>
  <si>
    <t>1,540,578.00</t>
  </si>
  <si>
    <t>1,948,374.73</t>
  </si>
  <si>
    <t>470,320.00</t>
  </si>
  <si>
    <t>4,999,891.68</t>
  </si>
  <si>
    <t>2,591,462.94</t>
  </si>
  <si>
    <t>23,100,000.00</t>
  </si>
  <si>
    <t>25,500,000.00</t>
  </si>
  <si>
    <t>6,709,836.00</t>
  </si>
  <si>
    <t>4,742,979.00</t>
  </si>
  <si>
    <t>544,500.00</t>
  </si>
  <si>
    <t>4,675,000.00</t>
  </si>
  <si>
    <t>4,399,423.00</t>
  </si>
  <si>
    <t>2,547,280.00</t>
  </si>
  <si>
    <t>2,551,400.00</t>
  </si>
  <si>
    <t>3,167,660.35</t>
  </si>
  <si>
    <t>1,680,840.00</t>
  </si>
  <si>
    <t>4,804,693,006.21</t>
  </si>
  <si>
    <t>10,066,200.00</t>
  </si>
  <si>
    <t>11,600,000.00</t>
  </si>
  <si>
    <t>106,185.00</t>
  </si>
  <si>
    <t>58,390.00</t>
  </si>
  <si>
    <t>8,210,039.00</t>
  </si>
  <si>
    <t>9,776,567.52</t>
  </si>
  <si>
    <t>28,698,000.00</t>
  </si>
  <si>
    <t>1,653,000.00</t>
  </si>
  <si>
    <t>3,572,160.00</t>
  </si>
  <si>
    <t>2,541,805.91</t>
  </si>
  <si>
    <t>12,573,000.00</t>
  </si>
  <si>
    <t>10,917,626.10</t>
  </si>
  <si>
    <t>3,910,574.00</t>
  </si>
  <si>
    <t>2,720,000.00</t>
  </si>
  <si>
    <t>4,925,462.38</t>
  </si>
  <si>
    <t>24,271,844.65</t>
  </si>
  <si>
    <t>65,280,561.48</t>
  </si>
  <si>
    <t>3,720.00</t>
  </si>
  <si>
    <t>1,260,000.00</t>
  </si>
  <si>
    <t>19,899,998.35</t>
  </si>
  <si>
    <t>14,700,000.00</t>
  </si>
  <si>
    <t>8,999,823.18</t>
  </si>
  <si>
    <t>14,994,554.20</t>
  </si>
  <si>
    <t>2,548,699.70</t>
  </si>
  <si>
    <t>9,274,085.20</t>
  </si>
  <si>
    <t>227,900,000.00</t>
  </si>
  <si>
    <t>17,953,236.15</t>
  </si>
  <si>
    <t>5,768,372.88</t>
  </si>
  <si>
    <t>45,700,000.00</t>
  </si>
  <si>
    <t>999,758.63</t>
  </si>
  <si>
    <t>17,211,176.79</t>
  </si>
  <si>
    <t>1,961,698.69</t>
  </si>
  <si>
    <t>46,831,192.72</t>
  </si>
  <si>
    <t>6,688,000.00</t>
  </si>
  <si>
    <t>12,437,495.68</t>
  </si>
  <si>
    <t>149,833,333.54</t>
  </si>
  <si>
    <t>9,993,283.24</t>
  </si>
  <si>
    <t>10,405,108.10</t>
  </si>
  <si>
    <t>28,370,371.99</t>
  </si>
  <si>
    <t>24,375,112.56</t>
  </si>
  <si>
    <t>10,093,785.75</t>
  </si>
  <si>
    <t>80,200.00</t>
  </si>
  <si>
    <t>5,075,556.19</t>
  </si>
  <si>
    <t>912,000.00</t>
  </si>
  <si>
    <t>2,386,800.00</t>
  </si>
  <si>
    <t>5,129,807.45</t>
  </si>
  <si>
    <t>7,216,964.86</t>
  </si>
  <si>
    <t>2,469,000.00</t>
  </si>
  <si>
    <t>40,654,602.00</t>
  </si>
  <si>
    <t>3,865,000.00</t>
  </si>
  <si>
    <t>3,992,992.50</t>
  </si>
  <si>
    <t>45,600,000.00</t>
  </si>
  <si>
    <t>26,276,000.00</t>
  </si>
  <si>
    <t>1,244,000.00</t>
  </si>
  <si>
    <t>18,949,654.50</t>
  </si>
  <si>
    <t>36,749,216.45</t>
  </si>
  <si>
    <t>12,475,800.00</t>
  </si>
  <si>
    <t>6,150,000.00</t>
  </si>
  <si>
    <t>5,381,063.73</t>
  </si>
  <si>
    <t>19,920,658.80</t>
  </si>
  <si>
    <t>2,580,048.21</t>
  </si>
  <si>
    <t>85,312,920.00</t>
  </si>
  <si>
    <t>40,180,000.00</t>
  </si>
  <si>
    <t>76,255,265.00</t>
  </si>
  <si>
    <t>829,230.15</t>
  </si>
  <si>
    <t>12,437,478.23</t>
  </si>
  <si>
    <t>20,580,000.00</t>
  </si>
  <si>
    <t>35,010,000.00</t>
  </si>
  <si>
    <t>113,425.00</t>
  </si>
  <si>
    <t>18,149,874.36</t>
  </si>
  <si>
    <t>4,062,628.26</t>
  </si>
  <si>
    <t>6,820,000.00</t>
  </si>
  <si>
    <t>512,090.00</t>
  </si>
  <si>
    <t>12,573,621.67</t>
  </si>
  <si>
    <t>45,947,281.64</t>
  </si>
  <si>
    <t>161,900.00</t>
  </si>
  <si>
    <t>4,333,462.00</t>
  </si>
  <si>
    <t>12,437,369.00</t>
  </si>
  <si>
    <t>53,075,000.00</t>
  </si>
  <si>
    <t>39,200,000.00</t>
  </si>
  <si>
    <t>96,794.00</t>
  </si>
  <si>
    <t>192,480.96</t>
  </si>
  <si>
    <t>98,045,669.86</t>
  </si>
  <si>
    <t>219,250.00</t>
  </si>
  <si>
    <t>19,570.00</t>
  </si>
  <si>
    <t>720,328.00</t>
  </si>
  <si>
    <t>7,350,000.00</t>
  </si>
  <si>
    <t>13,720,000.00</t>
  </si>
  <si>
    <t>12,740,000.00</t>
  </si>
  <si>
    <t>5,317,000.00</t>
  </si>
  <si>
    <t>944,625.00</t>
  </si>
  <si>
    <t>198,799.00</t>
  </si>
  <si>
    <t>724,000.00</t>
  </si>
  <si>
    <t>968,400.00</t>
  </si>
  <si>
    <t>4,224,800.00</t>
  </si>
  <si>
    <t>5,938,259.14</t>
  </si>
  <si>
    <t>16,258,200.00</t>
  </si>
  <si>
    <t>181,280.00</t>
  </si>
  <si>
    <t>10,622,795.00</t>
  </si>
  <si>
    <t>12,034,400.00</t>
  </si>
  <si>
    <t>27,165,600.00</t>
  </si>
  <si>
    <t>2,281,000.00</t>
  </si>
  <si>
    <t>2,787,756.08</t>
  </si>
  <si>
    <t>2,340,801.68</t>
  </si>
  <si>
    <t>1,329,428.01</t>
  </si>
  <si>
    <t>4,321,800.00</t>
  </si>
  <si>
    <t>1,114,793.99</t>
  </si>
  <si>
    <t>3,025,657.63</t>
  </si>
  <si>
    <t>28,916,667.00</t>
  </si>
  <si>
    <t>2,606,951.31</t>
  </si>
  <si>
    <t>8,354,807.53</t>
  </si>
  <si>
    <t>80,000,000.00</t>
  </si>
  <si>
    <t>9,615,264.00</t>
  </si>
  <si>
    <t>547,772.00</t>
  </si>
  <si>
    <t>8,579,377.32</t>
  </si>
  <si>
    <t>36,663,533.40</t>
  </si>
  <si>
    <t>3,028,500.00</t>
  </si>
  <si>
    <t>1,999,475.58</t>
  </si>
  <si>
    <t>580,498,261.00</t>
  </si>
  <si>
    <t>1,542,307.69</t>
  </si>
  <si>
    <t>637,855.00</t>
  </si>
  <si>
    <t>2,887,499.99</t>
  </si>
  <si>
    <t>144,747,335.55</t>
  </si>
  <si>
    <t>371,700.00</t>
  </si>
  <si>
    <t>238,559,941.57</t>
  </si>
  <si>
    <t>10,769,230.64</t>
  </si>
  <si>
    <t>19,801,477.33</t>
  </si>
  <si>
    <t>419,500.00</t>
  </si>
  <si>
    <t>10,159,540,045.42</t>
  </si>
  <si>
    <t>20,162,841,907.02</t>
  </si>
  <si>
    <t>369,032,352.00</t>
  </si>
  <si>
    <t>1,187,849.29</t>
  </si>
  <si>
    <t>2,823,316.31</t>
  </si>
  <si>
    <t>4,250,000.00</t>
  </si>
  <si>
    <t>69,682,190.00</t>
  </si>
  <si>
    <t>59,400,000.00</t>
  </si>
  <si>
    <t>2,969,989.51</t>
  </si>
  <si>
    <t>128,240.00</t>
  </si>
  <si>
    <t>151,386.19</t>
  </si>
  <si>
    <t>2,816,458.32</t>
  </si>
  <si>
    <t>47,753,184.80</t>
  </si>
  <si>
    <t>23,000,000.00</t>
  </si>
  <si>
    <t>61,708.53</t>
  </si>
  <si>
    <t>9,008,458.00</t>
  </si>
  <si>
    <t>1,905,000.00</t>
  </si>
  <si>
    <t>54,420.10</t>
  </si>
  <si>
    <t>58,657,553.00</t>
  </si>
  <si>
    <t>87,015.00</t>
  </si>
  <si>
    <t>8,372,579.52</t>
  </si>
  <si>
    <t>5,050,000.00</t>
  </si>
  <si>
    <t>48,999,866.87</t>
  </si>
  <si>
    <t>21,342,705.42</t>
  </si>
  <si>
    <t>106,149,995.59</t>
  </si>
  <si>
    <t>4,070,000.00</t>
  </si>
  <si>
    <t>39,192,410.10</t>
  </si>
  <si>
    <t>496,000,000.00</t>
  </si>
  <si>
    <t>41,086,000.00</t>
  </si>
  <si>
    <t>4,630,200.00</t>
  </si>
  <si>
    <t>1,499,791.00</t>
  </si>
  <si>
    <t>1,077,000.00</t>
  </si>
  <si>
    <t>521,490.00</t>
  </si>
  <si>
    <t>98,618.00</t>
  </si>
  <si>
    <t>2,830,813.84</t>
  </si>
  <si>
    <t>1,055,000.00</t>
  </si>
  <si>
    <t>2,998,329.01</t>
  </si>
  <si>
    <t>2,922,481.59</t>
  </si>
  <si>
    <t>74,334,845.33</t>
  </si>
  <si>
    <t>47,300,000.00</t>
  </si>
  <si>
    <t>3,082,915.50</t>
  </si>
  <si>
    <t>3,392,438.00</t>
  </si>
  <si>
    <t>8,697.90</t>
  </si>
  <si>
    <t>29,699,982.26</t>
  </si>
  <si>
    <t>1,021,498.46</t>
  </si>
  <si>
    <t>25,625.00</t>
  </si>
  <si>
    <t>247,243,547.36</t>
  </si>
  <si>
    <t>2,921,747.07</t>
  </si>
  <si>
    <t>1,687,566,270.50</t>
  </si>
  <si>
    <t>1,818,330,567.90</t>
  </si>
  <si>
    <t>1,624,000.00</t>
  </si>
  <si>
    <t>1,854,958.60</t>
  </si>
  <si>
    <t>4,480.00</t>
  </si>
  <si>
    <t>1,368,165.00</t>
  </si>
  <si>
    <t>1,999,999.81</t>
  </si>
  <si>
    <t>1,015,595.00</t>
  </si>
  <si>
    <t>1,408,225.00</t>
  </si>
  <si>
    <t>13,190,000.00</t>
  </si>
  <si>
    <t>9,600.00</t>
  </si>
  <si>
    <t>538,600.00</t>
  </si>
  <si>
    <t>9,937,080.00</t>
  </si>
  <si>
    <t>1,472,984.71</t>
  </si>
  <si>
    <t>876,800.00</t>
  </si>
  <si>
    <t>3,567,000.00</t>
  </si>
  <si>
    <t>142,405,063.30</t>
  </si>
  <si>
    <t>1,200,960.00</t>
  </si>
  <si>
    <t>3,759,553.34</t>
  </si>
  <si>
    <t>131,188.00</t>
  </si>
  <si>
    <t>77,200,000.00</t>
  </si>
  <si>
    <t>48,999,826.04</t>
  </si>
  <si>
    <t>22,248,000.00</t>
  </si>
  <si>
    <t>14,423,076.92</t>
  </si>
  <si>
    <t>4,059,876.99</t>
  </si>
  <si>
    <t>4,615,374.36</t>
  </si>
  <si>
    <t>45,361,366,040.29</t>
  </si>
  <si>
    <t>14,849,946.31</t>
  </si>
  <si>
    <t>14,849,659.73</t>
  </si>
  <si>
    <t>1,083,290.12</t>
  </si>
  <si>
    <t>39,600,000.00</t>
  </si>
  <si>
    <t>2,030,000.00</t>
  </si>
  <si>
    <t>2,260,000.00</t>
  </si>
  <si>
    <t>5,475,268.70</t>
  </si>
  <si>
    <t>651,700.00</t>
  </si>
  <si>
    <t>29,699,973.77</t>
  </si>
  <si>
    <t>52,110,000.00</t>
  </si>
  <si>
    <t>190,375,000.00</t>
  </si>
  <si>
    <t>774,559.72</t>
  </si>
  <si>
    <t>1,749,074.98</t>
  </si>
  <si>
    <t>11,520,600.00</t>
  </si>
  <si>
    <t>2,521,768.78</t>
  </si>
  <si>
    <t>224,787.50</t>
  </si>
  <si>
    <t>59,399,994.70</t>
  </si>
  <si>
    <t>362,400.00</t>
  </si>
  <si>
    <t>1,827,188.00</t>
  </si>
  <si>
    <t>114,550.00</t>
  </si>
  <si>
    <t>7,042,785.12</t>
  </si>
  <si>
    <t>292,310.00</t>
  </si>
  <si>
    <t>489,995.00</t>
  </si>
  <si>
    <t>1,568,030.00</t>
  </si>
  <si>
    <t>1,778,400.00</t>
  </si>
  <si>
    <t>1,893,881.60</t>
  </si>
  <si>
    <t>4,999,039.63</t>
  </si>
  <si>
    <t>377,152.00</t>
  </si>
  <si>
    <t>1,086,400.00</t>
  </si>
  <si>
    <t>1,831,392.00</t>
  </si>
  <si>
    <t>734,936.50</t>
  </si>
  <si>
    <t>10,664,300.00</t>
  </si>
  <si>
    <t>4,999,134.09</t>
  </si>
  <si>
    <t>2,870,585.76</t>
  </si>
  <si>
    <t>210,574.22</t>
  </si>
  <si>
    <t>228,445.00</t>
  </si>
  <si>
    <t>2,213,641.12</t>
  </si>
  <si>
    <t>1,499,950.50</t>
  </si>
  <si>
    <t>1,053,429.90</t>
  </si>
  <si>
    <t>543,120.00</t>
  </si>
  <si>
    <t>1,019,820.00</t>
  </si>
  <si>
    <t>11,180,000.00</t>
  </si>
  <si>
    <t>4,987,921.22</t>
  </si>
  <si>
    <t>1,113,783.04</t>
  </si>
  <si>
    <t>15,344,856.27</t>
  </si>
  <si>
    <t>5,368,000.00</t>
  </si>
  <si>
    <t>2,859,300.00</t>
  </si>
  <si>
    <t>26,376,000.00</t>
  </si>
  <si>
    <t>1,573,907.89</t>
  </si>
  <si>
    <t>5,375,415.00</t>
  </si>
  <si>
    <t>1,479,219.39</t>
  </si>
  <si>
    <t>1,428,824.00</t>
  </si>
  <si>
    <t>749,040.00</t>
  </si>
  <si>
    <t>4,047,778.35</t>
  </si>
  <si>
    <t>17,993,423.47</t>
  </si>
  <si>
    <t>878,547.79</t>
  </si>
  <si>
    <t>507,060.00</t>
  </si>
  <si>
    <t>15,395,235.00</t>
  </si>
  <si>
    <t>1,420,000.00</t>
  </si>
  <si>
    <t>153,883.34</t>
  </si>
  <si>
    <t>995,530.00</t>
  </si>
  <si>
    <t>5,283,000.00</t>
  </si>
  <si>
    <t>82,934,984.00</t>
  </si>
  <si>
    <t>10,800,000.00</t>
  </si>
  <si>
    <t>9,470,603.91</t>
  </si>
  <si>
    <t>521,405.00</t>
  </si>
  <si>
    <t>7,845,450.00</t>
  </si>
  <si>
    <t>131,708,998.04</t>
  </si>
  <si>
    <t>2,298,889.10</t>
  </si>
  <si>
    <t>97,738,737.10</t>
  </si>
  <si>
    <t>1,129,182.00</t>
  </si>
  <si>
    <t>2,540,720.41</t>
  </si>
  <si>
    <t>927,792.68</t>
  </si>
  <si>
    <t>1,605,648.38</t>
  </si>
  <si>
    <t>2,947,893.17</t>
  </si>
  <si>
    <t>170,000,000.00</t>
  </si>
  <si>
    <t>5,562,585.65</t>
  </si>
  <si>
    <t>333,508.00</t>
  </si>
  <si>
    <t>384,646.82</t>
  </si>
  <si>
    <t>55,000.01</t>
  </si>
  <si>
    <t>18,295,435.41</t>
  </si>
  <si>
    <t>830,390.00</t>
  </si>
  <si>
    <t>34,561,365.75</t>
  </si>
  <si>
    <t>1,508,988.00</t>
  </si>
  <si>
    <t>2,031,987.50</t>
  </si>
  <si>
    <t>1,919,999.90</t>
  </si>
  <si>
    <t>1,907,146.87</t>
  </si>
  <si>
    <t>352,843.00</t>
  </si>
  <si>
    <t>267,630.00</t>
  </si>
  <si>
    <t>1,680,836.00</t>
  </si>
  <si>
    <t>2,799,074.12</t>
  </si>
  <si>
    <t>65,434,431.60</t>
  </si>
  <si>
    <t>744,946.00</t>
  </si>
  <si>
    <t>1,475,945.00</t>
  </si>
  <si>
    <t>64,224.00</t>
  </si>
  <si>
    <t>5,431,530.33</t>
  </si>
  <si>
    <t>24,218.00</t>
  </si>
  <si>
    <t>8,793,120.00</t>
  </si>
  <si>
    <t>17,822,473.99</t>
  </si>
  <si>
    <t>294,542.00</t>
  </si>
  <si>
    <t>4,999,000.00</t>
  </si>
  <si>
    <t>243,580.00</t>
  </si>
  <si>
    <t>294,800.00</t>
  </si>
  <si>
    <t>64,579.73</t>
  </si>
  <si>
    <t>4,569,682.00</t>
  </si>
  <si>
    <t>4,949,999.40</t>
  </si>
  <si>
    <t>1,001,490.00</t>
  </si>
  <si>
    <t>513,529.60</t>
  </si>
  <si>
    <t>533,850.00</t>
  </si>
  <si>
    <t>750,490.00</t>
  </si>
  <si>
    <t>3,782,250.00</t>
  </si>
  <si>
    <t>2,699,480.00</t>
  </si>
  <si>
    <t>902,025.00</t>
  </si>
  <si>
    <t>1,399,300.00</t>
  </si>
  <si>
    <t>4,821,281.92</t>
  </si>
  <si>
    <t>3,849,192.41</t>
  </si>
  <si>
    <t>1,921,971.02</t>
  </si>
  <si>
    <t>3,350,000.00</t>
  </si>
  <si>
    <t>1,918,322.25</t>
  </si>
  <si>
    <t>2,919,574.71</t>
  </si>
  <si>
    <t>2,956,556.86</t>
  </si>
  <si>
    <t>612,000.00</t>
  </si>
  <si>
    <t>2,865,843.76</t>
  </si>
  <si>
    <t>3,511,497.81</t>
  </si>
  <si>
    <t>199,400.00</t>
  </si>
  <si>
    <t>7 Day/s</t>
  </si>
  <si>
    <t>15 Day/s</t>
  </si>
  <si>
    <t>75 Day/s</t>
  </si>
  <si>
    <t>60 Day/s</t>
  </si>
  <si>
    <t>30 Day/s</t>
  </si>
  <si>
    <t>10 Day/s</t>
  </si>
  <si>
    <t>0 Day/s</t>
  </si>
  <si>
    <t>32 Day/s</t>
  </si>
  <si>
    <t>54 Day/s</t>
  </si>
  <si>
    <t>24 Day/s</t>
  </si>
  <si>
    <t>18 Day/s</t>
  </si>
  <si>
    <t>33 Day/s</t>
  </si>
  <si>
    <t>3 Month/s</t>
  </si>
  <si>
    <t>23 Day/s</t>
  </si>
  <si>
    <t>27 Day/s</t>
  </si>
  <si>
    <t>228 Day/s</t>
  </si>
  <si>
    <t>25 Day/s</t>
  </si>
  <si>
    <t>35 Day/s</t>
  </si>
  <si>
    <t>22 Day/s</t>
  </si>
  <si>
    <t>20 Day/s</t>
  </si>
  <si>
    <t>40 Day/s</t>
  </si>
  <si>
    <t>45 Day/s</t>
  </si>
  <si>
    <t>5 Day/s</t>
  </si>
  <si>
    <t>6 Day/s</t>
  </si>
  <si>
    <t>14 Day/s</t>
  </si>
  <si>
    <t>70 Day/s</t>
  </si>
  <si>
    <t>17 Day/s</t>
  </si>
  <si>
    <t>124 Day/s</t>
  </si>
  <si>
    <t>13 Day/s</t>
  </si>
  <si>
    <t>49 Day/s</t>
  </si>
  <si>
    <t>55 Day/s</t>
  </si>
  <si>
    <t>150 Day/s</t>
  </si>
  <si>
    <t>3 Day/s</t>
  </si>
  <si>
    <t>1 Day/s</t>
  </si>
  <si>
    <t>2 Day/s</t>
  </si>
  <si>
    <t>210 Day/s</t>
  </si>
  <si>
    <t>67 Day/s</t>
  </si>
  <si>
    <t>90 Day/s</t>
  </si>
  <si>
    <t>100 Day/s</t>
  </si>
  <si>
    <t>56 Day/s</t>
  </si>
  <si>
    <t>80 Day/s</t>
  </si>
  <si>
    <t>9 Day/s</t>
  </si>
  <si>
    <t>140 Day/s</t>
  </si>
  <si>
    <t>122 Day/s</t>
  </si>
  <si>
    <t>120 Day/s</t>
  </si>
  <si>
    <t>145 Day/s</t>
  </si>
  <si>
    <t>7 Month/s</t>
  </si>
  <si>
    <t>50 Day/s</t>
  </si>
  <si>
    <t>5 Month/s</t>
  </si>
  <si>
    <t>1 Year/s</t>
  </si>
  <si>
    <t>1 Month/s</t>
  </si>
  <si>
    <t>61 Day/s</t>
  </si>
  <si>
    <t>280 Day/s</t>
  </si>
  <si>
    <t>21 Day/s</t>
  </si>
  <si>
    <t>180 Day/s</t>
  </si>
  <si>
    <t>65 Day/s</t>
  </si>
  <si>
    <t>356 Day/s</t>
  </si>
  <si>
    <t>345 Day/s</t>
  </si>
  <si>
    <t>360 Day/s</t>
  </si>
  <si>
    <t>220 Day/s</t>
  </si>
  <si>
    <t>6 Month/s</t>
  </si>
  <si>
    <t>52 Day/s</t>
  </si>
  <si>
    <t>110 Day/s</t>
  </si>
  <si>
    <t>300 Day/s</t>
  </si>
  <si>
    <t>42 Day/s</t>
  </si>
  <si>
    <t>28 Day/s</t>
  </si>
  <si>
    <t>95 Day/s</t>
  </si>
  <si>
    <t>225 Day/s</t>
  </si>
  <si>
    <t>12 Day/s</t>
  </si>
  <si>
    <t>232 Day/s</t>
  </si>
  <si>
    <t>138 Day/s</t>
  </si>
  <si>
    <t>31 Day/s</t>
  </si>
  <si>
    <t>11 Day/s</t>
  </si>
  <si>
    <t>37 Day/s</t>
  </si>
  <si>
    <t>207 Day/s</t>
  </si>
  <si>
    <t>8 Day/s</t>
  </si>
  <si>
    <t>211 Day/s</t>
  </si>
  <si>
    <t>43 Day/s</t>
  </si>
  <si>
    <t>4 Day/s</t>
  </si>
  <si>
    <t>112 Day/s</t>
  </si>
  <si>
    <t>15 Month/s</t>
  </si>
  <si>
    <t>4 Month/s</t>
  </si>
  <si>
    <t>46 Day/s</t>
  </si>
  <si>
    <t>72 Day/s</t>
  </si>
  <si>
    <t>390 Day/s</t>
  </si>
  <si>
    <t>38 Day/s</t>
  </si>
  <si>
    <t>92 Day/s</t>
  </si>
  <si>
    <t>51 Day/s</t>
  </si>
  <si>
    <t>108 Day/s</t>
  </si>
  <si>
    <t>660 Day/s</t>
  </si>
  <si>
    <t>97 Day/s</t>
  </si>
  <si>
    <t>1284 Day/s</t>
  </si>
  <si>
    <t>88 Day/s</t>
  </si>
  <si>
    <t>48 Day/s</t>
  </si>
  <si>
    <t>84 Day/s</t>
  </si>
  <si>
    <t>89 Day/s</t>
  </si>
  <si>
    <t>98 Day/s</t>
  </si>
  <si>
    <t>44 Day/s</t>
  </si>
  <si>
    <t>26 Day/s</t>
  </si>
  <si>
    <t>16 Day/s</t>
  </si>
  <si>
    <t>160 Day/s</t>
  </si>
  <si>
    <t>121 Day/s</t>
  </si>
  <si>
    <t>111 Day/s</t>
  </si>
  <si>
    <t>105 Day/s</t>
  </si>
  <si>
    <t>270 Day/s</t>
  </si>
  <si>
    <t>2 Month/s</t>
  </si>
  <si>
    <t>36 Day/s</t>
  </si>
  <si>
    <t>255 Day/s</t>
  </si>
  <si>
    <t>540 Day/s</t>
  </si>
  <si>
    <t>185 Day/s</t>
  </si>
  <si>
    <t>85 Day/s</t>
  </si>
  <si>
    <t>59 Day/s</t>
  </si>
  <si>
    <t>405 Day/s</t>
  </si>
  <si>
    <t>125 Day/s</t>
  </si>
  <si>
    <t>197 Day/s</t>
  </si>
  <si>
    <t>164 Day/s</t>
  </si>
  <si>
    <t>201 Day/s</t>
  </si>
  <si>
    <t>86 Day/s</t>
  </si>
  <si>
    <t>71 Day/s</t>
  </si>
  <si>
    <t>66 Day/s</t>
  </si>
  <si>
    <t>69 Day/s</t>
  </si>
  <si>
    <t>295 Day/s</t>
  </si>
  <si>
    <t>212 Day/s</t>
  </si>
  <si>
    <t>261 Day/s</t>
  </si>
  <si>
    <t>127 Day/s</t>
  </si>
  <si>
    <t>107 Day/s</t>
  </si>
  <si>
    <t>158 Day/s</t>
  </si>
  <si>
    <t>96 Day/s</t>
  </si>
  <si>
    <t>181 Day/s</t>
  </si>
  <si>
    <t>252 Day/s</t>
  </si>
  <si>
    <t>74 Day/s</t>
  </si>
  <si>
    <t>366 Day/s</t>
  </si>
  <si>
    <t>299 Day/s</t>
  </si>
  <si>
    <t>182 Day/s</t>
  </si>
  <si>
    <t>189 Day/s</t>
  </si>
  <si>
    <t>256 Day/s</t>
  </si>
  <si>
    <t>240 Day/s</t>
  </si>
  <si>
    <t>101 Day/s</t>
  </si>
  <si>
    <t>166 Day/s</t>
  </si>
  <si>
    <t>63 Day/s</t>
  </si>
  <si>
    <t>203 Day/s</t>
  </si>
  <si>
    <t>113 Day/s</t>
  </si>
  <si>
    <t>132 Day/s</t>
  </si>
  <si>
    <t>115 Day/s</t>
  </si>
  <si>
    <t>2 Year/s</t>
  </si>
  <si>
    <t>330 Day/s</t>
  </si>
  <si>
    <t>77 Day/s</t>
  </si>
  <si>
    <t>200 Day/s</t>
  </si>
  <si>
    <t>171 Day/s</t>
  </si>
  <si>
    <t>91 Day/s</t>
  </si>
  <si>
    <t>34 Day/s</t>
  </si>
  <si>
    <t>99 Day/s</t>
  </si>
  <si>
    <t>222 Day/s</t>
  </si>
  <si>
    <t>62 Day/s</t>
  </si>
  <si>
    <t>170 Day/s</t>
  </si>
  <si>
    <t>29 Day/s</t>
  </si>
  <si>
    <t>78 Day/s</t>
  </si>
  <si>
    <t>365 Day/s</t>
  </si>
  <si>
    <t>47 Day/s</t>
  </si>
  <si>
    <t>450 Day/s</t>
  </si>
  <si>
    <t>0 Month/s</t>
  </si>
  <si>
    <t>12 Month/s</t>
  </si>
  <si>
    <t>57 Day/s</t>
  </si>
  <si>
    <t>290 Day/s</t>
  </si>
  <si>
    <t>104 Day/s</t>
  </si>
  <si>
    <t>195 Day/s</t>
  </si>
  <si>
    <t>135 Day/s</t>
  </si>
  <si>
    <t>8 Month/s</t>
  </si>
  <si>
    <t>19 Day/s</t>
  </si>
  <si>
    <t>236 Day/s</t>
  </si>
  <si>
    <t>192 Day/s</t>
  </si>
  <si>
    <t>230 Day/s</t>
  </si>
  <si>
    <t>260 Day/s</t>
  </si>
  <si>
    <t>162 Day/s</t>
  </si>
  <si>
    <t>106 Day/s</t>
  </si>
  <si>
    <t>241 Day/s</t>
  </si>
  <si>
    <t>141 Day/s</t>
  </si>
  <si>
    <t>134 Day/s</t>
  </si>
  <si>
    <t>259 Day/s</t>
  </si>
  <si>
    <t>3 Year/s</t>
  </si>
  <si>
    <t>285 Day/s</t>
  </si>
  <si>
    <t>363 Day/s</t>
  </si>
  <si>
    <t>39 Day/s</t>
  </si>
  <si>
    <t>109 Day/s</t>
  </si>
  <si>
    <t>205 Day/s</t>
  </si>
  <si>
    <t>41 Day/s</t>
  </si>
  <si>
    <t>64 Day/s</t>
  </si>
  <si>
    <t>183 Day/s</t>
  </si>
  <si>
    <t>94 Day/s</t>
  </si>
  <si>
    <t>184 Day/s</t>
  </si>
  <si>
    <t>123 Day/s</t>
  </si>
  <si>
    <t>206 Day/s</t>
  </si>
  <si>
    <t>188 Day/s</t>
  </si>
  <si>
    <t>118 Day/s</t>
  </si>
  <si>
    <t>79 Day/s</t>
  </si>
  <si>
    <t>340 Day/s</t>
  </si>
  <si>
    <t>93 Day/s</t>
  </si>
  <si>
    <t>246 Day/s</t>
  </si>
  <si>
    <t>1243 Day/s</t>
  </si>
  <si>
    <t>148 Day/s</t>
  </si>
  <si>
    <t>364 Day/s</t>
  </si>
  <si>
    <t>161 Day/s</t>
  </si>
  <si>
    <t>168 Day/s</t>
  </si>
  <si>
    <t>277 Day/s</t>
  </si>
  <si>
    <t>165 Day/s</t>
  </si>
  <si>
    <t>163 Day/s</t>
  </si>
  <si>
    <t>130 Day/s</t>
  </si>
  <si>
    <t>129 Day/s</t>
  </si>
  <si>
    <t>583 Day/s</t>
  </si>
  <si>
    <t>10 Month/s</t>
  </si>
  <si>
    <t>215 Day/s</t>
  </si>
  <si>
    <t>167 Day/s</t>
  </si>
  <si>
    <t>675 Day/s</t>
  </si>
  <si>
    <t>650 Day/s</t>
  </si>
  <si>
    <t>343 Day/s</t>
  </si>
  <si>
    <t>553 Day/s</t>
  </si>
  <si>
    <t>500 Day/s</t>
  </si>
  <si>
    <t>250 Day/s</t>
  </si>
  <si>
    <t>395 Day/s</t>
  </si>
  <si>
    <t>190 Day/s</t>
  </si>
  <si>
    <t>159 Day/s</t>
  </si>
  <si>
    <t>199 Day/s</t>
  </si>
  <si>
    <t>131 Day/s</t>
  </si>
  <si>
    <t>271 Day/s</t>
  </si>
  <si>
    <t>119 Day/s</t>
  </si>
  <si>
    <t>198 Day/s</t>
  </si>
  <si>
    <t>169 Day/s</t>
  </si>
  <si>
    <t>58 Day/s</t>
  </si>
  <si>
    <t>151 Day/s</t>
  </si>
  <si>
    <t>245 Day/s</t>
  </si>
  <si>
    <t>175 Day/s</t>
  </si>
  <si>
    <t>9 Month/s</t>
  </si>
  <si>
    <t>156 Day/s</t>
  </si>
  <si>
    <t>152 Day/s</t>
  </si>
  <si>
    <t>68 Day/s</t>
  </si>
  <si>
    <t>137 Day/s</t>
  </si>
  <si>
    <t>146 Day/s</t>
  </si>
  <si>
    <t>177 Day/s</t>
  </si>
  <si>
    <t>116 Day/s</t>
  </si>
  <si>
    <t>194 Day/s</t>
  </si>
  <si>
    <t>279 Day/s</t>
  </si>
  <si>
    <t>251 Day/s</t>
  </si>
  <si>
    <t>214 Day/s</t>
  </si>
  <si>
    <t>297 Day/s</t>
  </si>
  <si>
    <t>344 Day/s</t>
  </si>
  <si>
    <t>76 Day/s</t>
  </si>
  <si>
    <t>133 Day/s</t>
  </si>
  <si>
    <t>36 Month/s</t>
  </si>
  <si>
    <t>380 Day/s</t>
  </si>
  <si>
    <t>196 Day/s</t>
  </si>
  <si>
    <t>191 Day/s</t>
  </si>
  <si>
    <t>53 Day/s</t>
  </si>
  <si>
    <t>346 Day/s</t>
  </si>
  <si>
    <t>128 Day/s</t>
  </si>
  <si>
    <t>103 Day/s</t>
  </si>
  <si>
    <t>267 Day/s</t>
  </si>
  <si>
    <t>147 Day/s</t>
  </si>
  <si>
    <t>174 Day/s</t>
  </si>
  <si>
    <t>154 Day/s</t>
  </si>
  <si>
    <t>136 Day/s</t>
  </si>
  <si>
    <t>60 Month/s</t>
  </si>
  <si>
    <t>284 Day/s</t>
  </si>
  <si>
    <t>73 Day/s</t>
  </si>
  <si>
    <t>114 Day/s</t>
  </si>
  <si>
    <t>335 Day/s</t>
  </si>
  <si>
    <t>439 Day/s</t>
  </si>
  <si>
    <t>274 Day/s</t>
  </si>
  <si>
    <t>153 Day/s</t>
  </si>
  <si>
    <t>87 Day/s</t>
  </si>
  <si>
    <t>209 Day/s</t>
  </si>
  <si>
    <t>142 Day/s</t>
  </si>
  <si>
    <t>420 Day/s</t>
  </si>
  <si>
    <t>126 Day/s</t>
  </si>
  <si>
    <t>235 Day/s</t>
  </si>
  <si>
    <t>102 Day/s</t>
  </si>
  <si>
    <t>268 Day/s</t>
  </si>
  <si>
    <t>262 Day/s</t>
  </si>
  <si>
    <t>213 Day/s</t>
  </si>
  <si>
    <t>900 Day/s</t>
  </si>
  <si>
    <t>730 Day/s</t>
  </si>
  <si>
    <t>1095 Day/s</t>
  </si>
  <si>
    <t>570 Day/s</t>
  </si>
  <si>
    <t>265 Day/s</t>
  </si>
  <si>
    <t>24 Month/s</t>
  </si>
  <si>
    <t>83 Day/s</t>
  </si>
  <si>
    <t>293 Day/s</t>
  </si>
  <si>
    <t>143 Day/s</t>
  </si>
  <si>
    <t>990 Day/s</t>
  </si>
  <si>
    <t>50 Month/s</t>
  </si>
  <si>
    <t>81 Day/s</t>
  </si>
  <si>
    <t>186 Day/s</t>
  </si>
  <si>
    <t>247 Day/s</t>
  </si>
  <si>
    <t>155 Day/s</t>
  </si>
  <si>
    <t>DEPARTMENT OF PUBLIC WORKS AND HIGHWAYS - BATANGAS</t>
  </si>
  <si>
    <t>DEPARTMENT OF PUBLIC WORKS AND HIGHWAYS - NORTH CO</t>
  </si>
  <si>
    <t>Michael Andrew Q Frias</t>
  </si>
  <si>
    <t>JOEL ARROYO SANTES</t>
  </si>
  <si>
    <t>Angelo Arca dela Rosa</t>
  </si>
  <si>
    <t>May Grace Alvaro Palicdon</t>
  </si>
  <si>
    <t>DON PATRICK TIONGSON SALAMAT</t>
  </si>
  <si>
    <t>Dennis L Lim</t>
  </si>
  <si>
    <t>Franknoverlee Tacus Capili</t>
  </si>
  <si>
    <t>CHEMINDA EMATA NERI</t>
  </si>
  <si>
    <t>Shiela Narbarte Domondon</t>
  </si>
  <si>
    <t>Jesse R. Quilantang</t>
  </si>
  <si>
    <t>Percy Gonzales Salazar</t>
  </si>
  <si>
    <t>ARCANGEL TARALA RODRIGUEZ</t>
  </si>
  <si>
    <t>Celeste Ala Berba</t>
  </si>
  <si>
    <t>Ryan Ibrado Bonghanoy</t>
  </si>
  <si>
    <t>Ailleen Melody Enguerra Alya-On</t>
  </si>
  <si>
    <t>CHARITO TACTAC YANGAT</t>
  </si>
  <si>
    <t>ALEJANDRO N GELA,JR</t>
  </si>
  <si>
    <t>Mark Joseph Roque Dampil</t>
  </si>
  <si>
    <t>Joey Calimpusan Tonzo</t>
  </si>
  <si>
    <t>JUNAR ESTA SIRIT</t>
  </si>
  <si>
    <t>Jaqueline Pangilinan Dayao</t>
  </si>
  <si>
    <t>angelito quilaton cuyno</t>
  </si>
  <si>
    <t>Leah Magtanong</t>
  </si>
  <si>
    <t>Anna Marie D. Bartolo</t>
  </si>
  <si>
    <t>Gaudencio Quiaoit Orpiano, Jr</t>
  </si>
  <si>
    <t>Dennis Tono Ventilacion</t>
  </si>
  <si>
    <t>Ma. Jonalyn Rollon Villar</t>
  </si>
  <si>
    <t>Raquel Martinez Cabangon</t>
  </si>
  <si>
    <t>Jocelyn Pudico Bingcola</t>
  </si>
  <si>
    <t>Mc Kenneth Alvarez Algara</t>
  </si>
  <si>
    <t>Gemma P. De Guzman</t>
  </si>
  <si>
    <t>Ramil Custodio Martinez</t>
  </si>
  <si>
    <t>Aileene T Dagos</t>
  </si>
  <si>
    <t>Elizer Villanueva Villanueva</t>
  </si>
  <si>
    <t>Orea Attiwan</t>
  </si>
  <si>
    <t>Jenny E. Bandola</t>
  </si>
  <si>
    <t>Mariz  Lapid  Onchengco</t>
  </si>
  <si>
    <t>Jhonna Salve Janer Buenaflor</t>
  </si>
  <si>
    <t>JAMES REYES DOLOROSO</t>
  </si>
  <si>
    <t>Juan Marco Palma Jr</t>
  </si>
  <si>
    <t>Leomar Bayod Balod</t>
  </si>
  <si>
    <t>Linda Bautista Nalayog</t>
  </si>
  <si>
    <t>Barangay Ambabag</t>
  </si>
  <si>
    <t>Thaddaeus O. Patayon</t>
  </si>
  <si>
    <t>ROLLY CESAR MAGSOLING</t>
  </si>
  <si>
    <t>RAMON, JR. CARIÑO PABICO</t>
  </si>
  <si>
    <t>Wencislao Jr. Calimlim Cagalitan</t>
  </si>
  <si>
    <t>Gina Francisco Placido</t>
  </si>
  <si>
    <t>June   C.  Caberoy</t>
  </si>
  <si>
    <t>Martin A Telan</t>
  </si>
  <si>
    <t>JUNA T. TIANGCO</t>
  </si>
  <si>
    <t>Marlon Salutan Dubla</t>
  </si>
  <si>
    <t>Christine Mercado Cainto</t>
  </si>
  <si>
    <t>Joan Margarette A Yap</t>
  </si>
  <si>
    <t>Brenda R. Morales</t>
  </si>
  <si>
    <t>Ellen Espiritu Tividad</t>
  </si>
  <si>
    <t>MARIA CECILLE JAMITO MADERA</t>
  </si>
  <si>
    <t>Edwin B Mendoza</t>
  </si>
  <si>
    <t>Agnes Lara Gabriel</t>
  </si>
  <si>
    <t>MILDRED AUSA DELOS SANTOS</t>
  </si>
  <si>
    <t>Marjune C. Vito</t>
  </si>
  <si>
    <t>Cheryl Samuel Conag</t>
  </si>
  <si>
    <t>ALFREDO AGAD GUITARTE</t>
  </si>
  <si>
    <t>Norjanah  M.  Solaiman</t>
  </si>
  <si>
    <t>GERRY BRIMBUELA</t>
  </si>
  <si>
    <t>NIDA MIJARES</t>
  </si>
  <si>
    <t>Susan Diswe Costiniano</t>
  </si>
  <si>
    <t>ERLINDA F. MANIPON</t>
  </si>
  <si>
    <t>Jessie Bagtang Addag</t>
  </si>
  <si>
    <t>Jeffrey T. Calma</t>
  </si>
  <si>
    <t>JOHNNY SABADO ANIS</t>
  </si>
  <si>
    <t>Poliver Laurente Tumaneng</t>
  </si>
  <si>
    <t>Gulbuddin Amil Tudon</t>
  </si>
  <si>
    <t>Pat Andrew B. Barrientos</t>
  </si>
  <si>
    <t>Michael Trasmil Ibisate</t>
  </si>
  <si>
    <t>Levy H. Lagutin Jr.</t>
  </si>
  <si>
    <t>Mervin Fuentes Baula</t>
  </si>
  <si>
    <t>Ma. Luisa Tumala Dela Rosa</t>
  </si>
  <si>
    <t>Lourdes Amacio Asistol</t>
  </si>
  <si>
    <t>Gene Eslava De Guzman</t>
  </si>
  <si>
    <t>Antoinette F. Fernandez</t>
  </si>
  <si>
    <t>NORBERTO , JR LUCASAN TALIDONG</t>
  </si>
  <si>
    <t>Belen de Chavez Iturralde</t>
  </si>
  <si>
    <t>Arthur Olandria Yana</t>
  </si>
  <si>
    <t>CHAVELLE FERRAREN ALONSO</t>
  </si>
  <si>
    <t>RICKY CRUIZ POCON</t>
  </si>
  <si>
    <t>Diana Mansenares Salgado</t>
  </si>
  <si>
    <t>Maria Rachel Panti Gonzales</t>
  </si>
  <si>
    <t>Catherine Arguilles Bayron</t>
  </si>
  <si>
    <t>APRIL JOY L. VILLA</t>
  </si>
  <si>
    <t>John B Magbanua</t>
  </si>
  <si>
    <t>Alicia Bagalay Belen</t>
  </si>
  <si>
    <t>RANDY DUENAS DE TORRES</t>
  </si>
  <si>
    <t>Camille Alcantara Florendo</t>
  </si>
  <si>
    <t>LESLIE BALANE ESTURAS</t>
  </si>
  <si>
    <t>Merly  Ares  Pelayo</t>
  </si>
  <si>
    <t>Catalina Jaylo</t>
  </si>
  <si>
    <t>ERVIN PAGE SALANG</t>
  </si>
  <si>
    <t>RITA Y CLETO</t>
  </si>
  <si>
    <t>Ma. Asherine Noscal Atienza</t>
  </si>
  <si>
    <t>Rolando Veronilla Pe</t>
  </si>
  <si>
    <t>Jessica Anne Luna Honrada</t>
  </si>
  <si>
    <t>LAARNI PEREZ ALINSOD</t>
  </si>
  <si>
    <t>JANE MACATANGAY LUCE</t>
  </si>
  <si>
    <t>Corazon Martinez Fronda</t>
  </si>
  <si>
    <t>Mercy Vargas</t>
  </si>
  <si>
    <t>Ronald Merin</t>
  </si>
  <si>
    <t>Danilo, Jr. Gemarino Lumasag</t>
  </si>
  <si>
    <t>Danny Fernandez Cadalso</t>
  </si>
  <si>
    <t>Liezel J Supremo</t>
  </si>
  <si>
    <t>Edna L. Isorena</t>
  </si>
  <si>
    <t>Vito Gammad Auayang</t>
  </si>
  <si>
    <t>James Escamillas Laredo</t>
  </si>
  <si>
    <t>Aireen G Dulfo</t>
  </si>
  <si>
    <t>Ma. Carlota Supillo Baral</t>
  </si>
  <si>
    <t>Belinda Abu</t>
  </si>
  <si>
    <t>Roberto Sr. M. Solito</t>
  </si>
  <si>
    <t>HELBERT GARING CORCELLIS</t>
  </si>
  <si>
    <t>DIEGO EBRADA BAYONITO</t>
  </si>
  <si>
    <t>NIÑO L. SUSA</t>
  </si>
  <si>
    <t>FELIPE C BETINOL</t>
  </si>
  <si>
    <t>Jacob Gupana Racho</t>
  </si>
  <si>
    <t>Dolly Ann de Chavez Llagas</t>
  </si>
  <si>
    <t>RANDY R. LIGSANAN</t>
  </si>
  <si>
    <t>RAYMUND M. DIAZ</t>
  </si>
  <si>
    <t>Julieta C Romen</t>
  </si>
  <si>
    <t>MARIA ARRA PAZ G. SELLAR</t>
  </si>
  <si>
    <t>REX VICTOR  DE LA CRUZ</t>
  </si>
  <si>
    <t>Marie Angelie Fabello Moreno</t>
  </si>
  <si>
    <t>EDUARDO C ONG</t>
  </si>
  <si>
    <t>HENRIETO BACANG</t>
  </si>
  <si>
    <t>Janeth Cabalida Vailoces</t>
  </si>
  <si>
    <t>Restituto P. Erojo, Jr.</t>
  </si>
  <si>
    <t>Rhodora Dela Peña Amador</t>
  </si>
  <si>
    <t>Grace Bucod Florentino</t>
  </si>
  <si>
    <t>Wilson Merle Lopez</t>
  </si>
  <si>
    <t>TRIPON  MERCADO  CONDEZA</t>
  </si>
  <si>
    <t>Leda Penarubia Redoble</t>
  </si>
  <si>
    <t>Thea Joy Tabanao Conrada</t>
  </si>
  <si>
    <t>LOREAN BASCO</t>
  </si>
  <si>
    <t>Nolita Laberinto Acero</t>
  </si>
  <si>
    <t>Arturo Santos Calilung</t>
  </si>
  <si>
    <t>Amelia Ygusguiza Barrogo</t>
  </si>
  <si>
    <t>SOFRONIO B. DACILLO, JR.</t>
  </si>
  <si>
    <t>Edwardford Najera Dagatan</t>
  </si>
  <si>
    <t>Juliet Franesa S Aton</t>
  </si>
  <si>
    <t>emmanuel bendita juanitas</t>
  </si>
  <si>
    <t>WILBERTO O. CASTILLO</t>
  </si>
  <si>
    <t>JOSE CABASAGAN CHAN</t>
  </si>
  <si>
    <t>JERUEL ICALLA VARQUEZ</t>
  </si>
  <si>
    <t>LEVY H. LAGUTIN, JR.</t>
  </si>
  <si>
    <t>Sheila A. Naig</t>
  </si>
  <si>
    <t>Minerva B. Bonina</t>
  </si>
  <si>
    <t>Ma. Donna Deocampo Pidut</t>
  </si>
  <si>
    <t>Jeanecel Sacel Semellano</t>
  </si>
  <si>
    <t>MARIVIC BINAG CORTEZ</t>
  </si>
  <si>
    <t>Wennie S. Angit</t>
  </si>
  <si>
    <t>Bernadette Llacer Belleza</t>
  </si>
  <si>
    <t>Sharon S. Gupalor</t>
  </si>
  <si>
    <t>Marciano Ilagan Ilagan</t>
  </si>
  <si>
    <t>Rolando Fiel Gayas</t>
  </si>
  <si>
    <t>Frencis Panganiban Tiu Rivera</t>
  </si>
  <si>
    <t>Gregorio  Tirones  Mueco</t>
  </si>
  <si>
    <t>MARIE JOY A. ALVIAR</t>
  </si>
  <si>
    <t>Arundale Gum-u Immoliap Bunnag</t>
  </si>
  <si>
    <t>Chito de Leon Riego de Dios</t>
  </si>
  <si>
    <t>MARICEL TUMULAC MAGDAMO</t>
  </si>
  <si>
    <t>Rizaldy Colon Mercadal</t>
  </si>
  <si>
    <t>Veronica Nevalga</t>
  </si>
  <si>
    <t>Enrico Magboo Dalangin</t>
  </si>
  <si>
    <t>Joel P Rosario</t>
  </si>
  <si>
    <t>ALLAN P. RAMBANO</t>
  </si>
  <si>
    <t>Ma. A. Marietta Real Dulong</t>
  </si>
  <si>
    <t>Eduardo A. Sieras</t>
  </si>
  <si>
    <t>Mark Ando Bontilao</t>
  </si>
  <si>
    <t>Marivic Masbad Managbanag</t>
  </si>
  <si>
    <t>Adrian Magcamit Aguilar</t>
  </si>
  <si>
    <t>Jennifer Mindanao Cruz</t>
  </si>
  <si>
    <t>Leonilo Lota Laborte</t>
  </si>
  <si>
    <t>Marcela Hernandez</t>
  </si>
  <si>
    <t>NASUL ARAS SAJILI</t>
  </si>
  <si>
    <t>Carolina Castillo Moraleda</t>
  </si>
  <si>
    <t>MARIA CRISTIE VARGAS BALMADRID</t>
  </si>
  <si>
    <t>Eduardo Ellema Ronsairo</t>
  </si>
  <si>
    <t>Andrew Ian Bulda Dormitorio</t>
  </si>
  <si>
    <t>JENNIE ONGTANGCO CORONADO</t>
  </si>
  <si>
    <t>JESSIE EMMANUEL TRINIDAD RICERRA</t>
  </si>
  <si>
    <t>Rosita Ednalig Lagang</t>
  </si>
  <si>
    <t>Celestino Garcia Mangulabnan</t>
  </si>
  <si>
    <t>Maredith H. Julve</t>
  </si>
  <si>
    <t>Amelita Quinsay Londonio</t>
  </si>
  <si>
    <t>Pablo, Jr. M Magpily</t>
  </si>
  <si>
    <t>Harvey C Jumawan</t>
  </si>
  <si>
    <t>Alfredo P. Pedrola</t>
  </si>
  <si>
    <t>Leo L. Lapizar</t>
  </si>
  <si>
    <t>Romeo Emmanuel II C. Yarcia</t>
  </si>
  <si>
    <t>DIVINA TANEDO MANINANG</t>
  </si>
  <si>
    <t>Rommel Santos Navarro</t>
  </si>
  <si>
    <t>Gladys Angit Abarabar</t>
  </si>
  <si>
    <t>Joel D. Friginal</t>
  </si>
  <si>
    <t>Jennifer Ducusin Flores</t>
  </si>
  <si>
    <t>ANGIE BLAISE  PIGAR  CAÑON</t>
  </si>
  <si>
    <t>Romeo Tibayan Dela Luna</t>
  </si>
  <si>
    <t>Arturo Santos Francisco</t>
  </si>
  <si>
    <t>Joseph Bustamante Calvo</t>
  </si>
  <si>
    <t>Mark Anthony Gules Beronilla</t>
  </si>
  <si>
    <t>Christopher Dave Baldedara Musa</t>
  </si>
  <si>
    <t>Monina G. Mangubat</t>
  </si>
  <si>
    <t>Barangay Julongan</t>
  </si>
  <si>
    <t>Marilou Sampaton Bernas</t>
  </si>
  <si>
    <t>Mary Grace Liwag Capisonda</t>
  </si>
  <si>
    <t>SEAN ARCE ELAD</t>
  </si>
  <si>
    <t>MERTLITA  SABINO</t>
  </si>
  <si>
    <t>Enrique Champo Roxas Jr.</t>
  </si>
  <si>
    <t>Danilo Ragudo Rafanan</t>
  </si>
  <si>
    <t>Suzette Caparros Sarausa</t>
  </si>
  <si>
    <t>FLERINE JAY RELATIVO SANDOT</t>
  </si>
  <si>
    <t>Charmie Halina Sevilla</t>
  </si>
  <si>
    <t>Julius Caesar Matadling Badilla</t>
  </si>
  <si>
    <t>LEONIDO PAL-ING CATIEL</t>
  </si>
  <si>
    <t>JEANNE LAURICE CHUA</t>
  </si>
  <si>
    <t>Marjorie Munar Cabacungan</t>
  </si>
  <si>
    <t>ARLENE MIGUEL MATILDE</t>
  </si>
  <si>
    <t>Liwayway De Guzman Pangilinan</t>
  </si>
  <si>
    <t>Diomedes C Palor</t>
  </si>
  <si>
    <t>Jovito Bron Coderis, Jr.</t>
  </si>
  <si>
    <t>Florencio Formaran Parcarey</t>
  </si>
  <si>
    <t>Marieta Manayon Gaer</t>
  </si>
  <si>
    <t>Lailane L. Palustre</t>
  </si>
  <si>
    <t>Juvy Velez Makiling</t>
  </si>
  <si>
    <t>Joel M. Tadina</t>
  </si>
  <si>
    <t>Zotico L. Pastelero</t>
  </si>
  <si>
    <t>Robert Floyd Nangkil Salise</t>
  </si>
  <si>
    <t>Calixto J. Quiros</t>
  </si>
  <si>
    <t>Joicelyn Reta</t>
  </si>
  <si>
    <t>Jingle Repollo Saloma</t>
  </si>
  <si>
    <t>Feliciana  G. Dacanay</t>
  </si>
  <si>
    <t>Hilda Ramirez</t>
  </si>
  <si>
    <t>Carmen Pingiton Pavon</t>
  </si>
  <si>
    <t>Romarico J. Deona</t>
  </si>
  <si>
    <t>REMELITO B ESTROLOGO</t>
  </si>
  <si>
    <t>JERRY R CENTRO</t>
  </si>
  <si>
    <t>Marilou Sienes Econar</t>
  </si>
  <si>
    <t>Fe S. Delostrico</t>
  </si>
  <si>
    <t>Divina Gracia Binuya</t>
  </si>
  <si>
    <t>Ma. Corazon V. Tadena</t>
  </si>
  <si>
    <t>Jasmine Deguito</t>
  </si>
  <si>
    <t>Maria Cristina Sarmiento</t>
  </si>
  <si>
    <t>Julita A. Santos</t>
  </si>
  <si>
    <t>Reymund Condino Sequio</t>
  </si>
  <si>
    <t>RICHELLE RAMOS SACLOT</t>
  </si>
  <si>
    <t>Jocelyn M Romero</t>
  </si>
  <si>
    <t>Ludivina S Omania</t>
  </si>
  <si>
    <t>Federico M. Valdez</t>
  </si>
  <si>
    <t>Kapelhoff Arcangel Quidang</t>
  </si>
  <si>
    <t>Ferdinand Fadriquelan Falceso</t>
  </si>
  <si>
    <t>Jerome John Jumawan Gabin</t>
  </si>
  <si>
    <t>Raquel B Tarucan</t>
  </si>
  <si>
    <t>FREDERICK ORTEZA DELA CRUZ</t>
  </si>
  <si>
    <t>NENETTE G. SUGUITAN</t>
  </si>
  <si>
    <t>Alicia A. Cruz</t>
  </si>
  <si>
    <t>Rene Sobremonte</t>
  </si>
  <si>
    <t>JOSEPHINE SORROSA VILLANUEVA</t>
  </si>
  <si>
    <t>MA. CECILIA REYES POTESTADES</t>
  </si>
  <si>
    <t>RODEL C. SAMPANG</t>
  </si>
  <si>
    <t>Ruzzel Jay Curitana Soltura</t>
  </si>
  <si>
    <t>Nina Lacson Magat</t>
  </si>
  <si>
    <t>Ruben M. Ollete</t>
  </si>
  <si>
    <t>Rodrigo Domingo Diego, Jr.</t>
  </si>
  <si>
    <t>Melissa Tabal Menisterio</t>
  </si>
  <si>
    <t>Cristeta A Cueto</t>
  </si>
  <si>
    <t>Vilma Capistrano Globio</t>
  </si>
  <si>
    <t>Irene Llamis Oco</t>
  </si>
  <si>
    <t>Wilfredo U. Salvador</t>
  </si>
  <si>
    <t>Michael M Bacarisas</t>
  </si>
  <si>
    <t>Laurence Bryan R. Malana</t>
  </si>
  <si>
    <t>Nicolas Visande Dotarot</t>
  </si>
  <si>
    <t>MARY GRACE MUHI LAZO</t>
  </si>
  <si>
    <t>CORSINO MALUBAY VASQUEZ</t>
  </si>
  <si>
    <t>LORNA B. OBIAS</t>
  </si>
  <si>
    <t>CARMEN M. FLORES</t>
  </si>
  <si>
    <t>Ormil D.  Go</t>
  </si>
  <si>
    <t>Victorino Berguela Almario</t>
  </si>
  <si>
    <t>Lucio Berong Cortes</t>
  </si>
  <si>
    <t>ANTONIO  C.  VALE</t>
  </si>
  <si>
    <t>Joyson  Dominguez Cariaga</t>
  </si>
  <si>
    <t>Jennifer Siaboc Jurado</t>
  </si>
  <si>
    <t>Darryl Christian Rigos</t>
  </si>
  <si>
    <t>Leticia O. Clemente</t>
  </si>
  <si>
    <t>Aileen L Bonghanoy</t>
  </si>
  <si>
    <t>MA. CRISTINA  B. AYUCAN</t>
  </si>
  <si>
    <t>Reno John S. Tuale Sindingan Tuale</t>
  </si>
  <si>
    <t>ALEXANDER VENTERO PIDOR</t>
  </si>
  <si>
    <t>Florenda Inutan Carballo</t>
  </si>
  <si>
    <t>Marilou Tamayo Quitlong</t>
  </si>
  <si>
    <t>Angeline A Logatiman</t>
  </si>
  <si>
    <t>Lolita M. Fullante</t>
  </si>
  <si>
    <t>Ivylea Cantago</t>
  </si>
  <si>
    <t>PRUDENCIO EGSAN NOCELO, JR.</t>
  </si>
  <si>
    <t>Lucia Iraida A Soneja</t>
  </si>
  <si>
    <t>Michael Angelo Agoto Samonte</t>
  </si>
  <si>
    <t>Precious Padayao Rumbaoa</t>
  </si>
  <si>
    <t>Eva Cañeda</t>
  </si>
  <si>
    <t>Gerald S. Gahol</t>
  </si>
  <si>
    <t>EDGARDO A. VALDEZ</t>
  </si>
  <si>
    <t>Mila Jihan GIBA</t>
  </si>
  <si>
    <t>Maria Juliana A. Toribio</t>
  </si>
  <si>
    <t xml:space="preserve"> ROSEMARIE PEDRAJETA</t>
  </si>
  <si>
    <t>Mariane B. Tingchuy</t>
  </si>
  <si>
    <t>Racquel Araña Catalan</t>
  </si>
  <si>
    <t>DIONISIO TORIBIO GOMANTI COSTES</t>
  </si>
  <si>
    <t>CONSTANTE S. SABINIANO</t>
  </si>
  <si>
    <t>Shajid Peter Sales Salih</t>
  </si>
  <si>
    <t>BERNA BERON ASPECTO</t>
  </si>
  <si>
    <t>REYMUNDO R VALDEZ</t>
  </si>
  <si>
    <t>JERLY HANGINAN ELUNA</t>
  </si>
  <si>
    <t>Louise S. Comendador</t>
  </si>
  <si>
    <t>Romel C. Jardinaso</t>
  </si>
  <si>
    <t>Asaria P Cañal</t>
  </si>
  <si>
    <t>Anilane Ayochok Tactay</t>
  </si>
  <si>
    <t>MA. ESTRELLA MALAZA DAWAL</t>
  </si>
  <si>
    <t>MAY MARQUEZ CASTILLO</t>
  </si>
  <si>
    <t>Rey Acerden Magbanua</t>
  </si>
  <si>
    <t>Vincent A Isip</t>
  </si>
  <si>
    <t>Samuel Albino Fuertes</t>
  </si>
  <si>
    <t>Marilou Yu Macapil</t>
  </si>
  <si>
    <t>NIRO ROTE NINIANO</t>
  </si>
  <si>
    <t>Arnulfo Escultor Salazar Jr.</t>
  </si>
  <si>
    <t>Jerrico A. Benzon</t>
  </si>
  <si>
    <t>FRANK FALANGAN FANGED</t>
  </si>
  <si>
    <t>MARINA VILLANUEVA</t>
  </si>
  <si>
    <t>Asher B. Disepeda</t>
  </si>
  <si>
    <t>Ria C. Agbulos</t>
  </si>
  <si>
    <t>Reuel Alvarez Escritor</t>
  </si>
  <si>
    <t>THELMA Q. DENZON</t>
  </si>
  <si>
    <t>Jonalyn Hernandez Villas</t>
  </si>
  <si>
    <t>Marissa Manalansang Alejandro</t>
  </si>
  <si>
    <t>Cleofas C Bartolome</t>
  </si>
  <si>
    <t>FERNANDO SAGUISAG A. CABRERA</t>
  </si>
  <si>
    <t>Leodesa Pardo Arandela</t>
  </si>
  <si>
    <t>Rosalie  A. Pelle</t>
  </si>
  <si>
    <t>Felipe Listones Cabatana</t>
  </si>
  <si>
    <t>Maria Salome Carandang</t>
  </si>
  <si>
    <t>SONIA FE ROLEDA</t>
  </si>
  <si>
    <t>Romel Barbas Bermejo</t>
  </si>
  <si>
    <t>Blesilda R. Domagas</t>
  </si>
  <si>
    <t>Noel  O.  Gongob</t>
  </si>
  <si>
    <t>Rowena M. Torreflores</t>
  </si>
  <si>
    <t>Adel L. Mangaliag</t>
  </si>
  <si>
    <t>EVELYN DELGADO CATIPAY</t>
  </si>
  <si>
    <t>BUENAFLOR GARGALICANA BAGONOC</t>
  </si>
  <si>
    <t>NORMAN ALMERO SALUBON</t>
  </si>
  <si>
    <t>Reynaldo Manlupig Basco</t>
  </si>
  <si>
    <t>Lorelei A. Masias</t>
  </si>
  <si>
    <t>Marilyn Ordillo Guerrero</t>
  </si>
  <si>
    <t>Sergio Martinez Brillantes</t>
  </si>
  <si>
    <t>Juvelyn  Caipan  Laguyan</t>
  </si>
  <si>
    <t>Rustom F. Abierra</t>
  </si>
  <si>
    <t>NOEL MORALES BACANI</t>
  </si>
  <si>
    <t>BEVERLY LUCAS MAPALO</t>
  </si>
  <si>
    <t>Rex Aragona Ado</t>
  </si>
  <si>
    <t>JEFFERSON MUSNI  VIDUYA</t>
  </si>
  <si>
    <t>Arlene Radam Ureta</t>
  </si>
  <si>
    <t>MARITES BERINGUELA DIONES</t>
  </si>
  <si>
    <t>Cliftone Kiteng Bangse-il</t>
  </si>
  <si>
    <t>Wilson B. Bragais</t>
  </si>
  <si>
    <t>ROMEO BOGAYAN</t>
  </si>
  <si>
    <t>CONDRADA MARASIGAN</t>
  </si>
  <si>
    <t>Rolando J. Añon</t>
  </si>
  <si>
    <t>PAUL BANTUGAN CUARTERO</t>
  </si>
  <si>
    <t>SHEILA FIEL LEONA</t>
  </si>
  <si>
    <t>Rosanna P. Lucero</t>
  </si>
  <si>
    <t>NELSON E GERON</t>
  </si>
  <si>
    <t>Miguel Capiones</t>
  </si>
  <si>
    <t>Elmer Belmonte Nate</t>
  </si>
  <si>
    <t>Ronnie Reposar Almia</t>
  </si>
  <si>
    <t>Merlita C. Rafinan</t>
  </si>
  <si>
    <t>Julio Milca Manuel Jr</t>
  </si>
  <si>
    <t>MARK JAYSON LOMBOY FELIPE</t>
  </si>
  <si>
    <t>Fidencio Cañete Paranas Jr.</t>
  </si>
  <si>
    <t>NOEL ARLEGUI GOHETIA</t>
  </si>
  <si>
    <t>ERICH DAVID GARCIA</t>
  </si>
  <si>
    <t>RUEL B. AGGABAO</t>
  </si>
  <si>
    <t>Cristina T. Pili</t>
  </si>
  <si>
    <t>Anna Karla Mae Postor Grindulo</t>
  </si>
  <si>
    <t>Nora Bautista Taguba</t>
  </si>
  <si>
    <t>ELNORA ALCARAZ ANCHETA</t>
  </si>
  <si>
    <t>Marilou Meneses Lopez</t>
  </si>
  <si>
    <t>Janet Daileg Pagaddu</t>
  </si>
  <si>
    <t>Bertoldo Canceran Panangui</t>
  </si>
  <si>
    <t>Nikko C. Valenzona</t>
  </si>
  <si>
    <t>Maybelyn Baylon Ingua</t>
  </si>
  <si>
    <t>DENNIS  G BARROGA</t>
  </si>
  <si>
    <t>CHRISTOPHER PAULITE AYAP</t>
  </si>
  <si>
    <t>JAMES CINO ESTOYA</t>
  </si>
  <si>
    <t>AURORA TAN CUMIGAD</t>
  </si>
  <si>
    <t>Rico Basilio Macabare</t>
  </si>
  <si>
    <t>Benhur V. Malana</t>
  </si>
  <si>
    <t>Ruthdelyn De Lunas Apale</t>
  </si>
  <si>
    <t>Rosemarie Flores Remolador</t>
  </si>
  <si>
    <t>JENNY BEE HERBILLA RIVERA</t>
  </si>
  <si>
    <t>ABEGAIL RAVELO NACASE</t>
  </si>
  <si>
    <t>Venus Cocson Flojo</t>
  </si>
  <si>
    <t>Ma. Luz Irene Orbe</t>
  </si>
  <si>
    <t>pancho jr amor cayago</t>
  </si>
  <si>
    <t>Florinda Z Babilonia</t>
  </si>
  <si>
    <t>Florliza A. Morilao</t>
  </si>
  <si>
    <t>DANNY ANTE OSINTA</t>
  </si>
  <si>
    <t>Ronald B. Muñez</t>
  </si>
  <si>
    <t>BENIGNO CABILLON PAGATPATAN</t>
  </si>
  <si>
    <t>Emely Pajara Ocoy</t>
  </si>
  <si>
    <t>Ronaldo Garcia Cambel</t>
  </si>
  <si>
    <t>MIRASOL DASILAO GAYONA</t>
  </si>
  <si>
    <t>GERALD ZUNIEGA FLORES</t>
  </si>
  <si>
    <t>Reymond Dataro Lim</t>
  </si>
  <si>
    <t>Edgar Rebullar Ravago</t>
  </si>
  <si>
    <t>Ma. Teresa Villalba Pido</t>
  </si>
  <si>
    <t>PEDERITO BERSABE GUIANAN</t>
  </si>
  <si>
    <t>Julie Ann A Adap</t>
  </si>
  <si>
    <t>Nonito Cervancia</t>
  </si>
  <si>
    <t>AMELITA G GUTIERREZ</t>
  </si>
  <si>
    <t>Norlan M De Las Alas</t>
  </si>
  <si>
    <t>Ma. Lynbert D. Dulpina Dominos Dulpina</t>
  </si>
  <si>
    <t>DIONISIO WALAWAD LINDUGAN</t>
  </si>
  <si>
    <t>JULIETA PULVERA</t>
  </si>
  <si>
    <t>GENE T PANGILINAN</t>
  </si>
  <si>
    <t>EDEM D. ABONITALLA</t>
  </si>
  <si>
    <t>Nimrod  F.  Bantigue</t>
  </si>
  <si>
    <t>WENDA PEDEROSO</t>
  </si>
  <si>
    <t>Susan Camelo Visto</t>
  </si>
  <si>
    <t>Kaloudyne D. Rigos</t>
  </si>
  <si>
    <t>Saturnino Jr Domingo Sulio</t>
  </si>
  <si>
    <t>Romeo L Estember</t>
  </si>
  <si>
    <t>FILEMON LIJOC MADRANGKA</t>
  </si>
  <si>
    <t>Donnabel Manzano Justo</t>
  </si>
  <si>
    <t>Diana D. Ermita</t>
  </si>
  <si>
    <t>ROBELYN BUTED AGLUGUB</t>
  </si>
  <si>
    <t>Cynthia O Mones</t>
  </si>
  <si>
    <t>ronvie pangilinan masangya</t>
  </si>
  <si>
    <t>Elvina M Dotimas</t>
  </si>
  <si>
    <t>Maxima Isabel Panes</t>
  </si>
  <si>
    <t>Ma. Antonia  Arpon Talco</t>
  </si>
  <si>
    <t>Niñojomar S Cablay</t>
  </si>
  <si>
    <t>PHILLIP C. ADVIENTO</t>
  </si>
  <si>
    <t>Miguel Jr. D. Tolentino</t>
  </si>
  <si>
    <t>EDDIE COMIDA BECHAYDA</t>
  </si>
  <si>
    <t>CAROLINA C. UMIPIG</t>
  </si>
  <si>
    <t>Erwin L. Tepace</t>
  </si>
  <si>
    <t>Franklin Tubiera Toledana</t>
  </si>
  <si>
    <t>Leonardo Sardeng Raquel</t>
  </si>
  <si>
    <t>DENNIS ARELLANO ESTANIEL</t>
  </si>
  <si>
    <t>Felipe P Ogaco</t>
  </si>
  <si>
    <t>ENGR. DOMINGO, JR. S. DOYONGAN</t>
  </si>
  <si>
    <t>Faith Leyson Genovana</t>
  </si>
  <si>
    <t>PRECIOUS GAY ABRAU</t>
  </si>
  <si>
    <t>Hernadith Hinolan Casas</t>
  </si>
  <si>
    <t>Roland Cuenca Grijalvo</t>
  </si>
  <si>
    <t>Lydia A. Gonzales</t>
  </si>
  <si>
    <t>Mary Grace Alagban Quiachon</t>
  </si>
  <si>
    <t>Marjorie Ecleo Jayme</t>
  </si>
  <si>
    <t>Berna Z. Pagsanjan</t>
  </si>
  <si>
    <t>AIDYL ASILAR MERABE</t>
  </si>
  <si>
    <t>Conrado C De Vera</t>
  </si>
  <si>
    <t>KARLEEN R. DESTURA</t>
  </si>
  <si>
    <t>Geraldine Bacon Permalan</t>
  </si>
  <si>
    <t>Angela Eduvala Dagsaan</t>
  </si>
  <si>
    <t>Cecilia A. Cadag</t>
  </si>
  <si>
    <t>Belen Bolalin Amata</t>
  </si>
  <si>
    <t>MARICHELLE D. FERRER</t>
  </si>
  <si>
    <t>ENGR. EDUARDO SALVADOR MANGOBA JR.</t>
  </si>
  <si>
    <t>Virginia Punay</t>
  </si>
  <si>
    <t>MECHIE MALE CAMPOMANES</t>
  </si>
  <si>
    <t>Shella C. Navarro</t>
  </si>
  <si>
    <t>Amelita Q. Tuyak</t>
  </si>
  <si>
    <t>Cesario R Bahalla</t>
  </si>
  <si>
    <t>Ma. Fe Villanueva Derla</t>
  </si>
  <si>
    <t>rejulio jacildo bruno</t>
  </si>
  <si>
    <t>Claress Montojo</t>
  </si>
  <si>
    <t>Marcelino C. Ramboyong</t>
  </si>
  <si>
    <t>Rhenelle Barut</t>
  </si>
  <si>
    <t>Lorna G. Bugayong</t>
  </si>
  <si>
    <t>Nancylita Constantino Cubol</t>
  </si>
  <si>
    <t>Nancy R. Jaguit</t>
  </si>
  <si>
    <t>DANILO B. MANUEL</t>
  </si>
  <si>
    <t>Gemma Saremo Tataro</t>
  </si>
  <si>
    <t>Mariel De Vera Mohammad-Sali</t>
  </si>
  <si>
    <t>Mary Kristine Lawenko Besayte</t>
  </si>
  <si>
    <t>JOY ANGELINE   R.  VILLACILLO</t>
  </si>
  <si>
    <t>Sergio De Guzman Ramirez</t>
  </si>
  <si>
    <t>Vilma F. Faustino</t>
  </si>
  <si>
    <t>Edvil Urbiztondo Trillanes</t>
  </si>
  <si>
    <t>WENDELIN EUGENIO ACOB</t>
  </si>
  <si>
    <t>fredericka F. ferriol</t>
  </si>
  <si>
    <t>MARY FLOR DE LARA DIAZ</t>
  </si>
  <si>
    <t>CLEOFE TUBA Polido</t>
  </si>
  <si>
    <t>Armando Deladia Detera</t>
  </si>
  <si>
    <t>DARIO K WAYAGWAG</t>
  </si>
  <si>
    <t>Norjanna M. Camaguin</t>
  </si>
  <si>
    <t>Sylvia H. Boneo</t>
  </si>
  <si>
    <t>Aurelia Siquian Viernes</t>
  </si>
  <si>
    <t>Pia B Abengoza</t>
  </si>
  <si>
    <t>Norberto Doronila Alejado</t>
  </si>
  <si>
    <t>JENNY VIE MIRABUENO BASCON</t>
  </si>
  <si>
    <t>Nalyn Saragena Lumabao</t>
  </si>
  <si>
    <t>JOVILYN MESINA PEREZ</t>
  </si>
  <si>
    <t>Geronimo V. Maximo</t>
  </si>
  <si>
    <t>Demetrio Roblo</t>
  </si>
  <si>
    <t>Arnaldo G Liansing</t>
  </si>
  <si>
    <t>Leilani Lucero</t>
  </si>
  <si>
    <t>Ma. Edna Cequena Flores</t>
  </si>
  <si>
    <t>Dencio A Pagbilao</t>
  </si>
  <si>
    <t>Epelita Mumar Andoy</t>
  </si>
  <si>
    <t>Mary Catherine Ibanez</t>
  </si>
  <si>
    <t>Ulmamor Tomodos Salutin</t>
  </si>
  <si>
    <t>Maria Salome Rafanan Abero</t>
  </si>
  <si>
    <t>Leizel  O.  Hernando</t>
  </si>
  <si>
    <t>Rutchelle Gay Harder Velez</t>
  </si>
  <si>
    <t>BERNARDO C. POJAS</t>
  </si>
  <si>
    <t>Perlita Senarillos Pabillaran</t>
  </si>
  <si>
    <t>Rosemia R. Alama-Saliwato</t>
  </si>
  <si>
    <t>Josefina M Ayon</t>
  </si>
  <si>
    <t>Renato S. Galang</t>
  </si>
  <si>
    <t>Lovely Jayawon Jonayon</t>
  </si>
  <si>
    <t>JOSUEL JON AQUINO DAILEG</t>
  </si>
  <si>
    <t>Diosdada V. Vito</t>
  </si>
  <si>
    <t>Von Lauris Alvarado Almagro</t>
  </si>
  <si>
    <t>MOISES L PECAYO</t>
  </si>
  <si>
    <t>Darlene Reyes Guico</t>
  </si>
  <si>
    <t>Teresita Guillermo</t>
  </si>
  <si>
    <t>Miangelle A. Lacson</t>
  </si>
  <si>
    <t>NIEVES HOSENA FIGUEROA</t>
  </si>
  <si>
    <t>Jessica Martinez Dela Cruz</t>
  </si>
  <si>
    <t>Mark Chester Anthony Gariando Tamayo</t>
  </si>
  <si>
    <t>Clark Wendell P Lising</t>
  </si>
  <si>
    <t>Lamberto L. Reyes</t>
  </si>
  <si>
    <t>ALLAIN VINCENT R. PADOHINOG</t>
  </si>
  <si>
    <t>Romeo Cardeño Domiquel</t>
  </si>
  <si>
    <t>MYLENE MALABORBOR GUTIERREZ</t>
  </si>
  <si>
    <t>Dina Bugia Aquino</t>
  </si>
  <si>
    <t>ERIC RIVERA VIGGAYAN</t>
  </si>
  <si>
    <t>Jomer Pangilinan Manalili</t>
  </si>
  <si>
    <t>Argie Lomuntod Muncada</t>
  </si>
  <si>
    <t>Edison Mangulabnan Mina</t>
  </si>
  <si>
    <t>SINSP ALAN GARANCHON GATUNGAY</t>
  </si>
  <si>
    <t>Gerry G Jucar</t>
  </si>
  <si>
    <t>JULIET BARING MONTEBON</t>
  </si>
  <si>
    <t>Mylin C Rodriguez</t>
  </si>
  <si>
    <t>JIMMY AMBROCIO FAMARANCO</t>
  </si>
  <si>
    <t>DINDO PAREÑO LAZARTE</t>
  </si>
  <si>
    <t>NOEL L. GELUA</t>
  </si>
  <si>
    <t>Eileen L Marcelo</t>
  </si>
  <si>
    <t>Joey Vincent Palao Rabanal - 1</t>
  </si>
  <si>
    <t>Mikko S Duero</t>
  </si>
  <si>
    <t>Katherine  Paiso  De Vera</t>
  </si>
  <si>
    <t>Mae Dangatan</t>
  </si>
  <si>
    <t>Wilson Santos Quizon</t>
  </si>
  <si>
    <t>Engr. Nashra Dalandangan Misquinan</t>
  </si>
  <si>
    <t>Rosario G. Hermonio</t>
  </si>
  <si>
    <t>Fe Jennifer V. Yaranon</t>
  </si>
  <si>
    <t>Noreen M. Lim</t>
  </si>
  <si>
    <t>Jesse Belle Temporosa Lirazan</t>
  </si>
  <si>
    <t>LEANDRO C. CANLAS</t>
  </si>
  <si>
    <t>Julie Ann Salvedia</t>
  </si>
  <si>
    <t>Bernardo P. Reyes</t>
  </si>
  <si>
    <t>JOHN DUPUDPONG TUNGOD</t>
  </si>
  <si>
    <t>Julieta Q. Bughao</t>
  </si>
  <si>
    <t>Dominic Babaran Calimag</t>
  </si>
  <si>
    <t>ROLLY  TAUSA  GAVIA</t>
  </si>
  <si>
    <t>Mary Grace A Dela Cruz</t>
  </si>
  <si>
    <t>ADELAIDA M. DELA ROSA</t>
  </si>
  <si>
    <t>EMILIANA D. RUSTIA</t>
  </si>
  <si>
    <t>Ian Luis Cabauatan Aguila</t>
  </si>
  <si>
    <t>Mary Ann A. Lazo</t>
  </si>
  <si>
    <t>Teofilo, Jr. Rostata Gervacio</t>
  </si>
  <si>
    <t>Lorenzo Peram Javier</t>
  </si>
  <si>
    <t>Marijune Falgome Fabroa</t>
  </si>
  <si>
    <t>Roberto Alngag Chulsi</t>
  </si>
  <si>
    <t>Marifel Arroyo Astillo</t>
  </si>
  <si>
    <t xml:space="preserve"> Raquel  Lipat  Murata</t>
  </si>
  <si>
    <t>Mary Jane B Chiyawan</t>
  </si>
  <si>
    <t>RAY-JAY LANZARROTE EMBOLTORIO</t>
  </si>
  <si>
    <t>Marcelino Jr. R. Bebanco</t>
  </si>
  <si>
    <t>Elmer Cosico Ravina</t>
  </si>
  <si>
    <t>NATHANIEL B. GERTOS</t>
  </si>
  <si>
    <t>Richard Pandita Sanlocan</t>
  </si>
  <si>
    <t>MARICHELLE FERRER</t>
  </si>
  <si>
    <t>Ma. Angie Panugot Pablo</t>
  </si>
  <si>
    <t>Emmanuel Garrido Bartolome</t>
  </si>
  <si>
    <t>Magno R. Pontigon</t>
  </si>
  <si>
    <t>Pablo L Nabong</t>
  </si>
  <si>
    <t>LORNA A BUGAIS</t>
  </si>
  <si>
    <t>Rosalie C Obena</t>
  </si>
  <si>
    <t>Marilyn Cruz Santella</t>
  </si>
  <si>
    <t>Ivan Cruz</t>
  </si>
  <si>
    <t>Venchito Guiriva Postre</t>
  </si>
  <si>
    <t>LORENA BABIA ETORMA</t>
  </si>
  <si>
    <t>Hazelle L. Simbre</t>
  </si>
  <si>
    <t>LUZ OXINA</t>
  </si>
  <si>
    <t>Cheryl Articona Cepriano</t>
  </si>
  <si>
    <t>Corleto A Paramio</t>
  </si>
  <si>
    <t>Tess b. Cruzado</t>
  </si>
  <si>
    <t>Raul Casurra Micompal</t>
  </si>
  <si>
    <t>Emerson John Exclamado Fernandez</t>
  </si>
  <si>
    <t>JUNILLA P PEREZ</t>
  </si>
  <si>
    <t>Recto Gayo Ropaniana</t>
  </si>
  <si>
    <t>Flordeliza  Villanoy Cansancio</t>
  </si>
  <si>
    <t>Pedro O. Mulawin</t>
  </si>
  <si>
    <t>JAIME VILLANUEVA LOPEZ</t>
  </si>
  <si>
    <t>Dinah Quimbo Ortezuela</t>
  </si>
  <si>
    <t>Glenn L Enesio</t>
  </si>
  <si>
    <t>Marilyn Gaano Alunday</t>
  </si>
  <si>
    <t>Jaime Saulo Zafiro</t>
  </si>
  <si>
    <t>Francisco Payot Tampus</t>
  </si>
  <si>
    <t>Ferdinand B Caberoy</t>
  </si>
  <si>
    <t>Ermi Vila Miranda</t>
  </si>
  <si>
    <t>Benjamin T. Manalili III</t>
  </si>
  <si>
    <t>Edwin Alcaide Linao</t>
  </si>
  <si>
    <t>VOLTAIRE S EGNORA, MD.</t>
  </si>
  <si>
    <t>Enrique Nochebuena Mocling</t>
  </si>
  <si>
    <t>JERSON D. REYES</t>
  </si>
  <si>
    <t>RONIE BORGONIA PACARO</t>
  </si>
  <si>
    <t>Eduardo Sanchez</t>
  </si>
  <si>
    <t>Joseph Aldrin De Silva Magtanong</t>
  </si>
  <si>
    <t>Hilaria S. Abonita</t>
  </si>
  <si>
    <t>CHARYMELLE O FORONDA</t>
  </si>
  <si>
    <t>Rommel Geraldizo Bendicion</t>
  </si>
  <si>
    <t>YUSOP ARBISON WEE</t>
  </si>
  <si>
    <t>LINDALE PEPINO SAAVEDRA</t>
  </si>
  <si>
    <t>Remigio Lago Blanco</t>
  </si>
  <si>
    <t>Laila M Robosa</t>
  </si>
  <si>
    <t>Jay  Solima Subac</t>
  </si>
  <si>
    <t>ANNVIE A. BATISLA-ONG</t>
  </si>
  <si>
    <t>MA. THERESA DECANO MENDOZA</t>
  </si>
  <si>
    <t>Norman Casiple Ardina</t>
  </si>
  <si>
    <t>Robert P. Velasquez</t>
  </si>
  <si>
    <t>Procurement Management Unit DBP - Head Office</t>
  </si>
  <si>
    <t>LILYBETH  COYMO  QUINTAR</t>
  </si>
  <si>
    <t>Florian Faith Jr. Paghubasan Bayawa</t>
  </si>
  <si>
    <t>Rhoderick T. Haban</t>
  </si>
  <si>
    <t>Josephine Villas Pontillas</t>
  </si>
  <si>
    <t>LUCY FE M ELLAR</t>
  </si>
  <si>
    <t>Ivy C. Huertas</t>
  </si>
  <si>
    <t>GERALD E FULAY</t>
  </si>
  <si>
    <t>Merve Glenn C. Canonigo</t>
  </si>
  <si>
    <t>Jamaica B. Balubal</t>
  </si>
  <si>
    <t>Marilyn N. Ontolan</t>
  </si>
  <si>
    <t>Glaiza Dela Cruz-Pasion</t>
  </si>
  <si>
    <t>REBECCA CALUAG LOPEZ</t>
  </si>
  <si>
    <t>Romualdo Salud Intia</t>
  </si>
  <si>
    <t>MARIA DILLA D. CAPACIO</t>
  </si>
  <si>
    <t>Antonio Tarubal Macabalo</t>
  </si>
  <si>
    <t>Jennita V Garcia</t>
  </si>
  <si>
    <t>Maryflor C Bragado</t>
  </si>
  <si>
    <t>Randy lomongsod colot</t>
  </si>
  <si>
    <t>Joseph Villanueva Emboltorio</t>
  </si>
  <si>
    <t>Joan V. Cortero</t>
  </si>
  <si>
    <t>Jonathan Ramos Viernes</t>
  </si>
  <si>
    <t>Evelyn G Orcajada</t>
  </si>
  <si>
    <t>Azucena O Gonzales</t>
  </si>
  <si>
    <t>Pedrito Mojica Serra</t>
  </si>
  <si>
    <t>Jade Ocfemia Alberto</t>
  </si>
  <si>
    <t>DARIO SUSON TARRIMAN</t>
  </si>
  <si>
    <t>Natalie T. Binayan</t>
  </si>
  <si>
    <t>JOEL A. ELUMBA</t>
  </si>
  <si>
    <t>VICTOR ANANA ANOS</t>
  </si>
  <si>
    <t>Giovanni Gose Desabelle</t>
  </si>
  <si>
    <t>Felton Xenox T. Inting</t>
  </si>
  <si>
    <t>GENE ACHAS BACULPO</t>
  </si>
  <si>
    <t>Nelson Suson Templa</t>
  </si>
  <si>
    <t>Maria Viña Ocampo Navarro</t>
  </si>
  <si>
    <t>FREDDIE C. BENDULO</t>
  </si>
  <si>
    <t>Helen Grace P. Hilario</t>
  </si>
  <si>
    <t>Ilyn S. Rio</t>
  </si>
  <si>
    <t>ROSEJOY TUAPEN MONTEJO</t>
  </si>
  <si>
    <t>RUDY S DACULAN</t>
  </si>
  <si>
    <t>Brenjune Bliss Gerong Calapre</t>
  </si>
  <si>
    <t>Esterlina I. Gamez</t>
  </si>
  <si>
    <t>Dante Brutas Baclao</t>
  </si>
  <si>
    <t>Lamberto L Acevedo</t>
  </si>
  <si>
    <t>ANSARY BARODI SANGCOPAN</t>
  </si>
  <si>
    <t>Joel B. Elloso</t>
  </si>
  <si>
    <t>Evan Irish L Acas</t>
  </si>
  <si>
    <t>Ronel Herico Laguador</t>
  </si>
  <si>
    <t>Dennis H. Dino</t>
  </si>
  <si>
    <t>Ma. Elina Romas Lipang</t>
  </si>
  <si>
    <t>BAC SECRETARIAT, LGU-SANTIAGO CITY</t>
  </si>
  <si>
    <t>Cecilia O. Delos Reyes</t>
  </si>
  <si>
    <t>Leonor F.  Santos</t>
  </si>
  <si>
    <t>Ruth Embate Agustin</t>
  </si>
  <si>
    <t>ELA PABLEO PAVILANDO</t>
  </si>
  <si>
    <t>HELEN  NAPARAN NGOA</t>
  </si>
  <si>
    <t>Ma. Emelene P. Coquilla</t>
  </si>
  <si>
    <t>Florante O. Enriquez</t>
  </si>
  <si>
    <t>Maximo C. Allorin</t>
  </si>
  <si>
    <t>Corazon Balingkit Langot</t>
  </si>
  <si>
    <t>Froilan Magan Deliso</t>
  </si>
  <si>
    <t>Maria RJ Magallano Mariaca</t>
  </si>
  <si>
    <t>Merrynette Atanante Abella</t>
  </si>
  <si>
    <t>JEAN ALLEN PECHAYCO ALEJANDRO</t>
  </si>
  <si>
    <t>Merma Lea R. Abalos</t>
  </si>
  <si>
    <t>Mery Jude A. Erana</t>
  </si>
  <si>
    <t>MICHELLE ZAMAR LIM</t>
  </si>
  <si>
    <t>Michael Imperial Fabros</t>
  </si>
  <si>
    <t>Cindy Pillora Pretta</t>
  </si>
  <si>
    <t>Mary Joy B. Catangui</t>
  </si>
  <si>
    <t>HERMINIA H. ABUEL</t>
  </si>
  <si>
    <t>Janet D Flores</t>
  </si>
  <si>
    <t>Noelle Grace Bandonill Rillon</t>
  </si>
  <si>
    <t>Jume Therese P. Balandra</t>
  </si>
  <si>
    <t>Rina Balba Pamplona</t>
  </si>
  <si>
    <t>Virginia D. Balderas</t>
  </si>
  <si>
    <t>Helen Antiporda Sumague</t>
  </si>
  <si>
    <t>Lito I Balarbar</t>
  </si>
  <si>
    <t>Mary Anne Garcia Tanazana</t>
  </si>
  <si>
    <t>Angelina Tinamisan Almazan</t>
  </si>
  <si>
    <t>Antonette Mananes Legson</t>
  </si>
  <si>
    <t>MARY FAMILLE PORTILLO IPAW</t>
  </si>
  <si>
    <t>Ryan Anthony Agay Olalia</t>
  </si>
  <si>
    <t>Noemi Dizon Bolinas</t>
  </si>
  <si>
    <t>Shiela Cueto Zulueta</t>
  </si>
  <si>
    <t>Edison Salawad Morales</t>
  </si>
  <si>
    <t>Nikkolo Marco Aurelio V. Cortes</t>
  </si>
  <si>
    <t>MARJORIE A SANTACERA</t>
  </si>
  <si>
    <t>Maria Fe L Torrecampo</t>
  </si>
  <si>
    <t>Candido D. Salces</t>
  </si>
  <si>
    <t>Cesarina Sico Macuha</t>
  </si>
  <si>
    <t>Abigail Chiara Catalla Muñoz</t>
  </si>
  <si>
    <t>SHIRLEY SENA SIGUE</t>
  </si>
  <si>
    <t>Mohmina P. Tanua</t>
  </si>
  <si>
    <t>Jomarilyn Francisco Estolano</t>
  </si>
  <si>
    <t>Oscar Aguinaldo Domingo</t>
  </si>
  <si>
    <t>FRANCISCO D. GUINAYON</t>
  </si>
  <si>
    <t>Victoria Carcamo Santos</t>
  </si>
  <si>
    <t>Nolasco Waje</t>
  </si>
  <si>
    <t>Eustila Furog Evangelista</t>
  </si>
  <si>
    <t>ANTONIETTA M. BAJA</t>
  </si>
  <si>
    <t>Ma.  Erowena V Soriano</t>
  </si>
  <si>
    <t>Dina V. Panganiban</t>
  </si>
  <si>
    <t>Shirley L De Guzman</t>
  </si>
  <si>
    <t>Alexander G. Diez</t>
  </si>
  <si>
    <t>Cesar A. Camayra</t>
  </si>
  <si>
    <t>Mario Jennifer Rosco Orion</t>
  </si>
  <si>
    <t>Elaine L. Abdurani</t>
  </si>
  <si>
    <t>Vladimir Prado Torres</t>
  </si>
  <si>
    <t>Ariel Reckonette B. Villanueva</t>
  </si>
  <si>
    <t>Augustines Jumawan Magsalay</t>
  </si>
  <si>
    <t>Jimmy Pastorfile Carandang</t>
  </si>
  <si>
    <t>Guy Perez</t>
  </si>
  <si>
    <t>Romy Alusen Bucalen</t>
  </si>
  <si>
    <t>Janet A. Pumalo</t>
  </si>
  <si>
    <t>JOSEPH HERBON BUSA</t>
  </si>
  <si>
    <t>Merly Samillano</t>
  </si>
  <si>
    <t>MARIELLE GRACE ANDRIN ROMAREZ</t>
  </si>
  <si>
    <t>Levey M. Alarcon</t>
  </si>
  <si>
    <t>JEAN B. GALLANO</t>
  </si>
  <si>
    <t>Lorena Obsiquo Escaro</t>
  </si>
  <si>
    <t>Jose Alcantara Clarion, Jr.</t>
  </si>
  <si>
    <t>HERMANDO MARASIGAN PESIGAN</t>
  </si>
  <si>
    <t>Arjean Villacorta Jumamoy</t>
  </si>
  <si>
    <t>Candelaria Tamera Motin</t>
  </si>
  <si>
    <t>Easter Barra Borallo</t>
  </si>
  <si>
    <t>Lady E. Abong</t>
  </si>
  <si>
    <t>Anna Dhel S Dizon</t>
  </si>
  <si>
    <t>Wilma G. Udalve</t>
  </si>
  <si>
    <t>JENNIFER CABATINGAN ARIASA</t>
  </si>
  <si>
    <t>RENE (BOY) A. ANGELES</t>
  </si>
  <si>
    <t>Nolly Adrian B. Gabule</t>
  </si>
  <si>
    <t>Macinole Manalo Domopoy</t>
  </si>
  <si>
    <t>Juliet Agpay Cayanan</t>
  </si>
  <si>
    <t>EMERSON R LARUA</t>
  </si>
  <si>
    <t>Drafino Jr Ramos Arocena</t>
  </si>
  <si>
    <t>Rogelito Dumaicos Urbiztondo</t>
  </si>
  <si>
    <t>Reymar Constantino Razon</t>
  </si>
  <si>
    <t>CYRILL BULALACAO MOLINA</t>
  </si>
  <si>
    <t>Maria Andrea Carvajal Tiong</t>
  </si>
  <si>
    <t>Orlando Nator Osorio</t>
  </si>
  <si>
    <t>MA. ANTONIA GATIL RAFALES</t>
  </si>
  <si>
    <t>Glenn Salac Sarador</t>
  </si>
  <si>
    <t>Bernadette Manggol Sapungan</t>
  </si>
  <si>
    <t>JHON ALBERT I. NUÑEZ</t>
  </si>
  <si>
    <t>Anthony A. Ferrolino</t>
  </si>
  <si>
    <t>Marilyn Espeja Dolendo</t>
  </si>
  <si>
    <t>Antonio, Jr. Sarigumba Acuña</t>
  </si>
  <si>
    <t>Armont C Pecina</t>
  </si>
  <si>
    <t>CRESENDA GAYOSA GAYOSO</t>
  </si>
  <si>
    <t>BENITO M. COSTORIO</t>
  </si>
  <si>
    <t>Marilyn Lumogda</t>
  </si>
  <si>
    <t>Janely Porras Ansoyon</t>
  </si>
  <si>
    <t>Gene Esteban S. Prisco Jr.</t>
  </si>
  <si>
    <t>Rodrhon Michael Espartero Melgar</t>
  </si>
  <si>
    <t>DIOMEDES V BONALOS</t>
  </si>
  <si>
    <t>LORENA BUDIONGAN AMBA</t>
  </si>
  <si>
    <t>ARVIN B BELARDO</t>
  </si>
  <si>
    <t>CORNELIO A DIMAPILIS</t>
  </si>
  <si>
    <t>Ricarte De Guzman Tadeja</t>
  </si>
  <si>
    <t>Ricardo A. Negado</t>
  </si>
  <si>
    <t>Michelle PONTILA CURATIVO</t>
  </si>
  <si>
    <t>Jorgen H. Buzon</t>
  </si>
  <si>
    <t>ADELFA RICO BELLO</t>
  </si>
  <si>
    <t>Ilarde Constantino Viernes</t>
  </si>
  <si>
    <t>Lito Amoguis Estoria</t>
  </si>
  <si>
    <t>Rebecca Dampil Subillaga</t>
  </si>
  <si>
    <t>ATTY. AIKO ELENI NARIDA PALER</t>
  </si>
  <si>
    <t>Emelito Salvador Dela Cruz</t>
  </si>
  <si>
    <t>NICEFORO S. LIBERATO</t>
  </si>
  <si>
    <t>Allen Mar P Antalan</t>
  </si>
  <si>
    <t>MARICEL S VELASCO</t>
  </si>
  <si>
    <t>NIDA BLASCO MIÑOZA</t>
  </si>
  <si>
    <t>Cynthia Eleonor Guno Manalo</t>
  </si>
  <si>
    <t>Fernando Boricano Mercene</t>
  </si>
  <si>
    <t>ROSARIO TAGAYO TILLAY</t>
  </si>
  <si>
    <t>Precious D Yco</t>
  </si>
  <si>
    <t>Emmalyn  T.  Tagaro</t>
  </si>
  <si>
    <t>Felix S. Billon</t>
  </si>
  <si>
    <t>RUFO SOTELO SOTELO Jr.</t>
  </si>
  <si>
    <t>Vincent M Bayot</t>
  </si>
  <si>
    <t>Corazon Belleza Rivera</t>
  </si>
  <si>
    <t>Jacqueline U Bucayu</t>
  </si>
  <si>
    <t>JOCELYN A. FERNANDO, MPMG</t>
  </si>
  <si>
    <t>Celia M Perez</t>
  </si>
  <si>
    <t>Glenn Infante Lansangan</t>
  </si>
  <si>
    <t>Maria Teresa Diamante Balbedo</t>
  </si>
  <si>
    <t>THERESA CLAVESILLAS IBARRA</t>
  </si>
  <si>
    <t>LUDMILA BETONIO BAGABALDO</t>
  </si>
  <si>
    <t>Emmanuel Lorenzo Correa</t>
  </si>
  <si>
    <t>Joseph Molina Apan</t>
  </si>
  <si>
    <t>Jenelyn Capilitan Soria</t>
  </si>
  <si>
    <t>Stephen Eric G. Castrodes</t>
  </si>
  <si>
    <t>Christopher Bataller Villafria</t>
  </si>
  <si>
    <t>Melvin B. Arevalo</t>
  </si>
  <si>
    <t>JANICE MAY ARCONES SERASPE</t>
  </si>
  <si>
    <t>Richard Dean B. Dagpin</t>
  </si>
  <si>
    <t>Mardee Magno Justo</t>
  </si>
  <si>
    <t>Krystal Eleni Bulatete Tabernero</t>
  </si>
  <si>
    <t>Michelle M Marcos</t>
  </si>
  <si>
    <t>Mamerto Alcanzarin Portillo</t>
  </si>
  <si>
    <t>rachel ann pulhin</t>
  </si>
  <si>
    <t>Benigno C Austero</t>
  </si>
  <si>
    <t>Eddie cabacungan Acosta</t>
  </si>
  <si>
    <t>EULOGIO EMPERADO MATURAN</t>
  </si>
  <si>
    <t>MARITESS CAYACO MARCOS</t>
  </si>
  <si>
    <t>Rose Andrea V. Milaor</t>
  </si>
  <si>
    <t>LEONIE  GARCIA RAMOS</t>
  </si>
  <si>
    <t>Melany Trinanes</t>
  </si>
  <si>
    <t>ROCHELLE LAMADORA GENORING</t>
  </si>
  <si>
    <t>ABNER ALPAS ESPARTERO</t>
  </si>
  <si>
    <t>Marcelina Jumawan Oguis</t>
  </si>
  <si>
    <t>Maiden P. Cortez</t>
  </si>
  <si>
    <t>Romeo Dumadaug Palmares</t>
  </si>
  <si>
    <t>Joycel Moncog Glori</t>
  </si>
  <si>
    <t>Mark Alvin Hernandez Gatus</t>
  </si>
  <si>
    <t>Nolan A Tocao</t>
  </si>
  <si>
    <t>Venus C. Solano</t>
  </si>
  <si>
    <t>LUNINGNING REGIO MENDOZA</t>
  </si>
  <si>
    <t>GEFFREY BACHAR CATULIN</t>
  </si>
  <si>
    <t>Estelita B. Vidallon</t>
  </si>
  <si>
    <t>Teresa A. Macapanas</t>
  </si>
  <si>
    <t>BERNADETTE VELOSO RAMOS</t>
  </si>
  <si>
    <t>Lenybelle Ceriola Santos</t>
  </si>
  <si>
    <t>Ador A Paraiso</t>
  </si>
  <si>
    <t>Sheila mae  Alpon  Carpentero</t>
  </si>
  <si>
    <t>EMIL RODRIGUEZ GANADEN</t>
  </si>
  <si>
    <t>ROSAVILLA  COLANGCO  BALAZO</t>
  </si>
  <si>
    <t>Ma. Cristina Piñero Olivera</t>
  </si>
  <si>
    <t>WENDEL BODIOLA DERUBIO</t>
  </si>
  <si>
    <t>Louie O Canlas</t>
  </si>
  <si>
    <t>Vilma Marbida Fronda</t>
  </si>
  <si>
    <t>Mylene Giselle C. Catbagan</t>
  </si>
  <si>
    <t>CLARO SENTINA SERVENTO</t>
  </si>
  <si>
    <t>Aaron Joshua L. Reyes</t>
  </si>
  <si>
    <t>Martin C Lagmay</t>
  </si>
  <si>
    <t>Lenie Morales Adriano</t>
  </si>
  <si>
    <t>Jeffreylhada Muallil Noor</t>
  </si>
  <si>
    <t>Datumalao Eting Saikol</t>
  </si>
  <si>
    <t>Freddie B. Caday</t>
  </si>
  <si>
    <t>JONATHAN JOSE CERENO CALDERON</t>
  </si>
  <si>
    <t>AIZA SORIANO ALARCON</t>
  </si>
  <si>
    <t>Ma. Gemma Lasala</t>
  </si>
  <si>
    <t>Zenaida M Formentera</t>
  </si>
  <si>
    <t>Emily B Laigo</t>
  </si>
  <si>
    <t>Vergel L. Vargas II</t>
  </si>
  <si>
    <t>ELAINE JUBAILYN MAGARANG MOCSANAT</t>
  </si>
  <si>
    <t>REGIE PATAGOC</t>
  </si>
  <si>
    <t>Floresa Pizarro Suarez</t>
  </si>
  <si>
    <t>SATUR CALUBANDI PAYANGDO</t>
  </si>
  <si>
    <t>Necitas G Bihay</t>
  </si>
  <si>
    <t>Medilyn Cacabelos Fernandez</t>
  </si>
  <si>
    <t>Pablo Fianza Sanidad II</t>
  </si>
  <si>
    <t>Marlon Bacay Evangelista</t>
  </si>
  <si>
    <t>MARICHU HUERTA JIMENEZ</t>
  </si>
  <si>
    <t>Elizabeth M. Ragaza</t>
  </si>
  <si>
    <t>Juliene Villanueva Godoy</t>
  </si>
  <si>
    <t>Elmer O Macalma</t>
  </si>
  <si>
    <t>Michael Angelo San Pedro BAC Secretariat</t>
  </si>
  <si>
    <t>Honorio L. Cascolan</t>
  </si>
  <si>
    <t>Christopher D. Badayos</t>
  </si>
  <si>
    <t>Marylee Bello Felisilda</t>
  </si>
  <si>
    <t>Richly A. Tagbacaula</t>
  </si>
  <si>
    <t>Danny Rodriguez</t>
  </si>
  <si>
    <t>MA. BELLA SUNGA FAJARDO</t>
  </si>
  <si>
    <t>MANUEL JR. FLORES GASCO</t>
  </si>
  <si>
    <t>MEDEL L DELA CUESTA</t>
  </si>
  <si>
    <t>Riza Ortez Muanag</t>
  </si>
  <si>
    <t>Fatima M. Ombawa</t>
  </si>
  <si>
    <t>JUANITO, JR. SALDO CASIA</t>
  </si>
  <si>
    <t>Geraldine L Arrieta</t>
  </si>
  <si>
    <t>NICANOR ARTIZA ORALIZA, JR.</t>
  </si>
  <si>
    <t>Enrique Luterio Dayagdag</t>
  </si>
  <si>
    <t>Cristina Olvido Gutierrez</t>
  </si>
  <si>
    <t>Marietta Abuan Graciano</t>
  </si>
  <si>
    <t>haily gapew patna-an</t>
  </si>
  <si>
    <t>EDGAR JR BRIONES CAPA</t>
  </si>
  <si>
    <t>WILFREDO SERDAN ILANO</t>
  </si>
  <si>
    <t>Anelyn  Autor</t>
  </si>
  <si>
    <t>RICHELLE L. MOROTA</t>
  </si>
  <si>
    <t>Ma. Charlene Cadiz</t>
  </si>
  <si>
    <t>Lourdes Añasco Solomon</t>
  </si>
  <si>
    <t>Mylene Alba</t>
  </si>
  <si>
    <t>TOMAS DAOANG ADARME</t>
  </si>
  <si>
    <t>Jose Jacinto B Antonio</t>
  </si>
  <si>
    <t>Regina S. Valdez</t>
  </si>
  <si>
    <t>Erlwin S. Andres</t>
  </si>
  <si>
    <t>SHYKHEN B. YAPAC</t>
  </si>
  <si>
    <t>Dominic Adriano</t>
  </si>
  <si>
    <t>FREDDIE MABBAYAD CAUAN</t>
  </si>
  <si>
    <t>Rysza Rhielle R. Reyes</t>
  </si>
  <si>
    <t>Rhonna Regina  Puno</t>
  </si>
  <si>
    <t>Christine Helen M Adriano</t>
  </si>
  <si>
    <t>Teofilo B. Ferolin, Sr.</t>
  </si>
  <si>
    <t>Triumpo Jr Neypes Cantillo</t>
  </si>
  <si>
    <t>Eric Torres Tejada</t>
  </si>
  <si>
    <t>EDELYN JIMENEZ IGLESIA</t>
  </si>
  <si>
    <t>Glenn Centino Quinto</t>
  </si>
  <si>
    <t>Julie Anne Canzon Valencia</t>
  </si>
  <si>
    <t>Hannah F Artil</t>
  </si>
  <si>
    <t>Ligaya M Antiola</t>
  </si>
  <si>
    <t>Dolores Peril Castro</t>
  </si>
  <si>
    <t>Felibert  Ramos Salvador</t>
  </si>
  <si>
    <t>LEONARDO YU DUMAGO, JR.</t>
  </si>
  <si>
    <t>Diwata Nilo Gaffud</t>
  </si>
  <si>
    <t>Reggie C Placido</t>
  </si>
  <si>
    <t>Eusebio Serenio</t>
  </si>
  <si>
    <t>Francis Ian L Tan</t>
  </si>
  <si>
    <t>Jenny Esguerra Carreon</t>
  </si>
  <si>
    <t>Mellany Millano Amaranto</t>
  </si>
  <si>
    <t>ROWENA POBLETE GARILLO</t>
  </si>
  <si>
    <t>Angeline Victoria Acosta Madrona</t>
  </si>
  <si>
    <t>Rowena A. Bañaga</t>
  </si>
  <si>
    <t>Mary Katherine Mojica Yacap</t>
  </si>
  <si>
    <t>ARBEN P. BUSTILLO</t>
  </si>
  <si>
    <t>Christopher Dave A. Calimlim</t>
  </si>
  <si>
    <t>RICHARD ANQUILLANO TABANIAG</t>
  </si>
  <si>
    <t>JORJAN BECKER FEDERISO</t>
  </si>
  <si>
    <t>Clark Benzon Lobo Casuco</t>
  </si>
  <si>
    <t>ERLINDA T. LABEÑA</t>
  </si>
  <si>
    <t>Anselmo L Sang Tian</t>
  </si>
  <si>
    <t>PERPETUA MACABABBAD ONATE</t>
  </si>
  <si>
    <t>Fernando De Guzman Cruz</t>
  </si>
  <si>
    <t>CHRISTINE  GULTIANO</t>
  </si>
  <si>
    <t>Ignacio, Jr. G Gelacio</t>
  </si>
  <si>
    <t>Emily Ong Benitez</t>
  </si>
  <si>
    <t>MEZACH Y BEDONA</t>
  </si>
  <si>
    <t>Liberty Cepeda Omadio</t>
  </si>
  <si>
    <t>Eleah Reyes Dela Luna</t>
  </si>
  <si>
    <t>RODA OPIANA SALAMANCA</t>
  </si>
  <si>
    <t>Ian Luis C Aguila</t>
  </si>
  <si>
    <t>Brian Dandan Sinalan</t>
  </si>
  <si>
    <t>Gomer Liwanag Dado</t>
  </si>
  <si>
    <t>Edelina Baruso Espejo</t>
  </si>
  <si>
    <t>Richelle Enciso Pascor</t>
  </si>
  <si>
    <t>Ademar R de Castro</t>
  </si>
  <si>
    <t>Rosario Labastilla Maco</t>
  </si>
  <si>
    <t>Ma. Victoria Tejedor</t>
  </si>
  <si>
    <t>Josephine Escol Avenido</t>
  </si>
  <si>
    <t>MARVELOS BAUTISTA BANTONO</t>
  </si>
  <si>
    <t>JOANN MANSILLA TACUYAN</t>
  </si>
  <si>
    <t>Marilyn Ulep Tolentino</t>
  </si>
  <si>
    <t>AMALIA GENOVIA ATIENDA</t>
  </si>
  <si>
    <t>Rodrigo V. Custodio</t>
  </si>
  <si>
    <t>Asuncion Asuncion Padre</t>
  </si>
  <si>
    <t>Camille L Maraviles</t>
  </si>
  <si>
    <t>Magdalena V. Almira</t>
  </si>
  <si>
    <t>Cristito I. Gonzales</t>
  </si>
  <si>
    <t>Xanthi Romeilla Jalon Vallicer</t>
  </si>
  <si>
    <t>Rosario Corazon  Sison  Abara</t>
  </si>
  <si>
    <t>Sheila Paraiso Estrellanes</t>
  </si>
  <si>
    <t>Vincent C. Dasmariñas</t>
  </si>
  <si>
    <t>Dennis G Varon</t>
  </si>
  <si>
    <t>Rosevie Tallera Bartolome</t>
  </si>
  <si>
    <t>NELMA  MELLIZO GASENDO</t>
  </si>
  <si>
    <t>REYNALD TARUN MACAPALLAG</t>
  </si>
  <si>
    <t>HERIBERTO AROCENA TOMAS</t>
  </si>
  <si>
    <t>Jasmen Joguilon Pablo</t>
  </si>
  <si>
    <t>ATTY. ADELITO M. SOLIBAGA, JR.</t>
  </si>
  <si>
    <t>Ruel Capucao de Loyola</t>
  </si>
  <si>
    <t>Felix G. Talamayan</t>
  </si>
  <si>
    <t>Benson Empalmado</t>
  </si>
  <si>
    <t>Arlene N Nufuar</t>
  </si>
  <si>
    <t>Kristine Gomez Contreras</t>
  </si>
  <si>
    <t>Remelyn Baltazar Tolenada</t>
  </si>
  <si>
    <t>Anna Lou Elaba Roales</t>
  </si>
  <si>
    <t>Bernardo Jr Natividad Nasis</t>
  </si>
  <si>
    <t>Elaine Bumanghat Immotna</t>
  </si>
  <si>
    <t>Engr. DOMINADOR DOMINGO DIZON</t>
  </si>
  <si>
    <t>Ronald Ares Rojas</t>
  </si>
  <si>
    <t>Merlinda Sotto Terez</t>
  </si>
  <si>
    <t>Milagros M. Perez</t>
  </si>
  <si>
    <t>Jesus aleman zamoras</t>
  </si>
  <si>
    <t>CYNTHIA BACONGA PECORE</t>
  </si>
  <si>
    <t>Winibeth Rocamora Bonachita</t>
  </si>
  <si>
    <t>Baimona Batugan Macabago</t>
  </si>
  <si>
    <t>FELICIANO L. AGSAOAY JR.</t>
  </si>
  <si>
    <t>Editha V. Aguinaldo, MPA, MBA</t>
  </si>
  <si>
    <t>CORAZON G.  CABALLES</t>
  </si>
  <si>
    <t>Jayson Pascual Galbis</t>
  </si>
  <si>
    <t>SANTEE C ESPARES</t>
  </si>
  <si>
    <t>Ma. Salvacion R. Ferrer</t>
  </si>
  <si>
    <t>Jovina Corrales Orias</t>
  </si>
  <si>
    <t>Sarah Jenn R. San Blas</t>
  </si>
  <si>
    <t>Sarah Katrina U. Clavero</t>
  </si>
  <si>
    <t>Bernard Bordon Delos Reyes</t>
  </si>
  <si>
    <t>Atty. Raymundo Badang Bautista Jr.</t>
  </si>
  <si>
    <t>WALTER L. RUIZO</t>
  </si>
  <si>
    <t>ANALISA FUASO GUILLARDE</t>
  </si>
  <si>
    <t>Rowena M Mirhan</t>
  </si>
  <si>
    <t>VIOLETA V JAVAR</t>
  </si>
  <si>
    <t>REGNER MEL BALAGOT</t>
  </si>
  <si>
    <t>Consuelo Irish Batula</t>
  </si>
  <si>
    <t>Catherine C Padin</t>
  </si>
  <si>
    <t>DARIEL VILLANUEVA RICARTO</t>
  </si>
  <si>
    <t>AMALIA MILLONDAGA MOJARES</t>
  </si>
  <si>
    <t>LENI ROCHA RIOFLORIDO</t>
  </si>
  <si>
    <t>CEZARIO JOEL C ESPEJO</t>
  </si>
  <si>
    <t>Jeanith  Gosas Alaba</t>
  </si>
  <si>
    <t>Fatima D Cawigan</t>
  </si>
  <si>
    <t>Merlita Mangalonzo Regonda</t>
  </si>
  <si>
    <t>Geraldine Mayo Sayco</t>
  </si>
  <si>
    <t>Prospero Solidum Tolosa</t>
  </si>
  <si>
    <t>BEULAH DELA CRUZ GOGUANCO</t>
  </si>
  <si>
    <t>Linell Fulleros Montuerto</t>
  </si>
  <si>
    <t>Edwin G. Yuson</t>
  </si>
  <si>
    <t>Elmer G Canios</t>
  </si>
  <si>
    <t>DOLORES JAVIER GOTICO</t>
  </si>
  <si>
    <t>Jeanne A. Limas</t>
  </si>
  <si>
    <t>Rogin Samonte Alquerro</t>
  </si>
  <si>
    <t>Josephine L Mananquil</t>
  </si>
  <si>
    <t>Mechelle Ejandra</t>
  </si>
  <si>
    <t>Virgie Abragan Gayla</t>
  </si>
  <si>
    <t>Remedios Anda Flores</t>
  </si>
  <si>
    <t>Vivian M. Cuizon</t>
  </si>
  <si>
    <t>Edna M Marino</t>
  </si>
  <si>
    <t>Luzviminda S. Reyes</t>
  </si>
  <si>
    <t>Jocelyn Laayon Mauting</t>
  </si>
  <si>
    <t xml:space="preserve">LIGAYA   UBALDE      </t>
  </si>
  <si>
    <t>Nydia R. Magallon</t>
  </si>
  <si>
    <t>Leonard D Danao</t>
  </si>
  <si>
    <t>Maricel Balmes Recio</t>
  </si>
  <si>
    <t>May Catherine H. Gaviola</t>
  </si>
  <si>
    <t>IVY JESSICA SIMON TACAMA</t>
  </si>
  <si>
    <t>Mary Ann Corpuz Lazo</t>
  </si>
  <si>
    <t>MICHELLE PACAYRA DIAZ</t>
  </si>
  <si>
    <t>MARIJO M CAUINIAN</t>
  </si>
  <si>
    <t>MARIA GRACIA  PATRON  DELA RAMA</t>
  </si>
  <si>
    <t>Arlene Longno Opeño</t>
  </si>
  <si>
    <t>Jose Forawit Lampesa</t>
  </si>
  <si>
    <t>Nerio D Fragata</t>
  </si>
  <si>
    <t>Eden  Anzano  LLena</t>
  </si>
  <si>
    <t>Teresita Bravo Guiang</t>
  </si>
  <si>
    <t>MARL PHILIP YAMSUAN CACHERO</t>
  </si>
  <si>
    <t>Carmelino Paculan Bernadas</t>
  </si>
  <si>
    <t>Leonora Gentica Lee</t>
  </si>
  <si>
    <t>JAIME L. COTALES</t>
  </si>
  <si>
    <t>concepcion polinar paelmao</t>
  </si>
  <si>
    <t>Lelia Samillano</t>
  </si>
  <si>
    <t>Estanislao V. Cayanan</t>
  </si>
  <si>
    <t>JOAN GRACE SUAZO BOLINGOT</t>
  </si>
  <si>
    <t>JOSELITO T ARAO</t>
  </si>
  <si>
    <t>Sonia Tomas Pasian</t>
  </si>
  <si>
    <t>LENY ROSALES GALOS</t>
  </si>
  <si>
    <t>CHARITO POBLETE CHAVEZ</t>
  </si>
  <si>
    <t>EMILY D UGAY</t>
  </si>
  <si>
    <t>Roger G. Liban</t>
  </si>
  <si>
    <t>Elmera Zabate Ebrada</t>
  </si>
  <si>
    <t>Albern B Alcantara</t>
  </si>
  <si>
    <t>Ruby Dela Cruz Aquino</t>
  </si>
  <si>
    <t>Freddie Pangilinan Regala</t>
  </si>
  <si>
    <t>John Salvacion Sambajon</t>
  </si>
  <si>
    <t>ADELINA FORNOLLES ENCABO</t>
  </si>
  <si>
    <t>Ma. Leilani S Cortez</t>
  </si>
  <si>
    <t>MYRNA TRIA RAMOS</t>
  </si>
  <si>
    <t>Katherine B Ramos</t>
  </si>
  <si>
    <t>Jayson Barbara Florendo</t>
  </si>
  <si>
    <t>Connie S De Leon</t>
  </si>
  <si>
    <t>JOSE TOMINES CAMPOS</t>
  </si>
  <si>
    <t>Nedencio T. Macles and Rebecca M. Gadayan</t>
  </si>
  <si>
    <t>Kathleen Joie Japson De La Cruz</t>
  </si>
  <si>
    <t>Julius Caducano Bartolome</t>
  </si>
  <si>
    <t>HELEN  AMAHIT VILLANUEVA</t>
  </si>
  <si>
    <t>Baivy Leen Mendoza Reyes</t>
  </si>
  <si>
    <t>patricio robles perez</t>
  </si>
  <si>
    <t>LUIS ACUNA DIZON</t>
  </si>
  <si>
    <t>Janet Gonzales Villafranca</t>
  </si>
  <si>
    <t>Alan Beltran Lejarde</t>
  </si>
  <si>
    <t>Arjay Louie Eu B. Cuanan</t>
  </si>
  <si>
    <t>MARIAN JOY ABENDANIO CUNANAN</t>
  </si>
  <si>
    <t>MARCIANA ABARCA BOLIBUL</t>
  </si>
  <si>
    <t>SALVACION LORA ABIAS DELEÑA</t>
  </si>
  <si>
    <t>Irene Unabia Dela Calsada</t>
  </si>
  <si>
    <t>VENUS ESCOBAR TORRES</t>
  </si>
  <si>
    <t>GABRIEL MARK BACSAL OCENAR</t>
  </si>
  <si>
    <t>Geronimo  Jr. B. Alcaraz</t>
  </si>
  <si>
    <t>esther  cibegan robles</t>
  </si>
  <si>
    <t>Virginia Aquino Tambo</t>
  </si>
  <si>
    <t>Ma. Leticia C Salcedo</t>
  </si>
  <si>
    <t>Jessica R. Narit/ Julia Marie L. Abarca/ Erwin S. Aban</t>
  </si>
  <si>
    <t>Edward Rumohr</t>
  </si>
  <si>
    <t>GIRLIE YSULAN TRINIDAD</t>
  </si>
  <si>
    <t>Phoebe Rana Arroyo</t>
  </si>
  <si>
    <t>Robbie Ruma Gadut</t>
  </si>
  <si>
    <t>JOINER B INFORTUNA</t>
  </si>
  <si>
    <t>Blesilda Manuel Ocampo</t>
  </si>
  <si>
    <t>Alex Domingo Santos</t>
  </si>
  <si>
    <t>SALVADOR BASMAYOR RICALDE</t>
  </si>
  <si>
    <t>ROLITO CABULAY BARCARSE</t>
  </si>
  <si>
    <t>Judeth M. Madelo</t>
  </si>
  <si>
    <t>Rryam Ansing Jaralve</t>
  </si>
  <si>
    <t>Joel Guilao Bucao</t>
  </si>
  <si>
    <t>CHRISTINE CACDAC BAGACAY</t>
  </si>
  <si>
    <t>Engr. Roberto M Digay</t>
  </si>
  <si>
    <t>Arlene M. Divino</t>
  </si>
  <si>
    <t>FRANCIS E MAURICIO</t>
  </si>
  <si>
    <t>Roweiji F. Bautista</t>
  </si>
  <si>
    <t>Rosana Murao Espejo</t>
  </si>
  <si>
    <t>Catherine G. Macanip</t>
  </si>
  <si>
    <t>Cayylord D. Niala</t>
  </si>
  <si>
    <t>Veronica  Ponce  Paradiang</t>
  </si>
  <si>
    <t>Adam  V. Ramilo</t>
  </si>
  <si>
    <t>PRISCILLA SOTELO BATOR</t>
  </si>
  <si>
    <t>Guadaliva Piligan Panitio</t>
  </si>
  <si>
    <t>JESSELL S. PACTURAN</t>
  </si>
  <si>
    <t>Glyzl  A.  Tolentino</t>
  </si>
  <si>
    <t>BENEDICTO S GULA</t>
  </si>
  <si>
    <t>HIPOLITO BUZON JOSOL</t>
  </si>
  <si>
    <t>JOVELYN SIRIBAN CUBANO</t>
  </si>
  <si>
    <t>HILARIO, JR. NAGUIT MALIWAT</t>
  </si>
  <si>
    <t>Chito Nelson O. Eusores</t>
  </si>
  <si>
    <t>EVELYN CORBITA MANIGO</t>
  </si>
  <si>
    <t>Editha Diaz Antonio</t>
  </si>
  <si>
    <t>Hamza M. Boloto</t>
  </si>
  <si>
    <t>ELISA QUINTANA PACHECO</t>
  </si>
  <si>
    <t>BENEDICTA B. GAMATERO</t>
  </si>
  <si>
    <t>Eileen C Argañoza</t>
  </si>
  <si>
    <t>Cristy T Repuela</t>
  </si>
  <si>
    <t>Elvie Quito</t>
  </si>
  <si>
    <t>Luzvi Delos Santos Dabuet</t>
  </si>
  <si>
    <t>Andronico Marcellana Manalo</t>
  </si>
  <si>
    <t>Ann S Ancajas</t>
  </si>
  <si>
    <t>Marvin T. Mosteiro</t>
  </si>
  <si>
    <t>Bobby Mangalino Ola</t>
  </si>
  <si>
    <t>Gilbert Cuaresma</t>
  </si>
  <si>
    <t>Valentin C Villarin</t>
  </si>
  <si>
    <t>BAYRON NARAG CASIBANG</t>
  </si>
  <si>
    <t>Emman Velgado</t>
  </si>
  <si>
    <t>Filipina Gozo Flancia</t>
  </si>
  <si>
    <t>Maria Theresa Estella Caasi</t>
  </si>
  <si>
    <t>RENAN MENDOZA CASTRO</t>
  </si>
  <si>
    <t>Juanito Gacanes Domingo</t>
  </si>
  <si>
    <t>Emmalyn magadia Bagsit</t>
  </si>
  <si>
    <t>ADOLFO JR. F. ATILLANO</t>
  </si>
  <si>
    <t>Alfonso F Belmonte</t>
  </si>
  <si>
    <t>LEYTE PROVINCIAL BAC</t>
  </si>
  <si>
    <t>Ernesto Luceño Tan</t>
  </si>
  <si>
    <t>NESTOR MIKLAT IDRA</t>
  </si>
  <si>
    <t>MICHAEL D. MUNAR</t>
  </si>
  <si>
    <t>Laylyn Lacosta Aquino</t>
  </si>
  <si>
    <t>Ramon Jr. M. Villareal</t>
  </si>
  <si>
    <t>RICHARD E JOSEPH</t>
  </si>
  <si>
    <t>Veronica Samsam Macadangdang</t>
  </si>
  <si>
    <t>SCHERJAN MOOSA C. IBRAHIM</t>
  </si>
  <si>
    <t>Amalia Acay Ibarra</t>
  </si>
  <si>
    <t>Mary Grace L. Baarde</t>
  </si>
  <si>
    <t>Cheryl Ann Galeon Ombina</t>
  </si>
  <si>
    <t>Janice Luayon Montenegro</t>
  </si>
  <si>
    <t>Robert Pineda Lucero</t>
  </si>
  <si>
    <t>ALEX HILARIO BALAAN</t>
  </si>
  <si>
    <t>Renel E. Forio</t>
  </si>
  <si>
    <t>Josephine Cacatian Alvarado</t>
  </si>
  <si>
    <t>Dindo Hicap Caliwanagan</t>
  </si>
  <si>
    <t>MARIA ANTONIA PILA BORROMEO</t>
  </si>
  <si>
    <t>Miriam C. Jabagat</t>
  </si>
  <si>
    <t>Jocelyn Talanay Pantaleon</t>
  </si>
  <si>
    <t>RIAZA BONGCARAWAN ILDEFONSO</t>
  </si>
  <si>
    <t>Irna Nadayag Mallari</t>
  </si>
  <si>
    <t>Ma. Cecilia  A.  Cedro</t>
  </si>
  <si>
    <t>PRUDENCIO L VARELA</t>
  </si>
  <si>
    <t>Merlina Tunggala Macararanga</t>
  </si>
  <si>
    <t>Engr. Anastacio Cuares Pol</t>
  </si>
  <si>
    <t>Nemesio H Davalos</t>
  </si>
  <si>
    <t>Sharon Madamba Agbayani</t>
  </si>
  <si>
    <t>Jannes Detablan Cantones</t>
  </si>
  <si>
    <t>Arnel Chavez Salazar</t>
  </si>
  <si>
    <t>Nilo Jongco Sendrijas</t>
  </si>
  <si>
    <t>Nymia T. Chavez</t>
  </si>
  <si>
    <t>Judy Caliguiran Bautista</t>
  </si>
  <si>
    <t>Virgilio Bullen Damasing</t>
  </si>
  <si>
    <t>Nino Ray Llanos Elemios</t>
  </si>
  <si>
    <t>Jubeth Mico Gipatalagan</t>
  </si>
  <si>
    <t>MILAGROS LELINA LIGOT PASCUA</t>
  </si>
  <si>
    <t>Rowena V Ocana</t>
  </si>
  <si>
    <t>Virgelio Batle Palen</t>
  </si>
  <si>
    <t>Lily Opano Tuiza</t>
  </si>
  <si>
    <t>Atilano Alinarte Abilay</t>
  </si>
  <si>
    <t>Ma. Yvonne  Domanais/ C Shalie  Coralde</t>
  </si>
  <si>
    <t>IMELDA  C.  DELLORO</t>
  </si>
  <si>
    <t>Tomas Blaya Matildo</t>
  </si>
  <si>
    <t>MERIAM R. BENDOY</t>
  </si>
  <si>
    <t>RODERICK LINDAIN DE LEON</t>
  </si>
  <si>
    <t>Lonaly Guardario Giray</t>
  </si>
  <si>
    <t>Cecilia Besa Benavidez</t>
  </si>
  <si>
    <t>Marie Jagon</t>
  </si>
  <si>
    <t>Almar Cagas Acevedo</t>
  </si>
  <si>
    <t>Susana M Pardo</t>
  </si>
  <si>
    <t>Marina Limson Am-is</t>
  </si>
  <si>
    <t>Jonathan B. Guevarra</t>
  </si>
  <si>
    <t>GINA LACSARON SERVANO</t>
  </si>
  <si>
    <t>Roweena G. Basa</t>
  </si>
  <si>
    <t>DELIA B. ISIDRO</t>
  </si>
  <si>
    <t>Merlin Paala</t>
  </si>
  <si>
    <t>Regildo Capuz Carranza</t>
  </si>
  <si>
    <t>Marina Ingoy Balicoco</t>
  </si>
  <si>
    <t>Servando Lonzon Amparo Jr.</t>
  </si>
  <si>
    <t>JERRY DIMLA CRUZ</t>
  </si>
  <si>
    <t>Lope  Panganiban</t>
  </si>
  <si>
    <t>MANUEL TEGIO CATUDAY</t>
  </si>
  <si>
    <t>Alejo Jr. M Nunez</t>
  </si>
  <si>
    <t>Alex P. Pana</t>
  </si>
  <si>
    <t>Alberto V. Cainglet</t>
  </si>
  <si>
    <t>ROLAND LAURETO OBLIG</t>
  </si>
  <si>
    <t>Cipriano Indencia Osunero</t>
  </si>
  <si>
    <t>Vanesa C. Cutanda</t>
  </si>
  <si>
    <t>Josephine Gozon Madlangsakay</t>
  </si>
  <si>
    <t>Jonas A Tesoro</t>
  </si>
  <si>
    <t>Joan Dimatulac Gutierrez</t>
  </si>
  <si>
    <t>SUSAN S JURADO</t>
  </si>
  <si>
    <t>Mhya Ducusin</t>
  </si>
  <si>
    <t>Novielita A. Dispo</t>
  </si>
  <si>
    <t>Dorivic G Espina</t>
  </si>
  <si>
    <t>Maria Magnaye Matawaran</t>
  </si>
  <si>
    <t>Kristine Joy Apostol Castillo</t>
  </si>
  <si>
    <t>Editha Pascua Covita</t>
  </si>
  <si>
    <t>Eddie De Vera Cancino</t>
  </si>
  <si>
    <t>Natividad M. Gabriel</t>
  </si>
  <si>
    <t>Celeste Ann Laure Capilla</t>
  </si>
  <si>
    <t>CELSO A. MATIAS</t>
  </si>
  <si>
    <t>Shirley Vegiga Turla</t>
  </si>
  <si>
    <t>John David E Bonifacio</t>
  </si>
  <si>
    <t>RONALDO B. DALUPING</t>
  </si>
  <si>
    <t>Divina Jane Regaya</t>
  </si>
  <si>
    <t>Felicisimo Villarico Wenceslao Jr.</t>
  </si>
  <si>
    <t>Rommel Rebucas Jandayan</t>
  </si>
  <si>
    <t>Ma. Leah Linda Susada Tan</t>
  </si>
  <si>
    <t>Mark Jayson R. Carabido</t>
  </si>
  <si>
    <t>Imelda Mariano Guillermo</t>
  </si>
  <si>
    <t>PACITA MALABANAN  GARDIOLA</t>
  </si>
  <si>
    <t>Paula Bianca de Mesa</t>
  </si>
  <si>
    <t>Roel Galang Villanueva</t>
  </si>
  <si>
    <t>Mir-i-nisa S Carbonell</t>
  </si>
  <si>
    <t>Mario N Sibulo</t>
  </si>
  <si>
    <t>ERNEL PRAVA MAYONGUE</t>
  </si>
  <si>
    <t>KAREN JOY  V.  CRUZ</t>
  </si>
  <si>
    <t>Joy M Rivera</t>
  </si>
  <si>
    <t>THERESA ZANARIAS ZAQUITA</t>
  </si>
  <si>
    <t>JOSELITO CRUZ MERCADO</t>
  </si>
  <si>
    <t>ELMAR PASCUA PAGADUAN</t>
  </si>
  <si>
    <t>CHARLIE CATCHERO QUIDET</t>
  </si>
  <si>
    <t>Luz S. Liloc</t>
  </si>
  <si>
    <t>Erick Jeffen Orense Estrella</t>
  </si>
  <si>
    <t>Pablo Mirasol</t>
  </si>
  <si>
    <t>Arceli Magtanong Samson</t>
  </si>
  <si>
    <t>Jovel Jurada Oberio</t>
  </si>
  <si>
    <t>Jenny Quimpan Puli</t>
  </si>
  <si>
    <t>Marilyn T Inong</t>
  </si>
  <si>
    <t>Ryan Delos Reyes</t>
  </si>
  <si>
    <t>Joel B Sumugat</t>
  </si>
  <si>
    <t>Ma Luz Buenaagua Francisco</t>
  </si>
  <si>
    <t>ROMEO A. SEGOVIA</t>
  </si>
  <si>
    <t>JEMSEL  Sr. DETALO VALDEZ</t>
  </si>
  <si>
    <t>Cecile M. Dicen</t>
  </si>
  <si>
    <t>JULIUS B UNDAR</t>
  </si>
  <si>
    <t>Marvin T. Dimasaca</t>
  </si>
  <si>
    <t>RONIL BALLENER TUPAS</t>
  </si>
  <si>
    <t>MICHAEL P DUQUEZ</t>
  </si>
  <si>
    <t>John Paulo Telmo Purino</t>
  </si>
  <si>
    <t>MARYJANE VISTAL TAMPEPE</t>
  </si>
  <si>
    <t>Lymarie Alcantara Malicdem</t>
  </si>
  <si>
    <t>Dionesia Gestalao Genise</t>
  </si>
  <si>
    <t>MA LOURDES BONOTAN DANGGA</t>
  </si>
  <si>
    <t>FELICISIMO EVANGELISTA MAXIMO</t>
  </si>
  <si>
    <t>Lucille Medez Sabado</t>
  </si>
  <si>
    <t>Mateo A. Lee, Jr.</t>
  </si>
  <si>
    <t>JOSE , JR. PANUELOS TIAPON</t>
  </si>
  <si>
    <t>Marcial Ogatis Oyangoren</t>
  </si>
  <si>
    <t>Sharmaine J. Vicente</t>
  </si>
  <si>
    <t>Glenn A. Lamag</t>
  </si>
  <si>
    <t>Lourvelyn Sicat Lacson</t>
  </si>
  <si>
    <t>Rogel M De la Cuesta</t>
  </si>
  <si>
    <t>MARCELA GAMBA LIBRANDO</t>
  </si>
  <si>
    <t>Lolita D Solis</t>
  </si>
  <si>
    <t>ELINo MUTYA ORQUIZ</t>
  </si>
  <si>
    <t>Thelma Fausto Montiel</t>
  </si>
  <si>
    <t>CRISALDO T MERCADER</t>
  </si>
  <si>
    <t>Gessanth Jay Celestial Silva</t>
  </si>
  <si>
    <t>Delia Escasinas Fajardo</t>
  </si>
  <si>
    <t>Rosel Montaus Miras</t>
  </si>
  <si>
    <t>Zandra Canon Pia</t>
  </si>
  <si>
    <t>Daisy D Bautista</t>
  </si>
  <si>
    <t>DIANA FELLO MOJICA</t>
  </si>
  <si>
    <t>Rodel Gullon Chavez</t>
  </si>
  <si>
    <t>Lyla Jane Basngi Tacio</t>
  </si>
  <si>
    <t>Abner H Labaniego</t>
  </si>
  <si>
    <t>Mary Joy Fuenzalida Galaroza</t>
  </si>
  <si>
    <t>Wilfredo G Ocampo</t>
  </si>
  <si>
    <t>Welia  Caagbay Mundin</t>
  </si>
  <si>
    <t xml:space="preserve">ROWENA FLOR  M.  AGLUBAT </t>
  </si>
  <si>
    <t>Victor Ansel Operario Tingzon</t>
  </si>
  <si>
    <t>Montano R. Saborrido</t>
  </si>
  <si>
    <t>Juvylyn Viajar Bitang</t>
  </si>
  <si>
    <t>Grace Canceran Madongit</t>
  </si>
  <si>
    <t>Allan L Mariano</t>
  </si>
  <si>
    <t>Jaypee Villanueva Patricio</t>
  </si>
  <si>
    <t>ZELDA  TAGANAHAN  ARCENO</t>
  </si>
  <si>
    <t>Aida Pa-alisbo Monera</t>
  </si>
  <si>
    <t>Neri Tadeo Beley</t>
  </si>
  <si>
    <t>Minrad Quinto Tigno</t>
  </si>
  <si>
    <t>JANICE F.  PINEDA</t>
  </si>
  <si>
    <t>Jocelyn L. Tulda</t>
  </si>
  <si>
    <t>Christian Immanuel Evangelista Vargas</t>
  </si>
  <si>
    <t>DUSTIN PADILLA FORMALEJO</t>
  </si>
  <si>
    <t>Corazon A. Yamit Abao Yamit</t>
  </si>
  <si>
    <t>Evelyn Ferrer Cruz</t>
  </si>
  <si>
    <t>Ma. Cristina L Garcia</t>
  </si>
  <si>
    <t>NERESSA BARRIOS BANDAVIA</t>
  </si>
  <si>
    <t>RIZALDY L. MENDOZA</t>
  </si>
  <si>
    <t>Helen  Legaspi De Guzman</t>
  </si>
  <si>
    <t>Mirasol Hortelano Suan</t>
  </si>
  <si>
    <t>NIÑO BALISTOY SALVACION</t>
  </si>
  <si>
    <t>Christian Moraleda Catarroja</t>
  </si>
  <si>
    <t>Michael Magistrado Ilag</t>
  </si>
  <si>
    <t>Elesiada Siano Llamas</t>
  </si>
  <si>
    <t>Rhea Magsombol Abreu</t>
  </si>
  <si>
    <t>VALENTE MICLAT HALILI</t>
  </si>
  <si>
    <t>Alma Bella Mater Gilo</t>
  </si>
  <si>
    <t>Engr. Fernando B. Sarile Jr.</t>
  </si>
  <si>
    <t>ROMIDA GAYANES NAAG</t>
  </si>
  <si>
    <t>Adelaida Tosing Diega</t>
  </si>
  <si>
    <t>Eric Conrado B. Lumague</t>
  </si>
  <si>
    <t>Randolf B.  Dimal</t>
  </si>
  <si>
    <t>Myla Celeste Malunes Guevarra</t>
  </si>
  <si>
    <t>SONNY  CAGAS TORRES</t>
  </si>
  <si>
    <t>Arnold Nuñez Lapinid</t>
  </si>
  <si>
    <t>Marivic Amar Dela Torre</t>
  </si>
  <si>
    <t>Mary Minchelle Payabyab Dela Rosa</t>
  </si>
  <si>
    <t>Cecilia Notario Jumawan</t>
  </si>
  <si>
    <t>Arturieto P Ramigoso</t>
  </si>
  <si>
    <t>RUBY JANE C. CRUZ</t>
  </si>
  <si>
    <t>Jessica R Artates</t>
  </si>
  <si>
    <t>MARIA LOURDES PEREA TIANGCO</t>
  </si>
  <si>
    <t>NESTOR MALASIG UY</t>
  </si>
  <si>
    <t>fe Arofol</t>
  </si>
  <si>
    <t>Jonamae Poliran Macalolot</t>
  </si>
  <si>
    <t>Brendhel P. Awa-ao</t>
  </si>
  <si>
    <t>Hilario Yoshy Casem</t>
  </si>
  <si>
    <t>Marfel Nonato Casanova Solidum</t>
  </si>
  <si>
    <t>Celestino D. Boldo</t>
  </si>
  <si>
    <t>Melanie Alabat Jalover</t>
  </si>
  <si>
    <t>Marsal Cajatol Chiong</t>
  </si>
  <si>
    <t>DORILYN C. DADOR</t>
  </si>
  <si>
    <t>Purificacion Sugalan Daloos</t>
  </si>
  <si>
    <t>Mhelda Grace Leyma</t>
  </si>
  <si>
    <t>Roxan Joy Hachero Caparro</t>
  </si>
  <si>
    <t>Jerome Bardoquillo Ramirez</t>
  </si>
  <si>
    <t>RENATO SUPAN PACHECO</t>
  </si>
  <si>
    <t>Nerissa Nedic Calimbo</t>
  </si>
  <si>
    <t>kethlyn franco villar</t>
  </si>
  <si>
    <t>Nerissa Raymundo Quintinio</t>
  </si>
  <si>
    <t>Jeffrey F Zamora</t>
  </si>
  <si>
    <t>Mia Marinelle Ramos Labuguen</t>
  </si>
  <si>
    <t>Sylvia Tanael</t>
  </si>
  <si>
    <t>JIMBERT BARETT SAN AGUSTIN ALEJANDRO</t>
  </si>
  <si>
    <t>Abigail Tabadero Alemania</t>
  </si>
  <si>
    <t>Joselyn S. Vivares</t>
  </si>
  <si>
    <t>Mildred Jalipa Padilla</t>
  </si>
  <si>
    <t>MIRASOL JUSTINIANI GONZALEZ</t>
  </si>
  <si>
    <t>Nicanor Padios</t>
  </si>
  <si>
    <t>DIOSDADO A. PAULE</t>
  </si>
  <si>
    <t>LOUIS SAGRADO BOLLOZOS</t>
  </si>
  <si>
    <t>Felicilda F Sano</t>
  </si>
  <si>
    <t>Rosemary Terez Gepte</t>
  </si>
  <si>
    <t>Florante D. Bautista</t>
  </si>
  <si>
    <t>John Gregg S. Arago</t>
  </si>
  <si>
    <t>BENJAMIN SINAJON GOMO</t>
  </si>
  <si>
    <t>Teresita Aquino Pabalan</t>
  </si>
  <si>
    <t>Carlos Seechung</t>
  </si>
  <si>
    <t>Lotes  N.  Flores</t>
  </si>
  <si>
    <t>Eleuterio L Blasco</t>
  </si>
  <si>
    <t>FRANCIS SALCEDO DIONGLAY</t>
  </si>
  <si>
    <t>Randy L Lubis</t>
  </si>
  <si>
    <t>Benjamin P. Companes</t>
  </si>
  <si>
    <t>MARIBEL A. CEREZO</t>
  </si>
  <si>
    <t>Arnoldo A. Ramos Jr.</t>
  </si>
  <si>
    <t>Expedito Magluyan Villaruz</t>
  </si>
  <si>
    <t>Rainer Mansion Padilla</t>
  </si>
  <si>
    <t>EVELYN ANDRES GAPERO</t>
  </si>
  <si>
    <t>Glenda Labitigan Goti-ay</t>
  </si>
  <si>
    <t>DERRICK ENCARNACION MAYOR</t>
  </si>
  <si>
    <t>Christian  Salcedo  Serrano</t>
  </si>
  <si>
    <t>Ma. Socorro C Tabang</t>
  </si>
  <si>
    <t>Gebema M. Zayas</t>
  </si>
  <si>
    <t>Cherryl Roque Diaz</t>
  </si>
  <si>
    <t>Maria Teresa Ocong Bucio</t>
  </si>
  <si>
    <t>Princess dela Cruz</t>
  </si>
  <si>
    <t>Marilou A. Gecosala</t>
  </si>
  <si>
    <t>Carlo Fernando G. Logarta</t>
  </si>
  <si>
    <t>Irah F. David</t>
  </si>
  <si>
    <t>Noel P Baldueza</t>
  </si>
  <si>
    <t>Jaime B Merquita Jr.</t>
  </si>
  <si>
    <t>Joseph Raphael De Guzman Francisco</t>
  </si>
  <si>
    <t>Geraldine  Ramirez  Muyano</t>
  </si>
  <si>
    <t>Editha P. Conejos</t>
  </si>
  <si>
    <t>Jose Lorenzo C. Cobarrubias</t>
  </si>
  <si>
    <t>Cherry Ann G. Torres</t>
  </si>
  <si>
    <t>Laprizal P Castueras</t>
  </si>
  <si>
    <t>Jerel Agilles</t>
  </si>
  <si>
    <t>Donata Millan Acasio</t>
  </si>
  <si>
    <t>Babe Charity S Enerio</t>
  </si>
  <si>
    <t>RAY PAROJINOG VIRTUDEZ</t>
  </si>
  <si>
    <t>ARLENE J. MALLILLIN</t>
  </si>
  <si>
    <t>Ma. Rossana Cabigting Fariñas</t>
  </si>
  <si>
    <t>Gilbert Dador Solidum</t>
  </si>
  <si>
    <t>Ritchie De La Cuesta Barrun</t>
  </si>
  <si>
    <t>Rey R. Fausto</t>
  </si>
  <si>
    <t>Ian Herodito Sy Gutierrez</t>
  </si>
  <si>
    <t>Grace G Asis</t>
  </si>
  <si>
    <t>Miguel Sosoco Katangkatang</t>
  </si>
  <si>
    <t>PAQUITO MAGTIBAY BARTE</t>
  </si>
  <si>
    <t>Rafael C Salles</t>
  </si>
  <si>
    <t>Arjay G.  Alonzo</t>
  </si>
  <si>
    <t>ROSA DALAGUETE MANUEL</t>
  </si>
  <si>
    <t>Jerry A Bernadas</t>
  </si>
  <si>
    <t>Renato E. Masculino</t>
  </si>
  <si>
    <t>Menchu Tabay Zingapan</t>
  </si>
  <si>
    <t>JHON HALLY SIMON ABAYA</t>
  </si>
  <si>
    <t>MERIAM GALLO RAMOS</t>
  </si>
  <si>
    <t>Danilo D. Pazcoguin</t>
  </si>
  <si>
    <t>Melicita T Capulong</t>
  </si>
  <si>
    <t>Darryl Jr. L. Montealto</t>
  </si>
  <si>
    <t>Ma. Sandy M. Abutanmo</t>
  </si>
  <si>
    <t>Romel Olmedo Gelilang</t>
  </si>
  <si>
    <t>ROSE HABANA MARTINEZ</t>
  </si>
  <si>
    <t>Jett B. Albaran</t>
  </si>
  <si>
    <t>Jomel Dulay Somera</t>
  </si>
  <si>
    <t>Leila Forbes Cruz</t>
  </si>
  <si>
    <t>Wee Villaver</t>
  </si>
  <si>
    <t>Randy A.  Payomo</t>
  </si>
  <si>
    <t>JOEL MERCADO MALIGAYA</t>
  </si>
  <si>
    <t>CHARISMA ALLAPITAN BARUT</t>
  </si>
  <si>
    <t>Hanz Cecilio Bernardo</t>
  </si>
  <si>
    <t>Hero Francis Cahiles Pore</t>
  </si>
  <si>
    <t>GINA R ASULA</t>
  </si>
  <si>
    <t>MICHELLE ANN NAVARRO MCARAIG</t>
  </si>
  <si>
    <t>KHAD M LAYAG</t>
  </si>
  <si>
    <t>Jocelyn M. Dano</t>
  </si>
  <si>
    <t>Cherrylyn Estinar Malagday</t>
  </si>
  <si>
    <t>Estrella Bacaling Abapo</t>
  </si>
  <si>
    <t>Jeffrey O Villanueva</t>
  </si>
  <si>
    <t>Edgar Banzuela Balidoy</t>
  </si>
  <si>
    <t>Michael Subagan Dulay</t>
  </si>
  <si>
    <t>Herma Aratan Seruela</t>
  </si>
  <si>
    <t>Sara Mae Flores Liporada</t>
  </si>
  <si>
    <t>Yolanda Lantin Reyes</t>
  </si>
  <si>
    <t>ARIZA LOBRES BIHASA</t>
  </si>
  <si>
    <t>Julie Ann Dizon Malig</t>
  </si>
  <si>
    <t>Cheriebelle T. Devaras</t>
  </si>
  <si>
    <t>Ruena Recaido Eimar</t>
  </si>
  <si>
    <t>Freddie Cañeda Sanchez</t>
  </si>
  <si>
    <t>Rosemarie P. Palma</t>
  </si>
  <si>
    <t>Ronald Allan V Ole</t>
  </si>
  <si>
    <t>Noel B. Maducdoc</t>
  </si>
  <si>
    <t>Vilma B. Ballan</t>
  </si>
  <si>
    <t>Leila  Clarete   De Guzman</t>
  </si>
  <si>
    <t>Marybeth Bandiola Quidato</t>
  </si>
  <si>
    <t>OLIVER LAFAYOG TAULE</t>
  </si>
  <si>
    <t>Ronnie N. Solangon</t>
  </si>
  <si>
    <t>RAQUEL DAROY ATIENZAR</t>
  </si>
  <si>
    <t>Nel Gabin Castillo</t>
  </si>
  <si>
    <t>Carolina D Uy</t>
  </si>
  <si>
    <t>RANTE MARIETA SAIT</t>
  </si>
  <si>
    <t>Alicia Adonis Kintana</t>
  </si>
  <si>
    <t>Fe I Ramos</t>
  </si>
  <si>
    <t>Geoffrey P. Villahermosa</t>
  </si>
  <si>
    <t>RONA BARROCUM BASA</t>
  </si>
  <si>
    <t>Rodolfo Bitaga Gaboten</t>
  </si>
  <si>
    <t>Renee  Salomon  Davad</t>
  </si>
  <si>
    <t>Marites A. Bermal</t>
  </si>
  <si>
    <t>Mila Creencia</t>
  </si>
  <si>
    <t>Redencion Ortiz Atienza</t>
  </si>
  <si>
    <t>Jaypee Dante Anuncio Espallardo</t>
  </si>
  <si>
    <t>Allison Graza Nudo</t>
  </si>
  <si>
    <t>Peter  S.  Sobrevega</t>
  </si>
  <si>
    <t>Jonas G. Guevarra</t>
  </si>
  <si>
    <t>ORLANDO FESICO PAN</t>
  </si>
  <si>
    <t>Jeffrey Ross Mendoza Navarro</t>
  </si>
  <si>
    <t>BAC SECRETARIAT STAFF</t>
  </si>
  <si>
    <t>JOUHARA GOZUM SAN JUAN</t>
  </si>
  <si>
    <t>Jessie Canama Paquibo</t>
  </si>
  <si>
    <t>Juliet N Siao</t>
  </si>
  <si>
    <t>Cheryl Rose F Magno</t>
  </si>
  <si>
    <t>Leah Mary Grace Flores Sanga</t>
  </si>
  <si>
    <t>margie celemen africa</t>
  </si>
  <si>
    <t>Cecille A. Briones</t>
  </si>
  <si>
    <t>GRACE GILONGOS AGUIRRE</t>
  </si>
  <si>
    <t>Myrna Tan Villacorta</t>
  </si>
  <si>
    <t>Analyn R. Rollon</t>
  </si>
  <si>
    <t>Giselle May  A. Melendez</t>
  </si>
  <si>
    <t>Romeo Jr. S Yacan</t>
  </si>
  <si>
    <t>Jane Cuatriz Arcilla</t>
  </si>
  <si>
    <t>Isabelito Francia Aguda</t>
  </si>
  <si>
    <t>DENNIS MARTILLANO JAMBALOS</t>
  </si>
  <si>
    <t>RIZZA VILLAMIN EBORA</t>
  </si>
  <si>
    <t>Johannah Descargar Bantas</t>
  </si>
  <si>
    <t>Ivy Joy L. Castro</t>
  </si>
  <si>
    <t>CHARLES DEJUMO GUYA</t>
  </si>
  <si>
    <t>Claire M Bacala</t>
  </si>
  <si>
    <t>Veronica Manzano Rodriguez</t>
  </si>
  <si>
    <t>Ronville Mejica Muego</t>
  </si>
  <si>
    <t>MARY JANE CLAUDIO SUNGA</t>
  </si>
  <si>
    <t>Quin Geraldine Flores Lee</t>
  </si>
  <si>
    <t>MARCOS E. RADA</t>
  </si>
  <si>
    <t>Ceferino C. Oryan</t>
  </si>
  <si>
    <t>Margarita Alvaro Chico</t>
  </si>
  <si>
    <t>REYNALDO MONCADA MOJARES</t>
  </si>
  <si>
    <t>Dudeo C. Galeon</t>
  </si>
  <si>
    <t>Christian Garganza Ortega</t>
  </si>
  <si>
    <t>Sheree Graycochea Carino</t>
  </si>
  <si>
    <t>ANGELINA BOCTOT CARTAGENA</t>
  </si>
  <si>
    <t>Maria Lourdes Galanida Roldan</t>
  </si>
  <si>
    <t>KATE A. PARULAN</t>
  </si>
  <si>
    <t>EVELYN JUANITES GERMO</t>
  </si>
  <si>
    <t>Elmira Momo</t>
  </si>
  <si>
    <t>ROMELITO PANGANIBAN</t>
  </si>
  <si>
    <t>JOSELITO E ABALOYAN</t>
  </si>
  <si>
    <t>Rowena De la Vida Prado</t>
  </si>
  <si>
    <t>Melinda D Deyto</t>
  </si>
  <si>
    <t>Susana Mejia Catubig</t>
  </si>
  <si>
    <t>REYNALD V. SAMBRANO</t>
  </si>
  <si>
    <t>Gerconia Ofamin Risane</t>
  </si>
  <si>
    <t>Jose Estrada Bagood</t>
  </si>
  <si>
    <t>Rommel Aristotle Paraiso Varias</t>
  </si>
  <si>
    <t>Geraldine Guitering Antonio</t>
  </si>
  <si>
    <t>Catherine Cajipe Dalisay</t>
  </si>
  <si>
    <t>Jorge Alvin Andrada Monteiro</t>
  </si>
  <si>
    <t>Lorie Emmanuel B. Arago</t>
  </si>
  <si>
    <t>Gil C. Suratos</t>
  </si>
  <si>
    <t>Roxanne V Dionisio</t>
  </si>
  <si>
    <t>Maria Linda Valdez Shih</t>
  </si>
  <si>
    <t>Manuel Perez Delica</t>
  </si>
  <si>
    <t>Arnulfo A. Adana</t>
  </si>
  <si>
    <t>Joann Joy Aseniero Vargas</t>
  </si>
  <si>
    <t>RAYMUND R. MATEO</t>
  </si>
  <si>
    <t>Albert C. Villamor</t>
  </si>
  <si>
    <t>Freddie Oben Tomines</t>
  </si>
  <si>
    <t>Racel Ann Landicho Almodovar</t>
  </si>
  <si>
    <t>BENJAMIN N. LAURENCIANA</t>
  </si>
  <si>
    <t>SIGHLIE MANLOGON REGODON</t>
  </si>
  <si>
    <t>Maritess Binaoro Alcampado</t>
  </si>
  <si>
    <t>Ann Joanna Villarama</t>
  </si>
  <si>
    <t>JAILI B CANSEJO</t>
  </si>
  <si>
    <t>Fulton Mario Canoy Anoba</t>
  </si>
  <si>
    <t>Judy Ann Bico Rojo</t>
  </si>
  <si>
    <t>Emmalyn Timbang Ruiz</t>
  </si>
  <si>
    <t>IMELDA ROSALES VALDEZ</t>
  </si>
  <si>
    <t>Angelina M De Vera</t>
  </si>
  <si>
    <t>Anacleto Morideo Isla</t>
  </si>
  <si>
    <t>TIMOTHY ARALAR BAUTISTA</t>
  </si>
  <si>
    <t>RONABETH BERMUDEZ CABAÑAS</t>
  </si>
  <si>
    <t>Rhea Maiquez Santiago</t>
  </si>
  <si>
    <t>Zenaida Lozada Bontilao</t>
  </si>
  <si>
    <t>fernando gabato gaston</t>
  </si>
  <si>
    <t>Carmencita R Lisondra</t>
  </si>
  <si>
    <t>Leoli N. Gavino</t>
  </si>
  <si>
    <t>ROSALYN AZUL CONDAT</t>
  </si>
  <si>
    <t>JOHN HORCASITAS GAMAD</t>
  </si>
  <si>
    <t>Miladilla Santiago</t>
  </si>
  <si>
    <t>Cristina Amparo M Linan</t>
  </si>
  <si>
    <t>Apolinario Bautista Manibo</t>
  </si>
  <si>
    <t>Cleofe A Amores</t>
  </si>
  <si>
    <t>SHYRYL MAE DIMLA</t>
  </si>
  <si>
    <t>Asther Jean Perfecio Saril</t>
  </si>
  <si>
    <t>Jordan Ravanzo Sipsip</t>
  </si>
  <si>
    <t>Kenneth Simbajon Gabisay</t>
  </si>
  <si>
    <t>Crisel Luna Layague Agudo</t>
  </si>
  <si>
    <t>MELANIE VALEDA MALLARE</t>
  </si>
  <si>
    <t>ANTONIO JR FREIRES FECUNDO</t>
  </si>
  <si>
    <t>Farhan M Ambiong</t>
  </si>
  <si>
    <t>Jaime Santos Anselmo</t>
  </si>
  <si>
    <t>CRISTINA RUBANG SABADO</t>
  </si>
  <si>
    <t>Lailani S Hernandez</t>
  </si>
  <si>
    <t>German Mariano</t>
  </si>
  <si>
    <t>WILMA C. BUMAGAT</t>
  </si>
  <si>
    <t>EDILBERTO B GAA</t>
  </si>
  <si>
    <t>ALBERTO CONCEPCION</t>
  </si>
  <si>
    <t>Ricardo Alvarado Sanchez</t>
  </si>
  <si>
    <t>Evangeline C Bongcac</t>
  </si>
  <si>
    <t>Arlene De Rama Manjares</t>
  </si>
  <si>
    <t>FRANCISCO JR. SAPON TORNO</t>
  </si>
  <si>
    <t>Felibus Coto Papa, Jr.</t>
  </si>
  <si>
    <t>Oliver Ted Castillo Orsolino</t>
  </si>
  <si>
    <t>Nino S Labininay</t>
  </si>
  <si>
    <t>Rebecca Enierga Valenzuela</t>
  </si>
  <si>
    <t>Rom Josef Pastrana Manzano</t>
  </si>
  <si>
    <t>Rochelle M. Tamayo</t>
  </si>
  <si>
    <t>JOSEPH M CANDAVA</t>
  </si>
  <si>
    <t>Conchita Oriarte Dotado</t>
  </si>
  <si>
    <t>Jella Delfin</t>
  </si>
  <si>
    <t>Katrine Natanauan Martinez</t>
  </si>
  <si>
    <t>Andres  Riego Villalva</t>
  </si>
  <si>
    <t>Michelle Escalada Monteclaro</t>
  </si>
  <si>
    <t>JEZREEL JOHN MANALO MATRE</t>
  </si>
  <si>
    <t>Charo R Arugay</t>
  </si>
  <si>
    <t>Arsenio P. Curameng II</t>
  </si>
  <si>
    <t>Michael Escobillo</t>
  </si>
  <si>
    <t>France Follosco</t>
  </si>
  <si>
    <t>Joy Abonitalla Adecer</t>
  </si>
  <si>
    <t>MARY JULIE A. TRUS</t>
  </si>
  <si>
    <t>Annalissa Villasor Espadera</t>
  </si>
  <si>
    <t>Nome R. Ricalde</t>
  </si>
  <si>
    <t>JONEFE GOMEZ OCASLA</t>
  </si>
  <si>
    <t>Sammy S Cameros</t>
  </si>
  <si>
    <t>Andro L. Colacion</t>
  </si>
  <si>
    <t>Judilyn Tampepe Natabio</t>
  </si>
  <si>
    <t>JANICE  D.  MONTALVO</t>
  </si>
  <si>
    <t>Robert Sherwin Sitoy Betita</t>
  </si>
  <si>
    <t>Delano N Javien</t>
  </si>
  <si>
    <t>CHRISTIAN  HILUANO  BOKINGO</t>
  </si>
  <si>
    <t>Jennybeb Bedejo</t>
  </si>
  <si>
    <t>GENALYN QUIDET HUGNAC</t>
  </si>
  <si>
    <t>RODNEY LABRADOR NABALONA</t>
  </si>
  <si>
    <t>BERNARDO JR. LACUESTA GANOTICE</t>
  </si>
  <si>
    <t>Artemio De Chavez</t>
  </si>
  <si>
    <t>WILSON RANADA SALEM</t>
  </si>
  <si>
    <t>Michael M.Peñaflor</t>
  </si>
  <si>
    <t>Shaira Glee</t>
  </si>
  <si>
    <t>PROCESO M. KADAVERO</t>
  </si>
  <si>
    <t>ARLENE CASAS LLOREN</t>
  </si>
  <si>
    <t>Engr Renie R Albarina</t>
  </si>
  <si>
    <t>ABDULBAYAN LATIP ABAS</t>
  </si>
  <si>
    <t>Giovanni Y. Tianero</t>
  </si>
  <si>
    <t>Leslie Gulleban Bualat</t>
  </si>
  <si>
    <t>ASHER ITHAMAR BAGOL ALLUNAR</t>
  </si>
  <si>
    <t>ENGR. GREGORIO VALENCIA BALUYUT</t>
  </si>
  <si>
    <t>Jimmy Canabuan</t>
  </si>
  <si>
    <t>Roberto P. Ventura</t>
  </si>
  <si>
    <t>Amelyn Quinio Martinez</t>
  </si>
  <si>
    <t>Ma. Vicenta To Malana</t>
  </si>
  <si>
    <t>Elnera Ching</t>
  </si>
  <si>
    <t>Leosald Briz</t>
  </si>
  <si>
    <t>Maricel A Sanchez</t>
  </si>
  <si>
    <t>Maricris S. Cabanayan</t>
  </si>
  <si>
    <t>Ma. Twinkle G Mercader</t>
  </si>
  <si>
    <t>RAIMUNDA MATUOD LUMANTAS</t>
  </si>
  <si>
    <t>Herbie B De Lemios</t>
  </si>
  <si>
    <t>Maricar  M  Caldera</t>
  </si>
  <si>
    <t>Laarni Gomez Dizon</t>
  </si>
  <si>
    <t>ARLEEN T. BACOS</t>
  </si>
  <si>
    <t>Lea Ordinario Abando</t>
  </si>
  <si>
    <t>MA. ERIKA  A.  NERI</t>
  </si>
  <si>
    <t>ROSARIO ALFONSO LASCANO</t>
  </si>
  <si>
    <t>Jocelyn Daclag Arnado</t>
  </si>
  <si>
    <t>Julita Llanes Macaranas</t>
  </si>
  <si>
    <t>Renejene M. Umali</t>
  </si>
  <si>
    <t>Mylene M. Chiong</t>
  </si>
  <si>
    <t>Reynaldo Sumagaysay Belgira</t>
  </si>
  <si>
    <t>Irene Bea Faustino</t>
  </si>
  <si>
    <t>Ralph Adrian Dizon Gonzales</t>
  </si>
  <si>
    <t>Ma. Anelyn Cubias</t>
  </si>
  <si>
    <t>Jowie David Del Rosario</t>
  </si>
  <si>
    <t>Arcangel T. Rodriguez</t>
  </si>
  <si>
    <t>BYRON CASTELLON RAMOS</t>
  </si>
  <si>
    <t>John Rey Arota Tomines</t>
  </si>
  <si>
    <t>Letecia Arevalo Peñalosa</t>
  </si>
  <si>
    <t>Evelyn C. Padayhag</t>
  </si>
  <si>
    <t>Jesse II R Initan</t>
  </si>
  <si>
    <t>ESTELO R. MAGALANG</t>
  </si>
  <si>
    <t>Zenaida Layno Castaneda</t>
  </si>
  <si>
    <t>Gilmore Ray Lopez Saniel</t>
  </si>
  <si>
    <t>Renato Motao Sarikit</t>
  </si>
  <si>
    <t>REYNANTE B. INFANTE</t>
  </si>
  <si>
    <t>APOLONIO LACAMBRA LOPEZ</t>
  </si>
  <si>
    <t>Jaime Dapula Omaña</t>
  </si>
  <si>
    <t>Susina Orillo Enero</t>
  </si>
  <si>
    <t>Eden Caculitan Padua</t>
  </si>
  <si>
    <t>Raymart   S.  Adonis</t>
  </si>
  <si>
    <t>Elton Gurro Panulaya</t>
  </si>
  <si>
    <t>Monalisa Umali Domen</t>
  </si>
  <si>
    <t>IRVIN CAYAON ROLLUQUI</t>
  </si>
  <si>
    <t>Lenilyn Victoriano  Dionora</t>
  </si>
  <si>
    <t>Jocelyn Mosqueda Abaya</t>
  </si>
  <si>
    <t>JAIME G. JALON</t>
  </si>
  <si>
    <t>GRETCHEN BARENO CABADDU</t>
  </si>
  <si>
    <t>Jellyby M Manlin</t>
  </si>
  <si>
    <t>NIÑO ROSANA TIAMA</t>
  </si>
  <si>
    <t>Fercilyn E Grospe</t>
  </si>
  <si>
    <t>Maria Concepcion Salcedo Florida</t>
  </si>
  <si>
    <t>Natalie Tinao Caparas</t>
  </si>
  <si>
    <t>Faustino Toradio</t>
  </si>
  <si>
    <t>JAIME G. CRUZ, JR</t>
  </si>
  <si>
    <t>MARICEL ODIAMAR ADAYO</t>
  </si>
  <si>
    <t>ROSALINDA MANGALINO PEREZ</t>
  </si>
  <si>
    <t>Nicanor Ilao Perez</t>
  </si>
  <si>
    <t>Aimee Antonio Jimeno</t>
  </si>
  <si>
    <t>Darwin Faminia Fortu</t>
  </si>
  <si>
    <t>JUDEA PABILLAR  ASUNCION</t>
  </si>
  <si>
    <t>TERESA M. ARCONCIL</t>
  </si>
  <si>
    <t>ELVIRA LAGDAMEN POLINES</t>
  </si>
  <si>
    <t>ROSALIE N. MORALDE</t>
  </si>
  <si>
    <t>Reynaldo Ninon Manaog</t>
  </si>
  <si>
    <t>Madelyn Delbo Betic</t>
  </si>
  <si>
    <t>Eliza Rendon Alamo</t>
  </si>
  <si>
    <t>Cristeta Librea Dangli</t>
  </si>
  <si>
    <t>Caysie Bagsit</t>
  </si>
  <si>
    <t>Myrna Valencia Villarin</t>
  </si>
  <si>
    <t>Judith D. Alde</t>
  </si>
  <si>
    <t>Darwin Moso Labe</t>
  </si>
  <si>
    <t>Rosemarie Pinto Magno</t>
  </si>
  <si>
    <t>JOHN KENNETH J CORDEZ</t>
  </si>
  <si>
    <t>Emerlita Tismo Padrique</t>
  </si>
  <si>
    <t>Arjomae Penuela Jacob</t>
  </si>
  <si>
    <t>Renel M. Malacapo</t>
  </si>
  <si>
    <t>Roselito Maningas Bautista</t>
  </si>
  <si>
    <t>TERESITA BATILARAN MACUTE</t>
  </si>
  <si>
    <t>Arlene Caliente Tagra</t>
  </si>
  <si>
    <t>ERNESTO KIM BALANI TORREFRANCA</t>
  </si>
  <si>
    <t>Arnold Lucaben Paleng</t>
  </si>
  <si>
    <t>Alfonso Garcia Vasquez Jr.</t>
  </si>
  <si>
    <t>Dan Rommel Tonquin Gastala</t>
  </si>
  <si>
    <t>Charito Tinio Mertens</t>
  </si>
  <si>
    <t>Ronnel Jake Bueno Razon</t>
  </si>
  <si>
    <t>Roy Cantong Caguimbaga</t>
  </si>
  <si>
    <t>LEILANI BACALE CASIMPAN</t>
  </si>
  <si>
    <t>Richhell Salinas  Tumadiang</t>
  </si>
  <si>
    <t>Ana Suzette Limguis Moreño</t>
  </si>
  <si>
    <t>Ernesto Ariola Serante</t>
  </si>
  <si>
    <t>Rafael J Oreta</t>
  </si>
  <si>
    <t>JULIE P. TABCAO</t>
  </si>
  <si>
    <t>Rhahaf Mae C Mapalad</t>
  </si>
  <si>
    <t>JASMIN R LACUNA</t>
  </si>
  <si>
    <t>ROSALITO A DELEN</t>
  </si>
  <si>
    <t>MARIA TERESA HOCSON MIRABUENO</t>
  </si>
  <si>
    <t>Carlito M Montemayor</t>
  </si>
  <si>
    <t>Fermin F Sapuras</t>
  </si>
  <si>
    <t>Christian Quitoriano Doria</t>
  </si>
  <si>
    <t>Aldy B Novo</t>
  </si>
  <si>
    <t>Mayla Joi Villote Manigo</t>
  </si>
  <si>
    <t>Ray Retarino Ruiz</t>
  </si>
  <si>
    <t>Danilo P Polestico</t>
  </si>
  <si>
    <t>Asunypel Tandug Julao</t>
  </si>
  <si>
    <t>Antonio Bartolo Mercado</t>
  </si>
  <si>
    <t>EMMA RUTH LOPEZ FLORES</t>
  </si>
  <si>
    <t>Rosemarie Duque Mollaneda</t>
  </si>
  <si>
    <t>Eric G Limpin</t>
  </si>
  <si>
    <t>Geminina Callada Fernando</t>
  </si>
  <si>
    <t>Venancio Amogues Casaba</t>
  </si>
  <si>
    <t>Rowena Arcon Plando</t>
  </si>
  <si>
    <t>MARIA KRISTINA KAREN DE GUZMAN MANIMTIM</t>
  </si>
  <si>
    <t>Rommel S Santos</t>
  </si>
  <si>
    <t>Marla PAMISARAN Andal</t>
  </si>
  <si>
    <t>Ruby M Subiate</t>
  </si>
  <si>
    <t>Mark Jenar A. Marquez</t>
  </si>
  <si>
    <t>REY EMMAN C SORELA</t>
  </si>
  <si>
    <t>Jesusa Agustin</t>
  </si>
  <si>
    <t>Ruby Anna S. Benamir</t>
  </si>
  <si>
    <t>Maria Cristina  Bides</t>
  </si>
  <si>
    <t>Lorna Novero Riego</t>
  </si>
  <si>
    <t>Cheryl Escoro Ortiz</t>
  </si>
  <si>
    <t>Emms H. Urbanozo</t>
  </si>
  <si>
    <t>BUENAVENTURA ALEJANDRO GALINDO</t>
  </si>
  <si>
    <t>Kristina Omapas Racuya</t>
  </si>
  <si>
    <t>BAC ILOCOS SUR</t>
  </si>
  <si>
    <t>Eugenio T. Rosete</t>
  </si>
  <si>
    <t>Antonio Y. Calonge</t>
  </si>
  <si>
    <t>Paul Francis Sarmiento Tomimbang</t>
  </si>
  <si>
    <t>Cecilia Maningo Fuentes</t>
  </si>
  <si>
    <t>ROSELLER DIZON SASIS</t>
  </si>
  <si>
    <t>Jimmy P Morales</t>
  </si>
  <si>
    <t>Leopoldo  C Sanchez Jr.</t>
  </si>
  <si>
    <t>John Albert Odi Diaz</t>
  </si>
  <si>
    <t>Cirio Dela Cruz Pangan</t>
  </si>
  <si>
    <t>Paul Cesar Romano Absin</t>
  </si>
  <si>
    <t>Reynaldo Ipanag Gamutan</t>
  </si>
  <si>
    <t>Levie Agcaoili Talub</t>
  </si>
  <si>
    <t>Ruben Dagayloan Barrios</t>
  </si>
  <si>
    <t>Ailen Boyles Ragas</t>
  </si>
  <si>
    <t>Edwin Jervoso Bausal</t>
  </si>
  <si>
    <t>Liane Atwel Teleron</t>
  </si>
  <si>
    <t>PLGU Nueva Vizcaya (2nd Account)</t>
  </si>
  <si>
    <t>Elnora Toledo Lariza</t>
  </si>
  <si>
    <t>LOUISE MYKAELA ROBLES</t>
  </si>
  <si>
    <t>Godofredo P Lubat  Jr.</t>
  </si>
  <si>
    <t>Janine M. Balilia</t>
  </si>
  <si>
    <t>Ma.Lourdes Sawan-on Bebillo</t>
  </si>
  <si>
    <t>JOSEPH CORTEZ HINANAY</t>
  </si>
  <si>
    <t>Reynaldo Collado Floria</t>
  </si>
  <si>
    <t>Ida I Juezan</t>
  </si>
  <si>
    <t>Ronette Pangan Arban</t>
  </si>
  <si>
    <t>RUEL B. CUBERO</t>
  </si>
  <si>
    <t>Nona Fancisco Magdasoc</t>
  </si>
  <si>
    <t>Ronaldo Taborada Laguidao</t>
  </si>
  <si>
    <t>Sweden Mangaran Dela Cruz</t>
  </si>
  <si>
    <t>Rommel Pacaoncis Masongsong</t>
  </si>
  <si>
    <t>Edgardo Suasula Cabalida</t>
  </si>
  <si>
    <t>DIONICIA JEAN PAREÑA HALLARES</t>
  </si>
  <si>
    <t>Jennifer Loquillano Mayang-Aligado</t>
  </si>
  <si>
    <t>rhodora pelonia tan</t>
  </si>
  <si>
    <t>Herma Taghap Paragsa</t>
  </si>
  <si>
    <t>Ma. Marites A Cabral</t>
  </si>
  <si>
    <t>Wencel Marie Rubio Imboy</t>
  </si>
  <si>
    <t>MARIELLE SANDRA GAVIOLA</t>
  </si>
  <si>
    <t>Jocelyn Castro Ballesteros</t>
  </si>
  <si>
    <t>PILAR RABINO VITTO</t>
  </si>
  <si>
    <t>Gredalie Rivera Acopio</t>
  </si>
  <si>
    <t>MARICAR H DIPUTADO</t>
  </si>
  <si>
    <t>GENA C. CAMARISTA</t>
  </si>
  <si>
    <t>CYLENE VILLAR PUGUON</t>
  </si>
  <si>
    <t>Remar Joy Blancada Gordevilla</t>
  </si>
  <si>
    <t>TERESITO LOFRANCO APARICI</t>
  </si>
  <si>
    <t>Emmanuel D Salomes</t>
  </si>
  <si>
    <t>JENALYN  SANTANDER PONFERRADA</t>
  </si>
  <si>
    <t>Irene  Romero Arevalo</t>
  </si>
  <si>
    <t>Ermintrude Diaz Gonzales</t>
  </si>
  <si>
    <t>Marian Carbonell Patosa</t>
  </si>
  <si>
    <t>Teodulo O Santos, M.D</t>
  </si>
  <si>
    <t>ANDREA A. FACUNLA</t>
  </si>
  <si>
    <t>CANDIDO ALFRED II AZARES BANCORO</t>
  </si>
  <si>
    <t>Janice L Sta. Cruz</t>
  </si>
  <si>
    <t>Maribel Lopez Bongar</t>
  </si>
  <si>
    <t>JUNE IVY CIELOS MENDEZ</t>
  </si>
  <si>
    <t>REYNILDA DORIGA BUNYI</t>
  </si>
  <si>
    <t>Yondre Jaen Yonder</t>
  </si>
  <si>
    <t>CLIFTON GARETH NGODCHO FANG-ASAN</t>
  </si>
  <si>
    <t>Ronald D. Elnar</t>
  </si>
  <si>
    <t>Charisse Anne  Valdez  Samonte</t>
  </si>
  <si>
    <t>Gerardo B. Beluan</t>
  </si>
  <si>
    <t>Rodrigo Lagliba Bugawan</t>
  </si>
  <si>
    <t>HAIDEE PEÑAMANTE AVELLANO</t>
  </si>
  <si>
    <t>GLENDA S. RUIZ</t>
  </si>
  <si>
    <t>RYAN T TECSON</t>
  </si>
  <si>
    <t>Delmor De Vera Pascual</t>
  </si>
  <si>
    <t>Michael Aquino Abar</t>
  </si>
  <si>
    <t>Kimberly Englis Templado</t>
  </si>
  <si>
    <t>Ebenezer Presentacion Presentacion</t>
  </si>
  <si>
    <t>Paul Brix P Advincula</t>
  </si>
  <si>
    <t>Gigi Niog Fatingana</t>
  </si>
  <si>
    <t>Reynaldo J Santiago</t>
  </si>
  <si>
    <t>Victor O Nuico</t>
  </si>
  <si>
    <t>EMMANUEL OBINA</t>
  </si>
  <si>
    <t>Ronnie D. Morante</t>
  </si>
  <si>
    <t>CLAUDIO L YUCOT</t>
  </si>
  <si>
    <t>Vanessa A Dela Torre</t>
  </si>
  <si>
    <t>LAILA FUERTES DANAQUE</t>
  </si>
  <si>
    <t>Ambrocio Zapata Azares</t>
  </si>
  <si>
    <t xml:space="preserve">Evelyn  Ramiso  Lambiguit </t>
  </si>
  <si>
    <t>Roberto De Guzman Estrella</t>
  </si>
  <si>
    <t>Vicente Dellatan Alcoriza</t>
  </si>
  <si>
    <t>Andres R Avorque</t>
  </si>
  <si>
    <t>Noel A Tubac</t>
  </si>
  <si>
    <t>Ma. Francia V. Eborde</t>
  </si>
  <si>
    <t>TISHA PAPARON MARTINITO</t>
  </si>
  <si>
    <t>Mary Jacquiline Ceballos Elid</t>
  </si>
  <si>
    <t>Sisinia Tumampos Bagao</t>
  </si>
  <si>
    <t>Quintin Albarico Lim, JR</t>
  </si>
  <si>
    <t>Christopher V. Morales</t>
  </si>
  <si>
    <t>LEO GAMMAD LIGGAYU</t>
  </si>
  <si>
    <t>Gloria Española Amar</t>
  </si>
  <si>
    <t>Jorge Olaer Madrona</t>
  </si>
  <si>
    <t>Ronalyn Arrogante Luistro</t>
  </si>
  <si>
    <t>Renato Operario Paligutan</t>
  </si>
  <si>
    <t>Lilane Mejillano Nuñez</t>
  </si>
  <si>
    <t>Rojie Lynn "Tata" Quirante Martizano</t>
  </si>
  <si>
    <t>David Sismundo Luna</t>
  </si>
  <si>
    <t>Alex Medina Comia</t>
  </si>
  <si>
    <t>Melissa N Galvez</t>
  </si>
  <si>
    <t>Nilo Eduarte Diesta</t>
  </si>
  <si>
    <t>Ciscil B. Montemayor</t>
  </si>
  <si>
    <t>Freddie Remolado Sumangit</t>
  </si>
  <si>
    <t>EMMA SALTIGA ROSALES</t>
  </si>
  <si>
    <t>ANGELITA PANGANIBAN SALE</t>
  </si>
  <si>
    <t>Jun Brian Tan Soledad</t>
  </si>
  <si>
    <t>Lourdes F Arinduque</t>
  </si>
  <si>
    <t>ROSALINO S. VALENCIA</t>
  </si>
  <si>
    <t>Vilma  Elarmo</t>
  </si>
  <si>
    <t>JERRY S. ROSARIO</t>
  </si>
  <si>
    <t>Yola R. Ranalan</t>
  </si>
  <si>
    <t>Angelo Aniar Sabaybay</t>
  </si>
  <si>
    <t>Edwina C. Carriedo</t>
  </si>
  <si>
    <t>Delfin Jr Arriola Zamora</t>
  </si>
  <si>
    <t>ARLAN CALUMA MAANDIG</t>
  </si>
  <si>
    <t>Jay V Villafranca</t>
  </si>
  <si>
    <t>CLEMENTE LANDICHO MONTILLA</t>
  </si>
  <si>
    <t>Lolito Pesidas Campos</t>
  </si>
  <si>
    <t>Rosevida Y. Cadag</t>
  </si>
  <si>
    <t>Roger Pabilona Aguacito</t>
  </si>
  <si>
    <t>Ruel Robina Ragas</t>
  </si>
  <si>
    <t>Josafat Lindong Caipang</t>
  </si>
  <si>
    <t>Vincyl L. Solitario</t>
  </si>
  <si>
    <t>Mericris Omahoy Napone</t>
  </si>
  <si>
    <t>Gina Larga Monreal</t>
  </si>
  <si>
    <t>ELDA ARELLANO MIRAFLORES</t>
  </si>
  <si>
    <t>Janice Sainz Collado</t>
  </si>
  <si>
    <t>Narissa B Dado</t>
  </si>
  <si>
    <t>Abner Escobar Guilambo</t>
  </si>
  <si>
    <t>Vincent A. Tan</t>
  </si>
  <si>
    <t>ELMER HAINTO DOMASIG</t>
  </si>
  <si>
    <t>Elmer A. Bajado</t>
  </si>
  <si>
    <t>Emilio G. Quanico</t>
  </si>
  <si>
    <t>Jomar Sampaga</t>
  </si>
  <si>
    <t>Dionesio Bagasbas De Guzman</t>
  </si>
  <si>
    <t>VICENTE ENGADA SALARDA</t>
  </si>
  <si>
    <t>ELVIRA D. VERZOLA</t>
  </si>
  <si>
    <t>AISZA VERAN</t>
  </si>
  <si>
    <t>ALFREDO ALVARO</t>
  </si>
  <si>
    <t>Michelle A. Mejica</t>
  </si>
  <si>
    <t>JUAN AUSTRIA</t>
  </si>
  <si>
    <t>FLORA  A.  JARILLA</t>
  </si>
  <si>
    <t>Ma. Rosa  D.  Del Rio</t>
  </si>
  <si>
    <t>Percival Ricafrente Taniegra</t>
  </si>
  <si>
    <t>Ester C. Layam</t>
  </si>
  <si>
    <t>Rhodeliza De Villa Penarroyo</t>
  </si>
  <si>
    <t>Genalyn Alvarez Tablatin</t>
  </si>
  <si>
    <t>Archie F. Yu</t>
  </si>
  <si>
    <t>Patricio Pilvera Reponte, Jr.</t>
  </si>
  <si>
    <t>FRANKLIN R JAZUL</t>
  </si>
  <si>
    <t>Mina Canela De Castro</t>
  </si>
  <si>
    <t>Aaron John Reyes Liwag</t>
  </si>
  <si>
    <t>Demeliza Paredes Aguibay</t>
  </si>
  <si>
    <t>Ranie Javar Babiera</t>
  </si>
  <si>
    <t>EUGENE ZAMUDIO PIOQUINTO</t>
  </si>
  <si>
    <t>Poebe Ruth Cansicio Soriano</t>
  </si>
  <si>
    <t>Editha Banayos Villamor</t>
  </si>
  <si>
    <t>ROSALINDA TAPIA LONZAGA</t>
  </si>
  <si>
    <t>Nimfa Mendoza Derada</t>
  </si>
  <si>
    <t>EDUARDO EBANA JAQUILMAC</t>
  </si>
  <si>
    <t>Dominga Repaldo Duran</t>
  </si>
  <si>
    <t>Ely Garcillano Ramos</t>
  </si>
  <si>
    <t>Omar Sajot Alfaro</t>
  </si>
  <si>
    <t>Patrocinia Sanigan Kalaw</t>
  </si>
  <si>
    <t>Aida L Cerudo</t>
  </si>
  <si>
    <t>LEOREYSALDIE NAPATA SALANATIN</t>
  </si>
  <si>
    <t>Rodolfo Tangan Mabuhay</t>
  </si>
  <si>
    <t>Donald De la Cruz Landero</t>
  </si>
  <si>
    <t>Cynthia De Chavez Perez</t>
  </si>
  <si>
    <t>Jicylle Madrio Merin</t>
  </si>
  <si>
    <t>Rosalie Galang Calma</t>
  </si>
  <si>
    <t>LEAH BANARES TUBID</t>
  </si>
  <si>
    <t>FRANZE BETH S. NERI</t>
  </si>
  <si>
    <t>Lorna Colob Lustria</t>
  </si>
  <si>
    <t>Ma. Annalyn S. Nolasco</t>
  </si>
  <si>
    <t>Paquito Joel Alferez Arocha</t>
  </si>
  <si>
    <t>Jackson L. Pasamic</t>
  </si>
  <si>
    <t>Orlando C. Capaducio</t>
  </si>
  <si>
    <t>Verisima Sarigumba Calipusan</t>
  </si>
  <si>
    <t>ROSEMARIE E CAMPOS</t>
  </si>
  <si>
    <t>Ronald L Castigador</t>
  </si>
  <si>
    <t>Gene Ross Jose Ibea Silva</t>
  </si>
  <si>
    <t>Vicky D. Galvan</t>
  </si>
  <si>
    <t>Jose Sabado Catoto, Jr.</t>
  </si>
  <si>
    <t>JOSE VICENTE RAYMUNDO MONTALLANA OPINION</t>
  </si>
  <si>
    <t>Amador Eusebio Judan</t>
  </si>
  <si>
    <t>Harold De Guzman Santos</t>
  </si>
  <si>
    <t>Sukarno M Hadjinor</t>
  </si>
  <si>
    <t>Arnel Villamor Esller</t>
  </si>
  <si>
    <t>Emma Gersan Apdian</t>
  </si>
  <si>
    <t>Mary Grace B. Dulnuan</t>
  </si>
  <si>
    <t>Antonia C. Ebio</t>
  </si>
  <si>
    <t>MARIA ELIZA SANTANA SILLESA</t>
  </si>
  <si>
    <t>Mary Ann O. Manimtim</t>
  </si>
  <si>
    <t>ANGELINA RALLOS SOLIANO</t>
  </si>
  <si>
    <t>Jorge C Catilo</t>
  </si>
  <si>
    <t>Tony B. Evangelista Jr.</t>
  </si>
  <si>
    <t>Florian Agcopra Labiano</t>
  </si>
  <si>
    <t>Edwin Agdon Raymundo</t>
  </si>
  <si>
    <t>ESTELA  B  TUSE</t>
  </si>
  <si>
    <t>Reuby Nick Villamor Babael</t>
  </si>
  <si>
    <t>Rosemarie  N.  Andulan</t>
  </si>
  <si>
    <t>MARIE JANE ABING CLAVERO</t>
  </si>
  <si>
    <t>ALMIRA PINOL LAPASARAN</t>
  </si>
  <si>
    <t>Vincent Murillo Caang</t>
  </si>
  <si>
    <t>LIBRADO DOMINGO DULAY</t>
  </si>
  <si>
    <t>Leah Amor Alapo-op Salinas</t>
  </si>
  <si>
    <t>Sandae B. Lico</t>
  </si>
  <si>
    <t>Marcelo D. Aparicio Jr.</t>
  </si>
  <si>
    <t>JOVYLYN P LUCAS</t>
  </si>
  <si>
    <t>GEMMA M. MAMALAYAN</t>
  </si>
  <si>
    <t>MARIA LUCIA RANIN REQUEJO</t>
  </si>
  <si>
    <t>Daven O. Herodias</t>
  </si>
  <si>
    <t>Francisco R Cordero</t>
  </si>
  <si>
    <t>Lucila D De Roxas</t>
  </si>
  <si>
    <t>DEMIA BILLONES DELORIA</t>
  </si>
  <si>
    <t>JENETTE GERONIMO GADO</t>
  </si>
  <si>
    <t>Genaro C. Garay</t>
  </si>
  <si>
    <t>Sherry M. Orozco</t>
  </si>
  <si>
    <t>Merla A. Monje</t>
  </si>
  <si>
    <t>Ludivino Jone Egagamao</t>
  </si>
  <si>
    <t>NIEL CARO ROSALES</t>
  </si>
  <si>
    <t>SIXTO BALITA</t>
  </si>
  <si>
    <t>Leny Joy Banasing Liu</t>
  </si>
  <si>
    <t>Mary Grace B Valle</t>
  </si>
  <si>
    <t>Sonny Boy Bautista Berbano</t>
  </si>
  <si>
    <t>Jocelyn Diaz Sagang</t>
  </si>
  <si>
    <t>Jose Ferdinand Laloy Gabrido</t>
  </si>
  <si>
    <t>Zaiton Navarro Sumpo</t>
  </si>
  <si>
    <t>JARRATUL  SABARA  RADJID</t>
  </si>
  <si>
    <t>Julius M. Salentes</t>
  </si>
  <si>
    <t>Wilogine Taba Sarona</t>
  </si>
  <si>
    <t>Ma. Gracia Gaspar Catalan</t>
  </si>
  <si>
    <t>VIRGILIO P. BATAN</t>
  </si>
  <si>
    <t>Aproniano Peleño Dalit</t>
  </si>
  <si>
    <t>JENNY  S.  SUBANG</t>
  </si>
  <si>
    <t>Maximo H Salvatierra</t>
  </si>
  <si>
    <t>Maria Ritchie Saraga Olayra</t>
  </si>
  <si>
    <t>Jeffrey Celis Magadan</t>
  </si>
  <si>
    <t>Rowena Pavillar Bulfa</t>
  </si>
  <si>
    <t>Jovit  Villareal</t>
  </si>
  <si>
    <t>INES BENITO REUYAN</t>
  </si>
  <si>
    <t>Edwin Vergel De Dios David</t>
  </si>
  <si>
    <t>Francis Alfred Calo Bokingo</t>
  </si>
  <si>
    <t>Eugene Jr. I. Macahis</t>
  </si>
  <si>
    <t>Cholie M. Roble</t>
  </si>
  <si>
    <t>Jay Legaspi Cabiles</t>
  </si>
  <si>
    <t>Joel Atablanco</t>
  </si>
  <si>
    <t>Robert John Donesa</t>
  </si>
  <si>
    <t>Harvin Bob  P. Puno</t>
  </si>
  <si>
    <t>Jhuna C. Casillano</t>
  </si>
  <si>
    <t>Zosimo B. Coloma</t>
  </si>
  <si>
    <t>Ma. Theresa P. Ortiz</t>
  </si>
  <si>
    <t>Alvin Arguna Talisay</t>
  </si>
  <si>
    <t>MARY FE L. MONTANO</t>
  </si>
  <si>
    <t>NEOPOLO JR. LACSON MANALOTO</t>
  </si>
  <si>
    <t>ROSALINE MANANSALA TUBLE</t>
  </si>
  <si>
    <t>MAYLA F FEO</t>
  </si>
  <si>
    <t>Marilyn F. Chavez</t>
  </si>
  <si>
    <t>Wellie Baquero Arcayna</t>
  </si>
  <si>
    <t>Gianina Punzalan Agir</t>
  </si>
  <si>
    <t>DOMINGO MIJORADA PACARDO</t>
  </si>
  <si>
    <t>Erwin Riña Nilooban</t>
  </si>
  <si>
    <t>Sherryl Dumaicos Sampalucia</t>
  </si>
  <si>
    <t>Donna Peligrino Villegas</t>
  </si>
  <si>
    <t>EMELY MERABITE PELOBELLO</t>
  </si>
  <si>
    <t>Jessie Yanga Cabug</t>
  </si>
  <si>
    <t>Emerito D Austria</t>
  </si>
  <si>
    <t>ALFREDO,JR BACALLA CABALLERO</t>
  </si>
  <si>
    <t>Ken Lois N. Olayres</t>
  </si>
  <si>
    <t>Julius Gali Estacio</t>
  </si>
  <si>
    <t>VICTOR M BUENO</t>
  </si>
  <si>
    <t>Gertrude T. Daguio</t>
  </si>
  <si>
    <t>Cirilo Bantilan Salas</t>
  </si>
  <si>
    <t>ELLA JOAN HICETA Perez</t>
  </si>
  <si>
    <t>AURORA MARGARET D. DIEZA</t>
  </si>
  <si>
    <t>VIRGINIA A. BATAN</t>
  </si>
  <si>
    <t>OSCAR SIMMAOA GUMPAD</t>
  </si>
  <si>
    <t>CLARKSON KEE NAVARRO</t>
  </si>
  <si>
    <t>CHARONE MICHAL GUERRERO DE CASTRO</t>
  </si>
  <si>
    <t>Dennis Bandal Dalucapas</t>
  </si>
  <si>
    <t>Redgebie Ortiz Cantor</t>
  </si>
  <si>
    <t>Gloria L. Duga</t>
  </si>
  <si>
    <t>Danny Clamor Flores</t>
  </si>
  <si>
    <t>Vicente Hotchkiss Pimentel, III</t>
  </si>
  <si>
    <t>Jemar Olavides Bolando</t>
  </si>
  <si>
    <t>Delfin Delinea</t>
  </si>
  <si>
    <t>Ma.Gemma C. Lasala</t>
  </si>
  <si>
    <t>Annalyne Abenido  Zaballero</t>
  </si>
  <si>
    <t>Mary Ann N. Escoto</t>
  </si>
  <si>
    <t>Jeorge N. Agabin</t>
  </si>
  <si>
    <t>Licerio Camacho Patingo</t>
  </si>
  <si>
    <t>JACKELINE CAGAS PARAISO</t>
  </si>
  <si>
    <t>JEZRYL JAKE CALUYO</t>
  </si>
  <si>
    <t>CHARITY L HILARIA</t>
  </si>
  <si>
    <t>Rosemary R. Juan</t>
  </si>
  <si>
    <t>John Moses Bulahan Aposaga</t>
  </si>
  <si>
    <t>VILMA B LLANETA</t>
  </si>
  <si>
    <t>Mary Melisande Jamoyot Andaya</t>
  </si>
  <si>
    <t>Gertudes O Gales</t>
  </si>
  <si>
    <t>Delia G Todco</t>
  </si>
  <si>
    <t>Gerundio Regaña Alvarado</t>
  </si>
  <si>
    <t>Leo Villena Factora</t>
  </si>
  <si>
    <t>Rhodora Banusing Nuñal</t>
  </si>
  <si>
    <t>Anjie P. Ytac</t>
  </si>
  <si>
    <t>Gazelle Ducusin Ochoco</t>
  </si>
  <si>
    <t>Marivic Evea Dugtong</t>
  </si>
  <si>
    <t>Mellanie  Caisip  Dulay</t>
  </si>
  <si>
    <t>Balligi Wandas Quitor</t>
  </si>
  <si>
    <t>BAC Secretariat     Tel: 634-19-06</t>
  </si>
  <si>
    <t>Salem Torres Cervantes</t>
  </si>
  <si>
    <t>Romelyn G. Estares</t>
  </si>
  <si>
    <t>Luisito B. Samaniego</t>
  </si>
  <si>
    <t>Sheryl B. Horca</t>
  </si>
  <si>
    <t>Jacquelyn F. Samino</t>
  </si>
  <si>
    <t>Dahlia Amante Paragas</t>
  </si>
  <si>
    <t>Freddie Sr. Francisco Gabo</t>
  </si>
  <si>
    <t>Norbert C Sotoya II</t>
  </si>
  <si>
    <t>Jimmy Cunanan Dancel</t>
  </si>
  <si>
    <t>Margarita Vergara Dimaligalig</t>
  </si>
  <si>
    <t>JEANNE V. BAUZON</t>
  </si>
  <si>
    <t>Annalyn R. Encomio</t>
  </si>
  <si>
    <t>Guilberto M Villacorte</t>
  </si>
  <si>
    <t>Ryan Chester G. Fong</t>
  </si>
  <si>
    <t>HAZEL C. ARTIEDA</t>
  </si>
  <si>
    <t>Francis Antonio Legaspi Flores</t>
  </si>
  <si>
    <t>April Joy R Tambis</t>
  </si>
  <si>
    <t>Gerard Randy S. Bobis</t>
  </si>
  <si>
    <t>Lovely Niegos Lomigo</t>
  </si>
  <si>
    <t>Rustico B Badilla</t>
  </si>
  <si>
    <t>IRENEO PALMA JOSE</t>
  </si>
  <si>
    <t>Segundina Cirujales Ramos</t>
  </si>
  <si>
    <t>MAXIMINO LANZADERAS ROMERO JR</t>
  </si>
  <si>
    <t>MARISSA PANLILIO ORTIZ</t>
  </si>
  <si>
    <t>Harold Repollo Jabel</t>
  </si>
  <si>
    <t>JERRY TIRADO TUARES</t>
  </si>
  <si>
    <t>Editha A Albano</t>
  </si>
  <si>
    <t>Renato Leones Diaz</t>
  </si>
  <si>
    <t xml:space="preserve">Glory June Tongson  Maravilla </t>
  </si>
  <si>
    <t>Ruby S Cortez</t>
  </si>
  <si>
    <t>Nobernia Ondos MAGPATOC</t>
  </si>
  <si>
    <t>Leonila R. Uddipa</t>
  </si>
  <si>
    <t>Chelsea Jillian  M.  Abeleda</t>
  </si>
  <si>
    <t>ALIHAR A. MAMA</t>
  </si>
  <si>
    <t>Rodorita Mapacpac Sena</t>
  </si>
  <si>
    <t>FLORENCIO, JR. CARANZA CABALBAG</t>
  </si>
  <si>
    <t>Riza E. Peralta</t>
  </si>
  <si>
    <t>Noreen Lagahit</t>
  </si>
  <si>
    <t>GINA D. ABENIO</t>
  </si>
  <si>
    <t>CARMELITA C. TITO</t>
  </si>
  <si>
    <t>Frisco Masibay Lahoy</t>
  </si>
  <si>
    <t>Winston Martinez Makilan</t>
  </si>
  <si>
    <t>Gil Banal Salen</t>
  </si>
  <si>
    <t>Roger Jaspe</t>
  </si>
  <si>
    <t>Mae Valledor</t>
  </si>
  <si>
    <t>Nanette Mirasol Dulfo</t>
  </si>
  <si>
    <t>Isagani J. Moso</t>
  </si>
  <si>
    <t>Ellyne Marie Kee Aligarbes</t>
  </si>
  <si>
    <t>Fatima Primaylon</t>
  </si>
  <si>
    <t>Jessa S. De Guzman</t>
  </si>
  <si>
    <t>Juliet Elaine Acuna</t>
  </si>
  <si>
    <t>Annalyn Punzalan Nuñez</t>
  </si>
  <si>
    <t>Aida M. Cinco</t>
  </si>
  <si>
    <t>Marion Acolentaba Balasa</t>
  </si>
  <si>
    <t>Gil Y. Miguel</t>
  </si>
  <si>
    <t>EnP Arlet E. Legaspi</t>
  </si>
  <si>
    <t>GEMMA JABAYBAY DOLOROSA</t>
  </si>
  <si>
    <t>Wulfranie Jr. M. Pascua</t>
  </si>
  <si>
    <t>Amancio Velasco, Sr.</t>
  </si>
  <si>
    <t>BRIGETTE JOY PUNZALAN ILAGAN</t>
  </si>
  <si>
    <t>BERNADETH REAL GULBEN</t>
  </si>
  <si>
    <t>GLORIA S. OCOY</t>
  </si>
  <si>
    <t>Wilfredo Satojito</t>
  </si>
  <si>
    <t>Carlos L. Taguba</t>
  </si>
  <si>
    <t>BERNADETTE  NICOLAS  OPAY</t>
  </si>
  <si>
    <t>Karmina Lyn Emma Buban</t>
  </si>
  <si>
    <t>Anselmo Baldoza Mano</t>
  </si>
  <si>
    <t>Arni Nidoy Abad</t>
  </si>
  <si>
    <t>MARIO L. CELLONA</t>
  </si>
  <si>
    <t>Armando A Diada</t>
  </si>
  <si>
    <t>CALIL A BANTUAS</t>
  </si>
  <si>
    <t>Michael A. Piodena</t>
  </si>
  <si>
    <t>Gerardo Jr. Valdez Bocalan</t>
  </si>
  <si>
    <t>Nestor Bulay-og Napune</t>
  </si>
  <si>
    <t>Lelia Uriarte</t>
  </si>
  <si>
    <t>Donald Glenn M Lanzado</t>
  </si>
  <si>
    <t>Lazaro Buluran Pascual</t>
  </si>
  <si>
    <t>Bevs A Santino</t>
  </si>
  <si>
    <t>Bienvenido Villaflores Aldaba Jr.</t>
  </si>
  <si>
    <t>JAYNEIL  ENGBINO  TAN NERY</t>
  </si>
  <si>
    <t>Elvis Ragadio Soria</t>
  </si>
  <si>
    <t>MA. LOURDES V LABACLADO</t>
  </si>
  <si>
    <t>Candido Matutina Dichosa, Jr.</t>
  </si>
  <si>
    <t>FOR. ROMERO F NAVAJA, MGA, REB.</t>
  </si>
  <si>
    <t>Rhandy D. Domingo</t>
  </si>
  <si>
    <t>DANIEL, JR. ALBERTO BAUTISTA</t>
  </si>
  <si>
    <t>MERLINDA M. ANG</t>
  </si>
  <si>
    <t>Gina Tañedo Argosino</t>
  </si>
  <si>
    <t>JANE L. ABDUL</t>
  </si>
  <si>
    <t>ELEANOR A. GARCIA</t>
  </si>
  <si>
    <t>Danilo Elmido Dulog</t>
  </si>
  <si>
    <t>Julie Anne Ansus Domanico</t>
  </si>
  <si>
    <t>Toni Marc L Dargantes</t>
  </si>
  <si>
    <t>Erlinda S Pesado</t>
  </si>
  <si>
    <t>Steve Leo Mangyan</t>
  </si>
  <si>
    <t>Pedro F De Guzman</t>
  </si>
  <si>
    <t>Don-don Caberto</t>
  </si>
  <si>
    <t>DENIS BALAYO INGARAN</t>
  </si>
  <si>
    <t>GERRY SANTIA FERRAREN</t>
  </si>
  <si>
    <t>Jenilyn P. San Luis</t>
  </si>
  <si>
    <t>Nerry M Casidsid</t>
  </si>
  <si>
    <t>Josephine  B. Sabando</t>
  </si>
  <si>
    <t>Marlone Templeton Buen</t>
  </si>
  <si>
    <t>Sonny Rellosa Ecal</t>
  </si>
  <si>
    <t>EVELYN GARCIA</t>
  </si>
  <si>
    <t>Leonie S. Bayaron</t>
  </si>
  <si>
    <t>Marlyn Espina Abella</t>
  </si>
  <si>
    <t>Alexander A Balmes</t>
  </si>
  <si>
    <t>Roy Arimado Lunas</t>
  </si>
  <si>
    <t>Karla A. Gencianos</t>
  </si>
  <si>
    <t>Lina Paglicawan Faltado</t>
  </si>
  <si>
    <t>JEFFREY MENDOZA AQUINO</t>
  </si>
  <si>
    <t>Kim James Ferolino Sombilon</t>
  </si>
  <si>
    <t>Nellie A Francisco</t>
  </si>
  <si>
    <t>Felicisimo C. Escuadro, Jr.</t>
  </si>
  <si>
    <t>GEMMA H TAMAGOS</t>
  </si>
  <si>
    <t>ELI PAUL PERANTE RAYMUNDO</t>
  </si>
  <si>
    <t>JOSEPHINE  PERILLO RIEGO RIEGO</t>
  </si>
  <si>
    <t>NESTOR T TELIN</t>
  </si>
  <si>
    <t>RAUL PANELO GALI</t>
  </si>
  <si>
    <t>Warlito Roche</t>
  </si>
  <si>
    <t>ELMER CEZAR ASPE ZALETA</t>
  </si>
  <si>
    <t>NIDA COFUENTES PALACIO</t>
  </si>
  <si>
    <t>Leopoldo S Escala</t>
  </si>
  <si>
    <t>JILSON BOLLOS VALLEJERA</t>
  </si>
  <si>
    <t>Rolly Evangelista Reyes</t>
  </si>
  <si>
    <t>Maria Teresa Nuena Labrador</t>
  </si>
  <si>
    <t>Miguelito A. Ogania</t>
  </si>
  <si>
    <t>MAYLA J MAGTIBAY</t>
  </si>
  <si>
    <t>FE T. GARCIA</t>
  </si>
  <si>
    <t>Eden C. Mendoza</t>
  </si>
  <si>
    <t>Joan J. Sadaba</t>
  </si>
  <si>
    <t>MAY LYDIA REY LAGADIA</t>
  </si>
  <si>
    <t>Fe Emelda Capule Academia</t>
  </si>
  <si>
    <t>Myles M Sayre</t>
  </si>
  <si>
    <t>Angela Estribor Rodrigo</t>
  </si>
  <si>
    <t>Edmar C Rivera</t>
  </si>
  <si>
    <t>MAILYN CORDEZ HERNANDEZ</t>
  </si>
  <si>
    <t>ZORAIDA CORTINA COLLERA</t>
  </si>
  <si>
    <t>Laurence Joseph R. Tadiar</t>
  </si>
  <si>
    <t>Marito V. Catorce</t>
  </si>
  <si>
    <t>MYRNA M VELASCO</t>
  </si>
  <si>
    <t>Marieta Alva Reyes</t>
  </si>
  <si>
    <t>Julius Ubando Abesamis</t>
  </si>
  <si>
    <t>Laurence Joseph Reyes Tadiar</t>
  </si>
  <si>
    <t>Lucille May Palmos Argana</t>
  </si>
  <si>
    <t>KAREN C DADOR</t>
  </si>
  <si>
    <t>Riza Tan Bautista</t>
  </si>
  <si>
    <t>Dante M Obillo</t>
  </si>
  <si>
    <t>RUBEN M. MAGDALENA</t>
  </si>
  <si>
    <t>JENNIFER SUMANG JOSON</t>
  </si>
  <si>
    <t>MARIECON G. RAMIREZ, EdD, CESO VI</t>
  </si>
  <si>
    <t>JEFFREY D. ANDRES</t>
  </si>
  <si>
    <t>Jaime G. BAUTISTA</t>
  </si>
  <si>
    <t>HENRY REYES TURA</t>
  </si>
  <si>
    <t>Julie Ann Hallare Boaquiña</t>
  </si>
  <si>
    <t>Vanessa  Garlan  Llagas</t>
  </si>
  <si>
    <t>Abner  R.  Formento</t>
  </si>
  <si>
    <t>JOCELYN FAJARDO CASTILLO</t>
  </si>
  <si>
    <t>Francorival Castanares Lorizo</t>
  </si>
  <si>
    <t>Jaynorin S Kalilangan</t>
  </si>
  <si>
    <t>Alexander M Agad</t>
  </si>
  <si>
    <t>Jonathan J. Bayona</t>
  </si>
  <si>
    <t>Ruben P. Salac Jr.</t>
  </si>
  <si>
    <t>Blessilda May S.  Angeles</t>
  </si>
  <si>
    <t>Marife Moron Jabon</t>
  </si>
  <si>
    <t>dulce zulueta pastrana</t>
  </si>
  <si>
    <t>ENGR. JERICK D. ORLANES</t>
  </si>
  <si>
    <t>JESSON NIALA LABRADOR</t>
  </si>
  <si>
    <t>joy ogarte rodriguez</t>
  </si>
  <si>
    <t>Remelyn L. Orapa</t>
  </si>
  <si>
    <t>HANILYN R AQUINO</t>
  </si>
  <si>
    <t>ROMEO H. ABAY JR.</t>
  </si>
  <si>
    <t>Rosa Mae Inzo Piolo</t>
  </si>
  <si>
    <t>Gerardo Jr. V Viloria</t>
  </si>
  <si>
    <t>Madelyn  Tordillo Nunez</t>
  </si>
  <si>
    <t>ANDREW PERU OPANCIA</t>
  </si>
  <si>
    <t>Ruben L. Anonuevo</t>
  </si>
  <si>
    <t>LINO CORNELIO CECILIO TRIUNFO BASCUG</t>
  </si>
  <si>
    <t>FERNANDO C. CORNEJO, JR.</t>
  </si>
  <si>
    <t>Marloe Cagatan Actub</t>
  </si>
  <si>
    <t>MYRNA MALUBAG MANALO</t>
  </si>
  <si>
    <t>Letecia Camba Ancog</t>
  </si>
  <si>
    <t>Jasmin R. Rio</t>
  </si>
  <si>
    <t>VIOLA  P.  MONTILLA</t>
  </si>
  <si>
    <t>ROCHELLE LUCINIADA Oriel</t>
  </si>
  <si>
    <t>Juffa Panaguiton Estrada</t>
  </si>
  <si>
    <t>Jenn Glaiza Gallego</t>
  </si>
  <si>
    <t>Dawnavi Lae Valle Lacsado</t>
  </si>
  <si>
    <t>Roxanne Lagnason Manoos</t>
  </si>
  <si>
    <t>Erdie Layag Mistal</t>
  </si>
  <si>
    <t>Helen  Senosa  Esperancilla</t>
  </si>
  <si>
    <t>Jianel Ugbog Masinadiong</t>
  </si>
  <si>
    <t>Mark Jason F. Malgapo</t>
  </si>
  <si>
    <t>Audrey Rose J Delos Reyes</t>
  </si>
  <si>
    <t>Gertudes Gamit Sabaricos</t>
  </si>
  <si>
    <t>Carmela Panganiban Valencia</t>
  </si>
  <si>
    <t>Randy Gabriel Navarrete</t>
  </si>
  <si>
    <t>EDSEL MONTERO CARAMONTE</t>
  </si>
  <si>
    <t>Helen Grace Tagas Rimando</t>
  </si>
  <si>
    <t>Josephine Dela Vida Castaños</t>
  </si>
  <si>
    <t>Jayson Ahuday Pumihic</t>
  </si>
  <si>
    <t>GINA LEDESMA_R ROSALES</t>
  </si>
  <si>
    <t>Patricio  Nablo</t>
  </si>
  <si>
    <t>Karla Shane Ramos Patega</t>
  </si>
  <si>
    <t>Janice C. Albano</t>
  </si>
  <si>
    <t>Engr. Arnulfo F. Tena</t>
  </si>
  <si>
    <t>ERNESTO AQUINO MANEGDEG</t>
  </si>
  <si>
    <t>RAFAEL CAÑETE JR</t>
  </si>
  <si>
    <t>JONALYN AGARPAO DE LEON</t>
  </si>
  <si>
    <t>JHOANNA RATIFICAR YANGCO</t>
  </si>
  <si>
    <t>ROWENA LEONES ROSETE</t>
  </si>
  <si>
    <t>MARCIANA CANCEJO MAXIMO</t>
  </si>
  <si>
    <t>Ferdie Mar S Balungay</t>
  </si>
  <si>
    <t>Margie Moreno</t>
  </si>
  <si>
    <t>Renato Perico Barrientos</t>
  </si>
  <si>
    <t>Alexander M. Almario</t>
  </si>
  <si>
    <t>Louie Baler Estrella</t>
  </si>
  <si>
    <t>Michael P Arayan</t>
  </si>
  <si>
    <t>Renzjay Antonio Linsangan</t>
  </si>
  <si>
    <t>FERNANDO S PALITAYAN</t>
  </si>
  <si>
    <t>jerome salcedo armeza</t>
  </si>
  <si>
    <t>Leoje Sulla Tagle</t>
  </si>
  <si>
    <t>ROLANDO SJ. CABRAL</t>
  </si>
  <si>
    <t>Vivencia Lelis</t>
  </si>
  <si>
    <t>ARCELI ESTANISLAO CORPUZ</t>
  </si>
  <si>
    <t>MELCHOR JR. P. DEJANO</t>
  </si>
  <si>
    <t>Rowena Agrito Mongoso</t>
  </si>
  <si>
    <t>Clarence Lumot Nicolas</t>
  </si>
  <si>
    <t>Blesilda P. Makabali</t>
  </si>
  <si>
    <t>LALYN NINORA NENE</t>
  </si>
  <si>
    <t>Timothy John  B. Talusan</t>
  </si>
  <si>
    <t>GERALDINE N. RANARA</t>
  </si>
  <si>
    <t>Christopher Allan Ruiz Saquing</t>
  </si>
  <si>
    <t>Lenyln M. Pagay</t>
  </si>
  <si>
    <t>Hermosa G. Ramirez</t>
  </si>
  <si>
    <t>JODEL I.  VITERBO</t>
  </si>
  <si>
    <t>Mavic Azuran</t>
  </si>
  <si>
    <t>RENALYN BOLIVAR PARREÑO</t>
  </si>
  <si>
    <t>ALEXANDER BOLOY SOMBILON</t>
  </si>
  <si>
    <t>Jennylyn Pelaez Vidaja</t>
  </si>
  <si>
    <t>Victoria V. Dimayuga</t>
  </si>
  <si>
    <t>Joresel Lara Coronado</t>
  </si>
  <si>
    <t>Eva Marie Maglunsod Gapulan</t>
  </si>
  <si>
    <t>Aldila Filomenita  Tapdasan Bajuyo</t>
  </si>
  <si>
    <t>Buena C. Dela Cruz</t>
  </si>
  <si>
    <t>JENNY F OASAY</t>
  </si>
  <si>
    <t>MARINEL LAROSA</t>
  </si>
  <si>
    <t>Rodrigo, Jr. Nacaya Valmoria</t>
  </si>
  <si>
    <t>Angelita Plaza Tuiza</t>
  </si>
  <si>
    <t>CONSUELO R. GEDUSPAN</t>
  </si>
  <si>
    <t>Catalino Arado Sumaylo</t>
  </si>
  <si>
    <t>Estrella Ageas Maata</t>
  </si>
  <si>
    <t>MARICRIS G. DIAZ</t>
  </si>
  <si>
    <t>Elsa  Dela Cerna Gutiera</t>
  </si>
  <si>
    <t>Jose Asis Malab</t>
  </si>
  <si>
    <t>Ouija Soberon Brillo</t>
  </si>
  <si>
    <t>Renante S. Jumao-as</t>
  </si>
  <si>
    <t>MILDRED B. CASTILLO</t>
  </si>
  <si>
    <t>Cristina Batula Baler</t>
  </si>
  <si>
    <t>Maximo Sumile Labiano</t>
  </si>
  <si>
    <t>BELEN CEPRES CHUCA</t>
  </si>
  <si>
    <t>Perfecto B Taduran</t>
  </si>
  <si>
    <t>DIONESIO L. MANLEGRO JR</t>
  </si>
  <si>
    <t>Hilario Pacardo Gorgonia</t>
  </si>
  <si>
    <t>FELIMON CAUILAN PAMITTAN</t>
  </si>
  <si>
    <t>Raymundo Belen Cueto</t>
  </si>
  <si>
    <t>Rita A. Del Mundo</t>
  </si>
  <si>
    <t>RAFAEL CABRIANA</t>
  </si>
  <si>
    <t>Maribel Castillo Botavara</t>
  </si>
  <si>
    <t>Gregorio Balbido Estabillo, Jr.</t>
  </si>
  <si>
    <t>Mary Rose  Tawas  Gabales</t>
  </si>
  <si>
    <t>Jaime Arnado Marcera</t>
  </si>
  <si>
    <t>JUNE ILYN TERADO ESTEBAN</t>
  </si>
  <si>
    <t>Annalee Alarcon Aguilar</t>
  </si>
  <si>
    <t>Michael M. Mercado</t>
  </si>
  <si>
    <t>HERBERT   HENRY YAO</t>
  </si>
  <si>
    <t>PATRICIA TAN MARA</t>
  </si>
  <si>
    <t>Robert M Valles</t>
  </si>
  <si>
    <t>RONAMAE ROBIN CANOY</t>
  </si>
  <si>
    <t>Imad Sulayman Sanlocan</t>
  </si>
  <si>
    <t>DIANA SHIN VENTURA</t>
  </si>
  <si>
    <t>Michelle Co Rubino</t>
  </si>
  <si>
    <t>Junar B Acabado</t>
  </si>
  <si>
    <t>Asgar B. Mambuay</t>
  </si>
  <si>
    <t>Barangay Baguinge</t>
  </si>
  <si>
    <t>Antonio Mendoza Bautista</t>
  </si>
  <si>
    <t>Roselima Pabito Figueroa</t>
  </si>
  <si>
    <t>Levi P. Baldonado</t>
  </si>
  <si>
    <t>Manolito Magkilat Silagan</t>
  </si>
  <si>
    <t>Mae Lyn Garcia Altarejos</t>
  </si>
  <si>
    <t>Juvy  Fugnit  Paulican</t>
  </si>
  <si>
    <t>Jamaica Gruesco Ebrada</t>
  </si>
  <si>
    <t>Liza F Cariño</t>
  </si>
  <si>
    <t>Stanley B. Uriarte</t>
  </si>
  <si>
    <t>MARIO B GARCIA</t>
  </si>
  <si>
    <t>TEEJAY YOSHIUMI JUNATAS SAKUMA</t>
  </si>
  <si>
    <t>LEODEGARIO, JR. ALAYON LABAO</t>
  </si>
  <si>
    <t>Eden F Borja</t>
  </si>
  <si>
    <t>Christopher Lacea Malayan</t>
  </si>
  <si>
    <t>ANNIEREY PADSUNGAY TELLES</t>
  </si>
  <si>
    <t>Belen Serenio Dela Peña</t>
  </si>
  <si>
    <t>Dan Gerico Lapuebla Bacani</t>
  </si>
  <si>
    <t>Herbert Lee</t>
  </si>
  <si>
    <t>Jeffrey Asuncion Rabanal</t>
  </si>
  <si>
    <t>Cuajotor Toledo Albert</t>
  </si>
  <si>
    <t>Christopher M. Edjic</t>
  </si>
  <si>
    <t>NORMAN CORNELIO EBALLE</t>
  </si>
  <si>
    <t>Raul Antonio B Soniega</t>
  </si>
  <si>
    <t>Sergio Agacita Mabasa</t>
  </si>
  <si>
    <t>Jun Pajarillo  Vana</t>
  </si>
  <si>
    <t>Juliemar Campo Cantones</t>
  </si>
  <si>
    <t>Reynaldo B. Bangayan</t>
  </si>
  <si>
    <t>AICEL NECY F MARTINEZ</t>
  </si>
  <si>
    <t>DELMA C FERNANDEZ</t>
  </si>
  <si>
    <t>Julieme L. Tapangan</t>
  </si>
  <si>
    <t>MANUEL AYSON</t>
  </si>
  <si>
    <t>EDWARD SULIMA MAHINAY</t>
  </si>
  <si>
    <t>Mary Jane Tado Hingpit</t>
  </si>
  <si>
    <t>RUBEN  M ESPELETA</t>
  </si>
  <si>
    <t>Antonio T Chan</t>
  </si>
  <si>
    <t>Merlin Bugayong  Agtuca</t>
  </si>
  <si>
    <t>Eleanor C. Laylo</t>
  </si>
  <si>
    <t>Mary Rose Capanzana Occidental</t>
  </si>
  <si>
    <t>Aldino Ariola Bazar</t>
  </si>
  <si>
    <t>Christopher q cargo</t>
  </si>
  <si>
    <t>Harold P Morri</t>
  </si>
  <si>
    <t>JOSEPH VIDAD ESTEBAN</t>
  </si>
  <si>
    <t>Noli P Apostol</t>
  </si>
  <si>
    <t>Susan Dela Cruz</t>
  </si>
  <si>
    <t>Virgilio A Abonador</t>
  </si>
  <si>
    <t>Noel C. Mangkikis</t>
  </si>
  <si>
    <t>Melotina P. Cadiz</t>
  </si>
  <si>
    <t>Jesus Rey Serna Cavalida</t>
  </si>
  <si>
    <t>Charity A Ponteres</t>
  </si>
  <si>
    <t>Paterno O Hempeso</t>
  </si>
  <si>
    <t>IVY COSTALES VALENCIA</t>
  </si>
  <si>
    <t>Jacquiline Labrada Ocasla</t>
  </si>
  <si>
    <t>Oliver M. Canay</t>
  </si>
  <si>
    <t>Gregorio Reyes Wapelle Jr</t>
  </si>
  <si>
    <t>Bryan G. Fortuno</t>
  </si>
  <si>
    <t>Milagros A Agustin</t>
  </si>
  <si>
    <t>Edgardo G Pamute</t>
  </si>
  <si>
    <t>Melca P. Jayona</t>
  </si>
  <si>
    <t>RODRIGO, Sr. DE OCAMPO MORALES</t>
  </si>
  <si>
    <t>Carmencita Zafra Landicho</t>
  </si>
  <si>
    <t>Kevin Barcarse Sambrano</t>
  </si>
  <si>
    <t>Arlene Maunahan Avejero</t>
  </si>
  <si>
    <t>Romualdo A. Bernal</t>
  </si>
  <si>
    <t>ALEX ROMMEL VELARDE ROMANO</t>
  </si>
  <si>
    <t>Niel Quejoy Maghanoy</t>
  </si>
  <si>
    <t>Leilynn P Edar</t>
  </si>
  <si>
    <t>RAMER M RAMOS</t>
  </si>
  <si>
    <t>Julius Asuit Arcinas</t>
  </si>
  <si>
    <t>ARNEL CRIZALDO CAPILA</t>
  </si>
  <si>
    <t>Redan I Cognito</t>
  </si>
  <si>
    <t>Mary Dumangeng Baguilat</t>
  </si>
  <si>
    <t>JOSEPHINE G PEREA</t>
  </si>
  <si>
    <t>Cerecio Cabudbud Mendoza</t>
  </si>
  <si>
    <t>Pedro Daus Gonzales</t>
  </si>
  <si>
    <t>Bren Vergara Buena</t>
  </si>
  <si>
    <t>Almae  Villarmia Arquiza</t>
  </si>
  <si>
    <t>Thelma Amolo Dandoy</t>
  </si>
  <si>
    <t>Janet E. Lumpaz</t>
  </si>
  <si>
    <t>ANA ELISA LOURDES A. PARAISO</t>
  </si>
  <si>
    <t>GERALDINE BRINAS BRINAS ABERGOS</t>
  </si>
  <si>
    <t>SOTERO JR. FAVILA LOMIGO</t>
  </si>
  <si>
    <t>Benjamin Larga</t>
  </si>
  <si>
    <t>MARITES MABORRANG TOPIA</t>
  </si>
  <si>
    <t>Rosielyn Cuison Olalia</t>
  </si>
  <si>
    <t>Felina T. Gumia</t>
  </si>
  <si>
    <t>Franco Matias Legaspi Serafin</t>
  </si>
  <si>
    <t>RONALD Q. PAJARILLO</t>
  </si>
  <si>
    <t>Noryn B. Bagano</t>
  </si>
  <si>
    <t>MARY GERMAINE VELARDO ALBERTO</t>
  </si>
  <si>
    <t>LORETO LUCERO LORENZO</t>
  </si>
  <si>
    <t>Luna  Luz Bajamunde Racho</t>
  </si>
  <si>
    <t>CLARIZA PELINO COBARRUBIAS</t>
  </si>
  <si>
    <t>Roxanne O. Valenzuela</t>
  </si>
  <si>
    <t>Merlinda P. Maata</t>
  </si>
  <si>
    <t>Allen G Candaliza</t>
  </si>
  <si>
    <t>Allan Ardeña Padasas</t>
  </si>
  <si>
    <t>HAZEL LYN  REYES TOLOY</t>
  </si>
  <si>
    <t>Joanne Hoylar Garcia</t>
  </si>
  <si>
    <t>Leonida C Garcia</t>
  </si>
  <si>
    <t>Richie Lucatin Vea</t>
  </si>
  <si>
    <t>ROSA PASILIAO UNTALAN</t>
  </si>
  <si>
    <t>RAUL DOBLERO GRANADA</t>
  </si>
  <si>
    <t>Jenyf Jun Menoza Taneza</t>
  </si>
  <si>
    <t>EVELYN VERGARA MENDOZA</t>
  </si>
  <si>
    <t>Mahalia Nery De Jesus</t>
  </si>
  <si>
    <t>RANDY ALLEN LAYAGUIN</t>
  </si>
  <si>
    <t>Judito Oposa Pegarro</t>
  </si>
  <si>
    <t>Bernadette A Susvilla, Ed. D. CESO VI</t>
  </si>
  <si>
    <t>Melchor Ragosta Obar</t>
  </si>
  <si>
    <t>Jovelyn I. Legaspi</t>
  </si>
  <si>
    <t>Lea Echavez Sabaduquia</t>
  </si>
  <si>
    <t>Ma. Ana E.  Triño</t>
  </si>
  <si>
    <t>DON BATOON SMITH</t>
  </si>
  <si>
    <t>Maria Divina Concepcion Evangelista</t>
  </si>
  <si>
    <t>EFREN MABINI</t>
  </si>
  <si>
    <t>Eulogeo Notarte Leonor</t>
  </si>
  <si>
    <t>Enrico Papag Limjuico</t>
  </si>
  <si>
    <t>Danilo Anggot Taucan</t>
  </si>
  <si>
    <t>Doreen A. Lugo</t>
  </si>
  <si>
    <t>Rodelito La Fuente Dacup</t>
  </si>
  <si>
    <t>Myra B. Eramis</t>
  </si>
  <si>
    <t>Melchor O Quinto</t>
  </si>
  <si>
    <t>Reynal U Alvior</t>
  </si>
  <si>
    <t>BERNARDINO DELA CRUZ ANDRES</t>
  </si>
  <si>
    <t>MARGARITA LAGUADOR PLACINO</t>
  </si>
  <si>
    <t>Wilfredo R Bartolini</t>
  </si>
  <si>
    <t>ELISEO C AGTUCA</t>
  </si>
  <si>
    <t>Maria  Lucia Rodriguez</t>
  </si>
  <si>
    <t>VEMIE MONTEJO ESTOLOGA</t>
  </si>
  <si>
    <t>Eymard Caperiña Angulo</t>
  </si>
  <si>
    <t>Shiedhe Kembuan Bangen</t>
  </si>
  <si>
    <t>MARIA PAMELA TOLENTINO BACTOL</t>
  </si>
  <si>
    <t>Ma Ruby S Carmona</t>
  </si>
  <si>
    <t>Lyn Dulay Espinocilla</t>
  </si>
  <si>
    <t>Dante  Palisoc  Leonardo</t>
  </si>
  <si>
    <t>Rogelio C. Bacatano</t>
  </si>
  <si>
    <t>Eny Bargo Ferriol</t>
  </si>
  <si>
    <t>Jane Verceles Talento</t>
  </si>
  <si>
    <t>Gilbert B. Trinidad</t>
  </si>
  <si>
    <t>Julito Bojo Gumapac</t>
  </si>
  <si>
    <t>LITO APDIAN CADORNA</t>
  </si>
  <si>
    <t>Donnalynn Waje Mercado</t>
  </si>
  <si>
    <t>Erlinda M Deniega</t>
  </si>
  <si>
    <t>Sweet L. Malima</t>
  </si>
  <si>
    <t>Janine V. Baldovino</t>
  </si>
  <si>
    <t>Rosella Alojado Villegas</t>
  </si>
  <si>
    <t>Floro M Butulan</t>
  </si>
  <si>
    <t>LEAH OCTAVIO DIAZ</t>
  </si>
  <si>
    <t>FREDDIE O. TEJADA</t>
  </si>
  <si>
    <t>james berlin H. escaner</t>
  </si>
  <si>
    <t>Jonefe Gomez Ocasla</t>
  </si>
  <si>
    <t>JAY VINLUAN CASTRO</t>
  </si>
  <si>
    <t>KAREN JOY NAVARRO CARREON</t>
  </si>
  <si>
    <t>Ritchille  Alix</t>
  </si>
  <si>
    <t>Antinogenes Regorgo</t>
  </si>
  <si>
    <t>Rolando V. Miguel</t>
  </si>
  <si>
    <t>Barangay I</t>
  </si>
  <si>
    <t>ALVIN ANTHONY REQUINA ABUCEJO</t>
  </si>
  <si>
    <t>ROSEMARIE M. LAWAS</t>
  </si>
  <si>
    <t>Renato Seso Cagomoc</t>
  </si>
  <si>
    <t>Arlene Salongcay</t>
  </si>
  <si>
    <t>Resurreccion De Guzman Abada</t>
  </si>
  <si>
    <t>Edwin Huntanar Magbanua Jr</t>
  </si>
  <si>
    <t>JANETTE DEMETAIZ BARREDO</t>
  </si>
  <si>
    <t>Gerald B Alvaro</t>
  </si>
  <si>
    <t>marilou into cabeguin</t>
  </si>
  <si>
    <t>Rassel C. Galvez</t>
  </si>
  <si>
    <t>MANUEL PARAYNO PARAYNO</t>
  </si>
  <si>
    <t>Jeroen G Resus</t>
  </si>
  <si>
    <t>Nelson Moskito Merculio</t>
  </si>
  <si>
    <t>Mirasol Macaranas Rosano</t>
  </si>
  <si>
    <t>Rene P Quezada</t>
  </si>
  <si>
    <t>Bobster A. Paraiso</t>
  </si>
  <si>
    <t>ANNA MARIE L. MUNDIN</t>
  </si>
  <si>
    <t>Judea Micah Dialco Carbajosa</t>
  </si>
  <si>
    <t>Estelita Dacuya</t>
  </si>
  <si>
    <t>Jundel John Benavidez Cabanela</t>
  </si>
  <si>
    <t>Melita Gidoman Apolinaria</t>
  </si>
  <si>
    <t>Rosanna Y. Tampus</t>
  </si>
  <si>
    <t>Jael Romero Suarez</t>
  </si>
  <si>
    <t>Christine C. Santos</t>
  </si>
  <si>
    <t>FELOMINA VIRAY ALANIS</t>
  </si>
  <si>
    <t>Bernadith Jacob Dictahan</t>
  </si>
  <si>
    <t>Rey Pacatang Perez</t>
  </si>
  <si>
    <t>Ruel Cole Armodia</t>
  </si>
  <si>
    <t>Philippides B. Zamar</t>
  </si>
  <si>
    <t>Narciso Bagiwa Bagawi</t>
  </si>
  <si>
    <t>Rosalie Rangasajo</t>
  </si>
  <si>
    <t>Ma. Carmen Cadag Taopo</t>
  </si>
  <si>
    <t>RACHELLE ALANO CRON</t>
  </si>
  <si>
    <t>Joyce Ann Mae L Del Valle</t>
  </si>
  <si>
    <t>LOUIE C. FERNANDEZ</t>
  </si>
  <si>
    <t>Mitos Villareal Royo</t>
  </si>
  <si>
    <t>SATURNINO FERNANDEZ FLORA</t>
  </si>
  <si>
    <t>Dianalyn R. Checa</t>
  </si>
  <si>
    <t>RAMON MAGTIBAY ABRACIA</t>
  </si>
  <si>
    <t>JOEY C. PACQUING</t>
  </si>
  <si>
    <t>Carmelita Seto Bangayan</t>
  </si>
  <si>
    <t>Leah S Osorio</t>
  </si>
  <si>
    <t>JED ARIES FAJARDO CASTRO</t>
  </si>
  <si>
    <t>AMBROSIO LUÑACAO</t>
  </si>
  <si>
    <t>JONATHAN R. HIJADA</t>
  </si>
  <si>
    <t>ALADIN MABBORANG PASCUAL</t>
  </si>
  <si>
    <t>Mary Ann P Halili</t>
  </si>
  <si>
    <t>RENE FIRMEZA</t>
  </si>
  <si>
    <t>Carmilo E Monterona</t>
  </si>
  <si>
    <t>Rachelle De Guzman Agpoon</t>
  </si>
  <si>
    <t>Janeth Marquez Pedrigal</t>
  </si>
  <si>
    <t>Canuto, Jr Adalin Paluga</t>
  </si>
  <si>
    <t>GENARA A. ACMA</t>
  </si>
  <si>
    <t>Charlemagne Fetil Fortu</t>
  </si>
  <si>
    <t>Angelita Flores Villanueva</t>
  </si>
  <si>
    <t>Violeta F. Guzman</t>
  </si>
  <si>
    <t>Peter Hendrix Lisboa Alcantara</t>
  </si>
  <si>
    <t>Lorna P. Vilbar</t>
  </si>
  <si>
    <t>LCDR RAYMOND A ROLDAN PN</t>
  </si>
  <si>
    <t>BETSY PEARL MAGNO LAMPAGO</t>
  </si>
  <si>
    <t>Prescilla Villar Libunao</t>
  </si>
  <si>
    <t>Annette Francisco Virtudazo</t>
  </si>
  <si>
    <t>Arlene Cervantes Cafe</t>
  </si>
  <si>
    <t>Anacoreta Ngitit Jubilea</t>
  </si>
  <si>
    <t>Nelson Bonifacio Villaluna</t>
  </si>
  <si>
    <t>Matefe Gonzales Jamero</t>
  </si>
  <si>
    <t>Josephine Pura Cochico</t>
  </si>
  <si>
    <t>Vlademer Villalba Brit</t>
  </si>
  <si>
    <t>Dominador N Castañeto Jr.</t>
  </si>
  <si>
    <t>ROMULO JR DISPO</t>
  </si>
  <si>
    <t>Mary Grace Lamadora Villacote</t>
  </si>
  <si>
    <t>Marlon T. Depaudhon</t>
  </si>
  <si>
    <t>Dolly Caparro Calvez</t>
  </si>
  <si>
    <t>Carlo Ray G. Diase</t>
  </si>
  <si>
    <t>Maria Lucia Sanchez</t>
  </si>
  <si>
    <t>Honrado Solis Solis</t>
  </si>
  <si>
    <t>ALLEN  VILLUGA</t>
  </si>
  <si>
    <t>Danna Marie B. Asentista</t>
  </si>
  <si>
    <t>GERALDINE O AGRAVANTE</t>
  </si>
  <si>
    <t>ROGELIO PAGAS LAQUINTA</t>
  </si>
  <si>
    <t>Marites Cabagyo Aldovino</t>
  </si>
  <si>
    <t>Lily May T. Julao</t>
  </si>
  <si>
    <t>Maria Crestita C Lauzon</t>
  </si>
  <si>
    <t>Marilyn P. Duran</t>
  </si>
  <si>
    <t>Hope Jaravata Relayson</t>
  </si>
  <si>
    <t>GEMMA I GALZOTE</t>
  </si>
  <si>
    <t>Karla Remolacio Palles</t>
  </si>
  <si>
    <t>ROEL T. ANG</t>
  </si>
  <si>
    <t>Michael Lood Astillero</t>
  </si>
  <si>
    <t>Helen Baldos Abarico</t>
  </si>
  <si>
    <t>ESTRELLA E. VINO</t>
  </si>
  <si>
    <t>Vivien Soliven Tunac</t>
  </si>
  <si>
    <t>Reynaldo Bucayu</t>
  </si>
  <si>
    <t>Maribeth Velasco</t>
  </si>
  <si>
    <t>Jocelyn Maalat Torda</t>
  </si>
  <si>
    <t>Eliseo Martin Catubag</t>
  </si>
  <si>
    <t>Josephine C Tamayo</t>
  </si>
  <si>
    <t>Virgie N Bibat</t>
  </si>
  <si>
    <t>Marissa Molina Austria</t>
  </si>
  <si>
    <t>Hilma Caalim Notarte</t>
  </si>
  <si>
    <t>RUDY ANGULO INSULAR</t>
  </si>
  <si>
    <t>Fredy Fabonan Ferranco</t>
  </si>
  <si>
    <t>Lealoraine A. Gomez</t>
  </si>
  <si>
    <t>Zaldy Omisol Dequito</t>
  </si>
  <si>
    <t>Jose, Jr. Ban-ao Balajo</t>
  </si>
  <si>
    <t>ROCKY Q. REYES</t>
  </si>
  <si>
    <t>Brenda Igdon Balingit</t>
  </si>
  <si>
    <t>RENATO RUBEN CASIANO BRAGADO</t>
  </si>
  <si>
    <t>Eugene Barocan Damasco</t>
  </si>
  <si>
    <t>Monalyn Lomibao Moulic</t>
  </si>
  <si>
    <t>Arlyn Autencio Romaquin</t>
  </si>
  <si>
    <t>Dan Kenneth Taguinin Viernes</t>
  </si>
  <si>
    <t>Myra Cecilia Donila Grata</t>
  </si>
  <si>
    <t>Criszen Baluyot BAUTISTA</t>
  </si>
  <si>
    <t>Francis Ballesteros Lim</t>
  </si>
  <si>
    <t>Mary Ann Jacaba Hambre</t>
  </si>
  <si>
    <t>NARCISA MALDOS LUMBRE</t>
  </si>
  <si>
    <t>Maria Morena Santos</t>
  </si>
  <si>
    <t>guillermo supilanas ardillo</t>
  </si>
  <si>
    <t>Dominador M Tinosa, Jr.</t>
  </si>
  <si>
    <t>Florenda  R. Agustin</t>
  </si>
  <si>
    <t>Annielyn N JAVIER</t>
  </si>
  <si>
    <t>Theresa Oyangorin Estrada</t>
  </si>
  <si>
    <t>Hilarry Amigable Singalivo</t>
  </si>
  <si>
    <t>Editha D. Cruz</t>
  </si>
  <si>
    <t>Joseph Roy Quezon Suhayon</t>
  </si>
  <si>
    <t>ATTY. EDGARDO J. GIL</t>
  </si>
  <si>
    <t>Marck Tristan B. Martin</t>
  </si>
  <si>
    <t>Marc Louis B. Sampilo</t>
  </si>
  <si>
    <t>arnel mendones moreno</t>
  </si>
  <si>
    <t>Janet M Pasamba</t>
  </si>
  <si>
    <t>MA. CHRISTINE  DAGUIO  LACUESTA</t>
  </si>
  <si>
    <t>Edsel Evangelista Espino</t>
  </si>
  <si>
    <t>Rosita Baylosis Dampil</t>
  </si>
  <si>
    <t>Minerva Mamasalagat Sacar-Guling</t>
  </si>
  <si>
    <t>Aileen G. Cuevas</t>
  </si>
  <si>
    <t>Claire Degamo Selloria</t>
  </si>
  <si>
    <t>RIZA TUBOG BERACIS</t>
  </si>
  <si>
    <t>Willbert D Hosme</t>
  </si>
  <si>
    <t>Apolonia Flores Soriano</t>
  </si>
  <si>
    <t>Michelle Fadrigon Perez</t>
  </si>
  <si>
    <t>jazel camille borcena mangahas</t>
  </si>
  <si>
    <t>Annabelle Castro Talavera</t>
  </si>
  <si>
    <t>REX M. AUTIDA</t>
  </si>
  <si>
    <t>Flora Soy-a Garcia</t>
  </si>
  <si>
    <t>HENY JANE VISEN JABONETE</t>
  </si>
  <si>
    <t>Edmar Pascua</t>
  </si>
  <si>
    <t>RUBEN P. BASILIO</t>
  </si>
  <si>
    <t>Charles  C. Sokoken</t>
  </si>
  <si>
    <t>Alyn Manzo Dalanon</t>
  </si>
  <si>
    <t>Ma. Theresa Garcia Labo</t>
  </si>
  <si>
    <t>SALVADOR P ACEBUCHE</t>
  </si>
  <si>
    <t>CHRISTIAN ONTE</t>
  </si>
  <si>
    <t>Jannette L. Fronda</t>
  </si>
  <si>
    <t>EDLEY  CASAS ABARIDO</t>
  </si>
  <si>
    <t>Necerio Lazarte</t>
  </si>
  <si>
    <t>MILAGROS I. GODER</t>
  </si>
  <si>
    <t>RIZA ESPARTERO BALLANCA</t>
  </si>
  <si>
    <t>MARIA CONCEPCION ANTONIO DALERE</t>
  </si>
  <si>
    <t>Stanley B Uriarte</t>
  </si>
  <si>
    <t>Eugenia Lizabeth G. Somera</t>
  </si>
  <si>
    <t>philip montero olpindo</t>
  </si>
  <si>
    <t>Agnes Padro Tampico</t>
  </si>
  <si>
    <t>Jovel Caboteja Mose</t>
  </si>
  <si>
    <t>Panfilo Ong Laconico</t>
  </si>
  <si>
    <t>Grecilda Dausen Marcelo</t>
  </si>
  <si>
    <t>Dandy T Solas</t>
  </si>
  <si>
    <t>Jose A. Loquinte</t>
  </si>
  <si>
    <t>Roderick Trangia Songahid</t>
  </si>
  <si>
    <t>Wilson Garagan Viloria II</t>
  </si>
  <si>
    <t>Myline A. Dilla</t>
  </si>
  <si>
    <t>Lelanie Alfaro Maturan</t>
  </si>
  <si>
    <t>Ian Cris Latonio Cadile</t>
  </si>
  <si>
    <t>Igmedio Santiago Casticon, CESE</t>
  </si>
  <si>
    <t>ISAGANI ARBOLEDA JAENA</t>
  </si>
  <si>
    <t>Arturo M. Ballesteros</t>
  </si>
  <si>
    <t>Bebcyl G Perez</t>
  </si>
  <si>
    <t>Rene Sarmiento</t>
  </si>
  <si>
    <t>Edita Callos Reyes</t>
  </si>
  <si>
    <t>Ma. Kristina Goylos Medalla</t>
  </si>
  <si>
    <t>Lester Ivan Y. Tolcidas</t>
  </si>
  <si>
    <t>Letecia Negros</t>
  </si>
  <si>
    <t>Criselda D. Bacatano</t>
  </si>
  <si>
    <t>Nila Velos Sanchez</t>
  </si>
  <si>
    <t>Celina L. Padchanan</t>
  </si>
  <si>
    <t>Jerry M Nasayao</t>
  </si>
  <si>
    <t>JERRY  GABASA GADOT</t>
  </si>
  <si>
    <t>charlemagne tupag noble</t>
  </si>
  <si>
    <t>Jetriel Louie Albay Fenol</t>
  </si>
  <si>
    <t>Noel Jardeleza</t>
  </si>
  <si>
    <t>Clifford Gervacio Gervacio</t>
  </si>
  <si>
    <t>Gideon Flores dela Cruz</t>
  </si>
  <si>
    <t>Redentor Curate</t>
  </si>
  <si>
    <t>Resette Hernandez Razon</t>
  </si>
  <si>
    <t>Nolan David Ofrecio</t>
  </si>
  <si>
    <t>Michael E Pamado</t>
  </si>
  <si>
    <t>RENY ACERO CELESPARA</t>
  </si>
  <si>
    <t>Jan Mae Dayanghirang Llavore</t>
  </si>
  <si>
    <t>ATTY. CHRISTY JOY S SOLLESTA</t>
  </si>
  <si>
    <t>Anellyn Montemayor Quiros</t>
  </si>
  <si>
    <t>Gena P. Acaylar</t>
  </si>
  <si>
    <t>Asnawi Ramos Dalidig</t>
  </si>
  <si>
    <t>Irene Sy Banzuelo</t>
  </si>
  <si>
    <t>Michael T Orencia</t>
  </si>
  <si>
    <t>KAREEN A. ORDOÑA</t>
  </si>
  <si>
    <t>Donato Panaligan</t>
  </si>
  <si>
    <t>ELAINE ADELANTE DURAN</t>
  </si>
  <si>
    <t>JENNIPERL BALLOS JAVIER</t>
  </si>
  <si>
    <t>Elloisa Blanco Perez</t>
  </si>
  <si>
    <t>Agnes Mendoza Bueno</t>
  </si>
  <si>
    <t>ERWIN A CRUZADA</t>
  </si>
  <si>
    <t>Angel G. Varias</t>
  </si>
  <si>
    <t>Edgardo Suidad Abante</t>
  </si>
  <si>
    <t>Jojie Ann Oliva Watin</t>
  </si>
  <si>
    <t>Eva Bayog Napinas</t>
  </si>
  <si>
    <t>Juanito, Jr. Balmores Antonio</t>
  </si>
  <si>
    <t>COLEEN C LOMOLJO</t>
  </si>
  <si>
    <t>EDNA GONZALES</t>
  </si>
  <si>
    <t>Edward B. Romulo</t>
  </si>
  <si>
    <t>Jeffrey B. Rafil</t>
  </si>
  <si>
    <t>BARTOLOME D. DE CHAVEZ</t>
  </si>
  <si>
    <t>ELIZA GARDOZE SABADO</t>
  </si>
  <si>
    <t>Rosemarie Martinez Paguia</t>
  </si>
  <si>
    <t>EDGIE SIMON DIMALANTA</t>
  </si>
  <si>
    <t>Rheajane Chu Saavedra</t>
  </si>
  <si>
    <t>CHRISTINE REYNALDO PARMAN</t>
  </si>
  <si>
    <t>aida piansay alvarez</t>
  </si>
  <si>
    <t>RAYMOORE A ARTATES</t>
  </si>
  <si>
    <t>Diana Cantiga Balunan</t>
  </si>
  <si>
    <t>Hermie A Villa Jr.</t>
  </si>
  <si>
    <t>Harvy B. Calabio</t>
  </si>
  <si>
    <t>Noel A Sillan</t>
  </si>
  <si>
    <t>Jubelle Balbuena Andola</t>
  </si>
  <si>
    <t>Janice Badiang Fleisher</t>
  </si>
  <si>
    <t>JAYVEE BRYAN GALVEZ CARILLO</t>
  </si>
  <si>
    <t>Senita  Miculob  Pitos</t>
  </si>
  <si>
    <t>Ma. Victoria Infante Reyes</t>
  </si>
  <si>
    <t>Jean Vadil Hatague</t>
  </si>
  <si>
    <t>Ninez B. Regalado</t>
  </si>
  <si>
    <t>ROBERT M. VALLES</t>
  </si>
  <si>
    <t>Balingit F. Billy</t>
  </si>
  <si>
    <t>Roberto R. Dingding</t>
  </si>
  <si>
    <t>Christina Solero Raymundo</t>
  </si>
  <si>
    <t>Florante Uy Zurbito</t>
  </si>
  <si>
    <t>BENJAMIN JR. PUNO ONGTECO</t>
  </si>
  <si>
    <t>Levie Pacuri Diaz</t>
  </si>
  <si>
    <t>Marlene  Castro  Sabado</t>
  </si>
  <si>
    <t>Arlene Pobre Coloma</t>
  </si>
  <si>
    <t>Rosmendo Jr C.  Bongocan</t>
  </si>
  <si>
    <t>Isayra  Borcelas Aniceto</t>
  </si>
  <si>
    <t>Maris Nilda Albia Carullo</t>
  </si>
  <si>
    <t>Rex Aquiatan Agustin</t>
  </si>
  <si>
    <t>Mark Daruca Petran</t>
  </si>
  <si>
    <t>Mirco Melendrez</t>
  </si>
  <si>
    <t>Ramon Alberto Tancio</t>
  </si>
  <si>
    <t>ENRIQUE C. VILLARIN</t>
  </si>
  <si>
    <t>REDEMCION M. DE LEON</t>
  </si>
  <si>
    <t>RANIL COLE LEGARDE</t>
  </si>
  <si>
    <t>Bernardo T. Macauyam</t>
  </si>
  <si>
    <t>Edwin Francisco Argonza</t>
  </si>
  <si>
    <t>Alfredo B Angalot</t>
  </si>
  <si>
    <t>LEA LUCION</t>
  </si>
  <si>
    <t>Franklin Aquino Salcedo</t>
  </si>
  <si>
    <t>Romeo O. Olalo</t>
  </si>
  <si>
    <t>Leora Carabuena  Teguihanon</t>
  </si>
  <si>
    <t>Allan Dionaldo</t>
  </si>
  <si>
    <t>Fidelino R Alegre</t>
  </si>
  <si>
    <t>LEOPOLDO BACONG MANOLO</t>
  </si>
  <si>
    <t>Sam Tismo</t>
  </si>
  <si>
    <t>Atty. Yvette N. Convento-Leynes</t>
  </si>
  <si>
    <t>Tolentino Almedilla  Bellezas</t>
  </si>
  <si>
    <t>MARJORIE ALVAREZ DELA CRUZ</t>
  </si>
  <si>
    <t>Eric DM. Magpantay</t>
  </si>
  <si>
    <t>Edwin Sapa Jomao-as</t>
  </si>
  <si>
    <t>Remegio  P.  Centino</t>
  </si>
  <si>
    <t>EYMARD CAPERIÑA ANGULO</t>
  </si>
  <si>
    <t>Herbert Bernadas</t>
  </si>
  <si>
    <t>ZANDRA ANCIANO QUIRANTE</t>
  </si>
  <si>
    <t>Jhoanne Ayen A Jimenez</t>
  </si>
  <si>
    <t>NERINA CABARRUBIAS DUCA</t>
  </si>
  <si>
    <t>LIBERTY REBOLLEDO AGUSTIN</t>
  </si>
  <si>
    <t>Imee De Leon</t>
  </si>
  <si>
    <t>Dolphy Mandao Adaza</t>
  </si>
  <si>
    <t>ROBERT CONTILLO DELOS SANTOS</t>
  </si>
  <si>
    <t>ROSE LILIA Balonzo Biado</t>
  </si>
  <si>
    <t>Ma.Kriselda Madriaga Magallano</t>
  </si>
  <si>
    <t>GODWIN XAVIER F. NUÑEZ</t>
  </si>
  <si>
    <t>HUSSEIN PANDAPATAN  DIANALAN</t>
  </si>
  <si>
    <t>Vincent Jake E. Castillo</t>
  </si>
  <si>
    <t>elsie C Agustin</t>
  </si>
  <si>
    <t>Dorie Vy Campaña</t>
  </si>
  <si>
    <t>REGIE BAES AGNO</t>
  </si>
  <si>
    <t>VICTORIA LAGUNA SUMALDE</t>
  </si>
  <si>
    <t>Shiela Marie Pama Franco</t>
  </si>
  <si>
    <t>Joeven C Calasagsag</t>
  </si>
  <si>
    <t>Christine Joy Benin Anonuevo</t>
  </si>
  <si>
    <t>Juliana Cabling Abenales</t>
  </si>
  <si>
    <t>Liza Labog Enicola</t>
  </si>
  <si>
    <t>MANOLITO BACASMAS FAJARDO</t>
  </si>
  <si>
    <t>NESTOR OTINGUEY DALAY-ON</t>
  </si>
  <si>
    <t>Marlon Miranda</t>
  </si>
  <si>
    <t>Alma Vina Sarne Tela</t>
  </si>
  <si>
    <t>Cherie Gil Golong Tagana</t>
  </si>
  <si>
    <t>Shena Jay Nalaunan Amancio</t>
  </si>
  <si>
    <t>JOCELYN Q. CAJIGAL</t>
  </si>
  <si>
    <t>Erlinda G Mesodeil</t>
  </si>
  <si>
    <t>Bernadette R. Alfaro</t>
  </si>
  <si>
    <t>ROGELIO S CARAMAT</t>
  </si>
  <si>
    <t>Jim Benzon R. Talavera</t>
  </si>
  <si>
    <t>FELICE BEATRICE C TAYAG</t>
  </si>
  <si>
    <t>EVELYN EVIDIENTES GUINTU</t>
  </si>
  <si>
    <t>Edward Miguel Juanito</t>
  </si>
  <si>
    <t>Maria Flores de Gracia Cantero</t>
  </si>
  <si>
    <t>Shirley P Mira</t>
  </si>
  <si>
    <t>KEN EMERY B. MARTINEZ</t>
  </si>
  <si>
    <t>Rey Partible Urbano</t>
  </si>
  <si>
    <t>Candelaria Ubana Estremos</t>
  </si>
  <si>
    <t>Mila Rose Celso Sorbito</t>
  </si>
  <si>
    <t>Ariel Ureta Gaco</t>
  </si>
  <si>
    <t>Marisa S. Jumalon</t>
  </si>
  <si>
    <t>EDWIN PAHUNANG SUAN</t>
  </si>
  <si>
    <t>Rodney Joy Villagracia Iyoy</t>
  </si>
  <si>
    <t>Aries C. Tang</t>
  </si>
  <si>
    <t>cipriano t cavite</t>
  </si>
  <si>
    <t>Lea Arriesgado dela Peña</t>
  </si>
  <si>
    <t>Carmen B. Cortes</t>
  </si>
  <si>
    <t>JohnEryl Ramos Templonuevo</t>
  </si>
  <si>
    <t>Magna Ramos Macalma</t>
  </si>
  <si>
    <t>Lucena Macalindong Garma</t>
  </si>
  <si>
    <t>Leonora P Morales</t>
  </si>
  <si>
    <t>ELVIRO MADULI</t>
  </si>
  <si>
    <t>Gamiao J. Leticia</t>
  </si>
  <si>
    <t>Charlton  Hocamis  Teo</t>
  </si>
  <si>
    <t>Steve Nichols S. Dionaldo</t>
  </si>
  <si>
    <t>Christine Lorraine Torreda Tijing</t>
  </si>
  <si>
    <t>MARY PRINCESS ABRIO ERAN</t>
  </si>
  <si>
    <t>Monica A. Tuguinay</t>
  </si>
  <si>
    <t>JOSEPH A. BUNAN</t>
  </si>
  <si>
    <t>Nim Rod Esguerra Bautista</t>
  </si>
  <si>
    <t>Zelina G Dela Cruz</t>
  </si>
  <si>
    <t>Vivian Jaquilmac Adajar</t>
  </si>
  <si>
    <t>Dominador Zamboanga Mendiola Jr.</t>
  </si>
  <si>
    <t>MARISSA CALOT ANO</t>
  </si>
  <si>
    <t>Winston c. Senorin</t>
  </si>
  <si>
    <t>Maria Jessica Dulce Gumban</t>
  </si>
  <si>
    <t>Emerlynda Castro Villaruel</t>
  </si>
  <si>
    <t>JULIE Q. ECONAR</t>
  </si>
  <si>
    <t>Riza Rizala Ladon</t>
  </si>
  <si>
    <t>Elmer Ogena Macenas</t>
  </si>
  <si>
    <t>Colwyn A. Diez</t>
  </si>
  <si>
    <t>Mary Nor Jontilla Gonzales</t>
  </si>
  <si>
    <t>Procurement Unit</t>
  </si>
  <si>
    <t>Carina Lucero Abrea</t>
  </si>
  <si>
    <t>Reynante Bayungan Salazar Sr.</t>
  </si>
  <si>
    <t>Jenny Lopez Castro</t>
  </si>
  <si>
    <t>Wilbert Eusebio Jose</t>
  </si>
  <si>
    <t>Anjonette Moises Dacyon</t>
  </si>
  <si>
    <t>Illuminada N Saburao</t>
  </si>
  <si>
    <t>Ruby V. Joson</t>
  </si>
  <si>
    <t>Antonio Sr Araño Apat</t>
  </si>
  <si>
    <t>FIDEL LAHIP</t>
  </si>
  <si>
    <t>Henry S. Pocaan</t>
  </si>
  <si>
    <t>Noli D. Padagdag</t>
  </si>
  <si>
    <t>Romeo Asaytuno Madraso</t>
  </si>
  <si>
    <t>Ellen Abao Dubduban</t>
  </si>
  <si>
    <t>BELEN BANDADA PARAÑAQUE</t>
  </si>
  <si>
    <t>Ma. Isabel N. Argueza</t>
  </si>
  <si>
    <t>Mariel B Lauigan</t>
  </si>
  <si>
    <t>Brigeda J. Alama</t>
  </si>
  <si>
    <t>Roseanne Venessa J Ratunil</t>
  </si>
  <si>
    <t>Jorge A. Albinda</t>
  </si>
  <si>
    <t>Analou Aparente Hila-os</t>
  </si>
  <si>
    <t>WILSON NARVAIS CABRALES</t>
  </si>
  <si>
    <t>Odessa Barba Tejada</t>
  </si>
  <si>
    <t>Mary Ann Martinez Torralba</t>
  </si>
  <si>
    <t>Crystine S. Puertellano</t>
  </si>
  <si>
    <t>WILLY TUBONG JAMOLO</t>
  </si>
  <si>
    <t>GLORIA MALCONTENTO ORIGINAL</t>
  </si>
  <si>
    <t>Rovic G. Pantua</t>
  </si>
  <si>
    <t>SHIELA MALAUBI DOZA</t>
  </si>
  <si>
    <t>Anatoly Leones Flores</t>
  </si>
  <si>
    <t>JOHN REFUERZO PILOT</t>
  </si>
  <si>
    <t>Marlon L. Eslopor</t>
  </si>
  <si>
    <t>Samuel Cimeni Penales</t>
  </si>
  <si>
    <t>Niño Azague Aballa</t>
  </si>
  <si>
    <t>Erosbon Layugan Sabedo</t>
  </si>
  <si>
    <t>Lilybeth Delfin Langomez</t>
  </si>
  <si>
    <t>Ma. Teresa M Layug</t>
  </si>
  <si>
    <t>Emmanuel Ablang</t>
  </si>
  <si>
    <t>Jeanne Crisel  Joy Gamalo</t>
  </si>
  <si>
    <t>Enjill Grace R. Subillaga</t>
  </si>
  <si>
    <t>ANDREA CRISTINE PERFIÑAN</t>
  </si>
  <si>
    <t>FRANCISCO ROMULUS C. VILLANUEVA</t>
  </si>
  <si>
    <t>Haide D. Daclan</t>
  </si>
  <si>
    <t>Analiza Gallega De Castro</t>
  </si>
  <si>
    <t>Romulo Junasa Galleto, Jr.</t>
  </si>
  <si>
    <t>JOSE ORIAS PANARIGAN</t>
  </si>
  <si>
    <t>Edmer S. Polloso</t>
  </si>
  <si>
    <t>JOAN PACALIOGA ABEJUELA</t>
  </si>
  <si>
    <t xml:space="preserve"> Anita Bongalos</t>
  </si>
  <si>
    <t>Patrick A. Panaligan</t>
  </si>
  <si>
    <t>Jocelyn D Melandres</t>
  </si>
  <si>
    <t>Eugene Canonigo Bagasbas</t>
  </si>
  <si>
    <t>juana litan</t>
  </si>
  <si>
    <t>ALBERTO Q. BEREDO</t>
  </si>
  <si>
    <t>Gaudencio Mico Natividad</t>
  </si>
  <si>
    <t>Raul Tampus Lumbatan</t>
  </si>
  <si>
    <t>Paulo D Barbon</t>
  </si>
  <si>
    <t>Radie Gabuat Abogado</t>
  </si>
  <si>
    <t>Cleofe Claveria Lamadora</t>
  </si>
  <si>
    <t>Judith Domingo Unson</t>
  </si>
  <si>
    <t>Roberto Giron Laganao</t>
  </si>
  <si>
    <t>Hanz Willbur Domondon Quebral</t>
  </si>
  <si>
    <t>Christyn Joy Montaño Salva</t>
  </si>
  <si>
    <t>Editha Ablen Jaballa</t>
  </si>
  <si>
    <t>Carelle Ann J. Titular</t>
  </si>
  <si>
    <t>Kay Pagutayao Dadulo</t>
  </si>
  <si>
    <t>CARLOS D. PADILLO</t>
  </si>
  <si>
    <t>Philip P. Garcia</t>
  </si>
  <si>
    <t>Jocelyn Campaña Langbid</t>
  </si>
  <si>
    <t>Blesilda Virtucio Erejer</t>
  </si>
  <si>
    <t>Chona Terrayo Flores</t>
  </si>
  <si>
    <t>Yolanda T Egam</t>
  </si>
  <si>
    <t>Erwin Libres Cajelo</t>
  </si>
  <si>
    <t>Edwin Delos Santos Maliksi</t>
  </si>
  <si>
    <t>Edgardo  E.  Dancel</t>
  </si>
  <si>
    <t>LEO B CABUG</t>
  </si>
  <si>
    <t>MARICEL CALUNOD DOLOR</t>
  </si>
  <si>
    <t>Paul Michael M Cuadra</t>
  </si>
  <si>
    <t>Heireyne Joy D. Apresto</t>
  </si>
  <si>
    <t>Jane A. Cabat</t>
  </si>
  <si>
    <t>FRITZIE FLORENOSOS JUSTOL</t>
  </si>
  <si>
    <t>Realyn Mae Bonilla Bernas</t>
  </si>
  <si>
    <t>LYALL DE JESUS DELA CRUZ</t>
  </si>
  <si>
    <t>RONILO INTERO LAO</t>
  </si>
  <si>
    <t>BRIGIDO G. BERONGAN</t>
  </si>
  <si>
    <t>Lorna Salvador Paray</t>
  </si>
  <si>
    <t>JOAN JUDE R. LOPEZ</t>
  </si>
  <si>
    <t>Michael De Vera Ocampo</t>
  </si>
  <si>
    <t>Hernan Paigna Saludes</t>
  </si>
  <si>
    <t>Buenavista West</t>
  </si>
  <si>
    <t>Sylvia Maquilan Caratao</t>
  </si>
  <si>
    <t>LERMA TERONES RECILLO</t>
  </si>
  <si>
    <t>Donell Mark  Francisco Baranda</t>
  </si>
  <si>
    <t>DOMINGO C. LIMBO</t>
  </si>
  <si>
    <t>Zaldy C Domalina</t>
  </si>
  <si>
    <t>Rolando F. Zapata</t>
  </si>
  <si>
    <t>ROMARICO M. CABELLON</t>
  </si>
  <si>
    <t>Marites P Austria</t>
  </si>
  <si>
    <t>Rosalinda Baring Ongue</t>
  </si>
  <si>
    <t>Ma. Rolynda Basuil Manongas</t>
  </si>
  <si>
    <t>Cristina S. Lazaro</t>
  </si>
  <si>
    <t>Patrick Bayona Gimeno</t>
  </si>
  <si>
    <t>Chandler Jave Borres Chiong</t>
  </si>
  <si>
    <t>FERMIN PURA ENAJE</t>
  </si>
  <si>
    <t>Jerry Pascua Ramiterre</t>
  </si>
  <si>
    <t>ENGR. EPIFANIO CAGANDE BAGHUCAN</t>
  </si>
  <si>
    <t>ROBERT HULIGANGA LARANANG</t>
  </si>
  <si>
    <t>Restituto Busbos Bautista</t>
  </si>
  <si>
    <t>JOVITA M. ESCASA</t>
  </si>
  <si>
    <t>Roy Ian A Resplandor</t>
  </si>
  <si>
    <t>Canhawan Catbalogan</t>
  </si>
  <si>
    <t>Jess P Sanchez</t>
  </si>
  <si>
    <t>Edward Doctor Carillo</t>
  </si>
  <si>
    <t>Pricela Semilla Rabe</t>
  </si>
  <si>
    <t>Maria Fe Dela Cruz Perez</t>
  </si>
  <si>
    <t>Susana Quinita Elep</t>
  </si>
  <si>
    <t>ROSALIE  RECTO DELGADO</t>
  </si>
  <si>
    <t>Eutropio Simbajon Jayectin, M.M.</t>
  </si>
  <si>
    <t>Jerome Arroyo Agustin</t>
  </si>
  <si>
    <t>Virgie N Bartonico</t>
  </si>
  <si>
    <t>Lilybeth Reblando Rayala</t>
  </si>
  <si>
    <t>Karen Rose Uy Flores</t>
  </si>
  <si>
    <t>Apollo Gamboa Gariando</t>
  </si>
  <si>
    <t>Jesus A. Bernal</t>
  </si>
  <si>
    <t>Aladin Calesterio Advincula</t>
  </si>
  <si>
    <t>SSUPT LEONIDA G ROSALES</t>
  </si>
  <si>
    <t>Juliet Zinampan Altura</t>
  </si>
  <si>
    <t>Alma Malasaga Pacaldo</t>
  </si>
  <si>
    <t>BRENDO C. AUDIENCIA</t>
  </si>
  <si>
    <t>JOHN JOHN CASTILLO FAULVE</t>
  </si>
  <si>
    <t>FEDERICO C. HULLANA, JR.</t>
  </si>
  <si>
    <t>Jessa Marie Trasmonte Ducay</t>
  </si>
  <si>
    <t>Cesar Espino Petalino</t>
  </si>
  <si>
    <t>Michelle S Almojuela</t>
  </si>
  <si>
    <t>Andy G Matula</t>
  </si>
  <si>
    <t>Cecilia coro navela</t>
  </si>
  <si>
    <t>CELSO P. PALMA SR.</t>
  </si>
  <si>
    <t>Fernando Rendon Uy</t>
  </si>
  <si>
    <t>Stanley Castro Ramirez</t>
  </si>
  <si>
    <t>Nelia P. Guinsatao</t>
  </si>
  <si>
    <t>Arthur r Rieta  Torres</t>
  </si>
  <si>
    <t>Melanie  Moreno Malones</t>
  </si>
  <si>
    <t>CLARENCE C. MORALES</t>
  </si>
  <si>
    <t>Divina Agaser Miguel</t>
  </si>
  <si>
    <t>Gaudencio, Jr. Pardillo Pujida</t>
  </si>
  <si>
    <t>Elsie N Almozara</t>
  </si>
  <si>
    <t>Ricardo V Nuñez</t>
  </si>
  <si>
    <t>jennifer empleo rondina</t>
  </si>
  <si>
    <t>Herbert Bodoso</t>
  </si>
  <si>
    <t>Cherry Rafael Perez</t>
  </si>
  <si>
    <t>Cereal Nicdao Sadsad</t>
  </si>
  <si>
    <t>Susan Siacor Arsenio</t>
  </si>
  <si>
    <t>Angelico Daniel Moralita</t>
  </si>
  <si>
    <t>Eva D. Bañares</t>
  </si>
  <si>
    <t>Teotimo delos Santos de Leon</t>
  </si>
  <si>
    <t>IRENEO L. SORIANO, JR.</t>
  </si>
  <si>
    <t>Joybeth Delfin Sabino</t>
  </si>
  <si>
    <t>Annabelle De Vera Quiñones</t>
  </si>
  <si>
    <t>Napoleon B. Sulit</t>
  </si>
  <si>
    <t>ANGELINA CAPISTRANO RIGOS</t>
  </si>
  <si>
    <t>Manuel Melis Ignacio</t>
  </si>
  <si>
    <t>Flordelis Ceniza</t>
  </si>
  <si>
    <t>Dr. Peter S. Sobrevega</t>
  </si>
  <si>
    <t>Romeo A. Beboso</t>
  </si>
  <si>
    <t>PEREGRINA ERONICO CAROSUS</t>
  </si>
  <si>
    <t>Ma. Soledad F Baquiran</t>
  </si>
  <si>
    <t>Eduardo Rea</t>
  </si>
  <si>
    <t>Eusebia Sylvia Capina Calleja</t>
  </si>
  <si>
    <t>Bella B Bonto</t>
  </si>
  <si>
    <t>Ronel Sinag</t>
  </si>
  <si>
    <t>Eugenio Aguilar Mayormita</t>
  </si>
  <si>
    <t>Amorie Michele Marba Janubas</t>
  </si>
  <si>
    <t>Vicente Fermin</t>
  </si>
  <si>
    <t>CLINIA C EUSORES</t>
  </si>
  <si>
    <t>Susana De Guzman Domingo</t>
  </si>
  <si>
    <t>MELANIE GAMILDE GACUSAN</t>
  </si>
  <si>
    <t>Lilibeth G. Santiago</t>
  </si>
  <si>
    <t>JUDITH VIDAL MIQUIABAS</t>
  </si>
  <si>
    <t>Victorio J Jimenez</t>
  </si>
  <si>
    <t>Mariano Mahinay Gabule</t>
  </si>
  <si>
    <t>ADRIAN  JAVIER  TUAZON</t>
  </si>
  <si>
    <t>DEN AGUILAR LUCINO</t>
  </si>
  <si>
    <t>Diego Matarum Violen</t>
  </si>
  <si>
    <t>Diana E Orcine</t>
  </si>
  <si>
    <t>Raquel Castillo</t>
  </si>
  <si>
    <t>Fatima Madonna Ubalde Jaynario</t>
  </si>
  <si>
    <t>MARILYN MACADANGDANG NABATILAN</t>
  </si>
  <si>
    <t>Joel M Navarrete</t>
  </si>
  <si>
    <t>Debby Catherine Castillo Segui</t>
  </si>
  <si>
    <t>Maricel Iglesia Panistante</t>
  </si>
  <si>
    <t>Elmer Bagarinao Vallecer</t>
  </si>
  <si>
    <t>Rogelio A. Mallillin</t>
  </si>
  <si>
    <t>CORAZON A. YAMIT</t>
  </si>
  <si>
    <t>Flora May Sanchez Cabatana</t>
  </si>
  <si>
    <t>THEODORE MAZO ROJAS</t>
  </si>
  <si>
    <t>Carl Melvin Tillano Galin</t>
  </si>
  <si>
    <t>Mark Nikko Badiola</t>
  </si>
  <si>
    <t>ROSELLER LLAMOSO CANDELARIO</t>
  </si>
  <si>
    <t>HERALDO B. PRESADO</t>
  </si>
  <si>
    <t>Celine  A.  Velasco</t>
  </si>
  <si>
    <t>Alma A. Permejo</t>
  </si>
  <si>
    <t>Evangeline L Sarlon</t>
  </si>
  <si>
    <t>Marivic Yorong Morales</t>
  </si>
  <si>
    <t>Joseph Ramos Anania</t>
  </si>
  <si>
    <t>EDGAR S. BESIN</t>
  </si>
  <si>
    <t>avelino costanilla</t>
  </si>
  <si>
    <t>Jahnson Salidaga Yap</t>
  </si>
  <si>
    <t>LETICIA PANAGUITON OSORIO</t>
  </si>
  <si>
    <t>Kim M. Moral</t>
  </si>
  <si>
    <t>darlene anicia bautista galicia</t>
  </si>
  <si>
    <t>Marissa D Guadez</t>
  </si>
  <si>
    <t>Alfonso R Zara III</t>
  </si>
  <si>
    <t>MARCOS M. KUSAIN, JD, MPA</t>
  </si>
  <si>
    <t>Paulo D. Cagara</t>
  </si>
  <si>
    <t>Lowell V Babayran</t>
  </si>
  <si>
    <t>Nestor, Jr. C Peralta</t>
  </si>
  <si>
    <t>Claribel Balinguat</t>
  </si>
  <si>
    <t>Dane C Dizon</t>
  </si>
  <si>
    <t>Laureana Dumalag Imperial</t>
  </si>
  <si>
    <t>Manulito S Rodriguez</t>
  </si>
  <si>
    <t>Randy B Moredo</t>
  </si>
  <si>
    <t>Marlo L Gonzales</t>
  </si>
  <si>
    <t>arni nidoy abad</t>
  </si>
  <si>
    <t>ROGELIO KENTILITISCA PANGAN</t>
  </si>
  <si>
    <t>Nenita Crisostomo Flores</t>
  </si>
  <si>
    <t>Evangeline S. Zapata</t>
  </si>
  <si>
    <t>Olive V Ferreras</t>
  </si>
  <si>
    <t>JOSE TEPPANG GALACINAO</t>
  </si>
  <si>
    <t>lailani llobit caganan</t>
  </si>
  <si>
    <t>Danilo Rutaquio Almacen</t>
  </si>
  <si>
    <t>Vacant Vacant</t>
  </si>
  <si>
    <t>MERLITA  T.  SUMAWANG</t>
  </si>
  <si>
    <t>ALEX ALCIBAR JADUCANA</t>
  </si>
  <si>
    <t>WILLIAM UBA VALDE</t>
  </si>
  <si>
    <t>Arjay Caballero Dimafelix</t>
  </si>
  <si>
    <t>AIDA BUTIHIN MENDOZA</t>
  </si>
  <si>
    <t>Allan Dale Hechanova De Asis</t>
  </si>
  <si>
    <t>LISETTE MILAGROSO ADRIANO</t>
  </si>
  <si>
    <t>MAURIELE DASMARIÑAS</t>
  </si>
  <si>
    <t>MARILOU B. BORILLO</t>
  </si>
  <si>
    <t>MA. GLORIA GELI SORRERA</t>
  </si>
  <si>
    <t>Teodoro Andig Culpa</t>
  </si>
  <si>
    <t>Jephonie Ganibe Lumansoy</t>
  </si>
  <si>
    <t>Mary Grace Sta. Elena</t>
  </si>
  <si>
    <t>Maria Teresa G. Antazo</t>
  </si>
  <si>
    <t>SARAH T. TRINIDAD</t>
  </si>
  <si>
    <t>Claver A. Rellama</t>
  </si>
  <si>
    <t>JOSEPH  DULDUCO CRUZAT</t>
  </si>
  <si>
    <t>REGINA  BACTONG  SALIRING</t>
  </si>
  <si>
    <t>Angelina Samaniego Sardana</t>
  </si>
  <si>
    <t>Grace Laxamana  Villanueva</t>
  </si>
  <si>
    <t>Emmanuel Eduarte Pacapac</t>
  </si>
  <si>
    <t>Julito Monteclaro Maglacas</t>
  </si>
  <si>
    <t>NOEL RYAN H. UY</t>
  </si>
  <si>
    <t>JELLY ANN REMOROZA NOVIO</t>
  </si>
  <si>
    <t>Rubin Reloj Seraspi</t>
  </si>
  <si>
    <t>Kristine Meneses Torres</t>
  </si>
  <si>
    <t>Alver P Lamoste, CPA</t>
  </si>
  <si>
    <t>RONNEL B GUNDOY</t>
  </si>
  <si>
    <t>Vergie Ramos Vergara</t>
  </si>
  <si>
    <t>LEONARDO MADEJA, JR.</t>
  </si>
  <si>
    <t>Mars Z Julian</t>
  </si>
  <si>
    <t>EUGENIANO SAWALI</t>
  </si>
  <si>
    <t>Bonifacio R. Fabre</t>
  </si>
  <si>
    <t>Numeriano D. Mendoza</t>
  </si>
  <si>
    <t>Geremie Noble Tajada</t>
  </si>
  <si>
    <t>EDSEL UDTUHAN RIPALDA</t>
  </si>
  <si>
    <t>ERLINDA ORTIZ BUTCON</t>
  </si>
  <si>
    <t>janet bautista arinabo</t>
  </si>
  <si>
    <t>Victoria Gamaller Garcia</t>
  </si>
  <si>
    <t>Cristine Joy V.  Lancheta</t>
  </si>
  <si>
    <t>Anj Martirez</t>
  </si>
  <si>
    <t>Lucil I Montermoso</t>
  </si>
  <si>
    <t>EDGAR C. NAJERA</t>
  </si>
  <si>
    <t>Rene E Maning</t>
  </si>
  <si>
    <t>Ruben M.  Villanueva</t>
  </si>
  <si>
    <t>AGOSTO BELINO BAOBAOEN</t>
  </si>
  <si>
    <t>Janenith Aporado Medillas</t>
  </si>
  <si>
    <t>Katrina Enerio Garcia</t>
  </si>
  <si>
    <t>Freddie F Oligo</t>
  </si>
  <si>
    <t>senando p. mendoza</t>
  </si>
  <si>
    <t>Edgar Bumanglag Llapitan</t>
  </si>
  <si>
    <t>Joey Vincent P. Rabanal</t>
  </si>
  <si>
    <t>Teresita M. Anzia</t>
  </si>
  <si>
    <t>Kyle Raphael Arcilla Ricarte</t>
  </si>
  <si>
    <t>Allen Villanueva Teves</t>
  </si>
  <si>
    <t>Sunny Ray F Amit</t>
  </si>
  <si>
    <t>Brendalyn Ungajan Fernando</t>
  </si>
  <si>
    <t>Marcos P Gonzales</t>
  </si>
  <si>
    <t>Tomas B Delin</t>
  </si>
  <si>
    <t>Peachy Natividad E. Chatto</t>
  </si>
  <si>
    <t>ARLYN TABARRA</t>
  </si>
  <si>
    <t>Mary June Rafiñan Obsilla</t>
  </si>
  <si>
    <t>Maling A. Solmay</t>
  </si>
  <si>
    <t>Ma. Wiena Lofranco Saguid</t>
  </si>
  <si>
    <t>JOSEPHINE  REGALADO BUAN</t>
  </si>
  <si>
    <t>VIOLETA MIGUEL DUMAYAG</t>
  </si>
  <si>
    <t>Gladys Bacwaden</t>
  </si>
  <si>
    <t>WILLIAM NAMANG TABORADA</t>
  </si>
  <si>
    <t>Norielle Ann P. Vergara</t>
  </si>
  <si>
    <t>LORELLIE OCAMPO RABANERA</t>
  </si>
  <si>
    <t>Ariel Ardales Buiza</t>
  </si>
  <si>
    <t>Elmer Garganza Tuvillara</t>
  </si>
  <si>
    <t>Gemema Paclibar Robles</t>
  </si>
  <si>
    <t>Duannie Chico Gonzales</t>
  </si>
  <si>
    <t>MARVIN E. LUCENA</t>
  </si>
  <si>
    <t>Engr. Joel Antonio</t>
  </si>
  <si>
    <t>Ronie S. Dela Calzada</t>
  </si>
  <si>
    <t>Marites Costales</t>
  </si>
  <si>
    <t>Cynthia Virtucio Hernandez</t>
  </si>
  <si>
    <t>PABLITO JR. BELTRAN SUNGA</t>
  </si>
  <si>
    <t>Julius C. Cerbo</t>
  </si>
  <si>
    <t>Wilma Godio</t>
  </si>
  <si>
    <t>NERISSA MACANAS GELIG</t>
  </si>
  <si>
    <t>Jerlyn G. Peter</t>
  </si>
  <si>
    <t>Darlina Fojas Falceso</t>
  </si>
  <si>
    <t>Mark Lester Guillano Sim</t>
  </si>
  <si>
    <t>Liza Galota Suminguit</t>
  </si>
  <si>
    <t>Carlito Morales Boiser</t>
  </si>
  <si>
    <t>Janet Tagpis Santos</t>
  </si>
  <si>
    <t>ALFREDO M. BUGAN</t>
  </si>
  <si>
    <t>Wilbert Dator Elloso</t>
  </si>
  <si>
    <t>Sonny Nebreja Marino</t>
  </si>
  <si>
    <t>Loreta C Salgado</t>
  </si>
  <si>
    <t>Juanita Maratas Borinaga</t>
  </si>
  <si>
    <t>Manuel T Barit</t>
  </si>
  <si>
    <t>Florante Tomas Ruiz</t>
  </si>
  <si>
    <t>Carlos T Del Rosario</t>
  </si>
  <si>
    <t>Dominga M de Ramos</t>
  </si>
  <si>
    <t>JAYLYN PAGUD BABIERA</t>
  </si>
  <si>
    <t>MARIA ANNA NOLASCO SINOGBA</t>
  </si>
  <si>
    <t>ANASTACIO H. NUÑEZ, III</t>
  </si>
  <si>
    <t>Karen Naz Dellosa</t>
  </si>
  <si>
    <t>Marilyn Aparri</t>
  </si>
  <si>
    <t>Carol S Coloma</t>
  </si>
  <si>
    <t>Myla Apolonia Perea</t>
  </si>
  <si>
    <t>ARCENIO S. MAGNO</t>
  </si>
  <si>
    <t>Virginia Jacob Cañaveras</t>
  </si>
  <si>
    <t>Blas V. Lamug Jr.</t>
  </si>
  <si>
    <t>Cyrus L. Caballero</t>
  </si>
  <si>
    <t>Melinda  Mauricio Javier</t>
  </si>
  <si>
    <t>ENGR. NORMAN DIMATATAC</t>
  </si>
  <si>
    <t>Angel, Jr. S. Ramos</t>
  </si>
  <si>
    <t>Christian Noel D. Castillo</t>
  </si>
  <si>
    <t>LORNA ALUNAN DELA PEÑA</t>
  </si>
  <si>
    <t>Eleanor Obusan Magana</t>
  </si>
  <si>
    <t>GRETCHEN V FLORES</t>
  </si>
  <si>
    <t>Jever Catalan Vargas</t>
  </si>
  <si>
    <t>JUANITO ORATA APOSTOL,JR.</t>
  </si>
  <si>
    <t>Ma. Glysa Frias Rico</t>
  </si>
  <si>
    <t>Filma Tulen Maghinay</t>
  </si>
  <si>
    <t>XANTHI ROMEILLA J VALLECER</t>
  </si>
  <si>
    <t>Gemma Del Mundo Nicolas</t>
  </si>
  <si>
    <t>Ariel E Fangonilo</t>
  </si>
  <si>
    <t>JEFFREY TABUCO KHO</t>
  </si>
  <si>
    <t>Shirly Quinto Isorena</t>
  </si>
  <si>
    <t>Lily Saltarin Hermogino</t>
  </si>
  <si>
    <t>Teresita S. Ulibas</t>
  </si>
  <si>
    <t>JOHN ANTHONY ASPURIA</t>
  </si>
  <si>
    <t>Florita Tagole Ferolino</t>
  </si>
  <si>
    <t>Nancy S. Callet</t>
  </si>
  <si>
    <t>ERNIE C VILLALUZ</t>
  </si>
  <si>
    <t>HENRY C. DE GUZMAN</t>
  </si>
  <si>
    <t>John Michael G Garcia</t>
  </si>
  <si>
    <t>FRANK F. FANGED</t>
  </si>
  <si>
    <t>Domingo Llave Nace</t>
  </si>
  <si>
    <t>John Edmar Galang Barairo</t>
  </si>
  <si>
    <t>Roberto Rodriguez Glory</t>
  </si>
  <si>
    <t>Belna M Acobo</t>
  </si>
  <si>
    <t>Engrid Gayacan</t>
  </si>
  <si>
    <t>PANFILA FEROLINO RIVERA</t>
  </si>
  <si>
    <t>JESUS S. PUNZALAN</t>
  </si>
  <si>
    <t>Romeo Magallanes Taclindo</t>
  </si>
  <si>
    <t>daniel andaya ogana</t>
  </si>
  <si>
    <t>Patricia C. Macatangay</t>
  </si>
  <si>
    <t>Mansueto Ibale Diangco</t>
  </si>
  <si>
    <t>Chann Nerry M. Aboloc</t>
  </si>
  <si>
    <t>MARIE ANN AYSON TIGLAO</t>
  </si>
  <si>
    <t>Jerry A. Tango</t>
  </si>
  <si>
    <t>Joanne  Marie  Canja</t>
  </si>
  <si>
    <t>EDITHA LOPEZ LARON</t>
  </si>
  <si>
    <t>Aniano Salanguit Jr.</t>
  </si>
  <si>
    <t>Remely Bangloy</t>
  </si>
  <si>
    <t>Veronica M Tafalla</t>
  </si>
  <si>
    <t>FRANCISCO , JR. YGRUBAY LABRAGUE</t>
  </si>
  <si>
    <t>Rosalie Plaza Espinoza</t>
  </si>
  <si>
    <t>Raymund W Salio-an</t>
  </si>
  <si>
    <t>Freddie Azcarraga Delos Santos</t>
  </si>
  <si>
    <t>Elmer Nev C Valenzuela</t>
  </si>
  <si>
    <t>Joann Guan Bendal</t>
  </si>
  <si>
    <t>Ma. Teresa  D. Rodriguez</t>
  </si>
  <si>
    <t>Gina R Concon</t>
  </si>
  <si>
    <t>MERCEDES M. ALFUERTE</t>
  </si>
  <si>
    <t>GODFREY ROSALINDA MUSONG</t>
  </si>
  <si>
    <t>H. Ramadan H.Y Utuali</t>
  </si>
  <si>
    <t>Mario Rey Bernales Donadillo</t>
  </si>
  <si>
    <t>Reno C Salazar</t>
  </si>
  <si>
    <t>Godofredo P Madariaga</t>
  </si>
  <si>
    <t>Manuel Jr. S. Cadiente</t>
  </si>
  <si>
    <t>Cesar Dura Poblacion</t>
  </si>
  <si>
    <t>Domingo E. Llanda</t>
  </si>
  <si>
    <t>Merlinda D Dante</t>
  </si>
  <si>
    <t>Jeanilyn Gregorio Vicente</t>
  </si>
  <si>
    <t>FREDERICK MENDOZA ORTIZ</t>
  </si>
  <si>
    <t>GERARDO ULEP GARMA</t>
  </si>
  <si>
    <t>Melvin Agbayani Agbalog</t>
  </si>
  <si>
    <t>Marijoy Tolentino Jumawid</t>
  </si>
  <si>
    <t>Leonisa De Ramon  Romano</t>
  </si>
  <si>
    <t>Christian S. Pelagio</t>
  </si>
  <si>
    <t>BAC HINUNDAYAN LGU-Hinundayan, So. Leyte</t>
  </si>
  <si>
    <t>Jonathan S Reyes</t>
  </si>
  <si>
    <t>Levi Tomon Galdo</t>
  </si>
  <si>
    <t>Randolph Mayol Perez</t>
  </si>
  <si>
    <t>Apolinario C. Laglagura</t>
  </si>
  <si>
    <t>Lunrey B. Bagor</t>
  </si>
  <si>
    <t>Leila A Carpizo</t>
  </si>
  <si>
    <t>Bernadette F. Ang</t>
  </si>
  <si>
    <t>Helen B. Olaer</t>
  </si>
  <si>
    <t>Maria Janine L. Celo</t>
  </si>
  <si>
    <t>Jenifer C. Alcain</t>
  </si>
  <si>
    <t>LEO S. MATIAS</t>
  </si>
  <si>
    <t>Ramon Chito Mejia Terado</t>
  </si>
  <si>
    <t>MARITES GONZALES BALDOMAN</t>
  </si>
  <si>
    <t>Joel M Ariones</t>
  </si>
  <si>
    <t>Jerry  E. Rotas</t>
  </si>
  <si>
    <t>Marivic T Saligue</t>
  </si>
  <si>
    <t>Cristina Rico Tabunda</t>
  </si>
  <si>
    <t>RODEL  M.  ROBLES</t>
  </si>
  <si>
    <t>Jose Ramirez Hainto Jr.</t>
  </si>
  <si>
    <t>Romel C Hinahon</t>
  </si>
  <si>
    <t>ANTONIETO F PACAYRA</t>
  </si>
  <si>
    <t>jenny rose zapanta egama</t>
  </si>
  <si>
    <t>Amparo Suelto Dullente</t>
  </si>
  <si>
    <t>Noli U. Guiad</t>
  </si>
  <si>
    <t>Lucille  I.  Susano</t>
  </si>
  <si>
    <t>Malenche M Sol</t>
  </si>
  <si>
    <t>Mark Joy Clor Nogaliza</t>
  </si>
  <si>
    <t>Eugene Paul Gundaya</t>
  </si>
  <si>
    <t>James Beltran</t>
  </si>
  <si>
    <t>FEBIE P. CAPUYAN</t>
  </si>
  <si>
    <t>Jerome B. Sison</t>
  </si>
  <si>
    <t>MARIA CORAZON RIVA VALDEMORO</t>
  </si>
  <si>
    <t>Nuepe Junior Guyon Manuel</t>
  </si>
  <si>
    <t>Emmanuel Edquilang Gulay</t>
  </si>
  <si>
    <t>Reynaldo  P.  Dela Questa</t>
  </si>
  <si>
    <t>David Bonifacio</t>
  </si>
  <si>
    <t>Hycienth Conde Buncalan</t>
  </si>
  <si>
    <t>Catherine Juntarciego Nomananap</t>
  </si>
  <si>
    <t>Jose Garing Orzal</t>
  </si>
  <si>
    <t>Alejandro P. Sarayan</t>
  </si>
  <si>
    <t>James Bryan Manalo Bagunu</t>
  </si>
  <si>
    <t>REYNALDO PARTIDO SANTOS</t>
  </si>
  <si>
    <t>Jacinto Guerta Ederosas</t>
  </si>
  <si>
    <t>Celia A. Baltazar</t>
  </si>
  <si>
    <t>Joseph Villa Echalas</t>
  </si>
  <si>
    <t>Jocelyn R. Molina</t>
  </si>
  <si>
    <t>NOE MORALES HERMOSILLA</t>
  </si>
  <si>
    <t>Frederick Funiestas Torres</t>
  </si>
  <si>
    <t>May Roxanne Bohol Amboy</t>
  </si>
  <si>
    <t>DOWIE JOY RODIS</t>
  </si>
  <si>
    <t>Levy H. Lagutin, Jr.</t>
  </si>
  <si>
    <t>Niel Villanueva Parcon</t>
  </si>
  <si>
    <t>EDSON III CASTRO TANDOC</t>
  </si>
  <si>
    <t>Jessie Rose Sabindo Pascua</t>
  </si>
  <si>
    <t>EVA MACAHILIG JIMENEZ</t>
  </si>
  <si>
    <t>LEILANI  AGUILA  PREGELLANA</t>
  </si>
  <si>
    <t>BERNARD MALINGTAY PEPE</t>
  </si>
  <si>
    <t>Cris Balansag Sardane</t>
  </si>
  <si>
    <t>Maria Teresa M. Silva</t>
  </si>
  <si>
    <t>Ma. Cela Genio De Guzman</t>
  </si>
  <si>
    <t>Jose Ablay Alvarez</t>
  </si>
  <si>
    <t>ABETH JOSE BUENTIPO BARBA</t>
  </si>
  <si>
    <t>Ma. Providencia P Dizon</t>
  </si>
  <si>
    <t>Erwin Mendoza Punzalan</t>
  </si>
  <si>
    <t>Giena G. Ramos</t>
  </si>
  <si>
    <t>LUZ  CUDAl DURANO</t>
  </si>
  <si>
    <t>Joel Cabuena Bautista</t>
  </si>
  <si>
    <t>Poliver L  Tumaneng</t>
  </si>
  <si>
    <t>CHRISTINE PROPONGO CASTOR</t>
  </si>
  <si>
    <t>Lauri Rose Salazar Coquia</t>
  </si>
  <si>
    <t>Melba Macarilay Camacam</t>
  </si>
  <si>
    <t>Erlie A. Mallari</t>
  </si>
  <si>
    <t>Jolina Bonleon Vital</t>
  </si>
  <si>
    <t>Charito Santos Fernando</t>
  </si>
  <si>
    <t>Ana Marie L. Tayag</t>
  </si>
  <si>
    <t>Emilyn Galicia Magracia</t>
  </si>
  <si>
    <t>Noel Aguillon Salvan</t>
  </si>
  <si>
    <t>Racquel Magbago Montero</t>
  </si>
  <si>
    <t>ROSMENDO CARDINEZ BONGOCAN, JR.</t>
  </si>
  <si>
    <t>Anne Nicole Cabiles</t>
  </si>
  <si>
    <t>JENELYN DALANGIN</t>
  </si>
  <si>
    <t>JULLIAN KYLE GONZAGA SAN MATEO</t>
  </si>
  <si>
    <t>Jeffin Dick M Vidal</t>
  </si>
  <si>
    <t>RICHELLE GONZALES ENRIQUEZ</t>
  </si>
  <si>
    <t>Eric P Cabauatan</t>
  </si>
  <si>
    <t>Juneil L. Amarela</t>
  </si>
  <si>
    <t>Jimmy M Magnaye</t>
  </si>
  <si>
    <t>Raul Hawod Belleza</t>
  </si>
  <si>
    <t>JOHN CHRISTIAN MANAGAD SIOCO</t>
  </si>
  <si>
    <t>Dexter C. Lingbanan</t>
  </si>
  <si>
    <t>Ana Liza Calma Zablan</t>
  </si>
  <si>
    <t>Eunice Pilapil Narbonita</t>
  </si>
  <si>
    <t>Evangeline Balan Lorenzo</t>
  </si>
  <si>
    <t>Roldan Sr Mayonila Sison</t>
  </si>
  <si>
    <t>HEDELISA  PELOLA  MANINGO</t>
  </si>
  <si>
    <t>Shirley Cua San Luis</t>
  </si>
  <si>
    <t>Priscilla A Hernandez</t>
  </si>
  <si>
    <t>Melinda Tariman Brutas</t>
  </si>
  <si>
    <t>Maricor Melorin Carbonilla</t>
  </si>
  <si>
    <t>Jose Albert A Barrogo</t>
  </si>
  <si>
    <t>Corazon O. Julian</t>
  </si>
  <si>
    <t>Caroline Tubongbanua Bucita</t>
  </si>
  <si>
    <t>Lusdoc, Jr. Peliño Atanacio</t>
  </si>
  <si>
    <t>Hilario Jr. Manangan Olivo</t>
  </si>
  <si>
    <t>Maribel Afante Nadal</t>
  </si>
  <si>
    <t>FERNANDO REQUISO CONDIMAN</t>
  </si>
  <si>
    <t>Feliciano Jr. Maddawin Galupo</t>
  </si>
  <si>
    <t>Jonas O. Berto</t>
  </si>
  <si>
    <t>ABDULRAHMAN MACASILANG ULAMA</t>
  </si>
  <si>
    <t>Gerardo Marinas Villabeza</t>
  </si>
  <si>
    <t>Ameelyn Rivera Coca</t>
  </si>
  <si>
    <t>Alain Richard Diaz Rosales</t>
  </si>
  <si>
    <t>Ernesto R. Arandia</t>
  </si>
  <si>
    <t>Nemesio M. Frigillana</t>
  </si>
  <si>
    <t>John Jose T Tabligan</t>
  </si>
  <si>
    <t>Helen A. Cabarles</t>
  </si>
  <si>
    <t>Joseph  Caraan  Jaro</t>
  </si>
  <si>
    <t>Edson L. Salvador</t>
  </si>
  <si>
    <t>Me-Ann Dionio Boncajes</t>
  </si>
  <si>
    <t>Marfen Guinmapang Corvera</t>
  </si>
  <si>
    <t>Rowena Gascon Abad</t>
  </si>
  <si>
    <t>Rosana Tee Rogando</t>
  </si>
  <si>
    <t>Ines Goden Lanzaderas</t>
  </si>
  <si>
    <t>Allan R. Guintapan</t>
  </si>
  <si>
    <t>WINNIE FREDO MONES SONGCUAN</t>
  </si>
  <si>
    <t>Freddie Uraga Villajuan</t>
  </si>
  <si>
    <t>Kinverly Ledsey Yan</t>
  </si>
  <si>
    <t>Jessie L. Amin</t>
  </si>
  <si>
    <t>MARY MEDIATRIX BAYER ARROYO</t>
  </si>
  <si>
    <t>Rolando Londonio De Leon</t>
  </si>
  <si>
    <t>Nida Monares Fuentes</t>
  </si>
  <si>
    <t>Raquel Gonzales De Jesus</t>
  </si>
  <si>
    <t>Darlene Sevilla Esmero</t>
  </si>
  <si>
    <t>Mary Ann Ballerda Rosauro</t>
  </si>
  <si>
    <t>Norman Jay B. Alvarado</t>
  </si>
  <si>
    <t>INFA DARAS  SINOY</t>
  </si>
  <si>
    <t>Jan Carlo Bucayan Palugod</t>
  </si>
  <si>
    <t>JERUFFABELLE ARZADON BAUYON</t>
  </si>
  <si>
    <t>EVAN V. PUYOS</t>
  </si>
  <si>
    <t>MA. TERESA RIZA P. DE LUNA</t>
  </si>
  <si>
    <t>Marissa M. Soriano</t>
  </si>
  <si>
    <t>ROWEN BACUD TAPEC</t>
  </si>
  <si>
    <t>corazon delos santos galaraga</t>
  </si>
  <si>
    <t>Pamela Sosa</t>
  </si>
  <si>
    <t>Annavie Bacomo Lapitan</t>
  </si>
  <si>
    <t>Lyra M Supetran</t>
  </si>
  <si>
    <t>Jesamine M. Mendi</t>
  </si>
  <si>
    <t>Alexander  Alejo  Calucag</t>
  </si>
  <si>
    <t>arnold tapicul torres</t>
  </si>
  <si>
    <t>KAREN KAY ANNE RECIDO</t>
  </si>
  <si>
    <t>Jeffrey Justin T. Talisic</t>
  </si>
  <si>
    <t>KAREN  M. MAGSALIN</t>
  </si>
  <si>
    <t>Mary Jofel C Santelices</t>
  </si>
  <si>
    <t>Joseph Clarence D Valero</t>
  </si>
  <si>
    <t>Ivy Dela Cruz Rugas</t>
  </si>
  <si>
    <t>Larney F. Marasigan</t>
  </si>
  <si>
    <t>Jhon Cermino Padernal</t>
  </si>
  <si>
    <t>Melchor Garcia Gonzaga</t>
  </si>
  <si>
    <t>Jasmine O Miro</t>
  </si>
  <si>
    <t>Bernardina Menzon Juarez</t>
  </si>
  <si>
    <t>Rodolfo Obligacion Estrella, Jr.</t>
  </si>
  <si>
    <t>Maricel R. Enrique</t>
  </si>
  <si>
    <t>Orlando Bartolome Enderez</t>
  </si>
  <si>
    <t>EVELYN EVANGELISTA OCAMPO</t>
  </si>
  <si>
    <t>Marissa G. Quijano</t>
  </si>
  <si>
    <t>MELAGROS  K.  FIDEL</t>
  </si>
  <si>
    <t>Victoria  L.  Concha</t>
  </si>
  <si>
    <t>Janice Benlot Aglanao</t>
  </si>
  <si>
    <t>KAREN SOSMEÑA TENEBRO</t>
  </si>
  <si>
    <t>Clemen Gio Reagan</t>
  </si>
  <si>
    <t>ROMER LOREZCA</t>
  </si>
  <si>
    <t>Angelica E. Nerpio</t>
  </si>
  <si>
    <t>ERWIN A. ESPINAS</t>
  </si>
  <si>
    <t>Jose Nolito Castor Tomulto</t>
  </si>
  <si>
    <t>Jose R Cornelio, Jr.</t>
  </si>
  <si>
    <t>Honey Sahara Bautista Aleman</t>
  </si>
  <si>
    <t>Ephraim Simon P. Gulle</t>
  </si>
  <si>
    <t>ARCELI ALLONES TIMOGTIMOG</t>
  </si>
  <si>
    <t>Lea Cachila Munez</t>
  </si>
  <si>
    <t>Bernie C Malinao</t>
  </si>
  <si>
    <t>MA. GINA LABASTIDA LESACA</t>
  </si>
  <si>
    <t>Venn Wei Sipalay   Añonuevo</t>
  </si>
  <si>
    <t>Arlyn Gabriel Basbas</t>
  </si>
  <si>
    <t>Reymar II Anonuevo</t>
  </si>
  <si>
    <t>Francis  Abriol Asequia</t>
  </si>
  <si>
    <t>Jose Roslin Mariaca Cantiga</t>
  </si>
  <si>
    <t>Vien-Lori Bernardo Baniqued</t>
  </si>
  <si>
    <t>Maria Cela G. De Guzman</t>
  </si>
  <si>
    <t>Ocea Alfabete</t>
  </si>
  <si>
    <t>Aniceto B De Castro</t>
  </si>
  <si>
    <t>Felicisima Capistrano Balasabas</t>
  </si>
  <si>
    <t>Leovigildo C. Amolo</t>
  </si>
  <si>
    <t>RODOLFO R. DIAWA</t>
  </si>
  <si>
    <t>Llewelyn Petes Eleazar</t>
  </si>
  <si>
    <t>RODULFO LASTIMOSA ECO</t>
  </si>
  <si>
    <t>Phibely Pudico Nisperos</t>
  </si>
  <si>
    <t>Otilia Obaob Misagal</t>
  </si>
  <si>
    <t>Judith Banal De Jesus</t>
  </si>
  <si>
    <t>Gerlyn M Pabilona</t>
  </si>
  <si>
    <t>Eugenio Demarana</t>
  </si>
  <si>
    <t>Ives M Ebrada</t>
  </si>
  <si>
    <t>Ma. Shella S Cabrera</t>
  </si>
  <si>
    <t>Princess Fabrienne Tonzo Panganiban</t>
  </si>
  <si>
    <t>Liza Rogador Vargas</t>
  </si>
  <si>
    <t>JOHN A. ALLESA</t>
  </si>
  <si>
    <t>Marlene Acabado Cherreguine</t>
  </si>
  <si>
    <t>Cecilia E. Taguiam</t>
  </si>
  <si>
    <t>Michelle A Supena</t>
  </si>
  <si>
    <t>ANACLETO  AVENIDO  PLASABAS</t>
  </si>
  <si>
    <t>Edwina Silva Romero</t>
  </si>
  <si>
    <t>Arsie Parcutilo Jumawan</t>
  </si>
  <si>
    <t>HELEN S. APELO</t>
  </si>
  <si>
    <t>Nelly H. Adoyo</t>
  </si>
  <si>
    <t>Fe Estrada Tingal</t>
  </si>
  <si>
    <t>ESMERALDA GENERALAO GICA</t>
  </si>
  <si>
    <t>Maribel Titular Lescano</t>
  </si>
  <si>
    <t>JOWEL BAHIA RAMOS</t>
  </si>
  <si>
    <t>Ronnie B. Alarte</t>
  </si>
  <si>
    <t>JESSICA ACOLENTAVA OTIC</t>
  </si>
  <si>
    <t>Albert Donato Martin</t>
  </si>
  <si>
    <t>Erlim Alegre Azotea</t>
  </si>
  <si>
    <t>Datu Reymond Laban Russam</t>
  </si>
  <si>
    <t>Owen P. Milanes</t>
  </si>
  <si>
    <t>MARY GRACE MENGOTE</t>
  </si>
  <si>
    <t>IDERLINA BAÑIL</t>
  </si>
  <si>
    <t>ANECITO EVANGELIO SIBI</t>
  </si>
  <si>
    <t>Jose A. Anulao</t>
  </si>
  <si>
    <t>Nelia B. Mejia</t>
  </si>
  <si>
    <t>WILFREDO SARENAS AGONOY</t>
  </si>
  <si>
    <t>Beatriz Dumapay Pascual</t>
  </si>
  <si>
    <t>VIRGILIO M. CACAO</t>
  </si>
  <si>
    <t>junmar pontillas librero</t>
  </si>
  <si>
    <t>Diana Espinosa</t>
  </si>
  <si>
    <t>Jane Yvonne J. Jacobe</t>
  </si>
  <si>
    <t>ELEANOR YANTO CABANGON</t>
  </si>
  <si>
    <t>Jaynalyn E Amparo</t>
  </si>
  <si>
    <t>MILDRED PONCE CUZZAMU</t>
  </si>
  <si>
    <t>Florence Joseline Gredona</t>
  </si>
  <si>
    <t>Elizabeth C. Bodino</t>
  </si>
  <si>
    <t>Josephine R. Agbisit</t>
  </si>
  <si>
    <t>Marichu Lachica Villa-real</t>
  </si>
  <si>
    <t>Dhalie Dicen Almirol</t>
  </si>
  <si>
    <t>Eduardo R. Perez</t>
  </si>
  <si>
    <t>Apolinario Bucayu Baggay</t>
  </si>
  <si>
    <t>Ronnie Gecolea Sierva</t>
  </si>
  <si>
    <t>Raphael  V  Siojo</t>
  </si>
  <si>
    <t>GERARDO DALINOC CLEMENTE</t>
  </si>
  <si>
    <t>Ronaldo T. Soletario</t>
  </si>
  <si>
    <t>Allan P. Mabalacad</t>
  </si>
  <si>
    <t>Angelito Mactal Abiog</t>
  </si>
  <si>
    <t>JULIANA DE GUZMAN PAUIG</t>
  </si>
  <si>
    <t>Venancio Del Mundo Del Mundo</t>
  </si>
  <si>
    <t>Karen Christine O. Onanad</t>
  </si>
  <si>
    <t>Lalina Unciano Princesa</t>
  </si>
  <si>
    <t>Jezreel Gomez Ortega</t>
  </si>
  <si>
    <t>Lynnette L. Vanzuela</t>
  </si>
  <si>
    <t>Jose Marie Ortiz Canlapan</t>
  </si>
  <si>
    <t>Patrick Orines Gonzales</t>
  </si>
  <si>
    <t>Richard Pornorlles Say-a</t>
  </si>
  <si>
    <t>Wilma Martinez</t>
  </si>
  <si>
    <t>Renimfa Cabiles</t>
  </si>
  <si>
    <t>Roderick M Tolentino</t>
  </si>
  <si>
    <t>David M Hernandez Jr.</t>
  </si>
  <si>
    <t>Gloria S Dungo</t>
  </si>
  <si>
    <t>MICHELLE ASIS VICENIO</t>
  </si>
  <si>
    <t>Manuel M. Andes</t>
  </si>
  <si>
    <t>PLTCOL AILEEN M ARAÑAS</t>
  </si>
  <si>
    <t>AR-BI AGLORO ARCIAGA</t>
  </si>
  <si>
    <t>LEONORA GALVADORES HIYAN</t>
  </si>
  <si>
    <t>Ric Rosal</t>
  </si>
  <si>
    <t>Federico Jimena De Leon</t>
  </si>
  <si>
    <t>Rowella Aloguin Vasquez</t>
  </si>
  <si>
    <t>ROMEO CAPARAL LUCINDO</t>
  </si>
  <si>
    <t>Reynaldo Medina Resureccion</t>
  </si>
  <si>
    <t>Raquel Manlimos Cero</t>
  </si>
  <si>
    <t>JUDITH PATRIARCA MANTOS</t>
  </si>
  <si>
    <t>Milagros Orata Centino</t>
  </si>
  <si>
    <t>SUSAN SANTOS TAMBALONG</t>
  </si>
  <si>
    <t>GLENN H. TIANGHA</t>
  </si>
  <si>
    <t>FELECITAS COLAJA</t>
  </si>
  <si>
    <t>Darwin R Sevilla</t>
  </si>
  <si>
    <t>Sukarno J. Minsuarez</t>
  </si>
  <si>
    <t>Vanessa Mendoza Aguilar</t>
  </si>
  <si>
    <t>INOCENCIA PAGKALIWANGAN CASTRO</t>
  </si>
  <si>
    <t>ELIZABETH  PAGULONG  ESCOZA</t>
  </si>
  <si>
    <t>Nestor  Madonza  Austria</t>
  </si>
  <si>
    <t>SHERLITA ARIÑO PALMA</t>
  </si>
  <si>
    <t>Francisco C Cabunoc</t>
  </si>
  <si>
    <t>Dinah Joy Simora Alsola</t>
  </si>
  <si>
    <t>Iris Gelbolingo Ortega</t>
  </si>
  <si>
    <t>Pura Roquid</t>
  </si>
  <si>
    <t>ADELINO GAGALANG MAGPILE</t>
  </si>
  <si>
    <t>WHENA ALCANZADO</t>
  </si>
  <si>
    <t>Macaya Sabdullah Sarigala Jr</t>
  </si>
  <si>
    <t>Edito Suyom Macasait</t>
  </si>
  <si>
    <t>Eduardo Agpalza Abiva</t>
  </si>
  <si>
    <t>Angel D. Pundao</t>
  </si>
  <si>
    <t>Evangeline A Linabog</t>
  </si>
  <si>
    <t>Veronica Vergara De Jesus</t>
  </si>
  <si>
    <t>Diego P Tan</t>
  </si>
  <si>
    <t>Armando Guinar Simbano</t>
  </si>
  <si>
    <t>Samson Gavasan Gilo, Jr.</t>
  </si>
  <si>
    <t>Daphne Tolentino Campano</t>
  </si>
  <si>
    <t>Charito G Yulo</t>
  </si>
  <si>
    <t>Larina Esquibel Lopez</t>
  </si>
  <si>
    <t>FIDELO GO ALMIRANTE</t>
  </si>
  <si>
    <t>Frederick Misamis Docdoc</t>
  </si>
  <si>
    <t>DANIEL T. ACILO</t>
  </si>
  <si>
    <t>Josephine Taruc Ocampo</t>
  </si>
  <si>
    <t>EMELITO M YURO</t>
  </si>
  <si>
    <t>MARISA SARZABA ALSOL</t>
  </si>
  <si>
    <t>Resiel Delos Santos</t>
  </si>
  <si>
    <t>Leonito  De Leon Villanueva</t>
  </si>
  <si>
    <t>CRISABETH AVERGONZADO BAUTISTA</t>
  </si>
  <si>
    <t>Fely B James</t>
  </si>
  <si>
    <t>Arnel Caparros Portales</t>
  </si>
  <si>
    <t>ELI ISANAN SENCIL</t>
  </si>
  <si>
    <t>Sofronia Ceniza Uy</t>
  </si>
  <si>
    <t>ANWAR KENNY ANDREW FRANCISCO AMILASAN</t>
  </si>
  <si>
    <t>CHERRY SALARZON RAMOS</t>
  </si>
  <si>
    <t>Consuelo Narag  Galagala</t>
  </si>
  <si>
    <t>Rosalie  Demontaño De Justo</t>
  </si>
  <si>
    <t>Cynthia Macenas Tumanut</t>
  </si>
  <si>
    <t>Teodoro Alo Jabahab</t>
  </si>
  <si>
    <t>Jocelyn  Mendoza  Estoce</t>
  </si>
  <si>
    <t>Sherlita Precioso Manseliohan</t>
  </si>
  <si>
    <t>Nemia Barradas Monzones</t>
  </si>
  <si>
    <t>Emilia Sales Quilet</t>
  </si>
  <si>
    <t>Anna Mae Voloso Acopio</t>
  </si>
  <si>
    <t>Arnold A. De Castro</t>
  </si>
  <si>
    <t>Richard Cammayo Malayao</t>
  </si>
  <si>
    <t>Edmundo Alonzo Escape</t>
  </si>
  <si>
    <t>Giovanne Tan  Lim</t>
  </si>
  <si>
    <t>Maricel Cuden Cosme</t>
  </si>
  <si>
    <t>Ariel Dela Cruz de Borja</t>
  </si>
  <si>
    <t>VINCENT RON B BACOL</t>
  </si>
  <si>
    <t>EMALYN O. SOMONO</t>
  </si>
  <si>
    <t>Ahmad  Mamaon  Macod</t>
  </si>
  <si>
    <t>NORIEL DEL CARMEN SEVILLE</t>
  </si>
  <si>
    <t>Richard F. Soriben</t>
  </si>
  <si>
    <t>Eduardo M. Doria</t>
  </si>
  <si>
    <t>GLO SUATING CELESTE</t>
  </si>
  <si>
    <t>Felyn Fille Paco</t>
  </si>
  <si>
    <t>Primrose Bayani Manalo</t>
  </si>
  <si>
    <t>JOSE L MANZANO</t>
  </si>
  <si>
    <t>DENNIS BAYUWAN BAGYON</t>
  </si>
  <si>
    <t>RENAN DECENA</t>
  </si>
  <si>
    <t>Chenaryl M. Cordero</t>
  </si>
  <si>
    <t>Marinelle Marquez Rubico</t>
  </si>
  <si>
    <t>SALVADOR , JR. GRANADOS REGIS</t>
  </si>
  <si>
    <t>Cristina Duca Manalang</t>
  </si>
  <si>
    <t>Carmelita M Palma</t>
  </si>
  <si>
    <t>SYLVIA ELEFANTE MATIAS</t>
  </si>
  <si>
    <t>GRACE  MALONG  MENDOZA</t>
  </si>
  <si>
    <t>GENELYN BUMILTAC</t>
  </si>
  <si>
    <t>Mary Grace Siducon Taugan</t>
  </si>
  <si>
    <t>Felizardo  R.  Canama</t>
  </si>
  <si>
    <t>NANCY INAMAC UNIDAD</t>
  </si>
  <si>
    <t>Ma. Socorro Lacambra Domingo</t>
  </si>
  <si>
    <t>Julieta Rin Valles</t>
  </si>
  <si>
    <t>Renzo Iray De Leon</t>
  </si>
  <si>
    <t>Relanie T Esta</t>
  </si>
  <si>
    <t>Josefa Y Garcia</t>
  </si>
  <si>
    <t>Mary Jane Balbin Dugue</t>
  </si>
  <si>
    <t>Mary Jean Garrido Demonteverde</t>
  </si>
  <si>
    <t>Roland S Antonio</t>
  </si>
  <si>
    <t>Cynthia Faustino Delgado</t>
  </si>
  <si>
    <t>Mar Giovanni L. Cabingas</t>
  </si>
  <si>
    <t>Alan Alonzo Nacario</t>
  </si>
  <si>
    <t>JUANA C. MACARIOLA</t>
  </si>
  <si>
    <t>LORENZO BOHOL GENOGUIN</t>
  </si>
  <si>
    <t>Jeffrey Almanzor II</t>
  </si>
  <si>
    <t>RHODORA PAYAO MAGNO</t>
  </si>
  <si>
    <t>MARIE ANN V. SISON</t>
  </si>
  <si>
    <t>Christian George Bantilan Pal-ing</t>
  </si>
  <si>
    <t>Rose Marie  Gamolo</t>
  </si>
  <si>
    <t>Anabelle T. Abana</t>
  </si>
  <si>
    <t>REYNALDO DALWATAN</t>
  </si>
  <si>
    <t>Mae Ann Olasiman Cutamora</t>
  </si>
  <si>
    <t>Mylene Pabo Barroga</t>
  </si>
  <si>
    <t>Gilbert C. Colegado</t>
  </si>
  <si>
    <t>Larry Pelaez Olvina</t>
  </si>
  <si>
    <t>VALERIANO VALESCAS ROLUNA</t>
  </si>
  <si>
    <t>SOTERO Y. HIMOC</t>
  </si>
  <si>
    <t>LINA PESCADOR DORAL</t>
  </si>
  <si>
    <t>ONIE J REYES</t>
  </si>
  <si>
    <t>Albert Lee Basuel Cabanting</t>
  </si>
  <si>
    <t>Mary Jane C. Caballero</t>
  </si>
  <si>
    <t>Joseph Abalde Magriña</t>
  </si>
  <si>
    <t>RONALD S. BARRAMEDA</t>
  </si>
  <si>
    <t>Jezereel Esteban</t>
  </si>
  <si>
    <t>Ruby E De Jong</t>
  </si>
  <si>
    <t>ROLANDO PALMA LADIGOHON</t>
  </si>
  <si>
    <t>Elena c. Rumpon</t>
  </si>
  <si>
    <t>Ma. Viven Saycon Reasol</t>
  </si>
  <si>
    <t>Marivic Estopin Diaz</t>
  </si>
  <si>
    <t>ROY DOLINO BENDANILLO</t>
  </si>
  <si>
    <t>Alan C. Santos</t>
  </si>
  <si>
    <t>Arielyn L. Fernandez</t>
  </si>
  <si>
    <t>Susan Jumawan Tejano</t>
  </si>
  <si>
    <t>PABLO, JR. PALAÑA CORTEZ</t>
  </si>
  <si>
    <t>Christopher Mabulay Rizo</t>
  </si>
  <si>
    <t>Ridzkan A Hamie</t>
  </si>
  <si>
    <t>Samuel Abainza Amatosa</t>
  </si>
  <si>
    <t>Colleen Ilagan Medallon</t>
  </si>
  <si>
    <t>Rebecca Cequiña Remulta</t>
  </si>
  <si>
    <t>ROWELYN VILLARUZ</t>
  </si>
  <si>
    <t>PHET E CALINGASAN</t>
  </si>
  <si>
    <t>Cristeta C. Chica</t>
  </si>
  <si>
    <t>Marites A Galliguez</t>
  </si>
  <si>
    <t>Delfin Jacob Armario</t>
  </si>
  <si>
    <t>Monaliza Aquino Galvez</t>
  </si>
  <si>
    <t>FEDERICO J. GOTICO III</t>
  </si>
  <si>
    <t>Daryl Baptista Daodaoang</t>
  </si>
  <si>
    <t>Aprilla M Camilot</t>
  </si>
  <si>
    <t>FRANCISCO I. CORPUZ, JR.</t>
  </si>
  <si>
    <t>PRIMILIN ANNE DELGADO MARIANO</t>
  </si>
  <si>
    <t>Glaver Q. Marilla</t>
  </si>
  <si>
    <t>Belto Reyes</t>
  </si>
  <si>
    <t>RENZ MARION  FRAYNA  SADIASA</t>
  </si>
  <si>
    <t>Yolanda Espayos Forte</t>
  </si>
  <si>
    <t>Isidro Lopez Tapar</t>
  </si>
  <si>
    <t>CELESTE GIE T. DELA CRUZ</t>
  </si>
  <si>
    <t>Jerry Grace G Danao</t>
  </si>
  <si>
    <t>Myra S Jocson</t>
  </si>
  <si>
    <t>ATTY. MARIA JONIKA GONZAGA ROMANO</t>
  </si>
  <si>
    <t>Noriel G. Sanson</t>
  </si>
  <si>
    <t>Rock Eliseo Dequino Garay</t>
  </si>
  <si>
    <t>ANTONIO V. SANTOS</t>
  </si>
  <si>
    <t>Corazon Catalla Pante</t>
  </si>
  <si>
    <t>Mac Dennis Ruel O Icalla</t>
  </si>
  <si>
    <t>Edgar M Mendoza</t>
  </si>
  <si>
    <t>Ernesto Loyola Castillo</t>
  </si>
  <si>
    <t>Jay-Ar Solis Alegasdo</t>
  </si>
  <si>
    <t>JANNET EMILIA PIANG ARATUC</t>
  </si>
  <si>
    <t>Nestor N. Rebato</t>
  </si>
  <si>
    <t>LEONARDO D AMORES</t>
  </si>
  <si>
    <t>Elisa A. Linaza</t>
  </si>
  <si>
    <t>Leonardo Miranda Bayotas</t>
  </si>
  <si>
    <t>JUBERT  D.  TUTOR</t>
  </si>
  <si>
    <t>Florito Marchan Gudes</t>
  </si>
  <si>
    <t>Marilou Candelaria Mendoza</t>
  </si>
  <si>
    <t>Rogie A Sion</t>
  </si>
  <si>
    <t>Alvin Putulan Aceret</t>
  </si>
  <si>
    <t>Jose F. Ycay IV</t>
  </si>
  <si>
    <t>Ralph Ceasar Balane Vallar</t>
  </si>
  <si>
    <t>Andy Ralfh Villafuerte Conocono</t>
  </si>
  <si>
    <t>Sheila Mondas Lopiga</t>
  </si>
  <si>
    <t>Aileen Manalo Villanueva</t>
  </si>
  <si>
    <t>EDMUND PAPEL SOMORAY</t>
  </si>
  <si>
    <t>CLEANTH REYES GOROSPE</t>
  </si>
  <si>
    <t>Francis Celmar</t>
  </si>
  <si>
    <t>Elvisa Japay Villar</t>
  </si>
  <si>
    <t>Joseph  Mangco  Soriano</t>
  </si>
  <si>
    <t>Jocelyn V. Estero</t>
  </si>
  <si>
    <t>MARIBETH SAJORDA LONGATANG</t>
  </si>
  <si>
    <t>Cumeganda F Merilles</t>
  </si>
  <si>
    <t>JEOFREY TOMAS BLAS</t>
  </si>
  <si>
    <t>Marivic Torres Pagala</t>
  </si>
  <si>
    <t>Jose Antonio Gorordo Flores</t>
  </si>
  <si>
    <t>Cezar Kuan Paronda</t>
  </si>
  <si>
    <t>Elvie Villegas Pastera</t>
  </si>
  <si>
    <t>Michele Solon Mapalo</t>
  </si>
  <si>
    <t>DORINA MELAD</t>
  </si>
  <si>
    <t>Nicomedes Catagasan Hinunangan</t>
  </si>
  <si>
    <t>Joelinda A Segui</t>
  </si>
  <si>
    <t>Ma. Delia Ong - Manca</t>
  </si>
  <si>
    <t>Datuali Talembo</t>
  </si>
  <si>
    <t>RENATO TANGUNAN SAMBRANO</t>
  </si>
  <si>
    <t>Magnolia T Flores</t>
  </si>
  <si>
    <t>Homer G. Hubag</t>
  </si>
  <si>
    <t>Mercedes Inway Luto</t>
  </si>
  <si>
    <t>Jezryl M. Lobaton</t>
  </si>
  <si>
    <t>Celestial Galivo Alag</t>
  </si>
  <si>
    <t>Neil Patrick Y. Cruz</t>
  </si>
  <si>
    <t>Genes Mosinde  Beronio</t>
  </si>
  <si>
    <t>Criselle Mhae Hilario Rele</t>
  </si>
  <si>
    <t>Aniano III Bisnar Bacor</t>
  </si>
  <si>
    <t>Norman Jacob Gordonas</t>
  </si>
  <si>
    <t>Gen Anderson Gonzales Tanhueco</t>
  </si>
  <si>
    <t>Raul B. Jacela</t>
  </si>
  <si>
    <t>Carolaine Ann Aguila</t>
  </si>
  <si>
    <t>Nerie  Lucero</t>
  </si>
  <si>
    <t>Mary Jane Elegio Malbas</t>
  </si>
  <si>
    <t>Maritess Mamaclay Sibal</t>
  </si>
  <si>
    <t>Amadeo Jr. Ong Tan</t>
  </si>
  <si>
    <t>IMELDA RIVAS TABILLA</t>
  </si>
  <si>
    <t>Crisostomo Bulut</t>
  </si>
  <si>
    <t>Dianne April S Pangan</t>
  </si>
  <si>
    <t>Petronio  C.  Tolentino</t>
  </si>
  <si>
    <t>Isidra E. Tumale</t>
  </si>
  <si>
    <t>SUSAN QUITLONG SISON</t>
  </si>
  <si>
    <t>Juliet A Cabrera</t>
  </si>
  <si>
    <t>MANOLITO T. MARTINEZ</t>
  </si>
  <si>
    <t>LUCHE BALACY</t>
  </si>
  <si>
    <t>Arlene Seno Padilla</t>
  </si>
  <si>
    <t>QUIRUBEN R. ANDRES</t>
  </si>
  <si>
    <t>ANNA LHE BOLIVAR TULIO</t>
  </si>
  <si>
    <t>Nestor Jr. V. Marquez</t>
  </si>
  <si>
    <t>Hazel G Solis</t>
  </si>
  <si>
    <t>Jasmin Macaspag Dacaynos</t>
  </si>
  <si>
    <t>Ruiz Lloyd Gonzales Magcamit</t>
  </si>
  <si>
    <t>NORBERTO, JR ONES RUBI</t>
  </si>
  <si>
    <t>Leonard E. Marquez</t>
  </si>
  <si>
    <t>Jesus, Jr. Urieta</t>
  </si>
  <si>
    <t>ROGELIO MENDIGO VILLEGAS</t>
  </si>
  <si>
    <t>Myrna Badilles Belgado</t>
  </si>
  <si>
    <t>Lani M. Fortunado</t>
  </si>
  <si>
    <t>Duaymelin Marin Bardago</t>
  </si>
  <si>
    <t>Jackie Lou Rivera Balmores</t>
  </si>
  <si>
    <t>Roy Santos Estrobo</t>
  </si>
  <si>
    <t>EDWARD ALIGUYON CARIÑO</t>
  </si>
  <si>
    <t>Eddie V Daday</t>
  </si>
  <si>
    <t>Siolly  Dela Torre</t>
  </si>
  <si>
    <t>Karol Kay T Amacio</t>
  </si>
  <si>
    <t>Lorelie Geronimo Pacquiao</t>
  </si>
  <si>
    <t>Concordia Tantio Supangan</t>
  </si>
  <si>
    <t>Carolyn Rebortura Guadalquiver</t>
  </si>
  <si>
    <t>Benjamin Adorza</t>
  </si>
  <si>
    <t>Guia Buenaventura Guerrero</t>
  </si>
  <si>
    <t>Rico Atega Ygbuhay</t>
  </si>
  <si>
    <t>Ma. Teresa del Rosario Perdigon</t>
  </si>
  <si>
    <t>Ramir Gerola Ydullan</t>
  </si>
  <si>
    <t>Laica Datu Nayre</t>
  </si>
  <si>
    <t>EUGENIA DE LEON CRUZADO</t>
  </si>
  <si>
    <t>Ederlita Cena</t>
  </si>
  <si>
    <t>MAMELITO M. CABADONGA</t>
  </si>
  <si>
    <t>CHARLTON LIU UY</t>
  </si>
  <si>
    <t>Annabelle M Pameron</t>
  </si>
  <si>
    <t>Antonio L. Nacario</t>
  </si>
  <si>
    <t>Rowena Antivo Radoc</t>
  </si>
  <si>
    <t>AMOR JOY ODULIO SURCO</t>
  </si>
  <si>
    <t>Carmen M. Adriano</t>
  </si>
  <si>
    <t>Godolfredo Baterina Borje</t>
  </si>
  <si>
    <t>MARIO  BEDRIJO  URSAL</t>
  </si>
  <si>
    <t>JOSELYN D. DALISAY</t>
  </si>
  <si>
    <t>ERENEO  E. SULLANO</t>
  </si>
  <si>
    <t>Godofredo Apprecio Corsino</t>
  </si>
  <si>
    <t>Mark Lawrence Hiceta Pleyto</t>
  </si>
  <si>
    <t>Ruben Denoso Raandaan</t>
  </si>
  <si>
    <t>DANILO T VILLANUEVA</t>
  </si>
  <si>
    <t>GNES L.  MAINIT</t>
  </si>
  <si>
    <t>Juliet Nangca</t>
  </si>
  <si>
    <t>Desiderio Estillore Gudia Jr.</t>
  </si>
  <si>
    <t>Donato Silvano Advincula</t>
  </si>
  <si>
    <t>Roque I. Verzosa III</t>
  </si>
  <si>
    <t>Luis, Jr. Artieda Albacete</t>
  </si>
  <si>
    <t>Marites Cueto Borbon</t>
  </si>
  <si>
    <t>ESTRELLA T. SAPURAS</t>
  </si>
  <si>
    <t>May Rose Dejaro  Denolang</t>
  </si>
  <si>
    <t>Vivian S. Cabando</t>
  </si>
  <si>
    <t>Marites S Penosa</t>
  </si>
  <si>
    <t>Victoria Gabieta Tille</t>
  </si>
  <si>
    <t>Domingo Hutamares Nobleza</t>
  </si>
  <si>
    <t>Eugenio Gallo Reyes</t>
  </si>
  <si>
    <t>Jaime Hervilla Mahimpit</t>
  </si>
  <si>
    <t>Marissa L Yagyagan</t>
  </si>
  <si>
    <t>Glodyn Trocio Talledo</t>
  </si>
  <si>
    <t>Gracianito Lara Lucero</t>
  </si>
  <si>
    <t>Ms. Segundina Libu-on  Aquidado</t>
  </si>
  <si>
    <t>Dandee Nono</t>
  </si>
  <si>
    <t>Luciano A. Abastillas</t>
  </si>
  <si>
    <t>LANNIE MAE C DINGAL</t>
  </si>
  <si>
    <t>Corazon Barrientos Pagayona</t>
  </si>
  <si>
    <t>Victorina L. Gumban</t>
  </si>
  <si>
    <t>Elisa De Jesus Obina</t>
  </si>
  <si>
    <t>Edison C Gascon</t>
  </si>
  <si>
    <t>janet esito delos reyes</t>
  </si>
  <si>
    <t>Carlo Yuson Silva</t>
  </si>
  <si>
    <t>Leonora Lumayag Ofredo</t>
  </si>
  <si>
    <t>ENRIQUE CLAVEZ GONZALEZ</t>
  </si>
  <si>
    <t>Margarito Perez Dimailig</t>
  </si>
  <si>
    <t>Montano J. Alob</t>
  </si>
  <si>
    <t>Anne Camille Carlos Bautista</t>
  </si>
  <si>
    <t>Elmer Foronda Acoba</t>
  </si>
  <si>
    <t>Cecilia  Pelare  Osmena</t>
  </si>
  <si>
    <t>Karen Lisette Trinidad Molas</t>
  </si>
  <si>
    <t>MARIO PARING PAGALAN</t>
  </si>
  <si>
    <t>Edna Pamaos Malaran</t>
  </si>
  <si>
    <t>Severino Aberca</t>
  </si>
  <si>
    <t>Bernadette Sanchez Ragay</t>
  </si>
  <si>
    <t>Sotico M Cascara</t>
  </si>
  <si>
    <t>Sheila May Caceres Barilea</t>
  </si>
  <si>
    <t>RODOLFO DIVINO JUNGCO</t>
  </si>
  <si>
    <t>Jelenita D Limot</t>
  </si>
  <si>
    <t>John Eric Tan David</t>
  </si>
  <si>
    <t>MILAGROS C. YU</t>
  </si>
  <si>
    <t>Brigido Layug Sigua</t>
  </si>
  <si>
    <t>Mary Elaine Vanguardia Briones</t>
  </si>
  <si>
    <t>Ma. Celyn Noya Padpad</t>
  </si>
  <si>
    <t>Georgie  Lamparas Ruelan</t>
  </si>
  <si>
    <t>Fernando Paulino Dela Torre</t>
  </si>
  <si>
    <t>Lilica  Abijay  Paracale</t>
  </si>
  <si>
    <t>CHERRYLYN  B  BARAZONA</t>
  </si>
  <si>
    <t>Mejelsa Mejilla Samodio</t>
  </si>
  <si>
    <t>Raniel R Cabasisi</t>
  </si>
  <si>
    <t>MERLA ARAMBURO REVECHE</t>
  </si>
  <si>
    <t>MA. BELEN POLIDO ACUESTA</t>
  </si>
  <si>
    <t>Randolph R Maguigad</t>
  </si>
  <si>
    <t>Janette Escano Eusebio</t>
  </si>
  <si>
    <t>JANET ARELLANO MONTEVERDE</t>
  </si>
  <si>
    <t>RUBY FERNANDEZ PERASOL</t>
  </si>
  <si>
    <t>Lope Mario B. Lina</t>
  </si>
  <si>
    <t>MARCELINO JR. L. PONIPON</t>
  </si>
  <si>
    <t>Noel A. Mejia</t>
  </si>
  <si>
    <t>Ricardo Mandreza Abad</t>
  </si>
  <si>
    <t>Khalid M. Pangarungan</t>
  </si>
  <si>
    <t>Carlos D Neyra IV</t>
  </si>
  <si>
    <t>Maricel Vitasa Granada</t>
  </si>
  <si>
    <t>vivencio c. palo</t>
  </si>
  <si>
    <t>Marino Merano Silagan Jr.</t>
  </si>
  <si>
    <t>Vivian Ploteña</t>
  </si>
  <si>
    <t>Oliver John G. Palon</t>
  </si>
  <si>
    <t>Ernesto S. Suplido</t>
  </si>
  <si>
    <t>Mokamad Musa Solaiman</t>
  </si>
  <si>
    <t>David B. Reyes, Jr.</t>
  </si>
  <si>
    <t>Noli T. Gandamon</t>
  </si>
  <si>
    <t>Jojie B. Rabina</t>
  </si>
  <si>
    <t>Dominic Bolos Garcia</t>
  </si>
  <si>
    <t>Baby Catherine B Cruz</t>
  </si>
  <si>
    <t>ALFREDO M. VILLAPANDO</t>
  </si>
  <si>
    <t>Lorna angatungan Sorono</t>
  </si>
  <si>
    <t>Garry Salve Mazo</t>
  </si>
  <si>
    <t>Charlotte R. Zacarias</t>
  </si>
  <si>
    <t>HELEN IGUANA EDULLANTES</t>
  </si>
  <si>
    <t>Franco Asis Monjardin</t>
  </si>
  <si>
    <t>Vivencio CANEO Quinto</t>
  </si>
  <si>
    <t>Teresita C. Suralta</t>
  </si>
  <si>
    <t>Irwin M Fonbuena</t>
  </si>
  <si>
    <t>Cario Abag Baskial</t>
  </si>
  <si>
    <t>Rose Althea Bugayong</t>
  </si>
  <si>
    <t>Grace G. Astrero</t>
  </si>
  <si>
    <t>Renan Reyes Liwanag</t>
  </si>
  <si>
    <t>Joeper Hamlag Mendoza</t>
  </si>
  <si>
    <t>VICTOR LUZA LAGUNA</t>
  </si>
  <si>
    <t>France Josephine Camua Bautista</t>
  </si>
  <si>
    <t>ROLAND MAYOL PEREZ</t>
  </si>
  <si>
    <t>REYNALDO C. CATANUS</t>
  </si>
  <si>
    <t>CHARITA S. RASAY</t>
  </si>
  <si>
    <t>Blessy B. Nael</t>
  </si>
  <si>
    <t>Arlene A Amen</t>
  </si>
  <si>
    <t>Chrizl Joane Fernandez</t>
  </si>
  <si>
    <t>Rhienna Jhean Marcial Arsenal</t>
  </si>
  <si>
    <t>Sharon Obias Dancalan</t>
  </si>
  <si>
    <t>Frazier L. Quinesio</t>
  </si>
  <si>
    <t>Ma. Nena T. Zapico</t>
  </si>
  <si>
    <t>jerlyn reyes tabornal</t>
  </si>
  <si>
    <t>MONALIZA GUILLEN CALAMBRO</t>
  </si>
  <si>
    <t>RUEL O. LOZANO</t>
  </si>
  <si>
    <t>Erna O. Lumandong</t>
  </si>
  <si>
    <t>ALVIN CABASAG LAMOSTE</t>
  </si>
  <si>
    <t>Salvador Onating Ochavo Jr.</t>
  </si>
  <si>
    <t>Maria Rosario Carranza Serrano</t>
  </si>
  <si>
    <t>Anna May Laulita Martinez</t>
  </si>
  <si>
    <t>FLORELYN BUOT LACHARON</t>
  </si>
  <si>
    <t>PAB JACOB BANGELISAN</t>
  </si>
  <si>
    <t>Noel Bañas Nanquil</t>
  </si>
  <si>
    <t>Rolinda Macario De Julian</t>
  </si>
  <si>
    <t>Jovelyn Revillosa Alegre</t>
  </si>
  <si>
    <t>Rodrigo S Baid</t>
  </si>
  <si>
    <t>Ciriaco L Montano</t>
  </si>
  <si>
    <t>Fatnuhalda Abarrondo Samparani</t>
  </si>
  <si>
    <t>Rolando Javier Garcia</t>
  </si>
  <si>
    <t>ALGIER BICADA WOO</t>
  </si>
  <si>
    <t>Julie G Salvador</t>
  </si>
  <si>
    <t>Wilson C. Rosario</t>
  </si>
  <si>
    <t>Herminia Navarra Nacuspag</t>
  </si>
  <si>
    <t>Chona Lou C Fulinara</t>
  </si>
  <si>
    <t>Amelita Miras Mercado</t>
  </si>
  <si>
    <t>Aurelia  S.  Bernasol</t>
  </si>
  <si>
    <t>Victor Yasul Navarro</t>
  </si>
  <si>
    <t>Benjamin Jr. Bertiz Javellana</t>
  </si>
  <si>
    <t>Meluchi D. Porol</t>
  </si>
  <si>
    <t>ANNE MARIE  P. PACATANG</t>
  </si>
  <si>
    <t>Mary Grace Palcon Gallardo</t>
  </si>
  <si>
    <t>GERMAN M. DELA CRUZ</t>
  </si>
  <si>
    <t>Paolo Crispino Casiñas Sucalit</t>
  </si>
  <si>
    <t>JESSIE B COROTAN</t>
  </si>
  <si>
    <t>Adriano Araniego Adriano</t>
  </si>
  <si>
    <t>JOY PACANAN</t>
  </si>
  <si>
    <t>Zaldy Rodriguez Delmendo</t>
  </si>
  <si>
    <t>Revine Claire S. Cantil</t>
  </si>
  <si>
    <t>Celestial S Flancia</t>
  </si>
  <si>
    <t>ARNEL DUMANAIS</t>
  </si>
  <si>
    <t>Theresa Legaspi</t>
  </si>
  <si>
    <t>Gypsy Jennsen Arquio</t>
  </si>
  <si>
    <t>ANGELINA M. ESTARDO</t>
  </si>
  <si>
    <t>Jay Francis Ibanez Dela Victoria</t>
  </si>
  <si>
    <t>EDISON SALANO ORIAS</t>
  </si>
  <si>
    <t>JANE KULPO LIKIGAN</t>
  </si>
  <si>
    <t>Augusto Alvarez Salangsang</t>
  </si>
  <si>
    <t>REY  VILLA  MARTINEZ</t>
  </si>
  <si>
    <t>Melanie Obillo Manipon</t>
  </si>
  <si>
    <t>DONNA M PADUA</t>
  </si>
  <si>
    <t>Chinalyn Dakiwag Rivera</t>
  </si>
  <si>
    <t>Andrew Lim Pagayatan</t>
  </si>
  <si>
    <t>Marivic Melencion Macuha</t>
  </si>
  <si>
    <t>Richard Angel M. Arboleda</t>
  </si>
  <si>
    <t>REYNALDO Q. CHING</t>
  </si>
  <si>
    <t>JOHN REY JERAO PEREZ</t>
  </si>
  <si>
    <t>MARCIAL RAMOS VALIENTE</t>
  </si>
  <si>
    <t>JOVITO VISTAL TOLARESA</t>
  </si>
  <si>
    <t>Mike Jun Fuentecilla Onting</t>
  </si>
  <si>
    <t>ZALDY RADOMES PACAYRA</t>
  </si>
  <si>
    <t>Hilario Jr.  Manangan Olivo</t>
  </si>
  <si>
    <t>Elizabeth Maligsa Molde</t>
  </si>
  <si>
    <t>Eloida L Samonte</t>
  </si>
  <si>
    <t>JOSE CORDERO ANGULO, JR.</t>
  </si>
  <si>
    <t>Josefina C. Opleda</t>
  </si>
  <si>
    <t>HENRY B CALUDUCAN</t>
  </si>
  <si>
    <t>Marlon Iwarat Esguerra</t>
  </si>
  <si>
    <t>Ma. Amor Bañas</t>
  </si>
  <si>
    <t>JENALYN MADOLID NEBRIDA</t>
  </si>
  <si>
    <t>Maria Rizza Mae  R.  Mabaquiao</t>
  </si>
  <si>
    <t>HILARION TACAISAN DUBRIA, JR.</t>
  </si>
  <si>
    <t>Loy Joseph I Quitain</t>
  </si>
  <si>
    <t>CRISPIN AUSTRIA BATAC</t>
  </si>
  <si>
    <t>GERALD AL P MENDOZA</t>
  </si>
  <si>
    <t>Amabe Amanse Dela Cruz</t>
  </si>
  <si>
    <t>MEDALINE MONSERATE ZARRIZ</t>
  </si>
  <si>
    <t>Arlaine M De Vera</t>
  </si>
  <si>
    <t>Hurdy F Denosta</t>
  </si>
  <si>
    <t>Maria Lourdes Atanacio Angeles</t>
  </si>
  <si>
    <t>Adriel S. Dacara</t>
  </si>
  <si>
    <t>EGICEL C. LUMBAO</t>
  </si>
  <si>
    <t>Cresenciano J Yu</t>
  </si>
  <si>
    <t>Erasto A Llagas</t>
  </si>
  <si>
    <t>Agnes Badilla Martino</t>
  </si>
  <si>
    <t>Vennis Mari Verzosa Ban</t>
  </si>
  <si>
    <t>Teresita L. Vitug</t>
  </si>
  <si>
    <t>Ervin C. San Jose</t>
  </si>
  <si>
    <t>Barangay T Treasurer</t>
  </si>
  <si>
    <t>ELENA PADUYOS GARLITOS</t>
  </si>
  <si>
    <t>Michelle Nabas Gregorio</t>
  </si>
  <si>
    <t>Corazon Parido Plameras</t>
  </si>
  <si>
    <t>Cyriz Gulahab Anfone</t>
  </si>
  <si>
    <t>Inocencio Cordero Mana-ay</t>
  </si>
  <si>
    <t>Winilyn Nipales De Leon</t>
  </si>
  <si>
    <t>Rhea G Aquino</t>
  </si>
  <si>
    <t>NANCY CABALLERO</t>
  </si>
  <si>
    <t>Robert A Santillano</t>
  </si>
  <si>
    <t>Ma. April S. Crampatana</t>
  </si>
  <si>
    <t>Arnel Gahator Otida</t>
  </si>
  <si>
    <t>ENGR. DOMINGO D. DOYONGAN, JR.</t>
  </si>
  <si>
    <t>Toni Rose D Juera</t>
  </si>
  <si>
    <t>Lyn Latag Mistas</t>
  </si>
  <si>
    <t>Lou Wendell C San Jose</t>
  </si>
  <si>
    <t>Darah Gonzales Buro</t>
  </si>
  <si>
    <t>Maureen Pasajol Camilo</t>
  </si>
  <si>
    <t>LEA C. BARASI</t>
  </si>
  <si>
    <t>Marichelle Ferrer</t>
  </si>
  <si>
    <t>Emiliana Z Sarmiento</t>
  </si>
  <si>
    <t>Jaime S.J. Javellana</t>
  </si>
  <si>
    <t>Niña Grace Tolentino Aquino</t>
  </si>
  <si>
    <t>Paulo F. Tagsip</t>
  </si>
  <si>
    <t>ERIKA R. DURAN</t>
  </si>
  <si>
    <t>NELSON PAÑARES PEDOCHE</t>
  </si>
  <si>
    <t>Merlyn Leyson</t>
  </si>
  <si>
    <t>Irene Enriquez</t>
  </si>
  <si>
    <t>Nilda Olog Villaco</t>
  </si>
  <si>
    <t>Edmar Tenio Tambis</t>
  </si>
  <si>
    <t>Melanie Claire Pasion Singzon</t>
  </si>
  <si>
    <t>LIVY POLIA DALA</t>
  </si>
  <si>
    <t>Margie P Alanunay</t>
  </si>
  <si>
    <t>Jessica  Antipas Bunani</t>
  </si>
  <si>
    <t>JOSE M. ESPINA</t>
  </si>
  <si>
    <t>Jessie Povadora Saquilabon</t>
  </si>
  <si>
    <t>Ma. Elma Solangon Alapre</t>
  </si>
  <si>
    <t>crisanto de asis quijano</t>
  </si>
  <si>
    <t>Alex Rivas Literato</t>
  </si>
  <si>
    <t>Julie Ann T Flores</t>
  </si>
  <si>
    <t>Hayria Gonsang Panalindang</t>
  </si>
  <si>
    <t>Charlimyne Ganas Intano</t>
  </si>
  <si>
    <t>RICARDO, JR. ABABOL IMBING</t>
  </si>
  <si>
    <t>Jai anne nica bueno abuel</t>
  </si>
  <si>
    <t>JAKE CYRIL N. SOLITE</t>
  </si>
  <si>
    <t>Sheran Goze Recolizado</t>
  </si>
  <si>
    <t>MA. NEOFITA S. TUAZON</t>
  </si>
  <si>
    <t>Isaias, Sr. Tulio Bigol</t>
  </si>
  <si>
    <t>CONRADO SARMIENTO GUEVARRA</t>
  </si>
  <si>
    <t>Adriano Jr. A. Barangot</t>
  </si>
  <si>
    <t>Maan  Aleta  Adona</t>
  </si>
  <si>
    <t>Reinerio Boglosa</t>
  </si>
  <si>
    <t>JENNY ANN ESNARA PALACI</t>
  </si>
  <si>
    <t>Eric  Torre  Tejada</t>
  </si>
  <si>
    <t>Purificasion Quirante Barasi</t>
  </si>
  <si>
    <t>EDELBERTA  URNOM  VILLADOLID</t>
  </si>
  <si>
    <t>June Evita Cabansag Cesar</t>
  </si>
  <si>
    <t>segrid sahagon dacanay</t>
  </si>
  <si>
    <t>Christelyn A. Aguro</t>
  </si>
  <si>
    <t>RAMON ANSELMO CARBONERA CALAGOS</t>
  </si>
  <si>
    <t>ANTONIETA  T.  PIE</t>
  </si>
  <si>
    <t>Cyril D. Valencerina</t>
  </si>
  <si>
    <t>Genaro Telen Lapasanda</t>
  </si>
  <si>
    <t>EMMA ESPEDIDO TAÑAFRANCA</t>
  </si>
  <si>
    <t>Dolores Carig Tendero</t>
  </si>
  <si>
    <t>Christma Joy Pereyra Rodriguez</t>
  </si>
  <si>
    <t xml:space="preserve">JEMUEL SR. GALLO  DULLA </t>
  </si>
  <si>
    <t>Roel Basi Lachica</t>
  </si>
  <si>
    <t>APOSTOL LARGADO DANILO</t>
  </si>
  <si>
    <t>Josephine Tolentino Banay</t>
  </si>
  <si>
    <t>Arman Anggalis De Guzman</t>
  </si>
  <si>
    <t>Gilda Filoteo Lluisma</t>
  </si>
  <si>
    <t>RAFAEL A. ARRADAZA</t>
  </si>
  <si>
    <t>Abelardo Agpalza Villanueva</t>
  </si>
  <si>
    <t>JOEL DALMACIA SUMAWANG</t>
  </si>
  <si>
    <t>Edna C. Padayao</t>
  </si>
  <si>
    <t>Felomina Pepito Royeras</t>
  </si>
  <si>
    <t>ALLAN RICARDO DOLOTINA REAL</t>
  </si>
  <si>
    <t>RENATO P. MAGAN</t>
  </si>
  <si>
    <t>Jeric Edem Menoy</t>
  </si>
  <si>
    <t>JAN RAE MIJARES CANABANO</t>
  </si>
  <si>
    <t>LYDIA ORATA UMOSO</t>
  </si>
  <si>
    <t>Edgar Orbeta Salentes</t>
  </si>
  <si>
    <t>Liza Panganiban Defeo</t>
  </si>
  <si>
    <t>Melinda R Abanilla</t>
  </si>
  <si>
    <t>Dindo Cornejo Montablan</t>
  </si>
  <si>
    <t>MARIO ABANTO TALLEDO</t>
  </si>
  <si>
    <t>Ruby Dedace Abriol</t>
  </si>
  <si>
    <t>Segundo Escamillas Anyayahan</t>
  </si>
  <si>
    <t>Jacquiline Lanutan Tagaca</t>
  </si>
  <si>
    <t>Riavida Macalolot Soriaga</t>
  </si>
  <si>
    <t>VANESSA JANE CEBALLOS LIM</t>
  </si>
  <si>
    <t>Jade Giangan Liaz</t>
  </si>
  <si>
    <t>LEAH ABORDO OBLIAN</t>
  </si>
  <si>
    <t>Cheenie D. Botones</t>
  </si>
  <si>
    <t>Erogelio Bana-ay</t>
  </si>
  <si>
    <t>Aldwin  Alcantara  Carandang</t>
  </si>
  <si>
    <t>Marilyn  Labrador Garcia</t>
  </si>
  <si>
    <t>Alfredo I Cayabyab</t>
  </si>
  <si>
    <t>Julian Orcino Castro</t>
  </si>
  <si>
    <t>Miezl Apat</t>
  </si>
  <si>
    <t>PIO CLAR TONERA</t>
  </si>
  <si>
    <t>DARIO RIOJA GACU</t>
  </si>
  <si>
    <t>VIRGILIA S. MAZO</t>
  </si>
  <si>
    <t>LEMUEL ESPINA AN</t>
  </si>
  <si>
    <t>EDMUNDO ORQUITA ALTIZO SR.</t>
  </si>
  <si>
    <t>Ma. Rita Fallorina Ongbit</t>
  </si>
  <si>
    <t>MIRAFLOR G. SABANDO</t>
  </si>
  <si>
    <t>Romeo L Tuddao</t>
  </si>
  <si>
    <t>Leo Tagalog Pardillo</t>
  </si>
  <si>
    <t>Margie A Calar</t>
  </si>
  <si>
    <t>Glenn Jr Lucilo Bernardino</t>
  </si>
  <si>
    <t>EVANGELICA PASTOR BALMADRID</t>
  </si>
  <si>
    <t>Christine Bernadette Jimenez Biteño</t>
  </si>
  <si>
    <t>John randy B Cuadra</t>
  </si>
  <si>
    <t>JOSHUA  TIZON</t>
  </si>
  <si>
    <t>Ofelia Cerdena Cabuenas</t>
  </si>
  <si>
    <t>Gavin B Cadiente</t>
  </si>
  <si>
    <t>GIGI FLORES CORONEL</t>
  </si>
  <si>
    <t>MARY ANN P MALE</t>
  </si>
  <si>
    <t>Jeffrey  T.  Calma</t>
  </si>
  <si>
    <t>Jose Marlowe Torrefranca Echem</t>
  </si>
  <si>
    <t>Reynante Lomboy Gungon</t>
  </si>
  <si>
    <t>Joan M. dela Cruz</t>
  </si>
  <si>
    <t>Cecille Angeline 09171477690 Lipardo</t>
  </si>
  <si>
    <t>Caren N. Songcuya</t>
  </si>
  <si>
    <t>HERBERT WILLIAM L. EMNAS</t>
  </si>
  <si>
    <t>Marife Vinluan Cruz</t>
  </si>
  <si>
    <t>Joan Carillo Adolfo</t>
  </si>
  <si>
    <t>Jose Mario C Viernes</t>
  </si>
  <si>
    <t>Rhea Valmadrid</t>
  </si>
  <si>
    <t>Jelen Grace Millarez Alberto</t>
  </si>
  <si>
    <t>CHRISTIE ANN GELVEZON ORTIZ</t>
  </si>
  <si>
    <t>Anna Liza Ramirez Quirolgico</t>
  </si>
  <si>
    <t>Lister Denila Tapales</t>
  </si>
  <si>
    <t>argie acedre magallanes</t>
  </si>
  <si>
    <t>Lourdes Pretencio Peñaflor</t>
  </si>
  <si>
    <t>Chris Galicia Delos Reyes</t>
  </si>
  <si>
    <t>Armina B. Abad</t>
  </si>
  <si>
    <t>Lolito B. Aboy</t>
  </si>
  <si>
    <t>ALLEN M FORTES</t>
  </si>
  <si>
    <t>DONNA COMPANIA DELOTINA</t>
  </si>
  <si>
    <t>Faye Bungag Maraggun</t>
  </si>
  <si>
    <t>AMPARO GARCIA REGALA</t>
  </si>
  <si>
    <t>JULIUS B. UNDAR</t>
  </si>
  <si>
    <t>Josephine Pangan Jamon</t>
  </si>
  <si>
    <t>Mary Grace P Estalilla</t>
  </si>
  <si>
    <t>Eden Rose V. Calo</t>
  </si>
  <si>
    <t>Juanito Sipada Pacaña</t>
  </si>
  <si>
    <t>Arnel M Ruz</t>
  </si>
  <si>
    <t>Emie Liza Fabella Ferrancol</t>
  </si>
  <si>
    <t>Erny Bullos Palmes</t>
  </si>
  <si>
    <t>Sunshine Rhina R Caunin</t>
  </si>
  <si>
    <t>Maria Cristina I. Canson</t>
  </si>
  <si>
    <t>Queenzel Dela Cruz Obregon</t>
  </si>
  <si>
    <t>EDUARDO P. GOLES</t>
  </si>
  <si>
    <t>Vivianne Desalisa Lasay</t>
  </si>
  <si>
    <t>CIRILO BAUI AZURIN</t>
  </si>
  <si>
    <t>Christian Macasaquit Colindres</t>
  </si>
  <si>
    <t>Danilo B. Solis</t>
  </si>
  <si>
    <t>Clarivel Ordonia Seguritan</t>
  </si>
  <si>
    <t>Crisanto Losande Rabina</t>
  </si>
  <si>
    <t>Jovie Mayne Legaspi-Valdez</t>
  </si>
  <si>
    <t>Pablo M Ramos Jr.</t>
  </si>
  <si>
    <t>Josie Ga-ang Yap</t>
  </si>
  <si>
    <t>Mae Marie E Hernandez</t>
  </si>
  <si>
    <t>HARON JOEFARIZ L DAWI</t>
  </si>
  <si>
    <t>Christine Manulat Malagapo</t>
  </si>
  <si>
    <t>Sonny T. Villabert</t>
  </si>
  <si>
    <t>Nehemia Pomeg-as</t>
  </si>
  <si>
    <t>Kristine Alonzo Gealan</t>
  </si>
  <si>
    <t>Vanessa Tornito Alcuizar</t>
  </si>
  <si>
    <t>Zenaida Sahagun</t>
  </si>
  <si>
    <t>Emeterio Pacia Gutierrez</t>
  </si>
  <si>
    <t>Guido G Loste</t>
  </si>
  <si>
    <t>PADILLA A. MACAWADIB</t>
  </si>
  <si>
    <t>Ruben Roxas Cauilan</t>
  </si>
  <si>
    <t>Reynaldo Non De Lumen</t>
  </si>
  <si>
    <t>Johnald Z. Salomon</t>
  </si>
  <si>
    <t>MARIA LIZA GENADA RULL</t>
  </si>
  <si>
    <t>Joseking Dalama Tampal</t>
  </si>
  <si>
    <t>Lauren Christine B. La'O</t>
  </si>
  <si>
    <t>EMA N RAFIL</t>
  </si>
  <si>
    <t>MARK ROY BELUAN TOMULAK</t>
  </si>
  <si>
    <t>Faustina T Guzman</t>
  </si>
  <si>
    <t>Andrea R Gaddi</t>
  </si>
  <si>
    <t>JEREMIAS RAÑOLA TUMAMAK</t>
  </si>
  <si>
    <t>GLENN PAULINO GADIA</t>
  </si>
  <si>
    <t>RUBEN K. LANZAR</t>
  </si>
  <si>
    <t>Jenny P. Sison</t>
  </si>
  <si>
    <t>Alfeo  Ayupan</t>
  </si>
  <si>
    <t>Khristine Aquino Balagtas</t>
  </si>
  <si>
    <t>JOSETTE Y. VILLAMOR</t>
  </si>
  <si>
    <t>Flora Mae Malacas Malacas</t>
  </si>
  <si>
    <t>Sharon Cunanan Lingad</t>
  </si>
  <si>
    <t>Christie Magdalene J Pedroza</t>
  </si>
  <si>
    <t>Cherry  Batoy  Torres</t>
  </si>
  <si>
    <t>Elmer V Foronda</t>
  </si>
  <si>
    <t>Marissa I Rivera</t>
  </si>
  <si>
    <t>ezekiel gacias tangaro</t>
  </si>
  <si>
    <t>Lea Bailo Looc</t>
  </si>
  <si>
    <t>EDITHA M. RAMOLETE</t>
  </si>
  <si>
    <t>Catalino Datuin Camello</t>
  </si>
  <si>
    <t>Modesto Buenavides Talon</t>
  </si>
  <si>
    <t>Bill V. Segui</t>
  </si>
  <si>
    <t>Consuelo Javier Cruz</t>
  </si>
  <si>
    <t>JEROME M. MARTINEZ</t>
  </si>
  <si>
    <t>Hanna Elisha I. Antonio</t>
  </si>
  <si>
    <t>MARIVIC V MAKILAN</t>
  </si>
  <si>
    <t>Grace Sumatra Orilla</t>
  </si>
  <si>
    <t>Enrico S Lazaro</t>
  </si>
  <si>
    <t>Jerona M. Silagan</t>
  </si>
  <si>
    <t>Francisco Escape Oliva, Jr.</t>
  </si>
  <si>
    <t>Joan DM Vendiola</t>
  </si>
  <si>
    <t>Linalyn Tolentino - Cueto</t>
  </si>
  <si>
    <t>Ralph Rhomar Morales Buenaventura</t>
  </si>
  <si>
    <t>Jose Tobias</t>
  </si>
  <si>
    <t>Joannarie V. Bantolo</t>
  </si>
  <si>
    <t>Ignacio Geno P. Eugenio</t>
  </si>
  <si>
    <t>Sheila Mae T.  Toyorada</t>
  </si>
  <si>
    <t>Ruby Anne M. Escandor</t>
  </si>
  <si>
    <t>Rogelio Loy Magdaug, Jr.</t>
  </si>
  <si>
    <t>Dianne Gungob Ibias</t>
  </si>
  <si>
    <t>Jan Michael Clifford Bugtong</t>
  </si>
  <si>
    <t>Mila Rodrin Creencia 2</t>
  </si>
  <si>
    <t>Maria Nenita Reyes Chiu</t>
  </si>
  <si>
    <t>MAR P. VIERNES</t>
  </si>
  <si>
    <t>ingrid castillon paquibot</t>
  </si>
  <si>
    <t>Rox E. Tarranza</t>
  </si>
  <si>
    <t>Michelle Bolo</t>
  </si>
  <si>
    <t>Ma. Luisa C Tenedero</t>
  </si>
  <si>
    <t>Allan C. Cauilan</t>
  </si>
  <si>
    <t>Moreno  Verano</t>
  </si>
  <si>
    <t>Ron Marr P. Evangelista</t>
  </si>
  <si>
    <t>Joel P. Solis</t>
  </si>
  <si>
    <t>Jurupin Piting Pungutan</t>
  </si>
  <si>
    <t>Farrah Jane M Falcutila</t>
  </si>
  <si>
    <t>Eugene Raro Luces</t>
  </si>
  <si>
    <t xml:space="preserve">JEFFERSON  THOMPSON RODRIGUEZ </t>
  </si>
  <si>
    <t>JULIUS EFREN CEPEDA CANAPI</t>
  </si>
  <si>
    <t>Lorenzo B Gahoy</t>
  </si>
  <si>
    <t>EDDIE CUSIPAG ARUGAY</t>
  </si>
  <si>
    <t>JOEMARIE G. JISON</t>
  </si>
  <si>
    <t>Maricar C Cristobal</t>
  </si>
  <si>
    <t>Leo F. Ferraris</t>
  </si>
  <si>
    <t>Jocelle Ann Javillo Mayor-Laraya</t>
  </si>
  <si>
    <t>Teresa G. Fines</t>
  </si>
  <si>
    <t>Joel G Macaraeg</t>
  </si>
  <si>
    <t>Roderick I. Mendoza</t>
  </si>
  <si>
    <t>Chari Rose Mozol Apit</t>
  </si>
  <si>
    <t>Timothy Garcia O</t>
  </si>
  <si>
    <t>Grace S Villaroman</t>
  </si>
  <si>
    <t>DAISY R. BABAAN</t>
  </si>
  <si>
    <t>Vincent Joseph D. Disu</t>
  </si>
  <si>
    <t>Efren Serono Tubongbanua</t>
  </si>
  <si>
    <t>Ma. Christina C. Pabicon</t>
  </si>
  <si>
    <t>Osias James, Jr. P Gravino</t>
  </si>
  <si>
    <t>GRACE OCZON SALIBIO</t>
  </si>
  <si>
    <t>JUVIE  CORDERO  MURAO</t>
  </si>
  <si>
    <t>Catherine Olmoguez Ureta</t>
  </si>
  <si>
    <t>Kelly Sajo</t>
  </si>
  <si>
    <t>DOMINGO D. DOYONGAN, JR.</t>
  </si>
  <si>
    <t>Danilo  Mira Omagtang</t>
  </si>
  <si>
    <t>Mary Noreen A Antonio</t>
  </si>
  <si>
    <t>Victor Y Romano</t>
  </si>
  <si>
    <t>Allan  Carpiso</t>
  </si>
  <si>
    <t>ERNESTO N. ARCO</t>
  </si>
  <si>
    <t>Estrella L. Ouano</t>
  </si>
  <si>
    <t>Allan Zonio Francisco</t>
  </si>
  <si>
    <t>Abundio T. Sanchez, Jr.</t>
  </si>
  <si>
    <t>JONALYN RABAL BACSAL</t>
  </si>
  <si>
    <t>Patricia Kaye Lorio Amate</t>
  </si>
  <si>
    <t>Leo Hernandez</t>
  </si>
  <si>
    <t>MA. THERESA REMOROFF BARROSO</t>
  </si>
  <si>
    <t>REYLLAND EBALLE RENDAL</t>
  </si>
  <si>
    <t>Donna Claire A Banez</t>
  </si>
  <si>
    <t>SIMEON A LAURONAL</t>
  </si>
  <si>
    <t>Ladislao  Gumboc  Flores</t>
  </si>
  <si>
    <t>AIZA PAUL CALIAO</t>
  </si>
  <si>
    <t>Roderick Vergara</t>
  </si>
  <si>
    <t>Ramon M De Leon</t>
  </si>
  <si>
    <t>JENNIFER MARQUEZ</t>
  </si>
  <si>
    <t>Shiela L. Lacbayo</t>
  </si>
  <si>
    <t>Benedict Jebunan Matawaran</t>
  </si>
  <si>
    <t>Elvie Villanueva Diaz</t>
  </si>
  <si>
    <t>RUSSEL T. TABISULA</t>
  </si>
  <si>
    <t>Fredie Ballesteros Ruiz</t>
  </si>
  <si>
    <t>MARTINA B. ROSALES</t>
  </si>
  <si>
    <t>Rosario Marina Mendoza de Castro</t>
  </si>
  <si>
    <t>Mark Joton Paguirigan Ramirez</t>
  </si>
  <si>
    <t>Carla Francesca M. Guinto</t>
  </si>
  <si>
    <t>Lester Mobreros Aringo</t>
  </si>
  <si>
    <t>ROSEMARIE B. MORDENO</t>
  </si>
  <si>
    <t>JENNEFER MESINA</t>
  </si>
  <si>
    <t>Nathaniel Miranda Dagsa Jr</t>
  </si>
  <si>
    <t>Vicky O. Abestros</t>
  </si>
  <si>
    <t>Ianna May Miralles</t>
  </si>
  <si>
    <t>Gilbert Sapio Dador</t>
  </si>
  <si>
    <t>Norilyn Fababe Calayag</t>
  </si>
  <si>
    <t>JANUS C COSEP</t>
  </si>
  <si>
    <t>Jerome Duenas Malapit</t>
  </si>
  <si>
    <t>Genicar Nieva Barotilla</t>
  </si>
  <si>
    <t>Janine S. Zarate</t>
  </si>
  <si>
    <t>Hector Barro Licayan</t>
  </si>
  <si>
    <t>Carmelita S. Ramos</t>
  </si>
  <si>
    <t>Ranjev M Garcia</t>
  </si>
  <si>
    <t>LODEVICO CODAL LUIS</t>
  </si>
  <si>
    <t>Sandra Caturan Dagani</t>
  </si>
  <si>
    <t>Renz Michael Pabrua Salaguban</t>
  </si>
  <si>
    <t xml:space="preserve">Editha  Malabosa </t>
  </si>
  <si>
    <t>RICHELIZA JEAN C. CORDERO</t>
  </si>
  <si>
    <t>Rosanna Tan Andal</t>
  </si>
  <si>
    <t>Liberty C Angeles</t>
  </si>
  <si>
    <t>Thelma Ardon Escanillas</t>
  </si>
  <si>
    <t>Janelle Dela Cruz</t>
  </si>
  <si>
    <t>ZOSIMO AQUINO LIBERATO</t>
  </si>
  <si>
    <t>Ma. Loribel Gonzales Celda</t>
  </si>
  <si>
    <t>Vivienne P. Belizario</t>
  </si>
  <si>
    <t>Presentacion "Glenda" Medenilla Gajes</t>
  </si>
  <si>
    <t>Evelyn Grace A Aperocho</t>
  </si>
  <si>
    <t>BENEDICK C BACULI</t>
  </si>
  <si>
    <t>Karen Wright Ramirez</t>
  </si>
  <si>
    <t>Lubelle B. Lumabas</t>
  </si>
  <si>
    <t>MARY GRACE BUCASAS OPON</t>
  </si>
  <si>
    <t>Govanne Marie Agudo</t>
  </si>
  <si>
    <t>Ariel M Galita</t>
  </si>
  <si>
    <t>Angelita H Reazon</t>
  </si>
  <si>
    <t>Atty. Anna Rosario P. Reyes</t>
  </si>
  <si>
    <t>MARIA ELINOR F. HEMEDES</t>
  </si>
  <si>
    <t>Jannette Rojas Raganit</t>
  </si>
  <si>
    <t>Niño G. Mascareñas</t>
  </si>
  <si>
    <t>Anna Michelle Icasiano Africa</t>
  </si>
  <si>
    <t>ABNER VILLAFLOR DE LA CRUZ</t>
  </si>
  <si>
    <t>ELEONOR B PALACIO</t>
  </si>
  <si>
    <t>Emilson U. Jimenez</t>
  </si>
  <si>
    <t>Ana De Guzman Asprec</t>
  </si>
  <si>
    <t>Erwin Domingo Salvador</t>
  </si>
  <si>
    <t>DARA AUREA HENRIETTA A. VILLALOBOS</t>
  </si>
  <si>
    <t>CARLO SARENAS ESCALONA</t>
  </si>
  <si>
    <t>Oscar Jr. Martin Reyes</t>
  </si>
  <si>
    <t>Mercedita A. Flores</t>
  </si>
  <si>
    <t>ATHESA LASTIMOSA BAS</t>
  </si>
  <si>
    <t>ROLANDO A SAMSON</t>
  </si>
  <si>
    <t>Krisbert S. Malanay</t>
  </si>
  <si>
    <t>Kristelle Balboa Dimarucot</t>
  </si>
  <si>
    <t>VICTORIO FAJARDO CORPORAL</t>
  </si>
  <si>
    <t>Ray-Ann Sorilla</t>
  </si>
  <si>
    <t>Noel  Alcabaza</t>
  </si>
  <si>
    <t>Marlon Delovino Cayaban</t>
  </si>
  <si>
    <t>Rowena R. Roseos</t>
  </si>
  <si>
    <t>Henry Turingan Perez Jr.</t>
  </si>
  <si>
    <t>Memilanie Malabunga Aguilar</t>
  </si>
  <si>
    <t>LUZVIMINDA L. ENCISO</t>
  </si>
  <si>
    <t>JESUS JONJIE ADELANTAR VENTURANZA</t>
  </si>
  <si>
    <t>Sostenes M. Palero</t>
  </si>
  <si>
    <t>Catherine Cañedo Lim</t>
  </si>
  <si>
    <t>Roselle Manrique Carlos</t>
  </si>
  <si>
    <t>Isaac  C. H Hipolito</t>
  </si>
  <si>
    <t>Ma. Christina Robles Jancilan</t>
  </si>
  <si>
    <t>JENNIFER  D. SIMBAJON</t>
  </si>
  <si>
    <t>Rodolfo Felipe Jopio Jr.</t>
  </si>
  <si>
    <t>Ian Lemuel Bandoy Felix</t>
  </si>
  <si>
    <t xml:space="preserve">Emerito L.  Robledo </t>
  </si>
  <si>
    <t>Jerry  C.  Rodriguez</t>
  </si>
  <si>
    <t>Aldren Galido Madelozo</t>
  </si>
  <si>
    <t>Charmaine  R.  Luistro</t>
  </si>
  <si>
    <t>Analiza Camsa Lomedeg</t>
  </si>
  <si>
    <t>Active</t>
  </si>
  <si>
    <t>Order</t>
  </si>
  <si>
    <t>10/08/2020</t>
  </si>
  <si>
    <t>09/08/2020</t>
  </si>
  <si>
    <t>08/08/2020</t>
  </si>
  <si>
    <t>11/08/2020</t>
  </si>
  <si>
    <t>07/08/2020</t>
  </si>
  <si>
    <t>06/08/2020</t>
  </si>
  <si>
    <t>05/08/2020</t>
  </si>
  <si>
    <t>04/08/2020</t>
  </si>
  <si>
    <t>03/08/2020</t>
  </si>
  <si>
    <t>02/08/2020</t>
  </si>
  <si>
    <t>01/08/2020</t>
  </si>
  <si>
    <t>31/07/2020</t>
  </si>
  <si>
    <t>30/07/2020</t>
  </si>
  <si>
    <t>29/07/2020</t>
  </si>
  <si>
    <t>28/07/2020</t>
  </si>
  <si>
    <t>27/07/2020</t>
  </si>
  <si>
    <t>26/07/2020</t>
  </si>
  <si>
    <t>25/07/2020</t>
  </si>
  <si>
    <t>24/07/2020</t>
  </si>
  <si>
    <t>23/07/2020</t>
  </si>
  <si>
    <t>22/07/2020</t>
  </si>
  <si>
    <t>21/07/2020</t>
  </si>
  <si>
    <t>20/07/2020</t>
  </si>
  <si>
    <t>19/07/2020</t>
  </si>
  <si>
    <t>18/07/2020</t>
  </si>
  <si>
    <t>17/07/2020</t>
  </si>
  <si>
    <t>16/07/2020</t>
  </si>
  <si>
    <t>15/07/2020</t>
  </si>
  <si>
    <t>14/07/2020</t>
  </si>
  <si>
    <t>11/07/2020</t>
  </si>
  <si>
    <t>13/07/2020</t>
  </si>
  <si>
    <t>09/07/2020</t>
  </si>
  <si>
    <t>10/07/2020</t>
  </si>
  <si>
    <t>08/07/2020</t>
  </si>
  <si>
    <t>07/07/2020</t>
  </si>
  <si>
    <t>03/07/2020</t>
  </si>
  <si>
    <t>04/07/2020</t>
  </si>
  <si>
    <t>06/07/2020</t>
  </si>
  <si>
    <t>01/07/2020</t>
  </si>
  <si>
    <t>02/07/2020</t>
  </si>
  <si>
    <t>30/06/2020</t>
  </si>
  <si>
    <t>26/06/2020</t>
  </si>
  <si>
    <t>27/06/2020</t>
  </si>
  <si>
    <t>28/06/2020</t>
  </si>
  <si>
    <t>29/06/2020</t>
  </si>
  <si>
    <t>24/06/2020</t>
  </si>
  <si>
    <t>16/06/2020</t>
  </si>
  <si>
    <t>18/06/2020</t>
  </si>
  <si>
    <t>23/06/2020</t>
  </si>
  <si>
    <t>19/06/2020</t>
  </si>
  <si>
    <t>20/06/2020</t>
  </si>
  <si>
    <t>21/06/2020</t>
  </si>
  <si>
    <t>22/06/2020</t>
  </si>
  <si>
    <t>03/06/2020</t>
  </si>
  <si>
    <t>06/06/2020</t>
  </si>
  <si>
    <t>04/06/2020</t>
  </si>
  <si>
    <t>10/06/2020</t>
  </si>
  <si>
    <t>08/06/2020</t>
  </si>
  <si>
    <t>22/05/2020</t>
  </si>
  <si>
    <t>28/05/2020</t>
  </si>
  <si>
    <t>11/06/2020</t>
  </si>
  <si>
    <t>29/05/2020</t>
  </si>
  <si>
    <t>30/05/2020</t>
  </si>
  <si>
    <t>17/04/2020</t>
  </si>
  <si>
    <t>28/04/2020</t>
  </si>
  <si>
    <t>27/04/2020</t>
  </si>
  <si>
    <t>22/04/2020</t>
  </si>
  <si>
    <t>07/05/2020</t>
  </si>
  <si>
    <t>30/04/2020</t>
  </si>
  <si>
    <t>13/03/2020</t>
  </si>
  <si>
    <t>14/03/2020</t>
  </si>
  <si>
    <t>17/03/2020</t>
  </si>
  <si>
    <t>16/03/2020</t>
  </si>
  <si>
    <t>19/03/2020</t>
  </si>
  <si>
    <t>06/04/2020</t>
  </si>
  <si>
    <t>01/04/2020</t>
  </si>
  <si>
    <t>14/04/2020</t>
  </si>
  <si>
    <t>14/05/2020</t>
  </si>
  <si>
    <t>20/03/2020</t>
  </si>
  <si>
    <t>21/05/2020</t>
  </si>
  <si>
    <t>02/06/2020</t>
  </si>
  <si>
    <t>12/06/2020</t>
  </si>
  <si>
    <t>25/06/2020</t>
  </si>
  <si>
    <t>05/03/2020</t>
  </si>
  <si>
    <t>06/03/2020</t>
  </si>
  <si>
    <t>10/03/2020</t>
  </si>
  <si>
    <t>11/03/2020</t>
  </si>
  <si>
    <t>12/03/2020</t>
  </si>
  <si>
    <t>21/02/2020</t>
  </si>
  <si>
    <t>26/02/2020</t>
  </si>
  <si>
    <t>27/02/2020</t>
  </si>
  <si>
    <t>28/02/2020</t>
  </si>
  <si>
    <t>03/03/2020</t>
  </si>
  <si>
    <t>19/11/2019</t>
  </si>
  <si>
    <t>01/01/2020</t>
  </si>
  <si>
    <t>29/01/2020</t>
  </si>
  <si>
    <t>01/02/2020</t>
  </si>
  <si>
    <t>07/02/2020</t>
  </si>
  <si>
    <t>12/02/2020</t>
  </si>
  <si>
    <t>20/12/2019</t>
  </si>
  <si>
    <t>06/02/2020</t>
  </si>
  <si>
    <t>14/02/2020</t>
  </si>
  <si>
    <t>15/02/2020</t>
  </si>
  <si>
    <t>04/03/2020</t>
  </si>
  <si>
    <t>20/02/2020</t>
  </si>
  <si>
    <t>10/08/2020 12:00 AM</t>
  </si>
  <si>
    <t>10/08/2020 1:21 PM</t>
  </si>
  <si>
    <t>10/08/2020 2:13 PM</t>
  </si>
  <si>
    <t>10/08/2020 12:40 PM</t>
  </si>
  <si>
    <t>10/08/2020 1:53 PM</t>
  </si>
  <si>
    <t>10/08/2020 3:38 PM</t>
  </si>
  <si>
    <t>10/08/2020 12:38 PM</t>
  </si>
  <si>
    <t>10/08/2020 3:47 PM</t>
  </si>
  <si>
    <t>10/08/2020 3:46 PM</t>
  </si>
  <si>
    <t>09/08/2020 12:00 AM</t>
  </si>
  <si>
    <t>08/08/2020 12:00 AM</t>
  </si>
  <si>
    <t>11/08/2020 12:00 AM</t>
  </si>
  <si>
    <t>10/08/2020 12:39 PM</t>
  </si>
  <si>
    <t>10/08/2020 11:27 AM</t>
  </si>
  <si>
    <t>10/08/2020 11:23 AM</t>
  </si>
  <si>
    <t>10/08/2020 2:43 PM</t>
  </si>
  <si>
    <t>10/08/2020 3:12 PM</t>
  </si>
  <si>
    <t>08/08/2020 1:36 AM</t>
  </si>
  <si>
    <t>07/08/2020 12:00 AM</t>
  </si>
  <si>
    <t>07/08/2020 4:34 PM</t>
  </si>
  <si>
    <t>10/08/2020 8:47 AM</t>
  </si>
  <si>
    <t>07/08/2020 8:58 AM</t>
  </si>
  <si>
    <t>10/08/2020 3:48 PM</t>
  </si>
  <si>
    <t>07/08/2020 10:38 AM</t>
  </si>
  <si>
    <t>10/08/2020 8:36 AM</t>
  </si>
  <si>
    <t>07/08/2020 4:42 PM</t>
  </si>
  <si>
    <t>07/08/2020 10:11 AM</t>
  </si>
  <si>
    <t>07/08/2020 5:06 PM</t>
  </si>
  <si>
    <t>07/08/2020 5:11 PM</t>
  </si>
  <si>
    <t>07/08/2020 5:08 PM</t>
  </si>
  <si>
    <t>07/08/2020 5:07 PM</t>
  </si>
  <si>
    <t>07/08/2020 12:24 PM</t>
  </si>
  <si>
    <t>07/08/2020 4:04 PM</t>
  </si>
  <si>
    <t>10/08/2020 1:58 PM</t>
  </si>
  <si>
    <t>06/08/2020 12:00 AM</t>
  </si>
  <si>
    <t>07/08/2020 1:38 PM</t>
  </si>
  <si>
    <t>07/08/2020 3:01 PM</t>
  </si>
  <si>
    <t>06/08/2020 11:26 AM</t>
  </si>
  <si>
    <t>10/08/2020 1:40 PM</t>
  </si>
  <si>
    <t>06/08/2020 1:22 PM</t>
  </si>
  <si>
    <t>10/08/2020 1:41 PM</t>
  </si>
  <si>
    <t>10/08/2020 3:32 PM</t>
  </si>
  <si>
    <t>10/08/2020 3:33 PM</t>
  </si>
  <si>
    <t>10/08/2020 3:34 PM</t>
  </si>
  <si>
    <t>09/08/2020 10:20 PM</t>
  </si>
  <si>
    <t>09/08/2020 10:19 PM</t>
  </si>
  <si>
    <t>06/08/2020 4:58 PM</t>
  </si>
  <si>
    <t>06/08/2020 12:04 PM</t>
  </si>
  <si>
    <t>07/08/2020 2:35 PM</t>
  </si>
  <si>
    <t>10/08/2020 3:43 PM</t>
  </si>
  <si>
    <t>09/08/2020 10:21 PM</t>
  </si>
  <si>
    <t>07/08/2020 3:26 PM</t>
  </si>
  <si>
    <t>07/08/2020 5:12 PM</t>
  </si>
  <si>
    <t>10/08/2020 2:38 PM</t>
  </si>
  <si>
    <t>07/08/2020 5:13 PM</t>
  </si>
  <si>
    <t>06/08/2020 9:14 AM</t>
  </si>
  <si>
    <t>06/08/2020 1:14 PM</t>
  </si>
  <si>
    <t>07/08/2020 10:54 AM</t>
  </si>
  <si>
    <t>10/08/2020 6:22 PM</t>
  </si>
  <si>
    <t>10/08/2020 12:13 PM</t>
  </si>
  <si>
    <t>10/08/2020 12:17 PM</t>
  </si>
  <si>
    <t>06/08/2020 2:38 PM</t>
  </si>
  <si>
    <t>10/08/2020 12:19 PM</t>
  </si>
  <si>
    <t>10/08/2020 1:33 PM</t>
  </si>
  <si>
    <t>10/08/2020 3:24 PM</t>
  </si>
  <si>
    <t>06/08/2020 8:26 AM</t>
  </si>
  <si>
    <t>05/08/2020 12:00 AM</t>
  </si>
  <si>
    <t>05/08/2020 7:39 PM</t>
  </si>
  <si>
    <t>05/08/2020 7:37 PM</t>
  </si>
  <si>
    <t>05/08/2020 7:42 PM</t>
  </si>
  <si>
    <t>05/08/2020 7:47 PM</t>
  </si>
  <si>
    <t>10/08/2020 3:04 PM</t>
  </si>
  <si>
    <t>06/08/2020 8:56 AM</t>
  </si>
  <si>
    <t>10/08/2020 3:00 PM</t>
  </si>
  <si>
    <t>10/08/2020 4:11 PM</t>
  </si>
  <si>
    <t>05/08/2020 10:15 AM</t>
  </si>
  <si>
    <t>06/08/2020 6:44 PM</t>
  </si>
  <si>
    <t>07/08/2020 10:30 AM</t>
  </si>
  <si>
    <t>05/08/2020 1:25 PM</t>
  </si>
  <si>
    <t>06/08/2020 6:47 PM</t>
  </si>
  <si>
    <t>10/08/2020 1:37 PM</t>
  </si>
  <si>
    <t>10/08/2020 4:45 PM</t>
  </si>
  <si>
    <t>05/08/2020 4:38 PM</t>
  </si>
  <si>
    <t>05/08/2020 9:30 AM</t>
  </si>
  <si>
    <t>07/08/2020 3:53 PM</t>
  </si>
  <si>
    <t>05/08/2020 4:46 PM</t>
  </si>
  <si>
    <t>07/08/2020 11:06 AM</t>
  </si>
  <si>
    <t>07/08/2020 1:33 PM</t>
  </si>
  <si>
    <t>10/08/2020 4:48 PM</t>
  </si>
  <si>
    <t>05/08/2020 7:49 PM</t>
  </si>
  <si>
    <t>05/08/2020 7:54 PM</t>
  </si>
  <si>
    <t>10/08/2020 4:28 PM</t>
  </si>
  <si>
    <t>07/08/2020 9:53 AM</t>
  </si>
  <si>
    <t>07/08/2020 9:29 AM</t>
  </si>
  <si>
    <t>10/08/2020 5:15 PM</t>
  </si>
  <si>
    <t>07/08/2020 10:39 PM</t>
  </si>
  <si>
    <t>07/08/2020 10:36 PM</t>
  </si>
  <si>
    <t>05/08/2020 2:44 PM</t>
  </si>
  <si>
    <t>05/08/2020 8:04 PM</t>
  </si>
  <si>
    <t>10/08/2020 6:44 PM</t>
  </si>
  <si>
    <t>05/08/2020 10:02 PM</t>
  </si>
  <si>
    <t>07/08/2020 3:20 PM</t>
  </si>
  <si>
    <t>04/08/2020 12:00 AM</t>
  </si>
  <si>
    <t>10/08/2020 8:56 AM</t>
  </si>
  <si>
    <t>10/08/2020 8:38 AM</t>
  </si>
  <si>
    <t>10/08/2020 8:40 AM</t>
  </si>
  <si>
    <t>10/08/2020 8:34 AM</t>
  </si>
  <si>
    <t>04/08/2020 2:52 PM</t>
  </si>
  <si>
    <t>10/08/2020 7:22 PM</t>
  </si>
  <si>
    <t>05/08/2020 7:56 PM</t>
  </si>
  <si>
    <t>04/08/2020 2:56 PM</t>
  </si>
  <si>
    <t>10/08/2020 7:25 PM</t>
  </si>
  <si>
    <t>10/08/2020 3:14 PM</t>
  </si>
  <si>
    <t>04/08/2020 2:59 PM</t>
  </si>
  <si>
    <t>10/08/2020 3:23 PM</t>
  </si>
  <si>
    <t>10/08/2020 3:30 PM</t>
  </si>
  <si>
    <t>10/08/2020 3:31 PM</t>
  </si>
  <si>
    <t>10/08/2020 4:40 PM</t>
  </si>
  <si>
    <t>07/08/2020 1:13 PM</t>
  </si>
  <si>
    <t>05/08/2020 11:33 AM</t>
  </si>
  <si>
    <t>06/08/2020 4:20 PM</t>
  </si>
  <si>
    <t>04/08/2020 3:46 PM</t>
  </si>
  <si>
    <t>04/08/2020 10:49 AM</t>
  </si>
  <si>
    <t>04/08/2020 3:44 PM</t>
  </si>
  <si>
    <t>06/08/2020 9:06 AM</t>
  </si>
  <si>
    <t>04/08/2020 10:51 AM</t>
  </si>
  <si>
    <t>04/08/2020 9:01 AM</t>
  </si>
  <si>
    <t>04/08/2020 10:52 AM</t>
  </si>
  <si>
    <t>06/08/2020 11:16 AM</t>
  </si>
  <si>
    <t>05/08/2020 3:59 PM</t>
  </si>
  <si>
    <t>10/08/2020 2:47 PM</t>
  </si>
  <si>
    <t>04/08/2020 9:54 AM</t>
  </si>
  <si>
    <t>06/08/2020 4:26 PM</t>
  </si>
  <si>
    <t>04/08/2020 8:54 AM</t>
  </si>
  <si>
    <t>10/08/2020 3:49 PM</t>
  </si>
  <si>
    <t>04/08/2020 8:52 AM</t>
  </si>
  <si>
    <t>04/08/2020 8:56 AM</t>
  </si>
  <si>
    <t>10/08/2020 5:06 PM</t>
  </si>
  <si>
    <t>10/08/2020 2:51 PM</t>
  </si>
  <si>
    <t>10/08/2020 5:07 PM</t>
  </si>
  <si>
    <t>10/08/2020 7:33 PM</t>
  </si>
  <si>
    <t>10/08/2020 7:39 PM</t>
  </si>
  <si>
    <t>04/08/2020 2:23 PM</t>
  </si>
  <si>
    <t>10/08/2020 7:48 PM</t>
  </si>
  <si>
    <t>05/08/2020 2:00 PM</t>
  </si>
  <si>
    <t>10/08/2020 7:45 PM</t>
  </si>
  <si>
    <t>03/08/2020 12:00 AM</t>
  </si>
  <si>
    <t>05/08/2020 8:45 AM</t>
  </si>
  <si>
    <t>09/08/2020 9:59 PM</t>
  </si>
  <si>
    <t>09/08/2020 9:57 PM</t>
  </si>
  <si>
    <t>10/08/2020 9:44 PM</t>
  </si>
  <si>
    <t>04/08/2020 2:29 PM</t>
  </si>
  <si>
    <t>03/08/2020 9:07 AM</t>
  </si>
  <si>
    <t>09/08/2020 10:03 PM</t>
  </si>
  <si>
    <t>09/08/2020 10:00 PM</t>
  </si>
  <si>
    <t>09/08/2020 10:05 PM</t>
  </si>
  <si>
    <t>09/08/2020 10:02 PM</t>
  </si>
  <si>
    <t>09/08/2020 10:01 PM</t>
  </si>
  <si>
    <t>09/08/2020 10:04 PM</t>
  </si>
  <si>
    <t>10/08/2020 7:43 PM</t>
  </si>
  <si>
    <t>03/08/2020 1:11 PM</t>
  </si>
  <si>
    <t>09/08/2020 12:54 PM</t>
  </si>
  <si>
    <t>09/08/2020 12:56 PM</t>
  </si>
  <si>
    <t>06/08/2020 6:29 PM</t>
  </si>
  <si>
    <t>06/08/2020 11:07 AM</t>
  </si>
  <si>
    <t>09/08/2020 10:31 PM</t>
  </si>
  <si>
    <t>09/08/2020 10:27 PM</t>
  </si>
  <si>
    <t>09/08/2020 10:24 PM</t>
  </si>
  <si>
    <t>09/08/2020 10:18 PM</t>
  </si>
  <si>
    <t>03/08/2020 1:23 PM</t>
  </si>
  <si>
    <t>02/08/2020 12:00 AM</t>
  </si>
  <si>
    <t>01/08/2020 12:00 AM</t>
  </si>
  <si>
    <t>03/08/2020 2:51 PM</t>
  </si>
  <si>
    <t>04/08/2020 1:39 PM</t>
  </si>
  <si>
    <t>07/08/2020 2:13 PM</t>
  </si>
  <si>
    <t>31/07/2020 12:00 AM</t>
  </si>
  <si>
    <t>05/08/2020 12:15 PM</t>
  </si>
  <si>
    <t>04/08/2020 6:29 PM</t>
  </si>
  <si>
    <t>05/08/2020 12:14 PM</t>
  </si>
  <si>
    <t>04/08/2020 8:58 PM</t>
  </si>
  <si>
    <t>07/08/2020 2:15 PM</t>
  </si>
  <si>
    <t>03/08/2020 10:42 AM</t>
  </si>
  <si>
    <t>06/08/2020 10:35 AM</t>
  </si>
  <si>
    <t>04/08/2020 12:44 PM</t>
  </si>
  <si>
    <t>03/08/2020 5:17 PM</t>
  </si>
  <si>
    <t>07/08/2020 1:56 PM</t>
  </si>
  <si>
    <t>07/08/2020 2:07 PM</t>
  </si>
  <si>
    <t>06/08/2020 10:38 AM</t>
  </si>
  <si>
    <t>04/08/2020 3:50 PM</t>
  </si>
  <si>
    <t>10/08/2020 7:30 PM</t>
  </si>
  <si>
    <t>10/08/2020 7:28 PM</t>
  </si>
  <si>
    <t>07/08/2020 8:07 AM</t>
  </si>
  <si>
    <t>05/08/2020 3:30 PM</t>
  </si>
  <si>
    <t>04/08/2020 5:01 PM</t>
  </si>
  <si>
    <t>07/08/2020 10:10 AM</t>
  </si>
  <si>
    <t>10/08/2020 6:57 PM</t>
  </si>
  <si>
    <t>10/08/2020 9:58 AM</t>
  </si>
  <si>
    <t>31/07/2020 9:12 AM</t>
  </si>
  <si>
    <t>04/08/2020 1:48 PM</t>
  </si>
  <si>
    <t>03/08/2020 9:31 PM</t>
  </si>
  <si>
    <t>04/08/2020 1:49 PM</t>
  </si>
  <si>
    <t>10/08/2020 9:53 AM</t>
  </si>
  <si>
    <t>04/08/2020 2:48 PM</t>
  </si>
  <si>
    <t>10/08/2020 10:32 AM</t>
  </si>
  <si>
    <t>04/08/2020 8:28 AM</t>
  </si>
  <si>
    <t>04/08/2020 8:19 AM</t>
  </si>
  <si>
    <t>04/08/2020 8:04 AM</t>
  </si>
  <si>
    <t>10/08/2020 10:48 AM</t>
  </si>
  <si>
    <t>10/08/2020 3:35 PM</t>
  </si>
  <si>
    <t>07/08/2020 5:00 PM</t>
  </si>
  <si>
    <t>06/08/2020 2:52 PM</t>
  </si>
  <si>
    <t>06/08/2020 2:41 PM</t>
  </si>
  <si>
    <t>04/08/2020 8:37 AM</t>
  </si>
  <si>
    <t>05/08/2020 5:15 PM</t>
  </si>
  <si>
    <t>04/08/2020 10:11 AM</t>
  </si>
  <si>
    <t>04/08/2020 9:58 AM</t>
  </si>
  <si>
    <t>10/08/2020 2:46 PM</t>
  </si>
  <si>
    <t>03/08/2020 10:19 AM</t>
  </si>
  <si>
    <t>07/08/2020 5:25 PM</t>
  </si>
  <si>
    <t>06/08/2020 6:16 PM</t>
  </si>
  <si>
    <t>10/08/2020 3:07 PM</t>
  </si>
  <si>
    <t>10/08/2020 4:08 PM</t>
  </si>
  <si>
    <t>10/08/2020 4:23 PM</t>
  </si>
  <si>
    <t>05/08/2020 11:37 AM</t>
  </si>
  <si>
    <t>10/08/2020 4:17 PM</t>
  </si>
  <si>
    <t>06/08/2020 7:33 PM</t>
  </si>
  <si>
    <t>10/08/2020 3:17 PM</t>
  </si>
  <si>
    <t>10/08/2020 3:22 PM</t>
  </si>
  <si>
    <t>04/08/2020 8:53 AM</t>
  </si>
  <si>
    <t>04/08/2020 8:45 AM</t>
  </si>
  <si>
    <t>10/08/2020 3:28 PM</t>
  </si>
  <si>
    <t>04/08/2020 10:38 AM</t>
  </si>
  <si>
    <t>10/08/2020 3:27 PM</t>
  </si>
  <si>
    <t>04/08/2020 10:24 AM</t>
  </si>
  <si>
    <t>04/08/2020 10:32 AM</t>
  </si>
  <si>
    <t>10/08/2020 3:26 PM</t>
  </si>
  <si>
    <t>03/08/2020 10:22 AM</t>
  </si>
  <si>
    <t>10/08/2020 3:29 PM</t>
  </si>
  <si>
    <t>04/08/2020 11:02 AM</t>
  </si>
  <si>
    <t>03/08/2020 10:20 AM</t>
  </si>
  <si>
    <t>04/08/2020 10:43 AM</t>
  </si>
  <si>
    <t>04/08/2020 8:48 PM</t>
  </si>
  <si>
    <t>07/08/2020 11:37 AM</t>
  </si>
  <si>
    <t>07/08/2020 2:24 PM</t>
  </si>
  <si>
    <t>03/08/2020 4:42 PM</t>
  </si>
  <si>
    <t>03/08/2020 4:38 PM</t>
  </si>
  <si>
    <t>05/08/2020 10:54 AM</t>
  </si>
  <si>
    <t>10/08/2020 2:49 PM</t>
  </si>
  <si>
    <t>08/08/2020 5:16 PM</t>
  </si>
  <si>
    <t>04/08/2020 10:21 PM</t>
  </si>
  <si>
    <t>05/08/2020 4:41 PM</t>
  </si>
  <si>
    <t>10/08/2020 12:02 PM</t>
  </si>
  <si>
    <t>31/07/2020 3:16 PM</t>
  </si>
  <si>
    <t>03/08/2020 6:14 PM</t>
  </si>
  <si>
    <t>10/08/2020 2:56 PM</t>
  </si>
  <si>
    <t>06/08/2020 5:03 PM</t>
  </si>
  <si>
    <t>03/08/2020 5:59 PM</t>
  </si>
  <si>
    <t>03/08/2020 6:18 PM</t>
  </si>
  <si>
    <t>07/08/2020 8:29 AM</t>
  </si>
  <si>
    <t>10/08/2020 10:59 PM</t>
  </si>
  <si>
    <t>07/08/2020 3:27 PM</t>
  </si>
  <si>
    <t>10/08/2020 1:51 PM</t>
  </si>
  <si>
    <t>30/07/2020 12:00 AM</t>
  </si>
  <si>
    <t>10/08/2020 2:05 PM</t>
  </si>
  <si>
    <t>05/08/2020 9:34 AM</t>
  </si>
  <si>
    <t>07/08/2020 2:50 PM</t>
  </si>
  <si>
    <t>07/08/2020 2:53 PM</t>
  </si>
  <si>
    <t>10/08/2020 11:29 AM</t>
  </si>
  <si>
    <t>10/08/2020 3:13 PM</t>
  </si>
  <si>
    <t>07/08/2020 8:33 AM</t>
  </si>
  <si>
    <t>03/08/2020 9:43 AM</t>
  </si>
  <si>
    <t>07/08/2020 9:04 AM</t>
  </si>
  <si>
    <t>10/08/2020 1:10 PM</t>
  </si>
  <si>
    <t>10/08/2020 10:21 AM</t>
  </si>
  <si>
    <t>07/08/2020 1:57 PM</t>
  </si>
  <si>
    <t>10/08/2020 10:18 AM</t>
  </si>
  <si>
    <t>30/07/2020 9:50 AM</t>
  </si>
  <si>
    <t>07/08/2020 9:37 PM</t>
  </si>
  <si>
    <t>10/08/2020 5:31 PM</t>
  </si>
  <si>
    <t>10/08/2020 10:28 AM</t>
  </si>
  <si>
    <t>10/08/2020 10:27 AM</t>
  </si>
  <si>
    <t>10/08/2020 10:29 AM</t>
  </si>
  <si>
    <t>04/08/2020 9:52 AM</t>
  </si>
  <si>
    <t>07/08/2020 2:12 PM</t>
  </si>
  <si>
    <t>10/08/2020 10:23 AM</t>
  </si>
  <si>
    <t>03/08/2020 9:24 AM</t>
  </si>
  <si>
    <t>10/08/2020 5:01 PM</t>
  </si>
  <si>
    <t>10/08/2020 5:00 PM</t>
  </si>
  <si>
    <t>03/08/2020 9:48 AM</t>
  </si>
  <si>
    <t>10/08/2020 4:59 PM</t>
  </si>
  <si>
    <t>08/08/2020 2:59 PM</t>
  </si>
  <si>
    <t>03/08/2020 10:02 AM</t>
  </si>
  <si>
    <t>07/08/2020 4:40 PM</t>
  </si>
  <si>
    <t>10/08/2020 10:38 AM</t>
  </si>
  <si>
    <t>10/08/2020 10:40 AM</t>
  </si>
  <si>
    <t>10/08/2020 4:10 PM</t>
  </si>
  <si>
    <t>10/08/2020 4:09 PM</t>
  </si>
  <si>
    <t>04/08/2020 3:48 PM</t>
  </si>
  <si>
    <t>10/08/2020 4:06 PM</t>
  </si>
  <si>
    <t>06/08/2020 1:58 PM</t>
  </si>
  <si>
    <t>08/08/2020 1:03 PM</t>
  </si>
  <si>
    <t>06/08/2020 9:45 AM</t>
  </si>
  <si>
    <t>07/08/2020 4:20 PM</t>
  </si>
  <si>
    <t>07/08/2020 3:13 PM</t>
  </si>
  <si>
    <t>06/08/2020 2:31 PM</t>
  </si>
  <si>
    <t>07/08/2020 1:48 PM</t>
  </si>
  <si>
    <t>04/08/2020 11:49 AM</t>
  </si>
  <si>
    <t>06/08/2020 3:48 PM</t>
  </si>
  <si>
    <t>07/08/2020 1:50 PM</t>
  </si>
  <si>
    <t>10/08/2020 5:09 PM</t>
  </si>
  <si>
    <t>30/07/2020 12:58 PM</t>
  </si>
  <si>
    <t>07/08/2020 4:25 PM</t>
  </si>
  <si>
    <t>07/08/2020 1:20 PM</t>
  </si>
  <si>
    <t>07/08/2020 6:27 PM</t>
  </si>
  <si>
    <t>07/08/2020 3:31 PM</t>
  </si>
  <si>
    <t>07/08/2020 6:30 PM</t>
  </si>
  <si>
    <t>07/08/2020 3:28 PM</t>
  </si>
  <si>
    <t>30/07/2020 6:20 PM</t>
  </si>
  <si>
    <t>07/08/2020 12:29 PM</t>
  </si>
  <si>
    <t>03/08/2020 4:53 PM</t>
  </si>
  <si>
    <t>10/08/2020 3:21 PM</t>
  </si>
  <si>
    <t>30/07/2020 9:51 AM</t>
  </si>
  <si>
    <t>10/08/2020 4:33 PM</t>
  </si>
  <si>
    <t>10/08/2020 11:31 PM</t>
  </si>
  <si>
    <t>30/07/2020 11:43 AM</t>
  </si>
  <si>
    <t>30/07/2020 11:53 AM</t>
  </si>
  <si>
    <t>30/07/2020 11:44 AM</t>
  </si>
  <si>
    <t>06/08/2020 4:49 PM</t>
  </si>
  <si>
    <t>07/08/2020 2:22 PM</t>
  </si>
  <si>
    <t>29/07/2020 12:00 AM</t>
  </si>
  <si>
    <t>04/08/2020 9:44 PM</t>
  </si>
  <si>
    <t>03/08/2020 1:34 PM</t>
  </si>
  <si>
    <t>06/08/2020 10:15 AM</t>
  </si>
  <si>
    <t>30/07/2020 11:48 AM</t>
  </si>
  <si>
    <t>30/07/2020 2:37 PM</t>
  </si>
  <si>
    <t>29/07/2020 9:56 AM</t>
  </si>
  <si>
    <t>06/08/2020 12:20 AM</t>
  </si>
  <si>
    <t>30/07/2020 2:49 PM</t>
  </si>
  <si>
    <t>09/08/2020 9:30 AM</t>
  </si>
  <si>
    <t>09/08/2020 9:29 AM</t>
  </si>
  <si>
    <t>03/08/2020 6:07 PM</t>
  </si>
  <si>
    <t>06/08/2020 12:28 AM</t>
  </si>
  <si>
    <t>06/08/2020 12:27 AM</t>
  </si>
  <si>
    <t>06/08/2020 12:23 AM</t>
  </si>
  <si>
    <t>03/08/2020 6:03 PM</t>
  </si>
  <si>
    <t>06/08/2020 12:24 AM</t>
  </si>
  <si>
    <t>03/08/2020 5:38 PM</t>
  </si>
  <si>
    <t>03/08/2020 6:06 PM</t>
  </si>
  <si>
    <t>06/08/2020 2:53 PM</t>
  </si>
  <si>
    <t>06/08/2020 12:22 AM</t>
  </si>
  <si>
    <t>03/08/2020 5:35 PM</t>
  </si>
  <si>
    <t>06/08/2020 12:21 AM</t>
  </si>
  <si>
    <t>04/08/2020 9:26 AM</t>
  </si>
  <si>
    <t>06/08/2020 2:59 PM</t>
  </si>
  <si>
    <t>03/08/2020 9:38 PM</t>
  </si>
  <si>
    <t>05/08/2020 2:14 PM</t>
  </si>
  <si>
    <t>29/07/2020 3:06 PM</t>
  </si>
  <si>
    <t>10/08/2020 3:15 PM</t>
  </si>
  <si>
    <t>29/07/2020 3:01 PM</t>
  </si>
  <si>
    <t>06/08/2020 10:55 AM</t>
  </si>
  <si>
    <t>10/08/2020 10:05 AM</t>
  </si>
  <si>
    <t>03/08/2020 4:21 PM</t>
  </si>
  <si>
    <t>10/08/2020 10:09 AM</t>
  </si>
  <si>
    <t>06/08/2020 4:52 PM</t>
  </si>
  <si>
    <t>03/08/2020 4:56 PM</t>
  </si>
  <si>
    <t>03/08/2020 9:43 PM</t>
  </si>
  <si>
    <t>06/08/2020 6:15 PM</t>
  </si>
  <si>
    <t>10/08/2020 2:10 PM</t>
  </si>
  <si>
    <t>03/08/2020 4:54 PM</t>
  </si>
  <si>
    <t>05/08/2020 4:40 PM</t>
  </si>
  <si>
    <t>30/07/2020 1:35 PM</t>
  </si>
  <si>
    <t>06/08/2020 10:22 AM</t>
  </si>
  <si>
    <t>03/08/2020 7:29 AM</t>
  </si>
  <si>
    <t>10/08/2020 7:27 PM</t>
  </si>
  <si>
    <t>06/08/2020 4:48 PM</t>
  </si>
  <si>
    <t>05/08/2020 4:39 PM</t>
  </si>
  <si>
    <t>29/07/2020 3:39 PM</t>
  </si>
  <si>
    <t>10/08/2020 1:50 PM</t>
  </si>
  <si>
    <t>06/08/2020 2:26 PM</t>
  </si>
  <si>
    <t>10/08/2020 5:38 PM</t>
  </si>
  <si>
    <t>10/08/2020 5:48 PM</t>
  </si>
  <si>
    <t>29/07/2020 3:31 PM</t>
  </si>
  <si>
    <t>06/08/2020 2:21 PM</t>
  </si>
  <si>
    <t>06/08/2020 2:32 PM</t>
  </si>
  <si>
    <t>06/08/2020 12:18 AM</t>
  </si>
  <si>
    <t>30/07/2020 9:32 AM</t>
  </si>
  <si>
    <t>03/08/2020 3:17 PM</t>
  </si>
  <si>
    <t>06/08/2020 4:53 PM</t>
  </si>
  <si>
    <t>30/07/2020 11:41 AM</t>
  </si>
  <si>
    <t>03/08/2020 9:45 AM</t>
  </si>
  <si>
    <t>10/08/2020 4:18 PM</t>
  </si>
  <si>
    <t>03/08/2020 9:46 AM</t>
  </si>
  <si>
    <t>05/08/2020 4:42 PM</t>
  </si>
  <si>
    <t>07/08/2020 10:46 AM</t>
  </si>
  <si>
    <t>06/08/2020 1:16 PM</t>
  </si>
  <si>
    <t>03/08/2020 9:51 AM</t>
  </si>
  <si>
    <t>03/08/2020 9:42 AM</t>
  </si>
  <si>
    <t>03/08/2020 9:50 AM</t>
  </si>
  <si>
    <t>07/08/2020 12:12 PM</t>
  </si>
  <si>
    <t>10/08/2020 4:51 PM</t>
  </si>
  <si>
    <t>07/08/2020 12:06 PM</t>
  </si>
  <si>
    <t>31/07/2020 2:46 PM</t>
  </si>
  <si>
    <t>05/08/2020 3:35 PM</t>
  </si>
  <si>
    <t>03/08/2020 9:56 AM</t>
  </si>
  <si>
    <t>07/08/2020 11:54 AM</t>
  </si>
  <si>
    <t>10/08/2020 4:54 PM</t>
  </si>
  <si>
    <t>07/08/2020 4:28 PM</t>
  </si>
  <si>
    <t>05/08/2020 2:45 PM</t>
  </si>
  <si>
    <t>31/07/2020 2:49 PM</t>
  </si>
  <si>
    <t>10/08/2020 4:58 PM</t>
  </si>
  <si>
    <t>10/08/2020 4:56 PM</t>
  </si>
  <si>
    <t>04/08/2020 4:21 PM</t>
  </si>
  <si>
    <t>04/08/2020 4:23 PM</t>
  </si>
  <si>
    <t>10/08/2020 7:54 PM</t>
  </si>
  <si>
    <t>07/08/2020 4:30 PM</t>
  </si>
  <si>
    <t>06/08/2020 10:18 PM</t>
  </si>
  <si>
    <t>10/08/2020 7:08 PM</t>
  </si>
  <si>
    <t>07/08/2020 4:29 PM</t>
  </si>
  <si>
    <t>10/08/2020 7:13 PM</t>
  </si>
  <si>
    <t>10/08/2020 7:05 PM</t>
  </si>
  <si>
    <t>10/08/2020 6:59 PM</t>
  </si>
  <si>
    <t>10/08/2020 6:23 PM</t>
  </si>
  <si>
    <t>29/07/2020 11:19 AM</t>
  </si>
  <si>
    <t>09/08/2020 11:47 PM</t>
  </si>
  <si>
    <t>10/08/2020 7:48 AM</t>
  </si>
  <si>
    <t>07/08/2020 4:31 PM</t>
  </si>
  <si>
    <t>06/08/2020 6:23 AM</t>
  </si>
  <si>
    <t>29/07/2020 9:40 PM</t>
  </si>
  <si>
    <t>06/08/2020 11:12 PM</t>
  </si>
  <si>
    <t>03/08/2020 8:31 PM</t>
  </si>
  <si>
    <t>03/08/2020 9:00 PM</t>
  </si>
  <si>
    <t>30/07/2020 1:03 PM</t>
  </si>
  <si>
    <t>28/07/2020 12:00 AM</t>
  </si>
  <si>
    <t>10/08/2020 2:03 PM</t>
  </si>
  <si>
    <t>03/08/2020 4:59 PM</t>
  </si>
  <si>
    <t>05/08/2020 1:13 PM</t>
  </si>
  <si>
    <t>03/08/2020 8:27 AM</t>
  </si>
  <si>
    <t>07/08/2020 3:30 PM</t>
  </si>
  <si>
    <t>30/07/2020 3:33 PM</t>
  </si>
  <si>
    <t>06/08/2020 4:57 PM</t>
  </si>
  <si>
    <t>31/07/2020 9:25 AM</t>
  </si>
  <si>
    <t>30/07/2020 11:24 AM</t>
  </si>
  <si>
    <t>30/07/2020 11:26 AM</t>
  </si>
  <si>
    <t>10/08/2020 4:22 PM</t>
  </si>
  <si>
    <t>10/08/2020 4:30 PM</t>
  </si>
  <si>
    <t>10/08/2020 4:16 PM</t>
  </si>
  <si>
    <t>04/08/2020 2:31 PM</t>
  </si>
  <si>
    <t>04/08/2020 8:29 AM</t>
  </si>
  <si>
    <t>10/08/2020 11:43 AM</t>
  </si>
  <si>
    <t>04/08/2020 8:27 AM</t>
  </si>
  <si>
    <t>31/07/2020 9:38 PM</t>
  </si>
  <si>
    <t>31/07/2020 9:36 PM</t>
  </si>
  <si>
    <t>05/08/2020 1:26 PM</t>
  </si>
  <si>
    <t>05/08/2020 1:33 PM</t>
  </si>
  <si>
    <t>05/08/2020 1:39 PM</t>
  </si>
  <si>
    <t>06/08/2020 8:51 AM</t>
  </si>
  <si>
    <t>06/08/2020 8:53 AM</t>
  </si>
  <si>
    <t>05/08/2020 8:25 AM</t>
  </si>
  <si>
    <t>05/08/2020 2:31 PM</t>
  </si>
  <si>
    <t>06/08/2020 1:44 PM</t>
  </si>
  <si>
    <t>07/08/2020 3:12 PM</t>
  </si>
  <si>
    <t>04/08/2020 4:52 PM</t>
  </si>
  <si>
    <t>05/08/2020 8:57 AM</t>
  </si>
  <si>
    <t>04/08/2020 4:51 PM</t>
  </si>
  <si>
    <t>05/08/2020 5:01 PM</t>
  </si>
  <si>
    <t>07/08/2020 8:45 AM</t>
  </si>
  <si>
    <t>30/07/2020 2:32 PM</t>
  </si>
  <si>
    <t>09/08/2020 7:41 PM</t>
  </si>
  <si>
    <t>07/08/2020 9:27 AM</t>
  </si>
  <si>
    <t>28/07/2020 12:05 PM</t>
  </si>
  <si>
    <t>07/08/2020 10:27 AM</t>
  </si>
  <si>
    <t>04/08/2020 11:11 AM</t>
  </si>
  <si>
    <t>04/08/2020 4:54 PM</t>
  </si>
  <si>
    <t>10/08/2020 10:22 AM</t>
  </si>
  <si>
    <t>07/08/2020 1:19 PM</t>
  </si>
  <si>
    <t>04/08/2020 4:56 PM</t>
  </si>
  <si>
    <t>04/08/2020 4:55 PM</t>
  </si>
  <si>
    <t>06/08/2020 4:56 PM</t>
  </si>
  <si>
    <t>10/08/2020 4:27 PM</t>
  </si>
  <si>
    <t>07/08/2020 3:16 PM</t>
  </si>
  <si>
    <t>06/08/2020 4:44 PM</t>
  </si>
  <si>
    <t>07/08/2020 4:07 PM</t>
  </si>
  <si>
    <t>07/08/2020 4:53 PM</t>
  </si>
  <si>
    <t>04/08/2020 5:33 PM</t>
  </si>
  <si>
    <t>30/07/2020 2:40 PM</t>
  </si>
  <si>
    <t>06/08/2020 10:28 AM</t>
  </si>
  <si>
    <t>07/08/2020 5:05 PM</t>
  </si>
  <si>
    <t>05/08/2020 10:04 AM</t>
  </si>
  <si>
    <t>28/07/2020 3:13 PM</t>
  </si>
  <si>
    <t>10/08/2020 4:50 PM</t>
  </si>
  <si>
    <t>28/07/2020 1:16 PM</t>
  </si>
  <si>
    <t>30/07/2020 1:16 PM</t>
  </si>
  <si>
    <t>05/08/2020 4:11 PM</t>
  </si>
  <si>
    <t>06/08/2020 4:08 PM</t>
  </si>
  <si>
    <t>10/08/2020 2:48 PM</t>
  </si>
  <si>
    <t>05/08/2020 4:08 PM</t>
  </si>
  <si>
    <t>07/08/2020 5:19 PM</t>
  </si>
  <si>
    <t>07/08/2020 4:38 PM</t>
  </si>
  <si>
    <t>04/08/2020 10:28 AM</t>
  </si>
  <si>
    <t>04/08/2020 11:20 AM</t>
  </si>
  <si>
    <t>07/08/2020 4:52 PM</t>
  </si>
  <si>
    <t>07/08/2020 11:04 AM</t>
  </si>
  <si>
    <t>10/08/2020 4:37 PM</t>
  </si>
  <si>
    <t>10/08/2020 4:01 PM</t>
  </si>
  <si>
    <t>30/07/2020 4:33 PM</t>
  </si>
  <si>
    <t>10/08/2020 2:57 PM</t>
  </si>
  <si>
    <t>10/08/2020 2:54 PM</t>
  </si>
  <si>
    <t>28/07/2020 4:37 PM</t>
  </si>
  <si>
    <t>05/08/2020 3:58 PM</t>
  </si>
  <si>
    <t>06/08/2020 1:35 PM</t>
  </si>
  <si>
    <t>10/08/2020 2:52 PM</t>
  </si>
  <si>
    <t>10/08/2020 4:43 PM</t>
  </si>
  <si>
    <t>04/08/2020 10:29 AM</t>
  </si>
  <si>
    <t>06/08/2020 11:54 AM</t>
  </si>
  <si>
    <t>04/08/2020 7:28 PM</t>
  </si>
  <si>
    <t>04/08/2020 7:37 PM</t>
  </si>
  <si>
    <t>10/08/2020 11:46 AM</t>
  </si>
  <si>
    <t>07/08/2020 11:20 PM</t>
  </si>
  <si>
    <t>27/07/2020 12:00 AM</t>
  </si>
  <si>
    <t>10/08/2020 9:15 PM</t>
  </si>
  <si>
    <t>06/08/2020 11:02 AM</t>
  </si>
  <si>
    <t>04/08/2020 9:11 PM</t>
  </si>
  <si>
    <t>10/08/2020 3:54 PM</t>
  </si>
  <si>
    <t>05/08/2020 10:21 AM</t>
  </si>
  <si>
    <t>05/08/2020 7:04 PM</t>
  </si>
  <si>
    <t>05/08/2020 3:27 PM</t>
  </si>
  <si>
    <t>05/08/2020 3:19 PM</t>
  </si>
  <si>
    <t>05/08/2020 3:45 PM</t>
  </si>
  <si>
    <t>05/08/2020 2:41 PM</t>
  </si>
  <si>
    <t>04/08/2020 9:05 PM</t>
  </si>
  <si>
    <t>05/08/2020 3:39 PM</t>
  </si>
  <si>
    <t>06/08/2020 10:59 AM</t>
  </si>
  <si>
    <t>05/08/2020 2:58 PM</t>
  </si>
  <si>
    <t>05/08/2020 1:17 PM</t>
  </si>
  <si>
    <t>05/08/2020 2:53 PM</t>
  </si>
  <si>
    <t>07/08/2020 3:42 PM</t>
  </si>
  <si>
    <t>05/08/2020 3:09 PM</t>
  </si>
  <si>
    <t>07/08/2020 1:07 PM</t>
  </si>
  <si>
    <t>07/08/2020 3:21 PM</t>
  </si>
  <si>
    <t>07/08/2020 3:11 PM</t>
  </si>
  <si>
    <t>07/08/2020 3:39 PM</t>
  </si>
  <si>
    <t>07/08/2020 3:08 PM</t>
  </si>
  <si>
    <t>07/08/2020 3:06 PM</t>
  </si>
  <si>
    <t>05/08/2020 4:00 PM</t>
  </si>
  <si>
    <t>07/08/2020 3:33 PM</t>
  </si>
  <si>
    <t>05/08/2020 3:52 PM</t>
  </si>
  <si>
    <t>05/08/2020 3:57 PM</t>
  </si>
  <si>
    <t>07/08/2020 9:45 AM</t>
  </si>
  <si>
    <t>28/07/2020 12:04 PM</t>
  </si>
  <si>
    <t>05/08/2020 1:44 PM</t>
  </si>
  <si>
    <t>29/07/2020 4:09 PM</t>
  </si>
  <si>
    <t>07/08/2020 3:45 PM</t>
  </si>
  <si>
    <t>10/08/2020 4:57 PM</t>
  </si>
  <si>
    <t>07/08/2020 5:40 PM</t>
  </si>
  <si>
    <t>07/08/2020 1:14 PM</t>
  </si>
  <si>
    <t>04/08/2020 3:56 PM</t>
  </si>
  <si>
    <t>07/08/2020 9:48 PM</t>
  </si>
  <si>
    <t>06/08/2020 11:03 AM</t>
  </si>
  <si>
    <t>30/07/2020 7:53 PM</t>
  </si>
  <si>
    <t>05/08/2020 10:08 AM</t>
  </si>
  <si>
    <t>30/07/2020 7:44 PM</t>
  </si>
  <si>
    <t>06/08/2020 7:55 PM</t>
  </si>
  <si>
    <t>07/08/2020 11:19 AM</t>
  </si>
  <si>
    <t>10/08/2020 1:55 PM</t>
  </si>
  <si>
    <t>10/08/2020 2:23 PM</t>
  </si>
  <si>
    <t>05/08/2020 9:20 AM</t>
  </si>
  <si>
    <t>03/08/2020 11:09 AM</t>
  </si>
  <si>
    <t>10/08/2020 11:36 AM</t>
  </si>
  <si>
    <t>03/08/2020 3:45 PM</t>
  </si>
  <si>
    <t>06/08/2020 9:25 AM</t>
  </si>
  <si>
    <t>05/08/2020 5:37 PM</t>
  </si>
  <si>
    <t>26/07/2020 12:00 AM</t>
  </si>
  <si>
    <t>30/07/2020 3:51 PM</t>
  </si>
  <si>
    <t>30/07/2020 3:48 PM</t>
  </si>
  <si>
    <t>07/08/2020 2:57 PM</t>
  </si>
  <si>
    <t>06/08/2020 10:08 AM</t>
  </si>
  <si>
    <t>08/08/2020 9:26 PM</t>
  </si>
  <si>
    <t>04/08/2020 9:17 AM</t>
  </si>
  <si>
    <t>03/08/2020 3:56 PM</t>
  </si>
  <si>
    <t>06/08/2020 10:11 AM</t>
  </si>
  <si>
    <t>07/08/2020 8:42 AM</t>
  </si>
  <si>
    <t>07/08/2020 9:26 AM</t>
  </si>
  <si>
    <t>03/08/2020 1:37 PM</t>
  </si>
  <si>
    <t>04/08/2020 3:07 PM</t>
  </si>
  <si>
    <t>25/07/2020 12:00 AM</t>
  </si>
  <si>
    <t>04/08/2020 3:05 PM</t>
  </si>
  <si>
    <t>04/08/2020 3:47 PM</t>
  </si>
  <si>
    <t>04/08/2020 3:25 PM</t>
  </si>
  <si>
    <t>10/08/2020 5:54 PM</t>
  </si>
  <si>
    <t>03/08/2020 9:12 AM</t>
  </si>
  <si>
    <t>04/08/2020 4:59 PM</t>
  </si>
  <si>
    <t>03/08/2020 9:54 AM</t>
  </si>
  <si>
    <t>07/08/2020 9:25 AM</t>
  </si>
  <si>
    <t>30/07/2020 2:43 PM</t>
  </si>
  <si>
    <t>07/08/2020 11:42 AM</t>
  </si>
  <si>
    <t>07/08/2020 5:04 PM</t>
  </si>
  <si>
    <t>10/08/2020 1:14 PM</t>
  </si>
  <si>
    <t>07/08/2020 7:46 AM</t>
  </si>
  <si>
    <t>04/08/2020 9:07 AM</t>
  </si>
  <si>
    <t>06/08/2020 10:12 AM</t>
  </si>
  <si>
    <t>10/08/2020 8:33 AM</t>
  </si>
  <si>
    <t>04/08/2020 4:08 PM</t>
  </si>
  <si>
    <t>30/07/2020 6:10 PM</t>
  </si>
  <si>
    <t>05/08/2020 10:45 AM</t>
  </si>
  <si>
    <t>24/07/2020 12:00 AM</t>
  </si>
  <si>
    <t>06/08/2020 10:48 PM</t>
  </si>
  <si>
    <t>05/08/2020 8:25 PM</t>
  </si>
  <si>
    <t>28/07/2020 10:46 PM</t>
  </si>
  <si>
    <t>10/08/2020 6:06 PM</t>
  </si>
  <si>
    <t>10/08/2020 6:19 PM</t>
  </si>
  <si>
    <t>10/08/2020 6:00 PM</t>
  </si>
  <si>
    <t>04/08/2020 2:35 PM</t>
  </si>
  <si>
    <t>29/07/2020 9:04 AM</t>
  </si>
  <si>
    <t>28/07/2020 5:20 PM</t>
  </si>
  <si>
    <t>10/08/2020 8:39 AM</t>
  </si>
  <si>
    <t>30/07/2020 3:45 PM</t>
  </si>
  <si>
    <t>03/08/2020 9:24 PM</t>
  </si>
  <si>
    <t>10/08/2020 4:42 PM</t>
  </si>
  <si>
    <t>04/08/2020 4:57 PM</t>
  </si>
  <si>
    <t>04/08/2020 3:32 PM</t>
  </si>
  <si>
    <t>07/08/2020 4:56 PM</t>
  </si>
  <si>
    <t>07/08/2020 10:26 AM</t>
  </si>
  <si>
    <t>03/08/2020 8:14 AM</t>
  </si>
  <si>
    <t>05/08/2020 12:52 PM</t>
  </si>
  <si>
    <t>05/08/2020 3:43 PM</t>
  </si>
  <si>
    <t>04/08/2020 3:43 PM</t>
  </si>
  <si>
    <t>06/08/2020 3:17 PM</t>
  </si>
  <si>
    <t>04/08/2020 11:15 AM</t>
  </si>
  <si>
    <t>28/07/2020 12:09 PM</t>
  </si>
  <si>
    <t>07/08/2020 12:22 PM</t>
  </si>
  <si>
    <t>06/08/2020 2:27 PM</t>
  </si>
  <si>
    <t>10/08/2020 10:15 PM</t>
  </si>
  <si>
    <t>05/08/2020 8:41 AM</t>
  </si>
  <si>
    <t>10/08/2020 2:35 PM</t>
  </si>
  <si>
    <t>29/07/2020 4:41 PM</t>
  </si>
  <si>
    <t>29/07/2020 4:46 PM</t>
  </si>
  <si>
    <t>28/07/2020 4:59 PM</t>
  </si>
  <si>
    <t>29/07/2020 4:45 PM</t>
  </si>
  <si>
    <t>10/08/2020 10:31 AM</t>
  </si>
  <si>
    <t>10/08/2020 4:38 PM</t>
  </si>
  <si>
    <t>05/08/2020 4:06 PM</t>
  </si>
  <si>
    <t>10/08/2020 4:44 PM</t>
  </si>
  <si>
    <t>27/07/2020 4:42 PM</t>
  </si>
  <si>
    <t>27/07/2020 4:43 PM</t>
  </si>
  <si>
    <t>10/08/2020 10:26 AM</t>
  </si>
  <si>
    <t>10/08/2020 10:46 AM</t>
  </si>
  <si>
    <t>04/08/2020 2:25 PM</t>
  </si>
  <si>
    <t>05/08/2020 6:14 PM</t>
  </si>
  <si>
    <t>05/08/2020 6:12 PM</t>
  </si>
  <si>
    <t>04/08/2020 3:20 PM</t>
  </si>
  <si>
    <t>06/08/2020 2:45 PM</t>
  </si>
  <si>
    <t>05/08/2020 6:10 PM</t>
  </si>
  <si>
    <t>05/08/2020 8:54 AM</t>
  </si>
  <si>
    <t>03/08/2020 8:12 AM</t>
  </si>
  <si>
    <t>30/07/2020 2:13 PM</t>
  </si>
  <si>
    <t>04/08/2020 3:19 PM</t>
  </si>
  <si>
    <t>30/07/2020 2:11 PM</t>
  </si>
  <si>
    <t>06/08/2020 9:33 AM</t>
  </si>
  <si>
    <t>30/07/2020 2:10 PM</t>
  </si>
  <si>
    <t>05/08/2020 6:27 PM</t>
  </si>
  <si>
    <t>05/08/2020 6:25 PM</t>
  </si>
  <si>
    <t>05/08/2020 6:30 PM</t>
  </si>
  <si>
    <t>07/08/2020 2:18 PM</t>
  </si>
  <si>
    <t>05/08/2020 2:28 PM</t>
  </si>
  <si>
    <t>10/08/2020 10:13 AM</t>
  </si>
  <si>
    <t>29/07/2020 11:24 AM</t>
  </si>
  <si>
    <t>05/08/2020 6:29 PM</t>
  </si>
  <si>
    <t>05/08/2020 10:39 AM</t>
  </si>
  <si>
    <t>30/07/2020 2:09 PM</t>
  </si>
  <si>
    <t>04/08/2020 3:21 PM</t>
  </si>
  <si>
    <t>05/08/2020 6:19 PM</t>
  </si>
  <si>
    <t>29/07/2020 11:20 AM</t>
  </si>
  <si>
    <t>04/08/2020 11:40 AM</t>
  </si>
  <si>
    <t>10/08/2020 4:55 PM</t>
  </si>
  <si>
    <t>31/07/2020 9:34 AM</t>
  </si>
  <si>
    <t>05/08/2020 1:16 PM</t>
  </si>
  <si>
    <t>03/08/2020 2:56 PM</t>
  </si>
  <si>
    <t>03/08/2020 2:54 PM</t>
  </si>
  <si>
    <t>29/07/2020 11:14 AM</t>
  </si>
  <si>
    <t>05/08/2020 3:13 PM</t>
  </si>
  <si>
    <t>06/08/2020 10:01 AM</t>
  </si>
  <si>
    <t>10/08/2020 11:20 AM</t>
  </si>
  <si>
    <t>31/07/2020 9:29 AM</t>
  </si>
  <si>
    <t>30/07/2020 11:46 AM</t>
  </si>
  <si>
    <t>05/08/2020 6:35 PM</t>
  </si>
  <si>
    <t>05/08/2020 6:34 PM</t>
  </si>
  <si>
    <t>28/07/2020 3:23 PM</t>
  </si>
  <si>
    <t>04/08/2020 11:36 AM</t>
  </si>
  <si>
    <t>31/07/2020 2:40 PM</t>
  </si>
  <si>
    <t>28/07/2020 3:19 PM</t>
  </si>
  <si>
    <t>03/08/2020 2:50 PM</t>
  </si>
  <si>
    <t>10/08/2020 1:44 PM</t>
  </si>
  <si>
    <t>31/07/2020 9:22 AM</t>
  </si>
  <si>
    <t>30/07/2020 3:39 PM</t>
  </si>
  <si>
    <t>30/07/2020 3:35 PM</t>
  </si>
  <si>
    <t>10/08/2020 4:52 PM</t>
  </si>
  <si>
    <t>29/07/2020 11:08 AM</t>
  </si>
  <si>
    <t>06/08/2020 2:29 PM</t>
  </si>
  <si>
    <t>24/07/2020 10:45 AM</t>
  </si>
  <si>
    <t>30/07/2020 5:14 PM</t>
  </si>
  <si>
    <t>04/08/2020 11:42 AM</t>
  </si>
  <si>
    <t>30/07/2020 1:45 PM</t>
  </si>
  <si>
    <t>30/07/2020 1:43 PM</t>
  </si>
  <si>
    <t>30/07/2020 1:38 PM</t>
  </si>
  <si>
    <t>30/07/2020 5:12 PM</t>
  </si>
  <si>
    <t>10/08/2020 4:41 PM</t>
  </si>
  <si>
    <t>05/08/2020 8:21 PM</t>
  </si>
  <si>
    <t>30/07/2020 1:33 PM</t>
  </si>
  <si>
    <t>10/08/2020 4:47 PM</t>
  </si>
  <si>
    <t>05/08/2020 8:19 PM</t>
  </si>
  <si>
    <t>07/08/2020 9:47 PM</t>
  </si>
  <si>
    <t>05/08/2020 11:20 AM</t>
  </si>
  <si>
    <t>05/08/2020 11:17 AM</t>
  </si>
  <si>
    <t>07/08/2020 4:21 PM</t>
  </si>
  <si>
    <t>07/08/2020 9:42 PM</t>
  </si>
  <si>
    <t>05/08/2020 11:19 AM</t>
  </si>
  <si>
    <t>29/07/2020 10:28 AM</t>
  </si>
  <si>
    <t>29/07/2020 10:22 AM</t>
  </si>
  <si>
    <t>07/08/2020 9:40 PM</t>
  </si>
  <si>
    <t>23/07/2020 12:00 AM</t>
  </si>
  <si>
    <t>29/07/2020 10:26 AM</t>
  </si>
  <si>
    <t>07/08/2020 8:34 PM</t>
  </si>
  <si>
    <t>04/08/2020 11:33 AM</t>
  </si>
  <si>
    <t>04/08/2020 5:43 PM</t>
  </si>
  <si>
    <t>07/08/2020 9:00 PM</t>
  </si>
  <si>
    <t>04/08/2020 3:13 PM</t>
  </si>
  <si>
    <t>06/08/2020 2:33 PM</t>
  </si>
  <si>
    <t>06/08/2020 2:36 PM</t>
  </si>
  <si>
    <t>04/08/2020 3:14 PM</t>
  </si>
  <si>
    <t>04/08/2020 3:11 PM</t>
  </si>
  <si>
    <t>04/08/2020 3:12 PM</t>
  </si>
  <si>
    <t>04/08/2020 3:09 PM</t>
  </si>
  <si>
    <t>04/08/2020 3:10 PM</t>
  </si>
  <si>
    <t>04/08/2020 11:43 AM</t>
  </si>
  <si>
    <t>04/08/2020 11:44 AM</t>
  </si>
  <si>
    <t>28/07/2020 10:13 AM</t>
  </si>
  <si>
    <t>23/07/2020 10:12 AM</t>
  </si>
  <si>
    <t>04/08/2020 9:08 AM</t>
  </si>
  <si>
    <t>04/08/2020 9:10 AM</t>
  </si>
  <si>
    <t>04/08/2020 10:37 AM</t>
  </si>
  <si>
    <t>04/08/2020 9:05 AM</t>
  </si>
  <si>
    <t>04/08/2020 11:37 AM</t>
  </si>
  <si>
    <t>04/08/2020 10:27 AM</t>
  </si>
  <si>
    <t>27/07/2020 8:20 PM</t>
  </si>
  <si>
    <t>30/07/2020 7:52 AM</t>
  </si>
  <si>
    <t>04/08/2020 9:59 AM</t>
  </si>
  <si>
    <t>27/07/2020 9:10 PM</t>
  </si>
  <si>
    <t>27/07/2020 8:43 PM</t>
  </si>
  <si>
    <t>30/07/2020 7:46 AM</t>
  </si>
  <si>
    <t>07/08/2020 10:15 AM</t>
  </si>
  <si>
    <t>05/08/2020 4:22 PM</t>
  </si>
  <si>
    <t>27/07/2020 9:24 PM</t>
  </si>
  <si>
    <t>27/07/2020 9:47 AM</t>
  </si>
  <si>
    <t>04/08/2020 2:17 PM</t>
  </si>
  <si>
    <t>06/08/2020 3:11 PM</t>
  </si>
  <si>
    <t>31/07/2020 9:37 PM</t>
  </si>
  <si>
    <t>05/08/2020 4:02 PM</t>
  </si>
  <si>
    <t>03/08/2020 1:16 PM</t>
  </si>
  <si>
    <t>03/08/2020 3:02 PM</t>
  </si>
  <si>
    <t>04/08/2020 1:01 PM</t>
  </si>
  <si>
    <t>06/08/2020 9:48 AM</t>
  </si>
  <si>
    <t>30/07/2020 3:54 PM</t>
  </si>
  <si>
    <t>26/07/2020 7:12 AM</t>
  </si>
  <si>
    <t>09/08/2020 10:17 PM</t>
  </si>
  <si>
    <t>05/08/2020 8:18 PM</t>
  </si>
  <si>
    <t>27/07/2020 4:47 PM</t>
  </si>
  <si>
    <t>05/08/2020 3:48 PM</t>
  </si>
  <si>
    <t>07/08/2020 4:12 PM</t>
  </si>
  <si>
    <t>03/08/2020 9:18 AM</t>
  </si>
  <si>
    <t>28/07/2020 3:27 PM</t>
  </si>
  <si>
    <t>26/07/2020 7:03 AM</t>
  </si>
  <si>
    <t>26/07/2020 7:09 AM</t>
  </si>
  <si>
    <t>26/07/2020 7:10 AM</t>
  </si>
  <si>
    <t>26/07/2020 7:01 AM</t>
  </si>
  <si>
    <t>03/08/2020 9:21 AM</t>
  </si>
  <si>
    <t>06/08/2020 1:33 PM</t>
  </si>
  <si>
    <t>10/08/2020 7:57 AM</t>
  </si>
  <si>
    <t>06/08/2020 3:35 PM</t>
  </si>
  <si>
    <t>03/08/2020 11:30 AM</t>
  </si>
  <si>
    <t>06/08/2020 11:29 AM</t>
  </si>
  <si>
    <t>06/08/2020 11:32 AM</t>
  </si>
  <si>
    <t>30/07/2020 10:39 AM</t>
  </si>
  <si>
    <t>05/08/2020 3:41 PM</t>
  </si>
  <si>
    <t>04/08/2020 3:00 PM</t>
  </si>
  <si>
    <t>06/08/2020 4:02 PM</t>
  </si>
  <si>
    <t>06/08/2020 11:39 AM</t>
  </si>
  <si>
    <t>05/08/2020 11:40 AM</t>
  </si>
  <si>
    <t>06/08/2020 11:34 AM</t>
  </si>
  <si>
    <t>06/08/2020 11:37 AM</t>
  </si>
  <si>
    <t>05/08/2020 11:45 AM</t>
  </si>
  <si>
    <t>05/08/2020 11:47 AM</t>
  </si>
  <si>
    <t>05/08/2020 11:44 AM</t>
  </si>
  <si>
    <t>06/08/2020 11:48 AM</t>
  </si>
  <si>
    <t>07/08/2020 1:39 PM</t>
  </si>
  <si>
    <t>06/08/2020 11:43 AM</t>
  </si>
  <si>
    <t>06/08/2020 11:52 AM</t>
  </si>
  <si>
    <t>06/08/2020 11:47 AM</t>
  </si>
  <si>
    <t>10/08/2020 2:29 PM</t>
  </si>
  <si>
    <t>07/08/2020 1:44 PM</t>
  </si>
  <si>
    <t>05/08/2020 11:50 AM</t>
  </si>
  <si>
    <t>05/08/2020 11:43 AM</t>
  </si>
  <si>
    <t>06/08/2020 12:00 PM</t>
  </si>
  <si>
    <t>06/08/2020 11:51 AM</t>
  </si>
  <si>
    <t>07/08/2020 1:49 PM</t>
  </si>
  <si>
    <t>29/07/2020 11:09 AM</t>
  </si>
  <si>
    <t>04/08/2020 2:44 PM</t>
  </si>
  <si>
    <t>05/08/2020 4:07 PM</t>
  </si>
  <si>
    <t>04/08/2020 2:53 PM</t>
  </si>
  <si>
    <t>03/08/2020 10:17 AM</t>
  </si>
  <si>
    <t>04/08/2020 2:49 PM</t>
  </si>
  <si>
    <t>04/08/2020 2:47 PM</t>
  </si>
  <si>
    <t>27/07/2020 10:40 AM</t>
  </si>
  <si>
    <t>10/08/2020 2:32 PM</t>
  </si>
  <si>
    <t>10/08/2020 2:30 PM</t>
  </si>
  <si>
    <t>10/08/2020 2:53 PM</t>
  </si>
  <si>
    <t>05/08/2020 11:06 AM</t>
  </si>
  <si>
    <t>04/08/2020 2:41 PM</t>
  </si>
  <si>
    <t>05/08/2020 11:49 AM</t>
  </si>
  <si>
    <t>07/08/2020 6:28 PM</t>
  </si>
  <si>
    <t>03/08/2020 11:29 AM</t>
  </si>
  <si>
    <t>28/07/2020 4:25 PM</t>
  </si>
  <si>
    <t>04/08/2020 3:02 PM</t>
  </si>
  <si>
    <t>03/08/2020 10:41 AM</t>
  </si>
  <si>
    <t>05/08/2020 11:41 AM</t>
  </si>
  <si>
    <t>03/08/2020 3:25 PM</t>
  </si>
  <si>
    <t>03/08/2020 11:18 AM</t>
  </si>
  <si>
    <t>07/08/2020 11:55 AM</t>
  </si>
  <si>
    <t>07/08/2020 2:46 PM</t>
  </si>
  <si>
    <t>27/07/2020 5:09 PM</t>
  </si>
  <si>
    <t>05/08/2020 8:38 AM</t>
  </si>
  <si>
    <t>05/08/2020 8:10 PM</t>
  </si>
  <si>
    <t>07/08/2020 5:52 PM</t>
  </si>
  <si>
    <t>05/08/2020 4:54 PM</t>
  </si>
  <si>
    <t>10/08/2020 2:21 PM</t>
  </si>
  <si>
    <t>07/08/2020 10:01 AM</t>
  </si>
  <si>
    <t>30/07/2020 4:10 PM</t>
  </si>
  <si>
    <t>07/08/2020 3:57 PM</t>
  </si>
  <si>
    <t>05/08/2020 8:08 PM</t>
  </si>
  <si>
    <t>06/08/2020 8:20 AM</t>
  </si>
  <si>
    <t>04/08/2020 11:14 PM</t>
  </si>
  <si>
    <t>07/08/2020 5:20 PM</t>
  </si>
  <si>
    <t>05/08/2020 8:15 PM</t>
  </si>
  <si>
    <t>09/08/2020 5:39 PM</t>
  </si>
  <si>
    <t>04/08/2020 10:48 AM</t>
  </si>
  <si>
    <t>05/08/2020 8:13 PM</t>
  </si>
  <si>
    <t>09/08/2020 5:37 PM</t>
  </si>
  <si>
    <t>22/07/2020 12:00 AM</t>
  </si>
  <si>
    <t>05/08/2020 8:11 PM</t>
  </si>
  <si>
    <t>05/08/2020 8:02 PM</t>
  </si>
  <si>
    <t>07/08/2020 9:47 AM</t>
  </si>
  <si>
    <t>27/07/2020 11:26 AM</t>
  </si>
  <si>
    <t>05/08/2020 8:07 PM</t>
  </si>
  <si>
    <t>05/08/2020 8:09 PM</t>
  </si>
  <si>
    <t>06/08/2020 11:56 AM</t>
  </si>
  <si>
    <t>05/08/2020 4:29 PM</t>
  </si>
  <si>
    <t>04/08/2020 10:03 AM</t>
  </si>
  <si>
    <t>05/08/2020 8:01 PM</t>
  </si>
  <si>
    <t>05/08/2020 4:57 PM</t>
  </si>
  <si>
    <t>06/08/2020 11:41 AM</t>
  </si>
  <si>
    <t>04/08/2020 1:09 PM</t>
  </si>
  <si>
    <t>28/07/2020 4:12 PM</t>
  </si>
  <si>
    <t>03/08/2020 3:09 PM</t>
  </si>
  <si>
    <t>04/08/2020 1:32 PM</t>
  </si>
  <si>
    <t>03/08/2020 9:31 AM</t>
  </si>
  <si>
    <t>31/07/2020 7:29 PM</t>
  </si>
  <si>
    <t>24/07/2020 2:06 PM</t>
  </si>
  <si>
    <t>03/08/2020 3:42 PM</t>
  </si>
  <si>
    <t>05/08/2020 3:42 PM</t>
  </si>
  <si>
    <t>30/07/2020 4:00 PM</t>
  </si>
  <si>
    <t>28/07/2020 7:36 PM</t>
  </si>
  <si>
    <t>05/08/2020 3:40 PM</t>
  </si>
  <si>
    <t>30/07/2020 12:10 PM</t>
  </si>
  <si>
    <t>05/08/2020 1:52 PM</t>
  </si>
  <si>
    <t>04/08/2020 2:37 PM</t>
  </si>
  <si>
    <t>31/07/2020 11:46 AM</t>
  </si>
  <si>
    <t>05/08/2020 6:38 PM</t>
  </si>
  <si>
    <t>28/07/2020 4:29 PM</t>
  </si>
  <si>
    <t>30/07/2020 5:22 PM</t>
  </si>
  <si>
    <t>08/08/2020 4:28 PM</t>
  </si>
  <si>
    <t>28/07/2020 11:35 AM</t>
  </si>
  <si>
    <t>03/08/2020 9:52 PM</t>
  </si>
  <si>
    <t>05/08/2020 2:15 PM</t>
  </si>
  <si>
    <t>05/08/2020 2:47 PM</t>
  </si>
  <si>
    <t>29/07/2020 4:29 PM</t>
  </si>
  <si>
    <t>04/08/2020 4:04 PM</t>
  </si>
  <si>
    <t>31/07/2020 1:35 PM</t>
  </si>
  <si>
    <t>04/08/2020 5:44 PM</t>
  </si>
  <si>
    <t>04/08/2020 5:53 PM</t>
  </si>
  <si>
    <t>29/07/2020 4:33 PM</t>
  </si>
  <si>
    <t>05/08/2020 2:51 PM</t>
  </si>
  <si>
    <t>04/08/2020 4:01 PM</t>
  </si>
  <si>
    <t>10/08/2020 5:55 PM</t>
  </si>
  <si>
    <t>03/08/2020 8:34 PM</t>
  </si>
  <si>
    <t>05/08/2020 8:59 AM</t>
  </si>
  <si>
    <t>29/07/2020 1:01 PM</t>
  </si>
  <si>
    <t>30/07/2020 3:10 PM</t>
  </si>
  <si>
    <t>04/08/2020 2:28 PM</t>
  </si>
  <si>
    <t>29/07/2020 4:26 PM</t>
  </si>
  <si>
    <t>04/08/2020 12:13 PM</t>
  </si>
  <si>
    <t>22/07/2020 8:30 AM</t>
  </si>
  <si>
    <t>06/08/2020 3:49 PM</t>
  </si>
  <si>
    <t>05/08/2020 8:43 AM</t>
  </si>
  <si>
    <t>05/08/2020 9:40 AM</t>
  </si>
  <si>
    <t>05/08/2020 2:20 PM</t>
  </si>
  <si>
    <t>28/07/2020 11:40 AM</t>
  </si>
  <si>
    <t>05/08/2020 8:16 PM</t>
  </si>
  <si>
    <t>05/08/2020 8:17 PM</t>
  </si>
  <si>
    <t>05/08/2020 12:18 PM</t>
  </si>
  <si>
    <t>03/08/2020 4:35 PM</t>
  </si>
  <si>
    <t>04/08/2020 11:30 AM</t>
  </si>
  <si>
    <t>04/08/2020 11:52 AM</t>
  </si>
  <si>
    <t>04/08/2020 3:06 PM</t>
  </si>
  <si>
    <t>29/07/2020 1:50 PM</t>
  </si>
  <si>
    <t>05/08/2020 8:36 PM</t>
  </si>
  <si>
    <t>03/08/2020 3:58 PM</t>
  </si>
  <si>
    <t>03/08/2020 3:10 PM</t>
  </si>
  <si>
    <t>30/07/2020 9:40 AM</t>
  </si>
  <si>
    <t>05/08/2020 3:05 PM</t>
  </si>
  <si>
    <t>05/08/2020 8:35 PM</t>
  </si>
  <si>
    <t>05/08/2020 3:10 PM</t>
  </si>
  <si>
    <t>05/08/2020 3:14 PM</t>
  </si>
  <si>
    <t>30/07/2020 8:09 PM</t>
  </si>
  <si>
    <t>03/08/2020 3:55 PM</t>
  </si>
  <si>
    <t>10/08/2020 11:11 AM</t>
  </si>
  <si>
    <t>05/08/2020 10:48 PM</t>
  </si>
  <si>
    <t>30/07/2020 2:55 PM</t>
  </si>
  <si>
    <t>03/08/2020 2:17 PM</t>
  </si>
  <si>
    <t>10/08/2020 3:36 PM</t>
  </si>
  <si>
    <t>03/08/2020 8:40 PM</t>
  </si>
  <si>
    <t>06/08/2020 10:35 PM</t>
  </si>
  <si>
    <t>03/08/2020 4:30 PM</t>
  </si>
  <si>
    <t>04/08/2020 2:50 PM</t>
  </si>
  <si>
    <t>05/08/2020 9:37 PM</t>
  </si>
  <si>
    <t>28/07/2020 3:28 PM</t>
  </si>
  <si>
    <t>03/08/2020 5:23 PM</t>
  </si>
  <si>
    <t>28/07/2020 3:58 PM</t>
  </si>
  <si>
    <t>07/08/2020 7:01 PM</t>
  </si>
  <si>
    <t>06/08/2020 10:42 PM</t>
  </si>
  <si>
    <t>04/08/2020 5:21 PM</t>
  </si>
  <si>
    <t>06/08/2020 3:08 PM</t>
  </si>
  <si>
    <t>05/08/2020 10:27 PM</t>
  </si>
  <si>
    <t>03/08/2020 4:22 PM</t>
  </si>
  <si>
    <t>01/08/2020 10:27 PM</t>
  </si>
  <si>
    <t>03/08/2020 5:24 PM</t>
  </si>
  <si>
    <t>30/07/2020 5:20 PM</t>
  </si>
  <si>
    <t>30/07/2020 11:40 AM</t>
  </si>
  <si>
    <t>04/08/2020 2:51 PM</t>
  </si>
  <si>
    <t>03/08/2020 4:25 PM</t>
  </si>
  <si>
    <t>06/08/2020 5:08 PM</t>
  </si>
  <si>
    <t>03/08/2020 11:49 PM</t>
  </si>
  <si>
    <t>08/08/2020 2:06 PM</t>
  </si>
  <si>
    <t>03/08/2020 11:29 PM</t>
  </si>
  <si>
    <t>03/08/2020 11:35 PM</t>
  </si>
  <si>
    <t>28/07/2020 1:05 PM</t>
  </si>
  <si>
    <t>24/07/2020 9:28 AM</t>
  </si>
  <si>
    <t>03/08/2020 11:30 PM</t>
  </si>
  <si>
    <t>06/08/2020 10:46 PM</t>
  </si>
  <si>
    <t>05/08/2020 5:43 PM</t>
  </si>
  <si>
    <t>03/08/2020 11:40 PM</t>
  </si>
  <si>
    <t>06/08/2020 10:39 PM</t>
  </si>
  <si>
    <t>06/08/2020 10:44 PM</t>
  </si>
  <si>
    <t>03/08/2020 10:09 PM</t>
  </si>
  <si>
    <t>03/08/2020 5:39 PM</t>
  </si>
  <si>
    <t>21/07/2020 12:00 AM</t>
  </si>
  <si>
    <t>08/08/2020 11:53 PM</t>
  </si>
  <si>
    <t>05/08/2020 8:28 PM</t>
  </si>
  <si>
    <t>04/08/2020 2:54 PM</t>
  </si>
  <si>
    <t>04/08/2020 4:37 PM</t>
  </si>
  <si>
    <t>26/07/2020 7:56 PM</t>
  </si>
  <si>
    <t>04/08/2020 4:27 PM</t>
  </si>
  <si>
    <t>26/07/2020 7:57 PM</t>
  </si>
  <si>
    <t>26/07/2020 7:55 PM</t>
  </si>
  <si>
    <t>26/07/2020 7:59 PM</t>
  </si>
  <si>
    <t>29/07/2020 2:30 PM</t>
  </si>
  <si>
    <t>06/08/2020 10:40 PM</t>
  </si>
  <si>
    <t>02/08/2020 11:13 AM</t>
  </si>
  <si>
    <t>03/08/2020 9:41 AM</t>
  </si>
  <si>
    <t>30/07/2020 12:33 PM</t>
  </si>
  <si>
    <t>05/08/2020 2:01 PM</t>
  </si>
  <si>
    <t>06/08/2020 2:13 PM</t>
  </si>
  <si>
    <t>06/08/2020 2:09 PM</t>
  </si>
  <si>
    <t>07/08/2020 9:12 AM</t>
  </si>
  <si>
    <t>31/07/2020 6:24 PM</t>
  </si>
  <si>
    <t>04/08/2020 9:48 AM</t>
  </si>
  <si>
    <t>07/08/2020 10:47 AM</t>
  </si>
  <si>
    <t>03/08/2020 10:47 AM</t>
  </si>
  <si>
    <t>29/07/2020 12:57 PM</t>
  </si>
  <si>
    <t>07/08/2020 3:34 PM</t>
  </si>
  <si>
    <t>26/07/2020 7:54 PM</t>
  </si>
  <si>
    <t>05/08/2020 4:35 PM</t>
  </si>
  <si>
    <t>30/07/2020 1:39 PM</t>
  </si>
  <si>
    <t>03/08/2020 11:52 PM</t>
  </si>
  <si>
    <t>07/08/2020 3:38 PM</t>
  </si>
  <si>
    <t>29/07/2020 4:08 PM</t>
  </si>
  <si>
    <t>02/08/2020 11:15 AM</t>
  </si>
  <si>
    <t>04/08/2020 2:16 PM</t>
  </si>
  <si>
    <t>23/07/2020 1:07 PM</t>
  </si>
  <si>
    <t>04/08/2020 7:51 PM</t>
  </si>
  <si>
    <t>04/08/2020 10:36 AM</t>
  </si>
  <si>
    <t>04/08/2020 2:36 PM</t>
  </si>
  <si>
    <t>06/08/2020 3:50 PM</t>
  </si>
  <si>
    <t>04/08/2020 10:35 AM</t>
  </si>
  <si>
    <t>05/08/2020 4:16 PM</t>
  </si>
  <si>
    <t>10/08/2020 2:42 PM</t>
  </si>
  <si>
    <t>21/07/2020 4:25 PM</t>
  </si>
  <si>
    <t>10/08/2020 8:33 PM</t>
  </si>
  <si>
    <t>04/08/2020 2:27 PM</t>
  </si>
  <si>
    <t>03/08/2020 4:37 PM</t>
  </si>
  <si>
    <t>06/08/2020 3:13 PM</t>
  </si>
  <si>
    <t>03/08/2020 10:13 AM</t>
  </si>
  <si>
    <t>07/08/2020 2:10 PM</t>
  </si>
  <si>
    <t>04/08/2020 2:57 PM</t>
  </si>
  <si>
    <t>07/08/2020 11:29 AM</t>
  </si>
  <si>
    <t>10/08/2020 4:53 PM</t>
  </si>
  <si>
    <t>06/08/2020 7:53 PM</t>
  </si>
  <si>
    <t>03/08/2020 2:04 PM</t>
  </si>
  <si>
    <t>05/08/2020 3:54 PM</t>
  </si>
  <si>
    <t>04/08/2020 9:30 AM</t>
  </si>
  <si>
    <t>28/07/2020 1:52 PM</t>
  </si>
  <si>
    <t>28/07/2020 6:53 PM</t>
  </si>
  <si>
    <t>04/08/2020 8:04 PM</t>
  </si>
  <si>
    <t>04/08/2020 1:52 PM</t>
  </si>
  <si>
    <t>24/07/2020 2:13 PM</t>
  </si>
  <si>
    <t>04/08/2020 8:03 PM</t>
  </si>
  <si>
    <t>20/07/2020 12:00 AM</t>
  </si>
  <si>
    <t>02/08/2020 6:40 PM</t>
  </si>
  <si>
    <t>06/08/2020 2:10 PM</t>
  </si>
  <si>
    <t>24/07/2020 2:08 PM</t>
  </si>
  <si>
    <t>20/07/2020 2:36 PM</t>
  </si>
  <si>
    <t>20/07/2020 11:30 AM</t>
  </si>
  <si>
    <t>22/07/2020 1:10 PM</t>
  </si>
  <si>
    <t>10/08/2020 6:45 AM</t>
  </si>
  <si>
    <t>29/07/2020 9:23 AM</t>
  </si>
  <si>
    <t>04/08/2020 8:07 PM</t>
  </si>
  <si>
    <t>29/07/2020 11:22 AM</t>
  </si>
  <si>
    <t>28/07/2020 3:36 PM</t>
  </si>
  <si>
    <t>29/07/2020 10:57 AM</t>
  </si>
  <si>
    <t>03/08/2020 11:55 AM</t>
  </si>
  <si>
    <t>29/07/2020 11:15 AM</t>
  </si>
  <si>
    <t>28/07/2020 3:33 PM</t>
  </si>
  <si>
    <t>10/08/2020 2:28 PM</t>
  </si>
  <si>
    <t>10/08/2020 2:25 PM</t>
  </si>
  <si>
    <t>10/08/2020 2:24 PM</t>
  </si>
  <si>
    <t>28/07/2020 3:30 PM</t>
  </si>
  <si>
    <t>29/07/2020 11:05 AM</t>
  </si>
  <si>
    <t>26/07/2020 7:07 AM</t>
  </si>
  <si>
    <t>10/08/2020 2:50 PM</t>
  </si>
  <si>
    <t>04/08/2020 8:08 PM</t>
  </si>
  <si>
    <t>10/08/2020 2:45 PM</t>
  </si>
  <si>
    <t>06/08/2020 5:47 PM</t>
  </si>
  <si>
    <t>10/08/2020 3:11 PM</t>
  </si>
  <si>
    <t>10/08/2020 2:55 PM</t>
  </si>
  <si>
    <t>10/08/2020 4:31 PM</t>
  </si>
  <si>
    <t>10/08/2020 5:58 PM</t>
  </si>
  <si>
    <t>07/08/2020 3:56 PM</t>
  </si>
  <si>
    <t>10/08/2020 3:55 PM</t>
  </si>
  <si>
    <t>10/08/2020 3:53 PM</t>
  </si>
  <si>
    <t>10/08/2020 3:51 PM</t>
  </si>
  <si>
    <t>10/08/2020 5:49 PM</t>
  </si>
  <si>
    <t>10/08/2020 3:50 PM</t>
  </si>
  <si>
    <t>10/08/2020 4:24 PM</t>
  </si>
  <si>
    <t>10/08/2020 3:44 PM</t>
  </si>
  <si>
    <t>06/08/2020 5:48 PM</t>
  </si>
  <si>
    <t>10/08/2020 3:56 PM</t>
  </si>
  <si>
    <t>24/07/2020 3:22 PM</t>
  </si>
  <si>
    <t>10/08/2020 3:37 PM</t>
  </si>
  <si>
    <t>29/07/2020 11:27 AM</t>
  </si>
  <si>
    <t>26/07/2020 6:57 AM</t>
  </si>
  <si>
    <t>10/08/2020 4:14 PM</t>
  </si>
  <si>
    <t>10/08/2020 1:57 PM</t>
  </si>
  <si>
    <t>10/08/2020 4:13 PM</t>
  </si>
  <si>
    <t>10/08/2020 4:12 PM</t>
  </si>
  <si>
    <t>10/08/2020 4:15 PM</t>
  </si>
  <si>
    <t>10/08/2020 1:56 PM</t>
  </si>
  <si>
    <t>10/08/2020 1:54 PM</t>
  </si>
  <si>
    <t>04/08/2020 1:28 PM</t>
  </si>
  <si>
    <t>06/08/2020 9:55 PM</t>
  </si>
  <si>
    <t>10/08/2020 4:00 PM</t>
  </si>
  <si>
    <t>07/08/2020 11:30 AM</t>
  </si>
  <si>
    <t>03/08/2020 9:37 PM</t>
  </si>
  <si>
    <t>07/08/2020 11:17 AM</t>
  </si>
  <si>
    <t>04/08/2020 10:49 PM</t>
  </si>
  <si>
    <t>19/07/2020 12:00 AM</t>
  </si>
  <si>
    <t>18/07/2020 12:00 AM</t>
  </si>
  <si>
    <t>03/08/2020 4:52 PM</t>
  </si>
  <si>
    <t>09/08/2020 1:46 PM</t>
  </si>
  <si>
    <t>30/07/2020 6:52 AM</t>
  </si>
  <si>
    <t>10/08/2020 3:20 PM</t>
  </si>
  <si>
    <t>07/08/2020 11:21 AM</t>
  </si>
  <si>
    <t>07/08/2020 11:13 AM</t>
  </si>
  <si>
    <t>07/08/2020 11:39 PM</t>
  </si>
  <si>
    <t>04/08/2020 10:51 PM</t>
  </si>
  <si>
    <t>04/08/2020 6:08 PM</t>
  </si>
  <si>
    <t>07/08/2020 11:41 PM</t>
  </si>
  <si>
    <t>03/08/2020 8:27 PM</t>
  </si>
  <si>
    <t>30/07/2020 5:51 PM</t>
  </si>
  <si>
    <t>07/08/2020 9:41 PM</t>
  </si>
  <si>
    <t>07/08/2020 11:37 PM</t>
  </si>
  <si>
    <t>30/07/2020 6:54 AM</t>
  </si>
  <si>
    <t>07/08/2020 7:30 PM</t>
  </si>
  <si>
    <t>07/08/2020 10:58 AM</t>
  </si>
  <si>
    <t>05/08/2020 2:46 PM</t>
  </si>
  <si>
    <t>06/08/2020 4:34 PM</t>
  </si>
  <si>
    <t>04/08/2020 4:13 PM</t>
  </si>
  <si>
    <t>30/07/2020 7:32 PM</t>
  </si>
  <si>
    <t>07/08/2020 10:04 AM</t>
  </si>
  <si>
    <t>10/08/2020 2:01 PM</t>
  </si>
  <si>
    <t>10/08/2020 2:00 PM</t>
  </si>
  <si>
    <t>04/08/2020 8:47 AM</t>
  </si>
  <si>
    <t>28/07/2020 3:41 PM</t>
  </si>
  <si>
    <t>07/08/2020 8:16 AM</t>
  </si>
  <si>
    <t>28/07/2020 5:00 PM</t>
  </si>
  <si>
    <t>04/08/2020 8:58 AM</t>
  </si>
  <si>
    <t>04/08/2020 8:44 AM</t>
  </si>
  <si>
    <t>24/07/2020 5:10 PM</t>
  </si>
  <si>
    <t>29/07/2020 9:30 AM</t>
  </si>
  <si>
    <t>10/08/2020 3:59 PM</t>
  </si>
  <si>
    <t>10/08/2020 3:57 PM</t>
  </si>
  <si>
    <t>10/08/2020 3:58 PM</t>
  </si>
  <si>
    <t>04/08/2020 11:35 AM</t>
  </si>
  <si>
    <t>17/07/2020 12:00 AM</t>
  </si>
  <si>
    <t>30/07/2020 2:19 PM</t>
  </si>
  <si>
    <t>30/07/2020 1:29 PM</t>
  </si>
  <si>
    <t>10/08/2020 2:31 PM</t>
  </si>
  <si>
    <t>03/08/2020 4:31 PM</t>
  </si>
  <si>
    <t>26/07/2020 7:58 PM</t>
  </si>
  <si>
    <t>26/07/2020 7:53 PM</t>
  </si>
  <si>
    <t>26/07/2020 7:52 PM</t>
  </si>
  <si>
    <t>03/08/2020 10:22 PM</t>
  </si>
  <si>
    <t>07/08/2020 3:02 PM</t>
  </si>
  <si>
    <t>07/08/2020 4:41 PM</t>
  </si>
  <si>
    <t>05/08/2020 9:14 PM</t>
  </si>
  <si>
    <t>07/08/2020 4:50 PM</t>
  </si>
  <si>
    <t>01/08/2020 7:49 PM</t>
  </si>
  <si>
    <t>04/08/2020 1:17 PM</t>
  </si>
  <si>
    <t>03/08/2020 3:13 PM</t>
  </si>
  <si>
    <t>10/08/2020 2:12 PM</t>
  </si>
  <si>
    <t>03/08/2020 1:21 PM</t>
  </si>
  <si>
    <t>27/07/2020 2:17 PM</t>
  </si>
  <si>
    <t>04/08/2020 5:03 PM</t>
  </si>
  <si>
    <t>22/07/2020 11:01 AM</t>
  </si>
  <si>
    <t>06/08/2020 11:01 AM</t>
  </si>
  <si>
    <t>03/08/2020 5:13 PM</t>
  </si>
  <si>
    <t>08/08/2020 10:45 AM</t>
  </si>
  <si>
    <t>07/08/2020 10:53 AM</t>
  </si>
  <si>
    <t>05/08/2020 4:49 PM</t>
  </si>
  <si>
    <t>10/08/2020 9:43 AM</t>
  </si>
  <si>
    <t>28/07/2020 9:12 AM</t>
  </si>
  <si>
    <t>03/08/2020 10:20 PM</t>
  </si>
  <si>
    <t>04/08/2020 9:31 AM</t>
  </si>
  <si>
    <t>07/08/2020 9:38 AM</t>
  </si>
  <si>
    <t>07/08/2020 9:36 AM</t>
  </si>
  <si>
    <t>05/08/2020 8:28 AM</t>
  </si>
  <si>
    <t>16/07/2020 12:00 AM</t>
  </si>
  <si>
    <t>07/08/2020 9:33 AM</t>
  </si>
  <si>
    <t>03/08/2020 11:46 AM</t>
  </si>
  <si>
    <t>05/08/2020 8:22 AM</t>
  </si>
  <si>
    <t>10/08/2020 8:25 PM</t>
  </si>
  <si>
    <t>03/08/2020 2:47 PM</t>
  </si>
  <si>
    <t>04/08/2020 1:24 PM</t>
  </si>
  <si>
    <t>03/08/2020 2:45 PM</t>
  </si>
  <si>
    <t>21/07/2020 2:28 PM</t>
  </si>
  <si>
    <t>03/08/2020 2:46 PM</t>
  </si>
  <si>
    <t>06/08/2020 5:53 PM</t>
  </si>
  <si>
    <t>04/08/2020 1:20 PM</t>
  </si>
  <si>
    <t>06/08/2020 4:33 PM</t>
  </si>
  <si>
    <t>21/07/2020 3:40 PM</t>
  </si>
  <si>
    <t>05/08/2020 8:36 AM</t>
  </si>
  <si>
    <t>04/08/2020 1:22 PM</t>
  </si>
  <si>
    <t>15/07/2020 12:00 AM</t>
  </si>
  <si>
    <t>30/07/2020 3:40 PM</t>
  </si>
  <si>
    <t>03/08/2020 2:44 PM</t>
  </si>
  <si>
    <t>05/08/2020 11:53 AM</t>
  </si>
  <si>
    <t>17/07/2020 5:54 PM</t>
  </si>
  <si>
    <t>04/08/2020 9:33 AM</t>
  </si>
  <si>
    <t>04/08/2020 9:32 AM</t>
  </si>
  <si>
    <t>04/08/2020 1:25 PM</t>
  </si>
  <si>
    <t>05/08/2020 11:55 AM</t>
  </si>
  <si>
    <t>03/08/2020 2:43 PM</t>
  </si>
  <si>
    <t>30/07/2020 1:12 PM</t>
  </si>
  <si>
    <t>16/07/2020 9:23 AM</t>
  </si>
  <si>
    <t>04/08/2020 1:27 PM</t>
  </si>
  <si>
    <t>05/08/2020 11:38 PM</t>
  </si>
  <si>
    <t>30/07/2020 3:26 PM</t>
  </si>
  <si>
    <t>04/08/2020 9:27 AM</t>
  </si>
  <si>
    <t>04/08/2020 9:25 AM</t>
  </si>
  <si>
    <t>04/08/2020 8:20 AM</t>
  </si>
  <si>
    <t>06/08/2020 8:14 PM</t>
  </si>
  <si>
    <t>05/08/2020 9:41 AM</t>
  </si>
  <si>
    <t>14/07/2020 12:00 AM</t>
  </si>
  <si>
    <t>04/08/2020 9:28 AM</t>
  </si>
  <si>
    <t>17/07/2020 12:51 PM</t>
  </si>
  <si>
    <t>21/07/2020 3:22 PM</t>
  </si>
  <si>
    <t>03/08/2020 5:07 PM</t>
  </si>
  <si>
    <t>03/08/2020 7:19 PM</t>
  </si>
  <si>
    <t>07/08/2020 2:59 PM</t>
  </si>
  <si>
    <t>02/08/2020 10:08 AM</t>
  </si>
  <si>
    <t>06/08/2020 11:49 AM</t>
  </si>
  <si>
    <t>10/08/2020 3:10 PM</t>
  </si>
  <si>
    <t>06/08/2020 12:36 AM</t>
  </si>
  <si>
    <t>06/08/2020 12:35 AM</t>
  </si>
  <si>
    <t>03/08/2020 3:23 PM</t>
  </si>
  <si>
    <t>06/08/2020 12:34 AM</t>
  </si>
  <si>
    <t>06/08/2020 12:32 AM</t>
  </si>
  <si>
    <t>06/08/2020 12:31 AM</t>
  </si>
  <si>
    <t>02/08/2020 10:10 AM</t>
  </si>
  <si>
    <t>06/08/2020 12:30 AM</t>
  </si>
  <si>
    <t>29/07/2020 1:05 PM</t>
  </si>
  <si>
    <t>13/07/2020 12:00 AM</t>
  </si>
  <si>
    <t>03/08/2020 5:48 PM</t>
  </si>
  <si>
    <t>11/07/2020 12:00 AM</t>
  </si>
  <si>
    <t>06/08/2020 3:32 PM</t>
  </si>
  <si>
    <t>06/08/2020 3:29 PM</t>
  </si>
  <si>
    <t>05/08/2020 3:44 PM</t>
  </si>
  <si>
    <t>15/07/2020 6:07 PM</t>
  </si>
  <si>
    <t>15/07/2020 6:05 PM</t>
  </si>
  <si>
    <t>03/08/2020 6:11 PM</t>
  </si>
  <si>
    <t>06/08/2020 4:32 PM</t>
  </si>
  <si>
    <t>30/07/2020 4:16 PM</t>
  </si>
  <si>
    <t>06/08/2020 1:56 PM</t>
  </si>
  <si>
    <t>06/08/2020 1:53 PM</t>
  </si>
  <si>
    <t>10/08/2020 8:12 PM</t>
  </si>
  <si>
    <t>06/08/2020 1:50 PM</t>
  </si>
  <si>
    <t>03/08/2020 5:56 PM</t>
  </si>
  <si>
    <t>09/08/2020 12:51 AM</t>
  </si>
  <si>
    <t>28/07/2020 7:23 PM</t>
  </si>
  <si>
    <t>31/07/2020 3:41 PM</t>
  </si>
  <si>
    <t>10/07/2020 12:00 AM</t>
  </si>
  <si>
    <t>22/07/2020 3:23 PM</t>
  </si>
  <si>
    <t>10/08/2020 2:27 PM</t>
  </si>
  <si>
    <t>06/08/2020 3:03 PM</t>
  </si>
  <si>
    <t>07/08/2020 8:28 AM</t>
  </si>
  <si>
    <t>08/07/2020 12:00 AM</t>
  </si>
  <si>
    <t>08/08/2020 11:36 PM</t>
  </si>
  <si>
    <t>09/07/2020 12:00 AM</t>
  </si>
  <si>
    <t>07/08/2020 1:22 PM</t>
  </si>
  <si>
    <t>07/08/2020 7:00 PM</t>
  </si>
  <si>
    <t>04/08/2020 11:28 PM</t>
  </si>
  <si>
    <t>04/08/2020 10:13 AM</t>
  </si>
  <si>
    <t>07/08/2020 2:01 PM</t>
  </si>
  <si>
    <t>05/08/2020 9:38 PM</t>
  </si>
  <si>
    <t>05/08/2020 9:41 PM</t>
  </si>
  <si>
    <t>04/08/2020 8:57 AM</t>
  </si>
  <si>
    <t>03/08/2020 4:50 PM</t>
  </si>
  <si>
    <t>03/08/2020 5:33 PM</t>
  </si>
  <si>
    <t>04/08/2020 10:59 PM</t>
  </si>
  <si>
    <t>03/08/2020 5:27 PM</t>
  </si>
  <si>
    <t>03/08/2020 7:21 PM</t>
  </si>
  <si>
    <t>06/08/2020 3:45 PM</t>
  </si>
  <si>
    <t>10/08/2020 10:51 AM</t>
  </si>
  <si>
    <t>04/08/2020 11:02 PM</t>
  </si>
  <si>
    <t>07/08/2020 1:52 PM</t>
  </si>
  <si>
    <t>03/08/2020 1:41 PM</t>
  </si>
  <si>
    <t>02/08/2020 7:16 PM</t>
  </si>
  <si>
    <t>04/08/2020 10:07 AM</t>
  </si>
  <si>
    <t>05/08/2020 9:05 AM</t>
  </si>
  <si>
    <t>04/08/2020 10:34 AM</t>
  </si>
  <si>
    <t>04/08/2020 8:11 AM</t>
  </si>
  <si>
    <t>04/08/2020 8:41 PM</t>
  </si>
  <si>
    <t>23/07/2020 4:04 PM</t>
  </si>
  <si>
    <t>07/08/2020 4:45 PM</t>
  </si>
  <si>
    <t>07/08/2020 4:43 PM</t>
  </si>
  <si>
    <t>07/08/2020 4:47 PM</t>
  </si>
  <si>
    <t>04/08/2020 10:04 AM</t>
  </si>
  <si>
    <t>07/08/2020 10:45 AM</t>
  </si>
  <si>
    <t>04/08/2020 1:21 PM</t>
  </si>
  <si>
    <t>01/08/2020 3:55 PM</t>
  </si>
  <si>
    <t>04/08/2020 1:13 PM</t>
  </si>
  <si>
    <t>29/07/2020 9:19 PM</t>
  </si>
  <si>
    <t>07/08/2020 4:15 PM</t>
  </si>
  <si>
    <t>07/08/2020 2:03 PM</t>
  </si>
  <si>
    <t>07/08/2020 4:27 PM</t>
  </si>
  <si>
    <t>08/08/2020 11:42 PM</t>
  </si>
  <si>
    <t>08/08/2020 11:46 PM</t>
  </si>
  <si>
    <t>06/08/2020 2:00 PM</t>
  </si>
  <si>
    <t>04/08/2020 8:34 AM</t>
  </si>
  <si>
    <t>06/08/2020 5:01 PM</t>
  </si>
  <si>
    <t>04/08/2020 1:59 PM</t>
  </si>
  <si>
    <t>09/08/2020 12:16 AM</t>
  </si>
  <si>
    <t>09/08/2020 12:31 AM</t>
  </si>
  <si>
    <t>09/08/2020 10:38 PM</t>
  </si>
  <si>
    <t>27/07/2020 3:15 PM</t>
  </si>
  <si>
    <t>09/08/2020 12:04 AM</t>
  </si>
  <si>
    <t>05/08/2020 4:21 PM</t>
  </si>
  <si>
    <t>02/07/2020 12:00 AM</t>
  </si>
  <si>
    <t>05/08/2020 4:23 PM</t>
  </si>
  <si>
    <t>07/08/2020 4:17 PM</t>
  </si>
  <si>
    <t>17/07/2020 12:05 PM</t>
  </si>
  <si>
    <t>08/07/2020 9:48 PM</t>
  </si>
  <si>
    <t>10/08/2020 9:54 AM</t>
  </si>
  <si>
    <t>10/08/2020 9:55 AM</t>
  </si>
  <si>
    <t>10/08/2020 9:56 AM</t>
  </si>
  <si>
    <t>10/08/2020 9:59 AM</t>
  </si>
  <si>
    <t>06/07/2020 11:07 AM</t>
  </si>
  <si>
    <t>03/08/2020 2:10 PM</t>
  </si>
  <si>
    <t>22/07/2020 11:13 AM</t>
  </si>
  <si>
    <t>04/08/2020 2:02 PM</t>
  </si>
  <si>
    <t>04/08/2020 2:05 PM</t>
  </si>
  <si>
    <t>04/08/2020 4:43 PM</t>
  </si>
  <si>
    <t>29/07/2020 9:26 PM</t>
  </si>
  <si>
    <t>07/08/2020 2:26 PM</t>
  </si>
  <si>
    <t>29/07/2020 11:53 AM</t>
  </si>
  <si>
    <t>05/08/2020 4:15 PM</t>
  </si>
  <si>
    <t>05/08/2020 4:20 PM</t>
  </si>
  <si>
    <t>28/07/2020 12:59 PM</t>
  </si>
  <si>
    <t>30/07/2020 5:59 PM</t>
  </si>
  <si>
    <t>03/08/2020 7:56 PM</t>
  </si>
  <si>
    <t>04/08/2020 11:38 AM</t>
  </si>
  <si>
    <t>30/07/2020 6:06 PM</t>
  </si>
  <si>
    <t>01/07/2020 1:43 PM</t>
  </si>
  <si>
    <t>10/08/2020 10:04 AM</t>
  </si>
  <si>
    <t>01/07/2020 1:45 PM</t>
  </si>
  <si>
    <t>01/07/2020 1:41 PM</t>
  </si>
  <si>
    <t>06/08/2020 11:18 AM</t>
  </si>
  <si>
    <t>06/08/2020 10:19 AM</t>
  </si>
  <si>
    <t>03/08/2020 2:18 PM</t>
  </si>
  <si>
    <t>06/08/2020 11:15 AM</t>
  </si>
  <si>
    <t>06/08/2020 11:13 AM</t>
  </si>
  <si>
    <t>06/08/2020 11:20 AM</t>
  </si>
  <si>
    <t>22/07/2020 10:30 AM</t>
  </si>
  <si>
    <t>07/08/2020 8:31 AM</t>
  </si>
  <si>
    <t>04/08/2020 6:46 PM</t>
  </si>
  <si>
    <t>16/07/2020 8:44 AM</t>
  </si>
  <si>
    <t>07/08/2020 2:23 PM</t>
  </si>
  <si>
    <t>05/08/2020 4:43 PM</t>
  </si>
  <si>
    <t>05/08/2020 8:27 AM</t>
  </si>
  <si>
    <t>04/08/2020 10:06 AM</t>
  </si>
  <si>
    <t>06/08/2020 11:11 AM</t>
  </si>
  <si>
    <t>31/07/2020 12:31 PM</t>
  </si>
  <si>
    <t>31/07/2020 12:33 PM</t>
  </si>
  <si>
    <t>31/07/2020 12:35 PM</t>
  </si>
  <si>
    <t>31/07/2020 12:34 PM</t>
  </si>
  <si>
    <t>31/07/2020 12:30 PM</t>
  </si>
  <si>
    <t>23/07/2020 4:00 PM</t>
  </si>
  <si>
    <t>10/08/2020 10:03 AM</t>
  </si>
  <si>
    <t>31/07/2020 12:32 PM</t>
  </si>
  <si>
    <t>10/08/2020 10:00 AM</t>
  </si>
  <si>
    <t>07/08/2020 2:43 PM</t>
  </si>
  <si>
    <t>30/07/2020 10:04 PM</t>
  </si>
  <si>
    <t>06/08/2020 2:08 PM</t>
  </si>
  <si>
    <t>30/07/2020 10:00 PM</t>
  </si>
  <si>
    <t>30/07/2020 10:02 PM</t>
  </si>
  <si>
    <t>05/08/2020 2:38 PM</t>
  </si>
  <si>
    <t>06/08/2020 2:02 PM</t>
  </si>
  <si>
    <t>06/08/2020 11:31 AM</t>
  </si>
  <si>
    <t>29/07/2020 9:38 AM</t>
  </si>
  <si>
    <t>14/07/2020 3:07 PM</t>
  </si>
  <si>
    <t>30/07/2020 10:03 PM</t>
  </si>
  <si>
    <t>04/08/2020 3:59 PM</t>
  </si>
  <si>
    <t>07/08/2020 2:48 PM</t>
  </si>
  <si>
    <t>04/08/2020 2:18 PM</t>
  </si>
  <si>
    <t>22/07/2020 3:58 PM</t>
  </si>
  <si>
    <t>03/08/2020 3:48 PM</t>
  </si>
  <si>
    <t>30/07/2020 10:11 AM</t>
  </si>
  <si>
    <t>07/08/2020 3:00 PM</t>
  </si>
  <si>
    <t>30/07/2020 10:24 AM</t>
  </si>
  <si>
    <t>03/08/2020 4:20 PM</t>
  </si>
  <si>
    <t>06/08/2020 3:53 PM</t>
  </si>
  <si>
    <t>29/07/2020 9:34 PM</t>
  </si>
  <si>
    <t>30/07/2020 10:26 AM</t>
  </si>
  <si>
    <t>30/07/2020 10:19 PM</t>
  </si>
  <si>
    <t>30/05/2020 2:19 PM</t>
  </si>
  <si>
    <t>27/04/2020 12:00 AM</t>
  </si>
  <si>
    <t>30/05/2020 2:22 PM</t>
  </si>
  <si>
    <t>30/05/2020 2:28 PM</t>
  </si>
  <si>
    <t>07/08/2020 2:28 PM</t>
  </si>
  <si>
    <t>30/05/2020 2:25 PM</t>
  </si>
  <si>
    <t>06/08/2020 10:57 AM</t>
  </si>
  <si>
    <t>30/05/2020 2:10 PM</t>
  </si>
  <si>
    <t>29/05/2020 4:05 PM</t>
  </si>
  <si>
    <t>19/05/2020 6:10 PM</t>
  </si>
  <si>
    <t>30/05/2020 2:13 PM</t>
  </si>
  <si>
    <t>04/08/2020 6:19 PM</t>
  </si>
  <si>
    <t>04/08/2020 3:57 PM</t>
  </si>
  <si>
    <t>16/07/2020 3:54 PM</t>
  </si>
  <si>
    <t>03/08/2020 7:16 PM</t>
  </si>
  <si>
    <t>16/07/2020 3:30 PM</t>
  </si>
  <si>
    <t>03/08/2020 12:38 PM</t>
  </si>
  <si>
    <t>17/07/2020 10:11 AM</t>
  </si>
  <si>
    <t>07/08/2020 5:32 PM</t>
  </si>
  <si>
    <t>27/07/2020 5:18 PM</t>
  </si>
  <si>
    <t>27/07/2020 7:04 PM</t>
  </si>
  <si>
    <t>17/07/2020 10:18 AM</t>
  </si>
  <si>
    <t>10/08/2020 4:26 PM</t>
  </si>
  <si>
    <t>17/07/2020 10:24 AM</t>
  </si>
  <si>
    <t>06/08/2020 4:55 PM</t>
  </si>
  <si>
    <t>06/04/2020 12:00 AM</t>
  </si>
  <si>
    <t>22/07/2020 3:55 PM</t>
  </si>
  <si>
    <t>29/07/2020 9:37 PM</t>
  </si>
  <si>
    <t>04/08/2020 11:51 PM</t>
  </si>
  <si>
    <t>07/08/2020 9:21 AM</t>
  </si>
  <si>
    <t>27/07/2020 11:11 AM</t>
  </si>
  <si>
    <t>03/08/2020 3:39 PM</t>
  </si>
  <si>
    <t>27/07/2020 3:22 PM</t>
  </si>
  <si>
    <t>06/08/2020 2:50 PM</t>
  </si>
  <si>
    <t>07/08/2020 3:04 PM</t>
  </si>
  <si>
    <t>28/07/2020 5:21 PM</t>
  </si>
  <si>
    <t>30/07/2020 9:34 AM</t>
  </si>
  <si>
    <t>05/08/2020 4:44 PM</t>
  </si>
  <si>
    <t>28/07/2020 5:16 PM</t>
  </si>
  <si>
    <t>03/08/2020 5:21 PM</t>
  </si>
  <si>
    <t>30/05/2020 2:16 PM</t>
  </si>
  <si>
    <t>03/08/2020 7:15 PM</t>
  </si>
  <si>
    <t>06/08/2020 10:53 AM</t>
  </si>
  <si>
    <t>06/08/2020 10:09 AM</t>
  </si>
  <si>
    <t>06/08/2020 10:06 AM</t>
  </si>
  <si>
    <t>06/08/2020 10:10 AM</t>
  </si>
  <si>
    <t>03/08/2020 6:58 PM</t>
  </si>
  <si>
    <t>30/07/2020 10:22 PM</t>
  </si>
  <si>
    <t>01/07/2020 1:36 PM</t>
  </si>
  <si>
    <t>06/08/2020 2:57 PM</t>
  </si>
  <si>
    <t>22/07/2020 11:18 AM</t>
  </si>
  <si>
    <t>01/07/2020 1:28 PM</t>
  </si>
  <si>
    <t>01/07/2020 1:34 PM</t>
  </si>
  <si>
    <t>07/07/2020 6:35 PM</t>
  </si>
  <si>
    <t>14/07/2020 11:22 AM</t>
  </si>
  <si>
    <t>07/08/2020 2:58 PM</t>
  </si>
  <si>
    <t>09/08/2020 10:47 PM</t>
  </si>
  <si>
    <t>06/08/2020 3:33 PM</t>
  </si>
  <si>
    <t>10/08/2020 12:01 PM</t>
  </si>
  <si>
    <t>03/08/2020 7:04 PM</t>
  </si>
  <si>
    <t>27/07/2020 3:18 PM</t>
  </si>
  <si>
    <t>28/07/2020 9:43 AM</t>
  </si>
  <si>
    <t>04/08/2020 11:32 AM</t>
  </si>
  <si>
    <t>05/08/2020 3:49 PM</t>
  </si>
  <si>
    <t>06/08/2020 2:07 PM</t>
  </si>
  <si>
    <t>23/07/2020 4:39 PM</t>
  </si>
  <si>
    <t>04/08/2020 3:54 PM</t>
  </si>
  <si>
    <t>03/08/2020 3:59 PM</t>
  </si>
  <si>
    <t>27/07/2020 3:10 PM</t>
  </si>
  <si>
    <t>10/08/2020 9:25 AM</t>
  </si>
  <si>
    <t>27/07/2020 6:56 PM</t>
  </si>
  <si>
    <t>06/08/2020 11:50 AM</t>
  </si>
  <si>
    <t>29/07/2020 10:39 AM</t>
  </si>
  <si>
    <t>03/08/2020 3:47 PM</t>
  </si>
  <si>
    <t>16/06/2020 6:49 PM</t>
  </si>
  <si>
    <t>29/07/2020 9:22 PM</t>
  </si>
  <si>
    <t>04/08/2020 7:41 PM</t>
  </si>
  <si>
    <t>09/08/2020 1:00 AM</t>
  </si>
  <si>
    <t>03/08/2020 4:44 PM</t>
  </si>
  <si>
    <t>05/08/2020 4:52 PM</t>
  </si>
  <si>
    <t>06/08/2020 3:21 PM</t>
  </si>
  <si>
    <t>05/08/2020 3:33 PM</t>
  </si>
  <si>
    <t>29/07/2020 3:48 PM</t>
  </si>
  <si>
    <t>07/08/2020 9:55 AM</t>
  </si>
  <si>
    <t>27/07/2020 3:04 PM</t>
  </si>
  <si>
    <t>03/08/2020 2:49 PM</t>
  </si>
  <si>
    <t>05/08/2020 8:34 AM</t>
  </si>
  <si>
    <t>05/08/2020 8:32 AM</t>
  </si>
  <si>
    <t>05/08/2020 8:30 AM</t>
  </si>
  <si>
    <t>04/08/2020 8:36 PM</t>
  </si>
  <si>
    <t>07/08/2020 9:43 AM</t>
  </si>
  <si>
    <t>04/08/2020 5:05 PM</t>
  </si>
  <si>
    <t>07/08/2020 9:59 AM</t>
  </si>
  <si>
    <t>03/08/2020 5:10 PM</t>
  </si>
  <si>
    <t>05/08/2020 5:40 PM</t>
  </si>
  <si>
    <t>05/08/2020 5:48 PM</t>
  </si>
  <si>
    <t>05/08/2020 5:32 PM</t>
  </si>
  <si>
    <t>07/08/2020 3:47 PM</t>
  </si>
  <si>
    <t>04/08/2020 4:24 PM</t>
  </si>
  <si>
    <t>04/08/2020 2:14 PM</t>
  </si>
  <si>
    <t>10/08/2020 9:29 AM</t>
  </si>
  <si>
    <t>06/08/2020 7:25 PM</t>
  </si>
  <si>
    <t>07/08/2020 9:50 AM</t>
  </si>
  <si>
    <t>10/08/2020 9:34 AM</t>
  </si>
  <si>
    <t>04/08/2020 5:54 PM</t>
  </si>
  <si>
    <t>05/08/2020 8:32 PM</t>
  </si>
  <si>
    <t>03/08/2020 7:10 PM</t>
  </si>
  <si>
    <t>28/07/2020 5:04 PM</t>
  </si>
  <si>
    <t>05/08/2020 4:31 PM</t>
  </si>
  <si>
    <t>03/08/2020 9:36 PM</t>
  </si>
  <si>
    <t>03/08/2020 9:34 PM</t>
  </si>
  <si>
    <t>06/08/2020 2:47 PM</t>
  </si>
  <si>
    <t>03/08/2020 4:01 PM</t>
  </si>
  <si>
    <t>03/08/2020 4:00 PM</t>
  </si>
  <si>
    <t>28/02/2020 2:06 PM</t>
  </si>
  <si>
    <t>04/08/2020 5:30 PM</t>
  </si>
  <si>
    <t>05/08/2020 5:54 PM</t>
  </si>
  <si>
    <t>16/07/2020 5:12 PM</t>
  </si>
  <si>
    <t>03/08/2020 2:19 PM</t>
  </si>
  <si>
    <t>27/07/2020 2:53 PM</t>
  </si>
  <si>
    <t>16/07/2020 12:25 AM</t>
  </si>
  <si>
    <t>09/07/2020 11:12 AM</t>
  </si>
  <si>
    <t>21/05/2020 12:35 PM</t>
  </si>
  <si>
    <t>21/05/2020 12:12 PM</t>
  </si>
  <si>
    <t>21/05/2020 12:32 PM</t>
  </si>
  <si>
    <t>03/08/2020 1:19 PM</t>
  </si>
  <si>
    <t>21/05/2020 12:29 PM</t>
  </si>
  <si>
    <t>27/07/2020 2:46 PM</t>
  </si>
  <si>
    <t>07/08/2020 4:19 PM</t>
  </si>
  <si>
    <t>28/07/2020 9:19 AM</t>
  </si>
  <si>
    <t>30/07/2020 1:31 PM</t>
  </si>
  <si>
    <t>05/08/2020 5:19 PM</t>
  </si>
  <si>
    <t>04/08/2020 2:45 PM</t>
  </si>
  <si>
    <t>05/08/2020 10:47 PM</t>
  </si>
  <si>
    <t>06/08/2020 3:41 PM</t>
  </si>
  <si>
    <t>10/08/2020 4:07 PM</t>
  </si>
  <si>
    <t>06/08/2020 6:37 PM</t>
  </si>
  <si>
    <t>07/08/2020 3:37 PM</t>
  </si>
  <si>
    <t>27/07/2020 2:58 PM</t>
  </si>
  <si>
    <t>05/08/2020 11:31 AM</t>
  </si>
  <si>
    <t>01/08/2020 8:34 PM</t>
  </si>
  <si>
    <t>06/08/2020 3:26 PM</t>
  </si>
  <si>
    <t>03/08/2020 3:28 PM</t>
  </si>
  <si>
    <t>29/07/2020 12:54 PM</t>
  </si>
  <si>
    <t>03/08/2020 5:26 PM</t>
  </si>
  <si>
    <t>05/08/2020 10:14 PM</t>
  </si>
  <si>
    <t>03/08/2020 4:28 PM</t>
  </si>
  <si>
    <t>05/08/2020 6:53 PM</t>
  </si>
  <si>
    <t>03/08/2020 12:36 PM</t>
  </si>
  <si>
    <t>28/07/2020 3:56 PM</t>
  </si>
  <si>
    <t>28/07/2020 3:54 PM</t>
  </si>
  <si>
    <t>03/08/2020 3:51 PM</t>
  </si>
  <si>
    <t>30/07/2020 5:08 PM</t>
  </si>
  <si>
    <t>05/08/2020 3:16 PM</t>
  </si>
  <si>
    <t>05/08/2020 6:16 PM</t>
  </si>
  <si>
    <t>28/07/2020 4:40 PM</t>
  </si>
  <si>
    <t>03/08/2020 2:48 PM</t>
  </si>
  <si>
    <t>04/08/2020 2:34 PM</t>
  </si>
  <si>
    <t>07/08/2020 1:21 PM</t>
  </si>
  <si>
    <t>30/07/2020 4:28 PM</t>
  </si>
  <si>
    <t>29/07/2020 3:04 PM</t>
  </si>
  <si>
    <t>05/08/2020 2:29 PM</t>
  </si>
  <si>
    <t>30/07/2020 10:51 AM</t>
  </si>
  <si>
    <t>13/08/2020 11:00 AM</t>
  </si>
  <si>
    <t>13/08/2020 10:00 AM</t>
  </si>
  <si>
    <t>19/08/2020 2:00 PM</t>
  </si>
  <si>
    <t>01/09/2020 1:00 AM</t>
  </si>
  <si>
    <t>18/08/2020 2:00 PM</t>
  </si>
  <si>
    <t>18/08/2020 8:00 AM</t>
  </si>
  <si>
    <t>13/08/2020 1:00 PM</t>
  </si>
  <si>
    <t>19/08/2020 6:00 PM</t>
  </si>
  <si>
    <t>19/08/2020 9:00 AM</t>
  </si>
  <si>
    <t>17/08/2020 3:00 PM</t>
  </si>
  <si>
    <t>01/09/2020 10:00 AM</t>
  </si>
  <si>
    <t>17/08/2020 2:00 PM</t>
  </si>
  <si>
    <t>07/09/2020 1:00 AM</t>
  </si>
  <si>
    <t>17/08/2020 5:00 PM</t>
  </si>
  <si>
    <t>18/08/2020 9:00 AM</t>
  </si>
  <si>
    <t>17/08/2020 1:00 PM</t>
  </si>
  <si>
    <t>01/09/2020 9:00 AM</t>
  </si>
  <si>
    <t>01/09/2020 3:00 PM</t>
  </si>
  <si>
    <t>17/08/2020 10:00 AM</t>
  </si>
  <si>
    <t>10/09/2020 1:45 PM</t>
  </si>
  <si>
    <t>10/09/2020 10:00 AM</t>
  </si>
  <si>
    <t>09/09/2020 10:00 AM</t>
  </si>
  <si>
    <t>26/08/2020 10:00 AM</t>
  </si>
  <si>
    <t>01/09/2020 2:00 PM</t>
  </si>
  <si>
    <t>13/08/2020 1:00 AM</t>
  </si>
  <si>
    <t>18/08/2020 10:00 AM</t>
  </si>
  <si>
    <t>12/08/2020 4:00 PM</t>
  </si>
  <si>
    <t>09/09/2020 1:45 PM</t>
  </si>
  <si>
    <t>17/08/2020 9:10 AM</t>
  </si>
  <si>
    <t>24/08/2020 1:00 AM</t>
  </si>
  <si>
    <t>17/08/2020 5:00 AM</t>
  </si>
  <si>
    <t>28/08/2020 1:00 AM</t>
  </si>
  <si>
    <t>18/08/2020 9:30 AM</t>
  </si>
  <si>
    <t>01/09/2020 12:00 PM</t>
  </si>
  <si>
    <t>14/08/2020 5:00 PM</t>
  </si>
  <si>
    <t>01/09/2020 5:00 PM</t>
  </si>
  <si>
    <t>17/08/2020 1:00 AM</t>
  </si>
  <si>
    <t>18/08/2020 8:30 AM</t>
  </si>
  <si>
    <t>17/08/2020 2:30 PM</t>
  </si>
  <si>
    <t>02/09/2020 5:00 PM</t>
  </si>
  <si>
    <t>25/08/2020 8:30 AM</t>
  </si>
  <si>
    <t>17/08/2020 12:00 PM</t>
  </si>
  <si>
    <t>20/08/2020 9:30 AM</t>
  </si>
  <si>
    <t>07/09/2020 9:30 AM</t>
  </si>
  <si>
    <t>20/08/2020 10:30 AM</t>
  </si>
  <si>
    <t>13/08/2020 5:00 PM</t>
  </si>
  <si>
    <t>28/08/2020 1:00 PM</t>
  </si>
  <si>
    <t>31/08/2020 2:00 PM</t>
  </si>
  <si>
    <t>14/08/2020 12:00 PM</t>
  </si>
  <si>
    <t>14/08/2020 9:00 AM</t>
  </si>
  <si>
    <t>17/08/2020 9:00 AM</t>
  </si>
  <si>
    <t>20/08/2020 10:00 AM</t>
  </si>
  <si>
    <t>12/08/2020 5:00 PM</t>
  </si>
  <si>
    <t>13/08/2020 9:00 AM</t>
  </si>
  <si>
    <t>17/08/2020 8:00 AM</t>
  </si>
  <si>
    <t>13/08/2020 2:30 PM</t>
  </si>
  <si>
    <t>11/08/2020 9:00 AM</t>
  </si>
  <si>
    <t>24/08/2020 9:00 AM</t>
  </si>
  <si>
    <t>12/08/2020 4:30 PM</t>
  </si>
  <si>
    <t>12/08/2020 1:00 AM</t>
  </si>
  <si>
    <t>13/08/2020 3:00 PM</t>
  </si>
  <si>
    <t>12/08/2020 3:00 PM</t>
  </si>
  <si>
    <t>08/09/2020 1:30 PM</t>
  </si>
  <si>
    <t>01/09/2020 1:00 PM</t>
  </si>
  <si>
    <t>14/08/2020 1:00 AM</t>
  </si>
  <si>
    <t>18/08/2020 12:00 PM</t>
  </si>
  <si>
    <t>12/08/2020 5:30 PM</t>
  </si>
  <si>
    <t>18/08/2020 1:30 PM</t>
  </si>
  <si>
    <t>14/08/2020 2:00 PM</t>
  </si>
  <si>
    <t>14/08/2020 8:00 AM</t>
  </si>
  <si>
    <t>13/08/2020 8:00 AM</t>
  </si>
  <si>
    <t>01/09/2020 11:00 AM</t>
  </si>
  <si>
    <t>13/08/2020 2:00 PM</t>
  </si>
  <si>
    <t>20/08/2020 1:30 PM</t>
  </si>
  <si>
    <t>14/08/2020 10:00 AM</t>
  </si>
  <si>
    <t>27/08/2020 5:00 PM</t>
  </si>
  <si>
    <t>31/08/2020 9:00 AM</t>
  </si>
  <si>
    <t>31/08/2020 10:00 AM</t>
  </si>
  <si>
    <t>19/08/2020 12:00 PM</t>
  </si>
  <si>
    <t>13/08/2020 4:30 PM</t>
  </si>
  <si>
    <t>13/08/2020 9:30 AM</t>
  </si>
  <si>
    <t>21/08/2020 5:00 PM</t>
  </si>
  <si>
    <t>31/08/2020 1:00 PM</t>
  </si>
  <si>
    <t>24/08/2020 12:00 PM</t>
  </si>
  <si>
    <t>25/08/2020 1:00 AM</t>
  </si>
  <si>
    <t>21/08/2020 1:00 AM</t>
  </si>
  <si>
    <t>12/08/2020 1:00 PM</t>
  </si>
  <si>
    <t>20/08/2020 2:00 PM</t>
  </si>
  <si>
    <t>19/08/2020 1:00 AM</t>
  </si>
  <si>
    <t>13/08/2020 7:00 AM</t>
  </si>
  <si>
    <t>11/08/2020 1:00 AM</t>
  </si>
  <si>
    <t>13/08/2020 12:00 AM</t>
  </si>
  <si>
    <t>27/08/2020 11:00 AM</t>
  </si>
  <si>
    <t>17/08/2020 11:00 AM</t>
  </si>
  <si>
    <t>21/08/2020 2:00 PM</t>
  </si>
  <si>
    <t>13/08/2020 12:00 PM</t>
  </si>
  <si>
    <t>18/08/2020 1:00 AM</t>
  </si>
  <si>
    <t>20/08/2020 1:00 AM</t>
  </si>
  <si>
    <t>11/08/2020 1:37 PM</t>
  </si>
  <si>
    <t>28/08/2020 2:00 PM</t>
  </si>
  <si>
    <t>21/08/2020 9:00 AM</t>
  </si>
  <si>
    <t>11/08/2020 1:33 PM</t>
  </si>
  <si>
    <t>17/08/2020 3:01 PM</t>
  </si>
  <si>
    <t>04/09/2020 10:00 AM</t>
  </si>
  <si>
    <t>18/08/2020 1:00 PM</t>
  </si>
  <si>
    <t>25/08/2020 2:00 PM</t>
  </si>
  <si>
    <t>13/08/2020 8:00 PM</t>
  </si>
  <si>
    <t>12/08/2020 2:00 PM</t>
  </si>
  <si>
    <t>11/08/2020 5:00 PM</t>
  </si>
  <si>
    <t>04/09/2020 8:00 AM</t>
  </si>
  <si>
    <t>13/08/2020 1:15 PM</t>
  </si>
  <si>
    <t>12/08/2020 9:00 AM</t>
  </si>
  <si>
    <t>13/08/2020 12:01 PM</t>
  </si>
  <si>
    <t>13/08/2020 2:15 PM</t>
  </si>
  <si>
    <t>18/08/2020 5:00 PM</t>
  </si>
  <si>
    <t>18/08/2020 3:00 PM</t>
  </si>
  <si>
    <t>17/08/2020 9:30 AM</t>
  </si>
  <si>
    <t>20/08/2020 9:00 AM</t>
  </si>
  <si>
    <t>24/08/2020 2:00 PM</t>
  </si>
  <si>
    <t>13/08/2020 1:30 PM</t>
  </si>
  <si>
    <t>17/08/2020 1:30 PM</t>
  </si>
  <si>
    <t>11/08/2020 3:59 PM</t>
  </si>
  <si>
    <t>12/08/2020 8:00 AM</t>
  </si>
  <si>
    <t>18/08/2020 12:00 AM</t>
  </si>
  <si>
    <t>28/08/2020 9:00 AM</t>
  </si>
  <si>
    <t>13/08/2020 2:45 PM</t>
  </si>
  <si>
    <t>27/08/2020 10:00 AM</t>
  </si>
  <si>
    <t>13/08/2020 11:01 PM</t>
  </si>
  <si>
    <t>01/09/2020 2:02 PM</t>
  </si>
  <si>
    <t>07/09/2020 9:00 AM</t>
  </si>
  <si>
    <t>24/08/2020 5:00 PM</t>
  </si>
  <si>
    <t>31/08/2020 5:00 PM</t>
  </si>
  <si>
    <t>02/09/2020 1:00 PM</t>
  </si>
  <si>
    <t>28/08/2020 10:00 AM</t>
  </si>
  <si>
    <t>01/09/2020 9:30 AM</t>
  </si>
  <si>
    <t>22/09/2020 9:30 AM</t>
  </si>
  <si>
    <t>13/08/2020 1:45 PM</t>
  </si>
  <si>
    <t>24/08/2020 10:00 AM</t>
  </si>
  <si>
    <t>26/08/2020 5:00 PM</t>
  </si>
  <si>
    <t>01/09/2020 8:20 AM</t>
  </si>
  <si>
    <t>02/09/2020 10:00 AM</t>
  </si>
  <si>
    <t>19/08/2020 10:00 AM</t>
  </si>
  <si>
    <t>03/09/2020 10:01 AM</t>
  </si>
  <si>
    <t>14/08/2020 1:00 PM</t>
  </si>
  <si>
    <t>20/08/2020 5:00 PM</t>
  </si>
  <si>
    <t>21/08/2020 8:00 AM</t>
  </si>
  <si>
    <t>17/08/2020 2:00 AM</t>
  </si>
  <si>
    <t>02/09/2020 2:00 PM</t>
  </si>
  <si>
    <t>13/08/2020 10:30 AM</t>
  </si>
  <si>
    <t>24/08/2020 8:00 AM</t>
  </si>
  <si>
    <t>12/08/2020 12:00 PM</t>
  </si>
  <si>
    <t>13/08/2020 8:30 AM</t>
  </si>
  <si>
    <t>07/09/2020 1:00 PM</t>
  </si>
  <si>
    <t>14/08/2020 9:30 AM</t>
  </si>
  <si>
    <t>24/08/2020 3:00 PM</t>
  </si>
  <si>
    <t>14/08/2020 1:30 PM</t>
  </si>
  <si>
    <t>19/08/2020 5:00 PM</t>
  </si>
  <si>
    <t>11/08/2020 1:00 PM</t>
  </si>
  <si>
    <t>12/08/2020 11:00 AM</t>
  </si>
  <si>
    <t>12/08/2020 10:00 AM</t>
  </si>
  <si>
    <t>31/08/2020 1:00 AM</t>
  </si>
  <si>
    <t>27/08/2020 1:00 AM</t>
  </si>
  <si>
    <t>27/08/2020 1:00 PM</t>
  </si>
  <si>
    <t>18/08/2020 11:00 AM</t>
  </si>
  <si>
    <t>01/09/2020 1:30 PM</t>
  </si>
  <si>
    <t>17/08/2020 3:44 PM</t>
  </si>
  <si>
    <t>25/08/2020 9:00 AM</t>
  </si>
  <si>
    <t>07/09/2020 10:00 AM</t>
  </si>
  <si>
    <t>28/08/2020 2:00 AM</t>
  </si>
  <si>
    <t>17/08/2020 1:07 AM</t>
  </si>
  <si>
    <t>31/08/2020 7:00 AM</t>
  </si>
  <si>
    <t>28/08/2020 6:00 PM</t>
  </si>
  <si>
    <t>11/08/2020 7:07 AM</t>
  </si>
  <si>
    <t>24/08/2020 4:00 PM</t>
  </si>
  <si>
    <t>11/08/2020 12:00 PM</t>
  </si>
  <si>
    <t>12/08/2020 1:10 AM</t>
  </si>
  <si>
    <t>24/08/2020 1:00 PM</t>
  </si>
  <si>
    <t>18/08/2020 11:59 PM</t>
  </si>
  <si>
    <t>13/08/2020 10:10 AM</t>
  </si>
  <si>
    <t>11/08/2020 7:46 PM</t>
  </si>
  <si>
    <t>11/08/2020 8:00 AM</t>
  </si>
  <si>
    <t>25/08/2020 10:00 AM</t>
  </si>
  <si>
    <t>11/08/2020 10:00 AM</t>
  </si>
  <si>
    <t>11/08/2020 11:00 AM</t>
  </si>
  <si>
    <t>11/08/2020 2:00 PM</t>
  </si>
  <si>
    <t>11/08/2020 1:11 PM</t>
  </si>
  <si>
    <t>17/08/2020 7:00 AM</t>
  </si>
  <si>
    <t>19/08/2020 1:30 PM</t>
  </si>
  <si>
    <t>11/08/2020 1:30 PM</t>
  </si>
  <si>
    <t>11/08/2020 3:00 PM</t>
  </si>
  <si>
    <t>03/09/2020 2:00 PM</t>
  </si>
  <si>
    <t>03/09/2020 2:00 AM</t>
  </si>
  <si>
    <t>21/08/2020 3:00 PM</t>
  </si>
  <si>
    <t>08/09/2020 9:30 AM</t>
  </si>
  <si>
    <t>25/08/2020 3:00 PM</t>
  </si>
  <si>
    <t>24/08/2020 11:00 AM</t>
  </si>
  <si>
    <t>20/08/2020 1:00 PM</t>
  </si>
  <si>
    <t>12/08/2020 12:00 AM</t>
  </si>
  <si>
    <t>14/08/2020 4:00 PM</t>
  </si>
  <si>
    <t>27/08/2020 2:00 PM</t>
  </si>
  <si>
    <t>11/08/2020 4:00 PM</t>
  </si>
  <si>
    <t>19/08/2020 4:00 PM</t>
  </si>
  <si>
    <t>27/08/2020 1:30 PM</t>
  </si>
  <si>
    <t>14/09/2020 2:00 PM</t>
  </si>
  <si>
    <t>17/08/2020 10:30 AM</t>
  </si>
  <si>
    <t>07/09/2020 2:00 PM</t>
  </si>
  <si>
    <t>18/08/2020 4:00 PM</t>
  </si>
  <si>
    <t>19/08/2020 8:30 AM</t>
  </si>
  <si>
    <t>14/08/2020 7:00 AM</t>
  </si>
  <si>
    <t>01/09/2020 10:10 AM</t>
  </si>
  <si>
    <t>24/08/2020 9:30 AM</t>
  </si>
  <si>
    <t>19/08/2020 2:00 AM</t>
  </si>
  <si>
    <t>26/08/2020 2:00 PM</t>
  </si>
  <si>
    <t>14/08/2020 6:00 PM</t>
  </si>
  <si>
    <t>09/09/2020 1:00 PM</t>
  </si>
  <si>
    <t>13/08/2020 4:00 PM</t>
  </si>
  <si>
    <t>31/08/2020 9:30 AM</t>
  </si>
  <si>
    <t>17/08/2020 4:00 AM</t>
  </si>
  <si>
    <t>14/08/2020 12:59 PM</t>
  </si>
  <si>
    <t>28/08/2020 5:00 PM</t>
  </si>
  <si>
    <t>17/08/2020 4:00 PM</t>
  </si>
  <si>
    <t>14/08/2020 11:00 AM</t>
  </si>
  <si>
    <t>02/09/2020 12:30 PM</t>
  </si>
  <si>
    <t>25/08/2020 8:00 AM</t>
  </si>
  <si>
    <t>14/08/2020 3:00 PM</t>
  </si>
  <si>
    <t>28/08/2020 4:00 PM</t>
  </si>
  <si>
    <t>25/08/2020 2:00 AM</t>
  </si>
  <si>
    <t>18/08/2020 10:45 AM</t>
  </si>
  <si>
    <t>25/08/2020 1:30 PM</t>
  </si>
  <si>
    <t>02/09/2020 3:00 PM</t>
  </si>
  <si>
    <t>19/08/2020 1:59 PM</t>
  </si>
  <si>
    <t>18/08/2020 2:02 PM</t>
  </si>
  <si>
    <t>14/08/2020 1:08 AM</t>
  </si>
  <si>
    <t>19/08/2020 1:00 PM</t>
  </si>
  <si>
    <t>14/08/2020 1:02 PM</t>
  </si>
  <si>
    <t>03/09/2020 9:30 AM</t>
  </si>
  <si>
    <t>27/08/2020 9:00 AM</t>
  </si>
  <si>
    <t>01/09/2020 8:30 AM</t>
  </si>
  <si>
    <t>25/08/2020 4:05 PM</t>
  </si>
  <si>
    <t>14/08/2020 2:00 AM</t>
  </si>
  <si>
    <t>14/08/2020 8:30 AM</t>
  </si>
  <si>
    <t>17/08/2020 4:30 PM</t>
  </si>
  <si>
    <t>19/08/2020 12:30 PM</t>
  </si>
  <si>
    <t>31/08/2020 10:00 PM</t>
  </si>
  <si>
    <t>07/09/2020 7:00 PM</t>
  </si>
  <si>
    <t>01/09/2020 10:30 AM</t>
  </si>
  <si>
    <t>02/09/2020 9:00 AM</t>
  </si>
  <si>
    <t>19/08/2020 8:00 AM</t>
  </si>
  <si>
    <t>14/08/2020 10:30 AM</t>
  </si>
  <si>
    <t>21/08/2020 1:00 PM</t>
  </si>
  <si>
    <t>18/08/2020 4:30 PM</t>
  </si>
  <si>
    <t>01/09/2020 12:00 AM</t>
  </si>
  <si>
    <t>14/08/2020 12:00 AM</t>
  </si>
  <si>
    <t>31/08/2020 10:10 AM</t>
  </si>
  <si>
    <t>01/09/2020 9:45 AM</t>
  </si>
  <si>
    <t>20/08/2020 12:00 PM</t>
  </si>
  <si>
    <t>01/09/2020 8:00 AM</t>
  </si>
  <si>
    <t>13/08/2020 9:17 AM</t>
  </si>
  <si>
    <t>02/09/2020 8:30 AM</t>
  </si>
  <si>
    <t>18/08/2020 11:15 AM</t>
  </si>
  <si>
    <t>14/08/2020 6:00 AM</t>
  </si>
  <si>
    <t>27/08/2020 3:00 PM</t>
  </si>
  <si>
    <t>01/09/2020 9:03 AM</t>
  </si>
  <si>
    <t>12/08/2020 8:30 AM</t>
  </si>
  <si>
    <t>26/08/2020 9:00 AM</t>
  </si>
  <si>
    <t>28/08/2020 8:00 AM</t>
  </si>
  <si>
    <t>12/08/2020 9:30 AM</t>
  </si>
  <si>
    <t>28/08/2020 9:30 AM</t>
  </si>
  <si>
    <t>26/08/2020 1:00 AM</t>
  </si>
  <si>
    <t>03/09/2020 1:00 PM</t>
  </si>
  <si>
    <t>26/08/2020 8:00 AM</t>
  </si>
  <si>
    <t>12/08/2020 11:12 AM</t>
  </si>
  <si>
    <t>04/09/2020 9:00 AM</t>
  </si>
  <si>
    <t>11/08/2020 9:30 AM</t>
  </si>
  <si>
    <t>11/08/2020 5:30 PM</t>
  </si>
  <si>
    <t>11/08/2020 10:30 AM</t>
  </si>
  <si>
    <t>31/08/2020 8:59 AM</t>
  </si>
  <si>
    <t>12/08/2020 11:59 PM</t>
  </si>
  <si>
    <t>27/08/2020 10:30 AM</t>
  </si>
  <si>
    <t>27/08/2020 9:30 AM</t>
  </si>
  <si>
    <t>26/08/2020 1:45 PM</t>
  </si>
  <si>
    <t>17/08/2020 8:45 AM</t>
  </si>
  <si>
    <t>12/08/2020 1:02 PM</t>
  </si>
  <si>
    <t>26/08/2020 9:30 AM</t>
  </si>
  <si>
    <t>17/08/2020 12:30 PM</t>
  </si>
  <si>
    <t>03/09/2020 10:00 AM</t>
  </si>
  <si>
    <t>21/08/2020 11:59 PM</t>
  </si>
  <si>
    <t>26/08/2020 3:00 PM</t>
  </si>
  <si>
    <t>11/09/2020 2:00 PM</t>
  </si>
  <si>
    <t>12/08/2020 4:04 PM</t>
  </si>
  <si>
    <t>20/08/2020 8:00 AM</t>
  </si>
  <si>
    <t>12/08/2020 2:00 AM</t>
  </si>
  <si>
    <t>12/08/2020 10:00 PM</t>
  </si>
  <si>
    <t>25/08/2020 11:00 AM</t>
  </si>
  <si>
    <t>08/09/2020 3:00 PM</t>
  </si>
  <si>
    <t>11/08/2020 5:00 AM</t>
  </si>
  <si>
    <t>08/09/2020 10:00 AM</t>
  </si>
  <si>
    <t>11/09/2020 1:00 PM</t>
  </si>
  <si>
    <t>07/09/2020 1:30 PM</t>
  </si>
  <si>
    <t>15/09/2020 1:00 PM</t>
  </si>
  <si>
    <t>17/08/2020 1:01 PM</t>
  </si>
  <si>
    <t>17/08/2020 11:59 PM</t>
  </si>
  <si>
    <t>15/09/2020 10:00 AM</t>
  </si>
  <si>
    <t>26/08/2020 8:30 AM</t>
  </si>
  <si>
    <t>25/08/2020 12:00 PM</t>
  </si>
  <si>
    <t>14/08/2020 1:20 PM</t>
  </si>
  <si>
    <t>26/08/2020 4:00 PM</t>
  </si>
  <si>
    <t>20/08/2020 2:30 PM</t>
  </si>
  <si>
    <t>26/08/2020 11:00 AM</t>
  </si>
  <si>
    <t>26/08/2020 1:30 PM</t>
  </si>
  <si>
    <t>14/08/2020 8:00 PM</t>
  </si>
  <si>
    <t>08/09/2020 1:45 PM</t>
  </si>
  <si>
    <t>26/08/2020 11:30 AM</t>
  </si>
  <si>
    <t>11/08/2020 2:00 AM</t>
  </si>
  <si>
    <t>26/08/2020 7:00 AM</t>
  </si>
  <si>
    <t>12/08/2020 1:30 PM</t>
  </si>
  <si>
    <t>21/08/2020 7:00 AM</t>
  </si>
  <si>
    <t>02/09/2020 12:00 PM</t>
  </si>
  <si>
    <t>17/08/2020 8:30 AM</t>
  </si>
  <si>
    <t>11/08/2020 4:30 PM</t>
  </si>
  <si>
    <t>12/08/2020 7:00 AM</t>
  </si>
  <si>
    <t>26/08/2020 12:00 PM</t>
  </si>
  <si>
    <t>12/08/2020 10:30 AM</t>
  </si>
  <si>
    <t>26/08/2020 1:10 AM</t>
  </si>
  <si>
    <t>04/09/2020 2:00 PM</t>
  </si>
  <si>
    <t>28/08/2020 8:30 AM</t>
  </si>
  <si>
    <t>14/08/2020 9:45 AM</t>
  </si>
  <si>
    <t>13/08/2020 1:30 AM</t>
  </si>
  <si>
    <t>13/08/2020 10:15 AM</t>
  </si>
  <si>
    <t>25/08/2020 10:30 AM</t>
  </si>
  <si>
    <t>12/08/2020 1:09 AM</t>
  </si>
  <si>
    <t>11/08/2020 9:09 AM</t>
  </si>
  <si>
    <t>27/08/2020 8:00 AM</t>
  </si>
  <si>
    <t>27/08/2020 10:20 AM</t>
  </si>
  <si>
    <t>12/08/2020 11:30 AM</t>
  </si>
  <si>
    <t>09/09/2020 11:00 AM</t>
  </si>
  <si>
    <t>14/08/2020 1:05 PM</t>
  </si>
  <si>
    <t>14/08/2020 3:44 PM</t>
  </si>
  <si>
    <t>26/08/2020 1:00 PM</t>
  </si>
  <si>
    <t>24/08/2020 8:30 AM</t>
  </si>
  <si>
    <t>13/08/2020 1:04 PM</t>
  </si>
  <si>
    <t>27/08/2020 12:00 PM</t>
  </si>
  <si>
    <t>11/08/2020 2:30 PM</t>
  </si>
  <si>
    <t>21/08/2020 10:00 AM</t>
  </si>
  <si>
    <t>12/08/2020 1:03 PM</t>
  </si>
  <si>
    <t>11/08/2020 10:10 AM</t>
  </si>
  <si>
    <t>14/08/2020 2:30 PM</t>
  </si>
  <si>
    <t>26/08/2020 12:59 PM</t>
  </si>
  <si>
    <t>17/08/2020 9:59 AM</t>
  </si>
  <si>
    <t>11/08/2020 11:30 AM</t>
  </si>
  <si>
    <t>14/09/2020 10:00 AM</t>
  </si>
  <si>
    <t>12/08/2020 12:01 AM</t>
  </si>
  <si>
    <t>26/08/2020 10:30 AM</t>
  </si>
  <si>
    <t>27/08/2020 2:30 PM</t>
  </si>
  <si>
    <t>13/08/2020 5:05 PM</t>
  </si>
  <si>
    <t>17/08/2020 5:30 AM</t>
  </si>
  <si>
    <t>28/08/2020 9:00 PM</t>
  </si>
  <si>
    <t>02/09/2020 9:30 AM</t>
  </si>
  <si>
    <t>31/08/2020 2:01 PM</t>
  </si>
  <si>
    <t>11/08/2020 1:01 AM</t>
  </si>
  <si>
    <t>11/08/2020 8:30 AM</t>
  </si>
  <si>
    <t>11/08/2020 4:20 PM</t>
  </si>
  <si>
    <t>13/08/2020 11:30 AM</t>
  </si>
  <si>
    <t>31/08/2020 11:00 AM</t>
  </si>
  <si>
    <t>17/08/2020 11:00 PM</t>
  </si>
  <si>
    <t>12/08/2020 4:30 AM</t>
  </si>
  <si>
    <t>25/08/2020 4:00 PM</t>
  </si>
  <si>
    <t>27/08/2020 8:30 AM</t>
  </si>
  <si>
    <t>11/08/2020 10:05 PM</t>
  </si>
  <si>
    <t>25/08/2020 5:00 PM</t>
  </si>
  <si>
    <t>26/08/2020 12:55 PM</t>
  </si>
  <si>
    <t>11/08/2020 9:00 PM</t>
  </si>
  <si>
    <t>19/08/2020 9:30 AM</t>
  </si>
  <si>
    <t>26/08/2020 9:59 AM</t>
  </si>
  <si>
    <t>12/08/2020 1:45 PM</t>
  </si>
  <si>
    <t>26/08/2020 12:00 AM</t>
  </si>
  <si>
    <t>01/09/2020 1:59 PM</t>
  </si>
  <si>
    <t>27/08/2020 8:15 AM</t>
  </si>
  <si>
    <t>07/09/2020 5:00 PM</t>
  </si>
  <si>
    <t>01/09/2020 2:30 PM</t>
  </si>
  <si>
    <t>03/09/2020 9:00 AM</t>
  </si>
  <si>
    <t>12/08/2020 10:20 AM</t>
  </si>
  <si>
    <t>04/09/2020 1:00 PM</t>
  </si>
  <si>
    <t>03/09/2020 8:00 AM</t>
  </si>
  <si>
    <t>14/08/2020 2:02 PM</t>
  </si>
  <si>
    <t>07/09/2020 8:00 AM</t>
  </si>
  <si>
    <t>17/08/2020 12:00 AM</t>
  </si>
  <si>
    <t>21/09/2020 1:00 AM</t>
  </si>
  <si>
    <t>11/08/2020 4:00 AM</t>
  </si>
  <si>
    <t>25/08/2020 2:30 PM</t>
  </si>
  <si>
    <t>17/08/2020 11:30 AM</t>
  </si>
  <si>
    <t>28/08/2020 11:00 AM</t>
  </si>
  <si>
    <t>12/08/2020 10:15 AM</t>
  </si>
  <si>
    <t>13/08/2020 12:59 PM</t>
  </si>
  <si>
    <t>20/08/2020 3:00 PM</t>
  </si>
  <si>
    <t>26/08/2020 9:30 PM</t>
  </si>
  <si>
    <t>19/08/2020 2:59 PM</t>
  </si>
  <si>
    <t>25/08/2020 9:45 AM</t>
  </si>
  <si>
    <t>14/08/2020 5:00 AM</t>
  </si>
  <si>
    <t>14/08/2020 2:40 AM</t>
  </si>
  <si>
    <t>13/08/2020 2:08 PM</t>
  </si>
  <si>
    <t>13/08/2020 11:59 PM</t>
  </si>
  <si>
    <t>10/09/2020 1:00 AM</t>
  </si>
  <si>
    <t>25/08/2020 12:59 PM</t>
  </si>
  <si>
    <t>12/08/2020 12:55 PM</t>
  </si>
  <si>
    <t>27/08/2020 1:15 PM</t>
  </si>
  <si>
    <t>25/08/2020 9:30 AM</t>
  </si>
  <si>
    <t>21/08/2020 7:10 AM</t>
  </si>
  <si>
    <t>08/09/2020 9:00 AM</t>
  </si>
  <si>
    <t>24/08/2020 10:30 AM</t>
  </si>
  <si>
    <t>11/08/2020 6:00 PM</t>
  </si>
  <si>
    <t>11/08/2020 1:45 PM</t>
  </si>
  <si>
    <t>13/08/2020 1:48 PM</t>
  </si>
  <si>
    <t>13/08/2020 9:45 AM</t>
  </si>
  <si>
    <t>11/08/2020 1:15 PM</t>
  </si>
  <si>
    <t>25/08/2020 1:00 PM</t>
  </si>
  <si>
    <t>03/09/2020 1:00 AM</t>
  </si>
  <si>
    <t>27/08/2020 1:15 AM</t>
  </si>
  <si>
    <t>03/09/2020 9:45 AM</t>
  </si>
  <si>
    <t>03/09/2020 1:45 PM</t>
  </si>
  <si>
    <t>04/09/2020 9:45 AM</t>
  </si>
  <si>
    <t>14/08/2020 11:30 AM</t>
  </si>
  <si>
    <t>11/08/2020 7:00 AM</t>
  </si>
  <si>
    <t>12/08/2020 3:00 AM</t>
  </si>
  <si>
    <t>04/09/2020 1:45 PM</t>
  </si>
  <si>
    <t>25/08/2020 10:10 AM</t>
  </si>
  <si>
    <t>26/08/2020 10:02 AM</t>
  </si>
  <si>
    <t>20/08/2020 11:30 AM</t>
  </si>
  <si>
    <t>25/08/2020 9:15 AM</t>
  </si>
  <si>
    <t>26/08/2020 2:30 PM</t>
  </si>
  <si>
    <t>11/08/2020 8:18 AM</t>
  </si>
  <si>
    <t>14/09/2020 12:00 PM</t>
  </si>
  <si>
    <t>19/08/2020 3:00 PM</t>
  </si>
  <si>
    <t>13/08/2020 10:00 PM</t>
  </si>
  <si>
    <t>12/08/2020 12:59 PM</t>
  </si>
  <si>
    <t>24/08/2020 1:30 PM</t>
  </si>
  <si>
    <t>12/08/2020 11:59 AM</t>
  </si>
  <si>
    <t>12/08/2020 2:08 PM</t>
  </si>
  <si>
    <t>14/08/2020 3:30 PM</t>
  </si>
  <si>
    <t>25/08/2020 11:30 AM</t>
  </si>
  <si>
    <t>19/08/2020 2:30 PM</t>
  </si>
  <si>
    <t>24/08/2020 12:59 PM</t>
  </si>
  <si>
    <t>12/08/2020 6:00 PM</t>
  </si>
  <si>
    <t>19/08/2020 11:59 AM</t>
  </si>
  <si>
    <t>18/08/2020 1:08 AM</t>
  </si>
  <si>
    <t>12/08/2020 2:59 PM</t>
  </si>
  <si>
    <t>20/08/2020 5:07 PM</t>
  </si>
  <si>
    <t>02/09/2020 1:15 PM</t>
  </si>
  <si>
    <t>13/08/2020 5:00 AM</t>
  </si>
  <si>
    <t>12/08/2020 1:01 PM</t>
  </si>
  <si>
    <t>19/08/2020 7:00 AM</t>
  </si>
  <si>
    <t>12/08/2020 2:30 PM</t>
  </si>
  <si>
    <t>14/08/2020 8:14 AM</t>
  </si>
  <si>
    <t>04/09/2020 1:00 AM</t>
  </si>
  <si>
    <t>02/09/2020 1:30 PM</t>
  </si>
  <si>
    <t>18/08/2020 2:13 PM</t>
  </si>
  <si>
    <t>13/08/2020 6:00 PM</t>
  </si>
  <si>
    <t>26/08/2020 9:15 AM</t>
  </si>
  <si>
    <t>12/08/2020 3:59 PM</t>
  </si>
  <si>
    <t>17/08/2020 1:10 AM</t>
  </si>
  <si>
    <t>12/08/2020 5:00 AM</t>
  </si>
  <si>
    <t>01/09/2020 2:01 PM</t>
  </si>
  <si>
    <t>21/08/2020 8:00 PM</t>
  </si>
  <si>
    <t>24/08/2020 2:00 AM</t>
  </si>
  <si>
    <t>11/08/2020 11:00 PM</t>
  </si>
  <si>
    <t>04/09/2020 2:30 PM</t>
  </si>
  <si>
    <t>25/08/2020 1:01 PM</t>
  </si>
  <si>
    <t>24/08/2020 11:30 AM</t>
  </si>
  <si>
    <t>12/08/2020 3:30 PM</t>
  </si>
  <si>
    <t>24/08/2020 2:30 PM</t>
  </si>
  <si>
    <t>13/08/2020 2:00 AM</t>
  </si>
  <si>
    <t>01/09/2020 12:30 PM</t>
  </si>
  <si>
    <t>27/08/2020 2:00 AM</t>
  </si>
  <si>
    <t>31/08/2020 8:30 AM</t>
  </si>
  <si>
    <t>18/08/2020 1:59 PM</t>
  </si>
  <si>
    <t>13/08/2020 3:30 PM</t>
  </si>
  <si>
    <t>18/08/2020 7:00 AM</t>
  </si>
  <si>
    <t>20/08/2020 6:00 PM</t>
  </si>
  <si>
    <t>18/08/2020 10:30 AM</t>
  </si>
  <si>
    <t>12/08/2020 9:45 AM</t>
  </si>
  <si>
    <t>04/09/2020 1:30 PM</t>
  </si>
  <si>
    <t>12/08/2020 2:02 PM</t>
  </si>
  <si>
    <t>24/08/2020 5:00 AM</t>
  </si>
  <si>
    <t>14/08/2020 11:59 AM</t>
  </si>
  <si>
    <t>24/08/2020 1:20 PM</t>
  </si>
  <si>
    <t>13/08/2020 1:04 AM</t>
  </si>
  <si>
    <t>07/09/2020 8:30 AM</t>
  </si>
  <si>
    <t>19/08/2020 10:30 AM</t>
  </si>
  <si>
    <t>11/08/2020 10:15 AM</t>
  </si>
  <si>
    <t>21/08/2020 4:00 PM</t>
  </si>
  <si>
    <t>12/08/2020 3:50 PM</t>
  </si>
  <si>
    <t>18/08/2020 5:15 PM</t>
  </si>
  <si>
    <t>26/08/2020 8:45 AM</t>
  </si>
  <si>
    <t>26/08/2020 12:45 PM</t>
  </si>
  <si>
    <t>26/08/2020 10:15 AM</t>
  </si>
  <si>
    <t>13/08/2020 8:13 AM</t>
  </si>
  <si>
    <t>18/08/2020 2:30 PM</t>
  </si>
  <si>
    <t>18/08/2020 3:30 PM</t>
  </si>
  <si>
    <t>24/08/2020 2:02 PM</t>
  </si>
  <si>
    <t>21/08/2020 11:00 PM</t>
  </si>
  <si>
    <t>11/09/2020 12:00 PM</t>
  </si>
  <si>
    <t>11/09/2020 8:30 AM</t>
  </si>
  <si>
    <t>20/08/2020 9:30 PM</t>
  </si>
  <si>
    <t>18/08/2020 9:30 PM</t>
  </si>
  <si>
    <t>28/08/2020 2:30 PM</t>
  </si>
  <si>
    <t>12/08/2020 9:09 AM</t>
  </si>
  <si>
    <t>25/08/2020 9:45 PM</t>
  </si>
  <si>
    <t>11/08/2020 3:30 PM</t>
  </si>
  <si>
    <t>26/08/2020 10:00 PM</t>
  </si>
  <si>
    <t>11/08/2020 8:15 AM</t>
  </si>
  <si>
    <t>30/09/2020 12:00 AM</t>
  </si>
  <si>
    <t>09/09/2020 8:30 AM</t>
  </si>
  <si>
    <t>17/08/2020 3:30 PM</t>
  </si>
  <si>
    <t>17/08/2020 2:29 PM</t>
  </si>
  <si>
    <t>09/09/2020 12:00 PM</t>
  </si>
  <si>
    <t>20/08/2020 9:09 AM</t>
  </si>
  <si>
    <t>21/08/2020 9:30 AM</t>
  </si>
  <si>
    <t>25/09/2020 2:00 PM</t>
  </si>
  <si>
    <t>20/08/2020 9:25 AM</t>
  </si>
  <si>
    <t>11/08/2020 4:13 PM</t>
  </si>
  <si>
    <t>26/08/2020 2:01 PM</t>
  </si>
  <si>
    <t>08/09/2020 2:00 PM</t>
  </si>
  <si>
    <t>21/08/2020 9:10 AM</t>
  </si>
  <si>
    <t>19/08/2020 2:29 PM</t>
  </si>
  <si>
    <t>19/08/2020 11:00 AM</t>
  </si>
  <si>
    <t>12/08/2020 11:30 PM</t>
  </si>
  <si>
    <t>12/08/2020 11:00 PM</t>
  </si>
  <si>
    <t>07/09/2020 1:45 PM</t>
  </si>
  <si>
    <t>07/09/2020 9:45 AM</t>
  </si>
  <si>
    <t>24/08/2020 1:31 PM</t>
  </si>
  <si>
    <t>20/08/2020 2:00 AM</t>
  </si>
  <si>
    <t>28/08/2020 1:28 PM</t>
  </si>
  <si>
    <t>11/08/2020 8:01 AM</t>
  </si>
  <si>
    <t>12/08/2020 12:01 PM</t>
  </si>
  <si>
    <t>19/08/2020 3:30 PM</t>
  </si>
  <si>
    <t>24/08/2020 8:45 AM</t>
  </si>
  <si>
    <t>19/08/2020 2:30 AM</t>
  </si>
  <si>
    <t>24/08/2020 9:20 AM</t>
  </si>
  <si>
    <t>21/08/2020 10:30 AM</t>
  </si>
  <si>
    <t>20/08/2020 11:00 AM</t>
  </si>
  <si>
    <t>22/09/2020 10:00 AM</t>
  </si>
  <si>
    <t>19/08/2020 8:19 AM</t>
  </si>
  <si>
    <t>19/08/2020 8:15 AM</t>
  </si>
  <si>
    <t>20/08/2020 1:15 PM</t>
  </si>
  <si>
    <t>19/08/2020 5:05 PM</t>
  </si>
  <si>
    <t>20/08/2020 1:15 AM</t>
  </si>
  <si>
    <t>19/08/2020 7:15 AM</t>
  </si>
  <si>
    <t>18/08/2020 9:45 AM</t>
  </si>
  <si>
    <t>19/08/2020 8:50 AM</t>
  </si>
  <si>
    <t>19/08/2020 9:25 AM</t>
  </si>
  <si>
    <t>27/08/2020 9:45 AM</t>
  </si>
  <si>
    <t>19/08/2020 8:59 AM</t>
  </si>
  <si>
    <t>27/08/2020 10:45 AM</t>
  </si>
  <si>
    <t>11/08/2020 12:01 PM</t>
  </si>
  <si>
    <t>18/08/2020 8:15 AM</t>
  </si>
  <si>
    <t>18/08/2020 12:59 PM</t>
  </si>
  <si>
    <t>18/08/2020 1:02 PM</t>
  </si>
  <si>
    <t>18/08/2020 8:45 AM</t>
  </si>
  <si>
    <t>17/08/2020 8:40 AM</t>
  </si>
  <si>
    <t>19/08/2020 10:15 AM</t>
  </si>
  <si>
    <t>26/08/2020 1:15 PM</t>
  </si>
  <si>
    <t>24/08/2020 10:15 AM</t>
  </si>
  <si>
    <t>20/08/2020 1:30 AM</t>
  </si>
  <si>
    <t>20/08/2020 9:45 AM</t>
  </si>
  <si>
    <t>25/08/2020 12:30 PM</t>
  </si>
  <si>
    <t>28/08/2020 1:30 PM</t>
  </si>
  <si>
    <t>17/08/2020 9:20 AM</t>
  </si>
  <si>
    <t>17/08/2020 12:59 PM</t>
  </si>
  <si>
    <t>17/08/2020 2:15 PM</t>
  </si>
  <si>
    <t>03/09/2020 10:30 AM</t>
  </si>
  <si>
    <t>19/08/2020 11:30 AM</t>
  </si>
  <si>
    <t>17/08/2020 9:25 AM</t>
  </si>
  <si>
    <t>25/08/2020 9:20 AM</t>
  </si>
  <si>
    <t>24/08/2020 1:15 PM</t>
  </si>
  <si>
    <t>12/08/2020 8:59 AM</t>
  </si>
  <si>
    <t>18/08/2020 9:00 PM</t>
  </si>
  <si>
    <t>19/08/2020 9:20 AM</t>
  </si>
  <si>
    <t>17/08/2020 6:00 AM</t>
  </si>
  <si>
    <t>17/08/2020 1:09 AM</t>
  </si>
  <si>
    <t>17/08/2020 9:45 AM</t>
  </si>
  <si>
    <t>16/09/2020 9:30 AM</t>
  </si>
  <si>
    <t>14/08/2020 2:29 PM</t>
  </si>
  <si>
    <t>14/08/2020 8:15 AM</t>
  </si>
  <si>
    <t>13/08/2020 9:25 AM</t>
  </si>
  <si>
    <t>12/08/2020 9:00 PM</t>
  </si>
  <si>
    <t>18/08/2020 9:50 AM</t>
  </si>
  <si>
    <t>17/08/2020 12:55 PM</t>
  </si>
  <si>
    <t>25/08/2020 1:15 PM</t>
  </si>
  <si>
    <t>17/08/2020 9:29 AM</t>
  </si>
  <si>
    <t>12/08/2020 9:29 AM</t>
  </si>
  <si>
    <t>11/08/2020 12:59 PM</t>
  </si>
  <si>
    <t>11/08/2020 2:29 PM</t>
  </si>
  <si>
    <t>11/08/2020 2:01 PM</t>
  </si>
  <si>
    <t>17/08/2020 1:20 PM</t>
  </si>
  <si>
    <t>11/08/2020 9:45 AM</t>
  </si>
  <si>
    <t>15/09/2020 2:45 PM</t>
  </si>
  <si>
    <t>13/08/2020 8:45 AM</t>
  </si>
  <si>
    <t>12/08/2020 1:59 PM</t>
  </si>
  <si>
    <t>03/09/2020 12:30 PM</t>
  </si>
  <si>
    <t>11/08/2020 9:15 AM</t>
  </si>
  <si>
    <t>24/09/2020 1:00 AM</t>
  </si>
  <si>
    <t>11/08/2020 10:45 AM</t>
  </si>
  <si>
    <t>27/08/2020 9:30 PM</t>
  </si>
  <si>
    <t>03/09/2020 3:00 PM</t>
  </si>
  <si>
    <t>18/08/2020 3:00 AM</t>
  </si>
  <si>
    <t>08/09/2020 1:00 PM</t>
  </si>
  <si>
    <t>11/08/2020 10:50 AM</t>
  </si>
  <si>
    <t>11/08/2020 8:50 AM</t>
  </si>
  <si>
    <t>19/08/2020 1:45 PM</t>
  </si>
  <si>
    <t>18/09/2020 2:00 PM</t>
  </si>
  <si>
    <t>21/09/2020 9:00 AM</t>
  </si>
  <si>
    <t>21/09/2020 10:00 AM</t>
  </si>
  <si>
    <t>22/09/2020 9:00 AM</t>
  </si>
  <si>
    <t>24/09/2020 10:00 AM</t>
  </si>
  <si>
    <t>11/08/2020 8:59 AM</t>
  </si>
  <si>
    <t>12/08/2020 12:30 PM</t>
  </si>
  <si>
    <t>31/08/2020 11:30 AM</t>
  </si>
  <si>
    <t>17/08/2020 10:00 PM</t>
  </si>
  <si>
    <t>25/09/2020 1:00 PM</t>
  </si>
  <si>
    <t>17/08/2020 9:01 AM</t>
  </si>
  <si>
    <t>01/07/2021 9:00 AM</t>
  </si>
  <si>
    <t>07/10/2020 10:00 AM</t>
  </si>
  <si>
    <t>31/12/2020 9:00 AM</t>
  </si>
  <si>
    <t>23/09/2020 1:00 AM</t>
  </si>
  <si>
    <t>16/09/2020 10:00 AM</t>
  </si>
  <si>
    <t>11/09/2020 10:00 AM</t>
  </si>
  <si>
    <t>31/12/2020 1:00 AM</t>
  </si>
  <si>
    <t>12/08/2020 2:01 PM</t>
  </si>
  <si>
    <t>20/08/2020 8:30 AM</t>
  </si>
  <si>
    <t>05/10/2020 9:30 AM</t>
  </si>
  <si>
    <t>11/08/2020 2:45 PM</t>
  </si>
  <si>
    <t>19/08/2020 1:15 PM</t>
  </si>
  <si>
    <t>17/08/2020 10:15 AM</t>
  </si>
  <si>
    <t xml:space="preserve"> One (1) ea Fathometer (FCV628) &amp; 6 other line items</t>
  </si>
  <si>
    <t xml:space="preserve"> Twenty (20) bx Gun oil Lubricating 50x120ml &amp; 4 other line items</t>
  </si>
  <si>
    <t xml:space="preserve"> INVITATION TO APPLY FOR ELIGIBILITY AND TO BID Project: PROCUREMENT OF VARIOUS OFFICE SUPPLIES and EQUIPMENTS ABC: EIGHTY THOUSAND PESOS (Php 80,000.00) The BARANGAY MATINA CROSSING 74-A, through its Bids and Awards Committee (BAC), invites suppliers/manu</t>
  </si>
  <si>
    <t xml:space="preserve"> Invitation to Bid Republic of the Philippines TANZA WATER DISTRICT 		A .Soriano Highway, Tanza, Cavite 4108	 Tel. No. (046) 484-1813 / 505-2906      1.	The Tanza Water District (TWD), through the its Corporate funds for fiscal year 2020 intends to apply t</t>
  </si>
  <si>
    <t xml:space="preserve"> PLEASE SEE ATTACHED INVITATION TO BID</t>
  </si>
  <si>
    <t xml:space="preserve"> PROCUREMENT OF THE FOLLOWING SERVICES: FABRICATION AND INSTALLATION OF FIBER BOARD FRAME, FABRICATION AND INSTALLATION  OF BASKETBALL COURT LIGHT POST, LIGHTING AND PAINTING OF BASKETBALL COURT.  A. MATERIALS B. LABOR C. OTHER SERVICES FOR MORE DETAILS VI</t>
  </si>
  <si>
    <t xml:space="preserve"> PROCUREMENT OF THE FOLLOWING SERVICES: 0.50 WIDTH x 90 METER LENGTH SHOULDERING OF 5 METERS EXISTING ROAD (BOTH SIDES) WITH DOWELS. A. MATERIALS B. LABOR C. OTHER SERVICES FOR MORE DETAILS VISIT THE BARANGAY</t>
  </si>
  <si>
    <t xml:space="preserve"> Interested suppliers may submit quotations to the Procurement Office, Pamantasan ng Lungsod ng Maynila, Intramuros, Manila and addressed to Atty. May Angeli M. Estolas, Acting Chief, Procurement Office As requirements please submit photocopy of your PhilG</t>
  </si>
  <si>
    <t xml:space="preserve"> The Barangay Government of Utan Allacapan,CAgayan through its Bids and Awards Committee (BAC), invites suppliers/distributors/contractors to apply for eligibility and to bid for the hereunder project: Name of Contract : Maintenance of Barangay Road Locati</t>
  </si>
  <si>
    <t xml:space="preserve"> PROCUREMENT OF THE FOLLOWING SERVICES: CONCRETING OF BASKETBALL COURT 23 METERS x 12 METERS x 0.10 METERS A. MATERIALS B. LABOR C. OTHER SERVICES FOR MORE DETAILS VISIT THE BARANGAY</t>
  </si>
  <si>
    <t xml:space="preserve"> Republic of the Philippines PROVINCE OF MISAMIS ORIENTAL Municipality of Tagoloan Barangay STA. ANA Invitation to Bid PROCUREMENT Goods and Services 1.	The Sta. Ana, Tagoloan, Misamis Oriental, through Barangay Fund intends to apply the sum of Sixty Three</t>
  </si>
  <si>
    <t xml:space="preserve"> Republic of the Philippines Province of Pangasinan MUNICIPALITY OF POZORRUBIO -o0o- 							 INVITATION TO BID FOR  CONSTRUCTION OF COVERED COURT EXTENSION  AT BARANGAY DILAN, POZORRUBIO, PANGASINAN 1.	The Municipality of Pozorrubio, through the Local Fund</t>
  </si>
  <si>
    <t xml:space="preserve"> Republic of the Philippines Province of Pangasinan MUNICIPALITY OF POZORRUBIO -o0o- 					 INVITATION TO BID FOR  COMPLETION OF MULTI-PURPOSE HALL (PHASE III) AT BARANGAY BANDING, POZORRUBIO, PANGASINAN 1.	The Municipality of Pozorrubio, through the Local </t>
  </si>
  <si>
    <t xml:space="preserve"> Republic of the Philippines Province of Pangasinan MUNICIPALITY OF POZORRUBIO -o0o- 					 INVITATION TO BID FOR  COMPLETION OF MULTI-PURPOSE HALL (PHASE II) AT BARANGAY BALACAG, POZORRUBIO, PANGASINAN 1.	The Municipality of Pozorrubio, through the Local F</t>
  </si>
  <si>
    <t xml:space="preserve"> Republic of the Philippines Province of Pangasinan MUNICIPALITY OF POZORRUBIO -o0o- 					 INVITATION TO BID FOR  CONSTRUCTION OF EXTENSION OF PALACPALAC ELEMENTARY SCHOOL SOCIAL HALL AT BARANGAY PALACPALAC, POZORRUBIO, PANGASINAN 1.	The Municipality of Po</t>
  </si>
  <si>
    <t xml:space="preserve"> Republic of the Philippines PROVINCE OF SOUTHERN LEYTE Maasin City Invitation to Bid for the Upgrading of Manhilo-Libhu-Bactul II Road Maasin City, Southern Leyte Contract is 2020-09-01-060CW 1.	The Provincial Government of the Philippines (GOP) through t</t>
  </si>
  <si>
    <t xml:space="preserve"> Please see attached copy of Request for Quotation</t>
  </si>
  <si>
    <t xml:space="preserve"> Republic of the Philippines Province of Pangasinan MUNICIPALITY OF POZORRUBIO -o0o- 					 INVITATION TO BID FOR  CONSTRUCTION OF STONE MASONRY ON BOTH SIDE OF IRRIGATION CANAL AT BARANGAY BANDING,  POZORRUBIO, PANGASINAN 1.	The Municipality of Pozorrubio,</t>
  </si>
  <si>
    <t xml:space="preserve"> Republic of the Philippines Province of Pangasinan MUNICIPALITY OF POZORRUBIO -o0o- 					 INVITATION TO BID FOR  CONSTRUCTION OF SANITARY TOILET &amp; HANDWASHING FACILITY (HE/SHE/PWD UNITS) AT PALACPALAC ELEMENTARY SCHOOL, BARANGAY PALACPALAC, POZORRUBIO, PA</t>
  </si>
  <si>
    <t xml:space="preserve"> Construction Materials for the Repair of Roofing for Marcos Type Building</t>
  </si>
  <si>
    <t xml:space="preserve"> Annual Budget CY 2020 Purchase of Drugs and Medicines - P 70,000.00 40 bxs Paracetamol 500mg tablet 34 bxs Paracetamol 250/60 ml syrup 6 bxs Mefenamic Acid 500 mg capsule 3 bxs Salbutamol 1 mg/50 mg 20 btls Salbutamol 5 ml 2 bxs Ascorbic Acid 50 mg tablet</t>
  </si>
  <si>
    <t xml:space="preserve"> Republic of the Philippines Province of Negros Occidental City of Sagay BIDS AND AWARDS COMMITTEE Tel. No. 4540196, Telefax 4880187 www.sagay-city.com.ph bacsagaycity@yahoo.com INVITATION TO BID The City of Sagay, through its Bids and Awards Committee (BA</t>
  </si>
  <si>
    <t xml:space="preserve"> Twenty Six (26) pck Candy, Coffee Candy 420/6* &amp; 22 other line items</t>
  </si>
  <si>
    <t xml:space="preserve"> VARIOUS COMMON USE OFFICE SUPPLIES NOT AVAILABLE AT PS-DBM</t>
  </si>
  <si>
    <t xml:space="preserve"> 11 units Cellphone  Specifications:     Dimensions :  163.7x76.1x8.7mm (6.44x3.00x0.34 in);  Weight  :  199 g (7.02 oz)     SIM            :   Single SIM (Nano-SIM) or Dual SIM (Nano-SIM, dual standby) Stylus (Bluetooth integration,                       </t>
  </si>
  <si>
    <t xml:space="preserve"> DOUBLE CAB DROPSIDE  4JG2 ENGINE  6 WHEELER  97 HORSEPOWER  3,059 CC CAPACITY</t>
  </si>
  <si>
    <t xml:space="preserve"> Description of Works to be Done Part A. Civil Works.........................................88.16% Part B. General Item &amp; Other Requirements......11.84% .....................................................................100% Item/Description............</t>
  </si>
  <si>
    <t xml:space="preserve"> Supply and Delivery of various fittings for potable water The Metro Midsayap Water District (MMWD) gives notice that  quotations are invited for the Supply and Delivery of various fittings for potable water 300 pcs - GI ELBOW, ¾" DIAMETER x 90 DEGREES 500</t>
  </si>
  <si>
    <t xml:space="preserve"> INVITATION TO BID FOR THE Construction of Potable Water Supply Level II LGU-Kabugao, Apayao 1.	The Local Government Unit of Kabugao, through Appropriation Ordinance No. 02-Series of 2019 (FY 2020 Annual Budget – 20% MDF)   intends to apply the sum of Thre</t>
  </si>
  <si>
    <t xml:space="preserve"> INVITATION TO BID FOR THE Construction of River Flood Control Phase II LGU-Kabugao, Apayao 1.	The Local Government Unit of Kabugao, through Appropriation Ordinance No. 02-Series of 2019 (FY 2020 Annual Budget)   intends to apply the sum of One Million Two</t>
  </si>
  <si>
    <t xml:space="preserve"> INVITATION TO BID FOR THE Construction of Potable Water Supply Level II LGU-Kabugao, Apayao 1.	The Local Government Unit of Kabugao, through Appropriation Ordinance No. 02-Series of 2019 (FY 2020 Annual Budget – 20% MDF)   intends to apply the sum of Eigh</t>
  </si>
  <si>
    <t xml:space="preserve"> 2 UNITS AIRCON (SPLIT TYPE, 2.5HP) INCLUDING INSTALLATIONS</t>
  </si>
  <si>
    <t xml:space="preserve"> 1.	Disinfectant 	100	L 2.	KN95 Face Mask (20/Box)	11	Boxes 3.	Surgical Mask	20	Boxes 4.	Rubber Gloves	20	Pairs 5.	Foot Bath Mat	8	Pcs. 6.	Rubber Boots	10	Pairs 7.	Machine Sprayer	1	Unit 8.	Alcohol 70%	5	Gal.</t>
  </si>
  <si>
    <t xml:space="preserve"> ELECTRICAL BRANCHES    3.00 LOT TRANSHIPMENT OF MATERIALS   1 LOT</t>
  </si>
  <si>
    <t xml:space="preserve"> 16.0 length 35mm x 76mm x 3.0m Metal Thick 26.0 length 35mm x 76mm x 3.0m Metal Steel 2.00 box Blind Rivets 1/8 x 3/8 1 unit Single Rabbet 100mm Jamb Depth Jhamba 0.90m x 2.1m swing in left 70 pcs metal Scrows 6mm x 2 12 sheets Hardiflex Board 1/4 x 4 x 8</t>
  </si>
  <si>
    <t xml:space="preserve"> Procurement of Supplies for Printing of Learning Resources for public schools at Samal, Bataan Quantity		Unit Issue	Item Description		 					 					  10,000 		reams	Copy Paper, A4, s.20, 500s</t>
  </si>
  <si>
    <t xml:space="preserve"> Modules must be in a4 FOB destination without cost COD installment basisuntil december 2020 delivery must be until august 18</t>
  </si>
  <si>
    <t xml:space="preserve"> 2 UNITS PRINTER, 3-IN-1, WITH CONTINUOUS INK 2 UNITS LAPTOP, iCore 3 up to 8th gen, intel 4GB, DDR4, 14", Windows 10 1 UNIT LAPTOP iCore 3, i7-7500U, 4GB, 14". windows 10</t>
  </si>
  <si>
    <t xml:space="preserve"> Supply and Delivery of  Sand and Gravel</t>
  </si>
  <si>
    <t xml:space="preserve"> Republic of the Philippines BIDS AND AWARDS COMMITTEE Province of Iloilo Invitation to Bid Purchase of OFFICE SUPPLIES Bid No. PPD-20-0902-B 1. The Iloilo Provincial Government, through the GENERAL FUND 2020 intends to apply the sum of  ONE HUNDRED FIFTY </t>
  </si>
  <si>
    <t xml:space="preserve"> Please see attached RFQ.</t>
  </si>
  <si>
    <t xml:space="preserve"> INVITATION TO BID   (Shopping) PNOC Exploration Corporation (PNOC EC), through its 2020 Corporate Budget, has an Approved Budget for the Contract (ABC) of Two Hundred Twenty Thousand One Hundred Sixteen and 60/100 Pesos (Php220,116.60), inclusive of all a</t>
  </si>
  <si>
    <t xml:space="preserve"> RSB 16mm, 108 pcs RSB 12mm, 72 pcs Cement, 80 bags Gravel, 11 cu. m Sand, 9 cu. m Plywood 1/2, 25 pcs  Cocolumber 2x3x12, 90 pcs Tie wire, 10 kls CWN #3, 10 kls CWN #2, 5 kls CWN #1 1/2, 5kls</t>
  </si>
  <si>
    <t xml:space="preserve"> INVITATION TO BID FOR THE Construction of Slope Protection LGU-Kabugao, Apayao 1.	The Local Government Unit of Kabugao, through Appropriation Ordinance No. 02-Series of 2019 (FY 2020 Annual Budget)   intends to apply the sum of Two Million Five Hundred Th</t>
  </si>
  <si>
    <t xml:space="preserve"> INVITATION TO BID 1.	The LGU-Ampusongan, Bakun, through the 2020 20 % Barangay Development Fund (BDF) intends to apply the sum of P467, 315.94 being the Approved Budget for the Contract (ABC) to payments under the contract for the Infrastructure Projects </t>
  </si>
  <si>
    <t xml:space="preserve"> Sand and Gravel Coarse Aggregates G1 Fine Aggregates S1 Portland Cement 40kls 16mm dia x 6m RSB Deformed Bars 37.89kls Hacksaw Blade Asphalt Assorted CW Nails 2" x 6" x 14' Lumber taguile 2" x 2" x 8' Lumber tanguile 1" x 12" x 12' lumber tanguile 6' x 8f</t>
  </si>
  <si>
    <t xml:space="preserve"> 1,650pcs bag Material: Heavy linen fabric Type of Print: With full sublimated print Size: 14" x 9.5" Price: 55 pesos per pc including 4%</t>
  </si>
  <si>
    <t xml:space="preserve"> Republic of the Philippines CITY GOVERNMENT OF SAN FERNANDO Barangay Carlatan Email: brgy_sevilla_csflu@yahoo.com.ph INVITATION TO BID FOR  Rehabilitation of Multi Purpose Hall Barangay Carlatan, City of San Fernando 1.	The Barangay Carlatan, through the </t>
  </si>
  <si>
    <t xml:space="preserve"> A. MEALS August 21, 2020     Lunch and Snacks (AM/PM) 50 paxes @ P 4000.00 (Buffet) - P 20,000.00 B. August 22, 2020 -Day (2)     Breakfast, am snacks, Lunch, pm snacks and dinner buffet -50 paxes @ P 6000.00 = P 30,000.00 C. August 23, 2020 (Day 3)     B</t>
  </si>
  <si>
    <t xml:space="preserve"> INVITATION TO BID PROCUREMENT OF MEDICAL/DENTAL SUPPLIES, EQUIPMENT AND OTHER PPE (PERSONAL PROTECTIVE EQUIPMENT) 1.	The OCCIDENTAL MINDORO STATE COLLEGE (OMSC), through the Special Trust Fund/General Fund intends to apply the sum of One Million One Hundr</t>
  </si>
  <si>
    <t xml:space="preserve"> 1	Rubber tire with tube and flap (13.0-24) 2	Rubber tire (LUG)750 x 16  3	Rubber Tire (LUG)825x 20 4	Rubber Tire (LUG) 900x 20</t>
  </si>
  <si>
    <t xml:space="preserve"> public bidding August 17, 2020 2:00 pm Barangay Hall Barangay South San Jose Molo, Iloilo City</t>
  </si>
  <si>
    <t xml:space="preserve"> Invitation to Bid 									August 10, 2020 	 1.	 The Municipal Government of Tinoc through the Bids and Awards Committee advertised an Invitation to bid for the Procurement of Information and Communication Technology Equipment with an Approved Budget for </t>
  </si>
  <si>
    <t xml:space="preserve"> PUBLIC BIDDING  AUGUST 17, 2020 3:00 PM  BARANGAY HALL BARANGAY SOUTH SAN JOSE MOLO, ILOILO CITY</t>
  </si>
  <si>
    <t xml:space="preserve"> Annual Budget CY 2020 Purchase of Drugs and Medicines - P 60,000.00 2 bxs Mefenamic Acid tablet 500 mg 50 btls Paracetamol Syrup 125 mg/60 ml 4 bxs Paracetamol Tablet 500mg 50 btls Paracetamol syrup  250 mg/60 ml 2 bxs Diclofenac tablet 50 mg 15 btls Cefa</t>
  </si>
  <si>
    <t xml:space="preserve"> Supply and Delivery of various construction materials and supplies</t>
  </si>
  <si>
    <t xml:space="preserve"> Republic of the Philippines PROVINCE OF MISAMIS ORIENTAL Municipality of Tagoloan Barangay STA. ANA Invitation to Bid PROCUREMENT Goods and Services 1.	The Sta. Ana, Tagoloan, Misamis Oriental, through Barangay Fund intends to apply the sum of One Hundred</t>
  </si>
  <si>
    <t xml:space="preserve"> INVITATION TO BID IB No. GS-2020 – 101 General Merchandise for official use of ENRO – Forest and Water Resources Management Services Section 1. The  Provincial  Government  of  Oriental  Mindoro  (PGOM)  through  the  General  Fund intends  to  apply  the</t>
  </si>
  <si>
    <t xml:space="preserve"> INVITATION TO BID FOR PAKYAW LABOR IBPL No. 2020-002 The Provincial Government of Oriental Mindoro, Calapan City, through its BIDS AND AWARDS COMMITTEE (BAC) invites PAKYAW LABOR GROUPS to apply and to bid for the supply of labor of the hereunder project:</t>
  </si>
  <si>
    <t xml:space="preserve"> Location: PSU Goa campus Bidding Fee: P 5,000.00 (Non-refundable) Schedule of activities: 1. Issuance and availability of Bid Documents: August 10, 2020 until 12:00 noon of September 1, 2020  (except week-ends &amp; Holidays at the BAC Secretariat Office, PSU</t>
  </si>
  <si>
    <t xml:space="preserve"> ILOCOS NORTE 1ST DISTRICT ENGINEERING OFFICE Airport Ave. Brgy. Cavit, Laoag City, Ilocos Norte INVITATION TO BID The DPWH - Ilocos Norte 1st District Engineering Office, through its Bids and Awards Committee (BAC), invites contractors to submit bids for </t>
  </si>
  <si>
    <t xml:space="preserve"> REQUEST FOR QUOTATION No. 2020-005 The Department of Education, Taguig Integrated School, through SCHOOL BIDS and AWARDS COMMITTEE (SBAC) invites registered suppliers to submit a quotation for the hereunder project: PROJECT NAME : SUPPLY AND DELIVERY OF M</t>
  </si>
  <si>
    <t xml:space="preserve"> Republic of the Philippines Province of Cagayan Municipality of Solana -oOo- BIDS AND AWARDS COMMITTEE (BAC) Invitation for submission of price quotation Repair/rehabilitation of drainage canal CSE, Solana, Cagayan 1.	The Municipal Government of Solana, t</t>
  </si>
  <si>
    <t xml:space="preserve"> Materials: 1. Cement - 416 bags @ P 343.00  2. Screened Sand - 25.41 cu.m @ P 500.00/cu.m 3. Gravel -50.82 cu.m @ P 550.00/cu.m 4. RSB - 12mmx 6m - 16 pcs @ 295.00 5. Coco lumber - 34 pcs -2x6x12' = 408 bd.ft @ 8,160.00 6. CW Nails, assorted - 5 kls @ 85.</t>
  </si>
  <si>
    <t xml:space="preserve"> REHAB OF HAITAN ROAD ERODED SHOULDER</t>
  </si>
  <si>
    <t xml:space="preserve"> A. Comprehensive History, Complete Physical Examination, and Interpretation of Results &amp; Recommendation. B. Laboratory Package: 1. Urinalysis 2. Complete Blood Count (CBC)  3. Lipid Profile  4. Creatinine  5. Blood Uric Acid  6. Fasting Blood Sugar (FBS) </t>
  </si>
  <si>
    <t xml:space="preserve"> IMPROVEMENT OF WATER SYSTEM (Const. of Intake Box and Installation of Pipelines)</t>
  </si>
  <si>
    <t xml:space="preserve"> Republic of the Philippines Province of Camarines Sur MUNICIPALITY OF CALABANGA  -oOo- BIDS AND AWARDS COMMITTEE INVITATION TO BID  The LGU CALABANGA, through its Bids and Awards Committee (BAC), invites PhilGEPS-registered suppliers to apply for eligibil</t>
  </si>
  <si>
    <t xml:space="preserve"> 1	CCTV-CAMERA	1 LOT SUPPLY, INSTALLATION, AND ACTIVATION OF 8 UNITS   CAMERA WITH 8 CHANNELS  DIGITAL VIDEO RECORDER [DVR] , TV MONITOR  AND  ACCESSORIES</t>
  </si>
  <si>
    <t xml:space="preserve"> Procurement of Service Vehicle (Reconditioned) complete build-up double Cab Vehicle Type:  Double Cab Vehicle Engine:  Four (4) cylinder in line diesel engine Piston Displacement:  Not to exceed 3000c Transmission:  Manual transmission 5 speed and 1 rear </t>
  </si>
  <si>
    <t xml:space="preserve"> INVITATION TO BID IB No. GS-2020 – 085-A General Merchandise for use of PPDO 1. The  Provincial  Government  of  Oriental  Mindoro  (PGOM)  through  the  General  Fund   intends  to  apply  the  sum  of  Five Hundred Forty Thousand One Hundred Twenty Peso</t>
  </si>
  <si>
    <t xml:space="preserve"> INVITATION TO BID IB No. GS-2020 – 102 General Merchandise for Distribution under Value Addition of Agricultural Commodities – Mindoro Dinorado Rice Branding Program of Agro Technology Resource and Management Services Division 1. The  Provincial  Governme</t>
  </si>
  <si>
    <t xml:space="preserve"> Concreting of 0.15m x 3.0m x 80 long road Materials/Description: 1. cement - 306 bags 2, SAG -59.38 cu.m 3. Gravel Bidding - 12.00 cu.m 4. 40 pcs 2x6x12' coco lumber 5. CW Nails assorted - 6.0 kilos</t>
  </si>
  <si>
    <t xml:space="preserve"> Name of  Project/Contract	:	IMPROVEMENT/REHABILITATION OF FMR  Location				:	Calpatay, Pao, Kasibu, Nueva Vizcaya Brief Description	:	Excavation works/removal of eroded soil; installation of 24” dia. And 18” dia. RCPC pipes with aggregate base course; and</t>
  </si>
  <si>
    <t xml:space="preserve"> Name of  Project/Contract	:	CONCRETING OF ALIMIT-DIDIPIO  ROAD VIA VERONA Location				:	Alimit  Kasibu, Nueva Vizcaya Brief Description	:	Manual clearing of site; excavation works for roadway and for RCPC; installation of 24” dia pipes with aggregate base</t>
  </si>
  <si>
    <t xml:space="preserve"> Republic of the Philippines Province of Negros Occidental Bids &amp; Awards Committee Bacolod City INVITATION TO BID  The Provincial Government of Negros Occidental through its Bids and Awards Committee [BAC] invites interested bidders to apply for eligibilit</t>
  </si>
  <si>
    <t xml:space="preserve"> 2.50 cu.m. Sand 3.40 cu.m. Gravel 30 bags portland cement  20 pcs 12mm Def. Bars 20 pcs 10mm Def. Bars 7 kgs No. 16 Tie wire 10 sheets 3/8 marine plywood  150 bd.ft. 2" x 3" x 10" Coco Lumber (30pcs) 100 bd.ft. 2" x 2" x 10" Coco Lumber (30pcs) 5 kgs 4" C</t>
  </si>
  <si>
    <t xml:space="preserve"> concreting of barangay road</t>
  </si>
  <si>
    <t xml:space="preserve"> 1	3	pc	c.i. tee 3”Ø x 3”Ø  f/f 2	3	pc	c.i. tee 3”Ø x 2”Ø  f/f 3	9	pc	c.i. adaptor 3”Ø m/f  w/ bng 4	12	pc	c.i. adaptor 2”Ø m/f  w/ bng 5	3	pc	c.i. tee 2”Ø x 2”Ø  f/f</t>
  </si>
  <si>
    <t xml:space="preserve"> Items of Work consists of Project Billboard, Structure Excavation, Embankment, Reinforcing Steel, Structural Concrete The BAC will conduct the procurement process in accordance with the revised IRR of R.A. 9184.  Bids Received in excess of the ABC shall b</t>
  </si>
  <si>
    <t xml:space="preserve"> Republic of the Philippines Province of Laguna Municipality of Paete OFFICE OF THE BAC CHAIRMAN (049) 557-0001          (049) 501-6490-101	 INVITATION TO BID  INVITATION TO BID FOR PROCUREMENT OF TWO (2) UNIT DIGITAL DUPLICATOR MACHINE 1.	The Municipality</t>
  </si>
  <si>
    <t xml:space="preserve"> Invitation to Rebid for the Supply &amp; Delivery of Materials for the  Rehablitation/Construction of Protection Wall and Concreting of Pathway 1.	The Municipal Government of Puerto Galera, through the LGU – Aide to Barangay FY 2020 intends to apply the sum o</t>
  </si>
  <si>
    <t xml:space="preserve"> SOIL/ GEOTECHNICAL INVESTIGATION FOR THE PROPOSED CONSTRUCTION OF VARIOUS BRIDGE</t>
  </si>
  <si>
    <t xml:space="preserve"> Invitation to ReBid for the Supply &amp; Delivery of Teaching  and Learning Materials for Child Development Center 1.	The Municipal Government of Puerto Galera, through the Early Childhood Care and Development Council Grant FY 2020 intends to apply the sum of</t>
  </si>
  <si>
    <t xml:space="preserve"> WEB CAMERA (Plug and Play HD 720 P for Video Calling) Quantity: 10 unit Budget: P 1,800.00 each "Specification:  Image Sensor:CMOS Pixels:3 Mega Interface Type:USB Package:Yes Auto Focus:Yes built-in microphone:YES Auto Focus:Yes Interface Type:USB 2.0 Ma</t>
  </si>
  <si>
    <t xml:space="preserve"> Republic of the Philippines Province of Agusan del Norte Municipality of Carmen Tel # 343-3801 OFFICE OF THE BIDS AND AWARDS COMMITTEE INVITATION TO BID The Local Government of Carmen, through its Bids and Awards Committee (BAC) invites Suppliers/Manufact</t>
  </si>
  <si>
    <t xml:space="preserve"> A. Comprehensive History, Complete Physical Examination, and Interpretation of Results &amp; Recommendation.  B. Laboratory Package:  1. Urinalysis  2. Complete Blood Count (CBC)  3. Lipid Profile  4. Creatinine  5. Blood Uric Acid  6. Fasting Blood Sugar (FB</t>
  </si>
  <si>
    <t xml:space="preserve"> NOTICE OF NEGOTIATED PROCUREMENT (Small Value Procurement) Project:	Purchase of 2000 bags Cement (to be distributed to different barangays/schools within the 4th district of Pangasinan) 		(PR#2020-08-6333) Location: 	Sangguniang Panlalawigan 	        Ling</t>
  </si>
  <si>
    <t xml:space="preserve"> NOTICE OF NEGOTIATED PROCUREMENT (Small Value Procurement) Project:	Purchase of 2000 bags Cement (to be distributed to different barangays within the 1st district of Pangasinan) 		(PR#2020-08-6328) Location: 	Sangguniang Panlalawigan 	        Lingayen, Pa</t>
  </si>
  <si>
    <t xml:space="preserve"> Rehabilitation/Improvement of Barangay Road, Phase II</t>
  </si>
  <si>
    <t xml:space="preserve"> Items of Work consists of Project Billboard, Removal of existing partition/structure &amp; construction, Reinforcing Steel, Concrete Works, Masonry Works, Finishing Works, Metal Works, Roofing Sheets &amp; Roof Framing, Ceiling, Doors Windows &amp; Glass Wall, Painti</t>
  </si>
  <si>
    <t xml:space="preserve"> Kindly see attached bidding documents</t>
  </si>
  <si>
    <t xml:space="preserve"> INVITATION TO BID The Municipal Government of San Narciso, Quezon through its Bids and Award Committee (BAC), invites registered suppliers with DTI, Mayor’s Permit and PhilGEPS, if found eligible, to bid or the hereunder contract: Name of Contract : 	Supp</t>
  </si>
  <si>
    <t xml:space="preserve"> See attached.</t>
  </si>
  <si>
    <t xml:space="preserve"> Procurement of Communication equipment for Eng'g Office</t>
  </si>
  <si>
    <t xml:space="preserve"> Procurement of Office Equipment Supplies for Women</t>
  </si>
  <si>
    <t xml:space="preserve"> Procurement of Furniture for MSWDO</t>
  </si>
  <si>
    <t xml:space="preserve"> 67- length 10mm deform bars 20-kgs # 16 tie wires 4- length 4"  dia G.I Pipe sch. 40  6- rolls insulation foam ( 10mm double)   86- length 1.5mm x 2" x 4" BI C- Purlins  15 -length 1.5mm x 2" x 3" BI C- Purlins   2,000 - pcs tex screw 3" 60-  kilograms we</t>
  </si>
  <si>
    <t xml:space="preserve"> 1 UNIT 3 Axis Stabilized Handheld Gimbal for GoPro Hero and Other Action Camera • Fits HERO6 Black, HERO5 Black • 4-Way Joystick for Gimbal Control • Handgrip with Integrated Controls • Up to 12-Hour Rechargeable Battery • Function and Self-Timer Buttons </t>
  </si>
  <si>
    <t xml:space="preserve"> NOTICE OF NEGOTIATED PROCUREMENT (Small Value Procurement) Project:	Purchase of Various Construction Materials (to be distributed to different barangays within the 2nd district of Pangasinan) 		(PR#2020-07-6334) 		20	pc.	GI Pipe 1¼” sch. 40 w/ coupling 28</t>
  </si>
  <si>
    <t xml:space="preserve"> SUPPLY OF MATERIALS</t>
  </si>
  <si>
    <t xml:space="preserve"> SUPPLY OF MATERIALS &amp; RENTAL OF EQUIPMENT</t>
  </si>
  <si>
    <t xml:space="preserve"> 1 unit AUTOCLAVE</t>
  </si>
  <si>
    <t xml:space="preserve"> Provision of 265 pax Meals and Snacks to be served during the conduct of the Seminar on Good Agricultural Practices (GAP) in Region I 		Batch 1 (District 1, Ilocos Norte)	; Php21,600.00	 		Meals and Snacks w/ free flowing coffee/hot choco		 36	pax	Breakfa</t>
  </si>
  <si>
    <t xml:space="preserve"> FUND SOURCE: TRUST LIABILITIES- DRRM TYPES OF WORK TO BE DONE: Project billboard/ signboard/ occupational safety and health program/ structure excavation (manual excavation)/ REINFORCING STEEL BAR/ structural concrete (minor structure)/ grouted riprap (cl</t>
  </si>
  <si>
    <t xml:space="preserve"> FUND SOURCE; 20% PDF 2019 TYPES OF WORK TO BE DONE: Project billboard/ signboard. occupational safety and health program/ surplus common excavation/ surplus unclassified excavation/ structure excavation (common soil)/ subgrade preparation (common material</t>
  </si>
  <si>
    <t xml:space="preserve"> INVITATION TO BID NO. GOODS-036-2020 The Provincial Government of Bataan, through the General Fund036 intends to apply the below listed procurement w/ corresponding Approved Budget of the Contract (ABC). Bids received in excess of the ABC shall be automat</t>
  </si>
  <si>
    <t xml:space="preserve"> 400 sq. meters contractors within the vicinity is more preferred.</t>
  </si>
  <si>
    <t xml:space="preserve"> 1. 4 pcs. Geo-tagging device (Cellphone), System: Android 10, Processor: Octa Core, Memory 128 GB, RAM: 6GB, Display: 6.7" Full HD, Camera: 12mp, SIM Card: nano SIM, Wireless: Bluetooth 5.0 WIFI, Super Fast Charging</t>
  </si>
  <si>
    <t xml:space="preserve"> Republic of the Philippines BANGSAMORO AUTONOMOUS REGION IN MUSLIM MINDANAO Province of Maguindanao Municipality of Pandag INVITATION TO BID PROCUREMENT OF OFFICE SUPPLIES (ITB No. 44-Goods-2020) The Local Government Unit of Pandag, Maguindanao through th</t>
  </si>
  <si>
    <t xml:space="preserve"> 2 UNITS REAM PAPER CUTTER A3 SIZE Can cut up to 430mm length With measuring scale Easy to operate and sharp blade Design for printing office copy shop Can cut PVC PET</t>
  </si>
  <si>
    <t xml:space="preserve"> Agricultural Training Institute Regional Training Center, MiMaRoPa (ATI-RTC-MiMaRoPa) invites interested bidders/suppliers to submit quotation/proposals for the here under requirement: Training Supplies for the conduct of Free Seminar on Vegetable Product</t>
  </si>
  <si>
    <t xml:space="preserve"> INVITATION TO BID PROCUREMENT OF OFFICE SUPPLIES (ITB No. 43-Goods-2020) The Local Government Unit of Pandag, Maguindanao through the General Fund of Municipality of Pandag for the year 2020 intends to apply the Total Sum of Seventy Thousand Pesos (70,000</t>
  </si>
  <si>
    <t xml:space="preserve"> Procurement of assorted navigational equipment for Hybrid Trimaran Project use as per attached Request for Quotation.</t>
  </si>
  <si>
    <t xml:space="preserve"> PROVINCE OF ZAMBOANGA DEL NORTE BIDS AND AWARDS COMMITTEE (BAC) BAC Conference Room, Capitol Building, Brgy. Estaka Tel. # (065) 212-6492 Telefax # (065) 212-6492 	                                                                                           </t>
  </si>
  <si>
    <t xml:space="preserve"> FOR REPLENISHMENT OF STOCKS. GOOD FOR THREE (3) MONTHS CONSUMPTION</t>
  </si>
  <si>
    <t xml:space="preserve"> REQUEST FOR QUOTATION 				                                      Date: August 10, 2020 				                                      Quotation No/PR No. 135 To all Eligible Suppliers: I.  Please quote your lowest price inclusive of VAT on the item listed below</t>
  </si>
  <si>
    <t xml:space="preserve"> Items of Work consists of Project Billboard, Demolition, Structure Excavation, Gravel Bedding, Reinforcing Steel, Concrete Works, Masonry Works including septic Vault, Formworks, Finishing Works, Metal Works, Roofing Sheets, Ceiling, Door &amp; Windows, Paint</t>
  </si>
  <si>
    <t xml:space="preserve"> Invitation to Bid Barangay 868, Zone 95, District VI through its Bids and Awards Committee (BAC), invites all suppliers duly accredited and approved by the City Council of Manila to bid for the hereunder projects: 1   set   Closed Circuit Television (CCTV</t>
  </si>
  <si>
    <t xml:space="preserve"> NOTICE OF NEGOTIATED PROCUREMENT (Small Value Procurement) Project:	Purchase of 2000 bags Cement (to be distributed to different barangays within the 6th district of Pangasinan) 		(PR#2020-08-6332) Location: 	Sangguniang Panlalawigan 	        Lingayen, Pa</t>
  </si>
  <si>
    <t xml:space="preserve"> Please refer to the attached Request for Quotation. Thank you.</t>
  </si>
  <si>
    <t xml:space="preserve"> 1. 2 sets Office Laptop, Core i3 7th Gen/4GB/1TB/Windows 10, Clock Speed 2.7 Ghz, Graphic Processor: Intel HD 620, RAM Type DDR4, Memory Layout: 1x4Gigabyte, Memory Slots: 1, RAM Speed: 2133 Mhz, Capacity: 4GB, Display type: LED, Display Size: 15.6 in (36</t>
  </si>
  <si>
    <t xml:space="preserve"> Lodging (August to December)</t>
  </si>
  <si>
    <t xml:space="preserve"> REPUBLIC OF THE PHILIPPINES PROVINCE OF NEGROS OCCIDENTAL MUNICIPALITY OF MOISES PADILLA Bids and Awards Committee 	August 7, 2020 INVITATION TO BID FOR THE ACQUISITION OF PATIENT TRANSPORT VEHICLE  (SPECIFIC – PURPOSE VEHICLE) 1.	The Municipality of Mois</t>
  </si>
  <si>
    <t xml:space="preserve"> FOR REPLENISHMENT OF STOCKS. GOOD FOR THREE MONTHS CONSUMPTION</t>
  </si>
  <si>
    <t xml:space="preserve"> Demolition Works Excavation Works Concrete and Steel Works Site Cleaning Mobilization Construction Safety and Health Program</t>
  </si>
  <si>
    <t xml:space="preserve"> 2 unit Complete Set of Canopy for Vehicle with BISU Logo and Label Candjiay Campus</t>
  </si>
  <si>
    <t xml:space="preserve"> Republic of the Philippines CITY OF BAIS BIDS AND AWARDS COMMITTEE INVITATION TO APPLY FOR ELIGIBILITY AND TO BID 	The City Government of Bais invites interested bidders to apply for eligibility and to bid for use in the City Mayor’s Office, this city, vi</t>
  </si>
  <si>
    <t xml:space="preserve"> Republic of the Philippines DEPARTMENT OF SCIENCE AND TECHNOLOGY Regional Office No. 13, Caraga CSU Campus, Ampayon, Butuan City Telephone #: (085) 342-5345, 341-9551, Fax #: 342-5684 INVITATION TO BID Supply, Delivery, and Installation of 1 unit Large Fo</t>
  </si>
  <si>
    <t xml:space="preserve"> 1. 100 kilos Pork Meat 2. 100 kilos Fish 3. 50 packs Seasonings 4. 20 kilos Lasona 5. 20 kilos Bawang 6. 100 kilos Assorted Vegetables 7. 25 kilos Salt</t>
  </si>
  <si>
    <t xml:space="preserve"> Office Supplies - Php 100,092.00</t>
  </si>
  <si>
    <t xml:space="preserve"> Republic of the Philippines BIDS AND AWARDS COMMITTEE Municipality of Irosin Reference Number: BAC-0058-2020								 August 7, 2020 REQUEST FOR QUOTATION The Local Government Unit of Irosin, through its Bids &amp; Awards Committee (BAC), requests suppliers/ma</t>
  </si>
  <si>
    <t xml:space="preserve"> 2 units - Wooden Cabinet (6-door locker) 1 unit - Wooden Door, 0.80mx2.10m (half glass) 1 unit - Air Condition, window type, 2 Hp</t>
  </si>
  <si>
    <t xml:space="preserve"> Republic of the Philippines PROVINCE OF ZAMBOANGA DEL NORTE BIDS AND AWARDS COMMITTEE (BAC) BAC Conference Room, Capitol Building, Brgy. Estaka Tel. # (065) 212-6492 Telefax # (065) 212-6492 	                                                               </t>
  </si>
  <si>
    <t xml:space="preserve"> : Items of Work consists of Project Signboard/Billboard, Excavation Works, Gravel Bedding, Concrete Works, RSB Works, Form Works/Scaffoldings, 4” CHB Wall, Plastering Works, Ceiling and Locker Works, Tile Works, Toilet &amp; Bath, Metal Works, Roofing Sheets,</t>
  </si>
  <si>
    <t xml:space="preserve"> Corazon Locsin Montelibano Memorial Regional Hospital, through its Bids and Awards Committee, intends to procure LABORATORY SUPPLIES AND REAGENTS (PR#20-07-70726), which will be undertaken in accordance with Section 53.9 of the Revised Implementing Rules </t>
  </si>
  <si>
    <t xml:space="preserve"> Standard Form Number: SF-GOOD-60 Revised on: May 24, 2004 Standard Form Title: Request for Quotation Republic of the Philippines Provincial Government of South Cotabato BIDS AND AWARDS COMMITTEE Capitol Compound, Alunan Avenue, City of Koronadal Tel. No. </t>
  </si>
  <si>
    <t xml:space="preserve"> Republic of the Philippines Province of Palawan  Municipal Government of Cuyo BIDS AND AWARDS COMMITTEE Email Address: baccuyopalawan@gmail.com INVITATION TO BID  STRAIGHT CONTRACT FOR THE COMPLETION OF CUYO TOWN PLAZA PERIMETER FENCE” 1.	The Municipal Go</t>
  </si>
  <si>
    <t xml:space="preserve"> 40.00 mtrs THHN/THWN-2, 250mm Stranded copper building wire</t>
  </si>
  <si>
    <t xml:space="preserve"> 1. 332 pcs. VTM (Viral Transport Media)</t>
  </si>
  <si>
    <t xml:space="preserve"> 170 tablet - Ceuroxime 500mg film coated 1,074 tablet - Salbutamol 2mg 204 nebule - Ipratropium + Salbutamol 500mcg/2.5mg 2,050 capsule - Lagundi 600mg 350 table - Azithromycin 500mg 569 tablet - Butamirate Citrate 50mg 750 tablet - Loratadine 10mg</t>
  </si>
  <si>
    <t xml:space="preserve"> INVITATION TO REQUEST FOR QUOTATION						                                                                                  DELIVERY OF OFFICE SUPPLIES						 						 						 1.  The Department of Agrarian Reform Province of Nueva Vizcaya through the General </t>
  </si>
  <si>
    <t xml:space="preserve"> Provision of safety and health program/ provision of billboard/ structure excavation (manual excavation common soil)/ subgrade preparation/ aggregate subbase course/  PCC pavement (plain) 200mmthk/ metal railings/ reinforcing steel bar/ structural concret</t>
  </si>
  <si>
    <t xml:space="preserve"> The Barangay Catioan Bids and Awards Committee would like to invite interested bidders to quote their lowest price for the Construction Materials Needed in the Installation of Street lightings in the barangay as follows:  Item No.	Quantity	Unit of Measure</t>
  </si>
  <si>
    <t xml:space="preserve"> RPQ FOR 2ND QUARTER MOOE OF KINAPAT ES</t>
  </si>
  <si>
    <t xml:space="preserve"> For Pharmacy use</t>
  </si>
  <si>
    <t xml:space="preserve"> The National Food Authority (NFA) Regional Office V, through its Infrastructure and PHF Machineries Capital Outlay Budget with ASA Nos. 2020-COF-TRSD-V-Legazpi-001 and 2020-COF-TRSD-V-Legazpi, Albay-002 intends to apply the sum of PESOS: ONE MILLION FOUR </t>
  </si>
  <si>
    <t xml:space="preserve"> FUND SOURCE: TRUST LIABILITIES- DRRM TYPES OF WORK TO BE DONE: Provision of safety and health program/ provision o billboard/ structure excavation (manual excavation common soil)/ subgrade preparation/ aggregate subbase course/ PCC pavement (plain) 200 th</t>
  </si>
  <si>
    <t xml:space="preserve"> 1. 101 rolls 2" dia x 60m Hose 2. 101 pcs 2" dia saddle clamp</t>
  </si>
  <si>
    <t xml:space="preserve"> Republic of the Philippines CITY OF BAIS BIDS AND AWARDS COMMITTEE INVITATION TO APPLY FOR ELIGIBILITY AND TO REBID 	The City Government of Bais invites interested bidders to apply for eligibility and to bid to be distributed to the identified farmer bene</t>
  </si>
  <si>
    <t xml:space="preserve"> 1. 5 pcs Tire 265x70 R16</t>
  </si>
  <si>
    <t xml:space="preserve"> Republic of the Philippines					 DEPARTMENT OF PUBLIC WORKS AND HIGHWAYS					 BUTUAN CITY DISTRICT ENGINEERING OFFICE					 REGIONAL OFFICE XIII					 Butuan City, Agusan del Norte					   Tel. Nos. 342-5331  Fax No. 225-2022					 					GS-138-146-147-155-157</t>
  </si>
  <si>
    <t xml:space="preserve"> White Folder, Legal 16 pts. 10,000 pcs</t>
  </si>
  <si>
    <t xml:space="preserve"> DAY 1  Breakfast (20 pax) Fried Rice, Pork Tapa, Omelette, Coffee and Bottled Water (500ml) AM SNACKS (20 pax) Miki Bihon, Bottled Water (250ml) LUNCH (20 pax) Rice, Pork Afritada, Fish Fillet and Bottled Water (500ml) PM SNACKS (20 pax) Ham and Cheese Sa</t>
  </si>
  <si>
    <t xml:space="preserve"> REPUBLIC OF THE PHILIPPINES PROVINCE OF NEGROS OCCIDENTAL MUNICIPALITY OF MOISES PADILLA Bids and Awards Committee 	August 7, 2020 INVITATION TO BID FOR THE PURCHASE OF FUEL 1.	The Municipality of Moises Padilla through the allocation from its MDRRMF Trus</t>
  </si>
  <si>
    <t xml:space="preserve"> 1 pc Louvered Cubicle Door (0.80m x 1.57m) 2 pcs PVC Door (0.6 x 1.9m) 3 set Urinal Including Fittings 7 pcs Ordinary Plywood 1/4 x 4" x 8" (15 sq.m) 4 pcs LED Bulb 7 watts 1 gallon White Paint Enamel</t>
  </si>
  <si>
    <t xml:space="preserve"> Purchase  of 1 unit Desktop Computer (with built-in CPU &amp; 1 unit Laptop Computer for MCLUP requirement.</t>
  </si>
  <si>
    <t xml:space="preserve"> 220 pcs Flu Vaccine</t>
  </si>
  <si>
    <t xml:space="preserve"> Republic of the Philippines CITY OF BAIS BIDS AND AWARDS COMMITTEE INVITATION TO APPLY FOR ELIGIBILITY AND TO REBID 	The City Government of Bais invites interested bidders to apply for eligibility and to bid for Farm inputs for Corn Production Program, Ci</t>
  </si>
  <si>
    <t xml:space="preserve"> Republic of the Philippines CITY OF BAIS BIDS AND AWARDS COMMITTEE INVITATION TO APPLY FOR ELIGIBILITY AND TO REBID 	The City Government of Bais invites interested bidders to apply for eligibility and to bid for implementation of various Farm to Market Ro</t>
  </si>
  <si>
    <t xml:space="preserve"> Approved Budget for Contract (ABC)   :PHP 78,000.00					 QTY	UNIT	ITEM/S DESCRIPTION		UNIT PRICE	TOTAL PRICE 1000	pcs/copy	Job Title  :  Booklet (Plastics:  Types, Uses and Effects			 		to the Environment and Human Health)			 					 		Size  :  6" x 9"  - F</t>
  </si>
  <si>
    <t xml:space="preserve"> Republic of the Philippines MUNICIPALITY OF PAGBILAO Province of Quezon REQUEST FOR QUOTATION The Municipality of Pagbilao, through its Bids and Awards Committee (BAC), will undertake alternative method of Procurement (Shopping 52.1b) for Supply and Deliv</t>
  </si>
  <si>
    <t xml:space="preserve"> Supply and delivery of 1 lot mobile cabinet - ball bearing roller, 3 Drawer, locking mechanism, heavy duty, high quality, powder coated black finish (7 units) and clerical chair - net mesh, mid back, swivel and gas lifted (7 units) to be used at the Offic</t>
  </si>
  <si>
    <t xml:space="preserve"> ONE UNIT SERVICE VEHICLE specification: Body type: VAN Seating capacity: 10 Engine: Four (4) cylinder diesel engine euro IV common rail direct             injection (cdri) with variable geometric turbo (vgt), double             overhead com.(dohc) 16 valv</t>
  </si>
  <si>
    <t xml:space="preserve"> Furnitures (Roller Blinds)</t>
  </si>
  <si>
    <t xml:space="preserve"> Supply &amp; Delivery of Office Equipment</t>
  </si>
  <si>
    <t xml:space="preserve"> 1 UNIT LAPTOP  SPECS: Intel core i7 1000gb HDD 8gb DRR4 Memory NVIDIA GE Force GX 1650 4GB DDRS 15.6" FHD Acer Comfyview Display Windows 10Home SL 36wh, Li-ion Battery</t>
  </si>
  <si>
    <t xml:space="preserve"> Supply &amp; Delivery of Fuel/ Lubricants</t>
  </si>
  <si>
    <t xml:space="preserve"> 285.56   LM Pre-painted long span color roof ( eff. width: 980mm) 65          LM Pre-painted Gutter</t>
  </si>
  <si>
    <t xml:space="preserve"> STRUCTURAL CONCRETE    34.00 CUM RSB   4,496.46KGS FORM WORKS:    INSTALLATION   245.00 SQM    REMOVAL           245.00 SQM MASONRY WORKS (CHB LAYING)       3655 PIECES GROUTED RIPRAP     12.00 CUM TRANSHIPMENT OF MATERIALS  1.00 LOT PROJECT BILLBOARD   1</t>
  </si>
  <si>
    <t xml:space="preserve"> 1 UNIT WHEEL BARROW 4 PCS SHOVEL 2 PCS DIGGING BARS 150 BAGS PORTLAND CEMENT 5 PCS 1/4" MARINE PLYWOOD 5 KGS ASSORTED CWN</t>
  </si>
  <si>
    <t xml:space="preserve"> NOTICE OF NEGOTIATED PROCUREMENT (Small Value Procurement) Project:	Purchase of 1,600 bags Cement and 32 units Jetmatic Pump (to be distributed to different barangays within the 6th district of Pangasinan) 		(PR#2020-07-6329) Location: 	Sangguniang Panlal</t>
  </si>
  <si>
    <t xml:space="preserve"> 36 bags cement          32 length 12mm dia def bars         10 length  10mm dia def bars          25 kg #16 tie wire 3 length 1/8" x 1" flat bar         1 gal red lead metal primer        3 pcs 4" Paint brush          25 kgs welding rod #10 14 length 1.5m</t>
  </si>
  <si>
    <t xml:space="preserve"> NOTICE OF NEGOTIATED PROCUREMENT (Small Value Procurement) Project:	Purchase of Various Construction Materials (to be distributed to different barangays within the 4th district of Pangasinan) 		(PR#2020-07-6414) 60	t/l	Mixed sand and Gravel 320	bag	Cement</t>
  </si>
  <si>
    <t xml:space="preserve"> NOTICE OF NEGOTIATED PROCUREMENT (Small Value Procurement) Project:	Purchase of 2,000 bags Cement (to be distributed to different barangays &amp; municipalities within the province of Pangasinan) 		(PR#2020-07-6331) Location: 	Sangguniang Panlalawigan 	      </t>
  </si>
  <si>
    <t xml:space="preserve"> Republic of the Philippines																																			 DEPARTMENT OF PUBLIC WORKS AND HIGHWAYS																																			 REGIONAL OFFICE IX																																			 Ipil, Zamboanga Sibugay																																			 Name</t>
  </si>
  <si>
    <t xml:space="preserve"> NOTICE OF NEGOTIATED PROCUREMENT (Small Value Procurement) Project:	Purchase of Various Construction Materials, Jetmatic Pump and GI Pipes (to be distributed to different barangays within the 5th district of Pangasinan) 		(PR#2020-07-6101) 1000	bag	Cement</t>
  </si>
  <si>
    <t xml:space="preserve"> Republic of the Philippines Province of South Cotabato BIDS AND AWARDS COMMITTEE Capitol Compound Alunan Avenue, Koronadal City Tel. Fax No.: (083) 228-9951/228-8570 INVITATION TO BID FOR THE SUPPLY AND DELIVERY OF 40,178 LITERS DIESOLINE 1.  The PROVINCI</t>
  </si>
  <si>
    <t xml:space="preserve"> 30 reams Bond Paper Long 6 reams Bond Paper A4 2 pcs Computer Mouse 2 pcs Computer Ink L1455 No. 664 (Magenta) 2 pcs Computer Ink L1455 No. 664 (Yellow) 2 pcs Computer Ink L1455 No. 664 (Cyan) 2 pcs Computer Ink L1455 No. 664 (Black) 6 pcs Computer Ink L3</t>
  </si>
  <si>
    <t xml:space="preserve"> NOTICE OF NEGOTIATED PROCUREMENT (Small Value Procurement) Project:	Purchase of Various Construction Materials, Jetmatic Pump and GI Pipes (to be distributed to different barangays within the 3rd district of Pangasinan) 		(PR#2020-07-6330) 1000	bag	Cement</t>
  </si>
  <si>
    <t xml:space="preserve"> 6 btl Alcohol Spray 750ml 6 btl Alcohol 500ml 20 bxs Facemask</t>
  </si>
  <si>
    <t xml:space="preserve"> The Procuring Entity through its Bids and Awards Committee invites suppliers to quote for the hereunder project/program: Improvement of Water System @ Barangay Bolisong CY 2019-20% EDF ITEM NO.	ITEM &amp; DESCRIPTION				QNTY	UNIT 						 1	Various Plumbing Mat</t>
  </si>
  <si>
    <t xml:space="preserve"> Invitation to Bid</t>
  </si>
  <si>
    <t xml:space="preserve"> Plastic Envelope, Long Expandable *for students modules</t>
  </si>
  <si>
    <t xml:space="preserve"> Supply and Deliver of Office Supplies and Devices</t>
  </si>
  <si>
    <t xml:space="preserve"> 1.	The Barangay Council of Baragay Caggay, through the BDRRMF for Calendar Year 2020, intends to apply the sum of One Hundred Fifty Thousand Pesos , being the Approved Budget for the Contract (ABC) to payments for the Infrastructure Project: Declogging al</t>
  </si>
  <si>
    <t xml:space="preserve"> Republic of the Philippines CITY OF BAIS BIDS AND AWARDS COMMITTEE INVITATION TO APPLY FOR ELIGIBILITY AND TO REBID 	The City Government of Bais invites interested bidders to apply for eligibility and to bid to be used in farm inputs for bio-Intensive Gar</t>
  </si>
  <si>
    <t xml:space="preserve"> Sealed Quotation - One (1) Lot - Supply, Delivery and Installation of Various Furniture for Pag-IBIG Fund Calamba Hub MIS, Calamba Branch, San Pablo, Lucena and Batangas Branch</t>
  </si>
  <si>
    <t xml:space="preserve"> Activity Work Sheets All Subjects Week 1 and 2 Kinder - 464 x 10 pages Grade 1 - 580 x 48 pages Grade 2 - 600 x 48 pages Grade 3 - 600 x 60 pages Grade 4 - 560 x 30 pages Grade 5 - 550 x 60 pages Grade 6 - 610 x 60 pages</t>
  </si>
  <si>
    <t xml:space="preserve"> Supply and Delivery of cartridge for printer</t>
  </si>
  <si>
    <t xml:space="preserve"> cement 180 bags sand 30 cu.m 16mm dia RSB 30 12mm dia RSB 30 10mm dia RSB 40 Floor tile 40"x40" 550 pcs Floor tile 30"x30" pcs Sliding window 120'x120' 2 pcs 100-2"x3"x10' cocolumber 600 bf Tile adhesive 10 bags CWN assorted 15 kls Concrete nail 5 kls C-c</t>
  </si>
  <si>
    <t xml:space="preserve"> Republic of the Philippines CITY OF BAIS BIDS AND AWARDS COMMITTEE INVITATION TO APPLY FOR ELIGIBILITY AND TO REBID 	The City Government of Bais invites interested bidders to apply for eligibility and to bid to be used in the conduct of biophysical assess</t>
  </si>
  <si>
    <t xml:space="preserve"> MULTI-PURPOSE HALL PHASE 2 THE WORK INCLUDES CONSTRUCTION OF SECOND FLOOR COLUMNS, BEAMS AS PER APPROVED PLANS AND POW.</t>
  </si>
  <si>
    <t xml:space="preserve"> EDUCATIONAL MATERIALS AND SUPPLIES</t>
  </si>
  <si>
    <t xml:space="preserve"> For Use of DES</t>
  </si>
  <si>
    <t xml:space="preserve"> Republic of the Philippines Province of South Cotabato BIDS AND AWARDS COMMITTEE Capitol Compound Alunan Avenue, Koronadal City Tel. Fax No.: (083) 228-9951/228-8570 INVITATION TO BID FOR THE SUPPLY AND DELIVERY OF 1,000 BAGS FERTILIZER, COMPLETE 14-14-14</t>
  </si>
  <si>
    <t xml:space="preserve"> Deadline of Submission:     Aug. 13, 2020 @ 8:30 a.m Opening of Bid/Quotation:  Aug. 13, 2020 @ 9:00 a.m Evaluate:                          Aug. 13, 2020 @ 11:00 a.m Resolution of Award:         Aug. 14, 2020 Notice of Award:               Aug. 17, 2020 N</t>
  </si>
  <si>
    <t xml:space="preserve"> Republic of the Philippines PROVINCE OF ZAMBALES I B A  Project Reference Number/Purchase Request No..	OSC-2020-226 													                                                                                                 Location of the Project:	Ospi</t>
  </si>
  <si>
    <t xml:space="preserve"> 10 sack Rice (50kg/sack) 43 btl Cooking Oil (350ml/btl) 10 packs Iodized Salt (250grams/pack) 10 packs Pepper (50grams/pack) 86 can Corned Beef 260g 10 kl Onion  5 kl Garlic 5 kl Tomatoes 20 kl Labanos 10 kl Sili Haba 86 bunch Kangkong 86 bunch Okra 86 pc</t>
  </si>
  <si>
    <t xml:space="preserve"> 2 unit Wireless Microphone System 20 channels with 1 transmitter, 1 receiver 1/4 inch output, 1 microphone 2 unit Adjustable Folding Utility Table 4ft 5 pcs Plastic Chairs 40 pcs Face Shield 5 bxs Face Mask 20 pcs Alcohol 70% 4 unit Automatic Alcohol Disp</t>
  </si>
  <si>
    <t xml:space="preserve"> Supply and Delivery of IT Equipment</t>
  </si>
  <si>
    <t xml:space="preserve"> 20 pcs Raincoats 40 pair Gloves</t>
  </si>
  <si>
    <t xml:space="preserve"> Republic of the Philippines CITY OF BAIS BIDS AND AWARDS COMMITTEE INVITATION TO APPLY FOR ELIGIBILITY AND TO BID 	The City Government of Bais invites interested bidders to apply for eligibility and to bid for use in the Tourism Office, Bais City, viz:  I</t>
  </si>
  <si>
    <t xml:space="preserve"> Repair and Maintenance of Government owned Heavy Equipment (Backhoe/Loader)</t>
  </si>
  <si>
    <t xml:space="preserve"> Republic of the Philippines CITY OF BAIS BIDS AND AWARDS COMMITTEE INVITATION TO APPLY FOR ELIGIBILITY AND TO BID 	The City Government of Bais invites interested bidders to apply for eligibility and to bid for use in the City Budget Office only, viz:  ITE</t>
  </si>
  <si>
    <t xml:space="preserve"> Department of Education Agusan del Norte</t>
  </si>
  <si>
    <t xml:space="preserve"> The Development Bank of the Philippines – Taytay-Palawan Branch, through the Bids and Awards Committee for South Luzon, intends to procure one (1) unit 3-tonner Aircon with an Approved Budget for the Contract (ABC) of PHILIPPINE PESO: One Hundred Thousand</t>
  </si>
  <si>
    <t xml:space="preserve"> MAINTENANCE OF MADEPDEPPAS- TACCONG- NACAGANG ROAD, SAGADA Fund Source: PEO 2020 Types of Work to be Done: Project billboard/ signboard/ occupational safety and health program/ structure excavation/ grouted riprap (class A)/ handlaid rock embankment/ rein</t>
  </si>
  <si>
    <t xml:space="preserve"> pROJECT BILLBOARD   1.00 LOT MOBILIZATION/DEMOBILIZATION         1.00 LS CARPENTRY WORKS       4.80 SQM PLUMBING AND ELECTRICAL WORKS    1.00 LOT CEMENT PLASTER FINISH    48.00 SQM PAINTING (MASONRY/CONCRETE)   96.00 SQM CHB NON LOAD BEARING   2.00 SQM DO</t>
  </si>
  <si>
    <t xml:space="preserve"> Item No.	ITEM DESCRIPTION	QTY.	UNIT 	Supply &amp; Delivery of 		   1.	Banana suckers (Tundan)	6,866	pcs.</t>
  </si>
  <si>
    <t xml:space="preserve"> 10 reams Bond Paper Long sub 20 5 reams Bond Paper A4 sub 20 5 pcs Staple Wire #35 15 pcs Correction Tape 5mm x 8m 3 pcs Tape 5 bxs Staple Wire #35 5 bxs Fastener Plastic Color Coated 2 pcs Puncher  7 btl Ink Black L3110 4 btl Ink L3110 Magenta 4 btl Ink </t>
  </si>
  <si>
    <t xml:space="preserve"> Republic of the Philippines 		      Province of Laguna MUNICIPAL GOVERNMENT OF PANGIL BIDS AND AWARDS COMMITTEE Nat’l Rd. Brgy. San Jose, Pangil, Laguna 	Tel.Nos.  (049)557-0284 &amp; 557-3139		 	 INVITATION TO APPLY FOR ELIGIBILITY AND TO BID The Municipalit</t>
  </si>
  <si>
    <t xml:space="preserve"> Replace Brake Pad 1 Brake Pad E9 Brake Shoe with Labor 8 Strap</t>
  </si>
  <si>
    <t xml:space="preserve"> Construction of Dumpsite Septic Vault.</t>
  </si>
  <si>
    <t xml:space="preserve"> Municipal Museum, Poblacion I, Indang, Cavite</t>
  </si>
  <si>
    <t xml:space="preserve"> Cabadbaran District Hospital Agusan del Norte</t>
  </si>
  <si>
    <t xml:space="preserve"> Purchase of Materials for Act. 63x- Resurfacing of Unpaved Shoulder for Rectification of Low Shoulder; Act. 41x- Emergency Projects- Bridge for the Replacement/Repair of Damage Deck Slab and Act. 66x- Selective Replacement of Concrete Pavement for the Rec</t>
  </si>
  <si>
    <t xml:space="preserve"> Republic of the Philippines Province of South Cotabato BIDS AND AWARDS COMMITTEE Capitol Compound Alunan Avenue, Koronadal City Tel. Fax No.: (083) 228-9951/228-8570 INVITATION TO BID FOR THE SUPPLY AND DELIVERY OF 25 UNITS SERVICE VEHICLE, PICK-UP TYPE, </t>
  </si>
  <si>
    <t xml:space="preserve"> Republic of the Philippines PROVINCE OF ZAMBALES I B A  Project Reference Number/Purchase Request No..	CDH-2020-251 													                                                                                                 Location of the Project:	Cand</t>
  </si>
  <si>
    <t xml:space="preserve"> see attached documents</t>
  </si>
  <si>
    <t xml:space="preserve"> The PHILIPPINE SCIENCE HIGH SCHOOL - MIMAROPA REGION CAMPUS (PSHS-MRC) intends to apply the sum of SEVENTY THOUSAND PESOS ONLY (PhP70,000.00) being the Approved Budget for the Contract (ABC) to pay for the contract for the Project: SUPPLY AND DELIVERY OF </t>
  </si>
  <si>
    <t xml:space="preserve"> Provincial Disaster Risk Reduction Management Office Agusan del Norte</t>
  </si>
  <si>
    <t xml:space="preserve"> SOURCE OF FUND: SUPPLEMENTAL APPROPRIATION CY 2019-NO.1. 822.60 SQ.M. REMOVAL OF EXISTING PAVEMENT 123.39 CU.M. ROAD EXCAVATION 82.26 CU.M. AGGREGATE BASE COURSE 164.52 CU.M. PORTLAND CEMENT CONCRETE PAVEMENT 1.00 UNIT GENERAL REQUIREMENTS(SIGNBOARD, TEMP</t>
  </si>
  <si>
    <t xml:space="preserve"> Republic of the Philippines Province of Negros Oriental City of Bais Barangay: Capiñahan       BIDS AND AWARD COMMITTEE INVITATION TO APPLY FOR ELIGIBILITY AND TO BID 	The Barangay Government of Barangay__ Capiñahan      , Bais City invites interested sup</t>
  </si>
  <si>
    <t xml:space="preserve"> Office of the LDRRM, Indang, Cavitre</t>
  </si>
  <si>
    <t xml:space="preserve"> Act. 65x- Bridge Repainting along Maingaran Bridge 1, Maingaran Bridge 2, Usab Bridge, Asid Bridge, Tugbo Bridge, Cancahorao Bridge, Lipata Bridge, Sagawsawan Bridge, Mabato-bato Bridge &amp; Agoro Bridge</t>
  </si>
  <si>
    <t xml:space="preserve"> 12 pcs. wooden tables with chairs</t>
  </si>
  <si>
    <t xml:space="preserve"> Poblacion III, Indang, Cavite</t>
  </si>
  <si>
    <t xml:space="preserve"> Supply and Delivery of materials for concrete (artificial reef) for fishies additional for fish</t>
  </si>
  <si>
    <t xml:space="preserve"> CLEARING AND EXCAVATION                       6.30 CUM STRUCTURAL CONCRETE INCLUDING FORMWORKS       1.47 CUM RSB   152.64 KGS GROUTED RIPRAP      20.66 CUM TRANSHIPMENT OF MATERIALS AND MANUAL HAULING     1.00 LOT PROJECT BILLBOARD    1.00 LOT</t>
  </si>
  <si>
    <t xml:space="preserve"> SUPPLY AND DELIVERY OF UNLEADED GASOLINE, DIESEL AND LUBRICANTS to be used at CIVIL AVIATION AUTHORITY OF THE PHILIPPINES, BOHOL-PANGLAO INTERNATIONAL AIRPORT. Description and specification: - UNLEADED GASOLINE 400 LITERS - DIESEL 2,650 LITERS - MULTIPURP</t>
  </si>
  <si>
    <t xml:space="preserve"> Republic of the Philippines CITY OF BAIS BIDS AND AWARDS COMMITTEE INVITATION TO APPLY FOR ELIGIBILITY AND TO BID 	The City Government of Bais invites interested bidders to apply for eligibility and to bid for use in the Information Office, Bais City, viz</t>
  </si>
  <si>
    <t xml:space="preserve"> Invitation to Bid CONSTRUCTION OF DEPED TEMPORARY LEARNING SPACES (TLS)  CLUSTER 1 –  Villa Enage ES, Biliran District; Biliran NAHS, Biliran District; Biliran Science High School, Biliran District; Cabucgayan CS, Cabucgayan District; Naval NHS, Naval Dis</t>
  </si>
  <si>
    <t xml:space="preserve"> 90 vial Verorab</t>
  </si>
  <si>
    <t xml:space="preserve"> 1 Unit split-type Aircon w/ inverter 2.5hp		 1 Unit split-type Aircon w/ inverter 3hp		 1 Unit split-type Aircon w/ inverter 5hp(Floor mounted)	 1 Unit aircon 3/4 hp</t>
  </si>
  <si>
    <t xml:space="preserve"> Fabrication of Turn-out Steelgate including materials, 		Labor and painting, 4	Units	Steelgate (Width - 0.40m. x Ht - 0.80m.) 2 	Units	Steelgate (Width - 0.50m. x Ht - 0.80m.) 3	Units	Steelgate (Width - 0.50m. x Ht - 0.60m.) 3	Units	Steelgate (Width - 0.5</t>
  </si>
  <si>
    <t xml:space="preserve"> 35 packs Rice, Fried Chicken, Chopseuy, Dessert and Bottled Water</t>
  </si>
  <si>
    <t xml:space="preserve"> 2 units aircon inverter (1hp)</t>
  </si>
  <si>
    <t xml:space="preserve"> Pls. see attached file.</t>
  </si>
  <si>
    <t xml:space="preserve"> Procurement of Various Supplies and Construction Materials Intended for Grants and Donations</t>
  </si>
  <si>
    <t xml:space="preserve"> Office of the MCR &amp; COA Office, Indang, Cavite</t>
  </si>
  <si>
    <t xml:space="preserve"> SOURCE OF FUND: 20% DEVELOPMENT FUND 182 SQ.M. REMOVAL OF EXISTING PAVEMENT 34.49 CU.M. ROAD EXCAVATION 172.44 SQ.M. SUBGRADE PREPARATION 25.87 CU.M. AGGREGATE BASE COURSE 36.00 CU.M. PORTLAND CEMENT CONCRETE PAVEMENT 17.85 LM REINFORCEMENT CONCRETE BOX C</t>
  </si>
  <si>
    <t xml:space="preserve"> reproduction of module for 1st and 2nd quarter for SY 2020-2021</t>
  </si>
  <si>
    <t xml:space="preserve"> FENCING OF NEW BARANGAY HALL AND COVERED COURT IN PUROK 5</t>
  </si>
  <si>
    <t xml:space="preserve"> Buggy and Trash bin</t>
  </si>
  <si>
    <t xml:space="preserve"> REQUEST FOR QUOTATION August 07, 2020 The Local Government of Sta. Rita in Pampanga, through its Bid and Awards Committee (BAC), will undertake Negotiated Procurement – Small Value Procurement for Purchase of Modular Tent @ Municipality of Sta. Rita, in a</t>
  </si>
  <si>
    <t xml:space="preserve"> Purchase of Food Stuff for Stockpiling of Relief Goods in MDRRMO</t>
  </si>
  <si>
    <t xml:space="preserve"> various construction mats. &amp; supplies</t>
  </si>
  <si>
    <t xml:space="preserve"> 10 Rolls P.E. Pipe #2</t>
  </si>
  <si>
    <t xml:space="preserve"> Republic of the Philippines Province of Davao De Oro MUNICIPALITY OF COMPOSTELA BIDS AND AWARDS COMMITTEE CP#: 0998-571-7569 INVITATION TO BID FOR  Construction of Multi- Purpose Warehouse (Procurement of Hardware Materials) - MAGRO ITB NO. 2020-08-043, B</t>
  </si>
  <si>
    <t xml:space="preserve"> Republic of the Philippines					 Province of Misamis Oriental					 MUNICIPALITY OF VILLANUEVA					 REQUEST FOR QUOTATION					 Quotation No. 2020- ____________					 					 			Date		 					 					 					 Sir:					 	Please quote your price of the articles listed</t>
  </si>
  <si>
    <t xml:space="preserve"> Request for Quotation (RFQ) Shopping 1.The Local Government Unit of Barbaza, Antique now invites interested suppliers to quote for the supply and delivery of one (1) unit Laptop Computer to be used in the Office of the Auditor, Team 5, COA PSAO, Binirayan</t>
  </si>
  <si>
    <t xml:space="preserve"> Request for Quotation for the Procurement of Rice Hull Carbonizer 1.	The Department of Agriculture-Regional Field Office 7 (DA-RFO 7), through the General Appropriation Act for CY 2020 intends to apply the sum of One Hundred Ten Thousand Pesos (P 110,000.</t>
  </si>
  <si>
    <t xml:space="preserve"> Provincial Governor's Office Agusan del Norte</t>
  </si>
  <si>
    <t xml:space="preserve"> Please see attached RFQ for the full description of the items and for terms and conditions. Please submit your quotation on or before the closing date. You may submit it in our office or thru email at nmmcprocurement.rfq@gmail.com</t>
  </si>
  <si>
    <t xml:space="preserve"> Office of the MCR &amp; Toursim Office, Indang, Cavite</t>
  </si>
  <si>
    <t xml:space="preserve"> DEPARTMENT OF EDUCATION					 Region IV - MIMAROPA					 MAGSAYSAY NATIONAL HIGH SCHOOL					 Magsaysay, Occidental Mindoro					  QUOTATION FORM					 			PR. NO.	2020-008-048	 Package:		Procurement of Office Supplies for the reproduction of student' learning </t>
  </si>
  <si>
    <t xml:space="preserve"> Nasipit District Hospital  Agusan del Norte</t>
  </si>
  <si>
    <t xml:space="preserve"> Invitation to Bid CY 2020 BEFF - MODERNIZATION OF ELECTRICAL SYSTEM ON-GRID SCHOOLS BATCH 2 – NAVAL CS, NAVAL DISTRICT 1  (ELEC 2020-RVIII -Biliran-006) 1.	The DepEd, SDO-Biliran through the CY 2020 SARO  intends to apply the sum of TWO MILLION SIX HUNDRE</t>
  </si>
  <si>
    <t xml:space="preserve"> Negotiated Procurement (Sec.53.9)</t>
  </si>
  <si>
    <t xml:space="preserve"> INVITATION TO BID  The Local Government Unit of Barbaza, Antique, now invites interested contractors with a minimum experience of 5 years in implementing similar/related sub-projects to bid for the hereunder subproject: Name of Project	:	EXTENSION OF MUNI</t>
  </si>
  <si>
    <t xml:space="preserve"> 4 WIFI MODEM, WHITE , FREE 10GB DATA,PREPAID, 2X FASTER  SPEED, SIGNAL, COVERAGE, PLUG, LOAD 50 LONG/ A4 BONDPAPER SUB 20 ULTRA-WHITE  3 UNIVERSAL INK, BLACK 1000ML 5 PRINTER  NOZZLE CONFIGURATION (180 NOZZLES bLACK, 59 NOZZLES PER COLOR COLOR) mINIMUM DR</t>
  </si>
  <si>
    <t xml:space="preserve"> https://drive.google.com/file/d/1ViNNLS4A9Y9n-2ODYjCmrK-2jN_TNgvV/view?usp=drivesdk</t>
  </si>
  <si>
    <t xml:space="preserve"> IMPROVEMENT OF LIAS GYMNASIUM, BARLIG Fund Source: 20% PDF 2020 Types of Work to be Done: Project billboard/ signboard/ occupational safety and health program/ site preparation/ selected embankment/ steel works/ reinforcing steel bar, grade 40/ structural</t>
  </si>
  <si>
    <t xml:space="preserve"> INVITATION TO BID  The Local Government Unit of Barbaza, Antique, now invites interested contractors with a minimum experience of 5 years in implementing similar/related sub-projects to bid for the hereunder subproject: Name of Project:	REHABILITATION OF </t>
  </si>
  <si>
    <t xml:space="preserve"> FOR TRACTOR MAINTENANCE LGU Cabagan Cabagan, Isabela</t>
  </si>
  <si>
    <t xml:space="preserve"> Risperidone 2mg -------------------- 4 bxs. Olanzapine 10mg -------------------- 4 bxs. Clozapine 100mg -------------------- 2 bxs. Bisperidon 2mg ---------------------  4 bxs. Halopenidol 5mg -------------------- 4 bxs. Chlorpromazine 10mg --------------</t>
  </si>
  <si>
    <t xml:space="preserve"> Republic of the Philippines PROVINCE OF CAMARINES SUR BIDS AND AWARDS COMMITTEE ITB No. 048-09-2020 INVITATION TO BID  	The Provincial Government of Camarines Sur (PGCS) through its Bids and Awards Committee (BAC) invites suppliers/manufacturers/distribut</t>
  </si>
  <si>
    <t xml:space="preserve"> 1.	The City Government of Sipalay, through the 2020 Budget Appropriation (General Fund) approved by the Sangguniang Panlungsod intends to apply the amount of One Million Five Hundred Ten Thousand Pesos (P 1,510,000.00) only being the Approved Budget for t</t>
  </si>
  <si>
    <t xml:space="preserve"> 1. The City Government of Bacoor, Cavite, through the City Ordinance No. CO 562019 intends to apply the sum of FOUR HUNDRED FIFTY  THOUSAND  PESOS AND ZERO CENT (PhP450,000.00) being the total Approved Budget for the Contract (ABC) for all lots indicated </t>
  </si>
  <si>
    <t xml:space="preserve"> Request for Quotation for the Procurement of Plastic Drum 1.	The Department of Agriculture-Regional Field Office 7 (DA-RFO 7), through the General Appropriation Act for CY 2020 intends to apply the sum of Two Hundred Sixty Two Thousand Five Hundred Pesos </t>
  </si>
  <si>
    <t xml:space="preserve"> Layout and Stake-out Subgrade Preparation Aggregate Base Coarse Portland Cement &amp; Pavement Mobilization Construction Safety &amp; Health Program</t>
  </si>
  <si>
    <t xml:space="preserve"> Please see attached RFQ for the full description of the item and for terms and conditions. Please submit your quotation on or before the closing date. You may submit it in our office or thru email at nmmcprocurement.rfq@gmail.com</t>
  </si>
  <si>
    <t xml:space="preserve"> 500	   Reams	   Book Paper Long 5	   Pack	   Folder Long (100 pcs. Per Pack)</t>
  </si>
  <si>
    <t xml:space="preserve"> Request for Quotation for the Procurement of Assorted Vegetable Seeds 1.	The Department of Agriculture-Regional Field Office 7 (DA-RFO 7), through the General Appropriation Act for CY 2020 intends to apply the sum of Two Hundred Seventy Two Thousand Six H</t>
  </si>
  <si>
    <t xml:space="preserve"> cylinders	6 months Contract on Delivery and supply of 		2220 	Medical Grade Oxygen Gas		 	Medical Grade Oxygen Gas in cylinder 5,500 liters		 	1800 PSI content only		 			 	Delivery Term Must be every 15th day, 30th		 	day of the month and depending on the</t>
  </si>
  <si>
    <t xml:space="preserve"> Paper and Binding: Properties Printer (Procured/ Supplier) Paper Size - Paper Size used on Layout A4 Paper Thickness (Basis Weight) - 70 gsm (BP) Binding - Saddle Stitch Cover - Foldcote No.12 (FC#12) (4 color) with lamination (UV coating) Inside 1 color/</t>
  </si>
  <si>
    <t xml:space="preserve"> I. MEDICINES AND SUPPLIES  1	Ferrous Sulfate tablet 2	Vitamin A 10,000 IU capsule 3	Amoxicillin 250 mg capsule 4	Amoxicillin 500 mg 5	Paracetamol 500mg 6	Paracetamol drop 15 ml 7	Paracetamol 250 mg 60 ml 8	Paracetamol Neo-Kiddie Aspilet 9	Mefenamic Acid 5</t>
  </si>
  <si>
    <t xml:space="preserve"> 1. The City Government of Bacoor, Cavite, through the City Ordinance No. CO 562019 intends to apply the sum of FIVE HUNDRED  THOUSAND  PESOS AND ZERO CENT (PhP500,000.00) being the total Approved Budget for the Contract (ABC) for all lots indicated in BDS</t>
  </si>
  <si>
    <t xml:space="preserve"> INVITATION TO BID  The Local Government Unit of Barbaza, Antique, now invites interested contractors with a minimum experience of 5 years in implementing similar/related sub-projects to bid for the hereunder subproject: Name of Project	:	CONSTRUCTION OF M</t>
  </si>
  <si>
    <t xml:space="preserve"> Universal Ink ----------------------bot. 30 Tornido Mop ----------------------- pcs. 2 Curtain 9Rod w/ Hook) ---------- pcs. 10 Rice Cooker (50 cups) ---------- unit 1 Rice Cooker (20cups) ---------- unit 1 US Bond paper, A4 ------------- rms. 40 Folder, </t>
  </si>
  <si>
    <t xml:space="preserve"> Toilet Bowls ----------------------------------305 pcs.</t>
  </si>
  <si>
    <t xml:space="preserve"> Republic of the Philippines						 	Cordillera Administrative Region						 	Provincial Local Government Unit of Ifugao						 	BIDS AND AWARDS COMMITTEE ON GOODS						 	2nd Floor COA Bldg., Capitol Compound						 	Lagawe, Ifugao						 	Email Ad.: bacgoodsif</t>
  </si>
  <si>
    <t xml:space="preserve"> Request for Quotation for the Procurement of Geotagging Device 1.	The Department of Agriculture-Regional Field Office 7 (DA-RFO 7), through the General Appropriation Act for CY 2020 intends to apply the sum of Seventy Nine Thousand Nine Hundred Ninety Nin</t>
  </si>
  <si>
    <t xml:space="preserve"> 1 unit UTILITY VAN RESCUE VEHICLE 	WEIGHT: GROSS VEHICLE(GYW)2,950CC MASS-1295 	       BODY: FB TYPE ONLY 	ENGINE:MODEL DIRECT INJECT INJECTION COMMON 	       DIESEL ENGINE, EMISSION STANDARD 	       EURO IV, DISPLACEMENT CC2, 499, MAX. OUTPUT 	       KW(</t>
  </si>
  <si>
    <t xml:space="preserve"> 1.     2,000 PIECES BLACK PLASTIC TRASH BAG, XXL, 012 THICKNESS 2.     1,500 PIECES GREEN PLASTIC TRASH BAG, XXL, 012 THICKNESS 3.     1,500 PIECES YELLOW PLASTIC TRASH BAG, XXL, 018 THICKNESS</t>
  </si>
  <si>
    <t xml:space="preserve"> Republic of the Philippines Barangay Angeles Municipality of Atimonan Province of Quezon INVITATION TO BID 	The Barangay Government Unit of Angeles, Atimonan, Quezon thru the Bids and Awards Committee (BAC) invites interested suppliers/contractors to appl</t>
  </si>
  <si>
    <t xml:space="preserve"> Provision of the following seeds and fertilizers: 1. 20 bags corn seeds (OPV-white) 2. 20 bags complete fertilizers (14-14-14) 3. 20 kg. peanut seeds 4. 20 kg. mungo seeds 5. 20 bags vermicast Note: inclusive of transportation and delivery costs at Dauis,</t>
  </si>
  <si>
    <t xml:space="preserve"> DEPARTMENT OF EDUCATION					 Region IV - MIMAROPA					 MAGSAYSAY NATIONAL HIGH SCHOOL					 Magsaysay, Occidental Mindoro					  QUOTATION FORM					 			PR. NO.	2020-008-047	 Package:		Procurement of Office Supplies for the reproduction of student' learning </t>
  </si>
  <si>
    <t xml:space="preserve"> REQUEST FOR QUOTATION August 07, 2020 The Local Government of Sta. Rita in Pampanga, through its Bid and Awards Committee (BAC), will undertake Negotiated Procurement – Small Value Procurement for Purchase of Office Supplies @ Municipality of Sta. Rita, i</t>
  </si>
  <si>
    <t xml:space="preserve"> PLEASE SEE ATTACHED DOCUMENTS...</t>
  </si>
  <si>
    <t xml:space="preserve"> Republic of the Philippines BATANGAS STATE UNIVERSITY Batangas City REQUEST FOR QUOTATION "Procurement of Service for the Preparation of EIA and ECC Practitioner." 1. The Batangas State University (BatState U) through the Bids and Awards Committee invites</t>
  </si>
  <si>
    <t xml:space="preserve"> Name of the Procuring Entity: UNIVERSITY OF NORTHERN PHILIPPINES  	Project Reference Number: 20-06-09-148										Name of the Project:  Standard Form Number: SF-GOOD-60					Location of the Project: UNP Vigan City Revised on: May 24, 2004 Standard Form Ti</t>
  </si>
  <si>
    <t xml:space="preserve"> The Provincial Government of Samar invites all interested registered suppliers to submit in person or authorized representative quotation for- 				 1.	1	unit	Upright Freezer 10 Cubic Feet Product Description: 10.8cuft Manual Warranty Term, Parts: 1 year W</t>
  </si>
  <si>
    <t xml:space="preserve"> Dental Anethesia (Lidocaine HCI Epinephrine Hizon) -------------------- 10 boxes Dental cartridge needle terumo gauge 27" short ------------------------ 10 bxs. Dental cartridge needleterumo gauge 30" short (0.s21mm) ------------ 10 bxs. Kids Toothbrush f</t>
  </si>
  <si>
    <t xml:space="preserve"> The Pag-IBIG FUND NAGA BUSINESS CENTER intends to apply the sum of ONE HUNDRED THIRTY THOUSAND PESOS &amp; 0/100 ONLY (Php 130,000.00) being the Approved Budget for the Contract (ABC) as payment for SUPPLY AND DELIVERY OF 16-CHANNEL CCTV CAMERA SYSTEM FOR LEG</t>
  </si>
  <si>
    <t xml:space="preserve"> 24 LIQUID HANDWASH 500ML 3 ALCOHOL ISOPROPHYL 378ML 3 GAL LIQUID DISINFECTANT 1892ML 24 LIQUID TOILET CLEANER 1000ML</t>
  </si>
  <si>
    <t xml:space="preserve"> 100 COVER Snacks serve during the committee hearing at the Sangguniang Panlalawigan Session Hall Committee Hearing on Common Resources Menu: Spaghetti Fried Chicken Cheese Pimiento Juice/Coffee Mineral Water</t>
  </si>
  <si>
    <t xml:space="preserve"> Supply and Delivery of Spareparts and Lubricants ...........................</t>
  </si>
  <si>
    <t xml:space="preserve"> INVITATION TO BID  The Local Government Unit of Barbaza, Antique, now invites interested contractors with a minimum experience of 5 years in implementing similar/related sub-projects to bid for the hereunder subproject: Name of Project	:	CONSTRUCTION OF L</t>
  </si>
  <si>
    <t xml:space="preserve"> 1 TRANSFER ROLLER AOXXPP6H01 1 DRUM DR114 1 CLEANING BLADE AOXX-3618-00</t>
  </si>
  <si>
    <t xml:space="preserve"> See attached specifications</t>
  </si>
  <si>
    <t xml:space="preserve"> SPECIFICATIONS: Newsprint Paper Size: 8.5" x 10.75" (A4) 48 gsm Class A PROVIDE US THE FOLLOWING: PHOTOCOPY OF MAYOR'S PERMIT COPY OF PHILGEPS REGISTRATION BIR EXACT ADDRESS</t>
  </si>
  <si>
    <t xml:space="preserve"> Fuel Diesel -------------------------- 1,875 ltrs.</t>
  </si>
  <si>
    <t xml:space="preserve"> ABC Books- 93 sets</t>
  </si>
  <si>
    <t xml:space="preserve"> INVITATION TO BID  The Local Government Unit of Barbaza, Antique, now invites interested contractors with a minimum experience of 5 years in implementing similar/related sub-projects to bid for the hereunder subproject: Name of Project	:	CONSTRUCTION OF I</t>
  </si>
  <si>
    <t xml:space="preserve"> 1.	Cement	40	Bags 2.	Gravel 	4	Cu.m 3.	Sand	2	Cu.m 4.	Solar Lights 200 Watts	4	Pcs. 5.	Solar Lights 100 Watts	15	Pcs. 6.	G.I. Pipe 3” Ø	5	Pcs. 7.	G.I. Pipe 1 ½” Ø	15	Pcs. 8.	Welding Rod 	5	Kgs. 9.	Cutting Disc 4” Ø	4	Pcs. 10.	Grinding Disc 4” Ø	4	Pcs. 11.</t>
  </si>
  <si>
    <t xml:space="preserve"> Sealed Quotation - One (1) Lot - Supply and Delivery of Various Computer Equipment of Pag-IBIG Fund *See attached</t>
  </si>
  <si>
    <t xml:space="preserve"> 2 pcs. Air Freshener 5 pcs. Toilet Deodorizer 4 bottls Diswashing paste 200g 1 pc. dust pan big 2 pc. Feather Duster 3 botls. rubbing alcohol 70% (500ml) 24 rolls Toilet paper 2 ply 2 ps. Hand soap 4 pcs. Floor Rug 1 gals. Toilet Bowl Cleaner</t>
  </si>
  <si>
    <t xml:space="preserve"> 1 unit Wooden Cabinet w/ 2 doors width -68cm Lenght-132 cm</t>
  </si>
  <si>
    <t xml:space="preserve"> 1	1	Lot	Supply, Delivery &amp; Installation of Software 			Item Description: 	5	License	Autodesk AutoCAD Civil 3D for Windows with Installation Note : Subject to 5% VAT &amp; 2% EWT/CWT deduction as per RA 9337 TERMS AND CONDITIONS 1.	All entries must be printed </t>
  </si>
  <si>
    <t xml:space="preserve"> REHABILITATION OF SITIO FATOK-OR AND KAYJOG PATHWAY AND DRAINAGE, MAINIT FUND SOURCE: 20% PDF 2020 TYPES OF WORK TO BE DONE: Project billboard/ signboard/ occupational safety and health program/ formworks (pathway)/ concrete works (pathway)/ structural ex</t>
  </si>
  <si>
    <t xml:space="preserve"> PLEASE QUOTE PER: ITEM					SUPPLIER/CONTRACTOR/CONSULTANT'S PROPOSAL BOX		 Item No.	QTY	Unit of Measure	ITEM DESCRIPTION                                                 (ITEM NAME &amp; TECHNICAL SPECIFICATIONS)	Approved Budget for the Contract (ABC)	FINANCIA</t>
  </si>
  <si>
    <t xml:space="preserve"> unit	SP 46-14, 14 stages made of corrosion resistant all stainless 			1	 410,000.00 	 410,000.00  	steel 304/316 material bowl impeller, shafting with built-in 					 	vertical check valve					 						 unit	Stainless steel submersible motor 50HP, 3450RPM,  </t>
  </si>
  <si>
    <t xml:space="preserve"> Republic of the Philippines BARANGAY UNO Lipa City OFFICE OF THE PUNONG BARANGAY BIDS AND AWARDS COMMITTEE INVITATION TO BID The Barangay Government of BARANGAY UNO, through its Bids and Awards Committee ( BAC ), invites suppliers/manufacturers/distributo</t>
  </si>
  <si>
    <t xml:space="preserve"> 304th Contracting Office										 ARMED FORCES OF THE PHILIPPINES PROCUREMENT SERVICE										 Naval Station Leovigildo Gantioqui 										 San antonio, Zambales										 										 REQUEST FOR QUOTATION 										 										 10 August 2020						RFQ N</t>
  </si>
  <si>
    <t xml:space="preserve"> 170 pcs. uPVC Pipe 3"Ø x 6m C-100 8 pcs. C.I. Sleeve Type Coupling 3"Ø (Long) 1 pc. C.I. Elbow 3"Ø 7 pcs. C.I. TEE 3" x 3 Ø</t>
  </si>
  <si>
    <t xml:space="preserve"> SERVICE VEHICLE Type of Vehicle: SUV ENGINE/TRANSMISSION Engine size: 2.5L Displacement: 2,488 cc Type: 4-cylinder, 16 valves, VGSi Fuel Tank Capacity: 80 Liters Fuel System: Common rail direct injection Transmission Type: 7-speed automatic transmission w</t>
  </si>
  <si>
    <t xml:space="preserve"> 1	1	Lot	Supply and Delivery of Various Disinfectant 			Item Description: 	155	Pcs	Face Shield, eye glass type 	31	Set	Personnel Protective Equipment , washable, complete set (PPE suit, face shield, face mask, gloves) 	62	Boxes	Face Mask, surgical, 3 ply, </t>
  </si>
  <si>
    <t xml:space="preserve"> Contract ID:	20GFH0025 Contract Name:	SUPPLY AND DELIVERY OF HEAVY EQUIPMENT UNITS FOR USE IN CONNECTION WITH THE PROJECT, CONSTRUCTION OF SEWAGE FACILITIES IN VIRAC, CATANDUANES, DPWH CATANDUANES DISTRICT ENGINEERING OFFICE, SAN ISIDRO VILLAGE, VIRAC, CA</t>
  </si>
  <si>
    <t xml:space="preserve"> Sealed Quotation - One (1) Lot - Supply of Mobile Phone and Prepaid Cards *See attached</t>
  </si>
  <si>
    <t xml:space="preserve"> A4 Bondapaper Multiprpose copy 70gsm</t>
  </si>
  <si>
    <t xml:space="preserve"> INVITATION TO BID (677-2020) Procurement of Livestock (Piglets) The LGU Surallah through the Bids and Awards Committee (BAC) is inviting suppliers to bid for the supply and delivery of GOODS/INFRASTRUCTURE/SERVICES with the following details: TITLE OF PRO</t>
  </si>
  <si>
    <t xml:space="preserve"> CONSTRUCTION OF POKIPOK RETAINING WALL, MALIGCONG FUND SOURCE: 20% PDF 2020 TYPES OF WORK TO BE DONE:  Project billboard/ signboard/ occupational safety and health program/ structure excavation (common earth)/ embankment (from excavation for structure) ma</t>
  </si>
  <si>
    <t xml:space="preserve"> INVITATION TO BID (675-2020) Procurement of Other Supplies The LGU Surallah through the Bids and Awards Committee (BAC) is inviting suppliers to bid for the supply and delivery of GOODS/INFRASTRUCTURE/SERVICES with the following details: TITLE OF PROCUREM</t>
  </si>
  <si>
    <t xml:space="preserve"> 1	1	Lot	Supply &amp; Delivery of  Construction Materials 			Description: 	3	Kg	High Alloy Welding Electrode Tech Data: Diameter: 4.0mm (5/32in) Hardness: Rockwell B97 Tensile Strength: 128,000 psi Elongation: 32% 	4	Kg	Gouging &amp; Cutting Electrode Tech Data: D</t>
  </si>
  <si>
    <t xml:space="preserve"> Medicine</t>
  </si>
  <si>
    <t xml:space="preserve"> The Local Government Unit of Sta. Elena, Camarines Norte will be procuring hardware and construction materials via Small Value Procurement to be used for establishment of Material Recovery Facility in Purok 4, Brgy. Kagtalaba, Sta. Elena, Camarines Norte.</t>
  </si>
  <si>
    <t xml:space="preserve"> Corazon Locsin Montelibano Memorial Regional Hospital, through its Bids and Awards Committee, intends to procure TWO (2) SETS OF COMPUTER UNIT, TWO (2) UNITS OF UPS FOR DESKTOP COMPUTER, TWO (2) UNITS OF AUTOMATIC VOLTAGE REGULATOR (AVR), TWO (2) UNITS OF</t>
  </si>
  <si>
    <t xml:space="preserve"> Aug. 1-Dec. 31, 2020 Rental package Desktop computer with speaker Laptop with optical mouse and earphone Desktop hard drive LCD projector Document scanner Motorized projector screen Android tablet Camera (DSLR) Onwall speakers system with table microphone</t>
  </si>
  <si>
    <t xml:space="preserve"> Invitation to Bid  for Construction Projects The LGU Gabaldon, through the Budget for the contract approved by the respective Sanggunian intends to apply the sum of Two Million Seven Hundred Thousand pesos only (P 2,700,000.00) being the Approved Budget f</t>
  </si>
  <si>
    <t xml:space="preserve"> PLEASE SEE ATTACHMENT</t>
  </si>
  <si>
    <t xml:space="preserve"> INVITATION TO BID (672-2020) Procurement of Food for Meals and Snacks The LGU Surallah through the Bids and Awards Committee (BAC) is inviting suppliers to bid for the supply and delivery of GOODS/INFRASTRUCTURE/SERVICES with the following details: TITLE </t>
  </si>
  <si>
    <t xml:space="preserve"> The Department of Agriculture-RFO 3, invites interested suppliers to submit quotations/proposals for the hereunder requirement, to wit: 858	bags	Urea Fertilizer	 		-46% Nitrogen	 		-50 kilogram/bag	 		-Granular	 			 		Other requirements:	 		- Supplier sho</t>
  </si>
  <si>
    <t xml:space="preserve"> Prospective bidders should possess a valid PCAB License applicable to the contract, have completed a similar contract with a value of at least  50% of the Approved Budget for the Contract (ABC), and have key personnel and equipment available for the prose</t>
  </si>
  <si>
    <t xml:space="preserve"> INVITATION TO BID (674-2020) Procurement of Food Supplies The LGU Surallah through the Bids and Awards Committee (BAC) is inviting suppliers to bid for the supply and delivery of GOODS/INFRASTRUCTURE/SERVICES with the following details: TITLE OF PROCUREME</t>
  </si>
  <si>
    <t xml:space="preserve"> Republic of the Philippines Province of Misamis Occidental Municipality of Plaridel INVITATION TO APPLY FOR ELIGIBILITY AND TO BID 	The Local Government Unit, LGU-Plaridel, Misamis Occidental, through its Bids and Awards Committee (BAC), invites suppliers</t>
  </si>
  <si>
    <t xml:space="preserve"> 2500 Liters Diesel</t>
  </si>
  <si>
    <t xml:space="preserve"> See attached file.</t>
  </si>
  <si>
    <t xml:space="preserve"> Republic of the Philippines Province of Iloilo Municipality of Lambunao Brgy.   Supoc Barangay Office of the Bids &amp; Awards Committee INVITATION TO BID Name of Project: Purchase of Materials for the Concreting of Farm to Market Road Location: Brgy. Supoc, </t>
  </si>
  <si>
    <t xml:space="preserve"> 1	1	Lot	Supply and Delivery of Office Equipment 			Item Description: 	5	Units	Mobile Pedestal 3 Drawer  	11	Units	Adjustable Executive Chair w/ Footrest Extension and back support  	2	Units	Filling Cabinet Steel, Vertical, 4 layer with lock Dimension: 52”</t>
  </si>
  <si>
    <t xml:space="preserve"> please see attached RFQ</t>
  </si>
  <si>
    <t xml:space="preserve"> 1020 L.M. a. Excavation works 170 pcs. b. Pipelaying 3"Ø x 6m 16 units c. Installation of Fittings 1020 L.M. d. Final Backfill with compaction 490 L.M. e. Demolition of concrete driveways &amp; road shoulders 3-6" thick 48 L.M. f. Road Crossing 490 L.M. g. Re</t>
  </si>
  <si>
    <t xml:space="preserve"> 1	1	Lot	Supply and Delivery of I.T. Equipment 			Item Description: 	3	units	Single Function Ink tank System Printer with Scanner Print, Copy, Scan 180 nozzles Black, 59 nozzles each colour 5760 x 1440 dpi Maximum Print Resolution Bi directional printing U</t>
  </si>
  <si>
    <t xml:space="preserve"> ALCOHOL DISPENSER, BATTERY OPERATED ALCOHOL, DISPENSER, MANNUAL ZONROX LIQUID HAND SOAP POWDER SOAP SURGICAL MASK LIQUID DETERGENTS LYSOL DETERGENTS</t>
  </si>
  <si>
    <t xml:space="preserve"> INVITATION TO BID   FOR Purchase of Photocopying Machine for Modular Learning The LGU-GABALDON, through the Budget for the contract approved by the respective Sanggunian intends to apply the sum of One Million One Hundred Eighty Seven Thousand Twelve Peso</t>
  </si>
  <si>
    <t xml:space="preserve"> 1	1	Lot	Supply and Delivery of Laptop   			Item Description: 	3	Units	Laptop, branded, with latest version of software Processor	Intel Core i5 10th Gen Memory		8GB  Graphics	Integrated Display		14 inch FHD (1920x1080) Wireless LAN	Bluetooth 5.0, 802.11a/b</t>
  </si>
  <si>
    <t xml:space="preserve"> P.R. No. X7-20-07-279 - Supply and Delivery for the use in the Conduct of Geotagging, Site Validation/ Verification and Pre-Detailed Engineering Survey of the FY 2020 Proposed Programs and Projects of Lanao del Sur, Planning and Design Division. (Please s</t>
  </si>
  <si>
    <t xml:space="preserve"> For complete specification, please see attached for quotation at the associate components link or request.</t>
  </si>
  <si>
    <t xml:space="preserve"> 1	unit	Panel box 20 hole 1	pc	circuit breaker, 300 amp 2	pcs	Citcuit Braker 100 amp 8	pcs	circuit breaker,60 amp 6	rolls	THNN 250m 4	pcs	Circuit breaker, 40 amp 4	pcs	Circuit breaker, 30 amp 2	pcs	Circuit breaker, 20 amp 6	pcs	Shourderless Connector 250mm</t>
  </si>
  <si>
    <t xml:space="preserve"> P.R. No. X11-20-06-264 - Supply and Delivery for the use in TESDA Training and Assessment Center at DPWH Regional Office X per Memorandum of understanding by and between the DPWH and TESDA. (Please see attached RFQ)</t>
  </si>
  <si>
    <t xml:space="preserve"> Name of  Project/Contract                :	COMPLETION OF CONFERENCE HALL –KCS KWD Location				:	POBLACION, Kasibu, Nueva Vizcaya Brief Description	:	Installation of rib type roofing, C-purlins and facia boards Approved Budget  for the Contract (ABC)		:	P1</t>
  </si>
  <si>
    <t xml:space="preserve"> 1	1	Lot	Supply and Delivery of Various Disinfectant   			Item Description: 	15	Can	DISINFECTANT SPRAY, aerosol type, 400 550 grams 	28	Boxes	Disposable surgical mask, 3 ply with earloop, 1 box (50pcs) 	10	Gallon	ALCOHOL, ethyl, 68% 70%, scented, 1 gallon </t>
  </si>
  <si>
    <t xml:space="preserve"> 1. SADDLE CLAMP 2" X 3/4"         100 PCS 2. SADDLE CLAMP 3" X 3/4"          55  PCS 3. SADDLE CLAMP 2 1/2" X 3/4"    40  PCS</t>
  </si>
  <si>
    <t xml:space="preserve"> 1	1	Lot	Supply &amp; Delivery of  Auto Parts Nissan Navara 			Description: 	4	Pcs	Tire-265/70  R16 	1	Pc	Battery 3SMF Note : Subject to 5% VAT &amp; 1% EWT/CWT deduction as per RA 9337 TERMS AND CONDITIONS 1.	All entries must be printed or typewritten using the N</t>
  </si>
  <si>
    <t xml:space="preserve"> 17	box	Acorbic Acid (capsule/100's)</t>
  </si>
  <si>
    <t xml:space="preserve"> Republic of the Philippines UNIVERSITY OF NORTHERN PHILIPPINES Tamag, Vigan City       Invitation to Bid for the Rehabilitation of the UNP Water System 1.	The University of Northern Philippines, through the Use of Income, 2020 intends to apply the sum of </t>
  </si>
  <si>
    <t xml:space="preserve"> 1	1	Lot	Supply and Delivery of  Office Supplies ₱68,655.51 			Item Description: 	10	Pcs	CLEARBOOK, 20 transparent pockets, for A4 size 	10	Pcs	CLEARBOOK, 20 transparent pockets, for LEGAL size 	20	Pcs	SIGN PEN, BLACK, liquid/gel ink, 0.5mm needle tip 	20	</t>
  </si>
  <si>
    <t xml:space="preserve"> P.R. No. X1-20-05-216 - Supply and Delivery for the use at the Public Affairs and Information Office. (Please see attached RFQ)</t>
  </si>
  <si>
    <t xml:space="preserve"> Republic of the Philippines Province of Misamis Occidental Municipality of Plaridel INVITATION TO APPLY FOR ELIGIBILITY AND TO BID 	 	The Barangay Local Government Unit, BLGU-Deboloc, Plaridel, Misamis Occidental, through the Municipal Bids and Awards Com</t>
  </si>
  <si>
    <t xml:space="preserve"> Item 105- Sub-grade Preparation, Qty.=  140.00 sq.m., with 35.00 linear meters, a. Equipment Rental: one (01)  unit motorized road grader &amp; one (01) unit vibratory road roller, b. Labor: four (04) manpower. Item 200- aggregate sub-base course, Qty.= 33.60</t>
  </si>
  <si>
    <t xml:space="preserve"> PLEASE SEE PLANS AND SPECIFICATION</t>
  </si>
  <si>
    <t xml:space="preserve"> Automatic Voltage Regulator 50 KVA Single Phase 60 Hertz</t>
  </si>
  <si>
    <t xml:space="preserve"> INVITATION TO BID (673-2020) Procurement of Various Other Supplies &amp; Equipment’s The LGU Surallah through the Bids and Awards Committee (BAC) is inviting suppliers to bid for the supply and delivery of GOODS/INFRASTRUCTURE/SERVICES with the following deta</t>
  </si>
  <si>
    <t xml:space="preserve"> 5	Piece	Lona for trucks, 24ft x 24ft 5	Roll	Nylon Rope, 10mm thick, 200meters 3	Unit	Plastic water tank steel braces, capacity 1000L 20	bundle	Seedling bag, 7 x 7x 14, 100pcs/bundle 10	bundle	Seedling bag, 14 x 14 x 23, 100pcs/bundle 20	bundle	Seedling ba</t>
  </si>
  <si>
    <t xml:space="preserve"> 25 packs : Epsom Salt (1 kg) 102 bottles : Propylene Glycol (1 liter) 102 bottles : Imidocarb Dipropionate (120 mg/ml, Injectable) 50 ml ABC Php 227,400.00</t>
  </si>
  <si>
    <t xml:space="preserve"> Awwa - Lacdag Water System</t>
  </si>
  <si>
    <t xml:space="preserve"> 10	box	Amlodipine (10mg/100's) 14	box	Losartan (100mg/100's)</t>
  </si>
  <si>
    <t xml:space="preserve"> 1.	10	PCS.		CLEAR BOOK ORANGE COVER, LONG 2.	3	PCS.		INK/TONER FOR PRINTER (SAMSUNG) MODEL, ML – 3750ND 3.	10	PCS.		ELECTRICAL TAPE (YELLOW) MEDIUM SIZE 4.	3	CONTAINER	ANTIBACTERIAL SOAP, LIQUID 750mL 5.	3	GALLON	ALL PURPOSE BLEACH, 3785mL 6.	2	BOTTLE		GC</t>
  </si>
  <si>
    <t xml:space="preserve"> 1	1	Lot	Supply and Delivery of Various Disinfectant 			Item Description: 	24	Can	DISINFECTANT SPRAY, aerosol type, 400 550 grams 	40	Boxes	Disposable surgical mask, 3 ply with ear loop, 1 box (50pcs) 	12	Pcs	ALCOHOL, ethyl, 68% 70%, scented, 1 gallon 	6	P</t>
  </si>
  <si>
    <t xml:space="preserve"> 1	1	Lot	Supply and Delivery of Medical Supplies 			Item Description: 	20	Boxes	Disposable Surgical face mask 3 ply 50pcs/box 	60	Boxes	KN95 face mask 10pcs/box Note : Subject to 5% VAT &amp; 1% EWT/CWT deduction as per RA 9337 TERMS AND CONDITIONS 1.	All entr</t>
  </si>
  <si>
    <t xml:space="preserve"> INVITATION TO  BID 10 August 2020 The municipality of Sampaloc through its Bids and Awards Committee (BAC) invites suppliers/manufacturers/distributors/contractors to apply for eligibility to bid for the hereunder project: Name of Project	:	PURCHASE OF CO</t>
  </si>
  <si>
    <t xml:space="preserve"> 1	piece	"Power Sprayer Specifications: Pressure : 21-35kg/cm2 Sunction : 14L/min : 20 RPM : 800 : 1200 Power : Motor : 1-2HP : Engine : 3.5-4HP Max pressure: 450psi single user; 750psi two users Water volume: 20L/min Heavy duty Belt type With Piston Pump,</t>
  </si>
  <si>
    <t xml:space="preserve"> 1. GI TEE 1/2" (HEAVY DUTY)                                     50 PCS 2. GI TEE 3/4" (HEAVY DUTY)                                     50 PCS 3. GI TEE 1" X 1/2" X 1" (HEAVY DUTY)                       50 PCS 4. GI ELBOW 1/2" DIA. (HEAVY DUTY)            </t>
  </si>
  <si>
    <t xml:space="preserve"> Republic of the Philippines Province of Zambales BARANGAY BANI MUNICIPALITY OF MASINLOC OFFICE OF THE BIDS AND AWARDS COMMITTEE INVITATION TO BID The BARANGAY BANI, MUNICIPALITY OF MASINLOC, Province of Zambales, through its Bids and Awards Committee (BAC</t>
  </si>
  <si>
    <t xml:space="preserve"> 1    UNIT DETECTO BALANCE 1    PC THERMAL SCANNER 1    PC SPHYGMOMANOMETER</t>
  </si>
  <si>
    <t xml:space="preserve"> Item Description	                                        Quantity	          Unit Cost	          Total Cost 			 Acrylic Table Shield L29" x H 30" x    W 9.75"	      5	           2,500.00 	   12,500.00  Disinfectant Mat 16 x 22.5	                           </t>
  </si>
  <si>
    <t xml:space="preserve"> ANGUNIIT CDC IMPROVEMENT</t>
  </si>
  <si>
    <t xml:space="preserve"> Please refer to the attached document.</t>
  </si>
  <si>
    <t xml:space="preserve"> Repair and maintenance of teacher's lounge</t>
  </si>
  <si>
    <t xml:space="preserve"> 1	1	Lot	Supply and Delivery of Office Supplies ₱32,427.74 			Item Description: 	24	Pcs	SIGN PEN, BLACK, liquid/gel ink, 0.5mm needle tip 	24	Pcs	SIGN PEN, BLUE, liquid/gel ink, 0.5mm needle tip 	24	Pcs	SIGN PEN, RED, liquid/gel ink, 0.5mm needle tip 	10	P</t>
  </si>
  <si>
    <t xml:space="preserve"> small animals for home food production for lactating mother's and pregnant women per barangay in this LGU Mahayag, Zamboanga del Sur</t>
  </si>
  <si>
    <t xml:space="preserve"> School / Office supplies for April,May,June</t>
  </si>
  <si>
    <t xml:space="preserve"> REPUBLIC OF THE PHILIPPINES Santa Rosa (NE) Water District Santa Rosa – Fort Magsaysay Road, Brgy. Rizal, Santa Rosa, Nueva Ecija Supply and Delivery of Chlorine Dioxide Item	Description	Qty	Unit	U. Cost	Total Cost 1	Chlorine Dioxide	500	Kls	405.00	202,50</t>
  </si>
  <si>
    <t xml:space="preserve"> METRO SIQUIJOR WATER DISTRICT BIDS &amp; AWARDS COMMITTEE Siquijor, Siquijor The Metro Siquijor Water District (MSWD) through the Bids &amp; Awards Committee (BAC) will be undertaking the hereunder project: Name of Project: Well drilling 150 ft., 10" open bore ho</t>
  </si>
  <si>
    <t xml:space="preserve"> 1	Scuba Diving Tank Refill (3,000 psi) 16 tanks x twice a month			24	Unit	57,600.00 2	Hydro test (scuba diving tank)			8		7,200.00 3	Maintenance of diving gears			5		30,000.00 4	Wet suit, small			2		5,000.00 5	Wet suit, medium			2		5,000.00 6	Weights, lea</t>
  </si>
  <si>
    <t xml:space="preserve"> 2	Bundle	Buho/Bukawe, 8ft, 20pcs/bundle 2	piece	Bamboo Split (lapat) 150	piece	Bamboo Stick, 1" x 1m 100	piece	Bamboo Stick, 1" x 1.5m 7000	piece	Bamboo Stick, 1" x 1.5m 100	piece	Jute Sack, 50 kgs cap 600	piece	Used Sack 1	piece	Lona Sack,laminated sack </t>
  </si>
  <si>
    <t xml:space="preserve"> INVITATION TO BID FOR CONSTRUCTION OF MULTI-PURPOSE HALL AT SALINUNGAN WEST  (INFRA 2020-18) 1.	The LOCAL GOVERNMENT UNIT OF SAN MATEO, ISABELA (LGU-SMI), through its Bids and Awards Committee  intends to apply the sum of FOUR MILLION NINE HUNDRED NINETY </t>
  </si>
  <si>
    <t xml:space="preserve"> OFFICE SUPPLIES NEEDED IN MODULES AND PPE FOR PROTECTION IN COVID-19 PANDEMIC</t>
  </si>
  <si>
    <t xml:space="preserve"> Republic of the Philippines Department of Health Central Luzon Center for Health Development TALAVERA GENERAL HOSPITAL 	Talavera, Nueva Ecija	      ISO QMS Certified REQUEST FOR QUOTATION  SMALL VALUE PROCUREMENT for Talavera General Hospital Date: August</t>
  </si>
  <si>
    <t xml:space="preserve"> Disinfection Services for PVAO Main Office</t>
  </si>
  <si>
    <t xml:space="preserve"> Procurement of Office Equipments						 Purchase Requested by the City Architect's Office, Tabaco City						 						 To Interested Suppliers, Manufacturers and Distributors,						 						 Please quote your lowest price/s on the lot or item/s  below, subject </t>
  </si>
  <si>
    <t xml:space="preserve"> 75 bott Gestetner, Copy Printer Ink 4 roll Master Roll</t>
  </si>
  <si>
    <t xml:space="preserve"> 200	pack	Eggplant, long (purple) 200	pack	Eggplant, round 200	pack	Pechay 200	pack	Bitter gourd/Ampalaya (Long/Round) 200	pack	Chinese Kangkong 200	pack	Patola 200	pack	Squash 200	pack	Bottle gourd/upo 200	pack	Tomato 200	pack	Okra 200	pack	Bush Sitao 200</t>
  </si>
  <si>
    <t xml:space="preserve"> Republic of the Philippines LOCAL GOVERNMENT OF MACALELON Macalelon, Quezon OFFICE OF THE BIDS AND AWARDS COMMITTEE INVITATION TO BID The municipality of Macalelon, Quezon through its Bids and Awards Committee (BAC) invites interested bidders/suppliers to</t>
  </si>
  <si>
    <t xml:space="preserve"> Republic of the Philippines LOCAL GOVERNMENT OF MACALELON Macalelon, Quezon          OFFICE OF THE BIDS AND AWARDS COMMITTEE INVITATION TO BID The municipality of Macalelon, Quezon through its Bids and Awards Committee (BAC) invites interested bidders/sup</t>
  </si>
  <si>
    <t xml:space="preserve"> Please see attachment.</t>
  </si>
  <si>
    <t xml:space="preserve"> 1	sets	Printing and Binding of ECCD Worksheets 	958 		with Hardbound Cover	 		125 leaves	 		425 pages</t>
  </si>
  <si>
    <t xml:space="preserve"> 6  ROLLS       P.E. PIPE 2" DIAMETER X 90 M. SDR 11        6  PCS.          P.E. COUPLER 2" DIAMETER    1  LENGTH     G.I. PIPE 1" DIA.    5  PCS.          G.I. TEE 1" DIA.    10 PCS.         G.I. BUCING RED. 1"DIA. X 3/4"    10 PCS.         TEFLON TAPE 3</t>
  </si>
  <si>
    <t xml:space="preserve"> 9	pack	Plastic Bag, resealable, 13-1/2 x 17-3/4, 100pcs per pack 10	pack	Plastic Bag, resealable, 2-3/4 x 2, 100pcs per pack 800	piece	Plastic Bag, PE, 8in x 12in x 0.005, 2kg capacity 800	piece	Plastic Bag, PE, 5in x 6in x 0.005, 2kg capacity 500	piece	P</t>
  </si>
  <si>
    <t xml:space="preserve"> OFFICE SUPPLIES NEEDED IN DISTRIBUTIONS OF MODULES AND PPE FOR PROTECTION IN COVID-19 PANDEMIC</t>
  </si>
  <si>
    <t xml:space="preserve"> 200	        Bundle	Net Bag, 19" x 26", with nylon string 1000	piece	Net Bag, 19" x 26", with nylon string 200	        piece	Net Bag, 8" x 12", with nylon string 50	        piece	Net Bag, 8" x 12", with nylon string 1000	piece	Net Bag, 6" x 8", with nylon </t>
  </si>
  <si>
    <t xml:space="preserve"> 1	1	Job	PMS for 40,000 kms. of Isuzu Fuego (Engine SN#4JG2-913293) 			Parts to be replace: 	1	Pc	Clutch master assembly 	1	Pcs	Secondary clutch assembly 	4	Pcs	Tie rod end   inner/outer 	1	Set	Steering damper 	1	Pcs	Steering gear box kit 	3	Pcs	Fan belt 	</t>
  </si>
  <si>
    <t xml:space="preserve"> Republic of the Philippines  Province of Leyte MUNICIPALITY OF PALO NOTICE OF POSTING @ PHILGEPS WEBSITE	                                                                                                                                        August 10, 202</t>
  </si>
  <si>
    <t xml:space="preserve"> 2 Pieces DESKTOP COMPUTER Preferably BRANDED with Printer/CISS Processor: Intel Core i7 (or higher) Chipset: Intel (or its equivalent) Motherboard Memory: at least 4GB Memory Hard Drive: 1TB SATA HDD Optical Drive: DVDRW 24xSATA Casing: ATX with 300w (or </t>
  </si>
  <si>
    <t xml:space="preserve"> Procurement of Greenhouse (1 lot Job) 	Roofing for Greenhouse No. 1 with area 936 sqm Location: Nalook, Malay, Aklan With roofing of 200 micron Clear UVA Plastic locking system; 	Installation of 2 units Tunnel Type Greenhouse Location: Boracay Island, M</t>
  </si>
  <si>
    <t xml:space="preserve"> Republic of the Philippines MUNICIPALITY OF BUNAWAN, AGUSAN DEL SUR Invitation to Bid/ Instruction to Bidders PURCHASE OF AGRICULTURAL PRODUCTS (SEEDS, SEEDLINGS, PLANTS…) COCONUT USE TO SUPPORT HVCDP August 10, 2020 1.	The Municipality of Bunawan, now in</t>
  </si>
  <si>
    <t xml:space="preserve"> Republic of the Philippines PROVINCE OF PANGASINAN BIDS AND AWARD COMMITTEE (BAC) Brgy. San Jose, San Jacinto, Pangasinan Mobile No. 09176152866 INVITATION TO BID The Barangay  San Jose, San Jacinto, Pangasinan, though its Bids and Award Committee (BAC), </t>
  </si>
  <si>
    <t xml:space="preserve"> 1	1	Lot	Supply and Delivery of  Medical Supplies 			Item Description: 	25	Bottles	Hand Sanitizer scented 1000 ml pump bottle 	30	Bottles	Disinfectant Spray, aerosol type,400 450 grms 	35	Boxes	Disposable Mask 50pcs/box 	25	Boxes	Surgical Latex Gloves Ster</t>
  </si>
  <si>
    <t xml:space="preserve"> Standard Form Number: SF-GOOD-60   Revised on: May 24, 2004 Standard Form Title: Request for Quotation Date: Quotation ______________________________ (name of Company) ______________________________ (address/Tel. #) Please quote your lowest price on the i</t>
  </si>
  <si>
    <t xml:space="preserve"> 1	1	LS	To provide labor and minimal materials for the repair and replacement of damaged 			automotive wires, replacement of headlight of one unit cobra, repair and replacement  			of damaged wires and bulb of one unit ROSA, nad repair and replacement of d</t>
  </si>
  <si>
    <t xml:space="preserve"> Purchase of 100 KVA Transformer for the use of Orani District Hospital</t>
  </si>
  <si>
    <t xml:space="preserve"> Item #	Unit	Specification	Quantity 1	pcs	Weighing Scale with height measuring Stick, Adult	12 2	pcs	Infant weighing scale	15 3	pcs	Wooden Height Board	4 4	set	Surgical Miror set (1 Kelly Curve, 1 Kelly Straight, 1 needle holder, 1 basin square, 1 Mosquito</t>
  </si>
  <si>
    <t xml:space="preserve"> DEPARTMENT OF EDUCATION					 Region IV - MIMAROPA					 MAGSAYSAY NATIONAL HIGH SCHOOL					 Magsaysay, Occidental Mindoro					  QUOTATION FORM					 			PR. NO.	2020-007-043	 Package:		Procurement of Materials/ Supplies related to COVID 19 of			 		Magsaysay </t>
  </si>
  <si>
    <t xml:space="preserve"> gasoline/diesel xxxxxx</t>
  </si>
  <si>
    <t xml:space="preserve"> gasoline/diesel xxxxx</t>
  </si>
  <si>
    <t xml:space="preserve"> Construction of 10 Units Street Lights</t>
  </si>
  <si>
    <t xml:space="preserve"> Provision of medical-laboratory-physical examinations for 46 NEDA-CAR staff Minimum services to be provided 1. Onsite medical-laboratory-physical examinations which include:     a. Chest X-ray     b. Complete Blood Count     c. Urinalysis/Fecalysis     d.</t>
  </si>
  <si>
    <t xml:space="preserve"> DEPARTMENT OF EDUCATION					 Region IV - MIMAROPA					 MAGSAYSAY NATIONAL HIGH SCHOOL					 Magsaysay, Occidental Mindoro					  QUOTATION FORM					 			PR. NO.	2020-007-044	 Package:		Procurement of Materials/ Supplies related to COVID 19 of			 		Magsaysay </t>
  </si>
  <si>
    <t xml:space="preserve"> This project entails labor and materials for the improvement of Day Care Center of Brgy. Incarizan, Magallanes, Sorsogon funded of BDF 2020.</t>
  </si>
  <si>
    <t xml:space="preserve"> Item #	Unit	Specification	Quantity 1	box	Losartan 50 mg. tablet 100tablet per box	700 2	box	Metoprolol 50 mg. tablet 100 tab/ box	200 3	box	Amlodipine tablet 10mg 100 tab/box	300 4	box	Methyldopa 125 mg. tab	10 5	box	Multivitamins 500mg. Capsule	50 6	box	</t>
  </si>
  <si>
    <t xml:space="preserve"> Procurement of 5 pcs Fuel Filter (Mini Dump) &amp; 18 LI</t>
  </si>
  <si>
    <t xml:space="preserve"> COPYING MACHINE, HEAVY DUTY Digital Copier w/ Network Printing and Color Scanning Copy and Print speed of 45 copies per minute, A4 Scan Speed of 60 images per minute on monochrome and 40 images per minute oncolor of 300dpi, A4 Zoom ranges of 25 to 400% Co</t>
  </si>
  <si>
    <t xml:space="preserve"> INVITATION TO BID ITB  No. 109-Brgy - 2020 The City Government of Surigao, through its Bids and Awards Committee (BAC), invites suppliers to bid for the following: Name of Contract	:  Purchase &amp; Delivery of Construction Materials &amp; Supplies for           </t>
  </si>
  <si>
    <t xml:space="preserve"> Procurement of 6 set Brake Shoe Front (11/4 ton truck) &amp;19 LI</t>
  </si>
  <si>
    <t xml:space="preserve"> 1	Unit	"Airconditioning Unit 3.0 HP, Split-type, wall-mounted, Dual Inverter Compressor, 70% Energy Saving, Fast Cooling, 4 Way Swing, Auto Clean, Wi-Fi, Dual Inverter Compressor Suitable for large rooms Can distribute cool and hot air in one device Activ</t>
  </si>
  <si>
    <t xml:space="preserve"> Supply and delivery of construction materials.</t>
  </si>
  <si>
    <t xml:space="preserve"> 2,222.22 liters of Diesel</t>
  </si>
  <si>
    <t xml:space="preserve"> Please see attached RFQ # 20-1252-2 and attached Technical Specifications Submit your Sign and Sealed Quotation together with your UPDATED ELIGIBILITY Requirements at 3/F ATI Building Department of Agriculture Region IV-MiMaRoPa, Property&amp;Supply Unit/BAC </t>
  </si>
  <si>
    <t xml:space="preserve"> PULITANG PATHWAY CONTINUATION, JULONGAN</t>
  </si>
  <si>
    <t xml:space="preserve"> PURCHASE OF FOGGING SOLUTION OF THE MUNICIPALITY OF SANTO DOMINGO, ILOCOS SUR</t>
  </si>
  <si>
    <t xml:space="preserve"> Republic of the Philippines Province of Eastern Samar Municipality of Salcedo Invitation to Bid for the Construction of Drainage Canal at Purok II, Brgy.Palanas, Salcedo, Eastern Samar 1.	The BLGU-Salcedo, through the   Barangay Local Development Fund  in</t>
  </si>
  <si>
    <t xml:space="preserve"> Procurement of 190 pax Meals &amp; 1 LI</t>
  </si>
  <si>
    <t xml:space="preserve"> Invitation to Bid for the Embankment &amp; Concreting of Brgy Roads (Phase II) Purok 1 – 2, Brgy. Baybay, Surigao City ITB No. 110-Infra-2020    1.	The City Government of Surigao, intends to apply the sum of   One Million  Pesos (Php1,000,000.00)  being the A</t>
  </si>
  <si>
    <t xml:space="preserve"> FOR MORE INFO PLEASE CONTACT THE SUPPLY OFFICER, MR. ARMIN TAYAG Requirements: No. of pages - 400,000 pages (front page printing only and stapled) Paper size - A4 Paper Type – Newsprint ABC = P 200,000.00 DEADLINE OF DELIVERY: AUGUST 26, 2020 @ DEPED ANGE</t>
  </si>
  <si>
    <t xml:space="preserve"> Surgical Mask and N95 Mask</t>
  </si>
  <si>
    <t xml:space="preserve"> PHILIPPINE DEPOSIT INSURANCE CORPORATION Makati City INVITATION TO BID PROCUREMENT OF PROFESSIONAL DRIVERS SERVICES 1.	The Philippine Deposit Insurance Corporation (PDIC), through its 2020-2021 Corporate Operating Budget, intends to apply the sum of Php 5</t>
  </si>
  <si>
    <t xml:space="preserve"> Hard Kraft (Document Box)</t>
  </si>
  <si>
    <t xml:space="preserve"> INVITATION TO BID ITB  No. 108-Brgy - 2020 The City Government of Surigao, through its Bids and Awards Committee (BAC), invites suppliers to bid for the following: Name of Contract	:  Purchase &amp; Delivery of Construction Materials &amp; Supplies for           </t>
  </si>
  <si>
    <t xml:space="preserve"> Procurement of 600 Bd ft Assorted Lumber &amp; 5 LI</t>
  </si>
  <si>
    <t xml:space="preserve"> Non-Inverter Floor Mounted Designer Series</t>
  </si>
  <si>
    <t xml:space="preserve"> 2 units  SPLIT TYPE AIRCON 2HP WITH INSTALLATION 1 pc.  WATER DISPENSER 3 IN 1 WITH COVER 6 pcs.  4 LAYERS UTILITY CABINET W/ DOOR (FILING CABINET 2 units  CEILING MOUNTED EXHAUST FAN 10 INCHES</t>
  </si>
  <si>
    <t xml:space="preserve"> Various Janitorial Supplies</t>
  </si>
  <si>
    <t xml:space="preserve"> Height Board</t>
  </si>
  <si>
    <t xml:space="preserve"> 20	piece	"Plastic Crate, Durable, sturdy, and stackable Outer Dimension:61.5cmLx42.5cmWx29.5cmH Inside Dimension: 58cmx 39cmx29.5 White" 20	piece	Plastic Pail, 20L 5	piece	Basin, Plastic, 23in x 14in x 58cm 5	piece	Storage Box, 30L, white, 49x35x25.5(cm) </t>
  </si>
  <si>
    <t xml:space="preserve"> Various Lexmark Toner &amp; Kits</t>
  </si>
  <si>
    <t xml:space="preserve"> Please see attached RFQ # 20-1252-3 and attached Technical Specifications Submit your Sign and Sealed Quotation together with your UPDATED ELIGIBILITY Requirements at 3/F ATI Building Department of Agriculture Region IV-MiMaRoPa, Property&amp;Supply Unit/BAC </t>
  </si>
  <si>
    <t xml:space="preserve"> for Solemn Procession and Sinulog Mardi Gras</t>
  </si>
  <si>
    <t xml:space="preserve"> Republic of the Philipppines Province of Palawan Municipality of Taytay BIDS AND AWARDS COMMITTEE RFQ no.:2020 Date: August 10, 2020 REQUEST FOR PRICE QUOTATION (Procurement of various) Sir/Madam: You're hereby invited to quote your price(s) on the articl</t>
  </si>
  <si>
    <t xml:space="preserve"> PURCHASE OF JANITORIAL AND OTHER SUPPLIES</t>
  </si>
  <si>
    <t xml:space="preserve"> 1.Thermal Scanner - Digital - 4 Piece - 14,000.00 2.Face Shield	w/ replaceable film&amp;washable face mask - 80 Piece - 16,000.00 3.Disposable Face Mask 3 ply - 9 Box - 5,850.00 4.Pulse Oximeter - 2 Piece - 3,600.00 5.PPE's Bunny Suit - 40 Piece - 28,000.00 6</t>
  </si>
  <si>
    <t xml:space="preserve"> Counseling Cards and Handbooks</t>
  </si>
  <si>
    <t xml:space="preserve"> Republic of the Philippines CITY GOVERNMENT OF SAN FERNANDO Barangay Biday Email: brgybidaycsflu@yahoo.com INVITATION TO BID FOR  Concreting of Barangay Road Sitio 4, Barangay Biday, City of San Fernando 1.	The Barangay Biday, through the Barangay Fund in</t>
  </si>
  <si>
    <t xml:space="preserve"> RFQ (20-08-007) Various Drugs and Medicines</t>
  </si>
  <si>
    <t xml:space="preserve"> Face Shield and Clean Gloves</t>
  </si>
  <si>
    <t xml:space="preserve"> Standard Form No. 60						 Revised on May 24, 2004						 REQUEST FOR QUOTATION						 Provincial Government of Romblon						 						 				Date:        August 10, 2020		 				Quotation No.:    822		 						 To Our Valued Suppliers:					 	 						 	Please quote y</t>
  </si>
  <si>
    <t xml:space="preserve"> Resource Person for the Business Continuity Planning Webinars for the Tourism Sector including hotels, resorts, restaurants, and transportation groups</t>
  </si>
  <si>
    <t xml:space="preserve"> Labor and Materials Installation of Water System (isolation facility for COVID 19)</t>
  </si>
  <si>
    <t xml:space="preserve"> REQUEST FOR QUOTATION The Municipality of Allacapan, through its Bids and Awards Committee (BAC), invites suppliers/distributors/contractors to SUBMIT QUOTATION for the hereunder project: Name of Contract : Construction of Retaining Wall Project Location:</t>
  </si>
  <si>
    <t xml:space="preserve"> Republic of the Philippines Local Government Unit of Tinambac, Camarines Sur Municipal Compound, Binalay, Tinambac, Camarines Sur Standard Form Number: SF-GOOD-05 Revised on: July 28, 2004 INVITATION TO APPLY FOR ELIGIBILITY AND TO BID The Local Governmen</t>
  </si>
  <si>
    <t xml:space="preserve"> 1.	The Provincial Environment and Natural Resources Office-DENR, PENRO, Bataan, through the Government Appropriations Act of 2020-Regular Fund intends to apply the sum of THREE HUNDRED NINETY NINE THOUSAND THREE HUNDRED SIXTY THREE PESOS AND TWENTY CENTAV</t>
  </si>
  <si>
    <t xml:space="preserve"> I N V I T A T I O N   T O   B I D 2020 – 150 August 10, 2020 1.	The Provincial Government of Tarlac through the Trust Fund intends to apply the sum of One Million Two Hundred Fifty-Four Thousand Nine Hundred Twenty-Five Pesos Only (PhP 1,254,925.00) being</t>
  </si>
  <si>
    <t xml:space="preserve"> african night crawler  hybrid eggplant hybrid squash  string beans  okra smooth  hybrid bitter  pechay  upland kangkong  mustard tomato carrots</t>
  </si>
  <si>
    <t xml:space="preserve"> 5.00 pcs. - 1/2" x 4' x 8' Ordinary Plywood 20.00 pcs. - 1/4" x 4' x 8' Ordinary Plywood 150.00 pcs. - 2" x 2" x 10' Coco Lumber 150.00 pcs. - 2" x 3" x 10' Coco Lumber 26 pcs. - Bamboo Poles, 4" 52.00 kgs. Assorted CWN 126.00 bags - Portland Cement, 40kg</t>
  </si>
  <si>
    <t xml:space="preserve"> Republic of the Philippines BATANGAS STATE UNIVERSITY Batangas City REQUEST FOR QUOTATION "Procurement of Construction supplies for the Public Hand Washing Stations ."  1. The Batangas State University (BatState U) through the Bids and Awards Committee in</t>
  </si>
  <si>
    <t xml:space="preserve"> Please see attached RFQ # 20-1295 Submit your Sign and Sealed Quotation together with your UPDATED ELIGIBILITY Requirements at 3/F ATI Building Department of Agriculture Region IV-MiMaRoPa, Property&amp;Supply Unit/BAC Secretariat Elliptical Road, Diliman, Qu</t>
  </si>
  <si>
    <t xml:space="preserve"> 1.	The Provincial Environment and Natural Resources Office-DENR, PENRO, Bataan, through the Government Appropriations Act of 2020-Regular Fund intends to apply the sum of TWO HUNDRED FORTY THOUSAND PESOS (PhP240,000.00) for the Procurement of 6 Units of G</t>
  </si>
  <si>
    <t xml:space="preserve"> Republic of the Philippines Province of Quezon City Government of Tayabas REQUEST FOR QUOTATION The City Government of Tayabas, through its Bids and Awards Committee (BAC), will undertake Negotiated Procurement (Small Value Procurement) for RFQ # 20-152  </t>
  </si>
  <si>
    <t xml:space="preserve"> 1	pcs	Mixing Bowl (medium. Stainless)	3 2	sets	Measuring Cup &amp; spoon (stainless)	2 3	unit	Electric hand Mixer	1 4	packs	Puto Molder (plastic, medium)10's	3 5	units	Streamer (2 layers, Big)	1 6	pcs	Strainer (metal,big)	2 7	pcs	Spatula (rubber)	3 			 			 No</t>
  </si>
  <si>
    <t xml:space="preserve"> Republic of the Philippines Province of Quezon City Government of Tayabas REQUEST FOR QUOTATION The City Government of Tayabas, through its Bids and Awards Committee (BAC), will undertake Negotiated Procurement (Small Value Procurement) for RFQ # 20-151  </t>
  </si>
  <si>
    <t xml:space="preserve"> Republic of the Philippines Province of Quezon City Government of Tayabas REQUEST FOR QUOTATION The City Government of Tayabas, through its Bids and Awards Committee (BAC), will undertake Negotiated Procurement (Small Value Procurement) for RFQ # 20-154  </t>
  </si>
  <si>
    <t xml:space="preserve"> Please see attached RFQ # 20-1300 Submit your Sign and Sealed Quotation together with your UPDATED ELIGIBILITY Requirements For more details please call BUB/Planning (426-0593)  Technical Requirements: 1. Valid Business Permit / Mayor's Permit 2. Valid Ph</t>
  </si>
  <si>
    <t xml:space="preserve"> Republic of the Philippines Province of Quezon City Government of Tayabas REQUEST FOR QUOTATION The City Government of Tayabas, through its Bids and Awards Committee (BAC), will undertake Negotiated Procurement (Small Value Procurement) for RFQ # 20-153  </t>
  </si>
  <si>
    <t xml:space="preserve"> INSTALLATION OF WASH AREA AND DRINKING FAUCET AT THE KATIPUNAN BUILDING</t>
  </si>
  <si>
    <t xml:space="preserve"> Standard Form No. 60						 Revised on May 24, 2004						 REQUEST FOR QUOTATION						 Provincial Government of Romblon						 						 				Date:        August 10, 2020		 				Quotation No.:    790		 						 To Our Valued Suppliers:					 	 						 	Please quote y</t>
  </si>
  <si>
    <t xml:space="preserve"> RFQ (20-08-006) Various Drugs and Medicines</t>
  </si>
  <si>
    <t xml:space="preserve"> for City Administration</t>
  </si>
  <si>
    <t xml:space="preserve"> Procurement of Medicines and Medical Supplies</t>
  </si>
  <si>
    <t xml:space="preserve"> The Department of Agriculture-RFO 3, invites interested suppliers to submit quotations/proposals for the hereunder requirement, to wit: ITEM NO.	QTY.	UNIT	ITEMS &amp; DESCRIPTION		UNIT PRICE	TOTAL AMOUNT	BRAND/MODEL 							 	1	lot	Repainting of Interior walls</t>
  </si>
  <si>
    <t xml:space="preserve"> REQUEST FOR QUOTATION The Municipality of Allacapan, through its Bids and Awards Committee (BAC), invites suppliers/distributors/contractors to SUBMIT QUOTATION for the hereunder project: Name of Contract :Purchase of One(1) Unit Aircon Brief Description </t>
  </si>
  <si>
    <t xml:space="preserve"> Republic of the Philippines Province of Camarines Sur MUNICIPALITY OF MINALABAC -o0o- Invitation to Bid for SUPPLY AND DELIVERY OF FARM INPUTS/AGRI INPUTS, FARM TOOLS &amp; EQUIPMENT at Minalabac, Camarines Sur 1. LGU-Minalabac, Camarines Sur, through GF, CY </t>
  </si>
  <si>
    <t xml:space="preserve"> The Pag-IBIG FUND NAGA BUSINESS CENTER intends to apply the sum of EIGHTY-ONE THOUSAND PESOS &amp; 0/100 ONLY (Php 81,000.00) being the Approved Budget for the Contract (ABC) as payment for SUPPLY AND DELIVERY OF FIVE (5) TRAINING TABLE FOR NAGA-ROBINSONS BRA</t>
  </si>
  <si>
    <t xml:space="preserve"> Hiring of Assisting personnel for the preparation/formulation and write-up of the Integrated Watershed Management Plan of Mambusao River Watershed in the Province of Capiz in CY 2020 Period Covered:   August 1, 2020 to September 30, 2020</t>
  </si>
  <si>
    <t xml:space="preserve"> Office use for Official Transactions</t>
  </si>
  <si>
    <t xml:space="preserve"> ITEM NO.	QTY/ UNIT	    ARTICLES		TOTAL *ABC 1	            14 Pack	    Potassium Nitrate, Plant cell culture tested or for analysis and corresponds to ISO, Reag. Ph Eur, MW 101.10 – 101.11 g/mol Total kilogram required = 7 kg. 500 g/pack or 1 kg/pack or an</t>
  </si>
  <si>
    <t xml:space="preserve"> 1.	The Provincial Environment and Natural Resources Office-DENR, PENRO, Bataan, through the Government Appropriations Act of 2020-Regular Fund intends to apply the sum of FIFTY THOUSAND PESOS (PhP50,000.00) for the Procurement of 2 Units of Tablet Compute</t>
  </si>
  <si>
    <t xml:space="preserve"> acute rodenticides insecticides soluble powder</t>
  </si>
  <si>
    <t xml:space="preserve"> Republic of the Philippines Province of Camarines Norte MUNICIPALITY OF VINZONS BIDS AND AWARDS COMMITTEE (BAC) (Tel. # 446-63-09) 	 INVITATION TO BID FOR: PURCHASE/DELIVERY OF 2 UNITS PRINTER L5190 AND 1 L3110 1.	The Local Government Unit of Vinzons thro</t>
  </si>
  <si>
    <t xml:space="preserve"> various construction materials</t>
  </si>
  <si>
    <t xml:space="preserve"> 3 Tonner Floor Mounted Inverter (4 units) 2.5 hp Wall Mounted Inverter (2 units)</t>
  </si>
  <si>
    <t xml:space="preserve"> Kindly see attached Bidding Documents</t>
  </si>
  <si>
    <t xml:space="preserve"> 1. ALL ENTRIES MUST BE COMPLETELY FILLED UP IN PRINT. NO DATA PROVIDED ON UNIT PRICES &amp; TOTAL PRICES SHALL CONSIDER THE BID AS "NON-RESPONSIVE", THUS, DISQUALIFIED. A DASH ( - ) OR A ZERO ( 0 ) INDICATED IN THE SPACE PROVIDED FOR UNIT PRICES PER ITEM SHAL</t>
  </si>
  <si>
    <t xml:space="preserve"> Procurement of 50 tab Aspilte 80g &amp; 84 LI</t>
  </si>
  <si>
    <t xml:space="preserve"> Please see attached Purchase Request (PR) for the specifications.</t>
  </si>
  <si>
    <t xml:space="preserve"> 50 pcs Rooster (free range chicken) 200 pcs Hen (free range chicken) NOTE: PLEASE ATTACHED LEGAL DOCUMENTS AND UPDATED PHILGEPS CERTIFICATE FAILURE TO SUBMIT YOUR BID DOCUMENTS WILL NOT BE CONSIDERED FOR THE OPENING BY THE BAC. ALSO, PLEASE REFER TO RA 91</t>
  </si>
  <si>
    <t xml:space="preserve"> 25	 ream	Bond Paper 81/2 x 11 (70 gsm/sub.20) 25	 ream	Bond Paper 81/2 x 13 (70 gsm/sub.20) 10	 ream	Bond Paper A4 (70 gsm/sub.20) 20	btl	Printer Ink (4 colors) 8	pad	Yellow Pad (long) 100	 pc	Folder-ordinary (off white) 3	box	Ballpen (ordinary) 50	 pc	Br</t>
  </si>
  <si>
    <t xml:space="preserve"> window curtain  monoblock chair  blanket  pail  dipper  plastic table  pillow with pillowcase  bed sheet  toilet brush  stand fan  dustpan with broom  pitcher  sprayer small  plates  drinking glass fork  spoon  cups  trash can  spin mop with wheels  compu</t>
  </si>
  <si>
    <t xml:space="preserve"> Department of Education Region VIII  Division of Southern Leyte PINTUYAN NATIONAL VOCATIONAL HIGH SCHOOL Pintuyan, Southern Leyte To: ______________________       ______________________       ______________________ Dear Sir or Madam: 1.	The Department of </t>
  </si>
  <si>
    <t xml:space="preserve"> Public Biding</t>
  </si>
  <si>
    <t xml:space="preserve"> Gasoline/Diesel for Go'vt. Vehicles XXXXXXXXX</t>
  </si>
  <si>
    <t xml:space="preserve"> Holding of Lecture Series on "CEBU", Re-Launching of Pasiyo sa Kabilin, Lakbay Lingaw (Cebu Tourism Festival)</t>
  </si>
  <si>
    <t xml:space="preserve"> REINFORCEMENT STEEL WORKS		 A. Materials		 16mm dia x 6m RSB 8 pcs	8	pcs 10mm dia x 6m RSB 85 pcs	85	pcs Tiewire	5	kgs 		 FORMWORKS		 A. Materials		 CWN # 1 1/2"	1	kg CWN # 3", 4"	10	kg Cocolumber 2x3x10 - 80 pcs	400	bd.ft Marine plywood 1/2"	10	pcs 		 ME</t>
  </si>
  <si>
    <t xml:space="preserve"> Republic of the Philippines Province of Leyte Municipality of Javier BARANGAY SAN SOTERO INVITATION TO BID The Barangay Local Government Unit of Brgy. San Sotero, Javier, Leyte, through its Bids and Awards Committee (BAC), invites eligible contractors to </t>
  </si>
  <si>
    <t xml:space="preserve"> INVITATION TO BID (678-2020) Procurement of Construction Materials for the Improvement of Fire Station Building (Phase 3) The LGU Surallah through the Bids and Awards Committee (BAC) is inviting suppliers to bid for the supply and delivery of GOODS/INFRAS</t>
  </si>
  <si>
    <t xml:space="preserve"> 60 reams Book paper S-20 Long 60 reams Book paper S-20 Short 25 pcs. Record Book 500pp 100 pcs. Folder Ordinary Long 25 pcs. Ink T6641 Black 20 pcs. Ink T6641 Cyan 20 pcs. Ink T6641 Magenta 20 pcs. Ink T6641Yellow 200 pcs. Ballpen 100 pcs. Brown Envelope </t>
  </si>
  <si>
    <t xml:space="preserve"> NO	UNIT	DESCRIPTION	QTY 1	kls	Pork (pigue)	200 2	kls	Ground Pork	100 3	kls	Beef (lean)	100 4	kls	White Sugar	50 5	kls	Brown Sugar	45 6	cans	Pineapple juice unsweetened 240ml	400 7	packs	lodized salt	85 8	pouches	Soysauce 100ml	200 9	kls	Garlic	119 10	kls	</t>
  </si>
  <si>
    <t xml:space="preserve"> I N V I T A T I O N   T O   B I D 2020 – 151 August 10, 2020 1.	The Provincial Government of Tarlac through the Trust Fund intends to apply the sum of One Million Two Hundred Twelve Thousand Thirty-Seven Pesos and 50/100 (PhP 1,212,037.50) being the Appro</t>
  </si>
  <si>
    <t xml:space="preserve"> 1 set Interactive Multimedia Teaching Aid 1 set Desktop PC set (for STARBOOKS): Intel i7 Processor, Compatible Motherboard with built-in Video, LAN, Audio, USB, 2GB video card, Compatible 8GB RAM, 1TB HDD 7200 SATA, Black Case with 600w PSU, 21.5" LED Mon</t>
  </si>
  <si>
    <t xml:space="preserve"> Construction of Other Facilities.</t>
  </si>
  <si>
    <t xml:space="preserve"> note: please see attach supporting RFQ.</t>
  </si>
  <si>
    <t xml:space="preserve"> UPGRADING OF LIBRARY CARD ICT ROOM</t>
  </si>
  <si>
    <t xml:space="preserve"> Description INVITATION TO BID / REQUEST FOR EXPRESSION OF INTEREST The Municipality of Allacapan, through its Bids and Awards Committee (BAC), invites suppliers/distributors/contractors to apply for eligibility and to bid for the hereunder project: Name o</t>
  </si>
  <si>
    <t xml:space="preserve"> 1. 132 pcs 1/4" thck Plywood 2. 60 kls. Asst. C.W. Nail 3. 12 kls. 1 1/2" C.W. Nail 4. 6 sets Door Knob</t>
  </si>
  <si>
    <t xml:space="preserve"> PLEASE SEE ATTACHED ASSOCIATED COMPONENTS</t>
  </si>
  <si>
    <t xml:space="preserve"> Republic of the Philippines CITY GOVERNMENT OF SAN FERNANDO Barangay Biday Email: brgybidaycsflu@yahoo.com INVITATION TO BID FOR  Construction of Barangay Road Sitio 2, Barangay Biday, City of San Fernando 1.	The Barangay Biday, through the Barangay Fund </t>
  </si>
  <si>
    <t xml:space="preserve"> 1.	The Provincial Environment and Natural Resources Office-DENR, PENRO, Bataan, through the Government Appropriations Act of 2020-Regular Fund intends to apply the sum of SIXTY THOUSAND PESOS (PhP60,000.00) for the Procurement of 2 Units of Tablet Compute</t>
  </si>
  <si>
    <t xml:space="preserve"> 4-Classroom Electrical Wiring Connections  needs to Rehabilitate</t>
  </si>
  <si>
    <t xml:space="preserve"> Reblocking of Barangay Road at Zone 2, San Benito, Goa, Camarines Sur</t>
  </si>
  <si>
    <t xml:space="preserve"> 250 pcs Native Bags 200 pcs Lei</t>
  </si>
  <si>
    <t xml:space="preserve"> I N V I T A T I O N   T O   B I D 2020 - 149 August 10, 2020 1.	The Provincial Government of Tarlac, intends to apply the sum tabulated herein being the Approved Budget for the Contract (ABC) to payments under the contract of Procurement of Drugs and Medi</t>
  </si>
  <si>
    <t xml:space="preserve"> PLEASE SEE ATTACHED ASSOICIATED COMPONENTS</t>
  </si>
  <si>
    <t xml:space="preserve"> REPAIR OF PROPERTY STOCK ROOM</t>
  </si>
  <si>
    <t xml:space="preserve"> Queuing Machine Tape, thermal paper</t>
  </si>
  <si>
    <t xml:space="preserve"> 1	ream	copy paper , 8.5 x 13, 70 GSM	 2	ream	copy paper , 8.25 x 11.75, 70 GSM	 3	pc	Universal ink bottle (black)	 4	pc	Universal ink bottle (cyan)	 5	pc	Universal ink bottle (yellow)	 6	pc	Universal inkbottle (magenta)	 7	pc	EPSON 003 ink  bottle (black)</t>
  </si>
  <si>
    <t xml:space="preserve"> 1 unit Laptop Specifications: Processor: i7-8565U CPU: Core i7 RAM: 6GB-8GB Windows10 NOTE: PLEASE ATTACHED LEGAL DOCUMENTS AND UPDATED PHILGEPS CERTIFICATE FAILURE TO SUBMIT YOUR BID DOCUMENTS WILL NOT BE CONSIDERED FOR THE OPENING BY THE BAC. ALSO, PLEA</t>
  </si>
  <si>
    <t xml:space="preserve"> Vigan City	Project Reference Number:	08312020-119 	Name of the Project :	Construction of Farm to Market Road Standard Form Number: SF-GOOD-05	Location of the Project:    	Beddeng Laud Vigan City Revise on: July 28, 2004		 		 INVITATION TO BID The City Vig</t>
  </si>
  <si>
    <t xml:space="preserve"> Republic of the Philippines										 BIDS AND AWARDS COMMITTEE										 Baguio City										 (074) 300-6537/ (074)442-8795										 BID FORM										 CP No. 2020-58 Bidding									August 6, 2020	 Circular Proposal No.									Date Prepared	 								</t>
  </si>
  <si>
    <t xml:space="preserve"> Procurement of 120 mtr Rope &amp; 17 LI</t>
  </si>
  <si>
    <t xml:space="preserve"> Various Office Supplies</t>
  </si>
  <si>
    <t xml:space="preserve"> Republic of the Philippines Province of Camarines Sur MUNICIPALITY OF MINALABAC -o0o- Invitation to Bid for SUPPLY AND DELIVERY OF ORGANIC EGG LAYING FREE RANGE CHICKENS at Minalabac, Camarines Sur 1. LGU-Minalabac, Camarines Sur, through GAD FUND, CY 202</t>
  </si>
  <si>
    <t xml:space="preserve"> REPUBLIC OF THE PHILIPPINES PROVINCE OF CEBU MUNICIPALITY OF PINAMUNGAJAN Invitation to Bid for : CONSTRUCTION OF BASKETBALL COURT  (with Fabrication &amp; Installation of 1 pair goals, boards &amp; rings), in Sitio Danawan, Brgy. Sibago 1.The MUNICIPALITY OF PIN</t>
  </si>
  <si>
    <t xml:space="preserve"> Purchase of various supplies for the Covid-19 response operation.</t>
  </si>
  <si>
    <t xml:space="preserve"> 1	Piece	Indoor Wireless Access Point Indoor Wireless Access Point, 2.4GHz and 5GHz Dual Frequency, 450mbps 2.4GHz/867 Mbps 5GHz data transfer rate, 3x3 2.4GHz/2x2 5GHz MIMO Tri Polarity Antenna, 24 dBm 2.4GHz/22 dBm 5GHz TX power, 183meters Range, 802.11b</t>
  </si>
  <si>
    <t xml:space="preserve"> For rewinding &amp; replacement of worn-out parts of Franklin Submersible motor 3hp &amp; 5hp.</t>
  </si>
  <si>
    <t xml:space="preserve"> Republic of the Philippines							 PROVINCE OF ZAMBOANGA SIBUGAY							 Municipality of Talusan							 -7012-							 OFFICE OF THE BAC CHAIRMAN							 							 INVITATION TO BID							 							 NOTICE TO THE PUBLIC:							 							 	Notice is hereby served t</t>
  </si>
  <si>
    <t xml:space="preserve"> Various ICT Supplies</t>
  </si>
  <si>
    <t xml:space="preserve"> 24	pcs.	Ballpen ( black) 			 24	pcs.	Ballpen (red)			 15	rms.	Book paper (long) subs. 20			 15	rms.	Book paper (short) subs. 20			 15	pcs.	Brother Ink (blk.)LC 539 XL			 15	pcs.	Brother Ink ( colored) LC 535 XL			 15	pcs.	Brown Envelope long			 15	pcs.	Br</t>
  </si>
  <si>
    <t xml:space="preserve"> SEE ATTACHED REQUEST FOR QUOTATION (RFQ) FORM</t>
  </si>
  <si>
    <t xml:space="preserve"> Republic of the Philippines  Province of Eastern Samar Municipality of Salcedo INVITATION TO BID FOR THE SUPPLY AND DELIVERY OF OFFICE EQUIPMENT  1.	The Municipality of Salcedo, through the General Fund  intends to apply the sum of Six Hundred Ten Thousan</t>
  </si>
  <si>
    <t xml:space="preserve"> Name of Project: PROVISION OF FIFTEEN (15) SETS TABLE FOR AMBULANT VENDORS AT PUBLIC MARKET Location: Pura, Tarlac ABC: Php 211,285.86 Materials: 21	pcs	1'' GI pipe, sch. 40	 210	pcs	3/16'' x 1'' angle bar	 195	pcs	3/16'' x 2'' flat bar	 68	pcs	0.40 mm (g</t>
  </si>
  <si>
    <t xml:space="preserve"> Purchase of 200 Anti-Body Testing Kit (Lateral Flow Method)</t>
  </si>
  <si>
    <t xml:space="preserve"> 1. Name of Project: PROCUREMENT OF BOOK PAPER - A4 FOR REPRODUCTION OF MODULES 2. ABC: Php 99,900.00 3. Source of Funds: Division MOOE 4. Quantity: 370 reams, A4 Book paper 5. Delivery Period: 10 CD after receipt of P.O. (free delivery) 6. Interested bidd</t>
  </si>
  <si>
    <t xml:space="preserve"> Republic of the Philippines Province of Rizal  MUNICIPALITY OF BARAS TIN- 000-648-388 BIDS AND AWARDS COMMITTEE INVITATION TO BID 	The Municipality of Baras  Bids and Awards Committee (BAC), is inviting qualified bidders to apply for eligibility and to bi</t>
  </si>
  <si>
    <t xml:space="preserve"> REPUBLIC OF THE PHILIPPINES PROVINCE OF CEBU MUNICIPALITY OF PINAMUNGAJAN Invitation to Bid for : CONSTRUCTION OF BOX CULVERT IN SITIO KABAHIRUAN, BRGY. PANDACAN 					 	 1. The MUNICIPALITY OF PINAMUNGAJAN, through the GENERAL FUND  intends to apply the s</t>
  </si>
  <si>
    <t xml:space="preserve"> REPUBLIC OF THE PHILIPPINES PROVINCE OF CEBU MUNICIPALITY OF PINAMUNGAJAN Invitation to Bid for : CONSTRUCTION OF BASKETBALL COURT  in Sitio Kalubihan, Punod with Fabrication &amp; Installation of 1 pair goals, boards &amp; rings   1.The MUNICIPALITY OF PINAMUNGA</t>
  </si>
  <si>
    <t xml:space="preserve"> A Republic of the Philippines BIDS AND AWARDS COMMITTEE Dagupan City Invitation to Bid   for CLOSURE/REHABILITATION OF THE EXISTING CONTROLLED DUMPSITE, BONUAN BOQUIG, DAGUPAN CITY – PHASE I 1.	The City Government of Dagupan, through the CITY BUDGET ORDIN</t>
  </si>
  <si>
    <t xml:space="preserve"> The Municipal Government of Atok, Benguet now invites bids for SUPPLY AND DELIVERY OF VARIOUS COMPUTER SUPPLIES AND CONSUMABLES FOR THE USE OF DIFFERENT OFFICES IN THE MUNICIPALITY with the following description: 1.	3	piece	Anti-virus, Kaspersky, good for</t>
  </si>
  <si>
    <t xml:space="preserve"> REQUEST FOR QUOTATION The Philippine Statistics Authority (PSA) through its Bids and Awards Committee (BAC) will apply Small Value Procurement as mode of procurement for the Procurement and Installation of Closed-Circuit Television (CCTV) Camera System- A</t>
  </si>
  <si>
    <t xml:space="preserve"> 1 lot Physico-Chemical &amp; Microbiological Analysis (130 samples)  See attached Terms of Reference, List of Products and Test Parameters required per product ***nothing follows***</t>
  </si>
  <si>
    <t xml:space="preserve"> Purchase of 4 units Motorcycle.</t>
  </si>
  <si>
    <t xml:space="preserve"> Purchase of 331 sacks of Rice.</t>
  </si>
  <si>
    <t xml:space="preserve"> The Municipal Government of Atok, Benguet now invites bids for MDF CLUSTER 15-2020 PROJECTS AT ABIANG AND TOPDAC, ATOK, BENGUET with the following Clustered Projects: 1.	REHABILITATION OF DOMESTIC WATER SUPPLY AT BOCAO, ABIANG WITH AN ABC OF P100,000.00; </t>
  </si>
  <si>
    <t xml:space="preserve"> 1. 2 units Deep Cycle Battery 120 AH 2. 2 units Solar Inverter 200w/12v Pure sinewave 3. 10 pcs. Solar Bulb 3W LED</t>
  </si>
  <si>
    <t xml:space="preserve"> REPUBLIC OF THE PHILIPPINES PROVINCE OF CEBU MUNICIPALITY OF PINAMUNGAJAN Invitation to Bid for:  BARANGAY ROAD CONCRETING AT RIZAL 1.	The MUNICIPALITY OF PINAMUNGAJAN, through the GENERAL FUND  intends to apply the sum of SIX  HUNDRED THOUSAND PESOS ONLY</t>
  </si>
  <si>
    <t xml:space="preserve"> I N V I T A T I O N   T O   B I D 2020 – 153 August 10, 2020 1.	The Provincial Government of Tarlac through the PGO - Capital Outlay - Info. and Comm. Technology Equipt.; PGO - Continuing 2019 - Computer Software intends to apply the sum of Nine Hundred F</t>
  </si>
  <si>
    <t xml:space="preserve"> Purchase of various personal protective equipment for the Covid-19 response operation.</t>
  </si>
  <si>
    <t xml:space="preserve"> Scope of Service 1) Anaerobic and Non Biological Tertiary System for Waste Water Treatment Plant 2) No Enzyme and/or Bacteria Application on the Tertiary System 3) Compliance to Clean Water Act and Clean Air Act 4) Effluent water can be re-use with return</t>
  </si>
  <si>
    <t xml:space="preserve"> REPUBLIC OF THE PHILIPPINES PROVINCE OF CEBU MUNICIPALITY OF PINAMUNGAJAN Invitation to Bid for : CONSTRUCTION OF BASKETBALL COURT  (with Fabrication &amp; Installation of 1 pair goals, boards &amp; rings), in Brgy. Pandacan 1.The MUNICIPALITY OF PINAMUNGAJAN, th</t>
  </si>
  <si>
    <t xml:space="preserve"> JOB ORDER:				 			Catering services for 20 participants during the conduct of Value Chain Analysis: Modular e-Learning on August 24-September 17, 2020 in DA-RFO 8, Tacloban City.				 							 							 							 			August 24, 2020				 	20	pax	Lunch				 			rice</t>
  </si>
  <si>
    <t xml:space="preserve"> The construction of covered driveway and walkway will be connected from Gate 4 to the existing covered court of the Out Patient Department Building. This will serve as a canopy and protection for unpredictable weather conditions for employees, out patient</t>
  </si>
  <si>
    <t xml:space="preserve"> Purchase of various drugs and medicines.</t>
  </si>
  <si>
    <t xml:space="preserve"> 1 set  SEMI-AUTOMATED CHEMISTRY ANALYZER WITH START-UP REAGENTS Specification:  *All in one optical system, high reliability and anti-interference *Discrete, random access, semi-automated *Light Source: LED *Complete Range of LEDs (340 - 680nm) *+ 3 to 5 </t>
  </si>
  <si>
    <t xml:space="preserve"> The Municipal Government of Atok, Benguet now invites bids for SUPPLY AND DELIVERY OF VARIOUS OFFICE SUPPLIES FOR THE USE OF DIFFERENT OFFICES IN THE MUNICIPALITY with the following description: 1.	205	 bot 	Alcohol, isopropyl rubbing alcohol, scented wit</t>
  </si>
  <si>
    <t xml:space="preserve"> Meals for the Conduct of RPFP in the Workplace as part of the FP Month Celebration in to PNP Personnel in Babatngon, Leyte Lunch 260 pax</t>
  </si>
  <si>
    <t xml:space="preserve"> 1 unit	Defibrillator 2 units	Mechanical Ventilator 1 unit	Electro Cautery Machine 2 units	Patient Transfer/Pat Slide 1 unit	Major Surgical Set 1 unit	Videolaryngoscope 2 units	Depth of Anesthesia and Noxious Stimuli Monitor 1 unit	Laboratory Reagent Refri</t>
  </si>
  <si>
    <t xml:space="preserve"> Name of Project: PROVISION OF SIXTY NINE (69) SETS TABLE FOR AMBULANT VENDORS AT PUBLIC MARKET Location: Public Market, Pura, Tarlac ABC: Php 968,520.00 Materials 97	pcs	1'' GI pipe, sch. 40	 997	pcs	3/16'' x 1'' angle bar	 897	pcs	3/16'' x 2'' flat bar	 </t>
  </si>
  <si>
    <t xml:space="preserve"> 2   units Desktop     Core i7 processor      8GB RAM      1 TB HDD       250 GB SSD       19" LED Monitor       Mouse /Keyboard       UPS       Wireless Adapter  1 unit 24" LED Monitor</t>
  </si>
  <si>
    <t xml:space="preserve"> 1.  10 cubic gravel 2.  10 cubic sand 3.  50 bags cement 4.  50 pcs plywood 5.  2 box PDX wire number 12 6.  24 pcs SPST switch 7.  4 pcs LED Bulb (9 watts) 8.  6 pcs Junction box   ---------------Nothing Follows--------------- Purpose: as requested by th</t>
  </si>
  <si>
    <t xml:space="preserve"> 15 sets LED LIGHT with electrical accessories    Specification: * Power: 200 Watts - 300 watts * Light Efficiency: 100lm/W - 300lm/W * Dimension: 40cm - 50cm *Voltage Range: AC85-265V/50/60Hz - AC85-285V/50/80Hz *CCT: 6,000K - 7000K *Materials: Die cast+ </t>
  </si>
  <si>
    <t xml:space="preserve"> Republic of the Philippines DEPARTMENT OF AGRICULTURE Regional Field Office IX, Zamboanga Peninsula INVITATION TO BID FOR REBIDDING OF SUPPLY AND DELIVERY OF 2,695 HEADS OF LAYER CHICKEN (RTL) 1.	The Department of Agriculture Regional Field Office IX, thr</t>
  </si>
  <si>
    <t xml:space="preserve"> CATERING SERVICES FOR MEALS OF CLIENT IN DROP IN CENTER</t>
  </si>
  <si>
    <t xml:space="preserve"> Please see attached RFQ # 20-1252-1 Submit your Sign and Sealed Quotation together with your UPDATED ELIGIBILITY Requirements at 3/F ATI Building Department of Agriculture Region IV-MiMaRoPa, Property&amp;Supply Unit/BAC Secretariat Elliptical Road, Diliman, </t>
  </si>
  <si>
    <t xml:space="preserve"> REPUBLIC OF THE PHILIPPINES PROVINCE OF BATANGAS BIDS AND AWARDS COMMITTEE Capitol Site, Batangas City INVITATION TO BID 1.	The Provincial Government of Batangas, through its Bids and Awards Committee (BAC) intends to apply the sum of ONE BILLION FOUR HUN</t>
  </si>
  <si>
    <t xml:space="preserve"> Procurement of 50 pcs Alcohol &amp; 48 LI</t>
  </si>
  <si>
    <t xml:space="preserve"> I N V I T A T I O N   T O   B I D 2020 – 152 August 10, 2020 1.	The Provincial Government of Tarlac through the Trust Fund intends to apply the sum of Nine Hundred Ninety-Nine Thousand Six Hundred Five Pesos Only (PhP 999,605.00) being the Approved Budget</t>
  </si>
  <si>
    <t xml:space="preserve"> Name of Project: Provision of Seven (7) Sets Solar Streetlight Location: Estipona, Pura, Tarlac ABC: Php 245,000.00 Specification: 7	sets	LED Solar Light 150 W SMD, Warm White			 		Model : SSL 150W -WW			 		Specification:			 		 Light Output:  150W 			 		 </t>
  </si>
  <si>
    <t xml:space="preserve"> for more info kindly contact the Supply Officer Mr. Armin Tayag 20 pcs Laptop Battery Specs: HP 245 G5 (2200 mAh, 4cells) laptop battery 20 pcs Solid State Drive Specs:                 40GB Storage Capacity                2.5" / 7mm Form Factor           </t>
  </si>
  <si>
    <t xml:space="preserve"> 340 pieces Surgial Gown Picofiber set (haircap, booties, gown)</t>
  </si>
  <si>
    <t xml:space="preserve"> See line items.</t>
  </si>
  <si>
    <t xml:space="preserve"> Supply and delivery og aggregates.</t>
  </si>
  <si>
    <t xml:space="preserve"> Procurement of 3 Set Coil Spring (SPV-SUV) &amp; 10 LI</t>
  </si>
  <si>
    <t xml:space="preserve"> 80 bottles : Penicillin-Streptomycin (100 ml) 50 bottles : Iron Dextran (100 ml) 70 bottles : Ivermectin (100 ml) 70 bottles : DCM (500 ml) 90 bottles : Anti-inflamatory NSAID (100 ml) 80 bottles : Vitamin ADE (100 ml) 50 bottles : Amitraz (1 Li) 50 bottl</t>
  </si>
  <si>
    <t xml:space="preserve"> Purchase of 512 boxes of Vitamin C and 52 bottles of Mouth Wash (120 ml).</t>
  </si>
  <si>
    <t xml:space="preserve"> I.	Please quote your lowest price inclusive of VAT on the projects listed below, subject to the Terms and Conditions of this RFQ, and submit your sealed quotation not later than 10:00 AM of August 13, 2020 upon posting of this RFQ at DepED-Division of Cot</t>
  </si>
  <si>
    <t xml:space="preserve"> Construction Materials</t>
  </si>
  <si>
    <t xml:space="preserve"> 1. 1 Unit COLOR Copier/Printer/Scanner  		4800 x 1200 printing resolution  		PrecisionCoreTM Printhead  		400 x 2 nozzles each colour  		(Black, Cyan, Magenta, Yellow)  		Minimum Ink Droplet Volume  		4.6 pi PCL5c/PCL6/PostScript3/( ver 1.7)  		Flatbed Co</t>
  </si>
  <si>
    <t xml:space="preserve"> 40 units	Office chairs  2 sets	Movable divider panel 1 set 	Sala set (Sofa) 1 set	        Dining Table, with 10 chairs 3 units	Office table</t>
  </si>
  <si>
    <t xml:space="preserve"> THE OFFICE OF THE CITY LOCAL GOVERNMENT OPERATION OFFICER, SAN CARLOS CITY, PANGASINAN IS IN NEED OF 1 UNIT COMPUTER DESKTOP AND 1 UNIT PRINTER. SPECS: 1 UNIT DESKTOP COMPUTER  CPU: INTEL CORE i5-94002.9 ghZ MOBO: H310 ID DDR4 RAM: 8GB SINGLE DDR4 266GHZ </t>
  </si>
  <si>
    <t xml:space="preserve"> Installation of 37 units streetlights CFL Lighting Fixture(FIAMMA Single) with LED bulb 15 watts and 2x2-1/2x4.5 mtrs. Ht. G.I. post at Sitio Ilaya, Comon &amp; San Isidro</t>
  </si>
  <si>
    <t xml:space="preserve"> 25 units	Desktop Computer with Multifunction InkTank Printer  2 units	Smart TV LED 40" for JORS, PO, Contracts, NTP Monitoring 2 units	Laptop 4 units	Projector 2 units	Document Camera 8 units	All-in-One Touch Screen PC for HRIS, Billing and OPD Kiosk 5 un</t>
  </si>
  <si>
    <t xml:space="preserve"> PURCHASE OF EXPANDING PLASTIC ENVELOPE</t>
  </si>
  <si>
    <t xml:space="preserve"> Total pages of modules in all learning areas (Grade 7- 10) Filipino 1120 pages         English 575 pages Math 1071 pages Science 861 pages Araling Panlipunan 640 pages TLE 508 pages MAPEH 1344 pages ESP 424 pages</t>
  </si>
  <si>
    <t xml:space="preserve"> Materials for the Improvement of Waterworks System</t>
  </si>
  <si>
    <t xml:space="preserve"> Please quote your lowest price on the item(s) listed below, subject to the terms and condition stated below. Please send us the standard requirements through mail and email us the soft copy in the email provided. Thank you.</t>
  </si>
  <si>
    <t xml:space="preserve"> FaceShield</t>
  </si>
  <si>
    <t xml:space="preserve"> REPUBLIC OF THE PHILIPPINES PROVINCE OF CEBU MUNICIPALITY OF PINAMUNGAJAN Invitation to Bid for:  CONCRETING OF ROAD LEADING TO THE NEW MUNICIPAL CEMETERY IN BARANGAY PANDACAN 			                      1.	The MUNICIPALITY OF PINAMUNGAJAN, through the GENER</t>
  </si>
  <si>
    <t xml:space="preserve"> Purchase of Smart Phones for Geo-tagging ABC - 74,750.00 5 Smart Phones</t>
  </si>
  <si>
    <t xml:space="preserve"> Broom 8pcs Broom Stick 10pcs Mop Head 3pcs Garbage Bag 10packs Extension cord 3pcs Pressure Tank 1pc Flourescent Lamp 25pcs Door knob 20pcs Dead bolt 2pcs Disinfecting spray machine 1pc Pail 8pcs Tabo 8pcs Walis Tingting 10pcs Dustpan 3pcs Trash can 2pcs </t>
  </si>
  <si>
    <t xml:space="preserve"> Angle bar 1" 3pcs Angle bar 2" 3pcs Square bar 20pcs GI Pipe 4 pcs Cylindrical Hinge 1pc Welding Rod 1pc Window blades 50pcs Paint, enamel, white 1pc Paint for grills 2pcs Baby Roller refill 1pc Liha 120 3pcs Paint brush 1" 1pc</t>
  </si>
  <si>
    <t xml:space="preserve"> Items and Description                                          Quantity                           Unit Bond Paper - Long, sub70, gsm200                           25                                Reams Bond Paper - A4, sub70, gsm200                       </t>
  </si>
  <si>
    <t xml:space="preserve"> SEE ATTACHED</t>
  </si>
  <si>
    <t xml:space="preserve"> Procurement of Webcam, Power Supply, Smart TV, etc.</t>
  </si>
  <si>
    <t xml:space="preserve"> 5	Piece	"Ink Cartridge, Ink, HP, black for HP OfficeJet 250, HP62C" 5	Piece	"Ink Cartridge, Ink, HP, colored for HP OfficeJet 250, HP62C" 2	Piece	"Ink Refill, Epson, black for Epson L3110, code 003" 2	Piece	"Ink, Refill, Epson, colored for Epson L3110, co</t>
  </si>
  <si>
    <t xml:space="preserve"> For negotiated procurement as per Sec. 53.9 of Revised IRR or small value procurement: The Provincial Government of Laguna through its Bids and Awards Committee (BAC) invites suppliers/manufacturers/distributors/contractors to submit quotations for the he</t>
  </si>
  <si>
    <t xml:space="preserve"> Ringbinder 1pc Laminate Film 30packs Laminating Machine 1pc Staple Wire Big 15 boxes Staple Wire (small) 10 pcs Long arm stapler 1pc Scotch Tape 10pcs Masking Tape 10pcs Paper Clip Big 10boxes Bondpaper A4 20reams Permanent marker 5pcs Stapler 1pc Puncher</t>
  </si>
  <si>
    <t xml:space="preserve"> REF. NO./PR NO.: INFRA2020-CMD-021 / MG-CMT20-001  DESCRIPTION:     Construction of Fire Hydrant System for CMTSD, Ditucalan, Iligan City 1.	Earthworks: Excavation of Footings, Canals, Pedestals and Trenches 2.	Concrete Works: Pump House including Hydrant</t>
  </si>
  <si>
    <t xml:space="preserve"> To be served during the Refresher Course on Systems Operation of national Irrigation Systems (NIS) at NIA RTC, Maddarulug, Solana, Cagayan on August 19-20,2020 1. ALL ENTRIES MUST BE COMPLETELY FILLED UP IN PRINT. NO DATA PROVIDED ON UNIT PRICES &amp; TOTAL P</t>
  </si>
  <si>
    <t xml:space="preserve"> Procurement of Desktop Computers and External Hard Drive (IHOMP) (see attached Purchase Request for more detailed information)</t>
  </si>
  <si>
    <t xml:space="preserve"> Supply and Delivery of Construction Materials</t>
  </si>
  <si>
    <t xml:space="preserve"> The Provincial Government of Laguna through its Bids and Awards Committee (BAC) invites suppliers/manufacturers/distributors/contractors to submit quotations for the hereunder project:  Name of Project	:	Medicines for LPH-Gen. J. Cailles Memorial District</t>
  </si>
  <si>
    <t xml:space="preserve"> Republic of the Philippines Province of Antique Municipality of Caluya Barangay Semirara INVITATION TO BID FOR PROCUREMENT OF 1 UNIT SEA PATROL OF BARANGAY SEMIRARA, CALUYA, ANTIQUE  1.	The Local Government Unit Semirara, through the Annual Budget of 2020</t>
  </si>
  <si>
    <t xml:space="preserve"> Republic of the Philippines Province of Antique Municipality of Caluya Barangay Semirara INVITATION TO BID FOR PROCUREMENT OF 1 UNIT SEA AMBULANCE OF BARANGAY SEMIRARA, CALUYA, ANTIQUE  1.	The Local Government Unit Semirara, through the Annual Budget of 2</t>
  </si>
  <si>
    <t xml:space="preserve"> Republic of the Philippines Department of Health SOUTHERN ISABELA MEDICAL CENTER Hospital Bids and Awards Committee Brgy. Rosario, Santiago City Philippines ITB NO. 2020-08-016 INVITATION TO BID FOR THE  PROJECT: SUPPLY AND DELIVERY OF OBSTETRICS AND GYNE</t>
  </si>
  <si>
    <t xml:space="preserve"> INVITATION TO BID FOR CW-ALPIP-06-2020 1.	The National Irrigation Administration – Cordillera Administrative Region (NIA-CAR), through the General Appropriations Act (GAA) 2020 intends to apply the sum of Thirty Eight Million Two Hundred Fifty Six Thousan</t>
  </si>
  <si>
    <t xml:space="preserve"> BARANGAY SAN JUAN				 					Project Reference Number:       Name of the Project: REPAIR/IMPROVEMENT OF MULTI-PURPOSE HALL Location of the Project:   BARANGAY SAN JUAN,Tingloy, Batangas   Standard Form Number: SF-GOOD-05 Revised on: July 28, 2004 INVITATION</t>
  </si>
  <si>
    <t xml:space="preserve"> INVITATION TO BID FOR CW-ALPIP-05-2020 1.	The National Irrigation Administration – Cordillera Administrative Region (NIA-CAR), through the General Appropriations Act (GAA) 2020 intends to apply the sum of Thirty Nine Million Nine Hundred Thirty Seven Thou</t>
  </si>
  <si>
    <t xml:space="preserve"> INVITATION TO BID FOR CW-ALPIP-04-2020 1.	The National Irrigation Administration – Cordillera Administrative Region (NIA-CAR), through the General Appropriations Act (GAA) 2020 intends to apply the sum of Twenty Eight Million Six Hundred Eighty Two Thousa</t>
  </si>
  <si>
    <t xml:space="preserve"> PURCHASE OF 1 UNIT SERVICE VEHICLE 2ND HAND AT BARANGAY MANGHINAO PROPER, BAUAN, BATANGAS</t>
  </si>
  <si>
    <t xml:space="preserve"> INVITATION TO BID FOR CW-ALPIP-01-2020 1.	The National Irrigation Administration – Cordillera Administrative Region (NIA-CAR), through the General Appropriations Act (GAA) 2020 intends to apply the sum of Sixty Nine Million One Hundred Thirteen Thousand O</t>
  </si>
  <si>
    <t xml:space="preserve"> Republic of the Philippines 	Province of Pangasinan 	Municipality of Infanta 	Barangay Bayambang 	BIDS AND AWARDS COMMITTEE 	 Invitation to Bid for CONCRETE PAVING OF CORPUZ ROAD (CONMTINUATION), BRGY. BAYAMBANG, INFANTA, PANGASINAN 1.	The BARANGAY BAYAMB</t>
  </si>
  <si>
    <t xml:space="preserve"> Republic of the Philippines Province of Quezon Municipality of Atimonan Barangay Lakip Project Reference No:  2020- Name of the Project: Purchase of Isang Lapis Isang Papel Location of the Project: Barangay Lakip  Atimonan, Quezon REQUEST FOR QUOTATION-SH</t>
  </si>
  <si>
    <t xml:space="preserve"> Republic of the Philippines Department of Health SOUTHERN ISABELA MEDICAL CENTER Hospital Bids and Awards Committee Brgy. Rosario, Santiago City Philippines ITB NO. 2020-08-015 INVITATION TO BID FOR THE  PROJECT: SUPPLY AND DELIVERY OF DENTAL EQUIPMENT 1.</t>
  </si>
  <si>
    <t xml:space="preserve"> UTP Cable Wires 4 rolls cctv bracket 25 pcs hose belt 57 pcs poe switch 8 ports power adaptor 6 main box 1 ip camera 4 nvr 16 channels fiber optic 2 core Ip65 utility box 25 installation peripherals Installation</t>
  </si>
  <si>
    <t xml:space="preserve"> Please see attached file (RFQ-20-08-0668/20-08-0669)  for reference.</t>
  </si>
  <si>
    <t xml:space="preserve"> Republic of the Philippines City of Manila BARANGAY 293, ZONE 28, DISTRICT III BIDS AND AWARDS COMMITTEE August 8, 2020 D A T E INVITATION TO BID BARANGAY 293, ZONE 28, DISTRICT III invites interested to bid for the supplies/materials and/or equipments of</t>
  </si>
  <si>
    <t xml:space="preserve"> Procurement of various IT Supplies</t>
  </si>
  <si>
    <t xml:space="preserve"> 69 bags Cements 7 cu.m. Gravel 6 cu.m. sand 10 pcs.coco lumber 2x3x10 RSB 10 mm CWN #2 CWN #3</t>
  </si>
  <si>
    <t xml:space="preserve"> Establishment of Command Disaster Preparedness and Public Safety Center and Installation of CCTV Cameras with Wireless AutoMesh Technology</t>
  </si>
  <si>
    <t xml:space="preserve"> Republic of the Philippines Province of Quezon Municipality of Atimonan Barangay Sokol Project Reference No:  2020- Name of the Project: Purchase of Isang Lapis Isang Papel Location of the Project: Barangay Sokol  Atimonan, Quezon REQUEST FOR QUOTATION-SH</t>
  </si>
  <si>
    <t xml:space="preserve"> REQUEST FOR QUOTATION Supply and Delivery of Pet Bottles and Other Supplies for EBA – Water Refilling Station  1. The Cavite State University (CvSU) invites interested firms/supplier to submit quotation for the project “Supply and Delivery of Pet Bottles </t>
  </si>
  <si>
    <t xml:space="preserve"> REQUEST FOR QUOTATION Supply and Delivery of Various Supplies and Materials for CED-SHS 1. The Cavite State University (CvSU) invites interested firms/suppliers to submit quotation for the project “Supply and Delivery of Various Supplies and Materials for</t>
  </si>
  <si>
    <t xml:space="preserve"> REQUEST FOR QUOTATION Supply and Delivery of ICT Equipment for University Library 1. The Cavite State University (CvSU) invites interested firms/supplier to submit quotation for the project “Supply and Delivery of ICT Equipment for University Library” wit</t>
  </si>
  <si>
    <t xml:space="preserve"> Please quote your lowest price inclusive of VAT on the item/s listed below, subject to the Terms and Conditions of this RFQ, and submit your quotation duly signed by your representative not later than AUGUST 13, 2020 at Bids and Awards Committee for Goods</t>
  </si>
  <si>
    <t xml:space="preserve"> REQUEST FOR QUOTATION Supply and Delivery of Materials for Conversion of Storage Room to Comfort Room at Director’s Office of Infirmary 1. The Cavite State University (CvSU) invites interested firms/suppliers to submit quotation for the project “Supply an</t>
  </si>
  <si>
    <t xml:space="preserve"> REQUEST FOR QUOTATION Subscription to CISCO Webex for CEIT – UCC 1. The Cavite State University (CvSU) invites interested firms/suppliers to submit quotation for the project “Subscription to CISCO Webex for CEIT – UCC” with an Approved Budget for the Cont</t>
  </si>
  <si>
    <t xml:space="preserve"> see attached</t>
  </si>
  <si>
    <t xml:space="preserve"> Poblacion 15				 					Project Reference Number:    Name of the Project: Supply of Materials for CONSTRUCTION/IMPROVEMENT OF MULTI PURPOSE HALL 				             Location of the Project: Poblacion 15, Tingloy, Batangas Standard Form Number: SF-GOOD-05 Revis</t>
  </si>
  <si>
    <t xml:space="preserve"> The Municipality of Pulilan, Bulacan, through its Bids and Awards Committee (BAC), invites prospective bidders/Supplier to apply for eligibility and shortlisting and if found eligible and shortlisted, to bid for Purchase of Materials for Service Connectio</t>
  </si>
  <si>
    <t xml:space="preserve"> Republic of the Philippines					 Province of Pangasinan 					 Municipality of Bolinao					 					 REQUEST FOR QUOTATION (RFQ)					 					 Company Name:  				Date:	 					 Address:					 					       Please quote your lowest price on the item/s listed below, su</t>
  </si>
  <si>
    <t xml:space="preserve"> Republic of the Philippines Province of Pangasinan Municipality of Infanta Barangay Bayambang BIDS AND AWARDS COMMITTEE INVITATION TO BID FOR: SUPPLY &amp; DELIVERY OF MATERIALS FOR THE CONSTRUCTION OFCOVER DRAINAGE CANAL @ PUROK 1, BRGY. BAYAMBANG, INFANTA, </t>
  </si>
  <si>
    <t xml:space="preserve"> loose rock, 150 cu.m. diesel, 400 ltrs.</t>
  </si>
  <si>
    <t xml:space="preserve"> Purchase of Medicine and Various  Medical Supplies for MHO</t>
  </si>
  <si>
    <t xml:space="preserve"> The Municipality of Pulilan, Bulacan, through its Bids and Awards Committee (BAC), invites prospective bidders/Supplier to apply for eligibility and shortlisting and if found eligible and shortlisted, to bid for Purchase of Medicines (RHU) The Municipalit</t>
  </si>
  <si>
    <t xml:space="preserve"> INVITATION TO BID IB No. 2020-32 CONTRACT OF SERVICE WITH LABOR AND MATERIALS FOR THE DEVELOPMENT OF CLIMATE AND DISASTER RISK ASSESSMENT INFORMATION SYSTEM 1.	The Local Government Unit of Oton, through Special Trust Fund (STF), intends to apply the sum o</t>
  </si>
  <si>
    <t xml:space="preserve"> REQUEST FOR QUOTATION							 							 SIR/MADAM:							 							 Please quote your lowest price for the following items enumerated below, taking into consideration the following:							 							 TERMS AND CONDITIONS:							 1.  The Approved Budget for the Co</t>
  </si>
  <si>
    <t xml:space="preserve"> The Municipality of Pulilan, Bulacan, through its Bids and Awards Committee (BAC), with its Consultants  to apply for eligibility and shortlisting  bid for Consultancy Services in Different Offices in the Municipality of Pulilan Mayor's,Accounting,Treasur</t>
  </si>
  <si>
    <t xml:space="preserve"> The Municipality of Pulilan, Bulacan, through its Bids and Awards Committee (BAC), invites prospective bidders/Supplier to apply for eligibility and shortlisting and if found eligible and shortlisted, to bid for Digital Public Address-Warning Siren &amp; Devi</t>
  </si>
  <si>
    <t xml:space="preserve"> OFFICE SUPPLIES</t>
  </si>
  <si>
    <t xml:space="preserve"> Procurement of 1 unit Photocopier Machine, 2 Units Industrial Fan, 1 unit Welding Machine and 2 units Handheld Radio for Barangay Use.</t>
  </si>
  <si>
    <t xml:space="preserve"> REQUEST FOR QUOTATION Supply and Delivery of Materials for Repair of Divider and Repainting of Classroom at CvSU Imus Campus 1. The Cavite State University (CvSU) invites interested firms/suppliers to submit quotation for the project “Supply and Delivery </t>
  </si>
  <si>
    <t xml:space="preserve"> Description I.	Sub-Grade Preparation  II.	Aggregate Sub Base Coarse III.	Aggregate Base Coarse (include Spreading) IV.	Portland Cement Concrete Pavement 1. Barangay Salvador Tanauan, LEYTE through the bids and awards comm.) invites suppliers, distributors</t>
  </si>
  <si>
    <t xml:space="preserve"> PURCHASE REQUEST - 2020-08-0004									 									 Barangay : Lower Baluran									 Municipality : Imelda 						Date:	8/8/2020		 									                                              DESCRIPTION									 									 	QTY	UNIT OF 	                 ITEM			E</t>
  </si>
  <si>
    <t xml:space="preserve"> Supply and Delivery of Materials for the Implementation of the Modular Learning Delivery Modality using Print and Multimedia Learning Resources.  ABC -  P 8,071,500.00</t>
  </si>
  <si>
    <t xml:space="preserve"> The Municipality of Pulilan, Bulacan, through its Bids and Awards Committee (BAC), invites prospective bidders/Supplier to apply for eligibility and shortlisting and if found eligible and shortlisted, to bid for Purchase of One (1) Unit Service Vehicle (S</t>
  </si>
  <si>
    <t xml:space="preserve"> BALAOAN WATER DISTRICT Invitation to Bid For The Drilling Of One (1) Exploratory/ Production Well for Balaoan WD @ Brgy. Calliat, Balaoan, La Union 1.	The Balaoan Water District through the 17,738,000.00 loan funded under the GAA 2017 from the Local Water</t>
  </si>
  <si>
    <t xml:space="preserve"> REQUEST FOR QUOTATION Supply, Delivery and Installation of Aircondition Units for CED  1. The Cavite State University (CvSU) invites interested firms/supplier to submit quotation for the project “Supply, Delivery and Installation of Aircondition Units for</t>
  </si>
  <si>
    <t xml:space="preserve"> REQUEST FOR QUOTATION Please quote your prices on the supplies listed which the Municipality of Kalawit, Zamboanga del Norte desires to buy item if advantageous to the government. NAME OF PROJECTS			: SUPPLY AND DELIVERY OF 2 UNITS LAPTOP COMPUTER, (Specs</t>
  </si>
  <si>
    <t xml:space="preserve"> REQUEST FOR QUOTATION Please quote your prices on the supplies listed which the Municipality of Kalawit, Zamboanga del Norte desires to buy item if advantageous to the government. NAME OF PROJECTS			: SUPPLY AND DELIVERY OF 2,000 LITERS DIESEL FUEL(FOR TH</t>
  </si>
  <si>
    <t xml:space="preserve"> Procurement of Supplies MOOE Subsidy for LIGURON ES</t>
  </si>
  <si>
    <t xml:space="preserve"> The Municipality of Pulilan, Bulacan, through its Bids and Awards Committee (BAC), invites prospective bidders/Supplier to apply for eligibility and shortlisting and if found eligible and shortlisted, to bid for Purchase of 45 Units Laptop The Municipalit</t>
  </si>
  <si>
    <t xml:space="preserve"> Labor and materials</t>
  </si>
  <si>
    <t xml:space="preserve"> PRINTING OF MODULES OF JUNIOR HIGH SCHOOL (GRADES 7-10) GRADE 7 Modules	120 SETS 	 GRADE 8 Modules	140 SETS 		 GRADE 9 Modules	160 SETS 		 GRADE 10 Modules	100 SETS</t>
  </si>
  <si>
    <t xml:space="preserve"> UNIT                                  QUANTITY                                   DESCRIPTION REAM                                 500                                             A4 BOND PAPER SUBSTANCE 20 BOTTLES                              16           </t>
  </si>
  <si>
    <t xml:space="preserve"> INVITATION TO BID for the  Refurbishment of Classrooms of Senate President Neptali A. Gonzales Integrated School, CY 2020 BEFF The Schools Division Office - Mandaluyong, through the CY 2020 Basic Educational Facilities Fund, intends to apply the sum of Th</t>
  </si>
  <si>
    <t xml:space="preserve"> various school and office supplies to be used in the production of learning resources</t>
  </si>
  <si>
    <t xml:space="preserve"> INVITATION FOR THE SUBMISSION OF REQUEST FOR QUOTATION The Municipal Government of Quezon, Palawan now invites bids for the project, Supply and Delivery of Customized Tee-shirt for Mass Blood Donation with an Approved Budget for the Contract (ABC) of Eigh</t>
  </si>
  <si>
    <t xml:space="preserve"> OFFICE SUPPLIES AND DEVICES</t>
  </si>
  <si>
    <t xml:space="preserve"> 1. 1000 pcs  6' CHB  2. 10. Cu. m. gravel  3. 10. cu.m Washed Sand  4. 60 pcs 10mm.dia DSB  5. 40 pcs 12mm. dia DSB  6. 10 kgs. tie wire  7. 5 pcs Hacsaw Blade  8. 70 Bags Porland cement</t>
  </si>
  <si>
    <t xml:space="preserve"> Please see attached RFQ for more details. For concern / query, you may contact Ms. Geraldine through geraldine.conception@deped.gov.ph Submission of bid will also be sent through the above-mentioned email address.</t>
  </si>
  <si>
    <t xml:space="preserve"> 1. 6 cu.m. gravel  2. 29 cu.m. washed Sand  3. 115 Bag portland Cement  4.105 cu.m 0.50m x 0.50m floor tiles</t>
  </si>
  <si>
    <t xml:space="preserve"> Procurement of Executive Chair</t>
  </si>
  <si>
    <t xml:space="preserve"> FLOWING DEEPWELL</t>
  </si>
  <si>
    <t xml:space="preserve"> Procurement of Construction Materials for Maintenance of Spillway-KALAHI-CIDSS PROJECT</t>
  </si>
  <si>
    <t xml:space="preserve"> 1 lot</t>
  </si>
  <si>
    <t xml:space="preserve"> 252 pcs Standard Corporate Shirts *Specifications: Shirt Material: 65% cotton, 35% polyester Printing Process:  PhilHealth Corporate Signature - EMBROIDERED PhilHealth Website - EMBROIDERED Shirt Sizes: to consider Men's and Ladies' cut Shirt Color: Green</t>
  </si>
  <si>
    <t xml:space="preserve"> Republic of the Philippines Province of Iloilo Municipality of Lambunao Office of the Bids &amp; Awards Committee INVITATION TO BID/ REQUEST FOR PRICE QUOTATION Name of Project: Purchase of Materials for the Development of Mari-it Eco Park Ph II Location: WVS</t>
  </si>
  <si>
    <t xml:space="preserve"> REQUEST FOR QUOTATION Please quote your prices on the supplies listed which the Municipality of Kalawit, Zamboanga del Norte desires to buy item if advantageous to the government. NAME OF PROJECTS			: SUPPLY AND DELIVERY OF COMPUTER EQUIPMENT AND SUPPLIES</t>
  </si>
  <si>
    <t xml:space="preserve"> Clearing/Removal of Existing Gate Layout and Stakeout Subgrade Preparation Aggregate Base Coarse Portland Cement Concrete Pavement Mobilization Construction Safety and Health Program</t>
  </si>
  <si>
    <t xml:space="preserve"> Republic of the Philippines Province of Leyte Municipality of Hindang Barangay Anahaw INVITATION TO BID FOR THE PROCUREMENT OF MATERIALS FOR CONSTRUCTION OF BRGY. ROAD PAVEMENT (ANAHAW TO MABAGON) 1. The Barangay Anahaw of Hindang, Leyte , through Brgy. C</t>
  </si>
  <si>
    <t xml:space="preserve"> Republic of the Philippines Province of Iloilo Municipality of Lambunao Office of the Bids &amp; Awards Committee INVITATION TO BID/ REQUEST FOR PRICE QUOTATION Name of Project: Construction of Water Tank Concrete Pedestal (One Job) Location:  Brgy. Buri, Lam</t>
  </si>
  <si>
    <t xml:space="preserve"> Description   INVITATION TO BID   The Barangay Government of Doña Mercedes through its Bids and Awards Committee (BAC) invites suppliers/manufacturers/distributors/contractors to apply for eligibility and to bid for the procurement of Materials for Instal</t>
  </si>
  <si>
    <t xml:space="preserve"> Procurement of Construction Materials for Construction of Line Canal</t>
  </si>
  <si>
    <t xml:space="preserve"> 90 tubes</t>
  </si>
  <si>
    <t xml:space="preserve"> MATERIALS AND LABOR FOR PROPOSED CONSTRUCTION OF FIRE TRUCK GARAGE</t>
  </si>
  <si>
    <t xml:space="preserve"> Procurement of Supplies and Materials for VAWC Office</t>
  </si>
  <si>
    <t xml:space="preserve"> Envelop, Expanding, Plastic  Folder White (Long) Plastic Fastener  Stapler Big  Canon PG-810 Ink (Black) Bond Paper  A4</t>
  </si>
  <si>
    <t xml:space="preserve"> Construction of Kitchen - Dimasalansan CDC</t>
  </si>
  <si>
    <t xml:space="preserve"> Republic of the Philippines Province of Iloilo Municipality of Lambunao Office of the Bids &amp; Awards Committee INVITATION TO BID Name of Project: Purchase of Medical Equipments and Supplies Location: Brgy. Coto, Lambunao, Iloilo ABC: Php 453,714.98 (Suppli</t>
  </si>
  <si>
    <t xml:space="preserve"> Procurement of Desktop Computer</t>
  </si>
  <si>
    <t xml:space="preserve"> Republic of the Philippines Province of Iloilo Municipality of Lambunao Office of the Bids &amp; Awards Committee INVITATION TO BID/ REQUEST FOR PRICE QUOTATION Name of Project: Purchase of Materials for the Construction of Daycare Center Location: Brgy. Mala</t>
  </si>
  <si>
    <t xml:space="preserve"> Procurement of Farm Inputs</t>
  </si>
  <si>
    <t xml:space="preserve"> Please see attached RFQ for more details. For concern / query, you may contact Ms. Twinkle through twinkle.asudera@deped.gov.ph You may also send your bid / quotation to the email stated above.</t>
  </si>
  <si>
    <t xml:space="preserve"> Procurement of Trapaulin</t>
  </si>
  <si>
    <t xml:space="preserve"> Republic of the Philippines Province of Samar Municipality of Sta. Rita Brgy. Rosal BIDS AND AWARDS COMMITTEE INVITATION TO BID The Brgy. Rosal, Municipality of Sta. Rita, through Brgy. fund intends to apply the sum of One Hundred Thousand Pesos (Php100,0</t>
  </si>
  <si>
    <t xml:space="preserve"> Republic of the Philippines Province of Iloilo Municipality of Lambunao Office of the Bids &amp; Awards Committee INVITATION TO BID/ REQUEST FOR PRICE QUOTATION Name of Project: Purchase of Rescue Equipments for the use of MDRRMO Location: Lambunao, Iloilo AB</t>
  </si>
  <si>
    <t xml:space="preserve"> Procurement of Weighing Scale</t>
  </si>
  <si>
    <t xml:space="preserve"> Republic of the Philippines Province of Iloilo Municipality of Lambunao Office of the Bids &amp; Awards Committee INVITATION TO BID/ REQUEST FOR PRICE QUOTATION Name of Project: Purchase of Materials for the Improvement of Public Market Location: Pob. Ilaya, </t>
  </si>
  <si>
    <t xml:space="preserve"> Contract Reference Number: SF-08-1                                                         Republic of the Philippines                                                         Province of Southern Leyte                                                      </t>
  </si>
  <si>
    <t xml:space="preserve"> Master Roll A4  Universal Z Ink Black CZ ink black CZ master roll</t>
  </si>
  <si>
    <t xml:space="preserve"> Procurement of Snacks and Materials for Clean-up Drive</t>
  </si>
  <si>
    <t xml:space="preserve"> PR NO. 20-08-0055								 ONLINE PATENT DATABASE SUBSCRIPTION Gentlemen/Ladies: The Technological University of the Philippines – Manila intends to Procure ONLINE PATENT DATABASE SUBSCRIPTION FOR 3 (THREE) YEARS with an Approved Budget for the Contract of</t>
  </si>
  <si>
    <t xml:space="preserve"> see attached file</t>
  </si>
  <si>
    <t xml:space="preserve"> PLEASE SEE ATTACHED FILES FOR YOUR REFERENCE</t>
  </si>
  <si>
    <t xml:space="preserve"> UNIT            QUANTITY                       DESCRIPTION REAM           429                                A4 BONDPAPER SUBSTANCE 20</t>
  </si>
  <si>
    <t xml:space="preserve"> Republic of the Philippines Province of Iloilo Municipality of Lambunao Office of the Bids &amp; Awards Committee INVITATION TO BID/ REQUEST FOR PRICE QUOTATION Name of Project: Purchase of Materials for the Installation of Solar Lighting System Location: Brg</t>
  </si>
  <si>
    <t xml:space="preserve"> UNIT                   QUANTITY                                     DESCRIPTION  rim                      156                                         A4 bond paper substance 20 bottle                      6                                        Brother t</t>
  </si>
  <si>
    <t xml:space="preserve"> 1000 reams Mimeo Paper</t>
  </si>
  <si>
    <t xml:space="preserve"> 200,000 worth of printing modules</t>
  </si>
  <si>
    <t xml:space="preserve"> UNIT                            QUANTITY                        DESCRIPTION   Ream                                 240                           Bond paper,hard copy,A4 Piece                                    1                            Ring Binder Bots</t>
  </si>
  <si>
    <t xml:space="preserve"> UNIT           QUANTITY    DESCRIPTION  RIMS           400             PAPER A-4 HARD COPY SUBSTANCE 20 BTLS           150              EPSON INK 664 BLACK BTLS           150              EPSON INK 664 TRI COLOR UNITS          67               STAPLER H.D</t>
  </si>
  <si>
    <t xml:space="preserve"> INVITATION TO BID FOR THE SUPPLY AND DELIVERY OF CUT-SIZE PAPER PRODUCTS FOR THE PROCUREMENT SERVICE PUBLIC BIDDING NO. 20-025-1 FUNDING SOURCE: PROCUREMENT SERVICE FUNDS The PROCUREMENT SERVICE invites PhilGEPS registered suppliers to bid for the followi</t>
  </si>
  <si>
    <t xml:space="preserve"> The Barangay 122, Zone 9, District I, Manila. Through its Bids and Awards Committee (BAC). INVITES ALL SUPPLIERS/CONTRACTORS to bid for the hereunder projects:</t>
  </si>
  <si>
    <t xml:space="preserve"> 1. The Brgy. Dalayap of Pinili, Ilocos Norte through the BDF 2020 intends to apply the sum SIXTY EIGHT THOUSAND PESOS(P 68,000.00) being the Approved Budget for the Contract (ABC) to payments under the contract for DAL-2020-01.  Bids received in excess of</t>
  </si>
  <si>
    <t xml:space="preserve"> Quantity     Unit         Description 1220	         ream	Paper,multipurpose(copy)A4,70gsm,210mm 35        	rolls	         Acetate Plastic Cover 2	        pcs	         Pencil Sharpener, manual, single cutter head 150	       rolls       	Tape, packaging ,wi</t>
  </si>
  <si>
    <t xml:space="preserve"> Name of Project: 	20-07-535 Purchase of Spare parts for the Maintenance of Canter with Plate Number SER 503   Procurement Mode:		Small Value Procurement Classification:			Goods Approved Budget for the Contract (ABC):    PhP 68,750.00 BEST AND FINAL OFFER </t>
  </si>
  <si>
    <t xml:space="preserve"> UNIT         QUANTITY           DESCRIPTION REAM           239                  A4 BOND PAPER SUBSTANCE 20 BOT             113                  L120 #664 INK BLACK</t>
  </si>
  <si>
    <t xml:space="preserve"> one thousand five hundred (1,500) pieces of Face Shield</t>
  </si>
  <si>
    <t xml:space="preserve"> Republic of the Philippines Province of Samar Catbalogan City INVITATION FOR NEGOTIATED PROCUREMENT GOODS 2020-025 (NP) SUPPLY AND DELIVERY OF ONE (1) UNIT MOTORCYCLE. The City Government of Catbalogan, through the Ordinance No. 2019-017 intends to apply </t>
  </si>
  <si>
    <t xml:space="preserve"> REQUEST FOR QUOTATION (RFQ) SUPPLY AND DELIVERY OF AUTOMATIC ALCOHOL AND SOAP DISPENSER FOR COVID-19 PREVENTION UNDER EMB-AFMD RFQ NO. EMB-AFMD-0107-08-7-2020- 2020-0591 1.	The Department of Environment and Natural Resources – Environmental Management Bur</t>
  </si>
  <si>
    <t xml:space="preserve"> 69 bags Cement 7 cu. m. Gravel 6 cu. m. sand 10 pcs. coco lumber 2x3x10 5 pcs. RSB 10mm 1 kl. CWN #2 1 kl. CWN #3</t>
  </si>
  <si>
    <t xml:space="preserve"> San Jose National High School, San Jose, Mahayag, Zamboanga del Sur invites registered suppliers to quote for the following items: 3	bottles	 Ink Cart, Epson 664, Black  2	bottles	 Ink Cart, Epson 664, Cyan  3	bottles	 Ink Cart, Epson 664, Magenta  2	bott</t>
  </si>
  <si>
    <t xml:space="preserve"> VEGETABLE SEEDS:		 1. Eggplant, F1 (300 seeds/pack)	                282	pack 2. Squash,  F1 (30 seeds/pack)	                        282	pack 3. Okra, Smooth Green (200 seeds/pack)      	282	pack 4. Tomato, F1 (190 seeds/pack)	                        282	p</t>
  </si>
  <si>
    <t xml:space="preserve"> INVITATION TO BID No. IB-2020-IX-01-01 The Municipality of Sibalom through its Bids &amp; Awards Committee (BAC), invites bidders/contractors to apply for eligibility and to bid for the hereunder project: Project           	 		:	CONSTRUCTION OF FEEDMILL Locat</t>
  </si>
  <si>
    <t xml:space="preserve"> Rehabilitation of Dicatian Oway Bridge</t>
  </si>
  <si>
    <t xml:space="preserve"> OFFICE OF THE BIDS AND AWARDS COMMITTEE (BAC) INVITATION TO BID FOR THE 20-07-597 Upgrading and Improvement of Harab to Sumbacan Road in Barangay Barangiran, Alamada, Cotabato 1.	The Local Government Unit of Alamada, through the DILG-LGSF-AM PROGRAM FY 20</t>
  </si>
  <si>
    <t xml:space="preserve"> Used for Barangay relief during the COVID-19 for Senior Citizens</t>
  </si>
  <si>
    <t xml:space="preserve"> Please see attached associated components &amp; download the complete bidding documents through the linkage below.</t>
  </si>
  <si>
    <t xml:space="preserve"> REQUEST FOR QUOTATION (RFQ) PRINTING OF FLYER ON CLEAN WATER IN THE PHILIPPINES UNDER EMB-EEID RFQ NO. EMB-EEID-SHOPPING-G-112-8-7-2020 2020-0722 1.	The Department of Environment and Natural Resources – Environmental Management Bureau (DENR-EMB) hereinaft</t>
  </si>
  <si>
    <t xml:space="preserve"> " *Snacks and Lunch for four (4) days 117 pax August 13-14, 2020 (Batch 1) 150 pax August 17-18, 2020 (Batch 2) Menu: (Day 1) August 13 and 17, 2020     AM Snacks -  Puto Cheese and Calamansi Juice     Lunch - Sweet &amp; Sour Fish, Ginisang Pako, Chicken Rol</t>
  </si>
  <si>
    <t xml:space="preserve"> 1. The Brgy. Government of Paitan, Sta. Maria, Pangasinan, intends to apply the sum of EightyThousand Pesos (Php.80,000.00) for the concreting of farm to market road at Paitan, Sta. Maria, Pangasinan being the Approved Budget for the Contract (ABC) to pay</t>
  </si>
  <si>
    <t xml:space="preserve"> REQUEST TO SUBMIT PROPOSAL FOR SUPPLY AND DELIVERY OF BROADBAND AND LAPTOPS FOR USE DURING THE BICOL AFC NEW NORMAL ACTIVITIES FOR 2020 UNDER RAFC-PCAF PROGRAM AT APPROVED BUDGET FOR THE CONTRACT AMOUNTING TO ONE HUNDRED FIFTY NINE THOUSAND NINE HUNDRED N</t>
  </si>
  <si>
    <t xml:space="preserve"> Republic of the Philippines Province of Samar Catbalogan City INVITATION FOR NEGOTIATED PROCUREMENT GOODS 2020-024 (NP) SUPPLY AND DELIVERY OF ONE (1) UNIT MOTORCYCLE WITH SIDECAR. The City Government of Catbalogan, through the CY 2020 CEEPO FUND intends </t>
  </si>
  <si>
    <t xml:space="preserve"> PROCUREMENT OFFICE												 Email ad: tonychavezbac1@yahoo.com.ph												 TELEFAX: (055) 2093122												 												 									P. R. No.:	20-08-172		 									RFQ Date:	10-Aug-20		 									ABC:	 ₱94,945.00		 												 REQUEST FOR PRICE QUOT</t>
  </si>
  <si>
    <t xml:space="preserve"> Republic of the Philippines Province of North Cotabato Municipality of Pres. Roxas Barangay Bato-Bato THE BARANGAY LOCAL GOVERNMENT OF BARANGAY BATO-BATO, PRES. ROXAS THRU BARANGAY BIDS AND AWARDS COMMITTEE (BAC) HEREBY INVITES INTERESTED BIDDERS TO APPLY</t>
  </si>
  <si>
    <t xml:space="preserve"> SUBMIT PRICE QUOTATION NOT LATER THAN AUGUST 14, 2020, TO THE MUNICIPAL BAC SECRETARIAT OFFICE, IMBATUG, BAUNGON, BUKIDNON</t>
  </si>
  <si>
    <t xml:space="preserve"> UNIT                       QUANTITY                           DESCRIPTION REAM                        108                                   PAPER MULTIPURPOSE A4 70 GSM, SIZE 8.27" X 11.69"  SET                           34                                </t>
  </si>
  <si>
    <t xml:space="preserve"> Refer to the attached main document pls.</t>
  </si>
  <si>
    <t xml:space="preserve"> Please see attached associated components &amp; download the complete bidding documents through the link below.</t>
  </si>
  <si>
    <t xml:space="preserve"> 46 Pcs Corrugated G.I. Sheet 13 kg Umbrella Nail 20 kg Assorted Crown 4" and 5" 3 L Roof Sealant 10 Pcs Plain G.I. Sheet</t>
  </si>
  <si>
    <t xml:space="preserve"> Supply and Delivery of materials for printing of modules</t>
  </si>
  <si>
    <t xml:space="preserve"> DEADLINE OF SUBMISSION AND OPENING OF BIDS: AUGUST 31, 2020, 10:00 AM VENUE: MUNICIPAL BAC SECRETARIAT OFFICE, IMBATUG, BAUNGON, BUKIDNON</t>
  </si>
  <si>
    <t xml:space="preserve"> Papers and products</t>
  </si>
  <si>
    <t xml:space="preserve"> DEADLINE OF SUBMISSION AND OPENING OF BIDS: AUGUST 31, 2020, 10:00 AM  VENUE: MUNICIPAL BAC SECRETARIAT OFFICE, IMBATUG, BAUNGON, BUKIDNON</t>
  </si>
  <si>
    <t xml:space="preserve"> 4 rolls #12 THHN Wire Stranded 10m flat chord #16 280 pcs. LED Bulb 12 watts 20 pcs. aluminum basin 50 pcs. receptacle 2''x2'' 3 pcs. Receptacle 4''x4'' 8 pcs. circuit Breaker 30A 30 rolls Electrical Tape (Big)</t>
  </si>
  <si>
    <t xml:space="preserve"> Basilan National High School Isabela City,Basilan Sir/Madam ; Please quote your lowest price on the items listed below, send your quote at reykorb29@yahoo.com ITEM ITEM and DESCRIPTION/SPECIFICATIONS/STOCK No. QUANTITY UNIT UNIT AMOUNT No. PRICE 1. Ink CV</t>
  </si>
  <si>
    <t xml:space="preserve"> Pathway : Length=100m ; Width=1.00m ; Thickness=0.10m</t>
  </si>
  <si>
    <t xml:space="preserve"> Request for Qoutation (RFQ) for School Office Supplies and Equipment Consumables 1.	The Agency, through the Annual Budget of 2020 (General Fund) Approved by the sanggunian intends to apply the sum of Php. 205,570.16 being the Approved Budget for the Contr</t>
  </si>
  <si>
    <t xml:space="preserve"> Rehabilitation of Dimapula Bridge</t>
  </si>
  <si>
    <t xml:space="preserve"> Risograph: high speed digital master making/fully automatic printing printing paper weight: 35 gsm to 128 gsm Printing paper size:  295mm x420mm original  paper weight: 50 gsm to 107gsm print speed: 130ppm original type: sheet master making time: approx 3</t>
  </si>
  <si>
    <t xml:space="preserve"> 2000 pcs. Magnetic Shield Box 1/2" - with patent rights. - for 1/2" CI Water Meter - Galvanized Iron sheet body materials - Coated with yellow enamel paint - with window glass for meter reading - protection of water meter against tampering with the use of</t>
  </si>
  <si>
    <t xml:space="preserve"> Republic of the Philippines Province of Palawan Municipality of Narra INVITATION TO BID 1.	The Municipal Government of Narra, through Bids and Awards Committee intends to apply the sum of ONE MILLION SIX HUNDRED THOUSAND PESOS (PHP 1,600,000.00) being the</t>
  </si>
  <si>
    <t xml:space="preserve"> FOR THE USE OF BARANGAY BALITOC</t>
  </si>
  <si>
    <t xml:space="preserve"> Supply,Delivery and Installation of Frosted Sticker fro SEC Bacolod Extension Office</t>
  </si>
  <si>
    <t xml:space="preserve"> Pathway: Length=96.00m ; Width=1.00m ; Thickness=0.10m</t>
  </si>
  <si>
    <t xml:space="preserve"> 1 Unit Laptop Battery Replacement (Dell) 2 Set Ink 003 (BCMY) 1 Pc Flashdrive (OTG) 1 Pc Mouse (Wireless) 2 Ream Bond paper Long 5 Ream Bond Paper Short</t>
  </si>
  <si>
    <t xml:space="preserve"> Toner for photocopier</t>
  </si>
  <si>
    <t xml:space="preserve"> REPUBLIC OF THE PHILIPPINES PROVINCE OF SURIGAO DEL NORTE MUNICIPALITY OF SAN ISIDRO San Isidro, Surigao del Norte Section I. Invitation to Bid  PROCUREMENT OF ONE (1) LOT FUEL, OIL &amp; LUBRICANTS (MAYOR) SUPPLEMENTAL 1.	The Municipal Government of San Isid</t>
  </si>
  <si>
    <t xml:space="preserve"> REQUEST FOR QUOTATION (RFQ) SUPPLY AND DELIVERY OF PLAQUES UNDER EMB-EEID RFQ NO. EMB-EEID-SHOPPING-G-110-8-7-2020 2020-0635 2020-0635 1.	The Department of Environment and Natural Resources – Environmental Management Bureau (DENR-EMB) hereinafter referred</t>
  </si>
  <si>
    <t xml:space="preserve"> school supplies</t>
  </si>
  <si>
    <t xml:space="preserve"> Cement	7	bags Elbow 1/2"	12	piece Elbow 2"	7	piece Faucet	6	piece Grasscutter   -  Gasoline operated / 2 stoke oil	1	unit Hollow Blocks	52	piece Lavatory	6	Unit  Lavatory Pitt Trap	6	piece PVC Pipe 1/2"	12	piece PVC Pipe 2"	7	piece Sand	1 1/2	cu.m. Solven</t>
  </si>
  <si>
    <t xml:space="preserve"> REPUBLIC OF THE PHILIPPINES PROVINCE OF SURIGAO DEL NORTE MUNICIPALITY OF SAN ISIDRO San Isidro, Surigao del Norte 	 Section I. Invitation for Negotiated Procurement (emergency purchase) SUPPLY AND DELIVERY OF 325 PCS COVID-19 RAPID ANTI-BODY TEST KITS 1.</t>
  </si>
  <si>
    <t xml:space="preserve"> Republic of the Philippines Province of Palawan Municipality of Narra INVITATION TO BID 1.	The Municipal Government of Narra, through Bids and Awards Committee intends to apply the sum of FIVE HUNDRED NINETY-FIVE THOUSAND PESOS ONLY  (PHP 595,000.00) bein</t>
  </si>
  <si>
    <t xml:space="preserve"> Flooring with tiles, Roofing, Walling, Ceiling, painting.</t>
  </si>
  <si>
    <t xml:space="preserve"> printer</t>
  </si>
  <si>
    <t xml:space="preserve"> Republic of the Philippines Province of Palawan Municipality of Narra INVITATION TO BID 1.	The Municipal Government of Narra, through Bids and Awards Committee intends to apply the sum of NINE HUNDRED EIGHT THOUSAND PESOS (PHP 908,000.00) being the Approv</t>
  </si>
  <si>
    <t xml:space="preserve"> Rehabilitation of Dibol Bridge</t>
  </si>
  <si>
    <t xml:space="preserve"> Please see attached RFQ for more details. For concerns / queries, you may contact Ms. Glenda through glendapshscarc@gmail.com Quotation may also be submitted to the above-mentioned email.</t>
  </si>
  <si>
    <t xml:space="preserve"> Acetate, G-4 Expanded Folder Press Board, Long Expanded Folder Press Board, Short Ink, Toner for Xerox Machine Magazine File Master Roll Stencil for Rizograph (100 cuts) Ink, Rizograph</t>
  </si>
  <si>
    <t xml:space="preserve"> Electrical, Flourescent Housing Complete Sets, 40 watts Electrical, Flourescent Lamp 40 watts Electrical, Junction Box W/ Cover Electrical, Metal Box "AMCO" Electrical, PVC Amco Box Electrical, PVC Moulding Atlanta 3/4 Diameter Electrical, Starter Electri</t>
  </si>
  <si>
    <t xml:space="preserve"> Republic of the Philippines Province of Palawan Municipality of Narra INVITATION TO BID 1.	The Municipal Government of Narra, through Bids and Awards Committee intends to apply the sum of TWO HUNDRED TWELVE THOUSAND TWO HUNDRED FOUR PESOS AND 75/100 (PHP </t>
  </si>
  <si>
    <t xml:space="preserve"> 100 Bag Cement 1 kg Ass. CWN 4"2"</t>
  </si>
  <si>
    <t xml:space="preserve"> SUPPLY AND DELIVERY 6 UNITS Non-Contact Infrared Thermo Scanner with Tripod Stand Specification 1. Measurement method: No contact with forehead of infrared thermometer 2. Theory: F and C degrees (Fehrenheit and Certigrade) 3. Accuracy tolerance: +/- 0.2 (</t>
  </si>
  <si>
    <t xml:space="preserve"> FOR BARANGAY BALITOC</t>
  </si>
  <si>
    <t xml:space="preserve"> Republic of the Philippines Province of Palawan Municipality of Narra INVITATION TO BID 1.	The Municipal Government of Narra, through Bids and Awards Committee intends to apply the sum of TWO HUNDRED TWENTY-NINE THOUSAND ONE HUNDRED SEVENTY-THREE PESOS AN</t>
  </si>
  <si>
    <t xml:space="preserve"> Oriental Mindoro National High School (OMNHS) invites interested bidders/suppliers for the photocopy (riso) of JHS and SHS modules (1,285,960 copies).  You may submit your letter of intent and quotation on or before August 13, 2020 at 10:00 A.M. to: RONNI</t>
  </si>
  <si>
    <t xml:space="preserve"> The SANGGUNIANG BARANGAY OF BARANGAY CALE, TANAUAN CITY, BATANGAS, through the Barangay Operating Budget 2020 intends to apply the sum of Fifty Thousand Pesos Only (Php 50,000.00 ) being the Approved Budget of the Contract (ABC) to payment under the Provi</t>
  </si>
  <si>
    <t xml:space="preserve"> SUPPLY AND DELIVERY 10 UNITS ALCOHOL DISPENSER (foot pressed) SPECIFICATIONS: steel frame, black or silver color, adjustable height, hands-free, no power needed, easy to operate Note: Attached latest copy of the following documents (PDF or JPEG format): 1</t>
  </si>
  <si>
    <t xml:space="preserve"> Republic of the Philippines Province of Davao del Sur Municipality of Matanao 	     BARANGAY CAMANCHILES 	INVITATION TO BID (Re-Bid)	 The Barangay Government of Camanchiles, Matanao, Davao del Sur through its Bids and Awards Committee (BAC), invites suppl</t>
  </si>
  <si>
    <t xml:space="preserve"> The bidding is a 1 lot bid of laboratory Equipment particularly 1 unit of Blood Culture Machine with an ABC of 700,000.00. Specification: •	*Detection of blood – borne pathogens to diagnose the bacteraemia and sepsis; •	*Optional capacity of 16 culture bo</t>
  </si>
  <si>
    <t xml:space="preserve"> Cement Tile Adhesive ACO Sand CHB #4 Tiles, Ceramic 60cm x 60cm Paint, Semi Gloss Latex Paint, Flat Latex QDE White QDE Chocolate Brown Acri Color Hanza Yellow Acri Color Hanza  Raw  Siena Paint, Brush #7 w/ Handle Baby Roller w/ Handle Baby Roller Cotton</t>
  </si>
  <si>
    <t xml:space="preserve"> UNIT           QUANTITY          DESCRIPTION REAM               261               BOND PAPER, A4, SUBSTANCE 20, 70 GSM BOTTLE              14               INK, EPSON T6641 BLACK BOTTLE              30               INK, EPSON 003 BLACK PACK              </t>
  </si>
  <si>
    <t xml:space="preserve"> 2        UNIT        AIRCON 2.5HP (SPLIT TYPE) WITH REMOTE AND INSTALLATION WITHIN 10FT (HEAVY DUTY) 1        UNIT        AIRCON 2.5HP (WINDOW TYPE) MANUAL-HEAVY DUTY</t>
  </si>
  <si>
    <t xml:space="preserve"> APR</t>
  </si>
  <si>
    <t xml:space="preserve"> The SANGGUNIANG BARANGAY OF BARANGAY CALE, TANAUAN CITY, BATANGAS, through the Barangay Operating Budget 2020 intends to apply the sum of Ten Thousand Pesos Only (Php 10,000.00 ) being the Approved Budget of the Contract (ABC) to payment under the Provisi</t>
  </si>
  <si>
    <t xml:space="preserve"> Republic of the Philippines Province of Bukidnon MUNICIPALITY OF BAUNGON Invitation to Bid for Construction of Baungon Municipal Hall @ Baungon, Bukidnon 1.	The Municipal Government of Baungon, Bukidnon, through the Budget for the Contract approved by the</t>
  </si>
  <si>
    <t xml:space="preserve"> Republic of the Philippines Province of Isabela LOCAL GOVERNMENT UNIT OF BENITO SOLIVEN INVITATION TO BID FOR THE PROCUREMENT OF MEDICAL AND LABORATORY EQUIPMENT 1.	The Municipal Government of Benito Soliven, intends to apply the sum of Five Hundred Sixty</t>
  </si>
  <si>
    <t xml:space="preserve"> 70       PC        LED LIGHT, 20W (GRIN) 65       PC        LED LIGHT, 15W (GRIN) 55       PC        BULB RECEPTACLE (PVC) 4" 35       PC        BULB RECEPTACLE (RUBBERIZED) 25       ROLL    ELECTRICAL TAPE, BIG (3M) 6         PC        DOWN LIGHT "Ø 8   </t>
  </si>
  <si>
    <t xml:space="preserve"> 4 pcs. tire 235/75 R15, 4 pcs. Tire 195R1 15 1pc. oil filter, 1 set rain visor, 1 pc. oil filter H200W10, 1 pc. fuel filter SFC-29020, 1 pc. oil filter C-III, 2 pcs. Spark plug BPRGE 1 set front brake pads</t>
  </si>
  <si>
    <t xml:space="preserve"> 3330         LTR           DIESEL FUEL</t>
  </si>
  <si>
    <t xml:space="preserve"> UNIT                         QUANTITY                       DESCRIPTION REAM                             300                           BONDPAPER, A4 SIZE, 80 GSM                   SET                                  20                           INK CART,</t>
  </si>
  <si>
    <t xml:space="preserve"> purchase of 1-unit motorcycle with sidecar ( kulong-kulong )..</t>
  </si>
  <si>
    <t xml:space="preserve"> Please submit you Quotation on or before Aug 20, 2020.</t>
  </si>
  <si>
    <t xml:space="preserve"> Paint, Semi Gloss Latex Paint, Flat Latex QDE White QDE Chocolate Brown Acri Color Hanza Yellow Acri Color Hanza  Raw  Siena Paint, Brush #7 w/ Handle Baby Roller w/ Handle Baby Roller Cotton Paint, Brush 2" Paint Brush # 3" Sandpaper  #120 Paint, Polituf</t>
  </si>
  <si>
    <t xml:space="preserve"> INVITATION TO BID The Municipality of San Nicolas, Pangasinan through its Bids and Awards Committee (BAC), invites contractors registered with and classified by the Philippine Contractors Accreditation Board (PCAB) to apply for eligibility and if found el</t>
  </si>
  <si>
    <t xml:space="preserve"> 2	SET	HYD. CYLINDER REPAIR KIT	 1	SET	BRAKE SHOE ASSY	 1	PC	CROSS JOINT (GARBAGE COMPACTOR)	 2	PC	TIE ROD END	 2	PC	BRAKE HOSE	 2	PC	SHOCK ABSORBER	 2	PC	CHANNEL BAR #6	 4	GAL	GALVA COAT PRIMER	 4	GAL	ACRYLIC THINNER	 4	GAL	BODY FILTER GLASURIT	 4	BOX	WEL</t>
  </si>
  <si>
    <t xml:space="preserve"> 2220         LTR          DIESEL FUEL</t>
  </si>
  <si>
    <t xml:space="preserve"> expandable tote bag 12X10X14 Inches</t>
  </si>
  <si>
    <t xml:space="preserve"> Riprapping with Concreting of Road At Block 269, Barangay Sta. Cruz III</t>
  </si>
  <si>
    <t xml:space="preserve"> Construction of Open Canal at Near Tablate Residence, Barangay Sta. Cruz III</t>
  </si>
  <si>
    <t xml:space="preserve"> CONTACT PERSON: MR ABDON BACAYANA, School Principal - 0917 701 3068  6 units Printer PRODUCT NAME 3 in 1 printer PRODUCT CODE -------------------- PROPERTIES   Paper Size 8.5” x 13”, 100 mm x 148 mm, 195 mm x 270 mm, 4 x 6", 5 x 7", A4, A6, B5, B6, C6, DL</t>
  </si>
  <si>
    <t xml:space="preserve"> Continuation of Construction of Railings and Foot-step At back of BBD Elem. school, Barangay Sta. Cruz III</t>
  </si>
  <si>
    <t xml:space="preserve"> 2 unit Laptop - intel core i7 - 1050u processor, 8GB memory, 512GB solid state drive, 14 inch display, windows 10 1 unit Wireless all in one Printer - printer type: print, scan copy with ADF compact integrated tank design, print speed up to 15ipm for blac</t>
  </si>
  <si>
    <t xml:space="preserve"> Republic of the Philippines Province of Palawan Municipality of Narra INVITATION TO BID 1.	The Municipal Government of Narra, through Bids and Awards Committee intends to apply the sum of TWO HUNDRED FIFTY THOUSAND PESOS (PHP 250,000.00) being the Approve</t>
  </si>
  <si>
    <t xml:space="preserve"> Republic of the Philippines Province of Palawan Municipality of Narra INVITATION TO BID 1.	The Municipal Government of Narra, through Bids and Awards Committee intends to apply the sum of ONE MILLION FOUR HUNDRED THOUSAND PESOS (PHP 1,400,000.00) being th</t>
  </si>
  <si>
    <t xml:space="preserve"> Construction of Open Canal At Block 82, Barangay Sta. Cruz III</t>
  </si>
  <si>
    <t xml:space="preserve"> Republic of the Philippines   Municipality of Sual BIDS AND AWARDS COMMITTEE Sual, Pangasinan   Invitation to Bid for Construction of Three (3) Units Potable Water Supply System Level 3 Camagsingalan, Bolaoen &amp; Sto. Domingo, Sual, Pangasinan 1.	The Munici</t>
  </si>
  <si>
    <t xml:space="preserve"> REQUEST FOR QUOTATION (RFQ) SUPPLY AND DELIVERY OF SUBLIMATION LONG SLEEVE WITH DESIGN FOR THE ORIENTATION CARAVAN FOR BATTLE FOR MANILA BAY AND PARAÑAQUE RIVER SYSTEM REHABILITATION UNDER EMB-EEID RFQ NO. EMB-EEID-SHOPPING-G-111-8-7-2020 2020-0218 1.	The</t>
  </si>
  <si>
    <t xml:space="preserve"> REQUEST TO SUBMIT PROPOSAL FOR SUPPLY AND DELIVERY OF 481 BAGS RICE (WELL MILLED, WHOLE GRAIN, 25 KLS/BAG) FOR DISTRIBUTION TO DA-RFO 5 CONTRACT OF SERVICE/JOB ORDER/ PAKYAW WORKERS DURING ECQ PER A.O, #12 DATED 13 APRIL 2020 AT APPROVED BUDGET FOR THE CO</t>
  </si>
  <si>
    <t xml:space="preserve"> Aluminum Magnesium Hydroxide (100 tabs/box ) Cetirizine  10 mg tablet (100 tabs/box ) Disposable Gloves  (50 pairs/box ) Oral Rehydration  Salt ( Hydrite )  (25 tabs/box ) White Flower #4 Efficasent Oil  (100 ml) Gauze Pads (100 pcs/box ) Micropore Tape 1</t>
  </si>
  <si>
    <t xml:space="preserve"> To be installed in different isolation facilities. 60 pcs. Ceiling Mounted Wifi PoE Access Point 17 pcs. Management 8 Port 10/100/11000Mbps PoE Ethernet Switch 2 bxs. UTP Ethernet Cable Cat5E Pure Copper 305m 1000ft Grey UTP Lan Cable Cat5 Color White 200</t>
  </si>
  <si>
    <t xml:space="preserve"> Republic of the Philippines Province of Iloilo Municipality of Lambunao Office of the Bids &amp; Awards Committee INVITATION TO BID Name of Project: Completion of Health Station (One Job) Location:  Brgy. Caninguan,Lambunao, Iloilo ABC: Php 499,989.49 (Suppli</t>
  </si>
  <si>
    <t xml:space="preserve"> Republic of the Philippines Province of Iloilo Municipality of Lambunao Office of the Bids &amp; Awards Committee INVITATION TO BID Name of Project: Purchase of Medical Supplies nad Medicines for the use of RHU Location: Lambunao, Iloilo ABC: Php 300,000.00 (</t>
  </si>
  <si>
    <t xml:space="preserve"> CONCRETING OF 0.15m thk. x4.0m x87 i.m PCCP w/ 0.60m x 0.60m x 6.i.m Box Culvert 418 bags Portland cement 53 cu.m washed gravel 27 cu.m. washed sand 16 pcs. 2''x6''x12' form lumber 12 pcs. 10mm dia. x 6.0m RSB 12 pcs. 12mm dia. x 6.0m RSB 45 pcs. 12mm dia</t>
  </si>
  <si>
    <t xml:space="preserve"> Republic of the Philippines Province of Nueva Ecija Municipality of Cuyapo OFFICE OF THE BIDS AND AWARDS COMMITTEE REQUEST FOR QUOTATION The Municipal Government of Cuyapo, Nueva Ecija  , through its Bids and Awards Committee, shall undertake procurement </t>
  </si>
  <si>
    <t xml:space="preserve"> Republic of the Philippines Province of Northern Samar MUNICIPALITY OF PAMBUJAN BIDS AND AWARDS COMMITTEE INVITATION TO BID  FOR THE  SUPPLY AND DELIVERY OF LIVESTOCK AND POULTRY FOR REHABILITATION OF TD-USMAN VICTIMS The Local Government Unit of Pambujan</t>
  </si>
  <si>
    <t xml:space="preserve"> Construction of 30 I.m. flood control dike 1.	60 sq.m. Clearing Works  2.	14.40 cu.m. Excavation Works 3.	37.80 cu.m. Concrete Works  4.	1 ea Project Billboard/Signboard</t>
  </si>
  <si>
    <t xml:space="preserve"> Republic of the Philippines Province of Northern Samar MUNICIPALITY OF PAMBUJAN BIDS AND AWARDS COMMITTEE INVITATION TO BID  FOR THE  SUPPLY AND DELIVERY OF OFFICE EQUIPMENT FOR MPDC The Local Government Unit of Pambujan, Province of Northern Samar throug</t>
  </si>
  <si>
    <t xml:space="preserve"> See Attached</t>
  </si>
  <si>
    <t xml:space="preserve"> Republic of the Philippines Province of Northern Samar MUNICIPALITY OF PAMBUJAN BIDS AND AWARDS COMMITTEE INVITATION TO BID  FOR THE  PROCUREMENT OF ONE UNIT BRAND NEW AMBULANCE (PICK UP) NOT AVAILABLE IN DBM-PS The Local Government Unit of Pambujan, Prov</t>
  </si>
  <si>
    <t xml:space="preserve"> 784 reams of long bond paper, sub 20, 70 gsm</t>
  </si>
  <si>
    <t xml:space="preserve"> Various groceries and supplies...</t>
  </si>
  <si>
    <t xml:space="preserve"> Republic of the Philippines Region XII Province of Cotabato BIDS AND AWARDS COMMITTEE Amas, Kidapawan City INVITATION TO BID FOR Supply &amp; Delivery of Office Equipment for distribution to different barangay/recipients of the province . (PB-20-443) 1.	The P</t>
  </si>
  <si>
    <t xml:space="preserve"> Republic of the Philippines Region XII Province of Cotabato BIDS AND AWARDS COMMITTEE Amas, Kidapawan City INVITATION TO BID FOR Supply &amp; Delivery of Food Supplies for Provincial Governor’s Office, Amas, Kidapawan City . (PB-20-442) 1.	The Provincial Gove</t>
  </si>
  <si>
    <t xml:space="preserve"> Republic of the Philippines Region XII Province of Cotabato BIDS AND AWARDS COMMITTEE Amas, Kidapawan City INVITATION TO BID FOR Supply of Petroleum Products for RP vehicles use in the conduct of various support programs of Provincial Governor’s Office, A</t>
  </si>
  <si>
    <t xml:space="preserve"> PPE, Surgical Mask, hard hats, reflector vest</t>
  </si>
  <si>
    <t xml:space="preserve"> Food and Venue for the 2020 Census of Population and Housing 4th Level Training in Padre Burgos, So. Leyte 2020 CENSUS OF POPULATION &amp; HOUSING 4th LEVEL TRAINING		 				 	August 17 - 22, 2020		 			          Venue &amp; Food			 			 	August 17, 2020 (Monday)	20 </t>
  </si>
  <si>
    <t xml:space="preserve"> TERMS and CONDITIONS:	 1. All entries must be typewritten or legibly written.	 2. Delivery period within 15 W.D. upon receipt of the approved funded Purchased Order (P.O.) Administrative penalties pursuant to Sec. 69 of the Revised IRR-RA 9184 shall be im</t>
  </si>
  <si>
    <t xml:space="preserve"> Republic of the Philippines Region XII Province of Cotabato BIDS AND AWARDS COMMITTEE Amas, Kidapawan City INVITATION TO BID FOR Supply &amp; Delivery of Hardware Supplies for distribution to different barangay/recipients of the province . (PB-20-444) 1.	The </t>
  </si>
  <si>
    <t xml:space="preserve"> Supplies for 2020 CPH (Face shields and masks) 700 pcs Safety face shield, face visor with anti-fog transparent plastic, in individual box 7000 pcs surgical masks (3ply, good quality) subject to withholding tax</t>
  </si>
  <si>
    <t xml:space="preserve"> 1) 14 rolls - SDR PE Pipe 1  1/2" (60m/roll) 2) 6 rolls - SDR Pipe 1/2"  (300m/roll) 3) 6 rolls - SDR Pipe 1" (100m/roll) 4) 13 pcs. - SDR PE Pipe Coupling  1  1/2" 5) 6 pcs. - SDR PE Pipe Coupling 1" 6) 2 pc. - SDR Pipe Coupling reducer 2x1/2" 7) 6 pcs. </t>
  </si>
  <si>
    <t xml:space="preserve"> See attached supporting bid documents</t>
  </si>
  <si>
    <t xml:space="preserve"> INVITATION TO BID FOR  SUPPLY AND DELIVERY OF SEVEN (7) UNITS DIGITAL PRINTING/DUPLICATING  MACHINE FOR VARIOUS COLLEGES (FOR  INSTRUCTIONAL DELIVERY VIA FLEXIBLE  LEARNING MODALITIES) 1.	The SAMAR STATE UNIVERSITY, through the IGF-Use of Income FY 2020 i</t>
  </si>
  <si>
    <t xml:space="preserve"> EMERGENCY SUPPLIES FOR COVID PREPAREDNESS</t>
  </si>
  <si>
    <t xml:space="preserve"> - assorted printing services</t>
  </si>
  <si>
    <t xml:space="preserve"> Flu Vaccine for JHS &amp; SHS Teaching &amp; non-Teaching Personnel * 63 flu vaccine (vial) with free administering fee 46 Junior High School staff 17 Senior High School staff</t>
  </si>
  <si>
    <t xml:space="preserve"> - assorted office equipment, supplies &amp; consumables</t>
  </si>
  <si>
    <t xml:space="preserve"> - assorted construction materials &amp; supplies</t>
  </si>
  <si>
    <t xml:space="preserve"> Printing/Reproduction of Learning Modules 7 set of Printer  846 Ream A4 Bond Paper  25 pcs Stapler  50 boxes Staple wire  100 Bottle Ink Refill (Black)  50 Bottle Ink Refill (Blue)  50 Bottle Ink Refill (Yellow)  50 Bottle Ink Refill (Red)</t>
  </si>
  <si>
    <t xml:space="preserve"> Republic of the Philippines Office of the Municipal mayor BIDS AND AWARDS COMMITTEE Pasuquin, Ilocos Norte INVITATION TO BID FOR  Purchase of Services Vehicle 1.	The LGU-PASUQUIN, through the GENERAL FUND CY 2020,  intends to apply the sum of P 3,000,000.</t>
  </si>
  <si>
    <t xml:space="preserve"> Republic of the Philippines Province of Palawan Municipality of Narra INVITATION TO BID 1.	The Municipal Government of Narra, through Bids and Awards Committee intends to apply the sum of ONE MILLION NINE HUNDRED TWENTY-ONE THOUSAND FOUR HUNDRED FORTY PES</t>
  </si>
  <si>
    <t xml:space="preserve"> INVITATION TO BID   (Negotiated Procurement under Two Failed Bidding) The BFAR 08, through its Bids and Awards Committee (BAC), invites eligible suppliers to bid for the hereunder contract:	 NAME OF CONTRACT: 20-05-0545 Supply and Delivery of Materials fo</t>
  </si>
  <si>
    <t xml:space="preserve"> Republic of the Philippines Province of Zambales MUNICIPALITY OF MASINLOC OFFICE OF THE BIDS AND AWARDS COMMITTEE INVITATION TO BID The Municipality of Masinloc, Province of Zambales, through its Bids and Awards Committee (BAC), invites suppliers/Manufact</t>
  </si>
  <si>
    <t xml:space="preserve"> Hypo-chlorite Granules 45kls-70G-Japan</t>
  </si>
  <si>
    <t xml:space="preserve"> Procurement of 250 pcs. Water Meter 1/2"dia complete with tail piece ISO 4064 Qn 1.5 cu.m/h Class B Dry Type</t>
  </si>
  <si>
    <t xml:space="preserve"> 1500 ream Mimeographing Paper, White Short 21 pc Flash Drive, 32 GB</t>
  </si>
  <si>
    <t xml:space="preserve"> Computer Printer 3-in-1	4	unit Print, Copy, Scan		 Colour Inkjet Printer		 Up to 12/6 ipm (ISO)		 150 sheets default paper tray		 Manual feed slot		 1 Line LCD		 Wireless connectivity		 xxxxNothing Followsxxxx</t>
  </si>
  <si>
    <t xml:space="preserve"> INVITATION TO BID (Negotiated Procurement under Two Failed Bidding) The BFAR 08, through its Bids and Awards Committee (BAC), invites eligible suppliers to bid for the hereunder contract: NAME OF CONTRACT: 20-05-0550 Supply and Delivery of Materials for A</t>
  </si>
  <si>
    <t xml:space="preserve"> Elastic Bandage: 2" Elastic Bandage: 3" Elastic Bandage: 4" Adhesive: Bandage 1x10" Adhesive: Bandage 2x10" Adhesive: Bandage 1.5x10" Triangular Bandage: - Cotton Balls: in canister 9 90.00 pcs Splint: - Instant Hot Pack: - Emergency Blanket: - Instant Co</t>
  </si>
  <si>
    <t xml:space="preserve"> Spine Board: with Strap Trauma Kit Bag: - Thermal Scanner: with Battery Apparatus: with Stethoscope Pulse Oximeter: - Wheel Chair: - Glucometer: with strips</t>
  </si>
  <si>
    <t xml:space="preserve"> Air conditioner: 3.0TR Floor Mounted Inverter with Remote Control including cost of Installation, excess copper pipes</t>
  </si>
  <si>
    <t xml:space="preserve"> Printer Ink: Brother DCP-TC300 Printer Ink: Epson L3110 (CMYK) Printer Ink: for VP600 Color Label Printer: Cyan Printer Ink: for VP600 Color Label Printer: Magenta Printer Ink: for VP600 Color Label Printer: Yellow Printer Ink: for VP600 Color Label Print</t>
  </si>
  <si>
    <t xml:space="preserve"> ELECTRICAL WIRING, LIGHTING, MAIN SERVICE</t>
  </si>
  <si>
    <t xml:space="preserve"> various Materials for the Repair/Improvement/Painting of QPPO Building</t>
  </si>
  <si>
    <t xml:space="preserve"> Invitation to Submit Quotation Date:  August 06, 2020 Canvass/Quotation No.: 2020-08-093  	 To All Eligible Service Providers/Bidders I. Please quote your lowest price inclusive of VAT on the items/ listed below, subject to the Terms and Conditions of thi</t>
  </si>
  <si>
    <t xml:space="preserve"> BCES- July 2020</t>
  </si>
  <si>
    <t xml:space="preserve"> 35 PCS OF MOBILE LOAD</t>
  </si>
  <si>
    <t xml:space="preserve"> Knder-6,018 copies Grade 1-66, 450 copies Grade 2-112,320 copies Grade 3-101,840 copies Grade 4-73,305 copies Grade 5-79,395 copies Grade 6- 105.040 copies Note/Instructions: Paper Size: A4 Thickness: 80gsm, white Printing: Back to Back School will provid</t>
  </si>
  <si>
    <t xml:space="preserve"> Meals and Snacks: (Batch 1) (15 pax X 3 Days) Am Snack: Ham &amp; Cheese Sandwich, Bottled Water Lunch: Steamed Rice, Crab &amp; Corn Soup, Baby Back Ribs, Chicken Gordon Bleu, 	Chopsuey, Fruit Salad, Bottled Water PM Snack: Pancit Lucban with turon, Calamansi Ju</t>
  </si>
  <si>
    <t xml:space="preserve"> I.PURCHASED OF COVID-19 RESPONSE ITEMS  Liquid soap pcs 27  Doormat/Foothbath pcs 23  Lenoleum pcs 27  Alcohol /sanitizing gel gal. 12  Chlorine kl. 10  Spray Empty Bottle pcs 23  Docktape pcs 10</t>
  </si>
  <si>
    <t xml:space="preserve"> Meals and Snacks: (Batch 1) (25 pax X 4 Days) AM Snack: Arrozcaldo with Egg, Bottled Water Lunch: Steamed Rice, Vegetables Soup, Tonkatsu, Torta Congrejo, Bihon Guisado, Fruit Salad, Bottled Water PM Snacks: Toasted Siopao, Calamansi Juice Meals and Snack</t>
  </si>
  <si>
    <t xml:space="preserve"> Republic of the Philippines Office of the Municipal mayor BIDS AND AWARDS COMMITTEE Pasuquin, Ilocos Norte INVITATION TO BID FOR  Purchase of Books 1.	The LGU-PASUQUIN, through the SEF CY 2020,  intends to apply the sum of P 1,092,434.00 being the Approve</t>
  </si>
  <si>
    <t xml:space="preserve"> Meals and Snacks: (Batch 1) (20 pax X 2 Days) Am Snack: Ham &amp; Cheese Sandwich/Bottled Water Lunch: Steamed Rice, Crab &amp; Corn Soup, Baby Back Ribs ,Chicken Cordon Bleu, 	Chopsuey, Fruit Salad, Bottled Water PM Snack: Pancit Lucban with turon, Calamansi Jui</t>
  </si>
  <si>
    <t xml:space="preserve"> INVITATION TO BID FOR  SUPPLY AND DELIVERY OF ONE (1) SET  PRINTING PRESS SET-UP 1.	The SAMAR STATE UNIVERSITY, through the IGF-Use of Income FY 2020 intends to apply the sum of Four Million Five Hundred Thousand Pesos (PhP4,500,000.00) being the Approved</t>
  </si>
  <si>
    <t xml:space="preserve"> Rehabilitation/Construction of Drainage System in Libod Poblacion, Bato, Catanduanes 1. 112 bags Portland Cement 2. 9 cu.m. Sand 3. 10 cu.m. Gravel 4. 494 bags 4"CHB 5. 125 pcs 10mm diam x 6.0m RSB 6. 12 pcs Tire Wire 7. 10 pcs Pail 8. 12 pcs Ordinary Ply</t>
  </si>
  <si>
    <t xml:space="preserve"> Labor and Materials :   20 pcs. - Tarpaulin 20x20                     - heavy duty, with rings all sides For the use of the City of Talisay.</t>
  </si>
  <si>
    <t xml:space="preserve"> TERMS and CONDITIONS:	 1. All entries must be typewritten or legibly written.	 2. Delivery period within 30 W.D. upon receipt of the approved funded Purchased Order (P.O.) Administrative penalties pursuant to Sec. 69 of the Revised IRR-RA 9184 shall be im</t>
  </si>
  <si>
    <t xml:space="preserve"> Republic of the Philippines Region XII Province of Cotabato BIDS AND AWARDS COMMITTEE Amas, Kidapawan City INVITATION TO BID FOR Supply &amp; Delivery of Engineering Laboratory Equipment &amp; Water Drilling Equipment/Supplies for Provincial Engineer’s Office, Am</t>
  </si>
  <si>
    <t xml:space="preserve"> Republic of the Philippines Province of Iloilo Municipality of Lambunao Office of the Bids &amp; Awards Committee INVITATION TO BID/ REQUEST FOR PRICE QUOTATION Name of Project: Purchase of Materials for the Construction of Lined Canal, DAR ADB Road Location:</t>
  </si>
  <si>
    <t xml:space="preserve"> Republic of the Philippines                                                 Province of Samar Local Government Unit Municipality of Basey Invitation to Bid 7164655/LGUBS-GD-20-1376 PROCUREMENT OF ESSENTIAL MEDICINES FOR MHO/RURAL HEALTH UNIT, BASEY, SAMAR</t>
  </si>
  <si>
    <t xml:space="preserve"> Repair of Classrooms Batch 2 of Mandaluyong Addition Hills Elementary School, Mandaluyong Elementary School, Doña Pilar C. Gonzaga Elementary School, Mandaluyong High School, Isaac Lopez Integrated School and Eulogio Rodriguez Integrated School, CY 2020 B</t>
  </si>
  <si>
    <t xml:space="preserve"> Republic of the Philippines Province of Agusan del Sur MUNICIPALITY OF PROSPERIDAD BARANGAY AURORA BIDS AND AWARDS COMMITTEE INVITATION TO BID NO. 2020-002 The Barangay Government of Aurora, Prosperidad, Agusan del Sur, through its Bids and Awards Committ</t>
  </si>
  <si>
    <t xml:space="preserve"> Republic of the Philippines Office of the Municipal mayor BIDS AND AWARDS COMMITTEE Pasuquin, Ilocos Norte INVITATION TO BID FOR  Purchase of Farm Equipment  1.	The LGU-PASUQUIN, through the EDF CY 2019 and 2020,  intends to apply the sum of P 292,060.00 </t>
  </si>
  <si>
    <t xml:space="preserve"> GI Pipe 1 1/4 dia x 20 sch 40 - 6 pcs.  GI Pipe 1 1/2 dia x 20 sch 40 - 3 pcs.  GI Pipe 2' dia x 20 sch 40- 6 pcs. GI Pipe 3' dia x 20 sch 40 - 3 pcs.  Welding Rod- 7 kls.  Machine Bolt S/B' dia. x 4" with knot &amp; washer- 12 pcs.  washed sand- 3 c.m  Scree</t>
  </si>
  <si>
    <t xml:space="preserve"> RIPRAPPING OF THE SLOPE AREA AROUND MULTI-PURPOSE HALL. 150 BAGS CEMENT 15 CU.M. SAND 70 CU.M/ BOULDER 13 LENGTH PVC PIPE, 2"DIA. 1 L.S. MISC.AND HARDWARES</t>
  </si>
  <si>
    <t xml:space="preserve"> Rebid of the Provision of Security Services of People’s Television Network, Inc.(PTNI) Manila Office and its Provincial Station</t>
  </si>
  <si>
    <t xml:space="preserve"> MATERIALS SUPPLY</t>
  </si>
  <si>
    <t xml:space="preserve"> UNIT      QUANTITY          DESCRIPTION REAM          360                A4 BOND PAPER SUBSTANCE 20 PIECES         19                 STAPLER #35 BOX              9                   STAPLE WIRE #35 PIECES         601               EXPANDABLE ENVELOP PLAS</t>
  </si>
  <si>
    <t xml:space="preserve"> INVITATION TO BID  The Department of Education (DepED) Alaminos City Schools Division Office, through the CY 2020 Government Appropriations Act (GAA), intends to apply the sum of _Four Million One Hundred Four Three Thousand Three Hundred Fifteen Pesos  (</t>
  </si>
  <si>
    <t xml:space="preserve"> REPUBLIC OF THE PHILIPPINES PROVINCE OF CEBU MUNICIPALITY OF PINAMUNGAJAN Invitation to Bid for:  CONCRETING OF FLOORING OF COVERED COURTS 	(Covered Courts at Brgys. Tupas,  Busay,  Butong, Guimbawian &amp; Sibago) 1.The MUNICIPALITY OF PINAMUNGAJAN, through </t>
  </si>
  <si>
    <t xml:space="preserve"> Purchase of Various Office Supplies</t>
  </si>
  <si>
    <t xml:space="preserve"> 2 sets pANEL DOOR (2/1 X 0.90M) WITH JAMBS AND CONCRETE ACCESSORIES 1 SET Glass Door with Alum. Frames w/ complete accessories (0.90 x 2.1m) 148 Floor tiles 24 x 24 4 bags Tile Grout 18 bags Tile Adhesive 14 bags Cement 3 cu.m Sand</t>
  </si>
  <si>
    <t xml:space="preserve"> 1.Book Cover w/ bolt, 23cm x 29cm 180 pcs 2. Bookpaper, 70 gsm, A3 20 reams 3. Bookpaper, 70 gsm, A4 100 reams 4. Bookpaper, 70 gsm, Legal 35 reams 5. Epson Ink, 001 Black 60 btls 6. Epson Ink, 001 Yellow 5 btls 7. Epson Ink, 001 Magenta 5 btls 8. Epson I</t>
  </si>
  <si>
    <t xml:space="preserve"> Printing of modules for learners from kinder to Grade 6 for 2 weeks.</t>
  </si>
  <si>
    <t xml:space="preserve"> PURCHASE OF COMMON AND COMMON SUPPLIES</t>
  </si>
  <si>
    <t xml:space="preserve"> REPUBLIC OF THE PHILIPPINES DEPARTMENT OF FINANCE BUREAU OF INTERNAL REVENUE National Office, Diliman, Quezon City             August 7, 2020 INVITATION TO BID PUBLIC BIDDING NO.  2020-32 (GOODS)   1.	The   Bureau   of   Internal     Revenue – National Of</t>
  </si>
  <si>
    <t xml:space="preserve"> Republic of the Philippines Region XII Province of Cotabato BIDS AND AWARDS COMMITTEE Amas, Kidapawan City INVITATION TO BID FOR Supply &amp; Delivery of Veterinary Supplies for Rabies Eradication Program of the Office of the Provincial Veterinarian, Amas, Ki</t>
  </si>
  <si>
    <t xml:space="preserve"> Republic of the Philippines Municipality of Bacacay Province of Albay INVITATION TO BID FOR THE SUPPLY AND DELIVERY OF DROPSIDE TRUCK 1. The Municipality of Bacacay, through the General Fund, intends to apply the sum of One Million Two Hundred Forty Thous</t>
  </si>
  <si>
    <t xml:space="preserve"> Republic of the Philippines Province of Iloilo Municipality of Lambunao Office of the Bids &amp; Awards Committee INVITATION TO BID/ REQUEST FOR PRICE QUOTATION Name of Project: Location: Lambunao, Iloilo ABC: Php (Supplier’s Name and Office Address) Please q</t>
  </si>
  <si>
    <t xml:space="preserve"> Republic of ther Philippines Province of Ilocos Sur Municipality of San Juan OFFICE OF THE BIDS AND AWARDS COMMITTEE INVITATION FOR ELIGIBILITY AND TO BID The Barangay Nagsabaran,San Juan,Ilocos Sur through the Bids and Awards Committee(BAC) invites suppl</t>
  </si>
  <si>
    <t xml:space="preserve"> OSMEÑA 03-2020 - Installation of Solar-Powered LED Streetlights</t>
  </si>
  <si>
    <t xml:space="preserve"> GRADE 12 SUBJECTS FIRST SEM.	TOTAL # OF STUDENTS	NUMBER OF COPIES 1. HOPE 3	ALL	100 2. Filipino sa Piling Larang	ALL	100 3. Oral Communication	ALL	100 4. Food and Beverages Services	GAS	16 5. Practical Research 2	ALL	100 6. Personal Development	ALL	100 7.</t>
  </si>
  <si>
    <t xml:space="preserve"> see link below on "Other Information" for the RFQ and the Price Quotation Form/Abstract</t>
  </si>
  <si>
    <t xml:space="preserve"> Republic of the Philippines Office of the Municipal mayor BIDS AND AWARDS COMMITTEE Pasuquin, Ilocos Norte INVITATION TO BID FOR  MGPIN-2020-08-083 -Purchase of Materals for Assistance to Zanjera for the Rehabilitation of Communal Irrigation Systems 1.	Th</t>
  </si>
  <si>
    <t xml:space="preserve"> Republic of the Philippines Region XII Province of Cotabato BIDS AND AWARDS COMMITTEE Amas, Kidapawan City INVITATION TO BID FOR Supply &amp; Delivery of Medicines for Arakan Valley District Hospital, Antipas, Cotabato. (PB-20-437) 1.	The Provincial Governmen</t>
  </si>
  <si>
    <t xml:space="preserve"> Republic of the Philippines Province of Surigao del Sur MUNICIPALITY OF CANTILAN REQUEST FOR QUOTATION The Local Government Unit of Cantilan, Surigao del Sur, through its Bids and Awards Committee (BAC), will undertake a Small Value Procurement for the Su</t>
  </si>
  <si>
    <t xml:space="preserve"> To be used for School Modules</t>
  </si>
  <si>
    <t xml:space="preserve"> Republic of the Philippines Province of Ilocos Sur Municipality of San Juan OFFICE OF THE BIDS AND AWARDS COMMITTEE INVITATION FOR ELIGIBILITY AND TO BID The Barangay Nagsabaran,San Juan,Ilocos Sur through the Bids and Awards Committee(BAC)invites supplie</t>
  </si>
  <si>
    <t xml:space="preserve"> Republic of the Philippines Province of Ilocos Sur Municipality of San Juan OFFICE OF THE BIDS AND AWARDS COMMITTEE INVITATION FOR ELIGIBILITY AND TO BID The Barangay Nagsabaran,San JUan,Ilocos Sur through the Bids and awards Committee(BAC) invites suppli</t>
  </si>
  <si>
    <t xml:space="preserve"> UNIT          QUANTITY              DESCRIPTION Ream         740                         Paper, Multipurpose, (Copy) 70 gsm Box             47                           Staple wire, Standard, (26/6) Piece         100                         Envelop, Expan</t>
  </si>
  <si>
    <t xml:space="preserve"> Quantity   Unit of issue   Item Description 2               pcs                   Tire 7. 00 R15 10 PR LT Tube type with interior 4               pcs                    Tubeless tire 185  R14 8 PR Lt 10             pcs                    shovel (5 pointed</t>
  </si>
  <si>
    <t xml:space="preserve"> Quantity     Unit      Description 1                lot           General Requirement 1                lot           Earthworks 97              cu. M.     Line Canal 100            cu. M      Grouted riprap 2                 unit         Box culvert 133  </t>
  </si>
  <si>
    <t xml:space="preserve"> Please see attache file... Contact  09654102927 Email myradelaradiaz@gmail.com</t>
  </si>
  <si>
    <t xml:space="preserve"> Construction of concrete/timber Footbridge, width=2.40m, length=40.00m I. 84.00 L.M. Columns (pre-vast) II. 10.00 cu.m Capping, Girder &amp; Transom III. 9,226.67 bd. ft Plank Floor and Running Board IV. 60 bd. ft Stone Masonry V. 3,367.50 bd. ft Raiguard and</t>
  </si>
  <si>
    <t xml:space="preserve"> Construction of fence along basketball court area with approximate length of 20 meters and an average height of 15 meters. 22 bags Cement 1 cu.m. Sand 1.5 cu.m. Gravel 16 length G.I. Pipe, 2"dia, sch 40 3 rolls Cyclone Wire 16 length Flat bar, 3/16"x1" 10</t>
  </si>
  <si>
    <t xml:space="preserve"> INSTALLATION OF CCTV</t>
  </si>
  <si>
    <t xml:space="preserve"> Please quote your lowest price inclusive of VAT on the item/s listed below, subject to the Terms and Conditions of this RFQ, and submit your quotation duly signed by your representative not later than 12 August 2020 at 306th Contracting Office, NSFA, Pana</t>
  </si>
  <si>
    <t xml:space="preserve"> INVITATION TO QUOTE Date:  August 07, 2020 1.	The Provincial Government of Davao del Sur, through its Bids and Awards Committee (BAC), invites all interested bidders/suppliers to quote for the following goods under Alternative Methods of Procurement ([Sho</t>
  </si>
  <si>
    <t xml:space="preserve"> 2040   USB LACE            Specificaion:                Nylon Lanyard (20mm. x 268.5)                Printed w/ Deparment of Education                Makati City and School Name               With ID Case(Silicon)                85X54MM, lANYARD STRAP STR</t>
  </si>
  <si>
    <t xml:space="preserve"> Supplies and Materials for Reproduction of Modules</t>
  </si>
  <si>
    <t xml:space="preserve"> Republic of the Philippines Province of Iloilo Municipality of Lambunao Office of the Bids &amp; Awards Committee INVITATION TO BID Name of Project: Purchase of Materials for the Farm to Market Road (Concreting) Location: Brgy. Hipgos, Lambunao, Iloilo ABC: P</t>
  </si>
  <si>
    <t xml:space="preserve"> 1	Adlai Milling Machine					1	unit 	 Specifications:						 	  6.0 HP Gasoline Engine						 	  Output Capacity : 50-75kgs / hour single pass						 	 Milling Efficiency: 95-99% with three(3) settings						 	 Milling Recovery: 45-60% Adlai						 	 Primary Cr</t>
  </si>
  <si>
    <t xml:space="preserve"> INVITATION TO QUOTE Date:  August 06, 2020 1.	The Provincial Government of Davao del Sur, through its Bids and Awards Committee (BAC), invites all interested bidders/suppliers to quote for the following goods under Alternative Methods of Procurement (Smal</t>
  </si>
  <si>
    <t xml:space="preserve"> 1. 4	books	Register of Legal Instrument 2. 3	books	Register of Application for Marriage License 3. 3	books	Register of Marriage N/F</t>
  </si>
  <si>
    <t xml:space="preserve"> COMPLETION OF LIGTAS-COVID CENTER BGY. PANAYTAYAN, RAGAY, CAM. SUR 27	bags	Cement 1.5	cu.m	Washed Sand 3	cu.m	Crushed Gravel 4	pcs	10mmø RSB 128	bdft	Coco lumber form 3150	bdft	Coco Lumber 120	pcs	2 x 3 x 12' Good lumber 6	pcs	2 x 2 x 10' S4S 6	pcs	1/2 x </t>
  </si>
  <si>
    <t xml:space="preserve"> INVITATION TO QUOTE Date:  August 07, 2020 1.	The Provincial Government of Davao del Sur, through its Bids and Awards Committee (BAC), invites all interested bidders/suppliers to quote for the following goods under Alternative Methods of Procurement (Smal</t>
  </si>
  <si>
    <t xml:space="preserve"> INVITATION TO QUOTE Date:  August 06, 2020 1.	The Provincial Government of Davao del Sur, through its Bids and Awards Committee (BAC), invites all interested bidders/suppliers to quote for the following goods under Alternative Methods of Procurement ([Sho</t>
  </si>
  <si>
    <t xml:space="preserve"> Republic of the Philippines Province of Iloilo Municipality of Lambunao Office of the Bids &amp; Awards Committee INVITATION TO BID Name of Project: Improvement of Water Distribution Lines (One Job) Location: Brgy. Cabugao, Lambunao, Iloilo ABC: Php 2,300,000</t>
  </si>
  <si>
    <t xml:space="preserve"> Public Bidding  See Attachments</t>
  </si>
  <si>
    <t xml:space="preserve"> PROCUREMENT FOR COVID-19 RESPONSE SUPPLIES AND PROCUREMENT NEEDED FOR REPRODUCTION OF LEARNING MATERIALS</t>
  </si>
  <si>
    <t xml:space="preserve"> Purchase of medical supplies for teachers and staff (multivitamins) worth Php20,000 for 1 month.</t>
  </si>
  <si>
    <t xml:space="preserve"> Republic of the Philippines Province of Iloilo Municipality of Lambunao Office of the Bids &amp; Awards Committee INVITATION TO BID/ REQUEST FOR PRICE QUOTATION Name of Project: Purchase of materials for the Completion/Construction of Farmers Training Center </t>
  </si>
  <si>
    <t xml:space="preserve"> Used for Relief Goods for PWDs in the barangay.</t>
  </si>
  <si>
    <t xml:space="preserve"> SUPPLY AND DELIVERY OF 4 UNITS LAPTOP BUNDLED WITH OPERATING SYSTEM AND LATEST OFFICE SUITE Technical Specifications: Display: 13 inch(diagonal) LED-backlit display w/ IPS tech;2560-by-1600 native resolution at 227 pixels per inch Processor:	At least 1.1 </t>
  </si>
  <si>
    <t xml:space="preserve"> PURCHASE REQUEST - 2020-08-0003									 									 Barangay : Lower Baluran									 Municipality : Imelda 						Date:	8/8/2020		 									                      DESCRIPTION									 									 	QTY	UNIT OF 	                 ITEM			       ESTIMATED 			 		  </t>
  </si>
  <si>
    <t xml:space="preserve"> The Municipality of Pulilan, Bulacan, through its Bids and Awards Committee (BAC), invites prospective bidders/Supplier to apply for eligibility and shortlisting and if found eligible and shortlisted, to bid for Purchase of Office Supplies (MO) The Munici</t>
  </si>
  <si>
    <t xml:space="preserve"> Request for Quotation</t>
  </si>
  <si>
    <t xml:space="preserve"> The Municipality of Pulilan, Bulacan, through its Bids and Awards Committee (BAC), invites prospective bidders/Supplier to apply for eligibility and shortlisting and if found eligible and shortlisted, to bid for Purchase of Anti-Rabies Vaccines (RHU) The </t>
  </si>
  <si>
    <t xml:space="preserve"> REQUEST FOR QUOTATION Supply and Delivery of Various Supplies, Materials and Equipment for SWA Project 1. The Cavite State University (CvSU) invites interested firms/suppliers to submit quotation for the project “Supply and Delivery of Various Supplies, M</t>
  </si>
  <si>
    <t xml:space="preserve"> The Municipality of Pulilan, Bulacan, through its Bids and Awards Committee (BAC), invites prospective bidders/Supplier to apply for eligibility and shortlisting and if found eligible and shortlisted, to bid for Purchase of Two (2) Units Patrol Cars (DILG</t>
  </si>
  <si>
    <t xml:space="preserve"> 185 BAGS PORTLAND CEMENT 31 CU.M MSG</t>
  </si>
  <si>
    <t xml:space="preserve"> INVITATION TO BID FOR CW-ALPIP-07-2020 1.	The National Irrigation Administration – Cordillera Administrative Region (NIA-CAR), through the General Appropriations Act (GAA) 2020 intends to apply the sum of Twenty One Million Forty Three Thousand Seven Hund</t>
  </si>
  <si>
    <t xml:space="preserve"> 1	Self-Contained Portalettes					16	units 	Inclusion:						 	With self-closing hinges operate from an internal stainless steel spring						 	Outdoor rated materials and molded						 	Polymer construction ensure years of use						 	Foot pedal flush with fi</t>
  </si>
  <si>
    <t xml:space="preserve"> Poblacion 13			 					Project Reference Number:     Name of the Project: Supply and Delivery of Construction Materials for the REPAIR/REHAB OF STREET LIGHTS 				             Location of the Project: Poblacion 13, Tingloy, Batangas Standard Form Number: SF-</t>
  </si>
  <si>
    <t xml:space="preserve"> BARANGAY PISA				 					Project Reference Number:       Name of the Project: REPAIR  OF FOOT BRIDGE AND ROAD Location of the Project:   BARANGAY PISA,Tingloy, Batangas   Standard Form Number: SF-GOOD-05 Revised on: July 28, 2004 INVITATION TO APPLY FOR ELI</t>
  </si>
  <si>
    <t xml:space="preserve"> Republic of the Philippines MINDANAO STATE UNIVERSITY General Santos City INVITATION TO BID FOR THE PURCHASE OF THE 3RD QUARTER OFFICE SUPPLIES 1.	The Mindanao State University – General Santos City (MSU-GSC), through MOOE 2020, intends to apply the sum o</t>
  </si>
  <si>
    <t xml:space="preserve"> Epson ink black 20pcs Epson ink blue 10pcs Epson ink yellow 10pcs Epson ink magenta 10pcs Printer/copier 3pcs</t>
  </si>
  <si>
    <t xml:space="preserve"> 1	set	1080 high resolution AHD bullet camera/		 		MX322+NVP2441H/3.6 fixed lens		 		36 IR LED ,30m distance/built-in 3-axis bracket		 		high performance color reprductiion		 		double glass +hoop unique design		 		cables with power cords/connectors/		 		ju</t>
  </si>
  <si>
    <t xml:space="preserve"> 4	pcs.	2" DI Gatevalve, Mechanical Type with 7" body length 10	pcs.	3" DI Gatevalve, Mechanical Type w/ 8" body length 10	pcs.	4" DI Gatevalve, Mechanical Type with 9" body length 4	pcs.	2" DI Sleeve Type Coupling w/ 22" body length &amp; stainless steel botl</t>
  </si>
  <si>
    <t xml:space="preserve"> Republic of the Philippines Barangay San Andres Labak Municipality of Atimonan Province of Quezon INVITATION TO BID The Barangay Government Unit of San Andres Labak, Atimonan, Quezon thru the Bids and Awards Committee (BAC) invites interested suppliers/co</t>
  </si>
  <si>
    <t xml:space="preserve"> Vitamins 30packs Other needed medicine for School  Clinic</t>
  </si>
  <si>
    <t xml:space="preserve"> ITEM NO.	QTY.	UNIT	ITEMS &amp; DESCRIPTION	 				 1	580	gals	Bleach	 2	250	gals	Liquid Hand Soap, antibacterial	 3	500	gals	Disinfectant spray solution	 4	550	gals	Isopropyl alcohol, 70%	 5	200	gals	Hand Sanitizer Gel</t>
  </si>
  <si>
    <t xml:space="preserve"> 1.	The Local Government Unit of Tubigon, Bohol, through the budget for the contract approved by the Sangguniang Bayan (Special Education Fund) intends to apply the sum of Three Hundred Eighty-Six Thousand Three Hundred Twenty Pesos (P386,320.00) being the</t>
  </si>
  <si>
    <t xml:space="preserve"> Anti-Pneumococcal Vaccine</t>
  </si>
  <si>
    <t xml:space="preserve"> ITEM NO.	QTY.	UNIT	ITEMS &amp; DESCRIPTION	 				 1	37	bxs	2019-nCov Ab IgG/IgM Detection Kit x 40s	 			Colloidal Gold	 			can test whole blood, plasma and serum	 			Results within 15-30 mins.	 			Separate card for IgG and IgM antibody	 			National Medical Pro</t>
  </si>
  <si>
    <t xml:space="preserve"> Labor &amp; Materials	 UPGRADING OF WATER SUPPLY SYSTEM	 Location: Salvacion, Ragay *	MOBILIZATION AND BUNKHOUSE *	CLEARING, GRUBBING, LAYOUT AND STAKING *	EXCAVATION  *	BACKFILL *	GRAVEL BED *	ELECTRO-MECHANICAL SYSTEM *	ELECTRIC LOGGING *	PLUMBING *	CONCRET</t>
  </si>
  <si>
    <t xml:space="preserve"> I.	REQUEST FOR QUOTATION REPIPING OF COMFORT ROOM PLUMBING CONNECTIONS  in the Academic Building of PNU Visayas   1.	The Philippine Normal University Visayas through the funding of the Government of the Philippines intends to apply the sum of One hundred </t>
  </si>
  <si>
    <t xml:space="preserve"> Republic of the Philippines Province of Iloilo Municipality of Lambunao Office of the Bids &amp; Awards Committee INVITATION TO BID/ REQUEST FOR PRICE QUOTATION Name of Project: Purchase of materials for the Fabrication of Handwash Facility with Foothbath for</t>
  </si>
  <si>
    <t xml:space="preserve"> The Department of Education, Schools Division of Ilocos Sur, Bantay, ilocos Sur is in need of suppliers for the procurement of various supplies/materials for use in the reproduction of Locally-Developed Learning Resources, as follows: 1	Paper, Multi-Purpo</t>
  </si>
  <si>
    <t xml:space="preserve"> Description 1. The Barangay Government of Kahaponan, Valencia City, Bukidnon through its Bids and Awards Committee BAC, invites contractor to submit bids for the following contract. Bids received in excess of the ABC shall be automatically rejected at the</t>
  </si>
  <si>
    <t xml:space="preserve"> ITEM NO.	QTY.	UNIT	ITEMS &amp; DESCRIPTION	 				 1	14	units	Hospital Beds with Bedside Table	 			Specifications:	 			3 crank, back rest: 0-75 degrees, Knee Rest: 0-35 degrees	 			(TR/RTR) and height position: trendelenburg: 0-20˚	 			reverse trendelenburge: 0</t>
  </si>
  <si>
    <t xml:space="preserve"> Republic of the Philippines						 DEPARTMENT OF EDUCATION						 Region VI - Western Visayas						 FERNANDO F. GONZAGA ELEMENTARY SCHOOL						 						 Brgy. Vista Alegre, Bacolod City						 						 REQUEST FOR PRICE QUOTATION / CANVASS						 						 						 		</t>
  </si>
  <si>
    <t xml:space="preserve"> Republic of the Philippines PROVINCE OF QUIRINO Cabarroguis -oOo- BIDS AND AWARDS COMMITTEE INVITATION TO BID FOR  Procurement of Laboratory Equipment (1 Unit Fully Automated Microbial Identification and Sensitivity Analyzer, 1 Unit Fully Automated Chemis</t>
  </si>
  <si>
    <t xml:space="preserve"> Stock No.:	Unit        	Item Description			                                           	         Quantity	 1	unit	                20 FOOTER CONTAINER VAN				                                        1		 		                CONTENTS:						 		                250</t>
  </si>
  <si>
    <t xml:space="preserve"> Republic of the Philippines Province of Iloilo Municipality of Lambunao Office of the Bids &amp; Awards Committee INVITATION TO BID/ REQUEST FOR PRICE QUOTATION Name of Project: Purchase of Fuel &amp; Oil for the Rehabilitation of Old Spanish Road Location:  Brgy</t>
  </si>
  <si>
    <t xml:space="preserve"> Republic of the Philippines Province of Iloilo Municipality of Lambunao Office of the Bids &amp; Awards Committee INVITATION TO BID/ REQUEST FOR PRICE QUOTATION Name of Project: Purchase of Materials for the Improvement of MRF (Const. of Final Segregation Fac</t>
  </si>
  <si>
    <t xml:space="preserve"> Native chicken		pcs	700 Pullets (female)= 637 heads						 Cockerel (male)= 63 heads			 Average weight: 800-1,200 grams/head</t>
  </si>
  <si>
    <t xml:space="preserve"> Nipa shingles 		pcs	7650</t>
  </si>
  <si>
    <t xml:space="preserve"> Republic of the Philippines Municipality of Bacacay Province of Albay INVITATION TO BID FOR THE SUPPLY, DELIVERY AND INSTALLATION OF 10 METER FISH CAGE FRAME AS LIVELIHOOD SUPPORT TO THE LOCAL FISHERFOLK 1. The Municipality of Bacacay, through the Trust F</t>
  </si>
  <si>
    <t xml:space="preserve"> Solicitation No.				 BARANGAY BAYAMBANG					Project Reference No.				 INFANTA, PANGASINAN					 Name of Project: 		PURCHASE OF ONE (1) UNIT MOTOR VEHICLE, BRGY. BAYAMBANG, INFANTA, PANGASINAN				 Location of Project:		Brgy. Bayambang, Infanta, Pangasinan		</t>
  </si>
  <si>
    <t xml:space="preserve"> Republic of the Philippines Province of Iloilo Municipality of Lambunao Office of the Bids &amp; Awards Committee INVITATION TO BID Name of Project: Purchase of Materials for the Farm to Market Road (Concreting) Location: Brgy. Daanbanwa, Lambunao, Iloilo ABC</t>
  </si>
  <si>
    <t xml:space="preserve"> INVITATION TO BID 1.	The Department of Public Works and Highways, through its Bids and Awards Committee (BAC) invites Suppliers to submit bids for the following contract: 1.	Contract ID	20GM0013 Contract Name &amp; Location	SUPPLY AND DELIVERY OF HANDHELD LAS</t>
  </si>
  <si>
    <t xml:space="preserve"> REPAIR OF COMFORT ROOMS AND SUPPLY SYSTEM IN VARIOUS SCHOOLS AT CARMONA AN G.M.A. SPCL 1 OCCUPATIONAL SAFETY AND HEALTH PROGRAM 1.00 l.s SPCL 2 TEMPORARY FACILITY 1.00 l.s CARMONA NATIONAL HIGH SCHOOL, CARMONA I DEMOLITION 1.00 L.S II CLEARING AND WATER D</t>
  </si>
  <si>
    <t xml:space="preserve"> ANULING NATIONAL HIGH SCHOOL SPCL 1 OCCUPATIONAL SAFETY AND HEALTH PROGRAM 1.00 LOT SPCL 2 TEMPORARY FACILITY 1.00 LOT I ANULING NATIOINAL HIGH SCHOOL SPCL 1 PROJECT BILLBOARD 1.00 LOT PPCR BLDG.3 CR A. REPLACEMENT OF DOOR &amp; WINDOW 1.00 LOT B. PLUMBING AN</t>
  </si>
  <si>
    <t xml:space="preserve"> INVITATION TO BID 1.	The Department of Public Works and Highways, through its Bids and Awards Committee (BAC) invites Suppliers to submit bids for the following contract: Contract ID	20GM0012 Contract Name &amp; Location	SUPPLY AND DELIVERY OF IT SUPPLIES FOR</t>
  </si>
  <si>
    <t xml:space="preserve"> INVITATION TO BID 1.	The Department of Public Works and Highways, through its Bids and Awards Committee (BAC) invites Suppliers to submit bids for the following contract: Contract ID	20GM0008 (Re-bid) Contract Name &amp; Location	PROCUREMENT OF DRYDOCKING AND</t>
  </si>
  <si>
    <t xml:space="preserve"> SPCL I Project BillBoard l.s. 1.00 SPCL II Occupational Safety &amp; Health Program  l.s.  1.00 SPCL III  Temporary Facilities  l.s. 1.00 ITEM No. Clearing l.s. 1.00 II. Hauling of Materials l.s. 1.00 III. Temporary Break Water l.s. 1.00 IV. Concrete Slope Pr</t>
  </si>
  <si>
    <t xml:space="preserve"> 1.	The National Irrigation Administration – Cordillera Administrative Region (NIA-CAR), through the General Appropriations Act (GAA) 2020 intends to apply the sum Sixty Six Million One Hundred Seventy-Nine Thousand Three Hundred Seventy-Seven Pesos and Se</t>
  </si>
  <si>
    <t xml:space="preserve"> INVITATION TO BID FOR THE CONSTRUCTION OF INTELLECTUAL PROPERTY AND TECHNOLOGY BUSINESS MANAGEMENT FACILITY PB-2020-184-021 1. The Pampanga State Agricultural University, through Fund 184, intends to apply the sum of P3,790,000.00 being the Approved Budge</t>
  </si>
  <si>
    <t xml:space="preserve"> Procurement of Cimmon and Non common Educational Supplies</t>
  </si>
  <si>
    <t xml:space="preserve"> Republic of the Philippines Department of Education National Capital Region Division of Taguig City and Pateros BAGONG TANYAG ELEMENTARY SCHOOL ANNEX A Purok 14, South Daang Hari, Taguig City BIDS AND AWARDS COMMITTEE REQUEST FOR QUOTATION No. 20-004 The </t>
  </si>
  <si>
    <t xml:space="preserve"> INVITATION TO BID FOR THE CONSTRUCTION OF COMFORT ROOMS AT PSAU GATE 2 PB-2020-184-020 1. The Pampanga State Agricultural University, through Fund 184, intends to apply the sum of P184,557.10 being the Approved Budget for the Contract (ABC) to payment und</t>
  </si>
  <si>
    <t xml:space="preserve"> Republic of the Philippines Province of Iloilo Municipality of Lambunao Office of the Bids &amp; Awards Committee INVITATION TO BID Name of Project: Purchase of Materials for the Const. of Line Canal &amp; Cross Drainage - Phase I Location: Brgy. Pandan, Lambunao</t>
  </si>
  <si>
    <t xml:space="preserve"> Republic of the Philippines Municipality of Bacacay Province of Albay INVITATION TO BID FOR THE SUPPLY AND DELIVERY OF IT EQUIPMENTS 1. The Municipality of Bacacay, through the General Fund, intends to apply the sum of Two Hundred Ten Thousand Pesos (Php2</t>
  </si>
  <si>
    <t xml:space="preserve"> Republic of the Philippines Province of Cebu Municipality of Dalaguete BARANGAY TAPON BIDS AND AWARDS COMMITTEE INVITATION FOR NEGOTIATED PROCUREMENT - SMALL VALUE PROCUREMENT (SEC. 53.9) The Barangay Government of Barangay Tapon through the 20% Developme</t>
  </si>
  <si>
    <t xml:space="preserve"> Please submit your quotation based on attached RFQ's terms &amp; condition</t>
  </si>
  <si>
    <t xml:space="preserve"> Printing Materials for Self Learning Modules</t>
  </si>
  <si>
    <t xml:space="preserve"> 25 pcs prepaid cards</t>
  </si>
  <si>
    <t xml:space="preserve"> Supply, Delivery and Installation of Motor Vehicle Tires</t>
  </si>
  <si>
    <t xml:space="preserve"> Globe Call &amp; Text Cards 500 den 150 pieces Globe Call &amp; Text Cards 100 den 12 pieces xxxx</t>
  </si>
  <si>
    <t xml:space="preserve"> 1	Cross Joint, GUIS 72	1	pc 2	Cross Joint, GUIS 55	1	pc 3	Cross Joint, GUM 71	1	pc 4	Selector Cable	1	pc 5	Bolt/ with nut HTTN 20x40	4	pcs 6	Release Bearing	1	pc 7	Clutch Sleeve	1	pc 8	Clutch Pressure Plate	1	pc 9	Clutch Disc Plate	1	pc</t>
  </si>
  <si>
    <t xml:space="preserve"> 350 pcs. 20x20 ties 27 bags Cement 60 pcs CHB 4” 2 elf White sand 2 elf Gravel ¾ 15 pcs 10 mm def.bar 2 kls. Tie wire 5 pcs. Cocolumber 2 kl. Common nail 4” 2 kl. Common nail 3” 2 kl. Common nail 2” 3 kl. Concrete nail 3” 1 kl. Concrete nail 1” 2 bags Gro</t>
  </si>
  <si>
    <t xml:space="preserve"> 220 pcs. 20x20 ties 19 bags Cement 15 pcs CHB 4” 2 elf White sand 2 elf Gravel ¾ 15 pcs 10 mm def.bar 2 kls. Tie wire 5 pcs. Cocolumber 2 kl. Common nail 4” 2 kl. Common nail 3” 2 kl. Common nail 2” 3 kl. Concrete nail 3” 1 kl. Concrete nail 1” 2 bags Gro</t>
  </si>
  <si>
    <t xml:space="preserve"> Please see attached RFQ for details.</t>
  </si>
  <si>
    <t xml:space="preserve"> UNIT             QUANTITY                     DESCRIPTION REAMS            60                               A4 BOND PAPER SUBSTANCE 20 PCS                16                               003 BLACK INK FOR EPSON L3110 PRINTER PCS                3          </t>
  </si>
  <si>
    <t xml:space="preserve"> See Attached Documents</t>
  </si>
  <si>
    <t xml:space="preserve"> The Department of Agriculture-RFO 3, invites interested suppliers/ bidders to submit bid proposal(s) for the hereunder requirement, to wit: 122,574 bags Urea Fertilizer  (6,128,700 kilograms) Specification: 	46% Nitrogen 	50 kilograms / bag 	Granular O</t>
  </si>
  <si>
    <t xml:space="preserve"> The Department of Education, Schools Division of Ilocos Sur, Bantay, Ilocos Sur is in need of suppliers for the procurement of the following: 1. KZ Riso Ink KZ Type Black S-1370	 - 57 tubes 2. KZ Riso Master KZ Type B4 S-1369	 - 41 rolls The submission of</t>
  </si>
  <si>
    <t xml:space="preserve"> Qty.               Unit.                              Description  1                   pcs.                     Panel board 6 holes(12modules)-plastic  1                    Box                     THHN Stranded wire #12  1                    Box          </t>
  </si>
  <si>
    <t xml:space="preserve"> The Department of Agriculture-RFO 3, invites interested suppliers/ bidders to submit bid proposal(s) for the hereunder requirement, to wit: 56,370 bags Urea Fertilizer (2,818,500 kilograms) Specification: 	46% Nitrogen 	50 kilograms / bag 	Granular Oth</t>
  </si>
  <si>
    <t xml:space="preserve"> Please submit your quotation based on attached RFQ's terms and conditions..</t>
  </si>
  <si>
    <t xml:space="preserve"> Republic of the Philippines Province of Agusan del Sur MUNICIPALITY OF PROSPERIDAD BIDS AND AWARDS COMMITTEE NOTICE FOR NEGOTIATED PROCUREMENT NO. 2020-071 The Municipal Government of PROSPERIDAD, Province of Agusan del Sur, through its Bids and Awards Co</t>
  </si>
  <si>
    <t xml:space="preserve"> INVITATION TO BID 1.	The Department of Public Works and Highways, through its Bids and Awards Committee (BAC) invites Suppliers to submit bids for the following contract: Contract ID	20GM0011  Contract Name &amp; Location	SUPPLY AND DELIVERY OF OFFICE SUPPLIE</t>
  </si>
  <si>
    <t xml:space="preserve"> Republic of the Philippines Province of Agusan del Sur MUNICIPALITY OF PROSPERIDAD BIDS AND AWARDS COMMITTEE NOTICE FOR NEGOTIATED PROCUREMENT NO. 2020-076 The Municipal Government of PROSPERIDAD, Province of Agusan del Sur, through its Bids and Awards Co</t>
  </si>
  <si>
    <t xml:space="preserve"> Printing Materials for Learning Modules</t>
  </si>
  <si>
    <t xml:space="preserve"> I.	REQUEST  FOR  QUOTATION SUPPLY AND DELIVERY OF USB/FLASHDRIVES  for PNU Visayas   1.	The Philippine Normal University Visayas through the funding of the Government of the Philippines intends to apply the sum of Four hundred eighty two thousand pesos on</t>
  </si>
  <si>
    <t xml:space="preserve"> Republic of the Philippines Province of Agusan del Sur MUNICIPALITY OF PROSPERIDAD BIDS AND AWARDS COMMITTEE NOTICE FOR NEGOTIATED PROCUREMENT NO. 2020-072 The Municipal Government of PROSPERIDAD, Province of Agusan del Sur, through its Bids and Awards Co</t>
  </si>
  <si>
    <t xml:space="preserve"> Republic of the Philippines Province of Agusan del Sur MUNICIPALITY OF PROSPERIDAD BIDS AND AWARDS COMMITTEE NOTICE FOR NEGOTIATED PROCUREMENT NO. 2020-070 The Municipal Government of PROSPERIDAD, Province of Agusan del Sur, through its Bids and Awards Co</t>
  </si>
  <si>
    <t xml:space="preserve"> Printing Materials for Learning Module</t>
  </si>
  <si>
    <t xml:space="preserve"> UNIT                       QUANTITY        DESCRIPTION   REAM                           215              A4 BOND PAPER 70 GSM SET OF 4 COLORS         6                 EPSON L360 INK BOTS.                          10               EPSON M200 BLACK INK PCS</t>
  </si>
  <si>
    <t xml:space="preserve"> Pag-IBIGFund (HomeDevelopmentMutualFund) REQUEST FOR QUOTATION  August 07, 2020_                                                                                                                                                         Please quote your lowe</t>
  </si>
  <si>
    <t xml:space="preserve"> 1	Tire 750x16 with flap &amp; tube	6	pcs 2	Battery, 12 volts, 15 plates (maintenance fee)	2	pcs</t>
  </si>
  <si>
    <t xml:space="preserve"> Republic of the Philippines  Province of Samar Municipality of Sto. Niño Invitation to Bid for the Construction of Multi-Purpose Roofing (Municipal Stage) Brgy. Ilo, Sto. Niño, Samar. 1.	The Municipality of Sto. Niño, Samar, through the Re-Program Unutili</t>
  </si>
  <si>
    <t xml:space="preserve"> 1	Meals and snacks	1538	pax 	1 Rice, 2 Viands, Softdrinks		 	AM/PM snacks</t>
  </si>
  <si>
    <t xml:space="preserve"> 1	Diesel/Fuel	9659	Liters</t>
  </si>
  <si>
    <t xml:space="preserve"> 1	Meals and snacks	1320	pax 	1 Rice, 2 Viands, Water		 	AM/PM snacks		 			 	Crop Protection		 	Agro Enterprise		 	RIC		 	4H Representation</t>
  </si>
  <si>
    <t xml:space="preserve"> 130 pcs. 20x20 ties 28 bags Cement 40 pcs CHB 4” 2 elf White sand 2 elf Gravel ¾ 15 pcs 10 mm def.bar 2 kls. Tie wire 5 pcs. Cocolumber 2 kl. Common nail 4” 2 kl. Common nail 3” 2 kl. Common nail 2” 3 kl. Concrete nail 3” 1 kl. Concrete nail 1” 2 bags Gro</t>
  </si>
  <si>
    <t xml:space="preserve"> 1	Meals and snacks	1000	pax 	1 Rice, 2 Viands, Water		 	AM/PM snacks</t>
  </si>
  <si>
    <t xml:space="preserve"> 1	Meals and snacks - NCD A program	200	pax 	1 Rice, 2 Viands, Softdrinks/Water		 	AM/PM snacks - sandwich/juice		 2	Meals and snacks - NCD B program	1030	pax 	1 Rice, 2 Viands, Softdrinks/Water		 	AM/PM snacks - sandwich/juice		 3	Meals and Snacks- NCDC C</t>
  </si>
  <si>
    <t xml:space="preserve"> Book paper - 2888rms.</t>
  </si>
  <si>
    <t xml:space="preserve"> INVITATION TO SUBMIT PRICE QUOTATION The Nueva Ecija University of Science and Technology (NEUST) through the Bids and Awards Committee (BAC), hereby invites all interested supplier registered with the Philippine Government Electronic Procurement System (</t>
  </si>
  <si>
    <t xml:space="preserve"> 1	Diesel	1830	ltrs</t>
  </si>
  <si>
    <t xml:space="preserve"> 1.Request for Quotation. 2.Please see attached file.</t>
  </si>
  <si>
    <t xml:space="preserve"> 1.	The Department of Public Works and Highways, Regional Office I, through the FY 2020 RA 11465 Regular 2020 CURRENT, intends to apply the sum of Ten Million Nine Hundred Seventeen Thousand Six Hundred Ninety One Pesos and Sixty Six Centavos (Php 10,917,6</t>
  </si>
  <si>
    <t xml:space="preserve"> 1	Diesel	2730.58	ltrs 2	Gasoline	644.99	ltrs</t>
  </si>
  <si>
    <t xml:space="preserve"> Republic of the Philippines Province of Agusan del Sur MUNICIPALITY OF PROSPERIDAD BIDS AND AWARDS COMMITTEE NOTICE FOR NEGOTIATED PROCUREMENT NO. 2020-075 The Municipal Government of PROSPERIDAD, Province of Agusan del Sur, through its Bids and Awards Co</t>
  </si>
  <si>
    <t xml:space="preserve"> Various Construction supplies for the improvement of existing Supply Section Storage Area</t>
  </si>
  <si>
    <t xml:space="preserve"> Training Schedule: August 17-21, 2020, Calbayog, Samar Class 1 (Calbayog &amp; Almagro) - 36 pax Class 2 (Calbayog) - 33 pax Class 3 (Santo Niño &amp; Tagapul-an) - 29 pax Day 1 AM Snack: Chicken Sotanghon (Strictly no pork and shrimp), Toasted bread and Ice tea </t>
  </si>
  <si>
    <t xml:space="preserve"> Thermal Scanner, Face Mask, Surgical Gloves, Alcohol and Disinfectant solutions</t>
  </si>
  <si>
    <t xml:space="preserve"> Please see attached RFQ for details</t>
  </si>
  <si>
    <t xml:space="preserve"> Training Schedule: August 17-21, 2020 Tarangnan, Samar Class 23 (Tarangnan) - 30 pax Day 1 AM Snack: Chicken Sotanghon (Strictly no pork and shrimp), Toasted bread and Ice tea LUNCH: Fish (Tinola), Fried Chicken Lotong bahay, Beef caldereta, Rice, Buko pa</t>
  </si>
  <si>
    <t xml:space="preserve"> REQUEST FOR QUOTATION (RFQ) SYSTEM PENETRATION TOOL SUBSCRIPTION FOR 21 YEAR UNDER EMB-PPPDD-SISMS RFQ NO. EMB-SISMS.-SHOPPING-G-109-08-7-2020- PR. NO. 2020-0678 1.	The Department of Environment and Natural Resources – Environmental Management Bureau (DEN</t>
  </si>
  <si>
    <t xml:space="preserve"> Purchase of Expanding Plastic Envelopes with Handle and Lock</t>
  </si>
  <si>
    <t xml:space="preserve"> Book paper - 1180rms.</t>
  </si>
  <si>
    <t xml:space="preserve"> Department of Health								 Metro Manila Center for Health Development								 DR. JOSE N. RODRIGUEZ MEMORIAL HOSPITAL AND 								 SANITARIUM								 								 								 								 REQUEST FOR QUOTATION (RFQ)								 								 	Date:					Requesting Unit: MMS</t>
  </si>
  <si>
    <t xml:space="preserve"> Republic of the Philippines Province of Agusan del Sur MUNICIPALITY OF PROSPERIDAD BIDS AND AWARDS COMMITTEE NOTICE FOR NEGOTIATED PROCUREMENT NO. 2020-069 The Municipal Government of PROSPERIDAD, Province of Agusan del Sur, through its Bids and Awards Co</t>
  </si>
  <si>
    <t xml:space="preserve"> Requested by: MA A. Abayari/City Treasurer's Office</t>
  </si>
  <si>
    <t xml:space="preserve"> Procurement for Catering Services of 42 Participants for 2 Days for the Workshop on the Development of 2021 AIP and WFP of ORD/OARD and Regional Office Functional Divisions - 42 Participants - 2 Lunch, and 4 Snacks AM/PM - August 24-25, 2020 - At NEAP Tra</t>
  </si>
  <si>
    <t xml:space="preserve"> NOTICE OF NEGOTIATED PROCUREMENT (Small Value Procurement) PNOC Exploration Corporation (PNOC EC), through its 2020 Corporate Budget, has an Approved Budget for the Contract (ABC) of Six Hundred Ninety Thousand Pesos (Php690,000.00), inclusive of all appl</t>
  </si>
  <si>
    <t xml:space="preserve"> Requested by: Atty. PJ J. Hilario/Office of the City Secretary</t>
  </si>
  <si>
    <t xml:space="preserve"> 1. Alcohol, 70%, ethyl,  500ml (80 bottles) - ₱7,600.00  2. Data folder, made with chipboard, taglia lock (30 pieces) - ₱3,900.00  3. Marker, permanent, bullet type, black (10 pieces) - ₱150.00  4. Marker, permanent, bullet type, blue (10 pieces) - ₱150.0</t>
  </si>
  <si>
    <t xml:space="preserve"> 2800 Pcs Module Kit 1 Pc Hand Truck Trolley 1 Pc Gun Tucker 1 Pc Portable Power Spray 10 Meters Hose 1 Pc Cabinet fr clinic 1 pc Web Cam 1 Pc Head Set 1 Pc Knapsack Sprayer 20 Pcs RJ 45 60 Pcs Storage Box 5 bottles Grass Killer Chemical</t>
  </si>
  <si>
    <t xml:space="preserve"> SEE ATTACHED DOCUMENTS</t>
  </si>
  <si>
    <t xml:space="preserve"> REQUEST FOR QUOTATION (RFQ) PRINTING OF DENR ADMINISTRATIVE ORDER 2019-18 UNDER EMB-EQMD-CMS RFQ NO. EMB-PROP.-SHOPPING-G-0107-8-7-2020  2020-0608 1.	The Department of Environment and Natural Resources – Environmental Management Bureau (DENR-EMB) hereinaf</t>
  </si>
  <si>
    <t xml:space="preserve"> Book paper - 3879rms.</t>
  </si>
  <si>
    <t xml:space="preserve"> Procurement of Office Equipment (Laptop) under Rule XIV Section 46 of RA 9184</t>
  </si>
  <si>
    <t xml:space="preserve"> Purchase of Plumbing and Carpentry Supplies</t>
  </si>
  <si>
    <t xml:space="preserve"> Procurement for the Layout, Printing, and Softbinding of the 2018 Annual Accomplishment Report - 80 pieces / copies - 50 pages  - colored - back to back - 8.5 x 11 letter size - glossy cover and inside 		 For more details on the procurement contact the PO</t>
  </si>
  <si>
    <t xml:space="preserve"> Name of Project: Purchase of Office Supplies for the Reproduction of Modules for Senior High School ABC: Php 570,000.00 Location: Romblon National High School Fund Source: School MOOE 2020</t>
  </si>
  <si>
    <t xml:space="preserve"> ILOILO BRANCH - File Cabinet and Sigcard Cabinet 5 units File Cabinet = ABC Php 100,000.00  2 units Signature Card Cabinet/Rack = ABC Php 56,000.00</t>
  </si>
  <si>
    <t xml:space="preserve"> Department of Education Region III DIVISION OF MABALACAT CITY Mabalacat City, Pampanga    Tel. No.: (045) 331-8143/Email Add: mabalacat.city@deped.gov.ph REQUEST FOR QUOTATION PR No. 	: 							RFQ No. PR Date :							Philgeps Ref. No. End User:							Clos</t>
  </si>
  <si>
    <t xml:space="preserve"> Procurement of Supplies MOOE Subsidy for Lugsayan Elementary School</t>
  </si>
  <si>
    <t xml:space="preserve"> Requested by: RM J. Blass/City Civil Registrar</t>
  </si>
  <si>
    <t xml:space="preserve"> Purchase of Painting Supplies</t>
  </si>
  <si>
    <t xml:space="preserve"> 1 l.s. Installation of Project Sign Board 92 sq. m. PCC Pavement (Unreinforced)-Conventional Method (150mm Thk)</t>
  </si>
  <si>
    <t xml:space="preserve"> various</t>
  </si>
  <si>
    <t xml:space="preserve"> Book paper -763rms.</t>
  </si>
  <si>
    <t xml:space="preserve"> 4th Level Training on the 2020 Census of Population &amp; Housing August 17 - 22, 2020 Aguinaldo, Ifugao Meals &amp; Snacks  - Snacks (AM and PM)  - Lunch (2 main dish, 1 side dish and dessert)    - Overflowing coffee for the whole duration of the training</t>
  </si>
  <si>
    <t xml:space="preserve"> Requested by: Atty. C B. Gomez/City ENRO</t>
  </si>
  <si>
    <t xml:space="preserve"> Requested by:  Engr. J T. Ditona/CED - Motorpool</t>
  </si>
  <si>
    <t xml:space="preserve"> Requested by: P Q. Maristela/Sangguniang Panlungsod</t>
  </si>
  <si>
    <t xml:space="preserve"> Requested by: N S. Racelis/COA - Supervising Auditor</t>
  </si>
  <si>
    <t xml:space="preserve"> Requested by: I A. Santiago/City Veterinary Office</t>
  </si>
  <si>
    <t xml:space="preserve"> Supply of labor for the repair and maintenance of Office Building and Housing Units at NPC Housing Compound, Ditucalan, Iligan City, Housing Quarter No. 62-A, occupied by JB Abdulazis, WMD  (30 calendar days)</t>
  </si>
  <si>
    <t xml:space="preserve"> Materials	                 Unit	 Qty 2"x3"x12' Lumber	pcs	52.00 2"x 4"x12' Lumber	pcs	24.00 2"x6"x12' Lumber	pcs	4.00 2"x6" x8'Lumber	pcs	16.00 G1 Sheet-10'long	pcs	114.00 Umbrella Nail	        kgs	25.00 Cement	               bags	54.00 Sand	             </t>
  </si>
  <si>
    <t xml:space="preserve"> Requested  by: Dr. I A. Santiago/City Veterinary Office</t>
  </si>
  <si>
    <t xml:space="preserve"> 30 gal - 70% Alcohol 30 gal - Chlorine Bleach (Liquid Chlorine) 10 bottles - Chlorine Granules 1kg/liter 3 bottles - Printer Ink - Cyan 3 bottles - Printer Ink – Yellow 3 bottles - Printer Ink – Magenta 5 bottles - Printer Ink – Black 1 unit - Cork Board </t>
  </si>
  <si>
    <t xml:space="preserve"> Republic of the Philippines PROVINCE OF QUIRINO Cabarroguis -oOo- BIDS AND AWARDS COMMITTEE INVITATION TO BID FOR  Improvement/Concreting of FTMR Contract No. PB-CW-2020-038 							August 8, 2020 1.	The Bids and Awards Committee (BAC) of the Provincial Go</t>
  </si>
  <si>
    <t xml:space="preserve"> Republic of the Philippines PROVINCE OF QUIRINO Cabarroguis -oOo- BIDS AND AWARDS COMMITTEE INVITATION TO BID FOR  Improvement/Concreting of FTMR Contract No. PB-CW-2020-036 							August 8, 2020 1.	The Bids and Awards Committee (BAC) of the Provincial Go</t>
  </si>
  <si>
    <t xml:space="preserve"> supply of labor and equipment for the repair and maintenance of Building - repair and maintenance of Housing Quarter No. 8, NPC Housing Compound, Ditucalan, Iligan City (25 calendar days)</t>
  </si>
  <si>
    <t xml:space="preserve"> 262 bags - Portland Cement 131 cu.m - Boulders 46 cu.m - Washed Sand</t>
  </si>
  <si>
    <t xml:space="preserve"> Office and other supplies</t>
  </si>
  <si>
    <t xml:space="preserve"> FOR EPSON WORK FORCE PRO  C869R PRINTER		 INK BLACK	2	UNIT INK CYAN	1	UNIT INK MAGENTA	1	UNIT INK YELLOW	1	UNIT MAINTENANCE BOX	3	BOX</t>
  </si>
  <si>
    <t xml:space="preserve"> The Department of Science and Technology- Central Office, through its Bids and Awards Committee (BAC), requests qualified bidders to submit their lowest price on the ff:</t>
  </si>
  <si>
    <t xml:space="preserve"> INVITATION TO BID August 3, 2020 The Eastern Visayas Regional Medical Center, through its Bids and Awards Committee (BAC A) invites suppliers/manufacturers/distributors/contractors to bid for the hereunder project:  Procurement Activity	Approved Budget fo</t>
  </si>
  <si>
    <t xml:space="preserve"> Republic of the Philippines							 PROVINCE OF CAGAYAN							 Tuguegarao City							 							 REQUEST FOR QUOTATION							 							 Company Name: 			Quotation No.				 Address:			Date				 TIN Number: 			PR No.				 Tel/Fax: 			Mode of Procurement:				 E-mail </t>
  </si>
  <si>
    <t xml:space="preserve"> Republic of the Philippines Province of Negros Occidental CITY OF VICTORIAS BIDS AND AWARDS COMMITTEE Reference No: Vict-eps20-040 INVITATION TO BID  PURCHASE OF MATERIALS FOR ROAD MAINTENANCE OF VARIOUS BARANGAYS AND CITY ROADS  ( Basa Road,Brgy X.,Roman</t>
  </si>
  <si>
    <t xml:space="preserve"> Republic of the Philippines Province of Negros Occidental CITY OF VICTORIAS BIDS AND AWARDS COMMITTEE Reference No: Vict-eps20-044 INVITATION TO BID  ROAD CONSTRUCTION AND REHABILITATION OF PORTION JOVER STREET, DE LEON STREET AND MAGSAYSAY STREET EXTENSI</t>
  </si>
  <si>
    <t xml:space="preserve"> Republic of the Philippines PROVINCE OF QUIRINO Cabarroguis -oOo- BIDS AND AWARDS COMMITTEE INVITATION TO BID FOR  Improvement/Concreting of FTMR Contract No. PB-CW-2020-037 							August 8, 2020 1.	The Bids and Awards Committee (BAC) of the Provincial Go</t>
  </si>
  <si>
    <t xml:space="preserve"> Republic of the Philippines Province of Negros Occidental CITY OF VICTORIAS BIDS AND AWARDS COMMITTEE Reference No: Vict-eps20-042 INVITATION TO BID  REPAIR AND IMPROVEMENT OF ONE ( 1) UNIT CLASSROOM AT DAPES, BRGY X, VICTORIAS CITY NEGROS OCCIDENTAL    T</t>
  </si>
  <si>
    <t xml:space="preserve"> INVITATION TO APPLY FOR ELIGIBILITY AND TO BID THE MUNICIPALITY OF CAIBIRAN, BILIRAN IS INVITING ALL INTERESTED BIDDERS ON ITS FORTHCOMING PUBLIC BIDDING FOR: Project Title 	: Acquisition of Office Equipment &amp; Consumable, SO Location	        : LGU - Caibi</t>
  </si>
  <si>
    <t xml:space="preserve"> Republic of the Philippines Province of Negros Occidental CITY OF VICTORIAS BIDS AND AWARDS COMMITTEE Reference No: Vict-eps20-041 INVITATION TO BID  PURCHASE OF MATERIALS FOR CONSTRUCTION OF 176 UNITS ADDITIONAL TOMBS AT VICTORIAS CITY PEOPLE’S MEMORIAL </t>
  </si>
  <si>
    <t xml:space="preserve"> Republic of the Philippines Province of Negros Occidental CITY OF VICTORIAS BIDS AND AWARDS COMMITTEE Reference No: Vict-eps20-039 INVITATION TO BID  PURCHASE OF RESCUE VEHICLE FOR THE USE OF RESCUE PERSONNEL ( RE – BID ) The City of Victorias, through th</t>
  </si>
  <si>
    <t xml:space="preserve"> Republic of the Philippines Department of Health CENTRAL OFFICE BIDS AND AWARDS COMMITTEE Name of the Procuring Entity:  Department of Health Name of the Project: Purchase and Printing of Training Bags Delivery Site: DOH-Central Office Warehouse, San Laza</t>
  </si>
  <si>
    <t xml:space="preserve"> Please see attached Term of Reference (TOR).</t>
  </si>
  <si>
    <t xml:space="preserve"> Please find attached Term of Reference (TOR).</t>
  </si>
  <si>
    <t xml:space="preserve"> ITEM NO  DESCRIPTION  UNIT QUANTITY 102 Excavation works cu.m 9.750 506 Grouted riprap works cu.m 18.85 SPL concrete permanent marker/Billboard lot 1.00 SPL Transhipment works        Road to project site 9manual hauling) lot 1</t>
  </si>
  <si>
    <t xml:space="preserve"> 101 pieces Cellcard-Smart Buddy 500 65 pieces Cellcard-Talk and Text 500 1 piece Cellcard-Sun Cellular 500 45 pieces Cellcard-Touch Mobile 500 82 pieces Cellcard-Globe 500 18 pieces Cellcard-Touch Mobile 300 12 pieces Cellcard-Smart Buddy 300 12 pieces Ce</t>
  </si>
  <si>
    <t xml:space="preserve"> Republic of the Philippines PROVINCE OF QUIRINO Cabarroguis -oOo- BIDS AND AWARDS COMMITTEE INVITATION TO BID FOR  Improvement/Concreting of FTMR Contract No. PB-CW-2020-039 							August 8, 2020 1.	The Bids and Awards Committee (BAC) of the Provincial Go</t>
  </si>
  <si>
    <t xml:space="preserve"> Republic of the Philippines PROVINCE OF QUIRINO Cabarroguis -oOo- BIDS AND AWARDS COMMITTEE INVITATION TO BID FOR  Construction of Perimeter Fence of Barangay Compound Contract No. PB-CW-2020-041 							August 8, 2020 1.	The Bids and Awards Committee (BAC</t>
  </si>
  <si>
    <t xml:space="preserve"> 25 reams - Paper Bond Substance 20-Legal 30 reams - Paper Bond Substance 20-Letter 10 reams - Paper Bond - Ordinary Legal 13 reams - Paper Bond Ordinary - Letter 2 reams - A4 size bond paper 25 bottles - Printer Ink L210/L220/L120 Ink (Black) 3 bottles - </t>
  </si>
  <si>
    <t xml:space="preserve"> Republic of the Philippines PROVINCE OF QUIRINO Cabarroguis -oOo- BIDS AND AWARDS COMMITTEE INVITATION TO BID FOR  Improvement/Concreting of FTMR Contract No. PB-CW-2020-040 							August 8, 2020 1.	The Bids and Awards Committee (BAC) of the Provincial Go</t>
  </si>
  <si>
    <t xml:space="preserve"> 20 pcs - Angle bar 1/4" x 2'' x 2" x 20' 30 pcs - Angle bar 3/16" x 1 1/2" x 1 1/2" x 20' 20 pcs - C-Purlins 1.0mm x 2'' x 3'' x 20' 8 pcs - C-Purlins 1.0mm x 2'' x 10'' x 20' 3 pcs - Plain G.I. Sheet 0.5mm 20 kg - Welding Rod 6013		 600 pcs - Tekscrew 2'</t>
  </si>
  <si>
    <t xml:space="preserve"> Repair and Maintenance of Medical Equipment</t>
  </si>
  <si>
    <t xml:space="preserve"> clearing of vegetation/pruning of trees at Agus 6 Dam and Instrumentation sites (15 calendar days)</t>
  </si>
  <si>
    <t xml:space="preserve"> 3 pcs - 0.70mm x 4' x 8' Plain G.I. Sheet				 9 liters - PVC Solvent										 9 pcs - 5/32 Drill Bit											 4 pcs - 14" diam. Cutting Wheel							 24 pcs - 4" diam. Cutting Disc								 29 liters - Roof Sealant										 32 pcs - 6" x 4" diam. PVC Re</t>
  </si>
  <si>
    <t xml:space="preserve"> INVITATION TO APPLY FOR ELIGIBILITY AND TO BID THE MUNICIPALITY OF CAIBIRAN, BILIRAN IS INVITING ALL INTERESTED BIDDERS ON ITS FORTHCOMING PUBLIC BIDDING FOR: Project Title 	: Acquisition of Tires, SO Location	        : LGU - Caibiran, Biliran  Delivery P</t>
  </si>
  <si>
    <t xml:space="preserve"> Clearing of Vegetation/pruning of Trees at Agus 2 Dam and Instrumentation Sites (15 calendar days)</t>
  </si>
  <si>
    <t xml:space="preserve"> clearing of vegetation/pruning of trees at Pulangi 4 HEPC Dam and Instrumentation Sites</t>
  </si>
  <si>
    <t xml:space="preserve"> Purchase of Medical Supplies</t>
  </si>
  <si>
    <t xml:space="preserve"> 12 PCS HEADPHONE WITH MICROPHONE</t>
  </si>
  <si>
    <t xml:space="preserve"> Republic of the Philippines Province of Negros Occidental CITY OF VICTORIAS BIDS AND AWARDS COMMITTEE Reference No: Vict-eps20-043 INVITATION TO BID  REPAIR AND IMPROVEMENT OF ONE ( 1) UNIT 2 CLASSROOM FERRER BUILDING ESTADO ELEMENTARY SCHOOL, BRGY XI, VI</t>
  </si>
  <si>
    <t xml:space="preserve"> 500 reams Bookpaper Long Substance20</t>
  </si>
  <si>
    <t xml:space="preserve"> Safety Shoes, brown, water proof sizes 40-46 - 19 PCS Safety shoes, light blue/gray Sizes 36-38 - 5 PCS</t>
  </si>
  <si>
    <t xml:space="preserve"> 12 PCS MOUSE 12 PCS MOUSE PAD</t>
  </si>
  <si>
    <t xml:space="preserve"> UNIT     DESCRIPTION     QTY. Lot,      Project Billboard/Signboard,   1.00 cu.m.,       Excavation,       153.64 sq.m.,        Formworks &amp; Scaffoldings,     309.74 cu.m.,       Reinforced Concrete (Concrete only), 135.56 kgs.,       Reinf. Concrete (Meta</t>
  </si>
  <si>
    <t xml:space="preserve"> Republic of the Philippines Province of Leyte Municipality of Kananga BARANGAY LIM-AO BIDS AND AWARDS COMMITTEE Invitation to Bid for the Procurement of Communication Equipment (Mobile Phones), Brgy.Lim-ao, Kananga, Leyte 1.	The Barangay Government of Lim</t>
  </si>
  <si>
    <t xml:space="preserve"> Using A4 size of high quality bond paper, substance 20. Must be delivered on or before August 20, 2020 at Dr. Maria D. Pastrana National High School. Cost per page must not exceed P0.50</t>
  </si>
  <si>
    <t xml:space="preserve"> PROCUREMENT TERMS &amp; CONDITIONS					 1	The Total Approved Budget for the Contract (ABC) is Php 905.40.				 2	Price quotation should be inclusive of tax obligations.				 3	Delivery period is 10 calendar days from the receipt of NOA &amp; PO.				 4	If awarded th</t>
  </si>
  <si>
    <t xml:space="preserve"> May we request for your quotation on the following details below. If you are interested and in the position to furnish the same, we shall be glad to have your best quotation. Program Title: RADYO BANGSAMORO Program Duration: One (1) hour, aired simultaneo</t>
  </si>
  <si>
    <t xml:space="preserve"> various Materials for the use of Quezon Cooperative Development Program; "Upscaling Cooperative Development" (Livelihood Assistance for Farmers, Women and Young Farmers)</t>
  </si>
  <si>
    <t xml:space="preserve"> PROVIDE THE FOLLOWING: 1. PHOTOCOPY OF MAYOR'S PERMIT 2. COPY OF PHILGEPS REGISTRATION 3. EXACT ADDRESS 4. BIR 5. ACCOMPLISHED RFQ NOTE:   STORE ADDRESS IS WITHIN EAST II DISTRICT OF CAGAYAN DE ORO CITY  TIME FRAME - 2 DAYS</t>
  </si>
  <si>
    <t xml:space="preserve"> Marine Engine: 6.5HP Gasoline</t>
  </si>
  <si>
    <t xml:space="preserve"> PROCUREMENT OF MEDICAL EQUIPMENT FOR MUNICIPAL HEALTH OFFICE **PLEASE REFER TO THE ATTACHED PURCHASE REQUEST AT THE ASSOCIATED COMPONENTS SECTION FOR FURTHER DETAILS.</t>
  </si>
  <si>
    <t xml:space="preserve"> PROCUREMENT TERMS &amp; CONDITIONS					 1	The Total Approved Budget for the Contract (ABC) is Php 30,000.00.				 2	Price quotation should be inclusive of tax obligations.				 3	Delivery period is 10 calendar days from the receipt of NOA &amp; PO.				 4	If awarded</t>
  </si>
  <si>
    <t xml:space="preserve"> Requested by: Dr. I A. Santiago/City Veterinary Office</t>
  </si>
  <si>
    <t xml:space="preserve"> Requested by: E H. Timbancaya/CDRRMO</t>
  </si>
  <si>
    <t xml:space="preserve"> Requested by: Dr. R Panganiban/City Health Office</t>
  </si>
  <si>
    <t xml:space="preserve"> Republic of the Philippines Province of Agusan del Sur MUNICIPALITY OF PROSPERIDAD BIDS AND AWARDS COMMITTEE NOTICE FOR NEGOTIATED PROCUREMENT NO. 2020-077 The Municipal Government of PROSPERIDAD, Province of Agusan del Sur, through its Bids and Awards Co</t>
  </si>
  <si>
    <t xml:space="preserve"> Please submit your lowest price quotation on the lot listed below, stating the shortest time of delivery duly signed by your representative not later than 12 August 2020; 9:00 A.M., Ground Floor, Building No. 6, Department of Health, San Lazaro Compound, </t>
  </si>
  <si>
    <t xml:space="preserve"> Please submit your quotation based on attached RFQ's term &amp; condition</t>
  </si>
  <si>
    <t xml:space="preserve"> Provision of Comprehensive Preventive Maintenance  and Repair Services of the Three (3) Elevator Units located at the DOLE Main Building Note: Please see attached Terms of Reference</t>
  </si>
  <si>
    <t xml:space="preserve"> NOTICE TO THE PUBLIC REQUEST FOR QUOTATION                                              AMP SVP-D NO: 20-07-0418	              The University of the Philippines, Diliman (UPD) hereby informs the public that it will be procuring the following item/s throug</t>
  </si>
  <si>
    <t xml:space="preserve"> Procurement of Reagents for Davao Testing Quality Assurance Laboratory for CY 2020					 Approved Budge for the Contract = PHp846,224.00 Procurement of Reagents for Davao Testing Quality Assurance Laboratory for CY 2020 REAGENTS		 Acesulfame K, 1000mg/bot	</t>
  </si>
  <si>
    <t xml:space="preserve"> Requested by: L B. Garcia/CMO - Task Force Bakawan</t>
  </si>
  <si>
    <t xml:space="preserve"> NOTICE TO THE PUBLIC REQUEST FOR QUOTATION                                              AMP SVP-S NO: 20-07-0399	              The University of the Philippines, System (UPS) hereby informs the public that it will be procuring the following item/s through</t>
  </si>
  <si>
    <t xml:space="preserve"> NOTICE TO THE PUBLIC REQUEST FOR QUOTATION                                              AMP SVP-S NO: 20-08-0428	              The University of the Philippines, System (UPS) hereby informs the public that it will be procuring the following item/s through</t>
  </si>
  <si>
    <t xml:space="preserve"> NOTICE TO THE PUBLIC REQUEST FOR QUOTATION                                              AMP SVP-S NO: 20-08-0427	              The University of the Philippines, System (UPS) hereby informs the public that it will be procuring the following item/s through</t>
  </si>
  <si>
    <t xml:space="preserve"> NOTICE TO THE PUBLIC REQUEST FOR QUOTATION                                              AMP SVP-D NO: 20-08-0429	              The University of the Philippines, Diliman (UPD) hereby informs the public that it will be procuring the following item/s throug</t>
  </si>
  <si>
    <t xml:space="preserve"> 30 watt Solar Light Street lamp installed in 3"0 x 6.0m G.I. Pipe (sch 40) and stable concrete pedestal</t>
  </si>
  <si>
    <t xml:space="preserve"> 27 bags cement 36 pcs RSB 10mm 36 pcs RSB 9mm0 9 kgs #16 Tie wire 5 pcs Ordinary Plywood 1/4" thk 180 bdft Coco lumber 3 kgs CW nails, Assorted 18 pcs G.I. Pipe 2"o sch 40, 6m length 5 kgs Welding rod 1.5 cu.m. Sand 3 cu.m. Gravel 1 pcs Hacksaw blade 2 pc</t>
  </si>
  <si>
    <t xml:space="preserve"> 256 bags cement 28.5 cu.m Gravel 14.5 cu.m Sand 3 kgs CWNails, Assorted 3 pcs RSB 12mm0 144 bdft Coco lumber</t>
  </si>
  <si>
    <t xml:space="preserve"> 138 bags cement 8 cu.m. Gravel 10 cu.m. Sand 1,226 pcs CHB 4" 155 pcs 10mm0 RSB 2 pcs 9mm0 RSB 50 bdft Coco lumber 6 kgs G.I. Tire wire #16</t>
  </si>
  <si>
    <t xml:space="preserve"> NOTICE TO THE PUBLIC REQUEST FOR QUOTATION                                              AMP SVP-S NO: 20-08-0424	              The University of the Philippines, System (UPS) hereby informs the public that it will be procuring the following item/s through</t>
  </si>
  <si>
    <t xml:space="preserve"> Technical Specifications: A4 Sub 20, 70 GSM Approved Budget for the Contract : 442,746.00 No. of Pages	No. of Enrollment	Unit	DESCRIPTION OF ARTICLES	Unit Price	         Total Price 17	                        360	                 set	Kinder (all subjects)</t>
  </si>
  <si>
    <t xml:space="preserve"> NOTICE TO THE PUBLIC REQUEST FOR QUOTATION                                              AMP SVP-S NO: 20-08-0426	              The University of the Philippines, System (UPS) hereby informs the public that it will be procuring the following item/s through</t>
  </si>
  <si>
    <t xml:space="preserve"> clearing of vegetation/pruning at Agus 4 Main Dam &amp; Matampay Dam and Instrumentation Sites (15 calendar days)</t>
  </si>
  <si>
    <t xml:space="preserve"> 90 pcs Angel Bar 1/4 x 1 1/2 8 kgs Welding rod 3 gals Red oxide primer 4 gals QDE 3 lits Tinting Color 1 gal Paint Thinner 2 pcs paint brush 3" 3 pcs Paint brush 2"</t>
  </si>
  <si>
    <t xml:space="preserve"> 1 Flash drive 64 gb 3 685   2 Duct tape 6 500   3 Sticker paper 10 packs 45   4 Brown envelope short 1 box 1750    5 Log book 300 pages 10  89    6 Mail envelope 1 box  800    7 Ball pen 366 pcs  10    8 Big stapler (heavy duty) 1   2500    9 Staple wire </t>
  </si>
  <si>
    <t xml:space="preserve"> GARBAGE BAG HOODED TRASH BIN 3 PCS/SET</t>
  </si>
  <si>
    <t xml:space="preserve"> Office supplies and equipment</t>
  </si>
  <si>
    <t xml:space="preserve"> 111 pax Annual Periodic Health Examination of Casual Employees</t>
  </si>
  <si>
    <t xml:space="preserve"> FOR HEMODIALYSIS USE</t>
  </si>
  <si>
    <t xml:space="preserve"> 2.	The LGU-ALEGRIA now invites bids for: Item No.	Quantity	Unit	Item Description 1	1	set	                Gemstone processing machine Specification:            1.Slabbing Machine      Motor:1/2HP single phase,220 VAC, 60Hz Diamond wheel cutter:180mm, diame</t>
  </si>
  <si>
    <t xml:space="preserve"> Please quote your best price 60 box of Gel Pen, Blue ABC: 16,500.00 60 box of Gel Pen, Black ABC: 16,500.00 300 box of Staple Wires ABC: 12,000.00 500 pcs of Post it "Sign Here"Tab ABC: 40,000.00 20 pcs of Power Extension Cord ABC: 12,000.00 100 pcs of Cl</t>
  </si>
  <si>
    <t xml:space="preserve"> NOTICE TO THE PUBLIC REQUEST FOR QUOTATION                                              AMP SVP-S NO: 20-08-0423	              The University of the Philippines, System (UPS) hereby informs the public that it will be procuring the following item/s through</t>
  </si>
  <si>
    <t xml:space="preserve"> Republic of the Philippines Province of Sorsogon Municipality of Bulusan Barangay Mabuhay OFFICE OF THE BIDS AND AWARDS COMMITTEE INVITATION TO APPLY FOR ELIGIBILITY AND TO BID THE BARANGAY MABUHAY, through its Bids and Awards Committee (BAC), invites Bid</t>
  </si>
  <si>
    <t xml:space="preserve"> 79 pax Annual Periodic Health Examination of Regular Employees</t>
  </si>
  <si>
    <t xml:space="preserve"> ITEM NO.	ITEM and DESCRIPTION/SPECIFICATION/ STOCK NO.	 QUANTITY	  UNIT 1	PAPER, Multi-Purpose (COPY) A4, 70 gsm	11	ream 2	PAPER, Multi-Purpose (COPY) Legal, 70 gsm	60	ream 3	GLUE, all purpose, gross weight: 200 grams min	15	jar 4	STAPLE WIRE,#35	16	box 5</t>
  </si>
  <si>
    <t xml:space="preserve"> This project is dealing of Brgy. Magallanes, Lopez, Quezon</t>
  </si>
  <si>
    <t xml:space="preserve"> NOTICE TO THE PUBLIC REQUEST FOR QUOTATION                                              AMP SVP-S NO: 20-08-0425	              The University of the Philippines, System (UPS) hereby informs the public that it will be procuring the following item/s through</t>
  </si>
  <si>
    <t xml:space="preserve"> Please see attached documents.</t>
  </si>
  <si>
    <t xml:space="preserve"> APR Form Revised March 2007											 NAME AND ADDRESS: 			BAG-ONG OPON ES/ BAG-ONG OPON, RAMON MAGSAYSAY ,ZDS						AGENCY		 OF REQUESTING:			LOPE I. ANDIGON						ACCT. CODE		 AGENCY: DEPED									AGENCY CONTROL No.		 TEL. NOS.:											 									PS A</t>
  </si>
  <si>
    <t xml:space="preserve"> Refer to attached document</t>
  </si>
  <si>
    <t xml:space="preserve"> Installation of street lights Camalog, Pinukpuk</t>
  </si>
  <si>
    <t xml:space="preserve"> .</t>
  </si>
  <si>
    <t xml:space="preserve"> Construction supplies</t>
  </si>
  <si>
    <t xml:space="preserve"> Republic of the Philippines PROVINCE OF DAVAO ORIENTAL MUNICIPALITY OF SAN ISIDRO Barangay IBA INVITATION TO BID PROCUREMENT OF CIVIL WORKS FOR COMPLETION OF ROAD CONCRETING AND DRAINAGE CANAL (64 CUM)  1.	The Barangay Iba, San Isidro, through the AIP 201</t>
  </si>
  <si>
    <t xml:space="preserve"> Dialysis Package B</t>
  </si>
  <si>
    <t xml:space="preserve"> Request quotation for printing supplies for the reproduction of Self-Learning Modules (SLMs): 1. 2,942 reams of bond paper, A4, 70gsm 2. 1 pack specialty paper For further information, please refer to: BAC Secretariat: Mr. HARRY JOHN S. JARINA ENGR. CLINT</t>
  </si>
  <si>
    <t xml:space="preserve"> Republic of the Philippines Province of Leyte Municipality of Kananga BARANGAY LIM-AO BIDS AND AWARDS COMMITTEE Invitation to Bid for Survey of Barangay Owned Lot, Brgy.Lim-ao, Kananga, Leyte 1.	The Barangay Government of Lim-ao, Kananga, Leyte, through i</t>
  </si>
  <si>
    <t xml:space="preserve"> Please quote your best price 10 pcs of Wireless Mouse ABC: 5,000.00 10 pcs of Wireless Keyboard ABC: 12,000.00 Please email your quotation Please download canvass form</t>
  </si>
  <si>
    <t xml:space="preserve"> REQUEST FOR QUOTATION (RFQ)							 							 							 August 06, 2020		 R.I.S. No.: 20-34-024		 							 							 GENTLEMEN:			 Please submit  your  lowest price quotation (including taxes and government discounts) on charged account basis, on the following su</t>
  </si>
  <si>
    <t xml:space="preserve"> 1 set 1.0 HP Deepwell Motor pump (heavy duty) 7 pcs G.I. Pipe , 2"0, 6m length s- 40 6 pcs G.I. Coupling, 2"0 8 pcs G.I. Pipe, 1/2"0, 6m length s-40 6 pcs Coupling, 1/2 "0 1 pc 2 x 1 1/4 Tee Reducer 1 pc 1 1/4 x 10 G. I. Nipple 1 pc 1 1/4 G.I. Straight El</t>
  </si>
  <si>
    <t xml:space="preserve"> Procurement of Dietary Supplies</t>
  </si>
  <si>
    <t xml:space="preserve"> MOTOR SPECIFICATIONS: MODEL  : MH- A145 - AGB PH        : 3 PHASE, 2 POLE FREQ.    : 50 Hz VOLTAGE: 200-230V / 342-415V AMPS     : 5.45.8 A / 3.2 - 3.5 A MAX       : 5.96.3 A / 3.5 - 3.8 A FREQ      : 60 Hz VOLTAGE :220 - 240V / 390 - 480V                </t>
  </si>
  <si>
    <t xml:space="preserve"> The LGU-ALEGRIA now invites bids for: Materials Item No.	Quantity	Unit	Item Description 1	L.S	 L.S	Supply and Installation of Signage unit and fabrication . Attachment: Perspective Layout Plan  (See page 8)</t>
  </si>
  <si>
    <t xml:space="preserve"> Please quote your best price 200 pcs of Certificate Holder with DOH Logo  Please email your quotation Please download canvass form</t>
  </si>
  <si>
    <t xml:space="preserve"> Please quote your best price 6 units of Uninterruptible Power Supply ABC: 42,000.00 Specifications: - Typical Recharge Time: 6 hours - Replacement Battery: RBC17 - Expected Battery Life (years):2-4  - Battery Charge Power (Watts): 16Watts - Battery Volt-A</t>
  </si>
  <si>
    <t xml:space="preserve"> Request quotation for printing supplies for the reproduction of Self-Learning Modules (SLMs): 1. 155 cartridges of RISO KZ ink  2. 44 rolls of RISO KZ master roll For further information, please refer to: BAC Secretariat: Mr. HARRY JOHN S. JARINA ENGR. CL</t>
  </si>
  <si>
    <t xml:space="preserve"> Please quote your best price 2 reams of Specialty Paper (Laid Paper) 8.5 x 11" (Paper Size) ABC: 2,000.00 20 reams of A3 Size Bond Paper (90g/m2) ABC: 16,000.00 200 pcs of 20x30 Tracing Paper (80/85 g/m2) ABC: 4,000.00 30 pcs of Tracing Paper Plastic Stor</t>
  </si>
  <si>
    <t xml:space="preserve"> RFQ No. 2020-00__   										                                                                                                                           Date___________ REQUEST FOR QUOTATION Supply and Delivery of I.T Equipment to be used by the Office of</t>
  </si>
  <si>
    <t xml:space="preserve"> ITEM	ITEMS &amp; DESCRIPTION						QTY	UNIT 1	#6 Service Drop Wire						1	roll 2	#8 THHN Wire						1	box 3	#12 THHN Wire						1	box 4	60 amp. Double Throw Safety Breaker						2	units 5	20 apm. Safety Breaker						1	pc. 6	15w LED Bulb						35	pcs 7	4"Ø Receptac</t>
  </si>
  <si>
    <t xml:space="preserve"> Purchase of 0ne (1) unit 1.5 horse power submersible pump for Barangay Lamao, Liloy, Zamboanga del Norte.</t>
  </si>
  <si>
    <t xml:space="preserve"> INVITATION TO BID FOR THE SUPPLY OF MATERIALS FOR THE REHABILITATION OF LOCAL GOVERNMENT POTABLE WATER WORKS SYSTEM. 1. The Barangay Government of BARANGAY MASALISI  through the 20% Local Development Fund of Barangay intends to apply the sum of Php 300,00</t>
  </si>
  <si>
    <t xml:space="preserve"> Repair/Maintenance of Municipal Vehicle ( New Ambulance VH 1606 ) @ Samal, Bataan 5.3 pcs - 140,000 km Check-up 1 pc - Gasket 1 pc - Oil Filter 1000 1 pc - TGFS SN/CF 5W-30 4L 3 pcs - TGFS SN/CF 5W-30 1L 1 pc - DSL Injector Cleaner 1 pc - DSL Engine Flush</t>
  </si>
  <si>
    <t xml:space="preserve"> 56 bags - Portland Cement 6 cu.m. - Washed Sand 4 cu.m. - Washed Gravel 600 pcs - CHB 60 pcs - 10mm RSB 5 kgs - #16 Tie Wire</t>
  </si>
  <si>
    <t xml:space="preserve"> SOUND SYSTEM	1	package 2 power amplifier 400w (15 inches)		 12 wireless microphone		 1 12 channel audio mixer		 4 XLR Connector (male and female)		 30 meters audio wire		 25 meters royal cord		 extension wire #16 (25 meters)		 2 4 ganged female outlet		 2</t>
  </si>
  <si>
    <t xml:space="preserve"> 2 DOZEN Mono Block Chair (without arm white)</t>
  </si>
  <si>
    <t xml:space="preserve"> INVITATION TO BID FOR THE SUPPLY OF MATERIALS FOR THE INSTALLATION OF STREETLIGHTS. 1. The Barangay Government of BARANGAY MASALISI  through the 20% Local Development Fund of Barangay intends to apply the sum of Php 116,655.10 being the Approved Budget fo</t>
  </si>
  <si>
    <t xml:space="preserve"> Please see attached TOR, Tech. Specs. &amp; RFQ for details</t>
  </si>
  <si>
    <t xml:space="preserve"> Thermoplastic Paints-white (25kg. per bag) Specification: content 16% of glass beads, packing materials as filling added into the paint, ensure mechanical strength, wear resistance &amp; color of paint coating - 265bags; Primer - 190liters</t>
  </si>
  <si>
    <t xml:space="preserve"> Republic of the Philippines																																																			 City of Canlaon																																																			 BIDS AND AWARDS COMMITTEE																																																			 																																</t>
  </si>
  <si>
    <t xml:space="preserve"> 3 rolls 2" x60 mtrs P.E. Pipe, SDR 11 (for Barangay Kulaman use) 2 pcs Solar Street Light with Post-90W (for Barangay Miglamin Sitio Dungis P9 use) 1 unit Refrigerator 8 cubic feet (for Barangay Simaya use) 10 pcs Monobloc Chair (for Barangay 3 IP)</t>
  </si>
  <si>
    <t xml:space="preserve"> Please quote your best price 20 set of Portable Body Pack Amplifier with Headset and Lapel ABC: 24,000.00 Specifications: Technical Parameters: RMS Power: 5W Charger: 5V 350mA Mic Directivity: Uni-directional Frequency Response: 100Hz-10KHz +- 3dB Power S</t>
  </si>
  <si>
    <t xml:space="preserve"> QTY.	 UNIT	ARTICLE/SERVICES					Unit Price	 Amount  								 								 pcs	50	Ink HP# 680 Black						 pcs	50	Ink HP# 680 Colored						 6	boxes	Paper Clip Small						 6	boxes	Paper Clip Big						 6	pads	Note Pad (Post-it 3" x 4")						 10	pads	Post-it Sign </t>
  </si>
  <si>
    <t xml:space="preserve"> Please quote your best price 616 gal. of Alcohol 70% Isopropyl Please email your quotation Please download canvass form</t>
  </si>
  <si>
    <t xml:space="preserve"> Desktop Computer Laptop i7 with License Windows 10 Network Switch Port Cord 5M Yellow Desktop Computer</t>
  </si>
  <si>
    <t xml:space="preserve"> 1. EXCAVATION WORKS 2. MASONRY WORKS</t>
  </si>
  <si>
    <t xml:space="preserve"> Please quote your best price 500 pcs of Ethyl Alcohol 70%, w/ moisturizer, 1000 ml Pump bottle ABC: 125,000.00 200 pcs of Paper Towel, Interfolded, 175 pulls ABC: 8,000.00 75 pcs of Tissue Roll, 3 plys, 12 pcs/pack ABC: 18,750.00 Lot bid but should not ex</t>
  </si>
  <si>
    <t xml:space="preserve"> Please quote your best price 6 units of External Hard Drive ABC: 24,000.00 Specifications: Capacity: 1Terabyte Interface: USB 3.2 Gen. 1 Please email your quotation Please download canvass form</t>
  </si>
  <si>
    <t xml:space="preserve"> Construction Supplies</t>
  </si>
  <si>
    <t xml:space="preserve"> NOTICE TO THE PUBLIC REQUEST FOR QUOTATION                                              AMP SVP-D NO: 20-01-0053B	              The University of the Philippines, Diliman (UPD) hereby informs the public that it will be procuring the following item/s throu</t>
  </si>
  <si>
    <t xml:space="preserve"> NOTICE TO THE PUBLIC REQUEST FOR QUOTATION                                              AMP SVP-D NO: 20-07-0412	              The University of the Philippines, Diliman (UPD) hereby informs the public that it will be procuring the following item/s throug</t>
  </si>
  <si>
    <t xml:space="preserve"> REQUEST FOR QUOTATION (RFQ) ONE-TIME GRAMMAR EDITING TOOL SUBSCRIPTION FOR 1 YEAR UNDER EMB-PPPDD-SISMS RFQ NO. EMB-SISMS.-SHOPPING-G-108-08-7-2020- PR. NO. 2020-0686 1.	The Department of Environment and Natural Resources – Environmental Management Bureau</t>
  </si>
  <si>
    <t xml:space="preserve"> Republic of the Philippines PROVINCE OF QUIRINO Cabarroguis -oOo- BIDS AND AWARDS COMMITTEE INVITATION TO BID FOR  Procurement of Three (3) Units Mechanical Ventilator Contract No. PB-GS-2020-012 							August 9, 2020 1.	The Bids and Awards Committee (BAC</t>
  </si>
  <si>
    <t xml:space="preserve"> Dr. Arcadio Santos National High School invites all interested  parties to submit separate sealed quotations for the  PRINTING OF LEARNERS’ MODULES located at Km.15, East Service Road, SSHW, San Martin De Porres, Paranaque City. The Maximum Bid Offer or A</t>
  </si>
  <si>
    <t xml:space="preserve"> PUBLIC BIDDING SEE ATTACHMENTS</t>
  </si>
  <si>
    <t xml:space="preserve"> REQUEST FOR QUOTATION  Supply, Repair, Fabrication and Installation of Steelgates of Kabacan RIS (RFQ20-29)  Quotation No.  RFQ20-29-KABRIS ___________________________________					Date:  ____________________                Company Name						PR No. _______</t>
  </si>
  <si>
    <t xml:space="preserve"> Installation and Fabrication of Glass Door with Screen in Building 1</t>
  </si>
  <si>
    <t xml:space="preserve"> 50,000 PCS- Paper cups, disposable Note: 8 oz, for both hot &amp; cold, thick, laminated   Please be guided by the following:  1.       Price quotation must be based on the Terms of Reference (TOR) / Scope of Work/Services (SOW) / Technical Specifications (TS</t>
  </si>
  <si>
    <t xml:space="preserve"> model  :  isuzu elf  mini dump chassis :  NKR58E-7180897 ENGINE : 4BE1 TYPE OF BODY :  MINI DUMP TRUCK (double tire/brand new tire) COLOR   : RED/SILVER FUELS : DIESEL TOOLS : JACK WITH TIRE WRENCH HANDLE EXTENDED BODY : L- 10FEET, W-6 1/2 H-6 1/2 GROSS T</t>
  </si>
  <si>
    <t xml:space="preserve"> Purpose: Purchase of IT Equipment and Accessories for Office use for the conduct and participation to online/virtual activities																 																 LOT 1	Tablet with Smart Keyboard					2	unit	 60,000.00 								 	   Specification: 											</t>
  </si>
  <si>
    <t xml:space="preserve"> Benguet First District Engineering Office La Trinidad, Benguet August 7, 2020    INVITATION TO BID The Benguet First District Engineering Office, through its Bids and Awards Committee (BAC), invites contractors to submit bids for the following Contract: C</t>
  </si>
  <si>
    <t xml:space="preserve"> Consumable Supplies</t>
  </si>
  <si>
    <t xml:space="preserve"> 2 UNIT BATTERY (11 PLATES) NOTE: FOR OFFICIAL USE OF DENR-9 VEHICLE WITH PLATE NO. VY-2092 (HI-ACE) AND 090806 (HUMMER).</t>
  </si>
  <si>
    <t xml:space="preserve"> Please quote your best price 50 bottle of Brother Ink (LC633, ink cartridge) - black ABC: 15,000.00 50 bottle of Brother Ink (LC633, ink cartridge) - cyan ABC: 15,000.00 50 bottle of Brother Ink (LC633, ink cartridge) - yellow ABC: 15,000.00 50 bottle of </t>
  </si>
  <si>
    <t xml:space="preserve"> Republic of the Philippines									 Department of Public Works and Highways									 AGUSAN DEL NORTE									 DISTRICT ENGINEERING OFFICE									 REGIONAL OFFICE XIII									 J. Rosales Avenue, Butuan City									 Name of Procuring Entity:  DPWH-DEO,</t>
  </si>
  <si>
    <t xml:space="preserve"> Please submit a bid based on the attached RFQ. If you are a new supplier please submit your Mayor's Permit, PhilGEPS Cert, Income Tax/Business Tax Return, Omnibus Sworn Statement.  If you have not renewed please submit updated copies of these documents.</t>
  </si>
  <si>
    <t xml:space="preserve"> Request quotation for printing supplies for the reproduction of Self-Learning Modules (SLMs): 1. 44 cartridges RISO KZ ink 2. 15 rolls RISO KZ master rolls For further information, please refer to: BAC Secretariat: Mr. HARRY JOHN S. JARINA ENGR. CLINT S. </t>
  </si>
  <si>
    <t xml:space="preserve"> INVITATION TO APPLY FOR ELIGIBILITY AND TO BID THE MUNICIPALITY OF CAIBIRAN, BILIRAN IS INVITING ALL INTERESTED BIDDERS ON ITS FORTHCOMING PUBLIC BIDDING FOR: Project Title 	: Acquisition of Sewing Machine with Motor   Location	        : LGU - Caibiran, B</t>
  </si>
  <si>
    <t xml:space="preserve"> 2020 Census of Population and Housing 4th Level Training Tinoc, Ifugao August 17 - 22, 2020 Meals and Snacks  - Snacks ( AM and PM)  - Meals (2 main dish, 1 side dish and dessert)  - Overflowing coffee for the whole duration of the training</t>
  </si>
  <si>
    <t xml:space="preserve"> Qty	Unit	Items &amp; Description 		 		 3	unit	Half Face Respirator (3m 7800S-L) 8	unit	Air Purifier with Hepa Filter 1	unit	Aerosol Suction Machine (Dental Equiment)</t>
  </si>
  <si>
    <t xml:space="preserve"> 9 bottle alcohol 18 reams paper a4 27 reams paper legal 18 pcs soft broom 27 rolls tape transparent  9 cans floorwax 18 pcs eraser felt 2 pcs flag 9 pack wrapping paper kraft 27 pcs sign pen red 27 pcs sign pen black 5 cart ink magenta 1 roll laminating f</t>
  </si>
  <si>
    <t xml:space="preserve"> Qty	Unit	Items &amp; Description 		 		 6	Pail	Latex Paint, Gloss 6	Pail	Latex Paint, flat 8	gal	Davies, sun &amp; rain, adobe red 8	can	Acri color, Toulodine red 1L 8	can	Acri color, Lamp black 1/4L 8	can	Acri color, Thalo Blue 1/4L 3	pcs	Paint brush, 3" 3	pcs	Pa</t>
  </si>
  <si>
    <t xml:space="preserve"> REQUEST FOR QUOTATION For Negotiated Procurement thru Small Value Procurement under Sec. 53.9 of the 2016 Revised IRR of RA 9184 Quotation No.:  2020-08-276 Date: August 7, 2020 PR No.: 20-07-295 PR Date: July 28, 2020 The Metropolitan Tuguegarao Water Di</t>
  </si>
  <si>
    <t xml:space="preserve"> Municipality of San Juan, Siquijor						Project Reference No.: 				 						Name of Project: Other Maintenance and Operating				 						Expenses-Mayor's Office				 						Location of Project:Poblacion, San Juan, Siquijor				 Standard Form Number: SF-GOOD-60		</t>
  </si>
  <si>
    <t xml:space="preserve"> REQUEST FOR QUOTATION (RFQ) Date: August 7, 2020 R.I.S. No.:	20-78-024 Gentlemen:			 Please submit your lowest price quotation (including taxes and government discounts) on charged account basis, on the following supplies/materials/ equipment or labor for</t>
  </si>
  <si>
    <t xml:space="preserve"> 25000 tablet, Clonazepam 2mg, tablet</t>
  </si>
  <si>
    <t xml:space="preserve"> Please quote your best price 5 pcs of Drum Kit for DocuPrint P115w (Fuji Xerox) ABC: 7,500.00 Please email your quotation Please download canvass form</t>
  </si>
  <si>
    <t xml:space="preserve"> Minimum Requirement 1.	Accidental Death and Permanent Disablement; 2.	 Unprovoked Murder and Assault; 3.	Prompt medical reimbursement; 4.	Accidental medical reimbursement; 5.	Daily hospital Income Benefit; 6.	Burial Assistance for death due to illness or </t>
  </si>
  <si>
    <t xml:space="preserve"> 5 pcs, Tires 185R 14C  for Mitsubishi Ambulance SHB-470</t>
  </si>
  <si>
    <t xml:space="preserve"> For the purpose of serving the community on the emergency needs 4x4 MULTICAB Specification or its equivalent - Engine: 45 valve, 660 c - 2 wheel drive -4 speed manual transmission -Water cooled -Gasoline fed -Brand new tires with brand new spare -Recondit</t>
  </si>
  <si>
    <t xml:space="preserve"> I. TINNERY/TILES/MASONRY/WINDOWS/PAINT/CARPENTRY/WELDING WORKS</t>
  </si>
  <si>
    <t xml:space="preserve"> 1 UNIT PRINTER - . - INKJET PRINTER - 3 IN 1 (SCANNER, PRINTER, PHOTOCOPIER)</t>
  </si>
  <si>
    <t xml:space="preserve"> 1 10 BTL/S ALCOHOL - RUBBING, 70 % ISOPROPHYL, 500ML 2 2 GAL/S BLEACHING SOLUTION 3 6 CAN/S DISHWASHING PASTE - 400G 4 1 POUCH/S DETERGENT - W/ FABRIC SOFTENER 800G 5 1 BTL/S TOILET BOWL CLEANER - W/ KILLER VIREX 5</t>
  </si>
  <si>
    <t xml:space="preserve"> Republic of the Philippines Province of Nueva Vizcaya MUNICIPALITY OF BAGABAG INVITATION TO BID  SUPPLY AND DELIVERY OF MATERIALS FOR THE CONSTRUCTION OF WAITING SHEDS VARIOUS LOCATION, BAGABAG, NUEVA VIZCAYA 1.	The Local Government Unit of Bagabag, throu</t>
  </si>
  <si>
    <t xml:space="preserve"> DESCRIPTION OF ARTICLES                                                     QUANTITY ALCOHOL, ethyl, 68%-70%, scented, 500ml (-5ml) (bottle)	                            48 CARTOLINA, assorted colors (pack)	                                                 </t>
  </si>
  <si>
    <t xml:space="preserve"> City Government of La Carlota								          Standard Form Number: SF-GOOD-59 Revised on: May 24, 2004 Standard Form Title: REQUEST FOR QUOTATION 												Date: ______________ 												Quotation No.________ Company Name Address 	Please quote your </t>
  </si>
  <si>
    <t xml:space="preserve"> Rice Subsidy of MLWD Regular Employees for the Month of August 2020 178 Sacks - RICE                        50kgs/sack                   Pure Dinurado ABC : Php 427,200.00</t>
  </si>
  <si>
    <t xml:space="preserve"> various Office Supplies</t>
  </si>
  <si>
    <t xml:space="preserve"> 3600 tablet, Phenobarbital 30mg, tablet for Mental Health Use</t>
  </si>
  <si>
    <t xml:space="preserve"> see attached RFQ</t>
  </si>
  <si>
    <t xml:space="preserve"> SUPPLIER REQUIREMENTS 1. TRACK RECORD OF THE COMPANY MUST HAVE MINIMUM OF FIVE YEARS IN THE BUSINESS 2. WARRANTY: COMPREHENSIVE ONE YEAR WARRANTY ON PARTS &amp; SERVICES 5 YEARS ON COMPRESSOR 3. SUPPLIER MUST CONDUCT AND SECURE SITE INSPECTION FOR NON-WINDOW </t>
  </si>
  <si>
    <t xml:space="preserve"> 1. 9,660 ltrs Diesel Note: the price/s quoted by the supplier shall be valid for a period of seven (7) calendar days from the date of the quotation, and the item/s shall be delivered to the procuring entity regardless of an increase or decrease in the pre</t>
  </si>
  <si>
    <t xml:space="preserve"> INVITATION TO APPLY FOR ELIGIBILITY AND TO BID THE MUNICIPALITY OF CAIBIRAN, BILIRAN IS INVITING ALL INTERESTED BIDDERS ON ITS FORTHCOMING PUBLIC BIDDING FOR: Project Title 	: Acquisition of 7.5 HP Motorboat Engine   Location	        : LGU - Caibiran, Bil</t>
  </si>
  <si>
    <t xml:space="preserve"> CHB (Class A)	550	Pcs Portland Cement	180	Bags 1x6x12 coco lumber	155	Pcs 2x2x12 coco lumber	200	Pcs 2x3x12 coco lumber	165	Pcs CW Nails 4”	35	Kgs CW Nails 2 ½ “	60	Kgs CW Nails 1 ½ “	25	Kgs 9mm x 6m deformed bars standard grade	65	Pcs 10mm x 6m deformed </t>
  </si>
  <si>
    <t xml:space="preserve"> ITEM NO.	QTY.	UNIT	ITEMS &amp; DESCRIPTION	 				 1	30	gals	Dissenfecting Solution	 			 - disinfectant solution concentrate 99.9% kills germs	 			even if diluted, fast and easy effective way to kill  wide	 			variety of harmful microorganisms, wide spectrum of</t>
  </si>
  <si>
    <t xml:space="preserve"> 1.	5	box/es	Vicryl 1 round 2.	5	box/es	Vicryl 2-0 round 3.	5	box/es	Vicryl 3-0 cutting 4.	5	box/es	Vicryl 4-0 round 5.	2	box/es	Monocryl 1 round 6.	2	box/es	Monocryl 3-0 round 7.	5	box/es	Prolene 2-0 cutting</t>
  </si>
  <si>
    <t xml:space="preserve"> ENGINE 4BE1 NO. OF CYLINDERS 4 TIRE SIZE FRONT 7.00 X 16 REAR 14" BATTERY SIZE 2PCS. 2SM TANK CAPACITY 2500 LITERS MORE OR LESS COLOR RED UNIT INCLUSIONS: WITH ENGINE DRIVEN FIRE PUMP WITH AXE WITH PICK MATOE WITH FIRE HOSE WITH LADDER WITH SIREN AND BLIN</t>
  </si>
  <si>
    <t xml:space="preserve"> 2000 reams PAPER, Multi-purpose (Copy) A4, 70gsm, 210mmx297mm</t>
  </si>
  <si>
    <t xml:space="preserve"> 900 ampule, Flupentixol Decanoate 20mg, injection</t>
  </si>
  <si>
    <t xml:space="preserve"> Request for Quotation for the Printing of Vegetable Production Guide, Urban Agriculture and Tarpaulins needed to create awareness and inform the general public on the various HVCDP technologies… 1.	The Department of Agriculture-Regional Field Office 7 (DA</t>
  </si>
  <si>
    <t xml:space="preserve"> Please quote your best price 600 pcs of Medical Hammer ABC: 180,000.00 Please email your quotation Please download canvass form</t>
  </si>
  <si>
    <t xml:space="preserve"> Republic of the Philippines Province of Bohol MUNICIPALITY OF GETAFE BIDS AND AWARDS COMMITTEE ________________________________________ INVITATION TO BID   FOR PURCHASE OF  MEDICINES SUPPLIES FOR MHO 2020 ( 3rd Quarter ) 	The  Municipality of Getafe,  Boh</t>
  </si>
  <si>
    <t xml:space="preserve"> 5 pcs, Tires 195/65 R15 for Toyota Revo SHB-551</t>
  </si>
  <si>
    <t xml:space="preserve"> 4000 tablet, Lithium Carbonate 450mg, tablet</t>
  </si>
  <si>
    <t xml:space="preserve"> Request for Quotation for the Procurement of 6 Units Drum Seeder needed in support to the implementation of the RICE UP Project 1.	The Department of Agriculture-Regional Field Office 7 (DA-RFO 7), through the General Appropriations Act of CY 2020)  intend</t>
  </si>
  <si>
    <t xml:space="preserve"> Materials: ¼  Marine Plywood             shts            30 ¾  Marine Plywood             shts            10 Good Lumber 1x2x8           pcs              200 Hinges 1 ½  x 1 ½                 pcs              50 Calsumine                             bags </t>
  </si>
  <si>
    <t xml:space="preserve"> 08112020-118 NOTICE FOR NEGOTIATED PROCUREMENT Publication: August 8, 2020 Closing: August 11, 2020 Name of Project	Purchase of Face Shield and Coverall Suit for the protection of Vigan City Frontliners during the COVID-19 Pandemic Approved Budget for the</t>
  </si>
  <si>
    <t xml:space="preserve"> Procurement of Desktop, Laptop, Fire Extinguisher, Multi Function Printer, Dome Type Camera, Patch Panel, Floor Mounted Air Conditioning Unit, Computer Cubicles &amp; Chairs, Switch Hub, WiFi Router, Smart LED TV, Welding Machine, Cultivator &amp; Shredder for th</t>
  </si>
  <si>
    <t xml:space="preserve"> 2 copy Engineering Fundamentals: An introduction to Eng'g 2 copy Engineering Mechanics:Statistics 1 copy Illustrated Guide to the National Electrical Code 1 copy Pipe Welding + PAC for Pipe Welding(VitalSource) 1 copy Carpentry,PAC for Carpentry (VitalSou</t>
  </si>
  <si>
    <t xml:space="preserve"> 2 pcs. Thermal Scanner 40 bots. Rubbing Alcohol 100ml 500 pcs. Surgical Mask (Learmers) 100 pcs. Antibaterial soap 60   pcs. FootBath 40   bot. Zonrox 80   pcs. Washable Mask 2     pcs. Spray Tank 80   rms. Paper Multicopy(legal Size) 40   pcs. Face Shiel</t>
  </si>
  <si>
    <t xml:space="preserve"> INVITATION TO APPLY FOR ELIGIBILITY AND TO BID (IAEB) August 7, 2020 The Barangay Madasigon of Molave, Zamboangadel Sur, through its Bids and Awards Committe (BAC), invites interested bidders to apply for eligibility and to bid for the hereunder project: </t>
  </si>
  <si>
    <t xml:space="preserve"> See attached document</t>
  </si>
  <si>
    <t xml:space="preserve"> Republic of the Philippines Province of Davao Oriental City of Mati BIDS &amp; AWARDS COMMITTEE INVITATION TO BID (REBID) Catering Services for 200 Pax for Use in “Bagong Bahay para sa Bagong Buhay” Outpatient Clients Graduation Ceremony SOURCE OF FUND: PADAC</t>
  </si>
  <si>
    <t xml:space="preserve"> see attached  RFQ</t>
  </si>
  <si>
    <t xml:space="preserve"> Republic of the Philippines Province of Palawan Municipality of Busuanga Invitation to Bid for ONE STOREY MULTI-PURPOSE BUILDING (PNP COMPOUND) Bgy. Salvacion, Busuanga Palawan 1.	The Local Government of Busuanga, through the CAPITAL OUTLAY intends to app</t>
  </si>
  <si>
    <t xml:space="preserve"> LOT A									 1	Unleaded Gasoline							1	lot	18,700.00 										 	Terms &amp; conditions:									 	    1. The supplier shall start to serve within three (3) days upon receipt of the advice									 	           from the project engineer until the project i</t>
  </si>
  <si>
    <t xml:space="preserve"> Active Vaccines	256	vial Inactivated Purified Vero Cell Rabies Vaccine (Wistar Strain Rabies) 2.5 IU/0.5 ml powder for suspension (ID/IM Injection)		 or		 Purified Chick Embrayo Cell Culture  Rabies Vaccine (Pitman-Moore Strain)) 2.5 IU/1.0 ml Lyophilized</t>
  </si>
  <si>
    <t xml:space="preserve"> PROJECT: PURCHASE HANGING CABINET (OPEN SHELVES 5 UNITS) LOCATION: ENGINEERING OFFICE, LGU-RIZAL, NUEVA ECIJA SOURCE OF FUND: GENERAL FUND ABC: PHP 67,600.00</t>
  </si>
  <si>
    <t xml:space="preserve"> Province of Benguet-CAR Municipality of Mankayan  BIDS AND AWARDS COMMITTEE INVITATION TO APPLY FOR ELIGIBILITY AND TO BID AUGUST 7, 2020 	The Municipal Government of Mankayan, through its Bids and Awards Committee, invites PhilGEPS registered supplier fo</t>
  </si>
  <si>
    <t xml:space="preserve"> 1 1 UNIT PRINTER - . - Ribbon Printer 2 1 UNIT PRINTER - . - All-in-One (Printing, Scanning, Photocopy)</t>
  </si>
  <si>
    <t xml:space="preserve"> 21 "Unit(s)" "Tires, 195 R15 (JMC/Foton Ambulance) -" "" 20 "Unit(s)" "Tires, 700 x 16 (Foton/Stake Truck/JAC) -" "" 15 "Pail(s)" "Oil, 15W40 -" "" 40 "Liter (s)" "Gear Oil, SAE-140 -" "" 40 "Liter (s)" "Gear Oil, SAE-90 -" "" 12 "Unit(s)" "Battery, 11 pl</t>
  </si>
  <si>
    <t xml:space="preserve"> see associated components for downloadable RFQ 2020-4244</t>
  </si>
  <si>
    <t xml:space="preserve"> Please see attached document.</t>
  </si>
  <si>
    <t xml:space="preserve"> The Technical Education and Skills Development Authority (TESDA), through the  Procurement Division/RFASD                                         						  will undertake a Shopping ( Sec. 52.1b ) for the  " Supply and delivery of office supplies     ",  		</t>
  </si>
  <si>
    <t xml:space="preserve"> ITEM NO.	QTY.	UNIT	ITEMS &amp; DESCRIPTION	 				 			Native Forest Tree Seedlings (3'- 4' in height)	 1	3013	seedlings	Tuai	 2	3012	seedlings	Molave	 3	2225	seedlings	Kalumpit	 				 			Fruit Trees Seedlings (3' - 4' in height)	 4	1209	seedlings	Lanzones	 5	120</t>
  </si>
  <si>
    <t xml:space="preserve"> Portable High Efficiency Particulate Air Filter Machine  (Portable HEPA Filter Machine) 2 Units ABC: P60,000.00 (@P30,000 per unit)   1. Please read the Technical Specifications for the Requirements. 2. Please quote your lowest price based on the attached</t>
  </si>
  <si>
    <t xml:space="preserve"> Republic of the Philippines Province of Davao Oriental City of Mati BIDS &amp; AWARDS COMMITTEE INVITATION TO BID Procurement of One (1) Unit MOTORCYCLE for Use of the Provincial Inspectorate Team SOURCE OF FUND: OLF [1999Z10-300-1-07-06-010] 1.	The Provincia</t>
  </si>
  <si>
    <t xml:space="preserve"> 1-lot CONST. MATERIALS FOR USE IN THE RENOVATION OF DICT-MC3 GUARD HOUSE AND WAITING SHED PLS SEE ATTACHED RFQ. Note: All deliveries by the suppliers shall be subject to inspection and acceptance by the inspection committee.																	 													</t>
  </si>
  <si>
    <t xml:space="preserve"> see associated components for downloadable RFQ 2020-4241</t>
  </si>
  <si>
    <t xml:space="preserve"> 1	set	Computer Desktop w/ Complete Accessories 		Casing with PSU Processor intel core i5-9100F  Mobo Gigabyte B365M 1151 8GB RAM DDR4 Memory 1TB 3.5 Sata Memory DVD Writer Samsung Video Card GT710 2GB SSD 240GB Monitor 22" UPS 650VA (with Computer Table G</t>
  </si>
  <si>
    <t xml:space="preserve"> ITEM NO.	QTY.	UNIT	ITEMS &amp; DESCRIPTION	 				 1	700	pcs	Eviare Sweet Jackfruit 	 			 - grafted, 0.60- 0.70m or 0.5m height; diameter: 4-5mm 	 			or pencil size; atleast 4-6 pairs of leaves: PE bag	 			size: 6x8", no trace to cut root from outside of seedli</t>
  </si>
  <si>
    <t xml:space="preserve"> Supply, Deliver and Install electrical and mechanical supply materials for the rehabilitation and improvement of Lapaz Pumping Station, Barangay Lapaz, Bais City x x x x x x x x x x x x x x x x x x x</t>
  </si>
  <si>
    <t xml:space="preserve"> August 17 - 22, 2020 Hingyon, Ifugao Meals and Snacks  - Snacks (AM and PM)  - Lunch (2 main dish, 1 side dish and dessert)  - Overflowing coffee for the whole duration of the training</t>
  </si>
  <si>
    <t xml:space="preserve"> 7 pcs.	Square Bar 12mm			            	   10 pcs.	Angle bar ¼ x 1			            	   10 pcs.	Angle bar ¼ x 2			            	   10 pcs.	Angle bar ¼ x 1 ½ 			            	   12 pcs.	C- Purlins G.I 2 x 3 x 1.5		            	   10 pcs.	Sand flex				 	    25 kls</t>
  </si>
  <si>
    <t xml:space="preserve"> 25 PAX FOOD FOR 5 DAYS 1 LOT HOTEL ACCOMODATION 1 LOT VAN RENTAL 1 LOT OFFICE SUPPLIES 1 LOT DOCUMENTATION</t>
  </si>
  <si>
    <t xml:space="preserve"> Supply of construction materials</t>
  </si>
  <si>
    <t xml:space="preserve"> The City Government of Santiago invites interested parties to submit price quotation for the “SUPPLY AND DELIVERY OF VARIOUS MEDICINES FOR TREATMENT AND VACCINATION OF ANIMALS“ City Hall, Santiago City, details as follows: ABC: Php  301,925.00 Contract Du</t>
  </si>
  <si>
    <t xml:space="preserve"> Meals and Snacks</t>
  </si>
  <si>
    <t xml:space="preserve"> RFQ-GS-20200724-01 Interested Suppliers are invited to submit Price Quotation for the above listed item. The official LANDBANK Request for Quotation Form may be obtained from MS. NADZ ILETO (tel no. 8 5512200 LOCALS 2979, 2290; email address: nadiaileto_2</t>
  </si>
  <si>
    <t xml:space="preserve"> Project Reference Number				: 	RFQ No. 2020-12								 Location of the Project				: 	BUREAU OF FIRE PROTECTION - REGIONAL HEADQUARTERS								 					"Maharlika Building, Gumamela Extension, Carmen, Cagayan de Oro City "								 Standard Form Number				:	SF</t>
  </si>
  <si>
    <t xml:space="preserve"> various office equipment, parts and accessories</t>
  </si>
  <si>
    <t xml:space="preserve"> Item	Unit	Quantity	Description		Unit	Amount No.					Cost	 1	50	REAM	CACTUS BOND SHORT	 177.00 	 8,850.00  2	40	REAM	LONG BOND PAPER (CACTUS)	 198.00 	 7,920.00  3	50	REAM	A4 BOND PAPER	 188.00 	 9,400.00  4	2	BOX	PILOT BALLPEN, BLUE	 375.00 	 750.00  5	10</t>
  </si>
  <si>
    <t xml:space="preserve"> PURCHASE OF HARDWARE MATERIALS FOR THE CONSTRUCTION OF EVACUATION CENTER PHASE IV OF BARANGAY PEREZ,SIBAGAT,AGUSAN DEL SUR</t>
  </si>
  <si>
    <t xml:space="preserve"> Repair, Calibration and Preventive Maintenance of Defibrillator		 Brand: Mindray; Model: Beneheart D6; Serial #DG-13003227		 		 Supply of the following spare parts:		 Supply of Adult and Pedia external paddles	 1 	 Supply of Li-ion Battery (5600mAh LI2410</t>
  </si>
  <si>
    <t xml:space="preserve"> 3,572 PCS CUSTUMIZED FACE MASK Remarks : 1. THE SUPPLIER MUST DELIVER THE ITEM WITH IN 72 HRS FROM THE TIME OF RECEIVED OF THE PURCHASED ORDER</t>
  </si>
  <si>
    <t xml:space="preserve"> Please quote your best price 400 pcs of Water Testing Kit ABC: 148,400.00 Please email your quotation Please download canvass form</t>
  </si>
  <si>
    <t xml:space="preserve"> Brand Approved Budget Contract per Item Name and Description of the Article / sUnitQTY.ITEM NO. P.R. No. :City Treasurer's Office 2020-06-2674 Date: 06/23/2020 Date: 175,000.00 3 in 1 3.5" CASH VAULT DOOR CONTROLLED BY FOUR (4) COMBINATION LOCKS WITH GRIL</t>
  </si>
  <si>
    <t xml:space="preserve"> * Transformer Type EFI * 12 Valve * 4WD * Siren &amp; Blinker * Full Steel Canopy with Passenger Set Back to Back Type * Logo &amp; Body Stickers * New Mags Wheel &amp; New Tires (Tires must be lifted) * Brand New Tires &amp; Battery * Jack with handle * Tire Wrench * Sp</t>
  </si>
  <si>
    <t xml:space="preserve"> "          Please quote your price(s) for the article(s) as specified in the list below for the Principal II of Libona NHS which are available in your store/establishment/company. If available, please furnish catalogue, descriptive brochures of literature</t>
  </si>
  <si>
    <t xml:space="preserve"> INVITATION FOR PRICE QUOTATION            				                                Date:  07 August 2020                                                                           For The                                                       Provision of Canopy</t>
  </si>
  <si>
    <t xml:space="preserve"> SY 2020-2021 Reproduction of ECCS First Quarter Modules 1. Riso ink KZ type  100 tubes 2. Riso Master KZ30  75 roll 3. A4 bond paper  1100 reams</t>
  </si>
  <si>
    <t xml:space="preserve"> CONSTRUCTION OF ONE (1) CLASSROOM TEMPORARY LEARNING SHELTER (TLS) AT BAGUMBAYAN CAMPUS I. MATERIAL COST  - 67,100.00 II. LABOR COST  A. COST DERIVED FORM EARTHWORKS : 1,600.00 B. COST DERIVED FROM MATERIALS : 16,600.00</t>
  </si>
  <si>
    <t xml:space="preserve"> Request for Quotation for the Procurement of 24 Units Knapsack Sprayer needed in support to the implementation of the RICE UP Project 1.	The Department of Agriculture-Regional Field Office 7 (DA-RFO 7), through the General Appropriations Act of CY 2020)  </t>
  </si>
  <si>
    <t xml:space="preserve"> 1	Portland Cement (Type 1)						193	bags 2	Washed Sand						10	cu.m. 3	Washed Gravel						18	cu.m. 4	12mmØ x 6.00m Reinforcing Steel Bar						8	lngth 5	1.5mm x 2" x 8" C-Purlins						4	lngth</t>
  </si>
  <si>
    <t xml:space="preserve"> Office supplies and devices</t>
  </si>
  <si>
    <t xml:space="preserve"> Republic of the Philippines Province of Quezon Municipality of Atimonan Barangay Sokol Project Reference No:  2020- Name of the Project: Purchase of Military Police &amp; Traffic Supplies  Location of the Project: Barangay Sokol  Atimonan, Quezon REQUEST FOR </t>
  </si>
  <si>
    <t xml:space="preserve"> REFER TO ATTACHED ITB NO. 014 OF 2020</t>
  </si>
  <si>
    <t xml:space="preserve"> INVITATION TO APPLY FOR ELIGIBILITY AND TO BID THE MUNICIPALITY OF CAIBIRAN, BILIRAN IS INVITING ALL INTERESTED BIDDERS ON ITS FORTHCOMING PUBLIC BIDDING FOR: Project Title 	: Acquisition of Pedicab (Small Transport)   Location	        : LGU - Caibiran, B</t>
  </si>
  <si>
    <t xml:space="preserve"> August 17 - 22, 2020 Asipulo, Ifugao Meals and Snacks  - Snacks (AM and PM)  - Lunch (2 main dish, 1 side dish and dessert)  - Overflowing coffee for the whole duration of the training</t>
  </si>
  <si>
    <t xml:space="preserve"> Project	 : PROPOSED REPAIR/REHABILITATION OF DAGUPAN POST OFFICE ( PHASE I) Location: POSTAL AREA 2  –  DAGUPAN CITY, PANGASINAN SCOPE OF WORKS I.	PERMITS a.	Application for building permits and other related permits, if necessary. b.	Application for elec</t>
  </si>
  <si>
    <t xml:space="preserve"> RFQ-19-2019 REQUEST FOR QUOTATION/PROPOSALS 	The Bureau of Jail Management and Penology Regional Office III (BJMPRO-III) through its Bids and Awards Committee (BAC), invite supplier/manufacturers/distributors/ contractors/bidders to quote the lowest gover</t>
  </si>
  <si>
    <t xml:space="preserve"> Republic of the Philippines Province of Davao Oriental City of Mati BIDS &amp; AWARDS COMMITTEE INVITATION TO BID Procurement of MEALS for Use in the Implementation of Drug-Free Work Policy and Implementation of PADAC Activities SOURCE OF FUND: PADAC [1999D-5</t>
  </si>
  <si>
    <t xml:space="preserve"> Republic of the Philippines Province of Iloilo Municipality of Lambunao Office of the Bids &amp; Awards Committee REQUEST FOR PRICE QUOTATION Name of Project: Purchase of Materials for the Const. of Brgy. Multi Purpose Hall - Continuation Location: Brgy. Mala</t>
  </si>
  <si>
    <t xml:space="preserve"> PLEASE SEE ATTACHED PURCHASE REQUISITION, TERMS AND REFERENCE AND BIDDING DOCUMENTS FOR DETAILS</t>
  </si>
  <si>
    <t xml:space="preserve"> Ambulance 3.0L Diesel, 4 Cylinder, In-Line 16V DOHC, Turbo Charged Direct Injection Common Rail Diesel (D-4D) 2,982cc Displacement 5-speed Manual (Dash-Mounted) Transmission Front Ventilated Disc Brakes Rear Drum Brakes 4,695mm x 1,695mm x 1,980mm 70 Lite</t>
  </si>
  <si>
    <t xml:space="preserve"> Quantity	Unit		Description		 900		boxes	Bond Paper Long  subs. 20		 6		pcs	        Long Reach Stapler		 80		bottle	Ink black</t>
  </si>
  <si>
    <t xml:space="preserve"> 1      unit      Laptop (Specifications: intel core i7-8750H processor (9M cache, up to 4.10 GHz)/ 8gb/ 1TB HDD + 128GB SSD/NVIDIA GeForce GTX 1050TI, ith 4GB GDDR5 VRAM/ 15.6” (16:9) FHD (1920 x 1080) 144Hz, Anti-Glare IPS-level Panel 20% NTSC Windows 10</t>
  </si>
  <si>
    <t xml:space="preserve"> 3-in-1 Printer of Barangay 1, Lucena City</t>
  </si>
  <si>
    <t xml:space="preserve"> Tires and Alignment</t>
  </si>
  <si>
    <t xml:space="preserve"> Please see attached</t>
  </si>
  <si>
    <t xml:space="preserve"> 20	pcs	Pencil sharpener 30	pcs	Notepad, stick on (3”x3”) 10	pcs	Puncher, paper, with two hole guide 30	pcs	Eraser, plastic/rubber, for pencil 10	box	Pencil, lead with eraser 60	cart	Ink cart, Canon 810, black 20	cart	Ink cart, Canon 811, colored 50	pairs	</t>
  </si>
  <si>
    <t xml:space="preserve"> " 2000	sq. ft.	          Production/ Layout, Printing and delivery of Tarpaulin Streamers with Various Sizes for DOH                                    WV CHD Special Events/Activities with the following specifications: 		 		 		 		Material: Tarpaulin #10 </t>
  </si>
  <si>
    <t xml:space="preserve"> Office Supplies and Consumables</t>
  </si>
  <si>
    <t xml:space="preserve"> 1.	The Municipal Government of El Nido, through the SUPPLEMENTAL #3-2020, intends to apply the sum of Two Million Seven Hundred Ninety Nine Thousand Four Hundred Seventeen Pesos and Fifty Centavos (₱ 2,799,417.50) being the Approved Budget for the Contrac</t>
  </si>
  <si>
    <t xml:space="preserve"> Item	Qty.	Unit of	ITEM  Description No.		Issue	 			 			 1	5500	cavans	RICE  (25kgs)</t>
  </si>
  <si>
    <t xml:space="preserve"> The significant times and deadlines of procurement activities are shown below:  Activities	Schedule 1. Receipt of LOIs from Prospective Bidders	August 11-17,2020 2. Issuance of Bidding Documents	August 18-24,2020 3. Pre-Bid Conference	n.a 4. Receipt of Bi</t>
  </si>
  <si>
    <t xml:space="preserve"> See associated components for complete details</t>
  </si>
  <si>
    <t xml:space="preserve"> Supplies/Materials for Learning Modules</t>
  </si>
  <si>
    <t xml:space="preserve"> Face shield – 300 pcs Alcohol (branded) – 45 gallon Disinfectant Spray 350ml – 45 bottles Surgical/Disposable mask, 50s – 12 boxes</t>
  </si>
  <si>
    <t xml:space="preserve"> 1	unit	Provision of van rental to service General Santos Branch 						Php__________		Php___________ 		Employees from August to December 2020								 										 		Scope of Works:								 		 - Daily service from Monday to Friday								 		 - at least 10hrs </t>
  </si>
  <si>
    <t xml:space="preserve"> Please quote your lowest price on item/s listed in the line item and submit your quotation duly signed by your authorized representative through email at bac.secretariat@pnu.edu.ph not later than August 18, 2020 @ 4PM. Note: 1. Delivery period within fift</t>
  </si>
  <si>
    <t xml:space="preserve"> ARTICLE AND DESCRIPTION                  										 ITEM	QTY	UNIT						CEILING 		UNIT PRICE			TOTAL  								PRICE					 			Office:  Office of the Vice Mayor					PR No. 947					 			Charge to: Other Supplies and Materials Expenses					OBR No. 100-2002-01169</t>
  </si>
  <si>
    <t xml:space="preserve"> Republic of the Philippines Province of Bohol Municipality of Tubigon BIDS AND AWARDS COMMITTEE Tel/Fax. No. (038) 508-8059 REQUEST FOR QUOTATION For Small Value Procurement under Sec. 53.9 of the Revised IRR of R.A. 9184 Quotation No: 2020-08-316 P. R. N</t>
  </si>
  <si>
    <t xml:space="preserve"> INVITATION TO BID IB NO. CW 2020 –  146 Improvement of Multi-Purpose Building at Poblacion, Mansalay, Oriental Mindoro 1.  The Provincial Government of Oriental Mindoro (PGOM) through the 20% Development Fund 2020 intends to apply the sum of Nine Hundred </t>
  </si>
  <si>
    <t xml:space="preserve"> Supply and Delivery of HEPATITIS B IMMUNOGLOBULIN (HUMAN), 0.5 ml IM HEPATITIS B IMMUNOGLOBULIN (HUMAN), 0.5 ml IM	vial	1,163	100	116,300.00 ------------------------------------------------------------------------------------------------------------------</t>
  </si>
  <si>
    <t xml:space="preserve"> Description Please quote your price inclusive of VAT on the item/s listed below, subject to the Terms and conditions of the RFQ, and submit your quotation duly signed by your representative not later than August 18, 2020 at CGSO for Goods. Upon receipt of</t>
  </si>
  <si>
    <t xml:space="preserve"> SPECIFICATIONS: 1. BOOK PAPER, LEGAL SIZE 80GSM 2. 75 CENTAVOS PER PAGE BACK TO BACK PLEASE PROVIDE US THE FOLLOWING: 1. BUSINESS PERMIT 2. PHILGEPS REGISTRATION 3. BIR 4. EXACT ADDRESS</t>
  </si>
  <si>
    <t xml:space="preserve"> Video Conferencing Camera for Large Group with Microphone Video Conferencing Camera for Small Group with Microphone Computer Laptop</t>
  </si>
  <si>
    <t xml:space="preserve"> Lot 1.	Procurement of office supplies for official use of DENR-PENRO Bohol for the 2nd semester of C.Y. 2020 	 	 	COMMON OFFICE SUPPLIES 		 1	Bondpaper Sub 20 short	150 reams	 2	Bondpaper Sub 20 A4	100 reams	 3	Bondpaper Sub 20 A3	  10 reams              </t>
  </si>
  <si>
    <t xml:space="preserve"> Brgy. Amucao Project Billboard,  Safety and Health,  Removal of Existing Concrete Pavement,  Aggregate Base Course,  PCCP Brgy. batang-Batang Project Billboard,  Safety and Health,  Sub-Grade Preparation,  Aggregate Base Course,  PCCP,  RCPC Prospective B</t>
  </si>
  <si>
    <t xml:space="preserve"> PROPOSED REHABILITATION AND UPGRADING OF EXISTING STREETLIGHTING ALONG PONTE ST., LOCATED AT BRGY. SINGKAMAS/TEJEROS/STA. CRUZ, MAKATI CITY -ORDER OF PAYMENT FOR BID DOCS WILL BE AVAILABLE AT GSD-HEAD OFFICE @ 10TH FLOOR MAKATI CITY HALL BLDG. 2. LOOK FOR</t>
  </si>
  <si>
    <t xml:space="preserve"> Republic  of  the  Philippines  Province  of  Marinduque MUNICIPALITY  OF  GASAN INVITATION TO BID FOR THE IMPROVEMENT OF HEALTH FACILITY AND STRUCTURE 1.	The Municipality of Gasan, through  20% Development Fund  CY 2020, Municipal Sponsored Project inten</t>
  </si>
  <si>
    <t xml:space="preserve"> Republic of the Philippines BATANGAS STATE UNIVERSITY Batangas City REQUEST FOR QUOTATION "Procurement of Service for the Video Production for the Development of Incubation Program Module" 1. The Batangas State University (BatState U) through the Bids and</t>
  </si>
  <si>
    <t xml:space="preserve"> Please find attached TOR</t>
  </si>
  <si>
    <t xml:space="preserve"> to purchase Laboratory supplies to be use at Pila RHU</t>
  </si>
  <si>
    <t xml:space="preserve"> ITEMS OF WORK: 	 DESCRIPTIONS: A.	Structure Excavation B.	Embankment (Backfill) C.	Reinforcing Steel D.	Reinforced Concrete Works E.	Formworks and Scafoldings F.	Masonry Works G.	Roofing Works H.	Electrical Works I.	Plumbing/Sanitary Works J.	Doors and Wi</t>
  </si>
  <si>
    <t xml:space="preserve"> 1.	The Municipality of Impasugong, through the SEF-Capital Outlay – Purchase of 5 Units Risograph Machines intends to apply the sum Five Hundred Forty Four Thousand Six Hundred Seven &amp; 35/100 Pesos (PhP 500,000.00) being the Approved Budget for the Contra</t>
  </si>
  <si>
    <t xml:space="preserve"> Republic of the Philippines					 PROVINCE OF SOUTHERN LEYTE					 Maasin City					 	Standard Form No.: SF-GOOD-60			 Project Reference No. 332	 	Revised on:  May 24, 2004			 Name of the Project:  _______	 	Standard Form Title:                              </t>
  </si>
  <si>
    <t xml:space="preserve"> REQUEST FOR QUOTATION The Local Government of San Mateo, through its Bids and Awards Committee (BAC), invites suppliers, manufacturers, distributors, contractors registered with the BAC in the Local Government of San Mateo, to apply for eligibility and if</t>
  </si>
  <si>
    <t xml:space="preserve"> 1.	The Municipal Government of El Nido, through the SEF Del Sur Construction of Oval El Nido Central School, intends to apply the sum of Two Hundred Seventy Five Thousand Two Hundred Sixty Pesos (P 275,260.00) being the Approved Budget for the Contract (A</t>
  </si>
  <si>
    <t xml:space="preserve"> REQUEST FOR QUOTATION For Negotiated Procurement thru Small Value Procurement under Sec. 53.9 of the 2016 Revised IRR of RA 9184 Quotation No.:  2020-05-171 (3RD QUOTE) Date: August 10, 2020 PR No.: 20-05-179 PR Date: May 14, 2020 The Metropolitan Tuguega</t>
  </si>
  <si>
    <t xml:space="preserve"> 1	10000	liters	diesel				 2	5400	liters	prem. Gasoline				 			x-x-x-x-x-x-x-x-x-x</t>
  </si>
  <si>
    <t xml:space="preserve"> LABOR AND MATERIALS FOR THE REHABILITATION/ CONSTRUCTION OF BARANGAY BOUNDARY MARKER (ARKO)</t>
  </si>
  <si>
    <t xml:space="preserve"> Republic of the Philipppines Province of Palawan Municipality of Taytay BIDS AND AWARDS COMMITTEE RFQ no.:2020 Date: August 11, 2020 REQUEST FOR PRICE QUOTATION (Procurement of various) Sir/Madam: You're hereby invited to quote your price(s) on the articl</t>
  </si>
  <si>
    <t xml:space="preserve"> Republic of the Philippines PROVINCE OF SOUTHERN LEYTE Maasin City Invitation to Bid for the Procurement of Newspaper Publication of Three (3) SP Ordinances  Contract ID # 2020-09-01-461PG 1.	The Provincial Government of Southern Leyte through the OSP – p</t>
  </si>
  <si>
    <t xml:space="preserve"> 8 pcs. Camia Rice  1 box Sardines 1 pc. Lucky Me Noodles Beef 1 pc. Lucky Me Noodles Chicken 1 box Silver Swan Toyo 1 Box Silver Swan Vinegar</t>
  </si>
  <si>
    <t xml:space="preserve"> 1 Lot CONSTRUCTION MATERIALS AND HARDWARE SUPPLIES</t>
  </si>
  <si>
    <t xml:space="preserve"> For the replacement of defective Grundfos booster pump #2 installed in the main pump house servicing gthe Main Bldg., Annex I, V, VI Bldgs. and SCCA Bldg. Requirements: 1.  2020 Business permit 2.  Philgeps Registration 3.  BIR Registration (Form 2303)</t>
  </si>
  <si>
    <t xml:space="preserve"> Republic of the Philippines			 Province of Negros Oriental			 Municipality of Amlan			 BIDS AND AWARDS COMMITTEE			 			 INVITATION TO BID			 			 The Municipality of Amlan, Negros Oriental invites all interested bidders/suppliers  to a competitive bidding </t>
  </si>
  <si>
    <t xml:space="preserve"> Stickering and Fabrication of Early Warning Signages Php250,100.00</t>
  </si>
  <si>
    <t xml:space="preserve"> Fisheries Inspection and Quarantine Division Sticker (10,000 pcs @ 7.50 each)			10,000	pcs	75,000.00 					 Specifications:					 1 color with die cutting 2x2 in diameter					 (please see attached sample)					 					 Total					75,000.00</t>
  </si>
  <si>
    <t xml:space="preserve"> See Program of Works and Bill of Quantities:</t>
  </si>
  <si>
    <t xml:space="preserve"> The Local Government Unit of Santa Elena, Camarines Norte is requesting for quotation of survey works services for Solid Waste Management Facility to be procured via Small Value Procurement. Survey works to include: a. Verification/Relocation Survey works</t>
  </si>
  <si>
    <t xml:space="preserve"> OPLAN SAGIP BUHAY (3RD QUARTER)</t>
  </si>
  <si>
    <t xml:space="preserve"> A4 SIZE COPY PAPER</t>
  </si>
  <si>
    <t xml:space="preserve"> PURCHASE</t>
  </si>
  <si>
    <t xml:space="preserve"> INVITATION TO BID  Please quote your lowest price inclusive of VAT on the item/s listed below, subject to the Terms and Conditions of this RFQ, and submit your quotation duly signed by your representative not later than August 17, 2020 at 2 in the afterno</t>
  </si>
  <si>
    <t xml:space="preserve"> Quantity	Unit of	Item Description			 	Issue				 7	lit	Havoline 			 24	lits	Rev x 			 13	lits	Brake Fluid 			 2	gals	Rev x 4L 			 12	pail	Hydraulic Fluid 			 57	lit	Delo Gold 			 2	lits	Power Steering Fluid 			 4	pcs	Battery Terminal 			 2	pcs	3sm Battery	</t>
  </si>
  <si>
    <t xml:space="preserve"> 1	50	kgs	Chicken Feeds: Starter		 2	50	kgs	Chicken Feeds: Grower		 3	25	heads	21-day old chicks 		 4	25	pcs	Apron		 5	25	heads	60-old chicken		 6	10	pcs	Feeding trough		 7	10	pcs	Waterer (1 ltr)		 8	25	pcs	Seedling Tray		 9	1	 pc 	Water container (Drum 20</t>
  </si>
  <si>
    <t xml:space="preserve"> Location: Mabuhay, Sergio Osmeña, Zamboanga del Norte WORKS: ITEM NO. / QUANTITY / UNIT / ITEM DESCRIPTION I. / 126.00 / sq.m. / SITE WORKS II. / 539.45 / kgs. / REINFORCING STEEL BARS III. / 16.20 / cu.m. / CONCRETE WORKS IV. / 46.88 / cu.m. / GROUTED RI</t>
  </si>
  <si>
    <t xml:space="preserve"> 1	1	unit	(1HP) Remote Aircondition Unit				 2	1	unit	5 Tons Floormounted Aircondition Unit				 			(7HP) Inverter Model: KLG-1F70-2C1M				 			x-x-x-x-x-x-x-x-x-x</t>
  </si>
  <si>
    <t xml:space="preserve"> Representation Expenses</t>
  </si>
  <si>
    <t xml:space="preserve"> BIDS AND AWARDS COMMITTEE INVITATION TO BID The DEPARTMENT OF HEALTH – CENTRAL VISAYAS CENTER FOR HEALTH DEVELOPMENT (DOH – CV CHD), through its Bids and Awards Committee (BAC), invites suppliers to bid for the hereunder items: BAC NO. 2020-G08	NAME OF PR</t>
  </si>
  <si>
    <t xml:space="preserve"> Republic of the Philippines Province of Bohol Municipality of Getafe Bids and Awards Committee Poblacion, Getafe, Bohol Telephone No. (038) 514-9048 REQUEST FOR QUOTATION RFQ NO. 1. The Municipality of Getafe, Bohol through its Bids and Awards Committee (</t>
  </si>
  <si>
    <t xml:space="preserve"> 30	packs	Energy saver Compact Fluorescent Twister 		Light Bulb, 13 watts, soft white, 4Bulbs/pack 		 20	piece	LED Ceiling Bulb, UFO Type, 24 watts, Cool Daylight 		 2	rolls	Wire, THHN, Stranded, #14, 150mtrs/roll 		 2	rolls	Wire, THHN, Stranded, #12, 150m</t>
  </si>
  <si>
    <t xml:space="preserve"> Supply and Delivery of Various Office Supplies  Toner Cartridge	unit	6,500	10	65,000.00 Drum Unit	unit	8,500	3	25,500.00 --------------------------------------------------------------------------------------------------------------------------------- **Pl</t>
  </si>
  <si>
    <t xml:space="preserve"> The Municipality of Alfonso Lista, Ifugao assumes no responsibility whatsoever to compensate or indemnify bidders for any expenses incurred in the preparation of the Bid. Source of fund: MDRRM Fund  2020 see attached price quotation</t>
  </si>
  <si>
    <t xml:space="preserve"> INVITATION TO APPLY FOR ELIGIBILITY AND TO BID 	The local Government Unit of Can-avid, through is Bid and Awards Committee (BAC). Invites suppliers to apply for eligibility, to bid for the hereunder contract: Name of Contract:      CONCRETING OF BARANGAY </t>
  </si>
  <si>
    <t xml:space="preserve"> 4	set	13 Blades Jal. Plus Analoc Frame 52	pcs	3/16 x 0.10m x 0.60m Clear Glass Jalousie Blade 2	pcs	Lockset</t>
  </si>
  <si>
    <t xml:space="preserve"> PROJECT:PURCHASE OF COMPUTER SET LOCATION:ACCOUNTING OFFICE, LGU-RIZAL, NUEVA ECIJA SOURCE OF FUND:GENERAL FUND ABC:PhP 75,000.00</t>
  </si>
  <si>
    <t xml:space="preserve"> The AGRICULTURAL TRAINING INSTITUTE-REGIONAL TRAINING CENTER (ATI-RTC) X, through the 2020 General Appropriations Act intends to apply the sum of Eleven Thousand Five Hundred Pesos (P 11,500.00) being the Approved Budget for the Contract (ABC) to payments</t>
  </si>
  <si>
    <t xml:space="preserve"> Delivery and Supply of Construction Materials for the Rehabilitation of Barangay Multi-Purpose Hall</t>
  </si>
  <si>
    <t xml:space="preserve"> Republic of the Philippines					 PROVINCE OF SOUTHERN LEYTE					 Maasin City					 	Standard Form No.: SF-GOOD-60			 Project Reference No. 334	 	Revised on:  May 24, 2004			 Name of the Project:  _______	 	Standard Form Title:                              </t>
  </si>
  <si>
    <t xml:space="preserve"> Republic of the Philippines					 PROVINCE OF SOUTHERN LEYTE					 Maasin City					 	Standard Form No.: SF-GOOD-60			 Project Reference No. 333	 	Revised on:  May 24, 2004			 Name of the Project:  _______	 	Standard Form Title:                              </t>
  </si>
  <si>
    <t xml:space="preserve"> 1 Lot HARWARE, ELECTRICAL SUPPLIES AND CONSTRUCTION MATERIALS</t>
  </si>
  <si>
    <t xml:space="preserve"> 2 pcs. MAXXIS Tire 195R14</t>
  </si>
  <si>
    <t xml:space="preserve"> PES Various Office Supplies available at PS 2020 with the alloted budget of Php 40,000.00 QTY Unit Agency Specification Bidders Specification  20 ream paper multi copy, 80 gsm size 216mm x 330  15 ream paper multi copy A4 70gsm  2 pc Record book 300 pages</t>
  </si>
  <si>
    <t xml:space="preserve"> Please see attached file in Associated Components.</t>
  </si>
  <si>
    <t xml:space="preserve"> INVITATION TO APPLY FOR ELIGIBILITY AND TO BID The Municipal Government of   San Luis, Batangas, through its Bids and Awards Committee (BAC), invites contractors registered with and classified by the Philippine Contractors Accreditation Board (PCAB) to ap</t>
  </si>
  <si>
    <t xml:space="preserve"> Republic of the Philippines						 City Government of Davao						 						 INVITATION TO BID						 for Infrastructure Projects B16-2020						 						 The City Government of Davao now invites bidders for the project/s under B16-2020 as listed below.   The pros</t>
  </si>
  <si>
    <t xml:space="preserve"> Item	Qty.	Unit of	ITEM  Description No.		Issue	 1	442	ream	Bond Paper (long)</t>
  </si>
  <si>
    <t xml:space="preserve"> ARTICLE AND DESCRIPTION                  										 ITEM	QTY	UNIT						CEILING 		UNIT PRICE			TOTAL  								PRICE					 			Office:  Office of the Vice Mayor					PR No. 944					 			Charge to: Other Supplies and Materials Expenses					OBR No. 100-2007-6302	</t>
  </si>
  <si>
    <t xml:space="preserve"> Republic of the Philippines					 PROVINCE OF SOUTHERN LEYTE					 Maasin City					 	Standard Form No.: SF-GOOD-60			 Project Reference No. 336	 	Revised on:  May 24, 2004			 Name of the Project:  _______	 	Standard Form Title:                              </t>
  </si>
  <si>
    <t xml:space="preserve"> Republic of the Philippines Province of Negros Occidental Municipality of Valladolid INVITATION TO BID  PROCUREMENT OF OFFICE SUPPLIES -BOND PAPERS 1.	The Municipality of Valladolid, through the Special Education Fund (SEF) intends to apply the sum of Fou</t>
  </si>
  <si>
    <t xml:space="preserve"> Photocopier</t>
  </si>
  <si>
    <t xml:space="preserve"> Long Bond Paper 8 1/2 x13 @ 50 gsm for 532 students combined Gr 11 and Gr 12 population; 8 subjects at 65 pages each per month; 553 reams per month for 2 months</t>
  </si>
  <si>
    <t xml:space="preserve"> 6 pcs jetmatic pump ( champion ) 3 roll/box hose 1" ( blue ) 5 pcs blue pipe 5 pcs 9MM steel 5 bags rizal cement 1/2 elf  w/ sand</t>
  </si>
  <si>
    <t xml:space="preserve"> 1	5	Pcs.	Polo Shirt White/Light Yellow Including Printing 2XL				 2	35	Pcs.	Polo Shirt White/Light Yellow Including Printing XL				 3	30	Pcs.	Polo Shirt White/Light Yellow Including Printing Large				 4	30	Pcs.	Polo Shirt White/Light Yellow Including Prin</t>
  </si>
  <si>
    <t xml:space="preserve"> Name of the Procuring Entity: TONDO MEDICAL CENTER Name of the Project: Hiring of Service Provider for the Maintenance and  Calibration of Various Medical Equipment      			                                          Location of the Project: Tondo Medical C</t>
  </si>
  <si>
    <t xml:space="preserve"> BY LOT 14 pcs 1 person workstation • Half glass • Dimensions: L124 x W64 x H105cm 4 pcs Executive Table • Walnut color • Dimensions: L120 x W60 x H75cm 2 pcs Office Desk • 4 drawers, 2 swing door • Dimensions: 140 x 70 x 75cm 5 pcs Foldable Table • Walnut</t>
  </si>
  <si>
    <t xml:space="preserve"> 1.	The Municipal Government of El Nido, through the MEO SUPPLEMENTAL # 3, intends to apply the sum of Three Hundred Thousand Pesos (P 300,000.00) being the Approved Budget for the Contract (ABC) to payments for the Procurement of Diesel for MEO of the Mun</t>
  </si>
  <si>
    <t xml:space="preserve"> The Municipality of Alfonso Lista, Ifugao assumes no responsibility whatsoever to compensate or indemnify bidders for any expenses incurred in the preparation of the Bid. Source of fund: Supplemental Budget 2020 See attached price quotation</t>
  </si>
  <si>
    <t xml:space="preserve"> REPRODUCTION OF MODULES FOR TAGOLOAN NATIONAL HIGH SCHOOL, TAGOLOAN, MISAMIS ORIENTAL PLEASE DIRECTLY CONTACT QUEENIE RHICK M. GIL THRU 0936 256 4692 924,000 PAGES SHOULD BE PRINTED FROM AUGUST 14 TO 20, 2020</t>
  </si>
  <si>
    <t xml:space="preserve"> Republic of the Philippines					 PROVINCE OF SOUTHERN LEYTE					 Maasin City					 	Standard Form No.: SF-GOOD-60			 Project Reference No. 335	 	Revised on:  May 24, 2004			 Name of the Project:  _______	 	Standard Form Title:                              </t>
  </si>
  <si>
    <t xml:space="preserve"> DVR 16 CHANNEL  16 cameras 2mp ( 1080p) 1 HDD 4TB Seagate 1 50" Inches Monitor 1 32' Inches Monitor Included items 1 pc mouse UTP Cable BNC and DC Male Power Adapter /Centralized Power Supply Materials , conduit and installation remote viewing thru IPAD T</t>
  </si>
  <si>
    <t xml:space="preserve"> Republic of the Philippines										 Province of Misamis Oriental										 CITY OF EL SALVADOR										 										 REQUEST FOR QUOTATION										 								No.	2020-08-917	 										 										 										 	Please quote your price on the item/s listed b</t>
  </si>
  <si>
    <t xml:space="preserve"> PROPOSED REHABILITATION AND UPGRADING OF EXISTING STREETLIGHTING ALONG P. MEDINA ST., LOCATED AT BRGY. PIO DEL PILAR, MAKATI CITY -ORDER OF PAYMENT FOR BID DOCS WILL BE AVAILABLE AT GSD-HEAD OFFICE @ 10TH FLOOR MAKATI CITY HALL BLDG. 2. LOOK FOR MR. REDEN</t>
  </si>
  <si>
    <t xml:space="preserve"> Republic of the Philippines  BATANGAS STATE UNIVERSITY Batangas City REQUEST FOR QUOTATION "Procurement of Service for the Marketing Production and Management System in Boosting the TBI 4.0-KITE Programs and Services" 1. The Batangas State University (Bat</t>
  </si>
  <si>
    <t xml:space="preserve"> Invitation to Bid CONTRACT ID # 20-08-110 Contract Name: PROPOSED COMPLETION OF MALANGAS RHU Approved Budget for the Contract (ABC) : Php 2,474,058.86 Cost of Bidding Documents: Php 5,000.00 1. The DOH - ZAMBOANGA PENINSULA- CENTER FOR HEALTH DEVELOPMENT,</t>
  </si>
  <si>
    <t xml:space="preserve"> For the use of Antipolo City Hospital System-Annex IV Mambugan. 10 units PVC Gang Chair (5 Seater) * Five (5) seater with back and seat rest, steel black powdered coated oven baked finished base with center post</t>
  </si>
  <si>
    <t xml:space="preserve"> 1.	The Municipal Government of El Nido, through the MEO SUPPLEMENTAL # 3, intends to apply the sum of Eight Hundred Ninety Nine Thousand Eight Hundred Thirty Pesos (P 899,830.00) being the Approved Budget for the Contract (ABC) to payments for the Procure</t>
  </si>
  <si>
    <t xml:space="preserve"> The following are the supplies for the repair and maintenance  of various facilities of the College: 1. Five (5) meters Extension Cord - 2 pcs 2. Three (3) pin Adaptor - 4 pcs 3. Telephone wire - 1 box 4. Telephone box - 2 units 5. Three (3) meters Extens</t>
  </si>
  <si>
    <t xml:space="preserve"> 1	5000	Liters	Diesel				 2	21	Liters	Oil#40 (Trekker)				 3	6	Pcs	fuel filter				 4	6	Pcs	oil filter				 			x-x-x-x-x-x-x-x-x-x</t>
  </si>
  <si>
    <t xml:space="preserve"> Republic of the Philippines					 PROVINCE OF SOUTHERN LEYTE					 Maasin City					 	Standard Form No.: SF-GOOD-60			 Project Reference No. 338	 	Revised on:  May 24, 2004			 Name of the Project:  _______	 	Standard Form Title:                              </t>
  </si>
  <si>
    <t xml:space="preserve"> Three (3) ea Aircon Condenser and forty four (44) other L/I</t>
  </si>
  <si>
    <t xml:space="preserve"> Supply and Delivery of Various Sizes for Gauze Sterile Gauze sterile, 2 x 2 x 16 ply, 24 x 28 mesh, sterilized for dressing (pack of 2)	pack	10	2,000	20,000.00 Gauze pad, 4 x 16 x 32 ply, 28 x 24 mesh, sterile, pack of 2	pack	45	2,000	90,000.00 Gauze ster</t>
  </si>
  <si>
    <t xml:space="preserve"> 828 pcs Ethyl Alcohol, 68%-70%, Scented, 500ml per piece</t>
  </si>
  <si>
    <t xml:space="preserve"> PR#	2020-08-0418 CONSERVATION DEVELOPMENT DIVISION	 4	unit	PRINTER, print/scan/copy ink tank with top feeder paper	 55,600.00 	 							 				 		ALL ENTRIES SHOULD BE TYPEWRITTEN / LEGIBLY WRITTEN		 REQUIREMENTS				 	FOR BELOW P 50,000.00			 		1. PhilGEPS R</t>
  </si>
  <si>
    <t xml:space="preserve"> Citation Tickets (New-curfew and no face mask violation) Triplicate 8.5 x 4.3 inches</t>
  </si>
  <si>
    <t xml:space="preserve"> See Attached RFQ</t>
  </si>
  <si>
    <t xml:space="preserve"> Republic of the Philippines																					 BIDS AND AWARDS COMMITTEE																					 Dagupan City																					 																					 																					 Request for Quotation (RFQ)																					 																					 Procuremen</t>
  </si>
  <si>
    <t xml:space="preserve"> 20		Purhase of Toner Genuine (Samsung) 		 		Item Name: MLT-D111S</t>
  </si>
  <si>
    <t xml:space="preserve"> Invitation to Bid CONTRACT ID # 20-08-109 Contract Name: PROPOSED COMPLETION OF HALFWAY HOUSE AT ROXAS RHU Approved Budget for the Contract (ABC) : Php 989,999.81 Cost of Bidding Documents: Php 1,000.00 1. The DOH - ZAMBOANGA PENINSULA- CENTER FOR HEALTH </t>
  </si>
  <si>
    <t xml:space="preserve"> PROPOSED REHABILITATION AND UPGRADING OF EXISTING STREETLIGHTING ALONG PASONG TIRAD ST., LOCATED AT BRGY. LA PAZ/TEJEROS, MAKATI CITY -ORDER OF PAYMENT FOR BID DOCS WILL BE AVAILABLE AT GSD-HEAD OFFICE @ 10TH FLOOR MAKATI CITY HALL BLDG. 2. LOOK FOR MR. R</t>
  </si>
  <si>
    <t xml:space="preserve"> 1	20	Pcs	Columnar book 24 columns				 2	100	Pcs	Folder green expander with tab				 3	20	Rolls	Scotch tape 3 inches				 4	300	Bots	Isoprophly rubbing alcohol 70% solution 500ml				 5	50	Pcs	Board marker (blue and black) (bullet tip)				 6	10	Pcs	Continuous</t>
  </si>
  <si>
    <t xml:space="preserve"> Production and Printing of DOH WV CHD Annual Report and Newsletter with the following specifications: 		 		 200		a. 2019  Annual Report 		No. of copies: 2000 		# of pages: 28 pages including the cover 		 500		b. 2020 Newsletter 		No. of copies: 500 		# of</t>
  </si>
  <si>
    <t xml:space="preserve"> Prospective Bidders should have experience in undertaking similar project within the last 5 years with an amount of at least   25% of the proposed project for bidding. Partial bidding is not allowed. The eligibility checks/screening   as well as the Preli</t>
  </si>
  <si>
    <t xml:space="preserve"> PROPOSED REHABILITATION AND UPGRADING OF EXISTING STREETLIGHTING ALONG DON CHINO ROCES AVENUE LOCATED AT VARIOUS BARANGAYS OF MAKATI CITY -ORDER OF PAYMENT FOR BID DOCS WILL BE AVAILABLE AT GSD-HEAD OFFICE @ 10TH FLOOR MAKATI CITY HALL BLDG. 2. LOOK FOR M</t>
  </si>
  <si>
    <t xml:space="preserve"> Seventy six (ea) 1/4 thk plywood and twelve (12) other L/I</t>
  </si>
  <si>
    <t xml:space="preserve"> Republic of the Philippines									 Department of Health									 Regional Health Office – Central Visayas									 SAINT ANTHONY MOTHER AND CHILD HOSPITAL									 Basak San Nicolas, Cebu City									  (032) 261-9989 local 1205 /239-2741									 Email</t>
  </si>
  <si>
    <t xml:space="preserve"> QTY UNIT DESCRIPTION 25 PAX Complete meals (5 days)</t>
  </si>
  <si>
    <t xml:space="preserve"> Republic of the Philippines					 PROVINCE OF SOUTHERN LEYTE					 Maasin City					 	Standard Form No.: SF-GOOD-60			 Project Reference No. 	 	Revised on:  May 24, 2004			 Name of the Project:  _______	 	Standard Form Title:                                 </t>
  </si>
  <si>
    <t xml:space="preserve"> Please see attached file</t>
  </si>
  <si>
    <t xml:space="preserve"> Republic of the Philippines Province of Oriental Mindoro Municipality of Bulalacao INVITATION TO BID FOR  Procurement of Construction Materials for Construction of Rural Health Unit II August 3, 2020 1.	The Municipality of Bulalacao, through the DOH-HFEP </t>
  </si>
  <si>
    <t xml:space="preserve"> ITEMS OF WORK: 	DESCRIPTIONS: A.	Stone Works B.	Driveway/Pathwalk C.	Pluming Works D.	Electrical Works E.	Landscaping Works</t>
  </si>
  <si>
    <t xml:space="preserve"> *DETERGENT POWDER - 45g/pack, 240's/box (16 boxes) *FABRIC CONDITIONER - 25/28ml, 360's/box (10 boxes) *DETERGENT - Superwhite (3 sacks) *MOP - Rubber Foam Mop, Heavy Duty, Refillable, w/ Handle (50 pcs) *MOP HEAD - Rubber Foam (100 pcs) *RAG - Large Size</t>
  </si>
  <si>
    <t xml:space="preserve"> Laptop 		unit	1 Core i7						 10th Generation</t>
  </si>
  <si>
    <t xml:space="preserve"> Item Number	Description	 QTY 	UNIT	 ESTIMATED BUDGET  1	Meals / AM and PM Snacks for 5 days	64	pax	 200,000.00  	xxxxxxxxxx			 			TOTAL:	Php 200,000.00</t>
  </si>
  <si>
    <t xml:space="preserve"> rms	short bond paper	1500 tube	riso ink kz4	10 tube	riso master	10</t>
  </si>
  <si>
    <t xml:space="preserve"> INVITATION TO BID The Barangay BUGHO  of Loboc, Bohol through its Bids and Awards Committee (BAC), invites Contractors registered within and classified by the Philippine Contractors Accreditation Board (PCAB) to apply for eligibility, and if found eligibl</t>
  </si>
  <si>
    <t xml:space="preserve"> 10 pcs Executive Chair  3 pcs. executive chair # 6092</t>
  </si>
  <si>
    <t xml:space="preserve"> PURCHASE OF VARIOUS PPEs TO PROTECT WORKFORCE FROM THE COVID-19 PANDEMIC AND PROMOTE THE WELFARE OF THE AGENCY</t>
  </si>
  <si>
    <t xml:space="preserve"> 184 838.00</t>
  </si>
  <si>
    <t xml:space="preserve"> Delivery and Supply of Complete set of Computer and Accessories</t>
  </si>
  <si>
    <t xml:space="preserve"> BLGU-PAGSANGAN-AL-01-2020 CONCRETING OF BARANGAY PATHWAY PHASE II</t>
  </si>
  <si>
    <t xml:space="preserve"> PROPOSED ROAD IMPROVEMENT OF PAGKAKAISA ST., LOCATED AT BRGY. KASILAWAN, MAKATI CITY -ORDER OF PAYMENT FOR BID DOCS WILL BE AVAILABLE AT GSD-HEAD OFFICE @ 10TH FLOOR MAKATI CITY HALL BLDG. 2. LOOK FOR MR. REDEN VILLANUEVA. A COMPLETE SET OF BIDDING DOCUME</t>
  </si>
  <si>
    <t xml:space="preserve"> 1 unit 9HP Diesel Engine 1 unit Rice Mill/Hammer</t>
  </si>
  <si>
    <t xml:space="preserve"> Republic of the Philippines Province of Iloilo Municipality of Lemery 	 Invitation to Bid 1.	The Municipality of  Lemery, Iloilo, through  the  Provincial Aid  intends to apply the sum of  One  Million Pesos (1,000,000.00) being the Approved  Budget  for </t>
  </si>
  <si>
    <t xml:space="preserve"> 1	1000	Liters	Premium Gasoline				 			x-x-x-x-x-x-x-x-x-x</t>
  </si>
  <si>
    <t xml:space="preserve"> 1.	The Municipality of Impasugong, through the Barangay Downloaded Fund intends to apply the sum Two Hundred Nineteen Thousand Six Hundred Pesos (PhP219,600.00) being the Approved Budget for the Contract (ABC) to payments under the contract for PR No. 20-</t>
  </si>
  <si>
    <t xml:space="preserve"> ITEMS OF WORK:	     DESCRIPTIONS: A.	Structure Excavation B.	Embankment (Backfill) C.	Pathwalk D.	Electrical Works E.	Masonry Works F.	Reinforced Concrete Works G.	Plastering Works H.	Stone Works I.	Plumbing Works J.	Fabrication Works K.	Signages L.	Plant</t>
  </si>
  <si>
    <t xml:space="preserve"> 70   pcs    mm Corr Bar 70   pcs    8 mm corr Bar 20   bdls   Cyclone wire 2x3x4 30   pcs    Plywood 1/4x4x8 4    pcs     Flood lights  (50 w) 50   mtrs   SDW (#4) 5     roll     Stranded wire  #12 4     pcs     Safety  Breaker (15A) 30   pcs     Led Bulb</t>
  </si>
  <si>
    <t xml:space="preserve"> The Provincial Government of Occidental Mindoro, through its Bids &amp; Awards Committee (BAC), will undertake a Shopping for the project stated below, in accordance with Section 52.1 (b) of Revised IRR of Republic Act 9184.									 Name of Project:	 Supply </t>
  </si>
  <si>
    <t xml:space="preserve"> PLEASE SEE ATTACHED PURCHASE REQUEST</t>
  </si>
  <si>
    <t xml:space="preserve"> 1	Pcks.	Assorted vegetables seeds	3,000		 2	Pcs.	Seedling Tray	380		 3	Pcs.	Plastic Crates	100		 4	Pcs.	Sprinkler (Medium )	76		 5	Pcs.	Plastic Drum	19		 6	sack	Complete Fertilizer	38		 7	sack	Urea	19		 8	sack	Vermicompost	190		 9	Kls.	Fermented Plant Jui</t>
  </si>
  <si>
    <t xml:space="preserve"> 11.Municipality of Amadeo through its GEN FUND intends to apply the sum of Php 94,000.00 being the Approved Budget Ceiling for the IMPROVEMENT AND MAINTENANCE OF AMADEO PUBLIC MARKET LOCATED @ BRGY. BUCAL, AMADEO, CAVITE Quotation received in excess of th</t>
  </si>
  <si>
    <t xml:space="preserve"> Supply and Delivery of Automated Water Analyzer to used by the Municipal Health Office</t>
  </si>
  <si>
    <t xml:space="preserve"> 1 lot Materials</t>
  </si>
  <si>
    <t xml:space="preserve"> 17 days 1-Backhoe (excluding fuel and oil, salaries and wages of operator for rental of equipment)</t>
  </si>
  <si>
    <t xml:space="preserve"> The Local Government Unit of Barugo, through the General Fund intends to apply the sum of Fifty Thousand Seven Hundred Pesos Only (Php 50,700.00) being the Approved Budget for the Contract (ABC) to payment under the contract for the Procurement of Diesel </t>
  </si>
  <si>
    <t xml:space="preserve"> expandable plastic bag for modules, storage bag, vitamin c etc.</t>
  </si>
  <si>
    <t xml:space="preserve"> Please see attached request for quotation</t>
  </si>
  <si>
    <t xml:space="preserve"> Republic of the Philippines														 Province of Occidental Mindoro														 Mamburao, Occidental Mindoro														 REQUEST FOR QUOTATION														 Date of Posting:	August 10, 2020					Ref. No.		RN 497-2020						 						PR No.		1021-2020-</t>
  </si>
  <si>
    <t xml:space="preserve"> ITB-No. 2008-027 Supply of Fuel: 1. 8,300 ltrs. Diesel Fuel</t>
  </si>
  <si>
    <t xml:space="preserve"> Please see RFQ for the full description of the item and for terms and conditions. Please submit your quotation on or before the closing date. You may submit it in our office or thru email at nmmcprocurement.rfq@gmail.com.</t>
  </si>
  <si>
    <t xml:space="preserve"> rms	short bond paper	600 tube	riso ink kz4	8 tube	riso master	5</t>
  </si>
  <si>
    <t xml:space="preserve"> Business Tax Registry Card Real Property Tax Account Registry Card Market Registry Card</t>
  </si>
  <si>
    <t xml:space="preserve"> INSTALLATION OF DELIVERED PIPE FROM SPRING  20    pcs    GATE VALVE (BRASS) 2" ø SCH.40  12    pcs    2" ø ELBOW SCH.40  20    pcs    2" ø GI PIPE SCH.40  20    pcs    2" ø UNIVERSAL FITTING/JOINERø    4    pcs	2"x1" ø REDUCER    8    pcs	2"ø GI TEE    2 </t>
  </si>
  <si>
    <t xml:space="preserve"> Republic of the Philippines Province of Bohol Municipality of Alicia OFFICE OF THE BAC CHAIRMAN August 11, 2020 ____________________ ____________________ ____________________ Sir/Madame: Greetings! This refers to our project PURCHASE OF MATERIALS FOR REHA</t>
  </si>
  <si>
    <t xml:space="preserve"> 1	Conference Table, H=0.80 metersxW=2.80 meters x L=4.8 meters, Made of Solid good quality wood. With fifteen (15) Chairs H = 1.0 meters x w=0.4 meters x L = 0.4 meters, made also of solid, good quality wood. Tables and chairs with leg cushion caps floor </t>
  </si>
  <si>
    <t xml:space="preserve"> Four (4) ea Anti-Virus 3 user and seven (7) other L/I</t>
  </si>
  <si>
    <t xml:space="preserve"> INVITATION TO BID IB NO. CW 2020 –  147 Repair of Day Care Center with Feeding Area at Bangbang, Pinamalayan, Or. Mindoro and  Rehabilitation of Day Care Center, Sta. Isabel, Pinamalayan, Oriental Mindoro 1.  The Provincial Government of Oriental Mindoro </t>
  </si>
  <si>
    <t xml:space="preserve"> Title: Procurement of Vehicle Repair and Maintenance under P.R Nos. 1886-2020 (City Environment &amp; Natural Resources Office- City Parks and Waterways Services Division),1892-2020(City Environment &amp; Natural Resources Office- Ecological Solid Waste Managemen</t>
  </si>
  <si>
    <t xml:space="preserve"> Please see attached documents</t>
  </si>
  <si>
    <t xml:space="preserve"> INVITATION TO BID FOR THE REPLACEMENT OF TRACTOR TIRES AND BATTERY; TO WIT: PLEASE SEE ATTACHED SPECIFICATIONS: 1. The Local Government Unit of Tanauan, Leyte through General Fund intends to apply the sum of ONE HUNDRED EIGHTY EIGHT THOUSAND FIVE HUNDRED </t>
  </si>
  <si>
    <t xml:space="preserve"> Supply and Delivery of Various Sizes for Sterilizing flat pouches Sterilizing flat pouches, 50 x 200mm,	piece	5	3,600	18,000.00 Sterilizing pouches, 150 x 50 x400mm	piece	25	500	12,500.00 Sterilizing pouches, 300 x 55 x550mm	piece	55	250	13,750.00 Sterili</t>
  </si>
  <si>
    <t xml:space="preserve"> 1	1000	ltrs	Diesel				 2	1000	ltrs	Gasoline				 			x-x-x-x-x-x-x-x-x-x-</t>
  </si>
  <si>
    <t xml:space="preserve"> 10 pcs G.I. Pipe #4 S40 1 unit Water Tank 2000ltr 4 pcs G.I. Pipe #2 S40 10 pcs Angle Barr #1 1/4x2 10 pcs Angle Bar #1/4x1 1/2 15 pcs RSB 10mm Bar 10 pcs 16mm Bar 20 pcs Flat Bar 1/4x2 1 pc Paint Brush #3 1 gal Epoxy Primer 1 btl Paint Thinner 5 kls Weld</t>
  </si>
  <si>
    <t xml:space="preserve"> see associated component</t>
  </si>
  <si>
    <t xml:space="preserve"> Republic of the Philippines Province of Quezon Municipality of Atimonan Barangay Balubad Project Reference No:  2020- Name of the Project: Purchase of Refrigerator Location of the Project: Barangay Balubad Atimonan, Quezon REQUEST FOR QUOTATION-SHOPPING (</t>
  </si>
  <si>
    <t xml:space="preserve"> TERMS AND CONDITIONS: 1. All entries must be typewritten or legibly written. 2. Delivery period within 15 calendar days upon receipt of approved Purchase Order (P.O.) 3. Warranty shall be a minimum of 3 months for expendable supplies and 1 year for Non-ex</t>
  </si>
  <si>
    <t xml:space="preserve"> refer to attach RFQ</t>
  </si>
  <si>
    <t xml:space="preserve"> Please see attached RFQ # 20-1294 Submit your Sign and Sealed Quotation together with your UPDATED ELIGIBILITY Requirements at 3/F ATI Building Department of Agriculture Region IV-MiMaRoPa, Property&amp;Supply Unit/BAC Secretariat Elliptical Road, Diliman, Qu</t>
  </si>
  <si>
    <t xml:space="preserve"> Digital BP Apparatus Pulse Oxi-Meter BP with stand Baxtel</t>
  </si>
  <si>
    <t xml:space="preserve"> August 11, 2020 Name of Project:	PROCUREMENT FOR FOOD, CATERING SERVICES AND VENUE FOR DEPED COMPUTERIZATION PROGRAM (DCP) MONITORING AND EVALUATION AND DISTRICT/MUNICIPAL INFORMATION AND COMMUNICATIONS TECHNOLOGY COORDINATORS CONSULTATIVE MEETING. Sir/Ma</t>
  </si>
  <si>
    <t xml:space="preserve"> T-Shirt</t>
  </si>
  <si>
    <t xml:space="preserve"> Republic of the Philippines														 Province of Occidental Mindoro														 Mamburao, Occidental Mindoro														 REQUEST FOR QUOTATION														 Date of Posting:	August 10, 2020					Ref. No.		RN 499-2020						 						PR No.		8754-2020-</t>
  </si>
  <si>
    <t xml:space="preserve"> PROPOSED ROAD IMPROVEMENT FOR M. ESTRELLA ST. (VILLENA ST.), LOCATED AT BRGY. CARMONA, MAKATI CITY -ORDER OF PAYMENT FOR BID DOCS WILL BE AVAILABLE AT GSD-HEAD OFFICE @ 10TH FLOOR MAKATI CITY HALL BLDG. 2. LOOK FOR MR. REDEN VILLANUEVA. A COMPLETE SET OF </t>
  </si>
  <si>
    <t xml:space="preserve"> Republic of the Philippines							 Province of Occidental Mindoro							 Municipality of STA. CRUZ							 							 REQUEST FOR QUOTATION							 Date:	Monday, August 10, 2020				                          PR No.: 		 08-10-20-56  					                        </t>
  </si>
  <si>
    <t xml:space="preserve"> 1.	The Municipality of Impasugong, through the GF-Infra-2020 Maintenance of Municipal Hall intends to apply the sum of One Million Seven Hundred Thousand Pesos (PhP1,700,000.00) being the Approved Budget for the Contract (ABC) to payments under the contra</t>
  </si>
  <si>
    <t xml:space="preserve"> 76  bags  Hog Grower Mash x-x-x-x-x</t>
  </si>
  <si>
    <t xml:space="preserve"> BUILDING CONSTRUCTION</t>
  </si>
  <si>
    <t xml:space="preserve"> The Department of Agriculture-RFO 3, invites interested suppliers to submit quotations/proposals for the hereunder requirement, to wit: 		October 15, 2020	 50	pax	"AM Snacks - Coffee, Egg Sandwich, Pancit Guisado,  Buko Juice"	 50	pax	Lunch - Rice, Fish D</t>
  </si>
  <si>
    <t xml:space="preserve"> 6	pcs	10x20 Lug Tire 2	pcs	10x20 Miler Tire</t>
  </si>
  <si>
    <t xml:space="preserve"> the specification of this item pls see the BAC secretariat</t>
  </si>
  <si>
    <t xml:space="preserve"> Republic of the Philippines														 Province of Occidental Mindoro														 Mamburao, Occidental Mindoro														 REQUEST FOR QUOTATION														 Date of Posting:	August 10, 2020					Ref. No.		RN 496-2020						 						PR No.		1021-2020-</t>
  </si>
  <si>
    <t xml:space="preserve"> Softbound. A4 size bond paper; Class A newsprint. Goods must be delivered to school 3 days at Macanhan Elementary School. Goods must be delivered in good condition. Prints are back to back. Official receipt must be valid and not expired. Quantity is subje</t>
  </si>
  <si>
    <t xml:space="preserve"> Partition of Framing Wall at Personnel Section 1 lot Php 77,564.93</t>
  </si>
  <si>
    <t xml:space="preserve"> Please quote your lowest price inclusive of tax to this Office on the items listed below and submit your quotation in a SIGNED AND SEALED envelope not later than AUGUST 18, 2020 addressed to: RUFO S. SOTELO, JR. Head, BAC SECRETARIAT Department of Informa</t>
  </si>
  <si>
    <t xml:space="preserve"> 1.Barangay Maitim, Municipality of Amadeo through its GEN. FUND intends to apply the sum of Php 44,993.75 being the Approved Budget Ceiling for the MAINTENANCE OF STREETLIGHTING @ BRGY. MAITIM, AMADEO, CAVITE Quotation received in excess of the ABC shall </t>
  </si>
  <si>
    <t xml:space="preserve"> MARKET CONTINUATION</t>
  </si>
  <si>
    <t xml:space="preserve"> Fifty five (55) ea Prepaid cards 300 Globe and fifty eight (58) other L/I</t>
  </si>
  <si>
    <t xml:space="preserve"> Printing of Manuals Interested suppliers are required to submit their valid and current Philgeps Registration no./ Certification, Business/Mayors Permit, ITR (2019 Annual Income tax Return), Duly Notarized Omnibus Sworn Statement RFQ with technical specs </t>
  </si>
  <si>
    <t xml:space="preserve"> 1.	The Municipal Government of El Nido, through the MPDO-Comprehensive Development Plan Fund, intends to apply the sum of Four Hundred Ninety Eight Thousand Pesos (₱ 498,000.00) being the Approved Budget for the Contract (ABC) to payments for the Procurem</t>
  </si>
  <si>
    <t xml:space="preserve"> Republic of the Philippines							 Province of Occidental Mindoro							 Municipality of STA. CRUZ							 							 REQUEST FOR QUOTATION							 Date:	Monday, August 10, 2020				                          PR No.: 		 08-10-20-57  					                        </t>
  </si>
  <si>
    <t xml:space="preserve"> Copy Printer DX 2430		unit	1 Type:                  Digital, desktop						 Printer Process: Fully-automatic one-drum			                            Stencil system			 Originals:            Sheet (1 original sheet only)			 Original size:    Min.: 90x 140mm		</t>
  </si>
  <si>
    <t xml:space="preserve"> Republic of the Philippines Province of Cagayan Municipality of Camalaniugan August 11, 2020 INVITATION TO BID  FOR THE FURNISHING &amp; DELIVERY OF MATERIALS FOR THE IMPROVEMENT OF CLIENTELE PARKING AREA INFRONT OF MTH 1.	The Municipality of Camalaniugan, th</t>
  </si>
  <si>
    <t xml:space="preserve"> Invitation to Bid “Acquisition of One (1) Unit Supply, Delivery and Installation of Gas Chromatography-Mass Spectrometry (GCMS)” 01.The National Bureau of Investigation, through the 2019 NBI Clearance Retention Fees pursuant to RA 10867 otherwise known as</t>
  </si>
  <si>
    <t xml:space="preserve"> P1-P680(Toyota Avanza) Labor 1 lot Full down evaporator front &amp; rear dismantle of ceiling dismantle of dash board general cleaning, leak test replace oring, add oil compressor 1 lot Full freon charging dual a/c R134a Parts 4 pcs Oring 134a 1 cup Oil compr</t>
  </si>
  <si>
    <t xml:space="preserve"> 1,360 liters Diesel 224 liters Gasoline</t>
  </si>
  <si>
    <t xml:space="preserve"> Pouring of Concrete humps Porac, Pampanga Cement 110 bags Gravel 12 CU.M 16 mm diam. Bar 8 pcs 10 mm diam Bar 36 pcs</t>
  </si>
  <si>
    <t xml:space="preserve"> Solicitation No.: 0820-123 REQUEST FOR QUOTATION The LGU-TUBURAN, through its Bids and Awards Committee (BAC), will undertake Small Value Procurement for the “Procurement of Rescue Supplies and Equipment for BFP” main accordance with Section 53.9 of Revis</t>
  </si>
  <si>
    <t xml:space="preserve"> Republic of the Philippines							 Province of Occidental Mindoro							 Municipality of STA. CRUZ							 							 REQUEST FOR QUOTATION							 Date:	Monday, August 10, 2020				                          PR No.: 		 08-10-20-58  					                        </t>
  </si>
  <si>
    <t xml:space="preserve"> I. Mobilization II. Excavation III. CSHP IV. Project Billboard V. Form Works VI. Masonry Works VII. Equipment Labor</t>
  </si>
  <si>
    <t xml:space="preserve"> THE NATIONAL IRRIGATION ADMINISTRATION-SCIMO, THROUGH THE FUND 501 HAS THE APPROVED BUDGET FOR THE CONTRACT (ABC) AMOUNTING TWO HUNDRED TWENTY-TWO THOUSAND FIVE HUNDRED PESOS ONLY (222,500.00).  QUOTATION RECEIVED IN EXCESS OF THE ABC SHALL BE AUTOMATICAL</t>
  </si>
  <si>
    <t xml:space="preserve"> CANITOAN ELEMENTARY SCHOOL  REPRODUCTION OF MODULES OF FIRST QUARTER (4 WEEKS) FROM GRADE 1 TO GRADE 6.</t>
  </si>
  <si>
    <t xml:space="preserve"> PLEASE REFER TO THE ATTACHEMENT</t>
  </si>
  <si>
    <t xml:space="preserve"> TO THE PROCUREMENT  Department of Human Settlements and Urban Development (DHSUD) DHSUD Building, Kalayaan Avenue corner Mayaman St. Diliman, Quezon City  Email add: dhsudprocurement@gmail.com Tel: 0927-8772256; 0917-8267859; 0917-8948322; 	 Dear Sir/Mada</t>
  </si>
  <si>
    <t xml:space="preserve"> 5 units Laptop Specifications: S340-14IILD Platinum Grey – 81WJ0048PH Core i7-1065G7 (4C/8T, 1.3/3.9GHz, 8MB) SoC Platform Chipset MX250 2GB GDDR5 WLAN 11ac, 2x2 Windows 10 Home 64, English 14” FHD (1920x1080) TN 220nits Anti-glare 4GB Soldered DDR4-2666+</t>
  </si>
  <si>
    <t xml:space="preserve"> REQUEST FOR QUOTATION RFQ No. 2020-0304 The CITY GOVERNMENT OF CABANATUAN through its Bid and Awards Committee (BAC), will undertake Small Value Procurement for the Supply and Delivery of Acrylic Safety Shield and Table (CDRRMO) in accordance with Section</t>
  </si>
  <si>
    <t xml:space="preserve"> P.R NO. 200-2020-08-0015 LAPTOP USE FOR DELIVERY OF CLASSROOM INSTRUCTION OF GABALDON ELEMENTARY SCHOOL</t>
  </si>
  <si>
    <t xml:space="preserve"> 1	940	pcs	Unglazed tiles 0.20 x 0.20				 2	1950	pcs	Glazed tiles 0.40 x 0.40				 3	86	bags	Adhesive Cement				 4	10	pcs	Tile Trim				 5	18	bags	Tile Grout				 			x-x-x-x-x-x-x-x-x-x-</t>
  </si>
  <si>
    <t xml:space="preserve"> The Schedule of submission of quotations / proposals will be on August 17, 2020 at 10:00am at Conference Hall, Cebu City District Engineering Office, V. Sotto St., Brgy. Tinago, Cebu City. Bids received in excess of the ABC shall be automatically rejected</t>
  </si>
  <si>
    <t xml:space="preserve"> Solicitation No.: 0820-124 REQUEST FOR QUOTATION The LGU-TUBURAN, through its Bids and Awards Committee (BAC), will undertake Small Value Procurement for the “Procurement of Labor &amp; Spare Parts for the Repair and Maintenance of MUNICIPAL COMPACTOR 2” main</t>
  </si>
  <si>
    <t xml:space="preserve"> 1200 PCS ADVOCACY VEST Material -Micro Specification: -Plain Dark Red -Embroidered DSWD logo (2.0" x 1.748") and name below the logo -Reflector (Front, Back, and Shoulder blade) -Font Style: Arial Bold -With Zipper -(At the back) Embroidered DSWD logo (9.</t>
  </si>
  <si>
    <t xml:space="preserve"> Quantity       Unit of Issue       Item Description      1                 unit               Cabinet with drawer &amp; swing cover                                              144 inches x 48 inches frosted sticker                                            </t>
  </si>
  <si>
    <t xml:space="preserve"> DESCRIPTION PROCUREMENT OF CATERING SERVICES FOR IDS, PMED, RAFC AND SAAD /CORN/GAD PROGRAM, RESEARCH AND REGULATORY DIVISION IN DAVAO REGION CY 2020   LOT NO.	ACTIVITY	DETAILED	SCHEDULE OF ACTIVITIES	QTY (pax)	ABC (PhP) 1	DAVAO CITY	 	 	 	               </t>
  </si>
  <si>
    <t xml:space="preserve"> Please see attached Invitation to Bid</t>
  </si>
  <si>
    <t xml:space="preserve"> UNIT                        QUANTITY                 ITEM DESCRIPTION                                                                                                                                                                          REAM            </t>
  </si>
  <si>
    <t xml:space="preserve"> Improvement of Public Park (Finishing Works) Manibaug Libutad Hardiflex Board 10 pcs Metal Furring 50 pcs Wall Angle 50 pcs Carrying Channel 50 pcs Blind Rivets 1 Box Wall Tiles 420 pcs Floor Tiles 180 pcs Latex Paint 3 tin Roller Brush 4 pcs Angle Bar 2x</t>
  </si>
  <si>
    <t xml:space="preserve"> 1	50	reams	Paper, Multi-Purpose, 70 gsm, (A4)				 2	50	reams	Paper, Multi-Purpose, 70 ggsm, (legal)				 3	10	pcs	Art File				 4	4	boxes	Folder, Legal Size, 100 pcs/pack				 5	10	boxes	Paper Fastener, Plastic Coated				 6	30	packs	Toilet Tissue Paper, 12 r</t>
  </si>
  <si>
    <t xml:space="preserve"> Construction Project I. Construction of PCCP    a. Aggregate Base Coarse (at 0.10 m Depth)    b. PCCP II. Construction Safety and Health</t>
  </si>
  <si>
    <t xml:space="preserve"> Republic of the Philippines PROVINCE OF BUKDINON Malaybalay City OFFICE OF THE PROVINCIAL GOVERNOR Bids and Awards Committee REQUEST FOR BID PROPOSAL THROUGH NEGOTIATED PROCUREMENT (Sec. 53.1 – TWO FAILED BIDDING) “SUPPLY AND DELIVERY OF VARIOUS DRUGS AND</t>
  </si>
  <si>
    <t xml:space="preserve"> The Local Government Unit of Aglipay through 20% Municipal Development Fund CY 2020 (BDP) and Improvement of Roads (MDF 2020) intends to apply the sum of Four Hundred Ninety Six Thousand Eight Hundred Fifty Nine Pesos and 28/100 (Php 496, 859.28) being th</t>
  </si>
  <si>
    <t xml:space="preserve"> see pr</t>
  </si>
  <si>
    <t xml:space="preserve"> 150  pcs  Flu Vaccine</t>
  </si>
  <si>
    <t xml:space="preserve"> Please see attached RFQ for the full description of the item and for terms and conditions. Please submit your quotation on or before the closing date. You may submit it in our office or thru email at nmmcprocurement.rfq@gmail.com.</t>
  </si>
  <si>
    <t xml:space="preserve"> REQUEST FOR QUOTATIONS Supply and Delivery of IT Equipment for University Health Services The Bicol University, through the Corporate Budget for the contract approved by the Board of Regents intends to apply the sum of Seventy-three Thousand &amp; 00/100 Peso</t>
  </si>
  <si>
    <t xml:space="preserve"> PLEASE REFER TO THE ATTACHMENT</t>
  </si>
  <si>
    <t xml:space="preserve"> 27.5 ha Relocation survey of T-267047               Lot 10, with an area of 48,338 sqm               Lot 12, with an area of 159,856 sqm T-189598               Lot 9490 - portion of LOT 7003 with an area of 30370               P-13723 with an area of 35,9</t>
  </si>
  <si>
    <t xml:space="preserve"> REQUEST FOR QUOTATION Please quote your lowest price on the item/s listed below, subject to the conditions also listed below, stating the shortest time of delivery and submit your quotation duly signed by your representative not later than 5:00 P.M. of Au</t>
  </si>
  <si>
    <t xml:space="preserve"> THE MEO WOULD LIKE TO PROCURE OFFICE SUPPLIES . . . . . . .</t>
  </si>
  <si>
    <t xml:space="preserve"> 1	UNIT/S	FINGERPRINT TIME ATTENDANCE AND ACCESS  		CONTROL TERMINAL, TIME AND ATTENDANCE  		MANAGEMENT SOFTWARE, 8 PORT FAST ETHERNET 		UNMANAGED POE SWITH 		 		FINGERPRINT TIME ATTENDANCE AND ACCESS CONTROL TERMINAL 		FINGERPRINT CAPACITY;3,000 		ID CARD</t>
  </si>
  <si>
    <t xml:space="preserve"> see jr</t>
  </si>
  <si>
    <t xml:space="preserve"> Invitation to Bid for Purchase of Laptops,Headphone &amp; Mouse  No. 2020-003 1. The Barangay Bakero, through the Annual Budget 2020(General Fund) Approved by the Sanggunian intends to apply the sum of One Hundred Twenty Six Thousand Five Hundred Pesos  (Php </t>
  </si>
  <si>
    <t xml:space="preserve"> REQUEST FOR QUOTATION TERMS OF PAYMENT:   30 DAYS PRICE VALIDITY:        120 DAYS</t>
  </si>
  <si>
    <t xml:space="preserve"> 1 lot 445,204.06</t>
  </si>
  <si>
    <t xml:space="preserve"> CONCRETING OF 38.0M X1.0M ELEVATED ACCESS ROAD WITH THICKNESS OF 0.10 METERS PAVEMENT.</t>
  </si>
  <si>
    <t xml:space="preserve"> Please see attached docs</t>
  </si>
  <si>
    <t xml:space="preserve"> Construction Project I. Construction of PCCP     a. Aggregate Base Course (at 0.10m depth)     b. PCCP II. Construction Safety and Health</t>
  </si>
  <si>
    <t xml:space="preserve"> 1.	The LGU - CORELLA, BOHOL, through the budget approved by the Sanggunian per Municipal Ordinance Nos. 2019-15 under 20% development fund, intends to apply the sum of PHP 520,000.00 being the Approved Budget for the Contract (ABC) to payments under the c</t>
  </si>
  <si>
    <t xml:space="preserve"> Republic of the Philippines Province of Negros Occidental Municipality of  Manapla	 BIDS AND AWARDS COMMITTEE INVITATION TO BID FOR THE MATERIALS FOR THE CONSTRUCTION AND REHABILITATION OF WATER SYSTEM The Municipality of Manapla, through  the 20% Municip</t>
  </si>
  <si>
    <t xml:space="preserve"> IB 2020-08-013 NPPV Negotiated Procurement of Passenger Van Service Vehicle 2020-13</t>
  </si>
  <si>
    <t xml:space="preserve"> Request For Quotation for Ammunition For The Month Of August CY 2020</t>
  </si>
  <si>
    <t xml:space="preserve"> Please see attached files for reference. File names:  1. ITB - Promotional Giveaways (v08.07.2020) 2. Bid Docs - Promotional Giveaways (v08.10.2020) ***nothing follows***</t>
  </si>
  <si>
    <t xml:space="preserve"> 1.	The Municipal Government of El Nido, through the MHO Supplemental # 3 intends to apply the sum of Three Hundred Thousand Pesos (P 300,000.00) being the Approved Budget for the Contract (ABC) to payments for the Procurement and Delivery of Computer Soft</t>
  </si>
  <si>
    <t xml:space="preserve"> Republic of the Philippines														 Province of Occidental Mindoro														 Mamburao, Occidental Mindoro														 REQUEST FOR QUOTATION														 Date of Posting:	August 10, 2020					Ref. No.		RN 495-2020						 						PR No.		8711-2020-</t>
  </si>
  <si>
    <t xml:space="preserve"> The Department of Agriculture-RFO 3, invites interested suppliers to submit quotations/proposals for the hereunder requirement, to wit: 5	btl	Analgin (100 ml/btl)	 5	btl	Amoxicillin (100 ml/btl)	 5	btl	Dexamethasone (100 ml/btl)	 5	btl	Iron Dextran + B12 </t>
  </si>
  <si>
    <t xml:space="preserve"> Province of Batangas					 Municipality of San Luis				 Standard Form No:  SF-GOOD-05			 Revised on: July 28, 2004 INVITATION TO APPLY FOR ELIGIBILITY AND TO BID The Municipal Government of   San Luis, Batangas, through its Bids and Awards Committee (BAC),</t>
  </si>
  <si>
    <t xml:space="preserve"> See Phil. Bidding Documents, Bill of Quantities and Checklist hereto attached.</t>
  </si>
  <si>
    <t xml:space="preserve"> 1.	The Municipal Government of El Nido, through the Calamity Fund, Trust Fund (2015-2018) intends to apply the sum of Two Hundred Forty Nine Thousand Six Hundred Ten  Pesos (P 249,610.00) being the Approved Budget for the Contract (ABC) to payments for th</t>
  </si>
  <si>
    <t xml:space="preserve"> I. ELECTRICAL WORKS					 250W HPS Ballast					 250W HPS Ignitor					 250W HPS Bulb, Son-T					 Photo Switch, Socket Type					 Capacitor, CP 30 ET 28, 30 Micro F					 1/2Ø x 12 Machine Bolt GI Half Thread w/ nut					 2W Secondary Rack, HD					 #8/7 Seconda</t>
  </si>
  <si>
    <t xml:space="preserve"> 1	Colilert 18, pack of 200	1 pack For 100ml water samples	 For Total and E-coli test for drinking water based on the detection of B-D	 galactosidase and B-glucoronidase enzyme using chromogenic and	 flurogenic substrate in just 18 hours	 (100 pcs/pack)	 2</t>
  </si>
  <si>
    <t xml:space="preserve"> TECHNICAL SPECIFICATIONS: A4, SUBSTANCE 20, 70 GSM, ARRANGED AND WITH SORTING PRINTING BACK TO BACK Approved Budget for the Contract: 450,000 Item/Lot No         ITEM &amp; DESCRIPTION                 QUANTITY                         UNIT PRICE           TOTA</t>
  </si>
  <si>
    <t xml:space="preserve"> 1	1	Unit	Gun Tacker, Heavy-duty staple gun with easy-squeeze, fatigue-reducing handle Anti-jam mechanism, High-visibility color Easy-slide full stick staple load 2	1	Unit	Reversible whiteboard w/ aluminum stand with wheels 2 side, white dry erase or amrke</t>
  </si>
  <si>
    <t xml:space="preserve"> 10 pcs. Stapple with remover (35mm) 2 box Stapple Wire (35mm) 2 pcs. Monggol 2 2 pcs. Scotch Tape (1) 5 pcs. Logbook (300 leaves) 5 pcs. Typewriter Ribbon 5 packs Carbon Paper 2 pcs. Stamp Pad (black) 5 pcs. Stabilo (Blue,pink,green,orange,yellow) 1 box P</t>
  </si>
  <si>
    <t xml:space="preserve"> 1.	The National Irrigation Administration – Cagayan-Batanes Irrigation Management Office, through the OMNISPIS of 2020 intends to apply the sum of Two Million Eight Hundred Thousand Pesos (P2,800,000.00) being the Approved Budget for the Contract (ABC) to</t>
  </si>
  <si>
    <t xml:space="preserve"> DVR recording ( Hard disk ) CCTV Line Replacement CCTV  camera repair ( 2 cam )</t>
  </si>
  <si>
    <t xml:space="preserve"> The significant times and deadlines of procurement activities are shown below:  Activities	Schedule 1. Receipt of LOIs from Prospective Bidders	August 11-17,2020 2. Issuance of Bidding Documents	August 18-24,2020 3. Pre-Bid Conference	August 18, 2020 4. R</t>
  </si>
  <si>
    <t xml:space="preserve"> Title:Procurement of 6 Piece Philippine Flag , Nylon Tafetta, Size: 15 x 30 under P.R.No. 2374-2020- City Tourism Office. Total ABC: Php 120,000.00 (INSTRUCTION AS TO THE REQUIRED FORM: For your price quotation, please use the attached Request for Quotati</t>
  </si>
  <si>
    <t xml:space="preserve"> Location: Poblacion Alto, Sergio Osmeña, Zamboanga del Norte WORKS: ITEM NO. / QTY. / UNIT / DECRIPTION I. GENERAL REQUIREMENTS 1.0 	1.00	LOT	MOBILIZATION/DEMOBILIZATION 2.0 	64.00	SQ.M.	PROVISION OF TARPAULIN/BILLBOARD 3.0 	1.00 	LOT	TEMPORARY FACILITY 4</t>
  </si>
  <si>
    <t xml:space="preserve"> This Notice of Negotiated pertains to the Procurement and Delivery of Medical and Laboratory Supplies of the Municipal Government of El Nido, Palawan with approved budget contract of Five Hundred Seventy Nine Thousand Nine Hundred Twenty Five Pesos (₱ 579</t>
  </si>
  <si>
    <t xml:space="preserve"> Republic of the Philippines Province of Eastern Samar Municipality of Guiuan Invitation to Bid  for  PROPOSED CONSTRUCTION OF COMMUNITY FISH LANDING CENTER AT BARANGAY SULANGAN,  GUIUAN, E. SAMAR The LOCAL GOVERNMENT UNIT OF GUIUAN, through the  Trust  Fu</t>
  </si>
  <si>
    <t xml:space="preserve"> PROCUREMENT OF ONE (1) UNIT MULTI MEDIA PROJECTOR WITH WIDE SCREEN FOR LUCENA LENDING CENTER Kindly give us your price quotation at lowest price based on attached specifications per Terms of Reference for the following as we intend to purchase/contract se</t>
  </si>
  <si>
    <t xml:space="preserve"> Procurement of 1 unit monocrome digital copier to be used at Assessor's Office</t>
  </si>
  <si>
    <t xml:space="preserve"> REGIONAL BIDS AND AWARDS COMMITTEE REGION II &amp; E-CAR Request for Quotation (RFQ) No. 2020-1-011 Supply, Delivery &amp; Installation of Protective Plastic Sheets for Frontliners as proposed by Lagawe Branch NOTE: PLEASE SEE ATTACHED LBP REQUEST FOR QUOTATION F</t>
  </si>
  <si>
    <t xml:space="preserve"> Republic of the Philippines Province of Negros Occidental Municipality of Isabela INVITATION TO BID  Re-bidding for the Construction of Day Care Center Brgy. Tinongan, Isabela, Negros Occidental. 1. The MUNICIPALITY OF ISABELA, through the GAD Fund –inten</t>
  </si>
  <si>
    <t xml:space="preserve"> PG-2020-0035: Request for Quotation - Furnishing and Delivery of Safety Devices for Use in Various National Roads and Bridges within the 1st District of La Union Please see attached files for more information.</t>
  </si>
  <si>
    <t xml:space="preserve"> Please see attached RFQ for more details. For queries / concerns, you may contact Ma'am Faye through: faye.peping@deped.gov.ph Quotation may also be submitted to the above mentioned email.</t>
  </si>
  <si>
    <t xml:space="preserve"> 1.)	53.33	bd.ft	16 pcs 2x2x10 Coco lumber 2.)	80	bd.ft	16 pcs 2x3x10 Coco lumber 3.)	333.33	bd.ft	100 pcs 2x2x10 Coco lumber 4.)	93.33	bd.ft	14 pcs 1x8x10 Coco lumber 5.)	116.66	bd.ft	14 pcs 1x10x10 Coco lumber 6.)	23	bd.ft	Bamboo Amakan 7.)	490	bd.ft	98 </t>
  </si>
  <si>
    <t xml:space="preserve"> 1.	The Provincial Government of Antique, through the 20% IRA-CY 2020 (Environmental Development Sector) intends to apply the sum One Million Nine Hundred Forty Four Thousand Two Hundred Fifty Eight Pesos &amp; 55/100 (Php 1, 944, 258.55) being the Approved Bu</t>
  </si>
  <si>
    <t xml:space="preserve"> August 11, 2020 Name of Project:	PROCUREMENT &amp; DELIVERY OF WATER DISPENSER FOR SCHOOLS DIVISION OFFICE USE. Sir/Madame: Please quote your lowest price for the following item enumerated below, taking into consideration the following: 1.	The Approved Budget</t>
  </si>
  <si>
    <t xml:space="preserve"> Republic of the Philippines OFFICE OF THE PUNONG BARANGAY 	Barangay CENTRO NAPU	 	Municipality of Tudela	 Province of Misamis Occidental INVITATION TO BID The Office of the Punong Barangay of Barangay Centro Napu through its Bids and Awards Committee [BAC</t>
  </si>
  <si>
    <t xml:space="preserve"> Unit 	Item Description	                         Quantity 		 		   pcs.	2 x 1.5 ft. two sides print,                  with led light installed,  free installation	2</t>
  </si>
  <si>
    <t xml:space="preserve"> Order/Download and fill up attach Request for Quotation and submit to the BAC Office on/before closing date</t>
  </si>
  <si>
    <t xml:space="preserve"> Please quote the following: Ice box Chest Insulated Cooler with Handle 75 Liters(Heavy Duty)                                      90 pcs. Ice box Chest Insulated Cooler with Handle 15 Liters (Heavy Duty)                                       8 pcs. Person</t>
  </si>
  <si>
    <t xml:space="preserve"> INVITATION TO BID FOR PROCUREMENT AND DELIVERY OF DRUGS AND MEDICINES FOR CY 2020 1.	The DOH-Center for Health Development 1, through the Continuing Appropriations (CONAP) 2019 and GOP CY 2020 intends to apply the sums being the Approved Budget for the Co</t>
  </si>
  <si>
    <t xml:space="preserve"> 1 set Desktop Computer CPU intel i5- 9400 prime B365M - A 16GB DDR4 memory 1TB HDD 120GB SSD Nvidia GeForce GTX1050TI 4GB GDDR5 deepcool 600w casing 80 plus bronze DP-BZ-DA600 keyboard and mouse 1 unit Computer Monitor 21.5" 1 unit UPS 625VA 1 unit Printe</t>
  </si>
  <si>
    <t xml:space="preserve"> Please see attached RFQ for more details. For more information you may contact Ma'am Geraldine Through: geraldine.concepcion@deped.gov.ph Quotations may also be sent to the above mentioned email.</t>
  </si>
  <si>
    <t xml:space="preserve"> 100 pcs Macroset 100 vls Sterile Water 50ml 10 bxs Syringe 10cc (100's) 40 bxs Face Mask (50's) 10 bxs Clean Gloves 7.0 (50's) 4 bxs Clean Gloves 7.5 (50's) 100 pcs Nebulizer Mask Adult 100 pcs Nebulizer Pedia 100 pcs Soluset 3 bxs IV Cannula G24, 100's 3</t>
  </si>
  <si>
    <t xml:space="preserve"> Republic of the Philippines BIDS AND AWARDS COMMITTEE Municipality of Irosin Reference Number: BAC-0059-2020								 August 10, 2020 REQUEST FOR QUOTATION The Local Government Unit of Irosin, through its Bids &amp; Awards Committee (BAC), requests suppliers/m</t>
  </si>
  <si>
    <t xml:space="preserve"> To be used by the Office of Public Safety and Security (OPSS) Personnel 45 units Handheld Radio Model: VHF Freq. Range: 136-174MHz * IP54 (IP67) MIL-STD 810 * Rain &amp; Dust Protected Power Output: 5 watts Synthesized Programmable with complete accessories *</t>
  </si>
  <si>
    <t xml:space="preserve"> 4 -set Heavy Duty Collapsible Tents 3x5 meters</t>
  </si>
  <si>
    <t xml:space="preserve"> Republic of the Philippines Province of Southern Leyte MUNICIPALITY OF SOGOD Invitation to Bid for Upgrading and Improvement of Brgy. Pandan Road, Brgy. Pandan, Sogod, Southern Leyte 1.	The Municipal Government Unit of Sogod, Southern Leyte through the Na</t>
  </si>
  <si>
    <t xml:space="preserve"> RESOLUTION ON PRIOR APPROVAL NO. 07-111                   Series of 2020 		 RESOLUTION RECOMMENDING THE USE OF ALTERNATIVE METHOD OF PROCUREMENT FOR  THE ACQUISITION OF GOODS AND SERVICES WHEREAS, various departments/offices submitted Purchase Requests wi</t>
  </si>
  <si>
    <t xml:space="preserve"> Republic of the Philippines Province of Cagayan Municipality of Camalaniugan August 11, 2020 INVITATION TO BID  FOR THE FURNISHING &amp; DELIVERY OF ISOLATION BEDDINGS AND ELECTRIC FAN FOR LIGTAS COVID CENTER @ CENTRO SUR GYMNASIUM 1.	The Municipality of Cama</t>
  </si>
  <si>
    <t xml:space="preserve"> 1. The Mindanao State University - Tawi-Tawi College of Technology and Oceanography (MSU-TCTO), through the GAA 2020, intends to apply the sum of Fifty Thousand Five Hundred Forty-Five Pesos  (PhP 50,545.00) being Approved Budget of Contract to payments u</t>
  </si>
  <si>
    <t xml:space="preserve"> Meals and Snacks for 2 days for (70 Pax) Specification for Meals: Supplier shall provide catering services during the activity and run errands for the participants. The caterer shall coordinate with the contact persons at Lake Holon and provide contingenc</t>
  </si>
  <si>
    <t xml:space="preserve"> SPECIFICATIONS: - 3 in 1 multifunctional machine (copy, print &amp; scan - with automatic reverse document feeder -20 pages per minute -standard 256MB RAM -laser beam scanning and electro photographic printing (copy process) -standard usb port (connect with c</t>
  </si>
  <si>
    <t xml:space="preserve"> Please see attached RFQ form. Thankyou.</t>
  </si>
  <si>
    <t xml:space="preserve"> 1.	The Municipal Government of Roxas, Isabela has received the share from the CY 2016 Collection of Burley and Native Excise Tax   and it  intends to apply part or whole of the proceeds of this funds for payment under the contract for the project. Bids re</t>
  </si>
  <si>
    <t xml:space="preserve"> Unit                               Quantity                                  Description ream                               2000                                      A4 Bond paper, subs 20 bottle                                  25                        </t>
  </si>
  <si>
    <t xml:space="preserve"> The Department of Agriculture-RFO 3, invites interested suppliers to submit quotations/proposals for the hereunder requirement, to wit: 1	set	Dish Rack (plastic type)	 25	pcs	Ceramic Plates	 25	pcs	Ceramic Saucers	 25	pcs	Ceramic Coffee Cup	 36	pcs	Stainl</t>
  </si>
  <si>
    <t xml:space="preserve"> INVITATION TO BID The Barangay TIGBAO  of Loboc, Bohol through its Bids and Awards Committee (BAC), invites Contractors registered within and classified by the Philippine Contractors Accreditation Board (PCAB) to apply for eligibility, and if found eligib</t>
  </si>
  <si>
    <t xml:space="preserve"> See attached POW at associated components for details.</t>
  </si>
  <si>
    <t xml:space="preserve"> 1 unit Diffuser 3 bots. Essential Oil (Citrus Fresh - 15ml) 3 bots. Essential Oil (Peppermint - 15ml)</t>
  </si>
  <si>
    <t xml:space="preserve"> Republic of the Philippines Department of Health Center for Health Development EASTERN VISAYAS REGIONAL MEDICAL CENTER Tacloban City REQUEST FOR QUOTATION RFQ No: 2020-08-SVP-0281 August 11, 2020 The EVRMC, Tacloban City, through the Bids &amp; Awards Committ</t>
  </si>
  <si>
    <t xml:space="preserve"> Invitation to Bid “Acquisition of One (1) Lot Supply and Delivery of Various Security Equipment” 01.The National Bureau of Investigation, through the 2019 NBI Clearance Retention Fees pursuant to RA 10867 otherwise known as the NBI Reorganization and Mode</t>
  </si>
  <si>
    <t xml:space="preserve"> 15  BOXES  DEWORMER 15  BOTTLES  ANTIBIOTIC 100ML 30  BOTTLES  MULTI-VITAMINS 100ML 5  PCS  EUROFLEX SYRINGE 10ML 8  BOXES  DISPOSABLE SYRINGE 3ML 4  BOXES  DISPOSABLE SYRINGE 5ML 50  BOTTLE  ANTI RABIES 10ML NOTE: LOT PRICE</t>
  </si>
  <si>
    <t xml:space="preserve"> QTY.          SOURCE OF FUND               DELIVERY PERIOD FROM                                                                                                                               SIGNING THE CONTRACT 1. Barangay Council : Barong tagalog        </t>
  </si>
  <si>
    <t xml:space="preserve"> SJV-609(Crosswind)(GSO) 4 pcs Tire 185 R1 4C 8PR 102/100P 4 pcs Tire valve 4 pcs Wheel weights 4 pcs Wheel balancing 1 lot Camber correction and wheel alignment GC-0448(Foton truck)(Market) 6 sets Tire 700 x16 12PR with tube and flaps</t>
  </si>
  <si>
    <t xml:space="preserve"> Procurement of CCTV Cameras and Public Address System</t>
  </si>
  <si>
    <t xml:space="preserve"> Fifty (50) ea 1/4 thk plywood and nineteen (19) other L/I</t>
  </si>
  <si>
    <t xml:space="preserve"> Republic of the Philippines CITY OF PANABO Province of Davao del Norte BIDS AND AWARDS COMMITTEE -o0o- INVITATION TO BID  SUPPLY OF 1 UNIT BRAND NEW SPEED BOAT 1.	The City of Panabo, through CDRRMC-CAPITAL OUTLAY-STF 2019-TRUST FUND 03-CALAMITY FUND 2018 </t>
  </si>
  <si>
    <t xml:space="preserve"> Provide 24/7 safety and security for the Entire DSSC campus</t>
  </si>
  <si>
    <t xml:space="preserve"> Overhaul of FOTON Garbage Truck radiator</t>
  </si>
  <si>
    <t xml:space="preserve"> 30 pcs  SLEEVE TYPE COUPLING 3" dia (uPVC-uPVC) (ISO cert) 30 pcs  SLEEVE TYPE COUPLING 2" dia (uPVC-uPVC) (ISO cert)</t>
  </si>
  <si>
    <t xml:space="preserve"> PROJECT NAME: Improvement along JFMR LLPB – Pan-ayaoan – Lebeng – Amdodon JFMR BTA Road PROJECT LOCATION:  Bangao, Buguias, Benguet DURATION:  19 CD (Including mobilization) PROJECT Cost:  PHP 200,000.00 SOURCE OF FUND: 20% MDF CY 2020 ITEM NO.	DESCRIPTIO</t>
  </si>
  <si>
    <t xml:space="preserve"> Procurement of eBooks for SY 2020-2021 to deliver information services for the LRC clientele</t>
  </si>
  <si>
    <t xml:space="preserve"> 1 1 piece Plastic Acetate, gauge #20 2 Plastic Roll, 2ply, PE, Transparent, 60" x 0.004"</t>
  </si>
  <si>
    <t xml:space="preserve"> 9 pcs LED Flood light 30W</t>
  </si>
  <si>
    <t xml:space="preserve"> Republic of the Philippines Province of Southern Leyte MUNICIPALITY OF SOGOD INVITATION TO BID FOR PROCUREMENT OF GOODS (CHICKEN PULLETS, CHICKEN COCKERELS AND LIVESTOCK SUPPLIES AND MATERIALS FOR THE FREE RANGE NATIVE CHICKEN PROJECT) 1.	The Municipal Go</t>
  </si>
  <si>
    <t xml:space="preserve"> 1	MASter for Duplicator Machine (for rizo Machine DD 3344)	12	 box  2	Copy Printer Ink Black (for Rizo Machine DD  3344), CP17 5x500ml.17.8 oz per box	28	 bot</t>
  </si>
  <si>
    <t xml:space="preserve"> INVITATION FOR SUBMISSION OF QUOTATION (SMALL VALUE PROCUREMENT) 	The local Government Unit of Can-avid, through is Bid and Awards Committee (BAC). Invites suppliers to apply for eligibility, to bid for the hereunder contract: Name of Contract:  	Purchase</t>
  </si>
  <si>
    <t xml:space="preserve"> CONSTRUCTION OF 4 UNITS MATERIALS RECOVERY FACILITY (MRF) IN BARANGAY GUBATAN, MACO DAVAO DE ORO CHECKLIST FOR BIDDING OF GOODS FIRST ENVELOPE: CLASS A (LEGAL DOCUMENTS) CERTIFICATION FROM: PHILGEPS REGISTRATION (PLATINUM MEMBERSHIP) SEC REGISTRATION (FOR</t>
  </si>
  <si>
    <t xml:space="preserve"> 25	rms	bond paper, A4, sub. 20	 300	rms	whitewove, A4, sub. 18	 12	pcs.	packing tape #2, brown	 8	pcs.	Riso ink	 6	pcs.	Riso master</t>
  </si>
  <si>
    <t xml:space="preserve"> For the use of City Health Office. 6 set Desktop Computer processor: core i5 compatible motherboard memory: 8GB 1600 DDR3 RAM 1600 MHz Hard Drive: 1TB Video card: GT730 Monitor: 18.5" LED Wide Screen keyboard mouse UPS 650VA 4 unit Printer, All in One (Pr</t>
  </si>
  <si>
    <t xml:space="preserve"> Supply/Delivery of one (1) unit High Back Computer Chair and eight (8) units Low Back Computer Chair</t>
  </si>
  <si>
    <t xml:space="preserve"> pc	Epson Printer L1110	1 pc	Adventure Envelope Plastic Transparent Push Lock Legal with Handle  Color Green 	236 pc	Adventure Envelope Plastic Transparent Push Lock Legal with Handle  Color Red	228 pc	Adventure Envelope Plastic Transparent Push Lock Legal</t>
  </si>
  <si>
    <t xml:space="preserve"> CONSTRUCTION OF WATER SYSTEM IN BARANGAY GUBATAN MACO DAVAO DE ORO- INSTALLATION OF PIPELINES &amp; FITTINGS  CONSTRUCTION OF RESERVOIR (6X6X6) AND INSTALLATION OF PIPES AND FITTINGS</t>
  </si>
  <si>
    <t xml:space="preserve"> 1	roll	Garden hose, 1/2 dia (100m/roll) 1	roll	Nylon rope (lubid) 3/4 x 100 m/roll 10	units	Tactical Hydro Bag Water   	 	 - Backpack w/ bladder, 2.5 ltrs. Capacity, heavy duty, water proof, adjustable strap features, equipped w/ tube with a bite valve to</t>
  </si>
  <si>
    <t xml:space="preserve"> Please see attached approved RFQ (Associated Components)</t>
  </si>
  <si>
    <t xml:space="preserve"> Fifteen (15) ea Airpot 4ltr and thirty five (35) other L/I</t>
  </si>
  <si>
    <t xml:space="preserve"> 2" dia. uPVC pipe ser. 10 class 100</t>
  </si>
  <si>
    <t xml:space="preserve"> 1 unit Tank Stainless 2000l</t>
  </si>
  <si>
    <t xml:space="preserve"> Province of Ilocos Norte								 Municipality of Paoay								 								 REQUEST FOR QUOTATION								 								 					Date:		8/11/2020	 					Qoutation No:		2020-185	 THE MANAGER				 				 								 								 								               Please  qoute your lowest  pr</t>
  </si>
  <si>
    <t xml:space="preserve"> 115 bags 40kg Cement 40 pcs 16mm Dia. RSB 90 pcs 10mm Dia. RSB 10 kgs #16 bGI tie wire 5 pcs ½” Marine Plywood 40 bd.ft. 15x2”x2”x8’ Good Lumber 1150 pcs 4” CHB 10 pcs 2”x2”x1 ½”x3/16 Angle Bar 10 pcs 1 1/2”x1 ½”x3/16 Angle Bar 15 pcs 2”x3” C-purlins 3 kg</t>
  </si>
  <si>
    <t xml:space="preserve"> Office Supplies</t>
  </si>
  <si>
    <t xml:space="preserve"> LETTER OF INVITATION (Negotiated Procurement - Small Value Procurement) August 09, 2020 Dear Sir/Ma’am: Greetings! This is to invite you as our prospective bidder to submit proposal and participate for the project, “Purchase and Delivery of Deadbolt Locks</t>
  </si>
  <si>
    <t xml:space="preserve"> 2" dia. uPVC pipe ser. 10 class 100 2" dia. uPVC Elbow ser. 10 class 100</t>
  </si>
  <si>
    <t xml:space="preserve"> 300	pcs	Rapid Test Kit</t>
  </si>
  <si>
    <t xml:space="preserve"> Supply and Delivery of Office Supplies of SDSSU Tandag Campus Please see attached Request for Quotation (RFQ)</t>
  </si>
  <si>
    <t xml:space="preserve"> 12 pcs Ball valve, bronze, with lock 1/2" 12 pcs G.I. Straight Elbow, 1/2" 20 pcs G.I. Elbow 1/2" 12 pcs G.I. Tee, 1/2" 12 pcs 1/2  Tee, P.E. Compression-Type 10 pcs 1/2" Elbow, P.E. Compression-type 12 pcs G.I.  Bushing reducer, 1" x 1/2" 12 pcs G.I.  Ni</t>
  </si>
  <si>
    <t xml:space="preserve"> 1.	The Provincial Government of Antique, through the 20% IRA-CY 2020 (Economic Development Sector) intends to apply the sum One Million Nine Hundred Fifty Six Thousand Six Hundred Seventy Five Pesos &amp; 30/100 (Php 1, 956, 675.30) being the Approved Budget </t>
  </si>
  <si>
    <t xml:space="preserve"> Republic of the Philippines Province of Cagayan Municipality of Camalaniugan August 11, 2020 INVITATION TO BID  FOR THE FURNISHING &amp; DELIVERY OF ONE (1) UNIT DUPLICATOR MACHINE 1.	The Municipality of Camalaniugan, through the SPECIAL EDUCATION FUND (CATAN</t>
  </si>
  <si>
    <t xml:space="preserve"> 1. Surgical Mask (50s) – 55 boxes 2. N95 mask (10s) – 55 boxes 3. Personalized Acrylic face shield – 250 pcs Specifications: Material: A4 size, 300 microns clear acetate, Headband type with thick garter, Customized with POPCOM logo and message on family p</t>
  </si>
  <si>
    <t xml:space="preserve"> 20	reams	bond paper, A4		 200	reams	mimeographing paper,white,A4		 6	pcs.	packing tape #2, brown		 6	pcs.	riso ink		 4	pcs.	riso master</t>
  </si>
  <si>
    <t xml:space="preserve"> 480	pcs	Tiles 60 x 60 100	bags	Cement 20	bags	Tile grout 20	bags	Tile Adhesive 10	cu.m. Washed Sand 1	meter Ayagan</t>
  </si>
  <si>
    <t xml:space="preserve"> Medica/Health Supplies REQUIREMENTS: 1     PC    Scaler-Ultrasonic 1 2     pc     Light Cure unit    1 3     pc     Silent-Type Compressor  1 4     pc     Hand piece, high speed   3 5     pc     Pressure Cooker   1 6     pc     UV Light sterilizer 1 7    </t>
  </si>
  <si>
    <t xml:space="preserve"> INVITATION TO BID IB NO. CW 2020 –  148 Improvement of Multi-Purpose Building at Catuwiran I, Baco, Or. Mindoro and  Rehabilitation of Child Development Center at Catuwiran II, Baco, Or. Mindoro 1.  The Provincial Government of Oriental Mindoro (PGOM) thr</t>
  </si>
  <si>
    <t xml:space="preserve"> TYPE OF PRINT: SUBLIMATED  MATERIAL: HEAVY LINEN SIZE: 14" X 9.5" PRICE: PHP 50.00</t>
  </si>
  <si>
    <t xml:space="preserve"> Twenty (20) Notebook 30lvs and twenty two (22) other L/I</t>
  </si>
  <si>
    <t xml:space="preserve"> INVITATION TO BID August 3, 2020 The Eastern Visayas Regional Medical Center, through its Bids and Awards Committee (BAC A) invites suppliers/manufacturers/distributors to bid for the hereunder project:  Item/Description	Approved Budget for the Contract (</t>
  </si>
  <si>
    <t xml:space="preserve"> 1.	The Provincial Government of Antique, through the 20% IRA-CY 2020 (Social Development Sector) intends to apply the sum One Million Nine Hundred Sixty Six Thousand Fifty Three Pesos &amp; 60/100 (Php 1, 966, 053.60) being the Approved Budget for the Contrac</t>
  </si>
  <si>
    <t xml:space="preserve"> Unit 	Item Description	Quantity 		 sheet	Marine Plywood	10 gal	Enamel paint	20 gal	Flat Latex Paint	10 pcs	Paint Brush #4	6 pcs	paint brush small	1 gal	Paint Thinner	15 pcs	Roller brush	6 kl	Nails #1	3 kl	Nails # 3	2 sheet	Plain Sheet	7 pcs	2x2x10	30 pcs	</t>
  </si>
  <si>
    <t xml:space="preserve"> REGIONAL BIDS AND AWARDS COMMITTEE REGION II &amp; E-CAR Request for Quotation (RFQ) No. 2020-1-010 Supply, Delivery &amp; Installation of Protective Plastic Sheets for Frontliners as proposed by Cabarroguis Branch NOTE: PLEASE SEE ATTACHED LBP REQUEST FOR QUOTAT</t>
  </si>
  <si>
    <t xml:space="preserve"> see attached RFQ &amp; Menu</t>
  </si>
  <si>
    <t xml:space="preserve"> 1	Footress Alcohol Stand	10	pcs 2	Infrared Thermometer with tripod stand	10	pcs 3	Disinfecting Mat 19"x30"	20	pcs 	(Foot Tray &amp; Non-skid Coil Mat)</t>
  </si>
  <si>
    <t xml:space="preserve"> 1. The City Government of Calamba through the General Fund intends to apply the sum of Php 399,840.00 being the Approved Budget for the Contract (ABC) to payments under the contract for G-2020-524 Supply and Delivery of Laying Cages for Egg Production (La</t>
  </si>
  <si>
    <t xml:space="preserve"> Republic of the Philippines								 Province of Ilocos Norte								 Municipality of Paoay								 								 REQUEST FOR QUOTATION								 								 					Date:		8/11/2020	 					Qoutation No:		2020-191	 THE MANAGER				 				 								 								 								        </t>
  </si>
  <si>
    <t xml:space="preserve"> INSTALLATION OF 10 PCS. OF STREETLIGHTS WITH COMPLETE LIGHTING AND ACCESSORIES.</t>
  </si>
  <si>
    <t xml:space="preserve"> 200 pcs  PLASTIC UNION COUPLING 1" diameter (CTS) (NLC) 200 pcs  PLASTIC MALE ADAPTER 1" diameter (CTS) (NLC)</t>
  </si>
  <si>
    <t xml:space="preserve"> LETTER OF INVITATION (Negotiated Procurement - Small Value Procurement) August 09, 2020 Dear Sir/Ma’am: Greetings! This is to invite you as our prospective bidder to submit proposal and participate for the project, “Purchase and Delivery of Disinfectants </t>
  </si>
  <si>
    <t xml:space="preserve"> 1.	The Provincial Government of Antique, through the 20% IRA-CY 2020 (Social Development Sector) intends to apply the sum Two Million Nine Hundred Fifty Five Thousand Pesos &amp; 42/100 (Php 2, 955, 000.42) being the Approved Budget for the Contract (ABC) to </t>
  </si>
  <si>
    <t xml:space="preserve"> THE MHO WOULD LIKE TO PROCURE THE REFILL OF MEDICAL OXYGEN TANKS AND AVIATOR. . . . . . .</t>
  </si>
  <si>
    <t xml:space="preserve"> Republic of the Philippines									 DEPARTMENT OF AGRARIAN REFORM									 Provincial Agrarian Reform Office									 Bantayan, Dumaguete City									 									 REQUEST FOR QUOTATION									 									 					No.:	08-20-098			 					Date:	11-Aug-20			 				</t>
  </si>
  <si>
    <t xml:space="preserve"> T-SHIRT W/ COLLAR AND CUFFS WITH RUBBERIZED DEPED SIARGAO LOGO 1. EXTRA LARGE 117PCS. 2. SMALL 378 PCS. 3. MEDIUM 699 PCS. 4. LARGE 433 PCS. 5. EXTRA LARGE 183 PCS. 6. XXL 36 PCS. 7. XXXL 6 PCS.</t>
  </si>
  <si>
    <t xml:space="preserve"> PHYSICAL THERAPY ENHANCEMENT PROGRAM (3RD QUARTER)</t>
  </si>
  <si>
    <t xml:space="preserve"> INVITATION TO BID  PROCUREMENT OF ONE (1) PACKAGE CONSTRUCTION MATERIALS FOR THE CONSTRUCTION OF BARANGAY HALL, BARANGAY LAMIGAN, AYUNGON, NEGROS ORIENTAL BID IDENTIFICATION NUMBER 2020-08-02 1.	Barangay Lamigan, through the BARANGAY FUND intends to apply</t>
  </si>
  <si>
    <t xml:space="preserve"> Republic of the Philippines Province of Quezon Municipality of Atimonan Barangay Balubad Project Reference No:  2020- Name of the Project: Purchase of Water Dispenser Location of the Project: Barangay Balubad Atimonan, Quezon REQUEST FOR QUOTATION-SHOPPIN</t>
  </si>
  <si>
    <t xml:space="preserve"> purchase</t>
  </si>
  <si>
    <t xml:space="preserve"> Republic of the Philippines Province of Nueva Vizcaya BIDS AND AWARDS COMMITTEE (BAC-GOODS) BAC OFFICE, Provincial Capitol, Bayombong, Nueva Vizcaya Tel. No. (078) 392-2650 	 INVITATION TO BID FOR THE SUPPLY AND DELIVERY OF RADIOLOGY SUPPLIES FOR THE NUEV</t>
  </si>
  <si>
    <t xml:space="preserve"> Republic of the Philippines Province of Leyte Municipality of Hilongos Barangay STA. CRUZ REQUEST FOR QUOTATION ________________ DATE _____________________ _____________________ .        Please quote your lowest price on the items/listed below for theProc</t>
  </si>
  <si>
    <t xml:space="preserve"> Black Net, UV stabilized PE straw weft-weaved pattern, 50% shading; 3mx100m (8 rolls) = 117,600.00 Black Net, high-density polyethylene (HDPE), flame retardants, antioxidants, and anti-UV additives, 2m x 100m (6 rolls) = 90,000.00 Poultry Nets, black/gree</t>
  </si>
  <si>
    <t xml:space="preserve"> TESDA-PO-AS-04-FO3				 		           Rev. No. 00-03/01/17				 						 						Annex "A" Republic of the Philippines						 TECHNICAL EDUCATION AND SKILLS DEVELOPMENT AUTHORITY						 Cebu Provincial Office, Salinas Drive, Lahug, Cebu City						 Tel. Nos. (032) </t>
  </si>
  <si>
    <t xml:space="preserve"> Republic of the Philippines								 Province of Ilocos Norte								 Municipality of Paoay								 								 REQUEST FOR QUOTATION								 								 					Date:		8/11/2020	 					Qoutation No:		2020-186	 THE MANAGER				 				 								 								 								        </t>
  </si>
  <si>
    <t xml:space="preserve"> Bond Paper,Letter Size,80gsm Plastic Envelop Long Size Clear Ink Refill,Epson Printer,L3110 Black,CYAN,MAGENTA,YELLOW Ink Refill,Epson Printer,L360 Black,CYAN,MAGENTA,YELLOW</t>
  </si>
  <si>
    <t xml:space="preserve"> cctv</t>
  </si>
  <si>
    <t xml:space="preserve"> See Annex "A" for the Technical Specifications.</t>
  </si>
  <si>
    <t xml:space="preserve"> 416 Ream of Multi Purpose Paper A4 ( 70gsm)</t>
  </si>
  <si>
    <t xml:space="preserve"> Vehicle Corrective Maintenance 		 		Hyundai H100, 131205 5	pcs	Tires, 205/70R15, 6 or 8 ply rating, Tubeless 		 		Mitsubishi L300, POY 542 5	pcs	Tires, 185/R14C, 6 or 8 ply rating, Tubeless 1	pcs	Battery, 12 V, 11 Plates, Maintenance Fee 		 		 		Note: For</t>
  </si>
  <si>
    <t xml:space="preserve"> Republic of the Philippines								 Province of Ilocos Norte								 Municipality of Paoay								 								 REQUEST FOR QUOTATION								 								 					Date:		8/11/2020	 					Qoutation No:		2020-192	 THE MANAGER				 				 								 								 								        </t>
  </si>
  <si>
    <t xml:space="preserve"> UNIT            QUANTITY          DESCRIPTION REAM           160                   PAPER, A4 BOTTLE        45                     EPSON INK 003, BLACK BOTTLE        24                     EPSON INK 003, YELLOW BOTTLE        24                     EPSON IN</t>
  </si>
  <si>
    <t xml:space="preserve"> 1	2	pcs	Bean Office Visitor Chair - Orange+Black 2	2	pcs	Yousik Oddie Office Table - Black Walnut</t>
  </si>
  <si>
    <t xml:space="preserve"> Please download attached Request for Quotation 1. Power Source: minimum of 12 HP Diesel Engine 2. Input Capacity: minimum of 180kg/hr 3. Main Product Recovery: minimum of 64% 4. By Product Recovery: maximum of 31% 5. Losses: maximum of 5% 6. Grits of othe</t>
  </si>
  <si>
    <t xml:space="preserve"> 1 Lot Rehabilitation and Upgrading of Freshwater Fish Hatchery in Support to BASIL Program         The Works consist of the following:     - Site preparation     - Construction of Workplace facility     - Construction of Hatchery tanks     - Construction </t>
  </si>
  <si>
    <t xml:space="preserve"> Download attachment in the Associated Components. For further information, please refer to: Atty. VIRGILIO B. GALEON Head, BAC Secretariat BAC Office Government Center Bldg. A J. P. Rizal Blvd., Market Area  City of Santa Rosa, Laguna 4026 Telephone Numbe</t>
  </si>
  <si>
    <t xml:space="preserve"> Package Fabrication Prototype      1 package</t>
  </si>
  <si>
    <t xml:space="preserve"> Request For Quotation for Information Communication Technology Equipment</t>
  </si>
  <si>
    <t xml:space="preserve"> 250 BOTTLE INK, TANK SYSTEM INK - BLACK 140 ML GENUINE</t>
  </si>
  <si>
    <t xml:space="preserve"> UNIT                     QUANTITY                         DESCRIPTION REAM                        280                          BOND PAPER (A4, SUBSTANCE 20) SET                            14                          PRINTER INK (CYAN, MAGENTA, YELLOW) BOT</t>
  </si>
  <si>
    <t xml:space="preserve"> Supply and Delivery of ICT Equipment and Supplies of SDSSU Tandag Campus Please see attached Request for Quotation (RFQ)</t>
  </si>
  <si>
    <t xml:space="preserve"> Sir/Madam:					       The Bureau of Communications Services would like to request for a quotation for the following item with ABC of P160,000.00.					                     					 Qty.	Unit				 					 1	unit	Airconditioning unit 2.5 HP split type			 5	unit	Ai</t>
  </si>
  <si>
    <t xml:space="preserve"> Unit 	Item Description	Quantity 		 pcs	sign pen	8 pcs	transparent tape	8 box	staple wire	8 pcs	record book	8 pcs	filer box	8 ream	bondpaper	181 ream	colored bondpaper	8 packs	linen paper	7 packs	vellum board	15 packs	photopaper	5 box	thumb tacks	7 ream	fo</t>
  </si>
  <si>
    <t xml:space="preserve"> INVITATION TO BID  REPLACEMENT OF TILES AND REPAINTING OF THE INTERIOR WALLS AND FINISHES OF BUDGET INFORMATION AND TRAINING SERVICE AND BUDGET AND MANAGEMENT BUREAU-B OFFICES 1.	The Department of Budget and Management (DBM), through the authorized approp</t>
  </si>
  <si>
    <t xml:space="preserve"> Send Sealed Quotation with the title and Solicitation No. Please download the attachment and include the copy of  1. Income/Business Tax Return 2019 2. Business’ /Mayor’s Permit 3. PhilGEPS certification / PhilGEPS Reg. No. 4. Omnibus Sworn Statement Othe</t>
  </si>
  <si>
    <t xml:space="preserve"> Republic of the Philippines Province of Cagayan Municipality of Camalaniugan August 11, 2020 INVITATION TO BID  FOR THE FURNISHING &amp; DELIVERY OF MOUNTAIN SOIL FOR BACKFILLING AND LEVELING OF LOW LYING AREAS @ CEMETERY LOT 1.	The Municipality of Camalaniug</t>
  </si>
  <si>
    <t xml:space="preserve"> Procurement of Meals and Snacks</t>
  </si>
  <si>
    <t xml:space="preserve"> COMPLETE AND DETAILED PROGRAM OF WORKS AVAILABLE AT THE SCHOOLS DIVISION OF BULACAN</t>
  </si>
  <si>
    <t xml:space="preserve"> H E A D Q U A R T E R S P H I L I P P I N E  A R M Y OFFICE OF THE PA BIDS AND AWARDS COMMITTEE-2 Fort Andres Bonifacio, Metro Manila 								10 August 2020 INVITATION TO BID The Armed Forces of the Philippines, through the Philippine Army Bids and Awards</t>
  </si>
  <si>
    <t xml:space="preserve"> Republic of the Philippines									 REGION IX      									 PROVINCE OF ZAMBOANGA DEL SUR									 Pagadian City     									 BIDS AND AWARDS COMMITTEE  									 Provincial Capitol, Pagadian City									 		 							 INVITATION FOR SUBMISSION OF QUOTAT</t>
  </si>
  <si>
    <t xml:space="preserve"> 1. The City Government of Calamba through the LDRRM Fund intends to apply the sum of Php 360,000.00 being the Approved Budget for the Contract (ABC) to payments under the contract for G-2020-525 Supply and Delivery of CPR Mannequin, Local Disaster Risk Re</t>
  </si>
  <si>
    <t xml:space="preserve"> Procurement of Rice</t>
  </si>
  <si>
    <t xml:space="preserve"> NOTE:	1. THE APPROVED BUDGET FOR THE CONTRACT IS PhP 59850.00		 	2. ALL ENTRIES MUST BE TYPEWRITTEN		 	3. DELIVERY PERIOD WITHIN ________ CALENDAR DAYS		 	4. WARRANTY SHALL BE FOR A PERIOD OF THREE (3) MONTHS FOR EXPENDABLE SUPPLIES, ONE (1) 		 	     YEAR</t>
  </si>
  <si>
    <t xml:space="preserve"> Please download associated component</t>
  </si>
  <si>
    <t xml:space="preserve"> Item Number	Description	 QTY 	UNIT	 ESTIMATED BUDGET  1	Diesel Fuel	14,000	liters	 595,000.00  	xxxxxxxxxx			 			TOTAL:	Php 595,000.00</t>
  </si>
  <si>
    <t xml:space="preserve"> Twelve (12) bag Cement and twenty one (21) other L/I</t>
  </si>
  <si>
    <t xml:space="preserve"> RESOLUTION ON PRIOR APPROVAL NO. 06-86 Series of 2020 RESOLUTION RECOMMENDING THE USE OF ALTERNATIVE METHOD OF PROCUREMENT FOR THE ACQUISITION OF GOODS AND SERVICES WHEREAS, Human Resource Management Department submitted Purchase Request with the followin</t>
  </si>
  <si>
    <t xml:space="preserve"> INVITATION FOR SUBMISSION OF QUOTATION (SMALL VALUE PROCUREMENT) 	The local Government Unit of Can-avid, through is Bid and Awards Committee (BAC). Invites suppliers to apply for eligibility, to bid for the hereunder contract: Name of Contract:  	Catering</t>
  </si>
  <si>
    <t xml:space="preserve"> Quantity      Unit of Issue      Item Description     15                 pages         Publication of Ordinance No. 20-07-0236                                           (Bauan Traffic and Transportation Code 2020) NAME OF PROJECT: Publication of Ordinance</t>
  </si>
  <si>
    <t xml:space="preserve"> Republic of the Philippines								 Province of Ilocos Norte								 Municipality of Paoay								 								 REQUEST FOR QUOTATION								 								 					Date:		8/11/2020	 					Qoutation No:		2020-133	 THE MANAGER				 				 								 								 								        </t>
  </si>
  <si>
    <t xml:space="preserve"> Rental of One (1) Unit Service Vehicle</t>
  </si>
  <si>
    <t xml:space="preserve"> LETTER OF INVITATION (Negotiated Procurement - Small Value Procurement) August 09, 2020 Dear Sir/Ma’am: Greetings! This is to invite you as our prospective bidder to submit proposal and participate for the project, “Purchase and Delivery of One (1) Unit R</t>
  </si>
  <si>
    <t xml:space="preserve"> INVITATION FOR SUBMISSION OF QUOTATION (SMALL VALUE PROCUREMENT) 	The local Government Unit of Can-avid, through is Bid and Awards Committee (BAC). Invites suppliers to apply for eligibility, to bid for the hereunder contract: Name of Contract:  	Repair A</t>
  </si>
  <si>
    <t xml:space="preserve"> Piglets for Livestock Program Extension Support 63 head Piglets, Hybrid *Please refer to an attached RFQ for the Specifications **Please see an attached document in ASSOCIATED COMPONENTS for the RFQ</t>
  </si>
  <si>
    <t xml:space="preserve"> PROCUREMENT OF ONE (1) UNIT TIME AND DATER MACHINE FOR LUCENA LENDING CENTER Kindly give us your price quotation at lowest price based on attached specifications per Terms of Reference for the following as we intend to purchase/contract service from you i</t>
  </si>
  <si>
    <t xml:space="preserve"> 1. The City Government of Calamba through the General Fund intends to apply the sum of Php 167,231.40 being the Approved Budget for the Contract (ABC) to payments under the contract for G-2020-531 Supply and Delivery of Office &amp; Janitorial Supplies, Infor</t>
  </si>
  <si>
    <t xml:space="preserve"> Please download attached Request for Quotation A. PAES MINIMUM SPECIFICATIONS:  I. Design and Performance  1. Grinding Recovery: 97%, minimum 2. Average particle size: 70% of ground peanut shall have a maximum of 70 micrometer (maximum of 2 passes) 3. Gri</t>
  </si>
  <si>
    <t xml:space="preserve"> 1.	The Department of Environment and Natural Resources Region III, through the government appropriation act intends to apply the sum of Php.101,500.00 being the Approved Budget for the Contract (ABC) to payments under the “Procurement of 7 units Smart Mob</t>
  </si>
  <si>
    <t xml:space="preserve"> INVITATION TO BID FOR  The Construction of Multi-Purpose Building (Completion) at Barangay Garreta, Badoc, Ilocos Norte 1.	The Municipality of Badoc, Ilocos Norte, through the 20% Development Fund to apply the sum of Two million seven hundred fifty thousa</t>
  </si>
  <si>
    <t xml:space="preserve"> 1.	The Provincial Government of Antique, through the SEF (Special Education Fund) intends to apply the sum of Eight Million Six Hundred Ten Thousand Eight Hundred Pesos (Php 8, 610, 800.00) being the Approved Budget for the Contract (ABC) to payments unde</t>
  </si>
  <si>
    <t xml:space="preserve"> COMPLETE AND DETAILED PROGRAM OF WORKS AVAILABLE AT THE SCHOOLS DIVISION OFFICE OF BULACAN Capitol Compound, Guinhawa, City of Malolos, Bulacan</t>
  </si>
  <si>
    <t xml:space="preserve"> materials including labor</t>
  </si>
  <si>
    <t xml:space="preserve"> Procurement of Office Supplies</t>
  </si>
  <si>
    <t xml:space="preserve"> Supply/Delivery of twelve (12) units Office Swivel Chairs</t>
  </si>
  <si>
    <t xml:space="preserve"> ___________________________________				Quotation/Bid No.:___________________________		          COMPANY NAME				PR No.	ENGR-07-0011	 ___________________________________				Date	August 11, 2020	                     Address						 REQUEST FOR QUOTATION						</t>
  </si>
  <si>
    <t xml:space="preserve"> Cadiz City SF-GOOD-60 Standard Form Title: Request for Quotation 										_______________ 					             ______________________ ______________________ 	Please quote your lowest price on the items listed below, subject to the General Conditions on the </t>
  </si>
  <si>
    <t xml:space="preserve"> 1. The City Government of Calamba through the General Fund intends to apply the sum of Php 145,800.00 being the Approved Budget for the Contract (ABC) to payments under the contract for G-2020-530 Supply and Delivery of Foldable Tables, City General Servi</t>
  </si>
  <si>
    <t xml:space="preserve"> PROCUREMENT TERMS &amp; CONDITIONS					 1	The Total Approved Budget for the Contract (ABC) is Php 17,000.00				 2	Price quotation should be inclusive of tax obligations.				 3	Delivery period is 10 calendar days from the receipt of NOA &amp; PO.				 4	If awarded </t>
  </si>
  <si>
    <t xml:space="preserve"> 1" Ø x 6.0 m G.I. Pipe Sch. 40			64	lengths	54,835.20 1/2" Ø x 6.0 m G.I. Pipe Sch. 40			80	lengths	37,632.00 1 1/2" x 1 1/2" x 3/16" Angle Bar			3	lengths	1,596.00 9 mm Ø x 6.0m plain bar			32	lengths	5,555.20 5/16" Ø x 1" stainless bolts with plain wash</t>
  </si>
  <si>
    <t xml:space="preserve"> IEC Reproduction for SOA on Inbred Rice Seeds Production &amp; Farm Mechanization 320 piece IEC Reproduction (PalayCheck) *Please refer to an attached RFQ for the Specifications **Please see an attached document in ASSOCIATED COMPONENTS for the RFQ</t>
  </si>
  <si>
    <t xml:space="preserve"> Proposed concreting of sidewalk at OPD selected area and oxygen tank storage.</t>
  </si>
  <si>
    <t xml:space="preserve"> Professional Fee of designer for packaging/ label design and brand development</t>
  </si>
  <si>
    <t xml:space="preserve"> 1 UNIT MOTORVEHICLE WITH SIDECAR</t>
  </si>
  <si>
    <t xml:space="preserve"> REQUEST FOR QUOTATION							 							 Date:______________________	 (Name of Company)							 							 (Address of Company)							 							 Sir / Madam:							 	Please quote your best offer for item/s described below, subject to the Terms and Conditions provid</t>
  </si>
  <si>
    <t xml:space="preserve"> REGIONAL BIDS AND AWARDS COMMITTEE REGION II &amp; E-CAR Request for Quotation (RFQ) No. 2020-1-009 Supply, Delivery &amp; Installation of Protective Plastic Sheets for Frontliners as proposed by Luna Branch NOTE: PLEASE SEE ATTACHED LBP REQUEST FOR QUOTATION FOR</t>
  </si>
  <si>
    <t xml:space="preserve"> Republic of the Philippines Province of Cotabato Municipality of Aleosan Invitation to Bid  SUPPLY AND DELIVERY OF PRINTING SUPPLIES (BOND PAPERS AND INKS)                                                                                                    </t>
  </si>
  <si>
    <t xml:space="preserve"> PROCUREMENT TERMS &amp; CONDITIONS 1.	The Total Approved Budget for the Contract (ABC) is PhP 120,000.00. 2.	Price Quotation should be inclusive the 5% Final VAT and expanded withholding tax (EWT) of 2%. 3.	Evaluation of bids will be conducted on a “per lot” </t>
  </si>
  <si>
    <t xml:space="preserve"> NOTE:	1. THE APPROVED BUDGET FOR THE CONTRACT IS PhP 119995.00		 	2. ALL ENTRIES MUST BE TYPEWRITTEN		 	3. DELIVERY PERIOD WITHIN ________ CALENDAR DAYS		 	4. WARRANTY SHALL BE FOR A PERIOD OF THREE (3) MONTHS FOR EXPENDABLE SUPPLIES, ONE (1) 		 	     YEA</t>
  </si>
  <si>
    <t xml:space="preserve"> REQUEST FOR QUOTATION ____________________________ PR NO.: 2020-06-323 RFQ No.: 2020-07-002 The National Bureau of Investigation (NBI), through its Special Bids and Awards Committee (SBAC), will undertake a Small Value Procurement for the “Supply and Deli</t>
  </si>
  <si>
    <t xml:space="preserve"> MOTORCYCLE 125        unit       1 Vat and Evat</t>
  </si>
  <si>
    <t xml:space="preserve"> Please see attached RFQ20-08-005 for reference</t>
  </si>
  <si>
    <t xml:space="preserve"> Republic of the Philippines									 LOCAL GOVERNMENT UNIT OF IBA									 Province of Zambales									 									 									 								Date:	 								Quotation:	 (Supplier)									 									 (Address)									 									 	                Please quote your l</t>
  </si>
  <si>
    <t xml:space="preserve"> Republic of the Philippines					 Province of Palawan					 MUNICIPALITY OF EL NIDO					 PR No.	 Name of Procuring Entity: Municipal Government of El Nido			RFQ No.	2020-387-MMO	 Date:		 Office/End-User: MMO					 Company Name					 Adress:					 Business Perm</t>
  </si>
  <si>
    <t xml:space="preserve"> 1. The City Government of Calamba through the General Fund intends to apply the sum of Php 99,562.80 being the Approved Budget for the Contract (ABC) to payments under the contract for G-2020-528 Supply and Delivery of Promotional Materials, City College </t>
  </si>
  <si>
    <t xml:space="preserve"> 4 bottle, Alcohol &amp; 23 L/I</t>
  </si>
  <si>
    <t xml:space="preserve"> Republic of the Philippines Province of Eastern Samar Municipality of Guiuan Invitation to Bid  for  PROPOSED EMBANKMENT FOR LAND DEVELOPMENT OF COMMUNITY FISH LANDING CENTER AT BARANGAY SULANGAN, GUIUAN, E. SAMAR  The LOCAL GOVERNMENT UNIT OF GUIUAN, thr</t>
  </si>
  <si>
    <t xml:space="preserve"> Republic of the Philippines Province of Cagayan Municipality of Camalaniugan August 11, 2020 INVITATION TO BID  FOR THE FURNISHING &amp; DELIVERY OF COVID19 ANTIBODY RAPID DIAGNOSTIC TEST SCREENING KIT 1.	The Municipality of Camalaniugan, through the BAYANIHA</t>
  </si>
  <si>
    <t xml:space="preserve"> 500 pcs Face Shield</t>
  </si>
  <si>
    <t xml:space="preserve"> various sizes of uPVC Pipes</t>
  </si>
  <si>
    <t xml:space="preserve"> ARTICLE AND DESCRIPTION											 ITEM	QTY.	UNIT						CEILING 					UNIT PRICE		TOTAL  								PRICE							 															 				Office: City Budget Office				PR No. 880							 				Charge to: Other Supplies and Materials				OBR No. 100-2006-05565							 		</t>
  </si>
  <si>
    <t xml:space="preserve"> NOTE:	1. THE APPROVED BUDGET FOR THE CONTRACT IS PhP 129,500.00		 	2. ALL ENTRIES MUST BE TYPEWRITTEN		 	3. DELIVERY PERIOD WITHIN ________ CALENDAR DAYS		 	4. WARRANTY SHALL BE FOR A PERIOD OF THREE (3) MONTHS FOR EXPENDABLE SUPPLIES, ONE (1) 		 	     YE</t>
  </si>
  <si>
    <t xml:space="preserve"> Materials Labor</t>
  </si>
  <si>
    <t xml:space="preserve"> Republic of the Philippines													 BUTUAN CITY WATER DISTRICT													 Gov. Jose A. Rosales Avenue, Butuan City													 Tel. Nos. 143 (Hotline) 342-3145/46 (Bayantel)													 Fax No. 341-4298													 				REQUEST FOR PRICE QUOTATIO</t>
  </si>
  <si>
    <t xml:space="preserve"> *COMPUTER DESKTOP - Intel Core i5 9th GEN Processor, Socket 1151 Motherboard (Prime B365mA), 2x 4GB Dual Channel DDR4 PC 2400MHz Memory, 512GB SSD Storage NVME, DVD-RAW Optional Drive, Mid-Tower casing w/ 600w PSU (Rated)m 21.5" LED Monitor, Speaker, USB </t>
  </si>
  <si>
    <t xml:space="preserve"> SUPPLY AND DELIVERY OF BROCHURE FOR INFORMATION DISSEMINATION DRUG BUSTER (CMO)</t>
  </si>
  <si>
    <t xml:space="preserve"> 1	30	piece	Trash Can,8L, Made of durable plastic,Sing-top and easy-to-remove lid 2	20	piece	Trash Can, 2 quiet 4-inches caster with 2 non-marking 8-inches wheels, durable and sturdy material; sturdy shelves with built in mop/broom holder and hook; spaciou</t>
  </si>
  <si>
    <t xml:space="preserve"> Renovation of Central MRF and Assemble of Several Signages Barangay Matictic, Norzagaray, Bulacan</t>
  </si>
  <si>
    <t xml:space="preserve"> 1. Suppliers must be within Cagayan de Oro City. 2. Free delivery of goods. 3. Specific supplies to be purchased are toner for riso and master.</t>
  </si>
  <si>
    <t xml:space="preserve"> 1 pc. Piston Ring (GX 35)</t>
  </si>
  <si>
    <t xml:space="preserve"> Construction Materials REQUIREMENTS: 1  PC  12mm Square Bar  300x120  6 2  pc   12mm  Square Bar  180x120  4 3  pc   12mm   Square Bar  120x270  2</t>
  </si>
  <si>
    <t xml:space="preserve"> Fabrication of Steel Barrier/Barricade for PNP (Philippine National Police)- Alcala, Pangasinan Station</t>
  </si>
  <si>
    <t xml:space="preserve"> UNIT                            QUANTITY                           DESCRIPTION REAM                                675                                A4 BOND PAPER SUBSTANCE 20 BOTTLE/SET                       10                                 TONER PIEC</t>
  </si>
  <si>
    <t xml:space="preserve"> Date of Canvass: ___________ PRICE QUOTATION Ladies / Gentlemen: 	Please quote prices for the items listed below. This proposal is a request for quotation only and not an order. The terms / conditions shall be in accordance with the following: 1.	This pro</t>
  </si>
  <si>
    <t xml:space="preserve"> Please see attached docs.</t>
  </si>
  <si>
    <t xml:space="preserve"> 1	Laptop 	10	units 	Specification:		 	Laptop Type: Notebook, (CPU: Core i5, Processor Model: Intel Core i5-9300H, GPU Model: NVIDIA Geforce GTX 1650 4GBGDDR5, RAM: 8GB, Memory Type: DDR4 SDRAM, Memory slots: x2 slots, Storage Type: HDD+SSD/eMMC, HDD: 1TB,</t>
  </si>
  <si>
    <t xml:space="preserve"> 1. Disinfectant Spray, Aerosol Type 400- 500grams 2. 70% Isopropyl Alcohol 3. Hand Sanitizer 4. Disinfectant Solution; Non-corrosive 5. Detergent Powder 1kg. 6. Rags, all cotton 7. Medical Mask 50 pcs/box 8. Plastic spray bottle 500ml Payment terms – Send</t>
  </si>
  <si>
    <t xml:space="preserve"> 150	pieces	Filter for water purification system 10	packs	Qualitative Filter Paper; Standard Grade 5; 2.5 Î¼m; 150mm diameter; Circles (100 circles per box) 10	packs	Filter paper; 610x610mm (250 sheets per box/pack)</t>
  </si>
  <si>
    <t xml:space="preserve"> Unit 	Item Description	Quantity 		  reams 	bond paper A4	1000  bot 	printer ink black	40</t>
  </si>
  <si>
    <t xml:space="preserve"> Six (3) Months supply of Dietary supplies for the use of Labuan General Hospital		 	For Patients, COVID patient, and COVID Employees		 	VEGETABLES:		 	Should be fresh,clean and free from objectionable odor and taste,		 	delivered in a clean container or w</t>
  </si>
  <si>
    <t xml:space="preserve"> Procurement of LPG Cooking Gas 50kg/cylinder (September 2020) (with detailed preventive maintenance of NDU gas pipe line)</t>
  </si>
  <si>
    <t xml:space="preserve"> 5 boxes Bond paper (long) 5 boxes Bond paper (short) 100 pcs Expanded folder (long) 200 pcs Ballpen  100 pcs Correction tape</t>
  </si>
  <si>
    <t xml:space="preserve"> The Local Government Unit of Barugo, through the General Fund intends to apply the sum of Sixty-Two Thousand Seven Hundred Twenty-two Pesos &amp; 50/100 Only (Php 62,722.50) being the Approved Budget for the Contract (ABC) to payment under the contract for th</t>
  </si>
  <si>
    <t xml:space="preserve"> UNIT                                      QUANTITY                                                    DESCRIPTION REAMS                                         230                                                        BOND PAPER A4 BOT                   </t>
  </si>
  <si>
    <t xml:space="preserve"> fireworks</t>
  </si>
  <si>
    <t xml:space="preserve"> Brgy. Atioc Project Billboard,  Safety and Health,  Sub-Grade Preparation,  Aggregate Base Course,  PCCP Brgy. Dela Paz Project Billboard,  Safety and Health,  Sub-Grade Preparation,  Aggregate Base Course,  PCCP,  Brgy. San Francisco Project Billboard,  </t>
  </si>
  <si>
    <t xml:space="preserve"> Tents</t>
  </si>
  <si>
    <t xml:space="preserve"> 1.	The Municipal Government of El Nido, through the General Fund intends to apply the sum of Five Hundred Forty Nine Thousand Nine Hundred Twenty Pesos (P 549,920.00) being the Approved Budget for the Contract (ABC) to payments for the Procurement of Dies</t>
  </si>
  <si>
    <t xml:space="preserve"> Unit 	Item Description	Quantity 		 bot	Printer Ink	103 ream	Band paper legal	320 ream	Bond Paper A4	111 pcs	Plastic folder long	265 pcs	Stappler big	4 pcs	binder Clip 2"	30 pcs	ball pen (assorted color)	24 pcs	Plastic Expanding long	290 pad	sticky note	10</t>
  </si>
  <si>
    <t xml:space="preserve"> Long Bond Paper 8 1/2 x13 @ 50 gsm for 697 students combined Gr 9 and Gr 10 population; 8 subjects at 65 pages each per month; 725 reams per month for 2 months</t>
  </si>
  <si>
    <t xml:space="preserve"> Basketball Scoreboard Caption-VINYL ONLY (STANDARD)  Power -250 Watts, 2.1 Amps Uncrated weight- 260 lb (118 kg)  Dimensions-6'-0" H x 10'-0" W x 6" (1.83m,3.05m,152mm) Digits &amp; Indicators- Clock and score digits are 13" (330 mm) high. T.O.L.digits are 7"</t>
  </si>
  <si>
    <t xml:space="preserve"> 1	Firefly Led Light Bulb (15 watts)	5	 pc  2	Commercial Stand Fan,  8 in, Axial  Blades, Adjustable height, Code, 45T-S	5	 unit  3	25 Channel UHF Wireless Microphone Dual Microphone with Mini Portable Receiver 1/4" Output	1	 unit  4	Full Range Speaker Pro</t>
  </si>
  <si>
    <t xml:space="preserve"> PROPOSED REHABILITATION AND UPGRADING OF EXISTING STREETLIGHTING ALONG ARNAIZ AVENUE LOCATED AT VARIOUS BARANGAYS OF MAKATI CITY -ORDER OF PAYMENT FOR BID DOCS WILL BE AVAILABLE AT GSD-HEAD OFFICE @ 10TH FLOOR MAKATI CITY HALL BLDG. 2. LOOK FOR MR. REDEN </t>
  </si>
  <si>
    <t xml:space="preserve"> 60 pax 1 Snack &amp; 1 Lunch</t>
  </si>
  <si>
    <t xml:space="preserve"> 1 unit Digital Duplicator Specifications: Master Making/Printing Methods: High Speed digital master making/Fully automatic printing Original Type: Book, Sheet Master Making Time: Quick Master Making Mode: Approx. 18 seconds Normal Making Mode: Approx. 20 </t>
  </si>
  <si>
    <t xml:space="preserve"> Goods: 262 cu.m. Head Size Boulders 1096 bags Cement 92 cu.m. Sand 14 cu.m. Gravel (pea size) 200 bdft. 50pcs.2" x 2" x 12' lumber 12 pcs. 1 1/4" dia. x 6.0m G.I. Pipes S-20 1 kl. #1 1/2" CWN 11 kls. #4" CWN</t>
  </si>
  <si>
    <t xml:space="preserve"> Brgy. Dolores Project Billboard,  Safety and Health,  Removal of Existing Concrete Pavement,  Aggregate Base Course,  PCCP Brgy. Laoang Project Billboard,  Safety and Health,  Sub-Grade Preparation,  Aggregate Base Course,  PCCP,  RCPC Prospective Bidders</t>
  </si>
  <si>
    <t xml:space="preserve"> 1. The City Government of Calamba through the General Fund intends to apply the sum of Php 208,500.00 being the Approved Budget for the Contract (ABC) to payments under the contract for G-2020-532 Supply and Delivery of Used Sacks, City Engineering and In</t>
  </si>
  <si>
    <t xml:space="preserve"> Engine Type 4-stroke, Air cooled, Overhead cam displacement 125 cc starting system electric and kick brake type front and rear disc transmission type semi - manual</t>
  </si>
  <si>
    <t xml:space="preserve"> REGIONAL BIDS AND AWARDS COMMITTEE REGION II &amp; E-CAR Request for Quotation (RFQ) No. 2020-1-012 Supply, Delivery &amp; Installation of Protective Plastic Sheets for Frontliners as proposed by Bambang &amp; Solano Branch NOTE: PLEASE SEE ATTACHED LBP REQUEST FOR Q</t>
  </si>
  <si>
    <t xml:space="preserve"> 6 pcs. Curtains (150 x 230 cm)</t>
  </si>
  <si>
    <t xml:space="preserve"> Republic of the Philippines					 PROVINCE OF SOUTHERN LEYTE					 Maasin City					 	Standard Form No.: SF-GOOD-60			 Project Reference No. 337	 	Revised on:  May 24, 2004			 Name of the Project:  _______	 	Standard Form Title:                              </t>
  </si>
  <si>
    <t xml:space="preserve"> PROCUREMENT OF ONE (1) UNIT PAPER SHREDDER FOR LUCENA LENDING CENTER Kindly give us your price quotation at lowest price based on attached specifications per Terms of Reference for the following as we intend to purchase/contract service from you if we bel</t>
  </si>
  <si>
    <t xml:space="preserve"> Bondpaper (A4, short, long) Ink for Printer(M200 and L360 Black, Cyan, Magenta, Yellow)</t>
  </si>
  <si>
    <t xml:space="preserve"> School Supplies</t>
  </si>
  <si>
    <t xml:space="preserve"> 1.	The Municipal Government of El Nido, through the General Fund  intends to apply the sum of Five Hundred Thousand Pesos (P 500,000.00) being the Approved Budget for the Contract (ABC) to payments for the Repair and Maintenance of Office Building of Muni</t>
  </si>
  <si>
    <t xml:space="preserve"> Grade 1- 116,156 copies Grade 2- 49, 210 copies Grade 3 - 30, 969 copies Grade 4 - 54,510 copies Grade 5- 49,600 copies Grade 6- 53, 028 copies = 353, 473 copies (No. of copies for 4 weeks from Grade 1- Grade 6) Softbound. A4 size bondpaper; Class A newsp</t>
  </si>
  <si>
    <t xml:space="preserve"> Republic of the Philippines Province of Iloilo Municipality of Lemery 	 Invitation to Bid 1.	The Municipality of  Lemery, Iloilo, through  the  Provincial Aid  intends to apply the sum of  Five Hundred Thousand Pesos (500,000.00) being the Approved  Budge</t>
  </si>
  <si>
    <t xml:space="preserve"> The design will be based on the prepared design of the VCWD Engineering Division included in the contact are Labor and Materials for the construction of Pump House</t>
  </si>
  <si>
    <t xml:space="preserve"> Republic of the Philippines Province of Nueva Vizcaya BIDS AND AWARDS COMMITTEE (BAC-GOODS) BAC OFFICE, Provincial Capitol, Bayombong, Nueva Vizcaya Tel. No. (078) 392-2650 	 INVITATION TO BID FOR THE SUPPLY AND DELIVERY OF DRUGS AND MEDICINES FOR THE PRO</t>
  </si>
  <si>
    <t xml:space="preserve"> 4	gal	Late, Flatwall 4	gal	Latex, Semi Gloss 2	pcs	4" Paint Brush  4	pcs	Paint Roller</t>
  </si>
  <si>
    <t xml:space="preserve"> Republic of the Philippines	 		   Department of Education	 		Region XI – Davao Region	 		Schools Division of Tagum City	 		         Magugpo Pilot Central Elementary School	 		           Mabini Street, Tagum City, Davao del Norte	 							 REQUEST FOR QUOTA</t>
  </si>
  <si>
    <t xml:space="preserve"> RESOLUTION ON PRIOR APPROVAL NO. 06-86 Series of 2020 RESOLUTION RECOMMENDING THE USE OF ALTERNATIVE METHOD OF PROCUREMENT FOR THE ACQUISITION OF GOODS AND SERVICES WHEREAS, Radio Communications Service Office submitted Purchase Request with the following</t>
  </si>
  <si>
    <t xml:space="preserve"> NOTICE OF PROCUREMENT OF GOODS THROUGH  ALTERNATIVE METHOD OF PROCUREMENT (SMALL VALUE PROCUREMENT) The Police Community Affairs and Development Group (PCADG) will conduct Small Value Procurement on August 17, 2020 (Monday) at 9:00 AM at PCADG Conference </t>
  </si>
  <si>
    <t xml:space="preserve"> PURCHASE OF HARDWARE MATERIALS FOR CONSTRUCTION OF BARANGAY HEALTH STATION OF BARANGAY PADIAY SIBAGAT,AGUSAN DEL SUR</t>
  </si>
  <si>
    <t xml:space="preserve"> 1. The City Government of Calamba through the General Fund intends to apply the sum of Php 564,000.00 being the Approved Budget for the Contract (ABC) to payments under the contract for G-2020-536 Supply and Delivery of Traffic Citation Ticket, City Treas</t>
  </si>
  <si>
    <t xml:space="preserve"> 1.	The Municipality of Impasugong, through the SEF-IMOOE Purchase of Instructional Materials (Supplies) intends to apply the sum Five Hundred Eighty Three Thousand Two Hundred Two &amp; 48/100 Pesos (PhP 583,202.48) being the Approved Budget for the Contract </t>
  </si>
  <si>
    <t xml:space="preserve"> Single Motorcycle, 125, Dual Sport	1	unit	75,500.00 Fuel Cap.3.8 liters, Gear Shift Pattern Type/ N-1-2-3-4,			 Transmission  Type, Constant Mesh  4-Speed, Ignition Type DC-CDI			 Bore x Stroke (mm) 52.4mm x 57.9mm			 Engine Type 4-Stroke OHC Air cooled, </t>
  </si>
  <si>
    <t xml:space="preserve"> Cadiz City Request for Quotation _______________ _____________________ _____________________ _____________________ Please quote your lowest price on the items listed below, subject to the General Conditions on the last page, stating the shortest time of d</t>
  </si>
  <si>
    <t xml:space="preserve"> 50 tab Acetylcysteine 600mg effervescent tab 30 bttl 70% Alcohol 10 bx Ambroxol 30mg tab 144 bttl Ambroxol 15mg/5ml 15 bx Amoxicillin 500mg cap 144 bttl ascorbic acid (vit c) 100mg/5ml, 60ml syrup 20 bx ascorbic acid (vit c) 500mg/tab 10 bx aluminum magne</t>
  </si>
  <si>
    <t xml:space="preserve"> Republic of the Philippines Province of Misamis Oriental Municipality of Lugait -oOo- INVITATION TO BID FOR THE CONCRETING OF 360.0 L.M. FARM TO MARKET ROAD AT SITIO LINABO, BARANGAY AYA-AYA MUNICIPALITY OF LUGAIT, MISAMIS ORIENTAL The Municipality of Lug</t>
  </si>
  <si>
    <t xml:space="preserve"> Supply &amp; Delivery of Communication equipment @ NIA CBIMO Head Office, Maddarulug, Solana, Cagayan</t>
  </si>
  <si>
    <t xml:space="preserve"> REGIONAL BIDS AND AWARDS COMMITTEE REGION II &amp; E-CAR Request for Quotation (RFQ) No. 2020-1-008 Supply, Delivery &amp; Installation of Protective Plastic Sheets for Frontliners as proposed by Isabela Field Units NOTE: PLEASE SEE ATTACHED LBP REQUEST FOR QUOTA</t>
  </si>
  <si>
    <t xml:space="preserve"> Republic of the Philippines Province of Negros Occidental Municipality of  Manapla BIDS AND AWARDS COMMITTEE INVITATION TO BID FOR THE PURCHASE OF ONE (1) UNIT RISO AND ONE (1) UNIT COPIER MACHINE The Municipality of Manapla, through  the SEF 2020/ LSB   </t>
  </si>
  <si>
    <t xml:space="preserve"> 1. The City Government of Calamba through the General Fund intends to apply the sum of Php 52,200.00 being the Approved Budget for the Contract (ABC) to payments under the contract for G-2020-533 Supply and Delivery of Purified Water, City Treasury Manage</t>
  </si>
  <si>
    <t xml:space="preserve"> Please download attached Request for Quotation</t>
  </si>
  <si>
    <t xml:space="preserve"> I	1.00	LOT	Clearing Works	 II	1.00	LOT	Electrical Works	 III	1.00	LOT	Repair Works	 IV	1.00	LOT	Testing, Plans, Analysis</t>
  </si>
  <si>
    <t xml:space="preserve"> Invitation for Negotiated Procurement on Supply and Delivery of Vehicle for National Capital Regional Office 1. In view of the two (2) failed public biddings, the Department of Trade and Industry (DTI) Bids and Awards Committee (BAC) invites interested bi</t>
  </si>
  <si>
    <t xml:space="preserve"> Republic of the Philippines				 Province of Quezon 				 Municipality of Lucban				 				 Bill of Quantities				 Quantity	Unit	Articles/Description	Unit Price	Amount 1	SET	L-SHAPE SOFA		 		GERMAN LEATHER	 	  		FOAM	 	  		JUMBO SIZE	 	  			 	  1	SET	L-SHAPE </t>
  </si>
  <si>
    <t xml:space="preserve"> Painting</t>
  </si>
  <si>
    <t xml:space="preserve"> 6	MONTHS	PURCHASE OF SERVICE FOR 5 HOUSEPARENTS  x Pgp 477.41/day x 31 days 6	MONTHS	PURCHASE OF SERVICE FOR 1 ASSISTANT COOK x PHP 424.90/ DAY x 31 days 6	MONTHS	PURCHASE OF SERVICE FOR 1 LAUNDRESS x PHP 399.87/ DAY x 31 days 		**************************</t>
  </si>
  <si>
    <t xml:space="preserve"> Republic of the Philippines MUNICIPALITY OF CABUGAO Ilocos Sur Invitation to Bid for the Construction of Multi-Purpose Building @ Brgy. Salomague (Proper), Cabugao, Ilocos Sur 1. The Local Government Unit of Cabugao, Ilocos Sur, through the R.A. 7171 thru</t>
  </si>
  <si>
    <t xml:space="preserve"> BIDS AND AWARDS COMMITTEE – SECURITY PLANT COMPLEX INVITATION TO BID 1. The Bangko Sentral ng Pilipinas (BSP), through its Bids and Awards Committee – Security Plant Complex (BAC-SPC), invites Bidders to apply for eligibility and to bid for the hereunder </t>
  </si>
  <si>
    <t xml:space="preserve"> Alcohol 250ml		900	bot. Plastic Bag, tiny		10	packs</t>
  </si>
  <si>
    <t xml:space="preserve"> Republic of the Philippines								 Province of Negros Occidental								 Municipality of La Castellana								 Bids and Awards Committee								 								 INVITATION TO APPLY FOR ELIGIBILITY AND TO BID								 								 Name of Project: 		GRAVELLING MATERI</t>
  </si>
  <si>
    <t xml:space="preserve"> 8 TRAY SQUID BALLS AND 25 OTHER LINE ITEMS</t>
  </si>
  <si>
    <t xml:space="preserve"> Office Supplies - Php 100,900.00</t>
  </si>
  <si>
    <t xml:space="preserve"> UNIT                     QUANTITY                     DESCRIPTION              Reams             		120	                      BONDPAPER A4 Piece		                 12	                        DUCTAPE Set    			 6	                        EPSON INK Set   		   </t>
  </si>
  <si>
    <t xml:space="preserve"> REHABILITATION OF ROAD FROM PUROK 5 TO BANTOLINAO OF BARANGAY PADIAY,SIBAGAT,AGUSAN DEL SUR</t>
  </si>
  <si>
    <t xml:space="preserve"> REQUEST FOR EXPRESSION OF INTEREST FOR THE CONSULTING SERVICES FOR THE ARCHITECTURAL AND DETAILED ENGINEERING DESIGN FOR THE CONSTRUCTION OF MULTI-PURPOSE GYMNASIUM AND CONSTRUCTION OF ACADEMIC BUILDING II The PHILIPPINE SCIENCE HIGH SCHOOL - MIMAROPA REG</t>
  </si>
  <si>
    <t xml:space="preserve"> Republic of the Philippines Province of Nueva Ecija Municipality of General Mamerto Natividad BIDS AND AWARDS COMMITTEE  INVITATION TO BID FOR “WIDENING OF BRIDGE AT PULONG SINGKAMAS” 1.	The LGU-General Mamerto Natividad, Nueva Ecija, through the 20% Deve</t>
  </si>
  <si>
    <t xml:space="preserve"> Republic of the Philippines Province of Eastern Samar Municipality of Guiuan Invitation to Bid  for  PROPOSED IMPROVEMENT/EXPANSION OF  SK HALL BARANGAY HAGNA, GUIUAN, E. SAMAR The LOCAL GOVERNMENT UNIT OF GUIUAN, through the  20% Development Fund 2019/ M</t>
  </si>
  <si>
    <t xml:space="preserve"> 1	347	sacks	Rice (50kls) tonner				 			x-x-x-x-x-x-x-x-x-x-</t>
  </si>
  <si>
    <t xml:space="preserve"> Bidding Documents can be downloaded at DPWH Website. Here's the link, you can copy and paste this link on a browser.      https://www.dpwh.gov.ph/dpwh/business/procurement/cw/advertisement?data_1=All&amp;data_2=All&amp;data=20J00217</t>
  </si>
  <si>
    <t xml:space="preserve"> Republic of the Philippines Province of Leyte Municipality of Kananga BIDS AND AWARDS COMMITTEE INVITATION TO BID  1.	The Municipality of Kananga, through its Bids and Awards Committee (BAC) invites bids for the project, consisting of two (2) lots describ</t>
  </si>
  <si>
    <t xml:space="preserve"> 1. The City Government of Calamba through the General Fund intends to apply the sum of Php 899,610.00 being the Approved Budget for the Contract (ABC) to payments under the contract for G-2020-538 Labor &amp; Materials for the Repair &amp; Maintenance of Pump Roo</t>
  </si>
  <si>
    <t xml:space="preserve"> 1	1.00	PC	Television	 			Specs: Size 65"	 			Android TV, Resolution: 4K UHD, 4K HDR, Voice Remote,	 			Triluminos Display (2 Years Warranty), w/ Double Arm Bracket	 			w/ Installation (1 Year Warranty)</t>
  </si>
  <si>
    <t xml:space="preserve"> Republic of the Philippines Province of Cagayan Municipality of Camalaniugan August 11, 2020 INVITATION TO BID  FOR THE FURNISHING &amp; DELIVERY OF MEDICAL SUPPLIES 1.	The Municipality of Camalaniugan, through the BAYANIHAN GRANT EQUIVALENT TO ONE MONTH IRA </t>
  </si>
  <si>
    <t xml:space="preserve"> Meals For Quaratined Patients And Guards At Quaratine Facilities &amp; Locked Down Area  Per Order Basis.</t>
  </si>
  <si>
    <t xml:space="preserve"> Tables, Chairs and Cabinets</t>
  </si>
  <si>
    <t xml:space="preserve"> ITB # 2020-50 INVITATION TO BID FOR THE FURNISHING &amp; DELIVERY OF MOUNTAIN SOIL FOR THE BACKFILLING OF C1 TRICYCLE AREA RE: ROAD CLEARING @ BULALA 1.	The Municipality of Camalaniugan through the GENERAL FUND (Mayor’s Office) intends to apply the sum of EIG</t>
  </si>
  <si>
    <t xml:space="preserve"> Supply and Delivery of Information Technology (IT) Equipment for the Distance Learning Activities of PSU Students Residing in the Municipality</t>
  </si>
  <si>
    <t xml:space="preserve"> Supply:			 Gasoline	1333	liter	70,000.00 --Nothing follows--			 			 *For the use of Municipal Assessor’s Office</t>
  </si>
  <si>
    <t xml:space="preserve"> 1 	 1 	 ASSY 	 DIFFERENTIAL CARIER 7x43 	 			       ( SURPLUS JAPAN) ISUZU FTR 	 			                         ****nothing follows****</t>
  </si>
  <si>
    <t xml:space="preserve"> 5 ream bondpaper, special (long) 8 ream bondpaper, special (short) 200 set fastener/bolt/knots with washer (for books covers) 3 inches long 5 piece map cover (15x21 inches) landscape 1 unit measuring tape (50 meters) 10 cart/tube toner (TN 118) 5 boxes da</t>
  </si>
  <si>
    <t xml:space="preserve"> PROCUREMENT OF OFFICE TABLES, CABINET AND CHAIRS For Admin. Dept. Use 10 PCS REGULAR TABLES 1 PC SWIVEL CHAIR (EXECUTIVE) 1 SET COFFEE TABLE WITH CHAIR 1 PC SUPPLIES CABINET ***Please see attached minimum specification and sample designs. NOTES: 1. Price </t>
  </si>
  <si>
    <t xml:space="preserve"> 4-day Training for the 10 Peoples' Organization under the Forestland Management Project. Training will be held within the jurisdiction of Diffun, Quirino.  Participants will be accommodated.</t>
  </si>
  <si>
    <t xml:space="preserve"> Laparotomy Pack, Contents: Standard, Surgical Gown 5, Mayo Standard Surgical Gown 5, Mayo Stand Cover 2, Utility Drape w/ Adhesive 4, Laparatomy Drape 1, Back Table Cover 1, hand Towels 10---------------50 qty -------P2,400.00/pack #######################</t>
  </si>
  <si>
    <t xml:space="preserve"> Supply &amp; Delivery of fuel @ NIA BRIS Sta Cruz, Gonzaga, Cagayan</t>
  </si>
  <si>
    <t xml:space="preserve"> Republic of the Philippines Province of Misamis Oriental Municipality of Lugait -oOo- INVITATION TO BID FOR THE CONCRETING OF 350.0 L.M. FARM TO MARKET ROAD AT SITIO LINABO, BARANGAY AYA-AYA MUNICIPALITY OF LUGAIT, MISAMIS ORIENTAL The Municipality of Lug</t>
  </si>
  <si>
    <t xml:space="preserve"> RFQ 2020-08-030: Procurement of Various Spare Parts for the Repair of Komatsu Payloader WA180 and Mitsubishi Pick-Up SFG 314</t>
  </si>
  <si>
    <t xml:space="preserve"> Please download attached Request for Quotation SPECIFICATIONS: 1. Prime Mover "a. Rated power: minimum, 6.71kw, (9hp) b. Fuel consumption: maximum, 1.5L/h" 2. Field Efficiency: minimum, 80% 3. Width of rotary tilling wheel: minimum, 1.0m 4. Actual field c</t>
  </si>
  <si>
    <t xml:space="preserve"> Gravita				11	cu.m Fine Aggregates (Sand)	6½	cu.m. 40kgs, Cement			108	bags 12mmØ x 6m RSB		4	pcs Assorted CW Nails		1-3/4kgs. Hacksaw Blade			1	pc.</t>
  </si>
  <si>
    <t xml:space="preserve"> Invitation to Bid for the  CONSTRUCTION OF MULTI-PURPOSE BUILDING (DAIRY FARM) Kiblawan, Davao del Sur 1.The Local Government Unit of Kiblawan, through the 20% Local Government Development Fund 2020[ In the case of National Government Agencies, the Genera</t>
  </si>
  <si>
    <t xml:space="preserve"> Republic of the Philippines																						 Cordillera Administrative Region																						 Provincial Local Government Unit of Ifugao																						 BIDS AND AWARDS COMMITTEE - INFRA																						 3rd Floor PEO Bldg., Capitol </t>
  </si>
  <si>
    <t xml:space="preserve"> Core Needle Biopsy Disp. G14 x 10cm (for OR use)------------------ 5 qty ---------------P5,050.00/ X-X-X-X-X-X-X-X-X-X-X-X-X-X-X-X-X-X PURPOSE: For OR use Fax your Price Quotation at Tel. Fax#: 426-30-45 / 927-64-26 loc 2561 or Email at bacveterans@gmail.</t>
  </si>
  <si>
    <t xml:space="preserve"> Republic of the Philippines MUNICIPALITY OF CABUGAO Ilocos Sur Invitation to Bid for the Construction of Multi-Purpose Drying Pavement (MPDP) @ Brgy. Turod Patac, Ilocos Sur 1. The Local Government Unit of Cabugao, Ilocos Sur, through the R.A. 7171 thru A</t>
  </si>
  <si>
    <t xml:space="preserve"> INVITATION FOR SUBMISSION OF QUOTATION (SMALL VALUE PROCUREMENT) 	The local Government Unit of Can-avid, through is Bid and Awards Committee (BAC). Invites suppliers to apply for eligibility, to bid for the hereunder contract: Name of Contract:  	Office S</t>
  </si>
  <si>
    <t xml:space="preserve"> various item</t>
  </si>
  <si>
    <t xml:space="preserve"> Checklist Booklets</t>
  </si>
  <si>
    <t xml:space="preserve"> Rabies Vaccine, 10ml.		157	pcs. Syringe w/ needle, 23g.	2	box Needle				4	box Coller jug				10	pcs. Ice Wrapper			20	pack</t>
  </si>
  <si>
    <t xml:space="preserve"> See attached RFQ</t>
  </si>
  <si>
    <t xml:space="preserve"> The MUNICIPALITY OF PAMPLONA through the Bids and Awards Committee (BAC), invites suppliers/bidders to apply for eligibility and to bid for the supply of construction materials for the following project: Name of Project	: materials for the Construction of</t>
  </si>
  <si>
    <t xml:space="preserve"> Face Shield	900	pc.</t>
  </si>
  <si>
    <t xml:space="preserve"> Supply &amp; Delivery:			 Air Purifier Hepa Filter 13	6	pc	108,000.00 Dental Vacuum System Aerosol Suction Machine	1	pc	59,500.00</t>
  </si>
  <si>
    <t xml:space="preserve"> Title:Procurement of Vehicle Repair and Maintenance under P.R Nos. 1896(City Environment &amp; Natural Resources Office- Industrial and Agroforestry Management Division), 1939-2020 (City Housing and Development Office), 2191-2020(Office of the City Engineer) </t>
  </si>
  <si>
    <t xml:space="preserve"> UNIT                       QUANTITY              DESCRIPTION  REAMS                          470                   A4 BOND PAPER SUBSTANCE 2020</t>
  </si>
  <si>
    <t xml:space="preserve"> Republic of the Philippines Province of Sultan Kudarat Municipality of Sen. Ninoy Aquino Barangay Government of Lagubang BIDS AND AWARDS COMMITTEE Invitation to Bid for  CONSTRUCTION OF COVERED COURT/MINI GYM (Materials, Labor and Equipment) 1. The Barang</t>
  </si>
  <si>
    <t xml:space="preserve"> Supply and Delivery of Materials for Repair of Goat Structure and Lamp Post at Brgy. Rizal</t>
  </si>
  <si>
    <t xml:space="preserve"> Procurement of Desktop Computer (DRRM-H) (See attached Purchase Request for more detailed information)</t>
  </si>
  <si>
    <t xml:space="preserve"> Republic of the Philippines									 REGION IX      									 PROVINCE OF ZAMBOANGA DEL SUR									 Pagadian City     									 BIDS AND AWARDS COMMITTEE  									 Provincial Capitol, Pagadian City									 									 INVITATION FOR SUBMISSION OF QUOTATI</t>
  </si>
  <si>
    <t xml:space="preserve"> Supply and Delivery of Materials for Maintenance of Office Buildings</t>
  </si>
  <si>
    <t xml:space="preserve"> 70 BOTTLES ALCOHOL 1 PIECE PRINTER WITH SCANNER 70 PIECE SOAP (135G) 10 REAMS BOND PAPER LONG SUBS 24 8 REAMS BOND PAPER A4 SUBS 20 14 BOTTLES PRINTER INK BLACK 100 ML 12 BOTTLES PRINTER INK YELLOW 100 ML 12 BOTTLES PRINTER INK MAGENTA 100 ML 12 BOTTLES P</t>
  </si>
  <si>
    <t xml:space="preserve"> SEE ATTACHED RFQ</t>
  </si>
  <si>
    <t xml:space="preserve"> 2785	Reams	Bond Paper, Long, Subs. 16 200	Bottles	EPSON Refill Ink, T664 Black 135	Set	        EPSON Refill Ink, T664 CYMB 200	Bottles	EPSON Refill Ink, 003 Black 135	Set	        EPSON Refill Ink, 003 CYMB</t>
  </si>
  <si>
    <t xml:space="preserve"> Item No.		Item &amp; Description					Quantity		 									 1		G.I. Pipe 2 1/2 S.40					      2 pcs		 2		G.I. Pipe 2  S.40					      1 pc		 3		G.I. Pipe 2 S. 20					      3 pcs		 4		RSB 10mm					             6 pcs		 5		RSB 12mm					             6 pcs		 6		Cemen</t>
  </si>
  <si>
    <t xml:space="preserve"> 27 Sets Blind Curtain (W-1)(1.2x2.4m) Exterior Window</t>
  </si>
  <si>
    <t xml:space="preserve"> Supply and Delivery of Floor Mounted Airconditioner of SDSSU Cantilan Campus Please see attached Request for Quotation (RFQ)</t>
  </si>
  <si>
    <t xml:space="preserve"> Republic of the Philippines Province of Leyte Municipality of Kananga BIDS AND AWARDS COMMITTEE INVITATION TO BID FOR PROCUREMENT OF SCHOOL EQUIPMENT FOR OPLAN BALIK SKWELA (OBE) 2020  (ELEMENTARY &amp; SECONDARY) 1.	The Municipality of Kananga, through the S</t>
  </si>
  <si>
    <t xml:space="preserve"> Please see attached RFQ</t>
  </si>
  <si>
    <t xml:space="preserve"> GENERAL MERCHANDISE</t>
  </si>
  <si>
    <t xml:space="preserve"> PROCUREMENT TERMS &amp; CONDITIONS					 1	The Total Approved Budget for the Contract (ABC) is Php 20,000.00.				 2	Price quotation should be inclusive of tax obligations.				 3	Delivery period is 10 calendar days from the receipt of NOA &amp; PO.				 4	If awarded</t>
  </si>
  <si>
    <t xml:space="preserve"> PURCHASE OF THE FOLLOWING SERVICES: 10 UNITS CELLULAR PHONE ANDROID. FOR MORE DETAILS VISIT THE BARANGAY.</t>
  </si>
  <si>
    <t xml:space="preserve"> Repair of Road Slip</t>
  </si>
  <si>
    <t xml:space="preserve"> Procurement of Ultraviolet Light and Air Conditioner (See attached Purchase Request for more detailed information)</t>
  </si>
  <si>
    <t xml:space="preserve"> Republic of the Philippines Province of Leyte Municipality of Kananga BIDS AND AWARDS COMMITTEE Invitation to Bid for MUNICIPAL-WIDE STREET LIGHTING PROJECT (CONSTRUCTION OF STREETLIGHT PEDESTAL &amp; ELECTRICAL WORKS) 1.	The Municipality of Kananga through t</t>
  </si>
  <si>
    <t xml:space="preserve"> Supply and Delivery of Materials for Fabrication and Installation of Detention Cell of Tuy MPS</t>
  </si>
  <si>
    <t xml:space="preserve"> PROCUREMENT AND DELIVERY OF MEALS FOR THE 29TH BFP ANNIVERSARY CELEBRATION OF BFP R4A FY 2020</t>
  </si>
  <si>
    <t xml:space="preserve"> The NFRDI, through its Bids and Awards Committee (BAC) intends to procure WEB FILTERING SERVICE (FortiGate 100D) in accordance with Section 53. (Small Value ) of the Revised Implementing Rules Regulations of R.A.9184: TECHNICAL SPECIFICATIONS QUANTITY UNI</t>
  </si>
  <si>
    <t xml:space="preserve"> Concreting of Local Road at Zone 6 (MAGOL). Brgy. San Esteban, Nabua, Camarines Sur</t>
  </si>
  <si>
    <t xml:space="preserve"> Republic of the Philippines Cordillera Administrative Region Provincial Local Government Unit of Ifugao BIDS AND AWARDS COMMITTEE - INFRA 3rd Floor PEO Bldg., Capitol Compound Lagawe, Ifugao Email Ad.: bacifugao@gmail.com INVITATION TO BID  		NCB Publicat</t>
  </si>
  <si>
    <t xml:space="preserve"> FOR CITY OF BALANGA NATIONAL HIGH SCHOOL OPERATIONS</t>
  </si>
  <si>
    <t xml:space="preserve"> Title:Procurement of Services under P.R Nos. 2912-2020(City Special Concerns Office), 2914-2020 (Cooperative Organization and Development Project), 2920-2020 (City Environment &amp; Natural Resources Office- City Parks and Waterways Services Division) ,2921-2</t>
  </si>
  <si>
    <t xml:space="preserve"> The Barangay Pawili through its Bids and Awards Committee (BAC) invites suppliers to apply for the stated project below: Name of Project: REHABILITATION OF MULTIPURPOSE BUILDING Location: ZONE 3 PAWILI, PILI, CAMARINES SUR Project Reference No.: 2020-001 </t>
  </si>
  <si>
    <t xml:space="preserve"> 185 PIECE FILE CASE (RED) 135 PIECE FILE CASE (BLUE) 15 PIECE FILE CASE (GREEN) 20 PIECE DOUBLE SIDED 1INCH 6 PIECE DOUBLE SIDED 2INCH</t>
  </si>
  <si>
    <t xml:space="preserve"> Please download attached Request for Quotation A. PAES MINIMUM SPECIFICATIONS I. Design and Performance "1. Pressure : 175-250 psi 2. Discharge rate: 15 liters per minute, minimum 3. Nozzle: made of non-corrosive material  4. Spray hose length: 15m-200m 5</t>
  </si>
  <si>
    <t xml:space="preserve"> 1 unit Colour Copier machine</t>
  </si>
  <si>
    <t xml:space="preserve"> Republic of the Philippines Region XII Province of Cotabato Municipality of Makilala OFFICE OF THE BIDS AND AWARD COMMITTEE REQUEST FOR QUOTATION (Shopping) Date: 	August 11, 2020 Shopping #: 2020-08-200 The MUNICIPALITY OF MAKILALA through its Bids and A</t>
  </si>
  <si>
    <t xml:space="preserve"> Digital Duplicating Machine						1	pc. Master Making/Printing Methods: High Speed 							 Digital Master-making/Fully automatic printing							 Original type: Shoat							 Original size (min/max): 3-17/32" x 5-1/2" to 12-7/32" x 17-1/8" 							 Original P</t>
  </si>
  <si>
    <t xml:space="preserve"> Item No.               Description	                     		 Unit 		Quantity     1		  Steel works				L.S		  22     2		  Painting works			L.S		  22     3		  Hauling works			L.S		  22		       4		  Concreting				L.S		  22     5		  General Requirements		L.S.		 </t>
  </si>
  <si>
    <t xml:space="preserve"> Fifty Three (53) units of Laptops</t>
  </si>
  <si>
    <t xml:space="preserve"> PROCUREMENT TERMS &amp; CONDITIONS					 1	The Total Approved Budget for the Contract (ABC) is Php 41,176.00				 2	Price quotation should be inclusive of tax obligations.				 3	Delivery period is 10 calendar days from the receipt of NOA &amp; PO.				 4	If awarded </t>
  </si>
  <si>
    <t xml:space="preserve"> In view of the approved Modified Enhanced Community Quarantine (MECQ) for Metro Manila effective August 4, 2020 to August 18, 2020, submission of accomplished Request for Quotation Form is via email at rosariomb@sss.gov.ph.  Indicate Solicitation/RFQ Numb</t>
  </si>
  <si>
    <t xml:space="preserve"> Request for Qoutation</t>
  </si>
  <si>
    <t xml:space="preserve"> BIDS AND AWARDS COMMITTEE – HEAD OFFICE INVITATION TO BID 1.	The Bangko Sentral ng Pilipinas (BSP), through its Bids and Awards Committee – Head Office (BAC-HO), invites bidders to apply for eligibility and to bid for the hereunder requirement: Lot No.	Na</t>
  </si>
  <si>
    <t xml:space="preserve"> Invitation to Bid “Acquisition of One (1) Unit, Supply and Delivery of Passenger Van for the Office of the Director.” 01. The National Bureau of Investigation, through the 2019 NBI Clearance Retention Fees pursuant to RA 10867 otherwise known as the NBI R</t>
  </si>
  <si>
    <t xml:space="preserve"> RESOLUTION ON PRIOR APPROVAL NO. 07-111 Series of 2020 RESOLUTION RECOMMENDING THE USE OF ALTERNATIVE METHOD OF PROCUREMENT FOR THE ACQUISITION OF GOODS AND SERVICES WHEREAS, the Human Resource Management Department submitted Purchase Request with the fol</t>
  </si>
  <si>
    <t xml:space="preserve"> Unit 	             Item Description	                                                 Quantity     kg  	             Pig Manure	                                                              10     Bags	            Carbonize Rice Hull	                      </t>
  </si>
  <si>
    <t xml:space="preserve"> Supply of Labor and Materials for Repair &amp; Servicing of Six (6) Units Submersible Pumps for Raw Water  1 unit “Grundfos” Submersible Pump/SP 60-4 (Lagonoy WTP) 1 unit “Grundfos”Submersible Pump/SP 30-3 (Presentacion WTP) 2 units “Grundfos”Submersible Pump</t>
  </si>
  <si>
    <t xml:space="preserve"> PROCUREMENT TERMS &amp; CONDITIONS					 1	The Total Approved Budget for the Contract (ABC) is Php 2,500.00.				 2	Price quotation should be inclusive of tax obligations.				 3	Delivery period is 10 calendar days from the receipt of NOA &amp; PO.				 4	If awarded </t>
  </si>
  <si>
    <t xml:space="preserve"> Construction/Installation of Streetlights, Sta. Cruz, Nabua Camarines Sur</t>
  </si>
  <si>
    <t xml:space="preserve"> Delivery and Installation of Communication Device for Command Center</t>
  </si>
  <si>
    <t xml:space="preserve"> REGIONAL BIDS AND AWARDS COMMITTEE REGION II &amp; E-CAR Request for Quotation (RFQ) No. 2020-1-007 Supply, Delivery &amp; Installation of Protective Plastic Sheets for Frontliners as proposed by Cagayan Field Units NOTE: PLEASE SEE ATTACHED LBP REQUEST FOR QUOTA</t>
  </si>
  <si>
    <t xml:space="preserve"> Please download attached Request for Quotation KNAPSACK SPRAYER (PLASTIC) SPECIFICATIONS: A. PAES MINIMUM SPECIFICATIONS:  I. Design and Performance "1. Volumetric Efficiency: 80%, minimum 2. Flow Rate: 1.4 liter per minute, maximum 3. Mean Operating Pres</t>
  </si>
  <si>
    <t xml:space="preserve"> OFFICE SUPPLIES ------------------- Php 119,920.00</t>
  </si>
  <si>
    <t xml:space="preserve"> Solar Star Books Specs: Computer Stick (Processor i3) RAM 4gb ITB HDD 18.5 inches LED Monitor wiih HDMI port, HDMI cable, USB keyboard and mouse, multi media speaker, 4 port wireless router, wireless dongle, solar panel 50w with brace  super-pwn charger w</t>
  </si>
  <si>
    <t xml:space="preserve"> Contract ID No. 20GKD0004: Purchase of Cubicle with Chair &amp; Mobile Pedestal Metal for Planning &amp; Design Section, Cagayan de Oro City 2nd District Engineering Office, Macabalan, Cagayan de Oro City 1.	The DPWH-2nd DEO-CDOC, through the DPWH FY 2020 Funds, </t>
  </si>
  <si>
    <t xml:space="preserve"> To be used during the conduct of the 2020 Census of Population and Housing Trainings and Enumeration. Mode of Payment: SEND BILL Mode : To be delivered to PSA-Palawan Face shield with glasses frame Bar soap, 60 gms Hand sanitizer, 30 ml Facial Tissue, 40 </t>
  </si>
  <si>
    <t xml:space="preserve"> 1. Fire Extinguisher 10lbs (Brandnew)    -10 PCS 2. Twinhead rechargeable emergency light, Automatically Light Up during Power Outage Overage (heavy duty)     -12pcs *****nothing follows****</t>
  </si>
  <si>
    <t xml:space="preserve"> Removal of Landslide</t>
  </si>
  <si>
    <t xml:space="preserve"> Module bag with sublimated print(School name and logo)					 		Size: 14" x 10" x 3"					 		Material: Katrina Fabric with zipper lock					 		Varied grade level color					 82	Pcs.	SpEd - Maroon					 485	Pcs.	Kindergarten- Orange					 810	Pcs.	Grade 1- Red			</t>
  </si>
  <si>
    <t xml:space="preserve"> Labor and materials of Dental Bus</t>
  </si>
  <si>
    <t xml:space="preserve"> INDUSTRIAL TECHNOLOGY DEVELOPMENT INSTITUTE DOST Cmpd., Bicutan, Taguig City Telephone Nos. (02) 837-20-71 to 82 local 2221 E-mail Add.: itdi.admbac@gmail.com INVITATION TO BID August 10, 2020 Sir/Madam: Please quote your price for the item/items listed b</t>
  </si>
  <si>
    <t xml:space="preserve"> OPENING OF BIDS IN DSWD FO IX,  DELIVERY IN DSWD-HOME FOR WOMEN, MAMPANG ZAMBOANGA CITY  PROCUREMENT FOR THE FF.:		 70	PAX	SEPT. 30, 2020- 2 MEALS (LUNCH AND DINNER)	@	 600.00  70	PAX	2 SNACKS (AM/PM)	@	 200.00  		*****************************************</t>
  </si>
  <si>
    <t xml:space="preserve"> 4 episodes of 30minute radio blocktime program for School-on-Air (1 episode a week for 4 weeks, preferably Tuesday afternoons)</t>
  </si>
  <si>
    <t xml:space="preserve"> Republic of the Philippines Cordillera Administrative Region Provincial Local Government Unit of Ifugao BIDS AND AWARDS COMMITTEE - INFRA 3rd Floor PEO Bldg., Capitol Compound Lagawe, Ifugao Email Ad.: bacifugao@gmail.com INVITATION TO BID  NCB Publicatio</t>
  </si>
  <si>
    <t xml:space="preserve"> 1. Metal file cabinet 4 drawer, color off white Dimension width: 35" Depth: 16" Height 54" 	-3UNIT 2. Shredded paper machine D-265.1mm,H- 476.3mm, bn capacity 19L sheet capacity10, cut type	-1UNIT ***NOTHING FOLLOWS***</t>
  </si>
  <si>
    <t xml:space="preserve"> 1.) Mixed aggregates = 15 cubic meter 2.) Cement, portland, 40kg = 127 bag 3.) Sand, fine = 9 cubic meter 4.) Gravel = 6 cubic meter 5.) RSB, 12mm dia x 6meter = 40 piece 6.) RSB, 126mm dia, 6meter = 10 piece 7.) G.I. tie wire, #16 = 13 kilo 8.) Shovel = </t>
  </si>
  <si>
    <t xml:space="preserve"> layout and  print of the Balon Bayambang newsletter on a monthly basis starting July 2020 to December 2020 with the ff specifications: a. Number of pages : 16 b. color: full color front and back cover inside pages B&amp;W c. number of copies: 1500 copies book</t>
  </si>
  <si>
    <t xml:space="preserve"> PROCUREMENT AND DELIVERY OF OTHER SUPPLIES &amp; MATERIALS FOR THE 29TH BFP ANNIVERSARY CELEBRATION OF BFP R4A FY 2020</t>
  </si>
  <si>
    <t xml:space="preserve"> PAPER AND BINDING: Properties Pare Size- Paper Size used on Layout A4 Paper Thickness (Basis Weight) - 70 gsm (BP) Binding - Saddle Stitch Cover - Foldcote No. 12 (FC#12) (4 color) with lamination (UV coating) Inside - 1 color/ 4 color Grade 7- 212 sets o</t>
  </si>
  <si>
    <t xml:space="preserve"> Installation of CCTV System 1 unit DVR 3 units CCTV Camera 1 unit 4TB HDD 1 unit 8 port Switch 1 unit AVR 1 lot CCTV Hardware and Materials Installation and Configuration</t>
  </si>
  <si>
    <t xml:space="preserve"> 450 pack lunch; 450 pcs pear shaped ham</t>
  </si>
  <si>
    <t xml:space="preserve"> ACCOMMODATIONS 5 pax x 10 Days	5	pax MEALS: Breakfast, Lunch &amp; Dinner		 Rice, 3-viands, side dishes, Desserts, Fruits &amp; Drinks		 SNACKS:		 Am &amp; Pm w/ drinks		 FUNCTION:		 Can accommodate required number of Pax		 Tables and Chairs		 Sound Systems		 Accesib</t>
  </si>
  <si>
    <t xml:space="preserve"> Republic of the Philippines Region XII Province of Cotabato Municipality of Makilala OFFICE OF THE BIDS AND AWARD COMMITTEE REQUEST FOR QUOTATION (Shopping) Date: 	August 11, 2020 Shopping #: 2020-08-196 The MUNICIPALITY OF MAKILALA through its Bids and A</t>
  </si>
  <si>
    <t xml:space="preserve"> Republic of the Philippines DEPATMENT OF PUBLIC WORKS AND HIGHWAYS SULTAN KUDARAT 1ST DISTRICT EINGINEERING OFFICE 		REGIONAL OFFICE XII Isulan, Sultan Kudarat                                                                           INVITATION TO BID The</t>
  </si>
  <si>
    <t xml:space="preserve"> REPUBLIC OF THE PHILIPPINES PROVINCE OF SURIGAO DEL NORTE MUNICIPALITY OF SAN ISIDRO San Isidro, Surigao del Norte Section I. Invitation to Bid  PROCUREMENT OF ONE (1) LOT FUEL, OIL &amp; LUBRICANTS SUPPLEMENTAL 1.	The Municipal Government of San Isidro, thro</t>
  </si>
  <si>
    <t xml:space="preserve"> 1. DELIVERY IS SEVEN DAYS UPON RECEIVE OF P.O 2. AWARDING IS BY LOT.</t>
  </si>
  <si>
    <t xml:space="preserve"> T-SHIRT WITH PRINT FOOD AND DRINKS WASHABLE FACE MASK</t>
  </si>
  <si>
    <t xml:space="preserve"> Republic of the Philippines PROVINCE OF BUKIDNON       Don Carlos, Bukidnon Invitation to Bid for the Supply &amp; Delivery of Five (5) Units of Duplicating Machine intended for the Reproduction of Learning Modules in Don Carlos, Bukidnon District Offices (Co</t>
  </si>
  <si>
    <t xml:space="preserve"> OPENING OF BIDS IN DSWD FO IX,  DELIVERY IN DSWD FO IX ZAMBOANGA CITY  PROCUREMENT FOR THE FF.:		 44	BOX	SURGICAL FACE MASK WITH SOFT EARLOOP , 50 PCS. PER BOX, GOOD QUALITY	@	 350.00  44	PCS	FACE SHIELD REUSABLE	@	 100.00  4	BOX	ALCOHOL IN GALLON	@	 2,00</t>
  </si>
  <si>
    <t xml:space="preserve"> Republic of the Philippines PROVINCE OF SURIGAO DEL NORTE MUNICIPALITY OF TAGANA-AN Office of the Barangay Captain Brgy. Talavera, Surigao del Norte        Invitation to bid for RENOVATION OF GUESTHOUSE BGRY. TALAVERA, TAGANA-AN, SURIGAO DEL NORTE    1.  </t>
  </si>
  <si>
    <t xml:space="preserve"> ACCOMMODATIONS 10 pax x 10 Days	10	pax MEALS: Breakfast, Lunch &amp; Dinner		 Rice, 3-viands, side dishes, Desserts, Fruits &amp; Drinks		 SNACKS:		 Am &amp; Pm w/ drinks		 FUNCTION:		 Can accommodate required number of Pax		 Tables and Chairs		 Sound Systems		 Acces</t>
  </si>
  <si>
    <t xml:space="preserve"> Republic of the Philippines									 PROVINCE OF CAGAYAN									 Tuguegarao City									 									 REQUEST FOR QUOTATION									 									 Company Name: 			Quotation No.						 Address:			Date						 TIN Number: 			PR No.						 Tel/Fax: 			Mode of Procur</t>
  </si>
  <si>
    <t xml:space="preserve"> 1.) Electrical panel box, 2 pole, 4 holes flush type = 1 unit 2.) Service drop wire, #4 = 5 meter 3.) Service drop wire, #6 = 120 meter 4.) Circuit breaker, 100ampere =1 piece 5.) Circuit breaker, 60ampere = 2 piece 6.) Safety breaker, 30ampere = 6 piece </t>
  </si>
  <si>
    <t xml:space="preserve"> 1.) Adult flue vaccine = 226 vials 2.) Syringe kit with needle, 0.5ml, ultra thin needle, 100's = 3 box ***Interested supplier/s are required to submit brochures. ***Urgent need</t>
  </si>
  <si>
    <t xml:space="preserve"> “3rd Level Training, 4th Level Training and Enumeration Period of 2020 Census of Population &amp; Housing Personal Protective Equipment (PPE)” Inter-folded Kitchen Towel Face shield Hand Sanitizer 100 ml ***nothing follows***</t>
  </si>
  <si>
    <t xml:space="preserve"> 1. Isoprophyl Alcohol 70% solution (antiseptic/disinfectant)	-146 gallon 2. Surgical Mask N88, 3ply, 50pcs/box	-787box ****nothing follows****</t>
  </si>
  <si>
    <t xml:space="preserve"> Concreting of Local Road at Brgy. San Vicente Ogbon, Nabua, Camarines Sur</t>
  </si>
  <si>
    <t xml:space="preserve"> ITB # 2020-51 INVITATION TO BID FOR THE FURNISHING &amp; DELIVERY OF ONE (1) UNIT LAPTOP FOR MINANGA ELEMENTARY SCHOOL 1.	The Municipality of Camalaniugan through the SPECIAL EDUCATION FUND intends to apply the sum of FIFTY THOUSAND PESOS &amp; 00/100 ONLY   (P50</t>
  </si>
  <si>
    <t xml:space="preserve"> The Philippine Statistics Authority – Lanao del Norte, Iligan City through its Regional Office Bids and Awards Committee (ROBAC), intends to procure Food Catering Services for the Fourth Level Training of 2020 Census of Population and Housing (2020 CPH), </t>
  </si>
  <si>
    <t xml:space="preserve"> 1	1	Lot	Supply and Delivery of   Various Disinfectant 			Item Description: 	50	Can	Disinfectant Spray, aerosol type, 400 550 grams 	50	Pcs	Hand Sanitizer Gel 500 ml per bottle 	30	Pcs	Surgical Face Mask 50 pcs per box 	50	Bottles	Antibacterial Liquid Hand</t>
  </si>
  <si>
    <t xml:space="preserve"> Supply and Delivery of Materials for the Improvement of Brgy Rizal Rotunda, Center Island and Terminal Center Island</t>
  </si>
  <si>
    <t xml:space="preserve"> 5 bxs Rapid test kits</t>
  </si>
  <si>
    <t xml:space="preserve"> PURCHASE OF HARDWARE AND CONSTRUCTION MATERIALS</t>
  </si>
  <si>
    <t xml:space="preserve"> Rehabilitation of Damaged Road, Brgy. San Roque Sagumay, Nabua, Camarines Sur</t>
  </si>
  <si>
    <t xml:space="preserve"> Please see attached file.</t>
  </si>
  <si>
    <t xml:space="preserve"> INVITATION FOR SUBMISSION OF QUOTATION (SMALL VALUE PROCUREMENT) 	The local Government Unit of Can-avid, through is Bid and Awards Committee (BAC). Invites suppliers to apply for eligibility, to bid for the hereunder contract: Name of Contract:  	Hired Pu</t>
  </si>
  <si>
    <t xml:space="preserve"> Republic of the Philippines BATANGAS STATE UNIVERSITY ARASOF-Nasugbu Nasugbu, Batangas Tel. Nos. (043) 416-0350 loc 105 REQUEST FOR QUOTATION Procurement of Hardware and Construction Supplies for BatStateU-ARASOF  The Batangas State University (BatStateU)</t>
  </si>
  <si>
    <t xml:space="preserve"> Republic of the Philippines MUNICIPALITY OF CABUGAO Ilocos Sur Invitation to Bid for the Construction of Multi-Purpose Drying Pavement (MPDP) @ Brgy. Cuantacla, Cabugao, Ilocos Sur 1. The Local Government Unit of Cabugao, Ilocos Sur, through the R.A. 7171</t>
  </si>
  <si>
    <t xml:space="preserve"> Silangang Malicboy National High School allotted a total amount of Two Hundred Fifty One Thousand, Seven Hundred Ninety Pesos (Php 251,790.00) to cover the costs of supplies (bond papers and inks) for the reproduction of the self-learning modules as per i</t>
  </si>
  <si>
    <t xml:space="preserve"> Negotiated Procurement-Two Failed Biddings for the Procurement of Assorted Animal Feeds 1. The Department of Agriculture-Regional Field Office 7, through the GAA 2020  intends to apply the sum of Seven Hundred Sixty Nine Thousand Two Hundred Fifty Pesos (</t>
  </si>
  <si>
    <t xml:space="preserve"> Republic of the Philippines PROVINCE OF SURIGAO DEL NORTE MUNICIPALITY OF TAGANA-AN Office of the Barangay Captain Brgy. Talavera, Surigao del Norte        Invitation to bid for ROAD CONCRETING OF SITIO CAMPANGDAN  BGRY. TALAVERA, TAGANA-AN, SURIGAO DEL N</t>
  </si>
  <si>
    <t xml:space="preserve"> REQUEST FOR QUOTATION The Dr. Jose Fabella Memorial Hospital hereby invites interested suppliers to submit quotation for the supply and delivery of: Particular : 1. Foam mattress with leatherette cover, 36” x 75” x 4”	 Quantity  :          150 pcs		 Unit </t>
  </si>
  <si>
    <t xml:space="preserve"> SEE ATTACHED RFQ 2020-08-037</t>
  </si>
  <si>
    <t xml:space="preserve"> 1 LOT SUPPLY, DELIVERY AND INSTALLATION OF REAL-TIME POLYMERASE CHAIN REACTION (PCR) WORKFLOW MACHINES ABC: Php. 3,800,000.00 DELIVERY PERIOD: 90 Calendar Days BREAKDOWN: a.	1 Unit Real-time PCR Machine with complete accessories- with 13 items inclusion b</t>
  </si>
  <si>
    <t xml:space="preserve"> 1.) Square bar, 12mm diameter = 486 piece 2.) Hacksaw blade = 40 piece 3.) Welding rod =180 kilo 4.) Epoxy primer, white = 5 gallon 5.) Epoxy paint, international red = 5 gallon 6.) Paint brush, 3inch = 4 piece 7.) Paint brush, 2inch = 4 piece 8.) Paint b</t>
  </si>
  <si>
    <t xml:space="preserve"> Republic of the Philippines Province of Misamis Oriental Municipality of Lugait -oOo- INVITATION TO BID FOR THE CONCRETING OF 330.0 L.M. FARM TO MARKET ROAD AT PUROK-2, BARANGAY KALUKNAYAN MUNICIPALITY OF LUGAIT, MISAMIS ORIENTAL The Municipality of Lugai</t>
  </si>
  <si>
    <t xml:space="preserve"> 1. 224 bottles Isoprophyl Alcohol, 70% solution, 500ml N/F</t>
  </si>
  <si>
    <t xml:space="preserve"> Republic of the Philippines  PROVINCE OF BUKIDNON       Don Carlos, Bukidnon Invitation to Bid for the Supply &amp; Delivery of Thirteen (13) Units of Laptop intended for the Office Use of the Sangguniang Bayan Office in Don Carlos, Bukidnon (Complete Bid) (P</t>
  </si>
  <si>
    <t xml:space="preserve"> Replacement Teleprompter Glass Kamera BYTC5500SP</t>
  </si>
  <si>
    <t xml:space="preserve"> Unit 	Item Description	        Quantity 		 Sachet 	Pechay (Pechay Pavo)	  30 Sachet 	Lettuce (Curl)	                  30 Sachet 	Lettuce (Romaine)	          30 Sachet 	Arugula	                          30 Sachet 	Chinese Kangkong	          30 Sachet 	Eggp</t>
  </si>
  <si>
    <t xml:space="preserve"> 1.  7 UNIT  SUCTION MACHINE, PORTABLE			 20,000.00 		 140,000.00 	 2.  5 UNIT  DROPLIGHT						 21,000.00 		 105,000.00 	 3.  3 UNIT  LARYNGOSCOPE (COMPLETE SET)		 56,305.00 		 168,915.00 	 4.  1 UNIT	 LARYNGOSCOPE (PEDIA)			         56,305.00 	  	   56,30</t>
  </si>
  <si>
    <t xml:space="preserve"> Please see attached Purchase Request</t>
  </si>
  <si>
    <t xml:space="preserve"> Supply and Delivery of Toner for the Public Elementary and Secondary Schools for their Photocopying Machines</t>
  </si>
  <si>
    <t xml:space="preserve"> PROVISION OF GEOTECHNICAL INVESTIGATION AND TOPOGRAPHICAL SURVEY FOR THE CONSTRUCTION OF 100TCC WAREHOUSE IN NFA LOT, KILADA, MATALAM, NORTH COTABATO</t>
  </si>
  <si>
    <t xml:space="preserve"> INVITATION TO BID ON THE SUPPLY, DELIVERY AND INSTALLATION OF  1 UNIT LARGE FORMAT PRINTER OF BUKIDNON STATE UNIVERSITY 1.	The Bukidnon State University through the Bids and Awards Committee &amp; Budget Approved by the Board of Regents 2020 [Fund 164-IGP] in</t>
  </si>
  <si>
    <t xml:space="preserve"> Republic of the Philippines  PROVINCE OF BUKIDNON     Don Carlos, Bukidnon Invitation to Bid for the Supply &amp; Delivery of Various Construction Materials intended for the Rehabilitation of Female Comfort Room at the Municipal Building of Don Carlos, Bukidn</t>
  </si>
  <si>
    <t xml:space="preserve"> The MUNICIPALITY OF PAMPLONA through the Bids and Awards Committee (BAC), invites suppliers/bidders to apply for eligibility and to bid for the supply of construction materials for the following project: Name of Project	: materials for the Additional Fund</t>
  </si>
  <si>
    <t xml:space="preserve"> Supply and Delivery of Rapid Test Kits</t>
  </si>
  <si>
    <t xml:space="preserve"> Please download attached Request for Quotation SPECIFICATIONS: 1. Gasoline Engine: 4.1 kW (5.5 hp) 2. Engine: gasoline, 4 stroke cycle, single cylinder (aircooled) 3. pressure: 175 psi- 250 psi 4. Discharge rate: at least 15 lpm complete with pressure rel</t>
  </si>
  <si>
    <t xml:space="preserve"> Republic of the Philippines Province of Nueva Ecija Municipality of General Mamerto Natividad BIDS AND AWARDS COMMITTEE  INVITATION TO BID FOR “CONCRETING/MAINTENANCE OF VARIOUS BARANGAY AND MUNICIPAL INFRASTRUCTURE” 1.	The LGU-General Mamerto Natividad, </t>
  </si>
  <si>
    <t xml:space="preserve"> Request for Quotation City Agriculture Office CO - Technical &amp; Scientific Equipment P 250,000.00</t>
  </si>
  <si>
    <t xml:space="preserve"> T-SHIRT WITH PRINT SANITARY KIT - 40 ML ALCOHOL SPRAY - 60 ML SANITIZING GEL - HAND SOAP - VITAMINS - TISSUE - DISPOSABLE FACE MASK CERTIFICATE FRAMES PARCHMENT PAPER WASHABLE FACE MASK TARPAULIN</t>
  </si>
  <si>
    <t xml:space="preserve"> Office of the Municipal Mayor 1. 15	pack	Toilet Tissue Paper, 2-plys sheets, 150 pull 2. 4	pcs Broom, soft, (tambo) 3. 4	pcs Dust pan,non-rigid plastic, with detachable handle 4. 4	can Air Freshener, airosol, type, net content 280ml/150g min 5. 6	can Inse</t>
  </si>
  <si>
    <t xml:space="preserve"> Description   ISO CERTIFICATION SERVICES Audit Activities: Re-assessment Audit Certification Fee 1st Surveillance 2nd Surveillance NOTE: REQUEST FOR PROPOSAL AND TERMS OF REFERENCE IS AVAILABLE AT Associated Components.</t>
  </si>
  <si>
    <t xml:space="preserve"> see attached ITB</t>
  </si>
  <si>
    <t xml:space="preserve"> 1 set COMPLETE ASSEMBLY TD 42 (NISSAN PATROL ENGINE)</t>
  </si>
  <si>
    <t xml:space="preserve"> 21    	PCS	TRASH BIN (BLUE) 21    	PCS	TRASH BIN (RED) 21    	PCS	TRASH BIN (GREEN)</t>
  </si>
  <si>
    <t xml:space="preserve"> Unit 	Item Description	                                                          Quantity unit	Wheel Borrow 	                                                                                2 unit	Shredder	                                                  </t>
  </si>
  <si>
    <t xml:space="preserve"> 100 PC/S CLOSED SUCTION CATHETER F 12 100 PC/S CLOSED SUCTION CATHETER F 10 NOTE: ALL NEW SUPPLIER ARE REQUIRED TO SUBMIT THE FOLLOWING DOCUMENT. 1. DTI Registration 2. SEC Registration 3. Current Mayor's Permit 4. Certificate of Registration from B.I.R/T</t>
  </si>
  <si>
    <t xml:space="preserve"> 30    	PCS	FOOTBATH WITH TRAY</t>
  </si>
  <si>
    <t xml:space="preserve"> INK CANON PG-810	7	cart &gt;Black		 Toner HP CE 285A	3	cart &gt;Black</t>
  </si>
  <si>
    <t xml:space="preserve"> BARANGAY GOVERNMENT OF DAGATKIDAVAO														  Valencia City, Bukidnon, Philippines														 														 Contract Reference No.Contract Reference No. 2020-08-11														 														 CONSTRUCTION OF PERIMETER FENCE														 							</t>
  </si>
  <si>
    <t xml:space="preserve"> OPENING OF BIDS IN DSWD FO IX ZAMBOANGA CITY, DELIVERY IN DSWD-RSCC MAMPANG ZC PROCUREMENT FOR THE FF.: 70 SACKS-COMMERCIAL RICE 25 kls. GOOD QUALITY ****************************************** PURPOSE: FOR THE CONSUMPTION OF  RSCC, 3RD QUARTER CONSUMPTION</t>
  </si>
  <si>
    <t xml:space="preserve"> Procurement of Fuel and Oil</t>
  </si>
  <si>
    <t xml:space="preserve"> The project includes the following; Item No.	Description of Works	Quantity	Unit 1. Improvement of Pangcharan Drainage Canal I	Clearing and Grubbing	184.30	Sq.m. II	Excavation for Structure	7.28	Cu.m. III	Form Works	127.08	Sq.m. IV	Steel Works	760.64	Kgs. </t>
  </si>
  <si>
    <t xml:space="preserve"> 20 PC/S ADULT BP CUFF 20 PC/S BP CUFF FOR NEWBORN AND PREMATURE (4x8cm) 20 PC/S BP CUFF FOR INFANTS (6x12cm) 20 PC/S BP CUFF FOR OLDER CHILDREN (9x18cm) NOTE: ALL NEW SUPPLIER ARE REQUIRED TO SUBMIT THE FOLLOWING DOCUMENT. 1. DTI Registration 2. SEC Regis</t>
  </si>
  <si>
    <t xml:space="preserve"> Supply &amp; Delivery of IT Equipment for the Equipping of Operation Center of MDRRM Office with an ABC of Php198,000.00  For further details, please refer to the attached Purchase Request in the associated components.</t>
  </si>
  <si>
    <t xml:space="preserve"> subgrade preparation - 140 sqm agg. sub base course  -  14 cum pcc pavement             -  140 sqm</t>
  </si>
  <si>
    <t xml:space="preserve"> For use of PIMO (Agno-Sinocalan,San Fabian-Dumuloc RIS &amp; ADRIS</t>
  </si>
  <si>
    <t xml:space="preserve"> 96 ROLL ADHESIVE PLASTER 2.5cm-1" 96 ROLL ADHESIVE PLASTER 5cm-2" NOTE: ALL NEW SUPPLIER ARE REQUIRED TO SUBMIT THE FOLLOWING DOCUMENT. 1. DTI Registration 2. SEC Registration 3. Current Mayor's Permit 4. Certificate of Registration from B.I.R/TIN number.</t>
  </si>
  <si>
    <t xml:space="preserve"> NOTICE FOR NEGOTIATED PROCUREMENT (Small Value Procurement) PROCUREMENT OF CONSULTANCY SERVICES OF A CERTIFYING BODY (FIRM) TO PROVIDE ISO 9001:2015 CERTIFICATION TO JJWC SECRETARIAT PROCESSES JJWC NNP NO. 20-016 The Juvenile Justice and Welfare Council (</t>
  </si>
  <si>
    <t xml:space="preserve"> Repair, Rehabilitation and Improvement of Various School Buildings – Cluster 3 – (BEFF-2020-R-B2-C3) 1.	The DepEd Division of Eastern Samar, through the C.Y. 2020 Government Appropriation Act (GAA) Under the C.Y. 2020 Basic Educational Facilities Fund (BE</t>
  </si>
  <si>
    <t xml:space="preserve"> 1	35	cu.m.	Gravel, ³⁄₄"				 2	80	cu.m.	Common Borrow				 3	915	bags	Portland Cement, 40 kgs. (H)				 4	25	cu.m.	Sand, washed				 5	45	cu.m.	Gravel, washed, ³⁄₄"Ø max.				 6	5,200	pc.	CHB, 4"x8"x16"				 7	30	cu.m.	Sand, washed				 8	650	pc.	DRB 10mmØx6m, g</t>
  </si>
  <si>
    <t xml:space="preserve"> 1.) 65 lgths.      1/16 thk. 1 x 1 Angular Bar 2.) 1 pc.           4" Cutting Disc 3.) 6 kgs.          Fujiweld Welding Rod 4.) 26 bags       Portland Cement 5.) 2 cu.m.        Fine Aggregates 6.) 2.5 cu.m.     Coarse Aggregates 7.) 12 pcs.        2 x 4 x</t>
  </si>
  <si>
    <t xml:space="preserve"> 5    	roll	Plastic cover  2    	box	AA battery 2    	box	AAA Battery</t>
  </si>
  <si>
    <t xml:space="preserve"> Republic of the Philippines Province of Iloilo Municipality of Lambunao Office of the Bids &amp; Awards Committee INVITATION TO BID/ REQUEST FOR PRICE QUOTATION Name of Project: Purchase of Materials for the Const. of Community Stage Location: Brgy. Caguisana</t>
  </si>
  <si>
    <t xml:space="preserve"> Republic of the Philippines Province of Misamis Oriental Municipality of Lugait -oOo- INVITATION TO BID FOR THE CONCRETING OF  167.0 L.M. FARM TO MARKET ROAD AT SITIO, BARANGAY CALANGAHAN MUNICIPALITY OF LUGAIT, MISAMIS ORIENTAL The Municipality of Lugait</t>
  </si>
  <si>
    <t xml:space="preserve"> Educational Materials and Office Supplies of Marapange Integrated School</t>
  </si>
  <si>
    <t xml:space="preserve"> 21	pcs	10mm dia RSB  3	bag	#6 Steel mating 7	length 	1 1/2" G.I. Pipe S40 7	length 	2" G.I. Pipe S40 19	kg	Welding Rod 2	gal	Metal Primer 1	gal 	Paint Thinner</t>
  </si>
  <si>
    <t xml:space="preserve"> Republic of the Philippines Province of Negros Occidental MUNICIPALITY OF HINOBA-AN Barangay Asia Bids and Awards Committee INVITATION TO BID The Municipality of  Hinoba-an, Negros Occidental through its Bids and Awards Committee (BAC),invites suppliers/m</t>
  </si>
  <si>
    <t xml:space="preserve"> complete set of inks -Epson L360 Ink -Epson L5190 Ink -Epson L3110 Ink -BrotherTCP200 Ink -Canon G2010 INk -EPSON L360 (Black Ink) -EPSON L5190 (Black Ink) -EPSON L3110 (Black Ink) -CANON G2010 (Black Ink) -BROTHER TCP 200 (Black Ink) -MONOCHROME PRINTER </t>
  </si>
  <si>
    <t xml:space="preserve"> RACK AND PINION ASSEMBLY	1	ASSY 		 		 			 		 FOR USE IN THE REPAIR OF 140801 (BEK-401) SERVICE VEHICLE OF THE MAINTENANCE SECTION</t>
  </si>
  <si>
    <t xml:space="preserve"> 30 PC/S OXYGEN FLOWMETER WITH GAUGE  FITS ON ALL TYPES OF OXYGEN TANKS OR CYLINDERS NOTE: ALL NEW SUPPLIER ARE REQUIRED TO SUBMIT THE FOLLOWING DOCUMENT. 1. DTI Registration 2. SEC Registration 3. Current Mayor's Permit 4. Certificate of Registration from</t>
  </si>
  <si>
    <t xml:space="preserve"> Procurement of One (1) Lot Various Supplies and Equipment for the Upgrading of Network/Internet Connectivity of the University ( 2nd Posting) 2	Router, 1U rackmount, TILE Architecture, 36 cores x 1.2GHz CPU, 8x 10/100/1000 Ethernet ports, 2x SFP+ cages, L</t>
  </si>
  <si>
    <t xml:space="preserve"> Sir/ Ma'am: Please quote your lowest possible prices for the articles described in the attached document.</t>
  </si>
  <si>
    <t xml:space="preserve"> Please see attached TOR</t>
  </si>
  <si>
    <t xml:space="preserve"> 1st                      July 17, 2020	55	pax 2nd                     July 31, 2020	55	pax 3rd                      August 14, 2020	55	pax 4th                      August 28, 2020	55	pax 5th                      September 28, 2020	55	pax 6th              </t>
  </si>
  <si>
    <t xml:space="preserve"> Purchase of 2 unit desktop computer with printer, 1 unit laptop and 1 unit voice recorder</t>
  </si>
  <si>
    <t xml:space="preserve"> 1    	pail	Latex Blue 200  	pcs	Textscrew 2'' 1    	kls	Tie wire 3    	kls	Assorted nail 2    	kls	Concrete nail 4    	Pcs	Paint Brush #3 1    	Box	Textscrew 1'' 150  	pcs	PVC Pipe # 1/2 300  	pcs	Elbow 150  	pcs	T-pipe 1    	pail	Latex red 5    	bottles	</t>
  </si>
  <si>
    <t xml:space="preserve"> Invitation to Bid for Installation of Street Lighting System at Purok 1, 2 and 3, Barangay Mabini, SJOM 1.	The Municipality of San Jose, through the Barangay Fund  intends to apply the sum of Two Hundred Forty Thousand Pesos Only (Php 240,000.00) being th</t>
  </si>
  <si>
    <t xml:space="preserve"> Kindly provide your quotations on the listed item/s below: Please see attached RFQ for more details. For quotations sent through email, please make sure that documents are scanned or photographed legibly and can be printed clearly. Kindly, reach out to th</t>
  </si>
  <si>
    <t xml:space="preserve"> 40 pc – Ink, T664, black for Epson L300 printer/L310 printer 15 pc – Ink, cyan T6642 for Epson L300 printer/L310 printer 15 pc – Ink, magenta T6643 for Epson L300 printer/L310 printer 15 pc – Ink, yellow T6644 for Epson L300 printer/L310 printer 5 pc – In</t>
  </si>
  <si>
    <t xml:space="preserve"> Republic of the Philippines Department of Justice BUREAU OF CORRECTIONS Muntinlupa City Invitation to Bid for  REPAIR/RENOVATION OF DIRECTORATE FOR ADMINISTRATION OFFICE 1.	The Bureau of Corrections, through the General Appropriations Act (GAA) of 2020   </t>
  </si>
  <si>
    <t xml:space="preserve"> Procurement of Various  Cameras and Laptop Computers ( 2nd Posting) 1		Supply and Delivery of various Cameras		 1.1	2		DSLR Camera	Digital Camera  with 64GB SD Card, batteries and case/Bag 				DLSR ;Sensor: 24.2mm Auto Focus (22.3 x 14.9mm)  				Lens: 18-</t>
  </si>
  <si>
    <t xml:space="preserve"> REQUEST FOR QUOTATION (RFQ) SUPPLY AND DELIVERY OF DIGITAL BAROMETER UNDER EMB-ERLSD-ENVIRONMENTAL LABORATORY SERVICES SECTION (ELSS)-ECMU RFQ NO. 2020-0673-EMB-S-ERLSD-ELSS DIGITAL BAROMETER 1.	The Department of Environment and Natural Resources – Enviro</t>
  </si>
  <si>
    <t xml:space="preserve"> INVITATION TO BID FOR Provision of School Supplies for Children Registered in Child Development Center 1.	The Municipality of San Jose, through the 2020 Annual Budget under General Fund   intends to apply the sum of Four Hundred Thousand Pesos Only (₱ 400</t>
  </si>
  <si>
    <t xml:space="preserve"> For the reproduction of Self Learning Modules.</t>
  </si>
  <si>
    <t xml:space="preserve"> Hi-Grade Whitewoven  8 x 13 sub 18 Riso Master Roll Riso Tube Ink UV Universal Ink Black Pigmented/L UV Universal Color C/M/Y Dye /L EPSON Printer 3 in 1 Stripper Pad Hose Splacier and Belt</t>
  </si>
  <si>
    <t xml:space="preserve"> 30    	PCS	EXPANDED ENVELOPE YELLOW 8    	BOXES	HARD COPY 81/2 X 13 1    	BOX	G-TECH PEN (BLACK) 1    	BOX	MY GEL PILOT PEN (PURPLE) 2    	BOTTLES	EPSON INK BLACK 005 5    	PCS	UNI PIN FINE LINE (WATER AND FADE PROOF PIGMENT INK (BLACK) 2    	BOXES	HARD C</t>
  </si>
  <si>
    <t xml:space="preserve"> Item No.	Unit	Description	Qty 1	pcs	V5000 SFF Expansion	4 2	pcs	Power Cord- PDU Connection	1 3	pcs	0.6m 12GB SAS Cable (mSAS HD)	4 4	pcs	Order Type 1- CTO	1 5	pcs	Shipping and Handling 24F	4 6	pcs	AC Power Supply HE	1 7	pcs	Versa Stack Solution Indicator	</t>
  </si>
  <si>
    <t xml:space="preserve"> 10 BOX/S DRYVIEW FILM (8x10 in.) 125s NOTE: ALL NEW SUPPLIER ARE REQUIRED TO SUBMIT THE FOLLOWING DOCUMENT. 1. DTI Registration 2. SEC Registration 3. Current Mayor's Permit 4. Certificate of Registration from B.I.R/TIN number. 5. Tax Clearance Certificat</t>
  </si>
  <si>
    <t xml:space="preserve"> Invitation to Bid for Installation of Solar Street Lights at Purok 5, Barangay Mabini, SJOM 1.	The Municipality of San Jose, through the Barangay Fund  intends to apply the sum of Two Hundred Twenty Thousand Pesos Only (Php 220,000.00) being the Approved </t>
  </si>
  <si>
    <t xml:space="preserve"> 75    	BOXES	HARD COPY 8 1/2 X 11 950    	PCS	PLASTIC ENVELOPE (SHORT)</t>
  </si>
  <si>
    <t xml:space="preserve"> 50 PAX RICE BEEF TAPPA HOTDOG RED EGG AND 10 OTHER LINE ITEMS</t>
  </si>
  <si>
    <t xml:space="preserve"> To be used for the reproduction of Self Learning Modules.</t>
  </si>
  <si>
    <t xml:space="preserve"> Invitation to Bid for Installation of Street Lighting System (Solar) at Purok 4, Barangay Mabini, SJOM 1.	The Municipality of San Jose, through the Barangay Fund  intends to apply the sum of Two Hundred Thousand Pesos Only (Php 200,000.00) being the Appro</t>
  </si>
  <si>
    <t xml:space="preserve"> 25    	pc	LIQUID HANDSOAP 25    	bot	HANDSANITIZER 25    	bot	ALCOHOL (70%)</t>
  </si>
  <si>
    <t xml:space="preserve"> Catering Services for 200 pax in connection with "Hugpong para sa Tumandok", A Caravan of Government Services on October 14,2020 in Maasin, Iloilo 		 		 		 		 		October 14,2020 1	200	AM Snacks 		 		 		Ctaering Services: 		Compliance with the approved Mene</t>
  </si>
  <si>
    <t xml:space="preserve"> Description   Printing/Reproduction of Modules and Answer Sheets for Modular Instruction 1. Modules must be stapled by set per grade level. 2. Quality paper 3. Deliver directly at School upon the recommendation of the BAC/HOPE on the date of the agreement</t>
  </si>
  <si>
    <t xml:space="preserve"> 45    	REAM	HARD COPY 8 1/2 X 11 40    	REAM	HARD COPY 8 1/2 X 13</t>
  </si>
  <si>
    <t xml:space="preserve"> INVITATION TO BID FOR Procurement of Mobile Water Treatment Plant in enclosed trailer van 1.	The Municipality of San Jose, through the 2020 Annual Budget under 5% DRRM Calamity Fund   intends to apply the sum of Nine Hundred Fifty Thousand Pesos Only (₱ 9</t>
  </si>
  <si>
    <t xml:space="preserve"> Reproduction of Self-Learning Modules for Grades 2 to Grade 8</t>
  </si>
  <si>
    <t xml:space="preserve"> Request for Quotation Please see attached file at associated component</t>
  </si>
  <si>
    <t xml:space="preserve"> Please see attached files.</t>
  </si>
  <si>
    <t xml:space="preserve"> please see attached</t>
  </si>
  <si>
    <t xml:space="preserve"> Republic of the Philippines RIZAL PROVINCIAL GOVERNMENT Antipolo City INVITATION TO BID PURCHASE OF RISOGRAPH MACHINE The Rizal Provincial Government, through the Special Education Fund intends to apply the sum of ₱6,000,000.00 as the Approved Budget for </t>
  </si>
  <si>
    <t xml:space="preserve"> Republic of the Philippines Province of Leyte MUNICIPALITY OF MACARTHUR Invitation to Bid for  UPGRADING AND IMPROVEMENT OF BARANGAY ROAD 1.	The MUNICIPALITY OF MACARTHUR, LEYTE, through the DILG LGSF-AM 2020 intends to apply the sum of EIGHT MILLION SEVE</t>
  </si>
  <si>
    <t xml:space="preserve"> Supply and Delivery of One (1) unit Laptop with specifications for the official use of eRPTAS System and ARC GIS Software , Brooke’s Point, Palawan</t>
  </si>
  <si>
    <t xml:space="preserve"> SPED - 42 pcs Kinder - 284 pcs Grade 1- 265 Grade 2 - 306 Grade 3 - 322 Grade 4 - 248 Grade 5 - 246 Grade 6- 299 total of 2012 pcs</t>
  </si>
  <si>
    <t xml:space="preserve"> 500  pcs  Mnobloc Chairs</t>
  </si>
  <si>
    <t xml:space="preserve"> INVITATION TO BID  FOR  PURCHASE AND INSTALLATION OF WEIGHBRIDGE EQUIPMENT FOR CY 2020 - TURBINA, CALAMBA CITY, LAGUNA  Contract ID No. 20GD00007 The Department of Public Works and Highways (DPWH), Regional Office No. IV-A thru its Bids and Awards Committ</t>
  </si>
  <si>
    <t xml:space="preserve"> Construction/Rehabilitation</t>
  </si>
  <si>
    <t xml:space="preserve"> REQUEST FOR QUOTATION (RFQ)  PREVENTIVE MAINTENANCE AND CALIBRATION SERVICES OF UNICO UV VIS 4802 SPECTROPHOTOMETER (S/N: DBK18101805010) WITH SUPPLY, DELIVERY AND INSTALLATION OF SPARE PARTS UNDER EMB-ERLSD-ECMU RFQ NO. 2020-0674 EMB-SVP-ERLSD-ECMU UV VI</t>
  </si>
  <si>
    <t xml:space="preserve"> Unit          Quantity                 Item Description           reams             280                  A4 bondpaper Subs 20             pcs               100                   Folder A4             sets                17                   Epson ink  (L3</t>
  </si>
  <si>
    <t xml:space="preserve"> Supply and Delivery of Electrical Materials for the repair and maintenance of Public Market electrical line and insulation, Brooke’s Point, Palawan.</t>
  </si>
  <si>
    <t xml:space="preserve"> Conduct the Motivational and Inspirational Leadership Webinars  I.	COMPONENT OF THE PROGRAM Motivational and Inspirational Leadership Webinars  Webinar Sessions Management and Live Streaming Process (Plenary Format) Series of two seminars with a maximum  </t>
  </si>
  <si>
    <t xml:space="preserve"> Supply and Delivery of Construction Materials - Repair/Rehabilitation of Municipal SB Office</t>
  </si>
  <si>
    <t xml:space="preserve"> 1. The ENERGY REGULATORY COMMISSION (ERC), through the Government of the Philippines (GOP), intends to apply the sum of Six Million Pesos (PhP6,000,000.00), inclusive of all government taxes, and other fees and charges being the Approved Budget for the Co</t>
  </si>
  <si>
    <t xml:space="preserve"> CANAL /STEEL GRATING/PCCP</t>
  </si>
  <si>
    <t xml:space="preserve"> UNIT                     QUANTITY               DESCRIPTION REAM                    408                         BOND PAPER SUBSTANCE 20(A4) BOT                       18                          INK 664 YELLOW BOT                       30                  </t>
  </si>
  <si>
    <t xml:space="preserve"> Republic of the Philippines DEPARTMENT OF PUBLIC WORKS AND HIGHWAYS CAMARINES SUR 2ND DISTRICT ENGINEERING OFFICE Regional Office V Baras, Canaman, Camarines Sur INVITATION TO BID FOR 20GFE0018-	PROCUREMENT OF FUEL, OIL, LUBRICANT AND SPARE PARTS FOR QUAL</t>
  </si>
  <si>
    <t xml:space="preserve"> Common Office Supplies for Miglamin National High School</t>
  </si>
  <si>
    <t xml:space="preserve"> Republic of the Philippines Office of the Municipal Mayor BIDS AND AWARDS COMMITTEE Sual, Pangasinan Invitation to Bid for RENTAL OF VENUE, ACCOMMODATION AND PROVISION OF MEALS FOR COMPREHENSIVE DEVELOPMENT PLAN (CDP) WORKSHOP 1.	The Municipal Government </t>
  </si>
  <si>
    <t xml:space="preserve"> Republic of the Philippines																																																										 DEPARTMENT OF PUBLIC WORKS AND HIGHWAYS																																																										 OFFICE OF THE DISTRICT ENGINEER																																								</t>
  </si>
  <si>
    <t xml:space="preserve"> 162 PAX RICE AND OTHER LINE ITEMS</t>
  </si>
  <si>
    <t xml:space="preserve"> Two (2) units Laptop Computer</t>
  </si>
  <si>
    <t xml:space="preserve"> 400 units - Diesel water pump (6.5 HP - Self Priming forced air cooled system, recoil manual start)  110 units - Electric water pump (1.5 HP) Republic of the Philippines  Province of Ilocos Sur Municipality of SANTA MARIA BIDS AND AWARDS COMMITTEE INVITAT</t>
  </si>
  <si>
    <t xml:space="preserve"> INVITATION TO BID FOR THE PROVISION OF VARIOUS FARM MACHINERIES/EQUIPMENT UNDER THE CLIMATE RESILIENT FARM PRODUCTIVITY SUPPORT (CRFPS) PROJECTS. The DEPARTMENT OF AGRARIAN REFORM, REGIONAL OFFICE No. VIII, PROVINCE OF SAMAR, Catbalogan City, Samar, throu</t>
  </si>
  <si>
    <t xml:space="preserve"> 1. 192 KITS NCOV REAL TIME RAPID TESTING KIT, ANTIBODY TEST, IGM AND IGG WHOLE BLOOD/SERUM/PLASMA COMBO 2 IN 1 TESTING KIT (IgG and IgM) PREFERABLY INNOVITA SEPARATE IgG and IgM 2. 500 KITS SWAB TEST KIT: UNIVERSAL TRANSPORT MEDIA (UTM), DISPOSABLE VIRUS </t>
  </si>
  <si>
    <t xml:space="preserve"> REQUEST FOR QUOTATION (RFQ) SUPPLY AND DELIVERY OF PERSONNAL PROTECTIVE EQUIPMENT UNDER EMB-ERLSD-ELSS RFQ NO. 2020-0476-EMB-S-ERLSD-ELSS PPE(3rd) 1.	The Department of Environment and Natural Resources – Environmental Management Bureau (DENR-EMB) hereinaf</t>
  </si>
  <si>
    <t xml:space="preserve"> 1    -  NETWORK VIDEO RECORDER 2     -  HARD DRIVE 21   -  IP  BULLET CAMERA 2    -  9-PORT GIGABIT SWITCH WITH 4-PORT PoE 8    -  POE SWITCH 8 PORTS 1    -  LED MONITOR 40" WITH HDMI INPUT 1    -  HDMI CABLE 3M 1    -  AUTOMATIC VOLTAGE REGULATOR 5000W S</t>
  </si>
  <si>
    <t xml:space="preserve"> Supply and Delivery of Meals &amp; Snacks, Tarpaulin and venue to be use for the preparation and drafting of schedule of Market Values of Southern Municipalities of Palawan in line with the preparation of 2021 General Revisions of Assessment, Brooke’s Point, </t>
  </si>
  <si>
    <t xml:space="preserve"> *See attached file for details</t>
  </si>
  <si>
    <t xml:space="preserve"> please see attached file...</t>
  </si>
  <si>
    <t xml:space="preserve"> To provide meals and snacks during the conduct of Key Informant Interview (KII) and Focus Group Discussion for the Updating of Value Chain Analysis of Dairy in Region 02</t>
  </si>
  <si>
    <t xml:space="preserve"> Supply and delivery of Office Equipment for the use of Municipal Engineering Office Use, Brooke’s Point, Palawan.</t>
  </si>
  <si>
    <t xml:space="preserve"> The San Francisco Water District through its bids and award committee would like to quote for</t>
  </si>
  <si>
    <t xml:space="preserve"> 1 Unit Dot Matrix Printer Print Method: Impact dot matrix Control Panel: 6 Switches and 10 LEDs Control Code: ESC/P2 and IBM PPDS Emulation Pins in Head: 24-pin wide Carriage Speed: up to 480 cps (10cpi) MTBF: 20,000 Power on Hours USB and Parallel ports </t>
  </si>
  <si>
    <t xml:space="preserve"> Air Purifier		2	unit &gt;Rated Voltage: 220V			 &gt;Rated frequency: 50Hz			 &gt;Rated power: 35W			 &gt;Application area: 50sqm			 &gt;Product size: 360x200x570mm			 &gt;Timing function: 2H 4H 5H 8H			 &gt;Particulate CADR: 170m3/h			 UV Stick Sterilizer		2 	unit &gt;49cm			 &gt;M</t>
  </si>
  <si>
    <t xml:space="preserve"> 1,000 pcs. Wooden Medals (Thick) and 700 pcs. Wooden Medals (Thin)</t>
  </si>
  <si>
    <t xml:space="preserve"> Details is stated in the Request for Price Quotation attached</t>
  </si>
  <si>
    <t xml:space="preserve"> Three (3) units Ptohocopier</t>
  </si>
  <si>
    <t xml:space="preserve"> Unit 	Item Description	                                                                   Quantity 		 pack	Cotton Balls (150 Balls)	                                                                       1 pack	Gauze 2x2  12 ply	                           </t>
  </si>
  <si>
    <t xml:space="preserve"> Printing of Self-Learning Modules for First Quarter Week 2-7 for use of all public elementary and secondary schools of SDO-Muntinlupa City Please see attached Invitation to Bid and Purchase Request</t>
  </si>
  <si>
    <t xml:space="preserve"> UNIT                                                QUANTITY                                        DESCRIPTION BOTTLE                                                  5                                           EPSON T664 CYAN BOTTLE                     </t>
  </si>
  <si>
    <t xml:space="preserve"> RECORD BOOK	10	book &gt;500 PAGES		 &gt;size: 214mm x 278mm min		 RECORD BOOK	10	book &gt;300 PAGES		 &gt;size: 214mm x 278mm min</t>
  </si>
  <si>
    <t xml:space="preserve"> Fourteen (14) units Laptop Computer</t>
  </si>
  <si>
    <t xml:space="preserve"> PROCUREMENT OF CONSTRUCTION MATERIALS AND SUPPLY FOR BRGY ROAD CONCRETING AT BRGY CANINGAG, MATALOM, LEYTE</t>
  </si>
  <si>
    <t xml:space="preserve"> For the use of DILG Region III during the COVID-19 period</t>
  </si>
  <si>
    <t xml:space="preserve"> Drugs and Medicines for the COVID-19 period for the use of DILG Region III</t>
  </si>
  <si>
    <t xml:space="preserve"> Job: Rehabilitation of hand washing and toilets for pupils Approved Budget: P 156,376.60</t>
  </si>
  <si>
    <t xml:space="preserve"> common office and janitorial supplies for all sections for the 3rd quarter, 2020</t>
  </si>
  <si>
    <t xml:space="preserve"> Power Supply for the Emergency Operations Center Monitoring the COVID-19 situation</t>
  </si>
  <si>
    <t xml:space="preserve"> Republic of the Philippines Province of Nueva Vizcaya MUNICIPALITY OF BAGABAG INVITATION TO BID  SUPPLY AND DELIVERY OF MATERIALS FOR THE CONSTRUCTION OF WAITING SHEDS MURONG, BAGABAG, NUEVA VIZCAYA 1.	The Local Government Unit of Bagabag, through the 201</t>
  </si>
  <si>
    <t xml:space="preserve"> I. Concrete Works II. Tinnery works III. Welding Works</t>
  </si>
  <si>
    <t xml:space="preserve"> 2 pcs, Reverse Osmosis Membrane size 4 x 40 hydranautic membrane Supply and Install</t>
  </si>
  <si>
    <t xml:space="preserve"> FOR OPERATING ROOM USE</t>
  </si>
  <si>
    <t xml:space="preserve"> Purchase of 1 unit Suzuki FB Scrum Type (RE/CE) @ Brgy. Bical, Lal-lo, Cagayan</t>
  </si>
  <si>
    <t xml:space="preserve"> % of Total        UNIT          QUANTITY  I . CONCRETE PATHWAY   1.  Sub Grade Preparation                     2.94             sqm.              158.00   2.  Base Course                                  7.15             cu.m                15.80   3.  P.</t>
  </si>
  <si>
    <t xml:space="preserve"> Republic of the Philippines Province of Iloilo Municipality of Lambunao Office of the Bids &amp; Awards Committee INVITATION TO BID/ REQUEST FOR PRICE QUOTATION Name of Project: Purchase of materials for the Improvement of CICL/ CFW Balay Dalangpan (Storage F</t>
  </si>
  <si>
    <t xml:space="preserve"> 1 unit Ambulance Equipment and Supplies (Color: Alphine White) INCLUDES: - LED Toplight with Siren and PA System (White,Red/Blue) - Medical Cabinet (Wall-Wide) - Fully Collapsible Stretcher with Floor Lock - Spine Board with Bracket - Scoop Stretcher - Ox</t>
  </si>
  <si>
    <t xml:space="preserve"> REQUEST FOR QUOTATION NOTICE 1. The PHILIPPINE SCIENCE HIGH SCHOOL – ZAMBOANGA PENINSULA REGION CAMPUS (PSHS-ZRC) intends to apply the sum of One Hundred Twenty Thousand Pesos (P 120,000.00) being the Approved Budget for the Contract (ABC) to pay for the </t>
  </si>
  <si>
    <t xml:space="preserve"> The Department of Public Works and Highways, Upper Kalinga District Engineering Office, through the GAA2020 intends to apply the sum of PhP1,680,000.00 being the Approved Budget for the Contract (ABC) to payments under the contract for 2020-08-049 Purchas</t>
  </si>
  <si>
    <t xml:space="preserve"> 5	TIN	SEMI GLOSS LATEX		 5	TIN	 FLAT LATEX		 5	PC	ROLLER 7 "		 4	PC	PAINT BRUSH 2"		 4	PC	PAINT BRUSH 1/2		 1	PC	A/C LAMP BLACK		 15	PC	SAND PAPER # 150		 5	PC	PAINT TRAY		 4	GAL	WALL PUTTY		 2	GAL	QDE WHITE		 1	BAG	SKIM COAT		 3	PC	BABY ROLLER		 40	PC	LU</t>
  </si>
  <si>
    <t xml:space="preserve"> Please see attached associated components (Request for Quotation) for detailed technical specifications of the projects.</t>
  </si>
  <si>
    <t xml:space="preserve"> .40 month OS &amp; HP 817.5 sq.m. scarifying of concrete pavement 163.50 cu.m. hauling of waste materials 967.5 sq.m. sub-grade preparation (common material) 80.60 cu.m. Excavation 112 cu.m. aggregate base course 27.66 cu.m. stone masonry 1,102.50 sq.m. PCCP</t>
  </si>
  <si>
    <t xml:space="preserve"> For the use of DILG Region III during COVID-19 period</t>
  </si>
  <si>
    <t xml:space="preserve"> .17 month OS &amp; HP 313 sq.m. Clearing and Grubbing 336 sq.m. sub-grade preparation (common material) 67.20 cu.m. Excavation 97 cu.m. embankment 39 cu.m. aggregate base course 30.40 cu.m. stone masonry’ 50.40 cu.m. concrete class A 2,600.62 kgs rsb</t>
  </si>
  <si>
    <t xml:space="preserve"> Labor and Parts</t>
  </si>
  <si>
    <t xml:space="preserve"> Procurement of Face Shield for 2020 CPH Quantity: 950 pieces Specifications: 1. Full Face Face Shield 2. Good quality clear acetate 3. Lightweight 4. Preferably with eye glass frame  For submission of quotations and inquiries please contact: Ledesma L. Mo</t>
  </si>
  <si>
    <t xml:space="preserve"> 7 reams Bond Paper Long 8 reams Bond Paper A4 3 bottle Ethyl Alcohol Ethyl 500ml 42 pcs. Folder Long (Legal size white) 10 pcs Correction Tape 3 boxes Paper Fastener (plastic) 10 pcs. Ball pen (black) 5 pcs. Ball pen (red) 6 rolls Toilet Paper 1 pc. Water</t>
  </si>
  <si>
    <t xml:space="preserve"> REQUEST FOR QUOTATION Date: ____________ Name of Dealer: ____________ Address: ____________ GENTLEMEN: Please quote your lowest price and indicate shortest delivery date of articles herein below enumerated and return the same in SEALED ENVELOPE together w</t>
  </si>
  <si>
    <t xml:space="preserve"> LOT NO.  1: PRAS NO. 20-1017 - ICTS-NOMD ABC: PHP594,000.00  - DSLR Camera (PhP44,000.00)  - HD DSLR Camera (PhP275,000.00)  - HD Video Camera (PhP275,000.00) LOT NO. 2: PRAS NO. 20-1016 - ICTS-NOMD ABC: PHP1,000,000.00  - Professional Camcorder with Trip</t>
  </si>
  <si>
    <t xml:space="preserve"> TESDA Emblem		4	pc &gt;acrylic material			 &gt;thickness: 2"			 &gt;60 cm diameter			 &gt;as per TESDA design</t>
  </si>
  <si>
    <t xml:space="preserve"> Communications Supplies - Cellcards Globe Prepaid @ 300 - 276 pcs @ 500 - 469 pcs Smart Prepaid @ 300 - 152 pcs @ 500 - 47 pcs *Please see attached RFQ **RFQ #: RFQ-2020-08-06; PR #s: 2001-026 to 030-2020 ***Area of Delivery: SAMAR</t>
  </si>
  <si>
    <t xml:space="preserve"> Schedule opening of Bids</t>
  </si>
  <si>
    <t xml:space="preserve"> Please quote your lowest price inclusive of TAXES on the item/s listed below, subject to Item Description and Terms and Conditions of this RFQ, and submit your quotation duly signed by you or your representative not later than 10:00 A.M. of August 14, 202</t>
  </si>
  <si>
    <t xml:space="preserve"> 100	PCS	FLOURESCENT LAMP 40 WATTS (SET LED TYPE)		 50	PCS	CONVENIENCE OUTLET 2 GANG/SET		 50	PCS	UTILITY BOX SURFACE MOUNT		 20	PCS	ELECTRICAL SWITCH 2 GANG		 15	PCS	ELECTRICAL SWITCH 3 GANG		 35	PCS	PVC ELECTRICAL RACEWAY 1/2		 35	PCS	PVC ELECTRICAL RACE</t>
  </si>
  <si>
    <t xml:space="preserve"> Please see Request for Quotation/ Bid Form attached to Associated Components.</t>
  </si>
  <si>
    <t xml:space="preserve"> For use in repair of damaged existing flood control structure along Bawo River (Downstream), Catmon Side Catmon, Cebu.</t>
  </si>
  <si>
    <t xml:space="preserve"> .40 month OS &amp; HP 350 sq.m. Clearing and Grubbing 210 cu.m. Excavation 437.5 cu.m. stone masonry</t>
  </si>
  <si>
    <t xml:space="preserve"> .17 month OS &amp; HP 108 sq.m. Clearing and Grubbing 86.40 cu.m. Excavation 209.52 cu.m. stone masonry</t>
  </si>
  <si>
    <t xml:space="preserve"> INVITATION TO BID: 1. Project Title: Acquisition of Furniture and Fixtures Lot 1: Chairs Lot 2: Tables Lot 3: Cabinets Lot 4: Laboratory Table and Chairs 2. Approved Budget for the Contract: Php 5,499,372.18 Lot 1: Chairs - Php 718,354.74 Lot 2: Tables - </t>
  </si>
  <si>
    <t xml:space="preserve"> 1.	The Technological University of the Philippines Manila Campus, through Fiduciary Fund CY 2020 intends to apply the sum of Ten Million Four Hundred Ninety Two Thousand  Pesos (Php  10,492,000.00) being the Approved Budget for the Contract (ABC) to payme</t>
  </si>
  <si>
    <t xml:space="preserve"> Ink Epson 001	10	pc &gt;Black		 Ink Epson 001	10	pc &gt;Magenta		 Ink Epson 001	10	pc &gt;Cyan		 Ink Epson 001	10	pc &gt;Yellow</t>
  </si>
  <si>
    <t xml:space="preserve"> I.1) 5 pieces Laptop with the following specifications: a)	processor of 2 GHz and above b)	3GB DDR4 RAM c)	at least 500 Hard Disk Drive or at least 512 SSD d)	have bluetooth, wifi, camera, and USB ports 2) 2 pieces HP 410A-Black Toner Cartridge (for HP La</t>
  </si>
  <si>
    <t xml:space="preserve"> Name of the Procuring Entity:					Project Reference Number: ITB # 2020-05-021 Municipality of Lantapan					Name of the Project:  Standard Form Number: SF-GOOD-60					Purchase of 1 Unit Garbage Compactor 					Location of the Project:  Revised on: May 24, 2</t>
  </si>
  <si>
    <t xml:space="preserve"> Quantity	Unit	Item and Description 4	Unit 	External Hard Drive, 1TB, 2.5"HDD, USB 3.0 8	pc	FLASH DRIVE, 16 GB capacity 5	cart	INK CART, HP CN693AA, (HP704), tricolor 10	cart	INK CART, HP F6V26AA (HP680) Tri-color 10	cart	INK CART, HP F6V27AA (HP680) Black</t>
  </si>
  <si>
    <t xml:space="preserve"> PROCUREMENT OF CONSTRUCTION MATERIALS AND SUPPLY FOR CONSTRUCTION OF MULTI-PURPOSE BLDG (PHASE II) BRGY SAN JUAN, MATALOM, LEYTE</t>
  </si>
  <si>
    <t xml:space="preserve"> Republic of the Philippines Province of Bohol MUNICIPALITY OF TUBIGON Invitation to Bid for: Procurement of Construction Materials &amp; Supplies Name of Project:      Improvement of School Building (3 classrooms) 1. The Barangay of Tinangnan through the Prov</t>
  </si>
  <si>
    <t xml:space="preserve"> multi-purpose hall continuation</t>
  </si>
  <si>
    <t xml:space="preserve"> 1 	PC	FAUCET GOOSENECK		  20 	PC	DRILL BIT 1/8		  3 	PC	BLIND RIVETS		  2 	PC	SQUARE BAR 19MM		  2 	PC	A VALVE SINGLE		  1 	PC	LAVATORY FAUCET		  5 	PC	FLEXIBLE HOSE 1/2		  10 	PC	CUTTING DISK METAL		  1 	PC	CONCRETE CUTTER		  1 	PC	CIRCULAR BLADE		  1 	P</t>
  </si>
  <si>
    <t xml:space="preserve"> 300 	PC	FLOOR TILES 60X60		  60 	PC	9MM RSB		  60 	BAGS	CEMENT		  110 	PC	CHB #4		  5 	KILO	GI WIRE		  30 	BAGS	TILES ADHESIVE		  2 	PC	BAR LEVEL		  1 	KILO	CONCRETE NAIL 3"</t>
  </si>
  <si>
    <t xml:space="preserve"> Furnishing of materials for the regravelling of farm to market road @ Brgy. Cagoran, Lal-lo, Cagayan</t>
  </si>
  <si>
    <t xml:space="preserve"> 2	PC	CYANOACRYLATE ADHESIVE GLUE		 1	PC	FAUCET		 2	GAL	SOLIGNUM S.6		 2	PC	SPRAYERS		 1	PC	P-TRAP 		 2	LI	AIC T.RED		 1	PC	SOLVENT		 1	PC	JUNCTION BOX W/ COVER		 20	PC	PVC MOULDING		 15	PC	AMCO BOX		 8	SET	2-G OUTLET W/ GROUND		 2	PC	ELECTRICAL TAPE		 1	P</t>
  </si>
  <si>
    <t xml:space="preserve"> Republic of the Philippines Province of Rizal MUNICIPALITY OF BARAS BIDS AND AWARDS COMMITTEE August 10, 2020 INVITATION TO BID COST OF IMPROVEMENT (BACKFILLING) OF BARAS KASARINLAN ECO PARK, BRGY. SANTIAGO,  BARAS, RIZAL 1.	The Municipality of Baras, thr</t>
  </si>
  <si>
    <t xml:space="preserve"> Republic of the Philippines Province of Rizal MUNICIPALITY OF BARAS BIDS AND AWARDS COMMITTEE August 7, 2020 INVITATION TO BID COST OF CONSTRUCTION OF ROOFING EXTENSION AT RHU II, SOUTHVILLE 9, PHASE 2, BRGY. PINUGAY, BARAS, RIZAL 1.	The Municipality of B</t>
  </si>
  <si>
    <t xml:space="preserve"> 1	1	Lot	Supply &amp; Delivery of  Medicines 			Description: 	1	Box	Paracetamol 500 mg/ cap 500/box 	5	Boxes	Mefenamic Acid  500 mg/ cap 100/bx 	2	Boxes	Loperamide 2 mg/cap  200/bx 	1	Box	Hyosine N  butybromide 10 mg  100/bx 	5	Boxes	Citirizine 10 mg /tab 100/</t>
  </si>
  <si>
    <t xml:space="preserve"> Please see attached RFQ # 20-1293 Submit your Sign and Sealed Quotation together with your UPDATED ELIGIBILITY Requirements at 3/F ATI Building Department of Agriculture Region IV-MiMaRoPa, Property&amp;Supply Unit/BAC Secretariat Elliptical Road, Diliman, Qu</t>
  </si>
  <si>
    <t xml:space="preserve"> 33 box nescafe 25 grams  wash sugar 16 sack  86 box instant noodles 55 grams 31 box easy open sardines 155 grams</t>
  </si>
  <si>
    <t xml:space="preserve"> 1 	ROLL	MOLD FLEX 1/2"X100m		  30 	PCS	3/4PLASTIC MOULDING (3/4"X3m)		  6 	PCS	2"PLASTIC MOULDING (2"X3m)		  45 	PCS	AMCO BOX		  45 	PCS	JUNCTION BOX (4"X4")		  3 	BOX	3.5mm sq.X150mm,ELECTRICAL WIRE,THHN		  1 	BOX	8.0mm sq.ELECRICAL WIRE, THHN		  6 	ROLL</t>
  </si>
  <si>
    <t xml:space="preserve"> FENCING AT CMRF</t>
  </si>
  <si>
    <t xml:space="preserve"> 1) 1 set - Exec. desk with side return table with 2D                  Mobile: Size: main table 160*80*75 cm                 side return: 100*40*66cm                 mobile : 40*40*58.5 2) 2 set - 1 person work station 1280W x 640D x 1050H mm              </t>
  </si>
  <si>
    <t xml:space="preserve"> P.R. No. 2020-07-082 Supply and Delivery of Computer Parts, Accessories, and Peripherals for DPWH Leyte First District Engineering Office</t>
  </si>
  <si>
    <t xml:space="preserve"> RISO TONNER ROLL MASTER A4 SIZE BOND PAPER HEAVY DUTY STAPLER STAPLE WIRE</t>
  </si>
  <si>
    <t xml:space="preserve"> Republic of the Philippines Province of Bohol MUNICIPALITY OF TUBIGON Invitation to Bid for: Procurement of Construction Materials &amp; Supplies Name of Project:      Embankment of Pathways &amp; Playground 1. The Barangay of Matabao through the 20% Local Develo</t>
  </si>
  <si>
    <t xml:space="preserve"> 24 	SQ.M	ROLL UP DOORS		  9 	SET	WINDOW ( TUBULAR 1"X1"), W-1 1.60x0.70		  450 	PCS	DOUBLE C FURRING 50X19X5m		  360 	PCS	CARRYING CHANNEL 30X12X15m		  105 	PCS	CEMENT BOARD 4.5mm		  60 	PCS	WALL ANGLE 25X25X3m		  900 	PCS	DOUBLE FURRING CLIP		  2,550 	PC</t>
  </si>
  <si>
    <t xml:space="preserve"> 145000 copies of modules for JHS- all subject areas from grades 7-10</t>
  </si>
  <si>
    <t xml:space="preserve"> 20GM00180 – Rental of Service Vehicle Chargeable to CY 2020 Annual Maintenance Work Program (AMWP) for Inspection and Supervision of Routine/Periodic Maintenance for Roads and Bridges Projects along Banisilan-Guiling-Alamada-Libungan Road, Bukidnon-Cotaba</t>
  </si>
  <si>
    <t xml:space="preserve"> 1 unit iPAD 1 unit Laptop 1 TV Monitor (for e. sessions)</t>
  </si>
  <si>
    <t xml:space="preserve"> 20	PCS	DRILL BIT 1/8 STEEL		 20	PCS	DRILL BIT 1/8 MASONRY		 3	BOX	BLIND RIVETS		 60	PCS	METAL STUD		 30	PCS	DOORKNOB		 2	BOX	TOX &amp; SCREW NO. 4		 100	PCS	BLACK SCREW SIZE NO.1		 2	BOX	BLIND RIVETS 1/8		 50	PCS	CEMENT BOARD 1/4 x 4 x 8		 10	PCS	PLYWOOD 3/4 </t>
  </si>
  <si>
    <t xml:space="preserve"> 88	TIN	FLAT LATEX		 20	PCS	ROLLER NO. 7		 20	PCS	PAIN TRAY		 10	PCS	BABY ROLLER		 5	BAGS	SKIM COAT		 20	PCS	PAINT BRUSH NO. 2		 20	PCS	SAND PAPER 150 GRIT		 5	PCS	PALLETA NO. 5		 14	LITERS	LAMB BLACK		 10	LITERS	THALO BLUE		 5	LITERS	TUDELINE RED		 65	TIN</t>
  </si>
  <si>
    <t xml:space="preserve"> 1) 1 unit - laptop 2 in 1 convertible specs display:          13.4 in. 16:10 3840 x 2400 or 1920  x 1200           touchscreen: dimensions: 207 mm (8.15 in.)           x 297 mm ( 11.69 in) x 13 mm (0.51 in)            weight: 2.9lbs (1.32 kg); processor 1</t>
  </si>
  <si>
    <t xml:space="preserve"> Reproduction of Modules and Learning Activity Sheets from Grade 1  to  Grade 6 using A4 size of  Multi -purpose Paper , 70 gsm</t>
  </si>
  <si>
    <t xml:space="preserve"> 1 l.s.</t>
  </si>
  <si>
    <t xml:space="preserve"> TOMATO 50G EGGPLANT 50G SILI PANIGANG 100G PECHAY MUSTARD PATOLA 100G CALABASA 250G AMPALAYA 100G OKRA UPO 100G RED HOT CHILI 25G PAPAYA  POLE SITAO PIPINO 100G 46-0-0 INORGANIC FERTILIZER 14-14-14 INORGANIC FERTILIZER</t>
  </si>
  <si>
    <t xml:space="preserve"> 20GM00185 – Rental of Service Vehicle for Supervision/Implementation of Regular Infra Projects (September 1-15, 2020) (Equipment Rental Only)</t>
  </si>
  <si>
    <t xml:space="preserve"> (pls see attached for further details) Rubber Mat (1.5' x 2') with tray Pop-up Tissue, 3 ply, inter-folded Hand Soap, 1L Hand Sanitizer, 1L Spray Can, Manual, 16L Automatic Hand Sanitizer Dispenser, Sensored "Automatic Hand Dryer with catch basin, High Qu</t>
  </si>
  <si>
    <t xml:space="preserve"> 4	roll	roll master 16	bot	tonner 321	ream 	Bond Paper A4 size 11	bot	Epson Printer Ink (black) 20	bot	Epson Printer Ink (colored)</t>
  </si>
  <si>
    <t xml:space="preserve"> daycare concrete building construction</t>
  </si>
  <si>
    <t xml:space="preserve"> Please refer to the attached RFQ.</t>
  </si>
  <si>
    <t xml:space="preserve"> 20GM00184 – Rental of Service Vehicle for Roads and Bridges Investigation Activities for DPWH Projects (September 1-15, 2020) (Equipment Rental Only)</t>
  </si>
  <si>
    <t xml:space="preserve"> 2 UNITS DESKTOP COMPUTER 1 UNIT LAPTOP</t>
  </si>
  <si>
    <t xml:space="preserve"> .10 month OS &amp; HP 86.25 sq.m. Clearing and Grubbing 86.25 cu.m. Excavation 143.75 cu.m. stone masonry</t>
  </si>
  <si>
    <t xml:space="preserve"> 1) 2 units - 18.5 led monitor  2) 4 units - 650 va ups 3) 1 unit - smartphone (8gb ra, m128gb storage, hisilicon 810 processor, 6.4 display, 4200 mah battery,                 48mp (wide) + 8mp quad camera) 4) 1 unit - laptop (intel core i5 1035gi processo</t>
  </si>
  <si>
    <t xml:space="preserve"> BARANGAY GOVERNMENT UNIT OF HUSAYAN Revised on: July 29, 2005 INVITATION TO APPLY FOR ELIGIBILITY AND TO BID The Barangay Government Unit of Husayan, Kadingilan, Bukidnon, through the Bids and Award Committee (BAC), invites suppliers/manufactures/distribu</t>
  </si>
  <si>
    <t xml:space="preserve"> 2 gal QDE Paint white gloss 4 bot. paint thinner 2 pcs. paint brush 1.20x2.40 clear glass 15 pcs. 2.10x3.30 sliding door 2 set Labor: Demolition and repair works Paint works</t>
  </si>
  <si>
    <t xml:space="preserve"> 1 UNIT LAPTOP 1 UNIT DESKTOP COMPUTER 1 UNIT PRINTER</t>
  </si>
  <si>
    <t xml:space="preserve"> 20GM00183 – Rental of Service Vehicle Chargeable to CY 2020 Annual Maintenance Work Program (AMWP) for Inspection and Supervision of Routine/Periodic Maintenance for Roads and Bridges along Makilala-Allah Valley Road, Kidapawan-Calunasan-M'lang Road, and </t>
  </si>
  <si>
    <t xml:space="preserve"> 105 	LITER	FWL PRIMER		  132 	LITER	MAT FIN TOPCOAT ( WALL)		  90 	LITER	MAT FIN TOPCOAT ( CEILING)		  6 	SACKS	PATCHING COMPOUND		  90 	PCS	SAND PAPER # 100		  90 	PCS	SAND PAPER #120		  90 	PCS	SAND PAPER # 140		  105 	LITER	THINNER		  150 	KGS	OLD NEWS</t>
  </si>
  <si>
    <t xml:space="preserve"> 20GM00181 – Rental of Service Vehicle for Road Slope and Survey Investigation Activities for DPWH Projects (September 1-15, 2020) (Equipment Rental Only)</t>
  </si>
  <si>
    <t xml:space="preserve"> P.R. No. 2020-07-083 Supply and Delivery of Office Equipment Supplies and Consumables for DPWH Leyte First District Engineering Office</t>
  </si>
  <si>
    <t xml:space="preserve"> .10 month OS &amp; HP 102 sq.m. Clearing and Grubbing 76.5 cu.m. Excavation 96.90 cu.m. stone masonry</t>
  </si>
  <si>
    <t xml:space="preserve"> Republic of the Philippines Province of Bohol MUNICIPALITY OF TUBIGON Invitation to Bid for: Rental of Construction Equipment Name of Project:      Embankment of Pathways &amp; Playground 1. The Barangay of Matabao through the 20% Local Development Fund inten</t>
  </si>
  <si>
    <t xml:space="preserve"> 8" Ø x 4" Ø Wye, CI - 1 pc 8" Ø Sleeve Type Coupling, CI - 1 pc 4" Ø Wye, CI - 2 pcs 4" x 45˚ Elbow, CI - 1 pc 4" Gate Valve, CI - 2 pcs 4" Sleeve Type Coupling, CI - 5 pcs 2" Air Release Valve, Plastic - 5 pcs 8" x 2" Saddle Clamp, CI - 2 pcs 4" x 2" Sad</t>
  </si>
  <si>
    <t xml:space="preserve"> JOB: Installing of Protective Shields in E-Classroom,Faculty and Principal's Office APPROVED BUDGET: P 80,115.34</t>
  </si>
  <si>
    <t xml:space="preserve"> Please quote us your lowest price inclusive of VAT on the items listed below</t>
  </si>
  <si>
    <t xml:space="preserve"> Please quote your government price/s including delivery charges, VAT or other applicable taxes, and other incidental expenses for the goods listed in Annex A.  Failure to indicate information could be basis for non - compliance. Also, furnish us with desc</t>
  </si>
  <si>
    <t xml:space="preserve"> Materials used for fire safety</t>
  </si>
  <si>
    <t xml:space="preserve"> Republic of the Philippines 	Cebu Normal University 	Osmeña Blvd. Cebu City, 6000 Philippines                                 Office of the Bids and Awards Committee                                         Telephone No.: (+63 32) 254 1452 local 141 or 125</t>
  </si>
  <si>
    <t xml:space="preserve"> 10.2 INCH RETINA DISPLAY A10 FUSHION CHIP TOUCH ID FOR SECURE AUTHENTICATION 8MP BACK CAM, 1.2 MP FACE TIME HD CAM 802.11 AC WIFI AND GIGABIT-CLASS LTE CELLULAR DATA</t>
  </si>
  <si>
    <t xml:space="preserve"> Alcohol, Isopropyl 70%, 500ml Green										60	bots Air Freshener, aerosol, 280ml/150g min									25	can Bathroom Deodorizing 												27	pcs Bathroom Soap Regular Size White 100G JB									27	pcs Battery, Dry cell, AA, 1.5 volts, alkaline									2</t>
  </si>
  <si>
    <t xml:space="preserve"> UNIT                QUANTITY                     DESCRIPTION roll                           2                      Acetate, thickness 0.75mm min  ream                     150                    Paper, Multi-Purpose A4,  70 gsm box                         </t>
  </si>
  <si>
    <t xml:space="preserve"> INVITATION TO BID for PROCUREMENT OF DESIGN, SUPPLY, INSTALLATION, AND COMMISSIONING OF THEATRE CINEMA PROJECTION, EQUIPMENT AND AUDIO SYSTEM FOR THE METROPOLITAN THEATRE 1.	The NATIONAL COMMISSION FOR CULTURE AND THE ARTS (NCCA), through the CY 2020 Nati</t>
  </si>
  <si>
    <t xml:space="preserve"> BARANGAY GOVERNMENT UNIT OF SAN ANDRES Revised on: July 29, 2005 INVITATION TO APPLY FOR ELIGIBILITY AND TO BID The Barangay Government Unit of San Andres, Kadingilan, Bukidnon, through the Bids and Award Committee (BAC), invites suppliers/manufactures/di</t>
  </si>
  <si>
    <t xml:space="preserve"> CONSTRUCTION MATERIALS</t>
  </si>
  <si>
    <t xml:space="preserve"> General Merchandise</t>
  </si>
  <si>
    <t xml:space="preserve"> HYGIENE KITS AND MEDICINE USED FOR THE PREVENTION OF SPREADING OF CORONA VIRUS</t>
  </si>
  <si>
    <t xml:space="preserve"> A = 190.00 sq.m.</t>
  </si>
  <si>
    <t xml:space="preserve"> Republic of the Philippines Province of Leyte MUNICIPALITY OF MACARTHUR Invitation to Bid for  CONSTRUCTION/EXPANSION OF PUBLIC CEMETERY PERIMETER TOMB PHASE 3 1.	The MUNICIPALITY OF MACARTHUR, LEYTE, through the 20% AIP 2020 intends to apply the sum of O</t>
  </si>
  <si>
    <t xml:space="preserve"> MONOBLOCK CHAIRS FOLDING TABLE (LONG)</t>
  </si>
  <si>
    <t xml:space="preserve"> Technical Specification: Driver size: 12.5mm Dynamic frequency response range: 20Hz - 20kHz Sensitivity: 100dB SPL/1mW Maximum SPL: 106dB @1kHz Microphone sensitivity @ 1kHz dB w/pa: -21 Impedance: 32Ω Bluetooth transmitted power: 0 ~ 4dBm Bluetooth trans</t>
  </si>
  <si>
    <t xml:space="preserve"> Purchase of Disaster Equipment</t>
  </si>
  <si>
    <t xml:space="preserve"> INVITATION TO BID for PROCUREMENT OF EVELOPMENT AND PRINTING SERVICES FOR EVERYDAY CULTURE BOOK (A Series of Books on the School of Living Traditions) 1.	The NATIONAL COMMISSION FOR CULTURE AND THE ARTS (NCCA), through the CY 2020 General Appropriations A</t>
  </si>
  <si>
    <t xml:space="preserve"> 20GM00182 – Rental of Service Vehicle for Use in Supervision of Various Projects within the Cotabato Sub-District Engineering office assigned in the Quality Assurance Section (1 unit 4x4) (September 1-15, 2020) (Equipment Rental Only)</t>
  </si>
  <si>
    <t xml:space="preserve"> 1	pc	starter solenoid		 4	mtr	battery cable		 4	pc	battery lug/eye terminal (10mm)</t>
  </si>
  <si>
    <t xml:space="preserve"> Canvass cloth 60" width x 90 yrds								2	rolls Pongee cloth, black 60" width x 90 yrds							150	meters Pongee cloth, green 60" width x 90 yrds							150	meters Pongee cloth, white 60" width x 90 yrds							150	meters Insulation foam 10MM										200	m</t>
  </si>
  <si>
    <t xml:space="preserve"> 20	set	Universal Fixed TV wall bracket/wall mount for LCD TV</t>
  </si>
  <si>
    <t xml:space="preserve"> Long Expanded Plastic Envelope with Handle  Colors: Clear/White Orange Violet Sky blue Blue Yellow Red Pink Green</t>
  </si>
  <si>
    <t xml:space="preserve"> Diesel													4,716	liters Terms of Reference:														 Two times a week withdrawal</t>
  </si>
  <si>
    <t xml:space="preserve"> 1	unit	16 channel, 16 PoE switch Network Video Recorder (NVR) DS-1716NI-k2/16P: Incoming Badwith 160mbps: Hard Disk: SATA 2 sata interfaces, up to 6TB capacity. PoE interface: 16 RJ45 10/100 MBPS self adaptive ethernet interface: Power Supply: 100-240 VAC</t>
  </si>
  <si>
    <t xml:space="preserve"> August 10, 2020 REQUEST FOR QUOTATION No. 2020-0005 The City School Division of Bacoor through its Bids and Awards Committee (BAC) will undertake a Negotiated procurement under Small Value Procurement for the Printing and Delivery of Learning Materials in</t>
  </si>
  <si>
    <t xml:space="preserve"> Diesel													2,000	liters Engine Oil for Diesel											6	liters Terms of Reference:														 *Weekly Withdrawals</t>
  </si>
  <si>
    <t xml:space="preserve"> 20 pcs. Master for riso graphing machine (KZ30) 20 pcs. Ink for riso graphing machine 10 pcs. Automatic Sanitizing Liquid Dispenser  1 pc.     Heavy Duty vacuum cleaner 1 pc.     2hp  water pump</t>
  </si>
  <si>
    <t xml:space="preserve"> Schedule of Conduct: Sept. 3-4, 2020     - 56 pax Sept. 10-11, 2020 - 56 pax MENU: A.M. Snacks Special Torta &amp; Bottled Juice Lunch: Sweet &amp; Sour Fidh Hawaiian Pork Chopsuey Guisado Rice Leche Flan Soft-drink P.M. Snacks Cheeseburger &amp; Softdrink w-w-w-w-w-</t>
  </si>
  <si>
    <t xml:space="preserve"> Supply &amp; Delivery of 1,000 pcs. BN Face Shield for the HR of BJMPRO-IX.</t>
  </si>
  <si>
    <t xml:space="preserve"> Office supplies</t>
  </si>
  <si>
    <t xml:space="preserve"> (pls see attached for further details) Binding Tape 2" Binding Tape 1" DATA FILE BOX, made of chipboard, with closed ends DATA FOLDER, made of chipboard, taglia lock, vertical, 3"x9"x15.5" DETERGENT POWDER, all purpose, 1kg Double Adhesive Tape 1" ENVELOP</t>
  </si>
  <si>
    <t xml:space="preserve"> Purchase of laboratory supplies for the use of Orani District Hospital</t>
  </si>
  <si>
    <t xml:space="preserve"> Purchase of Rubber boots and Raincoats</t>
  </si>
  <si>
    <t xml:space="preserve"> 1) 4 units - office tables 2) 4 units - swivel chairs 3) 1 unit - executive chair 4) 2 units - portable power speaker                 (b112mp3- active 2 way " 12fa speaker                    system with mp3 player, wireless option and integrated mixer 5) </t>
  </si>
  <si>
    <t xml:space="preserve"> 45 pcs 50 liters plastic storage box</t>
  </si>
  <si>
    <t xml:space="preserve"> pc	Facemask N95 with respirator	1250 pc	Faceshield	150 gal	Alcohol	200 bottle	Hand Sanitizer	150 pair	Nitrlle gloves 	75 pc	Coverall suit	10 pc	Shoe cover leggings	10 pc	Medical Googles	10 pc	Bin Bag	10 pc	Human Weighing scale (analog or digital type)	12 </t>
  </si>
  <si>
    <t xml:space="preserve"> Weighing Scale (10 kgs)										4	unit Nail 2"													20	kilo Nail 1"													20	kilo Paint (QDE semigloss white 8, Roof Green 4, FW Enamel - white 8)		20	gal Bolo													25	pc Knapsack Sprayer (Stainless 16 lits. Cap.)							25	pc Rubber B</t>
  </si>
  <si>
    <t xml:space="preserve"> PCCP/pathway concreting</t>
  </si>
  <si>
    <t xml:space="preserve"> Republic of the Philippines Province of Bohol MUNICIPALITY OF TUBIGON Invitation to Bid for: Procurement of Construction Materials &amp; Supplies Name of Project:      Concreting of Barangay Road (Purok 7,2,3) 1. The Barangay of Guiwanon. through the 20% Loca</t>
  </si>
  <si>
    <t xml:space="preserve"> INVITATION TO BID FOR SUPPLY AND DELIVERY OF LAPTOP AND DESKTOP COMPUTERS FOR DSWD CENTRAL OFFICE AND FIELD OFFICES —  ITB NO. GOP/20-DSWD-046 — (PR NOS. 01-20001-PR-2020-07-00164 &amp; 01-20001-PR-2020-07-00165) 1. The Department of Social Welfare and Develo</t>
  </si>
  <si>
    <t xml:space="preserve"> RFQ-GS-20200720-07 Interested Suppliers are invited to submit Price Quotation for the above listed item. The official LANDBANK Request for Quotation Form may be obtained from MS. KIM STO. TOMAS (tel no. 8 5512200 LOCALS 2452 TO 2453; email address: kimjoy</t>
  </si>
  <si>
    <t xml:space="preserve"> 4,000 PCS CUSTOMIZED FACE MASK</t>
  </si>
  <si>
    <t xml:space="preserve"> 2 copies  Accounting Information System 10th ED. 2 copies  Cost Accounting and Control 2 copies  Financial Accounting,IFRS Edition 2 copies Essential of Financial Management 2 copies Financial Markets and Institutions 7th 2 copies Advertising,Promotion an</t>
  </si>
  <si>
    <t xml:space="preserve"> Republic of the Philippines Province of Davao Oriental City of Mati BIDS &amp; AWARDS COMMITTEE INVITATION TO BID LOT Procurement of MATERIALS for Use in the Improvement of Davao Oriental Provincial Museum/Subangan (Roof Dome) at City of Mati, Davao Oriental </t>
  </si>
  <si>
    <t xml:space="preserve"> Republic of the Philippines Province of zamboanga Sibugay Municipality of Olutanga 7014 AUGUST 7, 2020 NOTICE TO THE PUBLIC REPOSTING INVITIATION TO APPLY FOR ELIGIBILITY AND TO BID All interested bidders are invited to Pre-qualify and participate in seal</t>
  </si>
  <si>
    <t xml:space="preserve"> various IT supplies and equipment</t>
  </si>
  <si>
    <t xml:space="preserve"> Please see and download the attachment</t>
  </si>
  <si>
    <t xml:space="preserve"> Please quote your best price 4 pcs of BIDA Sticker on Xintra Board Standee ABC: 20,400.00 Specifications: (Please see attached prototype) Please email your quotation Please download canvass form</t>
  </si>
  <si>
    <t xml:space="preserve"> various construction materials and supplies</t>
  </si>
  <si>
    <t xml:space="preserve"> Republic of the Philippines City Government of Cotabato BIDS AND AWARDS COMMITTEE Cotabato City INVITATION TO BID FOR THE Purchase of Office Supplies 1.         The City Government of Cotabato, through Ordinance No. 4785 series of  2020 intends to apply t</t>
  </si>
  <si>
    <t xml:space="preserve"> Republic of the Philippines Province of Davao Oriental City of Mati BIDS &amp; AWARDS COMMITTEE INVITATION TO BID LOT Procurement of GROCERY GOODS in Support to Individuals Under the Enhanced Community Quarantine due to COVID-19 per Presidential Proclamation </t>
  </si>
  <si>
    <t xml:space="preserve"> 3 Units Digital Duplicator (RISOGRAPH MACHINE) 1.	Bids received in excess of the ABC shall be automatically rejected at bid opening. 2.	Bidders should have completed a contract similar to the Project. The description of an eligible bidder is contained in </t>
  </si>
  <si>
    <t xml:space="preserve"> * (1 unit) BASS GUITAR AMPLIFIER - 200W - HEAVY DUTY SPECS: -200 watts -12" Eminence Special Design speaker -Compact and light weight (22 pounds) ported plywood enclosure with removable grille -Overdrive circuit (controlled manually or with optional foots</t>
  </si>
  <si>
    <t xml:space="preserve"> Sub-grade Preparation (Reshaping and grading); PCCP; Hauling; Mobilization and demobilization; Project Billboard; Equipment Requirement: Grader with scarifier; Road Roller; Water Truck (1000 gal); transit micer (5 cu.m.); Concrete Vibrator; Batching Plant</t>
  </si>
  <si>
    <t xml:space="preserve"> Municipality of San Juan, Siquijor						Project Reference No.: 				 						Name of Project: Provision of Office Supplies				 						Location of Project:Mayor's Office (PNP)				 Standard Form Number: SF-GOOD-60										 Revised on: May 24, 2004										 St</t>
  </si>
  <si>
    <t xml:space="preserve"> Republic of the Philippines Province of Palawan Municipality of Dumaran BIDS AND AWARDS COMMITTEE dum_bacsecretariat@yahoo.com REQUEST FOR QUOTATION (SUPPLY AND DELIVERY OF DIESEL FOR DEPS BULIGAY) _______________________ _______________________ _________</t>
  </si>
  <si>
    <t xml:space="preserve"> REFER TO ATTACHED ITB NO. 013 0F 2020</t>
  </si>
  <si>
    <t xml:space="preserve"> 4 units CP 1660 Handheld Radio (UHF)</t>
  </si>
  <si>
    <t xml:space="preserve"> RFQ-GS-20200713-05 Interested Suppliers are invited to submit Price Quotation for the above listed item. The official LANDBANK Request for Quotation Form may be obtained from MS. KIM STO. TOMAS (tel no. 8 5512200 LOCALS 2452 TO 2453; email address: kimjoy</t>
  </si>
  <si>
    <t xml:space="preserve"> 8	pcs	2 MP camera w/ metal casing 1	pc	 Channel DVR 1	pc	HDD 2TB 1	pc	Black screw 400	pcs	Siamese wire cable 16	pcs	DVR connection 120	pcs	UPCV 0.25mm 8	pcs	Junction box 2	pcs	Pullbox 60	pcs	UPVC short elbow 3	pcs	Tie wire 2	pcs	Electric tape 1	pc	24” tel</t>
  </si>
  <si>
    <t xml:space="preserve"> Office Partation with Sliding Door		 14 1/2 Feet x 11 Feet	1	Pc 16 Feet x 11 Feet	1	Pc 20 Feet x 11 Feet	1	Pc 11 Feet x 11 Feet	1	Pc Silver Tint 		 Presidential Area	1	Lot Director's Area	        1	Lot Fix Round Window	1	Lot</t>
  </si>
  <si>
    <t xml:space="preserve"> Kindly see attached documents</t>
  </si>
  <si>
    <t xml:space="preserve"> Name of the Procuring Entity:					Project Reference Number: ITB # 2020-05-019 Municipality of Lantapan					Name of the Project:  Standard Form Number: SF-GOOD-60					Provision for Food Assistance to Solo Parents, 					Indigent Women, Senior Citizens &amp; PWD</t>
  </si>
  <si>
    <t xml:space="preserve"> Billboard; Structure Excavation; Grouted Riprap; Structural Concrete; equipment requirement: Dumptruck; 8 w.d.</t>
  </si>
  <si>
    <t xml:space="preserve"> Republic of the Philippines Province of Palawan Municipality of Dumaran BIDS AND AWARDS COMMITTEE dum_bacsecretariat@yahoo.com REQUEST FOR QUOTATION (SUPPLY AND DELIVERY OF DIESEL FOR HEAVY EQUIPMENT USE IN ROAD REHABILITATION- ISLAND) ___________________</t>
  </si>
  <si>
    <t xml:space="preserve"> Supplies for Preventive Kits for Persons with Disability of Panabo City</t>
  </si>
  <si>
    <t xml:space="preserve"> Various Construction Supplies and Materials Office of the Mayor</t>
  </si>
  <si>
    <t xml:space="preserve"> Pre-disaster equipment and supplies</t>
  </si>
  <si>
    <t xml:space="preserve"> 30pcs Re-Inforced Concrete Pipe (RCP) 24" Office of the Mayor</t>
  </si>
  <si>
    <t xml:space="preserve"> The City Government of Santiago invites interested parties to submit price quotation for the “SUPPLY AND DELIVERY OF GRASS CUTTER FOR GRASS CUTTING OF CLEAN AND GREEN SECTION“ City Hall, Santiago City, details as follows: ABC: Php  118,000.00 Contract Dur</t>
  </si>
  <si>
    <t xml:space="preserve"> Portable Weigh-In-Motion (WIM) Axle Weigher Set</t>
  </si>
  <si>
    <t xml:space="preserve"> meals</t>
  </si>
  <si>
    <t xml:space="preserve"> AUTHORITY OF THE FREEPORT AREA OF BATAAN					 MARIVELES, BATAAN					 Telefax 047-9354004 loc. 8116 or (02) 236-5010					 					 REQUEST FOR QUOTATION (RFQ)					 _________________________________________________                                              </t>
  </si>
  <si>
    <t xml:space="preserve"> 1.  CABINET with analogue frame &amp; glass cover, 9'x5'x17"      5 unit</t>
  </si>
  <si>
    <t xml:space="preserve"> QUANTITY	UNIT	       ITEM	DESCRIPTION 1,547	pieces	190	Learning Modules for Grade 1 1,889	pieces	104	Learning Modules for Grade 2 1,738	pieces	294	Learning Modules for Grade 3 1,683	pieces	176	Learning Modules for Grade 5 1,786	pieces	110	Learning Modules</t>
  </si>
  <si>
    <t xml:space="preserve"> various vehicle parts and accessories</t>
  </si>
  <si>
    <t xml:space="preserve"> August 14, 2020 - Eligibility check, issuance of bidding documents. August 14, 2020 - 9:00 AM -  Pre-bid conference at the Office of the BAC Chairman. August 26, 2020 – 9:00 AM – Submission/Opening of bids at the Office of the BAC Chairman – Mun. Hall Tag</t>
  </si>
  <si>
    <t xml:space="preserve"> Please refer to the indicated items listed in Line Item</t>
  </si>
  <si>
    <t xml:space="preserve"> 10	Un	Biometric Machines face ID Recognition  		Processor 1 GHz-High Speed Digital Authentication Method Face Card, 		Pin, Combinations Possible 		Display 3.5 inch TFT Colour Screen 		User Capacity 2000 to 15000 face users, 10,000 non-face users,  		Commu</t>
  </si>
  <si>
    <t xml:space="preserve"> Tent - canvass, 18mtrs x 20mtrs, with municipal logo and name</t>
  </si>
  <si>
    <t xml:space="preserve"> Republic of the Philippines Province of Palawan Municipality of Dumaran BIDS AND AWARDS COMMITTEE dum_bacsecretariat@yahoo.com REQUEST FOR QUOTATION (SUPPLY AND DELIVERY OF DIESEL FOR HEAVY EQUIPMENT USE IN ROAD REHABILITATION- MAINLAND) _________________</t>
  </si>
  <si>
    <t xml:space="preserve"> 200	ream	PAPER, MULTI-PURPOSE, 70gsm., size: 216mm x 330mm (Legal) 50	ream	PAPER, MULTI-PURPOSE, 70gsm., size: 210mm x 297mm (A4) 65	box	MARKER, PERMANENT, broad, black, 12's 2	box	ENVELOPE , DOCUMENTARY, for legal size document, 500 pieces per box 10	box</t>
  </si>
  <si>
    <t xml:space="preserve"> PRICE QUOTATION OF OFFICE SUPPLY AND EQUIPMENT</t>
  </si>
  <si>
    <t xml:space="preserve"> MEALS AND ACCOMMODATION RE: QMS MANAGEMENT REVIEW (POST SURVEILLANCE AUDIT MEETING) ON AUGUST 18-19, 2020</t>
  </si>
  <si>
    <t xml:space="preserve"> Procurement of 1 Lot Computers, etc. 1 Unit Desktop Computer 1 Unit Continuous Printer with ADF 1 Unit All-in-One Computer Desktop 1 Unit All-in-One Computer Desktop</t>
  </si>
  <si>
    <t xml:space="preserve"> Item No.	Unit	Description	Qty 1	ea	Eyewear Ballistic Polaroid	50 2	sets	Earmuff	50 3	pcs	Bull Cap	50 4	pcs	Personalized Shooting Shirt	50 5	pcs	Target Figures Tarpaulin 4 Kinds	100 6	pcs	Stapler Heavy Duty	10 7	box	Staple Wire	10 8	cans	Spray Paint (White</t>
  </si>
  <si>
    <t xml:space="preserve"> Improvement and Construction of Box Culvert</t>
  </si>
  <si>
    <t xml:space="preserve"> 180 PAX MEALS AND SNACKS FOR 3 DAYS</t>
  </si>
  <si>
    <t xml:space="preserve"> The City Government of Santiago invites interested parties to submit price quotation for the “SUPPLY AND DELIVERY OF CONSTRUCTION MATERIALS AND SUPPLIES FOR IMPROVEMENT OF ITC BUILDING“ City Hall, Santiago City, details as follows: ABC: Php  525,403.20 Co</t>
  </si>
  <si>
    <t xml:space="preserve"> 7,000.00 LITERS OF GASOLINE (UNLEADED) Terms Applicable to this Purchase Order;		 																																											 1.) DPWH Surigao del Sur DEO I, Tandag City has no storage for Gasoline, it will be responsibilities of the supplier to store the</t>
  </si>
  <si>
    <t xml:space="preserve"> CONCRETE WORKS MATERIALS AND LABOR</t>
  </si>
  <si>
    <t xml:space="preserve"> Republic of the Philippines Province of zamboanga Sibugay Municipality of Olutanga 7014 AUGUST 8,2020 NOTICE TO THE PUBLIC INVITIATION TO APPLY FOR ELIGIBILITY AND TO BID All interested bidders are invited to Pre-qualify and participate in sealed bidding </t>
  </si>
  <si>
    <t xml:space="preserve"> Complete Construction of Four (4) Storey Eight (8) Classroom School Building with Roofdeck</t>
  </si>
  <si>
    <t xml:space="preserve"> Republic of the Philippines Province of Quezon Municipality of Atimonan INVITATION FOR ELIGIBILITY AND TO BID 	The Local Government Unit of Atimonan thru the Bids and Awards Committee (BAC) invites interested suppliers/contractors to apply for eligibility</t>
  </si>
  <si>
    <t xml:space="preserve"> Procurement of Tablet (Android) for MDRRMC Matalom, Leyte.  INVITATION TO BID The Local Government Unit of Matalom through its Bids and Awards Committee (BAC), invites suppliers/manufacturers/distributors/contractors to bid for the hereunder project: Name</t>
  </si>
  <si>
    <t xml:space="preserve"> REQUEST FOR QUOTATION Supply and Delivery of Office Supplies and Consumables for Research and Development Office in MinSCAT Main Campus The Mindoro State College of Agriculture and Technology (MinSCAT) through the Bids and Awards Committee invites interes</t>
  </si>
  <si>
    <t xml:space="preserve"> Office Supplies Expense</t>
  </si>
  <si>
    <t xml:space="preserve"> Republic of Philippines								 City of Canlaon								 OFFICE OF THE BIDS AND AWARDS COMMITTEE								 REQUEST FOR SEALED QUOTATION								 								 				Date:	6-Aug-20			 				Quotation No.:	2020-08-206			 				PR No.:	2020-08-206			 				Department:	CMO			</t>
  </si>
  <si>
    <t xml:space="preserve"> Supply and Delivery of Office Equipment of SDSSU Cantilan Campus Please see Request for Quotation (RFQ)</t>
  </si>
  <si>
    <t xml:space="preserve"> August 17 - 22, 2020 Alfonso Lista, Ifugao Meals and Snacks  - Snacks (AM and PM)  - Lunch (2 main dish, 1 side dish and dessert)  - Overflowing coffee for the whole duration of the training</t>
  </si>
  <si>
    <t xml:space="preserve"> Purchase and Installation of Airconditioner</t>
  </si>
  <si>
    <t xml:space="preserve"> INVITATION TO BID Date: August 07, 2020 1.	The Provincial Government of Davao del Sur, through its Bids and Awards Committee (BAC), invites all potential bidders/suppliers to apply to bid for the following goods. Bids received in excess of the ABC shall b</t>
  </si>
  <si>
    <t xml:space="preserve"> Rehabilitation/Upgrading and Drainage Improvement</t>
  </si>
  <si>
    <t xml:space="preserve"> PLEASE QUOTE: PER LOT										 VAN RENTAL (SHUTTLE SERVICE)							"SUPPLIER/CONTRACTOR/  CONSULTANT’S PROPOSAL BOX "			 										 No.	"ITEM DESCRIPTION  (ITEM NAME &amp; TECHNICAL SPECIFICATIONS)"	QTY.	UNIT	UNIT COST	APPROVED BUDGET OF CONTRACT (ABC)		"FINA</t>
  </si>
  <si>
    <t xml:space="preserve"> Request for Quotation  Item No.	Quantity	Unit of Issue	Item Description 1	42	Sets	       Coverall Suits – Large and X-Large Size (washable, water repellent, reusable, poly microfiber) 2	10	Boxes	Surgical Face Mask (3 ply; 50 pcs/box) 3	60	Pieces	N95 Mask </t>
  </si>
  <si>
    <t xml:space="preserve"> The City Government of Santiago invites interested parties to submit price quotation for the “SUPPLY AND DELIVERY OF VARIOUS MATERIALS &amp; DEVICE FOR COMMUNITY LOADING AND UNLOADING AREA AT SINSAYON MOTORIST ASSISTANCE BOOTH“ City Hall, Santiago City, detai</t>
  </si>
  <si>
    <t xml:space="preserve"> Complete Construction of Four (4) Storey Eight (8) Classroom School Building</t>
  </si>
  <si>
    <t xml:space="preserve"> Municipality of San Juan, Siquijor						Project Reference No.: 				 						Name of Project: Mobile Patrolling and Responding 				 						Alarm and Traffic Accident				 						Location of Project:Mayor's Office, San Juan, Siquijor				 Standard Form Number: SF</t>
  </si>
  <si>
    <t xml:space="preserve"> Request for Quotation											 											 									Date :		08/07/2020 									Quotation No.		2020-055 											    To all Eligible Suppliers:											 											 I.	Please quote your lowest price inclusive of VAT on the item/s listed below, subje</t>
  </si>
  <si>
    <t xml:space="preserve"> 150 "Sheet(s)" "Marine Plywood, 1/4"" thick -" "" 500 "Piece(s)" "Good Lumber, S4S 2""x2""x12' -" "" 400 "Piece(s)" "Good Lumber, S4S 2""x2""x10' -" "" 5 "kls." "Concrete Nail, 3"" -" "" 3 "kls." "Concrete Nail, 2"" -" "" 20 "kgs." "CWN, 3"" -" "" 25 "kgs</t>
  </si>
  <si>
    <t xml:space="preserve"> The Local Government Unit of Bula is inviting interested PhilGEPS accredited contractors/ suppliers to apply for eligibility and to submit complete bid for the SUPPLY AND DELIVERY OF MEDICINES AND MEDICAL SUPPLIES under the General Fund CY 2020 with an AB</t>
  </si>
  <si>
    <t xml:space="preserve"> Pag-IBIG FUND Tuguegarao Branch Office Editha Tuddao Bldg., Balzain Road, Tuguegarao City, Cagayan REQUEST FOR QUOTATION SUPPLY AND DELIVERY OF TONERS WITH FREEUSE OF ONE UNIT BRAND NEW 3-IN-1 MONOCHROME PRINTER FOR Pag-IBIG FUND, TUGUEGARAO HUB   The Pag</t>
  </si>
  <si>
    <t xml:space="preserve"> Procurement and Delivery of Construction Supplies and Materials for the Improvement of Baywalk Location: Baywalk Barangay 6 Poblacion, Balingasag, Misamis Oriental</t>
  </si>
  <si>
    <t xml:space="preserve"> see attached associated component documents</t>
  </si>
  <si>
    <t xml:space="preserve"> REQUEST FOR QUOTATION The Local Government Unit of General Santos City thru its Bids and Awards Committee invites interested suppliers for (2FB)N20-08-075 PURCHASE OF GRASS CUTTER AND MOWER amounting to P 56,000.00.  Please visit or call Bids and Awards C</t>
  </si>
  <si>
    <t xml:space="preserve"> 1 unit Digital Black and White Multi-Function Printer/Copier/Scanner MP-2014</t>
  </si>
  <si>
    <t xml:space="preserve"> REQUEST FOR QUOTATION The Local Government Unit of General Santos City thru its Bids and Awards Committee invites interested suppliers for (2FB)N20-08-076 PURCHASE OF CAMERA FOR CITY ASSESSOR amounting to P 280,500.00.  Please visit or call Bids and Award</t>
  </si>
  <si>
    <t xml:space="preserve"> Request for Quotation Item No.	Quantity	Unit of Issue	Item Description 1	100	Pieces	PPR Pipe ½ “ø x 4.00m 2	40	Pieces	PPR Pipe ¾ “ø x 4.00m 3	10	Pieces	PPR Pipe 1”ø x 4.00m 4	50	Pieces	PPR Plain Elbow ½ “ø 5	50	Pieces	PPR Plain Coupling ½ “ø 6	20	Pieces	P</t>
  </si>
  <si>
    <t xml:space="preserve"> To support the procurement of 16 rolls bubble wrap 50cmx5m and 20 other L/I for the maintenance of T-41BDK Aircraft and SF-260FHfor the use of 440th AMG, AETDC, FAB, Lipa City, Batangas.</t>
  </si>
  <si>
    <t xml:space="preserve"> Construction of Multi-Purpose Building</t>
  </si>
  <si>
    <t xml:space="preserve"> 1	unit	sony LED TV 32" 1	unit	MHC-V21D 1	unit	microphone</t>
  </si>
  <si>
    <t xml:space="preserve"> The Barangay Government of Ulango, Tanauan City through the Bids and Awards Committee(BAC) invites Suppliers/Contractors to apply for the eligibility and if subsequently found eligible to bid for the supply of materials for the project described here unde</t>
  </si>
  <si>
    <t xml:space="preserve"> CONSTRUCTION MATERIALS ABC:  P99,960.00 Item                                                                          Qty        Unit Cost        Total Cost Door Knob                                                                 18pcs     P520.00       </t>
  </si>
  <si>
    <t xml:space="preserve"> Republic of the Philippines Province of Bohol Municipality of Tubigon BIDS AND AWARDS COMMITTEE Tel/Fax. No. (038) 508-8059 REQUEST FOR QUOTATION For Small Value Procurement under Sec. 53.9 of the Revised IRR of R.A. 9184 Quotation No: 2020-08-315 P. R. N</t>
  </si>
  <si>
    <t xml:space="preserve"> The Central Bicol State University of Agriculture (CBSUA) announces that the aforesaid project will be procured through the Alternative Mode of Negotiated Procurement specified in Section 53.9 (Small Value Procurement) of the 2016 Revised Implementing Rul</t>
  </si>
  <si>
    <t xml:space="preserve"> for installation of Jetmatic for Barangay BOLO 3 units concrete culvert 36" 1 units Jetmatic 3 bags Cement 3 pcs 10mm iron bars</t>
  </si>
  <si>
    <t xml:space="preserve"> PROCUREMENT TERMS AND CONDITIONS						 						 1. The Total Approved Budget for the Contract (ABC) is SIXTY FIVE THOUSAND SEVEN HUNDRED PESOS ONLY. (65,700.00)						 2. Price Quotation should be inclusive of tax obligation.						 3. Evaluation of bids will</t>
  </si>
  <si>
    <t xml:space="preserve"> 1 UNIT LAPTOP - . - Intel core i5-825OU processor - 4gb DDR4 memory, ITB HDD - INVIDIA geforce mx310 with 2 GB VRAM - 15.6HD view LCD , windows 10 - with accessories (bag, mouse and mouse pad)</t>
  </si>
  <si>
    <t xml:space="preserve"> QTY  UNIT  DESCRIPTION EXCAVATION WORKS (189 CU.M.) 1.00 lot Laborworks-Lumpsum CP OCM VAT FILLING BOULDERS (116 CU.M.) A. MATERIALS 116.00 cu.m. Boulders  200.00 bd.ft. Forms Lumber 5.00 kgs. Assorted CWN B. LABOR 1.00 lot Laborworks-Lumpsum CP OCM VAT C</t>
  </si>
  <si>
    <t xml:space="preserve"> Procurement of Supplies and Materials for Fabrication of Water craft (Pumpboat) at Local Government Unit of Matalom, Leyte.                                            INVITATION TO BID The Local Government Unit of Matalom through its Bids and Awards Commi</t>
  </si>
  <si>
    <t xml:space="preserve"> INVITATION TO BID Sealed proposal in ink typewritten one (1) copy will be received fro bonafide contractors on August 17, 2020 at 11:00 AM at Barangay Hall, Barangay Abar 1st, this city on which date, time and place the bid will publicly opened in the pre</t>
  </si>
  <si>
    <t xml:space="preserve"> 1 SET/S DESKTOP COMPUTER - WITH COMPLETE ACCESSORIES - 21 inches monitor - intel core i5, 2.5 ghz or higher processor speed - Nvidia GeForce - 4GB DDR5 - 1 tb - with free speaker and ups</t>
  </si>
  <si>
    <t xml:space="preserve"> REQUEST FOR QUOTATION 	 The Local Government Unit of General Santos City thru its Bids and Awards Committee invites interested suppliers for (2FB)N20-08-077 PURCHASE OF OFFICE EQUIPMENTS amounting to P 286,580.00.  Please visit or call Bids and Awards Com</t>
  </si>
  <si>
    <t xml:space="preserve"> Please quote your best price 667 pcs of Lapel Waistband Portable Amplifier Speaker ABC: 800,400.00 Specifications: (Please see attached prototype) Please email your quotation Please download canvass form</t>
  </si>
  <si>
    <t xml:space="preserve"> REFER TO ATTACHED RQ NO. 2020.02.385</t>
  </si>
  <si>
    <t xml:space="preserve"> The Coron School of Fisheries, request for Price Quotation for the supply and delivery of Office supplies intended for the printing of learning modules to be used for SY 2020-2021.</t>
  </si>
  <si>
    <t xml:space="preserve"> INVITATION TO BID FOR PROCUREMENT OF MATERIALS FOR IMPROVEMENT OF PATHWAY 1.	The [ Barangay Local Government Unit of San Antonio, Pasacao, Camarines Sur], through the [Barangay Development Fund CY 2020] intends to apply the sum of [Ninety Nine Thousand Fo</t>
  </si>
  <si>
    <t xml:space="preserve"> AS PER APPROVED PROGRAM</t>
  </si>
  <si>
    <t xml:space="preserve"> To support the 3rd and 4th Quarter CY-2020 Aircraft Maintenance Operating Support (AMOS) for the use of 440th AMG, AETDC, FAB, Lipa City, Batnagas.</t>
  </si>
  <si>
    <t xml:space="preserve"> Republic of the Philippines                                                   													 DEPARTMENT OF PUBLIC WORKS AND HIGHWAYS													 ZAMBOANGA DEL NORTE													 1ST DISTRICT ENGINEERING OFFICE													 REGIONAL OFFICE IX													 </t>
  </si>
  <si>
    <t xml:space="preserve"> The Bids and Awards Committee (BAC) of the Department of Public Works and Highways (DPWH), Ilocos Sur 1st District Engineering Office, Bantay, Ilocos Sur will conduct SMALL VALUE PROCUREMENT in accordance with Section 53.9 of the Revised Implementing Rule</t>
  </si>
  <si>
    <t xml:space="preserve"> Please quote your best price 4,000 pcs of BIDA Tricycle Streamer ABC: 480,000.00 Specifications: (Please see attached prototype) Please email your quotation Please download canvass form</t>
  </si>
  <si>
    <t xml:space="preserve"> 1 unit laptop core i5 3 unit laptop core i3 1 unit desktop core i5</t>
  </si>
  <si>
    <t xml:space="preserve"> Brand Approved Budget Contract per Item Name and Description of the Article / sUnitQTY.ITEM NO. P.R. No. :City Environment and Natural Resources Office 2020-01-1168 Date: 01/17/2020 Date: 28,000.00Rubber Boots, pairpiece501 36,000.00ALCOHOL, 70%, ethyl, 2</t>
  </si>
  <si>
    <t xml:space="preserve"> To be served during the project proposal preparation for FCA beneficiaries of the Enhanced KADIWA NI ANI AT KITA Financial Assistance Grant on August 26-28, 2020 (tentative) in Nueva Vizcaya</t>
  </si>
  <si>
    <t xml:space="preserve"> REQUEST FOR QUOTATION/PROPOSAL _______________________							Date:_____________________         Name of Company								RFQ No.:__________________ _______________________							PR No.:___________________ Complete Company Address							PHILGEPS Ref No.:____</t>
  </si>
  <si>
    <t xml:space="preserve"> 20	reams Book paper S20 short 20	reams Book paper S20 long 12	reams Bond paper S16 short 36	reams Bond paper S16 long 3	boxes Carbon paper, blue, long 6	pcs	Computer ink - Brother LC663 black 3	pcs	Computer ink - Brother LC 663 yellow 3	pcs	Computer ink -</t>
  </si>
  <si>
    <t xml:space="preserve"> 51 LI</t>
  </si>
  <si>
    <t xml:space="preserve"> Please quote your best price 20,000 pcs of BIDA Floor Decals ABC: 500,000.00 Specifications: (Please see attached prototype) Please email your quotation Please download canvass form</t>
  </si>
  <si>
    <t xml:space="preserve"> ITEM NO	QTY.	UNIT	DESCRIPTION/SPECIFICATION		 				UNIT COST	TOTAL 1	4	UNIT	PRINTER EPSON L 3110 W/ COMPLETE ACCESSORIES	 8,325.00 	 33,300.00  2	8	EACH	FLASH DRIVE 16 GB	 375.00 	 3,000.00  3	2	UNITS	MOUSE OPTIAL, USB CORRECTION TYPE	 332.00 	 664.00  4	2</t>
  </si>
  <si>
    <t xml:space="preserve"> 1. FABRICATION WORKS</t>
  </si>
  <si>
    <t xml:space="preserve"> REQUEST FOR QUOTATION For Negotiated Procurement thru Small Value Procurement under Sec. 53.9 of the 2016 Revised IRR of RA 9184 Quotation No.:  2020-08-277 Date: August 7, 2020 PR No.: 20-07-293 PR Date: July 28, 2020 The Metropolitan Tuguegarao Water Di</t>
  </si>
  <si>
    <t xml:space="preserve"> The City Government of San Pedro, Laguna invites interested parties to quote for the following item/s as per request Sangguniang Panlungsod: Qty.	Unit of Issue	Item Description 		 55	Reams	Bond Paper (Long) - 500pcs/ reams 55	Reams	Bond Paper (Short) - 50</t>
  </si>
  <si>
    <t xml:space="preserve"> BIDDING DOCUMENTS PRICE Php 500.00 1. Posting of Philgeps - August 8, 2020 2. Issuance of Bid Docs-Aug 10, 2020 to August 28, 2020  3. Deadline of Submission of bid/proposal-August 28, 2020 not later than 1:00 PM at the Cabungan barangay hall. 4. Opening </t>
  </si>
  <si>
    <t xml:space="preserve"> Invitation to Bid for the Procurement of Two (2) Units Dump Truck for the Use of the Municipality, Tagudin, Ilocos Sur 1.	The Local Government Unit of Tagudin, Ilocos Sur, thru its Bids and Awards Committee intends to apply the sum of Two Million Four Hun</t>
  </si>
  <si>
    <t xml:space="preserve"> EOS 6D Mark II	1 	pc EF 70-200mm F/2.8 USM	1 	pc RF 24-70mm F/2.8 USM	 1 	pc Tamron 70-300mm	 1 	pc</t>
  </si>
  <si>
    <t xml:space="preserve"> Repair &amp; Maintenance of Buildings</t>
  </si>
  <si>
    <t xml:space="preserve"> Requested by: R G. Bundac/Office of the Building Official</t>
  </si>
  <si>
    <t xml:space="preserve"> SectionI. Invitation to Bid Republic of the Philippines Province of Misamis Occidental MUNICIPALITY OF PANAON Invitation to Bid for CONSTRUCTION OF MULTI-PURPOSE BUILDING AT MUNICIPAL DEMO FARM IN BRGY. BAGA 									August 7, 2020 1.	The Municipality of </t>
  </si>
  <si>
    <t xml:space="preserve"> Republic of the Philippines DEPARTMENT OF EDUCATION Region III – Central Luzon SCHOOLS DIVISION OF CITY OF MEYCAUAYAN City of Meycauayan Invitation to Bid for  REPRODUCTION OF GRADE 4 MODULES FOR ALTERNATIVE DELIVERY MODE Project No. 2020-001-G 1.	The Dep</t>
  </si>
  <si>
    <t xml:space="preserve"> Width       - 3.0 m Thickness - 0.10 m Length    - 90 m</t>
  </si>
  <si>
    <t xml:space="preserve"> We would like to request for you quotation on the following details: Program Title:  Bangsamoro Sports Commission Online Coaching Seminar (Bangsamoro Online Coaching Program) Number of Participants:  Twenty-Five (25) No. of Hours Required: Forty (40) hour</t>
  </si>
  <si>
    <t xml:space="preserve"> Date: August 7, 2020 End User: DA Opening of RFQ: August 11, 2020 @ 10:00 A.M. Venue: BAC Office Ground Floor Municipal Hall, Dolores, Eastern Samar 80 mtr. Cyclone Wire 5 kls. CWN 3” 5 kls. CWN 4” 164 bd.ft. 2”X2”X12’ Good Lumber 168 bd. ft. 2”X3”X12’ Go</t>
  </si>
  <si>
    <t xml:space="preserve"> Municipality of San Juan, Siquijor						Project Reference No.: 				 						Name of Project: Trust Fund				 						Location of Project:San Juan, Siquijor				 Standard Form Number: SF-GOOD-60										 Revised on: May 24, 2004										 Standard Form Title: R</t>
  </si>
  <si>
    <t xml:space="preserve"> Rehabilitation of Road including Drainage</t>
  </si>
  <si>
    <t xml:space="preserve"> To support the procurement of 30 can Florescent Dye Penetrant and 16 other L/I for use of SF-260FH and T-41BDK Aircraft for use of 440th AMG, AETDC, FAB, Lipa City, Batangas.</t>
  </si>
  <si>
    <t xml:space="preserve"> PURCHASE REQUEST  Municipality of Buenavista  LGU  Department: LGU-BUENAVISTA Section: RHU PR: Date:  SA1 No.  Qty. 		Unit	Item Description 	Estimated Unit cost 	Estimated Total cost  3	units	i3 LAPTOP WINDOWS 4GB DDR 4 MEMORY 1 ITB HDD 14 INC DISPLAY MON</t>
  </si>
  <si>
    <t xml:space="preserve"> 2 sets of Ambulance Led Siren and PA System (with Installation)</t>
  </si>
  <si>
    <t xml:space="preserve"> see attached purchase request</t>
  </si>
  <si>
    <t xml:space="preserve"> REQUEST FOR QUOTATION 	 The Local Government Unit of General Santos City thru its Bids and Awards Committee invites interested suppliers for (2FB)N20-08-079 CATERING SERVICES amounting to P 94,040.00.  Please visit or call Bids and Awards Committee office</t>
  </si>
  <si>
    <t xml:space="preserve"> REQUEST FOR QUOTATION 	 The Local Government Unit of General Santos City thru its Bids and Awards Committee invites interested suppliers for (2FB)N20-08-078 PURCHASE OF MEDICAL SUPPLIES FOR CITY AGRI amounting to P 570,080.40.  Please visit or call Bids a</t>
  </si>
  <si>
    <t xml:space="preserve"> 10	reams book paper - long, S20 20	reams book paper - short, S20 5	reams book paper - A4, S20 2	reams book paper - A3, S20 50	pcs	Expanded brown envelope - long 50	pcs	Folder, long 4	bottles Computer ink - #003, black 1	bottle  Computer ink - #003, cyan 1</t>
  </si>
  <si>
    <t xml:space="preserve"> ITEMS &amp;	          UNIT	1ST              2ND             TOTAL NUMBER  SPECIFICATIONS	   4 WEEKS         4 WEEKS          OF COPIES 	 GRADE 1	          CPS      103,242 	 108,403	       211,645 GRADE 2	          CPS      160,930	 168,977	       329,907 GRA</t>
  </si>
  <si>
    <t xml:space="preserve"> ITEM	ITEM  DESCRIPTION	QTY	UNIT NO.			 1	LAPTOP COMPUTER	1    	set 	Specifications:		 	Processor: Intel Core i5-10210U 1.60 GHz Processor		 	                    (6M Cache, up to 4.20 GHz)		 	Memory:     8Gb DDR4		 	Storage:     256GB (Pcle NVMe/M.2)		 	Di</t>
  </si>
  <si>
    <t xml:space="preserve"> PURCHASE OF SUPPLIES &amp; MATERIALS FOR SMAW NC II PROGRAM</t>
  </si>
  <si>
    <t xml:space="preserve"> Republic of the Philippines Province of Quezon Municipality of Atimonan Barangay Lakip Project Reference No:  2020- Name of the Project: Purchase of SB Uniform Location of the Project: Barangay Lakip  Atimonan, Quezon REQUEST FOR QUOTATION-SHOPPING (Sec. </t>
  </si>
  <si>
    <t xml:space="preserve"> Parts and labor for the repair of Garbage Truck</t>
  </si>
  <si>
    <t xml:space="preserve"> various repair and maintenance of vehicle</t>
  </si>
  <si>
    <t xml:space="preserve"> 1.	The Municipal Government of Burgos, Ilocos Norte, through the General Fund intends to apply the sum of PhP 96,980.00 being the Approved Budget for the Contract (ABC) to payments under the contract for the Repair and Maintenance of Patrol Cars. Quotatio</t>
  </si>
  <si>
    <t xml:space="preserve"> SEE ATTACHED DOCUMENT.</t>
  </si>
  <si>
    <t xml:space="preserve"> The AGRICULTURAL TRAINING INSTITUTE-REGIONAL TRAINING CENTER (ATI-RTC) X, through the 2020 General Appropriations Act intends to apply the sum of Two Hundred Seven Thousand Six Hundred Pesos (P 207,600.00) being the Approved Budget for the Contract (ABC) </t>
  </si>
  <si>
    <t xml:space="preserve"> Supply, Delivery and Installation of Plastic Protective Sheets on 25mm Aluminum Square Tube Framing for the frontliners at the following LANDBANK Branches/Units: LANDBANK SINDANGAN BRANCH P32,167.00 LANDBANK DAPITAN BRANCH  P41,660.00 Please see attached </t>
  </si>
  <si>
    <t xml:space="preserve"> ITEM NO	QTY.	UNIT	DESCRIPTION/SPECIFICATION		 				UNIT COST	TOTAL 1	10	BOTTLES	EPSON REFILL INK 003 BLACK	 296.00 	 2,960.00  2	10	BOTTLES	EPSON REFILL INK 003 YELLOW	 338.00 	 3,380.00  3	10	BOTTLES	EPSON REFILL INK 003 MAGENTA	 338.00 	 3,380.00  4	10	B</t>
  </si>
  <si>
    <t xml:space="preserve"> INVITATION TO BID The Local Government Unit of Matalom through its Bids and Awards Committee (BAC), invites suppliers/manufacturers/distributors/contractors to bid for the hereunder project: Name of Project: Procurement of JEV Recording System Location		:</t>
  </si>
  <si>
    <t xml:space="preserve"> 3,500 pcs. of Expanding Plastic  Long Envelope  (Legal/Long Size, at least Plastic Gauge 8, Transparent Clear)</t>
  </si>
  <si>
    <t xml:space="preserve"> REQUEST FOR QUOTATION 	 The Local Government Unit of General Santos City thru its Bids and Awards Committee invites interested suppliers for (2FB)N20-08-080 PURCHASE OF DIESEL AND GASOLINE amounting to  P 240,215.00.  Please visit or call Bids and Awards </t>
  </si>
  <si>
    <t xml:space="preserve"> 30	pieces   Earbuds, wireless (in various colors):	                     Design: Stem based design		                     With Microphone: Yes		                     Connectors: Type C		                     Bluetooth Version: Bluetooth 5.0		                 </t>
  </si>
  <si>
    <t xml:space="preserve"> Invitation to Bid for the Contract Package for the Construction of Lubnac Diversion Dam, Barangay Lubnac, Tagudin, Ilocos Sur 1.	The Local Government Unit of Tagudin, Ilocos Sur, thru its Bids and Awards Committee intends to apply the sum of Five Million </t>
  </si>
  <si>
    <t xml:space="preserve"> 1. 3,000 ltrs Diesel Fuel Note: the price/s quoted by the supplier shall be valid for a period of seven (7) calendar days from the date of the quotation, and the item/s shall be delivered to the procuring entity regardless of an increase or decrease in th</t>
  </si>
  <si>
    <t xml:space="preserve"> SUPPLY AND DELIVERY OF GARDEN SUPER DRYNET TO BE DISTRIBUTED TO THE DIFFERENT BARANGAYS FOR ESTABLISHMENT OF BARANGAY NURSERIES (CAO)</t>
  </si>
  <si>
    <t xml:space="preserve"> Gasoline Diesel</t>
  </si>
  <si>
    <t xml:space="preserve"> The DPWH – Bulacan First District Engineering Office, through its Bids and Awards Committee (BAC), invites contractors to submit bids for the following Contract: Contract ID: 20CC0214 Contract Name: Construction of Bridge, Brgy. Bonga Menor Contract Locat</t>
  </si>
  <si>
    <t xml:space="preserve"> 1 pc    Electric Fan</t>
  </si>
  <si>
    <t xml:space="preserve"> Supply and Delivery of Sporting Goods 05D DEFTAC H14-2020 Kindly see attached file. Thank you!</t>
  </si>
  <si>
    <t xml:space="preserve"> Construction of Bullcart Crossing, Sta 48+498, SHC of Addalam RIS</t>
  </si>
  <si>
    <t xml:space="preserve"> Republic of the Philippines          City of Dumaguete Bids and Awards Committee INVITATION TO BID FOR PURCHASE REQUEST OF 47 BAGS HOG GROWER PELLETS 50 KGS CAP AND OTHER ITEMS 	The City of Dumaguete thru its BIDS AND AWARDS COMMITTEE (BAC), invites all i</t>
  </si>
  <si>
    <t xml:space="preserve"> Please quote your best price 3 pcs of Provision for Microsoft Office 365 Home  ABC: 22,500.00 Specifications: 5 users, with fully installed premium versions of word, excel, powerpoint, Onenote and Outlook with exclusive, new features every month and with </t>
  </si>
  <si>
    <t xml:space="preserve"> Republic of the Philippines          City of Dumaguete Bids and Awards Committee INVITATION TO BID FOR PURCHASE REQUEST OF 15 PCS STEEL CABINET 4 DRAWERS 	The City of Dumaguete thru its BIDS AND AWARDS COMMITTEE (BAC), invites all interested manufacturers</t>
  </si>
  <si>
    <t xml:space="preserve"> Republic of the Philippines Province of Palawan Municipality of Dumaran BIDS AND AWARDS COMMITTEE dum_bacsecretariat@yahoo.com REQUEST FOR QUOTATION (SUPPLY AND DELIVERY OF DIESEL FOR AMBULANCE USE) _______________________ _______________________ ________</t>
  </si>
  <si>
    <t xml:space="preserve"> Bond Paper A4 70gsm reams</t>
  </si>
  <si>
    <t xml:space="preserve"> epublic of the Philippines Municipality of Taytay Barangay Tumbod NOTICE TO BIDDERS 1.	CONCRETING OF 110m. FOOTBRIDGE PUROK 3,4 Item#	Description			QTY.		UNIT	 1.	Portland Cement			150		bags 2.	Tie wire				10		kgs 3.	12mm x 6.0 RSB			25		pcs 4.	10mm x 6.0</t>
  </si>
  <si>
    <t xml:space="preserve"> Republic of the Philippines					 PROVINCE OF SIQUIJOR					 BIDS &amp; AWARDS COMMITTEE					 Capitol Building, Siquijor, Siquijor					 					 Business Name:_____________________________				AD. No.: 566-08-2020	 Address:___________________________________				DAT</t>
  </si>
  <si>
    <t xml:space="preserve"> The Municipal Government of Bayog, Zamboanga del Sur thru its Bids and Awards Committee (BAC) invites all interested bidders for the “LOCAL ACCESS ROAD: UPGRADING (GRAVEL TO PAVED) OF BARANGAY LAMARE ROAD (Sta 0+960 – Sta 2+020)” Bayog, Zamboanga del Sur.</t>
  </si>
  <si>
    <t xml:space="preserve"> Requested by: I M. Flores/City DepEd</t>
  </si>
  <si>
    <t xml:space="preserve"> Supply, Delivery and Installation of Plastic Protective Sheets on 25mm Aluminum Square Tube Framing for the frontliners at the following LANDBANK Branches/Units: LANDBANK PAGADIAN BRANCH P50,629.00 LANDBANK BUUG BRANCH  P42,524.00 LANDBANK AURORA BRANCH P</t>
  </si>
  <si>
    <t xml:space="preserve"> Republic of the Philippines Municipality of Taytay Barangay Tumbod NOTICE TO BIDDERS 1.	CONSTRUCTION OF DEEP WELL Item#	Description			QTY.		UNIT	 1.	Jetmatic Water Pump		2		unit The two envelope system of procurement shall be observed, Bidding document sh</t>
  </si>
  <si>
    <t xml:space="preserve"> -Digital Copy Printer -Fully Automatic One drum Stencil System -60-90 Copies per minute ( 2 steps) -Resolution: 300x300 dpi -Original size: minimum 90 x 140mm/ maximun 275 x 395 mm -Image modes: Letter mode, photo mode, photo/letter mode -Print paper weig</t>
  </si>
  <si>
    <t xml:space="preserve"> 50 pcs               Concrete Hollow Block (4in) 5   pcs              10 mm Dia RSB 1   kl                 Tie Wire 2   cum             Sand 15 bags            Portland Cement 1   pc                Toilet Bowl 1   pc                PVC Pipe (3 in dia) 1  </t>
  </si>
  <si>
    <t xml:space="preserve"> Item No.	Unit	Description	Qty 1	Lot	Catering Servises	1 * * * * * * * * * * * * * * * * * * * * * * * * NOTHING FOLLOWS * * * * * * * * * * * * * * * * * * * * * * * *</t>
  </si>
  <si>
    <t xml:space="preserve"> Requested by: Engr. K I D. De Jesus</t>
  </si>
  <si>
    <t xml:space="preserve"> SUPPLY AND DELIVERY OF TARPAULIN RAIN GUTTERS Request form for RFQ forms will be available at GSD-Head Office @ 10th Floor Makati City Hall Bldg. 2.  Look for Mr. Reden Villanueva.</t>
  </si>
  <si>
    <t xml:space="preserve"> Instructions to External Providers: Please quote your government price, and taxes included and FOB, subject to the Terms and Conditions stated below and submit your quotation duly signed by your representative not later than eight o’clock in the morning (</t>
  </si>
  <si>
    <t xml:space="preserve"> 1 set Projector</t>
  </si>
  <si>
    <t xml:space="preserve"> Republic of the Philippines Municipality of Taytay Barangay Tumbod NOTICE TO BIDDERS 1.	CONSTRUCTION OF FLOATING HOUSE Item#	Description			QTY.		UNIT	 1.	Empty Drums (200L)		20		pcs 2.	Galvanized iron 6”long		8		pcs 3.	Umbrella nail 2”			1		kg 4.	Ordinary</t>
  </si>
  <si>
    <t xml:space="preserve"> ITEM	ITEM  DESCRIPTION	QTY	UNIT NO.			 1	LAPTOP COMPUTER	2	sets 	Intel core i3 (3M cache 2.3 GHz) 		 	4gb DDT4		 	1TB HDD		 	14" HD Led Display		 	Intel HD Graphic @		 2	LAPTOP COMPUTER	1	set 	Intel core i5		 	4gb DDR4		 	1TB HDD		 	14: wide Led Display 2</t>
  </si>
  <si>
    <t xml:space="preserve"> To support the procurement of 15 pcs Safety wire Connector and 26 other L/I fof the maintenance of T-41BDK Aircraft and SF-260FH/M Aircraft for the use of 440th AMG, AETDC, FAB, Lipa City, Batangas.</t>
  </si>
  <si>
    <t xml:space="preserve"> Good day! SAGAD HIGH SCHOOL is looking for supplier of 2000 reams of A4 bond paper, 80 gsm. The said materials are needed for the printing of Learner's Module as required by the new normal. Please submit your quotation to our school email address: sagadhs</t>
  </si>
  <si>
    <t xml:space="preserve"> Construction of Canal Lining at Main Canal Extension , Sta. 25+693.77 - 25+617.25, L=220.48m of Addalam RIS</t>
  </si>
  <si>
    <t xml:space="preserve"> 33 units Printer High yield ink bottle easy ink refilling print, copy/scan, fax with ADF with ethernet, rear paper input compact integrated tank LCD Mobile printing from smartphones and more borderless printing up to 4R Maximum copy size: Legal/Long</t>
  </si>
  <si>
    <t xml:space="preserve"> Republic of the Philippines Municipality of Taytay Barangay Tumbod NOTICE TO BIDDERS 1.	CONSTRUCTION OF WATER TANK Item#	Description			QTY.		UNIT	 1.	Portland Cement		140			Bags 2.	Tie Wire			10			kgs 3.	Hollow Blocks		400			pcs. 4.	12mm x 6.0 RSB		30			p</t>
  </si>
  <si>
    <t xml:space="preserve"> ITEM NO	QTY.	UNIT	DESCRIPTION/SPECIFICATION		 				UNIT COST	TOTAL 1	10	BOTTLES	EPSON 003  (L3110), BLACK	 296.00 	 2,960.00  2	10	BOTTLES	EPSON 003  (L3110), CYAN	 338.00 	 3,380.00  3	10	BOTTLES	EPSON 003  (L3110), YELLOW	 338.00 	 3,380.00  4	10	BOTTLES</t>
  </si>
  <si>
    <t xml:space="preserve"> REPAIR OF MEDICAL AIR REGULATOR WITH FILTER Request form for RFQ forms will be available at GSD-Head Office @ 10th Floor Makati City Hall Bldg. 2.  Look for Mr. Reden Villanueva.</t>
  </si>
  <si>
    <t xml:space="preserve"> INSTALLATION OF 3 LOTS DRY PIPE HYDRANT AT SITIO RELIS, SITIO TUNDAN &amp; SITIO ALLIANCE, BASAK, MANDAUE CITY</t>
  </si>
  <si>
    <t xml:space="preserve"> 1 	pc	Copper tube 1/4 &amp; Softdro 1/2 50ft. 6	pc	Charol 12	pc	Rubber Insulator 5/8 30	pc	2" X 3" X 6m Tubular Steel 60	pc	1" X 3" X 6m  Tubular Steel 25	kg	Wipweld welding rod 300	pc	1/8" X 1/2" Blind revits 10	pc	16mm dia X 6m Reinforced bar 10	pc	ABC Slic</t>
  </si>
  <si>
    <t xml:space="preserve"> 1 BTL/S GLUE - 130G 10 2 BOX/S BINDER CLIP - 1 1/2" ( 1 1/2" WIDTH ) 5 - 12 pcs per box 4 BOT/S INK - CANON-GI-790-BLACK 5 5 BOT/S INK - CANON-GI-790- CYAN 4 6 BOT/S INK - CANON-GI-790-MAGENTA 4 7 BOT/S INK - CANON-GI-790-YELLOW 4</t>
  </si>
  <si>
    <t xml:space="preserve"> 100 pcs Senior Citizen ID</t>
  </si>
  <si>
    <t xml:space="preserve"> 1 REAM/S PAPER - BOOK A4,210MMX297MM,MIN OF 70GSM 8 2 PC/S RECORD BOOK - 500 PAGES,NON-BLOT 215MMX275MM 55GSM 2 3 FT/S DOUBLE ADHESSIVE TAPE 2 4 BOX/S THUMBTACKS 10 5 BOX PINS - MAP 100'S 2</t>
  </si>
  <si>
    <t xml:space="preserve"> unit - PROCUREMENT OF GASOLINE/DIESEL, FOR OFFICE VEHICLES -TOYOTA AVANZA (SAA-5216) -MITSUBISHI ADVENTURE (SHA-257) -ISUZU FUEGO (SHE-118) -KAWASAKI AURA (SE-1349) FOR CALENDAR YEAR 2020</t>
  </si>
  <si>
    <t xml:space="preserve"> Please see invitation to bid.</t>
  </si>
  <si>
    <t xml:space="preserve"> 1  UNIT    ALL IN ONE DESKTOP COMPUTER INTEL CORE i5 1 UNIT     LAPTOP INTEL CORE i5</t>
  </si>
  <si>
    <t xml:space="preserve"> Supplies to be use under metarizhium of DA-NCES</t>
  </si>
  <si>
    <t xml:space="preserve"> REQUEST FOR QUOTATION 							Date: August 7, 2020 							RFQ No.: 2020-38-08	 Name of Company: ________________________________________________________________________________ Address: ______________________________________________________________________</t>
  </si>
  <si>
    <t xml:space="preserve"> SUPPLY AND DELIVERY OF OIL AND LUBRICANTS FOR EQUIPMENTS, PUMPS AND MACHINES Request form for RFQ forms will be available at GSD-Head Office @ 10th Floor Makati City Hall Bldg. 2.  Look for Mr. Reden Villanueva.</t>
  </si>
  <si>
    <t xml:space="preserve"> *Please email quotation and requirements to Ms. Elizabeth Pascual beth.pascual@pms.gov.ph 8-733 4861/71 ---PLEASE SEE ATTACHED TERMS OF REFERENCE IN THE ASSOCIATED COMPONENTS FOR THE COMPLETE DETAILS--- 50 Licenses Google G-Suite Basic Edition License Cov</t>
  </si>
  <si>
    <t xml:space="preserve"> JOSE B. LINGAD MEMORIAL REGIONAL HOSPITAL City of San Fernando, Pampanga Tel. No. (045) 961-3921 Date: August 8, 2020 No. 2020 – 08 - 248-S REQUEST FOR QUOTATION (Name of Agency) (Address) Sir/Madam: Please quote your lowest price on the item/s listed bel</t>
  </si>
  <si>
    <t xml:space="preserve"> 1 UNIT/S VEHICLE - PICK-UP  - BLACK - 4X4 - AUTOMATIC TRANSMISSION - 2.2L-2.5L DIESEL ENGINE - 4 CYLINDER - WITH THE FOLLOWING - 01. LTO REGISTRATION ( 3 YRS. ) - 02.COMPREHENSIVE INSURANCE ( 1 YR. ) - 03.GLASS TINT - 04.FLOOR MAT - 05. SEAT COVER - 06. B</t>
  </si>
  <si>
    <t xml:space="preserve"> construction of Additional Free Board of the Existing Canal Lining at Sta. 14+240.2 - 14+655.20, Sta. 14+677.88 - 14+973.68 and Sta. 16+182 - 16+505.3, Main Canal, L=277m of Addalam RIS</t>
  </si>
  <si>
    <t xml:space="preserve"> Brand Approved Budget Contract per Item Name and Description of the Article / sUnitQTY.ITEM NO. P.R. No. :City Environment and Natural Resources Office 2020-07-2820 Date: 07/03/2020 Date: 75,000.00- Polyethylene bag A. = 4" x 6" size (100 pieces per pack)</t>
  </si>
  <si>
    <t xml:space="preserve"> Request for Quotation Anahaw Leaves						14,930	each Common Nail #4						10	kl Common Nail #2						20	kl Common Nail #3						20	kl Coco Lumber (2x2x12)						150	each Coco Lumber (2x3x12)						150	each Coco Lumber (2x6x12)						120	each Plywood (Ordinary)	</t>
  </si>
  <si>
    <t xml:space="preserve"> 1 PC/S SCISSORS - STAINLESS HEAVY DUTY 4 2 PC/S RULER - ALLUMINUM/METAL, 12" 4 3 PC/S RULER - ALLUMINUM/METAL 24" 2 4 PACK STICKER PAPER - 8.5 X 13, 10PCS/PACK 10 5 BOX PAPER - PHOTO-A4 SIZE ( 100'S ) 1 6 ROLL/S LAMINATING FILM - 9" 1 7 PC/S ENVELOP - EXP</t>
  </si>
  <si>
    <t xml:space="preserve"> 30	pcs	Plastic Laminator - long 12	reams Coupon bond - short 12	reams Coupon bond - long 6	pcs	Typewriter ribbon - black nylon 5	bottles Computer ink - T664 black 5	bottles Computer ink - T664 Cyan 5	bottles Computer ink - T664 Magenta 5	bottles Computer </t>
  </si>
  <si>
    <t xml:space="preserve"> Procurement of 1 Lot, 4 Pcs. 265/65 R17 Tires</t>
  </si>
  <si>
    <t xml:space="preserve"> INVITATION TO BID FOR PROCUREMENT OF MATERIALS FOR CONSTRUCTION OF 2 UNITS CONCRETE BASKETBALL POST / CONCRETE PAVEMENT 1.	The [Barangay Local Government Unit of Dalupaon, Pasacao, Camarines Sur], through the [SK Fund CY 2019]  intends to apply the sum of</t>
  </si>
  <si>
    <t xml:space="preserve"> To support the procurement of one (1) EA Control assembly, Throttle with PN:260-13149-05 and 19 other L/I for the maintenance of SF-260FH Aircraft for the use of 440th AMG, AETDC , FAB, Lipa City, Batangas.</t>
  </si>
  <si>
    <t xml:space="preserve"> 10 units ADULT WHEEL CHAIR * Chromed steel frame, fordable, 8 PVC castor, Leather seats W: 19" x 17" * 24" Solid wheel fixed armrest &amp; footrest 2 pcs WALKER * Anodized aluminum structure maximum safety strength while remaining lightweight * two button pus</t>
  </si>
  <si>
    <t xml:space="preserve"> REQUEST FOR QUOTATION For Negotiated Procurement thru Small Value Procurement under Sec. 53.9 of the 2016 Revised IRR of RA 9184 Quotation No.:  2020-08-278 Date: August 7, 2020 PR No.: 20-07-266 PR Date: July 14, 2020 The Metropolitan Tuguegarao Water Di</t>
  </si>
  <si>
    <t xml:space="preserve"> Durable plastic envelope for modules of students and other supplies to be given to teachers</t>
  </si>
  <si>
    <t xml:space="preserve"> 52 pc APC uninterrupted Power Supply ((UPS)</t>
  </si>
  <si>
    <t xml:space="preserve"> ELECTRICAL SUPPLIES ABC: Php168,300.00 DESCRIPTION                                          QTY          UNIT COST          TOTAL COST   ROYAL CORD 3-WIRE #12 OR 3.5MM         3RL           7,200.00              21,600.00 HOSE 20MM PVC FLEXIBLE           </t>
  </si>
  <si>
    <t xml:space="preserve"> REQUEST FOR QUOTATION 	 The Local Government Unit of General Santos City thru its Bids and Awards Committee invites interested suppliers for (2FB)N20-08-081 PURCHASE OF IT EQUIPMENT amounting  to  P 574,030.50.  Please visit or call Bids and Awards Commit</t>
  </si>
  <si>
    <t xml:space="preserve"> REQUEST FOR QUOTATION 	 The Local Government Unit of General Santos City thru its Bids and Awards Committee invites interested suppliers for (2FB)N20-08-082 PURCHASE OF FURNITURE AND FIXTURES amounting  to  P 74,000.00.  Please visit or call Bids and Awar</t>
  </si>
  <si>
    <t xml:space="preserve"> Republic of the Philippines					 PROVINCE OF SIQUIJOR					 BIDS &amp; AWARDS COMMITTEE					 Capitol Building, Siquijor, Siquijor					 					 Business Name:_____________________________				AD. No.: 563-08-2020	 Address:___________________________________				DAT</t>
  </si>
  <si>
    <t xml:space="preserve"> Republic of the Philippines                                                          Province of Aklan BARANGAY GUADALUPE MUNICIPALITY OF LIBACAO                                                           * * * The Barangay Council of Guadalupe, through it</t>
  </si>
  <si>
    <t xml:space="preserve"> Republic of the Philippines National Irrigation Administration Lower Agno River Irrigation System Improvement Project REQUEST FOR QUOTATION (RFQ NO. LARISIP-2020-028) The National Irrigation Administration – Lower Agno River Irrigation System Improvement </t>
  </si>
  <si>
    <t xml:space="preserve"> 180 ltrs. Diesel 21.5 ltrs.  Premium</t>
  </si>
  <si>
    <t xml:space="preserve"> REQUEST FOR QUOTATION Rehabilitation/Improvement/Extension of Education Building and Old Science  Laboratory Building in MinSCAT Main Campus: Provision of Fire Escape Stairs The Mindoro State College of Agriculture and Technology (MinSCAT) through the Bid</t>
  </si>
  <si>
    <t xml:space="preserve"> Fabrication, Delivery and Installation including Removal of Existing Unit: 5 sets of Glass Panel Door (0.90 x 2.10 m) 1 set of Glass Panel Fixed Window (2.90 x 1.20 m) Fabrication and Delivery: 2 sets of Filing Cabinet 1 set of Stacking Cabinet ***nothing</t>
  </si>
  <si>
    <t xml:space="preserve"> Reproduction of Modules ITEM	QTY	UNIT	NAME OF ARTICLES &amp; DESCRIPTION	UNIT Price 	TOTAL	REMARKS 1	91,840	Pages	Grade 1 Modules	0.45		 2	129,492	Pages	Grade 2 Modules	0.45		 3	62,000	Pages	Grade 3 Modules	0.45		 4	72,640	Pages	Grade 4 Modules	0.45		 5	96,60</t>
  </si>
  <si>
    <t xml:space="preserve"> Please download Associated Components “Request for Quotation” at www.philgeps.gov.ph or www.cagayandeoro.da.gov.ph &amp; send your sealed quotation by fastest means or drop your sealed quotation reflecting PR Number at the quotation box provided by BAC</t>
  </si>
  <si>
    <t xml:space="preserve"> 1.	The Carmona Water District hereinafter referred to as the “Purchaser” now requests for submission of price quotation for the procurement of the aforesaid item described in the Technical Specifications. 2.	A set of technical specifications are provided </t>
  </si>
  <si>
    <t xml:space="preserve"> PURCHASE OF VARIOUS OFFICE SUPPLIES &amp; IT EQUIPMENTS</t>
  </si>
  <si>
    <t xml:space="preserve"> QTY UNIT DESCRIPTION 1 pc.   	Cross joint 3/4 1 pc.         Tulda 6x12 5 feet	Tubo 1" 1/2 5 gal.	 marine epoxy 3 gal.        Ivory QDE 2 gal.        White QDE 3 pcs        roller brush 4" 2 pcs	        paint brush 2" 2 gal.	 marine anti-fooling 4 liters  </t>
  </si>
  <si>
    <t xml:space="preserve"> 1 PC/S RULER - PLASTIC 12" ( TRANSPARENT ) 10 2 PC/S PENCIL - WOODEN NO.482 9 3 ROLL/S TAPE - MASKING #2 5 4 PC/S DOUBLE SIDED TAPE - (WITH FOAM) 5 5 ROLL/S TAPE - CLOTH DUCT, ASSORTED COLORS, 2" 1 6 ROLL/S TAPE - PACKAGING 48MM (2") 1 7 ROLL/S TAPE - TRA</t>
  </si>
  <si>
    <t xml:space="preserve"> MINI DUMP TRUCK 4 CYLINDER, DIESEL 70 HP DIESEL ENGINE (MINIMUM) 6 WHEELERS, 2.5 CU. M. SIDING CAPACITY CLASS A JAPAN TIRES (SURPLUS) 7 PCS. COMPLETE BASIC TOOLS 1 YEAR LTO REGIO VII REGISTRATION AND TPL INSURANCE 1 YEAR WARRANTY EWD (EARLY WARNING DEVICE</t>
  </si>
  <si>
    <t xml:space="preserve"> 3000 Tons	Disposal of Residual Waste of the Municipality of Dinalupihan P1,200.00 (each tons) = P 3,600,000.00 Certification Requirements: 1 NSWMC Category 4 SLF 2 EMB TSD Registration 3 EMB Transporter Registration 4 ISO 9001-2008 Disposal of Residual Wa</t>
  </si>
  <si>
    <t xml:space="preserve"> The estimated budget for the materials for the Reproduction of Learning Modules is 40,000.00</t>
  </si>
  <si>
    <t xml:space="preserve"> Republic of the Philippines					 PROVINCE OF SIQUIJOR					 BIDS &amp; AWARDS COMMITTEE					 Capitol Building, Siquijor, Siquijor					 					 Business Name:_____________________________				AD. No.: 565-08-2020	 Address:___________________________________				DAT</t>
  </si>
  <si>
    <t xml:space="preserve"> Date: August 3, 2020  	  	 	 	 	 	  Quotation No.100-20-08-478                 REQUEST FOR QUOTATION    (For Immediate Purchase Pursuant to Section 52.1a of the Revised IRR, RA 9184)  Item No. 	Qty. 	Unit 	Description 	ABC 	Unit Price 	Total 	Remarks  (Da</t>
  </si>
  <si>
    <t xml:space="preserve"> JOSE B. LINGAD MEMORIAL REGIONAL HOSPITAL City of San Fernando, Pampanga Tel. No. (045) 961-3921 Date: August 8, 2020 No. 2020 – 08 - 249-S REQUEST FOR QUOTATION (Name of Agency) (Address) Sir/Madam: Please quote your lowest price on the item/s listed bel</t>
  </si>
  <si>
    <t xml:space="preserve"> Republic of the Philippines Province of Nueva Vizcaya Municipality of Solano -o0o- INVITATION TO BID FOR Construction of School Building at Aggub Elementary School Aggub, Solano, Nueva Vizcaya   (SOLANO 095-2020) 1.	The Local Government Unit of Solano, Nu</t>
  </si>
  <si>
    <t xml:space="preserve"> SCOPE OF WORKS				 1. Demolition of damaged ceiling and floor tiles; 								 2. Installation of wardrove/closet  at accountants quarters; 								 3. Installation of kitchen counter with under cabinet at dining area/pantry and dirty kitchen; 								 4. </t>
  </si>
  <si>
    <t xml:space="preserve"> TECHNOLOGICAL UNIVERSITY OF THE PHILIPPINES  VISAYAS				 Capt. Sabi St., City of Talisay, Negros Occidental				 				       PROCUREMENT OFFICE				 				 REQUEST FOR QUOTATION				 				 			August 6, 2020	 __________________________________  				              </t>
  </si>
  <si>
    <t xml:space="preserve"> Requested by: M T V. Rodriguez/CMO - Permits and Licensing</t>
  </si>
  <si>
    <t xml:space="preserve"> PHILIPPINE DEPOSIT INSURANCE CORPORATION SSS MAKATI Building, 6782 Ayala Avenue corner V.A. Rufino Street, Makati City PROCUREMENT AND PROPERTY DEPARTMENT REQUEST FOR QUOTATION Supplier       The PDIC invites you to submit a quotation for the item/s state</t>
  </si>
  <si>
    <t xml:space="preserve"> Supply and Delivery of 1 Lot Spare Parts, including tires, etc. for Multicab</t>
  </si>
  <si>
    <t xml:space="preserve"> Republic of the Philippines Province of Leyte Municipality of Tabango Invitation to Bid for Repair/ Recondition of Backhoe  The Local Government Unit of Tabango, through the General Fund intends to apply the sum of Three Hundred Twelve Thousand Three Hund</t>
  </si>
  <si>
    <t xml:space="preserve"> Republic of the Philippines					 PROVINCE OF SIQUIJOR					 BIDS &amp; AWARDS COMMITTEE					 Capitol Building, Siquijor, Siquijor					 					 Business Name:_____________________________				AD. No.: 564-08-2020	 Address:___________________________________				DAT</t>
  </si>
  <si>
    <t xml:space="preserve"> 18000 Liters	Diesel	45.25/liter = P814,500.00 2500	Liters   Unleaded Regular	53.15/liter =P132,875.00  Conditions:  1. Total Cost is  based on current average pump price for Diesel and Unleaded Gasoline in Gasoline Station along JASA, Layac, Sta Isabel, a</t>
  </si>
  <si>
    <t xml:space="preserve"> Republic of the Philippines Province of Eastern Samar Municipality of Balangkayan INVITATION TO BID FOR: PROVISION OF NEW DRAINAGE SYSTEM Brgy. 02 &amp; 04, Balangkayan, E. Samar August 8 - 14, 2020 The Municipal Local Government Unit of Balangkayan, has rece</t>
  </si>
  <si>
    <t xml:space="preserve"> Pump and motor 3/4 HP SAER									pc	1 Pressure Tank 82 Gallon with Pressure Gauge Switch									pc	1 Storage Tank, 1000 Liters, stainless									pc	1 Float Valve 1"									pc	1 GI Bushing 1" x 3/4"									pc	8 GI Street Elbow 3/4"									pc	4 GI El</t>
  </si>
  <si>
    <t xml:space="preserve"> Republic of the Philippines National Irrigation Administration Lower Agno River Irrigation System Improvement Project REQUEST FOR QUOTATION (RFQ NO. LARISIP-2020-029) The National Irrigation Administration – Lower Agno River Irrigation System Improvement </t>
  </si>
  <si>
    <t xml:space="preserve"> Procurement of USB Flash Drive 64GB with OTG USB 3.0 - COE ILS Please refer to associated components for more information.</t>
  </si>
  <si>
    <t xml:space="preserve"> Section I. Invitation to Bid FOR THE SUPPLY, INSTALLATION, TESTING AND COMMIS- SIONING OF CLIMATE CONTROL SYSTEM FOR THE NATIONAL LIBRARY OF THE PHILIPPINES (NLP) 1.	The National Library of the Philippines (NLP), through the National Expenditure Budget (N</t>
  </si>
  <si>
    <t xml:space="preserve"> Republic of the Philippines 	DEPARTMENT OF PUBLIC WORKS AND HIGHWAYS 	ILOILO 3RD 	DISTRICT ENGINEERING OFFICE 	REGIONAL OFFICE VI 	Barotac Viejo, Iloilo INVITATION TO BID The DPWH Iloilo 3rd District Engineering Office, through its Bids and Awards Committ</t>
  </si>
  <si>
    <t xml:space="preserve"> Supply &amp; Delivery of ICT 01D CO H16-2020 Kindly see attached file. Thank you!</t>
  </si>
  <si>
    <t xml:space="preserve"> 14 tin Paint, Latex Semi Gloss White and 7 others L/I</t>
  </si>
  <si>
    <t xml:space="preserve"> INVITATION TO BID A.	The Department of Public Works and Highways-Metro Manila 1 District Engineering Office, Westbank Road, Manggahan Floodway, Rosario, Pasig City through its Bids and Awards Committee (BAC), invites contractors to submit bids for the fol</t>
  </si>
  <si>
    <t xml:space="preserve"> 3 UNITS LAPTOP IDEAPAD SLIM 3 i5 i5 10H GEN (4 C/8T) 4GB RAM 2666Hz Nvidia Geforce mx130 2GB 1TB HDD &amp; 128 GB SSD FREE: W.less mouse &amp; LAPTOP BAG 14" FHD TN DISPLAY</t>
  </si>
  <si>
    <t xml:space="preserve"> Republic of the Philippines					 Province of Albay					 Municipality of Bacacay					 Tel.No.(052)558-32-43					 					 BIDS AND AWARDS COMMITTEE	 				 				Date     :	August 7, 2020 				Quotation No.	10020080047 ____________________________					 ___________</t>
  </si>
  <si>
    <t xml:space="preserve"> Contact Person : Lymarie A. Malicdem                          09491132963  Venue              : Datu Manlumidsa Conference Hall, 2nd Floor, Tubod, Mun. Building                           Poblacion, Tubod, S.D.N  Bid Opening      :  August 24, 2020  Time  </t>
  </si>
  <si>
    <t xml:space="preserve"> Republic of the Philippines					 PROVINCE OF SIQUIJOR					 BIDS &amp; AWARDS COMMITTEE					 Capitol Building, Siquijor, Siquijor					 					 Business Name:_____________________________				AD. No.: 567-08-2020	 Address:___________________________________				DAT</t>
  </si>
  <si>
    <t xml:space="preserve"> Concreting of Barangay Road of Barangay Nanga, Guimbal, Iloilo</t>
  </si>
  <si>
    <t xml:space="preserve"> Republika ng Pilipinas					 NATIONAL  IRRIGATION  ADMINISTRATION					 IRRIGATION MANAGEMENT OFFICE					 Agusan del Norte					 Ambago, Butuan City					 Tel Nos. (085) 817-3010					 					 				Date	 REQUEST FOR  QUOTATION					 					 				   	 NAME OF DEALER		</t>
  </si>
  <si>
    <t xml:space="preserve"> Brigada T-Shirt - 132 pcs.</t>
  </si>
  <si>
    <t xml:space="preserve"> T E R M S	OF	R E F E R E N C E (Services of Training Provider) I.	PROJECT:	ONLINE TRAINING SKILLS 101 BACKGROUND and PROJECT DESCRIPTION The current pandemic has given rise to a dramatic shift to online learning using digital platforms and applications. T</t>
  </si>
  <si>
    <t xml:space="preserve"> Supply of Materials only ***Please see attached file.</t>
  </si>
  <si>
    <t xml:space="preserve"> Supply of Labor and Materials for the concrete and steel enclosure of the DRDC storage at the DRDC ground floor</t>
  </si>
  <si>
    <t xml:space="preserve"> Republic of the Philippines					 PROVINCE OF SIQUIJOR					 BIDS &amp; AWARDS COMMITTEE					 Capitol Building, Siquijor, Siquijor					 					 Business Name:_____________________________				AD. No.: 562-08-2020	 Address:___________________________________				DAT</t>
  </si>
  <si>
    <t xml:space="preserve"> 1	LONG FOLDER							3	   REAMS 2	BINDER CLIP (BIG)						100	   PCS 3	RUBBER BOND							5	   BOX 4	PLASTIC ENVELOPE						1800	   PCS 5	TISSUE PAPER							50	   ROLLS 6	STAPLER HD #35						8	   PCS 7	STAPLE WIRE							30	   BOX</t>
  </si>
  <si>
    <t xml:space="preserve"> Item   311 Design Mix 1:2:4 Length 44 m Width 3.0 m Thickness 0.10 m Area 132 sq. m. Volume 13.2 cu. m.</t>
  </si>
  <si>
    <t xml:space="preserve"> VARIOUS OFFICE SUPPLIES</t>
  </si>
  <si>
    <t xml:space="preserve"> Description	UNIT	QUANTITY Construction survey and staking	km	0.60 Project Billboard/Signboard	each	1.00 Occupational Safety and Health Program	lot	1.00 Traffic management 	month	4.00 Mobilization/Demobilization	lot	1.00 Surplus Common Excavation 	cu.m.	3,</t>
  </si>
  <si>
    <t xml:space="preserve"> LOCAL GOVERNMENT UNIT - MUNICIPALITY OF BACOLOR INVITATION TO APPLY FOR ELIGIBILITY AND TO BID The Local Government Unit - Municipality of Bacolor, Bacolor, Pampanga, through the Bids and Award Committee (BAC), invites contractors to apply for eligibility</t>
  </si>
  <si>
    <t xml:space="preserve"> Steel Rack  (6 pieces) W 90cm x D 40cm x H 200cm 6 layer Steel Rach (4 pieces) W 90cm x D 40cm x H 180cm 5 layer</t>
  </si>
  <si>
    <t xml:space="preserve"> CONSTRUCTION ABC PHP 239,720.00 DESCRIPTION                                           QTY        UNIT COST             TOTAL COST SILICONE SEALANT CLEAR 300 ML             10TB       1,620.00                  1,620.00 SILICONE SEALANT BLACK 300 ML        </t>
  </si>
  <si>
    <t xml:space="preserve"> 400	mtr	4/0 Copper Wire (100mm2) 50	pc	Parallel Clamp Mechanical Connector for 4/0 30	pc	Heavy Duty Secondary Rack 3 Spool (Three Phase) 100	pc	Expansion Bolt 5/8 300	pc	Electrical Tape Black (Big) 100	pc	40 mm UPVC Pipe (Electrical Pipe) 15	pc	40mm Elbow</t>
  </si>
  <si>
    <t xml:space="preserve"> PLEASE DOWNLOAD THE ATTACHMENT/S FOR REFERENCE. Important Notes and Conditions: You can submit your quotation ON or BEFORE AUGUST 14, 2020 at 10:00 AM with the photocopy of the following legal documents: a. Mayor’s / Business Permit  b. PhilGEPS Registrat</t>
  </si>
  <si>
    <t xml:space="preserve"> Epson L3110 3 in 1 Printer 6 Units for Junior High School Epson L3110 3 in 1 Printer 4 Units for Senior High School must have a photocopier, printer and scanner</t>
  </si>
  <si>
    <t xml:space="preserve"> Please see attached documents It may also be downloaded free of charge form the website of the Philippine Ports Authority at www.ppa.com.ph</t>
  </si>
  <si>
    <t xml:space="preserve"> Please see attach ITB &amp; Specs Thank you.</t>
  </si>
  <si>
    <t xml:space="preserve"> One(1) unit Multicab Specification: Pick Up with full Canopy 4 x 4 scrum Gasoline  1 yr free LTO Registration New Battery New Tire 8 setters</t>
  </si>
  <si>
    <t xml:space="preserve"> SUPPLY AND DELIVERY OF THIRD QUARTER OFFICE SUPPLIES The Department of Education (DepEd) Schools Division of Parañaque City invites all interested parties to submit separate sealed quotations for the Supply and Delivery of Third Quarter Office Supplies of</t>
  </si>
  <si>
    <t xml:space="preserve"> ITEM NO.	UNIT		QTY		DESCRIPTION		 							 					COMMON OFFICE SUPPLIES		 1	 can 		9		Air Freshener, California scent, car shaldan		 2	 box 		2		Acetate film, clear, legal size, 100pcs/box		 3	 piece 		130		Ballpen, panda, black, 		 4	 piece 		15		Ballpen,p</t>
  </si>
  <si>
    <t xml:space="preserve"> Completion of Covered Court Flooring, Wall Finishing of Stage</t>
  </si>
  <si>
    <t xml:space="preserve"> ITEM NO.	UNIT		QTY		DESCRIPTION		 							 					COMMON OFFICE SUPPLIES		 1	 can 		10		Air Freshener, California scent, car shaldan		 2	 piece 		120		Ballpen, panda, black, 		 3	 piece 		24		Ballpen,panda , blue, 		 4	 piece 		66		Ballpen, pilot, black, ori</t>
  </si>
  <si>
    <t xml:space="preserve"> 1.	Rehab of Multi-Purpose Building Bgy. Hall  Item#	Description			QTY.		UNIT	 1.	Portland Cement			40		bags 2.	Marine plywood			        40		pcs 3.	Enamel white paint		          4		pails 4.	Flat white Latex			          4		pails 5.	Gloss latex white			  2		</t>
  </si>
  <si>
    <t xml:space="preserve"> Important Notes and Conditions: You can submit your quotation ON or BEFORE AUGUST 14, 2020 at 10:00 AM with the photocopy of the following legal documents: a. Mayor’s / Business Permit  b. PhilGEPS Registration c. Omnibus Sworn Statement (Notarized) We en</t>
  </si>
  <si>
    <t xml:space="preserve"> NOTICE FOR NEGOTIATED PROCUREMENT (Small Value Procurement – Sec 53.9 of the Revised IRR of 9184) Reference No. 20-08-165 Procuring Entity: MUNICIPALITY OF LILIW, LAGUNA Title: Supply and Delivery of Power Spray and Disinfectant for African Swine Fever Ch</t>
  </si>
  <si>
    <t xml:space="preserve"> Rescue Vehicle (Ambulance type) Specs: YD25 DDTi In-line 4 cylinder DOHC 16 valves, Variable Turbocharger (VGS) 5- Speed manual (Dash-Mounted) Common Rail Direct Injection 2,488cc engine displacement Max Power- 129Hp/ 3200 rpm Max Torque – 356Nm/ 1,400 ᷈ </t>
  </si>
  <si>
    <t xml:space="preserve"> Republic of the Philippines Province of Zambales MUNICIPALITY OF PALAUIG -0- BIDS AND AWARD COMMITTEE INVITATION TO APPLY FOR ELIGIBILITY AND TO BID ITB No.  PALG  03-2020 (GOODS) The Local Government of Palauig thru its bids and Awards Committee (BAC) in</t>
  </si>
  <si>
    <t xml:space="preserve"> 17 PCS 3/4 MARINE PLYWOOD 8 PCS 1/2 MARINE PLYWOOD 5 PCS 1/4 MARINE PLYWOOD 5 SACHET STICKWELL 2 KLS #2 FINISHING NAIL 3 KILOS #1 FINISHING NAIL 15 CENTER MOULDING 1 X 12 FT 12 BARATEHA 1/4 X 2 X 12 FT 23 DRAWER GUIDE # 16 16 PCS DRAWER LOCK 16 PCS SANDIN</t>
  </si>
  <si>
    <t xml:space="preserve"> Internet Connection for the LGU of San Lorenzo Ruiz</t>
  </si>
  <si>
    <t xml:space="preserve"> JANITORIAL SERVICES Labor with Cleaning Supplies and Materials 5 days per week (Monday to Friday) Office Area: 200 square meters Please indicate contract rate/head/month with    breakdown containing the following:      *Total amount directly to the employ</t>
  </si>
  <si>
    <t xml:space="preserve"> Procurement of Janitorial Services for DRDC Building from August - December 2020</t>
  </si>
  <si>
    <t xml:space="preserve"> -</t>
  </si>
  <si>
    <t xml:space="preserve"> Paper Clip Vinyl Coated 33MM (Small) Utility Box (Big) Folder White Long Folder White Short Special Paper Scented Short Bondpaper Substance 20 Long Bondpaper Substance 20 Short and others</t>
  </si>
  <si>
    <t xml:space="preserve"> Republic of the Philippines Province of Quezon Municipality of Atimonan Barangay Sapaan Project Reference No: 2020 Name of the Project: Purchase of Goods for BDRRM Location of the Project:  Barangay Sapaan, Atimonan, Quezon REQUEST FOR QUOTATION-SHOPPING </t>
  </si>
  <si>
    <t xml:space="preserve"> REQUEST FOR QUOTATION (RFQ) FLU VACCINSTION PROGRAM SERVICES UNDER EMB-AFMD-AP  RFQ NO. EMB-AFMD-AP-SHOPPING-G-0104-8-5-2020  2020-0104 1.	The Department of Environment and Natural Resources – Environmental Management Bureau (DENR-EMB) hereinafter referre</t>
  </si>
  <si>
    <t xml:space="preserve"> Declogging of Canal Purok 2 &amp; 3 - Bolbok, Batangas City</t>
  </si>
  <si>
    <t xml:space="preserve"> *RING - 14K Service Award Ring, L4 Oval Concave, RING FACE: With City Logo' ONE SIDE: Number of Years in Service; OTHER SIDE: Name of Office Assigned; INNER RING: Engrave name of Retiree and Employment Service (From &amp; To) (11 pcs) *PIN - Loyalty Pin/Cuffl</t>
  </si>
  <si>
    <t xml:space="preserve"> 145 ltrs. Diesel</t>
  </si>
  <si>
    <t xml:space="preserve"> The West City Central School is in need of a supplier/printing  that will print the  modules intended for 8 weeks . Each ream of modules will be printed back to back that cost 180 pesos/ ream. Each module should be stapled according to the number of pupil</t>
  </si>
  <si>
    <t xml:space="preserve"> Hiring of Professional Services  in the conduct of OTOP Next Gen 		 (ONG) 2020 Assessment, Consultation and Triage (ACT) Session 		 cum Product Development (Packaging and Labels) for the		 Food Sector of Region 1		 1LOT ABC: 300,000.00 		  Scope of the Ac</t>
  </si>
  <si>
    <t xml:space="preserve"> TERMS AND CONDITIONS								 Small Value Procurement (SVP)								 1.	Fill-up all entries legibly; typewritten or handwritten.							 2.	Submit the photocopy of the following documents prior to payment:							 	     a. Mayor's Business Permit - 2020						</t>
  </si>
  <si>
    <t xml:space="preserve"> Materials Only ***Please see attached file.</t>
  </si>
  <si>
    <t xml:space="preserve"> See Attached Invitation to Bid</t>
  </si>
  <si>
    <t xml:space="preserve"> Republic of the Philippines PROVINCE OF AGUSAN DEL SUR Municipality of Sta. Josefa Invitation to Bid for   SJADS GOODS 20-13: PROCUREMENT OF IT EQUIPMENT (SEF) 					   August 08, 2020 1.	The Municipality of Sta. Josefa through the following; a.	CY 2020 SE</t>
  </si>
  <si>
    <t xml:space="preserve"> *AIRCON MAINBOARD - for LG Aircon Unit -ARUV160LT2 (9 units) *AIRCON HARNESS WIRE - (16 units) *AIRCON MAINBOARD - for LG Aircon unit -ARUV140LT2 (7 units) *Please see attached canvass form.</t>
  </si>
  <si>
    <t xml:space="preserve"> 156 pcs Smart Call Card 300 24 pcs Globe Call Card 300 30 units Heavy Duty Strong multi storage plastic clear box container with plastic lid -100 liter capacity storage container, durable, designed to provide easy access and perfect for stacking 2 units C</t>
  </si>
  <si>
    <t xml:space="preserve"> Provincial Assessor's Office Agusan del Norte</t>
  </si>
  <si>
    <t xml:space="preserve"> 1. Laptop with the following specifications ------------------ 2 Units 	-Processor: Intel Core i5 9th gen or Higher 	-Storage: 128gb M.2 PCIe NVMe SSD and 1TB 2.5" 5400RPM SATA HDD 	-16GB DDR4 2666Mhz 	-Video Card: 4gb DDR5 	-Display: 15.6" FHD(1920x1080)</t>
  </si>
  <si>
    <t xml:space="preserve"> Please see attached Terms of Reference (TOR) and Request for Quotation (RFQ)</t>
  </si>
  <si>
    <t xml:space="preserve"> Supply and delivery of 6 units risograph machine  for various public schools of Capas, Tarlac.</t>
  </si>
  <si>
    <t xml:space="preserve"> The Agricultural Training Institute Region IV-A (ATI Region IV-A) invites interested suppliers to submit quotations/ proposals for the hereunder requirement: Supply and Delivery of various ICT equipment and materials for the conduct of Usapang Ani at Kita</t>
  </si>
  <si>
    <t xml:space="preserve"> PROCUREMENT OF OFFICE SUPPLIES AND SPORTS EQUIPMENT FOR THE ACCOUNT OF IMBAYAO ELEMENTARY SCHOOL SEE ATTACHED FILE</t>
  </si>
  <si>
    <t xml:space="preserve"> Republic of the Philippines Municipality of Nabunturan Barangay Katipunan Invitation to Bid for Construction of BARAY PAGKUKUROWAN 1.	The Barangay Council of Katipunan, Nabunturan Davao de Oro, through the Department of Social Welfare and Development KALA</t>
  </si>
  <si>
    <t xml:space="preserve"> RFQ 2020-168 PROJECT		:	LBRDC MOST COMMONLY USED  IMPLEMENTOR		: 	LBP RESOURCES AND DEVELOPMENT CORPORATION OWNER			:	LAND BANK OF THE PHILIPPINES	 REQUEST FOR QUOTATION FOR	:	SUPPLY AND DELIVERY OF TILES DATE / TIME OF SUBMISSION		:	ON OR BEFORE AUGUST 1</t>
  </si>
  <si>
    <t xml:space="preserve"> Contact Person : Lymarie A. Malicdem                         094911332963  Venue              : Datu Manlumidsa Conference Hall, 2nd Floor, Tubod,Municipal Building                          Poblacion, Tubod S.D.N.  Bid Opening      : August 17, 2020  Time</t>
  </si>
  <si>
    <t xml:space="preserve"> Engineering Office  Qty.	Unit	Description 27	 PCS 	 16mm RSB  30	 PCS 	 12mm RSB  54	 PCS 	10mm RSB 78	 BAGS 	 PORTLAND CEMENT  12	 CU.M 	 SAND  6	 CU.M 	 GRAVEL  10	 KGS 	 #16 TIE WIRE  40	 PCS 	 2 x 3 x 12 COCO LUMBER  20	 PCS 	 2 x 2 x 12 GOOD LUMBER  </t>
  </si>
  <si>
    <t xml:space="preserve"> A. Big Disinfectant Fogging Machine	(1 Unit) a)	Brand new  b)	Power capacity: 80-90W c)	Voltage: 220v-240V, 50/60Hz d)	Drum Volume/Tank Capacity: 12-13L e)	Warm-up/Pre-heating time: Continuous and automatic cut-off when waterless. f)	Smoke Exhaust: Depend</t>
  </si>
  <si>
    <t xml:space="preserve"> SCOPE OF WORKS					 1. Mobilization;						 2. Fabrication and installation of steel support						 3. Installation of construction net						 4. Construction of roof truss and roof cover						 5. Demolition of concrete water tank						 6. Ceiling works					</t>
  </si>
  <si>
    <t xml:space="preserve"> Hiring of Book Designer for the 2nd Edition of the Rafael M. Salas Biography (Duration : August to October 2020) (See attached Term of Reference TOR) Please attach quotation with the ff: 1.	Curriculum Vitae (CV)  2.	PhilGEPS Certification/Registration Num</t>
  </si>
  <si>
    <t xml:space="preserve"> Republic of the Philippines					 	Department of Health					 	Center For Health Development - Bicol					 	Legazpi City					 	                                                Trunk line (052) 483-5659, 483-5656 local 553 or 554 742-1728 FAX local no. 104				</t>
  </si>
  <si>
    <t xml:space="preserve"> Diesel Fuel Please see attached RFQ</t>
  </si>
  <si>
    <t xml:space="preserve"> LOT I. Land Preparation and Various Construction Materials for Bahay Kubo Project</t>
  </si>
  <si>
    <t xml:space="preserve"> 15	piece	Steel bar, Flat bar, Stainless steel flat bar, 3mm thick x 25mm x 6m 15	piece	Steel bar, Stainless steel round bar, 6mm diameter x 6m 6	piece	Steel sheet, Stainless steel sheet, 2mm thick x 4' x 8', food grade 6	piece	Steel sheet, Stainless steel</t>
  </si>
  <si>
    <t xml:space="preserve"> Municipality of San Juan, Siquijor						Project Reference No.: 				 						Name of Project: Office Supplies				 						Location of Project:San Juan, Siquijor				 Standard Form Number: SF-GOOD-60										 Revised on: May 24, 2004										 Standard Form Tit</t>
  </si>
  <si>
    <t xml:space="preserve"> Improvement of Regional Comptrollership Division Office</t>
  </si>
  <si>
    <t xml:space="preserve"> Engineering Office Qty.	Unit     	 Description 46	 MTRS 	 3/16 X 2 ANGLE BAR  50	 PCS 	 10MM DEF. BAR  22	 PCS 	CYCLON WIRE 28	 PCS 	 CHECKERD PLATE  10	 KGS 	 WELDING ROD  6	 GALS 	 METAL PRIMER  2	 GALS 	 PAINT THINNER  2	 PCS 	 PAINT BRUSH  ABC – P 149</t>
  </si>
  <si>
    <t xml:space="preserve"> 50 trucks/loads MIXED GRAVEL</t>
  </si>
  <si>
    <t xml:space="preserve"> 1 unit Computer Table and Cubicle            ( 2 person Partition set             1.20m Front to Front)</t>
  </si>
  <si>
    <t xml:space="preserve"> 1 SET  DESKTOP COMPUTER    Intel core i5 9400 Coffee Lake up to 4.10 Ghz with motherboard    2tb HDD    16 GB RAM    24-inch Monitor    Generic Tower Case    A4Tech Mouse + Keyboard Combo    APC UPS  Epson L3110 PRINTER</t>
  </si>
  <si>
    <t xml:space="preserve"> NAME OF PROJECT: PRINTING OF PUPILS’ MODULES FOR THE MONTH OF AUGUST LOCATION		  : MLQ St. Bagumbayan, Taguig City  PROCUREMENT MODE : Small Value Procurement  CLASSIFICATION    : Printing of modules to be used by the pupils for the month of August 2020 A</t>
  </si>
  <si>
    <t xml:space="preserve"> Purchase of IT Equipment for office use of City Assessor's Office</t>
  </si>
  <si>
    <t xml:space="preserve"> Procurement and Delivery of ICT and Office Equipment and Furniture and Fixture to Various Offices Lot 1 - Procurement of ICT Equipment for Budget Office (Laptop and Printer) Lot 2 - Procurement of Laptop Computer, A3 Printer, Filing Cabinet, Office Mobile</t>
  </si>
  <si>
    <t xml:space="preserve"> Nasipit District Hospital Agusan del Norte</t>
  </si>
  <si>
    <t xml:space="preserve"> 1 LOT OFFICE SUPPLIES: 1 unit Laminating Machine, heavy duty 1 unit UPS battery back up &amp; surge protector  2 pcs portable external hard disk drive, capacity: 1TB  2 pcs USB/Flash drive OTG, 32GB, Type C to USB 3.0 3 sets Epson L360 ink 664 (B,C,Y,M) 3 set</t>
  </si>
  <si>
    <t xml:space="preserve"> REQUEST FOR QUOTATION FOR THE SUPPLY AND DELIVERY PROCUREMENT OF 3 PCS. BATTERY 11 PLATES AND 6 PCS. BATTERY CLAMPS Please quote your lowest price on the item/s listed below, subject to the General Conditions and stating the shortest time of delivery and </t>
  </si>
  <si>
    <t xml:space="preserve"> Television: Smart Android Digital TV, UC Pro-Engine Video Procesessor, Full HD (1920x1080) Built in Wifi, Quad-Core, IPS Panel ISDB - T (Digital Tuner</t>
  </si>
  <si>
    <t xml:space="preserve"> INVITATION TO BID  The National Irrigation Administration, Upper Pampanga River Integrated Irrigation Systems (NIA-UPRIIS) Division II, Talavera Nueva Ecija, through the CY 2020 Capital Outlay Construction of Overhead Tank funded project intends to apply </t>
  </si>
  <si>
    <t xml:space="preserve"> A4 Bond Paper 70gsm, Sub 20 (500 reams)  To be Delivered at San Pablo city</t>
  </si>
  <si>
    <t xml:space="preserve"> Please see attached ITB. ABC: 112, 547.98</t>
  </si>
  <si>
    <t xml:space="preserve"> The City Government of San Pedro, Laguna invites interested parties to quote for the following item/s as per request OM: Qty.	Unit of Issue	Item Description 		 		GALIC		 1	unit	Ladder 6ft A Type	 1	unit	Pressure washer (portable) 1	unit	Welding Machine (p</t>
  </si>
  <si>
    <t xml:space="preserve"> Contact Person  : Alain D. Casison                           09302969658 Venue                : Datu Manlumidsa Conference Hall, 2nd Floor ,Tubod Mun. Building                           Poblacion, Tubod S.D.N.  Bid Opening      : August 17, 2020  Time    </t>
  </si>
  <si>
    <t xml:space="preserve"> SEE ATTACHED RFQ FOR COMPLETE DETAILS</t>
  </si>
  <si>
    <t xml:space="preserve"> Engineering Office Qty.	Unit	Description 46	 MTRS 	 3/16 X 2 ANGLE BAR  50	 PCS 	 10MM DEF. BAR  22	 PCS 	CYCLON WIRE 28	 PCS 	 CHECKERD PLATE  10	 KGS 	 WELDING ROD  6	 GALS 	 METAL PRIMER  2	 GALS 	 PAINT THINNER  2	 PCS 	 PAINT BRUSH  ABC – P 149,220.0</t>
  </si>
  <si>
    <t xml:space="preserve"> 2 boxes Bond paper (short) 2 boxes Bond Paper (Long)</t>
  </si>
  <si>
    <t xml:space="preserve"> Purchase and delivery of Facemask (KN95) to be used in the Municipality of Concepcion, Tarlac Approved Budget for the Contract : P 200,000.00 Source of Fund : 5% Calamity Fund SPA Deadline for submission, receipt and opening of bids shall be on August 11,</t>
  </si>
  <si>
    <t xml:space="preserve"> 1.   1  UNIT DESKTOP COMPUTER           AMD RYZEN 32200G PROCESSOR           MSI A320 PRO MOTHERBOARD           CRUCIAL BALLISTIX  16GB DIMM           SEAGATE 1TB HDD           TOWER CAS WITH POWER SUPPLY           HUNTKEY 23.5 MONITOR           LOGITECH </t>
  </si>
  <si>
    <t xml:space="preserve"> Republic of the Philippines					 Department of Health					 Center For Health Development - Bicol					 Legazpi City					                                                 Trunk line (052) 483-5659, 483-5656 local 553 or 554 742-1728 FAX local no. 104					 		</t>
  </si>
  <si>
    <t xml:space="preserve"> see attached docs</t>
  </si>
  <si>
    <t xml:space="preserve"> SUPPLY AND DELIVERY OF AUTO MAINTENANCE AND SERVICES 2ND QUARTER 2020 FOR USE AT JAVIER MUNICIPAL INFIRMARY. TERMS AND CONDITIONS : MUST BE DELIVER WITH IN SEVEN 9 7 ) CALENDAR DAYS UPON RECEIPT OF PURCHASE ORDER ITEMS MUST BE DELIVER THE SAME AS SPECIFIE</t>
  </si>
  <si>
    <t xml:space="preserve"> ITEM NO.	QTY.	UNIT	ITEMS &amp; DESCRIPTION	 				 1	2	units	Laptop	 			13.3 inch wide view full- HD nano-edge bezel display	 			w/ a 95% screen-to-body ratio	 			Exclusive dual- function touchpad: a touchpad with	 			wswitchable numeric keypad	 			Exclusive Er</t>
  </si>
  <si>
    <t xml:space="preserve"> 250	packs	3-in-1 coffee mix, 28g pack of 30 500	packs	Chocolate cake bars, 10s 100	box	Cup noodles, 40g x 12pcs 50	box	Sardines, 100s</t>
  </si>
  <si>
    <t xml:space="preserve"> 2 boxes bond paper (long) 2 boxes bond paper (short)</t>
  </si>
  <si>
    <t xml:space="preserve"> Food Stuff and Materials - Palapag 435th Founding Anniversary (Please see attached RFQ)</t>
  </si>
  <si>
    <t xml:space="preserve"> Kindly refer to the uploaded RFQ &amp; TOR in the Associated Components, or proceed to https://philguarantee.gov.ph/procurements/requests-and-invitations/2020-2/ For inquiries, please contact Atty. Ronces Anne Reyes-De Leon at 8-897-3232 or rardeleon@philguar</t>
  </si>
  <si>
    <t xml:space="preserve"> INVITATION TO BID FOR SUBSCRIPTION TO A MULTI-TELCO BULK SMS SERVICE FOR DSWD ENTERPRISE —  ITB NO. GOP/20-DSWD-045-A — (PR NO. 2019111806) 1.	The Department of Social Welfare and Development (DSWD), through the DSWD Funds, intends to apply the sum of One</t>
  </si>
  <si>
    <t xml:space="preserve"> (Request for Quotation)									 									 Date:		August 7, 2020			JR/PR No.:2020-08-03				 Quotation No.		2020-11							            									 TO ALL SUPPLIERS:									 									 Please quote your lowest price inclusive of VAT on the item(s) listed below</t>
  </si>
  <si>
    <t xml:space="preserve"> Purchase of Hardware Supplies for demolition and restoration</t>
  </si>
  <si>
    <t xml:space="preserve"> 41 pax Meals (7 days)</t>
  </si>
  <si>
    <t xml:space="preserve"> 2ND INVITATION TO BID The Government of Barangay Ambiong La Trinidad through the Bids and Awards Committee (BAC) invites Suppliers/ Contractors to bid for the hereunder project: Contract Reference No.	01-AMBG-2020 Name of Project	                PROCUREME</t>
  </si>
  <si>
    <t xml:space="preserve"> A. SITE WORKS	 Mobilization and Demobilization 	 Temporary Facility &amp; Project Signboard	 DOLE Health Program	 TOTAL	 B. EARTHWORKS	 Excavation for Drainage	 Backfiling and Waste disposal	 TOTAL	 C. PROCUREMENT &amp; INSTALLATION OF  4 UNITS SPLIT TYPE AIRCOND</t>
  </si>
  <si>
    <t xml:space="preserve"> ITEM NO.	QTY.	UNIT	ITEMS &amp; DESCRIPTION	 				 1	500	pcs	Seedling Tray (104 holes)	 2	500	pcs	Seedling Tray (128 holes)</t>
  </si>
  <si>
    <t xml:space="preserve"> LOT A									 1	Unleaded Gasoline							1	lot	5,100.00 										 	Terms &amp; conditions:									 	    1. The supplier shall start to serve within three (3) days upon receipt of the advice									 	           from the project engineer until the project is</t>
  </si>
  <si>
    <t xml:space="preserve"> Republic of the Philippines City of Dapitan BIDS AND AWARDS COMMITTEE INVITATION TO BID August 07, 2020 	 The City Government of Dapitan, through its Bids and Awards Committee (BAC), invites interested parties to apply for eligibility and, if found eligib</t>
  </si>
  <si>
    <t xml:space="preserve"> Standard Form No. SF Good-05		             Project Reference No.: CATCAM-2020-24 Revised on July 28,2004                   		     Name of Project: CONTINUOUS  LINING OF MUNICIPAL STREET                                                                      </t>
  </si>
  <si>
    <t xml:space="preserve"> 262 pax Tshirts printed with BDRRMC/MDRRMO name or logo 157,200.00</t>
  </si>
  <si>
    <t xml:space="preserve"> Full Description for Desktop Computer:                           Intel Core 17 9700F 4.7 GHZ 12MB LGA 1151 14NM ROG STRIX B365F Gaming 4DDR4 Motherboard (DVI, HDMI, DP) 8GB DDR4-2666 (2 units) KVR26N19S8/8 Seagate 1TB Barracuda 7200RPM HDD VZ229HE 21.5" W</t>
  </si>
  <si>
    <t xml:space="preserve"> 2 Units Risograph Machine	 Specifications:				 Master Making/ Printing Methods: High-Speed digital master-making/ Fully automatic printing					 Original Type: Book or Sheet					 Master Making Time: Quick Master Making mode	Approx. 17 seconds (Letter, shor</t>
  </si>
  <si>
    <t xml:space="preserve"> Please see the attached document for the description and other information.</t>
  </si>
  <si>
    <t xml:space="preserve"> For use in RADDL, for routine blood chemistry analysis as part of laboratory diagnosis of animal diseases</t>
  </si>
  <si>
    <t xml:space="preserve"> The Municipality of Limay, through its Bids and Awards Committee (BAC) invites registered contractors to apply for eligibility and if found eligible, to bid for the hereunder project/contract: Project/Contract: REHABILITATION OF CARBON ELEMENTARY SCHOOL C</t>
  </si>
  <si>
    <t xml:space="preserve"> see attached program of work</t>
  </si>
  <si>
    <t xml:space="preserve"> Risograph: Specs: Minimum speed: 100 pages per minutes            USB PC Connectivity             Minimum Master Supply Disposal:  200 sheets             Paper feed Capacity:  1,000 sheets             Image Processor: Line, Photo, Pencil            Minimu</t>
  </si>
  <si>
    <t xml:space="preserve"> The AGRICULTURAL TRAINING INSTITUTE-REGIONAL TRAINING CENTER (ATI-RTC) X, through the 2020 General Appropriations Act intends to apply the sum of One Hundred Ten Thousand Pesos (P 110,000.00) being the Approved Budget for the Contract (ABC) to payments un</t>
  </si>
  <si>
    <t xml:space="preserve"> INVITATION TO BID Project Name:	Procurement of Fishing Net and Gears Name of Bidder:	 Address :	 ITB Number:	Dawan - 03-20 ABC	P 250,000.00 Please quote your lowest price on the item/s listed below, stating the shortest time of delivery and submit your qu</t>
  </si>
  <si>
    <t xml:space="preserve"> ITEM NO.	QTY.	UNIT	ITEMS &amp; DESCRIPTION	 				 1	200	sets	PPE Coverall suit, disposable	 			 with cover shoe, N88 face mask, medical grade	 2	400	sets	Isolation Gown with head and shoe cover	 3	10	packs	Head cover x 100's	 4	400	pcs	N95 Respirator Face mask</t>
  </si>
  <si>
    <t xml:space="preserve"> Republic of the Philippines Province of Misamis Occidental Municipality of Plaridel BIDS AND AWARDS COMMITTEE REQUEST FOR QUOTATION Shopping No.______________________ _________________________________ _________________________________ Sir/Madam: 	Please q</t>
  </si>
  <si>
    <t xml:space="preserve"> ITEM NO.	QTY.	UNIT	ITEMS &amp; DESCRIPTION	 				 1	8	units	Home BP Apparatus, digital	 2	8	units	Pulse Oximeter, fingertip, OLED	 3	50	pcs	Axillary Thermometer, thermometer	 4	3	units	Thermoscanner	 5	7	units	Stethoscope, adult	 6	3	units	Nebulizer, portable	</t>
  </si>
  <si>
    <t xml:space="preserve"> REQUEST  FOR  QUOTATION RFQ NO. 2020-08-07-(9070) 								   		PR No. 2020-484 									    		                   August 7, 2020       Date      Company Name:	__________________________________________ Address		:	__________________________________________ </t>
  </si>
  <si>
    <t xml:space="preserve"> 1. 2 piece Air Filter KW2448C2 2. 2 piece Air Filter K28900 3. 4 piece Fuel Filter FF5052 4. 4 piece Main Engine Oil Filter C3401544 5. 103 liters Diesel Engine Oil 6. 254 liters Synthetic Coolant</t>
  </si>
  <si>
    <t xml:space="preserve"> 1 Unit 5 TOR Floor Mounted ACU 1 Unit 1.5Hp Split Type Wall mounted ACU 3 Units 3 TOR Floor Mounted ACU Including installation.</t>
  </si>
  <si>
    <t xml:space="preserve"> 1. 3	units	EVAPORATIVE AIR COOLER	   		Airflow Volume	   		Suitable Area	   		Rated Power	   		Water Storage Capacity	   		Water Consumption	   		Sound Level	   		Dminemsion (h:w:d)	   		With Optional Stand	   		 	   		FEATURES:	   		• High Efficiency Hon</t>
  </si>
  <si>
    <t xml:space="preserve"> PLEASE QUOTE: PER LOT										 VEHICLE DISINFECTING MACHINE							"SUPPLIER/CONTRACTOR/  CONSULTANT’S PROPOSAL BOX "			 										 No.	"ITEM DESCRIPTION  (ITEM NAME &amp; TECHNICAL SPECIFICATIONS)"	QTY.	UNIT	UNIT COST	APPROVED BUDGET OF CONTRACT (ABC)		"FINA</t>
  </si>
  <si>
    <t xml:space="preserve"> 1	PC	EXECUTIVE OFFICE TABLE		P 14,999.00 		Specifications: 		* Executive Table 		* With Extension 		* Built in Drawers 		* Color: Dark Mahogany 		* Size 200W x 200D x 76H CM 13	PCS	OFFICE TABLE			P 65,000.00 		Specifications: 		* 5 Drawers for storage 		*</t>
  </si>
  <si>
    <t xml:space="preserve"> CONCRETE WORKS, MASONRY WORKS, TILE WORKS, FORM WORKS, METAL WORKS, CEILING WORKS, ELECTRICAL AND PAINTING WORKS MATERIALS.</t>
  </si>
  <si>
    <t xml:space="preserve"> Republic of the Philippines+A1:F30		Proj. Ref. No.	RFQ 57 - 2020		 Province of Davao Oriental		Name of Proj.	PROC. OF MEALS AND SNACKS FOR  MPDO		 Municipality of San Isidro		Location	San Isidro, Davao Oriental		 					 REQUEST FOR QUOTATION					 			Date:	</t>
  </si>
  <si>
    <t xml:space="preserve"> 1091	PCS	PERSONALIZED FACE MASK				P 54,550.00 		* Soft fabric / taffeta with pocket inside for filter 		* washable / reusable 		* 3-ply, garterized ear loops 		* Size: 220mm x 150mm 		* with sublimation print of organization logo 		and message in front I</t>
  </si>
  <si>
    <t xml:space="preserve"> Please download associated components</t>
  </si>
  <si>
    <t xml:space="preserve"> 2 boxes bond paper (long) 2 Boxes bond paper (short)</t>
  </si>
  <si>
    <t xml:space="preserve"> Standard Form No. SF INFR-05		                Project Reference No.: CATCAM-2020-25 Revised on July 28,2004                   	                 Name of Project: POBLACION-MADLING-QUIDAG-UM  ACCESS                                                           </t>
  </si>
  <si>
    <t xml:space="preserve"> Republic of the Philippines Province of Misamis Occidental Municipality of Jimenez REQUEST FOR QUOTATION _______________________					PR#:___________________________ _______________________					Date: __________________________ 	Please quote hereunder your </t>
  </si>
  <si>
    <t xml:space="preserve"> 1 job order catering services for 262 pax ( 1 meal &amp; 2 snacks) 65,500.00</t>
  </si>
  <si>
    <t xml:space="preserve"> GI ELBOW 3/4" X 90 DEG INSERT WATER 1/2"</t>
  </si>
  <si>
    <t xml:space="preserve"> NCBI NBS20A Power Supply for Radio Base	2	Units ICOM IC-2300H RADIO BASE	1	Unit DIAMOND BASE ANTENNA	2	PCS. RG8 CABLE WIRE	1	ROLL</t>
  </si>
  <si>
    <t xml:space="preserve"> Republic of the Philippines City of Dapitan BIDS AND AWARDS COMMITTEE INVITATION TO BID August 06, 2020 	 The City Government of Dapitan, through its Bids and Awards Committee (BAC), invites interested parties to apply for eligibility and, if found eligib</t>
  </si>
  <si>
    <t xml:space="preserve"> Invitation to Bid for   Supply of Labor &amp; Materials  For the Construction of Materials Recovery Facility (MRF)  at Brgy. halang, Butong, Tulo, Bolbok, Poblacion Zone 5, Mahabang Lodlod, Taal Batangas cb-infra-2020-05 1.The Municipal Government of Taal, th</t>
  </si>
  <si>
    <t xml:space="preserve"> Republic of the Philippines					 Province of Palawan					 MUNICIPALITY OF EL NIDO					 PR No.	 Name of Procuring Entity: Municipal Government of El Nido			RFQ No.	2020-376-MHO	 Date:		 Office/End-User: MHO					 Company Name					 Adress:					 Business Perm</t>
  </si>
  <si>
    <t xml:space="preserve"> TO BE USED FOR TEACHING LEARNING OPERATION OF SENIOR HIGH SCHOOL STUDENTS IN THEIR LANGUAGE PERFORMANCE TASKS.</t>
  </si>
  <si>
    <t xml:space="preserve"> 2 boxes bond paper (long) 2 boxes bond Paper (short)</t>
  </si>
  <si>
    <t xml:space="preserve"> 20	unit	1 TB HARD DRIVE				P 40,000.00 		Specifications: 		USB 3.0 &amp; 2.0 connectivity 		1 TB Storage Capacity 		Data Transfer , 640Mbps (5Gbps) 		Blackward Compatible with USB 2.0 		OS: Windows 10 , Windows 8 , Windows 7 ,  		Windows Vista, Windows XP , S</t>
  </si>
  <si>
    <t xml:space="preserve"> Invitation to Bid for   Supply of Labor &amp; Materials  For the Construction / Rehabilitation of Local Roads  at Brgy. Laguile Taal Batangas    CB-INFRA-2020-04 1.The Municipal Government of Taal, through the General Fund intends to apply the sum of  Five Hu</t>
  </si>
  <si>
    <t xml:space="preserve"> Please see attached ITB. ABC: 258,718.00</t>
  </si>
  <si>
    <t xml:space="preserve"> 3 Pcs. Kyocera Toner (TK-1175) 8 Pcs. 85 A HP Toner 3 Pcs. 78 A HP Toner 3 Pcs. 35 A HP Toner 3 Pcs. 36 A HP Toner 6 Pcs. 79 A HP Toner ********************************************************************************************</t>
  </si>
  <si>
    <t xml:space="preserve"> Delivering/furnishing of various common medical supplies only ***** Nothing follows *****</t>
  </si>
  <si>
    <t xml:space="preserve"> NAME OF ACTIVITY: PURCHASE OF ICT EQUIPMENT (CAPITAL OUTLAY) FOR THE IMPLEMENTATION OF UNCONDITIONAL CASH TRANSFER PROGRAM  CY 2020 August - Decemeber 2020 1	unit	DOCUMENT SCANNER				P 30,000.00 		Specifications: 		Dimension: 6.6 x 11.6 x 6.9 (W x D x H) </t>
  </si>
  <si>
    <t xml:space="preserve"> Republic of the Philippines Province of Leyte Municipality of Tabango Invitation to Bid for Repair/ Recondition of Stake Truck  The Local Government Unit of Tabango, through the General Fund intends to apply the sum of Two Hundred Twenty-Four Thousand Two</t>
  </si>
  <si>
    <t xml:space="preserve"> INVITATION TO APPLY FOR ELIGIBILITY AND TO BID THE MUNICIPALITY OF CAIBIRAN, BILIRAN IS INVITING ALL INTERESTED BIDDERS ON ITS FORTHCOMING PUBLIC BIDDING FOR: Project Title 	: Acquisition of Medical Equipment Location	        : RHU, LGU - Caibiran, Bilira</t>
  </si>
  <si>
    <t xml:space="preserve"> 100 PCS CYCLING JERSEY Specification: Cloth: Web drifit Thickness: Moderately thick Type: Short sleeve Drifit &amp; Breathable,back pocket,Full Zipper length,tight fit   Remarks : Refer to PSYDO for the Sizes and Design</t>
  </si>
  <si>
    <t xml:space="preserve"> Invitation to Bid for the   ESTABLISHMENT OF VEGETABLE GREENHOUSE The MUNICIPALITY OF ISULAN, through the DA RFO 12 (BUB 2016)  intends to apply the sum of TWO HUNDRED FIFTY-THREE THOUSAND NINE HUNDRED THIRTY-FIVE  PESOS ONLY (PHP 253,935.00) being the Ap</t>
  </si>
  <si>
    <t xml:space="preserve"> 35 SACK GOOD RICE</t>
  </si>
  <si>
    <t xml:space="preserve"> Purchase of Office Supplies</t>
  </si>
  <si>
    <t xml:space="preserve"> ITEM NO.	QTY.	UNIT	ITEMS &amp; DESCRIPTION	 				 			X-RAY Film Digital	 1	20	bxs	Drystar 5302 10 x 12	 2	7	bxs	Drystar 5302 14 x 17	 3	29	bxs	X-Ray envelope 10x12	 4	18	bxs	X- ray envelope 14x17	 5	6	bxs	X-Ray Developer for Automatic Processor	 6	2	bxs	X- Ray</t>
  </si>
  <si>
    <t xml:space="preserve"> Please contact BAC Secretariat for details</t>
  </si>
  <si>
    <t xml:space="preserve"> 1.	50	box/es	Azithromycin 500mg tab 3s 2.	1000	vial/s	Cefuroxime 750mg 3.	44	bottle/s	Dicycloverine syrup 4.	10	box/es	Eperisone 50mg tab 100s 5.	40	ampule/s	Gentamycin 40mg ml 2ml 6.	150	ampule/s	Hydralazine 20mg 7.	800	ampule/s	Keterolac 30mg/ ml 1ml 8.</t>
  </si>
  <si>
    <t xml:space="preserve"> BIDS AND AWARDS COMMITTEE (BAC) REQUEST FOR QUOTATION Date:  August 7, 2020 The Department of Education City Schools Division of Biñan City through its Bids and Awards Committee (BAC) intends to procure PURCHASE OF PROVISION OF LABOR AND MATERIALS FOR THE</t>
  </si>
  <si>
    <t xml:space="preserve"> PLEASE QUOTE: PER LOT										 0							"SUPPLIER/CONTRACTOR/  CONSULTANT’S PROPOSAL BOX "			 										 No.	"ITEM DESCRIPTION  (ITEM NAME &amp; TECHNICAL SPECIFICATIONS)"	QTY.	UNIT	UNIT COST	APPROVED BUDGET OF CONTRACT (ABC)		"FINANCIAL PROPOSAL  (Indicate t</t>
  </si>
  <si>
    <t xml:space="preserve"> 70% CHLORINE CONTENT</t>
  </si>
  <si>
    <t xml:space="preserve"> Repair of Air Conditioning Unit of Motor Vehicles</t>
  </si>
  <si>
    <t xml:space="preserve"> Envelope, Plastic Expanded Long w/ handle Toner - Canon Image Runner Advance GPR43 Bond Paper - A4, 70gsm Storage and Organizing Box - 50 liters (random color)</t>
  </si>
  <si>
    <t xml:space="preserve"> Please see attached RFQ. ABC: 227,000.00</t>
  </si>
  <si>
    <t xml:space="preserve"> 2,564	PCS	FACESHIELD , direct splash protection, full face shield	P 319,987.20 		Anti-fog , latext free , one size fits all , soft head foam ,  		comfort stretch band , disposable. 57,821	PCS	GLOVES, disposable , non-sterile latex , powder-free	P 177,510.</t>
  </si>
  <si>
    <t xml:space="preserve"> please see attached for details</t>
  </si>
  <si>
    <t xml:space="preserve"> SUPPLY &amp; DELIVERY OF CM FOR THE CONSTRUCTION OF STAFF HOUSE AND BODEGA</t>
  </si>
  <si>
    <t xml:space="preserve"> Requested by: MT V. Rodriguez/CMO - Permits/Licensing</t>
  </si>
  <si>
    <t xml:space="preserve"> Jr. Executive Table 2 PC Wheel Chair 2 PC Double Deck Bed 4 PC Water Dispenser, hot and cold electric 1 UNT Clerical Chair, Heavy Duty 20 UNT Monoblock Table 10 PC High Chair 1 UNT Executive Chair, Heavy Duty 1 UNT Jr. Executive Chair, heavy Duty 10 UNT F</t>
  </si>
  <si>
    <t xml:space="preserve"> 3,000 cps Newsletter 12 pages Material: Newsprint 4 colors all pages NOTE: The supplier must be within the locality to serve immediately, the possible changes, and layout</t>
  </si>
  <si>
    <t xml:space="preserve"> INVITATION TO BID  PR# 20-07-067-052 DATED JULY 9, 2020  SUPPLY AND DELIVERY OF VARIOUS FURNITURES DEPED, Division of San Carlos City, Negros Occidental 1.	The DEPED, Division of San Carlos City, through the General Appropriations Act (GAA) intends to app</t>
  </si>
  <si>
    <t xml:space="preserve"> Invitation to Bid to all Supplier/Contractr duly accredited by the City Cpuncil of Manila to supply and deliver the following items provided hereunder, to wit; Item	Qty.	 	Unit	 	 	 	DESCRIPTION 1	 	10	 	Rolls	Stranded Electrical Wire #12	  2	 	13	 	Units</t>
  </si>
  <si>
    <t xml:space="preserve"> Republic of the Philippines Province of Pampanga Municipality of Lubao INVITATION TO BID FOR UPGRADING OF BARANGAY ROAD AT REMEDIOS                                             PBD INFRA – 2020 - 075  The Municipality of Lubao (MOL), through its Bids and A</t>
  </si>
  <si>
    <t xml:space="preserve"> 115 vial Levofloxacin 5mg/ml, 100ml.VI.</t>
  </si>
  <si>
    <t xml:space="preserve"> Please see attached RFQ for more details. For queries / concerns, please contact us at BAC.SDOBenguet@gmail.com.</t>
  </si>
  <si>
    <t xml:space="preserve"> The Local Government Unit of Barugo, through the General Fund – Supplemental Budget No. 4  intends to apply the sum of Five Hundred Thirty Thousand Pesos only (Php530,000.00) being the Approved Budget for the Contract (ABC) to payments under the contract </t>
  </si>
  <si>
    <t xml:space="preserve"> 420 CU M LIME SOIL ( ON SITE DELIVERY) 100 LITERS DIESEL FULE</t>
  </si>
  <si>
    <t xml:space="preserve"> Invitation to Bid for   Supply of Labor &amp; Materials  For the Construction / Rehabilitation of Local Roads   Brgy. Seiran Taal Batangas cb-infra-2020-06   1.The Municipal Government of Taal, through the General Fund intends to apply the sum of  Four Hundre</t>
  </si>
  <si>
    <t xml:space="preserve"> Republic of the Philippines DEPARTMENT OF PUBLIC WORKS AND HIGHWAYS Region VII            South Road Properties (SRP), Cebu City                                        Contract ID	 : 20H00082 Contract Name   : Organizational Outcome 1: Ensure Safe and Rel</t>
  </si>
  <si>
    <t xml:space="preserve"> 1. Please quote your best offer for the Supply of electrical materials and services for the relocation of NIA-MARIIS Electrical Poles / Transmission containing 1 Lot to be procured under Small Value Procrement and to be delivered/completed Within 45 DAYS,</t>
  </si>
  <si>
    <t xml:space="preserve"> 1 License One (1) Year Subscription for License AUDIO-VISUAL VIRTUAL PLATFORM</t>
  </si>
  <si>
    <t xml:space="preserve"> RFQ attached</t>
  </si>
  <si>
    <t xml:space="preserve"> The Barangay Government of Concepcion Pequeña, Naga City intends to apply for the sum of Six Hundred Thousand Pesos (Php 600,000.00) to payments under the contract for the proposed Auxiliary of Three (3) Educare Centers (Dona Clara Village, Julian B. Meli</t>
  </si>
  <si>
    <t xml:space="preserve"> One Lot Job for the Termite Proofing Treatment at Provincial  				Engineer’s Office, Main Building, Laguinbanua East,  				Numancia, Aklan</t>
  </si>
  <si>
    <t xml:space="preserve"> MOOE Procurement for the month of April, May and June 2020</t>
  </si>
  <si>
    <t xml:space="preserve"> LOT A									 1	Unleaded Gasoline							1	lot	9,700.00 										 	Terms &amp; conditions:									 	    1. The supplier shall start to serve within three (3) days upon receipt of the advice									 	           from the project engineer until the project is</t>
  </si>
  <si>
    <t xml:space="preserve"> 24 SHTS PHENOLIC BOARD 3/4 AND OTHER ITEMS FOR OFFICE USE.</t>
  </si>
  <si>
    <t xml:space="preserve"> BOND paper A4 - Substance 20, 70 gsm</t>
  </si>
  <si>
    <t xml:space="preserve"> Sizes:   XSmall - 21 pcs   Small   - 34 pcs   Medium- 89 pcs   Large   - 69 pcs   XLarge - 24 pcs   2XL      - 5  pcs</t>
  </si>
  <si>
    <t xml:space="preserve"> *STEEL BAR - Deformed Round Bar, 10mmØ x 6m - Grade 33 (100 lgth/s) *PORTLAND CEMENT - ASTM C-150,C-595 type I, 40 kgs, Plastic Bag (100 bags) *PIPE - PVC Elbow 90° #3Ø S1000 (40 pcs) *PIPE - PVC Pipe #3"Ø x 10'  S-1000 (45 lgth/s) *PIPE - PVC Pipe #4"Ø x</t>
  </si>
  <si>
    <t xml:space="preserve"> Generator: Diesel Engine, SIP ,5000 W, 12Vdc 230 V ac, output 83kg</t>
  </si>
  <si>
    <t xml:space="preserve"> 50		reams		Bond Paper; Legal, 70 gsm. 9		pieces		Record Book; 300 Pages 5		pieces		Record Book; 500 Pages 1		box		Ballpen; Black 50		pieces		Folder; Long 1		unit		Stapler; Big, #35 2		boxes		Stapler Wire; #35 1		pad		DTR 2		boxes		Sign Pen; Black, .5 1		b</t>
  </si>
  <si>
    <t xml:space="preserve"> Invitation to Bid for   Supply of Labor &amp; Materials  For the Construction of Multi-Purpose Center Located  Buli Taal Batangas cb-infra-2020-08    1.The Municipal Government of Taal, through the General Fund intends to apply the sum of  Three Million Four </t>
  </si>
  <si>
    <t xml:space="preserve"> 48" x 96" x 3/4" Melamine Board (Matte Finish)		15	shts. 1/4" Frosted Clear Glass		                                16	pcs. 1 ¾ " x 3" Rectangular Tube (Analok)		                  8	lnght 1 ¾" x 1 ¾" Square Tube (Analok)		                  8	lnght ED Bulln</t>
  </si>
  <si>
    <t xml:space="preserve"> 1. The Total Approved Budget for the Contract (ABC) is Fifty Six Thousand Two Hundred Fifty Three Pesos (Php 56,253.00). 2. Price quotation/s should be inclusive of tax obligations. 3. Evaluation of bids will be conducted either on a “per item” or “lot” b</t>
  </si>
  <si>
    <t xml:space="preserve"> 2,000 cps Magazine Annual Report - Bisaya Version 4 colors all pages 24 pages Size: 12" x 8.5" Material: C2S 120 &amp; BK. 50 NOTE: The supplier must be within the locality to serve immediately, the possible changes, and layout.</t>
  </si>
  <si>
    <t xml:space="preserve"> The AGRICULTURAL TRAINING INSTITUTE-REGIONAL TRAINING CENTER (ATI-RTC) X, through the 2020 General Appropriations Act intends to apply the sum of Thirty Four Thousand Five Hundred Pesos (P 34,500.00) being the Approved Budget for the Contract (ABC) to pay</t>
  </si>
  <si>
    <t xml:space="preserve"> Republic of the Philippines Cordillera Administrative Region Provincial Government of Abra Bangued Invitation to Bid for the ROAD OPENING AND IMPROVEMENT OF MALABBAGA FARM TO MARKET ROAD (PHASE 1) 1.	The PROVINCIAL GOVERNMENT OF ABRA, through the Governme</t>
  </si>
  <si>
    <t xml:space="preserve"> Republic of the Philippines														 Province of Occidental Mindoro														 Mamburao, Occidental Mindoro														 REQUEST FOR QUOTATION														 Date of Posting:	August 07, 2020					Ref. No.		RN 494-2020						 						PR No.		1101-10-20</t>
  </si>
  <si>
    <t xml:space="preserve"> SUPPLY AND DELIVERY OF OFFICE EQUIPMENT (LOT) I UNIT RIZO MACHINE 1 UNIT COLORED COPIER 2 UNITS PAPER SHREDDER</t>
  </si>
  <si>
    <t xml:space="preserve"> Invitation to Bid for   Supply of Labor &amp; Materials  For the Proposed Site Development of the Evacuation Center located  at Brgy. Carsuche Taal Batangas   cb-infra-2020-10     1.The Municipal Government of Taal, through the General Fund intends to apply t</t>
  </si>
  <si>
    <t xml:space="preserve"> JOB ORDER: To provide catering services good for 300 participants  during the Culminating Exercises of the University on the Air on Rice Production &amp; Modernization on the following schedules:   Packed Lunch only     Cluster 1      October 14, 2020        </t>
  </si>
  <si>
    <t xml:space="preserve"> 1. The Total Approved Budget for the Contract (ABC) is Sixty Five Thousand Pesos (Php 65,000.00). 2. Price quotation/s should be inclusive of tax obligations. 3. Evaluation of bids will be conducted either on a “per item” or “lot” basis. 4. Delivery/compl</t>
  </si>
  <si>
    <t xml:space="preserve"> publication of Municipal Revenue Code in two consecutive weeks and Municipal Zoning Ordinance (once) in the Newspaper (see attached)</t>
  </si>
  <si>
    <t xml:space="preserve"> 50 cps Magazine 50copies / 80 pages 4 Colors All Pages Material Cover: C2S 220 Inside: C2S 80 Size: 12" x 9" NOTE: The supplier must be within the locality to serve immediately, the possible changes, and layout.</t>
  </si>
  <si>
    <t xml:space="preserve"> Foot Bath Sanitation Set Lot 1 Foot Bath Tray with Rubber Dirt Mat Size of Tray - 61cm x 38.4cm x 2cm Material of Tray – Stainless Color of Rubber Dirt Mat – Black Quantity: 3 pieces Price: Php2,000.00 Lot 2 Foot Bath Tray with Cloth Rug (to use for dryin</t>
  </si>
  <si>
    <t xml:space="preserve"> see attached program of works</t>
  </si>
  <si>
    <t xml:space="preserve"> Sardines - green, 155grams Noodles  - chicken flavor, 55grams</t>
  </si>
  <si>
    <t xml:space="preserve"> INVITATION TO BID FOR  Procurement of Medical, Dental and Laboratory Supplies-Rebid 1.	The Ospital ng Palawan, through its General Fund for CY 2020 intends to apply the sum of Two Million Six Hundred Thirty-Nine Thousand Nine Hundred Thirty-Eight Pesos an</t>
  </si>
  <si>
    <t xml:space="preserve"> BIDS AND AWARDS COMMITTEE INVITATION TO BID The  Barangay Lopoc  of Labason, Zamboanga del Norte, through its Bids and Awards Committee (BAC), invites eligible suppliers/contractors to bid for the hereunder project: Name of Project and Description:  Const</t>
  </si>
  <si>
    <t xml:space="preserve"> Please see attached RFQ. ABC: 51,250.00</t>
  </si>
  <si>
    <t xml:space="preserve"> NOTICE TO THE PUBLIC REQUEST FOR PROPOSAL Purchase Request No: PUR20-07-0618, 0619,0620,0628,0629 and PUR20-07-0630 The Philippine General Hospital hereby informs the public that it will be procuring the following item/s through Small Value Procurement: 1</t>
  </si>
  <si>
    <t xml:space="preserve"> Supply &amp; Delivery of ICT Materials for the Network repair, maintenance and internet Fiber optic service entrance conduit Installation 01D(HES) H15-2020 Kindly see attached file. Thank you!</t>
  </si>
  <si>
    <t xml:space="preserve"> 150,100 pcs	Expanded ENBS English Brochure                                                                               Size:                            8.375 x 10.8375 Stock:                         Bookpaper 60 Colors:                        full color</t>
  </si>
  <si>
    <t xml:space="preserve"> Please download and then print the attached Request for Price Quotation Form (RFQ Form) if you want to bid/quote and also if your business is registered as supplier in PhilGEPS. To view this attachment, just click “ORDER” opposite the ASSOCIATED COMPONENT</t>
  </si>
  <si>
    <t xml:space="preserve"> For use in RADDL, for DA- Biotech R1607 : Molecular Detection and Mapping of Common Gastrointestinal Parasites of Ruminants in Region 2</t>
  </si>
  <si>
    <t xml:space="preserve"> You can submit your accomplished RFQ form  @ BAC Office, Bogo City Hall, Cayang, Bogo City, Cebu  or email us @ bogobacoffice2019@gmail.com / 	      bogocpdo@gmail.com Not later than the closing date.</t>
  </si>
  <si>
    <t xml:space="preserve"> please see attached document</t>
  </si>
  <si>
    <t xml:space="preserve"> 25 participants in 12 days</t>
  </si>
  <si>
    <t xml:space="preserve"> The AGRICULTURAL TRAINING INSTITUTE-REGIONAL TRAINING CENTER (ATI-RTC) X, through the 2020 General Appropriations Act intends to apply the sum of Thirteen Thousand Seven Hundred Pesos (P 13,700.00) being the Approved Budget for the Contract (ABC) to payme</t>
  </si>
  <si>
    <t xml:space="preserve"> Supply and Delivery of 135 Sacks of Rice for the Month of August 2020: QTY 	UNIT	DESCRIPTION/SPECIFICATIONS 135	Sack	RICE (50 KILOS) 		OTHER REQUIREMENTS: 		Quality : 2% Broken, Well-milled, Bago, Fragrant, White Rice  		Variety:  Premium Grade 		Packagin</t>
  </si>
  <si>
    <t xml:space="preserve"> ¬ REQUEST FOR QUOTATION (RFQ)  SUPPLY AND DELIVERY OF INKS AND TONERS FOR OFFICE SUPPLIES STOCK RFQ NO. EMB-EMB-PGSS 103-08-07-2020-2ND POSTING PR NO.2020-0437   1.	The Department of Environment and Natural Resources – Environmental Management Bureau (DEN</t>
  </si>
  <si>
    <t xml:space="preserve"> BIDS AND AWARDS COMMITTEE REQUEST FOR QUOTATION The  Barangay Lopoc  of Labason, Zamboanga del Norte, through its Bids and Awards Committee (BAC), invites eligible suppliers/contractors to bid for the hereunder project: Name of Project and Description:   </t>
  </si>
  <si>
    <t xml:space="preserve"> National Power Corporation INVITATION TO BID PUBLIC BIDDING 2020-0275 1.	The NATIONAL POWER CORPORATION (NPC), through       its        approved       Corporate Budget of CY 2020 intends to apply   the   sum   of (Please see schedule below) being the Appr</t>
  </si>
  <si>
    <t xml:space="preserve"> The City Government of Tagum, through its Bids and Awards Committee (BAC) hereby invites all interested PhilGEPS registered suppliers to submit bids for the procurement of goods. Bids received in excess of the ABC shall be automatically rejected at bid op</t>
  </si>
  <si>
    <t xml:space="preserve"> Subdivision of Lot 108 PLS-080-000088 Brgy. Sto. Nino, San Juan, Southern Leyte	3	lots Preparation of parcilliary plan with vicinity map of lot of 2554-C, PSP-032010-D (Cemetery Lot)	1	lot</t>
  </si>
  <si>
    <t xml:space="preserve"> 1.	The Municipal Government of Burgos, Ilocos Norte, through the General Fund intends to apply the sum of PhP170,000.00 being the Approved Budget for the Contract (ABC) to payments under the contract for Purchase of Office Equipment, Furniture/Fixture for</t>
  </si>
  <si>
    <t xml:space="preserve"> 25 pieces Printer 1 piece Printer (3 in 1: print, scan, and photocopy)</t>
  </si>
  <si>
    <t xml:space="preserve"> 1  5 PC FH-7800 HIGH BACK MESH OFFICE CHAIR BLACK 2  10 PC FLIICH HOME MESH BACK OFFICE CHAIR CHROME BASE BLACK SEE ATTACH PICTURE SAMPLE.</t>
  </si>
  <si>
    <t xml:space="preserve"> 1 Laptop (for office use) 1 unit Display -13.3 inch (diagonal) LED-backlit display with IPS technology; 2560-by-1600 native resolution at 227 pixels per inch with support for millions of colors -Suppported scaled resolutions: 1680 by 1050 1440 by 900 1024</t>
  </si>
  <si>
    <t xml:space="preserve"> 350 pcs Customized/Personalized Plastic Water TUMBLER Specifications: Body: Double wall Plastic Tumbler w/ Paper inserted. Cup accessories: W/ cover/Dringking cup Material: BPA Free,PP Material,Eco- Friendly Volume/capacity: 16 oz   Remarks : Refer to PSY</t>
  </si>
  <si>
    <t xml:space="preserve"> 15.6 FHD NARROW BEZEL LAPTOP Intel Core i5-10210U Processor 6M Cache, up to 420 GHz 4GB RAM 256 SSD + 1TB HDD Intel HD Graphics NVIDIA GeForce MX230 Operating System:  LICENSED WINDOWS Ports: 3 USB 1HDMI 1 Headhone/microphone combo 1 RJ-45 with sling lapt</t>
  </si>
  <si>
    <t xml:space="preserve"> Republic of the Philippines														 Province of Occidental Mindoro														 Mamburao, Occidental Mindoro														 REQUEST FOR QUOTATION														 Date of Posting:	August 07, 2020					Ref. No.		RN 492-2020						 						PR No.		1021-2020-</t>
  </si>
  <si>
    <t xml:space="preserve"> 1.	The Barangay Government of Poblacion D, Tayug, Pangasinan through the Bids and Awards Committee intends to apply the sum of One Hundred Two Thousand Pesos Only (Php102,000.00) being the Approved Budget for the Contract (ABC) to payments under the contr</t>
  </si>
  <si>
    <t xml:space="preserve"> PLS. SEE ATTACHED PURCHASE REQUISITION, TERMS OF REFERENCE &amp; BID DOCS FOR DETAILS.</t>
  </si>
  <si>
    <t xml:space="preserve"> August 14, 2020 - Eligibility check, issuance of bidding documents. August 26, 2020 – 2:00 PM – Submission/Opening of bids at the Office of the BAC Chairman – Mun. Hall Tagkawayan, Quezon. Complete bidding documents may be purchased by the interested bidd</t>
  </si>
  <si>
    <t xml:space="preserve"> The DepED-CAR Regional Office through its Bids and Awards Committee (BAC), invites suppliers to quote for the project SUPPLY AND DELIVERY OF MATERIALS FOR THE REGIONAL OFFICE Quotations should be inclusive of tax.  The total approved Budget for the projec</t>
  </si>
  <si>
    <t xml:space="preserve"> please see attached Purchase Request</t>
  </si>
  <si>
    <t xml:space="preserve"> 800 pcs. Plastic Envelope, Expanded for legal size documents with push lock</t>
  </si>
  <si>
    <t xml:space="preserve"> GRASS CUTTER</t>
  </si>
  <si>
    <t xml:space="preserve"> Title:Procurement of 600 Ampule Diazepam 5 mg/ml,2ml Ampule,etc. under P.R.No. 0799-2020-Butuan Medical Center. Total ABC: Php 143,678.50 (INSTRUCTION AS TO THE REQUIRED FORM: For your price quotation, please use the attached Request for Quotation (RFQ) F</t>
  </si>
  <si>
    <t xml:space="preserve"> Republic of the Philippines Province of Leyte Municipality of Hilongos Barangay BUNG-AW INVITATION TO BID FOR THE PROCUREMENT OF OFFICE SUPPLIES 1.	The Sangguniang Barangay of Barangay Bung-aw, Hilongos, Leyte, through the General Fund/Ira   intends to ap</t>
  </si>
  <si>
    <t xml:space="preserve"> To provide catering services for the conduct of Updates on NCD Policies and Monitoring Tools for Cotabato Province nd Cotabato City on August 11-12, 2020 in Kidapawan City.</t>
  </si>
  <si>
    <t xml:space="preserve"> 1200 boxes  Blood Lancet (200s) Manufactured of cold-rolled, chrome, sterilized stainless steel Micro sharp point provides quick and clean puncture Precision engineering assures accuracy to 1/100mm in thickness Superior hardness and sharp point Individual</t>
  </si>
  <si>
    <t xml:space="preserve"> 1/2 " X 300M SDR 11 WITH METER INDICATOR COLOR : BLUE 3/4 " X 150M SDR 11 WITH METER INDICATOR COLOR : BLUE</t>
  </si>
  <si>
    <t xml:space="preserve"> Bids and Awards Committee							 REQUEST FOR QUOTATION							         The City Government of Pagadian, through its Bids and Awards Committee (BAC), invites suppliers/manufacturers/distributors to bid for the hereunder supplies/goods, charged to 3311-300-1</t>
  </si>
  <si>
    <t xml:space="preserve"> 1 75 LTRS. ALBENDAZOLE  2 10 BOTS. IVERMECTIN-100ML. TERMS AND CONDITIONS: 1. BIDDERS AND SUPPLIERS MUST INDICATE BRAND NAME IF NEEDED OF DRUGS TO BE QOUTED. 2. PRODUCTS SHOULD EXPIRE AT LEAST TWO (2) YEARS FROM RECEIPT. 3. ALL PRODUCTS REQUESTED SHOULD B</t>
  </si>
  <si>
    <t xml:space="preserve"> ADF capability Compact integrated tanks design Print speeds up to 15ipm for black and 8.0ipm fpr colour Eternet &amp; Wi-Fi direct Borderless Printing up to A4 size Spill-free ink refilling</t>
  </si>
  <si>
    <t xml:space="preserve"> Title:Procurement of 8 Box Electrolytes Reagent with on Board QC Set and Planner, 5 Parameters, 12 Boxes under P.R. No.2540-2020 - Butuan Medical Center. Total ABC: Php 640,000.00 (INSTRUCTION AS TO THE REQUIRED FORM: For your price quotation, please use </t>
  </si>
  <si>
    <t xml:space="preserve"> 235 bags cement 14 cu. m. washed sand 28 cu. m. crushed gravel 409 pcs 10mmØ RSB 20 kgs #16 Tie wire 12 pcs Hacksaw blade 5 pcs Construction pail -nothing follows-</t>
  </si>
  <si>
    <t xml:space="preserve"> Please quote your best price 1 unit Van Rental (drop off &amp; pick up / vice versa) ABC: 270,000.00 Please email your quotation Please download canvass form</t>
  </si>
  <si>
    <t xml:space="preserve"> 1	4 pcs	Toner TN118 (ineo 215)	 2	5 boxes	HP Toner 85A Toner	 3	10 boxes 	Bond Paper (long)	 4	10 boxes	Bond Paper (A4)	 5	10 boxes	Bond Paper (short)	 6	10 pcs	File Box with cover	 7	200 pcs	White Folder (long)	 8	6 pcs	Masking Tape (2")	 9	10 bottles	Ep</t>
  </si>
  <si>
    <t xml:space="preserve"> 1  25 PCS OXYGEN HIGH CONCENTRATION 100% NON-REBREATHER MASK WITH SURE FLOW TUBING AD  2 15 GAL ALCOHOL BASED DISINFECTANT  3 2 PCS THERMAL SCANNER  4 2 PCS BAG VALVE MASK (BVM) SET  5 50 PCS ELASTIC BANDAGE (4IN; 10CM)  6 30 BOX COTTON BALLS JUMBO 300'S </t>
  </si>
  <si>
    <t xml:space="preserve"> Requesting for Quotation (RFQ) for PR No. 2007496  Interested suppliers are invited to submit Sealed Price Quotations for the above listed items. The Request for Quotation (RFQ) for may be obtained from Mr. Albert A. Camarillo City General Services Office</t>
  </si>
  <si>
    <t xml:space="preserve"> RUST CONVERTER AND GREASE</t>
  </si>
  <si>
    <t xml:space="preserve"> kindly see attached file for your reference</t>
  </si>
  <si>
    <t xml:space="preserve"> 30 sacks Rice</t>
  </si>
  <si>
    <t xml:space="preserve"> Catering Services, Sound System, Office Supplies and Other Supplies for the ACO-ADCO OF SDSSU Lot A- Office Supplies @ P 23, 375.00 Lot B-Garments Supplies  @ P 8,400.00 Lot C- Tarpaulin @ P 1,500.00 Lot D- Sound System @ P 6,000.00 Lot E-Meals and Snacks</t>
  </si>
  <si>
    <t xml:space="preserve"> ANTIQUE BRANCH - SAFETY BARRIERS ABC : Php 66,000.00 Specifications attached.</t>
  </si>
  <si>
    <t xml:space="preserve"> 1. The Total Approved Budget for the Contract (ABC) is One Hundred Eighty Six Thousand One Hundred Pesos (Php 186,100.00). 2. Price quotation/s should be inclusive of tax obligations. 3. Evaluation of bids will be conducted either on a “per item” or “lot”</t>
  </si>
  <si>
    <t xml:space="preserve"> Invitation to Bid for the   CONSTRUCTION OF 6 UNITS MULTI-PURPOSE BUILDING FOR MOTORIZED RICE TRANSPLANTER The MUNICIPALITY OF ISULAN, through the DA RFO 12 (BUB 2016)  intends to apply the sum of SIX HUNDRED THOUSAND PESOS ONLY (PHP 600,000.00) being the</t>
  </si>
  <si>
    <t xml:space="preserve"> Supply and Delivery of Various Information/ Communication Technology Equipment</t>
  </si>
  <si>
    <t xml:space="preserve"> Pls. see the attached file</t>
  </si>
  <si>
    <t xml:space="preserve"> 1. The Total Approved Budget for the Contract (ABC) is One Hundred Thirty Six Thousand Seven Hundred Pesos (Php 136,700.00). 2. Price quotation/s should be inclusive of tax obligations. 3. Evaluation of bids will be conducted either on a “per item” or “lo</t>
  </si>
  <si>
    <t xml:space="preserve"> purchase of materials and payment for the services.</t>
  </si>
  <si>
    <t xml:space="preserve"> 300	Packs	Specialty paper board (light green/ 200gsm/ 8.5x13”) 50	Reams	Ream book paper substance 20 (long) 20	Reams	Ream book paper substance 20 (short) 10	Doz	Folder long (white) 1	Pc	Stamping pad #1 5	Bottles	Stamping pad ink 30ml 3	Pcs	Stapler with re</t>
  </si>
  <si>
    <t xml:space="preserve"> RFQ-GS-20200730-01 Interested Suppliers are invited to submit Price Quotation for the above listed item. The official LANDBANK Request for Quotation Form may be obtained from MR. ELMER ABUZO (tel no. 8 5512200 LOCALS 2290 &amp; 2979; email address: engr_elmer</t>
  </si>
  <si>
    <t xml:space="preserve"> 2	pc	 Biometrics Device with the following specs: 		 - Access control and time &amp; attendance 		 - display:  128x64 Mono Graphic LCD 		 - weather proof IPX3 Rating 		 - User Capacity:  200; Log Capacity:  5000 		 -  Communications:  TCP/IP, RS232/485, Weiga</t>
  </si>
  <si>
    <t xml:space="preserve"> 1 1 kg. 4" CW Nails  2 4 kg. 2½" CW Nails  3 3.5000 kg. 1½" CW Nails  4 302 pcs. 10mmØ x 6.0m RSB  5 56 kg. #16 G.I. Tie Wire  6 10 shts. 5mm Marine Plywood  7 10 pcs. Rubber Pail Remarks : For All RSB/DRB/DSB except 8mm RSB : Please coordinate with Quali</t>
  </si>
  <si>
    <t xml:space="preserve"> 1 Booster (2HP with adaptor ejector) 2 units 2 Water Tank (220 Gallons Stainless Steel No. 14) 2 units</t>
  </si>
  <si>
    <t xml:space="preserve"> Republic of the Philippines DEPARTMENT OF HEALTH DR. JOSE RIZAL MEMORIAL HOSPITAL Lawaan, Dapitan City Telefax; (065) 213-6421 Website: www.djrmh.doh.gov.ph Email: dohdjrmh@gmail.com BIDS AND AWARDS COMMITTEE INVITATION TO BID PROCUREMENT OF DRUGS AND MED</t>
  </si>
  <si>
    <t xml:space="preserve"> 1	6 pcs	Partition Panel	 		*thickness: 5 cm.	 		*Dim: H120X W60 cm.	 		*Color: Gray	 2	5 pcs	Partition Panel	 		*thickness: 5 cm.	 		*Dim: H72 X W110 cm.	 		*Color: Gray	 3	5 pcs	Table Top	 		*30 mm thick top	 		*Scratch and Chemical Resistant	 		*Dim: L1</t>
  </si>
  <si>
    <t xml:space="preserve"> brass gate valves, c.i. fittings, bolt, nut, pvc fittings (kindly see attached request for qoutation)</t>
  </si>
  <si>
    <t xml:space="preserve"> RFQ-GS-20200803-02 Interested Suppliers are invited to submit Price Quotation for the above listed item. The official LANDBANK Request for Quotation Form may be obtained from MS. KIM STO. TOMAS (tel no. 8 5512200 LOCALS 2452 TO 2453; email address: kimjoy</t>
  </si>
  <si>
    <t xml:space="preserve"> SUPPLY OF LABOR, MATERIALS, TOOLS AND EQUIPMENT FOR PCB TESTING OF TRANSFORMER OIL.</t>
  </si>
  <si>
    <t xml:space="preserve"> *GAUZE BANDAGE - 12's, 4"x10yards (50 boxes) *WET WIPES - 80sheets (100 packs) *INTERFOLDED TISSUE PAPER - 15cm x 20cm, 175 pulls (100 packs) *DISINFECTANT SPRAY - 170g (50 tins) *SURGICAL TRANSPORE TAPE - 12's, 1" (100 boxes) *Please see attached canvass</t>
  </si>
  <si>
    <t xml:space="preserve"> Line Item</t>
  </si>
  <si>
    <t xml:space="preserve"> SUPPLY OF DIVERS INCLUDING TOOLS, MATERIALS AND EQUIPMENT</t>
  </si>
  <si>
    <t xml:space="preserve"> Supply and Delivery of Various Office Equipment</t>
  </si>
  <si>
    <t xml:space="preserve"> *RICE - Well-milled Rice, High Quality 160 Variety, 50kg/sack (125 sacks) *Please see attached canvass form.</t>
  </si>
  <si>
    <t xml:space="preserve"> *PRINTING SERVICES - Booklet, Stand Program Activity Book (3,000 pcs) *DATA INFORMATION SHEET (10 reams) *Please see attached canvass form.</t>
  </si>
  <si>
    <t xml:space="preserve"> 142 pcs Classmate Chairs M3 w/o book tray BROWN</t>
  </si>
  <si>
    <t xml:space="preserve"> Filling documents</t>
  </si>
  <si>
    <t xml:space="preserve"> Republic of the Philippines Municipality of Bacacay Province of Albay INVITATION TO BID FOR THE SUPPLY AND DELIVERY OF CELLULAR PHONES 1. The Municipality of Bacacay, through the General Fund, intends to apply the sum of Two Hundred Twenty-Five Thousand P</t>
  </si>
  <si>
    <t xml:space="preserve"> Supply and Delivery of Materials for Construction of Materials Recovery Facility</t>
  </si>
  <si>
    <t xml:space="preserve"> To provide catering services for the conduct of PPE Donning, Doffing and Specimen Training (1st batch) on august 12-14, 2020 in General Santos City.</t>
  </si>
  <si>
    <t xml:space="preserve"> For the use of the Office of the Municipal Accountant, Local Government Unit - Nabua, Camarines Sur</t>
  </si>
  <si>
    <t xml:space="preserve"> Brace (Good Lumber) Common wire nails Marine plywood 16mm Deformed Bars 12mm Deformed Bars 10mm Deformed Bars 5 BI Pipe Cement Sand Gravel 2 x 2 1/4 Angle Bar 1 1/2 x 1 1/2 x 1/4 Angle Bar Welding Rod Roofling sheets with Purlins Epoxyprimer  Laquer Thinn</t>
  </si>
  <si>
    <t xml:space="preserve"> 1.	1000 liters – Diesoline Fuel 2.	20 liters – Motor Oil</t>
  </si>
  <si>
    <t xml:space="preserve"> Supply and Delivery of Materials for Completion of Laundry Area at Bayugan Community Hospital</t>
  </si>
  <si>
    <t xml:space="preserve"> attached</t>
  </si>
  <si>
    <t xml:space="preserve"> Republic of the Philippines MUNICIPALITY OF PANIQUI Province of Tarlac 	Solicitation No.: I-2020-023 Name of the Project      : Construction of Drainage with Shoulder (Phase 1) Location of the Project : Brgy. Nancamarinan, Paniqui, Tarlac INVITATION TO AP</t>
  </si>
  <si>
    <t xml:space="preserve"> 1 4 PCS UPPER SUSPENSION BUSHING  2 2 PCS LOWER SUPENSION BUSHING  3 2 PCS LOWER SUSPENSION BUSHING  4 2 PCS UPPER BALLJOINT  5 2 PCS LOWER BALLJOINT  6 2 PCS STRUT BAR BUSHING  7 1 PC TIMING BELT GEN.  8 1 PC IDLER BAR GEN.  9 1 PC AUTO TENSIONS GEN.  10</t>
  </si>
  <si>
    <t xml:space="preserve"> SUPPLY AND DELIVERY OF VARIOUS MATERIALS FOR OPERATIONS</t>
  </si>
  <si>
    <t xml:space="preserve"> 17 units Laptop Computer           50,000.00 Core i7-865u 2gb GEforce MX250 14 inch (16:9) LED Backlit FHD Windows 10 25 pcs wireless Mouse               800.00 2.4 Ghz wireless connection 10 meters wireless range Pls see attached P.R for complete specifi</t>
  </si>
  <si>
    <t xml:space="preserve"> RFQ-GS-20200706-01 Interested Suppliers are invited to submit Price Quotation for the above listed item. The official LANDBANK Request for Quotation Form may be obtained from MS. LUBELLE LUMABAS at Tel no. 8 4057233 to 34; email address: landbank2290@gmai</t>
  </si>
  <si>
    <t xml:space="preserve"> Supply and Delivery of Medical Equipment for BCH</t>
  </si>
  <si>
    <t xml:space="preserve"> Republic of the Philippines Province of Pampanga Municipality of Lubao INVITATION TO BID FOR CONCRETING OF BARANGAY ROAD AT SANTIAGO                                             PBD INFRA – 2020 - 074  The Municipality of Lubao (MOL), through its Bids and </t>
  </si>
  <si>
    <t xml:space="preserve"> Agriculture Office Quantity	Unit of Issue	Item Description 1	unit	Projector with screen Specifications: -	Wireless capability -	4000ansi lumens -	Lamplife 4500 hrs std. -	1000hrs eco. -	15000hrs extreme eco -	Ceiling mount capability 1	unit	Camera with Me</t>
  </si>
  <si>
    <t xml:space="preserve"> 1 unit Window type Aircondition -	Model: ETA 15WDR2HF -	Cooling Capacity: 1.5HP -	Power input: 1, 060 -	Floor Area: 18-24 -	Power source: 220V/60Hz 1Ph -	Running Current: 4.8 -	Unit dimension: 600 x 560 x 380 -	Net weight: 36.8 1 unit Split type Aircondit</t>
  </si>
  <si>
    <t xml:space="preserve"> 200	pc	Microfiber car cloth (color: assorted) 40	bottle	Car Shampoo 1 liter 50	pcs	Synthetic Chamois 20	bottle	All-purpose Lubricant rust remover and penetrating oil (191ml) 6	pc	Lengthened Squeegee cleaner brush shower car wiper sponge length 100cm 25	ca</t>
  </si>
  <si>
    <t xml:space="preserve"> 6	pcs.	RC Pipes #36" 30	bags	Portland Cement 4	cu.m.	Washed Sand 2	cu.m.	Washed Gravel 6	cu.m.	Boulders</t>
  </si>
  <si>
    <t xml:space="preserve"> 166 liters Gasoline (special)</t>
  </si>
  <si>
    <t xml:space="preserve"> Color Coded Garbage Bin to be used in Training Center in Compliance with Memo #220 Series of 2020 Issued by Sec. Lapeña 1	Pc	Plastic Dust Bin (60L, Green) 1	Pc	Plastic Dust Bin (60L, Yellow) 15	Pcs	Plastic Dust Bin (60L, Red) 15	Pcs	Plastic Dust Bin (60L,</t>
  </si>
  <si>
    <t xml:space="preserve"> Republic of the Philippines DEPARTMENT OF PUBLIC WORKS AND HIGHWAYS OFFICE OF THE REGIONAL DIRECTOR                                                                       Region VII                                                                           </t>
  </si>
  <si>
    <t xml:space="preserve"> Purchase and delivery of construction supplies and materials for the Proposed Single Barrel Box Culvert in Brgy. Alipaciawan, to wit: 318 bags Cement 16 cu.m. Sand 28 cu.m. Gravel 18 cu.m. Boulders 48 lgths. 16mm. Ø Deformed Steel Bars 145 lgths. 12mm. Ø </t>
  </si>
  <si>
    <t xml:space="preserve"> QUADRANT, STRAIN CLAMP</t>
  </si>
  <si>
    <t xml:space="preserve"> NO.	ITEM DESCRIPTION(ITEM NAME &amp; TECHNICAL SPECIFICATIONS)	QTY.	UNIT		 1		Handy box Adjustable – filling folder	6	Pc 2	Plastic folder –short assorted color	20	Pcs 3	Battery – AAA	10	Pcs 4	Plastic binder clip – 51mm/2 inches	1	doz</t>
  </si>
  <si>
    <t xml:space="preserve"> 2.40 m x 2.40 m x 2.40 m cubical CHB water tank</t>
  </si>
  <si>
    <t xml:space="preserve"> Other Supplies &amp; Materials Expenses</t>
  </si>
  <si>
    <t xml:space="preserve"> 2,500 reams A4 Paper, Multicopy, 70gsm, size: 210 x 297mm</t>
  </si>
  <si>
    <t xml:space="preserve"> 1 20 BAG WHITE SUGAR  2 10 BAG UREA FERTILIZER  3 3,000 PCS EMPTY PLASTIC BOTTLE (350 ml)  4 500 PCS EMPTY PLASTIC BOTTLE (1,000 ml)  5 40 LITER HERBICIDE (SYSTEMIC)  6 20 PCS MINERAL SALT BLOCK  7 2 UNIT KNAPSACK SPRAYER STAINLESS  8 2 PAIRS SWAMP BOOTS </t>
  </si>
  <si>
    <t xml:space="preserve"> Please see attached RFQ20-08-007 and Technical Specifications for reference</t>
  </si>
  <si>
    <t xml:space="preserve"> ITEMS &amp; 	             UNIT	1ST             2ND         TOTAL NUMBER  SPECIFICATIONS             4 WEEKS	4 WEEKS      OF COPIES	 GRADE 1	            CPS	59,789	59,790	119,579 GRADE 2	            CPS	105,602	105,603	211,205 GRADE 3	            CPS	11,934	11</t>
  </si>
  <si>
    <t xml:space="preserve"> The Barangay of Lamao, Limay Bataan through its Bids and Awards Committee (BAC) invites registered contractors to apply eligibility and if found eligible, to bid for the hereunder project/contract: PROJECT NAME: DEMOLITION OF PATHWAY SHED AND REINSTATEMEN</t>
  </si>
  <si>
    <t xml:space="preserve"> Please quote your best offer for the item described below, subject to the Terms and Conditions provided at the 2nd page portion of the attached request for quotation. 	Submit your quotation duly signed by you or your duly representative and copies of the </t>
  </si>
  <si>
    <t xml:space="preserve"> 1. Tire, 265/65R17 (5 pieces) - ₱40,000.00  2. Tire, 750/Rim15, tubeless-type (5 pieces) - ₱35,000.00</t>
  </si>
  <si>
    <t xml:space="preserve"> 1. The Total Approved Budget for the Contract (ABC) is Two Hundred Eighty Three Thousand One Hundred Eleven Pesos (Php 283,111.00). 2. Price quotation/s should be inclusive of tax obligations. 3. Evaluation of bids will be conducted either on a “per item”</t>
  </si>
  <si>
    <t xml:space="preserve"> 1 unit backhoe for 2 days</t>
  </si>
  <si>
    <t xml:space="preserve"> 796 Reams Bond Paper  -	A4 size (subs.20)</t>
  </si>
  <si>
    <t xml:space="preserve"> Attached</t>
  </si>
  <si>
    <t xml:space="preserve"> *Please email quotations and requirements to Ms. Elizabeth Pascual. beth.pascual@pms.gov.ph 8-733 4861/71 8 pcs. Toner Cartridge, HP CF360A (HP508A) Black Laserjet 2 pcs. Toner Cartridge, HP CF361A (HP508A) Cyan Laserjet 2 pcs. Toner Cartridge, HP CF362A </t>
  </si>
  <si>
    <t xml:space="preserve"> SCHOOLS DIVISION OFFICE City of Muntinlupa District of Muntinlupa I MUNTINLUPA ELEMENTARY SCHOOL Rizal St, Poblacion, Muntinlupa City Telefax: 02 828-8037 REQUEST FOR QUOTATION REPRODUCTION OF LEARNING MODULES The Muntinlupa Elementary School, through its</t>
  </si>
  <si>
    <t xml:space="preserve"> 1 1 assy Air Master Assembly  2 2 pcs Oil Seal BE 5384E  3 2 pcs Oil Seal N2221  4 5 ft Suction Hose  5 4 pcs Hose Clip All items must be brand new</t>
  </si>
  <si>
    <t xml:space="preserve"> Supply &amp; Delivery of Hardware Materials for the Network repair, maintenance and internet Fiber optic service entrance conduit Installation 01D(HES) H17-2020 Kindly see attached file. Thank you!</t>
  </si>
  <si>
    <t xml:space="preserve"> Project: PURCHASE OF RICE Location: Laurel, Batangas ABC: PHP180,334.00</t>
  </si>
  <si>
    <t xml:space="preserve"> metal shelves</t>
  </si>
  <si>
    <t xml:space="preserve"> External hard drive *2TB Storage capacity *USB 3.0 connectivity   *Bus powered *Plug-and-play compatible</t>
  </si>
  <si>
    <t xml:space="preserve"> Republic of the Philippines                                                              Province of Isabela                                                  MUNICIPALITY OF DELFIN ALBANO                               delfinalbano_gc@yahoo.com/gcdelfinalb</t>
  </si>
  <si>
    <t xml:space="preserve"> Request for Quotation August 7, 2020                                                                                     	 	Quotation No.  2020-08-072                                                                                       	 	 P.R. No.      </t>
  </si>
  <si>
    <t xml:space="preserve"> SUPPLY AND DELIVERY OF VARIOUS MATERIALS FOR OPERATION USE.</t>
  </si>
  <si>
    <t xml:space="preserve"> Equipment Rental last June 19  , 2020					 					 1		unit 	Wheel Backhoe 	 10.00 	 hrs.  1		unit 	Payloader	         8.00 	 hrs.  2		unit 	Dumptruck	 1.00 	 day  					 					 Equipment Rental last June 24  , 2020					 					 1		unit 	Wheel Backhoe 	 10.00 	 </t>
  </si>
  <si>
    <t xml:space="preserve"> for detailed specifications, please download the RFQ form here at the associated components or at the SPMC website ============================================================== Terms &amp; Conditions: 1. As a government agency, SPMC shall deal only with legi</t>
  </si>
  <si>
    <t xml:space="preserve"> FREIGHT AND HANDLING AND OTHER CHARGES AS PER SCOPE OF WORKS.</t>
  </si>
  <si>
    <t xml:space="preserve"> RFQ-GS-20200707-01 Interested Suppliers are invited to submit Price Quotation for the above listed item. The official LANDBANK Request for Quotation Form may be obtained from MS. LUBELLE LUMABAS (tel no. 8 4057233 to 34; email address: landbank2290@gmail.</t>
  </si>
  <si>
    <t xml:space="preserve"> Please quote your lowest price inclusive of VAT on the item/s listed below, subject to the Terms and Conditions of this RFQ, and submit your quotation duly signed by your representative not later than  AUGUST 14,  2020  at Bids and Awards Committee Katipu</t>
  </si>
  <si>
    <t xml:space="preserve"> The Local Government of San Mateo, through its Bids and Awards Committee (BAC), invites suppliers, manufacturers, distributors, contractors registered with the BAC in the Local Government of San Mateo, to apply for eligibility and if found eligible, to bi</t>
  </si>
  <si>
    <t xml:space="preserve"> Reproduction and Binding of Learning Modules (average of 30 pages per module) 2,169	copies	Elementary 925	copies	Junior HS 144	copies	Senior HS 		 		Note:  		Softbound w/ acetate cover 		Inside pages: A4 size, 70GSM</t>
  </si>
  <si>
    <t xml:space="preserve"> Supply and delivery of medical supplies.</t>
  </si>
  <si>
    <t xml:space="preserve"> Scope of Work			: Roofing, Ceiling, Comfort Room, Septic Tank	 12		pcs.	Square bar#10 mm x 6m	 3		pcs.	Flat Bar#1/4x1	 1		box	Tox	 1		box	Metal Screw	 6		pairs	2"x2" Hinges	 10		kls.	Welding Rod	 10		pcs.	Cutting Disc 	 2		pcs.	Grinding stone	 8		pcs.	Met</t>
  </si>
  <si>
    <t xml:space="preserve"> 2 pcs G.I Pipe 1 1/4 1 pc G.I Tee 1/4 2 pcs G.I Elbow 1/4 3 pcs G.I Nipple 1 1/4x3 1 pc Check valve 1 1/4 1 pc Check valve #1 1 pc Gate valve 1/2 10 pcs Faucet 1/2 31 pcs PCV Pipe 1/2 (93 meters) 56 pcs PVC Pipe 3/4 (169 meters) 20 pcs PVC T 1/2 40 pcs PV</t>
  </si>
  <si>
    <t xml:space="preserve"> LOCAL GOVERNMENT UNIT OF LALA	 Project Reference Number:  Name of the Project: Purchase of Office Supplies and Equipment for Lala Districts Office Location of the Project:  LALA, Lanao del Norte  									                                                  </t>
  </si>
  <si>
    <t xml:space="preserve"> 14	Gals	Isoprophyl Alcohol 70% 4	Pcs	Digital Thermal Scanner 14	Gals	Bleach 14	Gals	Hand Soap 10	Packs	Toilet Tissue paper (12 rolls) 1	Pc	3 in 1 Printer Bottomless (print,scan, copy) 70	Reams	Bond paper Long (subs. 20) 70	Reams	Bond paper A4 (subs. 20) 2</t>
  </si>
  <si>
    <t xml:space="preserve"> Line item</t>
  </si>
  <si>
    <t xml:space="preserve"> SUPPLY OF LABOR, TOOLS, EQUIPMENT AND EXPERTISED FOR THE STACK EMMISSION TESTING AND ANALYSIS OF 2X600KW CUMMINS VEE-TYPE(4 SMOKE STACK) AND 1X500KW MAN-CXZ(1 SMOKE STACK).</t>
  </si>
  <si>
    <t xml:space="preserve"> Republic of the Philippines Province of Albay Municipality of Sto. Domingo Bids and Awards Committee Request for Quotation: 08-02-2020 	The LGU- Sto. Domingo, Albay through its Bids and Awards Committee (BAC) invites Suppliers/Manufacturer/Distributors fo</t>
  </si>
  <si>
    <t xml:space="preserve"> Delivery of materials for the PROCUREMENT OF DRUG/MEDICINES AND MEDICAL SUPPLIES. Please attached RFQ.</t>
  </si>
  <si>
    <t xml:space="preserve"> RFQ-GS-20200715-05 Interested Suppliers are invited to submit Price Quotation for the above listed item. The official LANDBANK Request for Quotation Form may be obtained from MR. JENKIN DY (tel no. 8 5512200 LOCALS 2979, 2290; email address: jenkindy26@ya</t>
  </si>
  <si>
    <t xml:space="preserve"> PARTICULARS	DATE Pre-bid Conference @ BAC Conference Room, GSO, 1st floor, New Capitol Blg, Pigcarangan, Tubod,LDN on August 20,  2020 @ 10:00 AM Deadline for Submission of Eligibility requirements and bidding documents for  bid opening (all bids must be </t>
  </si>
  <si>
    <t xml:space="preserve"> ***Please see attached file.</t>
  </si>
  <si>
    <t xml:space="preserve"> Supply &amp; Delivery of Bondpapers for the Reproduction of Modules</t>
  </si>
  <si>
    <t xml:space="preserve"> Delivery of Materials for the IMPROVEMENT OF DAYCARE CENTER in Bato Daycare Center, Lacong, San Gabriel, La Union. Please see attached RFQ..</t>
  </si>
  <si>
    <t xml:space="preserve"> see attachment  (suppliers must be within Bacolod City only)</t>
  </si>
  <si>
    <t xml:space="preserve"> Procurement of Termites Control Services Approved Budget for the Contract : Eighty Five Thousand Pesos (Pho 85,000.00) Deadline of Submission of Quotation = August 12, 2020  Please see the attached Scanned RFQ, and Quotation Form</t>
  </si>
  <si>
    <t xml:space="preserve"> Please quote your lowest price for the requirements listed hereunder subject to the Terms and Conditions stated and submit to this office duly signed not later than 4:00 p.m. of August  11, 2020. Note: Interested suppliers are required to submit a VALID c</t>
  </si>
  <si>
    <t xml:space="preserve"> SUPPLY AND DELIVERY OF VARIOUS MATERIALS FOR OPERATION AND MAINTENANCE USE.</t>
  </si>
  <si>
    <t xml:space="preserve"> Republic of the Philippines Province of Iloilo Municipality of Lambunao Office of the Bids &amp; Awards Committee INVITATION TO BID/ REQUEST FOR PRICE QUOTATION Name of Project: Purchase of Materials for the Road Concreting Location: Brgy. Sibacungan, Lambuna</t>
  </si>
  <si>
    <t xml:space="preserve"> 18	Reams	Bond paper (long) subs.20 6	Reams	Bond paper (A4) subs.20 6	Reams	Bond paper (short) subs.20 2	Pcs	Flash Drive (16gb) 3	Pcs	Stapler #35 (heavy duty) 5	Boxes	Staple wire #35 1	Doz	Sign pen (black) 1	Doz	Colored envelop (paper, long, assorted color</t>
  </si>
  <si>
    <t xml:space="preserve"> 2 Pages Publication of Municipal Ordinance No.04 S. 2020 - An Ordinance Institutionalizing a comprehensive measure for the prevention, control and management of any infections, viral or any similar disease resulting to epidemics or public health emergency</t>
  </si>
  <si>
    <t xml:space="preserve"> Interested suppliers must submit the following documents, to wit: *MAYORS PERMIT *DTI REGISTRATION *COMPANY PROFILE *PHILGEPS REGISTRATION/MEMBERSHIP *SEC REGISTRATION</t>
  </si>
  <si>
    <t xml:space="preserve"> INVITATION TO BID 	The Bids and Awards Committee of Municipality of San Gabriel, La Union intends to apply the sum of TWO HUNDRED NINE THOUSAND SIX HUNDRED THIRTY FOUR PESOS (PHP  209,634.00) being the Approved budget for the Contract (ABC) to payments un</t>
  </si>
  <si>
    <t xml:space="preserve"> REQUEST FOR QUOTATION FOR THE SUPPLY AND DELIVERY PROCUREMENT OF 50 PCS. MONO BLOCK CHAIRS (GOOD QUALITY) Please quote your lowest price on the item/s listed below, subject to the General Conditions and stating the shortest time of delivery and submit you</t>
  </si>
  <si>
    <t xml:space="preserve"> Supply and Delivery of Various Materials for Installation of Electrical Wirings at Bayugan Community Hospital</t>
  </si>
  <si>
    <t xml:space="preserve"> INVITATION TO APPLY FOR ELIGIBILITY AND TO BID The Municipal Government of Piñan, Zamboanga del Norte through its Bids and Awards Committee (BAC), invites legitimate suppliers/dealers  to apply for eligibility and if found eligible, to bid for the hereund</t>
  </si>
  <si>
    <t xml:space="preserve"> Lot 1 - Const. Materials									 1	Portland Cement 							10	bags	260.00 	 Terms &amp; Conditions :									 	* The materials shall be picked up from the supplier within  10									 	working  days from  the receipt  of a  written advice by the project 					</t>
  </si>
  <si>
    <t xml:space="preserve"> This project is consist of Repainting on Second Floor, Repair of Roofings and Installation of Glass Doors and Windows.</t>
  </si>
  <si>
    <t xml:space="preserve"> INVITATION TO BID 	The Bids and Awards Committee of Municipality of San Gabriel, La Union intends to apply the sum of THREE HUNDRED SEVENTY FOUR THOUSAND FORTY FOUR PESOS &amp; 35/100 (PHP  374,044.35.00) being the Approved budget for the Contract (ABC) to pa</t>
  </si>
  <si>
    <t xml:space="preserve"> LOT A									 1	Unleaded Gasoline							1	lot	7,500.00 										 	Terms &amp; conditions:									 	    1. The supplier shall start to serve within three (3) days upon receipt of the advice									 	           from the project engineer until the project is</t>
  </si>
  <si>
    <t xml:space="preserve"> SUPPLY AND DELIVERY OF MATERIALS AND SUPPLIES FOR ELECTRICAL MAINTENANCE USE.</t>
  </si>
  <si>
    <t xml:space="preserve"> Day 1: 100	Pax	AM Snacks 		Pancit Guisado, ice tea in glass 100	Pax	Lunch 		Rice, Chicken cordon bleu, banana, water in bottle (200ml) 100	Pax	PM Snacks 		Tuna Sandwich, juice in bottle (200ml) 		 		Day 2 100	Pax	AM Snakcs 		Bihon, pineapple juice in can </t>
  </si>
  <si>
    <t xml:space="preserve"> ITEM NO.	ITEMS &amp; DESCRIPTION/S			QTY 				 1	Vacuum Oven			1 				 	Specifications:			 	Size: not smaller than:			 	Inner size: 40 x 40 x 40 cm			 	Outer size: 60 x 60 x 70 cm			 	Capacity: 64L			 	Digital PID controller, programmable			 	Stainless steel pl</t>
  </si>
  <si>
    <t xml:space="preserve"> NO.	ITEM DESCRIPTION(ITEM NAME &amp; TECHNICAL SPECIFICATIONS)	QTY.	UNIT		 1.	Tubeless Tire (70/90-17) Michelin	1 	Pc 2.	Tubeless Tire (120/70-17)	1	Pc</t>
  </si>
  <si>
    <t xml:space="preserve"> REQUEST FOR QUOTATION Procurement of Goods [Anti Sneezing Acrylic Barrier] The   City Government of Tagbilaran, through its Bids and Awards Committee (BAC) intends to apply the sum of Ninety-Five Thousand One Hundred Fifty-One (P95,151.00) pesos onlybeing</t>
  </si>
  <si>
    <t xml:space="preserve"> Procurement of Two Hundred (200) pcs Ball pen (blue) and Twenty One (21) other line items</t>
  </si>
  <si>
    <t xml:space="preserve"> INVITATION TO BID  SUPPLY AND INSTALLATION OF VENTILATION SYSTEM FOR THE PROPOSED MOLECULAR BIOLOGY LABORATORY IB No. 2020 - 08 1.	The Dr. PJGMRMC, through Bids and Awards Committee II, intends to apply the sum of FIVE MILLION EIGHT HUNDRED THOUSAND THREE</t>
  </si>
  <si>
    <t xml:space="preserve"> SEE ATTACHED PURCHASE REQUEST</t>
  </si>
  <si>
    <t xml:space="preserve"> REQUEST TO SUBMIT PROPOSAL/QUOTATION														 (Small Value Procurement - Sec. 53.9)														 								Date :						 														 														 Company / Store Name and Address														 														 	Please quote your lowest price on the </t>
  </si>
  <si>
    <t xml:space="preserve"> SUPPLY AND DELIVERY OF SPARE PARTS FOR OPERATION AND MAINTENANCE USE.</t>
  </si>
  <si>
    <t xml:space="preserve"> Approved Budget for the Contract : Two Hundred Seventy Eight Thousand Eight Hundred Pesos (Php 278,000.00) Deadline of Submission of Quotation = August 12, 2020 4:00 PM Please see the attached Scanned RFQ, Technical Specifications and Quotation Form</t>
  </si>
  <si>
    <t xml:space="preserve"> 10.75 cu.m.   Reinforced Concrete 50.0 sq.m.     Tile Works 230.0 sq.m.   Painting Works 11.88 sq.m.   Miscellaneous Hardware</t>
  </si>
  <si>
    <t xml:space="preserve"> To provide catering services for the conduct of PPE Donning, Doffing and Specimen Training (2nd batch) on august 26-28, 2020 in General Santos City.</t>
  </si>
  <si>
    <t xml:space="preserve"> 1 LOT SUPPLY AND DELIVERY OF HDPE PIPE &amp; PLASTIC UNION COUPLING (Please see attached RFQ for the complete description and quantity of each item) a) 3" Plastic Union Coupling, NLC b) 3" Dia x 50m long HDPE PIPE NOTE : 1. Approved Budget for the contract PH</t>
  </si>
  <si>
    <t xml:space="preserve"> RFQ-GS-20200708-07 Interested Suppliers are invited to submit Price Quotation for the above listed item. The official LANDBANK Request for Quotation Form may be obtained from MS.ARVIE ESTRELLA  (tel no. 8 5512200 LOCALS 2452 TO 2453; email address: avestr</t>
  </si>
  <si>
    <t xml:space="preserve"> Supply and Delivery of Dressing pad, 9 – 10 cm x 20 cm, transparent w/ absorbent pad Dressing pad, 9 – 10 cm x 20 cm, transparent w/ absorbent pad &amp; with or without window frame, waterproof	piece	230	500	115,000.00 ----------------------------------------</t>
  </si>
  <si>
    <t xml:space="preserve"> REQUEST FOR QUOTATION Procurement of Goods [Furnitures and Fixtures] The   City Government of Tagbilaran, through its Bids and Awards Committee (BAC) intends to apply the sum of One Hundred Thirty Thousand Nine Hundred Ten (P130,910.00) pesos onlybeing th</t>
  </si>
  <si>
    <t xml:space="preserve"> This project is consist of construction of Concrete Bench, Improvement of Perimeter Fence, Repair of Kitchen and Improvement of Brgy. Plaza.</t>
  </si>
  <si>
    <t xml:space="preserve"> Equirab	20	vial	46,000.00 Speeda	50	vial	75,000.00 Syringe 3cc	3	box	2,940.00</t>
  </si>
  <si>
    <t xml:space="preserve"> Lease of two (2) units laptop for four (4) months with specification:										2 Intel Core i5-8300H 8thgen										 Memory 8GB RAM										 Hard Drive 250GB										 OS Windows 10										 Dimensions 30.67 x 21.46 x 1.49 cm										 Lease/Rental-ICT</t>
  </si>
  <si>
    <t xml:space="preserve"> Item No.	Qty	Unit	Article / Description 1	1	unit	"3TR/4HP, Floor Mounted Inverter (KV36FM-ARF21C) - Free Outdoor Bracket (L-TYPE) - Free Installation "</t>
  </si>
  <si>
    <t xml:space="preserve"> Installation of Floor Tiles@ Second Floor, Repainting of Ground Floor, Installation of Railings and Fabrication of Storage and File Cabinets.</t>
  </si>
  <si>
    <t xml:space="preserve"> Item no.   311 Design Mix 1:2:4 Length        100 m. Width              2 m. Thickness       0.150 m. Area             200 sq. m.</t>
  </si>
  <si>
    <t xml:space="preserve"> Brief Description : Due to Covid-19, the tourism industry is very much affected. Mass gathering, travel and tourism activities are still limited. Most of the tourism destinations and sites are still closed for tourists, others already re-open their facili</t>
  </si>
  <si>
    <t xml:space="preserve"> SUPPLY AND DELIVERY OF FAST MOVING SPARE PARTS FOR ARACELI DPP.</t>
  </si>
  <si>
    <t xml:space="preserve"> INVITATION TO BID The Municipality of San Mateo, through its Bids and Awards Committee (BAC), invites suppliers, manufacturers, distributors, contractors registered with the BAC in the Municipality of San Mateo, to apply for eligibility and if found eligi</t>
  </si>
  <si>
    <t xml:space="preserve"> Republic of the Philippines										 DEPARTMENT OF EDUCATION										 Region VI - Western Visayas										 DIVISION OF NEGROS OCCIDENTAL										 Cottage Road Bacolod City										 										 REQUEST FOR QUOTATION (RFQ) FOR OFFICE SUPPLIES										 </t>
  </si>
  <si>
    <t xml:space="preserve"> See attached program of works</t>
  </si>
  <si>
    <t xml:space="preserve"> 19 units Steel Benches 10x3 tubular:  2x4               2x2 angle bar: 2x2</t>
  </si>
  <si>
    <t xml:space="preserve"> Please see attached RFQ20-08-006 for reference</t>
  </si>
  <si>
    <t xml:space="preserve"> 1. 258 pails Bituminous cold mix (40 kgs./pail)</t>
  </si>
  <si>
    <t xml:space="preserve"> I.    CONCRETE PAVEMENT  =       36.90 cu.m. II.   RCPC    =    6 PCS.</t>
  </si>
  <si>
    <t xml:space="preserve"> The Philippine Crop Insurance Corporation (PCIC) invites interested suppliers to send quotation for the “Supply and Delivery of Covid-19 Rapid Test Kit” as follows: Technical Specifications	 FDA-approved anti-body test kit, with acceptable performance of </t>
  </si>
  <si>
    <t xml:space="preserve"> 1	Television Set (Flat Screen 43")							1	unit   	30,000.00 2	Sound System with Complete Accessories (1-unit Professional mixer 							1	set	40,000.00 	6 mic line input/line 2 AU 24 Bit 99 DSP with USB abd Bluetooth, 20 meters, 									 	 Speaker Wire #</t>
  </si>
  <si>
    <t xml:space="preserve"> Republic of the Philippines																											 DEPARTMENT OF EDUCATION																											 Region VI - Western Visayas																											 DIVISION OF NEGROS OCCIDENTAL																											 Cottage Road Bacolod City												</t>
  </si>
  <si>
    <t xml:space="preserve"> Request for Quotation for  Internet Connection Installation and Set-up</t>
  </si>
  <si>
    <t xml:space="preserve"> Please see attached RFQ. ABC: 198,900.00</t>
  </si>
  <si>
    <t xml:space="preserve"> Contract ID:       20HL0114 Contract Name:  Construction of  2 STY 4 CL  School Building @ Palayuhan High                          School  Contract Location:  Siaton, Negros Oriental  Scope of Works:  Construction of  2 STY 4 CL  School Building Source of</t>
  </si>
  <si>
    <t xml:space="preserve"> 6 Pc. Brother BT-D60 (Black) 4 Pc. Brother BT-5000 (Cyan) 4 Pc. Brother BT-5000 (Magenta) 4 Pc. Brother BT-5000 (Yellow) 8 Pc. Flash Drive 32G USB 3.0 10 Pc. Wired Mouse - Logitech/A4Tech 6 Pc. Wired Keyboard - Logitech/A4Tech 10 Box Bond Paper (A4) 10 Bo</t>
  </si>
  <si>
    <t xml:space="preserve"> BIDS AND AWARDS COMMITTEE ATTENTION:		ALL INTERESTED BIDDERS 			 SUBJECT:	INVITATION TO BID –   Procurement of Fast Moving Other Supplies used for Covid-19 Mitigation DATE:	August 7, 2020 - - - - - - - - - - - - - - - - - - - - - - - - - - - - - - - - - -</t>
  </si>
  <si>
    <t xml:space="preserve"> REQUEST FOR QUOTATION											 FREIGHT OF TARPAULIN											 SMALL VALUE 											 											 INSTRUCTION:										              	 	1.	Supplies are required to read the instructions and fill all the blanks properly.									 	2.	The supplier may s</t>
  </si>
  <si>
    <t xml:space="preserve"> see Attached RFQ</t>
  </si>
  <si>
    <t xml:space="preserve"> SUPPLY AND DELIVERY OF MATERIALS AND SUPLIES FOR OPERATION AND MAINTENANCE US</t>
  </si>
  <si>
    <t xml:space="preserve"> Item No.	Qty	Unit	Article / Description 1	1	pc	Fuel Pump Filter 21620116 2	1	pc	Fuel Filter 3	1	pc	Fuel Filter Extra FWS 4	1	pc	Primary Filter FWS</t>
  </si>
  <si>
    <t xml:space="preserve"> TANK SF6 GAS</t>
  </si>
  <si>
    <t xml:space="preserve"> Republic of the Philippines														 Province of Occidental Mindoro														 Mamburao, Occidental Mindoro														 REQUEST FOR QUOTATION														 Date of Posting:	August 07, 2020					Ref. No.		RN 493-2020						 						PR No.		8731-2020-</t>
  </si>
  <si>
    <t xml:space="preserve"> R/M OF BUILDINGS</t>
  </si>
  <si>
    <t xml:space="preserve"> Vehicle Rental to be used for the PRISM Project during the conduct of monitoring visits, damage assessments, data collection on yield estimates, farmer interviews, validation of rice and non-rice areas from August to December, for CY 2020 		 LOT 1 Php541,</t>
  </si>
  <si>
    <t xml:space="preserve"> INVITATION TO BID  Supply, Delivery and Testing of  One (1) unit Brand New Multi-Purpose Van IB No. 2020 - 09 1.	The Dr. PJGMRMC, through Bids and Awards Committee II, intends to apply for the procurement of the items indicated below the total amount of O</t>
  </si>
  <si>
    <t xml:space="preserve"> 1	Computer Desktop w/ complete accessories with Printer (Ryzen 5 					1	unit	50,000.00 	motherboard, 1TB hard disk, 16gig ram, 512 SSD, 27 inches 75ghz HDR FHD(1920X 1080 									 	curved monitor, DarkFlash J11 MINIMALIST DESIGN Tempered Glass ATX 						</t>
  </si>
  <si>
    <t xml:space="preserve"> BIDS AND AWARDS COMMITTEE ATTENTION:		ALL INTERESTED BIDDERS 			 SUBJECT:	INVITATION TO BID –  Procurement of Reference  Books for Health Sciences DATE:	August 7, 2020 - - - - - - - - - - - - - - - - - - - - - - - - - - - - - - - - - - - - - - - - - - - -</t>
  </si>
  <si>
    <t xml:space="preserve"> REQUEST FOR QUOTATION Procurement of Goods [Chainsaw Chains and Chainsaw Round File][Repost] The   City Government of Tagbilaran, through its Bids and Awards Committee (BAC) intends to apply the sum of One Hundred Eleven Thousand Six Hundred (P111,600.00)</t>
  </si>
  <si>
    <t xml:space="preserve"> #1 	240	boxes	Medical Face Mask, N88, 3-Ply, garterized ear loop 			Note: Suppliers must submit actual sample and necessary documents that will prove compliance with product standards 			Inclusive of delivery charge to AFAB Admin. Bldg., Mariveles, Bataan</t>
  </si>
  <si>
    <t xml:space="preserve"> Concreting of 3.00m, 0.20m thk road with net length of 107.00 LM.</t>
  </si>
  <si>
    <t xml:space="preserve"> 3 Day Writeshop on Indigenous Peoples (IP) Self-Learning Modules and Video Lessons Making August 13-15, 2020 40 pax</t>
  </si>
  <si>
    <t xml:space="preserve"> Upgrading the RPT system for the General revision processes Yearly consultancy and technical servicing to support in the management and maintenance of the systems technical problems and enhancement.</t>
  </si>
  <si>
    <t xml:space="preserve"> Alcohol, Ethyl         - 15,000.00 Face, Shield           - 26,000.00</t>
  </si>
  <si>
    <t xml:space="preserve"> BAC RESOLUTION NO. 464-2020 “A RESOLUTION RECOMMENDING “NEGOTIATED - SMALL VALUE PROCUREMENT” FOR THE VARIOUS PURCHASE REQUESTS (PR’s) FROM VARIOUS OFFICES OF THE CITY OF CABADBARAN” WHEREAS, presented for consideration, the following Purchase Requests wh</t>
  </si>
  <si>
    <t xml:space="preserve"> 1	Envelope, Plastic Expanded Long  w/ handle	550 2	Face Shield	55 3	Alcohol 70%, Isoprophyl 60ml	1050</t>
  </si>
  <si>
    <t xml:space="preserve"> ITEM	Q'NTY	UNIT	NAME OF ARTICLE(S)  1.	1000	      ream	Bond Paper	 2.	7	       pc	Brother Ink DCP 10W</t>
  </si>
  <si>
    <t xml:space="preserve"> BIDS AND AWARDS COMMITTEE ATTENTION:		ALL INTERESTED BIDDERS 			 SUBJECT:	INVITATION TO BID –   Procurement of Reference Books for Education, Arts and Sciences DATE:	August 7, 2020 - - - - - - - - - - - - - - - - - - - - - - - - - - - - - - - - - - - - - </t>
  </si>
  <si>
    <t xml:space="preserve"> BAC RESOLUTION NO. 456-2020 “A RESOLUTION DECLARING FAILURE OF BIDDING AND RECOMMEND FOR ALTERNATIVE MODE OF PROCUREMENT” WHEREAS, the Bids and Awards Committee (BAC) thru the Secretariat published in PhilGEPS and in any conspicuous places the purchase of</t>
  </si>
  <si>
    <t xml:space="preserve"> INVITATION TO BID A.	The DPWH, Negros Oriental 1st District Engineering Office, Tinaogan, Bindoy, Negros Oriental now invites contractors to apply to bid for the contract(s); Contract ID # 		20HJ0121 Contract Name 	Construction of One Unit Two Storey Eigh</t>
  </si>
  <si>
    <t xml:space="preserve"> BIDS AND AWARDS COMMITTEE ATTENTION:		ALL INTERESTED BIDDERS 			 SUBJECT:	INVITATION TO BID –   Procurement of Reference Books for Business Management Students DATE:	August 7, 2020 - - - - - - - - - - - - - - - - - - - - - - - - - - - - - - - - - - - - - </t>
  </si>
  <si>
    <t xml:space="preserve"> purchase of office furniture for barangay Hall.</t>
  </si>
  <si>
    <t xml:space="preserve"> Mayor’s Office			 20	pax	Poverty Reduction Livelihood and Employment Cluster Launching 			 		1 meal and 2 snacks 			 		Menu: Rice, buttered chicken, beef steak, limpia shanghai, softdrinks, fruit in season			 		AM Snacks: Club house sandwich and C2			 		P</t>
  </si>
  <si>
    <t xml:space="preserve"> REQUEST FOR QUOTATION The Local Government Unit of General Santos City thru its Bids and Awards Committee invites interested suppliers for N20-08-104 VEHICLE RENTAL amounting to   P 990,000.00.  Please visit or call Bids and Awards Committee office for mo</t>
  </si>
  <si>
    <t xml:space="preserve"> SUPPLY OF LABOR, TOOLS AND EQUIPMENT FOR LABORATORY ANALYSIS OF POWER TRANSFORMER</t>
  </si>
  <si>
    <t xml:space="preserve"> 1" X 1" X 3/16 ANGLE BAR - 56 PCS 1.2 X 2.4 PLAIN  G.I. SHEET (0.40MM THICK) - 36 PCS 1 1/2" DIAMETER G. I PIPE - 51 PCS WELDING ROD - 20KLS PRIMER PAINT - 20 LITERS PAINT BRUSH - 4 PCS CEMENT - 10BAGS GRAVEL AND SAND - 1 LOAD</t>
  </si>
  <si>
    <t xml:space="preserve"> Construction of 4.00m width Concrete Pavement with 1.00m road shoulder.</t>
  </si>
  <si>
    <t xml:space="preserve"> Supply and Delivery of Various Dietary Supplies and Materials paper cup, 8 oz	bale	1,500	30	45,000.00 paper meal box, medium, 500pcs/bale	bale	2,300	30	69,000.00 Micro box S10	bale	1,800	40	72,000.00 Micro box S16	bale	2,000	30	60,000.00 Table Napkin, fla</t>
  </si>
  <si>
    <t xml:space="preserve"> The AGRICULTURAL TRAINING INSTITUTE-REGIONAL TRAINING CENTER (ATI-RTC) X, through the 2020 General Appropriations Act intends to apply the sum of One Hundred Twenty Thousand Pesos (P 120,000.00) being the Approved Budget for the Contract (ABC) to payments</t>
  </si>
  <si>
    <t xml:space="preserve"> August 17 - 22, 2020 Mayoyao, Ifugao Meals and Snacks  - Snacks (AM and PM)  - Lunch (2 main dish, 1 side dish and dessert)  - Overflowing coffee for the whole duration of the training</t>
  </si>
  <si>
    <t xml:space="preserve"> REQUEST  FOR  QUOTATION RFQ NO. 2020-08-07-(9073) 								   		PR No. 2020-490 									    		                   August 7, 2020       Date      Company Name:	__________________________________________ Address		:	__________________________________________ </t>
  </si>
  <si>
    <t xml:space="preserve"> Procurement of Tent</t>
  </si>
  <si>
    <t xml:space="preserve"> Bids received in excess of the ABC for each project shall be automatically rejected at bid opening. Bidders should have completed a similar project within five (5) years from the date of bidding. Bidding will be conducted through open competitive bidding </t>
  </si>
  <si>
    <t xml:space="preserve"> Republic of the Philippines          City of Dumaguete Bids and Awards Committee INVITATION TO BID FOR PURCHASE REQUEST OF 177 BOX DRUG TESTING KIT, RAPID, 25’S AND OTHER ITEMS 	The City of Dumaguete thru its BIDS AND AWARDS COMMITTEE (BAC), invites all i</t>
  </si>
  <si>
    <t xml:space="preserve"> Procurement of Hardware Materials</t>
  </si>
  <si>
    <t xml:space="preserve"> Item No.	Qty	Unit	Article / Description 1	1	pc	Oil Filter 3831236 2	1	pc	Fuel Filter 3	1	pc	Primary Filter, FWS 4	1	pc	Fuel Filter, Extra FWS 5	1	pc	Filter, HYD Leakage EW145B 6	1	pc	Pilot Element (EW140/EW145) 14532686 7	1	pc	Filter Element (EW140/EW145)</t>
  </si>
  <si>
    <t xml:space="preserve"> PURCHASE OF OFFICE SUPPLIES</t>
  </si>
  <si>
    <t xml:space="preserve"> Procurement of 2,100 BOTTLES OF ALCOHOL 500ML (ISOPROPHYL 70% SOLUTION)</t>
  </si>
  <si>
    <t xml:space="preserve"> Contract ID:       20HL0115 Contract Name:  Construction of  2 STY 8 CL  School Building @ Olandao Elementary                          School  Contract Location:  Basay, Negros Oriental  Scope of Works:  Construction of  2 STY 8 CL  School Building Source</t>
  </si>
  <si>
    <t xml:space="preserve"> please see attached file</t>
  </si>
  <si>
    <t xml:space="preserve"> INVITATION TO BID A.	The DPWH, Negros Oriental 1st District Engineering Office, Tinaogan, Bindoy, Negros Oriental now invites contractors to apply to bid for the contract(s); Contract ID # 		20HJ0123 Contract Name 	Construction of 1 Unit One-Storey Two Cl</t>
  </si>
  <si>
    <t xml:space="preserve"> Republic of the Philippines REGION IX PROVINCE OF ZAMBOANGA DEL SUR Pagadian City Provincial Capitol, Pagadian City INVITATION TO APPLY FOR ELIGIBILITY AND TO BID The Provincial Government of Zamboanga del Sur, through its Bids and Awards Committee (BAC),</t>
  </si>
  <si>
    <t xml:space="preserve"> Procurement of Thermal Gun</t>
  </si>
  <si>
    <t xml:space="preserve"> Appendix 3.2.14	 Republic of the Philippines										 DEPARTMENT OF EDUCATION										 Region VI - Western Visayas										 DIVISION OF NEGROS OCCIDENTAL										 Cottage Road Bacolod City										 										 REQUEST FOR QUOTATION (RFQ) FOR GOODS				</t>
  </si>
  <si>
    <t xml:space="preserve"> 1440 BAGS PORTLAND CEMENT 3 BLOCKS  ASPHALT FILLER 40 PCS 2X6X8 COCO LUMBER 40 PCS 2X2X8 COCO LUMBER 75 LENGTHS 12MM DIA REBARS</t>
  </si>
  <si>
    <t xml:space="preserve"> Livelihood</t>
  </si>
  <si>
    <t xml:space="preserve"> PURCHASE OF SPARE PARTS</t>
  </si>
  <si>
    <t xml:space="preserve"> Sir/ Ma'am: Please quote your lowest possible price for the article described in the attached document.</t>
  </si>
  <si>
    <t xml:space="preserve"> Request for RFQ of the following office supplies and consumables of the following such as Epson Ink, Bond Paper, flashdrive, latex paint,and others.</t>
  </si>
  <si>
    <t xml:space="preserve"> Repair &amp; Maintenance of Other Structure</t>
  </si>
  <si>
    <t xml:space="preserve"> INVITATION TO BID A.	The DPWH, Negros Oriental 1st District Engineering Office, Tinaogan, Bindoy, Negros Oriental now invites contractors to apply to bid for the contract(s); Contract ID # 		20HJ0122 Contract Name 	Construction of 1 Unit One-Storey Two Cl</t>
  </si>
  <si>
    <t xml:space="preserve"> The San Jose City – Local Government Unit (SJC-LGU) through its Bids and Award Committee (BAC), will undertake an Alternative Method of Procurement through Negotiated Procurement for the item stated below, in accordance with Section 53.9 Small Value Procu</t>
  </si>
  <si>
    <t xml:space="preserve"> REQUEST FOR QUOTATION August 7, 2020 Date  	Please quote your lowest net price/s on the item/s listed below, giving full detailed description of your offer. Submit your quotation in accordance with Item No.1 of the General Condition printed at the back, t</t>
  </si>
  <si>
    <t xml:space="preserve"> see attachment (suppliers must be within Bacolod City only)</t>
  </si>
  <si>
    <t xml:space="preserve"> SUPPLY AND DELIVERY OF VARIOUS MATERIALS, SUPPLIES FOR OPERATION USE.</t>
  </si>
  <si>
    <t xml:space="preserve"> INVITATION TO BID  SUPPLY AND DELIVERY OF ONE (1) LOT SPARE PARTS FOR THE MAINTENANCE AND REPAIR OF PHILIPPINE MARINE CORPS (PMC) FLOATING ASSETS FOR THE PHILIPPINE NAVY (PN)  Bid Reference No. MPG-B1-2020-373 (2nd  Rebid)  (Previous Bid Ref. Nos. MPG-B1-</t>
  </si>
  <si>
    <t xml:space="preserve"> SUPPLY OF LABOR, TOOLS AND EQUIPMENT FOR THE LINE CLEARING OF PUERTO - ROXAS 69KV TL, SCHEDULE II FROM LANGOGAN TO ROXAS SS 69KV TL</t>
  </si>
  <si>
    <t xml:space="preserve"> MATERIALS</t>
  </si>
  <si>
    <t xml:space="preserve"> SUPPLY AND DELIVERY OF MATERIALS FOR OPERATION USE.</t>
  </si>
  <si>
    <t xml:space="preserve"> Request for Quotation All interested suppliers are requested to submit their quotations on the items listed in the attached Request for Quotation.</t>
  </si>
  <si>
    <t xml:space="preserve"> Republic of the Philippines					 Province of Palawan					 MUNICIPALITY OF EL NIDO					 PR No. Name of Procuring Entity: Municipal Government of El Nido			RFQ No.	2020-443-MAO	 Date:		 Office/End-User: MAO					 Company Name					 Adress:					 Business Permi</t>
  </si>
  <si>
    <t xml:space="preserve"> INVITATION TO BID A.	The DPWH, Negros Oriental 1st District Engineering Office, Tinaogan, Bindoy, Negros Oriental now invites contractors to apply to bid for the contract(s); Contract ID # 		20HJ0124 Contract Name 	Construction of One Unit Two Storey Six </t>
  </si>
  <si>
    <t xml:space="preserve"> Description Paper size: Paper size used on layout A4 Paper thickness (Basis weight): 70gsm (BP) Binding: Saddle stitch Cover: Foldcote No.12 (FC#12) (4 color) with lamination (UV coating) Inside: 1 color/4 color Grade 7   278 modules 155,680 pages Grade 8</t>
  </si>
  <si>
    <t xml:space="preserve"> 90 Pcs Alcohol 90 Pcs Surgical Mask 90 Gal Disinfectant Solution 10 Set Coverall (Washable) Polycotton 10 Pair Rubber Boots (PVC Material) 10 Pcs Standard Safety Googles (Reusable) 4   Pcs Gloves (Latex) 10 Pcs Knapsack, 16-18L, 3 kg</t>
  </si>
  <si>
    <t xml:space="preserve"> Republic of the Philippines						 	Province of Nueva Ecija						 	CITY OF GAPAN						 	Km.92, Maharlika Highway, Bayanihan, Gapan City						 	 - - - - o0o - - - - 						 	BIDS AND AWARDS COMMITTEE						 							 	REQUEST FOR QUOTATION						 							 	The Ci</t>
  </si>
  <si>
    <t xml:space="preserve"> PLS. SEE ATTACHED PR, &amp; TOR FOR DETAILS</t>
  </si>
  <si>
    <t xml:space="preserve"> (0.50n width x .060m depth x 100m length)</t>
  </si>
  <si>
    <t xml:space="preserve"> Republic of the Philippines				 Province of Cebu				 MUNICIPALITY  OF  DALAGUETE				 				 Office of the Bids and  Awards Committee				  				 REQUEST FOR QUOTATION 				 (Small Value Procurement Mode)				  		Control No:. ______________________________	Date:</t>
  </si>
  <si>
    <t xml:space="preserve"> Procurement of Diesel</t>
  </si>
  <si>
    <t xml:space="preserve"> SUPPLY AND DELIVERY OF VARIOUS MATERIALS, SUPPLIES FOR OFFICE , OPERATION AND MAINTENANCE USE.</t>
  </si>
  <si>
    <t xml:space="preserve"> 1.	50	pcs	16"x16" Wall tiles 2.	20	pcs	16"x16" Floor tiles 3.	4	pcs	Tile trim 4.	1	bag	Tile Grout sealer 5.	275	pcs	Vinyl tiles 18"x18" 6.	5	gals	Vinyl glue 7.	1	pc	Stainless kitchen sink double basin medium 8.	1	pc	24"x8' Granite 9.	1	pc	24"x6' Granite 1</t>
  </si>
  <si>
    <t xml:space="preserve"> Purchase of 25 units of Solar Panel with Complete Accessories Specs per Unit: Solar Panel 400w Solar Battery 200 amps 10  m Solar Panel Card 5m x 5m Color Coding with Male &amp; Female Adapter 2 pcs battery Clip 14 pcs 7w LED bulb 12v 14 pcs Bulb cover Shield</t>
  </si>
  <si>
    <t xml:space="preserve"> Request for Quotation (RFQ)							 							 I. Please quote your lowest price inclusive of VAT on the item(s) listed below, subject to the Terms and Conditions of this RFQ. Submission of this duly signed quotation with your eligibilty documents is not late</t>
  </si>
  <si>
    <t xml:space="preserve"> INVITATION TO BID SUPPLY AND DELIVERY OF VARIOUS IT EQUIPMENT (DESKTOP COMPUTER, LAPTOP, PRINTER) FOR THE CITY HEALTH OFFICE – 2ND BIDDING 1.	The Local Government Unit of Cabadbaran City through the GENERAL  FUND intends to apply the sum of TWO HUNDRED SE</t>
  </si>
  <si>
    <t xml:space="preserve"> Supply and Delivery of Electric Bulb</t>
  </si>
  <si>
    <t xml:space="preserve"> INVITATION TO APPLY FOR ELIGIBILITY AND TO BID The Municipality of San Nicolas, Pangasinan through its Bids and Awards Committee (BAC), invites contractors registered with and classified by the Philippine Contractors Accreditation Board (PCAB) to apply fo</t>
  </si>
  <si>
    <t xml:space="preserve"> REQUEST FOR QUOTATION Procurement of Goods [IT Equipments] The   City Government of Tagbilaran, through its Bids and Awards Committee (BAC) intends to apply the sum of One Hundred Ten Thousand One Hundred Sixty-Four (P110,164.00) pesos onlybeing the Appro</t>
  </si>
  <si>
    <t xml:space="preserve"> August 17 - 22, 2020 Lamut, Ifugao Meals and Snacks  - Snacks (AM and PM)  - Lunch (2 main dish, 1 side dish and dessert)  - Overflowing coffee for the whole duration of the training</t>
  </si>
  <si>
    <t xml:space="preserve"> Plastic mulch, 1.2 x400m (silver black; 30 microns) (150 rolls)</t>
  </si>
  <si>
    <t xml:space="preserve"> Procurement of Five (5) set Anti Virus and Twenty Eight (28) other line items</t>
  </si>
  <si>
    <t xml:space="preserve"> PAving blocks Portland Cemend Mix Gravel Fine Sand CHB, 6"</t>
  </si>
  <si>
    <t xml:space="preserve"> Province of Surigao del Norte Municipality of Alegria Barangay San Juan INVITATION TO BID SUPPLY WITH DELIVERY OF CONSTRUCTION MATERIALS 1.	The Barangay San Juan Local Government Unit, through the Government of the Philippines, General Appropriation Act 2</t>
  </si>
  <si>
    <t xml:space="preserve"> Replacement  of Trusses,roofing &amp; Ceiling</t>
  </si>
  <si>
    <t xml:space="preserve"> Sir/Ma'am: Please quote your lowest possible price for the article described in the attached document.</t>
  </si>
  <si>
    <t xml:space="preserve"> Supply and Delivery of Various Dietary Materials and Supplies aluminum foil, 12" x 300ft	piece	500	2	1,000.00 cling wrap, 12" x 300ft	piece	300	35	10,500.00 Handsafe gloves, 100's	pack	40	50	2,000.00 Food Wrap, 300mm	roll	500	10	5,000.00 dishwashing liqui</t>
  </si>
  <si>
    <t xml:space="preserve"> PLS. SEE ATTACHE PR, &amp; TOR FOR DETAILS</t>
  </si>
  <si>
    <t xml:space="preserve"> INVITATION TO APPLY FOR ELIGIBILITY AND TO BID The Municipal Government of Piñan, through its Bids and Awards Committee (BAC), invites contractors registered with and classified by the Philippine Contractors Accreditation Board (PCAB) to apply for eligibi</t>
  </si>
  <si>
    <t xml:space="preserve"> SUPPLY AND DELIVERY OF AIRCONDITIONING 2.0 HP, WINDOW TYPE, INVERTER.</t>
  </si>
  <si>
    <t xml:space="preserve"> HIRE OF 1 UNIT VAN (August 2020)</t>
  </si>
  <si>
    <t xml:space="preserve"> 1.	The Amang Rodriguez Memorial Medical Center (ARMMC), through its Hospital Income, intends to apply the sum of Seven Million Two Hundred Sixty Six Thousand Two Hundred Pesos Only (PhP7,266,200.00) being the Approved Budget for the Contract (ABC) to paym</t>
  </si>
  <si>
    <t xml:space="preserve"> 1	LOT    	Procurement for Printing Supplies to be used for the Quality Assurance of Grade 3 Araling Panlipunan and Grade 5 ADM Modules for Q2, Q3, and Q4	 	 - 5 pcs. Fujixerox Magenta (DCSC2020) - 5 pcs. Fujixerox Cyan (DCSC2020) - 7 pcs. Fujixerox Yellow</t>
  </si>
  <si>
    <t xml:space="preserve"> see attached RFQ &amp; menu</t>
  </si>
  <si>
    <t xml:space="preserve"> Sir/ Ma'am: Please quote your lowest possible price for the articles described in the attached document.</t>
  </si>
  <si>
    <t xml:space="preserve"> REQUEST FOR QUOTATION Date: August 7, 2020 RFQ No.: 2020 – 135 Name of Company:	________________________________________________________ Office Address:	________________________________________________________			___________________________________________</t>
  </si>
  <si>
    <t xml:space="preserve"> The Sacred Heart Village Elem. School is in need of bidder that will photocopy of modules. The photocopier will provide the long size 70gsm bondpaper together with the ink. Each page  cot 50 centavos, back to back 1 peso.</t>
  </si>
  <si>
    <t xml:space="preserve"> Specifications for the Photocopy Machines •	Double Sided Printing •	Max Print Resolution Color (1,200 x 1,200 dpi) •	Printer Function Type – Printer Consumables, Multi-function, Scanning, Photo Printer, Office Printer, Mono Laser Printer, Color Laser Prin</t>
  </si>
  <si>
    <t xml:space="preserve"> Republic of the Philippines										 DEPARTMENT OF EDUCATION										 Region VI - Western Visayas										 DIVISION OF NEGROS OCCIDENTAL										 Cottage Road Bacolod City										 										 REQUEST FOR QUOTATION (RFQ) FOR SUPPLIES										 							</t>
  </si>
  <si>
    <t xml:space="preserve"> INVITATION TO BID ON THE SUPPLY, DELIVERY AND INSTALLATION OF  1 LOT INTERNET SUBSCRIPTION OF BUKIDNON STATE UNIVERSITY (RE-BIDDING) 1.	The Bukidnon State University through the Bids and Awards Committee &amp; Budget Approved by the Board of Regents 2020 [Fun</t>
  </si>
  <si>
    <t xml:space="preserve"> Veterinary Medicines QTY.	UNIT	ITEM DESCRIPTION		 				 2	ltrs	Febendazole 4% oral deworme (ruminants)		 5	bx	Ivemectin GP, 3%, 2g x 60 scht.		 1	bx	Amoxicilin Tylosin Tablet 100tab.		 3	bots	Albendazole 10% oral dewormer(ruminants)		 2	bots	Expectorant in</t>
  </si>
  <si>
    <t xml:space="preserve"> Copy Paper, A4, S24 - 300 reams Copy Paper, Legal, S24 - 30 reams</t>
  </si>
  <si>
    <t xml:space="preserve"> Supply and Delivery of Various Medical Grade Gloves Gloves, Nitrile Examination, large, disposable, powder free, ambidextrous, Powder Free, non sterile, 100pcs/box	box	250	200	50,000.00 Gloves, Clean Large Size, natural rubber latex, smooth surface, beade</t>
  </si>
  <si>
    <t xml:space="preserve"> Republic of the Philippines								 Department of Health								 Metro Manila Center for Health Development								 DR. JOSE N. RODRIGUEZ MEMORIAL HOSPITAL AND 								 SANITARIUM								 								 								 								 REQUEST FOR QUOTATION (RFQ)								 				</t>
  </si>
  <si>
    <t xml:space="preserve"> 52 pcs  t shirt with reflectorized logo and luminous t shirt printing 52 pcs personalized  face mask with logo 1 pc 10 volts adoptor 1 pc SVC mega phone</t>
  </si>
  <si>
    <t xml:space="preserve"> TERMS OF REFERENCE BIDDER:	EVENTS MANAGEMENT COMPANY PROJECT:	KAIN NA! FOOD AND TRAVEL FESTIVAL 2020 ONLINE LEARNING WEBINAR AND  E-COMMERCE PLATFORM 1. MINIMUM REQUIREMENTS: •	Must have at least five (5) years of experience in planning, organizing, execu</t>
  </si>
  <si>
    <t xml:space="preserve"> Different Offices</t>
  </si>
  <si>
    <t xml:space="preserve"> PLS. SEE ATTACHED PR &amp; TOR FOR DETAILS</t>
  </si>
  <si>
    <t xml:space="preserve"> SUPPLY AND DELIVERY OF GENERAL pLANT eQUIPMENT(GPE) FOR NANGALAO DPP.</t>
  </si>
  <si>
    <t xml:space="preserve"> Sir/Ma'am: Please quote your lowest possible price for the articles described in the attached document.</t>
  </si>
  <si>
    <t xml:space="preserve"> Laptop Computer Rental for three months (August-October 2020) Specifications:  - CPU: Core i7 8th Gen or higher  - RAM: 8GB DDR4 System memory  - Storage: 1TB  - Display: 15.6" LED LCD  - OS: Windows 10, 64bit  - MS Office 2016 (Home Edition or higher)  -</t>
  </si>
  <si>
    <t xml:space="preserve"> REQUEST FOR QUOTATION Date: August 7, 2020 RFQ No.: 2020 – 136 Name of Company:	________________________________________________________ Office Address:	________________________________________________________			___________________________________________</t>
  </si>
  <si>
    <t xml:space="preserve"> Supply and Delivery of 42 units of Multifunctional Inkjet Colored Printer with Continuous Ink Supply System max copy resolution: 300 x 300 dpi</t>
  </si>
  <si>
    <t xml:space="preserve"> 92 Box Multi-Vitamins</t>
  </si>
  <si>
    <t xml:space="preserve"> INVITATION TO BID SUPPLY AND DELIVERY OF VEHICLE MAINTENANCE SUPPLIES, PARTS AND ACCESSORIES FOR VARIOUS TRANSPORTATION EQUIPMENT / VEHICLE OF THE CITY – 2ND BIDDING 1.	The Local Government Unit of Cabadbaran City through the GENERAL  FUND intends to appl</t>
  </si>
  <si>
    <t xml:space="preserve"> INVITATION TO BID A.	The DPWH, Negros Oriental 1st District Engineering Office, Tinaogan, Bindoy, Negros Oriental now invites contractors to apply to bid for the contract(s); Contract ID # 		20HJ0126 Contract Name 	Repair/Maintenance of Road Slope Protect</t>
  </si>
  <si>
    <t xml:space="preserve"> 50	pcs - 	Storage Boxes (big)</t>
  </si>
  <si>
    <t xml:space="preserve"> various office supplies</t>
  </si>
  <si>
    <t xml:space="preserve"> REQUEST FOR QUOTATION Procurement of Goods [Newborn Screening Filter Cards] The   City Government of Tagbilaran, through its Bids and Awards Committee (BAC) intends to apply the sum of Eighty-Seven Thousand Five Hundred (P87,500.00) pesos onlybeing the Ap</t>
  </si>
  <si>
    <t xml:space="preserve"> Procurement of Kitchenwares Php78,596.00</t>
  </si>
  <si>
    <t xml:space="preserve"> 1.	The DepED-Division of Lapu-Lapu City, through the DepED Trust Fund intends to apply the sum of Twenty-Three Million One Hundred Forty-Two Thousand Four Hundred Fifty-Two Pesos and Forty Centavos Only (P 23,142,452.40) being the Approved Budget for the </t>
  </si>
  <si>
    <t xml:space="preserve"> REQUEST FOR QUOTATION FOR THE SUPPLY AND DELIVERY PROCUREMENT OF 1 UNIT ALL IN ONE TANK PRINTER AND 1 UNIT DESKTOP HARD DISK DRIVE Please quote your lowest price on the item/s listed below, subject to the General Conditions and stating the shortest time o</t>
  </si>
  <si>
    <t xml:space="preserve"> Repair and Maintenance of barangay Patrol</t>
  </si>
  <si>
    <t xml:space="preserve"> Republic of the Philippines Province of Nueva Vizcaya MUNICIPALITY OF BAGABAG INVITATION TO BID  PURCHASE AND DELIVERY OF BLACK CANVASS/SHEET USE FOR CURING TOBACCO LEAVES SHED (9M X 20M DIMENSION) 1.	The Local Government Unit of Bagabag, through the Trus</t>
  </si>
  <si>
    <t xml:space="preserve"> INVITATION TO BID    SUPPLY AND DELIVERY OF BRAND NEW 46,026 PAIRS ARMY COMBAT BOOTS, SUEDE, FIELD USE AND 24,400 PAIRS ARMY COMBAT BOOTS, SUEDE URBAN USE FOR THE PHILIPPINE ARMY (PA)  Bid Reference No. MPG-BI-2020-344     1. The Philippine International </t>
  </si>
  <si>
    <t xml:space="preserve"> PROCUREMENT TERMS &amp; CONDITIONS 1.	The Total Approved Budget for the Contract (ABC) is PhP 50,000.00 2.	Price Quotation should be inclusive the 5% Final VAT and expanded withholding tax (EWT) of 2%. 3.	Evaluation of bids will be conducted on a “per lot” ba</t>
  </si>
  <si>
    <t xml:space="preserve"> Item No.	ITEMS &amp; DESCRIPTION			UNIT	QTY 					 1	CONCRETE HOLLOW BLOCKS (CHB)			PCS.	300 2	TUBULAR 2"X4"X20'			PCS.	15 3	ANGULAR BAR 1 1/2X3/16X20'			PCS.	15 4	Φ 10mm RSB			PCS.	20 5	Cement			PCS.	20 6	Coarsed Sand			CU.M	2 7	Fined Sand			CU.M	2 8	Tie Wire</t>
  </si>
  <si>
    <t xml:space="preserve"> Procurement of  Two hundred (200) ea Prepaid Card ( Smart ) 300 and Three (3) other line items</t>
  </si>
  <si>
    <t xml:space="preserve"> Standard Form Number: SF-GOOD-60 Revised on May 24, 2004                                                                                  Republic of the Philippines CARLOS HILADO MEMORIAL STATE COLLEGE  Talisay City, Negros Occidental Telefax (034) 712-8</t>
  </si>
  <si>
    <t xml:space="preserve"> Republic of the Philippines DEPARTMENT OF HEALTH DR. JOSE RIZAL MEMORIAL HOSPITAL Lawaan, Dapitan City Telefax; (065) 213-6421 Website: www.djrmh.doh.gov.ph Email: dohdjrmh@gmail.com BIDS AND AWARDS COMMITTEE INVITATION TO BID PROCUREMENT OF REPAIR &amp; MAIN</t>
  </si>
  <si>
    <t xml:space="preserve"> 4 units LAPTOP Operating system: windows 10, processor: intel core i5-8265U (1.6GHz base frequency up yo 3.9GHz), Memory: 4GB DRR4, Display: 14” HD LED display, Graphics, Intel UHD Graphics 620, hard Drive: 1TB SATA HDD, battery: 3-cell, 41Wh Li-ion, weig</t>
  </si>
  <si>
    <t xml:space="preserve"> The Department of Agriculture invites interested suppliers to submit quotations/proposals for the hereunder requirement: Supply and Delivery including Labor for Engine Failure due to Pressure Pump for Hyundai Starex with Plate No. NJQ-521 1	Lot	Pull Down </t>
  </si>
  <si>
    <t xml:space="preserve"> Republic of the Philippines					 Province of Palawan					 MUNICIPALITY OF EL NIDO					 PR No.	 Name of Procuring Entity: Municipal Government of El Nido			RFQ No.	2020-389/400-COMELEC	 Date:		 Office/End-User: COMELEC					 Company Name					 Adress:					 B</t>
  </si>
  <si>
    <t xml:space="preserve"> Scope of Work			: Roofing, Ceiling, Comfort Room, Septic Tank			 labor lumpsum:</t>
  </si>
  <si>
    <t xml:space="preserve"> 1	set	Piston ring STD		 1	set	Piston STD		 1	set	Liner STD		 1	set	Engine valve		 1	set	Main bearing		 1	set	Connecting rod bearing		 1	set	Overhauling gasket		 1	set	Trustwasher STD		 1	pc	Clutch lining a/s		 1	pc	Pilot bearing		 1	pc	Release bearing a/s</t>
  </si>
  <si>
    <t xml:space="preserve"> Diesoline	993	liters 	44,982.90 Gasoline	263.62	liters	14,999.98</t>
  </si>
  <si>
    <t xml:space="preserve"> Republic of the Philippines PROVINCE OF AGUSAN DEL SUR Municipality of Sta. Josefa Invitation to Bid for   SJADS INFRA 20-10: CONCRETING/REHABILITATION OF MUNICIPAL STREETS 				                         August 08, 2020 1.	The Municipality of Sta. Josefa th</t>
  </si>
  <si>
    <t xml:space="preserve"> Supply and Delivery of 8 units Heavy-duty 3 in 1 Copier with Auto-Reverse Document Feeder, Duplex and Metal Stand Speed 20 CPM, Color Scanning,resolution 600 x 600 dpi</t>
  </si>
  <si>
    <t xml:space="preserve"> INVITATION TO BID 	The Bids and Awards Committee of Municipality of San Gabriel, La Union intends to apply the sum of TWO HUNDRED NINETEEN THOUSAND NINE HUNDRED NINETY PESOS (PHP  219,990) being the Approved budget for the Contract (ABC) to payments under</t>
  </si>
  <si>
    <t xml:space="preserve"> Please see attached Request for Quotation and Annex 'A'</t>
  </si>
  <si>
    <t xml:space="preserve"> 200 pc. Digital Thermometer &amp; Hygrometer, internal, external dual temperature sensors             x-x-x-x-x-x</t>
  </si>
  <si>
    <t xml:space="preserve"> Sacred Village Elem. School is in need of a bidder that will photocopy the learning modules. The photocopier will provide the long size 70 gsm bond paper with the ink. Each page cost 50 centavos and back to back 1 peso.</t>
  </si>
  <si>
    <t xml:space="preserve"> 1 unit Laptop (lease for 6 months)  Specs;  Processor: Intel Core i5-1020U (1.6GHz base frequency (2b) up to 4.2 GHz   with intel turbo boost technology (2g), 6 mb L3 4 cores)  Memory: 8GB DDR4-2666 SDRAM (1X8GB)  Hard Drive: 1TB 5400 rpm SATA HDD 256 GB </t>
  </si>
  <si>
    <t xml:space="preserve"> Comp. ink # 85a 30 cart Glue - 200 jars - 15 jar Folder,tagboard A4 - 15 PACK FOLDER ,TAGBOARD -LEGAL DISPOSABLE CUPS 50/PACK 7 OZ. - 3OO PACKS Comp.ink # 325 - 6 cart Comp. ink # T774 - 5 cart Comp.ink # CF226A</t>
  </si>
  <si>
    <t xml:space="preserve"> Please furnish this Office the following articles subject to the terms and conditions contained herein:</t>
  </si>
  <si>
    <t xml:space="preserve"> High-Range Laptop - 2 unit * Processor: Intel Core i7-8565U Processor (8M Cache , up to 4.6 GHz)  * Memory: 8GB  * Storage: 512GB NVMe SSD * Display: 14” * Graphic: AMD Radeon RX 550X Graphics, 2GB DDR5 * OS: Windows 10 Home * With Wireless Mouse and Lapt</t>
  </si>
  <si>
    <t xml:space="preserve"> 3,433  Ream    Bond Paper, A4, Substance #20	 ABC: Php858,250.00</t>
  </si>
  <si>
    <t xml:space="preserve"> Supply and Delivery of Various Construction Supplies and Materials all purpose cream, 250ml	piece	70	50	3,500.00 brown sugar, washed, 1kg/pack	kilogram	60	130	7,800.00 catsup, banana	gallon	230	5	1,150.00 cheese, 440grams	bar	160	20	3,200.00 cheese, singl</t>
  </si>
  <si>
    <t xml:space="preserve"> INVITATION TO BID SUPPLY AND DELIVERY OF HARDWARE SUPPLIES AND MATERIALS FOR VARIOUS OFFICES – 2ND BIDDING 1.	The Local Government Unit of Cabadbaran City through the GENERAL  FUND intends to apply the sum of ONE HUNDRED SEVENTY-EIGHT THOUSAND NINE HUNDRE</t>
  </si>
  <si>
    <t xml:space="preserve"> Republic of the Philippines CITY GOVERNMENT OF ANTIPOLO Antipolo City INVITATION TO BID For the Supply &amp; Delivery of Fortified Powdered Milk Drink The City Government of Antipolo, through the General Fund intends to apply the sum of P 1,300,000.00 being t</t>
  </si>
  <si>
    <t xml:space="preserve"> REQUEST FOR QUOTATION Date: August 7, 2020 RFQ No.: 2020 – 138 Name of Company:	________________________________________________________ Office Address:	________________________________________________________			___________________________________________</t>
  </si>
  <si>
    <t xml:space="preserve"> 1.	The Amang Rodriguez Memorial Medical Center (ARMMC), through its Hospital Income, intends to apply the sum of Five Million Three Hundred Eight Thousand Two Hundred Ninety One Pesos &amp; 06/100 Only (PhP5,308,291.06) being the Approved Budget for the Contr</t>
  </si>
  <si>
    <t xml:space="preserve"> 18 pcs Solar navigation lights</t>
  </si>
  <si>
    <t xml:space="preserve"> SUPPLY OF LABOR, TOOLS, MATERIALS &amp; EQUIPMENT FOR THE PCB TESTING OF 5MVA TRANSFORMER OF ROXAS SUB STATION.</t>
  </si>
  <si>
    <t xml:space="preserve"> Republic of the Philippines Province of Nueva Vizcaya MUNICIPALITY OF BAGABAG INVITATION TO BID  PURCHASE and DELIVERY of ONE UNIT HEAVY DUTY PRINTER/COPIER MACHINE, LGU (Office of Agriculture), Bagabag, Nueva Vizcaya 1.	The Local Government Unit of Bagab</t>
  </si>
  <si>
    <t xml:space="preserve"> Construction Materials &amp; Supplies (see attached documents)</t>
  </si>
  <si>
    <t xml:space="preserve"> fuel</t>
  </si>
  <si>
    <t xml:space="preserve"> PLS. SEE ATTACHED PURCHASE REQUISITION, TERMS OF REFERENCE, &amp; BID DOCS FOR DETAILS.</t>
  </si>
  <si>
    <t xml:space="preserve"> Republic of the Philippines										 Department Of Public Works and Highways										 Negros Oriental 1st  District Engineering Office										 Tinaogan, Bindoy, Negros Oriental										 Name of Procuring Entity :		:Request for Quotation (PR No.) :			</t>
  </si>
  <si>
    <t xml:space="preserve"> 1. Grade 9 AP = 299,135 pages 1Q. Modules 1-6 (including 20 Buffer) Total = 145 pages x 2063 = 299,135  pages 2. Grade 10 EsP = 328,896 pages 1Q. Modules 1-8 (including 20 Buffer) Total = 192 pages x 1713 = 328,896 pages Note: 1. Delivery is seven (7) day</t>
  </si>
  <si>
    <t xml:space="preserve"> Spare Parts</t>
  </si>
  <si>
    <t xml:space="preserve"> SUPPLY OF LABOR, TOOLS AND EQUIPMENT FOR THE PCB TESTING OF TRANSFORMER OIL OF EL NIDO DPP.</t>
  </si>
  <si>
    <t xml:space="preserve"> Road Concreting 					 Cost of Bidding Documents: Php 25,000.00					 Source of Funds: GAA FY 2020 (D.A. Fund) The significant times and deadlines of procurement activities are shown below: 1. Issuance of Bidding Documents	Deadline: August 10 – 26, 2020, 8:</t>
  </si>
  <si>
    <t xml:space="preserve"> 100 packs Sando Bag, Medium, etc.        x-x-x-x-x</t>
  </si>
  <si>
    <t xml:space="preserve"> INVITATION TO BID The Department of Public Works and Highways (DPWH), Cavite 3rd District Engineering Office, Carmona, Cavite through its Bids and Awards Committee (BAC), invites contractors to submit bids for the following Contract: 2. Contract I.D. No.:</t>
  </si>
  <si>
    <t xml:space="preserve"> 10 bxs Mineral water 350ml &amp; 12 Others</t>
  </si>
  <si>
    <t xml:space="preserve"> REQUEST FOR QUOTATION PR No.		4411-2020		RFQ No. 2020-076 PR Date:	08/04/2020 ABC:		P 50,425.00 Sir/Madam: 	Please quote your lowest price on the item/s listed below subject to the General Conditions on the last page, stating the shortest time of delivery</t>
  </si>
  <si>
    <t xml:space="preserve"> Download attachment in the Associated Components. For further information, please refer to: Atty. VIRGILIO B. GALEON- Head, BAC Secretariat BAC Office Government Center Bldg. A J. P. Rizal Blvd., Market Area  City of Santa Rosa, Laguna 4026 Telephone Numb</t>
  </si>
  <si>
    <t xml:space="preserve"> INVITATION TO BID  The Department of Education (DepED) Alaminos City Schools Division Office, through the CY 2020 Government Appropriations Act (GAA), intends to apply the sum of _Four Million Four Hundred Ninety four Thousand Six Hundred Fifty-Nine Pesos</t>
  </si>
  <si>
    <t xml:space="preserve"> Description	Quantity	Unit Angle Bars 1” x 1”x 1/8”	30	Length Flat Bars 1” x 1/8”	10	Length C-Purlins 2x3x1.5mm	130	Length Deformed Bars 10mmØ	45	Pcs. Lacquer Thinner	4	Gal. Metal Primer	4	Gal.</t>
  </si>
  <si>
    <t xml:space="preserve"> Republic of the Philippines Department of Education Region IV-A CALABARZON Division of Quezon Perez National High School Bids &amp; Awards Committee INVITATION TO BID FOR  Perez National High School - Self Learning Modules 1.	The Perez National High School of</t>
  </si>
  <si>
    <t xml:space="preserve"> Description The Department of Trade and Industry-Misamis Occidental Provincial Office invites PhilGEPS registered suppliers to submit duly accomplished Request for Quotations for the Supply &amp; Delivery of Livelihood Kit (Variety store) of the Pangkabuhayan</t>
  </si>
  <si>
    <t xml:space="preserve"> see attached TOR</t>
  </si>
  <si>
    <t xml:space="preserve"> 2900 PCS OF DISPOSABLE FACEMASK 725 SOAP</t>
  </si>
  <si>
    <t xml:space="preserve"> 1. Grade 7 AP = 293,664 pages 1Q. Modules 1-6 (including 20 Buffer) Total = 168 pages x 1748 = 293,664 pages 2. Grade 7 EsP = 269,192 pages 1Q. Modules 1-7 (including 20 Buffer) Total = 154 pages x 1748 = 269,192  pages 3. Grade 7 Music = 325,128 pages 1Q</t>
  </si>
  <si>
    <t xml:space="preserve"> 1. Grade 8 English = 295,002 pages 1Q. Modules 1-5 (including 20 Buffer) Total = 162 pages x 1821 = 295,002 pages 2. Grade 8 Health = 287,718 pages 1Q. Modules 1-7 (including 20 Buffer) Total = 158 pages x 1821 = 287,718 pages 3. Grade 8 PE = 227,625 page</t>
  </si>
  <si>
    <t xml:space="preserve"> Republic of the Philippines Province of South Cotabato Municipality of Banga Tel.&amp;Fax No. (083) 239-1652 CONTACT PERSON: ROBERT V. FRANILLA - BAC CHAIRMAN Invitation to Apply for Eligibility and to Bid The Municipality of Banga, South Cotabato through its</t>
  </si>
  <si>
    <t xml:space="preserve"> Republic of the Philippines											 	DEPARTMENT OF EDUCATION											 	Region VI - Western Visayas											 												 	RODOLFO A. MEDEL SR. ELEMENTARY SHOOL											 	Dimasalang Rd., Brgy. Tangub Bacolod City											 	REQUEST FOR PRICE QUOT</t>
  </si>
  <si>
    <t xml:space="preserve"> 20 GALLON ALCOHOL 20 GALLON ZONROX SURGICAL FACE MASK SURGICAL GLOVES HAND SOAP</t>
  </si>
  <si>
    <t xml:space="preserve"> Republic of the Philippines					 NATIONAL FOOD AUTHORITY					 Laoag City, Ilocos Norte					 Tel No. (077) 770-42-48					 ilocosnorte@nfa.gov.ph					 					 REQUEST FOR QUOTATION					 					 			DATE:	August 7, 2020	 			QUOTATION NO.:		   ____________________</t>
  </si>
  <si>
    <t xml:space="preserve"> see attached Purchase Request</t>
  </si>
  <si>
    <t xml:space="preserve"> STACK EMISSION TESTING</t>
  </si>
  <si>
    <t xml:space="preserve"> delivery and installation</t>
  </si>
  <si>
    <t xml:space="preserve"> INVITATION TO BID The Department of Public Works and Highways (DPWH), Cavite 3rd District Engineering Office, Carmona, Cavite through its Bids and Awards Committee (BAC), invites contractors to submit bids for the following Contract: 3. Contract I.D. No.:</t>
  </si>
  <si>
    <t xml:space="preserve"> Bond Paper, A4, 70gsm, TAPE, 48mmx10 Duct Tape, Folder, Clear File Folder Long (Assorted Color),</t>
  </si>
  <si>
    <t xml:space="preserve"> LOT A 2,891 pcs TUPAD Long Sleeve (Color: Green)* 3,170 pcs Washable Face Mask (2 pcs per beneficiary, 1 Black and 1 green)** Lot B 534 pcs Face Shield*** 18,400 pcs Disposable Surgical Mask (10 pcs per beneficiary for 10 days work)**** 534 bottle 70% Han</t>
  </si>
  <si>
    <t xml:space="preserve"> Please quote your lowest price inclusive of VAT on the item/s listed below, subject to the Terms and Conditions of this RFQ, and submit your quotation duly signed by your representative not later than 11 August 2020 at 306th Contracting Office, NSFA, Pana</t>
  </si>
  <si>
    <t xml:space="preserve"> I. Spare Parts:					 1	2.00	pcs	Leaf Spring (RH/LH)		 2	2.00	pcs	Shock Absorber (Front)		 3	1.00	unit	Draglink		 4	2.00	pcs	Axle Bearing Front (LH)		 5	1.00	set	Wiper Linkage		 6	2.00	pc	Headlight		 7	1.00	set	Fog Light		 8	4.00	pcs	Rim		 9	1.00	pc	Steeri</t>
  </si>
  <si>
    <t xml:space="preserve"> Republic of the Philippines Province of Leyte Municipality of Hilongos Barangay Concepcion INVITATION TO BID FOR THE PROCUREMENT OF MATERIALS FOR ROAD CONCRETING AT PUROK 3 1. The Barangay Concepcion of Hilongos, through IRA 20% 2020 Capital Outlay intend</t>
  </si>
  <si>
    <t xml:space="preserve"> LINE CLEARING ALONG SAN JOSE TO PAG-ASA T/L SECTION</t>
  </si>
  <si>
    <t xml:space="preserve"> REQUEST FOR QUOTATION Date: August 7, 2020 RFQ No.: 2020 – 137 Name of Company:	________________________________________________________ Office Address:	________________________________________________________			___________________________________________</t>
  </si>
  <si>
    <t xml:space="preserve"> Improvement of stage</t>
  </si>
  <si>
    <t xml:space="preserve"> Van Rental for August 17 and 18, 2020		1	unit Itinerary:			 Day 1: August 17, 2020 at 03 : 00 am			 &gt;From TESDA Central Office, Taguig City to Batangas Port			 &gt;From Batangas Port to Calapan City, Oriental Mindoro via RORO			 &gt;From Calapan City, Oriental </t>
  </si>
  <si>
    <t xml:space="preserve"> REQUEST FOR QUOTATION (RFQ) 	The PHILIPPINE PORTS AUTHORITY (PPA), PMO-Surigao, through its Bids and Awards Committee (BAC), hereby notifies entities duly registered with the Philippine Government Electronic Procurement System (PhilGEPS) to offer for the </t>
  </si>
  <si>
    <t xml:space="preserve"> BELT, TIMING &amp; 3 OTHERS</t>
  </si>
  <si>
    <t xml:space="preserve"> INVITATION TO BID    SUPPLY AND DELIVERY OF BRAND NEW 16,490 PIECES PONCHO TENT, PHILARPAT FOR THE PHILIPPINE ARMY (PA)   Bid Reference No. MPG-BI-2020-244 Approved Budget for the Contract - ₱ 17,441,308.10     1. The Philippine International Trading Corp</t>
  </si>
  <si>
    <t xml:space="preserve"> PCB TESTING</t>
  </si>
  <si>
    <t xml:space="preserve"> WELDING ROD &amp; 26 OTHERS</t>
  </si>
  <si>
    <t xml:space="preserve"> 550  box.  Bond Paper, 70grms A4 size, 5ream/bx.</t>
  </si>
  <si>
    <t xml:space="preserve"> AIR FILTER &amp; 10 OTHERS</t>
  </si>
  <si>
    <t xml:space="preserve"> Invitation to Bid ITB-SSS-Goods-2020-024 ANNUAL SERVICING OF THE SSS MAIN BUILDING'S POWER SUBSTATIONS AND OTHER RELATED WORKS Approved Budget for the Contract (ABC)      :       PhP 841,471.40   Source of Fund	                                        :   </t>
  </si>
  <si>
    <t xml:space="preserve"> REFILL - OXYGEN &amp; ACETYLENE &amp; FIRE EXTINGUISHER</t>
  </si>
  <si>
    <t xml:space="preserve"> Republic of the Philippines DEPARTMENT OF AGRARIAN REFORM Sarangani Province REQUEST FOR QUOTATION The Department of Agrarian Reform (DAR), through its Bids and Awards Committee (BAC), will undertake procurement of Tires and Shock with labor for ZFE 403, </t>
  </si>
  <si>
    <t xml:space="preserve"> Supply of Hybridization Incu9wxbator •	Type  -	Orbital shaking mechanism, times out or continuous shaker/rotisserie operation •	Bottle capacity -	 12 large/ 24 small •	Rotisserie/ Rocker speed -	4 to 20 rpm •	Temperature Range -	 Ambient +5°C to 80°C •	Te</t>
  </si>
  <si>
    <t xml:space="preserve"> Supply and Delivery of office supplies and supplies for learning modules distribution of AASMNHS Interested suppliers are requested  to submit their price quotation. Listed below are the items for quotation: *Junior High School-JHS *Senior High School-SHS</t>
  </si>
  <si>
    <t xml:space="preserve"> Republic of the Philippines DEPARTMENT OF AGRARIAN REFORM Sarangani Province REQUEST FOR QUOTATION The Department of Agrarian Reform (DAR), through its Bids and Awards Committee (BAC), will undertake procurement of Office Equipment for Tinagacan Agrarian </t>
  </si>
  <si>
    <t xml:space="preserve"> REPAIR &amp; MAINTENANCE OF SERVICE VEHICLE</t>
  </si>
  <si>
    <t xml:space="preserve"> Republic of the Philippines CITY OF LAPU-LAPU BIDS AND AWARDS COMMITTEE Invitation to Bid FOR THE PROCUREMENT of GASOLINE AND DIESEL The City of Lapu-Lapu through the MOOE FUND 1061-5-02-03-090 intends to apply the sum of Seven Million Six Hundred Sixty-E</t>
  </si>
  <si>
    <t xml:space="preserve"> Republic of the Philippines Department of Education Region VI - Western Visayas Division of Bacolod City District II CORAZON LOCSIN MONTELIBANO ELEMENTARY SCHOOL Fr. Gratian Murray St., Brgy. Villamonte, Bacolod City INVITATION TO BID FOR THE PROVISION OF</t>
  </si>
  <si>
    <t xml:space="preserve"> Republic of the Philippines DEPARTMENT OF AGRARIAN REFORM Sarangani Province REQUEST FOR QUOTATION The Department of Agrarian Reform (DAR), through its Bids and Awards Committee (BAC), will undertake procurement of Livestock/Poultry Feeds and Biologics Su</t>
  </si>
  <si>
    <t xml:space="preserve"> PUSH ROD, INJECTOR &amp; 1 OTHER</t>
  </si>
  <si>
    <t xml:space="preserve"> PALLET TRUCK &amp; 2 OTHERS</t>
  </si>
  <si>
    <t xml:space="preserve"> Provision of supplies and materials for Reproduction of worksheets on Handwriting &amp; Beginning Reading for K to 3 Learners - Php 39, 972.00 84	reams	long bondpaper substance 20			Php 18,060.00  45	bot.	colored printer  ink 664 ( magenta, cyan, yellow) Php </t>
  </si>
  <si>
    <t xml:space="preserve"> PURCHASE OF TIRES</t>
  </si>
  <si>
    <t xml:space="preserve"> ADHESIVE STEEL  43 OTHERS</t>
  </si>
  <si>
    <t xml:space="preserve"> INJECTOR PUSH ROD &amp; 1 OTHER</t>
  </si>
  <si>
    <t xml:space="preserve"> 20 boxes Ascorbate Acid Alkaline based</t>
  </si>
  <si>
    <t xml:space="preserve"> TESTER, INSULATION, MEGGER</t>
  </si>
  <si>
    <t xml:space="preserve"> Provision of supplies &amp; materials for Reproduction of learner's modules in all learning areas - Php 305, 770.00 1155	REAMS	A4 BONDPAPER SUBSTANCE 20		Php	 277,200.00  6	BOT.	RISO KZ30 MASTER		                        Php       7,920.00  6	BOT.	KZ30 INK		  </t>
  </si>
  <si>
    <t xml:space="preserve"> I - ELECTRICAL WORKS 1 LOT II - TILE WORKS 74.00 SQ.M. III - CEILING WORKS 74.00 SQ.M. IV - PAINTING WORKS 1 LOT</t>
  </si>
  <si>
    <t xml:space="preserve"> Tiglawigan Elementary School are inviting bidders to bid for the materials for Repair and Improvement of Hand washing and Tooth Brushing Facilities</t>
  </si>
  <si>
    <t xml:space="preserve"> 1 set Caliper Wheel Hub Spindle for Ford Ranger</t>
  </si>
  <si>
    <t xml:space="preserve"> see RFQ attached</t>
  </si>
  <si>
    <t xml:space="preserve"> Tiglawigan Elementary School are inviting bidders to bid for the provision of School Supplies.</t>
  </si>
  <si>
    <t xml:space="preserve"> 2. Procurement ID/Contract ID:	20GD0113 Contract Name:	BASIC EDUCATIONAL FACILITIES FUND (BEFF) CONSTRUCTION OF ELEMENTARY AND SECONDARY CLASSROOMS – CONSTRUCTION OF 2STY4CL, TANZA ES, ROXAS CITY, CAPIZ Contract Location:	Roxas City, Capiz Brief Descripti</t>
  </si>
  <si>
    <t xml:space="preserve"> Request for Quotation 7 August 2020 The TOURISM PROMOTIONS BOARD invites you to submit quotations for the item/s listed below: Quotation No.  TPB-RFQ 2020-08-228 PR No. 7.025   Project Title: E – Learning Sessions Requirements:	Training Service Provider T</t>
  </si>
  <si>
    <t xml:space="preserve"> Resource to be Procured: Renewal of Google G Suite for Business Licensing Subscription for One (1) Year Estimated total cost: Php 875,000 (Inclusive of VAT) Technical Specifications: No. of license: 125 • Includes Gmail, Hangouts Meet, Hangouts Chat, Goog</t>
  </si>
  <si>
    <t xml:space="preserve"> Republic of the Philippines City of Manila Office of the Barangay Chairman The Barangay 898, Zone 100, District 6, Manila Through its Bid and Awards Committee (BAC), Invites all supplier with Certificate of Accreditation duly approved by the City Council </t>
  </si>
  <si>
    <t xml:space="preserve"> Educational Materials and Supplies</t>
  </si>
  <si>
    <t xml:space="preserve"> REQUEST FOR QUOTATION August 7, 2020 _______________________________ _______________________________ _______________________________ Gentlemen: Please quote for us your lowest price on the item(s) listed below: ITEM/S 								   TOTAL PRICE 1 Lot Repair a</t>
  </si>
  <si>
    <t xml:space="preserve"> Invitation to Bid to all Supplier/Contractor duly accredited by the City Council of Manila to supply and deliver the following items provided hereunder, to wit; Item	Qty.	 	Unit	 	 	 	DESCRIPTION	  1	 	10	 	bags	Portland Cement	 	 	 	 	 	  2	 	2	 	cu.m.	W</t>
  </si>
  <si>
    <t xml:space="preserve"> REQUEST FOR QUOTATION GOODS 2020-039 August 07, 2020 _____________________________ _____________________________ _____________________________ Please quote your lowest price inclusive of VAT, subject to the Terms and Conditions of this RFQ, and submit you</t>
  </si>
  <si>
    <t xml:space="preserve"> Supplies of medicine for its residents.</t>
  </si>
  <si>
    <t xml:space="preserve"> Medicine supplies for its residents.</t>
  </si>
  <si>
    <t xml:space="preserve"> Lacoste-type fabric with collar embroidered JJWC Logo design "Regional Juvenile Justice and Welfare Committee XI" (printed at the back of the shirt in Berlin San FB Font Font for print at the back portion of shirt: *white polo shirt (berlin san fb font in</t>
  </si>
  <si>
    <t xml:space="preserve"> please see attached file For further information, please refer to: Mr. Marlon Balitaon Telefax No. 837-8113 loc 318 / 837-2071 loc 2293 Email address: marl_balitaon@yahoo.com</t>
  </si>
  <si>
    <t xml:space="preserve"> INVITATION TO BID FOR  Procurement of Supplies (Bond Paper) for the Printing of Self  Learning Modules –  Contract No. G-002-08- 1.	The Department of Education, Division of Island Garden City of Samal through the GAA 2020  intends to apply the sum of Two </t>
  </si>
  <si>
    <t xml:space="preserve"> The National Commission for Culture and the Arts (NCCA) through its Procurement Section intends to procure “Ultraviolet Germicidal Lamps” in accordance with Section 52.1 (b) Shopping of the 2016 revised Implementing Rules and Regulations of Republic Act N</t>
  </si>
  <si>
    <t xml:space="preserve"> 1. Procurement ID/Contract ID:	20GD0112 Contract Name:	BASIC EDUCATIONAL FACILITIES FUND (BEFF) CONSTRUCTION OF ELEMENTARY AND SECONDARY CLASSROOMS – CONSTRUCTION OF 2STY4CL, WEST VILLAFLORES ES, MA-AYON, CAPIZ Contract Location:	Maayon, Capiz Brief Descr</t>
  </si>
  <si>
    <t xml:space="preserve"> Please see attached for details or you may visit the DND website at: https://www.dnd.gov.ph/transparency/procurement/dnd-properbids-and-awards-committee.html</t>
  </si>
  <si>
    <t xml:space="preserve"> Item No.	Item and Description	Qty. 1	GRADE 11 PRINTED MODULES	452608 2	GRADE 12 PRINTED MODULES	10280 3	GRADE 11 PRINTED ACTIVITY SHEETS	436840 4	GRADE 12 PRINTED ACTIVITY SHEETS	297352</t>
  </si>
  <si>
    <t xml:space="preserve"> Invitation to Bid to all Supplier/Contractor duly accredited by the City Council of Manila to supply and deliver the following items provided hereunder, to wit; Item	Qty.	 	Unit	 	 	 	DESCRIPTION	 	  1	 	10	 	Reams	Bond Paper, Long	 	 	 	 	 	  2	 	7	 	Rea</t>
  </si>
  <si>
    <t xml:space="preserve"> August 17 - 22, 2020 Kiangan, Ifugao Meals and Snacks   - Snacks (AM and PM)  - Lunch(2 main dish, 1 side dish and dessert)  - Overflowing coffee for the whole duration of the training</t>
  </si>
  <si>
    <t xml:space="preserve"> Item no.	Qty.	Unit	ARTICLES	P R I C E	 				UNIT COST	TOTAL 1	450	pc	AM snacks *15 days		 			 bread		 2	420	pack	LUNCH (trainees) *15 days		 			 1 viand &amp; 1 rice		 3	30	pack	LUNCH (trainer) *15 days		 			 2 viand (meat) &amp; 1 viand (vegetables)		 			 1 rice	</t>
  </si>
  <si>
    <t xml:space="preserve"> Republic of the Philippines PROVINCE OF NORTHERN SAMAR BIDS AND AWARDS COMMITTEE Catarman Invitation to Bid NS-08-08-20-02-R1 Improvement of Provincial Agriculture’s Office for Farmer’s Information Training Center, Brgy. Dalakit, Catarman, Northern Samar </t>
  </si>
  <si>
    <t xml:space="preserve"> Copyprinter</t>
  </si>
  <si>
    <t xml:space="preserve"> Item no.	Qty.	Unit	ARTICLES 			 1	450	pc	AM snacks *15 days 			 bread 2	420	pack	LUNCH (trainees) *15 days 			 1 viand &amp; 1 rice 3	30	pack	LUNCH (trainer) *15 days 			 2 viand (meat) &amp; 1 viand (vegetables) 			 1 rice 			 1 dessert 4	450	pc	PM snacks *15 da</t>
  </si>
  <si>
    <t xml:space="preserve"> Republic of the Philippines PROVINCE OF NORTHERN SAMAR BIDS AND AWARDS COMMITTEE Catarman Invitation to Bid NS-08-08-20-01-R1 Repair/Improvement of PGAD Office, Brgy. Dalakit, Catarman, Northern Samar 1.	The Provincial Government of Northern Samar, throug</t>
  </si>
  <si>
    <t xml:space="preserve"> August 17 - 22, 2020 Banaue, Ifugao Meals and Snacks  - Snacks (AM and PM)  - Lunch (2 main dish, 1 side dish and dessert)  - Overflowing coffee for the whole duration of the training</t>
  </si>
  <si>
    <t xml:space="preserve"> Unit 	Item Description	Quantity	 				 pieces	Printing of MOA on the usage of learning module	2,500</t>
  </si>
  <si>
    <t xml:space="preserve"> PLEASE SEE ATTACHED RFQ</t>
  </si>
  <si>
    <t xml:space="preserve"> Quantity	Unit	Item and Description 2	bag	         0-0-60,  Muriate of Potash 18	bag	         14-14-14, Complete Fertilizer 24	bag	         46-0-0, Urea 5	bottle	Herbicide, Active Ing.: Mecocrop &amp; Dicamba 5	bottle	Herbicide, Non-selective, Active Ing: Glyp</t>
  </si>
  <si>
    <t xml:space="preserve"> laptop</t>
  </si>
  <si>
    <t xml:space="preserve"> August 7, 2020     REQUEST FOR QUOTATION     TO ALL INTERESTED SUPPLIERS:     The PHILIPPINE INSTITUTE OF VOLCANOLOGY AND SEISMOLOGY (PHIVOLCS) hereby invites all interested suppliers to quote their lowest price on the item/s listed below, subject to the </t>
  </si>
  <si>
    <t xml:space="preserve"> 1	Piece	"Toner cartridge, MLT-D101S For Samsung printer ML-2165" 10	Piece	Toner cartridge, HP, CF217A 2	Piece	"Toner cartridge, HP HP 508A, black, CF360A" 2	Piece	"Toner cartridge, HP HP 508A, cyan, CF361A" 2	Piece	"Toner cartridge, HP HP 508A, yellow, CF</t>
  </si>
  <si>
    <t xml:space="preserve"> Lease</t>
  </si>
  <si>
    <t xml:space="preserve"> ITB # 2020-43 INVITATION TO BID FOR THE FURNISHING &amp; DELIVERY OF MATERIALS FOR THE ESTABLISHMENT OF RECEIVING &amp; INFORMATION AREA @ MTH 1.The Municipality of Camalaniugan through the GENERAL FUND (Mayor’s Office) intends to apply the sum of NINETY FIVE THO</t>
  </si>
  <si>
    <t xml:space="preserve"> First Rebidding for the Multimedia and Music Licensing</t>
  </si>
  <si>
    <t xml:space="preserve"> Campers</t>
  </si>
  <si>
    <t xml:space="preserve"> A4</t>
  </si>
  <si>
    <t xml:space="preserve"> Vit.C</t>
  </si>
  <si>
    <t xml:space="preserve"> Materials for Renovation of Comfort Room (Covered Court)</t>
  </si>
  <si>
    <t xml:space="preserve"> The National Food Authority Palawan Provincial Office through the NFA Corporate Operating Budget for 2020, intends to apply the sum of P999,810.00 being the Approved Budget for the Contract (ABC) for the Negotiated Procurement under Emergency Cases for th</t>
  </si>
  <si>
    <t xml:space="preserve"> KAPT. EDDIE T. REYES INTEGRATED SCHOOL ( KERIS)				 				 	ENROLLMENT	NO. OF SUBJECTS/SET	PRICE PER SET  (P1.00 per page)	TOTAL  				 ALS	0			0 ALIVE				0 SPED(Act. Shts)	48	5	80	3840 Kinder	924	1	16	14784 Kinder (Act. Shts)	924	81	60.75	56133 Grade 1	1062</t>
  </si>
  <si>
    <t xml:space="preserve"> REQUEST FOR QUOTATION August 08, 2020 Dear Sir/Madam: 	Greetings from the Commission on Human Rights! 	The Commission on Human Rights (CHR), through its Bids and Awards Committee for Goods and Services (BAC-GS), will procure the Printing, Supply and Deliv</t>
  </si>
  <si>
    <t xml:space="preserve"> NOTICE TO THE PUBLIC REQUEST FOR QUOTATION                                              AMP SVP-D NO: 20-07-0420	              The University of the Philippines, Diliman (UPD) hereby informs the public that it will be procuring the following item/s throug</t>
  </si>
  <si>
    <t xml:space="preserve"> Quantity	Unit	Item and Description 4	pc	Printing of Tarpaulin and fabrication of frame                                                                                         4ft x 8ft Taurpaulin Blackout                                                   </t>
  </si>
  <si>
    <t xml:space="preserve"> Copier</t>
  </si>
  <si>
    <t xml:space="preserve"> GI wire</t>
  </si>
  <si>
    <t xml:space="preserve"> 1400 pcs Expanding Plastic Envelope (Long, Durable snap button, branded)</t>
  </si>
  <si>
    <t xml:space="preserve"> 1. GARBAGE COMPACTOR 15CBM...........................................................................3 units				 Specifications:				 Drive : 6 x 4				 Gross Vehicle Weight (kg) : 24500				 Curb Weight (kg) : 1500				 Load Weight (kg) : 9500				 Max Speed </t>
  </si>
  <si>
    <t xml:space="preserve"> Printer lease</t>
  </si>
  <si>
    <t xml:space="preserve"> Republic of the Philippines     Province of Bohol     Municipality of Loon INVITATION TO BID FOR THE REHABILITATION OF OLD SR. CITIZEN BUILDING  (MOTO SUR) 1.	The Local Government Unit of Loon, Bohol through its appropriation from general fund intends to </t>
  </si>
  <si>
    <t xml:space="preserve"> Protection Kit</t>
  </si>
  <si>
    <t xml:space="preserve"> Republic of the Philippines Province of Marinduque Municipality of Torrijos BARANGAY CABUYO INVITATION TO BID FOR THE SUPPLY AND DELIVERY OF MATERIALS FOR THE COMPLETION/FINISHING OF MULTI-PURPOSE BUILDING 1.	The BARANGAY GOVERNMENT OF CABUYO, through the</t>
  </si>
  <si>
    <t xml:space="preserve"> Republic of the Philippines Province of Sarangani Municipality of Malapatan Invitation to Bid  	 2020-B1-06-023 PROCUREMENT OF RESCUE / EXTRICATION EQUIPMENT OF MDRRMO, MALAPATAN, SARANGANI PROVINCE 1. The Local Government Unit of Malapatan, through the 5</t>
  </si>
  <si>
    <t xml:space="preserve"> Republic of the Philippines Province of Sarangani Municipality of Malapatan Invitation to Bid  	 2020-B1-03-009  PROCUREMENT OF RESCUE / EXTRICATION EQUIPMENT OF MDRRMO, MALAPATAN, SARANGANI PROVINCE 1. The Local Government Unit of Malapatan, through the </t>
  </si>
  <si>
    <t xml:space="preserve"> PROVISION OF MATERIAL AND LABOR SERVICES FOR THE INSTALLATION OF ENCLOSURE FOR LAMS RECORDS ROOM AT CENRO SOCORRO ABC: Php. 120,000.00 Location: DENR-CENR Office, Brgy. Pasi II, Socorro, Oriental Mindoro Interested Contractors shall submit their filled-up</t>
  </si>
  <si>
    <t xml:space="preserve"> Republic of the Philippines Province of Sarangani Municipality of Malapatan INVITATION TO BID  	 2020-B1-02       PROCUREMENT OF MATERIALS FOR THE MAINTENANCE AND DEVELOPMENT OF HRIS SYSTEM, MALAPATAN, SARANGANI PROVINCE 1.	The Local Government Unit of Ma</t>
  </si>
  <si>
    <t xml:space="preserve"> Republic of the Philippines Province of Sarangani Municipality of Malapatan Invitation to Bid  	 2020-B1-07-027  PROCUREMENT OF MEDICINES AND MEDICAL SUPPLIES FOR PROVISION OF BASIC HEALTH SERVICES, MHO MALAPATAN, SARANGANI PROVINCE 1. The Local Governmen</t>
  </si>
  <si>
    <t xml:space="preserve"> Republic of the Philippines     Province of Bohol     Municipality of Loon INVITATION TO BID FOR THE CONSTRUCTION/COMPLETION/REHABILITATION OF MULTI-PURPOSE BUILDINGS (CALAYUGAN SUR, MOCPOC NORTE, NAPO, LOON) 1.	The Local Government Unit of Loon, Bohol th</t>
  </si>
  <si>
    <t xml:space="preserve"> REQUEST FOR EXPRESSION OF INTEREST FOR CONSULTING SERVICES  The DPWH-CAGAYAN THIRD DISTRICT ENGINEERING OFFICE, through its CY2020 PDE intend to apply the sum of P3,177,367.00 being the Approved Budget for the Contract (ABC) to payments under the contract</t>
  </si>
  <si>
    <t xml:space="preserve"> REQUEST FOR EXPRESSION OF INTEREST  FOR THE  TECHNICAL CONSULTANT/SERVICE FOR DEVELOPMENT OF ELECTRONIC  LEARNING MODULES ON GENDER AND DEVELOPMENT (GAD) FOR DENR-ENVIRONMENTAL MANAGEMENT BUREAU REOI NO. EMB-EEID-CONSULTANCY-104 08-07-2020 P.R. NO. 2020-0</t>
  </si>
  <si>
    <t xml:space="preserve"> Procurement of Polo shirt with Collar 2 combination color 112 pcs</t>
  </si>
  <si>
    <t xml:space="preserve"> Republic of the Philippines Province of Sarangani Municipality of Malapatan Invitation to Bid  	 2020-B1-07-026 PROCUREMENT OF MEDICINES AND MEDICAL SUPPLIES FOR FAMILY PLANNING PROGRAM 1. The Local Government Unit of Malapatan, through the GENERAL FUND 2</t>
  </si>
  <si>
    <t xml:space="preserve"> Please see RFQ Attachment</t>
  </si>
  <si>
    <t xml:space="preserve"> Republic of the Philippines Province of Sarangani Municipality of Malapatan Invitation to Bid  	 2020-B1-06-022 PROCUREMENT OF GOODS FOR SENIOR CITIZEN AND PERSON WITH DISABILITY, MALAPATAN, SARANGANI PROVINCE 1. The Local Government Unit of Malapatan, th</t>
  </si>
  <si>
    <t xml:space="preserve"> SUPPLY OF CONSTRUCTION MATERIALS</t>
  </si>
  <si>
    <t xml:space="preserve"> REQUEST TO SUBMIT PROPOSAL FOR THE SUPPLY AND DELIVERY OF VARIOUS AGRICULTURAL  SUPPLIES  AND EQUIPMENT FOR THE ESTABLISHMENT OF COMMUNITY BASED PROCESSING FACILITY UNDER 2020 HVCDP AT APPROVED BUDGET FOR THE CONTRACT AMOUNTING TO FOUR HUNDRED NINETY NINE</t>
  </si>
  <si>
    <t xml:space="preserve"> Republic of the Philippines Province of Sarangani Municipality of Malapatan INVITATION TO BID  	 2020-B2-07-025 IMPROVEMENT OF MUNICIPAL PUBLIC MARKET, PUROK 8B,  BARANGAY POBLACION, MALAPATAN, SARANGANI PROVINCE  1.	The Local Government Unit of Malapatan</t>
  </si>
  <si>
    <t xml:space="preserve"> Please see attach RFQ</t>
  </si>
  <si>
    <t xml:space="preserve"> REQUEST TO SUBMIT PROPOSAL FOR THE SUPPLY AND DELIVERY OF THREE (3) UNITS LAPTOP AND FOUR (4) UNITS DESKTOP SYSTEM UNIT FOR USE OF  HVCDP   UNDER 2020 HVCDP AT APPROVED BUDGET FOR THE CONTRACT AMOUNTING TO ONE HUNDRED FOUR THOUSAND ONE HUNDRED NINETY SEVE</t>
  </si>
  <si>
    <t xml:space="preserve"> INVITATION TO QUOTE Date:  August 04, 2020 1.	The Provincial Government of Davao del Sur, through its Bids and Awards Committee (BAC), invites all interested bidders/suppliers to quote for the following goods under Alternative Methods of Procurement ([Sho</t>
  </si>
  <si>
    <t xml:space="preserve"> Zumba Uniform: Shirt: Dry Fit Printing- Full Sublimation Pants- Cotton Printing- Logo SDO Quirino Please see the design attached</t>
  </si>
  <si>
    <t xml:space="preserve"> This program/project aims to purchase cements and other construction materials for the concreting of Barangay Road.</t>
  </si>
  <si>
    <t xml:space="preserve"> Sir/Madam:						              Please legibly quote your lowest net price (inclusive of tax) for each item listed below and submit the same duly signed in a sealed envelope to this Office on or before August 12, 2020.						 						 Item No.	Unit	Article/Sup</t>
  </si>
  <si>
    <t xml:space="preserve"> This program/project aims to purchase cement and materials for the construction of swimming pool and repainting of walls of the comfort room.</t>
  </si>
  <si>
    <t xml:space="preserve"> Disinfecting solutions- 293 gallons Disinfectant Doormat rag- 7 set</t>
  </si>
  <si>
    <t xml:space="preserve"> 20 vials Vit B Complex (100mt) 20 vials Oxytetracycline (100 ml) 2 boxes Antibiotic (Amox) 6g 20% soluble powder (48 sachets/box) 2 boxes Antibiotic (500mg tablets) 100s 10 boxes Vitamins and Minerals (powder) 10 vials Vitamins and Minerals (100ml) 10 via</t>
  </si>
  <si>
    <t xml:space="preserve"> INVITATION TO QUOTE Date:  July 30, 2020 1.	The Provincial Government of Davao del Sur, through its Bids and Awards Committee (BAC), invites all interested bidders/suppliers to quote for the following goods under Alternative Methods of Procurement (Small </t>
  </si>
  <si>
    <t xml:space="preserve"> This program/project aims to maintain and improve the good appearance and quality of the building by repainting of walls.</t>
  </si>
  <si>
    <t xml:space="preserve"> Construction of sanitary toilet facilities &amp; water facilities</t>
  </si>
  <si>
    <t xml:space="preserve"> 65" Smart TV Single/Mini/Small Refrigerator Upright Chiller</t>
  </si>
  <si>
    <t xml:space="preserve"> 3005 pcs Lamao Seedling 3025 pcs Guimaras Seedling 2505 pcs Sweet Elena Seedling</t>
  </si>
  <si>
    <t xml:space="preserve"> Republic of the Philippines                                                                      Province of Bohol                                                              Municipality of Loon INVITATION TO BID FOR THE PURCHASE OF MATERIALS FOR THE RE</t>
  </si>
  <si>
    <t xml:space="preserve"> Republic of the Philippines Province of Sarangani Municipality of Malapatan Invitation to Bid  	 2020-B2-24 CONCRETING OF JUNCTION NATIONAL HIGHWAY -MASBONG 1 ROAD ( PHASE III ) BRGY. POBLACION , MALAPATAN SARANGANI PROVINCE  1. The Local Government Unit </t>
  </si>
  <si>
    <t xml:space="preserve"> PURCHASE OF OFFICE SUPPLIES FOR THE REPRODUCTION OF LEARNING MATERIALS</t>
  </si>
  <si>
    <t xml:space="preserve"> REFER TO ATTACHED FILE</t>
  </si>
  <si>
    <t xml:space="preserve"> NOTICE TO THE PUBLIC REQUEST FOR QUOTATION                                              AMP SVP-D NO: 20-07-0419	              The University of the Philippines, Diliman (UPD) hereby informs the public that it will be procuring the following item/s throug</t>
  </si>
  <si>
    <t xml:space="preserve"> Republic of the Philippines CITY GOVERNMENT OF ANTIPOLO Antipolo City INVITATION TO BID For the Supply &amp; Delivery of Medical, Laboratory, Dental, Radiologic &amp; Opthalmology Supplies The City Government of Antipolo, through the General Fund intends to apply</t>
  </si>
  <si>
    <t xml:space="preserve"> Supply and delivery of the following: 1 piece CUSTOMIZED 6.5 FEET HARDWOOD LONG BENCH, with solid back and arch arm rest (with hard, lustrous varnish) 1 piece CUSTOMIZED 4 FEET HARDWOOD LONG BENCH, with solid back and arch arm rest (with hard, lustrous va</t>
  </si>
  <si>
    <t xml:space="preserve"> 35 pcs 50 liters plastic storage box</t>
  </si>
  <si>
    <t xml:space="preserve"> purchase of various goods..</t>
  </si>
  <si>
    <t xml:space="preserve"> NOTICE TO THE PUBLIC REQUEST FOR QUOTATION                                              AMP SVP-S NO: 20-08-0430	              The University of the Philippines, System (UPS) hereby informs the public that it will be procuring the following item/s through</t>
  </si>
  <si>
    <t xml:space="preserve"> Republic of the Philippines Province of Agusan del Norte Municipality of Remedios T. Romualdez BARANGAY TAGBONGABONG Invitation to Bid PROCUREMENT OF WATER SUPPLY ACCESSORIES AND MATERIALS FOR THE IMPROVEMENT OF WATER SYSTEM OF TAGBONGABONG (2nd Posting) </t>
  </si>
  <si>
    <t xml:space="preserve"> To reproduce self-learning modules for the Senior High School Department SY 2020-2021</t>
  </si>
  <si>
    <t xml:space="preserve"> August 17 - 22, 2020 Lagawe, Ifugao Meals and Snacks  - Snacks (AM and PM)  - Lunch (2 main dish, 1 side dish and dessert)  - Overflowing coffee for the whole duration of the training</t>
  </si>
  <si>
    <t xml:space="preserve"> SUPPLY AND DELIVERY OF FOLLOWING MATERIALS FOR THE CONCRETE RESTORATION AND SAND BEDDING FOR uPVC PIPE IN CONNECTION WITH THE WATERLINE EXTENSION PROJECT FROM IMBANG BRIDGE TO BACOLOD-SILAY AIRPORT ACCESS ROAD (BSAAR) CORNER SILAY-PATAG ROAD, BRGY. E. LOP</t>
  </si>
  <si>
    <t xml:space="preserve"> Meals</t>
  </si>
  <si>
    <t xml:space="preserve"> To reproduce self-learning modules for the Junior High School Department SY 2020-2021</t>
  </si>
  <si>
    <t xml:space="preserve"> PRINTER EPSON L310</t>
  </si>
  <si>
    <t xml:space="preserve"> Meals and snacks for 123 to 124 pax for two days 2 units training hall *Note: arrange tables and chairs following social distancing of atleast 1 meter apart</t>
  </si>
  <si>
    <t xml:space="preserve"> Tiglawigan Elementary School are inviting bidders to bid for the procurement of Grass Cutter amounting 10,000.00</t>
  </si>
  <si>
    <t xml:space="preserve"> REQUEST FOR QUOTATION August 7, 2020 _______________________________ _______________________________ _______________________________ Gentlemen: Please quote for us your lowest price on the item(s) listed below: ITEM/S 						UNIT PRICE 	    TOTAL PRICE 1 u</t>
  </si>
  <si>
    <t xml:space="preserve"> Face Shield	36	pc &gt;direct splash protection		 &gt;Full		 &gt;Anti-Fog		 &gt;One Size Fits All		 &gt;Soft Head Foam		 &gt;Comfort Stretch Band		 &gt;Disposable		 Ink HP HP955XL	2 	cart &gt;Cyan Original		 Ink HP HP955XL	2 	cart &gt;Magenta Original		 Ink HP HP955XL	2 	cart &gt;Yello</t>
  </si>
  <si>
    <t xml:space="preserve"> Supply of materials and rental of concrete mixer for the concreting of barangay road</t>
  </si>
  <si>
    <t xml:space="preserve"> SUPPLY and DELIVERY of the following: 6,386 reams BOND PAPER, A4, 70gsm Nothing follows… Notes:  Bidding documents available at the BAC Secretariat.</t>
  </si>
  <si>
    <t xml:space="preserve"> Please see attached Request for Quotation. Thank you!</t>
  </si>
  <si>
    <t xml:space="preserve"> 1	Airstone, 1", gray			200	Piece	5,000.00 	P.E rope #6, green, 200m/roll			1	Roll	180.00 	P.E rope #12, yellow, 200m/roll			3	Roll	2,550.00 	P.E rope #2, green, 200m/roll			5	Roll	600.00 	T-connector (3-way, green plastic)			100	Piece	1,500.00 	Air contro</t>
  </si>
  <si>
    <t xml:space="preserve"> Supply &amp; delivery of Various Lights: 45w 220v Spiral CFL	       --------------------------------------------------------------------  100 pcs 10W 220v PAR38 LED	-------------------------------------------------------------------  30 pcs 9W 220V LED Bulb	 </t>
  </si>
  <si>
    <t xml:space="preserve"> Network Attached Storage (2 pieces ; Php 14,900.00 each) *4 TB * 10/100/1000 MB/s compatible Gigabit Ethernet * Interface Types: SATA, USB 3.0, Ethernet RJ45 * Windows/Mac Compatible * On-Board Cache: 256MB * Voltage: 110-240V Multi Etherner Router (2 pie</t>
  </si>
  <si>
    <t xml:space="preserve"> REQUEST FOR QUOTATION The Local Government Unit of Molave, through its Bids and Awards Committee, will undertake a Small Value Procurement for the Purchase of Various Animal Feeds and Vitamins to be Used in Swine Production Center of the Municipal Agricul</t>
  </si>
  <si>
    <t xml:space="preserve"> Webcam		1 	unit &gt;dimension: (Hx W x D) 29mm x 94mm x 24mm 			 &gt;cable length1.5 meters			 &gt;max resolution: 1080 p/30 fps -720 p/30 fps			 &gt;focus type: autofocus, built-in mic. Stereo			 &gt;tri-pod ready universal clip fits laptop, LCD or monitor, compatible </t>
  </si>
  <si>
    <t xml:space="preserve"> Headphone		5	pc &gt;Over-Ear(Circumaural)			 &gt;Headband			 &gt;Stereo Sound Field, 1.75" / 40 MM			 &gt;Neodymium			 &gt;26 Ohms			 &gt;Microphone: Adjustable Boom			 &gt;Left Earpiece			 &gt;Controls: Cable			 &gt;Frequency Response - 20 Hz to 20 Khz			 Webcam		5 	pc &gt;720p HD			</t>
  </si>
  <si>
    <t xml:space="preserve"> 1	Air pump (vortex/ring blower)			4	Unit	26,000.00 	Output: -18,000 L/hr					 	Power: -90 Watts					 	Pressure:-&gt;0.007Mpa					 	Voltage: 220-240V					 						 	Submersible aquarium pump			6	Unit	4,800.00 	Output: 2200 l/h					 	Power: 25 watts					 	Head m</t>
  </si>
  <si>
    <t xml:space="preserve"> 1	Panel Board 6x6			2	Piece	3,000.00 2	Circuit Breaker 60A			4	Piece	3,000.00 3	Circuit Breaker 30A			8	Piece	3,200.00 4	Circuit Breaker 20A			8	Piece	3,040.00 5	Circuit Breaker 15A			8	Piece	2,960.00 6	2 Gang Outlet			30	Piece	3,600.00 7	3 Gang Switch			</t>
  </si>
  <si>
    <t xml:space="preserve"> Republic of the Philippines PROVINCE OF SOUTHERN LEYTE Maasin City Invitation to Bid for the Cluster: Swine Enterprises Development: Three (3) Units Hogstel Project (Sogod Bay Area) Barangay Bugasong, Libagon, Southern Leyte Barangay Buenavista, Bontoc, S</t>
  </si>
  <si>
    <t xml:space="preserve"> GAD OFFICE SUPPLIES                                                                            P 50,109.00  1.  RECORD BOOK (VECO) 300 PAGES                       2. RECORD BOOK (VECO) 500 PAGES  3. BOND PAPER LONG  4. BOND PAPER SHORT  5. BOND PAPER A4  </t>
  </si>
  <si>
    <t xml:space="preserve"> 1	LED Flood lights 30 Watts			20	Unit	30,000.00 	Switch 1 Gang Outdoor Waterproof			20	Unit	2,000.00 	THHN Stranded Wire #10, 150 meters			12	Box	48,000.00 						 	Total					80,000.00</t>
  </si>
  <si>
    <t xml:space="preserve"> Item No.	Qty	Unit	Article / Description 1	35	heads	"Meals &amp; Snacks Meals: - Adobong manok - Fish Fillet - Beef Steak - Rice - Fruits - Softdrinks Snacks: - Bihon - Bread - Softdrinks " 2	30	heads	"Meals &amp; Snacks Meals: - Grilled fish - Fish Fillet - Beef </t>
  </si>
  <si>
    <t xml:space="preserve"> Republic of the Philippines PROVINCE OF SOUTHERN LEYTE Maasin City Invitation to Bid for the Cluster: Swine Enterprises Development: Four (4) Units Hogstel Project (Pacific Area) Barangay Somoje, San Juan, Southern Leyte Barangay Look Anahawan, Southern L</t>
  </si>
  <si>
    <t xml:space="preserve"> 1	Cement			200	Bag	60,000.00 	Sand			20	cu.m.	30,000.00 	RSB #10			50	Piece	9,000.00 	RSB #8			50	Piece	6,000.00 	Tie wire #16			20	Kilogram	2,000.00 	Good Lumber: 2" x 2" x 12'			200	Piece	56,000.00 	Good Lumber: 2" x 3" x 12'			70	Piece	38,500.00 	Good </t>
  </si>
  <si>
    <t xml:space="preserve"> 1	Water booties			41	Piece	41,000.00 2	Safety shoes			41	Piece	41,000.00 3	Rain coat (with sign of BFAR-NBFTC)			41	Piece	20,500.00 4	Rash guard (with sign of BFAR-NBFTC)			41	Piece	28,700.00 5	Cowboys cap (with sign of BFAR-NBFTC)			41	Piece	20,500.00 6	</t>
  </si>
  <si>
    <t xml:space="preserve"> Tiglawigan Elementary School are inviting bidders to bid for the materials for modules.</t>
  </si>
  <si>
    <t xml:space="preserve"> REPUBLIC OF THE PHILIPPINES																																						 		PROVINCE OF ZAMBOANGA DEL NORTE																																						 		MUNICIPALITY OF PRES. MANUEL A. ROXAS																																						 		BIDS AND AWARDS COMMITTEE												</t>
  </si>
  <si>
    <t xml:space="preserve"> scanner</t>
  </si>
  <si>
    <t xml:space="preserve"> INVITATION TO BID  The DPWH – Negros Oriental 1st District Engineering Office, Tinaogan, Bindoy, Negros Oriental through its Bids and Awards Committee (BAC) for Goods, invites suppliers to submit bids for the contract; Contract Name	: Fuel for use in the </t>
  </si>
  <si>
    <t xml:space="preserve"> Item No.		Qty							Unit	Item Description					 1			100							PAX	MEALS &amp; SNACKS					 2			100							PAX	SNACKS					 3			100							PAX	MEALS (BUFFET) &amp; SNACKS</t>
  </si>
  <si>
    <t xml:space="preserve"> Item 105- Sub-grade preparation: Qty.= 116.0 sq.m. 29 linear meters, A. Equipment Rental: one (01)  unit motorized grader, one (01) unit vibratory road roller, B. Labor: foreman, skilled laborer and laborer. Item 200 -aggregate Sub-base Course: A. Materia</t>
  </si>
  <si>
    <t xml:space="preserve"> Please see RFQ attachment</t>
  </si>
  <si>
    <t xml:space="preserve"> Availability of canvass until August 10, 2020; 8:00 - 12:00 noon Dropping of canvass will be on August 10, 2020, 12:00 noon The Mandaue City Government through its Bids and Awards Committee (BAC), invites eligible suppliers/ provide quote the lowest price</t>
  </si>
  <si>
    <t xml:space="preserve"> Republic of the Philippines PROVINCE OF SOUTHERN LEYTE Maasin City Invitation to Bid for the Cluster: Swine Enterprises Development: Three (3) Units Hogstel Project (Maasin City, Malitbog, Padre Burgos) Barangay Hantag, Maasin City, Southern Leyte Baranga</t>
  </si>
  <si>
    <t xml:space="preserve"> PURCHASED REQUEST FOR THE MONTH OF JULY - AUGUST 2020 MOOE OF GUIPOS CENTRAL ELEMENTARY SCHOOL, GUIPOS ZDS.</t>
  </si>
  <si>
    <t xml:space="preserve"> INVITATION TO BID IB NO. CW 2020 –  111-A Construction of Senior Citizen’s Building at Calocmoy, Socorro, Oriental Mindoro 1.  The Provincial Government of Oriental Mindoro (PGOM) through the 20% Development Fund – SB #1 intends to apply the sum of One Mi</t>
  </si>
  <si>
    <t xml:space="preserve"> 1	ALCOHOL, ethyk, 68%-70%. Scented. 500ml (-5ml)			100	Bottle	4,399.00 	RECORD BOOK, 300 PAGES, size: 214mm x 268mm min			50	Book	3,536.00 	TOILET TISSUE PAPER 2 plys sheets, 150 pulls			50	Pack	3,271.00 	BATTERY, dry cell, AAA, 2 pieces per blister pack	</t>
  </si>
  <si>
    <t xml:space="preserve"> INVITATION TO BID IB NO. CW 2020 –  110-A Upgrading of Naujan Community Hospital Electrical System, Naujan, Oriental Mindoro 1.  The Provincial Government of Oriental Mindoro (PGOM) through the General Fund – SB #1 intends to apply the sum of Two Million </t>
  </si>
  <si>
    <t xml:space="preserve"> REQUEST FOR QUOTATIONS The Civil Aviation Authority of the Philippines – Area VIII, through its Canvass and Contract Committee will conduct a SMALL VALUE PROCUREMENT under Section 53.9 of the 2016 Revised IRR of RA 9184 and cordially invites all intereste</t>
  </si>
  <si>
    <t xml:space="preserve"> 1.	HARDWARE AND CONSTRUCTION SUPPLIES                                             : P 50,000.00 ( vegetable riser)  SOURCE OF FUNDS                                 BARANGAY FUNDS (20% Dev’t Fund)           Specification                                    </t>
  </si>
  <si>
    <t xml:space="preserve"> DIESEL GASOLINE OIL</t>
  </si>
  <si>
    <t xml:space="preserve"> INVITATION TO BID IB NO. CW 2020 –  112-A Concreting of Road at Sitio Quinaban, San Jose, Bongabong, Oriental Mindoro 1.  The Provincial Government of Oriental Mindoro (PGOM) through the 20% Development Fund – SB #1 intends to apply the sum of Four Millio</t>
  </si>
  <si>
    <t xml:space="preserve"> BIOMETRICS                            1 unit         INDUSTRIAL FAN                     2 units</t>
  </si>
  <si>
    <t xml:space="preserve"> 1	Gloves, Disposable; low powder latex gloves (100pcs/box)			10	Box	12,000.00 	Face Mask, Surgical Disposable @50 pcs/box			10	Box	5,000.00 	Pail (Plastic, assorted color)			10	Piece	5,000.00 	Garden hose with noozle 1/2"			2	Roll	4,000.00 	Water Scooper </t>
  </si>
  <si>
    <t xml:space="preserve"> 125      BAGS              PORTLAND CEMENT 15      PCS                 10 MM DIA X 6 M DEF BARS 3.7 KGS 165    PCS                 4"X8"X16" CHB 2        KGS                NO. 16 G.I WIRE 7        CU.M               WASHED,SCREEN SAND 14      CU.M       </t>
  </si>
  <si>
    <t xml:space="preserve"> ELECTRICAL WORKS QTY.   UNIT/S  195        PC/S         LED 15w Daylight   39           pc/s        Photo switch 3Amp. 195          set/s       Doom shade 14” deep type w/ gooseneck arm Receptacle E27 Mogul Base                               And Wire 195 </t>
  </si>
  <si>
    <t xml:space="preserve"> MINI ELECTRIC VEHICLES 1.	SOLAR-ELECTRIC COMBI POWERED GOLF-CART TYPE VEHICLE……………………………………………….6 UNITS MOTOR: 1000W CONTROLLER: 60V18TUBE CAR SIZE: 2900*1060*2100mm SIZE OF THE CAR: 1370*1060*2100mm REAR SEAT SIZE: 360*930mm DRIVER SEAT SIZE: 760*330mm H</t>
  </si>
  <si>
    <t xml:space="preserve"> Republic of the Philippines Department Education Region IX Zamboanga Peninsula Basilan National High School Isabela City,Basilan REQUEST FOR QUOTATION Sir/Madam ; Please quote your lowest price on the items listed below, send your quote at reykorb29@outlo</t>
  </si>
  <si>
    <t xml:space="preserve"> RICE 160</t>
  </si>
  <si>
    <t xml:space="preserve"> SUPPLY AND DELIVERY OF FAST MOVING SPAREPARTS FOR AGUTAYA DPP.</t>
  </si>
  <si>
    <t xml:space="preserve"> Provincial Epidemology and Surveilance Unit  (2) Sets Desktop complete set with 21.5" LCD Monitor Keyboard and Mouse 5760x1400 Printer and scanner Back up UPS, Generic Cable 1.5 CPU Casing, i3 Processor Powersupplym Hard Disk Drive RAM 8GB DDR4, Motherboa</t>
  </si>
  <si>
    <t xml:space="preserve"> INVITATION TO BID IB NO. CW 2020 –  113-A Construction of Montemayor-Herrera Road, Naujan, Oriental Mindoro 1.  The Provincial Government of Oriental Mindoro (PGOM) through the 20% Development Fund – SB #1 intends to apply the sum of Four Million Nine Hun</t>
  </si>
  <si>
    <t xml:space="preserve"> ANTIBACTERIALS 1. Amikacin 125mg/mL, 2mL ampule, box of 10's ……………………………… 60 bxs. 2. Ampicillin+Sulbactam 1g/500mg vial ………………………………………….. 500 pcs. 3. Ampicillin+Sulbactam 500mg/250mg vial …………………………………….. 500 pcs. 4. Ampicillin Na 1g injection Vial, 10's</t>
  </si>
  <si>
    <t xml:space="preserve"> INVITATION TO BID IB NO. CW 2020 –  109-A Construction of Day Care Center at Sampaguita, Victoria, Or. Mindoro 1.  The Provincial Government of Oriental Mindoro (PGOM) through the 20% Development Fund – SB #1 intends to apply the sum of One Million Three </t>
  </si>
  <si>
    <t xml:space="preserve"> Relocation Survey of Shelpi Water Source Area at Banangan, Sablan, Benguet covered by Tax Declaration with ARP No. 2010-05-04-2626 with a total area of 12,620 sq. meters - To undertake relocation survey for the purpose of checking all existing corner mark</t>
  </si>
  <si>
    <t xml:space="preserve"> INVITATION TO BID IB NO. CW 2020 –  108-A Repair/Rehabilitation of Fence at Bansud Provincial Jail at Pag-asa, Bansud, Oriental Mindoro 1.  The Provincial Government of Oriental Mindoro (PGOM) through the General Fund – SB #1 intends to apply the sum of O</t>
  </si>
  <si>
    <t xml:space="preserve"> 1	Mitsubishi L-300 SFH 755					 	Tubeless tire 185, R14, 8 ply			2	Piece	14,000.00 	Battery 3 smf			2	Piece	15,000.00 	Isuzu D-max SFH 713					 	Battery 3 smf			2	Piece	15,000.00 	Sea Water Intake					 	Battery 3 smf			2	Piece	15,000.00 	Isuzu D-max/Van D</t>
  </si>
  <si>
    <t xml:space="preserve"> CAMERA / DSLR CANON            1 pc.               (w/ extra  lens  )                     COMPUTER SET                         1 unit          CP OPPO A9                               2 units          PORTABLE SOUND SYSTEM            (w/ microphone &amp; Ampl</t>
  </si>
  <si>
    <t xml:space="preserve"> INVITATION TO BID FOR THE  SUPPLY AND DELIVERY OF VARIOUS SIZES HDPE PIPE 1.	The Metropolitan Tuguegarao Water District through the Corporate Budget for the Year 2020  intends to apply the sum of One Million Five Hundred Thousand Pesos (P 1,500,000.00) be</t>
  </si>
  <si>
    <t xml:space="preserve"> 1	Ink Epson T664 Black (Genuine Epson)			12	Piece	13,800.00 	Ink Epson T664 Cyan (Genuine Epson)			12	Piece	13,800.00 	Ink Epson T664 Magenta (Genuine Epson)			12	Piece	13,800.00 	Ink Epson T664 Yellow (Genuine Epson)			12	Piece	13,800.00 	Ink Canon G4010</t>
  </si>
  <si>
    <t xml:space="preserve"> 1	Canon Toner Cartridge 046 H(Black)			5	Piece	65,000.00 	Canon Toner Cartridge 046 (Cyan)			5	Piece	65,000.00 	Canon Toner Cartridge 046 (Magenta)			5	Piece	65,000.00 	Canon Toner Cartridge 046 (Yellow)			5	Piece	65,000.00 	Total					260,000.00</t>
  </si>
  <si>
    <t xml:space="preserve"> INVITATION TO BID IB NO. CW 2020 – 082-B Construction of Bridge at Sta. Maria, Mansalay, Oriental Mindoro 1.  The Provincial Government of Oriental Mindoro (PGOM) through the 20% Development Fund CA 2019 intends to apply the sum of One Million Nine Hundre</t>
  </si>
  <si>
    <t xml:space="preserve"> Spare parts &amp; Repair Services (see attached documents)</t>
  </si>
  <si>
    <t xml:space="preserve"> INVITATION TO APPLY FOR ELIGIBILITY AND TO BID (IAEB No. 04 -2020) Republic of the Philippines Barangay Government of Sisi Barangay Sisi Guinayangan, Quezon Supply and Delivery of Construction Materials 1.	The BARANGAY GOVERNMENT OF SISI GUINAYANGAN, QUEZ</t>
  </si>
  <si>
    <t xml:space="preserve"> INVITATION TO BID The Department of Public Works and Highways (DPWH), Cavite 3rd District Engineering Office, Carmona, Cavite through its Bids and Awards Committee (BAC), invites contractors to submit bids for the following Contract: 1. Contract I.D. No.:</t>
  </si>
  <si>
    <t xml:space="preserve"> REQUEST FOR QUOTATION Date: August 7, 2020 RFQ No.: 2020 – 139 Name of Company:	________________________________________________________ Office Address:	________________________________________________________			___________________________________________</t>
  </si>
  <si>
    <t xml:space="preserve"> SUPPLY AND DELIVERY OF SPAREPARTS FOR EMMEDIATE REPLACEMENT OF DEFECTIVE PARTS OF FG WILSON 160KW OF AGUTAYA DPP</t>
  </si>
  <si>
    <t xml:space="preserve"> lumpsum</t>
  </si>
  <si>
    <t xml:space="preserve"> AMALBALAN 02-2020 - INSTALLATION OF SOLAR-POWERED LED STREETLIGHTS</t>
  </si>
  <si>
    <t xml:space="preserve"> 9 units PRINTER 3 IN 1 Bottomless  -	Scan, print, copy</t>
  </si>
  <si>
    <t xml:space="preserve"> Supply and delivery of multi-vitamins and hygienic supplies.</t>
  </si>
  <si>
    <t xml:space="preserve"> Procurement of the following for Catacte Pumping Station (1) Supply, Delivery, Installation, Testing and Commissioning of Stainless Steel  Submersible Pump and Motor 20 lps x 260 ft. TDH, driven by 30 HP Submersible motor 460 V, 60 Hz, 3 phase, including </t>
  </si>
  <si>
    <t xml:space="preserve"> FREIGHT/HANDLING AND OTHER CHARGES AS PER SCOPE OF WORKS.</t>
  </si>
  <si>
    <t xml:space="preserve"> 13	set	Printing of Tarpaulin and Fabrication of Frame 		4 x 8feet Tarpaulin Blackout 		3inch fold edges 		Full color 		Tubular frame and stand 		10ft height in both sides including frame 		 70	set	Printing of Tarpaulin and Fabrication of Frame 		3 x 4feet</t>
  </si>
  <si>
    <t xml:space="preserve"> SUPPLY AND DELIVERY OF MATERIALS AND SUPPLIES FOR OPERATIONS OF CULION DPP.</t>
  </si>
  <si>
    <t xml:space="preserve"> LGU-BAROBO		Project Reference Number			 Name of Procuring Entity		Supply and Delivery of Food Supplies			 					 			Barobo, Surigao del Sur		 Standard Form Number: SF-GOOD-60					 Revised on: May 24, 2004					 Standard Form Title: REQUEST FOR QUOTATION				</t>
  </si>
  <si>
    <t xml:space="preserve"> PLEASE SEE ATTACHED FILE OF INVITATION TO BID</t>
  </si>
  <si>
    <t xml:space="preserve"> To provide catering services for the conduct of Updates on NCD Policies and Monitoring Tools for South Cotabato on August 13-14, 2020 in Koronadal City.</t>
  </si>
  <si>
    <t xml:space="preserve"> ILOILO BRANCH - Hiring of Land Surveyor for the Iloilo Property Subject:  Geodetic Land Surveying and Titling of Terms of Reference ABC:  Php 160,000.00 VAT inclusive Terms of Reference Attached.</t>
  </si>
  <si>
    <t xml:space="preserve"> 24 PORTS, 10/100/1000 MBPS</t>
  </si>
  <si>
    <t xml:space="preserve"> LGU-BAROBO		Project Reference Number			 Name of Procuring Entity		Supply and Delivery of Motorcycle			 					 			Barobo, Surigao del Sur		 Standard Form Number: SF-GOOD-60					 Revised on: May 24, 2004					 Standard Form Title: REQUEST FOR QUOTATION					 	</t>
  </si>
  <si>
    <t xml:space="preserve"> 1. WIPER BLADE (2 sets) - ₱3,000.00  - longer life service, integrated aerodynamic spoiler, uniform contact pressure spreads wear evenly, increased driving comfort, high- tech spring strip and aerodynamically optimized profile for perfect wiping over the </t>
  </si>
  <si>
    <t xml:space="preserve"> Republic of the Philippines Municipality of Bacacay Province of Albay INVITATION TO BID FOR THE SUPPLY AND DELIVERY OF FERTILIZERS (14 14 14) 1. The Municipality of Bacacay, through the General Fund, intends to apply the sum of Two Hundred Twenty-Five Tho</t>
  </si>
  <si>
    <t xml:space="preserve"> Please download the attached bidding documents for more info about the project. For further information, please refer to: Mrs. Maria Flora T. Pandes or Mrs. Herbie B. De Lemios Department of Education-Schools Division Office Division of Camarines Norte F.</t>
  </si>
  <si>
    <t xml:space="preserve"> August 14, 2020 - Eligibility check, issuance of bidding documents. August 26, 2020 – 4:00 PM – Submission/Opening of bids at the Office of the BAC Chairman – Mun. Hall Tagkawayan, Quezon. Complete bidding documents may be purchased by the interested bidd</t>
  </si>
  <si>
    <t xml:space="preserve"> MIST BLOWER SPRAYER</t>
  </si>
  <si>
    <t xml:space="preserve"> 132 pc. Tarpaulin, size : 4" x 6"              x-x-x-x-x-x</t>
  </si>
  <si>
    <t xml:space="preserve"> Republic of the Philippines					 BARANGAY GUIMBALA-ON					  Silay City, Negros Occidental					 					 					 					 Project Reference No. :		GOODS#0002			 Requisitioning Office :		Brgy. Guimbala-on			  uyjhm7		PURCHASE OF ONE (1) UNIT SERVICE UTILITY VEHICLE</t>
  </si>
  <si>
    <t xml:space="preserve"> 1.  1  UNIT  MIST DUSTER</t>
  </si>
  <si>
    <t xml:space="preserve"> Department of Agriculture				 BUREAU OF PLANT INDUSTRY Baguio National Crop Research, Development and Production Support Center Division BPI Compound, Guisad, Baguio City    Tel. No.: (074) 445-9084-85, | Website: bpi.da.gov.ph REQUEST FOR QUOTATION SMALL</t>
  </si>
  <si>
    <t xml:space="preserve"> Sir/Madam: Please quote your government price/s including delivery charges, VAT or other applicable taxes, and other incidental expenses for the goods listed in Annex A. Failure to indicate information could be basis for non-compliance. Also, furnish us w</t>
  </si>
  <si>
    <t xml:space="preserve"> Modules</t>
  </si>
  <si>
    <t xml:space="preserve"> Republic of the Philippines					 BARANGAY GUIMBALA-ON					  Silay City, Negros Occidental					 					 					 					 Project Reference No. :		GOODS#0001			 Requisitioning Office :		Brgy. Guimbala-on			 Name of Project :		RE-BID OF AGRI-INPUTS AND STORE SUPPLI</t>
  </si>
  <si>
    <t xml:space="preserve"> REQUEST FOR QUOTATION (RFQ) MEALS FOR THE CONDUCT OF VACCINATION PROGRAM SERVICES ON AUGUST 27-28, 2020 UNDER EMB AP RFQ NO. EMB-HRD-105-08-07-20 1.	The Department of Environment and Natural Resources – Environmental Management Bureau (DENR-EMB) hereinaft</t>
  </si>
  <si>
    <t xml:space="preserve"> Please see attached RFQ. ABC: 57,735.00</t>
  </si>
  <si>
    <t xml:space="preserve"> Provision for 50 persons for PGO Employees Orientation on Health Protocols, Psycho-social Aspects on COVID19 (Batch 2) on August 12, 2020 at Candahug, Palo, Leyte.  Menu: AM Snacks: Pancit Palabok &amp; Pineapple Juice Lunch: Bufallo Wings, Grilled Fish, Beef</t>
  </si>
  <si>
    <t xml:space="preserve"> 1 UNIT WATER TANK, 5000 LITERS    STAINLESS STEEL NOTE: TO BE USED AT THE TECHNICAL SERVICES OFFICE.</t>
  </si>
  <si>
    <t xml:space="preserve"> `Republic of the Philippines SORSOGON STATE COLLEGE Bids and Awards Committee Sorsogon City REQUEST FOR PROPOSAL _________________________ _________________________ _________________________ Gentlemen: The Sorsogon State College invites qualified Welding </t>
  </si>
  <si>
    <t xml:space="preserve"> August 14, 2020 - Eligibility check, issuance of bidding documents. August 14, 2020 - 11:00 AM -  Pre-bid conference at the Office of the BAC Chairman. August 26, 2020 – 11:00 AM – Submission/Opening of bids at the Office of the BAC Chairman – Mun. Hall T</t>
  </si>
  <si>
    <t xml:space="preserve"> Please see attached RFQ for more details. For queries / concerns, you may contact us through BAC.SDOBenguet@gmail.com</t>
  </si>
  <si>
    <t xml:space="preserve"> Republic of the Philippines PROVINCE OF AGUSAN DEL SUR Municipality of Sta. Josefa Invitation to Bid for   SJADS GOODS 20-14: PROCUREMENT OF OFFICE &amp; SCHOOL SUPPLIES (SEF) 					   August 08, 2020 1.	The Municipality of Sta. Josefa through the following; a</t>
  </si>
  <si>
    <t xml:space="preserve"> Invitation to Bid for   Supply of Labor &amp; Materials  For the Improvement of Multi-Purpose Building  Brgy. Bolbok Taal Batangas  cb-infra-2020-07    1.The Municipal Government of Taal, through the General Fund intends to apply the sum of  Four Hundred Nine</t>
  </si>
  <si>
    <t xml:space="preserve"> Invitation to Bid for   Supply of Labor &amp; Materials  For the Construction of Level II Potable Water System  Brgy. Carsuche Taal Batangas cb-infra-2020-09    1.The Municipal Government of Taal, through the Trust Fund intends to apply the sum of  Two Millio</t>
  </si>
  <si>
    <t xml:space="preserve"> Supply and Delivery of BIR Taxpayment Deposit Slip Qty: 5,000 pads ABC: Php 850,000.00 @ P170.00/pad Please be guided by the following: 1. Price quotation must be based on the Technical Specifications and must be duly signed by the vendor’s representative</t>
  </si>
  <si>
    <t xml:space="preserve"> 1.	ELECTRICAL WORKS		: P 154, 675.00         SOURCE OF FUND		: ELECTRIFICATION MAINTENANCE PROG. (GAD)         SPECIFICATION			:                  87 pcs. LED 20W Bulb Daylight 		20 pcs.	LED 18W Daylight  		15 pcs. Incandescent Bulb – 25watts  		15 pcs. Bu</t>
  </si>
  <si>
    <t xml:space="preserve"> Republic of the Philippines Department of Education National Capital Region Schools Division Office - Taguig City and Pateros SILANGAN ELEMENTARY SCHOOL Telephone Nos. (02) 478-9458               AUGUST 7, 2020                                     BIDS AND</t>
  </si>
  <si>
    <t xml:space="preserve"> Number: 	Quantity: 	 1.	11	units	 12 - Seater Conference Tables		22,000.00	242,000.00 No.	TermsAndConditions 1.	The winning bidder shall deliver each conference table with 12 units Office Executive Chairs (total of 132 chairs for 11 units Conference Table</t>
  </si>
  <si>
    <t xml:space="preserve"> Catering Services for PRDP RPCO-PPMIU-CPMIU-MPMIU 3rd Quarter Coordination Virtual Meeting for the month of September 2020 at DA-Conference Hall, Butuan City Conduct 1 (September 10, 2020) AM Snacks - puto maya w/ mango, fresh fruit juice Lunch - rice, be</t>
  </si>
  <si>
    <t xml:space="preserve"> Concreting of FMR</t>
  </si>
  <si>
    <t xml:space="preserve"> ANTI-COVID 19 MATERIALS/ SUPPLIES</t>
  </si>
  <si>
    <t xml:space="preserve"> Republic of the Philippines BIDS AND AWARDS COMMITTEE Province of Iloilo Invitation to Bid Purchase of DIESEL FUEL Bid No.CDH-20-0849-B  1. The Iloilo Provincial Government, through the 2020 GENERAL FUND intends to apply the sum TWO HUNDRED FIFTY-NINE THO</t>
  </si>
  <si>
    <t xml:space="preserve"> SUGAR-BROWN POWDERED MILK EGG SALT MONGO RICE 60 KLS NUTIBLEND MARGARINE</t>
  </si>
  <si>
    <t xml:space="preserve"> Republic of the Philippines BIDS AND AWARDS COMMITTEE Province of Iloilo Invitation to Bid Purchase of MEDICAL EQUIPMENT Bid No.CDH-19-1434-B (RE-BID) 1. The Iloilo Provincial Government, through the 20% IRA intends to apply the sum of THREE HUNDRED THOUS</t>
  </si>
  <si>
    <t xml:space="preserve"> Republic of the Philippines BIDS AND AWARDS COMMITTEE Province of Iloilo Invitation to Bid Purchase of DRUGS AND MEDICINES Bid No.CDH-20-0751-B  1. The Iloilo Provincial Government, through the 2020 GENERAL FUND intends to apply the sum THREE HUNDRED FIFT</t>
  </si>
  <si>
    <t xml:space="preserve"> Description of works to be done	Quantity	Unit 	CIVIL, MECHANICAL, ELECTRICAL AND SANITARY/PLUMBING WORKS		 	PART A – OTHER GENERAL REQUIREMENTS		 	PART A – EARTHWORK		 800(2)	Clearing &amp; Grubbing	All	LS 801(6)	Removal of Structures and Obstruction (Concret</t>
  </si>
  <si>
    <t xml:space="preserve"> Republic of the Philippines BIDS AND AWARDS COMMITTEE Province of Iloilo Invitation to Bid Purchase of LABORATORY SUPPLIES Bid No.RPT-20-0398-B (RE-BID) 1. The Iloilo Provincial Government, through the 2020 GENERAL FUND intends to apply the sum of FIFTY-T</t>
  </si>
  <si>
    <t xml:space="preserve"> Republic of the Philippines BIDS AND AWARDS COMMITTEE Province of Iloilo Invitation to Bid Purchase of DENTAL SUPPLIES Bid No.CDH-20-0434-B (RE-BID) 1. The Iloilo Provincial Government, through the 2020 GENERAL FUND intends to apply the sum FIFTY-THREE TH</t>
  </si>
  <si>
    <t xml:space="preserve"> Clearing &amp; replacement of busted lights of Horizontal Signages Cleaning &amp; replacement of busted lights of Vertical Signages Mobilization Please visit the link below for the corresponding amount of Bid Docs. https://www.gppb.gov.ph/issuances/Guidelines/Sal</t>
  </si>
  <si>
    <t xml:space="preserve"> Item No.	Description	Quantity	Unit PART A	EARTHWORK		 801(1)	Removal of Structures and Obstruction	All	L.S. 803(1)a	Structure Excavation (Common Soil, Manual Excavation)	45.96	Cu.m. 804(1)a	Embankment from Structure Excavation	41.04	Cu.m. PART B	PLAIN AND</t>
  </si>
  <si>
    <t xml:space="preserve"> Republic of the Philippines BIDS AND AWARDS COMMITTEE Province of Iloilo Invitation to Bid Purchase of MEDICAL EQUIPMENT Bid No.RPT-19-1100-B (RE-BID)  1. The Iloilo Provincial Government, through the 2018 SUPPLEMENTAL BUDGET NO. 3 - 20% IRA  intends to a</t>
  </si>
  <si>
    <t xml:space="preserve"> MEALS AND SNACKS</t>
  </si>
  <si>
    <t xml:space="preserve"> PHILIPPINE BIDDING DOCUMENTS (As Harmonized with Development Partners) Procurement of  FURNITURE AND FIXTURES FOR COA PSAO- SORSOGON COMMISSION ON AUDIT (COA), REGIONAL OFFICE NO. V Fifth Edition  August 2016   TABLE OF CONTENTS SECTION I. INVITATION TO B</t>
  </si>
  <si>
    <t xml:space="preserve"> BATTERY 3SMF HOSE W/PLY 1/2" TIRE W/FLAP AND TUBE 17.5x25 TORQUE ROD BUSHING BATTERY 2D BATTERY 6 SMF HYDRAULIC HOSE FAN BELT TIRE FLAP AND TUBE 11X20 16FLY AIR HORN 24V OIL FILTER FUEL FILTER CROSS JOINT LIFT SPRING REAR AND FRONT CLUTCH MASTER REPAIR KI</t>
  </si>
  <si>
    <t xml:space="preserve"> INVITATION TO BID 1.	The National Irrigation Administration (NIA) Balog-Balog Multipurpose Project Phase II, Matatalaib, Tarlac City through the GAA for 2020 intends to apply the following sum to payments of the corresponding contracts listed hereunder. B</t>
  </si>
  <si>
    <t xml:space="preserve"> For the the repair of the service vehicle of PTC-Masbate donated by DOLE masbate</t>
  </si>
  <si>
    <t xml:space="preserve"> Republic of the Philippines BIDS AND AWARDS COMMITTEE Province of Iloilo Invitation to Bid Purchase of MEDICAL EQUIPMENT Bid No.CDH-20-0826-B  1. The Iloilo Provincial Government, through the 20% IRA (CAPITAL OUTLAY) CY 2019 intends to apply the sum ONE M</t>
  </si>
  <si>
    <t xml:space="preserve"> 100   ream/s     PAPER, Multi-Purpose (COPY) A4, 70 gsm    30   pc/s         INK, EPSON NO. 664, BLACK    18   pc/s         INK, EPSON NO. 003, BLACK    12   pc/s         INK, BROTHER BTD60 BLACK    15   box/es     STAPLE WIRE NO. 35    125 pc/s         E</t>
  </si>
  <si>
    <t xml:space="preserve"> Republic of the Philippines Province of Misamis Oriental Local Government Unit of Claveria Invitation to Bid for  Concreting of 0.200 Km Junction National Highway to Sitio Tapon (Via Mat-I NHS) 1.	The Local Government Unit of Claveria, through the shares </t>
  </si>
  <si>
    <t xml:space="preserve"> DIMENSION  LENGTH AND WIDTH IS IN CENTIMETERS          AREA: IN SQUARE FOOT.	 Mayors office             MIN. SQ.FT.	  WIDTH	     LENGTH						  W1       38.74	           240	        150		  W2       40.35	           250          	150			 W3a      16.79	     </t>
  </si>
  <si>
    <t xml:space="preserve"> Republic of the Philippines BIDS AND AWARDS COMMITTEE Province of Iloilo Invitation to Bid Purchase of LABORATORY SUPPLIES Bid No.RPT-20-0399-B (RE-BID) 1. The Iloilo Provincial Government, through the 2020 GENERAL FUND intends to apply the sum of NINETY </t>
  </si>
  <si>
    <t xml:space="preserve"> Republic of the Philippines Province of Misamis Oriental Local Government Unit of Claveria Invitation to Bid for  Concreting of 1.0 Km Junction Panampawan to Madaguing FMR 1.	The Local Government Unit of Claveria, through the shares of LGU-Claveria from F</t>
  </si>
  <si>
    <t xml:space="preserve"> Republic of the Philippines						ORWASA		 		Government of Ormoc City						P.R. No.:  	201588	 		BIDS AND AWARDS COMMITTEE						Quotation No.: 	204649-6245	 		Ormoc City						PhilGEPs No.: 		 										 Standard Form Title:			REQUEST FOR QUOTATION							 	</t>
  </si>
  <si>
    <t xml:space="preserve"> MA-A2H20-019..TRANSDUCER, KW MULTI PROGRAMMABLE TRANSDUCER, AGUS 1 HE PLANT ABC  : P 1,500,000.00 PLACE OF DELIVERY : AGUS 1 HEP WAREHOUSE  MARAWI CITY AMOUNT OF BID DOCUMENTS : P3,000.00</t>
  </si>
  <si>
    <t xml:space="preserve"> Republic of the Philippines Region XII Province of Cotabato CITY OF KIDAPAWAN BIDS AND AWARDS COMMITTEE Invitation to Bid 						  		            Date: August 7, 2020 1.	The City Government of Kidapawan, through the 20% EDF CY 2020   intends to apply the su</t>
  </si>
  <si>
    <t xml:space="preserve"> Republic of the Philippines Department of Education Region IV-A CALABARZON Division of Quezon BONDOC PENINSULA AGRICULTURAL HIGH SCHOOL Sta. Rosa, Mulanay, Quezon August 3, 2020 Section I. Invitation to Bid Printing of Learning Modules Officially Intended</t>
  </si>
  <si>
    <t xml:space="preserve"> Invitation to Bid to all Supplier/Contractr duly accredited by the City Cpuncil of Manila to supply and deliver the following items provided hereunder, to wit; Item	 	Qty.	 	Unit	 	 	 	DESCRIPTION	 	 	  1	 	65	 	Pcs	Ornamental Plant	 	 	 	 	 	 	 	  2	 	65</t>
  </si>
  <si>
    <t xml:space="preserve"> Republic of the Philippines BIDS AND AWARDS COMMITTEE Province of Iloilo Invitation to Bid Purchase of OFFICE EQUIPMENT Bid No.CDH-20-0824-B  1. The Iloilo Provincial Government, through the SUPPLEMENTAL BUDGET NO. 3, (CAPITAL OUTLAY) CY 2018 intends to a</t>
  </si>
  <si>
    <t xml:space="preserve"> 20	cart	 CART, HP CZ107AA, (HP678), Black 21	cart	 CART, HP CZ108AA, (HP678), Tri-color 46	btl	EPSON C1376664100 (T6641), Black 43	btl	EPSON C13T664200 (T6642), Cyan 43	btl	EPSON C13T664300 (T6643), Magenta 43	btl	EPSON C13T664400 (T6644), Yellow 10	bottl</t>
  </si>
  <si>
    <t xml:space="preserve"> PLEASE DOWNLOAD THE ATTACHMENT/S FOR REFERENCE. Important Notes and Conditions: You can submit your quotation ON or BEFORE AUGUST 11, 2020 at 01:00 PM with the photocopy of the following legal documents: a. Mayor’s / Business Permit  b. PhilGEPS Registrat</t>
  </si>
  <si>
    <t xml:space="preserve"> 1.	The Municipal Government of Burgos, Ilocos Norte, through the Supplemental Budget #5, FY 2019 intends to apply the sum of PhP1,518,868.89 being the Approved Budget for the Contract (ABC) to payments under the contract for Rehabilitation of Water System</t>
  </si>
  <si>
    <t xml:space="preserve"> Republic of the Philippines BIDS AND AWARDS COMMITTEE Province of Iloilo Invitation to Bid Purchase of DRUGS AND MEDICINES Bid No.CDH-20-0711-B (RE-BID) 1. The Iloilo Provincial Government, through the 2020 GENERAL FUND intends to apply the sum THREE HUND</t>
  </si>
  <si>
    <t xml:space="preserve"> MG-TSE20-031..SUPPLY, DELIVERY &amp; INST. OF ELECT'L. DIST. PANEL, CIRCUIT BREAKER ,TOOLS &amp; EQPT. FOR HIGH VOLTAGE REPAIR ABC : P 1,300,000.00 PLACE OF DELIVERY : CMTSD WAREHOUSE DITUCALAN, ILIGAN CITY AMOUNT OF BID DOCUMENTS : P 3,000.00</t>
  </si>
  <si>
    <t xml:space="preserve"> 1.	The Municipal Government of Burgos, Ilocos Norte, through the 5% DRRM Fund 2020 intends to apply the sum of PhP124,500.00 being the Approved Budget for the Contract (ABC) to payments under the contract for Purchase of Veterinary Medicines and Supplies.</t>
  </si>
  <si>
    <t xml:space="preserve"> Please quote your lowest price on the item/s listed below, subject to the  General Conditions on this page, stating the shortest time of delivery and  submit your quotation duly signed by your representative not later than ten  (10) days upon receipt of t</t>
  </si>
  <si>
    <t xml:space="preserve"> AMLODIPINE 10MG AMLODIPINE 5MG ASPIRIN 80MG METFORMIN 600MG METROPOLOL 50MG NEFIDIPINE STETHOSCOPE SPHYGMO DESK TYPE TB KIT FOR CHILDREN VIT B COMPLEX ISONIAZIDE ETHAMBUTOL STRILE WATER FOR INJECTION AND ETC..............................................</t>
  </si>
  <si>
    <t xml:space="preserve"> MG-A5C20-002..SUBMERSIBLE PUMP FOR POTABLE WATER, AGUS 4 HE PLANT ABC:P 1,200,000.00 PLACE OF DELIVERY : AGUS 4 HEP WAREHOUSE BALO-I, LANAO DEL NORTE AMOUNT OF BID DOCUMENTS : P 3,000.00</t>
  </si>
  <si>
    <t xml:space="preserve"> BID TENDER								 								 The Bids and Awards Committee								 Province of Iloilo								 								 In connection with your Invitation to Bid No. PPO-20-0931-B scheduled on August 14, 2020 , I/we proposed to furnish and deliver in conformity with the te</t>
  </si>
  <si>
    <t xml:space="preserve"> SUPPLY AND DELIVERY OF MATERIAL FOR THE JOINTING OF B.I. PIPE 6" (ASTM A-53) TO uPVC PIPE 6" (SERIES 8) TO BE USED FOR THE AVOIDANCE OF THE OBSTRUCTION IN CONNECTION WITH THE WATERLINE EXTENSION PROJECT FROM IMBANG BRIDGE TO BACOLOD-SILAY AIRPORT ACCESS R</t>
  </si>
  <si>
    <t xml:space="preserve"> Republic of the Philippines Province of Leyte MUNICIPALITY OF PALO Invitation to Bid for the Repair of Trellis at the Pag-ibig Plaza, Municipal Compound, Palo, Leyte Job Request No. 20-07-153 	 1.	The Municipality of Palo, Leyte, through the General Fund </t>
  </si>
  <si>
    <t xml:space="preserve"> 300	bot	ALCOHOL, ethyl 70%, scented, 500ml 200	rms	PAPER, multicopy, 80gsm A4 1800	rms	PAPER, multipurpose copy, 70gsm A4 24	pack	TOILET TISSUE PAPER 2 ply shts, 150 pull 12's 10	pcs	GLUE ALL PURPOSE, gross weight 130grms 5	box	STAPLE WIRE FOR HEAVY DUTY </t>
  </si>
  <si>
    <t xml:space="preserve"> MG-A7C20-027..FILTER, GOVERNOR, UNITS 3, 4 &amp; 5 FOR AGUS 6 HEP ABC  : P 3,100,000.00 PLACE OF DELIVERY  : AGUS 6 &amp; 7 HEPC WAREHOUSE MARIA CRISTINA, ILIGAN CITY AMOUNT OF BID DOCUMENTS : P 5,000.00</t>
  </si>
  <si>
    <t xml:space="preserve"> RELOCATION SURVEY OF TITLED PROPERTIES IN SITIO POMOGOYON AND SITIO POPO ALL OF BRGY PANDAN, SOUTH UPI, MAGUINDANAO</t>
  </si>
  <si>
    <t xml:space="preserve"> Republic of the Philippines Province of Marinduque Municipality of Torrijos BARANGAY CABUYO INVITATION TO BID FOR THE SUPPLY AND DELIVERY OF MATERIALS FOR THE RENOVATION OF CHILD DEVELOPMENT CENTER 1 (TRUSSES AND ROOF) 1.	The BARANGAY GOVERNMENT OF CABUYO</t>
  </si>
  <si>
    <t xml:space="preserve"> 2020-08-0031 - REPRODUCTION &amp; DELIVERY OF SELF-LEARNING MATERIALS FOR QUARTER 1</t>
  </si>
  <si>
    <t xml:space="preserve"> 1.Issuance of Bid Documents	  August 07, 2020 2.Pre-Bid conference	 3.Opening of Bids	  August 14, 2020 4.Bid Evaluation	          August 14, 2020 5.Post-qualification	  August 18, 2020 6.Notice of Award	  August 21, 2020</t>
  </si>
  <si>
    <t xml:space="preserve"> Republic of the Philippines Region XII Province of Cotabato City of Kidapawan OFFICE OF THE BIDS AND AWARD COMMITTEE August 7, 2020 INVITATION TO BID FOR  SUPPLY, DELIVERY AND INSTALLATION OF COPY PRINTER/DUPLICATOR FOR THE PRINTING AND REPRODUCTION OF SE</t>
  </si>
  <si>
    <t xml:space="preserve"> BID TENDER							 							 The Bids and Awards Committee							 Province of Iloilo							 							 In connection with your Invitation to Bid No. PPO-20-0746-B scheduled on August 14, 2020 , I/we proposed to furnish and deliver in conformity with the terms a</t>
  </si>
  <si>
    <t xml:space="preserve"> BACOLOD BRANCH - ATM Cassettes 20 Units ATM Cash Cassettes Php 600,000.00 6   Units ATM Divert Cassettes       180,000.00</t>
  </si>
  <si>
    <t xml:space="preserve"> Republic of the Philippines						SP		 		Government of Ormoc City						P.R. No.:  	202177	 		BIDS AND AWARDS COMMITTEE						Quotation No.: 	204751-6296	 		Ormoc City						PhilGEPs No.: 		 										 Standard Form Title:			REQUEST FOR QUOTATION							 					</t>
  </si>
  <si>
    <t xml:space="preserve"> Contract ID:       20HL0113 Contract Name:  Concreting of Brgy. Malaunay to Brgy. Doddob Farm-to-Market                          Road (FMR)            Contract Location:  Brgy. Malaunay and Brgy. Dobdob, Valencia, Negros Oriental Scope of Works:  Road Con</t>
  </si>
  <si>
    <t xml:space="preserve"> BID TENDER								 								 The Bids and Awards Committee								 Province of Iloilo								 								 In connection with your Invitation to Bid No. PPO-20-0938-B scheduled on August 14, 2020 , I/we proposed to furnish and deliver in conformity with the te</t>
  </si>
  <si>
    <t xml:space="preserve"> 200 bags Cement 800 bags Sand 600 bags Gravel 12 pieces Kabilya 9mm 2 kilograms Common Nail #03</t>
  </si>
  <si>
    <t xml:space="preserve"> CONSTRUCTION PROJECTS</t>
  </si>
  <si>
    <t xml:space="preserve"> Republic of the Philippines National Kidney and Transplant Institute Bids and Awards Committee East Avenue, Quezon City 1100 981-0300 / 981-0400 local 1157 http://www.nkti.gov.ph/	 INVITATION TO BID for the ITB No. 20-056 Supply and Delivery of Various La</t>
  </si>
  <si>
    <t xml:space="preserve"> Republic of the Philippines Region XII Province of Cotabato City of Kidapawan OFFICE OF THE BIDS AND AWARD COMMITTEE August 7, 2020 INVITATION TO BID FOR  PRINTING OF PRE-MARRIAGE CERTIFICATE (PMC) FORM FOR THE USE OF POPCOM OF THE CITY HEALTH OFFICE, KID</t>
  </si>
  <si>
    <t xml:space="preserve"> 1.	The Municipality of Dagami, through the Annual Investment Plan 2020 intends to apply the sum of Two Hundred Twenty Seven Thousand Six Hundred Sixty Five Pesos Only (227,665.00) for Lot 1 (AIP2020-medical supplies and equipment)dag2020 and Two Hundred E</t>
  </si>
  <si>
    <t xml:space="preserve"> Republic of the Philippines						SP		 		Government of Ormoc City						P.R. No.:  	202186	 		BIDS AND AWARDS COMMITTEE						Quotation No.: 	204753-6297	 		Ormoc City						PhilGEPs No.: 		 										 Standard Form Title:			REQUEST FOR QUOTATION							 					</t>
  </si>
  <si>
    <t xml:space="preserve"> Invitation for Negotiated Procurement-Two (2) Failed Biddings for the Procurement of Rescue Equipment and Supplies  In view of two (2) failed biddings, the Municipality of Remedios T. Romualdez. Agusan del Norte, through its Bids and Awards Committee (BAC</t>
  </si>
  <si>
    <t xml:space="preserve"> MA-A2M20-003..REHAB OF GANTRY CRANE, AGUS 1 HE PLANT ABC  : P 4,944,000.00 PLACE OF DELIVERY : AGUS 1 HEP WAREHOUSE MARAWI CITY AMOUNT OF BID DOCUMENTS ; P 5,000.00</t>
  </si>
  <si>
    <t xml:space="preserve"> Republic of the Philippines								 Department Of Public Works and Highways								 Negros Oriental 2nd District Engineering Office								 REGIONAL OFFFICE VII								 Cangmating, Sibulan, Negros Oriental								 (035)522 0635								 								 INVITATION</t>
  </si>
  <si>
    <t xml:space="preserve"> Supply and Delivery of Reflectorized Thermoplastic Paints for Repainting of Pedestrian line, Edge line along Roxas - Taytay Road Section, PPNR (Reflectorized Thermo. Pavement Markings) S00052PW, S00030PW Roxas - Taytay Road Section , Roxas, Palawan</t>
  </si>
  <si>
    <t xml:space="preserve"> •	300x600 dpi print/scan resolution •	Flat bed scanning method •	1,300 paper capacity •	60-130 copies per minute •	45-210 paper weight •	200% zoom •	Changeable drum          Image Modes;          ( Text, photo, text / photo, pencil,) •	B4 size of paper   </t>
  </si>
  <si>
    <t xml:space="preserve"> Supply, delivery and installation of various office signages</t>
  </si>
  <si>
    <t xml:space="preserve"> The Zamboanga State College of Marine Sciences and Technology (ZSCMST), through its Bids and Awards Committee, is inviting PhilGeps registered suppliers to apply for eligibility and to submit bids for the items mentioned hereunder: B-048-2020 SUPPLY AND D</t>
  </si>
  <si>
    <t xml:space="preserve"> labor and vehicle consumables</t>
  </si>
  <si>
    <t xml:space="preserve"> Republic of the Philippines Province of Bohol Municipality of Alicia INVITATION TO APPLY FOR ELIGIBILITY AND TO BID 	The Local Government Unit of Alicia, through its Bids and Awards Committee (BAC) invites Suppliers/manufacturers/distributors/contractors </t>
  </si>
  <si>
    <t xml:space="preserve"> MG-A5M20-071..RE-TUBING OF 7 SETS AIR COOLER, AGUS 4 HE PLANT ABC  : P 9,700,000.00 PLACE OF DELIVERY : AGUS 4 HEP WAREHOUSE BALO-I, LANAO DEL NORTE AMOUNT OF BID DOCUMENTS : P10,000.00</t>
  </si>
  <si>
    <t xml:space="preserve"> Unit.             Quantity.              Description Ream.            260                   A4 BOND PAPER SUBSTANCE 20 PIECE.             20.                    STAPLER,STANDARD TYPE BOX.                20                   STAPLE WIRE,STANDARD BOTTLE.   </t>
  </si>
  <si>
    <t xml:space="preserve"> -Supply and Delivery of Fine Sand and Crushed Gravel for use in the Repair/Maintenance of Damaged PCCP and Roadside Structure along Puerto Princesa North Road and El Nido to Jct. New Ibajay Road , Puerto Princesa North Road, El Nido - Jct. New Ibajay Road</t>
  </si>
  <si>
    <t xml:space="preserve"> Republic of the Philippines PROVINCE OF ZAMBOANGA SIBUGAY Municipality of Buug BIDS AND AWARDS COMMITTEE Invitation to Bid for the Rehabiliation of Barangay Road(Guintuloan) 1. The Barangay Bawang of Buug, Zamboanga Sibugay, through the General Fund inten</t>
  </si>
  <si>
    <t xml:space="preserve"> FABRICATION OF BENDS, SPOOLS AND EXPOSED STEEL PIPELINE FOR THE CONNECTIONS PIPELINE IN CONNECTION WITH THE WATERLINE EXTENSION PROJECT FROM HDA. DANIEL TO IMBANG BRIDGE, BRGY. E. LOPEZ, SILAY CITY. 1. WELDING OF STEEL RING FLANGES 6" DIAMETER FOR 9 LENGT</t>
  </si>
  <si>
    <t xml:space="preserve"> The Zamboanga State College of Marine Sciences and Technology (ZSCMST), through its Bids and Awards Committee, is inviting PhilGeps registered suppliers to apply for eligibility and to submit bids for the items mentioned hereunder: B-047-2020 SUPPLY AND D</t>
  </si>
  <si>
    <t xml:space="preserve"> Standard Form Number: SF-GOOD-05 Revised on: July 28, 2004        INVITATION TO APPLY FOR ELIGIBILITY AND TO BID The LOCAL GOVERNMENT UNIT OF UNISAN, QUEZON, through its Bids and Awards Committee (BAC), invites suppliers/ manufacturers/distributors/contra</t>
  </si>
  <si>
    <t xml:space="preserve"> Republic of the Philippines  Province of Nueva Ecija  Palayan City BIDS AND AWARDS COMMITTEE  REQUEST FOR QUOTATION  									Date: August 5, 2020 1.	LGU-Palayan City through its Bids and Awards Committee (BAC) invites registered suppliers to submit quota</t>
  </si>
  <si>
    <t xml:space="preserve"> To be delivered at Dumalag Vocational Technical School</t>
  </si>
  <si>
    <t xml:space="preserve"> Scope of Work: I. OTHER GENERAL REQUIREMENTS II. EARTHWORKS III. REINFORCED CONCRETE WORKS IV. STEEL WORKS V. PAINTING WORKS VI. FINISHING WORKS</t>
  </si>
  <si>
    <t xml:space="preserve"> Interested bidders may obtain further information from the City of Balanga and inspect the Bidding Documents at the address given below from 9:00 a.m. to 4:00 p.m. 5. A complete set of Bidding Documents may be acquired by interested Bidders on August 7 to</t>
  </si>
  <si>
    <t xml:space="preserve"> Please see attached Invitation to Bid for details.</t>
  </si>
  <si>
    <t xml:space="preserve"> 10	bxs	White Envelope	  120	rms	Book Paper Long	  100	rms	Book Paper Short	  100	rms	White Woove Mimeo Long	  100	rms	White Woove Mimeo Short	  			 50	bxs	Staple Wire #35 	  60	pcs	Paper Clip small	  30	pcs	Paper Clip Big	  250	pcs	Folder Long	  240	pcs	F</t>
  </si>
  <si>
    <t xml:space="preserve"> INVITATION TO BID # 20-08-13 Supply and Delivery of Goods under Supplementary Feeding Program of the Department of Social Welfare and Development – National Capital Region (DSWD-NCR) 1.	The Department of Social Welfare and Development – National Capital R</t>
  </si>
  <si>
    <t xml:space="preserve"> Supply and delivery of industrial machinery and equipment</t>
  </si>
  <si>
    <t xml:space="preserve"> SAN JOSE NATIONAL HIGH SCHOOL						 Boclod, San Jose, Camarines Sur						 						 						 				Quotation No.		 						 	ATTENTION:                ALL INTERESTED BIDDERS					 	SUBJECT:                     REQUEST FOR QUOTATION					 	                           </t>
  </si>
  <si>
    <t xml:space="preserve"> Supply and Delivery of Covid19 Response Items (Medical Supplies) for use of DPWH Pal 1st DEO , Roxas, Palawan</t>
  </si>
  <si>
    <t xml:space="preserve"> Supply of Delivery</t>
  </si>
  <si>
    <t xml:space="preserve"> 1	pc	Brake Lining                           - Revo SGS 575 1	pc	Disc Pad	                                  "	  1	pc	Pressure Plate                                " 1	pc	Clutch Disc                                    "	  1	pc	Release Bearing               </t>
  </si>
  <si>
    <t xml:space="preserve"> INVITATION TO BID Procurement of ICT Related Equipment and Peripherals, Furniture and Electronic Learning Materials for Flexible / Alternative Mode of Teaching and Learning in Batangas State University The Batangas State University, through the Supplement</t>
  </si>
  <si>
    <t xml:space="preserve"> ID cards with plastic jackets Quantity - 3044  pcs</t>
  </si>
  <si>
    <t xml:space="preserve"> 3 units solar LED Streetlights etc.</t>
  </si>
  <si>
    <t xml:space="preserve"> Republic of the Philippines CARAGA Administrative Region PROVINCE OF DINAGAT ISLANDS San Jose, Dinagat Islands Bids AND AWARDS COMMITTEE Invitation to Bid  Project Name: 	CONCRETING OF ACCESS ROAD, PUROK 3 JUSTINIANA, DINAGAT Location: Brgy. Justiniana Ed</t>
  </si>
  <si>
    <t xml:space="preserve"> Republic of the Philippines CARAGA Administrative Region PROVINCE OF DINAGAT ISLANDS San Jose, Dinagat Islands Bids AND AWARDS COMMITTEE Invitation to Bid  Project Name: 	CONSTRUCTION OF 2-STOREY TOURISM INN Location: Brgy. Ferdinand, Basilisa, Dinagat Is</t>
  </si>
  <si>
    <t xml:space="preserve"> 3	pcs	Split type Aircon Cleaning/ Freon Charging 3	pcs	Aircon General Cleaning ( Wallmounted)	  1	pc	Fuel Filter                    - Chainsaw          1	pc	Air Filter                               "	  1	pc	Fuel Cap                               "	  1	pc	</t>
  </si>
  <si>
    <t xml:space="preserve"> Materials and Supply</t>
  </si>
  <si>
    <t xml:space="preserve"> OPENING OF BIDS IN DSWD FO IX ZAMBOANGA CITY, DELIVERY IN DSWD-HOME FOR THE ELCERLY MAMPANG  ZAMBOANGA CITY PROCUREMENT FOR THE FF.:				 				 72	can	Air Duster, No CFC, 400ml	@	 400.00  8	unit	Calendar whiteboard, Re-writable tempered glass, 4ft base x 3f</t>
  </si>
  <si>
    <t xml:space="preserve"> SAN JOSE NATIONAL HIGH SCHOOL						                                                             Boclod, San Jose, Camarines Sur						 						                                                           ITB Date:	5-Aug-20	 RFQ No. 		 						 ATTENTION:        </t>
  </si>
  <si>
    <t xml:space="preserve"> OPENING OF BIDS IN DSWD FO IX ZAMBOANGA CITY,  DELIVERY IN DSWD-HOME FOR THE ELCERLY MAMPANG  ZAMBOANGA CITY PROCUREMENT FOR THE FF.:				 				 15	UNIT	AIR HUMIDIFIER, CAPACITY: 500 ml., 18v OUTPUT VOLTAGE,  WEIGHT 460g, 6 LED BULB, SUITABLE FOR ANY KIND O</t>
  </si>
  <si>
    <t xml:space="preserve"> 17 units   Window Type Aircon 2.0hp Window Type Air Conditioner Remote Control Side Discharge R410a Refrigerant iCool Green REM Dimension (WxHxD) 659x428x730 mm  ABC : P 459,000.00 1 unit split type aircon 2.0hp Split Type AIrconditioner Remote Control Cr</t>
  </si>
  <si>
    <t xml:space="preserve"> Republic of the Philippines Province of Pangasinan Municipality of Infanta BIDS AND AWARDS COMMITTEE 	 INVITATION TO BID FOR PURCHASE OF FORTY (40) UNITS FISHING BOAT FOR FISHER FOLKS OF THE MUNICIPALITY OF INFANTA, PANGASINAN (BANGKA PARA SA MANGINGISDA </t>
  </si>
  <si>
    <t xml:space="preserve"> Reproduction of Learning Modules  Grade I to Grade 6 To be delivered at Dansolihon Elementary School Delivery  should be before August 24, 2020</t>
  </si>
  <si>
    <t xml:space="preserve"> INVITATION TO BID The Barangay Langkong, Mlang, Cotabato through its Bids and Awards Committee (Bac) invites Philgeps registered suppliers to apply to bid for the Supply and Delivery of Various Materials for Gravelling of Barangay Roads. 200 aggregate Sub</t>
  </si>
  <si>
    <t xml:space="preserve"> Small Value Procurement . . . .</t>
  </si>
  <si>
    <t xml:space="preserve"> see attached files</t>
  </si>
  <si>
    <t xml:space="preserve"> Shopping . . .</t>
  </si>
  <si>
    <t xml:space="preserve"> 15	gals	Multi- Purpose Cleaner	  20	gals	Liquid Detergents	  20	kls	Powder Soap	  12	gals	Zorox	 	  15	gals	Muriatic Acid	  50	pcs	Softbroom	 	  25	cans	Air freshener Spray Big	  100	pcs	Toilet Deodorizer w/ handle 100	bxs	Facial Tissue	  250	rls	Bathroom</t>
  </si>
  <si>
    <t xml:space="preserve"> Republic of the Philippines DEPARTMENT OF PUBLIC WORKS AND HIGHWAYS CAMARINES SUR 5TH  DISTRICT ENGINEERING OFFICE REGIONAL OFFICE V Sta. Teresita, Baao, Camarines Sur    Republic of the Philippines DEPARTMENT OF PUBLIC WORKS AND HIGHWAYS CAMARINES SUR 5T</t>
  </si>
  <si>
    <t xml:space="preserve"> DESCRIPTION                                             UNIT          QUANTITY A. MATERIAL COST     PORTLAND CEMENT, TYPE 1                      BAGS            224     WASHED SAND                                        CUM              15     WASHED GRAV</t>
  </si>
  <si>
    <t xml:space="preserve"> deep well</t>
  </si>
  <si>
    <t xml:space="preserve"> Republic of the Philippines BARANGAY CALAMIAS OFFICE OF THE PUNONG BARANGAY BIDS AND AWARDS COMMITTEE INVITATION TO BID The Barangay Government of BARANGAY CALAMIAS through its Bids and Awards Committee (BAC), invites suppliers/manufacturers/distributors </t>
  </si>
  <si>
    <t xml:space="preserve"> Procurement of Various Ink, cartridge. Interested bidders can download the attached file for complete specifications and requirements. Please send your quotation thru this email: caysiebagsit.ritm@gmail.com Note: Kindly make our PR# as a subject of your e</t>
  </si>
  <si>
    <t xml:space="preserve"> Republic of the Philippines Province of Ilocos Sur Municipality of San Juan OFFICE OF THE BIDS AND AWARDS COMMITTEE INVITATION FOR ELIGIBILITY AND TO BID The Barangay Guimod Norte ,San Juan,Ilocos Sur through the Bids and Awards Committe (BAC) invites sup</t>
  </si>
  <si>
    <t xml:space="preserve"> 1.	The Local Government Unit of Balangiga, through the Annual Budget for 20203 intends to apply the sum of Four Hundred Forty-Six Thousand Two  Hundred Fifty-One Pesos (Php 446,251.00) being the Approved Budget for the Contract (ABC) to payments under the</t>
  </si>
  <si>
    <t xml:space="preserve"> OPENING OF BIDS IN DSWD FO IX ZAMBOANGA CITY, DELIVERY IN DSWD-CIU ZAMBOANGA CITY PROCUREMENT FOR THE FF.:				 				 700	PACK	BISCUIT ASSORTED 10x32 GMS./PACK		@  80.00  300	PCS.	POWDERED MILK 150 GRAMS FOR 1-3 YEAR OLD		@  100.00  300	PCS.	INFANT MILK 150</t>
  </si>
  <si>
    <t xml:space="preserve"> Fabricated 2 units tricycle</t>
  </si>
  <si>
    <t xml:space="preserve"> install water pumps</t>
  </si>
  <si>
    <t xml:space="preserve"> Amlodipine 5 mg Amlodipine 10 mg Losartan 50 mg Losartan 100 mg Metoprolol 50 mg Metformin 500 mg</t>
  </si>
  <si>
    <t xml:space="preserve"> 1500 reams A4 Bond Paper Substance 20, 70gsm 15     boxes Rubber Band Thick XL</t>
  </si>
  <si>
    <t xml:space="preserve"> SEE ATTACHMENT</t>
  </si>
  <si>
    <t xml:space="preserve"> 4 piece Battery, 3SMF/N70 Maintenance Free, Enduro, 13 plates 6 sets Tire, 8.25 x 20, Lug type 10 piece Battery Clamp</t>
  </si>
  <si>
    <t xml:space="preserve"> Rehabilitation of Open Canal at Barangay San Rafael III</t>
  </si>
  <si>
    <t xml:space="preserve"> 1st quarter photocopy of SHS modules back to back,  staples set A4 size</t>
  </si>
  <si>
    <t xml:space="preserve"> 366 bxs Condom 1443 pcs Daphne/Exluton Pills</t>
  </si>
  <si>
    <t xml:space="preserve"> 3000 REAMS BOND PAPER, A4 SIZE</t>
  </si>
  <si>
    <t xml:space="preserve"> Republic of the Philippines National Kidney and Transplant Institute Bids and Awards Committee East Avenue, Quezon City 1100 981-0300 / 981-0400 local 1157 http://www.nkti.gov.ph/	 INVITATION TO BID for the ITB No. 20-074 RE-BIDDING OF ONE (1) LOT SUPPLY </t>
  </si>
  <si>
    <t xml:space="preserve"> 10 box Ascorbic Acid 500 mg tablets  10 box Multivitamins+Iron+B-Complex Capsule  10 box Multivitamins capsule   5 Cinnarizine Tab    5 Cetirizin Tab     Cefalexin   5 Mefenamic acid 500 mg   5 Amoxicillin 500 mg   5 B Complex   5 Lagundi Leaf tablet 600m</t>
  </si>
  <si>
    <t xml:space="preserve"> Please quote your best price 14,570 pcs of Drug Test Kits ABC: 582,800.00 Specifications: Dual Drug One stop screening test panel for METH and THC per test kit with CPR not less than 18 months shelf life upon delivery with "Philippine Government Not For S</t>
  </si>
  <si>
    <t xml:space="preserve"> Supply &amp; Delivery of Sound System for Bongabong North District, Municipality of Bongabong, Oriental Mindoro</t>
  </si>
  <si>
    <t xml:space="preserve"> Improvement of Multipurpose Building at Barangay Lawang Pare</t>
  </si>
  <si>
    <t xml:space="preserve"> Fabrication and Installation of Streetlights, Barangay wide, Barangay Bagong Buhay II</t>
  </si>
  <si>
    <t xml:space="preserve"> 1. Office Table - pc. - 1 2. Book Shelves TYM - 7003 - pc - 1 3. Book Shelves AMFX 130 - pc. 1 4. Executive Chair - pc. - 1</t>
  </si>
  <si>
    <t xml:space="preserve"> 1 Unit Television 55" Smart Led 1 Unit Television 50" Smart Led 2 Unit Television 32" Smart Led 4 Unit Visitor Chair  5 pcs. Filing Cabinet ( 4 layer metal) 24 pcs. back pack 53 pcs. Plaque (medium)</t>
  </si>
  <si>
    <t xml:space="preserve"> 1st quarter module photocopy back to back, stapled set of module A4 size</t>
  </si>
  <si>
    <t xml:space="preserve"> Excavation, Concrete Works, Masonry Works and Plastering Works ******************************************************</t>
  </si>
  <si>
    <t xml:space="preserve"> 465 gal</t>
  </si>
  <si>
    <t xml:space="preserve"> Supply and Delivery of 2 units Pump and Engine including accessories</t>
  </si>
  <si>
    <t xml:space="preserve"> Republic of the Philippines PROVINCE OF BUKDINON 	Malaybalay City	 OFFICE OF THE PROVINCIAL GOVERNOR Bids and Awards Committee REQUEST FOR BID PROPOSAL THROUGH NEGOTIATED PROCUREMENT (SECTION 53.2 – EMERGENCY CASES) SUPPLY AND DELIVERY OF LABORATORY EQUIP</t>
  </si>
  <si>
    <t xml:space="preserve"> 500 PCS. FACE SHIELD WITH GOOGLES X X X X X X X X X X X X X X X X X X X X X X X</t>
  </si>
  <si>
    <t xml:space="preserve"> Republic of the Philipppines Province of Palawan Municipality of Taytay BIDS AND AWARDS COMMITTEE RFQ no.:2020 Date: August 07, 2020 REQUEST FOR PRICE QUOTATION (Procurement of various) Sir/Madam: You're hereby invited to quote your price(s) on the articl</t>
  </si>
  <si>
    <t xml:space="preserve"> 1. Tire With Tube ( 700 x 16 ) - pcs. 2</t>
  </si>
  <si>
    <t xml:space="preserve"> Overall Length (mm) 5,000-5,300 Overall Width 2,000-2,300 Overall Height 1,500-1,800 Engine Type 2.5 liters, 4 cylinders, 16-valve, Diesel-Fed 2,000-2,500 displacement, 6 speed manual transmission euro 4 emission rating ambulance equipment: led top light </t>
  </si>
  <si>
    <t xml:space="preserve"> 15 pcs Tablet Computer Specs: 10.5 inches            IOS Operating System            256GB</t>
  </si>
  <si>
    <t xml:space="preserve"> Tilapia fingerlings: size #10 = 1,800 pcs size #12 = 150,000 pcs size #14 = 150,000 pcs Catfish 2" = 1,200 pcs</t>
  </si>
  <si>
    <t xml:space="preserve"> 1. Hose Fitting - pc. 1</t>
  </si>
  <si>
    <t xml:space="preserve"> Procurement of Various Ink. Interested bidders can download the attached file for complete specifications and requirements. Please send your quotation thru this email: caysiebagsit.ritm@gmail.com Note: Kindly make our PR# as a subject of your email to eas</t>
  </si>
  <si>
    <t xml:space="preserve"> DELIVERY OF DIGITAL DUPLICATORS</t>
  </si>
  <si>
    <t xml:space="preserve"> lot 1 = various electronic devices &amp; equipment's lot2 = shelves &amp; cabinet</t>
  </si>
  <si>
    <t xml:space="preserve"> lining in canal</t>
  </si>
  <si>
    <t xml:space="preserve"> 1.	The Department of Public Works and Highways Regional Office XI, Davao City, through its Bids and Awards Committee (BAC), invites bidders to submit bids for the Infra projects funded under GAA FY 2020, to wit: Contract ID 	:	20L00174 Contract Name/Locat</t>
  </si>
  <si>
    <t xml:space="preserve"> Procurement of Computer Set with complete accessories</t>
  </si>
  <si>
    <t xml:space="preserve"> Invitation to Bid The LGU Alangalang, through its Bids and Awards Committee (BAC), invites prospective bidders to apply for eligibility and to bid for the hereunder project: Name of Project  : IMPROVEMENT OF TREASURY OFFICE Location             :  LGU-Ala</t>
  </si>
  <si>
    <t xml:space="preserve"> 335 reams of A4 Bond Papers To be delivered at Dansolihon Elementary School Dansolihon, Cagayan de Oro City Misamis Oriental</t>
  </si>
  <si>
    <t xml:space="preserve"> 2700 piece T-shirts (see attached lay-out) 2700 piece Round hat,Boli</t>
  </si>
  <si>
    <t xml:space="preserve"> Interested bidders may obtain further information from the City of Balanga and inspect the Bidding Documents at the address given below from 9:00 a.m. to 4:00 p.m. 5. A complete set of Bidding Documents may be acquired by interested Bidders on August 7-26</t>
  </si>
  <si>
    <t xml:space="preserve"> FABRICATION OF BENDS AND SPOOLS FOR THE CONNECTIONS OF PIPELINE IN CONNECTION WITH THE WATERLINE EXTENSION PROJECT FROM IMBANG BRIDGE TO BACOLOD-SILAY AIRPORT ACCESS ROAD (BSAAR) CORNER SILAY-PATAG ROAD, BRGY. E. LOPEZ, SILAY CITY. 1. FABRICATION BENDS 6"</t>
  </si>
  <si>
    <t xml:space="preserve"> INVITATION TO BID FOR THE PROCUREMENT OF MATERIALS FOR THE CONSTRUCTION OF DRAINAGE SYSTEMOF BARANGAY CORDOVA NORTE, TIGBAUAN, ILOILO</t>
  </si>
  <si>
    <t xml:space="preserve"> SCOPE OF WORK TO BE DONE		 1.0			SPECIAL ITEM		 1.1	lot	1.00	Mobilization/Demobilization	17,664.90	17,664.90 1.2	lot	1.00	Temporary Facilities (Contractor’s Bunkhouse &amp; Materials Shed)	42,955.44	42,955.44 1.3	lot	1.00	Contractor’s Safety &amp; Health	64,538.1</t>
  </si>
  <si>
    <t xml:space="preserve"> 6 pcs Circuit Breaker-15A 4 pcs Circuit Breaker-20A 3 pcs Circuit Breaker-40A 3 pcs Panel Board-4 holes 39 pcs Receptacle #2</t>
  </si>
  <si>
    <t xml:space="preserve"> INVITATION TO BID (ITB No. 001-20 BC) Republic of the Philippines Barangay Government of Calimpak Installation of Solar Street Lights August 6, 2020 1. The Barangay Government of Calimpak, through the 20% of Barangay Development Fund intends to apply the </t>
  </si>
  <si>
    <t xml:space="preserve"> &gt;Printing and Binding of Learning Modules for JHS Grade 7-10 Students for the first grading period No. of pages: 560 pages Paper Size: Paper sized used on Layout A4 Paper Thickness: 70gsm (BP) Binding  - Saddle Stitch Cover - Foldcote No. 12 (FC #12) (4 c</t>
  </si>
  <si>
    <t xml:space="preserve"> Supply &amp; Delivery of Pandemic Educational Program Learners Kit Under RDI PO (Recovery Development Intervention Plans &amp; Programs) 5901 reams Bond Paper Long (70gsm/s20) 31 reams Bond Paper Short (70gsm/s20) 140 reams Bond Paper A4 (70gsm/s20)</t>
  </si>
  <si>
    <t xml:space="preserve"> 2 units of Aircon</t>
  </si>
  <si>
    <t xml:space="preserve"> 50 pcs. 3" diameter PVC Pipe Orange,s1000 5 pcs. 4' diameter diamond cutter</t>
  </si>
  <si>
    <t xml:space="preserve"> 2 units Air Conditioning Unit (1.5 HP Split Type, wall mounted with installation) 1 Unit Electric Stove (2 Burner Big) 1 Unit Washing Machine with Dryer (digital type) 10 kilos capacity 1 unit Rice Cooker 10 cups 3 Unit Exhaust Fan 5 unit wall fan 3 Units</t>
  </si>
  <si>
    <t xml:space="preserve"> Chairs and Tables (Locally Fabricated)</t>
  </si>
  <si>
    <t xml:space="preserve"> Supply &amp; Delivery of Pandemic Educational Program Learners Kit under RDI PO (Recovery Development Intervention Plans &amp; Programs) -Purchase of Risograph Machine 5 units Risograph Machine Dimension: 1280*655*515mm Weight: 64kg User Interface: LED Panel Ink </t>
  </si>
  <si>
    <t xml:space="preserve"> Please see attached Request for Quotation. --------------------PGO-IT-------------------</t>
  </si>
  <si>
    <t xml:space="preserve"> Republic of the Philippines PROVINCE OF BUKDINON 	Malaybalay City	 OFFICE OF THE PROVINCIAL GOVERNOR Bids and Awards Committee REQUEST FOR BID PROPOSAL THROUGH NEGOTIATED PROCUREMENT (SECTION 53.2 – EMERGENCY CASES) SUPPLY AND DELIVERY OF I.T. &amp; COMMUNICA</t>
  </si>
  <si>
    <t xml:space="preserve"> 1	Photocopier Machine 		1 unit  	Specifications: 		 	Basic Features: 28 copies/ print page *85 scans/minute *Duplex Copying and printing  *Scan Once Print Many *Electronic Sorting *300 Sheets Standard Paper Capacity  *A3 Maximum Scan Original size *600 dp</t>
  </si>
  <si>
    <t xml:space="preserve"> Please see attached Request for Quotation. ---------------------DMDH-------------------</t>
  </si>
  <si>
    <t xml:space="preserve"> REQUEST FOR QUOTATION PROCUREMENT OF SUPPLIES FOR COVID-19 PREVENTION-DIV. OFFICE PERSONNEL AND CLIENT USE 120 sachet Liquid Hand Soap 420ml and up (Branded) 100 half galloon Alcohol 40 galloon Disinfectant concentrate (Branded) 60 can Disinfectant spray </t>
  </si>
  <si>
    <t xml:space="preserve"> Republic of the Philippines Batangas City Invitation to Apply for Eligibility and to Bid The Barangay Government of Barangay Sirang Lupa, Batangas City intends to apply the sum of Seventy Three Thousand Nine Hundred Three Pesos Only (Php 73,903.00) broken</t>
  </si>
  <si>
    <t xml:space="preserve"> 1 UNIT SERVICE VEHICLE  (SUV) 			 SPECIFICATION:	 		 2.8 V Diesel 4x4 AT			 Color - Black			 ENGINE			 Model - 1GD-FTV			 Type			       - 4 - Cylinder In-Line			       - DOHC 16 Valve			       - Variable Nozzle Turbo (VNT) with Front Mounted Intercooler		</t>
  </si>
  <si>
    <t xml:space="preserve"> Republic of the Philippines Province of Batanes	 MUNICIPALITY OF BASCO               		INVITATION TO BID FOR THE PROCUREMENT OF DIESEL AND GASOLINE OF THE PNP-BASCO POLICE STATION 1.	The Municipal Local Government Unit of Basco, through the General Fund  </t>
  </si>
  <si>
    <t xml:space="preserve"> LOT 2				 1	kgs.	6.5	4” CWN		 2	kgs.	14	2 1/2" CWN		 3	kg.	0.1	Nylon string for layout		 4	lgths.	58	12mmø x 6.0m DSB		 5	lgths.	80	10mmø x 6.0m PSB		 6	kgs.	24	#16 G.I Tie wire		 7	pcs.	14	Hacksaw blade		 8	bags	365	Portland cement		 9	pcs.	25	PVC const.</t>
  </si>
  <si>
    <t xml:space="preserve"> 107	units		Printer	 			Specification:	 			Compact integrated tank design	 			High yield ink bottles	 			Spill-free, error-free refilling	 			Borderless printing up to 4R	 			High printing resolution of 5760 dpi	 			Fast print speeds of up to 10ipm for bla</t>
  </si>
  <si>
    <t xml:space="preserve"> For use of Procurement Section</t>
  </si>
  <si>
    <t xml:space="preserve"> Request for Quotation			Date:		 			Quotation No.:		 2020-08-074-Aug  Company Name 					 					 Address					 					 	Please quote your lowest price on the items listed below, subject to the General Conditions ln the last				 page stating the shortest time of</t>
  </si>
  <si>
    <t xml:space="preserve"> 1	Submersible Pump SP 60-5	 1.00 	unit 	All stainless steel shafting, bowl		 	assy, empeller with cable guard		 			 2	Manual Transfer Switch 125 A.	 1.00 	unit 			 3	Breaker 125 A.	 4.00 	unit 			 	including pull-out, installation, testing,		 	and commiss</t>
  </si>
  <si>
    <t xml:space="preserve"> 1	2.00	UNIT	DESKTOP COMPUTER				 			Specification:				 			Core i5, 4GB DDR4 RAM, 1TB HDD, Windows 10,				 			DVD/RW2GB and RS M330, 18.5" Monitor,				 			WiFi/USB Keyboard and Mouse				 							 2	2.00	UNIT	ALL IN ONE DESKTOP				 			Specification:				 			A</t>
  </si>
  <si>
    <t xml:space="preserve"> Construction Materials &amp; Supplies-4x8x3/4 Plywood,Acytex Cast,Semi-gloss latex paint,etc.....</t>
  </si>
  <si>
    <t xml:space="preserve"> Supply &amp; Delivery of Pandemic Educational Program Learners Kit under RDI PO (Recovery Development Intervention Plans &amp; Programs) 2000 pcs Clear Plastic Envelope with handle 2000 pcs Purple Plastic Envelope with handle 4000 pcs Blue Plastic Envelope with h</t>
  </si>
  <si>
    <t xml:space="preserve"> INVITATION TO BID SUPPLY AND DELIVERY OF DIGITAL DUPLICATOR MACHINE WITH ADDITIONAL INK AND MASTER ROLL, SEF, SFADS The Municipal Government of San Francisco, Agusan del Sur, through the BIDS and AWARDS COMMITTEE (BAC) intends to apply the sum of NINE HUN</t>
  </si>
  <si>
    <t xml:space="preserve"> PURCHASE OF MEDICAL SUPPLIES</t>
  </si>
  <si>
    <t xml:space="preserve"> Fabrication &amp; Installation of Project Signboard, Concrete Works, Steel Works, Masonry Works, Plastering Works, Painting Works and Embankment *****************************************************************************</t>
  </si>
  <si>
    <t xml:space="preserve"> Republic of the Philippines CARAGA Administrative Region PROVINCE OF DINAGAT ISLANDS San Jose, Dinagat Islands Bids AND AWARDS COMMITTEE Invitation to Bid  Project Name: 	CONCRETING OF ACCESS ROAD, CONALES STREET, MABINI, TUBAJON Location: Brgy. Mabini, T</t>
  </si>
  <si>
    <t xml:space="preserve"> PROCUREMENT OF WELL-MILLED RICE FOR STOCKPILING - 75,000.00						 1	30.00	SACK	WELL MILLED RICE (50KG)						 									 			PROCUREMENT OF GROCERY FOOD ITEMS FOR STOCKPILING - 119,000.00						 1	1000.00	PACK	NOODLES						 2	15.00	BOX	SARDINES						 3	10.00	</t>
  </si>
  <si>
    <t xml:space="preserve"> POSTED</t>
  </si>
  <si>
    <t xml:space="preserve"> Republic of the Philippines MUNICIPALITY OF KAPALONG Province of Davao del Norte 	o0o	 INVITATION TO BID 	 Supply &amp; Delivery of Other Supplies and Materials in Response to COVID -19 Pandemic  ( Prevention &amp; Mitigation)   1.	The Local Government Unit of Ka</t>
  </si>
  <si>
    <t xml:space="preserve"> B.9	Mobilization/Demobilization	lot	all	10,779.00 803(1)	Structure Excavation (Common Soil)	210	cu.m.	95,970.00 804(1)	Embankment From Structure Excavation	198	cu.m.	45,243.00 900(1)	Structural Concrete, Class “A”	1.88	cu.m.	14,138.54 902(1)	Reinforcing S</t>
  </si>
  <si>
    <t xml:space="preserve"> Destop package AMD A8 Processor Cafe Mother board 4GB DDR4 Memory 500GB DDR4 Memory Casing with Power Supply  Delux Combo, Keyboard and Mouse 500 watts AVR USB power speaker, 18.5" LED Monitor Uninterrupted Power Supply (UPS) 650 VA 1 unit 1TB External Ha</t>
  </si>
  <si>
    <t xml:space="preserve"> The procuring entity shall draw up a list of at least three (3) suppliers of known qualifications which will be invited to submit proposals. (Section 53.9.1 of Revised IRR of RA 9184)</t>
  </si>
  <si>
    <t xml:space="preserve"> The Siniloan Water District (SIWADI), through its Bids and Awards Committee (BAC). Is inviting all eligible suppliers to submit a Quotation for the supply and delivery of the following: * 8”N.D. uPVC Blank Casing 225mm” dia.10.0-11.20mm wall thickness one</t>
  </si>
  <si>
    <t xml:space="preserve"> 1 Pc. WINDSHIELD FRONT (L 300 Van 79 (Safety Glass)         with free installation.</t>
  </si>
  <si>
    <t xml:space="preserve"> Drone  Mavic 2 Pro Flight Time 31 mins Control Range 8KM Speed 71 kph Hassleblade-L1-20c Camera Ultra Image Quality 20 MP 1" CMOS Sensor Adjustable Aperture, f/2.8-f/11 10-bit Dlog-M color profile 10bit HDR video =Aircraft, Remote Controller, Intelligent </t>
  </si>
  <si>
    <t xml:space="preserve"> Republic of the Philippines Province of Sarangani BIDS AND AWARD COMMITTEE Municipality of Maasim INVITATION TO APPLY FOR ELIGIBILITY AND TO BID 	The Municipal Government of Maasim invites suppliers to apply for eligibility and to bid for the supply and d</t>
  </si>
  <si>
    <t xml:space="preserve"> Vehicles-Motor Vehicle</t>
  </si>
  <si>
    <t xml:space="preserve"> Meals &amp; Snacks</t>
  </si>
  <si>
    <t xml:space="preserve"> Qty.     Unit of Issue     Items Description/Specifications        Estimated Unit Cost    Estimated Total Cost  270   unit                        CV INK                                               1,335.00                     360,450.00 50     unit     </t>
  </si>
  <si>
    <t xml:space="preserve"> 2	1	unit	"Cellphone FE 70-300mm f/4.5-5.6 G OSS Lens A-Mount Lens/Full-Frame Format Apeture Range: f/4-5.6 to f/22-32 Two Extra-Low Dispersion Elements Nano AR Coating"	                                                                                      </t>
  </si>
  <si>
    <t xml:space="preserve"> Reference No. PR # 20-07-0942 PRICE QUOTATION FORM (BID FORM) Sealed Bids shall be dropped in the BIDDERS BOX on or before 2:00 P.M.  August 12, 2020   placed at the office of the Chairman of the College BAC. Thereafter, the Bidder's Box shall be sealed u</t>
  </si>
  <si>
    <t xml:space="preserve"> Printing of Modules for Modular Delivery of Learning</t>
  </si>
  <si>
    <t xml:space="preserve"> 200 mtrs Telephone Aerial cable, Jelly Filled 50 pairs, conductor: 0,4/0mm, Armored Material: Aluminum Tape with HDPE Insulation &amp; 26 Other LI</t>
  </si>
  <si>
    <t xml:space="preserve"> Republic of the Philippines Province of Bohol Municipality of Getafe Bids and Awards Committee Poblacion, Getafe, Bohol Telephone No. (038) 514-9048 INVITATION TO BID  	The Municipality of Getafe, Province of Bohol through its Bids and Awards Committee (B</t>
  </si>
  <si>
    <t xml:space="preserve"> 750 pcs. Kiddie Toothbrush 750 pcs. Kiddie tooth Paste 25 ml 150 pc. Germicidal Soap (60 grams) 2 pc. Face Shield (Plex Glass) 2 pcs. Medical Googles 25 box Lidocaine 2% 1.8ml (Dental Anesthesia) 8 Box Dental Needle (Gauge 27 short) 5 bottle Povidone Iodi</t>
  </si>
  <si>
    <t xml:space="preserve"> SEE LIST</t>
  </si>
  <si>
    <t xml:space="preserve"> REPUBLIC OF THE PHILIPPINES PROVINCE OF NEGROS OCCIDENTAL MUNICIPALITY OF MOISES PADILLA Bids and Awards Committee 	August 6, 2020 INVITATION TO BID FOR THE ACQUISITION OF EQUIPMENTS FOR  COMMUNITY EMPOWERMENT THROUGH SCIENCE AND TECHNOLOGY PROJECT 1.	The</t>
  </si>
  <si>
    <t xml:space="preserve"> 1.	20	box/es	Cefalexin 500mg caps 100s 2.	1000	vial/s	Ceftriaxone 1gm 3.	1000	vial/s	Cefuroxime 750mg 4.	100	vial/s	Co-Amoxiclav 1.2 gm 5.	6	box/es	Furosemide 10mg/ ml 2ml amp 6.	136	bottle/s	Metronidazole 5mg/ ml 100ml 7.	20	bottle/s	Paracetamol syr 250m</t>
  </si>
  <si>
    <t xml:space="preserve"> IMPROVEMENT OF CANTEEN AREA  and stock room</t>
  </si>
  <si>
    <t xml:space="preserve"> Republic of the Philippines Province of Batanes	 MUNICIPALITY OF BASCO               		INVITATION TO BID FOR THE PROCUREMENT OF MATERIALS FOR THE EVACUATION FACILITY IN BARANGAY SAN ANTONIO-PHASE III 1.	The Municipal Local Government Unit of Basco, throug</t>
  </si>
  <si>
    <t xml:space="preserve"> P.R NO. 100-2020-07-0410 PURCHASE OF LAPTOP USE FOR MAYOR'S OFFICE</t>
  </si>
  <si>
    <t xml:space="preserve"> This project entails labor and materials for the Rehabilitation of Concrete Pathway at Brgy. Tula Tula Norte funded of BDF 2020.</t>
  </si>
  <si>
    <t xml:space="preserve"> 500 sachet Acetylcysteine 200mg sachet 15000 tab. Amlodipine 10mg tablet 15000 tab. Amlodipine 5mg tablet 288 bot. Amoxicillin 250mg suspension 5000 cap. Amoxicillin 500mg capsule 288 bot. Ascorbic Acid 100mg syrup 10000 tab. Ascorbic Acid 500mg tablet 90</t>
  </si>
  <si>
    <t xml:space="preserve"> 2 "Unit(s)" "Desktop Computer Set w/ Complete Accessories -" "Minimum Technical Specifications :          CPU Intel i7 8700K                Mother Board Z390-UD S1151    Memory 8GB 1G x 64-Bit, DDR4-2400 CL15 288-Pin DIMM HD Graphics Card GTX 1050TI Hard </t>
  </si>
  <si>
    <t xml:space="preserve"> Please download RFQ.</t>
  </si>
  <si>
    <t xml:space="preserve"> B.9	Mobilization/Demobilization	lot	all	7,186.00 801(3)	Removal of Actual Structures/Obstruction	20	sq.m.	2,400.00 803(1)	Structure Excavation (Common Soil)	180	cu.m.	82,278.00 804(1)	Embankment From Structure Excavation	160	cu.m.	36,304.00 900(1)	Structu</t>
  </si>
  <si>
    <t xml:space="preserve"> SEE ATTACHED BILL OF QUANTITIES.</t>
  </si>
  <si>
    <t xml:space="preserve"> 1 Set Pre Fabricated Movable Tempered Glass Basketball Board    with Ring and Net 8 Pcs Covered Court Light 1 Pc Digital Savers Machine</t>
  </si>
  <si>
    <t xml:space="preserve"> B.9	Mobilization/Demobilization	lot	all	14,370.00 803(1)	Structure Excavation (Common Soil)	483	cu.m.	200,209.80 804(1)	Embankment From Structure Excavation	438	cu.m.	100,083.00 900(1)	Structural Concrete, Class “A”	9.40	cu.m.	66,349.90 902(1)	Reinforcing</t>
  </si>
  <si>
    <t xml:space="preserve"> EPSON INK REFILL 664 BLACK EPSON INK REFILL 664 CYAN EPSON INK REFILL 664 MAFENTA EPSON INK REFILL 664 YELLOW CANON G3010 BLACK CANON  G3010 CYAN CANON G3010 MAGENTA CANON G3010 YELLOW</t>
  </si>
  <si>
    <t xml:space="preserve"> SEE ATTACHED TERMS OF REFERENCE</t>
  </si>
  <si>
    <t xml:space="preserve"> 1 	14 	bags 	Cement  2 	14 	Cu.M 	10 mm RSB  3 	14 	pcs 	8mm RSB 4 	12	 pcs 	2” DIA GI pipe Sched 40 5 	3 	pcs 	Plywood ¼” Ordinary 6 	3 	kg 	Tie Wire 7 	2 	kg 	Assorted CW Nail  8 	1 	kg 	Welding Rod 9 	2 	CU.M 	Gravel 10 	12 	pcs 	2’x 2” x 10” form lumb</t>
  </si>
  <si>
    <t xml:space="preserve"> Purchase of Native Chicken</t>
  </si>
  <si>
    <t xml:space="preserve"> ITEM: 1 lgth B.I Pipe, Sch. 40 200mmØ x 6m x 8.13mm thk							 2 lgths B.I Pipe, Sch. 40 75mmØ x 6m 							 1 lgth B.I Pipe Sch. 40 400mmØ x 6.00m x 12.7mm thk							 3 lgths B.I Pipe , Sch. 40 150mmØ x 6m x 7.11mm thk		 PURPOSE: VARIOUS WORK ORDER (W.O.#</t>
  </si>
  <si>
    <t xml:space="preserve"> DATE OF BIDDING: AUGUST 13, 2020 @ 10:00 am AMOUNT: 165,000.00 SOURCE OF FUND:  LDRRMF-2020 VENUE: BARANGAY HALL OF PHHC BLOCK 22, MANDURRIAO, ILOILO CITY</t>
  </si>
  <si>
    <t xml:space="preserve"> Request for quotation for the procurement of electrical supplies to be used for maintenance of Municipal Building, Dilasag, Aurora.</t>
  </si>
  <si>
    <t xml:space="preserve"> 1	Arm Band, w/ UV Protection, Color: Black				20	pairs 2	Ball Cap w/ DPWH Logo, Color: Black				20	pcs 3	Ballpen, 0.4mm thk, Black, 12pcs/box				5	box 4	Binder Clips, Large, 2" wide				15	box 5	Binder Clips, Medium, 1 1/4" wide				15	box 6	Binder Clips, M</t>
  </si>
  <si>
    <t xml:space="preserve"> B.9	Mobilization/Demobilization	lot	all	14,371.90 803(1)	Structure Excavation (Common Soil)	162	cu.m.	74,034.00 804(1)	Embankment From Structure Excavation	155	cu.m.	35,448.50 900(1)	Structural Concrete, Class “A”	1.44	cu.m.	10,101.60 902(1)	Reinforcing S</t>
  </si>
  <si>
    <t xml:space="preserve"> Republic of the Philippines Province of Ilocos Sur Vigan City Invitation to Bid for the  Concreting of Farm-to-Market Road at Sitio Anteng, Brgy. Ambulogan, Narvacan, Ilocos Sur 1.	The Provincial Government of Ilocos Sur, through the Special Budget #2 (RA</t>
  </si>
  <si>
    <t xml:space="preserve"> 1.	300 Bd. Ft. – 50 pcs. 2” x 3” x 12’ Coco Lumber 2.	3 Rolls – Nylon #16 3.	10 mtrs. – Transparent Hose Size 5/16 4.	5 kgs. - #4 CWN Nails 5.	5 kgs. - #3 CWN Nails 6.	2 kgs. - #2 CWN Nails 7.	1,800 BAGS- Portland Cement 8.	7,000 pcs. – CHB #6”  9.	9,000 </t>
  </si>
  <si>
    <t xml:space="preserve"> A. ABC            -   P    850,000.00 B. BID  DOCS  -            1,000.00</t>
  </si>
  <si>
    <t xml:space="preserve"> Republic of the Philippines Province of Siquijor Municipality of Maria   Invitation to Bid for Construction of Public Cemetery Comfort Room– Maria, Siquijor/MAR-00042I-2020 1.	The Local Government Unit of Maria, through the Economic Enterprise intends to </t>
  </si>
  <si>
    <t xml:space="preserve"> A4 bondpaper 50 reams 12, 500 September  Epsonk 664 ink (black) 11 pcs. 3, 300 September  Epsonk 664 ink (colored) 10 pcs. 3, 300 September</t>
  </si>
  <si>
    <t xml:space="preserve"> 1 16Channel NVR, Internet Protocol 1 6TB CCTV Hard Disk 9 1080p Bullet IP Camera 1 CCTV IP PTZ Cam 1080P 10x Optical Zoom 2 UPS 650 VA 1 UPS 2000 VA 2 4FE+2FE uplink 250M Long Range PoE Switch with 4 PoE Port 2 8 Port POE switch 5 IT&amp;T CAT6 UTP Cable Outd</t>
  </si>
  <si>
    <t xml:space="preserve"> Supply &amp; Delivery of Construction Materials for the Repair and Maintenance of Municipal Building (DSWD - 4P's) at Poblacion, Municipality of Bongabong, Oriental Mindoro</t>
  </si>
  <si>
    <t xml:space="preserve"> The Supreme Court of the Philippines through the bids and awards committee for the Halls of Justice, intends to procure through negotiated procurement the construction of the Hall of Justice San Isidro Davao Oriental.  (Please download attachment) For mor</t>
  </si>
  <si>
    <t xml:space="preserve"> Materials for the Installation of 53 Units Streetlights Project Location: Purok 5, Quirino, Luna, Apayao</t>
  </si>
  <si>
    <t xml:space="preserve"> Specs: Digital Duplicator Master Making Printing Methods: High Speed Digital matter-making/fully automatic printing original type: book of sheet master-making time: Approx. 19 seconds Resolution: 600x600 dpi Max. scanning area: 297mm x 432mm Print Paper W</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</si>
  <si>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</si>
  <si>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ITEM: 3 lgths B.I Pipe, Sch.40 300mmØ x 6.00m x 10.31mm thk							 1 lgth B.I Pipe, Sch.40 350mmØ x 6.00m x 11.12mm thk							 9 lgths B.I Pipe, Sch.40 150mmØ x 6m x 7.11mm thk							 PURPOSE: VARIOUS WORK ORDER(W.O.#20-016-A) (W.O.#20-019-A) (W.O.#19-027</t>
  </si>
  <si>
    <t xml:space="preserve"> REQUEST FOR QUOTATIONS The Philippine Council for Health Research and Development (PCHRD), through its Bids and Awards Committee (BAC), requests PhilGEPS registered suppliers to submit quotations for the supply and delivery of one (1) lot 48 Port Switch a</t>
  </si>
  <si>
    <t xml:space="preserve"> 1.	2	unit/s	Aircon Floor Mounted 3.0TR</t>
  </si>
  <si>
    <t xml:space="preserve"> For printing and reproduction of modules and ICT</t>
  </si>
  <si>
    <t xml:space="preserve"> Please quote your best price 10 license of Anti-Virus Subscription ABC: 120,000.00 (10 Computer Security) Features: Advanced Anti-Spam USB Vaccination Two Way Vaccination Advanced Virus Control Safe Mode Password Protection Automatic Downloads of Critical</t>
  </si>
  <si>
    <t xml:space="preserve"> PCCP, Dowel, HEavy Equipment Rental, R.C Pipe Crossing, Grouted Riprap, Formworks</t>
  </si>
  <si>
    <t xml:space="preserve"> Republic of the Philippines Province of Cagayan Municipality of Sta. Praxedes BIDS AND AWARDS COMMITTEE	 Invitation to Bid Supply and Delivery of Public Utility Vehicle (Van) of Sta. Praxedes, Cagayan ITB – Goods – 2020-08-042 1.	The Local Government Unit</t>
  </si>
  <si>
    <t xml:space="preserve"> Republic of the Philippines Province of Ilocos Sur Vigan City Invitation to Bid for the  Construction of Post-Harvest Facility at Barangay Caterman, Candon City, Ilocos Sur 1.	The Provincial Government of Ilocos Sur, through the Special Budget No. 1 (RA 7</t>
  </si>
  <si>
    <t xml:space="preserve"> 1. 51 Bags of Good Quality Rice</t>
  </si>
  <si>
    <t xml:space="preserve"> ITEM: 1 unit Laptop ( PLEASE SEE ATTACHED SPECS) PURPOSE: FOR ENGR.ANTONIO YOUNG/ ACTING DEPARTMENT MANAGER OF ADMIN DEPARTMENT		 ABC: PHP 70,000.00 DELIVERY SCHEDULE: 10 CALENDAR DAYS</t>
  </si>
  <si>
    <t xml:space="preserve"> 1.	360	bottle/s	Plain LR 1 Liter 2.	120	bottle/s	Plain LR 500 cc 3.	360	bottle/s	Plain NSS 1 Liter 4.	240	bottle/s	Plain NSS 500 cc 5.	48	box/es	D5 NSS 1 Liter 6.	240	bottle/s	D5 IMB 500 cc 7.	500	vial/s	Sterile water 50ml 8.	240	bottle/s	D5 0.3% NaCI 500</t>
  </si>
  <si>
    <t xml:space="preserve"> 1 Handwashing Facility 1 pc</t>
  </si>
  <si>
    <t xml:space="preserve"> 20 cases Milk 33 grams 16 packs/tie (15 packs/case) 20 cases Biscuit 33 grams (30pcs/case) 2 kilos Brown Sugar 4 Cases Sardines (100cans/case) 10 cases Noodles Instant (72pcs/case) 17 cases Milo 24 grams (8packs/tie - 42tie/case) 21 Tray Egg (medium) 36 p</t>
  </si>
  <si>
    <t xml:space="preserve"> for school clinic use</t>
  </si>
  <si>
    <t xml:space="preserve"> Republic of the Philippines Province of Leyte Municipality of Hilongos BARANGAY MANA-UL REQUEST FOR QUOTATION _____________ Date  _______________________ _______________________  ______________________                                Please quote your lowe</t>
  </si>
  <si>
    <t xml:space="preserve"> Reference No. PR # 20-08-0944 PRICE QUOTATION FORM (BID FORM) Sealed Bids shall be dropped in the BIDDERS BOX on or before 2:00 P.M.  August 12, 2020   placed at the office of the Chairman of the College BAC. Thereafter, the Bidder's Box shall be sealed u</t>
  </si>
  <si>
    <t xml:space="preserve"> Installation of tiles, window grills and doors &amp; windows</t>
  </si>
  <si>
    <t xml:space="preserve"> Republic of the Philippines Province of Leyte Municipality of Hilongos Barangay Sta. Margarita REQUEST FOR QUOTATION __________________________ __________________________					                    Date:____________________________ __________________________</t>
  </si>
  <si>
    <t xml:space="preserve"> Republic of the Philippines Province of Nueva Vizcaya BIDS AND AWARDS COMMITTEE (BAC-Goods) BAC OFFICE, Provincial Capitol, Bayombong, Nueva Vizcaya 	 REQUEST FOR QUOTATION (RFQ)  For the Procurement of 4,484 pcs VISA Sticker (3rd Quarter) For the Governo</t>
  </si>
  <si>
    <t xml:space="preserve"> Please see attached RFQ in Associated Component or Link Below. …</t>
  </si>
  <si>
    <t xml:space="preserve"> Republic of the Philippines Province of Ilocos Sur Vigan City Invitation to Bid for the  Upgrading and Improvement of Immayos-Saoang Road at San Juan, Ilocos Sur 1.	The Provincial Government of Ilocos Sur, through the GAA-Conditional Matching Grant Progra</t>
  </si>
  <si>
    <t xml:space="preserve"> 5,000 BXS - MICRONUTRIENT POWDER (30 SACHET/BX) 1G  700 PACK - POWEDERED MILK FOR ADULT 900GRAMS</t>
  </si>
  <si>
    <t xml:space="preserve"> 2	UNITS	"VACUUM PUMP -oil less, 25-40m3/h capacity with rated vacuum pressure at 50kpa, with electric motor at 1.1-1.5KW motor rating, noise level at 78dB, 50kg net weight, with coupling/reducers, with vacuum pressure gauge, with display range of 0 to -1 </t>
  </si>
  <si>
    <t xml:space="preserve"> Invitation to Bid for the Design and Build of 3-storey Administration Building with Meeting Halls in SPAMAST Malita, Davao Occidental 2nd Posting</t>
  </si>
  <si>
    <t xml:space="preserve"> INVITATION TO APPLY FOR ELIGIBILITY AND TO BID FOR THE SUPPLY AND DELIVERY OF 3 UNITS HIGH-SPEED PRINTER/DIGITAL DUPLICATOR. Specifications I. Master Making/Printing Methods: High-speed digital master-making/Fully automatic printing II. Original Type: Boo</t>
  </si>
  <si>
    <t xml:space="preserve"> MOOEA 2020-FIRST QUARTER-SECOND QUARTER</t>
  </si>
  <si>
    <t xml:space="preserve"> Reproduction of Self-Learning Modules for Grade 7 to 12</t>
  </si>
  <si>
    <t xml:space="preserve"> Republic of the Philippines CARAGA Administrative Region PROVINCE OF DINAGAT ISLANDS San Jose, Dinagat Islands Bids AND AWARDS COMMITTEE Invitation to Bid  Project Name: 	COMPLETION OF PROVINCIAL GARAGE Location: Brgy. Cuarinta, San Jose, Dinagat Islands </t>
  </si>
  <si>
    <t xml:space="preserve"> 1. 58 Bags of Good Quality Rice</t>
  </si>
  <si>
    <t xml:space="preserve"> Airconditioning uit, window type(2 hp) inverter office tables office table, L Shape or table with side table Executive Chairs/ swivel chairs</t>
  </si>
  <si>
    <t xml:space="preserve"> Republic of the Philippines Province of Davao Oriental BIDS &amp; AWARDS COMMITTEE City of Mati INVITATION TO BID Contract No.: CW20-21 The Provincial Government of Davao Oriental through its Bids and Awards Committee (BAC), invites licensed contractors to bi</t>
  </si>
  <si>
    <t xml:space="preserve"> Republic of the Philippines Province of Nueva Vizcaya BIDS AND AWARDS COMMITTEE (BAC-Goods) BAC OFFICE, Provincial Capitol, Bayombong, Nueva Vizcaya 	 REQUEST FOR QUOTATION (RFQ)  For the Procurement of Cash Register Tape, Multi-Purpose Glue, etc. For the</t>
  </si>
  <si>
    <t xml:space="preserve"> 1.) 3500 set 350ml bottle with cap and seal 2.) 200 set 375ml bottle with cap and seal</t>
  </si>
  <si>
    <t xml:space="preserve"> Procurement of Disinfecting Materials  for Schools 1. Alcohol (Isoprophyl) 70%-500mL - 282 bottles 2. Liquid Hand Soap(Antibacterial)-225mL-228 bottles</t>
  </si>
  <si>
    <t xml:space="preserve"> Pocket Colorimeter (DR300)</t>
  </si>
  <si>
    <t xml:space="preserve"> INVITATION TO APPLY FOR ELIGIBILITY AND TO BID THE BIDS AND AWARD COMMITTEE OF THE MUNICIPALITY OF CAIBIRAN, BILIRAN IS INVITING ALL INTERESTED BIDDERS ON ITS FORTHCOMING PUBLIC BIDDING FOR: Project Title	                : Establishment Automated Weather </t>
  </si>
  <si>
    <t xml:space="preserve"> 1.	The Department of Environment and Natural Resources – Environmental Management Bureau Regional office No. 2 (DENR-EMB-RO2) hereinafter referred to as the “Purchaser” now requests for submission of price quotations for the procurement of the aforesaid i</t>
  </si>
  <si>
    <t xml:space="preserve"> 1	Diesel 		1460 L</t>
  </si>
  <si>
    <t xml:space="preserve"> "Republic of the Philippines Department of Health BICOL REGIONAL TRAINING AND TEACHING HOSPITAL Legazpi City"				  Form Code	FM-ADM-BAC-05 					 				  Effectivity	September 30, 2013 					 				  Revision	0 					 					 REQUEST FOR QUOTATION					 					 Compa</t>
  </si>
  <si>
    <t xml:space="preserve"> Republic of the Philippines Province of Sorsogon Barangay MACABOG West District Sorsogon City BIDS AND AWARDS COMMITTEE August 6, 2020 INVITATION TO BID Construction of Local Road Sitio Ilawod, Brgy. Macabog, West District, Sorsogon City 	The Sangguniang </t>
  </si>
  <si>
    <t xml:space="preserve"> Please see attached RFQ for the full description of the item and for terms and conditions. Please submit your quotation on or before the closing date.</t>
  </si>
  <si>
    <t xml:space="preserve"> PURCHASE OF FURNITURES &amp; FIXTURES</t>
  </si>
  <si>
    <t xml:space="preserve"> Purchase and delivery of 2nd quarter office supplies and devices to be used by the City Government of Calapan.</t>
  </si>
  <si>
    <t xml:space="preserve"> Delivery of medical supplies and materials to be used by the City Government of Calapan</t>
  </si>
  <si>
    <t xml:space="preserve"> For the reproduction of learning modules.</t>
  </si>
  <si>
    <t xml:space="preserve"> Description and Specification of Items can be obtained at the Supply Office of TESDA Negros Occidental Provincial Office</t>
  </si>
  <si>
    <t xml:space="preserve"> For Pick-Up</t>
  </si>
  <si>
    <t xml:space="preserve"> ITEM: 2 lgths Steel Cement line/Shop Prime 600mmØ x 6mx6.00mm thk							 1 lgth Steel Cement line/Shop Prime 150mmØ x 6mx7.11mm thk							 2 lgths Cement Line Asphalt Coated Steel Pipe 300mm x 6m x 6mm thk	 PURPOSE: VARIOUS WORK ORDER(W.O.#19-067-A) (W.O.</t>
  </si>
  <si>
    <t xml:space="preserve"> Clear sliding glass with analok aluminum casement, snap on etc.</t>
  </si>
  <si>
    <t xml:space="preserve"> Description 1. Name of Project: Supply and Delivery of IT and Printing Equipment Location: Bugasong, Antique Brief Description: 1 unit laptop computer, 1 set speaker, 5 units printer (4-in-1), 2 units Risograph Machine: laptop computer: Core I7-8565U (1.8</t>
  </si>
  <si>
    <t xml:space="preserve"> PURCHASE OF ELECTRICAL SUPPLIES, CSWMO, CALBAYOG CITY</t>
  </si>
  <si>
    <t xml:space="preserve"> Drum Type: Detachable Drum; Printing Speed: 60-90 prints per minute (2 steps); Master Making: Less than 40 seconds; Print Paper Size: 11x17 inches (maximum); Print Area: 10x14 inches; Original Size: 3.5x5.5[min.] - 15.5 [max.]; Paper Weight: 35gsm - 127.9</t>
  </si>
  <si>
    <t xml:space="preserve"> 1 LOT  FABRICATION OF OTOP PH HUB FURNITURE AND FIXTURES  4 Display Shelves (4 tiers) 4 Display Racks 1 Cash Wrap 2 Show window platforms 10 Wooden Pedestals 6 Steel Racks, 3 sizes, 2 pieces per size Ceiling works Electrical / Lighting fixtures Other Deli</t>
  </si>
  <si>
    <t xml:space="preserve"> STOCK NO.           UNIT                          ITEM DESCRIPTION      QTY      1 pcs MODULAR TENTS      17</t>
  </si>
  <si>
    <t xml:space="preserve"> 1	2	units	STEEL CABINET	 			***Closed Nothing Follows***</t>
  </si>
  <si>
    <t xml:space="preserve"> 1 set Axie Shaft Assembley xxxxx</t>
  </si>
  <si>
    <t xml:space="preserve"> Republic of the Philippines Province of Ilocos Sur Vigan City Invitation to Bid for the  Upgrading and Improvement of Ora-Tay-ac Road at Bantay, Ilocos Sur 1.	The Provincial Government of Ilocos Sur, through the GAA-Conditional Matching Grant Program (CMG</t>
  </si>
  <si>
    <t xml:space="preserve"> This is to replace one of OCWD's damaged unit. It is preferred that the shop is within the office's city's vicinity for quick after-sales response and technical assistance.</t>
  </si>
  <si>
    <t xml:space="preserve"> 350 gallons	Latex White Gloss 150 gallons	Roof Paint Master (Blue) 160 cans	        Tinting Color (Yellow) 160 cans	        Tinting Color (Raw Siena) 160 cans	        Tinting Color (Thalo Blue) 160 cans	        Tinting Color (Red) 100 pieces	Paint Roller </t>
  </si>
  <si>
    <t xml:space="preserve"> LED BULB 13 WATTS BREAKER SWITCH 225 AMP BREAKER SWITCH  100 AMP SINGLE PANEL BREAKER 30 AMP RECEPTACLE 4X4 AIRCON OUTLET RECEPTACLE 2X 2 LED BULB 30 WATTS (E27) BREAKER SWITCH 30AMP BREAKER SWITCH 60 AMP ELECTRICAL TAPE ( big) eXTENSION oUTLET 3-GANG Mal</t>
  </si>
  <si>
    <t xml:space="preserve"> 1	10,000	tablet	Losartan, 50mg	 8,700.00 		 0.87 	 2	3,000	tablet	Simvastatin, 40mg	 14,040.00 		 4.68 	 3	4,001	tablet	Metoprolol, 50mg	 4,841.21 		 1.21 	 4	1,009	nebule	Salbutamol, 1mg/ml, 2.5ml (unit dose)	 6,467.69 		 6.41 	 5	1,000	nebule	Ipratropiu</t>
  </si>
  <si>
    <t xml:space="preserve"> Republic of the Philippines Province of Negros Oriental Municipality of Sibulan OFFICE OF THE BIDS AND AWARDS COMMITTEE INVITATION TO APPLY FOR ELIGIBILITY AND TO BID The Municipality of Sibulan,Negros Oriental invites all interested supplier for the PURC</t>
  </si>
  <si>
    <t xml:space="preserve"> Republic of the Philippines Province of Ilocos Sur Vigan City Invitation to Bid for the  Upgrading and Improvement of Lubong-Tanggaoan-Dunglayan Road at Sta. Maria, Ilocos Sur 1.	The Provincial Government of Ilocos Sur, through the GAA-Conditional Matchin</t>
  </si>
  <si>
    <t xml:space="preserve"> Procurement of Computer Set w/ Complete Accessories</t>
  </si>
  <si>
    <t xml:space="preserve"> printing and reproduction of modules and office supplies</t>
  </si>
  <si>
    <t xml:space="preserve"> CONSTRUCTION OF 52 METERS CATWALK SHED AT INEANGAN ELEMENTARY SCHOOL, DUPAX DEL NORTE, NUEVA VIZCAYA</t>
  </si>
  <si>
    <t xml:space="preserve"> 12 "Unit(s)" "Cultivator -" " Specification: 1. Hand Tractor-Multi Crop Cultivator Rated Power  a.Diesel/Gasoline : minimum, 5.22 kw, 7HP 2. Transmission : gear type 3. 2 forward &amp; 2 reverse (high &amp; low) 4. Implements &amp; accessories included : Two sided pl</t>
  </si>
  <si>
    <t xml:space="preserve"> Republic of the Philippines Province of Negros Oriental Municipality of Sibulan OFFICE OF THE BIDS AND AWARDS COMMITTEE INVITATION TO APPLY FOR ELIGIBILITY AND TO BID The Municipality of Sibulan, Negros Oriental invites all interested supplier for the PUR</t>
  </si>
  <si>
    <t xml:space="preserve"> Republic of the Philippines Province of Siquijor Municipality of Maria   Invitation to Bid for Maintenance/Repair of Manpower Development Center (Repair of CR) – Maria, Siquijor/MAR-00043I-2020 1.	The Local Government Unit of Maria, through the 20% Develo</t>
  </si>
  <si>
    <t xml:space="preserve"> 1.) 4 units Duplicating Machine with ink, master roll cuts and pedestal/table      Minimum Specifications:      -130 pages per minute print speed      -300x360 dpi print resolution      -3 rubber feed rollers      -minimum paper weight of 53gsm      -maxi</t>
  </si>
  <si>
    <t xml:space="preserve"> SUPPLY AND DELIVERY OF MATERIALS NEEDED FOR THE FABRICATION OF SPOOL, BEND CONNECTIONS AND EXPOSED STEEL PIPE IN CONNECTION WITH THE WATERLINE EXTENSION PROJECT FROM IMBANG BRIDGE TO BACOLOD-SILAY AIRPORT ACCESS ROAD (BSAAR) CORNER SILAY-PATAG ROAD, BRGY.</t>
  </si>
  <si>
    <t xml:space="preserve"> Item/Lot No. ITEM &amp; DESCRIPTION/ TECHNICAL SPECIFICATION	QUANTITY AND UNIT OF MEASURES	 1	               Bond paper A4		                                                 500	reams			 -    2	             Long Plastic Envelope		                              </t>
  </si>
  <si>
    <t xml:space="preserve"> The Municipality of Governor Generoso now invites bids for the procurement of goods: 				 No. 	Qty.	Unit of Issue	Description of Item 1	16	bags	Portland Cement 2	1	load	Fine Aggregates 3	5	bags	Adhesive Cement 4	1	length	10 mm ᴓDeformed Bar 5	190	pcs	16”x</t>
  </si>
  <si>
    <t xml:space="preserve"> Republic of the Philippines Province of Ilocos Sur Vigan City Invitation to Bid for the  Construction of Water System at ISPH-Gabriela Silang General Hospital, Tamag, Vigan City, Ilocos Sur 1.	The Provincial Government of Ilocos Sur, through the Special B</t>
  </si>
  <si>
    <t xml:space="preserve"> Reference No. PR # 20-08-0945 PRICE QUOTATION FORM (BID FORM) Sealed Bids shall be dropped in the BIDDERS BOX on or before 2:00 P.M.  August 12, 2020   placed at the office of the Chairman of the College BAC. Thereafter, the Bidder's Box shall be sealed u</t>
  </si>
  <si>
    <t xml:space="preserve"> Desktop Computer</t>
  </si>
  <si>
    <t xml:space="preserve"> SEE ATTACHED RFQ 2020-07-033</t>
  </si>
  <si>
    <t xml:space="preserve"> The MUNICIPALITY OF PAMPLONA through the Bids and Awards Committee (BAC), invites suppliers/bidders to apply for eligibility and to bid for the supply of construction materials for the following project: Name of Project	: Purchase of One (1) Lot: One (1) </t>
  </si>
  <si>
    <t xml:space="preserve"> Local Government Unit										 Imelda, Zamboanga Sibugay										 										 INVITATION TO APPLY FOR ELIGIBILITY AND TO BID										 										 The Local Government Unit  of Imelda, Zamboanga Sibugay , through its Bids and  Awards Committee (BAC),					</t>
  </si>
  <si>
    <t xml:space="preserve"> Cement, sand, gravel, nails, etc.</t>
  </si>
  <si>
    <t xml:space="preserve"> THIS RFQ COMPOSED OF VAROIUS OS SUCH AS ALCOHOL BANDPAPER FOLDER FASTENER INK ETC.</t>
  </si>
  <si>
    <t xml:space="preserve"> ALBAY 3RD DISTRICT ENGINEERING OFFICE																																														 Paulog, Ligao City																																														 																																														 																																														 INVITATION T</t>
  </si>
  <si>
    <t xml:space="preserve"> Reference No. PR # 20-07-0939 PRICE QUOTATION FORM (BID FORM) Sealed Bids shall be dropped in the BIDDERS BOX on or before 2:00 P.M.  August 12, 2020   placed at the office of the Chairman of the College BAC. Thereafter, the Bidder's Box shall be sealed u</t>
  </si>
  <si>
    <t xml:space="preserve"> Pls. quote the item listed below: 1.     Diesel  Fuel    -   15, 217.39 ltrs. NOTE:                    Opening of Bids will be on Aug. 18, 2020 @ 1:00 pm</t>
  </si>
  <si>
    <t xml:space="preserve"> Provision of One Hundred Fifty (150) Liters Motor-Oil, fully synthetic, per BSP Terms &amp; Conditions</t>
  </si>
  <si>
    <t xml:space="preserve"> Procurement of Office Supplies and Materials</t>
  </si>
  <si>
    <t xml:space="preserve"> 1	4	pcs	Tubeless Tire 245/70R16 - Everest SGF 431</t>
  </si>
  <si>
    <t xml:space="preserve"> SUPPLY OF MATERIALS FOR THE REPAIR AND MAINTENANCE OF DAYCARE CENTER</t>
  </si>
  <si>
    <t xml:space="preserve"> Republic of the Philippines					 Province of Misamis Oriental					 MUNICIPALITY OF VILLANUEVA					 REQUEST FOR QUOTATION					 Quotation No. 2020- ____________					 					                             			Date		 					 					 					 Sir:					 	Please quote your </t>
  </si>
  <si>
    <t xml:space="preserve"> Purchase of Agricultural and Marine Supplies  *Home, School and Community Food Production (GAD) - P 60,000.00  * Agriculture Office (General Fund) - P 100,000.00</t>
  </si>
  <si>
    <t xml:space="preserve"> Procurement of Fuel for BSP LURO owned &amp; augmentation vehicles, per BSP Terms of Reference</t>
  </si>
  <si>
    <t xml:space="preserve"> Republic of the Philippines Province of Ilocos Sur Vigan City INVITATION TO BID FOR  Purchase &amp; Delivery of Bond Paper for the Reproduction of Learning Modules &amp; Self-learning Kits in Support &amp; Compliance to Basic Education 1.	The Provincial Government of</t>
  </si>
  <si>
    <t xml:space="preserve"> Republic of the Philippines CARAGA Administrative Region PROVINCE OF DINAGAT ISLANDS San Jose, Dinagat Islands Bids AND AWARDS COMMITTEE Invitation to Bid  Project Name: 	CONSTRUCTION OF MULTI-PURPOSE BUILDING, FERDINAND, LORETO Location: Brgy. Ferdinand,</t>
  </si>
  <si>
    <t xml:space="preserve"> Republic of the Philippines Province of Sorsogon Barangay MACABOG West District Sorsogon City BIDS AND AWARDS COMMITTEE August 6, 2020 INVITATION TO BID Construction of Local Road Sitio Iraya, Brgy. Macabog, West District, Sorsogon City 	The Sangguniang B</t>
  </si>
  <si>
    <t xml:space="preserve"> 300 pcs. - VTM Transport Medium &amp; Swab xxxxxxx</t>
  </si>
  <si>
    <t xml:space="preserve"> Please quote your best price 1 set of Portable Trolley Speaker with Wireless Microphone ABC: 10,000.00 Specifications: 2 Wireless Microphone Built-in-Battery 12V/4.5H USB / AUX IN / TF / BLUETOOTH / FM Mic Directivity ; Uni-directional Line-in Guitar Inpu</t>
  </si>
  <si>
    <t xml:space="preserve"> Materials for the construction of open drainage canal, PNP bldg. New City Hall Compound</t>
  </si>
  <si>
    <t xml:space="preserve"> 100	amp	Amikacin 125mg/ml, 2ml 750	amp	Antitetanus 1500 i.u 400	amp	Ceftazidime 1G 500	vial	Ceftriaxone 1G 1,000	amp	Ketorolac 30mg/ml, 1ml 500	vial	Metronidazole 500mg/100ml 200	amp	Nicardipine 1mg, 10ml 500	amp	Oxacillin 500mg 400	amp	Oxytocin 10 i.u 1,</t>
  </si>
  <si>
    <t xml:space="preserve"> SEE ATTACHED RFQ 2020-07-035</t>
  </si>
  <si>
    <t xml:space="preserve"> Please refer to the approved budget estimates for details.</t>
  </si>
  <si>
    <t xml:space="preserve"> RUBBER TIRE 31X10 R15	      4	PCS FOR USE OF CONSTRUCTION SECTION, SERVICE VEHICLE HI-5555 (SEL 881)</t>
  </si>
  <si>
    <t xml:space="preserve"> 1	460	head	CHICKEN, dual-type, female, 5-6 months, with complete vaccination record of Fowl Pox, Infectious Coryza, ND-B1B1 and La Sota	 ₱600.00  2	31	head	CHICKEN, dual-type, male, 5-6 months, with complete vaccination record of Fowl Pox, Infectious Cory</t>
  </si>
  <si>
    <t xml:space="preserve"> Name of the Procuring Entity 					Project Reference No.                              				 					      Name of the Project:  Purchase of Supplies for Reproduction of Modules and Research Materials for Looc National High School				 									 				            </t>
  </si>
  <si>
    <t xml:space="preserve"> Republic of the Philippines CARAGA Administrative Region PROVINCE OF DINAGAT ISLANDS San Jose, Dinagat Islands Bids AND AWARDS COMMITTEE Invitation to Bid  Project Name: 	CONSTRUCTION OF LEVEL 3 WATER SYSTEM, DOŇA HELEN, LIBJO Location: Brgy. Doña Helen, </t>
  </si>
  <si>
    <t xml:space="preserve"> 1 THW #10 150 meters 5, 100 September  2 Circuit Breaker 60 amperes 1pc. 500 September</t>
  </si>
  <si>
    <t xml:space="preserve"> Stantard From Title:   Purchase Request					 			                               PURCHASE REQUEST			 LGU BUGALLON						 Agency / Procuring Entity						 						 	Department: 		Mayor's Office		Date:	 						 	Section:				Date:	 						 STOCK 		UNIT	Description	Q</t>
  </si>
  <si>
    <t xml:space="preserve"> Equipment Rental 		 1	Transit Mixer (5cu.m) for 4 days/ in good condition 		1 unit  2	Concrete Vibrator for 4 days/ in good condition		1 unit 3	Concrete Cutter  for 1 days/ in good condition		1 unit 4	Water Pump  for 4 days/ in good condition		1 unit</t>
  </si>
  <si>
    <t xml:space="preserve"> List of Materials available at the BAC Office upon request and purchase of bidding documents</t>
  </si>
  <si>
    <t xml:space="preserve"> 1	12	bag	HOG GROWER PELLET, 50kgs/bag with guaranteed analysis of: crude protein NLT 16.0%, crude fat NLT 3.0%, crude fiber NMT 5.5%, moisture NMT 12.0%, calcium 0.75-.85%,phosphorus NLT 0.7%	 ₱1,300.00  2	9	bag	HOG STARTER PELLET, 50kgs/bag with guarante</t>
  </si>
  <si>
    <t xml:space="preserve"> Republic of the Philippines CARAGA Administrative Region PROVINCE OF DINAGAT ISLANDS San Jose, Dinagat Islands Bids AND AWARDS COMMITTEE Invitation to Bid  Project Name: 	CONCRETING OF PROVINCIAL ROAD DIEGAS TO RITA GLENDA SECTION, BASILISA Location: Brgy</t>
  </si>
  <si>
    <t xml:space="preserve"> Date: August 5, 2020 REQUEST FOR QUOTATION Supply/Delivery/ Installation of Conference System for the use at NIA RO V (Conference Hall), Naga City  PR No.: 20-07-093 Quotation/Bid No. F501-RO-058 -20 The MANAGER 3GX COMPUTER &amp; IT SOLUTIONS TECHNOSHOPPE El</t>
  </si>
  <si>
    <t xml:space="preserve"> SUPPLY OF MATERIALS FOR THE REPAIR AND MAINTENANCE OF MULTI-PURPOSE HALL</t>
  </si>
  <si>
    <t xml:space="preserve"> Grade 1 - 128.00/set/month Grade 2 - 160.00/set/month Grade 3 to 6 - 176.00/set/month</t>
  </si>
  <si>
    <t xml:space="preserve"> Municipal Agriculture Office  Purchase of Animal/Zoological Supplies - P 100,000.00</t>
  </si>
  <si>
    <t xml:space="preserve"> RFQ for the procurement of commodities for National Disability and Rehabilitation Day Celebration at Dilasag, Aurora.</t>
  </si>
  <si>
    <t xml:space="preserve"> Republic of the Philippines Province of Negros Oriental Municipality of Sibulan OFFICE OF THE BIDS AND AWARDS COMMITTEE INVITATION TO APPLY FOR ELIGIBILITY AND TO BID The Municipality of Sibulan, Negros Oriental invites all interested suppliers for the PU</t>
  </si>
  <si>
    <t xml:space="preserve"> REFER TO ATTACHMENT</t>
  </si>
  <si>
    <t xml:space="preserve"> Welding rod, submersible pump, elbow, receptacle, etc.</t>
  </si>
  <si>
    <t xml:space="preserve"> Overlaying of Pre-Mix Hot Laid Asphalt, Supply &amp; Installation of Rubberized Track Surface w/complete markings &amp; revision of existing drainage system</t>
  </si>
  <si>
    <t xml:space="preserve"> Republic of the Philippines						 Province of Misamis Oriental						 MUNICIPALITY OF VILLANUEVA						 REQUEST FOR QUOTATION						 Quotation No. 2020- ____________						 ________________________						                                                        </t>
  </si>
  <si>
    <t xml:space="preserve"> 50	pack	CBG strip x 50’s 10	pc	Cervical collar, medium 5	pc	Cervical collar, large 5	pc	Cervical collar, small 120	pc	Chromic 20 (double arm) ½ c, 26mm, 37mm, 150cm 10	pack	ECG electrode pad x 50’s 100	pad	ECG paper, 80mm x 30mm 30	box	Gloves, unsterile d</t>
  </si>
  <si>
    <t xml:space="preserve"> Grafting knife  -  15 pcs. Pruning shear (chromium steel)  -  9 pcs. Plastic bag large  -  80 packs Plastic bag medium  -  70 packs Black P.E. bags (7x8x00.3) 100pcs./packs  -  162 packs White P.E. bags (8x12x0.003)  -  1500 pcs. Spray gun (nozzle)  -  5 </t>
  </si>
  <si>
    <t xml:space="preserve"> City Engineer's Office P.R. No. : 2020-02-1448 Date: 02/05/2020 1 15 bags Portland Cement 4,961.25 2 1 cu.m Washed Coarse Sand 1,300.00 3 2 cu.m Washed Gravel 2,800.00 4 10 lgths 10mm dia x 6m def bar 1,687.50 5 .5 kg GA #16 G.I. Tie Wire 43.20 6 1 unit P</t>
  </si>
  <si>
    <t xml:space="preserve"> 100 SETS - FOLDING BED WITH PILLOW WITH CASE 75 INCH X 25 INCH DURABLE ALUMINUM CONTRUCTED FRAME WITH STEEL LEGS AND REINFORCED POLYESTER FABRIC.</t>
  </si>
  <si>
    <t xml:space="preserve"> Requirements: 1. Accomplished RFQ/Quotation Form 2. Philgeps Registration 3. Mayor's Permit 4. Omnibus Sworn Statement Submission of Priced quotation/s - on or before August 11, 2020 @ the HRM Office, 2nd Floor, Bontoc Municipal Capitol, Poblacion, Bontoc</t>
  </si>
  <si>
    <t xml:space="preserve"> INVITATION TO BID The City of Bayawan, through its Bids and Awards Committee (BAC), invites suppliers/manufacturers/distributors/contractors to bid for the hereunder projects: Lot No. I		FERTILIZERS	 				 1	4024	bags	FERTILIZERS, 18-46-0					 			** ** ** </t>
  </si>
  <si>
    <t xml:space="preserve"> 1	unit	Laptop Computer *Intel Core i5 10th Gen, 1TB HDD, 4GB RAM, NVIDIA GeForce MX230, Win10 OS</t>
  </si>
  <si>
    <t xml:space="preserve"> Republic of the Philippines LOCAL GOVERNMENT UNIT OF ATIMONAN, QUEZON Tel. No. (042) 316-4939 					Project Reference Number: 08-2020-0309 Name of the Project:  Office Supplies re - Special Program for Employment of Students (SPES) Location of the Project:</t>
  </si>
  <si>
    <t xml:space="preserve"> Republic of the Philippines PROVINCE OF SOUTHERN LEYTE Maasin City Invitation to Bid for the Procurement of Bangus Fingerlings and Feeds   Contract ID # 2020-08-28-451PG 1.	The Provincial Government of Southern Leyte through the PENRMO Agricultural and Ma</t>
  </si>
  <si>
    <t xml:space="preserve"> 1.	The Local Government Unit of Las Nieves, through the General Appropriations Act (DBP-TF) intends to apply the sum of five hundred ninety two thousand pesos only (Php 592,000.00) for Lot 1, two hundred forty nine thousand and six hundred pesos only (Php</t>
  </si>
  <si>
    <t xml:space="preserve"> REQUEST FOR QUOTATION The Dr. Jose Fabella Memorial Hospital hereby invites interested suppliers to submit quotation for the supply and delivery of: Particular			 1. Toner Cart, Samsung MLT-D111S, Black	 Quantity: 45 carts	 Unit Cost: ₱2,400.00	 Total Cos</t>
  </si>
  <si>
    <t xml:space="preserve"> Acquisition of Drug Testing Kits</t>
  </si>
  <si>
    <t xml:space="preserve"> Electrical Materials</t>
  </si>
  <si>
    <t xml:space="preserve"> materials for the Repair and Maintenance of Different Municipal Service Vehicles</t>
  </si>
  <si>
    <t xml:space="preserve"> Republic of the Philippines Province of Quezon MUNICIPALITY OF PANUKULAN INVITATION TO BID FOR SUPPLY AND DELIVERY OF  HOSPITAL EQUIPMENTS  The Local Government Unit of Panukulan through the BGCM   intends to apply the sum of  Four Hundred Twenty Four Tho</t>
  </si>
  <si>
    <t xml:space="preserve"> City Mayor's Office P.R. No. : 2020-07-3016 Date: 07/30/2020 1 250 piece Instant Noodles, 55g, Chicken 2,500.00 2 250 piece Instant Noodles, 55g, Beef 2,500.00 3 200 pack Energy drink, 24g, 12s per pack 18,000.00 4 1,600 pack Milk Powder 33gms (Swak) 24,0</t>
  </si>
  <si>
    <t xml:space="preserve"> Purchase of Materials for 3rd &amp; 4th Quarter (Maintenance Section).</t>
  </si>
  <si>
    <t xml:space="preserve"> Date: August 5, 2020 REQUEST FOR QUOTATION Supply/Delivery of Office Supplies for the use at Regional Office V, Naga City  PR No.: 20-07-116 Quotation/Bid No. F501-RO-060 -20 The MANAGER 3GX COMPUTER &amp; IT SOLUTIONS TECHNOSHOPPE Elias Angeles, Naga City Si</t>
  </si>
  <si>
    <t xml:space="preserve"> Republic of the Philippines Province of Siquijor Municipality of Maria   Invitation to Bid for Installation of 2nd Level Deck Bleacher – Maria, Siquijor/MAR-00044I-2020 1.	The Local Government Unit of Maria, through the 20% Development Fund-2020 intends t</t>
  </si>
  <si>
    <t xml:space="preserve"> 800 pcs. Surgical Mask 12 box Disposable Clean Gloves 250 pcs. Face Shields</t>
  </si>
  <si>
    <t xml:space="preserve"> INVITATION TO BID  FOR SUPPLY AND DELIVERY OF OFFICE SUPPLIES AND PRINTER. 1.	The Local Government Unit of Murcia, Negros Occidental, through the LGU-SEF 2020, intends to apply the sum of Two Hundred Twenty Nine Thousand Seven Hundred Forty Pesos (Php 229</t>
  </si>
  <si>
    <t xml:space="preserve"> INVITATION TO BID The City of Bayawan, through its Bids and Awards Committee (BAC), invites suppliers/manufacturers/distributors/contractors to bid for the hereunder projects: 	Lot No. I		INDUSTRIAL EQUIPMENT					 1	30	pc(s)	Knapsack sprayer, stainless, 1</t>
  </si>
  <si>
    <t xml:space="preserve"> (Server)     1 set of Computer Desktop                   Optacore CPU                   32GB RAM                  1TB SSD                  10TB HDD                  License Operating System and Program Language                  Online Database / Backup   </t>
  </si>
  <si>
    <t xml:space="preserve"> Construction of School Building</t>
  </si>
  <si>
    <t xml:space="preserve"> Please quote your best price 250 pcs of Chemical Half Face Mask Respirator ABC: 375,000.00 Specifications: -Soft , lightweight elastomeric respirator -Flexible system,(gas &amp; vapor and /or particulate filters plus Supplied-Air option) -Twin filter design p</t>
  </si>
  <si>
    <t xml:space="preserve"> Item No.	Qty.	Unit of Issue	Description	Brand	Unit Price 1	3	UNIT/S	AIRCONDITION, FLOOR MOUNTED (INVERTER) Inverter Air Conditioner with Remote 1 phase, 230v, 60 Hz. WARRANTY: 1 years parts &amp; service, 5 years on compressor		 2	4	UNIT/S	AIRCONDITION, WINDO</t>
  </si>
  <si>
    <t xml:space="preserve"> See the attached PR</t>
  </si>
  <si>
    <t xml:space="preserve"> City Engineer's Office P.R. No. : 2020-03-1944 Date: 03/17/2020 1 15 roll 1 1/4" dia. PE pipes, SDR-11, 60m 80,280.00 2 15 roll 1" dia" PE pipes SDR 11, 100m 84,000.00 3 15 roll 3/4" PE pipes SDR 11, 150m 77,670.00 4 10 roll 1/2" PE pipes SDR 11, 150m 32,</t>
  </si>
  <si>
    <t xml:space="preserve"> INVITATION TO BID for Procurement of Printer for 2020 1.	The Pedro Pitogo Elementary School of Cadiz City, through the Schools MOOE Fund CY 2020  intends to apply the sum of Seventeen Thousand Pesos (Php. 17,000.00) being the Approved Budget for the Contr</t>
  </si>
  <si>
    <t xml:space="preserve"> Item			Quantity			Unit of			Item Description														 No.						Issue																	 1			12			pcs			Tubular 1 x 2 x 1.5, B.I														 2			54			pcs			Tubular 1 x 1 x 1.5, B.I														 3			30			pcs			Square Bar, 14mm(Red)														 4			2</t>
  </si>
  <si>
    <t xml:space="preserve"> 1	Monitor 18.5" (Motorpool &amp; Quality Control)							2	units	4,000.00 2	Monitor 21.5" (infrastructure)							1	unit	8,000.00 3	Motherboard w/ audio, video &amp; lan (Motorpool &amp; Quality Control)							3	units	4,500.00 4	UPS 650V (with built-in automatic voltag</t>
  </si>
  <si>
    <t xml:space="preserve"> Pls. quote the items listed below: 1.   Laptop 15.6"   -  1 unit       Specs:        Processor: Intel Core i5/AMD Ryzen 5 (3.0 GHz or Higher)        RAM: 4GB DDR4        Storage: 256 GB SSD + 1TB HDD        OS: Windows 10 2.    Desktop Computer  -  1 unit</t>
  </si>
  <si>
    <t xml:space="preserve"> Item No. Qty. units Description Brand Amount / Unit 1 90 PAX MEALS WITH ACCOMMODATION MEALS WITH ACCOMMODATION ( including projector, LCD, Microphone, extra extension wires) Day1.Buffet (3 courses)- 2 meals and 2 snacks with flowing coffee AM Snacks: Bake</t>
  </si>
  <si>
    <t xml:space="preserve"> Please quote your best price 30 packs of Water Sampling Container ABC: 297,000.00 Specifications: -Sterible flexible plastic -Water sample container with screw top cover (with sodium thiosulfate) -Capacity: 120 mL -Tests per pack: 100 sample containers Pl</t>
  </si>
  <si>
    <t xml:space="preserve"> Please see attached file...</t>
  </si>
  <si>
    <t xml:space="preserve"> Please see attached Request for Quotation.</t>
  </si>
  <si>
    <t xml:space="preserve"> City Engineer's Office P.R. No. : 2020-07-2971 Date: 07/20/2020 1 120 cu m Aggregate base coarse 144,000.00</t>
  </si>
  <si>
    <t xml:space="preserve"> Please see attached RFQ for the full description of the item and for terms and conditions. Please submit your quotation on or before the closing date, you may submit it in our office or thru email (nmmcprocurement@gmail.com).</t>
  </si>
  <si>
    <t xml:space="preserve"> Aircon Split Type (3hp), Laptop (windows 10 license, processor intel core i3, memory 8gb to 16gb storage 1TBHDD)</t>
  </si>
  <si>
    <t xml:space="preserve"> Garbage Compactor truck: Brand New Cab Capacity: 2-3 persons w/ heating/cooling air condition Engine: fuel type,Diesel: power 120hp: displacement 2999 cc; Max speed 95kph; Chassis: 4x2 left hand drive: power steering Brand new tires, Number 6 tires &amp; 1 sp</t>
  </si>
  <si>
    <t xml:space="preserve"> INVITATION TO BID The City of Bayawan, through its Bids and Awards Committee (BAC), invites suppliers/manufacturers/distributors/contractors to bid for the hereunder projects: 	Lot No. I		VEHICLE PARTS/ACCESSORIES					 1	50	feet	Tube, Steel, 1/4"Ø					 2	</t>
  </si>
  <si>
    <t xml:space="preserve"> 13 Reams Bond Paper (Long) 4 Reams Bond Paper A4 q pc Staple Remover 42 pcs. Folder Long (legal size white) 28 pcs. Correction tape 2 Pcs. Office Table 10 pcs. Ballpen (Black) 5 pcs. Ballpen (red) 3 rolls Toilet Paper 3 pcs. Staple Wire # 35 7 pcs. Epson </t>
  </si>
  <si>
    <t xml:space="preserve"> REQUEST FOR QUOTATION The Local Government Unit of Siaton, Siaton Negros Oriental, through the Bids and Awards Committee (BAC) will undertake a Small Value Procurement For the “Purchase of Motorcycle” , Siaton, Negros Oriental, in accordance with Sec. 53.</t>
  </si>
  <si>
    <t xml:space="preserve"> 10 boxes PVC White black cards,500per box 26 sets Ribbons</t>
  </si>
  <si>
    <t xml:space="preserve"> REQUEST FOR QUOTATION (RFQ) Date: August 7, 2020 The Owner/Proprietor ____________________________ Borongan City Sir/Ma’am: Please quote your price for the items specified below, taking into consideration the following &amp; fill-up the above portion “The Own</t>
  </si>
  <si>
    <t xml:space="preserve"> 5 Units Hemoglobin Meter 6 Units Glucometer with Normal Control Solution 1 Unit Table Top Sterilizer (Ultra Violet Light) 1 Unit Mini-Refrigerator (specimen Use)</t>
  </si>
  <si>
    <t xml:space="preserve"> Republic of the Philippines Province of Guimaras OFFICE OF THE BIDS AND AWARDS COMMITTEE INVITATION TO BID FOR    SUPPLY AND DELIVERY OF DRUGS AND MEDICINES Bid Ref. No. 2020-07-423 Re-bid 1.	The Province of Guimaras , through the Revolving Fund (BEH) int</t>
  </si>
  <si>
    <t xml:space="preserve"> LOT 1										 1	Portland Cement							185.00	bags	260.00 										 	Terms &amp; Conditions:									 	● The supplier shall deliver the materials at Project Site within 15 working 									 	     days from the receipt of a written advice by the project engi</t>
  </si>
  <si>
    <t xml:space="preserve"> Repair and Maintenance of OCDRO5 Generator- FG Wilson</t>
  </si>
  <si>
    <t xml:space="preserve"> Please quote your best price 100 cans of Soy Based Formula 850 grams ABC: 120,000.00 0-12 months x 50 cans 1-3 years old x 50 cans Please email your quotation Please download canvass form</t>
  </si>
  <si>
    <t xml:space="preserve"> Supply &amp; Delivery of Other Supplies for RUR Hospital, Municipality of Bongabong, Oriental Mindoro</t>
  </si>
  <si>
    <t xml:space="preserve"> 20 Pads Mun. Form 102 (cert. of Birth) 2 Pads Mun. Form 103 (Cert. of Death) 5 Pads Mun. Form 97 (Cert. Marriage) 3 Pads Mun. Form 90 (App. for Marriage License) 2 pcs Mun. Form 26-1 (Register of Birth) 2 pcs. Mun. Form 27 (Reg. of Death) 2 pcs. Mun. Form</t>
  </si>
  <si>
    <t xml:space="preserve"> 1. Please see attached Request for Quotation Form for details 2. RFQ Form can also be downloaded for free at www.ilocossur.gov.ph 3. Please read the General Instructions to Bidders at the attached RFQ Form</t>
  </si>
  <si>
    <t xml:space="preserve"> Procurement of Training Supplies at Local Government Unit of Matalom, Leyte.</t>
  </si>
  <si>
    <t xml:space="preserve"> Item No.	Qty.	Unit of Issue	Description	Brand	Unit Price 1	50	PIECE/S	TOWEL, HAND, WHITE		 2	288	PACK/S	COFFEE, 500 GRAMS		 3	58	PACK/S	BISCUITS, 900 GRAMS		 4	31 	CARTON/S	SOAP, BAR, 36’S		 5	20	PIECE/S	FLORAL FOAM		 6	5	ROLL/S	ALUMINUM FOIL, 8 M		 7	6	J</t>
  </si>
  <si>
    <t xml:space="preserve"> 4 units Network Switch, 4 ports 300 pcs. RJ45 2     boxes UPT Cat5 3     boxes IUPT Cat6 1     pc. Cable Tester 2     pcs. Crimping tool 6     units 4U wall Mount Cabinet 540*600*327 1     units 6U Wall Mount Cabinet 540*600* 327 1     unit Software Windo</t>
  </si>
  <si>
    <t xml:space="preserve"> Procurement of One (1) lot Meals &amp; Snacks only</t>
  </si>
  <si>
    <t xml:space="preserve"> NOTICE TO THE PUBLIC REQUEST FOR QUOTATION                                           AMP SVP-D NO: 20-08-0378C	              The University of the Philippines, Diliman (UPD) hereby informs the public that it will be procuring the following item/s through </t>
  </si>
  <si>
    <t xml:space="preserve"> Republic of the Philippines Province of Bohol Municipality of Tubigon BIDS AND AWARDS COMMITTEE Tel/Fax. No. (038) 508-8059 REQUEST FOR QUOTATION For Small Value Procurement under Sec. 53.9 of the Revised IRR of R.A. 9184 Quotation No: 2020-08-314 P. R. N</t>
  </si>
  <si>
    <t xml:space="preserve"> LOT 1 150 REAMS A4 BOND PAPER  20 REAMS SHORT BOND PAPER  6 REAMS META CARDS  24 PCS TRASH CAN  3 BOXES BALLPEN BLACK @50PCS  3 BOXES BALLPEN BLUE @50 PCS  3 BOXES BALLPEN RED @ 12 PCS  3 BOXES SIGN PEN -BLUE-@12PCS 3 BOXES SIGN PEN -BLACK @ 12 PCS  6 BOX</t>
  </si>
  <si>
    <t xml:space="preserve"> Supply and installation of electrical system,  battery bank, and other accessories.</t>
  </si>
  <si>
    <t xml:space="preserve"> LOT A									 1	Automotive Diesel Fuel							1	lot	55,200.00 										 	Terms &amp; conditions:									 	    1. The supplier shall start to serve within three (3) days upon receipt of the advice									 	           from the project engineer until the proj</t>
  </si>
  <si>
    <t xml:space="preserve"> Maintenance of the OCDRO5 Airconditioning Units</t>
  </si>
  <si>
    <t xml:space="preserve"> Procurement of Meals						 Purchase Requested by the City Mayor's Office/CADAC, Tabaco City						 						 To Interested Suppliers, Manufacturers and Distributors,						 						 Please quote your lowest price/s on the lot or item/s  below, subject to Terms a</t>
  </si>
  <si>
    <t xml:space="preserve"> Computer furniture</t>
  </si>
  <si>
    <t xml:space="preserve"> Detailed Estimate		 For the Rehabilitation of Underpass Bridge		 at Barangay Umanday Centro, Bugallon, Pangasinan		 		 ABC: 48,445.50		 A. Materials		 		 14	pcs	1/2"x 6.00m G.I. Pipe 8	pcs	 1 1/4" dia x 6.00m G.I. Pipe 15	kls	Welding Rod 3	gals	Red Oxide </t>
  </si>
  <si>
    <t xml:space="preserve"> Republic of the Philippines Province of Guimaras OFFICE OF THE BIDS AND AWARDS COMMITTEE INVITATION TO BID FOR    SUPPLY AND DELIVERY OF VETERINARY SUPPLIES Bid Ref. No. 2020-06-344 Re-bid 1.	The Province of Guimaras , through the (Item 1,2,3,4 and 5 P18,</t>
  </si>
  <si>
    <t xml:space="preserve"> Office Supplies and Materials</t>
  </si>
  <si>
    <t xml:space="preserve"> INVITATION TO APPLY FOR ELIGIBILITY AND TO BID FOR THE SUPPLY AND DELIVERY OF 10 UNITS (1 HP) WINDOW TYPE AIR CONDITIONER. I. 10 UNITS - (1 HP) WINDOW TYPE AIR CONDITIONER</t>
  </si>
  <si>
    <t xml:space="preserve"> 1	Supply, Delivery and installation of 							1	unit	50,000.00 	2.5 HP Split Type Air - Conditioning unit									 	(non-Inverter)									 										 	Note:total Amount Includes installation labor and Materials									 Project Name:		For COA Office use.</t>
  </si>
  <si>
    <t xml:space="preserve"> For Concepcion Junior High School supplies</t>
  </si>
  <si>
    <t xml:space="preserve"> LOT 1										 1	8' x 8' Tarpaulin (with Print &amp; Eyelet)							1	sht.	1,200.00 2	CW Nails							1	kg.	65.00 3	1" G.I. Pipe S-40							35	pcs.	650.00 4	2 - 1.2mm x 2mm x 3mm x 6m C-Purlins (8.4 kg/light)							2	pcs.	585.00 5	Hacksaw Blade							5	pcs.	70</t>
  </si>
  <si>
    <t xml:space="preserve"> *PLEASE SEE ATTACHED ASSOCIATED COMPONENTS FOR THE COMPLETE SPECIFICATION  *PLEASE INDICATE COMPLETE SPECIFICATION OF THE QUOTED ITEM *KINDLY READ OTHER INFORMATION BELOW TO AVOID DISQUALIFICATION *PLEASE INDICATE WARRANTY: DELIVERY: VALIDITY: TERMS:</t>
  </si>
  <si>
    <t xml:space="preserve"> Republic of the Philippines Province of Negros Oriental MUNICIPALITY OF BACONG INVITATION TO BID FOR  Improvement of Waterworks at Barangay Liptong, Bacong, Negros Oriental RFQ 2020-1 1.	The Barangay Liptong, Bacong, through the Barangay Funds(cont0  inte</t>
  </si>
  <si>
    <t xml:space="preserve"> 1 SET OFFICE TABLE  1 SET OFFICE CHAIR  1 SET CONFERENCE TABLE (14-16 SEATER) 20 PIECES CONFERENCE CHAIR 2 SET CABINET (BUILD IN CABINET) 1 SET SOFA SET NOTE: ALL NEW SUPPLIER ARE REQUIRED TO SUBMIT THE FOLLOWING DOCUMENT. 1. DTI Registration 2. SEC Regis</t>
  </si>
  <si>
    <t xml:space="preserve"> Republic of the Philippines MUNICIPALITY OF ORION Province of Bataan Bids and Awards Committee Secretariat Office, 2nd Floor Municipal Building, San Vicente, Orion, Bataan Telephone No. 244-9611 REQUEST FOR QUOTATION (RFQ) The Municipality of Orion, throu</t>
  </si>
  <si>
    <t xml:space="preserve"> Republic of the Philippines Province of Siquijor Municipality of Maria   Invitation to Bid for Construction of Niches – Maria, Siquijor/MAR-00045I-2020 1.	The Local Government Unit of Maria, through the Economic Enterprise intends to apply the sum of Thre</t>
  </si>
  <si>
    <t xml:space="preserve"> Item No.	Unit	DESCRIPTION				Qty 						 1	Sheet	Marine Plywood, 5mm thk. -1.22m x 2.44m				16 2	Sheet	Corr. Galvalume Sheet, 0.40mm thk - 0.90m x 8'				25 3	Pc.	Smoke Glass Jalousie Blades, 6mm thk - 104mm 450mm				5 4	Pc.	Smoke Glass Jalousie Blades, 6mm</t>
  </si>
  <si>
    <t xml:space="preserve"> Please quote your best price 50 bottles of Residual Chlorine Test Kit ABC: 290,000.00 Specifications: -With designated photometer -Colorimeter/DPD -Pre-programmed to test important water quality parameters: • Total Bromine • Chlorine Dioxide • Chlorine-Fr</t>
  </si>
  <si>
    <t xml:space="preserve"> 300 paxs Snacks 100 paxs Meals</t>
  </si>
  <si>
    <t xml:space="preserve"> INVITATION TO BID for Procurement of Office Supplies for 2020 1.	The Pedro Pitogo Elementary School of Cadiz City, through the Schools MOOE Fund CY 2020  intends to apply the sum of Thirteen Thousand Six Hundred Fifty Pesos (Php. 13, 650) being the Approv</t>
  </si>
  <si>
    <t xml:space="preserve"> wallings; tiling of flooring &amp; walls (inside); toilet bowls; lavatory &amp; concrete pavement</t>
  </si>
  <si>
    <t xml:space="preserve"> Airconditioning Unit, Wall Mounted, 2.5 HP							1	unit	68,000.00 Project Name:		For use in the Office of the Governor							 Place of Delivery:		office of the Governor							 ABC:P68,000.00</t>
  </si>
  <si>
    <t xml:space="preserve"> Floor Mounted Aircon 5 TR							1	unit	145,000.00  - with installation									 Project Name:		For use in the Office of the Governor							 Place of Delivery:		Provincial Governor's Office							 ABC:P145,000.00</t>
  </si>
  <si>
    <t xml:space="preserve"> 1	100	ampule	Atropine Sulfate, 1mg/ml, 1ml	 4,000.00 		 40.00 	 2	100	ampule	B1, B6, B12 amp. (Vit. B complex)	 7,000.00 		 70.00 	 3	10	ampule	Diazepam, 5mg/ml	 1,170.00 		 117.00 	 4	50	tablet	Diazepam, 10mg/tab	 600.00 		 12.00 	 5	100	ampule	Epinephri</t>
  </si>
  <si>
    <t xml:space="preserve"> Procurement of Roofing and Improvement of the Water Tank (1 lot Job) Location: Nalook, Malay, Aklan Specs: Roofing Area = 60 sq.m Color Roof Rib Type Metal Specs: 	Angle bar 3/16”x1/1/2” 		Angle bar 3/16”x2” 		C-purlins 2”x3” Waterline and Electrical Work</t>
  </si>
  <si>
    <t xml:space="preserve"> Cement, sand, gravel, etc.</t>
  </si>
  <si>
    <t xml:space="preserve"> 1 Latex Paint (yellow)  2 gal 2 Latex  Paint (Blue) 2 gal  3 Latex  Paint (Red) 2 gal 4 Latex Paint (Black) 2 gal</t>
  </si>
  <si>
    <t xml:space="preserve"> BUDGET - 126591</t>
  </si>
  <si>
    <t xml:space="preserve"> To provide labor services in the implementation of projects under HVCDP. Purpose: For the operation and maintenance of different HVCDP Production Projects at DA-QES, Dungo, Aglipay, Quirino. Please see attached file.</t>
  </si>
  <si>
    <t xml:space="preserve"> 125 liters Gasoline</t>
  </si>
  <si>
    <t xml:space="preserve"> Republic of the Philippines PROVINCE OF SOUTHERN LEYTE Maasin City Invitation to Bid for the Procurement of Various Seeds, Planting Materials,Fertilizers, Various Pesticides &amp; Various Merchandise  Contract ID # 2020-08-28-454PG 1.	The Provincial Governmen</t>
  </si>
  <si>
    <t xml:space="preserve"> Brand New Rice Mill for MAMFIC                             1            lot            1 SET SATAKE TYPE RICEMILL 6X8 3/4  ENGINE   Specifications:      &gt; single pass rice mill      &gt; transmission, conveyor &amp; shifter      &gt; driven by 80 horsepower diesel </t>
  </si>
  <si>
    <t xml:space="preserve"> REPUBLIC OF THE PHILIPPINES PROVINCE OF BOHOL MUNICIPALITY OF SEVILLA BARANGAY EWON INVITATION TO BID 1.	The Barangay Ewon, through the authorized appropriations under the FY 2020 General Appropriations Act, intends to apply the sum of One hundred ten  th</t>
  </si>
  <si>
    <t xml:space="preserve"> BAYBAY CITY WATER DISTRICT								 119 E. Jacinto St., Baybay City, Leyte								 FAX No.(053)-563-9478								 								                                                                   R E Q U E S T   F O R   Q U O T A T I O N							RFQ No.:2020-07-214	</t>
  </si>
  <si>
    <t xml:space="preserve"> Sir/Madam:																																						 																																						 Please quote your government price/s including delivery charges, VAT or other applicable taxes, and other incidental expenses for the goods listed in Annex A.  Also, f</t>
  </si>
  <si>
    <t xml:space="preserve"> Republic of the Philippines MUNICIPALITY OF ECHAGUE Province of Isabela INVITATION TO BID FOR  THE  PROCUREMENT OF GARBAGE COMPACTOR  1.	The Local Government Unit , through  the  PCF FUND (Grant) and GENERAL    FUND  Of  2020  intends to apply the sum of </t>
  </si>
  <si>
    <t xml:space="preserve"> see attached associate document</t>
  </si>
  <si>
    <t xml:space="preserve"> 1 Lot LANDSCAPING SUPPLIES AND MATERIALS</t>
  </si>
  <si>
    <t xml:space="preserve"> Preventive Measures of OCDRO5 for COVID-19</t>
  </si>
  <si>
    <t xml:space="preserve"> 1 PC LAPTOP PROCESSOR: INTEL CORE i7 PROCESSOR (6M CACHE, UP TO 3.40 GHz) OPERATING SYSTEM: WINDOWS 10 PRO LICENSE MEMORY: 8GB DDR4 DISPLAY: 15.6 (16:9) LED BACKLIT FHD (1920x1080) 60Hz ANTI-GLARE PANNEL WITH 45% NTSC GRAPHIC: NVIDIA GTX1050 WITH 4GB GDDR</t>
  </si>
  <si>
    <t xml:space="preserve"> Procurement of 2 sets 58mm lens filter kit  33 LI</t>
  </si>
  <si>
    <t xml:space="preserve"> Republic of the Philippines Province of Siquijor Municipality of Maria   Invitation to Bid for Construction of Water System – Maria, Siquijor/MAR-00046I-2020 1.	The Local Government Unit of Maria, through the Economic Enterprise intends to apply the sum o</t>
  </si>
  <si>
    <t xml:space="preserve"> Airconditioning unit, Floor Mounted 3.0 TR							1	unit	95,000.00  -With Installation									 Project Name:		for use in the Officeof the Governor							 Place of Delivery:		office Of the Governor							 ABC:P95,000.00</t>
  </si>
  <si>
    <t xml:space="preserve"> Pls. quote the items listed below: 1.  4" CHB  -  2,100 pcs. 2.   Portland Cement  -  210 bags 3.  Sand  -  16 cu.m. 4.  1" Ø Peasize Gravel  -  20 cu.m. 5.  2" Ø Gravel  -  8 cu.m. 6.  10mm Ø x 6m Def. Bar  -  342 lngths. 7.  # 16 Tie Wire  -  40 kgs. 8.</t>
  </si>
  <si>
    <t xml:space="preserve"> Republic of the Philippines Sangguniang Barangay of 08 Poblacion Barangay 08 Catanauan Quezon INVITATION TO APPLY FOR ELIGIBILITY AND TO BID The Sangguniang Barangay 08 Poblacion Catanauan,Quezon through its Bids and Awards Committee(BAC),invites supplier</t>
  </si>
  <si>
    <t xml:space="preserve"> Republic of the Philippines Province of Eastern Samar Municipality of San Julian REQUEST FOR QUOTATION _____________________________ _____________________________ _____________________________ SIR/MADAME: 	Please quote your lowest price for the following </t>
  </si>
  <si>
    <t xml:space="preserve"> Republic of the Philippines										 Department of Public Works and Highways										 OFFICE OF THE DISTRICT ENGINEER										 Cagayan Third District Engineering Office										 Tuguegarao City										 Name of Procuring Entity: 			DPWH-Cagayan Third</t>
  </si>
  <si>
    <t xml:space="preserve"> OFFICE OF THE BIDS AND AWARDS COMMITTEE (BAC)                                                                                                     Notice No     : 2020-323                                                                                     </t>
  </si>
  <si>
    <t xml:space="preserve"> One (1) Lot Hiring of Professional Webinar Manager for the Conduct of Bangko Sentral ng Pilipinas’ (BSP) Financial Education Stakeholders Expo on 23 to 27 November 2020, as per BSP Terms of Reference</t>
  </si>
  <si>
    <t xml:space="preserve"> 8 pcs. CARD 100 Smart 7 pcs. CARD 500 Smart 3 pcs. CARD 100 Globe 2 pcs. CARD/500 Globe</t>
  </si>
  <si>
    <t xml:space="preserve"> Reproduction of Quality Assurance Tools for Quarter 2   9 pages x 9,375 sets   Paper: Bondpaper, Substance 16   Paper Size:  Short</t>
  </si>
  <si>
    <t xml:space="preserve"> To furnish labor and materials for painting of 164 pcs. Polo-Shirt, customized w/							1	lot	246,900.00 embroided logo, (S,M,L,XL,2XL,3XL,4XL,5XL), 330 pcs. T-Shirt w/ print &amp; w/ logo,									98,400.00 (S,M,L,2XL,3XL,4XL,5XL) and 30 pcs. Plaque, round p</t>
  </si>
  <si>
    <t xml:space="preserve"> 2020 26TH PUBLIC BIDDING: PROCUREMENT OF VARIOUS MEDICAL EQUIPMENT</t>
  </si>
  <si>
    <t xml:space="preserve"> Item No. Qty. units Description Brand Amount / Unit 1 8 UNIT/S CABINET, STEEL LOCKER, 15 SHELVES, 72" X 36" X 28"  X 36" X 28" 15 locker with 3 key, Color: GreenC 2 7 UNIT/S METAL FILING CABINET WITH INDIVIDUAL LOCKING DRAWER, 3 DRAWER  Lateral 3 Drawer F</t>
  </si>
  <si>
    <t xml:space="preserve"> INVITATION TO BID SUPPLY AND DELIVERY OF IT EQUIPMENT AND ACCESSORIES FOR VARIOUS LAW ENFORCEMENT AGENCIES 1.	The Local Government Unit of Cabadbaran City through the PEACE &amp; ORDER FUND intends to apply the sum of TWO HUNDRED EIGHTY THOUSAND PESOS ONLY (P</t>
  </si>
  <si>
    <t xml:space="preserve"> QTY UNIT   PARTICULARS ACU 1: 1      LOT    STANDARD PIPING INSTALLATION OF TEN (10) FEET 110  FT      PIPING IN EXCESS OF 10 FEET 3      KG     RECHARGING OF FREON 1      LOT    DISMANTLING ACU 2: 1      LOT    STANDARD PIPING INSTALLATION OF TEN (10) FE</t>
  </si>
  <si>
    <t xml:space="preserve"> Item No. Qty. units Description Brand Amount / Unit 1 4 BOT/S ALCOHOL, 70% ISOPROPHYL, 1000 ML 2 2 PIECE/S ARNIS BODY ARMOR #2 3 2 PIECE/S ARNIS HEAD GEAR MEDIUM 4 29 PAIR/S ARNIS PADDLE STICK RED AND BLUE 5 2 PAIR/S BOXING GLOVE #12 OZ 6 3 SET/S EXTENSIO</t>
  </si>
  <si>
    <t xml:space="preserve"> Item No.	Unit	DESCRIPTION				Qty 						 1	Pcs.	LD Bulb 15W				50 2	Pcs.	Snap Switch (Surface type)				38 3	Pcs.	Rubber Socket Heavy Duty				20 4	Pcs.	Flat Cord #16				1 5	Roll	DX Wire #14				1 6	Box	Electrical Tape (3m)				30 7	Roll	Staple Wire (1'')				2</t>
  </si>
  <si>
    <t xml:space="preserve"> Purchase of One Hundred Eighty (180) pcs. Mattress •	Using 2” thick high quality foam for added cushion comfort •	Thin polycotton cover •	Size (Thickness x Width x Length) 	2x36x75</t>
  </si>
  <si>
    <t xml:space="preserve"> Procurement of Agricultural Supplies at Local Government Unit of Matalom, Leyte.</t>
  </si>
  <si>
    <t xml:space="preserve"> per approved PR # 439, 398,389, 404 &amp; 405 consisting of various medical &amp; Laboratory supplies for use in MHO,Mabinay,Neg. Or.</t>
  </si>
  <si>
    <t xml:space="preserve"> 1	60	pcs	6mm thick x 50mm x 50mm x 6m. Angle Bar				 2	40	pcs	1" Diameter G.I Pipe				 3	80	pcs	12mm diameter Plain Round Bars				 4	4	pcs	12" x 16" x 6mm Thick Steel Plate				 5	4	pcs	27mm x 50.3mm Wheel Bearing				 6	30	Kg's	Welding Rod				 7	10	pcs	Hac</t>
  </si>
  <si>
    <t xml:space="preserve"> 30	unit	"Trapal -9ft by 12 ft -waterproof -rubberized -with ply -heated press edges with fiber -with eyelet -heavy duty"	 ₱2,500.00</t>
  </si>
  <si>
    <t xml:space="preserve"> TITLE: PROCUREMENT OF MEDICAL SUPPLIES TO BE USE FOR SWAB AND RAPID TEST			 DEPARTMENT: MUNICIPAL HEALTH OFFICE			 			 ITEM NO.	QTY	UNIT	ITEM DESCRIPTION 1	10	boxes	lancet 2	10	boxes	nitrile gloves (large) 3	10	packs	garbage bag (bag) 4	10	packs	garbage b</t>
  </si>
  <si>
    <t xml:space="preserve"> Location: Jibong, Barcelona, Sorsogon 1. Concreting of Footroad at Sitio Magragondong 2. Concreting of Footroad at Sitio Cacao 3. Repair &amp; Improvement of Barangay Site 4. Improvement of Multi-purpose Hall 5. Improvement of Basketball Court Facility</t>
  </si>
  <si>
    <t xml:space="preserve"> OPSWD-NC-2020-0412 PR2020-0548 REQUEST FOR QUOTATION FOR THE PROCUREMENT OF DESKTOP COMPUTER, NETBOOK, AND PRINTERS FOR OFFICE USE, OPSWD COST OF CANVASS: P 150.00</t>
  </si>
  <si>
    <t xml:space="preserve"> 1 unit copying Machine , brand new with complete installation and accessories.</t>
  </si>
  <si>
    <t xml:space="preserve"> LOT 1										 1	Portland Cement							280	bags	260.00 										 	Terms &amp; Conditions:									 	● The materials shall be for pick up from the supplier within 10 working 									 	    days from the receipt of a written advice by the project engineer.			</t>
  </si>
  <si>
    <t xml:space="preserve"> BIDS AND AWARDS COMMITTEE REQUEST FOR QUOTATION The Local Government Unit of Labason, Z.N., invites all interested registered supplier to submit quotation for the Purchase of  Materials for the Fabrication/Installation of Street Signs Mun. Road, Labason, </t>
  </si>
  <si>
    <t xml:space="preserve"> Layout and Preparation Concreting Works/Masonry Works Rebarworks Painting Works Equipment Formworks</t>
  </si>
  <si>
    <t xml:space="preserve"> Procurement of 3 sets Desktop computer &amp; 5 LI</t>
  </si>
  <si>
    <t xml:space="preserve"> *PLEASE SEE ATTACHED ASSOCIATED COMPONENTS FOR THE COMPLETE SPECIFICATION  *PLEASE INDICATE COMPLETE SPECIFICATION OF THE QUOTED ITEM *KINDLY READ OTHER INFORMATION BELOW TO AVOID DISQUALIFICATION *PLEASE INDICATE THE FOLLOWING: WARRANTY: DELIVERY: VALIDI</t>
  </si>
  <si>
    <t xml:space="preserve"> ppe</t>
  </si>
  <si>
    <t xml:space="preserve"> Pls. quote the services listed hereunder: 1.    Labor  -   NOTE:                      Opening of Bids will be on August 18, 2020 @ 1:00 pm</t>
  </si>
  <si>
    <t xml:space="preserve"> Procurement ID/Contract ID		: 	20CL0089 Contract Name	: 	Concreting of Galumayen Rd.,Brgy. Bangantalinga FMR,  Brgy. Bangantalinga,Iba, Zambales Contract Location	: 	Iba, Zambales Brief Description	: 	Construction of Concrete Road  	Approved Budget for th</t>
  </si>
  <si>
    <t xml:space="preserve"> 4 pcs. USB,16GB 60 bots. Ink,Epson(Assorted Color) 1  piece Battery(Rechargeable)"AA" &amp; "AAA" 96 packs Battery Size AA,2 per blister pack 24 pieces Battery Size C 20 pieces Tape, Masking 1"roll 1   piece Charger(for Chargeable Battery)</t>
  </si>
  <si>
    <t xml:space="preserve"> INVITATION TO BID SUPPLY AND DELIVERY OF ONE (1) UNIT DRONE FOR AERIAL MONITORING 1.	The Local Government Unit of Cabadbaran City through the GENERAL FUND intends to apply the sum of ONE HUNDRED THOUSAND PESOS ONLY (P 100,000.00) being the Approved Budget</t>
  </si>
  <si>
    <t xml:space="preserve"> Invitation to Bid All prospective bidders are invited to bid on the above items. The Municipality of Boac reserves the right to accept or reject any bid, to annul the bidding process, and to reject all bids at any time prior to contract award, without the</t>
  </si>
  <si>
    <t xml:space="preserve"> 9 Pcs 1-1/4" x 1-3/4" x 8' 52.488 bdft drawer frame-(4 pcs) 4 Pcs 1-1/4" x 1-3/4" x 8' 23.328 bdft drawer frame -(4 pcs) 8 Pcs 1-1/4" (6mm) x 4' x 8' Marine Plywood 8 Kls Finishing Nails #1, 1-1/2, 2 2 Pcs Wood Glue 2 ltr Varnish 1 can Putty 16 pcs 4" Ste</t>
  </si>
  <si>
    <t xml:space="preserve"> Republic of the Philippines Province of Batanes	 MUNICIPALITY OF BASCO               		INVITATION TO BID FOR THE PROCUREMENT OF DRUGS AND MEDICINES FOR THE SENIOR CITIZENS OF BASCO 1.	The Municipal Local Government Unit of Basco, through the General Fund </t>
  </si>
  <si>
    <t xml:space="preserve"> SEE ATTACHED DOCUMENT</t>
  </si>
  <si>
    <t xml:space="preserve"> 42 sacks Good Rice 25kgs per sacks 3  sacks Good Rice 50kgs per sacks</t>
  </si>
  <si>
    <t xml:space="preserve"> Establishment of Shed</t>
  </si>
  <si>
    <t xml:space="preserve"> Canalization</t>
  </si>
  <si>
    <t xml:space="preserve"> Food Supplies for Malnutrition Feeding - MNAO  PR# 20-07-0572		 		 16	sacks	Rice, Tonner 50	tray	Fresh Egg (Large) 80	Packs	Chocolate Milk Powder (450mg.) 80	kls	Dressed Chicken 20	kls	EggPlant 80	kls	Pork Meat 25	packs	Milk Powder(450mg) 10	packs	Cocoa P</t>
  </si>
  <si>
    <t xml:space="preserve"> Republic of the Philippines PROVINCE OF SOUTHERN LEYTE Maasin City Invitation to Bid for the Procurement of Grafted Jackfruit, Various Commercial Fertilizer and Agricultural Supplies   Contract ID # 2020-08-28-452PG 1.	The Provincial Government of Souther</t>
  </si>
  <si>
    <t xml:space="preserve"> Sliding door slide fixed type   on analok aluminum framing and 6mm thick broze glass. Office enclosure, with 1 3/4 x 4 rectangular tube, 1 3/4 x open back, snap-on moulding. Fixed galss with 1x2 tubular framing and snap-on moulding. 5mm bronze glass with </t>
  </si>
  <si>
    <t xml:space="preserve"> Various office and school supplies for the production of school learning resources for modular learning</t>
  </si>
  <si>
    <t xml:space="preserve"> 330 Lh 6" PE Pipes 1 pc. 6" CI Gate Valve (flange type) 2 pcs. 6" CI Elbow (flange type) 1 pc. 6" CI Tee 4 pcs. 6" Air Valve 1 pc. 6"x4" Reducer 4 pcs. 4"x90° CI Elbow 1 pc. 4" Gate Valve (flange type) 1 pc. 4" CI Tee</t>
  </si>
  <si>
    <t xml:space="preserve"> PHO-C-NC-2020-097 PR2020-113 REQUEST FOR QUOTATION FOR THE PROCUREMENT OF MEALS AND SNACKS DURING THE CONDUCT OF LAY FORUM OF THE RENAL DISEASE CONTROL PROGRAM ACTIVITIES COST OF CANVASS: P 150.00</t>
  </si>
  <si>
    <t xml:space="preserve"> INVITATION TO APPLY FOR ELIGIBILITY AND TO BID THE BIDS &amp; AWARD COMMITTEE OF THE MUNICIPALITY OF CAIBIRAN, BILIRAN IS INVITING ALL INTERESTED BIDDERS ON ITS FORTHCOMING PUBLIC BIDDING FOR: Project Title	: Acquisition of Various Extension Support Services </t>
  </si>
  <si>
    <t xml:space="preserve"> 3,687 pcs. HandBook</t>
  </si>
  <si>
    <t xml:space="preserve"> Cloud Server Setup and Hosting with Local backup HCI and Server with Pre-Installed HCI for UMAK Learning Management System (LMS) - Order of payment for Bid Docs will be available at GSD-Head Office @ 10th Floor Makati City Hall Bldg. 2.  Look for Mr. Rede</t>
  </si>
  <si>
    <t xml:space="preserve"> See Attached Associate Document</t>
  </si>
  <si>
    <t xml:space="preserve"> PHO-NC-2020-161 REQUEST FOR QUOTATION FOR THE PROCUREMENT OF BASIC LIFE SUPPORT AMBULANCE FOR THE USE IN CONG. SIMEON G. TORIBIO MEMORIAL HOSPITAL, CARMEN, BOHOL COST OF CANVASS: P 1,000.00</t>
  </si>
  <si>
    <t xml:space="preserve"> INVITATION TO BID SUPPLY AND DELIVERY OF T-SHIRT W/ PRINT FOR FULLY IMMUNIZED CHILD 1.	The Local Government Unit of Cabadbaran City through the GENERAL FUND intends to apply the sum of ONE TEN HUNDRED THOUSAND PESOS ONLY (P 110,000.00) being the Approved </t>
  </si>
  <si>
    <t xml:space="preserve"> 1 Lot VARIOUS MEDICINES</t>
  </si>
  <si>
    <t xml:space="preserve"> INVITATION TO BID The Government of Barangay Ambiong La Trinidad through the Bids and Awards Committee (BAC) invites Suppliers/ contractors to bid for the hereunder project: Contract Reference No.	02-AMBG-2020 Name of Project	                SUPPLY AND DE</t>
  </si>
  <si>
    <t xml:space="preserve"> BARANGAY GOVERNMENT OF COLONIA City of Valencia INVITATION TO BID FOR  SUPPLY AND DELIVERY OF CONSTRUCTION MATERIALS FOR THE CONSTRUCTION OF MULTI-PURPOSE BUILDING ( Balay Tulugan) PHASE II The BARANGAY GOVERNMENT OF COLONIA, through the   Continuing Fund</t>
  </si>
  <si>
    <t xml:space="preserve"> Supply and Delivery of Various Laboratory Equipment for Ospital ng Makati (6 Lots) Lot 1: Supply and Delivery of Hematology Autostainer Lot 2: Supply and Delivery of      Biosafety Cabinet Class II Lot 3: Supply and Delivery of Binocular Microscope for Re</t>
  </si>
  <si>
    <t xml:space="preserve"> Available upon request xxxxxxxxxxxxxxxxxxxx</t>
  </si>
  <si>
    <t xml:space="preserve"> 2000 booklet Checklist for ECCD  8.5 x 11 20 pages per booklet</t>
  </si>
  <si>
    <t xml:space="preserve"> *PLEASE SEE ATTACHED ASSOCIATED COMPONENTS FOR THE COMPLETE SPECIFICATION O *PLEASE INDICATE COMPLETE SPECIFICATION OF THE QUOTED ITEM *KINDLY READ OTHER INFORMATION BELOW TO AVOID DISQUALIFICATION *PLEASE INDICATE THE FOLLOWING: WARRANTY: DELIVERY: VALID</t>
  </si>
  <si>
    <t xml:space="preserve"> 2 Units Wheel Chair (pedia) 2 Units Wheel Chair heavy duty (adult) 1 pair crutches</t>
  </si>
  <si>
    <t xml:space="preserve"> REQUEST FOR QUOTATION The City Government of Cauayan, Isabela, through its Bids and Awards Committee, will undertake a Small Value Procurement for the “Supply and Delivery of Two (2) pairs Paddy Wheel for City Agriculture Office”, in accordance with Secti</t>
  </si>
  <si>
    <t xml:space="preserve"> per approved PR No. 441,400 &amp; 403 consisting of various drugs and medicines supplies for use in RHU, Mabinay,Neg. Or.</t>
  </si>
  <si>
    <t xml:space="preserve"> Supply and Delivery of Adult Emergency and Transport Stretcher Beds - Order of payment for Bid Docs will be available at GSD-Head Office @ 10th Floor Makati City Hall Bldg. 2.  Look for Mr. Reden Villanueva. - A  complete set of Bidding Documents will be </t>
  </si>
  <si>
    <t xml:space="preserve"> Office Supplies/ ICT Supplies/SE Furniture/ Mobile Load and Internet Load for Teachers- 110000</t>
  </si>
  <si>
    <t xml:space="preserve"> 15 kl. Pechay 15 can Upo 15 can Cucumber 15 can Patola</t>
  </si>
  <si>
    <t xml:space="preserve"> 1  SET     375KVA DIESEL GENERATOR     SILENT TYPE     ENGINE: NTA855-G1B CUMMINS ENGINE     ALTERNATOR: ECO38 2L4A MECC ALTE    CONTROL MODULE: DEEPSEA DSE6020/7320    3-PHASE, 60HZ, 220V     INCLUSION:     INSTALLATION (FROM GENSET TO ATS)    ELECTRICAL</t>
  </si>
  <si>
    <t xml:space="preserve"> Supply and delivery of Mist Blower machine</t>
  </si>
  <si>
    <t xml:space="preserve"> Supply and Delivery of Medical Equipment for Autopsy - Order of payment for Bid Docs will be available at GSD-Head Office @ 10th Floor Makati City Hall Bldg. 2.  Look for Mr. Reden Villanueva. - A  complete set of Bidding Documents will be available from </t>
  </si>
  <si>
    <t xml:space="preserve"> Please refer to attached file.</t>
  </si>
  <si>
    <t xml:space="preserve"> This is intended for the payment of labor and purchase of materials for the repair and maintenance of 5 units of airconditioners at th LCS Haal, re: Fan motor capacitor bearing acetylene ofleakage evaporator thermostat charging freon general cleaning labo</t>
  </si>
  <si>
    <t xml:space="preserve"> RDT KIT</t>
  </si>
  <si>
    <t xml:space="preserve"> PURCHASE OF PARTS OF BARANGAY VEHICLE</t>
  </si>
  <si>
    <t xml:space="preserve"> Per approved PR No. 401,402,399 &amp; 457 consisting of various drugs and medicines supplies for use in RHU, Mabinay,Neg. Or.</t>
  </si>
  <si>
    <t xml:space="preserve"> Pls. quote the items listed below: 1.  Air Freshener (aerosol)  -  3 cans 2.  Bleaching Liquid (500 ml.)  -  19 bots. 3.  Fabric Conditioner (small pack)  -  3 dozs. 4.  Floor Mop (suction cotton)  -  18 pcs. 5.  Glass Cleaner  -  96 bots. 6.  Tile Cleane</t>
  </si>
  <si>
    <t xml:space="preserve"> 28 pax Room Accommodation Day 1 28 pax Room Accommodation Day 2 28 pax Room Accommodation Day 3</t>
  </si>
  <si>
    <t xml:space="preserve"> Republic of the Philippines Province of Oriental Mindoro MUNICIPALITY OF PINAMALAYAN OFFICE OF THE BIDS AND AWARDS COMMITTEE Invitation to Bid ITB-2020-37 1.  The Municipal Government of Pinamalayan, Oriental Mindoro, through the authorized appropriations</t>
  </si>
  <si>
    <t xml:space="preserve"> See Attached Associete Documents</t>
  </si>
  <si>
    <t xml:space="preserve"> PR # MO-200-2020-06-116							 1	Thermal Camera						1	unit 	Specifications:							 	Model							 	Imaging and Optical data							 	IR Resolution                                    80x80 pixels							 	Thermal Sensitivity/NETD              &lt;150 mk							 </t>
  </si>
  <si>
    <t xml:space="preserve"> REQUEST FOR QUOTATION Purchase of Office Equipment to be used in the ISA Room The Bicol University, through the Corporate Budget for the contract approved by the Board of Regents intends to apply the sum of Eighty Five Thousand Pesos Only  (Php 85,000.00)</t>
  </si>
  <si>
    <t xml:space="preserve"> 1 unit Safety Vault PGSO</t>
  </si>
  <si>
    <t xml:space="preserve"> STOCK NO.	UNIT	ITEM DESCRIPTION				QTY	UNIT COST	TOTAL COST 1	pax	Snacks: AM				466	 65.00 	 30,290.00  		Menu:  Sandwich &amp; Bottled Juice						 -    2	pax	Meals:				466	 170.00 	 79,220.00  		Menu: Rice, Beef steak, Lumpia, Buttered Chicken						 -    		 </t>
  </si>
  <si>
    <t xml:space="preserve"> Procurement of Electrical Equipment RFQ No. 516</t>
  </si>
  <si>
    <t xml:space="preserve"> Republic of the Philippines LOCAL GOVERNMENT UNIT OF ATIMONAN, QUEZON Tel. No. (042) 316-4939 					Project Reference Number: 08-2020-0312 Name of the Project:  T-Shirts &amp; Face Mask with Print re - Special Program for Employment of Students (SPES) Location</t>
  </si>
  <si>
    <t xml:space="preserve"> 1	Gardenia	250	pcs. 2	Cheez Whiz	250	pcs. 3	Cooking Oil (Canola)	250	packs 4	Toyo 350 ml.	250	packs 5	Suka 350 ml.	250	packs 6	Patis	250	packs 7	Century Tuna (flakes in oil)	500	pcs. 8	Argentina Corned Beef 	500	pcs. 9	Argentina Meat Loaf	250	pcs. 10	Suga</t>
  </si>
  <si>
    <t xml:space="preserve"> REQUEST FOR PRICE QUOTATION Please quote your lowest price on the item/s listed below, subject to the General Conditions and stating the shortest time of delivery and submit  your  PRICE  QUOTATION duly  signed  by  your representative not later than two </t>
  </si>
  <si>
    <t xml:space="preserve"> BODY IS MADE OF HIGH STRENGTH PLASTIC ALL OPERATING PARTS ARE MADE OF CORROSION RESISTANT MATERIALS WORKING PRESSURE RANGE: 3-230 PSI *PLEASE INDICATE COMPLETE SPECIFICATION OF THE QUOTED ITEM *KINDLY READ OTHER INFORMATION BELOW TO AVOID DISQUALIFICATION</t>
  </si>
  <si>
    <t xml:space="preserve"> INVITATION TO BID SUPPLY AND DELIVERY OF FUEL (GASOLINE) FOR SANGGUNIANG PANLUNGSOD OFFICE 1.	The Local Government Unit of Cabadbaran City through the GENERAL FUND intends to apply the sum of ONE HUNDRED THIRTY-SEVEN THOUSAND PESOS ONLY (P 137,000.00) bei</t>
  </si>
  <si>
    <t xml:space="preserve"> INVITATION TO BID  Purchase &amp; Delivery of Drugs &amp; Medicines for GMCH (Re-bid)  August 7, 2020 1.	The Provincial Government of Sarangani, through the Trust Fund Philhealth Collection intends to apply the sum of One Hundred Fifty-Seven Thousand Three Hundre</t>
  </si>
  <si>
    <t xml:space="preserve"> INVITATION TO BID  Purchase &amp; Delivery of Various Medical Supplies  for GMCH (Re-bid) August 7, 2020 1.	The Provincial Government of Sarangani, through the Trust Fund – Philhealth Collection  intends to apply the sum of Three Hundred Fifteen Thousand Nine</t>
  </si>
  <si>
    <t xml:space="preserve"> 2 Unit MAYO STAND W/TRAY W/WHEELS 1 Unit AMBULANCE COLLAPSIBLE STRECHER 3 Unit AIR PURIFIER (4 Layers, 7 Stages Filtration) SPECIFICATIONS: FILTER STAGES: PP PRE FILTER HEPA, CARBON FILTER, PHOTOCATALYSIS, UV LAMP, COLD CATALYST, ANION PARTICULATE CADR: 4</t>
  </si>
  <si>
    <t xml:space="preserve"> MUNICIPALITY OF BADOC BIDS AND AWARDS COMMITTEE INVITATION TO BID FOR THE Procurement of Medical Equipment and Supplies to be used in the Municipal Health Office. Bid Reference BAC 2020-G-08-001 Approved Budget for the Contract: P 500,000.00	 1.	The Munic</t>
  </si>
  <si>
    <t xml:space="preserve"> Republic of the Philippines PROVINCE OF SOUTHERN LEYTE Maasin City Invitation to Bid for the Procurement of Various Fertilizers  Contract ID # 2020-08-28-453PG 1.	The Provincial Government of Southern Leyte through the PAGSO – Agricultural and Marine Supp</t>
  </si>
  <si>
    <t xml:space="preserve"> Procurement of Services - Professional / Consulting Fee for the Conduct of IQA thru Webinar (Online)</t>
  </si>
  <si>
    <t xml:space="preserve"> SPECIFICATIONS: 1. PAPER SIZE: 8.5" X 10.75" 2. PAPER TYPE: NEWSPRINT 48GSM CLASS A 3. SOFTBOUND 4. .50 ¢ per page 5. TIME FRAME- 4DAYS NOTE: SEGREGATED/SORTED PROVIDE US THE FOLLOWING: 1. PHOTOCOPY OF MAYOR'S PERMIT 2. COPY OF PHILGEPS REGISTRATION 3. EX</t>
  </si>
  <si>
    <t xml:space="preserve"> Please see attached POW.</t>
  </si>
  <si>
    <t xml:space="preserve"> Project Reference Number				: 	RFQ No. 2020-11								 Location of the Project				: 	BUREAU OF FIRE PROTECTION - REGIONAL HEADQUARTERS								 					"Maharlika Building, Gumamela Extension, Carmen,  Cagayan de Oro City "								 													 Standard Form</t>
  </si>
  <si>
    <t xml:space="preserve"> Available upon request xxxxxxxxxxxxxxxxxxx</t>
  </si>
  <si>
    <t xml:space="preserve"> Supply and delivery of various medical supplies for use of MDRRMO</t>
  </si>
  <si>
    <t xml:space="preserve"> Republic of the Philippines Province of Batanes	 MUNICIPALITY OF BASCO               		INVITATION TO BID FOR THE PROCUREMENT OF MATERIALS FOR THE REPAIR AND MAINTENANCE OF MUNICIPAL BUILDING 1.	The Municipal Local Government Unit of Basco, through the Gen</t>
  </si>
  <si>
    <t xml:space="preserve"> INVITATION TO BID  Purchase &amp; Delivery of Medicines for Maasim MH  (Re-bid) August 7, 2020 1.	The Provincial Government of Sarangani, through the AB CY 2020 intends to apply the sum of Ninety-Four Thousand Eight Hundred Sixty-Nine Pesos Only (P 94,869.00)</t>
  </si>
  <si>
    <t xml:space="preserve"> Supply and Delivery of Medical Equipments for Veterinary Services (Biological Refrigerator – Dry Heat Sterilizer Stainless) - Order of payment for Bid Docs will be available at GSD-Head Office @ 10th Floor Makati City Hall Bldg. 2.  Look for Mr. Reden Vil</t>
  </si>
  <si>
    <t xml:space="preserve"> Concreting of Barangay Road &amp; Construction of Line Canal</t>
  </si>
  <si>
    <t xml:space="preserve"> 1 unit 8 panel CCTV Camera</t>
  </si>
  <si>
    <t xml:space="preserve"> INSTRUCTIONAL MATERIALS</t>
  </si>
  <si>
    <t xml:space="preserve"> 50 pcs. Smart Card (100)</t>
  </si>
  <si>
    <t xml:space="preserve"> Supply and Delivery of Brand New Motorcycles for Makati City Jail and Public Safety Department - Order of payment for Bid Docs will be available at GSD-Head Office @ 10th Floor Makati City Hall Bldg. 2.  Look for Mr. Reden Villanueva. - A  complete set of</t>
  </si>
  <si>
    <t xml:space="preserve"> CCTV System: (4) Sets CCTV System   LCD Monitor CCTV DVR with 2x Dome CCTV Camera 4in1 Bullet Hard Disk Drive 4TB CCTV Cable 20 DVR Video Recorder</t>
  </si>
  <si>
    <t xml:space="preserve"> PMP-NC-2020-0400 PR2020-0526 REQUEST FOR QUOTATION FOR THE PROCUREMENT OF RADIATOR TANK, CUTTING EDGE, PLOW BOLTS, AND FAN BLADE FOR USE AND REPLACEMENT OF PARTS OF EQUIPMENT ABOVE STATED TO SUPPORT THE ROAD DEVELOPMENT AND REHABILITATION PROJECTS OF THE </t>
  </si>
  <si>
    <t xml:space="preserve"> Cement Flour Sacks x-x-x-x-x-x-x-x-x-x-x-x</t>
  </si>
  <si>
    <t xml:space="preserve"> INVITATION TO BID The Department of Public Works and Highways (DPWH) of Cotabato City District Engineering Office (CCDEO), 008 Ramon Rabago Sr. Street, Cotabato City, through its Bids and Awards Committee (BAC), invites contractors to apply to bid for the</t>
  </si>
  <si>
    <t xml:space="preserve"> LENGTH = 250 LINEAL METERS WIDTH = 4.0 METERS THICKNESS = 0.15 METERS VOLUME = 120.00 CU.M.</t>
  </si>
  <si>
    <t xml:space="preserve"> 5400 bd.ft 1350-2x3x8 Good Lumber 2250 bd.ft 450- 2x3x10 Good Lumber 2700 bd.ft 450-2x3x12 Good Lumber 1200 bd.ft 450-2x2x8 Good Lumber 50 bd.ft. 25-1x2x12 Good Lumber 957 length 4" dia. x 6m Bamboo 32.25 kgs 1 1/2 CW Nails 104.5 kgs 1 1/2" CW Nails 900 p</t>
  </si>
  <si>
    <t xml:space="preserve"> 22078	pieces	Polyethylene bags, black, 3" x 3" x 7"	 ₱2.00  2	rolls	Plastic Mulch, black, 1m x 90m	 ₱2,000.00  18	bags	Fertilizer, 14-14-14, 50kg/bag	 ₱1,100.00  13	bags	46-0-0, 50kgs/bag	 ₱1,050.00  5	bags	Muriate of potash	 ₱1,800.00   7	sachet	Insectic</t>
  </si>
  <si>
    <t xml:space="preserve"> STOCK NO.	UNIT	ITEM DESCRIPTION				QTY	UNIT COST	TOTAL COST 1	unit	Colored Printer L120				45	 8,000.00 	 360,000.00  								 -    2	unit	Computer set				2	 35,000.00 	 70,000.00  		Specification:						 -    		AMD Ryzen 3 2200g						 -    		Quadcore w/ o</t>
  </si>
  <si>
    <t xml:space="preserve"> Republic of the Philippines Province of Oriental Mindoro MUNICIPALITY OF PINAMALAYAN OFFICE OF THE BIDS AND AWARDS COMMITTEE Invitation to Bid ITB-2020-38 1.  The Municipal Government of Pinamalayan, Oriental Mindoro, through the authorized appropriations</t>
  </si>
  <si>
    <t xml:space="preserve"> 1.	31	bags	a. Fry Booster (10kg) 2.	40	bags	b. Pre-Starter Feeds (20kg) 3.	35	bags	c. Floating Starter Feeds (25kg) 4.	40	bags	d. Floating Grower Feeds 5.	45	bags	e. Tilapia Broodstock Pellets (25kg) 6.	5	bags	f. 16-20 (50kg) 7.	5	bags	g. Urea (50kg) 8.	5</t>
  </si>
  <si>
    <t xml:space="preserve"> Broiler Starter	9	bags Hog Starter	14	bags Hog Grower	22	bags Hog Breeder	12	bags Lactation	11	bags Rice Bran	180	bags Corn Grits	13	bags Thyrolac	21	sachet Ecolmin	19	bottle Cecical	4	box Bexan xP 100 ml	2	bottle Malathion	6	bottle Pitoxal	8	bottle</t>
  </si>
  <si>
    <t xml:space="preserve"> Request for Quotation (RFQ)</t>
  </si>
  <si>
    <t xml:space="preserve"> Supply, Delivery and Installation of Furnitures and Fixtures for Councilor’s Offices at 19F – 20F, Makati City Hall Building I - Order of payment for Bid Docs will be available at GSD-Head Office @ 10th Floor Makati City Hall Bldg. 2.  Look for Mr. Reden </t>
  </si>
  <si>
    <t xml:space="preserve"> 24	Pcs	Bolt, Double Upset, 5/8” x 10” 47	Pcs	Insulator, Spool, 3”, ANSI, Class 53-4 57	Pcs	Nut, Look, Mf Type, 5/8” 57	Pcs	Washer, Square, Flat, 2-1/4” x 2-1/4” x 3/16”, 13/16 diameter 142	Ft	Wire, Tie, Aluminum Alloy, Soft, #4 AWG 33	Pcs	Bolt, Oval Eye, </t>
  </si>
  <si>
    <t xml:space="preserve"> INVITATION TO BID  Purchase &amp; Delivery of Various Drugs &amp; Medicines  for DCMMH (Re-bid) August 7, 2020 1.	The Provincial Government of Sarangani, through the Trust Fund Philhealth Collection intends to apply the sum of Seventy-Five Thousand Fifty Pesos On</t>
  </si>
  <si>
    <t xml:space="preserve"> Supply and Delivery of Thermal Scanners and Megger Testers - Order of payment for Bid Docs will be available at GSD-Head Office @ 10th Floor Makati City Hall Bldg. 2.  Look for Mr. Reden Villanueva. - A  complete set of Bidding Documents will be available</t>
  </si>
  <si>
    <t xml:space="preserve"> INVITATION TO BID CATERING SERVICES FOR VARIOUS PROGRAMS AND ACTIVITIES OF THE CITY 1.	The Local Government Unit of Cabadbaran City through the GENERAL FUND intends to apply the sum of ONE HUNDRED SIXTY-FOUR THOUSAND ONE HUNDRED FIFTY PESOS ONLY (P 164,15</t>
  </si>
  <si>
    <t xml:space="preserve"> Supply and Delivery of Airconditioning Units - Order of payment for Bid Docs will be available at GSD-Head Office @ 10th Floor Makati City Hall Bldg. 2.  Look for Mr. Reden Villanueva. - A  complete set of Bidding Documents will be available from day of p</t>
  </si>
  <si>
    <t xml:space="preserve"> COMFORT ROOM,DOORS,WINDOWS,TILE SETTING AND ROOFINGS.</t>
  </si>
  <si>
    <t xml:space="preserve"> MULTI-VITAMINS Formulation:  - Vitamin C - 500 mg  - Zinc - 25 mg  - Vitamin A  -Vitamin E</t>
  </si>
  <si>
    <t xml:space="preserve"> the DENR-PENRO Negros Occidental intends to avail the services of contractors for infrastructure projects for the Repair and maintenance of Mount Kanlaon Natural Park (MKNP) Strucures particularly the Replacement of DENR Homestay Building Roofing, Ceiling</t>
  </si>
  <si>
    <t xml:space="preserve"> 223, 000 COPIES A4 SIZE BLACK AND WHITE ONLY</t>
  </si>
  <si>
    <t xml:space="preserve"> INVITATION TO BID CONCRETING OF CAMBISAY ROAD, BARANGAY SORIANO 1.	The Local Government Unit of Cabadbaran City through the 20% DEVELOPMENT FUND OF 2019 SUPPLEMENTAL BUDGET NO. 2 intends to apply the sum of NINE HUNDRED NINETY-SIX THOUSAND TWO HUNDRED NIN</t>
  </si>
  <si>
    <t xml:space="preserve"> Republic of the Philippines BIDS AND AWARDS COMMITTEE Cadiz City      BID DOCUMENTS for the REPAIR &amp; IMPROVEMENT OF MINI MARKET @ BRGY. ZONE 6, CADIZ CITY (1) BIDS AND AWARDS COMMITTEE  Cadiz City   INVITATION TO BID/REQUEST FOR EXPRESSION OF INTEREST The</t>
  </si>
  <si>
    <t xml:space="preserve"> Tire 235/70 R15</t>
  </si>
  <si>
    <t xml:space="preserve"> Handrail: Length=30.00m</t>
  </si>
  <si>
    <t xml:space="preserve"> Supply and delivery of office supplies and equipment consumables</t>
  </si>
  <si>
    <t xml:space="preserve"> 3 pcs Scissor (heavy Duty) 5 pcs Stapler 6 boxes Staple Wire 2 pcs Tape Dispenser 10 pcs Tape 10 pcs Correction tape 3 pcs Trash Bin 11 ltr. 3 pcs Stamp Pad 1 box Marker (black) 4 boxes Sign Pen (blue) 0.4 2 boxes Pencil No. 2 6 pcs. Scotch Tape 50 pcs Ex</t>
  </si>
  <si>
    <t xml:space="preserve"> ELECTRICAL MATERIALS</t>
  </si>
  <si>
    <t xml:space="preserve"> WASH STAND &amp; SCHOOL PERIMETER FENCE- 67410</t>
  </si>
  <si>
    <t xml:space="preserve"> Project Reference Number: 20-014 Name of Project: Bidding of Supply and Delivery of Grocery Items for Stockpile Location of the Project: DWSD FO XII     INVITATION TO APPLY FOR ELIGIBILITY AND TO BID The Department of Social Welfare and Development (DSWD)</t>
  </si>
  <si>
    <t xml:space="preserve"> Republic of the Philippines Province of Quezon Municipality of Atimonan Barangay Kulawit Project Reference Number: 2020-08-013 Name of the Project:  ISANG LAPIS, ISANG PAPEL Location of the Project:  Barangay Kulawit REQUEST FOR QUOTATION-SHOPPING (Sec. 5</t>
  </si>
  <si>
    <t xml:space="preserve"> the DENR-PENRO Negros Occidental intends to avail the services of contractors for infrastructure projects for the Repair and maintenance of Mount Kanlaon Natural Park (MKNP) Strucures particularly the Development of DENR Wasay Ranger Station with the foll</t>
  </si>
  <si>
    <t xml:space="preserve"> Republic of the Philippines Region X Province of Lanao del Norte Gov. Arsenio A. Quibranza Provincial Government Center Invitation to Bid for the CONCRETING OF LIANGAN-CAMP I-MAHAYAHAY  PROVINCIAL ROAD Sta. 0+000.00 - Sta. 1+050.00 Project Location: Maigo</t>
  </si>
  <si>
    <t xml:space="preserve"> Road: Length=22.00m ; Width=2.50m ; Thickness=0.20m</t>
  </si>
  <si>
    <t xml:space="preserve"> 22 pcs. Talk n Text Card 100</t>
  </si>
  <si>
    <t xml:space="preserve"> 4 boxes Viral Transport Media with Oropharyngeal &amp; Nasopharyngeal Swabs</t>
  </si>
  <si>
    <t xml:space="preserve"> Item No.	ITEM DESCRIPTION	No.  of Items	Statement of Compliance (State “Compliant” or “Not Compliant”)	Total Bid Price 1 	PROCUREMENT OF KNAPSACK DISINFECTION SPRAYER IN RELATION TO DEVELOPMENT AND ENHANCEMENT OF CONTINGENCY PLAN FOR COVID-19 KNAPSACK DIS</t>
  </si>
  <si>
    <t xml:space="preserve"> Republic of the Philippines DEPARTMENT OF PUBLIC WORKS AND HIGHWAYS CAGAYAN THIRD DISTRICT ENGINEERING OFFICE REGION II Tuguegarao City The DPWH-CAGAYAN THIRD DISTRICT ENGINEERING OFFICE, through the CY 2020 – BEFF  intends to apply the sum of P30,150,000</t>
  </si>
  <si>
    <t xml:space="preserve"> Republic of the Philippines BANGSAMORO AUTONOMOUS REGION IN MUSLIM MINDANAO Province of Maguindanao Municipality of Pandag Invitation to Bid Procurement of Waste Segregation Box (ITB No. 41-Goods-2020) The Local Government Unit of Pandag, Maguindanao thro</t>
  </si>
  <si>
    <t xml:space="preserve"> Improvement of water Supply System</t>
  </si>
  <si>
    <t xml:space="preserve"> PURCHASE OF LABORATORY SUPPLIES</t>
  </si>
  <si>
    <t xml:space="preserve"> Republic of the Philippines  DEPARTMENT OF ENVIRONMENT AND   NATURAL RESOURCES  Regional Government Center, Balintawak, Pagadian City  Region IX, Zamboanga Peninsula   	 	 	                    REQUEST FOR QUOTATION      Date:  August 06, 2020  RFQ No.: 00</t>
  </si>
  <si>
    <t xml:space="preserve"> INVITATION TO BID SUPPLY AND DELIVERY OF IT EQUIPMENT AND ACCESSORIES FOR VARIOUS OFFICES 1.	The Local Government Unit of Cabadbaran City through the GENERAL FUND intends to apply the sum of TWO HUNDRED TWENTY-FOUR THOUSAND PESOS ONLY (P 224,000.00) being</t>
  </si>
  <si>
    <t xml:space="preserve"> Republic of the Philippines BANGSAMORO AUTONOMOUS REGION IN MUSLIM MINDANAO Province of Maguindanao Municipality of Pandag Invitation to Bid Procurement of Construction Materials for Establishment of Dumpsite (ITB No. 42-Goods-2020) The Local Government U</t>
  </si>
  <si>
    <t xml:space="preserve"> the DENR-PENRO Negros Occidental intends to avail the services of contractors for infrastructure projects for the Repair and maintenance of Mount Kanlaon Natural Park (MKNP) Strucures particularly the Repair of DENR Ranger Station Roofing , Ceiling, Doors</t>
  </si>
  <si>
    <t xml:space="preserve"> the DENR-PENRO Negros Occidental intends to avail the services of contractors for infrastructure projects for the Repair and maintenance of Mount Kanlaon Natural Park (MKNP) Strucures particularly the Repair and Development of DENR Information Center with</t>
  </si>
  <si>
    <t xml:space="preserve"> Please quote your best price  20 units of UHF Base Transciever ( Digital),  Rental ABC: 80,000.00 Specifications:	 Dimensions: (HxWxD) with standard baterry - 125x55x37mm	 without antenna	 Weight with antenna and standard battery - 335g	 LCD Display: 160x</t>
  </si>
  <si>
    <t xml:space="preserve"> Republic of the Philippines DEPARTMENT OF PUBLIC WORKS AND HIGHWAYS CAGAYAN THIRD DISTRICT ENGINEERING OFFICE REGION II Tuguegarao City The DPWH-CAGAYAN THIRD DISTRICT ENGINEERING OFFICE, through the CY 2020 – BEFF  intends to apply the sum of P15,150,000</t>
  </si>
  <si>
    <t xml:space="preserve"> Republic of the Philippines BANGSAMORO AUTONOMOUS REGION IN MUSLIM MINDANAO Province of Maguindanao Municipality of Pandag Invitation to Bid Provision of Material Recovery Facility (ITB No. 40-Goods-2020) The Local Government Unit of Pandag, Maguindanao t</t>
  </si>
  <si>
    <t xml:space="preserve"> Republic of the Philippines				 			Department of Agriculture				 			Bureau of Plant Industry				 Los Banos National Crop Research, Development and Production Support Center							 							 							 							 							 							 REQUEST FOR QUOTATION							 SMALL </t>
  </si>
  <si>
    <t xml:space="preserve"> LENGTH = 250 LINEAL METERS WIDTH = 5.00 METERS THICKNESS = 0.15 METERS VOLUME = 187.50 CU.M.</t>
  </si>
  <si>
    <t xml:space="preserve"> 1 set Cubicle Partition(Miscellaneous glasswork)         Glass partition with 1-3/4 "x4         Rectangular tube frames and 1/4"         Clear glass(H-1.30m.; L=11.57m.)         glass partition fixed/sliding door,         analok alum,frames, blue glass   </t>
  </si>
  <si>
    <t xml:space="preserve"> 1 - 2 set 2 Seater office cubicle/partition 2 - 4 set 1 Seater office cubicle/partition with office chair</t>
  </si>
  <si>
    <t xml:space="preserve"> Republic of the Philippines Region X Province of Lanao del Norte Gov. Arsenio A. Quibranza Provincial Government Center Invitation to Bid for the CONCRETING OF RUPAGAN-PAGAYAWAN PROVINCIAL ROAD Sta. 1+778.63 -Sta. 3+770.00 Project Location: Bacolod , Lana</t>
  </si>
  <si>
    <t xml:space="preserve"> The Philippine National Police (PNP) Health Service (HS) invites all PhilGEPS-accredited suppliers to apply for eligibility and to bid for the Procurement of Medical, Dental &amp; Laboratory Supplies. Approved Budget for Contract: Php900,000.00 Bid Documents </t>
  </si>
  <si>
    <t xml:space="preserve"> 2 pcs Hand Grip 1 pc Front Fender 1 pc Seat Assembly 1 pc oil 4T 1 pc Nuckle 1 pc Head light Assembly 1 pc Trotle cable 1 pc Chain 1 pc Spracket 42T 1 pc Engene Spracket 14T 1 pc Piston 1 pc Piston Ring 1 pc Top set gasket 2 pcs Oil Seal 2 pcs Valve Seal </t>
  </si>
  <si>
    <t xml:space="preserve"> LENGTH = 200 LINEAL METERS WIDTH = 4.00 METERS THICKNESS = 0.15 METERS VOLUME = 120.00 CU.M.</t>
  </si>
  <si>
    <t xml:space="preserve"> 1 unit Printer can print long and short bond paper, continuous ink with extension wire 4 gangs with 5 meters wire.</t>
  </si>
  <si>
    <t xml:space="preserve"> Supply and installation of partition sliding door  1 lot- Length 270, Width 8.34  1 lot- Length 270, Width 394  1 lot- Length 270, Width 197  Using powder coat white framing, 1/4 thk frosted white glass, SOBC completed with mohair and accessories Approved</t>
  </si>
  <si>
    <t xml:space="preserve"> PR NO.  0955 - 20                     CITY GOVERNMENT OF TACURONG Alunan Highway, Tacurong City Sultan Kudarat BIDS AND AWARDS COMMITTEE                       Tel nos. (064) 532-0128/ Telefax no. (064) 477-0138      www.tacurong.gov.ph                    </t>
  </si>
  <si>
    <t xml:space="preserve"> Republic of the Philippines BIDS AND AWARDS COMMITTEE Cadiz City      BID DOCUMENTS for the FABRICATION OF ROAD SAFETY SIGNAGES @ CITY PROPER, CADIZ CITY (1) BIDS AND AWARDS COMMITTEE  Cadiz City   INVITATION TO BID/REQUEST FOR EXPRESSION OF INTEREST The </t>
  </si>
  <si>
    <t xml:space="preserve"> 2 pcs. Thermal Scanner 80 pcs. Washable Face Mask 40 bots. Rubbing Alcohol 100ml 500 pcs. Surgical Mask (learners) 100 pcs. Antibacteria Soap 1    pc. Spray Tank 50   pcs. Foot Bath 20   bots. Zonrox 7 units Printer(By grade Level)</t>
  </si>
  <si>
    <t xml:space="preserve"> PR NO.  0842 – 20                       CITY GOVERNMENT OF TACURONG Alunan Highway, Tacurong City Sultan Kudarat BIDS AND AWARDS COMMITTEE                       Tel nos. (064) 532-0128/ Telefax no. (064) 477-0138      www.tacurong.gov.ph                  </t>
  </si>
  <si>
    <t xml:space="preserve"> supply and delivery of various supplies</t>
  </si>
  <si>
    <t xml:space="preserve"> The Philippine National Police (PNP) Health Service (HS) invites all PhilGEPS-accredited suppliers to apply for eligibility and to bid for the Procurement of Medical, Dental &amp; Laboratory Supplies. Approved Budget for Contract: Php819,770.02 Bid Documents </t>
  </si>
  <si>
    <t xml:space="preserve"> Small Value Procurement</t>
  </si>
  <si>
    <t xml:space="preserve"> Local Government Unit of Palo Barangay Guindapunan Invitation to Bid for REPAIR/REHABILATION OF BARANGAY HALL 2020-08-01 1.	The Local Government Unit of Palo, Barangay Guindapunan through the 20% Development Fund of Sangguniang Barangay For Calendar Year </t>
  </si>
  <si>
    <t xml:space="preserve"> REQUEST FOR EXPRESSION OF INTEREST (REI) FOR THE 20CSJ004 - PARCELLARY/SEGREGATION SURVEY OF THE LOTS AFFECTED BY THE ROAD RIGHT-OF-WAY (RROW) OF THE ROAD WIDENING ALONG ISABELA-LAMITAN ROAD (K4+000 - K8+000) 1.	The Department of Public Works and Highways</t>
  </si>
  <si>
    <t xml:space="preserve"> the DENR-PENRO Negros Occidental intends to avail the services of contractors for infrastructure projects for the Repair and maintenance of Mount Kanlaon Natural Park (MKNP) Strucures particularly the Development of DENR Information Center phase 2 with th</t>
  </si>
  <si>
    <t xml:space="preserve"> REQUEST FOR EXPRESSION OF INTEREST FOR THE CONSULTING SERVICES FOR THE PREPARATION OF PROTECTED AREA SUITABILITY ASSESSMENT (PASA) REPORT OF MALAGOS PROTECTED LANDSCAPE  1.	The Department of Environment &amp; Natural Resources (DENR)-PENRO Digos City, Davao d</t>
  </si>
  <si>
    <t xml:space="preserve"> LENGTH = 150 LINEAL METERS WIDTH = 4.00 METERS THICKNESS = 0.15 METERS VOLUME = 90.0 CU.M.</t>
  </si>
  <si>
    <t xml:space="preserve"> Please see attached approved RFQ in the Associated Components</t>
  </si>
  <si>
    <t xml:space="preserve"> Republic of the Philippines Region X Province of Lanao del Norte Gov. Arsenio A. Quibranza Provincial Government Center Invitation to Bid for the CONCRETING OF MAIGO-MENTRING-INOMA PROVINCIAL ROAD Sta. 5+237.00 -Sta. 6+007.40; Sta. 6+914.24 – Sta. 10+470.</t>
  </si>
  <si>
    <t xml:space="preserve"> Completion of Construction of the whole MPP Building including furniture and fixture and Construction of Car ramp.</t>
  </si>
  <si>
    <t xml:space="preserve"> 2 sets Computer Desktop Pc: Processor:AMD RYZEN 3 2200G Motherboard: GA-A320M-S2H Memory: Corsair LPX 8 Gb 3000Mhz Hard Drive: WD 1TB Blue Case:Ordinary Case with PSU Monitor:Gamdias 24" 1080P Rakk AptasV2 Keyboard and Mouse Rakk Daguob Headphone Ideal AV</t>
  </si>
  <si>
    <t xml:space="preserve"> 29 btle Alcohol Ethyl 70% scented 500ml 1 pc Non Contact infared forehead thermometer household body temparature fast measuring 5 pack Tissue paper 2 plys Sheets 150puls/pck 12 pc Sign Pen my Gil (black) 12 ream Bondpaper A4 s-80 gsm 12 ream Bondpaper lon</t>
  </si>
  <si>
    <t xml:space="preserve"> Concreting of Pathway at Brgy. Sawang, Aroroy, Masbate</t>
  </si>
  <si>
    <t xml:space="preserve"> Republic of the Philippines  Province of Batangas  Municipality of Laurel BARANGAY STA. MARIA BIDS AND AWARDS COMMITTEE INVITATION TO BID I.     The Barangay Government of Barangay Sta. Maria, Laurel, Batangas through its Bids and Awards Committee (BAC), </t>
  </si>
  <si>
    <t xml:space="preserve"> Republic of the Philippines Province of Nueva Vizcaya BIDS AND AWARDS COMMITTEE (BAC-Goods) BAC OFFICE, Provincial Capitol, Bayombong, Nueva Vizcaya 	 REQUEST FOR QUOTATION (RFQ) For the Procurement of Office Supplies ( 3rd Quarter) For the Provincial Leg</t>
  </si>
  <si>
    <t xml:space="preserve"> 12 bottleComputer Ink, 001, black 5 bottle Computer Ink, 001, blue 5 bottle Computer Ink, 001, cyan 5 bottle Computer Ink, 001, magenta 4 bottle Computer Ink, 70ml for L200,L210/L220/L310 black 1 bottle Computer Ink for L360, black 1 bottle Computer Ink f</t>
  </si>
  <si>
    <t xml:space="preserve"> Republic of the Philippines PROVINCE OF SOUTHERN LEYTE Maasin City Invitation to Bid for the Procurement of Various Information Technology Equipment &amp; Construction Materials  Contract ID # 2020-08-28-455PG 1.	The Provincial Government of Southern Leyte th</t>
  </si>
  <si>
    <t xml:space="preserve"> Republic of the Philippines Province of Guimaras OFFICE OF THE BIDS AND AWARDS COMMITTEE INVITATION TO BID FOR    SUPPLY AND DELIVERY OF LAPTOP Bid Ref. No. 2020-07-434 Re-bid 1.	The Province of Guimaras , through the Office Equipment Capital Outlay inten</t>
  </si>
  <si>
    <t xml:space="preserve"> Republic of the Philippines  City of Canlaon Office of the Bids and Awards Committee  INVITATION TO BID FOR the Procurement of one unit Mini-Ambulance The Local Government of Canlaon City, through Capital Outlay. intends to apply the sum Three Hundred Fif</t>
  </si>
  <si>
    <t xml:space="preserve"> Republic of the Philippines Province of Aurora Municipality of Dipaculao INVITATION TO BID A. THE LOCAL GOVERNMENT UNIT (LGU) OF DIPACULAO, AURORA, through its Bids and Awards Committee (BAC) invites contractors to apply to bid for the following contracts</t>
  </si>
  <si>
    <t xml:space="preserve"> LENGTH = 100 LINEAL METERS WIDTH = 4.0 METERS THICKNESS = 0.15 METERS VOLUME = 60.0 CU.M.</t>
  </si>
  <si>
    <t xml:space="preserve"> LENGTH = 100 LINEAL METERS WIDTH = 3.0 METERS THICKNESS = 0.15 METERS VOLUME = 45 CU.M.</t>
  </si>
  <si>
    <t xml:space="preserve"> Republic of the Philippines MUNICIPALITY OF KAPALONG Province of Davao del Norte 	o0o	 INVITATION TO BID 	 Supply &amp; Delivery of Other Supplies and Materials in Response to COVID -19 Pandemic  ( Preparedness)   1.	The Local Government Unit of Kapalong, thr</t>
  </si>
  <si>
    <t xml:space="preserve"> 5 pcs	Hot water Bag		 5 box	Citirizine 10 mg		 5 box	Vitex Negundo 500 mg		 5 box	Phenylpronalamine HCL 500 mg		 3 box	Mefenamic Acid 500 mg		 3 box	Mefenamic Acid 250 mg		 15 tube	Mupirocin ointment		 5 box	Bacillus Clausi		 5 box	Hyosine N-Butylbromide </t>
  </si>
  <si>
    <t xml:space="preserve"> Local Government Unit of Palo Barangay Guindapunan Invitation to Bid for REPAIR/REHABILATION OF DAY CARE CENTER 2020-08-02 1.	The Local Government Unit of Palo, Barangay Guindapunan through the 20% Development Fund of Sangguniang Barangay For Calendar Yea</t>
  </si>
  <si>
    <t xml:space="preserve"> Republic of the Philippines Province of Nueva Vizcaya BIDS AND AWARDS COMMITTEE (BAC-Goods) BAC OFFICE, Provincial Capitol, Bayombong, Nueva Vizcaya 	 3rd REQUEST FOR QUOTATION (RFQ) For the Procurement of Construction Materials (III) (Improvement of LMET</t>
  </si>
  <si>
    <t xml:space="preserve"> Republic of the Philippines MUNICIPALITY OF KAPALONG Province of Davao del Norte 	o0o	 INVITATION TO BID 	 Supply &amp; Delivery of Various Medicine 1.	The Local Government Unit of Kapalong, through the SB# 2-2020  intends to apply the sum of  Eight  Hundred </t>
  </si>
  <si>
    <t xml:space="preserve"> REQUEST FOR QUOTATION The City Government of Cauayan, Isabela, through its Bids and Awards Committee, will undertake a Small Value Procurement for the “Supply and Delivery of Agricultural Equipment for City Agriculture Office”, in accordance with Section </t>
  </si>
  <si>
    <t xml:space="preserve"> Please quote your best price 2 pcs of Paper Shredder ABC: 29,998.00 Specifications: - Cutting width 3mm to 4mm mid - Practical handle for lifting off the unit from the bin - Shred Type: Strip cut - Shred width: 4mm - Sheet Capacity: 9-11 (80g/m2) - Power </t>
  </si>
  <si>
    <t xml:space="preserve"> MATERIALS 25 BAGS PORTLAND CEMENT 10 KLS G.I WIRE#16 4cu.m SAND WASH 7 cu.m GRAVEL WASHED 8 PC G.I PIPED 2"x6M 4kls WELDING ROD 60pc RSB 10mm 30pc RSB 12mm 300 Bd. ft COCO-LUMBER 50-2x3x12 8 pcs Ord. plywood 2 kl Common Nail 2" 2 kl Common Nail 3" 2 kls C</t>
  </si>
  <si>
    <t xml:space="preserve"> 1000 pcs Brass Ball Valve 1/2" 2       pcs Brass Ball Valve 2" 500   pcs Brass Check Valve 1/2" 5       pcs Brass Check Valve 2"</t>
  </si>
  <si>
    <t xml:space="preserve"> Please see attached Purchase Request for your reference.</t>
  </si>
  <si>
    <t xml:space="preserve"> REQUEST FOR EXPRESSION OF INTEREST (REI) FOR THE 20CSJ005 - PARCELLARY/SEGREGATION SURVEY OF THE LOTS AFFECTED BY THE ROAD RIGHT-OF-WAY (RROW) OF IPIL DIVERSION ROAD PHASE 5-6 AT BRGY. BANGKEROHAN - SANITO - PANGI SECTIONS, IPIL, ZAMBOANGA SIBUGAY (STA. 1</t>
  </si>
  <si>
    <t xml:space="preserve"> unit		Laptop (MSI GF63-9SC-1000Ph i7)			1	 unit		Plantronics Audio 628						1	 unit		Epson L3110 Printer						1	 sets		Original Ink for Printer					3</t>
  </si>
  <si>
    <t xml:space="preserve"> 2800	LITER	DIESEL</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</si>
  <si>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</si>
  <si>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Supply and Delivery of Medical Supplies (Helix Test 5.3-MIS Detergent) through Ordering Agreement - Order of payment for Bid Docs will be available at GSD-Head Office @ 10th Floor Makati City Hall Bldg. 2.  Look for Mr. Reden Villanueva. - A  complete set</t>
  </si>
  <si>
    <t xml:space="preserve"> 40 crtns sardines &amp; 6 LI</t>
  </si>
  <si>
    <t xml:space="preserve"> Complete construction of (9.50mx36.00m) One (1) Storey Four (4) Classroom School Building mostly built with concrete and masonry,With PWD ramp with handrails, parapet wall on concrete gutter and  Complete with electrical works, sanitary plumbing works and</t>
  </si>
  <si>
    <t xml:space="preserve"> 1	lot	"DNA Sequencing 600 samples  Sanger Sequencing Service, Single Pass DNA,  Sequencing with sample purification-PCR clean up"</t>
  </si>
  <si>
    <t xml:space="preserve"> Supply and Delivery of Various Office Equipment and Supplies for Various Departments/Offices of City Government of Makati - Order of payment for Bid Docs will be available at GSD-Head Office @ 10th Floor Makati City Hall Bldg. 2.  Look for Mr. Reden Villa</t>
  </si>
  <si>
    <t xml:space="preserve"> 2 pcs. Thermal Scanner 18 pcs. Face Shiled 36 pcs. Face mask (KN95) 36 bot. Alcohol Ethyl 500ml 38 bot. Liquid Soap(750ml) 17 bot. Disinfectant Spray 34 bots. Bleach 1l 3   unit Printer Inkjet Epson L3110 1   unit Printer Inkjet Epson L120 4   set Ink Pri</t>
  </si>
  <si>
    <t xml:space="preserve"> Multi-Purpose Hall,Farm to Market Road, Flood Control, Sprinkler System</t>
  </si>
  <si>
    <t xml:space="preserve"> 25 made to Order Dust Pan 20 packs Seedling Bags (3x3x6) 3 gals QDE White 3 gals QDE Blue 3 gals QDE Yellow</t>
  </si>
  <si>
    <t xml:space="preserve"> Supply and Delivery of Medical Supplies (Implantable Access Port System – Power Injectable Safety Non-Coring Needle) through Ordering Agreement - Order of payment for Bid Docs will be available at GSD-Head Office @ 10th Floor Makati City Hall Bldg. 2.  Lo</t>
  </si>
  <si>
    <t xml:space="preserve"> Republic of the Philippines Province of Nueva Vizcaya BIDS AND AWARDS COMMITTEE (BAC-Goods) BAC OFFICE, Provincial Capitol, Bayombong, Nueva Vizcaya 	 3rd REQUEST FOR QUOTATION (RFQ) For the Procurement of Janitorial Supplies (1st Quarter) For the Sanggui</t>
  </si>
  <si>
    <t xml:space="preserve"> Invitation to Apply for Eligibility and to Bid The barangay Villakapal, San Pablo, Zamboanga del Sur, through its Bids &amp; Awards Committee (BAC) invites suppliers to apply and to bid for the hereunder project: Name of Project: Ligtas COVID-19 Isolation Bui</t>
  </si>
  <si>
    <t xml:space="preserve"> 500  pcs G.I. Bell reducer 1/2 x 3/4" 200  pcs G.I. Elbow reducer 1 x 3/4" 500  pcs G.I. Nipple 1/2 x 1" 500  pcs G.I. Nipple 1/2 x 2" 500  pcs G.I. Nipple 1 x 5" 200  pcs G.I. Nipple 1 x 8" 500  pcs G.I. Tee reducer 1 x 3/4" 100  pcs Saddle Clamp 2 x 3/4</t>
  </si>
  <si>
    <t xml:space="preserve"> Item No.	Description	Unit	Quantity 1	DESKTOP COMPUTER	Unit	1 	SPECIFICATION:		 	Processor: AMD Ryzen 5 3400G		 	Motherboard: B450 mATX motherboard DDR4 support, M.2, HDMI, DVI, USB 3.1		 	Memory: 16GB DDR4 3200MHz (8 x 2 DIMM)		 	Storage: 512 GB SSD SATA </t>
  </si>
  <si>
    <t xml:space="preserve"> Republic of the Philippines Office of the Municipal Mayor BIDS AND AWARDS COMMITTEE Pasuquin, Ilocos Norte INVITATION TO BID FOR Concrete Pavement and Rehabilitation of Drainage Canal 1.	The LGU-PASUQUIN, through the AO2020-015, GENERAL FUND  intends to a</t>
  </si>
  <si>
    <t xml:space="preserve"> Procurement of Materials for the Construction of Drainage System along Ocampo St. both sides and General Emilio Aguinaldo-Rajah Sulaiman Lamitan City				 ABC: 8,500,000.00				 				 873	bags	Portland Cement 		 74	cu.m.	Riversand		 283	cu.m.	Crushed Aggrega</t>
  </si>
  <si>
    <t xml:space="preserve"> Prospective bidders should have experience in undertaking a similar project within the last two (2) years within an amount of at least 50% of the proposed project for bidding. The Eligibility Check/Screening as well as the Preliminary Examination of Bids </t>
  </si>
  <si>
    <t xml:space="preserve"> Supply &amp; delivery of one (1) unit pick-up type vehicle Specs: Engine size - 2.4L Displacement - 2.393cc Number of cylinders - 4 Number of valves - 16 Transmission Category - 6 speed automatic transmission Power Train -rear-wheel drive Max Output (HP) - 17</t>
  </si>
  <si>
    <t xml:space="preserve"> UNIT     ITEM DESCRIPTION     QTY pcs       Face Shield (aidelai)     200 pcs       N95 Respirator (3m 8210)     200 box      Clean disposable gloves 100's/box (small-medium size)     300 box      Surgical disposable mask 50's/box      200 pcs       PPE s</t>
  </si>
  <si>
    <t xml:space="preserve"> Chicken Meat Production for Food Sufficiency amidst the threat of Covid-19 Pandemic 5,000 head- One-day old chick mixed breed (immunized) 7 bag- Chick Booster 42 bag- Broiler Starter 5 bag- La Sota 650 Sachet- Antibiotic(24grms) 600 Sachet-Electrolytes (2</t>
  </si>
  <si>
    <t xml:space="preserve"> Construction of 2.40mx 2.10m genderized comfort room w/ one (1) unit septic vault.</t>
  </si>
  <si>
    <t xml:space="preserve"> Republic of the Philippines MUNICIPALITY OF KAPALONG Province of Davao del Norte 	o0o	 INVITATION TO BID 	 Supply &amp; Delivery of Welfare Goods 1.	The Local Government Unit of Kapalong, through the SB# 2-2020  intends to apply the sum of  Seven  Hundred Fif</t>
  </si>
  <si>
    <t xml:space="preserve"> INVITATION TO BID NO. GOODS-035-2020 The Provincial Government of Bataan, through the General Fund035 intends to apply the below listed procurement w/ corresponding Approved Budget of the Contract (ABC). Bids received in excess of the ABC shall be automat</t>
  </si>
  <si>
    <t xml:space="preserve"> Republic of the Philippines PROVINCE OF QUIRINO Cabarroguis -oOo- BIDS AND AWARDS COMMITTEE INVITATION TO BID FOR  Water Source Drilling at QPMC Contract No. PB-CW-2020-030 							August 7, 2020 1.	The Bids and Awards Committee (BAC) of the Provincial Gov</t>
  </si>
  <si>
    <t xml:space="preserve"> Republic of the Philippines DEPARTMENT OF HEALTH WESTERN VISAYAS Center for Health Development INVITATION TO BID FOR THE  Procurement of Water Testing Reagent and Disinfectant,  IB No. SB-2020-029 1.	The Department of Health – WV CHD, through the SA-2020-</t>
  </si>
  <si>
    <t xml:space="preserve"> August 6, 2020 REQUEST FOR QUOTATION (RFQ) VARIOUS OFFICE SUPPLIES 1.	The Batangas Medical Center hereinafter referred to as the “Purchaser” now request for submission of price proposal for the procurement of the aforesaid item described in the Technical </t>
  </si>
  <si>
    <t xml:space="preserve"> THE NATIONAL IRRIGATION ADMINISTRATION-SCIMO, THROUGH THE FUND 501 HAS THE APPROVED BUDGET FOR THE CONTRACT (ABC) AMOUNTING ONE HUNDRED THIRTY-THREE THOUSAND SEVEN HUNDRED PESOS ONLY (133,700.00).  QUOTATION RECEIVED IN EXCESS OF THE ABC SHALL BE AUTOMATI</t>
  </si>
  <si>
    <t xml:space="preserve"> INVITATION TO APPLY FOR ELIGIBILITY AND TO BID THE BIDS AND AWARD COMMITTEE OF THE MUNICIPALITY OF CAIBIRAN, BILIRAN IS INVITING ALL INTERESTED BIDDERS ON ITS FORTHCOMING PUBLIC BIDDING FOR: Project Title	                : Establishment of Nursery &amp; Veget</t>
  </si>
  <si>
    <t xml:space="preserve"> Please see attached Purchase Request for your reference</t>
  </si>
  <si>
    <t xml:space="preserve"> INVITATION TO BID FOR   PROJECT NO. 2020-07-042: PROCUREMENT OF MATERIALS FOR REPRODUCTION OF MODULES  The Department of Education (DepED) – Agusan del Sur Division intends to apply the sum of  Seven Million Seven Hundred Fifty Two Thousand Four Hundred F</t>
  </si>
  <si>
    <t xml:space="preserve"> Republic of the Philippines PROVINCE OF QUIRINO Cabarroguis -oOo- BIDS AND AWARDS COMMITTEE INVITATION TO BID FOR  Improvement of Hostel A at QWC Contract No. PB-CW-2020-031 							August 7, 2020 1.	The Bids and Awards Committee (BAC) of the Provincial Go</t>
  </si>
  <si>
    <t xml:space="preserve"> REQUEST FOR QUOTATION The City Government of Cauayan, Isabela, through its Bids and Awards Committee, will undertake a Small Value Procurement for the “Supply and Delivery of One (1) unit Multi Cultivator Power Tiller for City Agriculture Office”, in acco</t>
  </si>
  <si>
    <t xml:space="preserve"> Rice and Corn Production Support Program  *Purchase of Agricultural and Marine Supplies - P 200,000.00</t>
  </si>
  <si>
    <t xml:space="preserve"> Republic of the Philippines Province of Nueva Vizcaya BIDS AND AWARDS COMMITTEE (BAC-Goods) BAC OFFICE, Provincial Capitol, Bayombong, Nueva Vizcaya 	 2nd REQUEST FOR QUOTATION (RFQ) For the Procurement of Vehicle Parts (II) for BM Elma Pinao-An Lejao For</t>
  </si>
  <si>
    <t xml:space="preserve"> 1	lot	"Primers Synthesis Scale: 100 nanomole, Desalted; lyophilized Quantity: 219 PR Number 2020-03-0979 *Please see attached sequences" 1	lot	"Primers Synthesis Scale: 100 nmole Quantity: 94 PR Number 2020-07-1767 *Please see attached sequences"</t>
  </si>
  <si>
    <t xml:space="preserve"> Supply and Delivery of 1 Lot vehicle parts and accessories 4 Pcs. Tubeless tires 31 x 10 x 10.5 R15, etc.</t>
  </si>
  <si>
    <t xml:space="preserve"> Republic of the Philippines Region XII                 Province of Cotabato                  City of Kidapawan OFFICE OF THE BIDS AND AWARD COMMITTEE REQUEST FOR QUOTATION (Small Value Procurement) 									 Date: August 7, 2020											 SVP No: SVP2020</t>
  </si>
  <si>
    <t xml:space="preserve"> 1500 "Piece(s)" "Bag Backpack -" "Bag, Backpack printed with Maasin City Logo  (color : combination of Fushia pink and black; height -16 inches; thickness - 8 inches; logo should be printed in colored; pls see attached design for reference)" 2700 "Piece(s</t>
  </si>
  <si>
    <t xml:space="preserve"> Application form  (8.5x11")	12	pads  -100 sheets/ pad		 Water Service Contract (triplicate/carbonized/8.5x13")	120	pads  - Triplicate ( White, Yellow, Pink)		  - Carbonized/8.5x13"		  - 50 sets/ pad		  - Start of Serial # 3651</t>
  </si>
  <si>
    <t xml:space="preserve"> The Provincial Government of Samar invites all interested registered suppliers to submit in person or authorized representative quotation for- 				 				Equipment 1.	2	units		Laptop Core i3, 4gb RAM-128gb SSD 14-15” LED Display 2.	1	unit		Printer (All in O</t>
  </si>
  <si>
    <t xml:space="preserve"> FURNISHING OF LABOR, MATERIALS AND EQUIPMENT RENTALS FOR THE CORE LOCAL ACCESS ROAD (SUPA-CANSILAYAN CIRCUMFERENCIAL ROAD) AT BRGY. SUPA-CANSILAYAN, TIGBAUAN, ILOILO.</t>
  </si>
  <si>
    <t xml:space="preserve"> 1	TONER/ INK DCP T710W, BROTHER, ORIGINAL, ASSORTED COLORS	6	SET		 2,000.00  2	TONER HP 55A BLACK/ HP M552, ASSORTED COLORS (ORIGINAL, NOT REFILL)	1	SET		 45,000.00  3	WIRELESS ADAPTER USB, TP LINK, DUAL BAND	4	UNIT		 750.00</t>
  </si>
  <si>
    <t xml:space="preserve"> INVITATION TO BID The Iligan City Government Bids and Awards Committee (BAC), invites contractors registered by the Philippine Contractors Accreditation Board (PCAB) to bid for the hereunder contract: Name of Project 	  : Construction of Leachate Treatmen</t>
  </si>
  <si>
    <t xml:space="preserve"> SUPPLY OF LABOR AND MATERIALS FOR PCB TESTING OF TRANSFORMER OIL OF TRANSFORMER 1&amp;2.</t>
  </si>
  <si>
    <t xml:space="preserve"> Republic of the Philippines MUNICIPALITY OF KAPALONG Province of Davao del Norte 	o0o	 INVITATION TO BID 	 Supply &amp; Delivery of Other Supplies  (Food Subsistence) 1.	The Local Government Unit of Kapalong, through the General Fund   intends to apply the su</t>
  </si>
  <si>
    <t xml:space="preserve"> CAD-2020-07-0324 (re-canvass) Supply, Delivery and Installation of Furniture and Fixtures. 1 Lot Customized Modular Cabinets -Office Table/Cabinet * Gray Laminated Table *Frosted Glass Cabinet with Lock -150 x 74 x 50 cm -Kitchen Cabinet * Wall Mounted, L</t>
  </si>
  <si>
    <t xml:space="preserve"> 30 pax every meals - 3x breakfast, 3x lunch, 3x dinner</t>
  </si>
  <si>
    <t xml:space="preserve"> The Provincial Government of Samar invites all interested registered suppliers to submit in person or authorized representative quotation for- 				 1.	2	pc	Aircondition Specs: 	2.0 HP 	Window Type 2.	1	pc	Refregerator Specs: 	Two (2) Doors 	Inverter Type </t>
  </si>
  <si>
    <t xml:space="preserve"> INVITATION TO BID HAULING OF RESIDUAL WASTE ITB 2020-08-042 (GOODS) 1. 	The Municipality of Tuba, through the Budget for the contract approved by the Sangguniang Bayan for CY 2020 intends to apply the sum of One Million Five Hundred Thousand Pesos (Php 1,</t>
  </si>
  <si>
    <t xml:space="preserve"> Procurement of Construction Supplies and Materials</t>
  </si>
  <si>
    <t xml:space="preserve"> FACE MASK, SURGICAL, 3-PLY, EAR LOOP, 50's &amp; 1 OTHER ITEM</t>
  </si>
  <si>
    <t xml:space="preserve"> 100 LINEAL METERS WIDTH = 4.0 METERS THICKNESS = 0.15 METERS VOLUME = 60 CU.M.</t>
  </si>
  <si>
    <t xml:space="preserve"> Republic of the Philippines PROVINCE OF ZAMBOANGA DEL NORTE BIDS AND AWARDS COMMITTEE (BAC) BAC Conference Room, Provincial Capitol Building, Dipolog City Telefax # (065) 212-6492                                                                            </t>
  </si>
  <si>
    <t xml:space="preserve"> 1	FUSER ASSEMBLY FOR HP LASERJET 605 SERIES	1	SET	  35,600.00  2	RIBBON CARTRIDGE EPSON LX310 (C13S015632), BLACK	6	PC		 250.00  3	TONER CARTRIDGE CF281A HP LASERJET M605	2	PC		 12,500.00  4	TONER CARTRIDGE FOR HP 600 #90A	3	PC		 12,500.00</t>
  </si>
  <si>
    <t xml:space="preserve"> 4 "Lot(s)" "Venue Rental -" "(Without Aircon) Catering Services 100 "Pax(s)" "Catering Services - Catering Services" "FIRST DAY AM SNACKS  Menu : - Egg Sandwich - Pineapple Juice LUNCH Menu : - Pork Steak - Fish Fillet - Canton Guisado - Rice - Soft drink</t>
  </si>
  <si>
    <t xml:space="preserve"> Lease of Air--conditioning units, 2 units  - 3 tonner  - floor mounted  -installation (labor and materials) Period: September - December 2020 Area of delivery: DOLE Filed Office, Boac, Marinduque</t>
  </si>
  <si>
    <t xml:space="preserve"> To provide meals and snacks during the conduct of Orientation cum Workshop on the Conduct of Climate Risk Vulnerability Assessment (CRVA) Data Collection in Quirino Province</t>
  </si>
  <si>
    <t xml:space="preserve"> Agricultural machinery</t>
  </si>
  <si>
    <t xml:space="preserve"> 441 BOX BOND PAPER A4 SIZE</t>
  </si>
  <si>
    <t xml:space="preserve"> Republic of the Philippines DEPARTMENT OF HEALTH WESTERN VISAYAS Center for Health Development INVITATION TO BID FOR THE  Procurement of Laboratory Supplies for TB Infection Control, IB No. SB-2020-032 1.	The Department of Health – WV CHD, through the PHM</t>
  </si>
  <si>
    <t xml:space="preserve"> Supply and Delivery of Various Laboratory Supplies Budget: P331,795.40 Please see attached files for the Purchase Requests with details of the laboratory supplies</t>
  </si>
  <si>
    <t xml:space="preserve"> Repainting of Member Service Area and Fabrication/Installation of Cut-Out Letters of SSS Tag Line (Buti na lang may SSS, Serbisyong Sulit na Sulit)</t>
  </si>
  <si>
    <t xml:space="preserve"> Bids and Awards Committee															 INVITATION TO BID/ REQUEST FOR QUOTATION															 															          The City Government of Pagadian, through its Bids and Awards Committee (BAC), invites suppliers/manufacturers/distributors to apply f</t>
  </si>
  <si>
    <t xml:space="preserve"> Republic of the Philippines PROVINCIAL GOVERNMENT OF EASTERN SAMAR Capitol Building, Borongan, Eastern Samar, 6800 Tel No. (055)-560-8312 E-mail Address: esamar.bac@gmail.com BIDS AND AWARDS COMMITTEE (BAC) INVITATION TO BID FOR CONSTRUCTION OF MULTI-PURP</t>
  </si>
  <si>
    <t xml:space="preserve"> Republic of the Philippines Province of Oriental Mindoro MUNICIPALITY OF PINAMALAYAN OFFICE OF THE BIDS AND AWARDS COMMITTEE Invitation to Bid ITB-2020-40 1.  The Municipal Government of Pinamalayan, Oriental Mindoro, through the authorized appropriations</t>
  </si>
  <si>
    <t xml:space="preserve"> QTY       unit        description 1             set     Laptop x x x x  n o t n i n g    f o l l ow s  x x x x x</t>
  </si>
  <si>
    <t xml:space="preserve"> Please see attached document</t>
  </si>
  <si>
    <t xml:space="preserve"> 1.	Traffic Cone (Big) = 5 pcs 2.	Flaglets (Green and Red) = 5 pcs 3.	Clip Board = 10 pcs 4.	Handheld Radio = 5 set 5.	Chalk Stone = 5 box 6.	Measuring Wheel with stand = 6 pcs 7.	Steel Tape 5m (Good Brand) = 10 pcs 8.	Long Sleeve with Hood (Jacket) = 25 p</t>
  </si>
  <si>
    <t xml:space="preserve"> Supply and Delivery of 1 Lot Janitorial Supplies 40 Pairs Laundry Gloves, etc.</t>
  </si>
  <si>
    <t xml:space="preserve"> 1	MAINTENANCE OF MINGEN FIBER OPTIC &amp; TELECOMM BACKBONE FOR AGUS 6 &amp; 7 FIBER OPTIC &amp; TELECOMM- AGUS 6/7	1	LOT	 300,000.00</t>
  </si>
  <si>
    <t xml:space="preserve"> SUPPLY AND DELIVERY OF ROUTINARY SPAREPARTS FOR CUMMINS 600KW KTA38-G1 ENGINE.</t>
  </si>
  <si>
    <t xml:space="preserve"> Section I. Invitation to Bid                                             	Republic of the Philippines                                             Municipality of Kalayaan                                             Province of Palawan 	Bids and Awards Com</t>
  </si>
  <si>
    <t xml:space="preserve"> Laboratory Equipment</t>
  </si>
  <si>
    <t xml:space="preserve"> INVITATION TO BID FOR   PROJECT NO. 2020-07-043: PROCUREMENT OF PRINTER AND INK FOR REPRODUCTION OF MODULES  The Department of Education (DepED) – Agusan del Sur Division intends to apply the sum of Six Million Three Hundred Thirty-Nine Thousand Six Hundr</t>
  </si>
  <si>
    <t xml:space="preserve"> Republic of the Philippines PROVINCE OF QUIRINO Cabarroguis -oOo- BIDS AND AWARDS COMMITTEE INVITATION TO BID FOR  Construction of Promenade Contract No. PB-CW-2020-032 							August 7, 2020 1.	The Bids and Awards Committee (BAC) of the Provincial Governm</t>
  </si>
  <si>
    <t xml:space="preserve"> 12 UNITS 3 IN 1 PRINTER (PRINT, SCAN, COPY) 10 BOTTLES PRINTER INK, T664 (75 ML) BLACK 6 BOTTLES PRINTER INK, T664 (75 ML) CYAN 6 BOTTLES PRINTER INK, T664 (75 ML) MAGENTA 6 BOTTLES PRINTER INK, T664 (75 ML) YELLOW ***NOTHING FOLLOWS***</t>
  </si>
  <si>
    <t xml:space="preserve"> Republic of the Philippines PROVINCE OF QUIRINO Cabarroguis -oOo- BIDS AND AWARDS COMMITTEE INVITATION TO BID FOR  Installation of 10,000 Gallons Capacity Stainless Water Tank and Main Pipelines for Public Grandstand,  VIP Grandstand and other Facilities </t>
  </si>
  <si>
    <t xml:space="preserve"> REPAINTING OF CONCRETE ROAD FROM MAIN GATE TO POWERHOUSE WITH AN ESTIMATED DISTANCE OF 2,600 METERS BOTH SIDES USING REFLECTORIZED PAINT</t>
  </si>
  <si>
    <t xml:space="preserve"> 1. COVID 19 Swab Kit Set with Transport Media- 225 set @ Php 380= 85,500 Purpose: for use of patients Expiration Date: Later than 2022</t>
  </si>
  <si>
    <t xml:space="preserve"> Republic of the Philippines MUNICIPALITY OF KAPALONG Province of Davao del Norte 	o0o	 INVITATION TO BID 	 Supply &amp; Delivery of Materials for Repair and Maintenance of Building and Other Structures(Municipal Town Square)    1.	The Local Government Unit of</t>
  </si>
  <si>
    <t xml:space="preserve"> "SIGNAL BOOSTER *2G 3G 4G Network GSM 900 + DCS /LTE 1800+UMTS/WCDMA 2100 Mobile Signal Repeater Tri Band Amplifier 900 1800 2100 cell phone Booster " ABC= Php6,800.00</t>
  </si>
  <si>
    <t xml:space="preserve"> INVITATION FOR NEGOTIATED PROCUREMENT UNDER TWO-FAILED BIDDING  CONSULTING SERVICES FOR THE REVIEW AND UPDATING OF THE STUDY ON THE FLUCTUATION FACTORS (K) AND PARAMETRIC FORMULA UNDER THE REVISED CONTRACT PRICE ESCALATION GUIDELINES AND THE UPDATING OF T</t>
  </si>
  <si>
    <t xml:space="preserve"> INVITATION TO BID FOR THE  SUPPLY AND DELIVERY  OF VARIOUS GENERATOR SETS  1.	The Metro Lipa Water District (MLWD), through its 2020 Annual Procurement Plan intends to apply the sum of Six Million Three Hundred Thousand Pesos  (P 6,300,000.00) being the A</t>
  </si>
  <si>
    <t xml:space="preserve"> 1	CABINET FILING, DOUBLE, 4 LAYERS	5	UNIT	 	 18,500.00</t>
  </si>
  <si>
    <t xml:space="preserve"> Republic of the Philippines PROVINCIAL GOVERNMENT OF EASTERN SAMAR Capitol Building, Borongan, Eastern Samar, 6800 Tel No. (055)-560-8312 E-mail Address: esamar.bac@gmail.com BIDS AND AWARDS COMMITTEE (BAC) INVITATION TO BID FOR RENOVATION OF QUINAPONDAN </t>
  </si>
  <si>
    <t xml:space="preserve"> 1.	Cap (Blue with Logo = 30 pcs 2.	Reflectorized Vest = 30 pcs 3.	Shoes (Walking Shoes) = 25 pair 4.	Long Sleeve with Hood (Jacket) = 30 pcs 5.	Measuring Wheel with Stand = 4 pcs 6.	A4 Bond Paper = 200 rms 7.	Long Bond Paper = 200 rms 8.	Photopaper (Gloss</t>
  </si>
  <si>
    <t xml:space="preserve"> INVITATION TO QUOTE Date:  August 04, 2020 1.	The Provincial Government of Davao del Sur, through its Bids and Awards Committee (BAC), invites all interested bidders/suppliers to quote for the following goods under Alternative Methods of Procurement (Smal</t>
  </si>
  <si>
    <t xml:space="preserve"> 1	7	SHEETS	1/4" X 4 X 8 MARINE PLYWOOD 2	5	KLS.	2- 1/2" CW NAILS 3	115	BAGS	CEMENT 4	112	PCS.	12mm Ø DEF. RSB @ 6m 5	73	PCS.	8mm Ø DEF.RSB @ 6m 6	13.50	KLS.	#16 GI WIRE 7	12	SHEETS	CORRUGATED #26 X 6'(1.8m) 8	144	PCS.	TEKSCREW 9	1	LITER	VULCASEAL 10	12	KL</t>
  </si>
  <si>
    <t xml:space="preserve"> Republic of the Philippines Province of Oriental Mindoro MUNICIPALITY OF PINAMALAYAN OFFICE OF THE BIDS AND AWARDS COMMITTEE Invitation to Bid ITB-2020-41 1.  The Municipal Government of Pinamalayan, Oriental Mindoro, through the authorized appropriations</t>
  </si>
  <si>
    <t xml:space="preserve"> LOT 1									 1	PLASMA EXTRACTOR							1	unit	83,000.00 										 	Features:									 	Mannual system									 	Easy to observe the separationof the plasma and the red 									 	blood cells									 	Technical parametrs:									 	Clamping force: 20N		</t>
  </si>
  <si>
    <t xml:space="preserve"> Lay-out and excavation Improvement of footing, pedestal Improvement of concrete flooring, stairs, and bench Improvement of tiles Improvement of trusses, roofing with parapet (use gemilina lumber of its equivalent)</t>
  </si>
  <si>
    <t xml:space="preserve"> The City Government of San Pedro, Laguna invites interested parties to quote for the following item/s as per request Sangguniang Panlungsod: Qty.	Unit of Issue	Item Description 		 50	reams	Bond Paper (Short)  60	reams	Bond Paper (Long)  50	packs	Sticker P</t>
  </si>
  <si>
    <t xml:space="preserve"> Republic of the Philippines Province of Siquijor Municipality of Maria INVITATION TO BID FOR Procurement of Submersible Water Pump and Its Accessories – Maria, Siquijor / MAR-00047G-2020 1.	The LGU – Municipality of Maria, through the 20% Development Fund</t>
  </si>
  <si>
    <t xml:space="preserve"> Republic of the Philippines Province of Nueva Vizcaya BIDS AND AWARDS COMMITTEE (BAC-Goods) BAC OFFICE, Provincial Capitol, Bayombong, Nueva Vizcaya 	 4th   REQUEST FOR QUOTATION (RFQ) For the Procurement of Office Supplies (1st Quarter) For the Sangguian</t>
  </si>
  <si>
    <t xml:space="preserve"> Republic of the Philippines Province of Leyte Municipality of Hilongos INVITATION TO BID FOR THE PROCUREMENT OF HANDHELD RADIO 1.  The Local Government Unit of Hilongos, through GENERAL FUND-SUPPLEMENTAL BUDGET NO. 2020-06 intends to apply the sum ONE HUN</t>
  </si>
  <si>
    <t xml:space="preserve"> LENGTH = 150 LINEAL METERS WIDTH = 2.50 METERS THICKNESS = 0.15 METERS VOLUME = 56.25 CU.M.</t>
  </si>
  <si>
    <t xml:space="preserve"> Republic of the Philippines Province of Nueva Vizcaya BIDS AND AWARDS COMMITTEE (BAC-Goods) BAC OFFICE, Provincial Capitol, Bayombong, Nueva Vizcaya 	 REQUEST FOR QUOTATION (RFQ) For the Procurement of Office Supplies  For the Dupax District Hospital (DDH</t>
  </si>
  <si>
    <t xml:space="preserve"> General overhaul of engine and repair of brake and clutch system</t>
  </si>
  <si>
    <t xml:space="preserve"> Name of the Procuring Entity: TONDO MEDICAL CENTER Name of the Project:  Procurement of Oxygen Regulator      			                                          Location of the Project: Tondo Medical Center Balut, Tondo Manila                                   </t>
  </si>
  <si>
    <t xml:space="preserve"> Republic of the Philippines PROVINCIAL GOVERNMENT OF EASTERN SAMAR Capitol Building, Borongan, Eastern Samar, 6800 Tel No. (055)-560-8312 E-mail Address: esamar.bac@gmail.com BIDS AND AWARDS COMMITTEE (BAC) INVITATION TO BID FOR THE  PROCUREMENT OF MEDICA</t>
  </si>
  <si>
    <t xml:space="preserve"> CUTTING OF LEANING AND DEAD TREES WITH AN ESTIMATED VOLUME OF 5,100 BF NEAR TENNIS COURT, ENGR. CORDOBA AND MR. CAJES' QUARTER</t>
  </si>
  <si>
    <t xml:space="preserve"> "Republic of the Philippines DEPARTMENT OF PUBLIC WORKS AND HIGHWAYS MISAMIS ORIENTAL 2nd  DISTRICT ENGINEERING OFFICE  REGION X Balase Street, El Salvador City"								 								 Name of Procuring Entity:		DPWH-Misamis Oriental 2nd DEO			Request for Quota</t>
  </si>
  <si>
    <t xml:space="preserve"> Republic of the Philippines DEPARTMENT OF HEALTH WESTERN VISAYAS Center for Health Development INVITATION TO BID FOR THE  Procurement of Lubricated Male Condoms IB No. SB-2020-033 1.	The Department of Health – WV CHD, through the SAA-2020-04-0726 fund  in</t>
  </si>
  <si>
    <t xml:space="preserve"> The local Government Unit of Bindoy through its Bids and Awards Committee intends to Purchase of Personal Protective Equipment (PPE’S) This Purchase of Personal Protective Equipment (PPE’S) will be undertaken in accordance with section 53.9 (Procurement o</t>
  </si>
  <si>
    <t xml:space="preserve"> The Municipal Government of Pilar, through General Fund intends to apply the sum of Eight Hundred Six Thousand Six Hundred Ninety &amp; 39/100 Pesos (P/806,690.39) being the Approved Budget for the Contract (ABC) to payments under the contract for the Rehabil</t>
  </si>
  <si>
    <t xml:space="preserve"> Republic of the Philippines PROVINCE OF BILIRAN Municipality of Naval – 6560 Project Reference Number: ITB No. 20-31     INVITATION TO BID FOR THE SUPPLY AND DELIVERY  OF 909 SACKS COMMERCIAL RICE 	1.	The Provincial Government of Biliran through PCSO, int</t>
  </si>
  <si>
    <t xml:space="preserve"> Request for Quotation			Date:		 			Quotation No.:		 2020-08-076-Aug  Company Name 					 					 Address					 					 	Please quote your lowest price on the items listed below, subject to the General Conditions ln the last				 page stating the shortest time of</t>
  </si>
  <si>
    <t xml:space="preserve"> 1	SCANNER/PRINTER (LASER, COLORED) ETC. ALL-IN-ONE MULTI FUNCTION, FAX PRINTER, COPIER, SCANNER	1	UNIT	 86,530.00</t>
  </si>
  <si>
    <t xml:space="preserve"> Name of Project			:  Construction of Ware House Building Location                       		:  Bonbon, Sagay, Camiguin Brief Description        			:  Structural Concrete Works Specification       			:  Attached in the Forms of Bids Approved Budget for the C</t>
  </si>
  <si>
    <t xml:space="preserve"> INVITATION TO APPLY FOR ELIGIBILITY AND TO BID THE BIDS &amp; AWARD COMMITTEE OF THE MUNICIPALITY OF CAIBIRAN, BILIRAN IS INVITING ALL INTERESTED BIDDERS ON ITS FORTHCOMING PUBLIC BIDDING FOR: Project Title	: Acquisition of Sheep’s   Location		: Municipality </t>
  </si>
  <si>
    <t xml:space="preserve"> INK, CARTRIDGE, TONER, HP 305A, BLACK &amp; 3 OTHER ITEMS</t>
  </si>
  <si>
    <t xml:space="preserve"> Invitation to Bid for the Construction of ASCOM Facilities at Camp Aquino, Tarlac for the Bases Conversion and Development Authority (BCDA) Public Bidding No. 20-022-3 1. The Bases Conversion and Development Authority (BCDA) and the Procurement Service – </t>
  </si>
  <si>
    <t xml:space="preserve"> assorted supplies - 75,340.00</t>
  </si>
  <si>
    <t xml:space="preserve"> Item No.	Description	Unit	Quantity 1	Doxycycline 100mg/capsule @ x100’s	box	300</t>
  </si>
  <si>
    <t xml:space="preserve"> One (1) Lot Labor and Materials for Well Rehabilitation  (VAT Included) Part 1 - Removal of obstruction of cut B.I. Pipe 35 meters section. Part 2 - Installation of 10" diameter casing liner see attached complete specifications</t>
  </si>
  <si>
    <t xml:space="preserve"> 1	LAN SWITCH 24-PORT GIGABIT, MANAGEABLE RACK-MOUNTED	7	PC	  27,000.00</t>
  </si>
  <si>
    <t xml:space="preserve"> Republic of the Philippines MUNICIPALITY OF KAPALONG Province of Davao del Norte 	o0o	 INVITATION TO BID 	 Supply &amp; Delivery of Materials for Repair and Maintenance of Building and Other Structures(DSWDO, Senior Citizen and Municipal Compound) 1.	The Loca</t>
  </si>
  <si>
    <t xml:space="preserve"> Please see attached document for reference.</t>
  </si>
  <si>
    <t xml:space="preserve"> Name of the Procuring Entity: TONDO MEDICAL CENTER Name of the Project:  Procurement of Fuel Gas      			                                          Location of the Project: Tondo Medical Center Balut, Tondo Manila                                           </t>
  </si>
  <si>
    <t xml:space="preserve"> ITEMS: 68 SHTS GA. 24 X 12' GI Corp. roofing sheets 5 kgs Umbrella Nails (2 1/2") 35 shts Ordinary Plywood (4'x8'x5mm) 2 sets Panelled door w/jamb(0.90m x 2.10m) 50 kgs ASSORTED CW Nails 400 pcs 4" CHB 2 LOADS SCREENED SAND 120 BAGS PORTLAND CEMENT 22 Len</t>
  </si>
  <si>
    <t xml:space="preserve"> INVITATION TO BID Sealed proposal in ink typewritten one (1) copy will be received fro bonafide contractors on AUGUST 18, 2020 at 2:00 PM at Barangay Hall, Barangay Abar 1st, this city on which date, time and place the bid will publicly opened in the pres</t>
  </si>
  <si>
    <t xml:space="preserve"> Republic of the Philippines Province of Leyte Municipality of Hilongos INVITATION TO BID FOR THE PROCUREMENT OF PHOTO COPIER 1.  The Local Government Unit of Hilongos, through GENERAL FUND-SUPPLEMENTAL BUDGET NO. 2020-06 intends to apply the sum NINETY TH</t>
  </si>
  <si>
    <t xml:space="preserve"> Bond Paper, A4 size, 70GSM</t>
  </si>
  <si>
    <t xml:space="preserve"> Republika ng Pilipinas                                                                  BAYAN NG CORTES                                                                    Surigao del Sur                                                        BIDS AND AWAR</t>
  </si>
  <si>
    <t xml:space="preserve"> Construction of Spillway with 13m. Portland Cement Concrete Pavement</t>
  </si>
  <si>
    <t xml:space="preserve"> Qty.	Unit	ITEM DESCRIPTION			 		OFFICE OF THE CITY ASESSOR			 2	units	Airconditioner, Split Type 2.5 HP Inverter  (with installation)			 		Rated Cooling Capacity: 11,900Btu/hr 3.5o kW			 		Power Consumption: 960 watts			 		Refrigerant: R32 Inverter			 		O</t>
  </si>
  <si>
    <t xml:space="preserve"> The Barangay Government of Barangay SANTOL, Tanauan City, Batangas through the Bids and Awards Committee (BAC) invites Suppliers/Contractors to apply for eligibility and if subsequently found eligible, to bid for the projects described hereunder, viz: Nam</t>
  </si>
  <si>
    <t xml:space="preserve"> Republic of the Philippines DEPARTMENT OF PUBLIC WORKS AND HIGHWAYS CAMARINES SUR 1st DISTRICT ENGINEERING OFFICE REGIONAL OFFICE V Baras, Canaman, Camarines Sur INVITATION TO BID The      DPWH -Camarines Sur 1st DEO, through its Bids and Awards Committee</t>
  </si>
  <si>
    <t xml:space="preserve"> Republic of the Philippines								 Province of Ilocos Norte								 Municipality of Paoay								 								 REQUEST FOR QUOTATION								 								 					Date:		8/7/2020	 					Qoutation No:		2020-184	 THE MANAGER				 				 								 								 								         </t>
  </si>
  <si>
    <t xml:space="preserve"> SUPPLY AND DELIVERY OF POWER AND HANDTOOLS FOR NPSSTL &amp; 69KV TL.</t>
  </si>
  <si>
    <t xml:space="preserve"> Please see attached approved RFQs (Associated Components)</t>
  </si>
  <si>
    <t xml:space="preserve"> 1	INK REFILL FOR CONTINUOUS INK SYSTEM PRINTER, 4BOTS/SET (BLACK, YELLOW, CYAN, MAGENTA) EPSON L3110	1	SET	 4,000.00  2	RIBBON CARTRIDGE EPSON LX-310 (C13S015632), BLACK	2	PC		 2,000.00  3	TONER HP M577-BLACK, COLORED	1	SET		 60,000.00</t>
  </si>
  <si>
    <t xml:space="preserve"> Request for Quotation			Date:		 			Quotation No.:		 2020-08-077-Aug  Company Name 					 					 Address					 					 	Please quote your lowest price on the items listed below, subject to the General Conditions ln the last				 page stating the shortest time of</t>
  </si>
  <si>
    <t xml:space="preserve"> INVITATION TO BID The Iligan City Government Bids and Awards Committee (BAC), invites contractors registered by the Philippine Contractors Accreditation Board (PCAB) to bid for the hereunder contract: Name of Project 	  : Procurement of Electro-Mechanical</t>
  </si>
  <si>
    <t xml:space="preserve"> Please quote your best price 30 pcs of HP Laser Ink 202 A Black ABC: 180,000.00 30 pcs of HP Laser Ink 202 A Magenta ABC: 180,000.00 30 pcs of HP Laser Ink 202 A Cyan ABC: 180,000.00 30 pcs of HP Laser Ink 202 A Yellow ABC: 180,000.00 Lot bid but should n</t>
  </si>
  <si>
    <t xml:space="preserve"> INVITATION TO BID The local government unit of Sagay Camiguin Province through its Bids and Awards Committee (BAC), invites supplier/manufacturers/distributors to apply to bid for the following:    Name of Project           : Local Access Road (Concreting</t>
  </si>
  <si>
    <t xml:space="preserve"> For the use of Antipolo City Hospital System. 130 pcs. cadaver bag 95 box disposable syringe with needle 3cc g.23x1", 100's 100 btls. distilled water 6L 150 box surgical cap, disposable 100's 40 bolt surgical gauze, 24x28x36x100</t>
  </si>
  <si>
    <t xml:space="preserve"> Procurement of 1 Lot Vehicle Spare Parts and Accessories 1 Pc. Air Governor (Isuzu Dump Truck SGR 959), etc.</t>
  </si>
  <si>
    <t xml:space="preserve"> LOT 1.	MEDICINES		 	1.	Medicine, Acetylcysteine 600 mg Granules for Solution Mucolytic 	2000	sachet 	2.	Medicine, Aluminum Hydroxide, Magnesium Hydroxide, Simeticone Antacid Chewable 178mg/233mg/30mg	2000	tab 	3.	Medicine, Amoxicillin capsule 500mg 	1700	</t>
  </si>
  <si>
    <t xml:space="preserve"> CLARK DEVELOPMENT CORPORATION													 Clark Freeport Zone, Philippines													 													 REQUEST FOR QUOTATION													 													 The Clark Development Corporation, through its Purchasing Division(PD), invites suppliers/													</t>
  </si>
  <si>
    <t xml:space="preserve"> meals and snacks - 60,000.00  P200 per head x 30 staff x 10 bgys</t>
  </si>
  <si>
    <t xml:space="preserve"> 4" x 8" x16"CHB Portland Cement Sand 4" C.W. Nails Toilet Bowl (Ordinary) Welding Rod Red Lead Paint Paint Thinner Grout Steel Matting Flat Latex Paint Blind Rivets Lacquer Thinner and others</t>
  </si>
  <si>
    <t xml:space="preserve"> Republic of the Philippines CITY OF PANABO Province of Davao del Norte BIDS AND AWARDS COMMITTEE -o0o- INVITATION TO BID 													August 7, 2020 1.	The City Government of Panabo, through the source of fund as indicated below intends to apply the sum a</t>
  </si>
  <si>
    <t xml:space="preserve"> REQUEST FOR QUOTATION SHOPPING OF (3 in 1) PHOTOCOPIER/SCANNER/PRINTER, LAPTOP, HARD DRIVE,  FLASH DRIVE AND PRINTER RFQ No. 2020-02-003 The Obando Water District (OWD), through its Bids and Awards Committee (BAC), invites reputable supplier to submit the</t>
  </si>
  <si>
    <t xml:space="preserve"> Two (2) Security Guard Services for the National  	1 Lot  	      Php 408,000.00  Telecommunications Commission Regional Office 12		 		 		 		 TECHNICAL SPECIFICATIONS:		 		 I. AVAILABILITY:  **		    1. 01 August 2020 to 31 July 2021  **		    2. Daily shift</t>
  </si>
  <si>
    <t xml:space="preserve"> SUPPLY AND DELIVERY OF MECHANICAL SPARE PARTS FOR 163KW PERKINS.</t>
  </si>
  <si>
    <t xml:space="preserve"> 900	Meters	60mm or 2/0 AWG Stranded Cable Wire Copper</t>
  </si>
  <si>
    <t xml:space="preserve"> For complete details please see attached RFQ file.</t>
  </si>
  <si>
    <t xml:space="preserve"> OFFICE OF THE BIDS AND AWARDS COMMITTEE (BAC)                                                                                                     Notice No     : 2020-333                                                                                     </t>
  </si>
  <si>
    <t xml:space="preserve"> Dear Sir/Madam Please quote your lowest net price/s on the item/s listed below, giving full detailed description of your offer. Submit your quotation in accordance with Item No.1 of the General Condition printed at the back, together with all samples, dra</t>
  </si>
  <si>
    <t xml:space="preserve"> Republic of the Philippines Province of Negros Occidental CITY OF VICTORIAS BIDS AND AWARDS COMMITTEE Reference No: Vict-eps20-037 INVITATION TO BID  PURCHASE OF VITAMINS FOR COVID – 19 ( re – bid ) The City of Victorias, through the General Fund of 2020 </t>
  </si>
  <si>
    <t xml:space="preserve"> SUPPLY AND DELIVERY OF MATERIALS, SUPPLIES FOR OFFICE EQUIPMENTS USE.</t>
  </si>
  <si>
    <t xml:space="preserve"> Republic of the Philippines                                                           MUNICIPALITY OF ECHAGUE                                                                  Province of Isabela INVITATION TO BID FOR  THE  CONCRETE  PAVING OF LIBERTAD-ARA</t>
  </si>
  <si>
    <t xml:space="preserve"> The Bicol University, through the Corporate Budgets for the contract approved by the Board of Regents intends to apply the sum of: Sixty Five Thousand Pesos Only (Php65,000.00) being the Approved Budget for the Contract to payments for the Provide Labor a</t>
  </si>
  <si>
    <t xml:space="preserve"> INVITATION TO APPLY FOR ELIGIBILITY AND TO BID THE BIDS &amp; AWARD COMMITTEE OF THE MUNICIPALITY OF CAIBIRAN, BILIRAN IS INVITING ALL INTERESTED BIDDERS ON ITS FORTHCOMING PUBLIC BIDDING FOR: Project Title	: Acquisition of Registered Seeds   Location		: Muni</t>
  </si>
  <si>
    <t xml:space="preserve"> 1.  55  pouch Lettuce 2.  75  pouch  Cucumber 3.  75  pouch  Pechay 4.  55  pouch Okra 5.  75  pouch  Eggplant (Morena) 6.  65  pouch  Raddish 7.  75  pouch  Tomato (Diamante Max) 8.  90  pouch  Squash 9.  85  pouch  Ampalaya 10. 80 pouch  Pole Sitao 11. </t>
  </si>
  <si>
    <t xml:space="preserve"> REINFORCED CONCRETE WORKS MATERIAL AND LABOR</t>
  </si>
  <si>
    <t xml:space="preserve"> Supply and Delivery of 1 Lot Office Supplies</t>
  </si>
  <si>
    <t xml:space="preserve"> Republika ng Pilipinas                                                                  BAYAN NG CORTES                                                                     Surigao del Sur                                                     BIDS AND AWARDS</t>
  </si>
  <si>
    <t xml:space="preserve"> Construction</t>
  </si>
  <si>
    <t xml:space="preserve"> Section I. Invitation to Bid Republic of the Philippines Province of Bukidnon MUNICIPALITY OF TALAKAG Invitation to Bid for Procurement of Risograph Machines  (For Talakag Schools District I, II, and III) 1.	The Municipality of Talakag through the General</t>
  </si>
  <si>
    <t xml:space="preserve"> Item No.	Quantity	Unit	   Description	 				 1	        1	        UNIT	   10 kva Transformer</t>
  </si>
  <si>
    <t xml:space="preserve"> Republic of the Philippines Province of Iloilo BIDS AND AWARDS COMMITTEE INVITATION TO BID Purchase ofCommunication Equipment Bid No.PPO-19-1873-B (Rebid) 1. The Iloilo Provincial Government, through the 2018CAPITAL OUTLAYintends to apply the sum of NINET</t>
  </si>
  <si>
    <t xml:space="preserve"> 400 REAMS PAPER, MULTI-PURPOSE (COPY) A4, 70GSM, 210mmx297mm 3,000 pieces envelope, plastic, legal</t>
  </si>
  <si>
    <t xml:space="preserve"> Item No.	Item/s and Description					Specification		Quantity	Unit	Budget  Price per unit	Price offered 1	paracetamol					 500 mg. 		1	box.	 180.00 	 2	amlodipine					 10mg. 		1	box.	 500.00 	 3	povidone iodine					 120ml.,10% solution 		2	bot	 310.00 	 4	a</t>
  </si>
  <si>
    <t xml:space="preserve"> SUPPLY AND DELIVERY OF MATERIALS, SUPPLIES FOR TOP OVERHAULING OF UNIT NO. 4 500KW MAN-CXZ.</t>
  </si>
  <si>
    <t xml:space="preserve"> Laptop Microsoft Office Licensed Invitation to bid For Office Equipment 1. The Barangay Government of Dalig, Antipolo City, through the General Fund intends to apply the sum of Seven Hundred Thousand Pesos Only (P700,000.00) being Approved Budget for the </t>
  </si>
  <si>
    <t xml:space="preserve"> One (1) unit Laptop see attached specifications</t>
  </si>
  <si>
    <t xml:space="preserve"> A)REQUEST FOR QUOTATION 1. 15 pcs NS60 (1SMF) Maintenance Free 21 Months Warranty Ford Focus, Toyota Prius, Toyota Vios, Mitsubishi IMIEV, Mitsubishi Mirage 2. 60 PCS 3SMF Maintenance Free 21 Months Warranty Toyota Innova, Hyundai Grand Starex, Toyota Coa</t>
  </si>
  <si>
    <t xml:space="preserve"> Republic of the Philippines MUNICIPALITY OF KAPALONG Province of Davao del Norte 	o0o	 INVITATION TO BID 	 Supply &amp; Delivery of Animal/Zoological Supplies   1.	The Local Government Unit of Kapalong, through the General Fund  intends to apply the sum of  F</t>
  </si>
  <si>
    <t xml:space="preserve"> REQUEST FOR QUOTATION											 											 RFQ No.		SVP 20-0931				Date				8/6/2020	 PR Reference		300-20-07-077				Implementing Office				CPSO	 Closing Date and Time											 Designated Places of Submission (Bid Box Designated Locations)						1. BAC </t>
  </si>
  <si>
    <t xml:space="preserve"> INVITATION TO BID FOR THE REBLOCKING OF DAMAGE CARRIAGE WAY FOR THE REPAIR OF WATER MAIN LINE 1.	The Local Government Unit of Hinigaran through 20% Development Fund intends to apply the sum of P 305,545.50 being the Approved Budget for the Contract (ABC) </t>
  </si>
  <si>
    <t xml:space="preserve"> 2 units photo copier - 100,000.00</t>
  </si>
  <si>
    <t xml:space="preserve"> Item No.	Item/s and Description					Specification		Quantity	Unit	Budget price per unit	Price offered 1	Toner for Photocopier/ Printer					Toner for P3015 Printer/ Photocopier, OPT55A		6	Cartridge	 5,600.00</t>
  </si>
  <si>
    <t xml:space="preserve"> GROUTED RIPRAP WORKS MATERIAL AND LABOR</t>
  </si>
  <si>
    <t xml:space="preserve"> INVITATION FOR SUBMISSION OF QUOTATION (SMALL VALUE PROCUREMENT)   The ZAMBOANGA SIBUGAY POLYTECHNIC INSTITUTE (ZSPI) formerly KABASALAN INSTITUTE OF TECHNOLOGY (KIT), through the General Appropriations Act (GAA) of 2018 intends to apply the sum EIGHTY TW</t>
  </si>
  <si>
    <t xml:space="preserve"> SPECIFICATION Master-making/Printing Methos-High  -speed digital master-making/fully automatic printing Original Type			              -Sheet Original Size (min. /max.)	-90 mm x 140 mm to 310 mm x 435 mm (3 17/32” x 5 ½” to 12 7/32” x 17                   </t>
  </si>
  <si>
    <t xml:space="preserve"> Republic of the Philippines Province of Oriental Mindoro MUNICIPALITY OF PINAMALAYAN OFFICE OF THE BIDS AND AWARDS COMMITTEE Invitation to Bid ITB-2020-42 1.  The Municipal Government of Pinamalayan, Oriental Mindoro, through the authorized appropriations</t>
  </si>
  <si>
    <t xml:space="preserve"> Invitation to Apply for Eligibility and to Bid (IAEB) for the Construction of 35 Units of Solar Stilt Dryers in Basilan and Sulu under FishCORAL Project, CY 2019 IAEB №: MAFAR-08-117-2020 		  1.	The Ministry of Agriculture, Fisheries and Agrarian Reform -</t>
  </si>
  <si>
    <t xml:space="preserve"> THHN Wire 3.5mm2, 5 box &amp; 84 other line items</t>
  </si>
  <si>
    <t xml:space="preserve"> 7 	sheet	1/4" thk Ordinary Plywood		  1 	kls	CWN		  32 	bd. Ft	4pcs-Coco Lumber 2x4x12		  12 	bd. Ft	3pcs-Coco Lumber 2x2x12		 1 	set	4'x8' Tarpaulin		 6.16 	cu.m	Filling Materials for Embankment		 2.79 	cu.m	Gravel Bedding Materials		  183 	bags	Portland</t>
  </si>
  <si>
    <t xml:space="preserve"> Republic of the Philippines DEPARTMENT OF HEALTH WESTERN VISAYAS Center for Health Development INVITATION TO BID FOR THE  Procurement of Hospital Equipment,  IB No. SB-2020-036 1.	The Department of Health – WV CHD, through the SAA No. 2020-05-0882 fund  i</t>
  </si>
  <si>
    <t xml:space="preserve"> Procurement of 1 Lot Construction Materials</t>
  </si>
  <si>
    <t xml:space="preserve"> REINFORCED WORKS MATERIALS AND LABOR</t>
  </si>
  <si>
    <t xml:space="preserve"> Hybrid Yellow Corn Seeds, 9 kgs., 20 bags @ Php3500.00=Php 70,000.00 Purpose: Serves as corn assistance to farmers</t>
  </si>
  <si>
    <t xml:space="preserve"> Procurement of materials (hardware &amp; aggregates)</t>
  </si>
  <si>
    <t xml:space="preserve"> REQUEST FOR QUOTATION														 														 RFQ No.		SVP 20-0928				Date				8/6/2020				 PR Reference		100-20-07-087				Implementing Office				SP				 Closing Date and Time														 Designated Places of Submission (Bid Box Designated Locations)</t>
  </si>
  <si>
    <t xml:space="preserve"> 1 unit photocopier machine - 70,000.00 1 unit camera DSLR -45,000.00</t>
  </si>
  <si>
    <t xml:space="preserve"> Please see attach documents</t>
  </si>
  <si>
    <t xml:space="preserve"> 600 PCS PLASTIC EXPANDABLE ENVELOP</t>
  </si>
  <si>
    <t xml:space="preserve"> 1	BOND PAPER LONG			845	rms	 188,012.50  2	BOND PAPER LONG A4			251	REAMS	 51,856.60  3	EXPANDED ENVELOPE			152	PCS.	 1,520.00  4	GLUE			55	BOT.	 3,415.50  5	PENTIL PEN			57	PCS.	 2,280.00  6	PILOT IN			55	BOT.	 5,225.00  7	FLASH DRIVE			50	PCS.	 21,983.0</t>
  </si>
  <si>
    <t xml:space="preserve"> Procurement of 1 Lot Uniform for Kutsero 100 sets of Camisa Tsino &amp; Slacks</t>
  </si>
  <si>
    <t xml:space="preserve"> 1.	SCOPE OF WORK: I.	RELOCATION OF EXISTING WATER PRESSURE TANK, DEMOLITION OF EXISTING ROOF CONCRETE CANOPY AND STEEL RAILINGS (Back portion only) II.	MASONRY WORKS III.	DRY WALL PARTITION IV.	DOORS AND WINDOWS a)	Windows W1 (6.05m x 1.20m) W2 (4.05m x 2</t>
  </si>
  <si>
    <t xml:space="preserve"> Republic of the Philippines PROVINCE OF QUIRINO Cabarroguis -oOo- BIDS AND AWARDS COMMITTEE INVITATION TO BID FOR  Concreting of Front Yard at LTO Contract No. PB-CW-2020-035 							August 7, 2020 1.	The Bids and Awards Committee (BAC) of the Provincial G</t>
  </si>
  <si>
    <t xml:space="preserve"> The mode of procurement is Negotiated Procurement under Emergency Cases because the reproduction of modules needs immediate action and times is of the essence that is necessary to restore vital public service of the agency. These modules will be used as p</t>
  </si>
  <si>
    <t xml:space="preserve"> Please see attached RFQ for the full description of the item and for terms and conditions. Please submit your quotation on or before the closing date, you may submit it in our office or thru email (nmmcprocurement@gmail.com). Please contact the Procuremen</t>
  </si>
  <si>
    <t xml:space="preserve"> INVITATION TO BID/SUBMIT SEALED PROPOSAL SUPPLY AND DELIVERY OF FOOD STUFF IN SCHOOL-BASED FEEDING PROGRAM (SBFP) SY 2019-2020 OF ROGELIO G. GATCHALIAN ELEMENTARY SCHOOL The Department of Education (DepEd), Schools Division of Parañaque City, Rogelio G. G</t>
  </si>
  <si>
    <t xml:space="preserve"> Dimension:      Height    3 feet                       Width     4 feet                       Thickness  2 inches Functions:        Adjustable Game Time                       24/14 seconds shot clock                       Shot clock with game time        </t>
  </si>
  <si>
    <t xml:space="preserve"> Concreting of Existing Municipal Road W-4.00 x L-212 mtr x0.15m thick pavement 2nd posting- failure of bidding due to none appearance of interested bidder.</t>
  </si>
  <si>
    <t xml:space="preserve"> Republic of the Philippines Province of Negros Occidental CITY OF VICTORIAS BIDS AND AWARDS COMMITTEE Reference No: Vict-eps20-038 INVITATION TO BID  PURCHASE OF MATERIALS FOR INSTALLATION OF SERVICE TRANSFORMER AND REHABILITATION OF ELECTRICAL CONNECTION</t>
  </si>
  <si>
    <t xml:space="preserve"> Item No.	Item/s and Description					Specification		Quantity	Unit	Budget  Price per unit 1	external harddrive					 1 terabyte,portable 		1	unit	 4,500.00  2	Bond paper legal size					 sub.20, 70gsm 		20	reams	 215.00  3	Bond Paper A4					 sub.20,A4 		223	r</t>
  </si>
  <si>
    <t xml:space="preserve"> OFFICE OF THE BIDS AND AWARDS COMMITTEE (BAC)                                                                                                     Notice No     : 2020-334                                                                                     </t>
  </si>
  <si>
    <t xml:space="preserve"> Please quote your best price 40 carts of HP Laserjet P1102, 85A ABC: 160,000.00 20 carts of HP Laserjet Pro M102W cartridge CF17A ABC: 100,000.00 30 carts of Ink Cartridge, HP F6V27AA (HP680) Black ABC: 15,000.00 30 carts of Ink Cartridge, HP F6V26AA (HP6</t>
  </si>
  <si>
    <t xml:space="preserve"> 1.		A4 bondpaper, sub 20 	ream	5 2.		Alcohol, 70% Ethyl 500mL 	bottle	5 3.		Alcohol, 70% Isopropyl 250mL 	bottle	24 4.		Alcohol, 75% Isopropyl 500mL 	bottle	44 5.		Alcohol, 75% Isopropyl 500mL Scented	bottle	150 6.		Ballpen-black good quality	piece	684 7.</t>
  </si>
  <si>
    <t xml:space="preserve"> 1	BOT.	HAND SANITIZER	30	285.50	8565.00 2	BOT.	LIQUID SOAP	25	117.6	2940.00 3	BOT.	ALCOHOL SMALL	65	43.79	2846.35 5	PCS.	BATH SOAP BIG	65	40	2600.00 6	PCS.	TISSUE	250	12	3000.00 7	GAL.	ALCOHOL 	34	890	30260.00 8	PACK	POWDER SOAP	100	115.15	11515.00 9	PCS.</t>
  </si>
  <si>
    <t xml:space="preserve"> REQUEST FOR QUOTATION														 														 RFQ No.		SVP 20-0924				Date				8/6/2020				 PR Reference		100-20-07-074				Implementing Office				LCR OFFICE				 Closing Date and Time														 Designated Places of Submission (Bid Box Designated Lo</t>
  </si>
  <si>
    <t xml:space="preserve"> BOOKS AND MAGAZINES</t>
  </si>
  <si>
    <t xml:space="preserve"> Republic of the Philippines Department of National Defense PHILIPPINE VETERANS AFFAIRS OFFICE Veterans Compound Camp General Emilio Aguinaldo, Quezon City Invitation to Bid for  REPAIR/RENOVATION OF MSB BUILDING AND CONSTRUCTION OF GREEN PARK AND CAR PARK</t>
  </si>
  <si>
    <t xml:space="preserve"> Republic of the Philippines Province of Batanes	 MUNICIPALITY OF BASCO               		INVITATION TO BID FOR THE PROCUREMENT OF MATERIALS FOR THE REHABILITATION OF MUNICIPAL BUILDING-STAIRS AND HALLWAY 1.	The Municipal Local Government Unit of Basco, thro</t>
  </si>
  <si>
    <t xml:space="preserve"> Please see attached files for reference. File names: 1. ITB - Pest Control 2. Bid Docs- Pest Control ***nothing follows***</t>
  </si>
  <si>
    <t xml:space="preserve"> A. FENCE LENGTH = 80.00 LINEAL METERS HEIGHT = 3.0 METERS B. STEEL GATE LENGTH = 4.0 METERS I. EARTH WORKS II. CONCRETE WORKS (COLUMNS, FOOTINGS, WFs, ROOF SLAB OF MAIN GATE) III. MASONRY &amp; PLASTERING IV. REINFORCEMENT BARS (COLUMNS, Ftgs, CANOPY OF MAIN </t>
  </si>
  <si>
    <t xml:space="preserve"> FURNISHING OF LABOR, MATERIALS AND EQUIPMENT RENTALS FOR THE CONCRETING OF LEON-OMAMBONG-CORDOVA ROAD, TIGBAUAN, ILOILO.</t>
  </si>
  <si>
    <t xml:space="preserve"> Republic of the Philippines Province of Leyte Municipality of Hilongos INVITATION TO BID FOR THE PURCHASE OF PROJECTOR 1.  The Local Government Unit of Hilongos, through GENERAL FUND-CONTINUING APPROPRIATION-SUPPLEMENTAL BUDGET NO. 2019-01 intends to appl</t>
  </si>
  <si>
    <t xml:space="preserve"> SUPPLY AND DELIVERY OF MATERIALS AND EQUIPMENTS FOR OPERATION AND MAINTENANCE USE.</t>
  </si>
  <si>
    <t xml:space="preserve"> Republic of the Philippines Province of Palawan Municipality of Narra INVITATION TO BID 1.	The Municipal Government of Narra, through Ord. No, 2019-904 intends to apply the sum of FOUR MILLION FIVE HUNDRED THOUSAND PESOS (PHP 4,500,000.00) being the Appro</t>
  </si>
  <si>
    <t xml:space="preserve"> Improvement</t>
  </si>
  <si>
    <t xml:space="preserve"> Anti-Glare Webcam Resolution: 480P 640*480 Frame Rate: 30fps Built-in Mic: Single Mic Lens Type: Glass Lens Focus Type: Fixed Focus Output Format: MJPEG YUY2 USB Transfer: USB 2.0 High-Speed Viewing Angle: 54 degrees System Requirements: Windows 7/ 8/ 8.1</t>
  </si>
  <si>
    <t xml:space="preserve"> Republic of the Philippines Province of Iloilo BIDS AND AWARDS COMMITTEE INVITATION TO BID Purchase of Furnitures and Fixtures Bid No.PPO-20-0936-B  1. The Iloilo Provincial Government, through the 2020 CAPITAL OUTLAY intends to apply the sum of TWO HUNDR</t>
  </si>
  <si>
    <t xml:space="preserve"> Porcelain plate, White Bowl Small Bowl medium Bowl Big Cup and Saucer Spoon (ordianry Fork( ordinary) Glass tall ( clear drinking glass) Cup Water Tumbler ( Blue) Rice Cooker (medium_ DIsh Cabinet Serving Spoon Plate Saucer Drinking glass regular size pit</t>
  </si>
  <si>
    <t xml:space="preserve"> TP Link TL-SG1016PE 16-Port Gigabit, 2 unit &amp; 11 other line items</t>
  </si>
  <si>
    <t xml:space="preserve"> SUPPLY AND DELIVERY OF AUTOMATIC VOLTAGE REGULATOR (AVR) R250, D510C.</t>
  </si>
  <si>
    <t xml:space="preserve"> 15	units	Scythe (bakoko) 2	units	Brush Cutter 4	units	Trimmer Head 4	rolls	Mowing Nylon (tansi) (95m/roll) for brushcutter 5	pcs.	Sharpening stone (hasaan) 1	unit	Chainsaw (MS 230 Gasoline powered 18" farm series with Guide bar and saw chain accessories a</t>
  </si>
  <si>
    <t xml:space="preserve"> Procurement of 1 Lot Vehicle Spare Parts and Accessories</t>
  </si>
  <si>
    <t xml:space="preserve"> REQUEST FOR QUOTATION 				                                     Date: August 7, 2020 				                                     Quotation No/PR No. 143 To all Eligible Suppliers: I.  Please quote your lowest price inclusive of VAT on the item listed below, s</t>
  </si>
  <si>
    <t xml:space="preserve"> Procurement of 1 Lot Rice, etc.</t>
  </si>
  <si>
    <t xml:space="preserve"> Corazon Locsin Montelibano Memorial Regional Hospital, through its Bids and Awards Committee, intends to procure CSR SUPPLIES (PR#20-07-70697), which will be undertaken in accordance with Section 53.9 of the Revised Implementing Rules and Regulations of R</t>
  </si>
  <si>
    <t xml:space="preserve"> Office Equipment Supplies and consumable................................162, 930.00</t>
  </si>
  <si>
    <t xml:space="preserve"> 1	PCS.	EXTERNAL DRIVE	1	2800.00	2800.00 2	PCS.	HDMI CORD	1	500	500.00 3	PCS.	DIGITAL TV	5	10,000	50000.00 4	PCS.	SPEAKER	10	500	5000.00 5	PCS.	LAMINATOR	1	5000	5000.00</t>
  </si>
  <si>
    <t xml:space="preserve"> INVITATION TO BID The Provincial Government of Bulacan (PGB), through its Bids and Awards Committee (BAC), invites contractors to apply for eligibility and to bid for hereunder projects: NO.	PROJECT TITLE	ABC	CONTRACT DURATION	SOURCE OF FUND GOODS-082620-</t>
  </si>
  <si>
    <t xml:space="preserve"> Hemostatic Agent (Celox), 95 kit &amp; 1 other line item</t>
  </si>
  <si>
    <t xml:space="preserve"> Republic of the Philippines CITY OF PANABO Province of Davao del Norte BIDS AND AWARDS COMMITTEE -o0o- INVITATION TO BID  SUPPLY OF MODEM, WIFI 1.	The City of Panabo, through LSB/DEP.ED-OTHER SUPPLIES &amp; MATERIALS EXPENSES-MOOE 2020 intends to apply the su</t>
  </si>
  <si>
    <t xml:space="preserve"> Republic of the Philippines MUNICIPALITY OF KAPALONG Province of Davao del Norte 	o0o	 INVITATION TO BID 		 Supply &amp; Delivery of Other Supplies 1.	The Local Government Unit of Kapalong, through the 20% Dev’t. Fund –SB# 2- 2020  intends to apply the sum of</t>
  </si>
  <si>
    <t xml:space="preserve"> Republic of the Philippines CITY OF PANABO Province of Davao del Norte BIDS AND AWARDS COMMITTEE -o0o- INVITATION TO BID  SUPPLY OF CONSOLIDATED LAPTOP &amp; COMPUTER DESKTOP  1.	The City of Panabo, through CDRRMC-C.O. ICT EQUIPMENT-TRUST FUND 03-CALAMITY FUN</t>
  </si>
  <si>
    <t xml:space="preserve"> INVITATION FOR SUBMISSION OF QUOTATION (SMALL VALUE PROCUREMENT)   The ZAMBOANGA SIBUGAY POLYTECHNIC INSTITUTE (ZSPI) formerly KABASALAN INSTITUTE OF TECHNOLOGY (KIT), through the General Appropriations Act (GAA) of 2018 intends to apply the sum SIX HUNDR</t>
  </si>
  <si>
    <t xml:space="preserve"> 50 PCS NBS FILTER CARDS</t>
  </si>
  <si>
    <t xml:space="preserve"> MOOE Procurement for second quarter</t>
  </si>
  <si>
    <t xml:space="preserve"> 35,000	pcs.	Potting bag, 4” x 8”</t>
  </si>
  <si>
    <t xml:space="preserve"> Republic of the Philippines MUNICIPALITY OF KAPALONG Province of Davao del Norte 	o0o	 INVITATION TO BID 	 Supply &amp; Delivery of Materials for Repair and Maintenance of Heavy Equipments   1.	The Local Government Unit of Kapalong, through the General Fund  </t>
  </si>
  <si>
    <t xml:space="preserve"> Supply and Delivery of column Reservoir and Flow adaptor Budget: P55,000 Please see attached file for the Purchase Request with details of the items</t>
  </si>
  <si>
    <t xml:space="preserve"> INVITATION TO BID IB No. GS-2020 – 075-A Hospital/Medical Equipment for use of OMSDH/ for the Covid &amp; Non Covid patients of OMSDH 1. The  Provincial  Government  of  Oriental  Mindoro  (PGOM)  through  the  20% Development Fund CA 2019 intends  to  apply </t>
  </si>
  <si>
    <t xml:space="preserve"> The Pasay City Government – Pasay City Public Market, through its Bids and Awards Committee, intends to apply the sum of Fifty Three Thousand Two Hundred Pesos (Php500,000.00) being the Approved Budget for the Contract (ABC) for the  project: Replacement,</t>
  </si>
  <si>
    <t xml:space="preserve"> 3 unit DVR 16-channel Hard Disk 3 unit Power supply 10A, centralized 10 rolls CCTV Cable with power 70 pcs BNL Connector video 70 pcs BNL Connector power 3 unit DVR 8 channel 32 unit Camera 2mp 3 unit Power supply 30A, centralized</t>
  </si>
  <si>
    <t xml:space="preserve"> Item 103-Structural Excavation, Q= 54.00 cu.m., with 40.00 linear meters, A. Equipment Rental: one (01) unit  jackhammer, and one (01) unit concrete saw, B. Labor: ten (10) manpower, Item 404- Reinforcing Steel, Q= 1,280.79 kls. A. Materials: 16mm x 6.0m </t>
  </si>
  <si>
    <t xml:space="preserve"> Please see attached Terms of Reference</t>
  </si>
  <si>
    <t xml:space="preserve"> 50 PCS TOILET BOWL</t>
  </si>
  <si>
    <t xml:space="preserve"> Republic of the Philippines Province of Iloilo BIDS AND AWARDS COMMITTEE INVITATION TO BID Purchase ofOffice Equipment Bid No.PPO-20-0937-B  1. The Iloilo Provincial Government, through the 2020 CAPITAL OUTLAY intends to apply the sum of THREE HUNDRED SIX</t>
  </si>
  <si>
    <t xml:space="preserve"> REQUEST FOR QUOTATION The Local Government Unit of Molave, through its Bids and Awards Committee, will undertake a Small Value Procurement for the Purchase of Various Food Stuff and Grocery Items to be Served as Meals during the Conduct  of Training on th</t>
  </si>
  <si>
    <t xml:space="preserve"> ROLL-UP DOORS AS PER DIMENSION AND FREE INSTALLATIONS PACKAGES.</t>
  </si>
  <si>
    <t xml:space="preserve"> Please quote your lowest price inclusive of VAT on the item/s listed below, subject to the Terms and Conditions of this RFQ, and submit your quotation duly signed by your representative at Bids and Awards Committee, Ground Floor, NIA Compound, Lapu-lapu S</t>
  </si>
  <si>
    <t xml:space="preserve"> CLARK DEVELOPMENT CORPORATION														 Clark Freeport Zone, Philippines														 														 REQUEST FOR QUOTATION														 														 The Clark Development Corporation, through its Purchasing Division(PD), invites suppliers/								</t>
  </si>
  <si>
    <t xml:space="preserve"> INVITATION TO BID Purchase and Delivery of Cover All and Mask Set for Front Liners ITB 2020-08-043 (GOODS) 1. 	The Municipality of Tuba, through the Budget for the contract approved by the Sangguniang Bayan for CY 2019 intends to apply the sum of Three Hu</t>
  </si>
  <si>
    <t xml:space="preserve"> LENGTH = 150 LINEAL METERS WIDTH = 5.00 METERS THICKNESS = 0.15 METERS VOLUME = 112.50 CU.M.</t>
  </si>
  <si>
    <t xml:space="preserve"> ITEMS 275 PCS 2X2X12 GOOD LUMBER 75 PC 2X3X12 GOOD LUMBER 45 PCS 2X4X12 GOOD LUMBER 45 PCS 2X4X10 GOOD LUMBER 35 PCS 2X4X14 GOOD LUMBER 30 PCS 2X6X10 GOOD LUMBER 16 PCS 2X6X12 GOOD LUMBER 18 PCS 2X6X14 GOOD LUMBER 18 PCS 2X6X16 GOOD LUMBER 12 PCS 2X622 GO</t>
  </si>
  <si>
    <t xml:space="preserve"> REQUEST FOR QUOTATION														 														 RFQ No.		SVP 20-0923				Date				8/6/2020				 PR Reference		100-20-07-070				Implementing Office				 VET				 Closing Date and Time														 Designated Places of Submission (Bid Box Designated Location</t>
  </si>
  <si>
    <t xml:space="preserve"> REQUEST FOR QUOTATION											 											 RFQ No.		SVP 20-0930				Date				8/6/2020	 PR Reference		100-20-07-078				Implementing Office				CENRO	 Closing Date and Time											 Designated Places of Submission (Bid Box Designated Locations)						1. BAC</t>
  </si>
  <si>
    <t xml:space="preserve"> INVITATION TO BID The __DEPARTMENT OF PUBLIC WORKS AND HIGHWAYS - DISTRICT ENGINEER’S OFFICE ZAMBOANGA CITY__, through its Bids and Awards Committee (BAC), invites contractors to submit bids for the following Contract: Contract ID: 20JA0094   (RE-ADVERTIS</t>
  </si>
  <si>
    <t xml:space="preserve"> PURPOSE: FOR PARKING LIGHTS Fax your Price Quotation at Tel. Fax#: 426-30-45 / 927-64-26 local 2561 or Email at bacveterans@gmail.com. Please indicate the brand name and complete specifications.</t>
  </si>
  <si>
    <t xml:space="preserve"> Acrylic Table Barriers - 27 units Furniture High Revolving Bar Tool - 3 units</t>
  </si>
  <si>
    <t xml:space="preserve"> The Municipality of Baliwag, through its Bids and Awards Committee (BAC), invites contractors to apply for eligibility and to bid the here ender project: Name of Project	:	PRINTING AND INFORMATION AND COMMUNICATION  				TECHNOLOGY (ICT) EQUIPMENT FOR VARI</t>
  </si>
  <si>
    <t xml:space="preserve"> LENGTH = 150 LINEAL METERS WIDTH = 2.50 METERS THICKNESS OF AGGREGATE BASE COURSE = 0.20 METERS (AVERAGE) VOLUME = 56.25 CU.M. AGGREGATE SUB-BASE COURSE VOLUME = 71.00 CU.M.</t>
  </si>
  <si>
    <t xml:space="preserve"> Hardiflex 1/4-Facia Board, 20 pcs &amp; 62 other line items</t>
  </si>
  <si>
    <t xml:space="preserve"> The Department of Trade &amp; Industry Region IV-A (DTI-CALABARZON) invites all interested parties to submit their quotation for the conduct of Webinar on Coping with the New Normal: Adaptability Skills Enhancement Mental &amp; Physical Health Awareness on August</t>
  </si>
  <si>
    <t xml:space="preserve"> 1. 1 unit 1.5 HP Split Type Inverter Aircon Digital Inverter Slim Design Remote Controlled  2. 1 Unit 1 HP Split Type Inverter Aircon  Digital Inverter  Slim Design  Remote Controlled  3. 2 Unit 2 HP Split Converter Aircon  Digital Inverter  Slim Design  </t>
  </si>
  <si>
    <t xml:space="preserve"> Item No.	Qty	DESCRIPTION				Unit Of Measurement 						 1	1	Red Oxide Primer Paint				Gal. 2	1	QDE Paint, Gloss Royal Blue, Good Qlty.				Gal. 3	1	QDE Paint, gloss White, Good Qlty.				L. 4	1	QDE Paint. Gloss Red, Good Qlty.				L. 5	1	QDE Paint, Gloss Gree</t>
  </si>
  <si>
    <t xml:space="preserve"> INVITATION TO BID IB No. GS-2020 – 094 Chemicals and Chemical Products for use of the OMPH patients/2nd quarter 2020 1. The  Provincial  Government  of  Oriental  Mindoro  (PGOM)  through  the  Trust Fund intends  to  apply  the  sum  of  One Million Five</t>
  </si>
  <si>
    <t xml:space="preserve"> Repair &amp; Maintenance Communication Equipment</t>
  </si>
  <si>
    <t xml:space="preserve"> 1.	The National Food Authority Region 1, through its 2020 Corporate Operating Budget intends to apply the sum of PESOS: One Million Two Hundred Fifty Thousand and 00/100 only (P1,250,000.00), inclusive of VAT being the Approved Budget for the Contract (AB</t>
  </si>
  <si>
    <t xml:space="preserve"> Please quote your best price 20 pcs of Samsung Xpress M2070 fw, Toner Cartridge MLT-D111S ABC: 27,500.00 Please email your quotation Please download canvass form</t>
  </si>
  <si>
    <t xml:space="preserve"> REQUEST FOR QUOTATION											 											 RFQ No.		SVP 20-0938				Date				8/6/2020	 PR Reference		100-20-07-075				Implementing Office				CENRO	 Closing Date and Time											 Designated Places of Submission (Bid Box Designated Locations)						1. BAC</t>
  </si>
  <si>
    <t xml:space="preserve"> Please quote your price for the item specified below, taking into consideration the following: PROCUREMENT TERMS &amp; CONDITIONS					 					 1.	Price quotation should be inclusive of the 5% Final VAT and expanding withholding tax (EWT) of 1%.				 2.	Evaluatio</t>
  </si>
  <si>
    <t xml:space="preserve"> Repair &amp; Maintenance ICT Equipment</t>
  </si>
  <si>
    <t xml:space="preserve"> 500	pcs.	Concrete post w/ hook,  4 x 4 x 6ft.		 20	bags	Concrete cement		 2	load	Sand, course		 2	load	Sand, fined		 20	kls.	Tie wire # 16		 200	roll	Cyclone wire # 2 x 5ft. x 24		 20	roll	Barb wire, 125m		 20	box	Welding electrodes, 5kg per box		 30	pcs	</t>
  </si>
  <si>
    <t xml:space="preserve"> PURPOSE: FOR USE IN OR Fax your Price Quotation at Tel. Fax#: 426-30-45 / 927-64-26 local 2561 or Email at bacveterans@gmail.com. Please indicate the brand name and complete specifications.</t>
  </si>
  <si>
    <t xml:space="preserve"> PCC at CMU invites a Philgeps Registered suppliers to supply 20,000 kilos Copra Meal (Good Quality) with an approved ABC P300,000.00. Suppliers must be a Philgeps registered with ANIMAL FEEDS, RICE MILL Category and so with its Business Permit. For more i</t>
  </si>
  <si>
    <t xml:space="preserve"> INVITATION TO BID The Department of Public Works and Highways - Pampanga 1st District Engineering Office, through its Bids and Awards Committee (BAC), invites contractors to submit bids for the following Contract: 1.	 Procurement ID/Contract ID	:	20CG0267</t>
  </si>
  <si>
    <t xml:space="preserve"> See attached files</t>
  </si>
  <si>
    <t xml:space="preserve"> INVITATION TO BID IB No. GS-2020 – 095 Construction Materials and Supplies for use in the Construction of SSG Office at San Teodro NHS, San Teodoro, Oriental Mindoro/ Completion of Gymnasium at Ma. Estrella E/S, Tawiran, Calapan City, Oriental Mindoro/ Co</t>
  </si>
  <si>
    <t xml:space="preserve"> Republic of the Philippines Province of South Cotabato Municipality of Sto. Niño BARANGAY POBLACION BIDS AND AWARDS COMMITTEE (BAC) Invitation to Bid 1. The Barangay Local Government of Poblacion, Sto. Niño, South Cotabato through its Bids and Awards Comm</t>
  </si>
  <si>
    <t xml:space="preserve"> Bond Paper Long Bond paper Short Folder Long Record Book Ballpen Correction Tape/Pen Stapler Staple Wire Plastic Fastener Assorted Ink Folder Short Calculator</t>
  </si>
  <si>
    <t xml:space="preserve"> 1 LOT  Design/ Consultancy Services for the OTOP Assessment, Consultation, and Triage (ACT)  and Product Development Sessions for the 15 New OTOPreneurs of the Food Sector in So. Leyte  and Initial Printing of desired Product Labels  Target Implementation</t>
  </si>
  <si>
    <t xml:space="preserve"> Consultation Services to render the following functions: 1. Development/Processing of the Positive Messages 2. Production of IEC Materials 3. Editing News, Broadcast Feeds 4. To assist Communication Research thru QRS 5. Social Media Managing     a. SMS (T</t>
  </si>
  <si>
    <t xml:space="preserve"> CCTV FULL HD 1080P 4 CHANNEL  1 TB HDD 19" LED MONITOR W/ INSTALLATION</t>
  </si>
  <si>
    <t xml:space="preserve"> INVITATION TO BID The Iligan City Government Bids and Awards Committee (BAC), invites contractors registered by the Philippine Contractors Accreditation Board (PCAB) to bid for the hereunder contract: Name of Project 	  : Construction of Iligan’s Best Dis</t>
  </si>
  <si>
    <t xml:space="preserve"> LED Bulb (15) watts, 10 pcs &amp; 21 other line items</t>
  </si>
  <si>
    <t xml:space="preserve"> Network Monitoring Software Maintenance Subscription  -One (1) year software maintenance -Standard Remote Support – Phone, email included and software updates -4x On-site optimization and Configuration Service</t>
  </si>
  <si>
    <t xml:space="preserve"> REQUEST FOR QUOTATION											 											 RFQ No.		SVP 20-0929				Date				8/5/2020	 PR Reference		100-20-07-042.1				Implementing Office				CPSO	 Closing Date and Time											 Designated Places of Submission (Bid Box Designated Locations)						1. BA</t>
  </si>
  <si>
    <t xml:space="preserve"> INVITATION TO BID IB No. GS-2020 – 093 Chemicals and Chemical Products for OMPH patients use 1. The  Provincial  Government  of  Oriental  Mindoro  (PGOM)  through  the  Trust Fund  intends  to  apply  the  sum  of  One Million Three Hundred Thirty Seven </t>
  </si>
  <si>
    <t xml:space="preserve"> Please quote your best price 3 carts of Ink for Printers (3 LC3619 Black) ABC: 6,000.00 2 carts of Ink for Printers (2 LC3619 Magenta) ABC: 3,000.00 2 carts of Ink for Printers (2 LC3619 Cyan) ABC: 3,000.00 2 carts of Ink for Printers (2 LC3619 Yellow) AB</t>
  </si>
  <si>
    <t xml:space="preserve"> Please quote your best price 50 carts of Brother Ink, LC633 ink cartridge, Black ABC: 15,000.00 50 carts of Brother Ink, LC633 ink cartridge, Cyan ABC: 15,000.00 50 carts of Brother Ink, LC633 ink cartridge, Yellow ABC: 15,000.00 50 carts of Brother Ink, </t>
  </si>
  <si>
    <t xml:space="preserve"> Republic of the Philippines Province of Batanes	 MUNICIPALITY OF BASCO               		INVITATION TO BID FOR THE PROCUREMENT OF MATERIALS FOR THE REPAIR AND MAINTENANCE OF MUNICIPAL BUILDING-CONFERENCE ROOM 1.	The Municipal Local Government Unit of Basco,</t>
  </si>
  <si>
    <t xml:space="preserve"> ICT ACCESSORIES AND COMPUTER INK 3	pieces	Type C Connector 4	pieces	Router, Wire 802.11N Wi-Fi Tech: AC 1,000 Dual-Band                               TP Link Archer C 60 1	piece	HDMI Cable, 10 meters 6	sets	Computer Ink, L360, 4 bts/set 18	bottles	Compute</t>
  </si>
  <si>
    <t xml:space="preserve"> INVITATION TO BID IB No. GS-2020 – 092 Chemicals and Chemical Products for OMPH patients use 1. The  Provincial  Government  of  Oriental  Mindoro  (PGOM)  through  the  Trust Fund  intends  to  apply  the  sum  of  One Million Three Hundred Eighty Eight </t>
  </si>
  <si>
    <t xml:space="preserve"> Republic of the Philippines DEPARTMENT OF HEALTH WESTERN VISAYAS Center for Health Development INVITATION TO BID FOR THE  Procurement of Drugs and Medicines for Botika ng Bayan,  IB No. SB-2020-035 1.	The Department of Health – WV CHD, through the 2020 NC</t>
  </si>
  <si>
    <t xml:space="preserve"> Republic of the Philippines Office of the Municipal Mayor BIDS AND AWARDS COMMITTEE Sual, Pangasinan Invitation to Bid for PROCUREMENT OF OFFICE SUPPLIES AND EQUIPMENT FOR THE PREPARATION OF COMPREHENSIVE LAND USE PLAN &amp; COMPREHENSIVE DEVELOPMENT PLAN Sua</t>
  </si>
  <si>
    <t xml:space="preserve"> SUPPLY AND DELIVERY OF SERVICES AS PER SCOPE OF WORKS FOR 600KW KTA38-G1.</t>
  </si>
  <si>
    <t xml:space="preserve"> Technical Specifications: A4, Sub 20, 70 gsm, Arrange with Sorting                                    Printing not back to back Approved Budget for the Contract (ABC): 145,560.00 Qty	    UNIT	             ARTICLES	                                       UN</t>
  </si>
  <si>
    <t xml:space="preserve"> CAPSULE, MULTIVITAMINS AND MINERALS, 100's, PHARMATON &amp; 14 OTHER ITEMS</t>
  </si>
  <si>
    <t xml:space="preserve"> Please quote your best price 20 carts of Fuji Xerox DocuPrint P115w ink cart ABC: 72,000.00 Please email your quotation Please download canvass form</t>
  </si>
  <si>
    <t xml:space="preserve"> Republic of the Philippines DEPARTMENT OF EDUCATION REGION VI–WESTERN VISAYAS DIVISION OF NEGROS OCCIDENTAL Cottage Road, Bacolod City Tel/Fax # - (034) 435–3960 e–mail: negros.occidental001@deped.gov.ph Website: www.depednegrosoccidental.weebly.com _____</t>
  </si>
  <si>
    <t xml:space="preserve"> Printing of modules from grade 1 to grade 6 subjects with a total of 147,420 pages with a total amount of P73,710.00. This will be delivered to the school, Bulao Elementary School at Bulao, Iponan, Cagayan de Oro City before the school year begin this Aug</t>
  </si>
  <si>
    <t xml:space="preserve"> Diagnostic Test Materials for pupils used.</t>
  </si>
  <si>
    <t xml:space="preserve"> Republic of the Philippines Province of Bulacan Municipality of Calumpit INVITATION TO BID The Municipality of Calumpit , Bulacan through its Bids and Awards Committee (BAC), invites all prospective bidders to apply for eligibility and subsequently bid fo</t>
  </si>
  <si>
    <t xml:space="preserve"> Materials: 6 pcs Cam     4,000 each          24,000.00 6 pcs Power Supply 250 each      1,500.00 6 pcs Power Box 200 each          1,200.00  1, 470meter Cable 15 each      22,050.00 6 pcs BAlun 200 each                 1,200.00 Total 49,950</t>
  </si>
  <si>
    <t xml:space="preserve"> Republic of the Philippines Office of the Municipal Mayor BIDS AND AWARDS COMMITTEE Pasuquin, Ilocos Norte INVITATION TO BID FOR IMPROVEMENT OF HISTORICAL SITE  (Municipal Park) 1.	The LGU-PASUQUIN, through the AO2020-015, GENERAL FUND  intends to apply t</t>
  </si>
  <si>
    <t xml:space="preserve"> INVITATION TO BID IB No. GS-2020 – 096 Construction Materials and Supplies for use in the Improvement of Barangay Hall at Brgy. Bagumbayan, Roxas, Oriental Mindoro/ Repair of Kinder and Grade 1 Classroom at San Juan E/S, Brgy. Cantil Roxas, Oriental Mindo</t>
  </si>
  <si>
    <t xml:space="preserve"> REQUEST FOR QUOTATION														 														 RFQ No.		SVP 20-0922				Date				8/6/2020				 PR Reference		100-20-07-039				Implementing Office				AGRICULTURE				 Closing Date and Time														 Designated Places of Submission (Bid Box Designated L</t>
  </si>
  <si>
    <t xml:space="preserve"> Republic of the Philippines DEPARTMENT OF HEALTH WESTERN VISAYAS Center for Health Development INVITATION TO BID FOR THE  Procurement of Drugs and Medicines,  IB No. SB-2020-034 1.	The Department of Health – WV CHD, through the 2020 GOP Pooled, CONAP SAA </t>
  </si>
  <si>
    <t xml:space="preserve"> 1 LOT REPAIR OF BUILDING INTENDED FOR ICE MACHINE &amp; Ice STORAGE (LABOR)</t>
  </si>
  <si>
    <t xml:space="preserve"> Shopping . . . .</t>
  </si>
  <si>
    <t xml:space="preserve"> 13 	unit	Printer	1	 9,000.00 	117,000.00 (3N1), HEAVY DUTY</t>
  </si>
  <si>
    <t xml:space="preserve"> 1. All entries must be typewritten or legibly written. 2. Delivery period within 15CD upon receipt of the approved funded Purchase Order (P.O.) Administrative Penalties pursuant to Sec. 69 of the Revised IRR-RA 9184 shall be imposed for non-delivery witho</t>
  </si>
  <si>
    <t xml:space="preserve"> Republic of the Philippines CITY OF PANABO Province of Davao del Norte BIDS AND AWARDS COMMITTEE -o0o- INVITATION TO BID  SUPPLY OF 2 UNITS MOTORCYCLE 1.	The City of Panabo, through CMO-CONTINUING APPROPRIATION CY 2019 CDF intends to apply the sum of One </t>
  </si>
  <si>
    <t xml:space="preserve"> PURPOSE: FOR USE IN PATIENT MONITOR AT MITU Fax your Price Quotation at Tel. Fax#: 426-30-45 / 927-64-26 local 2561 or Email at bacveterans@gmail.com. Please indicate the brand name and complete specifications.</t>
  </si>
  <si>
    <t xml:space="preserve"> For Lease (LAPTOP) BAC-20-0118 OS: Windows 10 Home Processor: Intel core i7-8265U 1.6Ghz (6M Cache, up to 3.9Ghz) Graphics: 4B NVIDIA GTX 1050 Display: 15.6 LED-backlit FHD (1920x1080) 16:9 anti-glare display RAM: 8gb DDR4 2400Mhz SSD: 256GB SATA SSD HDD:</t>
  </si>
  <si>
    <t xml:space="preserve"> 4	sacks	Fertilizer; NPK, 14-14-14 complete fertilizer: weight: 50 kg/sack			 1,800.00  3	kilos	Fungicide: wettable powder			 500.00  5	pairs	Gloves, gardening, Extralarge, pigskin leather 			 300.00  5	pairs	Gloves, gardening, Medium, pigskin leather 			 </t>
  </si>
  <si>
    <t xml:space="preserve"> Republic of the Philippines Province of Iloilo BIDS AND AWARDS COMMITTEE INVITATION TO BID Purchase ofOffice Supplies Bid No.PPO-20-0932-B  1. The Iloilo Provincial Government, through the 2020 GENERAL FUND intends to apply the sum of SEVENTY THOUSAND PES</t>
  </si>
  <si>
    <t xml:space="preserve"> Continuation of Barangay Multi-Purpose Hall Construction (Phase-4)</t>
  </si>
  <si>
    <t xml:space="preserve"> Repair &amp; Maintenance Office Equipment</t>
  </si>
  <si>
    <t xml:space="preserve"> Republic of the Philippines								 Province of Negros Occidental								 Municipality of La Castellana								 Bids and Awards Committee								 								 INVITATION TO APPLY FOR ELIGIBILITY AND TO BID								 								 Name of Project: 		CONSTRUCTION OF 3</t>
  </si>
  <si>
    <t xml:space="preserve"> The work includes repair and improvement of 7.90m x 7.28m multi-purpose building with the following scope of work i) repair of concrete steps ii) Replacement of windows and doors iii) Repair of ceiling and parapet, and iv) Re-painting. The project also in</t>
  </si>
  <si>
    <t xml:space="preserve"> INVITATION TO BID The Municipal Government of Nampicuan, through its Bids and Awards Committee (BAC), invites Contractors to apply for eligibility and to bid for the hereunder projects: Name of Project	Approved Budget of the Contract	Bid Document Fee (Non</t>
  </si>
  <si>
    <t xml:space="preserve"> Republic of the Philippines Province of Ifugao BIDS AND AWARDS COMMITTEE Banaue, Ifugao INVITATION TO BID FOR LABORATORY SUPPLIES  Publication No. G-2020-023 1st  Publication 1.	The Local Government Unit of Banaue, Ifugao, through the LGU FUND intends to </t>
  </si>
  <si>
    <t xml:space="preserve"> Republic of the Philippines Province of Eastern Samar Municipality of Guiuan Invitation to Bid  for  SUPPLY AND DELIVERY OF MATERIALS FOR PROPOSED BRGY. ROAD CONCRETING AT SITIO CABCAO, BRGY. BUCAO, GUIUAN, EASTERN SAMAR Barangay Bucao of Guiuan,  through</t>
  </si>
  <si>
    <t xml:space="preserve"> PR.No. ____________________ Republic of the Philippines Region XII Province of Cotabato Municipality of Aleosan  OFFICE OF BIDS AND AWARDS COMMITTEE REQUEST FOR QUOTATION __________________________ Name of Company __________________________ Address 	The L</t>
  </si>
  <si>
    <t xml:space="preserve"> See attached RFQ No. 2020-08-021</t>
  </si>
  <si>
    <t xml:space="preserve"> PURCHASE OF</t>
  </si>
  <si>
    <t xml:space="preserve"> SEE UPLOADED RFQ</t>
  </si>
  <si>
    <t xml:space="preserve"> 1.	The Provincial Government of Davao del Norte, through CY 2020 Annual Budget hereby invites all interested PhilGEPS registered suppliers to submit bids for the procurement of goods. Bids received in excess of the ABC shall be automatically rejected at b</t>
  </si>
  <si>
    <t xml:space="preserve"> REQUEST FOR QUOTATION The Local Government Unit of Barangay Cadongdongan, through its 20% Barangay Development Fund, will undertake a Negotiated Procurement – Small Value Procurement for the “Supply and Delivery of Hardware Supplies and Materials” in acco</t>
  </si>
  <si>
    <t xml:space="preserve"> LENGTH = 11.00 METERS WIDTH = 6.00 METERS I. EXCAVATION AND BACKFILLING II. REINFORCING BARS III. FORMS AND SCAFFOLDS IV. CONCRETE V. MASONRY AND PLASTERING WORKS VI. DOORS AND WINDOWS VII. ROOFING MATERIALS VIII. CEILING WORKS IX. ELECTRICAL WORKS X. TIL</t>
  </si>
  <si>
    <t xml:space="preserve"> Please quote your best price 40 pcs of Hard Drive 1TB ABC: 120,000.00 Please email your quotation Please download canvass form</t>
  </si>
  <si>
    <t xml:space="preserve"> Republic of the Philippines Bangsamoro Autonomous Region in Muslim Mindanao MINISTRY OF AGRICULTURE, FISHERIES AND AGRARIAN REFORM BARMM Compound, Gov. Gutierrez Ave., RH-7, Cotabato City, Philippines, 9600 REQUEST FOR SUBMISSION OF PRICE QUOTATION RFQ No</t>
  </si>
  <si>
    <t xml:space="preserve"> Small Value Procurement . . .</t>
  </si>
  <si>
    <t xml:space="preserve"> PURPOSE: FOR USE IN OPD SURGERY Fax your Price Quotation at Tel. Fax#: 426-30-45 / 927-64-26 local 2561 or Email at bacveterans@gmail.com. Please indicate the brand name and complete specifications.</t>
  </si>
  <si>
    <t xml:space="preserve"> Republic of the Philippines CITY OF PANABO Province of Davao del Norte BIDS AND AWARDS COMMITTEE -o0o- INVITATION TO BID  SUPPLY OF 1 UNIT MOTORCYCLE 1.	The City of Panabo, through CMO-1 UNIT MOTORCYCLE-CDF 2020 intends to apply the sum of Eighty Thousand</t>
  </si>
  <si>
    <t xml:space="preserve"> Republic of the Philippines Office of the Municipal Mayor BIDS AND AWARDS COMMITTEE Pasuquin, Ilocos Norte INVITATION TO BID FOR Rehabilitation of Poblacion #01 - Sulbec Hanging Bridge 1.	The LGU-PASUQUIN, through the AO2020-015, GENERAL FUND  intends to </t>
  </si>
  <si>
    <t xml:space="preserve"> INVITATION TO BID NO. DRD-GOODS-CO-1-2020 1.	The National Irrigation Administration - Upper Pampanga River Integrated Irrigation Systems, Dam and Reservoir Division (NIA-UPRIIS, DRD). Bids received in excess of the ABC shall be automatically rejected at b</t>
  </si>
  <si>
    <t xml:space="preserve"> Fund Source: 20% PDF 2019 Types of work to be Done: provision of billboard/ occupational safety and health program/ structure excavation/ structural concrete/ reinforcing steel bar/ forms and falseworks/ cement plaster finish/ masonry works</t>
  </si>
  <si>
    <t xml:space="preserve"> INVITATION TO BID The local government unit of Sagay Camiguin Province through its Bids and Awards Committee (BAC), invites supplier/manufacturers/distributors to apply to bid for the following: Name of Project		:  Water Metering System (for Brgy. Bacnit,</t>
  </si>
  <si>
    <t xml:space="preserve"> Procurement of Analuc Windows with Installation 1	0.80m x 1.50m Analok Win. Casement w/ 1/4thk Glass 	Sets	2 2	0.80m x 1.68m Analok Win. Casement w/ 1/4thk Glass	Set	1 3	0.80m x 1.72m Analok Win. Casement w/ 1/4thk Glass	Set	1 4	1.40m x 1.50m Analok Win. </t>
  </si>
  <si>
    <t xml:space="preserve"> Unit 	Item Description	Quantity 		 copies	Printing and Binding of Grade 2 English Quarter 1 Modules 1-5 (118 pages  at Php 1.85 per page)	51 copies	Printing and Binding of Grade 2 Filipino Quarter 1 Modules 1-7 (197 pages  at Php 1.85 per page)	51 copies	</t>
  </si>
  <si>
    <t xml:space="preserve"> OFFICE OF THE BIDS AND AWARDS COMMITTEE (BAC)                                                                                                     Notice No     : 2020-335                                                                                     </t>
  </si>
  <si>
    <t xml:space="preserve"> Republic of the Philippines Department of Public Works and Highways OFFICE OF THE DISTRICT ENGINEER Catarman, Northern Samar Telefax No.: (055) 251-8190/055) 500-9165  Invitation to Bid The DPWH – Northern Samar 1st Engineering District Office, through it</t>
  </si>
  <si>
    <t xml:space="preserve"> Legal size paper, sets per grade level</t>
  </si>
  <si>
    <t xml:space="preserve"> 1 Unit Computer Desktop OPAG</t>
  </si>
  <si>
    <t xml:space="preserve"> Breakfast for 2 occasions, 112 pax &amp; 4 other line items</t>
  </si>
  <si>
    <t xml:space="preserve"> LITEBEAM 5AC GENZ RADIO ROUTER</t>
  </si>
  <si>
    <t xml:space="preserve"> Republic of the Philippines									 Province of Negros Occidental									 Municipality of La Castellana									 Bids and Awards Committee									 									 INVITATION TO APPLY FOR ELIGIBILITY AND TO BID									 									 Name of Project: 		PROCUREMEN</t>
  </si>
  <si>
    <t xml:space="preserve"> Bond Paper Folder Fastener Stapler Staple Wire</t>
  </si>
  <si>
    <t xml:space="preserve"> PURCHASE OF GENERATOR SET 90KVA</t>
  </si>
  <si>
    <t xml:space="preserve"> Republic of the Philippines PROVINCE OF SURIGAO DEL SUR MUNICIPALITY OF CARRASCAL OFFICE OF MUNICIPAL BIDS AND AWARDS COMMITTEE The Local Government Unit of Carrascal invites all interested and qualified bidders for offers to supply on the Bid forms: Qty </t>
  </si>
  <si>
    <t xml:space="preserve"> 1. 1 piece Bendix gear 2. 1 piece Pressure gear 3. 1 piece Clutch disc 4. 1 piece Fuel pump assembly 5. 2 piece Engine support, left &amp; right 6. 1 set Piston assembly 7. 1 set Liner assembly 8. 1 set Piston ring  9. 1 piece Pilot bearing  10. 1 set Piston </t>
  </si>
  <si>
    <t xml:space="preserve"> Republic of the Philippines Province of Bukidnon MUNICIPALITY OF TALAKAG  	 INVITATION TO SUBMIT QUOTATION FOR THE PROCUREMENT OF GOODS RECOMMENDED FOR NEGOTIATED PROCUREMENT - TWO FAILED BIDDINGS PURSUANT TO SECTION 53.1 OF THE REVISED IMPLEMENTING RULES</t>
  </si>
  <si>
    <t xml:space="preserve"> Invitation to Bid for Supply and Delivery of Office Supplies for the Printing of Self-Learning Modules in DepED Division of Oroquieta City  1.	The DepED, Division of Oroquieta City, through the Letter of Advice of Allotment No. LAA-10-20-192 dated July 24</t>
  </si>
  <si>
    <t xml:space="preserve"> Shopping. . . . 1	lot	Outside Labor (w/ necessatry tools/equipment)	 60,000.00  		&amp; Materials for Fabrication opf Two (2) units 	 		Collapsible G.I. pipe Tent w/ 3-coat Painting 	 		Finished &amp; PVC Trapal Roofing &amp; Sidings with	 		BMC Logo (top &amp; side) per</t>
  </si>
  <si>
    <t xml:space="preserve"> INVITATION TO BID 1.	The Department of Education, Schools Division of Ilocos Sur through the 2020 General Appropriations Act (GAA) intends to apply the sum of Four Million Three Hundred Ninety Thousand Four Hundred Eighty Three Pesos &amp; 50/100 (P4,390,483.</t>
  </si>
  <si>
    <t xml:space="preserve"> PLEASE SEE ATTACHED TOR</t>
  </si>
  <si>
    <t xml:space="preserve"> 1 unit Mop with Spinner 35 piece Raincoat 35 pair Boots 101 piece Face Mask 150 pair Hand Gloves 37 piece Umbrella Hat 42 piece Big Metal Dustpan 80 piece T-shirt Longsleeve</t>
  </si>
  <si>
    <t xml:space="preserve"> Please see attached associated components to see and download the attached canvass.</t>
  </si>
  <si>
    <t xml:space="preserve"> Republic of the Philippines Province of Batanes	 MUNICIPALITY OF BASCO               		INVITATION TO BID FOR THE PROCUREMENT OF MATERIALS FOR THE IMPROVEMENT OF FACILITIES AT MARINE SANCTUARY 1.	The Municipal Local Government Unit of Basco, through the Ge</t>
  </si>
  <si>
    <t xml:space="preserve"> 1	Lot	5 Bottles-Dulbecco's Modified Eagle Medium (DMEM)(1X) Specifications: with 4.5g/L D-Glucose, 110mg/L Sodium pyruvate, L-Glutamine 500 mL/bottle 			 120,000.00  		2 Bottles-Dulbecco's Modified Eagle Medium (DMEM)(1X) Specifications: with 4.5g/L D-Glu</t>
  </si>
  <si>
    <t xml:space="preserve"> 1 LOT LABOR COST</t>
  </si>
  <si>
    <t xml:space="preserve"> Republic of the Philippines Office of the Municipal mayor BIDS AND AWARDS COMMITTEE Pasuquin, Ilocos Norte INVITATION TO BID FOR  Purchase of Liner for the Basketball Court Cover  1.	The LGU-PASUQUIN, through the GENERAL FUND CY 2020  intends to apply the</t>
  </si>
  <si>
    <t xml:space="preserve"> 26 PCS SALTER WEIGHING SCALE</t>
  </si>
  <si>
    <t xml:space="preserve"> REQUEST FOR QUOTATION The Local Government Unit of Molave, through its Bids and Awards Committee, will undertake a Small Value Procurement for the Purchase of Insecticide to be Used for the Prevention of Fall Army Worm in accordance with Section 53.9 of t</t>
  </si>
  <si>
    <t xml:space="preserve"> Item No.	Qty	DESCRIPTION				Unit Of Measurement 						 1	100	Bulb 9W LED				Pc. 2	50	Receptacle3 1/2''				Pc. 3	50	Snap Switch				Pc.</t>
  </si>
  <si>
    <t xml:space="preserve"> INVITATION TO BID IB No. GS-2020 – 100 Information Technology Parts and Accessories &amp; Perip for OMSDH use 1. The  Provincial  Government  of  Oriental  Mindoro  (PGOM)  through  the  General Fund CA 2019  intends  to  apply  the  sum  of  One Million Eigh</t>
  </si>
  <si>
    <t xml:space="preserve"> 26 reams Paper multicopy A4 size 80gsm 23 reams Paper multicopy A4 size 70gsm 35 reams Paper multicopy Legal size 70gsm 6 pack wrapping paper 1 pack folder tagboard A4 3 pack folder tagboard legal 3 roll acetate 22 roll tape transparent 48mm 23 pack Carol</t>
  </si>
  <si>
    <t xml:space="preserve"> REQUEST FOR QUOTATION The Local Government Unit of Barangay Cadongdongan, through its Provincial Fund, will undertake a Negotiated Procurement – Small Value Procurement for the “Supply and Delivery of Starter Feeds” in accordance with Section 53.9 of the </t>
  </si>
  <si>
    <t xml:space="preserve"> Spare parts and accessories for service vehicles with conduction sticker no. C2W326, C2U529 and C2Y796 (Please see attached RFQ for parts and specifications)</t>
  </si>
  <si>
    <t xml:space="preserve"> Republic of the Philippines CITY OF PANABO Province of Davao del Norte BIDS AND AWARDS COMMITTEE -o0o- INVITATION TO BID  SUPPLY OF 3 UNITS MOTORCYCLE 1.	The City of Panabo, through CMO-3 UNITS MOTORCYCLE CDF 2020 intends to apply the sum of Two Hundred F</t>
  </si>
  <si>
    <t xml:space="preserve"> The Pasay City Government – City Administrator’s Office, through its Bids and Awards Committee, intends to apply the sum of Seventy Seven Thousand Five Hundred Pesos (Php77,500.00) being the Approved Budget for the Contract (ABC) for the  project: Repair </t>
  </si>
  <si>
    <t xml:space="preserve"> Improvement of Barangay Office Barangay Aggub Cabagan, Isabela</t>
  </si>
  <si>
    <t xml:space="preserve"> Item Number	Description	Unit	Quantity 			 1	Generator Set	1	Unit Generator Set 35KVA, Diesel Genset 3Phase 60Hz 1800RPM 230Vac Silent Type Water-Cooled come complete with standard accessories 1 year warranty (includes delivery truck service to Guimba and </t>
  </si>
  <si>
    <t xml:space="preserve"> Trapal</t>
  </si>
  <si>
    <t xml:space="preserve"> Toilet Tissue Paper 2-plys sheets, 150 pulls  56 pack Scouring Pads  20 piece Dishwashing Liquids  20 bottle Detergent Bar  10 bar Detergent Powder  20 pack Bleach Detergent  20 bottle</t>
  </si>
  <si>
    <t xml:space="preserve"> ITEM UNIT DESCRIPTION QNTY</t>
  </si>
  <si>
    <t xml:space="preserve"> ITEM #	QTY	UNIT	         DESCRIPTIONS AND SPECIFICATIONS                      UNIT COST         TOTAL PRICE 1	        970	reams	Bond Paper, A4	                                                           210.00 	       03,700.00  2	         15	pcs	        S</t>
  </si>
  <si>
    <t xml:space="preserve"> DUCKLINGS (Mallard Duck or Itik) 4-6months old 240 Female ducklets 60 Male drake 150 heads per ARBO recipient a.	Banawan-La medalla Farmers Association (Pioduran Albay) b.	Sta. Teresa-San Francisco Farmers Association (Malilipot Albay) Note: To be deliver</t>
  </si>
  <si>
    <t xml:space="preserve"> 1	reams	Bond Paper (A4)	95	17195.00 2	reams	Bond Paper (Long)	116	23,664.00 3	reams	Bond Paper (Short)	80	14480.00 4	pcs	Scotch Tape	24	3600.00 5	pcs	Stapler	12	960.00 6	pcs	Staple Wire (No. 35)	12	480.00 7	pcs	Scissor	12	840.00 8	pcs	Cutter	12    	420.00</t>
  </si>
  <si>
    <t xml:space="preserve"> View Binder, 10 pcs &amp; 12 other line items</t>
  </si>
  <si>
    <t xml:space="preserve"> Fund Source: Trust Liabilities- DRRM Types of Work to be Done: Provision of safety and health program/ provision of billboard/ removal of structures and obstruction (other than concrete)/ structure excavation/ grouted riprap, class A</t>
  </si>
  <si>
    <t xml:space="preserve"> Procurement of MOOE Supplies for DAO ES January-September 2020</t>
  </si>
  <si>
    <t xml:space="preserve"> Sir/Madam:				      Please quote your government price/s including delivery charges, VAT or other applicable taxes, and other incidental expenses for the item/s listed in Annex A.  Also, furnish us with descriptive brochures, catalogues, literatures and/o</t>
  </si>
  <si>
    <t xml:space="preserve"> GRAVELLING (GOOD MIXED)</t>
  </si>
  <si>
    <t xml:space="preserve"> Republic of the Philippines Office of the Municipal mayor BIDS AND AWARDS COMMITTEE Pasuquin, Ilocos Norte INVITATION TO BID FOR  Purchase of Office Equipment  1.	The LGU-PASUQUIN, through the GENERAL FUND CY 2020, SEF CY 2020, BOARD RESULOTION NO. 2020-0</t>
  </si>
  <si>
    <t xml:space="preserve"> LENGTH = 17.00 METERS WIDTH = 6.0 METERS I. EXCAVATION AND BACKFILLING II. REINFORCING BARS III. FORMS AND SCAFFOLDS IV. CONCRETE V. MASONRY AND PLASTERING WORKS VI. DOORS AND WINDOWS VII. ROOFING MATERIALS VIII. CEILING WORKS IX. ELECTRICAL WORKS X. TILE</t>
  </si>
  <si>
    <t xml:space="preserve"> The ISU Cabagan, Isabela invites registered suppliers to submit bid quotations/bid proposal of the items listed in the attached RFQ. Submit your bid quotations / bid proposal duly signed by you or your authorized representative with certified true copies </t>
  </si>
  <si>
    <t xml:space="preserve"> PURPOSE: FOR USE IN DEPT. OF OPHTHALMOLOGY / EYE LEVEL Fax your Price Quotation at Tel. Fax#: 426-30-45 / 927-64-26 local 2561 or Email at bacveterans@gmail.com. Please indicate the brand name and complete specifications.</t>
  </si>
  <si>
    <t xml:space="preserve"> ITEM NO.	ITEM &amp; DESCRIPTION	 BRAND	UOM	QTY. Lot 1- Supply and Delivery of Office Supplies 1	Ball pen, super smooth ink, triangular shaped barrel, 0.5 mm black		Pcs	75 2	Battery, dry cell, AAA 4’s/ pack Designation: ANSI-15A, IEC-LR6 Nominal Voltage:1.5 Vo</t>
  </si>
  <si>
    <t xml:space="preserve"> 1 set Filing cabinet (wood) 1 set Hanging Cabinet (wood) 10 pcs Bench(plastic) brown color 1 set Office table (wood) 2 pcs. stand fan 1 set Air condition unit(.5hp) 10 pcs Monobloc chair-brown color</t>
  </si>
  <si>
    <t xml:space="preserve"> The PHILIPPINE SCIENCE HIGH SCHOOL - MIMAROPA REGION CAMPUS (PSHS-MRC) intends to apply the sum of SEVENTY-FIVE THOUSAND PESOS ONLY (PhP75,000.00) being the Approved Budget for the Contract (ABC) to pay for the contract for the Project: SUPPLY AND DELIVER</t>
  </si>
  <si>
    <t xml:space="preserve"> PURCHASE OF OTHER SUPPLIES</t>
  </si>
  <si>
    <t xml:space="preserve"> 100-2x3x10 - Coco lumber, 207 bdft &amp; 59 other line items</t>
  </si>
  <si>
    <t xml:space="preserve"> INK REFILL -epson printer ink refill T6641 (black) 70ml -500 pcs BOND PAPER -GSM: 70 GSM -size:  8.25inx 11.75in (A4 Size) -colors: Ultra White -2536 reams PLASTIC ENVELOP -13" x 9-3/8" size,  -tranparent plastic envelopes with velcro type (hook and loop)</t>
  </si>
  <si>
    <t xml:space="preserve"> assorted office supplies - P94,970.00</t>
  </si>
  <si>
    <t xml:space="preserve"> Republic of the Philippines DEPARTMENT OF PUBLIC WORKS AND HIGHWAYS REGIONAL OFFICE II Tuguegarao City, Cagayan  INVITATION TO BID The DPWH Regional Office No. 2 through the Bids and Awards Committee (BAC) invite contractors to bid for the project  :  Con</t>
  </si>
  <si>
    <t xml:space="preserve"> Republic of the Philippines  Province of Batangas  Municipality of Laurel BARANGAY SAN GREGORIO BIDS AND AWARDS COMMITTEE INVITATION TO BID   I.     The Barangay Government of Barangay San Gregorio, Laurel, Batangas through its Bids and Awards Committee (</t>
  </si>
  <si>
    <t xml:space="preserve"> Republic of the Philippines PROVINCE OF QUIRINO Cabarroguis -oOo- BIDS AND AWARDS COMMITTEE INVITATION TO BID FOR  Construction of 10,000 Gals. Elevated Water Tank for Dialysis at QPMC Contract No. PB-CW-2020-034 							August 7, 2020 1.	The Bids and Awar</t>
  </si>
  <si>
    <t xml:space="preserve"> Department of Public Works and Highways  Regional Office VI, Fort San Pedro, Iloilo City INVITATION TO BID  The Department of Public Works and Highways, Regional Office VI, through its Bids and Awards Committee (BAC), invites suppliers to submit bids for </t>
  </si>
  <si>
    <t xml:space="preserve"> SCHOOL ID</t>
  </si>
  <si>
    <t xml:space="preserve"> Supply and Delivery of Various Reagents Budget: P498,059.00 Please see attached files for the Purchase Requests with details of reagents</t>
  </si>
  <si>
    <t xml:space="preserve"> See attached file.........</t>
  </si>
  <si>
    <t xml:space="preserve"> Learning Bags - 7170 pcs</t>
  </si>
  <si>
    <t xml:space="preserve"> 5 box Allopurinol 100 mg/tab			 6 box Alumininum Magnesium Hydroxide tab			 10 bottle Aluminum Magnesium Hydroxide 225mg 200mg/5ml Suspension 60ml			 10 box Amlodipine 5 mg tab			 25 box Amoxicillin 100mg/ml,15ml drops			 75 bottle Amoxicillin 250mg/5ml, </t>
  </si>
  <si>
    <t xml:space="preserve"> INVITATION TO APPLY FOR ELIGIBILITY AND TO BID FOR THE CONSTRUCTION OF ISOLATION BUILDING @ BURGOS, ISABELA. ITEM NO./WORK DESCRIPTION/QUANTITY/UNIT I.	GENERAL REQUIREMENTS - L .S. ALL II.	EARTH WORKS - 141.85 CU.M. III.	CONCRETE WORKS		 A.	FOOTING - 16.0</t>
  </si>
  <si>
    <t xml:space="preserve"> 500 units VTM-Virus Transport Medium with Nasopharyngeal and Oropharyngeal swab 185 pcs SARS-Cov-2 Antibody Test(RDT)</t>
  </si>
  <si>
    <t xml:space="preserve"> Supply and Delivery of 1 Lot Medicines</t>
  </si>
  <si>
    <t xml:space="preserve"> Description Invitation to Bid 1. The Barangay Government of SAN ISIDRO, PALO, LEYTE through the 2020 Development Fund,intend to apply the amount of One Hundred Thousand Pesos (words) Php 100,000.00 as the Approved Budget for the Contract (ABC) for the pay</t>
  </si>
  <si>
    <t xml:space="preserve"> 1 unit Back Hoe (Wheel Type) Municipality of Norzagaray Bulacan</t>
  </si>
  <si>
    <t xml:space="preserve"> Description – Procurement and Delivery of Construction Materials for the Concreting of Roads at  1. Ligero, St., Dicabisaan West 2. Domorozo St., Dicabisagan West 3. Camiguing St., Dicabisagan West, and 4. Claravall St., Dicabisagan West and Dicabisagan E</t>
  </si>
  <si>
    <t xml:space="preserve"> Concreting of Farm to Market Road</t>
  </si>
  <si>
    <t xml:space="preserve"> Republic of the Philippines Province of Oriental Mindoro MUNICIPALITY OF PINAMALAYAN OFFICE OF THE BIDS AND AWARDS COMMITTEE Invitation to Bid ITB-2020-39 1.  The Municipal Government of Pinamalayan, Oriental Mindoro, through the authorized appropriations</t>
  </si>
  <si>
    <t xml:space="preserve"> Construction of 1.95mx1.95mx2.10m ( outside dimension) concrete reservoir complete w/ pipe &amp; accessories and laying of pipes.</t>
  </si>
  <si>
    <t xml:space="preserve"> NOTICE OF PROCUREMENT OF GOODS THROUGH ALTERNATIVE METHOD OF PROCUREMENT Notice is given that the Department of Public Works and Highways, Guimaras Engineering District, San Miguel, Jordan, Guimaras, through its Bids and Awards Committee (BAC), will procu</t>
  </si>
  <si>
    <t xml:space="preserve"> INVITATION TO BID The Surigao del Sur 1st District Engineering Office, Tandag City, through its Bids and Awards Committee (BAC), invites contractors to submit bids for the following Contract: CONTRACT ID	:	20NH0094 CONTRACT NAME	:	Concreting of Brgy. Bita</t>
  </si>
  <si>
    <t xml:space="preserve"> Concreting of Resettlement Center</t>
  </si>
  <si>
    <t xml:space="preserve"> 1	pc	Hard Drive	1	3770.00	3770.00 2	pc	Flash Drive	12	500.00	6000.00 3	Unit 	Printer	6	8500.00	51000.00</t>
  </si>
  <si>
    <t xml:space="preserve"> 1 unit Computer Desktop, etc.. OPAG</t>
  </si>
  <si>
    <t xml:space="preserve"> ITEM NO. DESCRIPTION UNIT QUANTITY SPL Excavation &amp; Staking works sq.m 65.00 102 Excavation works cu.m 15.12 405 Concrete works cu.m 6.50 SPL Steel works (include wire screen installation) sq.m 46.12 506 Masonry works cu.m 35.15 SPL permanent marker LOT 1</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</si>
  <si>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</si>
  <si>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PROVISION OF RENTAL OF MOTOR VEHICLE FOR HOME LENDING OPERATIONS, ILOCOS REGION</t>
  </si>
  <si>
    <t xml:space="preserve"> Item			Quantity			Unit of			Item Description														 No.						Issue																	 1			70			packs 			AM Snacks (Juice and Sandwich) 														 																							 									Lunch (Rice, Fried Bangkoles, Adobo, Chopsuey,														 						</t>
  </si>
  <si>
    <t xml:space="preserve"> PCC at CMU invites suppliers for 20,000 kilos Rice Bran D2 (good quality) with an Approved ABC of P300,000.00. Suppliers must be a Philgeps registered with ANIMAL FEEDS, RICE MILL Category and so with its Business Permit. For more information, please visi</t>
  </si>
  <si>
    <t xml:space="preserve"> Construction of Box Culvert  Length = 24m Concrete Cover = .15 m Open Line Canal with Grills = 36 lm</t>
  </si>
  <si>
    <t xml:space="preserve"> PURCHASE OF LAPTOP, PROJECTOR AND PRINTER</t>
  </si>
  <si>
    <t xml:space="preserve"> PROCUREMENT OF SUPPLY, DELIVERY, CONFIGURATION  AND INSTALLATION SERVICES  OF NETWORK EQUIPMENT AND INFRASTRUCTURE  FOR PSA-RSSO V OFFICE BUILDING</t>
  </si>
  <si>
    <t xml:space="preserve"> 1 Lot 6 Sets 5-Seater Gang Chair</t>
  </si>
  <si>
    <t xml:space="preserve"> Republic of the Philippines Office of the Municipal mayor BIDS AND AWARDS COMMITTEE Pasuquin, Ilocos Norte INVITATION TO BID FOR  Purchase of Office Supplies  1.	The LGU-PASUQUIN, through the GENERAL FUND CY 2020, SEF CY 2020, BOARD RESULOTION NO. 2020-01</t>
  </si>
  <si>
    <t xml:space="preserve"> PROJECT:  PERIMETER FENCE AND GATE LOCATION: BARANGAY CASTILLO, CONCEPCION, TARLAC APPROVED BUDGET FOR THE CONTRACT: PHP 522,131.33 SOURCE OF FUND: 20% BDF The contract to be performed by the successful bidder shall be specified in the Technical Quotation</t>
  </si>
  <si>
    <t xml:space="preserve"> Item		    	 No.	Quantity	 ITEM DESCRIPTION 1	20	bot	ink refill 664 black 2	20	bot	664 yellow 3	20	bot	664 magenta 4	20	bot	664 cyan 5	4	bot	003 black 6	4	bot	003yellow 7	4	bot	003 magenta 8	4	bot	003 cyan 9	8	bot	790 black 10	8	bot	790 yellow 11	8	bot	790</t>
  </si>
  <si>
    <t xml:space="preserve"> Republic of the Philippines Province of Batanes	 MUNICIPALITY OF BASCO               		INVITATION TO BID FOR THE PROCUREMENT OF FOOD ITEMS  1.	The Municipal Local Government Unit of Basco, through the General Fund  intends to apply the sum of One Hundred </t>
  </si>
  <si>
    <t xml:space="preserve"> Please see attached Bid Document</t>
  </si>
  <si>
    <t xml:space="preserve"> ITEMS 380 KLS FEEDS(HOG FINISHER) 387 KLS RICE/CORN BRAN 55 KLS CHICKEN (LIVE) NATIVE APP. 1-1.5 200 KLS MEAT/LUNGS 550 KLS BANANA 250 PCS COCONUT 350 KLS ROOTCROPS 215 KLS FRUIT (AVOCADO, PAPAYA)</t>
  </si>
  <si>
    <t xml:space="preserve"> LENGTH = 16.00 METERS WIDTH = 8.50 METERS I. EARTHWORKS II. REINFORCING BARS III. FORMS AND SCAFFOLDS IV. STRUCTURAL CONCRETE V. MASONRY AND PLASTERING WORKS VI. DOORS AND WINDOWS VII. ROOFING MATERIALS VIII. CEILING WORKS IX. ELECTRICAL WORKS X. TILE WOR</t>
  </si>
  <si>
    <t xml:space="preserve"> PROCUREMENT OF DRUGS, MEDICINES AND CHEMICAL SUPPLIES FOR THE USE OF TIGBAUAN MUNICIPAL HEALTH AND BIRTHING CENTER, TIGBAUAN, ILOILO.</t>
  </si>
  <si>
    <t xml:space="preserve"> a.CONTRACT  ID : ANTIPOLO-27AUGUST2020-01 b. NAME OF PROJECT : Construction of Single Barrel Box Culvert along Binoog Creek across V.V. Soliven Avenue, Brgy. Mayamot, Antipolo City c. LOCATION : Brgy. Mayamot, Antipolo City d. BRIEF DESCRIPTION : Construc</t>
  </si>
  <si>
    <t xml:space="preserve"> Republic of the Philippines Department of Environment and Natural Resources ENVIRONMENTAL MANAGEMENT BUREAU Region VI REQUEST FOR QUOTATION (RFQ) PROCUREMENT OF LABORATORY AND TECHNICAL SUPPLIES 2020-RFQ-08-206 1.	The Department of Environment and Natural</t>
  </si>
  <si>
    <t xml:space="preserve"> 1 300 pcs Black Ball pen  2 100 pcs Ballpen Blue  3 24 bar Detergent Bar  4 30 pack Batter AAA ( 2 pcs/ pack )  5 20 bots Correction Fluids  6 30 Bots Dish washing Liquid 500ml  7 60 pack Detergent powder 1 kg /pack Antibac  8 20 bots Epson Ink Black 664 </t>
  </si>
  <si>
    <t xml:space="preserve"> PURPOSE: FOR MAINTENANCE USE OF ELECTRICAL UNIT. (RE-PR) Fax your Price Quotation at Tel. Fax#: 426-30-45 / 927-64-26 local 2561 or Email at bacveterans@gmail.com. Please indicate the brand name and complete specifications.</t>
  </si>
  <si>
    <t xml:space="preserve"> 3 units fabricated steel lamp post 48 ft. G.I. 3"   s, 40 9 ft. G.I. 1 1/4 s, 40</t>
  </si>
  <si>
    <t xml:space="preserve"> Republic of the Philippines Province of Misamis Oriental Local Government Unit of Claveria Invitation to Bid for  Procurement of   Construction  of Evacuation Center at Barangay Ane-i The Local Government Unit of Claveria, through the budget approved by S</t>
  </si>
  <si>
    <t xml:space="preserve"> supply and deliver various furniture (see attached for the list of furniture)</t>
  </si>
  <si>
    <t xml:space="preserve"> Republic of the Philippines CITY OF PANABO Province of Davao del Norte BIDS AND AWARDS COMMITTEE -o0o- INVITATION TO BID  SUPPLY OF COMPUTER DESKTOP &amp; LAPTOP 1.	The City of Panabo, through CEO-IT EQUIPMENT-TRUST FUND PROPER 2020intends to apply the sum of</t>
  </si>
  <si>
    <t xml:space="preserve"> REQUEST FOR QUOTATION SUPPLY AND DELIVERY OF PLASTIC ENVELOPE WITH HANDLE (Legal Size) TO FRANCISCO P. FELIX MEMORIAL NATIONAL HIGH SCHOOL ROSEPACK MAIN – CAINTA, RIZAL The Department of Education – Francisco P. Felix Memorial National High School through</t>
  </si>
  <si>
    <t xml:space="preserve"> Republic of Philippines								 City of Canlaon								 OFFICE OF THE BIDS AND AWARDS COMMITTEE								 REQUEST FOR SEALED QUOTATION								 								 								 				Date:	7-Aug-20			 				Quotation No.:	2020-08-0214			 				PR No.:	2020-08-217-B			 				Depart</t>
  </si>
  <si>
    <t xml:space="preserve"> Procurement of MOOE Supplies for Kiranggel Tunghaan te Katalonan January-September 2020</t>
  </si>
  <si>
    <t xml:space="preserve"> 1 pc Brand New Differential PEO</t>
  </si>
  <si>
    <t xml:space="preserve"> Republic of the Philippines Province of Batanes	 MUNICIPALITY OF BASCO               INVITATION FOR NEGOTIATED PROCUREMENT  Small Value Procurement Project Reference No. :100-3-01-007 Name of Project	      : Office Equipment - Continuing Appropriation Loc</t>
  </si>
  <si>
    <t xml:space="preserve"> Republic of the Philippines CITY OF PANABO Province of Davao del Norte BIDS AND AWARDS COMMITTEE -o0o- INVITATION TO BID  SUPPLY OF 1 UNIT PRINTER 1.	The City of Panabo, through LSB/DEP.ED-CAPITAL OUTLAY 2020 intends to apply the sum of One Million Three </t>
  </si>
  <si>
    <t xml:space="preserve"> PURPOSE: FOR MAINTENANCE USE OF PAINTING UNIT. (FOR THE MONTH OF JAN.-JUNE, 2020) Fax your Price Quotation at Tel. Fax#: 426-30-45 / 927-64-26 local 2561 or Email at bacveterans@gmail.com. Please indicate the brand name and complete specifications.</t>
  </si>
  <si>
    <t xml:space="preserve"> If you are interested to join, please submit also your scanned copy of your company's permit: 1.) BIR Certificate of Registration 2.) PhilGEPS Certificate of Registration 3.) DTI / SEC Permit 4.) Mayor's/Business Permit</t>
  </si>
  <si>
    <t xml:space="preserve"> 1	bottle	ALCOHOL, ethyl, 68%-70%, scented, 500ml (-5ml)	50	43.99	 2,199.50  2	bottle	STAMP PAD INK, purple or violet	32	24.63	 788.16  3	ream	PAPER, Multi-Purpose (COPY) A4, 70 gsm	80	114.51	 9,160.80  4	ream	PAPER, Multi-Purpose (COPY) Legal, 70 gsm	30	1</t>
  </si>
  <si>
    <t xml:space="preserve"> R190 Motor Dynamo 5KVA Flat Form</t>
  </si>
  <si>
    <t xml:space="preserve"> Snack, Lunch</t>
  </si>
  <si>
    <t xml:space="preserve"> 1	reams	Bond Paper Legal Size	45	 6,525.00  2	reams	Bond Paper A4 Size	45	 9,900.00  3	pcs	External Drive	1	 3,500.00  4	pcs	USB 16Gb	8	 4,000.00  5	set	Vellum	10	 600.00  6	box	Staple Wire #35	9	 855.00  7	pcs	Calculator	8	 4,800.00  8	pcs	Folder Long	25</t>
  </si>
  <si>
    <t xml:space="preserve"> INFRA NO-2020-013 Invitation to Bid for CONSTRUCTION OF 1-UNIT MULTI-PURPOSE BUILDING (CHILD DEVELOPMENT CENTER) AT VILLA AGLIPAY SAN JOSE, TARLAC 1.The LGU San Jose, Tarlac had budget approved by Sangguniang Bayan of San Jose, Tarlac intends to apply the</t>
  </si>
  <si>
    <t xml:space="preserve"> Office and Computer Supplies and Equipment  (Please see attached RFQ and specifications)</t>
  </si>
  <si>
    <t xml:space="preserve"> 1 unit Multi cab (close cab) 12 valve 4x4 -Mini Van Piston Displacement:600 Color:Red no. of Cylender-3 Note: Inclusive of the following: 1. GSIS Registration(Comprehensive) 2. Early Warning Device 3. Tool Box with basic tools 4. LTO Registration at LTO r</t>
  </si>
  <si>
    <t xml:space="preserve"> 1 Lot Supplies and Materials</t>
  </si>
  <si>
    <t xml:space="preserve"> Procurement of Vegetable Seeds						 Purchase Requested by the City Agriculture's Office, Tabaco City						 						 To Interested Suppliers, Manufacturers and Distributors,						 						 Please quote your lowest price/s on the lot or item/s  below, subject </t>
  </si>
  <si>
    <t xml:space="preserve"> PURPOSE: FOR MAINTENANCE USE OF PLUMBING UNIT. (FOR THE MONTH OF JAN.-JUNE, 2020) Fax your Price Quotation at Tel. Fax#: 426-30-45 / 927-64-26 local 2561 or Email at bacveterans@gmail.com. Please indicate the brand name and complete specifications.</t>
  </si>
  <si>
    <t xml:space="preserve"> TO PURCHASE INTERNET ACCESSORIES Item Description					  Quantity	  Unit	  Estimated Unit Cost	  Estimated    Cost 								  TP LINK ROUTER GIGABIT LAN 1000 MBPS     5              PCS          2,500.00                   12,500.00 RJ 45 CONNECTOR  (100 PCS</t>
  </si>
  <si>
    <t xml:space="preserve"> INVITATION TO BID REFERENCE NO. 2020-08-008 1.The Department of Social Welfare and Development FO VIII, through the GAA OF CY 2020 intends to apply the sum Thirty-Nine Million, Three Hundred Seventy-Five Thousand, Eight Hundred Thirty-Five Pesos and 95/10</t>
  </si>
  <si>
    <t xml:space="preserve"> Alcohol 500mL, 70% Solution Surgical Mask, disposable/3ply 50 pcs per pack, disposable, smoke, face mask for healthy breathing, bets protection, easy speaking with adjustable design for any face shape •Please indicate the brand and model of the product be</t>
  </si>
  <si>
    <t xml:space="preserve"> ITEM #	QTY	UNIT	       DESCRIPTIONS AND SPECIFICATIONS	             APPROVED UNIT COST    TOTAL PRICE 1	        125	reams	Bond Paper, A4 size	                                                            210.00 	 26,250.00  2	5	pcs	                Puncher s</t>
  </si>
  <si>
    <t xml:space="preserve"> MATERIALS 104 BAGS PORTLAND CEMENT 12cu.m ORD. GRAVEL 6 cu.m ORD.SAND 5pcs 12mmx6m.RSB 264 bd.t COCO LUMBER 22-2"X6" X 12 3KLS cw NAIL 3 3PCS HS BLADE</t>
  </si>
  <si>
    <t xml:space="preserve"> a.CONTRACT  ID : ANTIPOLO-27AUGUST2020-02 b. NAME OF PROJECT : Improvement of Drainage Canal and Pavement along V.V. Soliven Avenue, Brgy. Mayamot, Antipolo City c. LOCATION : Brgy. Mayamot, Antipolo City d. BRIEF DESCRIPTION : Improvement of Drainage Can</t>
  </si>
  <si>
    <t xml:space="preserve"> 1. 1 unit Silage/Chaff Cutter Machine Gasoline engine and or electric motor operated Capacity: 200-400kg Size: 850*1310*1440  Weight: 80kg 2. 1 unit Incubator  1000 Capacity  Automatic Turner  Dual Heat coil/Bulb 600 Setter  400 Hatcher  3. 1 Unit Chiller</t>
  </si>
  <si>
    <t xml:space="preserve"> 1	roll	Mesh Net #32 (3.6x90m)			16</t>
  </si>
  <si>
    <t xml:space="preserve"> Republic of the Philippines Province of Camarines Norte MUNICIPALITY OF VINZONS BIDS AND AWARDS COMMITTEE (BAC) (Tel. # 446-63-09) 	 INVITATION TO BID FOR: PURCHASE/DELIVERY OF FOOD SUPPLIES FOR SUPPLEMENTAL FEEDING PROGRAM 1.	The Local Government Unit of</t>
  </si>
  <si>
    <t xml:space="preserve"> Republic of the Philippines Province of Nueva Vizcaya BIDS AND AWARDS COMMITTEE (BAC-Goods) BAC OFFICE, Provincial Capitol, Bayombong, Nueva Vizcaya 	 REQUEST FOR QUOTATION (RFQ) For the Procurement of Office Supplies (3rd  Quarter) For the Provincial Int</t>
  </si>
  <si>
    <t xml:space="preserve"> REQUEST FOR QUOTATION 	The Caraga State University-Cabadbaran Campus, through its Bids and Awards Committee (BAC), will undertake a Negotiated Procurement (Small Value Procurement) for the project: PROCUREMENT ON SUPPLY AND DELIVERY OF OFFICE EQUIPMENT in</t>
  </si>
  <si>
    <t xml:space="preserve"> 1. Official website development (1 year) 2. Maintenance (1 year)      -host server      -domain 3. Dish antenna and booster antenna      -antenna disc      -antenna parabolic      -booster antenna      -wifi extender      -28 wlan switch      -rj 45 conne</t>
  </si>
  <si>
    <t xml:space="preserve"> Procurement of Office Supplies						 Purchase Requested by the City Budget Office, Tabaco City						 						 To Interested Suppliers, Manufacturers and Distributors,						 						 Please quote your lowest price/s on the lot or item/s  below, subject to Term</t>
  </si>
  <si>
    <t xml:space="preserve"> 70% Ethyl Alcohol 500ml	500	 bottles 	 140.00  Disinfectant Spray 500grams	100	 bottles 	 590.00  Surgical Mask 3 ply	300	 box 	 300.00  Thermal Scanner with Battery	10	 pcs 	 3,500.00  Foot Bath Mat	10	 pcs 	 1,200.00  Tissue	200	 rolls 	 10.00  Disinfec</t>
  </si>
  <si>
    <t xml:space="preserve"> Title: Procurement of General Merchandise under P.R Nos. 2375-2020 and 2379-2020- City Social Development Office-1Lot. Total ABC: Php 215,097.00 (INSTRUCTION AS TO THE REQUIRED FORM: For your price quotation, please use the attached Request for Quotation </t>
  </si>
  <si>
    <t xml:space="preserve"> INVITATION FOR SUBMISSION OF QUOTATION (SMALL VALUE PROCUREMENT)   The ZAMBOANGA SIBUGAY POLYTECHNIC INSTITUTE (ZSPI) formerly KABASALAN INSTITUTE OF TECHNOLOGY (KIT), through the General Appropriations Act (GAA) of 2018 intends to apply the sum ONE HUNDR</t>
  </si>
  <si>
    <t xml:space="preserve"> Title:Procurement of 1 Unit Rotavator Machine under P.R No. 2694-2020-Office of the City Agriculturist. Total ABC: Php 175,000.00 (INSTRUCTION AS TO THE REQUIRED FORM: For your price quotation, please use the attached Request for Quotation (RFQ) Form and </t>
  </si>
  <si>
    <t xml:space="preserve"> 40 ROLLS P.E. HOSE (SDR 17 1/2 X90M)</t>
  </si>
  <si>
    <t xml:space="preserve"> Item	 		  No.	Quantity	ITEM DESCRIPTION 1	9	PC	THERMAL SCANNER 2	12	GAL	70% ISOPHROPHYL ALCOHOL 3	12	LIT	LIQUID HANDSOAP 4	14	GAL	DISINFECTANT 5	14	SET	SANITIZING FOOTBATH</t>
  </si>
  <si>
    <t xml:space="preserve"> a.CONTRACT  ID : ANTIPOLO-27AUGUST2020-04 b. NAME OF PROJECT : Improvement of Drainage Canal and Concreting of Road at Portion of Napoleon Street  &amp; Louis Street, Edward VIII Street, Kingsville Subdivision, Barangay Mayamot &amp; Barangay Mambugan, Antipolo C</t>
  </si>
  <si>
    <t xml:space="preserve"> Procurement of Internet Service Provider (Direct Internet) for 5 months  (Installation and Supplies)</t>
  </si>
  <si>
    <t xml:space="preserve"> REQUEST FOR QUOTATION 	The Caraga State University-Cabadbaran Campus, through its Bids and Awards Committee (BAC), will undertake a Shopping-Ordinary/Regular Office Supplies for the project: PROCUREMENT ON SUPPLY AND DELIVERY OF VARIOUS OFFICE SUPPLIES (3</t>
  </si>
  <si>
    <t xml:space="preserve"> Repair/Rehabilitation of Barangay Roads at Barangay Poblacion Norzagaray Bulacan</t>
  </si>
  <si>
    <t xml:space="preserve"> INVITATION TO BID PROCUREMENT OF BOND PAPER (A4 S-20) 					        For the Reproduction of Self-Learning Modules for Quarter 1 1.	The Schools Division Office of Catanduanes, through the General Appropriation Act (GAA) CY 2020 intends to apply the sum of  </t>
  </si>
  <si>
    <t xml:space="preserve"> Republic of the Philippines CITY OF PANABO Province of Davao del Norte BIDS AND AWARDS COMMITTEE -o0o- INVITATION TO BID  SUPPLY OF 5 UNITS PHOTOCOPIER 1.	The City of Panabo, through LSB/DEP.ED-CAPITAL OUTLAY 2020 intends to apply the sum of One Million O</t>
  </si>
  <si>
    <t xml:space="preserve"> CONSTRUCTION OF 4STY 24CL SCHOOL BUUILDING</t>
  </si>
  <si>
    <t xml:space="preserve"> Republic of the Philippines Department of Health DAVAO REGIONAL MEDICAL CENTER Apokon, Tagum City Tel/Fax No.: (084) 216-9129 BIDS AND AWARDS COMMITTEE ========================================================================== REQUEST FOR QUOTATION PROCUR</t>
  </si>
  <si>
    <t xml:space="preserve"> Epson C13T00V100 Black Genuine Ink Bottle (003)   Epson Cyan Ink Bottle C13T00V200 (003 Cyan)  Epson C13T00V400 Yellow Genuine Ink Bottle (003) Epson C13T00V300 Magenta Genuine Ink Bottle (003) 2.5-inches 1TB External hard Drive HDD-USB 3.0 (1 year warran</t>
  </si>
  <si>
    <t xml:space="preserve"> a.CONTRACT  ID : ANTIPOLO-27AUGUST2020-05 b. NAME OF PROJECT : Rehabilitation/Improvement/Construction of Drainage System at M. Santos Extension, Barangay San Jose, Antipolo City c. LOCATION : Barangay San Jose, Antipolo City d. BRIEF DESCRIPTION : Rehabi</t>
  </si>
  <si>
    <t xml:space="preserve"> 1. 50 liters Oil 40, ordinary 2. 50 liters Oil 40, special, blue 3. 50 liters Oil 140 4. 50 cans Grease (.5kg/can)</t>
  </si>
  <si>
    <t xml:space="preserve"> Epson ink (black)	10 bottles Epson ink (yellow)	5 bottles Epson ink (magenta)	9 bottles Epson ink (cyan)	8 bottles Surgical gloves	3 boxes Ordinary Folder (Long)	750 pcs Plastic Fastener	15 boxes Paper Cutter	1 pc Typewriting (A4)	2 boxes Typewriting (lon</t>
  </si>
  <si>
    <t xml:space="preserve"> a.CONTRACT  ID : ANTIPOLO-27AUGUST2020-06 b. NAME OF PROJECT : Construction of Stone Masonry Riverwall (Portion), Trash Trap and Box Culvert along Labahan Creek at Poseidon Street, Crestview Subdivision, Brgy. Cupang, Antipolo City c. LOCATION : Brgy. Cup</t>
  </si>
  <si>
    <t xml:space="preserve"> Title:Procurement of Vehicle Repair and Maintenance under P.R Nos. 1888-2020 (City Environment &amp; Natural Resources Office- City Parks and Waterways Services Division), 1889-2020(City Environment &amp; Natural Resources Office- City Parks and Waterways Service</t>
  </si>
  <si>
    <t xml:space="preserve"> 4 Holes of: Sub-surface Soil Investigation of the 						 Proposed Construction of 5 storey						 building with Classrooms and Business						 Center. 						 Scope of Work:						 1.SOIL BORING						 Shall drill the soil 20 meters depth. Soil						 samples w</t>
  </si>
  <si>
    <t xml:space="preserve"> Republic of the Philippines Department of Health DAVAO REGIONAL MEDICAL CENTER Apokon, Tagum City Tel/Fax No.: (084) 216-9129 HOP-QR-PRO-011 BIDS AND AWARDS COMMITTEE ========================================================================== REQUEST FOR Q</t>
  </si>
  <si>
    <t xml:space="preserve"> Republic of the Philippines Province of Cagayan Municipality of Sta. Praxedes BIDS AND AWARDS COMMITTEE	 Invitation to Bid Supply and Delivery of Construction Materials of Sta. Praxedes, Cagayan ITB – Goods – 2020 -08-043 1.	The Local Government Unit of S</t>
  </si>
  <si>
    <t xml:space="preserve"> 1 set 600A Capacity3P, 250V, MTS, Non Fuse for generator use PEO</t>
  </si>
  <si>
    <t xml:space="preserve"> 1	Automatic Voltage Regulator- 1500VA							1	pc	4,950.00 2	Computer LED display Monitor 21.5"							1	un	6,500.00 3	Computer Printer - Mono Printer,							1	un	9,995.00 	   Print size: A4,A5 Hi-Speed USB2.0 port									 	   wireless with 107 A black  to</t>
  </si>
  <si>
    <t xml:space="preserve"> 1 2 units 12V 27-plate Battery N200 - 8D  2 2 units 12V 17-plate Battery N120 - 2D</t>
  </si>
  <si>
    <t xml:space="preserve"> Republic of the Philippines Province of Batanes	 MUNICIPALITY OF BASCO               INVITATION FOR NEGOTIATED PROCUREMENT  Project Reference No. : 100-3-03-Various Offices Name of Project	      : Office Supplies (SB 2020-04) Location of Project	Basco, Ba</t>
  </si>
  <si>
    <t xml:space="preserve"> 1	ream	PAPER, MULTICOPY, 80gsm, size 210mm x 297mm	95	 19,293.55  2	ream	PAPER, MULTICOPY, 80gsm, size 216mm x 330mm	70	 14,734.30  3	pack	FOLDER, with TAB, A4	3	 905.25  4	pack	FOLDER, with TAB, Legal	25	 7,989.00  5	pack	FOLDER, L-type, A4	10	 1,714.20 </t>
  </si>
  <si>
    <t xml:space="preserve"> August 6, 2020 REQUEST FOR QUOTATION (RFQ) MEALS OF PATIENTS FOR THE PERIOD OF AUGUST 16 – 31, 2020 1.	The Batangas Medical Center hereinafter referred to as the “Purchaser” now request for submission of price proposal for the procurement of the aforesaid</t>
  </si>
  <si>
    <t xml:space="preserve"> 1.	The BARANGAY IBA, through the 20% BARANGAY DEVELOPMENT FUND intends to apply the sum of TWO HUNDRED FIFTY THOUSAND PESOS ONLY                 (P250, 000.00) being the Approved Budget for the Contract (ABC) to payments under the contract for PURCHASE OF</t>
  </si>
  <si>
    <t xml:space="preserve"> Invitation to Bid for Supply and Delivery of Office Supplies and IT Equipment for the Implementation of Learning Continuity Plan in DepED Division of Oroquieta City  1.	The DepED, Division of Oroquieta City, through the 2019 Special Education Fund intends</t>
  </si>
  <si>
    <t xml:space="preserve"> 73 pcs MONOBLOCK CHAIRS with Heavy Duty Quality all Green Color with customize print</t>
  </si>
  <si>
    <t xml:space="preserve"> 70% Ethyl Alcohol 500ml	300	 bottles 	 140.00  Disinfectant Spray 500grams	50	 bottles 	 590.00  Surgical Mask 3 ply	130	 box 	 300.00  Thermal Scanner with Battery	2	 pcs 	 3,427.50</t>
  </si>
  <si>
    <t xml:space="preserve"> 1  2 Pcs TUNGSTEN CARBINE CIRCULAR SAW BLADE FOR WOOD (180 X 2.6 / 1.6 X 25.4 mm 60T  2 8 Mtrs 3/4 PIANO HINGES  3 1,000 Pcs BLACK SCREW X 1 1/2 (FLAT HEAD SELF TAPPING SCREW)  4 6 Pcs 2"Ømm X 6.0m G.I PIPE SCH. 40  5 30 Pcs 10mm X 6.00m SQ. BAR  6 30 Pcs</t>
  </si>
  <si>
    <t xml:space="preserve"> CONSTRUCTION OF 1 UNIT 4STY 4LAB, SCHOOL BUILDING</t>
  </si>
  <si>
    <t xml:space="preserve"> Equipment rental for the construction of Centennial Park</t>
  </si>
  <si>
    <t xml:space="preserve"> Stock/Property no.	Unit of Issue	Item Description		 				 2000	reams	Whitewove long subs. 20		 100	reams	Bondpaper subs. 20 long		 100	reams	Bondpaper subs. 20 short		 200	pcs	sign pen 0.5 black		 200	pcs	ballpen ballpoint 		 200	pcs	pentel pen black broad</t>
  </si>
  <si>
    <t xml:space="preserve"> Basic Specifications: -Digital Copier with Network Printing, Color scanning and Network Fax -21 characters x 5 lines with back-light -Copy and print speed of 45 copies per minute, A4 -Scan speed of 60 images per minute on monochrome and 40 images per minu</t>
  </si>
  <si>
    <t xml:space="preserve"> Please Send At this Email: tcwdpgeps_7214@yahoo.com Please quote your lowest price inclusive of VAT on the item/s listed below, subject to the Terms and Conditions of this RFQ, and submit your quotation duly signed by your representative not later than Au</t>
  </si>
  <si>
    <t xml:space="preserve"> REPUBLIC OF THE PHILIPPINES DEPARTMENT OF PUBLIC WORKS AND HIGHWAYS PAMPANGA 3RD DISTRICT ENGINEERING OFFICE SAN FRANCISCO STREET, BRGY. PAMPANG, ANGELES CITY August 6, 2020 NOTICE OF PROCUREMENT THRU ALTERNATIVE METHODS Please be informed that the Depart</t>
  </si>
  <si>
    <t xml:space="preserve"> MODULE PRINTING GOOD FOR EIGHT WEEKS (GRADES 1 AND 2) - booklet type printing per module - preferably not more than 1.00 php rate (for back to back printing including the cost of bondpaper) - service's location should only come from the city of Cagayan de</t>
  </si>
  <si>
    <t xml:space="preserve"> PCC at CMU invites a Philgeps Registered for the Supplies and Materials with an Approved ABC 64,100.00 Suppliers must attached their Certificate of Philgeps Registration, Business Permit, Mayor's permit For more information please visit our Office located</t>
  </si>
  <si>
    <t xml:space="preserve"> Upgrading of  the Computer Billing and Collection System with Android Read and Bill Application				 which includes 2 sets of android phones and 2 sets of mobile printer</t>
  </si>
  <si>
    <t xml:space="preserve"> CONCRETING OF FARM TO MARKET ROAD</t>
  </si>
  <si>
    <t xml:space="preserve"> PROCUREMENT OF MATERIALS FOR THE CONTINUING IMPROVEMENT OF MULTIPURPOSE COVERED GYM OF BRGY. NAPNAPAN NORTE, TIGBAUAN, ILOILO</t>
  </si>
  <si>
    <t xml:space="preserve"> Republic of the Philippines DEPARTMENT OF PUBLIC WORKS AND HIGHWAYS CAMARINES SUR 5TH  DISTRICT ENGINEERING OFFICE REGIONAL OFFICE V Sta. Teresita, Baao, Camarines Sur INVITATION TO BID The Department of Public Works and Highways (DPWH) Camarines Sur 5th,</t>
  </si>
  <si>
    <t xml:space="preserve"> REPAIR AND MAINTENANCE (EVACUATION CENTER)</t>
  </si>
  <si>
    <t xml:space="preserve"> Construction of Drainage System at P. dela Merced St. By Pass Road Barangay Poblacion Norzagaray Bulacan</t>
  </si>
  <si>
    <t xml:space="preserve"> Republic of the Philippines Province of Nueva Vizcaya BIDS AND AWARDS COMMITTEE (BAC-Goods) BAC OFFICE, Provincial Capitol, Bayombong, Nueva Vizcaya 	 REQUEST FOR QUOTATION (RFQ) For the Procurement of Office Supplies (3rd Quarter)  For the Sangguniang Pa</t>
  </si>
  <si>
    <t xml:space="preserve"> 446 PCS PSA NEGATIVE RESULT</t>
  </si>
  <si>
    <t xml:space="preserve"> 4	tubes Tetracycline/Terramycin eye Ointment								 120	vial	Ampicillin 250mg powder for injection								 60	amps Gentamycin 40 mg/mL, 2 mL Ampule 								 30	amps Phytomanadione								 5	bot	Lidocaine 2% 50ml								 75	amps Oxytocin ampule								 30</t>
  </si>
  <si>
    <t xml:space="preserve"> a.CONTRACT  ID : ANTIPOLO-27AUGUST2020-07 b. NAME OF PROJECT : Construction of Drainage System Phase II at Maguey Road, Brgy. San Isidro &amp; San Luis, Antipolo City c. LOCATION : Brgy. San Isidro &amp; San Luis, Antipolo City d. BRIEF DESCRIPTION : Construction</t>
  </si>
  <si>
    <t xml:space="preserve"> Construction of Municipal Drug Rehabilitation Facility Barangay Partida Norzagaray Bulacan</t>
  </si>
  <si>
    <t xml:space="preserve"> Republic of the Philippines				 Province of Quezon 				 Municipality of Lucban				 				 Bill of Quantities				 Quantity	Unit	Articles/Description	Unit Price	Amount 		MOTOR VEHICLE		 		SPECIFICATION: MODEL: TRIKE 9-SEATER S4	 	  		ENGINE: 300cc, water-cool</t>
  </si>
  <si>
    <t xml:space="preserve"> ITEM NO. QUANTITY UNIT DESCRIPTION 1. 1 UNIT PASSENGER VAN ENGINE SIZE: 2.8L DISPLACEMENT; 2,755cc NUMBER OF CYLINDERS: 4 FUEL TYPE: DIESEL-FED DELIVERY: 30-45 DAYS UPON THE RECEIPTS OF PURCHASE ORDER AND/OR NOTICE TO PROCEED WARRANTY: ONE (1) YEAR OR 100</t>
  </si>
  <si>
    <t xml:space="preserve"> Supply and delivery of supplies for Mun. Quarantine Facilities.</t>
  </si>
  <si>
    <t xml:space="preserve"> Republic of the Philippines CITY GOVERNMENT OF TACURONG Alunan Highway, Tacurong City Sultan Kudarat BIDS AND AWARDS COMMITTEE Tel nos.(064) 562-0128 / Telefax no. (064) 477-0138 www.tacurong.gov.ph                                                         </t>
  </si>
  <si>
    <t xml:space="preserve"> I	10.00	UNIT	LAPTOP		 			Specifications		 			Raizen 5		 			4GB RAM		 			Quad Core, 2.1 ghz		 			1 TB Hardrive		 			128SSD		 			14" Monitor		 			Wifi &amp; Bluetooth Ready		 			with Camera		 			Windows 10</t>
  </si>
  <si>
    <t xml:space="preserve"> INVITATION TO BID  The DPWH, Negros Occidental 2nd District Engineering Office, Binalbagan, Negros Occidental, through its Bids and Awards Committee (BAC), invites contractors to submit bids for the following Contract: Contract ID		:  20GL0095 Contract Na</t>
  </si>
  <si>
    <t xml:space="preserve"> Title: Procurement of Services under P.R Nos. 2916-2020 (Office of the City Civil Registrar),2917-2020(City Disaster Risk Reduction and Management Office), 2932-2020(City Housing and Development Office), 2937-2020(Committee on Barangay Development),2943-2</t>
  </si>
  <si>
    <t xml:space="preserve"> Construction of Drainage System at Barangay Tigbe Norzagaray Bulacan</t>
  </si>
  <si>
    <t xml:space="preserve"> 43 pcs. Plaque 9 inches height 1/4 clear acrylic</t>
  </si>
  <si>
    <t xml:space="preserve"> REQUEST FOR QUOTATION Purchase of Other Supplies to be used for all Departments as part of the ICT Improvement for Online Connectivity The Bicol University, through the Corporate Budget for the contract approved by the Board of Regents intends to apply th</t>
  </si>
  <si>
    <t xml:space="preserve"> Invitation to Bid For   Printing of Various LANDBANK Forms 1.	The LAND BANK OF THE PHILIPPINES (LANDBANK), through its Corporate Budget for the contract approved by the Board of Directors for 2020 intends to apply the total sum of Ten Million Seven Hundre</t>
  </si>
  <si>
    <t xml:space="preserve"> CONSTRUCTION OF CONCRETE ROAD</t>
  </si>
  <si>
    <t xml:space="preserve"> ITEM DESCRIPTION			QTY.	UNIT	APPROVED BUDGET FOR THE CONTRACT (in Peso)			Compliance with the Technical Specification (please check)		OFFER	 										REMARKS      (Price/Others)	 								YES	NO		 Cement			30	bag				[  ]	[  ]		 CHB			200	pc				[  ]	[  ]		</t>
  </si>
  <si>
    <t xml:space="preserve"> Project Location: Marag, Luna, Apayao i. Individual Removal of trees ii. Clearing and Grubbing iii. Pipe Culvert and Drain Excavation iv. Subgrade Preparation v. Aggregate Base Course vi. Pipe Culvert</t>
  </si>
  <si>
    <t xml:space="preserve"> 1 LOT SUPPLY AND DELIVERY OF VARIOUS MATERIALS (Please see attached RFQ for the complete description and quantity of each item) a)submersible cable # 2  3/c b) 3" dia x 3m GI pipe ASTM A-53 , Heavy Gauge  c) 82-A3 Splicing Kit d) flame retardant electrica</t>
  </si>
  <si>
    <t xml:space="preserve"> The San Francisco Water District through its BID and Award Committee invite suppliers to quote for;</t>
  </si>
  <si>
    <t xml:space="preserve"> INVITATION TO BID  The DPWH, Negros Occidental 2nd District Engineering Office, Binalbagan, Negros Occidental, through its Bids and Awards Committee (BAC), invites contractors to submit bids for the following Contract: Contract ID		:  20GL0097 Contract Na</t>
  </si>
  <si>
    <t xml:space="preserve"> Republic of the Philippines							 PROVINCE OF ZAMBOANGA SIBUGAY							 Municipality of Talusan							 -7012-							 							 							 MUNICIPAL BIDS AND AWARDS  COMMITTEE							 REQUEST FOR QUOTATION							 SMALL VALUE PROCUREMENT							 NOTICE TO THE PUBL</t>
  </si>
  <si>
    <t xml:space="preserve"> Republic of the Philippines						CMO		 		Government of Ormoc City						P.R. No.:  	202024	 		BIDS AND AWARDS COMMITTEE						Quotation No.: 	204655-6248	 		Ormoc City						PhilGEPs No.: 		 										 Standard Form Title:			REQUEST FOR QUOTATION							 				</t>
  </si>
  <si>
    <t xml:space="preserve"> INVITATION TO BID IB NO. CW 2020 –  114 Upgrading of Electrical System at Provincial Capitol Calapan City, Or. Mindoro 1.  The Provincial Government of Oriental Mindoro (PGOM) through the General Fund 2020 intends to apply the sum of One Million Six Hundr</t>
  </si>
  <si>
    <t xml:space="preserve"> REPUBLIC of the Philippines DEPARTMENT OF PUBLIC WORKS AND HIGHWAYS CAMARINES SUR 5TH  DISTRICT ENGINEERING OFFICE REGIONAL OFFICE V Sta. Teresita, Baao, Camarines Sur INVITATION TO BID FOR The Department of Public Works and Highways Camarines Sur 5TH, Di</t>
  </si>
  <si>
    <t xml:space="preserve"> Republic of the Philippines													 DEPARTMENT OF PUBLIC WORKS AND HIGHWAYS													 Sultan Kudarat 1st													 District Engineering Office													 REGIONAL OFFICE XII													 Isulan, Sultan Kudarat													 													 Name </t>
  </si>
  <si>
    <t xml:space="preserve"> 1 25 PCS ADENIUM 8 X 12 X 15' (CALACHUCHI DWARF)  2 25 PCS NORFOLK PINE TREE  3 33 PCS AGAVE 8 X 12 X 16" AMERICANA  4 33 PCS PANDANUS 8 X 12 &amp; 13" VARIEGATED  5 25 PCS BOUGAINVILLEA - Different Colors - Purple, Red, Orange, White, Pink, Yellow 6 20 PCS B</t>
  </si>
  <si>
    <t xml:space="preserve"> INVITATION TO BID  The DPWH, Negros Occidental 2nd District Engineering Office, Binalbagan, Negros Occidental, through its Bids and Awards Committee (BAC), invites contractors to submit bids for the following Contract:       Contract ID		:  20GL0096      </t>
  </si>
  <si>
    <t xml:space="preserve"> Republic of the Philippines                                                        Province of Batangas                                                   Nasugbu, Batangas                                                                                    </t>
  </si>
  <si>
    <t xml:space="preserve"> ITEM NO. QUANTITY UNIT ITEM DESCRIPTION 1 20 BOTS CONTINUOUS INK, EPSON, T6641, BLACK 2 8 BOTS CONTINUOUS INK, EPSON, T6642, CYAN 3 8 BOTS CONTINUOUS INK, EPSON, T6643, MAGENTA 4 8 BOTS CONTINUOUS INK, EPSON, T6644, YELLOW 5 1 UNIT COMPUTER DESKTOP - 32 B</t>
  </si>
  <si>
    <t xml:space="preserve"> Republic of the Philippines CITY GOVERNMENT OF ANTIPOLO Antipolo City INVITATION TO BID For the Supply &amp; Delivery of Laboratory Machine Reagents including the Lending of Laboratory Machine through Ordering Agreement Modality The City Government of Antipol</t>
  </si>
  <si>
    <t xml:space="preserve"> Republic of the Philippines DEPARTMENT OF PUBLIC WORKS AND HIGHWAYS MARINDUQUE DISTRICT ENGINEERING OFFICE REGIONAL OFFICE IV-B Boac, Marinduque      August 5, 2020 	        Date		 INVITATION TO PAKYAW GROUPS The Department of Public Works and Highways (D</t>
  </si>
  <si>
    <t xml:space="preserve"> Republic of the Philippines Province of Cagayan Municipality of Camalaniugan  Barangay Catotoran Norte August 6, 2020 Invitation to Bid for the CONSTRUCTION &amp; INSTALLATION OF STREETLIGHT @ BARANGAY CATOTORAN NORTE        1.	The Barangay Catotoran Norte, t</t>
  </si>
  <si>
    <t xml:space="preserve"> Catering of Meals and Snacks of Participants during the conduct of the Orientation on the following dates: Batch 1 - August 24, 2020 - 23 pax  Batch 2 - August 25, 2020 - 24 pax Batch 3 - September 2, 2020  - 22 pax Batch 4 - September 2, 2020 - 16 pax Ba</t>
  </si>
  <si>
    <t xml:space="preserve"> If you are interested to join, please also submit your scanned copy of your company's permit: 1.) BIR Certificate of Registration 2.) PhilGEPS Certificate of Registration 3.) DTI / SEC Permit 4.) Mayor's / Business Permit</t>
  </si>
  <si>
    <t xml:space="preserve"> 1  20 pcs PLAQUES 3/8 Clear with Brass Plate Wood Base (14"x8" (included base) 2  20 pcs PLAQUES 3/8 Clear 10" Height 3  20 pcs CERTIFIACTE FRAMES Wooden Standard Frame  8.5 x 11"   4 20 pcs CEREMONIAL CHECK 22" x 48" w/ Xintra Board &amp; Sticker</t>
  </si>
  <si>
    <t xml:space="preserve"> 1.	The Municipality of Esperanza, intends to apply the sum of  Six Hundred Seventy Four Thousand Three Hundred Ninety Seven Pesos Only (Php674,397.00) being the Approved Budget for the Contract (ABC) to payments under the contract for Supply and Delivery </t>
  </si>
  <si>
    <t xml:space="preserve"> Item	Quantity	Unit	Item Description No.			 1	168	bags	Portland Cement 2	73	pcs.	RSB 16mm dia x 6m 3	110	pcs.	RSB 10mm dia x 6m 4	20	kgs.	#16 tie wire 5	48	pcs.	2" diam. G.I. Pipe S40 6	11	pcs.	6" diam. G.I. Pipe S40 7	2	pcs.	MS Base Plate 12mm thk 8	66	pc</t>
  </si>
  <si>
    <t xml:space="preserve"> Common Office Supplies for Region 9 Approved Budget for the Contract = PHp192,521.20 Common Office Supplies for Region 9 Please see attached document file for the Item Description / Specification, Unit and Required Quantities. ___________________________ </t>
  </si>
  <si>
    <t xml:space="preserve"> 7	pcs.	Plastic Box 80L, Transparent		 55	pcs	Long Arch File, color blue		 18	boxes	8.5 x 13 Multi-Purpose Paper, 70gsm		 17	boxes	A4 MULTI-PURPOSE PAPER		 45	reams	Copy Paper Sub-24/80gsm /Legal /500 pcs per ream 		 5	reams	Copy Paper Sub-24/80g / Letter </t>
  </si>
  <si>
    <t xml:space="preserve"> Std. Form No.: SF-05		 										Revised on: July 28, 2005		 Republic of the Philippines												 City Government of Ormoc												 2nd /F New Ormoc City Hall Bldg., Ormoc City												  E-mail address: bac.ormoc@gmail.com												 Tel # 255-3</t>
  </si>
  <si>
    <t xml:space="preserve"> LOT4										 1	#14 THHN Wire							2	boxes	3,850.00 2	#12 THHN Wire							1	box	3,250.00 3	#8 THHN Wire(Black)							5	mtrs	32.00 4	#8 THHN Wire(White)							5	mtrs	32.00 5	¾" Poly Pipe							14	lgths	95.00 6	½" Poly Flex							40	mtrs	7.00 7	4 Holes Pa</t>
  </si>
  <si>
    <t xml:space="preserve"> LENGTH 50In. mtrs. ITEM I. EXCAVATION FOR CANAL ITEM II. DRAINAGE CANAL</t>
  </si>
  <si>
    <t xml:space="preserve"> Purchase of Fuel CODE 14    RESHAPING &amp; BLADING UNPAVED ROAD W/ BACKSLOPING                  1,120 liters of Diesel CODE 13    RESURFACING GRAVEL ROAD                  7,500 liters of Diesel CODE 71    AGGREGATE PRODUCTION                  1,440 liters of</t>
  </si>
  <si>
    <t xml:space="preserve"> ITEM NO.	UNIT		QTY		DESCRIPTION		 							 1	 unit 		1		Aircondition unit - 2.5 hp split type		 					 14⁰C Temperature setting 		 					 Dragonfly wing 		 					 12hr on/off timer 		 					 auto restart function 		 					 eco mode 		 					 baby mode and best s</t>
  </si>
  <si>
    <t xml:space="preserve"> The Murcia Water District requests for the quotations of interested suppliers and manufacturers for the supply and delivery of One (1) set of 4' Flow Meter (Flange Type) with EV Output complete with technical specifications.</t>
  </si>
  <si>
    <t xml:space="preserve"> Items and Description PROCUREMENT OF HARDWARE SUPPLIES Lot 1 -  Repair and replace sink            cabinet 34” x 16” of Soil Testing             Section at RSL 1.Cabinet Handle (any size) 2. Butterfly hinges 1½"x 3" 3. Marine Plywood 18mm x 4 x 8 4. Com. </t>
  </si>
  <si>
    <t xml:space="preserve"> Name of the Procuring Entity:					Project Reference Number: ITB # 2020-05-022 Municipality of Lantapan					Name of the Project:  Standard Form Number: SF-GOOD-60					National Child Dev't. Center 					Location of the Project:  Revised on: May 24, 2004					</t>
  </si>
  <si>
    <t xml:space="preserve"> To Furnish labor and materials for the Repair/replacement of roofs of Sidlakang negros Village Building							1		890,000.00 (Tourism Office) in the amount of.......									 6,000 pcs nipa Shingles									 500 pcs Bagacay poles									 3,000 bundles Cog</t>
  </si>
  <si>
    <t xml:space="preserve"> 1 1 set Leaf Spring, Left &amp; Right, Front w/ Pin (Year 2000 Model)  2 1 set Leaf Spring, Left &amp; Right, Front w/ Pin (Year 2009 Model) All items must be brand new Remarks : ITEM 1: FOR USE OF 63-H3-62P NISSAN UD DT YEAR 2000 MODEL, P.N. 0081-0013 ITEM 2: FO</t>
  </si>
  <si>
    <t xml:space="preserve"> Furnish of 13 units Sr. Executive Chairs and Tables and 3 units Guest Chairs</t>
  </si>
  <si>
    <t xml:space="preserve"> REQUEST FOR QUOTATIONS Supply and Delivery of Clinic Furniture and Devices for UHS The Bicol University, through the Corporate Budget for the Contract approved by the Board of Regents intends to apply the sum of Four Hundred Seventy-eight Thousand &amp; 00/10</t>
  </si>
  <si>
    <t xml:space="preserve"> INVITATION TO BID IB NO. CW 2020 –  115 Concreting of Road Gap at Bigaan, San Teodoro, Oriental Mindoro 1.  The Provincial Government of Oriental Mindoro (PGOM) through the 20% Development Fund 2020 intends to apply the sum of Two Million Sixteen Thousand</t>
  </si>
  <si>
    <t xml:space="preserve"> 1 1,000 ltrs. diesel 2 200 ltrs. gasoline 3  6 pcs. oil and lubricants NOTE: Payment be based on the actual price and to be processed in every billing period.</t>
  </si>
  <si>
    <t xml:space="preserve"> Items and Description PROCUREMENT OF ELECTRICAL SUPPLIES 1. Circuit breaker plug in 60 amp. 2. Circuit breaker plug in 30 amp. 3. LED bulb 30 watts 4. LED flourescent  assy. 36 watts 5. LED bulb 9 watts 6. LED bulb 7 watts 7. LED flourescent  tube 36 watt</t>
  </si>
  <si>
    <t xml:space="preserve"> Construction of Multi Purpose Building Barangay Baraka Norzagaray Bulacan</t>
  </si>
  <si>
    <t xml:space="preserve"> Technical Specification A. Maintenance of the Business Matching Information System (CBMIS): "a. System Maintenance and Reconfiguration Activities:   a.1. Configuration and update of the operating system;   a.2. Database maintenance;   a.3. Protection, det</t>
  </si>
  <si>
    <t xml:space="preserve"> 2nd  Bidding The Local Government Unit of Paracale,Camarines Norte ,through its Bids and Awards Committe (BAC ) invites a contractor registered with and classified by the Philippine Contractors Accreditation Board ( PCAB) to apply for eligibility and to b</t>
  </si>
  <si>
    <t xml:space="preserve"> 1	Ballpens assorted							50	pcs	11.50 2	Bookpaper short subs 20							75.00	reams	224.50 3	Bookpaper long subs 20							75	reams	267.50 4	Bondpaper short subs 16							35	reams	163.50 5	Bondpaper long subs 16							50	reams	193.50 6	Correction pens						</t>
  </si>
  <si>
    <t xml:space="preserve"> Title:Procurement of Hardware and Construction Supplies under P.R Nos. 2677-2020(Office of the City Economic Enterprise-Public Market Operation) and 2681-2020(Office of the City Economic Enterprise-Land Transport &amp; Terminal Operation) Total ABC: Php 55,49</t>
  </si>
  <si>
    <t xml:space="preserve"> Item No.	Description	Unit	Quantity b.5	Project Billboard/Signage 	unit/s	1.00 b.9	Mobilization / Demobilization	l.s.	1.00 801(1)	Removal of Structures and Obstructions	l.s	1.00 SPL-1	Concrete and Masonry Works	l.s	1.00 1018	Ceramic Floor Tiles	sq.m.	15.96</t>
  </si>
  <si>
    <t xml:space="preserve"> CITY GOVERNMENT OF TACURONG Alunan Highway, Tacurong City Sultan Kudarat BIDS AND AWARDS COMMITTEE                       Tel nos. (064) 532-0128/ Telefax no. (064) 477-0138      www.tacurong.gov.ph                                          INVITATION FOR N</t>
  </si>
  <si>
    <t xml:space="preserve"> The Bureau of Fisheries and Aquatic Resources Region XI now invites bids for the Supply and Delivery of 6-Wheeler Light Duty Truck with Refrigerated Van, Type-4 cylinder, 5-6 speed Manual, 100L tank capacity, and displacement of 2,500-3,500 cc for BFAR XI</t>
  </si>
  <si>
    <t xml:space="preserve"> Republic of the Philippines DEPARTMENT OF PUBLIC WORKS AND HIGHWAYS EASTERN SAMAR DISTRICT ENGINEERING OFFICE REGIONAL OFFICE VIII Borongan City, Eastern Samar INVITATION TO BID The Department of Public Works and Highways Eastern Samar District Engineerin</t>
  </si>
  <si>
    <t xml:space="preserve"> JOSE B. LINGAD MEMORIAL REGIONAL HOSPITAL City of San Fernando, Pampanga Tel. No. (045) 961-3921 Date: August 7, 2020 No. 2020 – 08 - 242-S REQUEST FOR QUOTATION (Name of Agency) (Address) Sir/Madam: Please quote your lowest price on the item/s listed bel</t>
  </si>
  <si>
    <t xml:space="preserve"> 1 CU.M DEMOLITION 25 SQ.M CLEARING &amp; LAY OUT 8 CU.M. EXCAVATION FOR STRUCTURE 10 CU.M EMBANKMENT 66 SQ.M FORMWORKS AND SCAFFOLDINGS 11 CU.M CONCRETE WORKS 1,060.50 KGS REBARS 112 SQ.M. MASONRY WORKS 136 SQ.M. PLASTERING 2.82 SQ.M TILE WORKS 1 L.S. DOORS A</t>
  </si>
  <si>
    <t xml:space="preserve"> I	Removal of Existing Damaged Roofing &amp;	lot	1 	Roof Framing &amp; Hauling &amp; Hauling of				 	Existing Materials				 					 II	Roof &amp; Roof Framing			                lot	1 					 III	Painting Works (Roofing Only)			lot	1 INVITATION TO BID FOR THE REHABILITATION OF</t>
  </si>
  <si>
    <t xml:space="preserve"> Invitation to Bid for Supply and Delivery of Office Supplies and Equipment for the Implementation of Learning Continuity Plan in DepED Division of Oroquieta City  1.	The DepED, Division of Oroquieta City, through the 2019 Special Education Fund intends to</t>
  </si>
  <si>
    <t xml:space="preserve"> 90 PCS PAINTS ( BRANDED)</t>
  </si>
  <si>
    <t xml:space="preserve"> REQUEST FOR QUOTATION (RFQ) SUPPLY AND DELIVERY OF LABORATORY CONSUMABLES UNDER EMB-ERLSD-ENVIRONMENTAL LABORATORY SERVICES SECTION (ELSS) AIR LABORATORY UNIT RFQ NO. EMB-S-ERLSD-ELSS LABORATORY CONSUMABLES 2020-0544(3rd) 1.	The Department of Environment </t>
  </si>
  <si>
    <t xml:space="preserve"> REQUEST FOR QUOTATION The City Government of San Jose del Monte, through its Bids and Awards Committee (BAC) Invites Suppliers/Manufacturers/Distributors to Bid for hereunder procurement: RFQ No.	PR No.	PROJECT TITLE	Requesting Office	Approved Budget for </t>
  </si>
  <si>
    <t xml:space="preserve"> 1	Alcohol 500ml							40	bots	90.00 2	bondpaper Subs 16, short							120	rms	165.00 3	Bondpaper Subs 16, long							125	rms	195.00 4	Desk pad/memo pad							25	pad	175.00 5	Disinfectant Spray 340ml							75	bots	460.00 6	DVD-R w/ case							60	pcs	57.50 7</t>
  </si>
  <si>
    <t xml:space="preserve"> Purchase of water Pump</t>
  </si>
  <si>
    <t xml:space="preserve"> Item &amp; Description							Unit of Issue	Quantity (6-23 months) Fortified Instant Cereal Baby Food Blend (Rice + Mongo) 30grams        pc		15,300 Rich Nutty Chocolate Flavored Complementary Food 25grams	      pc		5,100 (Pregnant Women) Brown Rice Bar (Ready</t>
  </si>
  <si>
    <t xml:space="preserve"> LOT 2 COMPLETE FERTILIZER (14-14-14) DELIVERY: 8,557 BAGS - OCCIDENTAL MINDORO Pre-Negotiation Conference is on August 11, 2020 at 1:00 pm - 3/F, Conference Room, DA-Region IV-MiMaRoPA, ATI Bldg., Diliman Q.C. Deadline for submission of final offers/propo</t>
  </si>
  <si>
    <t xml:space="preserve"> 1	lot	Student Accident Insurance Plan						 		Plan A							 		Minimum No. of Students: 							 		*15,000-22,000 students @ P50.00each/Annual Premium							 		Schedule of Benefits:							 		*Accidental Death &amp; Disablement                          P20,000.0</t>
  </si>
  <si>
    <t xml:space="preserve"> Fund Source: 20% PDF 2020 Types of Work to be Done:  Project billboard/ signboard/ occupational safety and health program/ removal of structures and obstruction/ roadway excavation/ structure excavation (common soil)/ grouted riprap (class A)</t>
  </si>
  <si>
    <t xml:space="preserve"> 1.)One Hundred Forty-Five (145) Blinds, Combi roller, white/ Colored Aluminum frame w/ fabric inserted into valance and w/ white / colored plastic side cover, white/ colored aluminum U-shape bottom rail, clear plastic control chain  2.) Five hundred fifty</t>
  </si>
  <si>
    <t xml:space="preserve"> For BAASO use.</t>
  </si>
  <si>
    <t xml:space="preserve"> Sir/Madam: 	Kindly quote your lowest price on the item/s listed below, subject to the General Conditions, stating the shortest time of delivery and submit your quotation duly signed by your representative not later than the set deadline at the Procurement</t>
  </si>
  <si>
    <t xml:space="preserve"> Metropolitan Manila Development Authority																																     BIDS AND AWARDS COMMITTEE																																 																																    REQUEST FOR QUOTATION																																 Small Value Procurement						</t>
  </si>
  <si>
    <t xml:space="preserve"> 1.	The Municipality of Esperanza, intends to apply the sum of Five Hundred Thousand Pesos Only (Php500,000.00) being the Approved Budget for the Contract (ABC) to payments under the contract for Supply &amp; Delivery of Grocery Items use for Supplemental Feed</t>
  </si>
  <si>
    <t xml:space="preserve"> PROCUREMENT OF OFFICE SUPPLIES, JANITORIAL AND OTHER SUPPLIES FOR THE USE OF LGU-TIGBAUAN, ILOILO.</t>
  </si>
  <si>
    <t xml:space="preserve"> Procurement of JO's Uniform: Polo Shirt White, Polo Shirt Blue, Polo Shirt Light Green, Polo Shirt Gray, Polo Shirt Red.</t>
  </si>
  <si>
    <t xml:space="preserve"> ITEM (Scope of Work)	 Qty.	 Unit	Total Estimated Cost I.	Project Billboard	1.000	unit	 II.	Excavation	1.962	Cu.m	 III.	Masonry Works	38.580	Sq.m	 IV.	Earthfilling	30.000	Cu.m	 V.	Concrete Works	3.533	Cu.m	 VI.	Reinforcing Bar	285.504	Kgs	 VII.	Forms and S</t>
  </si>
  <si>
    <t xml:space="preserve"> Various School forms  FORM 137 FORM 138 SF10 HEALTH CARD others Total  20,300.00</t>
  </si>
  <si>
    <t xml:space="preserve"> To All Eligible Suppliers; Please quote your lowest price on the items listed below, subject to the General Conditions stated herein and submit the same to the Office of the BAC-Secretariat on or before August 24, 2020 at 10:00 o'clock in the morning. (SG</t>
  </si>
  <si>
    <t xml:space="preserve"> 1. REMOVAL OF MISC STRUCTURES 2. ROOF AND ROOF FRAMING 3. CEILING 4. WINDOWS 5. DOORS AND DOOR JAMBS 6. COMFORT ROOMS 7. PAINTING</t>
  </si>
  <si>
    <t xml:space="preserve"> JOSE B. LINGAD MEMORIAL REGIONAL HOSPITAL City of San Fernando, Pampanga Tel. No. (045) 961-3921 Date: August 7, 2020 No. 2020 – 08 - 243-S REQUEST FOR QUOTATION (Name of Agency) (Address) Sir/Madam: Please quote your lowest price on the item/s listed bel</t>
  </si>
  <si>
    <t xml:space="preserve"> SEE PR</t>
  </si>
  <si>
    <t xml:space="preserve"> Invitation to Bid Rehabilitation / Improvement of DepEd School Division Office  Building , and  COA Office Building  1.	The Department of Education (DepED) Division of Zamboanga del Sur, through the TRUST FUND intends to apply the sum of Three Million, Tw</t>
  </si>
  <si>
    <t xml:space="preserve"> LOT 1 UREA FERTILIZER - 49,594 BAGS @ 50KG/BAG GRANULAR DELIVERY: 14,360 BAGS - OCCIDENTAL MINDORO 32,680 BAGS - ORIENTAL MINDORO 1,250 BAGS - ROMBLON 1,304 BAGS - MARINDUQUE Pre-Negotiation Conference is on August 11, 2020 at 1:00 pm - 3/F, Conference Ro</t>
  </si>
  <si>
    <t xml:space="preserve"> REQUEST FOR QUOTATION (RFQ) 											Date: August 7, 2020 The Owner/Proprietor _________________________ Borongan City Sir: Please quote your price for the items specified below, taking into consideration the following &amp; fill-up the above portion “The O</t>
  </si>
  <si>
    <t xml:space="preserve"> REQUEST FOR QUOTATIONS Supply and Delivery of Fitness Equipment and Devices for BU IPESR The Bicol University, through the Corporate Budget for the Contract approved by the Board of Regents intends to apply the sum of Seven Hundred Thousand &amp; 00/100 Pesos</t>
  </si>
  <si>
    <t xml:space="preserve"> Republic of the Philippines Province of Nueva Vizcaya BIDS AND AWARDS COMMITTEE (BAC-Goods) BAC OFFICE, Provincial Capitol, Bayombong, Nueva Vizcaya 	 REQUEST FOR QUOTATION (RFQ) For the Procurement of Vehicle Parts  For the Governor’s Office – Provincial</t>
  </si>
  <si>
    <t xml:space="preserve"> REQUEST FOR QUOTATION (RFQ)  PREVENTIVE MAINTENANCE AND CALIBRATION SERVICE OF ONE (1) “METROHM 881 COMPACT ION CHROMATROGRAPH (ANION) (S/N: 18810000120128) WITH SUPPLY, DELIVERY AND INSTALLATION OF CONSUMABLES UNDER EMB-ERLSD-ELSS-ECMU RFQ NO. 2020-0516-</t>
  </si>
  <si>
    <t xml:space="preserve"> 1 6 pcs Leaf Spring, APS  2 1 pc Center Bearing  3 2 pcs Shifting Cable All items must be brand new.   Remarks : Item 1&amp;2: For use of 63-H3-71P Nissan Dump Truck 6W, P.N. 0081-0031 Item 3: For use of 63-H3-70P Nissan Dump Truck 6W, P.N. 0081-0030 For use </t>
  </si>
  <si>
    <t xml:space="preserve"> The Municipality of Limay, through its Bids and Awards Committee (BAC) invites registered suppliers to apply for eligibility and if found eligible, to bid for the hereunder project/contract: Project/Contract:     SUPPLY AND DELIVERY OF PRINTER (L1455 WIFI</t>
  </si>
  <si>
    <t xml:space="preserve"> LOT 9: UPGRADED GOAT - 467 HEADS - 374 HEADS DOES OF DOCILE FEMININE APPEARANCE - 93 HEADS BUCKS OF STURDY MASCULINE APPEARANCE - SOURCED FROM BAI ACCREDITED GOAT MULTIPLIER FARM - AGE 12-18 MONTHS OLD - MINIMUM OF BODYWEIGHT OF 20 KG. UPON DELIVERY - TES</t>
  </si>
  <si>
    <t xml:space="preserve"> 1 2 pcs Packing, Blade Lift Cylinder (APS)  2 2 pcs Seal Dust, Blade Lift Cylinder (APS)  3 2 pcs Back Up Ring, Blade Lift Cylinder (APS)  4 2 pcs O-ring, Blade Lift Cylinder, Large (APS)  5 2 pcs O-ring, Blade Lift Cylinder, Small (APS)  6 1 assy Water P</t>
  </si>
  <si>
    <t xml:space="preserve"> The Municipal Government of San Mariano, Isabela intends to apply the sum of Two Hundred Thousand Pesos Only (Php. 200, 000.00) chargeable against 2020 Capital Outlay (Medical Equipment)Fund being the Approved Budget for the Contract (ABC) for payment und</t>
  </si>
  <si>
    <t xml:space="preserve"> JOSE B. LINGAD MEMORIAL REGIONAL HOSPITAL City of San Fernando, Pampanga Tel. No. (045) 961-3921 Date: August 7, 2020 No. 2020 – 08 - 244-S REQUEST FOR QUOTATION (Name of Agency) (Address) Sir/Madam: Please quote your lowest price on the item/s listed bel</t>
  </si>
  <si>
    <t xml:space="preserve"> Invitation to Bid for the Supply and Delivery of Hygienic Aid Kits for the use of Brgy. Sta. Rita Karsada, Batangas City</t>
  </si>
  <si>
    <t xml:space="preserve"> Agency Request</t>
  </si>
  <si>
    <t xml:space="preserve"> The supplier must deliver the item/s or supplies within 15 days.</t>
  </si>
  <si>
    <t xml:space="preserve"> supply and delivery of hardware materials</t>
  </si>
  <si>
    <t xml:space="preserve"> 105	Sub-Grade Preparation			sq.m.	1,000 					 201	Agrregate Base Coarse			cu.m.	240 					 311	Portland Cement Concrete Pavement	sq.m.	1,000 					 SPL-1Project Billboard, Bunkhouse, Traffic	lot	1 	Signage, Safety &amp; Health				 INVITATION TO BID FOR THE UPGR</t>
  </si>
  <si>
    <t xml:space="preserve"> Republic of the Philippines CITY GOVERNMENT OF ORMOC  2nd /F New Ormoc City Hall Bldg.,Ormoc City Tel # (053) 255-2054 &amp; 560-8050 Local # 1126, 1127 &amp; 1123	      RFQ 17-_________ Invitation to Quote (Small Value Procurement)         In accordance with Sec</t>
  </si>
  <si>
    <t xml:space="preserve"> The City Government of Naga, through the Drugs and Medicines Account of Naga City Hospital (NCH), intends to apply the sum of Four Million Six Hundred Eighty Five Thousand Six Hundred Ninety Nine &amp; 56/100 (P 4,685,699.56) Pesos being the Approved Budget f</t>
  </si>
  <si>
    <t xml:space="preserve"> INVITATION FOR SUBMISSION OF QUOTATION (SHOPPING)   The ZAMBOANGA SIBUGAY POLYTECHNIC (ZSPI) formerly KABASALAN INSTITUTE OF TECHNOLOGY (KIT), through the General Appropriations Act (GAA) of 2018 intends to apply the sum EIGHT HUNDRED TWELVE THOUSAND FIVE</t>
  </si>
  <si>
    <t xml:space="preserve"> LOT 8: 379 HEADS SWINE (GILT) - CROSSBRED OF LARGE WHITE AND LANDRACE - NOT LESS THAN 6 MONTHS OF AGE - MINIMUM BODYWEIGHT OF 60 KG. UPON DELIVERY - VACCINATED AGAINST HOG CHOLERA AND SWINE INFLUENZA - TESTED FOR PRRS, BRUCELLOSIS &amp; LEPTOSPIROSIS - FEMINI</t>
  </si>
  <si>
    <t xml:space="preserve"> 1 1 assy Drag Link , APS  2 2 pcs Cowl Shock, APS  3 1 pc Steering Wheel Cross Joint, APS  4 4 sets Brake Lining Rear, 4 pcs, w/ rivets  5 2 sets Brake Lining Front, 4 pcs, w/ rivets  1 pc Magentic Valve, 3-way, APS All items must be brand new</t>
  </si>
  <si>
    <t xml:space="preserve"> Length 1 30 mtr @ 6" thk Length 2 30 mtrs @ 4" thk Width      3.5 mtrs ITEM I. EMBANKMENT ITEM II. CONCRETE PAVEMENT</t>
  </si>
  <si>
    <t xml:space="preserve"> Purchase of Medical Supplies for the use of City College of San Jose Del Monte</t>
  </si>
  <si>
    <t xml:space="preserve"> Portland Cement Coco Lumber 2x4x12 Mixing Water Sand Gravel Common Nails (Assorted)</t>
  </si>
  <si>
    <t xml:space="preserve"> Republic of the Philippines Province of Isabela LOCAL GOVERNMENT UNIT OF BENITO SOLIVEN INVITATION TO BID FOR THE PROCUREMENT OF 4 CYLINDER DIESEL ENGINE ASSEMBLY WITH TRANSMISSION 1.	The Municipal Government of Benito Soliven, intends to apply the sum of</t>
  </si>
  <si>
    <t xml:space="preserve"> Rescue Recovery Hand Tools (spreader Cutter) (see attached documents)</t>
  </si>
  <si>
    <t xml:space="preserve"> Republic of the Philippines CITY GOVERNMENT OF ORMOC  2nd /F New Ormoc City Hall Bldg.,Ormoc City Tel # (053) 255-2054 &amp; 560-8050 Local # 1126, 1127 &amp; 1123	      RFQ 18-__________ Invitation to Quote (Small Value Procurement)         In accordance with Se</t>
  </si>
  <si>
    <t xml:space="preserve"> Description and Specificatioan of Items can be obtained at the Supply Office of TESDA Negros Occidental Provincial Office/Provincial Training Center - Kabankalan</t>
  </si>
  <si>
    <t xml:space="preserve"> H E A D Q U A R T E R S 6TH INFANTRY (KAMPILAN) DIVISION, PHILIPPPINE ARMY 6ID SPECIAL BIDS AND AWARD COMMITTEE  Camp BGen Gonzalo H Siongco, Awang Datu Odin, Sinsuat, Maguindanao Invitation to Bid The Philippines Army through 6ID Special Bids and Awards </t>
  </si>
  <si>
    <t xml:space="preserve"> 1 25 PC/S INK - EPSON - BLACK T6641 2 12 PC/S INK - EPSON - CYAN T6642 3 12 PC/S INK - EPSON - MAGENTA T6643 4 12 PC/S INK - EPSON - YELLOW T6644</t>
  </si>
  <si>
    <t xml:space="preserve"> Location:  Brgy. Alcate, Victoria, Oriental Mindoro Pre-Negotiation Conference is on August 11, 2020 at 1:00 pm - 3/F, Conference Room, DA-Region IV-MiMaRoPA, ATI Bldg., Diliman Q.C. Deadline for submission of final offers/proposals is on August 17, 2020 </t>
  </si>
  <si>
    <t xml:space="preserve"> Title:Procurement of 12 Box APTT(Calcium Chloride), 2 X 6.5 ML/Reagent, 6 X 2 ML,240 Tests per Box,etc. under P.R No. 0952-2020-Butuan Medical Center. Total ABC: Php 348,700.00 (INSTRUCTION AS TO THE REQUIRED FORM: For your price quotation, please use the</t>
  </si>
  <si>
    <t xml:space="preserve"> 1 Set Main Circuit Breaker (MCB) 3 Phase 250A240 Volts 60H2 400AF Bolt on type center main nema 3R enclosure 1 Set Main Distribution Panel (MDP) 3 Phase, 250A, 240A, 240 Volts 60H2 Branches: Phase AB 160AT/400AF Single Phase, bolt on type Phase BC 125AT/4</t>
  </si>
  <si>
    <t xml:space="preserve"> Republic of the Philippines PROVINCE OF ZAMBOANGA SIBUGAY Municipality of Roseller T. Lim    INVITATION TO BID 						Aug. 4, 2020 	 To All Interested Bidders: Notice is hereby served that sealed bid be received for public bidding under the harmonious proc</t>
  </si>
  <si>
    <t xml:space="preserve"> INVITATION TO BID FOR THE Supply ad Delivery of Various Devices for Meteorology Laboratory 1.	The BICOL UNIVERSITY, through the Corporate Budget for the contract approved by the Board of Regents intends to apply the sum of Six Hundred Eighteen Thousand Tw</t>
  </si>
  <si>
    <t xml:space="preserve"> Republic of the Philippines PROVINCE OF ZAMBOANGA SIBUGAY Municipality of Buug BIDS AND AWARDS COMMITTEE Invitation to Bid for the Rehabiliation of Barangay Road(Delmonte) 1. The Barangay Delmonte of Buug, Zamboanga Sibugay, through the General Fund inten</t>
  </si>
  <si>
    <t xml:space="preserve"> 2 UNIT CAMERA MIRRORLESS WITH 15-45MM LENS   Remarks : TERMS AND CONDITIONS: 1. SUPPLIER MUST INDICATE BRAND NAME OF THE UNIT TO BE SERVED. 2. WITH ONE YEAR WARRANTY AND SLING CAMERA BAG</t>
  </si>
  <si>
    <t xml:space="preserve"> Supply and delivery of various office supplies. Bidders may participate for any one or all lots: Lot 1 - Office Supplies (MPDC)    ABC - P 19, 404.95 Lot 2 - Office Supplies (MCR)      ABC - P 20, 690.00 Lot 3 - Office Supplies (Accounting Office)   ABC -</t>
  </si>
  <si>
    <t xml:space="preserve"> FOR THE BUSINESS ONE STOP SHOP</t>
  </si>
  <si>
    <t xml:space="preserve"> NOTICE FOR NEGOTIATED PROCUREMENT Construction of Multi-Purpose Building Phase-II (Procurement of Construction Materials) In view of two failed biddings, the Barangay Local Government Unit of Napangan, Don Victoriano, Misamis Occidental through its Bids a</t>
  </si>
  <si>
    <t xml:space="preserve"> 1. Supplier must be within Cagayan de Oro City 2. Free Delivery of goods. 3. The whole amount is intended for purchased of bond papers only (A4 size). 4. No clearance period for checks.</t>
  </si>
  <si>
    <t xml:space="preserve"> RFQ 2020-167 PROJECT		:	OVERSEAS FILIPINO BANK IMPLEMENTOR		: 	LBP RESOURCES AND DEVELOPMENT CORPORATION OWNER			:	LAND BANK OF THE PHILIPPINES	 REQUEST FOR QUOTATION FOR	:	SUPPLY AND INSTALLATION OF AIRCON DATE / TIME OF SUBMISSION		:	ON OR BEFORE AUGUST</t>
  </si>
  <si>
    <t xml:space="preserve"> Prevention ad Mitigation:  Establishment of tree-lined project along the perimeter of Municipal SLF A.) Gmelina ---------------------------- 900 paxs       - 3'x4' ploybag       - atleast 6' to 7' in height       B.) Lanzones -------------------------- 68</t>
  </si>
  <si>
    <t xml:space="preserve"> PLEASE SEE ATTACHED INVITATION TO APPLY FOR ELIGIBILITY AND TO BID</t>
  </si>
  <si>
    <t xml:space="preserve"> CATERING SERVICES: To provide meals and snacks during the conduct of Key Informant Interview (KII) and Focus Group Discussion for the Updating of Value Chain Analysis of Dairy in Region 02 Tentative Date: August 11-14, 2020 Venue: Quirino Province</t>
  </si>
  <si>
    <t xml:space="preserve"> INVITATION TO BID IB NO. CW 2020 –  116 Concreting of Road Gap at Tabon-Tabon, Baco, Oriental Mindoro 1.  The Provincial Government of Oriental Mindoro (PGOM) through the 20% Development Fund 2020 intends to apply the sum of Two Million Nine Hundred Two T</t>
  </si>
  <si>
    <t xml:space="preserve"> The Municipality of Limay, through its Bids and Awards Committee (BAC) invites registered supplier to apply for eligibility and if found eligible, to bid for the hereunder project/contract: Project/Contract:     SUPPLY AND DELIVERY OF PRINTER (L1455 WIFI </t>
  </si>
  <si>
    <t xml:space="preserve"> Invitation to Bid For Supply, Delivery and Installation of Advanced Malware Protection System with Three (3) Years Warranty and Subscription  1.	The LAND BANK OF THE PHILIPPINES (LANDBANK), through its Corporate Budget for the contract approved by the Boa</t>
  </si>
  <si>
    <t xml:space="preserve"> 105	Sub-Grade Preparation			sq.m.   2,640 					 201	Agrregate Base Coarse			cu.m.    602 					 311	Portland Cement Concrete Pavement	sq.m.     2,640 					 SPL-1Drainage Canal (Grouted Riprap Type)	LM	50 					 SPL-2Project Billboard, Bunkhouse, Traffic	lot</t>
  </si>
  <si>
    <t xml:space="preserve"> 4 pieces Tire 265 R18</t>
  </si>
  <si>
    <t xml:space="preserve"> 23 units Hands Free Wash Stainless Steel Basin</t>
  </si>
  <si>
    <t xml:space="preserve"> ITEM NO.	QTY.	UNIT	DESCRIPTION					Estimated Unit Cost 			MEO-300-2020-07-077					 1	6140	Ltrs	DIESEL FUEL					 50.00  2	6	Pail	LUBRICANTS TREKKER					 4,100.00  3	4	Pail	GREASE					 3,900.00  4	3	Pail	HD 10					 2,950.00  5	100	Ltrs	GASOLINE FUEL					 56</t>
  </si>
  <si>
    <t xml:space="preserve"> 1.	The Norzagaray Water District (NorWD) through its Corporate Budget for the contract approved by the governing Boards intends to apply the sum of One Million Two  Hundred  Thousand Pesos (Php. 1,200,000.00 ) a year  being the Approved Budget for the Con</t>
  </si>
  <si>
    <t xml:space="preserve"> NOTICE FOR NEGOTIATED PROCUREMENT FOR THE SUPPLY AND DELIVERY OF MATERIALS AND FITTINGS (GOODS-2020-005)  The Puerto Princesa City Water District (PPCWD) invites suppliers that are technically, legally and financially capable to enter into a contract with</t>
  </si>
  <si>
    <t xml:space="preserve"> Republic of the Philippines DEPARTMENT OF AGRICULTURE Regional Field Office IX, Zamboanga Peninsula INVITATION TO BID FOR SUPPLY AND DELIVERY 21,909 BAGS OF UREA FERTILIZER 1.	The Department of Agriculture Regional Field Office IX, through the GAA (Nation</t>
  </si>
  <si>
    <t xml:space="preserve"> Republic of the Philippines CITY GOVERNMENT OF ORMOC  2nd /F New Ormoc City Hall Bldg.,Ormoc City Tel # (053) 255-2054 &amp; 560-8050 Local # 1126, 1127 &amp; 1123	      RFQ 19-__________ Invitation to Quote (Small Value Procurement)         In accordance with Se</t>
  </si>
  <si>
    <t xml:space="preserve"> 1  1 UNIT COMPUTER LAPTOP Inter core i7 8th gen or latest (2.30 GHz or higher) 8GB DDR4 RAM 1 TB HDD SATA 15.6" HD LED Display Intel HD Graphics Optical Disk Drive Pre-installed Windows 10 64-bit Operating System Free Mouse and Laptop Bag 2  2 UNIT COMPUT</t>
  </si>
  <si>
    <t xml:space="preserve"> supply and delivery of various veterinary medicine, feeds and pet ID tags (see attached for the list of items)</t>
  </si>
  <si>
    <t xml:space="preserve"> Office: City Budget Office 			 				Charge to: Other Supplies and Materials Expenses			 				ABC:  Php80,000.00			 							 							 1	40	 sets 		Jacket and T-Shirt, white and blue combination</t>
  </si>
  <si>
    <t xml:space="preserve"> supply and delivery of one (1) unit ambulance with equipment</t>
  </si>
  <si>
    <t xml:space="preserve"> Materials in the new normal setting in school</t>
  </si>
  <si>
    <t xml:space="preserve"> JOSE B. LINGAD MEMORIAL REGIONAL HOSPITAL City of San Fernando, Pampanga Tel. No. (045) 961-3921 Date: August 7, 2020 No. 2020 – 08 - 246-S REQUEST FOR QUOTATION (Name of Agency) (Address) Sir/Madam: Please quote your lowest price on the item/s listed bel</t>
  </si>
  <si>
    <t xml:space="preserve"> JOSE B. LINGAD MEMORIAL REGIONAL HOSPITAL City of San Fernando, Pampanga Tel. No. (045) 961-3921 Date: August 7, 2020 No. 2020 – 08 - 245-S REQUEST FOR QUOTATION (Name of Agency) (Address) Sir/Madam: Please quote your lowest price on the item/s listed bel</t>
  </si>
  <si>
    <t xml:space="preserve"> 1 150 PCS ATROPINE SULFATE 250MCG/ML AMPULE  2 135 PCS ADRENALINE AMPULE  5 25 BOT ASCORBIC ACID + TAURINE + LYSINE SYRUP 60ML  6 36 BOT BUTAMIRATE CITRATE 7.5MG/5ML SYRUP 60ML  7 50 PCS CEFIXIME 400MG CAPSULE  8 400 PCS CLONIDINE 25MG TABLET  9 150 BOT C</t>
  </si>
  <si>
    <t xml:space="preserve"> School Supplies   Book paper A4 70gsm - 770 rms.</t>
  </si>
  <si>
    <t xml:space="preserve"> The Provincial Government of Samar invites all interested registered suppliers to submit in person or authorized representative quotation for- 			 1.	3,000	ltrs.	Fuel (diesel) Requisitioning Office: Governor’s Office Bid Forms may be secured from the Secr</t>
  </si>
  <si>
    <t xml:space="preserve"> ITEM NO - QUANTITY - UNIT - ITEM DESCRIPTION - ESTIMATED UNIT COST - ESTIMATED COST 1 - 200 - pcs - innovita (test kits) - 1,000.00 - 200,000.00 GRAND TOTAL: PHP 200,000.00</t>
  </si>
  <si>
    <t xml:space="preserve"> National Power Corporation INVITATION TO BID PUBLIC BIDDING 2020-0269 1.	The NATIONAL POWER CORPORATION (NPC), through       its        approved       Corporate Budget of CY 2020 intends to apply   the   sum   of (Please see schedule below) being the Appr</t>
  </si>
  <si>
    <t xml:space="preserve"> SESSION HALL = 6.60 X 9.0 METERS SK OFFICE = 4.20 X 7.0 METERS BALCONY = 4.50 X 6.20 METERS PANTRY &amp; CR = 2.50 X 3.20 METERS I. MASONRY, PLASTERING &amp; CONCRETE TAPPING  FORMS AND SCAFFOLDS II. CEILING WORKS III. SPANDREL AND LOUVERS W/ ACCESSORIES IV. ROOF</t>
  </si>
  <si>
    <t xml:space="preserve"> Provision of Labor, materials and equipment for the Construction of Perimeter Fence with Bench in Brgy. Maya, Mac Arthur, Leyte in accordance with the plans and specifications: SCOPE OF WORK: * Removal of Structure &amp; Obstruction -&gt;  1.00 L. S. * Excavatio</t>
  </si>
  <si>
    <t xml:space="preserve"> Cadiz City SF-GOOD-60 Standard Form Title: Request for Quotation 										_______________ 									             ______________________ ______________________ 	Please quote your lowest price on the items listed below, subject to the General Conditions on </t>
  </si>
  <si>
    <t xml:space="preserve"> 1 1,000 pcs FMJ CAL.40 (180 grains) hard ball heads  2 1,000 pcs FMJ CAL.45 (230 grains) hard ball heads  3 1,500 pcs FMJ CAL.9MM (125 grains) hard ball heads  4 10 pcs Magazine CAL.45 8 RDS (Single Column)  5 3 pcs Magazine CAL.9mm Taurus PT 111  6 1 uni</t>
  </si>
  <si>
    <t xml:space="preserve"> ITEM NO - QUANTITY - UNIT - ITEM DESCRIPTION - ESTIMATED UNIT COST - ESTIMATED COST 1 - 100 - ampules - anti-tetanus serum - 140.00 - 14,000.00 2 - 100 - ampules - speeda - 1,500.00 - 150,000.00 GRAND TOTAL : PHP 164,000.00</t>
  </si>
  <si>
    <t xml:space="preserve"> Standard Form Number: SF-GOOD-60										 Revised on: May 24, 2004										 										 REQUEST FOR QUOTATION										 LGU San Miguel, Leyte										 										 										 								Date:  		 								Quotation No		 										 										 										 						</t>
  </si>
  <si>
    <t xml:space="preserve"> Rent to Own Scheme of the acquisition of Risograph Machine SF 5130 for the Printing of Modular and other test paper materials for students of New Ormoc City NHS.</t>
  </si>
  <si>
    <t xml:space="preserve"> Supply and Delivery of Spare parts (Bill Housing 1006550) for the maintenance of Heavy Equipment Grader 135H  Bill Housing 1006550 Housing-fly wheel- 1 Assy.</t>
  </si>
  <si>
    <t xml:space="preserve"> Invitation to Bid For Supply, Delivery, Installation and Configuration of Network and Security Automated Backup &amp; Recovery Solution with Hardware Infrastructure with Three (3) Years Warranty 1.	The LAND BANK OF THE PHILIPPINES (LANDBANK), through its Corp</t>
  </si>
  <si>
    <t xml:space="preserve"> Republic of the Philippines PROVINCE OF SOUTHERN LEYTE Municipality of San Juan BIDS AND AWARD COMMITTEE INVITATION TO BID FOR  Supply and Delivery of Reusable Bags  (Polypropylene &amp; Katsa Cloth with Print) The Municipality of San Juan through the General</t>
  </si>
  <si>
    <t xml:space="preserve"> NOTICE FOR NEGOTIATED PROCUREMENT FOR THE SUPPLY AND DELIVERY OF VALVES, RUBBER EXPANSION JOINT, AND PRESSURE GAUGE (GOODS-2020-006) The Puerto Princesa City Water District (PPCWD) invites suppliers that are technically, legally and financially capable to</t>
  </si>
  <si>
    <t xml:space="preserve"> Purchase of various Furniture for Office use of Commission of Audit</t>
  </si>
  <si>
    <t xml:space="preserve"> FOR USE IN THE OFFICE OF THE MUNICIPAL TREASURER</t>
  </si>
  <si>
    <t xml:space="preserve"> One Unit Brand New Rescue Transport Van, 2.5 liter inline 4, 129 HP, 356 NM Torque VGS, Automatic Transmission, 15 seaters, 65 liters fuel capacity bubble top with bilinker and siren.</t>
  </si>
  <si>
    <t xml:space="preserve"> Procurement of Tires 14:00x24, Inner Tube and Flap for Use of Power Trac PT-30 Road Grader and Front End Pay Loader L2-1316 Assigned in the Repair and Maintenance of National Roads of DPWH Iloilo 2nd DEO, Balabag, Dumangas, Iloilo.</t>
  </si>
  <si>
    <t xml:space="preserve"> ITEM AND DESCRIPTION					APPROVED BUDGET COST	 					UNIT PRICE	TOTAL 						 USED FOR MINI DUMPTRUCK SEB 355						 JOB ORDER SERVICES						 REFACE CRANKSHAFT					 17,718.00 	 17,718.00  BUILD UP					 9,800.00 	 9,800.00  LIGN BORE					 44,000.00 	 44,000.0</t>
  </si>
  <si>
    <t xml:space="preserve"> REPAIR AND MAINTENANCE OF RP VEHICLE BRGY. BUKAL AND BRGY. STO. NIÑO</t>
  </si>
  <si>
    <t xml:space="preserve"> 1 5.1000 LABOR 40,000 KM CHECK-UP  2 4 PCS TGDG GL-5 85W-90  3 4 PCS ATF  4 2 PCS BRAKE FLUID  5 1 PC GASKET  6 1 PC OIL FILTER 1000  7 1 PC ELEMENT SUB-ASSY,AIR CLEANER FILTER  8 1 PC ELEMENT,AIR REFINER  9 1 PC ELEMENT ASSY,FUEL F  10 7 PCS TGFS SN/CF 5</t>
  </si>
  <si>
    <t xml:space="preserve"> Office Supplies (see attached documents)</t>
  </si>
  <si>
    <t xml:space="preserve"> 1       unit        Thermal Scanner   200   pc           Face Shield   20     Bot         Alcohol 1000ml pump   23     Bpx        Face Mask, 3 Ply, Disposable, 50's   12    gal          Alcohol 1 gal, ethyl   2      set          Rubber Matt w/ Tray   10  </t>
  </si>
  <si>
    <t xml:space="preserve"> School Supplies  Book paper A4 70gsm - 6050rms.</t>
  </si>
  <si>
    <t xml:space="preserve"> The MINISTRY OF SOCIAL SERVICES AND DEVELOPMENT BARMM, intends to apply the sum of THREE MILLION TWO HUNDRED FORTY-SIX THOUSAND AND SIX HUNDRED PESOS (P3,246,600.00) being the Approved Budget for the Contract (ABC) to payments under the contract for the p</t>
  </si>
  <si>
    <t xml:space="preserve"> 1 lot Supply of labor and materials for;   1 J.O. Body Repair  1 J.O. Under Coating  1 J.O. Wash over</t>
  </si>
  <si>
    <t xml:space="preserve"> 1 2,000 LITER DIESEL, OIL &amp; LUBRICANTS Remarks : TERMS &amp; CONDITIONS: - PAYMENT WILL BE BASED ON ACTUAL PUMP PRICE PAYMENT WILL MADE PER QUARTER -PRICE TO BE REFLECTED IN SOA MUST BE ACTUAL PUMP PRICE DURING TANK UP -SUPPLIER MUST BE WITHIN TAGUM CITY FOR </t>
  </si>
  <si>
    <t xml:space="preserve"> 1 2,600 LTRS. DIESEL 2 100 LTRS GASOLINE TERMS AND CONDITIONS: 1.) PAYMENT WILL BE BASED ON ACTUAL PUMP PRICE 2.) PAYMENT WILL BE MADE PER QUINCENA</t>
  </si>
  <si>
    <t xml:space="preserve"> 2 units Smartphone 1 unit Tablet with Keyboard and Stylus 1 unit RTK Drone with Complete Accessories 2 units High End Laptop with Accessories 2 units Global Positioning System Device ***nothing follows***</t>
  </si>
  <si>
    <t xml:space="preserve"> SUPPLIES FOR PREVENTION OF COVID 19</t>
  </si>
  <si>
    <t xml:space="preserve"> printing of modules</t>
  </si>
  <si>
    <t xml:space="preserve"> Price Board   Specifications: 1) Material: Acrylic board 2) Sizes: a)   4 ft. X 5 ft. @ 3mm thickness for Basic Necessities (Grocery items) b)  3 ft. X 4 ft. @ 3mm thickness for Basis Necessities ( Agri-Products) 3) With holes and appropriate holders/scre</t>
  </si>
  <si>
    <t xml:space="preserve"> 1-unit Backhoe- 40.5 days 1-unit Road Roller- 14 days 1-unit Bagger Mixer- 4 days</t>
  </si>
  <si>
    <t xml:space="preserve"> Delivery of hardware supplies and construction materials for the repair and repainting of the NJMPTI Administration Building. Items and specifications as per attached Canvass Form "NJMPTI Canvass Form Req No 20200806-001</t>
  </si>
  <si>
    <t xml:space="preserve"> ITEM NO.	QTY.	UNIT	DESCRIPTION					Estimated Unit Cost 			GAD-200-2020-07-135					 1	1	Unit	2.0 HP air condition wall mounted inverter type with installation cost for 1st 10ft including steel bracket and breaker. (1 year warranty)					 70,500.00  2	2	Unit</t>
  </si>
  <si>
    <t xml:space="preserve"> INVITATION TO BID IB NO. CW 2020 –  117 Concreting of Road Gap at Mangangan I, Baco, Oriental Mindoro 1.  The Provincial Government of Oriental Mindoro (PGOM) through the 20% Development Fund 2020 intends to apply the sum of Two Million One Hundred Ninety</t>
  </si>
  <si>
    <t xml:space="preserve"> Learning Materials for Grade 11 and 12 Technical Specification Paper Size used on layout (A4) Paper thickness 70 gsm (BP) Sorter LR Modules per grade level per learning area Quantity 179,325 pages</t>
  </si>
  <si>
    <t xml:space="preserve"> 9 units Geotagging/Monitoring Device Display:6.67 inches 128GB/ 6GB RAM Non-removable Li-Po 5020 mAH battery Charging Fast charging 18W OS: Android 10,MIUI 11 Chipset: Qualcom SM7125 Snapdragon 720G (8 nm) CPU: Octa-core (2x2.3 GHz Kryo 465 Gold &amp; 6x1.8 G</t>
  </si>
  <si>
    <t xml:space="preserve"> LOT 7: 83 HEADS CARABAO (HEIFER) - MINIMUM OF 20 UP TO 24 MONTHS - MINIMUM BODYWEIGHT OF 200 KG. UPON DELIVERY - VACCINATED W/ HEMORRHAGIC SEPTICEMIA AT LEAST 2 WEEKS PRIOR TO SHIPMENT - TESTED FREE FROM BRUCELLOSIS, TUBERCULOSIS &amp; SURRA - MUST NOT POSSES</t>
  </si>
  <si>
    <t xml:space="preserve"> NOTICE FOR NEGOTIATED PROCUREMENT FOR THE SUPPLY, DELIVERY, TESTING AND COMMISSIONING OF ON-LINE MULTI-PARAMETER ANALYZER AND WATER LEVEL SENSOR (GOODS-2020-010) The Puerto Princesa City Water District (PPCWD) invites suppliers that are technically, legal</t>
  </si>
  <si>
    <t xml:space="preserve"> I N V I T A T I O N   T O   B I D  The Visayas State University through its Bids and Awards Committee (BAC), invites suppliers/manufacturers/distributors to apply for eligibility and to bid for the hereunder project: Name of Project 	:  Supply and Deliver</t>
  </si>
  <si>
    <t xml:space="preserve"> Republic of the Philippines Province of Surigao del Sur MUNICIPALITY OF TAGBINA BIDS AND AWARDS COMMITTEE  (BAC) INVITATION TO BID SUPPLY AND DELIVERY OF MATERIALS FOR THE REHABILITATION OF MUNICIPAL HALL, THIS MUNICIPALITY The municipality of Tagbina, th</t>
  </si>
  <si>
    <t xml:space="preserve"> 1	Ream	Bondpaper Long	90	230.00	20700.00 2	sets	Printer Ink	7    	1400.00	9800.00 3	Pcs.	Manila Paper 	200    	3.00	600.00 4	Pcs.	Puncher 	14    	217.86	3050.04 5	Pcs.	Stapler	6    	272.00	1632.00 6	Pcs.	Cartolina	200    	8.00	1600.00 7	bot.	Pilot Ink	19	</t>
  </si>
  <si>
    <t xml:space="preserve"> various construction materials (GI Pipe, primer paint, paint brush, welding rod, plywood, angle bar, nuts &amp; bolt, PVC elbow, tee, solvent, plastic cable tie, electrical wiring, plastic drum)</t>
  </si>
  <si>
    <t xml:space="preserve"> Republic of the Philippines PROVINCE OF ZAMBOANGA SIBUGAY Municipality of Buug BIDS AND AWARDS COMMITTEE Invitation to Bid for the  Construction Materials for Water Tank Construction(Guminta) 1. The Barangay Guminta of Buug, Zamboanga Sibugay, through the</t>
  </si>
  <si>
    <t xml:space="preserve"> JOSE B. LINGAD MEMORIAL REGIONAL HOSPITAL City of San Fernando, Pampanga Tel. No. (045) 961-3921 Date: August 7, 2020 No. 2020 – 08 - 247-S REQUEST FOR QUOTATION (Name of Agency) (Address) Sir/Madam: Please quote your lowest price on the item/s listed bel</t>
  </si>
  <si>
    <t xml:space="preserve"> Republic of the Philippines Province of Misamis Oriental Municipality of Lugait -oOo- INVITATION TO BID FOR THE PROCUREMENT OF  MEDICINES AND MEDICAL SUPPLIES FOR THE USE  OF MUNICIPAL HEALTH OFFICE  OF LOCAL GOVERNMMENT UNIT OF LUGAIT, MISAMIS ORIENTAL. </t>
  </si>
  <si>
    <t xml:space="preserve"> The City Government of Naga, through the General Services Offices (GSO) budget, intends to apply the sum of One Million One Hundred Ten Thousand Six Hundred Forty (P 1,110,640.00) Pesos being the Approved Budget for the Contract (ABC) to payment under the</t>
  </si>
  <si>
    <t xml:space="preserve"> 1 200 Packs Biscuits  2 50 Packs Mamon  3 200 Pcs Coffee (Twin Pack)  4 50 Packs Coffee (In stick)  5 50 Packs Coffee Creamer (7.5G x 48)  6 30 Packs Canned Juice (Pineapple 6pcs/pack)  7 30 Packs Canned Juice (4 Seasons 6pcs/pack)  8 20 Packs Candy (Big)</t>
  </si>
  <si>
    <t xml:space="preserve"> The PHILIPPINE SCIENCE HIGH SCHOOL - MIMAROPA REGION CAMPUS (PSHS-MRC) intends to apply the sum of TWO HUNDRED SEVENTEEN THOUSAND TWENTY-FIVE PESOS AND 25/100 (Php217,025.25) being the Approved Budget for the Contract (ABC) to pay for the contract for the</t>
  </si>
  <si>
    <t xml:space="preserve"> a.CONTRACT  ID : ANTIPOLO-27AUGUST2020-03 b. NAME OF PROJECT : Construction of Drainage System from Frederick St., Gustavos St., Michael St. Open Space (Area 7) to Creek, Kingsville Subdivision, Brgy. Mambugan, Antipolo City c. LOCATION : Brgy. Mambugan, </t>
  </si>
  <si>
    <t xml:space="preserve"> The Department of Agriculture invites interested suppliers to submit quotations/proposals for the hereunder requirement: 22	pcs	Item I: FOOT BATH  Non-slip Stainless Steel Foot Bath Tray with Rubber Dirt Mat 24" x 35" - PhP 44,000.00 25	pcs	Item II: SPRAY</t>
  </si>
  <si>
    <t xml:space="preserve"> The Philippine National Police (PNP) Health Service (HS) invites all PhilGEPS-accredited suppliers to apply for eligibility and to bid for the Procurement of Medical, Dental &amp; Laboratory Supplies. Approved Budget for Contract: Php2,549,928.00 Bid Document</t>
  </si>
  <si>
    <t xml:space="preserve"> Supply and Delivery of Business Plate (BPLO)</t>
  </si>
  <si>
    <t xml:space="preserve"> the DENR-PENRO Negros Occidental intends to avail the services of contractors for infrastructure projects for the Repair and maintenance of Mount Kanlaon Natural Park (MKNP) Strucures particularly the Water System for Information Center with the following</t>
  </si>
  <si>
    <t xml:space="preserve"> Item			Quantity			Unit of			Item Description														 No.						Issue																	 1			50			packs 			PM Snacks (Binatog, Cassava pudding with Juice)</t>
  </si>
  <si>
    <t xml:space="preserve"> 2 pcs. Thermal Scanner 300 pcs. Facemask(Washable) 30   bots. Hand Sanitizer 25   bots. Disinfectant 500ml 27   pcs. Detergent Soap 80   pcs. Bath soap 60   pcs. Tissue 20   bots. Zonrox(big Size) 80   bots. Alcohol 70% big size 80   pcs. Hand Towel 40   </t>
  </si>
  <si>
    <t xml:space="preserve"> 500 pcs Brass Water Meter 1/2" with Tailpiece 2    pcs  Brass Water Meter 2" with Tail piece 3    pcs  Flow meter 2"</t>
  </si>
  <si>
    <t xml:space="preserve"> Please quote your best price 1,804 pcs of Jerrican with faucet ABC: 288,640.00 Specifications: &gt; Color, Blue &gt; Capacity: 20 liters &gt; Imprinted with non-removable or sticker or label that is binding, and with residue and tearing if removed (both sides of t</t>
  </si>
  <si>
    <t xml:space="preserve"> REQUEST FOR QUOTATIONS Supply ad Delivery of IT Equipment and Devices for Meteorology Laboratory The Bicol University, through the Corporate Budget for the Contract approved by the Board of Regents intends to apply the sum of Eight Hundred Sixty-three Tho</t>
  </si>
  <si>
    <t xml:space="preserve"> 1 1 PC COMPRESSOR ASSEMBLY  2 2 PCS EXPANSION VALVE  3 1 PC RECEIVER DRIER  4 15 PCS O-RING  5 1 GAL AIRCON FLUSHING OIL  6 2 KLS AIRCON FREON  7 2 KLS AIRCON FENCE CLEANER  8 1 PC COMPRESSOR OIL  9 2 PCS LEAKTEST EVAPORATOR  10 2 PCS FABRIC CONDITIONER R</t>
  </si>
  <si>
    <t xml:space="preserve"> Processor intel core i3 6060U (3M cache, 2.00 GHz) GPU integrated intel CPU (intel HD 520) RAM 4GB DDR 4 internal storage 500 GB SATA HDD operating system windows 10 BAC Activity 1. Advertisement/Invitation to bid - August 6, 2020 2. Issuance of Bid Docum</t>
  </si>
  <si>
    <t xml:space="preserve"> NOTICE TO THE PUBLIC REQUEST FOR PROPOSAL Purchase Request No: PUR20-07-0623  The Philippine General Hospital hereby informs the public that it will be procuring the following item/s through Small Value Procurement: 1	20	pack	External Thread Cryovial, 2.0</t>
  </si>
  <si>
    <t xml:space="preserve"> Republic of the Philippines PROVINCE OF IFUGAO Municipality of Asipulo BIDS AND AWARDS COMMITTEE INVITATION TO BID GOODS The Municipal Government of Asipulo, through the Mun. General Fund intends to apply the sum indicated in the table below, being the Ap</t>
  </si>
  <si>
    <t xml:space="preserve"> 1.	The Luna Barangay Council, through the Barangay Fund (20% DF) CY 2020 intends to apply the sum of TWO HUNDRED THOUSAND PESOS (P200,000.00) being the Approved Budget for the Contract (ABC) to payments under the contract. Bids received in excess of the A</t>
  </si>
  <si>
    <t xml:space="preserve"> Procurement of 2 pcs Fan belt Backhoe loader II Case-580K) &amp; 46 LI</t>
  </si>
  <si>
    <t xml:space="preserve"> Republic of the Philippines PROVINCE OF ZAMBOANGA SIBUGAY Municipality of Roseller T. Lim OFFICE OF THE BAC CHAIRMAN Barangay Gango INVITATION TO BID 						Aug. 5, 2020 To All Interested Bidders: Notice is hereby served that sealed bid be received for pub</t>
  </si>
  <si>
    <t xml:space="preserve"> Camera Lens for MIO - PR# 20-06-0499		 		 1	unit	Camera Lense RF24-70mm f/2.8L IS USM -filter Size: 82mm, Max aperture: f/2.8, Image Stabilisation of up to 5 stops</t>
  </si>
  <si>
    <t xml:space="preserve"> Layout and Preparation Steelworks Carpentry Works Painting Works Equipments Scaffoldings</t>
  </si>
  <si>
    <t xml:space="preserve"> Stock No.        Unit                   Item Description    Qty 1       pcs      Complete Set PPE      200 2        pcs     Surgical Gown ( Sterile )     50 3      pcs    N 95 Mask            100 4    boxes     Latex Gloves     15 5    boxes     Face Mask</t>
  </si>
  <si>
    <t xml:space="preserve"> 3 SETS OF DRINKING FOUNTAIN ( Cold only ) WITH INSTALLATION A. The supplier must assign a person who will handle/facilitate the requests for the      supply, delivery and installation of the unit. B. Payment shall be made upon completion of delivery and i</t>
  </si>
  <si>
    <t xml:space="preserve"> Republic of the Philippines Province of Quezon MUNICIPALITY OF PANUKULAN INVITATION TO BID FOR SUPPLY AND DELIVERY OF  13 UNITS TENT AND 130 PCS FOLDING BED The Local Government Unit of Panukulan through the BGCM Fund   intends to apply the sum of  One Mi</t>
  </si>
  <si>
    <t xml:space="preserve"> PHO-C-NC-2020-094 PR2020-110 REQUEST FOR QUOTATION FOR THE PROCUREMENT OF PACKED MEALS AND SNACKS FOR THE USE OF THE NATIONAL LEPROSY CONTROL PROGRAM COST OF CANVASS: P 150.00</t>
  </si>
  <si>
    <t xml:space="preserve"> Procurement of ICT Equipment Line Item no. 1 - 3 packs (3 per pack) (3 pack) AC1300 Dual Band Whole Home Mesh Wi-Fi System | Seamless Roaming Mesh WiFi | 802.11 k/v/r Supported | Mesh Router | HARDWARE FEATURES Processor: Quad-core CPU;  Interface: 2 LAN/</t>
  </si>
  <si>
    <t xml:space="preserve"> AIP/SIP  No.	APP/PPMP No.	PARTICULARS			Quantity	Unit	Unit Price	Total	Tax	Net 3.3	A.6.1	fidelity 			 1 	 pax 	 1,500.00 	 1,500.00 	 -   	 1,500.00  3.4	A.3.1 	CHECK BOOKLET 			 1 	 pad 	 500.00 	 500.00 	 -   	 500.00  3.4	A.1.1	PAYMENT FOR OPENING OF B</t>
  </si>
  <si>
    <t xml:space="preserve"> 1 unit Microscope CX22 LED</t>
  </si>
  <si>
    <t xml:space="preserve"> 150 rm. BOND PAPER SHORT 20 doz. SIGNPEN (ENERGEL) BLACK 20 doz.	BALLPEN BLACK 15 doz. PENCIL 5 doz. WHITEBOARD MARKER BLACK 15 pcs. LOG BOOK 300 PAGES 15 pack STICKER PAPER 15 pack SPECIALTY PAPER LONG 50 pcs. HP INK 680 BLACK 50 pcs. HP INK 680 COLORED </t>
  </si>
  <si>
    <t xml:space="preserve"> Republic of the Philippines Province of Quezon MUNICIPALITY OF PANUKULAN INVITATION TO BID FOR SUPPLY AND DELIVERY OF  TWO (2) UNITS MOTORCYCLE The Local Government Unit of Panukulan through the General Fund   intends to apply the sum of  One Hundred Fift</t>
  </si>
  <si>
    <t xml:space="preserve"> 1   UNIT.    Motorcycle 150cc, 1 cylinder</t>
  </si>
  <si>
    <t xml:space="preserve"> INVITATION TO BID for Procurement of Additional Supplies for printing of modules for 2020 1.	The Pedro Pitogo Elementary School of Cadiz City, through the Schools MOOE Fund CY 2020  intends to apply the sum of Sixty-Six Thousand Five HundredPesos (Php. 66</t>
  </si>
  <si>
    <t xml:space="preserve"> BM-GARCIA-NC-2020-0411 PR2020-0543 REQUEST FOR QUOTATION FOR THE PROCUREMENT OF TUBELESS TIRES, ENGINE OIL, OIL AND FUEL FILTER, LABOR, HEAD LIGHT ASSEMBLY, AND WIPER BLADE FOR THE MAINTENANCE OF VEHICLE WITH PLATE NO. SKY 369 ASSIGNED AT THE OFFICE OF BO</t>
  </si>
  <si>
    <t xml:space="preserve"> SEALED BID NO.:HBAC-A2-2020-08-0994  DATE:       6 August  2020 Gentlemen:	 		 	Please quote your price for item/s indicated below. Price quoted is final, and without condition and inclusive of all taxes. Bid Proposal should be submitted in sealed envelop</t>
  </si>
  <si>
    <t xml:space="preserve"> BEMO-NC-2020-0413 PR2020-549 REQUEST FOR QUOTATION FOR THE PROCUREMENT OF COPIER TO PROVIDE ALL UNITS OF BEMO THE NEED FOR CLEAR PHOTOCOPYING OF NECESSARY DOCUMENTS: COST OF CANVASS: P 150.00</t>
  </si>
  <si>
    <t xml:space="preserve"> 15 RM BOOK PAPER LONG S 20 15 RM BOOK PAPER A4 S 20 13 RM BOOK PAPER SHORT S 20 8 PCS STAPLER WITH REMOVER # 35 4 BTL EPSON # 003 YELLOW 4 BTL EPSON # 003 CYAN 4 BTL EPSON # 003 BLACK 4 BTL EPSON # 003 MAGENTA 2 PCS TRANSPARENT 2"/1000MTR. 4 BXS PLASTIC F</t>
  </si>
  <si>
    <t xml:space="preserve"> Improvement of Multi-Purpose Hall @ Brgy Nabongsoran, Aroroy, Masbate</t>
  </si>
  <si>
    <t xml:space="preserve"> 4 units  Shin Guard 4 units inStep Guard 4 units Hand Gloves 4 units Body Gear/BODR Armor 2 units Headgear(Arnis) 2 units Groin Guards 8 pcs. Training sticks 1 pc. Padded Training Stick 2 pcs. Headgear w/Chin guard red &amp; Blue 2 pcs. Evolution Armor #2(Blu</t>
  </si>
  <si>
    <t xml:space="preserve"> PR#20-08-0479 ABC 130,200.00 1 unit - 4,000L - 1.87mØ Horizontal Stainless Steel Tank with Bed (delivery on site) including: 1 set - 100L Bladder Type Pressure Tank + 2hp Pump 1 unit - Level Control Switch 1 set - 1" dia. 2 way Ball Float Valve, Stainless</t>
  </si>
  <si>
    <t xml:space="preserve"> BARANGAY GOVERNMENT OF COLONIA City of Valencia INVITATION TO BID FOR  SUPPLY AND DELIVERY OF CONSTRUCTION MATERIALS FOR THE CONSTRUCTION OF MATERIAL RECOVERY FACILITY (MRF) The BARANGAY GOVERNMENT OF COLONIA, through the   Continuing Fund  intends to app</t>
  </si>
  <si>
    <t xml:space="preserve"> HIKVISION 1080P 2MP 3D DNR WDR FF3.6mm EXIR80m IP66 bullet HDTVI Camera [12VDC/PoC, OSD Menu] HIKVISION 1080P 2MP 3D DNR WDR FF3.6mm EXIR40m IP66 bullet HDTVI Camera [12VDC/PoC, OSD Menu] HIKVISION H.265+ 1080P3MP 16CH 2 SATA 1U DVR [Audiio I/O=1/1, 100M </t>
  </si>
  <si>
    <t xml:space="preserve"> To provide labor services for the development of 3 hectares Watershed of On-Station SWIP #1 at Corn Seed Production Area. Please see attached file.</t>
  </si>
  <si>
    <t xml:space="preserve"> INVITATION TO BID FOR PURCHASE AND INSTALLATION OF FLOOR STANDING AIR CONDITIONING UNIT 1.	The Municipal Government of Sta. Maria through the General Fund (Capital Outlay) intends to apply the sum of One Hundred Eighty Six Thousand Pesos (₱186,000.00) bei</t>
  </si>
  <si>
    <t xml:space="preserve"> ITEM     DESCRIPTION                                        QTY.            UNIT I.         EXCAVATION / BREAKING / BACK FILLING II.       CONCRETING                PAVEMENT                                           6.8             CU.M                CON</t>
  </si>
  <si>
    <t xml:space="preserve"> 2 units DUPLICATING MACHINE WITH DIRECT PC CONNECTIVITY AND LASER COPIER 7 pcs. INK CARTRIDGE 800mL 7 pcs. MASTER ROLL 7 pcs. Tn118</t>
  </si>
  <si>
    <t xml:space="preserve"> Office Supplies Plastic envelope with handle long assorted color, Stapler heavyd duty, Staple wire</t>
  </si>
  <si>
    <t xml:space="preserve"> 6 UNIT COCO COIR DUST (MINI DUMP TRUCK, 5CU.M, 175 BAG)</t>
  </si>
  <si>
    <t xml:space="preserve"> PORTFOLIO SUBLIMATED FABRIC WITH SCHOOL NAME AND LOGO WITH LOCK &amp; HANDLE MEASURED 14" X 9.5"</t>
  </si>
  <si>
    <t xml:space="preserve"> REQUEST FOR EXPRESSION OF INTEREST (REOI) FOR CONDUCT OF SUBSURFACE EXPLORATION/PRELIMINARY DETAILED ENGINEERING FOR FY 2021 REGULAR INFRASTRUCTURE, MABATO BRIDGE 1, MABATO BRIDGE 2, BALOGO BRIDGE, MALAIBA BR. 1 (B00409NR), ALANGILANAN BRIDGE, MANJUYOD BR</t>
  </si>
  <si>
    <t xml:space="preserve"> 20 pcs. 6"x10m HDPE PIPE SDR 11 (Blue)</t>
  </si>
  <si>
    <t xml:space="preserve"> REQUEST   FOR QUOTATION RFQ No. &amp; Date 	: FAD2020-07-138 / 07.30.2020 PR No. &amp; Date	: FAD2020-06-219 / 07.22.2020 The DENR-Environmental Management Bureau (EMB-XI) Bids and Awards Committee through Finance and Administrative Division a Small Value Procure</t>
  </si>
  <si>
    <t xml:space="preserve"> School Supplies  Tube ink for Risograph printer - 200pcs.</t>
  </si>
  <si>
    <t xml:space="preserve"> Invitation to Bid for the supply &amp; delivery of Various Laboratory Supplies for use of the City Health Office, Batangas City</t>
  </si>
  <si>
    <t xml:space="preserve"> Supplies and Materials for the repair of various properties of PTC Guinobatan</t>
  </si>
  <si>
    <t xml:space="preserve"> Republic of the Philippines Province of Ifugao BIDS AND AWARDS COMMITTEE Banaue, Ifugao INVITATION TO BID FOR PREPAID CARD  Publication No. G-2020-024 1st  Publication 1.	The Local Government Unit of Banaue, Ifugao, through the LGU FUND intends to apply t</t>
  </si>
  <si>
    <t xml:space="preserve"> to purchase office equipment and accessories</t>
  </si>
  <si>
    <t xml:space="preserve"> Invitation to Bid for the supply &amp; delivery of Various Printing Materials for use of different offices of Batangas City Government</t>
  </si>
  <si>
    <t xml:space="preserve"> Invitation to Bid for the supply &amp; delivery of Various Maintenance Materials for use of different offices of Batangas City Government.</t>
  </si>
  <si>
    <t xml:space="preserve"> Republic of the Philippines                                       Province of Leyte                            MUNICIPALITY OF ALBUERA                     OFFICE OF THE MUNICIPAL MAYOR OFFICE OF THE BIDS AND AWARDS COMMITTEE INVITATION TO BID 	The Local G</t>
  </si>
  <si>
    <t xml:space="preserve"> Description The Bauan Technical Integrated High School, through the General Appropriations Act (GAA) FY 2020 intends to apply the sum of  Nine Hundred Fifteen Thousand  Pesos  Only (₱ 915,000.00) being the Approved Budget for the Contract (ABC) to payment</t>
  </si>
  <si>
    <t xml:space="preserve"> To repair and replace damaged parts of air-conditioning units at Calbayog Airport, Calbayog City, Samar.</t>
  </si>
  <si>
    <t xml:space="preserve"> JOB ORDER Vellum paper, blue, 81/2 x 11 inches, .20mm thickness,  back with print ABC:  Php 600,000.00	 Delivery Period: _7_days	 Delivery Site:     On site	 SUBMIT CERTIFIED TRUE COPY OF THE FOLLOWING:	 * Valid &amp; Current Business Permit	 * Certificate of</t>
  </si>
  <si>
    <t xml:space="preserve"> 538 pcs. FLU VACCINE - FLUQUADRI</t>
  </si>
  <si>
    <t xml:space="preserve"> School Supplies Book Paper A4 70gsm - 1210rms.</t>
  </si>
  <si>
    <t xml:space="preserve"> 1  1 UNIT HEPA FILTER/ AIR PURIFIER SPECIFICATIONS: FILTRATION ACCURACY RATE OF 0.001 MICRONS, WASHABLE, REUSABLE FILTERS, 25 DECIBELS ACOUSTIC, LARGE AREA COVERAGE UP TO 100 M2, OZONE 10PPH, APPLICATION AREA: 60-100SQM, VOLTAGE 220, RATED FREQUENCY: 60HZ</t>
  </si>
  <si>
    <t xml:space="preserve"> Please refer to the attached Request for Quotation, Bill of Quantities, Program of Works, and Plans/Drawings. Thank you.</t>
  </si>
  <si>
    <t xml:space="preserve"> 1	roll	ACETATE, thickness: 0.075mm min (gauge #3)	1	 950.00 	 950.00  2	pack	BATTERY, dry cell, AAA, 1.5 volts, alkaline	10	 95.00 	 950.00  3	piece	BROOM, STICK (TING- TING), usable length: 760mm min	5	 35.00 	 175.00  4	piece	CALCULATOR, HEAVY DUTY, 12 </t>
  </si>
  <si>
    <t xml:space="preserve"> INVITATION TO BID    SUPPLY AND DELIVERY OF 11,300,000 ROUNDS BRAND NEW CTG 9MM, BALL FOR THE PHILIPPINE ARMY (PA)    Bid Reference No. MPG-BI-2020-418 Approved Budget for the Contract - ₱ 175,037,000.00    1. The Philippine International Trading Corporat</t>
  </si>
  <si>
    <t xml:space="preserve"> Please quote your lowest price on item/s listed in the line item and submit your quotation duly signed by your authorized representative through email at bac.secretariat@pnu.edu.ph not later than August 13, 2020 @ 4PM. Note: 1. Delivery period within fort</t>
  </si>
  <si>
    <t xml:space="preserve"> Repair/Rehab. of Macol Barangay Roads</t>
  </si>
  <si>
    <t xml:space="preserve"> Department of Public Works and Highways (DPWH) Contract ID: 		21CSGI0001 Contract Name: 		CONSULATNCY SERVICES FOR THE CONDUCT OF GEOTECHNICAL SUBSURFACE EXPLORATION FOR PROPOSED FY 2021 BRIDGE AND FLOOD CONTROL PROJECTS A. BRIDGES 1. Widening of Bridge -</t>
  </si>
  <si>
    <t xml:space="preserve"> REQUEST FOR QUOTATION (RFQ) SUPPLY AND DELIVERY OF BALANCE TABLE and pH/ATC ELECTRODE UNDER EMB-ERLSD-ELSS-INORGANICS LABORATORY RFQ NO. 2020-0477-EMB-S-ERLSD-ELSS BALANCE TABLE (2nd) 1.	The Department of Environment and Natural Resources – Environmental </t>
  </si>
  <si>
    <t xml:space="preserve"> 1.		Dust Pan	-10pcs 2.		Garbage can heavy duty with wheels (240 L)	-7pcs 3.		Garbage can heavy duty (50L)	-20pcs 4.		Airfreshener (Spray)	-20pcs 5.		Spin Mop Stainless Steel heavy duty	-20pcs 6.		Liquid Detergent 4.2 L	-20liter 7.		Soft Broom	-20pcs 8.		S</t>
  </si>
  <si>
    <t xml:space="preserve"> Invitation to Bid for the supply &amp; delivery of Tires and Accessories for the repair of Tractor assigned at the Office of the City Veterinary &amp; Agricultural Services, Batangas City</t>
  </si>
  <si>
    <t xml:space="preserve"> 1 2,300 LTRS DIESEL  2 500 LTRS GASOLINE Remarks : 1. PAYMENT SHALL BASED ON ACTUAL PUMP PRICE. 2. PAYMENT WILL BE MADE EVERY QUARTER</t>
  </si>
  <si>
    <t xml:space="preserve"> Republic of the Philippines Province of Romblon Municipality of Sta. Maria INVITATION TO BID FOR SUPPLY AND DELIVERY OF SCHOOL SUPPLIES The Local Government Unit of  Sta. Maria, Romblon, through the SEFAND MOOE-OMM FUnd of  2020  intends to apply the sum </t>
  </si>
  <si>
    <t xml:space="preserve"> 11 pax Hotel Accommodation with Food 2days (11persons)            1 Single Room (Fully air-conditioned)                1,000.00           5 Superior Twins Rooms (Fully air-conditioned)  1,400.00            2 Breakfast            4 Snacks             Same </t>
  </si>
  <si>
    <t xml:space="preserve"> PPE SUPPLIES AGAINST COVID -19</t>
  </si>
  <si>
    <t xml:space="preserve"> 1 lot 13 COMPUTER TABLES (13 pcs. - labor &amp; materials)  1 unit AIR-CONDITION 2hp (inverter type)</t>
  </si>
  <si>
    <t xml:space="preserve"> Republic of the Philippines DEPARTMENT OF PUBLIC WORKS AND HIGHWAYS LA UNION SECOND DISTRICT ENGINEERING OFFICE REGIONAL OFFICE I Natividad, Naguilian, La Union INVITATION FOR ELIGIBILITY SCREENING AND TO BID (For Small Value Procurement) SEALED BIDS, sub</t>
  </si>
  <si>
    <t xml:space="preserve"> Description 1. The BRGY AIRPORT ORMOC CITY LEYTE, through 20% DEVELOPMENT FUND intends to apply the sum of ONE HUNDRED THIRTY FIVE THOUSAND PESOS  ONLY (PhP 135,000.000) being the Approved Budget for the Contract (ABC) to payments under the contract for t</t>
  </si>
  <si>
    <t xml:space="preserve"> Invitation to Bid for the supply &amp; delivery of Various Materials for use of different offices of Batangas City Government.</t>
  </si>
  <si>
    <t xml:space="preserve"> Please quote your best price 150 units of Water Testing Comparator ABC: 161,400.00 Specifications: -Used as a color guide for reading the water test kit results Please email your quotation Please download canvass form</t>
  </si>
  <si>
    <t xml:space="preserve"> Invitation to Bid For One (1) Lot Supply, Delivery, and Installation of 300 Units Automated Teller Machines (Thru-the-Wall Type) inclusive of a Four (4) Year Maintenance Support Services and Spare Parts 1.	The LAND BANK OF THE PHILIPPINES (LANDBANK), thro</t>
  </si>
  <si>
    <t xml:space="preserve"> Page 1 of 3 Invitation to Bid 20GFC0038-43 Republic of the Philippines DEPARTMENT OF PUBLIC WORKS AND HIGHWAYS CAMARINES NORTE DISTRICT ENGINEERING OFFICE REGIONAL OFFICE V Daet, Camarines Norte INVITATION TO BID The Department of Public Works and Highway</t>
  </si>
  <si>
    <t xml:space="preserve"> 1,270 reams A4 Substance 20 Bond Paper 13 Pcs External Hard Drive 5 rolls Duct Tape 2 Reams PVC Binding Cover A4</t>
  </si>
  <si>
    <t xml:space="preserve"> DESKTOP (Rent-to-Own) Specifications : &gt; Core i7 7700 3.6ghz or Core i5 &gt; 4Gb DDR4 Memory &gt; 1TB Hard Disk Drive &gt; 18.5 LED Monitor &gt; with Licensed OS and MS Office - Windows 10     x-x-x-x-x</t>
  </si>
  <si>
    <t xml:space="preserve"> LOT 1-A-15 pax for 1 day, 1 meal and 1 snack              AM snack: Bibingka and Juice              Lunch: Rice, Fried chicken, Pork adobo, vegetable, Dessert and bottled water          B- 15 pax for 1 day, 1 meal and 1 snack              AM Snack: Spaghe</t>
  </si>
  <si>
    <t xml:space="preserve"> 7 units of 3 in 1 printers</t>
  </si>
  <si>
    <t xml:space="preserve"> Republic of the Philippines DEPARTMENT OF PUBLIC WORKS AND HIGHWAYS NORTHERN SAMAR FIRST  DISTRICT ENGINEERING OFFICE REGIONAL OFFICE VIII Catarman, N. Samar INVITATION TO APPLY FOR ELIGIBILITY AND TO BID The DPWH Northern Samar 1st District Engineering O</t>
  </si>
  <si>
    <t xml:space="preserve"> 1.	The Municipal Government of Burgos, Ilocos Norte, through the General Fund intends to apply the sum of PhP150,000.00 being the Approved Budget for the Contract (ABC) to payments under the contract for Purchase of Mountain Bikes with Accessories for the</t>
  </si>
  <si>
    <t xml:space="preserve"> To repair Sides VMA-28 Firetruck at Calbayog Airport, Calbayog City, Samar.</t>
  </si>
  <si>
    <t xml:space="preserve"> Please see attached Request for Quotation (RFQ)..</t>
  </si>
  <si>
    <t xml:space="preserve"> Office Supplies: 21,880.00 Modules: 49,826.00 Total: 71,706.00</t>
  </si>
  <si>
    <t xml:space="preserve"> Please refer to the attached Request for Quotation, Bill of Quantities, Program of Works and Plans/Drawings. Thank you.</t>
  </si>
  <si>
    <t xml:space="preserve"> 8 Meters long concrete footbridge 8ft. width</t>
  </si>
  <si>
    <t xml:space="preserve"> Toner, Brother, TN-3446 (HL-L6400DW) Drum kit, Brother DR-3455 (HL-L6400DW)</t>
  </si>
  <si>
    <t xml:space="preserve"> ITEM NO	QTY	UNIT OF ISSUE	ITEM DESCRIPTION 			 			 1	1	unit	VHF Repeater Unit with NTC Lisence and Accessories 			Specifications:  			- 137 - 174 Mhz 50W 			- Duplex / Simple Base Operation 			- 30 CH Scanning Base 			- Two-Digit LED Display 			- 6 Lighte</t>
  </si>
  <si>
    <t xml:space="preserve"> Concreting of .150m thk x 62.88 sq.m. pavement for shoulder</t>
  </si>
  <si>
    <t xml:space="preserve"> PROC-RFQ-00 										 REPUBLIC OF THE PHILIPPINES										 PRESIDENTIAL BROADCAST STAFF-RTVM										 MALACANANG, MANILA										 										 REQUEST FOR QUOTATION										 TEL: 734-5681										 										 Name of Company							Approved Budget for t</t>
  </si>
  <si>
    <t xml:space="preserve"> Request quotation for printing supplies for the reproduction of Self-Learning Modules (SLMs): 1. 5,235 reams of bond paper, A4, 70gsm 2. 1 pack sticky notepad   For further information, please refer to: BAC Secretariat: Mr. HARRY JOHN S. JARINA ENGR. CLIN</t>
  </si>
  <si>
    <t xml:space="preserve"> Please see attached bid document</t>
  </si>
  <si>
    <t xml:space="preserve"> 1 unit Chainsaw</t>
  </si>
  <si>
    <t xml:space="preserve"> FENCING OF NEW SLAUGHTERHOUSE</t>
  </si>
  <si>
    <t xml:space="preserve"> School Supplies Book Paper A4 70gsm - 2970rms.</t>
  </si>
  <si>
    <t xml:space="preserve"> Republic of the Philippines  Department of Education Region IV – A (CALABARZON) Division of Calamba City CAMP VICENTE LIM INTEGRATED SCHOOL Mayapa, Calamba City 												 REQUEST FOR QUOTATION Date	:  AUGUST 06, 2020 RFQ No.: 2020-08-0058 PR No.	:  202</t>
  </si>
  <si>
    <t xml:space="preserve"> Republic of the Philippines            PROVINCE OF BUKIDNON             Municipality of Don Carlos                                          BIDS AND AWARDS COMMITTEE REQUEST FOR QUOTATION  									 								Date:  								RFQ No.										    	Name of Pro</t>
  </si>
  <si>
    <t xml:space="preserve"> Republic of the Philippines        PROVINCE OF BUKIDNON         Municipality of Don Carlos                                        BIDS AND AWARDS COMMITTEE       REQUEST FOR QUOTATION   									 						                                     Date:  						   </t>
  </si>
  <si>
    <t xml:space="preserve"> 1 set Canopy Tent  7 pc. Plywood # 1/4 1 set Trapal 8 x 10         x-x-x-x-x</t>
  </si>
  <si>
    <t xml:space="preserve"> See Attached Files</t>
  </si>
  <si>
    <t xml:space="preserve"> Qty	Unit of Issuance	DESCRIPTION 		 1	unit  	Hard Ice Cream Maker/Gelato Machine 		        Specifications: 		        Flavor: Single 		        Freezing cylinder: 15lit 		        Production Cap.: 50L/hr 		        Voltage: 220V/60Hz 		        Power: 3.4 KW 	</t>
  </si>
  <si>
    <t xml:space="preserve"> 3 set Hydrovac with Brake Master           x-x-x-x-x</t>
  </si>
  <si>
    <t xml:space="preserve"> 4 pc. Window crank handle  2 set Leaf Spring         x-x-x-x-x</t>
  </si>
  <si>
    <t xml:space="preserve"> Lot 1 Repair of Classrooms for Conversion to Dental Clinics under CY 2019 BEFF at Salvador CES,Salvador,LDN and Magsaysay CES, Magsaysay,LDN Contract Duration : 45 Calendar Dys ABC: Php947,264.44 Bidding Cost: 1,000.00 Lot 2 Repair of Classrooms for Conve</t>
  </si>
  <si>
    <t xml:space="preserve"> Qty	Unit of Issuance	DESCRIPTION 		 18	heads	Carabao Breeding Stock: Female 		        2-6 years of age not less than 250kilos 		        50:50 or 75:25 crossbred/upgrade 		        buyback from A.I/Bull Loan Program 		        Body Condition score of not les</t>
  </si>
  <si>
    <t xml:space="preserve"> CONSTRUCTION OF THREE-STOREY MULTI PURPOSE BUILDING (PHASE 2) ADDITIONAL WORKS/RETROFITTING/CONSTRUCTION OF BUILDING AND STRUCTURE</t>
  </si>
  <si>
    <t xml:space="preserve"> FENCING AND SITE DEVELOPMENT OF NEW CEMETERY</t>
  </si>
  <si>
    <t xml:space="preserve"> CONSTRUCTION OF SIBUL-CEMETERY ROAD</t>
  </si>
  <si>
    <t xml:space="preserve"> 4 pc. Tire tubeless 235/75R15, etc.</t>
  </si>
  <si>
    <t xml:space="preserve"> 2 units Laptop  @ 37,000.00/unit Please see attached Request for Quotation (RFQ)..</t>
  </si>
  <si>
    <t xml:space="preserve"> HP 680 (Black)  15 cart HP 680 (Tri-Color)  15 cart  64A HP Cartridge CC364A  9 cart</t>
  </si>
  <si>
    <t xml:space="preserve"> The PRA now invites bids for Road Repair Works of PDMB, Asean Ave. and J.W. Diokno (Bay) Boulevard, with a total area of 3,932.68 square meters (sqm).  Completion of the Works is required within SIXTY calendar days (60 c.d.) from the receipt of Notice to </t>
  </si>
  <si>
    <t xml:space="preserve"> Page 1 of 3 Invitation to Bid 20GFC0044-49 Republic of the Philippines DEPARTMENT OF PUBLIC WORKS AND HIGHWAYS CAMARINES NORTE DISTRICT ENGINEERING OFFICE REGIONAL OFFICE V Daet, Camarines Norte INVITATION TO BID The Department of Public Works and Highway</t>
  </si>
  <si>
    <t xml:space="preserve"> Cutter  5 piece File Storage Box, Legal  10 box Push Pins  5 box</t>
  </si>
  <si>
    <t xml:space="preserve"> PHILIPPINE ARMY ARMOR (PAMBATO) DIVISION,  SPECIAL BIDS AND AWARDS COMMITTEE Camp O’Donnell, Sta. Lucia, Capas, Tarlac Invitation to Bid The Armed Forces of the Philippines, through the Special Bids and Awards Committee Armor Division, Philippine Army, in</t>
  </si>
  <si>
    <t xml:space="preserve"> Qty	Unit of Issuance	DESCRIPTION 		 2	Unit   	Chest Freezer 		        Specifications: 		        Dimension: 89.4 x 130.1 x 77.5 cm (whd) 		        Capacity: 384Liters 		        Voltage / Frequency: 220V~/60Hz 		        Super Freeze Function 		 Includes Fre</t>
  </si>
  <si>
    <t xml:space="preserve"> REPAIR AND MAINTENANCE- MARKET (IMPROVEMENT OF PROPOSED FISH SECTION)</t>
  </si>
  <si>
    <t xml:space="preserve"> Republic of the Philippines DEPARTMENT OF PUBLIC WORKS AND HIGHWAYS CAMARINES SUR 2ND DISTRICT ENGINEERING OFFICE Regional Office V Baras, Canaman, Camarines Sur INVITATION TO BID  FOR   20GFE0017 – SUPPLY OF MATERIALS FOR EROSION CONTROL, TRAFFIC SERVICE</t>
  </si>
  <si>
    <t xml:space="preserve"> INVITATION TO BID FOR SUPPLY AND DELIVERY OF 2 UNITS GENERATOR SET FOR MULTI-PURPOSE CENTER 1.	The Municipal Government of Lal-lo, through the 20% Development Fund intends to apply the sum of Four Million Pesos (Php 4,000,000.00) being the Approved Budget</t>
  </si>
  <si>
    <t xml:space="preserve"> INVITATION TO BID FOR SUPPLY AND DELIVERY OF 2 UNITS  20 KVA GENERATOR SET 1.	The Municipal Government of Lal-lo, through the LDRRMF intends to apply the sum of Six Hundred Thousand Pesos (Php 600,000.00) being the Approved Budget for the Contract (ABC) t</t>
  </si>
  <si>
    <t xml:space="preserve"> Invitation to Bid for the Concreting of Box Culvert Approach  at Barangay Paranum 1.	The Municipal Government of Lal-lo, through the 20% Development Fund-Continuing Appropriation intends to apply the sum of Three Hundred Fifty-Four Thousand and Thirty Pes</t>
  </si>
  <si>
    <t xml:space="preserve"> Republic of the Philippines Department Education Region IX Zamboanga Peninsula Basilan National High School Isabela City,Basilan Sir/Madam ; Please quote your lowest price on the items listed below. 1. ink CV black 800 ml Mode of procurements : shopping -</t>
  </si>
  <si>
    <t xml:space="preserve"> PROCUREMENT OF 1 UNIT SERVICE VEHICLE</t>
  </si>
  <si>
    <t xml:space="preserve"> 1  LOT Services of a Provider for Online Customized or Off-the-Shelf Courses (for asynchronous learning) on Digital Literacy Fundamentals  -In accordance with the Technical Specifications  ABC: Php 1,000,000.00  NOTE: Please sign all pages of the Technica</t>
  </si>
  <si>
    <t xml:space="preserve"> 2 pc. External Hard Drive (1 Tb) 20 pc. 16 Gb Flashdrive          x-x-x-x-x</t>
  </si>
  <si>
    <t xml:space="preserve"> Republic of the Philippines Province of Leyte Municipality of Mahaplag BARANGAY MABUNGA Invitation to bid for the Procurement of Materials for the Rehabilitation of Solar Drier 1. The Barangay Mabunga of Mahaplag, Leyte, through the Financial Assistance i</t>
  </si>
  <si>
    <t xml:space="preserve"> Stock/ Property No.	Unit 	Item Description		       Quantity	 Unit Cost 	 Total Cost  						 00050	            ream	Paper, bond, A4, 70 gsm		1000	         200.00 	 200,000.00  		          ***Nothing follows***</t>
  </si>
  <si>
    <t xml:space="preserve"> PROCUREMENT OF 1-UNIT AMBULANCE (FULLY EQUIPPED)</t>
  </si>
  <si>
    <t xml:space="preserve"> Invitation to Bid for the Construction of RHU Extension Building 1.	The Municipal Government of Lal-lo, through the 20% Development Fund-Continuing Appropriation intends to apply the sum of Seven Hundred Twenty Thousand Pesos (Php 720,000.00) being the Ap</t>
  </si>
  <si>
    <t xml:space="preserve"> Republic of the Philippines Province of Pangasinan MUNICIPALITY OF LINGAYEN Invitation to Bid    1. The Barangay Dorongan, through the Barangay Development Fund  intends to apply the sum of  Two Hundred Fifty Seven Thousand  Pesos Only   (P257,000.00) bei</t>
  </si>
  <si>
    <t xml:space="preserve"> 5,000 pc. Drug Test Kit with urine bottle                x-x-x-x-x</t>
  </si>
  <si>
    <t xml:space="preserve"> PROCUREMENT OF ANTI RABIES</t>
  </si>
  <si>
    <t xml:space="preserve"> Republic of the Philippines Province of Quezon Municipality of Atimonan Barangay Zone IV Poblacion Project Reference Number: 20-08-12s Name of the Project:  Supply and Delivery of Tanod Supplies Location of the Project:  Barangay Zone IV Poblacion REQUEST</t>
  </si>
  <si>
    <t xml:space="preserve"> 33.56 CU.M. STRUCTURE EXCAVATION 5.71 CU.M. REMOVAL/DEMOLITION OF EXISTING STRUCTURE 4,472.56 KGS RSB 45.16 CU.M. STRUCTURAL CONCRETE 45.50 SQ.M. R.C. FLOORING 784.00 L.S. CONCRETE RAILINGS 66.76 CU.M. CONCRETE TOPPING WITH PATTERN 1,592.96 SQ.M. PAINTING</t>
  </si>
  <si>
    <t xml:space="preserve"> PHILIPPINE ARMY ARMOR (PAMBATO) DIVISION, SPECIAL BIDS AND AWARDS COMMITTEE Camp O’Donnell, Sta. Lucia, Capas, Tarlac Invitation to Bid The Armed Forces of the Philippines, through the Special Bids and Awards Committee Armor Division, Philippine Army, inv</t>
  </si>
  <si>
    <t xml:space="preserve"> 1 LOT Services of a Provider for the Conduct of Virtual Instructor-Led Training on Agile Leadership  -In accordance with the Technical Specifications  ABC: Php 1,000,000.00  NOTE: Please sign all pages of the Technical Specifications and submit it togethe</t>
  </si>
  <si>
    <t xml:space="preserve"> NOTICE TO THE PUBLIC REQUEST FOR PROPOSAL Purchase Request No: PUR20-07-0612 &amp; PUR20-07-0611 The Philippine General Hospital hereby informs the public that it will be procuring the following item/s through Small Value Procurement:	 25,000 pcs Bundy Cards </t>
  </si>
  <si>
    <t xml:space="preserve"> 1 set Door Shock Absorber         x-x-x-x-x-x</t>
  </si>
  <si>
    <t xml:space="preserve"> Note: FIRST QUARTER  Paper Size: A4 Thickness: 80 gsm, white Printing: back to back SDO Muntinlupa will provide ready to print (camera ready) soft copies of materials * Supplier shall fasten per module with at least two staples * Supplier shall provide at</t>
  </si>
  <si>
    <t xml:space="preserve"> Procurement of Catering Services for the Workshop on the Development, Quality Assurance and Reproduction of Locally Developed Learning Resources 1. Meals and Snacks of 23 pax for 5 days (August 17-21, 2020) Meals and Snacks of 18 pax  for 4 days (August 2</t>
  </si>
  <si>
    <t xml:space="preserve"> Republic of the Philippines                   Department of Health	       CENTRAL OFFICE BIDS AND AWARDS COMMITTEE  INVITATION TO BID FOR THE PROCUREMENT OF ADDITIONAL SERVICES FOR THE TEMPERATURE-CONTROLLED PACKAGING AND TRANSPORT OF VACCINES INCLUDING D</t>
  </si>
  <si>
    <t xml:space="preserve"> 2,009.85 SQ.M. REMOVAL OF EXISTING PAVEMENT WITH DISPOSAL 2,038.22 SQ.M. SUB-GRADE PREPARATION 203.82 CU.M. AGGREGATE BASE COURSE 2,038.22 SQ.M. PCCP;t=200mm 378.06 CU.M. STONE MASONRY 1.00  L.S.  PROJECT BILLBOARD 1.00 L.S. CONSTRUCTION SAFETY &amp; HEALTH</t>
  </si>
  <si>
    <t xml:space="preserve"> 1  LOT Services of a Provider for Online Customized or Off-the-Shelf Courses (for asynchronous learning) on Virtual Leadership  -In accordance with the Technical Specifications  ABC: Php 600,000.00  NOTE: Please sign all pages of the Technical Specificati</t>
  </si>
  <si>
    <t xml:space="preserve"> PROCUREMENT OF DRUGS AND MEDICINES</t>
  </si>
  <si>
    <t xml:space="preserve"> Procurement of 1-unit motorcycle w/ sidecar..</t>
  </si>
  <si>
    <t xml:space="preserve"> 1. The City Government of Calamba through the Special Education Fund intends to apply the sum of Php 649,980.00 being the Approved Budget for the Contract (ABC) to payments under the contract for G-2020-499 Supply and Installation of Industrial Ceiling Fa</t>
  </si>
  <si>
    <t xml:space="preserve"> 13.00	cu.m.	Structure Excavation 1921.50	kgs	         Reinforcing Steel Bar 11.86	cu.m.	Structural Concrete 112.38	sq.m.	Masonry Units 54.20	sq.m.	Reinforced Concrete (Conc. Flooring) 198.10	sq.m.	Cement Plaster Finish 1.00	        l.s.	        Doors and </t>
  </si>
  <si>
    <t xml:space="preserve"> I. CHB line ii. Filing Materials III. Concrete Works IV. Baaketball Ring Assembly V. Painting Works</t>
  </si>
  <si>
    <t xml:space="preserve"> 30 Meters Long 8 Feet Wide</t>
  </si>
  <si>
    <t xml:space="preserve"> Note/Instruction:						 Paper Size: A4						 Thickness: 80 gsm. White						 Printing: back to back						 School will provide redy to print (camera ready) soft copies of materials						 						 *Supplier shall fasten per module with atleast two staples					</t>
  </si>
  <si>
    <t xml:space="preserve"> Construction materials and supplies..</t>
  </si>
  <si>
    <t xml:space="preserve"> PROJECT DETAILS Project title:	Provision for the Development, Quality Assurance and Reproduction of Locally Developed Learning Resources  Place of Delivery:	Schools Division Office of Candon City, National Highway, Brgy. San Isidro, Candon City, Ilocos Su</t>
  </si>
  <si>
    <t xml:space="preserve"> 20.00 cu.m. STRUCTURE EXCAVATION 7698.81 kgs REINFORCING STEEL BAR 46.64 cu.m. STRUCTURAL CONCRETE 61.75 sq.m. MASONRY UNITS  123.50 sq.m. CEMENT PLASTER FINISH 130.14 sq.m. PAINTING WORKS  1.00	L.S. Doors &amp; Windows 1.00	l.s. ROOF FRAMING WORKS (ADDITIONA</t>
  </si>
  <si>
    <t xml:space="preserve"> Widening of Barangay Road, Laying of CHB &amp; Installation of Grating</t>
  </si>
  <si>
    <t xml:space="preserve"> Description The Bauan Technical Integrated High School, through the General Appropriations Act (GAA) FY 2020 intends to apply the sum of  Three Hundred Forty-Five Thousand  Pesos  Only (₱ 345,000.00) being the Approved Budget for the Contract (ABC) to pay</t>
  </si>
  <si>
    <t xml:space="preserve"> The MINISTRY OF SOCIAL SERVICES AND DEVELOPMENT BARMM, intends to apply the sum of ONE MILLION FOUR HUNDRED NINETY-NINE THOUSAND AND FIVE HUNDRED PESOS (P1,499,500.00) being the Approved Budget for the Contract (ABC) to payments under the contract for the</t>
  </si>
  <si>
    <t xml:space="preserve"> 1. Module print in legal (copy) bond paper 2. Sorted per subject binded 3. Sorted per grade level biinded</t>
  </si>
  <si>
    <t xml:space="preserve"> REQUEST FOR QUOTATION (RFQ) SUPPLY AND DELIVERY OF LABORATORY CONSUMABLES (FILTERS) UNDER EMB-ERLSD-ELSS-INORGANICS LABORATORY RFQ NO. 2020-0545-EMB-S-ERLSD-ESRS FILTERS (3rd) 1.	The Department of Environment and Natural Resources – Environmental Manageme</t>
  </si>
  <si>
    <t xml:space="preserve"> Please Quote your lowest price on the item/s listed below, subject to the General Conditions on the last page, stating the shortest time of delivery and submit your quotation duly signed by your representative not later than in the return envelope attache</t>
  </si>
  <si>
    <t xml:space="preserve"> Invitation to Bid for Construction and Installation of Street Lights 1.	The Barangay Del Rosario, Baao, Camarines Sur, through the Budget for the contract approved by the Sangunian 2019 intends to apply the sum of Three Hundred Ninety-Three Thousand Two H</t>
  </si>
  <si>
    <t xml:space="preserve"> Item I.D.	Item Description				% of Total	Unit	Quantity 							 	I. MATERIAL COST						 A	EARTHWORKS					sq.m	        60.48 B	CONCRETING WORKS				cu.m.	1.02 C	ROOF FRAME					bd.ft.	318.00 D	ROOFING WORKS				pc	        56.00 E	CARPENTRY WORKS				bd.ft.	584.</t>
  </si>
  <si>
    <t xml:space="preserve"> 1. The City Government of Calamba through the Special Education Fund intends to apply the sum of Php 300,000.00 being the Approved Budget for the Contract (ABC) to payments under the contract for G-2020-504 Supply and Delivery of Document Scanner Machine,</t>
  </si>
  <si>
    <t xml:space="preserve"> Republic of the Philippines Province of Batangas MUNICIPALITY OF ALITAGTAG INVITATION TO BID FOR PURCHASE AND INSTALLATION OF STREETLIGHTS USING LED LIGHTS AT SAN JUAN, ALITAGTAG, BATANGAS The Municipal Government of Alitagtag through the General Fund –An</t>
  </si>
  <si>
    <t xml:space="preserve"> Republic of the Philippines Province of Quezon Municipality of Atimonan Barangay Zone IV Poblacion Project Reference Number: 20-08-14s Name of the Project:  Supply and Delivery of Uniform for SB &amp; Workers Location of the Project:  Barangay Zone IV Poblaci</t>
  </si>
  <si>
    <t xml:space="preserve"> 1. The City Government of Calamba through the Trust Fund intends to apply the sum of Php 313,045.20 being the Approved Budget for the Contract (ABC) to payments under the contract for G-2020-505 Supply and Delivery of Assorted Supplies, Local Disaster Ris</t>
  </si>
  <si>
    <t xml:space="preserve"> Alcohol, 68%-72%, scented, 3.785 liters – 158 gallons Alcohol, 68%-72%, scented, 500ml – 104 bottles Nitrile Gloves, disposable, medium – 7 boxes</t>
  </si>
  <si>
    <t xml:space="preserve"> Republic of the Philippines DEPARTMENT OF PUBLIC WORKS and HIGHWAYS SULTAN KUDARAT 2ND DISTRICT ENGINEERING OFFICE REGION XII Lebak, Sultan Kudarat Contract ID No. : Contract Name : Contract Location : Brief Description of Goods to be procured: Quantity U</t>
  </si>
  <si>
    <t xml:space="preserve"> NOTICE TO THE PUBLIC REQUEST FOR PROPOSAL Purchase Request No: PUR20-07-0621 &amp; PUR20-07-0606 The Philippine General Hospital hereby informs the public that it will be procuring the following item/s through Small Value Procurement: PLS SEE ATTACHED  			 	T</t>
  </si>
  <si>
    <t xml:space="preserve"> Second Floor Extension of the Administration Building Phase 2</t>
  </si>
  <si>
    <t xml:space="preserve"> Construction materials and supplies...</t>
  </si>
  <si>
    <t xml:space="preserve"> Republic of the Philippines DEPARTMENT OF PUBLIC WORKS and HIGHWAYS SULTAN KUDARAT 2 ND DISTRICT ENGINEERING OFFICE REGION XII Lebak, Sultan Kudarat INVITATION TO BID FOR  SUPPLY/DELIVERY OF ONE(1) UNIT GENERATOR SET, DIESEL ENGINE AND SUPPLY/INSTALLATION</t>
  </si>
  <si>
    <t xml:space="preserve"> BIDS AND AWARDS COMMITTEE: Item #	 Qty	   Unit	                   Item Description	  Unit Cost	      Total Cost 0001	10	lngths	2 dia. X 6.0m GI Pipe, sch.40		 0002	2	kls	Welding Rod		 0003	2	rolls	#6 Alum. Service Drop Wire, 500m		 0004	10	pcs	15 watts LE</t>
  </si>
  <si>
    <t xml:space="preserve"> Broom, plastic – 36 pcs Mop Head, made of rayon – 36 pcs Trash Bag, black, 940mm x 1016mm – 36 packs Pale, plastic, small – 36 pcs Dustpan, plastic, small – 36 pcs Toilet Tissue Paper, 2-ply, 12 rolls/pack – 104 packs Cleanser, scouring powder, 350g – 36 </t>
  </si>
  <si>
    <t xml:space="preserve"> Please see attached link for bidding documents: https://drive.google.com/file/d/1gR_O-zEf_Skq8FbOzNEOPhGECHRIgTpM/view?usp=drivesdk ------------------------------------------------------------------------------------------------------------ INVITATION TO </t>
  </si>
  <si>
    <t xml:space="preserve"> 1. The City Government of Calamba through the General Fund intends to apply the sum of Php 139,648.50 being the Approved Budget for the Contract (ABC) to payments under the contract for G-2020-513 Supply and Delivery of Office &amp; Janitorial Supplies, Vario</t>
  </si>
  <si>
    <t xml:space="preserve"> Republic of the Philippines DEPARTMENT OF HEALTH Center for Health Development 3 JOSE B. LINGAD MEMORIAL GENERAL HOSPITAL BIDS AND AWARDS COMMITTEE City of San Fernando, Pampanga Telephone No. (045) 961-3921/(045) 409-6688 loc 127 INVITATION TO BID FOR  P</t>
  </si>
  <si>
    <t xml:space="preserve"> Please quote your lowest price on the item/s listed below, subject to the General Conditions on the last page, stating the shortest time of delivery and submit your quotation duly signed by your representative not later than in the return envelope attache</t>
  </si>
  <si>
    <t xml:space="preserve"> Republic of the Philippines BATANGAS STATE UNIVERSITY ARASOF-Nasugbu Nasugbu, Batangas Tel. Nos. (043) 416-0350 loc 105              REQUEST FOR QUOTATION Purchase of Laboratory Equipment for BatStateU-ARASOF Nasugbu   The Batangas State University (BatSt</t>
  </si>
  <si>
    <t xml:space="preserve"> Please see attached link for bidding documents: https://drive.google.com/file/d/1aJqjJ8uv548uxhfdQtWa9e7TXohDxl28/view?usp=drivesdk ------------------------------------------------------------------------------------------------------------ INVITATION TO </t>
  </si>
  <si>
    <t xml:space="preserve"> For use in Network Admin at the DPWH Cebu 5th DEO (New building).</t>
  </si>
  <si>
    <t xml:space="preserve"> this serves as second bidding for the said project for barangay malangcao basud</t>
  </si>
  <si>
    <t xml:space="preserve"> Purchase of Office Equipment (Industrial Fan)</t>
  </si>
  <si>
    <t xml:space="preserve"> 1. The City Government of Calamba through the General Fund intends to apply the sum of Php 504,055.20 being the Approved Budget for the Contract (ABC) to payments under the contract for G-2020-510 Supply and Delivery of Medical &amp; Laboratory Supplies, City</t>
  </si>
  <si>
    <t xml:space="preserve"> DEPARTMENT OF EDUCATION										 Region Xll										 Division Of General Santos City										 BIDS AND AWARDS COMMITTEE										 										 REQUEST FOR QUOTATION										 										 								Date:	August 08, 2020	 								Quotation No.:	2020-08-	 				</t>
  </si>
  <si>
    <t xml:space="preserve"> Contract ID No. 20OH0158 Contract Name : Proposed Construction of One (1) Unit 4-Storey Transient officers Quarters at CJVAB, Pasay City Contract Location: Pasay City	 Scope of Work: Construction of Building Source of Fund and Year: GAA 2020 Approved Budg</t>
  </si>
  <si>
    <t xml:space="preserve"> Purchase of 1-unit aircon for multi-purpose hall...</t>
  </si>
  <si>
    <t xml:space="preserve"> 8  pcs   Railing 4.2m 20  pcs   End Clamp 35mm 54   pcs   Mid Clamp 35mm 20   pcs   MC4 10   pcs   Y-MC4 1  roll  Solar Cable 6mm Dual 10   pcs   Battery cable 6mm 1   pc  63 A DC Breaker 1  pc    SPD 63 Amp 1  pc   40 Amps DC breaker 1  pc   Breaker Box </t>
  </si>
  <si>
    <t xml:space="preserve"> Contract ID No. 20OH0157 Contract Name : Proposed Repair, Renovation and Installation of Modular Partition at Usec. Ramos Office, DPWH Main Office, Bonifacio Drive, Port Area, Manila Contract Location: Manila City	 Scope of Work: Renovation of Building So</t>
  </si>
  <si>
    <t xml:space="preserve"> Materials will be used for printing modules to be used by learners for school year 2020-2021.</t>
  </si>
  <si>
    <t xml:space="preserve"> 1. The City Government of Calamba through the Trust Fund intends to apply the sum of Php 654,000.00 being the Approved Budget for the Contract (ABC) to payments under the contract for G-2020-512 Supply and Delivery of Communication Supplies, Local Disaste</t>
  </si>
  <si>
    <t xml:space="preserve"> INVITATION TO APPLY FOR ELIGIBILITY AND TO BID (IAEB) August 6, 2020 The Barangay Dalaon of Molave, Zamboanga del Sur, through its Bids and Awards Committe (BAC), invites interested bidders to apply for eligibility and to bid for the hereunder project: Co</t>
  </si>
  <si>
    <t xml:space="preserve"> Contract ID No. 20OH0156 Contract Name :  Proposed Renovation and Installation of Modular Partition at Asec. Pipo’s Office, DPWH Main Office, Bonifacio Drive, Port Area, Manila Contract Location: Manila City	 Scope of Work: Renovation of Building Source o</t>
  </si>
  <si>
    <t xml:space="preserve"> 1. The City Government of Calamba through the Special Education Fund intends to apply the sum of Php 699,720.00 being the Approved Budget for the Contract (ABC) to payments under the contract for G-2020-522 Supply and Delivery of Air Purifier, City School</t>
  </si>
  <si>
    <t xml:space="preserve"> 1. The City Government of Calamba through the General Fund intends to apply the sum of Php 752,068.80 being the Approved Budget for the Contract (ABC) to payments under the contract for G-2020-511 Supply and Delivery of Vegetable Seeds (Assorted), City Ag</t>
  </si>
  <si>
    <t xml:space="preserve"> Procument of Food Supply</t>
  </si>
  <si>
    <t xml:space="preserve"> Provision for catering services good for 150 persons from August 18-20, 2020 in the Municipalities of Pili, Nabua, Buhi, Ocampo, San Fernando and San Jose, Camarines Sur simultaneously.  Food must be delivered in the above mentioned municipalities (25 per</t>
  </si>
  <si>
    <t xml:space="preserve"> 1. The City Government of Calamba through the General Fund intends to apply the sum of Php 272,944.80 being the Approved Budget for the Contract (ABC) to payments under the contract for G-2020-521 Supply and Delivery of Office &amp; Janitorial Supplies, City </t>
  </si>
  <si>
    <t xml:space="preserve"> BILL OF QUANTITIES: Item #	Qty	   Unit	                   Item Description	  Unit Cost	Total Cost 0001		29.37	Sq.m	Roofing and Roof Framing-Area 1		 0002		12.29	Sq.m	Roofing and Roof Framing-Area 2		 0003		0.80	Cu.m	Concrete Foot walk		 0004		14.40	Sq.m	C</t>
  </si>
  <si>
    <t xml:space="preserve"> Municipality of Danao 						 Project Reference Number 			 : 	 2020-08-001 		  Name of Procuring Entity 						 Name of Project 			 : 	 Improvement of Barangay Covered Court -Magtangtang 		  StandardForm Number : SF -GOOD -60 						 Location of the Project </t>
  </si>
  <si>
    <t xml:space="preserve"> 1. The City Government of Calamba through the General Fund intends to apply the sum of Php 142,494.90 being the Approved Budget for the Contract (ABC) to payments under the contract for G-2020-520 Supply and Delivery of Pantry Supplies, City Administratio</t>
  </si>
  <si>
    <t xml:space="preserve"> BIDS AND AWARDS COMMITTEE: Item #	 Qty	   Unit	                   Item Description	  Unit Cost	      Total Cost 0001 	1 	Unit 	Digital Duplicator with sorter, feeder, photocopier, 90 copies per minute, color printing by replacing color drum, 300 x 300 dpi</t>
  </si>
  <si>
    <t xml:space="preserve"> Rehabilitation of Barangay Hall I. Carpentry Works II. Painting Works</t>
  </si>
  <si>
    <t xml:space="preserve"> Name of Projects: Streetlights Project Description: LED Streetlights=20 units    Distance b/w Poles-40m Location: Zone 5,6 &amp; 7,Concepcion, Libmanan, Camarines Sur Total Project Cost: P 350,000.00 Source of Fund: 20% Development Fund 2020</t>
  </si>
  <si>
    <t xml:space="preserve"> 644	REAMS	multipurpose paper, A4  70gsm sub20  635	REAMS	multipurpose paper, Legal 70gsm sub20    40 	CART   	Ink toner</t>
  </si>
  <si>
    <t xml:space="preserve"> Republic of the Philippines Province of Batangas MUNICIPALITY OF ALITAGTAG INVITATION TO BID FOR CONSTRUCTION/ IMPROVEMENT OF EVACUATION CENTER AT PINAGKURUSAN, ALITAGTAG, BATANGAS The Municipal Government of Alitagtag through the General Fund- Annual Bud</t>
  </si>
  <si>
    <t xml:space="preserve"> INVITATION TO BID FOR THE CATERING SERVICES FOR THE VARIOUS COMMITTEES ACTIVITIES  1.	The Provincial Government of La Union (PGLU), through the PGLU Annual Budget CY 2020 intends to apply the sum of One Million Five Hundred Forty Five Thousand Twenty Five</t>
  </si>
  <si>
    <t xml:space="preserve"> The Barangay Officials and its Bids and Awards Committee (BAC), Invites Eligible Bidders to Bid the hereunder project: Name of Project: Construction of Concrete Stairways and Railings at Purok 2-3 Location: Barangay Sta. Cruz, Isabel, Leyte Approved: Php </t>
  </si>
  <si>
    <t xml:space="preserve"> Bond Paper, Multi-Purpose (Copy), 70gsm, A4 – 100 reams Brown Envelope, A4 – 50 pcs Toner Cartridge, HP 85A, black – 10 cart</t>
  </si>
  <si>
    <t xml:space="preserve"> Republic of the Philippines Province of Batangas MUNICIPALITY OF ALITAGTAG INVITATION TO BID FOR PURCHASE AND INSTALLATION OF STREETLIGHTS USING LED LIGHTS AT TADLAC, ALITAGTAG, BATANGAS The Municipal Government of Alitagtag through the General Fund –Annu</t>
  </si>
  <si>
    <t xml:space="preserve"> 1. The City Government of Calamba through the General Fund intends to apply the sum of Php 330,000.00 being the Approved Budget for the Contract (ABC) to payments under the contract for G-2020-503 Supply and Delivery of Barong Tagalog, Department of the I</t>
  </si>
  <si>
    <t xml:space="preserve"> 1. Procurement ID/Contract ID:	20GD0111 Contract Name:	REPAIR/MAINTENANCE OF DRAINAGE (CLUSTERED) 	                                                            1.	Repair/Maintenance of Drainage along Iloilo East Coast – Capiz Road KO106+558 (B/S) 2.	Repair</t>
  </si>
  <si>
    <t xml:space="preserve"> Procurement of Office Equipment Supplies for PWD</t>
  </si>
  <si>
    <t xml:space="preserve"> Unit 	Item Description	Quantity	 pieces	MOA Reproduction	2,500</t>
  </si>
  <si>
    <t xml:space="preserve"> Name of Project: 	20-07-546 Purchase of Construction Supplies and Materials for Classroom Repair of Alamada Secondary Schools   Procurement Mode:		Small Value Procurement Classification:			Goods Approved Budget for the Contract (ABC):    PhP 64,449.00 BES</t>
  </si>
  <si>
    <t xml:space="preserve"> Name of Projects: Streetlights Project Description: 6 units LED Streetlight   Distance b/w Poles=30m Location: San Juan, Libmanan, Camarines Sur Total Project Cost: P 100,000.00 Source of Fund:TRUST FUND MLGU 2019</t>
  </si>
  <si>
    <t xml:space="preserve"> BIDS AND AWARDS COMMITTEE: Item #	 Qty	   Unit	                   Item Description	  Unit Cost	      Total Cost 0001	15	lngths	Ga.16 x 2 x 4 x 20 C-Purlins		 0002	24	lngths	Ga.16 x 2 x 3 x 20 C-Purlins		 0003	400	pcs	CHB, 4		 0004	100	bags	Portland Cement</t>
  </si>
  <si>
    <t xml:space="preserve"> 1. The City Government of Calamba through the General Fund intends to apply the sum of Php 217,863.60 being the Approved Budget for the Contract (ABC) to payments under the contract for G-2020-502 Supply and Delivery of Printed Materials, Office of the Ci</t>
  </si>
  <si>
    <t xml:space="preserve"> INVITATION TO BID FOR THE SUPPLY AND DELIVERY OF OFFICE SUPPLIES 1.	The Provincial Government of La Union (PGLU), through the PGLU Annual Budget CY 2020 (General Fund) intends to apply the sum of One Million Nine Hundred Thirty-Five Thousand Seven Hundred</t>
  </si>
  <si>
    <t xml:space="preserve"> Name of Projects: Streetlights Project Description: LED Streetlights=16 Units   Distance in b/w Poles=30m Location: Zone 4 &amp; 5,Patag, Libmanan, Camarines Sur Total Project Cost: P 249,000.00 Source of Fund: 20% Development Fund 2020</t>
  </si>
  <si>
    <t xml:space="preserve"> Victorias City Water District (VCWD), will undertake a Small Value Procurement for the Supply &amp; Delivery of Loyalty Souvenir Items in accordance with Section 53.9 of the Implementing Rules and Regulations of Republic Act No. 9184. Name of Project: Supply </t>
  </si>
  <si>
    <t xml:space="preserve"> BIDS AND AWARDS COMMITTEE: Item #	 Qty	   Unit	                   Item Description	  Unit Cost	      Total Cost 0001		9	shts	GI Sheet Gauge 16		 0002		8	length	Angle Bar 1/4 x 3		 0003		2	length	Channel 1 1/2 x 5		 0004		1	sht	MS Plate 1/4 x 4 x 8		 0005	</t>
  </si>
  <si>
    <t xml:space="preserve"> CONCRETE PATHWAY Centro 2 Dimensions: L=61.0m  W=2.0m  Thk=0.15m Man Anunang 2 Dimensions: L=158m  W=1.0m  Thk=0.10m P 314,376.14 ITEM 105 - SITE PREPARATION               280       sq.m.       Base  Preparation ITEM 311 - PORTLAND CEMENT CONCRETE PAVEMEN</t>
  </si>
  <si>
    <t xml:space="preserve"> Please quote you lowest price/s for all item/s as specified on the list below for Natulongan CS which are available in your store/establishment/company. If available, please furnish catalogue, descriptive brochures of literature about the items/articles. </t>
  </si>
  <si>
    <t xml:space="preserve"> 4000	reams	Book paper long substance 20, 70 gsm 30	master roll	Master roll for DX 2430 240	cartridge	Gestetner ink DX 2430</t>
  </si>
  <si>
    <t xml:space="preserve"> Procurement of Office Equipment Supplies for Senior Citizen's Office</t>
  </si>
  <si>
    <t xml:space="preserve"> Contract ID No. 20OH0159 Contract Name : Proposed Construction of One (1) Unit 5-Storey Officer’s Condominium at CJVAB, Pasay City Contract Location: Pasay City	 Scope of Work: Construction of Building Source of Fund and Year: GAA 2020 Approved Budget for</t>
  </si>
  <si>
    <t xml:space="preserve"> BIDS AND AWARDS COMMITTEE: Item #	 Qty	   Unit	                   Item Description	  Unit Cost	      Total Cost 0001 	10	Sets 	Tire 10 x 20 Road Lug (Load Range J Repalces 18 P.R TU) Max. Load Single 3080 kg(6790lbs) AT825 Kpa(120 PSI) Max. Dual Load 2700</t>
  </si>
  <si>
    <t xml:space="preserve"> Invitation to Bid Sipocot National High School through its Bids and Awards Committee (BAC) invites PhilGEPS registered suppliers to apply to bid for the Supply and Delivery of the following Supplies for Reproduction of Modules for the First Quarter of SY </t>
  </si>
  <si>
    <t xml:space="preserve"> Name of Project: 	20-06-506 Purchase of Uniform for Barangay First Responder Enhancement Training    Procurement Mode:		Small Value Procurement Classification:			Goods Approved Budget for the Contract (ABC):    PhP 76,500.00 BEST AND FINAL OFFER Item No.	</t>
  </si>
  <si>
    <t xml:space="preserve"> Qty	Unit	PARTICULARS	PTTC Total ABC (P)	Unit Cost (P)	Total Cost (P) 38	pieces	FIRE EXTINGUISHER 10LBS. Dry chemicals, Type ABC, Non-toxic Red cylinder, portable type	95,000.00		 2	pieces	FIRE EXTINGUISHER 50LBS. Dry chemicals, Type ABC, Non-toxic Red cyl</t>
  </si>
  <si>
    <t xml:space="preserve"> BARANGAY ASSEMBLY 250	sets	Food Packs (Lunch a.m/pm)	  300	btls	Mineral Water	   	 	BARANGAY CAPACITY BUILDING SEMINAR 3	sets	Modules	 	  1500	btls	Mineral Water	  800	sets	Food Packs (Lunch a.m/pm) 500	pcs	Folder Long	  5	bxs	Ballpen	 	  40	packs	Coffee </t>
  </si>
  <si>
    <t xml:space="preserve"> QUALITY REPRODUCTION OF MATERIALS AND DELIVERY Paper: A4, 70gsm; Binding: Saddle Stitch; Cover: C25 200 lbs glossy 1 color; Inside: 1 color; Packaging: per module; MYDEV LIFE SKILLS LEARNERS MODULES 11 modules, 2,300 copies MYDEV LIFE SKILLS FACILITATOR M</t>
  </si>
  <si>
    <t xml:space="preserve"> National Power Corporation INVITATION TO BID PUBLIC BIDDING 2020-0273 1.	The NATIONAL POWER CORPORATION (NPC), through       its        approved       Corporate Budget of CY 2020 intends to apply   the   sum   of (Please see schedule below) being the Appr</t>
  </si>
  <si>
    <t xml:space="preserve"> Qty	Unit	PARTICULARS	PTTC ABC (P)	Amount (P) 1	unit	PVC ID PRINTER	14,000.00	 				 Specifications- (Minimum Requirements): Color and Mono Printing	Dye-Sublimation Resolution: 300dpi (Color), 600 &amp; 1200dpi (Mono only)	Dual side printing Automatic Card Feed</t>
  </si>
  <si>
    <t xml:space="preserve"> Republic of the Philippines Province of Sarangani Municipality of Malapatan Invitation to Bid  	 2020-B2- INSTALLATION OF BASKETBALL GOAL FIBER GLASS BOARD WITH RING AT SITO PROPER BRGY. KINAM , MALAPATAN SARANGANI PROVINCE  1. The Local Government Unit o</t>
  </si>
  <si>
    <t xml:space="preserve"> Victorias City Water District (VCWD), will undertake a Small Value Procurement for the Supply &amp; Delivery of Water Meter ½” for New Connection Use in accordance with Section 53.9 of the Implementing Rules and Regulations of Republic Act No. 9184. Name of P</t>
  </si>
  <si>
    <t xml:space="preserve"> Contract ID No. 20OH0160 Contract Name : Proposed Installation of Waterline Distribution System (Phase 1-6) at CJVAB, Pasay City Contract Location: Pasay City	 Scope of Work: Installation of Waterline Distribution System Source of Fund and Year: GAA 2020 </t>
  </si>
  <si>
    <t xml:space="preserve"> Department of Education Region VI-Western Visayas Cadiz City Alimatoc Elementary School Invitation to BID for the Procurement of Improvement of Kindergarten Comfortroom 1. The Alimatoc Elementary School, through the School’s MOOE 2020 intends to apply the</t>
  </si>
  <si>
    <t xml:space="preserve"> Thermal Scanner	4 pieces Bewell-C Vitamins	1080 pieces</t>
  </si>
  <si>
    <t xml:space="preserve"> GEN. REQUIREMENTS, CLEARING, LAY-OUT &amp; STAKING, EXCAVATION, BACKFILL, CONCRETE WORKS, ROOF AND ROOF FRAMING, ARCHITECTURAL, PLUMBING WORKS, ELECTRICAL WORKS</t>
  </si>
  <si>
    <t xml:space="preserve"> 60	bags	Cement 1	pc	Neltex 1	elf	Sand 1	elf	Gravel 20	pcs	Deformed Bar 10mm 1	box	THHN Wire 5	pcs	Cutting Disk Tyrolit 5	gals	Latex Paints 2	gals	Paint Thinner 2	tins	Quick Dry Enamel Paints 8	pcs	Marine Plywood 1/2 6	pcs	Marine Plywood 3/4 10	pcs	2x2x10 </t>
  </si>
  <si>
    <t xml:space="preserve"> Name of Project: 	20-07-538 Purchase of Thirteen (13) Units 3 in 1 Printer for Reproduction of Self-Instructional Materials for Blended Learning for Alamada North District   Procurement Mode:		Small Value Procurement Classification:			Goods Approved Budge</t>
  </si>
  <si>
    <t xml:space="preserve"> Name of Project: 	20-07-554 Purchase of Sixteen (16) Units 3 in 1 Printer for Reproduction of Self Instructional Materials (SIM) for Alamada East District    Procurement Mode:		Small Value Procurement Classification:			Goods Approved Budget for the Contra</t>
  </si>
  <si>
    <t xml:space="preserve"> Department of Education Region VI-Western Visayas Division of Cadiz City Alimatoc Elementary School INVITATION TO BID FOR PROCUREMENT OF 2 SETS of PRINTER FOR 2020 1. The Alimatoc Elementary School of Cadiz City, through the Schools MOOE Fund CY 2020 inte</t>
  </si>
  <si>
    <t xml:space="preserve"> The LGU - Mariveles, through the Budget of the Contract Approved by the Sanggunian of 2020 intends to apply the sum of Five Million Pesos (Php 5,000,000.00) being the Approved Budget for the Contract (ABC) to payments under the contract for Transport and </t>
  </si>
  <si>
    <t xml:space="preserve"> 18 units EMERGENCY LIGHTS  Rechargeable Twinhead emergency light (24 ocs bright LED); Automatically Lights up during power failure; Overcharge and over-discharge protection circuit; Built-in AC charger; battery test switch; external safety fuse; 3.5 inche</t>
  </si>
  <si>
    <t xml:space="preserve"> The Department of Education Schools Division of Oriental Mindoro thru its Bids and Awards Committee invites all interested and legitimate bidders to participate in the “Printing and Delivery to Schools of Learning Resources for the Implementation of Basic</t>
  </si>
  <si>
    <t xml:space="preserve"> Department of Education Region VI-Western Visayas Division of Cadiz City Severino Escaro Elementary School INVITATION TO BID FOR THE PROVISION OF Instructional Learning Materials and office Supplies for 2020 1.	The Severino Escaro Elementary School (forme</t>
  </si>
  <si>
    <t xml:space="preserve"> Multi-Purpose Vehicle (MPV) Dual AC Euro 4 -2.2L Diesel Turbocharge and Intercooled CRDi Engine Electronic Common Rail Direct Injection  -5-speed Manual Transmission. Rigid Body design. 17 persons capacity -Independent wishbone with coil spring and stabil</t>
  </si>
  <si>
    <t xml:space="preserve"> Republic of the Philippines                   Department of Health	       CENTRAL OFFICE BIDS AND AWARDS COMMITTEE  INVITATION TO BID FOR THE  Procurement of DOH Web Application Firewall IB NO. 2020-190 1.	The Department of Health (DOH), through the Gener</t>
  </si>
  <si>
    <t xml:space="preserve"> 600	btls	Mineral Water	  500	sets	Food Pack ( a.m/ snack/ pm)	  500	bags	Groceries                     	  Barangay Nangka Republic of the Philippines CITY OF MARIKINA BIDS &amp; AWARDS COMMITTEE INVITATION TO BID The Bids &amp; Awards Committee (BAC) of Barangay </t>
  </si>
  <si>
    <t xml:space="preserve"> Bid Bulletin and Bidding Documents</t>
  </si>
  <si>
    <t xml:space="preserve"> TRAINING MATERIALS FOR DRIVING TWSP 2020</t>
  </si>
  <si>
    <t xml:space="preserve"> TRAINING MATERIALS FOR OAP NC II</t>
  </si>
  <si>
    <t xml:space="preserve"> TRANSFORMER WITH ACCESSORIES, 3 PHASE  PRIMARY LINE, CONSTRUCTION OF POWER HOUSE</t>
  </si>
  <si>
    <t xml:space="preserve"> Qty	Unit	PARTICULARS	PTTC ABC (P)	Amount (P)	 12	pieces	SINTRA BOARD Size: 5mm 4ft x 8ft	12,000.00		 2	gallons	CONTACT CEMENT	2,400.00</t>
  </si>
  <si>
    <t xml:space="preserve"> 30	pcs	Polo Shirts w/ Print	  20	sets	Traffic Gloves	  5	bxs	Whistle	 	  6	bxs	Coffee 	 	  100	packs	Sugar	 	  25	pcs	Stun Gun and Tear Gas	  35	pcs	Flashlight Waterproof HD 40	pcs	Night Stick	 	  25	pcs	Handcuffs H. D Double Lock 15	sets	Polo Shirts &amp; Pa</t>
  </si>
  <si>
    <t xml:space="preserve"> TRAINING MATERIALS FOR DRIVING NC II B</t>
  </si>
  <si>
    <t xml:space="preserve"> 30 tube Riso Master 60 tube Riso Ink</t>
  </si>
  <si>
    <t xml:space="preserve"> Construction of FOOD PROCESSING AREA, OFFICE LOUNGE AND RECEIVING AREA and SHOW ROOM</t>
  </si>
  <si>
    <t xml:space="preserve"> 60	pcs	Combination Longsleeves shirt  w/ Print 155	bxs	Trash Bag XXL 1000	pcs	Stickbroom	  50	rls	Nylon line	  50	prs	Working Gloves 18	pcs	Grasscutter Blade 12	pcs	Softbroom	  12	pcs	Goggles	  1	pc	Sewer Rod 1/2x 50 HD 3	pcs	Chainsaw Blade 5	bxs	Spark pl</t>
  </si>
  <si>
    <t xml:space="preserve"> Purchase Request No. : 2020-07-0032 Name of Project: Office Supplies and Construction Materials for use in the preparation of Right-of-Way Action Plan (RAP) and Environmental Assessment (EIA) Documents assigned to the Planning and Design Section of this D</t>
  </si>
  <si>
    <t xml:space="preserve"> Item no. Description Qty. Unit 1  CEMENT   224  bags 2   MARINE PLYWOOD (4' x 8' x 11mm)     47  sheets 3   REBARS 10mm Ø   260 length 4   TIRE WIRE    1 roll 5    CROWN NAILS #2     2 keg. 6    CROWN NAILS #3     5 keg. 7    CROWN NAILS #4     5 keg. 8  </t>
  </si>
  <si>
    <t xml:space="preserve"> Qty	Unit	PARTICULARS	PTTC Total ABC (₱)	Unit Cost (₱)	Total Cost (₱) 2	units	STREAMING FULL HD WEBCAM	13,000.00		 Specifications (minimum requirements): Max Resolution: 1080p/30 fps – 720p/60 fps	Focus type: autofocus Built-in mic: stereo	Field of view: 7</t>
  </si>
  <si>
    <t xml:space="preserve"> Item no. Description Qty. Unit 1 FORM LUMBER 2" x 2" x 8'       2,922.67    bd.ft 2 FORM LUMBER 2" x 3" x 8'       5,428         bd.ft</t>
  </si>
  <si>
    <t xml:space="preserve"> Republic of the Philippines PROVINCE OF NUEVA ECIJA City of Palayan -o0o- Invitation to Bid for  CONSTRUCTION OF MULTI-PURPOSE FACILITY at Mambangnan National High School, Mambangnan, San Leonardo, Nueva Ecija August 7, 2020 1.	The Provincial Government o</t>
  </si>
  <si>
    <t xml:space="preserve"> Purchase Request No. : 2020-07-0031 Name of Project: Supply Materials and Office Supplies for the Conduct of RoCond Assessment, Road Inventory Surveys, Quality Assurance and other RBIA related activities assigned to the Planning and Design Section of this</t>
  </si>
  <si>
    <t xml:space="preserve"> Republic of the Philippines PROVINCE OF NUEVA ECIJA City of Palayan INVITATION TO BID FOR  SUPPLY AND DELIVERY OF HARDWARE/CONSTRUCTION MATERIALS FOR AKO ANG SAKLAY, INC. (Re-Bid) August 7, 2020 1.	The Provincial Government of Nueva Ecija (PGNE), through </t>
  </si>
  <si>
    <t xml:space="preserve"> TRAINING MATERIALS FOR EIM NC II UAQTEA</t>
  </si>
  <si>
    <t xml:space="preserve"> Item no. Description Qty. Unit 1  SAND    209   cu.m 2   GRAVEL    406   cu.m</t>
  </si>
  <si>
    <t xml:space="preserve"> FOR OPERATION PATAK POLIO 200	btls	Mineral Water 150	sets	Food Packs  ( a.m/ snack/ pm)  	 	                          CLEAN- UP DRIVE 80	sets	Food Packs ( Lunch/ Merienda- AM/PM) 10	bxs	Trash Bag XXL                    200	pcs	Stickbroom	   	 	NUTRI- LECT</t>
  </si>
  <si>
    <t xml:space="preserve"> TRAINING MATERIALS FOR CSS NC II UAQTEA</t>
  </si>
  <si>
    <t xml:space="preserve"> Invitation to Bid  Supply, Delivery and Installation of Modular Work Stations, Tables and Pantry Cabinet for POPCOM Region IV-A. 1.	The Commission on Population and Development- Region IV (POPCOM IV-A), through the 2020 General Appropriations Act (GAA) in</t>
  </si>
  <si>
    <t xml:space="preserve"> The National Center for Mental Health (NCMH) is inviting all PhilGeps registered to apply the Invitation to Bid for the Public Bidding for Drugs and Medicines -Medicine Access Program Mental Health (MAP-MH) 2 CY 2019 (Complete Technical Specifications are</t>
  </si>
  <si>
    <t xml:space="preserve"> Kindly see attached Terms of Reference (TOR) and Purchase Request (PR) for your perusal. Please take note that the availability of Bidding Documents will be on August 11, 2020. Contact Persons: DICT-Batangas Carmela Valencia (BAC Chairperson) carmela.vale</t>
  </si>
  <si>
    <t xml:space="preserve"> QUANTITY --- UNIT --- DESCRIPTION  500 --- ream --- Book Paper (A4, substance 20) 194 --- pack --- Acetate (A4)</t>
  </si>
  <si>
    <t xml:space="preserve"> The National Commission for Culture and the Arts (NCCA) through its Procurement Section intends to procure “Production Services  for Sentro Rizal Virtual Masterclasses” in accordance with Section 53.9 (Negotiated Procurement – Small Value Procurement) of </t>
  </si>
  <si>
    <t xml:space="preserve"> Project: Completion of PRO13 Multi-Purpose Center (Last Phase) Location: Camp Col Rafael C Rodriguez, Libertad, Butuan City Approved Budget for the Contract: Php5,000,000.17 Duration: 210 Calendar Days</t>
  </si>
  <si>
    <t xml:space="preserve"> Item No. Description Qty. Unit 1 FORM LUMBER 2''x 2''x 8'   2,922.67   bd.ft 2 FORM LUMBER 2"x 3" x 8'   5,428.00   bd.ft</t>
  </si>
  <si>
    <t xml:space="preserve"> 50 PIECES INK TONER, DX2430 20 PIECES MASTER ROLL, DX2430 25 GALLONS ALCOHOL 50 KILOS SOAP POWDER 1 KILO PER PACK 50 GALLONS ZONROX 1 GAL 20 GALLONS DISINFECTING SOLUTION FOR FOOTHBATH 12 BOTTLES HAND SOAP</t>
  </si>
  <si>
    <t xml:space="preserve"> 50 PCS. INK TONER,DX2430 15 pcs Master Roll, DX2430 6 cans Air Freshener 12 bot. Alchohol Ethyl 12 pcs Broom, Stick 100 bot. Disinfecting Solution ( for foothbath) 10 pcs Hand Soap 25 cans Insecticide, aerosol type 6 packs Trashbag, XL 40 bottles Zonrox, </t>
  </si>
  <si>
    <t xml:space="preserve"> Name of Project: 	20-07-547 Purchase of School Supplies for Reproduction of Self Instructional Materials for Blended Learning, ECCD and ALS for Alamada North District    Procurement Mode:		Shopping Classification:			Goods Approved Budget for the Contract </t>
  </si>
  <si>
    <t xml:space="preserve"> Republic of the Philippines DEPARTMENT OF PUBLIC WORKS AND HIGHWAYS IFUGAO SECOND DISTRICT ENGINEERING OFFICE CORDILLERA ADMINISTRATIVE REGION Aguinaldo, Ifugao Request for Expression of Interest (REOI) for the Soil Testing/Exploration for the projects: 1</t>
  </si>
  <si>
    <t xml:space="preserve"> MATERIALS FOR THE RM OF SCHOOL FENCE</t>
  </si>
  <si>
    <t xml:space="preserve"> FOR GUBA COMMUNITY HOSPITAL USE.</t>
  </si>
  <si>
    <t xml:space="preserve"> Repair/rehabilitation of brgy. multipurpose hall</t>
  </si>
  <si>
    <t xml:space="preserve"> 1. The total approved budget for the contract for the SUPPLY AND DELIVERY OF PORTABLE ALKALINITY METER is PhP 50,000.00 2. Price quotations must include all taxes, duties, and/or levies payable and must be valid for 30 days. 3. Suppliers must specify the </t>
  </si>
  <si>
    <t xml:space="preserve"> Fabrication and Installation of Streetlights @ Villarica Subdivison Brgy Sto Domingo, Cainta Rizal</t>
  </si>
  <si>
    <t xml:space="preserve"> INVITATION TO BID IB No. 26,   S. 2020 The Municipality of General Nakar, Quezon through the Approved Appropriation Ordinance No. 2019-29  appropriating funds for the Annual Budget CY 2020 intends to apply the sum of  Two  Million Pesos (PhP2,000,000.00) </t>
  </si>
  <si>
    <t xml:space="preserve"> Geotechnical Investigation of various Road Sections and By-Pass/Diversion Road Projects</t>
  </si>
  <si>
    <t xml:space="preserve"> Republic of the Philippines				                                                                                Province of Ilocos Norte				                                                                              MUNICIPALITY OF ADAMS				             </t>
  </si>
  <si>
    <t xml:space="preserve"> INVITATION TO BID  PROCUREMENT OF DRUGS AND MEDICINES MRH-009-2020 1.	The Margosatubig Regional Hospital, through the funding source of REVOLVING FUND intends to apply the sum of Sixteen Million Fifty-Three Thousand Five Hundred Ninety-Three Pesos and 05/</t>
  </si>
  <si>
    <t xml:space="preserve"> Republic of the Philippines Province of Cagayan Municipality of Baggao INVITATION TO BID FOR THE PROCUREMENT OF GOODS The Barangay San Miguel, Baggao, Cagayan, through the Financial Assistance intends to apply the sum of Five Hundred Thousand Pesos (PHP50</t>
  </si>
  <si>
    <t xml:space="preserve"> 1 lot Gypsum #6x1 for wood at 100pcs per box etc.- Supply and Installation of various office equipment and furnitures Phase II NOTE:To all suppliers bid documents and BAC Resolution 2020-029  are available at BAC Office and LGU website.</t>
  </si>
  <si>
    <t xml:space="preserve"> Republic of the Philippines Province of Cagayan Municipality of Baggao INVITATION TO BID FOR THE PROCUREMENT OF GOODS The Barangay Alba, Baggao, Cagayan, through the 20% Brgy. Development Fund CY 2020 intends to apply the sum of One Hundred Seventy Four T</t>
  </si>
  <si>
    <t xml:space="preserve"> Item No.	Description	                                                                Quantity	Unit I	        Excavation	                                                                        10.83	Cu.m. II	        Demolition	                             </t>
  </si>
  <si>
    <t xml:space="preserve"> Republic of the Philippines Province of Cagayan Municipality of Baggao INVITATION TO BID FOR THE PROCUREMENT OF GOODS The Barangay San Antonio, Baggao, Cagayan, through the Financial Assistance  intends to apply the sum of Three Hundred Fifty Thousand Pes</t>
  </si>
  <si>
    <t xml:space="preserve"> Item No.	Description	Quantity	Unit I	Excavation	4.00	Cu.m. II	Demolition	1.00	Ls III	Formworks	1.00	Ls IV	Structural Concrete	11.84	Cu.m. V	Masonry Works	154.00	Sq.m VI	Reinforcing Steel Bar-Grade 40 (Inc slab on fill &amp; CHB wall)	1,100.00	Kg. VII	Plasteri</t>
  </si>
  <si>
    <t xml:space="preserve"> PURCHASE AND DELIVERY  OF MATERIALS FOR  KABACAN WATER DISTRICT'S  WATER SUPPLY PROJECTS</t>
  </si>
  <si>
    <t xml:space="preserve"> Republic of the Philippines Province of Camarines Sur MUNICIPALITY OF LAGONOY BIDS AND AWARDS COMMITTEE INVITATION TO BID/REQUEST FOR EXPRESSION OF INTEREST The Municipal Government of Lagonoy, through its Bids &amp; Awards Committee (BAC) invites suppliers/ </t>
  </si>
  <si>
    <t xml:space="preserve"> Republic of the Philippines     Province of Bohol     Municipality of Loon INVITATION TO BID FOR THE PROPOSED MULTI-PURPOSE BUILDING SHED  (MERCADO DE LOON TABO-AN) 1.	The Local Government Unit of Loon, Bohol through its appropriation from general fund in</t>
  </si>
  <si>
    <t xml:space="preserve"> Republic of the Philippines     Province of Bohol     Municipality of Loon INVITATION TO BID FOR THE COMPLETION OF MULTI-PURPOSE BUILDING  (LOON TOWN SQUARE) 1.	The Local Government Unit of Loon, Bohol through its appropriation from trust fund intends to </t>
  </si>
  <si>
    <t xml:space="preserve"> A4 BOND PAPER SUB 20</t>
  </si>
  <si>
    <t xml:space="preserve"> Construction of Toilet Facilities and Water Facilities</t>
  </si>
  <si>
    <t xml:space="preserve"> MATERIALS FOR THE IMPROVEMENT OF BARANGAY OUTPOST, BARANGAY MACABUD ABC  :  PHP. 198,200.00                                    DELVERY PERIOD :    7 CAL. DAYS</t>
  </si>
  <si>
    <t xml:space="preserve"> Rehabilitation of Multipurpose Hall</t>
  </si>
  <si>
    <t xml:space="preserve"> CIVIL WORKS</t>
  </si>
  <si>
    <t xml:space="preserve"> 3 units COPY PRINTER														 Type: Digital, Desktop														 Printing Process: Fully-Automatic one-drum 														      Stencil System														 Originals: Sheet (one original sheet only)														 Original Size:  Minimum 80-100 x 1</t>
  </si>
  <si>
    <t xml:space="preserve"> Construction of Concrete Pathway</t>
  </si>
  <si>
    <t xml:space="preserve"> Fabrication and Installation of Streetlights  @ St Joseph Subdivision Brgy Sto Domingo,Cainta,Rizal</t>
  </si>
  <si>
    <t xml:space="preserve"> Section 1. INVITATION to BID (IB) No. 2020-016 The Municipality of Cabiao, Nueva Ecija, through its Bids and Awards Committee (BAC), invites suppliers/manufacturers/distributors to apply for eligibility and to bid if found eligible, to bid for the followi</t>
  </si>
  <si>
    <t xml:space="preserve"> Republic of the Philippines     Province of Bohol     Municipality of Loon INVITATION TO BID FOR THE PROPOSED MULTI-PURPOSE BUILDING  (MERCADO DE LOON TUBAAN) 1.	The Local Government Unit of Loon, Bohol through its appropriation from general fund intends </t>
  </si>
  <si>
    <t xml:space="preserve"> a. Site Works  b. Concrete Works  c. Rebar Works</t>
  </si>
  <si>
    <t xml:space="preserve"> Const. of Toilet Facilities &amp; Water Facilities</t>
  </si>
  <si>
    <t xml:space="preserve"> Isuzu Dmax 4x4 LT MT RZ4E</t>
  </si>
  <si>
    <t xml:space="preserve"> BIDS &amp; AWARDS COMMITTEE  INVITATION TO BID  REPUBLIC OF THE PHILIPPINES  CITY OF GOVERNMENT OF NAVOTAS  BARANGAY NBBS KAUNLARAN  BIDS AND AWARDS COMMITTEE  1. The Sangguniang Barangay of NBBS - Kaunlaran, through its Bids and Awards Committee intends to a</t>
  </si>
  <si>
    <t xml:space="preserve"> Republic of the Philippines  DEPARTMENT OF PUBLIC WORKS AND HIGHWAYS 	THIRD LEYTE ENGINEERING DISTRICT OFFICE Regional Office VIII Villaba, Leyte NOTICE OF POSTING @ PHILGEPS / DPWH WEBSITE / BULLETIN BOARD July 24, 2020 The DPWH Leyte Third Engineering D</t>
  </si>
  <si>
    <t xml:space="preserve"> Republic of the Philippines  DEPARTMENT OF PUBLIC WORKS AND HIGHWAYS 	THIRD LEYTE ENGINEERING DISTRICT OFFICE Regional Office VIII Villaba, Leyte NOTICE OF POSTING @ PHILGEPS / DPWH WEBSITE / BULLETIN BOARD July 27, 2020 The DPWH Leyte Third Engineering D</t>
  </si>
  <si>
    <t xml:space="preserve"> Republic of the Philippines Province of Cagayan Municipality of Baggao INVITATION TO BID FOR THE PROCUREMENT OF GOODS The Barangay San Vicente, Baggao, Cagayan, through the 20% BDF CY 2020 intends to apply the sum of One Hundred Thirty Three Thousand One </t>
  </si>
  <si>
    <t xml:space="preserve"> SAN CARLOS BRANCH - QUEUING MACHINE &amp; FILING CABINETS 1 unit Queuing Machine Php 350,000.00 4 units Filing Cabinets Php 80,000.00 (four drawers with lock)</t>
  </si>
  <si>
    <t xml:space="preserve"> SAN CARLOS BRANCH - AIR CONDITIONING UNITS (RA10A) Including installation, labor and materials. ABC Php 450,000.00 1 unit 3T Floor Mounted 1 unit 3T Wall Split type inverter 4HP 1 unit Ceiling cassette inverter type 4HP</t>
  </si>
  <si>
    <t xml:space="preserve"> INVITATION TO BID August 4, 2020 1.	The Provincial Government of Davao Occidental, through its Bids and Awards Committee (BAC), invites all suppliers to apply to bid for the following goods: Bids received in excess of the ABC shall be automatically reject</t>
  </si>
  <si>
    <t xml:space="preserve"> INVITATION TO BID The PILI WATER DISTRICT, through its BIDS AND AWARDS COMMITTEE invites suppliers/manufacturers to apply for eligibility and to bid for the following project: Name of Project:Supply and Delivery of Various Pipes and Fittings Approved Budg</t>
  </si>
  <si>
    <t xml:space="preserve"> Procurement of Control, etc...</t>
  </si>
  <si>
    <t xml:space="preserve"> Roofing of Pampang Market</t>
  </si>
  <si>
    <t xml:space="preserve"> Procurement of Supplies for ONA</t>
  </si>
  <si>
    <t xml:space="preserve"> Procurement of Top Loading Balance</t>
  </si>
  <si>
    <t xml:space="preserve"> Department of Education Region X Division of Cagayan de Oro City East II District PUERTO ELEMENTARY SCHOOL SY: 2020-2021 MODULE REPRODUCTION No.     Qty      Unit      Description 1        197      Set       Grade I Module 2        245      Set       Grad</t>
  </si>
  <si>
    <t xml:space="preserve"> INVITATION TO BID FOR THE BARANGAY The Barangay Tandang Sora will be conducting a public bidding for the following purchase request indicated below: 9	UNITS	LAPTOP COMPUTERS</t>
  </si>
  <si>
    <t xml:space="preserve"> INVITATION TO BID FOR THE BARANGAY The Barangay Tandang Sora will be conducting a public bidding for the following purchase request indicated below: 7	SETS 	DESKTOP COMPUTER SET WITH PRINTER</t>
  </si>
  <si>
    <t xml:space="preserve"> 2	pc	Fillet gauge		 11	pc	Try square 300 mm long		 2	unit	Work bench w/ bench vice on 4 corners		 1	set	Belt tension gauge		 2	set	Box wrench metric size		 1	unit	Cooling system analyzer		 2	set	Socket wrench 		 2	set	Tire pressure gauge		 5	pc	Cover alls</t>
  </si>
  <si>
    <t xml:space="preserve"> INVITATION TO BID FOR THE BARANGAY The Barangay Tandang Sora will be conducting a public bidding for the following purchase request indicated below: 60	PCS	COLORED TSHIRT W/ COLLAR W/ PRINT &amp; TACTICAL PANTS					 50	PCS	TEAR GAS WITH HOLSTER 					 60	SETS	</t>
  </si>
  <si>
    <t xml:space="preserve"> INVITATION TO BID FOR THE BARANGAY  1. The Barangay Tandang Sora will be conducting a public bidding for the following purchase request indicated below:  720	PCS 	COLLARED TSHIRT W/ PRINT					 40	PCS 	WHISTLE WITH CHAIN, POLICE TYPE					 20	PCS 	REFLECTOR</t>
  </si>
  <si>
    <t xml:space="preserve"> Republic of the Philippines Province of Ilocos Norte MUNICIPALITY OF CURRIMAO INVITATION TO BID FOR  PURCHASE OF LIVELIHOOD STARTER KITS 1.	The Municipality of Currimao,  through the DOLE Support and LGU General Fund intends to apply the sum of [One Milli</t>
  </si>
  <si>
    <t xml:space="preserve"> INVITATION TO BID FOR THE BARANGAY The Barangay Tandang Sora will be conducting a public bidding for the following purchase request indicated below: 50	liters	FOGGING CHEMICAL 					 10	bxs	SURGICAL GLOVES, LARGE 					 60	pcs	ALCOHOL 					 172	pcks	COTTON </t>
  </si>
  <si>
    <t xml:space="preserve"> SUPPLY AND DELIVERY OF OFFICE SUPPLIES UNDER RFQ BACMADD2020-034</t>
  </si>
  <si>
    <t xml:space="preserve"> INVITATION TO BID FOR THE BARANGAY The Barangay Tandang Sora will be conducting a public bidding for the following purchase request indicated below: 610	BXS	GARBAGE BAG LARGE 					 80	PCS	PICKMATTOCK WITH HANDLE 					 300	PCS	DUSTPAN HEAVY DUTY 					 300	</t>
  </si>
  <si>
    <t xml:space="preserve"> INVITATION TO BID FOR THE BARANGAY  1. The Barangay Tandang Sora  will be conducting a public bidding for the following purchase request indicated below:  120	RMS	LETTER HEAD SHORT120	RMS	LETTER HEAD LONG 					 120	RMS	COPY PAPER LONG 					 120	RMS	COPY P</t>
  </si>
  <si>
    <t xml:space="preserve"> Heavy Duty Risograph Digital Duplicator machine Print Speed: 130 pages/minute(max). Paper Capacity:300x300dpi Paper Weight:46gsm to 210 gsm Master-making/printing methods: High Speed digital Masker-making/fully automatic stencil printing Image processing </t>
  </si>
  <si>
    <t xml:space="preserve"> INVITATION TO BID FOR THE BARANGAY The Barangay Tandang Sora will be conducting a public bidding for the following purchase request indicated below: 2	SETS	DESKTOP COMPUTER WITH PRINTER 					 2	PCS	EXECUTIVE TABLE W/ GLASS TOP AND MOVABLE SIDE DRAWER					</t>
  </si>
  <si>
    <t xml:space="preserve"> INVITATION TO BID FOR THE BARANGAY The Barangay Tandang Sora will be conducting a public bidding for the following purchase request indicated below: 13	UNITS	 TABLET COMPUTERS</t>
  </si>
  <si>
    <t xml:space="preserve"> Republic of the Philippines Province of Davao del Norte BARANGAY VISAYAN VILLAGE, TAGUM CITY BIDS AND AWARDS COMMITTEE                                                                                                                                         </t>
  </si>
  <si>
    <t xml:space="preserve"> Pls see attached list of items</t>
  </si>
  <si>
    <t xml:space="preserve"> INVITATION TO BID IB No. 27,   S. 2020 The Municipality of General Nakar, Quezon through the Approved Appropriation Ordinance No. 2019-29  appropriating funds for the Annual Budget CY 2020 intends to apply the sum of  Two Million and Five Hundred Thousand</t>
  </si>
  <si>
    <t xml:space="preserve"> Republic of the Philippines Province of Guimaras OFFICE OF THE BIDS AND AWARDS COMMITTEE INVITATION TO BID FOR    SUPPLY AND DELIVERY OF VEHICLE SPARE PARTS Bid Ref. No. 2020-07-438 1.	The Province of Guimaras , through the Repair and Maintenance of Trans</t>
  </si>
  <si>
    <t xml:space="preserve"> 1 lot Various Accessories and Materials to be used for Tilapia Egg Collection and Incubation System Materials Needed: 20 pcs. Plastic Basin, Medium; 10 pcs. Plastic Tub "Banyera", with rope handle 13.5" height, 30" width, 22" length, green; 10 pcs. Plasti</t>
  </si>
  <si>
    <t xml:space="preserve"> Republic of the Philippines Province of Guimaras OFFICE OF THE BIDS AND AWARDS COMMITTEE INVITATION TO BID FOR    SUPPLY AND DELIVERY OF DIESEL AND GASOLINE Bid Ref. No. 2020-07-437 1.	The Province of Guimaras , through the Fuel, Oil and Lubricants intend</t>
  </si>
  <si>
    <t xml:space="preserve"> Republic of the Philippines Region XII Province of Cotabato City of Kidapawan Barangay of LABU-O BIDS AND AWARDS COMMITTEE                                                                                                                                     </t>
  </si>
  <si>
    <t xml:space="preserve"> 20CSF003 - Consulting Services for the Conduct of Geotechnical and Geological Survey/Investigation of Proposed Six Evacuation Centers in Region V</t>
  </si>
  <si>
    <t xml:space="preserve"> 19F00143 - Construction of BLGF Training Center (Phase II), Government Regional Center, Rawis, Legazpi City</t>
  </si>
  <si>
    <t xml:space="preserve"> Republic of the Philippines									 Province of Iloilo									 MUNICIPALITY OF POTOTAN									 BIDS AND AWARDS COMMITTEE									 REQUEST FOR QUOTATION									 		Quotation No. 	G2020-08-006(NP-SV)						 		Reference PR No. 	100-20-07-03						 				Augus</t>
  </si>
  <si>
    <t xml:space="preserve"> 1 Lot Materials and Equipment for the Installation of Water Supply and Aeration Supply System Materials needed: 10 pcs. PPR Pipe #1"Ø x 4.0m x 24mm, white 6 pcs. PPR Elbow #1"Ø x 4.0m x 24mm, white 1 pc. G.I. Tee, with thread #1 2 pcs. G.I. Niple #1 1 pc.</t>
  </si>
  <si>
    <t xml:space="preserve"> Section I. Invitation to Bid Republic of the Philippines PROVINCE OF DAVAO ORIENTAL MUNICIPALITY OF SAN ISIDRO Barangay Bitaogan  INVITATION TO BID FOR THE PROCUREMENT OF CIVIL WORKS OF DRAINAGE CANAL (490 METERS)  1.	The Barangay Bitaogan, San Isidro, th</t>
  </si>
  <si>
    <t xml:space="preserve"> Procurement of Air-conditioning Unit - Floor Mounted at the SB Session Hall 1. Aircondition (floor mounted) 4.0 hp, inverter and with installation - 1 unit</t>
  </si>
  <si>
    <t xml:space="preserve"> 1 lot Labor for the Installation of Water and Aeration System for Intensive Hatchery Scope of Work: Fabrication of Steel Frame for Overhead Tanks; Construction and Setting up of Biofiltration System; Installation of Water Pipes for the Water Line System; </t>
  </si>
  <si>
    <t xml:space="preserve"> STRAIGHT CONTRACT</t>
  </si>
  <si>
    <t xml:space="preserve"> INVITATION TO BID NO. 2020-06 Procurement of Petroleum, Oil and Lubricants for PSA-RSSO X Vehicles for the Period October 2020 - September 2021 (REPOST) 1.	The PHILIPPINE STATISTICS AUTHORITY (PSA) – Regional Statistical Services Office (RSSO) X through t</t>
  </si>
  <si>
    <t xml:space="preserve"> Please see attached Request for Quotation and Technical Specifications</t>
  </si>
  <si>
    <t xml:space="preserve"> FABRICATION AND INSTALLATION OF 1/4" THICK ACRYLIC COUNTERS, inclusive of labor and materials: Frontline (floor length) 335 cm x 92 cm x 185 cm Cashiering (floor length) 160 cm x 92 cm x 185 cm PACD (tabletop) 90.2 cm x 45 cm x 91.4 cm</t>
  </si>
  <si>
    <t xml:space="preserve"> Republic of the Philippines PROVINCE OF NUEVA ECIJA City of Palayan INVITATION TO BID FOR  PRINTING OF SELF-LEARNING MODULES (GRADE 5) August 7, 2020 1.	The Provincial Government of Nueva Ecija (PGNE), through the Special Education Fund (SEF), intends to </t>
  </si>
  <si>
    <t xml:space="preserve"> 30	bags	Cement	 	  20	kls	Nylon Line                                   3	gals	Vulcaseal	 	  3	pcs	Red Oxide	 	  4	gals	Thinner	 	  3	tins	Latex Gloss Paints	  4	sets	Flourescent Lamp w/ housing 3	pcs	Padlock H. D	  2	tins	Quick Dry Enamel Paint	  12	pcs	P</t>
  </si>
  <si>
    <t xml:space="preserve"> Republic of the Philippines PROVINCE OF NUEVA ECIJA City of Palayan INVITATION TO BID FOR  PRINTING OF SELF-LEARNING MODULES (GRADE 3) August 7, 2020 1.	The Provincial Government of Nueva Ecija (PGNE), through the Special Education Fund (SEF), intends to </t>
  </si>
  <si>
    <t xml:space="preserve"> 1 LOT FABRICATION/INSTALLATION OF COUNTER TABLE DIVIDER (GLASS OR ACRULIC) Counter Area: 2 sets Front: H=89cm L=245cm W=62.5cm (side) x 2, (C-Type) Table 1 Area 1 set H:89cm L=152cm W=62.5cm (side), (L-Type)   Guard Area 1 set H=89cm L=156cm W=83cm  full </t>
  </si>
  <si>
    <t xml:space="preserve"> TRAINING MATERIALS  FOR BPP NC II TWSP</t>
  </si>
  <si>
    <t xml:space="preserve"> Republic of the Philippines PROVINCE OF NUEVA ECIJA City of Palayan -o0o- Invitation to Bid for  CONSTRUCTION OF MULTI-PURPOSE FACILITY at Villaflores Elementary School, Villaflores, Cuyapo, Nueva Ecija August 7, 2020 1.	The Provincial Government of Nueva</t>
  </si>
  <si>
    <t xml:space="preserve"> PURCHASE OF COMMON AND NON-COMMON SUPPLIES</t>
  </si>
  <si>
    <t xml:space="preserve"> Republic of the Philippines Province of Batangas MUNICIPALITY OF ALITAGTAG INVITATION TO BID FOR PURCHASE AND INSTALLATION OF STREETLIGHTS USING LED LIGHTS AT MUNLAWIN, ALITAGTAG, BATANGAS The Municipal Government of Alitagtag through the General Fund –An</t>
  </si>
  <si>
    <t xml:space="preserve"> PROCUREMENT OF MEDICAL SUPPLIES</t>
  </si>
  <si>
    <t xml:space="preserve"> Earthworks, Bridge Construction, Slope Protection Structure, Miscellaneous</t>
  </si>
  <si>
    <t xml:space="preserve"> Construction of Canal and Concreting of Road</t>
  </si>
  <si>
    <t xml:space="preserve"> Republic of the Philippines Province of Quezon Municipality of Atimonan Barangay Zone IV Poblacion Project Reference Number: 20-08-13s Name of the Project:  Supply and Delivery of Equipment for Day Care Center Location of the Project:  Barangay Zone IV Po</t>
  </si>
  <si>
    <t xml:space="preserve"> 1 l.s.	DEMOLITION OF SITE OBSTRUCTION 63 cu.m. STRUCTURE EXCAVATION 31.43 cu.m. GRAVEL BEDDING 2094.1 kgs REINFORCING STEEL BAR 24.08 cu.m. STRUCTURAL CONCRETE 56.4	sq.m. MASONRY UNITS  18.8	sq.m. CEMENT PLASTER FINISH 518.5 SQ.M. REINFORCED CONCRETE FLOO</t>
  </si>
  <si>
    <t xml:space="preserve"> Installation of CCTV Cameras</t>
  </si>
  <si>
    <t xml:space="preserve"> 10 feet long 24 inches width 3 steel layer bench</t>
  </si>
  <si>
    <t xml:space="preserve"> PROCUREMENT OF GENERATOR SET</t>
  </si>
  <si>
    <t xml:space="preserve"> 1  LOT Services of a Provider for Online Customized or Off-the-Shelf Courses (for asynchronous learning) on Introduction to Digital Technology  -In accordance with the Technical Specifications  ABC: Php 1,000,000.00  NOTE: Please sign all pages of the Tec</t>
  </si>
  <si>
    <t xml:space="preserve"> Republic of the Philippines                   Department of Health	       CENTRAL OFFICE BIDS AND AWARDS COMMITTEE  INVITATION TO BID FOR THE PROCUREMENT OF ADDITIONAL SERVICES FOR BROKERAGE  IB NO. 2020-233 1.	The Department of Health (DOH), through the </t>
  </si>
  <si>
    <t xml:space="preserve"> REQUEST FOR QUOTATION ON THE SUPPLY OF LABOR SERVICES, SUPPLIES AND MATERIALS FOR THE INSTALLATION OF THE 5kW GRID-TIED SOLAR INVERTER FOR THE REHABILITATION OF SCREENHOUSE AT BPI-DAVAO NCRDPSC, BAGO OSHIRO, DAVAO CITY  1. The Bureau of Plant Industry-Dav</t>
  </si>
  <si>
    <t xml:space="preserve"> INVITATION TO BID FOR SUPPLY AND DELIVERY OF 1 UNIT MULTI-PURPOSE VEHICLE 1.	The Municipal Government of Lal-lo, through the FY 2020 General Fund intends to apply the sum of One Million Two Hundred Thousand Pesos (Php 1,200,000.00) being the Approved Budg</t>
  </si>
  <si>
    <t xml:space="preserve"> Office Supplies, School Supplies and Repair</t>
  </si>
  <si>
    <t xml:space="preserve"> 264	piece	soap	 99	piece	paracetamol	 100	piece	dicycloverine	 100	piece	Vitamin C	 17	bot	alcohol	 72	piece	loperamide	 57	piece	asstd. Cartolina	 21	piece	transparent tape	 21	ream	bond paper long	 22	piece	marker pen	 22	bot	marker ink	 5	bot	printer i</t>
  </si>
  <si>
    <t xml:space="preserve"> PROCUREMENT OF GREENHOUSE MATERIALS (TUNNEL TYPE GREENHOUSE/NETHOUSE W/ INSTALLATION AND DELIVERY)</t>
  </si>
  <si>
    <t xml:space="preserve"> 1. Module printed in legal (copy) bond papers 2. Sorted and binded per subject 3. Sorted and binded per grade level 4  It must be pack in a safe containers.</t>
  </si>
  <si>
    <t xml:space="preserve"> MOOE - BCES</t>
  </si>
  <si>
    <t xml:space="preserve"> 5 roll Laboratory Mat (Absorbent Liner, 20" x 24"), etc.          x-x-x-x-x</t>
  </si>
  <si>
    <t xml:space="preserve"> 1 PC MOTOR CYCLE</t>
  </si>
  <si>
    <t xml:space="preserve"> 1 lot Labor and Materials for the Fabrication of 12 units of Fry Trough with Dimension of 8' x 2' x 1', base height of 2' Materials needed: 12 pcs. Stainless Sheet, 4' x 8' x 1.2mm (SS - 304 Mirror Type); 12 pcs. Flange, Stainless - 2 1/2" Ø; 28 pcs. Angl</t>
  </si>
  <si>
    <t xml:space="preserve"> The Department of Agriculture invites interested suppliers to submit quotations/proposals for the hereunder requirement: 9	units     RADIO HANDHELD TRANSCEIVER RADIO HANDHELD TRANSCEIVER - PHP 67,500.00 Specifications: General Frequency range Tx 144-148 M</t>
  </si>
  <si>
    <t xml:space="preserve"> Qty	Unit of Issuance	DESCRIPTION 		 160,000	pc	       Packaging materials: Food Grade plastic sachets 200ml Includes Freight and Handling from the origin to PCC at MLPC, Kalawit, Zamboanga del Norte **************</t>
  </si>
  <si>
    <t xml:space="preserve"> Republic of the Philippines PROVINCE OF SOUTHERN LEYTE BIDS AND AWARDS COMMITTEE                                                          INVITATION TO BID Invitation to Bid for the Supply/Delivery &amp; Installation of Brand New Air Condition Units (19 Units</t>
  </si>
  <si>
    <t xml:space="preserve"> REPAIR AND MAINTENANCE- MARKET (IMPROVEMENT OF MEAT SECTION)</t>
  </si>
  <si>
    <t xml:space="preserve"> INVITATION TO BID FOR  Procurement and Delivery of Materials for the Reproduction of Modules PB No. 2020-08-0053 1.	The Department of Education, Division of El Salvador City, through the General Appropriations Act CY 2020 intends to apply the sum of One M</t>
  </si>
  <si>
    <t xml:space="preserve"> 3 bottles 500 ml Joy Dishwashing  10 pcs Floor mop  2 pcs Lysol big 12 pcs bath soap 24 pcs Bathroom Tissue 14 pcs hand washing soap 4 pcs glade  2 pcs pledge 40 pcs alcohol 500 ml 3 gallons disinfectant 20 reams bond paper long 10 sets Epson Ink 1 roll p</t>
  </si>
  <si>
    <t xml:space="preserve"> Straight Contract for Construction of Farm to Market Road See attached link/Url under OTHER INFORMATION BOX</t>
  </si>
  <si>
    <t xml:space="preserve"> Republic of the Philippines Province of Leyte Municipality of Mahaplag BARANGAY MABUNGA Invitation to bid for the Procurement of Materials for the Construction of Filter Tank 1. The Barangay Mabunga of Mahaplag, Leyte, through the Financial Assistance int</t>
  </si>
  <si>
    <t xml:space="preserve"> Invitation to Bid for the Construction of Protection Works  at Barangay Dalaya 	 1.	The Municipal Government of Lal-lo, through the 20% Development Fund intends to apply the sum of One Million One Hundred Eighty Thousand Pesos (Php 1,180,000.00) being the</t>
  </si>
  <si>
    <t xml:space="preserve"> Please see attached bid documents</t>
  </si>
  <si>
    <t xml:space="preserve"> Republic of the Philippines Province of Guimaras OFFICE OF THE BIDS AND AWARDS COMMITTEE INVITATION TO BID FOR    SUPPLY AND DELIVERY OF VEHICLE PARTS AND ACCESSORIES Bid Ref. No. 2020-07-439 1.	The Province of Guimaras , through the 2020 General Fund (MO</t>
  </si>
  <si>
    <t xml:space="preserve"> INVITATION TO BID FOR THE SUPPLY AND DELIVERY OF CONSTRUCTION SUPPLY   1.	The City of Iloilo, through the General Fund intends to apply the sum of Nine Hundred Ten Thousand Seven Hundred Ninety-One Pesos Twenty-Five Centavos (P910,791.25) being the Approv</t>
  </si>
  <si>
    <t xml:space="preserve"> REQUEST FOR QUOTATION (RFQ) SUPPLY AND DELIVERY OF GLASSWARE UNDER EMB-ERLSD-ELSS-INORGANICS LABORATORY UNIT RFQ NO 2020-0540-EMB-S-ERLSD-ELSS GLASSWARE (3rd) 1.	The Department of Environment and Natural Resources – Environmental Management Bureau (DENR-E</t>
  </si>
  <si>
    <t xml:space="preserve"> 1,204 reams A4 Substance 20 bond paper</t>
  </si>
  <si>
    <t xml:space="preserve"> ITEMS: 4 UNITS COSTUMER PREMISES EQUIPMENT WITH DEDICATED MANAGEMENT RADIO Dimension:358x271.95x272.5mm; Weight: Without mount 800g with 900g: Powe Supply:24V,0.3A Gigabit PoE Adapter, Max Power Consumption; 7W; Power, Method: Passice PoE; Processor Specs</t>
  </si>
  <si>
    <t xml:space="preserve"> see attached bid docs</t>
  </si>
  <si>
    <t xml:space="preserve"> SMARTPHONE,WATERPROOF VIDEO CAMERA, VIDEO CAMERA EXTENSION POLE, SD CARD</t>
  </si>
  <si>
    <t xml:space="preserve"> Rental for 2 events: August 19, 2020 - 5 units August 28, 2020 - 5 units</t>
  </si>
  <si>
    <t xml:space="preserve"> Republic of the Philippines PROVINCE OF ZAMBOANGA DEL NORTE Municipality of Sibutad BIDS AND AWARDS COMMITTEE AUGUST 6, 2020 INVITATION TO BID The Local Government Unit of Sibutad, Zamboanga del Norte under P.R. No.GFP100-2020-07-054 dated JULY 9, 2020 wi</t>
  </si>
  <si>
    <t xml:space="preserve"> Republic of the Philippines Province of Guimaras OFFICE OF THE BIDS AND AWARDS COMMITTEE INVITATION TO BID FOR    SUPPLY AND DELIVERY OF MEDICAL SUPPLIES Bid Ref. No. 2020-07-422 1.	The Province of Guimaras , through the Medical, Dental, Laboratory Expens</t>
  </si>
  <si>
    <t xml:space="preserve"> INVITATION TO BID FOR THE SUPPLY AND DELIVERY OF OFFICE EQUIPMENT   1.	The City of Iloilo, through the Capital Outlay intends to apply the sum of Eighty-Two Thousand Two Hundred Pesos (P82,200.00) being the Approved Budget for the Contract (ABC) to paymen</t>
  </si>
  <si>
    <t xml:space="preserve"> 3 units = 4-wheel tractor SPECIFICATIONS: Engine: 40 HP; 3 cylinder; direct injection, vertical, watercooled, 4 cycle diesel; 40 ltr fuel tank capacity Dimension: 2,920mm length; 1,422mm width; 1,610 wheel base; 355mm min ground clearance; tire size: 8-16</t>
  </si>
  <si>
    <t xml:space="preserve"> Republic of the Philippines Province of Guimaras OFFICE OF THE BIDS AND AWARDS COMMITTEE INVITATION TO BID FOR    SUPPLY AND DELIVERY OF SURGICAL NEEDLE HOLDER AND DOG FOOD Bid Ref. No. 2020-07-440 1.	The Province of Guimaras , through the Special Purpose</t>
  </si>
  <si>
    <t xml:space="preserve"> Straight Contract for Construction of Farm to Market Road  See attached link/Url under OTHER INFORMATION BOX</t>
  </si>
  <si>
    <t xml:space="preserve"> Republic of the Philippines City of Cagayan de Oro BIDS AND AWARDS COMMITTEE Invitation to Bid  for Concrete Paving of Road with Drainage at Purok XI, Tablon; SN 183 - 2020 1.	The City Government of Cagayan de Oro, through the Current Appropriation CY 202</t>
  </si>
  <si>
    <t xml:space="preserve"> Republic of the Philippines City of Cagayan de Oro BIDS AND AWARDS COMMITTEE Invitation to Bid  for Concrete Paving of Malasag Circumferential Road Cugman (Phase 4); SN 185 - 2020 1.	The City Government of Cagayan de Oro, through the Current Appropriation</t>
  </si>
  <si>
    <t xml:space="preserve"> Republic of the Philippines City of Cagayan de Oro BIDS AND AWARDS COMMITTEE Invitation to Bid  for Construction of Drainage System Along Ramon Chaves St. from Corrales to V. Roa St., Brgy. 30; SN 186 - 2020 1.	The City Government of Cagayan de Oro, throu</t>
  </si>
  <si>
    <t xml:space="preserve"> Republic of the Philippines 		MUNICIPALITY OF LEYTE LEYTE -oOo- INVITATION TO BID FOR THE REPAIR/IMPROVEMENT OF CIVIC CENTER (Brgy. Culasi, Leyte, Leyte) P.R No: LL-28-20 The Municipality of Leyte, through its Bids and Awards Committee intends to apply th</t>
  </si>
  <si>
    <t xml:space="preserve"> Invitation to Bid  For the Installation of Street Lighting System at Brgy. Hibao-an Norte, Mandurriao, Iloilo City 1.	The City of Iloilo, through the 20% Development Fund, CY2020 intends to apply the sum of Five Hundred Thousand Pesos (Php 500,000.00) bei</t>
  </si>
  <si>
    <t xml:space="preserve"> Republic of the Philippines									 Province of Iloilo									 MUNICIPALITY OF POTOTAN									 BIDS AND AWARDS COMMITTEE									 REQUEST FOR QUOTATION									 		Quotation No. 	G2020-08-005(NP-SV)						 		Reference PR No. 	100-20-07-14						 				Augus</t>
  </si>
  <si>
    <t xml:space="preserve"> Republic of the Philippines City of Cagayan de Oro BIDS AND AWARDS COMMITTEE Invitation to Bid  for Construction of Drainage at Bantiles Zone 1, Bugo; SN 187 - 2020 1.	The City Government of Cagayan de Oro, through the Continuing Appropriation CY 2019 - N</t>
  </si>
  <si>
    <t xml:space="preserve"> Rehabilitation of Multipurpose Building Extension</t>
  </si>
  <si>
    <t xml:space="preserve"> Invitation to Bid  For the Rehabilitation/Construction of Public Alley at Brgy. Sambag, Jaro, Iloilo City 1.	The City of Iloilo, through the 20% Development Fund, CY2020 intends to apply the sum of Five Hundred Thousand Pesos (Php 500,000.00) being the Ap</t>
  </si>
  <si>
    <t xml:space="preserve"> Invitation to Bid  For the Construction/Rehabilitation of Existing Drainage System at Brgy. Arguelles, Jaro, Iloilo City 1.	The City of Iloilo, through the 20% Development Fund, CY2019 intends to apply the sum of Five Hundred Thousand Pesos (Php 500,000.0</t>
  </si>
  <si>
    <t xml:space="preserve"> Invitation to Bid  For the Rehabilitation/Construction of Roads at Brgy. Dungon B, Jaro, Iloilo City 1.	The City of Iloilo, through the 20% Development Fund, CY2019 intends to apply the sum of Five Hundred Thousand Pesos (Php 500,000.00) being the Approve</t>
  </si>
  <si>
    <t xml:space="preserve"> Republic of the Philippines									 Province of Iloilo									 MUNICIPALITY OF POTOTAN									 BIDS AND AWARDS COMMITTEE									 REQUEST FOR QUOTATION									 		Quotation No. 	CW2020-08-003(NP-SV)						 		Reference PR No. 	100-20-07-24						 				Augu</t>
  </si>
  <si>
    <t xml:space="preserve"> Republic of the Philippines PROVINCE OF SOUTHERN LEYTE Municipality of San Juan BIDS AND AWARD COMMITTEE INVITATION TO BID FOR  Supply and Delivery of Medical, Dental and  Laboratory Supplies The Municipality of San Juan through the General Fund intends t</t>
  </si>
  <si>
    <t xml:space="preserve"> Republic of the Philippines 		MUNICIPALITY OF LEYTE LEYTE -oOo- INVITATION TO BID FOR THE CONSTRUCTION/REHAB. OF CONCRETE PAVEMENT (Brgy. Bachao, Leyte, Leyte) P.R No: LL-29-20 The Municipality of Leyte, through its Bids and Awards Committee intends to ap</t>
  </si>
  <si>
    <t xml:space="preserve"> Approved Budget: Php 672,000 1 CONTRACT  Consulting services in the development of a responsive internet based- Supplies and Asset Inventory Information System that comply with the Government Accounting and Auditing Manual of the Philippines to be used by</t>
  </si>
  <si>
    <t xml:space="preserve"> 334 liters Diesel Fuel</t>
  </si>
  <si>
    <t xml:space="preserve"> Invitation to Bid  For the Construction of Two (2) Storey Four (4) Classrooms Building with Demolition at Bakhaw Elementary School, Mandurriao, Iloilo City 1.	The City of Iloilo, through the SEF Capital Outlay CY2018 intends to apply the sum of Ten Millio</t>
  </si>
  <si>
    <t xml:space="preserve"> 1 set Desktop computer, 1 pc. computer table, 2 units printer, 4 sets epson ink, 4 units office table, 4 pcs. flash drive (128gb) 40 bxs. ballpen 12s/ box</t>
  </si>
  <si>
    <t xml:space="preserve"> 1,000 liters Diesel Fuel</t>
  </si>
  <si>
    <t xml:space="preserve"> Invitation to Bid  For the Construction of Two (2) Storey Ten (10) Classrooms Building at Sto. Niño Sur Elementary School, Arevalo, Iloilo City 1.	The City of Iloilo, through the SEF Capital Outlay CY2019 intends to apply the sum of Twenty Five Million Pe</t>
  </si>
  <si>
    <t xml:space="preserve"> Republic of the Philippines City of Cagayan de Oro BIDS AND AWARDS COMMITTEE Invitation to Bid  for Concrete Paving of Road at Grotto St., Bulua; SN 179 - 2020 1.	The City Government of Cagayan de Oro, through the Current Appropriation CY 2020 Non-Office:</t>
  </si>
  <si>
    <t xml:space="preserve"> Republic of the Philippines City of Cagayan de Oro BIDS AND AWARDS COMMITTEE Invitation to Bid  for Concrete Paving of Road at Caritas to Ecoverde Subd. with Drainage, Indahag; SN 181 - 2020 1.	The City Government of Cagayan de Oro, through the Current Ap</t>
  </si>
  <si>
    <t xml:space="preserve"> 12 pcs. 60x68 fixed glass w/ 1 3/4 x 3 rectangle tube analok on 1/4 clear,   9 pcs. 58" x 1 3/4 x 1 3/4sq. tube analok aluminum frame,   12 pcs. smoke tint 30" x 60"</t>
  </si>
  <si>
    <t xml:space="preserve"> SectionI. Invitation to Bid Republic of the Philippines Province of Misamis Occidental MUNICIPALITY OF PANAON Invitation to Bid for CONSTRUCTION OF MANPOWER DEVELOPMENT CENTER 									August 4, 2020 1.	The Municipality of Panaon, Misamis Occidental,utili</t>
  </si>
  <si>
    <t xml:space="preserve"> A. Materials Solar Lamps (60 watts) Lampposts (size 4")</t>
  </si>
  <si>
    <t xml:space="preserve"> Republic of the Philippines MUNICIPALITY OF BOLINAO Province of Pangasinan PROPOSED CONSTRUCTION OF LANDFILL PERIMETER FENCE &amp; DRAINAGE CANAL 1.	The LOCAL GOVERNMENT UNIT OF BOLINAO, PANGASINAN through the 20% Development Fund intends to apply an amount o</t>
  </si>
  <si>
    <t xml:space="preserve"> Republic of the Philippines City of Cagayan de Oro BIDS AND AWARDS COMMITTEE Invitation to Bid  for Construction of Bigaan River Flood Mitigation Structure (Cugman Phase 2); SN 184 - 2020 1.	The City Government of Cagayan de Oro, through the Current Appro</t>
  </si>
  <si>
    <t xml:space="preserve"> 1.	Mouse, Optical, USB connection type		 	pc			3 2.	External SSD (2 TB)					        pc			2 3.	Computer Keyboard					        pc			3 4.	3M Reflex Hard Hat					        pc			12 5.	Reflective Safety Vest					        pc			12 6.	Long Sleeves						        pc			18</t>
  </si>
  <si>
    <t xml:space="preserve"> RFQ No. 2020-08-30              REQUEST FOR QUOTATION Application of Termites Control PR# 2020-07-282 The National Irrigation Administration – Upper Pampanga River Integrated Irrigation Systems (UPRIIS) Main Office hereinafter referred to as the “Purchase</t>
  </si>
  <si>
    <t xml:space="preserve"> 1.	Trip Meter		 				        pc			1 2.	External SSD (2 TB)					pc			2 3.	Mouse, Optical, USB connection type		pc			5 4.	Jacket							pc			15 5.	Long Sleeves						pc			12 6.	Reflective Safety Vest					pc			8 7.	Cap							        pc			18 8.	Raincoat						   </t>
  </si>
  <si>
    <t xml:space="preserve"> Republic of the Philippines Department of Education National Capital Region Division of Taguig City and Pateros Taguig Cluster IV UPPER BICUTAN ELEMENTARY SCHOOL Gen. Santos Ave., Upper Bicutan Elementary School BIDS AND AWARDS COMMITTEE REQUEST FOR QUOTA</t>
  </si>
  <si>
    <t xml:space="preserve"> * paper must be A4 80gsm * reproduction center must be located in Cagayan de Oro City area only * free delivery</t>
  </si>
  <si>
    <t xml:space="preserve"> Invitation to Bid  For the Construction of Two (2) Storey Eight (8) Classrooms Building at Hibao-an Elementary School, Mandurriao, Iloilo City 1.	The City of Iloilo, through the SEF Capital Outlay CY2019 intends to apply the sum of Nineteen Million Pesos </t>
  </si>
  <si>
    <t xml:space="preserve"> 50 bags chick grower feeds</t>
  </si>
  <si>
    <t xml:space="preserve"> Invitation to Bid for  	EXPANSION OF CONCRETE DRAINAGE CANAL 1.	The Barangay San Juan of Sta. Fe, Leyte through the Barangay General Fund CY  2020  intends to apply the sum of Two Hundred Thousand Pesos Only (Php200.000.00) being the Approved Budget for t</t>
  </si>
  <si>
    <t xml:space="preserve"> 1 unit Laptop; intel core i7-8750H; LCD 15'6 FH LED LCD; memory 8GB DDR4 2666MHZ Memory; storage 1000GB HDD; Graphics NVIDIA Geforce GTX 1050Ti w/ 4GB DDR5 dedicated VRAM; windows 10 home single language/ 2 pcs. external hardisk (1TB)/ 1 unit printer L519</t>
  </si>
  <si>
    <t xml:space="preserve"> 200 heads pullet &amp; 20 heads cockerel, 5 to 6 months old</t>
  </si>
  <si>
    <t xml:space="preserve"> Republic of the Philippines Province of Camarines Sur MUNICIPALITY OF BAAO INVITATION FOR NEGOTIATIONS SUPPLY AND DELIVERY OF MAINTENANCE PARTS OF L300 VAN 1. The LOCAL GOVERNMENT UNIT OF BAAO, through the Budget for the contract approved by the Sanggunia</t>
  </si>
  <si>
    <t xml:space="preserve"> Republic of the Philippines Province of Misamis Oriental Municipality of Lugait -oOo- INVITATION TO BID FOR THE PROCUREMENT OF  2-UNITS RISO MACHINE  AND  (INK &amp; MASTER ROLL) CONSUMABLES FOR THE USE LUGAIT DISTRICT UNDER LOCAL SCHOOL BOARD OF LOCAL GOVERN</t>
  </si>
  <si>
    <t xml:space="preserve"> Invitation to Bid Republic of the Philippines Barangay San Antonio, Ozamiz City Purchase and Installation of Solar Lights from Purok 1 to Purok 9 The Barangay San Antonio through its Bids and Awards Committee has applied for the bidding procedures for the</t>
  </si>
  <si>
    <t xml:space="preserve"> As per attached Summary &amp; RFQ</t>
  </si>
  <si>
    <t xml:space="preserve"> Republic of the Philippines PROVINCE OF ZAMBOANGA DEL NORTE Municipality of Sibutad BIDS AND AWARDS COMMITTEE AUGUST 6, 2020 INVITATION TO BID The Local Government Unit of Sibutad, Zamboanga del Norte under P.R. No. GFP100-2020-07-058 dated JULY 13, 2020 </t>
  </si>
  <si>
    <t xml:space="preserve"> Republic of the Philippines PROVINCE OF ZAMBOANGA DEL NORTE Municipality of Sibutad BIDS AND AWARDS COMMITTEE AUGUST 6, 2020 INVITATION TO BID The Local Government Unit of Sibutad, Zamboanga del Norte under P.R. No.300-2020-07-009 dated JULY 9, 2020 with </t>
  </si>
  <si>
    <t xml:space="preserve"> Invitation to Bid  For the Construction/Rehabilitation/Improvement of Multi-Purpose Hall at Brgy. North Baluarte, Molo, Iloilo City 1.	The City of Iloilo, through the 20% Development Fund, CY2020 intends to apply the sum of Three Million Six Hundred Thous</t>
  </si>
  <si>
    <t xml:space="preserve"> Invitation to Bid Republic of the Philippines Barangay San Antonio, Ozamiz City the construction of the Alternative Learning System(ALS) building Phase II The Barangay San Antonio through its Bids and Awards Committee has applied for the bidding procedure</t>
  </si>
  <si>
    <t xml:space="preserve"> 1.	Skin Protector			 			pcs			2 2.	Eye Protector						pcs			2 3.	Foot Protector						pcs			2 4.	Steel Multi-Gym Machine				pc			1</t>
  </si>
  <si>
    <t xml:space="preserve"> Construction of Level II Spring Development at Sitio Villa, Diviguen, Nalimattan, Barangay Minanga, San Mariano, Isabela.</t>
  </si>
  <si>
    <t xml:space="preserve"> BACOLOD BRANCH - Addressable Fire Alarm System (Fire Alarm System/Smoke Detector) ABC Php 420,000.00 Specifications attached.</t>
  </si>
  <si>
    <t xml:space="preserve"> Invitation to Re-bid ITB No. 2020 - 33 1.The Dr. Jose Fabella Memorial Hospital, through the Hospital Income intends to apply the sum of Fifteen Million Five Hundred Thousand pesos (Php 15,500,000.00) being the Approved Budget for the Contract (ABC) to pa</t>
  </si>
  <si>
    <t xml:space="preserve"> Republic of the Philippines MUNICIPALITY OF BOLINAO Province of Pangasinan PROPOSED CONCRETING OF LOCAL ACCESS ROAD  (GALAM-BERSANG ROAD: STA 00+300 TO STA 00+495) 1.	The LOCAL GOVERNMENT UNIT OF BOLINAO, PANGASINAN through the 20% Development Fund intend</t>
  </si>
  <si>
    <t xml:space="preserve"> Republic of the Philippines City of Cagayan de Oro BIDS AND AWARDS COMMITTEE Invitation to Bid  for Construction of Roads at Soldier’s Hill Bulua to Camp Evangelista; SN 180 - 2020 1.	The City Government of Cagayan de Oro, through the Current Appropriatio</t>
  </si>
  <si>
    <t xml:space="preserve"> Republic of the Philippines PROVINCE OF ZAMBOANGA DEL NORTE Municipality of Sibutad BIDS AND AWARDS COMMITTEE AUGUST 6, 2020 INVITATION TO BID The Local Government Unit of Sibutad, Zamboanga del Norte under P.R. No.GFP100-2020-07-061 dated JULY 15, 2020 w</t>
  </si>
  <si>
    <t xml:space="preserve"> Assorted const. materials &amp; supplies</t>
  </si>
  <si>
    <t xml:space="preserve"> RFQ No. 2020-08-32              REQUEST FOR QUOTATION Dismantling of Trylon Tower PR# 2020-07-284 The National Irrigation Administration – Upper Pampanga River Integrated Irrigation Systems (UPRIIS) Main Office hereinafter referred to as the “Purchaser”, </t>
  </si>
  <si>
    <t xml:space="preserve"> 100 pcs. 9W LED bulb, 100 sets T8 LED tube, 50 pcs. switch</t>
  </si>
  <si>
    <t xml:space="preserve"> MUNICIPALITY OF BALETE BIDS AND AWARDS COMMITTE THE MUNICIPALITY OF BALETE THRU BIDS AND AWARDS COMMITEE INVITES ALL SUPPLIERS/BIDDERS/CONTRACTORS TO APPLY FOR ELIGIBILITY SCREENING AND IF SUBSEQUENTLY FOUND ELIGIBLE FOR THE PROCUREMENT REQUEST FOR THE PR</t>
  </si>
  <si>
    <t xml:space="preserve"> Republic of the Philippines MUNICIPALITY OF BUNAWAN, AGUSAN DEL SUR Invitation to Bid/ Instruction to Bidders PURCHASE OF TWO UNITS OF PNP PATROL VEHICLE August 6, 2020 1.	The Municipality of Bunawan, now invite bids for Purchase of Two Units of PNP Patro</t>
  </si>
  <si>
    <t xml:space="preserve"> Supply and Delivery of Electrical Materials and Supplies for Installation of Solar Street Lights Additional (All Sitio's)</t>
  </si>
  <si>
    <t xml:space="preserve"> Republic of the Philippines						 Province of Bukidnon						 Municipality of Lantapan						 						 INVITATION TO BID FOR THE SUPPLY &amp; INSTALLATION OF STREET LIGHTS						 AT POBLACION, BALILA HIGHWAY ROAD AND P-3 &amp; P-5 BALILA (2ND BID)						 						 1	The L</t>
  </si>
  <si>
    <t xml:space="preserve"> Republic of the Philippines PROVINCE OF SAMAR Municipality of Pinabacdao Invitation to Bid Construction of Poblacion 1 Multi-Purpose Hall (Phase 2) Barangay Poblaion 1, Pinabacdao Samar 1. The BARANGAY LOCAL GOVERMENT UNIT of   Pinabacdao Samar, through t</t>
  </si>
  <si>
    <t xml:space="preserve"> PROCUREMENT OF ICT EQUIPMENT TO VARIOUS OFFICES Lot 1 - Procurement of ICT Equipment for MPDC Office (Laptop, Computer, Portable DVD Rewriter/Burner External, Digital Voice Recorder Lot 2 - Procurement of ICT Equipment for Budget Office (Desktop)			 Lot 3</t>
  </si>
  <si>
    <t xml:space="preserve"> The National Irrigation Administration-Regional Office 12, Villarica, Midsayap, Cotabato, through the Fund 501 has the Approved Budget for the Contract (ABC) amounting to ONE HUNDRED TWENTY TWO THOUSAND FOUR HUNDRED EIGHTY TWO PESOS &amp; 01/100 (P  122,482.0</t>
  </si>
  <si>
    <t xml:space="preserve"> Ligaya, Gabaldon, Nueva Ecija							Contract reference number:  								 	Name of the Contract:  Purchase of Motorcycle w/ Kolong Kolong Standard Form Number: SF-GOOD-05				     		 Location of the Contract: Brgy. Ligaya, Gabaldon, Nueva Ecija Revised on: </t>
  </si>
  <si>
    <t xml:space="preserve"> Republic of the Philippines DEPARTMENT OF PUBLIC WORKS AND HIGHWAYS ILOILO 4TH  DISTRICT ENGINEERING OFFICE REGIONAL OFFICE VI Bolong Este, Sta. Barbara, Iloilo INVITATION   TO   BID   FOR   THE   SUPPLY/DELIVERY OF PRINTER INK OF HP DESIGNJET T2600 FOR U</t>
  </si>
  <si>
    <t xml:space="preserve"> INVITATION TO BID FOR THE CONTINUING CONSTRUCTION OF TANOD OUTPOST ANS PRODUCTION CENTERD OF BARANGAY BARROC, TIGBAUAN, ILOILO</t>
  </si>
  <si>
    <t xml:space="preserve"> Republic of the Philippines Province of Masbate MUNICIPALITY OF CATAINGAN BARANGAY NADAWISAN   			                                                                                              AUGUST 6, 2019 INVITATION TO APPLY FOR ELIGIBILITY AND TO BID T</t>
  </si>
  <si>
    <t xml:space="preserve"> INVITATION TO BID 1.	The Province of Cebu through the 2019 General Fund, intends to apply the sum of THIRTEEN MILLION NINETY-TWO THOUSAND PESOS (Php13,092,000.00) being the Approved Budget for the Contract (ABC) to payments under the contract for the CONS</t>
  </si>
  <si>
    <t xml:space="preserve"> INVITATION TO BID The Municipality of Pagsanjan, through its Bids and Awards Committee (BAC), interested contractors registered to apply for eligibility and if found eligible, to bid for the hereunder contract: 	 Name of Contract: 	Installation of 3 Phase</t>
  </si>
  <si>
    <t xml:space="preserve"> Supply and Delivery of SDO-Makati Employees Identification Card Please see attached RFQ , PR and ID Layout/Design</t>
  </si>
  <si>
    <t xml:space="preserve"> Please quote your lowest price inclusive of VAT on the item/s listed below, subject to the Terms and Conditions of this RFQ, and submit your quotation duly signed by your representative not later than 11 August  2020 at 306th Contracting Office, NSFA, Pan</t>
  </si>
  <si>
    <t xml:space="preserve"> Republic of the Philippines					 Province of Bukidnon					 Municipality of Lantapan					 					 INVITATION TO BID FOR THE SUPPLY &amp; INSTALLATION OF STREET					 LIGHTS IN VARIOUS PUROKS, BARANGAYS AND SITIOS [2ND BID]					 					 1	The Local Government Unit o</t>
  </si>
  <si>
    <t xml:space="preserve"> ITEM I: INSTALLATION OF SOLAR STREETLIGHT           1. REMOVAL OF OBSTRUCTION           2. EXCAVATION WORKS           3. INSTALLATION OF STEEL POST           4. ELECTRICAL WORKS           5. BACKFILLING</t>
  </si>
  <si>
    <t xml:space="preserve"> INVITATION TO BID FOR THE SUPPLY AND DELIVERY OF CLINICAL WEIGHING SCALE   1.	The City of Iloilo, through the 20% Development Fund CY 2020 intends to apply the sum of One Million Four Hundred Ninety-Eight Thousand Five Hundred Pesos (P1,498,500.00) being </t>
  </si>
  <si>
    <t xml:space="preserve"> QTY	UNIT OF ISSUE	ITEM DESCRIPTION 		BLOOD LETTING ACTIVITY 35	pax	LUNCH: 		- fish fillet              - fruits                  - rice                     - mineral water 		- sweet and sour and meatballs               - vegetable     C4 35	pax	SNACKS AM:</t>
  </si>
  <si>
    <t xml:space="preserve"> Ligaya, Gabaldon, Nueva Ecija							Contract reference number:  								 	Name of the Contract: Installlation of Solar Lights Standard Form Number: SF-GOOD-05				     		 Location of the Contract: Brgy. Ligaya, Gabaldon, Nueva Ecija Revised on: May 24, 200</t>
  </si>
  <si>
    <t xml:space="preserve"> PLEASE SEE ATTACHED COMPONENTS</t>
  </si>
  <si>
    <t xml:space="preserve"> Supply and Delivery of the following items: 40 bags Portland Cement 7 cu.m. Sand and Gravel 8 cu.m. Boulders</t>
  </si>
  <si>
    <t xml:space="preserve"> Republic of the Philippines Province of Davao del Sur BARANGAY DARONG  INVITATION TO BID  PURCHASE OF ONE UNIT L300 CAB VEHICLE 2.2L DIESEL, 5-SPEED MANUAL W/LTO REGISTRATION (ITB No. 03-Goods-2019) 1.	The Local Government Unit of Barangay Darong, Sta. Cr</t>
  </si>
  <si>
    <t xml:space="preserve"> for the use of the Sagguniang Kabataan office 5 in 1 Printer</t>
  </si>
  <si>
    <t xml:space="preserve"> Republic of the Philippines Province of Cagayan Municipality Of Ballesteros BARANGAY MABUTTAL EAST INVITATION TO BID FOR “Procurement of Various Materials for the Construction of Sangguniang Kabataan Hall” 1.	The Barangay Government of Mabuttal East, Ball</t>
  </si>
  <si>
    <t xml:space="preserve"> Slab Second Flooring &amp; Wall partition</t>
  </si>
  <si>
    <t xml:space="preserve"> Pls see attached Bidding Documents.</t>
  </si>
  <si>
    <t xml:space="preserve"> Republic of the Philippines Province of Cagayan Municipality Of Ballesteros BARANGAY MABUTTAL EAST INVITATION TO BID FOR “Procurement of Various Materials for the Construction of Solar Dryer @ Zone 1” 1.	The Barangay Government of Mabuttal East, Ballester</t>
  </si>
  <si>
    <t xml:space="preserve"> INVITATION TO BID Procurement of One (1) Unit Passenger Van  in Batangas State University, JPLPC-Mlvar The Batangas State University, through the Supplemental 2019 intends to apply the sum of One Million Five Hundred Thousand Pesos only (Php 1,500,00.00) </t>
  </si>
  <si>
    <t xml:space="preserve"> CONT. OF IBULAO CANAL LINING</t>
  </si>
  <si>
    <t xml:space="preserve"> Installation and Repair of St. Lighting</t>
  </si>
  <si>
    <t xml:space="preserve"> Please download the attached file (Associated Components) for the Bid Document.</t>
  </si>
  <si>
    <t xml:space="preserve"> The Department of Education (DepEd)- Division of La Carlota City through its Bids and Awards Committee (BAC) now invites quotations for the above mentioned goods. Quotations received that exceed the ABC shall be rejected.                                  </t>
  </si>
  <si>
    <t xml:space="preserve"> Section I. Invitation to Bid Republic of the Philippines Province of Romblon INVITATION TO BID FOR  Procurement of Medicines for use of Romblon Provincial Hospital, Odiongan, Romblon. August 06, 2020 1.	The Provincial Government of Romblon, through the  P</t>
  </si>
  <si>
    <t xml:space="preserve"> Ergonomic Office Chair			 	pc			12</t>
  </si>
  <si>
    <t xml:space="preserve"> Republic of the Philippines City of Cagayan de Oro BIDS AND AWARDS COMMITTEE Invitation to Bid  for Concrete Paving of Balubal CDORSHIP 4 Roads with Drainage (Phase 2); SN 178 - 2020 1.	The City Government of Cagayan de Oro, through the Current Appropriat</t>
  </si>
  <si>
    <t xml:space="preserve"> INVITATION TO BID The DPWH Isabela 4th District Engineering Office through its Bids and Awards Committee (BAC), invites contractors to submit bids for the following Contract: Procurement ID / Contract ID			: 20BH0161 Contract Name/                        </t>
  </si>
  <si>
    <t xml:space="preserve"> supply and delivery of 4 units laptop</t>
  </si>
  <si>
    <t xml:space="preserve"> Name of the Procuring Entity: LGU LILA					Project Reference Number    :04-0151-20			06-0252-20	 					Name of the Project             :			PROCUREMENT OF ELECTRICAL MAT.	 								FOR MUNICIPAL RESERVOIR	 					Location of the Project         :			LGU-Lila	 S</t>
  </si>
  <si>
    <t xml:space="preserve"> 20GF00002 - Purchase/Installation of Weighbridge Equipment for Polangui Weighbridge Station, Sorsogon ATOME Station and Camarines Norte ATOME Station, (PR No. 2020-07-151 dated 7/15/2020), DPWH Regional Office No. V, Rawis, Legazpi City</t>
  </si>
  <si>
    <t xml:space="preserve"> Please quote your lowest price inclusive of VAT on the item/s listed below, subject to the Terms and Conditions of this RFQ, and submit your quotation duly signed by your representative not later August 12, 2020 at 10:00 AM at Bids and Awards Committee at</t>
  </si>
  <si>
    <t xml:space="preserve"> Sealed Quotation - One (1) Lot - Supply, Delivery and Installation of Various Furniture for Pag-IBIG Fund Calamba Hub &amp; Cabuyao MSO</t>
  </si>
  <si>
    <t xml:space="preserve"> Section I. Invitation to Bid Republic of the Philippines Province of Romblon INVITATION TO BID FOR  Procurement of Drugs for use of Romblon Provincial Hospital, Odiongan, Romblon. August 06, 2020 1.	The Provincial Government of Romblon, through the  PDRRM</t>
  </si>
  <si>
    <t xml:space="preserve"> FURNISHING AND DELIVERY OF MATERIALS FOR THE CONSTRUCTION OF 5 UNITS BARANGAY MATERIAL RECOVERY FACILITIES</t>
  </si>
  <si>
    <t xml:space="preserve"> Clearing &amp; grubbing, pipe culvert(installation, embankment slope protection w/ headwall, borrow fill, base coarse preparation, PCCP.</t>
  </si>
  <si>
    <t xml:space="preserve"> SUPPLY AND DELIVERY OF LAPTOP, PRINTER AND PRINTER INK  FOR DEP ED SARRAT ILOCOS NORTE 1.	The Municipality of Sarrat, Ilocos Norte, through the Special Educational Fund intends to apply the sum of  Eight Hundred Fifty Thousand Two Hundred Ninety Four Peso</t>
  </si>
  <si>
    <t xml:space="preserve"> 1.Desktop (Intel Core i5, Microsoft windows 10 (2) units Professional, 4 GB RAM 1TB internal HDD 24" LCD monitor HD, webcam, headset, mouse &amp; keyboard 2.Printer, (Print copy &amp; scan, wireless SO standard print speed (1) unit (A4): up to 8.8ipm (mono) / 5.0</t>
  </si>
  <si>
    <t xml:space="preserve"> Heavy Duty Xerox Machine</t>
  </si>
  <si>
    <t xml:space="preserve"> Delivery should  strictly comply with the specifications at RFQ. In case winner for the lowest quotation would be a first time supplier to this Water District, submission of sample is required.</t>
  </si>
  <si>
    <t xml:space="preserve"> August 5, 2020 REQUEST FOR QUOTATION (RFQ) MULTI-FUNCTIONAL PRINTER/COPIER MACHINE WITH AUTOMATIC DOCUMENT FEEDER 1.	The Batangas Medical Center hereinafter referred to as the “Purchaser” now request for submission of price proposal for the procurement of</t>
  </si>
  <si>
    <t xml:space="preserve"> Excavation, concrete works, masonry works, steel works, electrical works, painting works.</t>
  </si>
  <si>
    <t xml:space="preserve"> please see Request for Quotation and Technical Specifications</t>
  </si>
  <si>
    <t xml:space="preserve"> REQUEST FOR QUOTATION For Negotiated Procurement thru Small Value Procurement under Sec. 53.9 of the 2016 Revised IRR of RA 9184 Quotation No.:  2020-07-247(2ND QUOTE) Date: August 5, 2020 PR No.:  CONSOLIDATED PRs – PURESAND PR Date: CONSOLIDATED PRs POW</t>
  </si>
  <si>
    <t xml:space="preserve"> 20 cans eggplant, 10 cans squash, 10 cans tambuli, 10 kls. kangkong, 10 kls. okra</t>
  </si>
  <si>
    <t xml:space="preserve"> Invitation to Bid  For the Construction/Rehabilitation/Repair/Widening of Roads at Brgy. Tabuc Suba (Hechanova Subdivision), Jaro, Iloilo City 1.	The City of Iloilo, through the 20% Development Fund CY2020 intends to apply the sum of Three Million Two Hun</t>
  </si>
  <si>
    <t xml:space="preserve"> Invitation to Bid  For the Construction of Two (2) Storey Ten (10) Classrooms Building at Jalandoni Memorial Elementary School, Lapuz, Iloilo City 1.	The City of Iloilo, through the SEF Capital Outlay CY2020 intends to apply the sum of Twenty Eight Millio</t>
  </si>
  <si>
    <t xml:space="preserve"> Republic of the Philippines City of Cagayan de Oro BIDS AND AWARDS COMMITTEE Invitation to Bid  for Concrete Paving of Melecia Homes Subd. Road with Drainage, Macasandig (Phase 3); SN 182 - 2020 1.	The City Government of Cagayan de Oro, through the Curren</t>
  </si>
  <si>
    <t xml:space="preserve"> Procurement of Infrastructure and Construction Supplies  RFQ No. 508</t>
  </si>
  <si>
    <t xml:space="preserve"> Section I. Invitation to Bid Republic of the Philippines Province of Romblon INVITATION TO BID FOR  Procurement of Medical Supplies for use of Romblon Provincial Hospital, Odiongan, Romblon. August 06, 2020 1.	The Provincial Government of Romblon, through</t>
  </si>
  <si>
    <t xml:space="preserve"> REPUBLIC OF THE PHILIPPINES DEPARTMENT OF PUBLIC WORKS AND HIGHWAYS ILOILO 4TH DISTRICT ENGINEERING OFFICE STA. BARBARA, ILOILO TEL. NO. 523 - 4557 FAX NO. 523 - 9340 BIDDING DOCUMENTS FOR PROCUREMENT ID/CONTRACT ID: 	20GI0099 CONTRACT NAME:   CONSTRUCTIO</t>
  </si>
  <si>
    <t xml:space="preserve"> INVITATION TO BID FOR THE SUPPLY AND DELIVERY OF ICT EQUIPMENT   1.	The City of Iloilo, through the Capital Outlay - General Fund CY 2020 intends to apply the sum of Three Million Five Hundred Thousand Four Hundred Sixty-Five Pesos (P3,500,465.00) being t</t>
  </si>
  <si>
    <t xml:space="preserve"> Republic of the Philippines Province of Romblon Municipality of Sta. Maria INVITATION TO BID FOR SUPPLY AND DELIVERY OF SCHOOL EQUIPMENT The Local Government Unit of  Sta. Maria, Romblon, through the MCPC AND MOOE-OMM FUnd of  2020  intends to apply the s</t>
  </si>
  <si>
    <t xml:space="preserve"> see attached file.</t>
  </si>
  <si>
    <t xml:space="preserve"> Lot 1- Various Const. Materials									 1	8'x8' Tarpaulin							1.00	Sheet	1,200.00 2	5- 2"x2"x12' Coco Lumber							20	bdft.	28.00 3	5- 2"x3"x12' Coco Lumber							30	bdft.	28.00 4	305-2X6X14 hardwood							4,270	bdft.	65.00 5	47-3X6X14 hardwood							9</t>
  </si>
  <si>
    <t xml:space="preserve"> Republic of the Philippines Department of Public Works and Highways OFFICE OF THE DISTRICT ENGINEER Catarman, Northern Samar 		Telephone No.: (055) 500-0559 Invitation to Bid For 1.	Contract ID 		: 20GIH0017       Contract Name 	: Supply and Delivery of O</t>
  </si>
  <si>
    <t xml:space="preserve"> Republic of the Philippines Province of Capiz Municipality of Mambusao REQUEST FOR QUOTATION BIDS AND AWARDS COMMITTEE 	        AUGUST 7, 2020      Date    	Please quote your lowest price on the items listed below, subject to the general conditions stated</t>
  </si>
  <si>
    <t xml:space="preserve"> Republic of the Philippines Province of Leyte Municipality of Hilongos INVITATION TO RE-BID FOR THE PROCUREMENT OF 1 UNIT SOFA-3 SEATERS 1.  The Local Government Unit of Hilongos, through GENERAL FUND-SUPPLEMENTAL BUDGET NO. 2020-05 intends to apply the s</t>
  </si>
  <si>
    <t xml:space="preserve"> 120 gal. Mineral Water refill &amp; 25 others</t>
  </si>
  <si>
    <t xml:space="preserve"> Welding rod, submersible pump, elbow, receptacle, etc</t>
  </si>
  <si>
    <t xml:space="preserve"> Procurement of Various Materials for Constructing Coffin of LGU Laak, Davao De Oro with an ABC of Php. 54,000.00</t>
  </si>
  <si>
    <t xml:space="preserve"> Procurement of BPSO Supplies and Materials</t>
  </si>
  <si>
    <t xml:space="preserve"> 1 UNIT/S TRANSIT MIXER - . - - MIXER TRUCK 10W; 5 CUBIC MIXING DRUM W/ KAYABA MAIN PUMP MOTOR; 10 WHEELERS; 8 CYLINDER DIESEL ENGINE; 380-420 HP; MANUAL TRANSMISSION; GOOD RUNNING CONDITION; Free Delivery</t>
  </si>
  <si>
    <t xml:space="preserve"> Surface preparation,105(1)2, base coarse preparation,201(1)a, PCCP, road shoulder.</t>
  </si>
  <si>
    <t xml:space="preserve"> Section I. Invitation to Bid Republic of the Philippines Province of Benguet MUNICIPALITY OF BOKOD BIDS AND AWARDS COMMITTEE INVITATION TO BID FOR PROCUREMENT OF MICRO-INFRA PROJECTS CLUSTER 09-2020 (MDF 2020), EKIP &amp; TIKEY, BOKOD, BENGUET 1.	The MUNICIPA</t>
  </si>
  <si>
    <t xml:space="preserve"> 150 bottle Alcohol 70% with moisturizer &amp; 17 others</t>
  </si>
  <si>
    <t xml:space="preserve"> Please see attached Request for Quotation (RFQ) in the Associated Components. Thank you very much</t>
  </si>
  <si>
    <t xml:space="preserve"> Republic of the Philippines Province of Leyte Municipality of Hilongos INVITATION TO RE-BID FOR THE PURCHASE OF 1 UNIT SPLIT TYPE AIRCON 1.  The Local Government Unit of Hilongos, through GENERAL FUND-SUPPLEMENTAL BUDGET NO. 2020-05 intends to apply the s</t>
  </si>
  <si>
    <t xml:space="preserve"> Please see attached Request for quotation.</t>
  </si>
  <si>
    <t xml:space="preserve"> Section I. Invitation to Bid Republic of the Philippines Province of Benguet MUNICIPALITY OF BOKOD BIDS AND AWARDS COMMITTEE INVITATION TO BID FOR PROCUREMENT OF MICRO-INFRA PROJECTS CLUSTER 08-2020 (MDF 2020), POBLACION, BOKOD, BENGUET 1.	The MUNICIPALIT</t>
  </si>
  <si>
    <t xml:space="preserve"> 32 bundle of Fishing Nets with Rope</t>
  </si>
  <si>
    <t xml:space="preserve"> Republic of the Philippines Provincial Government of Northern Samar BIDS and AWARDS COMMITTEE REQUEST FOR QUOTATION Date: August 3, 2020 RFQ No.: 20-08-0231 Name of Supplier (Business Name): _________________________________________ Address: _____________</t>
  </si>
  <si>
    <t xml:space="preserve"> The Philippine Carabao Center at USM through its Bids and Awards Committee (BAC) invites PhilGEPS registered suppliers to apply to bid for the Supply and Delivery of Fuels/Fuel Additives &amp; Lubricants &amp; Anti-Corrosive. Diesel 5500 ltrs Gasoline 350 ltrs Lu</t>
  </si>
  <si>
    <t xml:space="preserve"> Republic of the Philippines Province of Zamboanga del Sur MUNICIPALITY OF LAKE WOOD BIDS AND AWARDS COMMITTEE Invitation to Bid for Procurement of Meals and Snacks use for LSI, ROF  confirmed COVID-19 Suspect in the Isolation Area in this Municipality 1.	</t>
  </si>
  <si>
    <t xml:space="preserve"> Section I. Invitation to Bid Republic of the Philippines Province of Benguet MUNICIPALITY OF BOKOD BIDS AND AWARDS COMMITTEE INVITATION TO BID FOR PROCUREMENT OF MICRO-INFRA PROJECTS CLUSTER 07-2020 (MDF 2020), NAWAL &amp; TIKEY, BOKOD, BENGUET 1.	The MUNICIP</t>
  </si>
  <si>
    <t xml:space="preserve"> Clearing &amp; grubbing, earthworks(roadway excavation)soft rock, pipe culvert, base coarse preparation PCCP.</t>
  </si>
  <si>
    <t xml:space="preserve"> Republic of the Philippines Province of Leyte Municipality of Hilongos INVITATION TO RE-BID FOR THE PROCUREMENT OF OFFICE SUPPLIES 1.  The Local Government Unit of Hilongos, through GENERAL FUND-CURRENT APPROPRIATION intends to apply the sum TEN THOUSAND </t>
  </si>
  <si>
    <t xml:space="preserve"> 1 SET/S DESKTOP COMPUTER - WITH COMPLETE ACCESSORIES - intel core i5-8400 4.06/9mb - secure 500w avr - 4 tech keyboard and optical mouse ps2 - 18'' LED Monitor, 500 6B Disk Drive - 4 6b Memory - H310 m-52h Mother Board - ATX Case w/ Power Supply , Spea</t>
  </si>
  <si>
    <t xml:space="preserve"> 1.Filing cabinet (Dimension: W45.5 x D62 x (3) pcs H131. 5cm, 0.6mm cold-rolled steel sheet in powder coated finish with 16 inches metal drawer slide) 2.Aircon (window type, 1HP, Non Inverter 12HR (1) pcs timer slide discharge xxxxxxxxxxxx</t>
  </si>
  <si>
    <t xml:space="preserve"> Republic of the Philippines Province of Davao de Oro Municipality of Monkayo -o0o- INVITATION TO BID FOR THE PROCUREMENT OF AGRI-SUPPLIES  The Municipality of Monkayo, through the GENERL FUND intends to apply the ONE HUNDRED THOUSAND NINE HUNDRED NINETY P</t>
  </si>
  <si>
    <t xml:space="preserve"> 10 tube Ballpen Ordinary Click 50's/box &amp; 21 others</t>
  </si>
  <si>
    <t xml:space="preserve"> Republic of the Philippines MINDANAO STATE UNIVERSITY AT NAAWAN 9023 Naawan, Misamis Oriental REQUEST FOR QUOTATION To whom it may concern: Please quote your lowest price/s on the lot or item/s listed below, subject to the General Conditions indicated her</t>
  </si>
  <si>
    <t xml:space="preserve"> Republic of the Philippines				 Province of Cebu				 Municipality of Moalboal				 				 			Canvass No.:	 			Date:	 				 REQUEST FOR QUOTATION				 				 				 				 SIR/MADAM:				 				 	Please quote your price of the articles listed below for immediate deliver</t>
  </si>
  <si>
    <t xml:space="preserve"> TERMS OF REFERENCE OF 15 WATTS INTEGRATED SOLAR STREET LIGHT PREMIUM SMD TYPE: 1. Product should have 2 Year Warranty. 2. With CE, ROOMS, ETL, and LM-79 and  FCC Certificates, as part of the technical documents. 3. With Branch in Mindanao to assist and re</t>
  </si>
  <si>
    <t xml:space="preserve"> for Office Supplies and Consumables</t>
  </si>
  <si>
    <t xml:space="preserve"> Section I. Invitation to Bid Republic of the Philippines Province of Benguet MUNICIPALITY OF BOKOD BIDS AND AWARDS COMMITTEE INVITATION TO BID FOR CONSTRUCTION OF WELCOME ARC AT GUISSET, AMBUKLAO, BOKOD, BENGUET (MDF 2020) 1.	The MUNICIPALITY OF BOKOD, th</t>
  </si>
  <si>
    <t xml:space="preserve"> Contract I.D. No.: 20GCE0033 Contract  Name: Procurement of Materials for use in the Activity 309 Other Traffic Services along Pantabangan-Canili-Basal-Baler Road (Cadaclan &amp; Castañeda Section) K0174+000 - K0185+489, K0186+507 - K0192+687 Brief Descriptio</t>
  </si>
  <si>
    <t xml:space="preserve"> QTY.	UNIT	DESCRIPTION 3	units	Sewing Machine (heavy duty) 		Specifications: 		4,500 sti/min 		5mm max. stitch length 		30.7mm needle bar stroke 		hook automatic lubricating fill 		feed dog - 3 row 		26kg weight</t>
  </si>
  <si>
    <t xml:space="preserve"> 1.Tire (r17 265/65) (4) set xxxxxxxxxxx</t>
  </si>
  <si>
    <t xml:space="preserve"> 1. PAPER, Multi-Purpose (COPY) A4, 70 gsm 1000 reams 2. PAPER, Multi-Purpose (COPY) Legal, 70 gsm 200 reams</t>
  </si>
  <si>
    <t xml:space="preserve"> for Printer repair and maintenance</t>
  </si>
  <si>
    <t xml:space="preserve"> The Barangay Malummin, Tuao Cagayan through its 20% Barangay Dev't Fund intends to apply the sum of             Php 199,563.42  being the Approved Budget for the Contract (ABC) to payments under the contract for  Installation of Street Lights (SOLAR). Bid</t>
  </si>
  <si>
    <t xml:space="preserve"> Republic of the Philippines Province of Davao de Oro Municipality of Monkayo -o0o- INVITATION TO BID FOR THE PROCUREMENT OF JOURNALS FOR COLLEGE LIBRARY  The Municipality of Monkayo, through the GENERL FUND intends to apply the sum ONE HUNDRED NINETY NINE</t>
  </si>
  <si>
    <t xml:space="preserve"> 2 UNIT PRINTER - . - Color Print,Inkjet Printer - Print Resolution 5760x1440 dpi - Print Speed: Black 33ppm,Color 15ppm - Paper Size: 10x15cm, 13x18cm</t>
  </si>
  <si>
    <t xml:space="preserve"> Republic of the Philippines PROVINCE OF BILIRAN Municipality of Naval – 6560 Project Reference Number: ITB No. 20-30     INVITATION TO BID FOR THE SUPPLY AND DELIVERY OF 18 UNITS DESKTOP  COMPUTER &amp; OTHER RELATED PARTS &amp; ACCESSORIES (RE-BIDDING) 	1.	The P</t>
  </si>
  <si>
    <t xml:space="preserve"> SCHEDULE OF BIDDING Advertisement/Posting – August 6-13, 2020 Issuance of Bid Documents – August 6-17, 2020 Submission and Opening of Bids – August 17, 2020 (Monday, 10:00 AM, General Services Office Conference Room, Municipal Compound, National Road, Ort</t>
  </si>
  <si>
    <t xml:space="preserve"> 10 box Urine Strip II PARAMETER, 100's &amp; 3 others</t>
  </si>
  <si>
    <t xml:space="preserve"> Excavation, concrete works, masonry works, painting works, steel works, tile works(cladding) hardscape, landscape, drainage system, mechanical works.</t>
  </si>
  <si>
    <t xml:space="preserve"> Community immunity</t>
  </si>
  <si>
    <t xml:space="preserve"> Republic of the Philippines Province of Iloilo Municipality of Lambunao Brgy. Daanbanwa Barangay Office of the Bids &amp; Awards Committee INVITATION TO BID Name of Project: Location: ABC: Php (Supplier’s Name and Office Address) Please quote your lowest pric</t>
  </si>
  <si>
    <t xml:space="preserve"> INVITATION TO BID FOR  GOODS/SUPPLIES August 03, 2020 1.	The DPWH-Bukidnon Second District Engineering Office, through the CY 2020 Routine Maintenance intends to apply the sum of Php 1,210,560.00 being the Approved Budget for the Contract (ABC) to payment</t>
  </si>
  <si>
    <t xml:space="preserve"> 350 kls. Vegetables &amp; 2 others</t>
  </si>
  <si>
    <t xml:space="preserve"> PROCUREMENT OF THE FOLLOWING SERVICES: MOTORCYCLE: FRAME WITH BACKBONE FRONT TIRE 3.00 x 17 IGNITION TYPE DC-CDI ENGINE TYPE 4 STROKE, SINGLE OVERHEAD CAMSHAFT, BORE x STROKE 1 CYLINDER, DISPLACEMENT 176.6 cc, FRONT SUSPENSION TELESCOPIC FORK FUEL CAPACIT</t>
  </si>
  <si>
    <t xml:space="preserve"> Procurement of Electrical Supplies   RFQ No. 507</t>
  </si>
  <si>
    <t xml:space="preserve"> please see attached documents...</t>
  </si>
  <si>
    <t xml:space="preserve"> 1 UNIT DESKTOP COMPUTER - . - Intel Core i3,3.2 GHz Processor - 4GB DDR3 - 1TB HDD - 22" LED Monitor - DVD ROM - Tower Case with 600W Power Supply - PS2 Keyboard,KB110 - PS2 Optical Mouse with pad - 600W UPS Logic - Motherboard,HB 1MP - Webcam - Speaker</t>
  </si>
  <si>
    <t xml:space="preserve"> 4 ROLLS OF ACETATE @50MTRS/ROLL 1500 PCS OF BALLPEN BLACK 500 PCS OF BALLPEN BLUE 500 PCS OF BALLPEN RED 30 BXS OF BINDER CLIP JUMBO 12 BXS OF BINDER CLIP SMALL 200 RMS OF BOND PAPER LEGAL 200 RMS OF BOND PAPER A4 200 RMS OF BOND PAPER SHORT 200 PCS CORRE</t>
  </si>
  <si>
    <t xml:space="preserve"> Republic of the Philippines Province of Zamboanga del Sur MUNICIPALITY OF LAKE WOOD BIDS AND AWARDS COMMITTEE Invitation to Bid for Procurement of Office Equipment and Facilities in the Isolation Area in this Municipality 1.	The Local Government Unit of L</t>
  </si>
  <si>
    <t xml:space="preserve"> Removal Of structures And Obstruction Excavation Structural Concrete Masonry Works Carpentry Tile Works Painting</t>
  </si>
  <si>
    <t xml:space="preserve"> 1 unit Dry Type Transformer 30KVA, 3 phase &amp; 1 other</t>
  </si>
  <si>
    <t xml:space="preserve"> 1 	 70 	 pack 	 Daconil (250 grams) 	  2 	 70 	 pack 	 Lannate (100 grams) 	  3 	 70 	 pack 	 Crop giant (19-19-19) 	  4 	 71 	 bag 	 Complete (14-14-14) 	  5 	 70 	 liter 	 Alika 	 			                ***nothing follows***</t>
  </si>
  <si>
    <t xml:space="preserve"> QTY.	       UNIT	DESCRIPTION 11250	pcs	Health Certificate (Yellow) 3.5"x4.5" 11250	pcs	Health Certificate (Green) 3.5"x4.5"</t>
  </si>
  <si>
    <t xml:space="preserve"> Republic of the Philippines Batangas City Invitation to Apply for Eligibility and to Bid The Barangay Government of Barangay Pinamucan Silangan, Batangas City intends to apply the sum of Ninety Three Thousand Pesos Only (Php 93,000.00) broken down as foll</t>
  </si>
  <si>
    <t xml:space="preserve"> Issuance of Bid Documents Starts: August 5, 2020 Cost of Bid Document: Php 2,000.00 Venue of Dropping and Opening Bids: BAC Conference Room, Leyte SMED Center, Provincial Capitol Grounds, Tacloban City</t>
  </si>
  <si>
    <t xml:space="preserve"> Republic of the Philippines									 Province of Iloilo									 MUNICIPALITY OF POTOTAN									 BIDS AND AWARDS COMMITTEE									 REQUEST FOR QUOTATION									 		Quotation No. 	G2020-08-007(NP-SV)						 		Reference PR No. 	200-20-01-02						 				Augus</t>
  </si>
  <si>
    <t xml:space="preserve"> BILLS OF MATERIALS A. EXTENSION OF STREET LIGHTS A.1 Materials 17 pcs.         G.I. Pipe # 1 1/3 17 pcs.         Amco Reflector 500 meters   Service Drop 80 meters     THHN #14 8 pcs.           Rubber Tape 17 pcs.         Bulb 15 watts 3 pcs.           pl</t>
  </si>
  <si>
    <t xml:space="preserve"> QTY.	UNIT	DESCRIPTION 500	pads	Citation Ticket 		Specifications: 		1. Size: 8.5"x4.25" 		2. 3 ply x 50 sets per booklet 		3. With security mark/microprint 		4. Imported Carbonless Paper</t>
  </si>
  <si>
    <t xml:space="preserve"> Blackout Blinds - 1,888 sq.ft. &gt; Conference Room: 86 sq.ft	 &gt; Office of the Asst. District Engineer:83.2 sq.ft	 &gt; Planning &amp; Design Section: 183 sq.ft	 &gt; Construction Section: 112.60 sq.ft	 &gt; Procurement Office: 192.2 sq.ft	 &gt; Public Information Officer O</t>
  </si>
  <si>
    <t xml:space="preserve"> Rehabilitation and improvement of Multipurpose Hall at Barangay Sto Domingo,Cainta,Rizal</t>
  </si>
  <si>
    <t xml:space="preserve"> CLEARING RIVER UPSTREAM AND BACKFILING OF 50.0M X 7.50M X 0.50M RIVER BED.</t>
  </si>
  <si>
    <t xml:space="preserve"> Republic of the Philippines MUNICIPALITY OF QUEZON Province of Quezon INVITATION TO BID Date	: August 5, 2020 The Municipality of Quezon, through its Bids and Awards Committee (BAC), invites supplier/manufactures/distributors/contractors to apply for elig</t>
  </si>
  <si>
    <t xml:space="preserve"> Earthworks, concrete works, reinforcing steel, formworks &amp; scaffoldings, masonry works, doors &amp; windows, ceiling &amp; carpentry works, metal structure, electrical works, plumbing works, painting works.</t>
  </si>
  <si>
    <t xml:space="preserve"> ***Please see attached</t>
  </si>
  <si>
    <t xml:space="preserve"> SHOE POLISH, PROTECT  &amp; 9 OTHER L/I</t>
  </si>
  <si>
    <t xml:space="preserve"> FEASIBILITY STUDY (F/S) ON THE SOLID WASTE MANAGEMENT FACILITY (LGU SANITARY LANDFILL) FOR THE FOUR (4) LOCAL GOVERNMENT UNIT-CLUSTERS (LGU-CLUSTERS) OF LANUZA AND SAN AGUSTIN IN SURIGAO DEL SUR, DINAGAT IN THE PROVINCE OF DINAGAT ISLANDS AND VERUELA IN A</t>
  </si>
  <si>
    <t xml:space="preserve"> Republic of the Philippines PROVINCE OF BUKIDNON Municipality of Don Carlos BIDS AND AWARDS COMMITTEE REQUEST FOR QUOATATION 									 							Date:  							RFQ No.											    	Name of Project: 	 							End User:  Name of Company: ______________________</t>
  </si>
  <si>
    <t xml:space="preserve"> Stock	Unit	Item Description					Quantity	Unit	Total  Cost Number								Cost	 1	box	Continuous Form, Long-4Ply, size 11 x 14-7/8 subs 20 with carbon					42	 2,450.00 	 102,900.00  2	box	Continuous Form, Long-3Ply, size 11 x 9-1/2 subs 20 with carbon					3</t>
  </si>
  <si>
    <t xml:space="preserve"> Please see attached file. Contact 09654102927 E-mail @ myradelaradiaz@gmail.com</t>
  </si>
  <si>
    <t xml:space="preserve"> please see attached bid docs...</t>
  </si>
  <si>
    <t xml:space="preserve"> 1.	The Local Government Unit of Sta. Teresita, through the GENERAL FUND (Repairs and maintenance Buildings and Other Structures)  intends to apply the sum of ONE HUNDRED FIFTY THOUSAND &amp; 00/100 (PHP150,000.00) ONLY being the Approved Budget for the Contra</t>
  </si>
  <si>
    <t xml:space="preserve"> Interested Suppliers are invited to submit Sealed Price Quotations for the above listed items. The Official Department of Health Drug Abuse Treatment and Rehabilitation Center Request for Quotation Forms may be obtained from Ms. SUSAN P. DELA CRUZ Head of</t>
  </si>
  <si>
    <t xml:space="preserve"> The National Irrigation Administration-Regional Office 12, Villarica, Midsayap, Cotabato, through the Fund 501 has the Approved Budget for the Contract (ABC) amounting to NINE HUNDRED SIXTY ONE THOUSAND SIX HUNDRED FIFTY EIGHT PESOS &amp; 77/100 (P 961,658.77</t>
  </si>
  <si>
    <t xml:space="preserve"> RFQ 2020-166 PROJECT		:	LBP DAGUPAN BRANCH RENOVATION (NEW UNIT) IMPLEMENTOR		: 	LBP RESOURCES AND DEVELOPMENT CORPORATION OWNER			:	LAND BANK OF THE PHILIPPINES	 REQUEST FOR QUOTATION FOR	:	WATTS LED TUBE                                                  </t>
  </si>
  <si>
    <t xml:space="preserve"> Various Medicines, Dental and Laboratory Supplies</t>
  </si>
  <si>
    <t xml:space="preserve"> INK CART, EPSON C13T664100 (T6641), Black  250 bottles INK CART, EPSON C13T664200 (T6642), Cyan   100 bottles INK CART, EPSON C13T664300 (T6643), Magenta  100 bottles INK CART, EPSON C13T664400 (T6644), Yellow  100 bottles</t>
  </si>
  <si>
    <t xml:space="preserve"> Earthworks	70.02	cu.m. Reinforcing Steel Bar	1,175.52	kgs. Structural Concrete	13.38	cu.m. Fabrication/Erection &amp; Framing Works	1.00	lot Tinsmithry	648.00	sq.m. PCCP (T=0.10m)	630.00	cu.m. Construction Safety &amp; Health	4.00	mos. Project Billboard	64.00	sq.</t>
  </si>
  <si>
    <t xml:space="preserve"> Republic of the Philippines Province of Davao del Sur MUNICIPALITY OF STA.CRUZ INVITATION TO BID  PROCUREMENT OF IGM/IGG ANTIBODY DIAGNOSTIC KIT FOR COVID-19 RESPONSE - 1ST POSTING (ITB No. 25-Goods-2020) 1.	The Local Government Unit of Sta. Cruz, Davao d</t>
  </si>
  <si>
    <t xml:space="preserve"> The Barangay Alabug, Tuao Cagayan through its Barangay Fund intends to apply the sum of  Php 60,000.00  being the Approved Budget for the Contract (ABC) to payments under the contract for  Purchased of Tent . Bids received in excess of the ABC shall be au</t>
  </si>
  <si>
    <t xml:space="preserve"> ASSORTED SUPPLIES</t>
  </si>
  <si>
    <t xml:space="preserve"> INVITATION TO BID FOR  GOODS/SUPPLIES August 03, 2020 1.	The DPWH-Bukidnon Second District Engineering Office, through the CY 2020 Routine Maintenance intends to apply the sum of Php 1,805,415.00 being the Approved Budget for the Contract (ABC) to payment</t>
  </si>
  <si>
    <t xml:space="preserve"> SUPPLY AND DELIVERY OF LAPTOP COMPUTER, HIGH-END, SPECIFICATIONS:(PROCESSOR:10TH GEN INTEL CORE 17-10510U, 8MB CACHE, UP TO 4.9GHZ), GPU: INTEL UHD GRAPHICS, DISPLAY:13.3", 4K UHD (380X2160), IPS, RAM:8GB, WEIGHT:1.45KG (3.2 LBS), OPERATING SYSTEM:WINDOWS</t>
  </si>
  <si>
    <t xml:space="preserve"> Health Center Renovation (materials) Brgy. Site, Napnapan, Pantukan</t>
  </si>
  <si>
    <t xml:space="preserve"> Republic of the Philippines Provincial Government of Northern Samar BIDS and AWARDS COMMITTEE REQUEST FOR QUOTATION                      Date: August 03, 2020  RFQ No.: 20-08-0232 Name of Supplier (Business Name): _________________________________________</t>
  </si>
  <si>
    <t xml:space="preserve"> Kindly see attached file for your reference.</t>
  </si>
  <si>
    <t xml:space="preserve"> Republic of the Philippines Province of Camarines Sur MUNICIPALITY OF BAAO INVITATION FOR NEGOTIATIONS SUPPLY AND DELIVERY OF PPE’S/GEAR FOR DRRM 1. The LOCAL GOVERNMENT UNIT OF BAAO, through the Budget for the contract approved by the Sanggunian 2020 int</t>
  </si>
  <si>
    <t xml:space="preserve"> INVITATION TO BID The Barangay Langkong, Mlang, Cotabato through its Bids and Awards Committee (Bac) invites Philgeps registered suppliers to apply to bid for the supply and Delivery of Various Materials for DISTRIBUTION OF PIPELINE LEVEL II. I. DISTRIBUT</t>
  </si>
  <si>
    <t xml:space="preserve"> Excavation Gravel Fill Structural Concrete Masonry Roofing Plumbing Doors And Windows Tiles Painting Hardware Materials</t>
  </si>
  <si>
    <t xml:space="preserve"> 1,500 liters Diesel Fuel</t>
  </si>
  <si>
    <t xml:space="preserve"> The Philippine Carabao Center at USM through its Bids and Awards Committee (BAC) invites PhilGEPS registered suppliers to apply to bid for the Supply and Delivery of Vehicle Parts and Accessories. CAMPER SHELL 1 pc. Specification: Fiberglass one piece she</t>
  </si>
  <si>
    <t xml:space="preserve"> 1 UNIT LAPTOP - . - 1 TB HDD - INTEL CORE i3 ( 7th Gen ) Processor - 14" display monitor - 4GB DDR4 RAM - 2.3 Ghz - Intel Core i3-7020U ( 7th Gen ) - Intel HD 620</t>
  </si>
  <si>
    <t xml:space="preserve"> Construction of covered canal</t>
  </si>
  <si>
    <t xml:space="preserve"> The Barangay Cagumitan, Tuao Cagayan through its 10% SK Fund intends to apply the sum of                           Php 80,000.00  being the Approved Budget for the Contract (ABC) to payments under the contract for  Purchased of Motorcycle with Sidecar . B</t>
  </si>
  <si>
    <t xml:space="preserve"> Office Supplies-Meals,White Cloth,Candles,etc....</t>
  </si>
  <si>
    <t xml:space="preserve"> 2	Parts	Front Axle Velocity Set Left/Right for KIA K2700, ABC 37,000.00/part See attached picture				 RFQ#08-0821R</t>
  </si>
  <si>
    <t xml:space="preserve"> Republic of the Philippines PROVINCE OF CAVITE City of General Trias INVITATION TO BID PROJECT REFERENCE NO. GOODS-PB-19-053 PROJECT TITLE/ DESCRIPTION :- GOODS-PB-20-053- SERVICES OF PRIVATE SECURITY AGENCY TO SAFEGUARD, SECURE ALL DEPED PUBLIC SCHOOLS I</t>
  </si>
  <si>
    <t xml:space="preserve"> Republic of the Philippines BANGSAMORO AUTONOMOUS REGION IN MUSLIM MINDANAO Province of Maguindanao Municipality of Pandag INVITATION TO BID PROCUREMENT OF CATERING SERVICES FOR TRAINING &amp; DEVELOPMENT ADVOCACY ON INFORMATION MANAGEMENT SYSTEM  (ITB No. 37</t>
  </si>
  <si>
    <t xml:space="preserve"> SOAP, POWDER DETERGENT &amp; 5 OTHER L/I</t>
  </si>
  <si>
    <t xml:space="preserve"> 1.	The Local Government Unit of  Tuao, Cagayan  through Provincial Government Fund intends to  apply the sum of  Php 500,000.00  being the Approved Budget for the Contract (ABC) to   payments under  the contract for INSTALLATION OF STREETLIGHTS (SOLAR LIG</t>
  </si>
  <si>
    <t xml:space="preserve"> FEASIBILITY STUDY</t>
  </si>
  <si>
    <t xml:space="preserve"> Republic of the Philippines City of Cagayan de Oro BIDS AND AWARDS COMMITTEE  INVITATION TO BID  FOR  Supply and Delivery of Mechanical Ventilator with Compressor and Other Items; PR No. 20-1618 dated 09 June 2020; SN 172 - 2020 1.	The City Government of </t>
  </si>
  <si>
    <t xml:space="preserve"> INK, CL-811 COLOR ORIGINAL (CANON) &amp; 8 OTHER L/I</t>
  </si>
  <si>
    <t xml:space="preserve"> ACETATE, CLEAR PVC &amp; 9* OTHER L/I</t>
  </si>
  <si>
    <t xml:space="preserve"> Republic of the Philippines Province of Nueva Vizcaya BIDS AND AWARDS COMMITTEE (BAC-Goods) BAC OFFICE, Provincial Capitol, Bayombong, Nueva Vizcaya 	 2ND REQUEST FOR QUOTATION (RFQ)  For the Procurement of Desktop Computers, Laptop, Network Switch, etc. </t>
  </si>
  <si>
    <t xml:space="preserve"> CASING CPU  &amp; 25 OTHER L/I</t>
  </si>
  <si>
    <t xml:space="preserve"> 1 lot AMBULANCE CONVERSION -ambulance lettering (4 pcs) -overhead siren LED with PA system -Flourescent Lamp LED -IV hook -oxygen tank holder -stainless bumper plate -flooring with coin type matting -acrylic divider -overhead hand rail -medicine cabinet -</t>
  </si>
  <si>
    <t xml:space="preserve"> Republic of the Philippines Province of Nueva Vizcaya BIDS AND AWARDS COMMITTEE (BAC-Goods) BAC OFFICE, Provincial Capitol, Bayombong, Nueva Vizcaya 	 4th REQUEST FOR QUOTATION (RFQ)  For the Procurement of 1 unit Scanner (A3 Single Function ADF &amp; Flatbed</t>
  </si>
  <si>
    <t xml:space="preserve"> 18,488 units Tablets Android: Processor : Quad-core 1.3GHz; RAM : 2GB; Display Size/Type: 8 inches IPS LCD Display; Display Resolution: 800x1280 pixels; Storage: 32GB Internal with External Storage; Camera: Built in Rear and Front; Network/Connectivity:4G</t>
  </si>
  <si>
    <t xml:space="preserve"> Republic of the Philippines BANGSAMORO AUTONOMOUS REGION IN MUSLIM MINDANAO Province of Maguindanao Municipality of Pandag INVITATION TO BID PROCUREMENT OF LEARNING MATERIALS AND FACILITIES. (ITB No. 37-Goods-2020) The Local Government Unit of Pandag, Mag</t>
  </si>
  <si>
    <t xml:space="preserve"> HP 680 BLACK	10 CARTRIDGE	 BROTHER LC3617BK	15 CARTRIDGE	 BROTHER LC3617Y	10 CARTRIDGE	 BROTHER LC3617M	10 CARTRIDGE	 BROTHER LC3617C	10 CARTRIDGE	 PAPER BOND, SUBSTANCE 20, 8.27X11.69",WHITE A4	50 REAMS	 PAPER BOND,PREMIUM GRADE 8 1/2"X14",WHITE	50 REAMS</t>
  </si>
  <si>
    <t xml:space="preserve"> GASKET, CYLINDER HEAD COVER &amp; 7 OTHER L/I</t>
  </si>
  <si>
    <t xml:space="preserve"> -Interested printing services may join, at 0.50 centavos is the ceiling price per piece; -SLMs should be pe-sorted, stapled per subject per grade level</t>
  </si>
  <si>
    <t xml:space="preserve"> 1      Unit        Laptop                                        Specs:                      -8 GB DDR4-2666 SDRAM (1 x 8 GB)                      -Display: 15.6” diagonal HD SVA Bright view                        Micro-edge WLED-backlit touch screen (136</t>
  </si>
  <si>
    <t xml:space="preserve"> Materials for the drainage canal at Binogsayan, Napnapan</t>
  </si>
  <si>
    <t xml:space="preserve"> INVITATION TO BID FOR  GOODS/SUPPLIES August 03, 2020 1.	The DPWH-Bukidnon Second District Engineering Office, through the CY 2020 Routine Maintenance intends to apply the sum of Php 1,350,575.00 being the Approved Budget for the Contract (ABC) to payment</t>
  </si>
  <si>
    <t xml:space="preserve"> supply and installation of CCTV</t>
  </si>
  <si>
    <t xml:space="preserve"> Customized Looseleaf Folder Hardbound                -     1,000 pcs with DPWH Logo, Blue Size: 8 1/2 x 14 x 3</t>
  </si>
  <si>
    <t xml:space="preserve"> Vehicle, SUV, diesel, 7- seater					 2.4, 4x2 AT					 Displacement		    2,400 (maximum)		 Number of cylinders	    4		 Number of valves	    16		 Transmission Category    6- speed automatic with sequenceial control		 Drivetrain			    Rear-Wheel Drive		 Max </t>
  </si>
  <si>
    <t xml:space="preserve"> SOFTWARE MAINTENANCE &amp; 10 OTHER L/I</t>
  </si>
  <si>
    <t xml:space="preserve"> AUGUST 05, 2020 INVITATION TO BID FOR PURCHASE OF LEARNING MATERIALS FOR DAY CARE CHILDREN The Municipality of Magallanes, Cavite, through the Budget for the Contract approved by the Sangguniang Bayan intends to apply the sum of One Hundred Seventy Seven </t>
  </si>
  <si>
    <t xml:space="preserve"> 1600 reams 480 sheets/ream Substance: 16 lbs                     48.8 gsm Size: 8 1/2 x 13          216 mm x 330 mm</t>
  </si>
  <si>
    <t xml:space="preserve"> Personalized Medals</t>
  </si>
  <si>
    <t xml:space="preserve"> INVITATION TO BID The __DEPARTMENT OF PUBLIC WORKS AND HIGHWAYS - DISTRICT ENGINEER’S OFFICE ZAMBOANGA CITY__, through its Bids and Awards Committee (BAC), invites contractors to submit bids for the following Contract: Contract ID: 20JA0095 Contract Name:</t>
  </si>
  <si>
    <t xml:space="preserve"> Name of Project: Purchase of Various Medicines Location: Rural Health Unit, Pura, Tarlac ABC: Php 801,230.00 200	Boxes	Amlodipine 5mg/tab 400	Boxes	Amlodipine 10mg 50	BOTTLE	Amoxicillin(as Trihydrate) drops 100mg/ml, 15ml 100	BOTTLE	Amoxicillin (as Trihyd</t>
  </si>
  <si>
    <t xml:space="preserve"> INVITATION TO APPLY FOR QOUTATION THE BIDS AND AWARD COMMITTEE OF THE MUNICIPALITY OF CAIBIRAN, IS INVITING ALL INTERESTED BIDDERS ON ITS FORTH COMING QOUTATION FOR BID FOR: Project Title	: Installation of Duck House &amp; Procurement of Poultry Facilities Lo</t>
  </si>
  <si>
    <t xml:space="preserve"> Construction Projects-Construction of Power House, City Hall, Brgy. Awasian, Tandag City</t>
  </si>
  <si>
    <t xml:space="preserve"> Diesel=50,000 liters Gasoline= 6,250 liters</t>
  </si>
  <si>
    <t xml:space="preserve"> Republic of the Philippines City of Cagayan de Oro BIDS AND AWARDS COMMITTEE  INVITATION TO BID  FOR  Supply and Delivery of Five (5) Units Basic Life Support (BLS) Ambulance Vehicle with Complete Accessories; PR No. 19-1240 dated 16 May 2019; SN 174 - 20</t>
  </si>
  <si>
    <t xml:space="preserve"> Supply of office supplies for Simata NHS</t>
  </si>
  <si>
    <t xml:space="preserve"> kindly see attached file for your reference.</t>
  </si>
  <si>
    <t xml:space="preserve"> 1.) 13 PAIRS OF WALKING SHOES SIZES: 10.5 - 1 PAIR 10    - 2 PAIRS 9.5   - 2 PAIRS 9      - 3 PAIRS 8.5   - 1 PAIR 8      - 2 PAIRS 7      - 1 PAIR 5      - 1 PAIR 2.) HYDRO BACKPACK (3L) 3.) BANDA MASK WITH DPWH LOGO</t>
  </si>
  <si>
    <t xml:space="preserve"> 1 LOT OFFICE EQUIPMENT (PLEASE SEE REQUEST FOR QUOTATION)</t>
  </si>
  <si>
    <t xml:space="preserve"> Republic of the Philippines Province of Romblon Municipality of Odiongan Bids &amp; Awards Committee Odiongan, Romblon INVITATION TO BID  The Municipal Government of Odiongan through its Bids and Awards Committee [BAC] invites interested bidders to apply for </t>
  </si>
  <si>
    <t xml:space="preserve"> Heavy Equipment (Loader) parts and supplies</t>
  </si>
  <si>
    <t xml:space="preserve"> Republic of the Philippines          City of Dumaguete Bids and Awards Committee INVITATION TO BID FOR PURCHASE REQUEST OF 24 CU.M SAND (STD. SPECS) AND OTHER ITEMS 	The City of Dumaguete thru its BIDS AND AWARDS COMMITTEE (BAC), invites all interested ma</t>
  </si>
  <si>
    <t xml:space="preserve"> ROAD SAFETY SIGNAGE -  100SETS</t>
  </si>
  <si>
    <t xml:space="preserve"> Various Construction Materials</t>
  </si>
  <si>
    <t xml:space="preserve"> The PhilJA, of the Supreme Court, through the Procurement Section, invites interested suppliers to quote for the price/s of the item/s listed in the attached document (PLEASE DOWNLOAD) Please also provide "Eligibility Documents, Annex A" For more informat</t>
  </si>
  <si>
    <t xml:space="preserve"> Republic of the Philippines          City of Dumaguete Bids and Awards Committee INVITATION TO BID FOR PURCHASE REQUEST OF 35 COARSE AGGREGATES (2” MAX, SIZE) AND OTHER ITEMS 	The City of Dumaguete thru its BIDS AND AWARDS COMMITTEE (BAC), invites all int</t>
  </si>
  <si>
    <t xml:space="preserve"> ITEMS 400 PCS 2X3X8 GOOD LUMBER 400 PCS 2X3X12 GOOD LUMBER 400 PCS 2X2X12 GOOD LUMBER 100 BNDL BAMBOO STRIPS</t>
  </si>
  <si>
    <t xml:space="preserve"> ITEM	ITEM DESCRIPTIONS				Unit of Measures	QUANTITY	 UNIT COST 	TOTAL COST 	Day 0							 1	Dinner: rice, meat, vegetables				cover	39		 2	lodging accomodation				cover	39		 	Day 1							 3	breakfast: fried tilapia, rice,vegetables				cover	39		 4	AM snack</t>
  </si>
  <si>
    <t xml:space="preserve"> INVITATION TO BID The City of Vigan, through its Bids and Awards Committee (BAC), invites suppliers/manufacturers/distributors/contractors to apply for eligibility and to bid for the hereunder project: Name of Project:	Procurement of 1 (One) Unit Double C</t>
  </si>
  <si>
    <t xml:space="preserve"> Supply and Delivery of Meals (Breakfast,Lunch, Dinner)</t>
  </si>
  <si>
    <t xml:space="preserve"> CORNED BEEF (48CANS/BX.)	21 BXS BEEF LOAF (48CANS/BX.)	21 BXS SARDINES	21 BXS COFFEE 3 IN1	250 DOZ. POWDERED MILK (SWAK SACHET)	200 DOZ. BATH SOAP	500 PCS              X-X-X-X-X-X</t>
  </si>
  <si>
    <t xml:space="preserve"> INSTALLATION OF NEW DISTRIBUTION OF WATER SYSTEM</t>
  </si>
  <si>
    <t xml:space="preserve"> PROCUREMENT OF OFFICE SUPPLIES AND DEVICES</t>
  </si>
  <si>
    <t xml:space="preserve"> Tentative Date of the activity: August 14, 2020 (Part 1)                                             August 20, 2020 (Part 2)                                             August 27, 2020 (Part 3) Venue: DILG R1 Conference Room Meals and Snacks (Part 1, 2 a</t>
  </si>
  <si>
    <t xml:space="preserve"> Area= 60sqm Clearing and Removal of Obstruction Rebate Formworks Structural Concrete Masonry Works</t>
  </si>
  <si>
    <t xml:space="preserve"> Materials for module printing good for 4,190 students  671 Reams A4 Size bond paper, 80 gsm 500 pages per ream. ABC: 123, 249.28</t>
  </si>
  <si>
    <t xml:space="preserve"> 1	1	Lot	Supply and Delivery of  I.T. Accessories 			 			Item Description:			 	4	Pcs	Extension Wire w/ power surge protection,6ft			 	2	Pcs	Rechargeable Battery AA size, Heavy Duty			 	1	Pc	Charger for Rechargeable Battery AA size			 	1	Pc	Extension Cable </t>
  </si>
  <si>
    <t xml:space="preserve"> Procurement of Plastic Shredder 1 unit</t>
  </si>
  <si>
    <t xml:space="preserve"> BLGU-MALAGUICAY-03-2020 REPAIR/IMPROVEMENT OF BARANGAY STEERTLIGHTS BRGY. MALAGUICAY ABUYOG, LEYTE</t>
  </si>
  <si>
    <t xml:space="preserve"> 95   CuM   Aggregates Sub base Course</t>
  </si>
  <si>
    <t xml:space="preserve"> Various Seeds for distribution to Suyo Farmers</t>
  </si>
  <si>
    <t xml:space="preserve"> Window system Concrete Flooring &amp; Tile works Fabrication of railings,gate,grills Fabrication of white board Pinting(railings) Fabrication of Cubicle 4.00m.x4.00m.(L.S.)</t>
  </si>
  <si>
    <t xml:space="preserve"> BLGU-MALAGUICAY-02-2020 OPENING OF BARANGAY ACCESS ROAD PHASE-1 BRGY. MALAGUICAY ABUYOG, LEYTE</t>
  </si>
  <si>
    <t xml:space="preserve"> BOLO NORTE HIGH SCHOOL							 REQUEST FOR QUOTATIONS (RFQ)							 							 				Date:                      			 				Quotation No.        :		2020-08-034	 _________________________________							 (Name of Supplier)							 							 	Please quote your lowest pric</t>
  </si>
  <si>
    <t xml:space="preserve"> Republic of the Philippines Province of Iloilo Municipality of New Lucena    New Lucena, Iloilo 							         August 5, 2020     Invitation to Bid for the Completion/Construction of Multi – Purpose Gym, Brgy. Janipa –an Oeste, New Lucena , Iloilo.  	1. </t>
  </si>
  <si>
    <t xml:space="preserve"> CONSTRUCTION OF DOUBLE-BARREL BOX CULVERT</t>
  </si>
  <si>
    <t xml:space="preserve"> 1      Unit        Laptop                                        Specs:                      -Processor: Intel Core I5                      -Motherboard: /V/SND/GLAN/                      -Videocard: 2GB                      -Memory: 128 SSD + 1TB SATA HD</t>
  </si>
  <si>
    <t xml:space="preserve"> NO.	ITEM DESCRIPTION(ITEM NAME &amp; TECHNICAL SPECIFICATIONS)	QTY.	UNIT 1.	Prepaid Cards	12	Pcs.			 Note: Delivery to the Project Site</t>
  </si>
  <si>
    <t xml:space="preserve"> Name of Project: Completion of Barangay Health Facitility (To served as Covid-19 Isolation Facility)  Location: Brgy. Maungib, Pura, Tarlac ABC: Php 550,000.00</t>
  </si>
  <si>
    <t xml:space="preserve"> Request for Quotation for the Procurement of ICT Office Supplies to be used in DA RFO-7 offices in support to the implementation of various projects 1.	The Department of Agriculture-Regional Field Office 7 (DA-RFO 7), through the General Appropriations Ac</t>
  </si>
  <si>
    <t xml:space="preserve"> CONSTRUCTION OF EVACUATION CENTER</t>
  </si>
  <si>
    <t xml:space="preserve"> Intended &amp; to be use in every outdoor activities &amp; events that will took place at SOUTH ROAD PROPERTIES.</t>
  </si>
  <si>
    <t xml:space="preserve"> Republic of the Philippines  Province of Nueva Ecija City Government of Palayan INVITATION TO BID FOR THE PROCUREMENT OF GARBAGE COLLECTION MOTOR VEHICLE  1.	The City Government of Palayan, through the GENERAL FUND intends to apply the sum of (Php1,035,19</t>
  </si>
  <si>
    <t xml:space="preserve"> BIDS AND AWARDS COMMITTEE                   REQUEST FOR QUOTATION No. 2020-007 		The Department of Education Ricardo P. Cruz Sr. Elementary, through SCHOOL BIDS and AWARDS COMMITTEE (SBAC) invites registered suppliers to submit a quotation for the hereund</t>
  </si>
  <si>
    <t xml:space="preserve"> Republic of the Philippines 		DEPARTMENT OF PUBLIC WORKS AND HIGHWAYS REGIONAL OFFICE II Tuguegarao City, Cagayan INVITATION TO BID 1.	The Department of Public Works and Highways – Regional Office No. 02, through the DPWH GAA FY 2020 RA 11465 intends to a</t>
  </si>
  <si>
    <t xml:space="preserve"> The Development Bank of the Philippines (DBP), through its Northern Luzon – Regional Bids and Awards Committee (RBAC),will undertake a Small Value Procurement for the “Supply, Delivery, Installation and Testing of Two (2) 3-Tonner Inverter Type Air Condit</t>
  </si>
  <si>
    <t xml:space="preserve"> This project is consist of Repair of Perimeter Fence, Renovation of Ceiling, Repainting of Multi-Purpose Hall and Construction of 3mx4m Stockroom.</t>
  </si>
  <si>
    <t xml:space="preserve"> Republic of the Philippines PROVINCE OF ZAMBOANGA DEL NORTE Municipality of Sibutad BIDS AND AWARDS COMMITTEE AUGUST 6, 2020 INVITATION TO BID The Local Government Unit of Sibutad, Zamboanga del Norte under P.R. No. GFP100-2020-07-070 dated JULY 21, 2020 </t>
  </si>
  <si>
    <t xml:space="preserve"> Procurement of Groundwood Paper (A3) to be used for the Public School of Libungan.</t>
  </si>
  <si>
    <t xml:space="preserve"> Republic of the Philippines Province of Surigao del Norte Municipality of Claver BARANGAY CAGDIANAO INVITATION TO BID Name of Contract: PURCHASE OF OFFICE EQUIPMENT AND OTHER MACHINERY Location: Brgy. Cagdianao, Claver, Surigao del Norte Project Descripti</t>
  </si>
  <si>
    <t xml:space="preserve"> 4	Unit	Air Curtain, 36" 900x215x200mm dimension 150 watts power, ABC 14,000.00/unit 220V/60H₂ RFQ#08-0823R</t>
  </si>
  <si>
    <t xml:space="preserve"> Republic of the Philippines          City of Dumaguete Bids and Awards Committee INVITATION TO BID FOR PURCHASE REQUEST OF 36 COARSE AGGREGATES (2” MAX, SIZE) AND OTHER ITEMS 	The City of Dumaguete thru its BIDS AND AWARDS COMMITTEE (BAC), invites all int</t>
  </si>
  <si>
    <t xml:space="preserve"> 225 sacks Hi-Pro 50 KGS./SACK etc.,.</t>
  </si>
  <si>
    <t xml:space="preserve"> Agricultural Equipment and Fertilizers for the Maintenance of Agricultural Demo farms</t>
  </si>
  <si>
    <t xml:space="preserve"> RICE	50 SACKS	                      X-X-X-X-X-XX-X</t>
  </si>
  <si>
    <t xml:space="preserve"> INVITATION TO BID								 								 The Municipality of Tungawan, Province of Zamboanga Sibugay,  through its Bids and Awards Committee (BAC), invites 								 suppliers/ manufacturers/ distributors / contractors to apply for eligibility and to apply eligi</t>
  </si>
  <si>
    <t xml:space="preserve"> CONSTRUCTION OF MAIN WATER TANK</t>
  </si>
  <si>
    <t xml:space="preserve"> 1.  Diesel 7,000 liters</t>
  </si>
  <si>
    <t xml:space="preserve"> Supply and Delivery Meals (Breakfast, Lunch and Dinner)</t>
  </si>
  <si>
    <t xml:space="preserve"> Tarpaulin etc.  NOTE:To all suppliers bid documents and BAC Resolution 2020-029 are available at BAC Office and LGU website.</t>
  </si>
  <si>
    <t xml:space="preserve"> 50 cum Earthfill 55 bag Accelerator 20 sheet 25mm Thick x 4'x8' Ordinary</t>
  </si>
  <si>
    <t xml:space="preserve"> Prospective bidders should possess a valid PCAB license applicable to the contract, have completed a similar contract with a value of at least 50% of the ABC. The BAC will use non-discretionary pass/fail criteria in the eligibility check/screening as well</t>
  </si>
  <si>
    <t xml:space="preserve"> T. AWAD ECHEVARRIA ELEMENTARY SCHOOL - GENERAL MERCHANDISE</t>
  </si>
  <si>
    <t xml:space="preserve"> Construction of 40.00 L.m. Concrete Bridge, Overspill Bridge and Rehabilitation of Existing Footbridge</t>
  </si>
  <si>
    <t xml:space="preserve"> PURCHASE &amp; DELIVERY OF VEHICLE PARTS &amp; ACCESSORIES FOR THE MAINTENANCE OF VARIOUS MUN. VEHICLES</t>
  </si>
  <si>
    <t xml:space="preserve"> Various Office Supplies and Consumables for Offices</t>
  </si>
  <si>
    <t xml:space="preserve"> 4 pcs Tubeless 165/65R13 (Multicab)</t>
  </si>
  <si>
    <t xml:space="preserve"> PRINTING &amp; BINDING SERVICES</t>
  </si>
  <si>
    <t xml:space="preserve"> Tentative Dates of the Activity: September 4, 2020 (Part 1)                                              September 11, 2020 (Part 2)                                              September 18, 2020 (Part 3)                                              Sept</t>
  </si>
  <si>
    <t xml:space="preserve"> PURCHASE  REQUEST							 MUNICIPAL GOVERNMENT OF PUERTO GALERA							 							 					PR No.: 2020-07-001		Date : JULY 1,2020 Department: BARANGAY GOVERNMENT OF POBLACION					SAI No.		Date : Section:					ObR No.		Date : 							 Item 	Quantity	Unit of 	Item D</t>
  </si>
  <si>
    <t xml:space="preserve"> The Supreme Court, through the Procurement Section, invites interested suppliers to quote for the price/s of the item/s listed in the attached document (PLEASE DOWNLOAD) Please also provide "Eligibility Documents, Annex A" For more information, Please cal</t>
  </si>
  <si>
    <t xml:space="preserve"> Please see attached RFQ # 20-1147-1 and attached Program of Works attached with the RFQ Submit your Sign and Sealed Quotation together with your UPDATED ELIGIBILITY Requirements at 3/F ATI Building Department of Agriculture Region IV-MiMaRoPa, Property&amp;Su</t>
  </si>
  <si>
    <t xml:space="preserve"> Food Packs for Fronliners</t>
  </si>
  <si>
    <t xml:space="preserve"> This project is consist of Installation of 12 units Streetlights along the Brgy. Road of Sito Calamnugan, Bayo Grande Anini-y, Antique.</t>
  </si>
  <si>
    <t xml:space="preserve"> REPUBLIC OF THE PHILIPPINES Region XII Province of Cotabato Municipality of Midsayap LOCAL GOVERNMENT OF MIDSAYAP BIDS &amp; AWARDS COMMITTEE _____________________________________________________________________________________ REQUEST FOR QUOTATION RFQ No.: </t>
  </si>
  <si>
    <t xml:space="preserve"> 1 LOT LABOR</t>
  </si>
  <si>
    <t xml:space="preserve"> Republic of the Philippines BATANGAS STATE UNIVERSITY Batangas City REQUEST FOR QUOTATION "Procurement of Furniture and Fixtures for Various Offices" 1. The Batangas State University (BatState U) through the Bids and Awards Committee invites interested fi</t>
  </si>
  <si>
    <t xml:space="preserve"> [LOCAL GOVERNMENT UNIT-VINCENZO SAGUN]                     INVITATION TO BID FOR PROCUREMENT OF 6 units ENGINE (PUMPBOAT) 1.	The Local Government Unit-Vincenzo Sagun, through the General Fund 2020  intends to apply the sum of Two Hundred Fifty Two Thousan</t>
  </si>
  <si>
    <t xml:space="preserve"> 1 unit Clean Air True Hepa Filter and 1 unit Extra Oral Evacuation System please refer to attached RFQ-PQF for fo complete specification for technical inquiry contact Dr. Arnel Salazar at the Medical &amp; Dental Service 893105001 loc 7086/7043</t>
  </si>
  <si>
    <t xml:space="preserve"> 50 ampule Citicoline 250mg/ml 100 ampule Tetanus Toxoid 10mg/ml 300 nebule Salbutamol Sulfate 2.5mg/ml and others.</t>
  </si>
  <si>
    <t xml:space="preserve"> 43    bags    Cement 26    pcs     RSB10mm 420  pcs     CHB #4 10   pcs   Steel matting (large) 3   Cu.M.  Sand 2   Cu. M  Gravel 5 kls   Tie Wire 10  pcs   Coco lumber 2x2x12 3  pcs   Plywood Ordinary 1/4 3  kls   CWN #2 3  kls   CWN #3 5  pcs  Angle bar</t>
  </si>
  <si>
    <t xml:space="preserve"> Republic of the Philippines                                                          BAGO CITY WATER DISTRICT                                                   BIDS AND AWARDS COMMITTEE (BAC)                                                              So</t>
  </si>
  <si>
    <t xml:space="preserve"> Furnishing of Labor, Materials and Equipment for the Construction of 2 Class Room School Building with Two Toilets at Hanopol National High School at Hanopol, Balilihan, Bohol, by the Provincial Engineer's Office, New Capitol Building, Tagbilaran City ABC</t>
  </si>
  <si>
    <t xml:space="preserve"> Sir/Madame: We are interested in purchasing the services listed below. Please furnish us a copy of RFQ attached in this notice and indicate in the corresponding space(s) your price for the article listed with its corresponding specification for Indahag Na</t>
  </si>
  <si>
    <t xml:space="preserve"> Issuance of Bid Documents Starts: August 5, 2020 Cost of Bid Document: Php 1,500.00 Venue of Dropping and Opening Bids: BAC Conference Room, Leyte SMED Center, Provincial Capitol Grounds, Tacloban City</t>
  </si>
  <si>
    <t xml:space="preserve"> Republic of the Philippines Province of Iloilo Municipality of New Lucena    New Lucena, Iloilo 							         August 5, 2020     Invitation to Bid for the Completion/Construction of Multi – Purpose Gym,  Brgy. Burot,New Lucena , Iloilo.  	1. The Municip</t>
  </si>
  <si>
    <t xml:space="preserve"> PURCHASE &amp; DELIVERY OF CONSTRUCTION &amp; HARDWARE MATERIALS FOR THE REPAIR &amp; MAINTENANCE OF MUN. BLDG.PARKS, PLAZA, MONUMENTS, PUBLIC MARKET, ROADS &amp; BRIDGES &amp; MUN. VEHICLES</t>
  </si>
  <si>
    <t xml:space="preserve"> PRINTING &amp; BINDING OF LEARNING MODULES</t>
  </si>
  <si>
    <t xml:space="preserve"> Republic of the Philippines							     Department of Agriculture							    BUREAU OF FISHERIES AND AQUATIC RESOURCES VII							 BIDS AND AWARDS COMMITTEE (BAC) OFFICE							         Arellano Blvd., Cebu City							        Tel.No.:(032) 260-6398    E-mail:</t>
  </si>
  <si>
    <t xml:space="preserve"> Republic of the Philippines  Province of Nueva Ecija City Government of Palayan INVITATION TO BID FOR THE CONSTRUCTION OF DAYCARE CENTER @ BRGY. ATATE(old) PALAYAN CITY 1.	The City Government of Palayan, through the 20% DEVELOPMENT FUND FOR THE YEAR 2020 </t>
  </si>
  <si>
    <t xml:space="preserve"> Republic of the Philippines PROVINCE OF ALBAY 				   Municipality of Rapu-Rapu Invitation to Bid for  Livelihood Support for the Fisherfolk of Brgy. Liguan (FISHCAGE) 1.	The Local Government Units of Rapu-Rapu, Albay through the Approved National Governme</t>
  </si>
  <si>
    <t xml:space="preserve"> Materials: 1. RSB 16mm.dia. - 30 pcs. 2. RSB 12mm.dia. - 10 pcs. 3. RSB 10mm.dia. - 40 pcs. 4. GI Tie Wire #16 - 10 kgs. 5. Portland Cement - 60 bags 6. Sand - 8 cu.m. 7. Gravel 1/2 - 5 cu.m. 8. Coco Lumber 2x3x12 - 120 bdft. 9. Plywood 1/4, marine - 4 sh</t>
  </si>
  <si>
    <t xml:space="preserve"> Delivery Address: DepEd-Tarlac City Schools Division, Juan Luna St., Sto. Cristo, Tarlac City UNIT....................QUANTITY......................ITEM DESCRIPTION ream...................371...............................A4 80gsm Coupon Bond set.........</t>
  </si>
  <si>
    <t xml:space="preserve"> SEE ATTACHED PURCHASE REQUEST (PR)</t>
  </si>
  <si>
    <t xml:space="preserve"> QTY.	UNIT	DESCRIPTION 1	lot	Meals for 3 day Training for Tourism Liaison Officer 		 		Menu: 		Day 1 60	pax	AM Snack 		Chicken Sandwich 		C2 Solo 		 60	pax	Lunch: 		Pork Steak 		Chicken Gravy 		Canton Sotanghon 		Rice 		Macaroni Salad 		Soft Drinks 		 60	p</t>
  </si>
  <si>
    <t xml:space="preserve"> Meals for Frontliners</t>
  </si>
  <si>
    <t xml:space="preserve"> 4 piece Tire 245/70 R16</t>
  </si>
  <si>
    <t xml:space="preserve"> Request for Quotation for the Procurement of Office Supplies to be used in DA RFO-7 offices in support to the implementation of various projects 1.	The Department of Agriculture-Regional Field Office 7 (DA-RFO 7), through the General Appropriations Act of</t>
  </si>
  <si>
    <t xml:space="preserve"> I UNIT LAPTOP WITH COMPLETE ACCESSORIES Spec: Y740-151CHG-81HE007MPH178750H/16GB/1TB+265GBM,2/NVDRTX2060GBB/15.6W10H(BLSCK) PRINTER</t>
  </si>
  <si>
    <t xml:space="preserve"> Concreting of Local Access Road at Cansan, Cabagan, Isabela LGU Cabagan Cabagan, Isabela</t>
  </si>
  <si>
    <t xml:space="preserve"> 1	1	Lot	Supply and Delivery of  Office Supplies ₱74,560.66			 			Item Description:			 	75	Pcs	SIGN PEN, BLACK, liquid/gel ink, 0.5mm needle tip			 	75	Pcs	SIGN PEN, BLUE, liquid/gel ink, 0.5mm needle tip			 	25	Pcs	SIGN PEN, RED, liquid/gel ink, 0.5mm nee</t>
  </si>
  <si>
    <t xml:space="preserve"> BACOLOD BRANCH - Queuing Machine System ABC Php 350,000.00 Specifications attached.</t>
  </si>
  <si>
    <t xml:space="preserve"> Department of Agriculture						 Bureau of Plant Industry						 National Seed Quality Control Services Division						 Malasin, San Mateo, Isabela, Philippines						 E-mail Address: nsqcs_reg2@yahoo.com.ph						 Mobile No.: 0947-680-9796, 0917-133-3274| Web</t>
  </si>
  <si>
    <t xml:space="preserve"> Quantity	Unit	Articles  sacks 	5	Carbonized Rice Hull  liter 	100	Molasses  sacks 	5	Vermicast  pc 	6	Seedling tray, plastic  roll 	2	Plastic Twine  pack 	10	Assorted Vegetable Seedlings  pcs 	10	Rags  pcs 	5	Strainer, Nylon Screen , Fine mesh   pcs 	10	S</t>
  </si>
  <si>
    <t xml:space="preserve"> Description LR Modules (Grade 11 to 12 All learning areas) Technical Specification Paper size used on layout (A4), paper thickness 70 gsm, (BP), Sorter LR Modules per grade level per learning area. Quantity 228,704  pages</t>
  </si>
  <si>
    <t xml:space="preserve"> INVITATION TO NEGOTIATE FOR THE PURCHASE OF TWENTY (20) UNITS BRAND NEW SINGLE MOTORCYCLE The Municipality of Isulan, through the GENERAL FUND 2020  intends to apply the sum of ONE MILLION ONE HUNDRED FORTY THOUSAND PESOS (P 1,140,000.00) being the Approv</t>
  </si>
  <si>
    <t xml:space="preserve"> Republic of the Philippines Province of Agusan del Sur Municipality of Trento BARANGAY CUEVAS BIDS &amp; AWARDS COMMITTEE INVITATION TO BID  FOR THE INSTALLATION OF GUTTER FOR MULTI-PURPOSE BUILDING 1.	The BLGU-Cuevas, through the 20% BDF intends to apply the</t>
  </si>
  <si>
    <t xml:space="preserve"> PROCUREMENT OF OF 1 UNIT IPAD</t>
  </si>
  <si>
    <t xml:space="preserve"> 1 roll B-net/Horticultural Net 1/4" mesh double-width etc.</t>
  </si>
  <si>
    <t xml:space="preserve"> 1400 sets Data Folder with clip</t>
  </si>
  <si>
    <t xml:space="preserve"> specs; Model - ES-SSL 30W Wattage - 30W Luminous Lux - 3600LM Solar Panel - 50W Color Temperature- 2700-6500K Warm, Nature White, Daylight Battery Type- Lithium Bttery Lifetime - &gt;50,000hrs. Work Time- 10hrs. full power/=4hrs. half power IP Rating- IP65 L</t>
  </si>
  <si>
    <t xml:space="preserve"> 21 pcs Thermal Scanner 20 boxes  Face Mask 50 bottle  Alcohol 70% 500 ml 50 gallon  Alcohol 70% 16 boxes  Surgical Gloves Medium 36 pcs    PPE 40 pcs    Goggles 40 pcs    Face Shield 25 units  Air Purifier</t>
  </si>
  <si>
    <t xml:space="preserve"> LOT I-ELECTRICAL MATERIALS	 BOLT,OVAL EYE 5/8"X10", HOT DIP GALVANIZED FORGED	8 PCS. CLAMP CONDUCTOR LOOP DEADEND	10 PCS CLEVIS, SECONDARY SWINGING WITHOUT SPOOL,HOT DIP GALVANIZED	2 PCS INSULATOR,SPOOL 3" GROOVE DIA. ANSI,CLASS 53-4	2 PCS NUT,LOCK,MF TYP</t>
  </si>
  <si>
    <t xml:space="preserve"> 2020 25TH PUBLIC BIDDING PROCUREMENT OF HOUSEKEEPING AND LINEN AND LAUNDRY SUPPLIES FOR 2020 2ND SEMESTER CONSUMPTION</t>
  </si>
  <si>
    <t xml:space="preserve"> INVITATION TO APPLY FOR ELIGIBILITY AND TO BID The MUNICIPALITY OF RONDA, through its Bids &amp; Awards Committee (BAC), Invites Suppliers registered with and classified by the DTI to Bid for the hereunder contract: Name of Contract	: Procurement of Relief/Se</t>
  </si>
  <si>
    <t xml:space="preserve"> 1 pc. 100mm diameter Flow Meter with Reed Switch 1 150mm diameter Flow Meter with Reed Switch</t>
  </si>
  <si>
    <t xml:space="preserve"> ABC: Purchase Assorted Office Supplies and Office Equipment</t>
  </si>
  <si>
    <t xml:space="preserve"> PROCUREMENT OF THERMAL SCANNER, ETC.</t>
  </si>
  <si>
    <t xml:space="preserve"> Supply and Delivery of Pulse Oximeter for Medical Use</t>
  </si>
  <si>
    <t xml:space="preserve"> Republic of the Philippines CITY GOVERNMENT OF LA CARLOTA BIDS AND AWARDS COMMITTEE OFFICE TEL. NO.  735-1370                                                                                                      	               	 INVITATION TO BID FOR THE </t>
  </si>
  <si>
    <t xml:space="preserve"> UNIT    ITEM DESCRIPTION    QTY cu. m.  common soil (clay)      375 cu. m.  screened sand             5 cu. m.  screened gravel           10 bag      portland cement          45 kg        cw nails                      8 pc        4"thick concrete hollow b</t>
  </si>
  <si>
    <t xml:space="preserve"> Please quote your lowest price of the following items  No. Description                                                             Unit                  Quantity 1. Alcohol ethyl 70% scented 500ml	                          Bottle                  30  2. C</t>
  </si>
  <si>
    <t xml:space="preserve"> Republic of the Philippines  Province of Nueva Ecija City Government of Palayan INVITATION TO BID FOR THE CONSTRUCTION OF COMMUNITY PRECINT (COMPAC) @ BRGY. MANACNAC, PALAYAN CITY 1.	The City Government of Palayan, through the General Fund intends to appl</t>
  </si>
  <si>
    <t xml:space="preserve"> Republic of the Philippines Province of Iloilo Municipality of New Lucena    New Lucena, Iloilo 							         August 5, 2020     Invitation to Bid for the Concreting of Public Trail Brgy.Cabilauan, New Lucena , Iloilo.  	1. The Municipality of New Lucen</t>
  </si>
  <si>
    <t xml:space="preserve"> The Western Mindanao State University, through its Bids and Awards Committee (BAC), is inviting PhilGEPS registered suppliers to apply for eligibility and to submit bids for the item mentioned hereunder:  1.)	4	Units	Caliber Pistol 9mm 			Specifications: </t>
  </si>
  <si>
    <t xml:space="preserve"> The Development Bank of the Philippines (DBP), through its Northern Luzon – Regional Bids and Awards Committee (RBAC), will undertake a Small Value Procurement for the “Supply, Delivery, Installation and Testing of One (1) 5-Tonner Air-conditioning Unit” </t>
  </si>
  <si>
    <t xml:space="preserve"> Request for Quotation (Negotiated Procurement-Sec. 53.1 of RIRR of RA 9184)                                                                             The Iligan City Government Bids and Awards Committee(BAC) Posted Request for Quotation for the Supply a</t>
  </si>
  <si>
    <t xml:space="preserve"> PROCUREMENT OF REPAIR AND MAINTENANCE OF AIRCON UNITS (VARIOUS OFFICE)</t>
  </si>
  <si>
    <t xml:space="preserve"> PURCHASE &amp; DELIVERY OF FOOD STUFF (RICE SUBSIDY) FOR THE 3RD QUARTER 2020</t>
  </si>
  <si>
    <t xml:space="preserve"> Republic of the Philippines Province of Iloilo Municipality of New Lucena    New Lucena, Iloilo 							         August 5, 2020     Invitation to Bid for the Completion/Construction of Multi – Purpose Gym, Brgy. Bita-og Gaja,New Lucena , Iloilo.  	1. The M</t>
  </si>
  <si>
    <t xml:space="preserve"> Supply and Delivery of Diesel, Gasoline and Other Supplies for the Vehicle Utilization of SDSSU Tagbina Campus Please see attached Request for Quotation (RFQ)</t>
  </si>
  <si>
    <t xml:space="preserve"> REPAIR &amp; MAINTENANCE OF VARIOUS MUN. VEHICLES</t>
  </si>
  <si>
    <t xml:space="preserve"> desktop computer with table</t>
  </si>
  <si>
    <t xml:space="preserve"> Item No.	Quantity	Unit of Issue	ITEM DESCRIPTION 			 1	12	units	SOLAR STREETLIGHTS 			*Electrical Fixture (LED Streetlight 20 watts) 			* Product Code: GRL/GSRL 20W DL/GRL/GSRL 20W WW 			*Lighting Time: 48 hours (Dusk to Dawn) 			*Lighting Source: Super C</t>
  </si>
  <si>
    <t xml:space="preserve"> 60 units WiFi Modem</t>
  </si>
  <si>
    <t xml:space="preserve"> Foodpacks for Frontliners</t>
  </si>
  <si>
    <t xml:space="preserve"> 1	1	Lot	Supply and Delivery of  Office Supplies ₱80,639.65			 			Item Description:			 	72	Pcs	SIGN PEN, BLACK, liquid/gel ink, 0.5mm needle tip			 	72	pcs	SIGN PEN, BLUE, liquid/gel ink, 0.5mm needle tip			 	15	Pcs	ERASER, PLASTIC/RUBBER, for pencil draft</t>
  </si>
  <si>
    <t xml:space="preserve"> DESCRIPTION: One (1) Unit Dump Truck SPECIFICATIONS: 4 Cylinder Diesel Engine 4x4 (6 wheeler) 5 speed (Manual Transmission) 3.9 Liters (Turbo Intercooler) 8.25-16 &amp; 6.5-16 (Tire &amp; Rim) 8500 kg. Gross Vehicle Weight INCLUSIVE OF: 120 Ton Jack 1 Set Early W</t>
  </si>
  <si>
    <t xml:space="preserve"> Supply and Delivery of Health Kits for All Kinder to Grade 6 Learners for SY 2020-2021</t>
  </si>
  <si>
    <t xml:space="preserve"> REPAIR AND MAINTENANCE OF GREEN DUMPTRUCK</t>
  </si>
  <si>
    <t xml:space="preserve"> One Unit Motor Vehicle (Ambulance) Specifications are included in the Bid Docs</t>
  </si>
  <si>
    <t xml:space="preserve"> Please see attached RFQ # 20-1147-2 and attached Program of Works attached with the RFQ Submit your Sign and Sealed Quotation together with your UPDATED ELIGIBILITY Requirements at 3/F ATI Building Department of Agriculture Region IV-MiMaRoPa, Property&amp;Su</t>
  </si>
  <si>
    <t xml:space="preserve"> INVITATION TO PUBLIC BIDDING FOR THE BARANGAY PROJECT: DESKTOP COMPUTER SETS WITH PRINTER  1. The Barangay Tandang Sora will be conducting a public bidding for the following purchase request indicated below: Computer Specs: Motherboard Gigabyte B360 Video</t>
  </si>
  <si>
    <t xml:space="preserve"> Construction Projects</t>
  </si>
  <si>
    <t xml:space="preserve"> Unit 	Item Description	Quantity 		 pc	Long Plastic Envelop Transparent	4,976 ream 	Short Bond Paper	10</t>
  </si>
  <si>
    <t xml:space="preserve"> 8	Unit	7.5 Ton Aircondition, Floor Mounted , 220V/50-60Hz, ABC 200,000.00/unit 		with standard length pipings &amp; 20ft installation of pipings				 		Inclusions:				 		• Circuit Breaker and Angular Bracket				 		• Price Shall Include delivery &amp; installation	</t>
  </si>
  <si>
    <t xml:space="preserve"> 2   sets   LED garden lights 1   unit   solar LED streetlight</t>
  </si>
  <si>
    <t xml:space="preserve"> 1.00       lot      Concreting Works</t>
  </si>
  <si>
    <t xml:space="preserve"> ITEM DESCRIPTIONS ARE IN ATTACHED FILE</t>
  </si>
  <si>
    <t xml:space="preserve"> SUPPLY AND DELIVERY AND INSTALLATION OF FIVE (5) UNITS AIRCONDITIONING SYSTEM (RE-BID) --- PHP 409,752.00</t>
  </si>
  <si>
    <t xml:space="preserve"> 39 bots Toner 400/500 5 bots Ink Xerox 5855 with Finisher</t>
  </si>
  <si>
    <t xml:space="preserve"> Materials for the Proposed Construction of CR w/ Septic Tank (Brgy. Outpost)</t>
  </si>
  <si>
    <t xml:space="preserve"> Office Fixtures and Furnitures</t>
  </si>
  <si>
    <t xml:space="preserve"> Request for Quotation: RFQ-2008-732 1. 4,720 ltrs. Diesel Fuel</t>
  </si>
  <si>
    <t xml:space="preserve"> LED Light, High bay, 160W, Superior Quality							8	units	49,500.00 Wattage:160W									 Luminous Efficacy:145lm/W									 Luminous Flux: 23,200 lm									 AC 100-277V									 Operation Temp.: - 30deg.celsius -60deg.celsius									 Body : cast Alumin</t>
  </si>
  <si>
    <t xml:space="preserve"> INVITATION TO NEGOTIATE  FOR THE SUPPLY &amp; DELIVERY OF FABRICATED MOTORCYCLE SIDECAR The Municipality of Isulan, through the 2020 GENERAL FUND  intends to apply the sum of TWO HUNDRED FORTY THOUSAND PESOS ONLY (P240,000.00) being the total Approved Budget </t>
  </si>
  <si>
    <t xml:space="preserve"> INVITATION TO APPLY FOR ELIGIBILITY AND TO BID The Municipality of San Pablo Province of Zamboanga del Sur, through its Bids and Awards Committee (BAC), invites all interested suppliers/manufacturers/distributors/contractors to apply for eligibility and t</t>
  </si>
  <si>
    <t xml:space="preserve"> REQUEST FOR EXPRESSION OF INTEREST FOR  Consulting Services  for the Conduct of the Ground Penetrating Radar (GPR) and Geo-Resistivity Surveys  for the Construction of Proposed 6-Storey New Buildings for the Modernization Plan of  Gov. Celestino Gallares </t>
  </si>
  <si>
    <t xml:space="preserve"> - The Municipality of Baliguian, request for quotation for the Acquisition including installation of CCTV Camera. - The Estimated Budget Cost fr this Project is Six Hundred Thousand Pesos (Php600,000.00) - Interested suppliers/bidders may obtain further i</t>
  </si>
  <si>
    <t xml:space="preserve"> Procurement of DRRM Equipment     LOT A               2	units	Two-way Radio 		              Specifications: 5 watts power on VHF &amp; UHF 		                                    Standard package antenna, Battery charger belt clip 		                            </t>
  </si>
  <si>
    <t xml:space="preserve"> The program of work is available at the Bids and Awards Committee Secretariat MPDC-2nd Floor, Lasam Municipal Town Hall</t>
  </si>
  <si>
    <t xml:space="preserve"> Supply of meals (Breakfast, Lunch and Dinner)</t>
  </si>
  <si>
    <t xml:space="preserve"> Location: Purok Capricorn, Tumog, Luna, Apayao Materials</t>
  </si>
  <si>
    <t xml:space="preserve"> OUTBOARD MOTOR Cylinder (2) Compression Ration (6.0) Shaft Long 21 inches HP 40 @ 5000 rpm Weight 240 lbs Control Gear-Forward, Neutral &amp; Reverse</t>
  </si>
  <si>
    <t xml:space="preserve"> For Honda XRM Motorcycle 1 set Motorcycle Rim with Spoke (Front) installation included 1 set Shock Absorber (left and right) Black</t>
  </si>
  <si>
    <t xml:space="preserve"> 36 liters Insecticide  Deltamethrin 2.5 EC  Synthetic Pyrethroid for the effective control of  dengue and malaria mosquito vector For thermal Fogging &amp; Misting</t>
  </si>
  <si>
    <t xml:space="preserve"> 1. The Total Approved Budget for the Contract (ABC) is One Hundred Twenty Two Thousand Three Hundred Twenty Five Pesos (Php 122,325.00). 2. Price quotation/s should be inclusive of tax obligations. 3. Evaluation of bids will be conducted either on a “per </t>
  </si>
  <si>
    <t xml:space="preserve"> ITEM DESCRIPTION UNIT QUANTITY CONCRETE WORKS Portland Cement bags 37 Gravel G1(6 wheeler DT) load 1 Screened sand S1 (6 wheeler DT) load 2 10mmØx.omX6m RSB pcs 5 Welding rod kg 1/2 STEEL WORKS 3"ØX20'GI pipe pcs 3 1/4"x2"x4"x20' channel bar pcs 7 2"x3"x2</t>
  </si>
  <si>
    <t xml:space="preserve"> Vigan City	Project Reference Number:	08242020-117 	Name of the Project :	Construction of Vigan Display Center-Phase IV Standard Form Number: SF-GOOD-05	Location of the Project:    	Crisologo St. Barangay I, Vigan City Revise on: July 28, 2004		 		 INVITAT</t>
  </si>
  <si>
    <t xml:space="preserve"> 1 unit Air Condition 2.5HP Split wall mounted type with Installation and Circuit Breaker and Magnetic switch 40A</t>
  </si>
  <si>
    <t xml:space="preserve"> --------Qty.-----------Unit-----------ITEM/S DESCRIPTION ---------1-------------set------------Molded Case Circuit Breaker ---------------------------------------Specification: ---------------------------------------MCCB 1600AT ---------------------------</t>
  </si>
  <si>
    <t xml:space="preserve"> The Public Information Office, of the Supreme Court, through the Procurement Section, invites interested suppliers to quote for the price/s of the item/s listed in the attached document (PLEASE DOWNLOAD) Please also provide "Eligibility Documents, Annex A</t>
  </si>
  <si>
    <t xml:space="preserve"> RFQ No. 2020-08-33              REQUEST FOR QUOTATION Supply &amp; Delivery of Tires PR# 2020-07-275 The National Irrigation Administration – Upper Pampanga River Integrated Irrigation Systems (UPRIIS) Main Office hereinafter referred to as the “Purchaser”, t</t>
  </si>
  <si>
    <t xml:space="preserve"> 1. The Barangay Tandang Sora will be conducting a public bidding for the following purchase request indicated below: Printer Specs: 1 Unit of Photocopy Printing Machine with consumables  5 Toner 1 Drum 1  Developing Unit</t>
  </si>
  <si>
    <t xml:space="preserve"> The Local Government Unit of Isabel, Leyte through its Bids and Awards Committee (BAC), invites eligible bidders to bid the hereunder: Name of Project :Construction of one-storey evacuation center (35m x 12m) Location: Mahayag, Isabel, Leyte Brief Descrip</t>
  </si>
  <si>
    <t xml:space="preserve"> 1,000	Pack	Detergent Powder 2kg, ABC 200.00/pack RFQ#08-0825R</t>
  </si>
  <si>
    <t xml:space="preserve"> Solar Street Light ABC: PHP350,000.00 Quantity: 20 set Specification: Solar Light Dimension: 95x34x11cm Power 200w Solar Panel 35x70cm  6V 40w Battery 3.2V 40AH Charging 6-8 hours Discharging time 10-12 hours, lasting 2-3 rainy days Sensor Dusk Senor, Rem</t>
  </si>
  <si>
    <t xml:space="preserve"> Supply of Wiring and Double Throw Circuit Breaker including Installation</t>
  </si>
  <si>
    <t xml:space="preserve"> Superior Quality LED Flood Light, unrivaled Efficay							5	units	90,000.00 Wattage: 200W w/ 840 LED Chips									 luminous Efficacy: 150lm/W									 Luminous Flux: 30,000 lm									 AC 100-240V									 operation Temp: -30deg.celsius - 50deg.celsius		</t>
  </si>
  <si>
    <t xml:space="preserve"> Unit 	Item Description    	Quantity 		 pieces	Module Container 100 L	15 boxes	Surgical Gloves	               4</t>
  </si>
  <si>
    <t xml:space="preserve"> ITEM NO. 	QTY.  	UNIT        	NAME/DESCRIPTION  OF ARTICLES                                                                          (State Brand or Market Name)                                                                     						UNIT PRICE   		TOTA</t>
  </si>
  <si>
    <t xml:space="preserve"> Whole Body Raincoat, Thick (Good Quality), For Adult							320	pcs	331.25 Project Name:		other Supplies and materials Expenses							 Place of Delivery:		PGO-PSWDO							 ABC:P106,000.00</t>
  </si>
  <si>
    <t xml:space="preserve"> Project Ref. Number		:	25-20-01-goods			 Project Name		:	Supply and Delivery of Construction Materials and Supplies for the Improvement of Multi-Purpose Hall			 Project Location			Barangay Sagongon, Mulanay, Quezon			 						 				Standard Form Number : SF </t>
  </si>
  <si>
    <t xml:space="preserve"> Republic of the Philippines Province of Capiz Municipality of Mambusao REQUEST FOR QUOTATION BIDS AND AWARDS COMMITTEE 	        AUGUST 6, 2020      Date    	Please quote your lowest price on the items listed below, subject to the general conditions stated</t>
  </si>
  <si>
    <t xml:space="preserve"> 1. The Barangay Tandang Sora will be conducting a public bidding for the following purchase request indicated below: 30pcs  Executive Chairs with armrest 20pcs Visitor's Chair with armrest 2pcs Executive Tables</t>
  </si>
  <si>
    <t xml:space="preserve"> 4,300	Piece	N95 Small, ABC 300.00/pc 1,500	Piece	N95 Medium, ABC 300.00/pc 1,000	Piece	N95 Large, ABC 300.00/pc RFQ#08-0828</t>
  </si>
  <si>
    <t xml:space="preserve"> Request for Quotation for the Procurement of Other Supplies to be used in Geo-resistivity surveys of RAED in support to the implementation of various projects 1.	The Department of Agriculture-Regional Field Office 7 (DA-RFO 7), through the General Appropr</t>
  </si>
  <si>
    <t xml:space="preserve"> Unit 	Item Description	Quantity 		 pieces	Printing of Flyers	2,500 	    (Back to Back)</t>
  </si>
  <si>
    <t xml:space="preserve"> Please see attached RFQ # 20-1147-3 and attached Program of Works attached with the RFQ Submit your Sign and Sealed Quotation together with your UPDATED ELIGIBILITY Requirements at 3/F ATI Building Department of Agriculture Region IV-MiMaRoPa, Property&amp;Su</t>
  </si>
  <si>
    <t xml:space="preserve"> The Western Mindanao State University, through its Bids and Awards Committee (BAC), is inviting PhilGEPS registered suppliers to apply for eligibility and to submit bids for the item mentioned hereunder:  1.)	10	Units	Abney Hand Level 			5 case 1/4" long </t>
  </si>
  <si>
    <t xml:space="preserve"> 3 issues of Mun. Ordinance Nos.  # 19-15 Instutionalizing the establishment of Brgy. VAWC  Desk in the 75 brgys. Of Lib., launching protocol in handling  cases &amp; the search for the best performing brgy. VAWC providing funds for the said purpose. # 19-19 A</t>
  </si>
  <si>
    <t xml:space="preserve"> Request for Quotation: RFQ-2008-725 1. 3,333 ltrs. Diesel Fuel</t>
  </si>
  <si>
    <t xml:space="preserve"> Republic of the Philippines Province of Misamis Oriental MUNICIPALITY OF KINOGUITAN BIDS AND AWARDS COMMITTEE (BAC) INVITATION to APPLY for ELIGIBILITY and to BID The Local Government Unit of Kinoguitan, this province, invites interested prospective bidde</t>
  </si>
  <si>
    <t xml:space="preserve"> 1.00 lot Repair/Rehabilitation of Barangay Stage Roofing</t>
  </si>
  <si>
    <t xml:space="preserve"> SEE ATTACHED POW</t>
  </si>
  <si>
    <t xml:space="preserve"> PRESSURE PLATES &amp; 7 OTHER L/I</t>
  </si>
  <si>
    <t xml:space="preserve"> Republic of the Philippines BANGSAMORO AUTONOMOUS REGION IN MUSLIM MINDANAO Province of Maguindanao Municipality of Pandag INVITATION TO BID PROCUREMENT OF AID TO BARANGAY FOR CHILDREN (ITB No. 38-Goods-2020) The Local Government Unit of Pandag, Maguindan</t>
  </si>
  <si>
    <t xml:space="preserve"> Republic of the Philippines Province of Leyte Municipality of Pastrana  -oOo- INVITATION TO BID  INSTALLATION OF SOLAR STREET LIGHTS The Barangay Canino-an, Municipality of Pastrana intends to apply the sum of TWO HUNDRED THIRTY THOUSAND PESOS (₱ 230,000.</t>
  </si>
  <si>
    <t xml:space="preserve"> Republic of the Philippines DR. EMILIO B. ESPINOSA, SR. MEMORIAL STATE COLLEGE  OF AGRICULTURE AND TECHNOLOGY (Masbate State College) http:www.debesmscat.edu.ph Cabitan, Mandaon, Masbate Sir/Madam; The DEBESMSCAT invites suppliers to submit quotations or </t>
  </si>
  <si>
    <t xml:space="preserve"> Republic of the Philippines BANGSAMORO AUTONOMOUS REGION IN MUSLIM MINDANAO Province of Maguindanao Municipality of Pandag INVITATION TO BID PROCUREMENT OF TARPAULIN &amp; LEAFLETS FOR ANTI RED TAPE PROGRAM (ITB No. 38-Goods-2020) The Local Government Unit of</t>
  </si>
  <si>
    <t xml:space="preserve"> Interested Suppliers may submit sealed quotations to the General Services Offices, Municipal Compound, Bgy. Poblacion, Narra, Palawan and Addressed to the BAC Chairman through BAC Secretariat.     Deadline of submission Three days starting from the public</t>
  </si>
  <si>
    <t xml:space="preserve"> Republic of the Philippines          City of Dumaguete Bids and Awards Committee INVITATION TO BID FOR JOB ORDER OF POLO SHIRT TRAFFIC UNIFORM 	The City of Dumaguete thru its BIDS AND AWARDS COMMITTEE (BAC), invites all interested manufacturers, suppliers</t>
  </si>
  <si>
    <t xml:space="preserve"> Prospective bidders should have experience  in undertaking a similar project within the last two (2) years with an amount of at least 50% of the proposed project for bidding and have key personnel and equipment (owned, leased or under purchase) available </t>
  </si>
  <si>
    <t xml:space="preserve"> The Barangay Palca, Tuao Cagayan through its 20% Barangay Dev't Fund intends to apply the sum of                  Php 154,178.64  being the Approved Budget for the Contract (ABC) to payments under the contract for  Perimeter Fencing of the Multi-Purpose H</t>
  </si>
  <si>
    <t xml:space="preserve"> INVITATION TO BID ITB 2020 - 34 1.The Dr. Jose Fabella Memorial Hospital, through General Appropriations Act 2020 (GAA 2020) intends to apply the amount of Five Million Three Hundred Fourteen Thousand Nine Hundred Pesos and Sixty Centavos (Php 5,314,900.6</t>
  </si>
  <si>
    <t xml:space="preserve"> Specialty Paper, 120gsm, A4, 10pcs/pack 100 packs</t>
  </si>
  <si>
    <t xml:space="preserve"> Republic of the Philippines  Province of Batangas  Municipality of Laurel BARANGAY BUGAAN EAST BIDS AND AWARDS COMMITTEE INVITATION TO BID I.     The Barangay Government of Barangay Bugaan East, Laurel, Batangas through its Bids and Award Committee (BAC),</t>
  </si>
  <si>
    <t xml:space="preserve"> Name of Project/Contract	:	CONSTRUCTION OF MUNICIPAL SANITARY LANDFILL Location				:	Lupa, Kasibu, Nueva Vizcaya Brief Description		: 1.	Construction of Sanitary Landfill including bulk excavation;  2.	embankment;  3.	laying of clay liner;  4.	installatio</t>
  </si>
  <si>
    <t xml:space="preserve"> Issuance of Bid Documents Starts: August 5, 2020 Cost of Bid Document: Php 1,000.00 Venue of Dropping and Opening Bids: BAC Conference Room, Leyte SMED Center, Provincial Capitol Grounds, Tacloban City</t>
  </si>
  <si>
    <t xml:space="preserve"> The National Irrigation Administration-Regional Office 12, Villarica, Midsayap, Cotabato, through the Fund 501 has the Approved Budget for the Contract (ABC) amounting to TWO HUNDRED FIFTY NINE THOUSAND THIRTY TWO PESOS &amp; 60/100 ONLY (P 259,032.60). Quota</t>
  </si>
  <si>
    <t xml:space="preserve"> Republic of the Philippines							 Province of Bohol							 Municipality of Batuan							 OFFICE OF THE BIDS AND AWARDS COMMITTEE							 							 ABSTRACT OF BID/BILL OF QUANTITIES							 ____________________________							 ____________________________				</t>
  </si>
  <si>
    <t xml:space="preserve"> Stock/	Unit	Item Description			Quantity Property No.							 1	Unit	Printer					                3 2	Unit	Biometric					                  1 3	ream	Bond Paper (Long)					5 4	ream	Bond Paper (Short)					2 5	ream	Bond Paper A4					         2 6	Unit	Thermal Sca</t>
  </si>
  <si>
    <t xml:space="preserve"> Please quote your lowest price of the following Items No.  Description                                                              Unit                     Quantity 1. Insecticide aerosol type 600ml	                          Can                          </t>
  </si>
  <si>
    <t xml:space="preserve"> Republic of the Philippines PROVINCE OF SAMAR Catbalogan -o0o- Standard Form Number: SF-INFRA-05 Revised on: July 29, 2004 INVITATION TO  BID The Provincial Government of Samar, through its Bids and Awards Committee (BAC), invites contractors registered w</t>
  </si>
  <si>
    <t xml:space="preserve"> Request for Quotation for the Procurement of Office Supplies to be used in RAED in support to the implementation of various projects 1.	The Department of Agriculture-Regional Field Office 7 (DA-RFO 7), through the General Appropriations Act of CY 2020)  i</t>
  </si>
  <si>
    <t xml:space="preserve"> INVITATION TO APPLY FOR ELIGIBILITY AND TO BID THE MUNICIPALITY OF CAIBIRAN, BILIRAN IS INVITING ALL INTERESTED BIDDERS ON ITS FORTHCOMING PUBLIC BIDDING FOR: Project Title 	: Purchase of Training Materials on Rice-Duck Integration Season Long Training Lo</t>
  </si>
  <si>
    <t xml:space="preserve"> The City Government of San Pedro, Laguna invites interested parties to quote for the following item/s as per request CDRRMO: Qty.	Unit of Issue	Item Description            444.40 	cu.m.	Excavation / Dredging of Creek            444.40 	cu.m.	Disposal of W</t>
  </si>
  <si>
    <t xml:space="preserve"> UNIT    ITEM DESCRIPTION    QTY ream    Paper, Multi-purpose (Copy) A4 70GSM    14 ream    Paper, Multi-purpose (Copy) Legal 70GSM    17 book    Record Book 300 Pages Size: 214mm x 278mm    6 pc        External Harddrive 1TB 2.5HDD USB 3.0 gal       Herbi</t>
  </si>
  <si>
    <t xml:space="preserve"> Expanded Ecobag with school logo  (25 cm x 35 cm x 7 cm)</t>
  </si>
  <si>
    <t xml:space="preserve"> Republic of the Philippines Province of Cagayan Municipality of Camalaniugan August 6, 2020 INVITATION TO BID  FOR THE FURNISHING &amp; DELIVERY OF NINE (9) UNITS XEROX/COPIER MACHINE 1.	The Municipality of Camalaniugan, through the SPECIAL EDUCATION FUND, in</t>
  </si>
  <si>
    <t xml:space="preserve"> ITEM NO	 DESCRIPTION						QTY	UNIT 								 	PR # MO-200-2020-07-142							 								 1	Rice						55	sacks 								 								 								 				 								 				ABC: 132,000.00</t>
  </si>
  <si>
    <t xml:space="preserve"> HOSE, HYDRAULIC (DUMP TRUCK #542) &amp; 9 OTHER L/I</t>
  </si>
  <si>
    <t xml:space="preserve"> No.	QTY	UNIT	AGENCY'S SPECIFICATIONS 			Supply &amp; Installation Supervision 1	1	set	Submersible Pump coupled with submersible motor, 			water lubricated for 4 inches diameter casing or larger well,  			1 phase 230 volts, 3450 rpm capable of delivering 1.15 </t>
  </si>
  <si>
    <t xml:space="preserve"> Republic of the Philippines BATANGAS STATE UNIVERSITY Batangas City REQUEST FOR QUOTATION "Procurement for the Printing of BatStateU Chronicle 2nd Quarter (April-June 2020)"  1. The Batangas State University (BatState U) through the Bids and Awards Commit</t>
  </si>
  <si>
    <t xml:space="preserve"> Construction of styairway</t>
  </si>
  <si>
    <t xml:space="preserve"> PROCUREMENT OF INFORMATION TECHNOLOGY</t>
  </si>
  <si>
    <t xml:space="preserve"> This is intended for the purchase of medicines and medical supplies used at RHU. (See attached Purchase Request)</t>
  </si>
  <si>
    <t xml:space="preserve"> 1	unit	computer set 1	unit	AVR 1	unit	printer 5	pcs	usb</t>
  </si>
  <si>
    <t xml:space="preserve"> 1.	The Local Government Unit (LGU) of Sta. Teresita , Cagayan, through the General Fund (PPE Furniture and Fixture) intends to apply the sum of TWO HUNDRED THREE THOUSAND &amp; 00/100  PESOS (P203,000.00) being the Approved Budget for the Contract (ABC) to pa</t>
  </si>
  <si>
    <t xml:space="preserve"> Republic of the Philippines DEPARTMENT OF HEALTH DR. JOSE RIZAL MEMORIAL HOSPITAL Lawaan, Dapitan City Telefax; (065) 213-6421 Website: www.djrmh.doh.gov.ph Email: dohdjrmh@gmail.com BIDS AND AWARDS COMMITTEE INVITATION TO BID PROCUREMENT FOR THE REPAIR &amp;</t>
  </si>
  <si>
    <t xml:space="preserve"> INK, EPSON T664 (m/b/y/c) 4btl &amp; 8 other l/i</t>
  </si>
  <si>
    <t xml:space="preserve"> MEALS AND ROOM ACCOMMODATION FOR CY 2020	 45 	 PAX 	 54,000.00  			 One (1) day full board			 with the following amenities:			  * airconditioned bedrooms (triple sharing)			  * aircondition and spacious function rooms			  * free flowing brewed coffee			  </t>
  </si>
  <si>
    <t xml:space="preserve"> 10 pcs        STC for PVC, 2" 7 pcs          STC for PVC, 3" 7 pcs          STC for PVC, 4" 3 pcs          STC for PVC, 6" 4 pcs          STC for PVC, 8" 5 pcs          UPVC Pipe S10, 2" 4 pcs          UPVC Pipe S10, 3" 3 pcs          UPVC Pipe S10, 6" 2 </t>
  </si>
  <si>
    <t xml:space="preserve"> Section I. Invitation to Bid FOR THE UPLB-RES-037-08-20  SUPPLY AND DELIVERY OF BRANDED AND BRAND NEW REAL-TIME PCR DETECTION SYSTEM FOR IPB 1.	The UNIVERSITY OF THE PHILIPPINES LOS BAÑOS (UPLB), through the GOP (LB04011001-C002497-N827621) intends to app</t>
  </si>
  <si>
    <t xml:space="preserve"> Republic of the Philippines								 Province of Davao Oriental								 MUNICIPALITY OF BOSTON								 OFFICE OF THE TREASURER								 REQUEST FOR QUOTATION								 								 						August 5, 2020		 Company Name						Quotation No.: 100-20-08-05-260		 							</t>
  </si>
  <si>
    <t xml:space="preserve"> Republic of the Philippines                                                                   PROVINCE OF SAMAR                                                                      INVITATION TO BID                                                         </t>
  </si>
  <si>
    <t xml:space="preserve"> REPUBLIC OF THE PHILIPPINES 		                PROVINCE OF PALAWAN MUNICIPALITY OF LINAPACAN August 4, 2020 Invitation to Bid (ITB No. 39-20) 1.	The Municipal Government of Linapacan, Palawan through the GAD Fund projects intends to apply the sum of Three </t>
  </si>
  <si>
    <t xml:space="preserve"> Republic of the Philippines Province of Bukidnon MUNICIPALITY OF LIBONA Barangay Government Unit of Poblacion INVITATION TO BID 	The Barangay Government Unit of Poblacion, through its Bids and Awards Committee (BAC) invites Suppliers/manufacturers/distrib</t>
  </si>
  <si>
    <t xml:space="preserve"> Request for Quotation City Agriculture Office Agricultural &amp; Marine Supplies  P 151,925.00</t>
  </si>
  <si>
    <t xml:space="preserve"> 1 piece USB Wireless Network Adapter Transmission rate etc.,</t>
  </si>
  <si>
    <t xml:space="preserve"> Rehab. of Drainage Cana</t>
  </si>
  <si>
    <t xml:space="preserve"> Republic of the Philippines Department of Education National Capital Region Schools Division Office-Taguig City and Pateros DISTRICT OF CLUSTER IX PALAR INTEGRATED SCHOOL Scorpion St. Palar Village, Pinagsama, Taguig City Telephone Number: (02) 8245-97-13</t>
  </si>
  <si>
    <t xml:space="preserve"> BACOLOD BRANCH - Burglar Alarm Control System Php 180,000.00 Specifications attached.</t>
  </si>
  <si>
    <t xml:space="preserve"> 2pcs PRESSURE REDUCING VALVE 50MM Series 100 Model 47 Flange Type-Diaprhagm: NBR Standard #03, 3 Way PR Pilot 2 pcs PRESSURE REDUCING VALVE 100MM Series 100 Model 47 Flange Type-Diaprhagm: NBR Standard #03, 3 Way PR 4 pcs MECH. GATE VALVE 100MM (4) Ductil</t>
  </si>
  <si>
    <t xml:space="preserve"> Please quote your lowest price of the following Items No. Description                    Unit                Quantity  1. Paracetamol 	Box       5 2. Krimel - s	Box        5 3. Mefenamic Acid Box	5 4. Cetrizen 	Box          5 5. Dicycloverine 	Box 6. lini</t>
  </si>
  <si>
    <t xml:space="preserve"> 51 bags Tilapia Grower Pellets floater 25kg./bag etc.</t>
  </si>
  <si>
    <t xml:space="preserve"> Construction of 4m x 5m Lupon Building. a. Excavation b. carpentry works c. concrete d. reinforcing bars e. masonry works f. roofing works g. plastering work</t>
  </si>
  <si>
    <t xml:space="preserve"> All particulars relative to the procurement process and contract implementation shall be governed by the pertinent provision of R.A 9184 and its Revised Implementing Rules and Regulations. Quotation Forms are now available at the BAC-Secretariat and upon </t>
  </si>
  <si>
    <t xml:space="preserve"> Request quotation for the following supplies for the reproduction of self-learning modules: 1. 285 reams of bondpaper, A4 2. 9 packs of specialty paper For further information, please refer to: BAC Secretariat: Mr. HARRY JOHN S. JARINA ENGR. CLINT S. CINC</t>
  </si>
  <si>
    <t xml:space="preserve"> Repair/Renovation of Multipurpose Hall</t>
  </si>
  <si>
    <t xml:space="preserve"> REQUEST FOR QUOTATION For Negotiated Procurement thru Small Value Procurement under Sec. 53.9 of the 2016 Revised IRR of RA 9184 Quotation No.:  2020-08-271 Date: August 5, 2020 PR No.: 20-07-268 PR Date: July 14, 2020 The Metropolitan Tuguegarao Water Di</t>
  </si>
  <si>
    <t xml:space="preserve"> materials for Concreting of Farm to Market Road</t>
  </si>
  <si>
    <t xml:space="preserve"> TERMS and CONDITIONS:					 1. All entries must be typewritten or legibly written.					 2. Delivery period within Fifteen (15) working days upon receipt of the approved funded Purchase (P.O.). Administrative penalties pursuant to Sec. 69 of the Revised IRR</t>
  </si>
  <si>
    <t xml:space="preserve"> ITEM NO	 DESCRIPTION						QTY	UNIT 								 	PR # 200-2020-07-17							 	LABOR AND MATERIALS							 	1 UNIT GRADER MG-330 HIDROMEK							 1	Cowl Fabrication and Installation						1	Lumpsum 2	Windshield						1	Lumpsum 3	Painting Works						1	Lumpsum 4	Elec</t>
  </si>
  <si>
    <t xml:space="preserve"> Standard Form Number: SF-INFR-05 Revised on:  July 29, 2004 INVITATION TO APPLY FOR ELIGIBILITY AND TO BID The LGU of  Barangay I, Mataasnakahoy, Batangas, through its Bids and Award Committee (BAC), invites contractors/suppliers registered with PHILGEPS </t>
  </si>
  <si>
    <t xml:space="preserve"> INVITATION OF SECURITY GUARD SERVICES TO SUBMIT QUOTATION 1.	The GINGOOG CITY WATER DISTRICT  resolve the services of five (5) Security Guards to protect and watch-over the Gingoog City Water District Office and all facilities owned/property in different </t>
  </si>
  <si>
    <t xml:space="preserve"> Excavation, concrete works, masonry works (repair of school perimeter fence of Cansirong E/S).</t>
  </si>
  <si>
    <t xml:space="preserve"> Republic of the Philippines PROVINCE OF ZAMBOANGA DEL NORTE Municipality of Sibutad BIDS AND AWARDS COMMITTEE AUGUST 6, 2020 INVITATION TO BID The Local Government Unit of Sibutad, Zamboanga del Norte under P.R. No. GFP100-2020-07-074 dated JULY 24, 2020 </t>
  </si>
  <si>
    <t xml:space="preserve"> Request quotation for the following printing supplies: 1. 25 cartridges of RISO KZ INK 2. 17 rolls of RISO KZ Master Roll For further information, please refer to: BAC Secretariat: Mr. HARRY JOHN S. JARINA ENGR. CLINT S. CINCO RHEA APRIL C. CARALDE Lt. Va</t>
  </si>
  <si>
    <t xml:space="preserve"> The specification is available at the Bids and Awards Committee Secretariat MPDC-2nd Floor, Lasam Municipal Town Hall</t>
  </si>
  <si>
    <t xml:space="preserve"> 1. BITOMINOUS ASPHALT CEMENT PENETRATION GRADE 60/70  - 20DRUMS 2. BITOMINOUS ASPHALT CEMENT CATIONIC SS1 - 34DRUMS</t>
  </si>
  <si>
    <t xml:space="preserve"> Activities	Schedule 1. First Day of Issuance of Bid Documents: August 6, 2020 2. Last day of Issuance of Bid Documents: August 13, 2020 @ 2:00 PM 3. Last day of Submission and Opening of Bids: August 13, 2020 @ 2:00 PM</t>
  </si>
  <si>
    <t xml:space="preserve"> Materials and Supplies for hand washing facilities construction</t>
  </si>
  <si>
    <t xml:space="preserve"> ITEM NO	 DESCRIPTION						QTY	UNIT 								 	PR # TF-300-2020-07-33							 								 1	Front tire with tube ( size 13 - 6 -24 )						2	pcs 								 								 	ABC: 56,000.00</t>
  </si>
  <si>
    <t xml:space="preserve"> INVITATION TO BID FOR  GOODS/SUPPLIES August 03, 2020 1.	The DPWH-Bukidnon Second District Engineering Office, through the CY 2020 Routine Maintenance intends to apply the sum of Php 1,918,900.00 being the Approved Budget for the Contract (ABC) to payment</t>
  </si>
  <si>
    <t xml:space="preserve"> The Department of Education –Schools Division of Calbayog City, through the General Appropriations Act (GAA) CY 2020 intends to apply the sum of One Million Seven Hundred Thirty-One Thousand OneHundred Ninety-One Pesos &amp; 68/100 Only (Php 1,731,191.68) bei</t>
  </si>
  <si>
    <t xml:space="preserve"> Construction of Multi-purpose Drying Pavement (MPDP) at Urzadan</t>
  </si>
  <si>
    <t xml:space="preserve"> 1000 box Face Mask, 50's</t>
  </si>
  <si>
    <t xml:space="preserve"> Republic of the Philippines                                               Province of Aklan                                         MUNICIPALITY OF LIBACAO                                                           * * * The Local Government Unit of Libaca</t>
  </si>
  <si>
    <t xml:space="preserve"> The National Irrigation Administration-Regional Office 12, Villarica, Midsayap, Cotabato, through the Fund 501 has the Approved Budget for the Contract (ABC) amounting to TWO HUNDRED FIFTY NINE THOUSAND THIRTY TWO PESOS &amp; 60/100 (P 259,032.60). Quotation </t>
  </si>
  <si>
    <t xml:space="preserve"> IMPROVEMENT/REFURBISHMENT OF FACILITIES AND AMENITIES IN MUNICIPAL BUILDING. BRGY. PONONG, CARIGARA, LEYTE ABC: 400,000.00 1.00 UNIT GENERAL REQUIREMENTS 11.00 SQ.M. DEMOLITION WORKS 1.00 LOT FORMWORKS AND SCAFFOLDINGS 0.75 SQ.M. MASONRY WORKS 3.00 CU.M. </t>
  </si>
  <si>
    <t xml:space="preserve"> Please see attached Terms of Reference for more details. Kindly submit your sealed quotation with other related documents (see attached checklist of requirements) on or Before August 12, 2020, 8Am to 5PM at Procurement Management Division, Cultural Center</t>
  </si>
  <si>
    <t xml:space="preserve"> 2000 ream Paper, multi-purpose A4 70gsm</t>
  </si>
  <si>
    <t xml:space="preserve"> That the BAC of Caduha-an Elementary School has decided to post in a Negotiated Procurement-Small Value Procurement for  S.Y. 2020-2021 with the following details: Total Budget : Php 3, 125.00 That the BAC will be selecting 1 supplier for the said Budget </t>
  </si>
  <si>
    <t xml:space="preserve"> The Department of Education –Schools Division of Calbayog City, through the General Appropriations Act (GAA) CY 2020 intends to apply the sum of One Million Eight Hundred Eighty-Two Thousand One Hundred Eighteen Pesos &amp; 05/100 Only (Php 1,882,118.05) bein</t>
  </si>
  <si>
    <t xml:space="preserve"> Construction Materials and Supplies</t>
  </si>
  <si>
    <t xml:space="preserve"> The Department of Education –Schools Division of Calbayog City, through the General Appropriations Act (GAA) CY 2020 intends to apply the sum of Two Million Nine Hundred Thirty-One Thousand One Hundred Thirty-Eight Pesos &amp; 81/100 Only (Php 2,931,138.81) b</t>
  </si>
  <si>
    <t xml:space="preserve"> ITEM NO. DESCRIPTION QTY UNIT 1 LOWER BALL JOINT 2 PCS 2 UPPER BALL JOINT 2 PCS 3 UPPER SUSPENSION BUSHING 4 PCS 4 ROTOR DISC 2 PCS 5 HUB OIL SEAL 2 PCS 6 INNER HUB BEARING - FRONT 2 PCS 7 OUTER HUB BEARING 2 PCS 8 TIE ROD END 4 PCS 9 FRONT AXLE BEARING 2</t>
  </si>
  <si>
    <t xml:space="preserve"> Please quote your lowest prices of the following materials and devices no.       Description                                 Unit                     quantity  1. Paint roller 		                         Pieces                             15 2. Paint 		   </t>
  </si>
  <si>
    <t xml:space="preserve"> Please download ITB and Checklist in the Associated Components.</t>
  </si>
  <si>
    <t xml:space="preserve"> *Download Attachment Prospective bidders should have completed a similar contract with a value of at least 50% of the ABC. The BAC will use non-discretionary pass/fail criteria in the eligibility check/screening as well as the preliminary examination of b</t>
  </si>
  <si>
    <t xml:space="preserve"> Republic of the Philippines Province of Leyte Municipality of Pastrana  -oOo- INVITATION TO BID  INSTALLATION OF SOLAR STREET LIGHTS The Barangay Tingib, Municipality of Pastrana intends to apply the sum of FIVE HUNDRED NINETY-THREE THOUSAND NINE HUNDRED </t>
  </si>
  <si>
    <t xml:space="preserve"> Project Ref. Number		:	25-20-02-goods			 Project Name		:	Construction of Level II Water System			 Project Location			Barangay Sagongon, Mulanay, Quezon			 						 				Standard Form Number : SF - Good - 05		 				Revised on  : July 28, 2004		 INVITATION TO B</t>
  </si>
  <si>
    <t xml:space="preserve"> ITEM NO	 DESCRIPTION						QTY	UNIT 								 	PR # GSO-200-2020-07-08							 1	Plastic Screen # 1						10	mtrs 2	# 2 dia. G.I. Pipe sch. 40						1	pc. 3	Bulb 11 watts						50	pcs. 4	THHN # 12						1	box 5	1/2" dia faucet						20	pcs. 6	5mm thk. 4 x 8 Marin</t>
  </si>
  <si>
    <t xml:space="preserve"> 1 UNIT SUBMERSIBLE PUMP SP 30-8 (GRUNDFUS) WITH FRANKLIN SUB. MOTOR 3 PHASE 240 VOLTS 15 HP 1 UNIT ABB VAR. FREQUENCY DRIVE CONTROL 15HP SINGLE PHASE TO 3 PHASE WITH PRESSURE TRANSDUCER</t>
  </si>
  <si>
    <t xml:space="preserve"> 1200 liter Diesel</t>
  </si>
  <si>
    <t xml:space="preserve"> Republic of the Philippines DEPARTMENT OF PUBLIC WORKS AND HIGHWAYS PANGASINAN 2ND  DISTRICT ENGINEERING OFFICE  REGIONAL OFFICE I 	Alvear St., Lingayen, Pangasinan	 August 5, 2020 NOTICE OF ALTERNATIVE METHODS OF PROCUREMENT Notice is hereby given that t</t>
  </si>
  <si>
    <t xml:space="preserve"> NBC-0720-194</t>
  </si>
  <si>
    <t xml:space="preserve"> Republic of the Philippines Province of Sarangani Municipality of Maitum OFFICE OF BIDS AND AWARDS COMMITTEE Invitation to Bid for Materials for Mini Carenderia Starter Kit 1. The Local Government of Maitum, through the DOLE Kabuhayan intends to apply the</t>
  </si>
  <si>
    <t xml:space="preserve"> Project No.: GOODS-2020-08-003 INVITATION TO BID Provision of Supply and Delivery of Printing Materials for the Reproduction of Self-Learning Materials for Kinder to Grade 11 1. The Department of Education, Division of Masbate, through its Bids and Awards</t>
  </si>
  <si>
    <t xml:space="preserve"> INVITATION TO BID IB No. GS-2020 – 090 Information Technology for Distribution to Senior High School Students provincewide 1. The  Provincial  Government  of  Oriental  Mindoro  (PGOM)  through  the  Special Education Fund intends  to  apply  the  sum  of</t>
  </si>
  <si>
    <t xml:space="preserve"> 10	units    Laptop		 		   14 inches Intel Core i3 - 1005G1 Processor 4M Cache up to		 		   3.40GHz / Integrated Intel UHD Graphics / 512GB PCIe		 		   Gen 3x22SSD / Windows 10 Home		 		                     ***** nothing follows *****</t>
  </si>
  <si>
    <t xml:space="preserve"> Republic of the Philippines PROVINCE OF MARINDUQUE Capitol Boac, Marinduque OFFICE OF BIDS AND AWARDS COMMITTEE INVITATION TO BID  Supplying various diving equipment to be used in the implementation of the Coral Restoration Project for Marinduque, PG-ENRO</t>
  </si>
  <si>
    <t xml:space="preserve"> Republic of the Philippines Province of Ilocos Norte MUNICIPALITY OF PIDDIG INVITATION TO BID FOR Supply and Delivery of Medical Equipment 1. The Municipality of Piddig, through the  20% Municipal Development Fund 2020 intends to apply the sum One Million</t>
  </si>
  <si>
    <t xml:space="preserve"> I. Specifications (Please see attached files @ Associated Components). (600mm x 600mm Homogenous Floor Tiles at the entire area) II. Payment upon 100% completion of project. 10% Performance Security shall be deducted and will be refunded to the supplier a</t>
  </si>
  <si>
    <t xml:space="preserve"> Purchase of equipments for the Computerization of Dumanjug Water System</t>
  </si>
  <si>
    <t xml:space="preserve"> INVITATION TO BID IB No. GS-2020 – 089 Information Technology Parts for Distribution to different schools provincewide 1. The  Provincial  Government  of  Oriental  Mindoro  (PGOM)  through  the  Special Education Fund intends  to  apply  the  sum  of  Ni</t>
  </si>
  <si>
    <t xml:space="preserve"> Republic of the Philippines  Province of Batangas  Municipality of Laurel BARANGAY Balakilong BIDS AND AWARDS COMMITTEE INVITATION TO BID I.     The Barangay Government of Balakilong, Laurel, Batangas through its Bids and Awards                           </t>
  </si>
  <si>
    <t xml:space="preserve"> INVITATION TO BID  FOR THE CATERING SERVICES (Meals &amp; Snacks for 3 Days) The Municipality of Isulan, through the TRUST FUND- DA Region XII (BUB CY2016)  intends to apply the sum of TWO HUNDRED TWENTY-FIVE THOUSAND PESOS ONLY (P 225,000.00) being the Appro</t>
  </si>
  <si>
    <t xml:space="preserve"> materials for Construction of Multi-Purpose Hall, Phase I</t>
  </si>
  <si>
    <t xml:space="preserve"> Republic of the Philippines DEPARTMENT OF HEALTH DR. JOSE RIZAL MEMORIAL HOSPITAL Lawaan, Dapitan City Telefax; (065) 213-6421 Website: www.djrmh.doh.gov.ph Email: dohdjrmh@gmail.com BIDS AND AWARDS COMMITTEE INVITATION TO BID PROCUREMENT OF OFFICE SUPPLI</t>
  </si>
  <si>
    <t xml:space="preserve"> 3 Units 3TR, Floor Mounted Air Condition</t>
  </si>
  <si>
    <t xml:space="preserve"> I.STRUCTURE EXCAVATION II.CONCRETE WORKS A.STRUCTURAL CONCRETE B.REINFORCING STEEL BAR C.FORMWORKS ANS SCAFFOLDING III.STEEL WORKS IV.ELECTRICAL  WORKS</t>
  </si>
  <si>
    <t xml:space="preserve"> Request quotation for printing supplies for the reproduction of Self-Learning Modules (SLMs): 1. 12 cartridges of Optimum Toner ( OPT 55A Black) For further information, please refer to: BAC Secretariat: Mr. HARRY JOHN S. JARINA ENGR. CLINT S. CINCO RHEA </t>
  </si>
  <si>
    <t xml:space="preserve"> multi purpose hall</t>
  </si>
  <si>
    <t xml:space="preserve"> Bicol Medical Center Concepcion Pequeña, Naga City, 4400 (0998-247-0239/0906-256-9238          E-mail Address: bmc.bacoffice@gmail.com INIVITATION TO BID PROCUREMENT OF MEDICAL &amp; OTHER HEALTH RELATED EQUIPMENT (3) ITB No. 2020-30 1.	The BICOL MEDICAL CENT</t>
  </si>
  <si>
    <t xml:space="preserve"> Stantard From Title:   Purchase Request					 					 					 					 					 Department: 		MDRRMC	PR No.:		 					 					 					 	unit	Description	QTY	ESTIMATED 	TOTAL 				UNIT COST	ESTIMATED COST 1	pack	pickles	1		 2	pack	Tomato Sauce	1		 3	can	pineapple juice 500m</t>
  </si>
  <si>
    <t xml:space="preserve"> 2020-07-0030 - BASIC PERSONALITY INVENTORY FOR SDO PERSONNEL</t>
  </si>
  <si>
    <t xml:space="preserve"> 1	1	Lot	Supply and Delivery of I.T. Equipment			 			Item Description:			 	1	Unit	MULTI FUNCTION Printer (Print, Scan, Copy)  Print, Copy, Scan 180 nozzles Black, 59 nozzles each colour 5760 x 1440 dpi Maximum Print Resolution Bi directional printing Up to</t>
  </si>
  <si>
    <t xml:space="preserve"> ITEM NO. DESCRIPTION QTY UNIT 1 DIESEL GENERATOR PM35000D-S1 1 UNIT</t>
  </si>
  <si>
    <t xml:space="preserve"> Republic of the Philippines					 Province of Bukidnon					 Municipality of Lantapan					 					 INVITATION TO BID FOR THE PURCHASE OF MOTORCYCLES FOR BARANGAYS (2ND BID)					 					 1	The Local Government Unit of Lantapan through the General Fund for CY 202</t>
  </si>
  <si>
    <t xml:space="preserve"> Fan Belt etc. NOTE:To all suppliers bid documents and BAC Resolution 2020-029 are available at BAC Office and LGU website.</t>
  </si>
  <si>
    <t xml:space="preserve"> 6 AUGUST 2020 INVITATION TO BID FOR THE SUPPLY AND DELIVERY OF ECOBAGS WITH LOGO FOR   DIVISION OF CITY SCHOOLS 	 	 1.	The City of Caloocan, through the Special Education Fund and included in the 2020 Annual City School Board Budget approved under  City S</t>
  </si>
  <si>
    <t xml:space="preserve"> REQUEST FOR QUOTATION Purchase of Office Equipment to be used in the Conference Room at Dean’s Office The Bicol University, through the Corporate Budget for the contract approved by the Board of Regents intends to apply the sum of One Hundred Fifty Five T</t>
  </si>
  <si>
    <t xml:space="preserve"> rms	Advance Bond paper L			9 rms	Advance Bond paper S			169 pcs	Air freshener, Glade (gel)			6 pcs	Ballpen Black HBW			36 pc	Body Mirror			1 rms	Book Paper A4			12 pcs	Book paper L			5 pcs	Book paper S			16 pcs	Brother DCP T710W ink, Black -  BTD60			8 pc</t>
  </si>
  <si>
    <t xml:space="preserve"> I.TRANSMISSION LINE II.EARTHWORKS A.SOIL EXCAVATION B.BACKFILL W/ SOIL COMPACTION III.PROJECT BILLBOARD</t>
  </si>
  <si>
    <t xml:space="preserve"> Province of Zamboanga Sibugay				Project Reference Number MUNICIPAL GOVERNMENT OF TITAY				Name of the Project:     Barangay: Bangco Titay, ZSP. 	 Standard Form Number:	 Revised on : July 29, 2004 INVITATION TO BID The Barangay Government of Bangco, Titay</t>
  </si>
  <si>
    <t xml:space="preserve"> 10	pcs	Canon PIXMA 790 ink black 2	pcs	Canon PIXMA 790 ink cyan 2	pcs	Canon PIXMA 790 ink yellow 2	pcs	Canon PIXMA 790 ink magenta</t>
  </si>
  <si>
    <t xml:space="preserve"> Republic of the Philippines PROVINCE OF MARINDUQUE Capitol Boac, Marinduque OFFICE OF BIDS AND AWARDS COMMITTEE INVITATION TO BID  Supplying various supplies and materials to be used in the delineation of boundaries for the Coral Restoration Project for M</t>
  </si>
  <si>
    <t xml:space="preserve"> 1	unit	Mini Dumptruck (Brand New) 		Specification: 		Capacity 6.0-7.0 cum.Dump box 		Gross Weight 10-12 tons 		Engine: 		 4 Cylinder 4D 120-50 		Displacement 4-5 liters in line 		CLUTCH: 		350 diaphagm spring clutch, Single plate 		GEARBOX 		6 Speed Manua</t>
  </si>
  <si>
    <t xml:space="preserve"> INVITATION TO BID IB No. GS-2020 – 091 Office Supplies and Devices for Distribution to Different Schools Provincewide 1. The  Provincial  Government  of  Oriental  Mindoro  (PGOM)  through  the  Trust Fund  intends  to  apply  the  sum  of  One Million Fi</t>
  </si>
  <si>
    <t xml:space="preserve"> ITEM NO.	         DESCRIPTION	          NO.OF UNITS	                 COST PER UNIT	             TOTAL COST 1 unit	           RG-EG3250                       1                                 71,625                               71,625                     </t>
  </si>
  <si>
    <t xml:space="preserve"> Request for Quotation for the Procurement of Other Machinery and Equipment to be used in the DA-RFO7 offices in support to the implementation projects and troubleshooting of various farm machinery and equipment projects 1.	The Department of Agriculture-Re</t>
  </si>
  <si>
    <t xml:space="preserve"> See attached Price Quotation Form for the complete list, specifications and approved budget</t>
  </si>
  <si>
    <t xml:space="preserve"> Republic of the Philippines Province of Ifugao Municipality of Hingyon  Bids and Awards Committee  INVITATION TO BID Publication No. 016 – 2020 (FIRST POSTING – SUPPLY AND DELIVERY OF CONSTRUCTION MATERIALS AND SUPPLIES FOR THE MUNICIPAL QUARANTINE AREA A</t>
  </si>
  <si>
    <t xml:space="preserve"> Request for Quotation for the Procurement of Other Supplies to be used in maintaining cleanliness in RAED Office 1.	The Department of Agriculture-Regional Field Office 7 (DA-RFO 7), through the General Appropriations Act of CY 2020)  intends to apply the </t>
  </si>
  <si>
    <t xml:space="preserve"> Republic of the Philippines                                                          Province of Aklan                                                MUNICIPALITY OF LIBACAO                                                                * * * The Local Go</t>
  </si>
  <si>
    <t xml:space="preserve"> I. Specifications (Please see attached file @ Associated Components). (2) Toner Cartridge Brother, TN - 451 M; (2) Toner Cartridge Brother, TN - 451 C; (4) Toner Cartridge Brother, TN - 451 BK; and (2) Toner Cartridge Brother, TN - 451 Y. II. Payment upon</t>
  </si>
  <si>
    <t xml:space="preserve"> Republic of the Philippines PROVINCE OF MARINDUQUE Capitol Boac, Marinduque OFFICE OF BIDS AND AWARDS COMMITTEE INVITATION TO BID  Supplying one (1) unit Brand New Wheel Loader, etc. for Disaster Response Operations, Mitigation &amp; Climate Change, PEO, Boac</t>
  </si>
  <si>
    <t xml:space="preserve"> The Western Mindanao State University, through its Bids and Awards Committee (BAC), is inviting PhilGEPS registered suppliers to apply for eligibility and to submit bids for the item mentioned hereunder:  1.)	1	Sets	5-in-1 Reflector Set with Case 2.)	3	Un</t>
  </si>
  <si>
    <t xml:space="preserve"> INVITATION TO BID FOR THE JOB REQUEST FOR THE PROPOSED 2-STOREY OF EMB V EIA STAFF HOUSE CUM CONFERENCE ROOM WITH ROOM DECK  BID REFERENCE NO. PR-2020-07-109 APPROVED BUDGET OF CONTRACT: (P4,784,942.29) 1.	The Environmental Management Bureau V, through th</t>
  </si>
  <si>
    <t xml:space="preserve"> 25	ltrs	Albendazole (Microzole)(1 liter) * 10	btls	Amoxicillin Lorey Acting (LA)* (100ml) 35	btls	Amoxicillin Injection, (150 mg)* 3,430	btls	Anti-rabies vaccine (Rabisin 10ml ) 1	bag	Antibiotic Powder (Robistrep 2.27kls) 100	amp	Atropine Sulfate (1ml) 20</t>
  </si>
  <si>
    <t xml:space="preserve"> Republic of the Philippines City Government of Cotabato BIDS AND AWARDS COMMITTEE Cotabato City INVITATION TO BID FOR THE Purchase of Construction Materials 1.	The City Government of Cotabato, through  Ordinance No. 4791 series of 2020  intends to apply t</t>
  </si>
  <si>
    <t xml:space="preserve"> Request for Quotation for the Procurement of Communication Equipment to be used in the DA-RFO-7 offices in support to the implementation of various projects 1.	The Department of Agriculture-Regional Field Office 7 (DA-RFO 7), through the General Appropria</t>
  </si>
  <si>
    <t xml:space="preserve"> Shopping. . . .</t>
  </si>
  <si>
    <t xml:space="preserve"> Republic of the Philippines  Province of Batangas  Municipality of Laurel BARANGAY MOLINETE BIDS AND AWARDS COMMITTEE INVITATION TO BID I.     The Barangay Government of Barangay Molinete, Laurel, Batangas through its Bids and Awards Committee (BAC), invi</t>
  </si>
  <si>
    <t xml:space="preserve"> 1,000   reams    Paper, Multicopy, 70gsm, A4</t>
  </si>
  <si>
    <t xml:space="preserve"> The Local Government Unit-Municipality of Malinao, Aklan through the Bids and Awards Committee, intends to apply the sum of Fifty Eight Thousand One Hundred Twenty Nine Pesos and 00/100 (Php58,129.00) as the Approved Budget for the Contract (ABC) to payme</t>
  </si>
  <si>
    <t xml:space="preserve"> ITEM NO.	UNIT	ITEM &amp; DESCRIPTION	QTY. 			 1	pc.	Chaliko	12 2	pc.	Pants	12 3	pc.	Hat	12 4	pc.	Long Sleeve	12 5	pc.	T-shirt	12</t>
  </si>
  <si>
    <t xml:space="preserve"> The Development Bank of the Philippines (DBP), through its Northern Luzon – Regional Bids and Awards Committee (RBAC), will undertake a Small Value Procurement for the “Supply, Delivery, Installation and Testing of Thirteen (13) Sets CCTV Camera” in accor</t>
  </si>
  <si>
    <t xml:space="preserve"> for the used of Pio Duran Water Works System for the first 200 prospective consumers</t>
  </si>
  <si>
    <t xml:space="preserve"> 1 unit laptop computer 1 unit printer w/ scanner</t>
  </si>
  <si>
    <t xml:space="preserve"> 1	1	Lot	Supply &amp; Delivery of Software			 			Description:			 	4	Units	Adobe Creative for Teams for MAC			 TOTAL AMOUNT:	 TOTAL BID PRICE IN WORDS : Note : Subject to 5% VAT &amp; 1% EWT/CWT deduction as per RA 9337                                             T</t>
  </si>
  <si>
    <t xml:space="preserve"> PURCHASE OF VARIOUS PLANTS, VEGETABLES, FLOWERS AND SOIL FOR VERTICAL / URBAN GARDENING AT BRGY IMMACULATE CONCEPTION</t>
  </si>
  <si>
    <t xml:space="preserve"> 1,041 CAVAN  LOCAL WELL-MILLED RICE MAX.: 10% BROKEN (50KGS/CAVAN)</t>
  </si>
  <si>
    <t xml:space="preserve"> The Development Bank of the Philippines (DBP), through its Northern Luzon – Regional Bids and Awards Committee (RBAC), will undertake a Small Value Procurement for the “Supply, Delivery, Installation and Testing of Two (2) Units Addressable Fire Alarm Sys</t>
  </si>
  <si>
    <t xml:space="preserve"> That the BAC of Caduha-an Elementary School has decided to post in a Negotiated Procurement for S.Y. 2020-2021 with the following details: Total Budget: Php 66,375.00 That the BAC will be selecting 1 supplier for the said Budget who will cater the service</t>
  </si>
  <si>
    <t xml:space="preserve"> Interested printing services may join, at 0.50 cents ceiling price per copy</t>
  </si>
  <si>
    <t xml:space="preserve"> The Development Bank of the Philippines (DBP), through its Northern Luzon – Regional Bids and Awards Committee (RBAC), will undertake a Small Value Procurement for the “Supply, Delivery and Testing of Three (3) Units Coin Counter” in accordance with Secti</t>
  </si>
  <si>
    <t xml:space="preserve"> Improvement of Barangay Health station</t>
  </si>
  <si>
    <t xml:space="preserve"> CADAC 1 unit of Motor Vehicle (4-Wheels) Transmission: 5 speed manual,  Engine Size: 1.3L, Displacement: 1,329cc Please see attached file/document on associated components or BAC website www.davaocityportal.com (BAC posting) for the complete descriptions,</t>
  </si>
  <si>
    <t xml:space="preserve"> Republic of the Philippines Province of Negros Occidental Municipality of Pontevedra BIDS AND AWARDS COMMITTEE INVITATION TO BID 	The Municipality of Pontevedra, Negros Occidental through its Bids and Awards Committee (BAC), invites all prospective bidder</t>
  </si>
  <si>
    <t xml:space="preserve"> Philippine Science High School – Central Luzon Campus (PSHS-CLC) wishes to invite proponent for the Supply and Delivery of Various ICT Repair and Maintenance Tools and Supplies 2020 of PSHS-CLC with ABC of Eighty Three Thousand Ninety Five Pesos only in w</t>
  </si>
  <si>
    <t xml:space="preserve"> Republika ng Pilipinas PAMAHALAANG LUNGSOD NG TACLOBAN (City Government of Tacloban) BIDS AND AWARDS COMMITTEE INVITATION TO BID (August 06, 2020) 20-020(1) 7156456 The City Government of Tacloban thru the MTCC III-Current Appropriation, intends to apply </t>
  </si>
  <si>
    <t xml:space="preserve"> BARCODE STICKER WITH INK, SATIN 2.125 in X 0.75 in, 1 in CORE WITH GAP           75	  SET</t>
  </si>
  <si>
    <t xml:space="preserve"> Republic of the Philippines PROVINCE OF MARINDUQUE Capitol Boac, Marinduque OFFICE OF BIDS AND AWARDS COMMITTEE INVITATION TO BID  Supplying one (1) unit Brand New Crawler Excavator, etc. for Disaster Response Operations, Mitigation &amp; Climate Change, PEO,</t>
  </si>
  <si>
    <t xml:space="preserve"> Philippine Science High School – Central Luzon Campus (PSHS-CLC) wishes to invite proponent for the Supply and Delivery of Various ICT Peripherals and Supplies 2020 of PSHS-CLC with ABC of Six Hundred Twenty Eight Thousand Two Hundred Ten Pesos only in wo</t>
  </si>
  <si>
    <t xml:space="preserve"> CHB #4, 700 pcs Cement, 80 bags Sand, 5 cu. m Gravel 3/4, 2 cu. m RSB 10mm, 20 pcs Tire wire, 4 kls Plywood 1/4, 4 pcs CWN 3", 3 kls CWN 2", 2 kls CWN 1 1/2, 2 kls Door hamb, 1 pc Panel door, 1 pc PVC door, 4 sets Bowl, 4 sets PVC pipe blue 1/2, 15 pcs PV</t>
  </si>
  <si>
    <t xml:space="preserve"> 6 Units CORE i3 Laptop 4 GB RAM DDR4 Memory 256 GB P Cle NVMe SSDr 1,000 GB HD With Printer L3110</t>
  </si>
  <si>
    <t xml:space="preserve"> PLEASE SEE ATTACHED AND DOWNLOAD THE DOCUMENT</t>
  </si>
  <si>
    <t xml:space="preserve"> SOURCE OF FUNDS: LDRRMF 2020 &amp; ANNUAL BUDGET CY 2020 BIDDING DATE &amp; TIME: AUGUST 13, 2020- 1:00 P.M</t>
  </si>
  <si>
    <t xml:space="preserve"> Republic of the Philippines												 City of San Carlos												 Negros Occidental												 												 			INVITATION TO BID							FOR SALE	 			PURCHASE REQUEST NO: 1-20-07-0873			P 2,866.00	 Sealed bids for quotation of prices will be received </t>
  </si>
  <si>
    <t xml:space="preserve"> Request for Quotation City Agriculture Office CO - Technical &amp; Scientific Equipment  P 80,405.00</t>
  </si>
  <si>
    <t xml:space="preserve"> Standard Form No.: SF-INFRA-               Republic of the Philippines          MUNICIPALITY OF ROSALES                  Province of Pangasinan                    INVITATION TO BID 	The Municipality of Rosales, through its Bids and Awards Committee (BAC),</t>
  </si>
  <si>
    <t xml:space="preserve"> Republic of the Philippines Municipality of Kalayaan Province of Palawan BIDS and AWARDS COMMITTEE PUBLIC BIDDING SUPPLY AND DELIVERY OF ASSORTED MATERIALS AND SUPPLIES FOR BACKYARD GARDENING PROJECT IN PAG-ASA ISLAND  1.	The Municipality of Kalayaan, thr</t>
  </si>
  <si>
    <t xml:space="preserve"> 80   bd.ft.   6 Coco lumber 2x5x16 67   bd.ft.   4 Coco lumber 2x5x20 80   bd.ft.   4 Coco lumber 2x6x20 83   bd.ft.   10 Coco lumber 2x5x10 80   bd.ft    10 Coco lumber 2x4x12 40   bd.ft.   4 Coco lumber 2x6x10 180  bd.ft.   30  Coco lumber 2x3x12 10    </t>
  </si>
  <si>
    <t xml:space="preserve"> The Development Bank of the Philippines (DBP), through its Northern Luzon – Regional Bids and Awards Committee (RBAC), will undertake a Small Value Procurement for the “Supply, Delivery, Installation and Testing of Five (5) Units Automatic Voltage Regulat</t>
  </si>
  <si>
    <t xml:space="preserve"> Republic of the Philippines BIDS AND AWARDS COMMITTEE Municipality of Irosin Reference Number: BAC-0057-2020								 August 5, 2020 REQUEST FOR QUOTATION The Local Government Unit of Irosin, through its Bids &amp; Awards Committee (BAC), requests suppliers/ma</t>
  </si>
  <si>
    <t xml:space="preserve"> Republic of the Philippines DEPARTMENT OF HEALTH DR. JOSE RIZAL MEMORIAL HOSPITAL Lawaan, Dapitan City Telefax; (065) 213-6421 Website: www.djrmh.doh.gov.ph Email: dohdjrmh@gmail.com BIDS AND AWARDS COMMITTEE INVITATION TO BID PROCUREMENT OF MEAT &amp; POULTR</t>
  </si>
  <si>
    <t xml:space="preserve"> For use in the operation of Quality Assurance Section of this office and upgrading of Star Rating from 1 Star to 2 Star Laboratory</t>
  </si>
  <si>
    <t xml:space="preserve"> Procurement of 2 pcs Expansion Valve &amp; 14 LI</t>
  </si>
  <si>
    <t xml:space="preserve"> I. EARTHWORKS: (Comfort Rooms) II. CONCRETE WORKS: (Comfort Rooms) III. CARPENTRY WORKS: (Comfort Rooms &amp; Isolation Rooms)</t>
  </si>
  <si>
    <t xml:space="preserve"> Republic of the Philippines Province Of Romblon Municipality Of Calatrava INVITATION TO BID  For Repair and Maintenance of Building and Other Structures  1.	The Local Government Unit of Calatrava, Romblon through the General Fund CY- 2020, intends to appl</t>
  </si>
  <si>
    <t xml:space="preserve"> 1 UNIT MICRO-HEMATOCRIT CENTRIFUGE 12 PLACER</t>
  </si>
  <si>
    <t xml:space="preserve"> Republic of the Philippines										 BIDS AND AWARDS COMMITTEE										 Baguio City										 (074) 300-6537/ (074)442-8795										 BID FORM										 CP No. 2020-53 Bidding									August 5, 2020	 Circular Proposal No.									Date Prepared	 								</t>
  </si>
  <si>
    <t xml:space="preserve"> Labor and Materials Completion of Hanging Bridge Location: Salvacion, Ragay -nothing follows-</t>
  </si>
  <si>
    <t xml:space="preserve"> Republic of the Philippines BIDS AND AWARDS COMMITTEE Municipality of Irosin Reference Number: BAC-0056-2020								 August 5, 2020 REQUEST FOR QUOTATION The Local Government Unit of Irosin, through its Bids &amp; Awards Committee (BAC), requests suppliers/ma</t>
  </si>
  <si>
    <t xml:space="preserve"> 98 UNITS PRINTER, 3 IN 1, ALL-IN-ONE (PRINT, SCAN, COPY)                MAXIMUM PRINT QUALITY: 5760 X 440 DPI                MAXIMUM PRINT SPEED: 33PPM FOR BLACK/15PPM FOR COLORED X X X X X X X X X X X X X X X X X X X X X X X X X X X X X X X X X X X X X X</t>
  </si>
  <si>
    <t xml:space="preserve"> Republic of the Philippines Municipality of Kalayaan Province of Palawan BIDS and AWARDS COMMITTEE PUBLIC BIDDING SUPPLY AND DELIVERY OF ASSORTED EQUIPMENT FOR THE IMPLEMENTATION OF 10–YEAR ECOLOGICAL SOLID WASTE MANAGEMENT PLAN  1.	The Municipality of Ka</t>
  </si>
  <si>
    <t xml:space="preserve"> I. MOBILIZATION/DEMOB./EXCAVATION II. MASONRY WORKS III.STEEL WORKS IV. ELECTRICAL WORKS</t>
  </si>
  <si>
    <t xml:space="preserve"> Republic of the Philippines PROVINCE OF MARINDUQUE Capitol Boac, Marinduque OFFICE OF BIDS AND AWARDS COMMITTEE INVITATION TO BID  Supplying various medical equipment for use in MPH Bldg. B (Pedia and Medicine Ward) Marinduque Provincial Hospital, Boac, M</t>
  </si>
  <si>
    <t xml:space="preserve"> CITC 1 Lot Subscription, Installation, and Testing of Internet Protocol Virtual Private Network (IPVPN) Layer 3 VPN based on MultiProtocol Label Switching (MPLS) Technology with Free usage of modem and router connectivity equipment Coverage: City Hall Bld</t>
  </si>
  <si>
    <t xml:space="preserve"> Republic of the Philippines Province of Zamboanga Sibugay Municipality of Titay -o0o- Reference: REQUEST FOR QUOTATION The MUNICIPAL BIDS AND AWARDS COMMITTEE (MBAC) invites interested supplies for the delivery/supply the project wit; Name of Project	Vari</t>
  </si>
  <si>
    <t xml:space="preserve"> 87 Sets JETMATIC PUMP *Accessories per set: -Adapter (2) -Footvalve (1) -Sovent (1) -Teflon (1) -1 1/4 Pipe (2) -Elbow (1)</t>
  </si>
  <si>
    <t xml:space="preserve"> I	Digital Duplicator	3	unit 1	Master Making / Printing Methods: High Speed digital master-making		 	Fully automatic printing		 	Original Type: Book or Sheet		 	Master-Making Time: Quick Master-Making Mode:		 	Approx. 17 seconds (Letter, short-edge feed) /</t>
  </si>
  <si>
    <t xml:space="preserve"> 1. 250 pcs Bamboo poles (large) 2. 20 bags Cement 3. 5 kgs G.I. Nails (# 1 1/2) 4. 5 kgs G.I. Nails (# 3) 5. 5 kgs G.I. Nails (# 4) 6. 34 pcs G.I. Corrugated Roof (# 10) 7. 34 pcs G.I. Corrugated Roof (# 12) 8. 20 kgs Umbrella Nails 9. 10 kgs G.I. Wire 10</t>
  </si>
  <si>
    <t xml:space="preserve"> Supply &amp; Delivery of Various Laboratory Supplies ABC:230,100.00 	20  packs Filter paper, 125 mm, Whatman Grade 2, 110/pack 	3 units micropipette stand, carousel type, rotatable for six micropipette 	4 pairs safety shoes, size 6, 7, 8.5 &amp; 12 	4 units Sevil</t>
  </si>
  <si>
    <t xml:space="preserve"> 1.	Bids received in excess of the ABC shall be automatically rejected during the Bid Opening. Interested Bidders may obtain further information from PN BAC in the given address below from 8:00 AM to 5:00 PM, Monday to Friday. 2.	Issuance of Bidding Docume</t>
  </si>
  <si>
    <t xml:space="preserve"> The DepEd, Division of Cadiz City, Egido Fernandez Elementary School the Schools MOOE FUND, CY 2020  intends to apply the sum of One Hundred Fifty Nine Thousand Nine Hundred Fifty Six Pesos (159, 956.00) being the Approved Budget for the ,Contract (ABC) t</t>
  </si>
  <si>
    <t xml:space="preserve"> Republic of the Philippines PROVINCE OF NUEVA VIZCAYA Municipality of Alfonso Castañeda  BIDS &amp; AWARDS COMMITTEE FOR GOODS &amp; SERVICES REQUEST FOR QUOTATION RFQ Number: 2020-08-01 The Local Government of Alfonso Castañeda through its Bids and Awards Comm</t>
  </si>
  <si>
    <t xml:space="preserve"> 1. 2,200 Bag Cement 2. 300 Cu.m Mixed Gravel and Sand 3. 3,400 Pcs Steel bars (10mm x 6m) 4. 2,400 Pcs Steel bars (9mm x 6m) 5. 300 Pcs Steel bars (12mm x 6m) 6. 466 Kg Tie Wire #16 7. 2000 Bdft Coco lumber (1” x 8ft x 10”) 8. 3,000 Bdft Coco lumber (1” x</t>
  </si>
  <si>
    <t xml:space="preserve"> Spare parts for Bulldozer</t>
  </si>
  <si>
    <t xml:space="preserve"> Bid documents will be available at the Office of the BAC Secretariat, only to prospective bidders upon payment of non-refundable amount (500.00) base on the standard rates prescribed in GPPB RESOLUTION NO. 04-2012 to the Municipality of Alfonso Lista.  Th</t>
  </si>
  <si>
    <t xml:space="preserve"> Republic of the Philippines DEPARTMENT OF PUBLIC WORKS AND HIGHWAYS ZAMBOANGA DEL SUR 2ND DISTRICT ENGINEERING OFFICE REGIONAL OFFICE IX Poblacion, Guipos NOTICE OF ALTERNATIVE METHODS OF PROCUREMENT (Small Value Procurement) 	Notice is hereby given that </t>
  </si>
  <si>
    <t xml:space="preserve"> 1	Broom, soft (TAMBO)							25	piece	120.00 2	Broom, stick (TING-TING)							25	piece	25.00 3	Disinfectant spray 510g							7	can	700.00 4	Detergent  powder, 1kl							40	pack	80.00 5	Detergent bar 4pcs/bar							50	bar	40.00 6	Dust pan, non-rigid plastic</t>
  </si>
  <si>
    <t xml:space="preserve"> Republic of the Philippines												 City of San Carlos												 Negros Occidental												 												 			INVITATION TO BID							FOR SALE	 			PURCHASE REQUEST NO: 1-20-07-0896			P 2,330.00	 Sealed bids for quotation of prices will be received </t>
  </si>
  <si>
    <t xml:space="preserve"> Materials: 1. Portland Cement - 130 bags 2. RSB 10mm.dia. - 145 pcs. 3. Sand - 7 cu.m. 4. Gravel - cu.m. 5. Plywood 1/2, marine - 6 pcs. 6. GI Tie Wire #16 - 20 kgs. 7. Coco Lumber - 150 bdft. 8. Common Wire Nail - 5 kg.</t>
  </si>
  <si>
    <t xml:space="preserve"> Republic of the Philippines										 BIDS AND AWARDS COMMITTEE										 Baguio City										 (074) 300-6537/ (074)442-8795										 BID FORM										 CP No. 2020-52 Bidding									August 4, 2020	 Circular Proposal No.									Date Prepared	 								</t>
  </si>
  <si>
    <t xml:space="preserve"> Republic of the Philippines Municipality of Kalayaan Province of Palawan BIDS and AWARDS COMMITTEE NEGOTIATED PROCUREMENT SUPPLY AND DELIVERY OF GASOLINE, OIL, LUBRICANTS AND ASSORTED MATERIALS AND SUPPLIES FOR POWER SUPPLY DEVELOPMENT PROGRAM IN PAG-ASA </t>
  </si>
  <si>
    <t xml:space="preserve"> Republic of the Philippines Municipality of Kalayaan Province of Palawan BIDS and AWARDS COMMITTEE PUBLIC BIDDING SUPPLY AND DELIVERY OF GASOLINE,OIL AND LUBRICANTS FOR THE PRE-POSITIONING AND OPERATIONS OF TRANSPORT ASSETS OF MDRRM  1.	The Municipality o</t>
  </si>
  <si>
    <t xml:space="preserve"> 1	Amlodipine 10mg ( 100s/box)							10	boxes	900.00 2	Amlodipine 5mg ( 100s/box)							5	boxes	700.00 3	Clonidine 75mcg tablet (100s/box)							3	boxes	1,800.00 4	Losartan 100mg (100s/box)							10	boxes	1,900.00 5	Losartan 50mg (100s/box)							30	boxes	</t>
  </si>
  <si>
    <t xml:space="preserve"> VARIOUS ELECTRICAL EQUIPMENT AND APPLIANCES - A Please see attached file/document on associated components or BAC website www.davaocityportal.com (BAC posting) for the complete descriptions, terms of conditions and terms of references. Bidding will be con</t>
  </si>
  <si>
    <t xml:space="preserve"> That the BAC of Caduha-an Elementary School has decided to post in a Negotiated Procurement-Small Value Procurement for S.Y. 2020-2021 with the following details: Total Budget : Php 48,000.00 That the BAC will be selecting 1 supplier for the said Budget w</t>
  </si>
  <si>
    <t xml:space="preserve"> Republic of the Philippines PROVINCE OF NUEVA VIZCAYA Municipality of Alfonso Castañeda  BIDS &amp; AWARDS COMMITTEE FOR GOODS &amp; SERVICES REQUEST FOR QUOTATION RFQ Number: 2020-08-02 The Local Government of Alfonso Castañeda through its Bids and Awards Comm</t>
  </si>
  <si>
    <t xml:space="preserve"> Republic of the Philippines BATANGAS STATE UNIVERSITY Batangas City REQUEST FOR QUOTATION "Procurement of Equipment for the externally funded research project (GIS MAPPING-Laguna) "  1. The Batangas State University (BatState U) through the Bids and Award</t>
  </si>
  <si>
    <t xml:space="preserve"> Republic of the Philippines												 City of San Carlos												 Negros Occidental												 												 			INVITATION TO BID							FOR SALE	 			PURCHASE REQUEST NO: 18-20-07-0915			P 36,250.00	 Sealed bids for quotation of prices will be receive</t>
  </si>
  <si>
    <t xml:space="preserve"> Cane/Walker and Wheelchair for adult</t>
  </si>
  <si>
    <t xml:space="preserve"> Republic of the Philippines										 BIDS AND AWARDS COMMITTEE										 Baguio City										 (074) 300-6537/ (074)442-8795										 BID FORM										 CP No. 2020-55 Bidding									August 5, 2020	 Circular Proposal No.									Date Prepared	 								</t>
  </si>
  <si>
    <t xml:space="preserve"> Office Supplies and Minor repair</t>
  </si>
  <si>
    <t xml:space="preserve"> Invitation to Bid  1.	The  Department  of Education (DepEd) Sorsogon City Division, through the 2020  GAA  Repair of Classrooms  intends to apply the sum indicated below ,   being the Approved Budget for the Contract (ABC) to payments under the contract f</t>
  </si>
  <si>
    <t xml:space="preserve"> 1	Air Freshener, aerosol, disinfectant 510g hospital grade Disinfectant				8	can	650.00 2	Alcohol,ethyl,68%-70%SCENTED, 500ML (-5ml)							150	bot	80.00 3	Battery,dry cell,AA,9v energizer 4/pack							5	pack	160.00 4	Battery,dry cell,AAA,9v energizer 4/pa</t>
  </si>
  <si>
    <t xml:space="preserve"> CONSTRUCTION OF BAYAY SURIGAONON (SURIGAO HERITAGE HOUSE) PHASE II CAPITOL COMPOUND, SURIGAO CITY Brief Description:    The project will involve the following scope of works: General Requirements, Concrete Porch, Ramp and Stairs(Side &amp;Front), Plastering(w</t>
  </si>
  <si>
    <t xml:space="preserve"> The BIWAD BAC invites suppliers to quote for the following. 1. 750 pieces GI Elbow 1/2" heavy duty 2. 120 pieces GI Bushing 1" x 1/2" heavy duty 3. 300 pieces GI Nipple 1/2" x 2" heavy duty 4. 100 pieces GI Tee 1" x 1/2" heavy duty 5. 150 pieces GI St. El</t>
  </si>
  <si>
    <t xml:space="preserve"> Seeds for Marginalized farmers to plant and produce vegetables</t>
  </si>
  <si>
    <t xml:space="preserve"> REPUBLIC OF THE PHILIPPINES MUNICIPALITY OF SANTA ROSA  PROVINCE OF NUEVA ECIJA DIPACULAO WATER DISTRICT North Poblacion., Dipaculao, Aurora 3203 INVITATION TO BID FOR   SUPPLY, DELIVERY, INSTALLATION, TESTING AND COMMISSIONING OF PUMPING EQUIPMENT FOR TH</t>
  </si>
  <si>
    <t xml:space="preserve"> 40 MTRS  TRAPAL  30 MTRS. ACETATE  45 POLES BAMBOO POLE  8 KLS. ASSORTED COMMON NAILS</t>
  </si>
  <si>
    <t xml:space="preserve"> Republic of the Philippines Province of Occidental Mindoro Municipality of Sta. Cruz INVITATION TO BID The Municipality of Sta. Cruz, through its Bids and Awards Committee (BAC), invites qualified suppliers to bid for the implementation of hereunder progr</t>
  </si>
  <si>
    <t xml:space="preserve"> Republic of the Philippines										 BIDS AND AWARDS COMMITTEE										 Baguio City										 (074) 300-6537/ (074)442-8795										 BID FORM										 CP No. 2020-56 Bidding									August 5, 2020	 Circular Proposal No.									Date Prepared	 								</t>
  </si>
  <si>
    <t xml:space="preserve"> This project entails labor and materials for the fabrication of Aluminum with glass windows and doors at Municipal Public Market of LGU-Magallanes, Sorsogon.</t>
  </si>
  <si>
    <t xml:space="preserve"> 1	Deformed Steel bar 12mmx6m							395	length	280.00 2	Deformed Steel bar 10mmx6m							494	length	210.00 3	GI tie wire #16							117	kgs	100.00 4	Hack Saw Blade							25	pcs	76.00 5	Concrete Hollow Blocks 4x8x16							5,210	pcs	17.00 6	portland Cement			</t>
  </si>
  <si>
    <t xml:space="preserve"> Republic of the Philippines PROVINCE OF NUEVA VIZCAYA Municipality of Alfonso Castañeda  BIDS &amp; AWARDS COMMITTEE FOR GOODS &amp; SERVICES REQUEST FOR QUOTATION RFQ Number: 2020-08-04 The Local Government of Alfonso Castañeda through its Bids and Awards Comm</t>
  </si>
  <si>
    <t xml:space="preserve"> Republic of the Philippines PROVINCE OF NUEVA VIZCAYA Municipality of Alfonso Castañeda  BIDS &amp; AWARDS COMMITTEE FOR GOODS &amp; SERVICES REQUEST FOR QUOTATION RFQ Number: 2020-08-03 The Local Government of Alfonso Castañeda through its Bids and Awards Comm</t>
  </si>
  <si>
    <t xml:space="preserve"> Seeds for ICFP 2016 communal garden</t>
  </si>
  <si>
    <t xml:space="preserve"> Procurement of Full Color Laser Multifunction Printer/Copier/Scanner</t>
  </si>
  <si>
    <t xml:space="preserve"> VARIOUS FURNITURE AND FIXTURE (ERGONOMIC AND EUROTECH TYPE) Please see attached file/document on associated components or BAC website www.davaocityportal.com (BAC posting) for the complete descriptions, terms of conditions and terms of references. Bidding</t>
  </si>
  <si>
    <t xml:space="preserve"> Republic of the Philippines Province of Ilocos Norte MUNICIPALITY OF PIDDIG INVITATION TO BID  FOR  Construction of Irrigation Canal in Brgy. Loing 1.	The Municipality of Piddig through the RA 7171 Fund   intends to apply the sum of One Million Pesos  (Ph</t>
  </si>
  <si>
    <t xml:space="preserve"> Electrical Supplies</t>
  </si>
  <si>
    <t xml:space="preserve"> For FTRC use.</t>
  </si>
  <si>
    <t xml:space="preserve"> Republic of the Philippines Province of Leyte Municipality of Pastrana  -oOo- INVITATION TO BID  PURCHASE AND INSTALLATION OF PUBLIC ADDRESS The Barangay Macalpi-ay, Municipality of Pastrana intends to apply the sum of ONE HUNDRED THOUSAND PESOS (₱ 100,00</t>
  </si>
  <si>
    <t xml:space="preserve"> Spcl ITEM I. Removal of Damage Concrete Pavement ITEM 102. Common Borrow Excavation ITEM 105. Sub-grade Preparation ITEM 200. Aggregate  Sub-base Coarse Materials ITEM 311. Portland Cement Concrete Pavement Spcl ITEM II. Billboard &amp; Signages Installation </t>
  </si>
  <si>
    <t xml:space="preserve"> Republic of the Philippines												 City of San Carlos												 Negros Occidental												 												 			INVITATION TO BID							FOR SALE	 			PURCHASE REQUEST NO: 221-20-06-0712			P 7,000.00	 Sealed bids for quotation of prices will be receive</t>
  </si>
  <si>
    <t xml:space="preserve"> CTTMO Various Traffic Uniform General Office Attire (GOA) Made to Order (see attached design) Please see attached file/document on associated components or BAC website www.davaocityportal.com (BAC posting) for the complete descriptions, terms of condition</t>
  </si>
  <si>
    <t xml:space="preserve"> ITB 2020-12 1.	The SUGAR REGULATORY ADMINISTRATION, through the SRA Corporate Operating Budget 2020 intends to apply the sum of Ten Million Pesos (₱10,000,000.00) being the Approved Budget for the Contract (ABC) to payments under the contract for the Irri</t>
  </si>
  <si>
    <t xml:space="preserve"> VARIOUS COMPUTER EQUIPMENT AND ACCESSORIES Please see attached file/document on associated components or BAC website www.davaocityportal.com (BAC posting) for the complete descriptions, terms of conditions and terms of references. Bidding will be conducte</t>
  </si>
  <si>
    <t xml:space="preserve"> The Urdaneta City NHS would like to publish the supply and delivery of hygiene kit for JHS teachers and employees (GAD).</t>
  </si>
  <si>
    <t xml:space="preserve"> Facemask &amp; Clean Gloves</t>
  </si>
  <si>
    <t xml:space="preserve"> SOURCE OF FUNDS: ANNUAL BUDGET CY 2020 BIDDING DATE &amp; TIME: AUGUST 13, 2020- 1:00 P.M</t>
  </si>
  <si>
    <t xml:space="preserve"> Spare parts for Backhoe</t>
  </si>
  <si>
    <t xml:space="preserve"> Republic of the Philippines Province of South Cotabato BIDS AND AWARDS COMMITTEE City of Koronadal  INF-ITB 20-040 INVITATION TO BID  1.	The Provincial Government of South Cotabato, through the PEO-8751 CA-2020-8-GF intends to apply the sum of            </t>
  </si>
  <si>
    <t xml:space="preserve"> 1. 2 units SCUBA Cylindrical Tanks 2. 1 pc Dive Computer Decompression Model Fused RGBM2 Four Modes: nitrox (and air), freedive, gauge and off Digital Compass Rechargeable Battery Wireless Mobile Connection Updateable Software Water Resistant Interchangea</t>
  </si>
  <si>
    <t xml:space="preserve"> 1	Oxygen Refill, Big							200	tanks	620.00 Project Name:		For use in the Pharmacy Department							 Place of Delivery:		Bais District Hospital							 ABC:P124,000.00</t>
  </si>
  <si>
    <t xml:space="preserve"> Spare parts for Loader New</t>
  </si>
  <si>
    <t xml:space="preserve"> Procurement of 10 pcs Oil Filter &amp; 15 LI</t>
  </si>
  <si>
    <t xml:space="preserve"> ITEM 102. Common Borrow Excavation ITEM 105. Sub-grade Preparation ITEM 200. Aggregate  Sub-base Coarse Materials ITEM 311. Portland Cement Concrete Pavement Spcl ITEM II. Billboard &amp; Signages Installation Spcl ITEM III. Construction Safety and Health Sta</t>
  </si>
  <si>
    <t xml:space="preserve"> That the BAC of Caduha-an Elementary School has decided to post in a Negotiated Procurement-Small Value Procurement S.Y. 2020-2021. with the following details: Total Budget: Php 77,000.00 That the BAC will be selecting 1 supplier for the said Budget who w</t>
  </si>
  <si>
    <t xml:space="preserve"> Republic of the Philippines Department of Education Region V SCHOOLS DIVISION OFFICE OF CAMARINES SUR Office of the Bids and Awards Committee INVITATION TO BID FOR:   SUPPLY, DELIVERY AND INSTALLATION OF AIR-CONDITIONING UNIT FOR THE NEW BUILDING ITB No. </t>
  </si>
  <si>
    <t xml:space="preserve"> QTY  UNIT  DESCRIPTION 1400	In.m	Clearing for right of way into Project Site route				 1400	In.m	Hauling of materials from stockyard to Project Site				 1	lot	Site excavation for reservoir elevation				 1	lot	Site levelling spring to reservoir facility			</t>
  </si>
  <si>
    <t xml:space="preserve"> 16,250 Liters Diesel Fuel</t>
  </si>
  <si>
    <t xml:space="preserve"> Covid 19 Information Campaign 1000 pcs Informative T Shirts Polyester Dry Fit Small 100 pcs Medium 200 pcs Large 300 pcs XL 200 pcs XXL 200 pcs</t>
  </si>
  <si>
    <t xml:space="preserve"> Lubricants for Heavy Equipment</t>
  </si>
  <si>
    <t xml:space="preserve"> PURCHASE OF MOTOR VEHICLE</t>
  </si>
  <si>
    <t xml:space="preserve"> The Development Bank of the Philippines (DBP), through its Northern Luzon – Regional Bids and Awards Committee (RBAC), will undertake a Small Value Procurement for the “Supply, Delivery and Testing of Nine (9) Units Vacuum Cleaner” in accordance with Sect</t>
  </si>
  <si>
    <t xml:space="preserve"> 15 kits 7 specimen cup</t>
  </si>
  <si>
    <t xml:space="preserve"> Republic of the Philippines DEPARTMENT OF PUBLIC WORKS AND HIGHWAYS PANGASINAN 2ND  DISTRICT ENGINEERING OFFICE  REGIONAL OFFICE I Alvear St., Lingayen, Pangasinan INVITATION TO BID The DPWH Pangasinan 2nd District Engineering Office, through its Bids and</t>
  </si>
  <si>
    <t xml:space="preserve"> epublic of the Philippines PROVINCE OF ZAMBOANGA DEL NORTE Municipality of Sibutad BIDS AND AWARDS COMMITTEE AUGUST 6, 2020 INVITATION TO BID The Local Government Unit of Sibutad, Zamboanga del Norte under P.R. No. GFP100-2020-07-057 dated JULY 9, 2020 wi</t>
  </si>
  <si>
    <t xml:space="preserve"> PRINTING OF NEWSLETTER (44 pages) Ang Sanggunian Special Edition July 1, 2019 - June 30, 2020</t>
  </si>
  <si>
    <t xml:space="preserve"> A4 size of paper, perfect bound, clear copy,</t>
  </si>
  <si>
    <t xml:space="preserve"> Medical Supplies</t>
  </si>
  <si>
    <t xml:space="preserve"> Republic of the Philippines										 BIDS AND AWARDS COMMITTEE										 Baguio City										 (074) 300-6537/ (074)442-8795										 BID FORM										 CP No. 2020-57 Bidding									August 5, 2020	 Circular Proposal No.									Date Prepared	 								</t>
  </si>
  <si>
    <t xml:space="preserve"> Republic of the Philippines PROVINCE OF NUEVA VIZCAYA Municipality of Alfonso Castañeda  BIDS &amp; AWARDS COMMITTEE FOR GOODS &amp; SERVICES REQUEST FOR QUOTATION RFQ Number: 2020-08-05 The Local Government of Alfonso Castañeda through its Bids and Awards Comm</t>
  </si>
  <si>
    <t xml:space="preserve"> Procurement of 4 pc Primary Oil Filter &amp; 5 LI</t>
  </si>
  <si>
    <t xml:space="preserve"> QTY  UNIT  DESCRIPTION 2940	In.m	Pipeline Earthwork trencing/excavation and pipe laying				 1	lot	Installation of Distribution line pipe and fittings				 1	lot	Installation of Transmission line pipe and fittings				 1	lot	Construction of Intake Tank				 1</t>
  </si>
  <si>
    <t xml:space="preserve"> That the BAC of Caduha-an Elementary School has decided to post in Negotiated Procurement-Small Value Procurement S.Y. 2020-2021 with the following details: Total Budget : Php 125,700.00 That the BAC will be selecting 1 supplier for the said Budget who wi</t>
  </si>
  <si>
    <t xml:space="preserve"> Description CITY GOVERNMENT OF DIGOS INVITATION TO BID The City Government of Digos thru the Bids and Awards Committee (BAC) invited interested suppliers/contractors to apply for eligibility screening and if subsequently found eligible to bid for the proc</t>
  </si>
  <si>
    <t xml:space="preserve"> sacks 16	Rice (50 kls)	 33,600.00  kilos	200	Mongo	 18,000.00  cans	750	Sardines	 18,495.00  pcs	369	Fresh Milk, 250ml	 9,225.00  pcs	1,476	Eggs	 10,332.00</t>
  </si>
  <si>
    <t xml:space="preserve"> Supply &amp; Delivery of Shallow Tube well ABC:500,000.00 	5 units Pump &amp; Engine Set (Shallow Tube Well) -	Pump and Engine Set (Coupled) -	Max fuel consumption @ max system efficiency: 1.8 L/hour -	System efficiency : 12% Specs: Pump: (based on coupled AMTEC </t>
  </si>
  <si>
    <t xml:space="preserve"> Construction of 2 units 1 Storey 2 Classroom Building (Modified)</t>
  </si>
  <si>
    <t xml:space="preserve"> Republic of the Philippines Province Of Romblon Municipality Of Calatrava INVITATION TO BID  For Provision of Educational and Instructional Materials for Day Care Teachers  1.	The Local Government Unit of Calatrava, Romblon through the GAD CY- 2020, inten</t>
  </si>
  <si>
    <t xml:space="preserve"> Municipality of  Sogod, Cebu					 	   Contract Ref. No.:0007-2020 Procurement  of One Unit each of Submersible Motor 30HP, 5HP, 3HP 230 volts and 3450 RPM,  Sogod,  Cebu      Standard Form Number :  SF-GOOD-05  Revised on:  July 28, 2004 The Municipality </t>
  </si>
  <si>
    <t xml:space="preserve"> The Development Bank of the Philippines (DBP), through its Northern Luzon – Regional Bids and Awards Committee (RBAC),  will undertake a Small Value Procurement for the “Supply, Delivery and Testing of Thirty (30) Units Steel Cabinet” in accordance with S</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</si>
  <si>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</si>
  <si>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SEE RFQ</t>
  </si>
  <si>
    <t xml:space="preserve"> 1.Airconditioned unit 1 HP window type (2) unit 2.Airconditioned unit 2 HP window type (4) unit 3.Ceiling fan, steel (10) unit 4.Wall fan (10) unit 5.Risograph machine (1) unit 6.Sound / Paging system (1) unit Specs: All call button for selecting all zone</t>
  </si>
  <si>
    <t xml:space="preserve"> Reinforced concrete, masonry w/ plastering, roofing &amp; trusses, ceiling works(inc. GF), finishes w/concrete topping, electrical works, painting works(inlc. GF), metal works, plumbing &amp; fixtures, formworks &amp; scaffoldings, doors &amp; windows.</t>
  </si>
  <si>
    <t xml:space="preserve"> supply and delivery of goods for OFFICE SUPPLIES EXPENSES NIFSL4</t>
  </si>
  <si>
    <t xml:space="preserve"> 1 2 REAM/S PAPER - BOOK LEGAL,216MMX330MM(8-1/2"X13"),MIN OF 70GSM 2 3 REAM/S PAPER - BOOK A4,210MMX297MM,MIN OF 70GSM 3 2 BOX BALLPEN - BLACK ORDINARY 50'S 4 2 BTL/S GLUE - 130G 5 5 PC/S PEN - GTECH 0.5 BLACK</t>
  </si>
  <si>
    <t xml:space="preserve"> Qty.	Unit	Description		 1	set	Emergency/Disaster Early Warning System		 		Specifications:		 		2 High power electronic sirens		 		 - 300W ea., 160Hz-700Hz FreqRange, BMS Synth. Resin		 		 - IP65 Horn Protection Grade, mounting brackets		 		 - 611.8x500x243</t>
  </si>
  <si>
    <t xml:space="preserve"> Supply of Materials</t>
  </si>
  <si>
    <t xml:space="preserve"> That the BAC of Caduha-an Elementary School has decided to post in a Negotiated Procurement-Small Value ProcurementS.Y. 2020-2021 with the following details: Monthly Budget: Php 700.00 Total Budget forSeptember to December: Php 2,800.00 That the BAC will </t>
  </si>
  <si>
    <t xml:space="preserve"> Surface preparation, base coarse preparation(compacted), PCCP, cross drainage, shouldering</t>
  </si>
  <si>
    <t xml:space="preserve"> Photocopy of Various Documents</t>
  </si>
  <si>
    <t xml:space="preserve"> (Radio Program &amp; Advertisement)</t>
  </si>
  <si>
    <t xml:space="preserve"> Project Billboard/Signboard; Occupational Safety and Health Program; Mobilization/Demobilization; Removal of Structure and Obstruction (including Restoration); Structure Excavation (Common Soil); Structural Concrete (Footing and Slab on Fill), Class A, 28</t>
  </si>
  <si>
    <t xml:space="preserve"> Republic of the Philippines					 Province of Bukidnon					 Municipality of Lantapan					 					 INVITATION TO BID FOR THE PURCHASE OF VARIOUS SEEDLINGS					 USE FOR ALANIB RIVER WATERSHED REHABILITATION PROGRAM (1ST BID)					 					 1	The Local Government U</t>
  </si>
  <si>
    <t xml:space="preserve"> LOT - 1		 Bond Paper - A4	610	ream Bond Paper-Long	41	ream 		 LOT - 2		 Plastic storage box - 20 liters - L45 x W32 X H 32 cm	32	box Plastic storage box - 50 liters - L55.5 x W38. 5 X H 33 cm	12	box 		 LOT - 3		 Bother ink-DCP-T710W	42	set 		 LOT - 4		 Pr</t>
  </si>
  <si>
    <t xml:space="preserve"> CSSDO 1 Lot Venetian Blinds, combination Blinds without motor, wood series  color, good for 41 window panels and total of 810 sq. ft., good quality, brand new, free installation, Five (5) years warranty on movable parts (mechanism) in normal used, any int</t>
  </si>
  <si>
    <t xml:space="preserve"> Procurement of Office Supplies - Office of the Municipal Vice Mayor Delivery of the following items: 1.	Sign pen (black) – 3 dozens 2.	Epson ink L3150 (black) – 8 bottles 3.	Epson ink L3150 (cyan, magenta and yellow) – 8 bottles 4.	Stabillo (assorted colo</t>
  </si>
  <si>
    <t xml:space="preserve"> Delivery of spare parts for service vehicle TP103206</t>
  </si>
  <si>
    <t xml:space="preserve"> Procurement of 200 reams Bond paper A4 &amp; 9 LI</t>
  </si>
  <si>
    <t xml:space="preserve"> 42 bags Cement 3 cu.m. Sand 1 cu.m. Gravel 190 pcs 4''CHB 3 kg. 16 mm ø RSB 19 kg. 12 mm ø RSB 12 kg. 10 mm ø RSB 2 pcs Hacksaw Blade 3 kg. #16 G.I. Tie Wire 134 bd.ft. 2''x2''x12' Coco lumber 5 pcs 1/4''x3'x8' Ordinary Plywood  2 kg. Assorted CWN 10 m. T</t>
  </si>
  <si>
    <t xml:space="preserve"> Bidding will be conducted through open competitive bidding procedures as specified in the Implementing Rules and Regulation (IRR) of Republic Act No. 9184 (R.A. 9184), otherwise known as the Government Procurement Reform Act.</t>
  </si>
  <si>
    <t xml:space="preserve"> CONSTRUCTION OF 2-STOREY 4-CLASSROOM SCHOOL BUILDING Contract Location                :     Dugong NHS, Bucay, Abra Brief Description                 :     Construction of School Building using Finishing Works The DPWH-Abra District Engineering Office res</t>
  </si>
  <si>
    <t xml:space="preserve"> The Development Bank of the Philippines (DBP), through its Northern Luzon – Regional Bids and Awards Committee (RBAC), will undertake a Small Value Procurement for the “Supply, Delivery and Testing of Five (5) Units Heavy Duty Money Counter” in accordance</t>
  </si>
  <si>
    <t xml:space="preserve"> Procurement of Materials for the Concreting of Limook National High School Road to Sitio Cawa-Cawa 				 ABC: 2,200,000.00				 				 20	cu.m.	Earthfill		 1560	bags	Protland Cement		 158	cu.m.	Riversand		 316	cu.m.	Crushed Aggregate 2"		 40	pcs	16mm dia. X 6</t>
  </si>
  <si>
    <t xml:space="preserve"> Supply &amp; Delivery of Proficiency Testing &amp; Certified Reference Materials ABC:77,000.00 	1  set Soil Proficiency Testing (PT) materials 		For pH, organic matter, NPK analysis, 500ml container, 5 containers 	    Specs:  -	PT materials must come from an inte</t>
  </si>
  <si>
    <t xml:space="preserve"> 8.64 SQ.M REFLECTIVE BLUE SLIDING GLASS WINDOW - w/ Alum. Frame &amp; Inst'n., 6.0mm.X1.20m.X1.20m.</t>
  </si>
  <si>
    <t xml:space="preserve"> 800 reams A4 Bond paper - 126,400,00</t>
  </si>
  <si>
    <t xml:space="preserve"> PURCHASE OF VARIOUS OFFICE SUPPLIES</t>
  </si>
  <si>
    <t xml:space="preserve"> The Barangay Bulagao, Tuao Cagayan through its Barangay Dev't Fund intends to apply the sum of Php 330,406.00 being the Approved Budget for the Contract (ABC) to payments under the contract for Procurement of Materials for the Improvement of Multi-Purpose</t>
  </si>
  <si>
    <t xml:space="preserve"> QTY  UNIT  DESCRIPTION 4000 Liters Diesel 2400 Liters Gasoline</t>
  </si>
  <si>
    <t xml:space="preserve"> PHILIPPINE BIDDING DOCUMENTS (As Harmonized with Development Partners) Procurement of GOODS Procurement of Medical, Dental and Laboratory Supplies Government of the Republic of the Philippines Fourth Edition December 2010   Preface These Philippine Biddin</t>
  </si>
  <si>
    <t xml:space="preserve"> Republic of the Philippines Province of Iloilo Municipality of Ajuy BIDS AND AWARD COMMITTEE INVITATION TO APPLY FOR ELIGIBILITY AND TO BID 	The Local Government of Ajuy, Iloilo invites Accredited Supplier to apply for eligibility and to bid for the Const</t>
  </si>
  <si>
    <t xml:space="preserve"> The Barangay Bagumbayan, Tuao Cagayan through its Capital Outlay Fund intends to apply the sum of               Php 60,000.00  being the Approved Budget for the Contract (ABC) to payments under the contract for  Purchased of 1 Unit Generator. Bids receive</t>
  </si>
  <si>
    <t xml:space="preserve"> PCC at CMU would like to invite a PhilGeps Registered Supplier to supply 14 heads of Native Carabaos with an approved ABC of P448,000.00. Suppliers must submit their Mayors Permit/Business Permit, Certificate of Philgeps Registration Specificatons: *Male/</t>
  </si>
  <si>
    <t xml:space="preserve"> Supply and Delivery of Computer Inks</t>
  </si>
  <si>
    <t xml:space="preserve"> Provision of Van Rentals ABC:67,500.00 	15 units Van Rentals  -	(Ferry/Fetch) -	Koronadal City- General Santos City 	During the conduct of DA-12 Strategic and Planning Workshop and 1st Semester Physical &amp; Financial Assessment)  Note: Bidders must quote in</t>
  </si>
  <si>
    <t xml:space="preserve"> 149 pcs. Drug Testing Kit</t>
  </si>
  <si>
    <t xml:space="preserve"> for Fuel, Oil and Lubricants</t>
  </si>
  <si>
    <t xml:space="preserve"> CENRO VARIOUS TIRE, BATTERIES, AND ACCESSORIES - 4 WHEELS Please see attached file/document on associated components or BAC website www.davaocityportal.com (BAC posting) for the complete descriptions, terms of conditions and terms of references. Bidding w</t>
  </si>
  <si>
    <t xml:space="preserve"> Republic of the Philippines PROVINCE OF SIQUIJOR Capitol, Bldg., Pulangyuta, Siquijor, Siquijor INVITATION TO BID FOR Supply and Delivery of 83 units Printer 1.	The Province of Siquijor, through the DEP-ED (Supplemental # 1) 200-502-03-990 funds intends t</t>
  </si>
  <si>
    <t xml:space="preserve"> REPUBLIC OF THE PHILIPPINES 		                PROVINCE OF PALAWAN MUNICIPALITY OF LINAPACAN August 4, 2020 Invitation to Bid (ITB No. 40-20) 1.	The Municipal Government of Linapacan, Palawan through the Trust Fund projects intends to apply the sum of Seve</t>
  </si>
  <si>
    <t xml:space="preserve"> 1 190 LGTH/S DRB - 12mm.Dia.x6.0m. G-33 2 290 LGTH/S DRB - 10.0mm.dia. x 6.0m gr.33 3 13 MTR/S WIRE SCREEN - 1/8 THK/MESH 4 50 KG/S. G.I. TIE WIRE - #16 5 10 PC/S HACKSAW BLADE - 12"/300mm 6 20 PR/S CONSTRUCTION GLOVES - (ORANGE PALM) 7 25 PC/S TILE CUTTI</t>
  </si>
  <si>
    <t xml:space="preserve"> TERMS and CONDITIONS : 1. All entries must be typewritten or legibly written. 2. Delivery period within 10 days upon receipt of the approved  unded Purchase Order (P.O). Administrative penalties pursuant to Sec. 69  of  the  Revised IRR-RA 9184 shall be i</t>
  </si>
  <si>
    <t xml:space="preserve"> The Urdaneta City NHS woud like to publish the reproduction of learner's materials for SHS students.</t>
  </si>
  <si>
    <t xml:space="preserve"> The Development Bank of the Philippines (DBP), through its Northern Luzon – Regional Bids and Awards Committee (RBAC),  will undertake a Small Value Procurement for the “Supply, Delivery and Testing of Two (2) Units Checkwriter” in accordance with Section</t>
  </si>
  <si>
    <t xml:space="preserve"> Excavation Subgrade Preparation Aggregate Base Course Portland Cement Concrete Pavement</t>
  </si>
  <si>
    <t xml:space="preserve"> 2	unit	bicycle 		1) frame 27.5; 2) fork-Suntour Epixon; 3) Headparts-tapered da bomb; 4) Sadddle-prologo; 5) Handle Bar-truvative; 6) Handle Post-Sagmit; 7) Handle Grip-giant with lock out; 8) Seat Post-K -Alloy; 9. Seat Post Clampsagmit; 10. Group Set wi</t>
  </si>
  <si>
    <t xml:space="preserve"> Refill Fire Extinguisher</t>
  </si>
  <si>
    <t xml:space="preserve"> SECURITY PLANT COMPLEX       DEPARTMENT OF GENERAL SERVICES       Procurement Division   2nd   REQUEST FOR QUOTATION 1.	The Bangko Sentral ng Pilipinas requests quotations for the hereunder requirement: Name of the Requirement/ Brief Description	:	One (1)</t>
  </si>
  <si>
    <t xml:space="preserve"> 20  PCS PLASTIC CHAIR W/ BACKREST</t>
  </si>
  <si>
    <t xml:space="preserve"> Procurement of 10 pcs Fuse &amp; 9 LI</t>
  </si>
  <si>
    <t xml:space="preserve"> PURCAHSE OF BAMBOO CULMS</t>
  </si>
  <si>
    <t xml:space="preserve"> 1 unit - 2 hp ceiling cassette type              aircondition with installation for the use of the CSDW Office, City of Talisay</t>
  </si>
  <si>
    <t xml:space="preserve"> 1 20 MTR/S WIRE SCREEN - 1/8 THK/MESH 2 50 KG/S. CWN - #4" 3 25 KG/S. CWN - #2 1/2" 4 5 KG/S. CWN - #1" 5 357 BAG/S PORTLAND CEMENT - with delivery at Municipal Warehouse - TYPE 1 6 350 LGTH/S DRB - 12mm.Dia.x6.0m. G-33 7 75 KG/S. G.I. TIE WIRE - #16 8 50</t>
  </si>
  <si>
    <t xml:space="preserve"> Manual Typewriter	1 Specifications:	 Shift Lock Key, TAB Setting, Backspace Function	    Built-In Handle on the machine base for easy hand carrying	 With a soft cloth cover to keep away from dust.</t>
  </si>
  <si>
    <t xml:space="preserve"> Project Billboard/Signboard; Occupational Safety and Health Program; Mobilization/Demobilization; Structure Excavation (Common Soil); Rubble Concrete.</t>
  </si>
  <si>
    <t xml:space="preserve"> Purchase of Chain Saw Item No.	Quantity	Unit	Description			 1	1	unit	Chain saw</t>
  </si>
  <si>
    <t xml:space="preserve"> Republic of the Philippines Province of Ilocos Norte MUNICIPALITY OF PIDDIG INVITATION TO BID  FOR  Construction of Slope Protection in various barangays 1.	The Municipality of Piddig through the RA 7171 Fund   intends to apply the sum of One Million Five</t>
  </si>
  <si>
    <t xml:space="preserve"> 500	pcs	CHB 4" thick	 54	kls	Portland Cement	 18	kls	12mm0x6m RSB	 60	pcs	9mm0x6m RSB	 5	kgs	Tie wire # 16	 9	sets	Mixed Aggregates	 4	sets	Toilet bowl	 4	pcs	Faucet	 10	pcs	PVC Pipe 3"	 12	box	PVC Pipe 1/2"	 5	box	PVC Elbow 3"	 8	pcs	PVC Elbow 1/2"	 1/2	</t>
  </si>
  <si>
    <t xml:space="preserve"> The DPWH-Ilocos Sur 1st District Engineering Office, through its Bids and Awards Committee (BAC), invites contractors to submit bids for the following Contract:   Contract ID: 20AC0116   Contract Name: Concreting of Brgy. Caronoan – Brgy. Bannuar FMR, Brg</t>
  </si>
  <si>
    <t xml:space="preserve"> - (8) PASSIVE LOUD SPEAKER  Loud Speaker 15” 2 way Bass Freq. Range At Least 40-20 KHZ Freq. Range Sensitivity: 96dB HF Driver: at least 1.75” VCoil LF Driver: at least 3.00” VCoil Impedance @ 8 ohms 800 watts 90x90 Dispension - (4)PASSIVE SUBWOOFER SPEAK</t>
  </si>
  <si>
    <t xml:space="preserve"> 1 UNIT AIRCON</t>
  </si>
  <si>
    <t xml:space="preserve"> Provision of Combined Field Office, Laboratory and Living Quarters Building for the Engineer (Rental Basis); Permanent Monuments and Markers; Miscellaneous Survey and Staking; Project Billboard/Signboard; Occupational Safety and Health Program; Traffic Ma</t>
  </si>
  <si>
    <t xml:space="preserve"> Republic of the Philippines BIDS AND AWARDS COMMITTEE 9017 Población, El Salvador City Misamis Oriental  Email: bac.elsalvadorcity@gmail.com INVITATION TO BID for the PROCUREMENT OF 4x2 VAN PICK-UP DRIVEN WITH ACCESSORIES 		(BRAND NEW) (GOODS) 	 The LGU-E</t>
  </si>
  <si>
    <t xml:space="preserve"> Item No. Qty. units Description Brand Amount / Unit 1 2 UNIT/S PORTABLE TOILET Specification: Height:2.3 meters Width:1.09 meters Length:1.09 meters Floor Area: 800 square meter Weight:165lbs Tank Volume: 220 liters Additional Features: Customized Toilet </t>
  </si>
  <si>
    <t xml:space="preserve"> 1.	1	unit	Brand New Ambulance Vehicle 			DOH Standard Compliance inclusive of vehicle, accessories and consumables 			ENGINE SPECIFICATIONS Engine Technology: 4 Cylinders, In-Line Type Type: 16-Valve DOHC Displacement cc: 2,755 Maximum Output Ps/Rpm: 176/</t>
  </si>
  <si>
    <t xml:space="preserve"> CEILING AND DRYWALL CABINETRY WOOD LAMINATE FLOORING PAINTING ELECTRICAL WORKS PANTRY COUNTER AND COUNTER TILES PLUMBING SWING GLASS DOOR COLLEGE LOGO</t>
  </si>
  <si>
    <t xml:space="preserve"> INVITATION TO BID FOR THE REGRAVELLING OF ROADS AT VARIOUS BARANGAYS, MUNICIPALITY OF HINIGARAN, NEGROS OCCIDENTAL 1.	The Local Government Unit of Hinigaran, through Supplemental Budget for 20% Development Fund 2020 intends to apply the sum of ₱ 2,666,630</t>
  </si>
  <si>
    <t xml:space="preserve"> INVITATION TO BID  FOR SUPPLY AND DELIVERY OF PRINTERS. 1.	The Local Government Unit of Murcia, Negros Occidental, through the LGU-SEF 2020, intends to apply the sum of Three Hundred Ninety Three Thousand Two Hundred Thirty Six Pesos (Php 393,236.00) bein</t>
  </si>
  <si>
    <t xml:space="preserve"> 1.	WIRELESS MICROPHONE SET First Set (2 Channels) -	Dual Wirelss Microphone -	Sensitivity (peak deviation) : 3uV (52dB S/N) -	Balanced: +10dB (XLR) -	Unbalanced: +4dB (1/4” 6.3mm Jack Socket) -	F/N Ratio: 80dB -	P/N Ratio: 80dB -	RF Output Power at 50ohms</t>
  </si>
  <si>
    <t xml:space="preserve"> INVITATION TO BID Project No.:  2020 - 02 The Department of Education (DepEd) Region VII - Division of City of Bogo, through the CONTINUING-FLEXIBLE LEARNING OPTIONS, intends to apply the sum TWO MILLION FIVE HUNDRED EIGHTEEN THOUSAND FOUR HUNDRED NINETY </t>
  </si>
  <si>
    <t xml:space="preserve"> Republic of the Philippines Department of Justice BUREAU OF CORRECTIONS Muntinlupa City INVITATION TO BID FOR  SUPPLY AND DELIVERY OF FIRE TRUCKS FOR DAVAO PRISON AND PENAL FARM (DPPF) AND SAN RAMON PRISON AND PENAL FARM (SRPPF) LOT 3 RE-BID 1.	The Bureau</t>
  </si>
  <si>
    <t xml:space="preserve"> Project Billboard/Signboard; Occupational Safety and Health Program; Mobilization/Demobilization; Metal Guardrails (Metal Beam) including Post; Metal Beam End Piece; Hazard Markers, 450mm x 600mm Chevron Signs; Reflectorized Thermoplastic Pavement Marking</t>
  </si>
  <si>
    <t xml:space="preserve"> Reproduction of modules and learning activity sheets fro grade to grade 6</t>
  </si>
  <si>
    <t xml:space="preserve"> PROCUREMENT OF CONSTRUCTION MATERIALS FOR THE CONCRETE PAVING OF 80LN.M ACCESS ROAD AT PUROK 4 AT BARANGAY CAPIRPIRIWAN, CORDON, ISABELA. SOURCE OF FUND : MUNICIPAL &amp; BARANGAY FUND</t>
  </si>
  <si>
    <t xml:space="preserve"> 1	6	unit	camera 1.4mega pixel HD 720P outdoor	 			waterproof IR-bullet 6mm lens	 2	1	unit	16 channel NVR 1.5U Network 200mbps 2tera	 3	1	unit	32" led monitor	 4	6	unit	12 Volts Power Supply	 5	8	rolls	coaxial cable RG6 TCT	 6	12	pcs	connector	 7	75	meter	</t>
  </si>
  <si>
    <t xml:space="preserve"> Medical, Dental and Laboratory Supplies</t>
  </si>
  <si>
    <t xml:space="preserve"> Republic of the Philippines Province of Siquijor Municipality of Enrique Villanueva Barangay Libo Invitation to Bid for  Purchase of Generator Set in Barangay Libo, Enrique Villanueva, Siquijor 	The Barangay Libo, through the Unappropriated Balances of 20</t>
  </si>
  <si>
    <t xml:space="preserve"> Republic of the Philippines Province of Camarines Sur MUNICIPALITY OF MINALABAC -o0o- Invitation to Bid for REBLOCKING OF ROAD at Manapao, Minalabac, Camarines Sur 1. LGU-Minalabac, Camarines Sur, through 20% EDF, CY 2020, intends to apply the sum of One </t>
  </si>
  <si>
    <t xml:space="preserve"> INVITATION TO BID ITB#: 2020-017 SUPPLY AND DELIVERY OF TWO (2) UNITS OF LAPTOP AND ACCESSORIES 1. The Department of Agrarian Reform, through the FUND CLUSTER-01, 2020- intends to apply the sum of Ninety-Eight Thousand Six Hundred Ten Pesos (Php 98,610.00</t>
  </si>
  <si>
    <t xml:space="preserve"> Republic of the Philippines Municipality of Bontoc Mountain Province Bids and Awards Committee INVITATION TO BID FOR PURCHASE OF 1 UNIT  GENERATOR (37/45 KVA) PB GOODS 2020-07/7156921 1.	The Municipal Government of Bontoc,Mountain Province through the Bud</t>
  </si>
  <si>
    <t xml:space="preserve"> Republic of the Philippines PROVINCE OF SURIGAO DEL NORTE MUNICIPALITY OF TAGANA-AN Office of the Barangay Captain Brgy. Talavera, Taganaan, Surigao del Norte Invitation to Bid for CONSTRUCTION OF BARANGAY TALAVERA ARCH &amp; SIGNAGES BRGY. TALAVERA, TAGANA-A</t>
  </si>
  <si>
    <t xml:space="preserve"> The Development Bank of the Philippines (DBP), through its Northern Luzon – Regional Bids and Awards Committee (RBAC),  will undertake a Small Value Procurement for the “Supply, Delivery and Testing of Four (4) Units Electronic Typewriter” in accordance w</t>
  </si>
  <si>
    <t xml:space="preserve"> 40       rolls       Barbwire (Large 150 mtrs./roll) 15       kls         U-nail 5        kls         C-Nails (Mixed no. 4 &amp; 5) 500     pcs        R-post  (3" dia.x 6 ft) Note:for  the use of  Installation of Perimenter fence @ SALRC Area</t>
  </si>
  <si>
    <t xml:space="preserve"> The City Government of San Pedro, Laguna invites interested parties to quote for the following item/s as per request TREASURY: Qty.	Unit of Issue	Item Description 1000	pad	Carbonless paper long 		 - triplicate Forms can be obtained from the BAC Secretaria</t>
  </si>
  <si>
    <t xml:space="preserve"> Republic of the Philippines          City of Dumaguete Bids and Awards Committee INVITATION TO BID FOR PURCHASE REQUEST OF 1 UNIT BRAND NEW MOTORCYCLE 	The City of Dumaguete thru its BIDS AND AWARDS COMMITTEE (BAC), invites all interested manufacturers, s</t>
  </si>
  <si>
    <t xml:space="preserve"> The Development Bank of the Philippines (DBP), through its Northern Luzon – Regional Bids and Awards Committee (RBAC), will undertake a Small Value Procurement for the “Supply, Delivery and Testing of Five (5) Units Time and Dater Machine” in accordance w</t>
  </si>
  <si>
    <t xml:space="preserve"> Project: 2021 NHCP Wall Calendar	3000	pcs Size:13 in x 20 in		 Color: Full color 4/4 (one side)		 Pages: 13 pages		 Stock: Months- C2S 250gsm		 Process: Offset printing		 Binding: Wire binding (white color) with calendar hanger (white color) Square punchi</t>
  </si>
  <si>
    <t xml:space="preserve"> The Local Government Unit of Aglipay through 20% Municipal Development Fund CY 2020  intends to apply the sum of Four Hundred Eighty Three Thousand Seven Hundred Fourteen Pesos (Php 483, 714.00) being the Approved Budget for the Contract (ABC) to payments</t>
  </si>
  <si>
    <t xml:space="preserve"> REPUBLIC OF THE PHILIPPINES																																							 Province of Davao del Sur																																							 MUNICIPALITY OF SANTA CRUZ																																							 -- oOo --																																							 								</t>
  </si>
  <si>
    <t xml:space="preserve"> Length of Railings - 33 1.m. with 11 steel post (3'' diameter x +/-1.1m ht. sch - 40) &amp;  foundation (0.40m x 0.40m x 0.2m). (concrete pedestal = 0.20m dia. x+/-1.80m)</t>
  </si>
  <si>
    <t xml:space="preserve"> Invitation to Bid The National Irrigation Administration – Upper Pampanga River Integrated Irrigation Systems, Dam and Reservoir Division (NIA-UPRIIS-DRD), through the GAA  2020 intends to bid out the projects listed below: CONTRACT ID NO.: 2020-DRD-INF-0</t>
  </si>
  <si>
    <t xml:space="preserve"> Republic of the Philippines Province of Eastern Samar Municipality of Llorente Invitation to Bid for the Construction of Municipal Drainage System 1.	The Local Government of Llorente, through the Budget Approved by the Respective Sanggunian intends to app</t>
  </si>
  <si>
    <t xml:space="preserve"> Invitation to Bid for Improvement of Other DRRM Facilities (Supply &amp; Installation of Solar Panel at ALERT 161 Center ) at Talaba IV 1.	The City Government of Bacoor, Cavite, through the APP No. GF -03-2020 intends to apply the sum of NINE MILLION PESOS AN</t>
  </si>
  <si>
    <t xml:space="preserve"> bond paper (long) - 280 reams pencil                   - 20 box ballpen                 - 42 box plastic envelope (long) - 700 pcs printer                        - 5 unit TOTAL = 121,000.00</t>
  </si>
  <si>
    <t xml:space="preserve"> Republic of the Philippines Province of Iloilo MUNICIPALITY OF TUBUNGAN BIDS AND AWARDS COMMITTEE INVITATION TO BID CATERING SERVICES FOR THE TRAINING WORKSHOP ON PROMOTING SPECIAL PROTECTION OF CHILDREN AGAINST ALL FORMS OF ABUSES AMIDST COVID-19 PANDEMI</t>
  </si>
  <si>
    <t xml:space="preserve"> THE OFFICE OF THE CITY MAYOR, SAN CARLOS CITY, PANGSINAN IS IN NEED OF LABOR &amp; MATERIALS FOR THE REPAIR/IMPROVEMENT OF STREET LIGHTINGS AT RIZAL/ROXAS, THIS CITY</t>
  </si>
  <si>
    <t xml:space="preserve"> 25	bag	Portland Cement		 3	cu.m.	Gravel 3/4"		 2	cu.m.	Sand		 41	piece	Deformed Steel Bar - 10mm dia.		 30	piece	Deformed Steel Bar - 9mm dia.		 6	kilo	Tie Wire #16		 5	sheet	Ordinary Plywood - 1/4"		 208	bd.ft.	Coco Lumber - 2" x 2" x 12' - 52 pcs.		 5	k</t>
  </si>
  <si>
    <t xml:space="preserve"> PLEASE SEE ATTACHED ITB.</t>
  </si>
  <si>
    <t xml:space="preserve"> Republic of the Philippines Province of Nueva Vizcaya BIDS AND AWARDS COMMITTEE (BAC-Goods) BAC OFFICE, Provincial Capitol, Bayombong, Nueva Vizcaya 2nd Failure of Bidding  	 REQUEST FOR QUOTATION (RFQ) For the Procurement of Vehicle Parts  For the Provin</t>
  </si>
  <si>
    <t xml:space="preserve"> Republic of the Philippines Province of Cebu MUNICIPALITY OF BALAMBAN Balamban, Cebu Barangay Bayong     	 	 	Barangay Bayong of the Municipality of Balamban,  through  the  various  sources  of  Funds, intends  to  apply  the  sum  of  and  to  payments </t>
  </si>
  <si>
    <t xml:space="preserve"> Republic of the Philippines Province of Davao de Oro MUNICIPALITY OF COMPOSTELA BIDS AND AWARDS COMMITTEE CP#: 0998-571-7569 INVITATION TO BID FOR CONSTRUCTION OF TEMPORARY MARKET STALLS FOR P-3 CROSSING GABI (Procurement of Materials) ITB NO. 2020-08-042</t>
  </si>
  <si>
    <t xml:space="preserve"> ITB No. 2020-13 (SHORT OF AWARD) 1.	The SUGAR REGULATORY ADMINISTRATION, through the SRA GAA SIDA 2018 re-budgeted to 2020 intends to apply the sum of Twenty-Five Million Pesos (₱25,000,000.00) being the total Approved Budget for the Contract (ABC) to pay</t>
  </si>
  <si>
    <t xml:space="preserve"> 100 UNIT	DIGITAL DUPLICATOR (for various Schools)		 		 Master Making method: Thermal	Master  Making Interval: 45	seconds				 Resolution: Scan (input) resolution: 300x360 dpi				 Print (output) Resolution: 300x360 dpi				 Master Punch Density: 300x360 dpi	</t>
  </si>
  <si>
    <t xml:space="preserve"> The Development Bank of the Philippines (DBP), through its Northern Luzon – Regional Bids and Awards Committee (RBAC), will undertake a Small Value Procurement for the “Supply, Delivery and Testing of Two (2) Units Floor Polisher” in accordance with Secti</t>
  </si>
  <si>
    <t xml:space="preserve"> Clearing and Grubbing Embankment Aggregate Sub-base Course Diameter 1.20m RCPC Riprap and Grouted Riprap Hand Laid Rock Embankment</t>
  </si>
  <si>
    <t xml:space="preserve"> THE OFFICE OF THE LIGA NG MGA BARANGAY PRESIDENT, SN CARLOS CITY, PANGASINAN IS IN NEED OF THE FOLLOWING OFFICE SUPPLIES: 2	UNIT	HARD DRIVE 2TB 3	PC	USB 64 GB 1	UNIT	PAPER CUTTER 9X12 1	UNIT	LAMINATING MACHINE 2	ROLL	PLASTIC LAMINATION(LAMINATING FILM) 50</t>
  </si>
  <si>
    <t xml:space="preserve"> Republic of the Philippines Province of Agusan del Norte BIDS AND AWARDS COMMITTEE Capitol, Butuan City Invitation to Bid for Construction of Bodega GSO, Capitol Compound,  Butuan City, Agusan del Norte The Provincial Government of Agusan del Norte, throu</t>
  </si>
  <si>
    <t xml:space="preserve"> QTY    UNIT    DESCRIPTION      DAYS 7        packs   Meals for Lunch     32 7        packs   Morning Snacks     32 7        packs   Afternoon Snacks   32</t>
  </si>
  <si>
    <t xml:space="preserve"> 2 units-Desktop Computer PPDO</t>
  </si>
  <si>
    <t xml:space="preserve"> Invitation to bid for the procurement of Supply and Delivery of Commonly-Used Supplies of SPAMAST for FY 2020 (2nd Posting)</t>
  </si>
  <si>
    <t xml:space="preserve"> Roofing, Steel, Painting, Carpentry &amp; Electrical Materials</t>
  </si>
  <si>
    <t xml:space="preserve"> Republic of the Philippines National Kidney and Transplant Institute Bids and Awards Committee East Avenue, Quezon City 1100 981-0300 / 981-0400 local 1157 http://www.nkti.gov.ph/	 INVITATION TO BID for the ITB No. 20-055 Supply and Delivery of Various Co</t>
  </si>
  <si>
    <t xml:space="preserve"> INVITATION TO BID FOR THE PROCUREMENT OF SERVICES – COLLECTION, HAULING, AND DISPOSAL OF SOLID WASTE AT THE CITY OF BACOOR - CENRO 1.	The City Government of Bacoor, Cavite, through the General Fund Year 2020 intends to apply the sum of SEVENTY FIVE MILLIO</t>
  </si>
  <si>
    <t xml:space="preserve"> Requirements: 1. Accomplished RFQ/Quotation Form 2. Philgeps Registration 3. Mayor's Permit 4. Omnibus Sworn Statement Submission of Priced quotation/s - on or before August 13, 2020 @ the HRM Office, 2nd Floor, Bontoc Municipal Capitol, Poblacion, Bontoc</t>
  </si>
  <si>
    <t xml:space="preserve"> Tire 5	pcs	   205/70 R15 5	pcs	   175/65 R15 10	pcs	   215/70 R16 5	pcs	   265/60 R18</t>
  </si>
  <si>
    <t xml:space="preserve"> Scope of Work: &gt; concrete works &gt; footing, column, beam, concrete slab (terrace only) walling w/ finishing &gt; trusses, (roof framing, roofing and facia board &gt; flooring (stairs and terrace) &gt; windows</t>
  </si>
  <si>
    <t xml:space="preserve"> Republic of the Philippines Province of Cotabato Municipality of Antipas BIDS AND AWARDS COMMITTEE Invitation to Bid for  Concreting of Highway-Demo Farm Road 1.	The Municipal Government of Antipas, through the Budget Approved by the Sanggunian, intends t</t>
  </si>
  <si>
    <t xml:space="preserve"> REQUEST FOR QUOTATION 	The Department of Justice (DOJ), through the Bids and Awards Committee (BAC) is inviting interested parties to submit proposal/price quotation for the following project: Name of Project	:	Supply and Delivery of fifty-six (56) units </t>
  </si>
  <si>
    <t xml:space="preserve"> SEE ATTACHED LINK TO"OTHER INFORMATION"</t>
  </si>
  <si>
    <t xml:space="preserve"> Procurement of 2,037.736 liters Diesel Fuel for the Barangay Road Maintenance of BLGU Mabuhay, Laak, Davao De Oro with an ABC of Php. 108,000.00. Note: For further details of the said project, please see Hon. Danilo M. Hayag - Punong Barangay of Mabuhay.</t>
  </si>
  <si>
    <t xml:space="preserve"> Republic of the Philippines City Government of Cotabato BIDS AND AWARDS COMMITTEE Cotabato City INVITATION TO BID  Purchase of Construction Materials  1.	The City Government of Cotabato, through LDRRM – Calamity Fund  intends to apply the sum of One Milli</t>
  </si>
  <si>
    <t xml:space="preserve"> Procurement of Materials for the Concreting of Colonia Road to Colonia Elementary School				 ABC: 3,300,000.00				 				 29	cu.m.	Earthfill		 2304	bags	Protland Cement		 170	cu.m.	Riversand		 461	cu.m.	Crushed Aggregate		 60	pcs	16mm dia. X 6.0 Def. Bar		 </t>
  </si>
  <si>
    <t xml:space="preserve"> Procurement of Materials for the Reblocking of Oval Public Market Road, P. Cuevas Extension, Lamitan City				 ABC: 2,000,000.00				 				 20	cu.m.	Earthfill		 1242	bags	Protland Cement		 116	cu.m.	Riversand		 293	cu.m.	Crushed Aggregate		 32	pcs	16mm dia. </t>
  </si>
  <si>
    <t xml:space="preserve"> INVITATION TO BID FOR  MADE TO ORDER BPAT UNIFORM The Municipality of Isulan, through the GENERAL FUND 2020 intends to apply the sum of TWO HUNDRED FORTY-EIGHT THOUSAND TWO HUNDRED PESOS only(Php 248,200.00) being the Approved Budget for the Contract (ABC</t>
  </si>
  <si>
    <t xml:space="preserve"> Republic of the Philippines Province of Camarines Sur MUNICIPALITY OF MINALABAC -o0o- Invitation to Bid for CONSTRUCTION OF BOX CULVERT WITH SLOPE PROTECTION at Zones 2 &amp; 3, Magadap, Minalabac, Camarines Sur 1. LGU-Minalabac, Camarines Sur, through 20% ED</t>
  </si>
  <si>
    <t xml:space="preserve"> SOURCE OF FUNDS: ANNUAL BUDGET CY 2020 BIDDING DATE &amp; TIME: AUGUST 13, 2020- 2:00 P.M</t>
  </si>
  <si>
    <t xml:space="preserve"> Republic of the Philippines Province of Agusan del Norte BIDS AND AWARDS COMMITTEE Capitol, Butuan City Invitation to Bid for Construction of Provincial Jail Covered Court,  Brgy. Libertad, Butuan City, Agusan del Norte The Provincial Government of Agusan</t>
  </si>
  <si>
    <t xml:space="preserve"> The Department of Agriculture-RFO 3, invites interested suppliers to submit quotations/proposals for the hereunder requirement, to wit: 1	roll	Garden Hose with nozzle, 100ft long x 1/2"; 3ply heavy duty construction; bursting pressure of 300PSI; special i</t>
  </si>
  <si>
    <t xml:space="preserve"> REPUBLIC OF THE PHILIPPINES  CITY OF ILOILO BIDS AND AWARDS COMMITTEE Office of the BAC Secretariat, 7th Floor, Iloilo City Hall, Plaza Libertad, Iloilo City 5000 Philippines Tel No.:  033-333-111 loc. 730		E-mail: bac.iloilocity@gmail.com REQUEST FOR QUO</t>
  </si>
  <si>
    <t xml:space="preserve"> 3	Pieces	"Carbouy, LDPE carbouy with spigot 25L, transparent, opaque" 10	Pieces	"Container, Carbouy container Black, 50L" 2,000	Pieces	"Personal Protective Equipment (PPE), Mask N95" 5	Pieces	"Steel plate rack 8 Plate Racks,Long Lasting Shine And Strength</t>
  </si>
  <si>
    <t xml:space="preserve"> Purchase of Speaker @ Porac Public Market, Brgy Cangatba Porac, Pampanga 2 Way 15" Power Rating 400w 4 pcs 2 Way 10" Power Rating 240w 4 pcs 8 Channel Mixer, 4 mic input, 2 stere, phantom power 48v, 2 Bus, wit Bluetooth/USB/PMP3 Function 1 Unit Profession</t>
  </si>
  <si>
    <t xml:space="preserve"> PCC at CMU  invites a Philgeps Registered Suppliers for the Rewiring and Overhauling of FUSO Fighter Truck (6D14) (Labor and Materials) Suppliers must attached their Certificate of Philgeps Registration, Business Permit/Mayor's Permit and other pertinent </t>
  </si>
  <si>
    <t xml:space="preserve"> The Development Bank of the Philippines (DBP), through its Northern Luzon – Regional Bids and Awards Committee (RBAC), will undertake a Small Value Procurement for the “Supply, Delivery and Testing of Two (2) Units Burglar Alarm Control System” in accorda</t>
  </si>
  <si>
    <t xml:space="preserve"> Project Billboard/Signboard, Occupational Safety and Health Program, Traffic Management, Mobilization/Demobilization, Aggregate Subbase Course</t>
  </si>
  <si>
    <t xml:space="preserve"> 1. White Board (17.50"x23.50")				14 pcs. 2. Book Paper, A4, substance 20				30 reams 3. 507A - Magenta Toner					4 ca 4. 507A - Cyan Toner					2 ca 5. 507A - Yellow Toner					2 ca 6. 507A - Black Toner					8 ca 7. EPSON T6641 Ink Refill (Black)			10 bott</t>
  </si>
  <si>
    <t xml:space="preserve"> Automation and Operation of Offices (Accounting and Budget Office)</t>
  </si>
  <si>
    <t xml:space="preserve"> National Power Corporation INVITATION TO BID PUBLIC BIDDING 2020-0263 1.	The NATIONAL POWER CORPORATION (NPC), through       its        approved       Corporate Budget of CY 2020 intends to apply   the   sum   of (Please see schedule below) being the Appr</t>
  </si>
  <si>
    <t xml:space="preserve"> Repair of concrete cover and pavement</t>
  </si>
  <si>
    <t xml:space="preserve"> INVITATION TO BID  Supply and Delivery of Lot 1 – Seven (7) units Palay Thresher with Blower and Lot 2 – Ten (10) units Hand Tractor for Implementation under 2020 Rice Program 1.	The Department of Agriculture Regional Field Office No. 5, through the Gener</t>
  </si>
  <si>
    <t xml:space="preserve"> Section 52. Shopping 52.1. Shopping is a method of procurement of Goods whereby the Procuring Entity simply requests for the submission of price quotations for readily available off-the-shelf goods or ordinary/regular equipment to be procured directly fro</t>
  </si>
  <si>
    <t xml:space="preserve"> The PHILIPPINE SCIENCE HIGH SCHOOL SYSTEM - CALABARZON REGION CAMPUS (PSHS-CBZRC) intends to apply the sum of SIXTY-TWO THOUSAND EIGHT HUNDRED SIXTY PESOS (Php62,860.00) being the Approved Budget for the Contract (ABC) to pay for the contract for the Proj</t>
  </si>
  <si>
    <t xml:space="preserve"> Concrete, Masonry, Embankment, Form and Steel Materials</t>
  </si>
  <si>
    <t xml:space="preserve"> Labor and Materials</t>
  </si>
  <si>
    <t xml:space="preserve"> 1 unit Single motor Vehicle</t>
  </si>
  <si>
    <t xml:space="preserve"> matireals</t>
  </si>
  <si>
    <t xml:space="preserve"> Republic of the Philippines Province of Agusan del Norte BIDS AND AWARDS COMMITTEE Capitol, Butuan City Invitation to Bid for Upgrading/Improvement of Sanghan-Luna-Calulutay-Calamba  Provincial Road, Cabadbaran City, Agusan del Norte The Provincial Govern</t>
  </si>
  <si>
    <t xml:space="preserve"> 1. Ring Binder/Arch File, A4size (Royal Blue)		273 pcs. 2. White Board (17.50"x 23.50")				14 pcs. 3. Pencil Sharpener (Heavy Duty)			2 pcs. Manual Table Mounted type with Metal Clamp One Hole Guide, 9-10mm diameter body casing must be metal</t>
  </si>
  <si>
    <t xml:space="preserve"> Antacids (Kremil S)	50	 pc 	10.00 Plain Paracetamol Biogesic 500mg	25	 pc 	5.00 Ibuprofen + Paracetamol 500mg Bioflu	25	 pc 	5.00 Antimotility (Diatabs)	50	 pc 	5.00 Anti-Allergy (Claritin, Allerta)	50	 pc 	20.00 Neozep (Non drowsy)	50	 pc 	5.00 Antibioti</t>
  </si>
  <si>
    <t xml:space="preserve"> Electrical and Steel Materials</t>
  </si>
  <si>
    <t xml:space="preserve"> Section I. Invitation to Bid FOR THE UPLB-RES-039-08-20  SUPPLY AND DELIVERY OF BRANDED AND BRAND NEW LABORATORY SUPPLIES AND SCIENTIFIC EQUIPMENT FOR MNH 1.	The UNIVERSITY OF THE PHILIPPINES LOS BAÑOS (UPLB), through the GOP (LB03024001-C0002470; N9A9000</t>
  </si>
  <si>
    <t xml:space="preserve"> 1.	Plastic Barrier						pcs			100 2.	Concrete Cement Mixer with Engine	        unit			1 3.	Caution Barricade Tape (300m)			roll			3 4.	Sticker Tape Reflective Safety 			roll			10 Warning 2inches (color: yellow)			 5.	Assorted C.W. Nails					kls			10 6.	As</t>
  </si>
  <si>
    <t xml:space="preserve"> INVITATION TO BID The City of Bayawan, through its Bids and Awards Committee (BAC), invites suppliers/manufacturers/distributors/contractors to bid for the hereunder projects: 	Lot No. I		FILTERS					 1	4	pcs	Air Filter, Primary Radial Seal, P/N 11110022	</t>
  </si>
  <si>
    <t xml:space="preserve"> REPUBLIC OF THE PHILIPPINES 		                PROVINCE OF PALAWAN MUNICIPALITY OF LINAPACAN August 5, 2020 											  Date                                                                                                                                   </t>
  </si>
  <si>
    <t xml:space="preserve"> 1.	1000	units	Blood Bag (CPDA) – Single Bag 2.	500	units	Blood Bag (CPDA) – Triple Bag 3.	50	bots	Anti A Typing Sera 10mL 4.	50	bots	Anti B Typing Sera 10mL 5.	50	bots	Anti D Typing Sera 10mL 6.	5	box	Gel Coombs Microtube, 50 casettes/box 7.	5	box	Gel Neu</t>
  </si>
  <si>
    <t xml:space="preserve"> REPUBLIC OF THE PHILIPPINES 		                PROVINCE OF PALAWAN MUNICIPALITY OF LINAPACAN 	July 27, 2020 Invitation to Bid (ITB No. 35-20) 1.	The Municipal Government of Linapacan, Palawan through the Municipal Development Fund 2020 (20%) intends to app</t>
  </si>
  <si>
    <t xml:space="preserve"> Tarpaulin</t>
  </si>
  <si>
    <t xml:space="preserve"> INVITATION TO BID FOR THE Rehabilitation of Cable Foot Bridge LGU-Kabugao, Apayao 1.	The Local Government Unit of Kabugao, through Appropriation Ordinance No. 02-Series of 2019 (FY 2020 Annual Budget)   intends to apply the sum of Seven Hundred Thousand P</t>
  </si>
  <si>
    <t xml:space="preserve"> Item No. Qty. units Description Brand Amount / Unit 1 3 SET/S COMPUTER BLOWER &amp; VACUUM *Item type: Vacuum Cleaner *Item Length: 35cm *Special features in 1 multiple function *Material type: ABS *Item weight:1.15kg *External testing certification *Item hei</t>
  </si>
  <si>
    <t xml:space="preserve"> 3	Units 	Galaxy Tab. 10.1" 		Specification: 		10.1 WUXGA TFT; 245.2 x 149.4 x 7.5mm; 470g 		8MPAF + 5MP FF (front); Octa Core 1.8GHz); 3GB; 32GB 		up to 512GB 6.150mAh; Android 9.0 Pie; Wi-Fi, 3G,  		LTE Ready; Kids Home; Family Group Sharing 		Dual Speak</t>
  </si>
  <si>
    <t xml:space="preserve"> For MISO use.</t>
  </si>
  <si>
    <t xml:space="preserve"> Republic of the Philippines Department of Justice BUREAU OF CORRECTIONS City of Muntinlupa REQUEST FOR QUOTATION # RFQ 2020-006 Date:¬¬¬¬_________________										 Name of Company: _______________________________________________________________ Address: </t>
  </si>
  <si>
    <t xml:space="preserve"> REPUBLIC OF THE PHILIPPINES 		                PROVINCE OF PALAWAN MUNICIPALITY OF LINAPACAN July 27, 2020 											  Date                                                                                                                                    </t>
  </si>
  <si>
    <t xml:space="preserve"> Concrete works (Beam, Column, suspended &amp; grade slab, Masonry works</t>
  </si>
  <si>
    <t xml:space="preserve"> 5   units	Laptop		 		14 inches Intel Core i5 - 1035G1 Processor (1.00 GHz 6 MB),		 		Windows 10 Home 64, 14.0" LED Monitor,		 		4.0 GB PC4-19200 DDR4 Soldered 2400MHz +		 		4.06 GB DDR4-2666 DDR4 SODIMM 2666MHz,		 		512GB SSD M.2 PCIe NVMe		 		***** nothi</t>
  </si>
  <si>
    <t xml:space="preserve"> 1.	SLOTTED ANGLE BAR 3/16’ x 1 ½ “ x 10’    - 150 PCS. 2.	CARRIAGE BOLT                                        - 500 PCS. 3.	PLYWOOD, MARINE ¾”                               - 15 PCS. 4.	HACKSAW BLADE                                       - 5 PCS. 5.	META</t>
  </si>
  <si>
    <t xml:space="preserve"> 1.	Automatic Alcohol / Hand Sanitizer Dispenser	pcs			16 Wall Mounted 1000ml capacity, 1200ma built in	 battery with Adapter						 2.	K3 Plus Non Contact Thermal Scanner with		pcs			1 Tripod 3.	MITSUSHI Fog Atomizer Paper Disinfectant		pcs			2</t>
  </si>
  <si>
    <t xml:space="preserve"> Supply &amp; Delivery of Various Materials Such us,Paint Latex,CW Nails ,2"x5"x14' lumber and roller paint with tray and ect...</t>
  </si>
  <si>
    <t xml:space="preserve"> INVITATION TO BID FOR CONSTRUCTION OF BRIDGE  Name of Procuring Entity: BLGU- DON RUBEN Source of fund:	20% 2019 Approved Budget for the Contract:	One hundred thousand pesos    (Php 100,000.00) ONLY. Contract Name:	ONSTRUCTION OF BRIDGE  Brief Description</t>
  </si>
  <si>
    <t xml:space="preserve"> REMINDERS: (1) SUBMISSION OF REQUEST FOR QUOTATION SHALL BE ON A SEALED ENVELOPE. THE FLAP OF THE ENVELOPE MUST BE SIGNED. THE DETAILS THAT SHOULD BE REFLECTED IN THE ENVELOPE ARE THE FOLLOWING:  a) RQ NUMBER;  b) COMPANY NAME;  c) REQUESTING UNIT; and  d</t>
  </si>
  <si>
    <t xml:space="preserve"> The City Government of San Pedro, Laguna invites interested parties to quote for the following item/s as per request ENGINEERING: 		Proposed Installation of plastic cover &amp; plastic curtain partitions 		Jose L. Amante Emergency Hospital	 					 		Partition </t>
  </si>
  <si>
    <t xml:space="preserve"> Embankment Subgrade Preparation Aggregate Sub-base Course PCCP</t>
  </si>
  <si>
    <t xml:space="preserve"> 1. Hand Soap small 13 pcs. 2. Detergent Soap 8 bars 3. alcohol 10 bottles 4. tissue 10 rolls 5. hand sanitizer 10 bottles 6. face mask 100 pcs. 7. gloves 4 pcs. 8. Thermal Scanner 1 Unit 9. Vitamin B Complex 5 bottles 10. vitamin C 5 bottles 11. Neozep Ta</t>
  </si>
  <si>
    <t xml:space="preserve"> REPUBLIC OF THE PHILIPPINES 		                PROVINCE OF PALAWAN MUNICIPALITY OF LINAPACAN 	July 27, 2020 Invitation to Bid (ITB No. 34-20) 1.	The Municipal Government of Linapacan, Palawan through the MUNICIPAL DEVELOPMENT FUND  (20% MDF 2019) projects </t>
  </si>
  <si>
    <t xml:space="preserve"> 1 piece Teansioner Assy etc.,</t>
  </si>
  <si>
    <t xml:space="preserve"> Fourth Estate Elementary School invites all interested parties to submit separate sealed quotations for the Supply and Delivery of Bags for Student’s Modules located at Fame Street, Fourth Estate Subdivision, Brgy. San Antonio, Parañaque City. Maximum Bid</t>
  </si>
  <si>
    <t xml:space="preserve"> The Department of Agriculture-RFO 3, invites interested suppliers to submit quotations/proposals for the hereunder requirement, to wit: 		August 26, 2020	 50	pax	AM Snacks - Pancit, Buko Juice, Coffee	 50	pax	Lunch - Rice, Pork Kare-Kare, Chopseuy, Sisig </t>
  </si>
  <si>
    <t xml:space="preserve"> Completion of Comfort Rooms for Boys &amp; Girls at Sitio Say-ot Item No.	Quantity	Unit	Description			 1	42	bags	Portland Cement			 2	4	cu.m	Sand			 3	2.96	cu.m	Gravel			 4	5	pcs.	12mm STD RSB			 5	10	pcs.	10mm STD RSB			 6	4	pcs.	9mm STD RSB			 7	3	kgs	Tie W</t>
  </si>
  <si>
    <t xml:space="preserve"> Republic of the Philippines Province of Nueva Vizcaya BIDS AND AWARDS COMMITTEE (BAC-Goods) BAC OFFICE, Provincial Capitol, Bayombong, Nueva Vizcaya 	 4TH REQUEST FOR QUOTATION (RFQ)  For the Procurement of Desktop Computer, Laptop &amp; Scanner For the Nueva</t>
  </si>
  <si>
    <t xml:space="preserve"> Item No. Qty. units Description Brand Amount / Unit 1 1 UNIT/S CAMERA, DIGITAL Specification; &gt; Fast 0.02 sec AF &gt; 425pt Phase and Contrast Detection AF &gt; Real-time Eye Tracking &gt; Real-time Eye AF &gt; 24.2 MP &gt; 4K HDR Recording &gt; 180" tiltabe LCD touch scre</t>
  </si>
  <si>
    <t xml:space="preserve"> 1.	Directional Sign					        pcs			4 2.	Pedestrian Crossing					pcs			12 3.	Speed Limit						pcs			20 4.	Chevron						        pcs			30 5.	Do Not Block Intersection				pcs			4 6.	R2-3							        pcs			10 7.	Give Way						        pcs			4 8.	U-turnpcs	</t>
  </si>
  <si>
    <t xml:space="preserve"> Item No. Qty. units Description Brand Amount / Unit 1 1 UNIT/S EKF PHOTOMETER USE WITH MICROCUVETTES FOR THE DETECTION OF HEMOGLOBIN WITH HEMATOCRIT</t>
  </si>
  <si>
    <t xml:space="preserve"> THE OFFICE OF THE CITY AGRICULTURIST, SAN CARLOS CITY, PANGASINAN IS IN NEED OF MATERIALS AND LABOR FOR CONSTRUCTION OF MULTI PURPOSE DRYING PAVEMENT AT BARANGAY BOLOSAN AND BARANGAY TEBAG, THIS CITY</t>
  </si>
  <si>
    <t xml:space="preserve"> QTY     UNIT     DESCRIPTION 1      TRAY    EGG MEDIUM 163   PCS     TOOTHPASTE 163   PCS     TOOTHPASTE SACHET 163   PCS     HAND SOAP (FAMILY SIZE) 163   POUCH  POWDERED MILK 163   PCS    ECO BAG X X X X   N O T H I N G    F O L L O W S X X X X</t>
  </si>
  <si>
    <t xml:space="preserve"> 4 Set Desktop Computer PACCO</t>
  </si>
  <si>
    <t xml:space="preserve"> 6 head goat for breeding (At least  6 mos. &amp; above)</t>
  </si>
  <si>
    <t xml:space="preserve"> The Urdaneta City NHS would like to publish the reproduction of learner's materials for JHS students.</t>
  </si>
  <si>
    <t xml:space="preserve"> Republic of the Philippines Province of Agusan del Norte BIDS AND AWARDS COMMITTEE Capitol, Butuan City Invitation to Bid for Rehabilitation of Tribal House, Sitio Lombuyan,  Brgy. Guinabsan, Buenavista, Agusan del Norte The Provincial Government of Agusa</t>
  </si>
  <si>
    <t xml:space="preserve"> 8,450 head Fingerlings- Hito (age is 1 mo. old and above)</t>
  </si>
  <si>
    <t xml:space="preserve"> Supply &amp; Delivery of Microtubes ABC:73,400.00 	4 packs 0.5ml Microtubes conical bottom RNA’se &amp; DNA’se free (1,000 pcs/pack) 	4 packs 0.2ml Microtubes conical bottom RNA’se &amp; DNA’se free (1,000 pcs/pack) 	10 packs 1.5ml Microtubes conical bottom RNA’se &amp; </t>
  </si>
  <si>
    <t xml:space="preserve"> VARIOUS DRUGS AND MEDICINES Please see attached file/document on associated components or BAC website www.davaocityportal.com (BAC posting) for the complete descriptions, terms of conditions and terms of references. Bidding will be conducted through open </t>
  </si>
  <si>
    <t xml:space="preserve"> Republic of the Philippines National Kidney and Transplant Institute Bids and Awards Committee East Avenue, Quezon City 1100 981-0300 / 981-0400 local 1157 http://www.nkti.gov.ph/	 INVITATION TO BID for the ITB No. 20-072 Supply and Delivery of Various Co</t>
  </si>
  <si>
    <t xml:space="preserve"> Aircon &amp; Welding Machine</t>
  </si>
  <si>
    <t xml:space="preserve"> Philippine Science High School – Central Luzon Campus (PSHS-CLC) wishes to invite proponent for the Supply and Delivery of Ascorbic Acid with Zinc and Minerals and Alcohol for PSHS-CLC COVID-19 Emergency Response to PSHS – CLC Skeletal workforce – (COVID-</t>
  </si>
  <si>
    <t xml:space="preserve"> FABRICATION &amp; INSTALLATION OF RAILING @ PH4B TOWERVILLE</t>
  </si>
  <si>
    <t xml:space="preserve"> Impvt. of Covered Court Item No.	Quantity	Unit	Description			 1	260	bags	Portland Cement 2	30	cu.m	Sand 3	25	cu.m	Gravel 4	20	pcs.	16mm Std RSB 5	50	pcs.	12mm STD RSB 6	10	pcs.	Marine Plywood 3/4 7	120	bd.ft.	2 x 3 x 12 cocolumber, 20 pcs 8	10	kgs	CWN (as</t>
  </si>
  <si>
    <t xml:space="preserve"> 3 ply surgical facemasks 70% Isopropyl alcohol 500 ml faceshield (eyeglass style) handsoap liquid,225 ml surgical glove 500 mg Vitamin C cotton balls (300 balls) plaster povidone iodine (500 ml) gauze Cetirizine 10 mg Chlorox Burn ointment Anti-allergy oi</t>
  </si>
  <si>
    <t xml:space="preserve"> 4 pieces Tire 265/65 R17 at (S12) etc.</t>
  </si>
  <si>
    <t xml:space="preserve"> VARIOUS CONSTRUCTION SUPPLIES AND MATERIALS Please see attached file/document on associated components or BAC website www.davaocityportal.com (BAC posting) for the complete descriptions, terms of conditions and terms of references. Bidding will be conduct</t>
  </si>
  <si>
    <t xml:space="preserve"> 6     units  Laptop		 		Intel Core i5 processor, 4GB DDR4, 1TB Hard Disk,		 		14" display, 2GB Videocard		 		***** nothing follows *****</t>
  </si>
  <si>
    <t xml:space="preserve"> QTY    UNIT       DESCRUIPTION 65       REAMS    BOND PAPER, LONG 75       REAMS     BOND PAPER, A4 2         REAMS     FOLDER, LONG 1         REAM       FOLDER, A4 5         BOXES     SIGN PEN, BLACK 4         BOXES     BALLPEN, BLACK 3         BOXES,   </t>
  </si>
  <si>
    <t xml:space="preserve"> Spare part for Road Roller</t>
  </si>
  <si>
    <t xml:space="preserve"> The Development Bank of the Philippines (DBP), through its Northern Luzon – Regional Bids and Awards Committee (RBAC), will undertake a Small Value Procurement for the “Supply, Delivery, Installation and Testing of Two (2) Units Telephone Dialer” in accor</t>
  </si>
  <si>
    <t xml:space="preserve"> Shopping. . .</t>
  </si>
  <si>
    <t xml:space="preserve"> Construction of 6 unit street lights</t>
  </si>
  <si>
    <t xml:space="preserve"> Republic of the Philippines PROVINCE OF ZAMBALES IBA BIDS AND AWARDS COMMITTEE Invitation to Bid for the Supply and Delivery of Medical and Laboratory Supplies for San Marcelino District Hospital and Ospital ng Sta. Cruz, Zambales  1.	The Provincial Gover</t>
  </si>
  <si>
    <t xml:space="preserve"> Republic of the Philippines Department of Justice BUREAU OF CORRECTIONS City of Muntinlupa REQUEST FOR QUOTATION # RFQ 2020-011  Date:¬¬¬¬_________________										 Name of Company: _______________________________________________________________ Address:</t>
  </si>
  <si>
    <t xml:space="preserve"> HARD HAT / HEAD WEAR - WITH VENTILATION			   - DPWH Logo and Office Name			 			 JACKET (RAINPROOF OR ITS EQUIVALENT - HEAVY DUTY)			 			 REFLECTORIZED VEST (RUBBERIZED / HEAVY DUTY)			 			 RAINCOAT (HEAVY DUTY)			   - DPWH Logo and Office Name			 			 EYE </t>
  </si>
  <si>
    <t xml:space="preserve"> LABOR parts Perform Series 20k KM check up parts Car Service parts Replace compressor bracket and idler pulley and timing belt parts Replace rotor disc left hand and right hand parts Replace cylinder head cover gasket parts Replace front shock absorbers l</t>
  </si>
  <si>
    <t xml:space="preserve"> The BIWAD BAC Invites Suppliers to quote for the following. 1.  445 rolls Thermal Paper 80mm x 50mm  2.  20 pieces Marker, permanent, chisel 3.  30 bottles Epson Ink 664, Black 4.  10 bottles Epson Ink 664, Cyan 5.  10 bottles Epson Ink 664, yellow 6.  10</t>
  </si>
  <si>
    <t xml:space="preserve"> MATERIALS COST</t>
  </si>
  <si>
    <t xml:space="preserve"> Republic of the Philippines Cordillera Administrative Region Province of Benguet MUNICIPALITY OF BAKUN BARANGAY KAYAPA INVITATION TO BID 1.	1.	The BLGU-Barangay Kayapa, Bakun, Benguet, Through the 20% BDF 2020, 70% BDRRMF 2020 and CAPITAL OUTLAY 2019-2020</t>
  </si>
  <si>
    <t xml:space="preserve"> NEGOTIATED PROCUREMENT FOR THE PROVISION OF SECURITY SERVICES FOR Pag-IBIG FUND ILOCOS REGION</t>
  </si>
  <si>
    <t xml:space="preserve"> MEDICAL SUPPLIES (ALCOHOL, SANITIZING SOAP, BIO MATS, FACE MASKS, THERMAL SCANNER) OFFICE SUPPLIES ( PRINTER INK, BONDPAPER)</t>
  </si>
  <si>
    <t xml:space="preserve"> SUPPLY AND DELIVERY OF OFFICE SUPPLIES FOR THE 2ND &amp; 3RD QUARTER 2020 AT LGU JAVIER, LEYTE TERMS AND CONDITIONS : 1.  MUST FOLLOW THE STATED SPECS. 2.  DELIVERY PERIOD OF 7CD UPON RECEIPT OF P.0</t>
  </si>
  <si>
    <t xml:space="preserve"> 300 packs Meals and Snacks</t>
  </si>
  <si>
    <t xml:space="preserve"> Republic of the Philippines Province of Apayao PROVINCIAL GOVERNMENT CENTER San Isidro Sur, Luna, Apayao INVITATION TO BID FOR THE SUPPLY AND DELIVERY OF VARIOUS GOODS 1.	The Provincial Government of Apayao, through the General Fund FY 2020, Capital Outla</t>
  </si>
  <si>
    <t xml:space="preserve"> Republic of the Philippines								 Province of Negros Occidental								 Municipality of La Castellana								 Bids and Awards Committee								 								 INVITATION TO APPLY FOR ELIGIBILITY AND TO BID								 								 Name of Project: 		LABOR &amp; MATERIALS</t>
  </si>
  <si>
    <t xml:space="preserve"> Paint: 4 Pail White (16 liters); Gloss 3 liter Green 3 liter Brown 3 liter Blue 3 liter Red 4 pc Black Metal Sheet Flat Sheet: 4 pc 4x8 6 pc 3x8 Cocolumber: 10 pc Dos por Dos (10ft) 15  Dos por Tres (10ft) Nails: 10 kilo De tres 10 kilo De Dos 10 kilo De </t>
  </si>
  <si>
    <t xml:space="preserve"> Republic of the Philippines Province of Siquijor Municipality of Enrique Villanueva Barangay Libo Invitation to Bid for  Purchase of Ceiling Fan in Barangay Libo, Enrique Villanueva, Siquijor 	The Barangay Libo, through the Unappropriated Balances of 2019</t>
  </si>
  <si>
    <t xml:space="preserve"> ITB 2020-14 1.	The SUGAR REGULATORY ADMINISTRATION, through the SRA Corporate Operating Budget 2020 intends to apply the sum of One Million Two Hundred Ten Thousand Pesos (₱1,210,000.00) being the Approved Budget for the Contract (ABC) to payments under t</t>
  </si>
  <si>
    <t xml:space="preserve"> Please see attached RFQ for more details. For concerns/inquiries, you may contact Ms. Gemma Basatan through her CP number: 0908-299-3251</t>
  </si>
  <si>
    <t xml:space="preserve"> The Development Bank of the Philippines (DBP), through its Northern Luzon – Regional Bids and Awards Committee (RBAC),  will undertake a Small Value Procurement for the “Supply, Delivery and Testing of Eight (8) Units Air Purifier” in accordance with Sect</t>
  </si>
  <si>
    <t xml:space="preserve"> IMPROVEMENT OF MULTIPURPOSE HALL ANNEX BUILDING @ PH4A TOWERVILLE</t>
  </si>
  <si>
    <t xml:space="preserve"> The Department of Public Works and Highways – Cordillera Administrative Region, through its Bids and Awards Committee (BAC) for Goods, invites suppliers to submit bids for the contract below: Contract ID No.:	20GP00115 Contract Name:	Procurement of Deskto</t>
  </si>
  <si>
    <t xml:space="preserve"> Please quote your lowest price inclusive of tax to this Office on the items listed below and submit your quotation in a SIGNED AND SEALED envelope not later than AUGUST 13, 2020 addressed to: RUFO S. SOTELO, JR. Head, BAC SECRATARIAT Department of Informa</t>
  </si>
  <si>
    <t xml:space="preserve"> SUPPLY AND DELIVERY OF JANITORIAL SUPPLIES FOR THE MONTH OF AUGUST 2020 FOR USE AT JAVIER MUNICIPAL INFIRMARY TERMS AND CONDITIONS : ITEMS MUST BE DELIVERED AS SPECIFIED MUST BE DELIVER WITH IN SEVEN CALENDAR DAYS UPON RECEIPT OF PURCHASE ORDER</t>
  </si>
  <si>
    <t xml:space="preserve"> Republic of the Philippines Province of Pangasinan Municipality of Bugallon OFFICE OF THE BIDS AND AWARDS COMMITTEE INVITATION TO BID The Barangay Polong of the Municipality of Bugallon, Pangasinan, through its Bids and Awards Committee (BAC), invites con</t>
  </si>
  <si>
    <t xml:space="preserve"> The Urdaneta City NHS would like to publish the supply and delivery of hygiene kit for SHS teachers and employees (GAD).</t>
  </si>
  <si>
    <t xml:space="preserve"> CUSTOMIZED FOLDER A4			 Top Lock			 Side Lock			   - With Hard Cover and cover thickness of 2.5mm or more,			   - PVC Royal Blue Cover			   - With Rado Lock Ring Pocket and DPWH three (3) colored logo on spine expansion			 CUSTOMIZED FOLDER A3			 Side Loc</t>
  </si>
  <si>
    <t xml:space="preserve"> BARANGAY GOVERNMENT UNIT OF BAGONGBAYAN Revised on: July 29, 2005 INVITATION TO APPLY FOR ELIGIBILITY AND TO BID The Barangay Government Unit of Bagongbayan, Kadingilan, Bukidnon, through the Bids and Award Committee (BAC), invites suppliers/manufactures/</t>
  </si>
  <si>
    <t xml:space="preserve"> PHIVIDEC INDUSTRIAL AUTHORITY	 MCT Complex, Tagoloan, Mis. Oriental	 Tel Nos: (08822) 740245, (088) 5670-315	 email add:  	procurement@piamo.gov.ph 	pia.bacsec@gmail.com 	 Standard Form Number: SF-GOOD-60	 Revised on: May 24, 2004	Oct-16 Standard Form Tit</t>
  </si>
  <si>
    <t xml:space="preserve"> INVITATION TO BID FOR THE Construction of Potable Water Supply Level II LGU-Kabugao, Apayao 1.	The Local Government Unit of Kabugao, through Appropriation Ordinance No. 02-Series of 2019 (FY 2020 Annual Budget - 20% MDF)   intends to apply the sum of Four</t>
  </si>
  <si>
    <t xml:space="preserve"> PURPOSE: FOR USE IN DOP Fax your Price Quotation at Tel. Fax#: 426-30-45 / 927-64-26 local 2561 or Email at bacveterans@gmail.com. Please indicate the brand name and complete specifications.</t>
  </si>
  <si>
    <t xml:space="preserve"> Item No. Qty. units Description Brand Amount / Unit 1 2 UNIT/S LAPTOP, COMPUTER Processor: Intel Core i3-1005G1 CPU Graphics: Intel UHD graphics Memory: 4GB DDR4 RAM Storage: 128GB NVMe SSD 1TB HDD Display: 14" FHD Display OS: Windows 10 Accessories: Back</t>
  </si>
  <si>
    <t xml:space="preserve"> Materials and Supplies</t>
  </si>
  <si>
    <t xml:space="preserve"> 26 pcs. Tactical pants (black) 26 pcs. T-shirt w/ collar (light green) 26 pcs. T-shirt w/ collar (yellow) 26 pcs. T-shirt w/ collar (green) 26 pcs. T-shirt w/ collar (orange w/ print) 26 pcs. Reflective safety vest Approved Budget: Php99,970.00 Source of </t>
  </si>
  <si>
    <t xml:space="preserve"> Materials: 30 bags Cement 10 kls. Tie wire #16 10 cu.m. Mixed Sand 7.5 pcs G.I. Pipe 2 S-40 60 pcs 10mm,srb 32 pcs Coco lumber 2x2x10 6 kls CWN assorted 4 pcs Ordinary plywood 1/4 1 mtr Bistayan 30 pcs. 12mm,srb 15 units 60 watts Compact/Integrated Solar </t>
  </si>
  <si>
    <t xml:space="preserve"> 1	BOND PAPER A4 210MM X 297MM WHITE/70 GSM	REAMS	100 2	SCOTCH TAPE BIG	PCS	50 3	BOND PAPER LEGAL 216MM X 330MM 70 GSM	REAMS	50 4	HIGH LIGHTER PEN	PCS	12 5	RECORD BOOK 500 PAGE	PCS	10 6	EPSON INK BLACK 664	CART	10 7	EPSON INK CYAN 664	CART	6 8	EPSON INK YE</t>
  </si>
  <si>
    <t xml:space="preserve"> 3 pieces Roll Up Banner/Tarpaulin Stand etc.</t>
  </si>
  <si>
    <t xml:space="preserve"> CONSTRUCTION OF METER POST &amp; INSTALLATION OF SERVICE ENTRANCE</t>
  </si>
  <si>
    <t xml:space="preserve"> Republic of the Philippines Department of Justice BUREAU OF CORRECTIONS City of Muntinlupa REQUEST FOR QUOTATION # RFQ 2020-012  Date:¬¬¬¬_________________										 Name of Company: _______________________________________________________________ Address:</t>
  </si>
  <si>
    <t xml:space="preserve"> Rice, 1/2 sack, 20 Noodles, 5 boxes sardines, 4 boxes Coffee (3in1 orig), 2boxes Biodegradable Plastic Bag (L), 10ballots</t>
  </si>
  <si>
    <t xml:space="preserve"> SEE ATTACHED ASSOCIATED COMPONENT DOCUMENTS</t>
  </si>
  <si>
    <t xml:space="preserve"> Republic of the Philippines PROVINCE OF ZAMBOANGA SIBUGAY Municipality of Mabuhay OFFICE OF THE BAC CHAIRMAN INVITATION TO BID August 5, 2020 To all interested Bidders; Notice is hereby served that sealed bid be received for public bidding under the harmo</t>
  </si>
  <si>
    <t xml:space="preserve"> Republic of the Philippines Province of Camarines Sur MUNICIPALITY OF MINALABAC -o0o- Invitation to Bid for CONSTRUCTION OF MATERIALS RECOVERY FACILITY at Magadap, Minalabac, Camarines Sur 1. LGU-Minalabac, Camarines Sur, through 20% EDF, CY 2020, intends</t>
  </si>
  <si>
    <t xml:space="preserve"> Republic of the Philippines BOHOL ISLAND STATE UNIVERSITY- Calape Campus Calape, Bohol INVITATION TO BID FOR THE PROCUREMENT OF ELECTRICAL SUPPLIES, INSTRUMENT, SECURITY AND EMERGENCY DEVICES  (PRN-497-2020) 1.	The Bohol Island State University- Calape Ca</t>
  </si>
  <si>
    <t xml:space="preserve"> Republic of the Philippines Province of Siquijor Municipality of Enrique Villanueva Barangay Libo Invitation to Bid for  Purchase of Laptop in Barangay Libo, Enrique Villanueva, Siquijor 	The Barangay Libo, through the Unappropriated Balances of 2019 inte</t>
  </si>
  <si>
    <t xml:space="preserve"> DIMENSION: 4.00mx7.00m ESTIMATES: ITEM I. EMBANKMENT ITEM II. CONCRETE &amp; MASONRY WORKS ITEM III. ROOFING &amp; CEILING SYSTEM ITEM IV. PAINTING WORKS</t>
  </si>
  <si>
    <t xml:space="preserve"> Proposed Renovation of Office Modular Partition of the Curriculum Implementation Division (CID) and Installation of Frameless Glass Door at the Office of the CID Chief Education Supervisor Please see attached ITB</t>
  </si>
  <si>
    <t xml:space="preserve"> 4 unit of Laptop RAM -4GB Processor -Quadcore Windows 10 64-BIT with MS Office HDD -320 GB -ITB</t>
  </si>
  <si>
    <t xml:space="preserve"> Republic of the Philippines Province of Iloilo MUNICIPALITY OF TUBUNGAN 0 BIDS AND AWARDS COMMITTEE INVITATION TO BID PURCHASE OF MONOBLOCK CHAIR IB NO. 2020-08-25 1. The Municipality of Tubungan through TRUST FUND (F/A Iloilo Provincial Government – </t>
  </si>
  <si>
    <t xml:space="preserve"> REPUBLIC OF THE PHILIPPINES 		                PROVINCE OF PALAWAN MUNICIPALITY OF LINAPACAN August 5, 2020 Invitation to Bid (ITB No. 42-20) 1.	The Municipal Government of Linapacan, Palawan through 5% Fund 2020 projects intends to apply the sum Seventy F</t>
  </si>
  <si>
    <t xml:space="preserve"> INVITATION TO BID FOR THE Construction &amp; Rehabilitation of Potable Water Supply Level II LGU-Kabugao, Apayao 1.	The Local Government Unit of Kabugao, through Appropriation Ordinance No. 02-Series of 2019 (FY 2020 Annual Budget - 20% MDF)   intends to appl</t>
  </si>
  <si>
    <t xml:space="preserve"> The Department of Public Works and Highways – Cordillera Administrative Region, through its Bids and Awards Committee (BAC) for Goods, invites suppliers to submit bids for the contract below: Contract ID No.:	20GP00116 Contract Name:	Procurement of Office</t>
  </si>
  <si>
    <t xml:space="preserve"> Republic of the Philippines Department of Justice BUREAU OF CORRECTIONS City of Muntinlupa REQUEST FOR QUOTATION # RFQ 2020-017 Date:¬¬¬¬_________________										 Name of Company: _______________________________________________________________ Address: </t>
  </si>
  <si>
    <t xml:space="preserve"> INVITATION TO BID Republic of the Philippines MUNICIPALITY OF KITCHARAO Province of Agusan del Norte BIDS AND AWARDS COMMITTEE INVITATION TO BID FOR PURCHASE OF CONSTRUCTION MATERIALS (MUNICIPAL STAGE REPAIR) 	The Municipal Government of Kitcharao now inv</t>
  </si>
  <si>
    <t xml:space="preserve"> Republic of the Philippines Province of Eastern Samar Municipality of Guiuan Invitation to Bid  for  PROPOSED CONSTRUCTION OF DRAINAGE SYSTEM ALONG MANAGANTAN STREET,  BARANGAY 09-A, GUIUAN, E. SAMAR The LOCAL GOVERNMENT UNIT OF GUIUAN, through the  20% D</t>
  </si>
  <si>
    <t xml:space="preserve"> ITEM No. 	DESCRIPTION	UNIT	QUANTITY 1	Shaft Kit Upper Link Suspension	set	2 2	Drag Link	pc	2 3	Tire, with Tube &amp; Flap , 700x15-12ply	pc	6 4	Air Cleaner Element 	pc	2 5	Oil Filter, C-526	pc	2 6	Fuel Filter	pc	2 7	Shock Absorber, Front(left anf right)	pc	2 </t>
  </si>
  <si>
    <t xml:space="preserve"> Republic of the Philippines Province of Aurora Municipality of Maria Aurora BIDS AND AWARDS COMMITTEE INVITATION TO BID (First  Posting) The Local Government Unit of Maria Aurora, through its Bids and Awards Committee (BAC), invites suppliers/interested p</t>
  </si>
  <si>
    <t xml:space="preserve"> Supply &amp; Delivery  of Various Laboratory Chemicals ABC:92,090.00 	1 bot. Sulfuric acid, 96%, 2.5 L, AR 	2 bot. Formaldeyde, 1 gallon, AR 	1 bot. Isopropyl alcohol, 1 gallon, AR 	2 bot. Cobalt (II) nitrate hexahydrate 500 g, AR 	4 bot. Nitric acid 69% 2.5L</t>
  </si>
  <si>
    <t xml:space="preserve"> The DPWH-Regional Office I, through its Bids and Awards Committee (BAC), invites contractors to submit bids for the following Contract: Contract ID: 21A00002 Contract Name: Retrofitting/Strengthening of Permanent Bridges, Cagubay Bridge (B00679LZ) along P</t>
  </si>
  <si>
    <t xml:space="preserve"> REPAIR &amp; MAINTENANCE OF INFRASTRUCTURE ASSETS (STREETLIGHTS)</t>
  </si>
  <si>
    <t xml:space="preserve"> Please see attached PR.</t>
  </si>
  <si>
    <t xml:space="preserve"> VARIOUS PRINTED FORMS AND PRINTING SERVICES Please see attached file/document on associated components or BAC website www.davaocityportal.com (BAC posting) for the complete descriptions, terms of conditions and terms of references. Bidding will be conduct</t>
  </si>
  <si>
    <t xml:space="preserve"> Republic of the Philippines PROVINCE OF ZAMBALES IBA BIDS AND AWARDS COMMITTEE Invitation to Bid for the Construction of Multi-Purpose Hall, Pamatawan, Subic 1.	The Province of Zambales, through the General Fund C.Y.-2020 intends to apply the sum of Three</t>
  </si>
  <si>
    <t xml:space="preserve"> Negotiated Procurement (Sec 53.1) 1.	The Provincial Government of Misamis Oriental, through the Approved Budget for the Contract (ABC) intends to apply the sum stated below with the item description, being the Approved Budget for the Contract (ABC) to pay</t>
  </si>
  <si>
    <t xml:space="preserve"> 872 gals Isopropyl Alcohol														 10 pcs Carpet/Flooring Disinfection Machine														 417 pcs Personalized Washable Face Mask														 														 																										 														 x-x-x-x-x-x-x-x-x-x-x-x-x-x-x-xxxxxxx</t>
  </si>
  <si>
    <t xml:space="preserve"> PURCHASE OF STEEL CABINET</t>
  </si>
  <si>
    <t xml:space="preserve"> BAC RESOLUTION NO. 443-2020 “A RESOLUTION DECLARING FAILURE OF BIDDING AND RECOMMEND FOR ALTERNATIVE MODE OF PROCUREMENT” WHEREAS, the Bids and Awards Committee (BAC) thru the Secretariat published in PhilGEPS and in any conspicuous places the purchase of</t>
  </si>
  <si>
    <t xml:space="preserve"> REGION XII Province of Cotabato Municipality of Midsayap BIDS &amp; AWARDS COMMITTEE Tel. Nos. (064) 229-8018; 229-8650; 229-8450 INVITATION TO BID FOR  2020-101, SUPPLY AND DELIVERY OF AGRICULTURAL INPUTS FOR ORGANIC FARMERS OF THE  MUNICIPALITY OF MIDSAYAP,</t>
  </si>
  <si>
    <t xml:space="preserve"> CANAL LINING AT PHASE 4 PUROK 7 Contruction of 41.10 meters Canal Lining Note: Please see attache link below on Other Information for more reference.</t>
  </si>
  <si>
    <t xml:space="preserve"> The DPWH-Regional Office I, through its Bids and Awards Committee (BAC), invites contractors to submit bids for the following Contract: Contract ID: 21A00001 Contract Name: Retrofitting/Strengthening of Permanent Bridges, Don Teofilo Sison Bridge (B00722L</t>
  </si>
  <si>
    <t xml:space="preserve"> The DPWH-Regional Office I, through its Bids and Awards Committee (BAC), invites contractors to submit bids for the following Contract: Contract ID: 21A00003 Contract Name: Bridge Rehabilitation, Rehabilitation of Padilla Bridge (B02144LZ) along Pangasina</t>
  </si>
  <si>
    <t xml:space="preserve"> VARIOUS GROCERIES Please see attached file/document on associated components or BAC website www.davaocityportal.com (BAC posting) for the complete descriptions, terms of conditions and terms of references. Bidding will be conducted through open competitiv</t>
  </si>
  <si>
    <t xml:space="preserve"> Republic of the Philippines BATANGAS STATE UNIVERSITY Batangas City REQUEST FOR QUOTATION "Procurement of Office Supplies for Project Management Office"  1. The Batangas State University (BatState U) through the Bids and Awards Committee invites intereste</t>
  </si>
  <si>
    <t xml:space="preserve"> REGION XII Province of Cotabato Municipality of Midsayap BIDS &amp; AWARDS COMMITTEE Tel. Nos. (064) 229-8018; 229-8650; 229-8450 INVITATION TO BID FOR  2020-100, CONSTRUCTION OF CONCRETE CANAL WITH SLOPE PROTECTION AT PUROK WALING- WALING, KIMAGANGO, MIDSAYA</t>
  </si>
  <si>
    <t xml:space="preserve"> SUPPLY AND DELIVERY OF CONSTRUCTION MATERIALS  FOR USE IN CONSTRUCTION/PROVISION OF HANDWASH FACILITY AT LGU, PNP AND BFP COMPOUND ( RE: COVID 19 PANDEMIC ) TERMS AND CONDITIONS : 1.  ITEMS MENTIONED SHOULD BE DELIVERED AS SPECIFIED 2.  PERIOD OF DELIVERY</t>
  </si>
  <si>
    <t xml:space="preserve"> REHABILITATION OF DRAINAGE</t>
  </si>
  <si>
    <t xml:space="preserve"> VARIOUS JANITORIAL SUPPLIES AND MATERIALS Please see attached file/document on associated components or BAC website www.davaocityportal.com (BAC posting) for the complete descriptions, terms of conditions and terms of references. Bidding will be conducted</t>
  </si>
  <si>
    <t xml:space="preserve"> Bids will be opened and tabulated in the presence of the bidders/suppliers on August 11, 2020 – 10:00 AM. Sealed bids submitted after 9:30 AM on August 11, 2020 shall not be accepted. Submit your quotation duly signed by you or your duly representative an</t>
  </si>
  <si>
    <t xml:space="preserve"> Republic of the Philippines GENERAL SANTOS CITY WATER DISTRICT                       E. Fernandez Street, Barangay Lagao General Santos Telephone No.: 552-3824; Telefax No.: 553-4960 Email Address:  gscwdprocurement@yahoo.com REQUEST FOR QUOTATION RFQ #: </t>
  </si>
  <si>
    <t xml:space="preserve"> 2700 PCS  COMPLETE SET OF ID</t>
  </si>
  <si>
    <t xml:space="preserve"> QTY UNIT DESCRIPTION 14 pcs Matrasses single (4inx36inx75in) Rubberize 4 pcs Matrasses double (4inx48inx75in) Rubberize 38 sets Fitted and flat sheets with pillow case (single) 8 sets Fitted and flat sheets with pillow case (double) 36 pcs pillows 48 pcs </t>
  </si>
  <si>
    <t xml:space="preserve"> 4 pieces Tire 265/65R17 At20 H/T (129) etc.</t>
  </si>
  <si>
    <t xml:space="preserve"> TARO PRODUCTION 	  1 	 8,007 	 Suckers 	 Sucker 	  2 	 16 	 Bags 	 Complete Fertilizer 	  3 	 50 	 Bags 	 Organic Fertilizer 	  4 	 32 	 Bags 	 Bolo 	  5 	 32 	 Pcs 	 Shovel 	 			 PEANUT PRODUCTION 	  6 	 96 	 Kilos 	 Peanuts/Beans 	  7 	 4 	 Bags 	 Compl</t>
  </si>
  <si>
    <t xml:space="preserve"> COPYING MACHINE			 Monochrome multi-function copier, printer and scanner			 Digital and Network Ready			 Copy/print speed: 32 - 55 CPM			 Output Paper Size: A4 (minimum) to A3 (maximum)			 With Electronic Sorting / Collating			 With Paper tray, bypass and</t>
  </si>
  <si>
    <t xml:space="preserve"> Invitation to Bid Barangay 627, Zone 63, District VI through its Bids and Awards Committee (BAC), invites all suppliers duly accredited and approved by the City Council of Manila to bid for the hereunder projects: 400	  boxes	Face Mask 800	  pcs.  	Face S</t>
  </si>
  <si>
    <t xml:space="preserve"> 2 units - Combine Harvester Location: 1 unit - Occidental Mindoro 1 unit - Palawan</t>
  </si>
  <si>
    <t xml:space="preserve"> 317 BAG/S PORTLAND CEMENT - with delivery at Municipal Warehouse - Type 1</t>
  </si>
  <si>
    <t xml:space="preserve"> 1 unit Biosafety Cabinet</t>
  </si>
  <si>
    <t xml:space="preserve"> REQUEST FOR QUOTATION  (RFQ) 1. The Mines and Geosciences Bureau - CAR (MGB-CAR), as the Procuring Entity, through its Bids and Awards Committee (BAC), intends to apply the sum of Three Hundred Fifty-Four  Thousand Nine Hundred Forty-Six Pesos and Eighty </t>
  </si>
  <si>
    <t xml:space="preserve"> Republic of the Philippines Province of Leyte Municipality of Hilongos INVITATION TO RE-BID FOR THE PROCUREMENT OF PRODUCTION INPUTS OF SWINE FATTENING LIVELIHOOD PROJECT FOR DATAG FARMER’S ASSOCIATION 1.  The Local Government Unit of Hilongos, through TR</t>
  </si>
  <si>
    <t xml:space="preserve"> Electrical Works</t>
  </si>
  <si>
    <t xml:space="preserve"> Procurement of Vehicle Parts for the repair and maintenance of Police Mobile (Hilux) of LGU Laak, Davao De Oro with an ABC of Php. 66,500.00</t>
  </si>
  <si>
    <t xml:space="preserve"> 8 units UV LIGHT 120 WATTS, Heavy Duty</t>
  </si>
  <si>
    <t xml:space="preserve"> Republic of the Philippines MUNICIPALITY OF ORION Province of Bataan Bids and Awards Committee Secretariat Office, 2nd Floor Municipal Building, San Vicente, Orion, Bataan Telephone No. 244-9611 local 107 REQUEST FOR QUOTATION (RFQ) The Municipality of Or</t>
  </si>
  <si>
    <t xml:space="preserve"> 1	Rabisin (1 bottle of 10 doses of suspension) 		222 vials  	Active immunization for :Dogs,Cats,Horses,Sheep,Catle,Ferrets</t>
  </si>
  <si>
    <t xml:space="preserve"> VARIOUS MEDICAL SUPPLIES AND MATERIALS Please see attached file/document on associated components or BAC website www.davaocityportal.com (BAC posting) for the complete descriptions, terms of conditions and terms of references. Bidding will be conducted th</t>
  </si>
  <si>
    <t xml:space="preserve"> Item No.	Description	% of Total	Unit	Quantity I	Concrete Works	27.60 %	Cu. m.	4.067 II	Ceiling Works	23.63 %	Sq. m.	74.69 III	Doors/Glass Doors	48.77 %	lot	1.00 	Total Estimated Project Cost	100 %</t>
  </si>
  <si>
    <t xml:space="preserve"> ITEM No. 	DESCRIPTION	UNIT	QUANTITY 1	Portland Cement 	bags	66 2	Mixed Gravel and Sand 	cu.m	30 3	10mm dia x 6m RSB (std)	pcs	60 4	#16 Annealed Tie Wire	kgs	5 5	1/2" dia x 3m PVC Pipe (blue)	pcs	12 6	1/2" dia Elbow(blue)	pcs	10 7	1/2" dia t-Joint (blue)	p</t>
  </si>
  <si>
    <t xml:space="preserve"> 166 heads - Upgraded Goats (Crossbred of Anglo-nubian or Boer) Animals should be sourced from BAI accredited multiplier farm 166 does feminine appearance &amp; apparently healthy Minimum bodyweight of 20 kg in female upon delivery Tested free for CAE and Bruc</t>
  </si>
  <si>
    <t xml:space="preserve"> QTY     UNIT      DESCRIPTION 34        LM        FABRICATION OF STEEL GRATING 69        LM        CONSTRUCTION OF REINF CONCRETE CANAL X X X X    N O T H I N G   F O L L O W S     X X X X</t>
  </si>
  <si>
    <t xml:space="preserve"> 1.Property sticker (Outdoor) (2000) pcs xxxxxxxxxx</t>
  </si>
  <si>
    <t xml:space="preserve"> Please see attached Invitation to Bid and Technical Specifications</t>
  </si>
  <si>
    <t xml:space="preserve"> 1.  1 unit Laptop OS: Windows 10 home single language Processor: Intel CoreTM i3-10110U Memory: 4GB DDR4 Memory Storage: 128GB PCle NVMe SSD + 1000GB HDD WLAN/Bluetooth: AX+BT5 Battery: 48Wh Li-ion Battery   ---------------Nothing Follows--------------- P</t>
  </si>
  <si>
    <t xml:space="preserve"> The Department of Public Works and Highways – Cordillera Administrative Region, through its Bids and Awards Committee (BAC) for Goods, invites suppliers to submit bids for the contract below: Contract ID No.:	20GP00118 Contract Name:	Clustered Purchase Re</t>
  </si>
  <si>
    <t xml:space="preserve"> 29 pcs Automatic Alcohol Dispenser x-x-x-x-x-xx-x-x-xxxxxxxxxxxxxx</t>
  </si>
  <si>
    <t xml:space="preserve"> REPUBLIC OF THE PHILIPPINES 		                PROVINCE OF PALAWAN MUNICIPALITY OF LINAPACAN August 5, 2020 Invitation to Bid (ITB No. 43-20) 1.	The Municipal Government of Linapacan, Palawan through 5% Fund 2018 projects intends to apply the sum One Hundr</t>
  </si>
  <si>
    <t xml:space="preserve"> Reducer 3/4 to 1" 4 pcs 1" Elbow 20 pcs 1" PVC pipe (blue) 9 p-cs 1" Tee 2 pcs 1" C- Clamp 2 pcs 400 c c neltex solvent 1 pc 20ft tubular 2 x 4 2 pcs Welding gloves #16 3 sets Welding Mask 3 pcs Welding rod J38. 12 / E6013 1/2 kg Quick dry enamel black 4 </t>
  </si>
  <si>
    <t xml:space="preserve"> Republic of the Philippines Bohol Island State University-Calape Campus Calape, Bohol Invitation to Bid for the Procurement of Office Supplies PRN- 632-2020 1.	The Bohol Island State University Calape Campus,  through the Special Trust Fund (STF) 2020  in</t>
  </si>
  <si>
    <t xml:space="preserve"> INVITATION TO BID FOR THE SUPPLY, DELIVERY AND INSTALLATION OF 1 LOT GERMINATOR RCEF GOODS 20-07-05A 1.	The Philippine Rice Research Institute, through the 2020 Rice Competitiveness Enhancement Fund intends to apply the sum of ONE MILLION TWO HUNDRED THOU</t>
  </si>
  <si>
    <t xml:space="preserve"> Operating Frequency: 5GHz frequency band - 2x2 MIMO Antenna Type - Polarization: Vertical and Horizontal capable - Maximum Antenna Gain: 23 dBi - Network Interface: 10/100/1000 Ethernet Port - Maximum Transmitting Power: 24 dBm - Passive Power Over Ethern</t>
  </si>
  <si>
    <t xml:space="preserve"> Features: 1.	Face Recognition 	Complete personnel identification quickly and temperature measurement 	Supports 100000 faces recognition record 2.	Non-contact measurement 	Non-contact measurement ensures the safety of front-line personnel and greatly re</t>
  </si>
  <si>
    <t xml:space="preserve"> Bitterground (ampalaya), 3kls Eggplant, 1kl Squash, 1kl Okra, 1kl Pole Sitao, 1kl</t>
  </si>
  <si>
    <t xml:space="preserve"> REQUEST FOR QUOTATION  (RFQ) 1. The Mines and Geosciences Bureau - CAR (MGB-CAR), as the Procuring Entity, through its Bids and Awards Committee (BAC), intends to apply the sum of Sixty-Nine Thousand Seven Hundred Sixty-Eight Pesos and Eighty-Four Centavo</t>
  </si>
  <si>
    <t xml:space="preserve"> Republic of the Philippines Province of Bukidnon MUNICIPALITY OF TALAKAG  	 INVITATION TO SUBMIT QUOTATION FOR THE PROCUREMENT OF GOODS RECOMMENDED FOR SMALL VALUE PROCUREMENT PURSUANT TO SECTION 53.9 OF THE REVISED IMPLEMENTING RULES AND REGULATION OF R.</t>
  </si>
  <si>
    <t xml:space="preserve"> Republic of the Philippines Province of Siquijor Municipality of Enrique Villanueva Barangay Libo Invitation to Bid for  Purchase of Steel Cabinet in Barangay Libo, Enrique Villanueva, Siquijor 	The Barangay Libo, through the Unappropriated Balances of 20</t>
  </si>
  <si>
    <t xml:space="preserve"> 2 ea Deep cool Smarter Micro CPU Chasis &amp; 22 Other LI</t>
  </si>
  <si>
    <t xml:space="preserve"> RUBBER TIRE 265X75 R16	    4	PCS FOR USE OF CONSTRUCTION SECTION, SERVICE VEHICLE HI-7526 (NNO 702)</t>
  </si>
  <si>
    <t xml:space="preserve"> 1	Piece	Uninterruptible Power Supply, 100VA/600W; Input Voltage - 230V Output Voltage - 230V	3,500.00 1	Piece	Hard Disk, 1TB	2,500.00 2	Unit 	Laptop, SPECS: 1tb HDD, i3 processor, Windows 10OS, 4gb RAM, with numeric keypad	30,000.00 1	Piece	Wireless Mouse</t>
  </si>
  <si>
    <t xml:space="preserve"> 85 pcs Vermicompost 85 pcs 14-14-14</t>
  </si>
  <si>
    <t xml:space="preserve"> 1	12	unit	"Android Phone Camera Rear: 13MP (F1.9)+5MP (F2.2) Memory:3GB RAM Battery: 4,000mAh Color: Blue"	                                                                                   ₱12,499.17</t>
  </si>
  <si>
    <t xml:space="preserve"> Republic of the Philippines National Kidney and Transplant Institute Bids and Awards Committee East Avenue, Quezon City 1100 981-0300 / 981-0400 local 1157 http://www.nkti.gov.ph/	 INVITATION TO BID for the ITB No. 20-075 RE-BIDDING OF DESIGN AND BUILD OF</t>
  </si>
  <si>
    <t xml:space="preserve"> Republic of the Philippines Province of Leyte Municipality of Palompon oOo BIDS &amp; AWARD COMMITTEE INVITATION TO BID FOR  PROCUREMENT OF FEEDS FOR BANGOS PRODUCTION Project Identification No. 2020-2708-018 The Municipality of Palompon, through the MMK Fund</t>
  </si>
  <si>
    <t xml:space="preserve"> OFFICE SUPPLIES 1,760 Reams    Multicopy Paper A4 GSM 70</t>
  </si>
  <si>
    <t xml:space="preserve"> UNIT     ITEM DESCRIPTION    QTY unit       40" Smart TV              2              with USB, HDMI and VGA ports set         Desktop                     1              core i3 4GB RAM              120GB SSD 1TB sata disk              19" LED Monitor     </t>
  </si>
  <si>
    <t xml:space="preserve"> 1	958	bags	Cement 2	44	cu.m	Crushed Gravel (G1) 3	52	cu.m	Crushed Gravel(3/4) 4	60	cu.m	Albay Sand 5	6	cu.m	Boulders Class A 6	614	pcs	12mm RSB 7	712	pcs	10mm RSB 8	5	rolls	# 16 Tie Wire 9	4	boxes	4”  CW Nail 10	3	boxes	3” CW Nail 11	2	boxes	2” CW Nail 12</t>
  </si>
  <si>
    <t xml:space="preserve"> Location: Zumigui, Luna, Apayao Construction Materials</t>
  </si>
  <si>
    <t xml:space="preserve"> Supply &amp; Delivery of Pandemic Educational Program Learners Kit under RDI PO (Recovery Development Intervention Plans &amp; Programs) 20425 pads Pad Paper (Grade 1-4) 15833 pads Pad Paper (Grade 5-6 &amp; Senior High) 3214 boxes Crayons (8 colors) 1692 boxes Crayo</t>
  </si>
  <si>
    <t xml:space="preserve"> PURPOSE: FOR USE IN TERMITE AROUND VMMC HOSPITAL BUILDINGS Fax your Price Quotation at Tel. Fax#: 426-30-45 / 927-64-26 local 2561 or Email at bacveterans@gmail.com. Please indicate the brand name and complete specifications.</t>
  </si>
  <si>
    <t xml:space="preserve"> INVITATION TO BID ITB NO. 2020-08-007 The Procuring Entity  through its Bids and Awards Committee (BAC), invites eligible IT suppliers to apply for eligibility and to bid for the hereunder project: Name of Project: PURCHASE OF CONSTRUCTION MATERIALS OF MU</t>
  </si>
  <si>
    <t xml:space="preserve"> Republic of the Philippines Province of Aurora Municipality of Maria Aurora BIDS AND AWARDS COMMITTEE INVITATION TO BID (Second  Posting) The Local Government Unit of Maria Aurora, through its Bids and Awards Committee (BAC), invites suppliers/interested </t>
  </si>
  <si>
    <t xml:space="preserve"> The DPWH-Regional Office I, through its Bids and Awards Committee (BAC), invites contractors to submit bids for the following Contract: Contract ID: 21A00004 Contract Name: Retrofitting/Strengthening of Permanent Bridges, Bauang Bridge 1 (B02644LZ) along </t>
  </si>
  <si>
    <t xml:space="preserve"> Installation of Sitio Nalbot Basketball Court Light  ABC: PHP82,162.00</t>
  </si>
  <si>
    <t xml:space="preserve"> AREA                                                            REQUIRED NO. OF MOVES               RATE/MOVE CDO/NDO/SDO/EDO MARIKINA WHSE             3,548,284                                      P5.94 CPO/EDO ANTIPOLO WHSE                             </t>
  </si>
  <si>
    <t xml:space="preserve"> REPUBLIC OF THE PHILIPPINES CITY GOVERNMENT OF OROQUIETA BIDS AND AWARD COMMITTEE City Hall Main, Oroquieta City            		 August 05, 2020                                                                                                                 </t>
  </si>
  <si>
    <t xml:space="preserve"> OFFICE SUPPLIES AND CONSUMABLES 10 master rolls of RISO x P1,960 = 	P19, 600 30 ink x P1,080.24 =                         P32,407.20  					 A4 BOND PAPER  80 gsm (170/ream) = 275 x 170 =	P46,750 GRAND TOTAL  =       			P98, 757.20</t>
  </si>
  <si>
    <t xml:space="preserve"> REQUEST FOR QUOTATION  (RFQ) 1. The Mines and Geosciences Bureau - CAR (MGB-CAR), as the Procuring Entity, through its Bids and Awards Committee (BAC), intends to apply the sum of One Hundred Thirty-Seven  Thousand Seven Hundred Sixty-Nine Pesos and Fifty</t>
  </si>
  <si>
    <t xml:space="preserve"> Republic of the Philippines Province of Siquijor Municipality of Enrique Villanueva Barangay Libo Invitation to Bid for  Purchase of Sliding Window and Sliding Door in Barangay Libo, Enrique Villanueva, Siquijor 	The Barangay Libo, through the Unappropria</t>
  </si>
  <si>
    <t xml:space="preserve"> PURCHASE OF VENETIAN BLINDS</t>
  </si>
  <si>
    <t xml:space="preserve"> CARLOS HILADO MEMORIAL STATE COLLEGE BIDS AND AWARDS COMMITTEE Talisay City, Negros Occidental Telefax Nos. (034)712-8404 INVITATION TO BID  FOR ENHANCEMENT OF ENGINEERING AND TECHNOLOGY GREEN BUILDING (ETGB) ROOF SKIRTING (LABOR AND MATERIALS) – TALISAY </t>
  </si>
  <si>
    <t xml:space="preserve"> CITY LIBRARY 1 Lot LIBRARY ONLINE RESOURCES FOR THE DAVAO CITY LIBRARY AND INFORMATION CENTER Please see attached file/document on associated components or BAC website www.davaocityportal.com (BAC posting) for the complete descriptions, terms of condition</t>
  </si>
  <si>
    <t xml:space="preserve"> The DPWH-Regional Office I, through its Bids and Awards Committee (BAC), invites contractors to submit bids for the following Contract: Contract ID: 21A00005 Contract Name: Retrofitting/Strengthening of Permanent Bridges, Bued Bridge (B00735LZ) along Mani</t>
  </si>
  <si>
    <t xml:space="preserve"> Procurement of Supplies for Learning Continuity Plan</t>
  </si>
  <si>
    <t xml:space="preserve"> Republic of the Philippines Department of Justice BUREAU OF CORRECTIONS City of Muntinlupa REQUEST FOR QUOTATION # RFQ 2020-016 Date:¬¬¬¬_________________										 Name of Company: _______________________________________________________________ Address: </t>
  </si>
  <si>
    <t xml:space="preserve"> Republic of the Philippines Province of Iloilo MUNICIPALITY OF TUBUNGAN 0 BIDS AND AWARDS COMMITTEE INVITATION TO BID PROCUREMENT OF PRINTER AND PHOTO COPIER MACHINE IB NO. 2020-08-26 1. The Municipality of Tubungan through SPECIAL EDUCATION FUND (Pro</t>
  </si>
  <si>
    <t xml:space="preserve"> PURCHASE OF VARIOUS IT EQUIPMENT &amp; SUPPLIES</t>
  </si>
  <si>
    <t xml:space="preserve"> Republic of the Philippines Province of Camarines Sur MUNICIPALITY OF BAAO INVITATION FOR NEGOTIATIONS SUPPLY AND DELIVERY OF HYBRID CORN SEEDS, VEGETABLE SEEDS AND PROVISION OF OPV VEGETABLES FOR BACKYARD GARDENING 1. The LOCAL GOVERNMENT UNIT OF BAAO, t</t>
  </si>
  <si>
    <t xml:space="preserve"> lot	Procurement of Security Services for MARINA 	1 	Regional Office VIII from 01 August 2020 to 31 	 	December 2020</t>
  </si>
  <si>
    <t xml:space="preserve"> PURCHASE OF POST LED LIGHTING, CGSO, CALBAYOG CITY</t>
  </si>
  <si>
    <t xml:space="preserve"> REQUEST FOR QUOTATION August 5, 2020 _______________________________ _______________________________ _______________________________ Gentlemen: Please quote for us your lowest price on the item(s) listed below: ITEM/S 						UNIT PRICE 	    TOTAL PRICE 16 </t>
  </si>
  <si>
    <t xml:space="preserve"> Republic of the Philippines DEPARTMENT OF PUBLIC WORKS AND HIGHWAYS REGIONAL OFFICE VIII Baras, Palo, Leyte    INVITATION TO BID No. 2020-08-006 August 3, 2020 1.	The Department of Public Works and Highways Regional Office VIII, Baras, Palo, Leyte, throug</t>
  </si>
  <si>
    <t xml:space="preserve"> REQUEST FOR QUOTATION For Negotiated Procurement thru Small Value Procurement under Sec. 53.9 of the 2016 Revised IRR of RA 9184 Quotation No.:  2020-08-275 Date: August 5, 2020 PR No.: 20-07-267 PR Date: July 14, 2020 The Metropolitan Tuguegarao Water Di</t>
  </si>
  <si>
    <t xml:space="preserve"> Republic of the Philippines Department of Justice BUREAU OF CORRECTIONS City of Muntinlupa REQUEST FOR QUOTATION # RFQ 2020-021  Date:¬¬¬¬_________________										 Name of Company: _______________________________________________________________ Address:</t>
  </si>
  <si>
    <t xml:space="preserve"> Republic of the Philippines Province of Leyte Municipality of Hilongos Barangay Cantandog II REQUEST FOR QUOTATION __________________________ __________________________					Date:____________________________ __________________________ Sir/Madam: Please quo</t>
  </si>
  <si>
    <t xml:space="preserve"> Civil work that includes concrete work</t>
  </si>
  <si>
    <t xml:space="preserve"> 1200. Packs   snacks (am/pm) 600    packs.  Lunch</t>
  </si>
  <si>
    <t xml:space="preserve"> Please see BAC Chairman &amp; attached documents</t>
  </si>
  <si>
    <t xml:space="preserve"> INVITATION TO BID FOR THE Construction of River Flood Control LGU-Kabugao, Apayao 1.	The Local Government Unit of Kabugao, through Appropriation Ordinance No. 02-Series of 2019 (FY 2020 Annual Budget)   intends to apply the sum of One Million Pesos (₱1,00</t>
  </si>
  <si>
    <t xml:space="preserve"> Spareparts-Various Spareparts</t>
  </si>
  <si>
    <t xml:space="preserve"> Hog Raising and Feeds</t>
  </si>
  <si>
    <t xml:space="preserve"> please download rfq and store furnish in the associated component</t>
  </si>
  <si>
    <t xml:space="preserve"> Agricultural Chemicals/Fertilizers</t>
  </si>
  <si>
    <t xml:space="preserve"> Please quote your lowest price inclusive of tax to this Office on the items listed below and submit your quotation in a SIGNED AND SEALED envelope not later than AUGUST 13, 2020 addressed to: RUFO S. SOTELO, JR. Head, BAC SECRETARIAT Department of Informa</t>
  </si>
  <si>
    <t xml:space="preserve"> RENTAL OF 10 &amp; 6 WHEELER DUMPTRUCK FOR 25 DAYS, CSWMO, CALBAYOG CITY</t>
  </si>
  <si>
    <t xml:space="preserve"> 1)4G-up to 12mbps.LTE-up 42 mbps                                             2	 set   103x73.5x25.5mm,supportFDD,LTE Bands   B1/B2/B3/B5/B7/B8/B20/B28  2X LAN port,1xd89 port 5-32 VDC power  supply English language, GUI, Single SIM  slot Wifi and VPN supp</t>
  </si>
  <si>
    <t xml:space="preserve"> 1	lot	"Analysis of Heirloom Rice samples  Dietary Fiber (50 samples)  Iron (50 samples)  Calcium (50 samples)  Sodium (50 samples)  Sample Preparation (50 samples)"</t>
  </si>
  <si>
    <t xml:space="preserve"> see associated components</t>
  </si>
  <si>
    <t xml:space="preserve"> Section I. Invitation to Bid  Republic of the Philippines Province of Nueva Vizcaya Municipality of Solano -o0o- Supply &amp; Delivery of Ten (10) Wooden Table for use in Pasalubong Center   (SOLANO 094-2020) 1.	The Local Government Unit of Solano, Nueva Vizc</t>
  </si>
  <si>
    <t xml:space="preserve"> 6 LENGTH PVC CASING 200 MM X 4 METERS THREADED TYPE 3 LENGTH PVC SCREEN 200 MM X 4 METERS THREADED TYPE 10 LENGTH PVC SURE LOCK RISER 3" X3 METERS COLOR BLUE WITH SPLINE LOCK 1 PC PVC END CAP 200 MM 1 PC STAINLESS PUMP CONNECTOR 3" 1 PC STAINLESS TOP CONN</t>
  </si>
  <si>
    <t xml:space="preserve"> Republic of the Philippines Office of the Punong Barangay BIDS AND AWARDS COMMITTEE Barangay #17 Ngabangab, Pasuquin, Ilocos Norte REQUEST FOR QUOTATIONS  Purchase of Office Supplies 1.	The BARANGAY NGABANGAB-PASUQUIN, through the AO NO. 2020-04, SAVINGS </t>
  </si>
  <si>
    <t xml:space="preserve"> Republic of the Philippines Province of Oriental Mindoro MUNICIPALITY OF PINAMALAYAN OFFICE OF THE BIDS AND AWARDS COMMITTEE Invitation to Bid ITB-2020-35 1.  The Municipal Government of Pinamalayan, Oriental Mindoro, through the authorized appropriations</t>
  </si>
  <si>
    <t xml:space="preserve"> RENTAL OF 10 &amp; 6 WHEELER DUMPTRUCK, CSWMO, CALBAYOG CITY</t>
  </si>
  <si>
    <t xml:space="preserve"> Rpr &amp; Maint Motor Vehicles</t>
  </si>
  <si>
    <t xml:space="preserve"> Straight contract for vehicle rental to transport PhilRice Bicol RCEF staff on August 17 - December 31, 2020 from Sorsogon City to various municipalities in Sorsogon and vice versa as follows: 'route 1: Castilla  to Pilar / Donsol  'route 2: Prieto Diaz /</t>
  </si>
  <si>
    <t xml:space="preserve"> Republic of the Philippines Office of the Punong Barangay BIDS AND AWARDS COMMITTEE Barangay #17 Ngabangab, Pasuquin, Ilocos Norte Invitation to Bid for PURCHASE OF IT EQUIPMENT 1.	The BARANGAY NGABAGAB -PASUQUIN, through the AO NO. 2020-04, SAVINGS OF 10</t>
  </si>
  <si>
    <t xml:space="preserve"> MATERIALS IN THE CONSTRUCTION OF 11 UNITS 5MX5MX2M FISHCAGE AND 2 UNITS 3.5FTX5M BAMBOO RAFT	1	LOT	  Plastic Drums (200ltrs capacity, double rim, color blue) deliver on-site	56	pcs	 Spiny Bamboo Whole Length (10-12m length) deliver on-site	181	length	 Mon</t>
  </si>
  <si>
    <t xml:space="preserve"> Republic of the Philippines BIDS AND AWARDS COMMITTEE Cadiz City      BID DOCUMENTS for the REHABILITATION/IMPROVEMENT OF BRGY. HEALTH CENTER (PHASE I) @ BRGY. PROPER, BRGY. ZONE 6, CADIZ CITY (1) BIDS AND AWARDS COMMITTEE  Cadiz City   INVITATION TO BID/</t>
  </si>
  <si>
    <t xml:space="preserve"> Republika ng Pilipinas PAMAHALAANG LUNGSOD NG TACLOBAN (City Government of Tacloban) Kanhuraw Hill, Tacloban City 6500 Bids and Awards Committee INVITATION TO SUBMIT PRICE QUOTATIONS FOR THE NEGOTIATED PROCUREMENT (Small Value Procurement) OF FIXTURES BID</t>
  </si>
  <si>
    <t xml:space="preserve"> INVITATION TO BID FOR THE SUPPLY &amp; DELIVERY OF ONE (1) UNIT OF SERVICE VEHICLE FOR SAGIP MUNTINLUPA CENTER 1.	The City Government of Muntinlupa, through its duly-approved  Executive Budget  for 2019 intends to apply the sum of One Million Two Hundred Sixt</t>
  </si>
  <si>
    <t xml:space="preserve"> Republika ng Pilipinas PAMAHALAANG LUNGSOD NG TACLOBAN (City Government of Tacloban) Kanhuraw Hill, Tacloban City 6500 Tel. Nos.  325-4053 BIDS AND AWARDS COMMITTEE 	INVITATION TO SUBMIT PRICE QUOTATIONS 3rd Posting 	           The City Government of Tacl</t>
  </si>
  <si>
    <t xml:space="preserve"> Republic of the Philippines Province of Cebu MUNICIPALITY OF BALAMBAN Balamban, Cebu Barangay Arpili    	 	 	Barangay Arpili of the Municipality of Balamban,  through  the  various  sources  of  Funds, intends  to  apply  the  sum  of  and  to  payments  </t>
  </si>
  <si>
    <t xml:space="preserve"> 1	1-1/2" Ø G.I Pipe Sch. 40			                  75	 pcs  2	Double Swivel Pipe Clamps 1-1/2"			100	 pcs  3	Corrugated G.I Sheet 12' GA 24			          75	 pcs  4	Double Head Sheet Nibbler Metal Cutler		   1	 set  5	Nibble Arbor for Double Head 128x 4mm		   </t>
  </si>
  <si>
    <t xml:space="preserve"> PLEASE SEE ATTACHED INVITATION TO BID.</t>
  </si>
  <si>
    <t xml:space="preserve"> Republic of the Philippines Office of the Punong Barangay BIDS AND AWARDS COMMITTEE Barangay #17 Ngabangab, Pasuquin, Ilocos Norte Invitation to Bid for Purchase of Materials for the Construction of MRF 1.	The BARANGAY NGABAGAB -PASUQUIN, through the AO N</t>
  </si>
  <si>
    <t xml:space="preserve"> Republic of the Philippines BIDS AND AWARDS COMMITTEE Cadiz City      BID DOCUMENTS for the CONCRETING OF BARANGAY ROAD (PHASE VIII) @ ANDREA SUBD., BRGY. ZONE II, CADIZ CITY (1) BIDS AND AWARDS COMMITTEE  Cadiz City   INVITATION TO BID/REQUEST FOR EXPRES</t>
  </si>
  <si>
    <t xml:space="preserve"> 1. Tablet 4 LTE	=	61	unit 2. Laptop (Notebook, Ultrabook)	=	7	unit 3. 3-in Printer	=	1	unit 4. Materials with Installation of FEES Community Wide Network w/ Access Code Voucher System:			 	CPE P2m outdoor AP	=	2	pcs 	20ft Guide Wired Pole	=	1	pc 	POE Adap</t>
  </si>
  <si>
    <t xml:space="preserve"> Republic of the Philippines BARANGAY PALINDAN Ibaan, Batangas INVITATION TO BID The Barangay Government of Palindan, Ibaan, Batangas through its Bids and Awards Committee (BAC), invites contractors registered with and classified by the Philippine Contract</t>
  </si>
  <si>
    <t xml:space="preserve"> Bond paper short (8.1/2x11) subs 20 for tax dec &amp; FAAS	=	300	rm Bond cover w/ bolt for tax dec &amp; FAAS	=	340	pc Bond paper long sub 20 for TMCR &amp; AR	=	15	rm Bond paper long for NATB	=	40	rm Computer ink Epson 6190 black	=	20	pc Computer ink Epson 6190 CMY	</t>
  </si>
  <si>
    <t xml:space="preserve"> Invitation to Bid on the SUPPLY &amp; INSTALLATION OF SOLAR PERIMETER STREETS LIGHT  (BukSU ANNEX CAMPUS –A) 1.	The Bukidnon State University, through the GAA 2020-Fund 101  intends to apply the sum of Three Million Three Hundred Sixty-Five Thousand Pesos onl</t>
  </si>
  <si>
    <t xml:space="preserve"> Republic of the Philippines WESTERN PHILIPPINES UNIVERSITY         A STRONG PARTNER FOR SUSTAINABLE DEVELOPMENT BIDS AND AWARDS COMMITTEE Invitation to Bid for Supply and Delivery of Materials and Equipment for DA-ACEF Mango Project The Western Philippine</t>
  </si>
  <si>
    <t xml:space="preserve"> INVITATION TO BID FOR THE CONSTRUCTION OF NEW MUNTINLUPA CITY PUBLIC MARKET (PHASE 2) AT BRGY. ALABANG, MUNTINLUPA CITY 1.	The City Government of Muntinlupa, through its duly-approved Executive Budget for 2019 intends to apply the sum of One Hundred Eight</t>
  </si>
  <si>
    <t xml:space="preserve"> Unit   Qty     Items unit   2         2.0 HP Wall Mounted Basic Aircondition *Model: FTN50AXVL9/RN50AGXVL9 Specs: 220V/1 Phase/60HZ WITH REMOTE REFRIGERANT (R-410A) unit   2         3TNS, 5HP Ceiling Cassette Basic Aircondition *Model: FCRN100AXVL/RR100AG</t>
  </si>
  <si>
    <t xml:space="preserve"> Republika ng Pilipinas PAMAHALAANG LUNGSOD NG TACLOBAN (City Government of Tacloban) Kanhuraw Hill, Tacloban City 6500 Tel. Nos.  325-4053 BIDS AND AWARDS COMMITTEE 	INVITATION TO SUBMIT PRICE QUOTATIONS 1st Posting BIDSTAC # SB 040-2020 (7157873). 	     </t>
  </si>
  <si>
    <t xml:space="preserve"> If you are interested to submit your quotation, please attached also your company's scanned copy of permit: !.) BIR Certificate of Registration 2.) PhilGEPS Certificate of Registration 3.) DTI / SEC Permit 4.) Mayor's / Business Permit</t>
  </si>
  <si>
    <t xml:space="preserve"> Republic of the Philippines Province of Northern Samar MUNICIPALITY OF BOBON -oo0oo- BIDS AND AWARDS COMMITTEE INVITATION TO APPLY FOR ELIGIBILITY AND TO BID The Municipal Government of Bobon, Northern Samar through its Bids and Awards Committee (BAC) inv</t>
  </si>
  <si>
    <t xml:space="preserve"> Republic of the Philippines BIDS AND AWARDS COMMITTEE Cadiz City      BID DOCUMENTS for the CONSTRUCTION OF EVACUATION CENTER (PHASE I) @ BRGY. PROPER, BRGY. ZONE I, CADIZ CITY (1) BIDS AND AWARDS COMMITTEE  Cadiz City   INVITATION TO BID/REQUEST FOR EXPR</t>
  </si>
  <si>
    <t xml:space="preserve"> 1 800 pcs COFFEE 25 grams 17.50 2 400 pcs MILK - POWDERED 33g 7.31 3 800 pcs DETERGENT BAR SOAP 380 g 16.85 4 800 pcs NOODLES (BEEF FLAVOR) 50 g 6.60 5 800 pcs NOODLES (CHICKEN FLAVOR) 50 g 6.40 6 400 pcs BATH SOAP 55 g 12.20 7 400 pcs PANCIT CANTON 80 g </t>
  </si>
  <si>
    <t xml:space="preserve"> 1000 REAMS BONDPAPER LONG 70GSM</t>
  </si>
  <si>
    <t xml:space="preserve"> Interested bidders may obtain further information of the bidding documents from the BAC Secretariat of Barangay Nagba, Tubungan, Iloilo during working days starting August 6-12, 2020 from 8:00 a.m. to 5:00 p.m. pr thru 09777434274</t>
  </si>
  <si>
    <t xml:space="preserve"> SCOPE OF WORKS: I.	Demolition/Removal of Existing Structure	=	1	lot II.	Concrete Works	=	3.2	cum III.	Masonry Works	=	2.72	sqm IV.	Plastering Works	=	13	sqm V.	Tile Works	=	31.7	sqm VI.	Carpentry/Cabinetry Works	=	1	lot VII.	Doors &amp; Windows	=	1	lot VIII.	</t>
  </si>
  <si>
    <t xml:space="preserve"> Invitation to Bid 1.	The Municipality of Manay, through the General Fund intends to apply the sum of One Million One Hundred Fourteen Thousand Eight Hundred Seventy Three Pesos  ( 1,114,873.00) being the Approved Budget for the Contract (ABC) to payments </t>
  </si>
  <si>
    <t xml:space="preserve"> ITEM NO.	UNIT		QTY		DESCRIPTION		 							 1	 unit 		1		MULTI PURPOSE VEHICLE		 					 Engine: 4JB1-CN 		 					 Displacement: 2.8 liters 		 					 Max. Power: 72kw/98ps (HP) 		 					 Max. Torque: 220N.m 		 					 Drive Type: 4 x 2 (Manual Drive) 		 					 Fuel</t>
  </si>
  <si>
    <t xml:space="preserve"> SUPPLY AND DELIVERY OF OFFICE SUPPLIES UNDER QSU BACMADD2020-036</t>
  </si>
  <si>
    <t xml:space="preserve"> Republic of the Philippines BIDS AND AWARDS COMMITTEE Cadiz City      BID DOCUMENTS for the CONCRETING OF BARANGAY ROAD LEADING TO PANIQUI-ON ELEMENTARY SCHOOL, SO. LAMAK, BRGY. TIGLAWIGAN, CADIZ CITY (1) BIDS AND AWARDS COMMITTEE  Cadiz City   INVITATION</t>
  </si>
  <si>
    <t xml:space="preserve"> Supply and Delivery of 1 Unit Passenger Van -	Transmission: 4 speed automatic gate-type,  -	Suspension Front/Rear: double wishbone with stabilizer bar/rigid axle, leaf soring or its equivalent,  -	Tires: 225/70R15,  -	Wheels: 611x 15 alloy wheel,  -	Engin</t>
  </si>
  <si>
    <t xml:space="preserve"> Republic of the Philippines Province of South Cotabato City of Koronadal BIDS AND AWARDS COMMITTEE INVITATION TO BID FOR THE  Procurement for the Supply and Delivery of Twelve (12) Units Diesel-Type Brand New Four-Wheeled Vehicles (Pick-Up) for the Operat</t>
  </si>
  <si>
    <t xml:space="preserve"> REQUEST FOR QUOTATION 				Date:	       August 5, 2020 				RFQ No.:	20-07-1696 							 Name of Company:	 Address:	 	 Business Permit No.:	 TIN:	 PhilGEPS Registration No.:	 Please quote your best offer for the item/s described below, subject to the Terms a</t>
  </si>
  <si>
    <t xml:space="preserve"> Republic of the Philippines Province of Bohol Municipality of Duero BARANGAY SAN PEDRO BIDS AND AWARDS COMMITTEE Section 1. INVITATION TO BID The Barangay San Pedro, Duero, Bohol, through its Bids and Awards Committee (BAC), invites suppliers/manufacturer</t>
  </si>
  <si>
    <t xml:space="preserve"> Please quote your lowest price for the following items enumerated below, with the following Terms and Conditions: 1.	All entries must be written legibly. 2.	Price validity shall be for a period of 120 calendar days. 3.	Evaluation of the quoted price will </t>
  </si>
  <si>
    <t xml:space="preserve"> LGU SAN FERNANDO Standard Form Number: SF-GOOD-05 Revised on: July 28, 2004 INVITATION TO APPLY FOR ELIGIBILITY AND TO BID The LGU-SAN FERNANDO, ROMBLON through its Bids and Awards Committee (BAC), invites suppliers/manufacturers/distributors/contractors </t>
  </si>
  <si>
    <t xml:space="preserve"> REQUEST FOR PROPOSAL August 05, 2020 __________________________________ __________________________________ __________________________________ Dear Sir/Madam,  We are respectfully inviting you to submit your Technical and Financial Proposal for the 20CSKB0</t>
  </si>
  <si>
    <t xml:space="preserve"> Procurement of 1 unit 1,5 horse power submersible pump for barangay Lamao, Liloy, Zamboanga del Norte</t>
  </si>
  <si>
    <t xml:space="preserve"> Republic of the Philippines Department of Education Region V SCHOOLS DIVISION OFFICE OF CAMARINES SUR Office of the Bids and Awards Committee INVITATION TO BID FOR:   REPRODUCTION OF SELF-LEARNING MODULES ITB No. 2020-08-008 1.	The DepEd, Division of Cama</t>
  </si>
  <si>
    <t xml:space="preserve"> SUPPLY AND DELIVERY OF EQUIPMENTS, TOOLS AND CONSUMABLE MATERIALS FOR USE AT JVTC FOR COMPLIANCE AUDIT ON SEPT. 9, 2020 TERMS AND CONDITIONS : 1.  ITEMS MUST BE DELIVERED BRAND NEW And in good quality 2.  FOLLOW THE DESCRIPTION/SPECIFICATION STATED DELIVE</t>
  </si>
  <si>
    <t xml:space="preserve"> Items are additional materials for OCWD's day-to-day maintenance in fieldwork. All items are under one lot, hence partial quotations are not accepted.</t>
  </si>
  <si>
    <t xml:space="preserve"> GENERAL HEADQUARTERS ARMED FORCES OF THE PHILIPPINES GHQ BIDS AND AWARDS COMMITTEE 2 Camp General Emilio Aguinaldo, Quezon City INVITATION TO BID Procurement of ICIE (PHILARPAT Uniforms and 2 other items – (Lot 10) 2nd Re-Bidding  (GB2-PB-01-20) 1.   The </t>
  </si>
  <si>
    <t xml:space="preserve"> Rehabilitation of drainage canal P-3</t>
  </si>
  <si>
    <t xml:space="preserve"> INVITATION TO BID FOR THE SUPPLY &amp; DELIVERY OF IV FLUIDS IN BAG TO BE USED AT OSPITAL NG MUNTINLUPA (*RE-POSTED)  1.	The City Government of Muntinlupa, through its duly-approved Executive Budget for 2020 intends to apply the sum of One Million Eight Hundr</t>
  </si>
  <si>
    <t xml:space="preserve"> Construction of Reservoir at Brgy. Calunasan, Merida, Leyte</t>
  </si>
  <si>
    <t xml:space="preserve"> Development of a Prototype Trimaran Multipurpose Fishing Vessel CENTER HULL      Length Overall       :          17.54 mtrs.      L.B.P.                     :          15.00 mtrs      Breadth                   :           2.00 mtrs.      Total Breadth    </t>
  </si>
  <si>
    <t xml:space="preserve"> Republic of the Philippines CITY OF MALABON Metro Manila BIDS AND AWARDS COMMITTEE I N V I T A T I O N    T O    B I D SUPPLY AND DELIVERY OF MEDICINES FOR THE  CONDUCT OF NUTRITION PROGRAM ACTIVITIES 1.	The City Government of Malabon, through the General</t>
  </si>
  <si>
    <t xml:space="preserve"> REQUEST FOR QUOTATION Please quote your lowest price on the Items listed below, Purchase of materials and equipment for instructional services. Subject to the conditions also listed below, stating the shortest time of delivery and submit your quotation du</t>
  </si>
  <si>
    <t xml:space="preserve"> Stock	Unit	Item Description					Quantity	Unit	Total  Cost Number								Cost	 1	cart	TONER CART, BROTHER, TN 3350, Black					1	 6,670.00 	 6,670.00  2	bottle	INK, EPSON, ECOTANK L3110, black					20	 395.00 	 7,900.00  3	bottle	INK, EPSON, ECOTANK L3110, c</t>
  </si>
  <si>
    <t xml:space="preserve"> Purchase of One (1) Unit Dump Truck</t>
  </si>
  <si>
    <t xml:space="preserve"> SCOPE OF WORKS: SPL-1	Mobilization/Demobilization	=	1	lot SPL-2	Traffic Management	=	1	lot SPL-3	Construction Health &amp; Safety 	=	1	lot 102-2	Common Excavation &amp; Demolition of Existing Canals	=	57.1	sq.m. 118	Preparation of Previously Constructed Road	=	1,</t>
  </si>
  <si>
    <t xml:space="preserve"> Construction of Covered Court Phase I &amp; II in Sitio Urban San Vicente, Liloan</t>
  </si>
  <si>
    <t xml:space="preserve"> REQUEST FOR QUOTATION The Local Government Unit of Molave, through its Bids and Awards Committee, will undertake a Small Value Procurement for the Purchase of Various Food Stuff and Grocery Items to be Served as Meals during the Barangay Level Orientation</t>
  </si>
  <si>
    <t xml:space="preserve"> Purchasing of Supplies for Printing Modules of Senior High School Programs</t>
  </si>
  <si>
    <t xml:space="preserve"> 1. DELIVERY IS SEVEN DAYS UPON RECEIVE OF P.O</t>
  </si>
  <si>
    <t xml:space="preserve"> 30     Units     Electromagnetic Metering Pump with Solid Teflon Diaphragm Specs: at least 100 ml/min flow rate., pressure of at least 100 psi, unit inclusive of injection valve, footvalve and at least 5 meters of braided chemical hose with 4 by 9 mm insi</t>
  </si>
  <si>
    <t xml:space="preserve"> REPUBLIC OF THE PHILIPPINES 		                PROVINCE OF PALAWAN MUNICIPALITY OF LINAPACAN August 5, 2020 Invitation to Bid (ITB No. 45-20) 1.	The Municipal Government of Linapacan, Palawan through 20% development Fund projects intends to apply the sum O</t>
  </si>
  <si>
    <t xml:space="preserve"> Interested bidders may obtain further information of the bidding documents from the BAC Secretariat of Barangay Bacan, Tubungan, Iloilo during working days starting August 6-12, 2020 from 8:00 a.m. to 5:00 p.m. or thru 09301279854</t>
  </si>
  <si>
    <t xml:space="preserve"> RFQ-GS-20200623-01 Interested Suppliers are invited to submit Price Quotation for the above listed item. The official LANDBANK Request for Quotation Form may be obtained from MS. LUBELLE LUMABAS (tel no. 8 405-7233 TO 34; email address: landbank2290@gmail</t>
  </si>
  <si>
    <t xml:space="preserve"> Straight contract for vehicle rental to transport PhilRice Bicol RCEF staff on August 17 - December 31, 2020 from DA-RFO5 Pili to various municipalities in Camarines Sur District 1-3 as follows: 'route 1: Milaor to San Fernando  'route 2: Cabusao to Libma</t>
  </si>
  <si>
    <t xml:space="preserve"> 'Straight contract for vehicle rental to transport PhilRice Bicol RCEF staff on August 17 - December 31, 2020 from Tacloban City (Official Station) to various municipalities in Leyte District 2,3 &amp; 5 as follows: 'route 1: Dulag/ Abuyog/ Javier/ Mahaplag '</t>
  </si>
  <si>
    <t xml:space="preserve"> IMPROVEMENT OF RESCUE VEHICLE -MDRRMO</t>
  </si>
  <si>
    <t xml:space="preserve"> Conduct of Feasibility Studies/Preliminary and Detailed Engineering/Economic Analysis/Technical Studies/Traffic Impact Assessment of Tawiran – Guinobatan Road, Oriental Mindoro</t>
  </si>
  <si>
    <t xml:space="preserve"> Construction of Reservoir at Brgy. Tubod, Merida, Leyte</t>
  </si>
  <si>
    <t xml:space="preserve"> Page 1 of 3 Invitation to Bid 20GFC0034-37 Republic of the Philippines DEPARTMENT OF PUBLIC WORKS AND HIGHWAYS CAMARINES NORTE DISTRICT ENGINEERING OFFICE REGIONAL OFFICE V Daet, Camarines Norte INVITATION TO BID The Department of Public Works and Highway</t>
  </si>
  <si>
    <t xml:space="preserve"> 2 lot E Bike with Canopy Dimension (LWH): 2180 x 830 x 1090mm Battery: 48V/32Ah Brake system (Front/rear): Disc Brake Climbing Slope: 7-12 Minimum turning radius: &gt;/= 2.4m Power: rating Power500w/Max.Power1000W (Differential Motor) Range:75-80km Speed:25-</t>
  </si>
  <si>
    <t xml:space="preserve"> 'Straight contract for vehicle rental to transport PhilRice Bicol RCEF staff on August 17 - December 31, 2020 from Catbalogan City (Official Station) to various municipalities in Samar Province as follows: 'route 1: Marabut/ Basey/ Sta Rita/ Talalora 'rou</t>
  </si>
  <si>
    <t xml:space="preserve"> Republic of the Philippines Province of Pangasinan Municipality of Infanta BIDS AND AWARDS COMMITTEE INVITATION TO BID FOR PURCHASE OF COMMUNICATION EQUIPMENT (3RD QUARTER) FOR THE MUNICIPALITY OF INFANTA, PANGASINAN 1.	The Municipality of Infanta, Pangas</t>
  </si>
  <si>
    <t xml:space="preserve"> Construction of Covered Court Phase I &amp; II in Suba Elem. School</t>
  </si>
  <si>
    <t xml:space="preserve"> Invitation to Bid 1.	The Municipality of Manay, through the General Fund intends to apply the sum of Four Hundred Eighty Six Thousand Seven Hundred Twenty Pesos (486,720.00) being the Approved Budget for the Contract (ABC) to payments under the contract f</t>
  </si>
  <si>
    <t xml:space="preserve"> Invitation to Bid for the Catering Services for Training Programs and Extension Activities for Third and Fourth Quarter of 2020 IB-ATI-RTC2-2020-08-002 1.	The Agricultural Training Institute-Regional Training Center 02, through the 2020 General Appropriat</t>
  </si>
  <si>
    <t xml:space="preserve"> Alcohol Pump Alcohol Bottle Disinfectant Spray Disinfectant Gallon Alcohol Gallon Face Shield Alcohol Dispenser Face Mask Disposable Battery  AA Battery AAA Detergent Powder Detergent Bar Dishwashing Liquid Liquid Hand Soap Bath Soap Bleaching Solution Fu</t>
  </si>
  <si>
    <t xml:space="preserve"> Republic of the Philippines PROVINCE OF ZAMBOANGA SIBUGAY Municipality of Roseller T. Lim OFFICE OF THE BAC CHAIRMAN Barangay San Jose INVITATION TO BID 						Aug. 5, 2020 To All Interested Bidders: Notice is hereby served that sealed bid be received for </t>
  </si>
  <si>
    <t xml:space="preserve"> P H I L I P P I N E   A R M Y OFFICE OF THE PHILIPPINE ARMY SPECIAL BIDS AND AWARDS COMMITTEE Fort Andres Bonifacio, Metro Manila Invitation to Bid The Armed Forces of the Philippines, through the Philippine Army Special Bids and Awards Committee (PASBAC)</t>
  </si>
  <si>
    <t xml:space="preserve"> Invitation to Bid 1.	The Municipality of Manay, through the General Fund intends to apply the sum of Two Hundred Ninety Nine Thousand Six Hundred Twenty Pesos  ( 299,620.00) being the Approved Budget for the Contract (ABC) to payments under the contract f</t>
  </si>
  <si>
    <t xml:space="preserve"> 1 400 pcs COFFEE 25 grams 17.50 2 400 pcs MILK - POWDERED 33g 7.31 3 600 pcs DETERGENT BAR SOAP 380 g 16.85 4 600 pcs NOODLES (BEEF FLAVOR) 50 g 6.60 5 600 pcs NOODLES (CHICKEN FLAVOR) 50 g 6.40 6 400 pcs BATH SOAP 55 g 12.20 7 400 pcs PANCIT CANTON 80 g </t>
  </si>
  <si>
    <t xml:space="preserve"> Stock		Item Description	Quantity	Unit	Total Cost No.	Unit			Cost	 1	piece	Ballpen Blue	75	 9.50 	 712.50  2	piece	Ballpen Black	6	 9.50 	 57.00  3	pack	Battery Size AAA pack of 2	2	139.1	 278.20  4	pack	Battery Size AA pack of 2	11	138	 1,518.00  5	pack	B</t>
  </si>
  <si>
    <t xml:space="preserve"> Replacement of Dilapidated Wooden Jalousies to Sliding Glass Window: 1.60m x 1.20m (4 units)</t>
  </si>
  <si>
    <t xml:space="preserve"> Please see attached file (RFQ-20-07-0500/0611/0610/0609/0608/0607/0606) for reference.</t>
  </si>
  <si>
    <t xml:space="preserve"> 150	pieces	Alcohol, Ethyl alcohol, 68%-70%, Scented, 500ml per piece 		 200	pieces	Soap, Liquid Hand soap,with moisturizer, 1 gallon per piece 		 150	packs	Tissue paper, Toilet tissue paper, 2 ply sheets, virgin pulp, 12 rolls/pack 		 5	pieces	Mask, Face </t>
  </si>
  <si>
    <t xml:space="preserve"> 36"Ø RCPC 22pcs. Cement 12bags 3/4"Ø P.E. Pipe 2roll labor</t>
  </si>
  <si>
    <t xml:space="preserve"> Construction of Covered Court Phase II in Sanica, Cabadiangan, Cebu</t>
  </si>
  <si>
    <t xml:space="preserve"> The City Government of San Pedro, Laguna invites interested parties to quote for the following item/s as per request City Assessor Office: 3	units	Digital camera	 		- APS-C CMOS Sensor (Approx. 22.3 x 14.9mm) 		- Approx. 24.1Megapixels 	 		- Wi-Fi bluetoo</t>
  </si>
  <si>
    <t xml:space="preserve"> Republic of the Philippines Province of Masbate MUNICIPALITY OF CATAINGAN BARANGAY PAWICAN   			                                                                                              AUGUST 6, 2020 INVITATION TO APPLY FOR ELIGIBILITY AND TO BID The</t>
  </si>
  <si>
    <t xml:space="preserve"> Republic of the Philippines PROVINCE OF NUEVA VIZCAYA Municipality of Alfonso Castañeda  BIDS &amp; AWARDS COMMITTEE FOR GOODS &amp; SERVICES REQUEST FOR QUOTATION RFQ Number: 2020-08-06 The Local Government of Alfonso Castañeda through its Bids and Awards Comm</t>
  </si>
  <si>
    <t xml:space="preserve"> 1.   INK EPSON # 001, 127ml-Black       12 bot 2.   INK EPSON # 001, 70ml-Cyan       9 bot 3.   INK EPSON # 001, 70ml-Magenta       9 bot 4.   INK EPSON # 001, 70ml-Yellow       9 bot 5.   INK EPSON # 003, 65ml-Black       12 bot 6.   INK EPSON # 003, 65m</t>
  </si>
  <si>
    <t xml:space="preserve"> Municipality of Infanta				Solicitation		RFQ-2020-129			 Infanta, Pangasinan				Project Ref. No					 Name of Project:		PURCHASE OF TWO (2) UNITS LAPTOP COMPUTER FOR THE OFFICE OF THE MUNICIPAL AGRICULTURIST, INFANTA, PANGASINAN					 									 				Date:		A</t>
  </si>
  <si>
    <t xml:space="preserve"> Republic of the Philippines Office of the Municipal Mayor BIDS AND AWARDS COMMITTEE Pasuquin, Ilocos Norte   INVITATION TO BID FOR  Road Concreting 1.	The BARANGAY DADAEMAN-PASUQUIN, through the AO NO. 2020-01, 20% ECONOMIC DEVELOPMENT FUND SURPLUS CY 201</t>
  </si>
  <si>
    <t xml:space="preserve"> SCOPE OF WORKS: I. Construction Health &amp; Safety	=	1	lot II. Earthworks	=	122.39	cum III. Concrete Works	=		 A. Footing	=	13.5	cum B. Wall Footing	=	3.5	cum C. Column	=	28.9	cum D. Slab on Grade	=	14.87	cum E. Tie Beam	=	7.72	cum F. Second Floor Beams	=	12</t>
  </si>
  <si>
    <t xml:space="preserve"> Republic of the Philippines PROVINCE OF ZAMBOANGA SIBUGAY Municipality of Buug BIDS AND AWARDS COMMITTEE Invitation to Bid for the Procurement of Agong 1.	The Local Government Unit of Buug, through the General  Fund of 2020 intends to apply the sum of Two</t>
  </si>
  <si>
    <t xml:space="preserve"> Stock		Item Description	Quantity	Unit	Total Cost No.	Unit			Cost	 1	piece	2.5" 250 GB SSD	12	 4,000.00 	 48,000.00  2	unit	Computer Monitor  24"	1	 8,000.00 	 8,000.00  3	piece	Optical USB Keyboard	4	 750.00 	 3,000.00  4	piece	Optical USB Mouse	4	 550.00</t>
  </si>
  <si>
    <t xml:space="preserve"> 1	30	unit		Heavy Duty Network Printer (Print, Copy &amp; Scan) 				Paper Handling: Paper Feed Method / 2 paper trays (front &amp; rear) 				Input Capacity; up to 335 sheets / Output Capacity: 250 sheets 				Max paper size: A3+, 329 x1200mm (12.95 x 47.24") 				Pr</t>
  </si>
  <si>
    <t xml:space="preserve"> 5	roll	Tape, Binding tape , 1" , Black (25mm x 25m) 15	box	Staple wire 23/10, 10mm 15	box	 Staple Wire, Staple wire, 23/8, 8mm 5	pack	Film, Laminating film, 216 x 303mm 5	roll	"Tape, Binding tape, 2-1/2"" Blue " 4	roll	 Tape, Binding tape, 1", white 4	pie</t>
  </si>
  <si>
    <t xml:space="preserve"> Republic of the Philippines PROVINCE OF ZAMBOANGA SIBUGAY Municipality of Roseller T. Lim OFFICE OF THE BAC CHAIRMAN Barangay San Jose INVITATION TO BID 						Aug. 6, 2020 To All Interested Bidders: Notice is hereby served that sealed bid be received for </t>
  </si>
  <si>
    <t xml:space="preserve"> Invitation to Bid 1.	The Municipality of Manay, through the General Fund intends to apply the sum of Six Hundred Thousand Nine and 26/100  (600,009.26) being the Approved Budget for the Contract (ABC) to payments under the contract for the Supply and Deli</t>
  </si>
  <si>
    <t xml:space="preserve"> Republic of the Philippines Province of Laguna MUNICIPALITY OF LUISIANA INVITATION TO BID 1. The Municipal Government of Luisiana, Laguna intends to apply the sum of One Hundred Seventy Eight Thousand Two Hundred Pesos (Php 178,200.00) being the Approved </t>
  </si>
  <si>
    <t xml:space="preserve"> 1.    The Davao del Norte State College through the Trust Receipts (Fund-163)- Product Development of Vacuum Fried Tuna  Skin intends to apply the sum of One Million Three  Hundred Thousand Pesos Only (Php 1,300,000.00) being the Approved Budget for the C</t>
  </si>
  <si>
    <t xml:space="preserve"> Meals for LSI and Returning Residents at Suyo Isolation/ Quarantine Facility</t>
  </si>
  <si>
    <t xml:space="preserve"> FLOOD CONTROL SYSTEM AT BRGY. ORENSE, BAUAN, BATANGAS</t>
  </si>
  <si>
    <t xml:space="preserve"> I. PERMITS AND CLEARANCES II. MOBILIZATION/DEMOBILIZATION III. CONSTRUCTION OF TEMPORARY FACILITIES IV. PROJECT SIGNAGE AND BILLBOARD V. REMOVAL OF EXISTING CONCRETE PAVEMENT VI. EARTHWORKS VII. FORMWORKS VIII. CONCRETE WORKS IX. MASONRY WORKS X. ROOF AND</t>
  </si>
  <si>
    <t xml:space="preserve"> A) Brgy. Vega				 	1		lot		Electrical Material Hardwares			 	1		lot		Concrete/Steel Poles			 	1		lot		Metering Accessories			 	1		lot		Transformer, 1-50 KVA (Brand New)			 	1		lot		Mounting of 1-50 KVA Transformer			 	1		lot		Labor			 								 				B) Brgy</t>
  </si>
  <si>
    <t xml:space="preserve"> Please quote your lowest price on the SUPPLY AND DELIVERY OF VARIOUS ITEMS AS PER REQUEST OF BARANGAYS/SCHOOLS  as specified below and submit your quotation duly signed by your representative not later than 2pm of    AUGUST 11, 2020. 				 					 								  </t>
  </si>
  <si>
    <t xml:space="preserve"> 1. The San Alejandro Barangay C ouncil intends to apply the sum of eighty thousand pesos (Php 80,000.00) under the Sanguniang Kabataan fund as the approved budget for the contract (ABC ) for thesupply and delivery of two(2) set of fiberglass basketball bo</t>
  </si>
  <si>
    <t xml:space="preserve"> Supply and Delivery of (20) units Retractable Tents for Various SSS Branch Offices under Luzon Central II Division Baliuag (3), Bocaue (2), Dau (2), Olongapo (3), Pampanga (6), San Jose del Monte (2), and Sta. Maria (2)  Specifications:   1. Size:  3 mete</t>
  </si>
  <si>
    <t xml:space="preserve"> Purchase of Other Supplies and Materials (Uniforms/Personal Protective Equipment)  for Barangay Bolbok, Batangas City</t>
  </si>
  <si>
    <t xml:space="preserve"> Interested suppliers are required to submit the following requirements: (1) valid Mayor’s/Business Permit; (2) PhilGEPS Registration Number; (3) Income/Business Tax Return; (4) Omnibus Sworn Statement; (5) Performance Security; (6) Registration Certificat</t>
  </si>
  <si>
    <t xml:space="preserve"> *PLEASE SEE ATTACHED ASSOCIATED COMPONENTS FOR THE COMPLETE SPECIFICATION AND CONDITIONS *PLEASE INDICATE COMPLETE SPECIFICATION OF THE QUOTED ITEM *KINDLY READ OTHER INFORMATION BELOW TO AVOID DISQUALIFICATION</t>
  </si>
  <si>
    <t xml:space="preserve"> Republic of the Philippines DEPARTMENT OF PUBLIC WORKS AND HIGHWAYS LA UNION SECOND DISTRICT ENGINEERING OFFICE REGIONAL OFFICE I Natividad, Naguilian, La Union INVITATION TO BID The Department of Public Works and Highways LA UNION SECOND DISTRICT ENGINEE</t>
  </si>
  <si>
    <t xml:space="preserve"> A) REQUEST FOR QUOTATION 1 lot Direct Internet for Enterprise Connection (80 Mbps Min. Internet Dedicated Line) with Managed Router, August to December 2020 Monthly Subscription and VAT Inclusive B) USE COMPANY LETTERHEAD FOR YOUR QUOTATION &amp; ADDRESS TO: </t>
  </si>
  <si>
    <t xml:space="preserve"> Installation of Water System at Brgy. Poblacion, Merida, Leyte</t>
  </si>
  <si>
    <t xml:space="preserve"> REQUEST FOR QUOTATION No. 2020-001 The Department of Education, GAT ANDRES BONIFACIO ELEMENTARY SCHOOL, through SCHOOL BIDS and AWARDS COMMITTEE (SBAC) invites registered suppliers to submit a quotation for the hereunder project: Name of Procurement: PRIN</t>
  </si>
  <si>
    <t xml:space="preserve"> Supply and Delivery of Handwashing Facilities</t>
  </si>
  <si>
    <t xml:space="preserve"> Republic of the Philippines Province of Quezon MUNICIPALITY OF PANUKULAN INVITATION TO BID FOR SUPPLY AND DELIVERY OF BOOKSHELVES AND TABLES FOR MUNICIPAL LIBRARY The Local Government Unit of Panukulan through the General Fund 2020     intends to apply th</t>
  </si>
  <si>
    <t xml:space="preserve"> Bond Paper Long			1400	ream Printer's Ink ( M )			   85	bot Printer's Ink  ( C )			   85	bot Printer's Ink ( Y )			   85	bot Printer's Ink ( Black )			   85	bot STAPLE WIRE, Heavy duty, 23/13   80	box</t>
  </si>
  <si>
    <t xml:space="preserve"> Improvement of Drainage System at Brgy. Poblacion, Merida, Leyte</t>
  </si>
  <si>
    <t xml:space="preserve"> Republic of the Philippines City of Dapitan BIDS AND AWARDS COMMITTEE INVITATION TO BID August 05, 2020 	 The City Government of Dapitan, through its Bids and Awards Committee (BAC), invites interested parties to apply for eligibility and, if found eligib</t>
  </si>
  <si>
    <t xml:space="preserve"> Completion of Evacuation Center at Brgy. Poblacion, Merida, Leyte</t>
  </si>
  <si>
    <t xml:space="preserve"> LCWD-2020-050 dtd. 07-21-20 Various Fittings (Re-Bid)     LCWD Warehouse INVITATION TO BID FOR VARIOUS FITTINGS (RE-BID) PR No. &amp; Date : 2020-056, 2020-058 and 2020-059 dated June 1, 2020 Reference No. &amp; Date : __________ 		 1.	The LEGAZPI CITY WATER DIST</t>
  </si>
  <si>
    <t xml:space="preserve"> ARMED FORCES OF THE PHILIPPINES PHILIPPINE AIR FORCE OFFICE OF THE PAF BIDS AND AWARDS COMMITTEE Colonel Jesus Villamor Air Base, Pasay City Invitation to Bid The Armed Forces of the Philippines, through the PAF Bids and Awards Committee (PAFBAC), invites</t>
  </si>
  <si>
    <t xml:space="preserve"> 1.   TIRE, 8.25 x 20, 14 Ply (for dumptruck &amp; staketruck)       12 unit 2.   BATTERY, 3 SM-Maintenance free      10 unit 3.  BATTERY, 6 SM-Maintenance free for MS 110      4 unit</t>
  </si>
  <si>
    <t xml:space="preserve"> BIDS AND AWARDS COMMITTEE Municipality of Panukulan Province of Quezon REQUEST FOR EXPRESSION OF INTEREST The Municipality of Panukulan, Province of Quezon, through its Bids and Awards Committee (BAC) invites consultants to apply for eligibility and short</t>
  </si>
  <si>
    <t xml:space="preserve"> Republic of the Philippines Province of Quezon MUNICIPALITY OF PANUKULAN INVITATION TO BID FOR SUPPLY AND DELIVERY OF IT EQUIPMENTS  The Local Government Unit of Panukulan through the General Fund 2020     intends to apply the sum of  Five Hundred  Sixty </t>
  </si>
  <si>
    <t xml:space="preserve"> Purchase of Office Equipment, Furniture &amp; Other Property, Plant and Equipment for Barangay Bolbok, Batangas City</t>
  </si>
  <si>
    <t xml:space="preserve"> Construction of Infirmary Hospital</t>
  </si>
  <si>
    <t xml:space="preserve"> Republic of the Philippines WESTERN PHILIPPINES UNIVERSITY         A STRONG PARTNER FOR SUSTAINABLE DEVELOPMENT BIDS AND AWARDS COMMITTEE Invitation to Bid for Repair and Improvement of various buildings at WPU-Main and WPU-PPC campuses The Western Philip</t>
  </si>
  <si>
    <t xml:space="preserve"> RFQ-GS-20200720-01 1 Lot Supply, Delivery &amp; Installation of Acrylic Poster Holders, Acrylic Frame Panels, Signages, ATM Sunshades &amp; Glass Panel Stickers including Dismantling of existing signages, when necessary, at Six (6) LANDBANK Branches Interested Su</t>
  </si>
  <si>
    <t xml:space="preserve"> Electric Hand Drill</t>
  </si>
  <si>
    <t xml:space="preserve"> Item I - Concrete Works   60.35  cu.m. Item II - Ceiling Works     102.38  sets Item III - Tile Works          78.94   sq.m. Item IV -  Carpentry Works  72.00  sq.m. Item V -  Fabrication and Installation Works  6.00  sets Item VI - Plumbing Works   1.00 </t>
  </si>
  <si>
    <t xml:space="preserve"> BIDS AND AWARDS COMMITTEE – INFORMATION TECHNOLOGY INFRASTRUCTURE AND OTHER RELATED COMPONENTS INVITATION TO BID 1.	The Bangko Sentral ng Pilipinas (BSP), through its Bids and Awards Committee – Information Technology, Infrastructure and Other Related Com</t>
  </si>
  <si>
    <t xml:space="preserve"> Training Expense</t>
  </si>
  <si>
    <t xml:space="preserve"> REPUBLIC OF THE PHILIPPINES  DEPARTMENT OF SOCIAL WELFARE AND DEVELOPMENT MIMAROPA REGION 1680 F. T Benitez cor Malvar Sts. Malate, Manila INVITATION TO BID FOR PROCUREMENT OF CATERING SERVICES FOR THE KALAHI CEAC ACTIVITIES-2ND POSTING PROJECT ID NO: DSW</t>
  </si>
  <si>
    <t xml:space="preserve"> Rehabilitation/Improvement of OSCA Building at Brgy. Poblacion, Merida, Leyte</t>
  </si>
  <si>
    <t xml:space="preserve"> REPUBLIC OF THE PHILIPPINES CITY GOVERNMENT OF OROQUIETA BIDS AND AWARD COMMITTEE City Hall, Oroquieta City                                                                                                                                                    </t>
  </si>
  <si>
    <t xml:space="preserve"> SUBMISSION OF QUOTATION - SEALED CANVASS: In view of the approved Modified Enhanced Community Quarantine (MECQ) for Metro Manila effective August 4, 2020 to August 18, 2020, submission of accomplished Request for Quotation Form is via email at rosariomb@s</t>
  </si>
  <si>
    <t xml:space="preserve"> Republic of the Philippines WESTERN PHILIPPINES UNIVERSITY          A STRONG PARTNER FOR SUSTAINABLE DEVELOPMENT BIDS AND AWARDS COMMITTEE Invitation to Bid for Supply and Delivery of IT Supplies and Equipment for the adoption of flexible learning under N</t>
  </si>
  <si>
    <t xml:space="preserve"> Construction/Rehab. of Multi-Purpose Building at Brgy. Poblacion, Merida, Leyte</t>
  </si>
  <si>
    <t xml:space="preserve"> Telephone Mobile Expenses</t>
  </si>
  <si>
    <t xml:space="preserve"> Republic of the Philippines City of Iriga Main City Hall Building, Sta. Cruz Sur Telefax No. (054) 299-1933 OFFICE OF THE BIDS AND AWARDS COMMITTEE REQUEST FOR QUOTATION The City of Iriga, through its Bids and Awards Committee (BAC) Office, intends to app</t>
  </si>
  <si>
    <t xml:space="preserve"> 12	piece	Steel bar, Flat bar 3/16 x 3/4 x 20ft, Std. 12	piece	Steel bar, Flat bar 1/4 x 3/4 x 20ft, Std. 12	piece	Steel bar, Flat bar 1/4 x 2 x 20ft, Std. 10	sheet	Steel sheet, GI sheet 1.2mm, 4' x 8' 13	piece	Steel bar, Angle bar, 20' 3/16 x 1 x 20ft, St</t>
  </si>
  <si>
    <t xml:space="preserve"> Construction of Reservoir at Brgy. Mahayag, Merida, Leyte</t>
  </si>
  <si>
    <t xml:space="preserve"> 1.	The OCCIDENTAL MINDORO STATE COLLEGE (OMSC), through the Special Trust Fund intend to apply the sum of Five Million Pesos Only (Php5,000,000.00) being the Approved Budget for the Contract (ABC) to payments under the contract for Improvement of Quadrang</t>
  </si>
  <si>
    <t xml:space="preserve"> Repair/Maintenance of CCTV Camera of this Barangay.</t>
  </si>
  <si>
    <t xml:space="preserve"> OFFICE OF THE BIDS AND AWARDS COMMITTEE (BAC) INVITATION TO BID FOR: 20-07-578 Purchase of Fuel for Official Use of PNP Vehicles for 3rd Quarter 2020 1.	The Local Government Unit of Alamada, through the MOOE 2020 (1011/7611-5-02-03-090) intends to apply t</t>
  </si>
  <si>
    <t xml:space="preserve"> 1 unit Desktop Computer Specification: Processor:AMD Ryzen 3 2200G 3.5GHZ (3.7 GHZ Max) 4 cores Mainboard: A330M-K Memory:8GB DDR4 2666 Solid State Drive: EVO 860 250GB Harddrive: 1 Terabyte Casing: Fortress Casing with 700 Watts Power Supply Keyboard: MK</t>
  </si>
  <si>
    <t xml:space="preserve"> 200	Tube	Plaster 12 x 10 yards, adhesive 		 50	Box	Facemask tie-on, 100s / pack (For OR use) Note: The Bid and Award Committee shall open BID proposal after receiving three (3) Quotation from Supplier / Bidder</t>
  </si>
  <si>
    <t xml:space="preserve"> Please see attached associated components &amp; download the bidding documents through the linkage below</t>
  </si>
  <si>
    <t xml:space="preserve"> Installation of Solar Street Lights</t>
  </si>
  <si>
    <t xml:space="preserve"> INSTRUCTIONS: 1. Suppliers are required to read the instructions and fill all the blanks properly.  2. Any specifications other than those required/stated in this form shall not be considered in the evaluation of bid. 3. Quotation/s must include all kinds</t>
  </si>
  <si>
    <t xml:space="preserve"> 1.) 69 bags     Portland Cement 2.) 6 cu.m.      Fine Aggregates 3.) 9 cu.m.     Coarse Aggregates 4.) 122 lgths   10mm. Deformed Bar (Standard Size) 5.) 10 lgths     9 mm. Deformed Bar (Standard Size) 6.) 11 kgs.      #16 G.I. Tie Wire 7.) 6 pcs.        </t>
  </si>
  <si>
    <t xml:space="preserve"> Supplies for the Module scheme for students and supplies to fight covid</t>
  </si>
  <si>
    <t xml:space="preserve"> Please see attached associated components &amp; download the bidding documents through the link below.</t>
  </si>
  <si>
    <t xml:space="preserve"> ARMED FORCES OF THE PHILIPPINES PHILIPPINE AIR FORCE OFFICE OF THE PAF BIDS AND AWARDS COMMITTEE Colonel Jesus Villamor Air Base, Pasay City Ref. Nr. 2020-07-05-10 Invitation to Bid The Armed Forces of the Philippines, through the PAF Bids and Awards Comm</t>
  </si>
  <si>
    <t xml:space="preserve"> Asphalt overlay in Jubay, Liloan, cebu</t>
  </si>
  <si>
    <t xml:space="preserve"> Wall Mounted Automatic Hand Sanitizer/ Alcohol Dispenser 6 unit</t>
  </si>
  <si>
    <t xml:space="preserve"> Construction of Reservoir at Brgy. Masumbang, Merida, Leyte</t>
  </si>
  <si>
    <t xml:space="preserve"> Item No.			Qty							Unit	Item Description					 1			1							lot	"Contract for the Supply of Labor, Materials, Tools and Equipments necessary for the Construction of Evacuation Center at Barangay Salvacion and La Paz, Carmen, Davao del Norte Scope of Works</t>
  </si>
  <si>
    <t xml:space="preserve"> Republic of the Philippines WESTERN PHILIPPINES UNIVERSITY San Juan, Aborlan, Palawan                                                                                                                                                                          </t>
  </si>
  <si>
    <t xml:space="preserve"> OFFICE OF THE BIDS AND AWARDS COMMITTEE (BAC) INVITATION TO BID FOR: 20-07-605 Purchase of Fuel, Oil and Lubricants for the Maintenance, Monitoring, Inspection, and Surveillance of Different Infrastructure Projects 1.	The Local Government Unit of Alamada,</t>
  </si>
  <si>
    <t xml:space="preserve"> Republic of the Philippines CITY OF IRIGA BIDS AND AWARDS COMMITTEE REQUEST FOR QUOTATION 1.	The City of Iriga through the Bids and Awards Committee (BAC) now invites contractors, registered with and classified by the Philippine Contractors Accreditation </t>
  </si>
  <si>
    <t xml:space="preserve"> OFFICE OF THE BIDS AND AWARDS COMMITTEE (BAC) INVITATION TO BID FOR: 20-07-608 Consolidated Fuel, Oil and Lubricants of Different Offices for 3rd Quarter 2020 1.	The Local Government Unit of Alamada, through the MOOE 2020 (5-02-03-090) intends to apply th</t>
  </si>
  <si>
    <t xml:space="preserve"> Please quote your lowest price of the following items No. Description                                                                       Unit                 Quantity 1. Cartolina assorted color	                                                      Pac</t>
  </si>
  <si>
    <t xml:space="preserve"> Location: RES Compound Airport Site, Legazpi City Scope of Work:Construction of Three Storey Building 20.4 x 18.2m steel and composite structural frame with basement on Base Isolation System(LRB Type) and mat foundation, building envelope with aluminum fr</t>
  </si>
  <si>
    <t xml:space="preserve"> INVITATION TO BID The Municipality of Pagsanjan, through its Bids and Awards Committee (BAC), interested contractors registered to apply for eligibility and if found eligible, to bid for the hereunder contract: 	 Name of Contract: 	Procurement of Various </t>
  </si>
  <si>
    <t xml:space="preserve"> Quantity  unit of issue     items description 2                 units               XRM 125  DSX Standard                                            Specification: 124.8 cc, 9hp, kick and electric, gasoline</t>
  </si>
  <si>
    <t xml:space="preserve"> Republic of the Philippines DEPARTMENT OF PUBLIC WORKS &amp; HIGHWAYS BUKIDNON 3RD DISTRICT ENGINEERING OFFICE REGION X Dicklum, Manolo Fortich, Bukidnon SOIL TESTING / EXPLORATION FOR THE WIDENING OF PERMANENT BRIDGE (5 SITE LOCATIONS), KALILANGAN &amp; PANGANTU</t>
  </si>
  <si>
    <t xml:space="preserve"> OFFICE OF THE BIDS AND AWARDS COMMITTEE (BAC) INVITATION TO BID FOR: 20-07-603 Purchase of Office Equipment for the Use of the Municipal Accounting Office 1.	The Local Government Unit of Alamada, through the CO 2016 intends to apply the sum of P 119,000.0</t>
  </si>
  <si>
    <t xml:space="preserve"> Procurement of common supplies and materials for use in the Regional Operations Division of TESDA-CAR</t>
  </si>
  <si>
    <t xml:space="preserve"> Please quote your lowest price of the following Item No. Description                    Unit                          Quantity  1. Paracetamol 		            Box                             2 2. Krimil -s 		            Box                             2 3. </t>
  </si>
  <si>
    <t xml:space="preserve"> INVITATION TO APPLY FOR ELIGIBILITY AND TO BID The Municipality of Alcoy, Cebu, through its Bids and Awards Committee (BAC), invites suppliers/manufacturers/distributors/contractors to apply for eligibility and to bid for the hereunder projects: 	Particul</t>
  </si>
  <si>
    <t xml:space="preserve"> 1.	1 unit FIBERGLASS EXTENSION LADDER	 Heavy duty fiberglass extension ladder -	Load Capacity: 300 lbs -	Reaches from 16 ft to an extendable  length of 29 ft -	Self-leveling 2-way swivel safety shoes -	Main Material: Fiberglass -	Weight: 29 kgs -	ANSI 14.</t>
  </si>
  <si>
    <t xml:space="preserve"> 1. The Total Approved Budget for the Contract (ABC) is Sixty Nine Thousand Pesos (Php 69,000.00). 2. Price quotation/s should be inclusive of tax obligations. 3. Evaluation of bids will be conducted either on a “per item” or “lot” basis. 4. Delivery/compl</t>
  </si>
  <si>
    <t xml:space="preserve"> 1   lot   Supply and Delivery of Commonly-Used Supplies</t>
  </si>
  <si>
    <t xml:space="preserve"> *Please see attached RFQ</t>
  </si>
  <si>
    <t xml:space="preserve"> Republic of the Philippines					 Province of Bukidnon					 Municipality of Lantapan					 					 INVITATION TO BID FOR THE PURCHASE OF VARIOUS SEEDLINGS					 USE FOR THE REHABILITATION OF ALANIB RIVER WATERSHED (1ST BID)					 					 1	The Local Government Un</t>
  </si>
  <si>
    <t xml:space="preserve"> *please see attached RFQ</t>
  </si>
  <si>
    <t xml:space="preserve"> INVITATION TO BID The Municipality of Pagsanjan, through its Bids and Awards Committee (BAC), interested contractors registered to apply for eligibility and if found eligible, to bid for the hereunder contract: 	 Name of Contract: 	Installation of Closed </t>
  </si>
  <si>
    <t xml:space="preserve"> LEARNING MODULES FOR ELEMENTARY PUPILS GOOD FOR 2 WEEKS</t>
  </si>
  <si>
    <t xml:space="preserve"> INVITATION TO BID NO. PB-G2020-08-03 Supply and Delivery of Bond Papers for the Reproduction of Quarter 2 Learning Activity Sheets/Modules 1.	The Department of Education – Division of Bohol, through the General Appropriations Act CY 2020 intends to apply </t>
  </si>
  <si>
    <t xml:space="preserve"> INVITATION TO BID NO. PB-G2020-08-02 Supply and Delivery of Bond Papers for the Reproduction of Quarter 1 Learning Activity Sheets/Modules 1.	The Department of Education – Division of Bohol, through the General Appropriations Act CY 2020 intends to apply </t>
  </si>
  <si>
    <t xml:space="preserve"> INVITATION TO BID (Re-Advertisement) The DPWH, Masbate 3rd District Engineering Office, Dimasalang, Masbate through its Bids and Awards Committee (BAC), invites contractors to submit bids for the following Contract: Procurement ID/ Contract ID:	20FJ0030 C</t>
  </si>
  <si>
    <t xml:space="preserve"> Republic of the Philippines Province of Leyte Municipality of Mahaplag BARANGAY MABUHAY Invitation to bid for the Procurement of Materials for the Construction of Evacuation Center (Phase I) 1. The Barangay Mabuhay of Mahaplag, Leyte, through the Financia</t>
  </si>
  <si>
    <t xml:space="preserve"> Republic of the Philippines					 Province of Bukidnon					 Municipality of Lantapan					 					 INVITATION TO BID FOR THE SUPPLY &amp; DELIVERY OF MATERIALS 					  FOR THE CONSTRUCTION OF INTEGRATED SCHOOL BUILDING 					 AT BASAC ELEMENTARY SCHOOL (PHASE I) 1S</t>
  </si>
  <si>
    <t xml:space="preserve"> Procurement of Master Roll and Ink with free use of Rongda Machine @ Tagapo Elementary School, Santa Rosa City.</t>
  </si>
  <si>
    <t xml:space="preserve"> Lot 1: Foldable Foam with cover ABC: P 69,000.00 Lot 2:  Kitchen Utensils and Organizer ABC: P 72,000.00 *please see attached RFQs</t>
  </si>
  <si>
    <t xml:space="preserve"> PURCHASE OF SLING GRASS CUTTER FOR VCU AND MAINTENANCE USE NOTE: CLOSING DATE OF ADVERTISEMENT  IS ON AUGUST 10,2020 @ 12:00 NN. OPENING OF BIDDING DOCUMENTS   IS ON AUGUST 10,2020 @ 01:30 PM. ////NOTHING FOLLOWS\\\\\</t>
  </si>
  <si>
    <t xml:space="preserve"> INVITATION TO BID 	The Department of Public Works and Highways – Zambales 2nd District Engineering Office, through its Bids and Awards Committee (BAC), invites contractors to bid for the following contract/s: Procurement ID/Contract ID	: 20CM0086 Contract</t>
  </si>
  <si>
    <t xml:space="preserve"> Printing and binding (softbound) of modules: Specifications for printing: •	bond paper size: A4, subs. 24 •	colored printing for Kindergarten and Grade 1 modules •	grayscale printing for Grade 2 to Grade 12 modules Specifications for binding: •	front and </t>
  </si>
  <si>
    <t xml:space="preserve"> Please quote your lowest price of the following items No . Description                       Unit            Quantity 1. Bob wire	                        Rolls           3 2. FM transmitter 	               Set                       1 3. Microphone	       </t>
  </si>
  <si>
    <t xml:space="preserve"> Republic of the Philippines DEPARTMENT OF PUBLIC WORKS &amp; HIGHWAYS BUKIDNON 3RD DISTRICT ENGINEERING OFFICE REGION X Dicklum, Manolo Fortich, Bukidnon SOIL TESTING / EXPLORATION FOR THE WIDENING OF PERMANENT BRIDGE (3 SITE LOCATIONS), MANOLO FORTICH, TALAK</t>
  </si>
  <si>
    <t xml:space="preserve"> Local Government Unit of Cordon, Isabela INVITATION TO BID FOR  LOT  1- Procurement of 2-units Brand New  RISO Colored digital duplicator, Lot 2- Procurement of  800 sets portable radio AM/FM with 16GB USB 2.0 and Lot 3- Procurement of 2,700 sets portable</t>
  </si>
  <si>
    <t xml:space="preserve"> Please quote your lowest price inclusive of VAT on the item/s listed below, subject to the Terms and Conditions of this RFQ, and submit your sealed quotation and other requirements duly signed by your representative not later than 10:00am of August 11, 20</t>
  </si>
  <si>
    <t xml:space="preserve"> INVITATION TO BID 	The Department of Public Works and Highways – Zambales 2nd District Engineering Office, through its Bids and Awards Committee (BAC), invites contractors to bid for the following contract/s: Procurement ID/Contract ID	: 20CM0087 Contract</t>
  </si>
  <si>
    <t xml:space="preserve"> Name of Project: 	20-06-488 Purchase of Motorcycle for the use of SB Secretariat Office in Delivering Communications for SB Legislative and Other Concern Offices   Procurement Mode:		Small Value Procurement Classification:			Goods Approved Budget for the </t>
  </si>
  <si>
    <t xml:space="preserve"> 1. The Energy Regulatory Commission (ERC), through the continuing Appropriation for Fiscal Year 2019, intends to apply the sum of Three Million Pesos (PhP3,000,000.00), inclusive of all government taxes and other charges and fees, being the Approved Budge</t>
  </si>
  <si>
    <t xml:space="preserve"> Republic of the Philippines Province of Cagayan Municipality of Solana -o0o- BIDS AND AWARDS COMMITTEE (BAC) INVITATION TO BID FOR  Purchase of Motor Boat Fiberglass (Modified “V” Hull) -MDRRMO-LGU Solana, Cagayan 1.	The Municipal Government of Solana, th</t>
  </si>
  <si>
    <t xml:space="preserve"> Republic of the Philippines Province of Cagayan Municipality of Solana -o0o- BIDS AND AWARDS COMMITTEE (BAC) INVITATION TO BID FOR  Purchase of Copier Machine &amp; Laptop Computer with Printer -Solana Elementary Districts 1.	The Municipal Government of Solan</t>
  </si>
  <si>
    <t xml:space="preserve"> INVITATION TO BID (Re-Advertisement) The DPWH, Masbate 3rd District Engineering Office, Dimasalang, Masbate through its Bids and Awards Committee (BAC), invites contractors to submit bids for the following Contract: Procurement ID/ Contract ID:	20FJ0033 C</t>
  </si>
  <si>
    <t xml:space="preserve"> 7 UNI Supply and Delivery of Floor Polishers  -In accordance with the Technical Specifications  ABC: Php 252,000.00  NOTE: Please sign all pages of the Technical Specifications and submit it together with your quotation in a SEALED envelope. If selected a</t>
  </si>
  <si>
    <t xml:space="preserve"> Republic of the Philippines Province of Cagayan Municipality of Solana -o0o- BIDS AND AWARDS COMMITTEE (BAC) INVITATION TO BID FOR  Purchase of Arconditioner -MDRRMO, MHO and Birthing Centers-LGU Solana, Cagayan 1.	The Municipal Government of Solana, thro</t>
  </si>
  <si>
    <t xml:space="preserve"> Face Masks - 600 pcs. Php25.00 each- with a total of Php15,000.00</t>
  </si>
  <si>
    <t xml:space="preserve"> Scope of Work: I- Concreting Estimated Lenth: 80 mts. Width: 1.50 mt.</t>
  </si>
  <si>
    <t xml:space="preserve"> Name of Project- Concrete Road Location- Zone 2, Brgy. Patag, Libmanan Camarines Sur Source of Fund- 20% EDf Project Description- Dimensions- L- 86m. W- 2.0m. Thk- 0.15m. Scope of Work- I. Item 105 II. Item 311 I. Item 105- Site Preparation 172 sq.m. Item</t>
  </si>
  <si>
    <t xml:space="preserve"> Municipality of Infanta				Solicitation		RFQ-2020-130			 Infanta, Pangasinan				Project Ref. No					 Name of Project:	PURCHASE OF OFFICE EQUIPMENT &amp; FURNITURE AND FIXTURES (3RD QUARTER 2020) FOR THE MUNICIPALITY OF INFANTA, 	PANGASINAN					 Date:		August </t>
  </si>
  <si>
    <t xml:space="preserve"> REPUBLIC OF THE PHILIPPINES PROVINCE OF EASTERN SAMAR MUNICIPALITY OF LAWAAN REQUEST FOR QUOTATION PR No.: RFQ No.: PR Date: PhilGEPS Reference No. : End-User : Closing Date: ABC:550,000.00 Time: Sir/Madam: Please quote your lowest price on the items/s li</t>
  </si>
  <si>
    <t xml:space="preserve"> PROCUREMENT OF 3 UNITS LAPTOP FOR COA (2) AND MEDICAL UNIT (1) FOR COVID RELATED ACTIVITIES. SPECS: ASUS ZENBOOK] UX430U FHD USLIM WV(NP) VRAM 2 GB CPU INTEL 17-8550 U/BGA HDD 256G SATA 3 SSD ODD WO ODD RAM:LPDDR3 8 G (ON BD) WLAN: 802.11 AC(2*2) - WW + B</t>
  </si>
  <si>
    <t xml:space="preserve"> Republic of the Philippines MUNICIPALITY OF BUNAWAN, AGUSAN DEL SUR Invitation to Bid/ Instruction to Bidders PURCHASE OF CONSTRUCTION MATERIALS USE FOR THE MAINTENANCE OF STREET LIGHT August 6, 2020 1.	The Municipality of Bunawan, now invite bids for Pur</t>
  </si>
  <si>
    <t xml:space="preserve"> Supplies to be used in modular learning (Printer)</t>
  </si>
  <si>
    <t xml:space="preserve"> Supply and Delivery of Construction Materials and Supplies for Concreting of Barangay Road</t>
  </si>
  <si>
    <t xml:space="preserve"> Republic of the Philippines MUNICIPALITY OF BUNAWAN, AGUSAN DEL SUR Invitation to Bid/ Instruction to Bidders RENTAL OF EQUIPMENT FOR THE REHABILITATION OF NRJ – TAIGYAN – CABAOHAN – STA. MONICA ROAD SECTION (SELECTED PATCHING) August 6, 2020 1.	The Munic</t>
  </si>
  <si>
    <t xml:space="preserve"> INVITATION TO BID (Re-Advertisement) The DPWH, Masbate 3rd District Engineering Office, Dimasalang, Masbate through its Bids and Awards Committee (BAC), invites contractors to submit bids for the following Contract: Procurement ID/ Contract ID:	20FJ0032 C</t>
  </si>
  <si>
    <t xml:space="preserve"> CONSTRUCTION OF BLEACHERS AT COVERED COURT I.     STRUCTURAL (EXCAVATION) WORKS II.    GRAVEL BEDDING WORKS III.   PLAIN &amp; REINFORCED CONCRETING WORKS IV.    MASONRY WORKS V.     RAILING WORKS VI.    WELDED STRUCTURAL STEEL WORKS VII.   ROOFING WORKS</t>
  </si>
  <si>
    <t xml:space="preserve"> Please quote your lowest price on the items listed below, subject to the conditions also listed below, stating the shortest time of delivery and submit your quotation duly signed by your authorized representative not later than 9:00 a.m. on  24 August 202</t>
  </si>
  <si>
    <t xml:space="preserve"> Republic of the Philippines MUNICIPALITY OF BUNAWAN, AGUSAN DEL SUR Invitation to Bid/ Instruction to Bidders PURCHASE OF SEVEN (7) UNITS BARANGAY POLICE PATROL August 6, 2020 1.	The Municipality of Bunawan, now invite bids for Purchase of Seven (7) Units</t>
  </si>
  <si>
    <t xml:space="preserve"> Supply and delivery of 1 pack Rapid Bioassay Pesticide Residue (RBPR) AChe Kit to be used in pesticide analysis of major crops in Region I 1	pack	Rapid Bioassay Pesticide Residue (RBPR) AChe Kit (for 500 tests), comprise of: 1 bottle Enzyme (Ache); 1 bott</t>
  </si>
  <si>
    <t xml:space="preserve"> Provision of 40 pax Meals and Snacks to be served during the 2-day Workshop in the Preparation to the 2nd Surveillance Audit of DA RFO I QMS  		Meals and Snacks for 2 days		 		Day 1		 40	pax	AM Snack		 40	pax	Lunch		 40	pax	PM Snack		 40	pax	Dinner		 		Da</t>
  </si>
  <si>
    <t xml:space="preserve"> Name of Projects: Road Re-Blocking Project Description: Dimension L=27.00m W=2.0m Thk=0.20m Location: Zone 3,Handong, Libmanan, Camarines Sur Total Project Cost: P 1000,000.00 Source of Fund: Trust Fund MLGU-2019 Name of Projects: Concrete Pathway Project</t>
  </si>
  <si>
    <t xml:space="preserve"> 6 AUGUST 2020 INVITATION TO BID FOR THE SUPPLY AND DELIVERY OF COMPUTER NOTEBOOKS  FOR  DIVISION OF CITY SCHOOLS 	 	 1.	The City of Caloocan, through the Special Education Fund and included in the 2020 Annual City School Board Budget approved under  City </t>
  </si>
  <si>
    <t xml:space="preserve"> INVITATION TO BID The Municipality of Pagsanjan, through its Bids and Awards Committee (BAC), interested contractors registered to apply for eligibility and if found eligible, to bid for the hereunder contract: 	 Name of Contract: 	Supply and Installation</t>
  </si>
  <si>
    <t xml:space="preserve"> INVITATION TO BID 	The Department of Public Works and Highways – Zambales 2nd District Engineering Office, through its Bids and Awards Committee (BAC), invites contractors to bid for the following contract/s: Procurement ID/Contract ID	: 20CM0085 Contract</t>
  </si>
  <si>
    <t xml:space="preserve"> INVITATION TO BID The Municipality of General Luna, Quezon, through its Bids and Awards Committee (BAC), invites suppliers/manufacturers/distributors/contractors to apply for eligibility and to Bid for the hereunder project: Name of Contract	: PURCHASE OF</t>
  </si>
  <si>
    <t xml:space="preserve"> Name of Project: 	20-07-515 Purchase of Medicines for the Mentally Challenge Clients of RHU-Alamada   Procurement Mode:		Small Value Procurement Classification:			Goods Approved Budget for the Contract (ABC):    PhP 164,365.35 BEST AND FINAL OFFER Item No</t>
  </si>
  <si>
    <t xml:space="preserve"> EXPANSION OF TWO STOREY MULTI-PURPOSE BLDG., PHASE-2</t>
  </si>
  <si>
    <t xml:space="preserve"> Please quote your lowest price of the following item No. Unit         Description                                                    quantity 1.  pack 	Toilet tissue paper 2 plys sheets 150 pulls	                     6 2. Bottle	Air freshener earosol type</t>
  </si>
  <si>
    <t xml:space="preserve"> 1. The Total Approved Budget for the Contract (ABC) is One Hundred Fifty Thousand Pesos (Php 150,000.00). 2. Price quotation/s should be inclusive of tax obligations. 3. Evaluation of bids will be conducted either on a “per item” or “lot” basis. 4. Delive</t>
  </si>
  <si>
    <t xml:space="preserve"> 1. The OCCIDENTAL MINDORO STATE COLLEGE (OMSC), through the Special  Trust Fund (Php600,000.00) and General Fund (Php 250,000.00) intends to apply the sum of Eight Hundred Fifty Thousand Pesos Only (Php850,000.00) being the Approved Budget for the Contrac</t>
  </si>
  <si>
    <t xml:space="preserve"> M e n u: AM Snacks : cheeseburger / juice Lunch: Breakfast Grilled Fish Sotanghon Guisado Mixed Vegetable dessert: Fruit &amp; season Rice &amp; soft-drinks PM Snacks : clubhouse sandwich / Juice w-w-w-w-w-w-w-w-w-w-w-w-w-w-w-w</t>
  </si>
  <si>
    <t xml:space="preserve"> Road Concreting/Bigain I, San Jose, Batangas	 2020-08-02	Supply of Labor, Materials &amp; Equipment	 P 195,491.00	Gen. Fund -Cont.	 45 days Prospective bidders should possess a valid PCAB License applicable to the contract, must have an experience of having c</t>
  </si>
  <si>
    <t xml:space="preserve"> Republic of the Philippines DEPARTMENT OF PUBLIC WORKS AND HIGHWAYS CAMARINES SUR 2ND DISTRICT ENGINEERING OFFICE Regional Office V Baras, Canaman, Camarines Sur INVITATION TO BID  FOR   20GFE0015- PROCUREMENT OF EQUIPMENT/APPARATUS, OFFICE, IT AND JANITO</t>
  </si>
  <si>
    <t xml:space="preserve"> The Barangay Bagong Sirang through its Bids and Awards Committee (BAC) invites suppliers to apply for the stated project below: Name of Project	        : CONSTRUCTION OF PATHWAY AT ZONE 5 Location		        : ZONE 5 BAGONG SIRANG, PILI, CAMARINES SUR  Proj</t>
  </si>
  <si>
    <t xml:space="preserve"> INSTRUCTION TO BIDDERS (ITB) A. General 1. Scope of Bid 1.1 The Procuring Entity, as defined in the BDS, invites bids for the construction of the Works under the proposed Contract, as described in the BDS. The name and ID of the Contract are stated in the</t>
  </si>
  <si>
    <t xml:space="preserve"> 150 vials Anti-Rabies Vaccine for use in WLPH. w-w-w-w-w-w-w-w-w-w-w-w</t>
  </si>
  <si>
    <t xml:space="preserve"> Supply and delivery of various printer cartridges to be used at RAED and BAC Office 12	piece	Flash Drive, 16 GB capacity		 30	cart	Ink Cart, Canon CL-811, colored		 30	cart	Ink Cart, Canon PG-810, black		 12	cart	Ink Cart, Epson C13T664100 (T6641), black	</t>
  </si>
  <si>
    <t xml:space="preserve"> Contruction/Installation of Guard Rail/Bigain I, San Jose, Batnagas 2020-08-04	Supply of Labor, Materials &amp; Equipment	 P 98,657.03	Gen.Fund-Cont.	 30 days Prospective bidders should possess a valid PCAB License applicable to the contract, must have an exp</t>
  </si>
  <si>
    <t xml:space="preserve"> Supply of Labor, Materials &amp; Equipment Road Concreting/Bigain I, San Jose, Batangas	 2020-08-02		 P 294,140.59	  20% Dev. Fund-Cont.	 60 days Prospective bidders should possess a valid PCAB License applicable to the contract, must have an experience of ha</t>
  </si>
  <si>
    <t xml:space="preserve"> 1500   Pcs.   IV Administrator set, macro 1000   Pcs.   IV Administrator set, micro 500     Pcs.   Intravascular Catheter, G-18 1000   Pcs.   Intravascular Catheter, G-20 500     Pcs.   Intravascular Catheter, G-22 1500   Pcs.   Intravascular Catheter, G-</t>
  </si>
  <si>
    <t xml:space="preserve"> ITEM I - RE-TOPPING OF BASKETBALL COURT ITEM II - BASKETBALL COURT PAINTING WORKS ITEM III - INSTALLATION OF LOUVERS ITEM IV - INSTALLATION OF STEEL GATES ITEM V - REHABILITATION OF WATER WORKS OF C.R OF MULTI-PURPOSE COVERED COURT ITEM VI - INSTALLATION </t>
  </si>
  <si>
    <t xml:space="preserve"> SUBMIT PRICE QUOTATION NOT LATER THAN AUGUST 10, 2020, TO THE BAC SECRETARIAT OFFICE, IMBATUG, BAUNGON, BUKIDNON</t>
  </si>
  <si>
    <t xml:space="preserve"> Purchase Request No. : 2020-07-0030 Name of Project: For use in DPWH-Bacolod City District Engineering Office Descriptions: Concentrated Fabric Conditioner; AntiBac; 1.5L, Concentrated Fabric Conditioner; AntiBac; 40ml, Liquid Hand Soap (with "free-usedis</t>
  </si>
  <si>
    <t xml:space="preserve"> Republic of the Philippines PROVINCE OF ZAMBOANGA SIBUGAY Municipality of Payao Barangay Katipunan REQUEST FOR QUOTATION ALTERNATIVE METHOD OF PROCUREMENT THRU NEGOTIATED PROCUREMENT-SMALL VALUE (Sec. 53.9 of RA 9184) Date: August 8, 2020 PR-2020-08-006 T</t>
  </si>
  <si>
    <t xml:space="preserve"> Republic of the Philippines PROVINCE OF ZAMBOANGA SIBUGAY Municipality of Payao Barangay Katipunan REQUEST FOR QUOTATION ALTERNATIVE METHOD OF PROCUREMENT THRU NEGOTIATED PROCUREMENT-SMALL VALUE (Sec. 53.9 of RA 9184) Date: August 8, 2020 PR-2020-08-005 T</t>
  </si>
  <si>
    <t xml:space="preserve"> 3 meals and 2 snacks for day 1 ----- 35 Pax 3 meals and 2 snacks for day 2 ----- 35 Pax 3 meals and 2 snacks for day 3 ----- 35 Pax 3 meals and 2 snacks for day 4 ----- 35 Pax 3 meals and 2 snacks for day 5 ----- 35 Pax</t>
  </si>
  <si>
    <t xml:space="preserve"> Republic of the Philippines National Capital Region Division of Taguig and Pateros District of Cluster IX KAPT. JOSE CARDONES MEMORIAL ELEM. SCHOOL Kapt. Jose Cardones Memorial Elem. School INVITATION TO BID DepED – Kapt. Jose Cardones Memorial Elem. Scho</t>
  </si>
  <si>
    <t xml:space="preserve"> 2 snacks and 1 meal for day 1 (5 batches) ----- 200 pax 2 snacks and 1 meal for day 2 (5 batches) ----- 200 pax 2 snacks and 1 meal for day 3 (5 batches) ----- 200 pax</t>
  </si>
  <si>
    <t xml:space="preserve"> Procurement of Supplies for Reproduction of Learning Modules Bond Paper A4 Ink Printer (Black, colored) Printer Epson L3110</t>
  </si>
  <si>
    <t xml:space="preserve"> Republic of the Philippines Province of Isabela Municipality of Dinapigue Barangay Digumased INVITATION TO APPLY FOR ELIGIBILITY AND TO BID ITB NO.:2020-08-24 (01) The Barangay Local Government of Digumased, Dinapigue, Isabela through its Bids and Awards </t>
  </si>
  <si>
    <t xml:space="preserve"> The Bids and Awards Committee (BAC) of the LGU-Lubang, Occidental Mindoro invites contractors to bid for the aforementioned project: Contract I.D.:				ML-2020-04-18 Contract Name:	Purchase of One (1) Unit Ambulance Contract Location:	Lubang, Occidental Mi</t>
  </si>
  <si>
    <t xml:space="preserve"> Supplies to be used in modular learning  (office supplies)</t>
  </si>
  <si>
    <t xml:space="preserve"> ITEM NO.           DESCRIPTION                                    UNIT           QUANTITY 1     Amoxicillin  500mgs cap 100s                 Boxes           80 2    Amoxicillin 250 mgs cap 100’s                Boxes           80 3      Amoxicillin sus. 25</t>
  </si>
  <si>
    <t xml:space="preserve"> Purchase of Supplies and Equipment for use in Printing of Learning Modules of Bata National High School</t>
  </si>
  <si>
    <t xml:space="preserve"> INVITATION TO REBID The Iligan City Government Bids and Awards Committee (BAC), through CY 2020 BUDGET intends to apply the sum of P 2,375,600.00 being the Approved Budget for the Contract (ABC) to payments under the Contract for Supply and Delivery of Sp</t>
  </si>
  <si>
    <t xml:space="preserve"> BARANGAY CENTRAL SIGNAL BIDS AND AWARDS COMMITTEE -- Advertisement/Posting of Invitation to Bid ------ August 6, 2020 -- Issuance and Availability of Bid Documents ----- August 6, 2020 -- Deadline for Submission -------------------------- August 13, 2020 </t>
  </si>
  <si>
    <t xml:space="preserve"> 1.	The Provincial Government of Ilocos Norte, through the General Fund  intends to apply the sum of Six Million Sixty Three Thousand One Hundred Seven Pesos and Ninety Nine Centavos   (Php  6,063,107.99               ) being the Approved Budget for the Co</t>
  </si>
  <si>
    <t xml:space="preserve"> Republic of the Philippines Province of Bukidnon MUNICIPALITY OF PANGANTUCAN TIN 099-000-631-170 OFFICE OF THE MUNICIPAL MAYOR Bids and Awards Committee (BAC) Cell # 09261024636  Email us: munpangantucanbukidnon@yahoo.com  or visit www.philgeps.net INVITA</t>
  </si>
  <si>
    <t xml:space="preserve"> 5 roll Absorbent Cotton 400 grams 60 bottle Alcohol 70%, 500ml 40 box Disposable Syringes with needles 3cc box of 100's and others.</t>
  </si>
  <si>
    <t xml:space="preserve"> BIDS AND AWARDS COMMITTEE INVITATION TO BID No. 051-2020 The METRO ROXAS WATER DISTRICT (MRWD), through its Bids and Awards Committee (BAC), invites Manufacturers/Suppliers/Distributors to apply for eligibility and to bid for the hereunder project: Name o</t>
  </si>
  <si>
    <t xml:space="preserve"> 31 units Printer-Print, Copy, FAx, Scan autocopy scan, wifi ethernet, rear paper input, 3.7 LCD, suitable for long bond paper Republic of the Philippines Province of Batangas MUNICIPALITY OF MALVAR Office of the Municipal Mayor SECTION I INVITATION TO BID</t>
  </si>
  <si>
    <t xml:space="preserve"> PROCUREMENT OF THE FOLLOWING SERVICES: FABRICATION AND INSTALLATION OF HAND RAILINGS OF PATHWALK AND PLASTERING OF DAMAGED PORTION OF PATHWALK (APPROX. 120 LN. METERS) A. MATERIALS B. OTHER SERVICES FOR MORE DETAILS VISIT THE BARANGAY</t>
  </si>
  <si>
    <t xml:space="preserve"> Republic of the Philippines DEPARTMENT OF PUBLIC WORKS AND HIGHWAYS Region IV-A CAVITE II DISTRICT ENGINEERING OFFICE Brgy. Mangas II, Alfonso, Cavite REQUEST FOR EXPRESSION OF INTEREST (REOI) FOR  Consultancy Services for the Conduct of Preliminary Detai</t>
  </si>
  <si>
    <t xml:space="preserve"> INVITATION TO BID FOR  ESTABLISHMENT OF THREE (3) UNITS OF SMALL WATER IMPOUNDING SYSTEM (SWIS) AT BRGY. ROSACARA, BANSUD, ORIENTAL MINDORO 1.	The DENR PENRO – Oriental Mindoro, through the RA 11465, GAA 2020 intends to apply the sum of Three Million Nine</t>
  </si>
  <si>
    <t xml:space="preserve"> Improvement of Multi-Purpose Hall</t>
  </si>
  <si>
    <t xml:space="preserve"> For : ISUZU TRUCK, SGM-724 &amp;  TOYOTA HI-LUX, SFU-588 2   pcs    Tire Wrench #23 2   pcs    Automotive Battery N50L 12V 11 Plate MF 1   pc     Hydraulic Jack 5 Tons For : TOYOTA INNOVA, SKV-416, TOYOTA HI-LUX, SGM-818, TOYOTA HI-LUX, SFU-588 &amp; ISUZU CROSSW</t>
  </si>
  <si>
    <t xml:space="preserve"> 2 units of Epson printer to be used for the reproduction of Modules.</t>
  </si>
  <si>
    <t xml:space="preserve"> PES Purchase of Office Supplies 2020-Supplemental  for ABC Php 162,000.00 600 reams Bond paper, Long Size  35 bot Ink (Black) for Epson L003  35 bot Ink (Magenta) for Epson L003  30 bot Ink (Cyan) for Epson L003  30 bot Ink (Yellow) for Epson L003</t>
  </si>
  <si>
    <t xml:space="preserve"> Republic of the Philippines MUNICIPALITY OF MULANAY Province of Quezon Invitation to Bid for  Development of Land / Embankment of New Integrated Terminal 1.	The Local Government Unit of Mulanay, Quezon through the 20% Development Fund intends to apply the</t>
  </si>
  <si>
    <t xml:space="preserve"> 1.	The Local Government Unit of Kawayan, through the Local Government Support Fund-Assistance to Municipalities (LGSF-AM) Program  intends to apply the sum of Eleven Million Eight Hundred Ninety-Seven Thousand Pesos only (P11,897,000.00) being the Approve</t>
  </si>
  <si>
    <t xml:space="preserve"> *** Feeds for Hogs *** Starter ----- 30 sacks Grower ----- 120 sacks Finisher ----- 60 sacks *** Feeds for Itik *** Grower ----- 39 sacks Finisher -----39 sacks Duck layer ----- 77 sacks Layer 1 ----- 32 sacks Layer 2 ----- 32 sacks *** Feeds for Free-ran</t>
  </si>
  <si>
    <t xml:space="preserve"> 25 box Chlorpromazine Hcl 100mg.Tablet, box of 100 26 box Haloperidol Hcl 5mg. Tablet , box of 100 10 box Bepiride Hcl 2mg.Tablet, box of 100 50 ampule Haloperidol Hcl 5mg., ampule 19 box Levomipromazine Tablet 100mg. 50 ampule Fluphentixol Decanoate ampu</t>
  </si>
  <si>
    <t xml:space="preserve"> Invitation to Bid for the  SUPPLY, DELIVERY &amp; INSTALLATION OF LABORATORY FURNITURE, EQUIPMENT AND ACCESSORIES FOR CRIME LABORATORY 1.	The JH Cerilles State College, through the Trust Fund (164)-2020 invites PhilGEPS registered suppliers to bid for the SUP</t>
  </si>
  <si>
    <t xml:space="preserve"> Supply, Delivery, Installation, and Configuration of the TSU WiFi Modernization for the Lucinda Campus (Phase 1) Invitation to Bid No. 2020-011 1.	The Tarlac State University, through the Special Budget (SB) Fund intends to apply the sum of Four Million E</t>
  </si>
  <si>
    <t xml:space="preserve"> Republic of the Philippines Province of Cagayan Municipality of Baggao INVITATION TO BID FOR THE PROCUREMENT OF GOODS The Barangay Nangalinan, Baggao, Cagayan, through the 20% Barangay Development Fund CY 2018 intends to apply the sum of  Three Hundred Fi</t>
  </si>
  <si>
    <t xml:space="preserve"> Republic of the Philippines Province of Cagayan Municipality of Baggao INVITATION TO BID FOR THE PROCUREMENT OF GOODS The Barangay Nangalinan, Baggao, Cagayan, through the 20% Barangay Development Fund CY 2020 intends to apply the sum of  One Hundred Thir</t>
  </si>
  <si>
    <t xml:space="preserve"> Republic of the Philippines Province of Cagayan Municipality of Baggao INVITATION TO BID FOR THE PROCUREMENT OF GOODS The Barangay Remus, Baggao, Cagayan, through the Provincial Assistance CY 2017 intends to apply the sum of Two Hundred Thirty Nine Thousa</t>
  </si>
  <si>
    <t xml:space="preserve"> Republic of the Philippines Province of Cagayan Municipality of Baggao INVITATION TO BID FOR THE PROCUREMENT OF GOODS The Barangay Remus, Baggao, Cagayan, through the 20% Brgy. Development Fund intends to apply the sum of Two Hundred Eighty Eight Thousand</t>
  </si>
  <si>
    <t xml:space="preserve"> Republic of the Philippines Province of Guimaras OFFICE OF THE BIDS AND AWARDS COMMITTEE INVITATION TO BID FOR    SUPPLY AND DELIVERY OF OFFICE EQUIPMENT Bid Ref. No. 2020-07-405 Re-bid 1.	The Province of Guimaras , through the Item # 2 &amp; 17- Appropriatio</t>
  </si>
  <si>
    <t xml:space="preserve"> IB 2020-08-012 PME2 Procurement of Medical Equipment (Part 2) 2020-12</t>
  </si>
  <si>
    <t xml:space="preserve"> Republic of the Philippines Region XII Province of Cotabato CITY OF KIDAPAWAN BIDS AND AWARDS COMMITTEE Invitation to Bid 						  		            Date: August 5, 2020 1.	The City Government of Kidapawan, through the 20% EDF CY 2020 Appropriation Ordinance 2</t>
  </si>
  <si>
    <t xml:space="preserve"> Republic of the Philippines Province of Guimaras OFFICE OF THE BIDS AND AWARDS COMMITTEE INVITATION TO BID FOR    SUPPLY AND DELIVERY OF WATER TREATMENT EQUIPMENT Bid Ref. No. 2020-03-224 Re-Bid 1.	The Province of Guimaras , through the PHO – (107-04-990)</t>
  </si>
  <si>
    <t xml:space="preserve"> Republic of the Philippines PROVINCE OF MISAMIS OCCIDENTAL Municipality of Clarin Brgy. Dalingap                                                                                     ooOoo INVITATION TO APPLY FOR ELIGIBILITY AND TO BID (IAEB)          The B</t>
  </si>
  <si>
    <t xml:space="preserve"> Republic of the Philippines Province of Cagayan Municipality of Baggao INVITATION TO BID FOR THE PROCUREMENT OF GOODS The Barangay Canagatan, Baggao, Cagayan, through the 20% Barangay Development Fund CY 2020 intends to apply the sum of  Eighty Thousand T</t>
  </si>
  <si>
    <t xml:space="preserve"> Location: Legazpi City Road Opening/Concreting of 1.00 lane km with 92.52 linear meters Drainage Prospective bidders is hereby advised to present the Official Reciept (OR) together with their Bids before the 10:00am deadline of Dropping of Bids. Please be</t>
  </si>
  <si>
    <t xml:space="preserve"> Please see Request For Quotation attachment</t>
  </si>
  <si>
    <t xml:space="preserve"> Republic of the Philippines BIDS AND AWARDS COMMITTEE Province of Iloilo Invitation to Bid Purchase of CAUTERY MACHINE Bid No. DRL-20-0743-B  1. The Iloilo Provincial Government, through the 20% IRA-HMO SB3 intends to apply the sum of TWO HUNDRED THOUSAND</t>
  </si>
  <si>
    <t xml:space="preserve"> Republic of the Philippines Province of Southern Leyte MUNICIPALITY OF SAN JUAN Invitation to Bid for  COMPLETION OF MULTIPURPOSE AND PRODUCTIVITY CENTER AT BRGY. SUA, SAN JUAN, SOUTHERN LEYTE 1.	The MUNICIPALITY OF SAN JUAN, through General Fund intends </t>
  </si>
  <si>
    <t xml:space="preserve"> Location: Manito, Albay Road Opening of 0.209 km with Road Concreting of 0.418 lane km including 800 sq.m. Slope Protection Prospective bidders is hereby advised to present the Official Reciept (OR) together with their Bids before the 10:00am deadline of </t>
  </si>
  <si>
    <t xml:space="preserve"> Republic of the Philippines BIDS AND AWARDS COMMITTEE Province of Iloilo Invitation to Bid Purchase of EMERGENCY CART TROLLY Bid No. DRL-20-0721-B  1. The Iloilo Provincial Government, through the SB3-IRA-HMO CY 2018 intends to apply the sum of ONE HUNDRE</t>
  </si>
  <si>
    <t xml:space="preserve"> Republic of the Philippines BIDS AND AWARDS COMMITTEE Province of Iloilo Invitation to Bid Purchase of NEBULIZER MACHINE Bid No. DRL-20-0722-B  1. The Iloilo Provincial Government, through the SB3 IRA-HMO CY 2018 intends to apply the sum of EIGHTY ONE THO</t>
  </si>
  <si>
    <t xml:space="preserve"> Republic of the Philippines BIDS AND AWARDS COMMITTEE Province of Iloilo Invitation to Bid Purchase of SUCTION MACHINE Bid No. DRL-20-0745-B  1. The Iloilo Provincial Government, through the 20% IRA-HMO CY 2019 intends to apply the sum of FORTY THOUSAND P</t>
  </si>
  <si>
    <t xml:space="preserve"> Republic of the Philippines BIDS AND AWARDS COMMITTEE Province of Iloilo Invitation to Bid Purchase of DUPLICATING MACHINE Bid No. DRL-20-0326-B  1. The Iloilo Provincial Government, through the SUPPLEMENTAL BUDGET 2019 CAPITAL OUTLAY intends to apply the</t>
  </si>
  <si>
    <t xml:space="preserve"> Republic of the Philippines Province of Ilocos Sur Municipality of Quirino, Ilocos Sur Invitation to Bid for the Continuation of the Construction of Inawey Flood Control, Lamag, Quirino, Ilocos Sur 1.	The Municipality of Quirino, Ilocos Sur, through the R</t>
  </si>
  <si>
    <t xml:space="preserve"> Republic of the Philippines BIDS AND AWARDS COMMITTEE Province of Iloilo Invitation to Bid Purchase of INFANT WEIGHING SCALE Bid No. DRL-20-0744-B  1. The Iloilo Provincial Government, through the 20% IRA-HMO SB 2018 intends to apply the sum of SEVENTEEN </t>
  </si>
  <si>
    <t xml:space="preserve"> Republic of the Philippines Province of Cavite City of General Trias Invitation to Bid for  Project Reference No. INFR-20-021- INSTALLATION OF ONE HUNDRED FORTY (140) UNITS 150 WATTS LED STREETLIGHTS LAMP AND ELECTRICAL WIRINGS ALONG NOVELETA TEJERO DIVER</t>
  </si>
  <si>
    <t xml:space="preserve"> Republic of the Philippines Province of Ilocos Sur Municipality of Quirino, Ilocos Sur Invitation to Bid for the Improvement of Patiacan FMR, Inuman, Patiacan, Quirino, Ilocos Sur 1.	The Municipality of Quirino, Ilocos Sur, through the R.A. 7171 FY 2015 F</t>
  </si>
  <si>
    <t xml:space="preserve"> INVITATION TO BID  1.	The Province of Cebu through the 2020 General Fund, intends to apply the sum of FORTY-FIVE MILLION EIGHT HUNDRED FORTY-THREE THOUSAND SIX HUNDRED PESOS AND 00/100 (Php45,843,600.00) being the Approved Budget for the Contract (ABC) to</t>
  </si>
  <si>
    <t xml:space="preserve"> Republic of the Philippines Province of Ilocos Sur Municipality of Quirino, Ilocos Sur Invitation to Bid for the Construction of Bob-ococ Footbridge, Poblacion, Quirino, Ilocos Sur 1.	The Municipality of Quirino, Ilocos Sur, through the R.A. 7171 FY 2015 </t>
  </si>
  <si>
    <t xml:space="preserve"> 1.	The Provincial Government of Batanes, through the Provincial Appropriations Ordinance No. 03 series of 2019 intends to apply the sum of Sixty-One Thousand Four Hundred Seventy Pesos Only (₱ 61,470.00), being the Approved Budget for the Contract (ABC) t</t>
  </si>
  <si>
    <t xml:space="preserve"> 1.	The Province of Cebu through the 2020 General Fund, intends to apply the sum of THIRTY-FOUR MILLION FOUR HUNDRED TWENTY-SIX THOUSAND SIX HUNDRED PESOS AND 00/100 (Php34,426,600.00) being the Approved Budget for the Contract (ABC) to payments under the </t>
  </si>
  <si>
    <t xml:space="preserve"> Republic of the Philippines Province of Ilocos Sur Municipality of Quirino, Ilocos Sur Invitation to Bid for the Construction of Cabaroan Box Culvert, Patungcaleo, Quirino, Ilocos Sur 1.	The Municipality of Quirino, Ilocos Sur, through the R.A. 7171 FY 20</t>
  </si>
  <si>
    <t xml:space="preserve"> Republic of the Philippines BANGSAMORO AUTONOMOUS REGION IN MUSLIM MINDANAO Province of Lanao del Sur Municipality of Marantao INVITATION TO BID The Municipal Government of Marantao through its Bids and Awards Committee (BAC) invites accredited suppliers </t>
  </si>
  <si>
    <t xml:space="preserve"> INVITATION TO BID The Provincial Government of Palawan through its Bids and Awards Committee (BAC) invites suppliers/manufacturers/ distributors/contractors to apply for eligibility and to bid for the hereunder project. Name of the Project       : Procure</t>
  </si>
  <si>
    <t xml:space="preserve"> NOTICE FOR NEGOTIATED PROCUREMENT Adopting Sec. 53.1 (Two Failed Biddings) of the 2016 Revised IRR of RA 9184 Reference No.: DA8-Goods-TFB-2020-2 (PR NO. RICE 20-02-19-0514)     The Department of Agriculture-Regional Field Office No. 8, through the RICE 2</t>
  </si>
  <si>
    <t xml:space="preserve"> Republic of the Philippines Province of Ilocos Sur Municipality of Quirino INVITATION TO BID FOR Purchase of Medicines 1.	The Municipal Government of Quirino, Ilocos Sur, through the LDRRM Fund CY 2020  intends to apply the sum of One Million Pesos (Php 1</t>
  </si>
  <si>
    <t xml:space="preserve"> Republic of the Philippines Region XII Province of Cotabato City of Kidapawan Barangay of Balindog BIDS AND AWARDS COMMITTEE                                                                                                                                   </t>
  </si>
  <si>
    <t xml:space="preserve"> Republic of the Philippines Province of Ilocos Sur Municipality of Quirino, Ilocos Sur Invitation to Bid for the Improvement/Rehabilitation of Sitio Urzadan Farmers Water System, Cayus, Quirino, Ilocos Sur 1.	The Municipality of Quirino, Ilocos Sur, throu</t>
  </si>
  <si>
    <t xml:space="preserve"> 1.	The Province of Cebu through the General Fund, intends to apply the sum of TWENTY-NINE MILLION TWO HUNDRED FORTY-NINE THOUSAND FIVE HUNDRED SIXTY-FOUR PESOS AND 04/100 (Php29,249,564.04) being the Approved Budget for the Contract (ABC) to payments unde</t>
  </si>
  <si>
    <t xml:space="preserve"> INVITATION TO BID  1.	The Province of Cebu through the 2019 General Fund, intends to apply the sum of FOUR MILLION PESOS AND 00/100 (Php4,000,000.00) being the Approved Budget for the Contract (ABC) to payments under the contract for the CONCRETING/IMPROV</t>
  </si>
  <si>
    <t xml:space="preserve"> Republic of the Philippines BIDS AND AWARDS COMMITTEE Province of Iloilo Invitation to Bid Purchase of PORTABLE DROPLIGHT Bid No. DRL-20-0723-B  1. The Iloilo Provincial Government, through the SB3  IRA CY 2018 intends to apply the sum of FORTY TWO THOUSA</t>
  </si>
  <si>
    <t xml:space="preserve"> See the attached Invitation and Checklist</t>
  </si>
  <si>
    <t xml:space="preserve"> Greetings! This has reference to the above-captioned undertaking, which the Province of Cebu has the need to implement the same. In this regard and as authorized in accordance with the IRR of RA 9184, we are inviting you to participate in direct negotiati</t>
  </si>
  <si>
    <t xml:space="preserve"> QTY	UNIT	ITEM DESCRIPTION 		  20.00 	lmtr	Fabrication / Installation of Streetlights</t>
  </si>
  <si>
    <t xml:space="preserve"> INVITATION TO BID  1.	The Province of Cebu through the Trust Fund- DOH- HFEP 2018, intends to apply the sum of SIX HUNDRED THOUSAND PESOS AND 00/100 (Php600,000.00) being the Approved Budget for the Contract (ABC) to payments under the contract for the RE</t>
  </si>
  <si>
    <t xml:space="preserve"> QTY	UNIT	ITEM DESCRIPTION 		  92.00 	lmtr	RC Pipe Laying with Manhole</t>
  </si>
  <si>
    <t xml:space="preserve"> BIDS &amp; AWARDS COMMITTEE  INVITATION TO BID  REPUBLIC OF THE PHILIPPINES  CITY OF GOVERNMENT OF NAVOTAS  BARANGAY NBBS KAUNLARAN  BIDS AND AWARDS COMMITTEE  1. The Sangguniang Barangay of NBBS-Kaunlaran, through its Bids and Awards Committee intends to app</t>
  </si>
  <si>
    <t xml:space="preserve"> QTY	UNIT	ITEM DESCRIPTION 		  1.00 	l.s.	Demolition  48.00 	sq.m.	Improvement of Sidewalk</t>
  </si>
  <si>
    <t xml:space="preserve"> 1.	The Provincial Government of Batanes, through the Provincial Appropriations Ordinance No. 03 series of 2019 intends to apply the sum of One Hundred Ninety-Nine Thousand Seven Hundred Seventy Pesos Only (₱ 199,770.00), being the Approved Budget for the </t>
  </si>
  <si>
    <t xml:space="preserve"> QTY	UNIT	ITEM DESCRIPTION 		  55.00 	unit/s	Fabrication / Installation of Streetlights</t>
  </si>
  <si>
    <t xml:space="preserve"> QTY	UNIT	ITEM DESCRIPTION	QTY	UNIT 				  55.00 	unit/s	Fabrication / Installation of Streetlights	 55.00 	unit/s</t>
  </si>
  <si>
    <t xml:space="preserve"> REQUEST FOR QUOTATION No. 2020-003 The Department of Education, Taguig Integrated School, through SCHOOL BIDS and AWARDS COMMITTEE (SBAC) invites registered suppliers to submit a quotation for the hereunder project: PROJECT NAME : SUPPLY AND DELIVERY OF F</t>
  </si>
  <si>
    <t xml:space="preserve"> QTY	UNIT	ITEM DESCRIPTION 		  20.00 	unit/s	Fabrication / Installation of Streetlights</t>
  </si>
  <si>
    <t xml:space="preserve"> QTY	UNIT	ITEM DESCRIPTION 		  1.00 	unit	Service Vehicle 		Body Type: Pick -up 		5-Speed Automatic Transmission 		At least 2.4L, 4 Cylinder Diesel Engine 		&lt;3000 cc displacement 		Max. Output: At least 145 hp/3400 rpm 		Max. Torque: At least 340 Nm/1400-2</t>
  </si>
  <si>
    <t xml:space="preserve"> QTY	UNIT	ITEM DESCRIPTION 		  11.00 	unit/s	Fabrication / Installation of Streetlights</t>
  </si>
  <si>
    <t xml:space="preserve"> INVITATION TO BID  1.	The Province of Cebu through the Trust Fund- DOH- HFEP 2018, intends to apply the sum of THREE HUNDRED FORTY-FIVE THOUSAND PESOS AND 00/100 (Php345,000.00) being the Approved Budget for the Contract (ABC) to payments under the contra</t>
  </si>
  <si>
    <t xml:space="preserve"> OPENING OF BIDS IN DSWD FO IX ZAMBOANGA CITY, DELIVERY IN ZAMBOANGA CITY PROCUREMENT FOR THE FF.: 5 MONTHS-  OFFICE RENTAL FOR OFFICE SPACE WITH FLOOR AREA AND WAITING AREA MORE OR LASS 117 SQM. , EFFICIENT WATER SUPPLY AND COMFORT ROOM. NOTE: SEE ATTACHE</t>
  </si>
  <si>
    <t xml:space="preserve"> Republic of the Philippines Province of Pangasinan Municipality of Bugallon OFFICE OF THE BIDS AND AWARDS COMMITTEE INVITATION TO BID The Barangay Salomague Norte of the Municipality of Bugallon, Pangasinan, through its Bids and Awards Committee (BAC), in</t>
  </si>
  <si>
    <t xml:space="preserve"> Republic of the Philippines Province of Ilocos Sur Municipality of Quirino, Ilocos Sur Invitation to Bid for the Continuation of Namitpit Hanging Footbridge and Pathway, Namitpit, Quirino, Ilocos Sur 1.	The Municipality of Quirino, Ilocos Sur, through the</t>
  </si>
  <si>
    <t xml:space="preserve"> Republic of the Philippines Province of Ilocos Sur Municipality of Quirino, Ilocos Sur Invitation to Bid for the Improvement of Lobolbo Creek to Banoen Plaza, Banoen, Quirino, Ilocos Sur 1.	The Municipality of Quirino, Ilocos Sur, through the R.A. 7171 FY</t>
  </si>
  <si>
    <t xml:space="preserve"> 1.	The Provincial Government of Batanes, through the Agro-Tourism Project under Trust Fund intends to apply the sum of One Hundred Ninety Thousand Pesos Only (₱ 190,000.00), being the Approved Budget for the Contract (ABC) to payments under the contract f</t>
  </si>
  <si>
    <t xml:space="preserve"> INVITATION TO BID  1.	The Province of Cebu through the Trust Fund- DOH- HFEP 2018, intends to apply the sum of ONE MILLION ONE HUNDRED TEN THOUSAND PESOS AND 00/100 (Php1,110,000.00) being the Approved Budget for the Contract (ABC) to payments under the c</t>
  </si>
  <si>
    <t xml:space="preserve"> 1.	The Provincial Government of Batanes, through the Provincial Appropriations Ordinance No. 03 series of 2019 (Capital Outlay) intends to apply the sum of One Hundred Thousand Pesos Only (₱ 100,000.00), being the Approved Budget for the Contract (ABC) to</t>
  </si>
  <si>
    <t xml:space="preserve"> Concreting of Tagsing to Malawog  Barangay Roads</t>
  </si>
  <si>
    <t xml:space="preserve"> 1.	The Provincial Government of Batanes, through the Provincial Appropriations Ordinance No. 03 series of 2019 (Capital Outlay) intends to apply the sum of Two Hundred Fifty Thousand Pesos Only (₱ 250,000.00), being the Approved Budget for the Contract (A</t>
  </si>
  <si>
    <t xml:space="preserve"> Construction of Potable Water System</t>
  </si>
  <si>
    <t xml:space="preserve"> Republic of the Philippines Province of Siquijor BIDS AND AWARDS COMMITTEE Siquijor, Siquijor Invitation to Bid for Water System Development at the Lazi Medicare Community Hospital, Lazi, Siquijor 1.	The Provincial Government of Siquijor through the Gener</t>
  </si>
  <si>
    <t xml:space="preserve"> Republic of the Philippines Province of Siquijor BIDS AND AWARDS COMMITTEE Siquijor, Siquijor Invitation to Bid for Repair/Improvement of Tourism Office, Capitol Building, Polangyuta, Siquijor &amp; Repair/Improvement of Tourism Office (Phase 2), Capitol Buil</t>
  </si>
  <si>
    <t xml:space="preserve"> Supply and Delivery of various construction materials The Metro Midsayap Water District (MMWD) gives notice that  quotations are invited for the Supply and Delivery of various construction materials 19 bags - CEMENT (PORTLAND) 				 2 cum - SAND				 1 cum </t>
  </si>
  <si>
    <t xml:space="preserve"> office equipment</t>
  </si>
  <si>
    <t xml:space="preserve"> Stock No.	Item Description	QTY.	Unit 1	Motorcycle (4.stroke, 102 cc engine, 7500rpm,    2      Units front and rear drum brakes, 114 kg., 10.5 liters tank  capacity, tube tyres, alloy wheels)</t>
  </si>
  <si>
    <t xml:space="preserve"> Concreting of Tugas to Bantay Barangay Roads</t>
  </si>
  <si>
    <t xml:space="preserve"> 1.	The Province of Cebu through the 2019 General Fund, intends to apply the sum of TWELVE MILLION PESOS AND 00/100 (Php12,000,000.00) being the Approved Budget for the Contract (ABC) to payments under the contract for the CONCRETING/IMPROVEMENT OF BARANGA</t>
  </si>
  <si>
    <t xml:space="preserve"> 1.	The Province of Cebu through the 2020 General Fund, intends to apply the sum of THIRTY-FIVE MILLION EIGHT HUNDRED EIGHTY THOUSAND PESOS AND 00/100 (Php35,880,000.00) being the Approved Budget for the Contract (ABC) to payments under the contract for th</t>
  </si>
  <si>
    <t xml:space="preserve"> Concreting of Tuburan to Conaynay Barangay Road</t>
  </si>
  <si>
    <t xml:space="preserve"> The Agricultural Training Institute (ATI) invites interested suppliers to submit quotation/proposals for the hereunder requirements: Supply and Delivery of Supplies to be used of PAD for the 2nd Semester of 2020. Budget for the Contract = PHP 777,963.96. </t>
  </si>
  <si>
    <t xml:space="preserve"> 1.	The Provincial Government of Batanes, through the Provincial Appropriations Ordinance No. 03 series of 2019  intends to apply the sum of One Hundred Seventy-Seven Thousand Eighty Pesos Only (₱ 177,080.00), being the Approved Budget for the Contract (AB</t>
  </si>
  <si>
    <t xml:space="preserve"> Republic of the Philippines Province of Ilocos Sur Municipality of Quirino INVITATION TO BID FOR Purchase of Drugs and Medicines 1.	The Municipal Government of Quirino, Ilocos Sur, through the General Fund CY 2020  intends to apply the sum of One Hundred </t>
  </si>
  <si>
    <t xml:space="preserve"> Request for Quotation Date:  ______________ Quotation No.______ Company Name	: _________________________________________(1) Address	           	: _________________________________________(2) VAT-TIN		:__________________________________________(3) Please q</t>
  </si>
  <si>
    <t xml:space="preserve"> Republic of the Philippines Province of Ilocos Sur Vigan City INVITATION TO BID FOR  Supply and Delivery of an Integrated Mobile Command Center System and Platform for the PDRRMC of Ilocos Sur 1.	The Provincial Government of Ilocos Sur, through the PDRRM </t>
  </si>
  <si>
    <t xml:space="preserve"> 1.	The Capiz Provincial Government, through the GOP–2020 intends to apply the total amount of One Million Three Hundred Forty-Two Thousand Four Hundred Thirty-Three Pesos (Php, 1,342,433.00) being the total aggregated Approved Budget for the Contract (ABC</t>
  </si>
  <si>
    <t xml:space="preserve"> 1.	The Provincial Government of Ilocos Norte, through the General Fund  intends to apply the sum of One Million Forty Four Thousand Pesos            (Php  1,044,000.00                         ) being the Approved Budget for the Contract (ABC) to payments </t>
  </si>
  <si>
    <t xml:space="preserve"> 1,200 pcs – N95 PPE</t>
  </si>
  <si>
    <t xml:space="preserve"> Invitation to Bid for the Construction of Magdalena-Baladjay CIP  NIAR6-SIP-MAGDALENA-BALADJAY-CW69-20 1.	The National Irrigation Administration Regional Office VI, Iloilo City, through the Small Irrigation Projects (SIP) CY 2020 intends to apply the sum </t>
  </si>
  <si>
    <t xml:space="preserve"> 18 pcs. Bottle Sprayer 100 pcs. Colored Folder 18 pcs. Permanent Marker 36 pcs. Permanent Marker Ink 50ml 36 pcs. Highlighter 18 packs Tissue Paper 18 boxes Pencil 100 pcs. Moroccan Folder 36 pcs. Marker Refill Ink 30ml 100 pcs. Colored Sliding Folder 18 </t>
  </si>
  <si>
    <t xml:space="preserve"> Invitation to Bid for the Construction of Panay River Basin  Integrated Development Project  Package 1 -  Construction of Slope Protection at Sibaguan Creek Package 2 -  Construction of Project Facilities a.	Project Manager’s Quarter  b.  Elevated Water T</t>
  </si>
  <si>
    <t xml:space="preserve"> Republic of the Philippines Region XII Province of Cotabato City of Kidapawan Barangay of Sikitan BIDS AND AWARDS COMMITTEE                                                                                                                                    </t>
  </si>
  <si>
    <t xml:space="preserve"> 1.	The Capiz Provincial Government, through the GOP–2020 intends to apply the total amount of Three Hundred Seventy-Two Thousand Pesos (Php, 372,000.00) being the total aggregated Approved Budget for the Contract (ABC) to payments under the contract of Pu</t>
  </si>
  <si>
    <t xml:space="preserve"> 900	ream	  Bond paper, A4 70GSM 10	tube	  RIZO INK, TUBE 5	roll	  RIZO MASTER ROLL 2	box	  TONER MP2501</t>
  </si>
  <si>
    <t xml:space="preserve"> Republic of the Philippines Province of Ilocos Sur Vigan City INVITATION TO BID FOR THE  Purchase &amp; Delivery of Spare Parts for the Ilocos Sur Dancing Fountain 1.	The Provincial Government of Ilocos Sur, through the GO-Repair &amp; Maintenance of Machineries </t>
  </si>
  <si>
    <t xml:space="preserve"> 1.	The Capiz Provincial Government, through the GOP–2020 intends to apply the total amount of Two Million Nine Hundred Two Thousand Eight Hundred Thirteen Pesos &amp; 50/100 (Php, 2,902,813.50) being the total aggregated Approved Budget for the Contract (ABC)</t>
  </si>
  <si>
    <t xml:space="preserve"> Republic of the Philippines Province of Ilocos Sur Vigan City Invitation to Bid for the  Construction of Water System at Brgy. Cadacad, Nagbukel, Ilocos Sur 1.	The Provincial Government of Ilocos Sur, through the Special Budget No. 1 (RA 7171), Appropriat</t>
  </si>
  <si>
    <t xml:space="preserve"> Republic of the Philippines Province of Siquijor BIDS AND AWARDS COMMITTEE Siquijor, Siquijor Invitation to Bid for Replacement &amp; Relocation of Electrical Poles &amp; Its Accessories Affected by the PEO Widening Project at Ponong-Cang-Asa, Siquijor and Poblac</t>
  </si>
  <si>
    <t xml:space="preserve"> REPUBLIC OF THE PHILIPPINES Province of Batangas MUNICIPALITY OF TALISAY BARANGAY POBLACION 3   INVITATION TO BID   The Barangay Government of Poblacion 3, through the Bids and Awards Committee (BAC) invites contractors registered with and classified by t</t>
  </si>
  <si>
    <t xml:space="preserve"> Concreting of Camambugan  Barangay Road</t>
  </si>
  <si>
    <t xml:space="preserve"> Item no.  1  - 1  lot   -Starter Assembly                              - P 7,500.00  2 -  3 sets  - Brake pad                                       -    4,500.00  3 -  2 sets  - Brake shoe (Highlander)                   -    5,000.00  4 - 1 set    - Tie r</t>
  </si>
  <si>
    <t xml:space="preserve"> Republic of the Philippines Province of Ilocos Sur Vigan City INVITATION TO BID FOR  Purchase &amp; Delivery of Heavy Duty Fast Speed Full Color Printer Line- Inkjet System with Consumables for the Reproduction of Learning Modules &amp; Self-learning Kits in Supp</t>
  </si>
  <si>
    <t xml:space="preserve"> The Local Government Unit of Tabontabon Leyte, through its Bids and Awards Committee (BAC), will undertake Negotiated Procurement (Small Value Procurement) for RFQ # 07-079-2020 for the Supply and Delivery of Office Equipment in accordance with 53.9 of th</t>
  </si>
  <si>
    <t xml:space="preserve"> Republic of the Philippines Province of Ilocos Sur Vigan City Invitation to Bid for the  Development of Post-Harvest Facility at Brgy. Labut Norte, Santa, Ilocos Sur 1.	The Provincial Government of Ilocos Sur, through the Special Budget No. 1 (RA 7171), A</t>
  </si>
  <si>
    <t xml:space="preserve"> Republic of the Philippines Province of Ilocos Sur Municipality of Quirino, Ilocos Sur Invitation to Bid for the Concreting/Improvement of Allibang Street, Poblacion, Quirino, Ilocos Sur 1.	The Municipality of Quirino, Ilocos Sur, through the R.A. 7171 FY</t>
  </si>
  <si>
    <t xml:space="preserve"> Republic of the Philippines Province of Leyte Municipality of Hindang Barangay Poblacion 1 INVITATION TO BID FOR THE PROCUREMENT OF MATERIALS FOR REHAB OF BRGY. MULTI-PURPOSE CENTER HALL (PHASE-III) 1. The Barangay Poblacion 1 of Hindang, Leyte , through </t>
  </si>
  <si>
    <t xml:space="preserve"> 1.        2,600          pcs.      CHB 5 X 8 X 16" 2.             42          pcs       12mm X 6M  RSB 3.           105          pcs       10mm X 6M  RSB 4.             70          pcs         9mm X 6M  RSB 5.             60          pcs       2 X 2 x 12 </t>
  </si>
  <si>
    <t xml:space="preserve"> 5 pcs Acostic Board 2x6 5 pcs Fiber Cement Board 4 gal Thinner Reducer 4 gal Primer Liquid Tile 1 pail Flat Latex (16 liters)</t>
  </si>
  <si>
    <t xml:space="preserve"> Republic of the Philippines Province of Ilocos Sur Vigan City Invitation to Bid for the  Construction of Post-Harvest Facility at Brgy. Lapting Sur, Nagbukel, Ilocos Sur 1.	The Provincial Government of Ilocos Sur, through the Special Budget No. 1 (RA 7171</t>
  </si>
  <si>
    <t xml:space="preserve"> EXCAVATION CONCRETE WORKS STEEL WORKS MILL WORKS PAINTING</t>
  </si>
  <si>
    <t xml:space="preserve"> Republic of the Philippines Province of Pangasinan Municipality of Lingayen BARANGAY WAWA INVITATION TO BID  The Barangay Wawa , through the Barangay Development Fund  CY-2020       intends to apply the amount of     Five Hundred Thirty Five Thousand Six </t>
  </si>
  <si>
    <t xml:space="preserve"> Procurement of office equipment</t>
  </si>
  <si>
    <t xml:space="preserve"> PR No. 				CMD 2020-07-064							 											 	Please quote your lowest price on the item/s listed below, subject to the General Conditions, 										 stating the shortest time of delivery and submit your quotation duly signed by  your authorized 							</t>
  </si>
  <si>
    <t xml:space="preserve"> Procurement of it equipment and software</t>
  </si>
  <si>
    <t xml:space="preserve"> Republic of the Philippines Province of Pangasinan MUNICIPALITY OF LINGAYEN BARANGAY LIBSONG WEST Invitation to Bid for the Delivery of Solar Streetlighting  System at Barangay Libsong West, Lingayen, Pangasinan  The Barangay Libsong West, through the  Ba</t>
  </si>
  <si>
    <t xml:space="preserve"> Please see attached file..</t>
  </si>
  <si>
    <t xml:space="preserve"> INVITATION TO BID A.	The DPWH, Negros Oriental 1st District Engineering Office, Tinaogan, Bindoy, Negros Oriental now invites contractors to apply to bid for the contract(s); Contract ID # 		20HJ0120 Contract Name 	Construction/Rehabilitation of Water Sup</t>
  </si>
  <si>
    <t xml:space="preserve"> Procurement of Construction Materials for Construction of FMR</t>
  </si>
  <si>
    <t xml:space="preserve"> 9 ROLL UV Treated Plastic Sheet, .004,50-54 5g 480 Pcs Seedling Tray, 128 holes</t>
  </si>
  <si>
    <t xml:space="preserve"> Supply and Delivery of Two (2) Units of Safety Vaults for SEC Head Office - OCS and SEC Bacolod Extension Office</t>
  </si>
  <si>
    <t xml:space="preserve"> Republic of the Philippines          City of Dumaguete Bids and Awards Committee INVITATION TO BID FOR PURCHASE REQUEST OF 7600 PCS CHB 4” 	The City of Dumaguete thru its BIDS AND AWARDS COMMITTEE (BAC), invites all interested manufacturers, suppliers, de</t>
  </si>
  <si>
    <t xml:space="preserve"> 1.PROJECT BILLBOARD/SIGNBOARD MATERIALS 32  FT.2  TARPULEN 31  BD.FT BRACE LUMBER,COCO 1 KG.COMMON WIRE  NAILS  ASSORTED  1  PC. MARINE  PLYWOOD  1/2X4X8 2. OCCUPATIONAL  SAFETY  AND HEALTH  PROGRAM 2 SET BEAWARE  MEN WORKING 2 SET  KEEP OUT  DANGER  ZONE</t>
  </si>
  <si>
    <t xml:space="preserve"> A complete set of Bidding Documents may be acquired by interested Bidders from AUGUST  11, 2020 to AUGUST 24, 2020, from 8:00AM to 12:00N and from 1:00PM to 5:00PM, Monday to Friday, and up to 9AM on the last day of the issuance and acquisition of bid doc</t>
  </si>
  <si>
    <t xml:space="preserve"> 45 bags Brood sow Pellet 50 bags Rice bran (Fine) 15 bags Poultry Breeder Pellet 10 bags Starter Pellet  NOTE: RFQ Available @ BAC c/o BAC Secretariat</t>
  </si>
  <si>
    <t xml:space="preserve"> Section I. Invitation to Bid for Procurement of 1 unit 6x4 Water Truck for PGO 1. The Province of Misamis Occidental through the General Funds intends to apply the sum of Four Million Pesos (P 4,000,000.00) being the Approved Budget for the Contract (ABC)</t>
  </si>
  <si>
    <t xml:space="preserve"> Republic of the Philippines Province of La Union Municipality of Sudipen BIDS AND AWARDS COMMITTEE Invitation to Bid for  SLOPE PROTECTION OF CREEK (WAIG DAKKEL) LOCATED AT BARANGAY CASTRO, SUDIPEN, LA UNION 1. The MUNICIPALITY OF SUDIPEN, LA UNION, throu</t>
  </si>
  <si>
    <t xml:space="preserve"> PCCP = 4.3 LANE KM, SLOPE PROTECTION= 1,000 SQM. AN DRAINAGE - 500 LNM</t>
  </si>
  <si>
    <t xml:space="preserve"> ITEM      UNIT      QTY      DESCRIPTION</t>
  </si>
  <si>
    <t xml:space="preserve"> Republic of the Philippines BIDS AND AWARDS COMMITTEE FOR THE PROCUREMENT OF GOODS City of Puerto Princesa Barangay Binduyan, Puerto Princesa City INVITATION TO BID (Procurement of Goods) Purchase Request #: 2020-005-07  Date: July 3, 2020 Procuring/Fundi</t>
  </si>
  <si>
    <t xml:space="preserve"> Procurement of Various Vegetable Seeds, Fertilizers, Insecticide and Fungicide for the Vegetable Production and Demonstration of MAGRO - Laak, Davao De Oro with an ABC of Php. 199,690.00.</t>
  </si>
  <si>
    <t xml:space="preserve"> Supply and Delivery of Ambulance with Complete Accessories and LTO Registration to be used for DRRM Emergency and Rescue Operations with an ABC of Php2,350,000.00 For further details, please refer to the attached Purchase Request in the associated compone</t>
  </si>
  <si>
    <t xml:space="preserve"> 1. Hog grower feeds, bags, 25 2. Hog Gestating feeds, bags, 60 3. Hog Lactating feeds, bags, 30 4. Iron jectran, (10ml), btl, 30 5. Antibiotic (100ml), btl, 5 6. Syringe (fiber glass/10ml cap), pcs, 5 7. Needle #17 (10pcs/set), pck, 5 8. Needle #21 (10pcs</t>
  </si>
  <si>
    <t xml:space="preserve"> SET OF SELF LEARNING MODULES OF ALL SUBJECTS FOR THE SECOND QUARTER</t>
  </si>
  <si>
    <t xml:space="preserve"> OFFICE: MUNICIPAL ENGINEERING OFFICE  PURPOSE: FOR CONSTRUCTION (BARANGAY DEVELOPMENT) ABC: 70,000.00 ITEM DESCRIPTION  1 UNIT BAGGER MIXER</t>
  </si>
  <si>
    <t xml:space="preserve"> Republic of the Philippines Province of Zamboanga del Sur MUNICIPALITY OF LAKE WOOD BIDS AND AWARDS COMMITTEE Invitation to Bid for Procurement of Cellphone Android use for S.B Office  in this Municipality 1.	The Local Government Unit of Lake Wood, Zamboa</t>
  </si>
  <si>
    <t xml:space="preserve"> INVITATION TO BID The Bureau of Fisheries and Aquatic Resources Region 5 (BFAR 5), through the Government of the Philippines (GOP), for CY 2020 intends to apply the sum of Three Hundred Fifty Thousand Pesos (PhP350,000.00) only, being the Approved Budget </t>
  </si>
  <si>
    <t xml:space="preserve"> materials for construction of  temporary quarantine facilities location: salvador, gutalac, zamboanga del norte approved budget for the contract: php373,061.50 opening of bids: august 31, 2020      2:00 pm submission of bids: on or before opening of bids </t>
  </si>
  <si>
    <t xml:space="preserve"> Glass Jalousie Window with Aluminum Frame	 (1/4 x 4 x 22) 14-Blades	 Sliding Window with Aluminum Frame	 W = 140cm	 H =  127cm	 Sliding Window with Aluminum Frame	 W = 141cm	 H =  126cm	 Sliding Window with Aluminum Frame	 W = 121cm	 H =  127cm	 Push and </t>
  </si>
  <si>
    <t xml:space="preserve"> Modular bag – school in a kit program, with school logo size: 38cm H x 33 cm w expandable and water proof</t>
  </si>
  <si>
    <t xml:space="preserve"> Republic of the Philippines Province of La Union Municipality of Sudipen BIDS AND AWARDS COMMITTEE Invitation to Bid for  CONCRETE PAVING OF BARANGAY ROAD (SITIO LUGALOG) LOCATED AT BARANGAY SAN FRANCISCO SUR, SUDIPEN, LA UNION 1. The MUNICIPALITY OF SUDI</t>
  </si>
  <si>
    <t xml:space="preserve"> 1. The Local Government Unit of Tabontabon, Leyte through the Budget for the contract approved by the Sanggunian intends to apply the sum of Three Hundred Fifty Thousand Pesos (Php 350,000.00) being the Approved Budget for the Contract (ABC) to payments u</t>
  </si>
  <si>
    <t xml:space="preserve"> Name of Project	: Procurement of Two (2) units Risograph Machine Location		: Milagros,Masbate Brief Description	:&gt; Master-making/Printing Methods: High-speed digital master-making/fully automatic printing 	Originatl Type: Sheet 	Original Paper Capacity:</t>
  </si>
  <si>
    <t xml:space="preserve"> ITEM NO.	Unit of issue	ITEM &amp;DESCRIPTION	Brand &amp; Model	QTY.	 1	length	C. Furlins		35	 2	length	Tubular 2"x3"x12"		30	 3	sheet	Metalplast roof, thickness: 3.0mm, length: 10 ft		65	 4	box	Welding rod special		10	 5	gallon	Primer oxide (color gray)		4	 6	gal</t>
  </si>
  <si>
    <t xml:space="preserve"> 4,100 CU. M MOUNTAIN MIX</t>
  </si>
  <si>
    <t xml:space="preserve"> Republic of the Philippines DEPARTMENT OF PUBLIC WORKS AND HIGHWAYS OFFICE OF THE DISTRICT ENGINEER Aklan District Engineering Office Toting Reyes St., Kalibo, Aklan INVITATION TO BID FOR: PURCHASE OF ASPHALT MC 60/70  FOR USE IN THE MAINTENANCE OF NATION</t>
  </si>
  <si>
    <t xml:space="preserve"> INVITATION TO BID The Bureau of Fisheries and Aquatic Resources Region 5 (BFAR 5), through the Government of the Philippines (GOP), for CY 2020 intends to apply the sum of Three Million Nine Hundred Ninety Six Thousand Five Hundred Pesos (PhP3,996,500.00)</t>
  </si>
  <si>
    <t xml:space="preserve"> Sealed Quotation - One (1) Lot Supply, Delivery and Installation of Various Furniture for Pag-IBIG Fund Calamba TAS, Housing and Branches</t>
  </si>
  <si>
    <t xml:space="preserve"> The Agricultural Training Institute (ATI) invites interested suppliers to submit quotation/proposals for the hereunder requirements: Provision of Meals and Snacks to be served for the 2nd Semester CY 2020 for meetings and other activities of various divis</t>
  </si>
  <si>
    <t xml:space="preserve"> Bid-Opening-August 25,2020 at 2:00 P.m. at Municipal Conference Room</t>
  </si>
  <si>
    <t xml:space="preserve"> Republic of the Philippines Province of La Union Municipality of Sudipen BIDS AND AWARDS COMMITTEE Invitation to Bid for  SLOPE PROTECTION OF FARM TO MARKET ROAD (SITIO IMMAYUS) LOCATED AT BARANGAY SAN JOSE, SUDIPEN, LA UNION 1. The MUNICIPALITY OF SUDIPE</t>
  </si>
  <si>
    <t xml:space="preserve"> Construction of Complete Two (2) Storey Four (4) Classroom School Building (with concrete parapet, Corridor railings at 2nd floor, steel casement window at rear portion with security grilles for the front jalousie windows, fire protection system, overhead</t>
  </si>
  <si>
    <t xml:space="preserve"> TO PURCHASE EXTERNAL HARD DRIVE FOR FACULTY USE. Item Description					Quantity	  Unit	  Estimated Unit Cost    	Estimated    Cost 								 External Hard drive					15	          pieces	   4,000.00 	                60,000.00</t>
  </si>
  <si>
    <t xml:space="preserve"> Motor Vehicle, Passenger Van	 Transmission Type: Manual	 Engine Size: 2.8L	 No. of cylinders: 4	 No. of valves: 16	 Transmission category: 6-Speed Manual (Dash Mounted)	 Drivetrain: Rear-wheel drive	 Max Output (HP): 176hp @ 3,400rpm	 Max Torque (nm): 420</t>
  </si>
  <si>
    <t xml:space="preserve"> Part A. Plain and Reinforced Concrete Work Part B. Finishing and Other Civil Works</t>
  </si>
  <si>
    <t xml:space="preserve"> The Bids &amp; Awards Committee (BAC) of Barangay Mandilikit, Argao, Cebu, invites all interested suppliers/manufacturers/distributors/contractors/consultants to apply for eligibility and to submit bids for the following: MATERIALS: 272 bag/s Portland Cement </t>
  </si>
  <si>
    <t xml:space="preserve"> Construction Materials.</t>
  </si>
  <si>
    <t xml:space="preserve"> REQUEST FOR QUOTATION (RFQ) 1. Bayawan National High School – Senior High School Department hereby requests you to submit price quotation for the Supply and Delivery of Copier Paper, A4, Substance 20: Item Number	         Description	                     </t>
  </si>
  <si>
    <t xml:space="preserve"> 1	unit	Desktop Computer (MPDC) 		specs:   core i5 10th gen. 4gb memory 1 tb DVD 		asus motherboard, casing, optical mouse, keyboard 19" LED  monitor 1	unit	Desktop Computer (MAO) 		specs:   core i3 10th gen. 4gb memory 1 tb DVD 		asus motherboard, casing,</t>
  </si>
  <si>
    <t xml:space="preserve"> Republic of the Philippines Province of La Union Municipality of Sudipen BIDS AND AWARDS COMMITTEE Invitation to Bid for  SLOPE PROTECTION OF FARM TO MARKET ROAD (SECTOR 6) LOCATED AT BARANGAY SAN FRANCISCO NORTE, SUDIPEN, LA UNION 1. The MUNICIPALITY OF </t>
  </si>
  <si>
    <t xml:space="preserve"> 1	Unit	Supply and Installation of Submersible Pump motor assembly, ABC 200,000.00/unit 		Model 2366019020 7.5HP Capacity, 5.5KW 3 phase,230V,60Hz				 		21.0amp.; 3 inches diameter, min flow FT/Sec 0.5 w/ installation				 1	Unit	Electric Motor Assy. 15hp, </t>
  </si>
  <si>
    <t xml:space="preserve"> Construction of Complete One (1) Storey Four (4) Classroom School Building with Toilet attached. This also includes Concrete Parapet, Handwashing Facility, Window Grilles, Permit and Clearances stainless steel railings, and Site Development</t>
  </si>
  <si>
    <t xml:space="preserve"> Construction of Complete Two (2) Storey Four (4) Classroom School Building with (with concrete parapet, corridor railings at 2nd floor, steel casement window at rear portion with security grilles for the front jalousie windows, fire protection system, ove</t>
  </si>
  <si>
    <t xml:space="preserve"> 1. 12 sack Rice 2. 3 sack Pilit 3. 3 sack Centrifugal Sugar 4. 4 sack Mongo 5. 3 sack White Beans 9. 4 case Tomato sauce, 115 ml, 48 pcs/case 11. 950 pcs Egg, large 12. 147 flat oil 13. 50 kg Lean meat pork 15. 75 kg S-cut pork 16. 65 kg Ground pork 19. 1</t>
  </si>
  <si>
    <t xml:space="preserve"> Request for Quotation The Bureau of Fisheries and Aquatic Resources, Regional Office No. 5, Fabrica, Bula, Camarines Sur is requesting from prospective suppliers to submit quotation for the Supply and Delivery of Various Monitoring Supplies.   Quantity	Un</t>
  </si>
  <si>
    <t xml:space="preserve"> Republic of the Philippines Province of Negros Oriental City of Bais Barangay: CAMBUILAO        BIDS AND AWARD COMMITTEE INVITATION TO APPLY FOR ELIGIBILITY AND TO BID 	The Barangay Government of Barangay__ Cambuilao       , Bais City invites interested s</t>
  </si>
  <si>
    <t xml:space="preserve"> PR2020-07-040 - Purchase and delivery of Office Equipment, Supplies and Consumables for use of the Office of the District Engineer, Office of the Assistant District Engineer and Procurement Unit, this office</t>
  </si>
  <si>
    <t xml:space="preserve"> 3 units - Full Truss-1; 3 units - Ridge Truss &amp; 3 spans - Roofing</t>
  </si>
  <si>
    <t xml:space="preserve"> Invitation to Bid for Procurement of Civil Works for the Rehabilitation of Bahay Pag-asa Development Center 1. The Provincial Government of Misamis Occidental, through the General Funds 20203 intends to apply the sum of Two Million Six Hundred Eleven Thou</t>
  </si>
  <si>
    <t xml:space="preserve"> Bid-Opening-August 25,2020 at 2:00 P.M. at Municipal Conference Room</t>
  </si>
  <si>
    <t xml:space="preserve"> Invitation to Bid for Procurement of Works for the Proposed Renovation of Provincial Capitol Lobby (REBID) 1. The Provincial Government of Misamis Occidental, through the General Funds 20193 intends to apply the sum of One Million Five Hundred Twenty Thou</t>
  </si>
  <si>
    <t xml:space="preserve"> Scope of Works: Critical Care Type and Rescue Two (2) Units Collapsible Stretcher including guide rail and locks Two (2) Units Oxygen Tank &amp; Holder 15lbs Two (2) Units O2 gauge Two (2) Units Medicine cabinet Two (2) Units spine board with spider strap Two</t>
  </si>
  <si>
    <t xml:space="preserve"> Purchase of Seedlings</t>
  </si>
  <si>
    <t xml:space="preserve"> Risograph Machine, Toner &amp; Master Roll</t>
  </si>
  <si>
    <t xml:space="preserve"> TO PURCHASE FLASH DRIVE FOR FACULTY USE. Item Description					Quantity	  Unit	 Estimated Unit Cost	  Estimated    Cost 								 Flashdrive- 16gb					105	          pieces	 450.00 	                 47,250.00</t>
  </si>
  <si>
    <t xml:space="preserve"> The Bids &amp; Awards Committee (BAC) of Barangay Bulasa, Argao, Cebu, invites all interested suppliers/manufacturers/distributors/contractors/consultants to apply for eligibility and to submit bids for the following: PCCP (Unreinforced), 0.15m thick DIRECT C</t>
  </si>
  <si>
    <t xml:space="preserve"> PROCUREMENT OF CLASSROOM AND OFFICE SUPPLIES FOR THE FIRST QUARTER TO SECOND QUARTER CALENDAR YEAR 2020.</t>
  </si>
  <si>
    <t xml:space="preserve"> Construction of sanitary toilet facilities and water facilities</t>
  </si>
  <si>
    <t xml:space="preserve"> 1.) 318 bags Thermoplastic paint, white 2.) 32 bags Glass beads 3.) 117 liters Primer 4.) 10 each Roller brush (101mm) 5.) 10 each Roller brush (152mm)</t>
  </si>
  <si>
    <t xml:space="preserve"> Description   Continuation of plain cement finish wall plastering, installation of tiles, construction of additional toilet and septic tank, and painting of Brgy. Hall building. Project Cost: 350,000.00 Source of Funds: 2019 DF Cost of Material: 280,850.0</t>
  </si>
  <si>
    <t xml:space="preserve"> Books</t>
  </si>
  <si>
    <t xml:space="preserve"> 1 Lot Cargo Body Repair GI Flooring replace to stainles 1.5 304 extending up to side wall, Floor joist repair and reinforcement, Door frame repair, Tail en and side revision, Door lock revision, Roof alignment Front skirt repair, Replace folding seats Dom</t>
  </si>
  <si>
    <t xml:space="preserve"> Republic of the Philippines Province of Negros Occidental Municipality of Pontevedra BIDS AND AWARDS COMMITTEE INVITATION TO BID  (infrastructure) 	The Municipality of Pontevedra, Negros Occidental through its Bids and Awards Committee (BAC), invites all </t>
  </si>
  <si>
    <t xml:space="preserve"> Bid-Opening-August 25,2020 at 2:00 p.m. at Municipal Conference Room</t>
  </si>
  <si>
    <t xml:space="preserve"> 1 unit KOPPEL 3TONS FLOOR MOUNTED INVERTER AC INSTALLATION CHARGE:  EXCESS 450 PER FOOT  EXCESS UNIT 41 FEET 1 unit BOSTON BAY 3TONS INVERTER FLOOR MOUNTED AC INSTALLATION CHARGE: 3 units BOSTON BAY 2HP SPLIT TYPE INVERTER EXCESS 39 FEET 1 unit BOSTON BAY</t>
  </si>
  <si>
    <t xml:space="preserve"> Republic of the Philippines PROVINCE OF BUKIDNON Municipality of Kalilangan BARANGAY KINURA OFFICE OF THE BARANGAY CAPTAIN Bids and Awards Committee (BAC) INVITATION TO BID FOR Infra 2020-02-03   The Barangay Government Unit – KINURA, Kalilangan, Bukidnon</t>
  </si>
  <si>
    <t xml:space="preserve"> Republic of the Philippines Province of Eastern Samar Municipality of Balangkayan INVITATION TO BID FOR: UPGRADING OF LOCAL ACCESS ROAD ALONG INFRES ROAD SECTION Sitio Ca-ob, Brgy. 04, Balangkayan, E. Samar Aug. 5 - 11, 2020 The Municipal Local Government</t>
  </si>
  <si>
    <t xml:space="preserve"> 1.) 54 drum Penetrating asphalt, 85-100 2.) 10 each Gloves 3.) 8 each Traffic cone</t>
  </si>
  <si>
    <t xml:space="preserve"> 1 REGION XII Province of Cotabato Municipality of Midsayap BIDS &amp; AWARDS COMMITTEE Tel. Nos. (064) 229-8018; 229-8650; 229-8450 INVITATION TO BID FOR  2020-083, CONCRETTING OF FARM TO MARKET ROAD FROM PUROK 2 TO PUROK 7,  BALIKI, MIDSAYAP, COTABATO 1. The</t>
  </si>
  <si>
    <t xml:space="preserve"> Republic of the Philippines Region XII Province of Cotabato City of Kidapawan OFFICE OF THE BIDS AND AWARD COMMITTEE August 5, 2020 INVITATION TO BID FOR  SUPPLY, DELIVERY AND INSTALLATION OF MULTI-FUNCTION FULL COLOR INKJET PRINTER FOR THE PRINTING AND R</t>
  </si>
  <si>
    <t xml:space="preserve"> 1 REGION XII Province of Cotabato Municipality of Midsayap BIDS &amp; AWARDS COMMITTEE Tel. Nos. (064) 229-8018; 229-8650; 229-8450 INVITATION TO BID FOR  2020-091, CONCRETING OF PAVEMENT AND DRAINAGE CANAL AT POBLACION 5, MIDSAYAP,  COTABATO 1. The MUNICIPAL</t>
  </si>
  <si>
    <t xml:space="preserve"> Construction/Rehabilitation of Water Supply/Septage and Sewerage/Rain Water Collectors</t>
  </si>
  <si>
    <t xml:space="preserve"> REPUBLIC OF THE PHILIPPINES		 			                   PROVINCE OF SIQUIJOR		 					 			                MUNICIPALITY OF SIQUIJOR		 			                 REQUEST FOR QUOTATION		 					 			                                                                       Date</t>
  </si>
  <si>
    <t xml:space="preserve"> Procurement of Office Appliances and Supplies 1. Television (50", smart tv complete set/accessories (bracket, satellite dish for signal and sound bar)) - 1 unit 2. Water Dispenser - 1 unit 3. Rice Cooker - 1 unit  4. wall clock (big) - 1 unit</t>
  </si>
  <si>
    <t xml:space="preserve"> Invitation to Bid No. 2020-03 Procurement of Various I.T. Equipment 1. The West Visayas State University- Janiuay Campus, through Fund 164intends to apply the sum of ONE MILLION TWENTY-SEVEN THOUSAND FIVE HUNDRED PESOS (PhP1,027,500.00) being the Approved</t>
  </si>
  <si>
    <t xml:space="preserve"> 1	1" x 100mtr. PE Pipe, SDR 11, ISO			                  1	roll 2	1/2" x 300mtr. PE Pipe, SDR 11, ISO			                  1	roll 3	1 1/2" x 6mtr. GI Pipe, sch. # 40, heavy duty	                  3	pcs 4	50mm x 1" CI Saddle Clamp			                        2</t>
  </si>
  <si>
    <t xml:space="preserve"> Detailed Estimates Attached</t>
  </si>
  <si>
    <t xml:space="preserve"> Procurement of supply and delivery of Agricultural Supplies 50	Cu.m.	Decompose rice hull 70	pcs	Plastic pots round 30 cm 50	pcs	Plastic pots round 20 cm 10,000	pcs	Polyethylene bag (6x8inches) 0.003mm PR# 2020-1195</t>
  </si>
  <si>
    <t xml:space="preserve"> REGION XII Province of Cotabato Municipality of Midsayap BIDS &amp; AWARDS COMMITTEE Tel. Nos. (064) 229-8018; 229-8650; 229-8450 INVITATION TO BID FOR  2020-095, SUPPLY AND DELIVERY OF VETERINARY MEDICINES TO PREVENT THE SPREAD OF AFRICAN  SWINE FEVER (ASF) </t>
  </si>
  <si>
    <t xml:space="preserve"> The Government of the Philippines (GOP) has received a loan from World Bank towards the cost of Philippine Rural Development Project, and it intends to apply part of the proceeds of this Loan to payments for the Procurement of Food and Venue for the Condu</t>
  </si>
  <si>
    <t xml:space="preserve"> PLEASE SEE ATTACHED FILE FOR REFERENCE</t>
  </si>
  <si>
    <t xml:space="preserve"> Republic of the Philippines DEPARTMENT OF PUBLIC WORKS AND HIGHWAYS BOHOL III DISTRICT ENGINEERING OFFICE REGIONAL OFFICE VII Guindulman, Bohol INVITATION TO BID FOR GOODS July 30, 2020 The Department of Public Works and Highways-Bohol 3rd District Engine</t>
  </si>
  <si>
    <t xml:space="preserve"> Request for Proposal  The Bureau of Fisheries and Aquatic Resources Regional Office No. 5 (BFAR RO 5), Fabrica, Bula, Camarines Sur is requesting from prospective suppliers to submit written proposal for the Supply and Delivery of RFIQU Tactical Pants, Fi</t>
  </si>
  <si>
    <t xml:space="preserve"> OFFICE: VICE MAYOR'S OFFICE PURPOSE: FOR THE SANGGUNIANG BAYAN OFFICE USE ABC: 120,000.00 ITEM DESCRIPTION    1 UNIT LAPTOP    (SPECIFICATIONS)  CPU: CORE i5 PROCESSOR: i5 - 7300HQ CHIPSET: INTEL HM175 EXPRESS CHIPSET RAM: 8GB MEMORY TYPE: DDR4 SDRAM MEMO</t>
  </si>
  <si>
    <t xml:space="preserve"> Republic of the Philippines DEPARTMENT OF PUBLIC WORKS AND HIGHWAYS Regional Office No. IV-A Cavite 1st District Engineering Office Trece Martires City Name of Procuring Entity : DPWH-CDEO, TMC Purchase Request (P.R. No.) : 20-07-064 Revised on : Date : J</t>
  </si>
  <si>
    <t xml:space="preserve"> Aspire 3 A315-42G-R1FE Laptop Workforce WF-7111 Wifi-Duplex Inkjet Printer Desktop PC APC Back Up UPS BX1400U-MS 700W/1400VA Photocopying Machine</t>
  </si>
  <si>
    <t xml:space="preserve"> I.   SIGNAGE  II.  DISCHARGE PIPELINES AND APPURTENANCES  III. REHABILITATION OF WATER DISTRIBUTION PIPELINES SYSTEM INCLUDING FLUSHING AND            DISINFECTION</t>
  </si>
  <si>
    <t xml:space="preserve"> Cordillera Administrative Region										 Provincial Government of Kalinga										 										 BIDS AND AWARDS COMMITTEE										 										 Invitation to Bid										 										 1.	The Provincial Government of KALINGA, through the Approved Budget for</t>
  </si>
  <si>
    <t xml:space="preserve"> 1.  12 pcs Tire 215/70 R16 C 2.  12 pcs Tire 195 R15 C   ----------Nothing Follows---------- Purpose: for CDRRMO use End-User: CDRRMO</t>
  </si>
  <si>
    <t xml:space="preserve"> TO CONSTRUCT STONE MASONRY SLOPE PROTECTION OF PIGGERY</t>
  </si>
  <si>
    <t xml:space="preserve"> BOND PAPERS, INK REFILLS, AND OTHER SUPPLIES</t>
  </si>
  <si>
    <t xml:space="preserve"> Procurement of Chilling Tub, Evisceration &amp; Inspection Table, Scalding &amp; Complete De-plucking Table, Chicken Feather Plucking Machine, Commercial Ice Maker Machine and Automatic Vacuum Sealer for Marketing / Post Harvest Support Under the Native Chicken E</t>
  </si>
  <si>
    <t xml:space="preserve"> SURGICAL MASK, ALCOHOL, HAND SOAP, COVERALL HAZMAT SUIT</t>
  </si>
  <si>
    <t xml:space="preserve"> 1-LOT REPLACEMENT OF SLIDING GLASS WINDOW (WITH INSTALLATION # 12 WINDOWS   SIZE: WXH 55" X 32" X 5/16" Please see attached RFQ for your references.																	 																	 Purpose: for use in the DICT-MC3 Regional Office OPERATION DIVISION				</t>
  </si>
  <si>
    <t xml:space="preserve"> EQUIPMENT REEQUIRED:                                              SUPERVISION REQUIREMENTS: -1 UNIT ELECTRIC JACKHAMMER                                          - 1 CONSTRUCTION FOREMAN -1 UNIT SPEED CUTTER - 1 UNIT PORTABLE CONCRETE VIBRATOR  SCOPE OF WO</t>
  </si>
  <si>
    <t xml:space="preserve"> SCHEDULE OF ACTIVITIES: BID EVALUATION - SEPTEMBER 8, 2020 POST QUALIFICATION - SEPTEMBER 10, 2020 NOTICE OF AWARD - SEPTEMBER 14, 2020 NOTICE TO PROCEED - SEPTEMBER 21, 2020</t>
  </si>
  <si>
    <t xml:space="preserve"> various  contraction supplies and materials</t>
  </si>
  <si>
    <t xml:space="preserve"> Parameters: Overall Dimension: 5230x1880x4320mm Curb Weight: 1870kg GVW: 6195kg Engine: Wheelbase: 2765mm Model: 4KH1 Displacement: 2.99l Horsepower: 120hp Emission Standard: Euro4 Chassis: Axle Loads: double axles Real axle ratio: 6.142 Tire: 7.00R16-14P</t>
  </si>
  <si>
    <t xml:space="preserve"> Reproduction of self learning modules. A4 size printing including bond papers.</t>
  </si>
  <si>
    <t xml:space="preserve"> AIP/SIP  No.	APP/ PPMP No.	PARTICULARS		Unit	Quantity	Unit Price	Total	Tax	Net Cash Payment IV.2		INK REFILL (subscription)		UNIT	6	 1,500.00 	 9,000.00 	 450.00 	 8,550.00  III.3		FACE MASK 		PCS	300	 14.72 	 4,416.00 		 4,416.00  I.5		ECCD CHECKLIST		SE</t>
  </si>
  <si>
    <t xml:space="preserve"> Procurement of IT Parts and Accessories for the Internet Connection of the different offices Office of the Municipal Mayor   1. USB Wifi Adapter - 1 pc. 2. Gigabit Router Share/Office - 1 pc. 3. Gigabit Switch Share/Office - 1 pc. 4. 3 in 1 router - 1 uni</t>
  </si>
  <si>
    <t xml:space="preserve"> 2 - units: 2.5 SPLIT TYPE ACU INVERTER (WITH INSTALLATION) Please see attached RFQ for your references.																	 																	 Purpose: for use in the DICT-MC3 Operation Division																	 																	 Note: All deliveries by the s</t>
  </si>
  <si>
    <t xml:space="preserve"> 1.  1 unit LAPTOP      Processor Type: Core i5; Memory: 8GB RAM      Hard Drive: 250 GB      Graphics Card: 512 MB Video Memory or higher      Operating System: Windows 10 Home or Pro 2.  1 unit PRINTER      wifi, all-in-one tank printer; high-yield in bo</t>
  </si>
  <si>
    <t xml:space="preserve"> Purchase of Fire Fighter Equipment</t>
  </si>
  <si>
    <t xml:space="preserve"> PROVINCE OF CAGAYAN Municipality of Claveria Barangay KILKILING INVITATION TO BID August 4, 2020 Barangay Kilkiling, Claveria, Cagayan intends to apply the sum of ONE HUNDRED TWENTY FIVE THOUSAND EIGHT HUNDRED FIFTY PESOS ONLY (125,850.00) being the Appro</t>
  </si>
  <si>
    <t xml:space="preserve"> Invitation to Bid for Procurement of Goods for Repainting of Capitol Old and New Building (Exterior Surface) 1. The Province of Misamis Occidental through the General Funds intends to apply the sum of One Million Nine Hundred Seventy-three Thousand Six Hu</t>
  </si>
  <si>
    <t xml:space="preserve"> 1-LOT: CONSTRUCTION MATERIALS (PLS SEE ATTACHED RFQ)  Purpose: for use in the DICT-MC3 Regional Office STORE ROOM																 																	 Note: All deliveries by the suppliers shall be subject to inspection and acceptance by the inspection commi</t>
  </si>
  <si>
    <t xml:space="preserve"> The Government of the Philippines (GOP) has received a loan from World Bank towards the cost of Philippine Rural Development Project, and it intends to apply part of the proceeds of this Loan to payments for the procurement of Food, Venue and Accommodatio</t>
  </si>
  <si>
    <t xml:space="preserve"> 1.	Filing Steel Cabinet (4 drawers with door and lock) (color Gray)	-6pcs 2.	Plastic Storage Organizer Box (120 L)	-50pcs		 3.	Office table	-22pcs         Specification:         1. 120(W) x 57.5(D) x 74(H) cm         2. Color: Gray         3. With 4 Drawe</t>
  </si>
  <si>
    <t xml:space="preserve"> I. REMOVAL OF EXISTING LINE CANAL II. EXCAVATION III. LINED CANAL      A. STRUCTURAL CONCRETE      B.  REINFORCING STEEL</t>
  </si>
  <si>
    <t xml:space="preserve"> BIDS AND AWARDS COMMITTEE							 								 	REQUEST FOR QUOTATION 							 								 	The Local GovernmentUnit of Barangay Kipit, Labason, Z.N. , invite all interested registered 							 supplier to submit qoutation for materials for the Construction of 2.40</t>
  </si>
  <si>
    <t xml:space="preserve"> Republic of the Philippines Province of Sultan Kudarat Municipality of Bagumbayan OFFICE OF THE BIDS AND AWARDS COMMITTEE Bagumbayan, Sultan Kudarat INVITATION TO BID FOR THE PROCUREMENT OF 1 UNIT AMBULANCE 1.	The Municipal Government of Bagumbayan, throu</t>
  </si>
  <si>
    <t xml:space="preserve"> One (1) Lot – Hiring of Service Provider for the  Crafting of the Documents Necessary for the BSP Head Office’s Certification under the Building for Ecologically Responsive Design Excellence - Green Building Rating Scheme (BERDE-GBRS) for Operations, as p</t>
  </si>
  <si>
    <t xml:space="preserve"> Construction of Cabasan Pallay Road</t>
  </si>
  <si>
    <t xml:space="preserve"> REQUEST FOR QUOTATION (In accordance with Section 53.9 of Revised-IRR of RA 9184) 	The Municipal Government of Paracale, Camarines Norte invited all legitimate contractors/suppliers to submit quotation for the hereunder list Goods and/or Services on or be</t>
  </si>
  <si>
    <t xml:space="preserve"> Invitation to Apply for Eligibility and to Bid The barangay Bubual, San Pablo, Zamboanga del Sur, through its Bids &amp; Awards Committee (BAC) invite suppliers to apply and to bid for the hereunder project: Name of Project: Fuels for road graveling from boud</t>
  </si>
  <si>
    <t xml:space="preserve"> Item No.	Unit	Qty	Item Description 1	pcs	10	Hand Gloves 2	pcs	6	Concrete pail 3	bags	150	Portland Cement 4	m3	13	Washed Sand 5	m3	19	Washed Fine Gravel 6	lght	103	16mmØ deformed steel bars; GRADE 40 7	lght	290	10mmØ deformed steel bars; GR40 8	lght	34	12m</t>
  </si>
  <si>
    <t xml:space="preserve"> INVITATION TO BID Bid Reference No.  ____________ SUPPLY AND DELIVERY OF EQUIPMENTS FOR CRIMINOLOGY LABORATORY (IC) REBIDDING Approved Budget for the Contract (ABC):  Php 1,562,360.00 1.	The Municipal Government Unit of Initao, Misamis Oriental intends to</t>
  </si>
  <si>
    <t xml:space="preserve"> Invitation to Bid for SUPPLY AND DELIVERY OF OFFICE EQUIPMENT  FOR MUNICIPAL ENGINEERING OFFICE The Municipal Government of Looc, Romblon, through the AO-NO. 021-2020 Supplemental Appropriation1 intends to apply the sum of Ninety-Five Thousand Seven Hundr</t>
  </si>
  <si>
    <t xml:space="preserve"> Item No.	Unit	DESCRIPTION				Qty 						 1	Unit	Air Conditioner				1 		1.0 HP				 		Window Type				 		Inverter Type</t>
  </si>
  <si>
    <t xml:space="preserve"> Section I. Invitation to Bid INVITATION TO BID  DA8-Goods-2020-48 (PR No. SAAD 20-07-23-0237) 1.	The Department of Agriculture-Regional Field Office No. 8, through the SAAD 2020 intends to apply the sum of Sixteen Million One Hundred Sixty-Three Thousand </t>
  </si>
  <si>
    <t xml:space="preserve"> Section I. Invitation to Bid Republic of the Philippines Province of Sultan Kudarat Municipality of Bagumbayan OFFICE OF THE BIDS AND AWARDS COMMITTEE Bagumbayan, Sultan Kudarat INVITATION TO BID FOR THE PROCUREMENT OF VARIOUS CONSTRUCTION MATERIALS FOR T</t>
  </si>
  <si>
    <t xml:space="preserve"> Republic of the Philippines Province of Davao del Sur Municipality of Matanao BARANGAY KAUSWAGAN -oOo- INVITATION TO BID The Barangay Government Unit of Kauswagan, Matanao, Davao del Sur, through its Bids and Awards Committee (BAC), invites suppliers/dist</t>
  </si>
  <si>
    <t xml:space="preserve"> REQUEST FOR QUOTATION 	The Caraga State University-Cabadbaran Campus, through its Bids and Awards Committee (BAC), will undertake a Negotiated Procurement (Small Value Procurement) for the project: PROCUREMENT ON SUPPLY AND DELIVERY OF CSUCC APPLIANCES in</t>
  </si>
  <si>
    <t xml:space="preserve"> COMPUTER SET Specifications: -Form Factor: Mini Tower -Operating System: Windows 10 Professional 64bit -Processor: Intel Core i7 or i5 -Memory: 16GB DDR4, Four (4) Memory Slots; Upgrade uo to 64GB -Hard Disk Drive: a. 1TB sata3 7200RPM                    </t>
  </si>
  <si>
    <t xml:space="preserve"> One (1) Unit Laptop and One (1) Unit External Hard Drive</t>
  </si>
  <si>
    <t xml:space="preserve"> Diesel Fuel, XCS Plus, Oil and Lubricants      ltrs.</t>
  </si>
  <si>
    <t xml:space="preserve"> Republic of the Philippines AUTONOMOUS REGION IN MUSLIM MINDANAO Province  of  Lanao  del  Sur Municipality of Marantao REQUEST FOR QUOTATION  The Municipal Government of  Marantao through the Bids and Awards Committee (BAC) invites accredited  suppliers </t>
  </si>
  <si>
    <t xml:space="preserve"> REQUEST FOR QUOTATION 	The Caraga State University-Cabadbaran Campus, through its Bids and Awards Committee (BAC), will undertake a Negotiated Procurement (Small Value Procurement) for the project: PROCUREMENT ON SUPPLY AND DELIVERY OF YEARBOOK PRINTING i</t>
  </si>
  <si>
    <t xml:space="preserve"> NO. 	QTY	UNIT	AGENCY'S SPECIFICATIONS			 1	1	unit	Split Type Air Conditioner 2.5 HP 			 			Dual Cool with Dual Inverter			 			Including Installation &amp; Bracket			 			x-x-x-x(Nothing Follows)x-x-x-x			 The Total  Approved Budget of the Contract (ABC) is Php</t>
  </si>
  <si>
    <t xml:space="preserve"> Submission of RFQ = August 11, 2020, 9:00am at Municipal Hall, Casiguran, Sorsogon</t>
  </si>
  <si>
    <t xml:space="preserve"> ITEM	ITEM  DESCRIPTION	QTY	UNIT NO.			 1	Desktop Computer	1	set 	Specifications:		 	CPU-Core i5		 	Processor Model: Intel Core i5-8400		 	Processor Speed: i5-8400 2.8 ghz		 	CPU Cache:             9MB		 	CPU Model:            Intel UHD Graphics		 	NVIDIA </t>
  </si>
  <si>
    <t xml:space="preserve"> NAME OF PROJECT:	SUPPLY AND DELIVERY OF VARIOUS MEDICAL AND NON-MEDICAL BOOKS  APPROVED BUDGET   Three Hundred Seven Thousand One Hundred Fifty Pesos   (PhP307,150.00)</t>
  </si>
  <si>
    <t xml:space="preserve"> The Local Government Unit of Bula is inviting interested PhilGEPS accredited contractors/ suppliers to apply for eligibility and to submit complete bid for the SUPPLY AND DELIVERY OF INFORMATION TECHNOLOGY (I.T.) EQUIPMENTS, OFFICE EQUIPMENTS, FURNITURES </t>
  </si>
  <si>
    <t xml:space="preserve"> INVITATION TO BID The City Government of Ozamiz, through its Bids and Awards Committee (BAC), invites contractors registered with and classified by the Philippine Contractors Accreditation Board (PCAB) to apply for eligibility and to bid for the hereunder</t>
  </si>
  <si>
    <t xml:space="preserve"> FUEL</t>
  </si>
  <si>
    <t xml:space="preserve"> INVITATION TO BID SUPPLY, DELIVERY AND INSTALLATION OF COMMUNITY-BASED EARLY WARNING SIGNAGES 1.	The Local Government Unit of Cabadbaran City through the 5% DDRM FUND intends to apply the sum of FOUR HUNDRED TWELVE THOUSAND FIVE HUNDRED PESOS ONLY (P 412,</t>
  </si>
  <si>
    <t xml:space="preserve"> REQUEST FOR QUOTATION 	The Caraga State University-Cabadbaran Campus, through its Bids and Awards Committee (BAC), will undertake a Negotiated Procurement (Small Value Procurement) for the project: PROCUREMENT ON SUPPLY AND DELIVERY OF FURNITURE AND FIXTU</t>
  </si>
  <si>
    <t xml:space="preserve"> 500	Piece	CT-Scan injector Syringe, ABC 1,300.00/pc 115	Piece	Hand Sanitizer 1 liter, ABC 175.00/pc 12	Piece	Transeptic Cleansing Solution 250ml, ABC 400.00/pc 12	Piece	Ultrasound Gel 250ml, ABC 150.00/pc RFQ#08-0813</t>
  </si>
  <si>
    <t xml:space="preserve"> 10 sets Communication Equipment Frequency Coverage: 144-148 MHz (Tx) 136-174 MHz (Rx) No. of Channels: 207 Channels Type of Emissions: F2D, F3E Power supply: 7.5 V DC Frequency Stability: 2.5ppm Antenna Impedance:50 Transmitter:  Output Power: 7.0/5.5/2.5</t>
  </si>
  <si>
    <t xml:space="preserve"> Republic of the Philippines BARANGAY SABANG OFFICE OF THE PUNONG BARANGAY BIDS AND AWARDS COMMITTEE INVITATION TO BID The Barangay Government of BARANGAY SABANG through its Bids and Awards Committee (BAC), invites suppliers/manufacturers/distributors to b</t>
  </si>
  <si>
    <t xml:space="preserve"> Submission of RFQ = August 11, 2020, 9:00 am at Municipal Hall, Casiguran, Sorsogon</t>
  </si>
  <si>
    <t xml:space="preserve"> Please quote your lowest price on item/s listed in the line item and submit your quotation duly signed by your authorized representative through email at bac.secretariat@pnu.edu.ph not later than June 22, 2020 @ 4PM. Note: 1. Delivery period within fiftee</t>
  </si>
  <si>
    <t xml:space="preserve"> REQUEST FOR QUOTATION 	The Caraga State University-Cabadbaran Campus, through its Bids and Awards Committee (BAC), will undertake a Negotiated Procurement (Small Value Procurement) for the project: PROCUREMENT ON SUPPLY AND DELIVERY KITCHENWARE FOR CTHM L</t>
  </si>
  <si>
    <t xml:space="preserve"> The Municipality of Tanza, Cavite, through its Bids and Awards Committee (BAC), invites contractors registered with and classified by the Philippine Contractors Accreditation Board (PCAB) to apply for eligibility and if found eligible, to bid for the here</t>
  </si>
  <si>
    <t xml:space="preserve"> 1	bag	80	Pozzolan Cement 2	bag	25	Portland Cement 3	cu. m	11	Washed Sand 4	cu. m.	4	Washed Fine Gravel 5	pcs	130	10mm deformed bars x 6 mtrs 6	pcs	870	4” CHB 7	kg	10	Tie Wire 8	pcs	6	Ordinary Plywood ½” 9	kg	10	CWN #4 10	kg	10	CWN #3 11	kg	5	CWN #2 12	pcs</t>
  </si>
  <si>
    <t xml:space="preserve"> 1.  25 pcs Toner for heavy duty photocopier      (TK-7220) 2.  500 ream Bond Paper   ---------------Nothing Follows--------------- Purpose: in preparation for the production and reproduction of modules           for learning continuity plan End-User: DepE</t>
  </si>
  <si>
    <t xml:space="preserve"> ITEM     UNIT     QTY      DESCRIPTION</t>
  </si>
  <si>
    <t xml:space="preserve"> 2 UNITS DVR (8 Channels and 16 Channels) 2 UNITS 4TB 64MB SATA3 Hard Drive 2 UNITS 42” TV MONITOR 16 UNITS 5mp Bullet Camera 4 UNITS 2mp Bullet Camera 4 UNITS 2mp Indoor EXEBALL Camera 100 x 100 x 70mm Waterproof Box HDMI Cable (1.5m) BNC PLUG LEAD FREE R</t>
  </si>
  <si>
    <t xml:space="preserve"> SURVEILLANCE CAMERA</t>
  </si>
  <si>
    <t xml:space="preserve"> Hand Tractors with Tools and Accessories</t>
  </si>
  <si>
    <t xml:space="preserve"> 1. Oral Communication..............................................................5,278 units Pages: 58 2. Reading &amp; Writing..............................................................5,278 units Pages: 31 3. Komunikasyon at Pananaliksik sa Wika at Kul</t>
  </si>
  <si>
    <t xml:space="preserve"> REQUEST FOR QUOTATION 	The Caraga State University-Cabadbaran Campus, through its Bids and Awards Committee (BAC), will undertake a Negotiated Procurement (Small Value Procurement) for the project: PROCUREMENT ON SUPPLY AND DELIVERY OF MUSICAL INSTRUMENT </t>
  </si>
  <si>
    <t xml:space="preserve"> Construction of Water Pump and Gen. Set House Poblacion, Sta. Catalina, Ilocos Sur</t>
  </si>
  <si>
    <t xml:space="preserve"> 1.	The Provincial Government of Batanes, through the Provincial Appropriations Ordinance No. 03 series of 2019 intends to apply the sum of Seventy Thousand Pesos Only (₱ 70,000.00), being the Approved Budget for the Contract (ABC) to payments under the co</t>
  </si>
  <si>
    <t xml:space="preserve"> REQUEST FOR QUOTATION (In accordance with Section 53.9 of Revised-IRR of RA 9184) 	The Municipal Government of Paracale, Camarines Norte invited all legitimate contractors/suppliers to submit quotation for the hereunder list of Fuel/Diesel, Gasoline and L</t>
  </si>
  <si>
    <t xml:space="preserve"> Republic of the Philippines Province of Leyte Municipality of La Paz OFFICE OF THE BIDS AND AWARDS COMMITTEE INVITATION TO BID (ITB) – NO. : 2020 - 006 Procuring Entity : Municipality of La Paz, Leyte Title of Project : CONSTRUCTION OF LOCAL ACCESS ROAD (</t>
  </si>
  <si>
    <t xml:space="preserve"> Republic of the Philippines PROVINCE OF QUIRINO Cabarroguis -oOo- BIDS AND AWARDS COMMITTEE INVITATION TO BID FOR  Procurement of Digital Mobile X-Ray Machine  Contract No. PB-GS-2020-008 							August 5, 2020 1.	The Bids and Awards Committee (BAC) of the</t>
  </si>
  <si>
    <t xml:space="preserve"> Construction / Rehabilitation /  Improvement of 42 Units Street Light  along Loreta St., Balite St. and Melia  St. to include soil excavation, concrete works, welding works, electrical  works and painting works.</t>
  </si>
  <si>
    <t xml:space="preserve"> cement	3.00	bags 10mm dia. Deformed bars	8.00	pcs #16 G.I. wire	1.00	kgs Sand	0.50	cu. m Gravel	0.50	cu. m CWN Asst'd. size	8.00	kgs. Hardeflex (1/4 ")	40.00	pcs Tubular (2"x2")	25.00	pcs Blind Revits	2.00	box safety breaker (30A)	1	pc utility box	14	pcs </t>
  </si>
  <si>
    <t xml:space="preserve"> 3HP,1Phase,230 volts,60hz,Submersible Pump,complete w/ motor lead assembly. 1 set 2HP,230 VOLTS,60HZ,Submersible Pump,Complete w/ motor lead assembly. 1 set 1HP,230 volts,60hz,Submersible Pump,Complete w/ motor lead assembly. 2 sets 1.5HP,230 volts.60hz,S</t>
  </si>
  <si>
    <t xml:space="preserve"> Republic of the Philippines PROVINCE OF CAMARINES SUR BIDS AND AWARDS COMMITTEE ITB No. 047-08-2020 INVITATION TO BID  	The Provincial Government of Camarines Sur (PGCS) through its Bids and Awards Committee (BAC) invites suppliers/manufacturers/distribut</t>
  </si>
  <si>
    <t xml:space="preserve"> Digital Copy Printer: Monochrome Digital Duplicator</t>
  </si>
  <si>
    <t xml:space="preserve"> *Brushing/Clearing *Excavation *Removal of Slide</t>
  </si>
  <si>
    <t xml:space="preserve"> Water Pump Taro 2" with diesel engine Kobuta RK 70 diesel Engine and mounted on steel Frame housing 2" pipe fittings</t>
  </si>
  <si>
    <t xml:space="preserve"> ITEM       UNIT       QTY        DESCRIPTION</t>
  </si>
  <si>
    <t xml:space="preserve"> Republic of the Philippines Province of Davao de Oro MUNICIPALITY OF COMPOSTELA BIDS AND AWARDS COMMITTEE CP#: 0998-571-7569 INVITATION TO BID FOR  MUNICIPAL COUNTERPART FOR THE CONSTRUCTION OF ISOLATION UNITS FOR 16 BARANGAYS (Procurement of Hardware Mat</t>
  </si>
  <si>
    <t xml:space="preserve"> REQUEST FOR QUOTATION 	The Caraga State University-Cabadbaran Campus, through its Bids and Awards Committee (BAC), will undertake a Negotiated Procurement (Small Value Procurement) for the project: PROCUREMENT ON SUPPLY AND DELIVERY OF COMMON USE SUPPLIES</t>
  </si>
  <si>
    <t xml:space="preserve"> Specification: 93 bags Portland Cement; 7 cu.m. Washed Sand; 5 cu.m. Screened Gravel; 80 L 10mm x 6mm RSB; 3 pcs Hacksaw Blade; 120 bd.ft. 36 pcs.- 1x4x10 Coco Lumber; 34 bd.ft. 10 pcs.- 2x2x10 Coco Lumber; 4 kgs. #16 G.I. Tie Wire; 6 kgs. Assorted CW Nai</t>
  </si>
  <si>
    <t xml:space="preserve"> Republic of the Philippines Province of Leyte MUNICIPALITY OF TABANGO Invitation to Bid for Rehabilitation/Improvement of Freedom Park (Phase I) 	 Brgy. Poblacion, Tabango, Leyte 1.	The Local Government of Tabango, through the AIP 2020   intends to apply </t>
  </si>
  <si>
    <t xml:space="preserve"> Please see attached Invitation to Bid and Technical Specification</t>
  </si>
  <si>
    <t xml:space="preserve"> 10 UNIT KIDNEY BIOPSY GUN, BARD MAX CORE DISPOSABLE CORE BIOPSY INSTRUMENT  GAUGE - 18g; NEEDLE LENGTH - 16 cm; LENGTH OF SAMPLE NOTCH- 1.8cm; PENETRATION DEPTH 22 cm</t>
  </si>
  <si>
    <t xml:space="preserve"> Procurement of Printer with Scanner - Sangguniang Bayan Office 1. Printer with scanner -  1 unit Specifications: laser jet MFP M43NDA Print Speed: 23 PPM Built-in Internet Networking SOAN Speed: A4 up to 30jpm automatic duplex printing and copying</t>
  </si>
  <si>
    <t xml:space="preserve"> Printing Services for Learning Modules of Grade 7 to Grade 10</t>
  </si>
  <si>
    <t xml:space="preserve"> Purchase of Fertilizers</t>
  </si>
  <si>
    <t xml:space="preserve"> INVITATION TO BID SUPPLY AND DELIVERY OF FUEL (GASOLINE AND DIESEL) FOR VARIOUS OFFICES 1.	The Local Government Unit of Cabadbaran City through the GENERAL FUND intends to apply the sum of ONE HUNDRED FIFTY-TWO THOUSAND SEVEN HUNDRED FIFTY PESOS ONLY (P 1</t>
  </si>
  <si>
    <t xml:space="preserve"> Bid-Opening-August 27,2020 at 2:00 p.m. at Municipal Conference Room</t>
  </si>
  <si>
    <t xml:space="preserve"> 1.	Kinder                                …………………………………………………………………………….9,786 units Pages: 20  2.	Grade 1 Subject : English              …………………………………………………………………………….13,391 units Pages: 20 3.	Grade 1 Subject : Math                …………………………………………………………………</t>
  </si>
  <si>
    <t xml:space="preserve"> 1	1	set	Submersible Pump, 2HP, Model # 33 DS 20			 			Closed Coupled to a Franklin Submersible			 			Motor, 2 H.P. 230 V, Single Phase 3500 RPM			 			4" dia w/ Motor Control Box			 2	1	set	Motor Control Panel, Complete with the ff. accessories:			 			1 Ne</t>
  </si>
  <si>
    <t xml:space="preserve"> SCHOOL'S OFFICE SUPPLIES TO BE USED BY THE SCHOOL TEACHERS IN MAKING MODULES</t>
  </si>
  <si>
    <t xml:space="preserve"> Republic of the Philippines CITY OF TACURONG OFFICE OF THE CITY MAYOR INVITATION TO BID FOR CONSTRUCTION OF SANITARY LANDFILL (Contract ID No: 2020-CW-022) The City Government of Tacurong, through Trust Fund (5% DRRMF – Resolution No. 233 – 8th SP Series </t>
  </si>
  <si>
    <t xml:space="preserve"> INVITATION TO BID SUPPLY AND DELIVERY OF ONE (1) UNIT VAN TYPE MULTICAB (5 SEATERS) FOR PERSONS WITH DISABILITY AFFAIRS OFFICE 1.	The Local Government Unit of Cabadbaran City through the GENERAL FUND intends to apply the sum of FOUR HUNDRED THOUSAND PESOS</t>
  </si>
  <si>
    <t xml:space="preserve"> Printing and Publication: Advocacy T-Shirts (Color Red) Short Sleeve Short Sleeve S     -20 pcs M     -50 pcs L      -80 pcs XL    -30 pcs XXL  -20 pcs Specifications: (T-Shirt) *Text and Logo is Heat Press *DSWD logo Color white front/back *Cloth: Cotton</t>
  </si>
  <si>
    <t xml:space="preserve"> SOLAR LIGHTS SAND GRAVEL CEMENT BOULDERS PLYWOOD GI PIPE #3 WELDING ROD COMMON NAIL #2 COMMON NAIL #3 EPOXY PRIMER</t>
  </si>
  <si>
    <t xml:space="preserve"> Republic of the Philippines City of Cadiz Bids and Awards Committee BID FORM 							 Atty. Reggie C. Placido Chairman  Bids and Awards Committee Sir: 	 	After having carefully read and accepted the conditions in the Invitation to Bid, I/We quote you on th</t>
  </si>
  <si>
    <t xml:space="preserve"> Short/long/legal size printing</t>
  </si>
  <si>
    <t xml:space="preserve"> Includes all necessary items, materials, and labor for the  complete installation of the whole system but not limited to the ff: a. All other needed supplies and materials for the installation please see attached specifications  b. Mobilization/demobiliza</t>
  </si>
  <si>
    <t xml:space="preserve"> Fifteen Hose (2inches diam; 60m/roll)</t>
  </si>
  <si>
    <t xml:space="preserve"> Republic of the Philippines PROVINCE OF BUKIDNON Municipality of Sumilao INVITATION TO BID  ITB NO. CW-2020-10 REHABILITATION OF BARANGAY ROADS AT SUMILAO AREA 2020 1.	The Local Government Unit of Sumilao, through its Bds Awards Committee (BAC) invites co</t>
  </si>
  <si>
    <t xml:space="preserve"> The Government of the Philippines (GOP) has received a loan from World Bank towards the cost of Philippine Rural Development Project, and it intends to apply part of the proceeds of this Loan to payments for the procurement of  Food, Venue and Accommodati</t>
  </si>
  <si>
    <t xml:space="preserve"> 1. 5 Unit Heavy Duty Photocopier Specifications:  *Digital Copier with Network Printing, Color Scanning &amp; Up gradable with an Optional Network Fax *HyPAS solution platform technology enabled  *Copy and Print speed of 40 copies per minute, A4 *9 - inch Col</t>
  </si>
  <si>
    <t xml:space="preserve"> Republic of the Philippines CITY OF TACURONG OFFICE OF THE CITY MAYOR INVITATION TO BID FOR PROGRESSIVE CONSTRUCTION OF MULTI-PURPOSE BUILDING (Contract ID No: 2020-CW-023) The City Government of Tacurong, through Continuing 2019 CMO – Property, Plant &amp; E</t>
  </si>
  <si>
    <t xml:space="preserve"> Q widening 1.50 x 55.00 Q p slope   15.5 x   1.65</t>
  </si>
  <si>
    <t xml:space="preserve"> 120       PCS         Rapid Diagnostic Test Kit        999.00         199,880.00                                                                                 Total: 199,880.00</t>
  </si>
  <si>
    <t xml:space="preserve"> Republic of the Philippines Municipality of Tabuelan Invitation to Bid  The Philippine Government Electronic Procurement System Office – Procurement Service invites PhilGEPS registered suppliers to bid for the hereunder items Attached: Description: 100 Un</t>
  </si>
  <si>
    <t xml:space="preserve"> Please download ITB in the Associated Components</t>
  </si>
  <si>
    <t xml:space="preserve"> L=72m, W=4.m, T=0.15m, Using Class"A" Concrete Mixture</t>
  </si>
  <si>
    <t xml:space="preserve"> Chariot Motorcycle 175 CC</t>
  </si>
  <si>
    <t xml:space="preserve"> INVITATION TO BID FOR THE PURCHASE OF PHOTOCOPY MACHINE FOR TANAUAN SCHOOL OF ARTS AND TRADE (TSAT); TO WIT: PLEASE SEE ATTACHED SPECIFICATIONS: 1. The Local Government Unit of Tanauan, Leyte through General Fund intends to apply the sum of ONE HUNDRED TH</t>
  </si>
  <si>
    <t xml:space="preserve"> The Bids &amp; Awards Committee (BAC) of Barangay Mandilikit, Argao, Cebu, invites all interested suppliers/manufacturers/distributors/contractors/consultants to apply for eligibility and to submit bids for the following: DIRECT COST: I. SITE WORKS:   I.1. BA</t>
  </si>
  <si>
    <t xml:space="preserve"> Republic of the Philippines PROVINCE OF QUIRINO Cabarroguis -oOo- BIDS AND AWARDS COMMITTEE INVITATION TO BID FOR  Procurement of One (1) Unit X-Ray Tube Assembly and One (1) Unit High Voltage Tank for CT Scan  Compatible with GE Brightspeed Select Edge C</t>
  </si>
  <si>
    <t xml:space="preserve"> REPUBLIC OF THE PHILIPPINES				 PROVINCE OF BOHOL				 MUNICIPALITY OF PANGLAO				 BARANGAY LOOC				 				 ABSTRACT OF BID				 				 ____________________________				 ____________________________				 ____________________________				 				  Sealed proposals,pla</t>
  </si>
  <si>
    <t xml:space="preserve"> OFFICE: MUNICIPAL HEALTH OFFICE PURPOSE: TB PROGRAM/ SENIOR CITIZEN ABC: 193,000.00 ITEM DESCRIPTION 200 BOX VIT B COMPLEX 200 BOX MULTIVITAMINS + MINERALS 500MG CAPSULE 100 BOX ASCORBIC ACID 500MG TABLET</t>
  </si>
  <si>
    <t xml:space="preserve"> Item No. Description Quantity Units 1.Supply &amp; Installation of 5100 Fixed Volleyball post on concrete coring - 1 set. with a.2 pcs-volleyball post sleeve b.1 pc-volleyball net c.1 pc-umpire chair d.1 pc-antenna e.2 pc-post padding color blue</t>
  </si>
  <si>
    <t xml:space="preserve"> Republic of the Philippines Office of the Punong Barangay BIDS AND AWARDS COMMITTEE Mambug, Burgos, Ilocos Sur INVITATION TO BID The Barangay Government of Mambug, Burgos, Ilocos Sur, through its Bids and Awards Committee (BAC) invites bids for the hereun</t>
  </si>
  <si>
    <t xml:space="preserve"> Request for Quotation for the Procurement of Agricultural Supplies to be used for the Management and Control of Fall Armyworm (FAW) Infestation 1.	The Department of Agriculture-Regional Field Office 7 (DA-RFO 7), through the General Appropriations Act of </t>
  </si>
  <si>
    <t xml:space="preserve"> VARIOUS CONSTRUCTION MATERIALS AND SUPPLIES (ATTACHED REQUEST FOR QUOTATION)</t>
  </si>
  <si>
    <t xml:space="preserve"> Republic of the Philippines BARANGAY PANGAO OFFICE OF THE PUNONG BARANGAY BIDS AND AWARDS COMMITTEE INVITATION TO BID The Barangay Government of BARANGAY PANGAO through its Bids and Awards Committee (BAC), invites suppliers/manufacturers/distributors to b</t>
  </si>
  <si>
    <t xml:space="preserve"> Qb.outpost   1.2 x2.00    2.40 m2</t>
  </si>
  <si>
    <t xml:space="preserve"> OFFFICE: MUNICIPAL HEALTH OFFICE PURPOSE: FOR RHU OUTPATIENT AND HEALTH CARAVAN ABC: 299,550.00 ITEM DESCRIPTION 300 BOT LAGUNDI SUSP 60ML 100 BOX LAGUNDI 300MG TAB 300 BOT AMOXICILLIN 250MG SUSPENSION 100 BOT COTRIMOXAZOLE SUSPENSION 300 BOT ASCORBIC ACI</t>
  </si>
  <si>
    <t xml:space="preserve"> Stock No.	Item Description	QTY. 	Unit 1	Tarpaulin ( 5ft x 8ft = 40x35 per sq.foot= 1,400.00)	2	Pcs. 	Color: Brown Green, Yellow, Red		 	Orange, Black, White		 for CIEPO			 			 1	Banderitas	20	packs 	kind of Banderitas: Plastic Triangle		 	Size: 8 inches x</t>
  </si>
  <si>
    <t xml:space="preserve"> VARIOUS MUSICAL INSTRUMENTS (ATTACHED REQUEST FOR QUOTATION)</t>
  </si>
  <si>
    <t xml:space="preserve"> INVITATION TO BID FOR THE  SUPPLY &amp; DELIVERY OF TEXTBOOKS &amp; INSTRUCTIONAL MATERIALS  Reference No 7153137 1.	The Philippine Science High School – Cagayan Valley Campus, through the NEP / General Appropriation Act of 2020 intends to apply the sum of One Mi</t>
  </si>
  <si>
    <t xml:space="preserve"> INVITATION TO BID SUPPLY AND DELIVERY OF CONSTRUCTION SUPPLIES AND MATERIALS FOR ENVIRONMENTAL HEALTH AND SANITATION PROGRAM 1.	The Local Government Unit of Cabadbaran City through the GENERAL FUND intends to apply the sum of NINE HUNDRED NINETY-TWO THOUS</t>
  </si>
  <si>
    <t xml:space="preserve"> Installation of 2 Units Contamination Chamber, Waiting Area &amp; Concrete Stairs</t>
  </si>
  <si>
    <t xml:space="preserve"> INVITATION TO BID FOR THE PURCHASE OF AUTO SUPPLIES FOR THE REGULAR MAINTENANCE OF 17 MPVs; TO WIT: PLEASE SEE ATTACHED SPECIFICATIONS: 1. The Local Government Unit of Tanauan, Leyte through General Fund intends to apply the sum of ONE HUNDRED SEVENTY SIX</t>
  </si>
  <si>
    <t xml:space="preserve"> INVITATION TO BID SUPPLY AND DELIVERY OF 223 VERO CELL VIALS FOR THE CITY HEALTH OFFICE 1.	The Local Government Unit of Cabadbaran City through the GENERAL FUND intends to apply the sum of TWO HUNDRED TWENTY-NINE THOUSAND SIX HUNDRED NINETY PESOS ONLY (P </t>
  </si>
  <si>
    <t xml:space="preserve"> INVITATION TO BID Project Name:	Construction of Material Recovery Facility (15 units) Name of Bidder:	 Address :	 ITB Number:	Dawan - 02-20 ABC	P 69,915.00 Please quote your lowest price on the item/s listed below, stating the shortest time of delivery an</t>
  </si>
  <si>
    <t xml:space="preserve"> 8 units Fabrication of Triple Portable Stainless Sink with Stand and Roofing with Foot Bath Pedal Valve for both Water and Soap; Dimension is 200cm x 43cm x 210cm Including installation to the following schools: 2 units to Hagonoy National High School 2 u</t>
  </si>
  <si>
    <t xml:space="preserve"> Republic of the Philippines Province of Bukidnon MUNICIPALITY OF PANGANTUCAN TIN 099-000-631-170 OFFICE OF THE MUNICIPAL MAYOR Bids and Awards Committee (BAC) Cell # 09261024636  Email us: munpangantucanbukidnon@yahoo.com  or visit www.philgeps.net REQUES</t>
  </si>
  <si>
    <t xml:space="preserve"> Republic of the Philippines										 Province of Misamis Oriental										 CITY OF EL SALVADOR										 										 REQUEST FOR QUOTATION										 										 								No.	2020-07-856	 										 										 										 										 	Please quote your price </t>
  </si>
  <si>
    <t xml:space="preserve"> Q welcome arc  17.20 x 0.80    13.76 m2</t>
  </si>
  <si>
    <t xml:space="preserve"> INVITATION TO BID SUPPLY AND DELIVERY OF 55 SACKS WELL - MILLED RICE (50KG) FOR NATIONAL TUBERCULOSIS CONTROL PROGRAM 1.	The Local Government Unit of Cabadbaran City through the GENERAL FUND intends to apply the sum of ONE HUNDRED FIFTEEN THOUSAND FIVE HU</t>
  </si>
  <si>
    <t xml:space="preserve"> L=50m, w=4m,t=0.15m for pavement; h=.30m,h2=.4m,h4=1m,L=50m for ripraping</t>
  </si>
  <si>
    <t xml:space="preserve"> PLEASE SEE ATTACHED FILES FOR YOUR REFERENCE.</t>
  </si>
  <si>
    <t xml:space="preserve"> 300 pcs Flu vaccine</t>
  </si>
  <si>
    <t xml:space="preserve"> Invitation to Bid The Liminangcong National High School through its Bids and Awards Committee invites PhilGEPS registered suppliers to apply to bid for The purchase of various office and school supplies. Delivery of items is required 5 days upon the recei</t>
  </si>
  <si>
    <t xml:space="preserve"> Various Other Supplies &amp; Materials</t>
  </si>
  <si>
    <t xml:space="preserve"> BId-Opening-August 27,2020 at 2:00 p.m. at Municipal Conference Room</t>
  </si>
  <si>
    <t xml:space="preserve"> Section I. Invitation to Bid FOR THE UPLB-S-050-08-20  SUPPLY AND DELIVERY OF BOOKS FOR UNIVERSITY LIBRARY 1.	The UNIVERSITY OF THE PHILIPPINES LOS BAÑOS (UPLB), through the GOP intends to apply the sum of NINE HUNDRED EIGHTEEN THOUSAND SIX HUNDRED TWENTY</t>
  </si>
  <si>
    <t xml:space="preserve"> 1,300 PIECE	PLASTIC EXPANDING ENVELOPE LEGAL, CLEAR, WITH HANDLE PUSH LOCK							 3 PACK	        COLORED PAPER, LEGAL ( 8 1/2" X 13"), ASSORTED COLORS,  80G SM, 250 SHEETS/PACK							 20 PIECE	        PACAKGAING TAPE, TAN, 48 MM x 80M							 100 PIECE	   </t>
  </si>
  <si>
    <t xml:space="preserve"> REQUEST FOR QUOTATION 								Date: 		07/27/2020 								RFQ No.: 	20-69 Name of Business: 		_____________________________________________________ Address: 			_____________________________________________________ Name of Store:		__________________________</t>
  </si>
  <si>
    <t xml:space="preserve"> sound System Swivel Chairs Water Dispenser (BIG) Rechargeable Trolley Speaker Camera - digital Single-lens reflex camera Executive Table top glass Clerical Table with Top Glass Office Table Executive Chair Stand Fan LCD Projector (portable Tripod 80 inch </t>
  </si>
  <si>
    <t xml:space="preserve"> Issuance of Bid Documents Starts: August 5, 2020 Cost of Bid Document: Php 4,500.00 Venue of Dropping and Opening Bids: BAC Conference Room, Leyte SMED Center, Provincial Capitol Grounds, Tacloban City</t>
  </si>
  <si>
    <t xml:space="preserve"> details at the engineering office</t>
  </si>
  <si>
    <t xml:space="preserve"> 143 bags portland cement 12 cu.m washed sand 24 cu.m gravel 100 pcs. 10mm x 6m RSB 50 kg G.I. tie wire 20 kg assorted CW nails 1/2" x 4' x 8' ordinary plywood 15 pcs. 1/2" x 3" x 10' coco lumber</t>
  </si>
  <si>
    <t xml:space="preserve"> Repair/Maintenance of DPWH Building</t>
  </si>
  <si>
    <t xml:space="preserve"> Construction Materials 			 		I. Construction Materials / Hand Tools					 1		Sand			cu.m	100 	 2		Cement			bags	203 	 3		DSB 10mm			kgs.	800 	 4		DSB 12mm			kgs.	800 	 5		DSB 16mm			kgs.	800 	 6		CHB ordinary (100mmx230mmx406mm)			pcs.	400 	 7		Welding Rod</t>
  </si>
  <si>
    <t xml:space="preserve"> Instructional materials</t>
  </si>
  <si>
    <t xml:space="preserve"> 58.25 SQ.M PLASTERING OF WINDOW JAMB, INSTALLATION OF CEILING, FLOOR TILES, PAINTING WORKS</t>
  </si>
  <si>
    <t xml:space="preserve"> Purchase of Constructions Materials</t>
  </si>
  <si>
    <t xml:space="preserve"> Republic of the Philippines Province of Oriental Mindoro MUNICIPALITY OF SAN TEODORO INVITATION TO BID FOR THE  CONSTRUCTION OF PUBLIC MARKET No. 2020-15 August 4, 2020 1.	The Municipality of San Teodoro intends to apply the sum of Fifteen Million Five Hu</t>
  </si>
  <si>
    <t xml:space="preserve"> CONCRETING : LENGTH 51 + 72 = 123 meters  BREAKDOWN OF EXPENDITURES :  I.    MATERIALS     -    P  63,845.00 II.   LABOR            -       21,150.00       TOTAL             -   _____________                                 P  84,995.00                   </t>
  </si>
  <si>
    <t xml:space="preserve"> SPECIFICATIONS: *Motherboard (H310M-DS2) *DDR4 8GB (HYPER-X) *HDD 1TB (WD) *VIDEOCARD 2GB (GIGABYTE GT1030 2GB DDR5) *PROCESSOR i5 (intel-core i5 9th Gen) *MONITOR AOC 21.5'' (FRAMELESS) *KEYBOARD PS2 *MOUSE USB *MOUSE PAD *CSV HEADSET *AVR *CASING  *POWE</t>
  </si>
  <si>
    <t xml:space="preserve"> 1.   The Barangay Council of Libertad, Nabas, Aklan through its local budget approved by the Sanggunian, intends to apply the sum of One Hundred Ten Thousand Pesos and 00/100 only (P 110,000.00), being the Approved Budget for the Contract (ABC) to payment</t>
  </si>
  <si>
    <t xml:space="preserve"> Invitation to Bid for the Construction of Integrated Bus &amp; Jeepney Terminal  1.	The Local Government Unit of Sapang Dalaga Bids and Awards Committee (BAC), funded from theDBP Loan, intends to apply the sum of P41,998,557.00.00 being the Approved Budget fo</t>
  </si>
  <si>
    <t xml:space="preserve"> Republic of the Philippines Province of Leyte Municipality of Hilongos BARANGAY PA-A REQUEST FOR QUOTATION _____________ Date  _______________________ _______________________  ______________________                                Please quote your lowest </t>
  </si>
  <si>
    <t xml:space="preserve"> CAGAYAN DE ORO CITY 1ST DISTRICT ENGINEERING OFFICE REGIONAL OFFICE X 	10th RES Compound, Bulua, Cagayan de Oro City 	 INVITATION TO BID The Department of Public Works and Highways – Cagayan de Oro City 1st District Engineering Office, through its Bids an</t>
  </si>
  <si>
    <t xml:space="preserve"> ITEMS: 32 UNITS PORTABLE TWO WAY RADIO (UV85+ with battery pack, antenna, charger &amp; battery clip)</t>
  </si>
  <si>
    <t xml:space="preserve"> Republic of the Philippines PROVINCE OF BOHOL Municipality of Dagohoy INVITATION TO BID FOR THE PURCHASE OF MEDICINE FOR THE RURAL HEALTH UNIT OF LGU-DAGOHOY 1.	The Local Government Unit of Dagohoy, Bohol intends to apply the sum of Three Hundred Fourteen</t>
  </si>
  <si>
    <t xml:space="preserve"> Item 302 (SSI) Bituminous Tack Coat (Rapid Curing)</t>
  </si>
  <si>
    <t xml:space="preserve"> Republic of the Philippines Province of Cavite CITY OF IMUS ooOoo BIDS AND AWARDS COMMITTEE ________________________________________ INVITATION TO BID The City Government of Imus, Province of Cavite through its Bid and Awards Committee (BAC) invites bidde</t>
  </si>
  <si>
    <t xml:space="preserve"> PLEASE SEE ATTACHED RPQ</t>
  </si>
  <si>
    <t xml:space="preserve"> 10	pcs	Plywood Marine 1/4" x 4' x 8'					 15	pcs	Plywood Marine 1/2" x 4' x 8'					 40	pcs	1  1/4" x 6m G.I. pipe					 12	1 liter	Colorant (tinting color) latex					 3	pcs	Pull Push Rule, 5 meters					 3	set	Screw Driver					 4	set	Flat Driver					 25	pai</t>
  </si>
  <si>
    <t xml:space="preserve"> Issuance of Bid Documents Starts: August 5, 2020 Cost of Bid Document: Php 3,500.00 Venue of Dropping and Opening Bids: BAC Conference Room, Leyte SMED Center, Provincial Capitol Grounds, Tacloban City</t>
  </si>
  <si>
    <t xml:space="preserve"> Over the Counter Medicine and Other supplies</t>
  </si>
  <si>
    <t xml:space="preserve"> Invitation to Bid for SUPPLY AND DELIVERY OF OFFICE EQUIPMENT  FOR MUNICIPAL SOCIAL WELFARE AND DEVELOPMENT OFFICE The Municipal Government of Looc, Romblon, through the AO-NO. 021-2020 Supplemental Appropriation1 intends to apply the sum of One Hundred T</t>
  </si>
  <si>
    <t xml:space="preserve"> RFQ-2020-231		 			 1.	2	cpy	A concicse guide infood &amp; beverage service procedures 2nd ed. Cornell, c2015 2.	1	cpy	A macro perspective on tourism and hospitality Lim c2019 3.	3	cpy	Administrative Office Management Flores c2019 4.	1	cpy	Advanced accounting </t>
  </si>
  <si>
    <t xml:space="preserve"> INVITATION TO APPLY FOR ELIGIBILITY AND TO BID Bid Ref. No 20200804-31 The ILOILO STATE COLLEGE OF FISHERIES MAIN TIWI CAMPUS, through its Bids and Awards Committee (BAC), invites eligible Bidders to apply for eligibility and to bid for the following proj</t>
  </si>
  <si>
    <t xml:space="preserve"> Improvement of pathway w/ Railings at Canubas, Camp 4 - Php 49,000.00 Construction of railings along Pathway at Hydro 1, Camp 6 - Php 45,000.00 Improvement of Water System at Goldstream, Camp 4 - Php 49,000.00 De-silting along Bued River, Gusaran, Camp 6-</t>
  </si>
  <si>
    <t xml:space="preserve"> Asphalt Cold Mix 					 1		Asphalt Cold Mix			126 	pails	 		-x-x-x-x-x-x-x-x-x-x-x-x-x-x</t>
  </si>
  <si>
    <t xml:space="preserve"> Construction of Box Culvert</t>
  </si>
  <si>
    <t xml:space="preserve"> Asphalt Sealant (60/70)</t>
  </si>
  <si>
    <t xml:space="preserve"> Republic of the Philippines Province of Davao de Oro Municipality of Monkayo -o0o- INVITATION TO BID FOR THE PROCUREMENT OF FUEL FOR MAYOR’S OFFICE USE  The Municipality of Monkayo, through the GENERAL FUND intends to apply the sum of ONE HUNDRED FORTY TH</t>
  </si>
  <si>
    <t xml:space="preserve"> Republic of the Philippines PROVINCE OF BOHOL  Municipality of Pres. Carlos P. Garcia Tel. No. 519-2010 INVITATION TO APPLY FOR ELIGIBILITY AND TO BID The LGU-Pres. C. P. Garcia, through its Bids and Awards Committee (BAC), invites suppliers/manufacturers</t>
  </si>
  <si>
    <t xml:space="preserve"> OFFICE: MUNICIPAL HEALTH OFFICE PURPOSE: REPAIR AND MAINTENANCE OF AMBULANCE ABC: 111,650.00 ITEM DESCRIPTION 1 PC CONDENSER ASSAY 1 PC HEADLIGHT ASSY LH 1 PC BUMPER BRACKET LH 1 PC BUMPER BRACKET RH 1 PC TURBO INTERCOOLER</t>
  </si>
  <si>
    <t xml:space="preserve"> Republic of the Philippines Province of Davao de Oro Municipality of Monkayo -o0o- INVITATION TO BID FOR THE PROCUREMENT OF FOOD SUPPLIES FOR PROVISION OF FOOD ASSISTANCE TO INDIGENT FAMILY  The Municipality of Monkayo, through the GENERAL FUND intends to</t>
  </si>
  <si>
    <t xml:space="preserve"> see attached document xxxxxxxxxxxxxxxxx</t>
  </si>
  <si>
    <t xml:space="preserve"> Issuance of Bid Documents Starts: August 5, 2020 Cost of Bid Document: Php 4,000.00 Venue of Dropping and Opening Bids: BAC Conference Room, Leyte SMED Center, Provincial Capitol Grounds, Tacloban City</t>
  </si>
  <si>
    <t xml:space="preserve"> PLEASE REFER ATTACHEMENT</t>
  </si>
  <si>
    <t xml:space="preserve"> In celebration of the youth week, the SK Council will conduct a series of activities intended for the youth to develop their inter-personal skills, discover new interest and invest more time on recreational activities instead of doing vices. This is also </t>
  </si>
  <si>
    <t xml:space="preserve"> as per file attached.</t>
  </si>
  <si>
    <t xml:space="preserve"> ITEM OF WORK	   DESCRIPTION	Approved                                                                              Budget For The                                                                                                                               </t>
  </si>
  <si>
    <t xml:space="preserve"> 1. Printer Heavy Duty    -12pcs Specification: Print, Scan and Copy Function Boarderless Printing (4R Photos) Print Speeds of up to 33ppm Very Small Footprint High Page yield of 4500 (Black) and (colour) ****nothing follows****</t>
  </si>
  <si>
    <t xml:space="preserve"> Bicol Medical Center Concepcion Pequeña, Naga City, 4400 (0998-247-0239/0906-256-9238          E-mail Address: bmc.bacoffice@gmail.com INIVITATION TO BID PROCUREMENT OF HOUSEKEEPING SUPPLIES ITB No. 2020-29 1.	The BICOL MEDICAL CENTER, through SA-CO QRF i</t>
  </si>
  <si>
    <t xml:space="preserve"> Temperature Disinfection Kiosk and  		 Personal Protective Equipment 	 			I. Purchase, Delivery &amp; Installation of Temperature Disinfection Kiosk					 1		Temperature Disinfection Kiosk			2 	pcs.	 							 		II. Purchase of Personal Protective Equipment					</t>
  </si>
  <si>
    <t xml:space="preserve"> HP Toner 		 1		HP Toner LaserJet CF410A, Black			40 	cart.		 2		HP Toner LaserJet CF411A, Cyan			15 	cart.		 3		HP Toner LaserJet CF412A, Yellow			15 	cart.		 4		HP Toner LaserJet CF413A, Magenta			15 	cart.		 		-x-x-x-x-x-x-x-x-x-x-x-x-x-x-x</t>
  </si>
  <si>
    <t xml:space="preserve"> ITEM OF WORK	 NO.	         DESCRIPTION	                                                           Approved Budget For The Contract (ABC) A.1.1(3)	Field Office For The Engineer	                                                    11,623,000.00 B.5	Project B</t>
  </si>
  <si>
    <t xml:space="preserve"> Periodicals and multimedia</t>
  </si>
  <si>
    <t xml:space="preserve"> Republic of the Philippines Province of Davao del Sur Municipality of Matanao BARANGAY SAN MIGUEL -oOo- INVITATION TO BID The Barangay Government Unit of San Miguel, Matanao, Davao del Sur, through its Bids and Awards Committee (BAC), invites suppliers/ d</t>
  </si>
  <si>
    <t xml:space="preserve"> Issuance of Bid Documents Starts: August 5, 2020 Cost of Bid Document: Php 3,000.00 Venue of Dropping and Opening Bids: BAC Conference Room, Leyte SMED Center, Provincial Capitol Grounds, Tacloban City</t>
  </si>
  <si>
    <t xml:space="preserve"> Asphalt Sealant (60/70) for Bridges 								 1		Asphalt Sealant (60/70)			6 	drums			 		-x-x-x-x-x-x-x-x-x-x-x-x-x-x</t>
  </si>
  <si>
    <t xml:space="preserve"> Equipment / Equipment Accessories and Services 						 		For use of Wheel Loader (L2-1493)							 1		Hydraulic Hose			4 	pcs.			 2		Broom Cylinder Kit			2 	set			 3		Air Cleaner Inner/Outer			1 	assy			 4		Hydraulic Filter			1 	pc.			 5		Air Filter			1 	pc</t>
  </si>
  <si>
    <t xml:space="preserve"> 1. 3 units Laptop windows 10 HimeSL  Intel Core i3-70 20U  14" HD Acer Comfyview LCD  Intel HD Graphics  4 GB DRR4 Memory  48wh Li-on Battery 2. 4 units Voice Recorders  Stereo IC Recorder 4GB  Built - in UB Connector to transfer files  S-microphones syst</t>
  </si>
  <si>
    <t xml:space="preserve"> 1- Accommodation and Catering Services 2 meetings in a month for 5 months from August - December (meeting will be first week and last week of the month)	-29 pax 	 Specifications:	 Meals: 1 meal	 *Lunch: Rice, viands with soup, fresh fruits and juice drink</t>
  </si>
  <si>
    <t xml:space="preserve"> Republic of the Philippines Province of Pangasinan MUNICIPALITY OF LINGAYEN Invitation to Bid    1. The Municipality of Lingayen, through the General Fund-Capital Outlay       intends to apply the amount of   Six Hundred Seventy Thousand  Pesos Only (P670</t>
  </si>
  <si>
    <t xml:space="preserve"> Construction of Sanitary toilet facilities &amp; water facilities</t>
  </si>
  <si>
    <t xml:space="preserve"> Republic of the Philippines CITY OF BAIS BIDS AND AWARDS COMMITTEE NOTICE FOR NEGOTIATED PROCUREMENT (53.9) (SMALL VALUE PROCUREMENT) 	The City Government of Bais invites interested suppliers to apply for small value procurement for the supply and deliver</t>
  </si>
  <si>
    <t xml:space="preserve"> OFFICE: PHILIPPINE NATIONAL POLICE PURPOSE: TO BE USED BY PERSONNEL OF PNP STATION TO IMPROVE WORK FORCE EFFICIENCY ABC: 83,580.00 ITEM DESCRIPTION 1 PC OIL FILTER 7 LTRS ENGINE OIL ZIC 15W40 275.52 1 PC AIR FILTER 1 SET FUEL FILTER 1 PC BRAKE CLEANER 1 P</t>
  </si>
  <si>
    <t xml:space="preserve"> Procurement of ITEM 201 for Barangay Cablong, Sta. Barbara, Pangasinan: 94 Cu.m. Item 201</t>
  </si>
  <si>
    <t xml:space="preserve"> Printing Services and Delivery of Modules 1. The Department of Education/Corrales Elementary school, through the General Appropriations Act intends to apply the sum of Two hundred forty seven thousand nine hundred ninety four pesos (Php247,994.00) being t</t>
  </si>
  <si>
    <t xml:space="preserve"> Republic of the Philippines PROVINCE OF NORTHERN SAMAR BIDS AND AWARDS COMMITTEE Catarman Purchase of Medical and Laboratory Supplies for the Northern Samar Provincial Hospital Barangay Acacia Catarman, Northern Samar NS-08-05-20-01 1.	The Provincial Gove</t>
  </si>
  <si>
    <t xml:space="preserve"> Extension of KALAHI building   3.00 x 6.00    18.00 m2</t>
  </si>
  <si>
    <t xml:space="preserve"> Common Electrical Supplies, Office Supplies, Office Equipment, Cleaning/ Janitorial Supplies and Computer Consumable (By Lot).</t>
  </si>
  <si>
    <t xml:space="preserve"> IT Equipments - eNGAS / eBudget Server and File Storage								 		Tower Type Server for eNGAS and eBudget						 1		8 core, 2.1 Ghz Two (2) 1.2 TB (2x1.2TB) 12SAS RPM SFF Hard Drive			1			 		Hot swapple 12GBs SAS (RAID 0/1) Multi-Burner DVD +/- RW same				</t>
  </si>
  <si>
    <t xml:space="preserve"> Sub-grade Preparation, Aggregate Base Course  &amp; PCCP</t>
  </si>
  <si>
    <t xml:space="preserve"> OTHER SUPPLIES JHS FOR SCHOOL AND STUDENTS USE</t>
  </si>
  <si>
    <t xml:space="preserve"> This is an event that will include to recognize outstanding youth in the barangay who made significant contributions in their particular fields that valued existing and potential contributions made by the youth to the over-all well being and diversity as </t>
  </si>
  <si>
    <t xml:space="preserve"> The Barangay Government of Barangay Pantay Bata, Tanauan City, Batangas through the Bids and Awards Committee (BAC) invites Suppliers/Contractors to apply for eligibility and if subsequently found eligible, to bid for the projects described hereunder, viz</t>
  </si>
  <si>
    <t xml:space="preserve"> Epson Ink T6641 Black																													 Epson Ink T6642 Yellow																													 Epson Ink T6643 Magenta																													 Epson Ink T6644 Cyan																													 DCP-TW00W-BT6000BK																													 D</t>
  </si>
  <si>
    <t xml:space="preserve"> Construction of Multipurpose Drying Pavement</t>
  </si>
  <si>
    <t xml:space="preserve"> Please see attached ITB. ABC: 60,980.00</t>
  </si>
  <si>
    <t xml:space="preserve"> Supply and delivery of construction materials for the Construction of Footbridge.</t>
  </si>
  <si>
    <t xml:space="preserve"> Republic of the Philippines PROVINCE OF QUIRINO Cabarroguis -oOo- BIDS AND AWARDS COMMITTEE INVITATION TO BID FOR  Procurement of Various Medical Supplies for COVID-19 Prevention Contract No. PB-GS-2020-009 							August 5, 2020 1.	The Bids and Awards Com</t>
  </si>
  <si>
    <t xml:space="preserve"> 1. 2 Unit Ceiling Fn 16", plastic blade 2. 74 pcs Monoblock Chair with Backrest without armrest *nothing follows* Purpose: Aid to Barangays End - user: SPM Lyra Gel L. Limbauan</t>
  </si>
  <si>
    <t xml:space="preserve"> various medicines</t>
  </si>
  <si>
    <t xml:space="preserve"> Please quote your lowest price on the item(s)  listed below, subject to the Terms and Condition Stated below and submit your quotation duly signed by your representative not later than 2:30 P.M. of  August 12, 2020, at the return envelope attached herewit</t>
  </si>
  <si>
    <t xml:space="preserve"> 2 units Dosing Pump, ( Blue-White) Model: C-630P-230 VAC    2  pcs. Gear Box Assembly, (Blue-White Parts) Model: C-630P-230 VAC    2  pcs. Dosing Pump Parts, Diaphragm ( Vintage Control) Model: G145X2-KFC1Q</t>
  </si>
  <si>
    <t xml:space="preserve"> Item No.	Description	Unit	Quantity 1	Steel Locker 15 Opening 72” Height x 36” Width x 18” D 15 Doors, 13.2” Height x 10.5” Width per Opening	Unit	2 2	Executive Office Table with Central Locking 121W x 60D x 76H cm	Unit	3 3	Office Chair Ergamic desk chair </t>
  </si>
  <si>
    <t xml:space="preserve"> Republic of the Philippines Province of Guimaras Municipality of Sibunag INVITATION TO BID FOR  Bid No. 2020-031, Duplicator Machine The Municipality of Sibunag through the  MSB Resolution No. 02-20 SEF (Support to Modular Instruction for the Delivery of </t>
  </si>
  <si>
    <t xml:space="preserve"> EXPANDING ENVELOPE LONG GREEN, PLASTIC WITH HANDLE EXPANDING ENVELOPE LONG YELLOW, PLASTIC WITH HANDLE EXPANDING ENVELOPE LONG BLUE, PLASTIC WITH HANDLE EXPANDING ENVELOPE LONG RED, PLASTIC WITH HANDLE</t>
  </si>
  <si>
    <t xml:space="preserve"> Interested bidders are requested to be pre-qualified and to bid or the supply of 1-unit Ambulance.</t>
  </si>
  <si>
    <t xml:space="preserve"> Description Please quote your price inclusive of VAT on the item/s listed below, subject to the Terms and conditions of the RFQ, and submit your quotation duly signed by your representative not later than August 11, 2020 at CGSO for Goods. Upon receipt of</t>
  </si>
  <si>
    <t xml:space="preserve"> Republic of the Philippines Province of Guimaras Municipality of Sibunag INVITATION TO BID FOR  Bid No. 2020-032, Provision of Furnitures and Fixtures and Construction of Kitchen and Barracks for Sibunag Police Station The Municipality of Sibunag through </t>
  </si>
  <si>
    <t xml:space="preserve"> ITEM	ITEM  DESCRIPTION	QTY	UNIT NO.			 1	Bond Paper long A4 	200	reams</t>
  </si>
  <si>
    <t xml:space="preserve"> 1.  25 ream Book paper short 2.  100 pcs long folder 3.  6 ream Referral form 4.  12 ream Individual treatment  record form 5.  8 ream Monthly reporting form 6.  1 ream Prescription pad 7.  12 pcs Record book pad 500 pages 8.  8 pcs LC533 BLK 9.  8 pcs LC</t>
  </si>
  <si>
    <t xml:space="preserve"> This is intended for the rehabilitation of the comfort room at 2ndfloor of RHU building</t>
  </si>
  <si>
    <t xml:space="preserve"> The Government of the Philippines (GOP) has received a loan from World Bank towards the cost of Philippine Rural Development Project, and it intends to apply part of the proceeds of this Loan to payments for the procurement for Food, Venue and Accommodati</t>
  </si>
  <si>
    <t xml:space="preserve"> Construction materials for Electrification</t>
  </si>
  <si>
    <t xml:space="preserve"> Masonry, plastering and tiles works, windows, windows Grills and Door</t>
  </si>
  <si>
    <t xml:space="preserve"> Purchase of brand new ambulance Van type with medical equipment</t>
  </si>
  <si>
    <t xml:space="preserve"> Republic of the Philippines PROVINCE OF QUIRINO Cabarroguis -oOo- BIDS AND AWARDS COMMITTEE INVITATION TO BID FOR  Procurement of Various Drugs and Medicines for QIP Contract No. PB-GS-2020-011 							August 5, 2020 1.	The Bids and Awards Committee (BAC) </t>
  </si>
  <si>
    <t xml:space="preserve"> Republic of the Philippines PROVINCE OF ZAMBOANGA DEL NORTE BIDS AND AWARDS COMMITTEE (BAC) BAC Conference Room, 2nd  Floor ZNCEC, Dipolog City Tel. # (065) 212-6492 Telefax # (065) 212-6492 	                                                               </t>
  </si>
  <si>
    <t xml:space="preserve"> 1250 pcs.          Data Filer    W=11"   L=13"   Thickness=2.5"    Color: Blue</t>
  </si>
  <si>
    <t xml:space="preserve"> NOT AVAILABLE AT PROCUREMENT SERVICE					 		OFFICE SUPPLIES			 1	pc	Ballpen, Black	146	 6.50 	 949.00  2	pc	Ballpen, Blue	1000	 6.50 	 6,500.00  3	pc	Ballpen, Red	67	 6.50 	 435.50  4	pc	Correction pen	14	 25.00 	 350.00  5	pc	ENVELOPE, EXPANDING, LONG br</t>
  </si>
  <si>
    <t xml:space="preserve"> Supply and Delivery of Various Medicines and Medical Supplies</t>
  </si>
  <si>
    <t xml:space="preserve"> Purchase Materials for the Improvement of BPLK</t>
  </si>
  <si>
    <t xml:space="preserve"> Please see attached ITB. ABC: 17,730.00</t>
  </si>
  <si>
    <t xml:space="preserve"> Stock No.	Item Description	QTY.	Unit 1	Processor 940	1	unit 	Motherboard #310 m.h.		 	RAM 8gb ddr4	1	unit 	Hardisk 1Tb SATA hdd	1	unit 	Videocard 4gb gtx 1050 ti DDR5	1	unit 	mouse &amp; keyboard (usb type)	1	set 	UPS bx 650 li 3 slots 	1	unit 	AVR	1	unit 	AT</t>
  </si>
  <si>
    <t xml:space="preserve"> REQUEST FOR QUOTATION 1	lot	Annual Medical &amp; Physical Examination 2020  for Lucena Branch and Boac Ext. Office 	                      P67,600.00</t>
  </si>
  <si>
    <t xml:space="preserve"> Republic of the Philippines Province of Davao de Oro Municipality of Monkayo -o0o- INVITATION TO BID FOR THE PROCUREMENT OF CATERING SERVICES FOR VARIOUS OFFICES  The Municipality of Monkayo, through the GENERAL FUND intends to apply the sum of ONE HUNDRE</t>
  </si>
  <si>
    <t xml:space="preserve"> Republic of the Philippines DEPARTMENT OF PUBLIC WORKS AND HIGHWAYS ILOILO 1st  DISTRICT ENGINEERING OFFICE Fort San Pedro Road, Iloilo City INVITATION TO BID FOR: 20GGF0023 – Procurement of One (1) Unit Laptop, Five (5) Units Desktop Computer and Three (</t>
  </si>
  <si>
    <t xml:space="preserve"> CONCRETE CUTTER with ABC Php 66,000.00 Specifications Blade size: 10"-12" Driving Method: Manual Max. Cutting Dept: 100mm(4") Dept Adjustment Method: Manual Screw, lifting System Water Tank Capacity: 19 Liter Engine Type: Air-Cooled, Gasoline Max. Output:</t>
  </si>
  <si>
    <t xml:space="preserve"> Construction of Line Canal w/ Concrete Cover of Barangay Manook, Gubat, Sorsogon</t>
  </si>
  <si>
    <t xml:space="preserve"> Republic of the Philippines Province of Nueva Vizcaya BIDS AND AWARDS COMMITTEE (BAC-GOODS) BAC OFFICE, Provincial Capitol, Bayombong, Nueva Vizcaya Tel. No. (078) 392-2650 	 INVITATION TO BID FOR THE SUPPLY AND DELIVERY OF IRON SYRUPS/DROPS/TABLETS FOR T</t>
  </si>
  <si>
    <t xml:space="preserve"> This si intended for the improvement of the Mayor's Office extension.</t>
  </si>
  <si>
    <t xml:space="preserve"> 1.	The Oroquieta City Water District, through the National Government 2017 intends to apply the sum of Two Million Nine Hundred Seventy Five Thousand Six Hundred Sixty Eight Pesos (Php 2,975,668.00) being the Approved Budget for the Contract (ABC) to paym</t>
  </si>
  <si>
    <t xml:space="preserve"> Construction materials</t>
  </si>
  <si>
    <t xml:space="preserve"> Self Learning Modules for grade six students - Second week and third week module</t>
  </si>
  <si>
    <t xml:space="preserve"> Section I. Invitation to Bid Republic of the Philippines Province of Bukidnon MUNICIPALITY OF TALAKAG Invitation to Bid for Procurement of Cassava Digger  (For CALIDAFA Bub 2015) 1.	The Municipality of Talakag through the Trust Fund, BUB 2015 intends to a</t>
  </si>
  <si>
    <t xml:space="preserve"> ITEMS: 165 PCS POLO SHIRT 44 PCS WASSAR LONG SLEEVE</t>
  </si>
  <si>
    <t xml:space="preserve"> 1-LOT: PAINTING MATERIALS FOR DICT DAVAO TOWER Note: All deliveries by the suppliers shall be subject to inspection and acceptance by the inspection committee.																	 																	 The Supplier who submitted the lowest calculated responsive </t>
  </si>
  <si>
    <t xml:space="preserve"> Republic of the Philippines Province of Zamboanga del Sur MUNICIPALITY OF LAKE WOOD BIDS AND AWARDS COMMITTEE Invitation to Bid for Procurement of Veterinary Supplies and biologics use Protection and Prevention and control of Diseases on Livestock and Pou</t>
  </si>
  <si>
    <t xml:space="preserve"> See attached Request for Quotation (RFQ)</t>
  </si>
  <si>
    <t xml:space="preserve"> Brief Description/Specification: “SUPPLY AND DELIVERY OF OFFICE FURNITURE AND ICT EQUIPMENT” for use in the operations of the Rural Health Unit-Municipal Health Office, Municipal Government of Bayog, Zamboanga del Sur.   Approved Budget For The Contract: </t>
  </si>
  <si>
    <t xml:space="preserve"> 1 pc - generator 1 pc - wheelbarrow 1 set - paging system</t>
  </si>
  <si>
    <t xml:space="preserve"> Republic of the Philippines Province of Nueva Vizcaya BIDS AND AWARDS COMMITTEE (BAC-Goods) BAC OFFICE, Provincial Capitol, Bayombong, Nueva Vizcaya Tel. No. 078-392-2062 	 INVITATION TO BID FOR THE SUPPLY, DELIVERY &amp; PRINTING OF DELIVERY RECEIPTS, TRANSP</t>
  </si>
  <si>
    <t xml:space="preserve"> Photocopier (Heavy Duty)</t>
  </si>
  <si>
    <t xml:space="preserve"> ITEMS: 17.0 BAGS PORTLAND CEMENT 1.8 CU.M. FINE SAND 4.0 SHEETS LAWANIT 1/8 THK X 4'X8' 12.0 PCS 1"X2"X8' GOOD LAUAAN LUMBER/EQV. 0.5 KGS ASSORTED COMMON WIRE NAILS 2.0 QRTS. BLACKBOARD SLATING PAINT, GREEN 2.0 QRTS. ENAMEL PAINT, CHOCO BROWN 1.0 PCS. PAI</t>
  </si>
  <si>
    <t xml:space="preserve"> Lumber  and Carpentry Materials		 1	Good Lumber 1" x 2 'x 10'	3	Bndls. 2	Good lumber 2" x 4' x 12'	36	Pcs. 3	Good Lumber 2" x 6' x 12'	17	Pcs. 4	Good Lumber 2" x 3' x 12'	55	Pcs. 5	Good Lumber 2" x 2' x 12'	60	Pcs. 6	Good Lumber 5" x 5' x 10'	6	Pcs. 7	Com</t>
  </si>
  <si>
    <t xml:space="preserve"> Item No.	Description	Unit	Quantity 1	SPROUT CHAIN	SET	1 2	STARTER MOTOR	PC	1 3	CHAIN WAX	PC	1 4	C. LINING(ONE)	SET	1 5	BRAKE FLUID	PC	1 6	CIN GASKET	SET	1 7	WIRE INB	SET	5 8	TAPE	PC	1 9	RETOBE LIGHT	SET	1 10	OIL FILTER	PC	1 11	ENGINE OIL	LT	1 12	SPRING RE</t>
  </si>
  <si>
    <t xml:space="preserve"> Stock NO.	Unit	DESCRIPTION				Qty 						 1	tubes	Ink Refill (BT 5000) CYAN Brother				4 2	tubes	Ink Refill (BT D 60) MAGENTA Brother				4 3	tubes	Ink Refill (BT D 60) Black Brother				4 4	tubes	Ink Refill (BT D 60) Blue Brother				4</t>
  </si>
  <si>
    <t xml:space="preserve"> Heavy Duty Storage Tub Black (Large) 2 pcs  Heavy Duty Storage Tub Black (Medium) 2 pcs  Heavy Duty Storage Tub Black (Small) 2 pcs  Total Amount: P 10,000.00</t>
  </si>
  <si>
    <t xml:space="preserve"> Office/Janitorial Supplies and Equipment</t>
  </si>
  <si>
    <t xml:space="preserve"> Invitation to Bid for SUPPLY AND DELIVERY OF OFFICE EQUIPMENT  FOR PDAO The Municipal Government of Looc, Romblon, through the AO-NO. 018-2019 Regular1 intends to apply the sum of Fifty Thousand Pesos Only (P 50,000.00) being the Approved Budget for the C</t>
  </si>
  <si>
    <t xml:space="preserve"> Republic of the Philippines PROVINCE OF ZAMBOANGA DEL NORTE BIDS AND AWARDS COMMITTEE (BAC) BAC Conference Room, Capitol Building, Brgy. Extaka, Dipolog City Tel. # (065) 212-6492 Telefax # (065) 212-6492                                                   </t>
  </si>
  <si>
    <t xml:space="preserve"> Repair/Rehabilitation of Pathway</t>
  </si>
  <si>
    <t xml:space="preserve"> Contract ID:	20FH0100 Contract Name:	CONSTRUCTION OF TWO (2) STOREY SIX (6) CLASSROOM (7X9) SENIOR HIGH SCHOOL BUILDING, TINAGO NATIONAL HIGH SCHOOL, VIGA, CATANDUANES Contract Location:	TINAGO NATIONAL HIGH SCHOOL, VIGA, CATANDUANES Scope of Work:	TWO (2</t>
  </si>
  <si>
    <t xml:space="preserve"> Please see attached associated components Purchase Request and Request for Quotation for specifications and corresponding budget of each item.  Kindly email your quotations to jesspsanchez@yahoo.com and ras1031@yahoo.com.</t>
  </si>
  <si>
    <t xml:space="preserve"> 5 Units HDMI to VGA Converter Unit Cost: P 1,000.00 Total Amount: P 5,000.00  3 Units Portable Router Specification * Weight 200 g * LTE Mobile Wifi * Communication System - LTE/UMTS/GSM *   Speed 150Mbps DL/50Mbps UL * Battery 5200mAH Unit Cost: P 1,000.</t>
  </si>
  <si>
    <t xml:space="preserve"> Republic of the Philippines DEPARTMENT OF PUBLIC WORKS AND HIGHWAYS SARANGANI DISTRICT ENGINERING OFFICE REGIONAL OFFICE XII Alabel, Sarangani Province 					 					 SHOPPING 					 The Department of Public Works and Highways-Sarangani District Engineering O</t>
  </si>
  <si>
    <t xml:space="preserve"> MAIN DOCUMENT</t>
  </si>
  <si>
    <t xml:space="preserve"> Please quote your lowest price on the SUPPLY AND DELIVERY OF SLIDING WINDOW AND SLIDING DOOR FOR BFP OFFICE as specified below and submit your quotation duly signed by your representative not later than 2pm of                  AUGUST 11, 2020 				 					 	</t>
  </si>
  <si>
    <t xml:space="preserve"> Please See Attachment</t>
  </si>
  <si>
    <t xml:space="preserve"> Republic of the Philippines DEPARTMENT OF PUBLIC WORKS AND HIGHWAYS SARANGANI DISTRICT ENGINEERING OFFICE REGIONAL OFFICE XII Alabel, Sarangani Province INVITATION TO BID FOR 1.	Contract ID No. 	:	20GME0044(Rebid) Contract Name	:	Supply &amp; Delivery of Lubr</t>
  </si>
  <si>
    <t xml:space="preserve"> Invitation to Bid for Procurement of Pipes for Transmission and Distribution, Solar Pumps for Water System 1. The Province of Misamis Occidental through the General Funds intends to apply the sum of Nine Million Six Hundred Fifty Thousand Fifteen and Sixt</t>
  </si>
  <si>
    <t xml:space="preserve"> RIPRAP OF BARANGAY ROAD CANAL (PHASE 2) Purok 4, Brgy. Guinacutan, Labo, Camarines Norte Riprapping of 150.0 LM</t>
  </si>
  <si>
    <t xml:space="preserve"> ---------Qty.-----------Unit-------------ITEM/S DESCRIPTION -----------------------------------------SITEWORKS ---------1--------------lot--------------Demolition of Firewall -----------------------------------------ROOFING WORKS --------40-------------pc</t>
  </si>
  <si>
    <t xml:space="preserve"> The Municipal Government of Bayog, Zamboanga del Sur thru its Bids and Awards Committee (BAC) invites all interested bidders for the “SUPPLY AND DELIVERY OF TIRES FOR HEAVY EQUIPMENT” for the repair/maintenance of Heavy Equipment of Bayog, Zamboanga del S</t>
  </si>
  <si>
    <t xml:space="preserve"> Republic of the Philippines CITY OF MALABON Metro Manila BIDS AND AWARDS COMMITTEE I N V I T A T I O N    T O    B I D SUPPLY AND DELIVERY OF MEALS FOR THE PROJECT “PROVISION  OF ASSISTANCE TO VICTIMS OF DISASTER (HOT MEALS)” 1.	The City Government of Mal</t>
  </si>
  <si>
    <t xml:space="preserve"> DOUBLE CAB 4X2  6 WHEELER  4 CYLINDER DIESEL ENGINE  3,059 CC  94 HP  FIVE(5) SPEED MANUAL TRANSMISSION  GIGA TYPE  MECHANICAL WINDOW RISER  FLAT LOW  POWER STEERING 4X2 WITH AIRCON  WITH HARDTOP CANOPY AND FOLDING CHAIR  WITH COMPLETE ACCESSORIES, LTO RE</t>
  </si>
  <si>
    <t xml:space="preserve"> Republic of the Philippines Province of Nueva Vizcaya BIDS AND AWARDS COMMITTEE (BAC-GOODS) BAC OFFICE, Provincial Capitol, Bayombong, Nueva Vizcaya Tel. No. (078) 392-2650 	 INVITATION TO BID FOR THE SUPPLY AND DELIVERY OF ONE (1) SET REFRIGERATED CENTRI</t>
  </si>
  <si>
    <t xml:space="preserve"> Description	Quantity	Unit Angle Bars 1” x 1”x 1/8”	30	Length Flat Bars 1” x 1/8”	10	Length C-Purlins 2x3x1.5mm	220	Length Deformed Bars 10mmØ	65	Pcs. Turn Buckle 12mm	20	Pcs. Turn Buckle 20mm	1	Pcs. Ordinary Plywood ¼” Thk.	50	Sht. Tie Wire #16	2	Roll Cut</t>
  </si>
  <si>
    <t xml:space="preserve"> Republic of the Philippines				Project Reference Number: 	G-20-0735                                           Province of Compostela Valley				Name of the Project	:  Medical Supplies MUNICIPALITY OF MONTEVISTA			Location of the Project	:           MO (Bay</t>
  </si>
  <si>
    <t xml:space="preserve"> DOUBLE CAB 4X2   6 WHEELER   4 CYLINDER DIESEL ENGINE   2,835 CC   94 HP   FIVE (5) SPEED MANUAL TRANSMISSION   KC TYPE   POWER STEERING   4X2   WITH COMPLETE ACCESSORIES AND FREE LTO REGISTRATION AND INSURANCE</t>
  </si>
  <si>
    <t xml:space="preserve"> Contract ID:	20FH0096 Contract Name:	REPAIR/MAINTENANCE OF DPWH BUILDING, MAIN OFFICE BUILDING, CATANDUANES DEO, VIRAC, CATANDUANES Contract Location:	CATANDUANES DEO, VIRAC, CATANDUANES Scope of Work:	REPAIR OF DPWH BUILDING Approved Budget for the Contr</t>
  </si>
  <si>
    <t xml:space="preserve"> OFFICE: PHILIPPINE NATIONAL POLICE PURPOSE: FRO SEARCH AND RESCUE OPERATION ABC: 118,000.00 ITEM DESCRIPTION 10 PC LIFE VEST 1 PC SPINE BOARD 5 ROLL RESCUE ROPE 5 SET RAPELLING SET 3 PCS FLOATING RING 2 PCS MEGA PHONE 2 PCS CHAINSAW 1 PC PORTABLE ELECTRIC</t>
  </si>
  <si>
    <t xml:space="preserve"> Republic of the Philippines Province of Misamis Occidental MUNICIPALITY OF CALAMBA BARANGAY MAMALAD INVITATION TO BID FOR PURCHASE OF MATERIALS FOR THE COMPLETION OF SUBANEN BUILDING FOR COVID-19 ISOLATION FACILITY 	August 5, 2020 1.	The Barangay Mamalad </t>
  </si>
  <si>
    <t xml:space="preserve"> Stock No.	Item description	QTY.	Unit 1	A. BODY REPAIR		 	Remove/Replace		 	Hood Panes		 	RH Hood Hinge		 	LH Hood Hinge		 	Hood Insulator		 	Hood Lock Support		 	Front Bumper Cover		 	Bumper Clips #1		 	Bumper Clips #2		 	RH Front Bumper Support		 	LH Fro</t>
  </si>
  <si>
    <t xml:space="preserve"> Stock No.	Item Description	QTY.	Unit 1	Bio-Enzyme	30	kgs 	Organic disinfecan, Non-Toxic, good for		 	5-10 tons of solid waste.</t>
  </si>
  <si>
    <t xml:space="preserve"> materials for Construction of Line Canal</t>
  </si>
  <si>
    <t xml:space="preserve"> Republic of the Philippines DEPARTMENT OF PUBLIC WORKS AND HIGHWAYS ILOILO CITY DISTRICT ENGINEERING OFFICE REGION VI Fort San Pedro Road, Iloilo City Name of Procuring Entity:   DPWH-ILOILO CITY DISTRICT ENGINEERING OFFICE Request for Quotation (PR No): </t>
  </si>
  <si>
    <t xml:space="preserve"> Republic of the Philippines SILAY CITY GOVERNMENT Zamora Street Silay City, Negros Occidental Telefax No. (034) 495-3746 	Control  Reference Number : GOODS#0150, ITB#0153,  PR#0428: SCG-2020 Name of the Project: PURCHASE OF CONSTRUCTION MATERIALS AND SUPP</t>
  </si>
  <si>
    <t xml:space="preserve"> Short Bondpaper Long Bondpaper Platic with jolder envelop flexstick ballpen Pencil Elementary paper Kinder Grade 1 Grade 2 Grade 3 Grade 4 Grade 5 Grade 6</t>
  </si>
  <si>
    <t xml:space="preserve"> Republic of the Philippines Province of Nueva Vizcaya BIDS AND AWARDS COMMITTEE (BAC-GOODS) BAC OFFICE, Provincial Capitol, Bayombong, Nueva Vizcaya Tel. No. (078) 392-2650 	 INVITATION TO BID FOR THE SUPPLY AND DELIVERY OF VARIOUS HOSPITAL EQUIPMENT FOR </t>
  </si>
  <si>
    <t xml:space="preserve"> Description	Quantity	Unit Angle Bars 1” x 1”x 1/8”	30	Length Flat Bars 1” x 1/8”	10	Length C-Purlins 2x3x1.5mm	220	Length Turn Buckle 12mm	20	Pcs. Tie Wire #16	1	Roll Deformed Bars 10mmØ	20	Pcs. Lacquer Thinner	8	Gal. Metal Primer	8	Gal.</t>
  </si>
  <si>
    <t xml:space="preserve"> Republic of the Philippines Province of Samar MUNICIPALITY OF MARABUT INVITATION to BID for  IMPROVEMENT OF MATERIAL RECOVERY FACILITY (MRF)  	 1.	The Municipal Government of Marabut, through its 20% Development Fund and MRF Financial Assistance of Depart</t>
  </si>
  <si>
    <t xml:space="preserve"> Please download the ATTACHED ASSOCIATED COMPONENTS for details/schedules.</t>
  </si>
  <si>
    <t xml:space="preserve"> Section I. Invitation to Bid FOR THE UPLB-S-030-08-20 REBID  PROCUREMENT OF SIPHONING SERVICES OF SEPTIC TANKS FOR UPLB DORMITORIES (NEW DORMITORY, VETMED DORMITORY, FORESTRY RESIDENCE HALL, NEW FORESTRY RESIDENCE HALL) REBID 1.	The UNIVERSITY OF THE PHIL</t>
  </si>
  <si>
    <t xml:space="preserve"> Republic of the Philippines CITY OF MALABON Metro Manila BIDS AND AWARDS COMMITTEE I N V I T A T I O N     T O     B I D VARIOUS INFRASTRUCTURE PROJECTS  1.	The City Government of Malabon, through the 20% Development Fund and General Fund CY 2020 now invi</t>
  </si>
  <si>
    <t xml:space="preserve"> Republic of the Philippines Province of Nueva Vizcaya BIDS AND AWARDS COMMITTEE (BAC-Goods) BAC OFFICE, Provincial Capitol, Bayombong, Nueva Vizcaya Tel. No. 078-392-2062 	 INVITATION TO BID FOR THE SUPPLY &amp; DELIVERY OF1 UNIT LAPTOP   FOR THE  GOVERNOR’S </t>
  </si>
  <si>
    <t xml:space="preserve"> ITEM NO QTY UNIT DESCRIPTION 1.  70 BAGS CEMENT 2.  150 BAGS SAND 3.  240 BAGS GRAVEL 4.  30 PCS 12MM DEF BAR 5.  3 KILOS TIE WIRE # 16 6.  3 KLS COMMON NAILS # 3 7.  3 KILOS COMMN NAILS 1 1/2 8.  100 BD FT COCO LUMBER 2X2X10 9. 7 SHTS ORD PLYWOOD</t>
  </si>
  <si>
    <t xml:space="preserve"> Republic of the Philippines Province of Nueva Vizcaya BIDS AND AWARDS COMMITTEE (BAC-Goods) BAC OFFICE, Provincial Capitol, Bayombong, Nueva Vizcaya Tel. No. 078-392-2062 	 INVITATION TO BID FOR THE SUPPLY, DELIVERY &amp; FABRICATION OF 30 UNITS STORAGE BINS </t>
  </si>
  <si>
    <t xml:space="preserve"> REQUEST FOR QUOTATION (OPEN CANVASS) Police Regional Office 2 through its Bids and Awards Committee (BAC) invites supplier/manufacturers/distributors/contractors to quote the lowest government price for the hereunder project: Name of the Project	Supply an</t>
  </si>
  <si>
    <t xml:space="preserve"> construction of concrete bleacher and repainting</t>
  </si>
  <si>
    <t xml:space="preserve"> Brief Description/Specification: “SUPPLY AND DELIVERY OF CONSTRUCTION SUPPLIES AND MATERIALS for the Repair and Improvement of Drainage Canal” at Bayog Public Market, Bayog, Zamboanga del Sur.   Approved Budget For The Contract:  Php 76,488.00 Estimated B</t>
  </si>
  <si>
    <t xml:space="preserve"> Classic Germ Kill Toilet Cleaner, Liquid 1000ml																													 Dishwashing Liquid, 500ml/bottle																													 Albatross Deodorizer																													 Trash Bag/Garbage Bag XL (200pcs/bundle)																										</t>
  </si>
  <si>
    <t xml:space="preserve"> Calculator (Casio)	 Binder Clips, Small	 Binder Clips, Medium	 Binder Clips, Large	 Correction  Tape	 Bondpaper, Sub 20, Short	 Rug, Small, Round	 Double-sided Tape 2"	 Data File Box (XL)	 Energerl, Black (My Gel)	 Energerl, Blue (My Gel)	 Alcohol, 70% (5</t>
  </si>
  <si>
    <t xml:space="preserve"> INVITATION TO BID for the SUPPLY FOR 1 UNIT RTK 1.	The National Irrigation Administration-Davao del Norte IMO, through the GAA fund 2020 intends to apply the sum of  P2,300,000.00 being the Approved Budget for the Contract (ABC) to payments under the cont</t>
  </si>
  <si>
    <t xml:space="preserve"> See the attached document for details.</t>
  </si>
  <si>
    <t xml:space="preserve"> I. SOLAR STREET LIGHTS X 14PCS</t>
  </si>
  <si>
    <t xml:space="preserve"> Republic of the Philippines Province of Guimaras Municipality of Sibunag INVITATION TO BID FOR  Bid No. 2020-030 Improvement of Water System The Municipality of Sibunag through the  2019 20% DF  (Improvement of Water System ) intends to apply the sum of E</t>
  </si>
  <si>
    <t xml:space="preserve"> MMIIDEO 		 250KVA StandBy Generator set Model XSA250 	 								 2		Alternator			1	lot		 3		Mobilization			1	lot		 		-x-x-x-x-x-x-x-x-x-x-x-x-x-x</t>
  </si>
  <si>
    <t xml:space="preserve"> Republic of the Philippines					 Department of Public Works and Highways					 OFFICE OF THE DISTRICT ENGINEER					 Cagayan de Oro City 1st District Engineering Office					 10th RES Compound, Bulua, Cagayan de Oro City					 					 PURCHASE REQUEST					 				</t>
  </si>
  <si>
    <t xml:space="preserve"> Invitation to Bid No. 2020-003 Republic of the Philippines Batangas City Invitation to Bid for the Purchase of Office Equipment for the use of Barangay Concepcion, Batangas City. The Barangay Government through the Office of the Brgy. Chairman intends to </t>
  </si>
  <si>
    <t xml:space="preserve"> Republic of the Philippines Province of Misamis Occidental MUNICIPALITY OF CALAMBA INVITATION TO BID FOR PURCHASE OF ONE (1) UNIT 6BF1 ENGINE  	August 5, 2020 1.	The Municipality of Calamba, Misamis Occidental, through the GENERAL FUND  intends to apply t</t>
  </si>
  <si>
    <t xml:space="preserve"> Republic of the Philippines SILAY CITY GOVERNMENT Zamora Street Silay City, Negros Occidental Telefax No. (034) 495-3746 	Control  Reference Number : GOODS#0147, ITB#0150,  PR#0345: SCG-2020 Name of the Project: PURCHASE OF ELECTRIACL MATERIALS AND SUPPLI</t>
  </si>
  <si>
    <t xml:space="preserve"> Supplu, Delivery and Installation of the Waterproofing at the Roof Deck of SEC Cebu Extension Office Building</t>
  </si>
  <si>
    <t xml:space="preserve"> Sardines, corned beef, noodles, coffee (stick)</t>
  </si>
  <si>
    <t xml:space="preserve"> Hard Disk	-1 pc			 Copy Paper, 70gsm, short, 500shts, sub20	-150	ream		 PAPER,multicopy,legal-150 ream				 A4 paper 80 gsm-150 ream				 A3 ,sub 20	-20 ream			 SIGN PEN, black-70 pc				 SIGN PEN, blue-70 pc				 sign pen,red-50 pc				 BALLPOINT PEN, Black-7</t>
  </si>
  <si>
    <t xml:space="preserve"> Republic of the Philippines City of Canlaon OFFICE OF THE BIDS AND AWARDS COMMITTEE Invitation to Bid for the MULTI-PURPOSE PAVEMENT  The City Government of Canlaon City, through Ord. No. 109, series of  2019 intends to apply the sum of Five Hundred Thirt</t>
  </si>
  <si>
    <t xml:space="preserve"> Item No.	Qty	DESCRIPTION				Unit Of Measurement 						 1	10	Bond Paper (Short)				reams 2	10	Bond Paper (Long)				reams 3	12	Folder (Short)				Pcs. 4	36	Folder (Long)				Pcs. 5	36	Folder (Long) Red				Pcs. 6	36	Folder (Long) Blue				Pcs. 7	36	Folder (Long</t>
  </si>
  <si>
    <t xml:space="preserve"> As per the Terms of Reference</t>
  </si>
  <si>
    <t xml:space="preserve"> 23      pcs.      Waste, Segragation Bins, 120L (7 yellow, 7 Red, 7 Green, 2 Black)</t>
  </si>
  <si>
    <t xml:space="preserve"> INVITATION TO BID  Re-bid of Various Medical and Hospital Supplies for August 2020 to December 2020 IB No. 2020 – 06 1.	The Dr. PJGMRMC, through Bids and Awards Committee I, intends to apply for the procurement of the items indicated the total amount of T</t>
  </si>
  <si>
    <t xml:space="preserve"> INVITATION TO BID FOR THE PURCHASE OF RISOGRAPHS  1.	The Local Government Unit of Hinigaran, through Special Education Fund (SEF) intends to apply the sum of P 690,000.00 being the Approved Budget for the Contract (ABC) to payments under the contract for </t>
  </si>
  <si>
    <t xml:space="preserve"> Purok Langka 1, Brgy. Mayao Crossing, Lucena City</t>
  </si>
  <si>
    <t xml:space="preserve"> Republic of the Philippines Province of Misamis Occidental MUNICIPALITY OF PANAON INVITATION TO BID FOR  PROCUREMENT OF ONE (1) UNIT AUV 2.8 L DIESEL, MANUAL (Procurement of Goods) 									August 4, 2020 1.	The Local Government Unit of Panaon, Misamis Oc</t>
  </si>
  <si>
    <t xml:space="preserve"> Republic of the Philippines Province of Misamis Occidental Municipality of Plaridel INVITATION TO APPLY FOR ELIGIBILITY AND TO BID 	 	The Local Government Unit, LGU-Plaridel, Misamis Occidental, through its Bids and Awards Committee (BAC), invites supplie</t>
  </si>
  <si>
    <t xml:space="preserve"> Ballpen, Black, Faber Castle	 Ballpen, Blue, Faber Castle	 Ballpen, Red, Faber Castle	 Blackboard Eraser	 Bondpaper, Substance 20, short	 Chalk, Colored 100 pcs/box	 Chalk, Plain 100 pcs/box	 Class Record	 Cartolina, Multicolored, Neon	 Copier Paper, long</t>
  </si>
  <si>
    <t xml:space="preserve"> 5 rolls 1/2'' dia P.E.Pipe SDR 11 4 rolls 2'' dia. P.E. Pipe SDR11 4 PCS.2'' DIA Coupling 4 pcs. 1/2'' dia Coupling</t>
  </si>
  <si>
    <t xml:space="preserve"> 1.	The Local Government Unit of Balangiga, through the Annual Budget for 2020 intends to apply the sum of Three Hundred Thousand Pesos  (Php300,000.00) being the Approved Budget for the Contract (ABC) to payments under the contract for the Construction of</t>
  </si>
  <si>
    <t xml:space="preserve"> PROCUREMENT OF MEDICINE 2nd and 3rd QUARTER 2020</t>
  </si>
  <si>
    <t xml:space="preserve"> Republic of the Philippines DEPARTMENT OF PUBLIC WORKS AND HIGHWAYS ILOILO CITY DISTRICT ENGINEERING OFFICE REGION VI Fort San Pedro, Iloilo City INVITATION TO BID FOR 20GGJ0060 - Supply and Delivery of Office Equipment (3rd Quarter, CY 2020) for the use </t>
  </si>
  <si>
    <t xml:space="preserve"> Republic of the Philippines SILAY CITY GOVERNMENT Zamora Street Silay City, Negros Occidental Telefax No. (034) 495-3746 	Control  Reference Number : GOODS#0149, ITB#0152,  PR#0427: SCG-2020 Name of the Project: PURCHASE OF VEHICLE PARTS FOR USE OF TOYOTA</t>
  </si>
  <si>
    <t xml:space="preserve"> 9pcs.Plastic drum 35pcs.12mm quare bar 15m Nylon rope 2 gals Red oxide 2pcs.paint brush 2 bots paint thinner 5 kls.welding rod</t>
  </si>
  <si>
    <t xml:space="preserve"> Unit of		 Quantity	Issue	Item Description	 		Maint. Of Motorpool	 1	pc	Socket #18	 1	pc	Comb wrench #13	 1	pc	Comb wrench #17	 3	pcs	Beta grey	 10	pcs	Hack saw blade	 3	pcs	WD-40 big	 5	pcs	Tapelon tape	 1	pc	Welding machine	 12	bot	Batt. Solution	 3	pcs	</t>
  </si>
  <si>
    <t xml:space="preserve"> INTERESTED BIDDERS MAY OBTAIN FURTHER INFORMATION THRU THE BAC SECRETARIAT WITH THE TELEPHONE NO. 324-4499</t>
  </si>
  <si>
    <t xml:space="preserve"> PHILIPPINE BIDDING DOCUMENTS (As Harmonized with Development Partners) Procurement for  CONCRETING OF REGIDOR ST. BRGY. 9 LUCBAN, QUEZON BIDDING Government of the Republic of the Philippines Fourth Edition   Preface These Philippine Bidding Documents (PBD</t>
  </si>
  <si>
    <t xml:space="preserve"> Procurement of Desktop, Laptop and Printer  Php 120,000.00</t>
  </si>
  <si>
    <t xml:space="preserve"> Title:Procurement of 2,500 Piece Empty Box, with Print ("Family Food Packs and Butuan on Branding") under P.R No. 2594-2020- 5% City Disaster Risk Reduction and Management Fund. Total ABC: Php 125,000.00 (INSTRUCTION AS TO THE REQUIRED FORM: For your pric</t>
  </si>
  <si>
    <t xml:space="preserve"> Republic of the Philippines DEPARTMENT OF PUBLIC WORKS AND HIGHWAYS ILOILO CITY DISTRICT ENGINEERING OFFICE REGION VI Fort San Pedro, Iloilo City INVITATION TO BID FOR 20GGJ0059 - Supply and Delivery of Materials for the Instructional/Coordination Meeting</t>
  </si>
  <si>
    <t xml:space="preserve"> ITEM NO.    DESCRIPTION        QUANTITY        UNIT OF ISSUE     EST UNIT OF ISSUE       TOTAL EST COST 1              RICE BRAN @ 40KG/BAG   250          BAGS                     750                             187,500.00 ABC                     187,500.</t>
  </si>
  <si>
    <t xml:space="preserve"> Procurement of Handwashing Facility Php199,975.10</t>
  </si>
  <si>
    <t xml:space="preserve"> Issuance of Bid Documents Starts: August 5, 2020 Cost of Bid Document: Php 2,500.00 Venue of Dropping and Opening Bids: BAC Conference Room, Leyte SMED Center, Provincial Capitol Grounds, Tacloban City</t>
  </si>
  <si>
    <t xml:space="preserve"> The Barangay Government of Capalutan, Allacapan Cagayan, through its Bids and Awards Committee (BAC) will invites interested entities to submit their bidding documents for the following details: Name of Project: Maintenance of Barangay Road Source of Fund</t>
  </si>
  <si>
    <t xml:space="preserve"> No. of Pages:           8 pages including cover  Size:                       9 x 12 inches  Color:                      Full color (cover and inside)  Materials:                 Matte 120lbs /170 GSM  Binding:                   Saddles stich  Supplied Fil</t>
  </si>
  <si>
    <t xml:space="preserve"> Invitation to Bid No. 2020-01 Republic of the Philippines Batangas City Invitation to Bid for the Purchase of Various Medicines for the use of Barangay Poblacion 06, Batangas City. The Barangay Government through the Office of the Brgy. Chairman intends t</t>
  </si>
  <si>
    <t xml:space="preserve"> INVITATION TO BID  PROCUREMENT OF MEDICAL GRADE OXYGEN MRH-011-2020 1.	The Margosatubig Regional Hospital, through the funding source of Hospital Income intends to apply the sum of Five Million Three Hundred Seventy-Four Thousand Five Hundred Pesos Only (</t>
  </si>
  <si>
    <t xml:space="preserve"> Republic of the Philippines Province of Misamis Occidental MUNICIPALITY OF PANAON INVITATION TO BID FOR  PROCUREMENT OF ONE (1) UNIT AUV 2.8 L DIESEL, AUTOMATIC (Procurement of Goods) 									August 4, 2020 1.	The Local Government Unit of Panaon, Misamis</t>
  </si>
  <si>
    <t xml:space="preserve"> Lot 1 Construction Materials									 1	Portland Cement							157	bags	260.00 	Terms &amp; Conditions:									 	The materials shall be for pick up from the supplier within 5 working days 									 	from the receipt of a written advice by the project engineer</t>
  </si>
  <si>
    <t xml:space="preserve"> Republic of the Philippines Province of Camarines Norte Municipality of Santa Elena BIDS AND AWARDS COMMITTEE INVITATION TO BID FOR 2nd POSTING OF OPERATION AND MAINTENANCE OF STA. ELENA MUNICIPAL WATER SYSTEM ITB NO. 2020-G-020 1.	The MUNICIPALITY OF STA</t>
  </si>
  <si>
    <t xml:space="preserve"> Republic of the Philippines SILAY CITY GOVERNMENT Zamora Street Silay City, Negros Occidental Telefax No. (034) 495-3746 	Control  Reference Number : GOODS#0139, ITB#0142,  PR#0455: SCG-2020 Name of the Project: Purchase of Construction Materials and Supp</t>
  </si>
  <si>
    <t xml:space="preserve"> Please see attached RFQ. For questions and clarifications please contact KRESA J. NUICO at 09276636960.</t>
  </si>
  <si>
    <t xml:space="preserve"> INVITATION TO BID FOR THE REBIDDING OF THE SUPPLY, DELIVERY, INSTALLATION AND COMMISSIONING OF ONE (1) UNIT ENT-HNS DIGITAL VIDEO STROBOSCOPE (IB NO. 2020-GOODS-014R-01-0805) 1.	The ILOCOS TRAINING AND REGIONAL MEDICAL CENTER (ITRMC), through the GAA, FY </t>
  </si>
  <si>
    <t xml:space="preserve"> One (1) Job Contract for the Proposed 60 L.M. Hanging Foot Bridge, Brgy. Sarapan, Passi City, Iloilo/CEO</t>
  </si>
  <si>
    <t xml:space="preserve"> MEALS</t>
  </si>
  <si>
    <t xml:space="preserve"> Drugs and Medicines</t>
  </si>
  <si>
    <t xml:space="preserve"> INVITATION TO BID Bid No. B-117-2020 (*REBIDDING) 1.	The Provincial Government of Negros Oriental through Responsibility Center: 9998-051(20) / Account Code: 10705090, intends to apply the sum of Two Million Pesos (Php 2,000,000.00) to payment under the c</t>
  </si>
  <si>
    <t xml:space="preserve"> Title:Procurement of 95 Unit Knapsack Sprayer, etc. under P.R.No. 2807-2020 -Office of the City Agriculturist. Total ABC: Php 278,300.00 (INSTRUCTION AS TO THE REQUIRED FORM: For your price quotation, please use the attached Request for Quotation (RFQ) Fo</t>
  </si>
  <si>
    <t xml:space="preserve"> REQUEST FOR EXPRESSION OF INTEREST (REI) FOR CONSULTING SERVICES  The Department of Public Works and Highways (DPWH) Regional Office No. IV-A, through its Bids and Awards Committee (BAC) calls for the submission of eligibility documents for the following </t>
  </si>
  <si>
    <t xml:space="preserve"> 1.	The Provincial Government of Batanes, through the Provincial Appropriations Ordinance No. 03 series of 2019 (Capital Outlay) intends to apply the sum of Seventy-Seven Thousand Pesos Only (₱ 77,000.00), being the Approved Budget for the Contract (ABC) t</t>
  </si>
  <si>
    <t xml:space="preserve"> Republic of the Philippines Province of Agusan del Norte Municipality of Remedios T. Romualdez Barangay Balangbalang Invitation to Bid SUPPLY AND DELIVERY OF CONSTRUCTION MATERIALS AND SUPPLIES FOR THE IMPROVEMENT OF COMFORT ROOM AT BARANGAY GYMNASIUM 1. </t>
  </si>
  <si>
    <t xml:space="preserve"> Deliveries of Supplies and materials for Installation of Solar Street Lights of Barangay Salvacion sta elena camarines Norte</t>
  </si>
  <si>
    <t xml:space="preserve"> 1 UNIT SPLIT TYPE AIRCONDITIONER 2.5HP NON INVERTER 1 UNIT INSTALLATION AND CONSUMABLES NOTE: ALL NEW SUPPLIER ARE REQUIRED TO SUBMIT THE FOLLOWING DOCUMENT. 1. DTI Registration 2. SEC Registration 3. Current Mayor's Permit 4. Certificate of Registration </t>
  </si>
  <si>
    <t xml:space="preserve"> Republic of the Philippines SILAY CITY GOVERNMENT Zamora Street Silay City, Negros Occidental Telefax No. (034) 495-3746 	Control  Reference Number : GOODS#0145, ITB#0148,  PR#0463: SCG-2020 Name of the Project: Purchase of Construction Materials and Supp</t>
  </si>
  <si>
    <t xml:space="preserve"> BRAND NEW BACK HOE MODEL PC 200 W/ 4 CYLINDER 115 HP ENGINE 1 CU.M. BUCKET SIZE TRACK PAD/TRUCK SEW DESIGN W/ LIGHTING FACILITIES AND 1 UNIT EXTRA JACK HAMMER W/COMPLETE ACCESS.</t>
  </si>
  <si>
    <t xml:space="preserve"> To all Eligible Suppliers; Please quote your lowest price on the item listed below, subject to the General Conditions stated herein and submit the same to the Office of the BAC-Secretariat on or before August 24, 2020 at 10:00 o'clock in the morning. (SGD</t>
  </si>
  <si>
    <t xml:space="preserve"> Republic of the Philippines Department of Health Cagayan Valley Center for Health Development BATANES GENERAL HOSPITAL Basco, Batanes E-mail Address: bataneshospital@gmail.com REQUEST FOR PROPOSAL RFP NO. 2020-04 Supply &amp; Delivery of Various Medical Suppl</t>
  </si>
  <si>
    <t xml:space="preserve"> INVITATION TO BID FOR THE  SUPPLY AND DELIVERY OF VARIOUS GI FITTINGS (PR Nos. 27796-033 to 27796-052, 27803-001 to 27803-019) 1.	The Metropolitan Cebu Water District, through the Corporate Budget of 2020 intends to apply the sum of: PR No.	Description	Qt</t>
  </si>
  <si>
    <t xml:space="preserve"> IT Equipment</t>
  </si>
  <si>
    <t xml:space="preserve"> Municipality of Looc INVITATION TO BID FOR Supply and Delivery of 9 Female and 1 Bull/Male Buffalos 1.	The Municipality of Looc, through the Trust Fund intends to apply the sum of Php500,000.00 being the Approved Budget for the Contract (ABC) to payments </t>
  </si>
  <si>
    <t xml:space="preserve"> Republic of the Philippines DEPARTMENT OF PUBLIC WORKS AND HIGHWAYS DAVAO DEL NORTE DISTRICT ENGINEERING OFFICE Region XI Tagum City NOTICE OF PROCUREMENT OF GOODS THROUGH ALTERNATIVE METHOD OF PROCUREMENT  (Goods)        No. 2020-0003  Date :  August 5, </t>
  </si>
  <si>
    <t xml:space="preserve"> STC 2" diameter STC 3" diameter STC 4" diameter PVC Hose for Chlorine Dosing Pump</t>
  </si>
  <si>
    <t xml:space="preserve"> Republic of the Philippines Province of South Cotabato BIDS AND AWARDS COMMITTEE Salada Street, Poblacion Tupi, South Cotabato Tel. Fax No.: (083) 226-1045 INVITATION TO BID FOR THE SUPPLY AND DELIVERY OF MATERIALS FOR THE CONSTRUCTION OF FLOOD CONTROL AN</t>
  </si>
  <si>
    <t xml:space="preserve"> LOT A									 1	Unleaded Gasoline							1	lot	30,300.00 										 	Terms &amp; conditions:									 	    1. The supplier shall start to serve within three (3) days upon receipt of the advice									 	           from the project engineer until the project i</t>
  </si>
  <si>
    <t xml:space="preserve"> Republic of the Philippines Province of Ilocos Norte MUNICIPALITY OF PIDDIG BARANGAY ANAO INVITATION TO BID FOR Supply and Delivery of Construction Supplies and Materials for the various projects of Brgy. Anao 1. The Barangay Council of Anao through the  </t>
  </si>
  <si>
    <t xml:space="preserve"> Republic of the Philippines Province of Camarines Norte Municipality of Sta Elena BARANGAY MAULAWIN BIDS AND AWARD COMMITTEE INVITATION TO BID FOR PURCHASE OF RESCUE VEHICLE (DISASTER) ITB NO. 20-09 1. The BARANGAY MAULAWIN STA ELENA CAMARINES NORTE throu</t>
  </si>
  <si>
    <t xml:space="preserve"> INVITATION TO BID FOR THE  SUPPLY AND DELIVERY OF QUEUING SYSTEM  PR Nos. 27831-001 1.	The Metropolitan Cebu Water District, through the Corporate Budget of 2020 intends to apply the sum of: PR No.	Description	Qty.	Unit Price	Approved Budget for the Contr</t>
  </si>
  <si>
    <t xml:space="preserve"> Republic of the Philippines Province of Camarines Norte Municipality of Santa Elena BIDS AND AWARDS COMMITTEE INVITATION TO BID FOR ACQUISITION OF OFFICE EQUIPMENT &amp; SUPPLIES FOR PRIMARY AND SECONDARY PUBLIC SCHOOLS ITB NO. 2020-G-021 1.	The MUNICIPALITY </t>
  </si>
  <si>
    <t xml:space="preserve"> Quadrivalent Influenza Virus Vaccine (Flu)</t>
  </si>
  <si>
    <t xml:space="preserve"> INVITATION TO BID Voice &amp; Data subscription for Inmarsat Disaster Emergency Communication Equipment 1.	The Department of Social Welfare and Development, Field Office V, through the General Appropriations Act (GAA), intends to apply the sum of Two Million </t>
  </si>
  <si>
    <t xml:space="preserve"> Riprapping of Little Zoo Farm to Market Road at Sitio Surong, Dungon, Sison, Pangasinan NOTE: BARANGAY FUND/PROJECT</t>
  </si>
  <si>
    <t xml:space="preserve"> MG-A7M20-010..TOTAL REPLACEMENT OF STOP LOGS IN THE TAILRACE OF UNITS 1 &amp; 2 ABC  : P 10,000,000.00 PLACE OF DELIVERY : AGUS 6 &amp; 7 HEP WAREHOUSE MARIA CRISTINA, ILIGAN CITY AMOUNT OF BID DOCUMENTS : P10,000.00</t>
  </si>
  <si>
    <t xml:space="preserve"> Republic of the Philippines Province of Laguna MUNICIPALITY OF SANTA MARIA BIDS AND AWARDS COMMITTEE Tel. # (049) 501-1611 INVITATION TO BID The Municipal Government of Sta. Maria, Laguna through its Bids and Award Committee (BAC), invites contractors reg</t>
  </si>
  <si>
    <t xml:space="preserve"> 1.Materials for Re-Painting  and Repair of Electrical Lines for Budget Office, Passi City, Iloilo/CEO (P 8,910.15) Item No. Descriptions Quantity Units 1.Paint (Semi-Gloss white) 5 Gal. 2.Patching Compound 2 kl. 3.Paint Roller 7” 3 pcs. 4.Paint Brush 2” 4</t>
  </si>
  <si>
    <t xml:space="preserve"> 50 PIECES SOFT BROOM 100 PIECES MOP HANDLE  50 PIECES TOILET BRUSH 50 PIECES MONOBLOCK CHAIR 50 PIECES HARD BROOM 30 PIECES BRUSH WITH LONG HANDLE NOTE: ALL NEW SUPPLIER ARE REQUIRED TO SUBMIT THE FOLLOWING DOCUMENT. 1. DTI Registration 2. SEC Registratio</t>
  </si>
  <si>
    <t xml:space="preserve"> (Please refer to attached Specifications.)</t>
  </si>
  <si>
    <t xml:space="preserve"> Republic of the Philippines DEPARTMENT OF PUBLIC WORKS AND HIGHWAYS PANGASINAN 1ST DISTRICT ENGINEERING OFFICE REGIONAL OFFICE I Alaminos City, Pangasinan INVITATION TO BID FOR 20GAG0004- Furnishing of Office Furniture and other Auxiliary Works for the Co</t>
  </si>
  <si>
    <t xml:space="preserve"> ITEMS OF WORK TO BE DONE INCLUDES: - Surface Prep. (Excavation, leveling, backfill) - Formworks - Curb and Gutter - Concrete shoulder - Reinforced concrete canal</t>
  </si>
  <si>
    <t xml:space="preserve"> Aircon Repair/Cleaning</t>
  </si>
  <si>
    <t xml:space="preserve"> LOT A									 1	Unleaded Gasoline							1	lot	21,600.00 										 	Terms &amp; conditions:									 	    1. The supplier shall start to serve within three (3) days upon receipt of the advice									 	           from the project engineer until the project i</t>
  </si>
  <si>
    <t xml:space="preserve"> Please see the attached document.</t>
  </si>
  <si>
    <t xml:space="preserve"> 10 pails Highly Concentrated Anti Dengue Solution x-x-x-x-x-x-x-x-x-x-xxxxxxx</t>
  </si>
  <si>
    <t xml:space="preserve"> Republic of the Philippines DEPARTMENT OF PUBLIC WORKS &amp; HIGHWAYS, REGION X OFFICE OF THE DISTRICT ENGINEER Lanao del Norte 1st District Engineering Office 0054 Seminary Drive, Del Carmen, Iligan City (063) 225-4244  INVITATION TO BID/REQUEST FOR EXPRESSI</t>
  </si>
  <si>
    <t xml:space="preserve"> Swivel Chair, 1pc 3/4" x 4' x 8' MDF Plywood, 28pcs 1"x2"x10' S4S, 35pcs Cabinet Handle, stainless, 30pcs Cabinet Handle, wood, 20pcs Concealed Hinges, 50pairs Cabinet Lock, 14pcs Stikwel, 2gal Varnish, clear, 4gal Acrylic emulsion, 2gal Liha #120/150, 2d</t>
  </si>
  <si>
    <t xml:space="preserve"> Fire Fighting &amp; Rescue and Safety Equipment-200 pcs. Life Vest Type 3</t>
  </si>
  <si>
    <t xml:space="preserve"> For Laboratory testing:  for Urine test and blood Extraction supplies</t>
  </si>
  <si>
    <t xml:space="preserve"> Printer</t>
  </si>
  <si>
    <t xml:space="preserve"> Republic of the Philippines DEPARTMENT OF PUBLIC WORKS AND HIGHWAYS PANGASINAN 1ST DISTRICT ENGINEERING OFFICE REGIONAL OFFICE I Alaminos City, Pangasinan INVITATION TO BID FOR 20GAG0005- Furnishing of Fdas, Audio Service System and Cctv Ip System for the</t>
  </si>
  <si>
    <t xml:space="preserve"> LOT 1										 2	Portland Cement							6	bags	260.00 										 	Terms &amp; Conditions:									 	● The materials shall be for pick up from the supplier within 10 working 									 	    days from the receipt of a written advice by the project engineer.					</t>
  </si>
  <si>
    <t xml:space="preserve"> Working apparel of Brgy. Employees   T- Shirt with Collar, Short Sleeves and personalize print front and back</t>
  </si>
  <si>
    <t xml:space="preserve"> REQUEST FOR EXPRESSION OF INTEREST FOR CONSULTING SERVICES FOR THE PREPARATION OF SAN ISIDRO MALL (AGRO MALL), PUBLIC MARKET AND TRANSPORT TERMINAL FEASIBILITY STUDY, PLAN AND DETAILED ENGINEERING DESIGN Solicitation No.: Consulting Services-2020-01 The M</t>
  </si>
  <si>
    <t xml:space="preserve"> Repair &amp; Maintenance of MAO Office Equipment</t>
  </si>
  <si>
    <t xml:space="preserve"> Diploma Case</t>
  </si>
  <si>
    <t xml:space="preserve"> INVITATION TO BID FOR SUPPLY AND DELIVERY OF 4 UNITS DUPLICATING MACHINE 1.	The Municipal Government of Lal-lo, through the Special Education Fund of 2020 intends to apply the sum of Five Hundred Twenty Thousand Pesos (Php 520,000.00) being the Approved B</t>
  </si>
  <si>
    <t xml:space="preserve"> ITEMS OF WORK TO BE DONE INCLUDES: - Removal of structures and obstruction (concrete column) - Removal of structures and obstruction (existing riprap) - Structure excavation (unclassified materials) - Structural concrete - Reinforcing steel - Formworks - </t>
  </si>
  <si>
    <t xml:space="preserve"> 1. FORMWORKS 2. MASONRY WORKS</t>
  </si>
  <si>
    <t xml:space="preserve"> FUEL  ABC: PHP 61,514.60</t>
  </si>
  <si>
    <t xml:space="preserve"> 1 UNIT SPLIT TYPE AIRCON 1.5HP NON INVERTER 1 UNIT INSTALLATION AND CONSUMABLE NOTE: ALL NEW SUPPLIER ARE REQUIRED TO SUBMIT THE FOLLOWING DOCUMENT. 1. DTI Registration 2. SEC Registration 3. Current Mayor's Permit 4. Certificate of Registration from B.I.</t>
  </si>
  <si>
    <t xml:space="preserve"> INVITATION TO BID FOR the Supply and delivery of Supply and delivery of various livelihood materials for swine production, rice trading, sari-sari store, dried fish and pusit trading and carpentry under DOLE-SFO (second posting) 1.	The Department of Labor</t>
  </si>
  <si>
    <t xml:space="preserve"> Please see Attachment</t>
  </si>
  <si>
    <t xml:space="preserve"> Livelihood Enhancement through Free- Range Chicken production</t>
  </si>
  <si>
    <t xml:space="preserve"> INVITATION TO BID FOR THE PROCUREMENT OF SUPPLY &amp; DELIVERY OF 38 SETS LAYER POULTRY PACKAGE     1.	The Department of Agriculture Regional Field Office 6 through the General Appropriations Act (GAA) of 2020 intends to apply the sum of One Million Nine Hund</t>
  </si>
  <si>
    <t xml:space="preserve"> Republic of the Philippines Province of Cotabato Municipality of Arakan Barangay Allab PBIDS AND AWARDS COMMITTEE INVITATION TO BID FOR  Ri Bid For  Supply of Fuels and Lubricants for Road Rehabilitation 1.	The Barangay Local Government Unit of Allab, thr</t>
  </si>
  <si>
    <t xml:space="preserve"> 1.Various supplies for market use/CEEMO-Market (P 106,295.00) Item no. Description Quantity Units 1.Flourescent Lamp, with frame, ballast, and starter only 18w LED 25 sets. 2.THHN 3.5mm2 Cu. Wire (150 meters) 2 box. 3.THHN 5.5mm2 Cu. Wire (150 meters) 2 b</t>
  </si>
  <si>
    <t xml:space="preserve"> Lot 1- Various Const. Materials									 1	Portland Cement 							1,202	bags	260.00 	 Terms &amp; Conditions :									 	1. The materials shall be  delivered by the supplier upon a written advice by the project engineer									 	and shall be delivered at pro</t>
  </si>
  <si>
    <t xml:space="preserve"> Item			 No.	Qty	Unit	            Items/Description 1	10	pcs.	Tires (16/700) Foton new &amp; old 2	8	pcs.	Tires (15/700) Foton new 3	6	pcs.	Tires (215/70R15)Van 4	6	pcs.	Tires (235/70R15) Toyota Hi-ace 5	1	set	Brake master Assembly (Foton old) 6	1	set	Power St</t>
  </si>
  <si>
    <t xml:space="preserve"> REQUEST FOR EXPRESSION OF INTEREST FOR  CONSULTING SERVICES FOR THE PREPARATION OF FEASIBILITY STUDY (FS), SURVEY AND DETAILED ENGINEERING DESIGN (D.E.D.) OF THE PHILIPPINE RURAL DEVELOPMENT PROJECT (PRDP): 1) CONCRETING OF RIZAL WEST-RAMOS WEST-RAMOS EAS</t>
  </si>
  <si>
    <t xml:space="preserve"> INVITATION TO BID (2020-07-05) The Department of Justice (DOJ), through the Bids and Awards Committee (BAC) is inviting interested parties to bid for the following projects:                            Name of Project	:	1. Purchase of 16 units Firewall 		 </t>
  </si>
  <si>
    <t xml:space="preserve"> Supply &amp; Delivery of 5 Units Four Wheeled Farm Tractor for the Municipal Agriculturist Office, Municipality of Bongabong, Oriental Mindoro</t>
  </si>
  <si>
    <t xml:space="preserve"> 1.Materials &amp; Equipment Rental for Construction of Overflow at Sitio Binaliwan East Brgy. Gemomua-Agahon, Passi City, Iloilo/Brgy. Gemomua-Agahon (P 482,645.25). Item No. Description Quantity Units 1.Common borrow (w/25% shrinkage factor) 124.25 M3. 2.Agg</t>
  </si>
  <si>
    <t xml:space="preserve"> Portland Cement, 40kg., 45bags Sand, 5 cu.m. Floor tiles, 50cmx50cm, 266 sq.m. ABC Tile Adhesive, 15bags Tile grout, 20packs Tile Trim, 10pcs 3/4"x4'x8' marine plywood, 1pc</t>
  </si>
  <si>
    <t xml:space="preserve"> The National Irrigation Administration-Regional Office 12, Villarica, Midsayap, Cotabato, through the Fund 501 has the Approved Budget for the Contract (ABC) amounting to FIFTY THOUSAND PESOS ONLY (P 50,000.00). Quotation received in excess of the ABC sha</t>
  </si>
  <si>
    <t xml:space="preserve"> PLEASE SEE PURCHASE REQUEST AND REQUEST FOR QUOTATION FOR SPECIFIC DETAILS PLEASE SUBMIT, TOGETHER WITH YOUR QUOTATION THE FOLLOWING: CERTIFICATE OF PHILGEPS REGISTRATION CERTIFICATE OF REGISTRATION FROM BIR TAX CLEARANCE BUSINESS PERMIT DTI CERTIFICATE A</t>
  </si>
  <si>
    <t xml:space="preserve"> MG-A5C20-011..BATTERY BANK, 125VDC INDUSTRIAL LEAD ACID BATTERIES, 60 UNITS ABC  : P 3,500,000.00 PLACE OF DELIVERY  : AGUS 5 HEP WAREHOUSE DITUCALAN, ILIGAN CITY AMOUNT OF BID DOCUMENTS : P 5,000.00</t>
  </si>
  <si>
    <t xml:space="preserve"> INVITATION TO BID (2020-07-05) The Department of Justice (DOJ), through the Bids and Awards Committee (BAC) is inviting interested parties to bid for the following projects:                            Name of Project	:	Purchase of 125 units Access Points </t>
  </si>
  <si>
    <t xml:space="preserve"> INVITATION TO BID PROCUREMENT OF VARIOUS GOODS IB NO. 2020-08-25 (10) 1.	The Department of Health Cagayan Valley Center for Health Development, through the GOP-General Appropriations Act 2020 intends to apply the lump sum of Two Million Nine Hundred Eight</t>
  </si>
  <si>
    <t xml:space="preserve"> materials for Construction of Water System / Installation of Pipeline</t>
  </si>
  <si>
    <t xml:space="preserve"> Repair of Multi-Purpose Halla at Sitio Bigao, Barangay Minanga, San Mariano, Isabela</t>
  </si>
  <si>
    <t xml:space="preserve"> MG-A7M20-006..FABRICATION OF TRASH RACKS AT AGUS 6 HEP UNIT 3 ABC  : P 10,000,000.00 PLACE OF DELIVERY : AGUS 6 &amp; 7 HEP WAREHOUSE MARIA CRISTINA, ILIGAN CITY AMOUNT OF BID DOCUMENTS : P 10,000.00</t>
  </si>
  <si>
    <t xml:space="preserve"> Republic of the Philippines Province of Camarines Norte Municipality of Sta Elena BARANGAY KABULUAN BIDS AND AWARD COMMITTEE INVITATION TO BID FOR PURCHASE OF INSTALLATION OF SOLAR STREET LIGHTS ITB NO. 20-07 1. The BARANGAY KABULUAN STA ELENA CAMARINES N</t>
  </si>
  <si>
    <t xml:space="preserve"> 1unit ----- 1. CAKE SHOWCASE CHILLER  vertical type; movable with 2 glass doors; 22 cu. ft capacity; dimension 3x3x8 ft.; Power 0.8Kw (220 voltage); T 2-8 C 1unit ----- 2. LOAF/ BREAD SLICER  electric, industrial type, heavy duty, with 28 to 31 blades  2u</t>
  </si>
  <si>
    <t xml:space="preserve"> Republic of the Philippines Province of Batangas Municipality of San Juan BIDS AND AWARDS COMMITTEE INVITATION TO APPLY FOR ELIGIBILITY AND TO BID THE LOCAL  GOVERNMENT UNIT OF BRGY. POCTOL, SAN JUAN, BATANGAS, through its Bids and Awards Committee(BAC), </t>
  </si>
  <si>
    <t xml:space="preserve"> INVITATION TO BID FOR SUPPLY AND DELIVERY OF 3 UNITS 167 KVA TRANSFORMER 1.	The Municipal Government of Lal-lo, through the General Fund-Continuing Appropriation intends to apply the sum of One Million Pesos (Php 1,000,000.00) being the Approved Budget fo</t>
  </si>
  <si>
    <t xml:space="preserve"> INVITATION TO BID 1.	The Province of Cebu through the 2020 General Fund, intends to apply the sum of TWO MILLION SEVEN HUNDRED TWENTY-TWO THOUSAND SEVEN HUNDRED SEVENTY-FOUR PESOS AND 00/100 (Php2,722,774.00) being the Approved Budget for the Contract (AB</t>
  </si>
  <si>
    <t xml:space="preserve"> The Barangay Bicok, Tuao Cagayan through its MUNICIPAL AID Fund intends to apply the sum of    Php 93,731.00  being the Approved Budget for the Contract (ABC) to payments under the contract for  Procurement of Materials for the Construction of BARANGAY MR</t>
  </si>
  <si>
    <t xml:space="preserve"> INVITATION TO BID  1.	The Province of Cebu through the 2020 General Fund, intends to apply the sum of NINE MILLION TWO HUNDRED SEVENTY-EIGHT THOUSAND TWO HUNDRED SEVENTY-TWO PESOS AND 00/100 (Php9,278,272.00) being the Approved Budget for the Contract (AB</t>
  </si>
  <si>
    <t xml:space="preserve"> BIDS AND AWARDS COMMITTEE Tel. # (049) 501-1611 August 5, 2020 INVITATION TO BID The Municipal Government of Sta. Maria, Laguna through its Bids and Award Committee (BAC), invites suppliers/manufacturers/distributors to apply for eligibility and to bid fo</t>
  </si>
  <si>
    <t xml:space="preserve"> Other Supplies</t>
  </si>
  <si>
    <t xml:space="preserve"> Procurement of Laptop/Printer Php 60,000.00</t>
  </si>
  <si>
    <t xml:space="preserve"> CONSTRUCTION MATERIALS AND SUPPLIES</t>
  </si>
  <si>
    <t xml:space="preserve"> REQUEST FOR QUOTATION (RFQ) 1. Bayawan National High School – Junior High School Department hereby requests you to submit price quotation for the Supply and Delivery of 32 units Printer for the Teachers: Item Number	Description	Quantity 1	printer, colored</t>
  </si>
  <si>
    <t xml:space="preserve"> 10		pc.	1/2'' Marine Plywood				 40		pc.	1/4'' Marine Plywood				 10		kl.	#1 Bronze nails				 10		kl.	#1 1/2 Bronze nails				 10		kl.	#2 Bronze nails				 10		gal.	Marine Epoxy				 40		pc.	Log screw #3				 40		pc.	Stand Bolt #4				 10		pc.	Timon (big)				 </t>
  </si>
  <si>
    <t xml:space="preserve"> Republic of the Philippines Province of Davao Oriental City of Mati BIDS &amp; AWARDS COMMITTEE INVITATION TO BID LOT Procurement of VETERINARY SUPPLIES for Use in Provincial Livestock and Breeding Center at PARDC, Magay, City of Mati SOURCE OF FUND: OLFP [19</t>
  </si>
  <si>
    <t xml:space="preserve"> Fine Sand, 100 cu.m. Gravel, 30 cu.m.</t>
  </si>
  <si>
    <t xml:space="preserve"> The Barangay San Juan, Tuao Cagayan through its MUNICIPAL AID Fund intends to apply the sum of Php 100,000.00  being the Approved Budget for the Contract (ABC) to payments under the contract for  Purchased of Motorcycle with Sidecar (Kulung-Kulung). Bids </t>
  </si>
  <si>
    <t xml:space="preserve"> INVITATION TO BID Bid No. B-114-2020  1.	The Provincial Government of Negros Oriental through Responsibility Center: 1011-28(20) / Account Code: 1070-6010, intends to apply the sum of Four Million Pesos (Php 4,000,000.00) to payment under the contract “Pu</t>
  </si>
  <si>
    <t xml:space="preserve"> Item No.	Description	Unit	Quantity b.9	Mobilization/Demobilization	L.S.	1.00 801(1)	Removal of Structures and Obstructions	L.S.	1.00 807(14)	Gate	L.S.	1.00</t>
  </si>
  <si>
    <t xml:space="preserve"> 1 REGION XII Province of Cotabato Municipality of Midsayap BIDS &amp; AWARDS COMMITTEE Tel. Nos. (064) 229-8018; 229-8650; 229-8450 INVITATION TO BID FOR  2020-097, INSTALLATION OF WATER SYSTEM AT PUROK DECOLORES, KIMAGANGO,  MIDSAYAP, COTABATO 1. The MUNICIP</t>
  </si>
  <si>
    <t xml:space="preserve"> 2units ----- Kneading machine with motor - 1 ft roller - width 28"; length 39 1/2"; height 28" - roller- diameter 4"; length 20" - shaft 33" -motor: 3 hp 3units ----- Drying Racks  - 5 layers, 12" height for each layer - 3/16" x 1 1/2" angle bars with pla</t>
  </si>
  <si>
    <t xml:space="preserve"> Republic of the Philippines NATIONAL FOOD AUTHORITY Eastern Visayas Regional Office  Pawing, Palo, Leyte - INVITATION TO BID REPAIR OF  RAWIS  DUPLEX OWNED WAREHOUSE AT RAWIS, NORTHERN SAMAR Project Reference No. 2020-NFA-RBAC8-INFR- 22 The NATIONAL FOOD </t>
  </si>
  <si>
    <t xml:space="preserve"> INVITATION TO BID (2020-07-05) The Department of Justice (DOJ), through the Bids and Awards Committee (BAC) is inviting interested parties to bid for the following projects:                            Name of Project	:	Purchase of 235 units Anti-virus Sof</t>
  </si>
  <si>
    <t xml:space="preserve"> 330		pcs	Ballpen (Black) 				 48		pcs	Ballpen (Blue)				 6		pcs	Battery AA				 12		packs	Battery AAA , 3pcs/pack				 30		packs	Board Paper (Legal, White)				 30		packs	Board Paper (Legal,Yellow)				 2		packs	Board Paper (A4, White)				 306		reams	Bond Pap</t>
  </si>
  <si>
    <t xml:space="preserve"> 2HP split type air condition including installation</t>
  </si>
  <si>
    <t xml:space="preserve"> Republic of the Philippines Province of Leyte MUNICIPALITY OF HILONGOS REQUEST FOR QUOTATIONS 				________________                                                                                                                                             </t>
  </si>
  <si>
    <t xml:space="preserve"> Provision of 20 Units Shallow Tube Well for the Municipal Agriculturist Office</t>
  </si>
  <si>
    <t xml:space="preserve"> INVITATION TO BID FOR SUPPLY AND DELIVERY OF 1 UNIT MINI TRACTOR 1.	The Municipal Government of Lal-lo, through the 20% Development Fund intends to apply the sum of One Million One Hundred Thousand Pesos (Php 1,100,000.00) being the Approved Budget for th</t>
  </si>
  <si>
    <t xml:space="preserve"> Procurement of Meals &amp; Snacks Php56,500.00</t>
  </si>
  <si>
    <t xml:space="preserve"> Republic of the Philippines Province of Pangasinan MUNICIPALITY OF LINGAYEN Invitation to Bid    1. The Municipality of Lingayen, through the General Fund-Capital Outlay       intends to apply the amount of   Four Hundred Thousand  Pesos Only (P400,000.00</t>
  </si>
  <si>
    <t xml:space="preserve"> MG-A5C20-021..BUCHHOLZ RELAY, AGUS 5 HE PLANT ABC  : P 2,000,000.00 PLACE OF DELIVERY  : AGUS 5 HEP WAREHOUSE DITUCALAN, ILIGAN CITY AMOUNT OF BID DOCUMENTS : P 3,000.00</t>
  </si>
  <si>
    <t xml:space="preserve"> Procurement of Office Supplies - Accounting Office Delivery of the following items: 1. Book paper, S-20 short - 60 reams 2. Book paper, S-20 long - 60 reams 3. Book paper, S-20 A4 - 30 reams 4. Thick plastic folder - short (blue) - 36 pcs. 5. Ordinary fol</t>
  </si>
  <si>
    <t xml:space="preserve"> Construction of Drainage Canal along Purok Bougainvilla, Barangay Magugpo North, Tagum City Total Land Area: 15:00 In.m (aaprox.)</t>
  </si>
  <si>
    <t xml:space="preserve"> REQUEST  FOR  QUOTATION RFQ NO. 2020-08-03-(9067) 								   		PR No. 2020-480 									    		                   August 3, 2020       Date      Company Name:	__________________________________________ Address		:	__________________________________________ </t>
  </si>
  <si>
    <t xml:space="preserve"> Negotiated Procurement No. 2020-23 (GAS) NOTICE FOR NEGOTIATED PROCUREMENT The Department of Agriculture, Western Visayas, Iloilo City invites all suppliers/distributors to participate in the NEGOTIATION for the Procurement of Supply &amp; Delivery of Pheromo</t>
  </si>
  <si>
    <t xml:space="preserve"> 30 T/LOAD   GRAVEL AND SAND (S1) 2000 BAGS  CEMENT 40 PCS        10MM RSB 2 KLS          TIE WIRE 2 PCS          HACKSAW BLADE</t>
  </si>
  <si>
    <t xml:space="preserve"> Specs or Item	Unit	DESCRIPTION				Qty 						 02220	cu.m.	Excavation and Backfilling				120.09 02935	cu.m.	Concrete Grouting				1.95 15270	M.S.	Distribution &amp; Metering System				62.00 15066	L.m.	PE Pipes Installation				12,000.00 SPCL Item 1	Each	Project S</t>
  </si>
  <si>
    <t xml:space="preserve"> Negotiated Procurement No. 2020-22 (GAS) NOTICE FOR NEGOTIATED PROCUREMENT The Department of Agriculture, Western Visayas, Iloilo City invites all suppliers/distributors to participate in the NEGOTIATION for the Procurement of Supply &amp; Delivery of Farm In</t>
  </si>
  <si>
    <t xml:space="preserve"> Negotiated Procurement No. 2020-21 (GAS) NOTICE FOR NEGOTIATED PROCUREMENT The Department of Agriculture, Western Visayas, Iloilo City invites all suppliers/distributors to participate in the NEGOTIATION for the Procurement of Supply &amp; Delivery of Goat. A</t>
  </si>
  <si>
    <t xml:space="preserve"> Engine Specification:  Model: 1GD-FTV 1 unit 2.8 Diesel A/T  Type: 4 cylinder, 16 valve DOHC Variable Nozzle Turbo charger  Displacement: 2,755 cc Max. Output: A/T171 (M/T 167)/3,400 Max. Torque: A/T 360 (M/T 343)/1,200-3,400 Fuel system: Direct Injection</t>
  </si>
  <si>
    <t xml:space="preserve"> The LGU - Mariveles, through the Budget of the Contract Approved by the Sanggunian of 2020 intends to apply the sum of Eight Hundred Thousand Pesos (Php 800,000.00) being the Approved Budget for the Contract (ABC) to payments under the contract for Procur</t>
  </si>
  <si>
    <t xml:space="preserve"> INVITATION TO BID 1.	The Province of Cebu through the 2020 General Fund, intends to apply the sum of SIXTEEN MILLION SIX HUNDRED FORTY-TWO THOUSAND EIGHT HUNDRED FIFTY PESOS AND 00/100 (Php16,642,850.00) being the Approved Budget for the Contract (ABC) to</t>
  </si>
  <si>
    <t xml:space="preserve"> Republic of the Philippines Province of Leyte MUNICIPALITY OF HILONGOS REQUEST FOR QUOTATIONS 					 				________________ 										  Date ________________________________ ________________________ ________________________ __________________________________</t>
  </si>
  <si>
    <t xml:space="preserve"> INVITATION TO REBID FOR THE PROCUREMENT OF SUPPLY &amp; DELIVERY OF INORGANIC FERTILIZERS      1.	The Department of Agriculture Regional Field Office 6 through the General Appropriations Act (GAA) of 2020 intends to apply the sum of Forty Five Million Seven H</t>
  </si>
  <si>
    <t xml:space="preserve"> Construction of 2 Units Dugwell/Pumpwell</t>
  </si>
  <si>
    <t xml:space="preserve"> Additional Reference of the Library</t>
  </si>
  <si>
    <t xml:space="preserve"> REQUEST FOR QUOTATION Please quote your lowest price on the items listed below, subject to the conditions also listed below, stating the shortest time of delivery and submit your quotation duly signed by your authorized representative not later than 4:00 </t>
  </si>
  <si>
    <t xml:space="preserve"> Livelihood Enhancement through Free- Range Chicken Production</t>
  </si>
  <si>
    <t xml:space="preserve"> 1 LOT  Catering Service (Packed Snacks) for NSB 115 pax for Brgy. Sua, San Juan, Southern Leyte Menu: Pancit Bam-I, fried chicken, and canned juice 115 pax for Brgy. Agay-ay, San Juan, Southern Leyte Menu: Spaghetti, fried chicken and bottled juice 115 pa</t>
  </si>
  <si>
    <t xml:space="preserve"> ITEMS OF WORK INCLUDES: - Manual hauling of materials from roadside to jobsite - Site preparation, clearing and demolition of existing structures - Installation of sink - Laying of 4" CHB with rebars - Plastering works - Doors and windows - Tile works inc</t>
  </si>
  <si>
    <t xml:space="preserve"> 1.	Contract ID	No. 	      	: 20AD0112 Contract Name	      	: Construction of 1 sty-2 cl, Nagpanaoan Community School Contract Location	      	: Santa, Ilocos Sur	       Brief Description	      	: Complete construction of (7.00m x 18.00m plus corridor 2.50</t>
  </si>
  <si>
    <t xml:space="preserve"> INVITATION TO BID    		Republic of the Philippines 			  NATIONAL FOOD AUTHORITY           Eastern Visayas Regional Office      Pawing, Palo, Leyte INVITATION TO BID   REPAIR OF GID CATUBIG WAREHOUSE AT CATUBIG, NORTHERN SAMAR Project Reference No. 2020-NF</t>
  </si>
  <si>
    <t xml:space="preserve"> Republic of the Philippines Province of Batangas CITY OF STO. TOMAS INVITATION TO BID  The City Government of Sto. Tomas, Batangas through its Bids and Awards Committee (BAC) invites suppliers/manufacturers/distributors to apply for eligibility, and if fo</t>
  </si>
  <si>
    <t xml:space="preserve"> Please see the attached documents</t>
  </si>
  <si>
    <t xml:space="preserve"> The Bids and Awards Committee (BAC) of the LGU-Bacolod, Lanao del Norte, invites contractors to bid for the aforementioned project: Contract ID			:	BAC-2020-01-001 Contract Name			:	Materials for Road Concreting at Brgy. Binuni Contract Location		: 	Brgy.</t>
  </si>
  <si>
    <t xml:space="preserve"> Republic of the Philippines MUNICIPALITY OF TAPAZ BIDS AND AWARDS COMMITTEE Office of the BAC Secretariat, Poblacion, Tapaz, Capiz 5814 E-mail: bac.tapaz@yahoo.com Invitation to Re-Bid:   Procurement of Works for the Installation of 869 units of Integrate</t>
  </si>
  <si>
    <t xml:space="preserve"> PAKYAW LABOR</t>
  </si>
  <si>
    <t xml:space="preserve"> ICT Equipment</t>
  </si>
  <si>
    <t xml:space="preserve"> Procurement of Tools and Equipment in Driving NC II of PTC Masbate</t>
  </si>
  <si>
    <t xml:space="preserve"> Aircon Repair &amp; Cleaning</t>
  </si>
  <si>
    <t xml:space="preserve"> Spring Elementary School would like to ask you to quote your lowest price for the said goods.</t>
  </si>
  <si>
    <t xml:space="preserve"> 1 unit of Laptop 2 unit of Desktop Computer</t>
  </si>
  <si>
    <t xml:space="preserve"> Republic of the Philippines SILAY CITY GOVERNMENT Zamora Street Silay City, Negros Occidental Telefax No. (034) 495-3746 	Control  Reference Number : GOODS#0130, ITB#0133,  PR#0412: SCG-2020 Name of the Project: Purchase of Construction Materials and Supp</t>
  </si>
  <si>
    <t xml:space="preserve"> REQUEST FOR QUOTATION The GOVERNMENT SERVICE INSURANCE SYSTEM invites all interested registered suppliers to submit quotations for: Quantity	Unit of Measure 	                    Description               Total ABC 300	  ream	Paper Copy A4 80gsm           </t>
  </si>
  <si>
    <t xml:space="preserve"> Item No.	Item Description	Quantity	Unit of Issue	Estimated Unit Cost (₱)	Total Estimated Cost (₱) 					 1	Plastic Drum @ 100 liters	400	pcs	 600.00 	 240,000.00</t>
  </si>
  <si>
    <t xml:space="preserve"> Delivery Term: Weekly supply and delivery/distribution Delivery day: Monday and Thursday Contract Duration: August 1, 2020 to December 31, 2020 Interested suppliers are required to submit their valid and current Mayor’s Permit, DTI/SEC Registration (for p</t>
  </si>
  <si>
    <t xml:space="preserve"> Subgrade Preparation Aggregate Base Course PCC Pavement Construction Safety and Health Warning &amp; Hazard Signs Billboard</t>
  </si>
  <si>
    <t xml:space="preserve"> The Barangay Government of Capalutan, Allacapan Cagayan, through its Bids and Awards Committee (BAC) will invites interested entities to submit their bidding documents for the following details: Name of Project: Road MAintenance (Earthworks) Source of Fun</t>
  </si>
  <si>
    <t xml:space="preserve"> ITEM         DESCRIPTION                             QTY.        UNIT     I.             CONSTRUCTION OF  BENCHES       27           M</t>
  </si>
  <si>
    <t xml:space="preserve"> Office Equipment Supplies and Consumables-Binding Services of Modules</t>
  </si>
  <si>
    <t xml:space="preserve"> Stock No.   Item Description    QTY.     Unit 1    White Printing 20" x 30" White Printing Paper       182       Sheets for 7 sets of plans Architectural plans    - 7 sheets Structural plans        - 6 sheets Electrical plans         - 8 sheets plumbing p</t>
  </si>
  <si>
    <t xml:space="preserve"> Vehicles- 1.	1 unit Stake Truck 6 wheelers Specs: No. of Cylinders: 4 Displacement: 2771 Drive Layout: Rear Wheel Drive Max Output (kw/Hp/rpm): 80kw (108Hp) Max Torque (Nm/rpm): 260Nm Transmission: Getrag 5 speed manual Gross Weight: 4495 kgs. Wheelbase: </t>
  </si>
  <si>
    <t xml:space="preserve"> Procurement of Meals Php 193,650.00</t>
  </si>
  <si>
    <t xml:space="preserve"> Description	Quantity	Unit Angle Bars 1” x 1”x 1/8”	30	Length Flat Bars 1” x 1/8”	10	Length C-Purlins 2x3x1.5mm	220	Length Turn  Buckle 12mm	20	Pcs. Lacquer Thinner	8	Gal. Metal Primer	8	Gal.</t>
  </si>
  <si>
    <t xml:space="preserve"> Invitation to Bid for the  PROCUREMENT OF COMMERCIAL RICE Kiblawan, Davao del Sur 1.The Local Government Unit of Kiblawan, through the 2020 General Fund[ In the case of National Government Agencies, the General Appropriations Act and/or continuing appropr</t>
  </si>
  <si>
    <t xml:space="preserve"> INVITATION TO BID  Supply and Delivery of 24,592 bags Hybrid Palay Seeds for use of Rice Program 2020 1.	The Department of Agriculture Regional Field Office No. 5, through the General Appropriations Act (GAA) for CY 2020--Rice  intends to apply the sum of</t>
  </si>
  <si>
    <t xml:space="preserve"> August 4, 2020 REQUEST FOR QUOTATION The Mabolo National High School, Division of Cebu City, through its Bids and Awards Committee (BAC), invites interested parties to submit quotations for NEWSPRINT PAPER  for an approved budget of Four Hundred Thousand </t>
  </si>
  <si>
    <t xml:space="preserve"> Bids received in excess of the ABC shall be automatically rejected at bid opening. The bidders should have completed within ten (10) years from the date of submission and receipt of bids, a contract similar to the project. The description of an eligible b</t>
  </si>
  <si>
    <t xml:space="preserve"> Construction of Evacuation Center at San Juan, Bongabong, Oriental Mindoro</t>
  </si>
  <si>
    <t xml:space="preserve"> Item			 No.	Qty	Unit	            Items/Description 1	24	pcs.	LED Road Lamp 80 watt 100-270V Tiltable design 2	4	roll	PDX wire #12  3	2	amp.	Circuit breaker 100 amps., Heavy Duty</t>
  </si>
  <si>
    <t xml:space="preserve"> 1.Materials and Equipment Rental for the Improvement of Multi-Purpose Hall and its Facilities (Hanging Board with Ring), Brgy. Nueva Union, Passi City, Iloilo/CEO (P 214,707.82) Item No. Description Quantity Units 1.38mm dia. x 6m s.40 gi pipe 19 pcs. 2.3</t>
  </si>
  <si>
    <t xml:space="preserve"> Republic of the Philippines Region XII Province of Cotabato City of Kidapawan OFFICE OF THE BIDS AND AWARD COMMITTEE August 5, 2020 INVITATION TO BID FOR  SUPPLY AND DELIVERY OF RESCUE EQUIPMENTS AND APPAREL FOR THE USE OF THE CDRRMO/CALL 911, KIDAPAWAN C</t>
  </si>
  <si>
    <t xml:space="preserve"> 1 REGION XII Province of Cotabato Municipality of Midsayap BIDS &amp; AWARDS COMMITTEE Tel. Nos. (064) 229-8018; 229-8650; 229-8450 INVITATION TO BID FOR  2020-098, REMOVAL AND REPLACEMENT OF CONCRETE PAVEMENT AT PUROK 7, VILLARICA, MIDSAYAP, COTABATO 1. The </t>
  </si>
  <si>
    <t xml:space="preserve"> 2.	Contract ID	No. 	      	: 20AD0113 Contract Name	      	: Concreting of Sitio Macaag to Damuco FMR,  Contract Location	      	: Brgy. Suyo Proper, Suyo, Ilocos Sur	       Brief Description	      	: Concretinf of FMR Approved Budget for  the Contract (A</t>
  </si>
  <si>
    <t xml:space="preserve"> Construction of Covered Court (Wings &amp; Flooring Extension)</t>
  </si>
  <si>
    <t xml:space="preserve"> Republic of the Philippines SILAY CITY GOVERNMENT Zamora Street Silay City, Negros Occidental Telefax No. (034) 495-3746 	Control  Reference Number : GOODS#0148, ITB#0151,  PR#0426: SCG-2020 Name of the Project: PURCHASE OF  CONTRUSTION MATERIALS AND SUPP</t>
  </si>
  <si>
    <t xml:space="preserve"> Information Technology- 1.	1 set Transit Total Station (GNSSRTK)                       Support Multi Constellations &amp; Frequencies: -	GPL L1C/A, L2C, L2P, L5 -	GLONASS L1C/A, L2C/A -	BeiDou B1, B2, B3 -	Galileo E1, E5A, E5B -	QZSS L1C/A, L1C, L2C, L5 -	SBA</t>
  </si>
  <si>
    <t xml:space="preserve"> Barangay Cabilaoan West, Laoac, Pangasinan  Project Reference No.: LP 2020-03 Name of Project: Purchase of one (1) unit second-hand passenger van. Location of the Project: Barangay Cabilaoan West, Laoac, Pangasinan Standard Form Number: SF-GOOD-05 Revised</t>
  </si>
  <si>
    <t xml:space="preserve"> INVITATION TO BID The City of Bayawan, through its Bids and Awards Committee (BAC), invites suppliers/manufacturers/distributors/contractors to bid for the hereunder projects: 	Lot No. I		BROTHER INKS AND TONERS (ORIGINAL)					 19	2	cartridge(s)	Toner Car</t>
  </si>
  <si>
    <t xml:space="preserve"> PROCUREMENT OF THREE (3) UNITS RISO DIGITAL DUPLICATOR AND TWENTY-FOUR (24) UNITS MULTI-FUNCTION COPIER PRINT</t>
  </si>
  <si>
    <t xml:space="preserve"> Chlorine Dosing Pump</t>
  </si>
  <si>
    <t xml:space="preserve"> Specs: 105 sacks Commercial Rice</t>
  </si>
  <si>
    <t xml:space="preserve"> This is a Project of Barangay Diwan, Dipolog City, please collect bid documents at Barangay Hall Diwan. Purpose: For the use of the community of Barangay Diwan. 1 Unit/Set of BAJAJ RE "BAO BAO", Unit Cost = Php 186,046.00, Total Amount = Php 186,046.00</t>
  </si>
  <si>
    <t xml:space="preserve"> Assorted books - story books                        - dictionaries                        - coloring books                        - puzzles</t>
  </si>
  <si>
    <t xml:space="preserve"> The Barangay Alabiao, Tuao Cagayan through its 20% Barangay Dev't Fund intends to apply the sum of               Php 60,096.02  being the Approved Budget for the Contract (ABC) to payments under the contract for  Rehabilitation of Stage. Bids received in </t>
  </si>
  <si>
    <t xml:space="preserve"> Supply and Delivery and Installation of Office Cubicles Lot 1 - Cubicle (0.85 x 0.85 x 1.10m) - 12 units           Cubicle (1.05 x 0.65 x 1.10m) - 1 unit Lot 2 - Mobile Pedestal - 13 pcs. -see attached RFQ Form for more details.</t>
  </si>
  <si>
    <t xml:space="preserve"> KOLAMBUGAN WATER DISTRICT					  ( GOVERNMENT OWNED AND CONTROLLED CORPORATION )					 Cabili Street, Poblacion, Kolambugan Lanao del Norte 920               					 TIN: 004-365-844    CCC # 539    Tel. No. (063) 227-5201					 					 REQUEST FOR QUOTATION				</t>
  </si>
  <si>
    <t xml:space="preserve"> Provision for Janitorial and General Support Services for Pag-IBIG Fund Bicol Area      Janitor (6-day work/week) - 10      Janitor (5-day work/week) - 2      Driver (5-day work/week) - 5      Reproduction Machine Operator (5-day work/week) - 1      Carpe</t>
  </si>
  <si>
    <t xml:space="preserve"> Portland Cement, 40kg, 200bags Sand, 500sack Gravel, 500sack 10mm dia. x 6.0m rebar std., 100pcs No.16 tying wire, 20kls. CWNails, assorted, 20kls 1/2" x 4' x 8' phenolic, 8pcs</t>
  </si>
  <si>
    <t xml:space="preserve"> PUBLIC BIDDING SECOND POSTING The municipal government of Romblon through its Bids and Awards Committee (BAC) invites PhilGEPS registered suppliers to apply to bid for the Supplementary Feeding for the Malnourished Children and Pregnant Women.</t>
  </si>
  <si>
    <t xml:space="preserve"> (PLEASE SEE ATTACHED ASSOCIATED COMPONENT) please send Request for Quotation  -  philgepsprocurement19@gmail.com Contact Person:	FREDERICK VILLAS (711-69-73) 1	unit	"Computer Laptop (Executive) - Branded &amp; Brand-new Processor: Intel Core i5 - 7th Gen, Pro</t>
  </si>
  <si>
    <t xml:space="preserve"> REQUEST TO SUBMIT BEST AND FINAL OFFER DUE TO TWO FAILED BIDDINGS UNDER NEGOTIATED CONTRACT (Supply and Delivery Manual and Self-Propelled Forklift under 2020 Corn Program) Pursuant to Section 53.1 of RA 9184 and its revised IRR, the Bids and Awards Commi</t>
  </si>
  <si>
    <t xml:space="preserve"> Province of Nueva Ecija Municipality of General Mamerto Natividad BIDS AND AWARDS COMMITTEE  INVITATION TO BID FOR  “AID TO BARANGAYS (PURCHASE OF MOTORCYCLES)” 1.	The LGU – General Mamerto Natividad, Nueva Ecija, through the 2020 Aid to Barangays intends</t>
  </si>
  <si>
    <t xml:space="preserve"> Negotiated Procurement No. 2020-24 (GAS) NOTICE FOR NEGOTIATED PROCUREMENT The Department of Agriculture, Western Visayas, Iloilo City invites all suppliers/distributors to participate in the NEGOTIATION for the Procurement of Supply &amp; Delivery of Various</t>
  </si>
  <si>
    <t xml:space="preserve"> I. STEEL WORKS II. TINNERY WORKS</t>
  </si>
  <si>
    <t xml:space="preserve"> Republic of the Philippines Department of Environment and Natural Resources ENVIRONMENTAL MANAGEMENT BUREAU REGION VI Tel. Nos.: 033-336-6989                               REQUEST FOR QUOTATION (RFQ) SUPPLY AND DELIVERY OF ENDPOINT SECURITY OF EMB R6 RFQ </t>
  </si>
  <si>
    <t xml:space="preserve"> REQUEST  FOR  QUOTATION RFQ NO. 2020-08-03-(9068) 								   		PR No. 2020-470 									    		                   August 3, 2020       Date      Company Name:	__________________________________________ Address		:	__________________________________________ </t>
  </si>
  <si>
    <t xml:space="preserve"> 1. Disposable Protective Face Mask - 600 boxes 2. Isopropyl Alcohol - 450 gallons 3. Disposable Vinyl Gloves (Large) - 75 boxes 4. Disposable Vinyl Gloves (Medium) - 75 boxes 5. Liquid Hand Soap - 100 gallons 6. Paper Towel - 300 packs 7. Disinfectant Pow</t>
  </si>
  <si>
    <t xml:space="preserve"> 1 CHAINSAW, POWER  BABY CHAIN SAW, 22 TEETH 2 HOTSTICK SHOTGUN STICK WITH EXTERNAL OPERATING ROD 3 PULLEY BLOCK DOUBLE SHEAVE, ALUMINUM, FOR ROPES OF MAX. 16MM DIAMETER, LOAD - 50 KN   4 WIRE GRIP FOR OHGW Delivery Site: NPC- Masbate Substation, Pinamarbu</t>
  </si>
  <si>
    <t xml:space="preserve"> 1unit ----- Peanut Sheller  Type: Rotating drum •Input Capacity: 100kg. – 200kg. / hr. •Electric motor: Single phase 220V; 60Hz; 1.5hp hopper;  1720rpm •Power: 1.1 kw 1unit ----- Roaster Machine  Capacity: 10-15.0 kg/load (peanuts) •Power Requirements: ½ </t>
  </si>
  <si>
    <t xml:space="preserve"> 1.  1 unit Photocopier Machine (colored)      Digital copier w/ network printing; scan speed of 50 images/minute      copy &amp; scan res. of 600 x 600 dpi; print res. of 1200 x 1200 dpi      Standard Memory: 1.5 GB (upgradable); toner capacity for cyan, mage</t>
  </si>
  <si>
    <t xml:space="preserve"> REPRODUCTION OF SELF LEARNING MODULES, A4, PER REAM INCLUDING BOND PAPERS</t>
  </si>
  <si>
    <t xml:space="preserve"> INVITATION TO BID FOR THE REBIDDING OF SUPPLY AND DELIVERY OF FIFTY-THREE (53) PIECES FLEET CARD TO WITHDRAW FUEL ALLOCATION OF DA RFO-1 OFFICIAL VEHICLES FOR THE MOBILITY OF PERSONNEL AND RESOURCES FOR SEPTEMBER-DECEMBER 2020 1.	The Department of Agricul</t>
  </si>
  <si>
    <t xml:space="preserve"> INVITATION TO BID FOR SUPPLY AND DELIVERY OF 1 UNIT MINI DUMP TRUCK 1.	The Municipal Government of Lal-lo, through the 20% Development Fund intends to apply the sum of One Million Five Hundred Thousand Pesos (Php 1,500,000.00) being the Approved Budget fo</t>
  </si>
  <si>
    <t xml:space="preserve"> 1.) 216 bags Portland Cement 2.) 72 cu.m. Sand 3.) 75 cu.m. Gravel Fill 4.) 40 cu.m. Boulders</t>
  </si>
  <si>
    <t xml:space="preserve"> Republic of the Philippines Department of Health CENTRAL OFFICE BIDS AND AWARDS COMMITTEE Name of the Procuring Entity: Department of Health Name of the Project: Procurement of Firewall and IPS License Subscription  SVP No. 2020-035-A	 ___________________</t>
  </si>
  <si>
    <t xml:space="preserve"> INVITATION TO BID FOR SUPPLY AND DELIVERY OF RESCUE EQUIPMENT 1.	The Municipal Government of Lal-lo, through the FY 2020 LDRRMF intends to apply the sum of Eight Hundred Ninety-Four Thousand Pesos (Php 894,000.00) being the Approved Budget for the Contrac</t>
  </si>
  <si>
    <t xml:space="preserve"> 1 lot- Installation of Upgraded Local Government System ----a   Treasury Management and Information System ----b   business permit and licensing system ----c   water billing and collection system ----d   market management and information system ----e   re</t>
  </si>
  <si>
    <t xml:space="preserve"> REGION XII Province of Cotabato Municipality of Midsayap BIDS &amp; AWARDS COMMITTEE Tel. Nos. (064) 229-8018; 229-8650; 229-8450 INVITATION TO BID FOR  2020-099, CONSTRUCTION OF SLOPE PROTECTION WITH REMOVAL AND REPLACEMENT OF  DAMAGED PAVEMENT, PUROK 5, MID</t>
  </si>
  <si>
    <t xml:space="preserve"> Liquid Hand Soap Size:  225 ml Kills 99.9% of germs Tissue Paper 2 ply 8 rolls per pack</t>
  </si>
  <si>
    <t xml:space="preserve"> SUPPLY &amp; DELIVERY OF : Lot 1	1 Unit All-In-One Computer, 2 Sets Desktop PC,  (Branded), 1 PC Tablet, Mini (Wi-Fi + Cellular) &amp; 5 Units             Inkjet Printer with Wi-Fi for the General Services Office  Lot 2 1 Set Desktop PC, (Branded), 1 Set Desktop </t>
  </si>
  <si>
    <t xml:space="preserve"> The CNSC Bids and Awards Committee would like to invite interested bidders to quote their lowest price for the following: Item No    Unit of Issue  Quantity  Description 1              lot                 1            Auditing Services - 2nd Surveillance </t>
  </si>
  <si>
    <t xml:space="preserve"> PUBLIC BIDDING The municipal government of Romblon through its Bids and Awards Committee (BAC) invites PhilGEPS registered suppliers to apply to bid for the Purchase of 3 in 1 Multifunction Printer.</t>
  </si>
  <si>
    <t xml:space="preserve"> Diesel Fuel, XCS Plus, Oil and Lubricants    ltrs.</t>
  </si>
  <si>
    <t xml:space="preserve"> SERVICES:			 Printing (2019 Annual Report)		130	LS Size: 210 x 297 mm or 8.27 x 11.69 inches			 Resolution: 300 dpi			 Color Mode: CMYK			 Cover:			  -Softbound cover (with lamination or UV coating)			  -C2S (#250gsm)			  -Full color printing			 Inside:		</t>
  </si>
  <si>
    <t xml:space="preserve"> 1 set ELECTRIC GENERATOR Basic Specification: Four(4) Cylinders, In-line formation, Direct Injection, Water-cooled type, generator is capable of supplying 25KVA of Power for Standby Application. 230 volts, Single Phase, 60 Hertz, 1,800 RPM with a measurem</t>
  </si>
  <si>
    <t xml:space="preserve"> 5		unit	CONTAINER VAN (Class C Usable Twenty Footer Container Van.)</t>
  </si>
  <si>
    <t xml:space="preserve"> Republic of the Philippines Department of Environment and Natural Resources ENVIRONMENTAL MANAGEMENT BUREAU REGION VI Tel. Nos.: 033-336-6989                               REQUEST FOR QUOTATION (RFQ) SUPPLY AND DELIVERY OF THE FOLLOWING WIFI UNITS OF EMB </t>
  </si>
  <si>
    <t xml:space="preserve"> Delivery of Supplies/Materials</t>
  </si>
  <si>
    <t xml:space="preserve"> Republic of the Philippines Province of Nueva Ecija Municipality of General Mamerto Natividad BIDS AND AWARDS COMMITTEE  INVITATION TO BID FOR  “PURCHASE OF TENTS” 1.	The LGU – General Mamerto Natividad, Nueva Ecija, through the 2019 Continuing Appropriat</t>
  </si>
  <si>
    <t xml:space="preserve"> INVITATION TO BID (2020-07-05) The Department of Justice (DOJ), through the Bids and Awards Committee (BAC) is inviting interested parties to bid for the following projects:                            Name of Project	:	Purchase of 1 lot Renewal of Firewal</t>
  </si>
  <si>
    <t xml:space="preserve"> 20 UNIT CATHETER, PEDIATRIC, 15FX37cm DOUBLE CUFF, STRAIGHT CATHETER 20 UNIT CATHETER, ADULT, 15FX63cm DOUBLE CUFF, STRAIGHT COILED CATHETER 15 UNIT CATHETER, NEONATAL, 15X31cm DOUBLE CUFF, STRAIGHT CATHETER NOTE: ALL NEW SUPPLIER ARE REQUIRED TO SUBMIT T</t>
  </si>
  <si>
    <t xml:space="preserve"> 1.	The Municipality of Daram, through the General Fund-2020 intends to apply the sum of One Million Pesos (P1,000,000.00) being the Approved Budget for the Contract (ABC) to payments under the contract for the Supply and Delivery of 400pcs. Toilet Bowl an</t>
  </si>
  <si>
    <t xml:space="preserve"> 4 sets 12 x 20 Heavy Duty Tires, Cross Lug, steel belt (18) ply rating, designed for construction &amp; mining works of leading brand with interior and flaps  for the Brand New Dump Trucks Replacement  tires</t>
  </si>
  <si>
    <t xml:space="preserve"> SUPPLY &amp; DELIVERY OF : Lot 1	1 Set Desktop PC, 1 Set Desktop PC, (Branded) &amp; 1 Unit Laptop Computer for the Municipal Agriculturist Office  Lot 2 1 Unit Inkjet Printer with Wi-Fi, 1 Unit LaserJet Printer, 1 Unit Laptop Computer &amp; 1 Unit External Drive for</t>
  </si>
  <si>
    <t xml:space="preserve"> REGION XII Province of Cotabato Municipality of Midsayap BIDS &amp; AWARDS COMMITTEE Tel. Nos. (064) 229-8018; 229-8650; 229-8450 INVITATION TO BID FOR  2020-096, SUPPLY AND DELIVERY CONSTRUCTION MATERIALS FOR THE REPAIR / REHABILITATION OF  DIFFERENT SCHOOLS</t>
  </si>
  <si>
    <t xml:space="preserve"> Multicab Vehicle</t>
  </si>
  <si>
    <t xml:space="preserve"> 1. Epson Inks - T6641 (Black)	       - 250 bottles 2. Epson Inks - T6642 (Cyan)	       - 200 bottles 3. Epson Inks - T6643 (Magenta)       - 200 bottles 4. Epson Inks - T6644 (Yellow)          - 200 bottles 5. LX 310 Ribbon Cartridge	SO15632 - 600 pcs</t>
  </si>
  <si>
    <t xml:space="preserve"> 1unit ----- Banana Chipper / Slicer • application for slicing, cutting and fine cutting for banana, taro, sweet potato, radish, bamboo and cucumber • complete with 5 knives shredding, thick and thin slicing and dicing • Thickness Output: ranging from 1mm </t>
  </si>
  <si>
    <t xml:space="preserve"> Drum (for Handwashing Facility), 5pcs G.I. square Tube 1"x2"x20, 40pcs Welding rod, 5kg Faucet, 5pc Sink (stainless), 5pcs PVC Pipe 2" Orange, 6pcs PVC Elbow 2" Orange, 10pcs Color roof 10', 20pcs Water Meter, 3pcs</t>
  </si>
  <si>
    <t xml:space="preserve"> Reproduction/Printing of Modules covering 1st and 2nd Quarter from Grade 1 to Grade 6</t>
  </si>
  <si>
    <t xml:space="preserve"> 20 Units	Computer printer -	A3 + Printing -	High yield ink bottles -	Print speed up to 15 ipm -	Print Resolution up to 5760 x 144 dpi -	Warranty of 2 years or 30,000 pages whichever comes first 39 units Computer printer -	Compact integrated tank design -	</t>
  </si>
  <si>
    <t xml:space="preserve"> Repair of 13.20 m. x 10.15m roofing of Public Market.</t>
  </si>
  <si>
    <t xml:space="preserve"> Various Construction Materials &amp; Supplies</t>
  </si>
  <si>
    <t xml:space="preserve"> Republic of the Philippines Province of Davao de Oro Municipality of Monkayo -o0o- INVITATION TO BID FOR THE PROCUREMENT OF BAMBOO SEEDLINGS FOR FLOOD PROTECTION FOR RIPARIAN BUFFER PROJECT  The Municipality of Monkayo, through the LDRRMO FUND CONTINUING </t>
  </si>
  <si>
    <t xml:space="preserve"> 2 Units Digital Duplicator -	Print speed: 5 levels (60,80,100,120,130 rpm) -	Print Resolution: 300 dpi x 600 dpi -	Ink capacity: 1000 ml -	128 x 64 dot LCD panel -	Standard equipment pf PC-1/F -	Direct Printing from USB flash drive -	Up to B4 size -	One y</t>
  </si>
  <si>
    <t xml:space="preserve"> 2		 roll	1/2''Ø x 300m. HDPE PIPE SDR 11				 15		roll	1 1/2''Ø x 60m. HDPE PIPE SDR 11				 2		roll	2''Ø x 60m. HDPE PIPE SDR 11				 2		pc	Water Meter				 3		pc	2''Ø P.E PIPE GATE VALVE				 2		pc	2''Ø P.E TEE ADAPTOR				 4		pc	2'' X 1 1/2'' P.E REDUCER				</t>
  </si>
  <si>
    <t xml:space="preserve"> Description   DESCRIPTION BARANGAY GOVERNMENT OF KAPATAGAN INVITATION TO BID The Barangay Government of Kapatagan Thru the bids and awards Committee (BAC) invite interested Suppliers/Constructor to Apply for eligibility screening and if subsequently found</t>
  </si>
  <si>
    <t xml:space="preserve"> Item No.	Qty	DESCRIPTION			UnitMeasurement 1	64	Monobloc Chairs				Pc. 2	4	Monobloc Table				Pc.</t>
  </si>
  <si>
    <t xml:space="preserve"> Plastic Envelopes Long and Transparent with handle,  any color Prospective Bidders must have completed a contract similar to the project with the amount of at least 50% of the ABC. Bidding will be conducted through open competitive bidding procedures usin</t>
  </si>
  <si>
    <t xml:space="preserve"> Republic of the Philippines Province of Leyte Municipality of Tabango Invitation to Bid for Procurement of Medicines  The Local Government Unit of Tabango, through the OMM-Supplemental Budget #1- GF2020  intends to apply the sum of Seven Hundred  Thousand</t>
  </si>
  <si>
    <t xml:space="preserve"> Please see attached RFQ. For questions, please contact Joanna Marie P. Sagon at 09061916228.</t>
  </si>
  <si>
    <t xml:space="preserve"> 200,000.00  				 Executive Table with side table and drawer		1	pcs	 Office Table, length 35", depth 18", 		5	pcs	               height 28"				 Executive Chair, high back , black		1	pcs	 Fabric Finish Office Mid Back Chair		2	pcs	    with arm rest				 Thre</t>
  </si>
  <si>
    <t xml:space="preserve"> Supply &amp; Delivery of Aircon (Mayor's Office), Municipality of Bongabong, Oriental Mindoro</t>
  </si>
  <si>
    <t xml:space="preserve"> The National Irrigation Administration-Regional Office 12, Villarica, Midsayap, Cotabato, through the Fund 501 has the Approved Budget for the Contract (ABC) amounting to NINE HUNDRED SIXTY TWO THOUSAND FIVE HUNDRED THIRTY FIVE PESOS &amp;  87/100 (P 962.535.</t>
  </si>
  <si>
    <t xml:space="preserve"> INVITATION TO APPLY FOR ELIGIBILITY AND TO BID FOR THE PROCUREMENT OF COMMON SERVICE FACILITIES AND FARM IMPLEMENTS FOR THE IMPLEMENTATION OF CLIMATE RESILIENT FARM PRODUCTIVITY SUPPORT PROGRAM-SUSTAINABLE LIVELIHOOD SUPPORT FOR DISASTER AFFECTED AREAS PR</t>
  </si>
  <si>
    <t xml:space="preserve"> Invitation to Bid for the supply &amp; delivery of Laptop for use of different offices of Batangas City Government</t>
  </si>
  <si>
    <t xml:space="preserve"> SUPPLY &amp; DELIVERY OF CONSTRUCTION MATERIALS : Lot 1	Installation of Solar Powered Streetlights at K.I. Bridge, Poblacion Lot 2 Installation of Solar Powered Streetlights at Hagupit  Lot 3	Installation of Solar Streetlights at Sagana Lot 4	Installation of </t>
  </si>
  <si>
    <t xml:space="preserve"> 30 packs Meals and Snacks for 29 days MEALS:  - Chicken Curry  - Pakbet  - Fried Fish  - Pork Adobo  - Ric e SNACKS: AM: Sandwich w/ coke PM: Cup cake w/ C2 solo</t>
  </si>
  <si>
    <t xml:space="preserve"> (PLEASE SEE ATTACHED ASSOCIATED COMPONENT) please send Request for Quotation  -  philgepsprocurement19@gmail.com Quotation must be submitted with company’s letter head. Stating Specification, unit cost and total amount offer. 100	pcs	Bedsheet Linen: 72X10</t>
  </si>
  <si>
    <t xml:space="preserve"> REQUEST FOR QUOTATION 						     	 RFQ No. A-024-2020 _____________________________ Name of Dealer/Supplier/Distributor _____________________________ Business Address 	Please quote your lowest price on the item/s listed below, stating the shortest time of</t>
  </si>
  <si>
    <t xml:space="preserve"> Item No.	Qty	DESCRIPTION			Unit Measurement 1	1	Steel Cabinet				Pcs.</t>
  </si>
  <si>
    <t xml:space="preserve"> 464 bd.ft. Post 3.5 meter 4''x4''x12' 460 bd.ft. Lumber 2''x2''x12' (115 pcs) 216 bd.ft. Lumber 2''x3''x12' (36 pcs) 144 bd.ft. Lumber 1''x8''x12' (18 pcs) 69 bd.ft. Lumber 2''x4''x8' (13 pcs) 100 bd.ft. Lumber 1''x2''x12' (50 pcs) 106 bd.ft. Lumber 4''x4</t>
  </si>
  <si>
    <t xml:space="preserve"> The Local Government Unit of General Santos City, through the GENERAL FUND CY 2020 intends to apply the sum of two hundred eighty-five thousand and xx / 100 Pesos Only (285,000.00) being the Approved Budget for the Contract (ABC) to payments under the con</t>
  </si>
  <si>
    <t xml:space="preserve"> INVITATION TO BID FOR SUPPLY AND DELIVERY OF RESCUE VEHICLES  1.	The Municipal Government of Lal-lo, intends to apply the sum of Eight Million Two Hundred Thousand Pesos (Php 8,200,000.00) being the Approved Budget for the Contract (ABC) to payments under</t>
  </si>
  <si>
    <t xml:space="preserve"> PUBLIC BIDDING The municipal government of Romblon through its Bids and Awards Committee (BAC) invites PhilGEPS registered suppliers to apply to bid for the Materials for Community Assistance.</t>
  </si>
  <si>
    <t xml:space="preserve"> 1	1	LOT	ONE (1) LOT SUPPLY AND DELIVERY OF VARIOUS MATERIALS TO BE USED FOR FINISHING OF NEWLY CONSTRUCTED OFFICE BUILDING OF CABIAO WATER DISTRICT AT SAN ROQUE, CABIAO, NUEVA ECIJA</t>
  </si>
  <si>
    <t xml:space="preserve"> Republic of the Philippines Province of Davao del Sur MUNICIPALITY OF MATANAO -oOo- INVITATION TO BID The Local Government Unit of Matanao, Davao del Sur, through its Bids and Awards Committee (BAC), invites interested suppliers/ distributors to apply for</t>
  </si>
  <si>
    <t xml:space="preserve"> 1 unit System Unit		 OS	 Windows 10 Home SL 64Bit Processor Intel i7 -6700	 Processor 3 4GHz (8m cache,up to 4.00 GHz)	 Memory 16GB DDR4 2133 MHz	 Storage - 2TB 7200 RPM SATA III	 Graphics - 4GB NVIDIA Geforce GTX 970 6DDR 5	 Card Reader-Yes	 Audio Creati</t>
  </si>
  <si>
    <t xml:space="preserve"> Title: Procurement of 20 Bag T-Seed (50 Kilos), etc. under P.R.No. 2809-2020 - Office of the City Agriculturist. Total ABC: Php 70,000.00 (INSTRUCTION AS TO THE REQUIRED FORM: For your price quotation, please use the attached Request for Quotation (RFQ) F</t>
  </si>
  <si>
    <t xml:space="preserve"> 1. BRASS BALL VALVE 1/2" DIA. (HEAVY DUTY)  350 PCS 2. WATER METER 15mm (UNI DIRECTIONAL)      200 PCS</t>
  </si>
  <si>
    <t xml:space="preserve"> 14		rolls	PE Pipe 2" x 60m/roll, SDR 11				 15		pcs	PE Straight Coupler 2"</t>
  </si>
  <si>
    <t xml:space="preserve"> LOT 1 --------------------------------------------------- 598,000.00 1unit ----- HIGH SPEED SEWING MACHINE (Single Needle Lockstitch with Sewing Accessories) Application-Light to Medium Max. Sewing Speed – 5, 500sti/min Max. Stitch Length – 5mm Presser Fo</t>
  </si>
  <si>
    <t xml:space="preserve"> 1.	The Municipal Government of Clarin, Misamis Occidental Barangay Dela Paz, through the Financial Assistance intends to apply the sum of Nine Hundred Ninety One Thousand, Three Hundred Forty Three Pesos Only (Php991,343.00) being the Approved Budget for </t>
  </si>
  <si>
    <t xml:space="preserve"> Construction , Improvement, Rehab.</t>
  </si>
  <si>
    <t xml:space="preserve"> Title: Procurement of 1 Unit Photocopier Machine under P.R.No. 2568-2020 - 5% City Disaster Risk Reduction and Management Fund. Total ABC: Php 150,000.00 (INSTRUCTION AS TO THE REQUIRED FORM: For your price quotation, please use the attached Request for Q</t>
  </si>
  <si>
    <t xml:space="preserve"> REQUEST TO SUBMIT BEST AND FINAL OFFER DUE TO TWO FAILED BIDDINGS UNDER NEGOTIATED CONTRACT (Supply and Delivery 4 units of Multiple Extracting Machine under 2020 HVCDP) Pursuant to Section 53.1 of RA 9184 and its revised IRR, the Bids and Awards Committe</t>
  </si>
  <si>
    <t xml:space="preserve"> Procurement Materials for the Rehabilitation of Flood Control</t>
  </si>
  <si>
    <t xml:space="preserve"> 2		box	3.5mm THHN wire (Gauge 12)				 80		m	No.2 THHN wire				 1		pc	Meter Base (Rectangular Metal Enclosure)				 20		pc	1/2'' Ø PVC Elbow				 6		pc	1 1/2'' Ø   PVC Elbow				 3		pc	2'' Ø PVC Elbow				 2		pc	Splicing Box (20cmx20cm)plastic				 25		pc	Junct</t>
  </si>
  <si>
    <t xml:space="preserve"> The Local Government Unit of General Santos City, through the GENERAL FUND CY 2020 intends to apply the sum of eight thousand six hundred forty and xx / 100 Pesos Only (8,640.00) being the Approved Budget for the Contract (ABC) to payments under the contr</t>
  </si>
  <si>
    <t xml:space="preserve"> INVITATION TO APPLY FOR ELIGIBILITY AND TO BID FOR THE PROCUREMENT OF COMMON SERVICE FACILITIES AND FARM IMPLEMENTS FOR THE IMPLEMENTATION OF CLIMATE RESILIENT FARM PRODUCTIVITY SUPPORT PROGRAM-SUSTAINABLE LIVELIHOOD SUPPORT FOR DISASTER AFFECTED AREAS, C</t>
  </si>
  <si>
    <t xml:space="preserve"> ITEMS: 140 HEADS BREEDER CHICKEN MALE 1400 HEADS BREEDER CHICKEN FEMALE</t>
  </si>
  <si>
    <t xml:space="preserve"> Republic of the Philippines City of Dapitan BIDS AND AWARDS COMMITTEE INVITATION TO BID August 03, 2020 	 The City Government of Dapitan, through its Bids and Awards Committee (BAC), invites interested parties to apply for eligibility and, if found eligib</t>
  </si>
  <si>
    <t xml:space="preserve"> 1		Lot	DRILLING OF 1-UNIT PRODUCTION WELL 80 FT. DEPTH (SUPPLY &amp; INSTALLATION)				 			• Geophysical Resistivity Test;				 			•Mobilization of drilling rig, crew and accessories to site;				 			• Site Selection and Site Preparation, setting up of drilling </t>
  </si>
  <si>
    <t xml:space="preserve"> Republic of the Philippines Province of Davao de Oro Municipality of Monkayo -o0o- INVITATION TO BID FOR THE PROCUREMENT OF RABIES VACCINE FOR CATS AND DOGS AND FOR THE PROTECTION OF RABIES VACCINATOR  The Municipality of Monkayo, through the GENERAL FUND</t>
  </si>
  <si>
    <t xml:space="preserve"> PURCHASE AND DELIVERY OF MATERIALS FOR THE CONCRETING OF TULATULA-AN TO ILAJAS ROAD DINGLE, ILOILO</t>
  </si>
  <si>
    <t xml:space="preserve"> Republic of the Philippines Province of Pangasinan MUNICIPALITY OF LINGAYEN Invitation to Bid for the for the Purchase of one (1) unit ten-wheeler dump truck  for the use of  Material Recovery Facility at Municipality of Lingayen 	The Municipal Government</t>
  </si>
  <si>
    <t xml:space="preserve"> The Local Government Unit of General Santos City, through the GENERAL FUND CY 2020 intends to apply the sum of two hundred sixty thousand four hundred fifty and xx / 100 Pesos Only (260,450.00) being the Approved Budget for the Contract (ABC) to payments </t>
  </si>
  <si>
    <t xml:space="preserve"> Republic of the Philippines MUNICIPALITY OF ECHAGUE Province of Isabela INVITATION TO BID FOR  THE  SUPPLY AND  DELIVERY   OF MEDICINES  AND MEDICAL  SUPPLIES 1.	The Local Government Unit , through  the  GENERAL   FUND  Of  2020 ( LNB FUND)   intends to a</t>
  </si>
  <si>
    <t xml:space="preserve"> IMPROVEMENT : I. ROOF FRAMING,  II. ROOFING / ACCESSORIES, ROOF DRAINS,  III. CEILING (74.70 m2),  IV. ELECTRICAL  BREAKDOWN OF PROPOSED EXPENDITURES :  I.      MATERIALS    -   P   262,075.50 II.     EQUIPMENTS  -           8,500.00 III.    LABOR        </t>
  </si>
  <si>
    <t xml:space="preserve"> The Local Government Unit of General Santos City, through the GENERAL FUND CY 2020 intends to apply the sum of twenty-four thousand five hundred and xx / 100 Pesos Only (24,500.00) being the Approved Budget for the Contract (ABC) to payments under the con</t>
  </si>
  <si>
    <t xml:space="preserve"> Republic of the Philippines Province of Oriental Mindoro MUNICIPALITY OF GLORIA Invitation to Bid ITB No. 2020-004   Repost: Bulaklakan Farm to Market Road (FMR) Concreting 1.	The Municipality of Gloria, through Annual Budget 2020 under the 20% Developmen</t>
  </si>
  <si>
    <t xml:space="preserve"> 132 sacks - 50 kg. Well-milled, whole grain and high quality rice</t>
  </si>
  <si>
    <t xml:space="preserve"> Construction, Improvement, Rehab.</t>
  </si>
  <si>
    <t xml:space="preserve"> The Local Government Unit of General Santos City, through the GENERAL FUND CY 2020 intends to apply the sum of thirty-five thousand sixty-five and xx / 100 Pesos Only (35,065.00) being the Approved Budget for the Contract (ABC) to payments under the contr</t>
  </si>
  <si>
    <t xml:space="preserve"> The Local Government Unit of General Santos City, through the GENERAL FUND CY 2020 intends to apply the sum of eighty thousand three hundred and xx / 100 Pesos Only (80,300.00) being the Approved Budget for the Contract (ABC) to payments under the contrac</t>
  </si>
  <si>
    <t xml:space="preserve"> City Budget Office P.R. No. : 2020-06-2539 Date: 06/18/2020 1 225 galloon Hand Sanitizer 67,500.00 2 20 gallon Alcohol, 70% ethyl 13,000.00 3 14 gallon Disinfectant, Bleaching Solution 4,900.00 4 13 gallon Alcohol, gel 11,700.00 5 16 bot Handsoap, Liquid </t>
  </si>
  <si>
    <t xml:space="preserve"> 75    Rms.  Bond paper, short, S-20 25    Pcs.    Computer Ink, black, HP 678 20    Pcs.    Computer Ink, black, HP GT51 1000 Pcs.   Manila paper 20     Pcs.   Marking Ink, black, Pilot 50    Rms.  Mimeo paper, white wove, long, S-18 100  Rms.  Mimeo pape</t>
  </si>
  <si>
    <t xml:space="preserve"> REQUEST FOR QUOTATION Date	:	August 4, 2020 Project Title	:	Supply and Delivery of Printer Consumables for PAGCOR’s Existing Magicard Pronto Card Printer ITB No.             	:	FB20-07-011COR Approved Budget for the Contract (ABC)	:	Nine Hundred Thousand </t>
  </si>
  <si>
    <t xml:space="preserve"> Republic of the Philippines Department of Health DAVAO REGIONAL MEDICAL CENTER Apokon, Tagum City BIDS AND AWARDS COMMITTEE Invitation to Bid for the SUPPLY &amp; DELIVERY OF ANESTHETICS - REBID 1.	The Davao Regional Medical Center (DRMC), through the HOSPITA</t>
  </si>
  <si>
    <t xml:space="preserve"> Please find attach quotation.</t>
  </si>
  <si>
    <t xml:space="preserve"> Procurement Materials for the Rehabilitation of Deepwell</t>
  </si>
  <si>
    <t xml:space="preserve"> The Development Bank of the Philippines (DBP), through its Bids and Awards Committee, BBG – Northern Luzon, will undertake a Small Value Procurement for the “Supply, Delivery, Fabrication and Installation of Safety Barrier,” in accordance with Section 53.</t>
  </si>
  <si>
    <t xml:space="preserve"> The Local Government Unit of General Santos City, through the GENERAL FUND CY 2020 intends to apply the sum of forty-eight thousand and xx / 100 Pesos Only (48,000.00) being the Approved Budget for the Contract (ABC) to payments under the contract for 20C</t>
  </si>
  <si>
    <t xml:space="preserve"> ITEM NO.	Unit of issue	ITEM &amp;DESCRIPTION	Brand &amp; Model	QTY.	 1	pcs	Culvert 12" dia		30	 2	length	Angle bar 2"x3"/16"		15	 3	length	Deformed bar 12 mm		40	 4	length	Deformed bar 18 mm		25	 5	cu.m	Coarse sand		15	 6	gallon	Primer oxide (color:gray)		3	 7	pc</t>
  </si>
  <si>
    <t xml:space="preserve"> Title: Procurement of 1,000 Bag Seeds, Rice (Certified) under P.R No. 2692-2020 –Office of the City Agriculturist. Total ABC: Php 1,450,000.00 For representative/s of interested bidders  who wish to attend the Pre-Bidding Conference, please bring the foll</t>
  </si>
  <si>
    <t xml:space="preserve"> ARTICLE AND DESCRIPTION										 ITEM	QTY.	UNIT						CEILING 			UNIT PRICE			TOTAL  								PRICE						 				Office: Ospital ng Sampaloc				P.R. No. 42						 				Charge to: Philhealth Trust Fund 2-02-01-050-33 (416-33)				ABC: Php341,550.00						 								</t>
  </si>
  <si>
    <t xml:space="preserve"> Construction Materials &amp; Supplies</t>
  </si>
  <si>
    <t xml:space="preserve"> LOT 1 --------------------------------------------------- 460,000.00 5units ----- Flatbed Sewing Machine High Speed, Single Needle, Lockstitch Machine  For Light to Medium Materials  Max Sewing Speed: 5,500 spm  Max Stitch Length: 5mm  Needle: DBx1 (#14) </t>
  </si>
  <si>
    <t xml:space="preserve"> The Local Government Unit of General Santos City, through the GENERAL FUND CY 2020 intends to apply the sum of three hundred ninety thousand and xx / 100 Pesos Only (390,000.00) being the Approved Budget for the Contract (ABC) to payments under the contra</t>
  </si>
  <si>
    <t xml:space="preserve"> Republic of the Philippines Province of Batangas Municipality of Lemery  INVITATION TO BID FOR THE PROCUREMENT OF SCHOOL SUPPLIES FOR ALL PUBLIC ELEMENTARY SCHOOL PUPILS (LEMERY RESIDENTS ONLY)  1.	The MUNICIPALITY OF LEMERY, through the Annual Budget CY </t>
  </si>
  <si>
    <t xml:space="preserve"> 3,000 KGS. SODIUM HYPOCHLORITE, LIQUID CHLORINE</t>
  </si>
  <si>
    <t xml:space="preserve"> The Local Government Unit of General Santos City, through the GENERAL FUND CY 2020 intends to apply the sum of two hundred forty-seven thousand and xx / 100 Pesos Only (247,000.00) being the Approved Budget for the Contract (ABC) to payments under the con</t>
  </si>
  <si>
    <t xml:space="preserve"> Supply &amp; Delivery of Construction Materials for the Construction of Powerhouse - (BWS), Municipality of Bongabong, Oriental Mindoro</t>
  </si>
  <si>
    <t xml:space="preserve"> The Local Government Unit of General Santos City, through the GENERAL FUND CY 2020 intends to apply the sum of thirty-seven thousand three hundred fifty and xx / 100 Pesos Only (37,350.00) being the Approved Budget for the Contract (ABC) to payments under</t>
  </si>
  <si>
    <t xml:space="preserve"> 1 set - Desktop Computer, intel Core i3</t>
  </si>
  <si>
    <t xml:space="preserve"> The National Irrigation Administration-Regional Office 12, Villarica, Midsayap, Cotabato, through the Fund 501 has the Approved Budget for the Contract (ABC) amounting to ONE HUNDRED SEVENTY EIGHT THOUSAND EIGHT HUNDRED FORTY TWO PESOS &amp; 58/100 (P179,842.</t>
  </si>
  <si>
    <t xml:space="preserve"> INVITATION TO BID Bid No. B-118-2020 (*REBIDDING)  1.	The Provincial Government of Negros Oriental through Responsibility Center: 8751-01(20) / Account Code: 50213090, intends to apply the sum of Four Million Six Hundred Twenty-Three Thousand Six Hundred </t>
  </si>
  <si>
    <t xml:space="preserve"> Construction of BDRRMO Command Center  at Barangay Sto Domingo,Cainta Rizal</t>
  </si>
  <si>
    <t xml:space="preserve"> 1. G.I. NIPPLE 1/2" X 8" L (STD. SCHEDULE 40)   295 PCS 2. G.I. NIPPLE 1/2" X 12" L (STD. SCHEDULE 40)  150  PCS 3. G.I. ST. ELBOW 3/4" X 1/2" L (STD. SCHEDULE 40)  250 PCS</t>
  </si>
  <si>
    <t xml:space="preserve"> 3   bxs   X-RAY FILM, 14 x 17 x 100'S 3   bxs   X-RAY FILM, 14 x 14 x 100'S 5   bxs   X-RAY FILM, 11 x 14 x 100'S 3   bxs   X-RAY FILM, 10 x 12 x 100'S 3   bxs   X-RAY ENVELOPE 14 x 17 x 100's 3   bxs   X-RAY ENVELOPE 14 x 14 x 100's 5   bxs   X-RAY ENVEL</t>
  </si>
  <si>
    <t xml:space="preserve"> The Local Government Unit of General Santos City, through the GENERAL FUND CY 2020 intends to apply the sum of five hundred thirty-eight thousand two hundred and xx / 100 Pesos Only (538,200.00) being the Approved Budget for the Contract (ABC) to payments</t>
  </si>
  <si>
    <t xml:space="preserve"> Installation of 11 units of Streetlights with 30m spacing at Sitio Pagibig</t>
  </si>
  <si>
    <t xml:space="preserve"> 1 unit CPU *Core i5/i7 Processor Intel Side  *64bit Operating System *RAM 16GB Windows Edition: Windows 10/Windows 10 pro 1 unit Hard Disk Drive ,500GB  3 units UPS-Uninterrupted Power Supply</t>
  </si>
  <si>
    <t xml:space="preserve"> 1		Lot	DRILLING OF 1-UNIT PRODUCTION WELL 240 FT. DEPTH (SUPPLY &amp; INSTALLATION)				 			• Geophysical Resistivity Test				 			•Mobilization of drilling rig, crew and accessories to site				 			• Site Selection and Site Preparation, setting up rig, dig mudp</t>
  </si>
  <si>
    <t xml:space="preserve"> 6	Cylinder	Fire Extinguisher (Wet type-Halotron- 10 lbs), ABC 12,000.00/cyl RFQ#08-0816</t>
  </si>
  <si>
    <t xml:space="preserve"> Republic of the Philippines Department of Health DAVAO REGIONAL MEDICAL CENTER Apokon, Tagum City BIDS AND AWARDS COMMITTEE Invitation to Bid for the SUPPLY &amp; DELIVERY OF LPG, 50 kgs 1.	The Davao Regional Medical Center (DRMC), through the HOSPITAL INCOME</t>
  </si>
  <si>
    <t xml:space="preserve"> The Local Government Unit of General Santos City, through the SEF FUND CY 2020 intends to apply the sum of one hundred thousand and xx / 100 Pesos Only (100,000.00) being the Approved Budget for the Contract (ABC) to payments under the contract for 20CB-G</t>
  </si>
  <si>
    <t xml:space="preserve"> Republic of the Philippines PROVINCE OF QUEZON MUNICIPALITY OF POLILLO ***** INVITATION TO BID FOR:  SUPPLY AND DELIVERY OF TESTING KITS  LGU Polillo, Quezon 1.	The Municipality of Polillo, through the Supplemental Budget No.3 by the Sangguniang Bayan int</t>
  </si>
  <si>
    <t xml:space="preserve"> 1		Lot	DRILLING OF 1-UNIT PRODUCTION WELL 100 FT. DEPTH (SUPPLY &amp; INSTALLATION)				 			• Geophysical Resistivity Test;				 			•Mobilization of drilling rig, crew and accessories to site;				 			• Site Selection and Site Preparation, setting up of drilling</t>
  </si>
  <si>
    <t xml:space="preserve"> Name of Contract: Construction of Flood Control, Barangay San Jose (Additional Allocation) IAC Classification: Small "B" for Flood Control PCAB Category "D" Duration: 120 Calendar Days Approved Budget for the Contract: Php 2,000,000.00 xxxxxxxxxx</t>
  </si>
  <si>
    <t xml:space="preserve"> INVITATION TO BID FOR THE FOLLOWING:   SUPPLY, DELIVERY, INSTALLATION, AND COMMISSIONING OF ONE (1) UNIT 32 SLICE COMPUTED TOMOGRAPHY- SCAN MACHINE (CT-SCAN) (IB NO. 2020-GOODS-016-01-0805) 1.	The ILOCOS TRAINING AND REGIONAL MEDICAL CENTER (ITRMC), throu</t>
  </si>
  <si>
    <t xml:space="preserve"> ITEM NO.	Unit of issue	ITEM &amp;DESCRIPTION	Brand &amp; Model	QTY.	 1	pcs	Marine plywood 5mm		20	 2	pcs	Lawaan 2x2x10ft		40	 3	pcs	Lawaan 2x3x10ft		160	 4	gallon	Acrytex cast		2	 5	gallon	Flatwall latex		2	 6	gallon	Flatwall enamell		2	 7	gallon	Semi gloss latex</t>
  </si>
  <si>
    <t xml:space="preserve"> SUPPLY AND DELIVERY OF THE FOLLOWING: 1 UNIT MOTORBOAT SERVICE 60 FEET X 35 FEET 4D 56 MITSUBISHI ENGINE-DIESEL WITH COMPLETE ACCESSORIES</t>
  </si>
  <si>
    <t xml:space="preserve"> Republic of the Philippines Province of Leyte Municipality of Tabango Invitation to Bid for Procurement of Medicines (Vitamins &amp; Medicines)  The Local Government Unit of Tabango, through the MHO-Annual Budget- GF2020- intends to apply the sum of Two Hundr</t>
  </si>
  <si>
    <t xml:space="preserve"> 1	pcs	4	Sleeve Type Coupling 6” ø UPVC to UPVC	6,000.00	24,000.00 2	pcs	4	Sleeve Type Coupling 6” ø G.I to G.I	5,600.00	22,400.00 3	pcs	4	Sleeve Type Coupling 6” ø G.I to UPVC	3,650.00	14,600.00 4	pcs	4	Sleeve Type Coupling 4” ø UPVC to UPVC	5,550.00	22,2</t>
  </si>
  <si>
    <t xml:space="preserve"> Republic of the Philippines Province of Palawan Municipality of Roxas   BIDS AND AWARDS COMMITTEE INVITATION TO BID  FOR THE IMPROVEMENT OF ROXAS LAND TRANSPORT TERMINAL The Local Government Unit of Roxas, Palawan, through the 2020 Annual Budget, intends </t>
  </si>
  <si>
    <t xml:space="preserve"> REQUEST FOR QUOTATION No. 2020-004 The Department of Education, Taguig Integrated School, through SCHOOL BIDS and AWARDS COMMITTEE (SBAC) invites registered suppliers to submit a quotation for the hereunder project: PROJECT NAME : SUPPLY AND DELIVERY OF F</t>
  </si>
  <si>
    <t xml:space="preserve"> INVITATION TO APPLY FOR ELIGIBILITY AND TO BID The Local Government Unit of Dinalungan, through its Municipal Bids and Awards Committee (MBAC) invites Suppliers and Dealers registered to apply for Eligibility. Prospective Bidders should have experienced i</t>
  </si>
  <si>
    <t xml:space="preserve"> Republic of the Philippines Department of Health DAVAO REGIONAL MEDICAL CENTER Apokon, Tagum City BIDS AND AWARDS COMMITTEE Invitation to Bid for the SUPPLY &amp; DELIVERY OF ELECTRICAL SUPPLIES 1.	The Davao Regional Medical Center (DRMC), through the HOSPITA</t>
  </si>
  <si>
    <t xml:space="preserve"> RFQ No.	2020-08-0031 Purpose:	Supply and Delivery of Spare Parts for Use in H1-5858 Ford Everest, SW assigned at the Office of the District Engineer (Planning and Design Section), Davao del Norte District Engineering Office, Tagum City Approved Budget for</t>
  </si>
  <si>
    <t xml:space="preserve"> Supply and delivery of the the following items at ZONE II, Tiguma, Pagadian City: 150 liters of Green-Labeled Herbicide (Glyphosate) 150 liters of Green-Labeled Insecticide (Cypermethrin)</t>
  </si>
  <si>
    <t xml:space="preserve"> Republic of the Philippines Province of Palawan Municipality of Roxas   BIDS AND AWARDS COMMITTEE INVITATION TO BID  FOR THE CONSTRUCTION /REHABILITATION OF MULTI-PURPOSE HALL AT BARANGAY SANDOVAL, ROXAS, PALAWAN The Local Government Unit of Roxas, Palawa</t>
  </si>
  <si>
    <t xml:space="preserve"> SUPPLY &amp; DELIVERY OF : Lot 1	25 Units 40 ̎ Smart TV, Full HD for Bongabong South District Lot 2 2 Units 32 ̎ Smart TV, Full HD for Bongabong South  District Lot 3	1 Unit 24 ̎ TV, LED and 2 Units 32 ̎ TV LED for Bongabong South District Lot 4	3 Units 45 ̎ </t>
  </si>
  <si>
    <t xml:space="preserve"> RE - INVITATION TO BID The Local Government Unit of Jasaan, Jasaan, Misamis Oriental, through the 20% Development Fund (DF) intends to apply the sum of One Million Three Hundred One Thousand Four Hundred Forty Four Pesos and 55/100 (P 1,301,444.55) being </t>
  </si>
  <si>
    <t xml:space="preserve"> Invitation to Bid for Procurement of Various Drugs and Medicines for MOPH Pharmacy (NBB Patient Use) 1. The Province of Misamis Occidental through the General Funds intends to apply the sum of Two Million Nine Hundred Thirty-six Thousand Nine Hundred Thir</t>
  </si>
  <si>
    <t xml:space="preserve"> Republic of the Philippines 		Department of Social Welfare and Development IBP Road, Constitution Hills, Quezon City Telephone Nos. (02) 931-8101 to 07 Local 122 or 124 Email: bacsec@dswd.gov.ph INVITATION TO BID FOR SUPPLY, DELIVERY AND INSTALLATION OF O</t>
  </si>
  <si>
    <t xml:space="preserve"> REHABILITATION OF CANAL AT LUMANG KALYE</t>
  </si>
  <si>
    <t xml:space="preserve"> Republic of the Philippines Region XII Province of Cotabato Municipality of Makilala  OFFICE OF THE BIDS AND AWARD COMMITTEE INVITATION TO BID N0. 2020-024            The Municipality of Makilala, through the Municipal Health Office  intends to apply the </t>
  </si>
  <si>
    <t xml:space="preserve"> Republic of the Philippines Province of Northern Samar LOCAL GOVERNMENT UNIT CAPUL, NORTHERN SAMAR BID AND AWARDS COMMITTEE INVITATION TO BID 2020-08-001 GD The LOCAL GOVERNMENT UNIT OF CAPUL NORTHERN SAMAR through its BIDS AND AWARDS COMMITTEE (BAC), inv</t>
  </si>
  <si>
    <t xml:space="preserve"> 5	unit 	Printer; Printer type: Print, Scan, Copy; Print speed: Photo default -  10 x 15 cm / 4 x 6":Approx. 69 sec per photo (Border) / 90 sec per photo (Borderless) Draft, A4 (Black/Colour): Up to 33 ppm / 15 ppm ISO 24734, A4 Simplex (Black / Colour): U</t>
  </si>
  <si>
    <t xml:space="preserve"> Please see attached Request for Quotation (RFQ).</t>
  </si>
  <si>
    <t xml:space="preserve"> ITEM NO      ITEM AND DESCRIPTION       QTY    UNIT      1                 A4 Bond Paper                     195      ream 2                 Ink Epson T664 (Black)         104      pc</t>
  </si>
  <si>
    <t xml:space="preserve"> Republic of the Philippines DEPARTMENT OF PUBLIC WORKS AND HIGHWAYS DAVAO DEL NORTE DISTRICT ENGINEERING OFFICE Regional Office XI Tagum City   INVITATION TO BID   (Goods)        No. 2020-0003 1.	The Department of Public Works and Highways, Davao del Nort</t>
  </si>
  <si>
    <t xml:space="preserve"> 30 PAD ECG PAPER  -THERMAL PAPER  -156 SHEETS -Z-FOLD, 210x140mm NOTE: ALL NEW SUPPLIER ARE REQUIRED TO SUBMIT THE FOLLOWING DOCUMENT. 1. DTI Registration 2. SEC Registration 3. Current Mayor's Permit 4. Certificate of Registration from B.I.R/TIN number. </t>
  </si>
  <si>
    <t xml:space="preserve"> Invitation to Bid for Procurement of Various Medical Supplies for the use at MOPH Hematology/Microscopy, Blood Bank (2nd Quarter) 1. The Province of Misamis Occidental through the General Funds intends to apply the sum of One Million Four Hundred Thirty S</t>
  </si>
  <si>
    <t xml:space="preserve"> Republic of the Philippines Province of Cotabato Municipality of Makilala OFFICE OF THE BIDS &amp; AWARDS COMMITTEE INVITATION TO BID #2020-026 The Municipality of Makilala, funded by the  Municipal Government to apply for the  Repair of Multi-purpose Facilit</t>
  </si>
  <si>
    <t xml:space="preserve"> INVITATION TO BID The Municipality of Pagsanjan, through its Bids and Awards Committee (BAC), interested contractors registered to apply for eligibility and if found eligible, to bid for the hereunder contract: 	 Name of Contract: 	Supply and Delivery of </t>
  </si>
  <si>
    <t xml:space="preserve"> 1.	The DENR-PENRO Negros Occidental, through the Integrated Protected Area Fund (IPAF) 2020  intends to apply the sum of Five Hundred Ninety Nine Thousand Five Hundred One Pesos and Fifteen Centavos (P 599,501.15)  being the Approved Budget for the Contra</t>
  </si>
  <si>
    <t xml:space="preserve"> Republic of the Philippines MUNICIPALITY OF MULANAY Province of Quezon INVITATION TO BID FOR  Supply and Delivery of Various Office Supplies for the  Maintenance of LGU Different Offices for 2020 1.	The Local Government Unit of Mulanay, Quezon, through th</t>
  </si>
  <si>
    <t xml:space="preserve"> Invitation to Bid for Procurement of 5 units Infusion Pump and etc. for MOPH 1. The Province of Misamis Occidental through the General Funds intends to apply the sum of One Million One Hundred Eighty-Five Thousand Pesos (P 1,185,000.00) being the Approved</t>
  </si>
  <si>
    <t xml:space="preserve"> INVITATION TO BID The Local Government Unit of Jasaan, Jasaan, Misamis Oriental, through the SPECIAL EDUCATION FUND (SEF) intends to apply the sum of One Million Two Hundred Eighty Thousand Pesos and 00/100 (P1,280,000.00) being the Approved Budget for th</t>
  </si>
  <si>
    <t xml:space="preserve"> INVITATION TO BID  Supply and Delivery of 80,260 bags Urea Fertilizer (Granular) for use under National Rice Program 2020 FLR 1.	The Department of Agriculture Regional Field Office No. 5, through the General Appropriations Act (GAA) for CY 2020--Rice  int</t>
  </si>
  <si>
    <t xml:space="preserve"> Section I. Invitation to Bid   Republic of the Philippines Department of Health Jose R. Reyes Memorial Medical Center M a n i l a INVITATION TO BID FOR  ONE (1) UNIT 2D ECHOCARDIOLOGY SYSTEM (2D ECHO)  ITB No. 2020-2D ECHO-108 1.	The Jose R. Reyes Memoria</t>
  </si>
  <si>
    <t xml:space="preserve"> Proposed Construction of Street Lights 14 sets Sagap, Bangued, Abra</t>
  </si>
  <si>
    <t xml:space="preserve"> Republic of the Philippines Province of Palawan Municipality of Roxas BIDS AND AWARDS COMMITTEE INVITATION TO BID FOR THE SUPPLY AND DELIVERY OF MATERIALS FOR THE EXTENSION OF COMPOSTING FACILITY AT SO. MAN-AG, BARANGAY IV, ROXAS, PALAWAN The Local Govern</t>
  </si>
  <si>
    <t xml:space="preserve"> Proposed Construction of Street Lights 10 sets Calaba, Bangued, Abra</t>
  </si>
  <si>
    <t xml:space="preserve"> 475		sq.m.	Subgrade Preparation				 109.25		cu.m.	Aggregate Subbase Course				 95		cu.m.	Portland Cement Concrete Pavement</t>
  </si>
  <si>
    <t xml:space="preserve"> 1	unit 	Computer sets, Processor - Intel i7 8700, 8th Gen, Base Frequency - 3.2 GHz, Turbo Frequency - 4.6 GHz, Cache - 12 MB Cache, No. of Cores - 6 cores, Lithography - 14nm, Threads - 12 threads, Thermal Design  Power - 65W, Memory - 16GB DDR4, upgrada</t>
  </si>
  <si>
    <t xml:space="preserve"> ITEM NO. DESCRIPTION Unit Qty. I Site Works sq.m. 224 II Structural Excavation Works cu.m. 163.20 III Concrete Works cu.m. 92.75 IV Plastering Works sq.m. 280 V Formworks sq.m. 1,183 VI Reinforcing Steel bars kgs. 22,244 VII Project Supervision days 90 VI</t>
  </si>
  <si>
    <t xml:space="preserve"> The Municipality of Tanza, Cavite, through its Bids and Awards Committee (BAC), invites suppliers/manufacturers/distributor/contractors to apply for eligibility and to bid for the hereunder project: 	Name of Project	: SUPPLY AND DELIVERY OF BOND PAPER FOR</t>
  </si>
  <si>
    <t xml:space="preserve"> Please quote your lowest price on the job/items listed below, subject to the Specification, Terms &amp; Conditions										 provided herein, stating the shortest time of delivery and submit your quotation in the box located at Procurement Section, 										</t>
  </si>
  <si>
    <t xml:space="preserve"> Republic of the Philippines Region XII Province of Cotabato Municipality of Makilala  OFFICE OF THE BIDS AND AWARD COMMITTEE INVITATION TO BID N0. 2020-023            The Municipality of Makilala, through the Municipal Agricultural Services Office  intend</t>
  </si>
  <si>
    <t xml:space="preserve"> Republic of the Philippines Region XII Province of Cotabato Municipality of Makilala  OFFICE OF THE BIDS AND AWARD COMMITTEE INVITATION TO BID N0. 2020-031            The Municipality of Makilala, through the Municipal Health Office  intends to apply the </t>
  </si>
  <si>
    <t xml:space="preserve"> The Bids &amp; Awards Committee (BAC) of the Municipality of Argao, Argao, Cebu, invites all interested suppliers/manufacturers/distributors/contractors/consultants to apply for eligibility and to submit bids for the following: ITEM: 1 UNIT BRAND NEW PICK UP </t>
  </si>
  <si>
    <t xml:space="preserve"> INVITATION TO BID 1)	The DPWH- Davao City District Engineering Office through its Bids and Awards Committee (BAC), invites contractors to submit bids for the following contract; 1. Procurement ID /          Contract ID No.	:	20LB0296     Contract Name	:	R</t>
  </si>
  <si>
    <t xml:space="preserve"> 200 plastic chairs</t>
  </si>
  <si>
    <t xml:space="preserve"> I N V I T A T I O N   T O   B I D 2020 - 147 August 5, 2020 1.	The Provincial Government of Tarlac through the Trust Fund (CMGP 2020) intends to apply the sum of Fourteen Million Six Hundred Eighty-Nine Thousand One Hundred Seventy-Six Pesos Only (PhP 14,</t>
  </si>
  <si>
    <t xml:space="preserve"> BLGU-San Juan - Padre Burgos, Southern Leyte Invitation to Bid for Rehabilitation of Street Lighting  1.	The BLGU –San Juan, Padre Burgos, Southern Leyte, through the Barangay 20% EDF 2020  intends to apply the sum of One Hundred Ninety Four Thousand One </t>
  </si>
  <si>
    <t xml:space="preserve"> 1pc	Internet Broadband, 100Mbps speed, for 24 months Inclusion:  -Router/Modem -Business Landline -Internet Broadband with 100mbps</t>
  </si>
  <si>
    <t xml:space="preserve"> I N V I T A T I O N   T O   B I D 2020 - 146 August 5, 2020 1.	The Provincial Government of Tarlac through the Trust Fund (CMGP 2020) intends to apply the sum of Forty-One Million Four Hundred Five Thousand Six Hundred Twenty-Six Pesos Only (PhP 41,405,62</t>
  </si>
  <si>
    <t xml:space="preserve"> Qty	Unit	Articles 6	 pcs 	Paint Brush 15	 pcs 	QDE (Enamel White), 4L 24	 pcs 	Thalo Blue(Latex Color), 1L 10	 pcs 	Paint Thinner, 4L 24	 pcs 	715 Semi Gloss latex (white), 16L 10	 pcs 	Paint Brush 3" 10	 pcs 	Paint bRush 4" 24	 pcs 	Roller Brush 7" 200	 </t>
  </si>
  <si>
    <t xml:space="preserve"> BIDS AND AWARDS COMMITTEE Invitation For Negotiated Procurement (TWO FAILED BIDDINGS)  IB No. 2020-071/MACA LABOR, EQUIPMENT AND MATERIALS FOR THE CONSTRUCTION OF WAREHOUSE IN BRGY. LANDING, BALIANGAO, MISAMIS OCCIDENTAL ABC: (PHP)5,000,000.00      1.	In </t>
  </si>
  <si>
    <t xml:space="preserve"> PEO-2020-0197 PR2020-0575 INVITATION TO BID FOR THE PROCUREMENT OF LABOR, MATERIALS, AND EQUIPMENT FOR THE CONSTRUCTION OF 2-CLASSROOM SCHOOL BUILDING WITH PWD TOILETS AT MAHANAY HIGH SCHOOL AT MAHANAY, TALIBON, BOHOL ABC: P 3,077,874.05 COST OF BID DOCUM</t>
  </si>
  <si>
    <t xml:space="preserve"> Construction of Drainage Canal at Dipudo Barangay Site</t>
  </si>
  <si>
    <t xml:space="preserve"> BEMO-2020-0196 PR2020-0563 INVITATION TO BID FOR THE PROCUREMENT OF LABOR, EQUIPMENT, AND MATERIALS FOR THE EXPANSION OF GIANT CLAM HATCHERY AT BFAR, SINANDINGAN, UBAY, BOHOL ABC: P 764,086.98 COST OF BID DOCUMENTS: P 1,000.00 ADVERTISEMENT PERIOD: AUGUST</t>
  </si>
  <si>
    <t xml:space="preserve"> BLGU-San Juan - Padre Burgos, Southern Leyte Invitation to Bid for Proposed Pathway to Basketball Court 1.	The BLGU –San Juan, Padre Burgos, Southern Leyte, through the Barangay 20% EDF,   intends to apply the sum of Ninety Three Thousand Pesos only (Php9</t>
  </si>
  <si>
    <t xml:space="preserve"> Republic of the Philippines Province of Leyte Municipality of Tabango Invitation to Bid for Procurement of Fuel, Oil &amp; Lubricants  The Local Government Unit of Tabango, through the Supplemental Budget No. 1 2020 –  General Fund intends to apply the sum of</t>
  </si>
  <si>
    <t xml:space="preserve"> Republic of the Philippines Province of Palawan Municipality of Roxas BIDS AND AWARDS COMMITTEE INVITATION TO BID FOR THE SUPPLY AND DELIVERY OF MATERIALS FOR PERIMETER FENCING OF JOLO ELEMENTARY SCHOOL, BARANGAY JOLO, ROXAS, PALAWAN The Local Government </t>
  </si>
  <si>
    <t xml:space="preserve"> INVITATION TO BID The Municipality of Pagsanjan, through its Bids and Awards Committee (BAC), interested contractors registered to apply for eligibility and if found eligible, to bid for the hereunder contract: 	 Name of Contract: 	Procurement of Gasoline</t>
  </si>
  <si>
    <t xml:space="preserve"> INVITATION TO BID FOR THE SUPPLY, DELIVERY, INSTALLATION, PROGRAMMING, TESTING AND COMMISSIONING OF EQUIPMENT AND APPURTENANCES FOR THE UPGRADING OF INLINE BOOSTER FOR LARION BAJO PUMPING STATION (RE-BIDDING) 1. The Metropolitan Tuguegarao Water District </t>
  </si>
  <si>
    <t xml:space="preserve"> Republic of the Philippines Province of Davao del Sur MUNICIPALITY OF MATANAO -oOo- INVITATION TO BID The Local Government Unit of Matanao, Davao del Sur, through its Bids and Awards Committee (BAC), invites interested suppliers/distributors to apply for </t>
  </si>
  <si>
    <t xml:space="preserve"> The Commission on Human Rights (CHR), through its Bids and Awards Committee for Goods and Services (BAC-GS), will procure for the Supply, delivery and Installation Modular Partitions and Office Furniture at the GAO -Procurement Division through Section 53</t>
  </si>
  <si>
    <t xml:space="preserve"> Republic of the Philippines DEPARTMENT OF AGRICULTURE Regional Field Office IX, Zamboanga Peninsula INVITATION TO BID FOR SUPPLY AND DELIVERY OF HYBRID RICE SEEDS 1.	The Department of Agriculture Regional Field Office IX, through the GAA 2020- (National R</t>
  </si>
  <si>
    <t xml:space="preserve"> Invitation to Bid for Repair of Slaughterhouse Building at Barangay Magbay, SJOM 1.	The Municipality of San Jose, through the 2020 Annual Budget under the Repairs and Maintenance Expenses of the Municipal Engineering Office  intends to apply the sum of Fi</t>
  </si>
  <si>
    <t xml:space="preserve"> 6,451 Liters Diesoline</t>
  </si>
  <si>
    <t xml:space="preserve"> Republic of the Philippines Province of Leyte MUNICIPALITY OF TABANGO Barangay Gibacungan Invitation to Bid for Construction of Stream Wall (Flood Control) 	 Brgy. Gibacungan, Tabango, Leyte 1.	The Brgy. Government of Gibacungan, Tabango, through the Gene</t>
  </si>
  <si>
    <t xml:space="preserve"> materials</t>
  </si>
  <si>
    <t xml:space="preserve"> Republic of the Philippines Province of Palawan Municipality of Narra INVITATION TO BID 1.	The Local Government of Barangay Antipuluan, Narra, Palawan, through Bids and Awards Committee intends to apply the sum of Two Hundred Eighty-Nine Thousand Seven Hu</t>
  </si>
  <si>
    <t xml:space="preserve"> I N V I T A T I O N   T O   B I D 2020 - 145 August 5, 2020 1.	The Provincial Government of Tarlac through the Trust Fund (CMGP 2020) intends to apply the sum of Forty-Seven Million Three Hundred Forty-Seven Thousand Nine Hundred Two Pesos Only (PhP 47,34</t>
  </si>
  <si>
    <t xml:space="preserve"> I N V I T A T I O N   T O   B I D 2020 - 148 August 5, 2020 1.	The Provincial Government of Tarlac through the PGO - Other Land Improvements intends to apply the sum of Two Million Four Hundred Fifty Thousand Nine Hundred Eighty-Seven Pesos and 95/100 (Ph</t>
  </si>
  <si>
    <t xml:space="preserve"> Grade 1- 194 copies Grade 2- 189 copies Grade 3-135 copies Grade 4- 163 copies Grade 5- 151 copies Grade 6-190 copies Softbound. A4 Size Bondpapers; Class A newsprint. Print must be back to back. Quantity is subject to changes. Official Receipt is valid a</t>
  </si>
  <si>
    <t xml:space="preserve"> solar lights</t>
  </si>
  <si>
    <t xml:space="preserve"> INVITATION TO BID The Department of Public Works and Highways - Pampanga 1st District Engineering Office, through its Bids and Awards Committee (BAC), invites contractors to submit bids for the following Contract: 1.	 Procurement ID/Contract ID	:	20CG0259</t>
  </si>
  <si>
    <t xml:space="preserve"> Republic of the Philippines Province of Leyte Municipality of Tabango Invitation to Bid for Repair of CCTV  The Local Government Unit of Tabango, through the – 5%LDRRMF-Supplemental Budget #1-GF2020- intends to apply the sum of Three Hundred Eighty Thousa</t>
  </si>
  <si>
    <t xml:space="preserve"> Development and Deployment of the Philippines Anti-Illegal Drugs Strategy – Agency Reporting and Monitoring System (PADS-ARMS) Please see attached Terms of Reference (TOR).</t>
  </si>
  <si>
    <t xml:space="preserve"> Anderson Elementary School Request for Quotation Distance Learning Modules Enlish Filipino Math Science Aral Panlipunan Music Arts Pe. Elementary Agriculture EPP Kinder Moudule  Sped Modules</t>
  </si>
  <si>
    <t xml:space="preserve"> INVITATION TO BID FOR Animal Health Management for Large Animals, Dogs and Cats 1.	The Municipality of San Jose, through the 2020 Annual Budget under Municipal Agriculture Office   intends to apply the sum of Three Hundred Thousand Pesos Only (₱ 300,000.0</t>
  </si>
  <si>
    <t xml:space="preserve"> Construction of multi-purpose public buildings: 1. Salucag Day Care Center 2. Calumbaya Barangay Hall</t>
  </si>
  <si>
    <t xml:space="preserve"> INVITATION TO BID FOR Purchase of Zinc Phosphide to be used for the Massive Rat Poisoning 1.	The Municipality of San Jose, through the 2020 Annual Budget under the General Fund   intends to apply the sum of Four Hundred Seventy Three Thousand Pesos Only (</t>
  </si>
  <si>
    <t xml:space="preserve"> Sir/ Ma'am:   Please quote your lowest possible price for the articles described in the attached document.</t>
  </si>
  <si>
    <t xml:space="preserve"> Republic of the Philippines DEPARTMENT OF PUBLIC WORKS AND HIGHWAYS MARINDUQUE DISTRICT ENGINEERING OFFICE Region IV-B, MIMAROPA  Boac, Marinduque INVITATION TO BID  The DPWH-Marinduque District Engineering Office, Boac, Marinduque, through its Bids and A</t>
  </si>
  <si>
    <t xml:space="preserve"> BEMO-2020-0182 Rebidding INVITATION TO BID FOR THE PROCUREMENT OF THIRD PARTY CERTIFICATION BODY (AUDITORS) SERVICES TO ASSESS THE EFFECTIVENESS OF THE EMS IMPLEMENTATION OF THE PGBH IN CONFORMANCE TO THE REQUIREMENTS OF ISO14001:2015 STANDARD ABC: P 700,</t>
  </si>
  <si>
    <t xml:space="preserve"> 43,669 Liters Diesoline 150 pcs Plastic Drums</t>
  </si>
  <si>
    <t xml:space="preserve"> BIDS AND AWARDS COMMITTEE: Item #	 Qty	   Unit	                   Item Description	  Unit Cost	      Total Cost 0001	50	units	Jetmatic Pump		 			x-x-x-x Nothing Follows x-x-x-x		 ROY D. CARALDE                            WINNY C. WAYCO, CE, EnP	          </t>
  </si>
  <si>
    <t xml:space="preserve"> Republic of the Philippines Province of Davao Oriental CITY OF MATI REQUEST FOR QUOTATION 			 Date:	04 AUGUST 2020 RFQ No.:	1064-2020 Name of Company: ________________________________________________________________________________________________________</t>
  </si>
  <si>
    <t xml:space="preserve"> BIDS AND AWARDS COMMITTEE: Item #	 Qty	   Unit	                   Item Description	  Unit Cost	      Total Cost 0001	100	lngth	GI Pipes #2 sch.40		 0002	100	lngth	10mm Def. Bars		 0003	1	box	Welding Rod		 			x-x-x-x Nothing Follows x-x-x-x		 ROY D. CARALD</t>
  </si>
  <si>
    <t xml:space="preserve"> Technical Specifications: A4, Sub.20,70 gsm, Arrange and with Sorting                                   Printing not back to back Qty	UNIT	ARTICLES				                      UNIT PRICE	TOTAL COST 							 115	sets	Kindergarten- 40 pages/set 				20.00	      </t>
  </si>
  <si>
    <t xml:space="preserve"> Name: Repair/Rehab of Multi-Purpose Hall (VAWC Office) Location: Brgy. Lapnag Banga, Aklan Project Category: Building Appropriation: Php240,000.00 Source of Funds: 20% DF CY 2020 Calendar Days to Complete: 45 Calendar Days Desirable Starting Date: CY-2020</t>
  </si>
  <si>
    <t xml:space="preserve"> INVITATION TO REBID The Iligan City Government Bids and Awards Committee (BAC), through TRUST FUND intends to apply the sum of P 1,481,955.00 being the Approved Budget for the Contract (ABC) to payments under the Contract for Procurement of Rental of Heav</t>
  </si>
  <si>
    <t xml:space="preserve"> Sir/ Ma'am:  Please quote your lowest possible price for the articles described in the attached document.</t>
  </si>
  <si>
    <t xml:space="preserve"> JOB ORDER: Furnishing of labor, materials and equipment rental for the Proposed Construction/Rehabilitation/Improvement of Various Government Building Structures and Facilities under Infra-001-2020 *** please see attached Instruction to Bidders</t>
  </si>
  <si>
    <t xml:space="preserve"> Republic of the Philippines PROVINCE OF NUEVA ECIJA City of Palayan INVITATION TO BID FOR  SUPPLY AND DELIVERY OF DANGEROUS DRUGS August 5, 2020 1.	The Provincial Government of Nueva Ecija (PGNE), through the General Fund intends to apply the sum of Three</t>
  </si>
  <si>
    <t xml:space="preserve"> Submit price quotation not later than August 10, 2020, to the Municipal BAC Secretariat Office, Imbatug, Baungon, Bukidnon.</t>
  </si>
  <si>
    <t xml:space="preserve"> DEADLINE OF SUBMISSION AND OPENING OF BIDS: AUGUST 25, 2020, 10:00 A.M. SANGGUNIANG BARANGAY OFFICE, IMBATUG, BAUNGON, BUKIDNON</t>
  </si>
  <si>
    <t xml:space="preserve"> Republic of the Philippines Local Government Unit of General Santos City BIDS AND AWARDS COMMITTEE City Hall, General Santos City INVITATION TO APPLY FOR ELIGIBILITY AND TO BID FOR 20CW-GSC-024 WATER SUPPLY SYSTEM (INSTALLATION OF WATER SUPPLY FACILITIES </t>
  </si>
  <si>
    <t xml:space="preserve"> BILL OF QUANTITIES: Item #	Qty	   Unit	                   Item Description	  Unit Cost	Total Cost 0001		1.00	ls	Sanitary Landfill		 0002		1.00	ls	Mobile &amp; Central MRF		 0003		321.47	Cu.m	Concrete Works		 0004		543.96	Sq.m	Masonry Works		 0005		892.17	Sq.m</t>
  </si>
  <si>
    <t xml:space="preserve"> Republic of the Philippines Province of Palawan Municipality of Roxas BIDS AND AWARDS COMMITTEE INVITATION TO BID FOR THE SUPPLY AND DELIVERY OF CERTIFIED SEEDS OF PALAY AND VEGETABLES The Local Government Unit of Roxas, Palawan, through the 2020 Annual B</t>
  </si>
  <si>
    <t xml:space="preserve"> Republic of the Philippines  Department of  Science and Technology  Regional Office No. IX  Pettit Barracks,   Zamboanga  CIty Tel. Nos. (062) 992-1114; (062) 991-1024 INVITATION TO BID SUPPLY AND DELIVERY OF PROFICIENCY TESTING SAMPLE FOR DOST IX-RSTL  P</t>
  </si>
  <si>
    <t xml:space="preserve"> Department of Education Region VI-Western Visayas Division of Cadiz City CNHS- Luna Extension High School INVITATION TO BID FOR   Materials for the Reproduction of Modules (1st Quarter) 1.	The DepEd,Division of Cadiz City, CNHS- Luna Extension High School</t>
  </si>
  <si>
    <t xml:space="preserve"> 600 KITS PCR COLLECTION KIT W/ TRANSPORT SWAB &amp; VIRAL TRANSPORT MEDIUM</t>
  </si>
  <si>
    <t xml:space="preserve"> BILL OF QUANTITIES: Item #	Qty	   Unit	                   Item Description	  Unit Cost	Total Cost 0001		147	Sq.m	Super Tree		 0002		168	Sq.m	Public Space Outdoor Stage		 			x-x-x-x Nothing Follows x-x-x-x		 BIDS AND AWARDS COMMITTEE: ROY D. CARALDE       </t>
  </si>
  <si>
    <t xml:space="preserve"> Unit 	Item Description	Quantity 		 		 	HARDWARE &amp; INDUSTRIAL SUPPLIES	 		 pc	Sanding paper # 80	50 pc	Sanding paper # 200	50 roll	Sanding paper # 80	2 roll	Nylon string No.6, 200m	8 box	Blind rivets, 1/8” x ½ “ 1000s/box	8 box	Plastic washer, 1000s, 1/8" </t>
  </si>
  <si>
    <t xml:space="preserve"> Qty	Unit	Item Description 1	unit	Vehicle 		Transmission: Type Manual 		Engine:  		Engine size- 1.3L, Displacement – 1.329cc 		Number of Cylinder – 4, Number of Valves – 16 		Transmission – 5 speed,  		Dimension: 		Length – 4,425mm, Width – 1,730mm, Height</t>
  </si>
  <si>
    <t xml:space="preserve"> 126 PCS.—WASHABLE COVER ALL PPE 100 PCS.---KN 95 WITH VALVE 100 PCS. –HEAD COVER WITH CAP 100 PCS---SHOE COVER 50 BOXES—SURGICAL GLOVES(nitrile) 16 pcs.---------THERMAL SCANNER 100 PCS.------ICU COVER ALL PPE</t>
  </si>
  <si>
    <t xml:space="preserve"> CONCRETING</t>
  </si>
  <si>
    <t xml:space="preserve"> INVITATION TO BID FOR THE SUPPLY AND DELIVERY OF BRASS WATER METER (RE-BIDDING) 1. The Metropolitan Tuguegarao Water District through the Corporate Budget for the Year 20201 intends to apply the sum of Eight Million Six Hundred Seventy Four Thousand Pesos</t>
  </si>
  <si>
    <t xml:space="preserve"> The Roxas City Government, through the GOP-2020 intends to apply the total amount of Five Hundred Eighty-Six Thousand Six Hundred Pesos (PhP 586,600.00) being the Approved Budget for the Contract (ABC) to payments under the contract for Public Bidding for</t>
  </si>
  <si>
    <t xml:space="preserve"> Republic of the Philippines Province of Batanes MUNICIPALITY OF MAHATAO -oOo- BIDS AND AWARDS COMMITTEE INVITATION TO APPLY FOR ELIGIBILITY AND TO BID The Municipal Government of Mahatao through General Funds intends to apply the sum of Php 112,000.00 bei</t>
  </si>
  <si>
    <t xml:space="preserve"> SCOPE OF WORKS: A.1.1(3)	Construction of Field Office for the Engineer	1.00	l.s A.1.2(2)	Provision of 4X4 Pick Up Type Service Vehicle for the Engineer on Bare Rental Basis	6.27	mo.	 B.4(1)	Construction Survey and Staking	2.81	km. B.5	        Project Bill</t>
  </si>
  <si>
    <t xml:space="preserve"> PACKAGE III— CONSTRUCTION OF GOAT HOUSE    Bill of Quantities Item No. 	 Description	 % of Total	 Unit	 Quantity I	Site Works	.60	Sq.m.	30.0 II	General Requirements	2.7	lot	1.0 III	Form Works	12.7	Sq.m.	35.0 IV	Concrete Works	22.5	Cu.m.	4.65 V	Painting Wo</t>
  </si>
  <si>
    <t xml:space="preserve"> Painting of Thermoplastic Pavement Markings (Sta. Limits K1607+050.00 to K1612+400.00 K1620+000.00 to K1621+000.00) (Net Length 6.350 kms. 12.70 kms.)</t>
  </si>
  <si>
    <t xml:space="preserve"> 1 Lot  Information Technology and other internet accessories for Classroom Online Teaching Package:    14  unit  Repeater – AP TPLink-CPE10 GHz 300Mbps 13dBi Outdoor CPE  12  unit  Enhancer – COMFAST CR-E320V2 300M WiFi Ceiling Wireless AP 802.11bgn    6 </t>
  </si>
  <si>
    <t xml:space="preserve"> Installation</t>
  </si>
  <si>
    <t xml:space="preserve"> For the use of the Barangay</t>
  </si>
  <si>
    <t xml:space="preserve"> SCO[E OF WORKS: A.1.1(3)	Construction of Field Office for the Engineer	1.00	l.s A.1.2(2)	Provision of 4X4 Pick Up Type Service Vehicle for the Engineer on Bare Rental Basis	6.70	mo. Part B	Other General Requirements		 B.4(1)	Construction Survey and Stakin</t>
  </si>
  <si>
    <t xml:space="preserve"> as per BSP Technical Specifications</t>
  </si>
  <si>
    <t xml:space="preserve"> The Roxas City Government, through the GOP-2020 intends to apply the total amount of Four Hundred  Ninety Five Thousand Five Hundred Sixty Pesos (Php 495,560.00) being the Aggregate Approved Budget for the Contract (ABC) to payments under the contract for</t>
  </si>
  <si>
    <t xml:space="preserve"> Republic of the Philippines Province of Batanes MUNICIPALITY OF MAHATAO -oOo- BIDS AND AWARDS COMMITTEE INVITATION TO APPLY FOR ELIGIBILITY AND TO BID The Municipal Government of Mahatao through General Funds intends to apply the sum of Php 181,502.88 bei</t>
  </si>
  <si>
    <t xml:space="preserve"> Painting of Thermoplastic Pavement Markings (Sta. Limits = K1633+449 to K1635+000) (Net Length = 1.5510 kms;  3.10 Lane-Kms)</t>
  </si>
  <si>
    <t xml:space="preserve"> Republic of the Philippines Department of Environment and Natural Resources ENVIRONMENTAL MANAGEMENT BUREAU REGION VI Tel. Nos.: 033-336-6989                               REQUEST FOR QUOTATION (RFQ) PROCUREMENT FOR SUPPLY AND DELIVERY OF THE FOLLOWING OF</t>
  </si>
  <si>
    <t xml:space="preserve"> Republic of the Philippines Province of Davao Oriental CITY OF MATI REQUEST FOR QUOTATION 			 Date:	04 AUGUST 2020 RFQ No.:	1051-2020 Name of Company: ________________________________________________________________________________________________________</t>
  </si>
  <si>
    <t xml:space="preserve"> Description I.	Signboard II.	Excavation III.	Formworks &amp; Scaffolding IV.	Concrete Works V.	Masonry Worksw/ Plain Plaster Finish VI.	Carpentry Works VII.	Roofing Works VIII.	Plumbing Works IX.	Tile Works X.	Door Works XI.	Painting Works XII.	Construction S</t>
  </si>
  <si>
    <t xml:space="preserve"> Activity sheets for kinder and Sped. Modules for kinder to Grade 6</t>
  </si>
  <si>
    <t xml:space="preserve"> Republic of the Philippines Province of Batanes MUNICIPALITY OF MAHATAO -oOo- BIDS AND AWARDS COMMITTEE INVITATION TO APPLY FOR ELIGIBILITY AND TO BID The Municipal Government of Mahatao through Trust Fund intends to apply the sum of Php 600,000.00 being </t>
  </si>
  <si>
    <t xml:space="preserve"> Republic of the Philippines Province of Davao Oriental CITY OF MATI REQUEST FOR QUOTATION 			 Date:	04 AUGUST 2020 RFQ No.:	1062-2020 Name of Company: ________________________________________________________________________________________________________</t>
  </si>
  <si>
    <t xml:space="preserve"> Republic of the Philippines Department of Environment and Natural Resources ENVIRONMENTAL MANAGEMENT BUREAU REGION VI Tel. Nos.: 033-336-6989                               REQUEST FOR QUOTATION (RFQ) PROCUREMENT FOR SUPPLY AND INSTALLATION OF IPPBX RFQ No</t>
  </si>
  <si>
    <t xml:space="preserve"> DEADLINE OF SUBMISSION AND OPENING OF BIDS: AUGUST 25, 2020 10:00 A.M. MUNICIPAL BAC SECRETARIAT OFFICE, IMBATUG, BAUNGON, BUKIDNON</t>
  </si>
  <si>
    <t xml:space="preserve"> Rice Canned Goods Coffee  Milo Face Mask Alcohol</t>
  </si>
  <si>
    <t xml:space="preserve"> Republic of the Philippines            BARANGAY LANCHETA Tacurong City, Sultan Kudarat BIDS AND AWARDS COMMITTEE                                               INVITATION TO BID           The Brgy. Lancheta through the Bids and Awards Committee (BAC) is in</t>
  </si>
  <si>
    <t xml:space="preserve"> BARANGAY CENTRAL SIGNAL BIDS AND AWARDS COMMITTEE -- Advertisement/Posting of Invitation to Bid ------ August 5, 2020 -- Issuance and Availability of Bid Documents -----  August 5, 2020 -- Deadline for Submission -------------------------- August 13, 2020</t>
  </si>
  <si>
    <t xml:space="preserve"> Department of Education Region VI-Western Visayas Division of Cadiz City Alimatoc Elementary School SMALL VALUE FOR PROCUREMENT OF 3 IN 1 PRINTER FOR 2020 1. The Alimatoc Elementary School of Cadiz City, through the Schools MOOE Fund CY 2020 intends to ap</t>
  </si>
  <si>
    <t xml:space="preserve"> Item			Quantity			Unit of			Item Description														 No.						Issue																	 1			1			Lot			MUNICIPAL ORDINANCE NO. 05 SERIES OF 2020 - AN 														 									ORDINANCE AMENDING SECTION 136 ARTICLE II 														 									CHAPTER OF TH</t>
  </si>
  <si>
    <t xml:space="preserve"> Republic of the Philippines            BARANGAY LANCHETA                                                         Tacurong City, Sultan Kudarat BIDS AND AWARDS COMMITTEE                                               INVITATION TO BID           The Brgy. La</t>
  </si>
  <si>
    <t xml:space="preserve"> The Roxas City Government, through the GOP-2020 intends to apply the total amount of One Hundred Fifty Thousand Pesos (P 150,000.00) being the Approved Budget for the Contract (ABC) to payments under the contract for Public Bidding for the Supply and Deli</t>
  </si>
  <si>
    <t xml:space="preserve"> For the use of Cebu City Medical Center for patients.</t>
  </si>
  <si>
    <t xml:space="preserve"> 1.	The Local Government Unit Of Lianga Surigao del Sur, through  Special Education Fund (SEF-2)   intends to apply the sum of Two Hundred Twenty Seven thousand, Pesos only ( P 227, 000.00) being the Approved Budget for the Contract (ABC) to payments under</t>
  </si>
  <si>
    <t xml:space="preserve"> Republic of the Philippines Local Government Unit of General Santos City BIDS AND AWARDS COMMITTEE City Hall, General Santos City INVITATION TO APPLY FOR ELIGIBILITY AND TO BID FOR 20CW-GSC-023 CONSTRUCTION OF WATER SYSTEM AT BADJAO VILLAGE, BARANGAY SIGU</t>
  </si>
  <si>
    <t xml:space="preserve"> Laboratory Supply Expense-Biological, OB kits and etc.,</t>
  </si>
  <si>
    <t xml:space="preserve"> 5 AUGUST 2020 INVITATION TO BID FOR THE SUPPLY AND DELIVERY OF DRUGS AND MEDICINES FOR VARIOUS  HEALTH CENTERS AT SOUTH CALOOCAN CITY 	 	 1.	The City of Caloocan, through the General Fund of the 2020 Annual City Budget approved under Sangguniang Panlungso</t>
  </si>
  <si>
    <t xml:space="preserve"> WASHABLE OVER ALL PPE- --115 PCS N95 MASK WITH VALVE--------115 PCS SURGICAL MASK-----------------40 PCS SURGICAL GOWN (REGULAR)---100 PCS HEAD COVER-------------------------91 PCS APRON----------------------------------50 PCS MEDICAL EYEWEAR-------------</t>
  </si>
  <si>
    <t xml:space="preserve"> The Roxas City Government, through the GOP-2020 intends to apply the total amount of Two Hundred Forty Nine Thousand Pesos (PhP 249,000.00) being the Approved Budget for the Contract (ABC) to payments under the contract for Public Bidding for the Supply a</t>
  </si>
  <si>
    <t xml:space="preserve"> ITEM NO.	UNIT	ITEMS &amp; DESCRIPTION/S	QTY 1	box	CLIP, backfold, 19mm	10 2	box	CLIP, backfold, 32mm	10 3	ream	PAPER, Multi-Purpose (COPY) Legal, 70 gsm	10 4	ream	PAPER, Multi-Purpose (COPY) A4, 70 gsm	40 5	roll	TAPE, MASKING, width: 24mm (±1mm)	5 6	roll	TAPE</t>
  </si>
  <si>
    <t xml:space="preserve"> Invitation to Bid for Rehabilitation/Repair of Damaged River Control at Guiwan, Pob., MZDS (at sect. 1: right side near bamboo tree; sect. 2: leftside residential conc. fence) Source of Fund: 2020 5% MDRRMF Days to Complete: 35 Nonrefundable fee for bid d</t>
  </si>
  <si>
    <t xml:space="preserve"> 5 AUGUST 2020 INVITATION TO BID FOR THE SUPPLY AND DELIVERY OF DRUGS AND MEDICINES FOR VARIOUS HEALTH CENTERS AT NORTH CALOOCAN CITY 	 	 1.	The City of Caloocan, through the General Fund of the 2020 Annual City Budget approved under Sangguniang Panlungsod</t>
  </si>
  <si>
    <t xml:space="preserve"> Construction/Concreting</t>
  </si>
  <si>
    <t xml:space="preserve"> Republic of the Philippines Province of Davao Oriental CITY OF MATI REQUEST FOR QUOTATION 			 Date:	04 AUGUST 2020 RFQ No.:	1063-2020 Name of Company: ________________________________________________________________________________________________________</t>
  </si>
  <si>
    <t xml:space="preserve"> For use in the Garbage Collection and Disposal Services.</t>
  </si>
  <si>
    <t xml:space="preserve"> For printing Real Property Tax declaration, printing of a certified true copy of tax dec and for safekeeping of taxdec &amp; TMCR.</t>
  </si>
  <si>
    <t xml:space="preserve"> 1 unit MULTIFUNCTION PRINTER (Print, Copy, Scan) monochrome print &amp; colour scan  printing &amp; copying speed - up to 22 ppm on A4  scanning speed/resolution, 46 opm (b/w), 600dpi  Paper format, A5 to A3  paper feeder capacity, standard 350 sheets</t>
  </si>
  <si>
    <t xml:space="preserve"> Department of Public Works and Highways Contract ID	:	20MH0112 Contract Name	:	Concreting of Brgy. Kiadzam to Sitio Dongdong, Brgy. Kiadzam FMR Contract Location	:	Brgy. Kiadzam, Sen. Ninoy Aquino, Sultan Kudarat Department of Public Works and Highways Su</t>
  </si>
  <si>
    <t xml:space="preserve"> Republic of the Philippines Region XII Province of Cotabato BIDS AND AWARDS COMMITTEE Amas, Kidapawan City INVITATION TO BID FOR Supply &amp; Delivery of IV Fluids for Aleosan District Hospital, Aleosan, Cotabato. (PB-20-431) 1.	The Provincial Government of C</t>
  </si>
  <si>
    <t xml:space="preserve"> 5 AUGUST 2020 INVITATION TO BID FOR THE SUPPLY AND DELIVERY OF OFFICE AND JANITORIAL SUPPLIES  AND DEVICES  FOR VARIOUS OFFICES OF THE CITY GOVERNMENT 	 	 1.	The City of Caloocan, through the General Fund of the 2020 Annual City Budget approved under Sang</t>
  </si>
  <si>
    <t xml:space="preserve"> Republic of the Philippines        City of Tacurong       Barangay D’Ledesma INVITATION TO BID (Re-Bidding)                                                                                                                                        The Brgy. D’</t>
  </si>
  <si>
    <t xml:space="preserve"> Invitation to Bid For Online Competency Assessment  1.	The LAND BANK OF THE PHILIPPINES (LANDBANK), through its Corporate Budget for the contract approved by the Board of Directors for 2020 intends to apply the total sum of One Million Three Hundred Thous</t>
  </si>
  <si>
    <t xml:space="preserve"> Republic of the Philippines Region XII Province of Cotabato BIDS AND AWARDS COMMITTEE Amas, Kidapawan City INVITATION TO BID FOR Supply &amp; Delivery of Alcohol for different divisions of Provincial Governor’s Office, Amas, Kidapawan CIty. (PB-20-432) 1.	The</t>
  </si>
  <si>
    <t xml:space="preserve"> Republic of the Philippines Region XII Province of Cotabato BIDS AND AWARDS COMMITTEE Amas, Kidapawan City INVITATION TO BID FOR Supply &amp; Delivery of Mobility Assistant Devices for mental health patients. (PB-20-429) 1.	The Provincial Government of Cotaba</t>
  </si>
  <si>
    <t xml:space="preserve"> NOTICE FOR NEGOTIATED PROCUREMENT (Small Value Procurement-Individual Consultant) DSWD NNP NO. 20-GOP-SVC-003 “HIRING OF RISK MANAGEMENT CONSULTANT”   (PR No. 01-20001-PR-2020-06-00137) 1.	The Government of the Philippines (GOP), through the Policy Develo</t>
  </si>
  <si>
    <t xml:space="preserve"> REPAIR AND MAINTENANCE OF VARIOUS SCHOOLS, PAGUDPUD, ILOCOS NORTE Lot 1 - Repair and Maintenance of Aggasi Elementary School		 Lot 2 - Repair and Maintenance of Caparispisan Primary School		 Lot 3 - Repair and Maintenance of Caunayan Elementary School			 </t>
  </si>
  <si>
    <t xml:space="preserve"> Republic of the Philippines Region XII Province of Cotabato BIDS AND AWARDS COMMITTEE Amas, Kidapawan City INVITATION TO BID FOR Supply &amp; Delivery of IV Fluids for Dr. Amado Diaz Provincial Foundation Hospital, Midsayap, Cotabato. (PB-20-430) 1.	The Provi</t>
  </si>
  <si>
    <t xml:space="preserve"> Republic of the Philippines Region XII Province of Cotabato BIDS AND AWARDS COMMITTEE Amas, Kidapawan City INVITATION TO BID FOR Supply &amp; Delivery of Medicines for mental health patients. (PB-20-428) 1.	The Provincial Government of Cotabato, through the 2</t>
  </si>
  <si>
    <t xml:space="preserve"> Republic of the Philippines Region XII Province of Cotabato BIDS AND AWARDS COMMITTEE Amas, Kidapawan City INVITATION TO BID FOR Supply &amp; Delivery of Medical Equipment for Aleosan District Hospital, Aleosan, Cotabato. (PB-20-389) 1.	The Provincial Governm</t>
  </si>
  <si>
    <t xml:space="preserve"> Item			Quantity			Unit of			Item Description														 No.						Issue																	 1			1			Lot			MUNICIPAL ORDINANCE NO. 02 SERIES OF 2020 - AN 														 									ORDINANCE REQUIRING THE MANDATORY USE OF														 									FACE MASK AND S</t>
  </si>
  <si>
    <t xml:space="preserve"> Republic of the Philippines PROVINCE OF NUEVA ECIJA City of Palayan INVITATION TO BID FOR  PROCUREMENT OF THREE (3) UNITS LIGHT-DUTY TRUCK FOR PSWDO FEEDING PROGRAM August 5, 2020 1.	The Provincial Government of Nueva Ecija (PGNE), through the General Fun</t>
  </si>
  <si>
    <t xml:space="preserve"> The Barangay Government of Barangay BOOT, Tanauan City, Batangas through the Bids and Awards Committee (BAC) invites Suppliers/Contractors to apply for eligibility and if subsequently found eligible, to bid for the projects described hereunder, viz: Proje</t>
  </si>
  <si>
    <t xml:space="preserve"> Department of Education Region VI-Western Visayas Division of Cadiz City Alimatoc Elementary School SMALLVALUE PROCUREMENT OF LAWN MOWER FOR 2020 1. The Alimatoc Elementary School of Cadiz City, through the Schools MOOE Fund CY 2020 intends to apply the s</t>
  </si>
  <si>
    <t xml:space="preserve"> Construction materials...</t>
  </si>
  <si>
    <t xml:space="preserve"> Name of Project: YOLANDA REHABILITATION AND RECONSTRUCTION PROGRAM  					(YRRP) 2016 PACKAGE I— CONSTRUCTION OF GREEN HOUSE   Bill of Quantities Item No. 	 Description	 % of Total	 Unit	 Quantity I	General Requirements	0.55	Sq.ft.	32.00 II	Form Works	1.93</t>
  </si>
  <si>
    <t xml:space="preserve"> PGSO-2020-0194 PR2020-0561 INVITATION TO BID FOR THE PROCUREMENT OF CANOPY FOR TENT AND TENTS WITH CANOPY FOR USE AT PGBH ACTIVITIES AT NEW CAPITOL BUILDING AND OTHER FACILITIES ABC: P 1,002,000.00 COST OF BID DOCUMENTS: P 5,000.00 ADVERTISEMENT PERIOD: A</t>
  </si>
  <si>
    <t xml:space="preserve"> Republic of the Philippines BARANGAY SAN SALVADOR OFFICE OF THE PUNONG BARANGAY BIDS AND AWARDS COMMITTEE INVITATION TO BID The Barangay Government of BARANGAY SAN SALVADOR through its Bids and Awards Committee (BAC), invites suppliers/manufacturers/distr</t>
  </si>
  <si>
    <t xml:space="preserve"> OPA-FISHERIES-2020-0193 PR2020-0551 INVITATION TO BID FOR THE PROCUREMENT OF SPINY BAMBOO, B-NET, P.E. ROPES, AND MONONYLON FOR CATCHING AND IMPROVEMENT OF ASSORTED SPECIES OF FISH DURING HIGH TIDE ABC: P 591,460.00 COST OF BID DOCUMENTS: P 1,000.00 ADVER</t>
  </si>
  <si>
    <t xml:space="preserve"> Republic of the Philippines Province of Pangasinan MUNICIPALITY OF LINGAYEN Invitation to Bid    The Local Government Unit of Lingayen, through the 20% Development Fund    intends to apply the amount  of  Five Hundred Thousand   Pesos Only   (P500,000.00)</t>
  </si>
  <si>
    <t xml:space="preserve"> Republic of the Philippines PROVINCE OF CAGAYAN MUNICIPALITY OF CLAVERIA INVITATION TO BID  									August 2, 2020 	The Local Government Unit of Claveria, Cagayan from the CY 2020 SEF of the Municipality of Claveria, Cagayan, would like to apply the sum </t>
  </si>
  <si>
    <t xml:space="preserve"> INVITATION TO BID (for the Procurement of Goods)           1.	The City Government of Puerto Princesa (CGPP), through its  General Appropriations Ordinance No. 1-2019 (General Fund FY 2020) intends to apply the sum, corresponds as the Approved Budget for t</t>
  </si>
  <si>
    <t xml:space="preserve"> INVITATION TO BID Procurement of Three (3) Units Passenger Van and One (1)	Unit Multi-Purpose Vehicle in Batangas State University, Pablo Borbon Main I The Batangas State University, through the Supplemental 2019 intends to apply the sum of Six Million Fi</t>
  </si>
  <si>
    <t xml:space="preserve"> REHABILITATION OF ACCOUNTING OFFICE AND NATIONAL CHILD DEVELOPMENT CENTER (NCDC) BUILDING Lot 1 - Construction/Installation of Cabinets at Accounting Office, Poblacion 2, Pagudpud			 Lot 2 - Rehabilitation of the NCDC Building Poblacion 2, Pagudpud, Iloco</t>
  </si>
  <si>
    <t xml:space="preserve"> Republic of the Philippines DEPARTMENT OF HEALTH Center for Health Development 3 JOSE B. LINGAD MEMORIAL GENERAL HOSPITAL BIDS AND AWARDS COMMITTEE City of San Fernando, Pampanga Telephone No. (045) 409-6688 loc 127 INVITATION TO BID   Procurement of Vari</t>
  </si>
  <si>
    <t xml:space="preserve"> Republic of the Philippines DEPARTMENT OF HEALTH Center for Health Development 3 JOSE B. LINGAD MEMORIAL GENERAL HOSPITAL BIDS AND AWARDS COMMITTEE City of San Fernando, Pampanga Telephone No. (045) 4096688 loc. 127 INVITATION TO BID FOR  Procurement of V</t>
  </si>
  <si>
    <t xml:space="preserve"> concrete road</t>
  </si>
  <si>
    <t xml:space="preserve"> INVITATION TO BID FOR  Printing and Delivery of K to 12 Learning Modules GOODS 2020-040 1.	The Department of Education, Schools Division Office of Cagayan, intends to apply the sum of Ninety Four Million Seventy One Thousand Six Hundred Seventy Eight Peso</t>
  </si>
  <si>
    <t xml:space="preserve"> Republic of the Philippines DEPARTMENT OF HEALTH Center for Health Development 3 JOSE B. LINGAD MEMORIAL GENERAL HOSPITAL BIDS AND AWARDS COMMITTEE City of San Fernando, Pampanga Telephone No. (045) 409-6688 loc 127 INVITATION TO BID   Rebidding of Variou</t>
  </si>
  <si>
    <t xml:space="preserve"> PROCUREMENT OF WAREHOUSE HANDLING (AND ALLIED) SERVICES FOR GRAINS FOR NFA REGION XII FOR CALENDAR YEAR 2020 (RE-BIDDING)</t>
  </si>
  <si>
    <t xml:space="preserve"> CONSTRUCTION OF 1-CL SCHOOL BUILDING GAMABAN ELEMENTARY SCHOOL **PLEASE REFER TO THE ATTACHED PROGRAM OF WORK AT THE ASSOCIATED COMPONENTS SECTION FOR FURTHER DETAILS.</t>
  </si>
  <si>
    <t xml:space="preserve"> 1. The ENERGY REGULATORY COMMISSION (ERC), through the Government of the Philippines (GOP), intends to apply the sum of Seven Million Three Hundred Eighteen Thousand Five Hundred Pesos (PhP7,318,500.00), inclusive of all government taxes, and other fees a</t>
  </si>
  <si>
    <t xml:space="preserve"> Republic of the Philippines Province of Quezon Municipality of Atimonan Barangay San Rafael INVITATION FOR ELIGIBILITY AND TO BID 	The Barangay Government Unit of San Rafael, Atimonan, Quezon thru the Bids and Awards Committee (BAC) invites interested sup</t>
  </si>
  <si>
    <t xml:space="preserve"> Republic of the Philippines PROVINCE OF NUEVA ECIJA City of Palayan INVITATION TO BID FOR  Procurement of Three (3) Units Fabricated Truck Body (Mobile Kitchen) for PSWDO Feeding Program August 5, 2020 1.	The Provincial Government of Nueva Ecija (PGNE), t</t>
  </si>
  <si>
    <t xml:space="preserve"> INVITATION TO BID Procurement of Calibration Equipment in Batangas State University, Pablo Borbon Main II The Batangas State University, through the Supplemental 2020 intends to apply the sum of Ten Million Pesos only (Php 10,000,000.00) being the Approve</t>
  </si>
  <si>
    <t xml:space="preserve"> Republic of the Philippines Region XII Province of Cotabato BIDS AND AWARDS COMMITTEE Amas, Kidapawan City INVITATION TO BID FOR Supply &amp; Delivery of Fertilizers to be given to farmers affected by earthquake provincewide. (PB-20-436) 1.	The Provincial Gov</t>
  </si>
  <si>
    <t xml:space="preserve"> Item No.	ITEM DESCRIPTION				QTY.	UNIT	ABC PER ITEM	PRICE PER UNIT 								 1	Refrigerant R-22 Freon 				12	pc	 4,675.00 	 	(13.6) kgs)							 								 								 	xxxxxxxxxxxxxxxxxxxxxxx							 	REF: PR No. 2020-312 dated August 3, 2020							 								 			</t>
  </si>
  <si>
    <t xml:space="preserve"> PEO-2020-0195 PR2020-0562 INVITATION TO BID FOR THE PROCUREMENT OF ANAPOG FOR REGRAVELLING OF BAGACAY TO ABACHANAN BARANGAY ROAD, SIERRA BULLONES, BOHOL ABC: P 1,153,565.00 COST OF BID DOCUMENTS: P 5,000.00 ADVERTISEMENT PERIOD: AUGUST 5 - 26, 2020 PRE-BI</t>
  </si>
  <si>
    <t xml:space="preserve"> SK Supplies for KK Assembly -Tshirts -Customized Face Mask Invitation to Bid for Supply &amp; Delivery of PROCUREMENT OF SK SUPPLIES (ONLINE KK ASSEMBLY) 1.	The SangguniangKabataanof Barangay CupangAntipolo City, through SK General Fund of 2020 Annual Budget </t>
  </si>
  <si>
    <t xml:space="preserve"> Republic of the Philippines Region XII Province of Cotabato BIDS AND AWARDS COMMITTEE Amas, Kidapawan City INVITATION TO BID FOR Supply &amp; Delivery of Vegetable Seeds to be given to farmers affected by earthquake provincewide. (PB-20-434) 1.	The Provincial</t>
  </si>
  <si>
    <t xml:space="preserve"> LOT 1		 4	copies	Mandarin 1 Revised Ed./ Morillo, 2019 4	copies	Fundamentals in Lodging Operations/ Maranan, 2019 4	copies	Cruise Tourism /Escabillas,2019 4	copies	Legal Aspects in Tourism &amp; Hospitality/Maranan, 2019 4	copies	A Macro Perspective on Touris</t>
  </si>
  <si>
    <t xml:space="preserve"> Department of Education Region X- Northern Mindanao Division of Malaybalay City  Purok 6, Sayre Highway, Casisang, Malaybalay City Telefax: (088)813 - 0094 or (088) 221 - 40597 email: depedmalaybalay@gmail.com *	*	* OFFICE OF THE BIDS AND AWARDS COMMITTEE</t>
  </si>
  <si>
    <t xml:space="preserve"> Invitation to Bid for Procurement of Two (2) units 6-Wheeler 4000L PTO Fire Truck 1. The Province of Misamis Occidental through the General Funds intends to apply the sum of Fifteen Million Four Hundred Fifty-six Thousand Pesos (Php. 15,456,000.00) being </t>
  </si>
  <si>
    <t xml:space="preserve"> 3	unit	Smart TV'55 		UHD 4K NU7300 n Series 7 		Real 4k Curved Inspired,slim Design 		HDR (High Dynamic Range) 		Elite 		Digital TV 		Motion Rate 120 		Sound Output 20W 		Wireless LAN Wifi 		Mounting Bracket 		HDMI Cord 		Remote Control</t>
  </si>
  <si>
    <t xml:space="preserve"> The Local Government Unit of General Santos City, through the SEF FUND CY 2020 intends to apply the sum of one hundred fifty thousand and xx / 100 Pesos Only (150,000.00) being the Approved Budget for the Contract (ABC) to payments under the contract for </t>
  </si>
  <si>
    <t xml:space="preserve"> Unit    Qty     Items pcs    200     Customized Polo Shirt *color: white *sizes: small 40pcs, medium 90pcs, large 40pcs, extra large 30pcs pcs    100     Customized Vest *color: red pcs    80       Customized  Jacket *color: gray *sizes: small 15pcs, medi</t>
  </si>
  <si>
    <t xml:space="preserve"> Republic of the Philippines Region XII Province of Cotabato BIDS AND AWARDS COMMITTEE Amas, Kidapawan City INVITATION TO BID FOR Supply &amp; Delivery of Laboratory Equipment for Biocon Laboratory, Office of the Provincial Agriculturist, Amas, Kidapawan City.</t>
  </si>
  <si>
    <t xml:space="preserve"> INVITATION TO BID FOR SUPPLY AND DELIVERY OF 1 UNIT MEAT VAN 1.	The Municipal Government of Lal-lo, through the 20% Development Fund intends to apply the sum of Two Million Five Hundred Thousand Pesos (Php 2,500,000.00) being the Approved Budget for the C</t>
  </si>
  <si>
    <t xml:space="preserve"> 1. The Mindanao State University - Tawi-Tawi College of Technology and Oceanography (MSU-TCTO), through the Trust Fund, intends to apply the sum of Four Hundred Sixty-One Thousand One Hundred Forty-Four Pesos and 51/100 only (PhP 461,144.51) being Approve</t>
  </si>
  <si>
    <t xml:space="preserve"> B.7 Other General Requirements B. 5 Project Billboard/Sign Board B. 9 Mobilization/Demobilization Item 900 (1) c1 Structural Concrete (Shear Wall-4th Floor) Item 900 (1) c4 Structural Concrete (Column-4th Floor) Item 900 (1) c6 Structural Concrete (Roof B</t>
  </si>
  <si>
    <t xml:space="preserve"> 1.	The Local Government Unit of Las Nieves, through the Budget for the Contract approved by the Sanggunian (DBP-TF) intends to apply the sum four hundred forty four thousand two hundred and twenty five pesos only (Php 444,225.00) for Lot 1, eleven thousan</t>
  </si>
  <si>
    <t xml:space="preserve"> Invitation to Bid for Concreting of Road at Central National High School, Barangay Central, SJOM 1.	The Municipality of San Jose, through the 20% Development Fund  intends to apply the sum of Eight Hundred Sixty Five Thousand Pesos Only (Php 865,000.00) b</t>
  </si>
  <si>
    <t xml:space="preserve"> Republic of the Philippines Region XII Province of Cotabato BIDS AND AWARDS COMMITTEE Amas, Kidapawan City INVITATION TO BID FOR Supply &amp; Delivery of Various Equipment to be given to various clients in the province. (PB-20-433) 1.	The Provincial Governmen</t>
  </si>
  <si>
    <t xml:space="preserve"> B. 7 OCCUPATIONAL SAFETY AND HEALTH PROGRAMB. 5 PROJECT BILLBOARD / SIGNBOARD B. 9 MOBILIZATION/DEMOBILIZATION  Item 803 (1)a STRUCTURE EXCAVATION (POWER HOUSE) Item 804 (1)a EMBANKMENT FROM STRUCTURE EXCAVATION (POWER HOUSE) Item 900 (1) c2 STRUCTURAL CO</t>
  </si>
  <si>
    <t xml:space="preserve"> Repair of garbage truck</t>
  </si>
  <si>
    <t xml:space="preserve"> 1. The Mindanao State University - Tawi-Tawi College of Technology and Oceanography (MSU-TCTO), through the Trust Fund, intends to apply the sum of Five Hundred Nine Thousand Four Hundred Three Pesos and 19/100 only (PhP 509,403.19) being Approved Budget </t>
  </si>
  <si>
    <t xml:space="preserve"> CONTRACT ID #: 19-10-195 = COMPLETION OF DIPOLOG CHO (PHASE II)</t>
  </si>
  <si>
    <t xml:space="preserve"> Communication Equipment (Mobile Phones)</t>
  </si>
  <si>
    <t xml:space="preserve"> Supply and Delivery of Construction Materials and Supplies for Rehabilitation of Multi-Purpose Hall</t>
  </si>
  <si>
    <t xml:space="preserve"> INVITATION TO BID (for the Procurement of Goods)           1.	The City Government of Puerto Princesa (CGPP), through its General Appropriations Ordinance No. 1-2019 (General Fund FY 2020) intends to apply the sum, corresponds as the Approved Budget for th</t>
  </si>
  <si>
    <t xml:space="preserve"> Upgrading of TSU Advanced Technology Training Laboratory Invitation to Bid No. 2020-013 1.	The Tarlac State University, through the Trust Fund (TF) intends to apply the sum of Five Million Pesos (P 5,000,000.00) being the Approved Budget for the Contract </t>
  </si>
  <si>
    <t xml:space="preserve"> ROAD SLOPE PROTECTION: 1.	Construction of Road Slope Protection Structure( High Tensile Wire) at Kidapawan-llomavis Tourist Rd (S00699MN) 1&lt;1638+094 to 1&lt;1638+130 2.	Construction of Road Slope Protection Structure( High Tensile Wire) at Kidapawan-llomavis</t>
  </si>
  <si>
    <t xml:space="preserve"> sUPPLY AND DELIVERY OF THE FOLLOWING: LOT 1- FUEL,OIL AND LUBRICANTS                   -                 170,000.00 1	1,600	liter	Regular gasoline				 2	600	liter	Unleaded gasoline				 3	1000	liter	Diesel				 4	50	liter	Oil		 		 LOT 2- AGRI MARINE SUPPLIE</t>
  </si>
  <si>
    <t xml:space="preserve"> BARANGAY CENTRAL SIGNAL BIDS AND AWARDS COMMITTEE -- Advertisement/Posting of Invitation to Bid ------ August 5, 2020 -- Issuance and Availability of Bid Documents ----- August 5, 2020 -- Deadline for Submission -------------------------- August 13, 2020 </t>
  </si>
  <si>
    <t xml:space="preserve"> INVITATION TO BID (for the Procurement of Goods)           1.	The City Government of Puerto Princesa (CGPP), through its Supplemental Budget No. 2-2019  intends to apply the sum, corresponds as the Approved Budget for the Contract (ABC) for each of the fo</t>
  </si>
  <si>
    <t xml:space="preserve"> Republic of the Philippines Province of Bohol Municipality of Danao Invitation to Bid for  CONSTRUCTION OF MULTI-PURPOSE BUILDING, BARANGAY STA. FE 1.	The Municipality of Danao, Bohol  through the GF [Local Development Plan (20% of IRA) FY 2020]   intends</t>
  </si>
  <si>
    <t xml:space="preserve"> 1	High Desity Polyethylene (HDPE) Liner Field Fabricated Geomembrane material with thickness of 1.5mm (Construction material for Mineral Processing Tailings Pond Lining of Centralized Mineral Processing Zone (CMPZ) located at Sta. Cruz, Rosario, ADS) deli</t>
  </si>
  <si>
    <t xml:space="preserve"> 1	Eco Septic Tank Volume 2500 liters including pipes (2 units of 2,200 Litres tank capacity which include 50 pcs. No. 4 PVC pipes, 30 pieces of No. 4 fittings, 10 sack of vigormin powder, delivered and installed on site)</t>
  </si>
  <si>
    <t xml:space="preserve"> Republic of the Philippines Province of Batangas MUNICIPALITY OF LEMERY INVITATION TO BID FOR Concreting/Construction/Widening of Climate Change Resilient road at Barangay Nonong Casto, Lemery, Batangas 1.	The MUNICIPALITY OF LEMERY through the Annual Bud</t>
  </si>
  <si>
    <t xml:space="preserve"> Republic of the Philippines Province of Batangas MUNICIPALITY OF LEMERY INVITATION TO BID FOR Concreting/Construction/Widening of Climate Change Resilient road at Barangay Gulod, Lemery, Batangas 1.	The MUNICIPALITY OF LEMERY through the Annual Budget CY </t>
  </si>
  <si>
    <t xml:space="preserve"> INVITATION TO BID (for the Procurement of Goods)           1.	The City Government of Puerto Princesa (CGPP), through its Supplemental Budget No. 2-2019 and  General Appropriations Ordinance No. 1-2019 (General Fund FY 2020) intends to apply the sum, corre</t>
  </si>
  <si>
    <t xml:space="preserve"> Republic of the Philippines PROVINCE OF CAGAYAN MUNICIPALITY OF CLAVERIA INVITATION TO BID  									August 3, 2020 	The Local Government Unit of Claveria, Cagayan from the 2020 SEF of the Municipality of Claveria, Cagayan, would like to apply the sum of </t>
  </si>
  <si>
    <t xml:space="preserve"> Reproduction of modules in all learning areas for the learners of san pablo es san pablo sta.ana, pampanga</t>
  </si>
  <si>
    <t xml:space="preserve"> INVITATION TO BID ITB  No. 107-Brgy - 2020 The City Government of Surigao, through its Bids and Awards Committee (BAC), invites suppliers to bid for the following: Name of Contract	:  Purchase &amp; Delivery of Common Borrow for                               </t>
  </si>
  <si>
    <t xml:space="preserve"> Republic of the Philippines PROVINCE OF NUEVA ECIJA City of Palayan INVITATION TO BID FOR  SUPPLY AND DELIVERY OF ROTARY TILLERS August 5, 2020 1.	The Provincial Government of Nueva Ecija (PGNE), through the General Fund intends to apply the sum of Six Hu</t>
  </si>
  <si>
    <t xml:space="preserve"> INVITATION TO BID  MODERNIZATION OF LABORATORY EQUIPMENT FOR BACHELOR OF SCIENCE IN ELECTRICAL ENGINEERING  Invitation to Bid No. 2020-012 1.	The Tarlac State University, through the Trust Fund (TF) intends to apply the sum of One Million Eight Hundred Th</t>
  </si>
  <si>
    <t xml:space="preserve"> INVITATION TO BID ITB  No. 105-Brgy - 2020 The City Government of Surigao, through its Bids and Awards Committee (BAC), invites suppliers to bid for the following: Name of Contract	:  Purchase &amp; Delivery of Common Borrow for                               </t>
  </si>
  <si>
    <t xml:space="preserve"> Republic of the Philippines Province of Nueva Vizcaya BIDS AND AWARDS COMMITTEE (BAC-Goods) BAC OFFICE, Provincial Capitol, Bayombong, Nueva Vizcaya Tel. No. 078-392-2062 	 INVITATION TO BID FOR THE SUPPLY AND DELIVERY OF 6,000 PCS GRAFTED CACAO SEEDLINGS</t>
  </si>
  <si>
    <t xml:space="preserve"> INVITATION TO BID ITB  No. 106-Brgy - 2020 The City Government of Surigao, through its Bids and Awards Committee (BAC), invites suppliers to bid for the following: Name of Contract	:  Purchase &amp; Delivery of Construction Materials &amp; Supplies for           </t>
  </si>
  <si>
    <t xml:space="preserve"> Republic of the Philippines Province of Cagayan Municipality of Baggao INVITATION TO BID FOR THE PROCUREMENT OF GOODS The Barangay Hacienda-Intal, Baggao, Cagayan, through the 20% Barangay Development Road CY 2020 intends to apply the sum of  Five Hundred</t>
  </si>
  <si>
    <t xml:space="preserve"> 1. The BLGUs of Bagnen Oriente, Bagnen Proper and Balintaugan through the Bids and Awards Committee (BAC) of LGU-Bauko as their procuring agent, intends to apply the sum of One Million Seven Hundred Thirty Eight Thousand One Hundred Ninety Six Pesos &amp; 32/</t>
  </si>
  <si>
    <t xml:space="preserve"> INVITATION TO BID ITB  No. 104-Brgy - 2020 The City Government of Surigao, through its Bids and Awards Committee (BAC), invites suppliers to bid for the following: Name of Contract	:  Purchase &amp; Delivery of Construction Materials &amp; Supplies for           </t>
  </si>
  <si>
    <t xml:space="preserve"> Republic of the Philippines Province of Cagayan Municipality of Baggao INVITATION TO BID FOR THE PROCUREMENT OF GOODS The Barangay San Antonio, Baggao, Cagayan, through the 20% Barangay Development Fund Continuing  intends to apply the sum of  Sixty Six T</t>
  </si>
  <si>
    <t xml:space="preserve"> Republic of the Philippines Province of Cagayan Municipality of Baggao INVITATION TO BID FOR THE PROCUREMENT OF GOODS The Barangay Masical, Baggao, Cagayan, through the 20% Barangay Development Fund CY 2020 intends to apply the sum of  One Hundred Twenty </t>
  </si>
  <si>
    <t xml:space="preserve"> Please see attached file. Thanks!</t>
  </si>
  <si>
    <t xml:space="preserve"> FOODS FOR QUARTERLY MEETING OF BARANGAY COUNCILS FOR THE PROTECTION OF CHILDREN: 1ST QTR 1.  45 persons – am snacks (macaroni salad, garlic bread, bottled juice 2.  45 persons – lunch (rice, sweet and sour fish, pork shanghai, banana and bottled water) 3.</t>
  </si>
  <si>
    <t xml:space="preserve"> Republic of the Philippines Province of Batangas MUNICIPALITY OF LEMERY INVITATION TO BID FOR Concreting/Construction/Widening of Climate Change Resilient road at Barangay Payapa Ibaba, Lemery, Batangas 1.	The MUNICIPALITY OF LEMERY through the Annual Bud</t>
  </si>
  <si>
    <t xml:space="preserve"> Republic of the Philippines Province of Cagayan Municipality of Baggao INVITATION TO BID FOR THE PROCUREMENT OF GOODS The Barangay Masical, Baggao, Cagayan, through the 20% Barangay Development Fund CY 2020 intends to apply the sum of One Hundred Twenty T</t>
  </si>
  <si>
    <t xml:space="preserve"> Supply and delivery of Computer Laptop all in accordance with the approved quantity and specifications (4GB DDR4 1TB + 256GB Memory, 15.6"FHD Monitor, Windows 10 application, 2GB office, home &amp; student 2019 with 2 year warranty period)</t>
  </si>
  <si>
    <t xml:space="preserve"> Invitation to Bid for the Construction of Public Comfort Room Brgy. Balibayon, Surigao City ITB No. 103-Infra-2020    1.	The City Government of Surigao, intends to apply the sum of   Three Hundred Forty Nine Thousand Four Hundred Seventy Six Pesos &amp; Forty</t>
  </si>
  <si>
    <t xml:space="preserve"> Republic of the Philippines CITY OF BAIS BIDS AND AWARDS COMMITTEE INVITATION TO APPLY FOR ELIGIBILITY AND TO BID 	The City Government of Bais invites interested bidders to apply for eligibility and to bid for Repair and Maintenance-Buildings &amp; Other Stru</t>
  </si>
  <si>
    <t xml:space="preserve"> ASSORTED SIZES</t>
  </si>
  <si>
    <t xml:space="preserve"> Republic of the Philippines CITY OF BAIS BIDS AND AWARDS COMMITTEE INVITATION TO APPLY FOR ELIGIBILITY AND TO BID 	The City Government of Bais invites interested bidders to apply for eligibility and to bid for replacement of sliding glass door and install</t>
  </si>
  <si>
    <t xml:space="preserve"> Republic of the Philippines CITY OF BAIS BIDS AND AWARDS COMMITTEE INVITATION TO APPLY FOR ELIGIBILITY AND TO BID 	The City Government of Bais invites interested bidders to apply for eligibility and to bid for Rehabilitation of Daycare Centers @ Brgy. Man</t>
  </si>
  <si>
    <t xml:space="preserve"> Republic of the Philippines CITY OF BAIS BIDS AND AWARDS COMMITTEE INVITATION TO APPLY FOR ELIGIBILITY AND TO BID 	The City Government of Bais invites interested bidders to apply for eligibility and to bid for Construction/Improvement/Rehabilitation of Dr</t>
  </si>
  <si>
    <t xml:space="preserve"> INVITATION TO BID FOR THE PROCUREMENT OF MATERIALS FOR THE PROCUREMENT OF MATERIALS FOR THE IMPROVEMENT OF MULTIPURPOSE/EVACUATION CENTEROF BARANGAY BAGACAY, TIGBAUAN, ILOILO</t>
  </si>
  <si>
    <t xml:space="preserve"> Republic of the Philippines CITY OF BAIS BIDS AND AWARDS COMMITTEE INVITATION TO APPLY FOR ELIGIBILITY AND TO BID 	The City Government of Bais invites interested bidders to apply for eligibility and to bid for Improvement of School Building @ Tabu-ac, Brg</t>
  </si>
  <si>
    <t xml:space="preserve"> A. Dismathling of existing steel bridge ls. 1.00 B. Layout/Staking works l.s. 1.00 C. Mobilization/Demobilization l.s 1.00 D. Project Billboard pc. 1.00 E. Temporary facility l.s. 1.00 F. Occupationa Safety and Health Program l.s. 1.00 G. Dredging works l</t>
  </si>
  <si>
    <t xml:space="preserve"> Republic of the Philippines PROVINCE OF NUEVA VIZCAYA Municipality of Alfonso Castañeda  BIDS AND AWARDS COMMITTEE FOR INFRASTRUCTURE PROJECTS Invitation to Bid for  CONSTRUCTION OF ONE (1) UNIT POST HARVEST FACILITY WITH MULTI-PURPOSE DRYING PAVEMENT 1</t>
  </si>
  <si>
    <t xml:space="preserve"> Republic of the Philippines Province of Cagayan Municipality of Baggao INVITATION TO BID FOR THE PROCUREMENT OF GOODS The Barangay Masical, Baggao, Cagayan, through the 20% Barangay Development Fund CY 2020 intends to apply the sum of Ninety Seven Thousan</t>
  </si>
  <si>
    <t xml:space="preserve"> Republic of the Philippines         CITY GOVERNMENT OF TACURONG Alunan Highway, Tacurong City Sultan Kudarat BIDS AND AWARDS COMMITTEE                  Tel nos. (064) 562-0128 / Telefax no. (064) 477 - 0138         www.tacurong.gov.ph                     </t>
  </si>
  <si>
    <t xml:space="preserve"> Republic of the Philippines CITY OF BAIS BIDS AND AWARDS COMMITTEE INVITATION TO APPLY FOR ELIGIBILITY AND TO BID 	The City Government of Bais invites interested bidders to apply for eligibility and to bid for Rehabilitation of Daycare Centers @ Brgy. Oki</t>
  </si>
  <si>
    <t xml:space="preserve"> Republic of the Philippines CITY OF BAIS BIDS AND AWARDS COMMITTEE NOTICE FOR NEGOTIATED PROCUREMENT (53.1) In view of the failure of the second bidding scheduled last December 3, 2019, the Bids and Awards Committee (BAC) passed Resolution No. 127 series </t>
  </si>
  <si>
    <t xml:space="preserve"> Republic of the Philippines													 City of San Carlos													 Negros Occidental													 													 INVITATION TO BID											FOR SALE	 			PURCHASE REQUEST NO: 1-20-07-0887				P 300.00	 Sealed bids for quotation of prices will be recei</t>
  </si>
  <si>
    <t xml:space="preserve"> Republic of the Philippines													 City of San Carlos													 Negros Occidental													 													 INVITATION TO BID											FOR SALE	 			PURCHASE REQUEST NO: 1-20-07-0869				P 150.00	 Sealed bids for quotation of prices will be recei</t>
  </si>
  <si>
    <t xml:space="preserve"> Republic of the Philippines													 City of San Carlos													 Negros Occidental													 													 INVITATION TO BID											FOR SALE	 			PURCHASE REQUEST NO: 1-20-07-0867				P 150.00	 Sealed bids for quotation of prices will be recei</t>
  </si>
  <si>
    <t xml:space="preserve"> Republic of the Philippines													 City of San Carlos													 Negros Occidental													 													 INVITATION TO BID											FOR SALE	 			PURCHASE REQUEST NO: 1-20-07-0846				P 582.00	 Sealed bids for quotation of prices will be recei</t>
  </si>
  <si>
    <t xml:space="preserve"> Republic of the Philippines													 City of San Carlos													 Negros Occidental													 										                  		REBIDDING	 INVITATION TO BID											FOR SALE	 			PURCHASE REQUEST NO: 1-20-07-0842				P 150.00	 Sealed bids for quotat</t>
  </si>
  <si>
    <t xml:space="preserve"> ARTICLE AND DESCRIPTION												 ITEM	QTY.	UNIT						CEILING 					UNIT PRICE			TOTAL  								PRICE								 				Office:  Ospital Ng Maynila Medical Center 				PR No. 0073, 708								 				Charge to:  Other Maintenance and Operating Expenses 											</t>
  </si>
  <si>
    <t xml:space="preserve"> Republic of the Philippines PROVINCE OF NUEVA VIZCAYA Municipality of Alfonso Castañeda  BIDS AND AWARDS COMMITTEE FOR INFRASTRUCTURE PROJECTS Invitation to Bid for  CONSTRUCTION OF DRAINAGE CANAL – PRK 02 1.	The Local Government of Alfonso Castañeda, t</t>
  </si>
  <si>
    <t xml:space="preserve"> Republic of the Philippines													 City of San Carlos													 Negros Occidental													 										                     		REBIDDING	 INVITATION TO BID											FOR SALE	 			PURCHASE REQUEST NO: 1-20-07-0840				P 300.00	 Sealed bids for quo</t>
  </si>
  <si>
    <t xml:space="preserve"> Republic of the Philippines													 City of San Carlos													 Negros Occidental													 									                     			REBIDDING	 INVITATION TO BID											FOR SALE	 			PURCHASE REQUEST NO: 1-20-07-0811				P 150.00	 Sealed bids for quo</t>
  </si>
  <si>
    <t xml:space="preserve"> PR NO. 1034 - 20                 CITY GOVERNMENT OF TACURONG                                             Alunan Highway, Tacurong City Sultan Kudarat                                      BIDS AND AWARDS COMMITTEE                                           </t>
  </si>
  <si>
    <t xml:space="preserve"> FLASHDRIVE QTY: 832 PCS SPECIFICATION: INTERFACE TYPE: USB 3.0 PRODUCT TYPE: FLASH DISK MATERIAL: METAL CONNECTOR: STANDARD A CAPACITY: 64GB QTY: 500 PCS SPECIFICATION: INTERFACE TYPE: USB 2.0 PRODUCT TYPE: FLASH DISK MATERIAL: METAL CONNECTOR: STANDARD A</t>
  </si>
  <si>
    <t xml:space="preserve"> Republic of the Philippines													 City of San Carlos													 Negros Occidental													 													 INVITATION TO BID											FOR SALE	 			PURCHASE REQUEST NO: 1-20-07-0845				P 150.00	 Sealed bids for quotation of prices will be recei</t>
  </si>
  <si>
    <t xml:space="preserve"> The Municipal Government of Atok, Benguet now invites bids for SUPPLY AND DELIVERY OF VARIOUS TESTING KITS TO BE USED FOR HEALTH SERVICES IN THE MUNICIPALITY with the following description: 1.	32	Pieces	INFLUENZA VACCINE 2.	12	Pieces	RBS STRIPS 3.	48	Piec</t>
  </si>
  <si>
    <t xml:space="preserve"> Republic of the Philippines CITY OF BAIS BIDS AND AWARDS COMMITTEE INVITATION TO APPLY FOR ELIGIBILITY AND TO BID 	The City Government of Bais invites interested bidders to apply for eligibility and to bid for Water Supply Devt. Various Sitios Brgy. Sab-a</t>
  </si>
  <si>
    <t xml:space="preserve"> Republic of the Philippines CITY OF BAIS BIDS AND AWARDS COMMITTEE INVITATION TO APPLY FOR ELIGIBILITY AND TO BID 	The City Government of Bais invites interested bidders to apply for eligibility and to bid for the improvement/enhancement of service pumpbo</t>
  </si>
  <si>
    <t xml:space="preserve"> Various Air-conditioning Units with materials included service cost, test run and commissioning</t>
  </si>
  <si>
    <t xml:space="preserve"> The Municipal Government of Atok, Benguet now invites bids for SUPPLY AND DELIVERY OF ONE (1) UNIT SILENT DIESEL GENERATOR SET TO BE USED/INSTALLED AT THE NEW MUNICIPAL BUILDING with the following description: 1.	1	Unit 	SILENT DIESEL GENERATOR SET  	 	 	</t>
  </si>
  <si>
    <t xml:space="preserve"> Republic of the Philippines													 City of San Carlos													 Negros Occidental													 													 INVITATION TO BID											FOR SALE	 			PURCHASE REQUEST NO: 1-20-07-0824				P 150.00	 Sealed bids for quotation of prices will be recei</t>
  </si>
  <si>
    <t xml:space="preserve"> PR NO. 1169 – 20                                           CITY GOVERNMENT OF TACURONG                                               Alunan Highway, Tacurong City Sultan Kudarat                                      BIDS AND AWARDS COMMITTEE               </t>
  </si>
  <si>
    <t xml:space="preserve"> Republic of the Philippines CITY OF BAIS BIDS AND AWARDS COMMITTEE INVITATION TO APPLY FOR ELIGIBILITY AND TO BID 	The City Government of Bais invites interested bidders to apply for eligibility and to bid for Repair &amp; Maintenance – Building &amp; Other Struc</t>
  </si>
  <si>
    <t xml:space="preserve"> PR NO. 1162 - 20                                                            CITY GOVERNMENT OF TACURONG                                                       Alunan Highway, Tacurong City Sultan Kudarat                                      BIDS AND AWARDS</t>
  </si>
  <si>
    <t xml:space="preserve"> Republic of the Philippines CITY OF BAIS BIDS AND AWARDS COMMITTEE INVITATION TO APPLY FOR ELIGIBILITY AND TO BID 	The City Government of Bais invites interested bidders to apply for eligibility and to bid for Construction of Daycare Centers @ Brgy. Camba</t>
  </si>
  <si>
    <t xml:space="preserve"> Republic of the Philippines                 CITY GOVERNMENT OF TACURONG Alunan Highway, Tacurong City Sultan Kudarat BIDS AND AWARDS COMMITTEE                       Tel nos. (064) 562-0128 / Telefax no. (064) 477 - 0138                 www.tacurong.gov.ph</t>
  </si>
  <si>
    <t xml:space="preserve"> INVITATION TO BID FOR THE SUPPLY AND DELIVERY OF BRASS WATER METERS 1. The Sagay Water District, through the 2020 Corporate Budget by the SWD Board intends to apply the sum of Two Million Pesos (₱ 2,000,000.00) being the Approved Budget for the Contract (</t>
  </si>
  <si>
    <t xml:space="preserve"> Republic of the Philippines PROVINCE OF NUEVA VIZCAYA Municipality of Alfonso Castañeda  BIDS AND AWARDS COMMITTEE FOR INFRASTRUCTURE PROJECTS Invitation to Bid for  CONCRETING OF MARIKIT-MULAWIN ROAD 1.	The Local Government of Alfonso Castañeda, throug</t>
  </si>
  <si>
    <t xml:space="preserve"> ITEM NO.	Unit of issue	ITEM &amp;DESCRIPTION	Brand &amp; Model	QTY.	 	unit	Desktop Computer (for data processing)		1	 		Core i7-4790 3.6Ghz			 		8M Cache, up to 4.00Ghz			 		Hard Drive: 1 TB, Memory: 16GB DDR3 (2x8GB)			 		Display:23-inch full HD Monitor			 		Opt</t>
  </si>
  <si>
    <t xml:space="preserve"> 1. The LGU-Bauko through its Annual Budget CY 2020 intends to apply the sum of One Million One Hundred Seventy Thousand Two Hundred Sixty-Two Pesos &amp; 45/100 (P 1,170,262.45) being the Approved Budget for the Contract (ABC) to payment for the contract P – </t>
  </si>
  <si>
    <t xml:space="preserve"> 1. The LGU-Bauko through its Annual Budget CY 2020  intends to apply the sum of One Million Two Hundred Seven Thousand Six Hundred Ten Pesos &amp; 22/100  (P 1,207,610.22) being the Approved Budget for the Contract (ABC) to payment for the contract P – 2020 –</t>
  </si>
  <si>
    <t xml:space="preserve"> Republic of the Philippines													 City of San Carlos													 Negros Occidental													 										                    		REBIDDING	 INVITATION TO BID											FOR SALE	 			PURCHASE REQUEST NO: 1-20-07-0825				P 512.00	 Sealed bids for quot</t>
  </si>
  <si>
    <t xml:space="preserve"> The Zamboanga State College of Marine Sciences and Technology (ZSCMST), through its Bids and Awards Committee, is inviting PhilGEPS registered suppliers to submit its best quotation on the item/s listed below, subject to the terms and conditions below sta</t>
  </si>
  <si>
    <t xml:space="preserve"> CONSTRUCTION  MATERIALS</t>
  </si>
  <si>
    <t xml:space="preserve"> City Government of Manila INVITATION TO BID  NO. 2020-08-118 Procurement of Various I.T. Equipment 1.	The  City Government of Manila, through the Capital Outlay - Information  and Communication Technology Equipment  intends to apply  the sum of  One  Mill</t>
  </si>
  <si>
    <t xml:space="preserve"> Description of Works to be Done Part A. Civil Works.......................................91.86% Part B. General Item &amp; Other Requirements......8.14% ...................................................................100% Item/Description.................</t>
  </si>
  <si>
    <t xml:space="preserve"> Invitation to Bid for the repair &amp; maintenance of various service vehicles of Batangas City Government</t>
  </si>
  <si>
    <t xml:space="preserve"> Republic of the Philippines CITY OF BAIS BIDS AND AWARDS COMMITTEE INVITATION TO APPLY FOR ELIGIBILITY AND TO BID 	The City Government of Bais invites interested bidders to apply for eligibility and to bid for Rehabilitation of Day Care Center @ Brgy. Pan</t>
  </si>
  <si>
    <t xml:space="preserve"> Invitation to Bid for the supply, delivery &amp; installation of Acrylic Clear Cast Protective Screen for use of different offices of Batangas City Government.</t>
  </si>
  <si>
    <t xml:space="preserve"> Invitation to Bid for the supply &amp; delivery of Various Dental Equipment for use of the City Health Office, Batangas City</t>
  </si>
  <si>
    <t xml:space="preserve"> Republic of the Philippines                CITY GOVERNMENT OF TACURONG Alunan Highway, Tacurong City Sultan Kudarat BIDS AND AWARDS COMMITTEE                  Tel nos. (064) 562-0128 / Telefax no. (064) 477 - 0138      www.tacurong.gov.ph                 </t>
  </si>
  <si>
    <t xml:space="preserve"> Invitation to Bid for the supply &amp; delivery of Various Office Supplies &amp; Equipment for use of different offices of Batangas City Government</t>
  </si>
  <si>
    <t xml:space="preserve"> Republic of the Philippines													 City of San Carlos													 Negros Occidental													 													 INVITATION TO BID											FOR SALE	 			PURCHASE REQUEST NO: 1-20-07-0916				P 200.00	 Sealed bids for quotation of prices will be recei</t>
  </si>
  <si>
    <t xml:space="preserve"> Invitation to Bid for the supply &amp; delivery of Various Construction Materials for use of different Barangay of Batangas City</t>
  </si>
  <si>
    <t xml:space="preserve"> See attach</t>
  </si>
  <si>
    <t xml:space="preserve"> Republic of the Philippines Province of Iloilo MUNICIPALITY OF BINGAWAN Office of the Bids and Awards Committee INVITATION TO BID PURCHASE OF FURNITURES AND FIXTURES Name of Project 1.	The Local Government Unit of Bingawan, through its GENERAL FUND intend</t>
  </si>
  <si>
    <t xml:space="preserve"> Republic of the Philippines Province of Iloilo MUNICIPALITY OF BINGAWAN Office of the Bids and Awards Committee INVITATION TO RE-BID PURCHASE OF MATERIALS FOR THE CONSTRUCTION/REHAB OF DRAINAGE SYSTEM/DECLOGGING OF CANALS Name of Project 1.	The Local Gove</t>
  </si>
  <si>
    <t xml:space="preserve"> Republic of the Philippines													 City of San Carlos													 Negros Occidental													 										                    		REBIDDING	 INVITATION TO BID											FOR SALE	 			PURCHASE REQUEST NO: 9-20-06-0794				P 637.00	 Sealed bids for quot</t>
  </si>
  <si>
    <t xml:space="preserve"> supply and delivery of the following: Lot 1 - Gasoline, Oil and Lubricants Expenses			-	1,934,460.00 5,575 Ltrs - Gasoline (Tricycle Drivers)				 16, 666 Ltrs - Gasoline (Fisherfolks) 				 12, 000 Ltrs - Diesel				 				 Lot 2 - Agricultural Supplies Expen</t>
  </si>
  <si>
    <t xml:space="preserve"> Republic of the Philippines Province of Iloilo MUNICIPALITY OF BINGAWAN Office of the Bids and Awards Committee INVITATION TO RE-BID PURCHASE OF MATERIALS FOR THE CONSTRUCTION/REHABILITATION OF EVACUATION CENTER Name of Project 1.	The Local Government Uni</t>
  </si>
  <si>
    <t xml:space="preserve"> 76 	bags	Portland Cement  9	cu.m.	Screened Gravel 4.5	cu.m.	Washed Sand 7	pcs	12mm dia.x 6m. RSB 4	pcs	10mm dia x 6m RSB 1	gal.	Aspalt Filler 2	pcs.	RCPC 0.30 dia x 1.00m 5	pcs.	C-Purlins 2"x6"x1.2 5	pcs.	C-Purlins 2"x3"x1.2 2	pcs.	Angle bar 1/4"x1"x1" 1	</t>
  </si>
  <si>
    <t xml:space="preserve"> total station for public land survey</t>
  </si>
  <si>
    <t xml:space="preserve"> DESKTOP COMPUTERS WITH PRINTERS (SET) DESKTOP COMPUTER PRINTER WITH SCANNER</t>
  </si>
  <si>
    <t xml:space="preserve"> Flashlights - Led Hacksaw Rock Hammer Crow Bar Head Lamp C-Collar CP Masks Folding Beds Fiber Glass Extension Ladder Coffee Maker - Small Battery for Handheld Radios Chain block Audible Siren Steel Rack Orocan Box - Mega Orocan Box - Medium</t>
  </si>
  <si>
    <t xml:space="preserve"> Republic of the Philippines Province of Iloilo MUNICIPALITY OF BINGAWAN Office of the Bids and Awards Committee INVITATION TO RE-BID PURCHASE OF MATERIALS FOR THE REHABILITATION OF WATER SYSTEM Name of Project 1.	The Local Government Unit of Bingawan, thr</t>
  </si>
  <si>
    <t xml:space="preserve"> Republic of the Philippines Province of Pangasinan MUNICIPALITY OF LINGAYEN Invitation to Bid    The Local Government Unit of Lingayen, through the 20% Development Fund CY 2020   intends to apply the amount  of  Eight Million  Pesos Only   (P8,000,000.00)</t>
  </si>
  <si>
    <t xml:space="preserve"> Part A	Facilities for the Engineer		 A.1	        Provision of combined field office, labo-	months	5 	        ratory &amp; living quarters building for the		 	        engineer (Rental basis)		 Part B	Other General Requirements		 B.1	        Medical Room &amp; Firs</t>
  </si>
  <si>
    <t xml:space="preserve"> 1. 6 Pcs. 400 W. Flood Light Lamp 2. 2 Boxes TW # 12 (3.5 mm) Stranded Wire 3. 12 Mtrs TW # 10 (5.5 mm) Stranded Wire 4. 1 Pc. Panel Board 6 Branches Bolt on Koten 5. 1 Pc. 30 Amp. Koten Circuit Breaker 6. 3 Pcs. 20 Amp. Koten Circuit Breaker 7. 4 Pcs. Ju</t>
  </si>
  <si>
    <t xml:space="preserve"> Republic of the Philippines													 City of San Carlos													 Negros Occidental													 													 INVITATION TO BID											FOR SALE	 			PURCHASE REQUEST NO: 1-20-07-0910				P 150.00	 Sealed bids for quotation of prices will be recei</t>
  </si>
  <si>
    <t xml:space="preserve"> 1.	The Local Government Unit of Las Nieves, through the Budget for the Contract approved by the Sanggunian intends to apply the sum of two hundred sixteen thousand seven hundred and fifty five pesos only (Php 216,755.00) for Lot 1, four thousand eight hun</t>
  </si>
  <si>
    <t xml:space="preserve"> Republic of the Philippines													 City of San Carlos													 Negros Occidental													 													 INVITATION TO BID											FOR SALE	 			PURCHASE REQUEST NO: 1-20-07-0893				P 150.00	 Sealed bids for quotation of prices will be recei</t>
  </si>
  <si>
    <t xml:space="preserve"> 1.	The Barangay Local Government Unit of San Roque, through the Budget for the Contract approved by the Sanggunian intends to apply the sum of two hundred sixty nine thousand and two hundred pesos only (Php 269,200.00), being the Approved Budget for the C</t>
  </si>
  <si>
    <t xml:space="preserve"> OPENING OF BIDS IN DSWD FO IX, ZAMBOANGA CITY				 	DELIVERY IN MUNICIPALITY OF LABANGAN ZAMBOANGA DEL SUR				 	PROCUREMENT FOR THE FF.:				 					 150	PAX	1 MEAL	@	 150.00 	 		BRGY./LOCAL AGENCY TASK FORCE COVID 19/BDRRMC (CUM PLANNING WORKSHOP AND PLANNIN</t>
  </si>
  <si>
    <t xml:space="preserve"> 1.	The Local Government Unit of Las Nieves, through the Budget for the Contract approved by the Sanggunian (20% DF) intends to apply the sum of two hundred three thousand nine hundred and eighty six pesos only (Php 203,986.00) for Lot 1, one hundred ninet</t>
  </si>
  <si>
    <t xml:space="preserve"> Republic of the Philippines CITY OF BAIS BIDS AND AWARDS COMMITTEE INVITATION TO APPLY FOR ELIGIBILITY AND TO BID 	The City Government of Bais invites interested bidders to apply for eligibility and to bid for Additional materials to be used for the const</t>
  </si>
  <si>
    <t xml:space="preserve"> Republic of the Philippines Province of Pangasinan MUNICIPALITY OF LINGAYEN Invitation to Bid    The Local Government Unit of Lingayen, through the General Fund – Capital Outlay    intends to apply the amount  of  Six  Hundred Thousand   Pesos Only   (P60</t>
  </si>
  <si>
    <t xml:space="preserve"> Invitation to Continuation of Barangay Road Concreting @ Purok 1 The Barangay Biabas, through the  continuing Appropriation intends to apply the sum of One Hundred Fifty Thousand Five Hundred Thirty Five Pesos  (P 150,535.00) being the Approved Budget for</t>
  </si>
  <si>
    <t xml:space="preserve"> MAGNETIC</t>
  </si>
  <si>
    <t xml:space="preserve"> Republic of the Philippines CITY OF BAIS BIDS AND AWARDS COMMITTEE INVITATION TO APPLY FOR ELIGIBILITY AND TO BID 	The City Government of Bais invites interested bidders to apply for eligibility and to bid for Water Dupply Development @ Brgy. Panam-angan,</t>
  </si>
  <si>
    <t xml:space="preserve"> ASSTD</t>
  </si>
  <si>
    <t xml:space="preserve"> Republic of the Philippines													 City of San Carlos													 Negros Occidental													 													 INVITATION TO BID											FOR SALE	 			PURCHASE REQUEST NO: 1-20-07-0892				P 300.00	 Sealed bids for quotation of prices will be recei</t>
  </si>
  <si>
    <t xml:space="preserve"> Vehicle Parts &amp; Accessories-Innova Tire,Coolant,Brake Fluid,etc....</t>
  </si>
  <si>
    <t xml:space="preserve"> Fuel-Diesel Fuel</t>
  </si>
  <si>
    <t xml:space="preserve"> MICA</t>
  </si>
  <si>
    <t xml:space="preserve"> COVERING OF THE DRAINAGE OF THE EVACUATION CENTER AT BARANGAY LIBTONG</t>
  </si>
  <si>
    <t xml:space="preserve"> 250V</t>
  </si>
  <si>
    <t xml:space="preserve"> Republic of the Philippines CITY OF BAIS BIDS AND AWARDS COMMITTEE INVITATION TO APPLY FOR ELIGIBILITY AND TO BID 	The City Government of Bais invites interested bidders to apply for eligibility and to bid for Installation of Street lighting System along </t>
  </si>
  <si>
    <t xml:space="preserve"> Pls. quote the project listed below: 1.    Construction/Improvement of Road Network &amp; Faciliities   - l.s. NOTE:                        Opening of Bids will be on August 18, 2020 @ 1:00 pm</t>
  </si>
  <si>
    <t xml:space="preserve"> student ID SHS FOR STUDENTS USE</t>
  </si>
  <si>
    <t xml:space="preserve"> Inter-Country Adoption Board  BIDS AND AWARD COMMITTEE  REQUEST FOR QUOTATION 	The Inter-Country Adoption Board through its Bids and Awards Committee (BAC), hereby invite all interested suppliers or distributor registered with the Philippine Government El</t>
  </si>
  <si>
    <t xml:space="preserve"> 5,000	Pack	Disposable Lunchbox,3 division,packs of 10's, ABC 180.00/pack Laminated for durability &amp; water resistance				 RFQ#07-0780</t>
  </si>
  <si>
    <t xml:space="preserve"> Pls. quote the item listed below: 1.  Service Drop Wire No. 6  -  40 rolls NOTE:                    Opening of Bids will be on Aug. 11, 2020 @ 1:00 p.m.</t>
  </si>
  <si>
    <t xml:space="preserve"> Republic of the Philippines CITY OF BAIS BIDS AND AWARDS COMMITTEE INVITATION TO APPLY FOR ELIGIBILITY AND TO BID 	The City Government of Bais invites interested bidders to apply for eligibility and to bid for Improvement of Biological Control Laboratory,</t>
  </si>
  <si>
    <t xml:space="preserve"> MULTI-PURPOSE ROOFING OF THE EVACUATION CENTER OF BARANGAY  LIBTONG</t>
  </si>
  <si>
    <t xml:space="preserve"> Republic of the Philippines CITY OF BAIS BIDS AND AWARDS COMMITTEE INVITATION TO APPLY FOR ELIGIBILITY AND TO BID 	The City Government of Bais invites interested bidders to apply for eligibility and to bid for Improvement of Health Center @ Brgy. Cambanja</t>
  </si>
  <si>
    <t xml:space="preserve"> Republic of the Philippines CITY OF BAIS BIDS AND AWARDS COMMITTEE INVITATION TO APPLY FOR ELIGIBILITY AND TO BID 	The City Government of Bais invites interested bidders to apply for eligibility and to bid for Construction of Windmill @ Brgy. (Combado) Ca</t>
  </si>
  <si>
    <t xml:space="preserve"> Republic of the Philippines CITY OF BAIS BIDS AND AWARDS COMMITTEE INVITATION TO APPLY FOR ELIGIBILITY AND TO BID 	The City Government of Bais invites interested bidders to apply for eligibility and to bid for Box Culvert and Slope Protection/Erosion Cont</t>
  </si>
  <si>
    <t xml:space="preserve"> Republic of the Philippines Province of Bukidnon MUNICIPALITY OF LIBONA Barangay Government Unit of Nangka INVITATION TO BID 	The Barangay Government Unit of Nangka, through its Bids and Awards Committee (BAC) invites Suppliers/manufacturers/distributors/</t>
  </si>
  <si>
    <t xml:space="preserve"> Republic of the Philippines          City of Dumaguete Bids and Awards Committee INVITATION TO BID FOR PURCHASE REQUEST OF 140 BAGS PORTLAND CEMENT 40 KGS AND OTHER ITEMS 	The City of Dumaguete thru its BIDS AND AWARDS COMMITTEE (BAC), invites all interes</t>
  </si>
  <si>
    <t xml:space="preserve"> Republic of the Philippines CITY OF BAIS BIDS AND AWARDS COMMITTEE INVITATION TO APPLY FOR ELIGIBILITY AND TO BID 	The City Government of Bais invites interested bidders to apply for eligibility and to bid to be used for the delineation and demarcation of</t>
  </si>
  <si>
    <t xml:space="preserve"> This project entails labor and materials for the Improvement of Concrete Stage Phase I at Brgy. Anibong, Magallanes, Sorsogon funded out of BDF 2020.</t>
  </si>
  <si>
    <t xml:space="preserve"> Republic of the Philippines BATANGAS STATE UNIVERSITY Batangas City REQUEST FOR QUOTATION "Procurement of Supplies for the daily operation of Project Management Office for the 2nd and 3rd Quarter of 2020"  1. The Batangas State University (BatState U) thr</t>
  </si>
  <si>
    <t xml:space="preserve"> INVITATION TO BID  FOR PROCUREMENT OF CONSTRUCTION MATERIALS FOR  CONSTRUCTION OF POTABLE WATER SYSTEM @ LAYA 1.	The Local Government of Alfonso Lista Ifugao through the 20% Development Fund FY 2020 intends to apply the sum of One Million One Hundred Eigh</t>
  </si>
  <si>
    <t xml:space="preserve"> Catering Services-Meals &amp; Snacks for 165 pax</t>
  </si>
  <si>
    <t xml:space="preserve"> Installation of Wall Flushing, Construction of ramp and installation of Grab bars for PWD</t>
  </si>
  <si>
    <t xml:space="preserve"> Republic of the Philippines CITY OF BAIS BIDS AND AWARDS COMMITTEE INVITATION TO APPLY FOR ELIGIBILITY AND TO BID 	The City Government of Bais invites interested bidders to apply for eligibility and to bid for Completion of Health Center @ Brgy. Basak, Ba</t>
  </si>
  <si>
    <t xml:space="preserve"> INVERTER TYPE</t>
  </si>
  <si>
    <t xml:space="preserve"> (FORM NO. 014 – INVITATION TO APPLY FOR ELIGIBILITY AND TO BID) Republic of the Philippines Sangguniang Barangay of IBABANG CABULIHAN Barangay IBABANG CABULIHAN, Unisan, Quezon INVITATION TO APPLY FOR ELIGIBILITY AND TO BID Date			:  					 The Sangguniang</t>
  </si>
  <si>
    <t xml:space="preserve"> 1. Site Works 2. Concrete  Works</t>
  </si>
  <si>
    <t xml:space="preserve"> Purchase of Construction Materials and Supplies only for the Construction of Retaining Wall at Northern Samuyao (Phase II)</t>
  </si>
  <si>
    <t xml:space="preserve"> Grocery Items-Kopiko Black,Nescafe,Downy,etc....</t>
  </si>
  <si>
    <t xml:space="preserve"> Learning Workbooks Writing Arts</t>
  </si>
  <si>
    <t xml:space="preserve"> Rice assistance for the Ampucao Baranbgay Tanods and selected Barangay Responders for the Third and Fourth Quarter of CY 2019</t>
  </si>
  <si>
    <t xml:space="preserve"> INVITATION TO BID     20-100 Name of Project	:	Instructional Materials (Books) for Senior High Schools in the Province of Laguna Location	:	Sta. Cruz, Laguna Brief Description	:	Various Instructional Materials (Books) Approved Budget For the Contract	:	9,</t>
  </si>
  <si>
    <t xml:space="preserve"> Pls see attached documents</t>
  </si>
  <si>
    <t xml:space="preserve"> Pls. quote the items listed below: 1.  Jetmatic Pump  -  30 units 2.  1/2" Ø x 100m HDPE Pipe SDR II  -  60 rolls NOTE:                        Opening of Bids will be on  August 11, 2020 @ 1:00 pm</t>
  </si>
  <si>
    <t xml:space="preserve"> To address the situation of access road in their Barangay.</t>
  </si>
  <si>
    <t xml:space="preserve"> To reduce the risk of infestation of diseases caused stagnant and grimy canal</t>
  </si>
  <si>
    <t xml:space="preserve"> I. WALLING (WALLS&amp; PARTITION) II. CONCRETING III. STEEL WORKS IV. CEILING WORKS V. DOORS &amp; WINDOWS VI. TILE SETTING VII. ELECTRICAL VIII. MOBILIZATION/DEMOBILIZATION IX. OCCUPATIONAL HEALTH X. PROJECT BILLBOARD XI. CABINETS XII. PAINTING WORKS</t>
  </si>
  <si>
    <t xml:space="preserve"> INVITATION TO BID     20-099 Name of Project	:	Ink and Master Roll for Digital Duplicator CV3230 for Different Schools in the Province of Laguna Location	:	Sta. Cruz, Laguna  Brief Description	:	for Digital Duplicator CV3230 Approved Budget For the Contra</t>
  </si>
  <si>
    <t xml:space="preserve"> 6 pcs. - Toner 3448 20 pcs. - Ink 664, Black</t>
  </si>
  <si>
    <t xml:space="preserve"> To reduce the risk of the Community</t>
  </si>
  <si>
    <t xml:space="preserve"> Republic of the Philippines Province of Nueva Vizcaya BIDS AND AWARDS COMMITTEE (BAC-Goods) BAC OFFICE, Provincial Capitol, Bayombong, Nueva Vizcaya Tel. No. 078-392-2062 	 INVITATION TO BID FOR THE SUPPLY AND DELIVERY OF AGRICULTURAL PRODUCTS  FOR THE  P</t>
  </si>
  <si>
    <t xml:space="preserve"> 1. UNION ADAPTOR 1/2"   100 PCS 2. UNION ADAPTOR 2"       30 PCS 3. UNION ADAPTOR 1 1/2" 30 PCS 4. TEE ADAPTOR 2"            50 PC</t>
  </si>
  <si>
    <t xml:space="preserve"> Republic of the Philippines Province of Nueva Vizcaya BIDS AND AWARDS COMMITTEE (BAC-Goods) BAC OFFICE, Provincial Capitol, Bayombong, Nueva Vizcaya Tel. No. 078-392-2062 	 INVITATION TO BID FOR THE SUPPLY AND DELIVERY OF GRAFTED FRUIT TREES THE  PROVINCI</t>
  </si>
  <si>
    <t xml:space="preserve"> DAY 1:  47 PERSON OSDS DAY 2:  25 PERSON CID DAY 3:  31 PERSON SGOD</t>
  </si>
  <si>
    <t xml:space="preserve"> Republic of the Philippines Province of Davao de Oro MUNICIPALITY OF COMPOSTELA BIDS AND AWARDS COMMITTEE (BAC) Invitation to Bid for  CONSTRUCTION OF PUBLIC MARKET (DESIGN AND BUILD)   ITB NO. 2020-07-039, BID NO. 001 1.	The Municipality of Compostela, t</t>
  </si>
  <si>
    <t xml:space="preserve"> * Removal of Structures and Obstruction - 2.55 * Surplus Common Excavation - 3.37 * Foundation Fill - 0.71 * Embankment - 1.42 * Subgrade Preparation - 9.37 * Aggregate Base Course - 11.15 * PCC Pavement, Plain 52.79 * Reinforcing Steel - 1.35 * Structura</t>
  </si>
  <si>
    <t xml:space="preserve"> INVITATION TO BID FOR PROCUREMENT OF MATERIALS FOR CONSTRUCTION OF PATHWAYS (ZONE 9, 1A &amp; 7) 1.	The [Local Government Unit of Caranan, Pasacao, Camarines Sur], through the [Barangay Development Fund CY 2020]  intends to apply the sum of [Eighty-Three Thou</t>
  </si>
  <si>
    <t xml:space="preserve"> Republic of the Philippines          City of Dumaguete Bids and Awards Committee INVITATION TO BID FOR JOB ORDER OF LUMPSUM 	The City of Dumaguete thru its BIDS AND AWARDS COMMITTEE (BAC), invites all interested manufacturers, suppliers, dealers and/or di</t>
  </si>
  <si>
    <t xml:space="preserve"> 50	Piece	2x2x12' Good Lumber, ABC 200.00/pc 50	Piece	2x3x12' Good Lumber, ABC	250.00/pc 50	Piece	1x2x12' Good Lumber, ABC 150.00/pc 50	Piece	1x3x12' Good Lumber, ABC	150.00/pc 50	Piece	1x6x12' Good Lumber, ABC	300.00/pc 10	Kilo	Hardi-nail 1", ABC 250.00/k</t>
  </si>
  <si>
    <t xml:space="preserve"> UNIT     ITEM DESCRIPTION     QTY box       disposable facemask      10 pcs        70% alcohol 500ml       250 pcs        hand sanitizer 250ml    250 pcs        face shield                   250 Republic of the Philippines Province of Aurora Municipality </t>
  </si>
  <si>
    <t xml:space="preserve"> NAME OF PROJECT:                       STREETLIGHT LOCATION:                                   Labao, Libmanan, Camarines Sur TOTAL PROJECT COST:                  P100,000.00 SOURCE OF FUND:                       TRUST FUND (PLGU 2018) IMPLEMENTATION PROC</t>
  </si>
  <si>
    <t xml:space="preserve"> 7	Unit	Water Dispenser Hot &amp; Cold, ABC 8,000.00/unit 20	Bottle	Empty Bottle 19 Liter (5 gallon water) for refill water, ABC 300.00/bot RFQ#07-0781</t>
  </si>
  <si>
    <t xml:space="preserve"> 1 unit Laptop Computer Set Minimum Specifications: - Processor: 8th Generation Intel Core i7-8750H - GPU Model: NVIDIA GeForce GTX 1050 Ti 4GB - RAM: 8GB DDR4 2666MHz - Drive: 256GB SSD M. 2 - Display: 15.0 inches FHD 1920 x 1080 pixels - OS: Windows 10 P</t>
  </si>
  <si>
    <t xml:space="preserve"> Republic of the Philippines Province of Cotabato Municipality of Antipas BIDS AND AWARDS COMMITTEE INVITATION TO BID FOR Supply and Delivery of School Equipment 1.	The Municipal Government of Antipas, through the Budget approved by the Sanggunian intends </t>
  </si>
  <si>
    <t xml:space="preserve"> Republic of the Philippines PROVINCE OF ZAMBALES IBA BIDS AND AWARDS COMMITTEE Invitation to Bid for the Supply and Delivery of Drugs and Medicines for Candelaria District Hospital and San Marcelino District Hospital 1.	The Provincial Government of Zambal</t>
  </si>
  <si>
    <t xml:space="preserve"> Project: PURCHASE OF SHREDDING MACHINE Location: Laurel, Batangas ABC: PHP230,000.00 Advertisement	August 4-11, 2020	 Submission of Letter of Intent August 4-13, 2020	 Issuance of Bid Documents	August 4-13, 2020	 Deadline for Submission of Bid Documents	A</t>
  </si>
  <si>
    <t xml:space="preserve"> PHILIPPINE BIDDING DOCUMENTS (As Harmonized with Development Partners) Procurement for  Re Bidding - Rehabilitation of Apolinario dela Cruz Waterworks System Improvement of Main Water Source and Intake Box, Installation of additional pipelines and fitting</t>
  </si>
  <si>
    <t xml:space="preserve"> for Public Transport Terminal</t>
  </si>
  <si>
    <t xml:space="preserve"> A.	PROJECT DESCRIPTION Procurement of four (4) Laptop units, these will replace the depreciated desktop computer units. B.	MODE OF PROCUREMENT Small Value Procurement (53.9) C.	DESCRIPTIONS / TECHNICAL SPECIFICATIONS Processor			10th Generation Intel® Cor</t>
  </si>
  <si>
    <t xml:space="preserve"> INVITATION TO BID (ITB) Procuring Entity : BARANGAY LOCAL GOVERNMENT UNIT BRGY. BAGACAY WEST, LA PAZ, LEYTE Title of Project : ROAD CONCRETING Approved Budget of the Contract (ABC) : Php 261,365.87 Area of Delivery : BRGY. BAGACAY WEST, LA PAZ, LEYTE Desc</t>
  </si>
  <si>
    <t xml:space="preserve"> Unit         Item Description	Quantity 		 ream 	Bond paper, A4	        250 ream 	Bond paper, long	50</t>
  </si>
  <si>
    <t xml:space="preserve"> Supply and delivery of  safety and occupational products to be used in the establishment of facilities for First Border Inspection in the Five Major International Ports Qty.	Unit	Item/Description				ABC 						 100	pc	Hard Hat, Heavy Duty			    23,000.00  </t>
  </si>
  <si>
    <t xml:space="preserve"> INVITATION TO BID (ITB) Procuring Entity : BARANGAY LOCAL GOVERNMENT UNIT BRGY. BAGACAY WEST, LA PAZ, LEYTE Title of Project : CONSTRUCTION/REHABILITATION OF WATER SYSTEM Approved Budget of the Contract (ABC) : Php 293,630.59 Area of Delivery : BRGY. BAGA</t>
  </si>
  <si>
    <t xml:space="preserve"> Republic of the Philippines PROVINCE OF ZAMBALES IBA BIDS AND AWARDS COMMITTEE Invitation to Bid for the Supply and Delivery of Medical Equipment for San Marcelino District Hospital 1.	The Provincial Government of Zambales, through the Trust Fund of CY-20</t>
  </si>
  <si>
    <t xml:space="preserve"> Specification: AMD Ryzen 2700 Processor MB Gigabyte, MSI 1330M 4GB GTX 1050 ti Graphics 8GB DDR4 240 SSD 1TB HDD Frontier Styx Gaming Case w/ 500W Gamdias Kratos 80+eff Power Supply 21.5"HD 75Hz Mon HDMI (HKC m 21B6), AVR Ideal Speaker Keyboard and Mousep</t>
  </si>
  <si>
    <t xml:space="preserve"> 2020 20TH PUBLIC BIDDING: PROCUREMENT OF OFFICE SUPPLIES, SEMI-EXPENDABLES AND IT SUPPLIES FOR 2020 2ND SEMESTER CONSUMPTION</t>
  </si>
  <si>
    <t xml:space="preserve"> 1		Lot	DRILLING OF 1-UNIT PRODUCTION WELL 220 FT. DEPTH (SUPPLY &amp; INSTALLATION)				 			• Geophysical Resistivity Test				 			•Mobilization of drilling rig, crew and accessories to site				 			• Site Selection and Site Preparation, setting up rig, dig mudp</t>
  </si>
  <si>
    <t xml:space="preserve"> PLEASE SEE ATTACHED DOCUMENTS</t>
  </si>
  <si>
    <t xml:space="preserve"> Republic of the Philippines Province of Camarines Norte Municipality of Talisay Office of the Bids and Awards Committee (BAC)                                                                                                                        INVITATION</t>
  </si>
  <si>
    <t xml:space="preserve"> INVITATION TO BID The City of Bayawan, through its Bids and Awards Committee (BAC), invites suppliers/manufacturers/distributors/contractors to bid for the hereunder projects: 	Lot No. I		ICT EQUIPMENT					 1	2	units	BRANDED DESKTOP COMPUTER SYSTEM					 	</t>
  </si>
  <si>
    <t xml:space="preserve"> INVITATION TO BID The City of Bayawan, through its Bids and Awards Committee (BAC), invites suppliers/manufacturers/distributors/contractors to bid for the hereunder projects: 	Lot No. I		OTHER SUPPLIES / MATERIALS					 1	10	piece(s)	THERMAL PASTE, HY500,</t>
  </si>
  <si>
    <t xml:space="preserve"> Specification: DESKTOP: Intel Core i3 Processor Intel HD Graphics H310 Mainboard 4GB DDR4 Memory 128GB SSD 1TB HDD ATX Casing with 650 PSU 18.5 HD LED Keyboard and Mouse AVR Multimedia Stereo Speaker Mouse Pad LAPTOP: Intel Core i3 Processor Intel HD Grap</t>
  </si>
  <si>
    <t xml:space="preserve"> INVITATION TO BID The City of Bayawan, through its Bids and Awards Committee (BAC), invites suppliers/manufacturers/distributors/contractors to bid for the hereunder projects: 	Lot No. I		LAPTOP					 1	1	unit	LAPTOP COMPUTER SYSTEM					 			Processor: At l</t>
  </si>
  <si>
    <t xml:space="preserve"> 2 units photocopier machine Specifications: - Up to 130 pages per minute print speed - At least 300 x 360 dpi print resolution - 3 rubber feed rollers - Automatic document feeder - 3.93" x 5.82" minimum print paper size - 10.74" x 15.47" maximum print pap</t>
  </si>
  <si>
    <t xml:space="preserve"> Please see attached document...</t>
  </si>
  <si>
    <t xml:space="preserve"> 1 UNIT AMBULANCE ENGINE MODEL 1GD-FTV TRANSMISSION MANUAL 6 SPEED  TRANSMISSION FUEL SYSTEM COMMON RAIL TYPE DISPLACEMENT 2.755 CC MAX POWER 176PS/3,400 RPM MAX TORQUE 420NM/1,400-2,600 RPM DIMENSION  L.5,265XW 1,950XH1,990 EMISSION STANDARD EURO 4 SAFETY</t>
  </si>
  <si>
    <t xml:space="preserve"> CCTV Cameras to be installed in strategic places of Barangay Sabang (SPUKOI approaching Sabang-Mabolo Bridge, Zamora Street, Entrance of Metroville)</t>
  </si>
  <si>
    <t xml:space="preserve"> Republic of the Philippines Province of Negros Occidental Municipality of Pontevedra BIDS AND AWARDS COMMITTEE INVITATION TO BID 	The Brgy. Canroma, Pontevedra, Negros Occidental through its Bids and Awards Committee (BAC), invites all prospective bidders</t>
  </si>
  <si>
    <t xml:space="preserve"> RFQ (20-07-097) Various Drugs and Medicines</t>
  </si>
  <si>
    <t xml:space="preserve"> Bidding will be conducted through open competitive bidding procedures using a non-discretionary “pass/fail” criterion as specified in the Implementing Rules and Regulations (IRR) of Republic Act (RA) 9184, otherwise known as the “Government Procurement Re</t>
  </si>
  <si>
    <t xml:space="preserve"> CONSTRUCTION/REHABILITATION/IMPROVEMENT OF LOCAL GOVERNMENT-OWNED POTABLE WATER SUPPLY SYSTEM @ BRGY. SAN MARIANO, SAN PASCUAL, BATANGAS</t>
  </si>
  <si>
    <t xml:space="preserve"> Construction of water tank</t>
  </si>
  <si>
    <t xml:space="preserve"> 715 meters gravelled pavement location: timol st.-galope st., poblacion, gutalac, zamboanga del norte approved budget for the contract: php3,000,000.00 20% development fund opening of bids: august 24, 2020     9:00 am submission of bids: on or before open</t>
  </si>
  <si>
    <t xml:space="preserve"> TORQUE WRENCH HD</t>
  </si>
  <si>
    <t xml:space="preserve"> 1.	The Securities and Exchange Commission (SEC), through the authorized appropriations under FY-2020 Revised Corporation Code (RCC) intends to apply the sum of Five Million Five Hundred Thousand Pesos (Php5,500,000.00) being the Approved Budget for the Co</t>
  </si>
  <si>
    <t xml:space="preserve"> Republic of the Philippines          City of Dumaguete Bids and Awards Committee INVITATION TO BID FOR PURCHASE REQUEST OF 1 UNIT MOTORCYCLE 	The City of Dumaguete thru its BIDS AND AWARDS COMMITTEE (BAC), invites all interested manufacturers, suppliers, </t>
  </si>
  <si>
    <t xml:space="preserve"> PR#20-07-0409 ABC 238,400.00 70 sheets Ordinary Plywood 4’ x 8’  x ½” 12 sheets Ordinary Plywood 4’ x 8’ x 5mm 49 pcs.    Def. Bars, 8mmØ x 6.00 mtrs. 24 pcs.    Def. bars, 10mmØ x 6.00 mtrs. (wt.: 3.47-3.92 kgs./pc.) 97 pcs.    Def. Bars, 12mmØ x 6.00 mt</t>
  </si>
  <si>
    <t xml:space="preserve"> Republic of the Philippines          City of Dumaguete Bids and Awards Committee INVITATION TO BID FOR PURCHASE REQUEST OF 4 PCS PLASTIC TILE TRIM 10MM X 3.0M AND OTHER ITEMS 	The City of Dumaguete thru its BIDS AND AWARDS COMMITTEE (BAC), invites all int</t>
  </si>
  <si>
    <t xml:space="preserve"> Republic of the Philippines          City of Dumaguete Bids and Awards Committee INVITATION TO BID FOR PURCHASE REQUEST OF 3 GALS DENATURED ALCOHOL, 3.6L AND OTHER ITEMS 	The City of Dumaguete thru its BIDS AND AWARDS COMMITTEE (BAC), invites all interest</t>
  </si>
  <si>
    <t xml:space="preserve"> Invitation to Bid for CONSTRUCTION OF WATER TANKS, SUPPLY/DELIVERY AND INSTALLATION OF PIPELINES AND DISTRIBUTION PIPELINES FOR CALLIANGAN BALANGABANG SIP PHASE III, KAYAPA, NUEVA VIZCAYA 1.	The National Irrigation Administration – Nueva Vizcaya Irrigatio</t>
  </si>
  <si>
    <t xml:space="preserve"> 190	Meter	125mm2 THW Wire - Red, ABC 1,100.00/mtr 190	Meter	125mm2 THW Wire - Yellow, ABC 1,100.00/mtr 190	Meter	125mm2 THW Wire Blue, ABC 1,100.00/mtr 190	Meter	50mm2 THW Wire Green, ABC 700.00/mtr 20	Piece	110mm DIA. PVC Pipe, Electrical, ABC 1,300.00/p</t>
  </si>
  <si>
    <t xml:space="preserve"> That the BAC of Balandra Elementary School hereby resolve to post in Philgeps for the Bidding of Purchase of Pupils Learning Kit that is charged to school MOOE per month. That the BAC has agreed to qualify the bidders according to the following conditions</t>
  </si>
  <si>
    <t xml:space="preserve"> INVITATION TO BID PROCUREMENT OF OFFICE SUPPLIES FOR DAR PROVINCIAL OFFICE OF CAMARINES NORTE COVERING THE PERIOD OF 2nd SEMESTER              CY 2020  1.	The Department of Agrarian Reform Provincial Office of Camarines Norte through the General Appropria</t>
  </si>
  <si>
    <t xml:space="preserve"> SEE ATTACHED FILES FOR THE SPECIFICATION AND DESCRIPTION OF ITEMS REQUIRED DEADLINE OF SUBMISSION: AUGUST 11, 2020 AT 9AM</t>
  </si>
  <si>
    <t xml:space="preserve"> Republic of the Philippines DEPARTMENT OF PUBLIC WORKS &amp; HIGHWAYS Region X Office of the Regional Director Bulua, Cagayan de Oro City REQUEST FOR PROPOSAL July 28, 2020 The President Development Bank of the Philippines (DBP) Puyat Avenue corner Makati Ave</t>
  </si>
  <si>
    <t xml:space="preserve"> CONSTRUCTION/REHABILITATION/WIDENING OF LOCAL ROAD @ SAN ANTONIO, SAN PASCUAL, BATANGAS</t>
  </si>
  <si>
    <t xml:space="preserve"> REPAIR OF ISUZU CROSSWIND SJA-613</t>
  </si>
  <si>
    <t xml:space="preserve"> Republic of the Philippines Province of Agusan del Norte Municipality of Remedios T. Romualdez Invitation to Bid Supply and Delivery of Risograph Machine and Consumables for Reproduction of Learning Materials for Department of Education-RTR District  1. T</t>
  </si>
  <si>
    <t xml:space="preserve"> Eigth (8) units 260 watts semi-integrated solar streetlights with 2" dia g.i. post with concrete footing and foundation</t>
  </si>
  <si>
    <t xml:space="preserve"> Work to be done: 1. Mobilization / Demobilization 2. Excavation ( Septic Tank &amp; Riprap) 3. Installation of Pipings 4. Installation of floor Tiles 5.  Installation of Elect. wiring and Lighting Fixtures 6. Septic tank 7. Riprap work 8. Installation of tran</t>
  </si>
  <si>
    <t xml:space="preserve"> 1.	The Municipal Government of Roxas, Isabela has received the share from the CY 2016 Collection of Burley and Native Excise Tax  a nd it  intends to apply part or whole of the proceeds of this funds for payment under the contract for the project. Bids re</t>
  </si>
  <si>
    <t xml:space="preserve"> 1	60 bags Cement 2	4 cu.m. Gravitas 3	5 cu.m. Sand 4	48 pcs 12 mm RSB 5	70 pcs  9mm RSB 6	10 kls   Tie Wire  7	10 kls Assorted CW Nail 8	2 pcs Hacksaw Blade 9	340 pcs 4” CHB 10	4  pcs  ¼” Marine Plywood  11	30 pcs      2”x 2” x 10 form lumber 12	30 pcs   </t>
  </si>
  <si>
    <t xml:space="preserve"> The specification is available at the Bids and Awards Committee Secreatriat MPDC-2nd Floor, Lasam Municipal Town Hall</t>
  </si>
  <si>
    <t xml:space="preserve"> Republic of the Philippines  PROVINCE OF ZAMBALES IBA BIDS AND AWARDS COMMITTEE Invitation to Bid for the Supply and Delivery of Contamination Control Floating Floor Mats for Candelaria District Hospital 1.	The Provincial Government of Zambales, through t</t>
  </si>
  <si>
    <t xml:space="preserve"> INVITATION TO APPLY FOR ELIGIBILITY AND TO BID THE BIDS AND AWARD COMMITTEE OF THE MUNICIPALITY OF CAIBIRAN, BILIRAN IS INVITING ALL INTERESTED BIDDERS ON ITS FORTHCOMING PUBLIC BIDDING FOR: Project Title	: Acquisition of Electrical Supplies Delivery Peri</t>
  </si>
  <si>
    <t xml:space="preserve"> 3500 liters of Diesel, 2800 liters of Gasoline</t>
  </si>
  <si>
    <t xml:space="preserve"> 1 pc Printing Machine (Risograph) Direct Printing from a USB flash Drive Direct from PC Print Print Speed 60 to 130 paper per minute (5 steps variable) Original Type Book ,Sheet Master Supply-250 sheets per roll Print Resolution-300x600dpi Printing Area m</t>
  </si>
  <si>
    <t xml:space="preserve"> INVITATION TO BID FOR THE PROCUREMENT OF PERISHABLE ITEMS FOR BANGUN IMPLEMENTATION IN BASILAN PROVINCE The Department of Social Welfare and Development (DSWD) Field Office IX through the Government of the Philippines General Appropriations Act of 2020 in</t>
  </si>
  <si>
    <t xml:space="preserve"> 8 pcs Ball bearing 6305 15 rolls Duct hose 4" x 100m 5 rolls Corrugated hose 4" x 6m 3 pcs Foot valve 4" 3 pcs Pulley adaptor (for RD120 model) 4 pcs Pulley 6 x 2 x 30 12 pcs Mits Belt B58 NOTE: PLEASE ATTACHED LEGAL DOCUMENTS AND UPDATED PHILGEPS CERTIFI</t>
  </si>
  <si>
    <t xml:space="preserve"> REPUBLIC OF THE PHILIPPINES PROVINCE OF BATAAN MUNICIPALITY OF MARIVELES BARANGAY ALASASIN INVITATION TO APPLY FOR ELIGIBILITY AND TO BID The Barangay of Alasasin, through the General Fund Approved by the Sangguniang Barangay CY 2020 intends to apply the </t>
  </si>
  <si>
    <t xml:space="preserve"> Republic of the Philippines BATANGAS STATE UNIVERSITY Batangas City REQUEST FOR QUOTATION "Procurement of Laboratory Equipment for the Development of the Solar Chili Dryer."  1. The Batangas State University (BatState U) through the Bids and Awards Commit</t>
  </si>
  <si>
    <t xml:space="preserve"> (see bidding documents in the associated component for further project details)</t>
  </si>
  <si>
    <t xml:space="preserve"> Please see attached ITB.</t>
  </si>
  <si>
    <t xml:space="preserve"> Bids and Awards Committee							 INVITATION TO BID/ REQUEST FOR QUOTATION							 							          The City Government of Pagadian, through its Bids and Awards Committee (BAC), invites suppliers/manufacturers/distributors to apply for eligibility and if fo</t>
  </si>
  <si>
    <t xml:space="preserve"> Republic of the Philippines  Province of Iloilo Municipality of New Lucena                                                                                                               August 3, 2020                                                        </t>
  </si>
  <si>
    <t xml:space="preserve"> 1	10 bags Cement 2	10 pcs 10mm RSB 3	10 pcs 9mm RSB 4	1.5 cu.m. Gravel 5	10 pcs 2” x 2 “ x 10’ Form Lumber  6	2” dia GI pipe sch. 40, ARM 7	2 kls Welding Rod  8	1 lit Epoxy metal primer paint 9	1 pcs Paint brush 10	2 pcs Plywood ¼” ord. 11	2 kls tie wire </t>
  </si>
  <si>
    <t xml:space="preserve"> - The Municipality of Baliguian, request for quotation for the Procurement of Gardening Tools and Fertilizers used for establishment of nursery. - The Estimated Budget Cost is One Hundred Fifteen Thousand Pesos (Php115,000.0). - Interested suppliers/bidde</t>
  </si>
  <si>
    <t xml:space="preserve"> INVITATION TO BID The City of Bayawan, through its Bids and Awards Committee (BAC), invites suppliers/manufacturers/distributors/contractors to bid for the hereunder projects: Lot No. I		DESKTOP COMPUTER		 			 1	1	set	CLONED DESKTOP COMPUTER SYSTEM w/ UPS</t>
  </si>
  <si>
    <t xml:space="preserve"> for Senior Citizens Office</t>
  </si>
  <si>
    <t xml:space="preserve"> Procurement of consumables (Epson and Canon Ink) for the use of Planning and Design Section, DPWH Iloilo 2nd DEO, Balabag, Dumangas, Iloilo</t>
  </si>
  <si>
    <t xml:space="preserve"> INVITATION TO BID FOR THE  SUPPLY &amp; DELIVERY OF RISOGRAPHIC MACHINE 1.	The LOCAL GOVERNMENT UNIT OF CAMALIGAN, CAMARINES SUR, through the SEF &amp; SUPPLEMENTAL #4 intends to apply the sum of PHP 260,000.00 being the Approved Budget for the Contract (ABC) to </t>
  </si>
  <si>
    <t xml:space="preserve"> INVITATION TO BID FOR  Procurement of Goods [Medicines] The   City Government of Tagbilaran,   through the Appropriation Ordinance No. 19-05 for FY 2020, intends to apply the sum of Eight Hundred Ninety Five Thousand Four Hundred Four Pesos and Twenty Eig</t>
  </si>
  <si>
    <t xml:space="preserve"> PR#20-07-0453 ABC 250,000.00 1 set/ lot Brand New Radio Repeater  Specifications: 1 unit Radio Repeater -	Current drain at 13.6w max audio stand  by 15A 1.9 A 500m A fan LCD backlight off Antenna impedance 500 hms ( Type: Nx2 Dimension WxHxD ) 483x88x260m</t>
  </si>
  <si>
    <t xml:space="preserve"> 1. HDPE ADAPTOR 1/2"  450 PCS 2. HDPE ADAPTOR 3/4"  250 PCS 3. HDPE ADAPTOR 1"     100 PCS 4. HDPE ADAPTOR 1 1/2"     50 PCS 5. HDPE ADAPTOR 2"        50 PCS</t>
  </si>
  <si>
    <t xml:space="preserve"> Republic of the Philippines DEPARTMENT OF PUBLIC WORKS &amp; HIGHWAYS Region X Office of the Regional Director Bulua, Cagayan de Oro City REQUEST FOR PROPOSAL July 28, 2020 Dear Sir/Madam,  We are respectfully inviting you to submit your Technical and Financi</t>
  </si>
  <si>
    <t xml:space="preserve"> Scope of works: 1. Well drilling 4" dia. Bore hole 200 ft. 2. Installation of G.I. Pipe casing 3. Excavation of column footing 4. Concrete works concrete pedestal 5. Fab. of elevated tank 6. Form works 7. Installation of water pump, pipe lines and accesso</t>
  </si>
  <si>
    <t xml:space="preserve"> UNIT ITEM DESCRIPTION QTY packs Breakfast 7000 packs Lunch 7000 packs Dinner 7000 Republic of the Philippines Province of Aurora Municipality of Dipaculao INVITATION TO BID A. THE LOCAL GOVERNMENT UNIT (LGU) OF DIPACULAO, AURORA, through its Bids and Awar</t>
  </si>
  <si>
    <t xml:space="preserve"> Contract ID: 20PK0073 Contract Name: Installation of Road Safety Devices along Kalinga - Abra Road K064+(-136) - K0488+000 (I.S.), Pasil and Balbalan, Kalinga   Contract Location: Pasil and Balbalan, Kalinga Brief Description: Installation of Road Safety </t>
  </si>
  <si>
    <t xml:space="preserve"> This project entails labor and materials for the Construction of Street Lights at Bgry. Bulala, Magallanes, Sorsogon  funded at BDF 2020.</t>
  </si>
  <si>
    <t xml:space="preserve"> 1st POSTING The Barangay Government of Capacuan, Paracale, Camarines Norte invites all legitimate suppliers to submit their quotation for the project of Barangay Capacuan, Paracale, Camarines Norte. MEDICINES 25 btl. Paracetamol Drops 30 btl. Paracetamol </t>
  </si>
  <si>
    <t xml:space="preserve"> PHILIPPINE BIDDING DOCUMENTS (As Harmonized with Development Partners) RE BIDDING - SUPPLY AND DELIVERY OF SCHOOL SUPPLIES FOR THE STUDENTS OF LUCBAN, QUEZON BIDDING Government of the Republic of the Philippines TABLE OF CONTENTS SECTION I. INVITATION TO </t>
  </si>
  <si>
    <t xml:space="preserve"> The Municipality of Limay, through its Bids and Awards Committee (BAC) invites registered contractors to apply for eligibility and if found eligible, to bid for the hereunder project/contract: Project/Contract:   REHABILITATION OF DRAINAGE AND CONSTRUCTIO</t>
  </si>
  <si>
    <t xml:space="preserve"> Spiral Notebooks (80 leaves) Panda Ballpen ( Black) 1/2 Crosswise Pad Paper ( 50 Leaves) Clear Plastic Envelope (with Handle)</t>
  </si>
  <si>
    <t xml:space="preserve"> Pls. quote the items listed below: 1.  Squash (50g./can)  -  2 can 2.  String Beans  -  5 kgs. 3.  Cucumber (50g./can)  -  7 cans 4.  Ampalaya (100g./can)  -  3 cans 5.  Eggplant (50g./can)  -  4 cans 6.  Upo (250g./can)  -  2 cans 7.  Sikwa (250g./can)  </t>
  </si>
  <si>
    <t xml:space="preserve"> Description: 2.80G 4x4 m/t white Pick-up diesel engine with accessories DIMENSION AND WEIGHT: Overall Dimension 5,335x1,855x1,855 Wheel base (mm) 3,085 Seating Capacity 5 Engine Displacement 2,755 Maximum Output (ps/rpm) 174/3,400 Maximum Torque / Nm/Rpm </t>
  </si>
  <si>
    <t xml:space="preserve"> see details attached with POW.</t>
  </si>
  <si>
    <t xml:space="preserve"> 5000 liters Gasoline</t>
  </si>
  <si>
    <t xml:space="preserve"> INVITATION TO BID FOR THE PROCUREMENT OF PERISHABLE ITEMS FOR BANGUN IMPLEMENTATION IN TAWI-TAWI PROVINCE The Department of Social Welfare and Development (DSWD) Field Office IX through the Government of the Philippines General Appropriations Act of 2020 </t>
  </si>
  <si>
    <t xml:space="preserve"> 1. 16 pcs steel matting HD 2. 8 pcs 0.7 flat sheet 3. 12 pcs 1'' dia. G.I PIPE #40 4. 10 Kgs W. Rod 5. 12 pcs angle bar 1 x 1 6. pcs cutting disc. HD 7.4 pcs hacksaw blade 8. 16 pcs cylindrical hinges 9. 1 gal primer paint ( gray ) 10. 1 bottle paint thin</t>
  </si>
  <si>
    <t xml:space="preserve"> Construction of 3mx6m public toilet</t>
  </si>
  <si>
    <t xml:space="preserve"> Various office supplies and janitorial supplies for Comelec Office</t>
  </si>
  <si>
    <t xml:space="preserve"> 1 unit 4 wheels car</t>
  </si>
  <si>
    <t xml:space="preserve"> PHILIPPINE BIDDING DOCUMENTS (As Harmonized with Development Partners) SUPPLY AND DELIVERY OF FACE SHIELD AND HOUSEHOLD KIT TO BE USE IN BARANGAY VISITATION BIDDING Government of the Republic of the Philippines TABLE OF CONTENTS SECTION I. INVITATION TO B</t>
  </si>
  <si>
    <t xml:space="preserve"> 4       pcs         Tire 205/70 RIS               10,500.00              42,000.00 8       lit           Engine Oil                            750.00                6,000.00 1       pc          Oil Filter 512                         650.00                </t>
  </si>
  <si>
    <t xml:space="preserve"> Supply and Delivery of; Contract : GOODS-C-UCRIS PIP/PIS-01-2020 Project    : Supply and Delivery of Water Pump with Accessories Location : Tabuk City, Kalinga &amp; Quezon, Isabela DESCRIPTION	QUANTITY	UNIT  	 	 	  WATER PUMP AND ENGINE WITH ACCESSORIES		 a.</t>
  </si>
  <si>
    <t xml:space="preserve"> Republic of the Philippines BATANGAS STATE UNIVERSITY Batangas City REQUEST FOR QUOTATION "Procurement of Supplies for the implementation of Tertiary Education Subsidy (TES)"  1. The Batangas State University (BatState U) through the Bids and Awards Commi</t>
  </si>
  <si>
    <t xml:space="preserve"> REQUEST FOR QUOTATIONS Purchase of Field Supplies to be used in CHED-IDIG Project - Lot 5 The Bicol University, through the Corporate Budget for the contract approved by the Board of Regents intends to apply the sum of One Hundred Fifty-Nine Thousand Nine</t>
  </si>
  <si>
    <t xml:space="preserve"> Item No.	Qty	DESCRIPTION				Unit 						Measurement 1	10.00	P.E. Pipe,75mmØx60.0m, SDR11,ISO				roll 2	6.00	P.E. Pipe,63mmØx60.0m, SDR11,ISO				roll 3	4.00	P.E. Pipe,50mmØx60.0m, SDR11,ISO				roll 4	5.00	P.E. Pipe,32mmØx100.0m, SDR11,ISO				roll 5	12.00	P.</t>
  </si>
  <si>
    <t xml:space="preserve"> Item No.	Unit	DESCRIPTION				Qty 						 1	Set	FSL LED StreetLights 90W				10 2	Set	FSL LED StreetLights 60W				10</t>
  </si>
  <si>
    <t xml:space="preserve"> 3 units Motorbike</t>
  </si>
  <si>
    <t xml:space="preserve"> That the BAC of Balandra Elementary School hereby resolve to post in Philgeps for the Bidding of Procurement of Supplies to be used in Modular Learning that is charged to school MOOE per month. That the BAC has agreed to qualify the bidders according to t</t>
  </si>
  <si>
    <t xml:space="preserve"> Republic of the Philippines Province of Leyte MUNICIPALITY OF HILONGOS 	 Invitation to Bid  1.	The  Local Government Unit of Hilongos  through its Bids and Awards Committee (BAC), hereby invites Domestic Contractors registered with and classified by the P</t>
  </si>
  <si>
    <t xml:space="preserve"> see the attached RFQ, submit necessary file and sent to this ; email : johnedmar.barairo@deped.gov.ph  phone no. (049) 530-0284 - we prioritize bidder/supplier who completed and complied the process. - if system error occur pls. contact us.</t>
  </si>
  <si>
    <t xml:space="preserve"> Republic of the Philippines Province of Camarines Sur Municipality of Del Gallego Barangay Government of Poblacion Zone II INVITATION TO BID The Barangay Government of Poblacion Zone II, Del Gallego, Camarines Sur, through the 20% BEDF 2017 intends to app</t>
  </si>
  <si>
    <t xml:space="preserve"> DISTRIBUTION PIPES</t>
  </si>
  <si>
    <t xml:space="preserve"> Republic of the Philippines Province of Agusan del Norte Municipality of Remedios T. Romualdez Invitation to Bid SUPPLY, DELIVERY AND INSTALLATION OF THREE (3) UNITS 50KVA TRANSFORMER AND ACCESSORIES OF MUNICIPAL HALL BUILDING 1. The Municipality of Remed</t>
  </si>
  <si>
    <t xml:space="preserve"> Date:	 					 COMPANY NAME: _________________________________					 LOCATION: _______________________________________					 					 					 REQUEST FOR QUOTATION					 					 Gentlemen/Madam:					 					      Please quote your lowest price on the item/s listed belo</t>
  </si>
  <si>
    <t xml:space="preserve"> Scope of works:  1. Well drilling and Installation of Casing 220 ft. 2. Construction of flatform/ installation of hand pump and accessories</t>
  </si>
  <si>
    <t xml:space="preserve"> Construction/Rehabilitation of Street Lights</t>
  </si>
  <si>
    <t xml:space="preserve"> Supply and delivery of cellular phone equipment all in accordance with the approved quantity and specifications (4/6 GB RAM 65/125GB RAM 6000maH fast charging battery 48 MP tiple camera)</t>
  </si>
  <si>
    <t xml:space="preserve"> For the construction of Car port/garage/Multi-Purpose Hall at TESDA Masbate Provincial Office Grounds located at Capiyol Road, Masbate City</t>
  </si>
  <si>
    <t xml:space="preserve"> Construction of Water Tank/Reservoir with approximate capacity of 15 cubic meters at Purok Mapailubon, Alawijao, Badian. 100 bags Cement 40kg/bag 100 pcs. CHB 4" 7 cu.m. Wash Sand 3 cu.m. Fine Sand 40 length Def. bar 10mm. ø 30 length Def.bar 12mm.ø 18 sh</t>
  </si>
  <si>
    <t xml:space="preserve"> 1 UNIT SMART PHONE (ANDROID) CPU Speed 2.73 GHz, 2.5 GHz, 2 GHz CPU Type Octa-Core Size (Main Display) 174.4mm (6.9" full rectangle) / 170.2mm (6.7" rounded corners) Technology (Main Display) Dynamic AMOLED 2X Color Depth (Main Display) 16M Rear Camera - </t>
  </si>
  <si>
    <t xml:space="preserve"> Procurement of laboratory testing equipment and apparatus for use of Quality Assurance Section DPWH Iloilo 2nd DEO, Balabag, Dumangas, Iloilo</t>
  </si>
  <si>
    <t xml:space="preserve"> DESCRIPTION	UNIT	QUANTITY Provision of Field Office for the Engineers (Rental Basis)	months	3.00 Project Billboard/Signboard	each	1.00 Occupational Safety and Health Program	months	3.00 Mobilization/Demobilization	Lump sum	1.00 Surplus Common Excavation	c</t>
  </si>
  <si>
    <t xml:space="preserve"> PROCUREMENT OF FIFTEEN (15) UNIT RISOGRAPH MACHINE WITH ONE HUNDRED (100) UNIT MASTER ROLL LSB Mexico South, North and West District  Mexico, Pampanga BAC Activities	Schedule 1. Submission of Request for Expression of       Interest and Eligibility Requir</t>
  </si>
  <si>
    <t xml:space="preserve"> (PLEASE SEE ATTACHED ASSOCIATED COMPONENT) please send Request for Quotation  -  philgepsprocurement19@gmail.com Contact Person:	FREDERICK VILLAS (711-69-73) Quotation must be submitted with company’s letter head. Stating Specification, unit cost and tota</t>
  </si>
  <si>
    <t xml:space="preserve"> INVITATION TO BID FOR Procurement of Various Medical Supplies for the Use of Heart Institute IB NO: 2020-027 The Western Visayas Medical Center, through Internally Generated Fund-Hospital Income, in the amount of Twelve Million Three Hundred Seventy Six T</t>
  </si>
  <si>
    <t xml:space="preserve"> INVITATION TO BID  REPAIR AND CONVERSION OF PEDIATRIC WARD INTO MOLECULAR BIOLOGY LABORATORY  IB No. 2020 - 07 1.	The Dr. PJGMRMC, through Bids and Awards Committee II, intends to apply the sum of EIGHT MILLION TWO HUNDRED FIVE THOUSAND NINE HUNDRED NINET</t>
  </si>
  <si>
    <t xml:space="preserve"> Republic of the Philippines Province of Bohol Municipality of Danao Invitation to Bid for  IMPROVEMENT OF MULTI-PURPOSE BUILDING, BARANGAY VILLA ANUNCIADO 1.	The Municipality of Danao, Bohol  through the GF [Local Development Plan (20% of IRA) FY 2020]   </t>
  </si>
  <si>
    <t xml:space="preserve"> This project entails labor and materials for the Rehabilitation/Construction of Street Lights at Brgt. Binisitahan Sur funded at BDF 2020.</t>
  </si>
  <si>
    <t xml:space="preserve"> Section I. Invitation to Bid Republic of the Philippines Province of Sultan Kudarat Municipality of Bagumbayan OFFICE OF THE BIDS AND AWARDS COMMITTEE Bagumbayan, Sultan Kudarat INVITATION TO BID FOR PROCUREMENT FOR THE 4,440 LITERS OF DIESOLINE FOR THE A</t>
  </si>
  <si>
    <t xml:space="preserve"> OFFICE: MUNICIPAL HEALTH OFFICE PURPOSE: FOR MEDICAL OUTPATIENT SERVICES ABC: 50,000.00 ITEM DESCRIPTION 500 BOT PARACETAMOL 250/5ML SYRUP 500 BOT PARACETAMOL DROPS 100ML 250 BOT CETIRIZINE DROPS 25MG 250 BOT CETIRIZINE SUSPENSION 60ML</t>
  </si>
  <si>
    <t xml:space="preserve"> 20 YARDS DIRT TRAP MATTING 500 PIECES DOOR MAT-SQUARE, WEAVED NOTE: ALL NEW SUPPLIER ARE REQUIRED TO SUBMIT THE FOLLOWING DOCUMENT. 1. DTI Registration 2. SEC Registration 3. Current Mayor's Permit 4. Certificate of Registration from B.I.R/TIN number. 5. </t>
  </si>
  <si>
    <t xml:space="preserve"> 1.	20	box/es	Acetylcstiene 600mg sachet 10s 2.	20	bottle/s	Aluminum Magnesium 200mg/100mg per 5ml susp. 60ml 3.	50	bottle/s	Amoxicillin 250mg suspension 60ml 4.	30	bottle/s	Ascorbic acid syrup  60ml 5.	3	box/es	Captopril 25 mg tablet 100s 6.	30	bottle/s	C</t>
  </si>
  <si>
    <t xml:space="preserve"> Republic of the Philippines          City of Dumaguete Bids and Awards Committee INVITATION TO BID FOR PURCHASE REQUEST OF 4 PCS PRINTER, PRINT, SCAN &amp; COPY AND OTHER ITEMS 	The City of Dumaguete thru its BIDS AND AWARDS COMMITTEE (BAC), invites all inter</t>
  </si>
  <si>
    <t xml:space="preserve"> Quantity	Unit of 	Item Description					Stock	Estimated	Estimated 	 Issue						No.	Unit Cost	Cost 20	Cart.	Brother LC3617 Black Cartridge					1	 1,000.00 	 20,000.00  20	Cart.	Brother LC3617 Cyan Cartridge					2	 1,000.00 	 20,000.00  20	Cart.	Brother LC36</t>
  </si>
  <si>
    <t xml:space="preserve"> Invitation to Bid for Procurement of Works for the Construction of Multi- Capitol, Oroquieta City 1. The Provincial Government of Misamis Occidental, through the General Funds 20203 intends to apply the sum of Three Million Nine Hundred Seventy-three Thou</t>
  </si>
  <si>
    <t xml:space="preserve"> 1. LAPTOP    -5pcs SPECS: Processor: l+C13:C24 Intel® Celeron® N3060 (1.6 GHz base frequency(2b), up to 2.48 GHz burst frequency(2c), 2 MB cache, 2 cor Chipset: SoC Memory: 4 GB DDR3L-1600 SDRAM (1 x 4 GB) Hard Drive: 500 GB 5400 rpm SATA Operating System</t>
  </si>
  <si>
    <t xml:space="preserve"> Construction Projects-Housing &amp; Resettlement Project Access Road to LGU Lot No. 2793, Mabua, Tandag City</t>
  </si>
  <si>
    <t xml:space="preserve"> INVITATION TO BID FOR  Supplies &amp; Delivery of  Materials   CONSTRUCTION OF MULTI PURPOSE HALL(PHASE III) Labit ,  Villasis, Pangasinan 1.	The Local Government of  Labit, Villasis,  Pangasinan, intends to apply the sum  of (P288,553.75)  being the Approved</t>
  </si>
  <si>
    <t xml:space="preserve"> Invitation to Bid No. 2020-03 Republic of the Philippines Batangas City Invitation to Bid for the Purchase of Various Medicines for the use of Barangay Pallocan West, Batangas City. The Barangay Government through the Office of the Brgy. Chairman intends </t>
  </si>
  <si>
    <t xml:space="preserve"> INVITATION TO BID FOR PURCHASE OF OFFICE EQUIPMENTS, OFFICE SUPPLIES, DEVICES, AND CONSUMABLES FOR VARIOUS OFFICES  1.	The Municipality of Ubay, through the Annual Budget C.Y. 2020 (General Fund) intends to apply the sum of Two Million Nine Hundred Ninety</t>
  </si>
  <si>
    <t xml:space="preserve"> Construction Materials &amp; Supplies-Cement,Gravel 3/4 dia,Sand,10mm RSB</t>
  </si>
  <si>
    <t xml:space="preserve"> PROJECT: IMPROVEMENT OF COVERED COURT METAL CLADDING PHASE 1 &amp; 2 LOCATION: BARANGAY DUTUNG A MATAS, CONCEPCION APPROVED BUDGET FOR THE CONTRACT: PHP 253,425.00 SOURCE OF FUND: 10% SK FUND The contract to be performed by the successful bidder shall be spec</t>
  </si>
  <si>
    <t xml:space="preserve"> Republic of the Philippines Province of Leyte MUNICIPALITY OF TABANGO Invitation to Bid for Construction of Food Court @ Tabango Seafront Park/ Plaza 	 Brgy. Poblacion, Tabango, Leyte 1.	The Local Government of Tabango, through the Supplemental Budget No.</t>
  </si>
  <si>
    <t xml:space="preserve"> Section I. Invitation to Bid INVITATION TO BID  DA8-Goods-2020-50 (PR No. RICE 20-07-27-0928) 1.	The Department of Agriculture-Regional Field Office No. 8, through the RICE 2020-C.O intends to apply the sum of One Million Four Hundred Fifty Seven Thousand</t>
  </si>
  <si>
    <t xml:space="preserve"> Republic of the Philippines Province of Negros Oriental Municipality of Siaton Office of the Bids and Awards Committee Siaton Town Hall, Siaton, Negros Oriental INVITATION TO APPLY FOR ELIGIBILITY AND TO BID The Municipality of Siaton Office of the Bids a</t>
  </si>
  <si>
    <t xml:space="preserve"> Republic of the Philippines		Republic of the Philippines								 		Department of Transportation and Communications								 		CIVIL AVIATION AUTHORITY OF THE PHILIPPINES								 		Area Center II, Tuguegarao Airport								 										 										 Request for</t>
  </si>
  <si>
    <t xml:space="preserve"> Installation of Cyclone Wire Fence in Antiao Creek</t>
  </si>
  <si>
    <t xml:space="preserve"> Procurement of supply and delivery of Agricultural Supplies 200	container	Molasses, 20 liters/container 30	sack	Rice bran @ 50kg/sack PR# 2020-55 (TRUST)</t>
  </si>
  <si>
    <t xml:space="preserve"> 10 rolls 50mm dia. HDPE Pipe SDR II (60m/ roll) 10 rolls 32mm dia. HDPE Pipe SDR II (100m/ roll) 1 roll 20mm dia. HDPE Pipe SDR II (300m/ roll) 10 pcs. dia. 50mm PE Coupling 10 pcs. dia. 32mm PE Coupling 6 pcs. 50mm dia. PE Male Adaaptor 4 pcs. 32mm dia. </t>
  </si>
  <si>
    <t xml:space="preserve"> Procurement of 4 Cubic Chest Freezer Quantity: 4 units Specifications:    -4 cubic ft. Chest Freezer    -Dual Function (Freezer or Chiller)    -8 Level frontal temperature control</t>
  </si>
  <si>
    <t xml:space="preserve"> 2 units - street light post</t>
  </si>
  <si>
    <t xml:space="preserve"> 100	Piece	PPR Pipe 1", ABC 800.00/pc 150	Piece	PPR Pipe 1/2, ABC 300.00/pc 50	Piece	PPR Coupling 1", ABC 20.00/pc 50	Piece	PPR Elbow 1"x90°, ABC 25.00/pc 150	Piece	PPR Coupling 1/2, ABC 10.00/pc 150	Piece	PPR Elbow 1/2x90°, ABC 20.00/pc 50	Piece	PPR Elbow</t>
  </si>
  <si>
    <t xml:space="preserve"> 1.) 270 bags Portland cement 2.) 90 cu.m. Sand 3.) 99.94 cu.m. Gravel Fill 4.) 9 cu.m. Boulders</t>
  </si>
  <si>
    <t xml:space="preserve"> Republic of the Philippines Province of Leyte Municipality of Hilongos INVITATION TO BID FOR THE PROCUREMENT OF OFFICE SUPPLIES 1.  The Local Government Unit of Hilongos, through GENERAL FUND-CURRENT APPROPRIATION- intends to apply the sum TWENTY THOUSAND</t>
  </si>
  <si>
    <t xml:space="preserve"> INVITATION TO BID (RE-BID) The Provincial Government of Palawan through its Bids and Awards Committee (BAC) invites suppliers/manufacturers/ distributors/contractors to apply for eligibility and to bid for the hereunder project. Name of the Project       </t>
  </si>
  <si>
    <t xml:space="preserve"> 1	50mm x 6mtr. uPVC Pipe, S-10, with RR			45	pcs 2	50mm x 6mtr. GI Pipe, sch.# 40, heavy duty		1	pc 3	100mm x 100mm CI Tee, m/m			                1	pc 4	100mm CI Gibault Joint			                        2	pcs 5	100mm x 50mm CI Reducer, m/m			        1	pc 6</t>
  </si>
  <si>
    <t xml:space="preserve"> Republic of the Philippines DEPARTMENT OF PUBLIC WORKS AND HIGHWAYS LAGUNA I  DISTRICT ENGINEERING OFFICE REGIONAL OFFICE NO. IV-A Santa Cruz, Laguna 									July 30, 2020 NOTICE OF PROCUREMENT THROUGH ALTERNATIVE METHOD 	Notice is given that the DPWH-La</t>
  </si>
  <si>
    <t xml:space="preserve"> see attached letters</t>
  </si>
  <si>
    <t xml:space="preserve"> 10 PCS 2.0 MP IR NETWORK MINI BULLET CMOS 1 UNIT LED TV 43" 10 PCS WHITE JUNCTION BOX 100X100 50 PCS RJ-45 CONNECTOR CAT5 3 BOXES OUTDOOR LAND CABLE 300M 12 PCS POWER SUPPLY ADAPTER US PLUG 24W 10 PCS NEMA 3R WAETHERPROOF 10 PCS SURFACE OUTLET WSO-003-GAN</t>
  </si>
  <si>
    <t xml:space="preserve"> Construction Materials &amp; Supplies-Cement,Gravel 3/4 dia,Sand</t>
  </si>
  <si>
    <t xml:space="preserve"> Supply and delivery of construction materials and supplies intended for Concreting of Bamban Multi-Purpose Pavement all in accordance with the approved plans, drawings and specifications</t>
  </si>
  <si>
    <t xml:space="preserve"> Fusing Unit A4FJR70422 - 1unit; Developing Unit DV512K - 1unit; Drum Unit K DR512K - 1unit; Transfer Belt Unit A61DR700000 - 1unit</t>
  </si>
  <si>
    <t xml:space="preserve"> 1.	 1 	unit/s	Laptop - Inspiron 5584 Core i7 			        Intel Core i7-8565U Processor(8mb Cache, up to 4.6GHz) 			        8GBx1, DDR4, 2666MHZ / 1TB 5400 rpm 2.5" SATA 			        Hard Drive + 128GB C35 M.2 SSD/ NVIDIA GeForce 			        MX150 4GB GDDR5/ W</t>
  </si>
  <si>
    <t xml:space="preserve"> 1. Sorghum Hybrid Seeds, Triumph F1 (200 kgs) -  ₱ 58,000.00  2. Sorghum Hybrid Seeds, Triumph F1 (10 kgs) -  ₱ 2,900.00  3. Sorghum Hybrid Seeds, GAP 142 (10 kgs) -  ₱ 2,900.00  4. Sorghum Hybrid Seeds, Sathwo variety (10 kgs) - ₱ 2,900.00</t>
  </si>
  <si>
    <t xml:space="preserve"> This project entails labor and materials for the Construction of concrete Pathway at Brgy. Aguada Sur, Magallanes, Sorsogon funded of BDF 2020.</t>
  </si>
  <si>
    <t xml:space="preserve"> straight contract</t>
  </si>
  <si>
    <t xml:space="preserve"> Republic of the Philippines  Province of Samar  Municipality of Villareal      INVITATION TO BID    CONSTRUCTION OF LOCAL ACESS ROAD AT BRGY LAM-AWAN TO POLANGI, VILLAREAL, SAMAR    	 	 	 	 	 	 	 	 	    	 August 4, 2020   	 	 	 	 	 	 	 	 	                </t>
  </si>
  <si>
    <t xml:space="preserve"> Invitation to Bid (ITB) for the Procurement, Supply and Delivery of Clean Potable Water with an initial Volume of Two Thousand (2,000) Cubic Meters Per Day under an 25-Year Bulk Water Supply Contract with the Carles Water District (CWD)</t>
  </si>
  <si>
    <t xml:space="preserve"> Republic of the Philippines Province of Samar  Municipality of Jiabong INVITATION TO BID FOR  CONSTRUCTION OF DRAINAGE/CANAL BRGY KARUNUNGAN JIABONG, SAMAR Jiab-2020-10D 1.	The Municipal Government of Jiabong, Samar, intends to apply the sum of TWO HUNDRE</t>
  </si>
  <si>
    <t xml:space="preserve"> Clearing and Grubbing	 100.00 	 sq.m.  Structure Excavation	 51.80 	 cu.m.  Embankment	 40.26 	 cu.m.  Forms and Falseworks	 120.20 	 sq.m.  Structural Concrete	 20.47 	 cu.m.  Reinforcing Steel	 2,715.44 	 kgs  Masonry Works	 172.73 	 sq.m.  Cement Plast</t>
  </si>
  <si>
    <t xml:space="preserve"> INVITATION TO BID   1.	The Department of Agrarian Reform Provincial Office (DARPO) of Mountain Province through the Government of the Philippines General Appropriation Act CY 2020 intends to apply the sum of Two Million Eight Hundred Eighty-Two Thousand F</t>
  </si>
  <si>
    <t xml:space="preserve"> That the BAC of Balandra Elementary School hereby resolve to post in Philgeps for the Bidding of Procurement of Supplies for Internet Connection. That the BAC has agreed to qualify the bidders according to the following conditions: 1. The supplier must be</t>
  </si>
  <si>
    <t xml:space="preserve"> CONSTRUCTION 0.20M THK FARM TO MARKET ROAD</t>
  </si>
  <si>
    <t xml:space="preserve"> Supply and delivery of office furniture for CBAA Cagayan de Oro Field Office with the ff details: One (1) pc. Office Panel Divider  4 panel, MDF material, Preferred Dimension 6' x 9' One (1) pc. Sofa Bench (visitors' seat) Fabric, 3-seater Four (4) pcs. O</t>
  </si>
  <si>
    <t xml:space="preserve"> Item No.		Qty							Unit	Item Description					 1			15							ream	PAPER for PPC, Legal size, 216mm x 330mm, min. of 80gsm					 2			5							bot.	INK, Black L3110					 3			2							bot.	INK, Cyan L3110					 4			2							bot.	INK, Magenta L3110					 5			2						</t>
  </si>
  <si>
    <t xml:space="preserve"> Construction and Installation of Solar Powered Street Lights - P 60,000.00 Schedule of Activities 1. Submission &amp; Receipt of Bids / Bid Opening - August 24, 2020 @ 10:00 A.M. 2. Bid Evaluation -August 25, 2020 3. Post Qualification - August 26, 2020 4. Ap</t>
  </si>
  <si>
    <t xml:space="preserve"> Please submit your quotation for the following items on or before 5:00PM on Aug 14, 2020. ITEM D E S C R I P T I O N QTY. UNIT  1 Handheld Water Velocity Meter, Flow Probe 1 unit  Technical Speification Requirements: FP111 (3.7 TO 6ft./1.1 to 1.8m); Digit</t>
  </si>
  <si>
    <t xml:space="preserve"> program of work for the proposed project, "IMPROVEMENT OF DRAINAGE CANAL BLOCK 1 PUROK 14 LOWER" at Irisan Barangay, Baguio City.</t>
  </si>
  <si>
    <t xml:space="preserve"> The CNSC Bids and Awards Committee would like to invite interested bidders to quote their lowest price for the following: Item No   Description                           Quantity       unit of Issue 1	      Bond Paper, long size (S20)          35	        </t>
  </si>
  <si>
    <t xml:space="preserve"> INVITATION TO APPLY FOR ELIGIBILITY AND TO BID THE BIDS &amp; AWARD COMMITTEE OF THE MUNICIPALITY OF CAIBIRAN, BILIRAN IS INVITING ALL INTERESTED BIDDERS ON ITS FORTHCOMING PUBLIC BIDDING FOR: Project Title	: Acquisition of Equipment for the Techno-Gabay Prog</t>
  </si>
  <si>
    <t xml:space="preserve"> * Removal of Structure &amp; Obstruction - 5.79 * Subgrade Preparation - 4.88 * Aggregate Base Course - 16.00 * PCC Pavement, Plain (3,500 PSI, 7 days curing) * Warning &amp; Hazard Signs - 0.46 * Construction Health &amp; Safety - 0.63 * Billboard - 0.56</t>
  </si>
  <si>
    <t xml:space="preserve"> UNIT.      2    DX2430 COPY PRINTER DIGITAL DUPLICATING MACHINE		                      W/ STEEL MACHINE CABINET OR STAND SPECIFICATION:                      DRUM TYPE : DETACHABLE DRUM                      PRINTING SPEED : 90 PRINTS PER MINUTE (PPM)      </t>
  </si>
  <si>
    <t xml:space="preserve"> Invitation to Bid for the Rehabilitationof Evacuation Center, Barangay VII, Mercedes, Camarines Norte 1.	TheProvincial Government of Camarines Norte, through the LDRRMF-Special Trust FundCY 2020intends to apply the sum of OneMillionTwo Hundred Ninety-Seve</t>
  </si>
  <si>
    <t xml:space="preserve"> Petroleum/Oil/Lubricants (P.O.L)	 4986.66	ltrs	Diesoline	 12	        ltrs	4T Oil	 12	        ltrs	Brake Fluid</t>
  </si>
  <si>
    <t xml:space="preserve"> 1	The Municipality of Pola, Province of Oriental Mindoro through its  Trust Fund (Appropriated &amp; alloted) intends to apply the sum of Six Million Seven Hundred Three Thousand   pesos  only (Php6,703,000.00) being the Approved Budget for the Contract (ABC)</t>
  </si>
  <si>
    <t xml:space="preserve"> Item No.		Qty							Unit	Item Description					 1			8							ream	PAPER for PPC, Legal size, 216mm x 330mm, min. 80gsm					 2			8							ream	PAPER for PPC, A4 size, 210mm x 297mm, min. of 80gsm</t>
  </si>
  <si>
    <t xml:space="preserve"> Republic of the Philippines Province of Palawan Municipality of Balabac BIDS AND AWARDS COMMITTEE INVITATION TO BID 1.The Municipal Government  of Balabac, through 20% MDF 2020 intends to apply the sum of One Million Seven Hundred Ninety Thousand Five Hun</t>
  </si>
  <si>
    <t xml:space="preserve"> Republic of the Philippines Province of Samar MUNICIPALITY OF SAN JORGE Invitation to Bid for Procurement of Office Furniture’s   1.	The Municipality of San Jorge, Samar, through the General Fund  intends to apply the sum of  Four  Hundred Ninety Five  Th</t>
  </si>
  <si>
    <t xml:space="preserve"> 1 UNIT RISOGRAPH OF LGU-MAPANAS, NORTHERN SAMAR PHILIPPINE BIDDING DOCUMENTS Procurement of GOODS Government of the Republic of the Philippines Third Edition October 2009   Preface These Philippine Bidding Documents (PBDs) for the procurement of Goods thr</t>
  </si>
  <si>
    <t xml:space="preserve"> delivery of construction materials</t>
  </si>
  <si>
    <t xml:space="preserve"> Republic of the Philippines Province of Cebu Municipality of San Francisco BIDS AND AWARDS COMMITTEE San Francisco, Cebu INVITATION TO SUBMIT PROPOSAL FOR INVITATION TO BID TO SUPPLY LABOR, MATERIAL &amp; EQUIPMENT FOR THE CONSTRUCTION OF LEVEL III WATER SYST</t>
  </si>
  <si>
    <t xml:space="preserve"> Item No.		Qty							Unit	Item Description					 1			12							bot.	ALCOHOL, 70% solution, 500ml					 2			10							piece	CORRECTION TAPE					 3			1							pad	NOTE PAD, Stick-on, 3x4, 100 sheets per pad					 4			1							box	PUSH PIN					 5			12							piece	SI</t>
  </si>
  <si>
    <t xml:space="preserve"> Construction of Slope Protection and Line Canal @ Diversion Road, Bolod &amp; Terraplin, San Pascual, Masbate</t>
  </si>
  <si>
    <t xml:space="preserve"> Please submit your quotation for the following items on or before 5:00PM on Aug 14, 2020. ITEM D E S C R I P T I O N QTY. UNIT 1 Chemicals, Palintest Free Chlorine, DPD1 Tablets (APO II) 60 box Specificatios/Recommendations:  1. Supplier must provide Mate</t>
  </si>
  <si>
    <t xml:space="preserve"> Invitation to Bid for  PROCUREMENT OF CONSTRUCTION OF CONCRETE FENCE The Barangay Government of KIMLAWIS, Kiblawan, Davao del Sur through the SMI  Fund FY 2020 [ In the case of National Government Agencies, the General Appropriations Act and/or continuing</t>
  </si>
  <si>
    <t xml:space="preserve"> OPENING O BIDS IN DSWD FO IX, ZAMBOANGA CITY, DELIVERY IN DSWD FIELD OFFICE IX PROCUREMENT FOR THE FF.: 50 BOX ALCOHOL , 70% ISOPROPHYL , 500ml. @ 1,000.00 50 PACK DISPOSABLE MASK 100 pcs./PACK@ 500.00 100 PCS N-95 FACE MASK @ 300.00 50 BOX DISPOSABLE HAN</t>
  </si>
  <si>
    <t xml:space="preserve"> * Subgrade Preparation - 6.69 * Aggregate Base Course - 11.71 * PCC Pavement, Plain - 73.53 * Pipe Culverts  - 4.23 * Stone Masonry - 2.44 * Warning &amp; Hazard Signs - 0.33  * Construction Health &amp; Safety - 0.67 * Billboard - 0.40</t>
  </si>
  <si>
    <t xml:space="preserve"> Item No.		Qty							Unit	Item Description					 1			3							unit	Keyboard					 2			3							Unit	Mouse					 3			3							piece	Expanded envelop w/ Compartment, Plastic long</t>
  </si>
  <si>
    <t xml:space="preserve"> RFQ on MATERIALS FOR THE PRODUCTION OF LEARNING RESOURCE BOND PAPER (A4) SPECIFICATIONS: 80 Gsm, size: 210mm X 297mm (A4)                             Substance 20                            no. of reams : 3,187 reams</t>
  </si>
  <si>
    <t xml:space="preserve"> Improvement of Water Supply (Purok 1 &amp; 2) to include installation of 2 units stainless tank</t>
  </si>
  <si>
    <t xml:space="preserve"> 1  unit Printer 3 in 1            Printer Up to A3 	Colored 	Print Resolution up to 5760 x 440 dpi  	Print Speed up to 15ipm 	Refill Tank System Ink 1 unit	Desktop with Table 	CPU 3.0 Hz Intel Core i7 	Memory 8gb DBR44 1.066m Hz 	HD 4870 x 2512MB 2 gb nvi</t>
  </si>
  <si>
    <t xml:space="preserve"> 6	Unit	ICOM Transceiver -portable two-way radio IP67 waterproof and, ABC 12,000.00/unit 		Dust-tight protection atleast 10 hrs of operating time w/ the supplied				 		waterproof battery 5.5 W/4 W (VHF/UHF) of output power 1500				 		mW Audio output				 RF</t>
  </si>
  <si>
    <t xml:space="preserve"> ELECTRICAL SYSTEM</t>
  </si>
  <si>
    <t xml:space="preserve"> August 3, 2020 INVITATION TO BID  Reference No. 7150103 /Solicitation No.20-29 The City Government of Tagum invites interested Bidders/Suppliers to bid for the following: Name of Contract         :  37 UNITS SHOTGUN FOR THE USE OF CGSO - SAFETY AND SECURI</t>
  </si>
  <si>
    <t xml:space="preserve"> Republic of the Philippines Province of Oriental Mindoro MUNICIPALITY OF SAN TEODORO INVITATION TO BID FOR THE  EXPANSION AND IMPROVEMENT OF MUNICIPAL BUILDING PHASE 2 No. 2020-14 August 3, 2020 1.	The Municipality of San Teodoro intends to apply the sum </t>
  </si>
  <si>
    <t xml:space="preserve"> Republic of the Philippines Province of Cotabato Municipality of Antipas BIDS AND AWARDS COMMITTEE Invitation to Bid for  Construction of Flood Control Project (Construction of Single Barrel Box Culvert) @ M.L. Quezon Street 1.	The Municipal Government of</t>
  </si>
  <si>
    <t xml:space="preserve"> PROCUREMENT OF 6 PCS. TIRE EXTERIOR       # 8.25-20</t>
  </si>
  <si>
    <t xml:space="preserve"> Invitation to Bid for the rental of Photocopying Machine for use of different offices of Batangas City Government</t>
  </si>
  <si>
    <t xml:space="preserve"> Invitation to Bid for  PROCUREMENT OF CONSTRUCTION OF CONCRETE FENCE KIMLAWIS NATIONAL HIGH SCHOOL The Barangay Government of KIMLAWIS, Kiblawan, Davao del Sur through the SMI  Fund FY 2020 [ In the case of National Government Agencies, the General Approp</t>
  </si>
  <si>
    <t xml:space="preserve"> Invitation to Bid for the Construction of Evacuation Center, Daguit High School, Brgy. Daguit, Labo, Camarines Norte 1.	TheProvincial Government of Camarines Norte, through the LDRRMF-Special Trust FundCY 2020intends to apply the sum of One MillionNine Hu</t>
  </si>
  <si>
    <t xml:space="preserve"> Item No.		Qty							Unit	Item Description					 1			20							pack	COFFEE 3 in 1, 20 pcs/pack					 2			20							pack	ASSORTED BISCUITS					 3			10							pack	ASSORTED CANDIES					 4			20							pack	DETERGENT POWDER, all purpose, 1kg					 5			30							bottle</t>
  </si>
  <si>
    <t xml:space="preserve"> Republic of the Philippines Province of Cotabato Municipality of Antipas BIDS AND AWARDS COMMITTEE Invitation to Bid for  Concreting of Magsaysay Highway-Purok 5 Road 1.	The Municipal Government of Antipas, through the Budget Approved by the Sanggunian, i</t>
  </si>
  <si>
    <t xml:space="preserve"> Item No.		Qty							Unit	Item Description					 1			104							reams	Bookpaper, A4 size, 70gsm, Subs.20</t>
  </si>
  <si>
    <t xml:space="preserve"> ilippines Province of Cavite Municipality of Naic BIDS AND AWARDS COMMITTEE PB-2020-08-049 INVITATION TO  BID  CONSTRUCTION OF MULTI-PURPOSE HALL AT BRGY. SABANG, NAIC, CAVITE 1.        The Municipal Government of Naic through  2020 ADF  intends to apply </t>
  </si>
  <si>
    <t xml:space="preserve"> Supply and delivery of Diesel and Gasoline Fuel(1 lot)  QTY      UNIT    DESCRIPTION 3,860    liters     Diesel  150      liters     Unleaded Gasoline Terms &amp; Conditions: 1.	Fuel withdrawal shall be made upon the receipt of approved Purchase order or NTP.</t>
  </si>
  <si>
    <t xml:space="preserve"> Republic of the Philippines City of Dapitan BIDS AND AWARDS COMMITTEE 						July 30, 2020 NOTICE FOR NEGOTIATED - SMALL VALUE PROCUREMENT 	The City Government of Dapitan through the Bids and Awards Committee (BAC) would like to inform PhilGEPS registered </t>
  </si>
  <si>
    <t xml:space="preserve"> Republic of the Philippines Province of Leyte Municipality of Palompon oOo BIDS &amp; AWARD COMMITTEE INVITATION TO BID FOR  PROCUREMENT OF EQUIPMENT FOR GLASS BOTTOM KAYAK’S &amp; EQUIPMENT FOR RENTALS Project Identification No. 2020-2508-017 The Municipality of</t>
  </si>
  <si>
    <t xml:space="preserve"> 2,278 liters Diesel</t>
  </si>
  <si>
    <t xml:space="preserve"> Construction of concrete landmark</t>
  </si>
  <si>
    <t xml:space="preserve"> Republic of the Philippines Province of Palawan Municipality of Balabac BIDS AND AWARDS COMMITTEE INVITATION TO BID 1.The Municipal Government  of Balabac, through 20% MDF 2020 intends to apply the sum of One Million Five Hundred Ninety Five Thousand One </t>
  </si>
  <si>
    <t xml:space="preserve"> Communication Equipment</t>
  </si>
  <si>
    <t xml:space="preserve"> BID ACTIVITIES: ISSUANCE OF BID DOCUMENTS: AUGUST 4, 2020 TO AUGUST 14, 2020 OPENING OF BID DOCUMENTS: AUGUST 14, 2020@1:00PM A complete set of Bidding Documents may be purchased by interested Bidders on August 4, 2020 to August 14, 2020 from the address </t>
  </si>
  <si>
    <t xml:space="preserve"> The Local Government Unit of Bula is inviting interested PhilGEPS accredited contractors to apply for eligibility and to submit complete bid for the CONSTRUCTION OF DRAINAGE STRUCTURES ALONG SAGRADA SECTION at Barangay Sagrada, Bula, Camarines Sur under t</t>
  </si>
  <si>
    <t xml:space="preserve"> REPUBLIC OF THE PHILIPPINES PROVINCE OF BOHOL MUNICIPALITY OF SEVILLA BARANGAY LICOLICO INVITATION TO BID 1.	The Barangay Licolico, through the authorized appropriations under the FY 2019 General Appropriations Act, intends to apply the sum of Sixty Nine </t>
  </si>
  <si>
    <t xml:space="preserve"> Republic of the Philippines Province of Cotabato Municipality of Antipas BIDS AND AWARDS COMMITTEE Invitation to Bid for  Concreting of Street at Kiyaab Beside Barangay Hall 1.	The Municipal Government of Antipas, through the Budget Approved by the Sanggu</t>
  </si>
  <si>
    <t xml:space="preserve"> Republic of the Philippines Province of Palawan Municipality of Balabac BIDS AND AWARDS COMMITTEE INVITATION TO BID 1.The Municipal Government  of Balabac, through 20% MDF 2015 intends to apply the sum of One Million Four Hundred Ninety Nine Thousand Nine</t>
  </si>
  <si>
    <t xml:space="preserve"> Republic of the Philippines Province of Cavite Municipality of Naic BIDS AND AWARDS COMMITTEE PB-2020-08-049 INVITATION TO  BID  IMPROVEMENT OF COVERED COURT AT BRGY. SAN ROQUE, NAIC, CAVITE 1.        The Municipal Government of Naic through  2020 20% ADF</t>
  </si>
  <si>
    <t xml:space="preserve"> Republic of the Philippines Province of Iloilo Municipality of Lambunao Brgy.  Brgy. Supoc Barangay Office of the Bids &amp; Awards Committee INVITATION TO BID Name of Project: Purchase of Fuel for the Concreting of FMR Location: Brgy. Supoc, Lambunao, Iloilo</t>
  </si>
  <si>
    <t xml:space="preserve"> QTY  UNIT  DESCRIPTION GENERAL REQUIREMENTS 1.00 lot i.i Mobilization/Demobilization 1.00 lot i.ii Contractor Temporary Facilities EARTHWORKS 565.00 cu.m. ii.i Excavation Works (Lined Canal &amp; RCBC) GENERAL REQUIREMENTS 464.00 In.m. iii.i Lined Canal 23.00</t>
  </si>
  <si>
    <t xml:space="preserve"> CONSTRUCTION OF EMERGENCY STEEL FOOT BRIDGES AT SAN JOSE MALINO AND TINAJERO SAN ANTONIO San Jose Malino and Tinajero, San Antonio, Mexico, Pampanga BAC Activities	Schedule 1. Submission of Request for Expression of       Interest and Eligibility Requirem</t>
  </si>
  <si>
    <t xml:space="preserve"> 1	200	bags	Portland Cement	 2	10	elf	Washed Sand	 3	15	elf	Crushed Gravel	 4	100	pcs	12mm def.bar	 5	10	kgs	Tie Wire	 6	50	pcs	2x4x10	 7	3	pcs	Shovel	 8	3	kgs	Nylon	 9	5	kgs	C.W. Nails #4	 10	5	kgs	C.W. Nails #3	 11	3	kgs	C.W. Nails #1 1/2	 x-x-x-x-x</t>
  </si>
  <si>
    <t xml:space="preserve"> 1500 PCS OF EXPANDABLE COLOR CODED PLASTIC ENVELOP WITH HANDLE Payable for 2 Months (August 2020 - September 2020)</t>
  </si>
  <si>
    <t xml:space="preserve"> Bicol Medical Center Concepcion Pequeña, Naga City, 4400 (0998-247-0239/0906-256-9238          E-mail Address: bmc.bacoffice@gmail.com INIVITATION TO BID SUPPLY, DELIVERY, INSTALLATION &amp; COMMISSIONING OF DEEP TRANSCRANIAL MAGNETIC STIMULATION MACHINE ITB </t>
  </si>
  <si>
    <t xml:space="preserve"> Republic of the Philippines Province of Palawan Municipality of Balabac BIDS AND AWARDS COMMITTEE INVITATION TO BID 1.The Municipal Government  of Balabac, through 20% MDF 2020 intends to apply the sum of Three Hundred Thirty Five Thousand Six Hundred Sev</t>
  </si>
  <si>
    <t xml:space="preserve"> .................................APPROVED BUDGET......................... 1.  4 unit.....Supply of Audio Video Capture and..........................Php 80,000.00 / 20,000.00 Playback device For Windows Computer ·Component, Composite and S-video Inputs and</t>
  </si>
  <si>
    <t xml:space="preserve"> 1.	The Brgy. Taugtog, Municipality of Botolan, through the Barangay Fund intends to apply the sum of P 300,000.00 being the Approved Budget for the Contract (ABC) to payments under the contract for Improvement of Barangay Health Center at Brgy. Taugtog, B</t>
  </si>
  <si>
    <t xml:space="preserve"> Bicol Medical Center Concepcion Pequeña, Naga City, 4400 (0998-247-0239/0906-256-9238          E-mail Address: bmc.bacoffice@gmail.com INIVITATION TO BID SUPPLY, DELIVERY, INSTALLATION &amp; COMMISSIONING OF LAPAROSCOPY TOWER (1 Lot) ITB No. 2020-27 1.	The BI</t>
  </si>
  <si>
    <t xml:space="preserve"> 2 rolls String Nylon # 80 8 bd. ft  2x2x12 Coco Lumber  0.5 kl.  CW nails # 4  0.5 kl.  CW nails # 3 0.5 kl.  CW nails # 2 1/2 0.5 kl.  CW nails # 2 1,300 pcs  CHB  4X6X16 120 bags  Portland Cement type I-P 12 Cu.m Washed Sand 2 pcs.  Construction Pail (c</t>
  </si>
  <si>
    <t xml:space="preserve"> Item No.		Qty							Unit	Item Description					 1			20							pack	COFFEE 3 in 1, 20 pcs/pack					 2			20							pack	ASSORTED BISCUITS					 3			10							pack	ASSORTED CANDIES					 4			10							can	AIR FRESHENER, aerosol, 280ml/150g min					 5			20							pac</t>
  </si>
  <si>
    <t xml:space="preserve"> 1.	The Brgy. Taugtog, Municipality of Botolan, through the Barangay Fund intends to apply the sum of P250,000.00 being the Approved Budget for the Contract (ABC) to payments under the contract for Repainting of Fence at Brgy. Taugtog, Botolan, Zambales. B</t>
  </si>
  <si>
    <t xml:space="preserve"> Republic of the Philippines Province of Misamis Oriental Local Government Unit of Claveria Invitation to Bid for  Procurement of   Construction  of One  (1)  Classroom Building at barangay Bulahan The Local Government Unit of Claveria, through the budget </t>
  </si>
  <si>
    <t xml:space="preserve"> Project: CONCRETING OF BARANGAY ROAD Location: Sitio Duhat, San Gabriel, Laurel, Batangas ABC: PHP1,499,958.05 Advertisement	August 4-11, 2020	 Pre-bid Conference	August 14, 2020-2:00 PM at 2F R204 Municipal Hall of Laurel, Batangas-Pob. 2, Laurel, Batang</t>
  </si>
  <si>
    <t xml:space="preserve"> Republic of the Philippines                Province of Southern Leyte           MUNICIPALITY OF SOGOD                  BARANGAY LIBAS INVITATION TO BID FOR PROCUREMENT OF GOODS FOR THE REHABILITATION /REPAIR OF WATER SYSTEM PIPELINE 1.	The Barangay Libas,</t>
  </si>
  <si>
    <t xml:space="preserve"> 1	Desktop Computer MIDRANGE Number of cores: 2 Cache:3M Processor Base Frequency: at least 3.00 GHz Memory: at least 4GB Storage: at least 500GB Desktop Type:Mini Desktop Warranty:at least 1 year MONITOR Display size and type: 19.5" ,LED Monitor UPS Outpu</t>
  </si>
  <si>
    <t xml:space="preserve"> IMPROVEMENT OF SCHOOL STAGE @ ALALUM NATIONAL HIGH SCHOOL, SAN PASCUAL, BATANGAS</t>
  </si>
  <si>
    <t xml:space="preserve"> 1 UNIT MULTICAB Specifications: Color: White Product Model: Suzuki pick-up type Product Name: Pick-up Lift-up with canopy scrum round eye Transmission Type: Manual Engine Displacement: F6A Chain drive Engine Type: 4 stroke, 3-Cylinder Fuel Type: Gasoline </t>
  </si>
  <si>
    <t xml:space="preserve"> Description Republic of the Philippines Danao City Brgy.Maslog INVITATION to APPLY for ELIGIBILITY and to BID Garbage Truck @ Brgy.Maslog,Danao City The Brgy.Maslog, tends to apply the sum of Php 325,000.00 being Approved Budget for the Contract (ABC) to </t>
  </si>
  <si>
    <t xml:space="preserve"> OPENING OF BIDS IN DSWD FO IX ZAMBOANGA CITY		 DELIVERY IN DSWD-SWAD-IPIL, ZAMBOANGA SIBUGAY		 PROCUREMENT FOR THE FF.:		 		 17 BOX BALL PEN, BLACK, 0.5mm 50 PCS. /BOX	@ 300.00  230 REAM BOND PAPER A4, S-20	@	 210.00  230 REAM BOND PAPER LONG S-20	@	 230.</t>
  </si>
  <si>
    <t xml:space="preserve"> CONSTRUCTION OF 0.20M THK FARM TO MARKET ROAD</t>
  </si>
  <si>
    <t xml:space="preserve"> The CNSC Bids and Awards Committee would like to invite interested bidders to quote their lowest price for the following: Item No     Unit of Issue  Quantity  Description 1               unit               1            Laptop with accessories             </t>
  </si>
  <si>
    <t xml:space="preserve"> Item No.		Qty							Unit	Item Description					 1			13							reams	Paper, Legal, 70gsm, Subs.20					 2			16							reams	Paper, A4, 70gsm, Subs.20					 3			25							box	Ballpen, black, smooth ink pen, 0.5mm (12pcs/box)					 4			10							pcs	Correction tape,</t>
  </si>
  <si>
    <t xml:space="preserve"> Specification: 136-174MHz Channel Capacity: 16 Channel Channel Spacing: 12.5/25 Operating Voltage: 7.4 Antenna Impedance: 50 Ohms Dimension: (H x W x D) 119 x 55 x 33 Weight: 270gms IP Rating: IP66 Transmitter RF Power Output: 5W Modulation: F3E Audio Dis</t>
  </si>
  <si>
    <t xml:space="preserve"> INVITATION TO BID									 									 The  BARANGAY GOVERNMENT OF LA ROCHE SAN MIGUEL, SINDANGAN ZAMBOANGA DEL NORTE, through its Bids and Awards Committee (BAC), hereby invites suppliers/manufacturers/ distributors/contractors to apply for eligibility and</t>
  </si>
  <si>
    <t xml:space="preserve"> ITB2020-020 LBP Agoo Branch re: Establishment of LANDBANK Agoo Branch Offsite ATM at Tubao APPROVED BUDGET FOR THE CONTRACT : PHP 203,253.00 NOTES IN SUBMITTING YOUR BID PROPOSALS TO BE ATTACH IN YOUR SUBMITTED SIGNED AND SEALED QUOTATIONS: TWO SETS/COPIE</t>
  </si>
  <si>
    <t xml:space="preserve"> for Municipal Health Office</t>
  </si>
  <si>
    <t xml:space="preserve"> Invitation to Bid for the Construction of Evacuation Center, Brgy. Catioan, Capalonga, Camarines Norte 1.	TheProvincial Government of Camarines Norte, through the LDRRMF-Special Trust FundCY 2020intends to apply the sum of FourMillionFour Hundred Ninety-E</t>
  </si>
  <si>
    <t xml:space="preserve"> Request For Quotation attached</t>
  </si>
  <si>
    <t xml:space="preserve"> ITEM: 48 pcs Clamp, Saddle;DI; 50mmØ x 20mmØ (for uPVC/HDPE)							 89 pcs Clamp, Saddle;DI; 100mmØ x 20mmØ (for uPVC/HDPE)	 PURPOSE: RPP NO. 20-06-05-035-FOR REPLENISHMENT OF STOCKS-(D.I/C.I.)		 ABC: PHP 149,910.00 DELIVERY SCHEDULE: 10 CALENDAR DAYS</t>
  </si>
  <si>
    <t xml:space="preserve"> Republic of the Philippines Province of La Union Municipality of Sudipen BIDS AND AWARDS COMMITTEE Invitation to Bid for  SLOPE PROTECTION OF FARM TO MARKET ROAD (PALACAPAC ROAD) LOCATED AT BARANGAY PORPORIKET, SUDIPEN, LA UNION 1. The MUNICIPALITY OF SUD</t>
  </si>
  <si>
    <t xml:space="preserve"> please click the link below to download bidding documents https://drive.google.com/file/d/131mErxI4f9xkcjbvT5TG5K1KvcrY5yXc/view?usp=drivesdk</t>
  </si>
  <si>
    <t xml:space="preserve"> Republic of the Philippines Province of Leyte MUNICIPALITY OF ALBUERA BARANGAY MAHAYAG BIDS AND AWARDS COMMITTEE INVITATION TO BID  1.	The LGU, Barangay Mahayag, Albuera, Leyte, through the Budget Approved by the Sanggunian  under the General Fund intends</t>
  </si>
  <si>
    <t xml:space="preserve"> Item No.	Unit	DESCRIPTION				Qty 						 1	Box	Cleene Gloves				7 2	Gal.	Alcohol 70%				8 3	Box	Facemask 				8</t>
  </si>
  <si>
    <t xml:space="preserve"> please click the link below to download bidding documents https://drive.google.com/file/d/1C1nfFJ-Ar9R6Dx2KwlWpozdmWXwCpwgV/view?usp=drivesdk</t>
  </si>
  <si>
    <t xml:space="preserve"> Republic of the Philippines Province of Palawan Municipality of Balabac BIDS AND AWARDS COMMITTEE INVITATION TO BID 1.The Municipal Government  of Balabac, through 20% DF 2020 intends to apply the sum of Four Hundred Ninety Seven Thousand Three Hundred Si</t>
  </si>
  <si>
    <t xml:space="preserve"> Republic of the Philippines Province of Cotabato Municipality of Antipas BIDS AND AWARDS COMMITTEE Invitation to Bid for  Concreting of Dolores-Canaan Road Via Barangay Hall 1.	The Municipal Government of Antipas, through the Budget Approved by the Sanggu</t>
  </si>
  <si>
    <t xml:space="preserve"> Republic of the Philippines Province of Palawan Municipality of Balabac BIDS AND AWARDS COMMITTEE INVITATION TO BID(Rebid) 1.The Municipal Government  of Balabac, through MOOE 2020 intends to apply the sum of One Million Pesos Only only (PHP 1,000,000.00)</t>
  </si>
  <si>
    <t xml:space="preserve"> CHEST BAG PADDED BOARD SPLINT SPINE BOARD HEAD PORTABLE PRESSURE WASHER HPW 302</t>
  </si>
  <si>
    <t xml:space="preserve"> Television 75 inches = 1 unit Voltage: 100-240V-50/60Hz Weight net/gross: 34 0/47.0kg Dimensions: 1850x285x1170mm w/ google play, chrome cast built-in,  netflix, bluetooth, youtube Floor Mounted Split-type = 1 unit Airconditioner w/ installation Cooling c</t>
  </si>
  <si>
    <t xml:space="preserve"> Republic of the Philippines Province of Iloilo Municipality of Lambunao Brgy. Brgy. Lanot Pequeno Barangay Office of the Bids &amp; Awards Committee INVITATION TO BID Name of Project: Purchase of Materials for the Road Concreting Location: Brgy. Lanot Pequeno</t>
  </si>
  <si>
    <t xml:space="preserve"> Republic of the Philippines BOHOL ISLAND STATE UNIVERSITY Main Campus, Tagbilaran City INVITATION TO BID FOR RE-BIDDING: SUPPLY AND DELIVERY OF ARM CHAIRS AND SALA SETS (PR NO. 2020-02-0376, 2020-02-0240, 2020-02-0371) 1.	The Bohol Island State University</t>
  </si>
  <si>
    <t xml:space="preserve"> INVITATION TO BID IB NO. CW 2020 – 130 Repair of Gymnasium at Adrialuna, Naujan, Oriental Mindoro 1.  The Provincial Government of Oriental Mindoro (PGOM) through the General Fund 2020  intends to apply the sum of Seven Hundred Thirty Thousand Nine Hundre</t>
  </si>
  <si>
    <t xml:space="preserve"> Meals &amp; Snacks 8/18,20,24,26, &amp; 28 (5 days)				 1	140	pax	AM Snacks : Clubhouse w/ Softdrinks 300ml				 2	140	pax	Lunch Menu : Beefsteak, Four Season, Veggies, Chicken in				 			garlic, Fish Fillet, Rice, Banana &amp; Softdrinks 300ml				 3	140	pax	PM Snacks </t>
  </si>
  <si>
    <t xml:space="preserve"> The NATIONAL LIBRARY OF THE PHILIPPINES through its Bids and Awards Committee invites bidders / suppliers to bid for Supply and Delivery of Dental Supplies/Equipments for NLP Bidding will be through LINE Item Bidding. Bids received in excess of the ABC sh</t>
  </si>
  <si>
    <t xml:space="preserve"> Item No.		Qty							Unit	Item Description					 1			30							ream	PAPER, multicopy, 80gsm, size: 210mm x 297mm (A4)					 2			30							ream	PAPER, multicopy, 80gsm, size: 216mm x 330mm (Legal)					 3			50							piece	SIGN PEN, BLACK, liquid/gel ink, 0.5mm n</t>
  </si>
  <si>
    <t xml:space="preserve"> Machinery and Equipment</t>
  </si>
  <si>
    <t xml:space="preserve"> INVITATION TO BID (CW-08-2020-022) The Department of Public Works and Highways (DPWH)-Batangas IV District Engineering Office, Marawoy, Lipa City, Batangas, through its Bids and Awards Committee (BAC), invites contractors to bid for the contract listed be</t>
  </si>
  <si>
    <t xml:space="preserve"> Republic of the Philippines													 City of San Carlos													 Negros Occidental													 													 INVITATION TO BID											FOR SALE	 			PURCHASE REQUEST NO: 18-20-07-0875				P 300.00	 Sealed bids for quotation of prices will be rece</t>
  </si>
  <si>
    <t xml:space="preserve"> 1 unit Adlay Milling Machine Specifications: 3.0hp Electric motor, 50-75kgs output capacity, 95.0-99.9% Milling efficiency, 62.0% Max. milling recovery, 75jgs dry weight, portable, green finish, w/ 2 sets extra blades &amp; 2 sets concave screens, selected to</t>
  </si>
  <si>
    <t xml:space="preserve"> please click the link below to download bidding documents https://drive.google.com/file/d/1isjnwtMw9Aj-9yU1t07ZsA19JJ1eFYFL/view?usp=drivesdk</t>
  </si>
  <si>
    <t xml:space="preserve"> 1	80	bags	Portland Cement				 2	4	elf	Washed Sand				 3	3	elf	Crushed Gravel 3/4				 4	45	pcs	12mm def.bar				 5	75	pcs	10mm def.bar				 6	20	pcs	Marine Plywood 1/4				 7	5	pcs	Marine Plywood 1/2				 8	50	pcs	2x3x10 Coco Lumber				 9	3	bundles	1x2x8 Coco </t>
  </si>
  <si>
    <t xml:space="preserve"> The Municipality of Gen. Mariano Alvarez, Cavite, through its Bids and Awards Committee (BAC), invites suppliers / manufacturers /distributors /contractors to apply for eligibility and to bid for the hereunder project:									 									 									 Name of</t>
  </si>
  <si>
    <t xml:space="preserve"> please click the link below to download bidding documents https://drive.google.com/file/d/17xjQge81cJCccKMeT8FYHAX00xBrp3il/view?usp=drivesdk</t>
  </si>
  <si>
    <t xml:space="preserve"> 1. 1 LOT - CONSTRUCTION SUPPLIES - 89,900.00 The Complete Schedule of Activities are Listed as Fallows: 1. Submission of Letter of Intent &amp; Eligibility Documents - August 11-14, 2020 @ 8:00am - 5:00pm 2. Issuance of Bid Documents - August 17-21, 2020 @ 8:</t>
  </si>
  <si>
    <t xml:space="preserve"> The  Printing of Modules for Kindergarten to Grade 7 including the ALIVE-Madrasah should be delivered before the opening of classes which will be on August 24,2020.  It must be in A4 size of white paper folded in newspaper type. Modules will come into set</t>
  </si>
  <si>
    <t xml:space="preserve"> Procurement, repair and maintenance of DRRM Equipment and Vehicles. This activities include such as but not limited to procurement of firefighting PPES, fire truck, ambulance, PA system, procurement and installation of CCTV cameras, repair and maintenance</t>
  </si>
  <si>
    <t xml:space="preserve"> 1 unit Food Mixer Specifications: 150kgs Capacity 870mm Tank diameter Motor power: 4Hp Dimension: 1000x1080x1230 Capacity: 130kg/hr 1 unit Flour Mixer Specifications: Dimension: 405x300x500cm Voltage: 220v Power: 2.2KW Weight: 29kg Motor: 1.3Hp 1 unit Cor</t>
  </si>
  <si>
    <t xml:space="preserve"> Republic of the Philippines BOHOL ISLAND STATE UNIVERSITY Main Campus, Tagbilaran City INVITATION TO BID FOR RE-BIDDING: SUPPLY AND DELIVERY OF PLAQUE FOR THE PRAISE AWARDING 2020 (PR NO. 2020-06-0584) 1.	The Bohol Island State University – Main Campus, T</t>
  </si>
  <si>
    <t xml:space="preserve"> Building Extension 1. Concrete Footing 2. Concrete Columns 3. CHB Laying 4. Concrete Slab on Grade 5. Installation G.I. Roof Sheets on Wooden Trusses/Purlins</t>
  </si>
  <si>
    <t xml:space="preserve"> for replacement of old tires of various service vehicle</t>
  </si>
  <si>
    <t xml:space="preserve"> Republic of the Philippines          City of Dumaguete Bids and Awards Committee INVITATION TO BID FOR PURCHASE REQUEST OF 7 BAGS PORTLAND CEMENT 40 KGS AND OTHER ITEMS 	The City of Dumaguete thru its BIDS AND AWARDS COMMITTEE (BAC), invites all intereste</t>
  </si>
  <si>
    <t xml:space="preserve"> 1.	The Barangay Local Government Unit of Rosario, through the General Appropriations Act (DOLE Livelihood Program) intends to apply the sum of one hundred ninety eight thousand and five hundred pesos only (Php 198,500.00) for Lot 1, two hundred eighty six</t>
  </si>
  <si>
    <t xml:space="preserve"> 1	Set	6 Seater Glass, Conference Table w/ revolving Chair,				 		180cm x 100cm				 x-x-x-xx-x</t>
  </si>
  <si>
    <t xml:space="preserve"> 1	Laptop Entry Level Number of cores: 2 Cache: 4M Processor Base Frequency: at least 2.10 GHz Bus Speed:4 GT/s Memory: at least 4GB Storage: at least 1TB, 5400 rpm Graphics: at least 2G GDDR5 Screen Size: at least 14-inch Warranty:at least 1 year With lic</t>
  </si>
  <si>
    <t xml:space="preserve"> 120	pcs	60x60 ceramics tiles 2	klg	tile grout 50	bags	portland cement 50	pcs	10mm def bar 10	klg	#16 tie wire 5	sht	1/4 " mar. plywood 6	sht	GA 26x8 corr G.I Ft 1	sht	Ga 26 plain G. I sht 7	klg	4" CWN 5	klg	3" CWN 1    	klg	umbrella nails 1	klg	1 1/2 CWN </t>
  </si>
  <si>
    <t xml:space="preserve"> OFFICE CHAIR MEGA PHONE DIGITAL BP AAA BATTERY AA BATTERY</t>
  </si>
  <si>
    <t xml:space="preserve"> VRepublic of the Philippines													 City of San Carlos													 Negros Occidental													 										                 		REBIDDING	 INVITATION TO BID											FOR SALE	 			PURCHASE REQUEST NO: 18-20-06-0773				P 150.00	 Sealed bids for quota</t>
  </si>
  <si>
    <t xml:space="preserve"> INVITATION TO BID LGU-El Salvador City, Misamis Oriental through its BAC, invites interested bidders to apply for eligibility and if found eligible to bid for the contract: 1.	Contract ID No.	:	ITB No. 2020-08-075/Project ID No. 20-027-SB#1-ENGG Name of P</t>
  </si>
  <si>
    <t xml:space="preserve"> Republic of the Philippines Province of Cotabato Municipality of Antipas BIDS AND AWARDS COMMITTEE Invitation to Bid for  Concreting of Street Beside JMT Gas Station at Luhong 1.	The Municipal Government of Antipas, through the Budget Approved by the Sang</t>
  </si>
  <si>
    <t xml:space="preserve"> Item No.		Qty							Unit	Item Description					 1			200							ltrs	Diesel					 2			4							qrt	Oil</t>
  </si>
  <si>
    <t xml:space="preserve"> please click the link below to download bidding documents https://drive.google.com/file/d/1vMnxPAcn9E1QyAPxoY_sD7VpXaGnyz0w/view?usp=drivesdk</t>
  </si>
  <si>
    <t xml:space="preserve"> Please download associated components.</t>
  </si>
  <si>
    <t xml:space="preserve"> please click the link below to download bidding documents https://drive.google.com/file/d/1VKUmtWMXXMOA9j1KrEgxz-GubQz2pwE4/view?usp=drivesdk</t>
  </si>
  <si>
    <t xml:space="preserve"> please click the link below to download bidding documents https://drive.google.com/file/d/1iZbX2k5fS1ld-B-lcapy5KE87u4SJw2g/view?usp=drivesdk</t>
  </si>
  <si>
    <t xml:space="preserve"> ARTICLE AND DESCRIPTION											 															 ITEM	QTY.	UNIT						CEILING 					UNIT PRICE		TOTAL  								PRICE							 															 				Office:  Justice Jose Abad Santos  General Hospital				PR. No.796							 				Charge to:   Other Supplies &amp; Mate</t>
  </si>
  <si>
    <t xml:space="preserve"> Republic of the Philippines BOHOL ISLAND STATE UNIVERSITY Main Campus, Tagbilaran City INVITATION TO BID FOR SUPPLY AND DELIVERY OF PRINTERS AND SCANNER (PR NO. 2020-06-0593, 2020-05-0507, 2020-02-0243, 2020-02-0308, 2020-02-0210, 2020-03-0462, 2020-02-03</t>
  </si>
  <si>
    <t xml:space="preserve"> The Barangay Government of Barangay JANOPOL OCCIDENTAL, Tanauan City, Batangas through the Bids and Awards Committee (BAC) invites Suppliers/Contractors to apply for eligibility and if subsequently found eligible, to bid for the projects described hereund</t>
  </si>
  <si>
    <t xml:space="preserve"> Medical Equipment</t>
  </si>
  <si>
    <t xml:space="preserve"> REGION XII Province of Cotabato Municipality of Midsayap BIDS &amp; AWARDS COMMITTEE Tel. Nos. (064) 229-8018; 229-8650; 229-8450 INVITATION TO BID FOR  2020-074, SUPPLY AND DELIVERY OF 2 UNITS MINI DUMPTRUCK (SURPLUS) AT LGU MIDSAYAP, COTABATO 1. The MUNICIP</t>
  </si>
  <si>
    <t xml:space="preserve"> Bids received in excess of the ABC shall be automatically rejected during the bid opening. The bidders should have completed, within two (2) years from the date of submission and receipt of bids, at least one contract that is similar to the Project. The d</t>
  </si>
  <si>
    <t xml:space="preserve"> Republic of the Philippines													 City of San Carlos													 Negros Occidental													 													 INVITATION TO BID											FOR SALE	 			PURCHASE REQUEST NO: 1-20-07-0913				P 606.00	 Sealed bids for quotation of prices will be recei</t>
  </si>
  <si>
    <t xml:space="preserve"> Item No.		Qty							Unit	Item Description					 1			129							vials	Anti Rabies Vaccine</t>
  </si>
  <si>
    <t xml:space="preserve"> CONSTRUCTION OF 70M FOOTBRIDGE WITH 35M X 2.50M APPROACH-BOTH ENDS &amp; 50M SLOPE PROTECTION-BOTH SIDES</t>
  </si>
  <si>
    <t xml:space="preserve"> 1. 1 LOT - CONSTRUCTION SUPPLIES - 125,880.00 The Complete Schedule of Activities are Listed as Fallows: 1. Submission of Letter of Intent &amp; Eligibility Documents - August 11-14, 2020 @ 8:00am - 5:00pm 2. Issuance of Bid Documents - August 17-21, 2020 @ 8</t>
  </si>
  <si>
    <t xml:space="preserve"> ITEM: 1 set CI Std pavement Manhole Cover 1000mmØ		 PURPOSE: PROP. REHABILITATION OF 600MM ELECTROMAGNETIC FLOW METER MANHOLE COVER @ TAKE OFF POINT LUMBIA,CDOC(W.O.#20-021-D)		 ABC: PHP 71,500.00 DELIVERY SCHEDULE: 10 CALENDAR DAYS</t>
  </si>
  <si>
    <t xml:space="preserve"> Tarpaulin etc.  NOTE:To all suppliers bid documents and BAC Resolution No. 2020-029 are available at BAC Office and LGU website.</t>
  </si>
  <si>
    <t xml:space="preserve"> INVITATION TO BID IB NO. CW 2020 – 131 Construction of Water System at Casiligan, Pola, Oriental Mindoro 1.  The Provincial Government of Oriental Mindoro (PGOM) through the 20% Development Fund 2020  intends to apply the sum of Nine Hundred Ninety Five T</t>
  </si>
  <si>
    <t xml:space="preserve"> 1	Epoetin (alpha) 4,000 IU							500	Prefilled syr	850.00 2	Heparin Sodium Vial 1000 IU/ml, 5 ml							1,500	Vials	139.00 3	Plain NSS 1 L							2,000	Bottles	70.00 										 	Term of Delivery:10-15 Working Days upon Receipt of Purchase Order									 Pro</t>
  </si>
  <si>
    <t xml:space="preserve"> 1,300  booklets  ECCD Checklist x-x-x-x-x</t>
  </si>
  <si>
    <t xml:space="preserve"> Please provide us Bill of Quantities for the Repair of the following project: 1 lot IMPROVEMENT OF ENTRANCE GATE ABC 312,005.57 Please submit the following documents for eligibility. 1 Registration certificate from SEC, Department of Trade and Industry (D</t>
  </si>
  <si>
    <t xml:space="preserve"> Item No.		Qty							Unit	Item Description					 1			10							BAGS	HAMMERED CORN					 2			10							BAGS	GROWER CRUMBLE					 3			60							BAGS	DUCK LAYER PELLETS					 4			10							BAGS	GPP</t>
  </si>
  <si>
    <t xml:space="preserve"> 1	Marine Plywood 4x8x3/4							8	piece	1,600.00 2	Marine Plywood 4x8x1/4							15	piece	700.00 3	Common Nails 4"							10	kilo	80.00 4	Common Nails 3"							10	kilo	80.00 5	Common Nails 2 1/2"							10	kilo	85.00 6	Common Nails 2"							10	kilo	85.00 7	Co</t>
  </si>
  <si>
    <t xml:space="preserve"> Supply and installation of Glass Partition, double sliding door and glass window at SSD Office, CID Office and 2 sliding glass window at facility office. Materials: 1. analok framing on 1 3/4 x 4 tubular with clear glass 2. 2-sets 3 panels sliding windows</t>
  </si>
  <si>
    <t xml:space="preserve"> Republic of the Philippines BOHOL ISLAND STATE UNIVERSITY Main Campus, Tagbilaran City INVITATION TO BID FOR SUPPLY AND DELIVERY OF LAPTOPS (PR NO. 2020-02-0226, 2020-02-0210, 2020-02-0280) 1.	The Bohol Island State University – Main Campus, Tagbilaran Ci</t>
  </si>
  <si>
    <t xml:space="preserve"> 1.	The Municipality of Ubay, through the its bids and Awards Committee (BAC), Invites contractors to submit bids for the following contract: Contract Name: CONSTRUCTION OF BOUNDARY MARKER (LED DISPLAY) Contract Location: Ilihan, Ubay, Bohol (Ubay-Alicia B</t>
  </si>
  <si>
    <t xml:space="preserve"> Republic of the Philippines          City of Dumaguete Bids and Awards Committee INVITATION TO BID FOR PURCHASE REQUEST OF 1 UNIT SEARCH LIGHT WITH TRIPOD AND OTHER ITEMS 	The City of Dumaguete thru its BIDS AND AWARDS COMMITTEE (BAC), invites all interes</t>
  </si>
  <si>
    <t xml:space="preserve"> ITEM: 4 lgth Pipe, BI; S40, 75mmØ x 6m							 4 lgth Pipe, BI; S40, 100mmØ x 6m							 4 lgth Pipe, BI; S40, 125mmØ x 6m							 5 lgth Pipe, BI; S40, 200mmØ x 6m							 2 lgth Pipe, BI; S40, 250mmØ x 6m							 1 sht Steel Plates, 1"thk							 4 shts steel</t>
  </si>
  <si>
    <t xml:space="preserve"> 1	40	pcs	2x3x8 Hardwood				 2	60	pcs	2x2x8 Hardwood				 3	100	pcs	2x3x12 Coco Lumber				 4	40	pcs	Marine Plywood 3/4"				 5	8	kgs	C.W. Nails #4				 6	5	kgs	C.W. Nails #3				 7	3	kgs	Finishing Nails # 2 1/2				 8	3	kgs	Finishing Nails # 2 				 9	2	kgs	Fini</t>
  </si>
  <si>
    <t xml:space="preserve"> REPUBLIC OF THE PHILIPPINES 																																							  Province of Davao del Sur 																																							  MUNICIPALITY OF SANTA CRUZ 																																							  -- oOo -- 																																							 	</t>
  </si>
  <si>
    <t xml:space="preserve"> Laptop  Processor : Intel® Core™ i5-1035G1 10th Gen (1.0GHz up to 3.6GHz / 6MB Cache) Memory : 8GB DDR4 (minimum) Storage : 256GB SSD + 1TB HDD Graphics:  2GB DDR5 Display : 15.6in FHD LED/IPS Display Connectivity : Wireless 802.11 a/b/g/n/ac Battery : 2-</t>
  </si>
  <si>
    <t xml:space="preserve"> 1	70	bags	Portland Cement				 2	30	pcs	16mmØ x 6m. def.bar				 3	30	pcs	12mmØ x 6m. def.bar				 4	40	pcs	10mmØ x 6m. def.bar				 5	6	pcs	Ordinary  Plywood 1/4				 6	6	pcs	Marine Plywood 1/2				 7	100	pcs	2x3x12' Coco Lumber				 8	50	pcs	2x3x10' Coco Lumbe</t>
  </si>
  <si>
    <t xml:space="preserve"> 1	(1) one Unit Motorcycle 150cc							1	unit	130,000.00 Project Name:		for the use at BM Baldado Office Delivery of Communications to different barangays							 Place of Delivery:		Provincial Health Office							 ABC:P130,000.00</t>
  </si>
  <si>
    <t xml:space="preserve"> INVITATION TO BID FOR Procurement of Equipment and CCTV Set for New I.T. Building           The CAMARINES SUR POLYTECHNIC COLLEGES, through the GAA (2020) intends to apply the sum of Two Million One Hundred Twenty Five Thousand One Hundred Seventy Pesos (</t>
  </si>
  <si>
    <t xml:space="preserve"> ITEM: 250 pcs Meter Coupling(Brass Tailpiece) 13mmØ x 75mm (1/2" x 3")							 PURPOSE: MATERIALS FOR REPLACEMENT/CHANGE OF AGED WATER METER		 ABC:  PHP 75,000.00 DELIVERY SCHEDULE: 10 CALENDAR DAYS</t>
  </si>
  <si>
    <t xml:space="preserve"> The Barangay Tiguma, through its Bids and Awards Committee (BAC), invites contractors registered with and classified by the Philippines Contractors Accreditation Board (PCAB) to apply for eligibility and if found eligible, to bid for the hereunder contrac</t>
  </si>
  <si>
    <t xml:space="preserve"> Invitation to Bid for the  Supply &amp; Delivery of IT Equipment and Semi-Expendable Machinery &amp; Equipment 1.	The JH Cerilles State College, through the Trust Fund (164)-2020 invites PhilGEPS registered suppliers to bid for the Supply &amp; Delivery of IT Equipme</t>
  </si>
  <si>
    <t xml:space="preserve"> INVITATION TO BID FOR THE SUPPLY AND DELIVERY OF IT EQUIPMENT (RE-BIDDING) 1. The Metropolitan Tuguegarao Water District through the Corporate Budget for the Year 20201 intends to apply the sum of Two Million Four Hundred Thousand Pesos (P 2,400,000.00) b</t>
  </si>
  <si>
    <t xml:space="preserve"> INVITATION TO BID IB NO. CW 2020 – 132 Improvement of Senior Citizen Hall at Pinagsabangan I, Naujan, Or. Mindoro and  Construction of Water System at Pinagsabangan I, Naujan, Oriental Mindoro 1.  The Provincial Government of Oriental Mindoro (PGOM) throu</t>
  </si>
  <si>
    <t xml:space="preserve"> Republic of the Philippines BOHOL ISLAND STATE UNIVERSITY Main Campus, Tagbilaran City INVITATION TO BID FOR SUPPLY AND DELIVERY OF DESKTOP COMPUTERS (PR NO. 2020-01-0054, 2020-02-0308, 2020-02-0204, 2020-06-0563) 1.	The Bohol Island State University – Ma</t>
  </si>
  <si>
    <t xml:space="preserve"> 1	Wire 3.5mm sq. thw cu., stranded (black), 150m/box 2	Acrylic Primer 3	Aluminum Glass Door 2.55m x 1.0m, with complete accessories 4	Angle Bracket Steel 1/4' unthreaded Hole Standard 5	Blind Rivets 6	Bowl and Tank Lever Type w/ fittings 7	CHB #4 8	Circui</t>
  </si>
  <si>
    <t xml:space="preserve"> 1	Oil for Diesel SAE 15 W-40							160	liters	196.50 2	Oil Synthetic 5W 40							184	liters	484.50 3	Oil For Unleaded SAE 20 w-50							180	liters	204.90 4	ATF							160	liters	199.50 5	Automotive Gear oil SAE 90							160	liters	163.80 6	Automotive Gear </t>
  </si>
  <si>
    <t xml:space="preserve"> Republic of the Philippines Province of Palawan Municipality of Balabac BIDS AND AWARDS COMMITTEE INVITATION TO BID(Rebid) 1.The Municipal Government  of Balabac, through MOOE 2020 intends to apply the sum of One Million Two Hundred Thousand Pesos Only on</t>
  </si>
  <si>
    <t xml:space="preserve"> Card etc. NOTE:To all suppliers bid documents and BAC Resolution No. 2020-029 are available at BAC Office and LGU website.</t>
  </si>
  <si>
    <t xml:space="preserve"> coverall suits (non-sterile, protective, medical grade, free size) = 35 pcs head cover disposable = 1 pack shoe cover disposable = 1 pack nitrile gloves disposable = 1 pack surgical face mask = 1 box</t>
  </si>
  <si>
    <t xml:space="preserve"> Form No. 	IFD-SP-PROC002-001			 			BOHOL ISLAND STATE UNIVERSITY	Revision: 	00			 			Main Campus	Effectivity Date:	June 17, 2019			 			  C.P.G. North Avenue, Tagbilaran City, Bohol	Related Process:	BISU-SP-PROC-002			 				REQUEST FOR QUOTATION				 							</t>
  </si>
  <si>
    <t xml:space="preserve"> 1	Adding Machine Tape							10	rolls 	40.00 2	Ballpen, Blue(100),black(100),red(50), metal tip, good kind							250	pcs.	15.00 3	Batteries AA black, Alkaline, Energizer, 2's per pack							30	pack	200.00 4	Batteries AAA, alkaline,Energizer, 2's per pack		</t>
  </si>
  <si>
    <t xml:space="preserve"> Item No.		Qty							Unit	Item Description					 1			3							unit	"Digital Duplicator Model: DP-G325 (BOOKPLATEN) with Built-in Interface Kit   -300x600 dpi print/scan resolution   -Flat bed scanning method   -1,300 paper capacity   -130 copies per minute  </t>
  </si>
  <si>
    <t xml:space="preserve"> 1. LUMP SUM-CONSTRUCTION/FABRICATION OF SEAWEEDS DRYER PURPOSE: CONSTRUCTION/FABRICATION OF PERMANENT SEAWEEDS DRYER TECHNOLOGY AT POBLACION, JOSE DALMAN, ZAMBOANGA DEL NORTE. The complete schedule of activities is listed, as follows:							 							 		Act</t>
  </si>
  <si>
    <t xml:space="preserve"> Please see attached Request for Quotation. ---------------------PGSO--------------------</t>
  </si>
  <si>
    <t xml:space="preserve"> Item No.	Qty	DESCRIPTION				Unit of Measurement 						 1	7	Office Curtain 				Pcs 2	2	Door Mat				Pcs 3	1	Mop				Pc. 4	1	Spoon and Fork				Set/Dozen 5	2	Pail				Pcs 6	1	Broom				Pc.</t>
  </si>
  <si>
    <t xml:space="preserve"> General Cleaning of Nine (9) Unit Computer Desktop</t>
  </si>
  <si>
    <t xml:space="preserve"> Split Type Aircon (inverter) Capacity – 1.0 hp FP-53AST010KEIV-W5		1	unit Split Type Aircon (Inverter) Capacity – 2.0 hp FP-53AST020KEIV-W5		4	units</t>
  </si>
  <si>
    <t xml:space="preserve"> Form No. 	IFD-SP-PROC002-001 			BOHOL ISLAND STATE UNIVERSITY	Revision: 	00 			Main Campus	Effectivity Date:	June 17, 2019 			  C.P.G. North Avenue, Tagbilaran City, Bohol	Related Process:	BISU-SP-PROC-002 				REQUEST FOR QUOTATION	 					 The Bohol Island</t>
  </si>
  <si>
    <t xml:space="preserve"> Republic of the Philippines Province of Oriental Mindoro MUNICIPALITY OF GLORIA BARANGAY TAMBONG INVITATION TO BID ITB NO. 2020-001 Supply and Delivery of Materials for the Construction of Drainage Canal 1.	The Barangay Tambong, through the 20% Barangay D</t>
  </si>
  <si>
    <t xml:space="preserve"> Generator set, diesel, brand new equipped with sound attenuated enclosure and automatic transfer switch (ATS) with over voltage and under voltage (OVUV) protection Specifications: &gt; Engine: 	 	  Engine Data Sheet: Diesel Engine, 4 steps air to air cooling</t>
  </si>
  <si>
    <t xml:space="preserve"> 8262	cu.m	Filling Materials		 		(includes pushing, compacting and leveling)</t>
  </si>
  <si>
    <t xml:space="preserve"> Nine (9) units of Colored Printer with three (3) sets of Toner per printer Minimum Specifications: 1	Functions	Print, Copy, Scan, Fax, Email 2	Multitasking Supported	Yes 3	Print Speed Black	Normal: Up to 27 ppm 4	First Page Out Black (A4, Ready	As fast as</t>
  </si>
  <si>
    <t xml:space="preserve"> Republic of the Philippines LOCAL GOVERNMENT UNIT OF GINGOOG BIDS AND AWARDS COMMITTEE Gingoog City 	INVITATION TO BID	 PURCHASE OF REPAIR AND MAINTENANCE MATERIALS FOR SCHOOL AND OTHER LEARNING CENTERS FOR THE IMPLEMENTATION OF BRIGADA SKWELA ON MAY 2020</t>
  </si>
  <si>
    <t xml:space="preserve"> Republic of the Philippines Province of zamboanga Sibugay Municipality of Olutanga 7014 AUGUST 3, 2020 NOTICE TO THE PUBLIC INVITIATION TO APPLY FOR ELIGIBILITY AND TO BID All interested bidders are invited to Pre-qualify and participate in sealed bidding</t>
  </si>
  <si>
    <t xml:space="preserve"> Item No.		Qty							Unit	Item Description					 1			1							unit	"Water Dispenser Specifications: - Free Standing Water Dispenser - 3 Type Faucet - Black Color - Storage/Cabinet"					 2			1							unit	"Gas Range Specifications: - 3 Gas Burner - Gas Oven - </t>
  </si>
  <si>
    <t xml:space="preserve"> 2 Units 15.6 in FHD Intel Core i7-10510U/4gb/256gb SSD + 1TB/2gb GFMX230/Win10</t>
  </si>
  <si>
    <t xml:space="preserve"> The municipality of San Clemente, Tarlac reserves the right to accept or reject any bid, to annul the  bidding  process, and to reject all bids at any time prior to contract award, without thereby incurring any liability to  the affected bidder or bidders</t>
  </si>
  <si>
    <t xml:space="preserve"> Qty	Unit	NAME OF MATERIALS	Unit Price		  2.00 	pc	Steel Matting, 4ft x 8ft x 3mm w/ 2'' x 2'' wire mesh opening			  30.00 	pcs	Plastic Pots for Plants, customised size			  30.00 	each	Ornamental Plants			  2.00 	length	G.I Pipe, Schedule 40, 1 1/2"			  2.</t>
  </si>
  <si>
    <t xml:space="preserve"> The DPWH-Ilocos Norte Second District Engineering Office, through its Bids and Awards Committee (BAC), invites contractors to submit bids for the Contract: Procurement ID/Contract ID: 20AB0123 Contract Name/Location: CONSTRUCTION OF ONE (1) STOREY - FOUR </t>
  </si>
  <si>
    <t xml:space="preserve"> CLARK DEVELOPMENT CORPORATION CLARK FREEPORT ZONE INVITATION TO BID The Clark Development Corporation, through its Bids and Awards Committee (BAC), invites Audio-Visual Equipment Suppliers to bid for the hereunder project: Name of Project:Supply and Insta</t>
  </si>
  <si>
    <t xml:space="preserve"> 1. The Local Government Unit of Baleno, Masbate, through the 2019 LGSFSALINTUBIG intends to apply the sum of Fourteen Million Nine Hundred Forty-three Thousand One Hundred Twenty-seven Pesos &amp; 68/100 (P14,943,127.68) being the Approved Budget for the Cont</t>
  </si>
  <si>
    <t xml:space="preserve"> ITEM: 5 lgth Deformed Round Bars 16mmØ(5/8"Ø)							 10 lgth Deformed Round Bars 10mmØ(3/8"Ø)							 5 lgth Plain Round Bars, 16mmØ(5/8"Ø)							 10 lgth Plain Round Bars, 10mmØ(3/8"Ø)							 300 kgs Welding Rod #6012							 6 kgs Welding Rod all purpose	</t>
  </si>
  <si>
    <t xml:space="preserve"> Republic of the Philippines Province of Nueva Vizcaya Municipality of Ambaguio -000- Invitation to Bid FOR THE SUPPLY OF CONSTRUCTION MATERIALS The Municipal Government of Ambaguio, through the Budget for Contract Approved by the Sanggunian intends to app</t>
  </si>
  <si>
    <t xml:space="preserve"> Republic of the Philippines Municipality of Tabuelan Invitation to Bid  The Philippine Government Electronic Procurement System Office – Procurement Service invites PhilGEPS registered suppliers to bid for the hereunder items Attached: Bidding will be con</t>
  </si>
  <si>
    <t xml:space="preserve"> Procurement of construction supplies and materials for the training cum production project at Tinoc, Ifugao under the Training for Work Scholarship Program.</t>
  </si>
  <si>
    <t xml:space="preserve"> LGU - Padre Burgos, Southern Leyte Invitation to Bid for Continuation of MDRRM Bldg. Brgy. Poblacion, Padre Burgos, Southern Leyte 1.	The LGU – Padre Burgos, Southern Leyte, through the  5% CALAMITY FUND 2020   intends to apply the sum of Two Million One </t>
  </si>
  <si>
    <t xml:space="preserve"> Qty	Unit of Issue	Item Description 3	UNIT 	Electric plainer-Heavy duty, GHO 6500, 65 w, Motor, Fast Planning Speed, Max 2.6mm cutting                       depth adjustment, 9mm rebating, 16, 500 rpm no load speed, Lx158mmx 140 mm) MAKITA Brand 3	Unit	   </t>
  </si>
  <si>
    <t xml:space="preserve"> OFFICE SUPPLIES FOR THE 1st and 2nd Quarter of 2020</t>
  </si>
  <si>
    <t xml:space="preserve"> ITEM: 6 lgths Wide Flange, W6x15							 8 lgths Square Bar, 12mm							 2 lgths Flat Bar 50mm x 6.00 x 6.35 thk							 PURPOSE: FOR PROP. 150MMØ PIPE REALIGNMENT @ VALENZUELA BRIDGE, AGORA, LAPASAN, CDOC(W.O.#19-027-F)												 ABC: PHP 58,562.00 DELIV</t>
  </si>
  <si>
    <t xml:space="preserve"> Rehabilitation, Repair, Renovation and Repainting of Cembo Talipapa located at Narra St. Brgy. Cembo, Makati City - Order of payment for Bid Docs will be available at GSD-Head Office @ 10th Floor Makati City Hall Bldg. 2.  Look for Mr. Reden Villanueva. -</t>
  </si>
  <si>
    <t xml:space="preserve"> Construction of Ramp and Other PWD Requirements (Various Public Schools and Public Buildings), located at Makati City - Order of payment for Bid Docs will be available at GSD-Head Office @ 10th Floor Makati City Hall Bldg. 2.  Look for Mr. Reden Villanuev</t>
  </si>
  <si>
    <t xml:space="preserve"> Construction of Comfort Room, Riprapping and Construction of Perimeter Fence at Public Market New Public Market, Capalonga,  Camarines Norte</t>
  </si>
  <si>
    <t xml:space="preserve"> Item No.		Qty							Unit	Item Description					 1			1							unit	"Refrigerator Specifications: - 8.3 Cubic Ft. - Manual Defrost - Single Door"					 2			1							unit	"Gas Range Specifications: - 3 Gas Burner - Gas Oven - Matte Black"					 3			1							unit	"</t>
  </si>
  <si>
    <t xml:space="preserve"> Provides recreational activities for the youth of Barangay Pinagkaisahan that could enhance their mental capabilities and camaraderie of youth participants through online games as well as to provide support and assistance to the youth by giving them essen</t>
  </si>
  <si>
    <t xml:space="preserve"> Republic of the Philippines PROVINCE OF SIQUIJOR Capitol, Bldg., Pulangyuta, Siquijor, Siquijor INVITATION TO BID FOR Supply and Delivery of Instructional Tools and Equipment for Technical Vocational Livelihood (TVL) Course, for Science Laboratory and for</t>
  </si>
  <si>
    <t xml:space="preserve"> The Municipal Government of San Mariano, Isabela intends to apply the sum of Seven Hundred Ninety One Thousand Eight Hundred Ninety Nine Pesos &amp; Fifty-One Centavos (Php791,899.51) being the Approved Budget for the Contract (ABC) chargeable against CY 2020</t>
  </si>
  <si>
    <t xml:space="preserve"> Department of Public Works and Highways (DPWH) Contract ID: 20G00115 Contract Name: Construction of River Bank Protection Works along Kalibo River, Kalibo Bridge III, Mina, Lezo Section, Aklan Location of the Contract: Lezo, Aklan ------------------------</t>
  </si>
  <si>
    <t xml:space="preserve"> INVITATION TO BID							 FOR THE							 Construction of Lateral Road  							 (Zone 3, Tagbong, Pili, Camarines Sur)							 							 The Local Government Unit of Pili, through the 20% Economic Development Fund (EDF)(2020)  intends    to   apply    the   su</t>
  </si>
  <si>
    <t xml:space="preserve"> Republic of the Philippines Province of Bukidnon Municipality of Damulog OFFICE OF THE BIDS AND AWARD COMMITTEE Invitation to Bid for the Supply and Delivery of One (1) Unit of RISO Machine The Local Government Unit of Damulog, through the SEF South Distr</t>
  </si>
  <si>
    <t xml:space="preserve"> Renovation and Improvement of Pitogo Community Complex located at Cebu St. Cor. Luzon St., Brgy. Pitogo, Makati City - Order of payment for Bid Docs will be available at GSD-Head Office @ 10th Floor Makati City Hall Bldg. 2.  Look for Mr. Reden Villanueva</t>
  </si>
  <si>
    <t xml:space="preserve"> Item No.	Qty	DESCRIPTION				Unit of Measurement 						 1	1	Folding Bed, Good Quality				Pc. 2	1	Electric Fan (Stand Fan)				Pc.</t>
  </si>
  <si>
    <t xml:space="preserve"> Provincial Health Office Agusan del Norte</t>
  </si>
  <si>
    <t xml:space="preserve"> Section I. Invitation to Bid Notes on the Invitation to Bid The Invitation to Bid provides information that enables potential Bidders to decide whether to participate in the procurement at hand.  The Invitation to Bid shall be: (a)	Posted continuously in </t>
  </si>
  <si>
    <t xml:space="preserve"> Proposed Rehabilitation and Upgrading of Existing Streetlighting along H. Santos Street located at Barangay Tejeros, Makati City - Order of payment for Bid Docs will be available at GSD-Head Office @ 10th Floor Makati City Hall Bldg. 2.  Look for Mr. Rede</t>
  </si>
  <si>
    <t xml:space="preserve"> INVITATION TO BID Bid No. B-115-2020  1.	The Provincial Government of Negros Oriental through Responsibility Center: 4919-01(19) / Account Code: 1070-6010, intends to apply the sum of Four Million Five Hundred Thousand Pesos (Php 4,500,000.00) to payment </t>
  </si>
  <si>
    <t xml:space="preserve"> 1.	The Barangay Local Government Unit of Masagaosao, through the Barangay Annual Budget 2020 intends to apply the sum of Two Hundred Eight Thousand Pesos and 1/100 only (P208,000.01) being the Approved Budget for the Contract (ABC) to payments under the c</t>
  </si>
  <si>
    <t xml:space="preserve"> List of supplies used to reproduce learning materials</t>
  </si>
  <si>
    <t xml:space="preserve"> Republic of the Philippines DEPARTMENT OF PUBLIC WORKS AND HIGHWAYS Nueva Vizcaya   District Engineering Office OFFICE OF THE DISTRICT ENGINEER Bayombong, Nueva Vizcaya INVITATION TO BID Contract ID: 20GBI018  Procurement of 10 drums Emulsified Asphalt, e</t>
  </si>
  <si>
    <t xml:space="preserve"> Proposed Improvement of STP at Makati Homes-I located at H. Santos Street, Barangay Tejeros, Makati City - Order of payment for Bid Docs will be available at GSD-Head Office @ 10th Floor Makati City Hall Bldg. 2.  Look for Mr. Reden Villanueva. - A  compl</t>
  </si>
  <si>
    <t xml:space="preserve"> NOTICE TO BIDDERS The Department of Public Works and Highways (DPWH), through the Bids and Awards Committee (BAC) of the DPWH - Dinagat Islands District Engineering Office, San Jose, Dinagat Islands hereby notifies the following suppliers / bidders classi</t>
  </si>
  <si>
    <t xml:space="preserve"> The Barangay Mapurao, Allacapan,CAgayan through its Bids and Awards Committee (BAC), invites suppliers/distributors/contractors to apply for eligibility and to bid for the hereunder project: Name of Contract : Construction of Multi Purpose DryingPavement </t>
  </si>
  <si>
    <t xml:space="preserve"> Department of Public Works and Highways (DPWH) Contract ID: 20G00114 Contract Name: Construction of River bank protection works along Kalibo River, Kalibo Bridge III, Tigayon, Kalibo Section, Aklan Location of the Contract: Tigayon, Kalibo, Aklan --------</t>
  </si>
  <si>
    <t xml:space="preserve"> Item No.		Qty							Unit	Item Description					 1			90							bags	Portland Cement					 2			26							lengths	8mm X 6m STD DRB Grade 33					 3			3							kgs	No. 16 F.I Tie Wire					 4			56							set	Movable Lavatory					 5			6							roll	3/4" SDR-11 PE Hose </t>
  </si>
  <si>
    <t xml:space="preserve"> REQUEST FOR QUOTATION											 											 RFQ No.		SVP 20-0917				Date				8/3/2020	 PR Reference		100-20-07-061				Implementing Office				CPDO	 Closing Date and Time											 Designated Places of Submission (Bid Box Designated Locations)						1. BAC </t>
  </si>
  <si>
    <t xml:space="preserve"> Airconditioner General Cleaning &amp; Repair</t>
  </si>
  <si>
    <t xml:space="preserve"> Proposed Rehabilitation and Upgrading of Existing Streetlighting along Antipolo Street (Phase 1 and 2) located at Barangay Poblacion/Valenzuela, Makati City - Order of payment for Bid Docs will be available at GSD-Head Office @ 10th Floor Makati City Hall</t>
  </si>
  <si>
    <t xml:space="preserve"> 1.	The Municipality of Esperanza, intends to apply the sum of Two Hundred Sixty Six Thousand Seven Hundred Fifty Pesos (Php266,750.00) being the Approved Budget for the Contract (ABC) to payments under the contract for Supply and Delivery of  Construction</t>
  </si>
  <si>
    <t xml:space="preserve"> INVITATION TO BID CONSTRUCTION OF MATERIAL RECOVERY FACILITY (MRF) FOR BARANGAY HUBANG, BARANGAY PISAAN AND BARANGAY 3, SFADS The Municipal Government of San Francisco, Agusan del Sur, through the BIDS and AWARDS COMMITTEE (BAC) intends to apply the sum o</t>
  </si>
  <si>
    <t xml:space="preserve"> ITEM:  1 unit ESFF DESKTOP PURPOSE: FOR REPLACEMENT-INTENDED FOR C. REQUINO-TELLER. PWMRS NO.3-002-2020-CASE B.	 ABC: PHP 65,000.00 DELIVERY SCHEDULE: 10 CALENDAR DAYS</t>
  </si>
  <si>
    <t xml:space="preserve"> Item No. 1 1338 bags Complete Fertilizer 14-14-14 at 50 kgs. 1338 bags Urea Fertilizer 46-0-0 at 50 kgs. Terms and Conditions: 1.	With FPA License. 2.	15 days delivery period. 3.	Delivered at Municipal Hall, Solsona, Ilocos Norte. 4.	Hauling and unloading</t>
  </si>
  <si>
    <t xml:space="preserve"> Republic of the Philippines Province of Bukidnon Municipality of Damulog OFFICE OF THE BIDS AND AWARD COMMITTEE Invitation to Bid for the Supply and Delivery of One (1) Unit of RISO Machine The Local Government Unit of Damulog, through the SEF North Distr</t>
  </si>
  <si>
    <t xml:space="preserve"> Republic of the Philippines Department of Public Works and Highways Nueva Vizcaya 1ST District Engineering Office Bayombong, Nueva Vizcaya August 3, 2020 NOTICE OF ALTERNATIVE METHODS OF PROCUREMENT (Small Value Procurement-RFQ) Notice is hereby given tha</t>
  </si>
  <si>
    <t xml:space="preserve"> Republic of the Philippines Province of Albay Municipality of Rapu-Rapu Barangay Manila INVITATION TO BID FOR THE IMPROVEMENT OF WATER SYSTEM 1.	The Barangay Local Government Unit of Manila, Rapu-Rapu, Albay, through the Budget of the contract approved by</t>
  </si>
  <si>
    <t xml:space="preserve"> In view of the two (2) failed public biddings, the Municipality of Tanza, Cavite, through its Bids and Awards Committee (BAC) invites interested bidders to participate in the negotiation for the project stated below: 	Name of Project	: SUPPLY AND DELIVERY</t>
  </si>
  <si>
    <t xml:space="preserve"> MUNICIPAL HEALTH OFFICE – 1 unit laptop 3sf314-41G-R9QL (silver)14 IPS Ryzen 5 3500U/4GB/1TB/2 GB Radeon Win10 MSWDO 1. 1 set COMPUTER with desktop Intel Core TM i3 2. 1 unit PRINTER INK TANK PRINTER Print speeds up to 10ipm for black and 5.0ipm Mun. Agri</t>
  </si>
  <si>
    <t xml:space="preserve"> INVITATION TO BID The Municipal Government of Gumaca, through its Bids and Awards Committee (BAC), invites suppliers/ manufacturers/ distributors/ contractors, to bid for the hereunder contract: Name of Contract		:	CONCRETING OF BARANGAY ROAD Location			:</t>
  </si>
  <si>
    <t xml:space="preserve"> Toner for Photocopier</t>
  </si>
  <si>
    <t xml:space="preserve"> Procurement of office supplies, materials and equipments for the operation of SK office that will help the SK Officials to perform their duties effectively.</t>
  </si>
  <si>
    <t xml:space="preserve"> Republic of the Philippines              BATANGAS STATE UNIVERSITY                                  Batangas City               Tel. Nos. (043) 980-0385 loc 1549             REQUEST FOR QUOTATION Printing of graduation picture set for June 2020 graduating</t>
  </si>
  <si>
    <t xml:space="preserve"> Bantay Bayan - Tactical Pants (2x24), Polo Shirt w/ print (5x24), Shoes Taglinis - Polo Shirt w/ print (5x19), Jogging Pants (3x19), Rubber Shoes Disaster - Tactical Pants (2x10), Polo Shirt w/ print (5x10), Tactical Shoes, Tactical Belt Coordinator - Pol</t>
  </si>
  <si>
    <t xml:space="preserve"> 1. standard filing steel cabinet        - 4 layer        - centralized key        - plain white        - H-52" x W 18.5" x D 28"        - with delivery 2. standard lateral filing cabinet        - 4 layer        - centralized key        - plain white      </t>
  </si>
  <si>
    <t xml:space="preserve"> Item No.		Qty							Unit	Item Description					 1			34							bags	Portland Cement					 2			10							rolls	No. 10 X 6' Cyclone Wire					 3			66							pcs	0.30m X 0.30m Unglazed Tiles					 4			6							kgs	White Cement					 5			7							length	Tile Trimmer				</t>
  </si>
  <si>
    <t xml:space="preserve"> 1 lot furniture and fixtures</t>
  </si>
  <si>
    <t xml:space="preserve"> The Barangay San Juan, Allacapan,CAgayan through its Bids and Awards Committee (BAC), invites suppliers/distributors/contractors to apply for eligibility and to bid for the hereunder project: Name of Contract : Concreting of Barangay Road Location : San j</t>
  </si>
  <si>
    <t xml:space="preserve"> Vegetable Seeds</t>
  </si>
  <si>
    <t xml:space="preserve"> Proposed Construction of Police Headquarters, Mapsa Headquarters &amp; Cental Fire Station, located at Malugay Street, Brgy. San Antonio, Makati City - Order of payment for Bid Docs will be available at GSD-Head Office @ 10th Floor Makati City Hall Bldg. 2.  </t>
  </si>
  <si>
    <t xml:space="preserve"> INVITATION TO BID CONSTRUCTION OF MATERIAL RECOVERY FACILITY (MRF) FOR BARANGAY 1, BARANGAY 2, BARANGAY 4 &amp; BARANGAY 5, SFADS The Municipal Government of San Francisco, Agusan del Sur, through the BIDS and AWARDS COMMITTEE (BAC) intends to apply the sum o</t>
  </si>
  <si>
    <t xml:space="preserve"> Demoliton of existing dilapidated stage and condtruction of new Brgy. stage</t>
  </si>
  <si>
    <t xml:space="preserve"> Invitation to Bid The Department of Education, Schools Division Office, Northern Samar, Catarman, through 2020 General Appropriation Act intends to apply the sum of:  	One Hundred Thousand Two Hundred Eighty Pesos Only (Php 100,280.00) being the Approved </t>
  </si>
  <si>
    <t xml:space="preserve"> INVITATION TO BID							 FOR THE							 Concreting of Binanuaanan Road							 (Binanuaanan, Pili, Camarines Sur)							 							 The Local Government Unit of Pili, through the 20% Economic Development Fund (EDF)(2020)  intends    to   apply    the   sum   </t>
  </si>
  <si>
    <t xml:space="preserve"> ITEM: 35 m³ Washed Sand 							 15 m³ Crushed Gravel 3/4"							 4 m³ Crushed Gravel G1							 32 m³ Filling Materials							 (for staggered delivery)							 PURPOSE: VARIOUS WORK ORDER(W.O.#20-038-A)(W.O.#20-025-D) (W.O.#20-027-D)(W.O.#20-036-D)		 ABC: P</t>
  </si>
  <si>
    <t xml:space="preserve"> PAG-ASA NATIONAL HIGH SCHOOL, PAG-ASA, B ANSUD ORIENTAL MINDORO DRAINAGE CANAL ( BOX TYPE) 300l.M. WITH CONCRETE COVER AND STEEL COVER MANHOLE COVERED PATHWALK 2m X 76m with Pavement</t>
  </si>
  <si>
    <t xml:space="preserve"> INVITATION TO BID CONSTRUCTION OF MATERIAL RECOVERY FACILITY (MRF) FOR BARANGAY ALEGRIA, BARANGAY KARAOS AND BARANGAY SAN ISIDRO, SFADS The Municipal Government of San Francisco, Agusan del Sur, through the BIDS and AWARDS COMMITTEE (BAC) intends to apply</t>
  </si>
  <si>
    <t xml:space="preserve"> LGU - Padre Burgos, Southern Leyte INVITATION TO BID FOR  Procurement of Multi-Functional Ambulance (Ambulance, Rescue, Transport and Towing Vehicle) with complete Ambulance equipment, medicines and supplies Padre Burgos, Southern Leyte 1.	The LGU Padre B</t>
  </si>
  <si>
    <t xml:space="preserve"> Republic of the Philippines Province of Davao De Oro MUNICIPALITY OF COMPOSTELA BIDS AND AWARDS COMMITTEE CP#: 0998-571-7569 INVITATION TO BID FOR  Construction of Municipal Isolation Unit - SB # 03 CY 2020 (Procurement of Hardware Materials) - MEO ITB NO</t>
  </si>
  <si>
    <t xml:space="preserve"> Section I. Invitation to Bid Republic of the Philippines Province of Zambales MUNICIPALITY OF SAN FELIPE Invitation to Bid for the Concreting of Various Streets (Phase V) ITB NO: SFZ-INFRA 2020-007 1.	The Municipality of San Felipe, Zambales, through the </t>
  </si>
  <si>
    <t xml:space="preserve"> Item No.		Qty							Unit	Item Description					 1			102							bags	Portland Cement					 2			135							length	10mm X 6m DRB STD Gr,33					 3			16							length	8mm X 6m DRB STD Gr.33					 4			20							kgs	No. 16 G.I Tie Wire					 5			1							set	3/4 hp Elect</t>
  </si>
  <si>
    <t xml:space="preserve"> REPUBLIC OF THE PHILIPPINES PROVINCE OF EASTERN SAMAR CITY OF BORONGAN BARANGAY A BIDS AND AWARD COMMITTEE Invitation to Bid for Construction of Toilet (Male/ Female) 1. The LGU- Barangay A, Borongan City, Eastern Samar, through the Appropriation Ordinanc</t>
  </si>
  <si>
    <t xml:space="preserve"> NOTICE TO BIDDERS 	The Department of Public Works and Highways (DPWH), Dinagat Islands District Engineering Office, will procure through SHOPPING METHOD from accredited &amp; eligible suppliers /manufacturers/ distributors/contractors the procurement for the </t>
  </si>
  <si>
    <t xml:space="preserve"> &lt; Name and Location of Contracts&gt;						Bill of Quantities	 Item No.		Description		Unit	Quantity	Unit Price	Amount in I 	General Requirements						 II	Reinforced Concrete Works						 III	Masonry Works						 IV	Electrical Works						 V	Plumbing Works						 </t>
  </si>
  <si>
    <t xml:space="preserve"> Republic of the Philippines Province of Agusan del Norte BIDS AND AWARDS COMMITTEE Capitol, Butuan City INVITATION TO BID (NEGOTIATED PROCUREMENT) RENEGOTIATED PROCUREMENT OF PORTABLE ANTHROPOMETRIC TOOL OF PROVINCIAL SOCIAL WELFARE AND DEVELOPMENT OFFICE</t>
  </si>
  <si>
    <t xml:space="preserve"> To our Suppliers, Request for Quotation forms are available at BAC Secretariat.</t>
  </si>
  <si>
    <t xml:space="preserve"> Item No. 	Item Description					QTY.	Unit	Unit Price	Total Price 1	Cartridge					200	pcs		 	(Toner for the RISO)								 									 2	US Bond Paper (A4)					2,574	reams</t>
  </si>
  <si>
    <t xml:space="preserve"> 2	UNIT	Takuyaki Machine 18	Unit	Gas Stove (2 Burners) 18	Unit	LPG (11 kgs. Net wt.) 18	Unit	Regulator 31	Unit	Hose 60	pcs.	Food Tray with Glass Cover (rectangle type) 6	pcs.	Bowl(Ingredient mixer) 6	doz.	Serving plate (Oblong Shape) 7	pcs.	Food Tong 48	pc</t>
  </si>
  <si>
    <t xml:space="preserve"> Brake Drum etc.  NOTE:To all suppliers bid documents and BAC Resolution 2020-029 are available at BAC Office and LGU website.</t>
  </si>
  <si>
    <t xml:space="preserve"> INVITATION TO BID CONSTRUCTION OF MATERIAL RECOVERY FACILITY (MRF) FOR BARANGAY BAYUGAN 2, BARANGAY LAPINIGAN AND BARANGAY PASTA, SFADS The Municipal Government of San Francisco, Agusan del Sur, through the BIDS and AWARDS COMMITTEE (BAC) intends to apply</t>
  </si>
  <si>
    <t xml:space="preserve"> well-milled rice 50 kgs/sack</t>
  </si>
  <si>
    <t xml:space="preserve"> Item No. 	Item Description					QTY.	Unit	Unit Price	Total Price 1	Digital Duplicator / RISO					8	units		 	Maximum Scanning Area : 297 mm x 432 mm								 	Maximum Printer Area								 	251 mm x 357 mm								 	Paper Feed Tray Stacking Capacity								 	 </t>
  </si>
  <si>
    <t xml:space="preserve"> Republika ng Pilipinas PAMAHALAANG LUNGSOD NG TACLOBAN (City Government of Tacloban) Kanhuraw Hill, Tacloban City 6500 BIDS AND AWARDS COMMITTEE INVITATION TO BID  REF #050-08-2020 (AUGUST 04, 2020) PR# 2020-901 DATED 07-24-2020 7150902 The Procuring Enti</t>
  </si>
  <si>
    <t xml:space="preserve"> 1 lot ICT Equipment</t>
  </si>
  <si>
    <t xml:space="preserve"> brgy supplemental budget no  1 2019 opening of bids    August 11, 2020 at 4pm</t>
  </si>
  <si>
    <t xml:space="preserve"> Please see attach quotation.</t>
  </si>
  <si>
    <t xml:space="preserve"> 40	Piece	2 Gang - 3 prong - universal outlet with plate, ABC 200.00/pc 40	Piece	Switch Box, ABC 100.00/pc 40	Piece	Utility Box -Plastic, ABC 50.00/pc 10	Piece	Electrical Tape -Vinyl, ABC 50.00/pc 30	Piece	LED Bulb -11 Watts, ABC 300.00/pc 10	Piece	40W Hig</t>
  </si>
  <si>
    <t xml:space="preserve"> Proposed Perimeter Fence along Residential Area at Makati Homes-I, located at H. Santos Street, Brgy. Tejeros, Makati City - Order of payment for Bid Docs will be available at GSD-Head Office @ 10th Floor Makati City Hall Bldg. 2.  Look for Mr. Reden Vill</t>
  </si>
  <si>
    <t xml:space="preserve"> Supply and delivery of Water Tanks and other waterworks materials.</t>
  </si>
  <si>
    <t xml:space="preserve"> 1.	The Municipality of Tayug, Pangasinan through the Bids and Awards Committee intends to apply the sum of Five Million Pesos (Php5,000,000.00) being the Approved Budget for the Contract (ABC) to payments under the contract for Installation/Rehabilitation</t>
  </si>
  <si>
    <t xml:space="preserve"> MODIFIED STANDARD HEALTHY FACILITY TENT</t>
  </si>
  <si>
    <t xml:space="preserve"> INVITATION TO BID							 FOR THE							 Concreting of Access Road							 (Sitio Aromayan, Binanuaanan, Pili, Camarines Sur)							 							 The Local Government Unit of Pili, through the 20% Economic Development Fund (EDF)(Continuing Appropriation 2019)  i</t>
  </si>
  <si>
    <t xml:space="preserve"> Malu National High School Construction of 2 classrooms School Building 7m x 18m without ceiling and painting</t>
  </si>
  <si>
    <t xml:space="preserve"> see attachments</t>
  </si>
  <si>
    <t xml:space="preserve"> Item No.	Qty	DESCRIPTION				Unit of Measurement 						 1	3	A4 Bond Paper (Sub. 20)				Reams 2	7	Short Bond Paper (Sub.20)				Reams 3	10	Long Bond Paper (Sub. 20)				Reams 4	3	Stapler Wire #35				Boxes 5	2	Stapler Big				Pcs. 6	5	Long Folder (Yellow)				Pc</t>
  </si>
  <si>
    <t xml:space="preserve"> INVITATION TO BID    The Department of Public Works and Highways Negros Occidental 2nd District Engineering Office ,through its       Bids and Awards Committee (BAC) for Goods, invites suppliers to submit bids for the following Contract: 1)	Contract ID   </t>
  </si>
  <si>
    <t xml:space="preserve"> INVITATION TO BID    The Department of Public Works and Highways Negros Occidental 2nd District Engineering Office ,through its       Bids and Awards Committee (BAC) for Goods, invites suppliers to submit bids for the following Contract: 	Contract ID     </t>
  </si>
  <si>
    <t xml:space="preserve"> Polyethylene Hose etc  NOTE: To all suppliers bid documents and BAC Resolution 2020-029 are available at BAC Office and at our LGU website.</t>
  </si>
  <si>
    <t xml:space="preserve"> City Government of Manila INVITATION TO BID NO. 2020-07-117 Procurement of Various Laboratory Reagents for 2020 1.	The City Government of Manila, through the Medical, Dental Laboratory Supplies Expenses intends to apply the sum of Fifty One Million Sixtee</t>
  </si>
  <si>
    <t xml:space="preserve"> INVITATION TO BID  Purchase &amp; Delivery of Various Medical Supplies  for PVET (Re-bid) August 4, 2020 1.	The Provincial Government of Sarangani, through the Trust Fund  Unexpended LDRRMF 2019 intends to apply the sum of One Million One Hundred Seventy Nine</t>
  </si>
  <si>
    <t xml:space="preserve"> The system must have the ff: Resident profiles Business Profiles Website for Barangay Cabantian Collection details Blotter Records Barangay Cases records (settled/unsettled) Settlement of Barangay cases Schedules Document Issuances Events Management Popul</t>
  </si>
  <si>
    <t xml:space="preserve"> Repair &amp; Cleaning of Aircon</t>
  </si>
  <si>
    <t xml:space="preserve"> 3	Unit	Sewing Machine w/ complete accessories (Singer-Pedal Type, Heavy Duty) 6	pc	Scissors for cloth 6	pc	Tape Measure-Plastic 3	pc	Hip Curve, French Curve 6	pc	Tailor Marker 60	meter	Chinese cotton-assorted design 30	roll	Thread (assorted color per ben </t>
  </si>
  <si>
    <t xml:space="preserve"> 22	pc	Tire 250x17 22	pc	Tire 275x17 22	pc	Inner Tub 300x17 22	pc	Inner tub 275x17 22	pc	Chain 428x110 22	pc	Chain 428x120 22	pc	Headlight Bulb Ord. 22	pc	Headlight Bulb Led. 22	pc	Oil Filter 35	pc	Bolt 6mm 35	pc	Bolt 8mm 35	pc	Bolt 10mm. 22	pc	Carburator </t>
  </si>
  <si>
    <t xml:space="preserve"> 1	Flatbed Scanner PRO (Heavy Duty) ADF							1	unit	59,500.00 	Scan res. Up to 600 Dpi (Color &amp; Mono)									 	Compatible operating Systems: win 7 or higher									 										 2	Personal Computer (Desktop)							1	unit	49,995.00 	intel Core i7									 </t>
  </si>
  <si>
    <t xml:space="preserve"> LOT 1-Refrigerated Van (Brand New)  Minimum Specification:6 wheeler mounted with 14 footer refrigerated van, Engine Size: 4.0L Engine Displacement 3,933,150 PS @2,500 rpm, 570N-m @ 1400rpm  Euro IV 4 cylinder Turbocharger with intercooler, Common Rail Dir</t>
  </si>
  <si>
    <t xml:space="preserve"> Republic of the Philippines Province of Davao De Oro MUNICIPALITY OF COMPOSTELA BIDS AND AWARDS COMMITTEE CP#: 0998-571-7569 INVITATION TO BID FOR  Construction of Municipal Isolation Unit - SB# 03 CY 2020 (Procurement Supply/Delivery/Installation of Conc</t>
  </si>
  <si>
    <t xml:space="preserve"> 1	DIESEL FUEL							1	LOT	47,000.00 1	GASOLINE							1	LOT	6,500.00 										 	Term and Conditions:									 	1.Price Quotation Should Be made in lot									 	2. Fuel Escalation Clause									 	 - if the Price goes up, Volume Goes Down									 	 - if </t>
  </si>
  <si>
    <t xml:space="preserve"> Animal Zoological Supplies</t>
  </si>
  <si>
    <t xml:space="preserve"> Brake Fluid etc. NOTE: To all suppliers bid documents and BAC Resolution 2020-029 are available at BAC Office and at our LGU website.</t>
  </si>
  <si>
    <t xml:space="preserve"> Please see attach quotation &amp; specifications.</t>
  </si>
  <si>
    <t xml:space="preserve"> Pending Task  |  Notices  |  Award Notices	 	Monday, August 3, 2020 03:51 PM	                       LEILANI PREGELLANA             » Log-out	 Notice Creation Step 2: Notice Description Title*	 PRINTING OF JHS and SHS MODULES   Description*	 Required! Line</t>
  </si>
  <si>
    <t xml:space="preserve"> Item No.	Unit	DESCRIPTION				Qty 						 1	Unit	Repair of CPU				1 2	Unit	Repair of Printer				1</t>
  </si>
  <si>
    <t xml:space="preserve"> INVITATION TO BID PURCHASE AND DELIVERY OF FARM EQUIPMENTS ASSISTANCE TO SANTOL TOBACCO FARMERS ASSOCIATION SANTOL, LA UNION 1.	The Municipal Government of Santol, La Union through the Trust Fund  intends to apply the sum of ONE MILLION TWO HUNDRED FIFTY </t>
  </si>
  <si>
    <t xml:space="preserve"> 1	Set	Hair Clipper 1	Unit	Revolving Chair 1	Unit	Barber Electric Razor (Heavy Duty) 2	pc	Barber Hair Brush 2	pc	Regular Scissors 2	pc	Slash Scissors  1	pc	Mirror (2 ft x 4 ft)</t>
  </si>
  <si>
    <t xml:space="preserve"> Republic of the Philippines Province of Negros Oriental MUNICIPALITY OF BACONG Barangay Banilad INVITATION TO BID Purchase of Mini Dump Truck, Banilad Bacong, Negros Oriental RFQ 2020-01 1.	The Barangay Banilad, through the Barangay Funds  intends to appl</t>
  </si>
  <si>
    <t xml:space="preserve"> Republic of the Philippines BARANGAY TAMBO Lipa City OFFICE OF THE PUNONG BARANGAY BIDS AND AWARDS COMMITTEE INVITATION TO BID The Barangay Government of BARANGAY TAMBO, through its Bids and Awards Committee ( BAC ), invites suppliers/manufacturers/distri</t>
  </si>
  <si>
    <t xml:space="preserve"> vegetable seeds</t>
  </si>
  <si>
    <t xml:space="preserve"> SNACKS</t>
  </si>
  <si>
    <t xml:space="preserve"> CONSTRUCTION OF 50 LN.M. FLOOD CONTROL, BRGY. E. LAODENIO &amp; BRGY. DEL SUR, MAPANAS, NORTHERN SAMAR BIDDING DOCUMENTS Procurement of INFRASTRUCTURE PROJECTS Name of Project: Construction of 50 LN.M. Flood Control, Barangay E. Laodenio &amp; Del Sur, Mapanas, N</t>
  </si>
  <si>
    <t xml:space="preserve"> MEDICAL SUPPLIES: ALCOHOL, 70% ISOPROPYL (500ml) = 200 bot. HAND SANITIZER, ANTI-BACTERIAL (2500ml) = 100 bot. DISINFECTANT, ANTI -BACTERIAL= 5O gal. LIQUID HAND SOAP= 30 gal. THERMAL SCANNER= 14 units RECHARGEABLE BATTERY "AAA", BRANDED = 60 pcs. DE-FOGG</t>
  </si>
  <si>
    <t xml:space="preserve"> Republic of the Philippines Province of Davao Oriental CITY OF MATI INVITATION TO BID PROCUREMENT OF SEEDLINGS (Forest Greening and Reforestation) Name of Project 1.	The City Government of Mati, through the 20% Local Development Fund intends to apply the </t>
  </si>
  <si>
    <t xml:space="preserve"> 11	UNIT	Welding Machine (300 amperes with complete accessories Yamato Brand 2	Unit	Sander- Heavy duty standard, 230V, 4.000-12.000rpm, 480w, 2.5mm, 4meters cable length 9	Unit	Sander- Heavy duty standard, 230V, 4.000-12.000rpm, 480w, 2.5mm, 4meters cable </t>
  </si>
  <si>
    <t xml:space="preserve"> Oxygen Refill for Human Consumption  2 PC Oxygen Refill, 10lbs. (for human consumption)  6 PC Oxygen Refill, 2lbs. (for human consumption)  1 PC Oxygen refill 50 lbs  -In accordance with the Technical Specifications   ABC: Php 3,300.00  NOTE: Please sign </t>
  </si>
  <si>
    <t xml:space="preserve"> INVITATION TO BID FOR THE SUPPLY &amp; DELIVERY OF VARIOUS ICT EQUIPMENT FOR THE E-LEARNING TELECONFERENCING UNDER THE NEW NORMAL EDUCATION SYSTEM IN PLMUN 1.	The City Government of Muntinlupa, through its duly-approved Executive Budget for 2020 intends to ap</t>
  </si>
  <si>
    <t xml:space="preserve"> INVITATION TO BID LGU-El Salvador City, Misamis Oriental through its BAC, invites interested bidders to apply for eligibility and if found eligible to bid for the contract: 1.	Contract ID No.	:	ITB No. 2020-08-074 Name of Project	:	Procurement of books (r</t>
  </si>
  <si>
    <t xml:space="preserve"> Item No.	Unit	DESCRIPTION				Qty 						 1	Reams	Bond Paper A-4 Subs. 20				30 2	Reams	Bond Paper Long Subs.20				25 3	Pack	Folder Long White (100 Pcs.)				1 4	Boxes	Fastener Plastic				8 5	Pcs.	Alcohol 500ml.				10 6	Set	Ink Universal				4 7	Box	Panda Pen</t>
  </si>
  <si>
    <t xml:space="preserve"> Rehabilitation of Brgy street light</t>
  </si>
  <si>
    <t xml:space="preserve"> See attachment</t>
  </si>
  <si>
    <t xml:space="preserve"> PORTABLE SINK STAINLESS WITH STAND AND ROOFING FOOT PEDAL VALVE BOOTH WATER AND SOFT PVC PIPE 2" DIA S-100= 25 PCS. PVC ELBOW 2" DIA. 90 = 40 PCS. etc.</t>
  </si>
  <si>
    <t xml:space="preserve"> METRO BANGUED WATER DISTRICT							 Bangued, Abra							 							 PURCHASE REQUEST							 							 DIVISION: 	ADMIN						 PR No.     : 	20-07-093						 DATE       : 	24-Jul-20						 							 Item No.	Description	Quantity	Unit	 Unit Cost 	 ABC 		 							 1	Ai</t>
  </si>
  <si>
    <t xml:space="preserve"> INVITATION TO BID The Municipal Government of Gumaca, through its Bids and Awards Committee (BAC), invites suppliers/ manufacturers/ distributors/ contractors, to bid for the hereunder contract: Name of Contract		:	REHABILITATION OF BREAKWATER/RETAINING W</t>
  </si>
  <si>
    <t xml:space="preserve"> DTI-PBG Livelihood Starter Kits (with corresponding gift certificates) containing a combination of ALL of the following: 3 in 1 coffee, 28 g, 10s Coffee Refill, 25g Creamer Sachet, 80 g Choco powdered drink (sachet) 22g, 12s Powdered milk, 150 g Sugar, ¼ </t>
  </si>
  <si>
    <t xml:space="preserve"> ITEM	QTY.	UNIT		ARTICLE AND DESCRIPTION				CEILING 					UNIT PRICE		TOTAL  								PRICE							 				Office: Office of the Mayor				PR No. 437							 				Charge to: Other Supplies and Materials Expenses				OBR No. 100-2003-01846							 				ABC:  Php309,745</t>
  </si>
  <si>
    <t xml:space="preserve"> Bubo (Fish Pot) etc.  NOTE: To all suppliers bid documents and BAC Resolution 2020-029 are available at BAC Office and at our LGU website.</t>
  </si>
  <si>
    <t xml:space="preserve"> INVITATION TO BID for the ITB No. 20-073 Supply and Delivery of Three Hundred (300) vial of Polymyxin B Sulfate 500,000 units powder for solution, 5mL 1.	The National Kidney and Transplant Institute (NKTI) through its Corporate Operating Budget (COB) inte</t>
  </si>
  <si>
    <t xml:space="preserve"> 1.	The Municipality of Esperanza, through the General Fund for CY 2020 intend to apply the sum of Nine Hundred Twenty Four Thousand Six Hundred Seventy Pesos Only (Php924,670.00), inclusive of all government taxes and service charges, being the total Appr</t>
  </si>
  <si>
    <t xml:space="preserve"> Needle Cutter / Destroyer, 300 to 500 ml Cap., Plastic, Durable, Disp., w/ Biohazard Label / Logo, Square---------------------21 qty -----------P350.00/pc Sharps Container / Collector, 10 to 13 Liter Cap., Plastic, Durable, Disp., w/ Biohazard Label / Log</t>
  </si>
  <si>
    <t xml:space="preserve"> 1.	350	meter/s	Rope, 1" dia 2.	1,399	bag/s	Portland Cement 3.	60	l.m	Weep Holes (PVC) 3" dia 4.	7	sq.m.	Polyester Non-woven Filter Cloth 5.	29	piece/s	Ordinary Plywood (1/4" thick) 6.	70	piece/s	Good Lumber (2" x 2" x 16ft) 7.	10	kg/s	CWN #1 8.	10	kg/s	CW</t>
  </si>
  <si>
    <t xml:space="preserve"> Installation of Hand washing Facility</t>
  </si>
  <si>
    <t xml:space="preserve"> Purchase of surgical masks and alcohol</t>
  </si>
  <si>
    <t xml:space="preserve"> One (1) Job Order: Installation of Wide Area Connectivity (Voice and Data) at the Legal division, RPMO, Flood Control and Drainage, Entrance and Exit Gate of the Regional Office XI Materials Needed: SFTP Cable = 4 rolls IO/Port=14 pcs. Plastic Moulding 1x</t>
  </si>
  <si>
    <t xml:space="preserve"> 1	Case	Steel Key Cabinet 29x29x25inches, ABC 20,000.00/case 10	Piece	HP Laserjet Pro M101-106 Print Cartridge, ABC 3,100.00/pc 50	Piece	EPSON ink 664 Black, ABC 400.00/pc 10	Piece	EPSON ink 664 Cyan, ABC 400.00/pc 10	Piece	EPSON ink 664 Magenta, ABC 400.0</t>
  </si>
  <si>
    <t xml:space="preserve"> 2 UNIT Particles Filter for Air purifier Blueair 650E (1 unit: 3 filters)  -In accordance with the Technical Specifications  ABC: Php 23,658.00  NOTE: Please sign all pages of the Technical Specifications and submit it together with your quotation. If sel</t>
  </si>
  <si>
    <t xml:space="preserve"> 14 Heads Cow</t>
  </si>
  <si>
    <t xml:space="preserve"> Republic of the Philippines Province of Quezon Municipality of San Francisco   BIDS &amp; AWARDS COMMITTEE INVITATION TO APPLY FOR ELIGIBILITY AND TO BID     The Municipality of San Francisco through General Fund intends to apply the sum of Five Hundred Thous</t>
  </si>
  <si>
    <t xml:space="preserve"> REQUEST FOR QUOTATION -Supply, Delivery, Wiring and Installation of One (1) Unit Automatic Transfer Switch                                           for 80KVACummins Genset Area of Delivery	:	DBP Dipolog Branch Building Approved Budget	:	P150,000.00 Deliv</t>
  </si>
  <si>
    <t xml:space="preserve"> Republic of the Philippines Province of Sultan Kudarat Municipality of Columbio BIDS AND AWARD COMMITTEE August 03, 2020 INVITATION TO BID The Municipal Government of Columbio through the Bids and Awards Committee (BAC) is inviting supplier for the Procur</t>
  </si>
  <si>
    <t xml:space="preserve"> m	# 4 ACSR,AWG insulated Conductor				700	 m	# 1/0 ACSR,AWG insulated Conductor				2300	 pcs.	Wire Rack w/ 2-spool Insulator					5	 pcs.	5/8"x 12" Eye Bolt w/ locknut and hole washer		44	 pcs.	5/8"x 12" Eye Bolt					44	 pcs.	Secondary Swinging Clevis				4</t>
  </si>
  <si>
    <t xml:space="preserve"> INVITATION TO BID FOR THE REPAIR OF FLOOR TILES AND CEILING AND REPLACEMENT OF DOOR AND PAINTING OF WALLS AT MIS OFFICE , PLMUN, POBLACION, MUNTINLUPA CITY 1.	The City Government of Muntinlupa, through its duly-approved Executive Budget for 2020 intends t</t>
  </si>
  <si>
    <t xml:space="preserve"> Item/Lot No. ITEM &amp; DESCRIPTION/ TECHNICAL SPECIFICATION Approved Budget for the Contract (ABC) in PHP QUANTITY AND UNIT OF MEASURES SPECIFICATIONS/ BRAND/ MODEL No. (for Bidders to Fill-out) UNIT COST TOTAL PRICE IN PESOS LOT 1 OFFICE SUPPLIES 29,664.00 </t>
  </si>
  <si>
    <t xml:space="preserve"> INVITATION TO BID IB NO. CW 2020 – 128 Repair of Evacuation Center at Camantigue, Bongabong, Oriental Mindoro 1.  The Provincial Government of Oriental Mindoro (PGOM) through the General Fund 2020 – 5% LDRRMF  intends to apply the sum of Four Hundred Nine</t>
  </si>
  <si>
    <t xml:space="preserve"> Purchase of Diving Accessories/ Equipments Description :   1.	Diving Mask - 4 pcs 2.	Drysuit/Wetsuit - 4 pcs 3.	Fins   -  4 pairs 4.	Scuba Gloves - 4 pairs 5.	Booties - 4 pairs 6.	Depth Gauge - 4 pcs 7.	Compass - 4 pcs 8. 	Scuba Buoyancy Compensator - 4 p</t>
  </si>
  <si>
    <t xml:space="preserve"> Invitation to Bid CONSTRUCTION OF CONCRETING BARANGAY ROAD ITB No: 2020-08-002 1. The Barangay San Roque of Enrile, Cagayan intends to apply the sum of Seventy-Eight Thousand Nine Hundred Sixty-Three Pesos and 38/100 (P 78,963.38) being the Approved Budge</t>
  </si>
  <si>
    <t xml:space="preserve"> Purchase of 3 units airconditioner for KALAHI Office</t>
  </si>
  <si>
    <t xml:space="preserve"> BAC RESOLUTION NO. 434-2020 “A RESOLUTION DECLARING FAILURE OF BIDDING AND RECOMMEND FOR ALTERNATIVE MODE OF PROCUREMENT” WHEREAS, the Bids and Awards Committee (BAC) thru the Secretariat published in PhilGEPS and in any conspicuous places the purchase of</t>
  </si>
  <si>
    <t xml:space="preserve"> BIDS AND AWARDS COMMITTEE INVITATION TO BID 	The City Government of Valenzuela, through its Bids and Award Committee (BAC), invites interested suppliers, to apply for eligibility and to bid for the hereunder listed project to wit:      Project Reference N</t>
  </si>
  <si>
    <t xml:space="preserve"> 350	Box	Surgical Mask x 100's, ABC 300.00/box 300	Box	Disposable Gloves x 100's, ABC 200.00/box 100	Pack	Disposable Gown x 10's, ABC 600.00/box RFQ#07-0809</t>
  </si>
  <si>
    <t xml:space="preserve"> INVITATION TO BID FOR PROCUREMENT AND DELIVERY OF HOSPITAL FIXTURE AND MEDICAL AND LABORATORY EQUIPMENT 1.	The DOH-CHD I through the Continuing Appropriations (CONAP) 2019 for Projects 1-4 &amp; 9 and GOP CY 2020 for Projects 5-8 intends to apply the sums bei</t>
  </si>
  <si>
    <t xml:space="preserve"> Republic of the Philippines Province of Leyte Municipality of Hilongos INVITATION TO RE-BID FOR THE PROCUREMENT OF OFFICE SUPPLIES 1.  The Local Government Unit of Hilongos, through GENERAL FUND-CURRENT APPROPRIATION intends to apply the sum FIFTY NINE TH</t>
  </si>
  <si>
    <t xml:space="preserve"> INVITATION TO BID FOR SUPPLY AND DELIVERY OF STRETCH FILM TO BE USED FOR THE PRODUCTION OF FAMILY FOOD PACKS FOR CY 2020 THROUGH FRAMEWORK AGREEMENT —  ITB NO. GOP/20-DSWD-028-B — (PR NO. 01-20001-PR-2020-02-00038) 1. The Department of Social Welfare and </t>
  </si>
  <si>
    <t xml:space="preserve"> 1	10	pcs	Pulse Oximeter	 2	50	pcs	Clinical Thermometer	 3	4	pcs	BP Apparatus with Stethoscope	 4	2	pcs	Stretchers	 5	4	pcs	Oxygen tank with Accessories	 6	50	pcs	Cadaver bags	 7	100	pcs	PPE	 8	200	box	N95 Face Mask	 9	10	box	Gloves	 10	4	gal	70% Alcohol	 </t>
  </si>
  <si>
    <t xml:space="preserve"> 10	Piece	Laryngoscope bulb holder, ABC 2,000.00/pc 300	Roll	Plaster 4", ABC 350.00/pcd RFQ#07-0779R</t>
  </si>
  <si>
    <t xml:space="preserve"> INVITATION TO BID 1.	The Santa Maria Water District (SMWD) through the Approved Corporate Budget for the year 2020 intends to apply the sum of FIVE MILLION ONE HUNDRED TWELVE THOUSAND PESOS (P 5,112,000.00) being the Approved Budget for the Contract (ABC)</t>
  </si>
  <si>
    <t xml:space="preserve"> INVITATION TO BID The DPWH-Regional Office No. III,  through  its  Bids  and  Awards  Committee  (BAC),  invites contractors to submit bids for the Contract below: Procurement ID/Contract ID:    20C00053 Contract Name:      Construction of Groundsills Acr</t>
  </si>
  <si>
    <t xml:space="preserve"> ITEM	QTY.	UNIT		ARTICLE AND DESCRIPTION				CEILING 					UNIT PRICE		TOTAL  								PRICE							 				Office: Office of the Mayor				PR No. 438							 				Charge to: Other Supplies and Materials Expenses				OBR No. 100-2003-01847							 				ABC:  Php463,690</t>
  </si>
  <si>
    <t xml:space="preserve"> Republic of the Philippines CITY GOVERNMENT OF ANTIPOLO Antipolo City INVITATION TO BID For the Supply, Delivery &amp; Installation of Close Circuit Television (CCTV) The City Government of Antipolo, through the General Fund intends to apply the sum of P 70,7</t>
  </si>
  <si>
    <t xml:space="preserve"> Republic of the Philippines Province of Romblon MUNICIPALITY OF ALCANTARA -o0o- Invitation to Bid for   CONSTRUCTION OF EVACUATION CENTER Madalag, Alcantara, Romblon The Municipal Government of Alcantara, Romblon through the  Socio Civic Projects Fund (SC</t>
  </si>
  <si>
    <t xml:space="preserve"> PURCHASE OF IT EQUIPMENTS FOR DEPED MODULAR LEARNING MODALITY- REPRODUCTION OF MODULES , DEP ED</t>
  </si>
  <si>
    <t xml:space="preserve"> 524 bags Complete Fertilizer 14-14-14 at 50 kgs. 524 bags Urea Fertilizer 46-0-0 at 50 kgs. 140 bottles Prevatone, 250 ml Terms and Conditions: 1.	With FPA License. 2.	15 days delivery period. 3.	Delivered at Municipal Hall, Solsona, Ilocos Norte. 4.	Haul</t>
  </si>
  <si>
    <t xml:space="preserve"> Program aims to train indigent constituents on various trades and skills for their income-generating activities.</t>
  </si>
  <si>
    <t xml:space="preserve"> Certified Rice Seeds</t>
  </si>
  <si>
    <t xml:space="preserve"> Republic of the Philippines Province of Cavite Municipality of Naic Barangay Timalan Balsahan Invitation to Bid The Barangay Council of Barangay Timalan Balsahan invites qualified suppliers to submit Bids for the scheduled bidding on August 10, 2020. Seal</t>
  </si>
  <si>
    <t xml:space="preserve"> construction of multi-purpose pavement st Bgy. Tigman Length-20 width-17 thick-0.0762 required equipments: road grader, water truck, vibratory roller, concrete mixer, concrete  vibrator works include sub grade preparation, aggregate base course, PCC pavem</t>
  </si>
  <si>
    <t xml:space="preserve"> INVITATION TO BID SUPPLY AND DELIVERY OF CONSTRUCTION SUPPLIES &amp; MATERIALS FOR THE REPAIR OF ALS MAKESHIFT CLASSROOM IN NORCACES – 2ND BIDDING 1.	The Local Government Unit of Cabadbaran City through the SEF intends to apply the sum of ONE HUNDRED NINETEEN</t>
  </si>
  <si>
    <t xml:space="preserve"> Republic of the Philippines Province of Capiz Municipality of Mambusao BIDS AND AWARDS COMMITTEE INVITATION TO BID FOR THE PROCUREMENT OF DIESEL, GASOLINE AND OIL FOR 3RD QUARTER (MAYOR’S OFFICE)  The Municipality of Mambusao, Capiz through its GENERAL FU</t>
  </si>
  <si>
    <t xml:space="preserve"> BUKIDNON 1ST DISTRICT ENGINEERING OFFICE REGIONAL OFFICE 10 Malaybalay City REQUEST FOR EXPRESSION OF INTEREST (REOI) FOR CONTRACT ID NO. 20CSKA0001 Contract ID	:	20CSKA0001 Contract Name	:	Conduct of Soil Testing/Exploration for F.Y. 2021 Projects Contra</t>
  </si>
  <si>
    <t xml:space="preserve"> 1. The total approved budget for the contract for the FOR ELECTRICAL WORKS (SUPERVISION WORKS) is PhP 50,000.00 2. Price quotations must include all taxes, duties, and/or levies payable and must be valid for 30 days. 3. Suppliers must specify the BRAND, T</t>
  </si>
  <si>
    <t xml:space="preserve"> Republic of the Philippines																					 Cordillera Administrative Region																					 Provincial Local Government Unit of Ifugao																					 BIDS AND AWARDS COMMITTEE - INFRA																					 3rd Floor PEO Bldg., Capitol Comp</t>
  </si>
  <si>
    <t xml:space="preserve"> Republic of the Philippines National Kidney and Transplant Institute Bids and Awards Committee East Avenue, Quezon City 1100 981-0300 / 981-0400 local 1157 http://www.nkti.gov.ph/	 INVITATION TO BID for the ITB No. 20-077 SUPPLY AND DELIVERY OF VARIOUS FR</t>
  </si>
  <si>
    <t xml:space="preserve"> INVITATION TO BID IB NO: 2020-08-24 (15) SUPPLY AND DELIVERY OF VARIOUS MEDICAL GAS 1. 	The Caraga Regional Hospital (CRH), through the General Appropriation Act /  Hospital Income   intends to apply the sum of TWO MILLION NINE HUNDRED FORTY ONE THOUSAND </t>
  </si>
  <si>
    <t xml:space="preserve"> Pregnant Cattle/Breedable Hiefer</t>
  </si>
  <si>
    <t xml:space="preserve"> Distribution of 72-hour survival kits that include basic supplies, emergency equipment and other items that could be used for personal mitigation of the impact of a disaster</t>
  </si>
  <si>
    <t xml:space="preserve"> The Bids and Awards Committee (BAC) of the LGU-Lubang, Occidental Mindoro invites contractors to bid for the aforementioned project: Contract I.D.:				ML-2020-02-16 Contract Name:	Purchase of Automated External Defibrillator (AED) Contract Location:				Lu</t>
  </si>
  <si>
    <t xml:space="preserve"> Computer Ink  #T6641 BLACK 70 ML #T6642 CYAN 70 ML #T6643 MAGENTA  70 ML #t6644 yELLOW 70ML ePSON iNK 003 blACK EPSON INK 003 CYAN EPSON INK 003 MAGENTA EPSON INK 003 YELLOW COMPUTER INK HP #678 BLACK COMPUTER INK HP #678 CMY COMPUTER INK LC539XL BLACK PR</t>
  </si>
  <si>
    <t xml:space="preserve"> Order/download attached Invitation to Bid and print-out Abstract of Bids from Philgeps.</t>
  </si>
  <si>
    <t xml:space="preserve"> The Barangay Government of Barangay PAGASPAS, Tanauan City, Batangas through the Bids and Awards Committee (BAC) invites Suppliers/Contractors to apply for eligibility and if subsequently found eligible, to bid for the projects described hereunder, viz: P</t>
  </si>
  <si>
    <t xml:space="preserve"> INVITATION TO BID The Municipal Government of Gumaca, through its Bids and Awards Committee (BAC), invites suppliers/ manufacturers/ distributors/ contractors, to bid for the hereunder contract: Name of Contract		:	PURCHASE OF OFFICE SUPPLIES Location			:</t>
  </si>
  <si>
    <t xml:space="preserve"> 1. The total approved budget for the contract for the SUPPLY AND DELIVERY OF 75 DRUMS POLY ALUMINUM CHLORIDE is PhP 468,750.00 2. Price quotations must include all taxes, duties, and/or levies payable and must be valid for 30 days. 3. Suppliers must speci</t>
  </si>
  <si>
    <t xml:space="preserve"> PLRSTL 1 LIETR 0.9 SODIUM CHLORIDE 1LITER OXYTOCIN AMPULE 10 l.u /ml Buscopan /Hyoscine amplue 20mg/ml Phytomenadione ampule 10mh/ml Magnesium Sulfate 25 mg/ml Magnesium Sulfate 25mg/ml Atrophine Ampule Lodocaine 50 ml Terramycin Eye Ointment 5mh/g (0.5%w</t>
  </si>
  <si>
    <t xml:space="preserve"> REGION XII Province of Cotabato Municipality of Midsayap BIDS &amp; AWARDS COMMITTEE Tel. Nos. (064) 229-8018; 229-8650; 229-8450 INVITATION TO BID FOR  2020-079, SUPPLY AND DELIVERY OF 2 UNITS MOTORCYCLE (BRAND NEW) AT LGU MIDSAYAP, COTABATO 1. The MUNICIPAL</t>
  </si>
  <si>
    <t xml:space="preserve"> 1. The total approved budget for the contract for the SUPPLY AND DELIVERY OF VARIOUS CI FITTINGS is PhP 588,500.00 2. Price quotations must include all taxes, duties, and/or levies payable and must be valid for 30 days. 3. Suppliers must specify the BRAND</t>
  </si>
  <si>
    <t xml:space="preserve"> Concreting of 138Mx4Mx0.15M Barangay Road with 0.5M shoulder</t>
  </si>
  <si>
    <t xml:space="preserve"> Food Supplies</t>
  </si>
  <si>
    <t xml:space="preserve"> Republic of the Philippines PROVINCE OF SOUTHERN LEYTE Municipality of San Juan BIDS AND AWARD COMMITTEE INVITATION TO BID FOR  Supply and Delivery of Medicines The Municipality of San Juan through the General Fund intends to apply the sum of Six Hundred </t>
  </si>
  <si>
    <t xml:space="preserve"> Repair and Maintenance of Water System ABC: Php 168,110.00 30 LENGTHS PVC PIPE #2 20 CANS PVC SOLVENT NELTEX 200CC 74 PCS STEEL SAW 12 PCS PVC TEE #2 50 PCS G.I. COUPLING # 1 1/4 4 PCS SWING VALVE 6 PCS PVC BALL VALVE #2 10 PCS PVC PIPE 3/4 x 10 2 ROLLS P</t>
  </si>
  <si>
    <t xml:space="preserve"> REGION XII Province of Cotabato Municipality of Midsayap BIDS &amp; AWARDS COMMITTEE Tel. Nos. (064) 229-8018; 229-8650; 229-8450 INVITATION TO RE-BID FOR  2020-080, SUPPLY AND DELIVERY OF BUSINESS REGISTRATION PLATE AT LGU MIDSAYAP, COTABATO 1. The MUNICIPAL</t>
  </si>
  <si>
    <t xml:space="preserve"> Republic of the Philippines Province of Misamis Occidental MUNICIPALITY OF CALAMBA BARANGAY SALVADOR INVITATION TO BID FOR PURCHASE OF MATERIALS FOR THE IMPROVEMENT OF BARANGAY HOLDING FACILITIES FOR COVID-19 LSI 	August 4, 2020 1.	The BARANGAY SALVADOR  </t>
  </si>
  <si>
    <t xml:space="preserve"> Republic of the Philippines Province of Capiz Municipality of Mambusao BIDS AND AWARDS COMMITTEE INVITATION TO BID FOR THE PROCUREMENT OF DIESEL, GASOLINE AND OIL FOR 3RD QUARTER (MDRRM)  The Municipality of Mambusao, Capiz through its GENERAL FUND 2020 i</t>
  </si>
  <si>
    <t xml:space="preserve"> The Bids and Awards Committee (BAC) of the LGU-Lubang, Occidental Mindoro invites contractors to bid for the aforementioned project: Contract I.D.:				ML-2020-04-17 Contract Name:	Provision of Planting Materials and Poultry to Malnourished Households Cont</t>
  </si>
  <si>
    <t xml:space="preserve"> Invitation to Bid for Rejuvenation thru Fertilization CY 2020 1.The Philippine Coconut Authority – XI, through the authorized appropriations under the continuing appropriation of FY 2020 General Appropriations Act (GAA), intends to apply the sum of  Seven</t>
  </si>
  <si>
    <t xml:space="preserve"> Repair and Maintenance of Motor Vehicles of Pitogo Municipal Police Station ABC: Php 105,775.00 5 PCS TUBELESS TIRE (31 X 10.50 R15) 2 SET LEAF SPRINGS SUSPENSION (MOLYE) 2 PCS UPPER BALL JOINT TOYOTA HILUX 2 PCS LOWER BALL JOINT TOYOTA HILUX 2 PCS FRONT </t>
  </si>
  <si>
    <t xml:space="preserve"> Republic of the Philippines Province of Eastern Samar Municipality of San Julian LGU BIDS AND AWARDS COMMITTEE (LGU-BAC) INVITATION TO BID FOR THE SUPPLY &amp; DELIVERY OF  IT SUPPLIES, MATERIALS &amp; CONSUMABLES The Local Government Unit of San Julian, through </t>
  </si>
  <si>
    <t xml:space="preserve"> 1.	The Local Government Unit of Kawayan, through the 2020 Annual Budget intends to apply the sum of Six Hundred Twelve Thousand Seven Hundred Pesos Only (P612,700.00) being the Approved Budget for the Contract (ABC) to payments under the contract for Supp</t>
  </si>
  <si>
    <t xml:space="preserve"> Installation of Additional Barangay Streetlights</t>
  </si>
  <si>
    <t xml:space="preserve"> Republic of the Philippines Province of Pangasinan Municipality of Natividad INVITATION TO BID FOR TITLE: Construction of Public Toilet at Four (4) Barangays Location: Brgy. Canarem, Rizal, Poblacion West and San Maximo, Natividad, Pangasinan Approved Bud</t>
  </si>
  <si>
    <t xml:space="preserve"> 1. The total approved budget for the contract for the SUPPLY AND DELIVERY OF 50 PAILS OF 70% CALCIUM HYPOCHLORITE (CHLORINE) is PhP 275,000.00 2. Price quotations must include all taxes, duties, and/or levies payable and must be valid for 30 days. 3. Supp</t>
  </si>
  <si>
    <t xml:space="preserve"> PROJECT:  STEEL BENCHES LOCATION: BARANGAY DUTUNG A MATAS, CONCEPCION, TARLAC APPROVED BUDGET FOR THE CONTRACT: PHP 91,060.00 SOURCE OF FUND: 10% SK FUND The contract to be performed by the successful bidder shall be specified in the Technical Quotation F</t>
  </si>
  <si>
    <t xml:space="preserve"> BIDS AND AWARDS COMMITTEE ATTENTION:		ALL INTERESTED BIDDERS 			 SUBJECT:	INVITATION TO BID –   Procurement of Heavy Duty Foot Operated Alcohol Dispenser for Alcohol Hand Disinfection for Covid-19 Prevention DATE:	August 3, 2020 - - - - - - - - - - - - - </t>
  </si>
  <si>
    <t xml:space="preserve"> Construction Of Bench Flume @ Lat. A Sta. 0+000 – 0+281, 0+332 – 1+232; Elev. Flume @ Lat. A Sta. 0+281- 0+332; Drainage Crossing @ Mc Sta. 2+390 &amp; Turn-Out &amp; Lat. A Sta. 0+420</t>
  </si>
  <si>
    <t xml:space="preserve"> 1	1	set	Autoclave automatic 18L Taiwan	 2	5	set	Basic Instruments:	 				Mouth Mirror 				Spoon Excavator 				Explorer 				Cotton Plier 3	5	pcs	Enamel Tray	 4	5	tube	Topical Anesthesia 65grms.	 5	5	pack	Bib	 6	1	set	Dental Surgical	 7	1	liter	icon 3 Diluen</t>
  </si>
  <si>
    <t xml:space="preserve"> INVITATION TO BID SUPPLY AND DELIVERY OF 2PCS TRACTOR FRONT TIRE – 2ND BIDDING 1.	The Local Government Unit of Cabadbaran City through the GENERAL FUND intends to apply the sum of ONE HUNDRED NINETY THOUSAND PESOS ONLY (P 190,000.00) being the Approved Bu</t>
  </si>
  <si>
    <t xml:space="preserve"> Potable Water Supply Improvement</t>
  </si>
  <si>
    <t xml:space="preserve"> supply and delivery of the following: Lot 1. Face mask				                        - 47,500.00 950	pcs	Face Mask (Washable) (Printed)			 Lot 2. other goods/materials				        - 182,500.00 560	pcs	Vitamin C (120ml) syrup (2-6 yrs old)				 610	pcs	Ethyl Al</t>
  </si>
  <si>
    <t xml:space="preserve"> Other Supplies and Materials</t>
  </si>
  <si>
    <t xml:space="preserve"> 1	2	set	Laptop, 4GB/512GB/WIN 10, 14 INCHES	 2	1	set	Printer 	 3	1	set	Printer with Scanner, Photocopier	 4	1	set	Window Type Aircon 1 HP with installation	 			-------NOTHING FOLLOWS-------</t>
  </si>
  <si>
    <t xml:space="preserve"> Name of project:IMPROVEMENT OF NURSING RESEARCH OFFICE ABC: 397,393.33 Location:Bontoc Campus, Bontoc, Mountain Province CD:30</t>
  </si>
  <si>
    <t xml:space="preserve"> Republic of the Philippines Province of Nueva Vizcaya BIDS AND AWARDS COMMITTEE (BAC-Goods) BAC OFFICE, Provincial Capitol, Bayombong, Nueva Vizcaya 	 REQUEST FOR QUOTATION (RFQ) For the Procurement of Office Supplies (2nd  Quarter) For the Provincial Eng</t>
  </si>
  <si>
    <t xml:space="preserve"> Supply and delivery of 14,184 cu.m.,  manpower, tools, equipment and other services necessary for Solid Wastes/ Garbage Collection and Disposal Services for Five Months</t>
  </si>
  <si>
    <t xml:space="preserve"> 1 REGION XII Province of Cotabato Municipality of Midsayap BIDS &amp; AWARDS COMMITTEE Tel. Nos. (064) 229-8018; 229-8650; 229-8450 INVITATION TO BID FOR  2020-082, CONSTRUCTION OF MULTI-PURPOSE BUILDING FOR RURAL IMPROVEMENT CLUB (RIC)  AND FARMERS ASSOCIATI</t>
  </si>
  <si>
    <t xml:space="preserve"> Invitation to Bid Republic of the Philippines City of Olongapo -0- BIDS AND AWARDS COMMITTEE BAC Office 3rd Floor  Olongapo City Hall  Web: www.olongapocity.gov.ph INVITATION TO BID FOR  OC-77(ESMO-07) 20 GD PROCUREMENT FOR THE SUPPLY AND DELIVERY OF THRE</t>
  </si>
  <si>
    <t xml:space="preserve"> Laying of additional CHB walls of MPB-stage Fabrication and installation of roof frames of MPB-stage Fabrication and installation of roof frames &amp; roofing of MPB-bleachers</t>
  </si>
  <si>
    <t xml:space="preserve"> 412 pcs Cellcards (P500.00) ABC = P206,000.00</t>
  </si>
  <si>
    <t xml:space="preserve"> Concreting of 88.00m x1.0m local access road (thickness = 0.15m)</t>
  </si>
  <si>
    <t xml:space="preserve"> 798     REAM      BOND PAPER SHORT (DOUBLE A, SUBS-20) 1,985  REAM       BOND PAPER LONG (DOUBLE A, SUBS-20) 102     REAM       BOND PAPER  A4 (DOUBLE A, SUBS 20) 547     BOT         EPSON L-120 PRINTER INK (ORDINARY BLACK) 275     BOT         EPSON L-20 </t>
  </si>
  <si>
    <t xml:space="preserve"> Republic of the Philippines Province of Leyte Municipality of Tolosa BARANGAY POBLACION INVITATION TO BID FOR  Supply and Installation of Solar Streetlights at Brgy. Poblacion, Tolosa, Leyte  Job Request No. 20-08-02 1.	The Barangay of Poblacion, Tolosa, </t>
  </si>
  <si>
    <t xml:space="preserve"> Republic of the Philippines Department of Health ZAMBOANGA PENINSULA-CENTER FOR HEALTH DEVELOPMENT  Upper Calarian, Zamboanga City 7000 Phone: (062) 983-0314, (062) 983-0146, Fax: (062) 991-3380 Email: dohchdzp@yahoo.com, Web: www.doh.gov.ph Standard Form</t>
  </si>
  <si>
    <t xml:space="preserve"> Upgrading of Barangay Road with a total length of one hundred ninety five linear meters (195 lm), pavement width of four and four tenths meters (4.4m) and pavement thickness of point twenty meter (0.20m). It also covers the drainage canal and other road s</t>
  </si>
  <si>
    <t xml:space="preserve"> BIDS AND AWARDS COMMITTEE ATTENTION:		ALL INTERESTED BIDDERS 			 SUBJECT:	INVITATION TO BID –   Provision of Quality Policy and VGMO at Various CSPC Building DATE:	August 3, 2020 - - - - - - - - - - - - - - - - - - - - - - - - - - - - - - - - - - - - - - </t>
  </si>
  <si>
    <t xml:space="preserve"> Republic of the Philippines Province of Pangasinan Municipality of Natividad INVITATION TO BID FOR TITLE: Construction of Maranum Information Office Location: Brgy. Batchelor East, Natividad, Pangasinan Approved Budget of the Contract: Php800,000.00 The [</t>
  </si>
  <si>
    <t xml:space="preserve"> 1.Construction of Bridge and Concreting of Pathway at NCDC Bldg. Entrance-Baybay, Caramoran, Catanduanes 2. Construction of Bridge-Sabang Dariao, Caramoran, Catanduanes 3.Construction of Bridge-(Kaumahan) Dariao, Caramoran, Catanduanes</t>
  </si>
  <si>
    <t xml:space="preserve"> Laying of additional CHB walls of MPB- stage Plastering of CHB walls  Installation of long span roofing for MP-stage Fabrication &amp; installation of doors and windows for MPB-stage</t>
  </si>
  <si>
    <t xml:space="preserve"> INVITATION TO BID The Barangay Sagurong of Tabaco City through the Bids and Awards Committee (BAC) invites suppliers to bid for the hereunder contract: Name of Contract: Procurement of Materials for the Rehabilitation of Basketball Court at Barangay Sagur</t>
  </si>
  <si>
    <t xml:space="preserve"> Republic of the Philippines Province of Pangasinan Municipality of Natividad INVITATION TO BID FOR TITLE: Purchase of Various Equipment for Engineering Office Location: Natividad, Pangasinan Approved Budget of the Contract: Php135,000.00 The [MUNICIPALITY</t>
  </si>
  <si>
    <t xml:space="preserve"> Republic of the Philippines Province of Pangasinan MUNICIPALITY OF LINGAYEN Invitation to Bid    The Local Government Unit of Lingayen, through the 20% Development Fund CY 2020   intends to apply the amount  of  One  Million Five Hundred Sixty Five Thousa</t>
  </si>
  <si>
    <t xml:space="preserve"> THERMAL SCANNER WITH FACE RECOGNITAION ACCESS CONTROL</t>
  </si>
  <si>
    <t xml:space="preserve"> The Philippine National Police (PNP) Health Service (HS) invites all PhilGEPS-accredited suppliers to apply for eligibility and to bid for the Procurement of Medical, Dental &amp; Laboratory Supplies. Approved Budget for Contract: Php1,000,000.00 Bid Document</t>
  </si>
  <si>
    <t xml:space="preserve"> INVITATION TO BID FOR  SUPPLY, DELIVERY AND INSTALLATION OF VARIOUS MEDICAL, IT AND OFFICE EQUIPMENT 1.	The DOH-LABUAN GENERAL HOSPITAL, through the GENERAL APPROPRIATION ACT (GAA) OF 2020 intends to apply the sum of THIRTEEN MILLION FOUR HUNDRED FORTY-SE</t>
  </si>
  <si>
    <t xml:space="preserve"> Scope of Services:  1) Bogasong Br. II (B00603LT) Along Daang Maharlika (LT), Libagon, Southern Leyte – 2 Boreholes 2) Cawayan Br. I (B00605LT) Along Daang Maharlika (LT), Libagon, Southern Leyte – 2 Boreholes 3) Cawayan Br. II (B00606LT) Along Daang Maha</t>
  </si>
  <si>
    <t xml:space="preserve"> The Philippine National Police (PNP) Health Service (HS) invites all PhilGEPS-accredited suppliers to apply for eligibility and to bid for the Procurement of Drugs &amp; Medicines. Approved Budget for Contract: Php888,674.43 Bid Documents shall be available a</t>
  </si>
  <si>
    <t xml:space="preserve"> Procurement of Survey Essentials and Protective Gears for the use of Planning and Design Section, DPWH Iloilo 2nd DEO, Balabag, Dumangas, Iloilo</t>
  </si>
  <si>
    <t xml:space="preserve"> REQUEST FOR QUOTATION SHOPPING – GOODS INSTRUCTIONS: 1. Bidders are required to read the instructions and fill all the blanks properly. (Please write legibly) 2. Prospective Bidders may submit their own quotation form in accomplishing their quotations sub</t>
  </si>
  <si>
    <t xml:space="preserve"> BIDS AND AWARDS COMMITTEE-SECURITY PLANT COMPLEX INVITATION TO BID 1. The Bangko Sentral ng Pilipinas (BSP), through its Bids and Awards Committee-Security Plant Complex, invites Bidders to apply for eligibility and to bid for the hereunder requirement: N</t>
  </si>
  <si>
    <t xml:space="preserve"> Republic of the Philippines Province of Pangasinan Municipality of Natividad INVITATION TO BID FOR TITLE: Construction of Tourist Waiting/Registration Area (Phase 2) (Serve as toll gate, display center of souvenir items and coffee shop) Location: Brgy. Ba</t>
  </si>
  <si>
    <t xml:space="preserve"> The Philippine National Police (PNP) Health Service (HS) invites all PhilGEPS-accredited suppliers to apply for eligibility and to bid for the Procurement of Other Supplies &amp; Materials Approved Budget for Contract: Php1,820,625.00 Bid Documents shall be a</t>
  </si>
  <si>
    <t xml:space="preserve"> Partial construction of 10.00mx8.00m multi purpose building (stage)</t>
  </si>
  <si>
    <t xml:space="preserve"> REGION XII Province of Cotabato Municipality of Midsayap BIDS &amp; AWARDS COMMITTEE Tel. Nos. (064) 229-8018; 229-8650; 229-8450 INVITATION TO RE-BID FOR 2020-081, SUPPLY AND DELIVERY OF ELECTRONIC DEVICES AND EQUIPMENT FOR EXPLOSIVE ORDNANCE DISPOSAL (EOD) </t>
  </si>
  <si>
    <t xml:space="preserve"> BOND PAPER, A4 size, subs. 20, 80gms = 2000 REAMS FOLDER, TAGBOARD, LONG SIZE (100's/pack)= 20 PACKS</t>
  </si>
  <si>
    <t xml:space="preserve"> PROVINCE OF BILIRAN		                                                                     Project Reference Number: ITB No. 20-29 Name of Procuring Entity      INVITATION TO BID FOR THE SALE OF VARIOUS UNSERVICEABLE PROPERTIES ON “AS IS, WHERE IS” BASIS T</t>
  </si>
  <si>
    <t xml:space="preserve"> Invitation to Bid for the  UPGRADING OF LOCAL ACCESS ROAD AT P5 GENERAL AGUINALDO, RAMON, ISABELA 1.	The LGU-RAMON, ISABELA, through the Budget for the contract approved by the Sanggunian intends to apply the sum of Php4,200,000.00 being the Approved Budg</t>
  </si>
  <si>
    <t xml:space="preserve"> Invitation to Bid for SOPDP 2020 1.The Philippine Coconut Authority – XI, through the authorized appropriations under the continuing appropriation of FY 2020 General Appropriations Act (GAA), intends to apply the sum of  Two Million One Hundred Ninety Tho</t>
  </si>
  <si>
    <t xml:space="preserve"> Road Shouldering of Ramon Magsaysay - JP Laurel St. (342.70 L.M. x 0.90 M.) Both Ways ABC: Php 1,500,000.00 I - PROJECT BILLBOARD II - MOBILIZATION/DEMOBILIZATION III - SUB - GRADE PREPARATION (COMMON MATERIAL) IV - AGGREGATE SUBBASE COURSE V - PORTLAND C</t>
  </si>
  <si>
    <t xml:space="preserve"> Republic of the Philippines Central Visayas Region Negros Oriental Province MUNICIPALITY OF SANTA CATALINA BIDS AND AWARDS COMMITTEE ITB NO.: 2020-08-02-025 INVITATION TO BID FOR THE SUPPLY AND DELIVERY OF 6-WHEELER DUMP TRUCKS 4X2 (BRAND NEW) 1.	The Muni</t>
  </si>
  <si>
    <t xml:space="preserve"> Republic of the Philippines Province of Camiguin MUNICIPALITY OF MAMBAJAO INVITATION TO BID / REQUEST FOR EXPRESSION OF INTEREST The Municipal Government of Mambajao, Camiguin through the Bids and Awards Committee (BAC) invites all duly qualified bidders/</t>
  </si>
  <si>
    <t xml:space="preserve"> INVITATION TO BID  SUPPLY, DELIVERY, INSTALLATION, CONFIGURATION, MIGRATION, AND TESTING OF ADDITIONAL SERVERS FOR BTMS INFRASTRUCTURE 1.	The Department of Budget and Management (DBM), through the authorized appropriations under the FY 2019 General Approp</t>
  </si>
  <si>
    <t xml:space="preserve"> 1.	The Department of Education, through the Republic Act No. 11260 – FY 2019 GAA / RO-20-0875 intends to apply the sum of Thirteen Million Seven Hundred Twenty Two Thousand Five Hundred Six Pesos (P13,722,506.00) being the Approved Budget for the Contract</t>
  </si>
  <si>
    <t xml:space="preserve"> Invitation to Bid for Rejuvenation thru Fertilization CY 2020 1.The Philippine Coconut Authority – XI, through the authorized appropriations under the continuing appropriation of FY 2020 General Appropriations Act (GAA), intends to apply the sum of  One M</t>
  </si>
  <si>
    <t xml:space="preserve"> 1.Construction of Flood Control-Bulalacao, Caramoran, Catanduanes 2.Contstruction of Flood Control -Maui, Caramoran, Catanduanes</t>
  </si>
  <si>
    <t xml:space="preserve"> Name of Project: CONSTRUCTION OF RAMP AT THE FRONTAGE OF SCHOOL CLINIC ABC: 110,000.00 Location: Bontoc Campus, Bontoc, Mountain Province CD:15</t>
  </si>
  <si>
    <t xml:space="preserve"> Supply &amp; Delivery of Materials and Equipment Rentals for use in the CONSTRUCTION OF BOX CULVERT AND INSTALLATION OF 0.60MØ RCCP.</t>
  </si>
  <si>
    <t xml:space="preserve"> Republic of the Philippines Central Visayas Region Negros Oriental Province MUNICIPALITY OF SANTA CATALINA BIDS AND AWARDS COMMITTEE ITB NO.: 2020-08-02-026 INVITATION TO BID FOR THE SUPPLY AND DELIVERY OF WATER TANKER (SURPLUS) 1.	The Municipality of San</t>
  </si>
  <si>
    <t xml:space="preserve"> Procurement Materials for the Construction of Fortaliza Water System</t>
  </si>
  <si>
    <t xml:space="preserve"> Procurement of supply and delivery of cassava cuttings 24,500	piece	Cassava cuttings 	Supplied by accredited BPI nursery 	With 7 nodes; minimum length of 20cm 	Sourced from disease-free plantation PR# 2020-1198</t>
  </si>
  <si>
    <t xml:space="preserve"> Republic of the Philippines  Department of  Science and Technology  Regional Office No. IX  Pettit Barracks,   Zamboanga  CIty Tel. Nos. (062) 992-1114; (062) 991-1024 INVITATION TO BID SUPPLY AND DELIVERY OF NETWORK ATTACHED STORAGE RACKMOUNTED TYPE    P</t>
  </si>
  <si>
    <t xml:space="preserve"> INVITATION TO BID DRILLING OF 3 (THREE) UNITS EXPLORATORY/PRODUCTION WELL FOR GAMU WATER DISTRICT (REBID) 1. The GAMU WATER DISTRICT, through the Loan from the Local Water Utilities Administration (LWUA) intends to apply the sum of Six Million Nine Hundre</t>
  </si>
  <si>
    <t xml:space="preserve"> Layout and Staking, Construction of Catchment Tank, Installation of Centrifugal Pump, Construction of Ground Concrete Reservoir, Pipe Trench Excavation and Backfilling, Installation of Pipes and Fittings, Construction of Construction Tapstand, Installatio</t>
  </si>
  <si>
    <t xml:space="preserve"> BIDS AND AWARDS COMMITTEE ATTENTION:		ALL INTERESTED BIDDERS 			 SUBJECT:	INVITATION TO BID –   Procurement of Filing Cabinet for Records Office DATE:	August 3, 2020 - - - - - - - - - - - - - - - - - - - - - - - - - - - - - - - - - - - - - - - - - - - - -</t>
  </si>
  <si>
    <t xml:space="preserve"> Shredder Machines</t>
  </si>
  <si>
    <t xml:space="preserve"> Republic of the Philippines BANGSAMORO AUTONOMOUS REGION IN MUSLIM MINDANAO MINISTRY OF THE INTERIOR AND LOCAL GOVERNMENT Bangsamoro Government Center, Governor Gutierrez Avenue, Rosary Heights VII, Cotabato City 9600 - - INVITATION TO BID FOR THE PROCURE</t>
  </si>
  <si>
    <t xml:space="preserve"> INVITATION TO BID IB NO: 2020-08-25 (16) PROCUREMENT OF VARIOUS MEDICAL EQUIPMENT 1. 	The Caraga Regional Hospital (CRH), through the General Appropriation Act /  Hospital Income intends to apply the sum of FIVE MILLION TWO HUNDRED EIGHTY THOUSAND PESOS O</t>
  </si>
  <si>
    <t xml:space="preserve"> HEALTH KIT – PACKAGE 1 pouch, 1 bar Antibacterial Soap, 1 50 ml. Alcohol spray type, 1 pack facial tissue, 2 surgical mask</t>
  </si>
  <si>
    <t xml:space="preserve"> DRR Related Equipment</t>
  </si>
  <si>
    <t xml:space="preserve"> Chlorine etc. NOTE: To all suppliers bid documents and BAC Resolution 2020-029 are available at BAC Office and at our LGU website.</t>
  </si>
  <si>
    <t xml:space="preserve"> Renovation/Repair/Rehabilitation/Improvement of Day Care Centers</t>
  </si>
  <si>
    <t xml:space="preserve"> INVITATION TO APPLY FOR ELIGIBILITY AND TO BID The Barangay Kalilangan Municipality of San Pablo Province of Zamboanga del Sur, through its Bids and Awards Committee (BAC), invites all interested suppliers/manufacturers/distributors/contractors to apply f</t>
  </si>
  <si>
    <t xml:space="preserve"> LGU - Padre Burgos, Southern Leyte INVITATION TO BID FOR  Procurement of Glass Pulvorizer Padre Burgos, Southern Leyte 1.	The LGU Padre Burgos, Southern Leyte through the LGU- Provincial Fund, CY 2020  intends to apply the sum of Two Hundred Fifty Thousan</t>
  </si>
  <si>
    <t xml:space="preserve"> &lt; Name and Location of Contracts&gt;						Bill of Quantities	 Item No.		Description		Unit	Quantity	Unit Price	Amount in 1	SITE WORKS						 2	EXTERIOR FENCE						 3	INTERIOR FENCE						 4	PAINTING WORKS						 5	FORMWORKS &amp; SCAFFOLDINGS						 6	MISCELLANEOUS W</t>
  </si>
  <si>
    <t xml:space="preserve"> A4 size of paper, perfect bound clear print printed in white paper</t>
  </si>
  <si>
    <t xml:space="preserve"> BIDS AND AWARDS COMMITTEE ATTENTION:		ALL INTERESTED BIDDERS 			 SUBJECT:	INVITATION TO BID –   Procurement of Office Equipment for College of Business Management DATE:	August 3, 2020 - - - - - - - - - - - - - - - - - - - - - - - - - - - - - - - - - - - -</t>
  </si>
  <si>
    <t xml:space="preserve"> 1	Activated Charcoal 50g							1	pack	800.00 2	Cefalexin 500mg  Capsules (100s/box)							30	boxes	300.00 3	Cefalexin 500mg  tablet (10's/box)							100	boxes	300.00 4	Clindamycin 300mg cap (100s/box)							3	boxes	400.00 5	Furosemide 20mg							50	ampule</t>
  </si>
  <si>
    <t xml:space="preserve"> City Government of La Carlota								          Standard Form Number: SF-GOOD-59 Revised on: May 24, 2004 Standard Form Title: REQUEST FOR QUOTATION 												Date: ______________												              Quotation No.________ Company Name Address 	Pleas</t>
  </si>
  <si>
    <t xml:space="preserve"> Republic of the Philippines Province of Occidental Mindoro MUNICIPALITY OF PALUAN Invitation to Bid for the Supply and Delivery of Relief Goods The Local Government Unit of Paluan, Occidental Mindoro through the Provincial Fund – CAFMIP CY 2020 intends to</t>
  </si>
  <si>
    <t xml:space="preserve"> INVITATION TO BID NO. 2020-07-0022 PROCUREMENT OF REHABILITATION OF THE EXISTING CROP AND SOIL SCIENCE LABORATORY BUILDING AND UPGRADING OF THE WATER SYSTEM AND ELECTRICAL INSTALLATION OF CAPSU RDE-CSRDC (LOCATED AT CAPSU BURIAS CAMPUS) (REBIDDING) 1.	The</t>
  </si>
  <si>
    <t xml:space="preserve"> 1  UNI General Examination Chair  -In accordance with the Technical Specifications  ABC: Php 14,850.00 -In accordance with the Technical Specifications  NOTE: Please sign all pages of the Technical Specifications and submit it together with your quotation</t>
  </si>
  <si>
    <t xml:space="preserve"> The DPWH-Ilocos Sur 1st District Engineering Office, through its Bids and Awards Committee (BAC), invites contractors to submit bids for the following Contract:   Contract ID: 20AC0115   Contract Name: Concreting of Brgy. Maas-asin to Brgy. Maratudo FMR, </t>
  </si>
  <si>
    <t xml:space="preserve"> LGU - Padre Burgos, Southern Leyte INVITATION TO BID FOR  Procurement of Various Drugs and Medicines  (3RD Quarter 2020) Padre Burgos, Southern Leyte 1.	The LGU Padre Burgos, Southern Leyte through the General Fund, CY 2020  intends to apply the sum of On</t>
  </si>
  <si>
    <t xml:space="preserve"> INVITATION TO BID FOR THE PROCUREMENT PROJECT: REPRODUCTION AND DOOR TO DOOR DELIVERY TO SCHOOLS DIVISION OFFICES OF REGION VII OF SELF-LEARNING MODULES PROVIDED BY THE DEPED CENTRAL OFFICE FOR QUARTER I 1.	The Department of Education- Region VII, through</t>
  </si>
  <si>
    <t xml:space="preserve"> The Municipality of Tanza, Cavite, through its Bids and Awards Committee (BAC), invites suppliers/manufacturers/distributor/contractors to apply for eligibility and to bid for the hereunder project: 	Name of Project	: PROCUREMENT OF FIVE (5) UNITS MOTORCY</t>
  </si>
  <si>
    <t xml:space="preserve"> Other Supplies  and Materials</t>
  </si>
  <si>
    <t xml:space="preserve"> Republic of the Philippines Province of Iloilo  Municipality of Pototan BIDS AND AWARDS COMMITTEE INVITATION TO BID 1.	The Municipality of Pototan, through the SEF Fund‘‘ intends to apply the sum of (1,065,000.00) being the Approved Budget for the Contrac</t>
  </si>
  <si>
    <t xml:space="preserve"> Brief Description of the Project		 Quantity	Unit	Item Description 		Medicines 12	boxes	Paracetamol 500mg tablet 8	boxes	Metroprolol 500mg tablet 40	tablets	Diltiazen 30mg tablet 30	tablets	Isosorbide Dinitrate 5mg tablet 20	ampules	Epinephrine 1mg/ml ampu</t>
  </si>
  <si>
    <t xml:space="preserve"> NOTICE OF NEGOTIATED PROCUREMENT (Negotiated Procurement due to Two-Failed Biddings) DSWD NNP No. 20-TFB-005 “RENOVATION OF DSWD-SOCIAL WELFARE AND DEVELOPMENT CENTER FOR ASIA AND THE PACIFIC (SWADCAP) AT 2ND FLOOR (PHASE II)” (PR No. 2019010112) 1. The D</t>
  </si>
  <si>
    <t xml:space="preserve"> Invitation to Bid Procurement of ICT Equipment and Accessories 		 1.	The Department of Environment and Natural Resources (DENR), CALABARZON Region , through the General Appropriations Acts of  2020 intends to apply the sum of One Million One Hundred Forty</t>
  </si>
  <si>
    <t xml:space="preserve"> Section I. Invitation to Bid SUPPLY OF MATERIALS, LABOR AND EQUIPMENT FOR THE CONSTRUCTION OF PUMP HOUSE AND PERIMETER FENCE AND SITE DEVELOPMENT OF LINAO NORTE PUMPING STATION 02, LINAO NORTE, TUGUEGARAO CITY (RE-BIDDING) 1. The Metropolitan Tuguegarao W</t>
  </si>
  <si>
    <t xml:space="preserve"> Concreting of ARC Road, Brgy. Jibolo-Balanac-Aguingay-Danao and Calmay, JAniuay, Iloilo Item No.	DESCRIPTION	Qty.	Unit A.I.1(3)	Construction of Field Office	1.00	L.s. B.5	Project Billboard/Signboard (COA)	1.00	Each SPL 1	Mobilization/Demobilization	1.00	L</t>
  </si>
  <si>
    <t xml:space="preserve"> Republic of the Philippines Province of Iloilo  Municipality of Pototan BIDS AND AWARDS COMMITTEE INVITATION TO BID 1.	The Municipality of Pototan, through the Gen Fund‘‘ intends to apply the sum of (200,000.00) being the Approved Budget for the Contract </t>
  </si>
  <si>
    <t xml:space="preserve"> Brief Description of the Project				 Quantity	Unit	Item Description		  1.00 	unit	Passenger Van (converted into an ambulance		 		   and fitted with necessary medical equipment		 		   and apparatus)		 		Specifications:		 		Engine:		 		·         not exceddi</t>
  </si>
  <si>
    <t xml:space="preserve"> INVITATION TO BID (2020-07-04) The Department of Justice (DOJ), through the Bids and Awards Committee (BAC) is inviting interested parties to bid for the following projects:                                                                                Pr</t>
  </si>
  <si>
    <t xml:space="preserve"> Republic of the Philippines COURT OF APPEALS Manila BIDS &amp; AWARDS COMMITTEE ON PURCHASE &amp; ACQUISITION OF COURT FACILITIES, EQUIPMENT &amp; SUPPLIES INVITATION TO BID FOR THE  SUPPLY OF 1-YEAR LICENSE SUBSCRIPTIONS FOR ONE (1) UNIT OF SONICWALL NSA-6600, TWO (</t>
  </si>
  <si>
    <t xml:space="preserve"> Improvement of Covered Court ABC: Php 468,342.00 I. EXCAVATION II. CONCRETE WORKS (FLOORING) III. CONCRETE OPEN LINE CANAL (0.30 X 0.30 X 48M) IV. GRAND STAND (0.40 X 0.50M) V. TWO(2) UNIT BASKETBALL GOAL  	    INVITATION TO APPLY FOR ELIGIBILITY AND TO B</t>
  </si>
  <si>
    <t xml:space="preserve"> Portable PA Chainsaw Spine Board Hard Head Hat Neck Collar Microphone</t>
  </si>
  <si>
    <t xml:space="preserve"> INVITATION TO BID (2020-07-04) The Department of Justice (DOJ), through the Bids and Awards Committee (BAC) is inviting interested parties to bid for the following projects:                                                                    Project			:	Pu</t>
  </si>
  <si>
    <t xml:space="preserve"> Procurement of Audio Visual Equipment</t>
  </si>
  <si>
    <t xml:space="preserve"> Various Drugs and Medicines &amp; Laboratory Equipments /Supplies</t>
  </si>
  <si>
    <t xml:space="preserve"> 1.	The Provincial Government of Antique, through the 20% IRA-CY 2020 (Social Development Sector) intends to apply the sum Nine Hundred Sixty Eight Thousand One Hundred Ninety Five Pesos &amp; 20/100 (Php 968, 195.20) being the Approved Budget for the Contract</t>
  </si>
  <si>
    <t xml:space="preserve"> 1.	The Provincial Government of Antique, through the 20% IRA-CY 2020 (Environmental Development Sector) intends to apply the sum One Million Nine Hundred Fifty One Thousand Six Hundred Ninety Three Pesos &amp; 72/100 (Php 1, 951, 693.72) being the Approved Bu</t>
  </si>
  <si>
    <t xml:space="preserve"> 1. The Local Government Unit of Amulung, Cagayan through the Solid Waste Management (20% Development Fund 2015 &amp; 2016) 20% Development Fund 2015-325,325.00, 20% Development Fund 2016-635,751.68 intends to apply the sum of Php 960,769.97 being the Approved</t>
  </si>
  <si>
    <t xml:space="preserve"> Steel Bar, Steel Post, Heavy Duty Wheel, Cement, Sand, Gravel and Barrel Lock</t>
  </si>
  <si>
    <t xml:space="preserve"> Brief Description of the Project		 Quantity	Unit	Item Description 500	kits	Rapid Antibody Test Kits</t>
  </si>
  <si>
    <t xml:space="preserve"> Retractable Tent (3x6), Installation of Signages</t>
  </si>
  <si>
    <t xml:space="preserve"> Office Supplies Equipment and Consumables</t>
  </si>
  <si>
    <t xml:space="preserve"> Contract Location:  TIWI, ALBAY Brief Description: REHABILITATION/RECONSTRUCTION OF ROAD SLIPS Source of Funds: GAA 2020 DPWH OUTSIDE INFRA (Calamity Fund) The BAC is conducting the public bidding for this Contract in accordance with RA 9184 and its Imple</t>
  </si>
  <si>
    <t xml:space="preserve"> Republic of the Philippines Province of Iloilo  Municipality of Pototan BIDS AND AWARDS COMMITTEE INVITATION TO BID 1.	The Municipality of Pototan, through the SEF Fund‘‘ intends to apply the sum of (770,000.00) being the Approved Budget for the Contract </t>
  </si>
  <si>
    <t xml:space="preserve"> 4 UNITS OF COLUMNS, 2 UNITS OF TEEL TRUSSES WITHOUT PURLINS AND 4 UNITS OF STEEL BEAMS</t>
  </si>
  <si>
    <t xml:space="preserve"> Proposed Entry Landmark in Various Locations at Makati City - Order of payment for Bid Docs will be available at GSD-Head Office @ 10th Floor Makati City Hall Bldg. 2.  Look for Mr. Reden Villanueva. - A  complete set of Bidding Documents will be availabl</t>
  </si>
  <si>
    <t xml:space="preserve"> OTHER MACHINERY &amp; EQUIPMENT - ACQUISITION OF SOUND SYSTEM FOR THE REPLACEMENT OF THE OLD &amp; DEFECTIVE EXISTING UNIT IN THE SB SESSION HALL, IN RESPECT TO THE MFC RESOLUTION 01-2020, STATING THE DISCONTINUANCE ON THE PURCHASE OF PPE's, EXCEPT THOSE ARE REAL</t>
  </si>
  <si>
    <t xml:space="preserve"> 1. The Local Government Unit of Amulung, Cagayan through the Repair &amp; Maintenance of Municipal Building Fund intends to apply the sum of Php 256,356.10 being the Approved Budget for the Contract (ABC) to payments under the contract for Repair &amp; Improvemen</t>
  </si>
  <si>
    <t xml:space="preserve"> Brief Description of the Project					 Quantity	Unit	Item Description			 1	unit	Pick-up (for conversion into a rescue vehicle 			 		   equipped with the necessary equipment &amp; 			 		   apparatus)			 		Specifications:			 		   - engine displacement not exceed</t>
  </si>
  <si>
    <t xml:space="preserve"> INVITATION TO BID FOR  1.	The Municipal Government of Coron, Palawan, through the 2020 Annual Municipal Budget intends to apply the sum of Three Hundred Fifty Eight Thousand Nine Hundred Twenty Pesos (PhP358,920.00) being the Approved Budget for the Contr</t>
  </si>
  <si>
    <t xml:space="preserve"> 1 REGION XII Province of Cotabato Municipality of Midsayap BIDS &amp; AWARDS COMMITTEE Tel. Nos. (064) 229-8018; 229-8650; 229-8450 INVITATION TO BID FOR  2020-084, SUPPLY AND DELIVERY OF I.T. EQUIPMENTS FOR VARIOUS SCHOOLS OF MIDSAYAP, COTABATO 1. The MUNICI</t>
  </si>
  <si>
    <t xml:space="preserve"> Lease of venue, including accommodation and meals for the Training Course on Open-Pollinated Variety (OPV) Corn Seed Production and Seed Certification for Seed Inspectors.	 	 Technical Specification:	 I. Availability	          a. Date: August 17-21, 2020	</t>
  </si>
  <si>
    <t xml:space="preserve"> INVITATION TO BID INSTALLATION OF AC POWERED LED STREETLIGHT ALONG TOOG AVENUE, BARANGAY 2, SFADS The Municipal Government of San Francisco, Agusan del Sur, through the BIDS and AWARDS COMMITTEE (BAC) intends to apply the sum of NINE HUNDRED NINETY NINE T</t>
  </si>
  <si>
    <t xml:space="preserve"> REPUBLIC OF THE PHILIPPINES PROVINCE OF PANGASINAN MUNICIPALITY OF TAYUG BARANGAY POBLACION ‘A’ INVITATION TO BID  FOR  THE SUPPLY AND DELIVERY OF EQUIPMENT FOR E-LIBRARY OF BARANGAY POBLACION ‘A’, TAYUG, PANGASINAN 1.	The BARANGAY POBLACION ‘A’ – TAYUG P</t>
  </si>
  <si>
    <t xml:space="preserve"> RFQ NO. 20-07-097 - Procurement of Tires and Vehicle Parts for use of various service vehicles and heavy equipment.</t>
  </si>
  <si>
    <t xml:space="preserve"> INVITATION TO BID LGU-El Salvador City, Misamis Oriental through its BAC, invites interested bidders to apply for eligibility and if found eligible to bid for the contract: 1.	Contract ID No.	:	ITB No. 2020-08-076/Project ID No. 20-023-20% Name of Project</t>
  </si>
  <si>
    <t xml:space="preserve"> INVITATION TO BID FOR  1.	The Municipal Government of Coron, Palawan, through the 2020 Annual Municipal Budget intends to apply the sum of Nine Million Nine Hundred Ninety Six Thousand  Pesos (PhP9,996,000.00) being the Approved Budget for the Contract (A</t>
  </si>
  <si>
    <t xml:space="preserve"> RFQ NO 20-07-091 - Purchase of Toner for use in the Photocopier Machine of Various Section for the 2nd &amp; 3rd Quarter</t>
  </si>
  <si>
    <t xml:space="preserve"> Republic of the Philippines Province of Davao Oriental CITY OF MATI REQUEST FOR QUOTATION 			 Date:	30 JULY 2020 RFQ No.:	1037-2020 Name of Company: __________________________________________________________________________________________________________</t>
  </si>
  <si>
    <t xml:space="preserve"> INVITATION TO BID  Supply and Delivery of 726 bags of Rice for Distribution to DA RFO 5 Permanent Employees ( for January to March 2020) under 2020 STO-FPMA and STO- O&amp;M of ILD 	The Department of Agriculture Regional Field Office No. 5, through the Genera</t>
  </si>
  <si>
    <t xml:space="preserve"> Republic of the Philippines Province of Davao Oriental CITY OF MATI REQUEST FOR QUOTATION 			 Date:	30 JULY 2020 RFQ No.:	1039-2020 Name of Company: __________________________________________________________________________________________________________</t>
  </si>
  <si>
    <t xml:space="preserve"> REGION XII Province of Cotabato Municipality of Midsayap BIDS &amp; AWARDS COMMITTEE Tel. Nos. (064) 229-8018; 229-8650; 229-8450 INVITATION TO BID FOR  2020-092, CONCRETING OF ROAD FROM OLD SLAUGHTERHOUSE TO DAY CARE CENTER AT  POBLACION 1, MIDSAYAP, COTABAT</t>
  </si>
  <si>
    <t xml:space="preserve"> Republic of the Philippines Province of Samar Municipality of Sta. Rita BIDS AND AWARDS COMMITTEE INVITATION TO BID The Municipality of Sta. Rita, through LGU funds intends to apply the sum of ONE HUNDRED FIFTY THOUSAND PESOS (Php150,000.00) only being th</t>
  </si>
  <si>
    <t xml:space="preserve"> Republic of the Philippines Province of Davao Oriental CITY OF MATI REQUEST FOR QUOTATION 			 Date:	30 JULY 2020 RFQ No.:	1040-2020 Name of Company: __________________________________________________________________________________________________________</t>
  </si>
  <si>
    <t xml:space="preserve"> REGION XII Province of Cotabato Municipality of Midsayap BIDS &amp; AWARDS COMMITTEE Tel. Nos. (064) 229-8018; 229-8650; 229-8450 INVITATION TO BID FOR  2020-094, CONSTRUCTION OF DISTRIBUTION LINE AT UPPER GLAD 2 RESETTLEMENT PROJECT  PHASE 1 AT UPPER GLAD 2,</t>
  </si>
  <si>
    <t xml:space="preserve"> 1 REGION XII Province of Cotabato Municipality of Midsayap BIDS &amp; AWARDS COMMITTEE Tel. Nos. (064) 229-8018; 229-8650; 229-8450 INVITATION TO BID FOR  2020-089, SUPPLY, DELIVERY AND INSTALLATION OF SOLAR STREET LIGHTS AT IDENTIFIED EVACUATION CENTERS  OF </t>
  </si>
  <si>
    <t xml:space="preserve"> Concreting of Pathway</t>
  </si>
  <si>
    <t xml:space="preserve"> 1	Cucumber seeds, germination rate: 88% and up, Hybridity 90-100%, best until 2022, 3000 seeds in can=30 cans 2	Cabbage seeds, Germination rate:88% and up, Hybridity 90-100%, Best until 2022, 25 grams/can= 30 cans 3	Pechay seeds, flowering, germination ra</t>
  </si>
  <si>
    <t xml:space="preserve"> Invitation to Bid for the Supply and Delivery of Hygiene Supplies K to Grade 6 Learners for SHDP The Department of Education, Regional Office V, through General Appropriations Act FY 2020 and 2020 Regional Office Funds, intends to apply the sum of Thirty </t>
  </si>
  <si>
    <t xml:space="preserve"> Construction of Concrete water tank</t>
  </si>
  <si>
    <t xml:space="preserve"> 1. 8 kilo CW Nails 1" 2. 6 kilo CW Nails 2" 3. 18 kilo CW Nails 3" 4. 2 kilo CW Nails 4" 5. 1 kilo CW Nails 5" 6. 4 cans Acri Color 7. 86 bags Cement 8. 75 sheet Corrugated G.I Roofing 10ft,0.5mm 9. 45 sheet Corrugated G.I Roofing 12ft, 0.5mm 10. 31 sheet</t>
  </si>
  <si>
    <t xml:space="preserve"> INVITATION TO BID FOR THE PURCHASE OF COMPUTERS AND COMPUTER PERIPHERALS/GOODS-2020-04 (RE-BIDDING) 1.	The Philippine Science High School - CALABARZON Region Campus (PSHS-CALABARZONRC), through the General Appropriations Act of 2020 intends to apply the s</t>
  </si>
  <si>
    <t xml:space="preserve"> Rehabilitation of brgy. road</t>
  </si>
  <si>
    <t xml:space="preserve"> Barangay Ususan through its Bid and Awards Committee (BAC) invites Contractors to bid for the hereunder project: Bidding will be conducted through open competitive bidding procedures using a non-discretionary "pass/fail" criteria as specified in Republic </t>
  </si>
  <si>
    <t xml:space="preserve"> Republic of the Philippines Province of Samar Municipality of Sta. Rita The Municipality of Sta. Rita, through Municipal Agriculture Office MOOE fund intends to apply the sum of SIX HUNDRED EIGHT THOUSAND FIVE HUNDRED PESOS (Php608,500.00) ONLY being the </t>
  </si>
  <si>
    <t xml:space="preserve"> MUNICIPALITY OF TABOGON				           				                                                          SUPPLY &amp; DELIVERY OF SUPPLIES &amp; MATERIALS                                                                                 FOR THE CONCRETE FENCING (FRONTAG</t>
  </si>
  <si>
    <t xml:space="preserve"> This Addendum No. 1 dated 3 August 2020 is issued to clarify, modify or amend items in the Bid Documents.  This shall form an integral part of the Bid Documents. ISSUES	CLARIFICATION/AMENDMENTS Section VI. Schedule of Requirements L	Surigao K9 Team 1 Hand</t>
  </si>
  <si>
    <t xml:space="preserve"> Republic of the Philippines Province of Davao Oriental CITY OF MATI REQUEST FOR QUOTATION 			 Date:	30 JULY 2020 RFQ No.:	1029-2020 Name of Company: __________________________________________________________________________________________________________</t>
  </si>
  <si>
    <t xml:space="preserve"> INVITATION TO BID Supply and Delivery of Various Toners and Inks with Free Use of Service Printers for Central and Eastern Visayas  (Re-bidding) The Pag-IBIG Fund Technical and Administrative Support for Central and Eastern Visayas (TAS-CEV), through its </t>
  </si>
  <si>
    <t xml:space="preserve"> INVITATION TO BID FOR: LOT 1 – SUPPLY AND DELIVERY to Schools of Substance 20, A4 Bond Paper for the Reproduction of Learning Modules for the Implementation of the Basic Education – Learning Continuity Plan (BE-LCP) to the Public Schools of DepEd Naga Cit</t>
  </si>
  <si>
    <t xml:space="preserve"> INVITATION TO BID FOR: SUPPLY AND DELIVERY to Schools of Substance 20, A4 Bond Paper for the Reproduction of Learning Modules for the Implementation of the Basic Education – Learning Continuity Plan (BE-LCP) to all the Districts of Public Schools in DepEd</t>
  </si>
  <si>
    <t xml:space="preserve"> 1.	The LGU-Mallig, Isabela, through the Tobacco Excise Tax 2016 intends to apply the sum of Eight Hundred Eighteen Thousand Eight Hundred Thirty-Seven Pesos &amp; 56/100 Only (Php 818,837.56) being the Approved Budget for the Contract (ABC) to payments under </t>
  </si>
  <si>
    <t xml:space="preserve"> Republic of the Philippines Province of Camarines Sur MUNICIPALITY OF NABUA Barangay Bustrac  INVITATION TO APPLY FOR ELIGIBILITY AND TO BID The Barangay Bustrac, Nabua, Camarines Sur, thru its Bids and Awards Committee (BAC), invites Suppliers/Distributo</t>
  </si>
  <si>
    <t xml:space="preserve"> Republic of the Philippines Province of South Cotabato Municipality of Banga BARANGAY RIZAL POBLACION Cellphone No. 09306645185 CONTACT PERSON: MARCELO M. TANDOG - BAC CHAIRMAN Invitation to Apply for Eligibility and to Bid The Barangay Rizal Pob. Banga, </t>
  </si>
  <si>
    <t xml:space="preserve"> Republic of the Philippines Province of Davao Oriental CITY OF MATI REQUEST FOR QUOTATION 			 Date:	30 JULY 2020 RFQ No.:	1032-2020 Name of Company: __________________________________________________________________________________________________________</t>
  </si>
  <si>
    <t xml:space="preserve"> INVITATION TO BID FOR THE  PROCUREMENT OF PLASTIC PALLET  IB NO. 2020-232 1.	The Department of Health (DOH), through the General Appropriations Act of 2020 intends to apply the sum of Two Million Five Hundred Philippine Pesos (PhP2,500,000.00) being the A</t>
  </si>
  <si>
    <t xml:space="preserve"> INVITATION TO BID: BID REF. NO.: 2020-24 “SUPPLY AND DELIVERY OF 500,000 PIECES AFRICAN CATFISH FINGERLINGS FOR DISTRIBUTION AS LIVELIHOOD ASSISTANCE FOR THE FISHERFOLKS AFFECTED BY COVID-19 PANDEMIC IN THE AREA OF MINDANAO.” 1.	The Bureau of Fisheries an</t>
  </si>
  <si>
    <t xml:space="preserve"> Republic of the Philippines Region X PROVINCE OF LANAO DEL NORTE Municipality of Linamon -oOo- BIDS AND AWARDS COMMITTEE (BAC) INVITATION TO BID FOR SUPPLY AND DELIVERY OF EDUCATIONAL SUPPLIES &amp; EQUIPMENT FOR THE DIFFERENT SCHOOLS IN THE MUNICIPALITY OF L</t>
  </si>
  <si>
    <t xml:space="preserve"> -Computer Set with complete accessories	 (Specs:  Ryzrn 5 2400g, msi b450, 8x2 16gb	 ram ddr4 2666mhz, 500w power supply, 	 case rakk, ssd 250gb, 1terra HD, 23.4	 nvision curve type, ios monitor, keyboard	 and mouse rgb); -Hard Drive 2TB;	 -Wireless Mouse</t>
  </si>
  <si>
    <t xml:space="preserve"> RFQ No. 20-07-087 - Purchase of Coring Bit for use of Quality Assurance Section</t>
  </si>
  <si>
    <t xml:space="preserve"> Please download the attached bidding document for more info about the activity. For further information, please refer to: Mrs. Maria Flora T. Pandes or Mrs. Herbie B. De Lemios  Department of Education-Schools Division Office Division of Camarines Norte F</t>
  </si>
  <si>
    <t xml:space="preserve"> Supply and Delivery of Fuels/Fuel Additives &amp; Lubricants &amp; Anti Corrosive for Opening of Barangay Road</t>
  </si>
  <si>
    <t xml:space="preserve"> 1 UNIT ROAD GRADER @1DAY 1 UNIT ROAD ROLLER @ 2 DAYS 124 CU.M SELECTED COMMON BORROW/CLAY 5 LOADS MIXED AGGREGATES</t>
  </si>
  <si>
    <t xml:space="preserve"> INVITATION TO BID FOR THE PROCUREMENT OF MATERIALS FOR THE CONSTRUCTION OF MULTI-PURPOSE HALL OF BARANGAY 9 POBLACION, TIGBAUAN, ILOILO</t>
  </si>
  <si>
    <t xml:space="preserve"> Provide Fuel, Oil, Lubricants and Complete Servicing for DA RP Vehicles for the period of August to December 2020 9,160 liters Fuel (Diesel Octane No. 93)  P458,000.00 Conditions: 1. Biddder must submit a detailed price computation (cost breakdown) with t</t>
  </si>
  <si>
    <t xml:space="preserve"> INVITATION TO BID Project Name:	Water System (Drilling, Replacement/Installation of Jetmatic Pump) Name of Bidder:	 Address :	 ITB Number:	Dawan - 01-20 ABC	P 100,000.00 Project Duration	9 Calendar Days Please quote your lowest price on the item/s listed </t>
  </si>
  <si>
    <t xml:space="preserve"> *Bids received in excess of the ABC shall be automatically rejected at bid opening. 2. The City Government through the Bids and Awards Committee (BAC) hereby invites all interested PhilGEPS registered contractors, and bidders to submit proposals and bids </t>
  </si>
  <si>
    <t xml:space="preserve"> Republic of the Philippines								 Province of Benguet								 Municipality of Buguias								 BIDS AND AWARDS COMMITTEE								 								 			Purchase Request Number:				Date:	 			Name of the Project:				Quotation No:	 			Location of the Project:				OBR #</t>
  </si>
  <si>
    <t xml:space="preserve"> Republic of the Philippines City of Iriga Main City Hall Building, Sta. Cruz Sur Telefax No. (054) 299-1933 OFFICE OF THE BIDS AND AWARDS COMMITTEE   INVITATION TO BID The City of Iriga, through its Bids and Awards Committee (BAC) hereby invites all inter</t>
  </si>
  <si>
    <t xml:space="preserve"> 1.	The LGU-Mallig, Isabela, through the Trust Fund from the Provincial Government of Isabela intends to apply the sum of Twenty Million Pesos Only (Php 20,000,000.00) being the Approved Budget for the Contract (ABC) to payments under the contract for LGU-</t>
  </si>
  <si>
    <t xml:space="preserve"> INVITATION TO BID FOR THE PROCUREMENT OF GROCERY ITEMS FOR BANGUN IMPLEMENTATION IN TAWI-TAWI PROVINCE The Department of Social Welfare and Development (DSWD) Field Office IX through the Government of the Philippines General Appropriations Act of 2020 int</t>
  </si>
  <si>
    <t xml:space="preserve"> Republic of the Philippines Province of Isabela LOCAL GOVERNMENT UNIT OF BENITO SOLIVEN INVITATION TO BID FOR THE PROCUREMENT OF MEDICINES AND MEDICAL SUPPLIES – 3RD QUARTER (GENERAL FUND) 1.	The Municipal Government of Benito Soliven, intends to apply th</t>
  </si>
  <si>
    <t xml:space="preserve"> 1. The ENERGY REGULATORY COMMISSION (ERC), through the Government of the Philippines (GOP), intends to apply the sum of One Million Three Hundred Thirty-three Thousand Three Hundred Thirty-three Pesos and Thirty-three Centavos (PhP1,333,333.33), inclusive</t>
  </si>
  <si>
    <t xml:space="preserve"> Republic of the Philippines									 Province of Benguet									 Municipality of Buguias									 BIDS AND AWARDS COMMITTEE									 									 			Purchase Request Number:				Date:		 			Name of the Project:				Quotation No:		 			Location of the Project:		</t>
  </si>
  <si>
    <t xml:space="preserve"> 1. The ENERGY REGULATORY COMMISSION (ERC), through the Government of the Philippines (GOP), intends to apply the sum of Four Million Three Hundred Eighty-One Thousand Six Hundred Sixty-Six Pesos and Sixty-Seven Centavos (PhP4,381,666.67), inclusive of all</t>
  </si>
  <si>
    <t xml:space="preserve"> Republic of the Philippines Province of Romblon MUNICIPALITY OF ALCANTARA -o0o- Invitation to Bid for   CONSTRUCTION OF POBLACION TO MALANTUYON BAYWALK ACCESS ROAD Poblacion, Alcantara, Romblon The Municipal Government of Alcantara, Romblon through the 20</t>
  </si>
  <si>
    <t xml:space="preserve"> INVITATION TO BID  IB-2020-107-INFRA  Proposed Construction of Sewage Treatment Plant House with Solar Panel Installation for Carbon Footprint Reduction and Water Storage Tank The Metropolitan Manila Development Authority, through the Trust Fund intends t</t>
  </si>
  <si>
    <t xml:space="preserve"> Republic of the Philippines Province of Ilocos Norte SOLSONA Barangay 13, Nalasin INVITATION TO BID FOR PURCHASE OF CONSTRUCTION MATERIALS &amp; SUPPLIES FOR THE RENOVATION OF BARANGAY HALL 1.	The Barangay Gov’t. of Nalasin, Solsona, Ilocos Norte, through the</t>
  </si>
  <si>
    <t xml:space="preserve"> SUPPLY AND DELIVERY OF CHEMICALS AND FILTERING SUPPLIES MUNICIPAL ENVIRONMENT AND NATURAL RESOURCES OFFICE BALAYAN, BATANGAS</t>
  </si>
  <si>
    <t xml:space="preserve"> INVITATION TO BID FOR THE PROCUREMENT OF MATERIALS FOR THE CONSTRUCTION OF EVACUATION CENTER (COVERED GYM)OF BARANGAY BAGUMBAYAN, TIGBAUAN, ILOILO</t>
  </si>
  <si>
    <t xml:space="preserve"> Purchase of supplies and Materials for livelihood projects</t>
  </si>
  <si>
    <t xml:space="preserve"> INVITATION TO BID FOR THE PROCUREMENT OF GROCERY ITEMS FOR BANGUN IMPLEMENTATION IN SULU PROVINCE The Department of Social Welfare and Development (DSWD) Field Office IX through the Government of the Philippines General Appropriations Act of 2020 intends </t>
  </si>
  <si>
    <t xml:space="preserve"> Republic of the Philippines PROVINCE OF DAVAO ORIENTAL MUNICIPALITY OF SAN ISIDRO INVITATION TO BID FOR THE PROCUREMENT OF WORKS FOR THE CONST’N OF ONE UNIT MULTI-PURPOSE BUILDING AT  SAN ISIDRO NATIONAL HIGH SCHOOL, BATOBATO, SAN ISIDRO, DAVAO ORIENTAL 1</t>
  </si>
  <si>
    <t xml:space="preserve"> SUPPLY AND DELIVERY OF CHEMICALS FOR INSECTICIDES AND DISINFECTANTS Municipal Health Office Balayan, Batangas</t>
  </si>
  <si>
    <t xml:space="preserve"> Republic of the Philippines PROVINCE OF DAVAO ORIENTAL MUNICIPALITY OF SAN ISIDRO INVITATION TO BID FOR THE PROCUREMENT OF WORKS FOR THE CONST’N OF ONE UNIT MULTI-PURPOSE BUILDING AT  BITAOGAN NATIONAL HIGH SCHOOL, BITAOGAN, SAN ISIDRO, DAVAO ORIENTAL 1.	</t>
  </si>
  <si>
    <t xml:space="preserve"> Invitation to Bid  IB-2020-108-INFRA Procurement and Installation of CCTV Cameras for MMDA’s No Contact Apprehension Program to Expand MMDA’s Network Coverage in Traffic Monitoring and Safe Environment The Metropolitan Manila Development Authority, throug</t>
  </si>
  <si>
    <t xml:space="preserve"> *Bids received in excess of the ABC shall be automatically rejected at bid opening. 2. Bidding will be conducted through an open competitive bidding procedure using non-discretionary pass/fail criterion as specified in the Revised Implementing Rules and R</t>
  </si>
  <si>
    <t xml:space="preserve"> 1.	The Municipality of Esperanza, Masbate through the Appropriation Ordinance No. 6, series of 2019 under the Office of the Municipal Health Officer intends to apply the sum of Four Hundred Seventy Six Thousand Three Hundred Seventeen Pesos (₱476,317.00) </t>
  </si>
  <si>
    <t xml:space="preserve"> Education Supplies and Materials</t>
  </si>
  <si>
    <t xml:space="preserve"> 1.	The Municipality of Esperanza, Masbate through the Appropriation Ordinance No. 6, series of 2019 under the Office of the Municipal Health Officer intends to apply the sum of Two Hundred Ninety Five Thousand and Fourteen Pesos (₱295,014.00) being the Ap</t>
  </si>
  <si>
    <t xml:space="preserve"> Please see attached bidding documents or you may visit our website @www.prc.gov.ph.</t>
  </si>
  <si>
    <t xml:space="preserve"> INVITATION TO BID FOR THE PROCUREMENT OF SEMI-PERISHABLE ITEMS FOR BANGUN IMPLEMENTATION IN BASILAN PROVINCE The Department of Social Welfare and Development (DSWD) Field Office IX through the Government of the Philippines General Appropriations Act of 20</t>
  </si>
  <si>
    <t xml:space="preserve"> Purchase of Clean and Green Supplies and Materials</t>
  </si>
  <si>
    <t xml:space="preserve"> See attached Annex "A" for the Technical Specifications and Schedule of Requirements</t>
  </si>
  <si>
    <t xml:space="preserve"> The LGU-Pandan, Catanduanes now invites bids for the construction of 2nd floor of multi-purpose hall with floor area of 56sq.m.  (see approved plans and specifications) at Barangay Tabugoc, Pandan, Catanduanes with the following scope of work; Description</t>
  </si>
  <si>
    <t xml:space="preserve"> Republic of the Philippines  Department of  Science and Technology  Regional Office No. IX  Pettit Barracks,   Zamboanga  CIty Tel. Nos. (062) 992-1114; (062) 991-1024 INVITATION TO BID SUPPLY AND DELIVERY OF VARIOUS LABORATORY CHEMICALS AND REAGENTS  PR-</t>
  </si>
  <si>
    <t xml:space="preserve"> INVITATION TO BID FOR THE PROCUREMENT OF SEMI-PERISHABLE ITEMS FOR BANGUN IMPLEMENTATION IN TAWI-TAWI PROVINCE The Department of Social Welfare and Development (DSWD) Field Office IX through the Government of the Philippines General Appropriations Act of </t>
  </si>
  <si>
    <t xml:space="preserve"> Republic of the Philippines CITY GOVERNMENT OF SAN FERNANDO Barangay Poro INVITATION TO BID FOR  Expansion of Barangay Teen Center Barangay Poro, City of San Fernando 1.	The Barangay Poro, through the Barangay Fund intends to apply the sum of One Hundred </t>
  </si>
  <si>
    <t xml:space="preserve"> Republic of the Philippines  Department of  Science and Technology  Regional Office No. IX  Pettit Barracks,   Zamboanga  CIty Tel. Nos. (062) 992-1114; (062) 991-1024 INVITATION TO BID SUPPLY AND DELIVERY OF VARIOUS LABORATORY SUPPLIES    PR-20-01-0014 T</t>
  </si>
  <si>
    <t xml:space="preserve"> Republic of the Philippines PROVINCE OF CAGAYAN MUNICIPALITY OF CLAVERIA INVITATION TO BID  									 July 30, 2020   	The Local Government Unit of Claveria, Cagayan through the Trust Fund (MMK) of the Municipality of Claveria, Cagayan would like to apply</t>
  </si>
  <si>
    <t xml:space="preserve"> Procurement of Supplies for Pampang Market</t>
  </si>
  <si>
    <t xml:space="preserve"> Procurement of Insecticides</t>
  </si>
  <si>
    <t xml:space="preserve"> supply and delivery of the following: Lot 1 - LIVESTOCK                                         pHP 1,352,500.00 127 Heads - Upgraded Native Goat Specification: • Matured kid ready for breeding • Female kid • Not less than 8kgs. 2,050 heads - Native chick</t>
  </si>
  <si>
    <t xml:space="preserve"> Province of Benguet								 Municipality of Buguias								 BIDS AND AWARDS COMMITTEE								 								 			Purchase Request Number:				Date:	 			Name of the Project:				Quotation No:	 			Location of the Project:				OBR #:	 								 REQUEST FOR QUOTATION			</t>
  </si>
  <si>
    <t xml:space="preserve"> INVITATION TO BID FOR THE SUPPLY, DELIVERY, AND INSTALLATION OF TECHNICAL AND SCIENTIFIC EQUIPMENT FOR THE ADVANCED SCIENCE AND TECHNOLOGY BUILDING OF PSHS CALABARZON REGION CAMPUS/GOODS-2020-05 1.	The Philippine Science High School - CALABARZON Region Ca</t>
  </si>
  <si>
    <t xml:space="preserve"> Republic of the Philippines Province of Romblon MUNICIPALITY OF MAGDIWANG INVITATION TO BID UPGRADING OF LOCAL ACCESS ROAD IN SITIO PINAMANG AN  Project ID No. 08-2020-009 August 03, 2020 1.	The Municipality of Magdiwang, Romblon, through its DILG-LGSF-AM</t>
  </si>
  <si>
    <t xml:space="preserve"> The LGU-Pandan, Catanduanes now invites bids for the road opening of 1,400 linear meter x 8.00m roadway (see approved plans and specifications) at Barangay Porot-San Isidro, Pandan, Catanduanes with the following scope of work; Description	Unit	Quantity P</t>
  </si>
  <si>
    <t xml:space="preserve"> Procurement of HBSAG etc..</t>
  </si>
  <si>
    <t xml:space="preserve"> 1.	The Agricultural Training Institute-Regional Training Center VI (ATI-RTC VI), ASU Campus, Banga, Aklan, through the National Livestock Program 2020 intends to apply the sum of One Million Five Hundred Thousand Pesos (₱ 1,500,000.00) being the Approved </t>
  </si>
  <si>
    <t xml:space="preserve"> Republic of the Philippines Province of Cotabato Municipality of Antipas Barangay Poblacion BIDS AND AWARDS COMMITTEE INVITATION TO BID FOR  Supply and Delivery of One Unit Motorcycle 1.	The Barangay Local Government of Poblacion, Antipas, through the Bud</t>
  </si>
  <si>
    <t xml:space="preserve"> The Barangay Government of Julugan V, through its Bids and Awards Committee (BAC), invites contractors with and classified by the Philippine Contractors Accredited Board (PCAB) to apply for eligibility and to bid for hereunder project: Name of Project	:	 </t>
  </si>
  <si>
    <t xml:space="preserve"> Fisheries Extension Kits</t>
  </si>
  <si>
    <t xml:space="preserve"> Invitation to Bid  IB-2020-109-INFRA Proposed Fabrication and Installation of Stairs and Waiting Shed for Bus Stop at MRT3/LRT1 and Footbridges along EDSA from Roxas Blvd. to Monumento The Metropolitan Manila Development Authority, through the 2020 Local </t>
  </si>
  <si>
    <t xml:space="preserve"> Procurement of Internet and Telephone Services for the NATIONAL PROSECUTION SERVICE OFFICES IN REGION VII for a period of 1 Year.</t>
  </si>
  <si>
    <t xml:space="preserve"> NOTE: A complete set of Bidding Documents may be purchased by interested Bidders (working days and hours only) from the address below upon payment of nonrefundable fee in the amount of 500  pesos only. It may also be downloaded free of charge from the web</t>
  </si>
  <si>
    <t xml:space="preserve"> SUPPLY AND DELIVERY OF THE FOLLOWING: LOT 1- RESCUE TRUCK 1	UNIT	MULTIPURPOSE VEHICLE/TRUCK (RESCUE TRUCK)				1,320,000.00 		CAB or Double cab with van type cargo body				 		engine: 4 cylinders in line , 2.7-3.0 liters				 		turbocharged, water cooled, CR</t>
  </si>
  <si>
    <t xml:space="preserve"> 1. The Energy Regulatory Commission (ERC), through the continuing Appropriation for Fiscal Year 2019, intends to apply the sum of Four Million Eight Hundred Thousand (PhP4,800,000.00), inclusive of all government taxes and other fees and charges, being th</t>
  </si>
  <si>
    <t xml:space="preserve"> Republic of the Philippines PROVINCE OF MASBATE Masbate City BIDS AND AWARDS COMMITTEE (BAC) 2nd Floor PGSO Building Capitol Road Masbate City INVITATION to BID  1.	The Provincial Government of Masbate, through its Bids and Awards Committee (BAC), invites</t>
  </si>
  <si>
    <t xml:space="preserve"> INVITATION TO BID FOR THE PROCUREMENT OF 1 UNIT STAKE TRUCK PR # 20-06-1064 PDRRMC 1.The LGU-KALINGA, Kalinga Province through its Bids and Awards Committee (BAC) intends to apply the sum of a. Two Million pesos &amp; 00/100 (P 2,000,000.00) for the PROCUREME</t>
  </si>
  <si>
    <t xml:space="preserve"> INVITATION TO BID  Fuel and other Lubricants Deposit for use of DA-RFO 5 Service Vehicles for Second Semester of  Calendar Year  2020 under  Various Funds 	The Department of Agriculture Regional Field Office No. 5, through the General Appropriation Act of</t>
  </si>
  <si>
    <t xml:space="preserve"> 15160 reams of Bond Paper, A4, 70gsm SUPPLY AND DELIVERY OF BOND PAPER FOR DEPED-DIVISION OF LAPU-LAPU CITY 1.	The DepED-Division of Lapu-Lapu City, through the DepED Trust Fund intends to apply the sum of One Million Seven Hundred Seventy Two Million Fiv</t>
  </si>
  <si>
    <t xml:space="preserve"> INVITATION TO BID IB NO. CW 2020 – 127 Repair of Day Care Center at Bacungan, Naujan, Oriental Mindoro &amp; Repair of Day Care Center  at Gamao, Naujan, Oriental Mindoro 1.  The Provincial Government of Oriental Mindoro (PGOM) through the 20% Development Fun</t>
  </si>
  <si>
    <t xml:space="preserve"> INVITATION TO BID IB NO. CW 2020 – 129 Construction of Covered Drainage Canal at Calero, Calapan City, Oriental Mindoro 1.  The Provincial Government of Oriental Mindoro (PGOM) through the General Fund 2020 – 5% LDRRMF  intends to apply the sum of Nine Hu</t>
  </si>
  <si>
    <t xml:space="preserve"> SUPPLY AND DELIVERY OF THE FOLLOWING: 					 	Lot 1				-      Php 200,000.00 	office equipment				 	DSLR camera				 	body stabilization, at least 24 megapixel, 4K resolution, 16 mm-35 mm autoofocus kit lens				 	with complete accessories, camera bag, tripo</t>
  </si>
  <si>
    <t xml:space="preserve"> INVITATION TO BID IB NO. CW 2020 – 125 Construction of Drainage Canal at Alcate, Victoria, Oriental Mindoro 1.  The Provincial Government of Oriental Mindoro (PGOM) through the General Fund 2020 – 5% LDRRMF  intends to apply the sum of Nine Hundred Ninety</t>
  </si>
  <si>
    <t xml:space="preserve"> SUPPLY AND DELIVERY OF THE FOLLOWING Lot 1-PARTS FOR KUBOTA M9540         -Php 349,814.00	 8	pcs	Tie Rod End	 8	pcs	Tie Rod Bar (end bar)	 1	pc	HYD. Jack (5 tons)	 2	pcs	Grease Gun	 8	pcs	Fan belt A-47	 25	pcs	Bearing, ball (6212)	 4	pcs	Oil filter	 4	pcs</t>
  </si>
  <si>
    <t xml:space="preserve"> INVITATION TO BID IB NO. CW 2020 –  123 Improvement of Child Development Center at Sitio Maligaya, Sta. Brigida, Mansalay, Oriental Mindoro 1.  The Provincial Government of Oriental Mindoro (PGOM) through the 20% Development Fund 2020  intends to apply th</t>
  </si>
  <si>
    <t xml:space="preserve"> INVITATION TO BID IB NO. CW 2020 – 124 Rehabilitation of Covered Court at Tawagan, Calapan City, Oriental Mindoro 1.  The Provincial Government of Oriental Mindoro (PGOM) through the General Fund 2020  intends to apply the sum of Five Hundred Eighty Nine </t>
  </si>
  <si>
    <t xml:space="preserve"> INVITATION TO BID                                                                 ITB NO. 20-11 	The Lung Center of the Philippines (LCP), through its Bids and Awards Committee (BAC), invites eligible bidders to bid for the : “PROCUREMENT OF VARIOUS MEDIC</t>
  </si>
  <si>
    <t xml:space="preserve"> INVITATION TO BID ITB NO. PB 20-07 Ordering Agreement Contract for the Procurement of Various Fish Feeds for  Fish Stocks of the 4 Units Aquaponics, 6 units Pond with Venturi  and 10 units Fish Cages The Bureau of Fisheries and Aquatic Resources Regional </t>
  </si>
  <si>
    <t xml:space="preserve"> INVITATION TO BID IB NO. CW 2020 – 126 Completion of Evacuation Center at Happy Valley, Socorro, Oriental Mindoro and Completion of Evacuation Center at Sto. Domingo (Lapog), Socorro, Oriental Mindoro 1.  The Provincial Government of Oriental Mindoro (PGO</t>
  </si>
  <si>
    <t xml:space="preserve"> Supply and Delivery of Construction Materials and Supplies for Construction of Health Center</t>
  </si>
  <si>
    <t xml:space="preserve"> CLEARING    50.70SQM TILE WORKS (GRANITE TILES)      210.04 SQ.M TILE WORKS ( CERAMIC TILES)    64.40 SQM DOORS AND WINDOWS    1.00 LS PAINTING WORKS    1535.89SQM CEMENT PLASTER FINISH    67.90 SQM REMOVAL/DEMOLITION OF EXISTING STRUCTURE    117.60 SQM P</t>
  </si>
  <si>
    <t xml:space="preserve"> Republic of the Philippines Province of Guimaras OFFICE OF THE BIDS AND AWARDS COMMITTEE INVITATION TO BID FOR    SUPPLY AND DELIVERY OF DRUGS AND MEDICINES Bid Ref. No. 2020-07-424 1.	The Province of Guimaras , through the Revolving Fund (BEH) intends to</t>
  </si>
  <si>
    <t xml:space="preserve"> INVITATION TO BID DEVELOPMENT/IMPROVEMENT OF THE PORT OF SAN ANTONIO Port of San Antonio, San Antonio, Northern Samar DOTC-PPA-CAB NO. 85-15 Approved Budget for the Contract: Php. 31,721,902.36 The Philippine Ports Authority, Port Management Office (PMO) </t>
  </si>
  <si>
    <t xml:space="preserve"> Pediatric Medicines: 4,320	bottle	 Ascorbic Acid + Zinc Syrup 60 ml 4,320	bottle	Multivitamins Syrup 60ml 		 		 Adult Medicines-Capsules and Tablets: 800	Box	Amlodipine 5 mg tablet 100/box 800	Box	Amlodipine 10 mg tablet 100/box 6,000	Box	Losartan Potassi</t>
  </si>
  <si>
    <t xml:space="preserve"> supply and delivery of the following: 400 pcs concrete post 4' x 4'x 6'	 1 pc sprayer heavy duty kanpsack type,  16 li capacity	 100 pcs construction gloves size 6, 6.5. 7.0	 10 kls detergent powder	 57 cubic gravel</t>
  </si>
  <si>
    <t xml:space="preserve"> 16,394 BOX SODIUM ASCORBATE( VITAMIN C) CAPSULE 500 MG 100 PCS/BOX</t>
  </si>
  <si>
    <t xml:space="preserve"> One  (1) Lot Office Equipment ( Supply, Delivery,  Installation, Testing and Commissioning of Air- Conditioning Units) 2020-03 for PRO III  				 				03 units AIRCON -Ceiling Cassette Type; 2.5 HP Cooling 				     Capacity; Power Supply: 220V; Single Phase</t>
  </si>
  <si>
    <t xml:space="preserve"> Republic of the Philippines Province of Guimaras OFFICE OF THE BIDS AND AWARDS COMMITTEE Invitation to Bid for  One Job Supply of Materials and  Labor for the Rehabilitation/Upgrading of Provincial Roads (Rehabilitation/Upgrading of Concordia-Oracon-Botco</t>
  </si>
  <si>
    <t xml:space="preserve"> Republic of the Philippines Province of Batangas Municipality of San Juan BIDS AND AWARDS COMMITTEE INVITATION TO BID THE LOCAL GOVERNMENT UNIT OF SAN JUAN, BATANGAS, through its Bids and Awards Committee (BAC), invites registered PhilGEPS suppliers/distr</t>
  </si>
  <si>
    <t xml:space="preserve"> 1.	The Local Government Unit Of Lianga Surigao del Sur, through the 2020 General Fund   intends to apply the sum of Three Hundred Seventy Two thousand,Four Hundred Sixty Five  Pesos only ( P 372, 465.00) being the Approved Budget for the Contract (ABC) to</t>
  </si>
  <si>
    <t xml:space="preserve"> Republic of the Philippines Province of Isabela LOCAL GOVERNMENT UNIT OF BENITO SOLIVEN INVITATION TO BID FOR THE PROCUREMENT OF MEDICINES AND MEDICAL SUPPLIES – 3RD QUARTER (GAD FUND) 1.	The Municipal Government of Benito Soliven, intends to apply the su</t>
  </si>
  <si>
    <t xml:space="preserve"> INVITATION TO BID ITB NO. PB20-06 Invitation to Bid for Supply, Delivery and Installation of 6 Units Venturi Aeration System and its various materials to be use in the construction of Solar Power Frame and Floater  as Resilience Project under ALPAS COVID </t>
  </si>
  <si>
    <t xml:space="preserve"> 4-LAYER STEEL CABINET - I UNIT 3-LAYER STEEL CABINET - 1 UNIT</t>
  </si>
  <si>
    <t xml:space="preserve"> ENGINE:		 4-cylinder, in-line, direct injection, turbocharged and		 intercooled diesel engine; volume displacement= 4.1-4.3 liters;		 power output: 95-100kW @ 2,800 rpm; torque: ≥ 380N-m @ 		 1,400 - 1,800 rpm		 WEIGHT AND DIMENSION:		 gross vehicle weigh</t>
  </si>
  <si>
    <t xml:space="preserve"> Republic of the Philippines Province of Bohol MUNICIPALITY OF TUBIGON Invitation to Bid for: Procurement of Construction Materials &amp; Supplies Name of Project:  CONSTRUCTION OF NEW-MULTI-PURPOSE BUILDING(PHASE I) 1. The Barangay of BOSONGON  through the 20</t>
  </si>
  <si>
    <t xml:space="preserve"> Republic of the Philippines Province of Romblon MUNICIPALITY OF MAGDIWANG INVITATION TO BID REHAB./IMPROVEMENT OF PUROK  BAGONG BAYAN ACCESS ROAD Project ID No. 08-2020-011 August 3, 2020 1.	The Municipality of Magdiwang, Romblon, through its DILG-LGSF- A</t>
  </si>
  <si>
    <t xml:space="preserve"> MATERIALS FOR REHABILITATION OF MUNICIPAL PUBLIC CEMETERY AT PUROK 5, HIJO, MACO, DAVAO DE ORO.</t>
  </si>
  <si>
    <t xml:space="preserve"> Republic of the Philippines Province of Romblon MUNICIPALITY OF MAGDIWANG INVITATION TO BID REHAB./ IMPROVEMENT OF MAGDIWANG LEVEL III WATER SYSTEM Project ID No. 08-2020-010 January 9, 2019 1.	The Municipality of Magdiwang, Romblon, through its DILG -LGS</t>
  </si>
  <si>
    <t xml:space="preserve"> 435 sq.m. sub-grade preparation 49 cu.m. aggregate sub-base course 133 cu.m. concrete pavement 1 unit mobilization/demobilization 64 sq.ft. signs &amp; billboard 3 mos. occupational safety &amp; health program</t>
  </si>
  <si>
    <t xml:space="preserve"> IMPROVEMENT OF DRAINAGE CANAL (LABOR, MATERIALS &amp; EQUIPMENT RENTAL) ALONG NATIONAL HIGHWAY, POBLACION, MACO, DAVAO DE ORO.</t>
  </si>
  <si>
    <t xml:space="preserve"> PART B OTHER GENERAL REQUIREMENTS B.5 PROJECT BILLBOARD/SIGNBOARD 1 LOT PART A EARTHWORK 803(1)A EXCAVATION (COLUMN FTG., WALL FTG.) 23.22 CU.M 804(1)B EMBANKMENT 57.60 CU.M PART B PLAIN AND REINFORCED CONCRETE WORKS 900(1)A2 STRUCTURAL CONCRETE (FOOTINGS</t>
  </si>
  <si>
    <t xml:space="preserve"> DIESEL GASOLINE MOTOR OIL (QUART) ENGINE OIL FOR PICK UP AND DENTAL BUS</t>
  </si>
  <si>
    <t xml:space="preserve"> Exhaust Fan, Wall-mounted, metal blade, 16" Industrial Ceiling Fan Aluminum, 5-blade, Standard downrod length wall-mounted rotary switch box, 60" diameter Industrial Wall Fan 3-speed, aluminum blade, 26"</t>
  </si>
  <si>
    <t xml:space="preserve"> LABOR &amp; EQUIPMENT RENTAL FOR REHABILITATION OF MULTI-PURPOSE BUILDING (MUNICIPAL ECCD CENTER) AT BINUANGAN, MACO, DAVAO DE ORO.</t>
  </si>
  <si>
    <t xml:space="preserve"> PRINTER (4 UNITS) LAPTOP (2 UNITS)</t>
  </si>
  <si>
    <t xml:space="preserve"> MATERIALS FOR REHABILITATION OF MULTI-PURPOSE BUILDING (MUNICIPAL ECCD CENTER) AT BINUANGAN, MACO, DAVAO DE ORO.</t>
  </si>
  <si>
    <t xml:space="preserve"> ART B OTHER GENERAL REQUIREMENTS B.5 PROJECT BILLBOARD/SIGNBOARD 1 LOT PART A EARTHWORK 801 REMOVAL OF STRUCTURES AND OBSTRUCTION 1 LUMPSUM 803(1)A EXCAVATION(CANAL EXCAVATION) 84 CU.M PART B PLAIN AND REINFORCED CONCRETE WORKS 900(1)A2 STRUCTURAL CONCRET</t>
  </si>
  <si>
    <t xml:space="preserve"> 1.	The Local Government Unit Of Lianga Surigao del Sur, through the Department of Health  - Trust Fund   intends to apply the sum of Two Hundred Fifteen thousand, Pesos only ( P 215, 000.00) being the Approved Budget for the Contract (ABC) to payments und</t>
  </si>
  <si>
    <t xml:space="preserve"> Portland cement 420 bags 233-12mmᴓ x 6mm RSB 1,241.89 KGS 130-16MMᴓ X 6MM RSB 1,231.10 KGS #16 TIE WIRE 58 KGS ASSORTED CW NAILS 33 KGS 1/2'' X 4' X8' ORDINARY PLYWOOD 31 PCS 46-10MMᴓ X 6M RSB 170.2 KGS HACKSAW BLADE 2 PCS CONCRETE NEUTRALIZER 1 GALS MASO</t>
  </si>
  <si>
    <t xml:space="preserve"> 1.	The Provincial Government of Ilocos Norte through RA 7171    intends to apply the sum of One Million Nine Hundred Eighty Three Thousand Three Hundred Ninety Four and 98/100 Pesos (Php1,983,394.98) being the Approved Budget for the Contract (ABC) to pay</t>
  </si>
  <si>
    <t xml:space="preserve"> 118 	bags	        Portland Cement 13	cu.m.	Washed Gravel 1-1/2 9	cu.m.	Washed Sand 10	pcs.	        12mm DRB 8	pcs.	        2” x 6” x 10’  Coco Lumber/Forms 1	KLS.	        4” CW Nails</t>
  </si>
  <si>
    <t xml:space="preserve"> INVITATION TO BID PROCUREMENT OF OTHER SUPPLIES AND MATERIALS FOR THE USE OF NAVOTAS INSTITUTE 	 The City Government of Navotas, through its Bids and Awards Committee, will hold a Public Bidding for the PROCUREMENT OF OTHER SUPPLIES AND MATERIALS FOR THE </t>
  </si>
  <si>
    <t xml:space="preserve"> INVITATION TO BID PROCUREMENT OF PRINTING SERVICES FOR THE USE OF VARIOUS OFFICES OF THE CITY GOVERNMENT OF NAVOTAS (SECOND BIDDING) 	 The City Government of Navotas, through its Bids and Awards Committee, will hold a Public Bidding for the PROCUREMENT OF</t>
  </si>
  <si>
    <t xml:space="preserve"> 1.	The Provincial Government of Ilocos Norte through RA 7171    intends to apply the sum of Three Million Pesos (Php3,000,000.00) being the Approved Budget for the Contract (ABC) to payments for the Repair/Rehabilitation of Damaged Protection Works at Mal</t>
  </si>
  <si>
    <t xml:space="preserve"> UPGRADING OF ALDOS ST. ( CONSTRUCTION OF CANAL LINING) ABC (396,542.08) PORTLAND CEMENT 337 BAGS 473-12MM ᴓ X 6M RSB 2521.09 KGS 91-16MM ᴓ 6M RSB 861.77 KGS ASSORTED CWN 42 KGS 1/2" X 4' X 8' ORDINARY PLYWOOD 82 PCS #16 G.I TIE WIRE 67 KGS CONSTRUCTION OF</t>
  </si>
  <si>
    <t xml:space="preserve"> 85	bags	Portland Cement 5	cu.m.	Washed Gravel ¾” 8	cu.m.	Washed Sand 20	pcs.	10mm DRB 3	kls.	#16 GI Tie Wires 500	pcs. 	4” CHB 30	pcs	6mm Steel Matting 8	pcs.	1-1/2 Dia GI Pipe Sch. 40 2	kls.	Concrete Nails 1	box	Steel Cutting Disc 5	pcs.	Stone Grinding D</t>
  </si>
  <si>
    <t xml:space="preserve"> 1.	The Provincial Government of Ilocos Norte through RA 7171    intends to apply the sum of One Million Fifty Eight Thousand Three Hundred Forty Five Pesos (Php1,058,345.00) being the Approved Budget for the Contract (ABC) to payments for the Installation</t>
  </si>
  <si>
    <t xml:space="preserve"> INVITATION TO BID PROCUREMENT OF OTHER SUPPLIES AND MATERIALS (FOOD/GROCERY ITEMS) FOR THE USE OF NAVOTAS INSTITUTE 	 The City Government of Navotas, through its Bids and Awards Committee, will hold a Public Bidding for the PROCUREMENT OF OTHER SUPPLIES A</t>
  </si>
  <si>
    <t xml:space="preserve"> INVITATION TO BID (662-2020) Procurement of Materials for the Construction of CR at Ecopark The LGU Surallah through the Bids and Awards Committee (BAC) is inviting suppliers to bid for the supply and delivery of GOODS/INFRASTRUCTURE/SERVICES with the fol</t>
  </si>
  <si>
    <t xml:space="preserve"> INVITATION TO BID (Rebid) Procurement of Construction Materials for the Completion of Streetlights from Round Ball to Iglesia ni Kristo The LGU Surallah through the Bids and Awards Committee (BAC) is inviting suppliers to bid for the supply and delivery o</t>
  </si>
  <si>
    <t xml:space="preserve"> Republic of the Philippines Province of Quezon Municipality of Atimonan Barangay Habingan INVITATION FOR ELIGIBILITY AND TO BID 	The Barangay Government Unit of Habingan, Atimonan, Quezon thru the Bids and Awards Committee (BAC) invites interested supplie</t>
  </si>
  <si>
    <t xml:space="preserve"> Bicol Regional Training and Teaching Hospital Legazpi City INVITATION TO BID FOR  Procurement of UV Germicidal Light (HFEP) IB No. 08-2020 1.	The Bicol Regional Training and Teaching Hospital (BRTTH) through the DOH-HFEP Fund intends to apply the sum of S</t>
  </si>
  <si>
    <t xml:space="preserve"> Supply and Delivery of MDRRMO Equipment</t>
  </si>
  <si>
    <t xml:space="preserve"> Name of Project:   CONNECTING THE EARIST LABORATORIES AND FACULTY ROOMS in the  			 Immediate Distribution Function for the Demands on LMS/Blended 			 Learning” Particulars	                                                                                Me</t>
  </si>
  <si>
    <t xml:space="preserve"> Item No.	ITEM AND DESCRIPTION	QTY	Unit of Issue	UNIT PRICE 1	Printing of Learning Modules for Grade 1 &amp; Grade 2			 	     (Quarter  1, Module 2)			 	     Grade 1 PE	82586	page	 	     Grade 1  Music	63180	page	 	     Grade 1 Esp	58320	page	 	     Grade 2 En</t>
  </si>
  <si>
    <t xml:space="preserve"> 708 sq.m. Sub-Grade Preparation 49 cu.m. Aggregate Sub- Base Course 141.6 cu.m. Concrete Pavement 1 unit Mobilization/ Demobilization 64 sq. ft. Signs &amp; Billboard 3 mos. Occupational Safety &amp; Health Program</t>
  </si>
  <si>
    <t xml:space="preserve"> 1 lot of 2 units of working table (stainless) 2x8ft with two shelves 						 2 units of steamer 36cm diamter (aluminum) 3 layers, estimated 5L</t>
  </si>
  <si>
    <t xml:space="preserve"> 1.	The Provincial Government of Ilocos Norte through Trust Fund – DILG CMGP    intends to apply the sum of Thirty Four Million Eight Hundred Fifty Thousand Pesos (Php34,850,000.00) being the Approved Budget for the Contract (ABC) to payments for the Rehab</t>
  </si>
  <si>
    <t xml:space="preserve"> 1.	The Provincial Government of Ilocos Norte through 20% Development Fund    intends to apply the sum of Eleven Million Pesos (Php11,000,000.00) being the Approved Budget for the Contract (ABC) to payments for the Construction/Improvement/Rehabilitation o</t>
  </si>
  <si>
    <t xml:space="preserve"> INVITATION TO BID (Rebid) Procurement of One (1) Unit Brand New Utility Vehicle The LGU Surallah through the Bids and Awards Committee (BAC) is inviting suppliers to bid for the supply and delivery of GOODS/INFRASTRUCTURE/SERVICES with the following detai</t>
  </si>
  <si>
    <t xml:space="preserve"> 1.	The Provincial Government of Ilocos Norte through Capital Outlay – Other Structures    intends to apply the sum of One Million Nine Hundred Ninety Seven Thousand Seven Hundred Ninety Five and 78/100 Pesos (Php1,997,795.78) being the Approved Budget for</t>
  </si>
  <si>
    <t xml:space="preserve"> 1.	The Provincial Government of Ilocos Norte through RA 7171    intends to apply the sum of Two Million Pesos (Php2,000,000.00) being the Approved Budget for the Contract (ABC) to payments for the Rehabilitation and Improvement of Mabuti-Caparian Provinci</t>
  </si>
  <si>
    <t xml:space="preserve"> 1.	The Provincial Government of Ilocos Norte through Capital Outlay - Buildings    intends to apply the sum of Nine Hundred Ninety Seven Thousand Three Hundred Pesos (Php997,300.00) being the Approved Budget for the Contract (ABC) to payments for the Impr</t>
  </si>
  <si>
    <t xml:space="preserve"> 1.	The Provincial Government of Ilocos Norte through Capital Outlay - Buildings    intends to apply the sum of Two Million Forty Eight Thousand Six Hundred Ninety Nine and 56/100 Pesos (Php2,048,699.56) being the Approved Budget for the Contract (ABC) to </t>
  </si>
  <si>
    <t xml:space="preserve"> 1.	The Provincial Government of Ilocos Norte through 20% Development Fund    intends to apply the sum of One Million Pesos (Php1,000,000.00) being the Approved Budget for the Contract (ABC) to payments for the Construction/Improvement/Rehabilitation of Vi</t>
  </si>
  <si>
    <t xml:space="preserve"> 1.	The Provincial Government of Ilocos Norte through RA 7171    intends to apply the sum of One Million Two Hundred Thousand and 12/100 Pesos (Php1,200,000.12) being the Approved Budget for the Contract (ABC) to payments for the Repair and Improvement of </t>
  </si>
  <si>
    <t xml:space="preserve"> 1.	The Provincial Government of Ilocos Norte through Capital Outlay – Other Structures    intends to apply the sum of One Million Five Hundred Thousand Pesos (Php1,500,000.00) being the Approved Budget for the Contract (ABC) to payments for the Constructi</t>
  </si>
  <si>
    <t xml:space="preserve"> INVITATION TO BID (664-2020) Procurement of Construction Materials for the Construction of Garage  (Demo Farm) The LGU Surallah through the Bids and Awards Committee (BAC) is inviting suppliers to bid for the supply and delivery of GOODS/INFRASTRUCTURE/SE</t>
  </si>
  <si>
    <t xml:space="preserve"> REHABILITATION /IMPROVEMENT NAGRARABAN AMUYAO WATER SYSTEM bags	Portland Cement			19 bags	Water Proofing Compound			10 kgs	22 - 12mm Ø X 6m RSB			117.26 pcs	1/2" x 4' x 8' Ordinary Plywood		5 kgs	Assorted CWN		5 kgs	#16 Tie wire		10 rolls	1 1/2" diam. X 6</t>
  </si>
  <si>
    <t xml:space="preserve"> OPENING OF BIDS IN DSWD FO IX, ZAMBOANGA CITY			 4	DELIVERY IN MUNICIPALITY OF  TUNGAWAN ZAMBOANGA SIBUGAY			 	PROCUREMENT FOR THE FF.:			 				 91	pax	1 meal, 2 snacks	@	 300.00  		Community Project Devt Workshop		 		August 18-19, 2020		 66	pax	1 meal, 2 </t>
  </si>
  <si>
    <t xml:space="preserve"> INVITATION TO BID (666-2020) Procurement of Construction Materials for the Concreting of Roads – from Lamual to Sitio Batnawan Road, Brgy. Canahay  The LGU Surallah through the Bids and Awards Committee (BAC) is inviting suppliers to bid for the supply an</t>
  </si>
  <si>
    <t xml:space="preserve"> LABOR &amp; EQUIPMENT RENTAL FOR REHABILITATION OF MUNICPAL PUBLIC CEMETERY AT PUROK 5, HIJO, MACO, DAVAO DE ORO.</t>
  </si>
  <si>
    <t xml:space="preserve"> INVITATION TO BID (665-2020) Procurement of Construction Materials for the Construction of Potable Water System The LGU Surallah through the Bids and Awards Committee (BAC) is inviting suppliers to bid for the supply and delivery of GOODS/INFRASTRUCTURE/S</t>
  </si>
  <si>
    <t xml:space="preserve"> 1. 1 unit brand new PICK UP VEHICLE  Color Black customized with emergency equipment and apparatus (emergency siren with speakers, Flood lights, strobe lights, emergency medical kit, rescue towing rope [2500kg towing capacity], overhead carrier, two-way V</t>
  </si>
  <si>
    <t xml:space="preserve"> SPECIFICATIONS: 8th Generation RAM: 8GB or 16GB up to 13.5" screen display 2256x1504 (261 ppi) Storage: 128GB-1TB SSD</t>
  </si>
  <si>
    <t xml:space="preserve"> INVITATION TO BID (667-2020) Procurement of Construction Materials for the Construction of Stairway of  Bahay Pag-asa The LGU Surallah through the Bids and Awards Committee (BAC) is inviting suppliers to bid for the supply and delivery of GOODS/INFRASTRUC</t>
  </si>
  <si>
    <t xml:space="preserve"> 120	CAN	AIR FRESHENER CAN (CALIFORNIA	 		SCENT)*	 92	CAN	AIR FRESHENER CAN (SHALDAN)*	 413	BTL	AIR FRESHENER GLADE 320ML SPRAY*	 96	BTL	ALCOHOL ISOPROPHYL 70% (GREEN	 		CROSS) 250ML*	 232	BAR	BATH SOAP (SAFEGUARD) 90G*	 6	PC	BOWL BRUSH &amp; CUDDY	 4	PC	BROOM</t>
  </si>
  <si>
    <t xml:space="preserve"> OFFICE SUPPLIES AND MATERIALS: 10	pcs.	USB3.0-Flash drive 32GB 10	pcs.	USB3.0-Flash drive 64GB 		 OTHER SUPPLIES AND MATERIALS: 4	pck	Cable tie 4x150mm (100/pck) 30	pcs	Spiral wrap 1M 10	pcs	Adhesive 100gms (no more nails) 5	box	UTP cable CAT5e (305m/box)</t>
  </si>
  <si>
    <t xml:space="preserve"> 3	Unit	Brand New Shuttle Bus	 (Completely Built- Unit)	 Overall Dimension: (mm)	 11000x2500x3600	 Front/Rear Overhang: (mm)	 2250/3190	 Wheelbase : (mm)	 5550 regular bus	 Luggage Compartment volume	 Max 8.2 m3	 Engine: 270HP(Euro 4)	 Transmission: Manual</t>
  </si>
  <si>
    <t xml:space="preserve"> 4	Unit	Brand New Jet Ski with trailer	 		Engine Type: 3 clinder, 4 stroke 	 		Electronic Fuel Injection	 		Displacement: 1,049 cc	 		Fuel Capacity: 70L/18.5gal 	 		unleaded gasoline	 		Rider Capacity: 1-3 persons	 		Storage Capacity: 93.2L/24.6 gal	 		Dim</t>
  </si>
  <si>
    <t xml:space="preserve"> Republic of the Philippines Province of Agusan del Sur Municipality of Trento BIDS &amp; AWARDS COMMITTEE INVITATION TO BID  FOR THE CONSTRUCTION OF MUNICIPAL RESIDUAL PROCESSING CENTER Dump Site, Brgy., Pulanglupa, Trento, Agusan del Sur 1.	The Municipality </t>
  </si>
  <si>
    <t xml:space="preserve"> 1	Lot	HIGH PRESSURE VEHICLE EXTRICATION KIT		 		Inclusions:		 		1 Unit High Pressure Power Unit		 		Specification:		 		Max. Working Pressure: 10,500 PSI - 		 		724 BAR		 		Length: 21.20 in - 538.5 mm		 		Width: 15.50 in - 393.7 mm		 		Height: 15.0 in - 38</t>
  </si>
  <si>
    <t xml:space="preserve"> Office Tables (15) Clerical Tables (5) Executive Office Table (3) Chair black with backrest and armrest (9) Vertical Filing Cabinet, 3 drawers (1) Executive Chair black with backrest and armrest (2) Executive Table (2)</t>
  </si>
  <si>
    <t xml:space="preserve"> Specification: Brand New Laptop 1.1GHz Dual-Core Processor with Turbo Boost up to 3.2GHz Memory: 8GB Storage: 256GB SSD storage</t>
  </si>
  <si>
    <t xml:space="preserve"> 112	ROLL	ADDING MACHINE SLIP ADVANCE 57MM X 70M*	 75	PC	BALLPEN HBW ASSORTED* 7263	PC	BALLPEN HBW BLACK*	 812	PC	BALLPEN HBW BLUE*	 757	PC	BALLPEN HBW RED*	 792	PC	BALLPEN PANDA BLACK*	 216	PC	BALLPEN PANDA BLUE*	 216	PC	BALLPEN PANDA RED*	 50	PC	BALLPEN </t>
  </si>
  <si>
    <t xml:space="preserve"> Republic of the Philippines Province of Davao de Oro BIDS AND AWARDS COMMITTEE Cabidianan, Nabunturan, Davao de Oro ITB No. 20-028 July 29, 2020 INVITATION TO BID  FOR  THE Procurement of 5,251 pcs. Washable face mask 1.	The Provincial Government of Davao</t>
  </si>
  <si>
    <t xml:space="preserve"> Republic of the Philippines Province of Davao de Oro BIDS AND AWARDS COMMITTEE Cabidianan, Nabunturan, Davao de Oro ITB No. 20-028 July 29, 2020 INVITATION TO BID  FOR  THE Procurement of veterinary drugs and biologics 1.	The Provincial Government of Dava</t>
  </si>
  <si>
    <t xml:space="preserve"> Republic of the Philippines Province of Bohol MUNICIPALITY OF TUBIGON Invitation to Bid for: Procurement of Construction Materials &amp; Supplies Name of Project:  Improvement of Multi-Purpose Building 1. The Barangay of Macaas through the 20% Development Fun</t>
  </si>
  <si>
    <t xml:space="preserve"> Republic of the Philippines Province of Davao de Oro BIDS AND AWARDS COMMITTEE Cabidianan, Nabunturan, Davao de Oro ITB No. 20-028 July 29, 2020 INVITATION TO BID  FOR  THE Procurement of 1 lot Supply and installation of chlorination system-rebid 1.	The P</t>
  </si>
  <si>
    <t xml:space="preserve"> Republic of the Philippines Province of Davao de Oro BIDS AND AWARDS COMMITTEE Cabidianan, Nabunturan, Davao de Oro ITB No. 20-028 July 29, 2020 INVITATION TO BID  FOR  THE Procurement of 500 pcs polo shirt with design 1.	The Provincial Government of Dava</t>
  </si>
  <si>
    <t xml:space="preserve"> Brother Ink  							5	sets Black (BT6000) 								 Yellow, Cyan, Magenta (BT5000) 								 EPSON 003 Ink (Black, Yellow, Cyan, Magenta) 							4	sets Fuji Xerox Toner 							5	sets</t>
  </si>
  <si>
    <t xml:space="preserve"> Chairs (White, Monobloc) 							95	pc  Tables (White, Monobloc, 36x36x28in) 							25	pcs</t>
  </si>
  <si>
    <t xml:space="preserve"> Republic of the Philippines Province of Davao de Oro BIDS AND AWARDS COMMITTEE Cabidianan, Nabunturan, Davao de Oro ITB No. 20-028 July 29, 2020 INVITATION TO BID  FOR  THE Procurement of feed ingredients 1.	The Provincial Government of Davao de Oro, thro</t>
  </si>
  <si>
    <t xml:space="preserve"> 1.	The Provincial Government of Ilocos Norte through Trust Fund – DILG CMGP    intends to apply the sum of Twenty Seven Million Four Hundred Twenty Three Thousand Eight Hundred Forty One Pesos (Php27,423,841.00) being the Approved Budget for the Contract </t>
  </si>
  <si>
    <t xml:space="preserve"> Purchase of Supplies, materials and equipments for the rehabilitation and installation of CCTV Camera</t>
  </si>
  <si>
    <t xml:space="preserve"> Republic of the Philippines  Department of  Science and Technology  Regional Office No. IX  Pettit Barracks,   Zamboanga  CIty Tel. Nos. (062) 992-1114; (062) 991-1024 INVITATION TO BID SUPPLY AND DELIVERY OF PROFICIENCY TESTING SAMPLE FOR DOST IX-RSTL   </t>
  </si>
  <si>
    <t xml:space="preserve"> Republic of the Philippines CITY GOVERNMENT OF SAN FERNANDO Barangay Poro INVITATION TO BID FOR  Rehabilitation of Drainage Canal Tawi-Tawi, Barangay Poro, City of San Fernando 1.	The Barangay Poro, through the Barangay Fund intends to apply the sum of tw</t>
  </si>
  <si>
    <t xml:space="preserve"> Republic of the Philippines PROVINCE OF DAVAO ORIENTAL MUNICIPALITY OF SAN ISIDRO INVITATION TO BID FOR THE PROCUREMENT OF WORKS FOR THE CONST’N OF ONE UNIT MULTI-PURPOSE BUILDING AT  IP’S SCHOOL SAN ISIDRO NATIONAL HIGH SCHOOL, BATOBATO, SAN ISIDRO, DAVA</t>
  </si>
  <si>
    <t xml:space="preserve"> INVITATION TO BID (663-2020) Procurement of Materials for the Construction of Material Recovery Facility  The LGU Surallah through the Bids and Awards Committee (BAC) is inviting suppliers to bid for the supply and delivery of GOODS/INFRASTRUCTURE/SERVICE</t>
  </si>
  <si>
    <t xml:space="preserve"> INVITATION TO BID FOR THE PROCUREMENT OF SEMI-PERISHABLE ITEMS FOR BANGUN IMPLEMENTATION IN SULU PROVINCE The Department of Social Welfare and Development (DSWD) Field Office IX through the Government of the Philippines General Appropriations Act of 2020 </t>
  </si>
  <si>
    <t xml:space="preserve"> Supply and delivery of 2,880 bottles of Alcohol Ethyl  Approved Budget P243,792.00 Please be guided by the following: 1.	Price quotation must be based on the Terms of Reference (TOR) / Scope of Work/Services (SOW) / Technical          Specifications (TS),</t>
  </si>
  <si>
    <t xml:space="preserve"> Republic of the Philippines Department of Education REGION V SCHOOLS DIVISION OF SORSOGON CITY Office of the Schools Division Superintendent Division Bids and Awards Committee INVITATION TO BID    PROCUREMENT OF MATERIALS &amp; SUPPLIES FOR THE  IN HOUSE REPR</t>
  </si>
  <si>
    <t xml:space="preserve"> Purchase of Office Supplies and Materials</t>
  </si>
  <si>
    <t xml:space="preserve"> 1.	The Provincial Government of Ilocos Norte through Repair and Maintenance – Building and Other Structure   intends to apply the sum of Two Hundred Seven Thousand Seven Hundred Eleven and 71/100 Pesos (Php207,711.71) being the Approved Budget for the Con</t>
  </si>
  <si>
    <t xml:space="preserve"> Republic of the Philippines Province of Davao de Oro BIDS AND AWARDS COMMITTEE Cabidianan, Nabunturan, Davao de Oro ITB No. 20-028 July 29, 2020 INVITATION TO BID  FOR  THE Procurement of Publication of 18 pages ordinance 1.	The Provincial Government of D</t>
  </si>
  <si>
    <t xml:space="preserve"> Republic of the Philippines Province of Davao de Oro BIDS AND AWARDS COMMITTE Cabidianan, Nabunturan, Davao de Oro ITB No. 20-029 July 30, 2020 INVITATION TO BID  FOR  THE Procurement of various medical supplies 1.	The Provincial Government of Davao de Or</t>
  </si>
  <si>
    <t xml:space="preserve"> Supply and Delivery of ONE (1) UNIT BACKHOE</t>
  </si>
  <si>
    <t xml:space="preserve"> Republic of the Philippines Province of Davao de Oro BIDS AND AWARDS COMMITTEE Cabidianan, Nabunturan, Davao de Oro ITB No. 20-028 July 29, 2020 INVITATION TO BID  FOR  THE Procurement of construction materials 1.	The Provincial Government of Davao de Oro</t>
  </si>
  <si>
    <t xml:space="preserve"> Invitation to Bid  1.	The CITY GOVERNMENT OF CAUAYAN CITY, ISABELA through the LBP LOAN intends to apply the sum of FIVE MILLION FIVE HUNDRED SIXTY NINE THOUSAND FIVE HUNDRED SEVENTY TWO PESOS AND SEVENTY CENTAVOS (Php5,569,572.70)  being the Approved Bud</t>
  </si>
  <si>
    <t xml:space="preserve"> Republic of the Philippines PROVINCE OF SOUTHERN LEYTE Municipality of San Juan BIDS AND AWARD COMMITTEE INVITATION TO BID FOR  Supply and Delivery of One (1) Motor Vehicle (Brand New) Passenger Van -15 Seater The Municipality of San Juan through the Gene</t>
  </si>
  <si>
    <t xml:space="preserve"> Invitation to Bid  1.	The CITY GOVERNMENT OF CAUAYAN CITY, ISABELA through the LBP LOAN intends to apply the sum of TWO MILLION SIX HUNDRED FIFTY FIVE THOUSAND SEVEN HUNDRED TWO PESOS AND TWENTY CENTAVOS (Php2,655,702.20)  being the Approved Budget for th</t>
  </si>
  <si>
    <t xml:space="preserve"> DESCRIPTION	UNIT	QUANTITY PART II (A)	FACILITIES FOR THE ENGINEER		 A.1.1(11)	PROVISION OF FURNITURES/FIXTURES, EQUIPMENT &amp; APPLIANCES FOR THE FIELD OFFICE FOR THE ENGINEER 	L.S.	1.00 PART II (B)	OTHER GENERAL REQUIREMENTS		 B.3	PERMITS &amp; CLEARANCES	L.S.	</t>
  </si>
  <si>
    <t xml:space="preserve"> 1.	The Provincial Government of Ilocos Norte through Capital Outlay – Other Structures    intends to apply the sum of One Million Five Hundred Thousand Pesos (Php1,500,000.00) being the Approved Budget for the Contract (ABC) to payments for the Improvemen</t>
  </si>
  <si>
    <t xml:space="preserve"> DESCRIPTION	UNIT	QUANTITY PART A	FACILITIES FOR THE ENGINEER		 A.1.1(10)	PROVISION OF LIVING QUARTER FOR THE ENGINEER (RENTAL BASIS)	MOS	5.43 PART B	OTHER GENERAL REQUIREMENTS		 B.4(1)	CONSTRUCTION SURVEY &amp; STAKING	KM.	1.41 B.5	PROJECT BILLBOARD	EACH	4.00</t>
  </si>
  <si>
    <t xml:space="preserve"> PLS. SEE ATTACHED DOCUMENTS</t>
  </si>
  <si>
    <t xml:space="preserve"> 100(3)A INDIVIDUAL REMOVAL OF TREES 10 EACH 102(2)B SURPLUS COMMON EXCAVATION 1,312.50 CU.M 104(1)A EMBANKMENT 544.50 CU.M 300(1) GRAVEL SURFACE COURSE (UNCRUSHED) 445.20 CU.M B.9 MOBILIZATION/DEMOBILIZATION 1 LUMPSUM B.5 PROJECT BILLBOARD/SIGN BOARD 1 EA</t>
  </si>
  <si>
    <t xml:space="preserve"> Republic of the Philippines Province of Iloilo Municipality of Ajuy BIDS AND AWARD COMMITTEE INVITATION TO APPLY FOR ELIGIBILITY AND TO BID 	The Local Government of Ajuy, Iloilo invites Accredited Supplier to apply for eligibility and to bid for the Concr</t>
  </si>
  <si>
    <t xml:space="preserve"> INVITATION FOR NEGOTIATED PROCUREMENT Improvement of Existing Rock Causeway, Port of San Roque, Daram, Samar  (PPA-DOTr-7100-P1000-20401010B) Approved Budget for the Contract: Php. 9,230,982.40 1.	In view of the two (2) failed public bidding, the Philippi</t>
  </si>
  <si>
    <t xml:space="preserve"> Republic of the Philippines BIDS AND AWARDS COMMITTEE Province of Iloilo Invitation to Bid Purchase of HOUSEKEEPING SUPPLIES Bid No. AGR-20-0906-B 1. The Iloilo Provincial Government, through the GENERAL FUND 2020 intends to apply the sum of  ONE HUNDRED </t>
  </si>
  <si>
    <t xml:space="preserve"> BARANGAY GOVERNMENT OF NABAG-O City of Valencia INVITATION TO BID FOR  SUPPLY AND DELIVERY OF 12 UNITS BRAND NEW COMMUNICATION EQUIPMENT  1.	The BARANGAY GOVERNMENT OF NABAG-O, through the 2020 Supplemental Budget 02  intends to apply the sum of One hundr</t>
  </si>
  <si>
    <t xml:space="preserve"> Republic of the Philippines BIDS AND AWARDS COMMITTEE Province of Iloilo Invitation to Bid Purchase of DIESEL FUEL Bid No. GOV-20-0942-B 1. The Iloilo Provincial Government, through the GENERAL FUND 2020 intends to apply the sum of  ONE MILLION SEVEN HUND</t>
  </si>
  <si>
    <t xml:space="preserve"> 76 bags Portland Cement 9 cu.m. Sand (sariaya) 3 cu.m. Gravel (sariaya) 121 pcs. 10mm RSB x 6m 11 kls. Ga. #16 Tie Wire 7 sheet 1/4" x 4' x 8' Ord. Plywood 30 pcs. 2" x 3" x 12' Cocolumber 30 pcs. 2" x 2" x 12' Cocolumber 13 kls. Asstd. CWN 18 pcs. 1/4" x</t>
  </si>
  <si>
    <t xml:space="preserve"> Republic of the Philippines BIDS AND AWARDS COMMITTEE Province of Iloilo Invitation to Bid Purchase of OFFICE SUPPLIES Bid No. AGR-20-0905-B 1. The Iloilo Provincial Government, through the GENERAL FUND 2020 intends to apply the sum of  ONE HUNDRED FIFTY-</t>
  </si>
  <si>
    <t xml:space="preserve"> Republic of the Philippines BIDS AND AWARDS COMMITTEE Province of Iloilo Invitation to Bid Purchase of OFFICE SUPPLIES Bid No. PPD-20-0901-B 1. The Iloilo Provincial Government, through the GENERAL FUND 2020 intends to apply the sum of  ONE HUNDRED SIXTEE</t>
  </si>
  <si>
    <t xml:space="preserve"> Invitation to Bid  1.	The CITY GOVERNMENT OF CAUAYAN CITY, ISABELA through the LBP LOAN intends to apply the sum of FOUR MILLION FOUR HUNDRED FIFTY FOUR THOUSAND TWENTY PESOS AND FIFTY EIGHT CENTAVOS (Php4,454,020.58)  being the Approved Budget for the Co</t>
  </si>
  <si>
    <t xml:space="preserve"> Store Name:				 Address:				 "           Please quote you lowest price/s for all item/s as specified on the list below for SILAHIS ELEMENTARY SCHOOL  which are available in your store/establishment/company. If available, please furnish catalogue, descript</t>
  </si>
  <si>
    <t xml:space="preserve"> Invitation to Bid  1.	The CITY GOVERNMENT OF CAUAYAN CITY, ISABELA through the LBP LOAN intends to apply the sum of SEVENTEEN MILLION THREE HUNDRED ELEVEN THOUSAND THREE HUNDRED SIXTY TWO PESOS AND TWENTY ONE CENTAVOS (Php17,311,362.21) being the Approved</t>
  </si>
  <si>
    <t xml:space="preserve"> Invitation to Bid  1.	The CITY GOVERNMENT OF CAUAYAN CITY, ISABELA through the LBP LOAN intends to apply the sum of FOUR MILLION SIX HUNDRED NINETY FOUR THOUSAND NINE HUNDRED TWENTY EIGHT PESOS AND TEN CENTAVOS (Php4,694,928.10) being the Approved Budget </t>
  </si>
  <si>
    <t xml:space="preserve"> The Municipal Government of Atok, Benguet now invites bids for CONSTRUCTION OF WATER SUPPLY AT BOY-OTAN AND ANDIONGAN IN BARANGAY ABIANG, ATOK, BENGUET with the following Scope of Works: 1.	EXCAVATION WORKS; 2.	CONSTRUCTION OF INTAKE TANKS AND DISTRIBUTIO</t>
  </si>
  <si>
    <t xml:space="preserve"> 103(1)A STRUCTURE EXCAVATION 178.56 CU.M 506 STONE MASONRY 99.58 CU.M 104(1) EMBANKMENT 48 CU.M B.5 PROJECT BILLBOARD 1 EACH</t>
  </si>
  <si>
    <t xml:space="preserve"> The Municipal Government of Atok, Benguet now invites bids for REHABILITATION OF WATER SUPPLY AT BONENG IN BARANGAY NAGUEY, ATOK, BENGUET with the following Scope of Works: 1.	EXCAVATION WORKS; 2.	CONSTRUCTION OF INTAKE TANKS AND DISTRIBUTION TANKS; 3.	CO</t>
  </si>
  <si>
    <t xml:space="preserve"> Republic of the Philippines Province of Leyte Municipality of Albuera Barangay San Pedro, Albuera,Leyte OFFICE OF THE BIDS AND AWARDS COMMITTEE INVITATION TO BID The Barangay San Pedro of Albuera, Leyte through its Bids and Awards Committee invites intere</t>
  </si>
  <si>
    <t xml:space="preserve"> Tarpaulin                               2 pcs Meals                                115 pax T-shirt                               115 pcs     Gas                                       1 lot Sanitary kit                        115 pax Alcohol Hand Soap Deo </t>
  </si>
  <si>
    <t xml:space="preserve"> REPUBLIC OF THE PHILIPPINES Province of CEBU MUNICIPALITY OF PINAMUNGAJAN INVITATION TO BID FOR :   PURCHASE OF MEDICINES  1.	The MUNICIPALITY OF PINAMUNGAJAN, through the General Fund intends to apply the sum of ONE MILLION ONE HUNDRED TWENTY FOUR  THOUS</t>
  </si>
  <si>
    <t xml:space="preserve"> 1 UNI Recorder, Standalone h.264 USB, portable  -In accordance with the Technical Specifications  ABC: Php 27,442.54  NOTE: Please sign all pages of the Technical Specifications and submit it together with your quotation. If selected as the winning bidder</t>
  </si>
  <si>
    <t xml:space="preserve"> Local Government Unit of Leyte, Leyte Barangay Tinucdugan  INVITATION TO BID FOR Construction / Improvement of Concrete Pavement of Barangay Tinucdugan  Project Reference Number: 2020-08-01 The Local Government Unit of Leyte, Leyte Barangay Tinucdugan thr</t>
  </si>
  <si>
    <t xml:space="preserve"> Republic of the Philippines						 Province of Bukidnon						 Municipality of Lantapan						 						 INVITATION TO BID FOR THE PURCHASE OF DIGITAL DUPLICATING						 MACHINE, LAPTOP AND PRINTER USE FOR MODULAR REPRODUCTION						 OF DEPED LANTAPAN EAST AND WE</t>
  </si>
  <si>
    <t xml:space="preserve"> Bicycle                                 6 pcs Tablet                                  6 pcs Groceries                             50 pcs Sack of Rice (25kgs)             30 pcs</t>
  </si>
  <si>
    <t xml:space="preserve"> Table Tennis Table with Net		2	pcs Electronic Scoreboard		        1	pc Athletes Locker		                5	units Cabinet		                        2	units Athletic Tapes	                 	10	pcs Pain Reliever Spray		        11	bottles Emergency Kit		       </t>
  </si>
  <si>
    <t xml:space="preserve"> Republic of the Philippines					 Province of Bukidnon					 Municipality of Lantapan					 					 INVITATION TO BID FOR THE PURCHASE OF 					 TWO (2) UNITS DUMPTRUCK (1ST BID)					 					 1	The Local Government Unit of Lantapan through the 20% LDF for CY 2020</t>
  </si>
  <si>
    <t xml:space="preserve"> Supply and Delivery of labor and parts for the vehicle repair of barangay patrol</t>
  </si>
  <si>
    <t xml:space="preserve"> Republic of the Philippines DEPARTMENT OF PUBLIC WORKS AND HIGHWAYS QUEZON I  District Engineering Office 					     Regional Office IV-A        Lucban, Quezon INVITATION TO BID The  Department  of  Public  Works  and  Highways (DPWH), Quezon 1st District </t>
  </si>
  <si>
    <t xml:space="preserve"> Description I.	Aggregate Base Course II.	Concrete Works 1. Barangay San Jose, Palo, LEYTE through the bids and awards comm.) invites suppliers, distributors of construction materials for the project: Proposed Construction of Concrete Walkway 2. The bids a</t>
  </si>
  <si>
    <t xml:space="preserve"> INVITATION TO BID  Supply and Delivery of 15 units Palay Thresher &amp; 15 units Handtractor  with trailer for implementation under 2020 SAAD Program 1.	The Department of Agriculture Regional Field Office No. 5, through the General Appropriations Act (GAA) fo</t>
  </si>
  <si>
    <t xml:space="preserve"> Bleach 1000 pcs Soap   1000 pcs</t>
  </si>
  <si>
    <t xml:space="preserve"> Flooring, roofing, walling, ceiling, painting</t>
  </si>
  <si>
    <t xml:space="preserve"> Van Rental for Southern municipalities maximum of 3 days per trip				4	trip Van Rental for Northern municipalities maximum of 3 days per trip					4	trip</t>
  </si>
  <si>
    <t xml:space="preserve"> PROCUREMENT OF CONSULTANCY SERVICES FOR THE IMPLEMENTATION OF PROFICIENCY STAGE OF THE PGS WITHIN THE MARINA ORGANIZATION -PLEASE SEE ATTACHED TOR</t>
  </si>
  <si>
    <t xml:space="preserve"> Client Computer 													4	unit  All in One 														 7th or above, 8gb memory, 480 SSD, OS, mouse, 														 keyboard &amp; AVR 														 Colored Printer 3in1 													2	unit  CIS Tank 														 Scanner A4, Printer &amp; copier 						</t>
  </si>
  <si>
    <t xml:space="preserve"> DIESEL 													3,500	LTRS 														 TERMS OF REFERENCE:														 WEEKLY WITHDRAWALS</t>
  </si>
  <si>
    <t xml:space="preserve"> ..</t>
  </si>
  <si>
    <t xml:space="preserve"> FABRICATION OF STANDARD FIBERGLASS BASKETBALL BOARD WITH GI PIPE STAND AND ANGLE BAR BASE WITH STEEL ROLLER</t>
  </si>
  <si>
    <t xml:space="preserve"> Information Technology Accessories</t>
  </si>
  <si>
    <t xml:space="preserve"> 1. The LGU-Bakun, Benguet, through the 2020 20% MDF intends to apply the sum of   P 1,199,788.03 being the Approved Budget for the Contract (ABC) to payments under the contract IMPROVEMENT OF SOOKAN-GAMBANG FMR, GAMBANG, BAKUN, BENGUET/Contract Number 54-</t>
  </si>
  <si>
    <t xml:space="preserve"> Common Office Supplies</t>
  </si>
  <si>
    <t xml:space="preserve"> Standard Form Number: SF-GOOD-60 Date: 07/30/2020 Quotation No.2020-08-001-a.m EASTERN VISAYAS STATE UNIVERSITY – CARIGARA CAMPUS Carigara, Leyte Please quote your lowest price on the item/s listed below, subject to the General Conditions on the last page</t>
  </si>
  <si>
    <t xml:space="preserve"> Republic of the Philippines Province of Samar Municipality of Sta. Rita The Municipality of Sta. Rita, through LGU fund intends to apply the sum of TWO MILLION SEVEN HUNDRED THOUSAND PESOS (Php2,700,000.00) ONLY being the Approved Budget for the Contract </t>
  </si>
  <si>
    <t xml:space="preserve"> Camera:													1	unit Megapixel &amp; sensor: 24.3X-Trans CMOS III, Lens: Function XF 18-55mm f/2.8-4 RLM OIS Lens, Mount: Fujifilm X Mount, LCD Screen: 3 "Tilting, Video Recording 4K (3840 x 2160) [ 29.97p/ 25p/ 24p/ 23.98p, Full HD (1920x1080)][59.94p </t>
  </si>
  <si>
    <t xml:space="preserve"> Invitation to Bid  1.	The CITY GOVERNMENT OF CAUAYAN CITY, ISABELA through the LBP LOAN intends to apply the sum of NINETEEN MILLION NINE HUNDRED NINETY NINE THOUSAND ONE HUNDRED EIGHTY FOUR PESOS AND FIFTY EIGHT CENTAVOS (Php19,999,184.58)  being the App</t>
  </si>
  <si>
    <t xml:space="preserve"> BARANGAY CENTRAL SIGNAL BIDS AND AWARDS COMMITTEE -- Advertisement/Posting of Invitation to Bid ------ August 3, 2020 -- Issuance and Availability of Bid Documents ----- August 3, 2020 -- Deadline for Submission -------------------------- August 12, 2020 </t>
  </si>
  <si>
    <t xml:space="preserve"> Republic of the Philippines Province of Iloilo Municipality of Ajuy BIDS AND AWARD COMMITTEE INVITATION TO APPLY FOR ELIGIBILITY AND TO BID 	The Local Government of Ajuy, Iloilo invites Accredited Supplier to apply for eligibility and to bid for the Purch</t>
  </si>
  <si>
    <t xml:space="preserve"> OPENING OF BIDS IN DSWD FO IX, ZAMBOANGA CITY			 	DELIVERY IN MUNICIPALITY OF  SINDANGAN AND SIAYAN ZAMBOANGA DEL NORTE 			 	PROCUREMENT FOR THE FF.:			 				 100	pax	2 snacks	@	 100.00  		10pax/brgy x 10 barangays		 		Brgy/Local Inter-agency Task Force Co</t>
  </si>
  <si>
    <t xml:space="preserve"> INVITATION TO BID PROCUREMENT OF COMPUTERIZED HOSPITAL INFORMATION SYSTEM &amp; ELECTRONIC HEALTH RECORD FOR THE USE OF NAVOTAS CITY HOSPITAL &amp; 25 HEALTH CENTERS (SECOND BIDDING) 	 The City Government of Navotas, through its Bids and Awards Committee, will ho</t>
  </si>
  <si>
    <t xml:space="preserve"> Republic of the Philippines Province of Quezon Municipality of Atimonan Barangay San Isidro INVITATION FOR ELIGIBILITY AND TO BID 	The Barangay San Isidro of Atimonan thru the Bids and Awards Committee (BAC) invites interested suppliers/contractors to app</t>
  </si>
  <si>
    <t xml:space="preserve"> 1. 13 lengths 2" dia G. I. Pipe S-40 2. 116 lengths 1 1/2" x 1 1/2" x 1/4" thk. Angle Bar 3. 8 lengths 16 mm dia DSB 4. 900 bd.ft. 2" x 3" x 12' Gemilina Lumber 150 Pcs. 5. 1,200 Pcs. 10 mm dia x 3" Machine Bolt w/ nut &amp; Washer 6. 20 Pcs. 10 mm dia Metal </t>
  </si>
  <si>
    <t xml:space="preserve"> I. Project Billboard lot 1.00 II. Temporary Facility lot 1.00 III.Occupational Safety and Health Program lot 1.00 IV. Demolition cu.m. 44.75 V. Clearing and Disposal lot 1.00 A. Grouted Riprap using Escombro  I. Clearing and Grubbing  sq.m. 40.50 II. Layo</t>
  </si>
  <si>
    <t xml:space="preserve"> OPENING OF BIDS IN DSWD FO IX, ZAMBOANGA CITY, DELIVERY IN MUNICIPALITY OF  GODOD ZAMBOANGA DEL NORTE AND KABASALAN ZAMBOANGA SIBUGAY PROVINCE	, PROCUREMENT FOR THE FF.:			 				 50	pax	2 snacks	@	 100.00  		10pax/brgy x 5 barangays		 		Brgy/Local Inter-ag</t>
  </si>
  <si>
    <t xml:space="preserve"> I. Project Billboard l.s. 1 II. Temporary Facility l.s. 1.00 III. Occupational Safety land Health Program ls. 1.00 IV. Layout ad Clearing (Including cutting of tree) l.s. 1 V. Grouted Riprap     A. Excavation  cu.m. 345.00    B. Riprapping cu.m. 535.44   </t>
  </si>
  <si>
    <t xml:space="preserve"> I. Layout /Staking works lot 1.00 II. Project Billboad pc. 1.00 III. Occupational Safety and Health Program lot 1.00 IV. Demolition Works  cu.m. 5.00 V. Excavation Works  cu.m. 40.00 VI. Gravelfill  cu.m. 1.50 VII, Backfill cu.m. 7.00 VIII. Concrete works</t>
  </si>
  <si>
    <t xml:space="preserve"> SPCL I Occupational Safety and Health Program lot 1.00 SPCL II Project Billboard lot 1.00 SPCL III Temporary Facility lot 1.00 I. Demolition and Clearing Works lot 1.00 II. Layout and Staking Works lot 1.00 III. Excavation Works  cu.m. 33.36 IV. Embankmen</t>
  </si>
  <si>
    <t xml:space="preserve"> A.1.1. Temporary Facility lot 1.00 B,5 Project Billboard lot 1.00 B.7  Occupational Safety and Health Program lot 1.00 B.9 Mobilization/Demobilization of waste Materials  lot 1.00 SPCL 1 Clearing and Dsiposal of Waste Materials  lot 1.00 Item 105 Subgrade</t>
  </si>
  <si>
    <t xml:space="preserve"> OPENING OF BIDS IN DSWD FO IX, ZAMBOANGA CITY			 	DELIVERY IN MUNICIPALITY OF  LEON POSTIGO ZAMBOANGA DEL NORTE			 	PROCUREMENT FOR THE FF.:			 				 90	pax	2 snacks	@	 100.00  		10pax/brgy x 9 barangays		 		Brgy/Local Inter-agency Task Force Covid 19		 		</t>
  </si>
  <si>
    <t xml:space="preserve"> Computer,HArd drive Opening of bidding is on August 14, 2020 9:00am at Barangay Hall, Barangay Southside, Makati City</t>
  </si>
  <si>
    <t xml:space="preserve"> 103	bags	Portland Cement 9	cu.m.	Screened Gravel 8	cu.m.	Washed Sand 95	pcs.	10mm dia. X 6m RSB 7	kls.	Tie Wire #16 790	pcs.	C.H.B. 4" x 8" x 16' 1	pcs.	Ordinary Plywood 1/4"x4'x8' 53.33	bf	Coco lumber2x2x12 53.33	bf	Good Lumber 1"x8"x10' 1	1	Assorted \C.</t>
  </si>
  <si>
    <t xml:space="preserve"> B.5 Project Billboard l.s. 1.00 B.7 Occupational Safety and Health Program l.s. 1.00 B.8 Traffic Management l.s. 1.00 Item 301 Bit. Prime Coat m.t. 341 Item 310 Bit Conc. Surface Coarse m.t. 566.89 600 (a) Pavement Markings  sq.m. 162.20</t>
  </si>
  <si>
    <t xml:space="preserve"> Hematolgy Diluent 20L 												3	boxes Hematolgy Lyse 1L (Lyse-HX5D) 											3	bottles Hematolgy Lyse 200 ml (Lyse-HX5H)										4	bottles EDTA Tube 100's (2ml) 												13	trays  Disposable Syringe with Needle 3cc 100's 									12	boxes 10-Par</t>
  </si>
  <si>
    <t xml:space="preserve"> Tarpaulin. garbage bag, trash bin opening of bid will be on august 14, 2020 9:00am at Barangay Hall,Barangay Southside, Makati City</t>
  </si>
  <si>
    <t xml:space="preserve"> Landscaping of pathways, Plastic/ Styro Densifier, Brick Mold Machine Prebidding conference will be on August 10, 2020 9:00am at Barangay Hall, Barangay Southside, Makati City Opening of Bids will be on August 14, 2020 9:00am at Barangay Hall, Barangay So</t>
  </si>
  <si>
    <t xml:space="preserve"> SOLAR POWERED STREETLIGHTS</t>
  </si>
  <si>
    <t xml:space="preserve"> SPCL 1 Project Billboard lot 1.00 SPCL II Temporary Facility lot 1.00 SPCL III Occupational Safety and Health Program  lot 1.00 I. Layout, clearing cutting of Tree and Uprooting II. Grouted Riprap A. Excavation cu.m. 324.00 B. Riprapping cu.m. 774.75 C. F</t>
  </si>
  <si>
    <t xml:space="preserve"> OFFICE SUPPLIES AND MATERIALS</t>
  </si>
  <si>
    <t xml:space="preserve"> OPENING OF BIDS IN DSWD FO IX, ZAMBOANGA CITY			 	DELIVERY IN MUNICIPALITY OF  ALICIA ZSP			 	PROCUREMENT FOR THE FF.:			 				 216	pax	1 meal, 2 snacks	@	 250.00  		Community Project Devt Workshop		 		8 pax/brgy x 27 brgys		 		August 17 (5 barangays, simu</t>
  </si>
  <si>
    <t xml:space="preserve"> Supply and Delivery of Brand New Cargo Trike Motorcycle with Canopy and Windshield, 13 units Specification: Engine Displacement: 107 ml Nominal Power: 5.2 kw/7500r/min Span:2855 mm Width: 1100mm Maximum Allowable Bearing Capacity: 500 kg Fuel Consumption:</t>
  </si>
  <si>
    <t xml:space="preserve"> Republic of the Philippines					 Province of Bukidnon					 Municipality of Lantapan					 					 INVITATION TO BID FOR THE CONSTRUCTION OF LANDMARK:					 WELCOME SIGNAGES AT BARANGAY BUGCAON AND BASAC (1ST BID)					 					 1	The Local Government Unit of Lant</t>
  </si>
  <si>
    <t xml:space="preserve"> Oxygen Tank Refill 													120	tank</t>
  </si>
  <si>
    <t xml:space="preserve"> Supply and Delivery of Bio Composting Machine (Organic Fertilizer Machine and System), Plastic Grinding Machine, Paver Press, Waste Mixer and Waste Baler Machine  Bio Composting Machine (Organic Fertilizer Machine and System), 1 unit Inclusion and Specifi</t>
  </si>
  <si>
    <t xml:space="preserve"> Openning of bids will be on Aguust 14, 2020 9:00am at Barangay Hall, Barangay Southside Makati City</t>
  </si>
  <si>
    <t xml:space="preserve"> Republic of the Philippines Region XII Province of Cotabato BIDS AND AWARDS COMMITTEE Amas, Kidapawan City INVITATION TO BID FOR Supply &amp; Delivery of Certified Palay Seeds for production support to rice farmers in the Province of Cotabato. (PB-20-377) 1.	</t>
  </si>
  <si>
    <t xml:space="preserve"> CARTRIDGE, HP1102 - 5 CARTRIDGE</t>
  </si>
  <si>
    <t xml:space="preserve"> INVITATION TO BID Procurement of Desktop Computers for Various Offices and Campuses in Batangas State University 1.	The Batangas State University, through the Supplemental Budget 2018, PRE FY 2018, STF 2018  intends to apply the sum of Six Million Nine Hu</t>
  </si>
  <si>
    <t xml:space="preserve"> Republic of the Philippines Region XII Province of Cotabato BIDS AND AWARDS COMMITTEE Amas, Kidapawan City INVITATION TO BID FOR Supply &amp; Delivery of Brand New Utility Vehicle (Pick-Up) for Provincial Project &amp; Monitoring Committee (PPMC). (PB-20-372) 1.	</t>
  </si>
  <si>
    <t xml:space="preserve"> PRINTER INK REFILL, CANON G3010/ G2010, BLACK - 5BOTTLES PRINTER INK REFILL, EPSON L120, BLACK - 15 BOTTLED PRINTER INK REFILL, EPSON L120, CYAN - 5 BOTTLES PRINTER INK REFILL, EPSON L120, YELLOW - 5 BOTTLES PRINTER INK REFILL, EPSON L120, MAGENTA - 5 BOT</t>
  </si>
  <si>
    <t xml:space="preserve"> INVITATION TO APPLY FOR ELIGIBILITY AND TO BID The Barangay Local Government Unit of Bati-awan, Taft E. Samar, through its Bid and Awards Committee (BAC). Invites suppliers to apply for eligibility, to bid for the hereunder contract: Name of Contract: PUR</t>
  </si>
  <si>
    <t xml:space="preserve"> Improvement/Rehabilitation of Drainage System</t>
  </si>
  <si>
    <t xml:space="preserve"> Renovation of Dilapidated Wooden Grandstand</t>
  </si>
  <si>
    <t xml:space="preserve"> Improvement/Rehabilitation of ICT Building</t>
  </si>
  <si>
    <t xml:space="preserve"> INVITATION TO APPLY FOR ELIGIBILITY AND TO BID The Barangay Local Government Unit of Nato, Taft, Eastern Samar through is Bid and Awards Committee (BAC). Invites suppliers to apply for eligibility, to bid for the hereunder contract: Name of Contract: Purc</t>
  </si>
  <si>
    <t xml:space="preserve"> Computer Table, black/brown, with drawers Computer chair, with arm rest, black</t>
  </si>
  <si>
    <t xml:space="preserve"> INVITATION TO BID PROCUREMENT OF PRIVATE MILLING SERVICES FOR NFA REGION 3 FOR THE YEAR 2020 Project Reference No. NFA - 2020-RBAC-REGIII-029 1. The NATIONAL FOOD AUTHORITY (NFA) Regional Office 3 intends to apply the sum of Thirty Four Million One Hundre</t>
  </si>
  <si>
    <t xml:space="preserve"> Construction of CAFF Building Phase 2</t>
  </si>
  <si>
    <t xml:space="preserve"> The Nueva Ecija University of Science and Technology through its Bids and Awards Committee (BAC), invites entities to bid for the hereunder projects: Name of Project: Purchase of ICT Supplies, Materials and Equipment Location: College of Education, NEUST </t>
  </si>
  <si>
    <t xml:space="preserve"> Notice for Negotiated Procurement All prospective bidders are invited to bid on the above items. The Municipality of Boac reserves the right to accept or reject any bid, to annul the bidding process, and to reject all bids at any time prior to contract aw</t>
  </si>
  <si>
    <t xml:space="preserve"> INVITATION TO BID PURCHASE OF BARANGAY DISASTER RISK REDUCTION MANAGEMENT COMMITTEE (BDRRMC) RESCUE VEHICLE OF BRGY. SALVACION, PANABO CITY 1.	The Barangay Salvacion of Panabo City, through (RRSTF) REMOTE REGISTRY OF SPECIAL TRUST FUND intends to apply th</t>
  </si>
  <si>
    <t xml:space="preserve"> Republic of the Philippines DEPARTMENT OF THE INTERIOR &amp; LOCAL GOVERNMENT Pres. Corazon C. Aquino Regional government Center Balintawak, Pagadian City Tellefax No. (062) 925-0252 INVITATION TO  BID The DEPARTMENT OF THE INTERIOR &amp; LOCAL GOVERNMENT, Region</t>
  </si>
  <si>
    <t xml:space="preserve"> 1. 121 Bags Cement 2. 8.8 Cu.m Gravel  3. 7.15 Cu.m Sand 4. 44 Pcs. 20 mm dia DSB 5. 12.8 Kgs. # 16 Tie Wire 6. 99 Pcs. 10 mm dia DSB 7. 16 Pcs. 12 mm dia DSB 8.  852 Pcs. 4" Concrete Hollow Blocks 9. 1 Meter Sand Screen 10. 20 Pcs. 2" x 3" x 8' Coco Lumb</t>
  </si>
  <si>
    <t xml:space="preserve"> INVITATION TO BID FOR THE PROCUREMENT OF GOODS AND SERVICES FOR FISH PRODUCTION-RELATED PROGRAM IN SUPPORT TO BAYANIHAN TO HEAL AS ONE ACT  (ITB NO. 2020-09) 1. The Bureau of Fisheries and Aquatic Resources-Regional Fisheries Office I (BFAR-RFO I, through</t>
  </si>
  <si>
    <t xml:space="preserve"> The Barangay Government of Concepcion Pequeña, Naga City intends to apply for the sum of Five Hundred Fifty Thousand Pesos (Php 550,000.00) to payments under the contract for the proposed Drainage at Zone 4B, De La Paz (3rd) Street, Doña Clara Village, Co</t>
  </si>
  <si>
    <t xml:space="preserve"> I. Layout /Staking Works  lot 1.00 II. Project Billboard        pc. 1.00 III. Occupational Safety and Health Program lot 1.00 IV. Temporary Facility lot 1.00 V. Hauling of Const. Materials lot 1.00 VI. Temporary Break Water  lot 1.00 VII. Concrete Slope P</t>
  </si>
  <si>
    <t xml:space="preserve"> INVITATION TO APPLY FOR ELIGIBILITY AND TO BID The City of San Juan, Metro Manila, through its Bids and Awards Committee (BAC), invites interested parties to apply for an Eligibility and if found eligible to bid for the – Name of Project One (1) Lot – Pes</t>
  </si>
  <si>
    <t xml:space="preserve"> ITEM  No.       QTY	UNIT OF MEASUREMENT	ITEM DESCRIPTION 1	              1	UNIT                          	CUTTER PLOTTER 24” 630 2	              1	UNIT	                                HEAT PRESS 15” X 15” 3	              1	UNIT                            </t>
  </si>
  <si>
    <t xml:space="preserve"> OPENING OF BIDS IN DSWD FO IX, ZAMBOANGA CITY			 	DELIVERY IN MUNICIPALITY OF PAYAO ZAMBOANGA SIBUGAY PROVINCE			 	PROCUREMENT FOR THE FF.:			 				 100	pax	1 meal, 2 snacks	@	 350.00  		Community Project Devt Workshop		 		Batch 1: August 17, 2020 (50 pax/</t>
  </si>
  <si>
    <t xml:space="preserve"> OPENING OF BIDS IN DSWD FO IX, ZAMBOANGA CITY			 	DELIVERY IN MUNICIPALITY OF  LAKEWOOD ZAMBOANGA DEL SUR			 	PROCUREMENT FOR THE FF.:			 				 180	pax	2 snacks	@	 100.00  		10pax/brgy x 18 barangays		 		Brgy/Local Inter-agency Task Force Covid 19		 		Augu</t>
  </si>
  <si>
    <t xml:space="preserve"> Description Attached</t>
  </si>
  <si>
    <t xml:space="preserve"> SCOPE OF WORKS: B.5	Project Billboard &amp; Signboard	2.00	each	 102(2)	Roadway Excavation (Surplus Common)	196.25	cu.m. 103(6)a	Pipe Culverts &amp; Drainage Excavation, Common Soil	3.99	cu.m. 104(1)a	Embankment from Road Excavation	175.00	cu.m. 105(1)a	Subgrade </t>
  </si>
  <si>
    <t xml:space="preserve"> SCOPE OF WORKS: B.5	Project Billboard &amp; Signboard	2.00	each 101(1)	Removal of Structure and Obstruction (Overflow Bridge)	1.00	l.s 101(4)a3	Removal of Structure and Obstruction , 910 mm dia. RCPC	7.00	l.m 102(2)	Roadway Excavation (Surplus Common)	1,201.4</t>
  </si>
  <si>
    <t xml:space="preserve"> Supply and Delivery of Emergency (E) Balde, 375 sets Consist of: (1) Plastic Pail with Cover, 16 Liters and Above (1) Rechargeable Flashlight (1) Pea-less Safety Whistle (1) Set First Aid Kit (1) Digital Thermometer (1) Elastic Bandage (5) Gauze Pad, 4x4 </t>
  </si>
  <si>
    <t xml:space="preserve"> Supply and Delivery of Electrical Materials and Supplies for Installation of Solar Street Lights Sitio Sto.Niño</t>
  </si>
  <si>
    <t xml:space="preserve"> SCOPE OF WORKS: A.1.1(8)	Provision of Field Office	8.00	month B.3	Project Billboard &amp; Signboard	2.00	each B.7	Occupational Safety and Health Program	8.00	months B.8 (2)	Traffic Management	1.00	l.s B.9	Mobilization/Demobilization	1.00	l.s 101(6)	Removal of</t>
  </si>
  <si>
    <t xml:space="preserve"> Republic of the Philippines  Barangay 601, Zone 59, District VI, Manila Bids and Awards Committee INVITATION TO BID Barangay 601, Zone 59, District VI, Manila through its Bids and Awards Committee (BAC), Invites all Suppliers Contractors to bid the here u</t>
  </si>
  <si>
    <t xml:space="preserve"> Republic of the Philippines Province of Isabela LOCAL GOVERNMENT UNIT OF BENITO SOLIVEN INVITATION TO BID FOR THE CONCRETING OF 40 METERS ROAD AT BARANGAY MALUNO NORTE 1.	The Municipal Government of Benito Soliven, intends to apply the sum of Four Hundred</t>
  </si>
  <si>
    <t xml:space="preserve"> 1. The Energy Regulatory Commission (ERC), through the continuing Appropriation for Fiscal Year 2019, intends to apply the sum of Ten Million Nine Hundred Thousand Pesos (PhP10,900,000.00) inclusive of all government taxes and other charges and fees, bein</t>
  </si>
  <si>
    <t xml:space="preserve"> Republic of the Philippines Province of Isabela LOCAL GOVERNMENT UNIT OF BENITO SOLIVEN INVITATION TO BID FOR THE CONSTRUCTION OF 250 METERS CONCRETE CANAL AT BARANGAY MALUNO NORTE 1.	The Municipal Government of Benito Soliven, intends to apply the sum of</t>
  </si>
  <si>
    <t xml:space="preserve"> Republic of the Philippines Province of Iloilo BINGAWAN WATER DISTRICT Municipal Hall, Pagara St., Poblacion, Bingawan, Iloilo INVITATION TO BID for DRILLING OF EXPLORATORY/PRODUCTION WELLS (Provision of Water Supply System to Non-operational Water Distri</t>
  </si>
  <si>
    <t xml:space="preserve"> The Local  Government   Unit  of General  Santos  City, through  the  GENERAL FUND CY 2020  intends  to apply  the sum of one hundred seventy one thousand and xx / 100 Pesos Only (171,000.00)   being  the Approved  Budget  for the Contract   (ABC) to paym</t>
  </si>
  <si>
    <t xml:space="preserve"> The Local  Government   Unit  of General  Santos  City, through  the  GENERAL FUND CY 2020  intends  to apply  the sum of sixty thousand and xx / 100 Pesos Only (60,000.00)   being  the Approved  Budget  for the Contract   (ABC) to payments  under  the  c</t>
  </si>
  <si>
    <t xml:space="preserve"> The Local  Government   Unit  of General  Santos  City, through  the  GENERAL FUND CY 2020  intends  to apply  the sum of twenty eight thousand nine hundred and xx / 100 Pesos Only (28,900.00)   being  the Approved  Budget  for the Contract   (ABC) to pay</t>
  </si>
  <si>
    <t xml:space="preserve"> L = 50m H = 1.5m F= 1.2m T= 50cm TOTAL MATERIALS = P 148,225.00 TOTAL LABOR = P 51,775.00</t>
  </si>
  <si>
    <t xml:space="preserve"> Please see attached purchase request. To all interested suppliers/bidders, kindly send your proposal in a sealed envelope, addressed to the School Principal Ms. Maribel T. Lescano, on or before the closing date and time of this bid notice. Please enclose </t>
  </si>
  <si>
    <t xml:space="preserve"> SCOPE OF WORKS: B.5	Project Billboard &amp; Signboard	2.00	each		 101(4)a3	Removal of Structures/Obstructions, 910 mm dia. RCPC	5.00	ln.m. 102(2)	Roadway Excavation (Surplus Common)	1,311.25	cu.m. 103(6)a	Pipe Culverts and Drain Excavation (Common Soil)	31.30</t>
  </si>
  <si>
    <t xml:space="preserve"> repair and rehab of 124 sqm -1 unit NCDC building</t>
  </si>
  <si>
    <t xml:space="preserve"> Description   Republic of the Philippines Province of Oriental Mindoro MUNICIPALITY OF NAUJAN BARANGAY ARANGIN BIDS AND AWARDS COMMITTEE INVITATION TO BID SUPPLY AND INSTALLATION OF 4 UNITS CLOSE CIRCUIT TELEVISION (CCTV) CAMERAS OF BARANGAY ARANGIN, NAUJ</t>
  </si>
  <si>
    <t xml:space="preserve"> Standard Form Number: SF-GOOD-05 Revised on: July 28, 2004        INVITATION TO APPLY FOR ELIGIBILITY AND TO BID The LGU-GARCHITORENA, through its Bids and Awards Committee (BAC), invites suppliers/ manufacturers/distributors/contractors to apply for elig</t>
  </si>
  <si>
    <t xml:space="preserve"> INVITATION TO APPLY FOR ELIGIBILITY AND TO BID The City of San Juan, Metro Manila, through its Bids and Awards Committee (BAC), invites interested parties to apply for an Eligibility and if found eligible to bid for the – Name of Project  Laundry Services</t>
  </si>
  <si>
    <t xml:space="preserve"> 1 Unit Multi-Cab     - Multi-Cab Van Type Ambulance     - Rims Set (Mag Wheels)     - fully air-conditioned     - tinted windows     - original stretcher (foldable)     - two (2) big siren with blinker     - Fully painted with barangay logo</t>
  </si>
  <si>
    <t xml:space="preserve"> ALCOHOL, ETHYL 68% - 70% scented, 500ml							12	bot Ballpen Black													190	pc Ballpen Blue													30	pc Battery AA 2's													4	set Binder Clip backfold, all metal 25mm									10	box Binder Clip backfold, all metal 32mm									18	box B</t>
  </si>
  <si>
    <t xml:space="preserve"> 1.	The Capiz Provincial Government, through the GOP–2020 intends to apply the total amount Two Million Nine Hundred Twenty-Eight Thousand One Hundred Thirty-Nine Pesos (Php 2,928,139.00) being the total Approved Budget for the Contract (ABC) to payments u</t>
  </si>
  <si>
    <t xml:space="preserve"> TONER TN 118					20	PCS</t>
  </si>
  <si>
    <t xml:space="preserve"> 1.	The NATIONAL FOOD AUTHORITY (NFA) Regional Office 3 intends to apply the sum of Forty Two Million Nine Hundred Seventy Four Thousand Five Pesos (P42,974,005.00) inclusive of VAT from its Corporate Operating Budget as the Approved Budget for the Contrac</t>
  </si>
  <si>
    <t xml:space="preserve"> INVITATION TO APPLY FOR ELIGIBILITY AND TO BID The City of San Juan, Metro Manila, through its Bids and Awards Committee (BAC), invites interested parties to apply for an Eligibility and if found eligible to bid for the – Name of Project One (1) Lot –Supp</t>
  </si>
  <si>
    <t xml:space="preserve"> INVITATION TO BID FOR THE PROCUREMENT OF TWO (2) UNITS REFRIGERATED VAN 1. The Bureau of Fisheries and Aquatic Resources-Regional Fisheries Office I (BFAR RFO I), through the General Appropriations Act of 2020 (GAA 2020) intends to apply the sum of Five M</t>
  </si>
  <si>
    <t xml:space="preserve"> SCOPE OF WORKS: B.5	Project Billboard &amp; Signboard	2.00	each B.7 (1)	Occupational Safety and Health Program	6.00	mos.	 103(1)a.1	Removal of Existing Concrete Pavement (0.20 m thk.)	18.00	cu.m. 103(1)a	Structure Excavation (Common Soil, RCPC)	1.91	cu.m. 104</t>
  </si>
  <si>
    <t xml:space="preserve"> LED Bulb 5.5w/e27 daylight 										166	pcs LED Bulb 3w mini/e27 daylight										130	pcs LED Bulb 3w mini/e27 warmlight										90	pcs Angle Bar 1½ x 1/4 												1	pcs Fluorescent bulb 40w, daylight										30	set Fluorescent bulb 20w, daylight		</t>
  </si>
  <si>
    <t xml:space="preserve"> Description CITY GOVERNMENT OF DIGOS INVITATION TO BID The City Government of Digos thru the Bids and Awards Committee(BAC) invited interested suppliers/contractors to apply for eligibility screening and if subsequently found eligible to bid for the procu</t>
  </si>
  <si>
    <t xml:space="preserve"> Republic of the Philippines Region XII Province of Cotabato BIDS AND AWARDS COMMITTEE Amas, Kidapawan City INVITATION TO BID FOR Supply &amp; Delivery of 3 units Brand New Utility Vehicle, Double Cabin Dropside for Provincial Engineer’s Office, Amas, Kidapawa</t>
  </si>
  <si>
    <t xml:space="preserve"> CIRCUIT BREAKER WITH ENCLOSURE 60AMPS - 1PC CIRCUIT BREAKER WITH ENCLOSURE 30AMPS - 1PC PDX WIRE #12 -1 METER SPECIAL OUTLET WITH ENCLOSURE - 2PCS/PACKS PDX WIRE STAPLE FOR #12 -2PCS/PACKS ELECTRICAL TAPE - 3 ROLLS DRILL BIT, MASON #5 - 1 PACK RUBBER TAPE</t>
  </si>
  <si>
    <t xml:space="preserve"> INVITATION TO APPLY FOR ELIGIBILITY AND TO BID The City of San Juan, Metro Manila, through its Bids and Awards Committee (BAC), invites interested parties to apply for an Eligibility and if found eligible to bid for the – Name of Project One (1) Lot –Pest</t>
  </si>
  <si>
    <t xml:space="preserve"> Republic of the Philippines Province of Isabela LOCAL GOVERNMENT UNIT OF BENITO SOLIVEN INVITATION TO BID FOR THE ROAD CONCRETING AND INSTALLATION OF RC PIPES AT BARANGAY SEVILLANA 1.	The Municipal Government of Benito Soliven, intends to apply the sum of</t>
  </si>
  <si>
    <t xml:space="preserve"> Improvement of FMR at Sitio Bantolinao,Padiay,Sibagat Agusan del Sur</t>
  </si>
  <si>
    <t xml:space="preserve"> Offices: Mayor's Office ---------------------------------------------------------- 115,000.00 SB Office ----------------------------------------------------------------  60,000.00 Planning Office --------------------------------------------------------- 1</t>
  </si>
  <si>
    <t xml:space="preserve"> Supply and Delivery of Hardware Materials</t>
  </si>
  <si>
    <t xml:space="preserve"> ROOF AND ROOF FRAMING AT 2ND FLOOR ROOF DECK</t>
  </si>
  <si>
    <t xml:space="preserve"> INVITATION TO BID 1.	The FOREST PRODUCTS RESEARCH AND DEVELOPMENT INSTITUTE (FPRDI) through the CY 2020 General Appropriations Act (GAA), intends to apply the sum of One Million Six Hundred Thirty-Five Thousand Pesos (Php 1,635,000.00) being the Approved </t>
  </si>
  <si>
    <t xml:space="preserve"> Handwashing Facilities is a must in times of pandemic and the Municipal Mayor advocates cleanliness by providing handwashing facilities on selected areas.</t>
  </si>
  <si>
    <t xml:space="preserve"> Republic of the Philippines Province of Iloilo MUNICIPALITY OF BINGAWAN Office of the Bids and Awards Committee INVITATION TO RE-BID PURCHASE OF MATERIALS FOR THE CONSTRUCTION OF DRAINAGE SYSTEM Name of Project 1.	The Local Government Unit of Bingawan, th</t>
  </si>
  <si>
    <t xml:space="preserve"> This landscapingworks of the municipal plaza is in pursuant of the requirements mandating local government units to provide a green space for its constituents und Republic Act 9003 otherwise known as the Solid Waste Management Act of 2009.</t>
  </si>
  <si>
    <t xml:space="preserve"> 1.The Energy Regulatory Commission (ERC), through the continuing Appropriation for Fiscal Year 2019, intends to apply the sum of Three Million Pesos (PhP3,000,000.00) inclusive of all government taxes and other charges and fees, being the Approved Budget </t>
  </si>
  <si>
    <t xml:space="preserve"> The vehicle aims to be utilized in line with the municipality's promotion of a proper waste disposal management system.</t>
  </si>
  <si>
    <t xml:space="preserve"> The Local  Government   Unit  of General  Santos  City, through  the  GENERAL FUND CY 2020  intends  to apply  the sum of four hundred sixty thousand three hundred ninety two and xx / 100 Pesos Only (460,392.00)   being  the Approved  Budget  for the Cont</t>
  </si>
  <si>
    <t xml:space="preserve"> See attached ITB.</t>
  </si>
  <si>
    <t xml:space="preserve"> Supply and Delivery of  Hardware Materials</t>
  </si>
  <si>
    <t xml:space="preserve"> Photocopier													1	unit Engine Speed: up to 1 pages per minute A4														 Print, Photocopy, Scan														 Up to A3 (11" x 17") paper size														 Resolution: 600 x 600 dpi														 Weight: main unit : Approx. 23.6 kg										</t>
  </si>
  <si>
    <t xml:space="preserve"> 1	Bed Mattress	Must be fit to existing bed frame or 6 x 35 x 78 inches with high quality foam and easy to clean with zipper and leatherette cover	pcs	350	 3,300.00 	 1,155,000.00</t>
  </si>
  <si>
    <t xml:space="preserve"> Supply and Delivery of Construction Supplies and Materials for the Fabrication of Steel Tunnel Type Greenhouse at Belance, Dupax del Norte with an ABC of Php300,000.00 For further details, please see attached Purchase Request in the associated components.</t>
  </si>
  <si>
    <t xml:space="preserve"> MUNICIPALITY OF HINABANGAN Hinabangan, Samar Invitation to Bid for  IMPROVEMENT OF BRGY. CANANO MULTI-PURPOSE COVERED COURT PHASE II 1.	The Municipal Government of Hinabangan, through the 20% CDF CY 2020 intends to apply the sum of ONE MILLION FOUR HUNDRE</t>
  </si>
  <si>
    <t xml:space="preserve"> 1.The Barangay Liwan Norte of Enrile,Cagayan intends to apply the sum of THREE HUNDRED THOUSAND PESOS only (P300,000.00) being the approved Budget for the Contract (ABC) for the Contract of Regravelling of Barangay  Road (farm to market) of Liwan Norte,En</t>
  </si>
  <si>
    <t xml:space="preserve"> Risograph print (A4 size)											35	reams  Risograph print (8.5 x 12 inches)										42	reams  Calling Card (2x3.5 inches, 100 pcs/box) 								4	boxes Digital print, Glossy, Back to Back (8.5x11 inches)						1,245	pieces  Vinyl sticker (36x36 inches)</t>
  </si>
  <si>
    <t xml:space="preserve"> MUNICIPALITY OF HINABANGAN Hinabangan, Samar Invitation to Bid for  LOCAL ACCESS ROAD IN BRGY. CANANO TO BRGY. DALOSDOSON ROUTE 1.	The Municipal Government of Hinabangan, through the DILG AM CY 2020 TRUST FUND intends to apply the sum of EIGHT MILLION EIG</t>
  </si>
  <si>
    <t xml:space="preserve"> Description                   Qty.                Unit  Trumpa                          6                     set Speaker wire #16          12                   rolls Speaker wire #16          15                  meter</t>
  </si>
  <si>
    <t xml:space="preserve"> Alcohol , 500ml, 70% Isoprophyl 										100	Bot  Cotton, 400gms 													60	Rolls  Baby Oil, 100ml 													50	Bot  Lipstick, Red/L-Red, Peach &amp; Pink 										30	Pcs  Liquid Foundation, Skintone - 30ml 										30	Pcs  Pressed Powder, Skintone</t>
  </si>
  <si>
    <t xml:space="preserve"> 1 HOUR RADIO PROGRAM WITH RADIO SPOTS PLUGGING ANCHOR ON BROADCAST PROVINCE WIDE EVERY SATURDAY													8	hour</t>
  </si>
  <si>
    <t xml:space="preserve"> Supply and Delivery of Construction Materials and Supplies for Construction of Open Canal Additional (Hagan Elem School)</t>
  </si>
  <si>
    <t xml:space="preserve"> ACETYLCYSTEINE 600MG EFFERVECENT TABLET/POWDER/GRANULES x 10'S	20	BOX ADENOSINE 6MG/2ML VIAL	5	VIAL ALUMINUM/MAGNESIUM HYDROXIDE 200MG/5ML, 120ML SUSPENSION ORAL	50	BOTTLE ALUMINUM HYDROXIDE + MAGNESIUM HYDROXIDE TABLET ORAL x 100'S	10	BOX ALUMINUM/MAGNES</t>
  </si>
  <si>
    <t xml:space="preserve"> Computer, Desktop All in One, Processor: Core i5, Memory: 4GB, Hard disk-1TB, DVD ROM, Monitor Size 21', mouse keyboard, UPS: 2000 VA, AVR,													5	unit Colored Printer 3 in 1 (Printer Type - Ink Tank; Functionality - All-in-One (Print, Scan, Copy),</t>
  </si>
  <si>
    <t xml:space="preserve"> DIESEL 													4,500	liter Terms of Reference: 														               twice a week withdrawal of diesel</t>
  </si>
  <si>
    <t xml:space="preserve"> Alcohol, isoprophyl 70% 500ml										200	bottles Bathroom soap-reg. size, pure white									40	pcs Bleaching solution 1 gal.											12	gals Detergent powder 500g											61	pcs Dishwashing liquid, 250 ml											100	bottles Disinfectant spray 34</t>
  </si>
  <si>
    <t xml:space="preserve"> Rehabilitation of Public Market</t>
  </si>
  <si>
    <t xml:space="preserve"> Acetylcysteine 600mg Powder for Oral Solution	50	sachet Aluminum Hydroxide+ Magnesium Hydroxide 200mg/100mg Chewable	4	box Aluminum Hydroxide+Magnesium Hydroxide 225mg/200mg per 5mL Suspension, 60mL	50	bottle Ambroxol 30mg 	100	tablet Ambroxol Hydrochlori</t>
  </si>
  <si>
    <t xml:space="preserve"> 2 UNITS SPLIT TYPE/WINDOW TYPE AIRCON</t>
  </si>
  <si>
    <t xml:space="preserve"> Invitation to Bid Procurement of Service Provider for Shuttle Services for CHED Employees for Three (3) Months (Rebid) 1.	The Commission on Higher Education, through the CHED – Fund 101 GAA for FY 2020 intends to apply the sum of Five Million Five Hundred</t>
  </si>
  <si>
    <t xml:space="preserve"> Republic of the Philippines MUNICIPALITY OF AGONCILLO Province of Batangas Tel. No. 043-210-2344/043-210-2117 BARANGAY BANYAGA INVITATION TO BID The LGU – Banyaga, through its Bids and Awards Committee (BAC), invites suppliers/manufacturers/distributors/c</t>
  </si>
  <si>
    <t xml:space="preserve"> Global Positioning System													5	units 240 x 320 display pixels														 2:2 inch, 65K color, sunlight readable display														 2.1" x 4.0" x 1.3" diameter 														 														 Turbidity Meter													1	unit G7 Maker								</t>
  </si>
  <si>
    <t xml:space="preserve"> Republic of the Philippines Province of Bukidnon Municipality of Damulog Barangay New Compostela -o0o- OFFICE OF THE BIDS AND AWARD COMMITTEE INVITATION TO BID FOR Supply &amp; Delivery of Various Construction Materials for Construction of Multipurpose Buildi</t>
  </si>
  <si>
    <t xml:space="preserve"> 1 unit HD fogging machine</t>
  </si>
  <si>
    <t xml:space="preserve"> Republic of the Philippines BIDS AND AWARDS COMMITTEE Barangay 649, Zone 68, District V Invitation to Bid (ITB) The Barangay 649, Zone 68, District V, Manila, through its Bids and Awards Committee (BAC), INVITES ALL ACCREDITED SUPPLIERS/CONTRACTORS to bid</t>
  </si>
  <si>
    <t xml:space="preserve"> 1. The Total Approved Budget for the Contract (ABC) for the Supply, Delivery and Unloading of Various Fittings and Hardware Supplies for the Proposed Pipeline Re-alignment at Kalgara Bridge are as follows:											 Lot 1: Supply, Delivery &amp; Unloading of</t>
  </si>
  <si>
    <t xml:space="preserve"> 1. The Total Approved Budget for the Contract (ABC) for the Supply, Delivery and Testing of Benchtop Turbidimeter for the Daily Turbidity Monitoring Tests of the Four (4) Service Areas and the Production Area of MCWD is:											 Two Hundred Seventy Tho</t>
  </si>
  <si>
    <t xml:space="preserve"> 1. The Total Approved Budget for the Contract (ABC) for the Supply and Delivery of Free Chlorine Reagent for Chlorine Residual Monitoring in the Entire Service Coverage of MCWD is:												 One Hundred Twenty-Six Thousand Pesos (Php126,000.00)									</t>
  </si>
  <si>
    <t xml:space="preserve"> Bathroom Soap70g, asst.scent									100	pc. Bleaching Solution 1/2 gal.										36	gal. Bleaching Solution, 1 gal.										84	gal. Broom/Walis Tambo											50	pc Bulb, LED, 12 watts, 180-265 volts								50	pc. Chlorine													5	kg Cooking Gas </t>
  </si>
  <si>
    <t xml:space="preserve"> ITEM 101 REMOVAL OF STRUCTURES AND OBSTRUCTIONS           3,150 SQ.M. ITEM 105 SUB-GRADE PREAPARATION                                         3,150 SQ.M. ITEM 200 AGGREGATE SUB-BASE COURSE                                   543 CU.M. ITEM 201 AGGREGATE BAS</t>
  </si>
  <si>
    <t xml:space="preserve"> DIESEL 													8,000	liter Terms of Reference: 														 Withdrawal As need arises</t>
  </si>
  <si>
    <t xml:space="preserve"> Revised on: July 28, 2004 INVITATION TO APPLY FOR ELIGIBILITY AND TO BID The Local Government Unit of Catanauan, Quezon, through its Bids and Awards Committee (BAC), invites suppliers/manufacturers/distributors/contractors to apply for eligibility and to </t>
  </si>
  <si>
    <t xml:space="preserve"> CONSTRUCTION OF HEAD WALL OF PROTECTION WORKS @ BRGY. NAGUILIAN, LAL-LO, CAGAYAN</t>
  </si>
  <si>
    <t xml:space="preserve"> Polo Shirt Personalize 													100	pcs  Anywhere in Palawan 														 														 Medium = 16 (Female 16) (Black, 														  Green, Gray, White and Yellow) 														 														 Large = 50 (Female 25; Male 25) 														 (Bla</t>
  </si>
  <si>
    <t xml:space="preserve"> 1.	The Department of Trade and Industry, through the Integrated Natural Resources and Environmental Management Project – Livelihood Enhancement Support 2 (INREMP-LES 2) under Asian Development Bank (ADB) Funding intends to apply the sum of Ninety Thousand</t>
  </si>
  <si>
    <t xml:space="preserve"> 1.	The Department of Trade and Industry, through the Integrated Natural Resources and Environmental Management Project – Livelihood Enhancement Support 2 (INREMP-LES 2 ) under the Asian Development Bank (ADB) Funding intends to apply the sum of Three Hund</t>
  </si>
  <si>
    <t xml:space="preserve"> MODEL:  HP SO3A 100 WATS PARAMETERS:  Control Mode Light control   Time Control  Bemaing Angle 120 angle Long Life of 50,000 LED Alum alloy body Prevent bask in rain Super strong infrared remote control Pole : GI Pipe S40</t>
  </si>
  <si>
    <t xml:space="preserve"> 1.	The Department of Trade and Industry, through the Integrated Natural Resources and Environmental Management Project – Livelihood Enhancement Support 2 (INREMP-LES 2 ) under the Asian Development Bank (ADB) Funding intends to apply the sum of One Hundre</t>
  </si>
  <si>
    <t xml:space="preserve"> 1.	The Department of Trade and Industry, through the Integrated Natural Resources and Environmental Management Project – Livelihood Enhancement Support 2 (INREMP-LES 2 ) under the Asian Development Bank (ADB) Funding intends to apply the sum of Six Hundre</t>
  </si>
  <si>
    <t xml:space="preserve"> Republic of the Philippines Province of Ilocos Norte Municipality of Paoay BIDS AND AWARDS COMMITTEE INVITATION TO BID 2020-020 Invitation to Bid for the Purchase of office equipment for the use at the Sangguniang Bayan Office 1.	The Municipal Government </t>
  </si>
  <si>
    <t xml:space="preserve"> 1.	The Department of Trade and Industry, through the Integrated Natural Resources and Environmental Management Project – Livelihood Enhancement Support 2 (INREMP-LES 2 ) under the Asian Development Bank (ADB) Funding intends to apply the sum of Ninety Tho</t>
  </si>
  <si>
    <t xml:space="preserve"> The Municipality of Limay, through its Bids and Awards Committee (BAC) invites registered suppliers to apply for eligibility and if found eligible, to bid for the hereunder project/contract: Project/Contract:  SUPPLY AND DELIVERY OF OFFICE SUPPLIES FOR VA</t>
  </si>
  <si>
    <t xml:space="preserve"> 1.	The Department of Trade and Industry, through the Integrated Natural Resources and Environmental Management Project – Livelihood Enhancement Support 2 (INREMP-LES 2) under Asian Development Bank (ADB) Funding intends to apply the sum of One Hundred Two</t>
  </si>
  <si>
    <t xml:space="preserve"> 1.	The Department of Trade and Industry, through the Integrated Natural Resources and Environmental Management Project – Livelihood Enhancement Support 2 (INREMP-LES 2) under Asian Development Bank (ADB) Funding intends to apply the sum of Five Hundred Fi</t>
  </si>
  <si>
    <t xml:space="preserve"> The Local  Government   Unit  of General  Santos  City, through  the  GENERAL FUND CY 2020  intends  to apply  the sum of one hundred fourteen thousand and xx / 100 Pesos Only (114,000.00)   being  the Approved  Budget  for the Contract   (ABC) to payment</t>
  </si>
  <si>
    <t xml:space="preserve"> 1.	The Department of Trade and Industry, through the 2019 General Appropriations Act Continuing Appropriations intends to apply the sum of Three Hundred Sixty Two Thousand Five Hundred Ninety Five Pesos (Php 362,595.00) being the Approved Budget for the C</t>
  </si>
  <si>
    <t xml:space="preserve"> 1.	The Department of Trade and Industry, through the Integrated Natural Resources and Environmental Management Project – Livelihood Enhancement Support 2 (INREMP-LES 2) under Asian Development Bank (ADB) Funding intends to apply the sum of Seven Hundred S</t>
  </si>
  <si>
    <t xml:space="preserve"> 1.	The Department of Trade and Industry, through the INREMP LES 2 under ADB Funding intends to apply the sum of Seven Hundred Sixty Seven Thousand Pesos Only (Php767,000.00) being the Approved Budget for the Contract (ABC) for the contract for ENHANCING T</t>
  </si>
  <si>
    <t xml:space="preserve"> 1.	The Department of Trade and Industry, through the  INREMP LES 2 under ADB funding intends to apply the sum of  Seven Hundred Five Thousand Pesos (Php 705,000.00) being the Approved Budget for the Contract (ABC) for the contract for  White Corn Processi</t>
  </si>
  <si>
    <t xml:space="preserve"> 1.	The Department of Trade and Industry, through the INREMP-LES 2 under ADB Funding intends to apply the sum of Five Hundred Two Thousand Six Hundred Eighty Pesos Only (Php 502,680.00) being the Approved Budget for the Contract (ABC) for the contract for </t>
  </si>
  <si>
    <t xml:space="preserve"> 1.	The Department of Trade and Industry, through the INREMP-LES 2 under ADB Funding intends to apply the sum of Four Hundred Seventy-Two Thousand Five Hundred Fifty Pesos Only (Php 472,550.00) being the Approved Budget for the Contract (ABC) for the contr</t>
  </si>
  <si>
    <t xml:space="preserve"> 1.	The Department of Trade and Industry, through the INREMP-LES 2 under ADB Funding intends to apply the sum of Eight Hundred Seventy Thousand Pesos Only (Php 870,000.00) being the Approved Budget for the Contract (ABC) for the contract for Heirloom Rice </t>
  </si>
  <si>
    <t xml:space="preserve"> 1.	The Department of Trade and Industry, through the Integrated Natural Resources and Environmental Management Project – Livelihood Enhancement Support 2 (INREMP-LES 2) under Asian Development Bank (ADB) Funding intends to apply the sum of One Million Thr</t>
  </si>
  <si>
    <t xml:space="preserve"> Supply and Delivery of Carbon Brush for Staplex Air Sampler</t>
  </si>
  <si>
    <t xml:space="preserve"> 1.	The Department of Trade and Industry, through the INREMP LES 2 under ADB Funding intends to apply the sum of Four Hundred Eighty Three Thousand Nine Hundred Pesos Only (Php483,900.00) being the Approved Budget for the Contract (ABC) for the contract fo</t>
  </si>
  <si>
    <t xml:space="preserve"> Republic of the Philippines BIDS AND AWARDS COMMITTEE Barangay 649, Zone 68, District V Invitation to Bid (ITB) The Barangay 649, Zone 68, DistrictV, Manila, through its Bids and Awards Committee (BAC), INVITES ALL ACRREDITED SUPPLIERS/CONTRACTORS to bid </t>
  </si>
  <si>
    <t xml:space="preserve"> 1.	The Department of Trade and Industry, through the Integrated Natural Resources and Environmental Management Project – Livelihood Enhancement Support 2 (INREMP-LES 2) under Asian Development Bank (ADB) Funding intends to apply the sum of One Hundred Twe</t>
  </si>
  <si>
    <t xml:space="preserve"> REQUEST FOR EXPRESSION OF INTEREST  FOR THE  CONSULTING SERVICES FOR THE CONDUCT OF SUB SURFACE SOIL EXPLORATION AND GEOTECHNICAL INVESTIGATION FOR VARIOUS ROAD NETWORK DEVELOPMENT AND CONSTRUCTION OF FLOOD CONTROL STRUCTURES (CLUSTER B)                  </t>
  </si>
  <si>
    <t xml:space="preserve"> 1.	The Department of Trade and Industry, through the 2019 General Appropriations Act Continuing Appropriations intends to apply the sum of One Million Sixty Six Thousand Five Hundred Ten Pesos Only (Php1,066,510.00) being the Approved Budget for the Contr</t>
  </si>
  <si>
    <t xml:space="preserve"> 25 pcs Safety Breaker 30 A														 29 pcs Safety Breaker 15 A														 1 box PDX Wire #10														 1 box PDS Wire #12														 1 box PDS Wire #14														 50 pcs 2 Gang convenience outlet (surface type)														 60 pcs Plast</t>
  </si>
  <si>
    <t xml:space="preserve"> REQUEST FOR EXPRESSION OF INTEREST  FOR THE  CONSULTING SERVICES FOR THE CONDUCT OF SUB SURFACE SOIL EXPLORATION AND GEOTECHNICAL INVESTIGATION FOR VARIOUS ROAD NETWORK DEVELOPMENT AND CONSTRUCTION OF FLOOD CONTROL STRUCTURES (CLUSTER A)                  </t>
  </si>
  <si>
    <t xml:space="preserve"> The Barangay Government of Binubongan, Allacapan Cagayan, through its Bids and Awards Committee (BAC) will invites interested entities to submit their bidding documents for the following details: Name of Project: Installation of Solar Street Lights Source</t>
  </si>
  <si>
    <t xml:space="preserve"> 20CSE013 -  Consulting Services for the Master Plan and Detailed Architectural and Engineering Design (DAED) for Palawan Convention Centers, Palawan</t>
  </si>
  <si>
    <t xml:space="preserve"> Please see attached Invitation To Bid for details.</t>
  </si>
  <si>
    <t xml:space="preserve"> I - CONST. OF R.C. RESERVOIR 3MX3MX2.40M II - INSTALLATION OF ELECTRIC WATER PUMP III - INSTALLATION OF PIPELINES</t>
  </si>
  <si>
    <t xml:space="preserve"> Description   Republic of the Philippines Province of Leyte Municipality of ORMOC CITY BARANGAY DISTRICT 8 BIDS AND AWARDS COMMITTEE Invitation to Bid for the Procurement of Installation/Fabrication of Material Recovery Facility (MRF), Barangay District 8</t>
  </si>
  <si>
    <t xml:space="preserve"> Printing and binding (softbound) of modules for Kindergarten, Grades 1-3, 5,7 and 9: Specifications: • bond paper size: A4, subs. 24 • colored printing for Kindergarten and Grade 1 modules • grayscale printing for Grades 2-3, 5, 7 and 9 modules • front an</t>
  </si>
  <si>
    <t xml:space="preserve"> Meals, snacks and accommodation for the Knowledge Learning Market of INREMP Kalinga Peoples Organization on August 25-29, 2020 in Tabuk City, Kalinga.								 ITEM AND DESCRIPTION			QTY	UNIT August 25, 2020 (Arrival)				 Dinner ( unli rice, vegetables, po</t>
  </si>
  <si>
    <t xml:space="preserve"> REQUEST FOR EXPRESSION OF INTEREST  FOR THE  CONDUCT OF CONSULTANCY SERVICES FOR THE PARCELLARY SURVEY FOR  FY 2021 PROJECTS                                                                                                                                   </t>
  </si>
  <si>
    <t xml:space="preserve"> PRINTING AND DELIVERY OF MODULES FOR GENERAL EDUCATION SUBJECTS 1.	The OCCIDENTAL MINDORO STATE COLLEGE (OMSC), through the Special Trust Fund intends to apply the sum of One Million Two Hundred Thirty-Seven Thousand Nine Hundred Pesos (Php1,237,900.00) b</t>
  </si>
  <si>
    <t xml:space="preserve"> 1.	The Capiz Provincial Government, through the GOP CY-2020 (20% DF) intends to apply the total amount of Three Million Five Hundred Thousand Pesos (Php,3,500,000.00) being the Approved Budget for the Contract (ABC).  Bids received in excess of the ABC sh</t>
  </si>
  <si>
    <t xml:space="preserve"> PROJECT REFERENCE NO. CWD 35-2020 Invitation to Bid for  Drilling of Exploratory Well in  Various Areas of Calamba City, Laguna Item No.	Item Description	Qty.	Unit	Unit Cost	Total Amount 1	Brgy. Turbina, Glenwood Subdivision (200 mtrs)	1	Lot	4,828,110.00 </t>
  </si>
  <si>
    <t xml:space="preserve"> INVITATION TO BID ITB NO. 20-12 	The Lung Center of the Philippines (LCP), through its Bids and Awards Committee 	(BAC), invites eligible bidders to bid for the, " PROCUREMENT FOR SUPPLY AND DELIVERY OF VARIOUS REGULAR MEDICINES AND IV FLUIDS" (ITB NO 20-</t>
  </si>
  <si>
    <t xml:space="preserve"> 1. REFRIGERATED CENTRIFUGE.............................................................1 unit DP - 2065 R PLUS 6 PLACER Refrigerated centrifuge with 6 (six) 2,000 ml beakers. each for the  use of 12 bags of 500ml. quadruple, triple, double and for TOP &amp; B</t>
  </si>
  <si>
    <t xml:space="preserve"> July 30, 2020 RE-INVITATION TO BID 1.	The Department of Public Works and Highways, Mindoro Occidental District Engineering Office, Mamburao, Occidental Mindoro, through the General Appropriations Act intends to apply the sum of the Approved Budget for the</t>
  </si>
  <si>
    <t xml:space="preserve"> INVITATION TO BID FOR THE Procurement of 12,351 bags @ 50 kgs./bag of Urea Fertilizer (46-0-0)  1. The Department of Agriculture-Regional Field Office 7, through the GAA 2020 intends to apply the sum of Twelve Million Three Hundred Fifty One Thousand Peso</t>
  </si>
  <si>
    <t xml:space="preserve"> INVITATION TO BID FOR The Procurement of 586 bags of GM Hybrid Yellow Corn Seeds 1.	The Department of Agriculture-Regional Field Office 7, through the GAA 2020  intends to apply the sum of Two Million Nine Hundred Thirty Thousand Pesos (₱2,930,000.00) bei</t>
  </si>
  <si>
    <t xml:space="preserve"> Vicente Sotto Memorial Medical Center        B Rodriguez Street, Cebu City INVITATION TO BID The Vicente Sotto Memorial Medical Center, through its Bids and Awards Committee (BAC) invites contractors to bid for the hereunder project: Name of Project	Appro</t>
  </si>
  <si>
    <t xml:space="preserve"> INVITATION TO BID ITB NO. 20-13 	The Lung Center of the Philippines (LCP), through its Bids and Awards Committee 	(BAC), invites eligible bidders to bid for the, " PROCUREMENT FOR SUPPLY AND DELIVERY OF VARIOUS ONCOLOGY DRUGS” ( ITB NO 20-13) ABC Php 5,37</t>
  </si>
  <si>
    <t xml:space="preserve"> 1	200	bags	Portland Cement	 2	13	m3	Washed Sand	 3	13	m3	Selected Gravel	 4	1,086	pcs	4"x8"x16" - CHB				 5	175	pcs	10mmØ6.0m - DRB, STD. G40				 6	34	pcs	12mmØ6.0m - DRB, STD. G40				 7	52	pcs	16mmØ6.0m - DRB, STD. G40				 8	9	kgs	G.I. Tie Wire, #16				 </t>
  </si>
  <si>
    <t xml:space="preserve"> 1	29	bottle	Air Freshener - Spray	 2	30	can	Air Freshener in can	 3	10	piece	Albatros - Big	 4	2	unit	Backup Battery (UPS )	 5	6	box	Ballpen , black, 50's/box 6	489	piece	Ballpen- BPS GP Fine, 0.7-Black Pilot	 7	12	piece	Ballpen- BPS GP Fine, 0.7-Blue Pil</t>
  </si>
  <si>
    <t xml:space="preserve"> INVITATION TO BID FOR THE Procurement of 450 containers of Molasses and 1,000 bags of Organic Fertilizer 1. The Department of Agriculture-Regional Field Office 7, through the GAA 2020 intends to apply the sum of Nine Hundred Five Thousand Pesos (₱ 905,000</t>
  </si>
  <si>
    <t xml:space="preserve"> Rehabilitation and Improvement of Bleachers</t>
  </si>
  <si>
    <t xml:space="preserve"> INVITATION TO BID FOR THE CONSTRUCTION OF  COVERED CANAL POBLACION 1 AND 3, Adams, Ilocos Norte 1.	The Municipal Government of Adams, through funds from the 5% Calamity Fund  intends to apply the sum of ph299,474.44 being the Approved Budget for the Contr</t>
  </si>
  <si>
    <t xml:space="preserve"> 1. 10% SK FUND OF 2020 ABC P 600,000.00 CONTRACT # 2020-001-SK PURCHASE OF OFFICE EQUIPMENT SUPPLIES &amp; CONSUMABLES 2. DELIVERY REQUIRED OF 10 DAYS AFTER THE AWARD OF CONTRACT     MINIMUM OF 2 YEARS COMPLETED SIMILAR PROJECTS 3. OPEN COMPETITIVE BIDDING AP</t>
  </si>
  <si>
    <t xml:space="preserve"> 20CSE014: Consulting Services on the Conduct of Sub-soil Investigation for the Proposed Construction of Rehabilitation/ Major Repair of Slope Protection Structure along Tablas Circumferential Road (K0062+800 - K0063+110), Romblon</t>
  </si>
  <si>
    <t xml:space="preserve"> 1.	The Department of Trade and Industry, through the Integrated Natural Resources and Environmental Management Project – Livelihood Enhancement Support 2 (INREMP-LES 2 ) under the Asian Development Bank (ADB) Funding intends to apply the sum of One Millio</t>
  </si>
  <si>
    <t xml:space="preserve"> ¬REQUEST FOR EXPRESSION OF INTEREST FOR THE  CONSULTING SERVICES FOR THE CONDUCT OF SUB SURFACE SOIL EXPLORATION AND GEOTECHNICAL INVESTIGATION FOR VARIOUS ROAD NETWORK DEVELOPMENT AND CONSTRUCTION OF FLOOD CONTROL STRUCTURES (CLUSTER C)                  </t>
  </si>
  <si>
    <t xml:space="preserve"> 1.	The Department of Trade and Industry, through the INREMP LES 2 under ADB Funding intends to apply the sum of Six Hundred Seventy One Thousand Five Hundred Pesos Only (Php671,500.00) being the Approved Budget for the Contract (ABC) for the contract for </t>
  </si>
  <si>
    <t xml:space="preserve"> The Municipality of Bay, through the GOP – 20% Economic Development Fund (EDF) intends to apply the sum of One Million Pesos Only (PHP 1,000,000.00) being the Approved Budget for the Contract (ABC) to payments under the contract for the Delivery of labor </t>
  </si>
  <si>
    <t xml:space="preserve"> INVITATION TO BID ITB No.: 2020-02-001  1.   The Barangay Alibago of Enrile,Cagayan intends to apply the sum of One Hundred Forty Four Thousand Nine Hundred Sixty Three Pesos and Sixty Six Centavos (P144,963.66) being the Approved Budget for the Contract </t>
  </si>
  <si>
    <t xml:space="preserve"> 1.	The Department of Trade and Industry, through the Integrated Natural Resources and Environmental Management Project – Livelihood Enhancement Support 2 (INREMP-LES 2) under Asian Development Bank (ADB) Funding intends to apply the sum of Seven Hundred N</t>
  </si>
  <si>
    <t xml:space="preserve"> 1.	The Department of Trade and Industry, through the INREMP LES 2 under ADB Funding intends to apply the sum of Four Hundred Twenty Eight Thousand Five Hundred Pesos Only (Php428,500.00) being the Approved Budget for the Contract (ABC) for the contract fo</t>
  </si>
  <si>
    <t xml:space="preserve"> 1.	The Department of Trade and Industry, through the Integrated Natural Resources and Environmental Management Project – Livelihood Enhancement Support 2 (INREMP-LES 2) under Asian Development Bank (ADB) Funding intends to apply the sum of Four Hundred Th</t>
  </si>
  <si>
    <t xml:space="preserve"> 1.	The Department of Trade and Industry, through the Integrated Natural Resources and Environmental Management Project – Livelihood Enhancement Support 2 (INREMP-LES 2) under Asian Development Bank (ADB) Funding intends to apply the sum of Eighty Thousand</t>
  </si>
  <si>
    <t xml:space="preserve"> Construction of Multi – Purpose Building</t>
  </si>
  <si>
    <t xml:space="preserve"> I - ITEM 101  REMOVAL OF STRUCTURES AND OBSTRUCTIONS       2940   SQ.M. II- ITEM 105  SUB-GRADE PREPARATION                                       2940   SQ.M. III - INSTALLATION OF RCPC, RIPRAPPING AND FILL                      Lumpsum IV- ITEM 200 AGGREG</t>
  </si>
  <si>
    <t xml:space="preserve"> BIDS AND AWARDS COMMITTEE (BAC) INVITATION TO BID The Department of Science and Technology (DOST), Regional Office No. IX, through its Bids and Awards Committee (BAC), invites qualified bidder to apply for eligibility and to bid for the “Office Equipment”</t>
  </si>
  <si>
    <t xml:space="preserve"> 1	Thermal Paper	Type 5; glossy; compatible with existing ultrasound printer.	Rolls	35	 Php900.00 	 Php31,500.00  2	Ultrasound Gel	Hypoallergenic, water based transmission gel.	Gallons	5	 Php1,500.00 	 Php7,500.00</t>
  </si>
  <si>
    <t xml:space="preserve"> 1	X-Ray Envelopes	14 x 17 in size, with SLH logo, department and patient identification of general data	pcs	6000	 Php5.00 	 Php30,000.00</t>
  </si>
  <si>
    <t xml:space="preserve"> Republic of the Philippines MUNICIPALITY OF AGONCILLO Province of Batangas Tel. No. 043-210-2344/043-210-2117 BARANGAY BILIBINWANG INVITATION TO BID The LGU – Bilibinwang, through its Bids and Awards Committee (BAC), invites suppliers/manufacturers/distri</t>
  </si>
  <si>
    <t xml:space="preserve"> 1.	The Municipality of Dagami, through the General Fund (MOOE) 2020 intends to apply the sum of Nine Hundred Ninety Eight Thousand One Hundred Fifty One Pesos &amp; 50/100 Only (Php. 998,151.50) being the Approved Budget for the Contract (ABC) to payments und</t>
  </si>
  <si>
    <t xml:space="preserve"> Supply and Delivery of Construction Materials and Supplies for Construction of Water System (So. Balite)</t>
  </si>
  <si>
    <t xml:space="preserve"> The Local  Government   Unit  of General  Santos  City, through  the  GENERAL FUND CY 2020  intends  to apply  the sum of three hundred fifty two thousand three hundred nineteen and 50 / 100 Pesos Only (352,319.50)   being  the Approved  Budget  for the C</t>
  </si>
  <si>
    <t xml:space="preserve"> The Local  Government   Unit  of General  Santos  City, through  the  GENERAL FUND CY 2020  intends  to apply  the sum of three hundred seventy eight thousand four hundred and xx / 100 Pesos Only (378,400.00)   being  the Approved  Budget  for the Contrac</t>
  </si>
  <si>
    <t xml:space="preserve"> The Local  Government   Unit  of General  Santos  City, through  the  GENERAL FUND CY 2020  intends  to apply  the sum of seven hundred fifty six thousand six hundred eighty and xx / 100 Pesos Only (756,680.00)   being  the Approved  Budget  for the Contr</t>
  </si>
  <si>
    <t xml:space="preserve"> 1	Dry Imaging Film	14 x 17, blue base, 100pcs/box	pcs	7000	 134.50 	 941,500.00  2		10 x 12, blue base, 100pcs/box	pcs	1200	 114.50 	 137,400.00  3		8 x 10, blue base, 100pcs/box	pcs	3000	 96.00 	 288,000.00  		NOTE: With free use of machine (computerized</t>
  </si>
  <si>
    <t xml:space="preserve"> Republic of the Philippines Province of Ilocos Norte Municipality of Paoay BIDS AND AWARDS COMMITTEE INVITATION TO BID 2020-021 Invitation to Bid for the Purchase of office supplies to be use by the different offices of the Municipality (1st and 2nd Quart</t>
  </si>
  <si>
    <t xml:space="preserve"> OPENING OF BIDS IN DSWD FO IX, ZAMBOANGA CITY			 3	DELIVERY IN MUNICIPALITY OF MABUHAY ZAMBOANGA SIBUGAY			 	PROCUREMENT FOR THE FF.:			 				 180	pax	1 meal, 1 snack	@	 150.00  		Barangay/Local Agency task Force Covid 19/BDRRMC (cum Planning Workshop and </t>
  </si>
  <si>
    <t xml:space="preserve"> 1	Contrast Medium	Iodine base; non-iconic (low osmolar) solution with FDA approved for oral, IV and rectal; PICS certified; 50ml/bottle	pcs	750	 Php1,300.00 	 Php975,000.00  2	Dry Imaging Film	14 x 17, blue base, 100pcs/box, compatible with existing ct-sc</t>
  </si>
  <si>
    <t xml:space="preserve"> Republic of the Philippines Province of Samar Municipality of Sta. Rita Brgy. Cansadong BIDS AND AWARDS COMMITTEE INVITATION TO BID The Brgy. Cansadong, Municipality of Sta. Rita, through Brgy. fund intends to apply the sum of Two Hundred Twenty Thousand </t>
  </si>
  <si>
    <t xml:space="preserve"> OPENING OF BIDS IN DSWD FO IX, ZAMBOANGA CITY			 	DELIVERY IN MUNICIPALITY OF BAYOG ZAMBOANGA DEL SUR			 	PROCUREMENT FOR THE FF.:			 				 60	pax	2 snacks	@	 100.00  		10pax/brgy x 6 barangays		 		Brgy/Local Inter-agency Task Force Covid 19		 		August 17 </t>
  </si>
  <si>
    <t xml:space="preserve"> Republic of the Philippines Province of Ilocos Norte Municipality of Paoay BIDS AND AWARDS COMMITTEE INVITATION TO BID 2020-022 Invitation to Bid for the Purchase of materials for the construction of isolation rooms of the Municipality 1.	The Municipal Go</t>
  </si>
  <si>
    <t xml:space="preserve"> 1		Drone					1	unit 		Takeoff Weight: 1391g, Diagonal Distance: 350mm Max Service Ceiling above Sea Level: 						 		19685 ft (6000 m) max Ascent Speed: 6m/s (automatic flight) 5m/s (manual control, Max						 		Descent Speed 3m/s, Max Speed 31 mph (50 kph)</t>
  </si>
  <si>
    <t xml:space="preserve"> Republic of the Philippines BIDS AND AWARDS COMMITTEE Province of Iloilo Invitation to Bid Purchase of AGRICULTURAL SUPPLIES Bid No. AGR-20-0924-B 1. The Iloilo Provincial Government, through the GENERAL FUND 2020 intends to apply the sum of  ONE HUNDRED </t>
  </si>
  <si>
    <t xml:space="preserve"> Republic of the Philippines BIDS AND AWARDS COMMITTEE Province of Iloilo Invitation to Bid Purchase of AGRICULTURAL SEEDS Bid No. AGR-20-0925-B 1. The Iloilo Provincial Government, through the GENERAL FUND 2020 intends to apply the sum of  TWO HUNDRED SEV</t>
  </si>
  <si>
    <t xml:space="preserve"> The National Food Authority (NFA) Regional Office V, through its Infrastructure and PHF Machineries Capital Outlay Budget with ASA No. 2020-COF-TRSD-V-Masbate-009 intends to apply the sum of PESOS: ONE MILLION SEVEN HUNDRED FIFTEEN THOUSAND SEVEN HUNDRED </t>
  </si>
  <si>
    <t xml:space="preserve"> INVITATION TO BID PROCUREMENT OF SUPPLY, DELIVERY, INSTALLATION, TESTING AND COMMISSIONING OF PUMPING AND CHLORINATION EQUIPMENT, AND GENERATOR SETS 1.	The Bongabon Water District has received a PhP 25 Million Financial Assistance through the LWUA Interna</t>
  </si>
  <si>
    <t xml:space="preserve"> Republic of the Philippines Province of Cagayan Municipality Of Ballesteros BARANGAY CENTRO EAST INVITATION TO BID FOR “Procurement of Various Materials for the Construction of Drainage Canal along B. Cortez Street” 1.	The Barangay Government of Centro Ea</t>
  </si>
  <si>
    <t xml:space="preserve"> The Municipal Government of Atok, Benguet now invites bids for CONSTRUCTION OF WATER SUPPLY AT BAHONG AND MARAGEM IN BARANGAY PASDONG, ATOK, BENGUET with the following Scope of Works: 1.	EXCAVATION WORKS; 2.	CONSTRUCTION OF INTAKE TANKS AND DISTRIBUTION T</t>
  </si>
  <si>
    <t xml:space="preserve"> The Municipal Government of Atok, Benguet now invites bids for CONSTRUCTION OF WATER SUPPLY AT BOKIG AND PITDAO IN BARANGAY PASDONG, ATOK, BENGUET with the following Scope of Works: 1.	EXCAVATION WORKS; 2.	CONSTRUCTION OF INTAKE TANKS AND DISTRIBUTION TAN</t>
  </si>
  <si>
    <t xml:space="preserve"> Invitation to Bid  1.	The CITY GOVERNMENT OF CAUAYAN CITY, ISABELA through the LBP LOAN intends to apply the sum of THREE MILLION EIGHT HUNDRED SEVENTY FIVE THOUSAND SIX HUNDRED FIFTY SIX PESOS AND THIRTY FIVE CENTAVOS (Php3,875,656.35)  being the Approve</t>
  </si>
  <si>
    <t xml:space="preserve"> Supply and delivery of materials to be used in the Installation og Street Lights</t>
  </si>
  <si>
    <t xml:space="preserve"> Invitation to Bid  1.	The CITY GOVERNMENT OF CAUAYAN CITY, ISABELA through the LBP LOAN intends to apply the sum of THREE MILLION FIVE HUNDRED EIGHTY THREE THOUSAND TWO HUNDRED NINETY TWO PESOS AND SEVENTY CENTAVOS (Php3,583,292.70)  being the Approved Bu</t>
  </si>
  <si>
    <t xml:space="preserve"> see attached bidding documents</t>
  </si>
  <si>
    <t xml:space="preserve"> [LOCAL GOVERNMENT UNIT-VINCENZO SAGUN] INVITATION TO BID FOR PROCUREMENT OF FOOD STUFF (SUPPLEMENTARY FEEDING) 1.	The Local Government Unit-Vincenzo Sagun, through the Trust Fund 2020  intends to apply the sum of Eight Hundred Ten Thousand Eight Hundred F</t>
  </si>
  <si>
    <t xml:space="preserve"> 1.	The Municipality of Esperanza, intends to apply the sum of Two Million Pesos (Php2,000,000.00) being the Approved Budget for the Contract (ABC) to payments under the contract for Supply and Delivery of Pick Up Vehicle use for Vice Mayor’s Office / Cont</t>
  </si>
  <si>
    <t xml:space="preserve"> Invitation to Bid  1.	The CITY GOVERNMENT OF CAUAYAN CITY, ISABELA through the LBP LOAN intends to apply the sum of TWO MILLION THREE HUNDRED NINETY SEVEN THOUSAND EIGHT HUNDRED ONE PESOS AND FORTY EIGHT CENTAVOS (Php2,397,801.48)  being the Approved Budg</t>
  </si>
  <si>
    <t xml:space="preserve"> Please see the attached file as your reference. Thank you.</t>
  </si>
  <si>
    <t xml:space="preserve"> 1. The National Food Authority (NFA) Palawan Provincial Office, through its Procurement Committee will undertake Procurement transaction for Supply and Delivery of Materials and Labor for the Rehabilitation/Repair and Repainting of two (2) unit Mitsubishi</t>
  </si>
  <si>
    <t xml:space="preserve"> (3rd Bidding) 1.	The Government Service Insurance System (GSIS) through the GSIS Corporate Operating Budget for CY 2020 intends to apply the sum of One Hundred Two Million Eight Hundred Seventy Thousand Two Hundred Ninety One Pesos and Forty One Centavos </t>
  </si>
  <si>
    <t xml:space="preserve"> Republic of the Philippines Province of Ilocos Norte SOLSONA Barangay 13, Nalasin INVITATION TO BID FOR PURCHASE OF 7 uNITS SOLAR STREET LIGHTS 1.	The Barangay Gov’t. of Nalasin, Solsona, Ilocos Norte, through the 20% BDF 2020,  intends to apply the sum o</t>
  </si>
  <si>
    <t xml:space="preserve"> Desktop Computers, Pen Tablets, Headset with microphone, mixer and speaker, DSLR Camera and videography accessories.</t>
  </si>
  <si>
    <t xml:space="preserve"> INVITATION TO BID FOR THE PROCUREMENT OF GROCERY ITEMS FOR BANGUN IMPLEMENTATION IN BASILAN PROVINCE The Department of Social Welfare and Development (DSWD) Field Office IX through the Government of the Philippines General Appropriations Act of 2020 inten</t>
  </si>
  <si>
    <t xml:space="preserve"> Pls see attached docs</t>
  </si>
  <si>
    <t xml:space="preserve"> 140 units of Laptop and LTE Modem.</t>
  </si>
  <si>
    <t xml:space="preserve"> Invitation to Bid  1.	The CITY GOVERNMENT OF CAUAYAN CITY, ISABELA through the LBP LOAN intends to apply the sum of FOUR MILLION FIVE HUNDRED FOUR THOUSAND THREE HUNDRED SIXTEEN PESOS AND ONE CENTAVO (Php4,504,316.01) being the Approved Budget for the Con</t>
  </si>
  <si>
    <t xml:space="preserve"> 1.	The LGU-Mallig, Isabela, through the Tobacco Excise Tax 2016 intends to apply the sum of Three Million Six Hundred Ninety-Seven Thousand Twenty-Five Pesos &amp; 61/100 Only (Php 3,697,025.61) being the Approved Budget for the Contract (ABC) to payments und</t>
  </si>
  <si>
    <t xml:space="preserve"> Republic of the Philippines Province of Davao Oriental CITY OF MATI REQUEST FOR QUOTATION 			 Date:	30 JULY 2020 RFQ No.:	1035-2020 Name of Company: __________________________________________________________________________________________________________</t>
  </si>
  <si>
    <t xml:space="preserve"> The Barangay Government of Barangay Malibayo, Batangas City intends to apply the sum of Two Hundred Thirty Four Thousand Pesos (P 234,000.00) broken down as follow: ITEM Brief Description SUB-ABC Lot 1 Purchase of Various Office Equipment and Other Suppli</t>
  </si>
  <si>
    <t xml:space="preserve"> INVITATION TO BID FOR THE PROCUREMENT OF PERISHABLE ITEMS FOR BANGUN IMPLEMENTATION IN SULU PROVINCE The Department of Social Welfare and Development (DSWD) Field Office IX through the Government of the Philippines General Appropriations Act of 2020 inten</t>
  </si>
  <si>
    <t xml:space="preserve"> 1 REGION XII Province of Cotabato Municipality of Midsayap BIDS &amp; AWARDS COMMITTEE Tel. Nos. (064) 229-8018; 229-8650; 229-8450 INVITATION TO BID FOR  2020-085, SUPPLY AND DELIVERY OF I.T. AND OFFICE SUPPLIES FOR VARIOUS SCHOOLS OF MIDSAYAP, COTABATO 1. T</t>
  </si>
  <si>
    <t xml:space="preserve"> INVITATION TO BID LGU-El Salvador City, Misamis Oriental through its BAC, invites interested bidders to apply for eligibility and if found eligible to bid for the contract: 1.	Contract ID No.	:	ITB No. 2020-08-077/Project ID No. 20-043-SB#1-20% Name of Pr</t>
  </si>
  <si>
    <t xml:space="preserve"> Please see the BAC Secretariat</t>
  </si>
  <si>
    <t xml:space="preserve"> Brgy San Andres Alaminos Laguna Invitation to Bid for THE DELIVERY OF MEDICAL EQUIPMENT A 7 IN 1 HEALTH MONITORING DEVICE</t>
  </si>
  <si>
    <t xml:space="preserve"> 1. Beck Youth Inventory 2nd edition (manual, record form) = 1 set 2. Beck Youth Inventory record form = 100 pcs</t>
  </si>
  <si>
    <t xml:space="preserve"> SEE ATTACHED FILE</t>
  </si>
  <si>
    <t xml:space="preserve"> QTY     UNIT       DESCRIPTION 29     loads     BOULDERS (2.5 CuM per load) 126   bags      Portland cement 10     Load      Rivermixed x x x x x  Nothing    Follows x x x x</t>
  </si>
  <si>
    <t xml:space="preserve"> Republic of the Philippines 		 National Kidney and Transplant Institute 			Bids and Awards Committee 		           East Avenue Quezon City 1100 				   981-0300 local 1084 / 926-8946 				          http://www.nkti.gov.ph/ 1.  The NATIONAL KIDNEY AND TRANSPLA</t>
  </si>
  <si>
    <t xml:space="preserve"> Animal / Zoological Supplies</t>
  </si>
  <si>
    <t xml:space="preserve"> Republic of the Philippines                                                CONCEPCION WATER DISTRICT                                                  San Jose, Concepcion, Tarlac                                   Tel. No. (045) 923-0430 / 923-1576 / 628-2</t>
  </si>
  <si>
    <t xml:space="preserve"> Invitation to Bid  1.	The CITY GOVERNMENT OF CAUAYAN CITY, ISABELA through the LBP LOAN intends to apply the sum of ONE MILLION NINE HUNDRED FORTY FIVE THOUSAND NINE HUNDRED FORTY FIVE PESOS AND THIRTEEN CENTAVOS (Php1,945,945.13) being the Approved Budge</t>
  </si>
  <si>
    <t xml:space="preserve"> Procurement of Office Supplies and consumables for printing of Modular, and other reading materials for students by year level.</t>
  </si>
  <si>
    <t xml:space="preserve"> Republic of the Philippines Province of Palawan Municipality of Balabac BIDS AND AWARDS COMMITTEE Project Reference Number: 004-RFQ-01-MEO-20 Name of the Project              : Supply and Delivery of  Various Supplies for the repair and maintenance of Mun</t>
  </si>
  <si>
    <t xml:space="preserve"> Republic of the Philippines Department of Health Center for Health Development IX SULU SANITARIUM Upper San Raymundo, 7400 Jolo, Sulu 0688460047(PLDT); 0853418911 local 2331 sulusanitarium@ymail.com INVITATION TO BID FOR Procurement of Various Hospital </t>
  </si>
  <si>
    <t xml:space="preserve"> Construction of 3,500 square meter public parks and plaza.</t>
  </si>
  <si>
    <t xml:space="preserve"> Supply and delivery of 4 in 1 Printer Machines.</t>
  </si>
  <si>
    <t xml:space="preserve"> **INVITATION TO APPLY FOR ELIGIBILITY AND TO BID** The BARANGAY V, Daet, Camarines Norte through the Bids and Awards Committee (BAC), invites suppliers/manufacturers/distributors/contractors to apply for eligibility to bid for the hereunder project: Name </t>
  </si>
  <si>
    <t xml:space="preserve"> REPAIR/MAINTENANCE OF DOST BUILDING, PROVINCIAL SCIENCE AND TECHNOLOGY CENTER BUILDING Contract Location:                   Calaba, Bangued, Abra Brief Description:                    Repair/Maintenance of DOST Building using Finishing Works The DPWH-Abra</t>
  </si>
  <si>
    <t xml:space="preserve"> Website Development -Domain Name &amp; Hosting -Improvement of Existing Website, Development &amp; Maintenance</t>
  </si>
  <si>
    <t xml:space="preserve"> Project Billboard - 1 unit Site Works (Structural Excavation) - 10.69 cu.m. Structural Concrete - 49.09 cu.m. Masonry Works - 212.48 sq.m. Carpentry Works - 726.11 sq.m. Tile Works- 246.15 sq.m. Electrical Works - 1 lot Plumbing Works - 1 lot Roofing Work</t>
  </si>
  <si>
    <t xml:space="preserve"> Republic of the Philippines						 City Government of Davao						 						 INVITATION TO BID						 for Infrastructure Projects B15-2020						 						 The City Government of Davao now invites bidders for the project/s under B15-2020 as listed below.   The pros</t>
  </si>
  <si>
    <t xml:space="preserve"> Republic of the Philippines City of Dapitan BIDS AND AWARDS COMMITTEE 						July 30, 2020 NOTICE FOR RE - NEGOTIATED - SMALL VALUE PROCUREMENT The City Government of Dapitan through the Bids and Awards Committee (BAC) would like to inform PhilGEPS registe</t>
  </si>
  <si>
    <t xml:space="preserve"> 6	Piece	Copper Busbar-(9mmx90mmx250mm), ABC 9,500.00/pc 10	Piece	4"Dia. RSC Pipe, Schedule 40, ABC 3,500.00/pc RFQ#07-0801</t>
  </si>
  <si>
    <t xml:space="preserve"> Please quote your lowest price on the items listed below, subject to the General Condition on the last page, stating the shortest time of delivery and submit your quotation duly signed by your representative not later than five (5) days after receipt, in </t>
  </si>
  <si>
    <t xml:space="preserve"> Republic of the Philippines Province of Palawan Municipality of Balabac BIDS AND AWARDS COMMITTEE INVITATION TO BID(Rebid) 1.The Municipal Government  of Balabac, through MOOE 2020 intends to apply the sum of One Million Pesos Only only (PHP 2,000,000.00)</t>
  </si>
  <si>
    <t xml:space="preserve"> Procurement of 1 Unit Duplicator for the Local Government Unit of Tayum</t>
  </si>
  <si>
    <t xml:space="preserve"> The Municipality of Limay, through its Bids and Awards Committee (BAC) invites registered contractors to apply for eligibility and if found eligible, to bid for the hereunder project/contract: Project/Contract: REPAIR AND REPAINTING OF KITANG ELEMENTARY S</t>
  </si>
  <si>
    <t xml:space="preserve"> INVITATION TO BID FOR THE Procurement of Free Range Chickens (Male and Female) 1. The Department of Agriculture-Regional Field Office 7, through the GAA 2020 intends to apply the sum of One Million Six Hundred Twenty Thousand Pesos (₱ 1,620,000.00) being </t>
  </si>
  <si>
    <t xml:space="preserve"> Republic of the Philippines BOHOL ISLAND STATE UNIVERSITY Main Campus, Tagbilaran City INVITATION TO BID FOR RE-BIDDING: SUPPLY AND DELIVERY OF HOTEL PROPERTY MANAGEMENT SYSTEM (PMS) SOFTWARE (PR NO. 2020-03-0474) 1.	The Bohol Island State University – Ma</t>
  </si>
  <si>
    <t xml:space="preserve"> CONSTRUCTION OF OPEN STORGAE AT BARANGAY NEW TUBIGON,SIBAGAT,AGUSAN DEL SUR</t>
  </si>
  <si>
    <t xml:space="preserve"> INVITATION TO BID FOR CONSTRUCTION OF BARANGAY HALL (PHASE I) 2ND FLOOR OF MULTI-PURPOSE BUILDING IN SAN MANUEL  (INFRA 2020-17) 1.	The LOCAL GOVERNMENT UNIT OF SAN MATEO, ISABELA (LGU-SMI), through its Bids and Awards Committee  intends to apply the sum </t>
  </si>
  <si>
    <t xml:space="preserve"> Improvement of Basketball Court at Sitio Lourdes, Brgy. Talaga, Capas, Tarlac</t>
  </si>
  <si>
    <t xml:space="preserve"> Purchase of Supplies for COVID-19 Pandemic of Sangguniang Barangay of Banlic</t>
  </si>
  <si>
    <t xml:space="preserve"> SET OF 8 CAMERA, 1 MONITOR, 1 POWER SUPPLY, 1 UPS, WIRES AND  INSTALLATION</t>
  </si>
  <si>
    <t xml:space="preserve"> ITEM: 2 shts MS Plate 4' x 8' x 3/4" thk							 1 sht MS Plate 4' x 8' x 1/2" thk		 PURPOSE: PROP. 50MM &amp; 300MM PIPELINE RE-ALIGNMENT @ AYESA BUNTONG, CAMAMAN -AN, CDOC (W.O.#20-031-A)	 ABC: PHP 55,000.00 DELIVERY SCHEDULE: 10 CALENDAR DAYS</t>
  </si>
  <si>
    <t xml:space="preserve"> CONSTRUCTION/ REHABILITATION OF HEALTH CENTER AT BRGY SAN JUAN RORO, EAST DISTRICT, SORSOGON</t>
  </si>
  <si>
    <t xml:space="preserve"> Service Vehicle Van</t>
  </si>
  <si>
    <t xml:space="preserve"> Office supplies and consumables</t>
  </si>
  <si>
    <t xml:space="preserve"> 3 WHEEL MOTOR VEHICLE FOR BRGY. BAGACAY.</t>
  </si>
  <si>
    <t xml:space="preserve"> EIGHT UNIT Desktop Computer with Complete Accessories and Computer Stand 		 CPU: Intel Core 13-9100F 3.60 GHz 6MB Cache Processor		 Motherboard: mAsus Prime H31) M-E		 Memory: Kingston Hyper X 8GB DDR4 2400 Mhz		 Storage: Seagate Barracuda 1 TB SATA 3.5"7</t>
  </si>
  <si>
    <t xml:space="preserve"> INVITATION TO BID ITB NO. PB20-08 Invitation to Bid for Supply and Delivery of Two (2) Units Reefer Van in Support to KADIWA on Wheels Activities The Bureau of Fisheries and Aquatic Resources Regional Office No. 02 (BFAR-R02) of the Department of Agricult</t>
  </si>
  <si>
    <t xml:space="preserve"> INVITATION TO BID 	 The Municipality of Liloan, Southern Leyte through its Bids and Awards Committee (BAC), invites suppliers/manufacturers/distributors/contractors to bid for the following: 1.	Purchase of Medicines Location:  Poblacion, Liloan, Southern </t>
  </si>
  <si>
    <t xml:space="preserve"> 1. The Department of Agrarian Reform Provincial Office, through CONVERGE intends to apply the sum of TWO HUNDRED TWENTY-FIVE THOUSAND Only (PHP 225,0000) being the Approved Budget for the Contract (ABC) to payments under the contract for CONSULTANCY SERVI</t>
  </si>
  <si>
    <t xml:space="preserve"> SUPPLY AND DELIVERY OF MATERIALS FOR INSTALLATION OF WATER SUPPLY SYSTEM OF VARIOUS BARANGAY, MAUBAN, QUEZON. 1.     The Local Government Unit of Mauban through the GENERAL FUND-8751/1-07-03-040, 2020 intends to apply the sum of Two million five hundred n</t>
  </si>
  <si>
    <t xml:space="preserve"> Procurement of Cleaning and Disinfecting Supplies 1. Alcohol, Ethyl, 68%-70%, Scented, 500ml, 439 bottles, Php19312.49 2. Detergent Powder, All Purpose, 1Kg, 466 packs, Php17,442.19 3. Disinfectant Spray, Aerosol Type, 400-550 grams, 228 cans, Php28,039.4</t>
  </si>
  <si>
    <t xml:space="preserve"> Republic of the Philippines Province of Cagayan Municipality of Baggao INVITATION TO BID FOR THE PROCUREMENT OF GOODS The Barangay Mocag, Baggao, Cagayan, through the 20% BDF CY 2020 intends to apply the sum of One Hundred Fifty Thousand Pesos (PHP 150,00</t>
  </si>
  <si>
    <t xml:space="preserve"> SUPPLY AND DELIVERY OF 3 UNIT ONDOY BOAT TO BE USED DURIG EMERGENCY RESPINSE IN FLOOD PRONE BARANGAY OF MAUBAN, QUEZON. 1.      The Local Government Unit of Mauban through the GENERAL FUND-9999/1-07-06-040 (CF), 2020 intends to apply the sum of Two hundre</t>
  </si>
  <si>
    <t xml:space="preserve"> INVITATION TO BID Date: August 04, 2020 1.	The Provincial Government of Davao del Sur, through its Bids and Awards Committee (BAC), invites all potential bidders/suppliers to apply to bid for the following goods. Bids received in excess of the ABC shall b</t>
  </si>
  <si>
    <t xml:space="preserve"> REHABILITATION/IMPROVEMENT OF POBLACION TO SILJAGON FMR,  MAPANAS, NORTHERN SAMAR BIDDING DOCUMENTS Procurement of INFRASTRUCTURE PROJECTS Name of Project: Rehabilitation/Improvement of Poblacion to Siljagon FMR, Barangay Sta Potenciana, Mapanas, Northern</t>
  </si>
  <si>
    <t xml:space="preserve"> Procurement of RHU 2020 Medical Instrument Lot 4- Rebidding</t>
  </si>
  <si>
    <t xml:space="preserve"> Procurement of RHU 2020 Medical Instrument Lot 3- Rebidding</t>
  </si>
  <si>
    <t xml:space="preserve"> Procurement of RHU 2020 Oxygen Tank with Gauge in Trolley or Rack (20L)- Rebidding</t>
  </si>
  <si>
    <t xml:space="preserve"> SUPPLY AND DELIVERY OF OFFICE SUPPLIES, MAYOR'S OFFICE, MAUBAN, QUEZON. The Local Government Unit of Mauban through the GENERAL FUND-1011/5-02-03-010, 2020 intends to apply the sum of Four hundred eleven thousand three hundred seventy pesos (Php 411,317.0</t>
  </si>
  <si>
    <t xml:space="preserve"> Procurement of Medical Equipment for Taglatawan Hygienic Clinic- Hygienic- Rebidding</t>
  </si>
  <si>
    <t xml:space="preserve"> Procurement of RHU 2020 Refrigerator- Rebidding</t>
  </si>
  <si>
    <t xml:space="preserve"> Republic of the Philippines MUNICIPALITY OF BUNAWAN, AGUSAN DEL SUR Invitation to Bid/ Instruction to Bidders CONSTRUCTION OF BARANGAY STREETS (OPENNING) August 6, 2020 1.	The Municipality of Bunawan, now invite bids for Construction of Barangay Streets (</t>
  </si>
  <si>
    <t xml:space="preserve"> Republic of the Philippines BIDS AND AWARDS COMMITTEE Province of Iloilo Invitation to Bid Purchase of DIGITAL COPIER PRINTER SCANNER Bid No. DRL-20-0327-B  1. The Iloilo Provincial Government, through the SUPPLEMENTAL BUDGET 2019 CAPITAL OUTLAY intends t</t>
  </si>
  <si>
    <t xml:space="preserve"> 400 vial Inactivated Purified Anti Rabies Vaccines 113 vial Equine Rabies Immunoglobulin</t>
  </si>
  <si>
    <t xml:space="preserve"> 1 unit  - LAPTOP COMPUTER •	14 INCHES DISPLAY •	4GB RAM •	WINDOWS 10 •	Wifi ready 1 unit Aircondition 0.5 HP ( window type) 3 units Refrigerator 5cu.ft 2 units Industrial Stand Fan ( Big) 30" diameter</t>
  </si>
  <si>
    <t xml:space="preserve"> Qty = 8 unit</t>
  </si>
  <si>
    <t xml:space="preserve"> Item I -  Earthworks   1.73  cu.m. Item II - Concrete Works  2.30  cu.m. Item III - Installation of Flood Marker Equipment and Accessories   3   sets SPCL-I -  Standard Project Billboard  1  lot Invitation to Bid   INSTALLATION OF ASSESSMENT AND WARNING D</t>
  </si>
  <si>
    <t xml:space="preserve"> Republic of the Philippines MUNICIPALITY OF MULANAY Province of Quezon Invitation to Bid for  Concreting of Farm to Market Road 1.	The Local Government Unit of Mulanay, Quezon through the Trust Fund/DA/PLGU Fund intends to apply the sum of One Million, Ni</t>
  </si>
  <si>
    <t xml:space="preserve"> Republic of the Philippines                   PROVINCE OF BUKIDNON                   Municipality of Don Carlos                                        BIDS AND AWARDS COMMITTEE       REQUEST FOR QUOATATION   									 							Date:  						RFQ No.	 Name of </t>
  </si>
  <si>
    <t xml:space="preserve"> OFFICE OF THE BIDS AND AWARDS COMMITTEE (BAC) INVITATION TO BID FOR: 20-07-599 Purchase of Plastic Chairs (Monoblock Chairs) for LGU General Services Activities 1.	The Local Government Unit of Alamada, through the 1061-1-07-07-010 intends to apply the sum</t>
  </si>
  <si>
    <t xml:space="preserve"> Procurement of regular office supplies and audio visual equipment and consumables for use in the Regional Operations Division of TESDA-CAR</t>
  </si>
  <si>
    <t xml:space="preserve"> DPWH, Isabela City District Engineering Office Tabuk, Isabela City, Basilan Province INVITATION TO BID The DPWH Isabela City District Engineering Office, through its Bids and Awards Committee (BAC), invites contractors to submit bids for the following Con</t>
  </si>
  <si>
    <t xml:space="preserve"> Rehabilitation of Ground floor with an area of 71.97 m2. Construction of 2nd floor with an area of 71.97m2.</t>
  </si>
  <si>
    <t xml:space="preserve"> Construction of Child Care/Training Center with an area of 75 sqm. Dimension of 7.5m x 10.00m Elevation of 0.50m complete with rain water collector, septic tank, tile &amp; painting.</t>
  </si>
  <si>
    <t xml:space="preserve"> The project construction of covered pathwalk with a total length of 71.50m. It consists of structure excavation V= 8.32, Concrete works V= 17.84m3, Rebar works, formworks, roofing &amp; tinsmitary. Hauling &amp; disposal of spoils.</t>
  </si>
  <si>
    <t xml:space="preserve"> MULTI-PURPOSE PAPER 80 GSM SUBSTANCE 20</t>
  </si>
  <si>
    <t xml:space="preserve"> Length=364.0 M Soft Scale Nero Pave (50.0mm) Curb &amp; Gutter Manholes (2 units)</t>
  </si>
  <si>
    <t xml:space="preserve"> Upgrading of pavement area= 872.60 m2 includes construction of canal with steel gratings L= 113.80m and construction of 2 cross drainage RCPC 18'' with manholes</t>
  </si>
  <si>
    <t xml:space="preserve"> Republic of the Philippines Province of Surigao del Norte  Municipality of Malimono  OFFICE OF THE BIDS AND AWARDS COMMITTEE INVITATION TO BID ID NO. TPDF-MAL-SDN-10-20 1.The Municipality of  Malimono, Surigao del Norte through the Office of the Bids and </t>
  </si>
  <si>
    <t xml:space="preserve"> Ambulance  5-speed Manual Transmission Engine Displacement: 2200cc 2.2L 4 In-line DOCH, 16V Turbo Charged (VGT DID 4D14) Euro 4 Dual A/C</t>
  </si>
  <si>
    <t xml:space="preserve"> Construction of Multi Purpose building with a total area of 135 sqm two storey with dimension of 7.50m x 9.00m elevation of 0.70m. Complete with rain water collector, septic tank, tiles &amp; painting.</t>
  </si>
  <si>
    <t xml:space="preserve"> Construction of Concrete canal with steel grating L= 174.40m laying of RCPC 600mm. L= 10.00m. Removal works concreting of sidewalk.</t>
  </si>
  <si>
    <t xml:space="preserve"> INVITATION TO BID  FOR THE  Supply and delivery to the Districts on the Reproduction of K to 12 Modules for the Implementation of Basic Education Learning Continuity Plan (BE-LCP) 1. The Department of Education (DepEd) DIVISION OF LEYTE, through the Gover</t>
  </si>
  <si>
    <t xml:space="preserve"> INVITATION TO BID FOR THE Procurement of Various Inorganic Fertilizer 1. The Department of Agriculture-Regional Field Office 7, through the GAA 2020 intends to apply the sum of Four Million One Thousand Pesos (₱ 4,001,000.00) being the Approved Budget for</t>
  </si>
  <si>
    <t xml:space="preserve"> Clearing of Site with embankment concreting of pavement 53.66m3. Construction of Canal with steel gratings L=105.70m.</t>
  </si>
  <si>
    <t xml:space="preserve"> Concreting of farm-to-market road with length of 209.00 meters including transitions and spill way with the length of 9.00 meters.</t>
  </si>
  <si>
    <t xml:space="preserve"> 52.00 cu.m. Removal of structure &amp; obstruction	 153.50 cu.m. Structure Excavation (Solid Rock)	 30,332.00	kg Reinforcing Steel Bar, Grade 40 (Minor Structures)	  194.40 cu.m Structural Concrete Class A (Minor Structures) including stairs	 1,500.00 Sq.m. R</t>
  </si>
  <si>
    <t xml:space="preserve"> Republic of the Philippines MUNICIPALITY OF BUNAWAN, AGUSAN DEL SUR Invitation to Bid/ Instruction to Bidders INSTALLATION OF CCTV ALONG STRATEGIC AREAS August 6, 2020 1.	The Municipality of Bunawan, now invite bids for Installation of CCTV along Strategi</t>
  </si>
  <si>
    <t xml:space="preserve"> 0.02	ha Clearing &amp; Grubbing (w/ stripping)  15.00 cu.m. Structural Concrete Class A (Minor Structures) including stairs	 1.00	l.s. Construction Safety and Health</t>
  </si>
  <si>
    <t xml:space="preserve"> 1,145 bags Ammonium Sulfate Fertilizer (21-0-0) @50kgs/bag  2,402 bags Urea Fertilizer (46-0-0) @50kgs/bag  2,100 bags Ammophos (16-20-0) @50kgs/bag</t>
  </si>
  <si>
    <t xml:space="preserve"> INVITATION TO BID  FOR THE  Supply and delivery of Supplies and Equipment 1. The Department of Education (DepEd) DIVISION OF LEYTE, through the Government of the Philippines (GOP) under  FY 2019 - General Appropriations Act (GAA),  intends to apply the su</t>
  </si>
  <si>
    <t xml:space="preserve"> Procurement of RHU 2020 Medical Instrument Lot 2- Rebidding</t>
  </si>
  <si>
    <t xml:space="preserve"> 270 rolls    Chemical Hose 1.5" @40m/roll 36   units   Multi-cultivator, 7hp diesel engine with complete implements, complete set of tools and accessories</t>
  </si>
  <si>
    <t xml:space="preserve"> 1.	The Capiz Provincial Government, through the GOP CY-2020 (20% DF) intends to apply the total amount of Three Million Nine Hundred Ninety-Nine Thousand Eight Hundred Sixty-One Pesos &amp; 98/100 (Php,3,999,861.98) being the Approved Budget for the Contract </t>
  </si>
  <si>
    <t xml:space="preserve"> 0.01	ha Clearing &amp; Grubbing (w/ stripping)	 110.00 Sq.m. Sub-grade Preparation (Common Material)	 11 Cu.m.  Aggregate Sub-base Course	 110.00 Sq.m. PCC Pavement (Plain) – Using Concrete Paver, 230mm thk.	 1.00	l.s. Construction Safety and Health</t>
  </si>
  <si>
    <t xml:space="preserve"> REF. NO/PR NO.: INFRA2020-IPP-010/MG-IPP20-008 DESCRIPTION:   Supply of Labor and Materials- Replaced Ceiling and Repair of Flooring of MRSQ Housing Quarter No. 11 at NPC Mindanao Generation, Maria Cristina, Iligan City (50 Calendar Days) The Works consis</t>
  </si>
  <si>
    <t xml:space="preserve"> 1.	The Capiz Provincial Government, through the GOP CY-2020 (20% DF) intends to apply the total amount of Three Million Nine Hundred Eighty-Four Thousand Three Hundred Seventy Pesos &amp; 33/100 (Php,3,984,370.33) being the Approved Budget for the Contract (A</t>
  </si>
  <si>
    <t xml:space="preserve"> THIS ARE THE SUPPLIES AND INSTRUCTION MATERIALS OF THE SENIOR HIGH SCHOOL DEPARTMENT OF PANGANTUCAN-NHS</t>
  </si>
  <si>
    <t xml:space="preserve"> Department of Health Central Luzon – Center for Health Development MARIVELES MENTAL WELLNESS AND GENERAL HOSPITAL Mariveles, Bataan BAC Office, BAC Secretariat procurement@mmh.gov.ph INVITATION TO BID  REHABILITATION OF ROADS WITH DRAINAGE AND SOLAR POWER</t>
  </si>
  <si>
    <t xml:space="preserve"> 1.	The Capiz Provincial Government, through the GOP CY-2020 (20% DF) intends to apply the total amount of Eleven Million Nine Hundred Eighty-Nine Thousand Nine Hundred Sixty-Seven Pesos &amp; 56/100 (Php,11,989,967.56) being the Approved Budget for the Contra</t>
  </si>
  <si>
    <t xml:space="preserve"> Construction of 10.0 x 30.0m building (300 sqm)</t>
  </si>
  <si>
    <t xml:space="preserve"> SPED Materials			 1	1	set		Brigance Early Childhood Screen III - K &amp; 1 				Plus: Data Sheets (15 Triplicate data sheets/ pad) 				Kindergarten - 10 pads 				First Grade - 10 pads 2	1	set		Brigance Early Childhood Development Inventory 				2 Volumes, Plus:</t>
  </si>
  <si>
    <t xml:space="preserve"> Construction of CPSO 3rd floor building with area of (9m x 15m) = 135 sqm. Replacement of existing windows from steel casement to sliding windows Replacement of flooring tiles at 1st &amp; 2nd floor rehab of ceiling &amp; electrical works at 1st &amp; 2nd floor.</t>
  </si>
  <si>
    <t xml:space="preserve"> Department of Health Central Luzon Center for Health Development MARIVELES MENTAL WELLNESS AND GENERAL HOSPITAL Mariveles, Bataan BAC Office, BAC Secretariat procurement@mmh.gov.ph INVITATION TO BID  PROCUREMENT OF FOOD STUFF FOR 4TH QUARTER 2020 2020-16 </t>
  </si>
  <si>
    <t xml:space="preserve"> Service Drop Wire #6 insulate with PE       1,000  lm Electric Submeter                                           1  pc. Meter Box                                                      1  pc. G.I Pipe 2-1/2" Schedule 40                           15  length</t>
  </si>
  <si>
    <t xml:space="preserve"> Republic of the Philippines Province of Agusan del Norte Municipality of Remedios T. Romualdez Invitation to Bid SUPPLY AND DELIVERY OF P.E. HOSE AND P.E. COUPLING FOR THE IMPROVEMENT OF WATER SYSTEM OF PUROK 6, BARANGAY BALANGBALANG 1. The Municipality o</t>
  </si>
  <si>
    <t xml:space="preserve"> Pls. see attached files.</t>
  </si>
  <si>
    <t xml:space="preserve"> Discription: -285 pcs. Agricultural Fertilizer</t>
  </si>
  <si>
    <t xml:space="preserve"> BOLO ROPE STRETCHER</t>
  </si>
  <si>
    <t xml:space="preserve"> MUNICIPALITY OF MASIU, LANAO DEL SUR Invitation to Bid for Concreting of Kaluntay Rogan Farm Road 	The Municipal Government of Masui, Lanao del Sur, through its Bids and Awards Committee (BAC), invites suppliers/contractors to join the bidding for the her</t>
  </si>
  <si>
    <t xml:space="preserve"> BID TENDER The Bids and Awards Committee Province of Iloilo 	In connection with your Invitation to Bid  No. SPO-20-0892-B scheduled on August 19, 2020, I/We proposed to furnish and deliver in confirmation with the terms and conditions , and specifications</t>
  </si>
  <si>
    <t xml:space="preserve"> Republic of the Philippines Province of Dinagat Islands Municipality of Basilisa BARANGAY VILLA PANTINOPLE -oOo- BIDS AND AWARDS COMMITTEE -oOo- INVITATION TO APPLY FOR ELIGIBILITY AND TO BID The Barangay Villa Pantinople, Municipality of Basilisa, Provin</t>
  </si>
  <si>
    <t xml:space="preserve"> Contract Name: 20GKF0046-Purchase of Desktop Computer and Printer (Photocopy, Print, Scan) for use in Quality Assurance Section Contract Location: Iligan City Brief Description of Goods to be Procured: Desktop Computer=3 Units, Printer=2 units (print, sca</t>
  </si>
  <si>
    <t xml:space="preserve"> QTY UNIT ITEM DESCRIPTION 1 set AFB Staining Set 1 pc. Hematocrit Centrifuse 1 set ABO Blood typing Anti-sera 1 set Blood Cholesterol Test Kit 1 set Uric Acid Test Kit 3 bots. Uric Acid Strips 10 bots. Glucose Strips (Glucosure) 1 set Easy Touch Hemoglobi</t>
  </si>
  <si>
    <t xml:space="preserve"> PLEASE SEE ATTACHED BID DOCUMENTS</t>
  </si>
  <si>
    <t xml:space="preserve"> QTY./UNIT OF ISSUE/ITEM DESCRIPTION 232 bags Portland Cement 142 pcs 10mm.Øx6.0m. Steel bars 28 pcs 16mm.Øx6m. Reinf. Steel bars 7 pcs ¼”thk. Marine Plywood 6 kgs CW Nails (assorted sizes) 10 kgs #16 Tie Wire 906 pcs 6”thk. Concrete Hollowblocks 10 cu.m. </t>
  </si>
  <si>
    <t xml:space="preserve"> 2.	The NPC now invites bids for Items listed above. Delivery of the Goods is required (see table below) specified in the Technical Specifications. Bidders should have completed, within (see table below) from the date of submission and receipt of bids, a c</t>
  </si>
  <si>
    <t xml:space="preserve"> Contract for the Supply of Various Spare Parts (Kit Mimic Panel HMI, Fuse 200A, Fuse 10A, etc.) under PR No. RS-0620-008 and ITB No. 2007-038-01 Schedule of Activities  Pre-bid Conference		: 07 August 2020 @ 10:00 A.M. 				  Cafeteria, LRTA Line 2- Depot,</t>
  </si>
  <si>
    <t xml:space="preserve"> National Power Corporation INVITATION TO BID PUBLIC BIDDING 2020-0242 1.	The NATIONAL POWER CORPORATION (NPC), through       its        approved       Corporate Budget of CY 2020 intends to apply   the   sum   of (Please see schedule below) being the Appr</t>
  </si>
  <si>
    <t xml:space="preserve"> The items listed are the school and instructional Materials of Junior High School of PAngantucan NAtionaL High School for the second quarter</t>
  </si>
  <si>
    <t xml:space="preserve"> 1.	Contract ID	No. 	      	: 20AD0097 Contract Name	      	: Construction of Candon Sports Complex, Phase II Contract Location	      	: Bagani Campo, Candon City, Ilocos Sur	       Brief Description	      	: Construction of Sports Complex Approved Budget </t>
  </si>
  <si>
    <t xml:space="preserve"> 1 ----- lot ------ Repair/ Improvement of Municipal Building ground floor comfort room with area of 31.61 sq.m such clearing and demolition, structural excavation , embankment, concrete works, masonry cement plaster finish, ceiling works, tile works, door</t>
  </si>
  <si>
    <t xml:space="preserve"> Republic of the Philippines Province of Quezon Municipality of San Francisco   BIDS &amp; AWARDS COMMITTEE INVITATION TO APPLY FOR ELIGIBILITY AND TO BID     The Municipality of San Francisco through 20%  Development Fund intends to apply the sum of One Milli</t>
  </si>
  <si>
    <t xml:space="preserve"> Republic of the Philippines Office of the Punong Barangay BIDS AND AWARDS COMMITTEE Luna, Burgos, Ilocos Sur INVITATION TO BID The Barangay Government of Luna, Burgos, Ilocos Sur, through its Bids and Awards Committee (BAC) invites bids for the hereunder </t>
  </si>
  <si>
    <t xml:space="preserve"> Republic of the Philippines																		 Province of Bohol																		 Municipality of Buenavista																		 																		 Barangay SWEETLAND																		 INVITATION TO APPLY FOR ELIGIBILITY AND TO BID																		 							</t>
  </si>
  <si>
    <t xml:space="preserve"> Location:  Tupaya, Boliwong, Banga, Caba,  Buyabuyan ABC: Php 1,220,000.00 Cost of Bid Docs: 5,000.00 The Procurement Schedules are as following: 1. Deadline of buying of Bid Docs: August 12, 2020 @ 5:00 PM 2. Deadline for submission of Bid Docs: August  </t>
  </si>
  <si>
    <t xml:space="preserve"> OPENING OF BIDS IN DSWD FO IX, ZAMBOANGA CITY			 	DELIVERY IN HOME FOR WOMEN, MAMPANG ZC			 	PROCUREMENT FOR THE FF.:			 				 4	PACK	BENDER VISUAL MOTOR GESTALT TEST II (BG -II)  FORM #9-20643 (TEXT RECORD FORMS)	@	 2,000.00   4	PACK	BG II FORMS #9-20644 </t>
  </si>
  <si>
    <t xml:space="preserve"> Public Bidding</t>
  </si>
  <si>
    <t xml:space="preserve"> UNIT	  DESCRIPTION		                                   QUANTITY	 	WIDTH OF ROAD - 4m		LENGTH OF SHOULDER PER SIDE - 1m	 	THICKNESS OF ROAD - 0.2m		THICKNESS OF BASE COARSE - 0.15m	 	LENGTH OF ROAD - 300m		THICKNESS OF SUB-BASE COARSE - 0.15m	 			SUBGRADE </t>
  </si>
  <si>
    <t xml:space="preserve"> Item Number	Description	        Qty 1	             Bar Counter set	        1 unit		 2	             Single size bed set 	7 units		 3	             Queen size bed set	2 units		 4	             King size bed set	1 unit	 5	             Laundry cabinet set	1 uni</t>
  </si>
  <si>
    <t xml:space="preserve"> Republic of the Philippines							 			             Department of Agriculture							 			 BUREAU OF FISHERIES AND AQUATIC RESOURCES							 			                                           Fisheries Regional Office No. 10							 			                             </t>
  </si>
  <si>
    <t xml:space="preserve"> Republic of the Philippines Province of Iloilo Municipality of Guimbal Rizal Street, Guimbal, Iloilo The Local Government Unit of Guimbal, Rizal Street, Guimbal, Iloilo, through its Bids and Award Committee (BAC), invites Contractors to submit bids for th</t>
  </si>
  <si>
    <t xml:space="preserve"> Location:  Tupaya, Olilicon, Boliwong, Pob. West,  Dulao, Banga ABC: Php 1,208,232.00 Cost of Bid Docs: 5,000.00 The Procurement Schedules are as following: 1. Deadline of buying of Bid Docs: August 12, 2020 @ 5:00 PM 2. Deadline for submission of Bid Doc</t>
  </si>
  <si>
    <t xml:space="preserve"> 10 heads  (2 women 8 men) Security Guards (services) • minimum daily wage + COLA day shift night shift • phil health • PAG IBIG • SSS • 5 days leave with pay day shift night shift • 13th month bonus day shift night shift • admin cost • uniform allowance</t>
  </si>
  <si>
    <t xml:space="preserve"> 2.	Contract ID	No. 	      	: 20AD0098 Contract Name	      	: Construction of Candon Sports Complex, Phase I Contract Location	      	: Bagani Campo, Candon City, Ilocos Sur	       Brief Description	      	: Construction of Sports Complex Approved Budget f</t>
  </si>
  <si>
    <t xml:space="preserve"> CONSTRUCTION OF MECHANICAL DRYER  LGU Cabagan Cabagan, Isabela Description: a. Drying Bin Dimension: Length=7.32m (24'),  Width=-3.66m (12'), Height=1.52m (5') (Inside Dimension) Capacity=6 Tons or 12 Cavans Grain Depth=0.46m (18") Design: Fixed made of 4</t>
  </si>
  <si>
    <t xml:space="preserve"> 1.	The Municipal Government of Talisayan, through the SEF 2020 intends to apply the sum of P163,393.00 being the Approved Budget for the Contract (ABC) to payments under the PURCHASE OF MATERIALS FOR REHABILIATION OF TALISAYAN CENTRAL SCHOOL BUILDING, Tal</t>
  </si>
  <si>
    <t xml:space="preserve"> MUNICIPALITY OF MASIU, LANAO DEL SUR Invitation to Bid for Concreting of Buadiamaloy Road 	The Municipal Government of Masui, Lanao del Sur, through its Bids and Awards Committee (BAC), invites suppliers/contractors to join the bidding for the hereunder p</t>
  </si>
  <si>
    <t xml:space="preserve"> Republic of the Philippines PROVINCE OF BUKDINON Malaybalay City OFFICE OF THE PROVINCIAL GOVERNOR Bids and Awards Committee INVITATION TO BID FOR THE “SUPPLY AND DELIVERY OF AGRICULTURAL IMPLEMENTS” ITB No. 2020-170A July 29, 2020 1.	The Provincial Gover</t>
  </si>
  <si>
    <t xml:space="preserve"> Procuring of the following Farm Machineries/Equipments   1. Mechanical Rice Transplanter   2.Rice reaper   3. Floating Tiller   4. Open Source Water Pump   5.Pressurized Power Sprayer   6. 2 Stroke Brush Cutter</t>
  </si>
  <si>
    <t xml:space="preserve"> Centennial Year Projects (Centennial of Museum)</t>
  </si>
  <si>
    <t xml:space="preserve"> The Barangay Alabiao, Tuao Cagayan through its Provincial Government Fund intends to apply the sum of             Php 53,183.00  being the Approved Budget for the Contract (ABC) to payments under the contract for  Procurement of Materials for the Installa</t>
  </si>
  <si>
    <t xml:space="preserve"> OPENING OF BIDS IN DSWD FO IX ZAMBOANGA CITY, DELIVERY ZAMBOANGA CITY PROCUREMENT FOR THE FF.: 75 SERVICE-RAPID ANTIBODY TEST ******************************** FOR THE CONDUCT OF  RAPID ANTIBODY TEST TO (INCLUDE KITS AND PPEs) FOR HOME FOR WOMEN. NOTE: SEE</t>
  </si>
  <si>
    <t xml:space="preserve"> PART B   ( OTHER GENERAL REQUIREMENT) B.4 (1)   CONSTRUCTION SURVEY &amp; STAKING B.5         PROJECT BILLBOARD /SIGNBOARD (2-4"x 8" DPWH BILLBOARD, 1-8"x *" COA BILLBOARD) B.7 (1)   OCCUPATIONAL SAFETY AND HEALTH PROGRAM B.8 (1)   TRAFFIC MANAGEMENT B.9     </t>
  </si>
  <si>
    <t xml:space="preserve"> 1 tab Cefuroxime 500 mg Tablet (2000) 2 cap Celecoxib 200 mg Capsule (2000) 3 tab Ceterizine 10 mg Tablet (4000) 4 bot Salbutamol/Guaifenesin Syrup (500) 5 bot Cefaclor 250 mg Susp (350) 6 cap Clindamycin 300 mg Capsule (3000) 7 bot Cefuroxime 250 mg/5 ml</t>
  </si>
  <si>
    <t xml:space="preserve"> Public Bidding for the Proposed Construction of Multi-Purpose Covered Court @ Brgy. San Ramon, Pilar, Capiz, Under ITB No. 2020-016C 1.	The Capiz Provincial Government, through the GOP CY-2020 (20% DF) intends to apply the total amount of Three Million Fi</t>
  </si>
  <si>
    <t xml:space="preserve"> QUANTITY---UNIT-----ITEMS 210.42------ Cu.m.-----Improvement of Concrete Flooring with Rubberized Paint Finished 992.32------ Sq.m-----Improvement of Bleachers with Tiles, Pebbles and Paint Finished 1.00--------- lot--------Construction/Improvement of Com</t>
  </si>
  <si>
    <t xml:space="preserve"> INVITATION TO BID FOR  SUPPLY AND DELIVERY OF MATERIALS FOR THE CONSTRUCTION OF SOLAR DRIER PUROK-6, CAIMPUGAN, SAN AGUSAN DEL SUR 1.	The BARANGAY CAIMPUGAN, SAN FRANCISCO, AGUSAN DEL SUR, though the BIDS and AWARDS COMMITTEE (BAC) with Municipal Aid as t</t>
  </si>
  <si>
    <t xml:space="preserve"> Concrete works Masonry works Doors &amp; windows Plumbing works &amp; fixtures Electrical works &amp; fixtures Carpentry &amp; joinery works Roofing &amp; roofing framing Tile works</t>
  </si>
  <si>
    <t xml:space="preserve"> CP No. 2020-49 Bidding									July 29, 2020	 Circular Proposal No.									Date Prepared	 										 The City Government of Baguio, through its Bids and Awards Committee desires to purchase the articles listed below										 From Oct. 1, 2020 to Sept. 3</t>
  </si>
  <si>
    <t xml:space="preserve"> Republic of the Philippines Office of the Municipal Mayor BIDS AND AWARDS COMMITTEE Sual, Pangasinan Invitation to Bid for PROCUREMENT OF TABLETS (DepED – Sual District Office) 1.	The Municipal Government of Sual, Pangasinan, through the ER1-94 intends to</t>
  </si>
  <si>
    <t xml:space="preserve"> For use in the operation of service vehicles, brush cutter, chainsaw,  generator set, kneading machine and plate compactor assigned in this office  for the period of September 01, 2020 to December 31, 2020</t>
  </si>
  <si>
    <t xml:space="preserve"> Fabrication/Installation of 216pcs Signages/Billboards (Sta. Monica, Sto. Tomas &amp; Sta. Lucia San Luis, Pampanga) 712 (1)   Fabrication/Installation of Signages/Billboards</t>
  </si>
  <si>
    <t xml:space="preserve"> BIDS AND AWARDS COMMITTEE (BAC) Email address: bacregion2@yahoo.com Telefax No.: (078) 304-0560 INVITATION TO BID ITB No.: 2020-07-29 The Department of Agriculture – Regional Field Office No. 02 (DA-RFO 02) through its Bids and Awards Committee (BAC) invi</t>
  </si>
  <si>
    <t xml:space="preserve"> Supply and Delivery of Materials for the Concreting of Drainage System of Purok 1, 2, 3 &amp; 4 at BLGU Aguinaldo, Laak, Davao De Oro with an ABC of Php. 109,860.00. Note: For further details of the said project, please see/contact Hon. Nicolas B. Escabusa - </t>
  </si>
  <si>
    <t xml:space="preserve"> Supply and Delivery of Materials for the Rehabilitation of Covered Court Comfort Room of BLGU Aguinaldo, Laak, Davao De Oro with an ABC of Php. 137,750.00. Note: For further details of the said project, please see/contact Hon. Nicolas B. Escabusa - Punong</t>
  </si>
  <si>
    <t xml:space="preserve"> Republic of the Philippines										 BIDS AND AWARDS COMMITTEE										 Baguio City										 (074) 300-6537/ (074)442-8795										 BID FORM										 CP No. 2020-45 Bidding									July 21, 2020	 Circular Proposal No.									Date Prepared	 									</t>
  </si>
  <si>
    <t xml:space="preserve"> DIESEL AND OIL LUBRICANT (ATTACHED REQUEST FOR QUOTATION)</t>
  </si>
  <si>
    <t xml:space="preserve"> Quantity       Unit of Issue       Item Description     1                    lot               Supply of materials, labor and equipment NAME OF PROJECT/LOCATION -  Development of the proposed evacuation site at Manghinao Proper, Bauan, Batangas CONTRACT R</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</si>
  <si>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</si>
  <si>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REHABILITATION/IMPROVEMENT OF 988.77 LN.M ROAD AT PONONG, MAGARAO CAMARINES SUR</t>
  </si>
  <si>
    <t xml:space="preserve"> The East Avenue Medical Center through its Hospital Bids and Awards Committee (BAC) through the Hospital Income 2020 invites suppliers / manufacturers / distributors for the bidding of the following projects for CY 2020. Interested Bidders shall pay a non</t>
  </si>
  <si>
    <t xml:space="preserve"> 1 UNIT OF XEROX MACHINE 1 UNIT OF PRINTER</t>
  </si>
  <si>
    <t xml:space="preserve"> Republic of the Philippines										 BIDS AND AWARDS COMMITTEE										 Baguio City										 (074) 300-6537/ (074)442-8795										 BID FORM										 CP No. 2020-52 Bidding									July 30, 2020	 Circular Proposal No.									Date Prepared	 									</t>
  </si>
  <si>
    <t xml:space="preserve"> UNIT	  DESCRIPTION		                        QUANTITY	 	WIDTH OF ROAD - 4m		LENGTH OF SHOULDER PER SIDE - 1.5m	 	THICKNESS OF ROAD - 0.2m		THICKNESS OF BASE COARSE - 0.15m	 	LENGTH OF ROAD - 350m		SUBGRADE PREPARATION - 8.4m 	 				 105	Subgrade Preparation</t>
  </si>
  <si>
    <t xml:space="preserve"> 152.0   pcs.    Monobloc Chairs Black 23.0     pcs.    Monobloc Tables 2.5 x 2.5 Black</t>
  </si>
  <si>
    <t xml:space="preserve"> 0.06	ha Clearing &amp; Grubbing (w/ stripping)	 350.00 l.m. Plumbing Works	 1.00	l.s. Construction Safety and Health</t>
  </si>
  <si>
    <t xml:space="preserve"> Republic of the Philippines										 BIDS AND AWARDS COMMITTEE										 Baguio City										 (074) 300-6537/ (074)442-8795										 BID FORM										 CP No. 2020-51 Bidding									July 30, 2020	 Circular Proposal No.									Date Prepared	 									</t>
  </si>
  <si>
    <t xml:space="preserve"> Republic of the Philippines Province of Agusan del Norte Municipality of Remedios T. Romualdez Invitation to Bid SUPPLY AND DELIVERY OF ONE (1) UNIT DINGHY AND ONE (1) UNIT RESCUE CUTTER WITH COMPLETE ACCESSORIES 1. The Municipality of Remedios T. Romuald</t>
  </si>
  <si>
    <t xml:space="preserve"> Republic of the Philippines LOCAL GOVERNMENT UNIT OF GINGOOG BIDS AND AWARDS COMMITTEE Gingoog City 	INVITATION TO BID	 PURCHASE OF SEEDLINGS FOR THE DEVELOPMENT OF ECO-PARK AT CIVOLEG, BRGY. LUNOTAN UNDER P.R. NO. 50-20-07-059 1.	The Local Government Uni</t>
  </si>
  <si>
    <t xml:space="preserve"> Republic of the Philippines DEPARTMENTOF ENVIRONMENT AND NATURAL RESOURCES Provincial Environment and Natural Resources Office OFFICE OF THE BIDS &amp; AWARDS COMMITTEE Sta. Isabel, Dipolog City INVITATION TO QUALIFY AND BID The Department of Environment and </t>
  </si>
  <si>
    <t xml:space="preserve"> The Supreme Court of the Philippines, through the Bids &amp; Awards Committee for the Halls of Justice, invites bids for the Repair and Rehabilitation of the Hall of Justice in Baler, Aurora and Refurbishment of Leased Property for the Courts in Imus City, Ca</t>
  </si>
  <si>
    <t xml:space="preserve"> Supply and Delivery of Spare Parts</t>
  </si>
  <si>
    <t xml:space="preserve"> Supply and Delivery of Materials</t>
  </si>
  <si>
    <t xml:space="preserve"> Supply and Delivery of Office equipment, Semi-Expendable Furniture &amp; Fixtures and Furniture &amp; Fixtures &amp; Semi-Expendable Information and Communication Technology Equipment.</t>
  </si>
  <si>
    <t xml:space="preserve"> CONSTRUCTION OF EVACUATION CENTER W/ RAIN WATER COLLECTOR FACILITIES</t>
  </si>
  <si>
    <t xml:space="preserve"> INVITATION TO BID The Surigao del Sur 1st District Engineering Office, Tandag City, through its Bids and Awards Committee (BAC), invites contractors to submit bids for the following Contract: CONTRACT ID	:	20NH0093 CONTRACT NAME	:	Concreting of Brgy. Mags</t>
  </si>
  <si>
    <t xml:space="preserve"> Supply and Delivery of IT equipment, Parts Tools and Software for Installation and Configuration of Communication Networking Equipment including System Integration .</t>
  </si>
  <si>
    <t xml:space="preserve"> Equipment for Banana Tissue Culture Laboratory  Kindly see attached file. Thank you!</t>
  </si>
  <si>
    <t xml:space="preserve"> CONSTRUCTION OF 6M X 9M MATERIAL RECOVERY FACILITY</t>
  </si>
  <si>
    <t xml:space="preserve"> INSTALLATION /FABRICATION OF FIBERGLASS BASKETBALL GOAL</t>
  </si>
  <si>
    <t xml:space="preserve"> INVITATION TO APPLY FOR ELIGIBILITY AND TO BID The local Government Unit of Can-avid, through is Bid and Awards Committee (BAC). Invites suppliers to apply for eligibility, to bid for the hereunder contract: Name of Contract: 	PURCHASE AND DELIVERY OF MAT</t>
  </si>
  <si>
    <t xml:space="preserve"> Materials</t>
  </si>
  <si>
    <t xml:space="preserve"> Republic of the Philippines Office of the Municipal Mayor BIDS AND AWARDS COMMITTEE Sual, Pangasinan Invitation to Bid for PROCUREMENT OF EQUIPMENT FOR COMPUTER ROOMS  AND COMMUNITY LEARNING HUBS (DepED – Sual District Office) 1.	The Municipal Government </t>
  </si>
  <si>
    <t xml:space="preserve"> Republic of the Philippines										 BIDS AND AWARDS COMMITTEE										 Baguio City										 (074) 300-6537/ (074)442-8795										 BID FORM										 CP No. 2020-50 Bidding									July 29, 2020	 Circular Proposal No.									Date Prepared	 									</t>
  </si>
  <si>
    <t xml:space="preserve"> Concreting of Local Road at Zone 3, Inapatan, Nabua, Camarines Sur</t>
  </si>
  <si>
    <t xml:space="preserve"> OPENING OF BIDS IN DSWD FO IX ZAMBOANGA CITY, DELIVERY IN HOME FOR WOMAN ZC PROCUREMENT FOR THE FF.:		 		 1 LOT GROCERY ITEMS/FOOD SUPPLIES		 		 50 packs All Purpose Cream 250ml	@	 55.00  50 packs Baking powder 100g	@	 35.00  10 cases Beef loaf 250g	@	 2,</t>
  </si>
  <si>
    <t xml:space="preserve"> Republic of the Philippines Province of Ilocos Norte MUNICIPALITY OF ADAMS BIDS AND AWARDS COMMITTEE Cp nos.:09563902369, 09088956069  email address : mannegdege@yahoo.com August 6, 2020 INVITATION TO BID PURCHASE OF IRRGATION HOSE 1.	The Municipal Govern</t>
  </si>
  <si>
    <t xml:space="preserve"> INVITATION TO APPLY FOR ELIGIBILITY AND TO BID The local Government Unit of Can-avid, through is Bid and Awards Committee (BAC). Invites suppliers to apply for eligibility, to bid for the hereunder contract: Name of Contract: 	PURCHASE AND DELIVERY OF OFF</t>
  </si>
  <si>
    <t xml:space="preserve"> UNIT	  DESCRIPTION		                                  QUANTITY	  	WIDTH OF ROAD - 4m		LENGTH OF SHOULDER PER SIDE - 1.5m	 	THICKNESS OF ROAD - 0.2m		THICKNESS OF BASE COARSE - 0.15m	 	LENGTH OF ROAD - 350m		SUBGRADE PREPARATION - 8.4m 	 				 105	Subgrade </t>
  </si>
  <si>
    <t xml:space="preserve"> INVITATION TO BID  CONSTRUCTION OF OUTPATIENT DEPARTMENT EXTENSION BUILDING OF  TALAVERA GENERAL HOSPITAL IBTGH No. 2020 – 009 Approved Budget for the Contract (ABC) and Source of Fund ABC:  7,302,910.64 GAA/Income Fund Price of Bid Documents (non-refunda</t>
  </si>
  <si>
    <t xml:space="preserve"> 1	689	set		DESKTOP COMPUTER 				Specifications: 				Desktop Small Form Factor   				Processor: Quad Core, 4 threads, 3.6Ghz up to 4.2Ghz clock, 2MB L2 Cache 				not more than 2 generation gaps from the latest generation of the processor 				Memory module </t>
  </si>
  <si>
    <t xml:space="preserve"> Repair/Maintenance of Flood Control and Drainage Structures</t>
  </si>
  <si>
    <t xml:space="preserve"> PROCUREMENT OF AGRICULTURE INPUTS AND SUPPLIES APPROVED BUDGET OF THE CONTRACT: PHP 1,084,940.00 RECEIPT AND OPENING OF BIDS WILL BE ON AUGUST  24, 2020, 10:00 AM AT BAC OFFICE, BRGY. POBLACION, SIBUCO, ZAMBOANGA DEL NORTE. LATE BIDS WILL AUTOMATICALLY RE</t>
  </si>
  <si>
    <t xml:space="preserve"> Republic of the Philippines Province of Eastern Samar City of Borongan -0- BIDS AND AWARDS COMMITTEE Invitation to Bid for SUPPLY &amp; DELIVERY OF DRUGS AND MEDICINES FOR LGU-BORONGAN CITY, EASTERN SAMAR 1.	The City Government of Borongan, through the Bayani</t>
  </si>
  <si>
    <t xml:space="preserve"> REQUEST FOR QUOTATION Procurement Entity	:	Department of Education 				Schools Division of Santiago City Title	:	Procurement of Personal Protective Equipment (PPE) for the Implementation of Basic Education Learning Continuity Plan (BELCP) Approved Budget	</t>
  </si>
  <si>
    <t xml:space="preserve"> OPENING OF BIDS IN DSWD FO IX ZAMBOANGA CITY, DELIVERY IN HOME FOR WOMAN ZC PROCUREMENT FOR THE FF.: 		 		 		 1	UNIT	OCCUPATIONAL THERAPIST  (600.00 PER SESSION FOR 14 CLIENTS, ONCE A WEEK FOR 20 WEEKS) 1	UNIT	PHYSICAL THERAPIST (500.00 PER SESSION FOR 3 </t>
  </si>
  <si>
    <t xml:space="preserve"> INVITATION TO BID ITB-INFRA 2020-01 The Municipal Government of Naval, through its Bids and Awards Committee (BAC), invites contractors registered with and classified by the Philippine Contractors Accreditation Board (PCAB) to bid for the hereunder projec</t>
  </si>
  <si>
    <t xml:space="preserve"> PROCUREMENT OF LGU BAND EQUIPMENTS APPROVED BUDGET OF THE CONTRACT: PHP 420,000.00 RECEIPT AND OPENING OF BIDS WILL BE ON AUGUST  24, 2020, 10:00 AM AT BAC OFFICE, BRGY. POBLACION, SIBUCO, ZAMBOANGA DEL NORTE. LATE BIDS WILL AUTOMATICALLY REJECTED.</t>
  </si>
  <si>
    <t xml:space="preserve"> 0.02	ha Clearing &amp; Grubbing (w/ stripping) 32.76 cu.m. Structure Excavation (Soft Rock) 1,419.60 Kg Reinforcing Steel Bar, Grade 40 (Minor Structures) 13.26 cu.m. Structural Concrete Class A (Minor Structures) including stairs 1.00	l.s. Construction Safet</t>
  </si>
  <si>
    <t xml:space="preserve"> 1.	The Local Government Unit of Tuao, Cagayan  through General Fund  intends to  apply the sum of  Php 216,480.00   being the Approved Budget for the Contract (ABC) to payments under the contract for PURCHASE AND DELIVERY OF OFFICE EQUIPMENT. Bids receive</t>
  </si>
  <si>
    <t xml:space="preserve"> QTY          UNIT           DESCRIPTION 173    BAGS     PORTLAND CEMENT 8        LOADS     G1 GRAVEL, (@.5 cum PER LOAD) 4        LOADS     SAND (2.5 CUM PER LOAD) 4        PCS          2x6x 12 LUMBER 1        KLS          3' CWN 2        LAODS      CEMEN</t>
  </si>
  <si>
    <t xml:space="preserve"> Construction of Quarantine Facility Building (materials, labor &amp; equiptment rental) Brgy.San Roque</t>
  </si>
  <si>
    <t xml:space="preserve"> Republic of the Philippines				 Province of Bohol				 Municipality of Batuan				 				 ABSTRACT OF BID/BILL OF QUANTITIES				 ____________________________				 ____________________________				 ____________________________				 				  Sealed proposals,plainly </t>
  </si>
  <si>
    <t xml:space="preserve"> Improvement of the Luis Hora Gym</t>
  </si>
  <si>
    <t xml:space="preserve"> Department of Public Works and Highways (DPWH) Contract ID: 20GP0073 Contract Name: Construction of 3STY9CL, Vicente Fabuna ES, Cuartero, Capiz Location of the Contract:  Cuartero, Capiz  -------------------------------------------------------------------</t>
  </si>
  <si>
    <t xml:space="preserve"> Request for Quotation The Bureau of Fisheries and Aquatic Resources, Regional Office No. 5, Fabrica, Bula, Camarines Sur is requesting from prospective suppliers to submit quotation for the Supply and Delivery of Bottom Set Gill Net intended for SAAD Bene</t>
  </si>
  <si>
    <t xml:space="preserve"> 1	17,857	liters	Crude Oil	 			-------NOTHING FOLLOWS-------</t>
  </si>
  <si>
    <t xml:space="preserve"> Republic of the Philippines          City of Dumaguete Bids and Awards Committee INVITATION TO BID FOR PURCHASE REQUEST OF 2 UNITS SOLID PANEL DOOR (D-1) 0.90M X 2.10M AND OTHER ITEMS 	The City of Dumaguete thru its BIDS AND AWARDS COMMITTEE (BAC), invite</t>
  </si>
  <si>
    <t xml:space="preserve"> 0.02	ha Clearing &amp; Grubbing (w/ stripping)	 44.94 cu.m. Structure Excavation (Soft Rock) 1,947.40 Kg Reinforcing Steel Bar, Grade 40 (Minor Structures)	 18.19 cu.m. Structural Concrete Class A (Minor Structures) including stairs	 1.00	l.s. Construction Sa</t>
  </si>
  <si>
    <t xml:space="preserve"> Republic of the Philippines DEPARTMENT OF AGRICULTURE Regional Field Office IX, Zamboanga Peninsula INVITATION TO BID FOR PROCUREMENT OF DRUGS AND BIOLOGICS 1.	The Department of Agriculture Regional Field Office IX, through the GAA 2020 - (National Livest</t>
  </si>
  <si>
    <t xml:space="preserve"> The Municipality of Limay, through its Bids and Awards Committee (BAC) invites registered contractors to apply for eligibility and if found eligible, to bid for the hereunder project/contract: Project/Contract: CONSTRUCTION OF STREET LIGHTING FOUNDATION I</t>
  </si>
  <si>
    <t xml:space="preserve"> Republic of the Philippines DEPARTMENT OF AGRICULTURE Regional Field Office IX, Zamboanga Peninsula INVITATION TO BID FOR SUPPLY AND DELIVERY OF ASSORTED VEGETABLE SEEDS 1.	The Department of Agriculture Regional Field Office IX, through the GAA 2020 - (Hi</t>
  </si>
  <si>
    <t xml:space="preserve"> Republic of the Philippines Province of Sarangani Municipality of Maitum Invitation to Bid for Construction of Lined Canal within Brgy. Malalag The Local Government of Maitum, through LGSF – FA FY 2019 intends to apply the sum of Php 8,000,000.00 being th</t>
  </si>
  <si>
    <t xml:space="preserve"> INVITATION FOR PRICE QUOTATION Date:  30 July 2020 For The Provision Of Runway Markers And Markings At Bulan Airport – 3rd SVP The Civil Aviation Authority of the Philippines (CAAP), Area Center V, Legazpi Airport intends to apply the estimated amount   o</t>
  </si>
  <si>
    <t xml:space="preserve"> Barangay Government Unit										 Imelda, Zamboanga Sibugay										 										 INVITATION TO APPLY FOR ELIGIBILITY AND TO BID										 										 The Barangay Government Unit  of Imelda, Zamboanga Sibugay , through its Bids and  Awards Committee (BAC)</t>
  </si>
  <si>
    <t xml:space="preserve"> Furnishing of Materials for Improvement of Multi-purpose Hall</t>
  </si>
  <si>
    <t xml:space="preserve"> OFFICE SUPPLIES FOR 1ST &amp; 2ND QUARTER</t>
  </si>
  <si>
    <t xml:space="preserve"> SCHOOL EQUIPMENT &amp; SUPPLIES FOR THE REPRODUCTION OF LEARNING MATERIALS /MODULES</t>
  </si>
  <si>
    <t xml:space="preserve"> Republicof the Philippines PROVINCEOFAGUSAN DEL SUR Municipality of San Luis Barangay Balit Invitation to Bid SUPPLY AND DELIVERY OF HARDWARE MATERIALS FOR THE CONSTRUCTION OF CONCRETE FENCE 1. The Barangay government of Balit, San Luis, Agusan del Sur, r</t>
  </si>
  <si>
    <t xml:space="preserve"> see attached document</t>
  </si>
  <si>
    <t xml:space="preserve"> 1 unit PLASTIC GRANULATOR HG 80 - 10hp Air-cooled Diesel Engine - Capacity: 5-120 kg/hr - Granulating Capability (types of plastic): plastic bags, sachet, styrofoam, disposable cups and cutlery - High carbon tool steel blades (3pcs for Rotary and 2pcs for</t>
  </si>
  <si>
    <t xml:space="preserve"> The Municipality of Limay, through its Bids and Awards Committee (BAC) invites registered contractors to apply for eligibility and if found eligible, to bid for the hereunder project/contract: Project/Contract:  PBD-MODIFICATION OF BOX CULVERT AND RIPRAPP</t>
  </si>
  <si>
    <t xml:space="preserve"> Republic of the Philippines DEPARTMENT OF AGRICULTURE Regional Field Office IX, Zamboanga Peninsula INVITATION TO BID FOR SUPPLY AND DELIVERY OF 2,005 BAGS OF CORN SEEDS 1.	The Department of Agriculture Regional Field Office IX, through the GAA 2020 - (Na</t>
  </si>
  <si>
    <t xml:space="preserve"> Location: Mun. MRF ,Brgy. Burgos, Moncada, Tarlac Scope of Work to be done: 1. Footing and Wall footing 2. Column 3. Beam 4. CHB Wall 5. Steel Matting Fence</t>
  </si>
  <si>
    <t xml:space="preserve"> Department of Public Works and Highways (DPWH) Contract ID: 20GP0074 Contract Name: Construction of 2STY6CL, Mahabang Sapa PS, Cuartero, Capiz Location of the Contract:  Cuartero, Capiz  --------------------------------------------------------------------</t>
  </si>
  <si>
    <t xml:space="preserve"> 3690 cu.m. item 201 (class A) - P1,992,600.00</t>
  </si>
  <si>
    <t xml:space="preserve"> 1st Bidding The Local Government Unit of Paracale,Camarines Norte ,through its Bids and Awards Committe (BAC ) invites a contractor registered with and classified by the Philippine Contractors Accreditation Board ( PCAB) to apply for eligibility and to be</t>
  </si>
  <si>
    <t xml:space="preserve"> Republic of the Philippines Province of Eastern Samar Municipality of Maydolong Barangay Lapgap INVITATION TO BID FOR  Procurement of Barangay Office Equipment 1.	The Barangay Government of Barangay Lapgap, Maydolong, Eastern Samar, through the 2020 Regul</t>
  </si>
  <si>
    <t xml:space="preserve"> Contract ID: 20KF0135 Contract Name: Rehabilitation of Public Market in Brgy. Poblacion, Maigo, Lanao del Norte Contract Location: Brgy. Poblacion ,Maigo, Lanao del Norte Brief Description: Rehabilitaion/Repair of existing Public Market Approved Budget fo</t>
  </si>
  <si>
    <t xml:space="preserve"> Republic of the Philippines PROVINCE OF AGUSAN DEL SUR Municipality of Sta. Josefa Invitation to Bid for   SJADS GOODS 20-10: PROCUREMENT OF SPAREPARTS FOR HEAVY EQUIPMENT 					   July 31, 2020 1.	The Municipality of Sta. Josefa through the authorized app</t>
  </si>
  <si>
    <t xml:space="preserve"> Republic of the Philippines Province of Nueva Vizcaya MUNICIPALITY OF BAGABAG INVITATION TO BID  CONCRETING OF AMBALLO NORTH-AMBALLO SOUTH FMR (Portion) Sitio Amballo South Baretbet, Bagabag, Nueva Vizcaya 1.	The Local Government Unit of Bagabag, through </t>
  </si>
  <si>
    <t xml:space="preserve"> INVITATION FOR PRICE QUOTATION Date:  30 July 2020 For The Provision Of Runway Markers And Markings At Bacon Airport – 3rd SVP The Civil Aviation Authority of the Philippines (CAAP), Area Center V, Legazpi Airport intends to apply the estimated amount   o</t>
  </si>
  <si>
    <t xml:space="preserve"> IMPROVEMENT OF FTMR AT SITIO SINIGPIT AND CONSTRUCTION OF SLOPE PROTECTION ALONG CREEK NEAR POTABLE WATER RESERVOIR at Brgy 15 Sta. Magdalena Sarrat,  Ilocos Norte          1.	The Municipality of  Sarrat, Ilocos Norte, through the RA 7171  intends to appl</t>
  </si>
  <si>
    <t xml:space="preserve"> Please see attached Bid Docs for details</t>
  </si>
  <si>
    <t xml:space="preserve"> INVITATION TO BID  FOR SUPPLY AND DELIVERY OF ONE (1) UNIT ATOMIC ABSORPTION SPECTROPHOTOMETER (AAS) (SHORT OF AWARD) 1.	The Sugar Regulatory Administration through the 2020 SRA Corporate Operating Budget (COB) intends to apply the sum of Three Million Pe</t>
  </si>
  <si>
    <t xml:space="preserve"> INVITATION TO BID The Department of Public Works and Highways-National Capital Region-Metro Manila 3rd District Engineering Office, through its Bids and Awards Committee (BAC), invites contractors to apply to bid for the following contract/s:     Contract</t>
  </si>
  <si>
    <t xml:space="preserve"> TO : ALL BIDDERS WHAT : Schedule for the bid; WHEN : August 20, 2020 @ 9:00 A.M. WHERE : Multi-Purpose Hall, 2nd Floor, Left Wing, Bogo City Hall, Cayang, Bogo City, Cebu Attention: All Bidders 1) You are required to bring Universal Serial Bus (USB) Flash</t>
  </si>
  <si>
    <t xml:space="preserve"> 1.	The Local Government Unit of Aroroy, through its Supplemental Budget No. 05-2020 intends to apply the sum of Php 500,000.00 being the Approved Budget for the Contract (ABC) to payments under the contract for Construction of Mini Pier at Brgy. Dayhagan.</t>
  </si>
  <si>
    <t xml:space="preserve"> 1.The Local Government Unit of San Andres, Quezon through its CY 2020 20% Municipal Development Fund (MDF) intends to apply the sum of One  Million One Hundred Fifty Thousand Pesos (Php 1,150,000.00) only being the Approved Budget for the Contract (ABC) t</t>
  </si>
  <si>
    <t xml:space="preserve"> Unit	Qty.	Particulars 		 		 		 Lot	1	Drilling of two (2) units Exploratory/Production 		Wells</t>
  </si>
  <si>
    <t xml:space="preserve"> REQUEST FOR QUOTATION The City Government of Malolos, through its BIDS and AWARDS COMMITTEE (BAC) Invites Suppliers/Manufacturers/Distributors to Bid for hereunder procurement:  PR No. : GSO-2020-02-245 Name of Project : PURCHASE OF 1 UNIT AMBULANCE FOR T</t>
  </si>
  <si>
    <t xml:space="preserve"> INVITATION TO BID  ITB NO: 08-04-2020 – CIVIL WORKS   The Municipal Government of Maramag, Bukidnon, thru the Bids and Awards Committee (BAC) now invites contractors classified by and registered with the Philippine Contractors Accreditation Board (PCAB) t</t>
  </si>
  <si>
    <t xml:space="preserve"> Republic of the Philippines Province of Eastern Samar Municipality of Maydolong Barangay Lapgap INVITATION TO BID FOR  Procurement of Barangay Office Tables and Chairs 1.	The Barangay Government of Barangay Lapgap, Maydolong, Eastern Samar, through the 20</t>
  </si>
  <si>
    <t xml:space="preserve"> Republic of the Philippines Province of Eastern Samar MUNICIPALITY OF GEN.MACARTHUR -o0o- BIDS AND AWARDS COMMITTEE Invitation to Bid for the Construction of  Slope Protection at Barangay Alang-Alang to Barangay Tandang Sora Farm to Market Road, Gen. MacA</t>
  </si>
  <si>
    <t xml:space="preserve"> 170	boxes	3 Layer Disposable Face Mask, 50 pcs/box 250	boxes	Latex Examination Surgical Gloves, 100 pcs/box, (large and XL) 118	boxes	Alcohol, 70% Isoprophyl, 500 ml, 36 pcs/box</t>
  </si>
  <si>
    <t xml:space="preserve"> Specifications: 20280 liters Crude Oil; 4 pail Oil 10; 3 pail Delo 500</t>
  </si>
  <si>
    <t xml:space="preserve"> 150	boxes	Amlodipine 10 mg tablet 40	boxes	Amoxicillin 500 mg capsule 300	bottles	Ascorbic Acid Syrup 100mg/5ml 60 ml 400	bottles	Ascorbic Acid 100 mg/ml drops 300	boxes	Ascorbic Acid 500 mg tablet 100	tablets	Azithromycin 500 mg 28	tubes	Betamethasone Va</t>
  </si>
  <si>
    <t xml:space="preserve"> Standard Form No. SF Good-05		            Project Reference No.: CATCAM-2020-22 Revised on July 28,2004                   		    Name of Project: PURCHASE OF RESPONSE &amp; RESCUE                                                                                 </t>
  </si>
  <si>
    <t xml:space="preserve"> Section I Invitation to Bid  Construction of Butig Public Market Building Building Bayabao, Butig Lanao del Sur The Local government of Butig Lanao del Sur through the Local Government Support Fund (LGSF-DBM)-FY 2020 intends to apply the sum Pesos (P20,00</t>
  </si>
  <si>
    <t xml:space="preserve"> 300	Sets	 Universal Transport Medium, 3 ml, for virus individually packed with sterile flocked swab, Expiration                   should be more than one year expiration from date of delivery</t>
  </si>
  <si>
    <t xml:space="preserve"> PURPOSE/S: 1) Provision of Slope Protection with Handwashing Facilities and Drainage System                         2) Provision of protective steel railing for Grade 8-D and Grade 9-D classrooms 150.00	bags	       Cement 300.00	pcs	       Concrete Hollow</t>
  </si>
  <si>
    <t xml:space="preserve"> The Municipality of Limay, through its Bids and Awards Committee (BAC) invites registered contractors to apply for eligibility and if found eligible, to bid for the hereunder project/contract: Project/Contract:  CONSTRUCTION OF DRAINAGE CANAL ALONG NATION</t>
  </si>
  <si>
    <t xml:space="preserve"> Drainage Maintenance</t>
  </si>
  <si>
    <t xml:space="preserve"> Establishment of Engineering Physics Laboratory - Potia Campus</t>
  </si>
  <si>
    <t xml:space="preserve"> I.       CONCRETE WORKS      -       70.80    CU.M.</t>
  </si>
  <si>
    <t xml:space="preserve"> Construction of Covered Court Phase II in tuhob Cabadiangan</t>
  </si>
  <si>
    <t xml:space="preserve"> 2 UNITS TYPE AIRCONDITIONER 2.0 HP INVERTER 2 UNITS INSTALLATION AND CONSUMABLES  1 UNIT WIRELESS TELEPHONE NOTE: ALL NEW SUPPLIER ARE REQUIRED TO SUBMIT THE FOLLOWING DOCUMENT. 1. DTI Registration 2. SEC Registration 3. Current Mayor's Permit 4. Certific</t>
  </si>
  <si>
    <t xml:space="preserve"> 418.52         CU.M        PIPE CULVERT AND DRAIN EXCAVATION 38.06           CU.M        EMBANKMENT/IMPORTED FILL 346              SQ.M        CONCRETE SIDEWALK (100MM THK.) 314              L.M           REINFORCEMENT CONCRETE PIPE CULVERT (RCPC), 760 MM</t>
  </si>
  <si>
    <t xml:space="preserve"> 1.	The Local Government Unit (LGU) of Aroroy, through its Annual Budget 2020 to apply the sum of Php 1,250,000.00 being the Approved Budget for the Contract (ABC) to payments under the contract for Supply and Delivery of DRRM Rescue Vehicle (4 Wheel Drive</t>
  </si>
  <si>
    <t xml:space="preserve"> Concrete Reblocking</t>
  </si>
  <si>
    <t xml:space="preserve"> SECTION I. REQUEST FOR EXPRESSION OF INTEREST  Consulting Services For The  Revenue and Finance Operation Modernization Project 1.	The Municipal Government of Maramag, Bukidnon, through the General Fund intends to apply the sum of Php 20,000,000 being the</t>
  </si>
  <si>
    <t xml:space="preserve"> 35 HP 4 Wheel Drive Tractor with Rotavator and 1 Heavy Duty Trailer 5 HP Transplanter 4 Rows Gas Engine 12 HP Hand Tractor Diesel Engine and Complete Accessories Corn Seeder Hand Tractor Mounted Power Spray 4 Stroke Gas Engine</t>
  </si>
  <si>
    <t xml:space="preserve"> Republic of the Philippines DR. EMILIO B. ESPINOSA, SR. MEMORIAL STATE COLLEGE  OF AGRICULTURE AND TECHNOLOGY (Masbate State College) BIDS AND AWARDS COMMITTEE http:www.debesmscat.edu.ph Cabitan, Mandaon, Masbate Invitation to Bid for the  Fabrication of </t>
  </si>
  <si>
    <t xml:space="preserve"> Republic of the Philippines          City of Dumaguete Bids and Awards Committee INVITATION TO BID FOR PURCHASE REQUEST OF 115 BAGS PORTLAND CEMENT 40 KGS AND OTHER ITEMS 	The City of Dumaguete thru its BIDS AND AWARDS COMMITTEE (BAC), invites all interes</t>
  </si>
  <si>
    <t xml:space="preserve"> INVITATION TO BID  ITB NO: 08-06-2020 – CIVIL WORKS   The Municipal Government of Maramag, Bukidnon, thru the Bids and Awards Committee (BAC) now invites contractors classified by and registered with the Philippine Contractors Accreditation Board (PCAB) t</t>
  </si>
  <si>
    <t xml:space="preserve"> INVITATION TO BID  ITB NO: 08-05-2020 – CIVIL WORKS   The Municipal Government of Maramag, Bukidnon, thru the Bids and Awards Committee (BAC) now invites contractors classified by and registered with the Philippine Contractors Accreditation Board (PCAB) t</t>
  </si>
  <si>
    <t xml:space="preserve"> Purchasing of Supplies for Printing Modules of Junior High School Programs</t>
  </si>
  <si>
    <t xml:space="preserve"> 1	300	pc	water meter ½ 2	300	pc	ball valve ½ 3	100	pc	brass adaptor ¾ 4	100	pc	brass adaptor 1Ø 5	150	pc	saddle clamp 2 x ½ 6	50	pc	saddle clamp 2 x ¾ 7	50     pc	saddle clamp 3 x ½ 8	50     pc	saddle clamp 3 x ¾ 9	100	pc	saddle clamp 4 x ½ 10	50	pc	saddl</t>
  </si>
  <si>
    <t xml:space="preserve"> PROJECT REFERENCE NO. CWD 36-2020 INVITATION TO BID FOR  Supply and Delivery of Various I.T Equipment of Different Departments ITEM NO.	PARTICULAR	QTY	UNIT	UNIT COST	TOTAL 1	CPU - i7	3	units	50,000.00	150,000.00 2	Printer 3 in 1	1	unit	20,000.00	20,000.00</t>
  </si>
  <si>
    <t xml:space="preserve"> Contract ID: 20PK0072 Contract Name: Construction of Two (2) Storey - Four (4) Classroom Building   Contract Location: Balbalan Agriculture and Industrial School - Extension, Balbalan, Kalinga Brief Description: Construction of Two Storey &amp; Four Classroom</t>
  </si>
  <si>
    <t xml:space="preserve"> The Bids &amp; Awards Committee (BAC) of Barangay Bala-as, Argao, Cebu, invites all interested suppliers/manufacturers/distributors/contractors/consultants to apply for eligibility and to submit bids for the following: DIRECT COST: A. Materials: 40.0 bags Por</t>
  </si>
  <si>
    <t xml:space="preserve"> 10     PC      1X4X12 GOOD LUMBER 2       KL      ASSORTED COMMON WIRE NAILS 505   BAG    PORTLAND CEMENT 30     CU.M   WASHED SAND 55     CU.M   SCREENED GRAVEL 175   PC       4"CHB 328    LGTH   #10MM DIA RSB REINFORCEMENT STEEL BAR 15      CU.M    FILL</t>
  </si>
  <si>
    <t xml:space="preserve"> Computer Desktop Package All-in-one Ink Tank Printer with ADF Laptop Computer with warranty, carrying bag and freebies</t>
  </si>
  <si>
    <t xml:space="preserve"> Invitation to Bid The National Housing Authority (NHA), through the Corporate Budget approved by the NHA Board for CY 2020 intends to apply the sum of the Approved Budget for the Contract (ABC) to payments for the following contract: Ref. No. 2020-019	 PR</t>
  </si>
  <si>
    <t xml:space="preserve"> Republic of the Philippines Province of Cagayan Municipality of Baggao INVITATION TO BID FOR THE PROCUREMENT OF GOODS The LOCAL GOVERNMENT UNIT OF BAGGAO, CAGAYAN, through the 01-001-5-02-03-010 intends to apply the sum of Two Million Seventeen Thousand T</t>
  </si>
  <si>
    <t xml:space="preserve"> must deliver free of charge and meet the specific brand and description indicated in each items.</t>
  </si>
  <si>
    <t xml:space="preserve"> Republic of the Philippines DEPARTMENT OF PUBLIC WORKS &amp; HIGHWAYS Bukidnon Second District Enginering  Office of the District Engineer REQUEST FOR PROPOSAL August 05, 2020 __________________________________ __________________________________ _____________</t>
  </si>
  <si>
    <t xml:space="preserve"> I. ROOFING, CEILING, PAINTING &amp; PARTITION WALL    A. MATERIALS    B. LABOR II. DEMOLATION  (LUMP SUM) III. SEPTIC VAULT &amp; PIPES     A. MATERIALS     B. LABOR</t>
  </si>
  <si>
    <t xml:space="preserve"> Facilities for the Engineer, Other General Requirements, Earthworks, Plain and Reinforced Concrete Works, Finishing and Other Civil Works, Electrical Works</t>
  </si>
  <si>
    <t xml:space="preserve"> Republic of the Philippines MUNICIPALITY OF ECHAGUE Province of Isabela INVITATION TO BID FOR  THE  PURCHASE  OF OFFICE SUPPLIES  1.	The Local Government Unit , through  the  SEF  Of  2020  intends to apply the sum of  ONE MILLION FIVE HUNDRED THOUSAND  P</t>
  </si>
  <si>
    <t xml:space="preserve"> Amoxicillin 500mg Mefenamic Acid 500mg Alaxan 500mg Biogesic 500mg Tempra Syrup 60ml Ferrous Sulfate Syrup Ferrous Sulfate Capsule</t>
  </si>
  <si>
    <t xml:space="preserve"> Invitation to Bid The National Housing Authority (NHA), through the Corporate Budget approved by the NHA Board for CY 2020 intends to apply the sum of the Approved Budget for the Contract (ABC) to payments for the PROCUREMENT OF ADDITIONAL FULLY DEVELOPED</t>
  </si>
  <si>
    <t xml:space="preserve"> PLEASE SEE ATTACHED DOCUMENTS FOR THE PROGRAM OF WORKS AND DETAILED UNIT PRICE ANALYSIS OF THE PROJECT.</t>
  </si>
  <si>
    <t xml:space="preserve"> Republic of the Philippines MUNICIPALITY OF TAPAZ BIDS AND AWARDS COMMITTEE Office of the BAC Secretariat, Ground Floor, Municipal Hall, Tapaz, Capiz 5814 E-mail: bac.tapaz@yahoo.com Invitation to Bid:   Procurement of Works for the Construction of Suppor</t>
  </si>
  <si>
    <t xml:space="preserve"> 1047(2)b Structural Roof Truss (Rafters) 1047(2)c Structural Roof Truss (Purlins) 1047(2)d Structural Roof Truss (Fascia) 1047(3)a Metal Structure Accessories (Anchor Bolt) 1047(3)b Metal Structure Accessories (Sagrod) 1047(3)c Metal Structure Accessories</t>
  </si>
  <si>
    <t xml:space="preserve"> Republic of the Philippines          City of Dumaguete Bids and Awards Committee INVITATION TO BID FOR PURCHASE REQUEST OF 2 BOX ELECTRICAL WIRE 150 MTRS/BOX (BLACK) #3.5MM² THHN AND OTHER ITEMS 	The City of Dumaguete thru its BIDS AND AWARDS COMMITTEE (B</t>
  </si>
  <si>
    <t xml:space="preserve"> Various School Supplies</t>
  </si>
  <si>
    <t xml:space="preserve"> INVITATION TO BID 	 Date: July 30, 2020 1.	The Provincial Government of Davao Occidental, through its Bids and Awards Committee (BAC), invites all potential contractors to apply to bid for the following infrastructure projects: IB NO.	Description	ABC	Sour</t>
  </si>
  <si>
    <t xml:space="preserve"> Republic of the Philippines          City of Dumaguete Bids and Awards Committee INVITATION TO BID FOR PURCHASE REQUEST OF 15 BAGS PORTLAND CEMENT 40 KGS AND OTHER ITEMS 	The City of Dumaguete thru its BIDS AND AWARDS COMMITTEE (BAC), invites all interest</t>
  </si>
  <si>
    <t xml:space="preserve"> REQUEST FOR EXPRESSION OF INTEREST (REOI) FOR          Consulting Services for the Concept Study of Baler By-Pass Road, Baler, Aurora 1.	The Department of Public Works and Highways – Aurora District Engineering Office, through the FY-2019 Preliminary Deta</t>
  </si>
  <si>
    <t xml:space="preserve"> Republic of the Philippines MUNICIPALITY OF ORION Province of Bataan Bids and Awards Committee Secretariat Office, 2nd Floor Municipal Building, San Vicente, Orion, Bataan Telephone No. 244-9611 local 101 20ITB-G-03-00053 Invitation to Bid 1.	The Municipa</t>
  </si>
  <si>
    <t xml:space="preserve"> INVITATION TO APPLY FOR ELIGIBILITY AND TO BID The LGU of Mataasnakahoy, Batangas through its Bids and Awards Committee (BAC), invites suppliers/ manufacturers/distributors/contractors to apply for eligibility and to bid for the hereunder project Name of </t>
  </si>
  <si>
    <t xml:space="preserve"> LOCAL GOVERNMENT UNIT OF NAGUILIAN, ISABELA Invitation to Bid for the CONSTRUCTION OF MULTI-PURPOSE BUILDING (PHASE 1) IN BARANGAY MAGSAYSAY, NAGUILIAN, ISABELA 1.	The Local Government Unit of Naguilian, Isabela, through the LGSF-AM 2020  intends to apply</t>
  </si>
  <si>
    <t xml:space="preserve"> 1.             The Local Government Unit of Pasil,  through the 2020 General Fund  intends to apply the sum of Two Hundred Thousand Pesos Only (P200,000.00) being the Approved Budget for the Contract (ABC) to payments under the contract for Procurement of</t>
  </si>
  <si>
    <t xml:space="preserve"> This is a Barangay road project for concreting for a much accessible road for the residence.</t>
  </si>
  <si>
    <t xml:space="preserve"> Invitation to Bid The National Housing Authority (NHA), through the Corporate Budget approved by the NHA Board for CY 2020 intends to apply the sum of the Approved Budget for the Contract (ABC) to payments for the following contract: Ref. No. 2020-020	 PR</t>
  </si>
  <si>
    <t xml:space="preserve"> Installation of Roll-Up Door (Market)</t>
  </si>
  <si>
    <t xml:space="preserve"> 1    SPOOL        #16X150M FLAT CORD 45   PCS             15W  BULB LED 15   PCS             13" CEILING TYPE EXHAUST FAN 10   PCS              11 1/2" WALL TYPE EXHAUST FAN 15   PCS               3D WALL FAN 15   PCS               EMERGENCY LIGHTS 10   P</t>
  </si>
  <si>
    <t xml:space="preserve"> CLARK DEVELOPMENT CORPORATION Clark Freeport Zone, Philippines INVITATION TO BID The Clark Development Corporation, through its Bids and Awards Committee (BAC), invites contractors registered with and classified by the Philippine Contractors Accreditation</t>
  </si>
  <si>
    <t xml:space="preserve"> SEE PROGRAM OF WORKS FOR DETAILS</t>
  </si>
  <si>
    <t xml:space="preserve"> Republic of the Philippines PROVINCE OF AGUSAN DEL SUR Municipality of Sta. Josefa Invitation to Bid for   SJADS INFRA 20-09: CONSTRUCTION OF SOLAR DRYER 				                         July 31, 2020 1.	The Municipality of Sta. Josefa through the Loan Procee</t>
  </si>
  <si>
    <t xml:space="preserve"> 10	pieces Texbooks for English Grade 1 	3,000.00 10	pieces Texbooks for English Grade 2 	3,000.00 10	pieces Texbooks for English Grade 3 	3,000.00 10	pieces Texbooks for English Grade 4 	3,000.00 10	pieces Texbooks for English Grade 5 	3,000.00 10	pieces </t>
  </si>
  <si>
    <t xml:space="preserve"> 1.	Contract ID: 20EI0184 Contract Name: Concreting of Sitio Lumbayan, Proper Bansud FMR, Brgy. Proper Bansud,  Location: Bansud, Oriental Mindoro Brief Description: Concreting of Road, Total Length = 1,000.00 l.m. (2.00 lane km.), Pavement width = 5.00m, </t>
  </si>
  <si>
    <t xml:space="preserve"> July 30, 2020 INVITATION TO BID FOR CONCRETING OF FARM-TO-MARKET ROAD AT GAZELLIAN COLLEGE, BRGY. KABULUSAN, MAGALLANES, CAVITE The Municipality of Magallanes, Cavite, through the Budget for the Contract approved by the Sangguniang Bayan intends to apply </t>
  </si>
  <si>
    <t xml:space="preserve"> Various Hygiene Kits</t>
  </si>
  <si>
    <t xml:space="preserve"> Contract Name &amp; ID:  21CSIA001 - Conduct of Soil Exploration for the widening of Permanent Bridges –             Moog and Busali Bridges in Busali, Biliran, Biliran under FY 2021 Fund.       Contract Location    :   Brgy. Busali, Biliran, Biliran A B C	  </t>
  </si>
  <si>
    <t xml:space="preserve"> 520 pcs Dri-fit Uniform for Gso,Mtrg &amp; Building Guard</t>
  </si>
  <si>
    <t xml:space="preserve"> 185    PCS       0.60M X 0.60M FLOOR TILES  95       PCS      16" X 16" WALL TILES  35      PCS        16" X16" FLOOR TILES 1        SET        2.10M X 0.60M PVC PLASTIC DOOR W/ JAMB 1         PCS        4"X4" FLOOR DRAIN 1         SET         WATER CLOSE</t>
  </si>
  <si>
    <t xml:space="preserve"> Republic of the Philippines Province of Bohol Municipality of Ubay INVITATION TO BID FOR PURCHASE OF SPARE PARTS FOR REPAIR AND MAINTENANCE OF GOVERNMENT VEHICLES AND HEAVY EQUIPMENTS 1.	The Municipality of Ubay, through the Annual Budget C.Y. 2020 (Gener</t>
  </si>
  <si>
    <t xml:space="preserve"> IAEB NO.: 2020-I004  BIDS AND AWARDS COMMITTEE I (POC-BAC I) INVITATION FOR NEGOTIATED PROCUREMENT Supply and Delivery of Radiology Supplies (July-December 2020) 1.	In view of the two (2) failed public biddings, the Philippine Orthopedic Center Bids and A</t>
  </si>
  <si>
    <t xml:space="preserve"> LOT 1 = 105,429.00			 1)	4	pcs	1/4" thk. Ordinary Plywood 2)	18	pcs	1/4" thk. Marine plywood 3)	32	kgs	CW Nails Assorted 4)	62	bags	Portland Cement 5)	6	cum	Washed sand 6)	5	cum	Crushed Gravel 3/4 dia. 7)	68	pcs	DSB 10mm dia 8)	26	pcs	DSB 12MM dia 9)	8	kg</t>
  </si>
  <si>
    <t xml:space="preserve"> Republic of the Philippines MUNICIPALITY OF TAPAZ BIDS AND AWARDS COMMITTEE Office of the BAC Secretariat, Poblacion, Tapaz, Capiz 5814 E-mail: bac.tapaz@yahoo.com Invitation to Bid:   Procurement of Works for the Construction of Category 3 Sanitary Land </t>
  </si>
  <si>
    <t xml:space="preserve"> Contract for the drilling of one (1) exploratory / production well in Barangay Lauis, Candelaria, Zambales</t>
  </si>
  <si>
    <t xml:space="preserve"> Contract for drilling of one (1) exploratory/production well in Barangay Bulawon, Sta. Cruz, Zambales</t>
  </si>
  <si>
    <t xml:space="preserve"> MASONARY MATERIALS 95 PCS 4" CONCRETE HOLLOW BLOCKS 20 BAGS PORTLAND CEMENT 4 PCS 10 MM RSB 50 PCS 40X49 WALL TILES  2 BAGS TILE ADHESIVE 3 PCS 9MM RSB 1 CUM AGGREGATE 11 CONCREYE WORKS 30 BAGS PORTLAND CEMENT 2 CUM AGGREGATES 22 PCS 16MM RSB 32 PCS 10MM </t>
  </si>
  <si>
    <t xml:space="preserve"> SUPPLY AND DELIVERY OF PHOTOCOPIER MACHINE AND TONER  FOR DEP-ED SARRAT ILOCOS NORTE 1.	The Municipality of Sarrat, Ilocos Norte, through the Special Educational Fund intends to apply the sum of Nine Hundred Fifty Nine  Thousand Eight Hundred Ninety Eight</t>
  </si>
  <si>
    <t xml:space="preserve"> Engineering tools and equipment</t>
  </si>
  <si>
    <t xml:space="preserve"> Reference No. PR # 20-08-0947 PRICE QUOTATION FORM (BID FORM) Sealed Bids shall be dropped in the BIDDERS BOX on or before 2:00 P.M.  August 12, 2020   placed at the office of the Chairman of the College BAC. Thereafter, the Bidder's Box shall be sealed u</t>
  </si>
  <si>
    <t xml:space="preserve"> Municipality of Looc Invitation to Bid for Rehabilitation/Backfilling/Improvement of Seawall in Brgy. Guitna 1.	The Municipality of Looc, through the LDF intends to apply the sum of Php 2,300,000.00 being the Approved Budget for the Contract (ABC) to paym</t>
  </si>
  <si>
    <t xml:space="preserve"> Brgy. Guyam Munti, Indang, Cavite</t>
  </si>
  <si>
    <t xml:space="preserve"> 54 bxs Dental Anesthesia 27 bxs Dental Needle 2640 pcs Toothbrush</t>
  </si>
  <si>
    <t xml:space="preserve"> Various Materials – Architectural, Roof, Painting &amp; Electrical Work use: 1.	6    - pcs.    – Ventilating Fan Grid – Boston Bay MV100BVS  		   -        85.00 2.	12  -pcs.    -  Aluminum Flexible Duct 4”x2.5m		      		 -       350.00 3.	11  - pcs.   -  Ceil</t>
  </si>
  <si>
    <t xml:space="preserve"> REQUEST FOR QUOTATION The Local Government Unit of Siaton, Siaton Negros Oriental, through the Bids and Awards Committee (BAC) will undertake a Small Value Procurement for the purchase of "Copier Machine (3 in 1)”, in accordance with Sec. 53.9 of the Impl</t>
  </si>
  <si>
    <t xml:space="preserve"> Purchase of Relief Goods</t>
  </si>
  <si>
    <t xml:space="preserve"> Supply of fuel</t>
  </si>
  <si>
    <t xml:space="preserve"> Description:		 			Road Canal Section Length: 260 L.m		 			Type:  Grouter Riprap		 			Depth: 0.08m		 			Width, Bottom: 0.60m		 			Top: 0.80m		 			CONTRACT COST:		 1.	LOT	1	SPECIAL ITEM-GENERAL CONDITIONS	                                                    </t>
  </si>
  <si>
    <t xml:space="preserve"> INVITATION TO APPLY FOR ELIGIBILITY AND TO BID THE BIDS &amp; AWARD COMMITTEE OF THE MUNICIPALITY OF CAIBIRAN, BILIRAN IS INVITING ALL INTERESTED BIDDERS ON ITS FORTHCOMING PUBLIC BIDDING FOR: Project Title	: Acquisition of Office Equipment  Location		: DepEd</t>
  </si>
  <si>
    <t xml:space="preserve"> REPUBLIC OF THE PHILIPPINES PROVINCE OF RIZAL MUNICIPALITY OF ANGONO INVITATION TO BID FOR  PROCUREMENT OF LEARNING EQUIPMENT  AND SUPPLIES 1.	The Municipality of Angono Rizal, through the SPECIAL EDUCATION FUND (SEF) intends to apply the sum of Seven mil</t>
  </si>
  <si>
    <t xml:space="preserve"> -Construction of Perimeter Fence &amp; Ramp at DPWH Palawan 1st DEO Motor Pool , Brgy. III, Roxas, Palawan</t>
  </si>
  <si>
    <t xml:space="preserve"> INVITATION TO BID FOR THE Construction of River Flood Control LGU-Kabugao, Apayao 1.	The Local Government Unit of Kabugao, through Appropriation Ordinance No. 02-Series of 2019 (FY 2020 Annual Budget)   intends to apply the sum of One Million One Hundred </t>
  </si>
  <si>
    <t xml:space="preserve"> LOT 1  ABC  =  227,297.50			 1)	86	pcs	Floor Tiles unglazed (0.4m x 0.4m) 2)	175	pcs	Floor Tiles glazed (0.4m x 0.4m) 3)	4	bags	Adhesive cement 4)	99	bags	Portland cement 5)	5.25	cu.m	Washed Sand 6)	530	pcs	CHB 4" thk 7)	59	pcs	DSB 10mm x 6m 8)	15	pcs	Hac</t>
  </si>
  <si>
    <t xml:space="preserve"> INVITATION TO BID FOR THE Construction of Potable Water Supply Level II LGU-Kabugao, Apayao 1.	The Local Government Unit of Kabugao, through Appropriation Ordinance No. 02-Series of 2019 (FY 2020 Annual Budget – 20% MDF)   intends to apply the sum of One </t>
  </si>
  <si>
    <t xml:space="preserve"> Republic of the Philippines Province of Agusan del Norte Municipality of Carmen Tel # 343-3801 OFFICE OF THE BIDS AND AWARDS COMMITTEE INVITATION TO BID  The Local Government of Carmen, through its Bids and Awards Committee (BAC) invites Suppliers/Manufac</t>
  </si>
  <si>
    <t xml:space="preserve"> Invitation to Bid Supply and Delivery of Food Items (1 lot) for the Supplementary Feeding Program for the 10th cycle implementation CY 2020    1. The Department of Social Welfare and Development, Field Office 02, through the Government of the Philippines </t>
  </si>
  <si>
    <t xml:space="preserve"> Republic of the Philippines Province of Siquijor Municipality of Enrique Villanueva Barangay Libo Invitation to Bid for  Purchase of Water Dispenser in Barangay Libo, Enrique Villanueva, Siquijor 	The Barangay Libo, through the Unappropriated Balances of </t>
  </si>
  <si>
    <t xml:space="preserve"> GOODS</t>
  </si>
  <si>
    <t xml:space="preserve"> Republic of the Philippines Province of Misamis Oriental Local Government Unit of Claveria Invitation to Bid for  Concreting of 0.50 Km Centro Plaridel to Zone 4 to Zone 5 1.	The Local Government Unit of Claveria, through the shares of LGU-Claveria from F</t>
  </si>
  <si>
    <t xml:space="preserve"> Supply and delivery of desktop monitor</t>
  </si>
  <si>
    <t xml:space="preserve"> 1  LOT Services Provider for the Conduct of Virtual Instructor-Led Training on Instructional Design for e-Learning Courses  -In accordance with the Technical Specifications  ABC: Php 170,000.00  NOTE: Please sign all pages of the Technical Specifications </t>
  </si>
  <si>
    <t xml:space="preserve"> Republic of the Philippines BIDS AND AWARDS COMMITTEE Province of Iloilo Invitation to Bid  Purchase of OFFICE SUPPLIES Bid No.CDH-20-0825-B  1. The Iloilo Provincial Government, through the 2020 GENERAL FUND intends to apply the sum FIVE HUNDRED FORTY-SE</t>
  </si>
  <si>
    <t xml:space="preserve"> Republic of the Philippines BIDS AND AWARDS COMMITTEE Province of Iloilo Invitation to Bid Purchase of MEDICAL EQUIPMENT Bid No.CDH-20-0823-B  1. The Iloilo Provincial Government, through the 20% IRA (CAPITAL OUTLAY) CY 2019 intends to apply the sum ONE M</t>
  </si>
  <si>
    <t xml:space="preserve"> Republic of the Philippines Province of Aklan Municipality of Kalibo INVITATION TO BID FOR THE CONSTRUCTION OF DRAINAGE The Municipality of Kalibo, through the General Fund 2020, intends to apply the sum of Two Million Nine Hundred Six Thousand Five Hundr</t>
  </si>
  <si>
    <t xml:space="preserve"> LOT 1  ABC  =  105,945.00			 1)	5	unit 	FLAT SCREEN TV 42" 			Specifications: 			HDMI * 7 2 (side) 			USB ( 2 side; USB 2.0 x 2 			CPU - Dual Core 			Dimension 61.6 X 96.9 x 21</t>
  </si>
  <si>
    <t xml:space="preserve"> Invitation to Bid for Beautification of Barangay Facility  No. 2020-003 1. The Barangay Kapitan Pepe, through the Annual Budget 2020(General Fund) Approved by the Sanggunian intends to apply the sum of One Hundred Fifty Thousand Pesos  (Php 150,000.00 ) b</t>
  </si>
  <si>
    <t xml:space="preserve"> 1) 2 UNITS COMPUTER DESKTOP W/PRINTER INTEL CORE i5 -8400 PROCESSOR GIGABYTE H310 MOTHERBOARD  2GB VIDEO CARD , 8GB DDR RAM 1TB Int HDD, DVD ROM CASING W/ PSU AND CARD, 18.5 LED MONITOR, KEYBOARD AND MOUSE W/ PAD COMPUTER TABLE, HEADPHONE, WEBCAM WIRELESS</t>
  </si>
  <si>
    <t xml:space="preserve"> Republic of the Philippines MUNICIPALITY OF ECHAGUE Province of Isabela INVITATION TO BID FOR  THE  PROCUREMENT OF FOODSTUFF  FOR COVID 19   OPERATIONS  1.	The Local Government Unit , through  the  GENERAL FUND  Of  2020  intends to apply the sum of  NINE</t>
  </si>
  <si>
    <t xml:space="preserve"> LOT 1  ABC  =  33,090.00			 1)	10	pcs	1/4" thk. Ordinary Plywood 2)	4	pcs	1/2" thk. Ordinary Plywood 3)	42	kls	CW Nails 4)	12	pcs	Hinges 3x3 5)	15	bags	Portland Cement 6)	12	pcs	10mm dia DSB 7)	3	kls	G.I Tie wire # 16 8)	2	pcs	Plain GI sheet 9)	2	kls	Roof</t>
  </si>
  <si>
    <t xml:space="preserve"> METRO BANGUED WATER DISTRICT							 Bangued, Abra							 							 APPROVED BUDGET FOR THE CONTRACT (ABC)							 							 DIVISION: 		TECHNICAL					 ABC No. :		20-07-02					 DATE        : 		30-Jul-20					 							 Item No.	ITEM 			Qty.	Unit	 Unit Cost 	ABC 1	</t>
  </si>
  <si>
    <t xml:space="preserve"> PLEASE SEE ATTACHED DOCUMENTS FOR THE PROGRAM OF WORKS OF THE PROJECT.</t>
  </si>
  <si>
    <t xml:space="preserve"> Republic of the Philippines Province of Eastern Samar MUNICIPALITY OF GEN.MACARTHUR -o0o- BIDS AND AWARDS COMMITTEE Invitation to Bid for the Rehabilitation of Municipal Hall 1. The Municipality of Gen. MacArthur, through the 20% Development Fund 2020 int</t>
  </si>
  <si>
    <t xml:space="preserve"> LOT 1  ABC  =  160,000.00			 1)	1	Lot	Color roof with complete accessories 			spandrell tekscrew, rivets, gutter, flashing &amp; 			installation (182 sq. m) LOT 2  ABC  =  43,200.00			 2)	13	units	Sliding window 1.20m x 1.20m with frame 			and installation 3)</t>
  </si>
  <si>
    <t xml:space="preserve"> Republic of the Philippines NATIONAL FOOD AUTHORITY Eastern Visayas Regional Office Pawing, Palo, Leyte - INVITATION TO BID   REPAIR OF GID WAREHOUSE AT RAWIS, NORTHERN SAMAR Project Reference No. 2020- NFA-RBAC8-INFR- 19 The NATIONAL FOOD AUTHORITY (NFA)</t>
  </si>
  <si>
    <t xml:space="preserve"> Name of Project		: Project No. 1: Construction of Perimeter Fence Location	        	: Revil/Bajar National Highschool,Pob. West,Milagros,Masbate Brief Description	: Scope of Works: 			              I.- Construction of Perimeter Fence	                     </t>
  </si>
  <si>
    <t xml:space="preserve"> IAEB NO.: 2020-I003  BIDS AND AWARDS COMMITTEE I (POC-BAC I) INVITATION FOR NEGOTIATED PROCUREMENT Supply and Delivery of Anesthesia Supplies (July-December 2020) 1.	In view of the two (2) failed public biddings, the Philippine Orthopedic Center Bids and </t>
  </si>
  <si>
    <t xml:space="preserve"> Turingan Street = 20.00m x 2m x 0.15m</t>
  </si>
  <si>
    <t xml:space="preserve"> 14 LOADS GRAVEL AND SAND</t>
  </si>
  <si>
    <t xml:space="preserve"> 1)	30	Bags	Hybrids Seeds (15 .kilos per bag) 2)	90	Bags	Complete Fertilizer (14-14-14) 3)	60	Bags	Urea (46-0-0)</t>
  </si>
  <si>
    <t xml:space="preserve"> I. EARTHWORKS       EXCAVATION       SUBGRADE PREPARATION II. CONCRETE WORKS     A. MATERIALS              275      BAG       PORTLAND CEMENT              36        CU.M     GRAVEL              18        CU.M     SAND              187.5    LGTH    10MM DS</t>
  </si>
  <si>
    <t xml:space="preserve"> Republic of the Philippines Province of South Cotabato BIDS AND AWARDS COMMITTEE Salada Street, Poblacion Tupi, South Cotabato Tel. Fax No.: (083) 226-1045 INVITATION TO BID FOR THE SUPPLY AND DELIVERY OF OFFICE AND OTHER SUPPLIES 1.	The Municipality of T</t>
  </si>
  <si>
    <t xml:space="preserve"> Location of the Project: Municipality of San Dionisio, Iloilo Approved Budget for the Contract: P5,000,000.00 Funding Source: TRUST FUND (LGSF-FA), FY 2019 Specifications:      Engine Displacement: 2.982, Fuel Type: Diesel      Model: 1KD-FTV, Cylinder: 4</t>
  </si>
  <si>
    <t xml:space="preserve"> Installation of Water System (Phase 2) of Barangay Rizal, West District, Sorsogon City</t>
  </si>
  <si>
    <t xml:space="preserve"> LOT 1 ABC = 293,020.00			 1)	150	bags	Portland Cement 2)	60	pcs	16mm DSB x 6m 3)	40	pcs	12mm DSB X 6m 4)	198	pcs	10mm DSB X 6m 5)	750	pcs	CHB 4" thk 6)	46	kls	Tie Wire #16 7)	68	kls	CW Nails (assorted) 8)	1	kls	Finishing Nails #1 9)	2	kls	Roof nails 1 1/2</t>
  </si>
  <si>
    <t xml:space="preserve"> LOT 1  ABC = 38,740.00			 1)	1	pc	Wall Mirror  (0,60m x 0,60m) 2)	1	pc	Toilet Paper Holder  3)	1	pc	Soap Holder  4)	1	set	Wall Lavatory 5)	1	unit	38mm dia. Stainless Grabrail 6)	2	pc	Angle Valve 1/2 x 1/2 7)	10	pcs	PVC Elbow 1/2 8)	6	pcs	PVC Union 1/2 9)	</t>
  </si>
  <si>
    <t xml:space="preserve"> 2.	Contract ID: 20EI0185 Contract Name: Concreting of Brgy. Maliwanag to Brgy. Roma FMR, Brgy. Maliwanag and Brgy. Roma,  Location: Mansalay, Oriental Mindoro Brief Description: Road Length = 2.00 lane km., Pavement width = 5.00m, Pavement thickness = 0.2</t>
  </si>
  <si>
    <t xml:space="preserve"> SPECIFICATION: Engine Type: 2.9999-3.857L, 4-Cylinder Overall Dimension: 5035x1945x2180 Wheel Base: 2765-3200 Cargo Body Size: 3750x2000x2650 Loading Capacity: 6000-65000 Gross Vehicle Weight: 7000-8900</t>
  </si>
  <si>
    <t xml:space="preserve"> Training Expenses</t>
  </si>
  <si>
    <t xml:space="preserve"> I. FORMS AND SCAFFOLDING       A. MATERIALS       B. LABOR II. CONCRETE, MASONRY AND REBARS     A. MATERIALS     B. LABOR III. DEMOLATION OF EXISTING ROOFING (LUMP SUM)</t>
  </si>
  <si>
    <t xml:space="preserve"> 440 BAGS   CEMENT 6    LOADS  G/S        6    PCS       CEE PURLINS 2X6 40  PCS       10 MM 10  PCS       12 MM 2    KLS       TIE WIRE</t>
  </si>
  <si>
    <t xml:space="preserve"> 22 sets - Solar Street Lights with Stand Solar Panel 5V/15W, 6000 lumens Stand: GI Pipe 3" with Concrete Pedestal and Painted Finish 1 pc. - Tarpaulin Signage with Frame, 4x8</t>
  </si>
  <si>
    <t xml:space="preserve"> See Section 1 of the Bidding Documents</t>
  </si>
  <si>
    <t xml:space="preserve"> Republic of the Philippines Province of zamboanga Sibugay Municipality of Olutanga 7014 JULY 30,2020 NOTICE TO THE PUBLIC INVITIATION TO APPLY FOR ELIGIBILITY AND TO BID All interested bidders are invited to Pre-qualify and participate in sealed bidding f</t>
  </si>
  <si>
    <t xml:space="preserve"> INVITATION TO BID FOR THE SUPPLY AND DELIVERY OF PATIENT’S BED 1.  The Cagayan Valley Medical Center (CVMC), intends to apply the sum Five Million Five Hundred Thousand Pesos (Php   5,500,000.00 ) being the Approved Budget for the Contract (ABC) to paymen</t>
  </si>
  <si>
    <t xml:space="preserve"> 385       PCS         16"X6" FLOOR TILES 45        BAGS        PORTLAND CEMENT  8          CU..M       WASHED SAND  55        PCS           1/4X4X8 MARINE PLYWOOD  165      PCS           2X2 X10 G/L 65        PCS            1X2X10 G/L 25        KLS       </t>
  </si>
  <si>
    <t xml:space="preserve"> ABC  Lot  1 = 28,380,00	 1)	10	gals	Flat latex paint (White) 2)	10	gals	Ready mixed paint morning bliss 3)	8	gals	Roof paint baguio green 4)	4	gals	Flatwall enamel paint white 5)	2	gals	Metal Primer gray 6)	20	pcs	Sand Paper 7)	6	bags	Patching compound 8)</t>
  </si>
  <si>
    <t xml:space="preserve"> SEE AGENCY ESTIMATE  FOR DETAILS</t>
  </si>
  <si>
    <t xml:space="preserve"> The Bids &amp; Awards Committee (BAC) of Barangay Gutlang, Argao, Cebu, invites all interested suppliers/manufacturers/distributors/contractors/consultants to apply for eligibility and to submit bids for the following: DIRECT COST: A. Materials: 32.00     Bag</t>
  </si>
  <si>
    <t xml:space="preserve"> 150	lghts	2"x3"x10 Metal Furring				 66	shts	1/4" Marine Plywood				 3	sets	2.10m x0.80m Flush Door				 3	sets	2.10m x0.80m Door Jamb				 45	shts	3/4" Plyboard				 750	pcs	3/4" Metal Screw				 12	kls	C.W. Nails #2				 5	boxes	Blind Revits 1/8x12				 6	pai</t>
  </si>
  <si>
    <t xml:space="preserve"> SPECIFICATION: Engine Type: 4-Stroke, Air-Cooled, Overhead Cam (OHC) Displacement: 124.89cc Bore &amp; Store: 52.40 x 57.91 (mm) Starting System: Electric and Kick Ignition System: Full Transistorized Transmission: Semi-Manual Suspension: Telescopic (front) &amp;</t>
  </si>
  <si>
    <t xml:space="preserve"> Revised on: July 28, 2004                                                INVITATION TO APPLY FOR ELIGIBILITY AND TO BID             The Local Government Unit of Catanauan, Quezon, through its Bids and Awards Committee (BAC), invites suppliers/manufacturer</t>
  </si>
  <si>
    <t xml:space="preserve"> Republic of the Philippines Province of Leyte BRGY. PINAMOPOAN, CAPOOCAN, LEYTE -oOo- BIDS AND AWARD COMMITTEE INVITATION TO BID  FOR THE PROCUREMENT OF SUPPLIES AND MATERIALS FOR THE CONSTRUCTION OF GARAGE 1.	The Brgy. Pinamopoan, Capoocan, Leyte, throug</t>
  </si>
  <si>
    <t xml:space="preserve"> ABC Lot 1 = 25,200.00	 1)	1	pc	W1 (1.1m x 1.5 m) fix clear glass with Aluminum brace and installation 2)	1	pc	W2 (1.1m x 1.53m) fix clear glass with aluminum brace and installation 3)	1	pc	W3 (0.60m x 2.37m) fix clear glass with aluminum brace and install</t>
  </si>
  <si>
    <t xml:space="preserve"> Republic of the Philippines Province of Misamis Occidental MUNICIPALITY OF CALAMBA BARANGAY DAPACAN BAJO INVITATION TO BID FOR IMPROVEMENT OF MULTI-PURPOSE BUILDING 	July 31, 2020 1.	The Barangay Dapacan Bajo  of Calamba, Misamis Occidental, through the 2</t>
  </si>
  <si>
    <t xml:space="preserve"> BIDS AND AWARDS COMMITTEE (BAC) INVITATION TO BID The Department of Science and Technology (DOST), Regional Office No. IX, through its Bids and Awards Committee (BAC), invites qualified bidder to apply for eligibility and to bid for the “ ICT Equipment”: </t>
  </si>
  <si>
    <t xml:space="preserve"> Republic of the Philippines Province of Biliran MUNICIPALITY OF CABUCGAYAN -6567- BIDS AND AWARDS COMMITTEE Invitation to Bid for the Supply and Delivery of Solid Waste Management Equipment 1.	The LGU - Cabucgayan, through (20%) DF Support to SWM Program </t>
  </si>
  <si>
    <t xml:space="preserve"> I. FORM AND SCAFFOLDING        A. MATERIALS        B.  LABOR  II.   CONCRETE MASONRY AND REBARS         A. MATERIALS         B.  LABOR  III.   ROOFING AND ROOF FRAMING AND FASCIA          A. MATERIALS           B.  LABOR  IV.     CEILING AND TILE WORKS   </t>
  </si>
  <si>
    <t xml:space="preserve"> INVITATION TO APPLY FOR ELIGIBILITY AND TO BID Approved Budget for the Contract: ₱4,095,109.99 ITB No. 2020-024 Bidding 1.	The Municipality of Mendez-Nuñez, through POPS Fund intends to apply the sum of Four Million Ninety Five Thousand One Hundred Nine P</t>
  </si>
  <si>
    <t xml:space="preserve"> 1 CONSTRUCTION OF BILLBOARD, COVERED WALKWAY AND STEEL GATE 1 Lot Php 971,175.14 &gt; See attached Scope of Work and Specification, Plan, and Bill of Quantities. &gt;Total Project Duration 45 C.D (Calendar Days) Documentary Requirements to submit. &gt;Upon submiss</t>
  </si>
  <si>
    <t xml:space="preserve"> AS PER CRITERIA ATTACHED IN THE REQUEST FOR EXPRESSION OF INTEREST</t>
  </si>
  <si>
    <t xml:space="preserve"> Rehabilitation/ Reconstruction/ Upgrading Of Damaged Paved Rd include Earthworks; Subbase and Base Course; Surface Courses; and Miscellaneous Structures.</t>
  </si>
  <si>
    <t xml:space="preserve"> Proposed Construction of Bleachers of Covered Court of Barangay Patg, Opol, Misamis Oriental</t>
  </si>
  <si>
    <t xml:space="preserve"> Republic of the Philippines Province of Eastern Samar MUNICIPALITY OF GEN.MACARTHUR -o0o- BIDS AND AWARDS COMMITTEE Invitation to Bid for the Construction of Proposed Power House. 1. The Municipality of Gen. MacArthur, through the 20% Development Fund 202</t>
  </si>
  <si>
    <t xml:space="preserve"> INVITATION TO APPLY FOR ELIGIBILITY AND TO BID FOR THE PROCUREMENT OF EGG MACHINE CAGE, PULLETS, FEEDS AND BIOLOGICS FOR EGG PRODUCTION UNDER THE LIVELIHOOD SUPPORT FOR WOMEN IN CRISIS SITUATION, COMPONENT “C” (PACKAGE III), FUNDED UNDER THE PASSOVER: ARB</t>
  </si>
  <si>
    <t xml:space="preserve"> [PACKAGE 026- Procurement of Infra Projects with CRN 026-2020;  (1.Road Concreting at Purok 3 Main Road, Ambasa  2.) Concreting of Tanap Road at Lawig   3.)Road Concreting at Tanap-Occapon Road, Magulon  4.) Elementary School Road Improvement at Nayon   5</t>
  </si>
  <si>
    <t xml:space="preserve"> The Bids &amp; Awards Committee (BAC) of Barangay Gutlang, Argao, Cebu, invites all interested suppliers/manufacturers/distributors/contractors/consultants to apply for eligibility and to submit bids for the following: MATERIALS: 108     Bags       Portland C</t>
  </si>
  <si>
    <t xml:space="preserve"> Supply and Delivery of Catering Services for Bayugan City On wheels Activities</t>
  </si>
  <si>
    <t xml:space="preserve"> Republic of the Philippines City of Dapitan BIDS AND AWARDS COMMITTEE 						July 30, 2020   NOTICE FOR NEGOTIATED - SMALL VALUE PROCUREMENT 	The City Government of Dapitan through the Bids and Awards Committee (BAC) would like to inform PhilGEPS registere</t>
  </si>
  <si>
    <t xml:space="preserve"> INVITATION TO BID The DPWH Bukidnon 1st District Engineering Office, Malaybalay City, through its Bids and Awards Committee (BAC), invites contractors to submit bids for the following Contracts:   Contract ID 	:	19KA0162 Contract Name 	:	Concreting of Sit</t>
  </si>
  <si>
    <t xml:space="preserve"> Medical, Dental &amp; Laboratory Supplies</t>
  </si>
  <si>
    <t xml:space="preserve"> INVITATION TO BID FOR THE                   PROCUREMENT OF DIFFERENT EQUIPMENT 2020 1.	The Culion Sanitarium and General Hospital, through the General Appropriations Act of 2020 intends to apply the sum of Sixty-Seven Million Four Hundred Nineteen Thousan</t>
  </si>
  <si>
    <t xml:space="preserve"> [Package 027- Procurement of Infra Projects with CRN027-2020;  1.) Concreting of Sonio Road (Hapid Road – Sana) at Poblacion West  2.) Concreting of Mansanas Street (Hapid Road – Belingon) at Poblacion West  3.)Road concreting at Nabilaan, Pugol  4.)Road </t>
  </si>
  <si>
    <t xml:space="preserve"> 460     I.m       CONCRETE CURB AND GUTTER , TYPE A (CAST IN PLACE ) 460     I.m     PIPE CULVERTS , 760MM DIAMETER  (30"O) WITH CONCRETE MAN HOLE  184     CU.M.   GROUTED RIP RAP  (CLASS A) 69        CU.M.   REINFORCED CONCRETE SIDEWALK 150MM THK        </t>
  </si>
  <si>
    <t xml:space="preserve"> Republic of the Philippines PROVINCE OF SAMAR Municipality of Pinabacdao Invitation to Bid Construction of Brgy.Dolores Multi-Purpose Hall (Phase 2) Barangay Dolores, Pinabacdao Samar 1. The BARANGAY LOCAL GOVERMENT UNIT of  Dolores Pinabacdao Samar, thro</t>
  </si>
  <si>
    <t xml:space="preserve"> Item No.	Unit	Qty.	Description of Articles 1	m3	189	Aggregate Base Course 2	bags	823	Portland Cement 3	m3	77	Fine Gravel 4	m3	59	Sand (DPWH accepted source) 5	lgths	24	16mm Ø x 6.0 m DSB 6	lgths	8	16mm Ø x 6.0 m PSB 7	kgs	50	Asphalt Sealer 8	lgths	4	12mm </t>
  </si>
  <si>
    <t xml:space="preserve"> ITEM NO. 102         157.50     CU.M.         ROAD EXCAVATION  104          42           CU.M.         EMBANKMENT  105          420          SQ.M.         SUBGRADE PREPARATION 200          52.50        CU.M          AGGREGATE SUBBASE COURSE  311          </t>
  </si>
  <si>
    <t xml:space="preserve"> Republic of the Philippines BIDS AND AWARDS COMMITTEE 9017 Población, El Salvador City Misamis Oriental  Email: bac.elsalvadorcity@gmail.com INVITATION TO BID for the PROCUREMENT OF SCHOOL BUS FOR CITY COLLEGE OF EL SALVADOR (REBIDDING) 	 The LGU-El Salva</t>
  </si>
  <si>
    <t xml:space="preserve"> Republic of the Philippines 			       NATIONAL FOOD AUTHORITY            Eastern Visayas Regional Office    Pawing, Palo, Leyte - INVITATION TO BID   REPAIR OF GID BOBON  WAREHOUSE  IN DANCALAN, BOBON ,NORTHERN SAMAR Project Reference No. 2020- NFA-RBAC8-</t>
  </si>
  <si>
    <t xml:space="preserve"> Republic of the Philippines City of Gapan Province of Nueva Ecija -------------------------------------------------------------------------- Invitation to Bid for the Installation of Fiber Optic, CCTV, Early Warning System, and other Paraphernalia for Cen</t>
  </si>
  <si>
    <t xml:space="preserve"> ITEM  NO. 102     337.50      CU.M.         ROADWAY AND LINE CANAL EXCAVATION 104      186          CU.M          EMBANKMENT  105      750          SQ.M.          SUBGRADE PREPARATION  200      112.50      CU.M           AGGREGATE SUBBASE COURSE  311     </t>
  </si>
  <si>
    <t xml:space="preserve"> Republic of the Philippines City of Gapan Province of Nueva Ecija -------------------------------------------------------------------------- Invitation to Bid for the Construction of “Ang Lumang Gapan Project” 1.	The City Government of Gapan, through the </t>
  </si>
  <si>
    <t xml:space="preserve"> The Bids &amp; Awards Committee (BAC) of Barangay Gutlang, Argao, Cebu, invites all interested suppliers/manufacturers/distributors/contractors/consultants to apply for eligibility and to submit bids for the following: MATERIALS: 20 sets Solar Street Light</t>
  </si>
  <si>
    <t xml:space="preserve"> Purchase and delivery of Various supplies (COVID19 PPA'S) to be used in the Municipality of Concepcion, Tarlac Approved Budget for the Contract : P1,191,500.00 Source of Fund : 5% Calamity Fund of Special Purpose Appropriation The contract to be performed</t>
  </si>
  <si>
    <t xml:space="preserve"> CONCRETING OF FARM-TO-MARKET ROAD,  20%</t>
  </si>
  <si>
    <t xml:space="preserve"> PARTICULARS Feeds Duck pre-starter crumble,  50kg/bag; content: Crude Protien: 19% NLT, Crude Fat: 3%NLT, Crude Fiber: 4% NMT, Moisture: 12%NMT, Calcium: 0.90-1.10%, Phosphorus: 0.70% NLT, Aflatoxin max. level: 50PPB Duck Layer Pellets, 50kg/bag; content:</t>
  </si>
  <si>
    <t xml:space="preserve"> Republic of the Philippines DEPARTMENT OF PUBLIC WORKS AND HIGHWAYS ILOILO 1st  DISTRICT ENGINEERING OFFICE Fort San Pedro Road, Iloilo City INVITATION TO BID FOR: 20GGF0022 – Procurement of Various Tools and Equipment to be used by the Maintenance Point </t>
  </si>
  <si>
    <t xml:space="preserve"> Republic of the Philippines DEPARTMENT OF PUBLIC WORKS AND HIGHWAYS ILOILO 1st  DISTRICT ENGINEERING OFFICE Fort San Pedro Road, Iloilo City INVITATION TO BID FOR: 20GGF0021 – Procurement of Various Road Safety Materials for use in the Repair/Maintenance </t>
  </si>
  <si>
    <t xml:space="preserve"> FILE ATTACHED</t>
  </si>
  <si>
    <t xml:space="preserve"> 1	UNIT	BRAND NEW SIX (6)DUMPTRUCK				 						 		SPECIFICATION				 						 		     ENGINE:				 		ENGINE TYPE: FOUR (4) CYLINDER INLINE, WATER-COOLING,				 		                        CRDI, TURBOCHARGER				 		DISAPLACEMENT: 3.76L				 		POWER OUTPUT: 154HP/2600RP</t>
  </si>
  <si>
    <t xml:space="preserve"> 1 -UNIT	BRAND NEW FUNERAL TRANSPORT SERVICE	 			 	SPECIFICATION		 			 	BODY TYPE: VAN		 	ENGINE: PISTON DISPLACEMENT 2476, FOUR (4) CYLINDER		 	FUEL TYPE: DIESEL		 	GROSS WERIGHT: 2850		 	NET WEIGHT: 1425		 	SHIPPING WEIGHT: 1425		 	NET CAPACITY: 1425		 	</t>
  </si>
  <si>
    <t xml:space="preserve"> Labor and Materials for the Concreting of Road at Barangay Sta Rita, Concepcion, Tarlac Approved Budget for the Contract : P998,579.10 Source of Fund : Capital Outlay - Mun.Mayor's Office The contract to be performed by the successful bidder shall be spec</t>
  </si>
  <si>
    <t xml:space="preserve"> ITEM NO. I STRUCTURE EXCAVATION II. EMBANKMENT FROM STRUCTURE EXCAVATION III. EMBANKMENT FROM BORROW IV.  GRAVEL FILL V. STRUCTURAL CONCRETE (FOOTINGS AND SLAB) VI. STRUCTURAL CONCRETE ( FOOTING TIE BEAM) VII. STRUCTURAL CONCRETE (COLUMN) VIII. STRUCTURAL</t>
  </si>
  <si>
    <t xml:space="preserve"> 30.93      CU.M                 GROUTED RIP RAP 135.70    CU.M                  EMBANKMENT (FROM BORROW) 112          SQ.M                 SUBGRADE PREPARATION 112         SQ.M                  PORTLAND CEMENT CONCRETE PAVEMENT (PCCP) 200MM THK 14        </t>
  </si>
  <si>
    <t xml:space="preserve"> ITEM NO. 102     961.74      CU.M.                           ROADWAY AND LINE CANAL EXCAVATION 104     575.40      CU.M.                           EMBANKMENT  105     2,877        SQ.M.                           SUBGRADE PREPARATION 200     308.25      CU</t>
  </si>
  <si>
    <t xml:space="preserve"> IMPROVEMENT OF MULTI-PURPOSE HALL, 20%</t>
  </si>
  <si>
    <t xml:space="preserve"> CONCRETING OF PATHWALK, 20%</t>
  </si>
  <si>
    <t xml:space="preserve"> SECTION I. INVITATION TO BID SUPPLY AND DELIVERY OF CONSERVATION, PRESERVATION AND EXHIBITION MATERIALS FOR THE NATIONAL LIBRARY OF THE PHILIPPINES The National Library of the Philippines (NLP) through the authorized appropriation for FY 2020 General Appr</t>
  </si>
  <si>
    <t xml:space="preserve"> Republic of the Philippines  PROVINCE OF SURIGAO DEL SUR  		MUNICIPALITY OF CARRASCAL	 Barangay Embarcadero INVITATION FOR BIDS The Barangay Embarcadero through its Bids and Awards Committee invites sealed bids from eligible bidders with applicable PCAB l</t>
  </si>
  <si>
    <t xml:space="preserve"> This project covers the Construction of One Story Day Care Center at Brgy. Bagong Silang, Lumban, Laguna</t>
  </si>
  <si>
    <t xml:space="preserve"> CONSTRUCTION OF ROAD PROTECTION, 20%</t>
  </si>
  <si>
    <t xml:space="preserve"> Upgrading/Concreting of Access Road (Daungang Pari) Pag-asa, Obando, Bulacan</t>
  </si>
  <si>
    <t xml:space="preserve"> CONCRETING OF FARM-TO-MARKET ROAD, 20%</t>
  </si>
  <si>
    <t xml:space="preserve"> Labor and Materials for the Construction of Multi-Purpose Hall Building at Various Barangays of Concepcion, Tarlac Approved Budget for the Contract : P 4,997,382.00 Source of Fund : 20% Economic Development Fund 2020 - Special Purpose Appropriation The co</t>
  </si>
  <si>
    <t xml:space="preserve"> Procurement ID/Contract ID		20LC0162 Contract Name		Construction of 2STY8CL School Building at Dujali Central Elementary School, Braulio E. Dujali, Davao del Norte Contract Location		Braulio E. Dujali, Davao del Norte Brief Description		Construction of 2S</t>
  </si>
  <si>
    <t xml:space="preserve"> REQUEST FOR EXPRESSION OF INTEREST (EOI) 1. The City Human Resource Management Office (CHRMO) intends to apply the sum of TWO MILLION PESOS ONLY (PHP 2,000,000.00), inclusive of all applicable government taxes and charges, professional fees, and other inc</t>
  </si>
  <si>
    <t xml:space="preserve"> INVITATION TO BID  No. 2020-018 The Department of Public Works and Highways -Davao del Norte District Engineering Office, Tagum City, Davao del Norte, through its Bids and Awards Committee (BAC), invites contractors to submit bids for the following Contra</t>
  </si>
  <si>
    <t xml:space="preserve"> Contract Ref. No.:	20200720-01-I Name of Contract:	Procurement for the Proposed Rehabilitation of Old Municipal Hall (Historical Building) (Phase 1) at Brgy. Poblacion, Mabalacat City, Pampanga Location:	LGU-MABALACAT CITY Republic of the PHILIPPINES Prov</t>
  </si>
  <si>
    <t xml:space="preserve"> INVITATION TO BID  Procurement of Security Services for Batangas State University  1.	The Batangas State University, through the MDS / STF / SUPPLEMENTAL BUDGET 2020 intends to apply the sum of Thirty Four Million Nine Hundred Nineteen Thousand Four Hundr</t>
  </si>
  <si>
    <t xml:space="preserve"> 2 	Procurement ID/Contract ID		20LC0159 	Contract Name		Construction/Rehabilitation of Water Supply/Septage and Sewerage/ Rain Water Collectors 1. Sto. Niño ES, Carmen, Davao del Norte 2. Salvacion ES, Panabo City, Davao del Norte 3. Panabo Central ES, Pa</t>
  </si>
  <si>
    <t xml:space="preserve"> 10 	Procurement ID/Contract ID		20LC0170 	Contract Name		Concreting of Crossing Purok 1 to Sitio Banate, Brgy. Capungagan FMR, Brgy. Capungagan, Kapalong, Davao del Norte 	Contract Location		Kapalong, Davao del Norte 	Brief Description		Concreting of Road</t>
  </si>
  <si>
    <t xml:space="preserve"> Procurement ID/Contract ID		20LC0169 Contract Name		Concreting of Brgy. Poblacion to Brgy. New Bohol FMR, Brgy. Poblacion and Brgy. New Bohol, New Corella, Davao del Norte Contract Location		New Corella, Davao del Norte Brief Description		Concreting of Ro</t>
  </si>
  <si>
    <t xml:space="preserve"> Procurement ID/Contract ID		20LC0168 Contract Name		Concreting of Purok 9 to Purok 3, Brgy. Anibongan FMR, Brgy. Anibongan, Carmen, Davao del Norte Contract Location		Carmen, Davao del Norte Brief Description		Concreting of Road with RCPC Approved Budget </t>
  </si>
  <si>
    <t xml:space="preserve"> Design and Build: Please refer to Terms of Reference Annual Budget CY 2019 Supplemental Budget II (8731-50704990-01-2019) Seventy Five Million Pesos [75,000,000.00] being the Approved Budget for the Contract (ABC) Duration of the DB Works is 180 Calendar </t>
  </si>
  <si>
    <t xml:space="preserve"> INVITATION TO BID FOR THE SUPPLY AND DELIVERY OF 9,620 SETS OF 13MMØ MECHANICAL WATER METERS    1. The Cagayan de Oro City Water District, through the COWD Approved Budget for 2020 intends to apply the sum of Nineteen Million Two Hundred Forty Thousand Pe</t>
  </si>
  <si>
    <t xml:space="preserve"> RE-INVITATION TO BID  No. 2020-008 The Department of Public Works and Highways -Davao del Norte District Engineering Office, Tagum City, Davao del Norte, through its Bids and Awards Committee (BAC), invites contractors to submit bids for the following Con</t>
  </si>
  <si>
    <t xml:space="preserve"> Supply of Civil Works for the Construction of Civic Center @ Brgy. California, Barotac Viejo, Iloilo</t>
  </si>
  <si>
    <t xml:space="preserve"> Epoxy													1	qrt All purpose silicon sealant (black)								5	can Elasto Seal												2	qrt Solvent 400cc												4	pcs Teflon 1/2"												20	pcs PVC pipe blue 1" dia.											5	pcs PVC pipe blue 1/2" dia.										30	pcs HDPE hose 1/2"</t>
  </si>
  <si>
    <t xml:space="preserve"> Contract Ref. No.:	20200720-04-G Name of Contract:	Procurement of Multi-Purpose Vehicle to be used by Early Childhood Care and Development (ECCD) Office Location:	LGU-MABALACAT CITY Republic of the PHILIPPINES Province of PAMPANGA Municipality of MABALACA</t>
  </si>
  <si>
    <t xml:space="preserve"> Republic of the Philippines Province of Nueva Vizcaya Municipality of Bambang -oOo- INVITATION TO BID The Local Government Unit of Bambang, through the Barangay Disaster Risk Reduction Management Fund (BDRRMF 2014-2020), intends to apply the sum of SIX HU</t>
  </si>
  <si>
    <t xml:space="preserve"> Procurement ID/Contract ID		20LC0167 Contract Name		Construction of 1STY3CL School Building with Toilet Attached at Sampao IS, Kapalong, Davao del Norte Contract Location		Kapalong, Davao del Norte Brief Description		Construction of 1STY3CL School Buildin</t>
  </si>
  <si>
    <t xml:space="preserve"> Procurement ID/Contract ID		20LC0166 Contract Name		Construction of 3STY6CL School Building at Magdum National High School, City of Tagum, Davao del Norte Contract Location		Tagum City, Davao del Norte Brief Description		Construction of 3STY6CL School Bui</t>
  </si>
  <si>
    <t xml:space="preserve"> Procurement ID/Contract ID		20LC0165 Contract Name		Construction of 2STY4CL School Building at J.P. Laurel ES, City of Panabo, Davao del Norte Contract Location		Panabo City, Davao del Norte Brief Description		Construction of 2STY4CL School Building  Appr</t>
  </si>
  <si>
    <t xml:space="preserve"> Contract I.D. No.: 		200004 Contract Name: 			Procurement of   Road Safety Devices used for the 							Maintenance, Repair and 	Rehabilitation of Infrastructure Facilities 					and other Related Activities-Repair and Maintenance of Road 						Safety Facil</t>
  </si>
  <si>
    <t xml:space="preserve"> The Maasin Multi purpose Hall is a facility designed to provide the community with space for a variety of activities and services. The proposed facility in Maasin would include features that would benefit the entire community.</t>
  </si>
  <si>
    <t xml:space="preserve"> Procurement of Medical Supplies Lot 1- Rebidding</t>
  </si>
  <si>
    <t xml:space="preserve"> The MINDANAO CENTRAL SANITARIUM, through the REGULAR MOOE intends to apply the sum of Two Million Eleven Thousand Eight Hundred Ninety-Five Pesos (Php2,011,895.00) being the Approved Budget for the Contract (ABC) to payments under the contract for the P P</t>
  </si>
  <si>
    <t xml:space="preserve"> INVITATION TO BID The Municipal Government of San Narciso, Quezon through its Bids and Award Committee (BAC), invites registered suppliers with DTI, Mayor’s Permit and PhilGEPS, if found eligible, to bid or the hereunder contract: Name of Contract : 	Conc</t>
  </si>
  <si>
    <t xml:space="preserve"> Contract Ref. No.:	20200720-03-G Name of Contract:	Procurement of Ambulance to be used by the City of Mabalacat Location:	LGU-MABALACAT CITY Republic of the PHILIPPINES Province of PAMPANGA Municipality of MABALACAT INVITATION TO APPLY FOR ELIGIBILITY AND</t>
  </si>
  <si>
    <t xml:space="preserve"> Republic of the Philippines Region XII Province of Cotabato CITY OF KIDAPAWAN BIDS AND AWARDS COMMITTEE Invitation to Bid 						  		           Date: July 30, 2020 1.	The City Government of Kidapawan, through the Supplemental Budget No.2 CY 2020   intends </t>
  </si>
  <si>
    <t xml:space="preserve"> Procurement ID/Contract ID		20LC0164 Contract Name		Construction of 2STY6CL School Building at Consolacion ES, City of Panabo, Davao del Norte Contract Location		Panabo City, Davao del Norte Brief Description		Construction of 2STY6CL School Building  Appr</t>
  </si>
  <si>
    <t xml:space="preserve"> Republic of the Philippines PROVINCE OF SURIGAO DEL NORTE MUNICIPALITY OF TAGANA-AN Office of the Barangay Captain Brgy. Talavera, Taganaan, Surigao del Norte Invitation to Bid for  CONSTRUCTION OF SANITARY LANDFILL PERIMETER FENCE BRGY. TALAVERA, TAGANA-</t>
  </si>
  <si>
    <t xml:space="preserve"> INVITATION TO BID The City Vigan, through its Bids and Awards Committee (BAC), invites suppliers/manufacturers/distributors/contractors to apply for eligibility and to bid for the hereunder project: Name of Project:	Improvement of Roofing at Vigan Public </t>
  </si>
  <si>
    <t xml:space="preserve"> Procurement of HIV Supplies - Rebidding</t>
  </si>
  <si>
    <t xml:space="preserve"> Model: 4x2 Mini Dump Truck Engine Type: 4 Cylinder Engine: 110-115 HP Rated Power: 96Kw/2500rpm Maximum Torque: 320kg.m/1100-2200rpm Fuel Type: Diesel Fuel Tank: 120 Liters Suspension: Steer Axle-Semi Elliptical Leaf Spring with Shock Absorber            </t>
  </si>
  <si>
    <t xml:space="preserve"> Republic of the Philippines Region XII Province of Cotabato CITY OF KIDAPAWAN BIDS AND AWARDS COMMITTEE Invitation to Bid 						  		             Date: July 30, 2020	 1.	The City Government of Kidapawan, through the Trust Fund DA-BUB   intends to apply the</t>
  </si>
  <si>
    <t xml:space="preserve"> Procurement of Qualitative Fit Test Kit for N95- Rebidding</t>
  </si>
  <si>
    <t xml:space="preserve"> REBIDDING OF LOT 1: SUPPLY AND DELIVERY OF VARIOUS MEDICAL SURGICAL DEVICES  (IB NO. 2020-GOODS-006R-01-0730 LOT 1 Rep) 1.	The ILOCOS TRAINING AND REGIONAL MEDICAL CENTER (ITRMC), through the FY 2020 GAA, intends to apply the sum of TWO MILLION EIGHT HUND</t>
  </si>
  <si>
    <t xml:space="preserve"> 801 (6) REMOVAL OF STRUCTURES AND OBSTRUCTION (CONCRETE) CU.M. 12.64 803(1)a STRUCTURE EXCAVATION (COMMON SOIL) CU.M. 24.34 900(1) STRUCTURAL CONCRETE FOR FOOTING TIE BEAM, COLUMN, SUSPENDED SLAB, GIRDER/BEAM (CLASS A, 28DAYS) CU.M. 43.80 902(1) REINFORCI</t>
  </si>
  <si>
    <t xml:space="preserve"> INVITATION TO BID FOR THE REBIDDING OF THE SUPPLY AND DELIVERY OF VARIOUS CONSTRUCTION/MAINTENANCE SUPPLIES (IB NO. 2020-GOODS-011R-01-0730 Rep) 1.	The ILOCOS TRAINING AND REGIONAL MEDICAL CENTER (ITRMC), through the Trust Fund – Income Collection, intend</t>
  </si>
  <si>
    <t xml:space="preserve"> Rehabilitation and Maintenance of CCTV</t>
  </si>
  <si>
    <t xml:space="preserve"> Description   Municipality of Amlan BARANGAY TANDAYAG OFFICE OF THE SANGGUNIANG BARANGAY PROJECT PROGRAM OF WORK Date Prepared : January 27, 2020 Revision No. : Project Title : Electric Metering of Barangay Tandayag Electrical Lights Location : Tandayag, </t>
  </si>
  <si>
    <t xml:space="preserve"> INVITATION TO BID FOR THE SUPPLY AND DELIVERY OF MEDICAL AMBULANCE/TRANSPORT   1.	The City of Iloilo, through the PEDC/PPC ER1-94 FUND intends to apply the sum of Six Million Pesos (P6,000,000.00) being the Approved Budget for the Contract (ABC) to paymen</t>
  </si>
  <si>
    <t xml:space="preserve"> see plans and specifications</t>
  </si>
  <si>
    <t xml:space="preserve"> Invitation to Bid for  CONSTRUCTION OF DRAINAGE SYSTEM AT STA. FE CENTRAL SCHOOL, STA. FE, LEYTE (CW-2020-05) 1.	The Local Government Unit of Sta. Fe through the General Fund CY 2020  intends to apply the sum of Three Hundred Thousand Pesos Only (Php300,0</t>
  </si>
  <si>
    <t xml:space="preserve"> Republic of the Philippines MUNICIPALITY OF ORION Province of Bataan Bids and Awards Committee Secretariat Office, 2nd Floor Municipal Building, San Vicente, Orion, Bataan Telephone No. 244-9611 local 107  20ITB-INF-03-00054 Invitation to Bid for  Labor a</t>
  </si>
  <si>
    <t xml:space="preserve"> INVITATION TO BID FOR THE SUPPLY AND DELIVERY OF AIRCONDITIONING UNITS, PARTS AND ACCESSORIES INCLUDING LABOR FOR INSTALLATION   1.	The City of Iloilo, through the Capital Outlay intends to apply the sum of Nineteen Million Four Hundred Ninety-Three Thous</t>
  </si>
  <si>
    <t xml:space="preserve"> Republic of the Philippines												 City of San Carlos												 Negros Occidental												 												 			INVITATION TO BID							FOR SALE	 			PURCHASE REQUEST NO: 221-20-06-0766			P 2,250.00	 Sealed bids for quotation of prices will be receive</t>
  </si>
  <si>
    <t xml:space="preserve"> Republic of the Philippines												 City of San Carlos												 Negros Occidental												 												 			INVITATION TO BID							FOR SALE	 			PURCHASE REQUEST NO: 221-20-06-0723			P 2,250.00	 Sealed bids for quotation of prices will be receive</t>
  </si>
  <si>
    <t xml:space="preserve"> Republic of the Philippines Region XII Province of Cotabato City of Kidapawan OFFICE OF THE BIDS AND AWARD COMMITTEE July 30, 2020 INVITATION TO BID FOR  SUPPLY AND DELIVERY OF ELECTRICAL MATERIALS FOR THE PROPOSED LINE REHAB 1 PHASE TO 3 PHASE (RICE PROC</t>
  </si>
  <si>
    <t xml:space="preserve"> The Municipal Government of Aloguinsan invites prospective bidders to bid for the project Purchase and Delivery of 4 Wheeler Truck Dropside with Full Canopy. Source of Fund: 5% RESERVE FY 2020 ABC: Php 2,000,000.00 The complete schedule of activities will</t>
  </si>
  <si>
    <t xml:space="preserve"> 1.	The Development Bank of the Philippines, through the Corporate Budget approved by the Board for CY 2020 intends to apply the sum of Fourteen Million Three Hundred Thousand Pesos (Php14,300,000.00) (at Php 130,000.00 per set)  being the Approved Budget </t>
  </si>
  <si>
    <t xml:space="preserve"> Republic of the Philippines												 City of San Carlos												 Negros Occidental												 												 			INVITATION TO BID							FOR SALE	 			PURCHASE REQUEST NO: 221-20-06-0710			P 7,000.00	 Sealed bids for quotation of prices will be receive</t>
  </si>
  <si>
    <t xml:space="preserve"> Republic of the Philippines City of Cagayan de Oro BIDS AND AWARDS COMMITTEE  INVITATION TO BID  FOR  Supply and Delivery of One (1) Unit Cargo Truck; PR No. 20-1650 dated 14 May 2020; SN 175 - 2020 1.	The City Government of Cagayan de Oro, through APO 20</t>
  </si>
  <si>
    <t xml:space="preserve"> Republic of the Philippines MUNICIPALITY OF CATARMAN Province of Northern Samar 	-ooOoo- BIDS &amp; AWARDS COMMITTEE INVITATION TO BID 	The Local Government of Catarman, Northern Samar invites interested parties/contractors to Apply for Eligibility and to Bid</t>
  </si>
  <si>
    <t xml:space="preserve"> Invitation to Bid for  PURCHASED OF FILLING MATERIALS FOR STA. FE-SENIOR HIGH SCHOOL, POBLACION, STA. FE, LEYTE (CW-2020-04) 1.	The Local Government Unit of Sta. Fe through the General Fund CY 2020  intends to apply the sum of Three Hundred Thousand Pesos</t>
  </si>
  <si>
    <t xml:space="preserve"> Republic of the Philippines Region XII Province of Cotabato City of Kidapawan OFFICE OF THE BIDS AND AWARD COMMITTEE July 30, 2020 INVITATION TO BID FOR  SUPPLY OF STICKERS (NO SMOKING) FOR THE USE OF CITY HEALTH OFFICE, KIDAPAWAN CITY  The CITY GOVERNMEN</t>
  </si>
  <si>
    <t xml:space="preserve"> INVITATION TO BID FOR THE SUPPLY OF MEDIA SERVICES   1.	The City of Iloilo, through the General Fund CY 2020 intends to apply the sum of Three Million Sixty-Two Thousand Seven Hundred Fifty Pesos (P3,062,750.00) being the Approved Budget for the Contract </t>
  </si>
  <si>
    <t xml:space="preserve"> Invitation to Bid  For the  Construction/Rehabilitation/Repair/Widening of Roads at Brgy. Guzman Jesena (JEMS Subdivision), Mandurriao, Iloilo City 1.	The City of Iloilo, through the 20% Development Fund, CY2020 intends to apply the sum of One Million Fiv</t>
  </si>
  <si>
    <t xml:space="preserve"> Items of Work consists of Project Billboard, Structure Excavation, Embankment, Gravel Bedding, Reinforcing Steel, Concrete Works, Masonry Works, Formworks, Finishing Works, Metal Works, Roofing Sheets, Ceiling, Door &amp; Windows, Painting Works, Sewer Lines,</t>
  </si>
  <si>
    <t xml:space="preserve"> Republic of the Philippines Region XII Province of Cotabato City of Kidapawan OFFICE OF THE BIDS AND AWARD COMMITTEE July 30, 2020 INVITATION TO BID FOR  SUPPLY AND DELIVERY OF OFFICE SUPPLIES FOR THE PRINTING AND REPRODUCTION OF SELF-LEARNING MODULES OF </t>
  </si>
  <si>
    <t xml:space="preserve"> Invitation to Bid  For the  Improvement of Flood Control Facilities at Iloilo City National High School, Molo, Iloilo City 1.	The City of Iloilo, through the Capital Outlay, SEF CY2020 intends to apply the sum of Five Million Six Hundred Thousand Pesos (P</t>
  </si>
  <si>
    <t xml:space="preserve"> Invitation to Bid  For the  Construction/Rehabilitation/Repair/Widening of Road at Brgy. Tabuc Suba (Modern Homes Subdivision), Jaro, Iloilo City 1.	The City of Iloilo, through the 20% Development Fund, CY2020 intends to apply the sum of Three Million Fou</t>
  </si>
  <si>
    <t xml:space="preserve"> Republic of the Philippines Province of Quezon Municipality of Pagbilao COMMITTEE ON BIDS AND AWARDS INVITATION TO BID FOR SUPPLY AND DELIVERY OF  OTHER SUPPLIES 1.	The Local Government Unit of Pagbilao, through the Approved Budget by the Sanggunian – GOP</t>
  </si>
  <si>
    <t xml:space="preserve"> Invitation to Bid  For the  Construction/Rehabilitation/Repair/Widening of Road at Brgy. Arguelles, Jaro, Iloilo City 1.	The City of Iloilo, through the 20% Development Fund, CY2020 intends to apply the sum of Two Million Pesos (Php 2,000,000.00) being th</t>
  </si>
  <si>
    <t xml:space="preserve"> Painting Works at 1st Floor- Walling,  Ceiling ( Interior and Exterior ) 	        314.00	Sq.m Fabrication and Installation of  3D build-up Plastic  Lighted Signage; H=0.40m ( PALITON BARANGAY HALL)		19.00	Letters  Structural Analysis 			        LS	       </t>
  </si>
  <si>
    <t xml:space="preserve"> Procurement ID/Contract ID		20LC0163 Contract Name		Construction of 1STY3CL School Building at Maguintalunan ES, Sto. Tomas, Davao del Norte Contract Location		Sto. Tomas, Davao del Norte Brief Description		Construction of 1STY3CL School Building with Toi</t>
  </si>
  <si>
    <t xml:space="preserve"> One (1) unit Brand new Hydraulic Excavator (Backhoe) SPECIFICATIONS: Engine Model:						                QSF3.8T Engine Type:						                Water cooling, turbo charging No. of Cylinder.Bore and stroke:			                4x102x115 Displacement(L):		</t>
  </si>
  <si>
    <t xml:space="preserve"> One (1) unit Brand new Coaster (29 seaters) SPECIFICATIONS:					 Engine:						D4GA14 (EURO4) Cylinder:					        4 in-line Displacement:					3,933 cc Maximum Power:				140 ps/2,700 rpm Maximum Torque:				40kg-m/1,400 rpm Clutch Type:					Vacuum-assisted</t>
  </si>
  <si>
    <t xml:space="preserve"> Procurement of Microscope Binocular- Rebidding</t>
  </si>
  <si>
    <t xml:space="preserve"> Republic of the Philippines Province of Quezon Municipality of Pagbilao COMMITTEE ON BIDS AND AWARDS INVITATION TO BID FOR SUPPLY AND DELIVERY OF  COMMUNICATION EQUIPMENT 1.	The Local Government Unit of Pagbilao, through the Approved Budget by the Sanggun</t>
  </si>
  <si>
    <t xml:space="preserve"> Procurement of Fetal Doppler- Rebidding</t>
  </si>
  <si>
    <t xml:space="preserve"> Procurement of BHS Package - Rebidding</t>
  </si>
  <si>
    <t xml:space="preserve"> INVITATION TO BID FOR THE CONSTRUCTION OF  muti-purpose hall Lower Aki, Malaggao, Adams, Ilocos Norte 1.	The Municipal Government of Adams, through funds from the 20% MDF and Capital  intends to apply the sum of P1,191,312.38 being the Approved Budget for</t>
  </si>
  <si>
    <t xml:space="preserve"> One (1) unit Brand new Garbage truck SPECIFICATIONS Engine Model:					        YC6J200-46 Maximum torque (Nm/rpm):			700/1400-1700 Cylinder:					                6 Rated Power (KW/rmp):			        147/2500 Gearbox:					                DC6J200-46 6 speed manu</t>
  </si>
  <si>
    <t xml:space="preserve"> Invitation to Bid  For the  Construction/Rehabilitation/Repair/Widening of Roads (with Drainage) at Brgy. Taal, Molo, Iloilo City 1.	The City of Iloilo, through the 20% Development Fund, CY2020 intends to apply the sum of Three Million Five Hundred Thousa</t>
  </si>
  <si>
    <t xml:space="preserve"> Republic of the Philippines Region XII Province of Cotabato City of Kidapawan OFFICE OF THE BIDS AND AWARD COMMITTEE July 30, 2020 INVITATION TO BID FOR  SUPPLY AND DELIVERY OF LUBRICANTS AND ADDITIVES FOR THE USE OF THE RP VEHICLES OF CDRRMO, KIDAPAWAN C</t>
  </si>
  <si>
    <t xml:space="preserve"> The Roxas City Government, through the GOP-2020 intends to apply the total amount of Eight Hundred Fifty Two Thousand Four Hundred Seventy Five Pesos and 50/100 (Php  852,475.50) being the Aggregate Approved Budget for the Contract (ABC) to payments under</t>
  </si>
  <si>
    <t xml:space="preserve"> Republic of the Philippines Region XII Province of Cotabato City of Kidapawan OFFICE OF THE BIDS AND AWARD COMMITTEE July 30, 2020 INVITATION TO BID FOR  SUPPLY AND DELIVERY OF CONSTRUCTION MATERIALS OF THE PROPOSED TEMPORARY FACILITY OF THE CITY HEALTH O</t>
  </si>
  <si>
    <t xml:space="preserve"> Republic of the Philippines Region XII Province of Cotabato City of Kidapawan OFFICE OF THE BIDS AND AWARD COMMITTEE July 30, 2020 INVITATION TO BID FOR  RISOGRAPHING OF FORMS FOR THE USE OF THE CDRRMO, KIDAPAWAN CITY  The CITY GOVERNMENT OF KIDAPAWAN, th</t>
  </si>
  <si>
    <t xml:space="preserve"> Description I.	Signboard II.	Clearing &amp; Grubbing  III.	Subgrade Preparation &amp; Base Correction IV.	Aggregate Sub Base Course V.	Aggregate Base Course (+10% Shrinkage) VI.	Portland Cement Concrete Pavement 1.	Formworks 2.	Shoulder 3.	Construction Safety &amp; H</t>
  </si>
  <si>
    <t xml:space="preserve"> INVITATION TO BID FOR PURCHASE OF MOBILE PHONES, SB OFFICE, CAJIDIOCAN, ROMBLON 1.	The Municipal Government of Cajidiocan, Romblon intends to apply the sum of NINETY THOUSAND PESOS and 00/100 (P 90,000.00) being the Approved Budget for the Contract (ABC) </t>
  </si>
  <si>
    <t xml:space="preserve"> Items of Work consists of Clearing and Grubbing, Rechanneling, Structural Excavation, Embankment, Concrete Slope Protection (Revetment): a. Pre-cast Footing; b. Beam; c. leaving wall; d. Slab, Forms &amp; Scaffoldings, Monuments &amp; Markers The BAC will conduct</t>
  </si>
  <si>
    <t xml:space="preserve"> Invitation to Bid  For the  Construction/Rehabilitation of Existing Drainage System at Brgy. Sto. Niño Norte, Arevalo, Iloilo City 1.	The City of Iloilo, through the 20% Development Fund, CY2019 intends to apply the sum of One Million Pesos (Php 1,000,000</t>
  </si>
  <si>
    <t xml:space="preserve"> Republic of the Philippines Region XII Province of Cotabato City of Kidapawan OFFICE OF THE BIDS AND AWARD COMMITTEE July 30, 2020 INVITATION TO BID FOR  SUPPLY OF FUEL FOR THE PROPOSED ROAD REHABILITATION/CROWNING AND COMPACTION OF VARIOUS BARANGAY ROADS</t>
  </si>
  <si>
    <t xml:space="preserve"> INVITATION TO BID FOR PURCHASE OF OFFICE SUPPLIES, BFP-DILG, CAJIDIOCAN, ROMBLON 1.	The Municipal Government of Cajidiocan, Romblon intends to apply the sum of TWENTY THOUSAND PESOS and 00/100 (P 20,000.00) being the Approved Budget for the Contract (ABC)</t>
  </si>
  <si>
    <t xml:space="preserve"> INVITATION TO BID FOR PURCHASE OF FISHING EQUIPMENT, MAO, CAJIDIOCAN, ROMBLON 1.	The Municipal Government of Cajidiocan, Romblon intends to apply the sum of FOURTY THREE THOUSAND, TWO HUNDRED PESOS and 00/100  (P 43,200.00) being the Approved Budget for t</t>
  </si>
  <si>
    <t xml:space="preserve"> INVITATION TO BID FOR PURCHASE OF IT EQUIPMENT AND FURNITURE, MTO, CAJIDIOCAN, ROMBLON 1.	The Municipal Government of Cajidiocan, Romblon intends to apply the sum of EIGHTY FIVE THOUSAND PESOS and 00/100 (P 85,000.00) being the Approved Budget for the Con</t>
  </si>
  <si>
    <t xml:space="preserve"> Construction of Public Market at Sitio Lubuk, Angilan, Omar, Sulu</t>
  </si>
  <si>
    <t xml:space="preserve"> 4" CHB 1,800 PCS 9MM Ø RSB 31 PCS 10MM Ø RSB 43 PCS PORTLAND CEMENT 84 BAGS TIE WIRE 5 KLS RIVER SAND 3 CU.M MIXED AGGREGATES 6 CU.M</t>
  </si>
  <si>
    <t xml:space="preserve"> ITEM          DESCRIPTION                                                    QTY.         UNIT I.              CONSTRUCTION OF 2 UNITS JETMATIC PUMP         2            UNITS</t>
  </si>
  <si>
    <t xml:space="preserve"> INVITATION TO BID FOR THE HIRING OF LIFESTYLE PHOTOGRAPHER FOR THE MANILA FAME DIGITAL CATALOG 1.	The Center for International Trade Expositions and Missions, through the Manila FAME 2020 October Budget intends to apply the sum of Four Million Nine Hundre</t>
  </si>
  <si>
    <t xml:space="preserve"> 1.	The Bohol Island State University-Clarin Campus, Poblacion Norte, Clarin, Bohol, through the Corporate Budget for the contract approved by the governing Boards for CY 2020  intends to apply the sum of Five Hundred Thousand Pesos (Php 500,000.00) being </t>
  </si>
  <si>
    <t xml:space="preserve"> INVITATION TO BID FOR THE HIRING OF DROPOUT STUDIO PHOTOGRAPHER FOR THE MANILA FAME DIGITAL CATALOG (ZONE 2) COVERAGE 1.	The Center for International Trade Expositions and Missions, through the Manila FAME 2020 October Budget intends to apply the sum of F</t>
  </si>
  <si>
    <t xml:space="preserve"> Procurement of Special Equipment Package 4- Rebidding</t>
  </si>
  <si>
    <t xml:space="preserve"> I.  Materials II. Labor OCM/CP/VAT</t>
  </si>
  <si>
    <t xml:space="preserve"> Procurement of Reagent Refrigerator for Pharmaceutical Use- Rebidding</t>
  </si>
  <si>
    <t xml:space="preserve"> Procurement of Physical Therapy Equipment Set- Rebidding</t>
  </si>
  <si>
    <t xml:space="preserve"> CONTRACT ID: 19GL00119; P.R. No. 2020-03-042 DATED 03/19/2020 CONTRACT LOCATION: DPWH R.O. XI (NEW BUILDING) CONTRACT DESCRIPTION: PROCUREMENT OF ONE (1) LOT OF VARIOUS FURNITURE, FOR USE IN THE OPERATION OF THE DPWH R.O. XI (NEW BUILDING), UNDER THE PLAN</t>
  </si>
  <si>
    <t xml:space="preserve"> Procurement of Medical Instrument Package- Rebidding</t>
  </si>
  <si>
    <t xml:space="preserve"> Republic of the Philippines Region XII Province of Cotabato City of Kidapawan OFFICE OF THE BIDS AND AWARD COMMITTEE July 30, 2020 INVITATION TO BID FOR  SUPPLY AND DELIVERY OF GROCERY ITEMS AND PERISHABLE GOODS FOR THE PANGKABUHAYAN STARTER KITS BENEFICI</t>
  </si>
  <si>
    <t xml:space="preserve"> Republic of the Philippines Region XII Province of Cotabato City of Kidapawan OFFICE OF THE BIDS AND AWARD COMMITTEE July 30, 2020 INVITATION TO BID FOR  SUPPLY OF FUEL FOR THE USE OF RP VEHICLES OF THE CITY TREASURER’S OFFICE, KIDAPAWAN CITY  The CITY GO</t>
  </si>
  <si>
    <t xml:space="preserve"> Invitation to Bid  For the  Construction/Rehabilitation/Improvement of Multi-Purpose Hall at Brgy. M.H. del Pilar, (Don Francisco Village), Jaro, Iloilo City 1.	The City of Iloilo, through the 20% Development Fund, CY2020 intends to apply the sum of Three</t>
  </si>
  <si>
    <t xml:space="preserve"> INVITATION TO RE-BID The Provincial Government of Occidental Mindoro through its Bids and Awards Committee (BAC) invites all interested contractors to apply for eligibility and to bid for the following projects: Reference No.	Name of Project	Location	Brie</t>
  </si>
  <si>
    <t xml:space="preserve"> Standard Form Number				`		Project Reference Number= 2020-07-28-02 Revised on July 29, 2004						Name of Project: FOOTBRIDGE REHABILITATION                                                                                                          /IMPROVEME</t>
  </si>
  <si>
    <t xml:space="preserve"> 723	Bag	Portland Cement 41	cu.m.	Washed Sand 82	cu.m.	Washed Gravel 14	pcs	12 mm dia. X 6.00 m DRSB 250	pcs	10 mm dia. X 6.00 m DRSB 23	kg	  # 16 G.I. Tie Wire 2	gal/s	Aqua Epoxy Paint- ceramic red 2	gal/s	Aqua Epoxy Paint- black 2	gal/s	Aqua Epoxy Paint </t>
  </si>
  <si>
    <t xml:space="preserve"> Russi See pic for samples</t>
  </si>
  <si>
    <t xml:space="preserve"> Republic of the Philippines  Province of Samar  Municipality of Villareal      INVITATION TO BID    IMPROVEMENT OF HEALTH CENTER  AT BRGY GUINTARCAN, VILLAREAL, SAMAR    	 	 	 	 	 	 	 	 	    	 July 30, 2020   	 	 	 	 	 	 	 	 	                 Date      1.</t>
  </si>
  <si>
    <t xml:space="preserve"> Invitation to Bid for Supply and Delivery of Office Equipment (1unit Drone, 3unit Handheld GPS, 10unit External Hard Drive 2TB, 10unit Laptop i7, 2unit Desktop Computer &amp; 2unit Printer A3) for Bukidnon IMO The National Irrigation Administration, through t</t>
  </si>
  <si>
    <t xml:space="preserve"> Republic of the Philippines Office of the Punong Barangay BIDS AND AWARDS COMMITTEE Patac, Burgos, Ilocos Sur INVITATION TO BID The Barangay Government of Patac, Burgos, Ilocos Sur, through its Bids and Awards Committee (BAC) invites bids for the hereunde</t>
  </si>
  <si>
    <t xml:space="preserve"> Re-bid for Contract Labor and Materials for the Expansion of Potable Water System Level III at Brgy. El Katipunan, Laak, Davao De Oro with an ABC of Php. 908,437.75.</t>
  </si>
  <si>
    <t xml:space="preserve"> Please see attached RFQ for more details. For queries / Concerns, you may contact us through BAC.SDOBenguet@gmail.com from Mondays to Fridays (Except Holidays).</t>
  </si>
  <si>
    <t xml:space="preserve"> Please see BAC Chairman &amp; attached document</t>
  </si>
  <si>
    <t xml:space="preserve"> - The Barangay Kilalaban, call for quotation for the procurement of hardware materials and construction supplies used for the Construction of Water System. - The Estimated Project Cost is One Hundred Eight Thousand One Hundred Thirty One Pesos (Php108,131</t>
  </si>
  <si>
    <t xml:space="preserve"> ITEM NO.    DESCRIPTION   UNIT QUANTITY SPL1       PROJECT SIGNBOARD/PERMANENT MARKER    LOT 1.00 SPL2      PROVISION OF HEALTH &amp; SAFETY/VARIOUS HANDTOOLS   LOT 1.00 101       EXCAVATION WORKS     A.        Common Earth   CU.M  121.28  B.        HARD     </t>
  </si>
  <si>
    <t xml:space="preserve"> 500 REAMS OF BOND PAPER LONG 500 REAMS OF BOND PAPER (A4) 70 GSM 50 REAMS OF BOND PAPER A3 INK FOR A3 PRINTER 15 PCS 7741 BLACK 15 PCS 6642 CYAN 15 PCS 6643 MAGENTA 15 PCS 6644 YELLOW INK FOR L3110 50 PCS 7741 BLACK 50 PCS 6642 CYAN 50 PCS 6643 MAGENTA 50</t>
  </si>
  <si>
    <t xml:space="preserve"> this serves as second bidding for this project from barangay pangpang labo camarines norte</t>
  </si>
  <si>
    <t xml:space="preserve"> Republic of the Philippines 	DEPARTMENT OF PUBLIC WORKS AND HIGHWAYS 			SURIGAO DEL NORTE 1ST DISTRICT ENGINEERING OFFICE REGIONAL OFFICE XIII Dapa, Siargao Island, Surigao del Norte INVITATION TO BID FOR                    20NF-GOODS-01: DELIVERY AND INS</t>
  </si>
  <si>
    <t xml:space="preserve"> Republic of the Philippines DEPARTMENT OF PUBLIC WORKS AND HIGHWAYS SURIGAO DEL NORTE 1st  DISTRICT ENGINEERING OFFICE REGIONAL OFFICE XIII 			       Dapa, Siargao Island, Surigao del Norte INVITATION TO BID The Department of Public Works and Highways Sur</t>
  </si>
  <si>
    <t xml:space="preserve"> Items of Work consists of Removal of Existing Structure/Roofings, Concrete Works, Roofing Sheets, Electrical Works &amp; Equipment The BAC will conduct the procurement process in accordance with the revised IRR of R.A. 9184.  Bids Received in excess of the AB</t>
  </si>
  <si>
    <t xml:space="preserve"> INVITATION TO BID FOR PURCHASE OF NUTRITION PRODUCTS (ADULT MILK AND INSTANT OATMEAL), MDRRMO, CAJIDIOCAN, ROMBLON 1.	The Municipal Government of Cajidiocan, Romblon intends to apply the sum of NINETY-NINE THOUSAND, EIGHT HUNDRED TWENTY FIVE PESOS and 00/</t>
  </si>
  <si>
    <t xml:space="preserve"> INVITATION TO BID FOR THE SUPPLY AND DELIVERY OF OFFICE EQUIPMENT   1.	The City of Iloilo, through the Capital Outlay intends to apply the sum of Four Million Five Hundred Forty-Nine Thousand Two Hundred Pesos (P4,549,200.00) being the Approved Budget for</t>
  </si>
  <si>
    <t xml:space="preserve"> Republic of the Philippines Region XII Province of Cotabato CITY OF KIDAPAWAN BIDS AND AWARDS COMMITTEE Invitation to Bid 						  		             Date: July 30, 2020 1.	The City Government of Kidapawan, through the LDRRMF ORDINANCE No. 19-107 Disaster Prev</t>
  </si>
  <si>
    <t xml:space="preserve"> UNIT                                   DESCRIPTION                                QUANTITY SPL- 1 LINE CANAL INCL. LAY-BY  QTY.= 100.00 l.m  L= 100m W= 1.20m  I. Materials  pcs                                     RCPC 36"Ø (0.90m)                         </t>
  </si>
  <si>
    <t xml:space="preserve"> Republic of the Philippines Region XII Province of Cotabato City of Kidapawan OFFICE OF THE BIDS AND AWARD COMMITTEE July 30, 2020 INVITATION TO BID FOR  SUPPLY AND DELIVERY OF OFFICE SUPPLIES FOR THE USE OF THE CITY TREASURER’S OFFICE, KIDAPAWAN CITY  Th</t>
  </si>
  <si>
    <t xml:space="preserve"> PLEASE SEE ATTACHED BIDDING DOCUMENTS FOR COMPLETE DETAILS</t>
  </si>
  <si>
    <t xml:space="preserve"> INVITATION TO BID FOR THE SUPPLY AND DELIVERY OF EYE LEVEL PHYSICIAN SCALE   1.	The City of Iloilo, through the 20% Development Fund CY 2020 intends to apply the sum of One Million Four Hundred Ninety-Seven Thousand Six Hundred Pesos (P1,497,600.00) being</t>
  </si>
  <si>
    <t xml:space="preserve"> Concreting of Alban Street,Cabatacan Pudtol,Apayao</t>
  </si>
  <si>
    <t xml:space="preserve"> Demolition of old Slaughterhouse,old warehouse,old water tank</t>
  </si>
  <si>
    <t xml:space="preserve"> Republic of the Philippines LOCAL GOVERNMENT UNIT OF GINGOOG BIDS AND AWARDS COMMITTEE Gingoog City INVITATION TO BID 1.	The Local Government Unit of Gingoog City, through the Budget for the contract approved by the Sangguniang Panlungsod, intends to appl</t>
  </si>
  <si>
    <t xml:space="preserve"> Republic of the Philippines Region XII Province of Cotabato CITY OF KIDAPAWAN BIDS AND AWARDS COMMITTEE Invitation to Bid 						  		             Date: July 30, 2020	 1.	The City Government of Kidapawan, through the 20% EDF CY 2020   intends to apply the s</t>
  </si>
  <si>
    <t xml:space="preserve"> INVITATION TO BID FOR PURCHASE OF OFFICE SUPPLIES, MSWDO, CAJIDIOCAN, ROMBLON 1.	The Municipal Government of Cajidiocan, Romblon intends to apply the sum of FOURTY NINE THOUSAND, NINE HUNDRED EIGHTY FIVE PESOS and 00/100 (P 49,985.00) being the Approved B</t>
  </si>
  <si>
    <t xml:space="preserve"> Procurement of Additional Regular Drugs and Medicines Supplies of MHO - Laak, Davao De ORo with an ABC of Php. 414,650.00.</t>
  </si>
  <si>
    <t xml:space="preserve"> Republic of the Philippines Province of Zamboanga del Sur MUNICIPALITY OF DINAS INVITATION TO BID July 30, 2020 The Municipality of Dinas, Zamboanga del Sur now invites bids for MUNICIPAL STREETS CONCRETING PADAO MORO STREETS at Poblacion, Dinas, Zamboang</t>
  </si>
  <si>
    <t xml:space="preserve"> SEE ATTACHED DOCUMENTS...</t>
  </si>
  <si>
    <t xml:space="preserve"> Republic of the Philippines Province of Zamboanga del Sur MUNICIPALITY OF DINAS INVITATION TO BID July 30, 2020 The Municipality of Dinas, Zamboanga del Sur now invites bids for UPGRADING AND IMPROVEMENT OF SITIO DOPONGAN ROAD at Legarda Uno, Dinas, Zambo</t>
  </si>
  <si>
    <t xml:space="preserve"> Procurement of Various Materials and Equipment for the Sound System of Laak National HIgh School, Kapatagan National High School and Kaligutan Elementary School - Laak, Davao De Oro with an ABC of 335,000.00</t>
  </si>
  <si>
    <t xml:space="preserve"> Republic of the Philippines Province of Zamboanga del Sur MUNICIPALITY OF DINAS INVITATION TO BID July 30, 2020 The Municipality of Dinas, Zamboanga del Sur now invites bids for MUNICIPAL STREETS CONCRETING LACUAREN STREETS at Poblacion, Dinas, Zamboanga </t>
  </si>
  <si>
    <t xml:space="preserve"> Invitation to Bid  For the  Construction/Rehabilitation/Improvement of Multi-Purpose Hall at Brgy. Pali-Benedicto, Mandurriao, Iloilo City 1.	The City of Iloilo, through the 20% Development Fund, CY2020 intends to apply the sum of One Million Six Hundred </t>
  </si>
  <si>
    <t xml:space="preserve"> Invitation to Bid  For the  Construction/Rehabilitation/Repair/Widening of Roads at Brgy. PHHC Blk. 17, Mandurriao, Iloilo City 1.	The City of Iloilo, through the 20% Development Fund, CY2020 intends to apply the sum of Four Million Three Hundred Thousand</t>
  </si>
  <si>
    <t xml:space="preserve"> DESCRIPTION	UNIT	QUANTITY Project Billboard/ Signboard	each	   1.00 Structure Excavation 	Cu.m	8.74 Plain Concrete (concrete canal lining)	Cu.m	14.73</t>
  </si>
  <si>
    <t xml:space="preserve"> Concreting of San luis-amado boundary road</t>
  </si>
  <si>
    <t xml:space="preserve"> Republic of the Philippines Province of Misamis Oriental MUNICIPALITY OF BALINGOAN -o0o- Municipal Bids and Awards Committee Invitation to Bid for PURCHASE OF MATERIALS FOR  DEVELOPMENT OF WATER SYSTEM MANTANGALE, BALINGOAN, MISAMIS ORIENTAL ITB No. BAL-A</t>
  </si>
  <si>
    <t xml:space="preserve"> Description Republic of the Philippines Province of Oriental Mindoro MUNICIPALITY OF NAUJAN BARANGAY ADRIALUNA BIDS &amp; AWARDS COMMITTEE INVITATION TO BID SUPPLY AND DELIVERY OF MATERIALS TO BE USED IN CONCRETING OF BARANGAY ROAD, SITIO HULO, BARANGAY ADRIA</t>
  </si>
  <si>
    <t xml:space="preserve"> I.   Site Clearing &amp; Cleaning II.  Concrete Works III. Tapping works IV.  Construction safety &amp; health program Labor OCM/CP/VAT</t>
  </si>
  <si>
    <t xml:space="preserve"> Printing and Delivery of Learning Resources</t>
  </si>
  <si>
    <t xml:space="preserve"> Auto Supplies for the Repair and Maintenance of Service Vehicle &amp; Payloader.  Source of Fund: 3-01-001 (Repair Transportation) Prospective bidders should have experience in undertaking a similar project within the last two years with an amount of at least</t>
  </si>
  <si>
    <t xml:space="preserve"> Title:Procurement of 1 Unit Water Finder/Resistivity under P.R No. 2314-2020 -CMO -Provision for Technical and Scientific Equipment (Continuing) Total ABC: Php 3,000,000.00 For representative/s of interested bidders  who wish to attend the Pre-Bidding Con</t>
  </si>
  <si>
    <t xml:space="preserve"> ITEM DESCRIPTION: 2 Units HIGH VOLUME LOW SPEED (HVLS) FAN SPECIFICATIONS: Diameter: Minimum 20 ft. Motor: 2.0 hp Max Speed: Minimum 78 PRM Fan Weight: Maximum 132 kg. INSTALLATION: Fan Mounting and Assembly Fan Termination and Commissioning Additional Br</t>
  </si>
  <si>
    <t xml:space="preserve"> INVITATION TO BID  Purchase and Delivery of Cell cards  ITB 2020-07-040(GOODS) 1. 	The Municipality of Tuba, through the Budget for the contract approved by the Sangguniang Bayan for CY 2020 intends to apply the sum of One Million Six Hundred Twenty Four </t>
  </si>
  <si>
    <t xml:space="preserve"> REPAIR/MAINTENANCE OF DPWH BUILDING</t>
  </si>
  <si>
    <t xml:space="preserve"> BJMP XI Compound (Regional Office Conference), Ma-a Davao City</t>
  </si>
  <si>
    <t xml:space="preserve"> One (1)Year Provision of cloud-based, enterprise-wide, productivity applications and related technical support for 200 users. Email application with advanced threat management, archiving, information protection Compatible with office productivity applicat</t>
  </si>
  <si>
    <t xml:space="preserve"> Title:Construction of 1 Unit 2 Classrooms at Sitio Salvacion, Barangay Manila De Bugabos, Butuan City Location: Barangay Manila De Bugabos, Butuan City Duration: 120 calendar days Total ABC: Php 3,064,853.87 For representative/s of interested bidders  who</t>
  </si>
  <si>
    <t xml:space="preserve"> Road Concreting  4m x 0.20m x 22m concrete road</t>
  </si>
  <si>
    <t xml:space="preserve"> Complete Construction of (9.50m x 32.0m) Two (2) Storey, Six (6) Classroom School Building mostly built with concrete and masonry, with PWD ramp with handrails, parapet wall on concrete gutter, and complete with electrical works, sanitary/plumbing work, f</t>
  </si>
  <si>
    <t xml:space="preserve"> 50	pcs	-  TONER WITH FREE USE OF PRINTER/COPIER (OPT-55A COMPUTER FOR HP L J P 3015)</t>
  </si>
  <si>
    <t xml:space="preserve"> Republic of the Philippines Zamboanga Peninsula Department of Health Basilan General Hospital Isabela City, Basilan 7300                                                        INVITATION TO BID FOR  Procurement of Supply, Delivery, Testing and Commissioni</t>
  </si>
  <si>
    <t xml:space="preserve"> Standard Form Number				`		Project Reference Number= 2020-07-28-01 Revised on July 29, 2004						Name of Project: CONCRETING OF LOCAL ACCCESS                                                                                                                  </t>
  </si>
  <si>
    <t xml:space="preserve"> Road Concreting  - 4m x 0.15m x 20m Concrete Road</t>
  </si>
  <si>
    <t xml:space="preserve"> GARBAGE DUMPTRUCK ENGINE *ENGINE TYPE: 4 cylinders inline,water-cooling, turbocharger * DISPLACEMENT: 3.76L * POWER-OUTPUT: 154Hp/2600rpm *TORQUE: 500N.m/1200-1900rpm * TRANSMISSION: 6-speed Manual+ 1 reverse (ZF 65500)  SIZE *OVER-ALL DIMENSION (LxWxH): </t>
  </si>
  <si>
    <t xml:space="preserve"> PROJECT:CONCRETING OF ROAD PUROK 5 LOCATION: BARANGAY DUTUNG A MATAS, CONCEPCION, TARLAC APPROVED BUDGET FOR THE CONTRACT: PHP 431,694.00 SOURCE OF FUND: 20% BDF The contract to be performed by the successful bidder shall be specified in the Technical Quo</t>
  </si>
  <si>
    <t xml:space="preserve"> 1 unit Ambulance</t>
  </si>
  <si>
    <t xml:space="preserve"> 60	BAGS	CORN SEEDS OPV (20KGS) 1000	HDS	        CHICKEN (BROILER) 		 5	BAGS	TILAPIA FEEDS (STARTER) 40	BAGS	TILAPIA FEEDS (GROWER) 25 KG 		 10	BAGS	TILAPIA FEEDS (FINISHER) 25KG 50	PCS	        PLASTIC DRUM (200 L CAP.)</t>
  </si>
  <si>
    <t xml:space="preserve"> Invitation to Bid No. LGU-Lupao- 2020-040 The Local Government of Lupao, Nueva Ecija Invitation to Bid for the Concreting of Farm to Market Road located at San Isidro to Mapangpang Road of this municipality with Identification No. 2020-040 1. The Municipa</t>
  </si>
  <si>
    <t xml:space="preserve"> CONCRETE WORKS</t>
  </si>
  <si>
    <t xml:space="preserve"> ITEM NO.       QTY.       UNIT         DESCRIPTION	                        UNIT PRICE	     TOTAL COST 1	              80	  Pcs	          30x60 Granite Tiles (Stair)	220.00	             17,600.00 2	             444	  Pcs	          60x60 Granite Tiles	     </t>
  </si>
  <si>
    <t xml:space="preserve"> Road Concreting  - 4m x 0.20m x 22m Concrete Road</t>
  </si>
  <si>
    <t xml:space="preserve"> Description Republic of the Philippines Province of Oriental Mindoro MUNICIPALITY OF NAUJAN BARANGAY GENERAL ESCO BIDS AND AWARDS COMMITTEE INVITATION TO BID SUPPLY AND DELIVERY OF MATERIALS TO BE USED FOR REPAIR AND MAINTENANCE OF OTHER STRUCTURE (MPH), </t>
  </si>
  <si>
    <t xml:space="preserve"> SUPPLY, DELIVERY AND COMMISSIONING OF ONE (1) LOT SOLID WASTE MACHINERIES PROVINCIAL CAPITOL, SURIGAO CITY 1.	The Provincial Government of Surigao del Norte, through the Trust Fund (DENR-EMB), intends to apply the sum of Nineteen Million Nine Hundred Fift</t>
  </si>
  <si>
    <t xml:space="preserve"> 1. The Municipal Government of Sta. Cruz, through its General Fund intends to apply the sum of Five Million Five Hundred Thousand Pesos (P5,500,000.00) being the Approved Budget for the Contract (ABC) to payments under the contract for Project: Supply, De</t>
  </si>
  <si>
    <t xml:space="preserve"> DESCRIPTION	UNIT	QUANTITY Project Billboard/ Signboard	each	1.00 Unclassified earth excavation 	cu.m	1,930.00</t>
  </si>
  <si>
    <t xml:space="preserve"> DESCRIPTION	UNIT	QUANTITY Project Billboard	each/day	1.00 Tile Works (200mmx200mm vitrified glazed tile finish)	Sq.m.	16.30 Tile works (200mmx200mm vitrified unglazed tile floor finish)	Sq.m.	3.20 4.5 mm Fiber Cement Board Ceiling on Metal Frame	Sq.m.	140</t>
  </si>
  <si>
    <t xml:space="preserve"> DESCRIPTION	UNIT	QUANTITY Project Billboard	each/day	1.00 Structure Excavation (common Soil)	cu.m.	8.50 Backfilling	cu.m.	7.62 Gravel Bedding	cu.m.	9.25 Reinforced Concrete	cu.m.	13.48 Roof Framing works (metal structures)	kgs.	2,306.04 Prepainted Metal s</t>
  </si>
  <si>
    <t xml:space="preserve"> Republic of the Philippines  Province of Nueva Ecija City Government of Palayan INVITATION TO BID FOR THE PURCHASE OF VARIOUS COMMODITIES FOR GABAY PAGMAMAHAL SA NAKAKATANDA 2020 1.	The City Government of Palayan, through the Special Purpose Lumpsum Fund </t>
  </si>
  <si>
    <t xml:space="preserve"> Invitation to Bid No. LGU-Lupao- 2020-044 The Local Government of Lupao, Nueva Ecija Invitation to Bid for the Concreting of Farm to Market Road located at Brgy. San Roque of this municipality with Identification No. 2020-044 1. The Municipality of Lupao </t>
  </si>
  <si>
    <t xml:space="preserve"> PLEASE SEE ATTACHED BID DOCUMENTS FOR COMPLETE DETAILS</t>
  </si>
  <si>
    <t xml:space="preserve"> Invitation to Bid No. LGU-Lupao- 2020-043 The Local Government of Lupao, Nueva Ecija Invitation to Bid for the Concreting of Farm to Market Road located at Brgy. Balbalungao ( Sitio Baybayabas ) of this municipality with Identification No. 2020-043 1. The</t>
  </si>
  <si>
    <t xml:space="preserve"> UNIT              DESCRIPTION                                                      QUANTITY  I. MASONRY/CONCRETE WORKS:  Qty.= 1 lot  pcs                 CHB #6                                                                 7461  pcs                 CHB </t>
  </si>
  <si>
    <t xml:space="preserve"> Republic of the Philippines Province of zamboanga Sibugay Municipality of Olutanga 7014 JULY 29, 2020 NOTICE TO THE PUBLIC INVITIATION TO APPLY FOR ELIGIBILITY AND TO BID All interested bidders are invited to Pre-qualify and participate in sealed bidding </t>
  </si>
  <si>
    <t xml:space="preserve"> Contract ID:      20HL0112 Contract Name: Construction / Rehabilitation of Water Supply / Septage and Sewerage /                       Rain Water Collectors - Rain Water Collectors in Public Facilities - Region VII Contract Location:  Bacong, Dauin, Zambo</t>
  </si>
  <si>
    <t xml:space="preserve"> CONTRACT ID: 19GL00122: P.R. No. 2020-07-084 DATED 07/16/2020 CONTRACT LOCATION: PROCUREMENT UNIT, DPWH R.O. XI, DAVAO CITY CONTRACT DESCRIPTION: PROCUREMENT OF COMPUTER/I.T. EQUIPMENT FOR USE IN THE PROCUREMENT UNIT, DPWH R.O. XI, DAVAO CITY ABC: Php413,</t>
  </si>
  <si>
    <t xml:space="preserve"> PR. No. 66-2020 (BCISWMP) 1. 1,818 liters	Diesel</t>
  </si>
  <si>
    <t xml:space="preserve"> 1.	400		pcs.		Filling Envelope		 2.	200		pcs.		Foldable Table		 3.	200		pcs.		White Board		 4.	150		pcs.		Jumbo Pencil		 5.	400		pcs.		Mongol Pencil		 6.	400		pcs.		Ballpen		 7.	150		pcs.		Activity Book		 8.	350		pcs.		Pad Paper (Assorted)		 9.	350		pcs.	</t>
  </si>
  <si>
    <t xml:space="preserve"> DESCRIPTION	UNIT	QUANTITY Project Billboard/ Signboard	each	1.00 Occupation Safety and Health Program	months	2.00 Surplus Common Earth Excavation	cu.m.	51.80 Surplus Rock Excavation	cu.m.	28.00 Embankment (From Roadway Excavation)	cu.m.	34.30 Subgrade Pre</t>
  </si>
  <si>
    <t xml:space="preserve"> DESCRIPTION	UNIT	QUANTITY Project Billboard/ Signboard	each	1.00 Occupational Safety and Health Program	months	2.00 Mobilization/Demobilization	Lump sum	1.00 Structure Excavation	cu.m.	132.90 Subgrade Preparation	sq.m.	364.50 Aggregate Base Course	cu.m.	3</t>
  </si>
  <si>
    <t xml:space="preserve"> Republic of the Philippines Province of zamboanga Sibugay Municipality of Olutanga 7014 JULY 29,2020 NOTICE TO THE PUBLIC INVITIATION TO APPLY FOR ELIGIBILITY AND TO BID All interested bidders are invited to Pre-qualify and participate in sealed bidding f</t>
  </si>
  <si>
    <t xml:space="preserve"> Republic of the Philippines PROVINCE OF MARINDUQUE Capitol Boac, Marinduque OFFICE OF BIDS AND AWARDS COMMITTEE Invitation to Bid  Furnishing labor, materials and equipment for the Concreting/Rehabilitation/Improvement/Upgrading of Lipa Road, Sta. Cruz, M</t>
  </si>
  <si>
    <t xml:space="preserve"> DESCRIPTION	UNIT	QUANTITY Project Billboard/ Signboard	each	1.00 Occupation Safety and Health Program	months	2.00 Surplus Common Earth Excavation	cu.m.	47.93 Embankment (From Roadway Excavation)	cu.m.	31.40 Subgrade Preparation 	sq.m.	551.25 Aggregate Sub</t>
  </si>
  <si>
    <t xml:space="preserve"> Spare Parts Engine Oil Brake pad Oil Filter Fuel filter Air Filter Element Fan Pulley Belt 6pk Battery 11 plates Battery Clamp Battery lug Vacuum hose w/crimping Silicone Gasket Magnetic cluctch Assy. Evaporator Filter Drier Expansion Valve Orings Tail Li</t>
  </si>
  <si>
    <t xml:space="preserve"> INVITATION TO BID 1.	The MPW-BARMM, Maguindanao 2nd District Engineering Office, PC Hill, Cotabato City through its Bids and Awards Committee (BAC) hereby invites interested and Eligible Bidders to bid for Contracts of the hereunder Regular Infra CY 2019 </t>
  </si>
  <si>
    <t xml:space="preserve"> Republic of the Philippines Province of Eastern Samar Municipality of Arteche Invitation to Bid for the Garments and Printing Shop Projects 1.	The Local Government Unit of Arteche, Eastern Samar, through a grant from the Department of Labor and Employment</t>
  </si>
  <si>
    <t xml:space="preserve"> DESCRIPTION	UNIT	QUANTITY Project Billboard/ Signboard	each	1.00 Surplus common excavation 	cu.m	237.00 Subgrade preparation	sq.m.	279.00 Aggregate sub-base course	cu.m.	23.25 PCCP (Unreinforced 200mm. thk)	sq.m.	232.50</t>
  </si>
  <si>
    <t xml:space="preserve"> INVITATION TO APPLY FOR ELIGIBILITY AND TO BID The local Government Unit of Taft, through is Bid and Awards Committee (BAC). Invites suppliers to apply for eligibility, to bid for the hereunder contract: Name of Contract: PROPOSED CONSTRUCTION OF ONE (1) </t>
  </si>
  <si>
    <t xml:space="preserve"> DESCRIPTION	UNIT	QUANTITY Project Billboard/ Signboard	each	1.00 Occupation Safety and Health Program	lot	1.00 Mobilization/ Demobilization	lot	1.00 Surplus Common Excavation	cu.m.	129.20 Subgrade Preparation	sq.m.	465.48 Aggregate Base Course	cu.m.	38.79</t>
  </si>
  <si>
    <t xml:space="preserve"> Republic of the Philippines MUNICIPALITY OF ECHAGUE Province of Isabela INVITATION TO BID FOR  THE  PROCUREMENT  OF DRUGS, MEDICINES  AND MEDICAL  SUPPLIES 1.	The Local Government Unit , through  the  GENERAL   FUND  Of  2020   intends to apply the sum of</t>
  </si>
  <si>
    <t xml:space="preserve"> FACE MASK - CLOTH - Neoprene, SUBLIMATION - Personalized SK logo/design SEWING         - electronic sewing CUTTING        - garment cutting machine PPE'S CLOTH     - Microfiber SUBLIMATION    - Personalized SK logo/design SEWING            -  Electronic s</t>
  </si>
  <si>
    <t xml:space="preserve"> Body type : CARGO DROPSIDE Engine : 135hp No. of Cylinder : 4 Fuel : Diesel Electrical System : 24 volts Transmission : Manual No. of Gear Forward : 5 Speed No. of Gear Reverse : 1 Wheel drive : Rear Wheel drive (4x2) Steering system : Power Assisted Susp</t>
  </si>
  <si>
    <t xml:space="preserve"> Republic of the Philippines PROVINCE OF MARINDUQUE Capitol Boac, Marinduque OFFICE OF BIDS AND AWARDS COMMITTEE Invitation to Bid  Furnishing labor, materials and equipment for the Concreting/Rehabilitation/Improvement/Upgrading of Hupi Road, Brgy. Hupi, </t>
  </si>
  <si>
    <t xml:space="preserve"> REPUBLIC OF THE PHILIPPINES Province of Nueva Ecija MUNICIPALITY OF LUPAO Invitation to Bid No. LGU-Lupao- 2020-042 The Local Government of Lupao, Nueva Ecija Invitation to Bid for the Concreting of Farm to Market Road located at Agupalo Este of this muni</t>
  </si>
  <si>
    <t xml:space="preserve"> 1	2	Sets	Computer Desktop w/ Complete Accessories	 			"Motherboard: MSI A320 Processor: AMD Ryzen 3 2200G Processor Memory: 8 GB DDR4 Memory Monitor: 18.5 inch LED Monitor Hard Disk: 1TB HDD Form Factor: Casing w/ 700 watts Power Supply Accessories: Keybo</t>
  </si>
  <si>
    <t xml:space="preserve"> CONTRACT ID: 19GL00121; P.R. No. 2020-03-042 DATED 03/19/2020 CONTRACT LOCATION:DPWH R.O. XI (NEW BUILDING) CONTRACT DESCRIPTION: PROCUREMENT OF ONE (1) OF LOT ROLLER BLINDS,  FOR USE IN THE OPERATION OF THE DPWH R.O. XI (NEW BUILDING), UNDER THE PLANNING</t>
  </si>
  <si>
    <t xml:space="preserve"> TITLE: VARIOUS MATERIALS FOR THE CONSTRUCTION OF OPEN DRAINAGE CANAL LOCATION: PUROK-1 &amp; 2, BRGY. OBRERO, BUTUAN CITY ABC: P198,530.30 SOURCE OF FUNDS: BRGY. IRA FUND BILL OF MATERIALS: 1	0.50	Roll/s	Nylon rope 2	10	Mt/s	Hose level 1/2Ø 3	6	Bundle/s	1” x </t>
  </si>
  <si>
    <t xml:space="preserve"> DESCRIPTION	UNIT	QUANTITY Project Billboard/ Signboard	each	1.00 Occupation Safety and Health Program	months	2.00 Mobilization/ Demobilization	lumpsum	1.00 Surplus Common Excavation	Cu.m.	113.00 Structure Excavation (for Grouted Riprap &amp; Breast Wall)	Cu.m</t>
  </si>
  <si>
    <t xml:space="preserve"> Republic of the Philippines Province of Surigao del Sur Municipality of Tago ---ooo0ooo--- Invitation to Bid Purchase of Food Supply Project ID No. TAG-SDS-073 -2020 The Local Government Unit of  Tago, Surigao del Sur invites sealed Bids from eligible Bid</t>
  </si>
  <si>
    <t xml:space="preserve"> Republic of the Philippines Province of Eastern Samar City of Borongan -0- BIDS AND AWARDS COMMITTEE ------------------------------------------------------------------------------------------ Invitation to Bid for REPAIR OF BARANGAY BALACDAS MULTI-PURPOSE</t>
  </si>
  <si>
    <t xml:space="preserve"> Republic of the Philippines Province of Surigao del Sur Municipality of Tago ---ooo0ooo--- Invitation to Bid Purchase of Water System Materials &amp; supply Project ID No. TAG-SDS-074 -2020 The Local Government Unit of  Tago, Surigao del Sur invites sealed Bi</t>
  </si>
  <si>
    <t xml:space="preserve"> UNIT                     DESCRIPTION                                                QUANTITY CONCRETING &amp; MASONRY WORKS  cu.m                     Cement                                                                619 cu.m                     Sand      </t>
  </si>
  <si>
    <t xml:space="preserve"> 1. The Municipal Government of Sta. Cruz, through its General Fund intends to apply the sum of Two Hundred Fifty Thousand Pesos (P250,000.00) being the Approved Budget for the Contract (ABC) to payments under the contract for Project: Supply and Delivery </t>
  </si>
  <si>
    <t xml:space="preserve"> PLEASE SEE ATTACHED BID DOCUMENTS FOR COMPLETE SPECIFICATION</t>
  </si>
  <si>
    <t xml:space="preserve"> CONTRACT ID:	19GL00120; P.R. No. 2020-03-042 DATED 03/19/2020 CONTRACT LOCATION: DPWH R.O. XI (NEW BUILDING) CONTRACT DESCRIPTION: PROCUREMENT OF ONE (1) LOT OF VARIOUS CABINETS &amp; FILE STORAGE, FOR USE IN THE DPWH R.O. XI, UNDER ADMINISTRATIVE DIVISION, D</t>
  </si>
  <si>
    <t xml:space="preserve"> Republic of the Philippines BIDS AND AWARDS COMMITTEE Province of Iloilo Invitation to Bid Purchase of I.T EQUIPMENT AND SOFTWARE For Bid No. ACC-20-0918-B 1. The Iloilo Provincial Government, through the  CAPITAL OUTLAY (SUPPLEMENTAL BUDGET 2017) intends</t>
  </si>
  <si>
    <t xml:space="preserve"> Republic of the Philippines OFFICE OF THE PUNONG BARANGAY 	Barangay MAIKAY	 	Municipality of Tudela	 Province of Misamis Occidental INVITATION TO BID The Office of the Punong Barangay of Barangay Maikay through its Bids and Awards Committee [BAC], invites</t>
  </si>
  <si>
    <t xml:space="preserve"> Furnishing of Materials for Construction of Day Care Center</t>
  </si>
  <si>
    <t xml:space="preserve"> Concreting of Barangay Road W-4.00m x L-0.94km</t>
  </si>
  <si>
    <t xml:space="preserve"> DESCRIPTION	UNIT	QUANTITY Project Billboard/ Signboard	each	1.00 Surplus Common Excavation 	cu.m	131.88 Embankment (from roadway excavation)	cu.m	24.00 Subgrade preparation	sq.m.	207.45 Aggregate sub base course	cu.m.	20.75 Portland concrete pavement (PCC</t>
  </si>
  <si>
    <t xml:space="preserve"> Republic of the Philippines PROVINCE OF MARINDUQUE Capitol Boac, Marinduque OFFICE OF BIDS AND AWARDS COMMITTEE Invitation to Bid  Furnishing labor, materials and equipment rental for the Construction of Brgy. Water Supply System (Phase 1), Brgy. Tabionan</t>
  </si>
  <si>
    <t xml:space="preserve"> PROJECT: PURCHASE OF 9 UNITS MOUNTAIN BIKES LOCATION: BARANGAY SAN JOSE, CONCEPCION, TARLAC APPROVED BUDGET FOR THE CONTRACT: PHP 131,850.00 SOURCE OF FUND: CAPITAL OUTLAY The contract to be performed by the successful bidder shall be specified in the Tec</t>
  </si>
  <si>
    <t xml:space="preserve"> ITEM DESCRIPTION: 1 UNIT MUNICIPAL SERVICE VEHICLE Specifications: Seating Capacity: 8 Audio: 2DIN CD/Tuner/MP3 Body Dimension: Min. Length 4,700mm Min. Width 1,800mm Min. Height 1,700mm Transmission: 6-Speed Automatic Engine: Type: 2.8 Liter Diesel Cylin</t>
  </si>
  <si>
    <t xml:space="preserve"> I.  FABRICATION WORKS Labor OCM/CP/VAT .</t>
  </si>
  <si>
    <t xml:space="preserve"> Section I. Invitation to Bid Republic of the Philippines Province of Benguet MUNICIPALITY OF BOKOD INVITATION TO BID FOR PROCUREMENT OF DRUGS AND MEDICINES (MHO-MOOE 2020), BOKOD, BENGUET 1.	The MUNICIPALITY OF BOKOD, through the Government of the Philipp</t>
  </si>
  <si>
    <t xml:space="preserve"> Section I. Invitation to Bid Republic of the Philippines Province of Benguet MUNICIPALITY OF BOKOD INVITATION TO BID FOR PROCUREMENT OF VARIOUS DISASTER RESPONSE &amp; RESCUE EQUIPMENT (MDRRMF 2020), BOKOD, BENGUET 1.	The MUNICIPALITY OF BOKOD, through the Go</t>
  </si>
  <si>
    <t xml:space="preserve"> INVITATION TO BID FOR THE PURCHASE OF OTHER MACHINERY AND EQUIPMENT – HOME FOR BOYS - CSWDO 1.	The City Government of Bacoor, Cavite, through the General Fund Year 2020 intends to apply the sum of ONE MILLION FIVE HUNDRED SIXTY FIVE THOUSAND PESOS AND ZER</t>
  </si>
  <si>
    <t xml:space="preserve"> CONSTRUCTION OF VARIOUS INFRASTRUCTURE PROJECTS TO WITT; a. ANHS ACCESS ROAD CONSTRUCTION b. CURBA PROPER POSNAAN ROAD c. NATIONAL ROAD - LIMMOCBFOB FMR OPENING AND IMPROVEMENT d. MABALAT-SAGPAT ROAD e. BUGALLO-UCHUOD ROAD f. ITAB-BUTIE ROAD</t>
  </si>
  <si>
    <t xml:space="preserve"> CONSTRUCTION OF VARIOUS INFRASTRUCTURE PROJECTS TO WITT; a. MONGGAYANG - MANAOT FMR IMPROVEMENT b. LUPAO - CHAPAHAN FMR OPENING AND IMPROVEMENT</t>
  </si>
  <si>
    <t xml:space="preserve"> INVITATION TO BID   Procurement of Goods:  SUPPLY and DELIVERY of Various Oral Health Supplies for the 30 established Clinics in DepEd Region 2 (LOT 3) 1.	The Department of Education, Regional Office 02, through GAA 2020   intends to apply the sum of Thre</t>
  </si>
  <si>
    <t xml:space="preserve"> Invitation to Bid No. LGU-Lupao- 2020-041 The Local Government of Lupao, Nueva Ecija Invitation to Bid for the Concreting of Farm to Market Road located at San Isidro of this municipality with Identification No. 2020-041 1. The Municipality of Lupao has a</t>
  </si>
  <si>
    <t xml:space="preserve"> INVITATION TO BID   Procurement of Goods:  SUPPLY and DELIVERY of Various Oral Health Supplies for the 50 established Clinics in DepEd Region 2 (LOT 2) 1.	The Department of Education, Regional Office 02, through GAA 2020   intends to apply the sum of Five</t>
  </si>
  <si>
    <t xml:space="preserve"> REPUBLIC OF THE PHILIPPINES CITY GOVERNMENT OF OROQUIETA BIDS AND AWARD COMMITTEE City Hall, Oroquieta City                                                                                                                       July 29, 2020                </t>
  </si>
  <si>
    <t xml:space="preserve"> Section I. Invitation to Bid Republic of the Philippines Province of Benguet MUNICIPALITY OF BOKOD INVITATION TO BID FOR PURCHASE OF FOOD SUPPLEMENTS FOR 6-59 MONTHS CHILDREN, PWDS AND PREGNANT WOMEN (SUPPORT TO NUTRITION), BOKOD, BENGUET 1.	The MUNICIPAL</t>
  </si>
  <si>
    <t xml:space="preserve"> INVITATION TO BID   Procurement of Goods:  SUPPLY and DELIVERY of Various Oral Health Supplies for the 60 established Clinics in DepEd Region 2 (LOT 1) 1.	The Department of Education, Regional Office 02, through GAA 2020   intends to apply the sum of Six </t>
  </si>
  <si>
    <t xml:space="preserve"> 1	m³	189	Aggregate base course           FOB	800.00	151,200.00 2	m³	81	Gravel                                  INDUSTRIAL	840.00	68,040.00 3	m³	63	Sand                                          PARK, PALINPINON	820.00	51,660.00 			TOTAL:		270,900.00</t>
  </si>
  <si>
    <t xml:space="preserve"> ROADWAY EXCAVATION AGGREGATE BASE COURSE BILLBOARD</t>
  </si>
  <si>
    <t xml:space="preserve"> Electrical 10 post</t>
  </si>
  <si>
    <t xml:space="preserve"> 1. The Government Service Insurance System (GSIS), through the GSIS Corporate Operating Budget for CY2020, intends to apply the sum of Two Million Two Hundred Thousand Pesos (Php2,200,000.00) being the Approved Budget for the Contract (ABC) for payment un</t>
  </si>
  <si>
    <t xml:space="preserve"> Description:		 			Road Section Length: 70 L.m		 			Thickness 0.15 m		 			Road Width: 7.0 L.m		 			Surface Type: Item 311-PCCP		 					 			CONTRACT COST:		 	LOT	1	SPECIAL ITEM-GENERAL CONDITIONS		 			A. Mobilization and Demobilization		10,000.00 			B. Proje</t>
  </si>
  <si>
    <t xml:space="preserve"> REHABILITATION/IMPROVEMENT OF SAN JOSE DIVERSION DAM</t>
  </si>
  <si>
    <t xml:space="preserve"> CONSTRUCTION OF VARIOUS INFRASTRUCTURE PROJECTS TO WITT; a. NATIONAL ROAD - TALITE ES ROAD IMPROVEMENT b. BUNHIAN MULTI-PURPOSE BUILDING HALL IMPROVEMENT</t>
  </si>
  <si>
    <t xml:space="preserve"> Section I. Invitation to Bid Republic of the Philippines Province of Misamis Oriental  Municipality of Salay INVITATION TO BID FOR Procurement of materials for Rehabilitation of 2nd Floor MPB – SB Building (Phase 1) 1.	The Local Government Unit of Salay, </t>
  </si>
  <si>
    <t xml:space="preserve"> CONSTRUCTION OF VARIOUS INFRASTRUCTURE PROJECTS TO WITT; a. PROPER CHALALO - FUMA'CHONG - BUTAYAN ROAD OPENING b. MONGGAYANG MANAOT ROAD IMPROVEMENT</t>
  </si>
  <si>
    <t xml:space="preserve"> Republic of the Philippines City of Toledo -oOo- BIDS AND AWARDS COMMITTEE ITB No. I11-02-2020 INVITATION TO BID FOR: Proposed Completion of GSD Warehouse &amp; Construction of Perimeter Fence @ Brgy. Poblacion, Toledo City 1.	The City Government of Toledo un</t>
  </si>
  <si>
    <t xml:space="preserve"> Republic of the Philippines PROVINCE OF MARINDUQUE Capitol Boac, Marinduque OFFICE OF BIDS AND AWARDS COMMITTEE Invitation to Bid  Furnishing labor, materials and equipment rental for the Construction of Brgy. Water Works System, Brgy. Datingbayan, Sta. C</t>
  </si>
  <si>
    <t xml:space="preserve"> INVITATION TO BID FOR THE PURCHASE OF TABLET FOR THE PUPILS WHO ARE IN THE JUNIOR HIGH SCHOOL AND SENIOR HIGH SCHOOL USING ON-LINE CLASS ON VARIOUS SCHOOLS UNDER  THE CITY SCHOOL DIVISION OF BACOOR – CSDO 1.	The City Government of Bacoor, Cavite, through </t>
  </si>
  <si>
    <t xml:space="preserve"> Republic of the Philippines PROVINCE OF MARINDUQUE Capitol Boac, Marinduque OFFICE OF BIDS AND AWARDS COMMITTEE Invitation to Bid  Furnishing labor, materials and equipment for the Concreting/Rehabilitation/Improvement/Upgrading of Janagdong Road, Brgy. J</t>
  </si>
  <si>
    <t xml:space="preserve"> INVITATION TO BID FOR THE PROCUREMENT OF SUPPLY &amp; DELIVERY OF 186 HEADS GOAT     1.	The Department of Agriculture Regional Field Office 6 through the General Appropriations Act (GAA) of 2020 intends to apply the sum of Two Million Nine Hundred Thirty Thou</t>
  </si>
  <si>
    <t xml:space="preserve"> Section I. Invitation to Bid Republic of the Philippines Province of Benguet MUNICIPALITY OF BOKOD INVITATION TO BID FOR PROCUREMENT OF COMMUNICATION EQUIPMENT, BOKOD, BENGUET 1.	The MUNICIPALITY OF BOKOD, through the Government of the Philippines (GOP) t</t>
  </si>
  <si>
    <t xml:space="preserve"> Food Stuff for Senior Citizens 2020</t>
  </si>
  <si>
    <t xml:space="preserve"> Republic of the Philippines PROVINCE OF MARINDUQUE Capitol Boac, Marinduque OFFICE OF BIDS AND AWARDS COMMITTEE Invitation to Bid  Furnishing labor, materials and  equipment for the Construction/Rehabilitation of Poblacion Provincial Road at Rizal St., Ma</t>
  </si>
  <si>
    <t xml:space="preserve"> 1 unit Pick-up truck Specifications: Engine Model: RZ4E-TC, Type: 4-cylinder in line blue power diesel engine with turbo intercooler, displacement: 1898cc, Maximum Power: 150 ps(110kW)@3600rpm, Maximum Torque: 350N-m (35.7kg-m) @ 1,800-2600 rpm, Bore x st</t>
  </si>
  <si>
    <t xml:space="preserve"> Name of the Procuring Entity: TONDO MEDICAL CENTER Name of the Project: Procurement of Electric Kettle for Office Use      			                                          Location of the Project: Tondo Medical Center Balut, Tondo Manila                      </t>
  </si>
  <si>
    <t xml:space="preserve"> Improvement of the Existing Building</t>
  </si>
  <si>
    <t xml:space="preserve"> Road Concreting  - 4m x 0.20m 22m Concrete Road</t>
  </si>
  <si>
    <t xml:space="preserve"> Concreting of Barangay Road W-2.00 x L-350m and Gravelled Raod W-2.00 x L-350m</t>
  </si>
  <si>
    <t xml:space="preserve"> Republic of the Philippines City of Toledo -oOo- BIDS AND AWARDS COMMITTEE ITB No. I09-02-2020 INVITATION TO BID FOR: Proposed Construction of Multi-Purpose Building (PhaseII) @ Brgy. Cabitoonan, Toledo City 1.	The City Government of Toledo under the 20% </t>
  </si>
  <si>
    <t xml:space="preserve"> Republic of the Philippines PROVINCE OF MARINDUQUE Capitol Boac, Marinduque OFFICE OF BIDS AND AWARDS COMMITTEE Invitation to Bid  Furnishing labor, materials &amp; equipment for the Construction of  Hospital Facilities (Morgue) Santol, Boac, Marinduque  The </t>
  </si>
  <si>
    <t xml:space="preserve"> Contract ID #					 :    20II0061(Re-Ad) Contract Name				         :    Repair and Maintenance of Road Safety Facilities (Supply, Delivery and Installation of Danger, Hazard, Warning, Regulatory and Informative Signages) along Catarman Laoang Road, Laoang </t>
  </si>
  <si>
    <t xml:space="preserve"> Republic of the Philippines PROVINCE OF MARINDUQUE Capitol Boac, Marinduque OFFICE OF BIDS AND AWARDS COMMITTEE Invitation to Bid  Furnishing labor, materials &amp; equipment for the Construction of Hospital Facilities (Morgue) Santol, Boac, Marinduque  The M</t>
  </si>
  <si>
    <t xml:space="preserve"> INVITATION TO BID FOR  PURCHASE/INSTALLATION OF CCTV 	The Municipality of San Juan through the Government of the Philippines intends to apply the sum of  TWO MILLION THREE HUNDRED THOUSAND PESOS  (Php.2,300,000.00)  being the Approved Budget for the Contr</t>
  </si>
  <si>
    <t xml:space="preserve"> Furnishing of Materials for Construction of Water System Phase 2</t>
  </si>
  <si>
    <t xml:space="preserve"> drugs and medicines</t>
  </si>
  <si>
    <t xml:space="preserve"> CONSTRUCTION OF VARIOUS INFRASTRUCTURE PROJECTS TO WITT; a. IMPROVEMENT OF ECHAGUE PICNIC SITE b. LOWER MANAOT ELECTRIC PUMP c. SENIOR CITIZEN MULTI-PURPOSE IMPROVEMENT d. CHALALO ES ANNEX STAGE IMPROVEMENT e. ACS SCHOOL BUILDING SHADE EXTENSION</t>
  </si>
  <si>
    <t xml:space="preserve"> Item  No.           Description		Qty.		Unit 100(1) Clearing and Grubbing- 0.046  sq.m. 103(1)a Sructure Excavation common soil – 345.00  cu.m. 404(2)a Embankment From Borrow, Common soil – 158.70 cu.m. 404(1)a Reinforcing Steel, Grade 40 – 3,700.00 kgs. 4</t>
  </si>
  <si>
    <t xml:space="preserve"> Bids received in excess of the ABC for each project shall be automatically rejected at bid opening. Prospective bidders should have undertaken a similar project within three (3) years from the date of bidding. Bidding will be conducted through open compet</t>
  </si>
  <si>
    <t xml:space="preserve"> INVITATION TO BID FOR THE SUPPLY AND DELIVERY OF SUPPLIES, MATERIALS AND EQUIPMENT TO BE USED FOR DENTAL SERVICES- 2nd Posting PB-2020-163-019 1. The Pampanga State Agricultural University, through Fund 163, intends to apply the sum of P312,703.71 being t</t>
  </si>
  <si>
    <t xml:space="preserve"> Section I. Invitation to Bid Republic of the Philippines Province of Misamis Oriental  Municipality of Salay INVITATION TO BID FOR Procurement of Diesel for Rechanneling of Rivers (Along Poblacion-SR 1 water ways) 1.	The Local Government Unit of Salay, th</t>
  </si>
  <si>
    <t xml:space="preserve"> Road Opening at Ikog Buaya Sitio Nonocan Brgy. Dapnan Phase III, Baganga, Davao Oriental</t>
  </si>
  <si>
    <t xml:space="preserve"> Republic of the Philippines PROVINCE OF MARINDUQUE Capitol Boac, Marinduque OFFICE OF BIDS AND AWARDS COMMITTEE Invitation to Bid  Furnishing labor and materials for the Construction of  Water Works System, Brgy. Isok II, Brgy. Isok II, Boac, Marinduque  </t>
  </si>
  <si>
    <t xml:space="preserve"> Republic of the Philippines PROVINCE OF PANGASINAN BIDS AND AWARD COMMITTEE (BAC) Brgy. Capaoay, San Jacinto, Pangasinan Mobile No. 09453394700 INVITATION TO BID The Barangay Capaoay, San Jacinto, Pangasinan, though its Bids and Award Committee (BAC), inv</t>
  </si>
  <si>
    <t xml:space="preserve"> Invitation to Bid  For the  Construction/Rehabilitation of Existing Drainage System at Brgy. Concepcion, City Proper, Iloilo City 1.	The City of Iloilo, through the 20% Development Fund, CY2020 intends to apply the sum of Two Million Pesos (Php 2,000,000.</t>
  </si>
  <si>
    <t xml:space="preserve"> LAPTOP 15s-du0077TX	 INTEL CORE I3-8130U PROCESSOR	 128GB SOLID STATE DRIVE	 1TB HARD DRIVE	 8GB SODIMM DDR4 SDRAM	 15.6" HD LED DISPLAY	 NVIDIA GEFORCE GRAPHICS</t>
  </si>
  <si>
    <t xml:space="preserve"> Republic of the Philippines PROVINCE OF CAGAYAN Municipality of Peñablanca PROVINCIAL BIDS AND AWARDS COMMITTEE INVITATION FOR NEGOTIATED PROCUREMENT DUE TO TWO FAILED BIDDINGS Procurement of 313,150 Liters Diesel Fuel 1.	The Provincial Government of Caga</t>
  </si>
  <si>
    <t xml:space="preserve"> The Barangay Government of Brgy. San Pedro, Quinapondan, Eastern Samar, through its Bids and Awards Committee (BAC), intends to apply the sum of One Hundred Sixty Six Thousand Three Hundred Forty Five Pesos and 82/100 (Php 166,345.82), under the 20% BDF o</t>
  </si>
  <si>
    <t xml:space="preserve"> Service Vehicle &gt; Brand New &gt; Sports Utility Vehicle &gt; Engine Displacement : 2400cc (minimum) &gt; Engine Type : 4-cylinder, Diesel-fed, with turbo intercooler &gt; Power : 150 PS  &gt; Torque : 350 N-m (Minimum) &gt; Fuel System : CRDI &gt; Emission Rating : EURO IV &gt; </t>
  </si>
  <si>
    <t xml:space="preserve"> INVITATION TO BID   Procurement of Goods:  SUPPLY and DELIVERY of Hygiene Kits to 136,576 Public Elementary Learners in DepEd Region 2 (LOT 3) 1.	The Department of Education, Regional Office 02, through GAA 2020   intends to apply the sum of Five Million </t>
  </si>
  <si>
    <t xml:space="preserve"> PC DESKTOP PACKAGE RYZEN 22000 MSI A320M PRO E 8GB DDR4 MEMORY 240 GB SATA SSD CASING WITH SUPPLY 22 LED MONITOR IPS NVISION A4TECH MOUSE KEYBOARD HEADSET 500W TRUE RATED POWER SUPPLY  2 PRINTER EPSON L 360 UTP CABLE CAT 6 FREE SET UP  BANDWITH MANAGEMENT</t>
  </si>
  <si>
    <t xml:space="preserve"> 1.	100	packs	Battery AA 2’s 2.	75	packs	Battery AAA 2’s 3.	20	pieces	Battery, 9 volts 4.	1,300	pieces	Brown Envelope, long 5.	1,300	pieces	Brown Envelope, short 6.	40	boxes	Carbon Paper (Plastofoil), long (216x330mm), black 100’s 7.	6	pieces	Computer Ribb</t>
  </si>
  <si>
    <t xml:space="preserve"> INVITATION TO BID   Procurement of Goods:  SUPPLY and DELIVERY of Hygiene Kits to 178,550 Public Elementary Learners in DepEd Region 2 (LOT 2) 1.	The Department of Education, Regional Office 02, through GAA 2020   intends to apply the sum of Seven Million</t>
  </si>
  <si>
    <t xml:space="preserve"> INVITATION TO APPLY FOR ELIGIBILITY AND TO BID THE BIDS AND AWARD COMMITTEE OF THE MUNICIPALITY OF CAIBIRAN, BILIRAN IS INVITING ALL INTERESTED BIDDERS ON ITS FORTH COMING PUBLIC BIDDING FOR:   Project Title	: Setting-Up of Covered Court as Isolation Area</t>
  </si>
  <si>
    <t xml:space="preserve"> INVITATION TO BID July 29, 2020 1.	The Provincial Government of Davao Occidental, through its Bids and Awards Committee (BAC), invites all suppliers to apply to bid for the following goods: Bids received in excess of the ABC shall be automatically rejecte</t>
  </si>
  <si>
    <t xml:space="preserve"> Republic of the Philippines PROVINCE OF NORTHERN SAMAR BIDS AND AWARDS COMMITTEE Catarman Purchase of 2 Units Mini Bus 4x2 DSL M/T (29 - seater) for Disaster and Emergency Purposes PDRRMO Province of Northern Samar    NS-07-30-20 1.	The Provincial Governm</t>
  </si>
  <si>
    <t xml:space="preserve"> DOORS &amp; WINDOWS TINNERY WORKS CARPENTRY WORKS</t>
  </si>
  <si>
    <t xml:space="preserve"> FURNISHING OF SPARE PARTS, TIRES, BATTERIES AND LUBRICANTS</t>
  </si>
  <si>
    <t xml:space="preserve"> Pls. quote the item listed below: 1.  Diesel  -  1, 800 ltrs. NOTE:                       Opening of Bids will be on August 11, 2020 @ 1:00 pm</t>
  </si>
  <si>
    <t xml:space="preserve"> I. CONCRETE WORKS II. CARPENTRY WORKS III.TINNERY WORKS</t>
  </si>
  <si>
    <t xml:space="preserve"> Republic of the Philippines CITY OF PANABO Province of Davao del Norte BIDS AND AWARDS COMMITTEE -o0o- INVITATION TO BID  SUPPLY OF DRUGS &amp; MEDICINES 1.	The City of Panabo, through CMO-DRUGS &amp; MEDICINES EXPENSES-LFP 2020 intends to apply the sum of One Mi</t>
  </si>
  <si>
    <t xml:space="preserve"> INVITATION TO BID The Iligan City Government Bids and Awards Committee (BAC), invites contractors registered by the Philippine Contractors Accreditation Board (PCAB) to bid for the hereunder contract: Name of Project    : Construction of Iligan’s Best Dis</t>
  </si>
  <si>
    <t xml:space="preserve"> Procurement of Delivery Item 200 Aggregates</t>
  </si>
  <si>
    <t xml:space="preserve"> ELECTRICAL  7 POST</t>
  </si>
  <si>
    <t xml:space="preserve"> INVITATION TO BID No. 20-004 ONE (1) YEAR GARBAGE COLLECTION, TRANSPORT AND DISPOSAL SERVICES (2nd Posting) 1.	The Cultural Center of the Philippines (CCP), through  its Corporate Operating Budget of 2020 intends to apply the sum of Two Million Nine Hundr</t>
  </si>
  <si>
    <t xml:space="preserve"> REQUEST FOR EXPRESSION OF INTEREST FOR CONSULTANCY SERVICES FOR THE PREPARATION OF DETAILED ENGINEERING DESIGN FOR THE REHABILITATION OF SHIP REPAIR FACILITIES (SRF) PIER AND WHARVES PROJECT (SBMA-BAC-CONS-RFEI-20-03 1.	The Subic Bay Metropolitan Authorit</t>
  </si>
  <si>
    <t xml:space="preserve"> Item  No.           Description		Qty.		Unit 100(1) Clearing and Grubbing- 0.0471  sq.m. 103(1)a Sructure Excavation common soil – 11.78  cu.m. 404(2)a Embankment From Borrow, Common soil – 79.68  cu.m. 404(1)a Reinforcing Steel, Grade 40 – 2,183.00 kgs. 4</t>
  </si>
  <si>
    <t xml:space="preserve"> Province of Surigao del Sur MUNICIPALITY OF TAGBINA BARANGAY HINAGDANAN BIDS AND AWARDS COMMITTEE (BAC) INVITATION TO BID SUPPLY AND DELIVERY OF HARDWARE MATERIALS FOR THE CONSTRUCTION OF BARANGAY WATER SYSTEM The barangay government of Hinagdanan, Tagbin</t>
  </si>
  <si>
    <t xml:space="preserve"> VARIOUS COMMON-USE SUPPLIES</t>
  </si>
  <si>
    <t xml:space="preserve"> 1.	The Department of Public Works and Highways Regional Office XI, Davao City, through its Bids and Awards Committee (BAC), invites bidders to submit bids for the Infra project funded under FY 2020 RA 11465 Regular 2020 CURRENT, to wit: Contract ID 	:	20L</t>
  </si>
  <si>
    <t xml:space="preserve"> Lot No. 1 150	pc.	Monoblock Chairs, gray color 40	pc.	Classroom Tables Rectangular Table BT006K027BWHT 182x76x74cm, RECT. WHITE IN HALF 10	pc.	Gang Chairs(4 Seaters Aluminum waiting visitors chairs) Lot No. 2 4	unit 	Swivel Chair, Erodynamic Chair 360⁰, W</t>
  </si>
  <si>
    <t xml:space="preserve"> BIDS AND AWARDS COMMITTEE – HEAD OFFICE INVITATION TO BID 1. The Bangko Sentral ng Pilipinas (BSP), through its Bids and Awards Committee (BAC) – Head Office, invites Bidders to apply for eligibility and to bid for the hereunder requirement: Lot No. Name </t>
  </si>
  <si>
    <t xml:space="preserve"> ITEM NO.	Unit of issue	ITEM &amp;DESCRIPTION	Brand &amp; Model	QTY.	 1	pc	Glass Cover for conference table 4ft x 8ft, thickness:		1	 		6.35mm, tempered glass, fabricated			 2	pc	Classroom Arm Chair, Metal, standard size fabricated		30	 		(see attached sample)			 </t>
  </si>
  <si>
    <t xml:space="preserve"> DOORS &amp; WINDOWS REMOVAL OF EXISTING WINDOWS TILE WORKS</t>
  </si>
  <si>
    <t xml:space="preserve"> Republic of the Philippines Province of Davao de Oro Municipality of Monkayo -o0o- INVITATION TO BID FOR THE PROCUREMENT OF FUEL FOR MOBILIZATION OF VARIOUS OFFICES  The Municipality of Monkayo, through the GENERAL FUND intends to apply the sum of SIX HUN</t>
  </si>
  <si>
    <t xml:space="preserve"> One (1) Unit Desktop with complete accessories</t>
  </si>
  <si>
    <t xml:space="preserve"> The ZAMBOANGA CITY STATE POLYTECHNIC COLLEGE through its Bids and Awards Committee (BAC) is inviting PHILGEPS registered suppliers to apply for eligibility and to submit bids for the items listed below: Learning Management System Multi-Technology Interact</t>
  </si>
  <si>
    <t xml:space="preserve"> G.I Tubular, Welding Rod, Grinding Disc, Hacksaw Blade, Deformed Bars, Epoxy Primer, Polytuff w/ Hardener, Portland Cement, Gravel &amp; Sand, Tansi, Black Peebles, Grout, QDE Paint, Tinting Color, Paint Thinner, Lacquer Thinner, Paint Brush, Rugs, Circuit Br</t>
  </si>
  <si>
    <t xml:space="preserve"> Republic of the Philippines PROVINCE OF CAGAYAN Municipality of Peñablanca PROVINCIAL BIDS AND AWARDS COMMITTEE INVITATION FOR NEGOTIATED PROCUREMENT DUE TO TWO FAILED BIDDINGS Supply and Delivery of Various Brand New Tires 1.	The Provincial Government of</t>
  </si>
  <si>
    <t xml:space="preserve"> Waterworks Materials to be used for raw materials for Organic Production</t>
  </si>
  <si>
    <t xml:space="preserve"> CONSTRUCTION OF CONCRETE FOOTBRIDGE</t>
  </si>
  <si>
    <t xml:space="preserve"> 1.	The DEPARTMENT OF EDUCATION NORTH COTABATO DIVISION, through the Government of the Philippines intends to apply the sum of ELEVEN MILLION FOUR HUNDRED SEVENTY-SIX THOUSAND SEVEN HUNDRED NINETY-TWO PESOS AND 14/100 (PhP 11,476,792.14) being the Approved</t>
  </si>
  <si>
    <t xml:space="preserve"> Republic of the Philippines Region XII Province of Cotabato CITY OF KIDAPAWAN BIDS AND AWARDS COMMITTEE Invitation to Bid 						  		            Date: July 30, 2020	 1.	The City Government of Kidapawan, through the Office of the City Mayor(Infra Support Pr</t>
  </si>
  <si>
    <t xml:space="preserve"> Republic of the Philippines Province of Samar  Municipality of Jiabong INVITATION TO BID FOR  CONSTRUCTION OF CIVIC CENTER BRGY CANDAYAO JIABONG SAMAR Jiab-2020-9D 1.	The Municipal Government of Jiabong, Samar, intends to apply the sum of FOUR HUNDRED THO</t>
  </si>
  <si>
    <t xml:space="preserve"> INVITATION TO BID The Iligan City Government Bids and Awards Committee (BAC), invites contractors registered by the Philippine Contractors Accreditation Board (PCAB) to bid for the hereunder contract: Name of Project 	  : Road Concreting Location		       </t>
  </si>
  <si>
    <t xml:space="preserve"> INVITATION TO BID Supply and Delivery of CCTV Equipment Identification No. TAMP-PB-GOODS-08-2020 1.	The Local Government of Tampakan, through the SB#1 20% MDF 2020/3911-300-1-07-05-100 intends to apply the sum of Three Hundred Eighty Eight Thousand Seven </t>
  </si>
  <si>
    <t xml:space="preserve"> INVITATION TO BID   Procurement of Goods:  SUPPLY and DELIVERY of Hygiene Kits to 176,825 Public Elementary Learners in DepEd Region 2 (LOT 1) 1.	The Department of Education, Regional Office 02, through GAA 2020   intends to apply the sum of Seven Million</t>
  </si>
  <si>
    <t xml:space="preserve"> 1.	The DEPARTMENT OF EDUCATION NORTH COTABATO DIVISION, through the Government of the Philippines intends to apply the sum of TWO MILLION SEVEN HUNDRED FORTY-THREE THOUSAND FOUR HUNDRED PESOS AND 00/100 (PhP 2,743,400.00) being the Approved Budget for the</t>
  </si>
  <si>
    <t xml:space="preserve"> 1.	The Southern Leyte State University Main Campus through its Internally Generated Fund intends to apply the sum of ONE MILLION SIX HUNDRED PESOS only (₱1,600,000.00) being the Approved Budget for the Contract (ABC) to payments under the contract of Proc</t>
  </si>
  <si>
    <t xml:space="preserve"> The Municipality of Limay, through its Bids and Awards Committee (BAC) invites registered contractors to apply for eligibility and if found eligible, to bid for the hereunder project/contract: Project/Contract:   CONSTRUCTION OF COVERED CANAL AT QUEZON ST</t>
  </si>
  <si>
    <t xml:space="preserve"> Republic of the Philippines Province of Maguindanao MUNICIPALITY OF BULUAN INVITATION TO BID PROCUREMENT OF MUNICIPAL WIDE 79 CAMERAS CCTV AND FIBER OPTIC DELIVERY AND INSTALLATION (ITB No. 03-GOODS-2020) 1. The Local Government of Buluan, through the Gen</t>
  </si>
  <si>
    <t xml:space="preserve"> INVITATION TO BID Bid No. B-109-2020  1.	The Provincial Government of Negros Oriental, through Responsibility Center: 8918-063(20), intends to apply the sum of Two Million Nine Hundred Forty Thousand Pesos (Php 2,940,000.00) being the Approved Budget for </t>
  </si>
  <si>
    <t xml:space="preserve"> Section I. Invitation to Bid CONSTRUCTION OF SITIO LIFILIFIAN POTABLE WATER SYSTEM LEVEL II (SPRING DEVELOPMENT) GEPS-2020 - 0018  									      July 30 2020 The Municipal Government of Esperanza through the Department of Interior and Local Government (D</t>
  </si>
  <si>
    <t xml:space="preserve"> Negotiated Procurement No. 2020-20 (GAS) NOTICE FOR RENEGOTIATED PROCUREMENT The Department of Agriculture, Western Visayas, Iloilo City invites all suppliers/distributors to participate in the RENEGOTIATION for the Procurement of Supply &amp; Delivery of Var</t>
  </si>
  <si>
    <t xml:space="preserve"> LOT 1 14	pcs	DIGITAL DUPLICATOR 		PRINT SPEED -130 SHEETS PER MINUTES 		RESOLUTION: 300 DPIXX360DPI 		MASTER MAKING TIME: 45 SECONDS 		SCANNING METHOD: AUTOMATIC DOCUMENTS FEEDER  		PRINTING METHOD: STENCIL PRINT 		DOCUMENT TYPE: SHEET 		DOCUMENT SIZE: MA</t>
  </si>
  <si>
    <t xml:space="preserve"> Item  No.           Description		Qty.		Unit 100(1) Clearing and Grubbing- 0.0132  ha. 404(2)d Embankment From Borrow,  Granular Coarse Material – 211.15  cu.m. 105(1)a Sub-Grade Preparation, Common Material – 43.15 cu.m. 200 (1) Aggregate sub-base course </t>
  </si>
  <si>
    <t xml:space="preserve"> INVITATION TO BID 1.	The Provincial Government of Misamis Oriental, through the Bids and Awards Committee, hereby invites all interested Philgeps registered contractors to submit bids for infrastructure projects stated below. Project Title	Construction of</t>
  </si>
  <si>
    <t xml:space="preserve"> INVITATION TO BID Bid No. B-112-2020 (*REBIDDING) 1.	The Provincial Government of Negros Oriental through Responsibility Center: 8918-007(19), intends to apply the sum of Nine Hundred Ninety-Four Thousand Five Hundred Forty-Two Pesos &amp; 04/100 (Php 994,542</t>
  </si>
  <si>
    <t xml:space="preserve"> ITEM NO.   DESCRIPTION   UNIT QUANTITY SPL 1    PROJECT SIGNBOARD/BILLBOARD    LOT 1.00 SPL 2   HANDTOOLS    LOT 1.00 103   SITE WORKS EXCAVATION (GROUND LEVELING)   48.00 CU.M 200  SUB-BASE COURSE   CU.M 32.54 404  REINFORCING STEEL BARS   KGS  1,363.12 </t>
  </si>
  <si>
    <t xml:space="preserve"> INVITATION TO BID FOR  INSTALLATION OF CCTV WITH NVR&amp; MONITOR AT VARIOUS RESETTLEMENT SITES FOR PEACE AND ORDER MONITORING @ GOLDEN HORIZON SUNSHINE VILLE &amp; SOUTHVILLE 2 PHASE 3, TRECE MARTIRES CITY 1.	The City Government of Trece Martires, through the TR</t>
  </si>
  <si>
    <t xml:space="preserve"> Section I. Invitation to Bid CONSTRUCTION OF SITIO KUED POTABLE WATER SYSTEM LEVEL II (SPRING DEVELOPMENT) GEPS-2020 - 0019  									      July  30, 2020 The Municipal Government of Esperanza through the Department of Interior and Local Government (DILG)</t>
  </si>
  <si>
    <t xml:space="preserve"> INVITATION TO BID Bid No. B-113-2020 (*REBIDDING) 1.	The Provincial Government of Negros Oriental through Responsibility Center: SP Res. # 846-2018 20% DF AIP 2019, intends to apply the sum of One Million Two Hundred Sixty-Eight Thousand Five Hundred Fort</t>
  </si>
  <si>
    <t xml:space="preserve"> INVITATION TO BID Bid No. B-111-2020 1.	The Provincial Government of Negros Oriental, through Source of Fund: 1) 9998-027(20); 2) 1918-005(20), intends to apply the sum of Five Million Eight Hundred Eighty Thousand Pesos (Php 5,880,000.00) being the Appro</t>
  </si>
  <si>
    <t xml:space="preserve"> Purchase of Various Medicines for RHU</t>
  </si>
  <si>
    <t xml:space="preserve"> PLEASE REFER TO THE ATTACHMENTS</t>
  </si>
  <si>
    <t xml:space="preserve"> 1. 1 LOT - CONSTRUCTION SUPPLIES - 1,465,899.00 The Complete Schedule of Activities are Listed as Fallows: 1. Submission of Letter of Intent, August 6-11, 2020 @ 10:00a.m @ Mun. Conference Room, Mun. Hall Dangcagan, Bukidnon 2. Issuance of Bid Documents -</t>
  </si>
  <si>
    <t xml:space="preserve"> see associated components for downloadable RFQ 2020-4235)</t>
  </si>
  <si>
    <t xml:space="preserve"> INVITATION TO BID 1.	The Provincial Government of Misamis Oriental, through the Bids and Awards Committee, hereby invites all interested Philgeps registered contractors to submit bids for infrastructure projects stated below. Project Title	Proposed Constr</t>
  </si>
  <si>
    <t xml:space="preserve"> 1.	The DEPARTMENT OF EDUCATION NORTH COTABATO DIVISION, through the Government of the Philippines intends to apply the sum of ONE MILLION SIX HUNDRED FIFTY THOUSAND SIX HUNDRED EIGHTY PESOS AND 91/100 (PhP 1,650,680.91) being the Approved Budget for the C</t>
  </si>
  <si>
    <t xml:space="preserve"> Republic of the Philippines Province of Iloilo Municipality of Pavia Invitation to Bid for the Improvement of Farmer’s Information Technology Services (FITS) Center 1.	The Municipality of Pavia, Iloilo, through the General Fund 2020 intends to apply the s</t>
  </si>
  <si>
    <t xml:space="preserve"> Billboard; Clearing and Excavation; Structural Concrete (Class A); RSB (Grade 40); Grouted Riprap (Class A); Backfill; PCC Pavement (200 mm Thick); Safety &amp; Health (Construction Health and Safety Requirement); Equipment Requirement: One bagger mixer; Conc</t>
  </si>
  <si>
    <t xml:space="preserve"> Invitation to Bid Republic of the Philippines City of Olongapo -0- BIDS AND AWARDS COMMITTEE BAC Office 3rd Floor  Olongapo City Hall  Web: www.olongapocity.gov.ph INVITATION TO BID FOR  OC-76(CHD-03) 20 GD PROCUREMENT FOR THE SUPPLY AND DELIVERY OF ONE (</t>
  </si>
  <si>
    <t xml:space="preserve"> Supply and Delivery of CM for the improvement of CIS @ Tudkol, Pingkian and Improvement of CIS @ Mapayao,KNV</t>
  </si>
  <si>
    <t xml:space="preserve"> SUPPLY, DELIVERY AND INSTALLATION OF QUEUING SYSTEM WITH SOFTWARE AND CONSUMABLES - Order of payment for Bid Docs will be available at GSD-Head Office @ 10th Floor Makati City Hall Bldg. 2.  Look for Mr. Reden Villanueva. - A  complete set of Bidding Docu</t>
  </si>
  <si>
    <t xml:space="preserve"> Republic of the Philippines Province of Eastern Samar Municipality of Maydolong INVITATION TO BID FOR  Procurement of Equipment for Maydolong Water System 1.	The Municipal Government of Maydolong, Eastern Samar, through the 2020 MEO Regular Fund intends t</t>
  </si>
  <si>
    <t xml:space="preserve"> Supply and Delivery of the following Office Equipments - 4 units Heavy Duty Duplicator and 4 units Digital Copier</t>
  </si>
  <si>
    <t xml:space="preserve"> Republic of the Philippines Province of Iloilo Municipality of Pavia Invitation to Bid for the Concreting of Hedriana Street, Pavia, Iloilo 1.	The Municipality of Pavia, Iloilo, through the IRA Fund 2020 intends to apply the sum of Four Million Three Hund</t>
  </si>
  <si>
    <t xml:space="preserve"> Republic of the Philippines PROVINCE OF PAMPANGA City of San Fernando INVITATION TO BID NO. 2020-30 MEDIC-BAC INVITATION TO BID FOR PURCHASE REQUEST NO. 20-1610 The Provincial Government of Pampanga (“Province”) intends to apply the following sums from th</t>
  </si>
  <si>
    <t xml:space="preserve"> Section I. Invitation to Bid CONSTRUCTION OF PLAMANGO POTABLE WATER SYSTEM LEVEL II (SPRING DEVELOPMENT) GEPS-2020 - 0020  									      July 30, 2020 The Municipal Government of Esperanza through the Department of Interior and Local Government (DILG) – </t>
  </si>
  <si>
    <t xml:space="preserve"> Meals and Snacks for the various activities of the office of the Municipal Mayor</t>
  </si>
  <si>
    <t xml:space="preserve"> Republic of the Philippines City of Canlaon OFFICE OF THE BIDS AND AWARDS COMMITTEE Invitation to Bid for the CONSTRUCTION OF BUNTIS LOUNGE  The City Government of Canlaon City, through AIP 2020 intends to apply the sum of  Nine Hundred Seventy Eight Thou</t>
  </si>
  <si>
    <t xml:space="preserve"> The Local Government Unit of Aglipay through 20% Municipal Development Fund (MDF) CY 2020 – Improvement of Dry Market Building   intends to apply the sum of Seven Hundred Seventy Three Thousand Five Hundred Thirty Eight Pesos and 94/100 (Php 773, 538.94) </t>
  </si>
  <si>
    <t xml:space="preserve"> The Municipality of Limay, through its Bids and Awards Committee (BAC) invites registered contractors to apply for eligibility and if found eligible, to bid for the hereunder project/contract: Project/Contract:    CONSTRUCTION OF COVERED CANAL AT QUEZON S</t>
  </si>
  <si>
    <t xml:space="preserve"> Republic of the Philippines Province of Iloilo Municipality of Pavia Invitation to Bid for the Purchase of Furniture and Fixtures for Mayor’s Office and MENR Office 1.	The Municipality of Pavia, Iloilo, through the General Fund 2020 intends to apply the s</t>
  </si>
  <si>
    <t xml:space="preserve"> QTY.	UNIT	DESCRIPTION 20	box	Aluminum Magnesium Tablet 100's 6	box	Allupirinol 100mg Tablet/100's 80	box	Amoxicillin 500mg Capsule/100's 144	btl	Amoxicillin 250mg Syrup 144	btl	Amoxicillin 100mg Drops 216	btl	Ascorbic Acid 100mg/5ml Syrup, 60ml 144	btl	As</t>
  </si>
  <si>
    <t xml:space="preserve"> SUPPLY, DELIVERY AND INSTALLATION OF CUSTOMIZED STEEL CONTAINER VANS - Order of payment for Bid Docs will be available at GSD-Head Office @ 10th Floor Makati City Hall Bldg. 2.  Look for Mr. Reden Villanueva. - A  complete set of Bidding Documents will be</t>
  </si>
  <si>
    <t xml:space="preserve"> Republic of the Philippines National Kidney and Transplant Institute Bids and Awards Committee East Avenue, Quezon City 1100 981-0300 / 981-0400 local 1157 http://www.nkti.gov.ph/	 INVITATION TO BID for the ITB No. 20-070 ONE (1) LOT SUPPLY AND DELIVERY O</t>
  </si>
  <si>
    <t xml:space="preserve"> Republic of the Philippines Province of Southern Leyte Municipality of Tomas Oppus Invitation to Bid  PROCUREMENT OF MATERIALS FOR INSTALLATION OF WATER PIPE LINES 1.	The Barangay Local Government Unit, San Antonio, Tomas Oppus, Southern Leyte, through th</t>
  </si>
  <si>
    <t xml:space="preserve"> SUPPLY, DELIVERY OF VARIOUS OPTHALMIC SURGERY MEDICAL EQUIPMENT (5 LOTS) LOT 1: SUPPLY AND DELIVERY OF SPECULAR MICROSCOPE LOT 2: SUPPLY AND DELIVERY OF PHOROPTERS LOT 3: SUPPLY AND DELIVERY OF BIOM FOR OPERATING MICROSCOPE LOT 4: SUPPLY AND DELIVERY OF V</t>
  </si>
  <si>
    <t xml:space="preserve"> INVITATION TO BID   PROPOSED 100MM X 394 LM. DI PIPELINE EXPANSION AT SITIO LUTAW-LUTAW, BRGY. TISA, CEBU CITY, CEBU PR No. 27583-001   1.	The Metropolitan Cebu Water District (MCWD), through the Corporate Budget for the contract approved by the governin</t>
  </si>
  <si>
    <t xml:space="preserve"> The project aims to have a smoothly and efficiently operational Sangguniang Kabataan Office thru Procurement of  Office and Janitorial Supplies, Materials and Equipment</t>
  </si>
  <si>
    <t xml:space="preserve"> Section I. Invitation to Bid CONSTRUCTION OF SAGASA – GAWAD KALINGA  POTABLE WATER SYSTEM LEVEL II (DEEP WELL) GEPS-2020 - 0021  									      July 30, 2020 The Municipal Government of Esperanza through the Department of Interior and Local Government (DI</t>
  </si>
  <si>
    <t xml:space="preserve"> SUPPLY AND DELIVERY OF VARIOUS LABORATORY SUPPLIES (3 LOTS) LOT 1: SUPPLY AND DELIVERY OF LABORATORY SUPPLIES (HEPARINIZED SYRINGE FOR ARTERIAL BLOOD GASES (ABG) – QUALITY CONTROL FOR CARTRIDGE-TYPE ABG ANALYZER) LOT 2: SUPPLY AND DELIVERY OF LABORATORY S</t>
  </si>
  <si>
    <t xml:space="preserve"> Supply and Delivery of CM for the construction of Hanging Bridge Phase I @ Nansipokan, Cabayo NV</t>
  </si>
  <si>
    <t xml:space="preserve"> Billboard; construction of Bleacher: Structure Excavation; Reinforcing Steel; Structural Concrete; Construction of Reinforced Concrete Canal: Reinforcing Steel Bars; Structural Concrete; Structure Excavation; Steel Gating; Construction of Reinforced Concr</t>
  </si>
  <si>
    <t xml:space="preserve"> INVITATION TO BID Bid No. B-108-2020  1.	The Provincial Government of Negros Oriental through Responsibility Center: 8918-053(12) SP Res. No. 858-2011 (20% EDF AIP 2012), intends to apply the sum of One Million Twenty Thousand Eight Hundred Twenty Pesos &amp;</t>
  </si>
  <si>
    <t xml:space="preserve"> SUPPLY AND DELIVERY OF VARIOUS LABORATORY EQUIPMENT (2 LOTS) LOT 1: SUPPLY AND DELIVERY OF DUCTLESS FUME HOOD LOT 2: SUPPLY AND DELIVERY OF LABORATORY CENTRIFUGE - Order of payment for Bid Docs will be available at GSD-Head Office @ 10th Floor Makati City</t>
  </si>
  <si>
    <t xml:space="preserve"> Republic of the Philippines Province of Iloilo Municipality of Pavia Invitation to Bid for the Improvement of School at Ungka II Elementary School (Improvement of Grade VI Room and Construction of Study Area) Fund 2020 intends to apply the sum of Two Hund</t>
  </si>
  <si>
    <t xml:space="preserve"> Republic of the Philippines MUNICIPALITY OF QUEZON Province of Quezon INVITATION TO BID Date	: August 3, 2020 The Municipality of Quezon, through its Bids and Awards Committee (BAC), invites supplier/manufactures/distributors/contractors to apply for elig</t>
  </si>
  <si>
    <t xml:space="preserve"> INVITATION TO BID IB NO.  068 – 2020/MJS SUPPLY AND DELIVERY OF 23 UNITS CORN MILL 1.	The Department of Agriculture – Regional Field Office 10, through  Corn &amp; SAAD Program Funds CY 2020 intends to apply the sum of Nine Million Two Hundred Thousand Pesos </t>
  </si>
  <si>
    <t xml:space="preserve"> Republic of the Philippines Province of Iloilo Municipality of Pavia Invitation to Bid for the Installation of Street Lighting System at KABSAKA Road, Pavia, Iloilo 1.	The Municipality of Pavia, Iloilo, through the IRA Fund 2020 intends to apply the sum o</t>
  </si>
  <si>
    <t xml:space="preserve"> Barangay Road Opening from Barangay Site Saoquigue to Diversion Road, Saoquigue, Baganga, Davao Oriental</t>
  </si>
  <si>
    <t xml:space="preserve"> Supply and Delivery of 13 sets gongs (4 pcs per set)</t>
  </si>
  <si>
    <t xml:space="preserve"> Construction of 1 unit Multi-Purpose Pavement (.10 x 17 x 28M) Sitio Obian 2, Brgy. San Victor, Baganga, Davao Oriental</t>
  </si>
  <si>
    <t xml:space="preserve"> SUPPLY AND DELIVERY OF MEALS FOR VARIOUS ACTIVITIES OF MAKATI CITY POLICE AND PLEB - Order of payment for Bid Docs will be available at GSD-Head Office @ 10th Floor Makati City Hall Bldg. 2.  Look for Mr. Reden Villanueva. - A  complete set of Bidding Doc</t>
  </si>
  <si>
    <t xml:space="preserve"> Airconditioning</t>
  </si>
  <si>
    <t xml:space="preserve"> 1. The [Local Government Unit of Inopacan, Leyte], through the [Approved 2020 General Fund Annual Budget under the 20% Development Fund as per Appropriation Ordinance No. 20-01 by the 14th Sangguniang Bayan of Inopacan, Leyte] intends to apply the sum of </t>
  </si>
  <si>
    <t xml:space="preserve"> Republic of the Philippines Department of Public Works and Highways Pampanga 3rd District Engineering Office San Francisco Street, Brgy. Pampang, Angeles City Region III Telephone Nos. (045) 323-5782 / 887-5249 INVITATION TO BID CONTRACT ID NO. – 20GCI000</t>
  </si>
  <si>
    <t xml:space="preserve"> INVITATION TO BID The Municipal Government of San Francisco, through the Acquisition of Rescue Equipment Vehicle program of the Municipal Disaster Risk Reduction and Management Fund of CY 2020 intends to apply the sum of Php 2,000,000.00, being the Approv</t>
  </si>
  <si>
    <t xml:space="preserve"> Republic of the Philippines Province of Iloilo Municipality of Pavia Invitation to Bid for the Installation of Air Conditioners including Labor at 24/7 Operations Center and MENR Office 1.	The Municipality of Pavia, Iloilo, through the General Fund 2020 i</t>
  </si>
  <si>
    <t xml:space="preserve"> Construction of PDAO Office Extension Building at Municipal Complex, Baganga, Davao Oriental.</t>
  </si>
  <si>
    <t xml:space="preserve"> Procurement of licenses, Network Access Control (NAC) appliance inclusive of 1,200 device license scalable (up to 5,000 devices) with implementation, support and trainings for the enhancement of OP Network Access Control. To view Bidding Documents please </t>
  </si>
  <si>
    <t xml:space="preserve"> Republic of the Philippines OFFICE OF THE PUNONG BARANGAY 	Barangay SAN NICOLAS	 	Municipality of Tudela	 Province of Misamis Occidental INVITATION TO BID The Office of the Punong Barangay of Barangay San Nicolas through its Bids and Awards Committee [BAC</t>
  </si>
  <si>
    <t xml:space="preserve"> INVITATION TO BID The Municipal Government of San Narciso, Quezon through its Bids and Award Committee (BAC), invites registered suppliers with DTI, Mayor’s Permit and PhilGEPS, if found eligible, to bid or the hereunder contract: Name of Contract : 	Repa</t>
  </si>
  <si>
    <t xml:space="preserve"> CONSTRUCTION OF VIRGIN COCONUT OIL PROCESSING PLANT - BRGY. MALAYA Brgy. Malaya, Labo, Cams. Norte</t>
  </si>
  <si>
    <t xml:space="preserve"> INVITATION TO BID   PROPOSED PIPELINE REHABILITATION PROJECT FOR GARDEN BLOOM ACRES SUBDIVISION, BRGY. PITOGO, CONSOLACION, CEBU PR No. 27613-001   1.	The Metropolitan Cebu Water District (MCWD), through the Corporate Budget for the contract approved by t</t>
  </si>
  <si>
    <t xml:space="preserve"> Supply and Delivery of CM for the Improvement of Padang, Acacia -Mapayao Road</t>
  </si>
  <si>
    <t xml:space="preserve"> Invitation to Bid for the Site Dev./Construction/Rehab of Materials Recovery Facility (MRF) The Municipality of San Francisco, Surigao del Norte, through the 20% Development Fund of CY 2020 intends to apply the sum of One Million Four Hundred Fifty Thousa</t>
  </si>
  <si>
    <t xml:space="preserve"> Spcl 1 - 1.00 pc Standard Project Billboard 100.00- 17.00 sq. m Clearing and Grubbing 101.00- 4.08 sq. m Removal of Structures and Obstructions 102.00- 35.60 Cu. m Excavation 104     - 1.70 cu.m Embankment 200.00 - 1.70 cu. m Aggregate Sub-base Course 201</t>
  </si>
  <si>
    <t xml:space="preserve"> Republic of the Philippines Province of Iloilo Municipality of Pavia Invitation to Bid for the Installation of Street Lighting System at Cabugao-Tigum Road, Pavia, Iloilo 1.	The Municipality of Pavia, Iloilo, through the IRA Fund 2020 intends to apply the</t>
  </si>
  <si>
    <t xml:space="preserve"> SUPPLY AND DELIVERY OF BRAND NEW TRACTOR TRUCK WITH LOW BED SEMI-TRAILER - Order of payment for Bid Docs will be available at GSD-Head Office @ 10th Floor Makati City Hall Bldg. 2.  Look for Mr. Reden Villanueva. - A  complete set of Bidding Documents wil</t>
  </si>
  <si>
    <t xml:space="preserve"> Procurement of One (1) unit Brand New 4X2, 6-wheeler Cab for the Use of the Assets Management Office. To view Bidding Documents please copy this link on your browser: https://drive.google.com/file/d/1cDQo0TPrclBSM9Bd4TO5oDJECYPSsl1O/view?usp=sharing -----</t>
  </si>
  <si>
    <t xml:space="preserve"> Republic of the Philippines Province of Iloilo Municipality of Pavia Invitation to Bid for the Purchase of one (1) unit Brand New Garbage Truck Compactor 1.	The Municipality of Pavia, Iloilo, through the IRA Fund 2020 intends to apply the sum of Seven Mil</t>
  </si>
  <si>
    <t xml:space="preserve"> INVITATION TO BID 1.	Provincial Government of Misamis Oriental, intends to apply the sum stated below being the Approved Budget for the Contract (ABC) to payments under the contract: for the supply and Delivery of Goods. Bids received in excess of the ABC</t>
  </si>
  <si>
    <t xml:space="preserve"> INVITATION TO BID IB NO. 2020 - 070/ AGMR SUPPLY AND DELIVERY OF 97,0000 PCS. CACAO CERTIFIED SEEDLINGS 		 1.	The Department of Agriculture, Regional Field Office-10, through the  High Value Crops Development Program (HVCDP) Funds CY 2020 intends to apply</t>
  </si>
  <si>
    <t xml:space="preserve"> VARIOUS BED NETS AND CHEMICAL PRODUCTS FOR THE DENGUE PREVENTION AND MANAGEMENT PROGRAM</t>
  </si>
  <si>
    <t xml:space="preserve"> Republic of the Philippines Province of Iloilo Municipality of Pavia Invitation to Bid for the Purchase of I.T. Equipment for Various Offices of the municipality (Mayor Gerardo Gorriceta Sr. Memorial School, Municipal Treasurer’s Office, Mayor’s Office-MI</t>
  </si>
  <si>
    <t xml:space="preserve"> Republic of the Philippines Province of Iloilo Municipality of Pavia Invitation to Bid for the Purchase of Two (2) units Brand New Motorcycles for Pavia Bureau of Fire Protection 1.	The Municipality of Pavia, Iloilo, through the General Fund 2019 intends </t>
  </si>
  <si>
    <t xml:space="preserve"> Republic of the Philippines Province of Iloilo Municipality of Pavia Invitation to Bid for the Repair, Improvement and Maintenance of School at Pavia National High School (Repair of Gymnasium) 1.	The Municipality of Pavia, Iloilo, through the Special Educ</t>
  </si>
  <si>
    <t xml:space="preserve"> Republic of the Philippines Province of Iloilo Municipality of Pavia Invitation to Bid for the Renovation/Upgrading of Amparo Barangay Health Station at Barangay Amparo, Pavia, Iloilo 1.	The Municipality of Pavia, Iloilo, through the Trust Fund-DOH intend</t>
  </si>
  <si>
    <t xml:space="preserve"> SUPPLY AND DELIVERY OF VARIOUS DIETARY AND OTHER SUPPLIES THROUGH ORDERING AGREEMENT - Order of payment for Bid Docs will be available at GSD-Head Office @ 10th Floor Makati City Hall Bldg. 2.  Look for Mr. Reden Villanueva. - A  complete set of Bidding D</t>
  </si>
  <si>
    <t xml:space="preserve"> Glass Pulverizer for Waste Recycling in Ecological  Solid Waste Management Program</t>
  </si>
  <si>
    <t xml:space="preserve"> Republic of the Philippines                                           Province of Leyte     MUNICIPALITY OF ALBUERA       OFFICE OF THE BIDS AND AWARDS COMMITTEE INVITATION TO BID 	The Local Government Unit of Albuera, Leyte through its Bids and Awards Co</t>
  </si>
  <si>
    <t xml:space="preserve"> PROVISION FOR THE EXTENSION OF RTC BRANCH 64 OFFICE BUILDING RTC Branch 64 Office Building, Labo, Cams. Norte</t>
  </si>
  <si>
    <t xml:space="preserve"> Republic of the Philippines Province of Iloilo Municipality of Pavia Invitation to Bid for the Improvement of Anilao and Jibao-an Child Development Centers (Walling of Material Recovery Facility at Anilao CDC and Concreting of Additional Comfort Room at J</t>
  </si>
  <si>
    <t xml:space="preserve"> VARIOUS OFFICE FURNITURES --- PHP 628,050.00</t>
  </si>
  <si>
    <t xml:space="preserve"> SUPPLY AND DELIVERY OF CT TRIPAK INJECTORS THROUGH ORDERING AGREEMENT - Order of payment for Bid Docs will be available at GSD-Head Office @ 10th Floor Makati City Hall Bldg. 2.  Look for Mr. Reden Villanueva. - A  complete set of Bidding Documents will b</t>
  </si>
  <si>
    <t xml:space="preserve"> CONCRETING OF FMR-BRGY. BAKIAD Brgy. Bakiad, Labo, Cams. Norte</t>
  </si>
  <si>
    <t xml:space="preserve"> Republic of the Philippines Province of Iloilo Municipality of Pavia Invitation to Bid for the Purchase of Audio Visual System  for Various Child Development Centers of the municipality 1.	The Municipality of Pavia, Iloilo, through the Trust Fund 2019 int</t>
  </si>
  <si>
    <t xml:space="preserve"> 40 PIECES WHEELCHAIRS --- PHP 192,000.00</t>
  </si>
  <si>
    <t xml:space="preserve"> 1.	300		pcs.		Plastic Envelope 	 2.	900		pcs.		Notebook (Assorted)	 3.	200		pcs.		Mongol Pencil	 4.	200		pcs.		Ballpen (Assorted)	 5.	200		pcs.		Pad Paper (Assorted)	 6.	100		pcs.		Intermediate Pad Paper 	 7.	300		pcs.		Sharpener	 8.	100		pcs.		Jumbo Penc</t>
  </si>
  <si>
    <t xml:space="preserve"> Republic of the Philippines Province of Iloilo Municipality of Pavia Invitation to Bid for the Fabrication of Furniture and Fixtures  for Various Child Development Centers of the municipality 1.	The Municipality of Pavia, Iloilo, through the Trust Fund 20</t>
  </si>
  <si>
    <t xml:space="preserve"> Smart prepaid cards, 300s - 519 pcs Talk n Text prepaid cards, 300s - 93 pcs Globe prepaid cards, 300s - 43pcs TM prepaid cards, 300s - 34pcs</t>
  </si>
  <si>
    <t xml:space="preserve"> Section I. Invitation to Bid FOR THE UPLB-RES-038-08-20  SUPPLY AND DELIVERY OF BRANDED AND BRAND NEW VEHICLES FOR CEAT-AMTEC (3) 1.	The UNIVERSITY OF THE PHILIPPINES LOS BAÑOS (UPLB), through the GOP (LB03050001-C0002301; N824932) intends to apply the su</t>
  </si>
  <si>
    <t xml:space="preserve"> To provide catering services for the conduct of Training of Trainers on the NTP Manual of Procedure, 6th Edition August 25-28, 2020 in General Santos City.</t>
  </si>
  <si>
    <t xml:space="preserve"> 25 UNITS MIST BLOWERS FOR DISINFECTION AND DECONTAMINATION OF PUBLIC FACILITIES --- PHP 875,000.00</t>
  </si>
  <si>
    <t xml:space="preserve"> Civil work that include concrete work</t>
  </si>
  <si>
    <t xml:space="preserve"> Repair of the Building of SK Hall</t>
  </si>
  <si>
    <t xml:space="preserve"> Invitation to Bid for the Supply and Delivery of UPVC Pipes. Refer to Section VI and Section VII of the Bidding Documents for the Schedule of Requirements and Technical Specification of UPVC Pipes. All pipes must be delivered to the Project Site located a</t>
  </si>
  <si>
    <t xml:space="preserve"> Medicines and Medical Supplies for Awuyon Community Hospital use.</t>
  </si>
  <si>
    <t xml:space="preserve"> Republic of the Philippines Province of Iloilo Municipality of Pavia Invitation to Bid for the Catering Services for Various Activities of the Sangguniang Bayan Office 1.	The Municipality of Pavia, Iloilo, through the General Fund 2020 intends to apply th</t>
  </si>
  <si>
    <t xml:space="preserve"> Republic of the Philippines Province of Iloilo Municipality of Pavia Invitation to Bid for the Installation of Street Lighting System at Anilao-Pagsanga-an Road, Pavia, Iloilo 1.	The Municipality of Pavia, Iloilo, through the IRA Fund 2020 intends to appl</t>
  </si>
  <si>
    <t xml:space="preserve"> INVITATION TO BID IB NO. 2020 – 069/ JJL SUPPLY AND DELIVERY OF HYBRID CORN SEEDS (Yellow) GMO 		 1.	Department of Agriculture, Regional Field Office-10, through the Corn Program Funds CY 2020 intends to apply the sum of One Million One Hundred Ninety Two</t>
  </si>
  <si>
    <t xml:space="preserve"> INSTALLATION OF STREETLIGHTS AT POBLACION BARANGAY Poblacion, Labo, Cams. Norte</t>
  </si>
  <si>
    <t xml:space="preserve"> 1. 74 bags Portland Cement 2. 186.55 kgs. 35-12mm @6mm RSB 3. 4 kls. #16 Tie wire 4. 6 pcs. 1/2 THK ord. plywood 5. 10 Kls. Asstd. CWNails 6. 500 pcs. 4" CHB 7. 298.5 kls. 56 pcs.-12mm diax6mm 8. 4 kls. #16 GI Tie wire</t>
  </si>
  <si>
    <t xml:space="preserve"> Insecticide, aerosol type, net content:600ml min	1	BOT Air Freshener, aerosol, 280ml/150g min	1	CAN Alcohol, ethyl, 68%-70%, scented, 500ml, (-ml)	80	BOT Battery, dry cell, AA, 2 pieces per blister pack	70	PAIR Battery, dry cell, AAA, 2 pieces per blister</t>
  </si>
  <si>
    <t xml:space="preserve"> ITEM NO.	Unit of issue	ITEM &amp;DESCRIPTION	Brand &amp; Model	QTY.	 1	set	Bartending set (cocktail shaker, filter, measuring cup, broken pops, bar spoon, ice clip, pouring machine, ice bucket, back mouth, wine bottle opener)		1	 		Specification 			 		Metal type:</t>
  </si>
  <si>
    <t xml:space="preserve"> Barangay Road Opening at Ikog Buaya, Sitio Nonocan, Brgy. Dapnan Phase II, Baganga, Davao Oriental</t>
  </si>
  <si>
    <t xml:space="preserve"> 899       paxs       meals        150.00       134,850.00 600       paxs       snacks        30.00         18,000.00                                                     Total: 152,850.00</t>
  </si>
  <si>
    <t xml:space="preserve"> Republic of the Philippines Province of Leyte Municipality of Albuera Barangay Cambalading, Albuera,Leyte OFFICE OF THE BIDS AND AWARDS COMMITTEE INVITATION TO BID 	The Barangay Cambalading of Albuera, Leyte through its Bids and Awards Committee invites i</t>
  </si>
  <si>
    <t xml:space="preserve"> Section I. Invitation to Bid Republic of the Philippines Province of Misamis Oriental  Municipality of Salay Barangay YUngod  INVITATION TO BID FOR Procurement of materials for Rehabilitation of Waterworks System 1.	The Local Government Unit of Barangay Y</t>
  </si>
  <si>
    <t xml:space="preserve"> Clearing &amp; Grubbing; Excavation; PCCP; Railings;’ Hauling; Project Billboard;   Safety &amp; Health (Construction Health and Safety Requirement);  Equipment Requirement: one Bagger Mixer; Concrete Vibrator; Water Truck;(3 cu.m.); Welding Machine; bar cutter; </t>
  </si>
  <si>
    <t xml:space="preserve"> Item  No.           Description		Qty.		Unit 1002 Plumbing Works – 1.00 Is. 1003(1) b Ceiling – 148.00 sq.m. 1008 Aluminum glass Windows – 14.60 sq.m 1010(2)a Doors, Flush - 8.19 sq.m. 1018 Ceramic/Granite tiles - 119.00 sq.m. 1027(1) Cement plaster finish</t>
  </si>
  <si>
    <t xml:space="preserve"> Construction of Footpath at Shontog to Botidao Payew (Phase II) Site Preparation Works Concrete Works Construction of footpath at Taytay Site Preparation Works Concrete Works Construction of Tirepath at Ejen Roadside, Alno Signs Subgrade Preparation Concr</t>
  </si>
  <si>
    <t xml:space="preserve"> Republic of the Philippines Province of Iloilo Municipality of Pavia Invitation to Bid for the Repair and Maintenance of Various Barangay Roads (Regraveling of Barangay Cabugao Norte, Sitio Red Fox, Barangay Cabugao Sur and Railway, Barangay Purok II, Pav</t>
  </si>
  <si>
    <t xml:space="preserve"> UNIT	  DESCRIPTION		QUANTITY	 	WIDTH OF ROAD - 4m		LENGTH OF SHOULDER PER SIDE - 1.5m	 	THICKNESS OF ROAD - 0.2m		THICKNESS OF BASE COARSE - 0.15m	 	LENGTH OF ROAD - 300m		THICKNESS OF SUB-BASE COARSE - 0.15m	 			SUBGRADE PREPARATION - 8.4m 	 105	Subgrade</t>
  </si>
  <si>
    <t xml:space="preserve"> INVITATION TO BID Bid No. B-110-2020 1.	The Provincial Government of Negros Oriental, through Source of Fund: 1) 8918-059(20); 2) 8918-060(2), intends to apply the sum of Seven Million Eight Hundred Sixty-Three Thousand Pesos (Php 7,863,000.00) being the </t>
  </si>
  <si>
    <t xml:space="preserve"> Implementation of COB Project</t>
  </si>
  <si>
    <t xml:space="preserve"> CONSTRUCTION OF SCHOOL BUILDING CUM EVACUATION CENTER-NAPAOD ELEMENTARY SCHOOL Napaod Elementary School, Labo, Cams. Norte</t>
  </si>
  <si>
    <t xml:space="preserve"> Portable Cardiac Monitor to be use by MDRRM Office</t>
  </si>
  <si>
    <t xml:space="preserve"> Section I. Invitation to Bid FOR THE UPLB-RES-035-08-20 PROCUREMENT OF DIAGNOSTIC AND LABORATORY SERVICES FOR BIOTECH AND IAS 1.	The UNIVERSITY OF THE PHILIPPINES LOS BAÑOS (UPLB), through the GOP (LB03023001-C0002489: N827147; LB04003001-C0002100: N82222</t>
  </si>
  <si>
    <t xml:space="preserve"> Republic of the Philippines Province of Eastern Samar City of Borongan .-0- BIDS AND AWARDS COMMITTEE ------------------------------------------------------------------------------------------ Invitation to Bid for STRENGTHENING OF HANGING FOOTBRIDGE AT B</t>
  </si>
  <si>
    <t xml:space="preserve"> Republic of the Philippines Province of Bohol MUNICIPALITY OF SAN MIGUEL Invitation to Bid for Expansion of Water System   1.	The Local Government Unit of San Miguel, Bohol through the DILG-SALINTUBIG 2019 intends to apply the sum of Fifteen Million Pesos</t>
  </si>
  <si>
    <t xml:space="preserve"> Invitation to Bid for the Exploratory Deepwell Drilling, Installation of Electro-Mechanical Equipment and Power Supply, Construction of Pump House and Fence and Pipelaying of 100mm u.P.V.C. Transmission Pipelines in Barangay Lipay, Villasis, Pangasinan 1.</t>
  </si>
  <si>
    <t xml:space="preserve"> Invitation to Bid   Procurement of WORKS:  Restoration and Upgrading of Teachers’ Hall - Phase 1 1.	The Department of Education Regional Office No.2, through the NEAP-R Funds   intends to apply the sum of One Million One Hundred Ninety – Nine Thousand Fiv</t>
  </si>
  <si>
    <t xml:space="preserve"> Republic of the Philippines Province of Oriental Mindoro  MUNICIPALITY OF NAUJAN BIDS AND AWARDS COMMITTEE INVITATION TO BID SUPPLY AND DELIVERY OF ONE (1) UNIT GENERATOR SET TO BE USED IN THE EVACUATION CENTER AT NAUJAN SPORTS COMPLEX, NAUJAN, ORIENTAL M</t>
  </si>
  <si>
    <t xml:space="preserve"> Republic of the Philippines Province of Eastern Samar Municipality of Maydolong INVITATION TO BID FOR  Procurement of Engineering Office Equipment 1.	The Municipal Government of Maydolong, Eastern Samar, through the 2020 MEO Regular Fund intends to apply </t>
  </si>
  <si>
    <t xml:space="preserve"> For training</t>
  </si>
  <si>
    <t xml:space="preserve"> various hemodialysis  supplies</t>
  </si>
  <si>
    <t xml:space="preserve"> 1.	The Provincial Government of Antique, through the 20% IRA-CY 2020 (Social Development Sector) intends to apply the sum One Million Four Hundred Fifty Eight Thousand Nine Hundred Eighty Seven Pesos &amp; 49/100 (Php 1, 458, 987.49) being the Approved Budget</t>
  </si>
  <si>
    <t xml:space="preserve"> NOTICE IS HEREBY GIVEN that the National Food Authority, Regional Office, Legazpi City, thru its Regional Procurement Committee (RPC), intends to apply the sum of PESOS: ONE HUNDRED TWENTY NINE THOUSAND FIVE HUNDRED (Php 129,500.00) being the Approved Bud</t>
  </si>
  <si>
    <t xml:space="preserve"> 1.             The Local Government Unit of Pasil,  through the General Fund 2019 Savings  intends to apply the sum of One Hundred Fifty Thousand Pesos Only (P150,000.00) being the Approved Budget for the Contract (ABC) to payments under the contract for </t>
  </si>
  <si>
    <t xml:space="preserve"> Materials &amp; Labor</t>
  </si>
  <si>
    <t xml:space="preserve"> 1.	The Provincial Government of Antique, through the 20% IRA-CY 2020 (Economic Development Sector) intends to apply the sum One Million Nine Hundred Seventy Five Thousand Two Hundred Sixty Eight Pesos (Php 1, 975, 268.00) being the Approved Budget for the</t>
  </si>
  <si>
    <t xml:space="preserve"> 1,300 pcs TUPAD Long Sleeves (Green) 13,000 pcs Disposable Face Masks x x x x x x x x x x x x x x x</t>
  </si>
  <si>
    <t xml:space="preserve"> INVITATION TO BID The Iligan City Government Bids and Awards Committee (BAC), through  2016 GENERAL FUND-Proper intends to apply the sum of  P 3,300,000.00 being the Approved Budget for the Contract (ABC) to payments under the Contract for Supply and Deli</t>
  </si>
  <si>
    <t xml:space="preserve"> Section I. Invitation to Bid FOR THE UPLB-RES-036-08-20  SUPPLY AND DELIVERY OF BRANDED AND BRAND NEW LABORATORY AND SCIENTIFIC EQUIPMENT FOR BIOTECH AND IFST 1.	The UNIVERSITY OF THE PHILIPPINES LOS BAÑOS (UPLB), through the GOP (LB03023001-C0002356: N82</t>
  </si>
  <si>
    <t xml:space="preserve"> Republic of the Philippines Province of Bohol Municipality of San Miguel INVITATION TO BID FOR  SUPPLY AND DELIVERY OF OFFICE SUPPLIES  1.	The Local Government Unit of San Miguel, Bohol, through the MOOE, 1% PC AND 1% SC intends to apply the sum of One Hu</t>
  </si>
  <si>
    <t xml:space="preserve"> Invitation to Bid for the PIPELAYING OF 100MM PARALLEL PIPELINES IN BACAG WEST-HIGHWAY in Barangay Bacag West, Villasis, Pangasinan 1.	The VILLASIS WATER DISTRICT, through the 2020 CORPORATE BUDGET APPROVED BY THE GOVERNING BOARDS intends to apply the sum</t>
  </si>
  <si>
    <t xml:space="preserve"> Republic of the Philippines Province of Bohol Municipality of San Miguel INVITATION TO BID FOR  SUPPLY AND DELIVERY OF NON-PERISHABLE GOODS  1.	The Local Government Unit of San Miguel, Bohol, through the 1091-AUGMENT intends to apply the sum of One Hundre</t>
  </si>
  <si>
    <t xml:space="preserve"> 1.	The Provincial Government of Antique, through the 20% IRA-CY 2020 (Economic Development Sector) intends to apply the sum One Million Nine Hundred Forty Seven Thousand One Hundred Two Pesos &amp; 54/100 (Php 1, 947, 102.54) being the Approved Budget for the</t>
  </si>
  <si>
    <t xml:space="preserve"> The Department of Agriculture-RFO 3, invites interested suppliers/ bidders to submit bid proposal(s) for the hereunder requirement, to wit: 6,250 SACHETS	 PLANT GROWTH ENHANCER (FOLIAR FERTILIZER)	 Specification: - 100 grams / sachet - 14-16% N - 0.25-0.7</t>
  </si>
  <si>
    <t xml:space="preserve"> 1.	The Provincial Government of Antique, through the 20% IRA-CY 2020 (Economic Development Sector) intends to apply the sum One Million Nine Hundred Forty Eight Thousand Four Hundred Fifty Four Pesos &amp; 28/100 (Php 1, 948, 454.28) being the Approved Budget</t>
  </si>
  <si>
    <t xml:space="preserve"> Republic of the Philippines Province of Oriental Mindoro  MUNICIPALITY OF NAUJAN BIDS AND AWARDS COMMITTEE INVITATION TO BID SUPPLY AND DELIVERY OF ONE (1) UNIT BRAND NEW TEN WHEELER DUMP TRUCK TO BE USED IN THE REHABILITATION AND REPAIR OF DAMAGED ROADS,</t>
  </si>
  <si>
    <t xml:space="preserve"> 1.	The Provincial Government of Antique, through the 20% IRA-CY 2020 (Social Development Sector) intends to apply the sum One Million Nine Hundred Sixty Eight Thousand Six Hundred Seventy Four Pesos &amp; 22/100 (Php 1, 968, 674.22) being the Approved Budget </t>
  </si>
  <si>
    <t xml:space="preserve"> 1.	The Provincial Government of Antique, through the 20% IRA-CY 2020 (Economic Development Sector) intends to apply the sum One Million Four Hundred Fifty Seven Thousand Seven Hundred Thirty Four Pesos &amp; 53/100 (Php 1, 457, 734.53) being the Approved Budg</t>
  </si>
  <si>
    <t xml:space="preserve"> 1,306 pcs TUPAD Long Sleeves (Green) 13,060 pcs Disposable Face Masks x x x x x x x x x x x x</t>
  </si>
  <si>
    <t xml:space="preserve"> Republic of the Philippines Province of Bohol Municipality of San Miguel INVITATION TO BID FOR  SUPPLY AND DELIVERY OF HOSPITAL LABORATORY AND CSR SUPPLIES  1.	The Local Government Unit of San Miguel, Bohol, through the 4421 intends to apply the sum of Tw</t>
  </si>
  <si>
    <t xml:space="preserve"> QTY.	UNIT	DESCRIPTION 95	units	Branded Laptop 		Windows 10 OS 		1.6 Ghz Based Processor, Turbo Speed 		14in 1920x1080 FHD Display 		8GB RAM 		512GB HDD 		Nvidia GeForce w/ 2GB VRAM Graphic Adaptor 		802.11ac, Ethernet Port 		USB 3.0/2.0 Ports 		HDMI 		3.5</t>
  </si>
  <si>
    <t xml:space="preserve"> REPUBLIC OF THE PHILIPPINES BARANGAY KIMBA KIMBA, LAZI, SIQUIJOR INVITATION TO BID 1.	The Barangay Kimba, Lazi, Siquijor, through the authorized appropriations under the 20% Development Fund CY 2020, intends to apply the sum of Two Hundred Twenty Thousand</t>
  </si>
  <si>
    <t xml:space="preserve"> Republic of the Philippines Province of Bohol Municipality of San Miguel INVITATION TO BID FOR  SUPPLY AND DELIVERY OF ICT EQUIPMENT AND SUPPLIES  1.	The Local Government Unit of San Miguel, Bohol, through the 7611 &amp; MOOE intends to apply the sum of One H</t>
  </si>
  <si>
    <t xml:space="preserve"> Republic of the Philippines Province of Sarangani Municipality of Alabel oooOooo INVITATION TO BID FOR PROCUREMENT OF ONE (1) UNIT RESCUE VEHICLE 2.2 L 4x4 Manual Transmission 1.The Municipality of Alabel, through the Disaster Response &amp; Rescue Equipment </t>
  </si>
  <si>
    <t xml:space="preserve"> The Department of Agriculture-RFO 3, invites interested suppliers/ bidders to submit bid proposal(s) for the hereunder requirement, to wit: Hybrid Rice Seeds @ 15 kgs/bag 2,782 bags  NSIC Rc540H	 2,782 bags  NSIC Rc132H	 2,782 bags  SL-12H	 Specification </t>
  </si>
  <si>
    <t xml:space="preserve"> Construction of Concrete Road (200mm thk), 0+000 -0+850, L=0.850 km or 1.700 Lkm</t>
  </si>
  <si>
    <t xml:space="preserve"> INVITATION TO BID FOR THE SUPPLY OF LABOR AND MATERIALS FOR  SITE DEVELOPMENT OF DENR RIV-A REGIONAL OFFICE 1.	The Department of Environment and Natural Resources CALABARZON Region, intends to apply the sum of Three Million Six Hundred Thousand Pesos (PhP</t>
  </si>
  <si>
    <t xml:space="preserve"> INVITATION TO BID (National Competitive Bidding) The BFAR XIII, through its Bids and Awards Committee (BAC), invites eligible suppliers to bid for the hereunder contracts: Project Title: Materials, Labor and Installation of HDPE Cage Approved Budget of th</t>
  </si>
  <si>
    <t xml:space="preserve"> Construction of Multi-Purpose Hall at Brgy. Kinablangan, Baganga, Davao Oriental</t>
  </si>
  <si>
    <t xml:space="preserve"> Invitation to Bid for the CONSTRUCTION &amp; IMPROVEMENT OF BRGY. HEALTH CENTER, CONSTRUCTION &amp; REHABILITATION OF MULTI-PURPOSE HALL AND CONSTRUCTION OF 92 ln.m. CONCRETE PAVEMENT (92 Ln.m X 4m X 200mm thk. With 150mm Base course) @ BRGY. MARUBAY, LAOANG N. S</t>
  </si>
  <si>
    <t xml:space="preserve"> REQUEST FOR EXPRESSION OF INTEREST FOR THE CONSULTING SERVICES FOR THE UPDATING OF THE SOCIAL AND ENVIRONMENTAL MANAGEMENT SYSTEM (SEMS) MANUAL  1.	The Department of Public Works and Highways (DPWH), through the GAA of Fiscal Year 2020, intends to apply t</t>
  </si>
  <si>
    <t xml:space="preserve"> Republic of the Philippines Department of Environment and Natural Resources    ENVIRONMENTAL MANAGEMENT BUREAU Region VI, Western Visayas                                                                                    INVITATION FOR NEGOTIATED PROCUREM</t>
  </si>
  <si>
    <t xml:space="preserve"> Invitation to Bid   Procurement of WORKS:  Construction of 3-Phase Power Distribution Line and Installation Electrical System in the NEAP ELC Building  1.	The Department of Education Regional Office No.2, through the NEAP-R Funds   intends to apply the su</t>
  </si>
  <si>
    <t xml:space="preserve"> I. DEMOLITION OF EXISTING STRUCTURE II. RCPC incl. Catch Basin III. SUBBASE AND PCCP</t>
  </si>
  <si>
    <t xml:space="preserve"> INVITATION TO BID (National Competitive Bidding) The BFAR XIII, through its Bids and Awards Committee (BAC), invites eligible suppliers to bid for the hereunder contracts: Project Title: Supply and Delivery of Fishing Gears and Paraphernalia for the Imple</t>
  </si>
  <si>
    <t xml:space="preserve"> Construction of Potable Water System at Sitio Pagsingitan to Sitio Luha, Brgy. Saoquigue, Baganga, Davao Oriental</t>
  </si>
  <si>
    <t xml:space="preserve"> The Metro Kalibo Water District, through the Bids and Awards Committee (BAC), will undertake Negotiated Procurement (Small Value Procurement) for the SUPPLY AND DELIVERY OF VARIOUS WATER SERVICE CONNECTION MATERIALS FOR MAINTENANCE USE FOR 2ND AND 3RD QUA</t>
  </si>
  <si>
    <t xml:space="preserve"> Republic of the Philippines Province of Albay Municipality of Sto. Domingo Bids and Awards Committee 	 Invitation to Apply for Eligibility and to Bid: 07-05-2020 	The LGU- Sto. Domingo, Albay through its Bids and Awards Committee (BAC) invites Suppliers/M</t>
  </si>
  <si>
    <t xml:space="preserve"> Invitation to Bid The LGU Alangalang, through its Bids and Awards Committee (BAC), invites prospective bidders to apply for eligibility and to bid for the hereunder project: Name of Project   	: CONSTRUCTION OF RESIDUAL CELL WITH TRUCK WEIGHING SCALE AT B</t>
  </si>
  <si>
    <t xml:space="preserve"> Contract Duration: The service maintenance contract shall commence on the date stipulated in the Notice to Proceed to be issued by Facilities Management and Engineering Department (FMED) to end 31 December 2020 Bidders should have completed from Y2015 to </t>
  </si>
  <si>
    <t xml:space="preserve"> Completion for Child Development Center at Sitio Kabutungan, Brgy. Kinablangan, Baganga, Davao Oriental</t>
  </si>
  <si>
    <t xml:space="preserve"> 1.	The Provincial Government of Antique, through the 20% IRA-CY 2019 (Social Development Sector) intends to apply the sum One Million Nine Hundred Forty Five Thousand One Hundred Thirteen Pesos &amp; 61/100 (Php 1, 945, 113.61) being the Approved Budget for t</t>
  </si>
  <si>
    <t xml:space="preserve"> Republic of the Philippines Province of Eastern Samar Municipality of Maydolong Barangay Poblacion 5 INVITATION TO BID FOR  Procurement of Supplies and Materials for the Construction of Barangay Doors and Window Grills 1.	The Barangay Government of Barang</t>
  </si>
  <si>
    <t xml:space="preserve"> Republic of the Philippines Department of Health SOUTHERN ISABELA MEDICAL CENTER Hospital Bids and Awards Committee Brgy. Rosario, Santiago City Philippines ITB NO. 2020-07-017 INVITATION TO BID FOR THE  PROJECT: SUPPLY AND DELIVERY OF LAUNDRY EQUIPMENT 1</t>
  </si>
  <si>
    <t xml:space="preserve"> Republic of the Philippines Province of Samar Catbalogan City INVITATION TO BID FOR Goods 2020-018 Supply and Delivery of  Computer Equipment (Laptop and printer)  and Nine (9) units Office Equipment (aircondition) 1.	The City Government of Catbalogan, th</t>
  </si>
  <si>
    <t xml:space="preserve"> Construction of Concrete Road (200mm thk), 0+000 -1+009, L=1.009 km or 2.018 Lkm</t>
  </si>
  <si>
    <t xml:space="preserve"> Republic of the Philippines Province of Bohol Municipality of San Miguel INVITATION TO BID FOR  SUPPLY AND DELIVERY OF CONSTRUCTION MATERIALS  1.	The Local Government Unit of San Miguel, Bohol, through the 1918-20, Standby and 20% development fund intends</t>
  </si>
  <si>
    <t xml:space="preserve"> Construction of Multi-Purpose Hall at: 1. Sitio Kiagbaan, Brgy. Kinablangan, Baganga, Davao Oriental 2. Sitio Jasmin, Brgy. Kinablangan, Baganga, Davao Oriental 3. Sitio Daisy, Brgy. Kinablangan, Baganga, Davao Oriental</t>
  </si>
  <si>
    <t xml:space="preserve"> 1. Repair and Dredging of Banahaw Creek/Spillway, Barangay Batiano, Baganga, Davao Oriental 2. Dredging of Pagkusahan Creek, Barangay Mahan-ub, Baganga, Davao Oriental</t>
  </si>
  <si>
    <t xml:space="preserve"> ANTI-DRUG (PURCHASE OF DRUG TESTING KIT)</t>
  </si>
  <si>
    <t xml:space="preserve"> Republic of the Philippines Department of Health SOUTHERN ISABELA MEDICAL CENTER Hospital Bids and Awards Committee Brgy. Rosario, Santiago City Philippines ITB NO. 2020-07-018 INVITATION TO BID FOR THE  PROJECT: SUPPLY AND DELIVERY OF AMBULANCE MEDICAL E</t>
  </si>
  <si>
    <t xml:space="preserve"> INVITATION TO BID FOR  GULAYAN SA BARANGAY AND GREEN REVOLUTION PROJECT   LOT 1.   PLANTING MATERIALS ( FRUIT TREES)            LOT 2.    ASSORTED SEEDS              LOT 3.    AGRICULTURAL INPUTS 1.	The City Government of Trece Martires, through the 20 % </t>
  </si>
  <si>
    <t xml:space="preserve"> Republic of the Philippines Province of Bohol Municipality of San Miguel INVITATION TO BID FOR  SUPPLY AND DELIVERY OF MEDICINES AND HOSPITAL PHARMACY SUPPLIES  1.	The Local Government Unit of San Miguel, Bohol, through the 4421 intends to apply the sum o</t>
  </si>
  <si>
    <t xml:space="preserve"> The DPWH-Regional Office I, through its Bids and Awards Committee (BAC), invites contractors to submit bids for the following Contract: Contract ID: 20A00218 Contract Name: Construction of Makeshift Healthcare Facilities (Quarantine/Isolation Facilities) </t>
  </si>
  <si>
    <t xml:space="preserve"> PURCHASE OF OFFICE EQUIPMENT</t>
  </si>
  <si>
    <t xml:space="preserve"> PLEASE SEE ATTACHED ASSOCIATED COMPONENTS.</t>
  </si>
  <si>
    <t xml:space="preserve"> PURCHASE OF OFFICE SUPPLIES AND MATERIALS</t>
  </si>
  <si>
    <t xml:space="preserve"> Use for Awuyon Municipal Community Hospital use.</t>
  </si>
  <si>
    <t xml:space="preserve"> PURCHASE OF FURNITURE AND FIXTURE</t>
  </si>
  <si>
    <t xml:space="preserve"> Republic of the Philippines Province of Samar Catbalogan City INVITATION TO BID FOR GOODS 2020-019 SUPPLY AND DELIVERY OF BLINDS, CITY DIVISION OFFICE 1.	The City Government of Catbalogan, through the Continuing 2019 (Ordinance No. 2020-021) City Division</t>
  </si>
  <si>
    <t xml:space="preserve"> BIDS AND AWARDS COMMITTEE – SECURITY PLANT COMPLEX INVITATION TO BID 1.	The Bangko Sentral ng Pilipinas (BSP), through its Bids and Awards Committee-Security Plant Complex (BAC-SPC), invites Bidders to apply for eligibility and to bid for the hereunder re</t>
  </si>
  <si>
    <t xml:space="preserve"> Republic of the Philippines  PROVINCE OF SURIGAO DEL SUR  		MUNICIPALITY OF CARRASCAL	 Barangay Adlay INVITATION FOR BIDS The Barangay Adlay through its Bids and Awards Committee invites sealed bids from eligible supplier for Construction Materials with a</t>
  </si>
  <si>
    <t xml:space="preserve"> Republic of the Philippines City of Dapitan BIDS AND AWARDS COMMITTEE INVITATION TO BID July 28, 2020 	 The City Government of Dapitan, through its Bids and Awards Committee (BAC), invites interested parties to apply for eligibility and, if found eligible</t>
  </si>
  <si>
    <t xml:space="preserve"> MACHINERY AND EQUIPMENT</t>
  </si>
  <si>
    <t xml:space="preserve"> INVITATION TO BID The Municipal Government of San Narciso, Quezon through its Bids and Award Committee (BAC), invites registered suppliers with DTI, Mayor’s Permit and PhilGEPS, if found eligible, to bid or the hereunder contract: Name of Contract : 	Cons</t>
  </si>
  <si>
    <t xml:space="preserve"> 1.	The Power Sector Assets and Liabilities Management (PSALM) Corporation, through the 2020 Corporate Operating Budget (for the portion of the Contract to be performed in 2020) and 2021 Corporate Operating Budget (for the portion of the Contract to be per</t>
  </si>
  <si>
    <t xml:space="preserve"> Republic of the Philippines Department of Justice BUREAU OF CORRECTIONS SABLAYAN PRISON AND PENAL FARM Malisbong, Sablayan, Occidental Mindoro 5104 INVITATION TO BID  For The Supply &amp; Delivery of Various Materials and Tools for the Repair of Siburan Sub-P</t>
  </si>
  <si>
    <t xml:space="preserve"> Description I.	Signboard II.	Scaffolding III.	Tile Works IV.	Painting Works V.	Construction Safety &amp; Health 1. Barangay Pasil Tanauan, LEYTE through the bids and awards comm.) invites suppliers, distributors of construction materials for the project: Pain</t>
  </si>
  <si>
    <t xml:space="preserve"> 4" Check Valve  - 1 set 3" Check Valve  - 1 set 10" Mechanical Flowmeter with pulser 	- 1 set 6" Mechanical Flowmeter with Pulser  - 1 set 4" Mechanical Flowmeter - 1 set 2" Mechanical Flowmeter - 1 set 6" Y-Strainer - 1	set 4" Y-Strainer - 1	set 2" Y-Str</t>
  </si>
  <si>
    <t xml:space="preserve"> 2” Sleeve Type Coupling - 80.00	Pcs 3” Sleeve Type Coupling - 50.00	Pcs 4” Sleeve Type Coupling - 70.00	Pcs 6” Sleeve Type Coupling - 50.00	Pcs 8” Sleeve Type Coupling - 35.00	Pcs Hot dipped galvanized 9/16” x 14” threaded rods with minimum of 4” thread l</t>
  </si>
  <si>
    <t xml:space="preserve"> DP 160-3a, 60 LPS @ 68mts TDH, 6"Ø NPT,  SS 316, submersible pump, coupled to 75.0 Hp, 460 V, 3 phase, 3 wires, 8"Ø Franklin Submersible motor - 1 set 82-A3 Splicing Kit - 2	pcs 3C - 50mm² / #1.0 AWG submersible wire (flat wire preferred)  - 68 meters VFD</t>
  </si>
  <si>
    <t xml:space="preserve"> I N V I T A T I O N   T O   B I D  The Visayas State University through its Bids and Awards Committee (BAC), invites suppliers/manufacturers/distributors to apply for eligibility and to bid for the hereunder project: Name of Project 	:  Supply and Install</t>
  </si>
  <si>
    <t xml:space="preserve"> Department of Education Region VI-Western Visayas Division of Cadiz City CNHS- Luna Extension High School INVITATION TO BID FOR   Office Supplies 1.	The DepEd,Division of Cadiz City, CNHS- Luna Extension High School, through the Schools MOOE  Fund CY 2020</t>
  </si>
  <si>
    <t xml:space="preserve"> Concreting of Road</t>
  </si>
  <si>
    <t xml:space="preserve"> set	Aluminum &amp; Glass Swing Door(with installation)	1 sets	Aluminum &amp; Glass Sliding Door 2.35mx1.30m ( with installation)	4 Pcs.	CHB #5	95 bags	Fortune Portland Cement	10 tin	Sand S1	42 Pcs.	RSB 10mm dia x 6m	4 Kg.	G.I. Tie Wire #16	0.5 Gal.	Flat Latex	1 G</t>
  </si>
  <si>
    <t xml:space="preserve"> 66.0 LPS@ 65mTDH SS-316 submersible pump (preferrably DPM 215-2a or equivalent) coupled to 75Hp, 460 volts, 3 phase 8"Ø Franklin submersible motor with 2 pcs-Splicing Kit #3M 82-A3)   - 1 set 4.0 LPS (240 liters per min) @85m TDH pump, SS 316 (preferrably</t>
  </si>
  <si>
    <t xml:space="preserve"> Brief Description of the Project			 Quantity	Unit	Item Description	 1.00	lot	General Items	 1.00	lot	Mobilization / Demolization	 62.31	cu.m.	Excavation Works	 39.58	cu.m.	Concrete Works	 1.00	lot	Form Works (rental)	 28.00	sq.m	Masonry Works (blower)	 1.</t>
  </si>
  <si>
    <t xml:space="preserve"> I. LANDSCAPING OF MUNICIPAL HALL GROUNDS, ABC: PhP 347,550.50		 6	pcs.	2"Ø G.I. Pipe sched. 40 28	pcs.	3/4"Ø G.I. Pipe sched. 20 28	pcs.	1.2mm thk. x 2" x2 "  tubular 20	pcs.	10 mm dia. Plain round bar 18	pcs.	6mm. x 1200mm. x 4880mm. Twin wall Polycarbon</t>
  </si>
  <si>
    <t xml:space="preserve"> Brief Description of the Project				 Quantity	Unit	Item Description		 1.00	lot	Construction &amp; Occupational Health		 1.00	lot	Site Clearing		 22.39	cu.m.	Conrete Works		  1.00 	lot	Formworks (rental)		  285.01 	sq.m	Masonry Works 1st &amp; 2nd Floor (includes </t>
  </si>
  <si>
    <t xml:space="preserve"> Invitation to Bid for the Supply and Delivery of Cast Iron (CI) Fittings. Refer to Section VI and Section VII for the Schedule of Requirements and Technical Specifications of the Bidding Documents Schedule of Activities: Issuance of Bid Docs: July 30, 202</t>
  </si>
  <si>
    <t xml:space="preserve"> Proposed Construction of Bleachers</t>
  </si>
  <si>
    <t xml:space="preserve"> One (1) Lot – Maintenance and Technical Support Services for the existing IBM Pure Application System (PureApps) Appliances of the BSP, inclusive of Software Upgrades, Updates, Patches and Fixes, for a period of One (1) Year (for Primary and Remote Sites)</t>
  </si>
  <si>
    <t xml:space="preserve"> INVITATION TO BID Printing, Binding, Packaging and Delivery of Self Learning Modules 1.	The Department of Education, Division of Camiguin Bids and Awards Committee (BAC), through the FY 2019 (GAA) of R.A. 11260 and FY 2020 (GAA) of R.A. no. 11465 intends </t>
  </si>
  <si>
    <t xml:space="preserve"> Brief Description of the Project			 Quantity	Unit	Item Description	 1.00	lot	Construction Safety &amp; Occupational Health	 1.00	lot	Mobilization / Demolization	 1.00	lot	Filter Media Placement	 1.00	lot	Repiping of Leaks	 1.00	lot	Descaling and Disinfection </t>
  </si>
  <si>
    <t xml:space="preserve"> B.9	Mobilization/Demobilization	lot	all	14,370.00 801(3)	Reoval of Actual Structures/Obstruction	60	sq.m.	7,320.00 803(1)	Structure Excavation (Common Soil)	368	cu.m.	168,176.00 804(1)	Embankment From Structure Excavation	363	cu.m.	82,945.00 900(1)	Struct</t>
  </si>
  <si>
    <t xml:space="preserve"> B.9	Mobilization/Demobilization	lot	all	7,100.00 801	Removal and Relocation of Structures (63mmø HDPE Pipe)	1,040	ln.m.	70,408.00 803(1)	Structure Excavation (Common Soil)	303	cu.m.	138,471.00 804(1)	Embankment From Structure Excavation	300	cu.m.	68,400.0</t>
  </si>
  <si>
    <t xml:space="preserve"> DEPARTMENT OF PUBLIC WORKS AND HIGHWAYS Ifugao Second District Engineering Office Aguinaldo, Ifugao INVITATION TO BID The DPWH- Ifugao Second District Engineering Office Aguinaldo, Ifugao, through its Bids and Awards Committee (BAC), invites contractors t</t>
  </si>
  <si>
    <t xml:space="preserve"> DP 160-3a, 50.0 LPS @ 84.0 mts TDH, 6"Ø NPT, SS316, submersible pump, coupled to 75.0 Hp, 460 V, 3 phase, 3 wires, 8"Ø Franklin submersible motor  -	1 Set 3C - 50mm²/ #1.0 AWG submersible wire (flat wire preferred) - 84 Meters 6” Ø/150mm Ø X 6.0 mm thick </t>
  </si>
  <si>
    <t xml:space="preserve"> DEADLINE OF SUBMISSION AND OPENING OF BIDS: AUGUST 19, 2020, 10:00 A.M. AT THE MUNICIPAL BAC SECRETARIAT OFFICE, IMBATUG, BAUNGON, BUKIDNON</t>
  </si>
  <si>
    <t xml:space="preserve"> B.9	Mobilization/Demobilization	lot	all	7,100 803(1)	Structure Excavation (Common Soil)	183	cu.m.	83,631.00 804(1)	Embankment From Structure Excavation	180	cu.m.	41,040.00 900(1)	Structural Concrete, Class “A”	2.40	cu.m.	15,688 902(1)	Reinforcing Steel (D</t>
  </si>
  <si>
    <t xml:space="preserve"> _____________________________ INVITATION TO BID The City Government of Imus, Province of Cavite through its Bid and Awards Committee (BAC) invites bidders/suppliers to apply for the eligibility and to bid for the hereunder projects: 1. REFERENCE NUMBER : </t>
  </si>
  <si>
    <t xml:space="preserve"> CONCRETING OF FARM TO MARKET ROAD LOCATED AT BARANGAY NAGLAOA-AN, SANTO DOMINGO, ILOCOS SUR</t>
  </si>
  <si>
    <t xml:space="preserve"> Repainting of wall exterior face of Municipal Government bldg: Repair of second floor exterior ceiling and waterproofing of second floor roof deck and pre-painted roofings.</t>
  </si>
  <si>
    <t xml:space="preserve"> 50.0 Meter length of CHB Line Canal with Bracing and Stiffener and Removal of Existing drainage Canal 40 meters Spcl 1 - 1.00 unit Standard Project Billboard   I       - 1.00 lot removal of existing Damage Canal  II       - 35.00 Sq. M Cleaning of Canal  </t>
  </si>
  <si>
    <t xml:space="preserve"> Republic of the Philippines PROVINCE OF AKLAN Municipality of Tangalan INVITATION TO BID  IMPROVEMENT OF PARKS AND PLAZA  Project Reference No.: SF-GOODS:2020-008-006 Approved Budget for the Contract: Php 833, 530.00 Source of Fund: 20% Development Fund f</t>
  </si>
  <si>
    <t xml:space="preserve"> Prospective bidders should have experience in undertaking a similar project within the last two (2) years with an amount of at least 50% of the proposed project for bidding and have key personnel and equipment (owned, leased or under purchase) available f</t>
  </si>
  <si>
    <t xml:space="preserve"> CONSTRUCTION OF FARMERS POST HARVEST FACILITY LOCATED AT PARAS, SANTO DOMINGO, ILOCOS SUR</t>
  </si>
  <si>
    <t xml:space="preserve"> CONSTRUCTION OF SLOPE PROTECTION AT BARANGAY NAGBETTEDAN, SANTO DOMINGO,ILOCOS SUR</t>
  </si>
  <si>
    <t xml:space="preserve"> CONSTRUCTION OF REINFORCED CONCRETE BOX CULVERT LOCATED AT BARANGAY NAGLAOA-AN, SANTO DOMINGO, ILOCOS SUR</t>
  </si>
  <si>
    <t xml:space="preserve"> CONCRETING OF FARM TO MARKET ROAD LOCATED AT BARANGAY CABIGBIGAAN, SANTO DOMINGO, ILOCOS SUR</t>
  </si>
  <si>
    <t xml:space="preserve"> CONCRETING OF FARM TO MARKET ROAD LOCATED AT BARANGAY PANGPANGDAN, SANTO DOMINGO, ILOCOS SUR</t>
  </si>
  <si>
    <t xml:space="preserve"> CONCRETING OF FARM TO MARKET ROAD LOCATED AT BARANGAY CABARITAN, SANTO DOMINGO, ILOCOS SUR</t>
  </si>
  <si>
    <t xml:space="preserve"> Repair/Improvement of Drainage Canal, Construct CHB Line Canal 60 Linear meter and Repair and Desilting 50 Linear meter. Spcl 1- 1.00 unit Standard Project Billboard  I      - 1.00 lot Removal of Existing Damage Canal  II     - 39.00 Sq. M Cleaning of Can</t>
  </si>
  <si>
    <t xml:space="preserve"> INVITATION TO BID Purchase of Medicines (Anti-Rabies) The Local Government Unit of Barangay Labangal, General Santos City, through the Barangay Fund, intends to apply the sum of Ninety Eight Thousand Pesos Only (P98,000.00) being the Approved Budget for t</t>
  </si>
  <si>
    <t xml:space="preserve"> Republic of the Philippines					 PROVINCE OF ZAMBOANGA DEL NORTE					 Municipality of President Manuel A. Roxas					 BARANGAY PIAO BIDS AND AWARDS COMMITTEE					 INVITATION TO BID					           Invitation is hereby given for the Supply and Delivery of IN</t>
  </si>
  <si>
    <t xml:space="preserve"> Republic of the Philippines PROVINCE OF AKLAN Municipality of Tangalan INVITATION TO BID  Improvement/Repair of Tangalan Sports &amp; Cultural Center (Materials Only) Project Reference No.: SF-GOODS:2020-004-003A Approved Budget for the Contract: Php 300, 000</t>
  </si>
  <si>
    <t xml:space="preserve"> REHABILITATION/CONCRETING OF FARM TO MARKET ROAD LOCATED AT BARANGAY PANGPANGDAN, SANTO DOMINGO, ILOCOS SUR.</t>
  </si>
  <si>
    <t xml:space="preserve"> ITEM NO.      QUANTITY          UNIT          DESCRIPTION      1.            22                     CU.M          HEAD SIZE BOULDERS      2.            45                     CU.M          SELECT FILLING MATERIALS      3.            6                     </t>
  </si>
  <si>
    <t xml:space="preserve"> Republic of the Philippines Province of Samar Municipality of Sta. Margarita INVITATION TO BID FOR  PROCUREMENT OF BOWA MULTI TILLING MACHINE WITH COMPLETE ACCESSORIES 1.	The Municipal Government of Sta. Margarita, Samar, through the Annual Budget of 2020</t>
  </si>
  <si>
    <t xml:space="preserve"> Republic of the Philippines Province of Samar Municipality of Sta. Margarita INVITATION TO BID FOR  PROCUREMENT OF VARIOUS MEDICINES AND MEDICIAL SUPPLIES 1.	The Municipal Government of Sta. Margarita, Samar, through the Annual Budget of 2020   intends to</t>
  </si>
  <si>
    <t xml:space="preserve"> Republic of the Philippines Province of Samar Municipality of Sta. Margarita INVITATION TO BID FOR  PROCUREMENT OF RICE TRANSPLANTER  (WALK BEHIND) 1.	The Municipal Government of Sta. Margarita, Samar, through the Annual Budget of 2020   intends to apply </t>
  </si>
  <si>
    <t xml:space="preserve"> Invitation to Bid July 29, 2020 1. The Municipality of Tinoc through the Bids and Awards Committee advertised an Invitation to bid for the PACKAGE 15 (A. IMPUGONG-EHEB-TUKUCAN CORE ROAD IMPROVEMENT, B. AMBOTDAN ROAD IMPROVEMENT-TUKUCAN) funded under Year </t>
  </si>
  <si>
    <t xml:space="preserve"> The Zamboanga State College of Marine Sciences and Technology (ZSCMST), through its Bids and Awards Committee, is inviting PhilGeps registered suppliers to apply for eligibility and to submit bids for the items mentioned hereunder: B-046-2020-A	 SUPPLY, D</t>
  </si>
  <si>
    <t xml:space="preserve"> Republic of the Philippines Province of Samar Municipality of Sta. Margarita INVITATION TO BID FOR  PROCUREMENT OF MODULAR TENT INDOOR 1.	The Municipal Government of Sta. Margarita, Samar, through the Annual Budget of 2020   intends to apply the sum of Th</t>
  </si>
  <si>
    <t xml:space="preserve"> Brief Description		:   		A. Removal of Dilapidated concrete pavement, Roadway Excavation, Aggregate base course of Road and Shoulder and Concreting of 129 L.m. x 6.10 m x 0.20 m thk road. 		B. Removal of Existing Structure, Roadway Excavation, Backfilling</t>
  </si>
  <si>
    <t xml:space="preserve"> Republic of the Philippines PROVINCE OF LEYTE MUNICIPALITY OF LEYTE BARANGAY PALID I -oOo- INVITATION TO BID FOR REHABILITATION/IMPROVEMENT OF WATER SYSTEM SO. KAMALIG, BRGY. PALID I, LEYTE, LEYTE P.R No: 00-01-20 The Sangguniang Barangay of Palid I Leyte</t>
  </si>
  <si>
    <t xml:space="preserve"> REPUBLIC OF THE PHILIPPINES																																		 	PROVINCE OF ZAMBOANGA DEL NORTE																																		 	MUNICIPALITY OF PRES. MANUEL A. ROXAS																																		 	BIDS AND AWARDS COMMITTEE																											</t>
  </si>
  <si>
    <t xml:space="preserve"> REQUEST FOR EXPRESSION OF INTEREST (REOI) FOR CONSULTING SERVICES  19CSK00053 – Consulting Services for the Conduct of Soil Testing/Exploration for Bridge Projects - Geotechnical Investigation - Construction of Pigsuotan Bridge, Brgy. Mandulog, Iligan Cit</t>
  </si>
  <si>
    <t xml:space="preserve"> 12,500	Li	Fuel, Diesel 200	Li	Oil Engine #30 50	Li	Oil Engine, Diesel, 15W40 20	Li	Oil, Hydraulic #10</t>
  </si>
  <si>
    <t xml:space="preserve"> Department of Public Works and Highways SAMAR FIRST DISTRICT ENGINEERING OFFICE OFFICE OF THE DISTRICT ENGINEER Calbayog City INVITATION TO BID  1.	The DPWH-Samar First District Engineering Office, Calbayog City , through the Sub-Allotment Advice No. with</t>
  </si>
  <si>
    <t xml:space="preserve"> CONSTRUCTION OF LINED CANAL @ PUROK 2, 4 &amp; 6, BRGY CAMBULAGA WEST DIST. SORSOGON CITY</t>
  </si>
  <si>
    <t xml:space="preserve"> Fabrication/Construction of Steel Garbage Can with Steel Frame</t>
  </si>
  <si>
    <t xml:space="preserve"> REQUEST FOR EXPRESSION OF INTEREST (REOI) FOR CONSULTING SERVICES  19CSK00056 – Consulting Services for the Conduct of Soil Testing/Exploration for Bridge Projects - Geotechnical Investigation - Construction of Bridge, Cagayan de Oro Diversion Road, Jct. </t>
  </si>
  <si>
    <t xml:space="preserve"> Republic of the Philippines Province of Davao Occidental MUNICIPALITY OF SARANGANI Invitation to Bid CONSTRUCTION OF MULTI-PURPOSE BUILDING (BODEGA) (8000-2-2-15) MABILA, SARANGANI, DAVAO OCCIDENTAL. The Municipality of Sarangani, through 20% Devt.  Fund </t>
  </si>
  <si>
    <t xml:space="preserve"> Republic of the Philippines Province of Davao de Oro MUNICIPALITY OF MONTEVISTA BIDS AND AWARDS COMMITTEE 		 Reference No:  CB-2020-017 INVITATION TO BID FOR FUEL, OIL AND LUBRICANTS 1. 	The Municipality of  Montevista, Compostela Valley Province, through</t>
  </si>
  <si>
    <t xml:space="preserve"> Republic of the Philippines PROVINCE OF LEYTE MUNICIPALITY OF LEYTE BARANGAY PALID I -oOo- INVITATION TO BID FOR CONSTRUCTION OF FLOOD CONTROL BRGY. PALID I LEYTE, LEYTE P.R No: 00-02-20 The Sangguniang Barangay of Palid I Leyte, Leyte through its Bids an</t>
  </si>
  <si>
    <t xml:space="preserve"> Description of Works to be Done Steel Grills &amp; Steel Lights Decoration...............39.16 Land Scaping (Grass &amp; Plants)........................25.20 Stage and Lawn...........................................11.75 Comfort Room..............................</t>
  </si>
  <si>
    <t xml:space="preserve"> INVITATION TO BID The City Government of Pasay, through its Bids and Awards Committee (BAC) invites suppliers/manufacturers/distributors/contractors to apply and submit sealed bids for the supply and delivery of the following: Proposed PEST CONTROL SERVIC</t>
  </si>
  <si>
    <t xml:space="preserve"> Invitation to Bid Republic of the Philippines Province of Marinduque Torrijos BIDS AND AWARDS COMMITTEE INVITATION TO BID FOR THE CONSTRUCTION OF BOLO-PULANG LUPA ROAD 1.	The MUNICIPALITY OF TORRIJOS, through the LGSF – AM  2020 intends to apply the sum o</t>
  </si>
  <si>
    <t xml:space="preserve"> INVITATION TO BID FOR Procurement of Infra (Safe Closure and Rehabilitation of Dampas Dumpsite) The City Government of Tagbilaran, through the Trust Fund (Bureau of Treasury-Environmental Management Bureau Region VII), intends to apply the sum of Seven Mi</t>
  </si>
  <si>
    <t xml:space="preserve"> Republic of the Philippines Province of Samar Municipality of Sta. Margarita INVITATION TO BID FOR  PROCUREMENT OF BOOKS FOR  DAY CARE AND SNP CHILDREN  1.	The Municipal Government of Sta. Margarita, Samar, through the Annual Budget of 2020   intends to a</t>
  </si>
  <si>
    <t xml:space="preserve"> Interested bidders may obtain further information from the City of Balanga and inspect the Bidding Documents at the address given below from 9:00 a.m. to 4:00 p.m. A complete set of Bidding Documents may be acquired by interested Bidders on July 8 to 28, </t>
  </si>
  <si>
    <t xml:space="preserve"> INVITATION TO BID The City Government of Pasay, through its Bids and Awards Committee (BAC) invites suppliers/manufacturers/distributors/contractors to apply and submit sealed bids for the supply and delivery of the following: Supply and delivery of one (</t>
  </si>
  <si>
    <t xml:space="preserve"> GOODS 2020-06-046 PURCHASE OF MEDICAL, DENTAL &amp; LABORATORY SUPPLIES ALLOCATION FOR 2020 FOR RHU 2 FOR MINGLANILLA, CEBU The Municipality of Minglanilla, through the Local Fund of Municipality of Minglanilla intends to apply the sum of TWO MILLION NINE HUN</t>
  </si>
  <si>
    <t xml:space="preserve"> Package 1:  Construction &amp; Improvement of Access Road, Collog- PInococ, Pinukpuk</t>
  </si>
  <si>
    <t xml:space="preserve"> Republic of the Philippines Province of Davao De Oro MUNICIPALITY OF COMPOSTELA BIDS AND AWARDS COMMITTEE (BAC) Invitation to Bid for Construction of WCPD and FJGAD Building (Rebid) ITB NO. 2020-07-038 - BID NO. 001 1.	The Municipality of Compostela, thro</t>
  </si>
  <si>
    <t xml:space="preserve"> FINANCIAL PROPOSAL																								 NEGOTIATED PROCUREMENT																								 DUE TO TWO-FAILED BIDDINGS																								 																								 	Company Name 			:																				 	Address                			:																				 	</t>
  </si>
  <si>
    <t xml:space="preserve"> INVITATION TO APPLY FOR ELIGIBILITY AND TO BID Approved Budget for the Contract: ₱4,165,060.00 ITB No. 2020-021 Bidding 1.	The Municipality of Mendez-Nuñez, through 20% Development Fund of General Fund intends to apply the sum of Four Million One Hundred </t>
  </si>
  <si>
    <t xml:space="preserve"> INFRA 2020-06-044  IMPROVEMENT  OF BRGY. WARD I COVERED COURT/ MULTI-PURPOSE BUILDING (PHASE III) AT BRGY. WARD I, MINGLANILLA, CEBU 1.	The MUNICIPALITY OF MINGLANILLA, through the Local Fund intends to apply the sum of   Two  Million   Nine   Hundred   N</t>
  </si>
  <si>
    <t xml:space="preserve"> 4m x 330m PCCP w/ 2 lines (6pcs. 900mm dia. RCP per line) Cross Drainage, 20.00m x 1.00 x .2m Stone Masonry</t>
  </si>
  <si>
    <t xml:space="preserve"> Republic of the Philippines Province of Surigao del Sur Municipality of Carrascal Barangay Panikian OFFICE OF THE BARANGAY BIDS AND AWARDS COMMITTEE The BLGU of Panikian through its Bids and Awards Committee invites sealed bids from eligible bidders with </t>
  </si>
  <si>
    <t xml:space="preserve"> INVITATION TO BID LGU-El Salvador City, Misamis Oriental through its BAC, invites interested bidders to apply for eligibility and if found eligible to bid for the contract: 1.	Contract ID No.	:	ITB No. 2020-073 Name of Project	:	Procurement of Musical Ins</t>
  </si>
  <si>
    <t xml:space="preserve"> Republic of the Philippines CITY OF PANABO Province of Davao del Norte BIDS AND AWARDS COMMITTEE -o0o- INVITATION TO BID 													July 29, 2020 1.	The City Government of Panabo, through the source of fund as indicated below intends to apply the sum as</t>
  </si>
  <si>
    <t xml:space="preserve"> Qty.	Unit	Description 			 		OFFICE OF THE CITY TREASURER			 2	units	Desktop CPU			 		Specs: Intel Corei3 Processor			 		4GB DDR4 RAM, 1 TB Hard Disk Drive			 		Motherboard with Integrated AVL			 		Mini Tower Casing with Power Supply 650W	 		 		OFFICE OF T</t>
  </si>
  <si>
    <t xml:space="preserve"> Republic of the Philippines Department of Health Jose R. Reyes Memorial Medical Center M a n i l a INVITATION TO BID FOR  ONE (1) SET ARTHROSCOPY TOWER IMAGING SYSTEM  ITB No. 2020-ART TOWER-107  1.	The Jose R. Reyes Memorial Medical Center, through the G</t>
  </si>
  <si>
    <t xml:space="preserve"> INVITATION TO BID The __DEPARTMENT OF PUBLIC WORKS AND HIGHWAYS - DISTRICT ENGINEER’S OFFICE ZAMBOANGA CITY__, through its Bids and Awards Committee (BAC), invites contractors to submit bids for the following Contract: Contract ID: 20JA0092  (RE-ADVERTISE</t>
  </si>
  <si>
    <t xml:space="preserve"> This project is located at Jose Abad Santos St, Barangay Saranay,Cabatuan,Isabela			 			 	Project Length: 155.00 meters length X 0.80 meters width		 	Type of Structure: RC LINE CANAL		 			 ITEM NO.	DESCRIPTION OF WORK TO BE DONE	QUANTITY	 			 I.	CLEARING </t>
  </si>
  <si>
    <t xml:space="preserve"> 1) 1 unit Furnishing of Materials, Labor and Equipment Thru Contract for the Improvement/Expansion of Water Supply System. I. Concrete Works 10.20 sq.m. II. Cables and Steel Works 790.00 cu.m. III. Pipeline 8227.00 cu.m. IV. Excavation Works 15.88 cu.m. V</t>
  </si>
  <si>
    <t xml:space="preserve"> 2nd Posting - Supply and Delivery of Harwdware Materials for the Rehabilitation of Multi-Purpose Hall</t>
  </si>
  <si>
    <t xml:space="preserve"> INFRA 2020-06-043 IMPROVEMENT  OF BRGY. LINAO COVERED COURT/ MULTI-PURPOSE HALL AT LINAO, MINGLANILLA, CEBU 1.	The MUNICIPALITY OF MINGLANILLA, through the Local Fund intends to apply the sum of   Two  Million  Three  Hundred  Twenty  One  Thousand  Five </t>
  </si>
  <si>
    <t xml:space="preserve"> I.   Mechanical Works Labor OCM/CP/VAT</t>
  </si>
  <si>
    <t xml:space="preserve"> GOODS 2020-06-045 PURCHASE OF MEDICAL, DENTAL &amp; LABORATORY SUPPLIES ALLOCATION FOR 2020 FOR RHU 1 FOR MINGLANILLA, CEBU The Municipality of Minglanilla, through the Local Fund of Municipality of Minglanilla intends  to  apply  the  sum  of   THREE MILLION</t>
  </si>
  <si>
    <t xml:space="preserve"> this serves as second bidding post</t>
  </si>
  <si>
    <t xml:space="preserve"> 1 UNIT OF MOTORCYCLE WITH SIDECAR</t>
  </si>
  <si>
    <t xml:space="preserve"> Improvement of multi-purpose building located near the Barangay hall.</t>
  </si>
  <si>
    <t xml:space="preserve"> Invitation to Bid Republic of the Philippines Province of Marinduque Torrijos BIDS AND AWARDS COMMITTEE INVITATION TO BID FOR THE CONSTRUCTION OF MULTI-PURPOSE BUILDING 1.	The MUNICIPALITY OF TORRIJOS, through the FY 2019 LOCAL GOVERNMENT SUPPORT FUND –Ot</t>
  </si>
  <si>
    <t xml:space="preserve"> INFRA 2020-06-042 IMPROVEMENT/ CONSTRUCTION OF DRAINAGE SYSTEM AT BRGY. TULAY, MINGLANILLA, CEBU 1.	The MUNICIPALITY OF MINGLANILLA, through the Local Fund intends to apply the sum of   Three Million  Four  Hundred  Eighty  Nine  Thousand  Eighty Eight Pe</t>
  </si>
  <si>
    <t xml:space="preserve"> REPUBLIC OF THE PHILIPPINES PROVINCE OF ILOCOS SUR MUNICIPALITY OF SANTA BRGY. MABILBILA SUR INVITATION TO BID IMPROVEMENT OF MULTI-PURPOSE HALL PHP 200,000.00 A. MATERIALS DESCRIPTION UNIT QTY CEMENT				BAG	60 GRAVEL				CU.M	9 SAND				CU.M	9 2X4X12 GOOD </t>
  </si>
  <si>
    <t xml:space="preserve"> Republic of the Philippines Province of zamboanga Sibugay Municipality of Olutanga 7014 JULY 28, 2020 NOTICE TO THE PUBLIC INVITIATION TO APPLY FOR ELIGIBILITY AND TO BID All interested bidders are invited to Pre-qualify and participate in sealed bidding </t>
  </si>
  <si>
    <t xml:space="preserve"> 7.50mX6.00m</t>
  </si>
  <si>
    <t xml:space="preserve"> I.   Trimming of trees, Clearing, Excavation and Lay-out II.  Electrical Works III. Concrete Works</t>
  </si>
  <si>
    <t xml:space="preserve"> Concreting of 80mx2mx.15m</t>
  </si>
  <si>
    <t xml:space="preserve"> The Barangay Naruangan, Tuao Cagayan through its SUPPLEMENTAL AID Fund intends to apply the sum of Php 60,000.00 being the Approved Budget for the Contract (ABC) to payments under the contract for Purchased and Delivery of One (1) UNIT CHAINSAW. Bids rece</t>
  </si>
  <si>
    <t xml:space="preserve"> Republic of the Philippines PROVINCIAL GOVERNMENT OF EASTERN SAMAR Capitol Building, Borongan, Eastern Samar, 6800 Tel No. (055)-560-8312 E-mail Address: esamar.bac@gmail.com BIDS AND AWARDS COMMITTEE (BAC) INVITATION TO BID FOR  ROAD OPENING/FARM-TO-MARK</t>
  </si>
  <si>
    <t xml:space="preserve"> Republic of the Philippines Municipality of Taytay Taytay, Palawan NOTICE TO BIDDERS Item # Qty Unit Description Amount 1.      1     Lots    Fuels/Fuel Additives &amp; Lubricant &amp; Anti-Corrosive  The two envelope system of procurement shall be observed, Bidd</t>
  </si>
  <si>
    <t xml:space="preserve"> 1.The Brgy. Pondang, through the LGSF-DBM intends to apply the sum of Two Hundred Fifty Thousand Pesos Only (P250,000.00) being the Approved Budget for the Contract (ABC) to payments under the contract for Construction &amp; Repair of Brgy. Road. Bids receive</t>
  </si>
  <si>
    <t xml:space="preserve"> Republic of the Philippines Province of Batanes MUNICIPALITY OF SABTANG -oOo- BIDS AND AWARDS COMMITTEE INVITATION TO APPLY FOR ELIGIBILITY AND TO BID The LGU-Sabtang has allocated funds from 2020 Special Trust Fund which is intended for the payment of th</t>
  </si>
  <si>
    <t xml:space="preserve"> Please download PDF @ associated components for more information.</t>
  </si>
  <si>
    <t xml:space="preserve"> Pls. quote the item listed below: 1.  Fertilizer (46-0-0)  -  271 bags NOTE:                       Opening of Bids will be on August 11, 2020 @ 1:00 pm</t>
  </si>
  <si>
    <t xml:space="preserve"> labor, supplies and materials and equipment rental</t>
  </si>
  <si>
    <t xml:space="preserve"> Republic of the Philippines PROVINCIAL GOVERNMENT OF EASTERN SAMAR Capitol Building, Borongan, Eastern Samar, 6800 Tel No. (055)-560-8312 E-mail Address: esamar.bac@gmail.com BIDS AND AWARDS COMMITTEE (BAC) INVITATION TO BID FOR  CONSTRUCTION OF BRGY. STO</t>
  </si>
  <si>
    <t xml:space="preserve"> Description   LOT 1- HARDWARE MATERIALS    ABC  Php  57,340.00 520 pcs. CHB 4 " 32 pcs 12mm DSB x 6m 64 pcs. 10mm DSB x 6m 4 kls. Tie Wire #16 3 cu.m. Washed Sand 3 cu.m. Screened gravel 60 bags Portland Cement 12 pcs. Marine plywood (1/4") 4 pcs. Ordinar</t>
  </si>
  <si>
    <t xml:space="preserve"> Suppy and deluvery of materials to be used by farniture and fixtures</t>
  </si>
  <si>
    <t xml:space="preserve"> VARIOUS MEDICAL EQUIPMENT</t>
  </si>
  <si>
    <t xml:space="preserve"> Rehabilitation of Road w/ Provision of Slope Protection and Cross Drainage at Tallag, Cabagan, Isabela LGU Cabagan Cabagan, Isabela</t>
  </si>
  <si>
    <t xml:space="preserve"> Construction Projects-Concreting of Access Road to Evacuation Center Phase 2 Brgy. Awasian, Tandag City</t>
  </si>
  <si>
    <t xml:space="preserve"> Item I-A - General Requirements (Mob./demob.)    1.00  lot Item I-B - General Requirements (Project Signboard &amp; BM)  2.88 sq.m. Item II-A - Earthworks @ Site (Excavation/Backfilling)  19.44  cu.m. Item II-B - Earthworks @ Site (Filling Materials @ G-Floor</t>
  </si>
  <si>
    <t xml:space="preserve"> 2 UNIT LAPTOP INTEL i7 7TH GEN PROCESSOR 1 UNIT LAPTOP INTEL i3 GEN PROCESSOR 2 UNIT GEOTAGGING DEVICE REALME 6PRO 1 UNIT LAPTOP i7 7TH GEN PROCESSOR 1 UNIT PRINTER</t>
  </si>
  <si>
    <t xml:space="preserve"> Rehabilitation of the Barangay covered court located beside the Barangay hall.</t>
  </si>
  <si>
    <t xml:space="preserve"> I - Base Preparation     L=19m     W=15.20     T=0.10m     V=28.88 cu.m. II - Concrete Pavement     L=19m     W=15.20m     T=0.10m     V=28.88 cu.m.</t>
  </si>
  <si>
    <t xml:space="preserve"> Republic of the Philippines PROVINCIAL GOVERNMENT OF EASTERN SAMAR Capitol Building, Borongan, Eastern Samar, 6800 Tel No. (055)-560-8312 E-mail Address: esamar.bac@gmail.com BIDS AND AWARDS COMMITTEE (BAC) INVITATION TO BID FOR  ROAD OPENING/ FMR VIGAN T</t>
  </si>
  <si>
    <t xml:space="preserve"> Republic of the Philippines Province of Southern Leyte MUNICIPALITY OF SAN JUAN Invitation to Bid for  REPAIR/IMPROVEMENT OF MUNICIPAL STREETS  AT CAPT. LAYLAY ST., BRGY. STA. CRUZ, SAN JUAN, SOUTHERN LEYTE 1.	The MUNICIPALITY OF SAN JUAN, through General</t>
  </si>
  <si>
    <t xml:space="preserve"> Reblocking of Aggub Barangay Road at AGGUB, Cabagan, Isabela LGU Cabagan Cabagan, Isabela</t>
  </si>
  <si>
    <t xml:space="preserve"> The Department of Public Works and Highways – Northern Samar Second District Engineering Office, through its Bids and Awards Committee (BAC) invites suppliers to submit bids for the following Contract: Contract ID No.	:	20GII0010 Contract Name	:	Supply an</t>
  </si>
  <si>
    <t xml:space="preserve"> Contract for the Supply of Various Spare Parts (Static Inverter IGBT, Static Inverter Gate Drive Unit, and SIV Fuse) under P.R. No. RS-0720-010 and ITB No.2007-037-01 Schedule of Activities  Pre-bid Conference		: 05 August 2020 @ 10:00 A.M. 				  Cafeteri</t>
  </si>
  <si>
    <t xml:space="preserve"> (see bidding documents and other supporting papers in the associated component for further project details)</t>
  </si>
  <si>
    <t xml:space="preserve"> Earthworks, Footbridge Construction, Miscellaneous</t>
  </si>
  <si>
    <t xml:space="preserve"> Please see attached Bidding Documents and Technical Specifications Other documents relative to this procurement is available at the BAC Secretariat</t>
  </si>
  <si>
    <t xml:space="preserve"> I - Common Excavation II - Sand Bagging III - Structural Concrete a.  Super Structure:  Box Culvert 16.80 cu.m.      Paving Notch      Reinforcing Steel Bars b.  Apron Vol.= 11.92cu.m.      Shear Key: Vol= 5.52cu.m.      Total Vol 17.44cu.m. c.  Wing Wall</t>
  </si>
  <si>
    <t xml:space="preserve"> 1.	The Municipality of Baliguian, now invites bids for the Rehabilitation of Level II Potable Water Supply at Barangay Tan-awan, Baliguian, Zamboanga del Norte.  2.	Bidding will be conducted in accordance with relevant procedures for open competitive bidd</t>
  </si>
  <si>
    <t xml:space="preserve"> CARPENTRY, PAINTING WORKS</t>
  </si>
  <si>
    <t xml:space="preserve"> SPCL-I - Project Billboard    32.00  sq.ft. Item I - Breaking of Existing Pavement  740.00  sq.m. Item II - Embankment/Backfilling and Compaction  149.00  cu.m. Item III - P.C.C.P. @ 0.127m thick  192  sq.m. Invitation to Bid    EMBANKMENT AND CEMENTING O</t>
  </si>
  <si>
    <t xml:space="preserve"> INVITATION TO APPLY FOR ELIGIBILITY AND BID								 								 The  Municipality  of  Maasin,  Iloilo,  through  its  Bids  and  Awards  Committee (BAC),  invites  suppliers/								 distributors/ contractors to apply for eligibility and to bid for the here</t>
  </si>
  <si>
    <t xml:space="preserve"> I - Base Preparation     L=26m     W=15m     T=0.10m     V= 39cu.m. plus 15% shrinkage=45cu.m. II - Concrete Pavement      L=22m     W=12m     T=0.10m     V= 26.40cu.m.</t>
  </si>
  <si>
    <t xml:space="preserve"> Republic of the Philippines Province of Leyte Local Government Unit Bato, Leyte INVITATION TO BID SUPPLY AND DELIVERY OF VARIOUS MATERIALS FOR THE CONSTRUCTION OF MAN MADE LAGOON PHASE II, BRGY. KALANGGAMAN, BATO, LEYTE (BATGOODS 2020-07-019) 1.	The Local</t>
  </si>
  <si>
    <t xml:space="preserve"> Republic of the Philippines Region XII                 Province of Cotabato                  City of Kidapawan OFFICE OF THE BIDS AND AWARD COMMITTEE REQUEST FOR QUOTATION (Small Value Procurement) 									 Date: July 29, 2020											 SVP No: SVP2020-</t>
  </si>
  <si>
    <t xml:space="preserve"> Republic of the Philippines Province of Cotabato Municipality of Aleosan Invitation to Bid  SUPPLY AND DELIVERY OF PORTABLE MICROBIOLOGICAL TEST FOR WATER                                                                                                     </t>
  </si>
  <si>
    <t xml:space="preserve"> 1.	40kg. Portland Cement	459 bags 2.	Washed Sand (338 sacks)	13 cu.m. 3.	Washed Gravel (234 sacks)	9 cu.m. 4.	4”CHB	2,745 pcs. 5.	10mmØ x 6m RSB	123 pcs. 6.	16mmØ x 6m RSB	36 pcs. 7.	8’ Cor. G.I. sheet Gauge #.40mm	13 shts. 8.	10’ Cor. G.I. sheet Gauge #.</t>
  </si>
  <si>
    <t xml:space="preserve"> Republic of the Philippines Province of Leyte Municipality of Hilongos INVITATION TO BID FOR THE PROCUREMENT OF OFFICE SUPPLIES 1.  The Local Government Unit of Hilongos, through GENERAL FUND-CURRENT APPROPRIATION- intends to apply the sum ONE HUNDRED FIF</t>
  </si>
  <si>
    <t xml:space="preserve"> Republic of the Philippines DEPARTMENT OF PUBLIC WORKS AND HIGHWAYS BATANGAS II  DISTRICT ENGINEERING OFFICE REGIONAL OFFICE IV-A Kumintang Ilaya, Batangas City INVITATION TO BID For Concreting of Brgy. Manalupang FMR, Brgy. Manalupang, Bauan, Batangas  1</t>
  </si>
  <si>
    <t xml:space="preserve"> Republic of the Philippines PROVINCE OF CAMARINES SUR BIDS AND AWARDS COMMITTEE 									    	                      ITB No.044-08-2020 INVITATION TO BID 	The Provincial Government of Camarines Sur (PGCS) through its Bids and Awards Committee (BAC) invites</t>
  </si>
  <si>
    <t xml:space="preserve"> Republic of the Philippines DEPARTMENT OF PUBLIC WORKS AND HIGHWAYS BATANGAS II  DISTRICT ENGINEERING OFFICE REGIONAL OFFICE IV-A Kumintang Ilaya, Batangas City INVITATION TO BID For Concreting of Brgy. Calo FMR, Brgy. Calo, Lobo, Batangas  1.	The Departm</t>
  </si>
  <si>
    <t xml:space="preserve"> CONCRETING/CONSTRUCTION OF BOBONAON-BIYABID ROAD MUNICIPALITY OF SISON AND MAINIT, SURIGAO DEL NORTE Brief Description:    The project will involve the Concreting/Construction of Bobonaon-Biyabid Road with the following scope of works: Construction of Fie</t>
  </si>
  <si>
    <t xml:space="preserve"> 1 Ascorbic Acid (Vitamin C) 100 mg/5 mL, 60 mL Syrup (144 bottles/box) 2 Ascorbic Acid Tablet 500mg (100 tab/box) 3 Atorvastatin 20mg tablet (100 tablet/box) 4 Cefalexin 125mg/5ml in 60ml bottle (144 bottles/box) 5 Cefalexin 500mg capsule (100capsule/box)</t>
  </si>
  <si>
    <t xml:space="preserve"> City Government of Kidapawan BIDS AND AWARD COMMITTEE Poblacion, Kidapawan City INVITATIONS TO PAKYAW CONTRACT GROUPS 			 Date: July 29, 2020 PL#:PL2020-03-0001 	The City of Kidapawan is inviting Pakyaw Contract Groups to apply for the various items invol</t>
  </si>
  <si>
    <t xml:space="preserve"> Republic of the Philippines PROVINCE OF BILIRAN Municipality of Naval – 6560 Project Reference Number: ITB No. 20-27           INVITATION TO BID FOR THE SUPPLY AND DELIVERY OF  VARIOUS DRUGS &amp; MEDICINES 	1.	The Provincial Government of Biliran under Suppl</t>
  </si>
  <si>
    <t xml:space="preserve"> CARPENTRY AND ROOFING WORKS</t>
  </si>
  <si>
    <t xml:space="preserve"> This project is located at slaughterhouse,barangay Saranay,Cabatuan,Isabela			 			 			 	Type of Structure: Perimeter Fence		 			 ITEM NO.	DESCRIPTION OF WORK TO BE DONE	QUANTITY	 			 I.	EARTHWORKS	192.00	sq.m. II.	CONCRETE WORKS/FORM WORKS	16.08	cu.m. III</t>
  </si>
  <si>
    <t xml:space="preserve"> Location: LGU-Lagawe ABC: Php 2,205,000.00 Cost of Bid Docs: 5,000.00 The Procurement Schedules are as following: 1. Deadline of buying of Bid Docs: August 12, 2020 @ 5:00 PM 2. Deadline for submission of Bid Docs: August 13, 2020 @ 9:00 AM 3. Opening of </t>
  </si>
  <si>
    <t xml:space="preserve"> Republic of the Philippines Province of Cotabato Municipality of Aleosan Invitation to Bid  SUPPLY AND DELIVERY OF A4 BOND PAPER SUB 20 - SEF                                                                                                                  </t>
  </si>
  <si>
    <t xml:space="preserve"> The detailed Bill of Materials is attached to the Bid Forms.</t>
  </si>
  <si>
    <t xml:space="preserve"> Republic of the Philippines Province of Eastern Samar Municipality of Mercedes     OFFICE OF THE BIDS AND AWARDS COMMITTEE (BAC) INVITATION TO BID # INFRA-2020-010  Invitation to Bid for the Proposed Upgrading of Multi-Purpose Center (Phase 1)     		 1.	T</t>
  </si>
  <si>
    <t xml:space="preserve"> Department of Education Region VI-Western Visayas Division of Cadiz City Mabini National High School INVITATION TO BID FOR PROCUREMENT OF INTERNET LOAD MNHS-SHS 2020 1.	The Mabini National High School  of Cadiz City, through the Schools MOOE Fund CY 2020 </t>
  </si>
  <si>
    <t xml:space="preserve"> 1. 1 LOT - ID SUPPLIES - 500,000.00 The Complete Schedule of Activities are Listed as Fallows: 1. Submission of Letter of Intent, August 5-7, 2020 @ 10:00a.m @ Mun. Conference Room, Mun. Hall Dangcagan, Bukidnon 2. Issuance of Bid Documents - August 10-17</t>
  </si>
  <si>
    <t xml:space="preserve"> INVITATION TO BID The Department of Science and Technology Regional Office No. 7, through the Bids and Awards Committee, hereby invites interested suppliers to bid for the following equipment:                                                               </t>
  </si>
  <si>
    <t xml:space="preserve"> Republic of the Philippines                  MUNICIPALITY OF MARIHATAG                 SURIGAO DEL SUR                                                 -o0o-        Bids and Awards Committee       INVITATION TO BID   SUPPLY &amp; DELIVERY OF FUEL USE FOR REHAB</t>
  </si>
  <si>
    <t xml:space="preserve"> INVITATION TO BID #2020-05  FOR  GOODS The Department of Public Works and Highways, Samar Second District Engineering Office, Catbalogan City, Samar, through its Bids and Awards Committee (BAC) for Goods, invites suppliers to submit bids for the following</t>
  </si>
  <si>
    <t xml:space="preserve"> Invitation to Bid July 29, 2020 1. The Municipality of Tinoc through the Bids and Awards Committee advertised an Invitation to bid for the PACKAGE 16 (A. RHU-LANDING ROAD IMPROVEMENT, B. ATHLETIC OVAL DRAINAGE OUTLET, AND C. PALABAYAN ELEMENTARY SCHOOL SL</t>
  </si>
  <si>
    <t xml:space="preserve"> The Local Government Unit of San Andres. Quezon is Requesting for Quotation for the Purchase of Materials for the Fabrication of Wooden windows Mosquito Net Frame at Bryg. Poblacion, San Andres, Quezon amounting to Php 56,735.00.</t>
  </si>
  <si>
    <t xml:space="preserve"> INVITATION TO BID FOR  Procurement of Goods [Supply and Installation of Close Circuit Television Security] (REBID) The   City Government of Tagbilaran,   through the Appropriation Ordinance No. 19-05 for FY 2020, intends to apply the sum of Nine Hundred E</t>
  </si>
  <si>
    <t xml:space="preserve"> Republic of the Philippines Region XII Province of Cotabato City of Kidapawan OFFICE OF THE BIDS AND AWARD COMMITTEE REQUEST FOR QUOTATION (Small Value Procurement) 									 Date: July 29, 2020							             				 SVP No.:SVP2020-07-0142 The City Gov</t>
  </si>
  <si>
    <t xml:space="preserve"> Republic of the Philippines Province of Leyte Municipality of Hilongos INVITATION TO BID FOR THE PROCUREMENT OF OFFICE SUPPLIES 1.  The Local Government Unit of Hilongos, through GENERAL FUND-CURRENT APPROPRIATION- intends to apply the sum FIFTY THOUSAND </t>
  </si>
  <si>
    <t xml:space="preserve"> Item No.	Unit	Qty.	Description of Articles				 1	cu.m.	2390	Filling Materials (White Rocks)				 			x-x-x-x-x				 							 							 		Note: quarry site (stockpile should be provided by the supplier)</t>
  </si>
  <si>
    <t xml:space="preserve"> INVITATION TO BID NO. 2020-07-0020 PROCUREMENT OF BUS PARKING SHADE STRUCTURE OF CAPSU ROXAS MAIN CAMPUS 1.	The Capiz State University, through the Special Trust Fund 2020 intends to apply the sum of Three Hundred Sixty-Five Thousand Three Hundred One Pes</t>
  </si>
  <si>
    <t xml:space="preserve"> INVITATION TO BID The Department of Education (DepEd), Division of Pagadian City through the 2019 Government Appropriations Act (GAA), intends to apply the sum of One Million Seven Hundred Forty-Eight Thousand Five Hundred Ninety-One Pesos Only and 30/100</t>
  </si>
  <si>
    <t xml:space="preserve"> Republic of the Philippines Province of North Cotabato Municipality of Pres. Roxas OFFICE OF THE BIDS AND AWARDS COMMITTEE INVITATION TO BID The Local Government Unit of President Roxas, thru Bids and Awards Committee (BAC) hereby invites interested Bidde</t>
  </si>
  <si>
    <t xml:space="preserve"> 2 km</t>
  </si>
  <si>
    <t xml:space="preserve"> MATERIALS LABOR</t>
  </si>
  <si>
    <t xml:space="preserve"> Location: LGU-Lagawe ABC: Php 95,000.00 Cost of Bid Docs: 500.00 The Procurement Schedules are as following: 1. Deadline of buying of Bid Docs: August 12, 2020 @ 5:00 PM 2. Deadline for submission of Bid Docs: August 13, 2020 @ 9:00 AM 3. Opening of Bids:</t>
  </si>
  <si>
    <t xml:space="preserve"> 1. 1 LOT - CONSTRUCTION SUPPLIES - 1,430,873.30 The Complete Schedule of Activities are Listed as Fallows: 1. Submission of Letter of Intent, August 6-11, 2020 @ 10:00a.m @ Mun. Conference Room, Mun. Hall Dangcagan, Bukidnon 2. Issuance of Bid Documents -</t>
  </si>
  <si>
    <t xml:space="preserve"> INVITATION TO BID  FOR THE Supply and Delivery of Rescue Equipment I.B. No. 2020 - 0040 1.	The LGU - Cabanatuan City, through the General Fund, FY 2020 intends to apply the sum of One Million Nine Hundred Ninety-Four Thousand Seven Hundred Sixty-Three Pes</t>
  </si>
  <si>
    <t xml:space="preserve"> 1.	900	reams	GROUNWOOD, Short, subs. 18, 63GSM, 480sheets 2.	300	reams	MIMEO PAPER, Whitewove, short, subs. 18, 63GSM, 480sheets 3.	180	reams	MIMEO PAPER, Whitewove, long, subs. 18, 63GSM, 480sheets 4.	300	reams	BOOK PAPER, Short, subs. 20, 70GSM, 500shee</t>
  </si>
  <si>
    <t xml:space="preserve"> Republic of the Philippines Province of Romblon MUNICIPALITY OF MAGDIWANG INVITATION TO BID CONSTRUCTION OF DRAINAGE SYSTEM ALONG  JACINTO ST. IN BARANGAY POBLACION Project ID No. 07-2020-008 January 9, 2020 1.	The Municipality of Magdiwang, Romblon, thro</t>
  </si>
  <si>
    <t xml:space="preserve"> Name of Project	:	HIRING OF RESEARCH BOAT AND MOTOR LAUNCH FOR OFFICIAL USE OF TUBBATAHA                                 REEFS NATURAL PARK – MANAGEMENT OFFICE Destination	:	Puerto Princesa City to Tubbataha Reefs Natural Park, Cagayancillo, Palawan to Pu</t>
  </si>
  <si>
    <t xml:space="preserve"> Item No.	Unit	Qty.	Description of Articles				 1	cu.m.	1560	Filling Materials (White Rocks)				 			x-x-x-x-x				 							 							 		Note: quarry site (stockpile should be provided by the supplier)</t>
  </si>
  <si>
    <t xml:space="preserve"> Name of Procuring Entity:                     	                             Contract Reference No. LGU-Q-CWC-09-20 LOCAL GOVERNMENT UNIT	 OF QUEZON, ISABELA      Name of Contract: CONSTRUCTION OF DAIRY GOAT BARN                             	              </t>
  </si>
  <si>
    <t xml:space="preserve"> Printing Supplies</t>
  </si>
  <si>
    <t xml:space="preserve"> The Local Government Unit-BARANGAY OF BULABUD, Malinao, Aklan through the Barangay IRA and GAD CY 2020, intends to apply the sum of Ninety Nine Thousand Five Hundred Sixty Five Pesos and 00/100 (Php99,565.00) as the Approved Budget for the Contract (ABC) </t>
  </si>
  <si>
    <t xml:space="preserve"> I. 1 lot - Temporary Facilities - 50,400.00 		 II. 1 unit - Project Billboard - 10,546.20 		 III. 184 cu.m - Concrete Works: Column, Slab, Beams and Roof Beams and Roof Beams (2nd floor and 3rd          floor columns, 3rd floor slab,3rd floor beam and roo</t>
  </si>
  <si>
    <t xml:space="preserve"> RE - INVITATION TO BID FOR CIVIL WORKS July 27, 2020 1.	The Department of Public Works and Highways (DPWH), Bukidnon Second District Engineering Office, Pinamaloy, Don Carlos, Bukidnon through its Bids and Awards Committee BAC, invites contractors to subm</t>
  </si>
  <si>
    <t xml:space="preserve"> INVITATION TO BID  FOR THE Supply and Delivery of Motor Vehicles I.B. No. 2020 - 0041 							 1. The LGU-Cabanatuan City, through the General Fund FY 2020 intends to apply the sum of Twelve Million Pesos (₱12,000,000.00) being the Approved Budget for the </t>
  </si>
  <si>
    <t xml:space="preserve"> BID TENDER								 								 The Bids and Awards Committee								 Province of Iloilo								 								      In connection with your Invitation to Bid No. ISC-20-0900-B scheduled on August 5, 2020, I/we proposed to furnish and deliver in conformity with the</t>
  </si>
  <si>
    <t xml:space="preserve"> INVITATION TO BID FOR Procurement of Non-Contact Temperature Screening Camera for the Covid-19 Prevention of the College           The CAMARINES SUR POLYTECHNIC COLLEGES, through the GAA Savings (2020) intends to apply the sum of One Million Five Hundred </t>
  </si>
  <si>
    <t xml:space="preserve"> 1.	90 	gal.	LIQUID BLEACH, 1-Gal, Floral Scent 2.	30	bottle	DISINFECTANT SPRAY, 340-grams 3.	384	cakes	BATH SOAP, 90-Grams (Anti-bacterial) 4.	192	roll	TOILET PAPER, 2-Ply 5.	720	sach.	DISHWASHING LIQUID, 50-ml (Anti-bacterial) 6.	30	sach.	DISWASHING SPON</t>
  </si>
  <si>
    <t xml:space="preserve"> [BARANGAY LOCAL GOVERNMENT UNIT- KABATAN, VINCENZO SAGUN]                                                         INVITATION TO BID FOR                                             PROCUREMENT of MINI DUMPTRUCK 1.	The Barangay Local Government Unit- Kabata</t>
  </si>
  <si>
    <t xml:space="preserve"> The specification is available at the Bids and Awards Committee Secretariat MPDC-2nd Floor Lasam Municipal Town Hall</t>
  </si>
  <si>
    <t xml:space="preserve"> BID TENDER								 								 The Bids and Awards Committee								 Province of Iloilo								 								      In connection with your Invitation to Bid No. ISC-20-0899-B scheduled on August 19, 2020, I/we proposed to furnish and deliver in conformity with th</t>
  </si>
  <si>
    <t xml:space="preserve"> The Bids and Awards Committee								 Province of Iloilo								 								      In connection with your Invitation to Bid No. PEO-20-0928-B scheduled on August 5, 2020, I/we proposed to furnish and deliver in conformity with the terms and conditions, and s</t>
  </si>
  <si>
    <t xml:space="preserve"> Contract for One (1) Lot Cloud Storage, 20TB under P.R. No. KMT-2002-008 and ITB No. 2006-029-10 Schedule of Activities  Pre-bid Conference		: 05 August 2020 @ 10:00 A.M. 				  Cafeteria, LRTA Line 2- Depot, Santolan, Pasig City Submission of Bids		: 19 A</t>
  </si>
  <si>
    <t xml:space="preserve"> details at the Engineering Office</t>
  </si>
  <si>
    <t xml:space="preserve"> Const./Rehab/Repair of Solar Lights</t>
  </si>
  <si>
    <t xml:space="preserve"> INVITATION TO BID FOR CIVIL WORKS July 27, 2020 1.	The Department of Public Works and Highways (DPWH), Bukidnon Second District Engineering Office, Pinamaloy, Don Carlos, Bukidnon through its Bids and Awards Committee BAC, invites contractors to submit bi</t>
  </si>
  <si>
    <t xml:space="preserve"> Republic of the Philippines CITY OF LAPU-LAPU BIDS AND AWARDS COMMITTEE Invitation to Bid FOR THE PROCUREMENT OF 1 LOT TRAINING PNEUMATIC PACKAGE EQUIPMENT SET The City of Lapu-Lapu through the  CO 3324-1-07-05-140-17s1 intends to apply the sum of One Mil</t>
  </si>
  <si>
    <t xml:space="preserve"> 2	pcs.	2x3x12 cocolumber 5	pcs.	2x2x12 cocolumber 1	kg.	Assorted Nails 1	 kg.	Nylon String #100 		Reinforced concrete works 82	bags	portland cement 4	cu. m	washed sand 		formworks 14	pcs.	marine plywood 1/4 48	pcs.	coco lumber 2"x2"x8' 21	pcs.	coco lumber</t>
  </si>
  <si>
    <t xml:space="preserve"> INVITATION TO BID	 The National Maritime Polytechnic (NMP), through its Bids and Awards Committee (BAC), invites suppliers/manufacturers/distributors/contractors to bid for the following: PARTICULARS	Source of Funds 	Approved Budget for the Contract (ABC)</t>
  </si>
  <si>
    <t xml:space="preserve"> Supply and delivery of various materials for the Proposed Footbridge at Brgy. Catan-agan, San Enrique, Iloilo. Approved Budget for the Contract: Php. 181,200.00</t>
  </si>
  <si>
    <t xml:space="preserve"> Republic of the Philippines Province of Iloilo Municipality of Lambunao Brgy.  Patag Barangay Office of the Bids &amp; Awards Committee INVITATION TO BID Name of Project: Purchase of Materials for the Road Concreting Location:  Brgy. Patag, Lambunao, Iloilo A</t>
  </si>
  <si>
    <t xml:space="preserve"> The Bids and Awards Committee								 Province of Iloilo								 								      In connection with your Invitation to Bid No. PEO-20-0929-B scheduled on August 5, 2020, I/we proposed to furnish and deliver in conformity with the terms and conditions, and s</t>
  </si>
  <si>
    <t xml:space="preserve"> Contract ID: 20PK0071 Contract Name: Opening and Concreting of Ababa-an Farm-to-Market Road (FMR), Brgy. Ababa-an, Balbalan, Kalinga   Contract Location: Brgy. Ababa-an, Balbalan, Kalinga /Sta. 5+550 - Sta. 6+350 Brief Description: Concreting of Roads App</t>
  </si>
  <si>
    <t xml:space="preserve"> REPUBLIC OF THE PHILIPPINES CITY GOVERNMENT OF OROQUIETA BIDS AND AWARD COMMITTEE City Hall, Oroquieta City                                                                                                                       July 28, 2020                </t>
  </si>
  <si>
    <t xml:space="preserve"> NEOPRENE</t>
  </si>
  <si>
    <t xml:space="preserve"> Republic of the Philippines DEPARTMENT OF HEALTH WESTERN VISAYAS Center for Health Development INVITATION TO BID FOR THE  Procurement of Ointments and Essential Medicines,  IB No. SB-2020-027 1.	The Department of Health – WV CHD, through the 2020 PHM (NCD</t>
  </si>
  <si>
    <t xml:space="preserve"> Republic of the Philippines DEPARTMENT OF HEALTH WESTERN VISAYAS Center for Health Development INVITATION TO BID FOR THE  Rebidding of Disinfectants,  IB No. SB-2020-020 1.	The Department of Health – WV CHD, through the SAA-2020-03-0345 fund  intends to a</t>
  </si>
  <si>
    <t xml:space="preserve"> 1 UNIT AMBULANCE</t>
  </si>
  <si>
    <t xml:space="preserve"> 1. Aggregates Based Course                                   126.0 cu.m. 2. Cement                                                             203.0 bags 3. Sand                                                                  15.0 cu.m 4. Gravel         </t>
  </si>
  <si>
    <t xml:space="preserve"> Invitation to Bid for SUPPLY AND DELIVERY OF IT &amp; OFFICE EQUIPMENT FOR MUNICIPAL ACCOUNTING OFFICE The Municipal Government of Looc, Romblon, through the AO-NO. 021-2020-Supplemental Appropriation intends to apply the sum of One Hundred Eighty Thousand Fi</t>
  </si>
  <si>
    <t xml:space="preserve"> INVITATION TO BID  (ITB NO. 20-17) PUBLIC BIDDING OF PROCUREMENT OF JANITORIAL SERVICES FOR DTI-REGION 10 FOR THE YEAR 2020 (2020-07-180) 1.	The Department of Trade and Industry-Region 10 (DTI 10) through the General Appropriations Act intends to apply th</t>
  </si>
  <si>
    <t xml:space="preserve"> Republic of the Philippines Province of Bukidnon Municipality of Damulog BARANGAY TANGKULAN OFFICE OF THE BIDS AND AWARDS COMMITTEE INVITATION TO BID FOR SUPPLY AND DELIVERY OF VARIOUS CONSTRUCTION MATERIALS FOR IMPROVEMENT OF MULTI-PURPOSE BUILDING(PHASE</t>
  </si>
  <si>
    <t xml:space="preserve"> 1 Lot DIGITAL DUPLICATING MACHINE Master Making Time (Quick Master Making Mode): approx 17 sec Master Making Time (Normal Master Making Mode): approx 19 sec Scanning Resolution: 600 x 600 dpi Print Resolution: 300 x 600 dpi Max Scanning Area: 297 mm x 432</t>
  </si>
  <si>
    <t xml:space="preserve"> Procurement of Disaster Equipment and Accessories Municipality of Dumanjug, Cebu through the SB Resolution No. 2018-136 Series of 2018  intends to apply the sum of ONE MILLION PESOS (1,000,000.00)  being the Approved Budget for the Contract (ABC) to payme</t>
  </si>
  <si>
    <t xml:space="preserve"> Tricycle with a Minimum enclosed sidecar dimension of H=0.60m, L=1.20m, W=2.20m and built-in Shed for driver and detachable shed for sidecar and Motorcycle minimum specs are 150cc 4-stroke engine (gasoline), electric starter, and compatible for sidecar in</t>
  </si>
  <si>
    <t xml:space="preserve"> To Contract for the Supply of Materials, Labor, and Equipments for the Project: SUPPLY AND INSTALLATION OF FIRE DETECTION, ALARM AND SUPPRESSION FOR THREE (3) STOREY NEW MUNICIPAL HALL BLDG. with I.D. # KIA-SAR-20-001, amounting to Six hundred forty five </t>
  </si>
  <si>
    <t xml:space="preserve"> The Municipal Government of Bayog, Zamboanga del Sur thru its Bids and Awards Committee (BAC) invites all interested bidders for the “SUPPLY, DELIVERY AND INSTALLATION OF AIRCONDITION UNITS” for use in the Offices of the Municipal Government of Bayog. App</t>
  </si>
  <si>
    <t xml:space="preserve"> Republic of the Philippines DEPARTMENT OF HEALTH WESTERN VISAYAS Center for Health Development INVITATION TO BID FOR THE  Rebidding of NAAT – LAMP Reagents and Consumables, IB No. SB-2020-022 1.	The Department of Health – WV CHD, through the SAA-20-04-073</t>
  </si>
  <si>
    <t xml:space="preserve"> STEEL WORKS, INSTALLATION OF BOARDS AND RINGS, CONCRETE WORKS AND PAINTING For further information for the bill materials, Programs Works or any requests for additional  information concerning this bidding shall be directed to the Bids and Awards Committe</t>
  </si>
  <si>
    <t xml:space="preserve"> Republic of the Philippines DEPARTMENT OF HEALTH WESTERN VISAYAS Center for Health Development INVITATION TO BID FOR THE  Procurement of Medical Supplies,  IB No. SB-2020-026 1.	The Department of Health – WV CHD, through the CONAP SAA-19-06-0227 and SAA-2</t>
  </si>
  <si>
    <t xml:space="preserve"> 1. Construction of 90 linear meter rock causeway with stairlandings.</t>
  </si>
  <si>
    <t xml:space="preserve"> Republic of the Philippines PROVINCE OF AKLAN Municipality of Tangalan INVITATION TO BID  CONSTRUCTION OF SLAUGHTERHOUSE PHASE II AND OTHER AMENITIES Project Reference No.: SF-INFR-2020-008-007 Approved Budget for the Contract: Php 2, 500, 000.00 Source o</t>
  </si>
  <si>
    <t xml:space="preserve"> Republic of the Philippines PROVINCE OF CAMARINES SUR BIDS AND AWARDS COMMITTEE ITB No. 045-08-2020 INVITATION TO BID  	The Provincial Government of Camarines Sur (PGCS) through its Bids and Awards Committee (BAC) invites suppliers/manufacturers/distribut</t>
  </si>
  <si>
    <t xml:space="preserve"> 1.	The Municipality of Esperanza, intends to apply the sum of Two Hundred Six Thousand   Pesos Only (Php206,000.00) being the Approved Budget for the Contract (ABC) to payments under the contract for Supply and Delivery of Various Office Equipment use for</t>
  </si>
  <si>
    <t xml:space="preserve"> 2 UNITS WATER PURIFIER SET (WATER PURIFIER &amp; SOLAR POWER SYSTEM) FLOW RATE OF 2.9 GAL/MIN 4 STAGE WATER PURIFICATION SYSTEM W/ ULTRA VIOLET LIGHT 16AMP BATTERY SOLAR CHARGE CONTROLLER:10AMP UNIT THAT USES PWM TECH SLAR PANEL:ONE CE, ROHS, PSE-CERTIFIED 20</t>
  </si>
  <si>
    <t xml:space="preserve"> Materials Supply of Labor Rental of Equipment</t>
  </si>
  <si>
    <t xml:space="preserve"> INVITATION TO BID FOR THE  SUPPLY AND DELIVERY OF RESISTIVITY FIELD METER PR Nos. 27838 – 001 1.	The Metropolitan Cebu Water District, through the Corporate Budget of 2020 intends to apply the sum of: PR No.	Description	Qty.	Unit Price	Approved Budget  fo</t>
  </si>
  <si>
    <t xml:space="preserve"> INVITATION TO BID FOR THE  SUPPLY AND DELIVERY OF COMPUTER NOTEBOOK PR Nos. 27852-001 1.	The Metropolitan Cebu Water District, through the Corporate Budget of 2020 intends to apply the sum of: PR No.	Description	Qty.	Unit Price	Approved Budget for the Con</t>
  </si>
  <si>
    <t xml:space="preserve"> Project Reference No.: I-2020-17  Date:          July 29, 2020 INVITATION TO BID FOR “MODERN AUDIO VISUAL ROOM AT  LABORATORY HIGH SCHOOL (LHS)” (INFRA-2020-17)      1.	The Bulacan State University (BulSU), through the Income Fund 2020 intends to apply th</t>
  </si>
  <si>
    <t xml:space="preserve"> Republic of the Philippines PROVINCE OF PAMPANGA City of San Fernando INVITATION TO BID NO. 2020-29 IG - BAC INVITATION TO BID FOR PURCHASE REQUEST NO.20-1553, 20-1532, 20-1534, 20-1804, 20-1759, 20-1453, 20-1546, 20-1452, 20-0825 and 20-0620 The Provinci</t>
  </si>
  <si>
    <t xml:space="preserve"> MUNICIPALITY OF PANIQUI Province of Tarlac	Project Reference Number : I-2020-021 Name of the Project           : Construction of Multi-Purpose Covered Court Location of the Project     : Brgy. San Isidro, Paniqui, Tarlac Standard Form Number: SF-INFR-05 R</t>
  </si>
  <si>
    <t xml:space="preserve"> Republic of the Philippines DEPARTMENT OF HEALTH WESTERN VISAYAS Center for Health Development INVITATION TO BID FOR THE  Procurement of Urine Pregnancy Test Kit,  IB No. SB-2020-025 1.	The Department of Health – WV CHD, through the GOP POOLED fund  inten</t>
  </si>
  <si>
    <t xml:space="preserve"> BID TENDER							 							 The Bids and Awards Committee							 Province of Iloilo							 							      In connection with your Invitation to Bid No. POS-20-0698-B scheduled on August 19, 2020, I/we proposed to furnish and deliver in conformity with the ter</t>
  </si>
  <si>
    <t xml:space="preserve"> INVITATION TO BID FOR THE  SUPPLY AND DELIVERY OF CORPORATION STOP AND BRASS COUPLING PR Nos. 2777-001-004 1.	The Metropolitan Cebu Water District, through the Corporate Budget of 2020 intends to apply the sum of: PR No.	Description	Qty.	Unit Price	Approv</t>
  </si>
  <si>
    <t xml:space="preserve"> AGUS 6 UNITS 3,4 &amp; 5</t>
  </si>
  <si>
    <t xml:space="preserve"> INVITATION TO BID FOR THE CONSTRUCTION OF ONE (1) BUILDING PUBLIC MARKET (8M X 34.2M) – FISH SECTION LOCATED AT PUBLIC MARKET, STA. ROSA, AURORA, ISABELA 1.	The Local Government Unit of Aurora, through the DBP Loan intends to apply the sum of Four Million</t>
  </si>
  <si>
    <t xml:space="preserve"> Item No.	Qty	DESCRIPTION				Unit Of Measurement 						 1	106	Water Meter, Residential Type (Supply Only)				Piece 2	152	Brass Ball Valve,1/2''				Piece 3	212	G.I. Nipple, 1'' x 12''				Piece 4	106	G.I. Nipple, 1/2'' x 4''				Piece 5	424	G.I. Elbow, 1/2'' </t>
  </si>
  <si>
    <t xml:space="preserve"> Republic of the Philippines  Province of Cebu Municipality of Boljoon INVITATION TO BID FOR the Procurement of Street Lights 1.	The Barangay Baclayan, through the Financial Assistance in the amount of One hundred thousand pesos (P 100,000.00) being the ap</t>
  </si>
  <si>
    <t xml:space="preserve"> 1 unit EB-X41 XGA 3LCD Projector with Free Tripod														 Projector and 16GB Flash Drive	 													 1 unit DSLR EOS 1500D with EFS18-55mm IS II Lens														 DSLR Camera 24 MP		 												 1 unit Air Cooled Portable Diesel Fire Pump model</t>
  </si>
  <si>
    <t xml:space="preserve"> I.     CONCRETE WORKS      -      60.00    CU.M.</t>
  </si>
  <si>
    <t xml:space="preserve"> INVITATION TO BID FOR THE CONSTRUCTION OF ONE (1) BUILDING PUBLIC MARKET (10M X 34.2M) – STALL SECTION LOCATED AT PUBLIC MARKET, STA. ROSA, AURORA, ISABELA 1.	The Local Government Unit of Aurora, through the DBP Loan intends to apply the sum of Five Milli</t>
  </si>
  <si>
    <t xml:space="preserve"> Republic of the Philippines Province of Negros Oriental City of Guihulngan Bids and Awards Committee INVITATION TO BID (ITB No. PB2020-051) (2nd Call for Public Bidding) The  City of  Guihulngan, through its Bids and Awards Committee (BAC), invites contra</t>
  </si>
  <si>
    <t xml:space="preserve"> to satisfy the needs of the Barangay such as meetings,conference, big events and etc.</t>
  </si>
  <si>
    <t xml:space="preserve"> INVITATION TO BID FOR THE CONSTRUCTION OF ONE (1) BUILDING PUBLIC MARKET (13M X 34.2M) – VEGETABLE SECTION LOCATED AT PUBLIC MARKET, STA. ROSA, AURORA, ISABELA 1.	The Local Government Unit of Aurora, through the DBP Loan intends to apply the sum of Six Mi</t>
  </si>
  <si>
    <t xml:space="preserve"> Invitation to Bid for SUPPLY AND DELIVERY OF OFFICE EQUIPMENT  FOR MUNICIPAL PLANNING &amp; DEVELOPMENT OFFICE The Municipal Government of Looc, Romblon, through the AO-NO. 018-2019 Regular1 intends to apply the sum of Seventy-Five Thousand Pesos Only (P 75,0</t>
  </si>
  <si>
    <t xml:space="preserve"> with Elevated Concrete Reservoir, Pump House, Transmission and Distribution Line at Lower Mabuhay, Bansalan, Davao del Sur Please see attached ITB and RFQ in Associated Component Section for Specifications</t>
  </si>
  <si>
    <t xml:space="preserve"> Invitation to Bid for SUPPLY AND DELIVERY OF OFFICE EQUIPMENT  FOR MUNICIPAL ASSESSOR OFFICE The Municipal Government of Looc, Romblon, through the AO-NO. 021-2020 Supplemental Appropriation1 intends to apply the sum of Fifty-Seven Thousand Pesos Only (P </t>
  </si>
  <si>
    <t xml:space="preserve"> Republic of the Philippines Province of Negros Oriental City of Guihulngan Bids and Awards Committee INVITATION TO BID (ITB No. PB2020-054) (2nd Call for Public Bidding) The  City of  Guihulngan, through its Bids and Awards Committee (BAC), invites contra</t>
  </si>
  <si>
    <t xml:space="preserve"> Republic of the Philippines Province of Negros Oriental City of Guihulngan Bids and Awards Committee INVITATION TO BID (ITB No. PB2020-055) (2nd Call for Public Bidding) The  City of  Guihulngan, through its Bids and Awards Committee (BAC), invites contra</t>
  </si>
  <si>
    <t xml:space="preserve"> Materials Supply of labor  Rental of equipment</t>
  </si>
  <si>
    <t xml:space="preserve"> 76	pcs.	2"X2"10 COCO LUMBER 14	pcs.	MARINE PLYWOOD 1/4" 4	KGS.	CWN 3" 2	KGS.	CWN 1" 4	UNITS	BAMBOO BED 1	BOX	DUPLEX WIRE 14/2 12	pcs.	EXCELL BULB 11 WATTS 4	pcs.	SWITCH 4	pcs.	OUTLET 2 GANG 2	pcs.	ELECTRIC TAPE BIG 2	ROLLS	BALB WIRE 7	pcs.	12MMX6M DEF BAR</t>
  </si>
  <si>
    <t xml:space="preserve"> Provincial Social Welfare Development Office Agusan del Norte</t>
  </si>
  <si>
    <t xml:space="preserve"> Republic of the Philippines Provincial Government of Aurora Bids and Awards Committee (BAC) BAC Office, Provincial Capitol Building, Baler, Aurora 3200, Philippines Standard Form Number: SF-INFR-05 Revised on: July 29, 2004 INVITATION TO BID The PROVINCIA</t>
  </si>
  <si>
    <t xml:space="preserve"> Equipment                                 No.                No. of Days 1.  Road Grader                               1                         1 2.  One Bagger Mixer                        1                       18 3.  Concrete Vibrator                </t>
  </si>
  <si>
    <t xml:space="preserve"> 1	7,500	Btl		Paracetamol Drops  2	4,000	Btl		Ambroxol Drops  3	5,000	Btl		Amoxicillin Drops  4	10,000	Btl		Multivitamins Drops  5	10,000	Btl		Ascorbic Acid Drops  6	7,500	Btl		Phenylpropanolamine Drops  7	4,000	Btl		Carbocisteine Drops  8	3,000	Btl		Cefal</t>
  </si>
  <si>
    <t xml:space="preserve"> SUPPLY OF LABOR AND MATERIALS</t>
  </si>
  <si>
    <t xml:space="preserve"> Republic of the Philippines Province of Negros Oriental City of Guihulngan Bids and Awards Committee INVITATION TO BID (ITB No. PB2020-052) (2nd Call for Public Bidding) The  City of  Guihulngan, through its Bids and Awards Committee (BAC), invites contra</t>
  </si>
  <si>
    <t xml:space="preserve"> Description of Works to be Done I. EXCAVATION II. CONCRETE WORKS III. PAINTING WORKS IV. INSTALLATION OF SOLAR POWER STREETLIGHTS</t>
  </si>
  <si>
    <t xml:space="preserve"> Initial Installation of Early Warning System and Monitoring in Lucod, Central and Lambajon (Public Address, remote Trigger Alarm System, Visual Monitoring/Surveillance and Recording at the Opcen).</t>
  </si>
  <si>
    <t xml:space="preserve"> Republic of the Philippines Province of Nueva Vizcaya BIDS AND AWARDS COMMITTEE (BAC-Goods) BAC OFFICE, Provincial Capitol, Bayombong, Nueva Vizcaya Tel. No. 078-392-2062 	 2ND INVITATION TO BID FOR THE SUPPLY AND DELIVERY OF 1 UNIT  MOTOR VEHICLE/SERVICE</t>
  </si>
  <si>
    <t xml:space="preserve"> INVITATION TO BID TheDPWH-Regional Office No. III, throughits Bids and Awards Committee (BAC), invites contractorstosubmitbidsforthe following Contracts below: ProcurementID/ContractID:20C00049 ContractName:Local Program-Construction/Repair/Rehabilitation</t>
  </si>
  <si>
    <t xml:space="preserve"> Republic of the Philippines Province of Negros Oriental City of Guihulngan Bids and Awards Committee INVITATION TO BID (ITB No. PB2020-057) The  City of  Guihulngan, through its Bids and Awards Committee (BAC), invites contractors registered with and clas</t>
  </si>
  <si>
    <t xml:space="preserve"> Invitation to Bid for SUPPLY AND DELIVERY OF IT EQUIPMENT  FOR MUNICIPAL AGRICULTURE OFFICE The Municipal Government of Looc, Romblon, through the AO-NO. 021-2020 Supplemental Appropriation1 intends to apply the sum of Forty-Four Thousand Pesos Only (P 44</t>
  </si>
  <si>
    <t xml:space="preserve"> The Municipal Government Unit of CONNER, through the Capital Outlay 2020- Mayor’s Office intends to apply the sum of One Million Pesos only (₱ 1,000,000.00) being the Approved Budget for the Contract (ABC) to payments under the contract for the:    Procur</t>
  </si>
  <si>
    <t xml:space="preserve"> Republic of the Philippines Province of Cagayan Municipality of Baggao INVITATION TO BID FOR THE PROCUREMENT OF GOODS The LOCAL GOVERNMENT UNIT OF BAGGAO, CAGAYAN, through the 01-001-5-02-03-010 intends to apply the sum of Six Hundred Ninety-Three Thousan</t>
  </si>
  <si>
    <t xml:space="preserve"> Republic of the Philippines Province of Negros Oriental City of Guihulngan Bids and Awards Committee INVITATION TO BID (ITB No. PB2020-056) The  City of  Guihulngan, through its Bids and Awards Committee (BAC), invites contractors registered with and clas</t>
  </si>
  <si>
    <t xml:space="preserve"> INVITATION TO BID FOR THE PROCUREMENT                                                                                          OF JANITORIAL SERVICES FOR CY2020 The PHILIPPINE HEALTH INSURANCE CORPORATION, PhilHealth Regional Office-Caraga (PRO Caraga), t</t>
  </si>
  <si>
    <t xml:space="preserve"> Department of Education Region VI-Western Visayas Division of Cadiz City Hiyang-Hiyang Elementary School  INVITATION TO BID FOR THE PROCUREMENT OF SUPPLIES FOR MODULES FOR THE YEAR 2020 1.	The Hiyang-Hiyang Elementary School of Cadiz City, through the Sch</t>
  </si>
  <si>
    <t xml:space="preserve"> INVITATION TO BID FOR THE PROCUREMENT                                                                                          OF SECURITY SERVICES FOR CY 2020 The PHILIPPINE HEALTH INSURANCE CORPORATION, PhilHealth Regional Office-Caraga (PRO Caraga), th</t>
  </si>
  <si>
    <t xml:space="preserve"> Invitation to Bid for SUPPLY AND DELIVERY OF OFFICE &amp; IT EQUIPMENT  FOR MUNICIPAL CIVIL REGISTRAR OFFICE The Municipal Government of Looc, Romblon, through the AO-NO. 021-2020 Supplemental Appropriation1 intends to apply the sum of One Hundred Forty-Five </t>
  </si>
  <si>
    <t xml:space="preserve"> Construction of Multi- Purpose Hall are made of long span roofing, flashing,fascia board, assorted concrete nails,lumber,hardiflex,metal furring and etc. Source of Fund: SB 1 cy 2019  Biddng Date: August 13, 2020- 2:00pm at Brgy Jereos, La Paz, Brgy. Hall</t>
  </si>
  <si>
    <t xml:space="preserve"> The Local Government Unit of CONNER, through the Capital Outlay Mayor’s Office 2019 intends to apply the sum of Four Hundred sixty four thousand One hundred eighty seven pesos and 72/100 Centavos Only (₱ 464,187.72) being the Approved Budget for the Contr</t>
  </si>
  <si>
    <t xml:space="preserve"> 22 units of Super Digital Duplicator Machine Specifications: Master Making/Printing Methods	-	High-speed digital master-making/Full automatic printing Original type				-	Sheet Original Size (min./max.)		-	90mm x 140mm to 310mm x 435mm 						        (3 17/</t>
  </si>
  <si>
    <t xml:space="preserve"> Republic of the Philippines Province of Lanao del Norte Municipality of Tubod OFFICE OF THE BIDS AND AWARDS COMMITTEE INVITATION TO BID CONSTRUCTION OF COLUMBARIUM NICHES Public Cemetery, Tubod, Lanao del Norte  (ITB-2020-JDL-017 Re-Bid) Approved Budget f</t>
  </si>
  <si>
    <t xml:space="preserve"> Republic of the Philippines Province of Negros Oriental City of Guihulngan Bids and Awards Committee INVITATION TO BID (ITB No. PB2020-060) The  City of  Guihulngan, through its Bids and Awards Committee (BAC), invites contractors registered with and clas</t>
  </si>
  <si>
    <t xml:space="preserve"> Department of Education Region VI-Western Visayas Division of Cadiz City Hiyang-Hiyang Elementary School  INVITATION TO BID FOR THE PROCUREMENT OF SUPPLIES FOR COVID-19 PANDEMIC PREPAREDNESS FOR THE YEAR 2020 1.	The Hiyang-Hiyang Elementary School of Cadi</t>
  </si>
  <si>
    <t xml:space="preserve"> Supply and delivery of crude oil for LGU Jose Abad Santos, Davao Occidental.</t>
  </si>
  <si>
    <t xml:space="preserve"> Republic of the Philippines Province of Lanao del Norte Municipality of Tubod OFFICE OF THE BIDS AND AWARDS COMMITTEE INVITATION TO BID ESTABLISHMENT OF LGU-MANAGED FM RADIO STATION Tubod, Lanao del Norte  (ITB-2020-JDL-016 Re-Bid) Approved Budget for the</t>
  </si>
  <si>
    <t xml:space="preserve"> The Local Government Unit of CONNER, through the 2020 20% DF intends to apply the sum of Four hundred twenty eight thousand six hundred fifty three pesos and 17/100 Centavos Only (₱ 428,653.17) being the Approved Budget for the Contract (ABC) to payments </t>
  </si>
  <si>
    <t xml:space="preserve"> Republic of the Philippines Province of Negros Oriental City of Guihulngan Bids and Awards Committee INVITATION TO BID (ITB No. PB2020-059) The  City of  Guihulngan, through its Bids and Awards Committee (BAC), invites contractors registered with and clas</t>
  </si>
  <si>
    <t xml:space="preserve"> Republic of the Philippines LOCAL GOVERNMENT UNIT OF GINGOOG BIDS AND AWARDS COMMITTEE Gingoog City 	INVITATION TO BID	 PURCHASE OF DIGITAL DUPLICATOR MACHINES AND PHOTOCOPIER MACHINES UNDER P.R. NO. 80-20-07-084 1.	The Local Government Unit of Gingoog Ci</t>
  </si>
  <si>
    <t xml:space="preserve"> COMPLETION OF PUROK 3 BARANGAY BALUNTAY LEVEL III WATER SYSTEM Alabel, Sarangani Province (Contract No. INFRA 2020-42) July 29, 2020 1.	The Provincial Government of Sarangani, through AIP CY 2020/AB 2020 intends to apply the sum of One Million Four Hundre</t>
  </si>
  <si>
    <t xml:space="preserve"> INVITATION TO BID FOR SUPPLIES/DELIVERIES FOR THE PROCUREMENT OF VARIOUS IT EQUIPMENT AND ACCESSORIES TO BE USED IN ADMINISTRATIVE SECTION, MAINTENANCE SECTION, QUALITY ASSURANCE SECTION, PLANNING &amp; DESIGN SECTION, AND FINANCE SECTION FOR THE 3RD QUARTER </t>
  </si>
  <si>
    <t xml:space="preserve"> Republic of the Philippines Province of Cagayan Municipality of Baggao INVITATION TO BID FOR THE PROCUREMENT OF GOODS The LOCAL GOVERNMENT UNIT OF BAGGAO, CAGAYAN, through the 01-001-5-02-03-010 intends to apply the sum of One Million Five Hundred Eighty-</t>
  </si>
  <si>
    <t xml:space="preserve"> Invitation to Bid for SUPPLY AND DELIVERY OF FURNITURE  FOR MUNICIPAL TREASURER OFFICE The Municipal Government of Looc, Romblon, through the AO-NO. 021-2020 Supplemental Appropriation1 intends to apply the sum of Sixty-Five Thousand Seven Hundred Pesos O</t>
  </si>
  <si>
    <t xml:space="preserve"> Invitation to Bid for SUPPLY AND DELIVERY OF IT &amp; OFFICE EQUIPMENT AND FURNITURE &amp; FIXTURES FOR MUNICIPAL BUDGET OFFICE The Municipal Government of Looc, Romblon, through the AO-NO. 021-2020 Supplemental Appropriation1 intends to apply the sum of One Hund</t>
  </si>
  <si>
    <t xml:space="preserve"> CONSTRUCTION OF ADDITIONAL CELLS AND INFIRMARY FOR SARANGANI PROVINCIAL JAIL Alabel, Sarangani Province (Contract No. INFRA 2020-44) July 29, 2020 1.	The Provincial Government of Sarangani, through AIP CY 2020/AB 2020 intends to apply the sum of Nine Mill</t>
  </si>
  <si>
    <t xml:space="preserve"> Republic of the Philippines Province of Cagayan Municipality of Baggao INVITATION TO BID FOR THE PROCUREMENT OF GOODS The LOCAL GOVERNMENT UNIT OF BAGGAO, CAGAYAN, through the 01-001-5-02-03-010 intends to apply the sum of Two Million Seven Hundred Twenty</t>
  </si>
  <si>
    <t xml:space="preserve"> PURCHASE OF SOLAR POWERED LIGHTING FACILITIES The Barangay Veterans Village, City Proper, Iloilo City thru the Office of Bids and Awards Committee invites suppliers to apply for eligibility and if found eligible to bid for the ff:  Project Title: PURCHASE</t>
  </si>
  <si>
    <t xml:space="preserve"> Republic of the Philippines PROVINCE OF BUKDINON Malaybalay City OFFICE OF THE PROVINCIAL GOVERNOR Bids and Awards Committee INVITATION TO BID FOR THE “SUPPLY AND DELIVERY OF SEEDS” ITB No. 2020-186 July 27, 2020 1.	The Provincial Government of Bukidnon, </t>
  </si>
  <si>
    <t xml:space="preserve"> The Local Government Unit of CONNER, through the DSWD LCPC-2020 intends to apply the sum of Three Hundred Seventy-One Thousand Four Hundred Sixty Seven   Pesos and 64/100 Centavos Only (₱ 371,467.64) being the Approved Budget for the Contract (ABC) to pay</t>
  </si>
  <si>
    <t xml:space="preserve"> Invitation to Bid for SUPPLY AND DELIVERY OF FURNITURE &amp; FIXTURE AND OFFICE  EQUIPMENT FOR MUNICIPAL PLANNING &amp; DEVELOPMENT OFFICE The Municipal Government of Looc, Romblon, through the AO-NO. 021-2020 Supplemental Appropriation1 intends to apply the sum </t>
  </si>
  <si>
    <t xml:space="preserve"> IMPROVEMENT OF KIOGAM MULTI-PURPOSE BUILDING Glan, Sarangani Province (Contract No. INFRA 2020-43) July 29, 2020 1.	The Provincial Government of Sarangani, through AIP CY 2020/AB 2020 intends to apply the sum of One Million Five Hundred Thousand Pesos (₱1</t>
  </si>
  <si>
    <t xml:space="preserve"> Sub grade preparation Portland cement Concrete pavement Riprap Canal</t>
  </si>
  <si>
    <t xml:space="preserve"> The Local Government Unit of CONNER, through the DF LCPC-2020 intends to apply the sum of Two Hundred Thirty-Two Thousand Two Hundred Seventeen Pesos and 53/100 Centavos Only (₱ 232,217.53) being the Approved Budget for the Contract (ABC) to payments unde</t>
  </si>
  <si>
    <t xml:space="preserve"> The Local Government Unit of CONNER, through the LDRRMF 5% 2018 intends to apply the sum of Two hundred thirty Five Thousand Five Hundred One  Pesos and 40/100 Centavos Only (₱ 235,501.40) being the Approved Budget for the Contract (ABC) to payments under</t>
  </si>
  <si>
    <t xml:space="preserve"> Republic of the Philippines Office of the Municipal Mayor BIDS AND AWARDS COMMITTEE Burgos, Ilocos Sur INVITATION TO BID The Municipal Government of Burgos, Ilocos Sur, through its Bids and Awards Committee (BAC) invites bids for the hereunder contract: 	</t>
  </si>
  <si>
    <t xml:space="preserve"> Republic of the Philippines Province of Davao Oriental City of Mati BIDS &amp; AWARDS COMMITTEE INVITATION TO BID Procurement of 1,225 LITERS LIQUID FOLIAR FERTILIZER in Support to Farmers of the Province SOURCE OF FUND: OLFP [1999OD-200-5-02-03-100-01] 1.	Th</t>
  </si>
  <si>
    <t xml:space="preserve"> Shopping</t>
  </si>
  <si>
    <t xml:space="preserve"> Purchase of Medicine for RHU Use</t>
  </si>
  <si>
    <t xml:space="preserve"> PROJECT: CONCRETING OF ROAD ALLEY PHASE 1, 2 &amp; 3 LOCATION: BARANGAY STA. ROSA, CONCEPCION, TARLAC APPROVED BUDGET FOR THE CONTRACT: PHP 272,944.90 SOURCE OF FUND: 20% BDF The contract to be performed by the successful bidder shall be specified in the Tech</t>
  </si>
  <si>
    <t xml:space="preserve"> The Local Government Unit of CONNER, through the 2020 20% DF intends to apply the sum of One Million Three Hundred Ninety Four Thousand Four Hundred Fifty Nine Pesos and 68/100 Centavos Only (₱ 1,394,459.68) being the Approved Budget for the Contract (ABC</t>
  </si>
  <si>
    <t xml:space="preserve"> Republic of the Philippines Province of Negros Oriental City of Guihulngan Bids and Awards Committee INVITATION TO BID (ITB No. PB2020-053) (2nd Call for Public Bidding) The  City of  Guihulngan, through its Bids and Awards Committee (BAC), invites contra</t>
  </si>
  <si>
    <t xml:space="preserve"> PAKYAW BASIS TO ASSIST THE AGUS 6 HEP MECHANICAL SECTION DURING REPAIR OF SPILLWAY GATES</t>
  </si>
  <si>
    <t xml:space="preserve"> materials Supply of labor Rental of equipment</t>
  </si>
  <si>
    <t xml:space="preserve"> MUNICIPALITY OF PANIQUI Province of Tarlac	Project Reference Number : I-2020-022 Name of the Project           : Rehabilitation of Local Access Road (Phase 1) Location of the Project     : Brgy. Nagmisaan to Brgy. San Juan De Milla, Paniqui, Tarlac Standa</t>
  </si>
  <si>
    <t xml:space="preserve"> Republic of the Philippines Province of Cagayan Municipality of Baggao INVITATION TO BID FOR THE PROCUREMENT OF GOODS The LOCAL GOVERNMENT UNIT OF BAGGAO, CAGAYAN, through the 01-01-5-06-04-020-99 SB #01-2015 intends to apply the sum of Three Hundred Sixt</t>
  </si>
  <si>
    <t xml:space="preserve"> INVITATION TO BID FOR THE CONSTRUCTION OF ONE (1) BUILDING PUBLIC MARKET (8M X 34.2M) – MEAT SECTION LOCATED AT PUBLIC MARKET, STA. ROSA, AURORA, ISABELA 1.	The Local Government Unit of Aurora, through the DBP Loan intends to apply the sum of Four Million</t>
  </si>
  <si>
    <t xml:space="preserve"> INVITATION TO BID FOR THE  SUPPLY AND DELIVERY OF COMPUTER SOFTWARE AUTOCAD PR Nos. 27828-001 1.	The Metropolitan Cebu Water District, through the Corporate Budget of 2020 intends to apply the sum of: PR No.	Description	Qty.	Unit Price	Approved Budget for</t>
  </si>
  <si>
    <t xml:space="preserve"> Invitation to Bid for SUPPLY AND DELIVERY OF VARIOUS OFFICE EQUIPMENT  FOR MUNICIPAL TREASURER OFFICE The Municipal Government of Looc, Romblon, through the AO-NO. 021-2020 Supplemental Appropriation1 intends to apply the sum of One Hundred Thirty-Five Th</t>
  </si>
  <si>
    <t xml:space="preserve"> Republic of the Philippines DEPARTMENT OF HEALTH WESTERN VISAYAS Center for Health Development INVITATION TO BID FOR THE  Procurement of Laboratory Supplies for TB Infection Control,  IB No. SB-2020-030 1.	The Department of Health – WV CHD, through the PH</t>
  </si>
  <si>
    <t xml:space="preserve"> UNIT                  DESCRIPTION                           QUANTITY  SPL-1 CLEARING OF OTHER OBSTRUCTIONS/STRUCTURE EXCAVATION  Qty.= 1.00 lot  I. Labor incl. Equipment Rental  DIRECT COST  INDIRECT COST  OCM(15%ofDirect Cost)  Profit(10%of Direct Cost) </t>
  </si>
  <si>
    <t xml:space="preserve"> Republic of the Philippines DEPARTMENT OF HEALTH WESTERN VISAYAS Center for Health Development INVITATION TO BID FOR THE  Procurement of Reagents and Glassware,  IB No. SB-2020-028 1.	The Department of Health – WV CHD, through the SAA-2019-06-0121 fund  i</t>
  </si>
  <si>
    <t xml:space="preserve"> Construction of 14.0m x 11.0m 2 classroom Gabaldon type school building</t>
  </si>
  <si>
    <t xml:space="preserve"> Purchase of Commercial Rice</t>
  </si>
  <si>
    <t xml:space="preserve"> INVITATION TO BID									 									 The LOCAL GOVERNMENT UNIT OF SINDANGAN, through its Bids and Awards Committee (BAC), hereby invites suppliers/manufacturers/ distributors/contractors to apply for eligibility and to bid for the hereunder project.						</t>
  </si>
  <si>
    <t xml:space="preserve"> 475 BAGS CEMENT 75 CU.M. GRAVEL 50 CU.M. SAND 300 PCS CHB #5 1 LOT FORM WORKS 60 PCS STEEL BAR 9MM  LABOR</t>
  </si>
  <si>
    <t xml:space="preserve"> CONSTRUCTION OF MULTI-PURPOSE HAL (GYM TYPE) AT THE OPEN SPACE OF PUROK CRYSTAL MEADOWS PART II OTHER GENERAL REQUIREMENTS PART B	OTHER GENERAL REQUIREMENTS B.3 Permits and Clearances		1.00	l.s. B.5 Project Billboard/Signboard (1-4"x8" DPWH Billboard &amp; 1-</t>
  </si>
  <si>
    <t xml:space="preserve"> Republic of the Philippines DEPARTMENT OF HEALTH WESTERN VISAYAS Center for Health Development INVITATION TO BID FOR THE  Procurement of Emergency Birthing Kits,  IB No. SB-2020-016 1.	The Department of Health – WV CHD, through the GOP PHM POOLED fund  in</t>
  </si>
  <si>
    <t xml:space="preserve"> UNIT           DESCRIPTION                                QUANTITY 105 Subgrade Preparation  A = 230m x 5.2m  Qty.= 1196 sq.m  I- Equipment Rental:  1 Road Grader for 4 hours  1 Road Roller for 4 hours  II- Labor:  1 Foreman for 0.5 day(s)  2 Laborers for</t>
  </si>
  <si>
    <t xml:space="preserve"> Use for the fabrication of playground set at San Pedro West Day Care Center/CSAP Housing</t>
  </si>
  <si>
    <t xml:space="preserve"> INVITATION TO BID FOR THE PROCUREMENT OF GOODS The LOCAL GOVERNMENT UNIT OF BAGGAO, CAGAYAN, through the 01-001-5-02-03-090 intends to apply the sum of One Million Seven Hundred Ninety-Six Thousand Nine Hundred Pesos (PHP 1,796,900.00) being the Approved </t>
  </si>
  <si>
    <t xml:space="preserve"> Republic of the Philippines DEPARTMENT OF HEALTH WESTERN VISAYAS Center for Health Development INVITATION TO BID FOR THE  Rebidding of N95 Mask,  IB No. SB-2020-021 1.	The Department of Health – WV CHD, through the NTP CONAP 2019 fund  intends to apply th</t>
  </si>
  <si>
    <t xml:space="preserve"> Procurement of Consulting Services for the Site Development, Ground Preparation and Beautification, Concrete Works, Electrical Works, Plumbing and Fixtures and Tile Works (Design &amp; Construction Supervision) of Parks and Plaza of LGU Laak, Davao De Oro wit</t>
  </si>
  <si>
    <t xml:space="preserve"> please find attached TOR</t>
  </si>
  <si>
    <t xml:space="preserve"> 1 UNIT VAN TYPE VEHICLE POWERED BY A EURO-COMPLIANT 4N15 2.4 LITER DIESEL ENGINE, FOUR CYLINDER AND 5-SPEED MANUAL TRANSMISSION</t>
  </si>
  <si>
    <t xml:space="preserve"> UNIT               DESCRIPTION            QTY. cu.m.,   Reservior Construction,        13.25 lumpsum.,   Pipelines Installation,      1.00</t>
  </si>
  <si>
    <t xml:space="preserve"> Republic of the Philippines Province of Eastern Samar Municipality of Mercedes     OFFICE OF THE BIDS AND AWARDS COMMITTEE (BAC) INVITATION TO BID # INFRA-2020-009  Invitation to Bid for the Proposed Construction of Multi-Purpose Center (Phase 1)     		 1</t>
  </si>
  <si>
    <t xml:space="preserve"> Republic of the Philippines Province of Misamis Occidental MUNICIPALITY OF CALAMBA BARANGAY LANGUB INVITATION TO BID FOR PURCHASE OF MATERIALS FOR THE IMPROVEMENT OF BARANGAY ROAD 	July 29, 2020 1.	The Barangay Langub  of Calamba, Misamis Occidental, thro</t>
  </si>
  <si>
    <t xml:space="preserve"> 1.	The Municipality of Baliguian, now invites bids for the Construction of New Evacuation Center, Kauswagan, Baliguian, Zamboanga del Norte.  2.	Bidding will be conducted in accordance with relevant procedures for open competitive bidding as. The contract</t>
  </si>
  <si>
    <t xml:space="preserve"> 12.5mX6.30m</t>
  </si>
  <si>
    <t xml:space="preserve"> 1	2160	Bdft	2x3x12 Coco Lumber (350 pcs.)	25.00	54,000.00 2	29	Pcs. 	Ord. Plywood ¼ x 4 x 8	452.00	13,108.00 3	16.5	Kls. 	CWN (assorted length)	90.00	1,485.00 4	156	Bags 	Portland Cement	352.00	54,912.00 5	460	M³	Sand S1	42.00	19,320.00 6	17.5	M³	Gravel	6</t>
  </si>
  <si>
    <t xml:space="preserve"> 1.  18 units 3 in 1 Printer Ecotank  2.  9 units 32 inches Flat Screen TV</t>
  </si>
  <si>
    <t xml:space="preserve"> CLARK DEVELOPMENT CORPORATION CLARK FREEPORT ZONE INVITATION TO BID The Clark Development Corporation, through its Bids and Awards Committee (BAC), invites Electrical Contractors/Suppliers to bid for the hereunder project: Name of Project:Preventive Maint</t>
  </si>
  <si>
    <t xml:space="preserve"> 1. 1 unit Corn Sheller with complete accessories and a 10 HP Water cooled Diesel Engine 2. 1 unit Hand Tractor with Trailer and a 4 Stroke 10 HP Water Cooled Diesel Engine 3. 1 unit Corn Mill **********************nothing follows**************************</t>
  </si>
  <si>
    <t xml:space="preserve"> Item No.	Unit	DESCRIPTION				Qty 						 1	Pcs.	FILING CABINET COMM'L 4-D WRINKLED				3 2	Pcs.	FILING CABINET COMM'L 4-D BLUE				2 3	Pcs.	FILING CABINET COMM'L 3-D GRAY				2 4	Pcs.	EXECUTIVE CHAIR				1</t>
  </si>
  <si>
    <t xml:space="preserve"> 1) 1 unit Furnishing of Materials, Labor and Equipment Thru Contract for the Upgrading and Improvement of Road Section from Brgy. Poblacion to Brgy. Singaran. 105 Subgrade Preparation 5670.00 sq.m. 200 Aggregate Sub-Base Coarse 850.50 cu.m. 311 Portland C</t>
  </si>
  <si>
    <t xml:space="preserve"> UNIT       DESCRIPTION          QTY. lumpsum,      Project billboard/Signboard, 1.00 lumpsum, Occupational Safety and Health Program, 1.00 cu.m,       Roadway Excavation,      242.00 sq.m, Subgrade Preparation, 807.10 cu.m., Aggregate Base Course,    135.</t>
  </si>
  <si>
    <t xml:space="preserve"> INVITATION TO APPLY FOR ELIGIBILITY AND TO BID The Local Government Unit of Malitbog, Southern Leyte, through its Bids and Awards Committee (BAC) invites to apply for eligibility and if found eligible, to bid for the hereunder: ROAD CONCRETING AND INSTALL</t>
  </si>
  <si>
    <t xml:space="preserve"> This project is located at barangay Luzon,Cabatuan,Isabela					 					 	Type of structure: Vertical Structure				 	Size of structure  : 8mX12m (two storey)				 	Classification        : Building structure				 					 					 ITEM NO.	DESCRIPTION OF WORKS	QUANTI</t>
  </si>
  <si>
    <t xml:space="preserve"> 1. Interactive Education System Package.....................................................................….9 units For Elementary Students INTERACTIVE DISPLAY BOARD • Touch Surface: Next Generation Anti-Glare Glass • Screen Size: 65 Inches • Backlight:</t>
  </si>
  <si>
    <t xml:space="preserve"> INVITATION TO BID SUPPLY &amp; DELIVERY OF MATERIALS FOR THE IMPROVEMENT OF EVACUATION CENTER OF BARANGAY MATE, SAN FRANCISCO, AGUSAN DEL SUR 1.	BARANGAY GOVERNMENT UNIT OF BARANGAY MATE, SAN FRANCISCO, AGUSAN DEL SUR, through the BIDS AND AWARDS COMMITTEE (B</t>
  </si>
  <si>
    <t xml:space="preserve"> work items includes roofing works, construction of lavatory and flooring, tile &amp; plumbing works, repair of roofing &amp; roof deck &amp; replacement of ceiling</t>
  </si>
  <si>
    <t xml:space="preserve"> Retrofitting of Mauhang Bridge</t>
  </si>
  <si>
    <t xml:space="preserve"> One (1) Year Anti-Virus Anti-Spam Web-Filter  Application Filter Intrusion Prevention System 1 Year 8 x 5 Technical Support</t>
  </si>
  <si>
    <t xml:space="preserve"> Work items includes concrete works, masonry and plastering works, steel works, ceiling and tiling works, painting and tinsmithry works</t>
  </si>
  <si>
    <t xml:space="preserve"> 1.) 1 unit Advanced Aluminum Travel Tripod Lever, ball head 2.) 1 unit Handheld Gimbal with Free Servo Follow Focus 3.2kg Payload 3.) 1 unit Blink 500 B2 2-Person Digital Camera-Mount Wireless Omni Lavalier Microphones System (2.4 GHz) 4.) 1 unit E-mount </t>
  </si>
  <si>
    <t xml:space="preserve"> Work items includes base preparation, aggregate base course, PCCP Plain, grouted riprap, replacement of broken RC Pipe culvert &amp; embankment on shoulders</t>
  </si>
  <si>
    <t xml:space="preserve"> work items includes installation of RC Pipe Culvert with headwalls  and grouted riprap (slope protection)</t>
  </si>
  <si>
    <t xml:space="preserve"> 15	pcs.	6" dia. Sanitary pipes series 1000 10	cans	solvent cement</t>
  </si>
  <si>
    <t xml:space="preserve"> work items includes construction of drainage canal, reblocking of dilapidated concrete pavement and widening of road</t>
  </si>
  <si>
    <t xml:space="preserve"> REQUEST FOR EXPRESSION OF INTEREST (REOI) Contract ID:  20CSGG0002 Contract Name:  SUB-SURFACE EXPLORATION FOR THE PROPOSED REHABILITATION/ RECONSTRUCTION OF NATIONAL ROADS WITH SLIPS, SLOPE COLLAPSE, LANDSLIDE ALONG NATIONAL ROADS, CONSTRUCTION/MAINTENAN</t>
  </si>
  <si>
    <t xml:space="preserve"> Materials Supply of labor Rental of equipment</t>
  </si>
  <si>
    <t xml:space="preserve"> Purchase of 580 reams of A4 size (hard copy) bond paper to be used for the reproduction of modules for all students of San Lorenzo Ruiz (Elementary and Secondary).</t>
  </si>
  <si>
    <t xml:space="preserve"> INSTALLATION OF STREET LIGHTS AT BARANGAY  BALUNTAY, ALABEL Alabel, Sarangani Province (Contract No. INFRA 2020-46) July 29, 2020 1.	The Provincial Government of Sarangani, through AIP CY 2020/AB 2020 intends to apply the sum of One Million Nine Hundred S</t>
  </si>
  <si>
    <t xml:space="preserve"> Invitation to Bid July 29, 2020 1. The Municipality of Tinoc through the Bids and Awards Committee advertised an Invitation to bid for the PACKAGE 14 (A. GUMHANG MRF CONSTRUCTION, B. AHBUNAN FP-HAND RAILS CONSTRUCTION-GUMHANG, C. KULOG-MALINGHI FMR IMPROV</t>
  </si>
  <si>
    <t xml:space="preserve"> INVITATION TO BID FOR PURCHASE OF FOOD AND NON-FOOD ITEMS FOR STOCKPILE OF FAMILY FOOD PACKS (FFP)   1.	The DEPARTMENT OF SOCIAL WELFARE AND DEVELOPMENT FIELD OFFICE III through its Bids and Awards Committee and the DRMD intends to apply the sum of One Hu</t>
  </si>
  <si>
    <t xml:space="preserve"> For use in Artesian Well Servies Division in delivering Portable water in various barangays especially in the upland area.</t>
  </si>
  <si>
    <t xml:space="preserve"> Republic of the Philippines PROVINCE OF BUKDINON Malaybalay City OFFICE OF THE PROVINCIAL GOVERNOR Bids and Awards Committee INVITATION TO BID FOR THE “SUPPLY AND DELIVERY OF AGRICULTURAL EQUIPMENT” ITB No. 2020-185 July 27, 2020 1.	The Provincial Governm</t>
  </si>
  <si>
    <t xml:space="preserve"> For Office Supplies of Various Cebu City Government Offices.</t>
  </si>
  <si>
    <t xml:space="preserve"> Republic of the Philippines Province of Cagayan Municipality of Piat -o0o- BARANGAY MINANGA OFFICE OF THE BIDS AND AWARDS COMMITTEE (BAC) “INVITATION TO BID FOR CONSTRUCTION OF DRAINAGE CANAL WITH STIFFENERS AT MINANGA, PIAT, CAGAYAN” The Local Government</t>
  </si>
  <si>
    <t xml:space="preserve"> ELECTRODES</t>
  </si>
  <si>
    <t xml:space="preserve"> Procurement of ICT Equipment of POPCOM (Computer Accessories) Items: 1.	Computer Head Set -	91 Pieces 2.	Speaker (Computer)- 6 Pieces Please attach quotation with the ff: 1.	Mayors Permit 2.	PhilGEPS Certification/Registration Number (Snap Shot of Certifi</t>
  </si>
  <si>
    <t xml:space="preserve"> CONSTRUCTION OF BLEACHERS FOR TUYAN SPORTS CENTER Malapatan, Sarangani Province (Contract No. INFRA 2020-45) July 29, 2020 1.	The Provincial Government of Sarangani, through AIP CY 2020/AB 2020 intends to apply the sum of Nine Hundred Ninety-Nine Thousand</t>
  </si>
  <si>
    <t xml:space="preserve"> PROJECT: CONSTRUCTION OF CHB OPEN CANAL PHASE I LOCATION: BARANGAY PANDO, CONCEPCION, TARLAC APPROVED BUDGET FOR THE CONTRACT: PHP 282,857.70 SOURCE OF FUND: 20% BDF The contract to be performed by the successful bidder shall be specified in the Technical</t>
  </si>
  <si>
    <t xml:space="preserve"> Republic of the Philippines Province of Cagayan Municipality of Baggao INVITATION TO BID FOR THE PROCUREMENT OF CIVIL WORKS The LOCAL GOVERNMENT UNIT OF BAGGAO, CAGAYAN, through 5-06-04-030-02 20% MDF- 2020 intends to apply the sum of Four Million Nine Hu</t>
  </si>
  <si>
    <t xml:space="preserve"> BID TENDER								 The Bids and Awards Committee								 Province of Iloilo								 								 In connection with your Invitation to Bid No. ASS-20-0878-B scheduled on August 19, 2020 I/we proposed to furnish and deliver in conformity with the terms and con</t>
  </si>
  <si>
    <t xml:space="preserve"> (IB NO. 2020DJG-002) The PhilHealth Regional Office VI, through the COB of CY 2020 intends to apply the sum of Two Million Seven Hundred Sixty Eight Thousand Seven Hundred Two Pesos and 15/100 only  (Php 2,768,702.15), being the Approved Budget for the Co</t>
  </si>
  <si>
    <t xml:space="preserve"> INVITATION TO APPLY FOR ELIGIBILITY AND TO BID The ILOILO STATE COLLEGE OF FISHERIES MAIN POBLCAION CAMPUS, through its Bids and Awards Committee (BAC), invites eligible Bidders to apply for eligibility and to bid for the following project:  Name of Proje</t>
  </si>
  <si>
    <t xml:space="preserve"> Second hand Sports Utility Vehicle Gasoline Net Capacity: 1250 Cylinder : 4 Net Weight:   1250 Manual Transmission</t>
  </si>
  <si>
    <t xml:space="preserve"> Back-up Power Generator Sets for MDRRMO/Barangay LGU Operations/Emergency Warning System.</t>
  </si>
  <si>
    <t xml:space="preserve"> To be distributed to the communities and public schools as part of fire preparedness program of CCDRRMO.</t>
  </si>
  <si>
    <t xml:space="preserve"> For maintenance of garbage trucks and various motor vehicles assigned to DPS.</t>
  </si>
  <si>
    <t xml:space="preserve"> INVITATION TO BID FOR THE SUPPLY AND DELIVERY OF SUPPLIES, MATERIALS AND EQUIPMENT TO BE USED AT THE IP-TBM FACILITY PB-2020-184-017 1. The Pampanga State Agricultural University, through Fund 184, intends to apply the sum of P1,051,950.01 being the Appro</t>
  </si>
  <si>
    <t xml:space="preserve"> Repair and Maintenance of Municipal Heavy Equipment for 2nd Quarter 2020 with an ABC of Php512,260.00 For further details, please see attached Purchase Request in the associated components.</t>
  </si>
  <si>
    <t xml:space="preserve"> Invitation to Bid for SUPPLY AND DELIVERY OF MATERIALS FOR CONSTRUCTION OF MATERIAL RECOVERY FACILITY IN 12 BARANGAYS The Municipal Government of Looc, Romblon, through the AO-NO. 018-2019 Regular1 intends to apply the sum of Seven Hundred Twenty Thousand</t>
  </si>
  <si>
    <t xml:space="preserve"> Republic of the Philippines Province of Nueva Vizcaya BIDS AND AWARDS COMMITTEE (BAC-Goods) BAC OFFICE, Provincial Capitol, Bayombong, Nueva Vizcaya Tel. No. 078-392-2062 	 INVITATION TO BID FOR THE SUPPLY &amp; DELIVERY OF FIREARMS (9MM FS W/ LICENSE)  FOR T</t>
  </si>
  <si>
    <t xml:space="preserve"> To purchase reflectorized Thermoplastic Pavement Markings to be used for Traffic Engineering.</t>
  </si>
  <si>
    <t xml:space="preserve"> Purchase of Food distributed in 15 baranggays</t>
  </si>
  <si>
    <t xml:space="preserve"> Section I. Invitation to Bid FOR THE UPLB-S-049-08-20  PROCUREMENT FOR THE REHABILITATION/UPGRADE OF INTERNET CONNECTION FOR BAC SECRETARIAT OFFICE 1.	The UNIVERSITY OF THE PHILIPPINES LOS BAÑOS (UPLB), through the GOP intends to apply the sum of EIGHT HU</t>
  </si>
  <si>
    <t xml:space="preserve"> Republic of the Philippines BIDS AND AWARDS COMMITTEE Province of Iloilo Invitation to Bid Purchase of Office Equipment Bid No. PPD-20-0845-B 1. The Iloilo Provincial Government, through the CAPITAL OUTLAY intends to apply the sum of TWENTY FIVE THOUSAND </t>
  </si>
  <si>
    <t xml:space="preserve"> Republic of the Philippines PROVINCE OF BUKDINON Malaybalay City OFFICE OF THE PROVINCIAL GOVERNOR Bids and Awards Committee INVITATION TO BID FOR THE “SUPPLY AND DELIVERY OF OLYSET NET WINDOW SCREEN” ITB No. 2020-187 July 27, 2020 1.	The Provincial Gover</t>
  </si>
  <si>
    <t xml:space="preserve"> Jose Rizal Memorial State University Construction of Marine Engineering Laboratory 1.	The Jose Rizal Memorial State University-Dapitan Campus through the Corporate Budget for the Contract approved by the governing Board for 2020 intends to apply the sum o</t>
  </si>
  <si>
    <t xml:space="preserve"> Republic of the Philippines Municipality of Taytay Taytay, Palawan NOTICE TO BIDDERS Item # Qty Unit Description Amount 1.	1	UNIT	Brand New Vehicle (VAN): Specification: Transmission and Chassis: Transmission: 6-speed MANUAL, Suspension Front/Rear: McPher</t>
  </si>
  <si>
    <t xml:space="preserve"> INVITATION TO BID PROCUREMENT OF VARIOUS GOODS IB NO. 2020-08-18 (09) 1.	The Department of Health Cagayan Valley Center for Health Development, through the GOP-General Appropriations Act 2020 intends to apply the lump sum of Nine Million Two Hundred Fifty</t>
  </si>
  <si>
    <t xml:space="preserve"> Section I. Invitation to Bid FOR THE UPLB-S-048-08-20  SUPPLY AND DELIVERY OF BRANDED AND BRAND NEW CHEMICALS AND CHEMICAL PRODUCTS FOR BIOTECH 1.	The UNIVERSITY OF THE PHILIPPINES LOS BAÑOS (UPLB), through the GOP intends to apply the sum of TWO MILLION </t>
  </si>
  <si>
    <t xml:space="preserve"> Republic of the Philippines BARANGAY BAGONG POOK OFFICE OF THE PUNONG BARANGAY BIDS AND AWARDS COMMITTEE INVITATION TO BID The Barangay Government of BARANGAY BAGONG POOK through its Bids and Awards Committee (BAC), invites suppliers/manufacturers/distrib</t>
  </si>
  <si>
    <t xml:space="preserve"> Purchase of Medical Equipment for RHU use</t>
  </si>
  <si>
    <t xml:space="preserve"> The following are the specific projects under this cluster, to wit: 1. Slope Protection along Ponopon Road, Ba-ayan, Tublay ABC: P125,000.00 2. Rehabilitation of Child Development Center at Ba-ayan Proper, Ba-ayan, Tublay ABC: P125,000.00 3. Slope Protect</t>
  </si>
  <si>
    <t xml:space="preserve"> National Power Corporation INVITATION TO BID PUBLIC BIDDING 2020-0232 1.	The NATIONAL POWER CORPORATION (NPC), through       its        approved       Corporate Budget of CY 2020 intends to apply   the   sum   of (Please see schedule below) being the Appr</t>
  </si>
  <si>
    <t xml:space="preserve"> INVITATION TO BID  FOR THE SUPPLY AND DELIVERY OF LABOR &amp; MATERIALS FOR THE CONSTRUCTION OF 100,000 BAGS CAPACITY WAREHOUSE WITH WS II OFFICE AT NFA COMPOUND IN  SCIENCE CITY OF MUÑOZ, NUEVA ECIJA Project Reference No. 2020-RBAC-REGIII-INFR-NEJ-025 The Na</t>
  </si>
  <si>
    <t xml:space="preserve"> PROJECT: IMPROVEMENT OF COVERED COURT LOCATION: BARANGAY PITABUNAN, CONCEPCION, TARLAC APPROVED BUDGET FOR THE CONTRACT: PHP 505,200.00 SOURCE OF FUND: 20% BDF The contract to be performed by the successful bidder shall be specified in the Technical Quota</t>
  </si>
  <si>
    <t xml:space="preserve"> PLEASE SEE ATTACHED ITB</t>
  </si>
  <si>
    <t xml:space="preserve"> Republic of the Philippines NATIONAL FOOD AUTHORITY Region XIV Bangsamoro People’s Complex, Cotabato City REGIONAL BIDS AND AWARDS COMMITTEE Tel. Nos. (064) 421-2407; Fax No. (064) 421-2128 Small Value Procurement No. NFA-RXIV-2020-G-009 July ¬¬¬¬29, 2020</t>
  </si>
  <si>
    <t xml:space="preserve"> Republic of the Philippines Province of Nueva Vizcaya BIDS AND AWARDS COMMITTEE (BAC-Goods) BAC OFFICE, Provincial Capitol, Bayombong, Nueva Vizcaya Tel. No. 078-392-2062 	 SUPPLY &amp; DELIVERY OF GROCERY ITEMS FOR STOCKPILING (RICE, SARDINES, ETC.)  FOR THE</t>
  </si>
  <si>
    <t xml:space="preserve"> maintenance of various city owned vehicles and equipment.</t>
  </si>
  <si>
    <t xml:space="preserve"> Republic of the Philippines BIDS AND AWARDS COMMITTEE Province of Iloilo Invitation to Bid Purchase of Medical &amp; Laboratory Supplies Bid No. DIS-20-0817-B 1. The Iloilo Provincial Government, through the LDRRM TRUST FUND intends to apply the sum of ONE MI</t>
  </si>
  <si>
    <t xml:space="preserve"> Municipality of Looc INVITATION TO BID FOR Supply and Delivery of 1 Brand New Ambulance 1.	The Municipality of Looc, through the Trust 2019 LGSF FA intends to apply the sum of Php2,500,000.00 being the Approved Budget for the Contract (ABC) to payments un</t>
  </si>
  <si>
    <t xml:space="preserve"> Section I. Invitation to Bid FOR THE UPLB-S-047-08-20  SUPPLY AND DELIVERY OF BRANDED AND BRAND NEW VARIOUS INFORMATION TECHNOLOGY, PARTS &amp; ACCESSORIES &amp; PERIPHERALS 1.	The UNIVERSITY OF THE PHILIPPINES LOS BAÑOS (UPLB), through the GOP intends to apply t</t>
  </si>
  <si>
    <t xml:space="preserve"> INVITATION TO BID  FOR THE SUPPLY AND DELIVERY OF LABOR &amp; MATERIALS FOR THE CONSTRUCTION OF 100,000 BAGS CAPACITY WAREHOUSE WITH WS II OFFICE AT NFA COMPOUNDIN  CABANATUAN CITY, NUEVA ECIJA Project Reference No. 2020-RBAC-REGIII-INFR-NEJ-024 The National </t>
  </si>
  <si>
    <t xml:space="preserve"> Public Information and Part of Early Warning System for Geographically Isolated and Depressed Communities of the Municipality</t>
  </si>
  <si>
    <t xml:space="preserve"> Purchase of Core i3 Laptop for office use</t>
  </si>
  <si>
    <t xml:space="preserve"> Embankment of Municipal Baywalk</t>
  </si>
  <si>
    <t xml:space="preserve"> I. CONCRETE PAVEMENT       -       40.90  CU.M.</t>
  </si>
  <si>
    <t xml:space="preserve"> INVITATION TO BID FOR THE PROCUREMENT OF LABOR AND MATERIALS FOR PREVENTIVE MAINTENANCE SERVICES OF FOUR (4) UNITS GENERATOR SET AT RONQUILLO SATELLITE FOR TWO (2) YEARS UNDER ITB NO. PB20-07-041COR The Philippine Amusement and Gaming Corporation (PAGCOR)</t>
  </si>
  <si>
    <t xml:space="preserve"> Purchase of Core i5 Laptop for office use</t>
  </si>
  <si>
    <t xml:space="preserve"> Republic of the Philippines LOCAL GOVERNMENT UNIT OF GINGOOG BIDS AND AWARDS COMMITTEE Gingoog City 	INVITATION TO BID	 PURCHASE OF OFFICE EQUIPMENT AND ACCESSORIES FOR THE USE OF CENTER OPERATION UNDER P.R. NO. 80-20-04-051 1.	The Local Government Unit o</t>
  </si>
  <si>
    <t xml:space="preserve"> Republic of the Philippines Province of Nueva Vizcaya BIDS AND AWARDS COMMITTEE (BAC-Goods) BAC OFFICE, Provincial Capitol, Bayombong, Nueva Vizcaya Tel. No. 078-392-2062 	 INVITATION TO BID FOR THE SUPPLY &amp; DELIVERY OF1 UNIT PHOTOCOPIER   FOR THE  GOVERN</t>
  </si>
  <si>
    <t xml:space="preserve"> Main Document</t>
  </si>
  <si>
    <t xml:space="preserve"> Rehabilitation of Barangay Road from Proper San Victor to Sitio Heni, Barangay San Victor, Baganga, Davao Oriental</t>
  </si>
  <si>
    <t xml:space="preserve"> 16	Unit 	Steel Cabinet, Vertical, 4 drawers, textured light gray, 45.2 x 62 x 133.1 cm (LWH) 11	Unit 	4-Layer Filing Cabinet with lock, gray, 46 x 62 x 138 cm (LWH), 73.5 kgs. 4	Unit 	Steel Locker Cabinet (9 door)</t>
  </si>
  <si>
    <t xml:space="preserve"> Rehabilitation of Barangay Road from Diversion Road to Sitio Paopagon, Barangay Salingcomot, Baganga, Davao Oriental.</t>
  </si>
  <si>
    <t xml:space="preserve"> 1	unit 	Aircon Split Type with inverter (1.5HP) 4	unit 	Airconditioning unit, Split Type,Inverter, 2.0 HP, 65% power savings-the highest energy savings in the industry, wireless remote, autorestart function, easy to clean panel, Nano silver and photocatal</t>
  </si>
  <si>
    <t xml:space="preserve"> Republic of the Philippines PROVINCE OF AKLAN Municipality of Tangalan INVITATION TO BID  PROVISION OF SANITARY TOILET Project Reference No.: SF-GOODS:2020-008-008 Approved Budget for the Contract: Php 320, 000.00 Source of Fund: General Fund (Department </t>
  </si>
  <si>
    <t xml:space="preserve"> Barangay Road Opening from NHJ Sitio Tuajon, Brgy. Dapnan to Sitio Kasukan, Brgy. San Victor, Baganga, Davao Oriental</t>
  </si>
  <si>
    <t xml:space="preserve"> Rehabilitation of Barangay Road from Sitio Cabanbanan, Barangay Dapnan to Sitio Lapaz &amp; Sitio Calinaban, Barangay San Isidro, Baganga, Davao Oriental</t>
  </si>
  <si>
    <t xml:space="preserve"> Rehabilitation of of Sunrise Boulevard, Barangay Dapnan, Baganga, Davao Oriental</t>
  </si>
  <si>
    <t xml:space="preserve"> Description of Work to be Done I. EXCAVATION II. CONCRETE WORKS III. PAINTING WORKS IV. INSTALLATION OF SOLAR POWER STREETLIGHTS</t>
  </si>
  <si>
    <t xml:space="preserve"> 10 units LCD PROJECTOR TECHNOLOGY Projection System 3LCD Technology LCD Panel 0.55 inch with D7 IMAGE Colour Light Output 3,200 lumen-2,240 lumen (economy) In accordance with IDMS15.4 White Light Output 3,200 lumen - 2,240 lumen (economy) In accordance wi</t>
  </si>
  <si>
    <t xml:space="preserve"> Republic of the Philippines BARANGAY SAN CARLOS OFFICE OF THE PUNONG BARANGAY BIDS AND AWARDS COMMITTEE INVITATION TO BID The Barangay Government of BARANGAY SAN CARLOS through its Bids and Awards Committee (BAC), invites suppliers/manufacturers/distribut</t>
  </si>
  <si>
    <t xml:space="preserve"> 4th Level Training on 2020 Census of Population and Housing (CPH) September 2020 26 Participants (trainers and trainees) Venue: Culion, Palawan Mode of Payment: SEND BILL Date of Delivery:August 17-22,2020 Mode : Food to be delivered at Training room REQU</t>
  </si>
  <si>
    <t xml:space="preserve"> 4th Level Training on 2020 Census of Population and Housing (CPH) September 2020 47 Participants (trainers and trainees)   Merged (Cuyo – 30/ Magsaysay – 17) Venue: Cuyo, Palawan Mode of Payment: SEND BILL Date of Delivery:August 17-22,2020 Mode : Food to</t>
  </si>
  <si>
    <t xml:space="preserve"> INVITATION TO BID  Purchase and Delivery of Office Supplies ITB 2020-07-039(GOODS) 1. 	The Municipality of Tuba, through the Budget for the contract approved by the Sangguniang Bayan for CY 2020 intends to apply the sum of Nine Hundred Sixty Three Thousan</t>
  </si>
  <si>
    <t xml:space="preserve"> INVITATION TO BID The LOCAL GOVERNMENT UNIT OF SANTO TOMAS,  through its Bids and Awards Committee (BAC), invites suppliers/ manufacturers/distributors/ contractors to apply for eligibility and to bid for the hereunder projects to be undertaken on  August</t>
  </si>
  <si>
    <t xml:space="preserve"> 4th Level Training on Census of Population &amp; Housing (CPH) September 2020. 29 Participants (trainers and trainees) Venue: Busuanga, Palawan Mode of Payment: SEND BILL Date of Delivery: August 24-29, 2020 Mode : Food to be delivered at Training room REQUIR</t>
  </si>
  <si>
    <t xml:space="preserve"> INVITATION TO BID SUPPLY, DELIVERY, INSTALLATION AND COMMISSIONING OF 80 TONS PITLESS TYPE OF ELECTRONIC TRUCKSCALE AT NFA COMPOUND IN AGUSO, TARLAC Project Reference No. 2020-RBAC-REGIII-026 The National Food Authority, Central Luzon Regional Office (NFA</t>
  </si>
  <si>
    <t xml:space="preserve"> 4th Level Training on Census of Population &amp; Housing (CPH) September 2020. 73 Participants (trainers and trainees) Venue: Rizal, Palawan Mode of Payment: SEND BILL Date of Delivery:August 24-29,2020 Mode : Food to be delivered at Training room REQUIREMENT</t>
  </si>
  <si>
    <t xml:space="preserve"> Fourth Level Training on 2020 Census of Population and Housing (CPH) in the municipality of Linapacan. 24 Participants (trainers and trainees) Venue: Linapacan, Palawan Mode of Payment: SEND BILL Date of Delivery:August 24-29,2020 Mode : Food to be delive</t>
  </si>
  <si>
    <t xml:space="preserve"> Republic of the Philippines Province of Eastern Samar Municipality of Arteche Invitation to Bid for the Supply and Delivery of Goods for the Egg Production Projects 1.	The Local Government Unit of Arteche, Eastern Samar, through a grant from the Departmen</t>
  </si>
  <si>
    <t xml:space="preserve"> Fourth Level Training on 2020 Census of Population and Housing (CPH) in the municipality of Araceli 23 Participants (trainers and trainees) Venue: Araceli, Palawan Mode of Payment: SEND BILL Date of Delivery:August 24-29,2020 Mode : Food to be delivered a</t>
  </si>
  <si>
    <t xml:space="preserve"> 4th Level Training on 2020 Census of Population and Housing (CPH) September 2020 38 Participants (trainers and trainees) Venue: Dumaran, Palawan Mode of Payment: SEND BILL Date of Delivery:August 24-29,2020 Mode : Food to be delivered at Training room REQ</t>
  </si>
  <si>
    <t xml:space="preserve"> 4th Level Training on Census of Population &amp; Housing (CPH) September 2020. 23 Participants (trainers and trainees) Venue: Agutaya, Palawan Mode of Payment: SEND BILL Date of Delivery: August 24-29, 2020 Mode : Food to be delivered at Training room REQUIRE</t>
  </si>
  <si>
    <t xml:space="preserve"> Republic of the Philippines  Province of Samar Municipality of Sta. Margarita Invitation to Bid for  PROPOSED ESTABLISHMENT OF ECOLOGICAL PARK PHASE II Barangay Balud, Sta. Margarita, Samar   The Municipal Government of Sta. Margarita, Samar, through the </t>
  </si>
  <si>
    <t xml:space="preserve"> Invitation to Bid for the “PROPOSED CONSTRUCTION OF STORAGE FACILITY FOR HAZARDOUS MATERIALS” 1. The Subic Bay Metropolitan Authority, through the 2020 Corporate Operating Budget for the contract approved by the SBMA Governing Board, intends to apply the </t>
  </si>
  <si>
    <t xml:space="preserve"> One (1) Lot Broadcast Camera and Video Switcher for Streaming with Accessories</t>
  </si>
  <si>
    <t xml:space="preserve"> Description of Works to be Done I. BACKFILLING MATERIALS II. CARPENTRY WORKS III. CONCRETE WORKS IV. DOORS &amp; WINDOWS V. TILE WORKS VI. PAINTING WORKS VII. ELECTRICAL WORKS VIII. AMENITIES</t>
  </si>
  <si>
    <t xml:space="preserve"> Description of Works to be Done I. EXCAVATION II. CONCRETE WORKS III. MASONRY WORKS (INCL. PLASTERING) IV. DOORS &amp; WINDOWS V. PLUMBING (INCL. SEPTIC TANK &amp; TILE WORKS) VI. PAINTING WORKS VII. ELECTRICAL WORKS VIII. STAINLESS RAILINGS</t>
  </si>
  <si>
    <t xml:space="preserve"> OFFICE OF THE BIDS AND AWARDS COMMITTEE (BAC) INVITATION TO BID FOR: 20-06-492 Repair and Maintenance of DH6 II Bulldozer 1.	The Local Government Unit of Alamada, through the SB No. 4 FY 2020 (8751-5-02-13-050) intends to apply the sum of P 1,100,357.72 b</t>
  </si>
  <si>
    <t xml:space="preserve"> Concreting and Widening of Road</t>
  </si>
  <si>
    <t xml:space="preserve"> Description of Works to be Done I. EXCAVATION II. CONCRETE WORKS III. MASONRY WORKS (INCL. PLASTERING) IV. DOORS &amp; WINDOWS V. PLUMBING (INCL. SEPTIC TANK &amp; TILEWORKS) VI. PAINTING WORKS VII. ELECTRICAL WORKS VIII. STAINLESS RAILINGS IX. TILE WORKS</t>
  </si>
  <si>
    <t xml:space="preserve"> INVITATION TO BID  Supply and Delivery of Tokens (Gold Rings) PR no. 13820 1. The Metro Iloilo Water District, through the Corporate Fund of 2020 intends to apply the sum of One Million Pesos (Php 1,000,000.00) being the Approved Budget for the Contract (</t>
  </si>
  <si>
    <t xml:space="preserve"> Description of Works to be Done I. DEMOLITION &amp; DISPOSAL OF EXISTING STRUCTURE II. EXCAVATION III. CONCRETE WORKS IV. MASONRY WORKS (INCL. PLASTERING) V. DOORS &amp; WINDOWS VI. PLUMBING (INCL. SEPTIC TANK &amp; TILEWORKS) VII. PAINTING WORKS VIII. ELECTRICAL WOR</t>
  </si>
  <si>
    <t xml:space="preserve"> INVITATION TO BID FOR THE HIRING OF CONTENT PRODUCER FOR MANILA FAME DIGITAL CATALOG 1.	The Center for International Trade Expositions and Missions, through the Manila FAME 2020 October Budget intends to apply the sum of Two Million Three Hundred Fifty Th</t>
  </si>
  <si>
    <t xml:space="preserve"> Republic of the Philippines Bangsamoro Autonomous Region in Muslim Mindanao Province of Maguindanao MUNICIPALITY OF MATANOG Invitation to Bid  CONSTRUCTION OF MUNICIPAL GATE, FENCE AND PATHWAYS, PHASE 1 1.	The Municipality of Matanog, through the 2020 Ann</t>
  </si>
  <si>
    <t xml:space="preserve"> REGIONAL BIDS AND AWARDS COMMITTEE INVITATION TO BID  Procurement of RTK &amp; Drone Equipment for Manila Bay Rehabilitation Program 1.	The Department of Environment and Natural Resources – National Capital Region (DENR-NCR), through the authorized appropriat</t>
  </si>
  <si>
    <t xml:space="preserve"> Barangay Road Opening from Proposed Cemetery, Brgy. Salingcomot, Baganga, Davao Oriental</t>
  </si>
  <si>
    <t xml:space="preserve"> INVITATION TO BID The Municipality of Mutia through its Bids and  Awards Committee Invites  contractors to apply for eligibility and to bid for the project reflected hereunder; NAME OF PROJECT	:  Procurement of Food Packs for Individual in Crisis Situatio</t>
  </si>
  <si>
    <t xml:space="preserve"> 2. Procurement ID/Contract ID:	20GD0109 Contract Name:	CONCRETING OF BRGY. VIZCAYA FMR, PRESIDENT ROXAS, CAPIZ Contract Location:	Pres. Roxas, Capiz Brief Description :	Concreting of Farm-to-Market Road (FMR) Approved Budget for the Contract (ABC): 	Php 1</t>
  </si>
  <si>
    <t xml:space="preserve"> Reoair/ Rehabilitation of Barangay Hall</t>
  </si>
  <si>
    <t xml:space="preserve"> Republic of the Philippines Province of Romblon MUNICIPALITY OF LOOC ~o0o~ INVITATION TO BID FOR THE Rehabilitation and Raising of Municipal Road Phase-11 (Portion of Bonifacio and Tirol Street) The Municipal Government of Looc, Romblon, through the Annua</t>
  </si>
  <si>
    <t xml:space="preserve"> INVITATION TO BID FOR THE HIRING OF DROPOUT STUDIO PHOTOGRAPHER FOR THE MANILA FAME DIGITAL CATALOG (ZONE 1) COVERAGE 1.	The Center for International Trade Expositions and Missions, through the Manila FAME 2020 October Budget intends to apply the sum of F</t>
  </si>
  <si>
    <t xml:space="preserve"> 1. Procurement ID/Contract ID:	20GD0108 Contract Name:	CONCRETING OF SUGARCANE FARM-TO-MILL ROAD, SITIO ESPERANZA, BRGY. BINUNTUCAN TO BRGY. CABUNGAHAN ROAD Contract Location:	Pontevedra, Capiz Brief Description :	Construction of Sugarcane Farm-to-Mill Ro</t>
  </si>
  <si>
    <t xml:space="preserve"> Description of Work to be Done I. EXCAVATION II. SURVEY III. DISPOSAL IV. DRAINAGE CANAL V. FORMWORKS</t>
  </si>
  <si>
    <t xml:space="preserve"> Republic of the Philippines Province of Romblon MUNICIPALITY OF LOOC ~o0o~ INVITATION TO BID FOR THE Construction of Tuguis Child Development Center The Municipal Government of Looc, Romblon, through the Annual Budget 2020 under 20% Development Fund  inte</t>
  </si>
  <si>
    <t xml:space="preserve"> 1.17 The Intended Completion Date is One Hundred Fifty (150) Calendar Days. NOTE: The contract duration shall be reckoned from the start date and not from contract effectivity date. 1.22	The Procuring Entity is Quezon City Government. 1.23 The Procuring E</t>
  </si>
  <si>
    <t xml:space="preserve"> National Power Corporation INVITATION TO BID PUBLIC BIDDING 2020-0238 1.	The NATIONAL POWER CORPORATION (NPC), through       its        approved       Corporate Budget of CY 2020 intends to apply   the   sum   of (Please see schedule below) being the Appr</t>
  </si>
  <si>
    <t xml:space="preserve"> Multifunction, 3 in 1, print-scan-copy up to legal size paper, with ADF</t>
  </si>
  <si>
    <t xml:space="preserve"> Description of Works to be Done I. EXCAVATION/ MAN POWER II. CONCRETE WORKS III. FORM WORKS</t>
  </si>
  <si>
    <t xml:space="preserve"> 1.17 The Intended Completion Date is One Hundred Twenty (120) Calendar Days. NOTE: The contract duration shall be reckoned from the start date and not from contract effectivity date. 1.22	The Procuring Entity is Quezon City Government. 1.23 The Procuring </t>
  </si>
  <si>
    <t xml:space="preserve"> Description of Works to be Done I. EXCAVATION/MAN POWER II. CONCRETE WORKS III. FORM WORKS</t>
  </si>
  <si>
    <t xml:space="preserve"> 172 bags Bangus feeds grower 30 bags Fry mash 5 bags Shrimp feeds (starter) 35 bags Shrimp feeds (grower) 10 bags Shrimp feeds (finisher)</t>
  </si>
  <si>
    <t xml:space="preserve"> Invitation to Bid for the “REHABILITATION OF MT. STA. RITA COMMUNICATION FACILITY” 1. The Subic Bay Metropolitan Authority, through the 2020 Corporate Operating Budget for the contract approved by the SBMA Governing Board, intends to apply the sum of Six </t>
  </si>
  <si>
    <t xml:space="preserve"> 1.17 The Intended Completion Date is Ninety (90) Calendar Days. NOTE: The contract duration shall be reckoned from the start date and not from contract effectivity date. 1.22	The Procuring Entity is Quezon City Government. 1.23 The Procuring Entity’s Repr</t>
  </si>
  <si>
    <t xml:space="preserve"> Republic of the Philippines DEPATMENT OF PUBLIC WORKS AND HIGHWAYS SULTAN KUDARAT 1ST DISTRICT EINGINEERING OFFICE REGIONAL OFFICE XII Isulan, Sultan Kudarat                                                                             INVITATION TO BID The</t>
  </si>
  <si>
    <t xml:space="preserve"> Republic of the Philippines Province of Romblon 		MUNICIPALITY OF LOOC ~o0o~ INVITATION TO BID FOR THE Rehabilitation of Manhac Evacuation Center The Municipal Government of Looc, Romblon, through the Annual Budget 2020 under 20% Development Fund  intends</t>
  </si>
  <si>
    <t xml:space="preserve"> Contract ID:	20LG0120 Contract Name:	Construction of Classrooms, Tamisan Elementary School, City of Mati, Davao Oriental Contract Location:	City of Mati, Davao Oriental Brief Description:	Construction of 2 Storey 6CL and 1 storey 2CL Approved Budget for t</t>
  </si>
  <si>
    <t xml:space="preserve"> REQUEST FOR EXPRESSION OF INTEREST FOR THE PROCUREMENT OF CONSULTING SERVICES TO DEVELOP THE COMMISSION ON HUMAN RIGHTS ORGANIZATIONAL STRUCTURE AND STAFFING PATTERN AND PREPARATION FOR LEVEL 2 PRIME HRM ACCREDITATION 1.	The Commission on Human Rights (CH</t>
  </si>
  <si>
    <t xml:space="preserve"> 4th Level Training on 2020 Census of Population and Housing (CPH) September 2020 39 Participants (trainers &amp; trainees) Venue: San Vicente, Palawan Mode of Payment: SEND BILL Date of Delivery:August 24-29,2020 Mode : Food to be delivered at Training room R</t>
  </si>
  <si>
    <t xml:space="preserve"> Republic of the Philippines Province of Romblon 		MUNICIPALITY OF LOOC ~o0o~ INVITATION TO BID FOR THE Rehabilitation of Child Development Center at Buenavista and Limon Norte The Municipal Government of Looc, Romblon, through the Annual Budget 2020 under</t>
  </si>
  <si>
    <t xml:space="preserve"> 4th Level Training on Census of Population &amp; Housing (CPH) September 2020. 108 Participants (trainers and trainees) Venue: Bataraza, Palawan Mode of Payment: SEND BILL Date of Delivery: August 17-21,2020                             August 24-29,2020 Mode </t>
  </si>
  <si>
    <t xml:space="preserve"> Republic of the Philippines BARANGAY MALITLIT OFFICE OF THE PUNONG BARANGAY BIDS AND AWARDS COMMITTEE INVITATION TO BID The Barangay Government of BARANGAY MALITLIT through its Bids and Awards Committee (BAC), invites suppliers/manufacturers/distributors </t>
  </si>
  <si>
    <t xml:space="preserve"> INVITATION TO BID Purchase and Delivery of Automated External Defibrillator (AED) Complete Set ITB 2020-07-041 (GOODS) 1. 	The Municipality of Tuba, through the Budget for the contract approved by the Sangguniang Bayan for CY 2019 intends to apply the sum</t>
  </si>
  <si>
    <t xml:space="preserve"> 4th Level Training on Census of Population &amp; Housing (CPH) September 2020. 87 Participants (trainers and trainees) Venue: Brooke’s Point, Palawan Mode of Payment: SEND BILL Date of Delivery: August 17-22,2020                             August 24-29,2020 </t>
  </si>
  <si>
    <t xml:space="preserve"> Republic of the Philippines Province of Eastern Samar Municipality of Arteche Invitation to Bid for Concreting of Seaside Street (Sta.0+408 to 0+468) 1.	The Local Government Unit of Arteche, Eastern Samar, through its general appropriations intends to app</t>
  </si>
  <si>
    <t xml:space="preserve"> Invitation to Bid For Supply and Delivery of Additional 120 Units for Existing Cisco ISR 4221 Routers 1.	The LAND BANK OF THE PHILIPPINES (LANDBANK), through its Corporate Budget for the contract Thirty One Million Four Hundred Five Thousand Pesos Only (P</t>
  </si>
  <si>
    <t xml:space="preserve"> OFFICE OF THE BIDS AND AWARDS COMMITTEE (BAC) INVITATION TO BID FOR: 20-06-493 Repair and Maintenance of D6R Bulldozer 1.	The Local Government Unit of Alamada, through the SB No. 4 FY 2020 (8751-5-02-13-050) intends to apply the sum of P 1,299,949.88 bein</t>
  </si>
  <si>
    <t xml:space="preserve"> Republic of the Philippines Province of Romblon MUNICIPALITY OF LOOC ~o0o~ INVITATION TO BID FOR THE Rehabilitation of Agojo Child Development Center The Municipal Government of Looc, Romblon, through the Annual Budget 2020 under 20% Development Fund  int</t>
  </si>
  <si>
    <t xml:space="preserve"> Atleast 120 cc Automatic Transmission Motorcycle Equipt with carrier box See prototype at the office of the barangay secretary.</t>
  </si>
  <si>
    <t xml:space="preserve"> LHG 4G kit, RBLHGR&amp;R11eAG, 21 dbi high gain antenna, 1 core count CPU nominal frequency 650 Mhz, 391 x 391 x 227 mm license level 3 OS routerOS, 64 MB RAM, 16 MB flash storage, Unlimited internet sim, AC1200 dual band router, CAT6 outdoor shielded UTP cab</t>
  </si>
  <si>
    <t xml:space="preserve"> Republic of the Philippines Region XII Province of Cotabato BIDS AND AWARDS COMMITTEE Amas, Kidapawan City INVITATION TO BID FOR Supply &amp; Delivery of Printed Tarpaulins to be used as tents in the evacuation centers. (PB-20-395) 1.	The Provincial Governmen</t>
  </si>
  <si>
    <t xml:space="preserve"> Republic of the Philippines Region XII Province of Cotabato BIDS AND AWARDS COMMITTEE Amas, Kidapawan City INVITATION TO BID FOR Supply &amp; Delivery of Muscovy Duck for distribution to farmers affected by earthquake provincewide. (PB-20-398) 1.	The Provinci</t>
  </si>
  <si>
    <t xml:space="preserve"> INVITATION TO BID The Municipality of Mutia through its Bids and  Awards Committee Invites  contractors to apply for eligibility and to bid for the project reflected hereunder; NAME OF PROJECT	:  Purchase of one(1) unit CCTV Surveillance Equipment P to P </t>
  </si>
  <si>
    <t xml:space="preserve"> Republic of the Philippines Region XII Province of Cotabato BIDS AND AWARDS COMMITTEE Amas, Kidapawan City INVITATION TO BID FOR Supply &amp; Delivery of Hybrid Corn Seeds for distribution to farmers affected by calamities provincewide. (PB-20-394) 1.	The Pro</t>
  </si>
  <si>
    <t xml:space="preserve"> 3. Procurement ID/Contract ID:	20GD0110 Contract Name:	CONCRETING OF SITIO KATAN-AGAN-PROPER, BRGY. EAST VILLAFLORES, MAAYON, CAPIZ Contract Location:	Maayon, Capiz Brief Description :	Concreting of Farm-to-Market Road (FMR) Approved Budget for the Contra</t>
  </si>
  <si>
    <t xml:space="preserve"> Description I.	Concrete Works II.	Tile Works III.	Carpentry Works  IV.	Plumbing Works  V.	Electrical Works  VI.	Painting Works 1. Barangay Cansamada East, Dagami, LEYTE through the bids and awards comm.) invites suppliers, distributors of construction mat</t>
  </si>
  <si>
    <t xml:space="preserve"> Survey Services of 382,608 sq. meters total area, 9 Lots for Relocation and 11 Lots for subdivision into 2 Lots</t>
  </si>
  <si>
    <t xml:space="preserve"> INVITATION TO BID The Municipality of Mutia through its Bids and  Awards Committee Invites  contractors to apply for eligibility and to bid for the project reflected hereunder; NAME OF PROJECT	:  Procurement of spare Parts for Service vehicle [Military Je</t>
  </si>
  <si>
    <t xml:space="preserve"> Republic of the Philippines Region XII Province of Cotabato BIDS AND AWARDS COMMITTEE Amas, Kidapawan City INVITATION TO BID FOR Supply of Diesel Fuel for RP Vehicles of various Committees in the Sangguniang Panlalawigan, Amas, Kidapawan City. (PB-20-396)</t>
  </si>
  <si>
    <t xml:space="preserve"> Repair of Classrooms for DEPED, San Carlos City, Negros Occidental Fund: 2020 Basic Education Facilities Fund (BEFF) 1)  Rizal Elementary School       ABC: P716,539.68      2 classrooms 2) Malindog Elementary School     ABC:  3,494,846.11     10 classroom</t>
  </si>
  <si>
    <t xml:space="preserve"> INVITATION TO BID ITB NO.: A6-2020 The East Avenue Medical Center through its Hospital Bids and Awards Committee (BAC) through the General Appropriations Act (GAA) 2020, Revolving Fund, and/or Hospital Income, invites suppliers / manufacturers / distribut</t>
  </si>
  <si>
    <t xml:space="preserve"> 1. Managed router, Structured Wifi and P2P Cabling:     - 1 Router/Security Appliance     - 1 AC Power Cord (US Plug)     - Advance Security License and Support     - 1 lot Horizontal Cablings     - 6 ft Data Cabinet and Accessories     - 2 units Integrat</t>
  </si>
  <si>
    <t xml:space="preserve"> INVITATION TO BID (for the Procurement of Goods)           1.	The City Government of Puerto Princesa (CGPP), through its Supplemental Budget No. 3-2020 intends to apply the sum, corresponds as the Approved Budget for the Contract (ABC) for each of the fol</t>
  </si>
  <si>
    <t xml:space="preserve"> Invitation to Bid No. 2020-010 1.	The Tarlac State University, through the Special Budget (SB) Fund intends to apply the sum of Three Million Eight Hundred Nine Thousand Five Hundred Pesos (P 3,809,500.00) being the Approved Budget for the Contract (ABC) </t>
  </si>
  <si>
    <t xml:space="preserve"> - see attached Public Bidding Documents (Part II)</t>
  </si>
  <si>
    <t xml:space="preserve"> Supply and Delivery of  Diorite (Soil Covering) (PR-2020-1061-0201) 1.	The City Government of Mandaue, through the Annual Budget of 2020 – General Fund – 1061 50299990 – Other Maintenance &amp; Operating Expenses Approved by the Sanggunian intends to apply th</t>
  </si>
  <si>
    <t xml:space="preserve"> INVITATION TO BID  “ACQUISITION OF FORENSIC TOOLS AND EQUIPMENT” ____________ 	 1.	The National Bureau of Investigation (NBI), through the Trust Account - PAGCOR Fund intends to apply the sum of Three Million Three Hundred Twenty Four Thousand Nine Hundre</t>
  </si>
  <si>
    <t xml:space="preserve"> DEPARTMENT OF PUBLIC WORKS AND HIGHWAYS Contract ID: 20CSIB10 Contract Name: CONSULTANCY SERVICES FOR PARCELLARY SURVEY OF THE CONSTRUCTION OF BORONGAN BYPASS AND DIVERSION ROAD, BORONGAN CITY, EASTERN SAMAR. Contract Location: EASTERN SAMAR Republic of t</t>
  </si>
  <si>
    <t xml:space="preserve"> Procurement of Consolidated IT Equipment Laptop; Windows 10. Core i5, 8GB RAM, HDMI, USB, Bluetooth DDR4, 14", 1TB HDD Laptop: Windows 10, Quad Core N5000, 4GB RAM500 GB HD, 14" Desktop computer: Intel core i7-7700 processor 8th gen. 8GB DDR4 1TB Hard dis</t>
  </si>
  <si>
    <t xml:space="preserve"> Procurement ID/ Contract ID:	19FI0063 Contract Name:	Cluster I a. Construction (Completion) of 1-Unit 2-Storey 2-ICT Building (9.50m x 23.0m) at Alejandro Delos Reyes Integrated School, Masbate City b. Construction (Completion) of 1-Unit 3-Storey 3-Regula</t>
  </si>
  <si>
    <t xml:space="preserve"> Ambulance with Body Sticker Technical Specification of Van Vehicle Type/Model: Van Engine Type: 3.0 Liter Diesel, 4 Cylinder In-Line 16V, DOHC (Turbo Charged with VNT) Displacement: 2,982cc (Euro 4) Maximum Output: 136 Ps/3,400 Rpm Maximum Torque: 300 Nm/</t>
  </si>
  <si>
    <t xml:space="preserve"> Medical Oxygen Tanks, 50 lbs. (Refill) - 30 tanks 					 Medical Oxygen Refill - Adult, Standard gas charged to 127kg/cm2 (1800 PSI) pressure, 65 kg - 50	tanks						 Medical Oxygen Refill - Ambulance type, Standard gas 1800 PSI) pressure, 30 kg - 10 tanks </t>
  </si>
  <si>
    <t xml:space="preserve"> The Bids and Awards Committee								 Province of Iloilo								 								      In connection with your Invitation to Bid No. PEO-20-0664-B scheduled on August 5, 2020, I/we proposed to furnish and deliver in conformity with the terms and conditions, and s</t>
  </si>
  <si>
    <t xml:space="preserve"> Construction of Multi-Purpose Building at Sitio Lubuk, Angilan, Sulu</t>
  </si>
  <si>
    <t xml:space="preserve"> INVITATION TO BID The Municipality of Mutia through its Bids and  Awards Committee Invites  contractors to apply for eligibility and to bid for the project reflected hereunder; NAME OF PROJECT	:  Procurement of Materials for Painting, Upholstery and boby </t>
  </si>
  <si>
    <t xml:space="preserve"> Rescue Ambulance High Roof (Pls. coordinate to the end-user for personalized design of sticker) Engine Fuel Type Diesel Engine Size/Displacement 2,488 No. of Cylinders 4 Maximum Torque (Nm) 356 Maximum Power (ps) 129 Engine &amp; Transmission Maximum Torque (</t>
  </si>
  <si>
    <t xml:space="preserve"> Procurement ID/ Contract ID:	20FI0039(RE-ADVERTISED) Contract Name:	Construction of 1-Unit 2-Storey 4-Classroom (9.50m x 23.0m) School Building at Potoson Elementary School, Using Exposure D (Wind V=340 KPH) Contract Location:	Baleno, Masbate Brief Descri</t>
  </si>
  <si>
    <t xml:space="preserve"> Supply and delivery of 3 sets Brand New Desktop Computer w/ complete accessories and 2 sets Printer, WIFI, Integrated Ink Tank of the Mayor's Office, San Enrique, Iloilo. (Rebid) Approved Budget for the Contract:  Php. 147, 000.00 1. 3 sets Brand New Desk</t>
  </si>
  <si>
    <t xml:space="preserve"> INVITATION TO BID     20-097 Name of Project	:	Medicines for Laguna Medical Center (NBB)  Location	:	Sta. Cruz, Laguna  Brief Description	:	Various Medicines Approved Budget For the Contract	:	1,499,989.80 Delivery Period 	:	10 Calendar Days  The Provinci</t>
  </si>
  <si>
    <t xml:space="preserve"> INVITATION TO BID     20-096 Name of Project	:	Dump Truck and Light Cargo Truck with Dropside Body for Solid Waste Management Program of the Provincial Government of Laguna  Location	:	Sta. Cruz, Laguna   Brief Description	:	Dump Truck: (1.5 Cubic) 4-Cyli</t>
  </si>
  <si>
    <t xml:space="preserve"> Government of the Philippines BLGU BRGY. BAGONG, ANYO DOLORES, QUEZON Invitation to Bid for PROCUREMENT Of rescue ambulance 1.The BLGU, through the General  Fund – P1,400,000.00 	 intends to apply the sum of  One Million Four Hundred  Thousand Pesos being</t>
  </si>
  <si>
    <t xml:space="preserve"> QTY  UNIT  DESCRIPTION 250 btls. 120 ml. Multivitamins syrup (Branded) for growth Development 429 btls. 60 ml. Multivitamins syrup plus iron 860 btls. 60 ml. Multivitamins syrup C</t>
  </si>
  <si>
    <t xml:space="preserve"> INVITATION TO BID     20-098 Name of Project	:	Air Conditioning Units for LPH-Dr. J.P. Rizal Memorial District Hospital  Location	:	Calamba City, Laguna  Brief Description	:	Various Air Conditioning Units, with Installation Approved Budget For the Contrac</t>
  </si>
  <si>
    <t xml:space="preserve"> Republic of the Philippines Province of Quezon Municipality of Macalelon Invitation to Bid for the  CONSTRUCTION OF TUBIGAN ILAYA – TUBIGAN IBABA FMR Reference No. 2020-07-369-ME 										July 28, 2020 1.	The LGU - Macalelon, Quezon intends to apply the </t>
  </si>
  <si>
    <t xml:space="preserve"> Provision of Field Office for the Engineer (Rental Basis)				 Provision of Furniture/Fixture, Equipments and Appliances for the Field Office for the Engineer				 Provision of 4x2 Pick up Type Service Vehicle for the Engineer on Rental Basis				 Mobilizati</t>
  </si>
  <si>
    <t xml:space="preserve"> Provision of Field Office for the Engineer (Rental Basis)				 Provision of Furniture/Fixture, Equipments and Appliances for the Field Office of the Engineer				 Provision of 4x2 Pick up Type Service Vehicle for the Engineer (Rental Basis)				 Mobilization</t>
  </si>
  <si>
    <t xml:space="preserve"> INVITATION TO BID     20-095 Name of Project	:	Medicines for Laguna Medical Center for 3rd and 4th Quarter Location	:	Sta. Cruz, Laguna  Brief Description	:	Various Medicines Approved Budget For the Contract	:	5,436,308.07 Delivery Period 	:	10 Calendar D</t>
  </si>
  <si>
    <t xml:space="preserve"> Republic of the Philippines Province of Cagayan Municipality of Piat -o0o- OFFICE OF THE BIDS AND AWARDS COMMITTEE (BAC) INVITATION TO BID FOR PROCUREMENT OF DIESEL ENGINE FOR MINI DUMP TRUCK                                       The Local Government Unit</t>
  </si>
  <si>
    <t xml:space="preserve"> Contract ID No.	: 20K00354     Contract Name	: Construction/Rehabilitation of Water Supply/Septage and Sewerage/ Rain Water Collectors in Region X 1.	Const. of Rainwater Collection System(RWCS),Balongkot ES, Brgy. Dansolihon, Cagayan de Oro City          </t>
  </si>
  <si>
    <t xml:space="preserve"> INVITATION TO BID The Municipality of Mutia through its Bids and  Awards Committee Invites  contractors to apply for eligibility and to bid for the project reflected hereunder; NAME OF PROJECT	:  Procurement &amp; Installation of Municipal Children's Playgrou</t>
  </si>
  <si>
    <t xml:space="preserve"> INVITATION TO BID FOR Proposed Deployment of Three(3) Private Security Guard for use in DPWH Equipment Management Division, Balanga City, Bataan The DPWH-Bataan 2nd District Engineering Office, through its Bids and Awards Committee (BAC) for Goods, invite</t>
  </si>
  <si>
    <t xml:space="preserve"> Work Description:		 			1. Improvement/Raising of Perimeter Fence		 			2. Rubberize Court		 			3. Installation of Fab G.I Vents		 					 			CONTRACT COST:		 1.			IMPROVEMENT/RAISING OF PERIMETER FENCE ALONG RIGHT AND FRONT SIDE		 			A. Materials		 			B. Equ</t>
  </si>
  <si>
    <t xml:space="preserve"> INVITATION TO BID FOR THE 1 LOT SUPPLY AND DELIVERY OF VARIOUS GALVANIZED STEEL SERVICE CONNECTION FITTINGS AND MATERIALS    1. The Cagayan de Oro City Water District, through the COWD Approved Budget for 2020 intends to apply the sum of Two Million Seven</t>
  </si>
  <si>
    <t xml:space="preserve"> Project Description:		 			Type: Reinforced Boulder Dike		 			Length: 68 l.m.		 			Height: 4.10 l.m. (from River Bed)		 			CONTRACT COST:		 1.			SPECIAL ITEM-GENERAL CONDITION		 1.1			Mobilization/Demobilization		                        8,000.00 1.2			Temp</t>
  </si>
  <si>
    <t xml:space="preserve"> PROJECT SIGNAGE STRUCTURE DEMOLITION EXCAVATION GROUTED RI0PRAP AGGREGATE BASE COURSE &amp; SHOULDER PORTLAND CEMENT CONC. PAVEMENT PIPE CULVERTS</t>
  </si>
  <si>
    <t xml:space="preserve"> Republic of the Philippines Region XII Province of Cotabato BIDS AND AWARDS COMMITTEE Amas, Kidapawan City INVITATION TO BID FOR Procurement of Radio Airtime (Information advocacy) Blocktime “Masaganang Cotabato” simulcast to 10 radio station and telerady</t>
  </si>
  <si>
    <t xml:space="preserve"> Invitation to Bid for the supply &amp; delivery of Various Medicines for use of the City Health Office, Batangas City.</t>
  </si>
  <si>
    <t xml:space="preserve"> Kindly see attached Documents</t>
  </si>
  <si>
    <t xml:space="preserve"> MPDC OFFICE (CO GF SURPLUS CY 2019 APP. NO. # 6)		 1	unit	1	Floor Mounted Aircondition with Installation Fee	100,000.00	100,000.00 			Specs:                                 -4 HP/3TR                                 -Inverter Type                          </t>
  </si>
  <si>
    <t xml:space="preserve"> Construction of Jacquez ECCD Learning Center SITE DEVELOPMENT Demolition Layout &amp; staking EARTH WORKS Excavation for column &amp; wall Footing CONCRETE WORKS Reinforced Concrete Footing Reinforced Concrete Column Reinforced Concrete Beam Reinforced Wall Footi</t>
  </si>
  <si>
    <t xml:space="preserve"> Republic of the Philippines PROVINCE OF SOUTHERN LEYTE Maasin City Invitation to Bid for the Procurement of Catering Services &amp; Venue  Contract ID # 2020-08-18-431PG 1.	The Provincial Government of Southern Leyte through the PDRRMO Training expenses inten</t>
  </si>
  <si>
    <t xml:space="preserve"> Republic of the Philippines PROVINCE OF SOUTHERN LEYTE Maasin City Invitation to Bid for the Procurement of Various Tire Wheel  Contract ID # 2020-08-18-432PG 1.	The Provincial Government of Southern Leyte through the PDH, PAGSO &amp; PHSO Repairs and Mainten</t>
  </si>
  <si>
    <t xml:space="preserve"> DESCRIPTION BARANGAY GOVERNMENT OF KAPATAGAN INVITATION TO BID The Barangay Government of Kapatagan Thru the bids and awards Committee (BAC) invite interested Suppliers/Constructor to Apply for eligibility screening and if subsequently found to bid for th</t>
  </si>
  <si>
    <t xml:space="preserve"> REPUBLIC OF THE PHILIPPINES PROVINCE OF LA UNION MUNICIPALITY OF CABA BIDS AND AWARDS COMMITTEE INVITATION TO BID FOR THE PROCUREMENT OF INFRASTRUCTURE PROJECT OF THE MUNICIPALITY The Local Government Unit of Caba, La Union, through the DBM-LGSF intends t</t>
  </si>
  <si>
    <t xml:space="preserve"> Republic of the Philippines PROVINCE OF SOUTHERN LEYTE Maasin City Invitation to Bid for the Procurement of Various Office Supplies &amp; Aluminum Ladder  Contract ID # 2020-08-18-430PG 1.	The Provincial Government of Southern Leyte through the PASSO Other Ma</t>
  </si>
  <si>
    <t xml:space="preserve"> One Unit Wheel Loader with the following specifications: Rated operating load: 3000kg; Bucket Capacity: 1.5-2.5cubic meter; Machine Weight: 1060±200kg; Dumoe Clearance at maximum lift: 2770̴3260mm; Reach at maximum lift: 1010~1210mm; Wheel base: 2600mm; T</t>
  </si>
  <si>
    <t xml:space="preserve"> I.	OBJECTIVE : To continue the existing engagement of an Offsite Records Management Storage Facility vendor for a period of two (2) years, 2020 to 2022. II.	SCOPE OF WORK : The contractor should provide the following services : •	Hauling  and barcoding of</t>
  </si>
  <si>
    <t xml:space="preserve"> Rehabilitation/Improvement of Kong St. Barangay Don Ruben Road Lay-out Staking Demolition Demolition of Dilapidated Earthworks Structural Excavation Sub-Grade Preparation Aggregate Sub-Base Coarse CONCRETE WORKS Portland Cement Concrete Road Shoulder Rein</t>
  </si>
  <si>
    <t xml:space="preserve"> INVITATION TO BID FOR CONSTRUCTION OF BARANGAY HEALTH CENTER AT OAQUI NO. 4, LUNA, LA UNION 1.	The Municipal Government of Luna, La Union through the 20% DEVELOPMENT FUND intends to apply the sum of FIVE HUNDRED THOUSAND PESOS (Php500,000.00) being the Ap</t>
  </si>
  <si>
    <t xml:space="preserve"> INVITATION TO BID FOR CONCRETE PAVING OF FARM TO MARKET ROAD AT OAQUI NO. 1, LUNA, LA UNION 1.	The Municipal Government of Luna, La Union through the 20% DEVELOPMENT FUND intends to apply the sum of ONE MILLION EIGHT HUNDRED PESOS (Php1,800,000.00) being </t>
  </si>
  <si>
    <t xml:space="preserve"> INVITATION TO BID FOR CONSTRUCTION OF BARANGAY HEALTH CENTER AT VICTORIA, LUNA, LA UNION 1.	The Municipal Government of Luna, La Union through the 20% DEVELOPMENT FUND intends to apply the sum of FIVE HUNDRED THOUSAND PESOS (Php500,000.00) being the Appro</t>
  </si>
  <si>
    <t xml:space="preserve"> Bicol Medical Center Concepcion Pequeña, Naga City, 4400 (0998-247-0239/0906-256-9238          E-mail Address: bmc.bacoffice@gmail.com INIVITATION TO BID PROCUREMENT OF HAND SANITIZER (1 LOT) ITB No. 2020-24 1.	The BICOL MEDICAL CENTER, through SA QRF COV</t>
  </si>
  <si>
    <t xml:space="preserve"> INVITATION TO BID FOR CONCRETE PAVING OF MEDINA STREET, MAGALLANES, LUNA, LA UNION  1.	The Municipal Government of Luna, La Union through the 20% DEVELOPMENT FUND intends to apply the sum of ONE MILLION PESOS (Php1,000,000.00) being the Approved Budget fo</t>
  </si>
  <si>
    <t xml:space="preserve"> Improvement of the Municipal Beach Resort (Phase I &amp; II) SITE DEVELOPMENT Layout &amp; staking EARTH WORKS Structural Excavation  Backfilling CONCRETE WORKS Footing Gravel Bedding Class A Concrete Reinforcing steel bars Pedestal Class A Concrete Reinforcing s</t>
  </si>
  <si>
    <t xml:space="preserve"> REPUBLIC OF THE PHILIPPINES PROVINCE OF RIZAL MUNICIPALITY OF ANGONO Barangay San Vicente INVITATION TO BID FOR  PROCUREMENT OF MINI DUMPTRUCK 1.	Barangay San Vicente, Angono, Rizal, through the 20% Development Fund  intends to apply the sum of One Millio</t>
  </si>
  <si>
    <t xml:space="preserve"> Republic of the Philippines PROVINCE OF SOUTHERN LEYTE Maasin City Invitation to Bid for the Construction of Southern Leyte COVID Testing Center SOYMPH, Brgy. Dongon, Maasin City, Southern Leyte Contact ID # - 2020-08-18-058CW 1.	The Provincial Government</t>
  </si>
  <si>
    <t xml:space="preserve"> Republic of the Philippines PROVINCE OF SOUTHERN LEYTE Maasin City Invitation to Bid for the Procurement of Spare parts and Services  Contract ID # 2020-08-18-443PG 1.	The Provincial Government of Southern Leyte through the OSP– Repair and Maintenance –Tr</t>
  </si>
  <si>
    <t xml:space="preserve"> Republic of the Philippines PROVINCE OF SOUTHERN LEYTE Maasin City Invitation to Bid for the Procurement of Diesel Fuel  Contract ID # 2020-08-18-442PG 1.	The Provincial Government of Southern Leyte through the OSP and OVG – Fuel, Oil and Lubricants Expen</t>
  </si>
  <si>
    <t xml:space="preserve"> The Zamboanga State College of Marine Sciences and Technology (ZSCMST), through its Bids and Awards Committee, is inviting PhilGeps registered suppliers to apply for eligibility and to submit bids for the items mentioned hereunder: B-044-2020  PROCUREMENT</t>
  </si>
  <si>
    <t xml:space="preserve"> Republic of the Philippines PROVINCE OF SOUTHERN LEYTE Maasin City Invitation to Bid for the Procurement of Various Vehicle Spare parts  Contract ID # 2020-08-18-441PG 1.	The Provincial Government of Southern Leyte through the PGO – Repair and Maintenance</t>
  </si>
  <si>
    <t xml:space="preserve"> The Zamboanga State College of Marine Sciences and Technology (ZSCMST), through its Bids and Awards Committee, is inviting PhilGeps registered suppliers to apply for eligibility and to submit bids for the items mentioned hereunder: B-045-2020-A SUPPLY AND</t>
  </si>
  <si>
    <t xml:space="preserve"> Republic of the Philippines PROVINCE OF SOUTHERN LEYTE Maasin City Invitation to Bid for the Procurement of Premium Gasoline  Contract ID # 2020-08-18-440PG 1.	The Provincial Government of Southern Leyte through the PGO– Fuel,Oil and Lubricants Expenses i</t>
  </si>
  <si>
    <t xml:space="preserve"> Republic of the Philippines PROVINCE OF SOUTHERN LEYTE Maasin City Invitation to Bid for the Procurement of Various Office Supplies  Contract ID # 2020-08-18-439PG 1.	The Provincial Government of Southern Leyte through the PSWDO– Office Supplies Expenses </t>
  </si>
  <si>
    <t xml:space="preserve"> Republic of the Philippines PROVINCE OF SOUTHERN LEYTE Maasin City Invitation to Bid for the Construction of  Pigpen Barangay Buenavista, Bontoc, Southern Leyte Contact ID # - 2020-08-18-059CW 1.	The Provincial Government of Southern Leyte, through the Ge</t>
  </si>
  <si>
    <t xml:space="preserve"> CONSTRUCTION/CONCRETING OF PROVINCIAL ROADS, HIGHWAYS AND BRIDGES (MATIN-AO-CANTUGAS ROAD SECTION) MUNICIPALITY OF MAINIT, SURIGAO DEL NORTE Brief Description:    The project will involve the Concreting of 0.573 km Road with the following scope of works: </t>
  </si>
  <si>
    <t xml:space="preserve"> Republic of the Philippines Province of Batanes	 MUNICIPALITY OF BASCO               		INVITATION TO BID FOR THE PROCUREMENT OF BOTTLE CRUSHER 1.	The Municipal Local Government Unit of Basco, through the General Fund  intends to apply the sum of One Milli</t>
  </si>
  <si>
    <t xml:space="preserve"> The Zamboanga State College of Marine Sciences and Technology (ZSCMST), through its Bids and Awards Committee, is inviting PhilGeps registered suppliers to apply for eligibility and to submit bids for the items mentioned hereunder: B-043-2020  CONTINUOUS </t>
  </si>
  <si>
    <t xml:space="preserve"> Republic of the Philippines PROVINCE OF SOUTHERN LEYTE Maasin City Invitation to Bid for the Procurement of Automated Weather Station (AWS) Equipment with Installation and IT Equipment   Contract ID # 2020-08-18-444PG 1.	The Provincial Government of South</t>
  </si>
  <si>
    <t xml:space="preserve"> Republic of the Philippines PROVINCE OF SOUTHERN LEYTE Maasin City Invitation to Bid for the Procurement of One (1) Unit Service Vehicle    Contract ID # 2020-08-18-446PG 1.	The Provincial Government of Southern Leyte through the PSWDO Motor Vehicles Expe</t>
  </si>
  <si>
    <t xml:space="preserve"> Republic of the Philippines														 PROVINCE OF ZAMBOANGA SIBUGAY														 Municipality of Payao														 														 INVITATION TO BID														 										PR2020-06-29-077				 The Local Government Unit of Payao, Zamboanga Sibugay, </t>
  </si>
  <si>
    <t xml:space="preserve"> INVITATION TO BID  The DPWH – Cavite II District Engineering Office, through its Bids and Awards Committee (BAC), invites contractors to submit bids for the following Contract:  3.	Contract I.D. No.	:	20DG0046         Contract Name           :   	Construc</t>
  </si>
  <si>
    <t xml:space="preserve"> INVITATION TO BID  The DPWH – Cavite II District Engineering Office, through its Bids and Awards Committee (BAC), invites contractors to submit bids for the following Contract:  2.	Contract I.D. No.	:	20DG0045 Contract Name          :   	Construction of M</t>
  </si>
  <si>
    <t xml:space="preserve"> The Municipality of Malangas, through the Bids and Award Committee (BAC), invites suppliers/manufactures/distributors/contractors to bid for the hereunder contract: Name of Project	: RENOVATION OF MARKET BUILDING Brief Description of the project:  Rehabil</t>
  </si>
  <si>
    <t xml:space="preserve"> Republic of the Philippines PROVINCE OF SOUTHERN LEYTE Maasin City Invitation to Bid for the Procurement of Consulting Services    Contract ID # 2020-07-28-445PG 1.	The Provincial Government of Southern Leyte through the PGO Consulting Services Expenses i</t>
  </si>
  <si>
    <t xml:space="preserve"> 1.	The Bureau of Soils and Water Management, through the General Appropriation Act for CY 2020 intends to apply the sum of One Million Two Hundred Fifty Thousand pesos (Php 1,250,000.00) being the Approved Budget for the Contract (ABC) to payments under t</t>
  </si>
  <si>
    <t xml:space="preserve"> Design and Build</t>
  </si>
  <si>
    <t xml:space="preserve"> INVITATION TO BID  The DPWH – Cavite II District Engineering Office, through its Bids and Awards Committee (BAC), invites contractors to submit bids for the following Contract:  1.	Contract I.D. No.	:	20DG0044         Contract Name           :   	Construc</t>
  </si>
  <si>
    <t xml:space="preserve"> Description   Republic of the Philippines Danao City BIDS AND AWARDS COMMITTEE INVITATION to APPLY for ELIGIBILITY and to BID Supply and Delivery of Gasoline for Stock (GSO) of the City GOVERNMENT OF DANAO The Local Government of Danao City, through the G</t>
  </si>
  <si>
    <t xml:space="preserve"> Bicol Medical Center Concepcion Pequeña, Naga City, 4400 (0998-247-0239/0906-256-9238          E-mail Address: bmc.bacoffice@gmail.com INIVITATION TO BID PROCUREMENT OF MEDICAL &amp; OTHER HEALTH RELATED EQUIPMENT (2) ITB No. 2020-26 1.	The BICOL MEDICAL CENT</t>
  </si>
  <si>
    <t xml:space="preserve"> Invitation to Bid The National Housing Authority (NHA), through the Corporate Budget approved by the NHA Board for the year 2020 intends to apply the sum of the Approved Budget for the Contract (ABC) to payments for the following contract: Ref. No. : NHAR</t>
  </si>
  <si>
    <t xml:space="preserve"> Republic of the Philippines PROVINCE OF SOUTHERN LEYTE Maasin City Invitation to Bid for the Procurement of Various Office Supplies  Contract ID # 2020-08-18-438PG 1.	The Provincial Government of Southern Leyte through the PHSO– Office Supplies Expenses i</t>
  </si>
  <si>
    <t xml:space="preserve"> Supply and Delivery of Hardware Materials for Installation of Lights at Sea Wall</t>
  </si>
  <si>
    <t xml:space="preserve"> Supply and Delivery of Hardware Materials for Rehabilitation of Multi-Purpose Hall (Phase 4)</t>
  </si>
  <si>
    <t xml:space="preserve"> Republic of the Philippines PROVINCE OF SOUTHERN LEYTE Maasin City Invitation to Bid for the Procurement of One (1) Unit Photocopier Machine  Contract ID # 2020-08-18-435PG 1.	The Provincial Government of Southern Leyte through the PBCH Office Equipment e</t>
  </si>
  <si>
    <t xml:space="preserve"> Republic of the Philippines PROVINCE OF SOUTHERN LEYTE Maasin City Invitation to Bid for the Procurement of Air condition with Installation, Camera with complete Accessories &amp; Computer Set   Contract ID # 2020-08-18-433PG 1.	The Provincial Government of S</t>
  </si>
  <si>
    <t xml:space="preserve"> Republic of the Philippines Region XII Province of Cotabato BIDS AND AWARDS COMMITTEE Amas, Kidapawan City INVITATION TO BID FOR Supply &amp; Delivery of Goats for distribution to farmers affected by earthquake provincewide. (PB-20-399) 1.	The Provincial Gove</t>
  </si>
  <si>
    <t xml:space="preserve"> Supplies/Deliveries of Construction Materials for the Project Improvement of Organic Fertilizer Production Center 115 pcs - 2" x 2" x 8' Coco Lumber  225 pcs - 2" x 3" x 8' Coco Lumber  10 pcs - 2" x 2" x 10' Coco Lumber 4 pcs - 2" x 2" x 8' Good Lumber  </t>
  </si>
  <si>
    <t xml:space="preserve"> Republic of the Philippines PROVINCE OF SOUTHERN LEYTE Maasin City Invitation to Bid for the Procurement of Various Housekeeping Supplies and Office Supplies  Contract ID # 2020-08-18-436PG 1.	The Provincial Government of Southern Leyte through the PEO–Mo</t>
  </si>
  <si>
    <t xml:space="preserve"> Republic of the Philippines Province of Cagayan Municipality of Piat -o0o- OFFICE OF THE BIDS AND AWARDS COMMITTEE (BAC) INVITATION TO BID FOR PROCUREMENT OF MULTI-FUNCTION PRINTER AND COPY PRINTER                                       The Local Governmen</t>
  </si>
  <si>
    <t xml:space="preserve"> SUPPLIES DRUGS AND MEDICINES</t>
  </si>
  <si>
    <t xml:space="preserve"> By Contract.</t>
  </si>
  <si>
    <t xml:space="preserve"> Republic of the Philippines Province of Negros Occidental Municipality of Ilog Invitation to bid for sale Amount Php 500 Purchase of materials for the implementation of Ilog Flood &amp; Erosion Control Project (Riprapping), Malinao Creek, Vista Alegre, Ilog, </t>
  </si>
  <si>
    <t xml:space="preserve"> Min Specifications: Specifications  Body                                 :       MPV (Single cabin -Pickup with Enclosed Passenger Cab) Type				        :	2.4 Liter Diesel, 4-Cylinder. 16- Valve, DOHC Turbo  Maximum Output (HP/rpm)	:	147 / 3,400 Maximum To</t>
  </si>
  <si>
    <t xml:space="preserve"> 0.10m x 2.50m x 42.50 LM PCCP</t>
  </si>
  <si>
    <t xml:space="preserve"> SUPPLIES FOR ROUTINE LABORATORY AND PRENATAL SERVICES</t>
  </si>
  <si>
    <t xml:space="preserve"> INVITATION TO BID The DPWH Zamboanga del Sur 2nd District Engineering Office, Poblacion, Guipos, Zamboanga del Sur, through its Bids and Awards Committee (BAC), invites contractors to submit bids for the following Contract: Contract ID	:	20JG0088 Contract</t>
  </si>
  <si>
    <t xml:space="preserve"> Republic of the Philippines Province of Cagayan Municipality of Piat -o0o- OFFICE OF THE BIDS AND AWARDS COMMITTEE (BAC) “INVITATION TO BID FOR CONCRETING OF ROAD AT GUMARUENG, PIAT, CAGAYAN” The Local Government Unit of Piat through the CY2016 Financial </t>
  </si>
  <si>
    <t xml:space="preserve"> INVITATION TO BID  Purchase &amp; Delivery of Various Medical Supplies  for SMC  July 28, 2020 1.	The Provincial Government of Sarangani, through the AB CY 2020 (SB #2) intends to apply the sum of Three Million Two Hundred Seventy-One Thousand Three Hundred T</t>
  </si>
  <si>
    <t xml:space="preserve"> INVITATION TO BID  Purchase &amp; Delivery of Service Utility Vehicle  for DCMMH July 28, 2020 1.	The Provincial Government of Sarangani, through the AB CY 2020  intends to apply the sum of One Million Four Hundred Thousand Pesos Only (P 1,400,000.00) being t</t>
  </si>
  <si>
    <t xml:space="preserve"> INVITATION TO BID  Purchase &amp; Delivery of Computer Sets for PVGO  July 28, 2020 1.	The Provincial Government of Sarangani, through the AB CY 2020 (PAF) intends to apply the sum of One Million Eight Hundred Twenty Five Thousand Pesos Only  (P 1,825,000.00)</t>
  </si>
  <si>
    <t xml:space="preserve"> 1,242,410 pcs DepEd Modules for Kinder, Grade 1 to 12; Specifications: Size: 8.25”x 10.75”; Pages: Quarter 1-Batch 1-40 pages; Quarter 1-Batch 2-40 pages</t>
  </si>
  <si>
    <t xml:space="preserve"> Republic of the Philippines PROVINCE OF SOUTHERN LEYTE Maasin City Invitation to Bid for the Procurement of Window grills  Contract ID # 2020-08-18-449PG 1.	The Provincial Government of Southern Leyte through the SLPL Repair and Maintenance Expenses inten</t>
  </si>
  <si>
    <t xml:space="preserve"> Republic of the Philippines Province of Negros Occidental Municipality of Ilog Invitation to bid for sale  Amount Php 500 Purchase of Medical supplies for the use of 15 Barangays of Ilog, Birthing Facility and Circumcision. Ilog, Neg. Occ.</t>
  </si>
  <si>
    <t xml:space="preserve"> Republic of the Philippines Department of Public Works and Highways OFFICE OF THE DISTRICT ENGINEER 		Camarines Sur 4th  District Engineering Office (Formerly: Camarines Sur 3rd DEO) REGION V Caraycayon, Tigaon, Camarines Sur Tel #(054) 881-0107 INVITATIO</t>
  </si>
  <si>
    <t xml:space="preserve"> Republic of the Philippines Province of Negros Occidental Municipality of Ilog Invitation to bid for sale Amount: Php 5,000 Purchase of Fuel for the use of Municipal Service Vehicle. Ilog, Neg. Occ.</t>
  </si>
  <si>
    <t xml:space="preserve"> Republic of the Philippines PROVINCE OF SOUTHERN LEYTE Maasin City Invitation to Bid for the Procurement of One (1) Unit Service Vehicle (Coaster)  Contract ID # 2020-08-18-434PG 1.	The Provincial Government of Southern Leyte through the OSP Motor Vehicle</t>
  </si>
  <si>
    <t xml:space="preserve"> Description   Republic of the Philippines Danao City BIDS AND AWARDS COMMITTEE INVITATION to APPLY for ELIGIBILITY and to BID Supply and Installation of 2 Units Fuel Storage Underground Tank (GSO) of the City GOVERNMENT OF DANAO The Local Government of Da</t>
  </si>
  <si>
    <t xml:space="preserve"> I. Mobilization; II. Electrical Works</t>
  </si>
  <si>
    <t xml:space="preserve"> Republic of the Philippines PROVINCE OF AKLAN Kalibo -oOo- BIDS AND AWARDS COMMITTEE (BAC) INVITATION TO BID 1.	The Provincial   Government   of   Aklan, through   DILG - Recovery Assistance for Yolanda- (RAY) Batch 3    intends   to   apply   the   sum  </t>
  </si>
  <si>
    <t xml:space="preserve"> Republic of the Philippines PROVINCE OF SOUTHERN LEYTE Maasin City Invitation to Bid for the Procurement of Spare parts and Services  Contract ID # 2020-08-18-437PG 1.	The Provincial Government of Southern Leyte through the OVG– Repair and Maintenance –Tr</t>
  </si>
  <si>
    <t xml:space="preserve"> ELECTRICAL SUPPLIES 			 Electrical Tape		5	roll Rotary Fan 220/240VAC 50/60HZ		10	pc. LED Flood Light 50 watts		2	unit Photoswitch 6 ampers		5	pc. Soldering iron 30 watts		2	pc. Soldering Lead 1.2mm 60/40		2	roll #16 Flatcord, color black		2	roll UY2 Conn</t>
  </si>
  <si>
    <t xml:space="preserve"> Republic of the Philippines Province of Cagayan Municipality of Piat -o0o- OFFICE OF THE BIDS AND AWARDS COMMITTEE (BAC) “INVITATION TO BID FOR CONSTRUCTION OF RETAINING WALL AND COMFORT ROOM AT POBLACION 1 (UBBUG), PIAT, CAGAYAN” The Local Government Uni</t>
  </si>
  <si>
    <t xml:space="preserve"> Republic of the Philippines PROVINCE OF AKLAN Kalibo -oOo- BIDS AND AWARDS COMMITTEE (BAC) INVITATION TO BID 1.	The Provincial   Government   of   Aklan, through   20% IRA Development Fund CY 2020 intends   to   apply   the   sum   of  Four Million Eight </t>
  </si>
  <si>
    <t xml:space="preserve"> Invitation to Bid Date: July 27, 2020 1.	The Provincial Government of Davao del Sur, through its Bids and Awards Committee (BAC), invites all potential bidders / suppliers to apply to bid for the following goods. Bids received in excess of the ABC shall b</t>
  </si>
  <si>
    <t xml:space="preserve"> 1 set RTK GNSS Static base (448 channel or more) GNSS Technology 448 hardware channel or more for simultaneous tracking of all visible satellite signals Support Signal: GPS(L1P,L1CA,L2,L5), GLONASS(L1,IL2,L3) Galileo(E1,E5ab,AItBoc,E6), BEIDOU(B1,B2,B3),S</t>
  </si>
  <si>
    <t xml:space="preserve"> to be used by the sangguniang barangay and for the convenient of constituent of the barangay</t>
  </si>
  <si>
    <t xml:space="preserve"> INVITATION TO BID FOR THE  REHABILITATION OF RAC MULTI-PURPOSE BUILDING (BONO-BONO, BATARAZA, PALAWAN) 1.	The Provincial Government of Palawan, through its General Fund (OBR No. 200-20-07-08701) account intends to apply the sum of Two Million Eighteen Tho</t>
  </si>
  <si>
    <t xml:space="preserve"> Pick-Up Truck Motor Vehicle</t>
  </si>
  <si>
    <t xml:space="preserve"> INVITATION TO BID IB No. 25,   S. 2020 The Municipality of General Nakar, Quezon through the Approved Appropriation Ordinance No. 2019-29  appropriating funds for the Annual Budget CY 2020 intends to apply the sum of  Three Million Pesos (PhP3,000,000.00)</t>
  </si>
  <si>
    <t xml:space="preserve"> Republic of the Philippines PROVINCE OF AKLAN Kalibo -oOo- BIDS AND AWARDS COMMITTEE (BAC) INVITATION TO BID 1.	The Provincial   Government   of   Aklan, through   SEF Supplemental Budget No. 1 CY 2019 intends   to   apply   the   sum   of  Four Million O</t>
  </si>
  <si>
    <t xml:space="preserve"> INVITATION TO BID FOR SUPPLY AND DELIVERY OF VARIOUS APPLIANCES, FURNITURE AND FIXTURE AND UTILITY SUPPLIES 1.	The Municipal Government of Luna, La Union through the GENERAL FUND intends to apply the sum of SIX HUNDRED FIFTY THOUSAND FIFTY PESOS (Php650,0</t>
  </si>
  <si>
    <t xml:space="preserve"> The Municipality of Tanza, Cavite, through its Bids and Awards Committee (BAC), invites suppliers/manufacturers/distributor/contractors to apply for eligibility and to bid for the hereunder project: 	Name of Project	: SUPPLY AND DELIVERY OF GUNS AND AMMUN</t>
  </si>
  <si>
    <t xml:space="preserve"> INVITATION TO BID The DPWH Zamboanga del Sur 2nd District Engineering Office, Poblacion, Guipos, Zamboanga del Sur, through its Bids and Awards Committee (BAC), invites contractors to submit bids for the following Contract: Contract ID	:	20JG0087 Contract</t>
  </si>
  <si>
    <t xml:space="preserve"> Republic of the Philippines Province of Lanao del Norte Municipality of Tubod BARANGAY PUALAS BIDS AND AWARDS COMMITTEE INVITATION TO BID PURCHASE AND INSTALLATION OF 1 SET BASKETBALL BOARD Barangay Pualas, Tubod, Lanao del Norte  (ITB-2020-REL-004 Re-Bid</t>
  </si>
  <si>
    <t xml:space="preserve"> Republic of the Philippines PROVINCIAL GOVERNMENT OF EASTERN SAMAR Capitol Building, Borongan, Eastern Samar, 6800 Tel No. (055)-560-8312 E-mail Address: esamar.bac@gmail.com BIDS AND AWARDS COMMITTEE (BAC) INVITATION TO BID FOR  CONCRETING OF BARANGAY RO</t>
  </si>
  <si>
    <t xml:space="preserve"> Lot 2 – Supply, Delivery and Installation of Office Cubicle with chairs &amp; Mobile Pedestal for the use of Planning &amp; Design Section</t>
  </si>
  <si>
    <t xml:space="preserve"> INVITATION TO BID Procurement of various Procurement of various ISSP-MITHI 2020 Equipment for DOST Caraga Region Bid Bulletin No :  2020-06-248 1.	The DEPARTMENT OF SCIENCE AND TECHNOLOGY-CARAGA, through the General Appropriations Act 2020 intends to appl</t>
  </si>
  <si>
    <t xml:space="preserve"> Republic of the Philippines Province of Cagayan Tuguegarao City Invitation to Bid for Construction of School Multi -Purpose Building Cagumitan E/S, Cagumitan, Tuao, Cagayan 1.	The Provincial Government of Cagayan, through the General Fund CY 2020 intends </t>
  </si>
  <si>
    <t xml:space="preserve"> Local Government Unit of Cordon, Isabela INVITATION TO BID FOR  LOT  1- Procurement of 2-units Brand New six (6) wheeler mini dump truck 4x2 drive standard size, Lot 2- Procurement of 1-unit Brand new six (6) wheeler garbage dump truck (forward dump truck</t>
  </si>
  <si>
    <t xml:space="preserve"> OVEN, GAS OVEN STANDARD RANGE 		 FEATURES:  STAINLESS STEEL BODY;  BUILT-IN GREASE DRIP PAN;  GAS BURNERS WITH INDEPENDENT CONTROL KNOB;  HEAVY DUTY;  DIMENSION: 1340x900x1370;  VOLTAGE: 220-240V;  CAPACITY: 30 KG/HR;  WATTAGE: 120 W;  THERMAL LOAD: 120 M</t>
  </si>
  <si>
    <t xml:space="preserve"> Description   Republic of the Philippines Danao City BIDS AND AWARDS COMMITTEE INVITATION to APPLY for ELIGIBILITY and to BID Supply and Delivery of (24) Units Heavy Duty Copyprinter/RESO Machine (DepEd) of the City GOVERNMENT OF DANAO The Local Governmen</t>
  </si>
  <si>
    <t xml:space="preserve"> Procurement of Materials (Anapog) for the Maintenance of Various Provincial Roads for the Project Management Division (PMD) I, of the Provincial Engineer's Office, New Capitol Building, Tagbilaran City ABC: P1,187,500.00 Cost of Bid Documents: P5,000.00 A</t>
  </si>
  <si>
    <t xml:space="preserve"> Republic of the Philippines Province of Cagayan Tuguegarao City Invitation to Bid for Concreting of Baculod – San Jose Road Iguig, Cagayan  1.	The Provincial Government of Cagayan, through the AIP2019 intends to apply the sum of P 11,196,359.42 being the </t>
  </si>
  <si>
    <t xml:space="preserve"> The Municipality of Concepcion, through the Municipal Department of Agriculture, intends to apply the sum of Php 630,100.00 being the Approved Budget for the Contract (ABC) to payments under the contract for the URBAN GREENING AND REFORESTATION with solic</t>
  </si>
  <si>
    <t xml:space="preserve"> All interested bidders / suppliers contractors are requested to submit LOI's (Letter of Intent) to BAC Secretariat.</t>
  </si>
  <si>
    <t xml:space="preserve"> 25 UNITS SEWING MACHINE 9 ROLLS FABRIC (DIFFERENT COLORS) 25 PCS TAILOR'S SCISSOR 25 SETS SEWING MACHINE NEEDLES 25 SETS MARKING TOOLS 25 PCS MEASURING TOOLS 25 BOXES PINS 25 PCS PINCUSHIONS  75 PCS THREAD (3000 METERS) 25 PCS PATTERN PAPER</t>
  </si>
  <si>
    <t xml:space="preserve"> Republic of the Philippines Province of Cagayan Tuguegarao City Invitation to Bid for Upgrading of Bagumbayan – Magallongon Road Lal – lo, Cagayan 1.	The Provincial Government of Cagayan, through the Trust Fund intends to apply the sum of P 58,963,353.68 </t>
  </si>
  <si>
    <t xml:space="preserve"> Republic of the Philippines Province of Cagayan Tuguegarao City Invitation to Bid for  Cluster 8 Repair/ Rehab of Gymnasium San Gabriel Tuguegarao City, Construction of Perimeter Fence Barangay Hall Cataggaman Pardo Tuguegarao City and Construction of Two</t>
  </si>
  <si>
    <t xml:space="preserve"> Republic of the Philippines Province of South Cotabato BIDS AND AWARDS COMMITTEE Capitol Compound Alunan Avenue, Koronadal City Tel. Fax No.: (083) 228-9951/228-8570 INVITATION TO BID FOR THE SUPPLY AND DELIVERY OF VARIOUS LABORATORY &amp; MEDICAL SUPPLIES 1.</t>
  </si>
  <si>
    <t xml:space="preserve"> Republic of the Philippines PROVINCE OF ZAMBOANGA SIBUGAY Municipality of Buug BIDS AND AWARDS COMMITTEE Invitation to Bid for Concreting  of Local Access Road with Drainage Improvement 1.	The Local Government Unit of Buug, through the 20 % Development Fu</t>
  </si>
  <si>
    <t xml:space="preserve"> Republic of the Philippines Province of Cagayan Tuguegarao City Invitation to Bid for  Cluster 9 Construction of Multi – Purpose Building Centro Norte Alcala, Cagayan and Installation of Barangay Street Lights along Anquiray Amulung Cagayan               </t>
  </si>
  <si>
    <t xml:space="preserve"> INVITATION TO BID  ON THE  PROCUREMENT FOR THE SUPPLY AND DELIVERY  OF 2 LOTS VARIOUS OFFICE EQUIPMENT (IB # PROV-2020-02-GS) 1.	The PhilHealth Regional Office V, through the 2020 Corporate Operating Budget  of PRO V   to apply the total sum of Four  Mill</t>
  </si>
  <si>
    <t xml:space="preserve"> Republic of the Philippines Province of Lanao del Norte Municipality of Tubod BARANGAY PUALAS BIDS AND AWARDS COMMITTEE INVITATION TO BID CONCRETING OF FARM TO MARKET ROAD Purok 3 &amp; 4, Barangay Pualas, Tubod, Lanao del Norte  (ITB-2020-REL-005 Re-Bid)  Ap</t>
  </si>
  <si>
    <t xml:space="preserve"> Republic of the Philippines PROVINCE OF ZAMBOANGA SIBUGAY Municipality of Buug BIDS AND AWARDS COMMITTEE Invitation to Bid for the Rehabilitation of Municipal Roads 1. The Local Government Unit of Buug, through the 20 % Development Fund of 2020 intends to</t>
  </si>
  <si>
    <t xml:space="preserve"> Republic of the Philippines Province of Cagayan Tuguegarao City Invitation to Bid for  Cluster 7 Construction of Concrete Canal, Ugac Norte Tuguegarao City, Concreting of Barangay Road at Taguinod St. Quibal Peñablanca, Cagayan and Concreting of Farm to M</t>
  </si>
  <si>
    <t xml:space="preserve"> The purchase of one (unit) of Multi-Purpose Vehicle of Barangay Manibaug Pasig, Porac, Pampanga *not exceeding 2800cc engine displacement diesel-fed and 4 cylinder</t>
  </si>
  <si>
    <t xml:space="preserve"> Republic of the Philippines Province of Nueva Vizcaya Municipality of Solano -o0o- INVITATION TO BID FOR Supply &amp; Delivery of Six Hundred (600) pieces Monoblock Chairs Donation to various Barangays   (SOLANO 086-2020) 1.	The Local Government Unit of Solan</t>
  </si>
  <si>
    <t xml:space="preserve"> Republic of the Philippines Province of Cagayan Tuguegarao City Invitation to Bid for  Cluster 2 Concreting of Barangay Road Gagabutan West Rizal Cagayan and Concreting of Access Road Leading to Sanitary Landfill, Masical Sto Niño, Cagayan                </t>
  </si>
  <si>
    <t xml:space="preserve"> Republic of the Philippines Province of Nueva Vizcaya Municipality of Solano -o0o- INVITATION TO BID FOR Construction of Child Development Center (CDC) Brgy. Bagahabag, SNV.   (SOLANO 087-2020) 1.	The Local Government Unit of Solano, Nueva Vizcaya through</t>
  </si>
  <si>
    <t xml:space="preserve"> Republic of the Philippines PROVINCIAL GOVERNMENT OF EASTERN SAMAR Capitol Building, Borongan, Eastern Samar, 6800 Tel No. (055)-560-8312 E-mail Address: esamar.bac@gmail.com BIDS AND AWARDS COMMITTEE (BAC) INVITATION TO BID FOR  BRGY. ROAD CONCRETING  Br</t>
  </si>
  <si>
    <t xml:space="preserve"> Contract ID: 20GKK0036 Contract Name: Supply and Delivery of Lubricants to be used by DPWH-MOFDEO Service Vehicles and Equipment of All Section Contract Location: DPWH-MOFDEO, Gingoog City Brief Description of Goods to be procured: Lubricant Approved Budg</t>
  </si>
  <si>
    <t xml:space="preserve"> Republic of the Philippines PROVINCE OF AKLAN Kalibo -oOo- BIDS AND AWARDS COMMITTEE (BAC) INVITATION TO BID 1.	The Provincial   Government   of   Aklan, through   5% LDRRM Fund CY 2019    intends   to   apply   the   sum   of  Two Million Five Hundred Th</t>
  </si>
  <si>
    <t xml:space="preserve"> CLARK DEVELOPMENT CORPORATION CLARK FREEPORT ZONE INVITATION TO BID The Clark Development Corporation, through its Bids and Awards Committee (BAC), invites contractors registered with and classified by the Philippine Contractors Accreditation Board (PCAB)</t>
  </si>
  <si>
    <t xml:space="preserve"> Republic of the Philippines Province of Cagayan Tuguegarao City Invitation to Bid for Construction of Cadaver Holding Area, Material Recovery Facility, Repair of Toilets, Windows Screen, Repair of Admin Building and General Electrical Rewiring Nuestra Señ</t>
  </si>
  <si>
    <t xml:space="preserve"> Republic of the Philippines Province of South Cotabato BIDS AND AWARDS COMMITTEE Capitol Compound Alunan Avenue, Koronadal City Tel. Fax No.: (083) 228-9951/228-8570 INVITATION TO BID FOR THE SUPPLY AND DELIVERY OF 195 UNITS FABRICATED DOUBLE DECK BED 1. </t>
  </si>
  <si>
    <t xml:space="preserve"> The specification is available at the Bids and Awards Committee Secreatariat MPDC-2nd Floor, Lasam Municipal Town Hall</t>
  </si>
  <si>
    <t xml:space="preserve"> Republic of the Philippines Province of Romblon MUNICIPALITY OF ALCANTARA -oOo- INVITATION TO BID FOR PROCUREMENT OF FOOD SUPPLIES (INTENSIFIED NUTRITION PROGRAM)  Poblacion, Alcantara, Romblon The Local Government Unit of Alcantara, Romblon, through the </t>
  </si>
  <si>
    <t xml:space="preserve"> SAYON GOODS 20-01</t>
  </si>
  <si>
    <t xml:space="preserve"> Republic of the Philippines Province of South Cotabato BIDS AND AWARDS COMMITTEE Capitol Compound Alunan Avenue, Koronadal City Tel. Fax No.: (083) 228-9951/228-8570 INVITATION TO BID FOR THE SUPPLY AND DELIVERY OF 34,880 LITERS DIESOLINE 1.  The PROVINCI</t>
  </si>
  <si>
    <t xml:space="preserve"> INVITATION TO BID INVITATION TO BID FOR SUPPLY AND DELIVERY OF GOODS (NORTHERN SAMAR LIVELIHOOD SEEDING PROGRAM) 1.	The Department of Trade and Industry, Regional Office No. 8, through the R. A. 11465 GAA 2020 intends to apply the sum of THREE MILLION TWO</t>
  </si>
  <si>
    <t xml:space="preserve"> Republic of the Philippines Zamboanga Peninsula Department of Health Basilan General Hospital Isabela City, Basilan 7300 INVITATION TO BID FOR  Procurement of Various Medical Supplies IB# 2020-07-0489         2020-07-0499 The BASILAN GENERAL HOSPITAL (BGH</t>
  </si>
  <si>
    <t xml:space="preserve"> One  (1)  Lot  Engagement  of  Consultant  for  the Assessment  of  Enterprise  Risk,  Business  Continuity  Management  Frameworks  and Development  of  Compliance  Management Framework and Program for the Bangko Sentral ng  Pilipinas  (BSP),  as  per  B</t>
  </si>
  <si>
    <t xml:space="preserve"> PURCHASE AND DELIVERY OF THREE (3) UNITS CEILING FAN IN DINGLE PUBLIC MARKET, DINGLE, ILOILO</t>
  </si>
  <si>
    <t xml:space="preserve"> Cement Coco Lumber 2"x4"x12' Mixing Water Sand Gravel Common Nails</t>
  </si>
  <si>
    <t xml:space="preserve"> PURCHASE AND DELIVERY OF MATERIALS FOR THE CONSTRUCTION OF LGU DINGLE EVACUATION CENTER PHASE IV,  DALIPE ST., DINGLE, ILOILO</t>
  </si>
  <si>
    <t xml:space="preserve"> ITEM NO.	 QTY.	 UNIT	 DESCRIPTION	UNIT PRICE	TOTAL COST 1	1	Unit	Stainless 82 gallon Pressure tank	11,500.00	11,500.00 2	1	Unit	Water Pump (2hp Shallow Well)	20,000.00	20,000.00 3	1	Pc	Foot Valve #1	750.00	750.00 4	12	Mtr	P.E. Pipe #1 (Blue)	54.00	648.00 </t>
  </si>
  <si>
    <t xml:space="preserve"> Republic of the Philippines BOHOL ISLAND STATE UNIVERSITY Main Campus, Tagbilaran City INVITATION TO BID FOR SUPPLY AND DELIVERY OF WINDOWS 10 OPERATING SYSTEM (PR NO. 2020-02-0130) 1.	The Bohol Island State University – Main Campus, Tagbilaran City, thro</t>
  </si>
  <si>
    <t xml:space="preserve"> SEE ATTACHED FILE.</t>
  </si>
  <si>
    <t xml:space="preserve"> Supply and Delivery of One (1) Unit Brand New Palay Harvester</t>
  </si>
  <si>
    <t xml:space="preserve"> Lot 1 – Supply, Delivery and Installation of 2 - Aircondition Units for the use of Planning &amp; Design Section</t>
  </si>
  <si>
    <t xml:space="preserve"> INVITATION TO BID SUPPLY AND DELIVERY OF COMMON USED OFFICE SUPPLIES, SFADS  The Municipal Government of San Francisco, Agusan del Sur, through the BIDS and AWARDS COMMITTEE (BAC) intends to apply the sum of FIVE HUNDRED TWENTY FIVE THOUSAND EIGHT HUNDRED</t>
  </si>
  <si>
    <t xml:space="preserve"> Production of Lapulapu Figurines Based on Guillermo Tolentino’s Lapulapu Bust Size: 9 inches x 6 inches x 3 inches (height, width and dimension) Material: Fiber resin Finish: Bronze Quantity: 1,000 pcs</t>
  </si>
  <si>
    <t xml:space="preserve"> INVITATION TO RE-BID  PROCUREMENT AND INSTALLATION OF FOUR (4) UNITS GENERATOR SET FOR THE                                                            PPSC HEAD OFFICE AND NPC SILANG PPSC BAC IB NO.011 (G/I) 2020 1.	The Philippine Public Safety College thr</t>
  </si>
  <si>
    <t xml:space="preserve"> Various goods for distribution of COVID-19 affected families</t>
  </si>
  <si>
    <t xml:space="preserve"> PROJECT NAME: Improvement along J207 – Kadaigay – Alapang Road PROJECT LOCATION:  Poblacion, Buguias, Benguet DURATION:  21 CD (Including mobilization) PROJECT Cost:  PHP 350,000.00 SOURCE OF FUND: 20% MDF CY 2020 ITEM NO.	DESCRIPTION							 QTY  	   	UNI</t>
  </si>
  <si>
    <t xml:space="preserve"> Provision of protective equipment and disinfectants for COVID-19 control and prevention program</t>
  </si>
  <si>
    <t xml:space="preserve"> Republic of the Philippines BOHOL ISLAND STATE UNIVERSITY Main Campus, Tagbilaran City INVITATION TO BID FOR SUPPLY AND DELIVERY OF OFFICE FURNITURE (PR NO. 2020-06-0542, 2020-02-0145, 2020-06-0553) 1.	The Bohol Island State University – Main Campus, Tagb</t>
  </si>
  <si>
    <t xml:space="preserve"> Vegetable Seeds, Agri. products and Supplies, Incubator and Livestock's</t>
  </si>
  <si>
    <t xml:space="preserve"> Republic of the Philippines BOHOL ISLAND STATE UNIVERSITY Main Campus, Tagbilaran City INVITATION TO BID FOR SUPPLY AND DELIVERY OF IT SUPPLIES (PR NO. 2020-02-0130, 2020-06-0564, 2020-06-0598, 2020-01-0032, 2020-05-0507, 2020-02-0163) 1.	The Bohol Island</t>
  </si>
  <si>
    <t xml:space="preserve"> Installation of 15 sets 40W Solar Street Lights at General Emilio Aguinaldo Monument</t>
  </si>
  <si>
    <t xml:space="preserve"> INVITATION TO BID FOR THE ENCLOSURE OF EXISTING GAZEBO FOR SENIOR CITIZEN / PERSONS WITH DISABILITIES (PWD) LOUNGE AND CLINIC AT LUCAP WHARF, BRGY. LUCAP, CITY OF ALAMINOS, PANGASINAN 1.	The CITY GOVERNMENT OF ALAMINOS, PANGASINAN through its Development </t>
  </si>
  <si>
    <t xml:space="preserve"> Regional  Office No. 10, Masterson Avenue, Upper Carmen, Cagayan de Oro City INVITATION TO BID FOR Bidding of Supply and delivery of Food items for Supplementary Feeding Program 10th cycle The Department of Social Welfare and Development Field Office 10 t</t>
  </si>
  <si>
    <t xml:space="preserve"> Water Dispenser Coffee Dispenser Airconditioner Wall Mounted Airconditioner Airconditioner 1.5 HP  TV sets 36" TV Set (MWWS)</t>
  </si>
  <si>
    <t xml:space="preserve"> Republic of the Philippines Province of Cagayan Tuguegarao City Invitation to Bid for  Cluster 1 Concreting of Barangay Road Jones Street Centro Abulug, Cagayan, Concreting of Barangay Road Aguinaldo Street at Boundrey of bagu and Centro Abulug, Cagayan, </t>
  </si>
  <si>
    <t xml:space="preserve"> Section I. Invitation to Bid Republic of the Philippines Province of Bukidnon MUNICIPALITY OF TALAKAG Invitation to Bid for  Construction of Potable Deepwell Water Supply   Phase II – Market Site, San Isidro 1.	The Municipality of Talakag, through the 8-9</t>
  </si>
  <si>
    <t xml:space="preserve"> Farm Inputs: 1. 435 packs bigante hybrid seeds (3 kilos) @ P 800.00/packs 2. 522 bags of Vermicast Fertilizer @ P 600.00/bag 3. 87 sacks of Urea Fertilizer @ 1,150.00/sacks 4. 87 sacks of Triple 14 @ 1,150.00/sacks Weighing scale: 1. Weighing Scale (100 k</t>
  </si>
  <si>
    <t xml:space="preserve"> OTHER LAND IMPROVEMENT (CONSTRUCTION OF BLEACHERS AND CANAL LINING) EKB PARK ABC (1,792,111.61) PART B OTHER GENERAL REQUIREMENTS B.5 PROJECT BILLBOARD/SIGNBOARD 1 LOT PART A EARTHWORK 803(1)A EXCAVATION (COLUMNS FTG. CHB FTG. AND CANAL) 50.92 CU.M PART B</t>
  </si>
  <si>
    <t xml:space="preserve"> See Program of Works and Bill of Quantities.</t>
  </si>
  <si>
    <t xml:space="preserve"> b.5 project billboard/signboard 1 lot PART A 801 (3) REMOVAL OF STRUCTURES AND OBSTRUCTION 1,359.77 SQ.M (Existing longspan Metal Sheet, Purlins sag rods, struts and sway braces) ITEM 1047 STRUCTURAL STEEL 1047(2)b ROOF TRUSS (Retrofitting and Lifting of </t>
  </si>
  <si>
    <t xml:space="preserve"> Alcohol 480 gal Facemask  1000 bx Ascorbic Acid 8600 tabs</t>
  </si>
  <si>
    <t xml:space="preserve"> Conctract ID No.	:	20K00356 Conctract Name	:	Cluster "RO-02" Construction of Building Projects in Bukidnon 1. Construction of Southern Track and Field and Track Oval, Brgy. Laguitas, Malaybalay City, Bukidnon = Php 30,000,000.00;  2. Construction of Perim</t>
  </si>
  <si>
    <t xml:space="preserve"> INVITATION TO BID The City of Bayawan, through its Bids and Awards Committee (BAC), invites suppliers/manufacturers/distributors/contractors to bid for the hereunder projects: 	Lot No. I		INDUSTRIAL MACHINERY EQUIPMENT					 1	1	unit	WELDING MACHINE					 	</t>
  </si>
  <si>
    <t xml:space="preserve"> Republic of the Philippines President Ramon Magsaysay State University (Formerly Ramon Magsaysay Technological University) Iba, Zambales, Philippines Tel/Fax No.: (047) 811-1683 Invitation to Bid for: REHABILITATION/IMPROVEMENT OF UNIVERSITY STRUCTURE/FAC</t>
  </si>
  <si>
    <t xml:space="preserve"> INVITATION TO BID 1)	The DPWH- Davao City District Engineering Office through its Bids and Awards Committee (BAC), invites contractors to submit bids for the following contract; 1. Procurement ID /          Contract ID No.	:	20LB0298     Contract Name	:	R</t>
  </si>
  <si>
    <t xml:space="preserve"> Supply and Delivery</t>
  </si>
  <si>
    <t xml:space="preserve"> Procurement of Materials (Anapog) for the Maintenance of Various Provincial Roads for the Project Management Division (PMD) I, of the Provincial Engineer's Office, New Capitol Building, Tagbilaran City ABC: P1,212,500.00 Cost of Bid Documents: P5,000.00 A</t>
  </si>
  <si>
    <t xml:space="preserve"> The program of work is available at the Bids and Awards Committee Secretariat MPDC-2nd Floor Lasam Municipal Town Hall</t>
  </si>
  <si>
    <t xml:space="preserve"> AREA FOR REPAIR-68.82M; T=2.5"; VOL.4.30M; H=5CHB; T=3" CONCRETE BENCH- L=25LM; W=0.3M</t>
  </si>
  <si>
    <t xml:space="preserve"> Conctract ID No.	:	20K00355 Conctract Name	:	Cluster "RO-01" Construction of Various Road Projects in Misamis Oriental: 1. Construction of By-Pass and Diversion Roads, Magsaysay-Butuan City Coastal Bypass/Alternate Road (Damayuhan-Villa Felipa Section), P</t>
  </si>
  <si>
    <t xml:space="preserve"> Body Type: FB ENGINE: Engine Size: 2.0L Max Power: 3,000cc Number of Cylinders: 4 Cylinders Number of Valves: 16 Valve DOHC Transmission Category: 5 Speed Manual Top Speed: 180km/h Fuel Type: Diesel Fuel Capacity: 55 L Wheels: 14"x50 Tire, 4 Tire &amp; 1 Spar</t>
  </si>
  <si>
    <t xml:space="preserve"> Construction Projects (see attached documents)</t>
  </si>
  <si>
    <t xml:space="preserve"> Republic of the Philippines DEPARTMENT OF PUBLIC WORKS AND HIGHWAYS BOHOL III DISTRICT ENGINEERING OFFICE REGIONAL OFFICE VII Guindulman, Bohol INVITATION TO BID July 27, 2020	 The Department of Public Works and Highways – Bohol 3rd District Engineering O</t>
  </si>
  <si>
    <t xml:space="preserve"> Republic of the Philippines BOHOL ISLAND STATE UNIVERSITY Main Campus, Tagbilaran City INVITATION TO BID FOR SUPPLY AND DELIVERY OF APPLIANCES FOR THE 2ND QUARTER (PR NO. 2020-01-0029, 2020-02-0178, 2020-02-0168, 2020-02-0130, 2020-06-0576) 1.	The Bohol I</t>
  </si>
  <si>
    <t xml:space="preserve"> INVITATION TO BID FOR 1.	 The Department of Public Works and Highways Davao City District Engineering Office, through its Bids and Awards Committee (BAC) for Goods, invites suppliers to submit bids for the Contract: 1.	Contract ID No. 	: 20GLB0072   ►PR N</t>
  </si>
  <si>
    <t xml:space="preserve"> SUPPLY AND DELIVERY OF FLASH DRIVES</t>
  </si>
  <si>
    <t xml:space="preserve"> Scope of Work: concreting of 0.15thk x 4.0m wide x 105.0m long road Materials: 1. Cement - 523 bags 2. SAG - 102.19 cu.m 3. RSB - 12 mm x 6.0m -40 -pcs 4. # 18 G.I Wire-5.0 kls 5. Coco Lumber - 50 pcs - 2x6x12' 6. CW Nails assorted - 6 kilos</t>
  </si>
  <si>
    <t xml:space="preserve"> CONSTRUCTION/IMPROVEMENT</t>
  </si>
  <si>
    <t xml:space="preserve"> Republic of the Philippines Province of Bukidnon MUNICIPALITY OF LIBONA INVITATION TO BID 23-20cw 1.	The Local Government Unit of libona, through its Bids and Awards Committee (BAC) invites contractors registered with and classified by the Philippine Cont</t>
  </si>
  <si>
    <t xml:space="preserve"> Please see attached File.</t>
  </si>
  <si>
    <t xml:space="preserve"> SITE DEVELOPMENT</t>
  </si>
  <si>
    <t xml:space="preserve"> Department of Public Works and Highways (DPWH) Contract ID: 20G00105 Contract Name: Construction of Permanent Evacuation Center/Multi-Purpose Covered Court (Standard) Location of the Contract: Brgy. Loong, Concepcion, Iloilo ------------------------------</t>
  </si>
  <si>
    <t xml:space="preserve"> INVITATION TO APPLY FOR ELIGIBILITY AND TO BID The Local Government Unit of Malitbog, Southern Leyte, through its Bids and Awards Committee (BAC) invites to apply for eligibility and if found eligible, to bid for the hereunder: CONSTRUCTION OF MULTI-PURPO</t>
  </si>
  <si>
    <t xml:space="preserve"> SUPPLY AND DELIVERY OF PROCUREMENT OF VARIOUS SUPPLIES (LOT 1. PROCUREMENT OF OFFICE SUPPLIES; LOT 2. PROCUREMENT OF JANITORIAL AND OTHER SUPPLIES; LOT 3. PROCUREMENT OF ICT SUPPLIES</t>
  </si>
  <si>
    <t xml:space="preserve"> INVITATION TO BID (Public Bidding) 	 The PHILIPPINE SCIENCE HIGH SCHOOL-MIMAROPA REGION CAMPUS (PSHS-MRC), through its Bids and Awards Committee (BAC), invites interested parties to apply for eligibility and to bid for the hereunder Procurement of Laptops</t>
  </si>
  <si>
    <t xml:space="preserve"> Republic of the Philippines PROVINCE OF AKLAN Kalibo -oOo- BIDS AND AWARDS COMMITTEE (BAC) INVITATION TO BID 1.	The Provincial   Government   of   Aklan, through   20% IRA Development Fund CY 2019 intends   to   apply   the   sum   of  Four Million Eight </t>
  </si>
  <si>
    <t xml:space="preserve"> Installation of transmission and distribution pipeline(2,640 ln.m) and six(6) units reservoir with roofing &amp; accessories to designated areas.</t>
  </si>
  <si>
    <t xml:space="preserve"> Republic of the Philippines Province of Siquijor Municipality of Enrique Villanueva INVITATION TO BID FOR the Purchase Office Supplies 1.	The Local Government Unit of Enrique Villanueva, through the General Fund of 2020 intends to apply the sum of One Hun</t>
  </si>
  <si>
    <t xml:space="preserve"> Department of Public Works and Highways (DPWH) Contract ID: 20G00109 Contract Name: Construction of Permanent Evacuation Center/Multi-Purpose Covered Court (Standard) Location of the Contract: Moises Padilla, Negros Occidental ----------------------------</t>
  </si>
  <si>
    <t xml:space="preserve"> REQUEST FOR EXPRESSION OF INTEREST (REOI) FOR CONSULTING SERVICES  19CSK00054 – Consulting Services for the Conduct of Soil Testing/Exploration for Bridge Projects - Geotechnical Investigation - Construction of Concrete Bridge, Magsaysay-Butuan City Coast</t>
  </si>
  <si>
    <t xml:space="preserve"> 1 LOT -Digital Event Production, PR, Marketing and Branding Service for DTI-7 Online Programs - (48 sessions of Digital Conferences, Trainings and Workshops ). &gt;Webinar Concept Development &gt;Webinar Creative Branding &gt;Webinar Marketing and PR         Tradi</t>
  </si>
  <si>
    <t xml:space="preserve"> The Local Government Unit of Barugo, through the General Fund intends to apply the sum of Two Hundred Forty Seven Thousand Five Hundred Seventeen Pesos and 81/100 only (Php247,517.81) being the Approved Budget for the Contract (ABC) to payments under the </t>
  </si>
  <si>
    <t xml:space="preserve"> Quantity	Unit	Description 750	gals	Acid Concentrate 10L  1500	gals	Bicarbonate Concentrate 34	bxs	Boodlines w/ Filter 24's 5	gals	Citrosteril 5	pcs	Disafe Plus 100	pcs	Dialyzer F8 Low Flux 6	bxs	Fistula Needle (Arterial) 50's 6	bxs	Fistula  Needle (Venous</t>
  </si>
  <si>
    <t xml:space="preserve"> 1.	The Municipal Government of El Nido, through the General Fund intends to apply the sum of Two Million Five Hundred Thousand Pesos (P 2,500,000.00) being the Approved Budget for the Contract (ABC) to payments for the Construction of Road at So. Caalan, </t>
  </si>
  <si>
    <t xml:space="preserve"> Department of Public Works and Highways (DPWH) Contract ID: 20G00108 Contract Name: Construction of Permanent Evacuation Center/Multi-Purpose Covered Court (Standard) Location of the Contract: Brgy. Taculing, Bacolod City, Negros Occidental --------------</t>
  </si>
  <si>
    <t xml:space="preserve"> 240   PCS     BATTERY AAA 1675 GAL     ISOPROPHYL 70% ALCOHOL 1675 GAL     DISINFECTANT 378   PCS     FOOT TRAY</t>
  </si>
  <si>
    <t xml:space="preserve"> Item Description	Unit	Quantity CEFALEXIN 100mg drops	btls	250 CEFALEXIN 125mg susp.	btls	260 CEFALEXIN 250mg susp. 60ml	btls	250 CEFUROXIME 125mg/5mg. Susp.	btls	200 CEFUROXIME 250mg/5mg. susp	btls	200 CO-AMOXICLAV 125mg/5ml susp.	btls	200 CO-AMOXICLAV 25</t>
  </si>
  <si>
    <t xml:space="preserve"> IMPROVEMENT</t>
  </si>
  <si>
    <t xml:space="preserve"> 1.	The Laguna State Polytechnic University, through GAA Fund intends to apply the sum of two million one hundred thirty thousand pesos only (Php2,130,000.00) being the Approved Budget for the Contract (ABC) to payments under the contract for the Procureme</t>
  </si>
  <si>
    <t xml:space="preserve"> Local Government Unit of Cordon Invitation to Bid for LOT 1- SPRING DEVELOPMENT PROJECT (WATER SUPPLY LEVEL II) AND LOT 2- CONSTRUCTION OF DOUBLE BARREL CONCRETE BOX CULVERT AT SITIO KAKANDUNGAN, VILLAMIEMBAN, CORDON, ISABELA. 1.	The Local Government Unit</t>
  </si>
  <si>
    <t xml:space="preserve"> CONSTRUCTION</t>
  </si>
  <si>
    <t xml:space="preserve"> Lot 2 - Supply and Delivery of Various Inks and Cartridges for Various Existing printer of CF-Bacolod</t>
  </si>
  <si>
    <t xml:space="preserve"> 1.	The Municipality of Consolacion, through the 20% EDF intends to apply the sum of One Million Nine Hundred Sixty-Seven Thousand Nine Hundred Forty-Nine Pesos and 40/100 (P 1,967,949.40) being the Approved Budget for the Contract (ABC) to payments under </t>
  </si>
  <si>
    <t xml:space="preserve"> I CARPENTRY WORKS</t>
  </si>
  <si>
    <t xml:space="preserve"> 1.The Provincial Government of Davao Del Norte, through Trust Fund (NHA), intends to apply the sum of Forty Four Million Pesos (Php 44,000,000.00) and being the Approved Budget for the Contract (ABC) to payment under the contract with Project ID/PR Nos.  </t>
  </si>
  <si>
    <t xml:space="preserve"> 1.	400		pcs.		Plastic Envelope w/ handle		 2.	200		pcs.		Notebook (Assorted)		 3.	400		pcs.		Mongol Pencil		 4.	800		pcs.		Ballpen (Assorted)		 5.	400		pcs.		Pad Paper (Assorted)		 6.	400		pcs.		Sharpener		 7.	400		pcs.		Eraser		 8.	200		pcs.		Jumbo Penci</t>
  </si>
  <si>
    <t xml:space="preserve"> LABOR AND MATERIALS FOR THE CONCRETING OF MUNICIPAL ROADS/STREETS AT POBLACION,BADIAN,CEBU</t>
  </si>
  <si>
    <t xml:space="preserve"> 1.	The Municipality of Consolacion, through the Barangay Funds intends to apply the sum of One Million Eight Hundred Seventeen Thousand Nine Hundred Eighty-Three Pesos and 45/100 (P 1,817,983.45) being the Approved Budget for the Contract (ABC) to payment</t>
  </si>
  <si>
    <t xml:space="preserve"> !.00       lot      Concrete Works</t>
  </si>
  <si>
    <t xml:space="preserve"> I. MOBILIZATION/DEMOBILIZATION II.FORM WORKS III. MASONRY WORKS</t>
  </si>
  <si>
    <t xml:space="preserve"> Facilities for the Engineer, Other General Requirements, Earthworks, Plain and Reinforced Concrete Works, Finishing and Other Civil Works, Electrical Works and Mechanical Works</t>
  </si>
  <si>
    <t xml:space="preserve"> Concrete &amp;MAsonry works Roof &amp; Roof Framing system Painting works Ceiling system Inst.of floor tiles Doors &amp; window Electrical works</t>
  </si>
  <si>
    <t xml:space="preserve"> Please refer to the attached Bid Documents for more details.</t>
  </si>
  <si>
    <t xml:space="preserve"> REQUEST FOR EXPRESSION OF INTEREST (REI) CONSULTANCY SERVICES FOR THE CONDUCT OF SUB-SURFACE SOIL EXPLORATION AND GEOTECHNICAL INVESTIGATION (BORING) FOR THE CONSTRUCTION/ MAINTENANCE OF FLOOD MITIGATION STRUCTURES &amp; DRAINAGE SYSTEMS, LONE LEGISLATIVE DIS</t>
  </si>
  <si>
    <t xml:space="preserve"> LOT A – Supply, Delivery and Installation of Laboratory Equipment for Bachelor of Arts in Communication Instruction	 1 set Photo Studio Laboratory  Equipment 1 set Television Studio Laboratory Equipment LOT C – Purchase of Laboratory Equipment for Mechani</t>
  </si>
  <si>
    <t xml:space="preserve"> Republic of the Philippines MUNICIPALITY OF CABUGAO Ilocos Sur Invitation to Bid for the Construction of Multi-Purpose Building, @ Brgy. Alinaay (Proper), Cabugao, Ilocos Sur 1. The Local Government Unit of Cabugao, Ilocos Sur, through the R.A. 7171 under</t>
  </si>
  <si>
    <t xml:space="preserve"> National Power Corporation INVITATION TO BID PUBLIC BIDDING 2020-0229 1.	The NATIONAL POWER CORPORATION (NPC), through       its        approved       Corporate Budget of CY 2020 intends to apply   the   sum   of (Please see schedule below) being the Appr</t>
  </si>
  <si>
    <t xml:space="preserve"> REQUEST FOR EXPRESSION OF INTEREST (REOI) Hiring of Consultancy Services (Individual Consultant) Solicitation No. PSO-VIS-SIC-003-20 EPC: Php 120,000.00 1. The Government of the Philippines has received a loan from the World Bank towards the cost of the P</t>
  </si>
  <si>
    <t xml:space="preserve"> Supply and Delivery of Inks, Master and Toners for Existing Risograph Machine and Ineo Printers</t>
  </si>
  <si>
    <t xml:space="preserve"> Contract ID	20 – 0033 – S Contract Name 	Procurement of Spare Parts for use of  Dump Truck with DPWH no. H3-6632 detailed in the Maintenance Section, DPWH-Quezon IV District Engineering Office, Gumaca Quezon. Approved Budget for the Contract (ABC)	 P     </t>
  </si>
  <si>
    <t xml:space="preserve"> Republic of the Philippines Province of Sarangani Municipality of Alabel oooOooo INVITATION TO BID FOR PROCUREMENT OF various post harvest machineries 1.The Municipality of Alabel, through the Annual Budget for CY 2020 [  Ibid.] intends to apply the sum o</t>
  </si>
  <si>
    <t xml:space="preserve"> Stock	ITEM DESCRIPTION	QTY	UNIT No.			 			 A.	 General Requirements		 	1. Permits (Building Permits, Occupancy Permit, ECC, DOLE 	1	lot 	    and  other Local Permits required)		 	2. Mobilization/Demobilization	1	lot 	3. Temporary Facilities	1	lot 	4. Phot</t>
  </si>
  <si>
    <t xml:space="preserve"> Contract ID	20 – 0032– S Contract Name 	Procurement of Office Supplies for use in this District, DPWH, Quezon IV District Engineering Office, Gumaca, Quezon      (3rd Quarter) Approved Budget for the Contract (ABC)	 P           222,500.00 Purchase Request</t>
  </si>
  <si>
    <t xml:space="preserve"> Contract ID	20 – 0031 – S Contract Name 	Repair/Maintenance of Road along  Daang Maharlika, Gumaca-Lopez-Calauag Section, K0187+000 - K0246+724 (Intermittent Section) (3rd Quarter) Approved Budget for the Contract (ABC)	 P            994,800.00 Purchase R</t>
  </si>
  <si>
    <t xml:space="preserve"> Construction of Nagsabaran Sur Farm Slope Protection</t>
  </si>
  <si>
    <t xml:space="preserve"> Contract ID	20 – 0030 – S Contract Name 	Repair/Maintenance of Roads along Daang Maharlika, Pagbilao-Atimonan-Plaridel Section, K0135+(-)732 - K0187+000 (Intermittent Section) (3rd Quarter) Approved Budget for the Contract (ABC)	 P             997,043.00 </t>
  </si>
  <si>
    <t xml:space="preserve"> Concreting of 110mx2mx.15m</t>
  </si>
  <si>
    <t xml:space="preserve"> Republic of the Philippines MUNICIPALITY OF ECHAGUE Province of Isabela INVITATION TO BID FOR  THE  PURCHASE OF RAPID ELECTRIC VEHICLE CHARGER (FOR  E-TRIKE) 1.	The Local Government Unit , through  the  DOST FUND ( Grant)  intends to apply the sum of  ONE</t>
  </si>
  <si>
    <t xml:space="preserve"> INVITATION TO BID FOR Procurement of DRR Rescue Vehicle (5 Units Motorcycle) 1.	The Municipal Government of Kawit, through the Trust Fund (LGSF-Assistance to Municipalities (AM)-2019) intends to apply the sum of Six Hundred Seventy Five Thousand and 00/10</t>
  </si>
  <si>
    <t xml:space="preserve"> INVITATION TO BID FOR THE SUPPLY &amp; DELIVERY OF ICT EQUIPMENT FOR THE IMPLEMENTATION OF LEARNING CONTINUITY PLAN (LCP) ON DISTANCE LEARNING DELIVERY 1.	The City Government of Muntinlupa, through its duly-approved 2020 Supplemental Budget intends to apply t</t>
  </si>
  <si>
    <t xml:space="preserve"> July 27, 2020 1.	The Provincial Government of Davao del Sur, through its Special Bids and Awards Committee (SBAC), invites all potential bidders/contractors to apply to bid for the following project. Bids submitted in excess of the ABC shall be automatica</t>
  </si>
  <si>
    <t xml:space="preserve"> EXCAVATION CONCRETE WORKS</t>
  </si>
  <si>
    <t xml:space="preserve"> 3 units High Density Polyethylene (HDPE) 6m L x 6m W x 5m depth Fish Cages Location: Apad-Aparan, Buenasuerte, Ragay -nothing follows-</t>
  </si>
  <si>
    <t xml:space="preserve"> Improvement of Purok 4, 6 &amp; 7 Bet-ang Farm to Market Road</t>
  </si>
  <si>
    <t xml:space="preserve"> REQUEST FOR EXPRESSION OF INTEREST (REOI) Hiring of Consultancy Services (Individual Consultant) Solicitation No. PSO-VIS-SIC-004-20 EPC: Php 180,000.00 1. The Government of the Philippines has received a loan from the World Bank towards the cost of the P</t>
  </si>
  <si>
    <t xml:space="preserve"> I. PROJECT BILLBOARD - 1 LOT II. CONSTRUCTION SAFETY AND HEALTH - 1 LOT III. DEMOLITION WORKS - 70 SQ.M IV. STEEL REINFORCEMENT - 456.83 KGS V. CONCRETE POURING - 6.46 CU.M VI. MASONRY WORKS - 274.05 SQ.M VII. CARPENTRY WORKS - 743.33 BD. FT VIII. ELECTRI</t>
  </si>
  <si>
    <t xml:space="preserve"> Republic of the Philippines  DEPARTMENT OF PUBLIC WORKS AND HIGHWAYS MISAMIS ORIENTAL 2nd DISTRICT ENGINEERING OFFICE Region X Balase Street, El Salvador City INVITATION TO BID The Misamis Oriental 2nd District Engineering Office, through its Bids and Awa</t>
  </si>
  <si>
    <t xml:space="preserve"> Pls. quote the project stated below: 1.     Concreting of Municipal Road  -  l.s. NOTE:                      Opening of Bids will be on  August 11, 2020 @ 1:00 pm</t>
  </si>
  <si>
    <t xml:space="preserve"> 1.	The Municipal Government of El Nido, through the Continuing Approp. 2019, Purchase of Speed boat Supplemental #2-Non –Office, Additional Fund For Speed boat-Non-Office Supplemental #3 CY 2020, intends to apply the sum of Two Million Pesos (P 2,000,000.</t>
  </si>
  <si>
    <t xml:space="preserve"> Improvement of Sector one (1) Pantar Norte Farm to Market Road</t>
  </si>
  <si>
    <t xml:space="preserve"> Improvement of Sinapangan Norte Farmers Multi-purpose Building</t>
  </si>
  <si>
    <t xml:space="preserve"> Republic of the Philippines 	CITY OF SAN PEDRO Province of Laguna BIDS AND AWARDS COMMITTEE INVITATION TO APPLY FOR ELIGIBILITY AND TO BID PR NO. 0541 1.	The City Government of San Pedro, Laguna through the Philheath Fund intends to apply the sum of Php 1</t>
  </si>
  <si>
    <t xml:space="preserve"> INVITATION TO BID FOR Procurement of DRR Rescue Equipment for Emergency Response 1.	The Municipal Government of Kawit, through the Trust Fund (LGSF-Assistance to Municipalities (AM)-2019) intends to apply the sum of Three Million Two Hundred Twenty Thousa</t>
  </si>
  <si>
    <t xml:space="preserve"> Lot - 1 Supply and Delivery of Office Supplies</t>
  </si>
  <si>
    <t xml:space="preserve"> Construction of Rural Health Unit- Phase II at Capas Plazuela, Brgy. Sto. Rosario, Capas, Tarlac</t>
  </si>
  <si>
    <t xml:space="preserve"> 1.	The Sultan Kudarat Water District, through the Corporate Budget Approved by the Governing Board  intends to apply the sum of P 2,520,000.00 being the Approved Budget for the Contract (ABC) to payments under the contract. Bids received in excess of the </t>
  </si>
  <si>
    <t xml:space="preserve"> INVITATION TO BID FOR THE CONSTRUCTION OF 4-STOREY LAKEVIEW SENIOR HIGH SCHOOL (PHASE 2 &amp; 3) AT LAKEVIEW, BRGY. PUTATAN, MUNTINLUPA CITY 1.	The City Government of Muntinlupa, through its duly-approved Local School Board Budget for 2019 intends to apply th</t>
  </si>
  <si>
    <t xml:space="preserve"> REQUEST FOR EXPRESSION OF INTEREST (REI) CONSULTANCY SERVICES FOR THE CONDUCT OF SUB-SURFACE SOIL EXPLORATION AND GEOTECHNICAL INVESTIGATION (BORING) FOR THE CONSTRUCTION/ MAINTENANCE OF FLOOD MITIGATION STRUCTURES &amp; DRAINAGE SYSTEMS, SECOND LEGISLATIVE D</t>
  </si>
  <si>
    <t xml:space="preserve"> Republic of the Philippines CITY GOVERNMENT OF SAN FERNANDO City Hall Building, F. Ortega Highway Tel. No. (072)8886901, (072) 867-8100/Fax No. (072)8886907 Website: www.sanfernandocity.gov.ph Email: csflu_98@yahoo.com INVITATION TO BID FOR  Procurement o</t>
  </si>
  <si>
    <t xml:space="preserve"> I.    SOLARLIGHT WORKS       1.00    L.S.       3kw Infinisolar Hybrid Gridtie Inverter                -       1.00    pc.       Rec Solar 250W Solar PAnel Monocrystalline      -     12.00    pcs.       PV Rail ALuminum (Tin Roofing)                      </t>
  </si>
  <si>
    <t xml:space="preserve"> Contract ID	20 – 0036 – S Contract Name 	Procurement of Office Supplies and Printer Supplies for use in the Multi-Year Planning and Scheduling (MYPS), DPWH, Quezon IV District Engineering Office, Gumaca, Quezon Approved Budget for the Contract (ABC)	 P   </t>
  </si>
  <si>
    <t xml:space="preserve"> INVITATION TO BID FOR THE CONSTRUCTION OF STP AT MUNTINLUPA CITY HALL, NATIONAL ROAD BRGY. PUTATAN, MUNTINLUPA CITY 1.	The City Government of Muntinlupa, through its duly-approved Executive Budget for 2020 intends to apply the sum of Six Million Seven Hun</t>
  </si>
  <si>
    <t xml:space="preserve"> CONCRETING OF TIMAMANA-SAN ISIDRO-GUINOB-AN-MARAYAG ROAD MUNICIPALITY OF TUBOD, SURIGAO DEL NORTE Brief Description:	The project will involve the Concreting of Timamana-San Isidro-Guinob-an-Marayag Road with the following scope of works: Construction of F</t>
  </si>
  <si>
    <t xml:space="preserve"> Republic of the Philippines CITY GOVERNMENT OF ANTIPOLO Antipolo City INVITATION TO BID For the Supply and Delivery of Hardware &amp; Construction Materials The City Government of Antipolo, through the General Fund intends to apply the sum of  P 2,317,495.00 </t>
  </si>
  <si>
    <t xml:space="preserve"> INVITATION TO BID FOR THE SUPPLY &amp; DELIVERY OF  VARIOUS MATERIALS FOR CONSOLIDATED PROJECT AT DIST. 1 &amp; 2, MUNTINLUPA CITY (*RE-POSTED) 1.	The City Government of Muntinlupa, through its duly-approved Executive Budget for 2020 intends to apply the sum of O</t>
  </si>
  <si>
    <t xml:space="preserve"> Contract ID	20 – 0034 – S Contract Name 	Procurement of Spare Parts for use of Mitsubishi L-200 SFG-504 detailed in the Maintenance Section, DPWH-Quezon IV District Engineering Office, Gumaca Quezon. Approved Budget for the Contract (ABC)	 P         90,38</t>
  </si>
  <si>
    <t xml:space="preserve"> 1. Stone laid pathway from Aguid-omod-ok (Datil style)                                    292,889.90 2. Stone laid pathway w/in the end of concrete road at Batalao                         294,682.93      Going to Lamagan (Datil style)  3. Riprapping and c</t>
  </si>
  <si>
    <t xml:space="preserve"> Improvement of Camilo Osias Canals</t>
  </si>
  <si>
    <t xml:space="preserve"> Improvement of 2, 4 &amp; 5 Antonino Canals</t>
  </si>
  <si>
    <t xml:space="preserve"> 1.	1000		pcs.		Notebook (Assorted)	 2.	150		pcs.		Plastic Envelope w/ handle	 3.	300		pcs.		Mongol Pencil	 4.	400		pcs.		Ballpen (Assorted)	 5.	150		pcs.		Pad Paper (Assorted)	 6.	50		pcs.		Intermediate Pad Paper	 7.	75		pcs.		Crayola #8	 8.	200		pcs.		Sh</t>
  </si>
  <si>
    <t xml:space="preserve"> Construction of Storage Building and Parking Area- LDRMMO (Phase II) at Municipal Compound, Capas, Tarlac</t>
  </si>
  <si>
    <t xml:space="preserve"> 1. Improvement of all waiting shed from Dantay-Sagada –MDF 2019                     707,264.08 2. Continuation of Ankileng water system –MDF 2016                                           289,465.27 3. Improvement of Guedangan  CIS  -MDF 2018             </t>
  </si>
  <si>
    <t xml:space="preserve"> Construction of Butubut Norte Farm Slope Protection</t>
  </si>
  <si>
    <t xml:space="preserve"> DEPARTMENTOF SOCIAL WELFARE AND DEVELOPMENT Regional  Office No. 10, Masterson Avenue, Upper Carmen, Cagayan de Oro City INVITATION TO BID FOR Bidding of Supply and delivery of Food and Non-Food Items for Replenishment of family food packs for the Disaste</t>
  </si>
  <si>
    <t xml:space="preserve"> 1. Improvement/of Panan Pathway                                                            195,500.90 2. Roofing of the Material Recovery Facility                                                 495,365.04 3. Restoration of Riprap at Tanulong Road(Bab-aak</t>
  </si>
  <si>
    <t xml:space="preserve"> Republic of the Philippines         President Ramon Magsaysay State University (Formerly Ramon Magsaysay Technological University) Iba, Zambales, Philippines Tel/Fax No.: (047) 811-1683 INVITATION TO BID FOR  MACHINERY AND EQUIPMENT OUTLAY                </t>
  </si>
  <si>
    <t xml:space="preserve"> Republic of the Philippines												 	Office of the Municipal Mayor												 	BIDS AND AWARDS COMMITTEE												 	Binmaley, Pangasinan												 													 	Invitation to Bid												 	 for 												 	BINMALEY RESETTLEMENT PROJECT PHAS</t>
  </si>
  <si>
    <t xml:space="preserve"> Improvement of Pantar Norte Canals</t>
  </si>
  <si>
    <t xml:space="preserve"> Contract ID	20 – 0037 – S Contract Name 	Procurement of Tarpaulin, Personal Protective Equipment, Office Supplies and Printer Supplies for use in the Gender and Developemnt (GAD) Integration Framework in Road Infrastructure Sector and Other  Related Activ</t>
  </si>
  <si>
    <t xml:space="preserve"> Contract ID	20 – 0029 – S Contract Name 	Repair/Maintenance of Roads along MSR, Jct. Lopez-Catanauan Road, K0217+(-)890 - K0236+128 (Intermittent Section) (3rd Quarter) Approved Budget for the Contract (ABC)	 P          998,000.00 Purchase Request No:	20-</t>
  </si>
  <si>
    <t xml:space="preserve"> REQUEST FOR EXPRESSION OF INTEREST (REI) CONSULTANCY SERVICES FOR THE CONDUCT OF SUB-SURFACE SOIL EXPLORATION AND GEOTECHNICAL INVESTIGATION (BORING) FOR THE CONSTRUCTION/ MAINTENANCE OF FLOOD MITIGATION STRUCTURES &amp; DRAINAGE SYSTEMS, FIRST LEGISLATIVE DI</t>
  </si>
  <si>
    <t xml:space="preserve"> Improvement of Sector 07 Bungol Farm to Market Road</t>
  </si>
  <si>
    <t xml:space="preserve"> The significant times and deadlines of procurement activities are shown below:  Activities	Schedule 1. Receipt of LOIs from Prospective Bidders	July 28-August 03, 2020 2. Issuance of Bidding Documents	August 04-10, 2020 3. Pre-Bid Conference	n.a. 4. Recei</t>
  </si>
  <si>
    <t xml:space="preserve"> Contract Labor and Materials for the Construction of Multi-Purpose Building (Bleacher) of BLGU Bagong Silang, Laak, Davao De Oro with an ABC of Php. 332,144.55. Note: For further details of the said project, please see/contact Hon. Jimmy M. Largo - Punong</t>
  </si>
  <si>
    <t xml:space="preserve"> Republic of the Philippines Province of Palawan Municipality of Dumaran dum_bacsecretariat@yahoo.com BIDS AND AWARDS COMMITTEE INVITATION TO BID 1.	The Municipal Government of Dumaran, Palawan, through its 5% MDRRMF intends to apply the sum of One Million</t>
  </si>
  <si>
    <t xml:space="preserve"> Republic of the Philippines Department of Public Works and Highways Pampanga 3rd District Engineering Office San Francisco Street, Brgy. Pampang, Angeles City Region III Telephone Nos. (045) 323-5782 / 887-5249 DPWH-INFR-04-2016 INVITATION TO BID The Depa</t>
  </si>
  <si>
    <t xml:space="preserve"> 1.	The Municipality of Consolacion, through the GF - 20% intends to apply the sum of Two Hundred Fifty-Three Thousand Four Hundred Fifty-Eight Pesos (P 253,458.00) being the Approved Budget for the Contract (ABC) to payments under the contract for Repair/</t>
  </si>
  <si>
    <t xml:space="preserve"> INVITATION TO BID FOR THE SUPPLY &amp; DELIVERY OF PHOTOCOPIER TO BE DISTRIBUTED IN VARIOUS SCHOOLS IN MUNTINLUPA CITY 1.	The City Government of Muntinlupa, through its 2020 continuing appropriation from the 2019 Supplemental Budget, intends to apply the sum </t>
  </si>
  <si>
    <t xml:space="preserve"> Construction of Water System, Sitio Buga, Brgy. Danao, Janiuay, Iloilo Item No.	DESCRIPTION	Qty.	Unit I.	EARTHWORKS:		 I.A.	EXCAVATION OF PIPELINE TRENCH	70.20	CU.M. I.B.	BACKFILLING OF PIPELINE TRENCH	70.20	CU.M. II.	WELL DEVELOPMENT	1.00	LOT II.A.	DUG W</t>
  </si>
  <si>
    <t xml:space="preserve"> INVITATION TO BID  PROCUREMENT OF NJMPTI FURNITURE &amp; FIXTURE FY2020                                                                PPSC BAC IB NO.013 (G) 2020 1.	The Philippine Public Safety College through the General Appropriations Act of FY2020 , inten</t>
  </si>
  <si>
    <t xml:space="preserve"> Construction of Drainage System The Barangay Veterans Village, City Proper, Iloilo City thru the Office of Bids and Awards Committee invites suppliers to apply for eligibility and if found eligible to bid for the ff:  Project Title: CONSTRUCTION OF DRAINA</t>
  </si>
  <si>
    <t xml:space="preserve"> Republic of the Philippines Province of Misamis Occidental MUNICIPALITY OF CALAMBA BARANGAY SILOY INVITATION TO BID FOR PURCHASE OF MATERIALS FOR THE IMPROVEMENT OF MULTI-PURPOSE EVACUATION CENTER 	July 28, 2020 1.	The Barangay Siloy  of Calamba, Misamis </t>
  </si>
  <si>
    <t xml:space="preserve"> Republic of the Philippines Province of Ilocos Norte MUNICIPALITY OF CURRIMAO Invitation to Bid for  REPAIR &amp; MAINTENANCE OF VARIOUS SCHOOL BUILDINGS 1.	The MUNICIPALITY OF CURRIMAO, through the Special Education Fund (SEF) intends to apply the sum of 	ON</t>
  </si>
  <si>
    <t xml:space="preserve"> Purchase of Rescue equipment and general merchandise in preparation of any calamity arises.</t>
  </si>
  <si>
    <t xml:space="preserve"> The Local Government Unit of Santa Fe, Nueva Vizcaya, through its Bids &amp; Awards Committee invites contractors to bid for the following project: Contract Name: 	CONCRETING OF TACTAC-ATBU ROAD Contract Location: Tactac, Santa Fe, Nueva Vizcaya Approve Budge</t>
  </si>
  <si>
    <t xml:space="preserve"> (Section I) Republic of the Philippines Department of Health CENTER FOR HEALTH DEVELOPMENT MIMAROPA Q.M.M.C. Compound, Project 4, Quezon City INVITATION TO BID  PUBLIC BIDDING FOR THE SUPPLY AND DELIVERY OF VARIOUS MEDICAL EQUIPMENTS FOR THE EQUIPPING OF </t>
  </si>
  <si>
    <t xml:space="preserve"> The [Local Government Unit of Inopacan, Leyte], through the [FY 2019 Local Government Support Fund – Other Financial Assistance (LGSF-FA), FY 2019 General Appropriations Act, Republic Act No. 11260 as per ADA No. 9901200004 allocated for the Opening of Ro</t>
  </si>
  <si>
    <t xml:space="preserve"> Republic of the Philippines   Province of Sarangani  Municipality of Alabel    Invitation to Bid for the Concreting of Municipal Street  (Osmeña Street, Poblacion, Alabel, Sarangani Province) 1.The Municipality of Alabel, through the Annual Budget for Cal</t>
  </si>
  <si>
    <t xml:space="preserve"> Upgrading of Internet Infrastructure •	Mobilization/ Demobilization and Logistics, Installation, Cable Pulling(Rough-ins), Grounding for Racks, Termination, Configuration, Labor •	Network Unifi AC-LR Access Point, UTP CAT5E Cable 300m, Fiber Optic Cable, </t>
  </si>
  <si>
    <t xml:space="preserve"> Republic of the Philippines Cordillera Administrative Region Province of Kalinga B A L B A L A N MUNICIPALITY OF BALBALAN Invitation to Apply for Eligibility and to Bid for the OPENING OF BUTOD TO COMO FARM TO MARKET ROAD, BUAYA-MABACA, BALBALAN, KALINGA </t>
  </si>
  <si>
    <t xml:space="preserve"> Republic of the Philippines MUNICIPALITY OF CABUGAO Ilocos Sur Invitation to Bid for the Improvement of Farm to Market Road @ Brgy. Rizal (Sison St), Cabugao, Ilocos Sur 1. The Local Government Unit of Cabugao, Ilocos Sur, through the R.A. 7171 under AO N</t>
  </si>
  <si>
    <t xml:space="preserve"> I. SCOPE OF WORKS excavation laying of 4" CHB/Pouring flooring II. EXCAVATION 30.6 cu.m III.MASONRY/CONCRETE WORKS 1500 pcs 4" CHB 91 pcs 10mm diam. RSB 129 bags portland cement 4 cu.m River Sand 6 cu.m mixed aggregates 8 kls tie wire</t>
  </si>
  <si>
    <t xml:space="preserve"> The [Local Government Unit of Inopacan, Leyte], through the [Trust Fund allocated for the Local Access Road Upgrading at Brgy. Cabulisan to Brgy. De Los Santos] intends to apply the sum of [Six Million One Hundred Ninety-One Thousand Nine Hundred Ninety-S</t>
  </si>
  <si>
    <t xml:space="preserve"> 1.	The Local Government Unit of Balangiga, through the 2020 EDF implementation intends to apply the sum of Three Hundred Twenty Thousand Pesos  (Php320,000.00) being the Approved Budget for the Contract (ABC) to payments under the contract for the Supply </t>
  </si>
  <si>
    <t xml:space="preserve"> Municipality of Balud                                                                                                           GOODS-01-2020                       					                                             Supply and Delivery of Coconut Seedlings </t>
  </si>
  <si>
    <t xml:space="preserve"> OPENING OF BIDS IN DSWD FO IX, 				 DELIVERY IN PCDP, DSWD MAMPANG ZAMBOANGA CITY				 PROCUREMENT FOR THE FF.:				 							 50	PACK	All purpose cream (250ml)	@	 55.00  25	GALLON	Banana Catsup (1Liter)	@	 130.00  50	PACK	Bihon (1kg, Class A, Good Quality)	@</t>
  </si>
  <si>
    <t xml:space="preserve"> It includes: General Requirements, Earthworks, Riprap &amp; Grouted Riprap, Concrete Works, &amp; Billboard.</t>
  </si>
  <si>
    <t xml:space="preserve"> Republic of the Philippines MUNICIPALITY OF CABUGAO Ilocos Sur Invitation to Bid for the Improvement of Farm to Market Road @ Brgy. Bonifacio-Turod Patac Road @ Cabugao, Ilocos Sur 1. The Local Government Unit of Cabugao, Ilocos Sur, through the R.A. 7171</t>
  </si>
  <si>
    <t xml:space="preserve"> It includes: Various Risograph and Consumables</t>
  </si>
  <si>
    <t xml:space="preserve"> Republic of the Philippines MUNICIPALITY OF CABUGAO Ilocos Sur Invitation to Bid for the Improvement of Farm to Market Road @ Brgy. Catucdaan (Proper), Cabugao, Ilocos Sur 1. The Local Government Unit of Cabugao, Ilocos Sur, through the R.A. 7171 under AO</t>
  </si>
  <si>
    <t xml:space="preserve"> INVITATION TO BID for the following Projects: Construction of Multipurpose Building, Brgy. Magsaysay, Loreto, Dinagat Islands The Department of Public Works and Highways, DPWH Dinagat Islands District Engineering Office through GAA CY 2020 intends to appl</t>
  </si>
  <si>
    <t xml:space="preserve"> Republic of the Philippines MUNICIPALITY OF CABUGAO Ilocos Sur Invitation to Bid for the Construction of Post Harvest Facility @ Brgy. Pug-os (Proper), Cabugao, Ilocos Sur 1. The Local Government Unit of Cabugao, Ilocos Sur, through the R.A. 7171 under AO</t>
  </si>
  <si>
    <t xml:space="preserve"> CONCRETING OF PILI-KARIHATAG ROAD STA.0+000 - STA. 0+883.25 MUNICIPALITY OF MALIMONO, SURIGAO DEL NORTE Brief Description:	The project will involve the Concreting of Pili – Karihatag Road with the following scope of works: Construction of Field Office for</t>
  </si>
  <si>
    <t xml:space="preserve"> ODIC data banking and linkage system Software (Build and Develop type  - 1 unit * Client Information System  * Business Permit System  *Zoning Clearance System   Hardware Server * 64 Bit with License OS for server other peripheral core i3, license OS with</t>
  </si>
  <si>
    <t xml:space="preserve"> various Office Supplies Prospective Bidders must have completed a contract similar to the project with the amount of at least 50% of the ABC. Bidding will be conducted through open competitive bidding procedures using a non-discretionary “pass/fail” crite</t>
  </si>
  <si>
    <t xml:space="preserve"> Lot 1: Books ABC Php 147,115.00 3	copies  	Animation and Multimedia: K-12, 3rd ed./Jemma Development Group ©2017 3	copies  	Animation: Intermediate with DVD, 2nd ed./3G E-Learning ©2018 3	copies  	Art Appreciation/Solmerano, E. ©2019 3	copies  	Biology 2/</t>
  </si>
  <si>
    <t xml:space="preserve"> I.   CONCRETE WORKS          -      1.565      CU.M. II.  STEELWORKS                   -      1.000     L.S. III. ELECTRICAL WORKS        -      1.000     L.S. IV.  PAINTING WORKS            -      1.000     L.S.</t>
  </si>
  <si>
    <t xml:space="preserve"> Barangay Information System Automated Data Base &amp; Data Link</t>
  </si>
  <si>
    <t xml:space="preserve"> Republic of the Philippines Department of Education Region v SCHOOLS DIVISION OF SORSOGON Capitol Compound, Sorsogon City INVITATION TO BID FOR PURCHASE OF SUPPLIES AND MATERIALS FOR THE IN-HOUSE REPRODUCTION OF LOCALLY DEVELOPED SELF-LEARNING MODULES PRO</t>
  </si>
  <si>
    <t xml:space="preserve"> 1.	The Municipality of Botolan, through the 20% Development Plan intends to apply the sum of P 4,000,000.00 being the Approved Budget for the Contract (ABC) to payments under the contract for Construction of Multi-Purpose Hall at Barangay Porac, Botolan, </t>
  </si>
  <si>
    <t xml:space="preserve"> 200 AGGREGATE SUB-BASE COARSE</t>
  </si>
  <si>
    <t xml:space="preserve"> 1.	The Municipal Government of El Nido, through the PORT &amp; WHARF-Continuing Approp. 2019, Additional Fund for Speed Boat-Non-Office Supplemental #3 FY 2020, intends to apply the sum of Two Million Pesos (P 2,000,000.00) being the Approved Budget for the C</t>
  </si>
  <si>
    <t xml:space="preserve"> MOBILIZATION/DEMOBILIZATION              1.00    L.S. PCCP                                                         13.50  CU.M.</t>
  </si>
  <si>
    <t xml:space="preserve"> Construction of Calliat Farmers Civic Center</t>
  </si>
  <si>
    <t xml:space="preserve"> Procurement of One (1) set 3hp Submersible Pump with Control Box and Complete Accessories for the Rehabilitation of Potable Water System og BLGU Bagong Silang, Laak, Davao De Oro with an ABC of Php. 150,000.00. Note: For further details of the said projec</t>
  </si>
  <si>
    <t xml:space="preserve"> Item of Description	Unit of Issue	Quantity Backfold Clip, 19mm	box	2 Backfold Clip, 25mm	box	2 Backfold Clip, 32mm	box	1 Backfold Clip, 51mm	box	4 Ballpen Retractable Refill, Fine, black	piece	34 Ballpen, 0.5, Black BPS Fine 	piece	36 Ballpen, black, 0.5m</t>
  </si>
  <si>
    <t xml:space="preserve"> Republic of the Philippines CITY GOVERNMENT OF SAN FERNANDO City Hall Building, F. Ortega Highway Tel. No. (072)8886901, (072) 867-8100/Fax No. (072)8886907 Website: www.sanfernandocity.gov.ph Email: csflu_98@yahoo.com INVITATION TO BID FOR  PROCUREMENT O</t>
  </si>
  <si>
    <t xml:space="preserve"> INVITATION TO BID The Department of Public Works and Highways - Pampanga 1st District Engineering Office, through its Bids and Awards Committee (BAC), invites contractors to submit bids for the following Contract: 1.	 Procurement ID/Contract ID	:	20CG0250</t>
  </si>
  <si>
    <t xml:space="preserve"> Project: Construction of Camp Col Rodriguez 8-Bullet Firing Range Location: Camp Col Rafael C Rodriguez, Libertad, Butuan City Approved Budget for the Contract: Php6,000,000.00 Duration: 180 Calendar Days</t>
  </si>
  <si>
    <t xml:space="preserve"> Republic of the Philippines DIGOS WATER DISTRICT (DWD) Rizal Avenue, Digos City INVITATION TO BID FOR THE SUPPLY, DELIVERY, INSTALLATION, TESTING AND COMMISSIONING OF THE ELECTRO-MECHANICAL EQUIPMENT FOR THE NEW PUMPING STATION NO. 11 AT BRGY. SINAWILAN, </t>
  </si>
  <si>
    <t xml:space="preserve"> Invitation to Bid for the CONSTRUCTION OF MAKILALA INSTITUTE OF SCIENCE AND TECHNOLOGY (MIST) INDIGENOUS PEOPLE DORMITORY LOCATED AT BRGY. CONCEPCION, MAKILALA, COTABATO REFERENCE NO. NHAXII-2020-073 The National Housing Authority (NHA) – Region XII, thro</t>
  </si>
  <si>
    <t xml:space="preserve"> Republic of the Philippines PROVINCE OF SAMAR Municipality of Pinabacdao Invitation to Bid Purchase and Delivery of 1 Unit Speed Boat  Pinabacdao, Samar 1. The LOCAL GOVERMENT UNIT of Pinabacdao Samar, through the FY 2019 Budget intends to apply the sum o</t>
  </si>
  <si>
    <t xml:space="preserve"> Republic of the Philippines  Department of Education Region I PANGASINAN SCHOOLS DIVISION OFFICE II INVITATION TO BID EQUIPMENT, MEDICAL EQUIPMENT &amp; SUPPLIES, AND OFFICE EQUIPMENT &amp; SUPPLIES FOR THE IMPLEMENTATION OF SCHOOL BASED FEEDING PROGRAM – MILK FE</t>
  </si>
  <si>
    <t xml:space="preserve"> Republic of the Philippines DEPARTMENT OF AGRICULTURE Regional Field Office IX, Zamboanga Peninsula INVITATION TO BID FOR SUPPLY AND DELIVERY OF 1,333 BAGS OF GROWER FEEDS (PELLETS) 1.	The Department of Agriculture Regional Field Office IX, through the GA</t>
  </si>
  <si>
    <t xml:space="preserve"> Republic of the Philippines MUNICIPALITY OF CABUGAO Ilocos Sur Invitation to Bid for the Improvement of Farm to Market Road @ Brgy. Rizal (Savellano St.), Cabugao, Ilocos Sur 1. The Local Government Unit of Cabugao, Ilocos Sur, through the R.A. 7171 under</t>
  </si>
  <si>
    <t xml:space="preserve"> PROJECT NAME: IMPROVEMENT OF OLD PUBLIC MARKET (PHASE III) PROJECT LOCATION:  Abatan, Buguias, Benguet DURATION:  197 CD (Including mobilization &amp; curing) PROJECT Cost:  PHP 2,000,000.00 SOURCE OF FUND: 20% MDF CY 2020 ITEM NO.	DESCRIPTION							 QTY  	  </t>
  </si>
  <si>
    <t xml:space="preserve"> Republic of the Philippines DEPARTMENT OF AGRICULTURE Regional Field Office IX, Zamboanga Peninsula INVITATION TO BID FOR SUPPLY AND DELIVERY OF FREE RANGE CHICKENS 1.	The Department of Agriculture Regional Field Office IX, through the GAA 2020 - (Nationa</t>
  </si>
  <si>
    <t xml:space="preserve"> CONCRETING OF SISON-TAGBAYANI-MAYAG ROAD MUNICIPALITY OF MALIMONO, SURIGAO DEL NORTE Brief Description:	 The project will involve the Concreting of Sison-Tagbayani-Mayag Road with the following scope of works: Construction of Field Office for Engineers, P</t>
  </si>
  <si>
    <t xml:space="preserve"> Republic of the Philippines MUNICIPALITY OF CABUGAO Ilocos Sur Invitation to Bid for the Improvement of Farm to Market Road @ Brgy. Rizal (Singson St), Cabugao, Ilocos Sur 1. The Local Government Unit of Cabugao, Ilocos Sur, through the R.A. 7171 under AO</t>
  </si>
  <si>
    <t xml:space="preserve"> 1.	The Development Bank of the Philippines, through the Corporate Budget approved by the governing Board for CY 2020 intends to apply the sum of One Hundred Fifty-Six Million Nine Hundred Thousand Pesos &amp; 00/100 (PhP156,900,000.00) for three years (or PhP</t>
  </si>
  <si>
    <t xml:space="preserve"> Republic of the Philippines MUNICIPALITY OF CABUGAO Ilocos Sur Invitation to Bid for the Improvement of Farm to Market Road @ Brgy.Quezon (Tandang Sora St.), Cabugao, Ilocos Sur 1. The Local Government Unit of Cabugao, Ilocos Sur, through the R.A. 7171 un</t>
  </si>
  <si>
    <t xml:space="preserve"> Republic of the Philippines Province of Agusan del Sur MUNICIPALITY OF TALACOGON BARANGAY DEL MONTE oOo BIDS AND AWARDS COMMITTEE July 24, 2020  INVITATION TO BID FOR THE OPENING OF FARM TO MARKET ROAD OF PUROK BASAK, SITIO MABINI 1.	The Barangay Local Go</t>
  </si>
  <si>
    <t xml:space="preserve"> Mobilization/Demobilization  Removal of Structure and Obstruction Subgrade Preparation   Block Laying (Shouldering Protection) Embankment  Aggregate Base Course PCCP (0.20 m THK) Occupational Safety and Health Program</t>
  </si>
  <si>
    <t xml:space="preserve"> 1.	The Bureau of Soils and Water Management, through the General Appropriation Act for CY 2020 intends to apply the sum of: LOT 1- Supply and Delivery of Palay and Vegetable seeds in the amount of One Million Three Hundred Seventy-Seven Thousand Seven Hun</t>
  </si>
  <si>
    <t xml:space="preserve"> 400	pcs	Wood, 2"x3"x10", delivered 120	pcs	Plywood, 1/4 thick, 4"x8", ordinary 485	pcs	Curtain, 1m x 2m 25	pcs	GI Sheet, Corrugated, Length-12', 4mm thick 10	pcs	Ridge roll, 4mm 4	pcs	Stainless Lavatory, .18mx.35mx.50m, with floor drain and hose accessori</t>
  </si>
  <si>
    <t xml:space="preserve"> Republic of the Philippines MUNICIPALITY OF CABUGAO Ilocos Sur Invitation to Bid for the Improvement of Farm to Market Road @ Brgy. Quezon (Siruno St.), Cabugao, Ilocos Sur 1. The Local Government Unit of Cabugao, Ilocos Sur, through the R.A. 7171 under A</t>
  </si>
  <si>
    <t xml:space="preserve"> Description I.	Signboard II.	Concrete Breaking for Column Footing III.	Excavation IV.	Formworks &amp; Scaffolding V.	Concrete Works VI.	Roof System Works VII.	Construction Safety &amp; Health 1. Barangay Canramos Tanauan, LEYTE through the bids and awards comm.) </t>
  </si>
  <si>
    <t xml:space="preserve"> Republic of the Philippines Province of Siquijor Municipality of Enrique Villanueva INVITATION TO BID FOR the Purchase of Ambulance 1.	The Local Government Unit of Enrique Villanueva, through the 2019 Local Government Support Fund-Other Financial Assistan</t>
  </si>
  <si>
    <t xml:space="preserve"> INVITATION TO BID: 1. Project Title:  Supply and Installation of Closed-Circuit Television 2. Approved Budget for the Contract: Php 3,440,360.00 3. Pre-bid Conference: on August 06, 2020; 1:00 p.m. Dr. Pablo T. Mateo Conference Room, 2nd Floor South Wing,</t>
  </si>
  <si>
    <t xml:space="preserve"> INVITATION TO BID FOR SUPPLY, HANDLING, TRANSPORT AND DELIVERY OF 298, 257 COCONUT SEEDLINGS 1.	The Philippine Coconut Authority-Region VIII (PCAVIII), through the 2018 RA 8048 Permit to Cut, 2019 RA 8048 Permit to Cut and 2019 RA 8048 Replacement intends</t>
  </si>
  <si>
    <t xml:space="preserve"> Republic of the Philippines Province of Agusan del Sur MUNICIPALITY OF TALACOGON BARANGAY DEL MONTE oOo BIDS AND AWARDS COMMITTEE July 24, 2020  INVITATION TO BID FOR THE REPAIR AND MAINTENANCE OF SK OFFICE 1.	The Barangay Local Government Unit of Del Mon</t>
  </si>
  <si>
    <t xml:space="preserve"> Rehab of Local Access Road, Magaogao - Collog, Junction - Pinococ, Pinukpuk</t>
  </si>
  <si>
    <t xml:space="preserve"> BILL OF QUANTITIES: Item #	Qty	   Unit	                   Item Description	  Unit Cost	Total Cost 0001		1	ls	Project Facilities		 0002		1	ls	General Requirements		 0003		1	ls	Masonry Works		 0004		1	ls	Wood and Plastic		 0005		1	ls	Finishing Works		 0006	</t>
  </si>
  <si>
    <t xml:space="preserve"> 15	heads	Live Pig @ 110 kls live weight per head 300	kls	       Colored Chicken 100	kls	       Hot dog 100	kls	       Tilapia (3 in 1 per kilo) 100	kls	       Dressed Chicken 50	kls	       Dried Fish (Tulis) 200	kls	       Potato 100	kls	       Baguio bea</t>
  </si>
  <si>
    <t xml:space="preserve"> Republic of the Philippines Department of Education Region VII, Central Visayas SCHOOLS DIVISION OF TOLEDO CITY INVITATION TO BID FOR Provision of Security Services for Gen. P. Del Rosario Elementary School 1.	The Schools Division of Toledo City, through </t>
  </si>
  <si>
    <t xml:space="preserve"> Training Supplies and Materials with the following inclusions per set: • 2 bottles of 150mL, 70% Solution Antiseptic Disinfectant Alcohol • 2 bottles of 250mL MultiPurpose Bleach (Disinfectant) • 1 pc. of 90g Germicidal Soap Other specifications: - Each s</t>
  </si>
  <si>
    <t xml:space="preserve"> Livelihood Assistance to Tricycle Drivers/Farmers</t>
  </si>
  <si>
    <t xml:space="preserve"> Republic of the Philippnes				 PROVINCE OF APAYAO	PROVINCE OF APAYAO			 Provincial Government Center	Provincial Government Center, San Isidro Sur			 San Isidro Sur, Luna, Apayao	LUNA, APAYAO			 				 PROVINCIAL BIDS AND AWARD COMMITTEE-INFRA				 				 INVIT</t>
  </si>
  <si>
    <t xml:space="preserve"> Mobilization/Demobilization Declogging of Existing Lined Canal Incidental Repair Works (Canal Covers) Occupational Safety and Health Program</t>
  </si>
  <si>
    <t xml:space="preserve"> B.9	Mobilization/Demobiliazation	lot	all	10,569.30 105(1)	Subgrade Preparation (Common Material)	336	sq.m.	6,216.00 201	Aggregate Base Coarse (100mm thk.)	34	cu.m.	48,273.20 311(1)a	PCC Pavement Plain-Conventional Method, 200mm thk	336	sq.m.	433,440.00 SP</t>
  </si>
  <si>
    <t xml:space="preserve"> Mobilization/Demobilization Removal of Structures and Obstruction Block Laying (Shoulder Protection) Embankment Subgrade Preparation Aggregate Base Course PCCP (0.20m THK) Occupational Safety and health Program</t>
  </si>
  <si>
    <t xml:space="preserve"> Mobilization/Demobilization Manual Excavation CHB Lined Canal Embankment Subgrade Preparation Aggregate Base Course PCCP (0.20 m THK 14 days) Occupational Safety and Health Program</t>
  </si>
  <si>
    <t xml:space="preserve"> Mobilization/Demobilization Installation of One Unit Deep Well with Accessories Tools Storage &amp; Power Pump Area Electrical Works Occupational Safety &amp; Health Program</t>
  </si>
  <si>
    <t xml:space="preserve"> Republic of the Philippines Department of Public Works and Highways OFFICE OF THE DISTRICT ENGINEER 		Camarines Sur 4th  District Engineering Office Caraycayon, Tigaon, Camarines Sur Tel. #(054)881-01-07 INVITATION TO BID The Department of Public Works an</t>
  </si>
  <si>
    <t xml:space="preserve"> Mayor's Office -------------------------------------------- 183,950.00 SB Office -------------------------------------------------- 118,495.00 MDRRM -------------------------------------------------- 38,170.00 HRMO ----------------------------------------</t>
  </si>
  <si>
    <t xml:space="preserve"> B.9	Mobilization/Demobiliazation	lot	all	21,000.00 102(2)b	Roadway Excavation (Surplus Common)	146	cu.m.	24,382.00 103(1)a	Structure Excavation (Common Soil)	11	cu.m.	3,553.00 105(1)	Subgrade Preparation (Common Material)	360	sq.m.	6,480.00 201	Aggregate </t>
  </si>
  <si>
    <t xml:space="preserve"> B.9	Mobilization/Demobiliazation	lot	all	21,138.60 105(1)	Subgrade Preparation (Common Material)	292	sq.m.	5,402.00 201	Aggregate Base Coarse (100mmthk)	29	sq.m.	54,519.13 311(1)a	PVC Pavement Plain-Conventional Method, 200mm thk	292	sq.m.	417,440.28 SPL </t>
  </si>
  <si>
    <t xml:space="preserve"> B.9	Mobilization/Demobiliazation	lot	all	13,211.60 103(1)a	Structure Excavation (Common Soil)	9.30	cu.m.	2,966.70 105(1)	Subgrade Preparation (Common Material)	260	sq.m.	4,563.00 201	Aggregate Base Coarse (100mm thk.)	26	cu.m.	48,360.00 311(1)a	PCC Paveme</t>
  </si>
  <si>
    <t xml:space="preserve"> Mobilization/Demobilization Clearing &amp; Grubbing Structure Excavation Subgrade Preparation Aggregate Base Course PCCP (0.20 m. thick) Cross Drain (5 units) CHB Lined Canal  Occupational Safety &amp; Health Program</t>
  </si>
  <si>
    <t xml:space="preserve"> Mobilization/Demobilization Removal of Structures &amp; Obstructions Structure Excavation Embankment Riprap &amp; Grouted Riprap Occupational Safety &amp; Health Program</t>
  </si>
  <si>
    <t xml:space="preserve"> Invitation to Bid for  Construction of Potable Water System 1.	The Municipal Government of Cavinti, Laguna, through the DILG AM - 2020 intends to apply the sum of Three Million Six Hundred Sixty One Thousand Nine Hundred Seven Pesos and Twenty Eight Cents</t>
  </si>
  <si>
    <t xml:space="preserve"> Invitation to Bid for  Construction of Potable Water System 1.	The Municipal Government of Cavinti, Laguna, through the DOE Electrification Fund intends to apply the sum of One Million Eight Hundred Thirty Seven Thousand Three Hundred Sixty Nine Pesos and</t>
  </si>
  <si>
    <t xml:space="preserve"> Republic of the Philippines DIGOS WATER DISTRICT (DWD) Rizal Avenue, Digos City INVITATION TO BID FOR THE PROCUREMENT OF UPVC PIPES AND FITTINGS, C.I. FITTINGS AND CONSTRUCTION MATERIALS FOR THE MAINTENANCE OF PIPELINES 1.	The Digos Water District, throug</t>
  </si>
  <si>
    <t xml:space="preserve"> Invitation to Bid for  Construction of National Child Development Center 1.	The Municipal Government of Cavinti, Laguna, through the Grants from ECCD Council intends to apply the sum of Two Million Four Hundred Ninety Five Thousand One Hundred Eighty Six </t>
  </si>
  <si>
    <t xml:space="preserve"> Procurement of Third-Party Provider for Warehousing and Forwarding Services for DOH Commodities for Diabetes Mellitus, Mental Health &amp; Cancer Medicine Program of the Department of Health (DOH) for the year 2020</t>
  </si>
  <si>
    <t xml:space="preserve"> ROAD CONCRETING, (LENGTH=150 MTS.,WIDE=2.50 MTS.,THICK=0.10 MTS.</t>
  </si>
  <si>
    <t xml:space="preserve"> The Bids and Awards Committee (BAC) of Luis UyChiat Elementary School invites interested bidders of 2020  Procurement of Supplies to be used for Modular Learning. Months Covered: August-December 2020 Approved Budget Contract: 79,150.00 Pre-bid Conference:</t>
  </si>
  <si>
    <t xml:space="preserve"> Invitation to Bid for  Construction of Potable Water System 1.	The Municipal Government of Cavinti, Laguna, through the DILG AM - 2019 intends to apply the sum of Three Million Three Hundred Fifty Six Thousand Six Hundred Fifty  Pesos and Forty Two Cents </t>
  </si>
  <si>
    <t xml:space="preserve"> SCOPE OF WORKS: 1. SITE WORKS - CLEARING AND EXCAVATION, EMBANKMENT AND FILLING 2. CONCRETE WORKS 3.MASONRY WORKS 4.ROOFING 5. CARPENTRY WORKS 6. DOORS, WINDOWS AND RAILINGS (FABRICATION AND INSTALLATION) 7. TILE WORKS (FLOORING AND COMFORT ROOMS) 8. PAIN</t>
  </si>
  <si>
    <t xml:space="preserve"> Use link to view the bidding documents https://drive.google.com/file/d/1NWmcvASepLr9zIUIO0DHsngyReMxXs20/view?usp=drivesdk</t>
  </si>
  <si>
    <t xml:space="preserve"> THIS PROJECT INVOLVES THE IMPROVEMENT OF 108LNM CABLE BRIDGE AT BARANGAY MABONGTOT, LUBUAGAN SCOPE OF WORKS AS FOLLOWS: 1.  DEMOLITION OF WORKS         1.00 LOT 2. PROJECT LAY-OUT                   1.00 LOT 3. PORTAL "A":      EXCAVATION FOR STRUCTURE    </t>
  </si>
  <si>
    <t xml:space="preserve"> Republic of the Philippines DEPARTMENT OF PUBLIC WORKS AND HIGHWAYS CAMARINES SUR 2ND DISTRICT ENGINEERING OFFICE Regional Office V Baras, Canaman, Camarines Sur REQUEST FOR EXPRESSION OF INTEREST (REOI) FOR 20CSFE03 - Consulting Services for the Parcella</t>
  </si>
  <si>
    <t xml:space="preserve"> Invitation to Bid for  Construction of Two (2) Storey, Four (4) Classroom Building 1.	The Municipal Government of Cavinti, Laguna, through the Special Education Fund (SEF) intends to apply the sum of Seven Million Seven Hundred Forty Eight Thousand Four H</t>
  </si>
  <si>
    <t xml:space="preserve"> Invitation to Bid for  Construction of Farm to Market Road 1.	The Municipal Government of Cavinti, Laguna, through the 2020 Annual Budget intends to apply the sum of Three Million Eight Hundred Eighteen Thousand Eight Hundred Twenty Five Pesos and Sevente</t>
  </si>
  <si>
    <t xml:space="preserve"> INVITATION TO BID FOR The Procurement of 104 bags of Hybrid White Corn Seeds 1.	The Department of Agriculture-Regional Field Office 7, through the GAA 2020  intends to apply the sum of Five Hundred Twenty Thousand Pesos (₱520,000.00) being the Approved Bu</t>
  </si>
  <si>
    <t xml:space="preserve"> INVITATION TO BID FOR The Procurement of GM Yellow Corn Seeds 1.	The Department of Agriculture-Regional Field Office 7, through the GAA 2020  intends to apply the sum of Four Million Pesos (₱4,000,000.00) being the Approved Budget for the Contract (ABC) t</t>
  </si>
  <si>
    <t xml:space="preserve"> Section I. Invitation to Bid Republic of the Philippines PROVINCE OF ZAMBOANGA SIBUGAY Capitol Building, Ipil Heights, Ipil, Zamboanga Sibugay INVITATION TO BID FOR  New Born Hearing Screening Machine 1.	The Province of Zamboanga Sibugay, through the 20% </t>
  </si>
  <si>
    <t xml:space="preserve"> Invitation to Bid for  Construction of Potable Water System 1.	The Municipal Government of Cavinti, Laguna, through the DILG AM - 2019 intends to apply the sum of Three Million Two Hundred Eighty Seven Thousand Eight Hundred Forty Eight Pesos and Eighty E</t>
  </si>
  <si>
    <t xml:space="preserve"> Section I. Invitation to Bid Republic of the Philippines PROVINCE OF ZAMBOANGA SIBUGAY Capitol Building, Ipil Heights, Ipil, Zamboanga Sibugay INVITATION TO BID FOR  Veterinary Supplies for Distribution to Para-technician for Animal Health Care Services 1</t>
  </si>
  <si>
    <t xml:space="preserve"> INVITATION TO BID ITB  No. 096-Brgy - 2020 The City Government of Surigao, through its Bids and Awards Committee (BAC), invites suppliers to bid for the following: Name of Contract	:  Purchase &amp; Delivery of Const. Materials &amp; Supplies for the  			   proje</t>
  </si>
  <si>
    <t xml:space="preserve"> INVITATION TO BID FOR The Procurement of 1,500 bags of Conventional Hybrid Yellow Corn Seeds 1.	The Department of Agriculture-Regional Field Office 7, through the GAA 2020  intends to apply the sum of Six Million Pesos (₱6,000,000.00) being the Approved B</t>
  </si>
  <si>
    <t xml:space="preserve"> INVITATION TO BID ITB  No. 098-Goods-2020 The City Government of Surigao, through its Bids and Awards Committee (BAC), invites suppliers to bid for the following: Name of Contract	:  Purchase &amp; Delivery of one (1) unit Brand New Service  			   Vehicle 			</t>
  </si>
  <si>
    <t xml:space="preserve"> Invitation to Bid for the Concreting of Barangay Road Brgy. Manjagao, Surigao City ITB No. 097-Infra-2020    1.	The City Government of Surigao, intends to apply the sum of   One  Million  Pesos (Php1,000,000.00)  being the Approved Budget for the Contract</t>
  </si>
  <si>
    <t xml:space="preserve"> NAME OF THE PROJECT: Construction of Barangay Material Recovery Facility (Fixed) for Bgys.                                                              Pinamanaan, Lourdes, Girawan, Cristo and Orange)  LOCATION OF THE PROJECT: Bgys. Pinamanaan, Lourdes, G</t>
  </si>
  <si>
    <t xml:space="preserve"> Republic of the Philippines Province of Iloilo Municipality of Sara BIDS AND AWARDS COMMITTEE INVITATION TO BID The Municipality of Sara, Iloilo, through the Bids and Awards Committee (BAC) invites suppliers/manufacturers/ distributors / contractors to ap</t>
  </si>
  <si>
    <t xml:space="preserve"> NAME OF THE PROJECT: Improvement of Perimeter (Donsol Centrum for Recreation)  LOCATION OF THE PROJECT: Market Site, Donsol, Sorsogon  PROJECT REFERENCE NO.:  INFRA-PB-2020-015  Approved Budget for the Contract: ₱580,000.00  Source of Fund: A.O. #07-s-202</t>
  </si>
  <si>
    <t xml:space="preserve"> BIDS AND AWARDS COMMITTEE INVITATION TO BID No. 070-2020 The METRO ROXAS WATER DISTRICT (MRWD), through its Bids and Awards Committee (BAC), invites Manufacturers/Suppliers/Distributors to apply for eligibility and to bid for the hereunder project: Name o</t>
  </si>
  <si>
    <t xml:space="preserve"> THE OFFICE OF THE BIDS AND AWARDS COMMITTEE, SAN CARLOS CITY IS IN NEED OF SUPPLY/DELIVERY OF VARIOUS VACCINES FOR ANIMAL BITE TREATMENT CENTER.</t>
  </si>
  <si>
    <t xml:space="preserve"> Republic of the Philippines  Office of the Municipal Mayor BIDS AND AWARDS COMMITTEE Sual, Pangasinan Invitation to Bid for PROCUREMENT OF ONE (1) UNIT PAYLOADER Sual, Pangasinan 1.	The Municipal Government of Sual, Pangasinan, through the Local Fund - 20</t>
  </si>
  <si>
    <t xml:space="preserve"> INVITATION TO BID No. IB-2020-VIII-17-01 The Municipality of Sibalom through its Bids &amp; Awards Committee (BAC), invites bidders/contractors to apply for eligibility and to bid for the hereunder project: Project           	 		:	Farm to Market Road( Igcococ</t>
  </si>
  <si>
    <t xml:space="preserve"> Use link to view the bidding documents https://drive.google.com/file/d/1R297nrEflE6SCb3uYUEsbiXqn5mDjJU4/view?usp=drivesdk</t>
  </si>
  <si>
    <t xml:space="preserve"> PROJECT REFERENCE NO. CWD 33-2020 INVITATION TO BID FOR  Supply and Delivery of Various Cast Iron Fittings Item No.	Item Description	Qty.	Unit	Unit Cost	Total Amount 1	Gate Valve 50mm (2"),M/M	12	Pcs	6,877.20	82,526.40 2	Gate Valve 75mm (3"),M/M	3	Pcs	10,</t>
  </si>
  <si>
    <t xml:space="preserve"> Requested by: Dr. R B. Panganiban/CHO - Population Control Division</t>
  </si>
  <si>
    <t xml:space="preserve"> Republic of the Philippines Province of Bukidnon Municipality of Damulog OFFICE OF THE BIDS AND AWARD COMMITTEE Invitation to Bid for the Supply and Delivery of Various Construction Materials for Municipal Isolation Unit Intended for COVID19 Pandemic  The</t>
  </si>
  <si>
    <t xml:space="preserve"> INVITATION TO BID FOR THE SUPPLY, DELIVERY AND COMMISSIONING  OF ONE (1) UNIT PRECISION BALANCE SCALE, ONE (1) UNIT DEFIBRILLATOR ANALYZER AND ONE (1) UNIT ELECTROSURGICAL (ESU) ANALYZER (IB NO. 2020-GOODS-012-01-0727Rep) 1.	The ILOCOS TRAINING AND REGION</t>
  </si>
  <si>
    <t xml:space="preserve"> Requested by: A C. Manlawe/CMO - Oplan Linis Program</t>
  </si>
  <si>
    <t xml:space="preserve"> Item. See program of Works and Bill of Quantities A. Finishing Works, A=100.00 sq.m B. Gate and Railings C. Ceiling Works</t>
  </si>
  <si>
    <t xml:space="preserve"> INVITATION TO BID  IB-2020-019-GOODS-OSEG-TDO PROCUREMENT OF THIRTY (30) UNITS VIDEO CAMERA FOR THE USE OF OVER SPEEDING ENFORCEMENT GROUP 1.	The Metropolitan Manila Development Authority (“MMDA”), through the 2019 LOCAL FUND 2020 Regular 2019 CONTINUING </t>
  </si>
  <si>
    <t xml:space="preserve"> Date	:	July 23,  2020 Project Title 	:	Supply and Delivery of Eleven (11) Lots Wines and Spirits Lot	Description	Quantity 1	Supply and Delivery of  Whisky, 1 Liter	30 bottles 2	Supply and Delivery of Fine  Champagne  Cognac, 700 ml.	21 bottles 3	Supply an</t>
  </si>
  <si>
    <t xml:space="preserve"> REQUEST FOR QUOTATION Date	:	July 23,  2020 Project Title 	:	Supply and Delivery of Eleven (11) Lots Wines and Spirits Lot	Description	Quantity 1	Supply and Delivery of  Whisky, 1 Liter	30 bottles 2	Supply and Delivery of Fine  Champagne  Cognac, 700 ml.	</t>
  </si>
  <si>
    <t xml:space="preserve"> PROJECT REFERENCE NO. CWD 34-2020 INVITATION TO BID FOR  Supply and Delivery of Various Electrical Supplies Item No.	Item Description	Qty.	Unit	Unit Cost	Total Amount 1	Circuit Breaker 30A (plug on or bolt on)	6	pcs	1,046.65	6,279.90 2	Circuit Breaker 40A</t>
  </si>
  <si>
    <t xml:space="preserve"> MUNICIPALITY OF ABRA DE ILOG Name of Procuring Entity						                 Contract Reference Number Infra No. 03-2020 Name of Contract:  Construction of Potable Water System      Location: Brgy. Sta. Maria, Abra de Ilog, Occ. Mindoro Republic of the Phi</t>
  </si>
  <si>
    <t xml:space="preserve"> MUNICIPALITY OF ABRA DE ILOG Name of Procuring Entity						                 Contract Reference Number Infra No. 02-2020 Name of Contract:  Upgrading and Improvement of Kuli-kuli Road 3      Location: Brgy. Armado, Abra de Ilog, Occ. Mindoro Republic of th</t>
  </si>
  <si>
    <t xml:space="preserve"> INVITATION TO BID PURCHASE AND DELIVERY OF WHEEL LOADER ITB 2020-07-037(GOODS) 1. 	The Municipality of Tuba, through the Budget for the contract approved by the Sangguniang Bayan for the Supplemental Budget No. 3 CY 2020 intends to apply the sum of Two Mi</t>
  </si>
  <si>
    <t xml:space="preserve"> INVITATION TO BID FOR THE PROCUREMENT OF THREE (3) YEAR HOTEL ACCOMMODATIONS FOR CASINO GUEST OF SATELLITE OPERATIONS GROUP (SOG) 4 UNDER ITB NO.  PB20-02-026CORa-07 (REBIDDING)  The Philippine Amusement and Gaming Corporation (PAGCOR) is inviting all int</t>
  </si>
  <si>
    <t xml:space="preserve"> Republic of the Philippines CITY OF TACURONG OFFICE OF THE CITY MAYOR INVITATION TO BID FOR PROGRESSIVE CONSTRUCTION OF MULTI-PURPOSE BUILDING (Contract ID No: 2020-CW-021) The City Government of Tacurong, through Locally Funded Projects &amp; Programs Gen. A</t>
  </si>
  <si>
    <t xml:space="preserve"> MUNICIPALITY OF ABRA DE ILOG Name of Procuring Entity						 Contract Reference Number Goods No. 27-2020 Name of Contract: Supply and Delivery of Materials for the Construction of Barangay Multi-Purpose Hall  Location Brgy. Sta. Maria, ADIOM Republic of th</t>
  </si>
  <si>
    <t xml:space="preserve"> NAME OF THE PROJECT: Construction of SB Building (Phase 2)  LOCATION OF THE PROJECT: LGU Cmpd., Awaii, Donsol, Sorsogon PROJECT REFERENCE NO.:  INFRA-PB-2020-018  Approved Budget for the Contract: ₱6,500,000.00  Source of Fund: C.O. 2020 + A.O. 06 s-2020 </t>
  </si>
  <si>
    <t xml:space="preserve"> CONSTRUCTION OF POTABLE WATER SYSTEM LEVEL I COMPOSE OF 6 units water Pump with pump house and tapstand,1000 liters capacity steel water tank  with painting of brgy.Poblacion Libungan, Cotabato.</t>
  </si>
  <si>
    <t xml:space="preserve"> 2ND INVITATION TO BID The Municipal Government of La Trinidad through the Bids and Awards Committee (BAC) invites contractors to bid for the hereunder project: Contract Reference No.: POW - 8751 - 2020 - BNG - 02 Name of Project: Completion of Multi-purpo</t>
  </si>
  <si>
    <t xml:space="preserve"> DRUGS AND MEDICINES</t>
  </si>
  <si>
    <t xml:space="preserve"> Various Catheterization Laboratory Supplies for 2020 use</t>
  </si>
  <si>
    <t xml:space="preserve"> CONTRACT ID #: 20-07-106 = REPAIR / RENOVATION / UPGRADING OF MANUKAN RHU</t>
  </si>
  <si>
    <t xml:space="preserve"> Republic of the Philippines Province of Northern Samar MUNICIPALITY OF LOPE DE VEGA -oo0oo- BIDS AND AWARDS COMMITTEE INVITATION TO BID  The Bids and Awards Committee of the Municipality of Lope de Vega hereby invites accredited business entities to bid f</t>
  </si>
  <si>
    <t xml:space="preserve"> INVITATION TO BID  Procurement of Farm Machineries and Equipment Support for Rice Production, Mushroom Production and Duck Egg Production under Climate Resilient Farm Productivity Support (CRFPS) to Selected ARBOs in Negros Occidental I   1. The Departmen</t>
  </si>
  <si>
    <t xml:space="preserve"> The Municipality of Sta. Cruz through its Bids and Awards Committee (BAC), invites suppliers to apply for eligibility and if found eligible, to bid for the hereunder contract:        Name of Project		: Purchase of Ambulance  ABC			: Php2,800,000.00 Sour o</t>
  </si>
  <si>
    <t xml:space="preserve"> CONTRACT ID # 20-07-103 = REPAIR / UPGRADING OF GODOD RURAL HEALTH UNIT</t>
  </si>
  <si>
    <t xml:space="preserve"> NAME OF THE PROJECT: Construction of Footbridge  LOCATION OF THE PROJECT: Sitio Apad, Bgy. Juan Adre, Donsol, Sorsogon PROJECT REFERENCE NO.:  INFRA-PB-2020-019  Approved Budget for the Contract: ₱250,000.00  Source of Fund:  MCDF 2020 BRIEF DESCRIPTION O</t>
  </si>
  <si>
    <t xml:space="preserve"> CONTRACT ID # 20-07-102 = PROPOSED COMPLETION OF SAN PABLO RURAL HEALTH UNIT</t>
  </si>
  <si>
    <t xml:space="preserve"> CONTRACT ID # 20-07-100 = PROPOSED COMPLETION OF LAPUYAN RURAL HEALTH UNIT</t>
  </si>
  <si>
    <t xml:space="preserve"> CONTRACT ID #Z:  20-07-105 = REPAIR RENOVATION OF LABASON DISTRICT HOSPITAL</t>
  </si>
  <si>
    <t xml:space="preserve"> CONTRACT ID # 19-10-197 2ND REBID = CONSTRUCTION OF LUNDAY BHS</t>
  </si>
  <si>
    <t xml:space="preserve"> CONTRACT ID #: 19-11-219 2ND REBID = CLUSTER OF COMPLETION/REPAIR/RENOVATION/REHABILITATION OF ZAMBOANGA DEL SUR MEDICAL CENTER</t>
  </si>
  <si>
    <t xml:space="preserve"> CONTRACT ID # 20-07-101 = PPROPOSED COMPLETION OF SAN MIGUEL RURAL HEALTH UNIT</t>
  </si>
  <si>
    <t xml:space="preserve"> CONTRACT ID #: 20-07-104 = PROPOSED EXTENSION OF LEON POSTIGO RURAL HEALTH UNIT</t>
  </si>
  <si>
    <t xml:space="preserve"> INVITATION TO BID ITB  No. 099-Goods-2020 The City Government of Surigao, through its Bids and Awards Committee (BAC), invites suppliers to bid for the following: Name of Contract	:  Purchase &amp; Delivery of Brand New Service Vehicle 			     Location		:  SP</t>
  </si>
  <si>
    <t xml:space="preserve"> THE OFFICE OF THE BIDS AND AWARDS COMMITTEE, SAN CARLOS CITY IS IN NEED OF SUPPLY/DELIVERY OF 1 UNIT LED WALL DISPLAY (OUTDOOR), 1 UNIT LED MOBILE TRAILER</t>
  </si>
  <si>
    <t xml:space="preserve"> INVITATION TO BID  IB-2020-017-GOODS-WB Supply and Delivery of Various ICT Equipment for the Faster Measurement of Surveying Data Collection of Complex Waterways, Rivers and Drainage Catchments within Pumping Station  1.	The Metropolitan Manila Developmen</t>
  </si>
  <si>
    <t xml:space="preserve"> INVITATION TO BID  IB-2020-018-GOODS-WB Supply and Delivery of Various ICT Equipment to be used by the PMO under Metro Manila Flood Management Project  1.	The Metropolitan Manila Development Authority (“MMDA”), through the RA 11465 GENERAL APPROPRIATIONS </t>
  </si>
  <si>
    <t xml:space="preserve"> The Municipal Government of Atok, Benguet now invites bids for PROCUREMENT OF ONE (1) UNIT PASSENGER VAN WITH DUAL AIRCON FOR THE OFFICIAL USE OF MDRRM OFFICE, ATOK, BENGUET with the following description: 1	Unit 	PASSENGER VAN with DUAL AIRCON  	 	Model:</t>
  </si>
  <si>
    <t xml:space="preserve"> The Municipality of Pateros, through its Bids and Awards Committee (BAC) will undertake a Small Value Procurement for the “Procurement of Brand New Notebook Laptop intended for the utilization  of the Office of the Mayor, Municipality of Pateros” in accor</t>
  </si>
  <si>
    <t xml:space="preserve"> GEODETIC SERVICE</t>
  </si>
  <si>
    <t xml:space="preserve"> The Municipal Government of Atok, Benguet now invites bids for MDF CLUSTER 7-2020 PROJECTS AT PAOAY, ATOK, BENGUET with the following Clustered Projects: 1.	CONSTRUCTION OF CONCRETE PAVEMENT ALONG LOWER ENGLANDAD-MADECLAN ROAD WITH AN ABC OF P500,000.00; </t>
  </si>
  <si>
    <t xml:space="preserve"> Republic of the Philippines BARANGAY PURISIMA Municipality of Manapla, Negros Occidental Name of the project:Rehabilitation of water system (level II) Location of the Project:Barangay Purisima,Municipality of Manapla INVITATION TO APPLY FOR ELIGIBILITY AN</t>
  </si>
  <si>
    <t xml:space="preserve"> The Municipal Government of Atok, Benguet now invites bids for PROCUREMENT OF ONE (1) UNIT PASSENGER VAN FOR THE OFFICIAL USE OF MUNICIPAL OFFICIALS AND EMPLOYEES, ATOK, BENGUET with the following description: ONE (1) UNIT PASSENGER VAN (For general urban</t>
  </si>
  <si>
    <t xml:space="preserve"> Republic of the Philippines PROVINCE OF SIQUIJOR Capitol, Bldg., Pulangyuta, Siquijor, Siquijor INVITATION TO BID FOR Supply and Delivery of 83 units Desk Computer 1.	The Province of Siquijor, through the DEP-ED Supplemental #1 300-107-05-030 funds intend</t>
  </si>
  <si>
    <t xml:space="preserve"> INVITATION TO BID  The Barangay Dugong, Mlang, Cotabato through its Bids and Awards Committee (Bac) invites PHILGEPS registered suppliers to apply to bid for the Supply and Delivery of various Materials for COMPLETION OF BARANGAY HALL PHASE V. I. STEEL WO</t>
  </si>
  <si>
    <t xml:space="preserve"> NAME OF THE PROJECT: Construction of Barangay Material Recovery Facility (rolling) for Bgys.                                                              Market Site, Banban, Awaii, Dancalan, and Bandi)  LOCATION OF THE PROJECT: Bgys. Market Site, Banban,</t>
  </si>
  <si>
    <t xml:space="preserve"> INVITATION TO BID ITB  No. 0100-Goods-2020 The City Government of Surigao, through its Bids and Awards Committee (BAC), invites suppliers to bid for the following: Name of Contract	:  Purchase &amp; Delivery of one (1) unit  Service Vehicle 			    (brand new)</t>
  </si>
  <si>
    <t xml:space="preserve"> Construction of Brgy Multipurpose Hall, Phase-II See Program of Works, Plans and Estimate upon submission of LOI</t>
  </si>
  <si>
    <t xml:space="preserve"> INVITATION TO BID (2020-07-02) The Department of Justice (DOJ), through the Bids and Awards Committee (BAC) is inviting interested parties to bid the hereunder project:                 Name of Project	:	Purchase of Roll up Blinds and Folding Doors 		 Loca</t>
  </si>
  <si>
    <t xml:space="preserve"> Republic of the Philippines Province of Lanao del Norte Municipality of Tubod OFFICE OF THE BIDS AND AWARDS COMMITTEE INVITATION TO BID PURCHASE OF FILE COMPACTORS WRINKLED ENAMEL FINISH OF MUNICIPAL CIVIL REGISTRAR OFFICE, Tubod, Lanao del Norte  (ITB-20</t>
  </si>
  <si>
    <t xml:space="preserve"> Item Description	Quantity	Unit a.	Project Billboard	1.00	unit b.	Excavation	18.99	Cum c.	Rebars	8,938.10	Kg. d.	Formworks and Scaffolding	403.83	Sqm. e.	Concrete Works	64.78	Cum f.	Backfilling Materials	9.67	Cum g.	Supply and Fixing of Boulders	25.50	Cum </t>
  </si>
  <si>
    <t xml:space="preserve"> CONTRACT ID #: 20-07-107 = REPAIR / RENOVATION OF LABASON RURAL HEALTH UNIT</t>
  </si>
  <si>
    <t xml:space="preserve"> BIDS AND AWARDS COMMITTEE INVITATION TO BID The DEPARTMENT OF HEALTH – CENTRAL VISAYAS CENTER for HEALTH DEVELOPMENT (DOH – CV CHD), through its Bids and Awards Committee (BAC), invites contractors to bid for the hereunder projects: BAC NO. 2020-I02 	 NAM</t>
  </si>
  <si>
    <t xml:space="preserve"> INVITATION TO BID   (2020-07-03) The Department of Justice (DOJ), through the Bids and Awards Committee (BAC) is inviting interested parties to bid the hereunder project:                 Name of Project	:	Purchase of Various Office Furniture &amp; Fixtures 		</t>
  </si>
  <si>
    <t xml:space="preserve"> Invitation to Bid for the Concreting of Road (Completion) Brgy. Zaragosa, Surigao City ITB No. 0101-Infra-2020    1.	The City Government of Surigao, intends to apply the sum of   One  Million  Pesos (Php1,000,000.00)  being the Approved Budget for the Con</t>
  </si>
  <si>
    <t xml:space="preserve"> Republic of the Philippines PROVINCE OF MASBATE Masbate City BIDS AND AWARDS COMMITTEE (BAC) 2nd Floor PGSO Building, Capitol Road, Masbate City INVITATION to BID 	The Provincial Government of Masbate, through its Bids and Awards Committee (BAC) invites s</t>
  </si>
  <si>
    <t xml:space="preserve"> - The Municipality of Baliguian, request for quotation for the Procurement of 1 Unit Mini Bus (20 seaters). - The Estimated Budget Cost is One Million Thirty Four Thousand Five Hundred Eighty Eight Pesos and 65/100 (P1,034,588.65). - Interested suppliers/</t>
  </si>
  <si>
    <t xml:space="preserve"> PARTICULARS	DATE Pre-bid Conference @ BAC Conference Room, GSO, 1st floor, New Capitol Blg, Pigcarangan, Tubod,LDN on August 6,  2020 @ 10:00 AM Deadline for Submission of Eligibility requirements and bidding documents for  bid opening (all bids must be p</t>
  </si>
  <si>
    <t xml:space="preserve"> Republic of the Philippines PROVINCE OF CAMARINES SUR BIDS AND AWARDS COMMITTEE 								 	    	                      ITB No.043-08-2020 INVITATION TO BID 	The Provincial Government of Camarines Sur (PGCS) through its Bids and Awards Committee (BAC) invite</t>
  </si>
  <si>
    <t xml:space="preserve"> Republic of the Philippines Province of Siquijor Municipality of Maria Barangay Nabutay   Invitation to Bid forRehabilitation of Barangay Office– Nabutay, Maria,  Siquijor/NAB-0002I-2020 1.	The Barangay Local Government Unit of Nabutay, through the 20% De</t>
  </si>
  <si>
    <t xml:space="preserve"> DRUGS, MEDICINES, MEDICAL LABORATORY-DENTAL SUPPLY</t>
  </si>
  <si>
    <t xml:space="preserve"> Republic of the Philippines Region X PROVINCE OF LANAO DEL NORTE Gov. Arsenio A. Quibranza Provincial Government Center Pigcarangan, Tubod, Lanao del Norte OFFICE OF THE CHAIRPERSON OF THE BIDS AND AWARDS COMMITTEE Provincial Government of Lanao del Norte</t>
  </si>
  <si>
    <t xml:space="preserve"> SOLAR PANEL LIGHT WITH POST</t>
  </si>
  <si>
    <t xml:space="preserve"> Republic of the Philippines National Kidney and Transplant Institute Bids and Awards Committee East Avenue, Quezon City 1100 981-0300 / 981-0400 local 1157 http://www.nkti.gov.ph/	 INVITATION TO BID for the ITB No. 20-071 SUPPLY AND DELIVERY OF THIRTY (30</t>
  </si>
  <si>
    <t xml:space="preserve"> Section I. Invitation to Bid Republic of the Philippines PROVINCE OF ZAMBOANGA SIBUGAY Capitol Building, Ipil Heights, Ipil, Zamboanga Sibugay INVITATION TO BID FOR  Hospital and Medical Equipment 1.	The Province of Zamboanga Sibugay, through the GF-SB#1,</t>
  </si>
  <si>
    <t xml:space="preserve"> REPUBLIC OF THE PHILIPPINES PROVINCE OF CEBU MUNICIPALITY OF PINAMUNGAJAN Invitation to Bid for : IMPROVEMENT OF GOVERNMENT OWNED BUILDING 						 1. The MUNICIPALITY OF PINAMUNGAJAN, through the GENERAL FUND  intends to apply the sum of ONE MILLION PESOS </t>
  </si>
  <si>
    <t xml:space="preserve"> BIDS AND AWARDS COMMITTEE INVITATION TO BID The DEPARTMENT OF HEALTH – CENTRAL VISAYAS CENTER for HEALTH DEVELOPMENT (DOH – CV CHD), through its Bids and Awards Committee (BAC), invites contractors to bid for the hereunder projects: BAC NO. 2020-I03 	 NAM</t>
  </si>
  <si>
    <t xml:space="preserve"> Contract ID:	20GFH0024 Contract Name:	SUPPLY AND DELIVERY OF DPWH STANDARD PROJECT LOGBOOKS PER D.O. #50 S. 2020 FOR USE IN CONSTRUCTION AND QUALITY ASSURANCE SECTIONS, DPWH-CATANDUANES DISTRICT ENGINEERING OFFICE, SAN ISIDRO VILLAGE, VIRAC, CATANDUANES (</t>
  </si>
  <si>
    <t xml:space="preserve"> Description: Length:   50 L.M. Width:  1.0 - 1.2 m Thickness: .12 m</t>
  </si>
  <si>
    <t xml:space="preserve"> REPUBLIC OF THE PHILIPPINES PROVINCE OF CEBU MUNICIPALITY OF PINAMUNGAJAN Invitation to Bid for : ROAD CONCRETING (Brgy. Buhingtubig) 						 1. The MUNICIPALITY OF PINAMUNGAJAN, through the GENERAL FUND  intends to apply the sum of TWO MILLION SIX  HUNDRE</t>
  </si>
  <si>
    <t xml:space="preserve"> concreting of 0.15m x 4.00m wide x 112.0 m lin m barangay rooad. See Program of Works and Estimate.</t>
  </si>
  <si>
    <t xml:space="preserve"> Description: Length:  50 L.M. Width:  1.0 - 1.2 m Thickness:  .12 m</t>
  </si>
  <si>
    <t xml:space="preserve"> PARTICULARS	DATE Pre-bid Conference @ BAC Conference Room, GSO, 1st floor, New Capitol Blg, Pigcarangan, Tubod,LDN.	August 6,  2020 @ 10:00 AM Deadline for Submission of Eligibility requirements and bidding documents for bid opening (all bids must be plac</t>
  </si>
  <si>
    <t xml:space="preserve"> Contract ID:	20GFH0023 Contract Name:	SUPPLY AND INSTALLATION OF STAINLESS BUILT-UP LOGO AND LETTERS FOR USE IN THE DPWH BUILDING, VIRAC, CATANDUANES (PR#20-07-042 DATED 7/21/2020) Contract Location:	VIRAC, CATANDUANES Scope of Work:	SUPPLY AND INSTALLATI</t>
  </si>
  <si>
    <t xml:space="preserve"> Invitation to Bid for the Completion of 2-Storey of Multi Purpose Building    Brgy. Togbongon, Surigao City ITB No. 0102-Infra-2020    1.	The City Government of Surigao, intends to apply the sum of   Four Million Pesos (Php4,000,000.00)  being the Approve</t>
  </si>
  <si>
    <t xml:space="preserve"> Description: Length:  50 L.M. (1 side) Width:  1.0 - 1.2 m Thickness: .12 m</t>
  </si>
  <si>
    <t xml:space="preserve"> Description   Republic of the Philippines Province of Iloilo Municipality of Sara BIDS AND AWARDS COMMITTEE INVITATION TO BID The Municipality of Sara, Iloilo, through the Bids and Awards Committee (BAC) invites suppliers/manufacturers/ distributors / con</t>
  </si>
  <si>
    <t xml:space="preserve"> Master Code – Master F11 type 70-S-8189UA Ink Code-Ink Fill Type (black) S-8113 UA</t>
  </si>
  <si>
    <t xml:space="preserve"> Republic of the Philippines Province of Siquijor Municipality of Maria Barangay Nabutay   Invitation to Bid for Fabrication/Installation of Solar Streetlight– Nabutay, Maria,  Siquijor/NAB-0004I-2020 1.	The Barangay Local Government Unit of Nabutay, throu</t>
  </si>
  <si>
    <t xml:space="preserve"> Republic of the Philippines        DEPARTMENT OF PUBLIC WORKS AND HIGHWAYS LAGUNA I  DISTRICT ENGINEERING OFFICE REGIONAL OFFICE NO. IV-A 	Santa Cruz, Laguna	            Invitation to Bid The Department of Public Works and Highways- Laguna I District Engi</t>
  </si>
  <si>
    <t xml:space="preserve"> Republic of the Philippines Province of Isabela MUNICIPALITY OF SAN ISIDRO -o0o- Invitation to Bid CONSTRUCTION OF POTABLE WATER SYSTEM Solicitation No. Infra-2020-10 The Municipality of San Isidro, Isabela, through the Assistance to Municipalities for FY</t>
  </si>
  <si>
    <t xml:space="preserve"> Invitation to Bid for COMPLETION OF TECHNOLOGY HUB SND ONE STOP SHOP, MARIANO M. MONDOÑEDO AVE., UPLB, COLLEGE, LAGUNA 1.	The U.P. LOS BAÑOS, through the GOP through UPLB REPROGRAMMED FUND intends to apply the sum of ₱6,757,122.34 being the Approved Budge</t>
  </si>
  <si>
    <t xml:space="preserve"> Contract ID:	20GFH0022 Contract Name:	SUPPLY AND DELIVERY OF OFFICE STEEL CABINETS FOR USE IN THE DPWH, VIRAC, CATANDUANES (PR#20-07-043 DATED 7/21/2020) Contract Location:	DPWH, VIRAC, CATANDUANES  Scope of Work:	SUPPLY AND DELIVERY OF OFFICE STEEL CABIN</t>
  </si>
  <si>
    <t xml:space="preserve"> INVITATION TO REBID The Iligan City Government Bids and Awards Committee (BAC), through 2020-SUPPLEMENTAL BUDGET NO.1 intends to apply the sum of P 13,200,000.00 being the Approved Budget for the Contract (ABC) to payments under the Contract for Supply an</t>
  </si>
  <si>
    <t xml:space="preserve"> INVITATION TO BID  PROCUREMENT  OF TWO (2) UNITS  BRAND NEW MEDICAL AMBULANCE   GS 2020-007-025 1.	The City Government of Sorsogon    intends to apply the sum of   Four   Million   Four Hundred      Thousand      Pesos (P 4,400,000.00) being the Approved </t>
  </si>
  <si>
    <t xml:space="preserve"> 1.	The Department of Social Welfare and Development – Field Office Caraga, through the General Appropriations Act 2020 – Capital Outlay intends to apply the sum of Two Million Five Hundred Sixty Four Thousand Two Hundred Thirty One Pesos Only (PhP2,564,23</t>
  </si>
  <si>
    <t xml:space="preserve"> Various Medical Supplies Line items type of Bidding</t>
  </si>
  <si>
    <t xml:space="preserve"> 1.	The Department of Social Welfare and Development – Field Office Caraga, through the General Appropriations Act 2020 – Capital Outlay intends to apply the sum of Two Million Seven Hundred Thirty Six Thousand Nine Hundred Eighty One Pesos Only (PhP2,736,</t>
  </si>
  <si>
    <t xml:space="preserve"> Invitation to Bid for CONSTRUCTION OF AREA DRAIN WITH INTERCEPTOR CANAL, DEPARTMENT OF MILITARY SCIENCE AND TACTICS, UPLB, COLLEGE, LAGUNA 1.	The U.P. LOS BAÑOS, through the GOP through UPLB-Reprogrammed Funds intends to apply the sum of ₱1,555,122.75 bei</t>
  </si>
  <si>
    <t xml:space="preserve"> Section I. Invitation to Bid INVITATION TO BID  DA8-Goods-2020-36 Rebidding (PR No. CORN 20-05-20-0161) 1.	The Department of Agriculture-Regional Field Office No. 8, through the CORN 2020 intends to apply the sum of Two Million Four Hundred Seventy-Six Th</t>
  </si>
  <si>
    <t xml:space="preserve"> Republic of the Philippines Province of Antique Municipality of Caluya Barangay Semirara INVITATION TO BID FOR Procurement of Goods: Supply and delivery of one (1) unit service vehicle for Barangay Semirara, Caluya, Antique  1.	The Local Government Unit S</t>
  </si>
  <si>
    <t xml:space="preserve"> 1-Unit Motor Grader: “Specifications: Engine: In-line water-cooled, 4-stroke direct injection diesel engine developing a rated power of 129kW (170HP) @ 2200rpm. Working weight: 14,600kgs. Transmission: Fixed shaft power stage, six forward-three reverse. M</t>
  </si>
  <si>
    <t xml:space="preserve"> Name of Project 	:	FABRICATION/INSTALLATION OF PRE-FABICATED  ISOLATION FACILITIES BRGY. MALABANBAN NORTE  CANDELARIA, QUEZON Brief Description	:	 Source of Funding	:	SPA (BAYANIHAN FUND) Approved Budget	:	PhP 2,831,836.64 Contract Duration	:	40 Calendar </t>
  </si>
  <si>
    <t xml:space="preserve"> See attached documents, print Bid Notice Abstract and download ITB No. GOODS-20-127.</t>
  </si>
  <si>
    <t xml:space="preserve"> Section I. Invitation to Bid Republic of the Philippines PROVINCE OF CAGAYAN Municipality of Peñablanca PROVINCIAL BIDS AND AWARDS COMMITTEE INVITATION TO BID FOR  Supply and Delivery of Various Medicines 1.	The Provincial Government of Cagayan, through t</t>
  </si>
  <si>
    <t xml:space="preserve"> Section I. Invitation to Bid Republic of the Philippines PROVINCE OF CAGAYAN Municipality of Peñablanca PROVINCIAL BIDS AND AWARDS COMMITTEE INVITATION TO BID FOR  Supply and Delivery of Steel Sheet Piles 1.	The Provincial Government of Cagayan, through t</t>
  </si>
  <si>
    <t xml:space="preserve"> Republic of the Philippines Province of Antique Municipality of Caluya Barangay Semirara INVITATION TO BID FOR PROCUREMENT OF GOODS: SUPPLY AND DELIVERY OF ONE (1) UNIT EMERGENCY RESPONSE VEHICLES FOR BARANGAY SEMIRARA, CALUYA, ANTIQUE   1.	The Local Gove</t>
  </si>
  <si>
    <t xml:space="preserve"> See attached documents, print Bid Notice Abstract and download ITB No. GOODS-20-128.</t>
  </si>
  <si>
    <t xml:space="preserve"> Section I. Invitation to Bid Republic of the Philippines PROVINCE OF CAGAYAN Municipality of Peñablanca PROVINCIAL BIDS AND AWARDS COMMITTEE INVITATION TO BID FOR  Supply and Delivery of Safety/Disaster Equipment 1.	The Provincial Government of Cagayan, t</t>
  </si>
  <si>
    <t xml:space="preserve"> Section I. Invitation to Bid Republic of the Philippines PROVINCE OF CAGAYAN Municipality of Peñablanca PROVINCIAL BIDS AND AWARDS COMMITTEE INVITATION TO BID FOR  Supply and Delivery of Various Brand-New Medical Equipment  1.	The Provincial Government of</t>
  </si>
  <si>
    <t xml:space="preserve"> Section I. Invitation to Bid INVITATION TO BID  DA8-Goods-2020-46 (PR No. NLP 20-06-26-0298) 1.	The Department of Agriculture-Regional Field Office No. 8, through the NLP 2020 intends to apply the sum of Two Million Four Hundred Twenty-One Thousand Four H</t>
  </si>
  <si>
    <t xml:space="preserve"> Section I. Invitation to Bid Republic of the Philippines PROVINCE OF CAGAYAN Municipality of Peñablanca PROVINCIAL BIDS AND AWARDS COMMITTEE INVITATION TO BID FOR  Supply and Delivery of Brand-New Light Vehicles 1.	The Provincial Government of Cagayan, th</t>
  </si>
  <si>
    <t xml:space="preserve"> Section I. Invitation to Bid Republic of the Philippines PROVINCE OF CAGAYAN Municipality of Peñablanca PROVINCIAL BIDS AND AWARDS COMMITTEE INVITATION TO BID FOR  Supply and Delivery of Various Office and Janitorial Supplies 1.	The Provincial Government </t>
  </si>
  <si>
    <t xml:space="preserve"> Scope of Work: Upgrading 350 L.M. Brgy. Road from gravel to 5.0 m wide x 0.20 thick PCCP       		with open earth ditching and side cutting on both sides.  SUMMARY OF QUANTITIES Item No.        Descriptions                                                  </t>
  </si>
  <si>
    <t xml:space="preserve"> Scope of Work: Upgrading 350 L.M. Brgy. Road from gravel to 5.0 m wide x 0.20 thick PCCP       		with open earth ditching on both sides.  SUMMARY OF QUANTITIES Item No.        Descriptions                                                                   </t>
  </si>
  <si>
    <t xml:space="preserve"> INVITATION TO BID REPUBLIC OF THE PHILIPPINES CITY OF GOVERNMENT OF NAVOTAS BARANGAY BAGUMBAYAN SOUTH  BIDS AND AWARDS COMMITTEE 1.The Sangguniang BaraNGAY Bagumbayan South, through its Bids and Awards Committee intends to  apply the sun of Sixty-Three Th</t>
  </si>
  <si>
    <t xml:space="preserve"> Republic of the Philippines PROVINCE OF SAMAR Municipality of San Jose de Buan  Invitation to Bid for the Construction of Women Crisis Center 1.	The Municipality of San Jose de Buan, Samar, through the General Fund, c.y. 2020  intends to apply the sum of </t>
  </si>
  <si>
    <t xml:space="preserve"> Section I. Invitation to Bid Republic of the Philippines PROVINCE OF CAGAYAN Municipality of Peñablanca PROVINCIAL BIDS AND AWARDS COMMITTEE INVITATION TO BID FOR  Supply, Delivery and Installation of Information, Communications and Surveillance Equipment</t>
  </si>
  <si>
    <t xml:space="preserve"> Republic of the Philippines Province of Samar Municipality of San Jose de Buan INVITATION TO BID FOR THE PURCHASE OF VEGETABLE SEEDS, BIOLOGICS AND FERTILIZERS 1.	The Municipal Local Government Unit of San Jose de Buan, Samar, through the General Fund of </t>
  </si>
  <si>
    <t xml:space="preserve"> Section I. Invitation to Bid Republic of the Philippines PROVINCE OF CAGAYAN Municipality of Peñablanca PROVINCIAL BIDS AND AWARDS COMMITTEE INVITATION TO BID FOR  Supply and Delivery of Various Medical Supplies and Equipment  1.	The Provincial Government</t>
  </si>
  <si>
    <t xml:space="preserve"> INVITATION TO BID The City Government of Pasay, through its Bids and Awards Committee (BAC) invites suppliers/manufacturers/distributors/contractors to apply and submit sealed bids for the supply and delivery of the following: Proposed FOGGING, MISTING an</t>
  </si>
  <si>
    <t xml:space="preserve"> 14 males security personnel 3 females security personnel The Mindanao Central Sanitarium, through the General Appropriations Act of 2020 intends to apply the sum of Three Million Three Hundred Seventy-Eight Thousand Six Hundred Sixty-Eight &amp; 40/100 Pesos </t>
  </si>
  <si>
    <t xml:space="preserve"> Republic of the Philippines Region XII Province of Cotabato BIDS AND AWARDS COMMITTEE Amas, Kidapawan City INVITATION TO BID FOR Supply &amp; Delivery of IV Fluids for Cotabato Provincial Hospital, Amas, Kidapawan City. (PB-20-393) 1.	The Provincial Governmen</t>
  </si>
  <si>
    <t xml:space="preserve"> Republic of the Philippines Region XII Province of Cotabato Municipality of Aleosan  Invitation to Bid for  CONCRETING OF LOCAL ACCESS ROAD WITH DRAINAGE IMPROVEMENT AT BARANGAY SAN MATEO 							July 26, 2020 1.	The Local Government Unit of Aleosan, throu</t>
  </si>
  <si>
    <t xml:space="preserve"> Republic of the Philippines Region XII Province of Cotabato BIDS AND AWARDS COMMITTEE Amas, Kidapawan City INVITATION TO BID FOR Supply &amp; Delivery of Disinfectants for Quarantine Services Program of the Office of the Provincial Veterinarian, Amas, Kidapaw</t>
  </si>
  <si>
    <t xml:space="preserve"> Description   Municipality of Sta. Maria Province of Davao Occidental Republic of the Philippines INVITATION TO BID CONSTRUCTION OF 2 STOREY MULTI-PURPOSE BUILDING (PROGRESSIVE TYPE) MUNICIPAL SITE, POBLACION, STA. MARIA, DAVAO OCCIDENTAL 1. The Local Gov</t>
  </si>
  <si>
    <t xml:space="preserve"> Date of Bidding : August 14,2020  2:00pm at SB Hall,LGU San Antonio,Quezon</t>
  </si>
  <si>
    <t xml:space="preserve"> INVITATION TO BID The City Government of Pasay, through its Bids and Awards Committee (BAC) invites suppliers/manufacturers/distributors/contractors to apply and submit sealed bids for the supply and delivery of the following: Supply and delivery of 1,000</t>
  </si>
  <si>
    <t xml:space="preserve"> Section I. Request for Expression of Interest Consulting Service for the Support and Maintenance of the Business Name Registration System Next Generation (BNRSNextGEN) 1.	The Department of Trade and Industry, through the CY 2020 General Appropriations Act</t>
  </si>
  <si>
    <t xml:space="preserve"> 2-Units Six Wheeler Dump Truck: “Specifications: Gross vehicle weight: 14,000 kgs. Dump vessel capacity: 6.0cu.m. Engine: Diesel engine, 177KW/240PS @ 1600rpm. EURO 4 exhaust emission standard, 4-cylinder in-line, 4 cycles turbocharged and air-to-air inte</t>
  </si>
  <si>
    <t xml:space="preserve"> INVITATION TO BID REPUBLIC OF THE PHILIPPINES CITY OF GOVERNMENT OF NAVOTAS BARANGAY BAGUMBAYAN SOUTH  BIDS AND AWARDS COMMITTEE 1.The Sangguniang BaraNGAY Bagumbayan South, through its Bids and Awards Committee intends to  apply the sun of One Hundred Si</t>
  </si>
  <si>
    <t xml:space="preserve"> Scope of Work: Upgrading 280 L.M Brgy. Road from gravel and earth to 5.0 m wide x 0.20 thick PCCP       		With road  excavation, slope protection riprap anad open earth ditching on both sides.  SUMMARY OF QUANTITIES Item No.        Descriptions           </t>
  </si>
  <si>
    <t xml:space="preserve"> INVITATION TO BID REPUBLIC OF THE PHILIPPINES CITY OF GOVERNMENT OF NAVOTAS BARANGAY BAGUMBAYAN SOUTH  BIDS AND AWARDS COMMITTEE 1.The Sangguniang BaraNGAY Bagumbayan South, through its Bids and Awards Committee intends to  apply the sun of Four Hundred S</t>
  </si>
  <si>
    <t xml:space="preserve"> Standard Form Number: SF-INFR-05 Revised on: July 29, 2004        	 INVITATION TO APPLY FOR ELIGIBILITY AND TO BID The Municipality of Garchitorena through its Bids and Awards Committee (BAC), invites contractors registered with and classified by the Phil</t>
  </si>
  <si>
    <t xml:space="preserve"> Single motorcycle Specs. 125</t>
  </si>
  <si>
    <t xml:space="preserve"> 1.	The Tourism Promotions Board, through the 2020 Approved Corporate Operating Budget intends to apply the sum of Four Million Pesos Only (PhP4,000,000.00) being the Approved Budget for the Contract (ABC) to payments under the contract for        ITB No. </t>
  </si>
  <si>
    <t xml:space="preserve"> REQUEST FOR QUOTATION (RFQ) SHOPPING –WORKS Construction of SRT Green House with Storage (In support to Potato Tuberlets Production and Marketing) Estimated Project Cost: PhP 3,846,000.00 ID No.: PRDP-IR-CAR-BEN-021-LAT-021-2019 Loan No. 8421-PH July 27, </t>
  </si>
  <si>
    <t xml:space="preserve"> 1-Unit Brand New Single Drum Vibratory Compactor: “Specifications: Operating Weight: 11,000kgs. Engine: Turbocharged, Cylinder tier 3 diesel engine with 99Kw (133HP) at 2200rpm rated power. Propulsion: Hydrostatic type, with planetary gear box, drum type.</t>
  </si>
  <si>
    <t xml:space="preserve"> 2-Units Hydraulic Excavator: “Specifications: Operation Weight: 19,760 kgs., Horsepower rating: 156 HP (115KW) at 200rpm net power with a max torque of 670rpm. Engine: 4-cylinder in-line, turbocharged and intercooled diesel engine. Bore &amp; Stroke: 108 &amp; 13</t>
  </si>
  <si>
    <t xml:space="preserve"> Supplies for Modular learning</t>
  </si>
  <si>
    <t xml:space="preserve"> DRUGS, MEDICINES, MEDICAL LABORATORY-DENTAL SUPPLIES &amp; MEDICAL EQUIPMENT</t>
  </si>
  <si>
    <t xml:space="preserve"> 1-Unit Brand New Six Wheeler Boom Truck: “Specifications: Gross vehicle weight: 12,000kgs. Engine: Diesel Engine, 155KW/210PS @ 2200rpm. EURO 4 Exhaust Emission Standard, 4-cylinder in-line, 4 cycles. Turbocharged and air-to-air intercooled, water-cooled,</t>
  </si>
  <si>
    <t xml:space="preserve"> INVITATION TO BID  (Competitive Public Bidding) The BFAR 08, through its Bids and Awards Committee (BAC), invites eligible suppliers to bid for the hereunder contracts: NAME OF CONTRACT: 20-07-0660 LABOR AND MATERIALS FOR THE REPAIR OF 145 MTRS. PERIMETER</t>
  </si>
  <si>
    <t xml:space="preserve"> Section I. Invitation to Bid Republic of the Philippines PROVINCE OF CAGAYAN Municipality of Peñablanca PROVINCIAL BIDS AND AWARDS COMMITTEE INVITATION TO BID FOR  Procurement of Domestic Appliances for the Provincial COVID19 Quarantine facilities 1.	The </t>
  </si>
  <si>
    <t xml:space="preserve"> Opening of 190 meter access road to SWM-Eco Park with 85 Linear meter grouted rip rap and 152 cubic meter aggregated surface course</t>
  </si>
  <si>
    <t xml:space="preserve"> 320.87 Square Meter Concrete Reblocking along Balite Drive and 290 Square Meter Concrete Reblocking along Sarmiento Street with 10 Linear Meter R.C. Canal</t>
  </si>
  <si>
    <t xml:space="preserve"> TOILET BOWL</t>
  </si>
  <si>
    <t xml:space="preserve"> 1.	The Authority of the Freeport Area of Bataan (AFAB) through its Bids and Awards Committee (BAC) invites suppliers to apply for eligibility and to participate in the bidding for the above-mentioned project in accordance with the Revised Implementing Rul</t>
  </si>
  <si>
    <t xml:space="preserve"> INVITATION TO BID  (Competitive Public Bidding) The BFAR 08, through its Bids and Awards Committee (BAC), invites eligible suppliers to bid for the hereunder contracts: NAME OF CONTRACT: 20-07-0662 LABOR AND MATERIALS FOR THE IMPROVEMENT OF BLUE SWIMMING </t>
  </si>
  <si>
    <t xml:space="preserve"> Supply and Delivery of Diesel Fuel and Lubricants</t>
  </si>
  <si>
    <t xml:space="preserve"> INVITATION TO BID  (Competitive Public Bidding) The BFAR 08, through its Bids and Awards Committee (BAC), invites eligible suppliers to bid for the hereunder contracts: NAME OF CONTRACT: 20-07-0664 LABOR AND MATERIALS FOR THE REHABILITATION OF TWO (2) STO</t>
  </si>
  <si>
    <t xml:space="preserve"> 1.	After passing the shortlisting procedure, your company, VMIDER Engineering and Construction Services may now purchase the bidding documents upon payment of a non-refundable fee in the amount specified below.  In case of purchase through representatives</t>
  </si>
  <si>
    <t xml:space="preserve"> INVITATION TO BID   (Public Bidding) The BFAR 08, through its Bids and Awards Committee (BAC), invites eligible suppliers to bid for the hereunder contract:	 NAME OF CONTRACT: 20-07-0649 Procurement of Two (2) units Six-Wheeler Brand New Refrigerated Van </t>
  </si>
  <si>
    <t xml:space="preserve"> Delivered on site</t>
  </si>
  <si>
    <t xml:space="preserve"> Items are for Dengue Prevention and Control</t>
  </si>
  <si>
    <t xml:space="preserve"> Items to bid are for Rural Health Unit patient's use</t>
  </si>
  <si>
    <t xml:space="preserve"> MG-A7C20-007, Rubber Gasket, Rectangular, 8mm x 15mm x 8m for Agus 6 ME ABC : P 1,200,000.00 PLACE OF DELIVERY : Agus 6 &amp; 7 HEP Warehouse Maria Cristina, Iligan City Amount of Bid Documents : P 3,000.00</t>
  </si>
  <si>
    <t xml:space="preserve"> ITEM OF WORKS: 1 GENERAL REQUIREMENTS 2 FABRICATION AND ERECTION OF STRUCTURAL STEEL 3 SHORING AND SCAFFOLDINGS 4 REMOVAL OF CONCRETE ELEMENTS FOR ERECTION OF STRUCTURAL STEEL 5 REPAIR OF CRACKED/DAMAGED CONCRETE AND REFILLING OF REMOVED CONCRETE PORTIONS</t>
  </si>
  <si>
    <t xml:space="preserve"> Section I. Invitation to Bid Supply and Delivery of Laptop Computers for the Department of Trade &amp; Industry (DTI) 1. The Department of Trade and Industry, through the General Appropriations Act for CY 2020, intends to apply the sum of Twenty-Six Million O</t>
  </si>
  <si>
    <t xml:space="preserve"> Republic of the Philippines DEPARTMENT OF PUBLIC WORKS AND HIGHWAYS  OFFICE OF THE DISTRICT ENGINEER Cavite 1 st  District Engineering Office   Brgy. De Ocampo, Trece Martires City    INVITATION TO BID    The Department of Public Works and Highways (DPWH)</t>
  </si>
  <si>
    <t xml:space="preserve"> Motor Vehicle: (AMBULANCE) Specification: ENGINE TYPE	:	4 Cylinders, In-line Type 16V DOHC w/ VNT and Intercooler MAXIMUM OUTPUT	:	163 ps / 3,600 rpm MAXIMUM TORQUE	:	 420 Nm/ 1,400 – 2,200 rpm DISPLACEMENT	:	2,755 cc	 LxWxH	: 	5,915 x 1,950 x 2,280 BORE </t>
  </si>
  <si>
    <t xml:space="preserve"> Section I. Invitation to Bid Republic of the Philippines Province of Misamis Oriental Municipality of Salay  Invitation to Bid for Construction of Flood Control Dike (Phase 2) 1.	The Local Government Unit of Salay, through the 5% Calamity Fund  intends to</t>
  </si>
  <si>
    <t xml:space="preserve"> ITEM OF WORKS: 1 General Requirements 2 Structural Concrete 3 Structural Steel 4 Masonry Works 5 Moisture &amp; Thermal Protections 6 Carpentry Works 7 Doors, Windows &amp; Partitions 8 Iron &amp; Stainless Steel Works 9 Electrical Works 10 Plumbing &amp; Sanitary Works </t>
  </si>
  <si>
    <t xml:space="preserve"> 20 units Micro Desktop Computer 33 units Laptop Computer 5 units High-End Laptop Computer 2 units Portable Scanner 5 units Network switch 6 units Uninterruptible Power Supply 5 units NAS Rack Mounted 5 units Network Rack</t>
  </si>
  <si>
    <t xml:space="preserve"> Item: 1. Earthworks B. Concrete Works      1. Footing V=1.08 cu.m      2. Abbuttment Wall, V-1.62 cu.m      3. Reinforcement Concrete Beam V=1.28      4. Slab, V= 1.56 cu.m      5. Wingwalls, V= 2.40; t= 0.20,</t>
  </si>
  <si>
    <t xml:space="preserve"> Republic of the Philippines DEPARTMENT OF PUBLIC WORKS AND HIGHWAYS NEGROS OCCIDENTAL 1ST DISTRICT ENGINEERING OFFICE Region VI Matab-ang, Talisay City, Negros Occidental INVITATION TO BID  The Department of Public Works and Highways Negros Occidental 1st</t>
  </si>
  <si>
    <t xml:space="preserve"> Republic of the Philippines Region IV – A CALABARZON Province of Batangas District of Lemery Gov. Feliciano Leviste Memorial National High School Igualdad St., Lemery, Batangas INVITATION TO BID FOR Reproduction and Delivery of Learning Modules for Junior</t>
  </si>
  <si>
    <t xml:space="preserve"> Republic of the Philippines Province of Cebu Municipality of Cordova BIDS AND AWARDS COMMITTEE (BAC) (032-236-6171) INVITATION TO BID  The Municipality of Cordova, through its Bids and Awards Committee (BAC) intends to apply  the sum of Eleven Million Pes</t>
  </si>
  <si>
    <t xml:space="preserve"> PLEASE SEE ATTACHED INVITATION TO BID FOR THE PROJECT DESCRIPTION.</t>
  </si>
  <si>
    <t xml:space="preserve"> Ambulance: Specifications: • ENGINE TYPE - 4 Cylinders, In-line Type 16V DOHC w/ VNT and Intercooler • MAXIMUM OUTPUT - 176ps / 3,400 rpm • MAXIMUM TORQUE - 420 Nm/ 1,400 – 2,600 rpm • DISPLACEMENT - 2,755 cc LxWxH: 5,265 x 1,950 x 1,990 • BORE x STROKE -</t>
  </si>
  <si>
    <t xml:space="preserve"> I N V I T A T I O N  T O  B I D The Manila International Airport Authority, through its Bids and Awards Committee (BAC), invites interested parties to apply for eligibility and to bid for the hereunder service contract: 	 Name of Contract       :  	Purcha</t>
  </si>
  <si>
    <t xml:space="preserve"> BONGO 4 X 4 BRAND NEW</t>
  </si>
  <si>
    <t xml:space="preserve"> Republic of the Philippines CITY OF LAPU-LAPU BIDS AND AWARDS COMMITTEE Invitation to Bid FOR THE PROCUREMENT of SUPPLEMENTARY LEARNING MATERIALS- READING ENGLISH FOR ELEMENTARY The City of Lapu-Lapu through the MOOE 3321-5-02-03-110 intends to apply the </t>
  </si>
  <si>
    <t xml:space="preserve"> 1 LOT 29 set Computer Set- High End- P 50,457.00/set 14 set Computer Set- Midrange with printer -48,037.00/set 5 set Computer Set-Low end with Dot Matrix-49-577.00/set 2 set Computer Set-Low end with 3 N 1 Printer/Scanner-48,141.50/set</t>
  </si>
  <si>
    <t xml:space="preserve"> Remove and Replace of Existing Tiles, Wooden Wall Repainting, Installation of Shelf, Installation of Electrical Connections and Fixture and Comfort Rooms: SPCL-1 1 set Standard Project Billboard I. 118.52 sq.m Demolition and Preparatory Works II. 86.40 cu</t>
  </si>
  <si>
    <t xml:space="preserve"> INVITATION TO BID July 22, 2020 The Eastern Visayas Regional Medical Center, through its Bids and Awards Committee B (BAC B) invites suppliers/manufacturers/distributors/contractors to bid for the hereunder project:  Procurement Activity	Approved Budget f</t>
  </si>
  <si>
    <t xml:space="preserve"> PROCUREMENT FOR MEDICINES AND SUPPLIES FOR IDENTIFIED CENTRAL ELEMENTARY SCHOOL CLINICS QTY	UNIT	ITEM DESCRIPTION 125,000	caps	Amoxicillin, 500mg, 100's 125,000	caps	Amoxicillin, 250mg 50,000	caps	Cefalexin 500 mg 50,000	caps	Tranexamic Acid, 500mg 50,000</t>
  </si>
  <si>
    <t xml:space="preserve"> PROCUREMENT FOR DENTAL HEALTH CARE SUPPLIES QTY.	UNIT	PARTICULARS 702,152	Kit	Contents per Kit: 	1 pc. Kiddie Toothbrush, Extra Softy Bristle with Cap 	1 Tube Toothpaste, 37 grams, 1,450 ppm of Fluoride with ARGININE max cavity protection at least 5 yea</t>
  </si>
  <si>
    <t xml:space="preserve"> Republic of the Philippines Province of Romblon MUNICIPALITY OF ALCANTARA -oOo- INVITATION TO BID FOR PURCHASE OF AMBULANCE Poblacion, Alcantara, Romblon The Local Government Unit of Alcantara, Romblon, through the 20% DEVELOPMENT FUND CY 2020  intends to</t>
  </si>
  <si>
    <t xml:space="preserve"> DEMOLITION OF EXISTING STRUCTURES, STRUCTURAL EXCAVATION, FORMWORKS &amp; SCAFFOLDINGS, CONCRETE WORKS, MASONRY WORKS, ROOFING WORKS, DOORS AND WINDOWS (GROUND FLOOR)</t>
  </si>
  <si>
    <t xml:space="preserve"> UNIVERSITY OF THE PHILIPPINES BAGUIO Governor Pack Road, 2600 Baguio City INVITATION TO BID FOR SUPPLY, DELIVERY AND INSTALLATION OF VARIOUS SCIENTIFIC EQUIPMENT FOR THE PROJECT: TUKLAS ESKAPE AT UP BAGUIO Reference no.: UPB-BID-2020-05A 1. The University</t>
  </si>
  <si>
    <t xml:space="preserve"> Republic of the Philippines Province of Eastern Samar  Municipality of Llorente Invitation to Bid for Supply and Delivery of Assorted Construction Materials 1.	The Local Government of Llorente, through the Budget Approved by the Respective Sanggunian inte</t>
  </si>
  <si>
    <t xml:space="preserve"> Item: Road Concreting (0.15m x 3m x 115 m long.) A. Clearing and Grubbing B. Reinforced Concrete Slab, V= 2.25 cu.m C. Concrete. V= 51.75 cu,m D. Labor</t>
  </si>
  <si>
    <t xml:space="preserve"> ITEM NO. QTY UNIT DESCRIPTION 1. 19 SHEETS 1/4"X4'X8' BI STELL PLATE 2.  25 LENGTH 1/4"X2"X2" ANGEL BAR 3.  70 PCS 3/4 DIAX4" BOLT W/ NUT &amp; WASHER 4.  50 KLS WELDING ROD )GOOD QUALITY) 5.  65 PCS CUTTING OF WHEEL ( FOR GRINDER) 6.  10 PCS GRINDING WHEEL 7</t>
  </si>
  <si>
    <t xml:space="preserve"> INVITATION TO BID FOR  Procurement of Ambulance 1.	The Municipal Government of Cavinti, Laguna, through the DOE Electrification Fund intends to apply the sum of One Million Nine Hundred Ten Thousand  Pesos Only (Php 1,910,000.00) being the Approved Budget</t>
  </si>
  <si>
    <t xml:space="preserve"> Republic of the Philippines Province of Romblon MUNICIPALITY OF ALCANTARA -oOo- INVITATION TO BID FOR PURCHASE OF MULTI-PURPOSE VEHICLE Poblacion, Alcantara, Romblon The Local Government Unit of Alcantara, Romblon, through the PFPR TRUST FUND CY 2020  int</t>
  </si>
  <si>
    <t xml:space="preserve"> Republic of the Philippines Province of Southern Leyte Municipality of Tomas Oppus Invitation to Bid  PROCUREMENT OF MATERIALS FOR THE SITE DEVELOPMENT OF RELOCATION SITE 1.	The Local Government of Tomas Oppus, through the General Fund 2020  intends to ap</t>
  </si>
  <si>
    <t xml:space="preserve"> LOT 1 - CONSTRUCTION OF NABUNDASAN POTABLE WATER SYSTEM LEVEL II              PROJECT DURATION - 60 CALENDAR DAYS             PROJECT COST - 1,705,921.88             SCOPE OF WORK:             CLEARING, EXCAVATION AND BACKFILLING, SIGNAGE (FRAMING AND INS</t>
  </si>
  <si>
    <t xml:space="preserve"> Republic of the Philippines Province of Southern Leyte Municipality of Tomas Oppus Invitation to Bid  PROCUREMENT OF MATERIALS FOR THE FABRICATION OF MATERIAL RECOVERY FACILITY 1.	The Local Government of Tomas Oppus, through the Trust Fund  intends to app</t>
  </si>
  <si>
    <t xml:space="preserve"> NOTICE OF ELIGIBILITY AND SHORTLISTING MS. TERESITA V. PASCUAL Managing Director ERGONS PROJECT MARKETING CONSULTANT 16 F, Suite 1618 City and Land Mega Plaza Building ADB Avenue, cor. Garnet Road Ortigas Center, Pasig City MR. HOSPICIO B. BAYONA, JR. Exe</t>
  </si>
  <si>
    <t xml:space="preserve"> PROCUREMENT FOR REPLENISHMENT OF ORAL HEALTH SUPPLIES FOR THE REGIONAL AND IDENTIFIED 250 CENTRAL ELEMENTARY SCHOOLS (DENTAL SUPPLIES) QTY.	UNIT	ITEM DESCRIPTION 3,500	Box	Boxes Dental Anesthesia (50 carpules, Lidocaine HLC2%) 2,000	Tube	Tubes Topical Ane</t>
  </si>
  <si>
    <t xml:space="preserve"> Republic of the Philippines DEPARTMENT OF PUBLIC WORKS AND HIGHWAYS Region VII            South Road Properties (SRP), Cebu City                                        Contract ID	: 20H00081 Contract Name : Proposed Improvement of Storage Room for Nationa</t>
  </si>
  <si>
    <t xml:space="preserve"> 1.	The Municipality of Consolacion, through the General Fund intends to apply the sum of One Million Twenty-Two Thousand Nine Hundred Seventy-Five Pesos (P 1,022,975.00) being the Approved Budget for the Contract (ABC) to payments under the contract for P</t>
  </si>
  <si>
    <t xml:space="preserve"> Republic of the Philippines Province of Southern Leyte Municipality of Tomas Oppus Invitation to Bid  PROCUREMENT OF MATERIALS FOR THE REPAIR AND MAINTENANCE OF MUNICIPAL BUILDING 1.	The Local Government of Tomas Oppus, through the General Fund 2020  inte</t>
  </si>
  <si>
    <t xml:space="preserve"> Republic of the Philippines PROVINCE OF AKLAN Kalibo -oOo- BIDS AND AWARDS COMMITTEE (BAC) INVITATION TO BID 1.	The Provincial   Government   of   Aklan, through   20% IRA Development Fund CY 2020  intends   to   apply   the   sum   of  Four Million Eight</t>
  </si>
  <si>
    <t xml:space="preserve"> Conctract ID No.:	:	20K00270 Conctract Name:	:	Construction of Multi-Purpose Building (Public Market) Butig, Lanao del Sur Conctract Location:	:	Lanao del Sur Scope of Work:	:	Construction of Multi-Purpose Building Appropriation:	:	PHP 2,000,000.00  ABC:	</t>
  </si>
  <si>
    <t xml:space="preserve"> PCCP - 0.276 LANE KM</t>
  </si>
  <si>
    <t xml:space="preserve"> REQUEST FOR EXPRESSION OF INTEREST (REOI) FOR CONSULTING SERVICES  19CSK00055 – Consulting Services for the Conduct of Soil Testing/Exploration for Bridge Projects - Geotechnical Investigation - Construction of Concrete Bridge, Impasug-ong Bdry. Bukidnon </t>
  </si>
  <si>
    <t xml:space="preserve"> Other General Requirements, Civil, Mechanical, Electrical &amp; Sanitary/Plumbing Works, Earthworks, Plain and Reinforced Concrete Work, Finishing and Other Civil Works, Electrical, Drainage and Slope Protection Structures</t>
  </si>
  <si>
    <t xml:space="preserve"> Department of Public Works and Highways (DPWH) Contract ID: 20G00107 Contract Name: Construction of Permanent Evacuation Center/Multi-Purpose Covered Court (Standard) Location of the Contract: Brgy. III, Himamaylan City, Negros Occidental ----------------</t>
  </si>
  <si>
    <t xml:space="preserve"> Republic of the Philippines Province of Occidental Mindoro Mamburao, Occidental Mindoro BIDS AND AWARDS COMMITTEE INVITATION TO BID The Provincial Government of Occidental Mindoro through its Bids and Awards Committee (BAC) invites all interested contract</t>
  </si>
  <si>
    <t xml:space="preserve"> DUAL CAMERA REAR 13MP± 2MP FRONT 5MP OPTIMAL PERFORMANCE  OCTA CORE 2.0GHZ(SNADRAGON 439) LONG-LASTING BATTERY 3,000mAh</t>
  </si>
  <si>
    <t xml:space="preserve"> Republic of the Philippines Province of Leyte Municipality of Hilongos INVITATION TO BID FOR THE PURCHASE OF 1 UNIT AIRCONDITIONER 1.  The Local Government Unit of Hilongos, through GENERAL FUND-SUPPLEMENTAL BUDGET NO. 2020-05 intends to apply the sum THI</t>
  </si>
  <si>
    <t xml:space="preserve"> 1. 1 LOT - CONSTRUCTION SUPPLIES - 73,123.05 The Complete Schedule of Activities are Listed as Fallows: 1. Submission of Letter of Intent &amp; Eligibility Documents - August 4-7, 2020 @ 8:00am - 5:00pm 2. Issuance of Bid Documents - August 10-14, 2020 @ 8:00</t>
  </si>
  <si>
    <t xml:space="preserve"> PCCP = 0.280 LANE KILOMETER</t>
  </si>
  <si>
    <t xml:space="preserve"> Department of Public Works and Highways (DPWH) Contract ID: 20GP0072 Contract Name: Concreting of Sitio Agkaningay, Brgy. Damayan FMR, Brgy. Damayan, Sapi-an, Capiz    Location of the Contract:  Sitio Agkaningay, Brgy. Damayan, Sapi-an, Capiz  -----------</t>
  </si>
  <si>
    <t xml:space="preserve"> ELECTRICAL WORKS (5-UNIT COTTAGES) SPOT LIGHTS STREET LIGHTS MAIN CIRCUIT BREAKER &amp; MAIN FEEDER POWER HOUSE WITH PEDESTAL</t>
  </si>
  <si>
    <t xml:space="preserve"> Bawo, Sogod, Cebu						Contract Ref. No.-01-2020 Fabrication of Bleacher 6M 3 layer, Bawo, Sogod, Cebu 		 Standard Form Number: SF-INFR-05 Revised on: July 29, 2004 INVITATION TO BID The Bawo, Sogod, Cebu  through its Bids and Awards Committee (BAC), invi</t>
  </si>
  <si>
    <t xml:space="preserve"> Contract Name:  Repair and Maintenance of Road Safety Facilities (20CN0161) Contract Location: District Wide Brief Description of Goods to be Procured: Portland Cement, Sand, Gravel, Form Lumber (Good – 4 uses), 75mm Dia. G.I. Pipe Schedule 40, Bolts (5mm</t>
  </si>
  <si>
    <t xml:space="preserve"> Mobilization/Demobilization Clearing and Grubbing Manual Excavation Gravel Bedding  Concrete Works Occupational Safety &amp; Health Program</t>
  </si>
  <si>
    <t xml:space="preserve"> Commercial Rice</t>
  </si>
  <si>
    <t xml:space="preserve"> INVITATION TO BID FOR “SUPPLY AND DELIVERY OF ONE (1) UNIT BONGGO 2 (TRUCK) FOR GARBAGE TRUCK COLLECTOR, BAYUGAN II, SAN FRANCISCO, AGUSAN DEL SUR” 1.	The Barangay Bayugan II San Francisco, Agusan del Sur, through the BIDS and AWARDS COMMITTEE (BAC) with </t>
  </si>
  <si>
    <t xml:space="preserve"> Tourism Assistance Center Flooring Repair, Water Proofing, Replacement &amp; Painting of Ceiling and Electrical Works, Replacement of Burokibok Picnic Shed Roofing and Plaza Pavement Works</t>
  </si>
  <si>
    <t xml:space="preserve"> -    For printing back to back cost  Php 1.00 only -    can accomodate 1,500 plus modules -    can deliver the printed modules on or before August 15, 2020, 9:00 in the morning -    if there are misprinted or distorted printing can replace it right away.</t>
  </si>
  <si>
    <t xml:space="preserve"> Lot 1 - Pump and VFD Control 1 lot Vertical In-Line Centrifugal Pump and Variable Frequency Drive (VFD) Lot 2 – CI Fittings 5 pcs C.I. Sleeve Coupling 4" PVC/PVC 3 pcs C.I. Sleeve Coupling 6" PVC/PVC 1 pc C.I. Sleeve Coupling 3" PVC/PVC 1 pc C.I. Sleeve C</t>
  </si>
  <si>
    <t xml:space="preserve"> CONSTRUCTION OF EKB PARK ( STRUCTURE EXCAVATION, REINFORCED CONCRETE, MASONRY WORKS, REINFORCED STEEL BARAS, FORMWORKS &amp; SCAFFOLDINGS, CARPENTRY WORKS, DOORS &amp; WINDOWS, ROOFING WORKS, PAINTING WORKS, TILE WORKS, PLUMBING WORKS, ELECTRICAL WORKS) OPEN DUG </t>
  </si>
  <si>
    <t xml:space="preserve"> Security Services (October 2020-January 2021) for 35 guards</t>
  </si>
  <si>
    <t xml:space="preserve"> Invitation to Bid Date: July 24, 2020 1.	The Provincial Government of Davao del Sur, through its Bids and Awards Committee (BAC), invites all potential bidders / suppliers to apply to bid for the following goods. Bids received in excess of the ABC shall b</t>
  </si>
  <si>
    <t xml:space="preserve"> Republic of the Philippines SURIGAO METROPOLITAN WATER DISTRICT BIDS AND AWARDS COMMITTEE Km. 2, National Highway, 8400 Surigao City INVITATION TO BID FOR TITLE                   : SUPPLY OF MATERIALS, LABOR AND EQUIPMENT FOR THE PROPOSED                 </t>
  </si>
  <si>
    <t xml:space="preserve"> Bid Opening - August 18, 2020, 2:00 P.M. at Municipal Conference Hall</t>
  </si>
  <si>
    <t xml:space="preserve"> ITEM	QTY	UNIT OF	DESCRIPTION		 NO		ISSUE			 					 					 1.	7	pcs	4 Mega Pixels 25x optical zoom,16x digital zoom,120db 		 			True Wide Dymanic Range,1K10, PoE &amp; Vandal Proof Ultra-Low		 			Light Pan Tilt Zoom Camera,150 meters infrared		 2.	7	pcs	8 Mega P</t>
  </si>
  <si>
    <t xml:space="preserve"> 1 lot Construction of Municipal water system - II, Utilizing Design &amp; Build scheme</t>
  </si>
  <si>
    <t xml:space="preserve"> Work To be Done I. Tinsmith Works: General repair of whole body to include front cowl, flooring  &amp; fiberglass fender. Straightening &amp; repair of damaged front bumper. Repair patching of rotten portion &amp; re-align damaged step board panel wheel arc plate &amp; d</t>
  </si>
  <si>
    <t xml:space="preserve"> 1 . BOND PAPER	A4 SUBTANCE 20	225  REAMS 2.	EPSON INK	REFILL(BLACK,MAGENTA,YELLOW &amp; CYAN)	32 BOTTLES 3.	PRINTER	EPSON L3110	2 UNITS Total Cost === P69,600.00</t>
  </si>
  <si>
    <t xml:space="preserve"> 100	bxs	Hypo allergenic plaster 3m 1 inch 12's/bx 35	pcs	BP Apparatus 15	bxs	Staright Catherter Fr. 14 50's/bx 10	gals	Povidine iodine 7.5% 20	gals	Povidine iodine 10% 25	gals	Cidex 10	bxs	Endotracheal tube 2.0 10's / bx w/cuffed 10	bxs	Endotracheal tube </t>
  </si>
  <si>
    <t xml:space="preserve"> Delivery of construction materials and supplies</t>
  </si>
  <si>
    <t xml:space="preserve"> LOT - I Hardware 12	units	800mm base diameter stainless roof mounted spherical 		Ventilator w/ complete accessories 4	bxs	1/8" blind rivets (500pcs/box) 25	lghts	1/4" x 1-1/4" x 1-1/4" x 20' angle bar 64	shts	0.6mm x 3' x 8' G.I Prepainted sheets 2	boxes	</t>
  </si>
  <si>
    <t xml:space="preserve"> one unit dumptruck foton</t>
  </si>
  <si>
    <t xml:space="preserve"> Construction of Safety and Health, Project Sign Board (LGU &amp; COA), Roadway Excavation (Surplus Common), Embankment from Roadway Excavation, Subgrade Preparation (Common Material), Aggregate Subbase Course, PCC Pavement (Plain)-Conventional Method, 150mm t</t>
  </si>
  <si>
    <t xml:space="preserve"> 1.	The Philippine Rice Research Institute, through the 2020 Rice Competitiveness Enhancement Fund intends to apply the sum of TEN MILLION PESOS AND 00/100 ONLY (Php 10,000,000.00) being the Approved Budget for the Contract (ABC) to payments under the cont</t>
  </si>
  <si>
    <t xml:space="preserve"> 1.	The Philippine Rice Research Institute, through the 2020 Rice Competitiveness Enhancement Fund intends to apply the sum of EIGHT MILLION SIX HUNDRED FIFTY THOUSAND AND 00/100 ONLY (Php 8,650,000.00) being the Approved Budget for the Contract (ABC) to p</t>
  </si>
  <si>
    <t xml:space="preserve"> Section I. Invitation to Re-Bid Republic of the Philippines Province of Romblon  Invitation to Bid for the  Slope Protection at Sitio Bagulayag, Tubigon, Ferrol, Romblon July 23, 2020  1.	The Province of Romblon through the ADP CY 2020 AIP Ref. Code 8000-</t>
  </si>
  <si>
    <t xml:space="preserve"> PURCHASE OF TOILET BOWLS</t>
  </si>
  <si>
    <t xml:space="preserve"> see attached Bid Docs</t>
  </si>
  <si>
    <t xml:space="preserve"> Quantity	Unit of Issue	Item Description		 50	bx	Aluminum Hydroxide tab 100`s		 288	bot	Aluminum Hydroxide magnesium Hydroxide syrup		 10	bx	Allopurinol 100 mg  100`s		 60	bx	Amlodipine 10 mg 100`s		 288	bot	Amoxicillin 125mg/5ml 60 ml		 100	bx	Amoxicillin</t>
  </si>
  <si>
    <t xml:space="preserve"> QTY        UNIT         DESCRIPTION 120      LM         INSTALLATION OF DRAINAGE PIPELINES 3       SETS          CONSTRUCTION OF CATCH BASIN/MANHOLE  9       CuM        CONSTRUCTION OF HEADWALL/WINGWALL &amp; APRON SLAB (STONE MaSONRY) x x x  x x x  Nothing  </t>
  </si>
  <si>
    <t xml:space="preserve"> QUANTITY	UNIT 	DESCRIPTION      	UNIT COST 130     	pcs.         	Safeguard Soap 	5,460.00 110     	tie        	Toothpaste        	8,580.00 130    	pcs.     	Tissue               	1,170.00 110   	tie      	Detergent Powder	3,410.00 110      	dozen	Shampoo</t>
  </si>
  <si>
    <t xml:space="preserve"> Transport ation/Pumpboat Rentals for emergency and LSI’s = 	1,000,00 Emergency Lights, Flashlights w/ Battery = 	31,340.00 LGU-Pilar Counterpart for Pick-up of Ambulance =	100,000.00 2	units	Sanitents = 	14,060.00</t>
  </si>
  <si>
    <t xml:space="preserve"> 1.	The Philippine Rice Research Institute, through the 2020 Rice Competitiveness Enhancement Fund intends to apply the sum of TWO MILLION  AND 00/100 ONLY (Php 2,000,000.00) being the Approved Budget for the Contract (ABC) to payments under the contract f</t>
  </si>
  <si>
    <t xml:space="preserve"> ISOLATION (Representation Expenses for 6 Month)</t>
  </si>
  <si>
    <t xml:space="preserve"> I.T. EQUIPMENT/CONSUMABLES</t>
  </si>
  <si>
    <t xml:space="preserve"> Republic of the Philippines Province of Leyte Municipality of Hilongos INVITATION TO BID FOR THE PROCUREMENT OF MATERIALS FOR THE COMPLETE REPAIR OF 40FT REINFORCED FIBER GLASS PATROL BOAT WITH ACCESSORIES 1.  The Local Government Unit of Hilongos, throug</t>
  </si>
  <si>
    <t xml:space="preserve"> Ampongol, Sogod, Cebu						Contract Ref. No.-01A-2020 Construction of Ampongol Barangay Hall Extension, , Ampongol, Sogod, Cebu 		 Standard Form Number: SF-INFR-05 Revised on: July 29, 2004 INVITATION TO BID The Ampongol, Sogod, Cebu  through its Bids and</t>
  </si>
  <si>
    <t xml:space="preserve"> qty        unit        description 637.5    CuM       Structural excavation (Surplus) 1,275.00   SqM    Sub-grade preparation 191.25 CuM       Aggregate BASE COARSE 1,020.00 sQm   PORTLAND CEMENT CONCRETE PAVEMENT x x x x x x xx   nothing    follows   x x</t>
  </si>
  <si>
    <t xml:space="preserve"> CONSTRUCTION OF ISOLATION FACILITY (PHASE 2)</t>
  </si>
  <si>
    <t xml:space="preserve"> Procurement of Vehicles Php1,520,000.00</t>
  </si>
  <si>
    <t xml:space="preserve"> GASOLINE, OIL &amp; LUBRICANTS</t>
  </si>
  <si>
    <t xml:space="preserve"> Pre-bidding Conference will be on July 30,2020 10:00am at Barangay Hall Opening of bids August 7, 2020 friday 10:00am at Barangay Hall Pio del Pilar,Makati City</t>
  </si>
  <si>
    <t xml:space="preserve"> Republic of the Philippines Province of Palawan Municipality of Busuanga Invitation to Bid for CONSTRUCTION OF MULTI-PURPOSE BUILDING Salvacion Elementary School,Bgy. Salvacion, Busuanga Palawan 1.	The Local Government of Busuanga, through the 20% MDF CY </t>
  </si>
  <si>
    <t xml:space="preserve"> Please download PDF @ associated components for more information</t>
  </si>
  <si>
    <t xml:space="preserve"> Digital duplicator with USB/PC Connectivity: minimum 75- 100ppm, 300x300 dpi, min. 800 ink supply, master supply:200 cuts, min. 1000 sheets paper feed tray, min. 800 sheets receiving tray 6 lots Digital Multifunction 3 in 1 Copiers (print,scan,copy): Prin</t>
  </si>
  <si>
    <t xml:space="preserve"> The Government of the Philippines (GOP) has received a loan from World Bank towards the cost of Philippine Rural Development Project, and it intends to apply part of the proceeds of this Loan to payments for the Procurement Training and Workshop on the Wo</t>
  </si>
  <si>
    <t xml:space="preserve"> Republic of the Philippines  PROVINCE OF SURIGAO DEL SUR  		MUNICIPALITY OF CARRASCAL	 Barangay Babuyan INVITATION FOR BIDS The Barangay Babuyan through its Bids and Awards Committee invites sealed bids from eligible supplier of Construction Materials and</t>
  </si>
  <si>
    <t xml:space="preserve"> INVITATION TO BID FOR THE SUPPLY &amp; DELIVERY OF PINEAPPLE SEEDLINGS The Municipality of Isulan, through the DA RFO 12 (PAMANA CY2016)  intends to apply the sum of ONE MILLION EIGHT HUNDRED THOUSAND PESOS (P 1,800,000.00) being the Approved Budget for the C</t>
  </si>
  <si>
    <t xml:space="preserve"> SUPPLY AND DELIVERY OF THE REHAB, RENOVATION OF STL, MPC</t>
  </si>
  <si>
    <t xml:space="preserve"> INVITATION TO APPLY FOR ELIGIBILITY AND TO BID The local Government Unit of Can-avid, through is Bid and Awards Committee (BAC). Invites suppliers to apply for eligibility, to bid for the hereunder contract: Name of Contract: 	PURCHASE AND DELIVERY OF CON</t>
  </si>
  <si>
    <t xml:space="preserve"> BARANGAY AMBULANCE Equipped with 2.2L 4 In-Line DOCH, 16V turbo charged (VGT DID 4D14)Euro 4 5 Speed Manual Tranmission Displacement: 2200cc Max Torque: 200/1,000-3,500 Seating Capacity: 17 Seater Fuel Sys: Electrical Fuel Injection (Common Rail) Suspensi</t>
  </si>
  <si>
    <t xml:space="preserve"> Mohon, Sogod, Cebu						Contract Ref. No.-01M-2020 Fabrication &amp; Installation of Basketball Court at Mohon Sports Complex , Mohon, Sogod, Cebu 		 Standard Form Number: SF-INFR-05 Revised on: July 29, 2004 INVITATION TO BID The Mohon, Sogod, Cebu  through </t>
  </si>
  <si>
    <t xml:space="preserve"> Invitation to Bid for the Procurement of One (1) Unit Ambulance for the Use of Rural Health Unit, LGU-Tagudin, Ilocos Sur 1.	The Local Government Unit of Tagudin, Ilocos Sur, thru its Bids and Awards Committee intends to apply the sum of Two Million One H</t>
  </si>
  <si>
    <t xml:space="preserve"> Republic of the Philippines DEPARTMENT OF PUBLIC WORKS AND HIGHWAYS OFFICE OF THE DISTRICT ENGINEER Sultan Kudarat 1st District Engineering Office Isulan, Sultan Kudarat                                         INVITATION TO BID (Goods) The Department of P</t>
  </si>
  <si>
    <t xml:space="preserve"> INVITATION TO BID ITB NO. 2020-16 Item No.	Project Description	Project Location	ABC/Project	Contract Duration	Bid Docs. Fee 1	PROCUREMENT OF SECURITY SERVICES FOR SCHISTOSOMIASIS HOSPITAL PALO, LEYTE FOR A PERIOD OF ONE (1) YEAR	Schistosomiasis Hospital P</t>
  </si>
  <si>
    <t xml:space="preserve"> The Municipality of Tanza, Cavite, through its Bids and Awards Committee (BAC), invites suppliers/manufacturers/distributor/contractors to apply for eligibility and to bid for the hereunder project: 	Name of Project	: SUPPLY AND DELIVERY OF OFFICE SUPPLIE</t>
  </si>
  <si>
    <t xml:space="preserve"> Please download ITB and Checklist in thge Associated Components.</t>
  </si>
  <si>
    <t xml:space="preserve"> VARIOUS EQUIPMENT FOR THE FURNISHINGS OF THE GOVERNMENT FACILITIES OF THE MUNICIPALITY OF LAPUYAN</t>
  </si>
  <si>
    <t xml:space="preserve"> Republic of the Philippines Province of Nueva Vizcaya BIDS AND AWARDS COMMITTEE (BAC-Goods) BAC OFFICE, Provincial Capitol, Bayombong, Nueva Vizcaya Tel. No. 078-392-2062 	 INVITATION TO BID FOR THE SUPPLY AND DELIVERY OF VEHICLE PARTS (II) FOR THE  PROVI</t>
  </si>
  <si>
    <t xml:space="preserve"> Procurement of Construction Materials Php104,850.00</t>
  </si>
  <si>
    <t xml:space="preserve"> Republic of the Philippines Province of Nueva Vizcaya BIDS AND AWARDS COMMITTEE (BAC-Goods) BAC OFFICE, Provincial Capitol, Bayombong, Nueva Vizcaya Tel. No. 078-392-2062 	 2ND INVITATION TO BID FOR THE SUPPLY AND DELIVERY OF ANIMAL FEEDS  AND VETERINARY </t>
  </si>
  <si>
    <t xml:space="preserve"> INVITATION TO BID FOR ROAD WIDENING WITH SLOPE PROTECTION WORKS AT ECO-PARK, STA ROSA, STA. MARIA, PANGASINAN 1.	The Municipal Government of Sta. Maria through the 20% Local Development Fund 2020 intends to apply the sum of One Million Seven Hundred Thous</t>
  </si>
  <si>
    <t xml:space="preserve"> Invitation to Bid ITB-SSS-Goods-2020-023 SUBSCRIPTION OF 300 MBPS INTERNET ACCESS FOR MAIN OFFICE AND DISASTER RECOVERY (DR) SITE FOR A PERIOD OF ONE (1) YEAR Approved Budget for the Contract (ABC)        :      ₱ 7,687,932.00 Broken down as follows:				 </t>
  </si>
  <si>
    <t xml:space="preserve"> Republic of the Philippines Province of Nueva Vizcaya BIDS AND AWARDS COMMITTEE (BAC-Goods) BAC OFFICE, Provincial Capitol, Bayombong, Nueva Vizcaya Tel. No. 078-392-2062 	 2ND INVITATION TO BID FOR THE SUPPLY AND DELIVERY OF 12, 750 MONOBLOCK CHAIRS    F</t>
  </si>
  <si>
    <t xml:space="preserve"> INVITATION TO BID SUPPLY AND DELIVERY OF MEDICAL SUPPLIES ITB NO. 2020-18 The Schistosomiasis Hospital through the Bids and Awards Committee (BAC) invites suppliers to bid for the hereunder project: SN	Project Title	*ABC/Project	Bid Docs Fee 1	SUPPLY AND </t>
  </si>
  <si>
    <t xml:space="preserve"> Republic of the Philippines Province of Nueva Vizcaya BIDS AND AWARDS COMMITTEE (BAC-Goods) BAC OFFICE, Provincial Capitol, Bayombong, Nueva Vizcaya Tel. No. 078-392-2062 	 2ND INVITATION TO BID FOR THE SUPPLY AND DELIVERY OF CONSTRUCTION MATERIALS  FOR T</t>
  </si>
  <si>
    <t xml:space="preserve"> A. PAES MINIMUM SPECIFICATIONS:     I. Design and Performance 1. Shelling Recovery: 93%, minimum 2. Shelling Efficiency: 95%, minimum 3. Total Machine Loss: 7%, minimum 4. Purity of output: -With sieve and blower: 98%, minimum\ 5. Mechanically damaged ker</t>
  </si>
  <si>
    <t xml:space="preserve"> I. Earthworks II. Concrete Works III. Masonry Works IV. Carpentry Works (forms, roof framing, roof cover) V. Plastering VI. Sanitary Works VII. Hauling (Material Hauling)</t>
  </si>
  <si>
    <t xml:space="preserve"> INVITATION TO APPLY FOR ELIGIBILITY AND TO BID 	The local Government Unit of Can-avid, through is Bid and Awards Committee (BAC). Invites suppliers to apply for eligibility, to bid for the hereunder contract: Name of Contract:      EMBANKMENT OF PROPOSED </t>
  </si>
  <si>
    <t xml:space="preserve"> INVITATION TO BID FOR The Printing of Modules for  Senior High Schools 1.	The Department of Education – SDO Batangas City, through the Sub-Allotment Release Order No. RO-4A-20-1502  intends to apply the sum of Two Million Five Hundred Ninety Four Thousand</t>
  </si>
  <si>
    <t xml:space="preserve"> INVITATION TO BID #20 – 16  For I.  Procurement ID/Contract ID		:  20 IK 0099     Contract Name				:  Concreting of Brgy. Lagundi – Brgy. Pangdan Farm to Market Road,     Contract Location			:  Brgy. Lagundi and Brgy. Pangdan, Catbalogan City, Samar     B</t>
  </si>
  <si>
    <t xml:space="preserve"> Const./Rehab. of Child Development Centers</t>
  </si>
  <si>
    <t xml:space="preserve"> 1 unit 4WD Farm Tractor 29.7W (40 Hp) with Rotary Tiller 1 unit Hand Tractor with prime mover (6.5Hp) and attachments; 2 bottom disc plow, Comb harrow, and 1 MT heavy duty trailer capacity 2 units Single Pass Rice Mill with prime mover, 19.3 KW (26Hp) wat</t>
  </si>
  <si>
    <t xml:space="preserve"> PROCUREMENT &amp; INSTALLATION OF CCTV SYSTEM					 			Installation, configuration, programming and other					 			incidental cost connectors, roughing ins, mountings, braces					 			and supports, pole support, electrical tape, cable ties,					 			schedule 20 p</t>
  </si>
  <si>
    <t xml:space="preserve"> Construction of 3Sty 6CL, Isidoro Suzara Memorial School without: 1. Embankment from Borrow 2. Fascia Board 3. Gutter 4. Windows 5. Window Grills 6. Floor Hardener 7. Railing 8. Ceiling 9. Painting Works Concrete 10. Painting Works Wood 11. Painting Works</t>
  </si>
  <si>
    <t xml:space="preserve"> Delivery and installation of Four Units Split Type Air Conditioners,2.5HP,dual inverter,2 auto swing, with anti bacterial air filter,low noise</t>
  </si>
  <si>
    <t xml:space="preserve"> TO CONSTRUCT MARKET STALLS AT LIDLIDDA PUBLIC MARKET</t>
  </si>
  <si>
    <t xml:space="preserve"> INVITATION TO BID REFERENCE NO. 2020-07-007 1.The Department of Social Welfare and Development FO VIII, through the GAA OF CY 2020 intends to apply the sum Forty Million One Hundred Twenty Thousand Two Hundred Fifteen Pesos and Sixty-Seven Centavos (Php40</t>
  </si>
  <si>
    <t xml:space="preserve"> Installation of Solar Power Street Lights</t>
  </si>
  <si>
    <t xml:space="preserve"> The project aims to mitigate impacts of river overflows that causes flashflood and soil erosion.</t>
  </si>
  <si>
    <t xml:space="preserve"> Construction of 2 Units Multi-purpose Buildings</t>
  </si>
  <si>
    <t xml:space="preserve"> Const./Rehab. of Multi-purpose Buildings</t>
  </si>
  <si>
    <t xml:space="preserve"> ITEM NO.	UNIT		QTY		DESCRIPTION		 							 					Provision/Distribution of quality vegetable seeds/seedlings		 1	 tray 		200		Seedling Tray		 					 Assorted Vegetables Seeds 		 2	 can 		10		 Eggplant 		 3	 can 		10		 Squash 		 4	 can 		10		 Ampalaya 		 5	 c</t>
  </si>
  <si>
    <t xml:space="preserve"> ITEM NO.	UNIT		QTY		DESCRIPTION		 							 1	 pcs 		3		Search Lights		 					 Model: RASL 9912 		 					 Bulb: 4pcs *Cree 3W LED 		 					 Battery Type: 3.7V3600MAh 		 					 Material:ABS Housing + PC Lens 		 					 Head Rotates 120 		 					 USB Ports 		 						</t>
  </si>
  <si>
    <t xml:space="preserve"> Please refer to the attached PBD No. NP IF 2020-07-001 and BOQ No. NP IF 2020-07-001 for detailed instructions, specifications and requirements. Posting and Availability of the Request for Proposal 	 starting July 25, 2020  Negotiation Conference	 August </t>
  </si>
  <si>
    <t xml:space="preserve"> ITEM NO.	UNIT		QTY		DESCRIPTION		 							 1	 bd.ft 		80		20-2"x2"x12'- cocolumber		 2	 bd.ft 		180		 30-2"x3"x12'- cocolumber 		 3	 roll 		1		 Nylon String #5 		 4	 kgs 		32		 CWN Assorted 		 5	 cu.m 		17		 Aggregates 		 6	 pcs 		12		 1/4"x4x'x8' Ordinary</t>
  </si>
  <si>
    <t xml:space="preserve"> ITEM NO.	UNIT		QTY		DESCRIPTION		 							 1	 cu.m. 		1		Layout and Excavation		 2	 cu.m. 		1		 Form Works 		 3	 sq.m. 		84		 Concrete Works 		 4	 lot 		1		 Masonry Works 		 5	 sq.m. 		28		 Plumbing and Sanitary Works 		 6	 lot 		1		 Tile Works and Ceiling</t>
  </si>
  <si>
    <t xml:space="preserve"> CONSTRUCTION OF MATERIALS RECOVERY FACILITY, MERCED, BANATE, ILOILO</t>
  </si>
  <si>
    <t xml:space="preserve"> National Power Corporation INVITATION TO BID PUBLIC BIDDING 2020-0219 1.	The NATIONAL POWER CORPORATION (NPC), through       its        approved       Corporate Budget of CY 2020 intends to apply   the   sum   of (Please see schedule below) being the Appr</t>
  </si>
  <si>
    <t xml:space="preserve"> Installation of Sign Board Structure Excavation Construction of Intake Tank Construction of Pump House Installation of Waterpumps</t>
  </si>
  <si>
    <t xml:space="preserve"> National Power Corporation INVITATION TO BID PUBLIC BIDDING 2020-0216 1.	The NATIONAL POWER CORPORATION (NPC), through       its        approved       Corporate Budget of CY 2020 intends to apply   the   sum   of (Please see schedule below) being the Appr</t>
  </si>
  <si>
    <t xml:space="preserve"> INVITATION TO BID for the Procurement of Infrastructure Projects            1.	The City Government of Puerto Princesa (CGPP), through Appropriation Ordinance No. 6-2019 (Supplemental Budget No. 3 for CY 2019/Fund Source: Borrowings – Loan at Land Bank of </t>
  </si>
  <si>
    <t xml:space="preserve"> ITEM NO.	UNIT		QTY		DESCRIPTION		 							 1	 unit 		1		Outboard Motor		 					 Engine Type: 2-Stroke, In-line 2 		 					 Displacement: 496cc 		 					 Bore x Stroke: 72 x 61 mm 		 					 Recommended Max. RPM: 5000-5500 		 					 Lubrication System: Pre-Mixing</t>
  </si>
  <si>
    <t xml:space="preserve"> INVITATION TO BID FOR THE  SUPPLY AND DELIVERY OF UPVC PIPES WITH EPDM RUBBER GASKET (RE-BIDDING) 1.	The Metropolitan Tuguegarao Water District through the Corporate Budget for the Year 2020  intends to apply the sum of Sixteen Million Five Hundred Thousa</t>
  </si>
  <si>
    <t xml:space="preserve"> The BUREAU OF JAIL MANAGEMENT AND PENOLOGY, through the GENERAL APPROPRIATIONS ACT FY 2020 intends to apply the sum of FORTY MILLION PESOS (P 40,000,000.00) being the Approved Budget for the Contract (ABC) to payments under the contract for G-2020-010. Bi</t>
  </si>
  <si>
    <t xml:space="preserve"> 1.	The BUREAU OF JAIL MANAGEMENT AND PENOLOGY, through the GENERAL APPROPRIATIONS ACT FY 2020 intends to apply the sum of THIRTY-FOUR MILLION FIVE HUNDRED THOUSAND PESOS                             (P 34,500,000.00) being the Approved Budget for the Contr</t>
  </si>
  <si>
    <t xml:space="preserve"> INVITATION TO BID FOR REPRODUCTION AND DELIVERY OF PRINTED LEARNING MODULES 1.	The BALAYAN NATIONAL HIGH SCHOOL, through the General Appropriations Act  intends to apply the sum of One Million Five Hundred Sixty Seven Thousand Four Hundred Forty Pesos (Ph</t>
  </si>
  <si>
    <t xml:space="preserve"> Invitation to Bid for the Repair of BJMP-NHQ CY 2020 1.	The BUREAU OF JAIL MANAGEMENT AND PENOLOGY-NATIONAL HEADQUARTERS (BJMP-NHQ), through the GENERAL APPROPRIATIONS ACT (GAA) FOR FY 2020 intends to apply the sum of FOUR MILLION EIGHT HUNDRED SEVEN THOU</t>
  </si>
  <si>
    <t xml:space="preserve"> Republic of the Philippines Province of Bukidnon Municipality of Cabanglasan -o0o- ___________________________________________________________________________ INVITATION TO BID FOR  Purchase of Materials  for Compliance to the Protocol on COVID 19 Prevent</t>
  </si>
  <si>
    <t xml:space="preserve"> Printer Ink 003 (black)</t>
  </si>
  <si>
    <t xml:space="preserve"> PROVISION OF ADDITIONAL FISHING GEARS AS AN ALTERNATIVE LIVELIHOOD TO MUNICIPAL MODIFIED DANISH SEINE (HULBOT – HULBOT DE MANO) A.	Gill Net		 •	Net (0.25 twine, 7k mesh, 50)	270	Paldo •	Floats (No. 1 Cylindrical) (100/pack)	270	Packs B.	Fish Pot (Bobo)		 </t>
  </si>
  <si>
    <t xml:space="preserve"> please download the ITB and its other supporting documents in the associated component</t>
  </si>
  <si>
    <t xml:space="preserve"> Invitation to Bid for the Establishment of Drainage System at Ogaong, Sto. Niño FMR 1.	The Local Government Unit of Manolo Fortich, through the General Fund intends to apply the sum of THREE MILLION PESOS (PhP 3,000,000.00) being the Approved Budget for t</t>
  </si>
  <si>
    <t xml:space="preserve"> 1.	The Municipality of Tayug, Pangasinan  through the Bids and Awards Committee intends to apply the sum of Two Million Five Hundred Thousand Pesos (Php2,500,000.00) being the Approved Budget for the Contract (ABC)  to payments under the conract for the C</t>
  </si>
  <si>
    <t xml:space="preserve"> Contract Name: CONSTRUCTION OF RAINWATER COLLECTION SYSTEM (RWCS),  1.	JIMAUTAN ELEMENTARY SCHOOL, CALBAYOG CITY, SAMAR 2.	SAPUTAN ELEMENTARY SCHOOL, CALBAYOG CITY, SAMAR 3.	SINANTAN ELEMENTARY SCHOOL, CALBAYOG CITY, SAMAR 4.	MARCATUBIG ELEMENTARY SCHOOL,</t>
  </si>
  <si>
    <t xml:space="preserve"> Digital Duplicating Machine</t>
  </si>
  <si>
    <t xml:space="preserve"> Contract Name: CONCRETING OF BRGY. DE VICTORIA TO BRGY. SAN ISIDRO FMR, BRGY. DE VICTORIA AND BRGY. SAN ISIDRO, CALBAYOG CITY, SAMAR Contract Location: SAMAR  Brief Description: CONCRETING OF ROAD = 2 LANE KM. Approved Budget for the Contract (ABC): PhP 2</t>
  </si>
  <si>
    <t xml:space="preserve"> Republic of the Philippines City of Toledo -oOo- BIDS AND AWARDS COMMITTEE ITB No. I10-02-2020 INVITATION TO BID FOR: Prop. Road Side Improvement@ Toledo City Science High School, Brgy. Ilihan Toledo City 1.	The City Government of Toledo under the 20% Dev</t>
  </si>
  <si>
    <t xml:space="preserve"> I.  ROAD PAVEMENT     -    0.15m. x 4.00m. x 110.50m.</t>
  </si>
  <si>
    <t xml:space="preserve"> 68 PCS PNEUMONIA VACCINES</t>
  </si>
  <si>
    <t xml:space="preserve"> Republic of the Philippines City of Toledo -oOo- BIDS AND AWARDS COMMITTEE ITB No. I32-03-2020 INVITATION TO BID FOR: Prop. Pavement Resurfacing/Asphalt Overlay Along S. Osmeña Sr. St. (Brgys. Poblacion, Luray 2 and Sangi), Sta. 0+860-Sta. 2+160, Toledo C</t>
  </si>
  <si>
    <t xml:space="preserve"> Information, Education Campaign Van Description: Chassis : XZU7302L Body Type: Steel Van with roll up siding (2 sides) Drive System: 4 x 2 (4 Wheeler) Gross Vehicle Weight (kg) : 3,800 Transmission : 5 Speed overdue, Synchromsh 1st - 5th Tires &amp; Rims : 7.</t>
  </si>
  <si>
    <t xml:space="preserve"> INVITATION TO BID  The Municipal Government of Nampicuan, through its Bids and Awards Committee (BAC), invites Contractors to apply for eligibility and to bid for the hereunder projects: Name of Project	Approved Budget of the Contract	Bid Document Fee (No</t>
  </si>
  <si>
    <t xml:space="preserve"> Republic of the Philippines Province of Oriental Mindoro MUNICIPALITY OF SAN TEODORO INVITATION TO BID FOR THE  UPGRADING OF KAMATIS ROAD No. 2020-13 July 24, 2020 1.The Municipality of San Teodoro intends to apply the sum of Three Million, Nine Hundred N</t>
  </si>
  <si>
    <t xml:space="preserve"> Bicol Medical Center Concepcion Pequeña, Naga City, 4400 (0998-247-0239/0906-256-9238          E-mail Address: bmc.bacoffice@gmail.com INIVITATION TO BID PROCUREMENT OF INTRA-AORTIC BALLOON PUMP (IABP) ITB No. 2020-25 1.	The BICOL MEDICAL CENTER, through </t>
  </si>
  <si>
    <t xml:space="preserve"> INVITATION TO BID PROCREMENT OF VARIOUS DRUGS AND MEDICINES PROCUREMENT OF DRUGS AND MEDICINES (RE-BIDDING) ITB NO. 2020-17 The Schistosomiasis Hospital through the Bids and Awards Committee (BAC) invites suppliers to bid for the hereunder project: SN	Pro</t>
  </si>
  <si>
    <t xml:space="preserve"> The Municipality of Tanza, Cavite, through its Bids and Awards Committee (BAC), invites suppliers/manufacturers/distributor/contractors to apply for eligibility and to bid for the hereunder project: 	Name of Project	: SUPPLY AND DELIVERY OF MULTIPURPOSE S</t>
  </si>
  <si>
    <t xml:space="preserve"> Republic of the Philippines Province of Cagayan Tuguegarao City Invitation to Bid for Construction of Semi Private Room Building Lasam District Hospital, Lasam, Cagayan 1.	The Provincial Government of Cagayan, through the General Fund CY 2019 intends to a</t>
  </si>
  <si>
    <t xml:space="preserve"> LOT 1 1. 250 Pcs. CHB 4" 2. 90 Pcs. 10 mm DSB x 6m 3. 12 Kls. Tie Wire #16 4. 5 Cu. M Washed Sand 5. 8 Cu. M Screened Gravel 6. 60 Bags Portland Cement 7. 34 Pcs. Marine Plywood 8. 1 Liter Roof Sealant 9. 20 Kls. CW Nails (Assorted)</t>
  </si>
  <si>
    <t xml:space="preserve"> Invitation to Bid for the Rehabilitation of Solar Streetlights, Cory Aquino Boulevard, Camarines Norte 1.	TheProvincial Government of Camarines Norte, through the General Fund 2020intends to apply the sum of Four MillionEight Hundred Sixty-One Thousand Fi</t>
  </si>
  <si>
    <t xml:space="preserve"> LGU - Padre Burgos, Southern Leyte INVITATION TO BID FOR  Procurement of Commercial Rice Padre Burgos, Southern Leyte 1.	The LGU Padre Burgos, Southern Leyte through the 	LDRRM Fund, CY 2020  intends to apply the sum of Three Hundred Fifty Thousand Pesos </t>
  </si>
  <si>
    <t xml:space="preserve"> Procurement ID/Contract ID:	20PI0098 Contract Name:	Local Infrastructure Program - Local Roads and Bridges, Local Roads, Improvement and rehabilitation of Sadsadan-Balicanao-Salin Access Road, Bauko, Mountain Province Contract Location:	Bauko, Mountain Pr</t>
  </si>
  <si>
    <t xml:space="preserve"> 1.	Contract ID	No. 	      	: 20AD0110 Contract Name	      	: Construction of Classrooms Contract Location	      	: Candon Information Technology NHS,     Candon City, Ilocos Sur	       Brief Description	      	: Construction of Classrooms, 4 sty-8 classro</t>
  </si>
  <si>
    <t xml:space="preserve"> INVITATION TO BID FOR  ESTABLISHMENT OF THREE (3) UNITS OF SMALL WATER IMPOUNDING SYSTEM (SWIS) AT BRGY. CAAGUTAYAN, SAN TEODORO, ORIENTAL MINDORO 1.	The DENR PENRO – Oriental Mindoro, through the RA 11465, GAA 2020 intends to apply the sum of Three Milli</t>
  </si>
  <si>
    <t xml:space="preserve"> Department of Public Works and Highways (DPWH) Contract ID: 20G00106 Contract Name: Construction of Permanent Evacuation Center/Multi-Purpose Covered Court (Standard) Location of the Contract: Cabatuan Comprehensive National High School Compound, Cabatuan</t>
  </si>
  <si>
    <t xml:space="preserve"> CONCRETE PAVEMENT     -       0.15m. x 4.00m. x 139.00m.</t>
  </si>
  <si>
    <t xml:space="preserve"> Invitation to Bid for the Construction/Expansion of Camarines Norte, Provincial Hospital Building, Bagasbas Road, Daet, Camarines Norte 1.	TheProvincial Government of Camarines Norte, through the DBP Loanintends to apply the sum of One Hundred Forty-NineM</t>
  </si>
  <si>
    <t xml:space="preserve"> ROOFING WORKS   18.00 	Metalic Plastic Gutter	pcs  28.00 	12mm thick Hardi Senepa	pcs  13.00 	Metalic Plastic End Flashing	pcs  75.00 	2"x 2" x 8' Fascia Board Frame	pcs  48.00 	2" x 2" x 8' Ceiling Joist	pcs  1,500.00 	3/16" x 3/4" Blind Rivet	pcs  2,750</t>
  </si>
  <si>
    <t xml:space="preserve"> Procurement ID/Contract ID:	20PI0097 Contract Name:	Convergence and Special Support Program - Construction/ Improvement of Access Roads leading to Declared Tourism Destinations, Bontoc - Mainit - Sagada Road leading to Guina-ang Rice Terraces, Mainit Hots</t>
  </si>
  <si>
    <t xml:space="preserve"> Item No.	Unit	Qty.	Description of Articles				 1	bags	245	Portland Cement (40 kgs/bag)				 2	cu.m.	14	Washed Sand, black (good qlty.)				 3	cu.m.	28	Screened gravel passing¾" screen 				 4	pcs.	800	RSB 10mmØx6m				 5	pcs.	440	RSB 9mmØx6m				 6	kls.	160	G.</t>
  </si>
  <si>
    <t xml:space="preserve"> Please see line items and attached Instruction to Bidders for the complete description.</t>
  </si>
  <si>
    <t xml:space="preserve"> 1.	The Provincial Government of Ilocos Norte, through the General Fund  intends to apply the sum of Three Million Fifty Six Thousand Pesos                                  (Php 3,056,000.00                 ) being the Approved Budget for the Contract (ABC</t>
  </si>
  <si>
    <t xml:space="preserve"> We now issue this Request for Proposals (RFP) for you to provide the Consultancy Services for the conduct of Feasibility Study.  More details on the Services are provided in the Terms of Reference (ToR) included in the Bidding Documents for the contract. </t>
  </si>
  <si>
    <t xml:space="preserve"> Item No.	Unit	Qty.	Description of Articles				 1	bags	800	Portland Cement (40 kgs./bag)				 2	cu.m.	61	Washed Sand (black, good qlty.)				 3	cu.m.	32	Screened Gravel, passing 3/4"Ø screen (good qlty.)				 4	cu.m.	25	Sreened gravel, G1 (good qlty.)				 5	u</t>
  </si>
  <si>
    <t xml:space="preserve"> Invitation to Bid for PR No. 20061132 – Supply and Delivery of Police, Military&amp; Security Equipment for CNPJ Security Supplies Use 	 1.	The Provincial Government of Camarines Norte, through the General Fund-Capital Outlay CY 2020intends to apply the sum o</t>
  </si>
  <si>
    <t xml:space="preserve"> Procurement of Farm Inputs Certified imbreed seeds - 64 bags @40kg @Php1,300/bag = Php   83,200.00 Red onion seeds - 64 cans @ Php 2,135.00/can                 = Php  136,640.00 Urea (46-0-0) - 128 bags@50kg @ Php 985.00/bag           = Php  126,080.00 Co</t>
  </si>
  <si>
    <t xml:space="preserve"> Republic of the Philippines PROVINCE OF PAMPANGA City of San Fernando INVITATION TO BID NO. 2020-28 IG-BAC INVITATION TO BID FOR PURCHASE REQUEST NO. 20-1897 The Provincial Government of Pampanga (“Province”) intends to apply the following sums from the f</t>
  </si>
  <si>
    <t xml:space="preserve"> 2.	Contract ID	No. 	      	: 20AD0111 Contract Name	      	: Construction of Classrooms Contract Location	      	: Santa Central School, Santa, Ilocos Sur	       Brief Description	      	: Construction of Classrooms, 2 sty-8 classroom school building Appr</t>
  </si>
  <si>
    <t xml:space="preserve"> Procurement of Supply and Delivery of ICT Supplies 10	piece	HP 932 XL Ink Cartridge (Black) 5	piece	HP 933 XL Ink Cartridge (Cyan) 5	piece	HP 933 XL Ink Cartridge (Magenta) 5	piece	HP 933 XL Ink Cartridge (Yellow) 20	piece	HP 680 (Black) 1	unit	VGA to HDM</t>
  </si>
  <si>
    <t xml:space="preserve"> Invitation to Bid for the Road Upgrading of Cadawingan-Guinatungan Road, Brgy. Guinatungan&amp;Brgy. Plaridel, Basud, Camarines Norte 1.	TheProvincial Government of Camarines Norte, through the CMGPCY 2020intends to apply the sum of One Hundred Sixteen Millio</t>
  </si>
  <si>
    <t xml:space="preserve"> We now issue this Request for Proposals (RFP) for you to provide the Consultancy Services for the conduct of Feasibility Study. More details on the Services are provided in the Terms of Reference (TOR) included in the Bidding Documents for the Contract. Y</t>
  </si>
  <si>
    <t xml:space="preserve"> INVITATION TO RE-BID  PROCUREMENT AND INSTALLATION OF AIR-CONDITIONING UNITS FOR THE OFFICES &amp; CLASSROOMS OF THE NFSTI - PPSC BAC IB NO.012 (G) 2020 1.	The Philippine Public Safety College through the General Appropriations Act of FY2020 , intends to appl</t>
  </si>
  <si>
    <t xml:space="preserve"> INVITATION TO BID SUPPLY AND DELIVERY OF SAN FRANCISCO, AGUSAN DEL SUR BARANGAY TANODs’ UNIFORM FOR BARANGAY PEACE AND ORDER ACTIVITIES, SFADS  The Municipal Government of San Francisco, Agusan del Sur, through the BIDS and AWARDS COMMITTEE (BAC) intends </t>
  </si>
  <si>
    <t xml:space="preserve"> INVITATION TO BID 2020-CS-07 The Department of Public Works and Highways QUEZON III DISTRICT ENGINEERING OFFICE, Catanauan, Quezon, through the FY2020 PDE FUND intends to apply the amount of ₱ ₱2,500,000.00  being the Approved Budget for the Contract (ABC</t>
  </si>
  <si>
    <t xml:space="preserve"> 1.	The Provincial Government of Ilocos Norte, through the RA 7171 FUND  intends to apply the sum of Eighteen Million Pesos    (Php  18,000,000.00                   ) being the Approved Budget for the Contract (ABC) to payments under the contract for Procu</t>
  </si>
  <si>
    <t xml:space="preserve"> Republic of the Philippines PROVINCIAL GOVERNMENT OF EASTERN SAMAR Capitol Building, Borongan, Eastern Samar, 6800 Tel No. (055)-560-8312 E-mail Address: esamar.bac@gmail.com BIDS AND AWARDS COMMITTEE (BAC) INVITATION TO BID FOR  CONCRETING OF BARANGAY 7 </t>
  </si>
  <si>
    <t xml:space="preserve"> Republic of the Philippines BOHOL ISLAND STATE UNIVERSITY Main Campus, Tagbilaran City INVITATION TO BID FOR LOT 1: SUPPLY AND DELIVERY OF ELECTRICAL SUPPLIES FOR MAINTENANCE OF SCHOOL LIGHTING/WIRING SYSTEM (PR NO. 2020-02-0095, 2020-02-0096, 2020-02-020</t>
  </si>
  <si>
    <t xml:space="preserve"> DOUBLE CAB 4X4   FOUR(4) / SIX(6) WHEELER   4 CYLINDER DIESEL ENGINE   2,835 CC   94 HP   FIVE (5) SPEED MANUAL TRANSMISSION   KC TYPE   POWER STEERING   4X4   SUSPENSION TYPE   SIZE OF TIRE (185)/R14)  COMPLETE ACCESSORIES AND LTO REGISTRATION AND INSURA</t>
  </si>
  <si>
    <t xml:space="preserve"> Republic of the Philippines Province of Bohol Municipality of Duero BIDS AND AWARDS COMMITTEE Section 1. INVITATION TO BID The Municipality of Duero, Bohol, through its Bids and Awards Committee (BAC), invites suppliers/manufacturers/distributors to apply</t>
  </si>
  <si>
    <t xml:space="preserve"> Republic of the Philippines Province of South Cotabato BIDS AND AWARDS COMMITTEE Capitol Compound Alunan Avenue, Koronadal City Tel. Fax No.: (083) 228-9951/228-8570 INVITATION TO BID FOR THE SUPPLY AND DELIVERY OF VARIOUS HOSPITAL EQUIPMENT 1.  The PROVI</t>
  </si>
  <si>
    <t xml:space="preserve"> Improvement of Mini-Park and its Sorroundings and Improved Multi-Purpose Enhancement Center with Fence, Parking Area &amp; Landscape, with stable electrical connection.</t>
  </si>
  <si>
    <t xml:space="preserve"> Republic of the Philippines DEPARTMENT OF HEALTH DR. JOSE RIZAL MEMORIAL HOSPITAL Lawaan, Dapitan City Telefax; (065) 213-6421 Website: www.djrmh.doh.gov.ph Email: dohdjrmh@gmail.com BIDS AND AWARDS COMMITTEE INVITATION TO BID PROCUREMENT OF VARIOUS MEDIC</t>
  </si>
  <si>
    <t xml:space="preserve"> The Municipality of Concepcion, through the Department of Agriculture, intends to apply the sum of Php 221, 370.00 being the Approved Budget for the Contract (ABC) to payments under the contract for the ESTABLISHMENT OF LOCAL ECONOMIC LIVELIHOOD PROJECTS </t>
  </si>
  <si>
    <t xml:space="preserve"> Department of Education Region VI-Western Visayas Division of Cadiz City Mabini National High School INVITATION TO BID FOR THE PROCUREMENT OF UNINTERRUPTED POWER SUPPLY- MNHS 2020 1.	The Mabini National High School  of Cadiz City, through the Schools MOOE</t>
  </si>
  <si>
    <t xml:space="preserve"> Republic of the Philippines PROVINCE OF AKLAN Kalibo -oOo- BIDS AND AWARDS COMMITTEE (BAC) INVITATION TO BID 1.	The Provincial   Government   of   Aklan, through   Improvement/Rehabilitation of Provincial Office Building (Capital Outlay CY 2020)   intends</t>
  </si>
  <si>
    <t xml:space="preserve"> 1.	The Municipality of Santo Tomas, La Union, through the budget for the contract approved by the sanggunian under the General Fund (2020) intends to apply the sum of Nine hundred fifty thousand pesos (Php 950,000.00) being the Approved Budget for the Con</t>
  </si>
  <si>
    <t xml:space="preserve"> Republic of the Philippines Province of Masbate MUNICIPALITY OF CATAINGAN BARANGAY NADAWISAN   			                                                                                              JULY 28, 2020 INVITATION TO APPLY FOR ELIGIBILITY AND TO BID Th</t>
  </si>
  <si>
    <t xml:space="preserve"> INVITATION TO BID FOR THE CONSTRUCTION OF PERIMETER FENCE AT SLAUGHTERHOUSE, BRGY. POBLACION, CITY OF ALAMINOS, PANGASINAN 1.	The CITY GOVERNMENT OF ALAMINOS, PANGASINAN through its Development Fund (DF) intends to apply an amount of Six Hundred Thirty Fo</t>
  </si>
  <si>
    <t xml:space="preserve"> 1.	The Municipality of Santo Tomas, La Union, through the budget for the contract approved by the sanggunian under 20% MDF (2020) intends to apply the sum of One million, one hundred ninety one thousand, three hundred ten pesos &amp; 23/100 (Php 1,191,310.23)</t>
  </si>
  <si>
    <t xml:space="preserve"> SAMPLE DESCRIPTION</t>
  </si>
  <si>
    <t xml:space="preserve"> 1.	The Municipality of Santo Tomas, La Union, through the budget for the contract approved by the sanggunian under RA 8240 intends to apply the sum of Two million, nine hundred ninety nine thousand, nine hundred ninety eight pesos &amp; 7/100 (Php 2,999,998.0</t>
  </si>
  <si>
    <t xml:space="preserve"> Contract ID: 20GKK0035 Contract Name: Supply and Delivery of Fuel to be used by DPWH-MOFDEO Service Vehicles and Equipment of All Section Contract Location: DPWH-MOFDEO, Gingoog City Brief Description of Goods to be procured: Gasoline and Diesoline Approv</t>
  </si>
  <si>
    <t xml:space="preserve"> 1.	The Municipality of Santo Tomas, La Union, through the budget for the contract approved by the sanggunian under PCF (2019) intends to apply the sum of Two million, three hundred thousand pesos (Php 2,300,000.00) being the Approved Budget for the Contra</t>
  </si>
  <si>
    <t xml:space="preserve"> 1.	The Municipality of Santo Tomas, La Union, through the budget for the contract approved by the sanggunian under RA 8240 intends to apply the sum of Three million pesos                 (Php 3,000,000.00) being the Approved Budget for the Contract (ABC) </t>
  </si>
  <si>
    <t xml:space="preserve"> Republic of the Philippines Department of Public Works and Highways Cotabato 1st District Engineering Office Villarica, Midsayap, Cotabato INVITATION TO BID The DPWH-Cotabato 1st District Engineering Office through its Bids and Awards Committee (BAC), inv</t>
  </si>
  <si>
    <t xml:space="preserve"> 1.	The Municipality of Santo Tomas, La Union, through the budget for the contract approved by the sanggunian under 20% MDF (2020) intends to apply the sum of Four million, nine hundred ninety nine thousand, nine hundred sixteen pesos &amp; 74/100 (Php 4,999,9</t>
  </si>
  <si>
    <t xml:space="preserve"> 1.	The Municipality of Santo Tomas, La Union, through the budget for the contract approved by the sanggunian under RA 8240 intends to apply the sum of Nine hundred ninety eight thousand, seven hundred fifty nine pesos &amp; 90/100 (Php 998,759.90) being the A</t>
  </si>
  <si>
    <t xml:space="preserve"> Civil Works</t>
  </si>
  <si>
    <t xml:space="preserve"> Replacement and Installation of New Fire Exit Doors, Installation of Additional Signage with Led Emergency Lights, Fire Detection and Suppression System</t>
  </si>
  <si>
    <t xml:space="preserve"> PROVISION OF A QUANTITATIVE SURVEY ON LEVELS OF AWARENESS  AND PREFERENCE ON PAG-IBIG FUND PRODUCTS  The Pag-IBIG Fund Corporate Headquarters, through its Bids and Awards Committee – Goods and Services (BAC-GS) intends to apply the sum of One Million Five</t>
  </si>
  <si>
    <t xml:space="preserve"> INVITATION TO BID FOR THE  UPGRADING OF CATABAN BAILEY BRIDGE II TO RCDG (BGY. CATABAN, TAYTAY, PALAWAN) 1.	The Provincial Government of Palawan, through its 20% Development Fund (OBR No. 300-20-07-08703) account intends to apply the sum of Sixteen Millio</t>
  </si>
  <si>
    <t xml:space="preserve"> Earthworks, Sub-base Course, Surface Course, Drainage &amp; Slope Protection Structure, Guardrails, Miscellaneous</t>
  </si>
  <si>
    <t xml:space="preserve"> Republic of the Philippines BIDS AND AWARDS COMMITTEE Bacolod City INVITATION TO BID FOR THE PURCHASE OF MATERIALS FOR THE ROAD IMPROVEMENT AT SAN SEBASTIAN ST. (DAWIS), BRGY. 13 (SAN JUAN ST. TO PALANCA ST.) 1.	The City of Bacolod, through the Sanggunian</t>
  </si>
  <si>
    <t xml:space="preserve"> Excavation for structure Concrete &amp; Masonry works</t>
  </si>
  <si>
    <t xml:space="preserve"> Republic of the Philippines BIDS AND AWARDS COMMITTEE Bacolod City INVITATION TO BID FOR THE PURCHASE OF MATERIALS FOR THE ROAD IMPROVEMENT OF STA. ANA ST., BRGY. 30 &amp; 31 (FROM EXISTING PAVEMENT-LUZURIAGA ST.)  1.	The City of Bacolod, through the Sangguni</t>
  </si>
  <si>
    <t xml:space="preserve"> Republic of the Philippines Province of Cotabato Municipality of Aleosan Invitation to Bid for the  CONSTRUCTION OF PAGANGAN LEVEL II PWS 								JULY 23, 2020 		 1.	The Local Government Unit of Aleosan, through SALINTUBIG CY 2020 - DILG intends to apply </t>
  </si>
  <si>
    <t xml:space="preserve"> Republic of the Philippines BIDS AND AWARDS COMMITTEE Bacolod City INVITATION TO BID FOR THE 	 1.	The City of Bacolod, through the Sangguniang Panlungsod 2020 intends to apply the sum of                                                                     </t>
  </si>
  <si>
    <t xml:space="preserve"> Republic of the Philippines BIDS AND AWARDS COMMITTEE Bacolod City INVITATION TO BID FOR THE PURCHASE OF MATERIALS FOR IMPROVEMENT OF FACILITIES AT SOCIAL DEVELOPMENT CENTER, BRGY. SINGCANG-AIRPORT, BACOLOD CITY 1.	The City of Bacolod, through the Sanggun</t>
  </si>
  <si>
    <t xml:space="preserve"> ITEM.	QTY	UNIT OF	DESCRIPTION NO.		ISSUE	 			 1	1000	pcs	4" CHB 2	100	bags	Portland Cement 3	8	cu.m.	Gravel Gi(6 wheeler DT) 4	8	cu.m.	Screened Sand S1(6 wheeler DT) 5	87	pcs	10mmØx.0mx6m RSB 6	5	kgs	#16 GI Tie Wire 7	1	pc	1/4"x4'x8' Marine Plywood 8	18	p</t>
  </si>
  <si>
    <t xml:space="preserve"> Republic of the Philippines Province of Cotabato Municipality of Aleosan Invitation to Bid for the  IMPROVEMENT OF SAN MATEO LEVEL III WATER SYSTEM 								JULY 23, 2020 		 1.	The Local Government Unit of Aleosan, through SALINTUBIG CY 2020 - DILG intends</t>
  </si>
  <si>
    <t xml:space="preserve"> The BAC will use non-discretionary pass/fall criteria in the Eligibility Check/Screening as well as the Preliminary Examination of Bids. All particulars relative to Eligibility Statement and Screening, Bid Security, Performance Security, Pre-Bidding Confe</t>
  </si>
  <si>
    <t xml:space="preserve"> Republic of the Philippines Province of Cotabato Municipality of Aleosan Invitation to Bid for the  IMPROVEMENT OF BARANGAY NEW LEON LEVEL II WATER SYSTEM 								JULY 23, 2020 		 1.	The Local Government Unit of Aleosan, through SALINTUBIG CY 2020 - DILG </t>
  </si>
  <si>
    <t xml:space="preserve"> INVITATION TO BID FOR THE CONSTRUCTION OF SLOPE PROTECTION WALL AT DIMATULANG CREEK, BRGY. ELEANOR TO FELY, MACONACON, ISABELA 1.	The Local Government Unit of Maconacon, through 2020 Economic Development Fund to apply the sum of Four Million Pesos (Php 4,</t>
  </si>
  <si>
    <t xml:space="preserve"> INVITATION TO BID FOR THE CONSTRUCTION OF FLOOD CONTROL AT DIANA, BRGY. DIANA, MACONACON, ISABELA 1.	The Local Government Unit of Maconacon, through 2020 Economic Development Fund to apply the sum of One Million Pesos (Php 1,000,000.00) being the Approved</t>
  </si>
  <si>
    <t xml:space="preserve"> INVITATION TO BID FOR THE CONSTRUCTION OF FLOOD CONTROL AT MALASIN, BRGY. MALASIN, MACONACON, ISABELA 1.	The Local Government Unit of Maconacon, through 2020 Economic Development Fund to apply the sum of One Million Pesos (Php 1,000,000.00) being the Appr</t>
  </si>
  <si>
    <t xml:space="preserve"> Specifications –PICK UP TRUCK 4x2 (J) M/T ENGINE TRANSMISSION Model					2GD-FTV (LOW) Type					2.4 L Diesel 4-Cylinder, 16-Valve DOHC Variable 					Nozzle Turbo with Front Mounted Intercooler Displacement				2.393 cc Maximum Output			147 / 3,400  hp/rpm M</t>
  </si>
  <si>
    <t xml:space="preserve"> July 20, 2020 INVITATION TO BID  The Department of Public Works and Highways, Mindoro Occidental District Engineering Office, Mamburao, Occidental Mindoro, through its Bids and Award Committee (BAC), invites contractors to submit bids for the following Co</t>
  </si>
  <si>
    <t xml:space="preserve"> INVITATION TO BID FOR THE CONSTRUCTION OF MINANGA SLOPE PROTECTION AT BRIDGE APPROACH, BRGY. MINANGA, MACONACON, ISABELA 1.	The Local Government Unit of Maconacon, through 2020 Economic Development Fund to apply the sum of One Million Pesos (Php 1,000,000</t>
  </si>
  <si>
    <t xml:space="preserve"> Repair/Maintenance of Barn House II, Cabid-an and Repair/Maintenance of DPWH Bldg. Quarters, Sorsogon 1st DEO, Guinlajon, Sorsogon City</t>
  </si>
  <si>
    <t xml:space="preserve"> INVITATION TO BID FOR Resurfacing of Shoulders along Gov. J.J. Linao Road (SO4822LZ) Binukawan Section (Both Sides) Bagac, Bataan The DPWH-Bataan 2nd District Engineering Office, through its Bids and Awards Committee (BAC) for Goods, invites suppliers to </t>
  </si>
  <si>
    <t xml:space="preserve"> Republic of the Philippines Province of Leyte Municipality of Hilongos INVITATION TO BID FOR THE PURCHASE OF ONE (1) UNIT LAPTOP FOR LAMAK CS 1.  The Local Government Unit of Hilongos, through SEF-CURRENT APPROPRIATION intends to apply the sum THIRTY THOU</t>
  </si>
  <si>
    <t xml:space="preserve"> UNIT                  DESCRIPTION                         QUANTITY SPL-1 INSTALLATION OF HOSPITAL LIFT ELEVATOR  Qty. = 1.00 lot  I. Materials  lot Hospital Lift Elevator 2 tons Capacity with 1 75KW motor incl. mechanical and electrical  installation incl</t>
  </si>
  <si>
    <t xml:space="preserve"> Republic of the Philippines Region X PROVINCE OF LANAO DEL NORTE Municipality of Linamon -oOo- BIDS AND AWARDS COMMITTEE (BAC) INVITATION TO BID FOR LABOR AND MATERIALS FOR THE IMPROVEMENT/ENHANCEMENT OF HISTORICAL SITES  Project Identification No. LIN-LD</t>
  </si>
  <si>
    <t xml:space="preserve"> Republic of the Philippines PROVINCE OF NUEVA VIZCAYA Invitation to Bid for the  IMPROVEMENT OF JCT. SALINAS-MAPAYAO-BINALIAN-BABADI-PINAYAG-NANSIAKAN ROAD Located at Kayapa, Nueva Vizcaya  1.	The Provincial Government of Nueva Vizcaya, through the 20% 20</t>
  </si>
  <si>
    <t xml:space="preserve"> Republic of the Philippines Province of Leyte Municipality of Hilongos INVITATION TO BID FOR THE PURCHASE OF LAPTOP FOR EBEIS ROOM OF HILONGOS SOUTH CENTRAL SCHOOL 1.  The Local Government Unit of Hilongos, through SEF-CURRENT APPROPRIATION intends to app</t>
  </si>
  <si>
    <t xml:space="preserve"> Republic of the Philippines PROVINCE OF NUEVA VIZCAYA Invitation to Bid for the  RECONSTRUCTION OF TUCAL BRIDGE APPROACH (ABUTMENT &amp; WATERWAY) Located at Solano, Nueva Vizcaya  1.	The Provincial Government of Nueva Vizcaya, through the PDRRMO Capital Outl</t>
  </si>
  <si>
    <t xml:space="preserve"> The Municipal Government of Pilar, through the General Fund (GAD Program) intends to apply the sum of Two Million Three Hundred Ninety Eight Thousand Three Hundred Thirty One &amp; 91/100 Pesos (P/2,398,331.91) being the Approved Budget for the COntract (ABC)</t>
  </si>
  <si>
    <t xml:space="preserve"> Improvement of Pathways along NRRES, L. Millan and P. Ramos St., Brgy. Poblacion West, Asingan, Pangasinan. Pre-Bid Conference – July 31, 2020 at 9:30 AM at the Conference Room of the Municipal Hall of Asingan Submission/Receipt/Opening of Bids :  August </t>
  </si>
  <si>
    <t xml:space="preserve"> INVITATION TO BID FOR THE CONSTRUCTION OF 2 UNITS PALAY SHED, AT BRGY. STA. MARINA AND SITIO DIADUAN, MACONACON, ISABELA 1.	The Local Government Unit of Maconacon, through 2020 Economic Development Fund to apply the sum of One Million Pesos (Php 1,000,000</t>
  </si>
  <si>
    <t xml:space="preserve"> Republic of the Philippines BIDS AND AWARDS COMMITTEE Bacolod City INVITATION TO BID FOR THE PROJECT FOR IMPROVEMENT OF BACOLOD ARTS CENTER, BCNHS CPD., BRGY. TACULING, BACOLOD CITY 1.	The City of Bacolod, through the Sangguniang Panlungsod 2020 intends t</t>
  </si>
  <si>
    <t xml:space="preserve"> Republic of the Philippines PROVINCE OF NUEVA VIZCAYA Invitation to Bid for the  REHABILITATION OF CVR BAYOMBONG-MASOC-AMBAGUIO ROAD (AMBAGUIO SECTION) Located at Ambaguio, Nueva Vizcaya  1.	The Provincial Government of Nueva Vizcaya, through the 20% 2020</t>
  </si>
  <si>
    <t xml:space="preserve"> Contract ID				           :   20II0064 Contract Name			                   :   Concreting of Brgy. Bangon to Brgy. Bonifacio to Brgy. Lonoy FMR, Brgy. Bangon, Brgy. Bonifacio &amp; Lonoy Contract Location			           :   Gamay, N. Samar	 Brief Description/Sco</t>
  </si>
  <si>
    <t xml:space="preserve"> INVITATION TO BID FOR THE CONSTRUCTION OF INFORMATION AND RESEARCH CENTER FOR FARMERS, BRGY. FELY, MACONACON, ISABELA 1.	The Local Government Unit of Maconacon, through 2020 Economic Development Fund to apply the sum of One Million Pesos (Php 1,000,000.00</t>
  </si>
  <si>
    <t xml:space="preserve"> Republic of the Philippines BIDS AND AWARDS COMMITTEE Bacolod City INVITATION TO BID FOR THE CONSTRUCTION OF DRUG REHABILITATION CENTER BRGY. ALIJIS, BACOLOD CITY 1.	The City of Bacolod, through the Sangguniang Panlungsod 2020 intends to apply the sum of </t>
  </si>
  <si>
    <t xml:space="preserve"> Republic of the Philippines 				Province of Eastern Samar 				Municipality of Mercedes OFFICE OF THE BIDS AND AWARDS COMMITTEE (BAC) INVITATION TO BID FOR THE PROCUREMENT CONSTRUCTION MATERIALS FOR THE REHABILITATION OF TEMPORARY SHELTRERS INVITATION TO B</t>
  </si>
  <si>
    <t xml:space="preserve"> Construction of Shoreline Protection (Seawall)				 117 	lm	Installation of scaffolding		 975 	pcs	Hauling of Concrete Blocks		 366.21 	cu.m	Concrete Works		 13,372.31 	kls	Reinforcement		 4,792 	cu.m	Embankment		 				 Concreting of Local Access Road				 1</t>
  </si>
  <si>
    <t xml:space="preserve"> Republic of the Philippines Province of Southern Leyte Municipality of Tomas Oppus Invitation to Bid  PROCUREMENT OF 50 SACKS OF RICE 1.	The Barangay Local Government Unit, Maslog, Tomas Oppus, Southern Leyte, through the Special Trust Fund- Calamity inte</t>
  </si>
  <si>
    <t xml:space="preserve"> INVITATION TO BID FOR Procurement of Network Equipment and Cables, DPWH-Bataan 2nd DEO 	 The DPWH-Bataan 2nd District Engineering Office, through its Bids and Awards Committee (BAC) for Goods, invites suppliers to submit bids for the following Contract: C</t>
  </si>
  <si>
    <t xml:space="preserve"> Concreting of Montay - USM Road</t>
  </si>
  <si>
    <t xml:space="preserve"> FLAT SCREEN TV</t>
  </si>
  <si>
    <t xml:space="preserve"> General Fund - Medicines					 1	Ferrous Sulfate tablet - 100/box	140	boxes		 2	Paracetamol 250mg/5ml-60ml/bot	1000	bots		 3	Paracetamol 500mg/tablet (100's/box)	50	boxes		 4	Ferrous Sulfate Syrup - 60ml/bot	1000	bots		 5	Amoxicillin Trihydrate 250mg/5ml-6</t>
  </si>
  <si>
    <t xml:space="preserve"> 1.	The Municipality of Daram, through the General Fund-2020 intends to apply the sum of One Million Six Hundred Thousand Pesos (P1,600,000.00) being the Approved Budget for the Contract (ABC) to payments under the contract for the Supply and Delivery of S</t>
  </si>
  <si>
    <t xml:space="preserve"> Republic of the Philippines PROVINCE OF NUEVA VIZCAYA Invitation to Bid for the  CONCRETING OF CVR BASCARAN-SINGIAN-AGGUB ROAD Located at Solano, Nueva Vizcaya  1.	The Provincial Government of Nueva Vizcaya, through the 20% 2020 Development Fund  intends </t>
  </si>
  <si>
    <t xml:space="preserve"> PaPart A. Facilities for the Engineer A.1.1(6) Provision of Combined Field Office, Laboratory and Quarters Building for the Engineers (Rental Basis ) month 4.00 A.1.1.(11) Provision of Furniture/fixtures, Equipment and Appliances for the Field Office for </t>
  </si>
  <si>
    <t xml:space="preserve"> Part A. Facilities for the Engineer A.1.1(6) Provision of Combined Field Office, Laboratory and Quarters Building for the Engineers (Rental Basis ) month 3.00 A.1.1.(11) Provision of Furniture/fixtures, Equipment and Appliances for the Field Office for th</t>
  </si>
  <si>
    <t xml:space="preserve"> Republic of the Philippines PROVINCE OF NUEVA VIZCAYA Invitation to Bid for the  REHAB./UPGRADING OF CADINGRASAN BRIDGE Located at Villaverde, Nueva Vizcaya  1.	The Provincial Government of Nueva Vizcaya, through the PDRRMO Capital Outlay 2017 &amp; PDRMMO Ca</t>
  </si>
  <si>
    <t xml:space="preserve"> Construction of Intake box Installation of Pipes</t>
  </si>
  <si>
    <t xml:space="preserve"> Part A. Facilities for the Engineer  A.1.1(6) Provision of Combined Field Office, Laboratory and Quarters Building for the                                        Engineers (Rental Basis )                                                                    </t>
  </si>
  <si>
    <t xml:space="preserve"> Republic of the Philippines SUGAR REGULATORY ADMINISTRATION North Avenue, Diliman, Quezon City 													                                            7/23/2020 										         Date REQUEST FOR QUOTATION Gentlemen: 		Please quote your lowest prices, t</t>
  </si>
  <si>
    <t xml:space="preserve"> Construction of 1-Unit 2-Storey Isolation Building with Amenities (Phase 1) (Concrete Ground Floor Dimension = 8m x 18m) with Gendered Comfort Room, Smooth Finished Masonry and Fully Tainted Glass Wall, 10-Bedrooms capacity for COVID-19 Patient with Light</t>
  </si>
  <si>
    <t xml:space="preserve"> CONCRETING OF BARANGAY ROAD @ ZONE 6 CULLIT, LAL-LO, CAGAYAN</t>
  </si>
  <si>
    <t xml:space="preserve"> Concreting of Kiloyao Road  Brgy. Kiloyao, Libungan, Cotabato</t>
  </si>
  <si>
    <t xml:space="preserve"> Material cost Labor cost</t>
  </si>
  <si>
    <t xml:space="preserve"> ITEM NO. UNIT QTY DESCRIPTION 1.  160 BOX PRENATAL MIKL 375 GR/BOX 2.  160 CANS BISCUIT 850 GR/CAN 3.  5200 TABS PRENATAL VITAMINS</t>
  </si>
  <si>
    <t xml:space="preserve"> Republic of the Philippines PROVINCE OF NUEVA VIZCAYA Invitation to Bid for the  RECONSTRUCTION OF LABBUNAN BRIDGE (ABUTMENT &amp; WATERWAY) Located at Villaverde, Nueva Vizcaya  1.	The Provincial Government of Nueva Vizcaya, through the PDRRMO Capital Outlay</t>
  </si>
  <si>
    <t xml:space="preserve"> FURNISHING OF LABOR AND MATERIALS FOR THE CONSTRUCTION OF MULTIPURPOSE GYM/ EVACUATION CENTER OF BARANGAY NAPNAPAN NORTE, SITIO NASULI, TIGBAUAN, ILOILO</t>
  </si>
  <si>
    <t xml:space="preserve"> ITEM     DESCRIPTION                       QTY.          UNIT I.         MASONRY                            15 x 25         m</t>
  </si>
  <si>
    <t xml:space="preserve"> INVITATION TO BID FOR THE CONSTRUCTION OF FELY DRAINAGE SYSTEM PHASE II, BRGY. FELY, MACONACON, ISABELA 1.	The Local Government Unit of Maconacon, through 2020 Economic Development Fund to apply the sum of One Million Five Hundred Pesos (Php 1,500,000.00)</t>
  </si>
  <si>
    <t xml:space="preserve"> INVITATION TO BID  PROCUREMENT OF RADIOLOGIC EQUIPMENT  (ULTRASOUND &amp; FULL DIGITAL MOBILE X-RAY MACHINE) MRH-008-2020 1.	The Margosatubig Regional Hospital, through the funding source of Hospital Income intends to apply the sum of Fifteen Million Eight Hu</t>
  </si>
  <si>
    <t xml:space="preserve"> Contract ID: 20-DO-0087 Contract Name: LOCAL PROGRAM – Local Infrastructure Program – Buildings and other Structures – Multipurpose/Facilities – Construction of Multi-purpose Building (Barangay Health Center), Sub-Urban Village, Brgy. San Jose, Rodriguez,</t>
  </si>
  <si>
    <t xml:space="preserve"> Provision of 1-Unit Disaster Risk Reduction and Management (DRRM) Quick Response Vehicle, Brand New 4-Cylinder Diesel Engine Disaster Vehicle, Engine Displacement at least 2,400 cc, 5-Speed Manual/ 4WD, Rock &amp; Pinion with Power assist Steering and with LT</t>
  </si>
  <si>
    <t xml:space="preserve"> Contract ID:	20DL0232 Contract Name:	CONCRETING OF BAGONG SILANG FMR, BRGY. BAGONG SILANG, TAGKAWAYAN, QUEZON Contract Location:	TAGKAWAYAN, QUEZON Brief Description:		CONCRETING OF FARM – TO – MARKET ROAD Approved Budget for the Contract (ABC):	PHP   11,</t>
  </si>
  <si>
    <t xml:space="preserve"> Republic of the Philippines Province of zamboanga Sibugay Municipality of Olutanga 7014 July 23, 2020 NOTICE TO THE PUBLIC REPOSTING INVITIATION TO APPLY FOR ELIGIBILITY AND TO BID All interested bidders are invited to Pre-qualify and participate in seale</t>
  </si>
  <si>
    <t xml:space="preserve"> 1. 3 set ANTI-STREPTOLYSIN 0 set, 100ml x 2/set 2. 3 set APTT-EA, 5x 8ml/set 3. 1 bottle ANTI-FUNGI SOLUTION (For Microscope) 4. 1 piece BLOOD GAS PO2 ELECTRODE 5. 1 piece BLOOD GAS pH ELECTRODE 6. 1 piece BLOOD GAS REFERENCE ELECTRODE 7. 3 set CALCIUM CH</t>
  </si>
  <si>
    <t xml:space="preserve"> Republic of the Philippines Province of Oriental Mindoro MUNICIPALITY OF NAUJAN BIDS AND AWARDS COMMITTEE INVITATION TO BID SUPPLY AND DELIVERY MATERIALS TO BE USED IN THE CONCRETING OF ROADS IN 8 DIFFERENT BARANGAYS, NAUJAN, ORIENTAL MINDORO 1. 	The Muni</t>
  </si>
  <si>
    <t xml:space="preserve"> Farm Inputs: Certified Inbreed Seeds : 400 bags@40kg/bag X Php 1,300.00/bag        = Php 520,000.00 Urea Red (46-0-0)         : 373.6 bag@50kg/bag  X @Php 985.00/bag     = Php 367,996.00 Complete(14-14-14)      : 400 bags@50kg/bag X Php 1,130.00/bag      </t>
  </si>
  <si>
    <t xml:space="preserve"> Republic of the Philippines DEPARTMENT OF PUBLIC WORKS AND HIGHWAYS CAGAYAN THIRD DISTRICT ENGINEERING OFFICE REGION II Tuguegarao City The DPWH-CAGAYAN THIRD DISTRICT ENGINEERING OFFICE, through the GAA FY-2020 intends to apply the sum of P1,000,000.00 b</t>
  </si>
  <si>
    <t xml:space="preserve"> CONCRETE PAVEMENT OF 106m x 0.20m thk AND SPILLWAY WITH WING WALL AT PUROK 3</t>
  </si>
  <si>
    <t xml:space="preserve"> Republic of the Philippines PROVINCE OF NORTHERN SAMAR BIDS AND AWARDS COMMITTEE Catarman Various Office Equipment for Different Departments/Offices Province of Northern Samar NS-07-24-20 1.	The Provincial Government of Northern Samar, through the SP Ordi</t>
  </si>
  <si>
    <t xml:space="preserve"> Republic of the Philippines Province of Batangas Municipality of Sto. Tomas Barangay San Vicente INVITATION TO BID The Barangay Government of San Vicente, Sto. Tomas, Batangas through its Bids and Awards Committee ( BAC) invites suppliers/dealers/contract</t>
  </si>
  <si>
    <t xml:space="preserve"> INVITATION TO BID FOR THE CONSTRUCTION OF OVERFLOW CONCRETE BRIDGE PHASE II AT ZONE 7, BRGY. MALASIN, MACONACON, ISABELA 1.	The Local Government Unit of Maconacon, through 2020 Economic Development Fund to apply the sum of One Million Five Hundred Pesos (</t>
  </si>
  <si>
    <t xml:space="preserve"> 1 "Unit(s)" "Riso Graph Machine -" "Machine Model : (Black &amp; White Printing with Automatic Sorting) Freebies : Heavy Duty Electronic Printing Stapler for Book Binding Specification : * 24/7 non-stop operation; cold printing process * Variable Data Printin</t>
  </si>
  <si>
    <t xml:space="preserve"> Mobilization/ Demobilization Temporary Facilities Occupational Safety and Health Measures Clearing and Grubbing Removal of RCPC Roadway Excavation Pipe Culvert and Drainage Excavation Embankment (Selected Borrow Sub-Grade Preparation Aggregate Sub-Base Co</t>
  </si>
  <si>
    <t xml:space="preserve"> The Municipal Government of San Mariano, Isabela invite Bidders to participate in this procurement. CONCRETING OF BINATUG-LUZCON GANGALAN ROAD SECTION, Gangalan San Mariano, Isabela Approved Budget: Php  Php11,537,272.89  Contract Duration: 120 CD Bidding</t>
  </si>
  <si>
    <t xml:space="preserve"> CONSTRUCTION OF 7.15m x  9.15m SCHOOL BUILDING</t>
  </si>
  <si>
    <t xml:space="preserve"> 1.	The Municipality of Dagami, through the General Fund (MOOE/Capital Outlay)intends to apply the sum of One Million Seventy Nine Thousand Six Hundred Twenty One Pesos &amp; 71/100 Only (PhP. 1,079,621.71) being the Approved Budget for the Contract (ABC) to p</t>
  </si>
  <si>
    <t xml:space="preserve"> Public bidding is now open for the procurement of Managed Cloud Services. Kindly check the attached Terms of Reference to comply with the requirement. Please send email to the undersigned: ruby08abriol@gmail.com if you cannot view/download the attache Bid</t>
  </si>
  <si>
    <t xml:space="preserve"> Republic of the Philippines DEPARTMENT OF PUBLIC WORKS AND HIGHWAYS CAGAYAN THIRD DISTRICT ENGINEERING OFFICE REGION II Tuguegarao City The DPWH-CAGAYAN THIRD DISTRICT ENGINEERING OFFICE, through the GAA FY-2020 intends to apply the sum of P1,980,000.00 b</t>
  </si>
  <si>
    <t xml:space="preserve"> INVITATION TO BID FOR THE SUPPLY, DELIVERY, INSTALLATION AND COMMISSIONING OF VARIOUS OB-GYNE EQUIPMENT 1.  The Cagayan Valley Medical Center (CVMC), intends to apply the sum Five Million One Hundred Thirty Thousand Pesos (Php 5,130,000.00 ) being the App</t>
  </si>
  <si>
    <t xml:space="preserve"> Labor and Materials Construction of Pumping Station Location: Brgy. Inandawa, Ragay *Mobilization &amp; demobilization *Deepwell DRlilling *Electromechanical System *Electric Logging *Installation of pipe casing w/ screen pipe *Pipe Laying *Well Development b</t>
  </si>
  <si>
    <t xml:space="preserve"> Rehabilitation of Creek</t>
  </si>
  <si>
    <t xml:space="preserve"> INVITATION TO APPLY FOR ELIGIBILITY AND TO BID (IAEB No. 02 -2020) Republic of the Philippines Barangay Government of Ligpit Bantayan Barangay Ligpit Bantayan Guinayangan, Quezon Supply and Delivery of Construction Materials 1.	The BARANGAY GOVERNMENT OF </t>
  </si>
  <si>
    <t xml:space="preserve"> INVITATION TO BID FOR THE CONSTRUCTION OF MDRRM OPERATION CENTER, BRGY. FELY, MACONACON, ISABELA 1.	The Local Government Unit of Maconacon, through 2020 LDRRM Fund to apply the sum of One Million Five Hundred Pesos (Php 1,500,000.00) being the Approved Bu</t>
  </si>
  <si>
    <t xml:space="preserve"> Contract ID: 20-DO-0088 Contract Name: Public Markets/Farmers Markets (Bagsakan Centers) and Public Cemeteries Projects – Expansion of Rodriguez Municipal Public Cemetery Contract Location	: Rodriguez, Rizal Brief Description	: Expansion of Municipal Publ</t>
  </si>
  <si>
    <t xml:space="preserve"> Local Government of Valencia Catarata Street, Poblacion, Valencia City,  Bukidnon, Philippines Philippine access (088) 828-5430 Contract Reference No. 12-2020 07/23/2020 INVITATION TO BID FOR THE PROPOSED CONSTRUCTION OF DRAINAGE CANAL AT MANANGKILA ST., </t>
  </si>
  <si>
    <t xml:space="preserve"> 4. Contract ID:	20ND0078         Contract Name:	Concreting of Purok 6, Brgy. Bonbon FMR, Brgy. Bonbon, Butuan City         Contract Location:	Butuan City         Brief Description:	Road Concreting PCCP - RCP           Approved Budget for the Contract (ABC</t>
  </si>
  <si>
    <t xml:space="preserve"> 3. Contract ID:	20ND0077         Contract Name:	Concreting of Brgy. Lemon to Brgy. Basag FMR, Brgy. Lemon and Brgy. Basag, Butuan City,  Agusan del Norte 1st  LD         Contract Location:	Butuan City         Brief Description:	Road Concreting PCCP - RCP </t>
  </si>
  <si>
    <t xml:space="preserve"> 2. Contract ID:	20ND0076         Contract Name:	Concreting of Purok 3, Sitio Kabacungan, Brgy. Kinamlutan to Sitio Mandakpan, Brgy. San Vicente FMR, Butuan City Agusan del Norte 1st LD         Contract Location:	Butuan City         Brief Description:	Road</t>
  </si>
  <si>
    <t xml:space="preserve"> Republic of the Philippines Province of Bukidnon MUNICIPALITY OF KIBAWE O0o0o Bids and Awards Committee INVITATION TO BID July 23, 2020 The Local Government of Kibawe, Kibawe, Bukidnon through its Bids and Awards Committee (BAC), invites contractor’s regi</t>
  </si>
  <si>
    <t xml:space="preserve"> Republic of the Philippines City Government of Cotabato OFFICE OF THE CITY MAYOR Cotabato City INVITATION TO BID FOR  Purchase of Rescue Vehicle for Use of  City Disaster Risk Reduction and Management Office 1.	The City Government of Cotabato, through the</t>
  </si>
  <si>
    <t xml:space="preserve"> PLEASE SEE ATTACHED PURCHASE REQUISITION, TERMS OF REFERENCE &amp; BID DOCUMENTS FOR DETAILS.</t>
  </si>
  <si>
    <t xml:space="preserve"> Republic of the Philippines					 			Department of Agriculture					 			         BUREAU OF FISHERIES AND AQUATIC RESOURCES					 			Fisheries Regional Office No. 10					 			Macabalan, Cagayan de Oro City					 			TIN – 000-550-823-017					 ___________________</t>
  </si>
  <si>
    <t xml:space="preserve"> CONCRETE PAVEMENT OF 140m x 0.20mthk AT SITIO BAGONG SILANG</t>
  </si>
  <si>
    <t xml:space="preserve"> Republic of the Philippines DEPARTMENT OF PUBLIC WORKS AND HIGHWAYS CAGAYAN THIRD DISTRICT ENGINEERING OFFICE REGION II Tuguegarao City The DPWH-CAGAYAN THIRD DISTRICT ENGINEERING OFFICE, through the GAA FY-2020 intends to apply the sum of P12,593,000.00 </t>
  </si>
  <si>
    <t xml:space="preserve"> 1.	The Department of Labor and Employment Regional Office VIII thru its Bids and Awards Committee, through the 2020 General Appropriations Act  intends to apply the sum of:  Lot 1: Supply and delivery of fabricated Nego Carts 		₱ 252,000.00 Lot 2: Supply </t>
  </si>
  <si>
    <t xml:space="preserve"> Republic of the Philippines Province of Bukidnon MUNICIPALITY OF KIBAWE O0o0o Bids and Awards Committee INVITATION TO BID July 23, 2020 The Local Government of  Kibawe, Kibawe, Bukidnon through its Bids and Awards Committee (BAC), invites contractor’s reg</t>
  </si>
  <si>
    <t xml:space="preserve"> Republic of the Philippines PROVINCE OF SURIGAO DEL NORTE MUNICIPALITY OF DEL CARMEN INVITATION TO BID The Local Government Unit of the Municipality of Del Carmen, Province of Surigao del Norte, through its Bids and Awards Committee (BAC), invites contrac</t>
  </si>
  <si>
    <t xml:space="preserve"> CONCRETING OF PILI-KARIHATAG ROAD (SOHOTON SECTION BYPASS) MUNICIPALITY OF MALIMONO, SURIGAO DEL NORTE Brief Description:	 The project will involve the Concreting of Pili-Karihatag Road (Sohoton Section Bypass) with the following scope of works: Provision</t>
  </si>
  <si>
    <t xml:space="preserve"> Please download and view the associated component PDF document for the complete details/specs of the item(s).</t>
  </si>
  <si>
    <t xml:space="preserve"> Please see attached asociated components &amp; download the complete bidding documents through the lonkage below.</t>
  </si>
  <si>
    <t xml:space="preserve"> CONCRETE PAVEMENT  OF 140m x 0.20mthk AT SITIO CENTRO</t>
  </si>
  <si>
    <t xml:space="preserve"> Department of Education Region VI-Western Visayas Division of Cadiz City Mabini National High School INVITATION TO BID FOR THE PROCUREMENT OF VARIOUS PAINTS- MNHS 2020 1.	The Mabini National High School  of Cadiz City, through the Schools MOOE Fund CY 202</t>
  </si>
  <si>
    <t xml:space="preserve"> Republic of the Philippines DEPARTMENT OF PUBLIC WORKS AND HIGHWAYS CAGAYAN THIRD DISTRICT ENGINEERING OFFICE REGION II Tuguegarao City The DPWH-CAGAYAN THIRD DISTRICT ENGINEERING OFFICE, through the GAA FY-2020 intends to apply the sum of P68,515,000.00 </t>
  </si>
  <si>
    <t xml:space="preserve"> Section I. Invitation for Re-Bidding Republic of the Philippines Philippine Rural Development Project Invitation for Re-bidding for the  Construction of Heirloom Rice Center in Support to Heirloom Rice Processing and Marketing Identification No. PRDP-IR-R</t>
  </si>
  <si>
    <t xml:space="preserve"> 1. Contract ID:	20ND0075         Contract Name:	Concreting of Purok 6, Brgy. Bobon FMR, Brgy. Bobon, Butuan City         Contract Location:	Butuan City         Brief Description:	Road Concreting PCCP - RCP           Approved Budget for the Contract (ABC):</t>
  </si>
  <si>
    <t xml:space="preserve"> Local Government of Valencia Catarata Street, Poblacion, Valencia City,  Bukidnon, Philippines Philippine access (088) 828-5430 Contract Reference No. 11-2020 07/23/2020 INVITATION TO BID FOR THE PROPOSED CONSTRUCTION OF BAHAY PAG-ASA PHASE II AT POBLACIO</t>
  </si>
  <si>
    <t xml:space="preserve"> CONCRETING/CONSTRUCTION OF FARM TO MARKET ROAD BRGY. ANOMAR, SURIGAO CITY Brief Description:	The project will involve the Concreting/Construction of with the following scope of works: Construction of Field Office for Engineers, Vehicles for Engineers, Con</t>
  </si>
  <si>
    <t xml:space="preserve"> Republic of the Philippines MUNICIPALITY OF ECHAGUE Province of Isabela INVITATION TO BID FOR  THE  PROCUREMENT OF  GOAT AND SHEEP  ( INCLUDE SKILLS TRAINING) 1.	The Local Government Unit , through  the  DA   FUND(Grant)   AND LGU  FUND  Of  2020  intends</t>
  </si>
  <si>
    <t xml:space="preserve"> INVITATION TO BID The Iligan City Government Bids and Awards Committee (BAC), through 2020-Special Education Fund intends to apply the sum of                                    P 6,840,000.00 being the Approved Budget for the Contract (ABC) to payments un</t>
  </si>
  <si>
    <t xml:space="preserve"> CONCRETE PAVEMNET OF 140m x 0.20mthk AT SITO HULO</t>
  </si>
  <si>
    <t xml:space="preserve"> 1.	The OCCIDENTAL MINDORO STATE COLLEGE (OMSC), through the General Fund intend to apply the sum of One Million Seventy-Eight Thousand Six Hundred Pesos Only (Php1,078,600.00) being the Approved Budget for the Contract (ABC) to payments under the contract</t>
  </si>
  <si>
    <t xml:space="preserve"> The Local Government Unit of Barugo, through the General Fund – 5% Municipal Disaster Risk Reduction Management Fund intends to apply the sum of One Hundred Ninety Eight Thousand Pesos only (Php198,000.00) being the Approved Budget for the Contract (ABC) </t>
  </si>
  <si>
    <t xml:space="preserve"> PHILIPPINE BIDDING DOCUMENTS (As Harmonized with Development Partners) PURCHASE OF PLASTIC CHAIRS Brgy. Militar, Tukuran, Zamboanga del Sur Fourth Edition December 2010   Preface These Philippine Bidding Documents (PBDs) for the procurement of Goods throu</t>
  </si>
  <si>
    <t xml:space="preserve"> The Local Government Unit of Barugo, through the General Fund intends to apply the sum of Two Hundred Ninety Nine Thousand Nine Hundred Eighty Pesos only (Php299,980.00) being the Approved Budget for the Contract (ABC) to payments under the contract for P</t>
  </si>
  <si>
    <t xml:space="preserve"> 1.	The Department of Science and Technology, through the General Appropriations Act (GAA) for CY 2020, intends to apply the sum of THREE MILLION FOUR HUNDRED THIRTY-ONE THOUSAND THREE HUNDRED TWO PESOS only (Php3,431,302.00) being the Approved Budget for </t>
  </si>
  <si>
    <t xml:space="preserve"> Republic of the Philippines Province of Leyte Municipality of Hilongos Barangay Paa INVITATION TO BID FOR THE PROCUREMENT OF MATERIALS FOR THE CONSTRUCTION OF PATHWAY PUROK 1TO 7 1.	The Sangguniang Barangay of Barangay Paa, Hilongos, Leyte, through the Ge</t>
  </si>
  <si>
    <t xml:space="preserve"> CONSTRUCTION OF 0.20M THK BARANGAY ROAD</t>
  </si>
  <si>
    <t xml:space="preserve"> The Local Government Unit of the Island Garden City of Samal, through the Supplemental Budget No. 3 CY 2020 intends to apply the sum of One Million Twenty Three Thousand Five Hundred Pesos only (₱1,023,500.00) being the Approved Budget for the Contract (A</t>
  </si>
  <si>
    <t xml:space="preserve"> The Bureau of Fisheries and Aquatic Resources Region XI now invites bids for the Supply and Delivery of ICT Equipment Units and Hardware Peripherals CY 2020 for the maintenance and update of BFAR XI ICT equipment.  Approved Budget of Contract - Php 1, 600</t>
  </si>
  <si>
    <t xml:space="preserve"> Invitation to Bid 1.	The MUNICIPAL GOVERNMENT OF SAN VICENTE, PALAWAN, through the 20% Development Fund for CY 2020 intends to apply the sum of  ONE MILLION THREE HUNDRED SIXTY-FIVE THOUSAND THREE HUNDRED THIRTY-NINE PESOS (Php 1,365,339.00) being the App</t>
  </si>
  <si>
    <t xml:space="preserve"> CONSTRUCTION 0.20M THK BARANGAY ROD</t>
  </si>
  <si>
    <t xml:space="preserve"> PLEASE SEE ATTACHED DOCUMENT</t>
  </si>
  <si>
    <t xml:space="preserve"> CONSTRUCTION/CONCRETING OF PROVINCIAL ROADS, HIGHWAYS AND BRIDGES (PILI-KARIHATAG ROAD SOHOTON SECTION BYPASS) (PHASE-II) MUNICIPALITY OF MALIMONO, SURIGAO DEL NORTE Brief Description:	The project will involve the Concreting of 0.44876 km Road with the fo</t>
  </si>
  <si>
    <t xml:space="preserve"> LOT-1  		Approved Budget for the Contract (ABC) P 967,283.00	 1.	piece	30	Acetate (81/2"x11)	  2.	piece	12	A4 Plastic Clipboard	  3.	ream	1	Art Paper Assorted Color 	   4.	ream	1	Asstd. Colored bond paper, A4 size, neon color, 80gsm	   5.	box		35	Ballpen,</t>
  </si>
  <si>
    <t xml:space="preserve"> 1 Developer Black (DX-36FVBA)	5pcs 2 Developer C/M/Y (DX-36FVSA)	5pcs 3 Drum Black (DX-36FRSA)	5pcs 4 Drum C/M/Y (DX-36FRSAX3)	5pcs 5 Lower Heat Roller Kit (MX-200LH)	5pcs 6 Upper Heat Roller Kit (MX-200UH)	5pcs 7 Primary Transfer Cleaning Blade Kit (MX-2</t>
  </si>
  <si>
    <t xml:space="preserve"> Department of Health TONDO MEDICAL CENTER ISO 9001:2008 Certified Philhealth Accredited “Health care within your reach”  BIDS AND AWARDS COMMITTEE INVITATION TO BID  1.	The Tondo Medical Center (TMC), through the General Appropriations Act (GAA)   intends</t>
  </si>
  <si>
    <t xml:space="preserve"> INVITATION TO BID FOR THE PROCUREMENT OF SUPPLY &amp; DELIVERY OF 2,200 BAGS VARIOUS NSIC APPROVED HYBRID RICE SEEDS     1.	The Department of Agriculture Regional Field Office 6 through the General Appropriations Act (GAA) of 2020 intends to apply the sum of </t>
  </si>
  <si>
    <t xml:space="preserve"> 1.The Brgy. Pondang, through the LGSF-DBM intends to apply the sum of Seven Hundred Fifty Thousand Pesos Only (P750,000.00) being the Approved Budget for the Contract (ABC) to payments under the contract for Construction of Multi-purpose Hall. Bids receiv</t>
  </si>
  <si>
    <t xml:space="preserve"> Republic of the Philippines Department of Health QUIRINO MEMORIAL MEDICAL CENTER Project 4, Quezon City INVITATION TO BID FOR Procurement of Various MEDICAL SUPPLIES The Quirino Memorial Medical Center, through the REGULAR FUND / INCOME FUND AND REVOLVING</t>
  </si>
  <si>
    <t xml:space="preserve"> Republic of the Philippines DEPARTMENT OF PUBLIC WORKS AND HIGHWAYS ZAMBOANGA DEL NORTE  1ST DISTRICT ENGINEERING OFFICE REGIONAL OFFICE IX Sta. Isabel, Dipolog City INVITATION TO BID The  DPWH ZN 1st District Engineering Office , through its Bids and Awa</t>
  </si>
  <si>
    <t xml:space="preserve"> 80 bd.ft 2x4x12 Coco Lumber 10 kls CW Nails, Assorted 2 roll Nylon String 461 bag Cement 29 Cu.m. Washed Sand 58 cu.m. Gravel 5 pcs Concrete Pail</t>
  </si>
  <si>
    <t xml:space="preserve"> The Local Government Unit of the Island Garden City of Samal, through the Supplemental Budget No. 3 CY 2020 intends to apply the sum of Two Million Seven Hundred Thirty Nine Thousand Three Hundred Pesos only (₱2,739,300.00) being the Approved Budget for t</t>
  </si>
  <si>
    <t xml:space="preserve"> Supply and Delivery of Various Construction Materials</t>
  </si>
  <si>
    <t xml:space="preserve"> Procurement ID/Contract ID:	20PI0100 Contract Name:	Structural Improvement of Public Buildings and Construction of Evacuation Centers - Cordillera Administrative Region, Construction of Evacuation Center, Bilibid, Caluttit, Bontoc, Mountain Province Contr</t>
  </si>
  <si>
    <t xml:space="preserve"> INVITATION TO BID The Department of Public Works and Highways (DPWH), Laguna III District Engineering Office San Pablo City Region IV-A, through its Bids and Awards Committee (BAC), invites Contractors to submit bids for the following Contract: Contract I</t>
  </si>
  <si>
    <t xml:space="preserve"> Republic of the Philippines Department of Health Cagayan Valley Center for Health Development BATANES GENERAL HOSPITAL Basco, Batanes E-mail Address: bataneshospital@gmail.com INVITATION TO BID ITB NO. 2020-07 Supply&amp; Delivery of Various Medicines (Re-bid</t>
  </si>
  <si>
    <t xml:space="preserve"> Invitation to Bid 1.	The MUNICIPAL GOVERNMENT OF SAN VICENTE, PALAWAN, through the General Fund for CY 2020 intends to apply the sum of  SIX HUNDRED SIXTEEN THOUSAND THREE HUNDRED FORTY-SIX PESOS AND FORTY CENTAVOS (Php 616,346.40) being the Approved Budg</t>
  </si>
  <si>
    <t xml:space="preserve"> Republic of the Philippines Province of Leyte Municipality of Kananga BIDS AND AWARDS COMMITTEE INVITATION TO BID FOR PROCUREMENT OF ONE (1) UNIT MANLIFTER 1.	The Municipality of Kananga, through the Trust Fund – DOE-DLF intends to apply the sum of Seven </t>
  </si>
  <si>
    <t xml:space="preserve"> Construction of One (1) Unit Water System</t>
  </si>
  <si>
    <t xml:space="preserve"> The Local Government Unit of Aglipay through 20% Barangay Development Fund CY 2020  intends to apply the sum of Three Hundred Forty Thousand Two Hundred Seventy Seven Pesos and 10/100 (Php 340,277.10) being the Approved Budget for the Contract (ABC) to pa</t>
  </si>
  <si>
    <t xml:space="preserve"> Invitation to Bid 1.	The MUNICIPAL GOVERNMENT OF SAN VICENTE, PALAWAN, through the Municipal Disaster Risk Reduction Management Office (MDRRMO) SUPPLEMENTAL BUDGET NO. 03. S, 2020 intends to apply the sum of  TWO MILLION FIVE HUNDRED THOUSAND PESOS (Php 2</t>
  </si>
  <si>
    <t xml:space="preserve"> The Local Government Unit of Aglipay, through its General Fund – Maintenance and Other Operating Expenses (MOOE) intends to apply the sum of Four Hundred Nine One Thousand Six Hundred Forty One Pesos and 50/100 (Php 491,641.50) being the Approved Budget f</t>
  </si>
  <si>
    <t xml:space="preserve"> Pls. see attached documents</t>
  </si>
  <si>
    <t xml:space="preserve"> Republic of the Philippines Province of Nueva Vizcaya BIDS AND AWARDS COMMITTEE (BAC-Goods) BAC OFFICE, Provincial Capitol, Bayombong, Nueva Vizcaya 	 REQUEST FOR QUOTATION (RFQ) For the Procurement of 4 pcs Tires for  BM Rolando M. Carub  For the Sanggui</t>
  </si>
  <si>
    <t xml:space="preserve"> Republic of the Philippines PROVINCE OF PANGASINAN BIDS AND AWARD COMMITTEE (BAC) Brgy. Lobong, San Jacinto, Pangasinan Mobile No. 09073336426 INVITATION TO BID The Barangay Lobong, San Jacinto, Pangasinan, though its Bids and Award Committee (BAC), invit</t>
  </si>
  <si>
    <t xml:space="preserve"> Republic of the Philippines DEPARTMENT OF PUBLIC WORKS AND HIGHWAYS CAGAYAN 2ND DISTRICT ENGINEERING OFFICE Regional Office II Abulug, Cagayan July 21, 2020 INVITATION TO BID  The Cagayan 2nd District Engineering Office, Abulug, Cagayan, through its Bids </t>
  </si>
  <si>
    <t xml:space="preserve"> The Local Government Unit of the Island Garden City of Samal, through the General Fund intends to apply the sum of One Million Pesos (₱1,000,000.00) being the Approved Budget for the Contract (ABC) to payments under the contract for Purchase of Database S</t>
  </si>
  <si>
    <t xml:space="preserve"> Republic of the Philippines Province of Davao de Oro BIDS AND AWARDS COMMITTEE BARANGAY POBLACION Maco, Compostela Valley Invitation to Bid for the Construction of Barangay Health Center Masara, Maco, Davao de Oro Province 1.	The Barangay Masara of Maco, </t>
  </si>
  <si>
    <t xml:space="preserve"> Republic of the Philippines Province of Davao de Oro BIDS AND AWARDS COMMITTEE BARANGAY POBLACION Maco, Compostela Valley Invitation to Bid for the Concreting of Roads Masara, Maco, Davao de Oro Province 1.	The Barangay Masara of Maco, through the (Nation</t>
  </si>
  <si>
    <t xml:space="preserve"> MUNICIPALITY OF BONTOC Bontoc, Mountain Province Invitation to Bid for Construction of Municipal Parking Space INFRA 2020-13/7130946 1.	The Municipal Local Government Unit of Bontoc through the Budget Approve by the Sanggunian intends to apply the sum of </t>
  </si>
  <si>
    <t xml:space="preserve"> Invitation to Bid 1.	The MUNICIPAL GOVERNMENT OF SAN VICENTE, PALAWAN, through the General Fund for CY 2020 intends to apply the sum of  ONE MILLION SIX HUNDRED SEVEN THOUSAND TWO HUNDRED ONE PESOS AND TWENTY-TWO CENTAVOS  (Php 1,607,201.22) being the App</t>
  </si>
  <si>
    <t xml:space="preserve"> CONSTRUCTION/IMPROVEMENT OF PROVINCIAL MANPOWER AND TRAINING CENTER CAPITOL ROAD, SURIGAO CITY Brief Description:	The project will involve the CONCSTRUCTION/IMPROVEMENT OF PROVINCIAL MANPOWER AND TRAINING CENTER WITH THE FOLLOWING SCOPE OF WORKS: Gen. req</t>
  </si>
  <si>
    <t xml:space="preserve"> Invitation to Bid 1.	The MUNICIPAL GOVERNMENT OF SAN VICENTE, PALAWAN, through the General Fund for CY 2020 intends to apply the sum of  TWO HUNDRED SEVENTY THOUSAND PESOS (Php 270,000.00) being the Approved Budget for the Contract (ABC) to payments under</t>
  </si>
  <si>
    <t xml:space="preserve"> Location: PSU Goa campus Bidding Fee: P 3,500.00 (Non-refundable) Schedule of activities: 1. Issuance and availability of Bid Documents: July 24, 2020 until 12:00 noon of August 18, 2020  (except week-ends &amp; Holidays at the BAC Secretariat Office, PSU-Goa</t>
  </si>
  <si>
    <t xml:space="preserve"> MUNICIPALITY OF BONTOC Bontoc, Mountain Province Invitation to Bid for Cluster 09-2020 (1. Installation of Railings and Construction of Drainage Towards Favuyan Barangay Health Center 2. Improvement of Tobtob Pathway with Slope Protection, Bontoc Ili 3.Co</t>
  </si>
  <si>
    <t xml:space="preserve"> Invitation to Bid 1.	The MUNICIPAL GOVERNMENT OF SAN VICENTE, PALAWAN, through the Municipal Disaster Risk Reduction Management Office (MDRRMO) SUPPLEMENTAL BUDGET NO. 03. S, 2020 intends to apply the sum of  ONE MILLION EIGHT HUNDRED THOUSAND PESOS (Php </t>
  </si>
  <si>
    <t xml:space="preserve"> Contract ID: 19PL0162 Contract Name: Concreting of Sitio San Isidro, Brgy. Cudal FMR Contract Location: Brgy. Cudal, Tabuk City, Kalinga Brief Description: Construction of 500 ln.m x 4.0m width x 0.20m thk PCCP Approved Budget for the Contract (ABC): PhP </t>
  </si>
  <si>
    <t xml:space="preserve"> Item No.	Unit	Qty.	Description of Articles				 1	pcs.	15	Monoblock Chair				 2	pcs.	3	Electric Fan (Stand Fan)				 3	rolls	2	Kurabo				 4	rolls	2	Katrina (White)				 5	rolls	2	Katrina (Royal Blue)				 6	rolls	2	Katrina (Navy Blue)				 7	rolls	2	Pitch Twil</t>
  </si>
  <si>
    <t xml:space="preserve"> Republic of the Philippines Province of Surigao del Sur Municipality of Lanuza Barangay Bunga INVITATION TO BID  PROCUREMENT OF HARDWARE MATERIALS FOR REHABILITATION OF EXISTING BUSANAMCO RATTAN PROCESSING CENTER AT BARANGAY BUNGA, LANUZA, SURIGAO DEL SUR</t>
  </si>
  <si>
    <t xml:space="preserve"> Repair/Improvement of Covered Court/Stage and Backstage 	The Municipal Government of San Andres, Romblon through 20% Development Fund (Resolution No. 58 Series 2020)   intends to apply the sum of One Million Nine Hundred Thousand Pesos(Php1,900,000.00) on</t>
  </si>
  <si>
    <t xml:space="preserve"> 1 UNIT RECONDITIONED MULTI-PURPOSE MULTI-CAB 4X4 VEHICLE  MANUAL TRANSMISSION BRANDNEW TIRES NEW BATTERY NEWLY PAINTED BASIC TOOLS LTO REGISTERED IN THE NAME OF THE LGU</t>
  </si>
  <si>
    <t xml:space="preserve"> ESTIMATES: I. STRUCTURAL EXCAVATION II. FORMWORKS &amp; SCAFFOLDINGS III. REINFORCED CONCRETE WORKS</t>
  </si>
  <si>
    <t xml:space="preserve"> The National Irrigation Administration-Regional Office XII, through the GAA Fund CY2019 and CY2020 intends to apply the sum of THREE MILLION THREE HUNDRED NINETY THOUSAND SEVEN PESOS &amp; 50/100 (P 3,390,007.50) being the Approved Budget for the Contract (AB</t>
  </si>
  <si>
    <t xml:space="preserve"> Rehabilitation of Evacuation Center (Construction of Stockroom)</t>
  </si>
  <si>
    <t xml:space="preserve"> National Power Corporation INVITATION TO BID PUBLIC BIDDING 2020-0210 1.	The NATIONAL POWER CORPORATION (NPC), through       its        approved       Corporate Budget of CY 2020 intends to apply   the   sum   of (Please see schedule below) being the Appr</t>
  </si>
  <si>
    <t xml:space="preserve"> CALABANGA WATER DISTRICT San Antonio, Calabanga, Camarines Sur Invitation to Bid for Distribution Line Expansion at Brgy. Fabrica – Labor and Materials 1.	The Calabanga Water District, through the Corporate Budget FY 2020 intends to apply the sum of Php33</t>
  </si>
  <si>
    <t xml:space="preserve"> SCHEDULE OF BIDDING: PRE-BID : AUGUST 3, 2020  TIME      : 10:00 A.M. BID OPENING : AUGUST 19, 2020 TIME             : 10:00 A.M. A.) ITEM NO.      DESCRIPTION                         ESTIMATED      TOTAL MARK-UP     VAT      TOTAL               TOTAL    </t>
  </si>
  <si>
    <t xml:space="preserve"> The Philippine National Police (PNP) Health Service (HS) invites all PhilGEPS-accredited suppliers to apply for eligibility and to bid for the Procurement of Medical, Dental &amp; Laboratory Supplies. Approved Budget for Contract: Php6,950,000.00 Bid Document</t>
  </si>
  <si>
    <t xml:space="preserve"> The Philippine National Police (PNP) Health Service (HS) invites all PhilGEPS-accredited suppliers to apply for eligibility and to bid for the Procurement of Medical, Dental &amp; Laboratory Supplies. Approved Budget for Contract: Php5,265,000.00 Bid Document</t>
  </si>
  <si>
    <t xml:space="preserve"> Procurement of Services and Provision of Ninety-Five (95) Units Multi-Function Printers (MFP) for the Printing and Photocopying Requirements of Various OP Offices for VY 2020 Please email us at opbacsec.malacanang@gmail.com to view the Actual Bidding Docu</t>
  </si>
  <si>
    <t xml:space="preserve"> INVITATION TO BID FOR  CONSTRUCTION OF OPEN CANAL FOR FLOOD MITIGATION AT BRGY. SAN AGUSTIN, TMC 1.	The City Government of Trece Martires, through the 20% DEVT. FUND  ( 2020) approved by the Sangguniang Panlungsod intends to apply the sum of FIVE HUNDRED </t>
  </si>
  <si>
    <t xml:space="preserve"> The Philippine National Police (PNP) Health Service (HS) invites all PhilGEPS-accredited suppliers to apply for eligibility and to bid for the Procurement of Medical, Dental &amp; Laboratory Supplies. Approved Budget for Contract: Php5,035,750.00 Bid Document</t>
  </si>
  <si>
    <t xml:space="preserve"> Republic of the Philippines Department of Public Works and Highways REGIONAL OFFICE VIII Baras, Palo, Leyte INVITATION TO BID July 23, 2020 1.	The DPWH Regional Office VIII, Baras, Palo, Leyte through its Bids and Awards Committee (BAC), invites contracto</t>
  </si>
  <si>
    <t xml:space="preserve"> INVITATION TO BID FOR  CONSTRUCTION OF TWO (2) STOREY PASALALUBONG CENTER / EMPLOYEES CANTEEN AT CITY HALL COMPOUND, BRGY. SAN AGUSTIN, TMC 1.	The City Government of Trece Martires, through the 20% DEVT. FUND  ( 2020) approved by the Sangguniang Panlungso</t>
  </si>
  <si>
    <t xml:space="preserve"> Construction and/or Repair/Rehabilitation of Multi-Purpose Building</t>
  </si>
  <si>
    <t xml:space="preserve"> The Philippine National Police (PNP) Health Service (HS) invites all PhilGEPS-accredited suppliers to apply for eligibility and to bid for the Procurement of Medical, Dental &amp; Laboratory Supplies. Approved Budget for Contract: Php5,500,000.00 Bid Document</t>
  </si>
  <si>
    <t xml:space="preserve"> ESTIMATES ITEM I. EXCAVATION OF EXISTING STRUCTURE ITEM II. CONSTRUCTION OF INTAKE BOX &amp; RESERVOIR ITEM III. INSTALLATION OF PIPES</t>
  </si>
  <si>
    <t xml:space="preserve"> INVITATION TO BID FOR  CONSTRUCTION OF THREE (3) STOREY-SIX(6) CLASSROOM SCHOOL BLDG. AT ELEM. SCHOOL ( PH.1) BARANGAY SAN AGUSTIN, TRECE MARTIRES CITY 1.	The City Government of Trece Martires, through the SEF FUND Fund ( 2020) approved by the Sangguniang</t>
  </si>
  <si>
    <t xml:space="preserve"> Republic of the Philippines Province of South Cotabato City of Koronadal BIDS AND AWARDS COMMITTEE Invitation to Bid for the Construction of Lined Canal, Confessor Street, Brgy. Zone II, City of Koronadal 1.	The City Government of Koronadal, through its, </t>
  </si>
  <si>
    <t xml:space="preserve"> SUPPLY AND DELIVERY OF DUPLICATORS Department of Education Balayan, Batangas</t>
  </si>
  <si>
    <t xml:space="preserve"> INVITATION TO BID OPENING AND REGRAVELLING OF GAGGABUTAN EAST FARM TO MARKET ROAD(FMR) 	The Local Government Unit of Rizal, Cagayan intends to apply the sum of TWO MILLION SIX HUNDRED SIXTY FOUR THOUSAND ONE HNDRED NINETEEN PESOS AND 22/100 (P2,664,119.22</t>
  </si>
  <si>
    <t xml:space="preserve"> 1. The [Local Government Unit of Inopacan, Leyte], through the [Continuing Appropriations under the 20% Development Fund from previous years and Approved 2019 General Fund Supplemental Budget under the 20% Development Fund of the office of the Municipal E</t>
  </si>
  <si>
    <t xml:space="preserve"> INVITATION TO BID FOR  COLLECTION, HAULING, TRANSPORT AND DISPOSAL OF WASTES OF CITY OF TRECE MARTIRES FOR THE PERIOD OF AUGUST 16,2020 TO OCTOBER 20,2020 1.	The City Government of Trece Martires, through the GENERAL FUND  intends to apply the sum of Twen</t>
  </si>
  <si>
    <t xml:space="preserve"> Construction of Giant Swing</t>
  </si>
  <si>
    <t xml:space="preserve"> Vehicle Tires</t>
  </si>
  <si>
    <t xml:space="preserve"> Procurement of ICT Equipment</t>
  </si>
  <si>
    <t xml:space="preserve"> LEARNING MANAGEMENT SYSTEM - GRADE 11 STUDENTS LEARNING MANAGEMENT SYSTEM - GRADE 12 STUDENTS Inclusions: SDO and schools -Dedicated support staff making regularly visits/online support to develop effective online learning program and troubleshoot any iss</t>
  </si>
  <si>
    <t xml:space="preserve"> Invitation to Bid for the Supply and Delivery of Truck Mounted Long Distance/ Wide Range Sprayer 1. The Department of Agriculture-Caraga Region, through the GAA 2020 Rice Program intends to apply the sum of Three Million Seven Hundred Thousand Pesos (P3,7</t>
  </si>
  <si>
    <t xml:space="preserve"> Invitation to Bid for the Supply and Delivery of Various Hybrid Rice Seeds 1. The Department of Agriculture-Caraga Region, through the Rice Program GAA 2020 intends to apply the sum of Eighteen Million Six Hundred Thirty-Six Thousand Four Hundred Pesos On</t>
  </si>
  <si>
    <t xml:space="preserve"> PRINTING OF MODULES FOR ALL SUBJECT AREAS Kinder to Grade 6 Size: 8” x 10.5” Black and White Paper: Newsprint Back to back printing Every module with cover</t>
  </si>
  <si>
    <t xml:space="preserve"> Invitation to Bid for the Supply and Delivery of 2,086 bags Hybrid Corn Seeds (9kg/bag) 1. The Department of Agriculture-Caraga Region, through the GAA 2020 Corn Program intends to apply the sum of Ten Million Four Hundred Twenty-Seven Thousand Nine Hundr</t>
  </si>
  <si>
    <t xml:space="preserve"> Invitation to Bid for the Supply and Delivery of 2,500 bags Inbred Seeds (Certified) 1. The Department of Agriculture-Caraga Region, through the GAA 2020 Rice Program intends to apply the sum of Three Million Eight Hundred Thousand Pesos Only (P 3,800,000</t>
  </si>
  <si>
    <t xml:space="preserve"> 1 Vest	75pcs 2 Gloves	75pairs 3 Boots	75pairs 4 Safety Shoes	75pairs 5 Raincoat	75pcs 6 Shovel	50pcs 7 Rake	30pcs 8 Pick Mattock	20pcs 9 Broom	200pcs</t>
  </si>
  <si>
    <t xml:space="preserve"> IB No. 2020-067/ACN CONSTRUCTION OF THE LIVESTOCK RESEARCH AND PRODUCTION BUILDING ABC: Php4,500,000.00 1.	The Department of Agriculture – Regional Field Office 10 through the GAA 2020 Livestock Program Funds3 intends to apply the sum of Four Million Five</t>
  </si>
  <si>
    <t xml:space="preserve"> I.T. Accessories &amp; Supplies</t>
  </si>
  <si>
    <t xml:space="preserve"> Invitation to Bid for the for the Supply and Delivery of Various Livestock and Poultry 1. The Department of Agriculture-Caraga Region, through the GAA 2020 Livestock Program intends to apply the sum of Four Million Six Hundred Thousand Pesos (P4,600,000.0</t>
  </si>
  <si>
    <t xml:space="preserve"> Rehabilitation/Reblocking/Concreting of 2,996 sq.m. x 0.20 m. thick PCCP Municipal Road with 1.0 m Shoulder on Both Sides</t>
  </si>
  <si>
    <t xml:space="preserve"> Diesel &amp; Gasoline</t>
  </si>
  <si>
    <t xml:space="preserve"> Vehicle Parts &amp; Accessories</t>
  </si>
  <si>
    <t xml:space="preserve"> 1.	DIGITAL DUPLICATOR  SPECIFICATION: Master-making/printing methods – high speed digital master –making/fully automatic printing Original type – book sheet Master-making time- not more than 17 seconds Resolution – scanning resolution; 600 dpi x 600 dpi, </t>
  </si>
  <si>
    <t xml:space="preserve"> Republic of the Philippines BARANGAY II Municipality of Manapla, Negros Occidental Mobile No. 09495806644 Control reference Number :ITB #-001 PR# 23-07-2020 Name of the project:Installation of 20 units Street Lights Location of the Project:Barangay II,Mun</t>
  </si>
  <si>
    <t xml:space="preserve"> Rehabilitation/Concreting of Batong Paloway Barangay Road - 1,500 sq.m. x 0.20 m thick PCCP Barangay Road with 1.0 m Shoulder on Both Sides Rehabilitation/Concreting of Datag Barangay Road - 1,200 sq.m. x 0.20 m thick PCCP Barangay Road with 1.0 m Shoulde</t>
  </si>
  <si>
    <t xml:space="preserve"> I.  Electrical Works II. Labor OCM/CP/VAT</t>
  </si>
  <si>
    <t xml:space="preserve"> July 13, 2020 INVITATION TO BID  The Department of Public Works and Highways, Mindoro Occidental District Engineering Office, Mamburao, Occidental Mindoro, through its Bids and Award Committee (BAC), invites contractors to submit bids for the following Co</t>
  </si>
  <si>
    <t xml:space="preserve"> Invitation to Bid for the Supply and Delivery of 22,259 bags Urea (46-0-0) Granules 1. The Department of Agriculture-Caraga Region, through the GAA 2020 Rice Program intends to apply the sum of Twenty-Two Million Two Hundred Fifty-Nine Thousand Pesos Only</t>
  </si>
  <si>
    <t xml:space="preserve"> INVITATION TO BID: 1. Project Title: Construction of Multi-Purpose Building and Sports Facility, Mabini Campus, Sta. Mesa, Manila (Phase III). 2. Approved Budget for the Contract: Php 18,998,224.54 3. Pre-bid Conference: on August 3, 2020, 10:00 a.m. at B</t>
  </si>
  <si>
    <t xml:space="preserve"> Construction Project for the Construction of Evacuation Center at Barangay Igangon, San Isidro, Davao del Norte.</t>
  </si>
  <si>
    <t xml:space="preserve"> The Department of Education –Schools Division of Calbayog City, through the General  Appropriations Act (GAA) FY 2020 intends to apply the sum of Three Million Three  Hundred Fifty-Nine Thousand Eight Hundred Twenty-Nine Pesos &amp; 67/100 Only (Php 3,359,829</t>
  </si>
  <si>
    <t xml:space="preserve"> Republic of the Philippines											 	Office of the Municipal Mayor											 	BIDS AND AWARDS COMMITTEE											 	Binmaley, Pangasinan											 												 	Invitation to Bid											 	 for 											 	Construction of Multi-Purpose Hall (Phase</t>
  </si>
  <si>
    <t xml:space="preserve"> CONCRETE AND STEEL ELECTRICAL AND MECHANICAL WORKS</t>
  </si>
  <si>
    <t xml:space="preserve"> ITEM NO.	UNIT		QTY		DESCRIPTION		 							 1	 lits 		2400		Diesel		 2	 lits 		375		 Gasoline 		 3	 lits 		15		 Oil 40 		 4	 lits 		15		 Oil 30 		 INVITATION TO BID The Municipality of Sablayan through its Bids and Awards Committee (BAC) invites all interes</t>
  </si>
  <si>
    <t xml:space="preserve"> The Department of Education –Schools Division of Calbayog City, through the General  Appropriations Act (GAA) FY 2020 intends to apply the sum of Two Million Seven  Hundred Eighty-Seven Thousand Nine Hundred Four Pesos &amp; 90/100 Only (Php 2,787,904.90) bei</t>
  </si>
  <si>
    <t xml:space="preserve"> Republic of the Philippines National Kidney and Transplant Institute Bids and Awards Committee East Avenue, Quezon City 1100 981-0300 / 981-0400 local 1157 http://www.nkti.gov.ph/	 INVITATION TO BID for the ITB No. 20-069 RE-BIDDING OF ONE (1) LOT SUPPLY </t>
  </si>
  <si>
    <t xml:space="preserve"> 1	Boom Truck Max. Lifting Capacity: 5000 kgs Cargo Box Size: more or less 5000 x 2300 x 550 mm Gross Weight: 14000-15000 kgs Rate Load Weight: 9800-10000 kgs Transmission: Fast Power: 150-170 PS Tire: 8.25R20 14PR with Airconditioning Euro 4 or 5</t>
  </si>
  <si>
    <t xml:space="preserve"> The Department of Education –Schools Division of Calbayog City, through the General Appropriations Act (GAA) FY 2020 intends to apply the sum of Three Million Two Hundred Seventy-Two Thousand Three Hundred Forty-Four Pesos &amp; 18/100 Only (Php 3,272,344.18)</t>
  </si>
  <si>
    <t xml:space="preserve"> The Department of Education –Schools Division of Calbayog City, through the General Appropriations Act (GAA) FY 2020 intends to apply the sum of Three Million One Hundred Sixty-Eight Thousand One Hundred Nine Pesos &amp; 60/100 Only (Php 3,168,109.60) being t</t>
  </si>
  <si>
    <t xml:space="preserve"> The Department of Education –Schools Division of Calbayog City, through the General  Appropriations Act (GAA) FY 2020 intends to apply the sum of Three Million One  Hundred Eighty-Four Thousand Three Hundred Forty-Five Pesos &amp; 08/100 Only (Php 3,184,345.0</t>
  </si>
  <si>
    <t xml:space="preserve"> The Department of Education –Schools Division of Calbayog City, through the General Appropriations Act (GAA) FY 2020 intends to apply the sum of Three Million Seven Hundred Seventy-Nine Thousand One Hundred Fifteen Pesos &amp; 22/100 Only (Php 3,779,115.22) b</t>
  </si>
  <si>
    <t xml:space="preserve"> The Department of Education –Schools Division of Calbayog City, through the General  Appropriations Act (GAA) FY 2020 intends to apply the sum of Three Million Four Hundred Eighty-Nine Thousand Ninety Pesos &amp; 67/100 Only (Php 3,489,090.67) being the Total</t>
  </si>
  <si>
    <t xml:space="preserve"> The Department of Education –Schools Division of Calbayog City, through the General Appropriations Act (GAA) FY 2020 intends to apply the sum of Three Million Seven Hundred Five Thousand Ninety Pesos &amp; 71/100 Only (Php 3,705,090.71) being the Total Approv</t>
  </si>
  <si>
    <t xml:space="preserve"> Republic of the Philippines  PROVINCE OF SAMAR Municipality of San Sebastian Invitation to Bid for  LOCAL ROAD UPGRADING Upgrading of 350Ln.m x 6.10mx0.20 Existing Gravel Road to Portland Cement Concrete Pavement 1.	The Municipality of San Sebastian, thro</t>
  </si>
  <si>
    <t xml:space="preserve"> The Department of Education –Schools Division of Calbayog City, through the General Appropriations Act (GAA) FY 2020 intends to apply the sum of Three Million Six Hundred Ninety-Five Thousand Nine Hundred Nineteen Pesos &amp; 22/100 Only (Php 3,695,919.22) be</t>
  </si>
  <si>
    <t xml:space="preserve"> The Department of Education –Schools Division of Calbayog City, through the General  Appropriations Act (GAA) FY 2020 intends to apply the sum of Two Million Eight Hundred Nine Thousand Nine Hundred Sixty-Eight Pesos &amp; 46/100 Only (Php 2,809,968.46) being</t>
  </si>
  <si>
    <t xml:space="preserve"> 1	Street Sweeper Truck Capacity: 6 cbm, Power: 130-150 PS, Tire: 8.25R16 14PR, Transmission: 6 speed, Roadsweeping Equipment: 3.5 cbm garbage truck box, 1 cbm water tank with air-conditioning, Euro 4 or 5</t>
  </si>
  <si>
    <t xml:space="preserve"> The Department of Education –Schools Division of Calbayog City, through the General  Appropriations Act (GAA) FY 2020 intends to apply the sum of Two Million Four Hundred Two Thousand Six Hundred Seventy Pesos &amp; 22/100 Only (Php 2,402,670.22) being the To</t>
  </si>
  <si>
    <t xml:space="preserve"> 1	Manlift Truck 17-20m high, work bucket: more or less 1150 x 650 x 1150 mm, work bucket load: 200 kgs., gross weight: 11500-12500 kgs., power: 150-170 PS, Tire: 8.25R20 with air-conditioning, euro 4 or 5</t>
  </si>
  <si>
    <t xml:space="preserve"> please click the link below to download bidding documents https://drive.google.com/file/d/1h_swPhpAeTbDazu-iBc3ov6A8pNO2vB3/view?usp=drivesdk</t>
  </si>
  <si>
    <t xml:space="preserve"> INVITATION TO BID FOR THE SUPPLY AND DELIVERY OF MEDICAL/LABORATORY EQUIPMENT   1.	The City of Iloilo, through the 20% Development Fund CY 2020 intends to apply the sum of One Million Five Hundred Pesos (P1,500,000.00) being the Approved Budget for the Co</t>
  </si>
  <si>
    <t xml:space="preserve"> Section I. Invitation to Re-Bid Republic of the Philippines Province of Romblon INVITATION TO BID FOR  Rehabilitation of Drainage System and Pavement along Capitol Area, Brgy. Capaclan, Romblon, Romblon. July 23, 2020 1.	The Provincial Government of Rombl</t>
  </si>
  <si>
    <t xml:space="preserve"> please click the link below to download bidding documents https://drive.google.com/file/d/1LitjjCDURAZ6SqB_Zq39l4nouV6g-GzK/view?usp=drivesdk</t>
  </si>
  <si>
    <t xml:space="preserve"> INVITATION TO BID FOR THE SUPPLY AND DELIVERY OF SOIL COVER FOR CITY WASTE DISPOSAL FACILITY   1.	The City of Iloilo, through the General Fund intends to apply the sum of Thirteen Million Six Hundred Thousand Pesos (P13,600,000.00) being the Approved Budg</t>
  </si>
  <si>
    <t xml:space="preserve"> Standard Form Number: SF-INFR-05 Revised on: July 28, 2004          INVITATION TO APPLY FOR ELIGIBILITY AND TO BID The Municipal Local Government Unit of Saguday, Quirino through its Bids and Awards Committee (BAC), invites contractors to apply for eligib</t>
  </si>
  <si>
    <t xml:space="preserve"> Section I. Invitation to Bid Republic of the Philippines Province of Romblon INVITATION TO BID FOR  Procurement of Ambulance Van for use in transferring of patients from Corcuera (Calatrava to RPH-Odiongan) and PDRRMO, Province of Romblon . July 23, 2020 </t>
  </si>
  <si>
    <t xml:space="preserve"> please click the link below to download bidding documents https://drive.google.com/file/d/1VjO4DkO9PH3Yviw7uaJmp17kqZOWBX_B/view?usp=drivesdk</t>
  </si>
  <si>
    <t xml:space="preserve"> LOT 1 Name of Project: Construction of Two-lane Barangay Access Road Upgrading at J. Tandayu &amp; J. Lumauig St. Location: Brgy. Annafunan, Tumauini, Isabela Contract Duration: 120 CD ABC: Php5,105,922.00 LOT 2 Name of Project: Establishment of Sanitary Land</t>
  </si>
  <si>
    <t xml:space="preserve"> Republic of the Philippines DEPARTMENT OF PUBLIC WORKS AND HIGHWAYS NEGROS OCCIDENTAL 1ST DISTRICT ENGINEERING OFFICE Region VI Matab-ang, Talisay City, Negros Occidental INVITATION TO BID The DPWH, Negros Occidental 1st District Engineering Office, Matab</t>
  </si>
  <si>
    <t xml:space="preserve"> 1	SCIENCE: HEALTH TECHNOLOGY AND ENVIRONMENT 2 2	EDUKASYONG PANTAHANAN AT PANGKABUHAYAN 4 3	EDUKASYONG PANTAHANAN AT PANGKABUHAYAN 5 4	ELEMENTARY ENGLISH ADVENTURE 1 5	ELEMENTARY ENGLISH ADVENTURE 2 6	ELEMENTARY ENGLISH ADVENTURE 3 7	ELEMENTARY ENGLISH AD</t>
  </si>
  <si>
    <t xml:space="preserve"> Scope of Work: I. Repair of one Panel Glass Main Entrance Door II. Repair of Outside Ceiling Board III. Repair of Outside G.I. Gutter IV. Repair/ Replacement of existing Tiles V. Division of Rooms VI. Repair/ Rehabilitation of Existing water lines VII. Ki</t>
  </si>
  <si>
    <t xml:space="preserve"> INVITATION TO BID FOR THE DELIVERY OF MATERIALS FOR THE CONTINUATION OF                              TWO STOREY BARANGAY MULTI -PURPOSE HALL                   The   Barangay    Población   Gen.  Mamerto.   Natividad Nueva  Ecija, through    20% Developmen</t>
  </si>
  <si>
    <t xml:space="preserve"> 1	SQL Database Management System Software - No. of cores: 4 - Adaptable to future technology enhancements - Reduced complexity - Professional, enterprise-level database management, such as supporting triggers and close integration with the .NET framework.</t>
  </si>
  <si>
    <t xml:space="preserve"> The Department of Education –Schools Division of Calbayog City, through the General  Appropriations Act (GAA) FY 2020 intends to apply the sum of Three Million Four Hundred Two Thousand Ninety-Seven Pesos &amp; 21/100 Only (Php 3,402,097.21) being the Total A</t>
  </si>
  <si>
    <t xml:space="preserve"> 1	ARALING PANLIPUNAN: SULYAP SA KASAYSAYAN NG ASYA 7 2	(HAMP) HEALTH, ARTS, MUSIC, PE 7 3	EXPERIENTIAL MATH 10 4	EXPERIENTIAL MATH 7 5	EXPERIENTIAL MATH 8 6	EXPERIENTIAL MATH 9 7	SARALING PANLIPUNAN: SULYAP SA KASAYSAYAN NG DAIGDIG 8 8	(HAMP) HEALTH, ARTS</t>
  </si>
  <si>
    <t xml:space="preserve"> ITEM NO.	UNIT		QTY		DESCRIPTION		 							 0	 -   		0		COMMON OFFICE SUPPLIES		 1	 can 		12		Air Freshener, California scent, car shaldan		 2	 piece 		184		Ballpen, panda, black, 		 3	 piece 		20		Ballpen, Retractable blue 		 4	 piece 		50		Ballpen,  Retra</t>
  </si>
  <si>
    <t xml:space="preserve"> Standard Form Number: SF-INFR-05 Revised on: July 28, 2004          INVITATION TO APPLY FOR ELIGIBILITY AND TO BID         The Municipal Local Government Unit of Saguday, Quirino through its Bids and Awards Committee (BAC), invites contractors to apply fo</t>
  </si>
  <si>
    <t xml:space="preserve"> 20F00127 - CLUSTER III: A. Repair/Maintenance of DILG Building, PDEA RO-V Building, Camp Simeon Ola, Legazpi City; B. Repair/Maintenance of DepEd Building, DepEd RO-V Canteen Building, Regional Center Site, Rawis, Legazpi City</t>
  </si>
  <si>
    <t xml:space="preserve"> Improvement of Matingbe Wharf (Phase II) Concrete Demolition Sub-grade Preparation Aggregate Sub-base Course Concrete Works Portland cement Concrete Pavement Masonry works Grouted riprap Safety and Health Project Bill board</t>
  </si>
  <si>
    <t xml:space="preserve"> Republic of the Philippines City of Cagayan de Oro BIDS AND AWARDS COMMITTEE Invitation to Bid  for Rehabilitation of Drainage Canal, Installation of Checkered Plate Drainage and Manhole Covers, Carmen, SN 168 - 2020 ` 1.	The City Government of Cagayan de</t>
  </si>
  <si>
    <t xml:space="preserve"> see attached associated component</t>
  </si>
  <si>
    <t xml:space="preserve"> The Department of Education –Schools Division of Calbayog City, through the General Appropriations Act (GAA) FY 2020 intends to apply the sum of Three Million Six Hundred Eighty Thousand Nine  Hundred Twenty-One Pesos &amp; 03/100 Only (Php 3,680,921.03) bein</t>
  </si>
  <si>
    <t xml:space="preserve"> Republic of the Philippines DEPARTMENT OF PUBLIC WORKS &amp; HIGHWAYS LEYTE THIRD  ENGINEERING DISTRICT OFFICE Regional Office VIII Villaba, Leyte Telefax No. (053) 552-9266 Email Add: dpwh_leyte3@yahoo.com INVITATION TO BID July 20, 2020 1.	The DPWH Third Le</t>
  </si>
  <si>
    <t xml:space="preserve"> Republic of the Philippines City of Cagayan de Oro BIDS AND AWARDS COMMITTEE Invitation to Bid  for Concrete Paving of Road at Interior of Moco, Carmen; SN 157 - 2020 ` 1.	The City Government of Cagayan de Oro, through the Non-Office: Economic Services Se</t>
  </si>
  <si>
    <t xml:space="preserve"> See attached associated component</t>
  </si>
  <si>
    <t xml:space="preserve"> Construction of Slope Protection and Access Road at the Women and Children Crisis Center (Phase I &amp; II) SITE DEVELOPMENT Layout and Staking Site Clearing EARTHWORKS Structure Excavation SUB-GRADE PREPARATION BASE COARSE CONCRETE WORKS Concrete Pavement I </t>
  </si>
  <si>
    <t xml:space="preserve"> CONCRETING OF MABUHAY ROAD (LABOR, MATERIALS &amp; EQUIPMENT RENTAL) AT PUROK MABUHAY, BINUANGAN, MACO, DAVAO DE ORO.</t>
  </si>
  <si>
    <t xml:space="preserve"> INVITATION TO BID NO. INFRA -055-2020  The Provincial Government of  Bataan, through the Special Education Fund055 intends to apply the below listed project w/ corresponding Approved Budget of the Contract (ABC). Bids received in excess of the ABC shall b</t>
  </si>
  <si>
    <t xml:space="preserve"> The Department of Education –Schools Division of Calbayog City, through the General Appropriations Act (GAA) FY 2020 intends to apply the sum of Three Million Two Hundred Ninety-Six Thousand Two Hundred Eighty-Four Pesos &amp; 79/100 Only (Php 3,296,284.79) b</t>
  </si>
  <si>
    <t xml:space="preserve"> Republic of the Philippines City of Cagayan de Oro BIDS AND AWARDS COMMITTEE Invitation to Bid  for Construction of Drainage at Diel St. towards Gumamela St., Carmen, SN 161 - 2020 1.	The City Government of Cagayan de Oro, through the Continuing Appropria</t>
  </si>
  <si>
    <t xml:space="preserve"> Local Access Road Construction at Purok 2 Aurelio to Purok 3 Justiniana Edera Sub-Grade Preparation Aggregate Sub-Base Coarse CONCRETE WORKS Portland Concrete Cement Pavement MASONRY WORKS Grouted Riprap SAFETY And HEALTH Project Bill board</t>
  </si>
  <si>
    <t xml:space="preserve"> Please refer attached file</t>
  </si>
  <si>
    <t xml:space="preserve"> Republic of the Philippines City of Cagayan de Oro BIDS AND AWARDS COMMITTEE Invitation to Bid  for Construction of Anhaon Creek Bank Protection Structure Phase 2, Bulua; SN 159 - 2020 1.	The City Government of Cagayan de Oro, through the Continuing Appro</t>
  </si>
  <si>
    <t xml:space="preserve"> Republic of the Philippines City of Cagayan de Oro BIDS AND AWARDS COMMITTEE Invitation to Bid  for Concrete Paving of Ysalina St. GAP Section, Lumbia; SN 153 - 2020 1.	The City Government of Cagayan de Oro, through the Continuing Appropriation, CY 2019, </t>
  </si>
  <si>
    <t xml:space="preserve"> Republic of the Philippines City of Cagayan de Oro BIDS AND AWARDS COMMITTEE Invitation to Bid  for Concrete Paving of NHA Lourdesville Circumferential Road, Balulang (Phase 3); SN 158 - 2020 1.	The City Government of Cagayan de Oro, through the Current A</t>
  </si>
  <si>
    <t xml:space="preserve"> Invitation to Bid  For the Construction of Three (3) Storey 6 Classroom with Demolition  Completion of Three (3) Storey 6 Classroom with Demolition  at A. Mirasol Elementary School, mandurriao, Iloilo City 1.	The City of Iloilo, through the SB No. 1, CY20</t>
  </si>
  <si>
    <t xml:space="preserve"> Local Access Road Construction at Purok 3 to 5 Mahayahay Sub-Grade Preparation Aggregate Sub-Base Coarse CONCRETE WORKS Portland Concrete Cement Pavement Concrete Barrier MASONRY WORKS Grouted Riprap SAFETY And HEALTH Project Bill board</t>
  </si>
  <si>
    <t xml:space="preserve"> Construction of Aurelio ECCD Learning Center SITE DEVELOPMENT Layout &amp; staking EARTH WORKS Excavation for column &amp; wall Footing CONCRETE WORKS Reinforced Concrete Footing Reinforced Concrete Column Reinforced Concrete Beam Reinforced Wall Footing Reinforc</t>
  </si>
  <si>
    <t xml:space="preserve"> INVITATION TO BID NO. GOODS-034-2020 The Provincial Government of Bataan, through the General Fund034 intends to apply the below listed procurement w/ corresponding Approved Budget of the Contract (ABC). Bids received in excess of the ABC shall be automat</t>
  </si>
  <si>
    <t xml:space="preserve"> For use of VMMC Main Bldg connecting hallways.</t>
  </si>
  <si>
    <t xml:space="preserve"> Name of  Project/Contract	:	CONSTRUCTION OF STANDARD DAYCARE CENTER BUILDING WITH COMPLETE FACILITIES Location				:	ALIMIT,  Kasibu, Nueva Vizcaya Brief Description			:	1. Reinforced concrete beams, columns and slabs 					2. Installation of CHB 					3. St</t>
  </si>
  <si>
    <t xml:space="preserve"> Name of  Project/Contract	:	CONSTRUCTION OF EVACUATION CENTER-CATARAWAN Location				:	CATARAWAN, Kasibu, Nueva Vizcaya Brief Description	:	Construction of one (1) storey 11m x 20m Building (Excavation Works; backfilling works; reinforced concrete footings</t>
  </si>
  <si>
    <t xml:space="preserve"> Name of  Project/Contract	:	COMPLETION OF STANDRD BIRTHING CLINIC - ALIMIT Location				:	ALIMIT,  Kasibu, Nueva Vizcaya Brief Description			:	1. Construction of Reinforced Concrete Slabs 					2. Installation of 4” CHB 					3. 20mm thick plastering works 	</t>
  </si>
  <si>
    <t xml:space="preserve"> Republic of the Philippines National Kidney and Transplant Institute Bids and Awards Committee East Avenue, Quezon City 1100 981-0300 / 981-0400 local 1157 http://www.nkti.gov.ph/	 INVITATION TO BID for the ITB No. 20-068 RE-BIDDING FOR THE SUPPLY AND DEL</t>
  </si>
  <si>
    <t xml:space="preserve"> Republic of the Philippines City of Cagayan de Oro BIDS AND AWARDS COMMITTEE Invitation to Bid  for Construction of Welcome Arch 1 Section (East &amp; West Entry Point, Cagayan de Oro City); SN 171 - 2020 1.	The City Government of Cagayan de Oro, through the </t>
  </si>
  <si>
    <t xml:space="preserve"> Republic of the Philippines City of Cagayan de Oro BIDS AND AWARDS COMMITTEE Invitation to Bid  for Concrete Paving of Road at Gold City Village (Phase 3), Balulang; SN 156 - 2020 ` 1.	The City Government of Cagayan de Oro, through the Non-Office: Economi</t>
  </si>
  <si>
    <t xml:space="preserve"> (2201 CU.M. AGGREGATES) FOR THE MAINTENANCE OF NRJ (SIBAGAT) SAN VICENTE-ESPERANZA ROAD AT SIBAGAT, AGUSAN DEL SUR</t>
  </si>
  <si>
    <t xml:space="preserve"> (1354 CU.M. AGGREGATES) FOR THE MAINTENANCE OF NRJ (PROSPERIDAD) SAN JOSE-LUCENA CIRCUMFERENTIAL ROAD AT PROSPERIDAD, AGUSAN DEL SUR</t>
  </si>
  <si>
    <t xml:space="preserve"> CONTRACT ID: 19GL00118; P.R. No. 2020-07-079 DATED 07/06/2020 CONTRACT LOCATION: AGUSAN RIVER, COMPOSTELA, DAVAO DE ORO CONTRACT DESCRIPTION: PROCUREMENT OF DIESEL FUEL, FOR USE IN THE DREDGING EQUIPMENT AND SERVICE VEHICLE, ASSIGNED IN THE DREDGING OF AG</t>
  </si>
  <si>
    <t xml:space="preserve"> Local Access Road Construction at Isabel St., P2 San Juan Concrete Demolition Excavation Sub-Grade Preparation Aggregate Sub-Base Coarse Concrete Works Portland Concrete Cement Pavement Shouldering Reinforced Concrete Line Canal Reinforcing Steel Bars For</t>
  </si>
  <si>
    <t xml:space="preserve"> Procurement of Office and Janitorial Supplies INVITATION TO BID (July 20, 2020) THE ILOILO SCIENCE AND TECHNOLOGY UNIVERSITY (ISAT U), Burgos Street,  La Paz, Iloilo City,  invites interested Suppliers/Bidders to apply for eligibility and to bid for the h</t>
  </si>
  <si>
    <t xml:space="preserve"> (1623 CU.M. AGGREGATES) FOR THE MAINTENANCE OF NRJ (TRENTO) KAPATUNGAN-PAG-ASA-TAPAZ, STA. JOSEFA ROAD AT TRENTO, AGUSAN DEL SUR</t>
  </si>
  <si>
    <t xml:space="preserve"> (1438 CU.M. AGGREGATES) FOR THE MAINTENANCE OF NRJ (PROSPERIDAD) AZPETIA-MABUHAY-SAN LORENZO-LOS ARCOS CIRCUMFERENTIAL ROAD AT PROSPERIDAD, AGUSAN DEL SUR</t>
  </si>
  <si>
    <t xml:space="preserve"> Purchase of Multicab</t>
  </si>
  <si>
    <t xml:space="preserve"> Vegetable Seeds &amp; Ornamental Plants</t>
  </si>
  <si>
    <t xml:space="preserve"> Upgrading of Local Access Road (Purok 7, Brgy Road, San Isidro Village, Virac, Catanduanes)</t>
  </si>
  <si>
    <t xml:space="preserve"> Republic of the Philippines City of Cagayan de Oro BIDS AND AWARDS COMMITTEE Invitation to Bid  for Pavement Re-surfacing with Pebble at Wet Section Carmen Market; SN 169 - 2020 ` 1.	The City Government of Cagayan de Oro, through the Current Appropriation</t>
  </si>
  <si>
    <t xml:space="preserve"> Mainstreaming of DRR/CCA in Development Planning (CLUP) Phase III (subscription of an Off-the shelf household level Data Management System (Development for LGUs) and formulation of Socio -Ecological Profile for CLUP, Vision/CDP Validation and Goals/Strate</t>
  </si>
  <si>
    <t xml:space="preserve"> LOT 35-PVDC-2020 Various Medical Supplies Line item:  MEDSURG_3186 1.) PPE COMPLETE SET COMPOSED OF THE FOLLOWING: 1.   CERTIFIED MEDICAL GRADE PROTECTIVE   COVERALL/ SUIT 2.   DISPOSABLE LABORATORY GOWN 3.   DISPOSABLE HEAD COVER 4.   DISPOSABLE SHOE COV</t>
  </si>
  <si>
    <t xml:space="preserve"> Notes on the Invitation to Bid The Invitation to Bid provides information that enables potential Bidders to decide whether to participate in the procurement at hand. The Invitation to Bid shall be: (a) Advertised at least once in a newspaper of general na</t>
  </si>
  <si>
    <t xml:space="preserve"> INVITATION TO BID FOR THE OPENING/REHABILITATION/IMPROVEMENT OF FARM-TO-MARKET ROAD WITH FLOOD CONTROL (GABIONS AND MATRESSES) AT BANNAWAG, AURORA, ISABELA 1.	The Local Government Unit of Aurora, through the 2016 Tobacco Excise Tax intends to apply the su</t>
  </si>
  <si>
    <t xml:space="preserve"> Invitation to Bid  For the Construction/Rehabilitation of Existing Drainage System at Brgy. Don Esteban, Lapuz, Iloilo City 1.	The City of Iloilo, through the 20% Development Fund, CY2019 intends to apply the sum of One Million Pesos (Php 1,000,000.00) be</t>
  </si>
  <si>
    <t xml:space="preserve"> INVITATION TO BID FOR THE PROCUREMENT OF TWO (2) UNITS REFRIGERATED TRUCK/REEFER VAN OF BFAR 6 Invitation to Bid No. 2020-017 The Bureau of Fisheries and Aquatic Resources 6, through the FY 2020 General Appropriations Act 11465 intends to apply the sum Fi</t>
  </si>
  <si>
    <t xml:space="preserve"> Invitation to Bid  For the Construction/Rehabilitation/Improvement of Multi-Purpose Hall at Brgy. Bakhaw, Mandurriao, Iloilo City 1.	The City of Iloilo, through the 20% Development Fund, CY2020 intends to apply the sum of One Million Three Hundred Thousan</t>
  </si>
  <si>
    <t xml:space="preserve"> Republic of the Philippines PROVINCIAL GOVERNMENT OF EASTERN SAMAR Capitol Building, Borongan, Eastern Samar, 6800 Tel No. (055)-560-8312 E-mail Address: esamar.bac@gmail.com BIDS AND AWARDS COMMITTEE (BAC) INVITATION TO BID FOR THE  PROCUREMENT OF 1 UNIT</t>
  </si>
  <si>
    <t xml:space="preserve"> 5,000 heads Mallard Ducks Ready-to-Lay</t>
  </si>
  <si>
    <t xml:space="preserve"> Republic of the Philippines                                                            PROVINCE OF ISABELA                                                          Municipality of Dinapigue                                 INVITATION TO APPLY FOR ELIGIBILI</t>
  </si>
  <si>
    <t xml:space="preserve"> (2670 CU.M. AGGREGATES) FOR THE MAINTENANCE OF NRJ (LA PAZ) POBLACION-LOWER MAITOM-WALOE ROAD AT LA PAZ, AGUSAN DEL SUR</t>
  </si>
  <si>
    <t xml:space="preserve"> Name of  Project/Contract	:	COMPLETION OF MULTIPURPOSE GYM (PHASE II) Location				:	Capisaan, Kasibu, Nueva Vizcaya Brief Description	:	Manual excavation works; concreting of RSB-reinforced footing, column, beam, bench/bleacher, stairs and flooring; fabri</t>
  </si>
  <si>
    <t xml:space="preserve"> Name of  Project/Contract	:	IMPROVEMENT OF FMR-EDRALIN-ATAN ROAD Location				:	ANTUTOT,  Kasibu, Nueva Vizcaya Brief Description			:	1. 0.15M thick aggregate base coarse 					2. Construction of 0.15m x 5.0m x 45m PCCP and 0.15m x 445m concrete tirepath 		</t>
  </si>
  <si>
    <t xml:space="preserve"> Invitation to Bid for the Supply, Delivery,  Installation and Commissioning  of 24  Units Solar Powered Pumps  NIAR6-GAA-SOLAR-GS03-20 1.	The National Irrigation Administration Regional Office VI, Iloilo City, through the General Appropriation Act (GAA) C</t>
  </si>
  <si>
    <t xml:space="preserve"> Procurement of ICT Equipment and Supplies INVITATION TO BID (July 20, 2020) THE ILOILO SCIENCE AND TECHNOLOGY UNIVERSITY (ISAT U), Burgos Street,  La Paz, Iloilo City,  invites interested Suppliers/Bidders to apply for eligibility and to bid for the hereu</t>
  </si>
  <si>
    <t xml:space="preserve"> INVITATION TO BID 1.	The Bangko Sentral ng Pilipinas (BSP), through its Bids and Awards Committee-Security Plant Complex (BAC-SPC), invites Bidders to apply for eligibility and to bid for the hereunder requirement: Name of Requirement/Brief Description	 A</t>
  </si>
  <si>
    <t xml:space="preserve"> Name of  Project/Contract	:	REHABILITATION/RECONSTRUCTION OF HANGING FOOT BRIDGE (between Alimit and Nagabgaban,Alimit) Location				:	Alimit, Kasibu, Nueva Vizcaya Brief Description			:	Rehabilitation/reconstruction of two (2) reinforced concrete hanging </t>
  </si>
  <si>
    <t xml:space="preserve"> 1.	The Provincial Government of Antique, through the 20% IRA-CY 2020 (Social Development Sector) intends to apply the sum One Million Nine Hundred Fifty One Thousand Two Hundred Eighty Two Pesos &amp; 01/100 (Php 1, 951, 282.01) being the Approved Budget for </t>
  </si>
  <si>
    <t xml:space="preserve"> Invitation to Bid  For the Construction of ICARE Center at Time Square Gaisano, Gaisano Time Square Center Compound, B. Aquino Ave. Mandurriao, Iloilo City 1.	The City of Iloilo, through the General Fund SB No. 3, CY2019 intends to apply the sum of Thirty</t>
  </si>
  <si>
    <t xml:space="preserve"> (3304 CU.M. AGGREGATES) FOR MAINTENANCE OF NRJ (TRENTO) POBLACION-TUDELA-STA. MARIA CIRCUMFERENTIAL ROAD AT TRENTO, Agusan del Sur</t>
  </si>
  <si>
    <t xml:space="preserve"> Security Services for a period of 12 months after the effectivity of the contract. Approved Budget for the Contract: Php1,548,000.00</t>
  </si>
  <si>
    <t xml:space="preserve"> Complete Construction of (9.50 x 55.m) Four (4) Storey; Twenty (20) Classroom School Building with Micropile Foundation mostly built with concrete and masonry with PWD Ramp with handrails, Parapet wall on concrete gutter and complete with electrical works</t>
  </si>
  <si>
    <t xml:space="preserve"> Republic of the Philippines Department of Education Region V SCHOOLS DIVISION OFFICE OF CAMARINES SUR Office of the Bids and Awards Committee INVITATION TO BID FOR:   SUPPLY AND DELIVERY OF IT SUPPLIES &amp; EQUIPMENT AND OFFICE SUPPLIES FOR THE DIVISION OFFI</t>
  </si>
  <si>
    <t xml:space="preserve"> 1.	The Provincial Government of Antique, through the Realignment SP Res. No. 241-2019(P2,000,000.00), 20% IRA-CY 2018(Social Development Sector) (P1,000,000.00) intends to apply the sum Two Million Nine Hundred Thirty Two Thousand One Hundred Forty Four P</t>
  </si>
  <si>
    <t xml:space="preserve"> Republic of the Philippines Province of Cagayan Municipality of Camalaniugan July 23, 2020 INVITATION TO BID  FOR THE FURNISHING &amp; DELIVERY OF MATERIALS FOR THE REPAIR AND MAINTENANCE OF WATER SYSTEM @ JURISDICCION, JULIAN OLIVAS AND DACAL-LA FUGU 1.	The </t>
  </si>
  <si>
    <t xml:space="preserve"> Republic of the Philippines Province of Iloilo MUNICIPALITY OF CARLES INVITATION TO BID 1.0 The Municipal Government of Carles, Province of Iloilo through its 20% DEVELOPMENT FUND 2020 intends to apply the sum of One Million Five Hundred Thousand Pesos On</t>
  </si>
  <si>
    <t xml:space="preserve"> Republic of the Philippines Provincial Government of Aurora Bids and Awards Committee (BAC) BAC Office, Provincial Capitol Building, Baler, Aurora 3200, Philippines Standard Form Number: SF---GOODS-05 Revised on: July 28, 2004 INVITATION TO BID The PROVIN</t>
  </si>
  <si>
    <t xml:space="preserve"> Republic of the Philippines DEPARTMENT OF PUBLIC WORKS AND HIGHWAYS CAGAYAN 2ND DISTRICT ENGINEERING OFFICE Regional Office II Abulug, Cagayan  							  INVITATION TO BID/REQUEST FOR EXPRESSION OF INTEREST (CONSULTING SERVICES) The Department of Public Wo</t>
  </si>
  <si>
    <t xml:space="preserve"> INVITATION TO BID FOR THE OPENING/REHABILITATION OF FARM-TO-MARKET ROAD WITH RC PIPES #24 (INCLUDES WINGWALL) AT MALASIN-BAGNOS, AURORA, ISABELA 1.	The Local Government Unit of Aurora, through the 2016 Tobacco Excise Tax intends to apply the sum of Seven </t>
  </si>
  <si>
    <t xml:space="preserve"> 1.	The Provincial Government of Antique, through the 20% IRA-CY 2020 (Econ. Dev’t. Sector) intends to apply the sum One Million Nine Hundred Fifty Five Thousand Nine Hundred Twelve Pesos &amp; 28/100 (Php 1, 955, 912.28) being the Approved Budget for the Cont</t>
  </si>
  <si>
    <t xml:space="preserve"> Qty.	Unit	Description 2 Unit Pumpboat 3 unit Engine(13HP) 5 bundle Net (Pukot): # 7 net 5 bundle Net (Pukot): #4 net 10 rolls Rope #10 5 rolls Rope # 20 10 rolls Nylon # 10 5 rolls Nylon # 12 1,200 pcs. Pataw 2x3 20 kls. Tingga #1 5pcs. Sikohan(Etahiay) 2</t>
  </si>
  <si>
    <t xml:space="preserve"> INVITATION TO APPLY FOR ELIGIBILITY AND TO BID 	The local Government Unit of Can-avid, through is Bid and Awards Committee (BAC). Invites suppliers to apply for eligibility, to bid for the hereunder contract: Name of Contract:      CONCRETING OF MUNICIPAL</t>
  </si>
  <si>
    <t xml:space="preserve"> Section I. Invitation to Bid Republic of the Philippines Province of Romblon INVITATION TO BID FOR  Procurement of 1 unit Passenger Van Body Vehicle for use of Provincial Social Welfare and Development Office, Province of Romblon. July 23, 2020 1.	The Pro</t>
  </si>
  <si>
    <t xml:space="preserve"> Republic of the Philippines Province of Leyte Municipality of Hilongos INVITATION TO RE-BID FOR THE PURCHASE OF 3 IN 1 PRINTER FOR THE EBEIS ROOM OF CONCEPCION CENTRAL SCHOOL 1.  The Local Government Unit of Hilongos, through SEF-CURRENT APPROPRIATION int</t>
  </si>
  <si>
    <t xml:space="preserve"> Supply of Crossover Utility Vehicle (CUV) - Size:  •	Seating Capacity – 8  •	Fuel – Gas - Engine:  •	Engine Type – 4 Cylinder  •	Engine Displacement (cc) – 2.0  •	Fuel Capacity (L) – 55 - Transmission:  •	Power Transmission – 5-Speed M/T  •	Front Brake/Re</t>
  </si>
  <si>
    <t xml:space="preserve"> 1.	The Provincial Government of Antique, through the 20% IRA-CY 2020 (Social Development Sector) intends to apply the sum One Million Four Hundred Thirty Five Thousand Eight Hundred Twenty Nine Pesos &amp; 49/100 (Php 1, 435, 829.49) being the Approved Budget</t>
  </si>
  <si>
    <t xml:space="preserve"> 1 unit Rehab &amp; improvement of existing mun. water system</t>
  </si>
  <si>
    <t xml:space="preserve"> 1 unit Construction of Local Bridge @ Barangay Switch</t>
  </si>
  <si>
    <t xml:space="preserve"> 1.	The Capiz Provincial Government, through the GOP–2020 intends to apply the total amount of One Million Eighty Thousand Nine Hundred Fifty-Six Pesos (Php,1,080,956.00) being the total aggregated Approved Budget for the Contract (ABC) to payments under t</t>
  </si>
  <si>
    <t xml:space="preserve"> a.) Materials					 						 ITEM NO.	DESCRIPTION	UNIT	QUANTITY	UNIT COST	AMOUNT	 1	63mm HDPE Pipe (60m) SDR 11	roll	8	15,000.00	120,000.00	 2	63mm PE Compression Coupling	pcs	9	885.00	7,965.00	 Materials Cost	P 127,965.00	 						 b.) Labor (8 days)					 			</t>
  </si>
  <si>
    <t xml:space="preserve"> CONSTRUCTION OF MADUNGO WAITING SHED, SAGADA FUND	 SOURCE: 20% PDF 2020 TYPES OF WORK TO BE DONE: Project billboard/ signboard/ occupational safety and health program/ structure excavation/ forms and falseworks/ reinforcing steel bars/ structural concrete</t>
  </si>
  <si>
    <t xml:space="preserve"> REPAIR/ MAINTENANCE OF DRAINAGE ALONG NATIONAL ROADS Contract Location:                   a.) Abra-Ilocos Sur Road, K0388+350-K0388+364.50,                                                    Tangadan, San Quintin, Abra; b.) Abra-Ilocos Sur                </t>
  </si>
  <si>
    <t xml:space="preserve"> Republic of the Philippines Province of Leyte Municipality of Hilongos INVITATION TO RE-BID FOR THE PURCHASE OF 15 TELEVISION SETS AS PART OF THE E-LEARNING PROGRAM OF THE DISTRICT FOR THE 15 GRADE 1 CLASSES 1.  The Local Government Unit of Hilongos, thro</t>
  </si>
  <si>
    <t xml:space="preserve"> BIDS AND AWARDS COMMITTEE – HEAD OFFICE INVITATION TO BID 1. The Bangko Sentral ng Pilipinas (BSP), through its Bids and Awards Committee – Head Office (BAC-HO), invites Bidders to apply for eligibility and to bid for the hereunder requirement: Descriptio</t>
  </si>
  <si>
    <t xml:space="preserve"> REPAIR/REHABILITATION/IMPROVEMENT  OF FOOTBRIDGE, FOOTPATH &amp; BARANGAY HEALTH STATION; AND CONSTRUCTION OF KITCHEN SUB-PROJECTS: 1. CONSTRUCTION OF KIBUNGAN MPS KITCHEN - Php460,000.00 2. GROUND IMPROVEMENT OF TABLEO BARANGAY HEALTH STATION, BADEO - Php490</t>
  </si>
  <si>
    <t xml:space="preserve"> Republic of the Philippines Province of Iloilo Municipality of Carles BARANGAY ASLUMAN INVITATION TO BID 1.0 The Barangay Local Government of Asluman, Municipality of Carles, Province of Iloilo through its SUDSIDY-OTHERS FY Budget 2019 (Office of the Gove</t>
  </si>
  <si>
    <t xml:space="preserve"> 1. Printer Ink (003) Blk	        60 btls 2. Printer Ink (003) Yellow	        37 btls 3. Printer Ink (003) Magenta	37 btls 4. Printer Ink (003) Cyan     	39 btls 5. Printer Ink (664) blk	        44 btls 6. Printer Ink (664) Yellow	        32 btls 7. Printe</t>
  </si>
  <si>
    <t xml:space="preserve"> REQUEST FOR EXPRESSION OF INTEREST (REOI) FOR SUBSURFACE EXPLORATION/GEOTECHNICAL INVESTIGATION July 23, 2020  I.      Contract ID	    : 20CSIM001          Contract Name     : Subsurface Exploration/Geotechnical Investigation for the Construction of      </t>
  </si>
  <si>
    <t xml:space="preserve"> SUPPLIES/DELIVERIES FOR THE PROCUREMENT OF VARIOUS SPARE PARTS FOR THE PREVENTIVE MAINTENANCE OF THE OFFICIAL VEHICLES OF DPWH-DIDEO, DPWH – COMPOUND, BRGY. CUARINTA, SAN JOSE, DINAGAT ISLANDS FOR THE 2ND AND 3RD QUARTER OF C.Y. 2020 1.	The Department of </t>
  </si>
  <si>
    <t xml:space="preserve"> REPAIR/MAINTENANCE OF SAN RAMON FLOOD CONTROL Contract Location:                   Manabo, Abra Brief Description:                    Repair/Maintenance of Flood Control using Gabions The DPWH-Abra District Engineering Office reserves the right to accept </t>
  </si>
  <si>
    <t xml:space="preserve"> Procurement of ICT Supplies INVITATION TO BID (July 20, 2020) THE ILOILO SCIENCE AND TECHNOLOGY UNIVERSITY (ISAT U), Burgos Street,  La Paz, Iloilo City,  invites interested Suppliers/Bidders to apply for eligibility and to bid for the hereunder project: </t>
  </si>
  <si>
    <t xml:space="preserve"> Mini Ambulance  Body Type: FB No. of cylinder: #3 Fuel: Gasoline Brand: Suzuki Net weight: 1050 Gross weight: 2100 Series: Carry</t>
  </si>
  <si>
    <t xml:space="preserve"> Republic of the Philippines DEPARTMENT OF PUBLIC WORKS AND HIGHWAYS CAGAYAN 2ND DISTRICT ENGINEERING OFFICE Regional Office II Abulug, Cagayan July 23, 2020 INVITATION TO BID The Cagayan 2nd District Engineering Office, Abulug, Cagayan, through its Bids a</t>
  </si>
  <si>
    <t xml:space="preserve"> Republic of the Philippines Province of Iloilo MUNICIPALITY OF CARLES INVITATION TO BID 1.0 The Municipal Government of Carles, Province of Iloilo through its 20% DEVELOPMENT FUND 2020 intends to apply the sum of Five Hundred Thousand Pesos Only (Php 500,</t>
  </si>
  <si>
    <t xml:space="preserve"> 2. Contract ID:	20ND0074         Contract Name:	Concreting of Brgy. Basag to Brgy. Camayahan FMR, Brgy. Basag and Brgy. Camayahan, Butuan City         Contract Location:	R. Palma Street , Butuan City         Brief Description:	Road Concreting PCCP - RCP  </t>
  </si>
  <si>
    <t xml:space="preserve"> BARANGAY MULTI PURPOSE CENTER CONSTRUCTION FOR SALAGUIAWAN AT SALAGUIAWAN , PATNONGON, ANTIQUE</t>
  </si>
  <si>
    <t xml:space="preserve"> 1.	The Provincial Government of Antique, through the 20% IRA-CY 2020 (Social Development Sector) intends to apply the sum One Million Four Hundred Seventy Five Thousand Four Hundred Twenty Two Pesos &amp; 34/100 (Php 1, 475, 422.34) being the Approved Budget </t>
  </si>
  <si>
    <t xml:space="preserve"> 1. Contract ID:	20ND0066 (Re-Ad)         Contract Name:	REPAIR/MAINTENANCE OF DPWH BLDG. MULTI-PURPOSE HALL BUTUAN CITY DISTRICT ENGINEERING OFFICE         Contract Location:	R. Palma Street , Butuan City         Brief Description:	Repair and Maintenance </t>
  </si>
  <si>
    <t xml:space="preserve"> Republic of the Philippines DEPARTMENT OF PUBLIC WORKS AND HIGHWAYS LAGUNA II DISTRICT ENGINEERING OFFICE REGIONAL OFFICE IV-A Brgy. Bambang, Los Baños, Laguna Invitation to Bid No. 2020 - 13 The Department of Public Works and Highways- Laguna II District</t>
  </si>
  <si>
    <t xml:space="preserve"> 100(2)a Individual Removal of trees (Small 150-300mm dia.) 104(1)a Embankment (from borrow) 105(1) Subgrade Perparation (Common Material) 200 Aggregate Sub Base Course 300(1) Gravel Surface Course (Uncrushed) 311(1)a.2 PCCP (Plain)-Conventional Method, 20</t>
  </si>
  <si>
    <t xml:space="preserve"> Republic of the Philippines Province of Biliran MUNICIPALITY OF CABUCGAYAN -6567- BIDS AND AWARDS COMMITTEE Invitation to Bid for the Rehabilitation/Improvement of Barangay Road in Brgy. Casiawan 1.	The LGU - Cabucgayan, through 2020 LGSF-AM intends to ap</t>
  </si>
  <si>
    <t xml:space="preserve"> Republic of the Philippines Province of Leyte Municipality of Hilongos INVITATION TO BID FOR THE PROCUREMENT OF VENETIAN BLINDS 1.  The Local Government Unit of Hilongos, through GENERAL FUND-CURRENT APPROPRIATION intends to apply the sum THIRTY NINE THOU</t>
  </si>
  <si>
    <t xml:space="preserve"> Republic of the Philippines Province of Leyte Municipality of Hilongos INVITATION TO BID FOR THE PURCHASE OF OFFICE SUPPLIES FOR THE 3RD QUARTER 1.  The Local Government Unit of Hilongos, through GENERAL FUND-CURRENT APPROPRIATION intends to apply the sum</t>
  </si>
  <si>
    <t xml:space="preserve"> INVITATION TO APPLY FOR ELIGIBILITY AND TO BID 	The local Government Unit of Can-avid, through is Bid and Awards Committee (BAC). Invites suppliers to apply for eligibility, to bid for the hereunder contract: Name of Contract:      REHABILITATION/REPAIR O</t>
  </si>
  <si>
    <t xml:space="preserve"> REHABILITATION/ IMPROVEMENT OF LIWANG, LOSAD MULTIPURPOSE HALL, SABANGAN FUND SOURCE: 20% PDF 2020 TYPES OF WORK TO BE DONE: Project billboard/ signboard/ occupational safety and health program/ removal of structures and obstruction/ structure excavation </t>
  </si>
  <si>
    <t xml:space="preserve"> LOCATED AT BRGY. CENTRAL EAST NO. 2, BANGAR, LA UNION SOURCE OF FUND: FY 2017 AND PRIOR YEARS' 20% LOCAL DEVELOPMENT FUND &amp; 2020 20% LOCAL DEVELOPMENT FUND GENERAL DESCRIPTION: BUILDING INFRASTRUCTURES ISSUANCE OF BID DOCUMENTS: JULY 23, 2020 TO AUGUST 12</t>
  </si>
  <si>
    <t xml:space="preserve"> CONSTRUCTION OF PAYAGEO PATHWAY, SAGADA FUND SOURCE: 20% PDF 2020 TYPES OF WORK TO BE DONE:  Project billboard/ signboard/ removal of structure and obstruction/ structure excavation (common soil)/ concrete pathway/ grouted riprap (class A)/ forms and fals</t>
  </si>
  <si>
    <t xml:space="preserve"> CONSTRUCTION OF BANAO BARANGAY FOOTPATH BRIDGE, NATONIN FUND SOURCE: 20% PDF 2020 TYPES OF WORK TO BE DONE: Project billboard/ occupational safety and health program/ site preparation and structure excavation/ reinforcing steel bar/ structural concrete/ g</t>
  </si>
  <si>
    <t xml:space="preserve"> Concreting of Barangay Road 190.80 meter long with earth canal 80 meter long</t>
  </si>
  <si>
    <t xml:space="preserve"> Republic of the Philippines DEPARTMENT OF PUBLIC WORKS AND HIGHWAYS CAMARINES SUR 2ND DISTRICT ENGINEERING OFFICE Regional Office V Baras, Canaman, Camarines Sur INVITATION TO BID  FOR 20GFE0013 – SUPPLY OF FUEL, OIL AND LUBRICANT FOR VARIOUS DPWH EQUIPME</t>
  </si>
  <si>
    <t xml:space="preserve"> All items and descriptions are specified in the attached PR and RFQ, and posted in the associated component of ITB in the PhilGEPS Website.</t>
  </si>
  <si>
    <t xml:space="preserve"> Republic of the Philippines DEPARTMENT OF PUBLIC WORKS AND HIGHWAYS ILOILO CITY DISTRICT ENGINEERING OFFICE REGION VI Fort San Pedro, Iloilo City INVITATION TO BID FOR 20GGJ0053 - Supply and Delivery of Various Spare Parts of Service Vehicles and Heavy Eq</t>
  </si>
  <si>
    <t xml:space="preserve"> 600	sets	Supply and Delivery of Six Hundred (600) sets galvanized metal layer cages with  		forty-eight (48) heads of pullets ready to lay in every set. 		To twenty (20) MIC Farmers Associations in the Municipality of Leyte subject to its terms 		 and con</t>
  </si>
  <si>
    <t xml:space="preserve"> Billboard; Demolition &amp; Clearing of existing structures; Structure Excavation; Formworks &amp;  Falseworks; Structural Concrete; 100mm CHB load bearing; reinforce steel bars; structural Steel Roof Framing, Truss Flashing, Gutter &amp; other Accessories; Pre-paint</t>
  </si>
  <si>
    <t xml:space="preserve"> EARTHWORKS 103(1)a Structure Excavation 104(1a) Embankment (from borrow) 105(1)a Subgrade Preparation (Common Material) PLAIN REINFORCED STRUCTURES 404(1)a Reinforcing Steel Bar (Grade 40) 405(1)a3 Structural Concrete (Class "A"-20.68MPa, 28days) DRAINAGE</t>
  </si>
  <si>
    <t xml:space="preserve"> Republic of the Philippines DEPARTMENT OF PUBLIC WORKS AND HIGHWAYS ILOILO CITY DISTRICT ENGINEERING OFFICE REGION VI Fort San Pedro, Iloilo City INVITATION TO BID FOR 20GGJ0052 - Supply and Delivery of Office Supplies (4th Quarter, CY 2020) for the use o</t>
  </si>
  <si>
    <t xml:space="preserve"> I. TILE WORKS II. SANITARY/ PLUMBING WORKS III. REPAIR/ MAINTENANCE OF AIR CONDITION UNIT IV. LABOR V. GENERAL REQUIREMENTS</t>
  </si>
  <si>
    <t xml:space="preserve"> CONTINUATION OF TAMBINGAN TRIBAL CENTER, SABANGAN FUND SOURCE: 20% PDF 2020 TYPES OF WORK TO BE DONE: Project billboard/ signboard/ occupational safety and health program/ structural concrete for footing tie beam, column, suspended slab, girder/ beam (cla</t>
  </si>
  <si>
    <t xml:space="preserve"> Please refer attached file.</t>
  </si>
  <si>
    <t xml:space="preserve"> INVITATION TO BID FOR UPGRADING OF LOCAL ACCESS ROAD IN SALINUNGAN WEST  (INFRA 2020-15) 1.	The LOCAL GOVERNMENT UNIT OF SAN MATEO, ISABELA (LGU-SMI), through its Bids and Awards Committee  intends to apply the sum of TWO MILLION SEVEN HUNDRED SIXTY SEVEN</t>
  </si>
  <si>
    <t xml:space="preserve"> INVITATION TO BID (Public Bidding) 	 The PHILIPPINE SCIENCE HIGH SCHOOL-MIMAROPA REGION CAMPUS (PSHS-MRC), through its Bids and Awards Committee (BAC), invites interested parties to apply for eligibility and to bid for the hereunder Design and Build Schem</t>
  </si>
  <si>
    <t xml:space="preserve"> A)REQUEST FOR QUOTATION 1. 10 sets Brake Pad (Front) 2. 10 sets Brake Pad (Rear) 3. 10 pcs Air Filter 4. 10 sets Micro Filter 5. 10 pcs Fuel Filter 6. 10 pcs Drive Belt 7. 3 pcs Brake Master Cylinder Assembly 8. 3 sets Clutch Master Cylinder Assembly 9. 3</t>
  </si>
  <si>
    <t xml:space="preserve"> SEE PBD</t>
  </si>
  <si>
    <t xml:space="preserve"> PROJECT TITLE &amp; LOCATION Repair &amp; Rehabilitation of Barangay Road with Drainage System at Dalapang-Stimson Abordo Road, Ozamiz City PROJECT DESCRIPTION Rehabilitation of 338 L.m. Dalapang Barangay Road Programmed Length: 197.00 m. Roadbed Width: 9.10 m.  </t>
  </si>
  <si>
    <t xml:space="preserve"> The Local  Government   Unit  of General  Santos  City, through  the  GENERAL FUND CY 2020  intends  to apply  the sum of one million five hundred seventy five thousand and xx / 100 Pesos Only (1,575,000.00)   being  the Approved  Budget  for the Contract</t>
  </si>
  <si>
    <t xml:space="preserve"> INVITATION TO BID 1)	The DPWH- Davao City District Engineering Office through its Bids and Awards Committee (BAC), invites contractors to submit bids for the following contract; 1. Procurement ID /          Contract ID No.	:	20LB0191     Contract Name	:	R</t>
  </si>
  <si>
    <t xml:space="preserve"> Republic of the Philippines Municipality of Kalayaan Province of Palawan Bids and Awards Committee Section I. Invitation to Bid                                             	Republic of the Philippines                                             Municipali</t>
  </si>
  <si>
    <t xml:space="preserve"> LOCATED AT BRGY. CADAPLI, BANGAR, LA UNION SOURCE OF FUND: TRUST FUND - DENR GRANT GENERAL DESCRIPTION: BUILDING INFRASTRUCTURES ISSUANCE OF BID DOCUMENTS: JULY 23, 2020 TO AUGUST 12, 2020 (MONDAY TO THURSDAY 8AM TO 5PM) PRE-BID CONFERENCE: JULY 30, 2020 </t>
  </si>
  <si>
    <t xml:space="preserve"> 240	Heads	GILT 		1. Grand Parent Stocks 		2. Parent Stocks 12	Heads	Boar 		1. Grand Parent Stocks 		2. Terminal lines 		3. A.I. Trained TERMS AND CONDITIONS: 1. The Supplier has a capacity to deliver the required Gilts and Boars needed by the project. 2. </t>
  </si>
  <si>
    <t xml:space="preserve"> Republic of the Philippines DEPARTMENT OF PUBLIC WORKS AND HIGHWAYS ILOILO CITY DISTRICT ENGINEERING OFFICE REGION VI Fort San Pedro, Iloilo City INVITATION TO BID FOR 20GGJ0057 - Supply and Delivery of Office Supplies for the Conduct of Pavement Manageme</t>
  </si>
  <si>
    <t xml:space="preserve"> INVITATION TO BID FOR PURCHASE OF SCHOOL / CONVENTION BAGS (7,000 PCS.) FOR SCHOOLCHILDREN 1.	The Municipal Government of Sta. Maria through the Social Welfare Funds 2020 intends to apply the sum of One Million Six Hundred Thousand Pesos (₱1,600,000.00) b</t>
  </si>
  <si>
    <t xml:space="preserve"> Republic of the Philippines DEPARTMENT OF PUBLIC WORKS AND HIGHWAYS ILOILO CITY DISTRICT ENGINEERING OFFICE REGION VI Fort San Pedro, Iloilo City INVITATION TO BID FOR 20GGJ0056 - Supply and Delivery of Office Supplies for the Conduct of Inventory/Conditi</t>
  </si>
  <si>
    <t xml:space="preserve"> Structure Excavation (common soil); Reinforced Concrete (Class B); Cement Plaster Finish; Painting Works; CHB 4”/100mm; Fence; Project Billboard;  Construction Safety and Health Requirement; Equipment Requirement; welding machine; grinder/cutter; 18 w.d.</t>
  </si>
  <si>
    <t xml:space="preserve"> REPAIR OF VARIOUS WAREHOUSES OF NFA ISABELA</t>
  </si>
  <si>
    <t xml:space="preserve"> Purchase of Digital Duplicating Machine to be use for reproduction of modules for all students of San Lorenzo RUiz (Elementary and High School) Specifications: - High Speed digital master-making/fully automatic printing - Speed: 100 ppm Printing - Image Q</t>
  </si>
  <si>
    <t xml:space="preserve"> Republic of the Philippines PROVINCE OF AGUSAN DEL SUR Bids and Awards Committee Gov. Democrito O. Plaza Government Center, Prosperidad Invitation to Bid for Acquisition/Development of Relocation Site 1.	The Provincial Government of Agusan del Sur through</t>
  </si>
  <si>
    <t xml:space="preserve"> Republic of the Philippines DEPARTMENT OF PUBLIC WORKS AND HIGHWAYS 		ILOILO CITY  DISTRICT ENGINEERING OFFICE  REGIONAL OFFICE VI       Fort San Pedro Road, Iloilo City        INVITATION TO BID   The Department of Public Works and Highways, Iloilo City D</t>
  </si>
  <si>
    <t xml:space="preserve"> Republic of the Philippines Province of Siquijor Municipality of Maria INVITATION TO BID FOR Procurement of Various Supplies for Construction of Vermi-compost Facility – Maria, Siquijor / MAR-00037G-2020 1.	The LGU – Municipality of Maria, through the 20%</t>
  </si>
  <si>
    <t xml:space="preserve"> The Local Government Unit of General Santos City, through the TRUST FUND CY 2020 intends to apply the sum of one million five hundred thousand and xx / 100 Pesos Only (1,500,000.00) being the Approved Budget for the Contract (ABC) to payments under the co</t>
  </si>
  <si>
    <t xml:space="preserve"> Republic of the Philippines Province of Nueva Vizcaya Municipality of Solano -o0o- INVITATION TO BID FOR ABC for LOT 1 – Supply &amp; Delivery of materials for the Road Concreting	                   (Tire Path), Brgy. Bascaran, Solano, NV.			P117,734.00 ABC f</t>
  </si>
  <si>
    <t xml:space="preserve"> LOCATED AT BRGY. MARIA CRISTINA EAST, BANGAR, LA UNION SOURCE OF FUND: GENERAL FUND GENERAL DESCRIPTION: BUILDING INFRASTRUCTURES ISSUANCE OF BID DOCUMENTS: JULY 23, 2020 TO AUGUST 12, 2020 (MONDAY TO THURSDAY 8AM TO 5PM) PRE-BID CONFERENCE: JULY 30, 2020</t>
  </si>
  <si>
    <t xml:space="preserve"> 500	vials	Ampicilin + Sulbactam 750mg 300	vials	Cefazolin Sodium 1g 1000	vials	Ceftriaxone 1g 1000	vials	Cefuroxime Sodium 750g 100	amps	Citicoline 1g/4ml 500	amps	Ketorolac Tromethamine 30mg/1ml 100	amps	Methylerfometrine Maleate 200mg/1ml 500	vials	Metr</t>
  </si>
  <si>
    <t xml:space="preserve"> CTTMO 1 Lot Supply, Delivery and Installation for Bike Lane Signage's (See Attached Design) 350 units of ACP (Aluminum Composite Panel) Computer Cut High Grade Diamond Fluorescent Sticker, Thickness: 3.5mil - 0.0035 inches B.I. Pipe: Sched # 40, Thickness</t>
  </si>
  <si>
    <t xml:space="preserve"> LOCATED AT BRGY. CONSUEGRA, BANGAR, LA UNION SOURCE OF FUND: 20% LOCAL DEVELOPMENT FUND GENERAL DESCRIPTION: VARIOUS CONSTRUCTION WORKS ISSUANCE OF BID DOCUMENTS: JULY 23, 2020 TO AUGUST 12, 2020 (MONDAY TO THURSDAY 8AM TO 5PM) PRE-BID CONFERENCE: JULY 30</t>
  </si>
  <si>
    <t xml:space="preserve"> INVITATION TO BID FOR 1.	 The Department of Public Works and Highways Davao City District Engineering Office, through its Bids and Awards Committee (BAC) for Goods, invites suppliers to submit bids for the Contract: 1.	Contract ID No. 	: 20GLB0066   ►PR N</t>
  </si>
  <si>
    <t xml:space="preserve"> Republic of the Philippines													 City of San Carlos													 Negros Occidental													 													 			INVITATION TO BID							FOR SALE		 			PURCHASE REQUEST NO: 221-20-06-0692			P 2,250.00		 Sealed bids for quotation of prices will be r</t>
  </si>
  <si>
    <t xml:space="preserve"> CITY HEALTH OFFICE 28 Unit/s Computer Desktop, Branded, Processor specification: Ninth (9th) Generation 17 Unit/s Notebook, Branded, Processor Specification: Eight (8th) Generation 23 Unit/s Printer, Color, Multi-function (Print/copy/scan) with Eco Integr</t>
  </si>
  <si>
    <t xml:space="preserve"> Please see attache documents.</t>
  </si>
  <si>
    <t xml:space="preserve"> Republic of the Philippines Province of Nueva Vizcaya Municipality of Solano -o0o- INVITATION TO BID FOR Supply &amp; Delivery of materials for the Construction of Three Classroom Building (Ladao E/S) Sitio Namugho, Brgy. Commonal, SNV.   (SOLANO 083-2020) 1.</t>
  </si>
  <si>
    <t xml:space="preserve"> LOCATED AT BRGY. RISSING, BANGAR, LA UNION SOURCE OF FUND: 2017 SEARCH FOR MODEL BARANGAY FUND GENERAL DESCRIPTION: SOLAR LIGHTS INSTALLATION ISSUANCE OF BID DOCUMENTS: JULY 23, 2020 TO AUGUST 12, 2020 (MONDAY TO THURSDAY 8AM TO 5PM) PRE-BID CONFERENCE: J</t>
  </si>
  <si>
    <t xml:space="preserve"> Republic of the Philippines												 City of San Carlos												 Negros Occidental												 												 			INVITATION TO BID							FOR SALE	 			PURCHASE REQUEST NO: 221-20-06-0685			P 2,250.00	 Sealed bids for quotation of prices will be receive</t>
  </si>
  <si>
    <t xml:space="preserve"> 1.	The OFFICE OF CIVIL DEFENSE, through the OCD CY 2019 – Capital Outlay (Continuing Approprations), intends to apply the sum of Twelve Million, One Hundred Forty Six Thousand, Nine Hundred Sixty Seven and 54/100 Pesos (PHP12,146,967.54) being the Approve</t>
  </si>
  <si>
    <t xml:space="preserve"> 1.	The Municipal Government of Roxas, Isabela has received funding assistance from LGSF-Assistance to Municipalities (AM-2020) and it  intends to apply part or whole of the proceeds of this funds for payment under the contract for the project. . Bids rece</t>
  </si>
  <si>
    <t xml:space="preserve"> Republic of the Philippines												 City of San Carlos												 Negros Occidental												 												 			INVITATION TO BID							FOR SALE	 			PURCHASE REQUEST NO: 221-20-06-0711			P 2,250.00	 Sealed bids for quotation of prices will be receive</t>
  </si>
  <si>
    <t xml:space="preserve"> 40	tubes	Adhesive Plaster Pre-Cut 100	packs	Boufant Cap (Dispo. Cap) 20	doz	Chromic 1-round 30	doz	Chromic 2-0, round 100	rlls	Absorbent Cotton,, 400gms 30	pcs	Digital Thermometer 200	bxs	Disposable Face Mask (earloop) , 3 ply 10	bxs	Disposable Needle G-2</t>
  </si>
  <si>
    <t xml:space="preserve"> Procurement of Medical supplies for COVID-19</t>
  </si>
  <si>
    <t xml:space="preserve"> Clearing &amp; Grubbing; Excavation; Structural Concrete; Reinforcing Steel Bar; Hauling; Project Billboard; Equipment Requirement: One Bagger Mixer; Concrete Vibrator; Water Truck; Dump Truck(3 cu.m.) Cargo Truck; Bar Cutter; Bar bender; 11 w.d.</t>
  </si>
  <si>
    <t xml:space="preserve"> Rehabilitation of Incident Command System Municipal Compound</t>
  </si>
  <si>
    <t xml:space="preserve"> Invitation to Bid for the supply, delivery &amp; installation of Furniture &amp; Fixture for use of the Batangas City Sport Center-Coliseum.</t>
  </si>
  <si>
    <t xml:space="preserve"> SUPPLY AND DELIVERY OF LAPTOPS FOR DISTRIBUTION TO TEACHING AND TEACHING RELATED PERSONNEL OF ALL PUBLIC ELEMENTARY AND SECONDARY SCHOOLS IN MAKATI CITY -ORDER OF PAYMENT FOR BID DOCS WILL BE AVAILABLE AT GSD-HEAD OFFICE @ 10TH FLOOR MAKATI CITY HALL BLDG</t>
  </si>
  <si>
    <t xml:space="preserve"> TRAFFIC APPREHENSION I-DIGITAL SERVER SYSTEM -ORDER OF PAYMENT FOR BID DOCS WILL BE AVAILABLE AT GSD-HEAD OFFICE @ 10TH FLOOR MAKATI CITY HALL BLDG. 2. LOOK FOR MR. REDEN VILLANUEVA. A COMPLETE SET OF BIDDING DOCUMENTS WILL BE AVAILABLE FROM DAY OF POSTIN</t>
  </si>
  <si>
    <t xml:space="preserve"> CENTRAL OFFICE BIDS AND AWARDS COMMITTEE (COBAC) INVITATION TO BID PROCUREMENT OF BUSINESS INTELLIGENCE PLATFORM SUBSCRIPTION COBAC IB NO. 004 (G) S. 2020  1.	The Department of the Interior and Local Government (DILG), through the General Appropriations A</t>
  </si>
  <si>
    <t xml:space="preserve"> Description	Unit	Quantity	Unit Price	Total Price Paper size: Paper size used on layout A4 Paper thickness(Basis weight): 70gsm (BP) Binding: Saddle stitch Cover: Foldcote No.12 (FC#12) (4color) with lamination (UV coating) Inside: 1 color/4color 	 2,434,3</t>
  </si>
  <si>
    <t xml:space="preserve"> PLEASE DOWNLOAD THE ATTACHMENT/S FOR REFERENCE. Important Notes and Conditions: You can submit your quotation ON or BEFORE JULY 28, 2020 at 01:00 PM with the photocopy of the following legal documents: a. Mayor’s / Business Permit  b. PhilGEPS Registratio</t>
  </si>
  <si>
    <t xml:space="preserve"> CITY MAYORS OFFICE 1 Unit Vehicle, brand new, Pick-Up, 4x2 LT MT (RT66), RZ4E-TC, Diesel Engine, Manual Transmission with Aircon, color: white Please see attached file/document on associated components or BAC website www.davaocityportal.com (BAC posting) </t>
  </si>
  <si>
    <t xml:space="preserve"> Invitation to Bid for the subscription of Learning Management System as requested by Colegio ng Lungsod ng Batangas</t>
  </si>
  <si>
    <t xml:space="preserve"> Republic of the Philippines												 City of San Carlos												 Negros Occidental												 												 			INVITATION TO BID							FOR SALE	 			PURCHASE REQUEST NO: 221-20-06-0713			P 2,250.00	 Sealed bids for quotation of prices will be receive</t>
  </si>
  <si>
    <t xml:space="preserve"> SUPPLY AND DELIVERY OF OFFICE EQUIPMENT AND SUPPLIES FOR VARIOUS OFFICES AND DEPARTMENTS OF THE CITY GOVERNMENT OF MAKATI (2 LOTS) LOT 1:  SUPPLY AND DELIVERY OF VARIOUS OFFICE EQUIPMENT FOR UDD LOT 2:  SUPPLY AND DELIVERY OF OFFICE SUPPLIES FOR VARIOUS O</t>
  </si>
  <si>
    <t xml:space="preserve"> Invitation to Bid No. 20-07-07 CONSTRUCTION OF URGP BUILDING/ COMMERCIAL BUILDING  1.	The West Visayas State University, through Special Trust Fund 2020 and unexpended balances 2019 intends to apply the sum of Twenty Two Million Pesos (PhP22,000,000.00) O</t>
  </si>
  <si>
    <t xml:space="preserve"> CITY MAYORS OFFICE 1 Lot Supply, deliver and installation of Testing and Server Infrastructure Please see attached file/document on associated components or BAC website www.davaocityportal.com (BAC posting) for the complete descriptions, terms of conditio</t>
  </si>
  <si>
    <t xml:space="preserve"> CMO/PSSCC 1 Unit Brand New 4-wheeler Utility Vehicle / Passenger Van Please see attached file/document on associated components or BAC website www.davaocityportal.com (BAC posting) for the complete descriptions, terms of conditions and terms of references</t>
  </si>
  <si>
    <t xml:space="preserve"> INVITATION TO BID	 The National Maritime Polytechnic (NMP), through its Bids and Awards Committee (BAC), invites suppliers/manufacturers/distributors/contractors to bid for the following: PARTICULARS	Approved Budget for the Contract (ABC)	Amount of Biddin</t>
  </si>
  <si>
    <t xml:space="preserve"> Billboard;Structure Excavation; RSB Works; Structural Concrete (Class A); Roofing ; Corrugated Metal Roofing; Manual Hauling; Construction Safety and Health; Equipment Requirement: bar cutter; cargo truck; concrete vibrator; cutting outfit; welding machin</t>
  </si>
  <si>
    <t xml:space="preserve"> 756	Bags	Hog grower Pellets (50 kilos) 1,680	Bags	Hog Gestating Mash (50 kilos) 720	Bags	Hog Lactating Mash (50 kilos) 180	Bags	Piglet Booster (24 kilos) 2,160	Bags	Pre Starter (25 kilos) TERMS &amp; CONDITIONS: 1. The Supplier has a capacity to deliver the r</t>
  </si>
  <si>
    <t xml:space="preserve"> SUPPLY, DELIVERY AND INSTALLATION OF FURNITURE AND FIXTURES AT THE LAW DEPARTMENT, 18TH FLOOR MAKATI CITY HALL BUILDING I -ORDER OF PAYMENT FOR BID DOCS WILL BE AVAILABLE AT GSD-HEAD OFFICE @ 10TH FLOOR MAKATI CITY HALL BLDG. 2. LOOK FOR MR. REDEN VILLANU</t>
  </si>
  <si>
    <t xml:space="preserve"> CITY ENGINEER'S OFFICE 1300 cubic meter Crushed Rock, 3/8 inch dia. 800 cubic meter Crushed Washed Sand (Aggregates for Bituminous Concrete Item 310) Please see attached file/document on associated components or BAC website www.davaocityportal.com (BAC po</t>
  </si>
  <si>
    <t xml:space="preserve"> Lot 31-GAA-2020 Supply and Delivery of Hemodialysis Bloodlines 3-in-1 with Drain Bag</t>
  </si>
  <si>
    <t xml:space="preserve"> CITY HEALTH OFFICE VARIOUS ELECTRICAL EQUIPMENT AND APPLIANCES - A Please see attached file/document on associated components or BAC website www.davaocityportal.com (BAC posting) for the complete descriptions, terms of conditions and terms of references. </t>
  </si>
  <si>
    <t xml:space="preserve"> SUPPLY AND DELIVERY OF JANITORIAL SUPPLIES FOR DAILY OPERATION OF THE CITY GOVERNMENT OF MAKATI -ORDER OF PAYMENT FOR BID DOCS WILL BE AVAILABLE AT GSD-HEAD OFFICE @ 10TH FLOOR MAKATI CITY HALL BLDG. 2. LOOK FOR MR. REDEN VILLANUEVA. A COMPLETE SET OF BID</t>
  </si>
  <si>
    <t xml:space="preserve"> Republic of the Philippines National Kidney and Transplant Institute Bids and Awards Committee East Avenue, Quezon City 1100 981-0300 / 981-0400 local 1157 http://www.nkti.gov.ph/	 INVITATION TO BID for the ITB No. 20-068 Supply and Delivery of Various Im</t>
  </si>
  <si>
    <t xml:space="preserve"> CITY HEALTH OFFICE VARIOUS MEDICAL SUPPLIES AND MATERIALS Please see attached file/document on associated components or BAC website www.davaocityportal.com (BAC posting) for the complete descriptions, terms of conditions and terms of references. Bidding w</t>
  </si>
  <si>
    <t xml:space="preserve"> CITY ECONOMIC ENTERPRISE VARIOUS JANITORIAL SUPPLIES AND MATERIALS Please see attached file/document on associated components or BAC website www.davaocityportal.com (BAC posting) for the complete descriptions, terms of conditions and terms of references. </t>
  </si>
  <si>
    <t xml:space="preserve"> Republic of the Philippines PROVINCE OF PAMPANGA City of San Fernando INVITATION TO BID NO. 2020-27 IG-BAC INVITATION TO BID FOR PURCHASE REQUEST NO. 20-0663 The Provincial Government of Pampanga (“Province”) intends to apply the following sums from the f</t>
  </si>
  <si>
    <t xml:space="preserve"> LOT 30-GAA -2020  SUPPLY AND DELIVERY OF ARTERIAL BLOOD GAS ANALYSIS REAGENT- MACHINE TIE UP</t>
  </si>
  <si>
    <t xml:space="preserve"> LOT 32-GAA-2020 JANITORIAL SERVICES (SEPTEMBER-DECEMBER) REBIDDING</t>
  </si>
  <si>
    <t xml:space="preserve"> Republic of the Philippines DEPARTMENT OF PUBLIC WORKS AND HIGHWAYS SULTAN KUDARAT 1ST DISTRICT ENGINEERING OFFICE REGIONAL OFFICE XII Isulan, Sultan Kudarat                                                                        RE-INVITATION TO BID The D</t>
  </si>
  <si>
    <t xml:space="preserve"> Name/Location of the Project:           Construction of  Poblacion  3  Human Resource and Manpower Dev’t Center Phase II           Brgy. Poblacion  3, Buenavista, Agusan del Norte Project Category:       Building Project Description:   Construction of Two</t>
  </si>
  <si>
    <t xml:space="preserve"> Name of  Project/Contract	:	COMPLETION OF STANDARD BIRTHING CLINIC Location				:	BIYOY, Kasibu, Nueva Vizcaya Brief Description			:	Completion of 12.om x 7.0m one – storey Building with furniture, facilities and utilities 1.	Structure excavation – column </t>
  </si>
  <si>
    <t xml:space="preserve"> Republic of the Philippines Province of Bukidnon Municipality of Cabanglasan -o0o- ___________________________________________________________________________ INVITATION TO BID FOR  Purchase of Supplies and Equipments for Cabanglasan District Office and S</t>
  </si>
  <si>
    <t xml:space="preserve"> CITY GOVERNMENT OF DAVAO VARIOUS COMPUTER SUPPLIES AND MATERIALS Please see attached file/document on associated components or BAC website www.davaocityportal.com (BAC posting) for the complete descriptions, terms of conditions and terms of references. Bi</t>
  </si>
  <si>
    <t xml:space="preserve"> LANAO DEL NORTE 1ST DISTRICT ENGINEERING OFFICE 0054 Seminary Drive, Del Carmen, Iligan City Tel./Fax No. (063) 225-4244   INVITATION TO BID The __DPWH-Lanao del Norte 1st District Engineering Office, through its Bids and Awards Committee (BAC), invites c</t>
  </si>
  <si>
    <t xml:space="preserve"> 1. The Local Government Unit of San Andres, Quezon through its LGSF Fund intends to apply the sum of Three Million Pesos (Php 3,000,000.00) only being the Approved Budget for the Contract (ABC) to payments under the contract for Construction of Multi-purp</t>
  </si>
  <si>
    <t xml:space="preserve"> Republic of the Philippines 	CITY OF SAN PEDRO Province of Laguna BIDS AND AWARDS COMMITTEE INVITATION TO APPLY FOR ELIGIBILITY AND TO BID PR NO. 0538 1.	The City Government of San Pedro, Laguna through the 2020 Budget Approved by the Sangguniang Panglung</t>
  </si>
  <si>
    <t xml:space="preserve"> Name/Location of the Project:           Construction of Buenavista Community Hospital – Phase IV &amp; V           Km. 12, Brgy. Manapa, Buenavista, Agusan del Norte Project Category:       Building Project Description:   Construction of Three (3) Storey Buil</t>
  </si>
  <si>
    <t xml:space="preserve"> CITY ENGINEER'S OFFICE VARIOUS OIL AND LUBRICANTS Please see attached file/document on associated components or BAC website www.davaocityportal.com (BAC posting) for the complete descriptions, terms of conditions and terms of references. Bidding will be c</t>
  </si>
  <si>
    <t xml:space="preserve"> Procurement of Semi-Expandable Equipment for Modular Learning</t>
  </si>
  <si>
    <t xml:space="preserve"> LOT 37-UOI-2020 AIRCONDITIONING UNITS</t>
  </si>
  <si>
    <t xml:space="preserve"> INVITATION TO BID FOR THE  SUPPLY AND DELIVERY OF COLLECTION/DISCONNECTION NOTICE PR Nos. 27829-001, 27830-001 1.	The Metropolitan Cebu Water District, through the Corporate Budget of 2020 intends to apply the sum of: PR No.	Description	Qty.	Unit Price	Ap</t>
  </si>
  <si>
    <t xml:space="preserve"> The Barangay Government of Barangay Mambago-A, through the General Funds intends to apply the sum of Two Hundred Twenty Thousand Two Hundred Two Pesos and Eighty Nine Centavos only (₱220,202.89) being the Approved Budget for the Contract (ABC) to payments</t>
  </si>
  <si>
    <t xml:space="preserve"> Republic of the Philippines Province of Bukidnon Municipality of Cabanglasan -o0o- ___________________________________________________________________________ INVITATION TO BID FOR  Purchase of Diesel and Lubricants for Rehabilitation of Barangay Road, Hi</t>
  </si>
  <si>
    <t xml:space="preserve"> Procurement of Kitchen and Supplies INVITATION TO BID (July 20, 2020) THE ILOILO SCIENCE AND TECHNOLOGY UNIVERSITY (ISAT U), Burgos Street,  La Paz, Iloilo City,  invites interested Suppliers/Bidders to apply for eligibility and to bid for the hereunder p</t>
  </si>
  <si>
    <t xml:space="preserve"> 300	bot	Amoxicillin Drops 50	bot	AI Mg Syrup 15	box	AI Mg 200mg/100mg Tablet 120	box	Amoxicillin 250mg Capsule 150	box	Amoxicillin 500mg Capsule 230	bot	Amoxicillin 250mg/5ml syrup 400	bot	Ascorbic Acid Drops 150	box	Ascorbic Acid 500mg Tablet 500	bot	Asc</t>
  </si>
  <si>
    <t xml:space="preserve"> Republic of the Philippines Province of Bukidnon Municipality of Cabanglasan -o0o- ___________________________________________________________________________ INVITATION TO BID FOR  Purchase of Materials for Rehabilitation of Road (Mainaga- Sumbang Raod, </t>
  </si>
  <si>
    <t xml:space="preserve"> Republic of the Philippines DEPARTMENT OF PUBLIC WORKS AND HIGHWAYS Region X OFFICE OF THE REGIONAL DIRECTOR Engineers’ Hill, Bulua, Cagayan de Oro City RE – INVITATION TO BID FOR CONTRACT ID NO. 20GSK00011– SUPPLY AND DELIVERY OF OFFICE SUPPLIES FOR USE </t>
  </si>
  <si>
    <t xml:space="preserve"> Section I. Invitation to Bid Republic of the Philippines Province of Romblon INVITATION TO BID FOR  Installation of CCTV’s in Strategic Areas with Street Lights, Intermittent Sections, Poblacion, Odiongan, Romblon . July 23, 2020 1.	The Provincial Governm</t>
  </si>
  <si>
    <t xml:space="preserve"> Procurement of TABLET INVITATION TO BID (July 20, 2020) THE ILOILO SCIENCE AND TECHNOLOGY UNIVERSITY (ISAT U), Burgos Street,  La Paz, Iloilo City,  invites interested Suppliers/Bidders to apply for eligibility and to bid for the hereunder project: Name o</t>
  </si>
  <si>
    <t xml:space="preserve"> Republic of the Philippines Province of Bukidnon Municipality of Cabanglasan -o0o- Invitation to Bid for  CONCRETING OF LOCAL ROADS, PALO POBLACION  PB-2020-28 1.	The Local Government Unit of Cabanglasan, through the Budget Approved by the Sanggunian 2020</t>
  </si>
  <si>
    <t xml:space="preserve"> Upgrading / Rehabilitation of Togong-Banice-Balogo Local Access Road Item No.	DESCRIPTION	Qty.	Unit 			 100	Clearing &amp; Grubbing	 5,460.00 	sq.m. 102	Surplus Common Excavation	 367.00 	cu.m 102 (3)	Surplus Rock Excavation	 200.00 	cu.m 104	Embankment	 720.</t>
  </si>
  <si>
    <t xml:space="preserve"> Republic of the Philippines Province of Bukidnon Municipality of Cabanglasan -o0o- ___________________________________________________________________________ INVITATION TO BID FOR  Purchase of Materials for Pasalubong Center lot 2 PB-2020-23 1.	The Local</t>
  </si>
  <si>
    <t xml:space="preserve"> INVITATION TO BID (July 20, 2020) THE ILOILO SCIENCE AND TECHNOLOGY UNIVERSITY (ISAT U), Burgos Street,  La Paz, Iloilo City,  invites interested Suppliers/Bidders to apply for eligibility and to bid for the hereunder project: Project Reference No.	:  ISA</t>
  </si>
  <si>
    <t xml:space="preserve"> Supply/Delivery of Fuel</t>
  </si>
  <si>
    <t xml:space="preserve"> Republic of the Philippines PROVINCE OF PAMPANGA City of San Fernando INVITATION TO BID NO. 2020-26 IG - BAC INVITATION TO BID FOR PURCHASE REQUEST NO.20-1428  The Provincial Government of Pampanga (“Province”) intends to apply the following sums from the</t>
  </si>
  <si>
    <t xml:space="preserve"> Republic of the Philippines Province of Iloilo Municipality of Carles BARANGAY DAYHAGAN INVITATION TO BID 1.0 The Barangay Local Government of Dayhagan, Municipality of Carles, Province of Iloilo through its 20% Development Fund 2020 intends to apply the </t>
  </si>
  <si>
    <t xml:space="preserve"> Republic of the Philippines Province of Bukidnon Municipality of Cabanglasan -o0o- ___________________________________________________________________________ INVITATION TO BID FOR  Purchase of Materials for Construction of Market Stalls (PhaseII) Market </t>
  </si>
  <si>
    <t xml:space="preserve"> Invitation to Bid Republic of the Philippines City of Olongapo -0- BIDS AND AWARDS COMMITTEE BAC 3rd  Floor  Olongapo City Hall  Web: www.olongapocity.gov.ph INVITATION TO BID FOR  OC-74(CEO-22) 20 CW Proposed Concreting of Road @ Cristobal Ext. (Christ t</t>
  </si>
  <si>
    <t xml:space="preserve"> INVITATION TO BID FOR PROCUREMENT OF ONE (1) YEAR JANITORIAL SERVICES FOR TIEZA PRICIPAL OFFICE AND LIGHTS AND SOUND MUSEUM Invitation to Bid No. 20-07-0001 In line with the government’s directive to ensure safety and to prevent the spread of COVID-19, pl</t>
  </si>
  <si>
    <t xml:space="preserve"> Widening and Slope Protection of FMR at Sobol-Calepaan (Nayaknak), Asingan, Pangasinan Pre-Bid Conference – July 31, 2020 at 9:30 AM at the Conference Room of the Municipal Hall of Asingan Submission/Receipt/Opening of Bids :  August 12, 2020 at 9:30 AM a</t>
  </si>
  <si>
    <t xml:space="preserve"> INVITATION TO BID FOR PROCUREMENT OF ONE (1) YEAR SECURITY SERVICES FOR TIEZA PRINCIPAL OFFICE Invitation to Bid No. 20-07-0002 In line with the government’s directive to ensure safety and to prevent the spread of COVID-19, please be informed that the bid</t>
  </si>
  <si>
    <t xml:space="preserve"> Billboard; Safety &amp; Health; Clearing and Site preparation; Manual Hauling of Materials; Removal of Structure and obstruction; Structure Excavation; Reinforcing Steel Bar; Concrete Works; Fabrication and Installation of Suspension Bridge and Accessories; E</t>
  </si>
  <si>
    <t xml:space="preserve"> I. Mobilization II. CSHP III. Porject Billboard IV. Masonry Works V. Roof Framing VI. Plumbing Works VII. Carpentry Works VIII. Forms and Scaffolding IX. External X. Windows XI. Painting Works Labor</t>
  </si>
  <si>
    <t xml:space="preserve"> Procurement of office supplies for modular Learning</t>
  </si>
  <si>
    <t xml:space="preserve"> Republic of the Philippines CITY OF SAN PEDRO Province of Laguna BIDS AND AWARDS COMMITTEE INVITATION TO BID The City Government of San Pedro Laguna through the 2020 CDC Budget Approved by Sangguniang Panglungsod intends to apply the sum of Php 1,079,118.</t>
  </si>
  <si>
    <t xml:space="preserve"> The Barangay Government of Barangay Mambago-A, through the General Funds intends to apply the sum of Fifty Two Thousand Three Hundred Fifty Six Pesos and Eighty Two Centavos only (₱52,356.82) being the Approved Budget for the Contract (ABC) to payments un</t>
  </si>
  <si>
    <t xml:space="preserve"> INVITATION TO BID FOR THE PURCHASE OF IT EQUIPMENT (LAPTOP, DESKTOP AND PRINTER) FOR VARIOUS SCHOOLS IN THE CITY SCHOOL DIVISION OF BACOOR - CSDO 1.	The City Government of Bacoor, Cavite, through the General Fund Year 2020 intends to apply the sum of ONE </t>
  </si>
  <si>
    <t xml:space="preserve"> Other General Requirements, Earthwork, Sub Base and Base Course, Surface Course and Slope Protection.</t>
  </si>
  <si>
    <t xml:space="preserve"> INVITATION TO BID Bid No. B-107-2020 1.	The Provincial Government of Negros Oriental, through Source of Fund: 1) 8918-080(19); 2) 8918-111(20); 3) 8918-004(19); 4)  8918-003(19); 5) 8918-079(19), intends to apply the sum of Six Million Nine Hundred Fifty-</t>
  </si>
  <si>
    <t xml:space="preserve"> Republic of the Philippines Province of zamboanga Sibugay Municipality of Olutanga 7014 JULY 22, 2020 NOTICE TO THE PUBLIC INVITIATION TO APPLY FOR ELIGIBILITY AND TO BID All interested bidders are invited to Pre-qualify and participate in sealed bidding </t>
  </si>
  <si>
    <t xml:space="preserve"> Construction/Beautification of Public Plaza and Auditorium, Asingan, Pangasinan Pre-Bid Conference – July 31, 2020 at 9:30 AM at the Conference Room of the Municipal Hall of Asingan Submission/Receipt/Opening of Bids :  August 12, 2020 at 9:30 AM at the C</t>
  </si>
  <si>
    <t xml:space="preserve"> INVITATION TO BID 1.	The Provincial Government of Misamis Oriental, through the Bids and Awards Committee, hereby invites all interested Philgeps registered contractors to submit bids for infrastructure projects stated below. Project Title	Misamis Orienta</t>
  </si>
  <si>
    <t xml:space="preserve"> Republic of the Philippines Province of Bukidnon Municipality of Cabanglasan -o0o- ___________________________________________________________________________ INVITATION TO BID FOR  Purchase of Materials for Construction of Multi-Purpose Building U Canang</t>
  </si>
  <si>
    <t xml:space="preserve"> CONSTRUCTION OF MULTI-PURPOSE BUILDING (Senior Citizen Building) at Parai, Dupax del Norte, Nueva Vizcaya. For further details, please see attached Program of Works in the associated components.</t>
  </si>
  <si>
    <t xml:space="preserve"> The Central Philippines State University intends to apply the sum of Two Million Three Hundred Twenty Three Thousand Two Hundred Pesos only (PhP2,323,200.00) being the Approved Budget for the Contract (ABC) to payments under the contract for the 2019 Year</t>
  </si>
  <si>
    <t xml:space="preserve"> Republic of the Philippines DEPARTMENT OF PUBLIC WORKS AND HIGHWAYS Region X OFFICE OF THE REGIONAL DIRECTOR Engineers’ Hill, Bulua, Cagayan de Oro City INVITATION TO BID FOR CONTRACT ID NO. 20GSK00016 – SUPPLY AND DELIVERY OF SANITARY SUPPLIES FOR THE JA</t>
  </si>
  <si>
    <t xml:space="preserve"> INVITATION TO BID         The Local Government Unit of Camaligan, Cam. Sur, through its Bids &amp; Awards Committee (BAC), invites contractors to submit bids for the following contract: Contract Name: REPAIR OF 3F EXECUTIVE BUILDING  Contract Location: Mun. H</t>
  </si>
  <si>
    <t xml:space="preserve"> INVITATION TO BID (National Competitive Bidding) The BFAR XIII, through its Bids and Awards Committee (BAC), invites eligible suppliers to bid for the hereunder contracts: Project Title: Re-bidding of Procurement of Fuel and Lubricants’ Fleet Card for Off</t>
  </si>
  <si>
    <t xml:space="preserve"> Conversion of Saver Headquarters to ISAT U GAD Office INVITATION TO BID (July 20, 2020) THE ILOILO SCIENCE AND TECHNOLOGY UNIVERSITY (ISAT U), Burgos Street,  La Paz, Iloilo City,  invites interested Suppliers/Bidders to apply for eligibility and to bid f</t>
  </si>
  <si>
    <t xml:space="preserve"> Republic of the Philippines Province of Bukidnon Municipality of Cabanglasan -o0o- ___________________________________________________________________________ INVITATION TO BID FOR  Purchase of Materials forInstallation of Integrated Type Solar Street Lig</t>
  </si>
  <si>
    <t xml:space="preserve"> DESCRIPTION LOCAL GOVERNMENT UNIT - MUNICIPALITY OF BACOLOR INVITATION TO APPLY FOR ELIGIBILITY AND TO BID The Local Government Unit - Municipality of Bacolor, Bacolor, Pampanga, through the Bids and Award Committee (BAC), invites contractors to apply for</t>
  </si>
  <si>
    <t xml:space="preserve"> Procurement of Twenty Six (26) items of Medical Books</t>
  </si>
  <si>
    <t xml:space="preserve"> 426	cu.m.	Common Borrow Materials (delivered to site)			 426	cu.m.	Aggregate Sub-Base Course Materials (delivered to site)			 426	cu.m.	Aggregate Base Course Materials (delivered to site)			 1624	cu.m.	Rock Boulders (class 2 &amp; 3 rocks) (delivered to site)</t>
  </si>
  <si>
    <t xml:space="preserve"> INVITATION TO BID (National Competitive Bidding) The BFAR XIII, through its Bids and Awards Committee (BAC), invites eligible suppliers to bid for the hereunder contracts: Project Title: Procurement of Supply and Delivery of Feeds, Fertilizers and Neutral</t>
  </si>
  <si>
    <t xml:space="preserve"> Republic of the Philippines DEPARTMENT OF PUBLIC WORKS AND HIGHWAYS Region X OFFICE OF THE REGIONAL DIRECTOR Engineers’ Hill, Bulua, Cagayan de Oro City RE – INVITATION TO BID FOR CONTRACT ID NO. 20GSK00013– SUPPLY &amp; DELIVERY OF DESKTOP COMPUTER &amp; LASER P</t>
  </si>
  <si>
    <t xml:space="preserve"> INVITATION TO BID  Public Bidding  CONTRACT FOR THE SUPPLY AND DELIVERY OF   VARIOUS FARM MACHINERIES AND EQUIPMENT CY 2020 The DAR Southern Leyte, Disposal Committee, through its Bids and Awards Committee (BAC) invites interested bidders to submit sealed</t>
  </si>
  <si>
    <t xml:space="preserve"> Republic of the Philippines												 City of San Carlos												 Negros Occidental												 												 			INVITATION TO BID							FOR SALE	 			PURCHASE REQUEST NO: 221-20-06-0753			P 2,250.00	 Sealed bids for quotation of prices will be receive</t>
  </si>
  <si>
    <t xml:space="preserve"> Republic of the Philippines Province of Siquijor Municipality of Maria INVITATION TO BID FOR Procurement of Supplies/Materials for Repair and Improvement of Marine Sanctuary Guardhouses – Maria, Siquijor / MAR-00038G-2020 1.	The LGU – Municipality of Mari</t>
  </si>
  <si>
    <t xml:space="preserve"> SUPPLY AND DELIVERY OF ONE (1) LOT VARIOUS BRAND NEW HEAVY EQUIPMENT PROVINCIAL CAPITOL, SURIGAO CITY, SURIGAO DEL NORTE 1.	The Provincial Government of Surigao del Norte, through the General Fund – Supplemental Budget No. 1 CY 2020 (funded by DBP Loan Pr</t>
  </si>
  <si>
    <t xml:space="preserve"> Republic of the Philippines DEPARTMENT OF PUBLIC WORKS AND HIGHWAYS Region X OFFICE OF THE REGIONAL DIRECTOR Engineers’ Hill, Bulua, Cagayan de Oro City INVITATION TO BID FOR CONTRACT ID NO. 20GSK00014 – SUPPLY AND DELIVERY OF MFC, NETWORK VOLUME COLOR LA</t>
  </si>
  <si>
    <t xml:space="preserve"> LOT 33-GAA-2020 SUPPLY &amp; DELIVERY OF CARDIAC CATHETERIZATION LABORATORY SUPPLIES</t>
  </si>
  <si>
    <t xml:space="preserve"> SUPPLY AND DELIVERY OF MOBILE CLINIC WITH FULL MEDICAL AND SURGICAL AMENITIES -ORDER OF PAYMENT FOR BID DOCS WILL BE AVAILABLE AT GSD-HEAD OFFICE @ 10TH FLOOR MAKATI CITY HALL BLDG. 2. LOOK FOR MR. REDEN VILLANUEVA. A COMPLETE SET OF BIDDING DOCUMENTS WIL</t>
  </si>
  <si>
    <t xml:space="preserve"> Republic of the Philippines Province of Bukidnon Municipality of Cabanglasan -o0o- ___________________________________________________________________________ INVITATION TO BID FOR  Purchase of Materials for Maintenance of Roads and Bridges at Cabanglasan</t>
  </si>
  <si>
    <t xml:space="preserve"> PPA PANAY/GUIMARAS BIDS AND AWARD COMMITTEE  PROCUREMENT OF GOODS ITB No. PPA-PNG BAC-2020-02 INVITATION TO BID FOR “GARBAGE COLLECTION AND DISPOSAL AT BASEPORT FOR CY 2020” 1.	The Philippine Ports Authority (PPA), Port Management Office-Panay/Guimaras, t</t>
  </si>
  <si>
    <t xml:space="preserve"> PROJECT NAME: EXTENSION OF DRRM OFFICE (PHASE 4) PROJECT LOCATION:  Loo, Buguias, Benguet DURATION:  153 CD (Including mobilization &amp; curing) PROJECT Cost:  PHP 2,000,000.00 SOURCE OF FUND: 70% DRRMF CY 2020 ITEM NO.	DESCRIPTION							 QTY  	   	UNIT 902 </t>
  </si>
  <si>
    <t xml:space="preserve"> See attached Bid Docs</t>
  </si>
  <si>
    <t xml:space="preserve"> INVITATION TO BID The East Avenue Medical Center through its Hospital Bids and Awards Committee (BAC), invites contractors registered with and classified by the Philippine Contractors Accreditation Board (PCAB) to bid for the hereunder contracts/projects:</t>
  </si>
  <si>
    <t xml:space="preserve"> Construction of concrete drainage canal Swan E/S</t>
  </si>
  <si>
    <t xml:space="preserve"> July 23, 2020                                                                 INVITATION TO BID 	The Sangguniang Barangay of BALOGO, EAST DISTRICT, SORSOGON CITY, through its Bids and Awards Committee(BAC), invites Suppliers to apply for eligibility and i</t>
  </si>
  <si>
    <t xml:space="preserve"> Repair of Barangay Health Center Barangay San Antonio</t>
  </si>
  <si>
    <t xml:space="preserve"> Please see attached files for reference. File names: 1. ITB - Corporate Giveaways 2. Bid Docs- Corporate Giveaways ***nothing follows***</t>
  </si>
  <si>
    <t xml:space="preserve"> INVITATION TO BID (National Competitive Bidding) The BFAR XIII, through its Bids and Awards Committee (BAC), invites eligible suppliers to bid for the hereunder contracts: Project Title: Procurement of 2 Units Refrigerated Van Approved Budget of the Contr</t>
  </si>
  <si>
    <t xml:space="preserve"> Office of the Assessor, Indang, Cavite</t>
  </si>
  <si>
    <t xml:space="preserve"> Contract ID: 20PK0061 Contract Name: Local Program: National Roads and Bridges – National Roads Construction/Repair/Rehabilitation/Improvement of Various Infrastructure Including Local Projects – Kalinga-Abra Road, K0 495+455 to K0 495+675 Contract Locati</t>
  </si>
  <si>
    <t xml:space="preserve"> Republic of the Philippines Province of Iloilo Municipality of Carles BARANGAY DAYHAGAN INVITATION TO BID 1.0 The Barangay Local Government of Dayhagan, Municipality of Carles, Province of Iloilo through its 20% Development Fund 2019 intends to apply the </t>
  </si>
  <si>
    <t xml:space="preserve"> Contract ID: 20PK0062 Contract Name: Local Program: National Roads and Bridges – National Roads Construction/Repair/Rehabilitation/Improvement of Various Infrastructure Including Local Projects – Kalinga-Abra Road, K0 499+315 to K0 499 515 Contract Locati</t>
  </si>
  <si>
    <t xml:space="preserve"> Republic of the Philippines DEPARTMENT OF PUBLIC WORKS AND HIGHWAYS CAMARINES NORTE  DISTRICT ENGINEERING OFFICE REGIONAL OFFICE V Daet, Camarines Norte INVITATION TO BID (Re-Advertisement) The Department of Public Works and Highways, Camarines Norte Dist</t>
  </si>
  <si>
    <t xml:space="preserve"> Municipality of Indang, Cavite</t>
  </si>
  <si>
    <t xml:space="preserve"> Asphalt Overlay</t>
  </si>
  <si>
    <t xml:space="preserve"> Republic of the Philippines PROVINCE OF AGUSAN DEL SUR Municipality of Loreto Invitation to Bid for  CONSTRUCTION OF KASAPA BRIDGE 1.	The Municipality of Loreto, through the TRUST FUND intends to apply the sum of SIX MILLION FOUR HUNDRED SIXTY ONE THOUSAN</t>
  </si>
  <si>
    <t xml:space="preserve"> Republic of the Philippines PROVINCE OF AGUSAN DEL SUR Municipality of Loreto INVITATION TO BID FOR VARIOUS CONSTRUCTION MATERIALS FOR MENRO SOLID WASTE SEGREGATION 1.	The Municipality of Loreto, through the 20% MDF intends to apply the sum of FOUR HUNDRE</t>
  </si>
  <si>
    <t xml:space="preserve"> National Power Corporation INVITATION TO BID PUBLIC BIDDING 2020-0206 1.	The NATIONAL POWER CORPORATION (NPC), through       its        approved       Corporate Budget of CY 2020 intends to apply   the   sum   of (Please see schedule below) being the Appr</t>
  </si>
  <si>
    <t xml:space="preserve"> Supply of Hooded Windbreaker Jackets  Kindly see attached link for the bidding documents https://drive.google.com/file/d/1UDK5nEX_tprCmES9AXR73XCq_yQqW-9x/view?usp=drivesdk -------------------------------------------------------------------------6- INVITA</t>
  </si>
  <si>
    <t xml:space="preserve"> INVITATION TO BID PROCUREMENT OF DAM INFORMATION MANAGEMENT SYSTEM INCLUDING SUPPLY, DELIVERY, INSTALLATION, TESTING AND COMMISSIONING OF EQUIPMENT ITB NO. BS-001-2020-R 1.	The National Irrigation Administration (NIA), through the Corporate Operating Budg</t>
  </si>
  <si>
    <t xml:space="preserve"> Republic of the Philippines DEPARTMENT OF PUBLIC WORKS AND HIGHWAYS BATANGAS III DISTRICT ENGINEERING OFFICE REGIONAL OFFICE IV-A J. Gonzales St., Barangay 4, Tanauan City REQUEST FOR EXPRESSION OF INTEREST (CONSL-2020-04) for the 20CSDD04 - Consultancy S</t>
  </si>
  <si>
    <t xml:space="preserve"> Supply of Materials of Road Maintenance</t>
  </si>
  <si>
    <t xml:space="preserve"> Invitation to Bid for the Repair/Rehabilitation of Staging Tank and Drilling of one (1) 150mmØ Production Well at PhilRice Batac under PRRI-PB-2020-037 1.	The Philippine Rice Research Institute, Batac Branch Station, through the Corporate Fund Budget fund</t>
  </si>
  <si>
    <t xml:space="preserve"> July 23, 2020                                                                    INVITATION TO BID 	The Sangguniang Barangay of BALOGO, EAST DISTRICT, SORSOGON CITY, through its Bids and Awards Committee(BAC), invites Suppliers to apply for eligibility an</t>
  </si>
  <si>
    <t xml:space="preserve"> Procurement ID/Contract ID:	20GGD0003 Contract Name:	PROCUREMENT AND DELIVERY OF COMPUTERS AND ACCESSORIES TO BE USED IN THE CONSTRUCTION, FINANCE, MAINTENANCE AND QUALITY ASSURANCE SECTION IN CONNECTION FOR THE CONDUCT OF FEASIBILITY STUDY/ PRE-FEASIBILI</t>
  </si>
  <si>
    <t xml:space="preserve"> INVITATION TO BID (National Competitive Bidding) The BFAR XIII, through its Bids and Awards Committee (BAC), invites eligible suppliers to bid for the hereunder contracts: Project Title: Procurement of Post-Harvest Equipment and Processing Utensils and Su</t>
  </si>
  <si>
    <t xml:space="preserve"> Supply of Materials for Road Maintenance</t>
  </si>
  <si>
    <t xml:space="preserve"> INVITATION TO BID 1.	The Province of Cebu through the 2020 General Fund, intends to apply the sum of FORTY-EIGHT MILLION PESOS AND 00/100 (Php48,000,000.00) being the Approved Budget for the Contract (ABC) to payments under the contract for the CONCRETING</t>
  </si>
  <si>
    <t xml:space="preserve"> REPUBLIC OF THE PHILIPPINES CITY OF CABUYAO -O0O- BIDS AND AWARDS COMMITTEE 	 		21 JULY  2020 INVITATION TO BID FOR  DRAINAGE REHABILITATION AT PUROK I, BRGY. SAN ISIDRO 1.	The CITY OF CABUYAO, through the Continuing Fund of the 2020 Annual City Budget in</t>
  </si>
  <si>
    <t xml:space="preserve"> The Central Philippines State University intends to apply the sum of One Million One Hundred Thousand Pesos only (PhP1,100,000.00) being the Approved Budget for the Contract (ABC) to payments under the contract for the Supply and Delivery of Office Equipm</t>
  </si>
  <si>
    <t xml:space="preserve"> Interested bidders may obtain further information from the City of Balanga and inspect the  Bidding Documents at the address given below from 9:00 a.m. to 4:00 p.m. 5. A complete set of Bidding Documents may be acquired by interested Bidders on July 22 to</t>
  </si>
  <si>
    <t xml:space="preserve"> INVITATION TO BID 1.	The Province of Cebu through the 2020 General Fund, intends to apply the sum of SIXTY-SEVEN MILLION THREE HUNDRED FORTY-FOUR THOUSAND PESOS AND 00/100 (Php67,344,000.00) being the Approved Budget for the Contract (ABC) to payments und</t>
  </si>
  <si>
    <t xml:space="preserve"> REPUBLIC OF THE PHILIPPINES CITY OF CABUYAO -O0O- BIDS AND AWARDS COMMITTEE 	 		21 JULY  2020 INVITATION TO BID FOR  REHABILITATION OF BOTH SIDE COVERED CANAL AT BRGY. POBLACION II 1.	The CITY OF CABUYAO, through the Continuing Fund of the 2020 Annual Cit</t>
  </si>
  <si>
    <t xml:space="preserve"> Republic of the Philippines Region XII Province of Cotabato CITY OF KIDAPAWAN BIDS AND AWARDS COMMITTEE Invitation to Bid 			  		           Date: July 22, 2020 1.	The City Government of Kidapawan, through the 20% EDF CY 2020   intends to apply the sum of </t>
  </si>
  <si>
    <t xml:space="preserve"> 1.	The Isabela State University, intends to apply the sum of Six Million Seven Hundred Fifty Five Thousand Pesos (Php6,755,000.00) corresponding to each lot/item, being the Approved Budget for the Contract (ABC) to payments under the contract for each lot</t>
  </si>
  <si>
    <t xml:space="preserve"> INVITATION TO BID 1.	The Province of Cebu through the 2020 General Fund, intends to apply the sum of FIVE MILLION EIGHTY-EIGHT THOUSAND PESOS AND 00/100 (Php5,088,000.00) being the Approved Budget for the Contract (ABC) to payments under the contract for </t>
  </si>
  <si>
    <t xml:space="preserve"> INVITATION TO BID 1.	The Province of Cebu through the 2020 General Fund, intends to apply the sum of TWENTY-NINE MILLION THREE HUNDRED FIFTY-TWO THOUSAND PESOS AND 00/100 (Php29,352,000.00) being the Approved Budget for the Contract (ABC) to payments unde</t>
  </si>
  <si>
    <t xml:space="preserve"> Republic of the Philippines DEPARTMENT OF PUBLIC WORKS AND HIGHWAYS BATANGAS III DISTRICT ENGINEERING OFFICE REGIONAL OFFICE IV-A J. Gonzales St., Barangay 4, Tanauan City REQUEST FOR EXPRESSION OF INTEREST (CONSL-2020-03) for the 20CSDD03 - Consultancy S</t>
  </si>
  <si>
    <t xml:space="preserve"> INVITATION TO BID 1.	The Province of Cebu through the 2020 General Fund, intends to apply the sum of FORTY-ONE MILLION FOUR HUNDRED THOUSAND PESOS AND 00/100 (Php41,400,000.00) being the Approved Budget for the Contract (ABC) to payments under the contrac</t>
  </si>
  <si>
    <t xml:space="preserve"> ATTACHED</t>
  </si>
  <si>
    <t xml:space="preserve"> INVITATION TO BID 1.	The Province of Cebu through the 2020 General Fund, intends to apply the sum of THIRTY-NINE MILLION NINE HUNDRED EIGHTY-FOUR THOUSAND PESOS AND 00/100 (Php39,984,000.00) being the Approved Budget for the Contract (ABC) to payments und</t>
  </si>
  <si>
    <t xml:space="preserve"> Republic of the Philippines Province of Leyte Municipality of Palo INVITATION TO BID FOR  Supply/Delivery of Van Highroof Ambulance for the LGU of Palo, Leyte  Purchase Request No. 20-06-0345 1.	The Municipality of Palo, through the General Fund approved </t>
  </si>
  <si>
    <t xml:space="preserve"> INVITATION TO BID 1.	The Province of Cebu through the 2020 General Fund, intends to apply the sum of THIRTY-TWO MILLION THREE HUNDRED TWENTY-EIGHT THOUSAND PESOS AND 00/100 (Php32,328,000.00) being the Approved Budget for the Contract (ABC) to payments un</t>
  </si>
  <si>
    <t xml:space="preserve"> INVITATION TO BID 1.	The Province of Cebu through the 2020 General Fund, intends to apply the sum of THIRTY-SEVEN MILLION EIGHT HUNDRED FORTY-TWO THOUSAND THREE HUNDRED SIXTY PESOS AND 00/100 (Php37,842,360.00) being the Approved Budget for the Contract (</t>
  </si>
  <si>
    <t xml:space="preserve"> Republic of the Philippines Province of Cagayan MUNICIPALITY OF CALAYAN Calayan, Cagayan INVITATION TO BID ITB No./PhilGEPS Reference No. 7120537 UPGRADING OF MAGSIDEL-DIBAY ROAD (Barangay Magsidel , Calayan, Cagayan) 1.	The Local Government of Calayan th</t>
  </si>
  <si>
    <t xml:space="preserve"> INVITATION TO BID BAC-IB NO. 2020-33 	The Research Institute for Tropical Medicine (RITM) through its Bids and Awards Committee (BAC) invites technically, legally and financially capable PHILGEPS-registered suppliers/manufacturers to apply for eligibility</t>
  </si>
  <si>
    <t xml:space="preserve"> Republic of the Philippines Province of Bukidnon Municipality of Damulog OFFICE OF THE BIDS AND AWARD COMMITTEE Invitation to Bid for the Supply and Delivery of Personal Protective Equipment for COVID19 Pandemic  The Local Government Unit of Damulog, thro</t>
  </si>
  <si>
    <t xml:space="preserve"> PROCUREMENT OF FERTILIZER FOR TOBACCO FARMERS OF THE MUNICIPALITY OF SANTO DOMINGO, ILOCOS SUR</t>
  </si>
  <si>
    <t xml:space="preserve"> Republic of the Philippines Province of Bukidnon Municipality of Damulog OFFICE OF THE BIDS AND AWARD COMMITTEE Invitation to Bid for the Supply and Delivery of Rapid Testing Kits for COVID19 Pandemic  The Local Government Unit of Damulog, through the 5% </t>
  </si>
  <si>
    <t xml:space="preserve"> Republic of the Philippines Province of Iloilo  Municipality of Pototan BIDS AND AWARDS COMMITTEE INVITATION TO BID 1.	The Municipality of Pototan, through the IRA Fund‘‘ intends to apply the sum of (3,000,000.00) being the Approved Budget for the Contrac</t>
  </si>
  <si>
    <t xml:space="preserve"> QTY      UNIT        DESCRIPTION 1         unit          Mini-loader Rated load:         2,000 kg Bucket capacity:   0.90 CuM Dumping clearance:   3,200 mm Dump reach:  900 mm Dimension: L=5,400mm; W=1,800mm H=2,800mm Engine power: 42KW/56 HP Ground clear</t>
  </si>
  <si>
    <t xml:space="preserve"> Republic of the Philippines Bangsamoro Autonomous Region in Muslim Mindanao                                                 Province of Maguindanao MUNICIPALITY OF TALAYAN JULY 21, 2020 INVITATION TO BID for the CONSTRUCTION (RENOVATION) OF MUNICIPAL LEGI</t>
  </si>
  <si>
    <t xml:space="preserve"> Republic of the Philippines Province of Agusan del Norte Municipality of Remedios T. Romualdez BIDS AND AWARDS COMMITTEE I. Demolition of Existing Structure (Roofing &amp; Partition Wall) 57.00 sq.m. II. Excavation Works 8.40 cu.m. III. Embankment 10.00 cu.m.</t>
  </si>
  <si>
    <t xml:space="preserve"> Republic of the Philippines BIDS AND AWARDS COMMITTEE Province of Iloilo Invitation to Bid Purchase of Projector Bid No. AGR-20-0883-B 1. The Iloilo Provincial Government, through the GENERAL FUND 2020 intends to apply the sum of  FORTY THOUSAND PESOS (₱4</t>
  </si>
  <si>
    <t xml:space="preserve"> CITY HEALTH OFFICE VARIOUS DRUGS AND MEDICINES Please see attached file/document on associated components or BAC website www.davaocityportal.com (BAC posting) for the complete descriptions, terms of conditions and terms of references. Bidding will be cond</t>
  </si>
  <si>
    <t xml:space="preserve"> Republic of the Philippines Department of Health DAVAO REGIONAL MEDICAL CENTER Apokon, Tagum City BIDS AND AWARDS COMMITTEE Invitation to Bid for THE SUPPLY &amp; DELIVERY OF DRUGS &amp; MEDICINES 1.	The Davao Regional Medical Center (DRMC), through the HOSPITAL </t>
  </si>
  <si>
    <t xml:space="preserve"> The Civil Aviation Authority of the Philippines, through the Funds from DOTr Downloaded Projects intends to apply the sum of SEVEN MILLION EIGHT HUNDRED SEVENTY-ONE THOUSAND SIX HUNDRED SIXTY-NINE PESOS 6 3/1 00 (Php 7 ,8 71 ,6 69 .6 3) being the Approved</t>
  </si>
  <si>
    <t xml:space="preserve"> INVITATION TO BID 1.	The Province of Cebu through the 2020 General Fund, intends to apply the sum of TWENTY-SIX MILLION FOUR HUNDRED NINETY-SIX THOUSAND PESOS AND 00/100 (Php26,496,000.00) being the Approved Budget for the Contract (ABC) to payments under</t>
  </si>
  <si>
    <t xml:space="preserve"> Production of Fifteen (15) Video Episodes for TuklaSiyensya (nuLab STEM Modules) Kindly see attached link for the bidding documents: https://drive.google.com/file/d/1tiPgxXYqh94JgeM8zDJ6HV5DzfTYaV20/view?usp=drivesdk --------------------------------------</t>
  </si>
  <si>
    <t xml:space="preserve"> The Civil Aviation Authority of the Philippines, through the Funds from DOTr Downloaded Projects intends to apply the sum of EIGHTY-NINE MILLION NINE HUNDRED EIGHTY-EIGHT THOUSAND ONE HUNDRED SEVEN PESOS 14/1 0 0 (Php 8 9 , 98 8, 10 7. 14 ) being the Appr</t>
  </si>
  <si>
    <t xml:space="preserve"> Completion of Other Building</t>
  </si>
  <si>
    <t xml:space="preserve"> CLUSTER 3. IMPROVEMENT OF SINCO-TOPINAO (PHASE II), IMPROVEMENT OF YAGYAGAN-AMPUSA JUNCTION MULTI-PURPOSE BUILDING, IMPROVEMENT OF TAGADI-TADIANGAN BARANGAY ROAD</t>
  </si>
  <si>
    <t xml:space="preserve"> Contract ID: 20PK0060 Contract Name: Local Program: National Roads and Bridges – National Roads Construction/Repair/Rehabilitation/Improvement of Various Infrastructure Including Local Projects – Kalinga-Abra Road, K0 470+890.00 to K0 471+(-005) Contract </t>
  </si>
  <si>
    <t xml:space="preserve"> CITY MAYORS OFFICE 12 Units Motorcycle, brand new, 150cc, start option: kick &amp; electric, transmission type: manual, Please see attached file/document on associated components or BAC website www.davaocityportal.com (BAC posting) for the complete descriptio</t>
  </si>
  <si>
    <t xml:space="preserve"> SUPPLY OF LABOR AND MATERIALS FOR THE ARCHITECTURAL AND MECHANICAL WORKS AT ATD LABORATORY, TDD and OED OFFICES</t>
  </si>
  <si>
    <t xml:space="preserve"> SUPPLY AND DELIVERY OF SOFTWARE LICENSES FOR SERVER (VXRIAL HYPER-CONVERGED INFRASTRUCTURE APPLIANCE MAINTENANCE AGREEMENT) -ORDER OF PAYMENT FOR BID DOCS WILL BE AVAILABLE AT GSD-HEAD OFFICE @ 10TH FLOOR MAKATI CITY HALL BLDG. 2. LOOK FOR MR. REDEN VILLA</t>
  </si>
  <si>
    <t xml:space="preserve"> Republic of the Philippines												 City of San Carlos												 Negros Occidental												 												 			INVITATION TO BID							FOR SALE	 			PURCHASE REQUEST NO: 221-20-06-0694			P 2,250.00	 Sealed bids for quotation of prices will be receive</t>
  </si>
  <si>
    <t xml:space="preserve"> Republic of the Philippines Province of Nueva Vizcaya Municipality of Solano -o0o- INVITATION TO BID FOR Installation of Metal Cladding infront/leftside of  Solano Pasalubong Center, Brgy. Poblacion South, SNV.    (SOLANO  082-2020) 1.	The Local Governmen</t>
  </si>
  <si>
    <t xml:space="preserve"> Republic of the Philippines Province of Iloilo  Municipality of Pototan BIDS AND AWARDS COMMITTEE INVITATION TO BID 1.	The Municipality of Pototan, through the IRA Fund‘‘ intends to apply the sum of (1,000,000.00) being the Approved Budget for the Contrac</t>
  </si>
  <si>
    <t xml:space="preserve"> CITY MAYOR'S OFFICE 35 Unit/s Computer Desktop, Branded, Small Form Factor (SFF) or Mini PC, Dimensions: 3.94 x 13.3 x 12.13 in (WxDxH), Processor specification: Eight (8th) Generation or latest, Please see attached file/document on associated components </t>
  </si>
  <si>
    <t xml:space="preserve"> Republic of the Philippines DEPARTMENT OF PUBLIC WORKS AND HIGHWAYS CAMARINES SUR 2ND DISTRICT ENGINEERING OFFICE Regional Office V Baras, Canaman, Camarines Sur REQUEST FOR EXPRESSION OF INTEREST (REOI) FOR 20CSFE02 - Consulting Services for the Parcella</t>
  </si>
  <si>
    <t xml:space="preserve"> Republic of the Philippines CITY GOVERNMENT OF ANTIPOLO Antipolo City INVITATION TO BID  Tipping Services for the Disposal of Residuals to other authorized Sanitary Landfill (September 1 - December 31, 2020) The City Government of Antipolo, through the Ge</t>
  </si>
  <si>
    <t xml:space="preserve"> Rehabilitation of Building II Phase I Municipal Compound at Brgy. Matacong</t>
  </si>
  <si>
    <t xml:space="preserve"> CITY VETERINARIAN'S OFFICE 1 Unit/s Fluorescence (FL) Inverter Microscope Please see attached file/document on associated components or BAC website www.davaocityportal.com (BAC posting) for the complete descriptions, terms of conditions and terms of refer</t>
  </si>
  <si>
    <t xml:space="preserve"> Republic of the Philippines PROVINCE OF AGUSAN DEL SUR Bids and Awards Committee Gov. Democrito O. Plaza Government Center, Prosperidad Invitation to Bid for Construction of Brgy. Resettlement Access Road 1.	The Provincial Government of Agusan del Sur thr</t>
  </si>
  <si>
    <t xml:space="preserve"> Invitation for Negotiated Procurement – Two Failed Public Bidding ITB No. 0320-075 1.	In view of the two (2) failed public biddings, the Municipality of Tuburan, Cebu through the Bids and Awards Committee invites interested bidder to participate in the ne</t>
  </si>
  <si>
    <t xml:space="preserve"> Republic of the Philippines Province of Siquijor Municipality of Maria INVITATION TO BID FOR Reposting Procurement of Dog Trap in Support to Dog Termination Program – Maria, Siquijor / MAR-00036G-2020 1.	The LGU – Municipality of Maria, through the Capita</t>
  </si>
  <si>
    <t xml:space="preserve"> Republic of the Philippines Province of Nueva Vizcaya Municipality of Solano -o0o- INVITATION TO BID FOR Supply &amp; Delivery of materials for the Completion of One Classroom School Building at Brgy. Commonal, SNV.   (SOLANO 080-2020) 1.	The Local Government</t>
  </si>
  <si>
    <t xml:space="preserve"> Supply, Delivery &amp; Installation of  Airconditioning Units at the Administration &amp; CAS Building-Cabarroguis Campus Please call Engr. Richard Pablo, end-user, at 0926-395-9865 for more information regarding the ITB.  Kindly see attached file. Thank you!</t>
  </si>
  <si>
    <t xml:space="preserve"> INVITATION TO BID FOR THE SUPPLY, DELIVERY AND COMMISSIONING OF INFANT INCUBATOR 1.  The Cagayan Valley Medical Center (CVMC), intends to apply the sum Two Million Eight Hundred Thousand Pesos (Php   2,800,000.00 ) being the Approved Budget for the Contra</t>
  </si>
  <si>
    <t xml:space="preserve"> 600               BAGS           Chicken Layer Grower Crumble (50 kilos) 600               BAGS           Chicken Pre-Layer Crumble (50 kilos) 3000               BAGS           Chicken Layer 1 Crumble (50 kilos Terms and Conditions: a. Feeds delivered sho</t>
  </si>
  <si>
    <t xml:space="preserve"> Invitation to Bid for the rental of Jeepneys for relief operation as requested by the Batangas City Government</t>
  </si>
  <si>
    <t xml:space="preserve"> Billboard; Structure Excavation; Structural Concrete; Manual Hauling; Equipment Requirement: Service Truck; 20 w.d</t>
  </si>
  <si>
    <t xml:space="preserve"> Republic of the Philippines												 City of San Carlos												 Negros Occidental												 												 			INVITATION TO BID							FOR SALE	 			PURCHASE REQUEST NO: 18-20-06-0788			P 1,122.00	 Sealed bids for quotation of prices will be received</t>
  </si>
  <si>
    <t xml:space="preserve"> 15-UNITS 4"X2"X6m Round Steel Tapered Lamp Post Hot Dipped Galvanize 10x10" base plate, 3/4x20" Anchor Bolt, Nuts and Washer 15-UNITS Cobra Type 220v Streetlight 40W 2 Bulb Cob Luminous Flux: 4000-4400 lm Materials: Aluminum Alloy Color: Black Color Tempe</t>
  </si>
  <si>
    <t xml:space="preserve"> Republic of the Philippines DEPARTMENT OF PUBLIC WORKS AND HIGHWAYS ILOILO CITY DISTRICT ENGINEERING OFFICE REGION VI Fort San Pedro, Iloilo City INVITATION TO BID FOR 20GGJ0055 - Supply and Delivery of Materials for the conduct of Monitoring and Evaluati</t>
  </si>
  <si>
    <t xml:space="preserve"> Republic of the Philippines DEPARTMENT OF PUBLIC WORKS AND HIGHWAYS ILOILO CITY DISTRICT ENGINEERING OFFICE REGION VI Fort San Pedro, Iloilo City INVITATION TO BID FOR 20GGJ0054 - Supply and Delivery of Materials for the conduct of Road Condition and Inve</t>
  </si>
  <si>
    <t xml:space="preserve"> Republic of the Philippines DEPARTMENT OF PUBLIC WORKS AND HIGHWAYS CAMARINES SUR 2ND DISTRICT ENGINEERING OFFICE Regional Office V Baras, Canaman, Camarines Sur INVITATION TO BID  FOR 20GFE0014 – PURCHASE OF UNMANNED AERIAL VEHICLE/SYSTEM (UAV/UAS/RPA) –</t>
  </si>
  <si>
    <t xml:space="preserve"> 1.	The Local Government Unit of Tukuran, ZDS, through the Local Funds intends to apply the sum of Php 191,795.50 being the Approved Budget for the Contract (ABC) to payments under the contract PURCHASE OF MATERIALS FOR IMPROVEMENT OF LGU BEACH. Bids recei</t>
  </si>
  <si>
    <t xml:space="preserve"> 1. 35 Pairs – Safety Shoes Water-Resistant Performance Anti-Slip Resistant, Anti-puncture &amp; breathable, Lace up boots with Side-zips Upper Material: Genuine Cow Leather 1.4-1.6mm thickness &amp; 1200D nylon fabric Lining Material: Cotton Fabric Insole Materia</t>
  </si>
  <si>
    <t xml:space="preserve"> Republic of the Philippines DR. EMILIO B. ESPINOSA, SR. MEMORIAL STATE COLLEGE  OF AGRICULTURE AND TECHNOLOGY (Masbate State College) BIDS AND AWARDS COMMITTEE http:www.debesmscat.edu.ph Cabitan, Mandaon, Masbate Invitation to Bid for the  Construction of</t>
  </si>
  <si>
    <t xml:space="preserve"> Republic of the Philippines												 City of San Carlos												 Negros Occidental												 												 			INVITATION TO BID							FOR SALE	 			PURCHASE REQUEST NO: 31-20-07-0814			P 10,200.00	 Sealed bids for quotation of prices will be receive</t>
  </si>
  <si>
    <t xml:space="preserve"> Invitation to Bid  for Contract Reference No.  2020-007 Infra “IMPROVEMENT OF TAU DATA CENTER AND  CAMPUS NETWORK INFRASTRUCTURE” 1.	The TARLAC AGRICULTURAL UNIVERSITY, through the GAA for CY 2020 intends to apply the sum of FORTY SIX MILLION THREE HUNDRE</t>
  </si>
  <si>
    <t xml:space="preserve"> Republic of the Philippines Province of Oriental Mindoro MUNICIPALITY OF SAN TEODORO INVITATION TO BID FOR THE  EXPANSION OF LEVEL 3 WATER SYSTEM PHASE 12 No. 2020-12 July 22, 2020 1.The Municipality of San Teodoro intends to apply the sum of Seven Millio</t>
  </si>
  <si>
    <t xml:space="preserve"> 1. Supply and Delivery of 1,828 bags Hybrid Yellow Corn Seeds Total ABC: Php8,226,000.00 1. Line Item No. 1: Supply and Delivery of 368 bags NSIC 2019 GMCn67 ABC: Php1,656,000.00 Specifications: - Glyphosate Tolerant - Packed at 9kg/bag - Germination rate</t>
  </si>
  <si>
    <t xml:space="preserve"> INVITATION TO BID The City Vigan, through its Bids and Awards Committee (BAC), invites suppliers/manufacturers/distributors/contractors to apply for eligibility and to bid for the hereunder project: Name of Project:	Procurement of Agricultural and Marine </t>
  </si>
  <si>
    <t xml:space="preserve"> Improvement of 4.40m x 7.30m ///multi purpose building extension. Include the following scope of work: masonry wall with plastering, tile works, door and windows, painting and partition wall using marine plywood with good lumber framing</t>
  </si>
  <si>
    <t xml:space="preserve"> Republic of the Philippines Province of Eastern Samar Municipality of Llorente Barangay 01-Poblacion Invitation to Bid for the Renovation of Brgy. Hall 1.	The Local Government of Brgy. 01-Poblacion, Llorente E. Samar, through the Budget Approved by the Re</t>
  </si>
  <si>
    <t xml:space="preserve"> Republic of the Philippines Province of Eastern Samar  Municipality of Llorente Invitation to Bid for Supply and Delivery of Assorted Office/Other Supplies and Materials 1.	The Local Government of Llorente, through the Budget Approved by the Respective Sa</t>
  </si>
  <si>
    <t xml:space="preserve"> Republic of the Philippines DR. EMILIO B. ESPINOSA, SR. MEMORIAL STATE COLLEGE  OF AGRICULTURE AND TECHNOLOGY (Masbate State College) BIDS AND AWARDS COMMITTEE http:www.debesmscat.edu.ph INVITATION TO BID FOR THE SUPPLY, DELIVERY AND INSTALLATION OF OFFIC</t>
  </si>
  <si>
    <t xml:space="preserve"> Supply &amp; Delivery of One (1) Unit Multi-Purpose Vehicle Item Number	Description	Quantity	Unit of Issue 1	MULTI-PURPOSE VEHICLE       1            Unit Type: 2.5 CRDi VGT DOHC 16V (Euro-4) Displacement: 2,497cc Maximum Output: 170/3,600 pc/rpm Maximum Torq</t>
  </si>
  <si>
    <t xml:space="preserve"> Description INVITATION TO BID Supply and Delivery of 1 Lot of Multi Cab for Barangay Medical/Rescue Operations City Government of Marawi City Contract ID No. 20-MC-CO-0701 ABC: Php 15,000,000.00 July 22, 2020 1. The City Government of Marawi, intends to a</t>
  </si>
  <si>
    <t xml:space="preserve"> Republic of the Philippines Province of Davao Oriental BIDS &amp; AWARDS COMMITTEE City of Mati INVITATION TO BID Contract No.: CW20-20 The Provincial Government of Davao Oriental through its Bids and Awards Committee (BAC), invites licensed contractors to bi</t>
  </si>
  <si>
    <t xml:space="preserve"> REQUEST FOR EXPRESSION OF INTEREST (REOI) FOR CONSULTING SERVICES  19CSK00043 – Consulting Services for the Conduct of  Soil Testing/ Exploration for Bridge Projects-Geotechnical Investigation for the Construction of By-Pass and Diversion Roads, CDO-New W</t>
  </si>
  <si>
    <t xml:space="preserve"> PROJECT TITLE &amp; LOCATION Repair &amp; Rehabilitation of Barangay Dalapang Barangay Road with Drainage System at Pantaon-Dalapang Road, Ozamiz City PROJECT DESCRIPTION Rehabilitation of 235.00 L.m. Dalapang Barangay Road Programmed Length: 235.00 m. Roadbed Wi</t>
  </si>
  <si>
    <t xml:space="preserve"> REHABILITATION OF SCHOOL BUILDINGS (13 CLASSROOMS) LOCATION: 1. 3 CLASSROOM BUILDING: DANGAN ELEMENTARY SCHOOL- P250,000 2. 3 CLASSROOM BUILDING: BANQUERO ELEMENTARY SCHOOL- P200,000 3. 2 CLASSROOM BUILDING: SANTOR ELEMENTARY SCHOOL- P150,000 4. 1 CLASSRO</t>
  </si>
  <si>
    <t xml:space="preserve"> The Bids and Awards Committee (BAC) of the BARANGAY SAN VICENTE Castilla, Sorsogon invites qualified contractor’s to bid for the project: The Procurement process of the afore-mentioned projects will be conducted by this Bids and Awards Committee (BAC) in </t>
  </si>
  <si>
    <t xml:space="preserve"> Republic of the Philippines Region XII Province of Cotabato City of Kidapawan OFFICE OF THE BIDS AND AWARD COMMITTEE July 22, 2020 INVITATION TO BID FOR  SUPPLY OF FUEL FOR THE PROPOSED ROAD REHABILITATION/CROWNING AND COMPACTION OF VARIOUS BARANGAY ROADS</t>
  </si>
  <si>
    <t xml:space="preserve"> Republic of the Philippines Region XII Province of Cotabato City of Kidapawan OFFICE OF THE BIDS AND AWARD COMMITTEE July 22, 2020 INVITATION TO BID FOR  SUPPLY AND DELIVERY OF LUBRICANT AND ADDITIVES FOR THE USE OF THE VARIOUS HEAVY EQUIPMENT (MOTORPOOL)</t>
  </si>
  <si>
    <t xml:space="preserve"> REQUEST FOR EXPRESSION OF INTEREST (REOI) FOR CONSULTING SERVICES  19CSK00044 – Consulting Services for the Conduct of  Soil Testing/ Exploration for Bridge Projects-Geotechnical Investigation for the Construction of By-Pass and Diversion Roads, Eastern I</t>
  </si>
  <si>
    <t xml:space="preserve"> 1.	The Capiz Provincial Government, through the GOP CY-2020 intends to apply the total amount of Sixteen Million Five Hundred Thousand Pesos (Php 16,500,000.00) being the Approved Budget for the Contract (ABC).  Bids received in excess of the ABC shall be</t>
  </si>
  <si>
    <t xml:space="preserve"> Straight Contract for Improvement of New Market See attached link/Url under OTHER INFORMATION BOX</t>
  </si>
  <si>
    <t xml:space="preserve"> Local Access Road Construction at Poblacion to Aurelio (Cemetery Area) Sub-Grade Preparation Aggregate Sub-Base Coarse Portland Concrete Cement Pavement SAFETY And HEALTH Project Bill board</t>
  </si>
  <si>
    <t xml:space="preserve"> ITEM 	UNIT	ITEM DESCRIPTION	          QUANTITY	UNIT COST	TOTAL COST 1	Unit	  Gasoline Power Tiller Cultivator	            1		 		 - Tilling Width 80-120 cm, Tilling Depth 15-30cm, Fuel Consumption 0.75 L/hr, Starting system recoil,                   Amtec </t>
  </si>
  <si>
    <t xml:space="preserve"> Procurement of Engineering and Laboratory Testing Equipment for use in the Bridge Engineering and Building Inspection of the projects, DPWH, Negros Occidental 3rd District Engineering Office, Kabankalan City. 1.	The DPWH Negros Occidental 3rd District Eng</t>
  </si>
  <si>
    <t xml:space="preserve"> REQUEST FOR EXPRESSION OF INTEREST (REOI) FOR CONSULTING SERVICES  19CSK00042 – Consulting Services for the Conduct of  Soil Testing/ Exploration for Bridge Projects-Geotechnical Investigation of the Construction of By-Pass and Diversion Roads, Puerto-Cla</t>
  </si>
  <si>
    <t xml:space="preserve"> 1.	The Provincial Government of Antique, through the 20% IRA-CY 2020 (Econ. Dev’t. Sector) intends to apply the sum One Million Four Hundred Sixty Eight Thousand Fifty Nine Pesos &amp; 84/100 (Php 1, 468, 059.84) being the Approved Budget for the Contract (AB</t>
  </si>
  <si>
    <t xml:space="preserve"> Republic of the Philippines City of Cagayan de Oro BIDS AND AWARDS COMMITTEE Invitation to Bid  for Construction of Drainage System Along Daumar St. from JR Borja St. to J. Ramonal St. (Brgy. 32) SN 162 - 2020 1.	The City Government of Cagayan de Oro, thr</t>
  </si>
  <si>
    <t xml:space="preserve"> ITEM NO.	UNIT		QTY		DESCRIPTION		 							 1	 unit 		5		Air Condition Floor Mounted		 					 3 Toner with Installation 		 INVITATION TO BID The Municipality of Sablayan through its Bids and Awards Committee (BAC) invites all interested contractors to apply </t>
  </si>
  <si>
    <t xml:space="preserve"> Construction of 1unit  7m x 8m Tribal Hall w/ Genderized Comfort Room, Smooth finished Masonry Wall, Plywood Ceiling, Water Lines, Lightings &amp; Convenience outlet,   I	EARTH WORK                                          38.8cu.m			 II	SCAFFOLDING AND STAGI</t>
  </si>
  <si>
    <t xml:space="preserve"> INVITATION TO BID INSTALLATION OF STREET LIGHTS ALONG PROVINCIAL ROAD FROM PUROK 3 TO PUROK 4, BARANGAY COMAGASCAS 1.	The Local Government Unit of Cabadbaran City through the PEACE &amp; ORDER FUND (EO 70 ELCAC IMPLEMENTATION) intends to apply the sum of ONE </t>
  </si>
  <si>
    <t xml:space="preserve"> 1.	The Bangko Sentral ng Pilipinas (BSP), through its Bids and Awards Committee-Security Plant Complex (BAC-SPC), invites Bidders to apply for eligibility and to bid for the hereunder requirement: Name of Requirement/Brief Description:  One (1) lot Supply</t>
  </si>
  <si>
    <t xml:space="preserve"> Republic of the Philippines Province of Bukidnon Municipality of Cabanglasan -o0o- Invitation to Bid for  Upgrading and Improvement of Proper Anlugan to Compound Anlugan Road  PB-2020-29 1.	The Local Government Unit of Cabanglasan, through the Budget Appr</t>
  </si>
  <si>
    <t xml:space="preserve"> Republic of the Philippines Province of Batangas MUNICIPALITY OF LOBO Invitation to Bid for the PURCHASE OF GENERATOR SET TO BE INSTALLED AT NEW PUBLIC MARKET, BARANGAY POBLACION, LOBO, BATANGAS Contract ID No. 3-01-001-20-076A 			 1.The Municipal Governm</t>
  </si>
  <si>
    <t xml:space="preserve"> SUPPLY, INSTALLATION, TESTING AND COMMISSIONING OF AN ONLINE UNIFIED BUSINESS PERMIT APPLICATION SYSTEM FOR NEW, RENEWAL, AMENDMENT AND SPECIAL BUSINESS PERMITS (OUBPAS) FOR THE BUSINESS PERMITS AND LICENSING DEPARTMENT, QUEZON CITY (PHASE I) I.	RATIONALE</t>
  </si>
  <si>
    <t xml:space="preserve"> Republic of the Philippines DEPARTMENT OF PUBLIC WORKS AND HIGHWAYS CAGAYAN THIRD DISTRICT ENGINEERING OFFICE REGION II Tuguegarao City The DPWH-CAGAYAN THIRD DISTRICT ENGINEERING OFFICE, through the GAA FY-2020 (AMWP) intends to apply the sum of P3,550,0</t>
  </si>
  <si>
    <t xml:space="preserve"> 1.	The Provincial Government of Antique, through the PDRRMF CY 2020 intends to apply the sum Two Million Nine Hundred Ten Thousand One Hundred Fifty Seven Pesos &amp; 16/100 (Php 2, 910, 157.16) being the Approved Budget for the Contract (ABC) to payments und</t>
  </si>
  <si>
    <t xml:space="preserve"> Riprapping of brgy. road @ Sitio Aguada, San Teodoro,Mabini,Batangas</t>
  </si>
  <si>
    <t xml:space="preserve"> PRESIDENTIAL BROADCAST STAFF-RTVM MALACANANG, MANILA  INVITATION TO BID FOR “PROCUREMENT OF BROADCAST  EQUIPMENT” 1.	The PRESIDENTIAL BROADCAST STAFF - RTVM, through the General Appropriations Act of Year 2020  intends to apply the sum of TWENTY SIX MILLI</t>
  </si>
  <si>
    <t xml:space="preserve"> Republic of the Philippines Province of Cagayan Municipality of Camalaniugan July 23, 2020 INVITATION TO BID  FOR THE FURNISHING &amp; DELIVERY OF ONE (1) UNIT CAMERA AND TWO (2) UNITS LAPTOP 1.	The Municipality of Camalaniugan, through the SPECIAL EDUCATION </t>
  </si>
  <si>
    <t xml:space="preserve"> 10  cans  Squash (250 grams/can) 90  kilos  Kangkong Seeds 90  kilos  okra Seeds 90  kilos  Pole Sitao Seeds 90   kilos  Ampalaya Seeds 70  kilos  Pechay Seeds 29  cans  Eggplant Seeds (50 grams/can) 17  cans  Tomato Seeds (25 grams /can)</t>
  </si>
  <si>
    <t xml:space="preserve"> Republic of the Philippines Province of Oriental Mindoro  MUNICIPALITY OF NAUJAN BIDS AND AWARDS COMMITTEE INVITATION TO BID SUPPLY AND DELIVERY OF TWO (2) UNITS EMERGENCY TRANSPORT VEHICLE TO BE USED IN THE OFFICE OF THE MUNICIPAL MAYOR, NAUJAN, ORIENTAL</t>
  </si>
  <si>
    <t xml:space="preserve"> 24 pax. Wheel Chair 15 pax. Hearing Aid 5 pax. Orthosis and Prosthesis</t>
  </si>
  <si>
    <t xml:space="preserve"> Project Title: Cluster N13-2020 INVITATION TO BID NO. INFRA-2020-13 									 1.	The Municipal Government of Hungduan, Ifugao, through the 20% Municipal Development Fund intends to apply the sum of Eight Hundred Sixty Seven Thousand Nine Hundred Seventy T</t>
  </si>
  <si>
    <t xml:space="preserve"> 13  ream Ice Candy Wrapper (1.5 x 10) 2,266 sacks Soil Enhancer (Chicken Dung)</t>
  </si>
  <si>
    <t xml:space="preserve"> Invitation to Bid for  PACKAGE 20-35:  REHABILITATION/RENOVATION OF MODERN ABATTOIR BUILDING 1.	The Bids and Awards Committee of the Local Government Unit of Santiago City, through the City Fund intends to apply the sum of Six Million Seven Hundred Eighty</t>
  </si>
  <si>
    <t xml:space="preserve"> Procurement of one (1) unit service vehicle 4x2 pick-up type</t>
  </si>
  <si>
    <t xml:space="preserve"> 1.	The LGU Dilasag, Aurora, through the 20% Development Fund 2020 intends to apply the sum of One Million Pesos (₱ 1,000,000.00) being the Approved Budget for the Contract (ABC) to payments under the contract for Additional Fund for the Construction of Mu</t>
  </si>
  <si>
    <t xml:space="preserve"> Prospective bidders should have completed a similar contract with a value of at least 50% of the ABC. The BAC will use non-discretionary pass/fail criteria in the eligibility check/screening as well as the preliminary examination of bids. The BAC will con</t>
  </si>
  <si>
    <t xml:space="preserve"> Project Description: Road Construction of 159m carriageway with 5m width and 0.15m thick PCCP (2 lanes). Republic of the Philippines Province of Leyte Municipality of Matalom INVITATION TO BID FOR  CONCRETING OF BRGY. ROADS AT BRGY. SAN JUAN, MATALOM, LEY</t>
  </si>
  <si>
    <t xml:space="preserve"> INVITATION TO BID FOR “PROCUREMENT OF LIGHTING EQUIPMENT” 1.	The PRESIDENTIAL BROADCAST STAFF - RTVM, through the General Appropriations Act of Year 2020  intends to apply the sum of THREE MILLION TWO HUNDRED EIGHTY EIGHT THOUSAND NINE HUNDRED NINETY SIX </t>
  </si>
  <si>
    <t xml:space="preserve"> Procurement of five (5) units of cellphone</t>
  </si>
  <si>
    <t xml:space="preserve"> INVITATION TO BID  for  Installation of Electrical Main Feederline for 3 units – 2 Storey Cottages at Provincial Capitol Resort Hotel, Lingayen, Pangasinan Solicitation No. PANG-2020-0855 1.	The Provincial Government of Pangasinan, through the Community D</t>
  </si>
  <si>
    <t xml:space="preserve"> 1 Set. Generator 45 KVA</t>
  </si>
  <si>
    <t xml:space="preserve"> 1.	The LGU Dilasag, Aurora, through the 20% Development Fund 2018, 2019 &amp; 2020 intends to apply the sum of Two Million Nine Hundred Thousand Pesos (₱ 2,900,000.00) being the Approved Budget for the Contract (ABC) to payments under the contract for Constru</t>
  </si>
  <si>
    <t xml:space="preserve"> Procurement of One (1) unit Motorcycle</t>
  </si>
  <si>
    <t xml:space="preserve"> Construction of 10m x 8m Tribal Hall with CR, ceiling, plumbing fixtures, electrical and paintings</t>
  </si>
  <si>
    <t xml:space="preserve"> Repair/Maintenance of DILG Building</t>
  </si>
  <si>
    <t xml:space="preserve"> 1.	The LGU Dilasag, Aurora, through the 20% Development Fund 2020 intends to apply the sum of One Million Pesos (₱ 1,000,000.00) being the Approved Budget for the Contract (ABC) to payments under the contract for Additional Fund for the Construction of Ev</t>
  </si>
  <si>
    <t xml:space="preserve"> Repair/Maintenance of Big Mateo Bridge Revetment (Limits: K1622+217)</t>
  </si>
  <si>
    <t xml:space="preserve"> INVITATION TO BID  for  Construction of Perimeter Fence with Steel Gate at Capitol Compound, Lingayen, Pangasinan Solicitation No. PANG-2020-0854 1.	The Provincial Government of Pangasinan, through the Community Development Fund (PR#2020-01-0781) intends </t>
  </si>
  <si>
    <t xml:space="preserve"> Procurement and Delivery of various office supplies for different offices</t>
  </si>
  <si>
    <t xml:space="preserve"> Feeding Materials</t>
  </si>
  <si>
    <t xml:space="preserve"> Section I. Invitation to Re-Bid Republic of the Philippines Province of Romblon  Invitation to Bid for the  Repair of Perimeter Fence, San Jose District Hospital Poblacion, San Jose, Romblon July 22, 2020 1.	The Province of Romblon through the ADP REF. CO</t>
  </si>
  <si>
    <t xml:space="preserve"> Republic of the Philippines Province of Cotabato Municipality of Antipas BIDS AND AWARDS COMMITTEE INVITATION TO BID FOR Supply and Delivery of Petroleum Products for Road Maintenance 1.	The Municipal Government of Antipas, through the Budget approved by </t>
  </si>
  <si>
    <t xml:space="preserve"> Republic of the Philippines Province of Ilocos Sur Office of the bids and awards committee MUNICIPALITY OF MAGSINGAL   INVITATION TO BID The LGU – MAGSINGAL, through the Bids and Awards Committee (BAC), invites PhilGEPS registered suppliers/contractors to</t>
  </si>
  <si>
    <t xml:space="preserve"> Project Description: Road Construction of 238m carriageway with 5m width and 0.20m thick PCCP (2 lanes)  Republic of the Philippines Province of Leyte Municipality of Matalom INVITATION TO BID FOR  CONCRETING OF BRGY.  ROAD AT BRGY. SAN SALVADOR, SITIO CA</t>
  </si>
  <si>
    <t xml:space="preserve"> Section I. Invitation to Re-Bid Republic of the Philippines Province of Romblon  Invitation to Bid for the  Rehabilitation/Improvement/Widening of Agnaga-Talisay Provincial Road Romblon, Romblon July 22, 2020 1.	The Province of Romblon through the CY 2019</t>
  </si>
  <si>
    <t xml:space="preserve"> INVITATION TO BID ON THE SUPPLY AND DELIVERY OF  1 LOT LABORATORY EQUIPMENT FOR FOOD TECHNOLOGY  LABORATORY USE OF BUKIDNON STATE UNIVERSITY 1.	The Bukidnon State University through the Bids and Awards Committee &amp; Budget Approved by the Board of Regents 2</t>
  </si>
  <si>
    <t xml:space="preserve"> 20 sets Emergency First Aid Kits  &gt; Kits &gt;Flashlights &gt; Batteries &gt; Bandage &gt; Providone Iodine &gt; Alcohol &gt; Cotton Balls &gt; Matches 20 pcs Caps/Hats 20 pcs Rain coats 20 pcs Boots 20 pcs Handcuffs (heavy duty)</t>
  </si>
  <si>
    <t xml:space="preserve"> Contract for One (1) Lot Comprehensive Maintenance of Conveyance System under PR No. RS-0919-033 and ITB No. 2001-004-02 Schedule of Activities  Pre-bid Conference		: 29 July 2020 (Wednesday) @ 10:00 A.M. 				  Cafeteria, LRTA Line 2- Depot, Santolan, Pas</t>
  </si>
  <si>
    <t xml:space="preserve"> Republic of the Philippines Province of Southern Leyte MUNICIPALITY OF LIMASAWA -o0o- Bids and Awards Committee Invitation to Bid for the Procurement  of Information Technology (IT) Equipment of the Municipality of Limasawa, Southern Leyte 1.	The Local Go</t>
  </si>
  <si>
    <t xml:space="preserve"> INVITATION TO BID  for  Concreting of Road &amp; Construction of Perimeter Fence at Poblacion Central School, Sual, Pangasinan Solicitation No. PANG-2020-0857 1.	The Provincial Government of Pangasinan, through the School Board (PR#2020-02-1860) intends to ap</t>
  </si>
  <si>
    <t xml:space="preserve"> supply &amp; delivery of various construction materials (see attached for the list of materials)</t>
  </si>
  <si>
    <t xml:space="preserve"> see attached Invitation to Bid</t>
  </si>
  <si>
    <t xml:space="preserve"> supply &amp; delivery of hardware materials to be used at Guba Bridge (see attached for the list of materials)</t>
  </si>
  <si>
    <t xml:space="preserve"> INVITATION TO BID  for  Concreting of Brgy. Nagpalangan Road, Binmaley, Pangasinan Solicitation No. PANG-2020-0856 1.	The Provincial Government of Pangasinan, through the Construction, Repair &amp; Maintenance of Various Roads and Bridges (PR#2020-06-5442) in</t>
  </si>
  <si>
    <t xml:space="preserve"> 1 set. Collection CPR Training Manikins (Contains 1 adult, 1 child and 1 infant all with LED Rate Monitors also included the 10 adults lung bags, 10 lung bags child and 10 lung bags infant plus an Instruction Sheet and nylon carrying case) 25 pcs. Cadaver</t>
  </si>
  <si>
    <t xml:space="preserve"> Project Title: Assistance to Barangay Solid Waste Management Program (Garbage Facilities) INVITATION TO BID NO. INFRA-2020-14 									 1.	The Municipal Government of Hungduan, Ifugao, through the 20% Municipal Development Fund intends to apply the sum of</t>
  </si>
  <si>
    <t xml:space="preserve"> Republic of the Philippines Province of Leyte Municipality of Hilongos INVITATION TO RE-BID FOR THE PROCUREMENT OF OFFICE SUPPLIES 1.  The Local Government Unit of Hilongos, through GENERAL FUND-CURRENT APPROPRIATION- intends to apply the sum FORTY NINE T</t>
  </si>
  <si>
    <t xml:space="preserve"> 1.	The LGU Dilasag, Aurora, through the MDRRM Fund 2020 intends to apply the sum of One Million Four Hundred Thousand Pesos (₱ 1,400,000.00) being the Approved Budget for the Contract (ABC) to payments under the contract for Construction/Improvement of Fl</t>
  </si>
  <si>
    <t xml:space="preserve"> INVITATION TO BID  for  Improvement of Dietary and Laundry Room at Umingan Community Hospital, Umingan, Pangasinan Solicitation No. PANG-2020-0976 1.	The Provincial Government of Pangasinan, through the Repair of Schools and Community Projects (PR#2020-05</t>
  </si>
  <si>
    <t xml:space="preserve"> Construction of Slope Protection at Pange Bridge, Brgy. Altavista, Matalom, Leyte. Republic of the Philippines Province of Leyte Municipality of Matalom INVITATION TO BID FOR  CONSTRUCTION OF SLOPE PROTECTION AT PANGE BRIDGE, BRGY. ALTAVISTA, MATALOM, LEY</t>
  </si>
  <si>
    <t xml:space="preserve"> supply and delivery of various construction materials (see attached for the list of materials)</t>
  </si>
  <si>
    <t xml:space="preserve"> 250 vials Flu Vaccine  &gt; Quadrivalent (4 strains)</t>
  </si>
  <si>
    <t xml:space="preserve"> HOP-QR-PRO-005 Republic of the Philippines Department of Health DAVAO REGIONAL MEDICAL CENTER Apokon, Tagum City BIDS AND AWARDS COMMITTEE INVITATION TO BID FOR THE SUPPLY &amp; DELIVERY OF LABORATORY SUPPLIES &amp; REAGENTS 1.	The Davao Regional Medical Center (</t>
  </si>
  <si>
    <t xml:space="preserve"> Republic of the Philippines BOHOL ISLAND STATE UNIVERSITY Main Campus, Tagbilaran City INVITATION TO BID FOR RE-BIDDING: PR NO. 2020-02-0267-MAIN-SUPPLY AND DELIVERY OF COSMETOLOGY EQUIPMENT FOR THE COSMETOLOGY TECHNOLOGY LABORATORY OF CTAS 1.	The Bohol I</t>
  </si>
  <si>
    <t xml:space="preserve"> Section I. Invitation to Re-Bid Republic of the Philippines Province of Romblon  Invitation to Bid for the  Completion of Food Court    Poblacion, Cajidiocan, Romblon July 22, 2020  1.	The Province of Romblon through the ADP CY 2020 AIP Ref. Code 8000-1-0</t>
  </si>
  <si>
    <t xml:space="preserve"> Republic of the Philippines Province of Camarines Sur MUNICIPALITY OF BAAO INVITATION TO BID FOR THE CONSTRUCTION OF ALSUM-LOURDES ROAD PHASE II 1. The LOCAL GOVERNMENT UNIT OF BAAO, through the Budget for the contract approved by the Sanggunian 2020 inte</t>
  </si>
  <si>
    <t xml:space="preserve"> INVITATION TO BID  for  Provision of Roof Deck of Roofing of X-Ray/Ultrasound Building at Mapandan Community Hospital, Mapandan, Pangasinan Solicitation No. PANG-2020-0977 1.	The Provincial Government of Pangasinan, through the Repair of Schools and Commu</t>
  </si>
  <si>
    <t xml:space="preserve"> Demolition &amp; Excavation works RCPC &amp; Catch basin</t>
  </si>
  <si>
    <t xml:space="preserve"> Procurement of IT Equipments</t>
  </si>
  <si>
    <t xml:space="preserve"> Section I. Invitation to Re-Bid Republic of the Philippines Province of Romblon  Invitation to Bid for the  Completion of Cajidiocan Sports Complex Concrete Bleacher Cajidiocan, Romblon July 22, 2020 1.	The Province of Romblon through the CY 2019 ADP REF.</t>
  </si>
  <si>
    <t xml:space="preserve"> INVITATION TO BID The Bureau of Fisheries and Aquatic Resources Region 5 (BFAR 5), through the Government of the Philippines (GOP), for CY 2020 intends to apply the sum of One Million One Hundred Sixty Two Thousand Five Hundred Sixty Pesos (PhP1,162,560.0</t>
  </si>
  <si>
    <t xml:space="preserve"> Procurement of CCTV and Laptop</t>
  </si>
  <si>
    <t xml:space="preserve"> P.R. No. 20-0097 Republic of the Philippines ZAMBOANGA CITY WATER DISTRICT Pilar Street, Zamboanga City INVITATION TO BID  FOR  1. Liquid Poly Aluminum Chloride (PAC) ------------- 850 drums At 200 Liters/Drum content only	 	 SPECIFICATIONS:	 Alumina cont</t>
  </si>
  <si>
    <t xml:space="preserve"> INVITATION TO BID NO. INFRA-2020-09 									 1.	The Municipal Government of Hungduan, Ifugao, through the 20% Municipal Development Fund intends to apply the sum of One Million Two Hundred Fifty Five Thousand Eight Hundred Seventeen Pesos &amp; Sixty Four Ce</t>
  </si>
  <si>
    <t xml:space="preserve"> Procurement of 25 unit printer Epson L3110</t>
  </si>
  <si>
    <t xml:space="preserve"> INVITATION TO BID FOR  PURCHASE OF PAY LOADER 	The Municipality of San Juan through the Government of the Philippines intends to apply the sum of  SIX MILLION  PESOS ONLY  (Php.6,000,000.00)  being the Approved Budget for the Contract (ABC) to payments un</t>
  </si>
  <si>
    <t xml:space="preserve"> Section I. Invitation to Bid Republic of the Philippines Province of Romblon  Invitation to Bid for the  Concrete Paving of Bachawan-Poblacion Road, Concepcion, Romblon July 22, 2020 1.	The Province of Romblon through the ADP CY 2020 AIP Ref. Code 8000-1-</t>
  </si>
  <si>
    <t xml:space="preserve"> INVITATION TO BID  for  Supply and Delivery of Pre-Mix Asphalt and Emulsified Asphalt Solicitation No. PANG-2020-0858 1.	The Provincial Government of Pangasinan, through the Construction, Repair &amp; Maintenance of Various Roads and Bridges intends to apply </t>
  </si>
  <si>
    <t xml:space="preserve"> INVITATION TO BID NO. 2020-07-0017 PROCUREMENT OF SECURITY SERVICES OF CAPIZ STATE UNIVERSITY 1.	The Capiz State University, through the Special Trust Fund - 2020 intends to apply the sum of Six Million Six Hundred Eighty-Three Thousand Forty Pesos (Php6,</t>
  </si>
  <si>
    <t xml:space="preserve"> I N V I T A T I O N   T O   B I D  The Visayas State University through its Bids and Awards Committee (BAC), invites suppliers/manufacturers/distributors to apply for eligibility and to bid for the hereunder project: Name of Project		 :  Supply and Delive</t>
  </si>
  <si>
    <t xml:space="preserve"> supply &amp; delivery of various construction materials (see attached for the list of supplies)</t>
  </si>
  <si>
    <t xml:space="preserve"> Section I. Invitation to Bid Republic of the Philippines Province of Romblon  Invitation to Bid for the  Construction of Pathological Pit, Malipayon District Hospital, Corcuera, Romblon July 22, 2020  1.	The Province of Romblon through the ADP CY 2020 AIP</t>
  </si>
  <si>
    <t xml:space="preserve"> Republic of the Philippines Province of Camarines Sur MUNICIPALITY OF BAAO INVITATION TO BID FOR THE SUPPLY AND DELIVERY OF I.T. EQUIPMENT 1. The LOCAL GOVERNMENT UNIT OF BAAO, through the Budget for the contract approved by the Sanggunian 2020 intends to</t>
  </si>
  <si>
    <t xml:space="preserve"> INVITATION TO BID  for  Supply and Delivery of One (1) unit 6 Wheeler Wing Van Truck (25 ft. Hydraulic Wing Van) at GSO, Lingayen, Pangasinan (for Disaster Relief Operations of the Province) Solicitation No. PANG-2020-863 1.	The Provincial Government of P</t>
  </si>
  <si>
    <t xml:space="preserve"> INVITATION TO BID NO. INFRA-2020-11 									 1.	The Municipal Government of Hungduan, Ifugao, through the 20% Municipal Development Fund intends to apply the sum of One Million Six Hundred Thirty ThreeCentavos (₱1,633,004.30) being the Approved Budget fo</t>
  </si>
  <si>
    <t xml:space="preserve"> Name of Procuring Entity:                     	                             Contract Reference No. LGU-Q-CWC-11-20 LOCAL GOVERNMENT UNIT	         Name of Contract: Construction of Level II Potable Water System OF QUEZON, ISABELA                           </t>
  </si>
  <si>
    <t xml:space="preserve"> Republic of the Philippines DR. EMILIO B. ESPINOSA, SR. MEMORIAL STATE COLLEGE  OF AGRICULTURE AND TECHNOLOGY (Masbate State College) BIDS AND AWARDS COMMITTEE http:www.debesmscat.edu.ph INVITATION TO BID FOR THE SUPPLY AND DELIVERY OF  EQUIPMENT, SUPPLIE</t>
  </si>
  <si>
    <t xml:space="preserve"> INVITATION TO BID NO. INFRA-2020-10 									 1.	The Municipal Government of Hungduan, Ifugao, through the 20% Municipal Development Fund intends to apply the sum of One Million Three Hundred Thirty Nine Thousand Two Hundred Thirty Seven Peso and Ninety E</t>
  </si>
  <si>
    <t xml:space="preserve"> INVITATION TO BID  for  Supply and Delivery of One (1) unit Generator Set (300KVA, Open Type w/ complete Accessories and Battery) at GSO, Lingayen, Pangasinan (for use at 3 Storey Multi-Purpose Building, Capitol Compound, Lingyen, Pangasinan) Solicitation</t>
  </si>
  <si>
    <t xml:space="preserve"> Bid Opening - August 13, 2020, 2:00 P.M. at Municipal Conference Hall</t>
  </si>
  <si>
    <t xml:space="preserve"> INVITATION TO BID  for  Supply and Delivery of 351 pax Meals (Breakfast, Lunch, Dinner) for the Inmates of the Pangasinan Provincial Jail for 92 days at PGO – Office of the Warden, Lingayen, Pangasinan  Solicitation No. PANG-2020-859 1.	The Provincial Gov</t>
  </si>
  <si>
    <t xml:space="preserve"> supply &amp; delivery of 5 unit motorcycles (see attached for the list of specifications)</t>
  </si>
  <si>
    <t xml:space="preserve"> Clearing &amp; Grubbing, Removal of Trees, Excavation, Embankment, Aggregate Sub-base Course, PCCP (0.20m thk.), Pavement Markings</t>
  </si>
  <si>
    <t xml:space="preserve"> Dimension: 4.0M x8.0M ESTIMATES: ITEM I. CONCRETE WORKS ITEM II. MASONRY WORKS ITEM III. DOORS &amp; WINDOWS ITEM IV. FORMS &amp; SCAFFOLDINGS ITEM V. PLUMBING WORKS &amp; FIXTURES ITEM VI. ELECTRICAL WORKS &amp; FURNITURES ITEM VII. CARPENTRY &amp; JOINERY WORKS (CEILING WO</t>
  </si>
  <si>
    <t xml:space="preserve"> Republic of the Philippines BOHOL ISLAND STATE UNIVERSITY Main Campus, Tagbilaran City INVITATION TO BID FOR PR NO. 2020-03-0432-MAIN - SUPPLY AND DELIVERY OF MECHANICAL TECHNOLOGY LABORATORY EQUIPMENT FOR CTAS 1.	The Bohol Island State University – Main </t>
  </si>
  <si>
    <t xml:space="preserve"> INVITATION TO BID NO. INFRA-2020-12 									 1.	The Municipal Government of Hungduan, Ifugao, through the 20% Municipal Development Fund intends to apply the sum of One Million One Hundred Ninety Four Thousand Six Hundred Fifty Nine Thousand Forty Three </t>
  </si>
  <si>
    <t xml:space="preserve"> Repair and Repainting of Senior Citizen's Park Gate 		 &gt; 25 pcs Tubolar 		 &gt; 20 kls Welding Rod		 &gt;20 pcs Paint Brush #2		 &gt; 25 gals Epoxy Primer 		 &gt; 25 gals Enamel Green		 &gt; 100 pcs Cutting Disk		 &gt; 1 lot Labor 		 		 Repair and Repainting of Senior Citi</t>
  </si>
  <si>
    <t xml:space="preserve"> 1. 26,276.16 LITERS DIESEL</t>
  </si>
  <si>
    <t xml:space="preserve"> HOP-QR-PRO-005 Republic of the Philippines Department of Health DAVAO REGIONAL MEDICAL CENTER Apokon, Tagum City BIDS AND AWARDS COMMITTEE INVITATION TO BID FOR THE SUPPLY &amp; DELIVERY OF GALENICALS 1.	The Davao Regional Medical Center (DRMC), through the H</t>
  </si>
  <si>
    <t xml:space="preserve"> Republic of the Philippines BOHOL ISLAND STATE UNIVERSITY Main Campus, Tagbilaran City INVITATION TO BID FOR SUPPLY AND DELIVERY OF MULTIMEDIA PROJECTORS FOR THE 2ND QUARTER (PR NO.2020-06-0565, 2020-05-0511, 2020-02-0178, 2020-02-0168) 1.	The Bohol Islan</t>
  </si>
  <si>
    <t xml:space="preserve"> Republic of the Philippines Province of Nueva Vizcaya BIDS AND AWARDS COMMITTEE (BAC-GOODS) BAC OFFICE, Provincial Capitol, Bayombong, Nueva Vizcaya Tel. No. (078) 392-2650 	 2ND INVITATION TO BID FOR THE SUPPLY AND DELIVERY OF ONE (1) UNIT DEFIBRILLATOR </t>
  </si>
  <si>
    <t xml:space="preserve"> P.R. No. 20-0096 Republic of the Philippines ZAMBOANGA CITY WATER DISTRICT Pilar Street, Zamboanga City INVITATION TO BID  FOR  1. Aluminum Sulfate – 17%  ----------------- 2,500 bags Approximate Size: 20mm	 at 50kgs/bag	 	 The submission of One (1) kilo </t>
  </si>
  <si>
    <t xml:space="preserve"> Drainage Canal Materials Labor</t>
  </si>
  <si>
    <t xml:space="preserve"> Republic of the Philippines BOHOL ISLAND STATE UNIVERSITY Main Campus, Tagbilaran City INVITATION TO BID FOR SUPPLY AND DELIVERY OF OFFICE EQUIPMENT FOR THE 2ND QUARTER (PR NO.2020-01-0029,2020-06-0540, 2020-02-0167, 2020-02-0144, 2020-02-0179, 2020-03-04</t>
  </si>
  <si>
    <t xml:space="preserve"> qty   unit     description One (1) Unit Passenger Van    Specifications:  ENGINE: 3.0 L; 4 cylinder, Turbo, Diesel Injection, Blue power diesel engine' Euro 4' 5 speed Manual Transmission, 75 liters fuel tank capacity, 15 inches tires, Equipped power wido</t>
  </si>
  <si>
    <t xml:space="preserve"> Republic of the Philippines                                                                   PROVINCE OF AKLAN                                                       MUNICIPALITY OF NEW WASHINGTON Invitation to Apply and to Bid for the Construction of Per</t>
  </si>
  <si>
    <t xml:space="preserve"> Installation of Pipes -Materials -Labor</t>
  </si>
  <si>
    <t xml:space="preserve"> 17 liters Insecticide  &gt; Cyphenothrin 5%</t>
  </si>
  <si>
    <t xml:space="preserve"> 2 units Window Type Aircon (Inverter)		 &gt; Cooling Capacity: 2HP		 		 1 unit Split Type Aircon (Inverter)		 &gt; Cooling Capacity:2.5HP		 		 1 unit Floor Mounted (Inverter)		 &gt; Cooling Capacity: 4HP		 		 1 unit Scanner 		 &gt; A4 Sheet fed, one pass duplex colou</t>
  </si>
  <si>
    <t xml:space="preserve"> Section I. Invitation to Bid Republic of the Philippines Province of Romblon  Invitation to Bid for the  Construction of Maternity Half-Way House, Malipayon District Hospital, Poblacion, Corcuera, Romblon July 22, 2020 1.	The Province of Romblon through t</t>
  </si>
  <si>
    <t xml:space="preserve"> Invitation to Bid   Design and Build of the New Eighteen-Storey Clark Air Traffic Control Tower Building Facility at Clark International Airport 1.	The Bases Conversion and Development Authority (BCDA), through the General Appropriations Act (GAA) of 2020</t>
  </si>
  <si>
    <t xml:space="preserve"> Republic of the Philippines BOHOL ISLAND STATE UNIVERSITY Main Campus, Tagbilaran City INVITATION TO BID FOR SUPPLY AND DELIVERY OF CONSTRUCTION SUPPLIES (PR NO.2020-02-0304, 2020-02-0198, 2020-02-0151, 2020-02-0425, 2020-02-0290, 2020-01-0030) 1.	The Boh</t>
  </si>
  <si>
    <t xml:space="preserve"> INVITATION TO BID FOR SUPPLY AND DELIVERY OF LABORATORY AND DENTAL SUPPLIES 1.	The Municipal Government of Luna, La Union through the GENERAL FUND intends to apply the sum of SEVEN HUNDRED THIRTY-SIX THOUSAND ONE HUNDRED TWENTY PESOS (Php736,120.00) being</t>
  </si>
  <si>
    <t xml:space="preserve"> Invitation to Bid for the Procurement of Two (2) Units Multicab for the Use of the LGU, Tagudin, Ilocos Sur 1.	The Local Government Unit of Tagudin, Ilocos Sur, thru its Bids and Awards Committee intends to apply the sum of Eight Hundred Thousand Pesos (P</t>
  </si>
  <si>
    <t xml:space="preserve"> Project: PURCHASE OF MUNICIPAL VEHICLE Location: Laurel, Batangas ABC: PHP11,285,000.00 PURCHASE OF SIX WHEELER DUMP TRUCK ABC=PHP2,885,000.00 PURCHASE OF TWO UNITS RESCUE VEHICLE ABC= PHP2,200,000.00  PURCHASE OF GARBAGE TRUCK WITH COMPACTOR=PHP6,200,000</t>
  </si>
  <si>
    <t xml:space="preserve"> INVITATION TO BID  for  Supply and Delivery of 4,000 cyls. Medical Oxygen (Std. Type) and 150 cyls. Medical Oxygen (Flask Type) at Pangasinan Provincial Hospital, San Carlos City, Pangsinan Solicitation No. PANG-2020-865 1.	The Provincial Government of Pa</t>
  </si>
  <si>
    <t xml:space="preserve"> Republic of the Philippines BOHOL ISLAND STATE UNIVERSITY Main Campus, Tagbilaran City INVITATION TO BID FOR SUPPLY AND DELIVERY OF PHOTOCOPIER FOR THE 2ND QUARTER (PR NO.2020-02-0167) 1.	The Bohol Island State University – Main Campus, Tagbilaran City, t</t>
  </si>
  <si>
    <t xml:space="preserve"> Section I. INVITATION TO BID FOR DESIGN &amp; BUILD OF PUBLIC MARKET BUILDING 1.	The Local Government Unit of Lambayong, through the Land Bank of the Philippines intends to apply the sum of PhP 30,000,000.00 being the Approved Budget for the Contract (ABC) to</t>
  </si>
  <si>
    <t xml:space="preserve"> INVITATION TO BID NO. INFRA-2020-15 									 1.	The Municipal Government of Hungduan, Ifugao, through the 20% Municipal Development Fund intends to apply the sum of Two Hundred Ninety Five Thousand Three Hundred Sixty Six Pesos &amp; Seventy Five Centavos (₱</t>
  </si>
  <si>
    <t xml:space="preserve"> INVITATION TO BID  for  Supply and Delivery of Eighty boxes Dengue IgG/IgM+NSI (Combo)25’s/box at Pangsinan Provincial Hospital, San Carlos City, Pangsinan Solicitation No. PANG-2020-864 1.	The Provincial Government of Pangasinan, through the Other Mainte</t>
  </si>
  <si>
    <t xml:space="preserve"> Republic of the Philippines          City of Dumaguete Bids and Awards Committee INVITATION TO BID FOR THE PURCHASE OF 1 UNIT BRAND NEW SIX (6) WHEELER MINI-DUMP TRUCK 	The City of Dumaguete thru its BIDS AND AWARDS COMMITTEE (BAC), invites all interested</t>
  </si>
  <si>
    <t xml:space="preserve"> INVITATION TO BID FOR SUPPLY AND DELIVERY OF MEDICAL EQUIPMENT 1.	The Municipal Government of Luna, La Union through the 20% DEVELOPMENT FUND-CY 2020 intends to apply the sum of ONE MILLION FOUR HUNDRED NINETY-NINE THOUSAND FIVE HUNDRED PESOS (Php1,499,50</t>
  </si>
  <si>
    <t xml:space="preserve"> INVITATION TO BID  for the following Projects: Repair and Rehab of National Road/Selective Replacement of Concrete Pavement, Along Dinagat-Loreto Road The Department of Public Works and Highways, DPWH Dinagat Islands District Engineering Office through FY</t>
  </si>
  <si>
    <t xml:space="preserve"> Republic of the Philippines  City of Canlaon Office of the Bids and Awards Committee  INVITATION TO BID FOR the Procurement of Face Mask, 3 ply with ear loop The Local Government of Canlaon City, through LDRRMO. Intends to apply the sum One Million Forty </t>
  </si>
  <si>
    <t xml:space="preserve"> INVITATION TO BID  for  Supply and Delivery of One (1) unit Universal Testing Machine at Provincial Engineering Office, Lingayen, Pangasinan (for use at Quality Control Division) Solicitation No. PANG-2020-862 1.	The Provincial Government of Pangasinan, t</t>
  </si>
  <si>
    <t xml:space="preserve"> CONSTRUCTION OF 1 CLASSROOM BUILDING @ BALIMBING ELEMENTARY SCHOOL, SAN PASCUAL, BATANGAS</t>
  </si>
  <si>
    <t xml:space="preserve"> Invitation to Bid for SUPPLY AND DELIVERY OF MATERIALS FOR INSTALLATION  OF MUNICIPAL STREETLIGHTING SYSTEM The Municipal Government of Looc, Romblon, through the Appropriation Ordinance No. 018-2019 Regular intends to apply the sum of Four Hundred Fourte</t>
  </si>
  <si>
    <t xml:space="preserve"> The PROFESSIONAL REGULATION COMMISSION (PRC) CAGAYAN DE ORO REGIONAL OFFICE X, with an office address at Skypark, Limketkai Center, Cagayan de Oro City, through its Regional Bids and Awards Committee (RBAC), invites bids for the following: Items to Bid fo</t>
  </si>
  <si>
    <t xml:space="preserve"> Republic of the Philippines  City of Canlaon Office of the Bids and Awards Committee  INVITATION TO BID FOR the Improvement of Brgy. Multi-purpose Building The Local Government of Canlaon City, through AIP 2020. Intends to apply the sum One Million Four H</t>
  </si>
  <si>
    <t xml:space="preserve"> Section I. Invitation to Bid Republic of the Philippines Province of Romblon  Invitation to Bid for the  Construction of Converging Area at Odiongan Sports Complex, Odiongan, Romblon July 22, 2020  1.	The Province of Romblon through the SP Resolution No. </t>
  </si>
  <si>
    <t xml:space="preserve"> SEE ATTACHED LINK TO OTHER INFORMATION</t>
  </si>
  <si>
    <t xml:space="preserve"> Akapulko Ointment, Aluminum Magnesium hydroxide susp. in 60ml, Amoxicillin trihydrate 250mg capsule in 100's, Tranexamic Acid 500mg tablet in 100's ,Zinc Sulfate 60ml Syrup, Surgical blade No.15 in 100's, EDTA evacuated tubes 2ml in 100's, Syringe Gauge 3</t>
  </si>
  <si>
    <t xml:space="preserve"> Republic of the Philippines BOHOL ISLAND STATE UNIVERSITY Main Campus, Tagbilaran City INVITATION TO BID FOR SUPPLY, DELIVERY AND INSTALLATION OF AIRCONDITIONING UNITS FOR THE 2ND QUARTER (PR NO. 2020-03-0470, 2020-02-0424, 2020-06-0578, 2020-06-0552) 1.	</t>
  </si>
  <si>
    <t xml:space="preserve"> INVITATION TO BID NO. INFRA-2020-16 									 1.	The Municipal Government of Hungduan, Ifugao, through the 20% Municipal Development Fund intends to apply the sum of Five Hundred Ninety Five Thousand Seven Hundred Ninety Five Pesos &amp; Sixty Five Centavos (</t>
  </si>
  <si>
    <t xml:space="preserve"> Clearing &amp; Grubbing, Removal of Trees, Removal of Existing PCCP, Excavation, Embankment, Aggregate Sub-base Course, PCCP (0.20m thk.), Reinforcing Steel Bar, Structural Concrete &amp; Pipe Culverts</t>
  </si>
  <si>
    <t xml:space="preserve"> Province of Cagayan Municipality of Camalaniugan Barangay TAGUM July 21, 2020 INVITATION TO BID  FURNISHING AND DELIVERY OF VARIOUS MATERIALS FOR INSTALLATION OF CEILING, TILES AND ELECTRICALS OF MULTI-PURPOSE BUILDING AT BARANGAY TAGUM, CAMALANIUGAN, CAG</t>
  </si>
  <si>
    <t xml:space="preserve"> GEOTECHNICAL AND GEOLOGICAL SURVEY.</t>
  </si>
  <si>
    <t xml:space="preserve"> Complete School Building (elevated 0.50.), with rain water tank</t>
  </si>
  <si>
    <t xml:space="preserve"> Republic of the Philippines DEPARTMENT OF PUBLIC WORKS AND HIGHWAYS CAGAYAN THIRD DISTRICT ENGINEERING OFFICE REGION II Tuguegarao City    INVITATION TO BID  The Department of Public Works and Highways Cagayan Third District Engineering Office, through it</t>
  </si>
  <si>
    <t xml:space="preserve"> 1. 30,000 pack - Powdered Milk Drink (300 grams) (Fortified Filled Milk, with Vitamins A,C,D, Iron and Zinc)</t>
  </si>
  <si>
    <t xml:space="preserve"> INVITATION TO BID NO. INFRA-2020-04 									 1.	The Municipal Government of Hungduan, Ifugao, through the 20% Municipal Development Fund intends to apply the sum of One Million Six Hundred Thirty Six Thousand Six Hundred Fourteen Pesos &amp; Seventy Four Cen</t>
  </si>
  <si>
    <t xml:space="preserve"> Excavation, Embankment, Aggregate Sub-base Course, PCCP (0.28m thk.), Pavement Markings</t>
  </si>
  <si>
    <t xml:space="preserve"> Section I. Invitation to Re-Bid Republic of the Philippines Province of Romblon  Invitation to Bid for the  Construction of Flood Control Poblacion, Sta. Fe, Romblon July 22, 2020 1.	The Province of Romblon through the ADP CY 2020 AIP Ref. Code 3000-1-01-</t>
  </si>
  <si>
    <t xml:space="preserve"> GEO-TECHNICAL AND GEOLOGICAL SURVEY.</t>
  </si>
  <si>
    <t xml:space="preserve"> Invitation to Bid for  PACKAGE 20-36:  COMMUNITY DEVELOPMENT 1.	The Bids and Awards Committee of the Local Government Unit of Santiago City, through the Economic Development Fund intends to apply the sum of Six Million Nine Hundred Eighty Two Thousand Thr</t>
  </si>
  <si>
    <t xml:space="preserve"> Republic of the Philippines BOHOL ISLAND STATE UNIVERSITY Main Campus, Tagbilaran City INVITATION TO BID FOR RE-BIDDING: PR NO. 2020-02-0252-MAIN-SUPPLY AND DELIVERY OF RFID LIBRARY SECURITY SYSTEM 1.	The Bohol Island State University – Main Campus, Tagbi</t>
  </si>
  <si>
    <t xml:space="preserve"> 1	unit	AIR CON, 2.5Hp Cooling Capacity, Inverter, Split type, Wall-mounted,  price is inclusive of labor and materials for installation  2	units	AIR CON, 2.0Hp Cooling Capacity, Inverter, Split type, Wall-mounted,  price is inclusive of labor and material</t>
  </si>
  <si>
    <t xml:space="preserve"> Section I. Invitation to Re-Bid Republic of the Philippines Province of Romblon  Invitation to Bid for the  Site Development for Municipal Housing Project at Brgy. Poblacion San Agustin, Romblon July 22, 2020  1.	The Province of Romblon through the ADP CY</t>
  </si>
  <si>
    <t xml:space="preserve"> Republic of the Philippines Province of Leyte Municipality of Hilongos INVITATION TO RE-BID FOR THE PURCHASE OF FURNITURE &amp; FIXTURES 1.  The Local Government Unit of Hilongos, through GENERAL FUND-CURRENT APPROPRIATION intends to apply the sum EIGHTY FIVE</t>
  </si>
  <si>
    <t xml:space="preserve"> 20 pcs Heavy Duty Gloves 		 20 pcs Special Insulated Gloves 		 20 pcs Working Gloves 		 20 pcs Safety Mask 		 20 pcs Safety Boots (Steel Toe)		 20 pcs Safety Shoes 		 20 pcs Goggle (for fire floods and cleaning debris)</t>
  </si>
  <si>
    <t xml:space="preserve"> 1 LOT CONSTRUCTION OF SLOPE PROTECTION OF ACCESS ROAD SITIO TAMSIAN, BARANGAY PAGTILAAN, LINGIG, SURIGAO DEL SUR</t>
  </si>
  <si>
    <t xml:space="preserve"> Republic of the Philippines Province of Quezon Municipality of Pagbilao COMMITTEE ON BIDS AND AWARDS INVITATION TO BID FOR SUPPLY AND DELIVERY OF  HAND TRACTOR AND KNAPSACK SPRAYER 1.	The Local Government Unit of Pagbilao, through the Approved Budget by t</t>
  </si>
  <si>
    <t xml:space="preserve"> INVITATION TO BID The City of Bayawan, through its Bids and Awards Committee (BAC), invites suppliers/manufacturers/distributors/contractors to bid for the hereunder projects: 	Lot No. I		MOTOR VEHICLE					 1	1	unit	MOTOR VEHICLE					 			1 unit Pick up 4x</t>
  </si>
  <si>
    <t xml:space="preserve"> Procurement of one (1) unit brand new MPV</t>
  </si>
  <si>
    <t xml:space="preserve"> Delivery of materials and Scope of Project</t>
  </si>
  <si>
    <t xml:space="preserve"> Shopping. . .  40-footer Container Van as stock room   (see sttach design and location)                      Scope of Works Delivery at site including installation, provision of door, footing, opening for exhaust fan   For siphoning of various septic tank</t>
  </si>
  <si>
    <t xml:space="preserve"> INVITATION TO BID SUPPLY, DELIVERY AND IMPLEMENTATION OF VARIOUS NETWORK EQUIPMENT AND STRUCTURED FIBER-OPTIC NETWORK BACKBONE CABLING The Pag-IBIG Fund Corporate Headquarters, through its Bids and Awards Committee – Information Technology Resources (BAC-</t>
  </si>
  <si>
    <t xml:space="preserve"> Portland cement concrete pavement -Materials -Equiptment</t>
  </si>
  <si>
    <t xml:space="preserve"> Repair of Spillway (Sitio Binagasbasan) at Sitio Binagasbasan, Brgy. Paraiso, San Miguel, Catanduanes, Scope of Works: Excva. of Foundation Structure for Concrete (left side), Concrete Foundation (left side) - 2.0mx3,5m, Stone Masonry (gravity walling), S</t>
  </si>
  <si>
    <t xml:space="preserve"> Republic of the Philippines  City of Canlaon Office of the Bids and Awards Committee  INVITATION TO BID FOR the Improvement of Brgy. Multi-purpose Building The Local Government of Canlaon City, through AIP 2018. Intends to apply the sum Two Hundred Ninety</t>
  </si>
  <si>
    <t xml:space="preserve"> 1  LS General Requirements  1  LS  Carpentry Works 1  LS  Roofing Works  Equipment Needed: 1 unit Concrete Mixer, 1 unit Welding Machine</t>
  </si>
  <si>
    <t xml:space="preserve"> Invitation to Bid for Labor and Materials for the Perimeter Fence of the New Rural Health Unit at Sitio Pag-asa, Brgy Wawa, Orion, Bataan 1.	The Municipality of Orion Bataan, through the Government Appropriation Act of 2019 intends to apply the sum of Nin</t>
  </si>
  <si>
    <t xml:space="preserve"> INVITATION TO BID FOR THE 1 LOT SUPPLY AND DELIVERY OF VARIOUS PUSH-IN SERVICE CONNECTION FITTINGS 1.	The Cagayan de Oro City Water District, through the COWD Approved Budget for 2020 intends to apply the sum of One Million Four Hundred Thousand Pesos onl</t>
  </si>
  <si>
    <t xml:space="preserve"> INVITATION TO BID  for  Supply and Delivery of Various Construction Materials and Agricultural Equipment at Different Barangays within the 2nd District of Pangsinan Solicitation No. PANG-2020-0970 1.	The Provincial Government of Pangasinan, through the Co</t>
  </si>
  <si>
    <t xml:space="preserve"> INVITATION TO BID ON THE SUPPLY, DELIVERY AND INSTALLATION OF  1 LOT ELECTRONIC TECHNOLOGY LABORATORY OF BUKIDNON STATE UNIVERSITY 1.	The Bukidnon State University through the Bids and Awards Committee &amp; Budget Approved by the Board of Regents 2020 [Fund </t>
  </si>
  <si>
    <t xml:space="preserve"> Republic of the Philippines Province of North Cotabato Municipality of Pres. Roxas OFFICE OF THE BARANGAY BIDS AND AWARDS COMMITTEE Barangay New Cebu INVITATION TO BID The Barangay Local Government Unit of New Cebu, President Roxas, thru Barangay Bids and</t>
  </si>
  <si>
    <t xml:space="preserve"> INVITATION TO BID 1.	The Province of Cebu through the 2020 General Fund, intends to apply the sum of FORTY-SEVEN MILLION SEVENTY- SEVEN THOUSAND THREE HUNDRED TWENTY PESOS AND 00/100 (Php47,077,320.00) being the Approved Budget for the Contract (ABC) to p</t>
  </si>
  <si>
    <t xml:space="preserve"> In connection with your Invitation to Bid No. PEO-20-0838 B  scheduled on August 12, 2020, I/we proposed to furnish and deliver in conformity with the terms and conditions, and specifications of the items of which I/we quoted as specified below, and to bi</t>
  </si>
  <si>
    <t xml:space="preserve"> Republic of the Philippines Province of Oriental Mindoro MUNICIPALITY OF PINAMALAYAN OFFICE OF THE BIDS AND AWARDS COMMITTEE Invitation to Bid ITB-2020-30 1.  The Municipal Government of Pinamalayan, Oriental Mindoro, through the authorized appropriations</t>
  </si>
  <si>
    <t xml:space="preserve"> 1 unit Dental Chair		 &gt; Fully Motorized Hydraulically Self Adjusting Chair with lifting capacity of 200kgs		 &gt; High and Low Speed Hand Piece		 &gt; High Pressure Saliva Vacuum Machine		 &gt; Intergrated 17 inches LCD/TFT Monitor 		 &gt; LED Light Cure Unit/Modular</t>
  </si>
  <si>
    <t xml:space="preserve"> Invitation to Bid for SUPPLY AND DELIVERY OF VARIOUS SUPPLIES AND EQUIPMENT NEEDED IN PRINTING MODULES FOR ELEMENTARY SCHOOLS OF LOOC DISTRICT The Municipal Government of Looc, Romblon, through the Special Education Fund (SEF) intends to apply the sum of </t>
  </si>
  <si>
    <t xml:space="preserve"> 2 units Radio Base		 &gt; Band: VHF		 &gt; Frequency:136-174MHz		 &gt; Lower Power Output:1-25W		 &gt; High Power Output: 25-45W		 &gt; Channel Spacing: 12.5,25kHz		 &gt; Channel Capacity: 1000		 &gt; Dimension (HxWxD): 53x175x206m		 &gt; Weight: 1.8kg		 &gt; Power Supply (Nominal)</t>
  </si>
  <si>
    <t xml:space="preserve"> INVITATION TO BID FOR Procurement of Air purifier, Instruments, and Accessories of Cardiac Monitor  IB NO: 2020-026 The Western Visayas Medical Center, through Hospital Generated Income-Fund/FY 2020 GAA, in the amount of Six Million Seven Hundred Ninety S</t>
  </si>
  <si>
    <t xml:space="preserve"> Republic of the Philippines Province of Oriental Mindoro MUNICIPALITY OF PINAMALAYAN OFFICE OF THE BIDS AND AWARDS COMMITTEE Invitation to Bid ITB-2020-29 1.  The Municipal Government of Pinamalayan, Oriental Mindoro, through the authorized appropriations</t>
  </si>
  <si>
    <t xml:space="preserve"> 1.	The Camarines Norte State College, through the 2020 General Fund and 2020 Income Funds intends to apply the sum of Six Million Five Hundred Twenty Thousand (Php 6,520,000.00) Pesos being the Approved Budget for the Contract (ABC) to payments under the </t>
  </si>
  <si>
    <t xml:space="preserve"> INVITATION TO BID  for  Supply and Delivery of 2,060 cyls. Medical Oxygen (Std. Type) and 35 cyls. Medical Oxygen (Flask Type) at Urdaneta District Hospital, Urdaneta City, Pangsinan Solicitation No. PANG-2020-866 1.	The Provincial Government of Pangasina</t>
  </si>
  <si>
    <t xml:space="preserve"> INVITATION TO BID  for  Supply and Delivery of Seven (7) units Cabinet Type Air Condition 5TR, Power (Non-Inverter) at PSWDO, Lingayen, Pangasinan Solicitation No. PANG-2020-0994 1.	The Provincial Government of Pangasinan, through the Capital Outlay (PR#2</t>
  </si>
  <si>
    <t xml:space="preserve"> 1	unit	GENERATOR SET, 150kVA, inclusive of delivery and installation (labor and materials),Three-Phase,220V,1800rpm, including Manual Transfer Switch                          with five (5) years warranty 2	units	GENERATOR SET, 25kVA, inclusive of delivery</t>
  </si>
  <si>
    <t xml:space="preserve"> Republic of the Philippines PROVINCE OF PAMPANGA City of San Fernando INVITATION TO BID NO. 2020-25 IG - BAC INVITATION TO BID FOR PURCHASE REQUEST NO.20-1400, 20-1401, 20-1431, 20-0845, 20-1454, 20-0554 AND 19-3827  The Provincial Government of Pampanga </t>
  </si>
  <si>
    <t xml:space="preserve"> INVITATION TO BID  FOR THE Furnishing of Labor and Materials for the Renovation of City Nursery Bldg. (Phase II) @Brgy. Daan Sarile, Cabanatuan City I.B. No. 2020 – 0036 							 1. The LGU-Cabanatuan City, through the General Fund FY 2020 intends to apply</t>
  </si>
  <si>
    <t xml:space="preserve"> ALBAY 3RD DISTRICT ENGINEERING OFFICE																																						 Paulog, Ligao City																																						 																																						 INVITATION TO BID																																						 																											</t>
  </si>
  <si>
    <t xml:space="preserve"> The detailed Bill of Materials is attached to the Bid Form.</t>
  </si>
  <si>
    <t xml:space="preserve"> INVITATION TO BID 1.	The Province of Cebu through the 2020 General Fund, intends to apply the sum of THIRTY-SIX MILLION SIX HUNDRED SIXTY THOUSAND PESOS AND 00/100 (Php36,660,000.00) being the Approved Budget for the Contract (ABC) to payments under the c</t>
  </si>
  <si>
    <t xml:space="preserve"> Republic of the Philippines Province of Cagayan Municipality of Piat -o0o- OFFICE OF THE BIDS AND AWARDS COMMITTEE (BAC) “INVITATION TO BID FOR CONCRETING OF PATHWAY AND BOX CULVERT AT P.I.A.T. CENTER/CENTRAL TERMINAL, PIAT, CAGAYAN” The Local Government </t>
  </si>
  <si>
    <t xml:space="preserve"> INVITATION TO BID  for  Supply, Delivery and Installation of Diagnostic Machine and other Accessories Solicitation No. PANG-2020-0910 1.	The Provincial Government of Pangasinan, through the Capital Outlay – Equipment for Diagnostic Bus other Machinery &amp; E</t>
  </si>
  <si>
    <t xml:space="preserve"> The DPWH-Ilocos Sur 1st District Engineering Office, through its Bids and Awards Committee (BAC), invites contractors to submit bids for the following Contract:   Contract ID: 20AC0109   Contract Name: Repair of Box Culvert Along MNR, Sto. Domingo, Ilocos</t>
  </si>
  <si>
    <t xml:space="preserve"> INVITATION TO BID ON THE SUPPLY AND DELIVERY OF 1 LOT VARIOUS  LIBRARY BOOKS-MAIN CAMPUS OF BUKIDNON STATE UNIVERSITY 1.	The Bukidnon State University through the Bids and Awards Committee &amp; Budget Approved by the Board of Regents 2020 [Fund 164] intends </t>
  </si>
  <si>
    <t xml:space="preserve"> Republic of the Philippines Province of Oriental Mindoro MUNICIPALITY OF PINAMALAYAN OFFICE OF THE BIDS AND AWARDS COMMITTEE Invitation to Bid ITB-2020-31 1.  The Municipal Government of Pinamalayan, Oriental Mindoro, through the authorized appropriations</t>
  </si>
  <si>
    <t xml:space="preserve"> FARM Equipment  5 units Mechanized Tractor 2WD with 7HP; 5 units Shredder Machine with 7HP motor; 5 units Knap Sack sprayer battery operated; 5 units water pump 7HP with complete accessoreis and 1 roll hose ABC: P1,250,000.00 for clarification/inquiry PLE</t>
  </si>
  <si>
    <t xml:space="preserve"> Name of Project	         : Procurement of Multivitamins for distribution to households/families for COVID-19 Response Location		        : Milagros,Masbate Brief Description	: 	                                         Quantity	  Unit	  Description         </t>
  </si>
  <si>
    <t xml:space="preserve"> INVITATION TO BID 1.	The Province of Cebu through the 2020 General Fund, intends to apply the sum of FORTY-SIX MILLION ONE HUNDRED EIGHTY-EIGHT THOUSAND SIX HUNDRED PESOS AND 00/100 (Php46,188,600.00) being the Approved Budget for the Contract (ABC) to pa</t>
  </si>
  <si>
    <t xml:space="preserve"> Republic of the Philippines Province of Cagayan Municipality of Piat -o0o- OFFICE OF THE BIDS AND AWARDS COMMITTEE (BAC) INVITATION TO BID FOR THE PROCUREMENT OF ONE (1) UNIT BRAND NEW MINI DUMP TRUCK                                       The Local Govern</t>
  </si>
  <si>
    <t xml:space="preserve"> Metal Roofing and Ceiling ***Please see attached files for details.</t>
  </si>
  <si>
    <t xml:space="preserve"> INVITATION TO BID  FOR THE Furnishing of Labor and Materials for the Construction of Drainage Canal @Brgy. Magsaysay Norte, Cabanatuan City I.B. No. 2020 - 0038 							 1. The LGU-Cabanatuan City, through the General Fund FY 2020 intends to apply the sum </t>
  </si>
  <si>
    <t xml:space="preserve"> Concreting of Approach (Obo Spillway) at Brgy. Obo, San Miguel, Catanduanes Scope of Works: Roadbed Preparation, Aggregate Base Coarse, Portlanc Cement Concrete Pavement, Excavation of Gravity retaining Wall, Gravity Retaining Wall (Concrete Works "Class </t>
  </si>
  <si>
    <t xml:space="preserve"> Construction of Sitio Pantar Farmers Multi-Purpose Building</t>
  </si>
  <si>
    <t xml:space="preserve"> Republic of the Philippines Province of Nueva Vizcaya BIDS AND AWARDS COMMITTEE (BAC-Goods) BAC OFFICE, Provincial Capitol, Bayombong, Nueva Vizcaya 	 REQUEST FOR QUOTATION (RFQ) For the Procurement of 4 pcs Tires for  BM Cirilo Galindez  For the Sangguia</t>
  </si>
  <si>
    <t xml:space="preserve"> 830 pax Hot Meals (for Supplemental Feeding)</t>
  </si>
  <si>
    <t xml:space="preserve"> Republic of the Philippines Province of North Cotabato Municipality of Pres. Roxas OFFICE OF THE BARANGAY BIDS AND AWARDS COMMITTEE Barangay Mabuhay INVITATION TO BID The Barangay Local Government Unit of Mabuhay, President Roxas, thru Barangay Bids and A</t>
  </si>
  <si>
    <t xml:space="preserve"> Contract Name: REPAIR OF DRAINAGE SYSTEM ALONG CALBAYOG-CATARMAN (S00084SM) K0804+450, BRGY. OQUENDO, CALBAYOG CITY, SAMAR Contract Location: SAMAR  Brief Description: REHABILITATION/MAJOR REPAIR OF DRAINAGE STRUCTURE ALONG ROAD =16.00 LIN.M, CONSTRUCTION</t>
  </si>
  <si>
    <t xml:space="preserve"> REQUEST FOR EXPRESSION OF INTEREST    DESIGN AND DEVELOPMENT OF THE INTRAMUROS ADMINISTRATION INTEGRATED INFORMATION SYSTEM (RE-BID) Project No. 2020-02 1.	The INTRAMUROS ADMINISTRATION, through the General Appropriations Act of CY 2020 intends to apply t</t>
  </si>
  <si>
    <t xml:space="preserve"> ITEM 	ITEM &amp;  DESCRIPTION	QUANTITY NO.		 1	Item 200	10 cu.m. 2	Cement	64 bags 3	Fine Aggregates	6 cu.m. 4	Coarse Aggregates	10 cu.m. 5	12mmØ x. 6m Deformed Steel Bar	18 pcs. 6	10mmØ x 6m Deformed Steel Bar	70 pcs. 7	#16 Tie Wire	5 kgs. 8	Hacksaw Blade	4 p</t>
  </si>
  <si>
    <t xml:space="preserve"> Upgrading of Local Access Road from Brgy. Pagsangahan - San Marcos at Brgy. Pagsangahan &amp; Brgy. San Marcos, San Miguel, Catanduanes. Scope of Works: Portland cement Concrete Pavement (unreinforced), Aggregate Base Coarse, Subgrade Preparation (common mtrl</t>
  </si>
  <si>
    <t xml:space="preserve"> The DPWH-Ilocos Norte Second District Engineering Office, through its Bids and Awards Committee (BAC), invites contractors to submit bids for the Contract: Procurement ID/Contract ID: 20AB0121 Contract Name/Location: REPAIR/ REHABILITATION OF SLOPE PROTEC</t>
  </si>
  <si>
    <t xml:space="preserve"> Section I. Invitation to Bid Republic of the Philippines Philippine Rural Development Project Invitation to Bid for the  Construction of Dairy Microbiological Facility Identification No. PRDP-IB-RO02-ISA-048-000-000-2019-AF Loan No. 8816-PH July 22, 2020 </t>
  </si>
  <si>
    <t xml:space="preserve"> Republic of the Philippines DEPARTMENT OF PUBLIC WORKS AND HIGHWAYS PANGASINAN IV DISTRICT ENGINEERING OFFICE REGIONAL OFFICE I Tuliao, Sta. Barbara, Pangasinan Invitation to Bid for  Concreting of Brgy. Tuliao FMR, Brgy. Tuliao, Sta. Barbara, Pangasinan </t>
  </si>
  <si>
    <t xml:space="preserve"> Section I: Invitation to Bid Section II: Instructions to Bidders A. General 1. Scope of Bid 1.1. The Procuring Entity as defined in the BDS, invites bids for the construction of Works, as described in Section VI. Specifications. The name and identificatio</t>
  </si>
  <si>
    <t xml:space="preserve"> INVITATION TO BID  FOR THE Furnishing of Labor and Materials for the Finishing of NHA Housing @Brgy. Kalikid Sur, Cabanatuan City I.B. No. 2020 - 0039 							 1. The LGU-Cabanatuan City, through the General Fund FY 2020 intends to apply the sum of Three H</t>
  </si>
  <si>
    <t xml:space="preserve"> Republic of the Philippines Province of Davao de Oro BIDS AND AWARDS COMMITTEE Cabidianan, Nabunturan, Davao de Oro Invitation to Bid for the Improvement of Maragusan NHS Gymnasium, Maragusan 1.	The Provincial Government of Davao de Oro, through AB – SEF </t>
  </si>
  <si>
    <t xml:space="preserve"> ITEM 	ITEM &amp;  DESCRIPTION	QUANTITY NO.		 1	1/4"x2"x2" Angle Bar	26 pcs. 2	3/16 x 1 1/2" Angle Bar	17 pcs. 3	3/16"x1"x1" Angle Bar	10 pcs. 4	2"x3" Cee  Purlins (1.5)	24 pcs. 5	10mm.x6m. Plain Bar	4 pcs. 6	12mm. X 6m. Plain Bar	6 pcs. 7	12mm Turn Buckles	6 </t>
  </si>
  <si>
    <t xml:space="preserve"> Upgrading of Barangay Road Dayawa-Siay from Dayawa-Siay at Brgy. Dayawa &amp; Brgy. Siay, San Miguel, Catanduanes. Scope of Works: Roadway Excavation, Subgrade Preparation, Rubbles Concrete, Stone Masonry, Embankment Borrow, Aggregate Base Coarse, Portland Ce</t>
  </si>
  <si>
    <t xml:space="preserve"> Improvement of Senior Citizen Building specifically installation of concrete ramp with railings and roofing works, interior and exterior ceiling including painting works, replacement of doors and tile works. as per specifications.</t>
  </si>
  <si>
    <t xml:space="preserve"> Republic of the Philippines DEPARTMENT OF PUBLIC WORKS AND HIGHWAYS PANGASINAN IV DISTRICT ENGINEERING OFFICE REGIONAL OFFICE I Tuliao, Sta. Barbara, Pangasinan Invitation to Bid for  Concreting of Brgy. Ambonao FMR, Brgy. Ambonao, Calasiao, Pangasinan 1.</t>
  </si>
  <si>
    <t xml:space="preserve"> Item No.	Description				Quantity	Unit 1	Project Billboard				2.00	sets 2	Occupational Safety and Health 					 	Program				7.00	months 3	Removal of Structure and Obstruction				1.00	L.S 4	Structure Excavation ( Common Soil)				200.00	 cu.m.  5	Embankment f</t>
  </si>
  <si>
    <t xml:space="preserve"> Supply, Delivery and Configuration of Unified Threat Management Devices for all (CTU External Campuses with the following technical specifications: HARDWARE SPECIFICATIONS: Processor : Intel Core i3 Dual Core 6100 @ 3.7GHz Form Factor : 1U Memory : 12 GB </t>
  </si>
  <si>
    <t xml:space="preserve"> 23 heads Cow (2-3 yrs old) Female 200-330 kls. 20 heads Carabao (2-3 yrs old) Hybrid 200-250 kls. 110 heads Goat (19 male - 91 female) 5-6 months old</t>
  </si>
  <si>
    <t xml:space="preserve"> SUPPLY AND DELIVERY OF MOTOR VEHICLE (TWO (2) UNITS BRAND NEW PATROL MARKED VEHICLES)</t>
  </si>
  <si>
    <t xml:space="preserve"> INVITATION TO BID The National Irrigation Administration (NIA) JRMP II Region VI, through its Bids and Awards Committee (BAC),  invites suppliers/manufacturers/distributors/contractors to apply for Eligibility and to bid for the hereunder contract: Name o</t>
  </si>
  <si>
    <t xml:space="preserve"> Section I. Invitation to Bid FOR THE UPLB-S-046-08-20  SUPPLY AND DELIVERY OF BRANDED AND BRAND NEW VARIOUS MEDICAL LABORATORY SUPPLIES 1.	The UNIVERSITY OF THE PHILIPPINES LOS BAÑOS (UPLB), through the GOP intends to apply the sum of NINE HUNDRED THREE T</t>
  </si>
  <si>
    <t xml:space="preserve"> 1.	The [PCA-Region XIII], through the 2020 EPRCP: Rejuvenation thru Fertilization Coco Coir Based Organic Fertilizer  intends to apply the sum of PhP 2,520,000.00 being the Approved Budget for the Contract (ABC) to payments under the contract for 2020 EPR</t>
  </si>
  <si>
    <t xml:space="preserve"> Item I Removal of Existing Pavement Item II Excavation Item III Subgrade Preparation Item IV Portland Cement Concrete Pavement Item V Drainage Canal (RCPC &amp; Open Canal ) with Catch Basin  Item VI Steel Works</t>
  </si>
  <si>
    <t xml:space="preserve"> SUPPLY AND DELIVERY OF MOTOR VEHICLE FIVE (5) UNITS BRAND NEW BIG BIKE PATROL MOTORCYCLE</t>
  </si>
  <si>
    <t xml:space="preserve"> BIDS AND AWARDS COMMITTEE INVITATION TO BID The DEPARTMENT OF HEALTH – CENTRAL VISAYAS CENTER FOR HEALTH DEVELOPMENT (DOH – CV CHD), through its Bids and Awards Committee (BAC), invites suppliers to bid for the hereunder items: BAC NO. 2020-G06	NAME OF PR</t>
  </si>
  <si>
    <t xml:space="preserve"> 1.The Provincial Government of Bohol through the  BIDS AND AWARDS COMMITTEE   for CY 2020, intends to apply the sum of  NINE MILLION NINE HUNDRED NINETY SIX  THOUSAND THREE HUNDRED THIRTY  PESOS AND 72/100   (P9,996,335.72 ) being the Approved Budget for </t>
  </si>
  <si>
    <t xml:space="preserve"> The DPWH-North Manila District Engineering Office, through its Bids and Awards Committee (BAC) for Goods, invites Suppliers to submit bids for the following Contract: 2.	Contract I.D. No: 20GOE0032 Contract Name 	: Procurement of Office Supplies for use a</t>
  </si>
  <si>
    <t xml:space="preserve"> Vertical construction</t>
  </si>
  <si>
    <t xml:space="preserve"> see associated components for downloadable bidding documents</t>
  </si>
  <si>
    <t xml:space="preserve"> INVITATION TO BID The Philippine Children’s Medical Center, through GAA/HFEP (DOH) CY 2019/2020 intends to apply the sum of Eleven Million Seven Hundred Eight-Nine Thousand Forty Pesos (Php 11,789,040.00) being the Approved Budget for the Contract (ABC) t</t>
  </si>
  <si>
    <t xml:space="preserve"> The DPWH-North Manila District Engineering Office, through its Bids and Awards Committee (BAC) for Goods, invites Suppliers to submit bids for the following Contract: 1.	Contract I.D. No: 20GOE0031 Contract Name 	: Procurement of Measuring Equipments and </t>
  </si>
  <si>
    <t xml:space="preserve"> Item I Removal of Existing Shoulder Item II Drainage Canal (RCPC with Catch Basin Item III PCCP (Shouldering &amp; Gutter)</t>
  </si>
  <si>
    <t xml:space="preserve"> see associated components for downloadable Bidding Documents</t>
  </si>
  <si>
    <t xml:space="preserve"> Republic of the Philippines Province of Nueva Vizcaya BIDS AND AWARDS COMMITTEE (BAC-Goods) BAC OFFICE, Provincial Capitol, Bayombong, Nueva Vizcaya Tel. No. 078-392-2062 	 INVITATION TO BID FOR THE SUPPLY AND DELIVERY OF MULTI-PARAMETER WATER QUALITY FIE</t>
  </si>
  <si>
    <t xml:space="preserve"> Re-blocking and concrete topping works at municipal street damage pavement and scaling pavement.</t>
  </si>
  <si>
    <t xml:space="preserve"> Concreting of 320 meters length; 5 meters in width; 0.20 meters in thickness with one (1) line 910mm dia. RCPC class "A" concrete mixtures.</t>
  </si>
  <si>
    <t xml:space="preserve"> Republic of the Philippines Province of Davao de Oro BIDS AND AWARDS COMMITTE Cabidianan, Nabunturan, Davao de Oro ITB No. 20-027 July 21, 2020 INVITATION TO BID  FOR  THE Procurement of 1 lot Fabrication and installation of 250 units bed bunks 1.	The Pro</t>
  </si>
  <si>
    <t xml:space="preserve"> Supply, Delivery, Installation, Testing and Commissioning of 40 HP Pump and Motor complete with appurtenances, discharge and column pipes    1  lot</t>
  </si>
  <si>
    <t xml:space="preserve"> Republic of the Philippines Province of Oriental Mindoro MUNICIPALITY OF PINAMALAYAN OFFICE OF THE BIDS AND AWARDS COMMITTEE Invitation to Bid ITB-2020-28 1.  The Municipal Government of Pinamalayan, Oriental Mindoro, through the authorized appropriations</t>
  </si>
  <si>
    <t xml:space="preserve"> Project Billboard/Signboard, Occupational Safety and Health Program, Traffic Management, Mobilization/Demobilization, Removal of Actual Structures/Obstruction, 0.20m thick, PCCP (Reinforced), Structural Concrete (27.58 Mpa), Class A, 28 days, Reinforcing </t>
  </si>
  <si>
    <t xml:space="preserve"> 1.	The Bangko Sentral ng Pilipinas (BSP), through its Bids and Awards Committee – Information Technology, Infrastructure and Other Related Components (BAC-ITIO), invites interested contractors to bid for the project described below: Name of Requirement/ B</t>
  </si>
  <si>
    <t xml:space="preserve"> c. Contract ID No:	20P00010     Contract Name:	ORGANIZATIONAL OUTCOME 1: Ensure Safe and Reliable National Road System – Network Development Program – Construction of Missing Links/New Roads Baguio – La Trinidad – Itogon – Sablan – Tuba and Tublay, Labey </t>
  </si>
  <si>
    <t xml:space="preserve"> INVITATION TO BID  for  Supply and Delivery of One (1) unit Genset, 75 KVA, Open Type with Complete Accessories and Battery at GSO, Lingayen, Pangasinan (for use at Emergency Operation Center, PDRRMO Building, LDH Compound, Lingayen, Pangasinan) Solicitat</t>
  </si>
  <si>
    <t xml:space="preserve"> The NATIONAL FOOD AUTHORITY (NFA) Regional Office VI intends to apply the sum of Two Million Two Hundred Twenty Seven Thousand Two Hundred Forty pesos (Php2,227,240.00) inclusive of VAT and other levies from its  Corporate Operating Budget as the Approved</t>
  </si>
  <si>
    <t xml:space="preserve"> For details, please find attached documents on Associated Components. Click ORDER opposite the Associated Components to view attached documents. Download is free.   Please check for any Bid Supplements for this posting. If unable to retrieve attached docu</t>
  </si>
  <si>
    <t xml:space="preserve"> Item I Removal of Existing Pavement Item II Excavation Item III Subgrade Preparation Item IV Portland Cement Concrete Pavement Item V Drainage Canal (RCPC &amp; Open Canal) with Catch Basin Item VI Masonry Works Item VII Concrete Works (fence, col, footing &amp; </t>
  </si>
  <si>
    <t xml:space="preserve"> 1.	The LGU - CORELLA, BOHOL, through the budget approved by the sanggunian per Municipal Ordinance Nos. 2019-15 under 20% development fund, intends to apply the sum of PHP 1,895,818.51 being the Approved Budget for the Contract (ABC) to payments under the</t>
  </si>
  <si>
    <t xml:space="preserve"> INVITATION TO BID FOR SUPPLY AND DELIVERY OF TROMPA AND AMPLIFIER FOR CITY WIDE PUBLIC ADDRESS SYSTEM 1.	The Bids and Awards Committee of the Local Government Unit of Santiago City through the General Fund intends to apply the sum of One Million Seven Hun</t>
  </si>
  <si>
    <t xml:space="preserve"> 1.	The LGU - CORELLA, BOHOL, through the 2020 Local Government Support Fund – Assistance to Municipalities (LGSF-AM) and the budget approved by the Sanggunian per Municipal Ordinance No. 2019-15 under 20% development fund intends to apply the sum of PHP 8</t>
  </si>
  <si>
    <t xml:space="preserve"> The detailed bill of Materials is attached to the Bid Forms.</t>
  </si>
  <si>
    <t xml:space="preserve"> see associated componnets for downloadable Bidding Documents</t>
  </si>
  <si>
    <t xml:space="preserve"> Medical/Laboratory Supplies</t>
  </si>
  <si>
    <t xml:space="preserve"> Installation of new transmission lines with 15 sets stand pipes and replacement of 2 HP jetmatic electric pump with complete accessories.</t>
  </si>
  <si>
    <t xml:space="preserve"> Invitation to Bid SUPPLY AND DELIVERY OF TWO (2) UNITS BRAND NEW OFFICE VEHICLES UNDER PR NO. 13799 (Rebid) 1. The Metro Iloilo Water District through the Corporate Fund of 2020 intends to apply the sum of Two Million Five Hundred Thousand Pesos (P 2,500,</t>
  </si>
  <si>
    <t xml:space="preserve"> PR NO. 1093 - 20                       CITY GOVERNMENT OF TACURONG                                             Alunan Highway, Tacurong City Sultan Kudarat                                      BIDS AND AWARDS COMMITTEE                                     </t>
  </si>
  <si>
    <t xml:space="preserve"> Republic of the Philippines Province of Pangasinan MUNICIPALITY OF MANAOAG -o0o- INVITATION TO BID The LGU Manaoag, Pangasinan, through its Bids and Awards Committee (BAC), invites all interested Phil-GEPS registered suppliers/manufacturers/distributors/c</t>
  </si>
  <si>
    <t xml:space="preserve"> The Government of the Philippines (GoP) has received a loan from the International Fund for Agricultural Development (IFAD), toward the cost of Rural Agro-enterprise Partnership for Inclusive Development and Growth (RAPID Growth Project), and it intends t</t>
  </si>
  <si>
    <t xml:space="preserve"> INVITATION TO BID FOR SUPPLY AND DELIVERY OF EQUIPMENT FOR SLAUGHTERHOUSE 1.	The Bids and Awards Committee of the Local Government Unit of Santiago City through the Trust Fund intends to apply the sum of Eight Million Four Hundred Sixteen Thousand One Hun</t>
  </si>
  <si>
    <t xml:space="preserve"> PR NO. 1122 - 20                       CITY GOVERNMENT OF TACURONG                                             Alunan Highway, Tacurong City Sultan Kudarat                                      BIDS AND AWARDS COMMITTEE                                     </t>
  </si>
  <si>
    <t xml:space="preserve"> RFQ-GS-20200715-02 Interested Suppliers are invited to submit Price Quotation for the above listed item. The official LANDBANK Request for Quotation Form may be obtained from MS.LUBELLE LUMABAS (tel no. 8 4057233 TO 34; email address: landbank2290@gmail.c</t>
  </si>
  <si>
    <t xml:space="preserve"> INVITATION TO BID FOR SUPPLY AND DELIVERY OF ASPHALT FOR ROAD IMPROVEMENT/REHABILITATION 1.	The Bids and Awards Committee of the Local Government Unit of Santiago City through the General Fund intends to apply the sum of One Million Three Hundred Thirty T</t>
  </si>
  <si>
    <t xml:space="preserve"> INVITATION TO BID FOR SUPPLY AND DELIVERY OF OFFICE, JANITORIAL AND OTHER SUPPLIES FOR VARIOUS OFFICES 1.	The Bids and Awards Committee of the Local Government Unit of Santiago City through the General Fund intends to apply the sum of Fifteen Million Six </t>
  </si>
  <si>
    <t xml:space="preserve"> Republic of the Philippines Region XII Province of Cotabato Municipality of Makilala  OFFICE OF THE BIDS AND AWARD COMMITTEE INVITATION TO BID N0. 2020-022            The Municipality of Makilala, through the Municipal Engineering Office  intends to apply</t>
  </si>
  <si>
    <t xml:space="preserve"> Republic of the Philippines Province of Eastern Samar Municipality of San Julian INVITATION TO BID ESTABLISHMENT OF OFFICE FRONTLINE SERVICES FACILITIES &amp; FIXTURES (FOR OFFICES NEW NORMAL DUE TO COVID 19) The Local Government Unit of San Julian, through t</t>
  </si>
  <si>
    <t xml:space="preserve"> INVITATION TO BID FOR  2nd Invitation for Lot 3 of Supply and Delivery of Post-Harvest Related Machinery and Equipment 1.	The Department of Agriculture Regional Field Office No. 5, through the GAA for CY 2020-Corn Program intends to apply the sum of Nine </t>
  </si>
  <si>
    <t xml:space="preserve"> INVITATION TO BID FOR SUPPLY AND DELIVERY OF VARIOUS CONSTRUCTIONS MATERIALS AND SUPPLIES FOR REPAIR AND MAINTENANCE OF VARIOUS BUILDINGS 1.	The Bids and Awards Committee of the Local Government Unit of Santiago City through the General Fund intends to ap</t>
  </si>
  <si>
    <t xml:space="preserve"> Lot 1. thirteen (13) units of HAND TRACTOR          Specs:          1. Prime Mover:              a. Engine minimum-Diesel:6.44KW (10hp)              b. Continuous power: minimum 80% of rated power              c. Cooling system: air cooled          2. Tra</t>
  </si>
  <si>
    <t xml:space="preserve"> Republic of the Philippines PROVINCE OF BOHOL City of Tagbilaran INVITATION TO BID  1.The Provincial Government of Bohol through the  BIDS AND AWARDS COMMITTEE   for CY 2020, intends to apply the sum of  TWENTY NINE MILLION EIGHT  HUNDRED EIGHTY TWO    TH</t>
  </si>
  <si>
    <t xml:space="preserve"> Republic of the Philippines Region XII Province of Cotabato Municipality of Makilala  OFFICE OF THE BIDS AND AWARD COMMITTEE INVITATION TO BID N0. 2020-027            The Municipality of Makilala, through the Municipal Engineering Office  intends to apply</t>
  </si>
  <si>
    <t xml:space="preserve"> INVITATION TO BID The Department of Public Works and Highways - Pampanga 1st District Engineering Office, through its Bids and Awards Committee (BAC), invites contractors to submit bids for the following Contract: 1.	 Procurement ID/Contract ID	:	20CG0236</t>
  </si>
  <si>
    <t xml:space="preserve"> Republic of the Philippines PROVINCIAL GOVERNMENT OF EASTERN SAMAR Capitol Building, Borongan, Eastern Samar, 6800 Tel No. (055)-560-8312 E-mail Address: esamar.bac@gmail.com BIDS AND AWARDS COMMITTEE (BAC) INVITATION TO BID FOR  REHABILITATION/IMPROVEMEN</t>
  </si>
  <si>
    <t xml:space="preserve"> INVITATION TO BID The Iligan City Government Bids and Awards Committee (BAC), through 2020-Special Education Fund intends to apply the sum of P 1,125,000.00 being the Approved Budget for the Contract (ABC) to payments under the Contract for Supply and Del</t>
  </si>
  <si>
    <t xml:space="preserve"> The PhilGEPS registered suppliers are invited to bid for the following attached in PDF Form. Please download the attached file.</t>
  </si>
  <si>
    <t xml:space="preserve"> Other MOOE</t>
  </si>
  <si>
    <t xml:space="preserve"> INVITATION TO BID FOR SUPPLY AND DELIVERY OF TIRES WITH FLAP AND TUBE FOR REPLACEMENT OF TIRES OF VARIOUS CENRO VEHICLES 1.	The Bids and Awards Committee of the Local Government Unit of Santiago City through the General Fund intends to apply the sum of On</t>
  </si>
  <si>
    <t xml:space="preserve"> PGSO-2020-0183 PR2020-0506 INVITATION TO BID FOR THE PROCUREMENT OF RAFFIA WALLING AT GROUND AREA &amp; DOME AND FORMWORKS AND SCAFFOLDING FOR THE PROPOSED CEREMONIAL HALL ACOUSTIC PANELS AT NEW CAPITOL BUILDING, NEW CAPITOL SITE, COGON DISTRICT, TAGBILARAN C</t>
  </si>
  <si>
    <t xml:space="preserve"> Republic of the Philippines DEPARTMENT OF PUBLIC WORKS AND HIGHWAYS OFFICE OF THE DISTRICT ENGINEER Bukidnon 1st District Engineering Office Malaybalay City INVITATION TO BID The Department of Public Works and Highways, Bukidnon 1st District Engineering o</t>
  </si>
  <si>
    <t xml:space="preserve"> 1.	The LGU-Mallig, Isabela, through the Tobacco Excise Tax 2016 intends to apply the sum of One Million Seven Hundred Thirty-Two Thousand Nine Hundred Forty-One Pesos &amp; 75/100 Only (Php 1,732,941.75) being the Approved Budget for the Contract (ABC) to pay</t>
  </si>
  <si>
    <t xml:space="preserve"> SUPPLEMENTAL /BID BULLETIN ADDENDUM NO. 01 	This Addendum is issued to amend the schedule of Pre-Bid Coference and Opening of Bids for  Project Reference Number CB(B)-20-019(CEO) First Quarter  and  CB(B)-20-20(CEO) 3rd Quarter respectively for the Supply</t>
  </si>
  <si>
    <t xml:space="preserve"> 1.	The Local Government Unit (LGU) of Caluya, Antique through the Municipal Annual Budget 2020 intends to apply the sum of One Million Seven Hundred Fifty Thousand Pesos (Php1,750,000.00) only being the Approved Budget for the Contract (ABC) to payments u</t>
  </si>
  <si>
    <t xml:space="preserve"> TABLET		 *Display - Size: minimum - 8.0 inches, Type: LCD, Colour: minimum of 16.7 million colours, Resolution: minimum - 1280 x 800,     189 PPI, Screen to Body Ratio: 80% and above			 *Platform - Chipset: quad Core Minimum, Operating System - Android 9 </t>
  </si>
  <si>
    <t xml:space="preserve"> 1.	The Local Government Unit (LGU) of Caluya, Antique through the Municipal Annual Budget 2020 intends to apply the sum of Three Million One Hundred Eighty-Four Thousand Thirty Six Pesos and 80/100  (Php3,184,036.80) only being the Approved Budget for the</t>
  </si>
  <si>
    <t xml:space="preserve"> 1.	The Local Government Unit (LGU) of Caluya, Antique through the Municipal Annual Budget 2020 intends to apply the sum of Six Million Pesos (Php6,000,000.00) only being the Approved Budget for the Contract (ABC) to payments under the contract for Supply </t>
  </si>
  <si>
    <t xml:space="preserve"> 1.	The Local Government Unit (LGU) of Caluya, Antique through the Supplemental Budget No.1, s. 2019, intends to apply the sum of One Million Seven Hundred Fifty Thousand Pesos (Php1,750,000.00) only being the Approved Budget for the Contract (ABC) to paym</t>
  </si>
  <si>
    <t xml:space="preserve"> Republic of the Philippines Region XII Province of Cotabato BIDS AND AWARDS COMMITTEE Amas, Kidapawan City INVITATION TO BID FOR Supply &amp; Delivery of Hybrid Rice Seeds for production support to rice farmers in the Province of Cotabato. (PB-20-376) 1.	The </t>
  </si>
  <si>
    <t xml:space="preserve"> Republic of the Philippines Region XII Province of Cotabato BIDS AND AWARDS COMMITTEE Amas, Kidapawan City INVITATION TO BID FOR Supply &amp; Delivery of Shelter &amp; Modular Tents to be used in evacuation centers. (PB-20-374) 1.	The Provincial Government of Cot</t>
  </si>
  <si>
    <t xml:space="preserve"> Republic of the Philippines Region XII Province of Cotabato BIDS AND AWARDS COMMITTEE Amas, Kidapawan City INVITATION TO BID FOR Supply &amp; Delivery of Agricultural Supplies for distribution to farmers affected by earthquake. (PB-20-373) 1.	The Provincial G</t>
  </si>
  <si>
    <t xml:space="preserve"> .60 mo. occupational safety and health program 1 ls removal of structures and obstructions 25 cu.m. structure excavation 5.72 cu.m. embankment from borrow 23.53 cu.m. concrete class A 2518.99 kgs einforcing steel 1 ls formworks and falseworks 508.93 sq ft</t>
  </si>
  <si>
    <t xml:space="preserve"> 1.	The LGU-Mallig, Isabela, through the Tobacco Excise Tax 2016 intends to apply the sum of One Million Five Hundred Seven Thousand One Hundred Seventy-Five Pesos &amp; 58/100 Only (Php 1,507,175.58) being the Approved Budget for the Contract (ABC) to payment</t>
  </si>
  <si>
    <t xml:space="preserve"> .77 month occupational safety and health program 46.04 cu m structure excavation 52.07 cu m embankment from borrow 54.63 cu m concrete class A 6991.70 kgs reinforcing steel 1 ls formworks and falseworks 15.75 sq m doors and windows 63.99 lm pre-painted ri</t>
  </si>
  <si>
    <t xml:space="preserve"> Supply and Delivery of Three (3) Units Brand New Mini-Dump Truck for the  Department of Environment and Natural Resources-Manila Bay  Coordinating Office (DENR-MBCO) Bid Ref. No. DENR-CO-2020-001 REBID Approved Budget for the Contract:  =P 3,999,000.00 1.</t>
  </si>
  <si>
    <t xml:space="preserve"> Project:	GEOTECHNICAL SOIL INVESTIGATION FOR THE PROPOSED CY 2021 FLOOD CONTROL PROJECTS LOCATED AT ATOK, BUGUIAS, KIBUNGAN AND TUBLAY, BENGUET (9 FLOOD CONTROL PROJECTS WITH 27 BOREHOLES) Location	Atok, Buguias, Kibungan and Tublay, Benguet Objectives:	 </t>
  </si>
  <si>
    <t xml:space="preserve"> Project:	GEOTECHNICAL SOIL INVESTIGATION FOR THE PROPOSED CY 2021 FLOOD CONTROL PROJECTS LOCATED AT BUGUIAS AND MANKAYAN, BENGUET (16 FLOOD CONTROL PROJECTS WITH 68 BOREHOLES). Location	Buguias and Mankayan, Benguet Objectives:	 1.	To explore the sub-surf</t>
  </si>
  <si>
    <t xml:space="preserve"> Procurement of 3 units Digital Copy Printer Machine and 1 unit Digital Copy Printer with free Copier Machine</t>
  </si>
  <si>
    <t xml:space="preserve"> INVITATION TO BID (for the Procurement of Goods)           1.	The City Government of Puerto Princesa (CGPP), through its General Appropriations Ordinance No. 1-2019 (General Fund FY 2020),  intends to apply the sum, corresponds as the Approved Budget for </t>
  </si>
  <si>
    <t xml:space="preserve"> Republic of the Philippines Region XII Province of Cotabato BIDS AND AWARDS COMMITTEE Amas, Kidapawan City INVITATION TO BID FOR Supply &amp; Delivery of Medicines for different RHUs in the Province of Cotabato for treatment of COVID-19 patients. (PB-20-292) </t>
  </si>
  <si>
    <t xml:space="preserve"> Drug and Medicines</t>
  </si>
  <si>
    <t xml:space="preserve"> NOTICE OF SHORT LIST AND REQUEST FOR PROPOSALS (RFP) July 21, 2020 ELLA D. VICENTE Managing Principal SARELLE ENGINEERING CONSULTANCY Unit 605 Brescia Residences,  Lilac St. West Fairview, Quezon City Dear Ms. Vicente: Based on our evaluation of eligible </t>
  </si>
  <si>
    <t xml:space="preserve"> INVITATION TO BID (for the Procurement of Goods)           1.	The City Government of Puerto Princesa (CGPP), through its  General Appropriations Ordinance No. 1-2018 (General Fund FY 2019) intends to apply the sum, corresponds as the Approved Budget for t</t>
  </si>
  <si>
    <t xml:space="preserve"> 1.17 mo. occupational safety and health program 41 cu.m. structure excavation 53.12 cu.m. concrete class A 2220.67 kgs reinforcing steel 1 ls formworks and falseworks 627.42 l.m. pre-painted rib type roof 900 sq.m. painting works (metal surface) 871.03 sq</t>
  </si>
  <si>
    <t xml:space="preserve"> INVITATION TO BID (for the Procurement of Goods)           1.	The City Government of Puerto Princesa (CGPP), through its General Appropriations Ordinance No. 1-2019 (General Fund FY 2020), intends to apply the sum, corresponds as the Approved Budget for t</t>
  </si>
  <si>
    <t xml:space="preserve"> Project:	GEOTECHNICAL SOIL INVESTIGATION FOR THE PROPOSED CY 2021 FLOOD CONTROL PROJECTS LOCATED AT KAPANGAN, KIBUNGAN AND BAKUN, BENGUET (9 FLOOD CONTROL PROJECTS WITH 20 BOREHOLES) Location	Kapangan, Kibungan and Bakun, Benguet  Objectives:	 1.	To explo</t>
  </si>
  <si>
    <t xml:space="preserve"> National Power Corporation INVITATION TO BID PUBLIC BIDDING 2020-0200 1.	The NATIONAL POWER CORPORATION (NPC), through       its        approved       Corporate Budget of CY 2020 intends to apply   the   sum   of (Please see schedule below) being the Appr</t>
  </si>
  <si>
    <t xml:space="preserve"> Department of Agriculture		 BUREAU OF PLANT INDUSTRY 692 San Andres Street Malate, Manila, Philippines E-mail Address: bpibac@yahoo.com Tel. No.: (02) 8526-7859, (02) 8691-0736 | Website: bpi.da.gov.ph SOLICITATION NO.: ITB PR NO. 1563-20BAC  INVITATION T</t>
  </si>
  <si>
    <t xml:space="preserve"> Department of Agriculture		 BUREAU OF PLANT INDUSTRY 692 San Andres Street Malate, Manila, Philippines E-mail Address: bpibac@yahoo.com Tel. No.: (02) 8526-7859, (02) 8691-0736 | Website: bpi.da.gov.ph SOLICITATION NO.: ITB PR NO. 1564-20BAC  INVITATION T</t>
  </si>
  <si>
    <t xml:space="preserve"> QTY	UNIT	ITEM DESCRIPTION 		  52.00 	unit/s	Fabrication / Installation of Streetlights</t>
  </si>
  <si>
    <t xml:space="preserve"> Department of Agriculture		 BUREAU OF PLANT INDUSTRY 692 San Andres Street Malate, Manila, Philippines E-mail Address: bpibac@yahoo.com Tel. No.: (02) 8526-7859, (02) 8691-0736 | Website: bpi.da.gov.ph SOLICITATION NO.: ITB PR NO. 1279-20BAC  INVITATION T</t>
  </si>
  <si>
    <t xml:space="preserve"> Republic of the Philippines Province of Quezon Municipality of Pagbilao BIDS AND AWARDS COMMITTEE Invitation to Bid for LANDSCAPING 1.	The Municipal Government of Pagbilao, through the LSB- Annual Budget  CY- 2020 intends to apply the sum of Three Hundred</t>
  </si>
  <si>
    <t xml:space="preserve"> Department of Agriculture		 BUREAU OF PLANT INDUSTRY 692 San Andres Street Malate, Manila, Philippines E-mail Address: bpibac@yahoo.com Tel. No.: (02) 8526-7859, (02) 8691-0736 | Website: bpi.da.gov.ph SOLICITATION NO.: ITB PR NO. 3310-19BAC  INVITATION T</t>
  </si>
  <si>
    <t xml:space="preserve"> QTY	UNIT	ITEM DESCRIPTION 		  319.95 	cu.m.	Grouted Riprap</t>
  </si>
  <si>
    <t xml:space="preserve"> Republic of the Philippines Province of Quezon Municipality of Pagbilao BIDS AND AWARDS COMMITTEE Invitation to Bid for CONSTRUCTION OF WASH AREA 1.	The Municipal Government of Pagbilao, through the LSB- Annual Budget  CY- 2020 intends to apply the sum of</t>
  </si>
  <si>
    <t xml:space="preserve"> Republic of the Philippines Province of Quezon Municipality of Pagbilao BIDS AND AWARDS COMMITTEE Invitation to Bid for REHABILITATION OF OLD SANITARY LANDFILL 1.	The Municipal Government of Pagbilao, through the DOE- ER No. 1-94 Fund- CY 2020 intends to </t>
  </si>
  <si>
    <t xml:space="preserve"> Republic of the Philippines Province of Quezon Municipality of Pagbilao BIDS AND AWARDS COMMITTEE Invitation to Bid for REHABILITATION/IMPROVEMENT OF SANITARY &amp; PLUMBING WATER SYSTEM 1.	The Municipal Government of Pagbilao, through the LSB Annual Budget- </t>
  </si>
  <si>
    <t xml:space="preserve"> Republic of the Philippines Province of Bohol Municipality of Maribojoc BIDS AND AWARDS COMMITTEE INVITATION TO BID The Municipality of Maribojoc, Bohol invites Contractors registered with and classified by the Philippine Contractors Accreditation Board (</t>
  </si>
  <si>
    <t xml:space="preserve"> Republic of the Philippines Province of Quezon Municipality of Pagbilao BIDS AND AWARDS COMMITTEE Invitation to Bid for IMPROVEMENT OF DRAINAGE SYSTEM 1.	The Municipal Government of Pagbilao, through the LSB- Annual Budget  CY- 2020 intends to apply the s</t>
  </si>
  <si>
    <t xml:space="preserve"> CONSTRUCTION OF MULTI-PURPOSE BUILDING (COVERED COURT) Kapate, Kiamba, Sarangani Province (Contract No. INFRA 2020-38) July 21, 2020 1.	The Provincial Government of Sarangani, through AIP 2020/AB 2020 intends to apply the sum of Two Million Nine Hundred N</t>
  </si>
  <si>
    <t xml:space="preserve"> Approved Budget for the Contract(ABC): Php62,057,566.93 The University of the Philippines Baguio, through the General Appropriations Act and the Corporate Budget for the contract approved by the governing Boards, intends to apply the sum of Sixty-Two Mill</t>
  </si>
  <si>
    <t xml:space="preserve"> REPUBLIC OF THE PHILIPPINES BARANGAY TIGBAWAN TIGBAWAN, LAZI, SIQUIJOR INVITATION TO BID 1.	The Barangay TIGBAWAN, Lazi, Siquijor, through the authorized appropriations under the 20% Development Fund CY 2020, intends to apply the sum of One Hundred Twenty</t>
  </si>
  <si>
    <t xml:space="preserve"> PR NO. 1005 - 20                  Republic of the Philippines                 CITY GOVERNMENT OF TACURONG Alunan Highway, Tacurong City Sultan Kudarat BIDS AND AWARDS COMMITTEE                  Tel nos. (064) 562-0128/ Telefax no. (064) 477 - 0138        </t>
  </si>
  <si>
    <t xml:space="preserve"> CONSTRUCTION OF MULTI-PURPOSE BUILDING (COVERED COURT) Lago, Glan, Sarangani Province (Contract No. INFRA 2020-37) July 21, 2020 1.	The Provincial Government of Sarangani, through AIP 2020/AB 2020 intends to apply the sum of Two Million Nine Hundred Ninet</t>
  </si>
  <si>
    <t xml:space="preserve"> REPUBLIC OF THE PHILIPPINES BARANGAY TIGBAWAN TIGBAWAN, LAZI, SIQUIJOR INVITATION TO BID 1.	The Barangay TIGBAWAN, Lazi, Siquijor, through the authorized appropriations under the 20% Development Fund CY 2020, intends to apply the sum of Two Hundred Thirty</t>
  </si>
  <si>
    <t xml:space="preserve"> IMPROVEMENT OF SAPU PADIDU MULTI-PURPOSE BUILDING Malapatan, Sarangani Province (Contract No. INFRA 2020-36) July 21, 2020 1.	The Provincial Government of Sarangani, through AIP 2020/AB 2020 intends to apply the sum of Nine Hundred Ninety-Nine Thousand Ni</t>
  </si>
  <si>
    <t xml:space="preserve"> ENHANCEMENT AND REPAIR OF ECPC BUILDING  AND LABORATORY Alabel, Sarangani Province (Contract No. INFRA 2020-34) July 21, 2020 1.	The Provincial Government of Sarangani, through AIP 2020/AB 2020 intends to apply the sum of Seven Hundred Ninety-Eight Thousa</t>
  </si>
  <si>
    <t xml:space="preserve"> INVITATION TO BID: BID REFERENCE NO. 2020-69 “PROCUREMENT OF TWO (2) UNITS ICE BLOCK MAKING MACHINE FOR BOHOL PROVINCE UNDER SAAD 2020” The DA-Bureau of Fisheries and Aquatic Resources Region VII, through the General Appropriations Act (GAA) FY 2020 inten</t>
  </si>
  <si>
    <t xml:space="preserve"> INVITATION TO BID     20-092 Name of Project	:	Laboratory Supplies for LPH-Nagcarlan District Hospital for 3rd and 4th Quarter Location	:	Nagcarlan, Laguna  Brief Description	:	Various Laboratory Supplies Approved Budget For the Contract	:	1,118,800.00 De</t>
  </si>
  <si>
    <t xml:space="preserve"> MEDICAL WASTE TREATMENT FACILITY-PYROCLAVE (CONCRETING OF PYROCLAVE SITE ACCESS ROAD) Alabel, Sarangani Province (Contract No. INFRA 2020-33) July 21, 2020 1.	The Provincial Government of Sarangani, through AIP 2020/AB 2020 intends to apply the sum of Two</t>
  </si>
  <si>
    <t xml:space="preserve"> INVITATION TO BID July 20, 2020 1.	The Provincial Government of Davao Occidental, through its Bids and Awards Committee (BAC), invites all suppliers to apply to bid for the following goods: Bids received in excess of the ABC shall be automatically rejecte</t>
  </si>
  <si>
    <t xml:space="preserve"> CONSTRUCTION OF UPO MULTI-PURPOSE BUILDING Upo, Maitum, Sarangani Province (Contract No. INFRA 2020-39) July 21, 2020 1.	The Provincial Government of Sarangani, through AIP 2020/AB 2020 intends to apply the sum of Two Million Nine Hundred Ninety-Nine Thou</t>
  </si>
  <si>
    <t xml:space="preserve"> COMPLETION OF PARAISO MULTI-PURPOSE BUILDING Paraiso, Alabel, Sarangani Province (Contract No. INFRA 2020-35) July 21, 2020 1.	The Provincial Government of Sarangani, through AIP 2020/AB 2020 intends to apply the sum of Six Hundred Ninety-Nine Thousand Ni</t>
  </si>
  <si>
    <t xml:space="preserve"> Invitation to Bid for  Construction of Covered Court, Don Quintin Balcita MHS, San Fernando City, La Union 1.	The Provincial Government of La Union, through the SEF intends to apply the sum of ₱5,000,000.00 being the Approved Budget for the Contract (ABC)</t>
  </si>
  <si>
    <t xml:space="preserve"> PR NO. 1017 - 20                  Republic of the Philippines                 CITY GOVERNMENT OF TACURONG Alunan Highway, Tacurong City Sultan Kudarat BIDS AND AWARDS COMMITTEE                  Tel nos. (064) 562-0128/ Telefax no. (064) 477 - 0138        </t>
  </si>
  <si>
    <t xml:space="preserve"> Invitation to Bid for  Construction of Covered Court, Caba Central School, Caba, La Union 1.	The Provincial Government of La Union, through the SEF intends to apply the sum of ₱5,000,000.00 being the Approved Budget for the Contract (ABC) to payments unde</t>
  </si>
  <si>
    <t xml:space="preserve"> Invitation to Bid for  Rehabilitation of Biday-Carlatan Hanging Bridge, San Fernando City, La Union 1.	The Provincial Government of La Union, through the RA7171 intends to apply the sum of ₱1,950,000.00 being the Approved Budget for the Contract (ABC) to </t>
  </si>
  <si>
    <t xml:space="preserve"> Invitation to Bid for  Improvement of Tanquigan-Birunget Farm to Market Road, San Fernando City, La Union 1.	The Provincial Government of La Union, through the RA7171 intends to apply the sum of ₱2,925,006.22 being the Approved Budget for the Contract (AB</t>
  </si>
  <si>
    <t xml:space="preserve"> Republic of the Philippines Province of Quezon Municipality of Pagbilao COMMITTEE ON BIDS AND AWARDS INVITATION TO BID FOR SUPPLY AND DELIVERY OF  ANIMAL CONTROL VEHICLE 1.	The Local Government Unit of Pagbilao, through the Approved Budget by the Sangguni</t>
  </si>
  <si>
    <t xml:space="preserve"> INVITATION TO BID  	 The Department of Public Works and Highways-National Capital Region (DPWH-NCR), through  its Bids and Awards Committee (BAC), invites contractors to submit bids for the hereunder Contracts: 	  	        Contract ID	20O00032	20O00051 Co</t>
  </si>
  <si>
    <t xml:space="preserve"> INVITATION TO BID FOR THE 1 LOT SUPPLY, DELIVERY, INSTALLATION AND COMMISSIONING OF BRAND-NEW GENERATOR 1.	The Cagayan de Oro City Water District, through the COWD Approved Budget for 2020 intends to apply the sum of Six Million Pesos only (P6,000,000.00)</t>
  </si>
  <si>
    <t xml:space="preserve"> CONCRETING OF NHW JCT. KAMANGA-LAMLANGIL PROVINCIAL ROAD Maasim, Sarangani Province (Contract No. INFRA 2020-40) July 21, 2020 1.	The Provincial Government of Sarangani, through AIP 2020/AB 2020 intends to apply the sum of Five Million Pesos (₱5,000,000.0</t>
  </si>
  <si>
    <t xml:space="preserve"> Please see attached Terms of Reference .</t>
  </si>
  <si>
    <t xml:space="preserve"> Invitation to Bid for  Construction of Covered Court, Naguilian National High School, Naguilian, La Union 1.	The Provincial Government of La Union, through the SEF intends to apply the sum of ₱5,000,000.00 being the Approved Budget for the Contract (ABC) </t>
  </si>
  <si>
    <t xml:space="preserve"> Invitation to Bid for Construction of Power House in Batangas State University, Balayan 1.	The Batangas State University, through the Supplemental Budget FY 2020 intends to apply the sum of One Million Two Hundred Twenty Six Thousand Three Hundred Pesos o</t>
  </si>
  <si>
    <t xml:space="preserve"> 1.  Purpose      The purpose of procurement of Lease of One Hundred Forty-One (141) units of Laptop Computers will provide IPOPHL employees with computing equipment that can securely connect to the IPOPHL network infrastructure whether they work within th</t>
  </si>
  <si>
    <t xml:space="preserve"> 50	bot.	ACICLOVIR 200mg/5 mL susp., 60mL Susp.	 200.00  50	bot.	ALCOHOL, ETHYL 70% SOLUTION	 80.00  40	box	ALUMINUM MAGNESIUM 200MG TABLET	 150.00  30	bot.	ALUMINUM MAGNESIUM 200MG/5mL Susp, 60mL	 33.00  20	box	AMLODIPINE 5mg or 10mg tablet	 80.00  48	box</t>
  </si>
  <si>
    <t xml:space="preserve"> City Government of Manila INVITATION TO BID NO. 2020-07-111 Procurement of Various Office Supplies 1.	The City Government of Manila, through the General Fund CY 2020 – Office Supplies Expenses intends to apply the sum of One Million Three Hundred One Thou</t>
  </si>
  <si>
    <t xml:space="preserve"> Invitation to Bid for the Supply and Delivery of One (1) Unit Vertical Take-Off  and Landing (VTOL) Drone NIAR6-PRBIDP-DRONE-GS04-20 1.	The National Irrigation Administration Regional Office VI, Iloilo City, through the General Appropriation Act (GAA) CY </t>
  </si>
  <si>
    <t xml:space="preserve"> 30 month occupational safety and health program 1 lot clearing and grubbing 1 lot removal of structures and obstructions 32 cu.m. structure excavation 26.28 cu m concrete class A 2715.62 kgs reinforcing steel 1 ls formworks and falseworks 135 sq.m. pre-pa</t>
  </si>
  <si>
    <t xml:space="preserve"> 10	box	Allopurinol 300 mg Tablet (100 tab/box) 50	bot	Amoxicillin 100mg/ml 50	bot	Amoxicillin 125mg/5ml 50	bot	Amoxicillin 250mg/5ml 75	bx	Amoxicillin 500mg/cap 50	bx	Amoxicillin 250mg cap 5	bx	Aspirin 80 mg/tab 100/box 50	bx	Azithromycin 500 mg/tab 3tab/</t>
  </si>
  <si>
    <t xml:space="preserve"> Republic of the Philippines Region XII Province of Cotabato BIDS AND AWARDS COMMITTEE Amas, Kidapawan City INVITATION TO BID FOR Procurement of Catering Services for various activities of Barangay peacekeeping/tanods of this province. (PB-20-375) 1.	The P</t>
  </si>
  <si>
    <t xml:space="preserve"> INVITATION TO BID     20-094 Name of Project	:	I.V. Fluids for LPH-Dr. J. P. Rizal Memorial District Hospital for 3rd and 4th Quarter Location	:	Calamba City  Brief Description	:	Various I.V. Fluids Approved Budget For the Contract	:	1,180,880.00 Delivery</t>
  </si>
  <si>
    <t xml:space="preserve"> Republic of the Philippines Province of Quezon Municipality of Pagbilao COMMITTEE ON BIDS AND AWARDS INVITATION TO BID FOR PRINTING OF REPORTS 1.	The Local Government Unit of Pagbilao, through the Approved Budget by the Sanggunian – GOP, General Fund, Ann</t>
  </si>
  <si>
    <t xml:space="preserve"> 1.	The Provincial Government of Antique, through the SEF (Special Education Fund) intends to apply the sum of Five Million Pesos (Php 5, 000, 000.00) being the Approved Budget for the Contract (ABC) to payments under the contract for Radio AM/FM Battery a</t>
  </si>
  <si>
    <t xml:space="preserve"> Invitation to Bid for  Construction of Flood Control Structure at Sitio Centro &amp; Sitio Hill-Top, Barangay San Juan West, Aringay, La Union 1.	The Provincial Government of La Union, through the RA7171 intends to apply the sum of ₱1,950,000.00 being the App</t>
  </si>
  <si>
    <t xml:space="preserve"> Kindly refer to the uploaded RFQ &amp; TOR in the Associated Components, or proceed to https://philguarantee.gov.ph/procurements/requests-and-invitations/2020-2/ For inquiries, please contact Atty. Ronces Anne Reyes-De Leon at 8-897-3531/ 8-890-4534 or rardel</t>
  </si>
  <si>
    <t xml:space="preserve"> Hematology Analyzer Reagents 1	gallon	Diluent (20L) 3	bot	Lyse (500ml) 1	gallon	Cleanser (20L) 2	bott	Concentrated Cleanser (1L) 		Clinical  Chemistry Reagents 1	set	Glucose (500ml) 1	set	Cholesterol (500ml) 1	set	Uric Acid (120 ml) 1	set	Creatinine (500m</t>
  </si>
  <si>
    <t xml:space="preserve"> Republic of the Philippines Province of Quezon Municipality of Pagbilao COMMITTEE ON BIDS AND AWARDS INVITATION TO BID FOR SUPPLY AND DELIVERY OF  VARIOUS EQUIPMENT 1.	The Local Government Unit of Pagbilao, through the Approved Budget by the Sanggunian – </t>
  </si>
  <si>
    <t xml:space="preserve"> 15	roll	ECG Paper roll 15	pcs	Torniquet 5	pcs	Bandage Scissors 5 1/2 4	pcs	Stainless steel tray with cover (small) 12	pcs	Bio-hazard bag 20	pcs	Medicine tray plastic 10	pcs	Kidney Basin ( Stainless) size 6 200	pcs	IV cannula g20 200	pcs	IV cannula g22 200</t>
  </si>
  <si>
    <t xml:space="preserve"> FURNISHING OF LABOR (PAKYAW SYSTEM) SCOPE OF WORKS: Concrete Works - Qty. 52.185 cu.m. Plumbing Works (Downspout) - Qty. 27 units Drainage: A) Concrete and Masonry Works - 88 li.m.                B) Steel Works (Steel Grating) Painting Works - Qty. 2,350 </t>
  </si>
  <si>
    <t xml:space="preserve"> Republic of the Philippines Province of Quezon Municipality of Pagbilao COMMITTEE ON BIDS AND AWARDS INVITATION TO BID FOR SUPPLY AND DELIVERY OF  OTHER PROPERTY, PLANT &amp; EQUIPMENT 1.	The Local Government Unit of Pagbilao, through the Approved Budget by t</t>
  </si>
  <si>
    <t xml:space="preserve"> - The Municipality of Baliguian, request for quotation for the Procurement of 1 Unit Vehicle (Pick Up). - The Estimated Budget Cost is Two Million pesos (Php2,000,000.0). - Interested suppliers/bidders may obtain further information from the Bids and Awar</t>
  </si>
  <si>
    <t xml:space="preserve"> 1 unit Multistage Centrifugal Vertical Pump Rating: 50HP Capacity: 300gpm TDH: 400ft Nominal Voltage: 460V Pump Speed: 3600rpm No. of Phase: 3 Shaft Seal Arrangement: Single Stages: 3 Impeller: 3 Frequency: 60hz Efficiency at full load: not lower than 90%</t>
  </si>
  <si>
    <t xml:space="preserve"> INVITATION TO BID FOR PROCUREMENT AND DELIVERY OF MEDICAL &amp; LABORATORY SUPPLIES FOR CY 2020 1.	The DOH-CHD I through the GOP CY 2020 intends to apply the sums being the Approved Budget for the Contract (ABC) to payments under the contract for the followin</t>
  </si>
  <si>
    <t xml:space="preserve"> INVITATION TO BID     20-093 Name of Project	:	Laboratory Supplies for LPH-Luisiana District Hospital for 3rd and 4th Quarter Location	:	Luisiana, Laguna  Brief Description	:	Various Laboratory Supplies Approved Budget For the Contract	:	1,680,302.00 Deli</t>
  </si>
  <si>
    <t xml:space="preserve"> Republic of the Philippines PROVINCE OF NORTHERN SAMAR BIDS AND AWARDS COMMITTEE Catarman Purchase of Various Materials for Donation to Barangays (Province-wide) Province of Northern Samar NS-07-21-20-02 1.	The Provincial Government of Northern Samar, thr</t>
  </si>
  <si>
    <t xml:space="preserve"> Brand New Rescue Vehicle       1     unit With the following specifications: Overall (Lx Wx H) 5,265 x 1,950 x 1,990 Wheelbase: 3,210 mm Engine Type: 2.8 L Diesel 4-Cylinder in-line 16V Double Overhead Camshaft (DOHC) Turbo Charge) Engine Displacement: 2,</t>
  </si>
  <si>
    <t xml:space="preserve"> 1.	The Municipality of Baliguian, now invites bids for the Construction of Multi-purpose Building at Barangay Tamao, Baliguian, Zamboanga del Norte.  2.	Bidding will be conducted in accordance with relevant procedures for open competitive bidding as speci</t>
  </si>
  <si>
    <t xml:space="preserve"> 1 LOT 3 sets Vertical Centrifugal Pump and Motor Motor Requirement: Type: Induction HP Rating: 100HP Nominal Voltage: 460V Supply Frequency: 60Hz Nominal Speed: 3600 RPM Number of Phase: 3 Insulation Class: F Efficiency at full load: 95% Enclose Class: TE</t>
  </si>
  <si>
    <t xml:space="preserve"> The CAGAYAN STATE UNIVERSITY (Andrews Campus), through the Trust Fund for the contract approved by the governing Board intends to apply the sum Seven Million Seven Hundred Twenty Thousand Seven Hundred Pesos and 00/100 (7,720,700.00) being the Approved Bu</t>
  </si>
  <si>
    <t xml:space="preserve"> Installation of Doors and Windows w/ Grills Painting Works</t>
  </si>
  <si>
    <t xml:space="preserve"> Concreting of Brgy. Road W-2.00 meters x L-424 meters</t>
  </si>
  <si>
    <t xml:space="preserve"> Section I. Invitation to Bid   Pamantasan ng Lungsod ng Maynila (University of the City of Manila) Intramuros, Manila Invitation to Bid for  Supply and Delivery of Various Technical and Scientific Equipment CY 2019 – Re-Bidding 1.	The Pamantasan ng Lungso</t>
  </si>
  <si>
    <t xml:space="preserve"> Republic of the Philippines PROVINCE OF CAGAYAN MUNICIPALITY OF CLAVERIA INVITATION TO BID  									July 16, 2020 	The Local Government Unit of Claveria, Cagayan from the General Fund Budget of the Municipality of Claveria, Cagayan, would like to apply t</t>
  </si>
  <si>
    <t xml:space="preserve"> 320 pcs. School Bag (5-12 Y.O) 325 PADS Pad Paper (grade 1 &amp; ) 300 PADS Pad paper (grade 3 to K-12 intermediate) 300 Note book (50 leaves) 300 boxes Crayons (Tertiary colors) 2 boxes Pencils (100 pcs/box) 2 boxes Sharpener (100 pcs/box)</t>
  </si>
  <si>
    <t xml:space="preserve"> 1.	The Provincial Government of Antique, through the SEF (Special Education Fund) intends to apply the sum of Two Million Four Hundred Eighty Thousand Pesos (Php 2, 480, 000.00) being the Approved Budget for the Contract (ABC) to payments under the contra</t>
  </si>
  <si>
    <t xml:space="preserve"> Republic of the Philippines PROVINCE OF NORTHERN SAMAR BIDS AND AWARDS COMMITTEE Catarman Purchase of Various Medical Equipment G. B. Tan Memorial Hospital Laoang, Northern Samar NS-07-21-20-01 1.	The Provincial Government of Northern Samar, through the S</t>
  </si>
  <si>
    <t xml:space="preserve"> Republic of the Philippines Province of Quezon Municipality of Pagbilao COMMITTEE ON BIDS AND AWARDS INVITATION TO BID FOR SUPPLY AND DELIVERY OF  PALAY SEEDS &amp; FERTILIZERS 1.	The Local Government Unit of Pagbilao, through the Approved Budget by the Sangg</t>
  </si>
  <si>
    <t xml:space="preserve"> INVITATION TO BID IB No. 23,   S. 2020 The Municipality of General Nakar, Quezon through the Approved Appropriation Ordinance No. 2019-29  appropriating funds for the Annual Budget CY 2020 intends to apply the sum of  Two Million and Five Hundred  Pesos (</t>
  </si>
  <si>
    <t xml:space="preserve"> INVITATION TO BID      20-091 Name of Project	:	Medicines (Dangerous Drugs) for LPH-Dr. J. P. Rizal Memorial District Hospital for 3rd and 4th Quarter Location	:	Calamba City  Brief Description	:	Various Medicines Approved Budget For the Contract	:	1,378,</t>
  </si>
  <si>
    <t xml:space="preserve"> INVITATION TO BID     20-090 Name of Project	:	Medicines for Human Induced and Natural Disaster Operations of Provincial Disaster Risk Reduction Management Office (PDRRMO) Location	:	Sta. Cruz, Laguna Brief Description	:	Various Medicines Approved Budget </t>
  </si>
  <si>
    <t xml:space="preserve"> 1.	The PHILIPPINE COCONUT AUTHORITY – REGION VI, through the 2020 KEDP-CHLCP intends to apply the sum of SIX HUNDRED THOUSAND PESOS (PhP 600,000.00) being the Approved Budget for the Contract (ABC) to payments under the contract for the SUPPLY, HANDLING &amp;</t>
  </si>
  <si>
    <t xml:space="preserve"> Diesel Fuel etc.  NOTE:To all suppliers bid documents and BAC Resolution 2020-029 are available at BAC Office and LGU website.</t>
  </si>
  <si>
    <t xml:space="preserve"> Republic of the Philippines                                                 Bangsamoro Autonomous Region in Muslim Mindanao                                                                     Province of Sulu                                               </t>
  </si>
  <si>
    <t xml:space="preserve"> INVITATION TO BID     20-087 Name of Project	:	Brand New Passenger Van for Governor’s Office – Executive for the Transport of Visitors and Personnel in the Implementation of Programs and Projects in the Province of Laguna  Location	:	Sta. Cruz, Laguna   B</t>
  </si>
  <si>
    <t xml:space="preserve"> INVITATION TO BID     20-086 Name of Project	:	Oxygen for Laguna Medical Center, LPH-San Pablo City District Hospital, LPH-Dr. J.P. Rizal Memorial District Hospital, LPH-Nagcarlan District Hospital, LPH-Majayjay District Hospital for 3rd and 4th Quarter L</t>
  </si>
  <si>
    <t xml:space="preserve"> INVITATION TO BID     20-088 Name of Project	:	Brand New Pick-Up for Governor’s Office – Executive for the Transport of Visitors and Personnel in the Implementation of Programs and Projects in the Province of Laguna Location	:	Sta. Cruz, Laguna   Brief De</t>
  </si>
  <si>
    <t xml:space="preserve"> Republic of the Philippines Province of Quezon Municipality of Pagbilao BIDS AND AWARDS COMMITTEE Invitation to Bid for IMPROVEMENT OF COVERED COURT 1.	The Municipal Government of Pagbilao, through the LSB Annual Budget- CY 2020 intends to apply the sum o</t>
  </si>
  <si>
    <t xml:space="preserve"> Republic of the Philippines Province of Quezon Municipality of Pagbilao BIDS AND AWARDS COMMITTEE Invitation to Bid for CONSTRUCTION OF PERIMETER FENCE 1.	The Municipal Government of Pagbilao, through the LSB Annual Budget- CY 2020 intends to apply the su</t>
  </si>
  <si>
    <t xml:space="preserve"> Republic of the Philippines Province of Quezon Municipality of Pagbilao BIDS AND AWARDS COMMITTEE Invitation to Bid for CONSTRUCTION OF GOVERNMENT BUILDINGS/STRUCTURES/FACILITIES (CONSTRUCTION OF FOUR (4) STOREY MUNICIPAL BUILDING WITH BASEMENT- PHASE 1) </t>
  </si>
  <si>
    <t xml:space="preserve"> 1. The [Local Government Unit of Inopacan, Leyte], through the [Capital Outlay of the Municipal Engineering Office in the 2020 General Fund Supplemental Budget No. 1 as per Appropriation Ordinance No. 20-02 by the 14th Sangguniang Bayan of Inopacan, Leyte</t>
  </si>
  <si>
    <t xml:space="preserve"> INVITATION TO BID      20-089 Name of Project	:	Brand New AUV for Governor’s Office  Location	:	Sta. Cruz, Laguna   Brief Description	:	2.8 Liter Diesel, 4-Cylinder, In-Line16-Valve; Notice of Award to be Issued Approved Budget For the Contract	:	1,311,20</t>
  </si>
  <si>
    <t xml:space="preserve"> 1,500 sachet Etofenprox 20WP 50G</t>
  </si>
  <si>
    <t xml:space="preserve"> Invitation for Negotiated Procurement (53.1) Two Failed Biddings Orthopaedic Implants CY 2020 1.	In view of two (2) failed biddings, the Jose R. Reyes Memorial Medical Center, through its Hospital Bids and Awards Committee (HBAC) invites interested bidder</t>
  </si>
  <si>
    <t xml:space="preserve"> .17 mon. occupational safety and health program 1 ls removal of structures and obstructions 85.80 l.m. pre-painted rib type roof 118.55 sq.m. painting works (metal surface) 24 sq.m. masonry works 1444.50 kgs structural steel (roof  framing) 72 sq.m. eilin</t>
  </si>
  <si>
    <t xml:space="preserve"> Republic of the Philippines Province of Quezon Municipality of Pagbilao BIDS AND AWARDS COMMITTEE Invitation to Bid for CONSTRUCTION OF COVERED PATHWAY 1.	The Municipal Government of Pagbilao, through the LSB Annual Budget- CY 2020 intends to apply the su</t>
  </si>
  <si>
    <t xml:space="preserve"> CONCRETING OF PAIT FARM TO MARKET ROAD Alabel, Sarangani Province (Contract No. INFRA 2020-41) July 21, 2020 1.	The Provincial Government of Sarangani, through AIP 2019/AB 2019 intends to apply the sum of Nine Million Nine Hundred Ninety-Nine Thousand Nin</t>
  </si>
  <si>
    <t xml:space="preserve"> Project:	GEOTECHNICAL SOIL INVESTIGATION FOR THE PROPOSED REHABILITATION/RECONSTRUCTION OF NATIONAL ROADS WITH SLIPS, SLOPE COLLAPSE, AND LANDSLIDE ALONG GOV. BADO DANGWA NATIONAL ROAD Location	Tublay, Kapangan, Kibungan and Bakun, Benguet Objectives:	 1.</t>
  </si>
  <si>
    <t xml:space="preserve"> Department of Agriculture		 BUREAU OF PLANT INDUSTRY 692 San Andres Street Malate, Manila, Philippines E-mail Address: bpibac@yahoo.com Tel. No.: (02) 8526-7859, (02) 8691-0736 | Website: bpi.da.gov.ph SOLICITATION NO.: ITB PR NO. 1181-20BAC  INVITATION T</t>
  </si>
  <si>
    <t xml:space="preserve"> Republic of the Philippines MINDANAO STATE UNIVERSITY General Santos City INVITATION TO BID FOR THE PURCHASE AND PRODUCTION OF THE 2019 “DARANGEN” ( YEARBOOK) 1.	The Mindanao State University – General Santos City (MSU-GSC), through its Special Trust Fund</t>
  </si>
  <si>
    <t xml:space="preserve"> INVITATION TO BID The Iligan City Government Bids and Awards Committee (BAC), through 2020-Special Education Fund intends to apply the sum of                                    P 2,034,000.00 being the Approved Budget for the Contract (ABC) to payments un</t>
  </si>
  <si>
    <t xml:space="preserve"> Project:	GEOTECHNICAL SOIL INVESTIGATION FOR THE PROPOSED REHABILITATION/RECONSTRUCTION OF NATIONAL ROADS WITH SLIPS, SLOPE COLLAPSE, AND LANDSLIDE ALONG KIANGAN-TINOC-BUGUIAS ROAD AND CONG. ANDRES ACOP COSALAN ROAD Location	Buguias, Benguet Objectives:	 </t>
  </si>
  <si>
    <t xml:space="preserve"> LGU Patnanungan, Quezon						Ref.		See other bid docs                                                                                            	 Name of Project	As shown                                                                                    </t>
  </si>
  <si>
    <t xml:space="preserve"> INVITATION TO BID The Iligan City Government Bids and Awards Committee (BAC), through 2020-Special Education Fund intends to apply the sum of                                    P 1,513,400.00 being the Approved Budget for the Contract (ABC) to payments un</t>
  </si>
  <si>
    <t xml:space="preserve"> INVITATION TO BID The Iligan City Government Bids and Awards Committee (BAC), through 2020-Special Education Fund intends to apply the sum of                                    P 1,125,000.00 being the Approved Budget for the Contract (ABC) to payments un</t>
  </si>
  <si>
    <t xml:space="preserve"> Scope of Work I. ONE UNIT GREENHOUSE WITH AEROPONICS SYSTEM				 1.1. 1 unit	Greenhouse - 8Mx32Mx5M 1.2. 16 cu.m Concrete Works		  1.3. 1 set 	Aeroponics System	 1.4. 3 boxes Aeroponic Box		  1.5. 1 lumpsum	Reinforcing Steel		  1.6. 20 sq.m. Masonry Work		</t>
  </si>
  <si>
    <t xml:space="preserve"> PROCUREMENT OF NETWORK SECURITY APPLIANCE MAINTENANCE SERVICE FOR THE DEPARTMENT OF ENVIRONMENT AND NATURAL RESOURCES  (DENR) FIELD OFFICES Bid Ref. No. DENR-CO-2020-006 Approved Budget for the Contract:  =P 7,100,000.00 1.	The   Department of Environment</t>
  </si>
  <si>
    <t xml:space="preserve"> SCOPE OF WORKS: Subgrade Preparation - Qty. 1,920 sq.m. Aggregate Base Course - Qty. 576 cu.m. Portland Cement Concrete Pavement (PCCP 0.23m thick) - Qty. 1,280 sq.m. Mobilization/Demobilization - Qty. 1 lot Project Billboard - Qty. 2 units</t>
  </si>
  <si>
    <t xml:space="preserve"> ITB No. 2020-82 August 11, 2020 Republic of the Philippines Province of Davao Oriental CITY OF MATI INVITATION TO BID LAND DEVELOPMENT - NEW PUNTAVILLE Name of Project 1.	The City Government of Mati, through the 20% Local Development Fund intends to apply</t>
  </si>
  <si>
    <t xml:space="preserve"> Republic of the Philippines Province of Sarangani Municipality of Maasim Maasim, Sarangani Province Invitation to Bid for Concreting of Upper Bales-Kabcal Road, Project ID NO. MAA-SAR-INF-005-2020 at Barangay Colon, Maasim, Sarangani Province 	 The Munici</t>
  </si>
  <si>
    <t xml:space="preserve"> various construction and materials</t>
  </si>
  <si>
    <t xml:space="preserve"> Republic of the Philippines Province of Sarangani Municipality of Maasim Maasim, Sarangani Province Invitation to Bid for Concreting of San Felipe-Gaas St., Project ID NO. MAA-SAR-INF-004-2020 at Barangay Colon, Maasim, Sarangani Province 	 The Municipal </t>
  </si>
  <si>
    <t xml:space="preserve"> July 17, 2020  Request for Expression of Interest for  Managed Services for the Operations of Tax Administration  Core Systems and Other BIR Systems Public Bidding No. 2020-05 (Consulting Services)  1.	The Bureau of Internal Revenue National Office (BIR-N</t>
  </si>
  <si>
    <t xml:space="preserve"> 1. The [Local Government Unit of Inopacan, Leyte], through the [FY 2019 Local Government Support Fund – Other Financial Assistance (LGSF-FA), FY 2019 General Appropriations Act, Republic Act No. 11260 as per ADA No. 9901200004 allocated for the Constructi</t>
  </si>
  <si>
    <t xml:space="preserve"> Republic of the Philippines Department of Health Jose R. Reyes Memorial Medical Center M a n i l a INVITATION TO BID FOR  1 Lot 800L Liquid Helium &amp; 2 Cylinder Helium UHP 125B Aluminum Assistive Cryo-fill Charge ITB No. 2020-MS-106 1.	The Jose R. Reyes Me</t>
  </si>
  <si>
    <t xml:space="preserve"> Republic of the Philippines DEPARTMENT OF PUBLIC WORKS AND HIGHWAYS ISABELA 1ST DISTRICT ENGINEERING OFFICE REGIONAL OFFICE II City of Ilagan, Isabela INVITATION TO BID The DPWH-lsabela lst District Engineering Office, City of Ilagan, lsabela, through the</t>
  </si>
  <si>
    <t xml:space="preserve"> The Local Government Unit – Quinapondan, Eastern Samar, through its Bids &amp; Awards Committee (BAC ), intends to apply the sum of One Hundred Forty Seven Thousand Three Hundred Thirty Nine pesos (Php147,339.00) under the approved Annual Budget Appropriation</t>
  </si>
  <si>
    <t xml:space="preserve"> MG-TSE20-025.TESTER, IMPEDANCE, MULTIFUNCTION, PRIMARY ABC  : P 8,000,000.00 PLACE OF DELIVERY : CMTSD WAREHOUSE DITUCALAN, ILIGAN CITY AMOUNT OF BID DOCUMENTS : P 10,000.00</t>
  </si>
  <si>
    <t xml:space="preserve"> Republic of the Philippines Cordillera Administrative Region PROVINCIAL GOVERNMENT OF ABRA Bangued Invitation to Bid for  CONSTRUCTION OF STONE MASONRY 1.	The Provincial Government of Abra, through the Budget for the Contract Approved by the Sangguniang P</t>
  </si>
  <si>
    <t xml:space="preserve"> 1. Supply and Delivery of 2 units Customized Storage Container Van Total ABC: Php1,000,000.00  Specifications: 	8ft wide, 8.5ft High 20ft Length 	Insulated Walls and Ceilings with lights, outlets, panel box, circuit breaker, exhaust fan	  	Vinyl flooring </t>
  </si>
  <si>
    <t xml:space="preserve"> Republic of the Philippines Dagupan City BIDS AND AWARDS COMMITTEE INVITATION TO BID For the Procurement of Medical Supplies for Animal Bite Treatment Center (PR no.: 2020-00676-014) 1.	The City Government of Dagupan, through the 2020 TRUST FUND (DUE TO G</t>
  </si>
  <si>
    <t xml:space="preserve"> Republic of the Philippines Cordillera Administrative Region PROVINCIAL GOVERNMENT OF ABRA Bangued Invitation to Bid for  CONCRETING OF LABAAN FMR 1.	The Provincial Government of Abra, through the Budget for the Contract Approved by the Sangguniang Panlal</t>
  </si>
  <si>
    <t xml:space="preserve"> 1.	Supply and Delivery of 12 units Hermetic Storage ABC: Php2,236,800.00 		 Specifications: -	Weather-resistant and UV-Protected life span -	Materials -  Flexible Polyvinyl Chloride (PVC) -	Color – White -	Thickness, mm 0.83 minimum -	Materials weight, g/</t>
  </si>
  <si>
    <t xml:space="preserve"> IMPROVEMENT OF BARANGAY HEALTH CENTER</t>
  </si>
  <si>
    <t xml:space="preserve"> Republic of the Philippines SILAY CITY GOVERNMENT Zamora Street Silay City, Negros Occidental Telefax No. (034) 495-3746 	Control  Reference Number : INFRA#0006 ,ITB#0111,  JO#0062: SCG-2020 Name of the Project: JOB ORDER: To supply labor and materials fo</t>
  </si>
  <si>
    <t xml:space="preserve"> Section I. Invitation to Bid INVITATION TO BID DA8-Goods-2020-35 Rebidding (PR NO. NLP 20-03-02-0202) 1.	The Department of Agriculture-Regional Office No. 8, through the NLP 2020 intends to apply the sum of One Million Four Hundred Sixty-One Thousand Thre</t>
  </si>
  <si>
    <t xml:space="preserve"> 1. Supply and Delivery of 750 box Rodenticide ABC: Php1,875,000.00 Specifications: - Active Ingredient: Zinc Phosphide - 1kg/box (100 sachet @10grams/sachet) - manufacturing date not earlier than 2020 - Delivery Period: 20 Calendar Days - Delivery Site: D</t>
  </si>
  <si>
    <t xml:space="preserve"> PB NO. 2020-051		 			 1.	80	gal/s	Alcohol 70% (isoprophyl guardian solution) 2.	20	pc/s	Arm sling large 3.	10	gal/s	Cidex Metricide 4.	20	roll/s	Elastic bandage 4 inch 5.	10	pc/s	ET Tube 4.0 6.	10	pc/s	ET Tube 5.5 7.	10	pc/s	ET Tube 6.0 8.	10	pc/s	Foley C</t>
  </si>
  <si>
    <t xml:space="preserve"> 1. Supply and Delivery of 15,000 bags Organic Fertilizer ABC: Php4,500,000.00 Specifications: - @50kgs/bag - BAFPS registered - Nitrogen: 3% - Phosphorous 1 - Potassium 1 - Delivery Period: 30 Calendar Days - Delivery Sites: 	South Cotabato: 		Polomolok	-</t>
  </si>
  <si>
    <t xml:space="preserve"> Supply, Delivery, Installation and Configuration of Brand new Network Security Appliances for the Department of Environment and Natural Resources Regional Offices (ROs), Provincial Environment and Natural Resources Offices (PENROs), Land Management Bureau</t>
  </si>
  <si>
    <t xml:space="preserve"> Department of Health TONDO MEDICAL CENTER ISO 9001:2008 Certified Philhealth Accredited “Health care within your reach”  BIDS AND AWARDS COMMITTEE INVITATION TO BID   1.	The Tondo Medical Center (TMC), through the Government of the Philippines (GoP) inten</t>
  </si>
  <si>
    <t xml:space="preserve"> Portland Cement 9mm dia. RSB Tie Wire Common Nails (Assorted) CHB 4"x8"x16' Sand Gravel</t>
  </si>
  <si>
    <t xml:space="preserve"> The Local Government Unit – Quinapondan, Eastern Samar, through its Bids &amp; Awards Committee (BAC ), intends to apply the sum of One Hundred Fifty Five Thousand Four Hundred Sixty One Pesos and 76/100 (Php155,461.76) under the approved Appropriation Ordina</t>
  </si>
  <si>
    <t xml:space="preserve"> Quantity	Unit	Item Description		 30	bxs	ALLUMINUM 200mg tab	ALLUMINUM 200mg tab	ALLUMINUM 200mg tab 150	btls	ALLUMINUM HYDROXIDE 225mg/220mg MAGNESIUM 120ml.	ALLUMINUM HYDROXIDE 225mg/220mg MAGNESIUM 120ml.	ALLUMINUM HYDROXIDE 225mg/220mg MAGNESIUM 120ml.</t>
  </si>
  <si>
    <t xml:space="preserve"> 1. Supply and Delivery of Animal and Zoological Supplies ABC: Php1,457,800.00 	Specifications:  1)	260 pack Vitamin + Mineral + Electrolytes, 1 kg./pack 2)	35 liter Albendazole, 15 %, 1L 3)	260 box Levamisole HCl, 10% soluble powder, 10 grams/sachet, 24 s</t>
  </si>
  <si>
    <t xml:space="preserve"> MA-A2H20-004..FIBER OPTIC CABLE ABC  : P 1,615,000.00 PLACE OF DELIVERY  : AGUS 1 HEP wAREHOUSE MARAWI CITY AMOUNT OF BID DOCUMENTS : P 3,000.00</t>
  </si>
  <si>
    <t xml:space="preserve"> CARLOS HILADO MEMORIAL STATE COLLEGE 		BIDS AND AWARDS COMMITTEE Talisay City, Negros Occidental Telefax Nos. (034) 712-8404 INVITATION TO BID  FOR THE PROCUREMENT OF VARIOUS CRIMINOLOGY LABORATORY EQUIPMENT AND SUPPLIES FOR INSTRUCTIONAL USE - BINALBAGAN</t>
  </si>
  <si>
    <t xml:space="preserve"> The Local Government Unit – Quinapondan, Eastern Samar, through its Bids &amp; Awards Committee (BAC ), intends to apply the sum of FOUR HUNDRED TWENTY NINE THOUSAND TWO HUNDRED FIFTY FOUR PESOS AND 63/100 (P429,254.63) under Annual Budget Appropriation Ordin</t>
  </si>
  <si>
    <t xml:space="preserve"> MG-A5C20-013..INSTALLATION OF CONTROL ROOM FIRE SUPPRESSION SYSTEM AG5 ABC : P 8,000,000.00 PLACE OF DELIVERY : AGUS 5 HEP WAREHOUSE DITUCALAN, ILIGAN CITY AMOUNT OF BID DOCUMENTS : P 10,000.00</t>
  </si>
  <si>
    <t xml:space="preserve"> 1.1	CONTRACT ID: 19GL00115; P.R. No. 2020-07-082 DATED 07/07/2020 	CONTRACT LOCATION: ADMINISTRATIVE DIVISION, DAVAO CITY 	CONTRACT DESCRIPTION:	PROCUREMENT OF ONE (1) LOT OF VARIOUS I.T. CONSUMABLES, SUPPLIES &amp; ACCESSORIES, FOR USE IN THE DPWH R.O. XI, U</t>
  </si>
  <si>
    <t xml:space="preserve"> Republic of the Philippines DEPARTMENT OF PUBLIC WORKS AND HIGHWAYS MARINDUQUE DISTRICT ENGINEERING OFFICE Region IV-B, MIMAROPA  Boac, Marinduque INVITATION TO BID  (Re-Advertisement) The DPWH-Marinduque District Engineering Office, Boac, Marinduque, thr</t>
  </si>
  <si>
    <t xml:space="preserve"> See attached Request for Proposal (RFP)</t>
  </si>
  <si>
    <t xml:space="preserve"> MG-A7M20-008..REHAB OF AGUS 6 UNIT NO 5 COOLING SYSTEM ABC : P 5,500,000.00 PLACE OF DELIVERY: AGUS 6&amp;7 HEP WAREHOUSE FUENTES, ILIGAN CITY AMOUNT OF BID DOCUMENTS : P 7,000.00</t>
  </si>
  <si>
    <t xml:space="preserve"> MA-A2H20-010..SURGE PROTECTOR, 13.8 KV CAPACITOR AT MDS, 3 UNITS PER SET, AGUS 2 HE PLANT ABC  : P 2,500,000.00 PLACE OF DELIVERY : AGUS 2 HEP WAREHOUSE SAGUIARAN, ILIGAN CITY AMOUNT OF BID DOCUMENTS : P 3,000.00</t>
  </si>
  <si>
    <t xml:space="preserve"> 1. Supply and Delivery of 495 bags NSIC 2019 GMCn67 Hybrid Yellow Corn Seeds ABC: Php2,227,500.00 Specifications:  	-  Glyphosate Tolerant 	-  Packed at 9kg/bag  	-  Germination rate: minimum 90% 	-  Purity rate: 99% 	-  Not more than 12% MC prior to sale</t>
  </si>
  <si>
    <t xml:space="preserve"> Road overlay on station limits 1424 + 984 – 1425 + 055, length of 71 meters.</t>
  </si>
  <si>
    <t xml:space="preserve"> Republic of the Philippines National Kidney and Transplant Institute Bids and Awards Committee East Avenue, Quezon City 1100 981-0300 / 981-0400 local 1157 http://www.nkti.gov.ph/	 INVITATION TO BID for the ITB No. 20-069 SUPPLY AND DELIVERY OF VARIOUS CA</t>
  </si>
  <si>
    <t xml:space="preserve"> Section I. Invitation to Bid Republic of the Philippines PROVINCE OF CAGAYAN Municipality of Peñablanca PROVINCIAL BIDS AND AWARDS COMMITTEE INVITATION TO BID FOR   Supply and Delivery of Five (5) Unit Customized Ambulance 1.	The Provincial Government of </t>
  </si>
  <si>
    <t xml:space="preserve"> Location : Brgy. Coral, Ramos, Tarlac Roadbed Width : 5.00 Meters Pavement Width : 4.00 Meters Net Length : 450 Linear Meters</t>
  </si>
  <si>
    <t xml:space="preserve"> 1. Supply and Delivery of 795 bags Hybrid Yellow Corn Seeds Total ABC: Php3,577,500.00 Line Item No. 1: Supply and Delivery of 397 bags NSIC 2015 GMCn38 ABC: Php1,786,500.00 	Specifications:  	-  Glyphosate Tolerant 	-  Packed at 9kg/bag  	-  Germination </t>
  </si>
  <si>
    <t xml:space="preserve"> CONTRACT COST:		 1.	LOT	1	INSTALLATION OF 3 UNITS ROOF TRUSS, PURLINS, CROSS BRACINGS (TENSION RODS) &amp; BASE PLATES		311,783.16 			A. Materials		 			B. Equipment		 			C. Labor		 2.	LOT	1	ROOFING		499,954.14 			A. Materials		 			B. Equipment		 			C. Labor		</t>
  </si>
  <si>
    <t xml:space="preserve"> INVITATION TO BID The DPWH Bukidnon 1st District Engineering Office, Malaybalay City, through its Bids and Awards Committee (BAC), invites contractors to submit bids for the following Contracts:   Contract ID 	:	20KA0101(Readvertisement) Contract Name 	:	</t>
  </si>
  <si>
    <t xml:space="preserve"> MG-A5C20-051..FIRE EXTINGUISHER, PORTABLE, FOAM, AGUS 4 &amp; 5 HE PLANT ABC  : P 2,850,000.00 PLACE OF DELIVERY : AGUS 5 HEP WAREHOUSE DITUCALAN, ILIGAN CITY AMOUNT OF BID DOCUMENTS : P3,000.00</t>
  </si>
  <si>
    <t xml:space="preserve"> I.	Invitation to Apply for Eligibility and to Bid Supply and Delivery of Various IT Equipment for the Educating Science Teachers for All (ESTA) Project 1. The Philippine Normal University, through TL intends to apply the sum of One Million Three Hundred F</t>
  </si>
  <si>
    <t xml:space="preserve"> Republic of the Philippines Province of Leyte Municipality of Kananga BIDS AND AWARDS COMMITTEE Invitation to Bid for CONSTRUCTION OF FRONTLINERS QUARTERS AT BRGY. POBLACION, KANANGA, LEYTE 1.	The Municipality of Kananga through the General Fund intends t</t>
  </si>
  <si>
    <t xml:space="preserve"> Republic of the Philippines City Government of Cotabato OFFICE OF THE CITY MAYOR Cotabato City INVITATION TO BID FOR  Procurement of Office Equipment for Use of  DepEd Division of Cotabato City  1.	The City Government of Cotabato, through the DepEd Divisi</t>
  </si>
  <si>
    <t xml:space="preserve"> Republic of the Philippines COMMISSION ON ELECTIONS M a n i l a INVITATION TO BID Supply and Delivery of Brand-New Desktop Computers for Issuance/Replacement of Defective/Beyond Economic Repair of Voter Registration Machines in Various Field Offices of th</t>
  </si>
  <si>
    <t xml:space="preserve"> Sub – soil exploration</t>
  </si>
  <si>
    <t xml:space="preserve"> Republic of the Philippines COMMISSION ON ELECTIONS M a n i l a INVITATION TO BID Supply and Delivery of HD Webcam for  Various Field Offices of the Commission (BAC Ref No. 06-2020WC) Approved Budget for the Contract:  Php1,913,678.00 1.	The   Commission </t>
  </si>
  <si>
    <t xml:space="preserve"> INVITATION TO BID FOR THE COMPLETION WORKS FOR THE CONSTRUCTION OF HIGH SCHOOL BUILDING AT MNHS ANNEX , SOUTHVILLE 3, POBLACION, MUNTINLUPA CITY 1.	The City Government of Muntinlupa, through its duly-approved Local School Board Budget for 2020 intends to </t>
  </si>
  <si>
    <t xml:space="preserve"> INVITATION TO BID FOR Reproduction of Life Skills Learner’s Modules 1.	The Department of Education, Butuan City Division through the GAA FY 2020 intends to apply the sum of Php 1,251,510.00 (One Million Two Hundred Fifty One Thousand Five Hundred Ten Peso</t>
  </si>
  <si>
    <t xml:space="preserve"> INVITATION TO BID FOR THE RENOVATION OF MNHS BAHAY ALUMNI MULTI-PURPOSE BUILDING AT MNHS ALUMNI, UNIVERSITY ROAD, POBLACION, MUNTINLUPA CITY (*RE-POSTED) 1.	The City Government of Muntinlupa, through its duly-approved Supplemental Budget for 2018 intends </t>
  </si>
  <si>
    <t xml:space="preserve"> INVITATION TO BID 1.	The Bangko Sentral ng Pilipinas (BSP), through its Bids and Awards Committee-Security Plant Complex (BAC-SPC), invites Bidders to apply for eligibility and to bid for the hereunder requirements: Name of Requirement/Brief Description	A</t>
  </si>
  <si>
    <t xml:space="preserve"> The Department of National Defense through the AFP Modernization Act Trust Fund intends to apply the sum of Two Hundred Fifty Million Pesos (PhP250,000,000.00) being the Approved Budget for the Contract (ABC) to payment under the AFP Basing Support System</t>
  </si>
  <si>
    <t xml:space="preserve"> Republic of the Philippines Province of Leyte Municipality of Kananga BIDS AND AWARDS COMMITTEE Invitation to Bid for REPAIR AND MAINTENANCE – BUILDING AND OTHER STRUCTURES MARKET AT BRGY. POBLACION, KANANGA, LEYTE 1.	The Municipality of Kananga through t</t>
  </si>
  <si>
    <t xml:space="preserve"> INVITATION TO BID FOR THE CONSTRUCTION OF STP AT MUNTINLUPA CITY JAIL, NATIONAL ROAD BRGY TUNASAN, MUNTINLUPA CITY 1.	The City Government of Muntinlupa, through its duly-approved Executive Budget for 2020 intends to apply the sum of Seven Million Seven Hu</t>
  </si>
  <si>
    <t xml:space="preserve"> Part A: Facilities for the Engineers 2      months     Provision of Combined Field Office, Laboratory and Living Quarters Building for the Engineer                         (Rental Basis) Part B: Other General Requirements 1      L.S.          Miscellaneou</t>
  </si>
  <si>
    <t xml:space="preserve"> I.   1   Lot    Occupational Safety and Health Program II.  1   Lot    Project Billboard/ Signboard III. 1   Lot    Mobilization/ Demobilization IV.  25 cu.m. Excavation Works V.   85  cu.m. Riprap Works: with Backfill</t>
  </si>
  <si>
    <t xml:space="preserve"> July 20, 2020 INVITATION TO BID  Reference No. 7121599 /Solicitation No.20-27 The City Government of Tagum invites interested Bidders/Suppliers to bid for the following: Name of Contract         :  CONSOLIDATED OFFICE SUPPLIES 2020 (3RD QUARTER)          </t>
  </si>
  <si>
    <t xml:space="preserve"> INVITATION TO BID FOR THE PROFESSIONAL SERVICES  FOR THE STRUCTURAL DESIGN OF VARIOUS INFRASTRUCTURE PROJECTS 1.	The City Government of Muntinlupa, through its duly-approved Executive Budget for 2020 intends to apply the sum of One Million Six Hundred Fif</t>
  </si>
  <si>
    <t xml:space="preserve"> Facilities for Engineers: 2 months  Provision of Combined Field Office, Laboratory and Living Quarters Building for the Engineer                  (Rental Basis) Other General Requirements: 1  L.S.       Miscellaneous Survey and Staking 2  each      Projec</t>
  </si>
  <si>
    <t xml:space="preserve"> INVITATION TO BID FOR THE RENT OF PRINTER WITH CONTINUOUS INK TO BE USED AT OSPITAL NG MUNTINLUPA (*RE-POSTED) 1.	The City Government of Muntinlupa, through its duly-approved Executive Budget for 2020  intends to apply the sum of One Million Five Hundred </t>
  </si>
  <si>
    <t xml:space="preserve"> Section I. Invitation to Bid Republic of the Philippines PROVINCE OF CAGAYAN Municipality of Peñablanca PROVINCIAL BIDS AND AWARDS COMMITTEE INVITATION TO BID FOR  Supply and Delivery of Various Light Vehicles 1.	The Provincial Government of Cagayan, thro</t>
  </si>
  <si>
    <t xml:space="preserve"> Net Length: 165.00 Linear Meters Location : Brgy. Pance, Ramos, Tarlac Note: Please refer to the Program of Works for further details.</t>
  </si>
  <si>
    <t xml:space="preserve"> INVITATION TO BID FOR THE CONSTRUCTION OF ROAD AND DRAINAGE SYSTEM AT SOUTH GREENHEIGHTS, BRGY. PUTATAN, MUNTINLUPA CITY 1.	The City Government of Muntinlupa, through its duly-approved Executive Budget for 2020 intends to apply the sum of Two Million Five</t>
  </si>
  <si>
    <t xml:space="preserve"> Section I. Invitation to Bid Republic of the Philippines PROVINCE OF CAGAYAN Municipality of Peñablanca PROVINCIAL BIDS AND AWARDS COMMITTEE INVITATION TO BID FOR   Supply and Delivery of Forty (40) Unit Brand New Motorcycles 1.	The Provincial Government </t>
  </si>
  <si>
    <t xml:space="preserve"> INVITATION TO BID FOR THE SUPPLY, DELIVERY &amp; INSTALLATION OF AIRCONDITIONERS FOR VARIOUS HEALTH FACILITIES IN MUNTINLUPA CITY  1.	The City Government of Muntinlupa, through its duly-approved Executive Budget for 2020 intends to apply the sum of Two Millio</t>
  </si>
  <si>
    <t xml:space="preserve"> INVITATION TO BID SUPPLY, DELIVERY AND INSTALLATION OF LABORATORY TABLES (PB 20-03-19) 1.	The Philippine Rice Research Institute, through the 2020 Corporate Fund Budget intends to apply the sum of ONE MILLION PESOS ONLY (PhP1,000,000.00) being the Approve</t>
  </si>
  <si>
    <t xml:space="preserve"> Republic of the Philippines City of Lipa  INVITATION TO BID FOR  Construction of COVID-19 Rapid Testing Laboratory  at Medical Arts Building, Ospital ng Lipa,  Lipa City 1.	The Lipa City Government through the 20% Development Fund intends to apply the sum</t>
  </si>
  <si>
    <t xml:space="preserve"> Section I. Invitation to Bid Republic of the Philippines PROVINCE OF CAGAYAN Municipality of Peñablanca PROVINCIAL BIDS AND AWARDS COMMITTEE INVITATION TO BID FOR   Supply and Delivery of One (1) Unit 11 Footer Light Truck, Single Cab, Drop Side  1.	The P</t>
  </si>
  <si>
    <t xml:space="preserve"> LOT NO. 1: PRAS NO. 20-1019: ICTS-NOMD ABC: PhP2,420,000.00  - Twenty (20) units of Laptop (UNIX Based) LOT NO. 2: PRAS NO. 20-1020: ICTS-NOMD ABC: PhP198,000.00  - One (1) unit Point of Sale</t>
  </si>
  <si>
    <t xml:space="preserve"> Invitation to Bid for Labor and Materials for the Construction of Multi-Purpose Building at Hidalgo Street, Barangay Poblacion 7, SJOM 1.	The Municipality of San Jose, through the 20% Development Fund  intends to apply the sum of Fifteen Million Pesos Onl</t>
  </si>
  <si>
    <t xml:space="preserve"> National Power Corporation INVITATION TO BID PUBLIC BIDDING 2020-0190 1.	The NATIONAL POWER CORPORATION (NPC), through       its        approved       Corporate Budget of CY 2020 intends to apply   the   sum   of (Please see schedule below) being the Appr</t>
  </si>
  <si>
    <t xml:space="preserve"> Purchase of 3 units black &amp; white copier and 1 unit colored copier to be used for the reproduction of learning modules</t>
  </si>
  <si>
    <t xml:space="preserve"> INVITATION TO BID FOR THE CONSTRUCTION OF MULTI-PURPOSE COVERED COURT (PHASE 1) AT MUNTINLUPA ELEMENTARY SCHOOL, BRGY. POBLACION, MUNTINLUPA CITY 1.	The City Government of Muntinlupa, through its duly-approved Local School Board Budget for 2020 intends to</t>
  </si>
  <si>
    <t xml:space="preserve"> The DPWH-Regional Office I, through its Bids and Awards Committee (BAC), invites contractors to submit bids for the following Contract: Contract ID: 20A00212 Contract Name: Concreting of Farm to Market Road, Brgy. Boyboy, Piddig, Ilocos Norte Brief Descri</t>
  </si>
  <si>
    <t xml:space="preserve"> Invitation to Bid  for the  CONSTRUCTION OF NEW CLARK CITY CONNECTING ROAD PACKAGE 1  New Clark City, Capas, Tarlac Public Bidding No. 20-021-1  1.	The Bases Conversion and Development Authority (BCDA) and the Procurement Service – Department of Budget an</t>
  </si>
  <si>
    <t xml:space="preserve"> Republic of the Philippines Province of Davao de Oro BIDS AND AWARDS COMMITTE Cabidianan, Nabunturan, Davao de Oro ITB No. 20-027 July 15, 2020 INVITATION TO BID  FOR  THE Procurement of food supplies (meals and snacks, item 1 with venue and item 2 withou</t>
  </si>
  <si>
    <t xml:space="preserve"> INVITATION TO BID FOR Conversion of Dental/Medical Clinic CY 2020 1. The Department of Education, Butuan City Division, through the GAA FY 2020 intends to apply the sum of  Php 1,642,711.23 being the Approved Budget for the Contract (ABC) to payments unde</t>
  </si>
  <si>
    <t xml:space="preserve"> INVITATION TO BID SUPPLY AND DELIVERY OF TONERS WITH FREE USE  PRINTERS FOR PAG-IBIG FUND SOUTHERN &amp; SOUTHWESTERN MINDANAO GROUP   The Pag-IBIG Fund TAS-Southern and South-Western Mindanao, through its Bids and Awards Committee – Goods and Services (BAC-G</t>
  </si>
  <si>
    <t xml:space="preserve"> INVITATION TO REBID FOR THE PROCUREMENT OF SUPPLY &amp; DELIVERY OF 56 HEADS CARACOWS (TYPHOON URSULA)     1.	The Department of Agriculture Regional Field Office 6 through the General Appropriations Act (GAA) of 2020 intends to apply the sum of Two Million Fo</t>
  </si>
  <si>
    <t xml:space="preserve"> INVITATION TO BID July 15, 2020 1.	The Provincial Government of Davao Occidental, through its Bids and Awards Committee (BAC), invites all suppliers to apply to bid for the following goods: Bids received in excess of the ABC shall be automatically rejecte</t>
  </si>
  <si>
    <t xml:space="preserve"> PHILIPPINE DEPOSIT INSURANCE CORPORATION Makati City REQUEST FOR EXPRESSION OF INTEREST FOR THE Procurement of a Consultancy Service Provider (CSP) for the Review and Design of PDIC’s Organizational Structure and Staffing Pattern(OSSP) 1.	The Philippine D</t>
  </si>
  <si>
    <t xml:space="preserve"> Overlaying of limesoil and levelling to mitigate dilapidated roads</t>
  </si>
  <si>
    <t xml:space="preserve"> 1.	The Department of Information and Communications Technology (DICT), through the  “GAA”  intends to apply the sum of Two Million Seven Hundred Thousand Pesos (PhP2,700,000.00) being the Approved Budget for the Contract (ABC) to payments under the contra</t>
  </si>
  <si>
    <t xml:space="preserve"> NOTICE OF ELIGIBILITY AND SHORTLISTING 1.	The Department of Tourism (hereinafter called “Procuring Entity” has received financing (hereinafter called “funds”) from General Appropriations Act 2020 (hereinafter called the “Funding Source”) toward the cost o</t>
  </si>
  <si>
    <t xml:space="preserve"> INVITATION TO BID (GOODS) The Municipality of Sibonga, through the Trust Fund intends to apply the sum of Two hundred thirty-six thousand seven hundred ten &amp; 50/100 pesos only (236,710.50) being the Approved Budget for the Contract (ABC) to payment under </t>
  </si>
  <si>
    <t xml:space="preserve"> INVITATION TO BID FOR Construction of Reinforced Concrete Slope Protection for CY 2020 1.	The Department of Education, Butuan City Division, through the GAA FY 2020 intends to apply the sum of  Php 3,820,757.90 RCS-2020-001 (Lot 1), and Php 3,408,125.05 R</t>
  </si>
  <si>
    <t xml:space="preserve"> National Power Corporation INVITATION TO BID PUBLIC BIDDING 2020-0195 1.	The NATIONAL POWER CORPORATION (NPC), through       its        approved       Corporate Budget of CY 2020 intends to apply   the   sum   of (Please see schedule below) being the Appr</t>
  </si>
  <si>
    <t xml:space="preserve"> Item	-Description-	ABC	-Unit	-Qty. 	LOT BID			 1	ONE (1) YEAR HAULING OF NON-INFECTIOUS (WET &amp; DRY) WASTE FROM CORAZON LOCSIN MONTELIBANO MEMORIAL REGIONAL HOSPITAL (CLMMRH) TO THE AUTHORIZED/DESIGNATED CITY DUMPSITE	-2,420,000.00	-JOB	-1 Terms of Referen</t>
  </si>
  <si>
    <t xml:space="preserve"> 1.	The Municipality of Esperanza, intends to apply the sum of Three Hundred Forty-Four Thousand Pesos (Php344,000.00) being the Approved Budget for the Contract (ABC) to payments under the contract for Supply and Delivery of Water Materials use for Water </t>
  </si>
  <si>
    <t xml:space="preserve"> INVITATION TO REBID FOR THE PROCUREMENT OF SUPPLY &amp; DELIVERY OF PIGLETS (TYPHOON URSULA)     1.	The Department of Agriculture Regional Field Office 6 through the General Appropriations Act (GAA) of 2020 intends to apply the sum of Two Million Two Hundred </t>
  </si>
  <si>
    <t xml:space="preserve"> INVITATION TO BID FOR THE PROCUREMENT OF SUPPLY &amp; DELIVERY OF 5,500 HEADS NATIVE CHICKEN     1.	The Department of Agriculture Regional Field Office 6 through the General Appropriations Act (GAA) of 2020 intends to apply the sum of Three Million Three Hund</t>
  </si>
  <si>
    <t xml:space="preserve"> Republic of the Philippines MUNICIPALITY OF VILLANUEVA Province of Misamis Oriental INVITATION TO APPLY FOR ELIGIBILITY AND TO BID  The LGU of Villanueva, Misamis Oriental, through its Bids and Awards Committee (BAC), invites suppliers/ manufacturers/ dis</t>
  </si>
  <si>
    <t xml:space="preserve"> 1.	The Municipality of Esperanza, intends to apply the sum of One Million Seven Hundred Thousand Pesos Only (Php1,700,000.00) being the Approved Budget for the Contract (ABC) to payments under the contract for Supply and Delivery of Diesel Generator Set u</t>
  </si>
  <si>
    <t xml:space="preserve"> INVITATION TO BID FOR THE CONTRACT ID: 20-07-097 Contract Name: PROCUREMENT OF PCR TEST KIT FOR COVID 19 Approved Budget for the Contract (ABC) : Php 4,177,800.00 Cost of Bidding Documents: Php 5,000.00 1. The Department of Health - Zamboanga Peninsula - </t>
  </si>
  <si>
    <t xml:space="preserve"> 1.	The Municipality of Esperanza, intends to apply the sum of Three Hundred Twenty Four Thousand Pesos Only (Php324,000.00) being the Approved Budget for the Contract (ABC) to payments under the contract for Supply and Delivery of Clamp Meter, Pump &amp; Test</t>
  </si>
  <si>
    <t xml:space="preserve"> INVITATION TO BID FOR THE PROCUREMENT OF SUPPLY &amp; DELIVERY OF NSIC APPROVED GM HYBRID YELLOW CORN SEEDS     1.	The Department of Agriculture Regional Field Office 6 through the General Appropriations Act (GAA) of 2020 intends to apply the sum of Eight Mil</t>
  </si>
  <si>
    <t xml:space="preserve"> Item-	Description-	ABC-	Unit	-Qty. 	LOT BID			 1	HAZARDOUS WASTE TRANSPORT AND TREATMENT	-12,154,375.00-	LOT	-1 TERMS OF REFERENCE Project Name: 	Hazardous Waste Transport and Treatment Project Cost:	P12,154,375.00 Project Duration: 	Six Months Or Total T</t>
  </si>
  <si>
    <t xml:space="preserve"> Republic of the Philippines CITY OF TACURONG OFFICE OF THE CITY MAYOR INVITATION TO BID FOR INSTALLATION OF STREET LIGHTING SYSTEM (Contract ID No: 2020-CW-020) The City Government of Tacurong, through 20% Development Fund 2020intends to apply the sum sta</t>
  </si>
  <si>
    <t xml:space="preserve"> The DPWH-Regional Office I, through its Bids and Awards Committee (BAC), invites contractors to submit bids for the following Contract: Contract ID: 20A00216 Contract Name: Rehabilitation of Sta. Rosa-Calincamasan Road, Brgys. Sta. Rosa and Calincamasan, </t>
  </si>
  <si>
    <t xml:space="preserve"> Item-	Description	-ABC	-Unit 	-Qty 	LOT BID			 1	ARTERIAL BLOOD GAS REAGENT	-1,259,968.50	-TESTS-	9,450 Terms of Reference for Medical Equipment &amp; Supplies I.	The Corazon Locsin Montelibano Memorial Regional Hospital (CLMMRH) under Medical Division/ Pulmo</t>
  </si>
  <si>
    <t xml:space="preserve"> The DPWH-Regional Office I, through its Bids and Awards Committee (BAC), invites contractors to submit bids for the following Contract: Contract ID: 20A00214 Contract Name: Rehabilitation of Calincamasan - Quidem Road (including construction of two bridge</t>
  </si>
  <si>
    <t xml:space="preserve"> REQUEST FOR EXPRESSION OF INTEREST FOR CONSULTANCY SERVICES FOR THE CONDUCT OF A REGULATORY AUDIT OF SUBIC WATER AND SEWERAGE CO. (“SUBICWATER”) FOR WATER SUPPLY RATE ADJUSTMENTS [SBMA-BAC-CONS-RFEI-20-02] 1.	The Subic Bay Metropolitan Authority (SBMA) th</t>
  </si>
  <si>
    <t xml:space="preserve"> Item	Description	ABC	Unit 	Qty 	LOT BID			 1	RICE (WHITE SPECIAL RICE 50KG PER SACK)	-1,381,380.00-	SACK-	546 TERMS OF REFERENCE   RICE (WHITE RICE) General Requirements: •	Updated Government Permits: o	Business Permit o	Sanitary Permit o	Health Permits o</t>
  </si>
  <si>
    <t xml:space="preserve"> INVITATION TO BID FOR THE PROCUREMENT OF SUPPLY &amp; DELIVERY OF CORN SEEDS FOR FOOD SECURITY (COVID 19) BY LOT     1.	The Department of Agriculture Regional Field Office 6 through the General Appropriations Act (GAA) of 2020 intends to apply the sum of One </t>
  </si>
  <si>
    <t xml:space="preserve"> Republic of the Philippines City of Lipa  INVITATION TO BID FOR  Construction of Multi-Purpose Building at Lipa City Community Park, Barangay 7, Lipa City 1.	The Lipa City Government through the Trust Fund   intends to apply the sum of Ten Million Pesos o</t>
  </si>
  <si>
    <t xml:space="preserve"> Item	Description	ABC	Unit	Qty. 	LINE BID			 1	EXAMINING GLOVES LARGE (100’S/BOX) LATEX/RUBBER FLEXIBLE POWDER FREE	1,125,000.00	BOX	2,500 2	EXAMINING GLOVES MEDIUM (100’S/BOX) LATEX/RUBBER FLEXIBLE POWDER FREE	1,574,100.00	BOX	3,498 3	EXAMINING GLOVES SMA</t>
  </si>
  <si>
    <t xml:space="preserve"> Republic of the Philippines City of Lipa  INVITATION TO BID FOR  Improvement of Lipa City Community Park  at Brgy. 7, Lipa City 1.	The Lipa City Government through the Trust Fund – Local Government Support Fund (LGSF) 2019 – Assistance to Cities from Depa</t>
  </si>
  <si>
    <t xml:space="preserve"> 1.	The Municipality of Esperanza, intends to apply the sum of One Million Two Hundred Sixty Three Thousand Six Hundred Thirty Five Pesos &amp; 9/100 Only (Php1,263,635.9) being the Approved Budget for the Contract (ABC) to payments under the contract for Supp</t>
  </si>
  <si>
    <t xml:space="preserve"> FUND SOURCE; 20% PDF 2020 TYPES OF WORK TO BE DONE: Project billboard/ signboard/ occupational safety and health program/ structure excavation (footing excavation)/ reinforcing steel bars (footing, column and anchorage)/ structural concrete (column, beams</t>
  </si>
  <si>
    <t xml:space="preserve"> Item	Description	ABC	Unit	Qty. 	LINE BID			 1	BOND PAPER (LONG), 8 1/2" X 13” – SUBSTANCE 24/80 GSM, ULTRA WHITE, GLOSS	250,000.00	REAM	1,000 2	BOND PAPER (SHORT) 8 1/2" X 11” – SUBSTANCE 24/80 GSM, ULTRA WHITE, GLOSS	1,320,000.00	REAM	6,000</t>
  </si>
  <si>
    <t xml:space="preserve"> Item	Description	ABC	Unit 	Qty. 	LINE BID			 1	NATURAL CITRUS OIL 100%, HIGHLY CONCENTRATED DEODORIZER, CLEANER, DEGREASER	927,000.00	GAL	100 2	BROAD SPECTRUM CLEANER, DISINFECTANT, BIODEGRADABLE	365,080.00	GAL	100 3	ORGANIC ODOR SUPRESSANT &amp; AIR FRESHENE</t>
  </si>
  <si>
    <t xml:space="preserve"> Item	-Description-	ABC-	Unit-	Qty. 	LOT BID			 1	OXYGEN TANK (MEDICAL OXYGEN 1800 PSI) 99% 02, UNIFORMED CYLINDER SIZE 6 CU. M	-5,520,000.00	-TANK	-24,000 TERMS OF REFERENCE •	Cylinders are free of use. •	Cylinder Pressure: At least 1,800 PSI •	Oxygen Pur</t>
  </si>
  <si>
    <t xml:space="preserve"> Item	Description	ABC	Unit	Qty. 	LINE BID			 1	AIRWAY GUEDEL 70 MM STERILE	15,000.00	PCS	250 2	AIRWAY GUEDEL 80 MM STERILE	36,000.00	PCS	600 3	BS/LAPARATOMY SPONGE BLUE LOOP W/ X-RAY THREAD, STERILE (1’S/PACK 18” X 18” X 12 PLY, 28 X 24 MESH)	40,000.00	PCS</t>
  </si>
  <si>
    <t xml:space="preserve"> Item	Description	ABC	Unit	Qty. 	LINE BID			 1	ADHESIVE PLASTER, BROWN CLOTH 1” (2.5 CM X 1 M) STICK WELL/STRONG ADHESION Size: At least 2.5 cm x 1 meter	180,000.00	SPOOL	2,000 2	ADHESIVE PLASTER, WHITE CLOTH 2” X 10 YDS (SILK TAPE, STICK WELL/STRONG ADHES</t>
  </si>
  <si>
    <t xml:space="preserve"> Republic of the Philippines Province of South Cotabato BIDS AND AWARDS COMMITTEE Capitol Compound Alunan Avenue, Koronadal City Tel. Fax No.: (083) 228-9951/228-8570 INVITATION TO BID FOR THE SUPPLY AND DELIVERY OF 36 UNITS DUPLICATING MACHINE 1.  The PRO</t>
  </si>
  <si>
    <t xml:space="preserve"> Item	Description	ABC	Unit 	Qty. 	LINE BID			 1	ALL PURPOSE POWDER SOAP	71,500.00	KILO	1,000 2	OXALIC POWDER, STAIN REMOVER	42,000.00	KILO	600 3	GLASS CLEANER	42,432.00	GALLON	16 4	INSECTICIDE SPRAY, 500 ML/CAN	25,342.24	CAN	68 5	LIQUID FLOOR WAX, WHITE, C</t>
  </si>
  <si>
    <t xml:space="preserve"> INVITATION TO BID FOR THE PROCUREMENT OF SUPPLY &amp; DELIVERY OF 200 HEADS GOAT     1.	The Department of Agriculture Regional Field Office 6 through the General Appropriations Act (GAA) of 2020 intends to apply the sum of Three Million Pesos (Php3,000,000.00</t>
  </si>
  <si>
    <t xml:space="preserve"> for supply of one (1) unit Multicab for Barangay used with complete set of TBAS and Accessories plus  free LTO registration and insurance.</t>
  </si>
  <si>
    <t xml:space="preserve"> Item-	Description-	ABC-	Unit 	-Qty. 1	CT SCAN MACHINE (AT LEAST 64-SLICE)	-45,000,000.00	-LOT-	1 	Terms of Reference and Technical Specifications Item No.	Configuration for CT scan Machine (At Least 64-Slice) Standard Scanning System Configuration 1	Scann</t>
  </si>
  <si>
    <t xml:space="preserve"> PLEASE SEE ATTACHMENTS</t>
  </si>
  <si>
    <t xml:space="preserve"> The DPWH, Negros Occidental 3rd District Engineering Office, Kabankalan City, Negros Occidental, through its Bids and Awards Committee (BAC), invites contractors to submit bids for the following contract: 1. Contract ID		:	20GM0082 Contract Name	:	Constru</t>
  </si>
  <si>
    <t xml:space="preserve"> Item	Description	ABC	Unit	Qty. 	LOT BID			 1	ADMIN. SET FOR INFUSION PUMP (20 DROPS/ML)	2,100,000.00	PCS	35,000 2	ADMIN. SET FOR INFUSION PUMP (60 DROPS/ML)	1,800,000.00	PCS	30,000 3	IV CANNULA G18 WITH SAFETY LOCK WITH INJECTION PORT, LUER LOCK PLUG WITH</t>
  </si>
  <si>
    <t xml:space="preserve"> PLS. SEE ATTACHMENT/S           The Schedule of BAC activities are as follows:								 								 BAC Activities					Schedule			 1	Advertisement/Posting of IAEB				July 20 - 27, 2020			 2	Receipt of Letter of Intent							 3	Eligibility Check				August 11, </t>
  </si>
  <si>
    <t xml:space="preserve"> Item	Description	ABC	Unit 	Qty. 	LINE BID			 1	CHLORHEXIDINE DIGLUCONATE SURGICAL HANDWASHING 4% (NON-IONIC SURFACTANTS, EMOLIENTS, MOISTURIZERS &amp; STAIN FREE; 5LITERS/GAL	300,000.00	GALLON	100 2	ENZYMATIC DETERGENT (@LEAST 3.78 LITERS OR MORE/GAL.)	525,00</t>
  </si>
  <si>
    <t xml:space="preserve"> Item	Description	ABC	Unit 	Qty. 	LINE BID			 1	CADAVER SHEET (PLASTIC SOFT WHITE 48”X50METERS)	80,000.00	ROLL	100 2	HYPOCHLORITE SOLUTION 5.5% BRANDED ATLEAST 3785ML (ATLEAST 5% HYPOCHLORITE SOLUTION)	72,000.00	GAL	400 3	MEDICINE BAG 120 X 170MM	20,000.00</t>
  </si>
  <si>
    <t xml:space="preserve"> Item	Description	ABC	Unit 	Qty. 	LINE BID			 1	CATHETER SET DOUBLE LUMEN FR. 12, CURVED EXTENSIONS, STERILE, FOR HEMODIALYSIS	437,500.00	SET	125 2	CATHETER SET TRIPPLE LUMEN FR. 12, CURVED EXTENSIONS, STERILE, FOR HEMODIALYSIS	520,000.00	SET	130 3	FLEX C-</t>
  </si>
  <si>
    <t xml:space="preserve"> Item	Description	ABC	Unit	Qty. 	LINE BID			 1	CHLORHEXIDINE DIGLUCONATE SPRAY 0.2% SOL’N., ANTISEPTIC 60 ML	1,400,000.00	BOTTLE	7,000 2	DIGITAL THERMOMETER, GOOD QUALITY	75,000.00	PCS	750 3	ICE BAG 9” ADULT, GOOD QUALITY	23,750.00	PCS	250 4	NASOGASTRIC TU</t>
  </si>
  <si>
    <t xml:space="preserve"> Procurement of Tools, Utensils &amp; Equipment Needed for Cookery, Bread &amp; Pastry and Food &amp; Beverage Services for Senior High</t>
  </si>
  <si>
    <t xml:space="preserve"> Procurement of Supply and Delivery of Office  Supplies  10	pcs	Ink cartridge #680 black 11	pcs	Ink cartridge #681 colored 10	pcs	Ink cartridge HP 932 XL, black 15	pcs	Ink cartridge HP 933 XL, cyan 15	pcs	Ink cartridge HP 933 XL, magenta 15	pcs	Ink cartrid</t>
  </si>
  <si>
    <t xml:space="preserve"> PLEASE SEE ATTACHED</t>
  </si>
  <si>
    <t xml:space="preserve"> SPL 1 Utility Line and Transformer 50 kVa Distribution Transformer Double Bushing Electrical Meter Form 48 kv2C Current Transformer Ratio 200:5 Protection box for CT Protection Box for Meter Steel pole 30 ft Bare wire # 2 Insulation Pin Type Suspension In</t>
  </si>
  <si>
    <t xml:space="preserve"> Item	Description	ABC	Unit	Qty. 	LOT BID			 1	COMBO TEST FOR HBV, HCV AND HIV (NAT) 96 TEST/KIT	920,000.00	KIT	10 	TERMS OF REFERENCE FOR PROCUREMENT OF REAGENTS AND RELATED SUPPLIES FOR TTI TESTING BY NAT THIS IS LOT BID The supplier awarded to supply the</t>
  </si>
  <si>
    <t xml:space="preserve"> Item	Description	ABC	Unit 	Quantity 	LINE BID			 1	BULLDOG VASCULAR CLAMP, DE BAKEY HEISS, 1 ½” LENGTH, 3/8” JAW SERRATION, STAINLESS STEEL AISI 400 SERIES	34,000.00	PCS	2 2	BULLDOG VASCULAR CLAMP, DIETRICH, 1 7/8” LENGTH, ½” JAW SERRATION, ANGLED 1/1, ST</t>
  </si>
  <si>
    <t xml:space="preserve"> Item	Description	ABC	Unit 	Qty. 	LINE BID			 1	ALLIS CLAMP, 6”, STAINLESS STEEL AISI 400 SERIES	168,000.00	PCS	24 2	ALLIS CLAMP, 8 ¾”, STAINLESS STEEL AISI 400 SERIES	121,200.00	PCS	12 3	BLADE HOLDER, 8 ¼, #3 LONG, 400 STAINLESS SERIES	27,000.00	PCS	6 4	B</t>
  </si>
  <si>
    <t xml:space="preserve"> Item	Description	ABC	Unit	Qty. 1	DEFIBRILLATOR	3,750,000.00	UNIT	5 	Features: 	Must be not more than 200 Joules with pulsed bi-phasic 	With selectable energy levels: 2, 4, 15, 30, 50, 70, 90, 120 	Not more than 6” Monitor as compact defibrillator 	Can</t>
  </si>
  <si>
    <t xml:space="preserve"> Item	Description	ABC	Unit	Qty. 1	BIOLOGICAL REFRIGERATOR-DOUBLE DOOR	8,000,000.00	UNIT	4 	PRODUCT FEATURES •	With door lock •	With forced air-cooling system •	With drawers (12 drawers) •	With recorder preferably •	Thermal printer type •	Glass door •	Safet</t>
  </si>
  <si>
    <t xml:space="preserve"> Item	Description	ABC	Unit 	Qty. 	LINE BID			 1	CRESCENT (OPHTHALMIC SURGICAL CRESCENT (BLADES BETWEEN 2.5MM TO 2.75 MM)	150,000.00	PCS	150 2	KERATOME (OPHTHALMIC KERATOME BLADES, SLIT BLADES ANGLED WITH HANDLE 2.2MM)	120,000.00	PCS	120 3	OPHTHALMIC SOLUTI</t>
  </si>
  <si>
    <t xml:space="preserve"> Procurement of supply and delivery of Laboratory Supplies 2	box	Rubber band, heat resistant (1000pc/box) 20	box	Rubber band, regular, colored (1000pc/box) 10	packs	Auto clave plastic bag (12x12x0.3 thin, 100pc/pack) 100	box	Rearing plastic boxes (12x9x4) </t>
  </si>
  <si>
    <t xml:space="preserve"> 1.	The Philippine Science High School Southern Mindanao Campus, through its approved budget allocation for capital outlay under FY 2020 General Appropriation Act (GAA) intends to apply the sum of Thirteen Million Two Hundred Thousand Pesos (P 13,200,000.0</t>
  </si>
  <si>
    <t xml:space="preserve"> Item	Description	ABC	Unit 	Qty. 	LINE BID			 1	INTERLOCKING NAIL ORIGINAL 8MM X 32CM TIBIA	100,000.00	PCS	5 2	INTERLOCKING NAIL ORIGINAL 8MM X 34CM FEMUR	100,000.00	PCS	5 3	INTERLOCKING NAIL ORIGINAL 8MM X 36CM FEMUR	100,000.00	PCS	5 4	INTERLOCKING NAIL O</t>
  </si>
  <si>
    <t xml:space="preserve"> Item	Description	ABC	Unit 	Qty. 	LINE BID			 1	ADM. SET (MACROSET) WITH Y PORT &amp; SAFETY LOCK (1ML=20 DROPS/ 1 DROP=0.05ML)	472,500.00	SET	13,500 2	ADM. SET (MICROSET) WITH Y PORT &amp; SAFETY LOCK (1ML=60DROPS/ 1 DROP=0.016ML)	315,000.00	SET	9,000 3	CARBON DI</t>
  </si>
  <si>
    <t xml:space="preserve"> Item	Description	ABC	Unit 	Qty. 	LINE BID			 1	6 HOLE 1/3 TUBULAR PLATE	44,000.00	PCS	20 2	7 HOLE 1/3 TUBULAR PLATE	60,000.00	PCS	20 3	7 HOLE L-PLATE LEFT TIBIA	24,000.00	PCS	6 4	CORTEX SCREW, 3.5MM X 14MM	11,000.00	PCS	50 5	CORTEX SCREW, 3.5MM X 16MM	66,</t>
  </si>
  <si>
    <t xml:space="preserve"> PLEASE SEE ATTACHMENTS FOR DETAILS</t>
  </si>
  <si>
    <t xml:space="preserve"> Item	Description	ABC	Unit 	Qty. 	LOT BID			 1	BLOOD GLUCOSE TIP, STERILE, INDIVIDUALLY SEALED (MUST BE COMPATIBLE WITH HOSPITAL OWNED BLOOD GLUCOSE MONITORING DEVICE)	2,625,000.00	PCS	75,000 2	BLOOD LANCET WITH FREE USE OF LANCING DEVICE (MUST BE COMPATIB</t>
  </si>
  <si>
    <t xml:space="preserve"> Item	Description	ABC	Unit 	Qty. 	LINE BID			 1	BACTO AGAR 500 GRAMS	        4,400.00 	BOTTLE	1 2	BILE ESCULIN AGAR, 500G	        4,794.05 	BOTTLE	1 3	CARY-BLAIR MEDIUM AGAR 500 GRAMS	        7,900.00 	BOTTLE	1 4	DNASE AGAR 500 GRAMS	      16,500.00 	BOTTL</t>
  </si>
  <si>
    <t xml:space="preserve"> INVITATION TO BID FOR THE Supply and Delivery of 1-unit Sports Utility Vehicle for Bicol University 1.	The BICOL UNIVERSITY, through the Corporate Budget for the contract approved by the Board of Regents intends to apply the sum of One Million Seven Hundr</t>
  </si>
  <si>
    <t xml:space="preserve"> Item	Description	ABC	Unit 	Qty. 	LOT BID			 1	BCG SYRINGE G-27 X 3/8 (0.05ML) 100’S STERILE	14,400.00	BOX	12 2	INSULIN SYRINGE 1CC, THICKNESS: NOT LESS THAN G-30X5/16” (100’S/BOX) STERILE	800,000.00	BOX	1,000 3	SYRINGE DISPOSABLE 1ML G-26 X ½”, LUER LOCK </t>
  </si>
  <si>
    <t xml:space="preserve"> Item	Description	ABC	Unit	Qty. 	LINE BID			 1	NYLON 3-0 W/ NEEDLE 3/8 CURVE REVERSE CUTTING EDGE 26 MM, STAINLESS STEEL NEEDLE, SHARP, WELL POLISHED, STERILE	315,000.00	PCS	900 2	NYLON 4-0 CUTTING NEEDLE, STERILE	315,000.00	PCS	900 3	POLYGLACTIN/POLYGLYCO</t>
  </si>
  <si>
    <t xml:space="preserve"> 1.	The Municipality of Esperanza, intends to apply the sum of Nine Hundred Seventy Two Thousand Pesos Only (Php972,000.00) being the Approved Budget for the Contract (ABC) to payments under the contract for Supply and Delivery of Pre &amp; Post Chlorine Dosin</t>
  </si>
  <si>
    <t xml:space="preserve"> Item	Description	ABC	Unit	Qty. 	LINE BID			 1	ADM. SET (BLOOD TRANSFUSION SET) 20 DROPS/ML WITH VENIPUNCTURE NEEDLE STERILE	300,000.00	SET	3,000 2	ASEPTO SYRINGE 60 ML PLASTIC STERILE	300,000.00	PCS	6,000 3	CATHETER UMBILICAL FR. 3.5 STERILE	15,000.00	PCS</t>
  </si>
  <si>
    <t xml:space="preserve"> Item	Description	ABC	Unit	Qty. 	LOT BID			 1	HEMOGLOBIN MICROCUVETTE	225,000.00	PCS	4,500 	TERMS OF REFERENCE FOR PROCUREMENT  OF REAGENTS AND RELATED SUPPLIES FOR ON SITE HEMOGLOBIN AND HEMATOCRIT TESTING DURING MOBILE BLOOD DONATION THIS IS LOT BID The </t>
  </si>
  <si>
    <t xml:space="preserve"> FUND SOURCE: 20% PDF 2020 TYPES OF WORK TO BE DONE: Project billboard/ signboard/ occupational safety and health program/ removal of actual structures/ obstruction (PCCP reinforced)/ structure excavation</t>
  </si>
  <si>
    <t xml:space="preserve"> Item	Description	ABC	Unit	Qty. 	LOT BID			 1	450 CC DOUBLE BLOOD BAGS	247,500.00	PCS	900 2	450 CC SINGLE BLOOD BAGS	630,000.00	PCS	3,600 3	TOP AND BOTTOM BLOOD COLLECTION BAG	63,000.00	PCS	63 4	TUBE WELDER COPPER WAFER 140’S/BOX	105,000.00	BOX	10 	TERMS O</t>
  </si>
  <si>
    <t xml:space="preserve"> Item	Description	ABC	Unit	Quantity 	LINE BID			 1	ADENOSINE 3MG/ML, 2ML VIAL (IV)	22,132.00	VIAL	100 2	AMIODARONE HYDROCHLORIDE 200MG TABLET	10,915.00	TABLET	500 3	AMIODARONE HYDROCHLORIDE 50MG/ML, 3ML AMPULE (IV)	88,500.00	AMPULE	300 4	AMLODIPINE BESILAT</t>
  </si>
  <si>
    <t xml:space="preserve"> Item	Description	ABC	Unit	Qty. 	LOT BID			 1	REAGENTS FOR HPLC HEMOGLOBIN A1C EXAMINATION WITH CONTROL CALIBRATORS, SAMPLE CUPS, FILTER, COLUMN, THERMAL PAPER &amp; OTHER ACCESSORIES	1,000,000.00	SET	2,500 	TERMS OF REFERENCE FOR PROCUREMENT OF HEMOGLOBIN A1c</t>
  </si>
  <si>
    <t xml:space="preserve"> Item	Description	ABC	Unit	Qty. 	LOT BID			 1	REAGENTS/SUPPLIES FOR AUTOMATED URINE SEDIMENT ANALYSER WITH AUTOMATED URINE CHEMISTRY ANALYSER GOOD FOR 30,240 TESTS WHICH WILL INCLUDE REPORTABLE TEST, CONTROL RUNS AND REPETITIONS	1,800,000.00	SET	1 	TERMS O</t>
  </si>
  <si>
    <t xml:space="preserve"> Item	Description	ABC	Unit	Qty. 	LOT BID			 1	HBS-AG (ELISA) 480 TEST/KIT	529,200.00	KIT	9 2	HCV-AG/AB (ELISA) 480 TEST/KIT	1,337,400.00	KIT	9 3	HIV-AG/AB I &amp; II 480 TEST/KIT ELISA	788,400.00	KIT	9 4	SYPHILIS IMMUNOASSAY 960 TEST/KIT	344,000.00	KIT	4 	TERM</t>
  </si>
  <si>
    <t xml:space="preserve"> SCOPE OF WORKS: B.5	Project Billboard &amp; Signboard	2.00	each B.7	Occupational Safety and Health Program	3.00	each		 801(1)	Removal of Strucrures &amp; Obstructions	1.00	ls	 803(1)a	Structure Excavtion, Common Soil	8.00	cu.m. 804(1)	Earth Fill	3.00	cu.m.		 1047</t>
  </si>
  <si>
    <t xml:space="preserve"> Item	Description	ABC	Unit	Qty. 	LINE BID			 1	ANTI HUMAN GLOBULIN (AHG) (10 ML PER VIAL)	4,800.00	VIALS	6 2	ANTI-D BLOOD TYPING SERA 10 ML/VIAL	27,000.00	VIALS	45 3	POLYPROPYLENE BAG, SPECS (PLASTIC BAG, 175 X 300 MM (7 X 12 INCHES), 1000S/BAG	9,000.00	BA</t>
  </si>
  <si>
    <t xml:space="preserve"> Item	Description	ABC	Unit	Qty. 	LINE BID			 1	AUTOPSY APRON (PLASTIC, UP TO KNEE)	7,500.00	PCS	30 2	AUTOPSY SAW BLADE/CUTTER BLADE MOPEC BD. 101	25,000.00	SET	1 3	DIAMOND PEN (STAINLESS)	3,690.00	PCS	1 4	ELBOW LENGTH GLOVES, SIZE 7	4,500.00	PCS	30 5	EYE W</t>
  </si>
  <si>
    <t xml:space="preserve"> Item	Description	ABC	Unit	Quantity 	LINE BID			 1	AMPHOTERICIN B CHOLESTERYL COMPLEX 50MG VIAL COLLOIDAL DISPERSION (LIPID COMPLEX), IV INFUSION	521,244.00	VIAL	50 2	AMPHOTERICIN B DEOXYCHOLATE 50MG LYOPHILIZED POWDER VIAL, NON LIPID COMPLEX, IV INFUSION	</t>
  </si>
  <si>
    <t xml:space="preserve"> Item	Description	ABC	Unit	Quantity 	LINE BID			 1	ANTI-RABIES SERUM (EQUINE) 200IU/ML, 5ML VIAL (IM)	21,600.00	VIAL	20 2	BUPIVACAINE HYDROCHLORIDE 0.5%, 4ML AMPULE (HEAVY)	352,320.00	AMPULE	3,000 3	CALCIUM CARBONATE 500MG TABLET OR CHEWABLE TABLET (EQUIV </t>
  </si>
  <si>
    <t xml:space="preserve"> Item	Description	ABC	Unit	Qty. 	LINE BID			 1	DISTILLED WATER, 4 LITERS	600.00	BOTTLE	6 2	LUGOL’S IODINE SOLUTION, 250 ML	980.00	BOTTLE	2 3	PREGNANCY TEST KIT DUO (URINE &amp; SERUM)	288,000.00	PCS	3,600 4	URINE STRIP (10 PARAMETERS), 100 STRIPS/BOTTLE	136,80</t>
  </si>
  <si>
    <t xml:space="preserve"> Item	Description	ABC	Unit	Qty. 	LINE BID			 1	COVER GLASS (24 X 50 MM OPTICALLY CLEAR) 100’S/BOX	600.00	BOX	3 2	COVER GLASS (24 X 60 MM OPTICALLY CLEAR) 100’S/BOX	15,000.00	BOX	75 3	CRYOGEL 120 ML/BOTTLE	3,000.00	BOTTLE	3 4	CRYOSPRAY AT LEAST 10 OZ PER CA</t>
  </si>
  <si>
    <t xml:space="preserve"> Republic of the Philippines CITY OF TACURONG OFFICE OF THE CITY MAYOR INVITATION TO BID FOR WIDENING OF BARANGAY ROADS (Contract ID No: 2020-CW-019) The City Government of Tacurong, through 20% Development Fund 2020 intends to apply the sum stated below b</t>
  </si>
  <si>
    <t xml:space="preserve"> Republic of the Philippines							 Province of Davao del Sur							 MUNICIPALITY OF MAGSAYSAY							 							 							 Project Title:	Construction of Dalumay Barangay Health Station And IEC (Information Educational Communication &amp; Campaign Area) &amp; Construct</t>
  </si>
  <si>
    <t xml:space="preserve"> Republic of the Philippines							 Province of Davao del Sur							 MUNICIPALITY OF MAGSAYSAY							 							 							 Project Title:	"CONSTRUCTION OF MALONGON BARANGAY HEALTH STATION AND IEC (INFORMATION EDUCATIONALCOMMUNICATION AND CAMPAIGN AREA) AND CONS</t>
  </si>
  <si>
    <t xml:space="preserve"> Republic of the Philippines							 Province of Davao del Sur							 MUNICIPALITY OF MAGSAYSAY							 							 							 Project Title:	"CONSTRUCTION OF TAGAYTAY BARANGAY HEALTH STATION AND IEC (INFORMATION EDUCATIONALCOMMUNICATION AND CAMPAIGN AREA) AND CONS</t>
  </si>
  <si>
    <t xml:space="preserve"> Item	Description	ABC	Unit	Quantity 	LINE BID			 1	0.9% SODIUM CHLORIDE SOLUTION 1L BOTTLE OR BAG (IV INFUSION)	1,330,000.00	PCS	35,000 2	10% DEXTROSE IN WATER 500CC BOTTLE OR BAG (IV INFUSION)	12,870.00	PCS	300 3	5% DEXTROSE IN 0.3% SODIUM CHLORIDE 500ML </t>
  </si>
  <si>
    <t xml:space="preserve"> Republic of the Philippines							 Province of Davao del Sur							 MUNICIPALITY OF MAGSAYSAY							 							 							 Project Title:	"CONSTRUCTION OF BALNATE BARANGAY HEALTH STATION AND IEC (INFORMATION EDUCATIONALCOMMUNICATION AND CAMPAIGN AREA) AND IMPRO</t>
  </si>
  <si>
    <t xml:space="preserve"> Republic of the Philippines Department of Finance  PRIVATIZATION AND MANAGEMENT OFFICE 104 Gamboa Street, Legaspi Village, Makati City 1229 			 INVITATION TO BID PROVISION OF MANPOWER SERVICES (Clerk, Housekeeping, Driver/Messenger, and Messenger) PMO 01-</t>
  </si>
  <si>
    <t xml:space="preserve"> Item	Description	ABC	Unit	Qty. 	LOT BID			 1	10X EZ PREP SOLUTION AT LEAST 1 L/BOTTLE	32,000.00	BOTTLE	1 2	3M STICKER LABELS (EBAR LABEL 5 ROLLS X 500 LABELS/PACK	1,000.00	PACKS	1 3	CELL CONDITIONING SOLUTION CC1 (630 TESTS/PACK)	41,000.00	PACKS	1 4	DAB C</t>
  </si>
  <si>
    <t xml:space="preserve"> SCOPE OF WORKS: B.5	Project Billboard &amp; Signboard	2.00	each	 101(2)	Removal of Existing Apron	2.00	ln.m. 103(1)a	Structure Excavation (Common Soil, RCPC)	3.57	cu.m. 104(2)	Embankment from Borrow	75.00	cu.m. 105(1)a	Subgrade Preparation (Common Materials)	</t>
  </si>
  <si>
    <t xml:space="preserve"> Republic of the Philippines							 Province of Davao del Sur							 MUNICIPALITY OF MAGSAYSAY							 							 							 Project Title:	REHABILITATION OF MUNICIPAL MULTI-PURPOSE BUILDING (PHASE I)						 Location:	Municipal Compound, Magsaysay, Davao del Sur		</t>
  </si>
  <si>
    <t xml:space="preserve"> Invitation to Bid for the Supply and Delivery of Branded and Brand New Printers and Consumables 1 Lot The Philippine Fiber Industry Development Authority (PhilFIDA), through the Republic Act No. 11465 GAA FY 2020 Fund intends to apply the sum of Two Milli</t>
  </si>
  <si>
    <t xml:space="preserve"> SCOPE OF WORKS: B.5	Project Billboard &amp; Signboard	1.00	each	 803(1)a	Structure Excavation , Common Soil	27.33	cu.m. 804(1)a	Structure Embankment from Structure Excavation	26.22	cu.m.	 903(1)	Formworks &amp; False Works	1.00	l.s 900(1)c1	Structural Concrete	63</t>
  </si>
  <si>
    <t xml:space="preserve"> (PLEASE SEE ATTACHED FILES)</t>
  </si>
  <si>
    <t xml:space="preserve"> SCOPE OF WORKS: B.5	Project Billboard &amp; Signboard	2.00	each B-7.1	Occupational Safety and Health Program	3.00	mo.		 101(2)	Removal of Stone Masonry Headwall	2.09	ln.m. 103(1)a	Structure Excavation (Common Soil, RCPC)	39.26	cu.m. 104(1)a	Embankment from Ro</t>
  </si>
  <si>
    <t xml:space="preserve"> SCOPE OF WORKS: B.5	Project Billboard &amp; Signboard	2.00	each 101(2)	Removal of Stone Masonry Head Wall	2.49	cu.m. 101(2)a	Removal of RCPC (18 "mm dia.) 450 mm	5.00	ln.m. 103(1)a	Structure Excavation (Common Soil, RCPC)	16.08	cu.m. 104(2)	embankment from Bo</t>
  </si>
  <si>
    <t xml:space="preserve"> Item	Description	ABC	Unit	Quantity 	LINE BID			 1	ASPARAGINASE LYOPHILIZED POWDER 10,000 IU VIAL, IV	169,800.00	VIAL	100 2	BLEOMYCIN POWDER, 15IU AMPULE OR VIAL (IM, IV) (AS SULFATE)	57,000.00	PCS	30 3	CAPECITABINE 500MG TABLET	51,000.00	TABLET	1,000 4	CA</t>
  </si>
  <si>
    <t xml:space="preserve"> DESCRIPTION Upgraded Native Chicken – Cluster 1 (SAAD) Cluster 1 – Compostela, New Bataan, Montevista &amp; Nabunturan Male (Cockerel)  1480 Female (Pullets) 4440 8 Birds per beneficiary – 2:6 (2 male and 6 female) COVERED BARANGAY: Delivery Site BARANGAY    </t>
  </si>
  <si>
    <t xml:space="preserve"> The DPWH-Regional Office I, through its Bids and Awards Committee (BAC), invites contractors to submit bids for the following Contract: Contract ID: 20A00213 Contract Name: Concreting of Farm to Market Road, Brgy. Tangaoan, Piddig, Ilocos Norte Brief Desc</t>
  </si>
  <si>
    <t xml:space="preserve"> The Local Government Unit of Science City of Muñoz, through the 2020 Development Fund, intends to apply the sum of Eight Million Pesos (Php 8,000,000.00) being the Approved Budget for the Contract (ABC) to payments under the contract for Development and B</t>
  </si>
  <si>
    <t xml:space="preserve"> July 14, 2020 INVITATION TO BID  The Department of Public Works and Highways, Mindoro Occidental District Engineering Office, Mamburao, Occidental Mindoro, through its Bids and Award Committee (BAC), invites contractors to submit bids for the following Co</t>
  </si>
  <si>
    <t xml:space="preserve"> --- Prebid Date and Time July 28, 2020 09:30 AM Bid Opening Date and Time August 11, 2020 09:30 AM Prebid Registration Link https://forms.gle/9T3XQ8RQ3X5Fmi9r7 Relevant Procurement Documents https://bit.ly/TWDPiercingTool2020 ---</t>
  </si>
  <si>
    <t xml:space="preserve"> ALBAY 3RD DISTRICT ENGINEERING OFFICE																											 Paulog, Ligao City																											 																											 																											 INVITATION TO BID																											 																											 															</t>
  </si>
  <si>
    <t xml:space="preserve"> REPUBLIC OF THE PHILIPPINES LGU-Tigaon, Camarines Sur Caraycayon, Tigaon, Camarines Sur -o0o- BIDS &amp; AWARDS COMMITTEE INVITATION TO BID CONSTRUCTION OF LOCAL ACCESS ROADS  PROJECT ID NO. INFRA-20-004 1.	The Local Government Unit of Tigaon, Camarines Sur i</t>
  </si>
  <si>
    <t xml:space="preserve"> Repair/ Rehabilitation of National Road (PCCP Reblocking)</t>
  </si>
  <si>
    <t xml:space="preserve"> Repair of Chilled and Condenser Water Piping System for the  Air Handling Units at the Cash Department, Multi-Storey  Building, BSP Head Office, as per BSP Terms of Reference Please see Invitation to Bid and Pertinent Bid Docs</t>
  </si>
  <si>
    <t xml:space="preserve"> The Western Mindanao State University, through its Bids and Awards Committee (BAC), is inviting PhilGEPS registered suppliers to apply for eligibility and to submit bids for the item mentioned hereunder:  1.)	20	Units	Desktop Computer 			Specifications: 	</t>
  </si>
  <si>
    <t xml:space="preserve"> Request for Quotation The Bureau of Fisheries and Aquatic Resources, Regional Office No. 5, Fabrica, Bula, Camarines Sur is requesting from prospective suppliers to submit quotation for the Supply and Delivery of Office Supplies.   Quantity	Unit	Item Desc</t>
  </si>
  <si>
    <t xml:space="preserve"> Republic of the Philippines Province of Agusan del Sur Municipality of Trento BIDS &amp; AWARDS COMMITTEE INVITATION TO BID  FOR THE INSTALLATION OF STREETLIGHTS 1.	The Municipality of Trento, through the PDF 2020 intends to apply the sum of Five Million Peso</t>
  </si>
  <si>
    <t xml:space="preserve"> Supply, Delivery, Installation, Integration, Testing, Training and Commissioning of One (1) Set of 10-Kilowatt Liquid- Cooled, Band IV-V ISDB-T Digital Transmitter with Complete Electronic &amp; Electrical System and Accessories for the People’s Television Ne</t>
  </si>
  <si>
    <t xml:space="preserve"> --- Prebid Date and Time July 28, 2020 01:30 PM Bid Opening Date and Time August 11, 2020 01:30 PM Prebid Registration Link https://forms.gle/YUVpQ7sYZeXYhpjQ8 Relevant Procurement Documents https://bit.ly/TWDBrass2020 ---</t>
  </si>
  <si>
    <t xml:space="preserve"> INVITATION TO BID GS 2020-007-024 FABRICATION AND SUPPLY OF G.I. FRANCHISE PLATE @ City Franchising Office 1.	The City Government of Sorsogon,   intends to apply the sum of  Two  Million Four Hundred  Fifty  Thousand   Pesos (Php   2,450,000.00) being the</t>
  </si>
  <si>
    <t xml:space="preserve"> Request for Proposal  The Bureau of Fisheries and Aquatic Resources Regional Office No. 5 (BFAR RO 5), Fabrica, Bula, Camarines Sur is requesting from prospective suppliers to submit written proposal for the Upgrading of Desktop Computers intended for NSA</t>
  </si>
  <si>
    <t xml:space="preserve"> ITB NO. 2020-0015 or Supply, Delivery, Design and Retrofitting of the Quezon City TV Broadcast Transmitter Tower including Rehabilitation of Building/Transmitter Shelter, Grounding and Lightning Protection System and Installation of Digital Terrestrial Te</t>
  </si>
  <si>
    <t xml:space="preserve"> Republic of the Philippines  Province of Samar Municipality of Sto. Niño  Invitation to Bid for the Construction/Extension of Seawall. 1.	The Municipality of Sto. Niño, Samar, through the Local Government Support Fund- Assistance to Municipalities (LGSF-A</t>
  </si>
  <si>
    <t xml:space="preserve"> Invitation to Bid for  Construction of Four (4) Storey Student Services Center Building in Batangas State University, ARASOF – Nasugbu (Phase I) 1.	The Batangas State University, through the Supplemental Budget FY 2020 intends to apply the sum of One Hund</t>
  </si>
  <si>
    <t xml:space="preserve"> DESCRIPTION PROCUREMENT AND DELIVERY OF 816 BAGS OF GM HYBRID YELLOW CORN SEEDS FOR LOW ELEVATION CORN AREAS @ 9KG/ BAG LOT  NO.	DESCRIPTION	QTY (bags) 1	GM Hybrid Yellow Corn Seeds for Low Elevation Corn Areas of Davao City @ 9 kilograms/ bag 	350      2</t>
  </si>
  <si>
    <t xml:space="preserve"> Republic of the Philippines  Province of Samar Municipality of Sto. Niño  Invitation to Bid for the Concreting of FMR/ Local Road (Upgrading) Improvement of Zamora St., Acilo St. (Portion only) and Concrete Alley. 1.	The Municipality of Sto. Niño, Samar, </t>
  </si>
  <si>
    <t xml:space="preserve"> Supply, Delivery, Installation, Supervision, Training, Testing and Commissioning of One (1) Set of Licensed Professional RF Network Planning Software for the People’s Television Network, Inc. (PTNI) or ITB NO. 2020-0016</t>
  </si>
  <si>
    <t xml:space="preserve"> One (1) Equipment Set; Ready to Commission Mobile Shredding Machine and Accessories (with Mini Tractor with trailer)  Public Bidding</t>
  </si>
  <si>
    <t xml:space="preserve"> Various Agricultural &amp; Marine Supplies See attached link under OTHER INFORMATION BOX</t>
  </si>
  <si>
    <t xml:space="preserve"> The Western Mindanao State University, through its Bids and Awards Committee (BAC), is inviting PhilGEPS registered suppliers to apply for eligibility and to submit bids for the item mentioned hereunder:  1.)	1200	Pieces	Monobloc Chair 			* with writing p</t>
  </si>
  <si>
    <t xml:space="preserve"> Republic of the Philippines							 Province of Davao del Sur							 MUNICIPALITY OF MAGSAYSAY							 							 							 Project Title:	REPAIR OF POBLACION BARANGAY HEALTH STATION 						 Location:	POBLACION, MAGSAYSAY, DAVAO DEL SUR						 Dimension:	102.84	sq</t>
  </si>
  <si>
    <t xml:space="preserve"> Republic of the Philippines							 Province of Davao del Sur							 MUNICIPALITY OF MAGSAYSAY							 							 							 Project Title:	"REPAIR OF TACUL BARANGAY HEALTH STATION AND IEC (INFORMATION EDUCATIONALCOMMUNICATION AND CAMPAIGN AREA) AND CONSTRUCTION </t>
  </si>
  <si>
    <t xml:space="preserve"> Billboard; Completion of Second Floor Extension( Dismantling of Half Roofing &amp; Framing, Structural Steel Roof Framing/Roofing, 100mm CHJB Load Bearing(including reinforcing steel), Cement Plaster Finish, A-Interior Ceiling (Marine Plywood in Wood Framing </t>
  </si>
  <si>
    <t xml:space="preserve"> Republic of the Philippines							 Province of Davao del Sur							 MUNICIPALITY OF MAGSAYSAY							 							 							 Project Title:	Repair and Rehabilitation of Magsaysay Halfway House Facility						 Location:	Municipal Health Center Site, Magsaysay, Dava</t>
  </si>
  <si>
    <t xml:space="preserve"> Invitation to Bid for Construction of Five (5) Storey Higher Education  Building in Batangas State University, JLPC - Malvar (Phase I) 1.	The Batangas State University, through the Supplemental Budget FY 2020 intends to apply the sum of One Hundred Millio</t>
  </si>
  <si>
    <t xml:space="preserve"> Republic of the Philippines                                                        Province of Zamboanga del Norte                                                           MUNICIPALITY OF MANUKAN 	                                                         </t>
  </si>
  <si>
    <t xml:space="preserve"> Invitation to Bid ITB-SSS-Goods-2020-022 	 PARTIAL REPLACEMENT OF 3-SET CIRCUIT BREAKERS FOR LOW VOLTAGE SWITCHGEAR (LVS) AT POWER SUBSTATION #1 (ATS AND STANDARD CONFIGURATION) 	 Approved Budget for the Contract (ABC)      :        PhP 1,500,000.00 Sourc</t>
  </si>
  <si>
    <t xml:space="preserve"> 1 unit BRAND NEW 2020 PICK UP 4X2 LS -A AT Minimum specification: Engine: 4JJ-TCX 3.0L, common rail direct injection blue power diesel engine with intercooler, variable geometry system (VGS) turbo charger, Euro 4 Emission rating. Transmission: 6 speed aut</t>
  </si>
  <si>
    <t xml:space="preserve"> 1 unit BRAND NEW 2020 SUV 4X2 LS AT Minimum specification: 4 cylinder in line blue power diesel engine with turbo intercooler, variable geometry system (VGS) Turbo charger, euro 4 engine. Transmission: 6 speed automatic transmission with sequential shift.</t>
  </si>
  <si>
    <t xml:space="preserve"> 1.00       lot       Masonry Works</t>
  </si>
  <si>
    <t xml:space="preserve"> 1 unit BRAND NEW 2020 SUV 4X2 LS AT Minimum specification: 4 cylinder in line blue power diesel engine with turbo intercooler, variable geometry system (VGS) turbo charger, euro 4 engine. Transmission: 6 speed automatic transmission with sequential shift </t>
  </si>
  <si>
    <t xml:space="preserve"> 1.00       lot       Steel Works</t>
  </si>
  <si>
    <t xml:space="preserve"> SUPPLY AND DELIVERY OF CONSTRUCTION MATERIALS FOR THE CONSTRUCTION OF STAIRCASE CHARGE TO 20% EDF</t>
  </si>
  <si>
    <t xml:space="preserve"> 1.00       lot       Masonry and Plumbing Works</t>
  </si>
  <si>
    <t xml:space="preserve"> Structure Excavation; Embankment; Structural Concrete for Fooling and Slab on Fill; Structural Concrete for Fooling Tie Beam, Girder/Beam; Reinforcing Steel of Reinforced Concrete Structures; Formworks and Falseworks; catch Basin (Concrete/CHB); Plumbing </t>
  </si>
  <si>
    <t xml:space="preserve"> Republic of the Philippines Province of Sarangani Municipality of Alabel oooOooo INVITATION TO BID FOR PROCUREMENT OF ONE (1) UNIT RESCUE VEHICLE 1.The Municipality of Alabel, through the 5% Calamity Fund for CY 2019 &amp; 2020[  Ibid.] intends to apply the s</t>
  </si>
  <si>
    <t xml:space="preserve"> Republic of the Philippines							 Province of Davao del Sur							 MUNICIPALITY OF MAGSAYSAY							 							 							 Project Title:	"REPAIR OF BARAYONG BARANGAY HEALTH STATION  "						 Location:	Barayong, Magsaysay, Davao del Sur						 BHS Floor Area:		68</t>
  </si>
  <si>
    <t xml:space="preserve"> SCOPE OF WORKS: B.3	Project Billboard &amp; Sign Board	2.00	each B.7	Occupational Safety and Health Program	4.00	months	 801(1)	Removal of Structure &amp; Obstruction	1.00	l.s		 803(1)a	Structure Excavation, Common Soil	35.00	cu.m. 804(1)b	Embankment, from borrow</t>
  </si>
  <si>
    <t xml:space="preserve"> Republic of the Philippines                                                          Province of Aklan                                                         MUNICIPALITY OF LIBACAO                                                          BARANGAY PAMPAN</t>
  </si>
  <si>
    <t xml:space="preserve"> 1 unit BRAND NEW 2020 PICK UP 4X4 LS -A AT Minimum Specification: Engine: 4JJ1-TCX 3.0L, common rail direct injection blue power diesel engine with intercooler, variable geometry system (VGS) turbo charger, Euro 4 Emission rating. Transmission: 6 speed au</t>
  </si>
  <si>
    <t xml:space="preserve"> SCOPE OF WORKS: B.3	Project Billboard &amp; Sign Board	2.00	each B.7	Occupational Safety and Health Program	4.00	months		 801(1)	Removal of Structure &amp; Obstruction	1.00	l.s	 803(1)a	Structure Excavation, Common Soil	30.00	cu.m. 804(1)b	Embankment, from borrow</t>
  </si>
  <si>
    <t xml:space="preserve"> PROJECT SIGNBOARD = 6.27% FORM WORKS AND SCAFFOLDINGS = 5.28% PLASTERING/FINISHING (GROUND FLOOR WALLING = 26.99% COLUMNS/BEAM WORKS (GROUND FLOOR PLASTERING = 7.22% DOORS (SECOND FLOOR) = 44.91% CR REPAIR (GROUND FLOOR) = 2.88 ELECTRICAL WORKS (PARTIAL) </t>
  </si>
  <si>
    <t xml:space="preserve"> SCOPE OF WORKS: B.3	Project Billboard &amp; Sign Board	2.00	each B.7	Occupational Safety and Health Program	4.00	months 801(1)	Removal of Structure &amp; Obstruction	1.00	l.s 803(1)a	Structure Excavation, Common Soil	36.00	cu.m. 804(1)b	Embankment, from borrow	10</t>
  </si>
  <si>
    <t xml:space="preserve"> Item	Description	ABC	Unit	Qty. 	LOT BID			 1	ABO BLOOD GROUPING REAGENT (160 TEST/KIT)	2,475,000.00	KIT	150 2	ANTIBODY SCREENING REAGENT (192 TEST/KIT)	792,000.00	KIT	18 	TERMS OF REFERENCE FOR PROCUREMENT OF REAGENTS AND RELATED SUPPLIES FOR AUTOMATED BL</t>
  </si>
  <si>
    <t xml:space="preserve"> Republic of the Philippines Province of Nueva Vizcaya BIDS AND AWARDS COMMITTEE (BAC-Goods) BAC OFFICE, Provincial Capitol, Bayombong, Nueva Vizcaya Tel. No. 078-392-2062 	 INVITATION TO BID FOR THE SUPPLY AND DELIVERY OF CONSTRUCTION MATERIALS  FOR THE  </t>
  </si>
  <si>
    <t xml:space="preserve"> Republic of the Philippines							 Province of Davao del Sur							 MUNICIPALITY OF MAGSAYSAY							 							 							 Project Title:	REPAIR AND REHABILITATION OF MAGSAYSAY BIRTHING FACILITY 						 Location:	MUNICIPAL HEALTH CENTER SITE, MAGSAYSAY, DAVAO DE</t>
  </si>
  <si>
    <t xml:space="preserve"> Item	Description	ABC	Unit	Quantity 	LINE BID			 1	ACETYLCYSTEINE 600MG EFFERVESCENT TABLET	110,000.00	TABLET	5,000 2	ALBUMIN, HUMAN 20%, 50ML BOTTLE, (IV, IV INFUSION)	384,022.00	VIAL	200 3	ANTI-TETANUS SERUM (EQUINE) 1500”IU”/0.7ML SOLUTION FOR INJECTION</t>
  </si>
  <si>
    <t xml:space="preserve"> Item	Description	ABC	Unit 	Quantity 	LINE BID			 1	ALLOPURINOL 300MG TABLET	300.00	TABLET	200 2	ATRACURIUM BESILATE 10MG/ML, 2.5ML AMPULE (IV)	172,660.00	AMPULE	2,000 3	AZATHIOPRINE 50MG TABLET	6,000.00	TABLET	200 4	CALCIUM CARBONATE 500MG TABLET OR CHEWA</t>
  </si>
  <si>
    <t xml:space="preserve"> CW-Rehabilitation of New Municipal Hall Building Php26,255.33</t>
  </si>
  <si>
    <t xml:space="preserve"> Republic of the Philippines Province of Nueva Vizcaya BIDS AND AWARDS COMMITTEE (BAC-Goods) BAC OFFICE, Provincial Capitol, Bayombong, Nueva Vizcaya Tel. No. 078-392-2062 	 INVITATION TO BID FOR THE SUPPLY AND DELIVERY OF CONSTRUCTION MATERIALS (II) FOR T</t>
  </si>
  <si>
    <t xml:space="preserve"> Republic of the Philippines                                              Province of Aklan                                            MUNICIPALITY OF LIBACAO                                           BARANGAY  ALFONSO XII                                  </t>
  </si>
  <si>
    <t xml:space="preserve"> Item	Description	ABC	Unit	Quantity 	LINE BID			 1	BUTORPHANOL TARTRATE 2MG/ML, 1ML VIAL/AMPULE, (IM, IV)	436,220.00	PCS	1,000 2	DIAZEPAM 5MG/ML, 2ML AMPULE, (IM, IV)	142,848.00	AMPULE	1,800 3	EPHEDRINE SULFATE 50MG/ML, 1ML AMPULE (IM, IV)	91,500.00	AMPULE</t>
  </si>
  <si>
    <t xml:space="preserve"> A) REQUEST FOR QUOTATION 2014 Model Toyota Innova 1. 150 pcs Oil Filter 2. 50 pcs Fuel Filter 3. 50 pcs Air Filter Element 4. 40 sets Brake Pad 5. 20 pcs Drive Belt 6. 80 pcs Micro Filter 7. 3 pcs Aircon Compressor Assembly 8. 10 pcs Alternator Pulley 9. </t>
  </si>
  <si>
    <t xml:space="preserve"> A) REQUEST FOR QUOTATION  1. 5 months Monthly Preventive Maintenance Service of one (1) unit WELLS Machine Roomless Passenger Elevator, four (4) stops (G, 2 front opening and 3, 4 rear opening), Capacity: 800 kgs.; (August 2020 to December 2020) Scope of </t>
  </si>
  <si>
    <t xml:space="preserve"> ITB No. 2020-81 July 18, 2020 Republic of the Philippines Province of Davao Oriental CITY OF MATI INVITATION TO BID CONSTRUCTION OF MATI CREEK VERDANT WALL Name of Project 1.	The City Government of Mati, through the 20% Local Development Fund intends to a</t>
  </si>
  <si>
    <t xml:space="preserve"> Republic of the Philippines Province of Nueva Vizcaya BIDS AND AWARDS COMMITTEE (BAC-Goods) BAC OFFICE, Provincial Capitol, Bayombong, Nueva Vizcaya Tel. No. 078-392-2062 	 INVITATION TO BID FOR THE SUPPLY AND DELIVERY OF GRAFTED FRUIT TREES AND FOREST TR</t>
  </si>
  <si>
    <t xml:space="preserve"> REQUEST FOR EXPRESSION OF INTEREST  FOR THE CONSULTANCY SERVICES FOR THE IMPROVEMENT OF DAGOHOY WATERWORKS SYSTEM (CONDUCT OF FEASIBILITY STUDY AND DETAILED ENGINEERING DESIGN INCLUDING FOUR (4) BARANGAYS OF LA ESPERANZA, ESTACA, CAN-OLING AND VILLA AUROR</t>
  </si>
  <si>
    <t xml:space="preserve"> Procurement of Meals and Snacks Php 242,500.00</t>
  </si>
  <si>
    <t xml:space="preserve"> CW-Rehabilitation of Multi-purpose Building at Libertad Php527,310.16</t>
  </si>
  <si>
    <t xml:space="preserve"> Republic of the Philippines Province of Bohol Municipality of Ubay INVITATION TO BID FOR PURCHASE OF OFFICE EQUIPMENTS FOR THE PROVISION OF SCIENCE AND TECHNOLOGY INTERVENTIONS TO SUPPORT THE MUNICIPALITY OF UBAY AS A”SCIENCE MUNICIPALITY SMARTER LGU” 1.	</t>
  </si>
  <si>
    <t xml:space="preserve"> Republic of the Philippines PROVINCE OF PAMPANGA City of San Fernando INVITATION TO BID NO. 2020-24 IG-BAC INVITATION TO BID FOR PURCHASE REQUEST NO. 20-1863 The Provincial Government of Pampanga (“Province”) intends to apply the following sums from the f</t>
  </si>
  <si>
    <t xml:space="preserve"> 1 "Unit(s)" "SEISMIC ACCELEROGRAPH -" " Minimum Technical Specifications : SERVO TYPE Sensor/Accelerometer at least 0.1 to 999.9 gals Full Operation Colored Touch Screen Panel Internal audible alarm based on trigger level Internal Backup battery, standby </t>
  </si>
  <si>
    <t xml:space="preserve"> Complete Construction of 2 Science Laboratory Room ( 7.00m x 18.00m per room) and 2 Computer Room (7.0m x 18.00 per room) mostly built with concrete and masonry, with PWD ramp with handrails, parapet wall on concrete gutter and complete with electrical wo</t>
  </si>
  <si>
    <t xml:space="preserve"> SUPPLY AND DELIVERY OF VARIOUS FIRE FIGHTING EQUIPMENT  The PNOC Industrial Park, through the 2020 Approved Corporate Operating Budget intends to apply the sum of Three Million Two Hundred Ten Thousand Pesos (P3,210,000.00) being the Approved Budget for t</t>
  </si>
  <si>
    <t xml:space="preserve"> 11 "Unit(s)" "Water Tank, Steel, Vertical, 3.20 cu.m. -" "" 4 "Unit(s)" "Water Tank, Steel, Horizontal, 3.20 cu.m. -" "" 2 "Roll(s)" "PE Pipe, 1/2"" dia. -" "" 3 "Roll(s)" "PE Pipe, 1"" dia. -" "" 60 "Piece(s)" "PPR Male Adoptor, 1"" dia. PN 20 -" "" 45 "</t>
  </si>
  <si>
    <t xml:space="preserve"> Republic of the Philippines DEPARTMENT OF PUBLIC WORKS AND HIGHWAYS CAMARINES NORTE  DISTRICT ENGINEERING OFFICE REGIONAL OFFICE V Daet, Camarines Norte REQUEST FOR EXPRESSION OF INTEREST (REOI) Contract ID		: 20CSFC01 Contract Name	: CONSULTING SERVICES </t>
  </si>
  <si>
    <t xml:space="preserve"> 2 units Rice Mill - Single-pass mobile - Rubber roll huller-friction whitener - Power Source: Diesel Engine/Electric Motor - Input Capacity: 600-900 kg/h - Milling recovery index-minimum, 0.98 - Head Rice index, %; minimum, 0.90 - Hulling efficiency, %; m</t>
  </si>
  <si>
    <t xml:space="preserve"> Republic of the Philippines                                                          Province of Aklan MUNICIPALITY OF LIBACAO                                                           * * * The Local Government Unit of Libacao, through its Bids and Award</t>
  </si>
  <si>
    <t xml:space="preserve"> Republic of the Philippines DEPARTMENT OF PUBLIC WORKS AND HIGHWAYS SOUTH COTABATO 1ST  DISTRICT ENGINEERING OFFICE REGIONAL OFFICE XII Lagao, General Santos City   INVITATION TO BID  (IB NO. IBG -014, SERIES OF 2020) Contract ID No. 20GMB0014- Equipment </t>
  </si>
  <si>
    <t xml:space="preserve"> Improvement/Rehabilitation of Daycare Center at Brgy. San Jose, Merida</t>
  </si>
  <si>
    <t xml:space="preserve"> Improvement/Rehabilitation of Daycare Center at Brgy. Cabaliwan, Merida</t>
  </si>
  <si>
    <t xml:space="preserve"> 1 "Liter (s)" "Cobalt -" "" 2 "Liter (s)" "Wax -" "" 60 "Liter (s)" "Gelkote -" "" 115 "kg(s)" "CSM # 450 -" "" 70 "kg(s)" "WR #600 -" "" 330 "Liter (s)" "R-10-103 Resin -" "" 2 "Liter (s)" "Hardiner -" "" 5 "Liter (s)" "Styrene -" "" 6 "Liter(s)" "Laquer</t>
  </si>
  <si>
    <t xml:space="preserve"> Rehabilitation of Local Road at Brgy. Tubod, Merida, Leyte</t>
  </si>
  <si>
    <t xml:space="preserve"> Republic of the Philippines          City of Dumaguete Bids and Awards Committee INVITATION TO BID FOR THE PURCHASE OF 1,008 BAGS PORTLAND CEMENT 40 KGS AND OTHER ITEMS 	The City of Dumaguete thru its BIDS AND AWARDS COMMITTEE (BAC), invites all intereste</t>
  </si>
  <si>
    <t xml:space="preserve"> Improvement/Rehabilitation of Day Care Center at Brgy. Mahalit, Merida</t>
  </si>
  <si>
    <t xml:space="preserve"> Supply, Delivery and Installation of Split-Type Air Conditioners and Flat-Screen Televisions</t>
  </si>
  <si>
    <t xml:space="preserve"> Construction of Canbantug core local road at Brgy. Canbantug, Merida, Leyte</t>
  </si>
  <si>
    <t xml:space="preserve"> 16 "Piece(s)" "Lubricating Oil Filter # T64101001 -" "Foton DT" 8 "Piece(s)" "Secondary Fuel Filter # T64 101 003 -" "Foton DT" 8 "Piece(s)" "Primary Fuel Filter #T6410200ZA -" "Foton DT" 5 "Set(s)" "10x20 Log Type Tire with Inner Tube &amp; Flaps -" "FDT" 5 </t>
  </si>
  <si>
    <t xml:space="preserve"> 1.	The Sultan Kudarat Water District, through the Corporate Budget Approved by the Governing Board  intends to apply the sum of P 4,887,952.56 being the Approved Budget for the Contract (ABC) for first year only to payments under the contract. Bids receiv</t>
  </si>
  <si>
    <t xml:space="preserve"> Republic of the Philippines                                                   Province of Aklan                                                 MUNICIPALITY OF LIBACAO                                                 BARANGAY PAMPANGO                      </t>
  </si>
  <si>
    <t xml:space="preserve"> Item	Description	ABC	Unit	Qty. 	LOT BID			 1	HEP2 ANA (IFA) 10 X 6 WELLS) 60 TESTS/KIT	45,000.00	KIT	1 	TERMS OF REFERENCE FOR PROCUREMENT OF REAGENTS AND RELATED SUPPLIES FOR INDIRECT IMMUNOFLUORESCENT MICROSCOPY FOR THE DETECTION OF ANTI-NUCLEAR ANTIBOD</t>
  </si>
  <si>
    <t xml:space="preserve"> 2020 24th Public Bidding – REPAINTING OF EXTERIOR WALLS, ROOFS, ROOF EAVES, AND PERIMETER FENCE OF BGHMC</t>
  </si>
  <si>
    <t xml:space="preserve"> PLEASE DOWNLOAD THE ATTACHMENT/S FOR REFERENCE. Important Notes and Conditions: You can submit your quotation ON or BEFORE JULY 22, 2020 at 01:00 PM with the photocopy of the following legal documents: a. Mayor’s / Business Permit  b. PhilGEPS Registratio</t>
  </si>
  <si>
    <t xml:space="preserve"> Item	Description	ABC	Unit	Qty. 	LOT BID			 1	RIFAMPICIN 5 UG, 50 DISKS/CART	1,500.00	CART	5 2	NITROFURANTOIN 300 UG, 50 DISKS/CART	600.00	CART	2 3	MEROPENEM 10 UG, 50 DISKS/CART	3,500.00	CART	10 4	IMIPENEM 10 UG, 50 DISKS/CART	3,250.00	CART	10 5	LINEZOLID</t>
  </si>
  <si>
    <t xml:space="preserve"> Procurement of Rice Php 464,600.00</t>
  </si>
  <si>
    <t xml:space="preserve"> Billboard; Electrical (Second Floor &amp; Third Floor); Carpentry Works (Ceiling); Plumbing Works; Septic Tank; Comfort Rooms; Steel Column, Roof Framing, Roofing &amp; flashing; Granite Tiles; Fire Escape Ladder; Painting; Aluminum Louver, Sliding Window; Cement</t>
  </si>
  <si>
    <t xml:space="preserve"> Republic of the Philippines Province of South Cotabato BIDS AND AWARDS COMMITTEE Capitol Compound Alunan Avenue, Koronadal City Tel. Fax No.: (083) 228-9951/228-8570 RE-INVITATION TO BID FOR THE SUPPLY AND DELIVERY OF VARIOUS DRUGS &amp; MEDICINES 1.  The PRO</t>
  </si>
  <si>
    <t xml:space="preserve"> Project Sign Billboard; Construction Health and Safety Requirement; Structure Excavation (common soil);Embankment from  Common Borrow by Equipment; Structural Concrete (F,TB, Column, Slab) Class A, 28 days; Reinforcing Steel Bars, Grader 40; Formworks and</t>
  </si>
  <si>
    <t xml:space="preserve"> Item	Description	ABC	Unit	Qty. 	LOT BID			 1	CD 20 (50 TESTS/PACK)	36,000.00	PACKS	1 2	CD3 (50 TESTS/PACK)	35,000.00	PACKS	1 3	CD45 (50 TESTS)	35,000.00	PACKS	1 4	CK20 (50 TESTS/PACK)	36,000.00	PACKS	1 5	CK7 (50 TESTS/PACK)	36,000.00	PACKS	1 6	DESMIN (50 </t>
  </si>
  <si>
    <t xml:space="preserve"> Item	Description	ABC	Unit	Qty. 	LOT BID			 1	GRAM NEGATIVE ID CARD	102,000.00	PCS	240 2	GRAM NEGATIVE SUSCEPTIBILITY CARD	102,000.00	PCS	240 3	MUELLER HINTON AGAR II WITH SHEEPS BLOOD (COMMERCIALLY PREPARED)	15,750.00	PCS	150 4	TSA WITH 5% SHEEPS BLOOD (C</t>
  </si>
  <si>
    <t xml:space="preserve"> The DPWH, Negros Occidental 3rd District Engineering Office, Kabankalan City, Negros Occidental, through its Bids and Awards Committee (BAC), invites contractors to submit bids for the following contract: 1. Contract ID		:	20GM0081 Contract Name	:	Constru</t>
  </si>
  <si>
    <t xml:space="preserve"> Package 5 of 10: Supply and Delivery of 6,930 pieces 19mm.Ø (3/4") Plastic Union Coupling, Compression Type (CTS Pipe) (re-bidding)</t>
  </si>
  <si>
    <t xml:space="preserve"> PROCUREMENT OF RESCUE EQUIPMENT AND RETRACTABLE TENT CHARGE TO : SURPLUS 2019, MPOC 2020, ICMP 2020</t>
  </si>
  <si>
    <t xml:space="preserve"> Package 4 of 10: Supply and Delivery of 43 pieces Air Release Valve, 50mm Flange Type</t>
  </si>
  <si>
    <t xml:space="preserve"> Republic of the Philippines Province of Davao Occidental MUNICIPALITY OF SARANGANI Invitation to Bid PROVISION OF SLIDING DOOR, SBO (1000-1-2-2-1), SARANGANI, DAVAO OCCIDENTAL. The Municipality of Sarangani, through Supplemental / No. 2 Fund for Calendar </t>
  </si>
  <si>
    <t xml:space="preserve"> Package 6 of 10: Supply and Delivery of 3,697 pieces 19mm.Ø (3/4") Plastic Female Elbow, Compression Type (for CTS Pipe) (re-bidding)</t>
  </si>
  <si>
    <t xml:space="preserve"> Package 2 of 10: Supply and Delivery of 117 pieces Respiratory Mask (Full Face Gas Mask) with inclusion of two (2) Cartridges (re-bidding)</t>
  </si>
  <si>
    <t xml:space="preserve"> Package 3 of 10: Supply and Delivery of 15 lengths Riser Pipe with Coupling, 10" Ø  x 10 ft. (re-bidding) (re-bidding 2)</t>
  </si>
  <si>
    <t xml:space="preserve"> Item-	Description	-ABC-	Unit-	Qty. 	LOT BID			 1	INTEGRATED HOSPITAL INFORMATION SYSTEM	-13,500,000.00	-LOT	-1 Integrated Hospital Information System Project Corazon Locsin Montelibano Memorial Regional Hospital Terms of Reference Software Provider Scope </t>
  </si>
  <si>
    <t xml:space="preserve"> Package 1 of 10: Supply of Labor and Materials for the Production and Delivery of 19 pieces Yellow Gold Bracelet with I.D. Bar (18K, 10 grams)</t>
  </si>
  <si>
    <t xml:space="preserve"> Item-	Description	-ABC	-Unit	-Qty. 	LOT BID			 1.	WIRELESS RETROFIT DIRECT RADIOGRAPHY SYSTEM WITH PACS AND RIS	-12,000,000.00	-LOT	-1 TERMS OF REFERENCE   Project Title: ONE (1) LOT WIRELESS RETROFIT DIRECT 	RADIOGRAPHY SYSTEM WITH PACS AND RIS  ABC: Twe</t>
  </si>
  <si>
    <t xml:space="preserve"> Republic of the Philippines Province of Cebu Municipality of Cordova BIDS AND AWARDS COMMITTEE (BAC) (032-236-6171) INVITATION TO BID  The Municipality of Cordova, through its Bids and Awards Committee (BAC) intends to apply  the sum of One Million Pesos </t>
  </si>
  <si>
    <t xml:space="preserve"> Please see attached documents It may also be downloaded free of charge from the website of the Philippine Ports Authority at www.ppa.com.ph</t>
  </si>
  <si>
    <t xml:space="preserve"> Republic of the Philippines Department of Agriculture BUREAU OF PLANT INDUSTRY 692 San Andres Street Malate, Manila, Philippines E-mail Address: bpibac@yahoo.com Tel. No.: (02) 8526-7859, (02) 8691-0736 | Website: bpi.da.gov.ph SOLICITATION NO.: ITB PR NO</t>
  </si>
  <si>
    <t xml:space="preserve"> Invitation to Bid for PR No. 20071301 – Supply and Delivery of Materials for Improvement of Eco-Athletic Field Track Oval, Eco-Athletic Field, F. Pimentel Avenue, Daet, Camarines Norte 	 1.	The Provincial Government of Camarines Norte, through the SEF CY </t>
  </si>
  <si>
    <t xml:space="preserve"> Local Road Upgrading- Brgy. Catioan, Capalonga, Camarines Norte</t>
  </si>
  <si>
    <t xml:space="preserve"> Construction of Calunasan Core Local Roads at Brgy. Calunasan, Merida, Leyte</t>
  </si>
  <si>
    <t xml:space="preserve"> Republic of the Philippines Province of Cebu Municipality of Cordova BIDS AND AWARDS COMMITTEE (BAC) (032-236-6171) INVITATION TO BID  The Municipality of Cordova, through its Bids and Awards Committee (BAC) intends to apply  the sum of Two Million Pesos </t>
  </si>
  <si>
    <t xml:space="preserve"> Republic of the Philippines COMMISSION ON ELECTIONS M a n i l a INVITATION TO BID Supply and Delivery of Various Supplies to be used by the Field Election Officers for the 2020 Resumption of the Continuing Registration of Voters in connection with 2022 NL</t>
  </si>
  <si>
    <t xml:space="preserve"> Invitation to Bid “Acquisition of One (1) Lot Health Care Services through Health Maintenance Organization” 01.The National Bureau of Investigation, through the 2019 NBI Clearance Retention Fees pursuant to RA 10867 otherwise known as the NBI Reorganizati</t>
  </si>
  <si>
    <t xml:space="preserve"> The Bids and Award Committee (BAC) of the Barangay Government of Camp 3, Tuba, Benguet, invites interested and qualified contractors registered with and classified by the Philippine Contractor Accreditation Board (PCAB) and a PhilGEPS registered to bid fo</t>
  </si>
  <si>
    <t xml:space="preserve"> Republic of the Philippines MUNICIPALITY OF VILLANUEVA Province of Misamis Oriental Bids and Awards Committee INVITATION TO APPLY FOR ELIGIBILITY AND TO BID  The LGU of Villanueva, Misamis Oriental, through its Bids and Awards Committee (BAC), invites all</t>
  </si>
  <si>
    <t xml:space="preserve"> Republic of the Philippines Region IX PROVINCE OF ZAMBOANGA DEL SUR Capitol Complex, Pagadian City BIDS AND AWARDS COMMITTEE Invitation to Bid for  INFRA 2K20-51 CONSTRUCTION OF PSCG BRIDGE (ALONG SUNGAYAN - PISAAN ROAD) July 20, 2020 1.	The Provincial Go</t>
  </si>
  <si>
    <t xml:space="preserve"> Name of the Procuring Entity: TONDO MEDICAL CENTER Name of the Project:  Procurement of Yellow Plastic Bag of  Housekeeping Section      			                                          Location of the Project: Tondo Medical Center Balut, Tondo Manila        </t>
  </si>
  <si>
    <t xml:space="preserve"> 58 cubic meter Fine Aggregates 86 cubic meter Coarse Aggregates</t>
  </si>
  <si>
    <t xml:space="preserve"> Fuel Capacity: t0 to 75 Liters Dimension: 5265 x 1950 x 1990,  Wheelbase: 2570 Front/rear Brake: Ventilated Disc/Drum,  Engine Type: 4 Cylinders, in-line type 16 valve DOHC,  Engine Displacement: 2755cc to 2760cc,  Max Output - 176Ps/3400 rpm; Tires 215/7</t>
  </si>
  <si>
    <t xml:space="preserve"> INVITATION TO BID: 1. Project Title: Repair/Rehabilitation of One (1) Storey Multi-Purpose Building - PUP Mulanay Campus, Mulanay, Quezon 2. Approved Budget for the Contract: Php 2,999,274.22 3. Pre-bid Conference: on July 29, 2020: 11:00 a.m. at Bulwagan</t>
  </si>
  <si>
    <t xml:space="preserve"> Republic of the Philippines Zamboanga Peninsula Department of Health Basilan General Hospital Isabela City, Basilan 7300 INVITATION TO BID FOR  Procurement of Various Drugs and Medicines IB# 2020-06-0441 The BASILAN GENERAL HOSPITAL (BGH), through the SAA</t>
  </si>
  <si>
    <t xml:space="preserve"> INVITATION TO BID: 1. Project Title: Repair and Rehabilitation of CCIS Computer Laboratory, A. Mabini Campus, Sta. Mesa, Manila 2. Approved Budget for the Contract: Php 999,291.92 3. Pre-bid Conference: on  July 29, 2020; 10:00 a.m. at Bulwagang Balagtas,</t>
  </si>
  <si>
    <t xml:space="preserve"> Republic of the Philippines SPECIAL BIDS AND AWARDS COMMITTEE LOCAL GOVERNMENT OF BAGUIO CITY THE BUILD OUT AND SUPPLY, INSTALLATION &amp; COMMISSIONING OF EQUIPMENT FOR PHASE 1 OF THE BAGUIO CITY LGU SMART CITY COMMAND and CONTROL CENTER July 1, 2020 Version</t>
  </si>
  <si>
    <t xml:space="preserve"> INVITATION TO BID FOR Procurement of Equipment &amp; Software for SAP Laboratory           The CAMARINES SUR POLYTECHNIC COLLEGES, through the GAA (2020) intends to apply the sum of Five Million Eighty Thousand Pesos (₱5,080,000.00) being the Approved Budget </t>
  </si>
  <si>
    <t xml:space="preserve"> EARTHFILLING OF COVERED COURT  @ BOY SCOUT CAMP AND MARKET AREA</t>
  </si>
  <si>
    <t xml:space="preserve"> 3,875 RICE half-sack (1/2 sack at 25 klios/half sack)</t>
  </si>
  <si>
    <t xml:space="preserve"> Republic of the Philippines Province of Camarines Sur MUNICIPALITY OF BAAO INVITATION TO BID FOR THE SUPPLY AND DELIVERY OF CONSTRUCTION SUPPLIES FOR THE IMPROVEMENT OF MAYOR’S CONFERENCE ROOM 1. The LOCAL GOVERNMENT UNIT OF BAAO, through the Budget for t</t>
  </si>
  <si>
    <t xml:space="preserve"> Purchase of Ten (10) Units Handheld Radio and Ten (10) Units W80 Extended Battery QUANTITY	UNIT	ARTICLES &amp; DESCRIPTION 10	Units	Handheld Radio (350 MGZ) 10	Units	W80 Extended Battery (2300 MAH) 		***************NOTHING FOLLOWS**************</t>
  </si>
  <si>
    <t xml:space="preserve"> Republic of the Philippines Province of Nueva Ecija Municipality of General Mamerto Natividad BIDS AND AWARDS COMMITTEE  INVITATION TO BID FOR “CONCRETING/MAINTENANCE/REPAIR OF CONCRETE ROADS” 1.	The LGU-General Mamerto Natividad, Nueva Ecija, through the</t>
  </si>
  <si>
    <t xml:space="preserve"> INVITATION TO BID FOR THE CONTRACT ID: 20-07-098 Contract Name: PROCUREMENT OF VARIOUS MASK AND ALCOHOL Approved Budget for the Contract (ABC) : Php 2,121,368.00 Cost of Bidding Documents: Php 5,000.00 1. The Department of Health - Zamboanga Peninsula - C</t>
  </si>
  <si>
    <t xml:space="preserve"> JULY 16, 2020 INVITATION TO BID Name of Project: PURCHASE OF 1 UNIT HEAVY EQUIPMENT (MOTOR GRADER) Approved Budget of the Contract: P 5,500,000.00 ITEM:  1	unit	Motor Grader   	 	6 cylinder, 14 stroke diesel engine with rated power at least 100 km- 105kw </t>
  </si>
  <si>
    <t xml:space="preserve"> INVITATION TO BID 1. 	The Davao City Water District (DCWD), through the DCWD 2020 Corporate Operating Budget intends to apply the sum indicated below being the Approved Budget for the Contract (ABC) to payments under the contract as shown below. Bids rece</t>
  </si>
  <si>
    <t xml:space="preserve"> INVITATION TO BID FOR Procurement of Laptop for CSPC Faculty Members and Key Officials for Flexible Learning and Public Service Delivery under New Normal           The CAMARINES SUR POLYTECHNIC COLLEGES, through the GAA (2020) intends to apply the sum of </t>
  </si>
  <si>
    <t xml:space="preserve"> Republic of the Philippines Province of Leyte Municipality of Kananga BIDS AND AWARDS COMMITTEE INVITATION TO BID FOR PROCUREMENT OF SPORTS EQUIPMENT - REPOST  1.	The Municipality of Kananga, through the General Fund intends to apply the sum of Nine Hundr</t>
  </si>
  <si>
    <t xml:space="preserve"> 1	 150 MMØ Flow Totalizer Water Meter  -	Flanged ends, 150 lbs -	Body: Cast Iron, Polyester Coated -	To include 1/8” rubber gasket and ¾”Ø X 3 ½” bolts &amp; nuts/washers (high tensile) -	One (1) year warranty -	Conform to ASME/ANSI/AWWA Standards -	Submit Ce</t>
  </si>
  <si>
    <t xml:space="preserve"> The Bids and Awards Committee								 Province of Iloilo								 								      In connection with your Invitation to Bid No. PEO-20-0880-B  scheduled on August 7, 2020, I/we proposed to furnish and deliver in conformity with the terms and conditions, and </t>
  </si>
  <si>
    <t xml:space="preserve"> SPECIFICATION:  	* 6“ø LED Downlight  	* 18 watts  	* Lumens 1800 LM  	* Voltage 220 – 240V  	* 3years Warranty  	* 157 pcs.</t>
  </si>
  <si>
    <t xml:space="preserve"> Republic of the Philippines Province of Camarines Sur MUNICIPALITY OF BAAO INVITATION TO BID FOR THE ROAD OPENING OF CRISTO REY - STA. ISABEL ROAD CONNECTING TO AGDANGAN ROAD 1. The LOCAL GOVERNMENT UNIT OF BAAO, through the Budget for the contract approv</t>
  </si>
  <si>
    <t xml:space="preserve"> Brand new 75KW Diesel Generator with enclosure minimum protection IP44, Passed either European (CE) or American (UL) standards (provide a valid certificate). Brand new 200KW Diesel Generator with enclosure minimum protection IP44, Passed either European (</t>
  </si>
  <si>
    <t xml:space="preserve"> for the furniture &amp; fixtures will be discuss on pre-bid conference.</t>
  </si>
  <si>
    <t xml:space="preserve"> Please submit your lowest  bid  for the Multiband scanning receiver and post processing tools as described in the technical specifications of the bid documents.</t>
  </si>
  <si>
    <t xml:space="preserve"> 365 sack Noodles (BIHON) (24 pack/sack) 365 case Instant Noodles (72 pcs/case) 265 case Sardines (100 pcs/case) 200 pack Eco-bag (large)</t>
  </si>
  <si>
    <t xml:space="preserve"> SPECIFICATION:  	* With floor area of 600sqm   	*9 units -  2.5 HP Wall mounted Inverter Aircon unit, R410A or R32 Refrigerant, 220-230V  	* 1 unit - 1HP 60Hz Eco Mode, Vertical and Horizontal air swing. Self-clean, refrigerant leak detection, turbo funct</t>
  </si>
  <si>
    <t xml:space="preserve"> 1-unit-Service Van; brand new; white Overall Dimensions: 5,265 x 1,950 x 1,990 mm; Wheelbase: 3,860mm; Seating Capacity: 12; Engine Type: 4 Cylinders, In-line Type 16-Valve DOHC; Engine Displacement: 2,755cc Maximum Output: 176 ps/3,400 rpm; Maximum Torqu</t>
  </si>
  <si>
    <t xml:space="preserve"> 4 pcs. 7.50 X 15 tire with tube (elf dump truck) 2 pcs. 14 X 24 tire with tube (loader) 2 pcs. 9 plates battery (elf) maintenance free 1 unit Transmission ELF (surplus) 4BE-1 1 set Brake light elf (surplus)' 2 pcs Side Mirror elf (brand new)' 1 pc Oil Fil</t>
  </si>
  <si>
    <t xml:space="preserve"> 18 assy Pen light 18 watts LED Lamp 1,081 Bags Portland Cement type 1p 11 bags Skim coat 98 bags Tile Adhesive Cement 7 box 1/8 blind rivets at 1000 pcs/box 1 box welding rod Stainless Steel 1 box #14 THW Stranded 1 box @ 12 THW Stranded  1 box stipple wi</t>
  </si>
  <si>
    <t xml:space="preserve"> 1,067 bags Premium Cement 30 pcs. 12 mm diameter STD. deform bars 18 kilos #4 Common wire nails 20 kilos #3 common wire nails 16 kilos #2 common wire nails  396 pcs. 10 mm diameter STD deform bars 25 kilos # 16 tie wire 1 kilos #1 common wire nails</t>
  </si>
  <si>
    <t xml:space="preserve"> INVITATION TO BID FOR Procurement of Equipment for Electrical and Mechanical Engineering Laboratory           The CAMARINES SUR POLYTECHNIC COLLEGES, through the CHED FINANCIAL ASSISTANCE (2020) intends to apply the sum of Four Million Seven Hundred Thous</t>
  </si>
  <si>
    <t xml:space="preserve"> Contract Location: 1.  Multi-Purpose Building, Balagtas, Bulacan 		           2.	Multi-Purpose Building, BSU Bustos, Poblacion, Bustos, Bulacan 		           3.	Multi-Purpose Building (New Municipal Building Extension),                                   Br</t>
  </si>
  <si>
    <t xml:space="preserve"> 3 assy Pen light 18 watts LED lamp 5 bags Portland Cement type-1 40 bd.ft. 12 pcs. 2" X 2" X 10' Ceiling joist 1 box Stiple wire #1 2 doz Sandpaper #100 2 doz. Sandpaper #200 10 gals Flat latex White (wall) Solvent 10 gals Top Coat paint white (wall) Solv</t>
  </si>
  <si>
    <t xml:space="preserve"> INVITATION TO BID FOR THE Supply and Delivery of Various Equipment for Bamboo Processing Project 1.	The BICOL UNIVERSITY, through the Corporate Budget for the contract approved by the Board of Regents intends to apply the sum of One Million Nine Hundred F</t>
  </si>
  <si>
    <t xml:space="preserve"> Republic of the Philippines COMMISSION ON ELECTIONS M a n i l a INVITATION TO BID Supply and Delivery of Brother HL-L5100DN Toner Cartridges to be used for the Overseas Registration Period (BAC Ref No. 08-2020BTC) Approved Budget for the Contract:  Php1,7</t>
  </si>
  <si>
    <t xml:space="preserve"> Improvement of Waterworks			 1	pcs	2,000    Water meter 1/2"ø	1,200.00	2,400,000.00 			    Residential (COLD) water meter		 			  *15mm ø (1/2”) multi-jet type (C-708                             with internal strainer, Class-c (or B)	 			  *Dry type, dial </t>
  </si>
  <si>
    <t xml:space="preserve"> 300 ampule, Isosorbide Dinitarte 1mg/ml., 10ml, injection</t>
  </si>
  <si>
    <t xml:space="preserve"> SULTAN KUDARAT STATE UNIVERSITY 2nd Floor, Bids and Awards Committee Office  ACCESS, E.J.C. Montilla, Tacurong City INVITATION TO BID FOR MACHINERY &amp; EQUIPMENT OUTLAY FOR THE PURCHASE OF VARIOUS LABORATORY EQUIPMENT FOR THE COLLEGE OF COMPUTER STUDIES 1.	</t>
  </si>
  <si>
    <t xml:space="preserve"> 500 ampule, Amiodarone Hydrochloride 50mg/ml, 3ml, (150mg/3ml), solution for IV injection</t>
  </si>
  <si>
    <t xml:space="preserve"> 3000 tablet, Furosemide 20mg. tablet</t>
  </si>
  <si>
    <t xml:space="preserve"> 50,000 tablet, Ascorbic Acid 500mg, tablet</t>
  </si>
  <si>
    <t xml:space="preserve"> Please see attached files for reference. File names: 1. ITB - Manpower Lot Nos. I-V (v07.16.2020) 2. Bid Docs - Manpower Lot No. I - Clerical (v07.16.2020) ***nothing follows***</t>
  </si>
  <si>
    <t xml:space="preserve"> 165 SQ.M. CLEARING AND LAY OUT 108.8 CU.M EXCAVATION FOR STRUCTURE 16 CU.M. EMBANKMENT 95.04 SQ.M FORMWORKS AND SCAFFOLDING 198 SQ.M MASONRY WORKS 264 SQ.M PLASTERING 1587.30 KGS REBARS 17.3 CU.M CONCRETE WORKS</t>
  </si>
  <si>
    <t xml:space="preserve"> 500 vial/ampule, Calcium Gluconate 10%, 10ml, injection</t>
  </si>
  <si>
    <t xml:space="preserve"> Description TERMS OF REFERENCE (CLIMATE RESILIENT FARM PRODUCTIVITY SUPPORT PROJECT) A. OVERVIEW/BACKGROUND The Department of Agrarian Reform is the lead agency tasked with implementing the Comprehensive Agrarian Reform Program or CARP. Among the stated o</t>
  </si>
  <si>
    <t xml:space="preserve"> 544 pcs Smart Cellcard @ 100</t>
  </si>
  <si>
    <t xml:space="preserve"> INVITATION TO BID  PROCUREMENT OF TWO (2) UNITS REFRIGERATED VAN USE ANY MARKETING RELATED ACTIVITIES / SERVICES REGION-WIDE UNDER CY 2020 BUDGET ALLOCATION Specification:  -	Displacement: 2999 CC Diesel -	Size: 14 footer, 6 wheeler -	Max Torque N-m (kg-m</t>
  </si>
  <si>
    <t xml:space="preserve"> Provision of Rental of Motor Service Vehicles    The Pag-IBIG Fund Corporate Headquarters, through its Bids and Awards Committee – Goods and Services (BAC-GS) intends to apply the sum of Thirty-Nine Million Nine Hundred Thirty Thousand Pesos (Php39,930,00</t>
  </si>
  <si>
    <t xml:space="preserve"> INVITATION TO BID SUPPLY AND DELIVERY OF ONE (1) UNIT PASSENGER VAN VEHICLE (PV) – (REBIDDING)   The Pag-IBIG Fund Corporate Headquarters, through its Bids and Awards Committee – Goods and Services (BAC-GS) intends to apply the sum of Two Million Six Hund</t>
  </si>
  <si>
    <t xml:space="preserve"> The ZAMBOANGA CITY STATE POLYTECHNIC COLLEGE through its Bids and Awards Committee (BAC) is inviting PHILGEPS registered suppliers to apply for eligibility and to submit bids for the items listed below: 1.	Stainless utility rack 4-layer, 1200mm L x 500mm </t>
  </si>
  <si>
    <t xml:space="preserve"> Invitation to Bid for Construction of Two (2) Storey Command Center Building in Batangas State University, Pablo Borbon Main I 1.	The Batangas State University, through the Supplemental Budget FY 2020 intends to apply the sum of Thirty Six Million Three H</t>
  </si>
  <si>
    <t xml:space="preserve"> Republic of the Philippines Province of Quezon CITY GOVERNMENT OF TAYABAS INVITATION TO BID FOR PROJECT # 20-083 - SUPPLY AND DELIVERY OF DRUGS AND MEDICINES 3RD  QUARTER - CHO. 1.	The City Government of Tayabas, through the General Fund 2020 intends to a</t>
  </si>
  <si>
    <t xml:space="preserve"> Installation of Production Pump for Upper Tangke, San Isidro, San Fernando, Cebu Item	Unit	Description	 Quantity  I	Lot	Mobilization/Demobilization and Setting up Drilling Equipment	1 II	Ft	Drilling Operation to desired depth	160 III	Lot	Well Development </t>
  </si>
  <si>
    <t xml:space="preserve"> Republic of the Philippines Province of Quezon CITY GOVERNMENT OF TAYABAS INVITATION TO BID FOR PROJECT # 20-048 – PROCUREMENT OF DISASTER RESPONSE AND RESCUE EQUIPMENT - LDRRMO. 1.	The City Government of Tayabas, through the General Fund Continuing 2020 </t>
  </si>
  <si>
    <t xml:space="preserve"> Description   Description TERMS OF REFERENCE (CLIMATE RESILIENT FARM PRODUCTIVITY SUPPORT PROJECT) A. OVERVIEW/BACKGROUND The Department of Agrarian Reform is the lead agency tasked with implementing the Comprehensive Agrarian Reform Program or CARP. Amon</t>
  </si>
  <si>
    <t xml:space="preserve"> Republic of the Philippines PROVINCE OF ZAMBOANGA SIBUGAY Municipality of Mabuhay OFFICE OF THE BAC CHAIRMAN                         INVITATION TO BID FOR THE CONCRETING OF 588 METERS POBLACION LOCAL ACCESS ROAD Identification No. LGSF-AM2020-MAB-01      </t>
  </si>
  <si>
    <t xml:space="preserve"> Republic of the Philippines Province of Eastern Samar Municipality of Llorente Invitation to Bid for the Construction of Plant Nurseries 1.	The Local Government of Llorente, through the General Appropriations Act (GAA) intends to apply the sum of Two hund</t>
  </si>
  <si>
    <t xml:space="preserve"> Purchase of Fourteen (14) Units Duplicator Machine Item	Unit	Description	 Quantity  I	Unit	DIGITAL DUPLICATOR MACHINE	14 		Specifications:	 		- with 3 Feeding	 		- 300 x 360 DPT Scanning &amp; Printing Resolution	 		- 60, 90, to 130 Copies per minute	 		- wit</t>
  </si>
  <si>
    <t xml:space="preserve"> See ITB Attach</t>
  </si>
  <si>
    <t xml:space="preserve"> GEOTECNICAL INVESTIGATION -ROAD WIDENING-TERTIARY ROADS, KANANGA-TUNGONAN HOT SPRING ROAD</t>
  </si>
  <si>
    <t xml:space="preserve"> Republic of the Philippines PROVINCE OF ZAMBOANGA SIBUGAY Municipality of Mabuhay OFFICE OF THE BAC CHAIRMAN                         INVITATION TO BID FOR THE CONSTRUCTION OF WATER SYSTEM LEVEL II Identification No. LGSF-SALINTUBIG2020-MAB-01             </t>
  </si>
  <si>
    <t xml:space="preserve"> Please see attached files for reference. File names: 1. ITB - Manpower Lot Nos. I-V (v07.16.2020) 2. Bid Docs - Manpower Lot No. V - IT (v07.16.2020) ***nothing follows***</t>
  </si>
  <si>
    <t xml:space="preserve"> Republic of the Philippines                       EASTERN VISAYAS STATE UNIVERSITY                                                                              Tacloban City                     										 BIDS AND AWARDS COMMITTEE INVITATION TO BID  SUPPL</t>
  </si>
  <si>
    <t xml:space="preserve"> Construction of Deep well Pump (Manual) at San Isidro, San Fernando, Cebu Item	Unit	Description	 Quantity  I	Lot	Mobilization/Demobilization and Setting up Drilling Equipment	1 II	Ft	Drilling Operation to desired depth	180 III	Lot	Well Development and ins</t>
  </si>
  <si>
    <t xml:space="preserve"> Republic of the Philippines Region XII Province of Cotabato City of Kidapawan OFFICE OF THE BIDS AND AWARD COMMITTEE July 15, 2020 INVITATION TO BID FOR  SUPPLY OF FUEL FOR THE PROPOSED ROAD REHABILITATION/SPOT GRAVELLING /QUARRYING OF LIMESTONE AND COMPA</t>
  </si>
  <si>
    <t xml:space="preserve"> Republic of the Philippines Region XII Province of Cotabato City of Kidapawan OFFICE OF THE BIDS AND AWARD COMMITTEE July 15, 2020 INVITATION TO BID FOR  SUPPLY AND DELIVERY OF VARIOUS MATERIALS AND EQUIPMENT NEEDED FOR THE PANGKABUHAYAN STARTER KITS BENE</t>
  </si>
  <si>
    <t xml:space="preserve"> ITEM OF WORKS: I GENERAL REQUIREMENTS (Temporary Encl., Temp, Warehouse, Batterboards, Stakes, Etc.) II EXCAVATION FOR STRUCTURES III CONCRETE WORKS IV MASONRY WORKS (a 6" CHB Incl. Reinforcement and Plastering) V MECHANICAL WORKS VI CONSTRUCTION SAFETY A</t>
  </si>
  <si>
    <t xml:space="preserve"> Portland Cement Sand Gravel 10mmoRSB Tie Wire #16 Direct Couple 7.5 Hz Power Engine Water Pump HDPE Black Pipe 1"o Foot Valve PVC 2"o Swing Valve Pipe 2"o Ball Valve Pipe 1" o Ball Valve Pipe 1" o HDPE Coupling 1"o PVC Solvent  PVC Pipe 2" o PVC Elbow 2" </t>
  </si>
  <si>
    <t xml:space="preserve"> Republic of the Philippines Province of Quezon CITY GOVERNMENT OF TAYABAS INVITATION TO BID FOR PROJECT # 20-044 – PROCUREMENT OF STF DISASTER EQUIPMENT FOR DISASTER RESPONSE AND RESCUE ACTIVITES - LDRRMO. 1.	The City Government of Tayabas, through the Tr</t>
  </si>
  <si>
    <t xml:space="preserve"> REQUEST FOR EXPRESSION OF INTEREST FOR CONSTRUCTION SUPERVISION AND MANAGEMENT CONSULTANCY SERVICES FOR THE TWO (2) STOREY OFFICE BUILDING WITH RECORDS ROOM AND WAREHOUSE LOCATED RGC COMPOUND, CARIG SUR, TUGUEGARAO CITY 1. The Metropolitan Tuguegarao Wate</t>
  </si>
  <si>
    <t xml:space="preserve"> Improvement of Sanitary Landfill (Fence Enclosure) at Magsico, San Fernando, Cebu Item	Unit	Description	 Quantity  I	lm	Stake out and Excavation of column footing and wall footing	126 II	cu.m	Construction of column footing and wall footing	17 III	cu.m	Con</t>
  </si>
  <si>
    <t xml:space="preserve"> Republic of the Philippines Region XII Province of Cotabato CITY OF KIDAPAWAN BIDS AND AWARDS COMMITTEE Invitation to Bid 						  		             Date: July 15, 2020 1.	The City Government of Kidapawan, through the 20% EDF CY 2017 &amp; 20% EDF CY 2018   inten</t>
  </si>
  <si>
    <t xml:space="preserve"> With 720 LM.M Lined Drainage Canal &amp; 1 Line Cross Drain at Poblacion Uno, Bansalan, Davao del Sur Please see attached ITB and RFQ in Associated Component Section for Specifications</t>
  </si>
  <si>
    <t xml:space="preserve"> Drugged Out Hull&amp; Frames (Kasko) 18"x24' Rough Lumber 1/4"x4x8' Marine Plywood 3/8"x4x8' marine Plywood Nylon Twine #100 Pamalong 10' Bamboo Floater 0.15 O Bamboo Floater Frame 0.08 O Propelier (Stainless) Paddle Wheel  Ehe 3/4" O x8' Stainless Bolt 3 3/8</t>
  </si>
  <si>
    <t xml:space="preserve"> Republic of the Philippines Province of Quezon CITY GOVERNMENT OF TAYABAS INVITATION TO BID FOR PROJECT # 20-094 - PROCUREMENT OF MOTOR VEHICLE (RESPONSE / RESCUE VEHICLE CUSTOMIZED VEHICLE) 2 – LDRRMO. 1.	The City Government of Tayabas, through the Gener</t>
  </si>
  <si>
    <t xml:space="preserve"> Republic of the Philippines City of Dapitan BIDS AND AWARDS COMMITTEE INVITATION TO BID July 14, 2020 	 The City Government of Dapitan, through its Bids and Awards Committee (BAC), invites interested parties to apply for eligibility and, if found eligible</t>
  </si>
  <si>
    <t xml:space="preserve"> Republic of the Philippines Province of Quezon CITY GOVERNMENT OF TAYABAS INVITATION TO RE-BID FOR PROJECT # 20-053 - PROCUREMENT OF CCTV CAMERA WITH TV MONITOR SYSTEM AND NETWORK INFRASTRUCTURE – CITY SCHOOL DIVISION OFFICE The City Government of Tayabas</t>
  </si>
  <si>
    <t xml:space="preserve"> 1st Bidding The Local Government Unit of Paracale, through its Bids and Awards Committee (BAC) invites a contractor registered with and classified by the Philippine Contractors Accreditation Board ( PCAB ) to apply for eligibility and to bid for the here </t>
  </si>
  <si>
    <t xml:space="preserve"> Republic of the Philippines DEPARTMENT OF PUBLIC WORKS AND HIGHWAYS REGIONAL OFFICE II Tuguegarao City, Cagayan  INVITATION TO BID 1.	The DPWH Regional Office No. 2 through the General Appropriations Act (GAA) secured from the Department of Budget and Man</t>
  </si>
  <si>
    <t xml:space="preserve"> Request for Proposal  The Bureau of Fisheries and Aquatic Resources Regional Office No. 5 (BFAR RO 5), Fabrica, Bula, Camarines Sur is requesting from prospective suppliers to submit written proposal for the Labor for the Installation of Fishery Product T</t>
  </si>
  <si>
    <t xml:space="preserve"> Invitation to Bid No. LGU-Lupao- 2020-036 The Local Government of Lupao, Nueva Ecija Invitation to Bid for the Construction of National Child Development Center located at Brgy. San Antonio Este of this municipality with Identification No. 2020-036 1. The</t>
  </si>
  <si>
    <t xml:space="preserve"> Concreting of Road (254 LM x 4.00M x 0.15M) at Sitio Luna to MRF Magsico, San Fernando, Cebu Item	Unit	Description	 Quantity  I	sq.m	Reshaping of road, road widening and compacting	1,016 II	cu.m	Aggregates Base coarse 2 1/2 inches leveling &amp; compacting	65</t>
  </si>
  <si>
    <t xml:space="preserve"> 2,790 bags Portland Cement Type-1 85 pcs. 12 mm diameter STD def bars 30 kilos #4 common wire nails 30 kilos #3 common wire nails 26 kilos #2 common wire nails 867 pcs. 10 mm diameter STD deform bars 35 pcs. 3/8 Ordinary Plywood 50 pcs. # 16 tie wire 2 ki</t>
  </si>
  <si>
    <t xml:space="preserve"> Name of Requirement/Brief Description One (1) Lot – Maintenance and Subscription of BSP Unified Threat Management System (Fortinet), as per BSP Terms of Reference and Service Level Agreement (Multi-Year Contract) Approved Budget for the Contract (ABC) Php</t>
  </si>
  <si>
    <t xml:space="preserve"> Republic of the Philippines City of Iriga Main City Hall Building, Sta. Cruz Sur Telefax No. (054) 299-1933 OFFICE OF THE BIDS AND AWARDS COMMITTEE July 3, 2020 INVITATION TO BID The City of Iriga, through its Bids and Awards Committee (BAC) hereby invite</t>
  </si>
  <si>
    <t xml:space="preserve"> Republic of the Philippines NATIONAL POLICE COMMISSION PHILIPPINE NATIONAL POLICE  INTELLIGENCE GROUP Camp BGen Rafael T Crame, Quezon City INVITATION TO BID 1.	The PNP Intelligence Group Bids and Awards Committee (PNP IG-BAC) based on the approved GAA FY</t>
  </si>
  <si>
    <t xml:space="preserve"> Const. of Slope Protection</t>
  </si>
  <si>
    <t xml:space="preserve"> INSTALLATION OF STREET LIGHTING'S OF PUROK</t>
  </si>
  <si>
    <t xml:space="preserve"> Republic of the Philippines Region XII Province of Cotabato City of Kidapawan OFFICE OF THE BIDS AND AWARD COMMITTEE July 15, 2020 INVITATION TO BID FOR  SUPPLY OF FUEL FOR THE PROPOSED ROAD REHABILITATION/SPOT GRAVELLING /QUARRYING OF LIMESTONE SPREADING</t>
  </si>
  <si>
    <t xml:space="preserve"> The DPWH Nueva Ecija 1st DEO, through its Bids and Awards Committee (BAC), invites contractors to submit bids for the following contract:			 				 	20CE0244: Proposed Rehabilitation &amp; Improvement of Central Luzon State University (CLSU) Road Networks			 		</t>
  </si>
  <si>
    <t xml:space="preserve"> Republic of the Philippines Province of Cavite City of General Trias Invitation to Bid for  Project Reference No. INFR-20-020– CONSTRUCTION OF ONE HUNDRED TWENTY (120)-UNITS 250 WATTS LED STREETLIGHTS ALONG JUANITO REMULLA SR. ROAD (GOVERNOR’S DRIVE), BAR</t>
  </si>
  <si>
    <t xml:space="preserve"> procurement negotiated</t>
  </si>
  <si>
    <t xml:space="preserve"> PROCUREMENT negotiated</t>
  </si>
  <si>
    <t xml:space="preserve"> The National Housing Authority - West Sector (NHA-WS), through the Corporate Operating Budget approved by the NHA Board for the year 2019 intends to apply the sum of the Approved Budget for the Contract (ABC) to payment for the following contract: Ref. No</t>
  </si>
  <si>
    <t xml:space="preserve"> 1. The Local government Unit of Jipapad, Eastern Samar through the 20% EDF (2020) intends to apply the sum of One Million Three Hundred Thirty-Six Thousand Two Hundred Fifty-Three Pesos and Sixty-Three Centavos (P1,336,253.63) being the Approved Budget fo</t>
  </si>
  <si>
    <t xml:space="preserve"> Republic of the Philippines                   Department of Health	       CENTRAL OFFICE BIDS AND AWARDS COMMITTEE  INVITATION TO BID FOR  PROCUREMENT OF SERVICE PROVIDER FOR THE PREVENTIVE MAINTENANCE OF AIR CONDITIONING UNITS (ACU) - REBID IB NO. 2020-2</t>
  </si>
  <si>
    <t xml:space="preserve"> Please see attached bidding documents or you may visit our website @www.prc.gov.ph</t>
  </si>
  <si>
    <t xml:space="preserve"> Description Republic of the Philippines  City of Danao BIDS AND AWARDS COMMITTEE INVITATION TO APPLY FOR ELIGIBILITY AND TO BID INFRASTRUCTURE PROJECTS IN THE CITY OF DANAO Construction of Covered Court at Barangay Cahumayan, Danao City The City Governmen</t>
  </si>
  <si>
    <t xml:space="preserve"> Republic of the Philippines PAMANTASAN NG LUNGSOD NG MAYNILA (University of the City of Manila) Intramuros, Manila PLM - BIDS and AWARDS COMMITTEE (PLM-BAC) INVITATION TO BID The Pamantasan ng Lungsod ng Maynila, through its Bids and Awards Committee (BAC</t>
  </si>
  <si>
    <t xml:space="preserve"> 1. Provisioning of Managed Internet Services with at least 10 Mbps of dedicated and Committed Information Rate (CIR) Internet bandwidth with at most 250 milliseconds of latency and 95% uptime and availability.	 2. Provisioning of Wi-Fi access points capab</t>
  </si>
  <si>
    <t xml:space="preserve"> Refrigerated truck - 2 units</t>
  </si>
  <si>
    <t xml:space="preserve"> Request for Proposal  The Bureau of Fisheries and Aquatic Resources Regional Office No. 5 (BFAR RO 5), Fabrica, Bula, Camarines Sur is requesting from prospective suppliers to submit written proposal for the Labor and Materials for the Fabrication and Ins</t>
  </si>
  <si>
    <t xml:space="preserve"> 4 kits Alpha-Globin StripAssay Delivery Term: Within 2 weeks upon written advice of end user General Conditions: 1. All entries must be typewritten or in print. 2. Price validity shall be for a period of 90 calendar days. 3. PhilGEPS Registration Certific</t>
  </si>
  <si>
    <t xml:space="preserve"> Description Republic of the Philippines  City of Danao BIDS AND AWARDS COMMITTEE INVITATION TO APPLY FOR ELIGIBILITY AND TO BID INFRASTRUCTURE PROJECTS IN THE CITY OF DANAO Construction of Covered Court at Barangay Quisol, Danao City The City Government o</t>
  </si>
  <si>
    <t xml:space="preserve"> Diesel Engine  Bucket capacity 1.0m3 Dumping Height 2650 mm Over all dimension (LXWXH) 8000x2200x3350 mm Dumping Reach 930 mm Digger capacity 0.3 m3 Max digging depth 4400 mm Rated Power 65 KW Rated Speed 2500 r/min Wheel base 2600 mm Tread 1700</t>
  </si>
  <si>
    <t xml:space="preserve"> Diesel Engine, Displacement (L)3.66 Max output power kw(r/min) 91/2900 Max torque Nm(r/min) 380/1200-2200 Min Fuel Consumption g(Kw-h) 200 6 Gear Overall dimensions of Truck assembly, length(mm) 5470, width(mm)2112, Height2405 Body measurement  (mm) 5m2 W</t>
  </si>
  <si>
    <t xml:space="preserve"> Republic of the Philippines PROVINCE OF ZAMBOANGA SIBUGAY Municipality of Olutanga INVITATION TO BID FOR CONSTRUCTION OF MULTI-PURPOSE BUILDING/GOVERNMENT CENTER 1.	The Local Government Unit of Olutanga Zamboanga Sibugay, through the Loan proceed from Lan</t>
  </si>
  <si>
    <t xml:space="preserve"> Concreting of Sitio Sabang Road</t>
  </si>
  <si>
    <t xml:space="preserve"> 1,494 bags Portland Cement Type 1 38 pcs. 12 mm diameter STD deform bars 202 pcs. 10 mm diameter STD deform bars 20 kilos # 16 tie wire 8 pcs. 3/8 Ordinary Plywood 8 kilos # 3 Common Wire Nails 2 kilos #1 Common Wire Nails</t>
  </si>
  <si>
    <t xml:space="preserve"> Republic of the Philippines CITY OF LAPU-LAPU BIDS AND AWARDS COMMITTEE Invitation to Bid FOR THE PROCUREMENT of 1 UNIT BRAND NEW DOPPLER ULTRASOUND SYSTEM The City of Lapu-Lapu through the CAPITAL OUTLAY 4421-1-1-07-05-110-19s3 intends to apply the sum o</t>
  </si>
  <si>
    <t xml:space="preserve"> REQUEST FOR EXPRESSION OF INTEREST (REI) FOR 20CSAG01: GEOTECHNICAL AND GEOLOGICAL SURVEY  (SOIL BORING EXPLORATION) OF RBP 2021 AT PANGASINAN FIRST ENGINEERING/LEGISTRATIVE DISTRICT  1.	The Department of Public Works and Highways, Pangasinan 1st District</t>
  </si>
  <si>
    <t xml:space="preserve"> 1 UNIT RESCUE VEHICLE (VAN BODY)</t>
  </si>
  <si>
    <t xml:space="preserve"> 1 UNIT GARBAGE TRUCK</t>
  </si>
  <si>
    <t xml:space="preserve"> 1.	The Government Service Insurance System (GSIS) through the GSIS Corporate Operating Budget for CY 2020 intends to apply the sum of Twenty Three Million One Hundred Thousand Pesos (Php23,100,000.00) being the Approved Budget for the Contract (ABC) to pa</t>
  </si>
  <si>
    <t xml:space="preserve"> 1.	The Government Service Insurance System (GSIS), through the GSIS Corporate Operating Budget for CY 2020, intends to apply the sum of Twenty Five Million Five Hundred Thousand Pesos (Php25,500,000.00) being the Approved Budget for the Contract (ABC) to </t>
  </si>
  <si>
    <t xml:space="preserve"> Republic of the Philippines Department of Health	 CENTRAL OFFICE BIDS AND AWARDS COMMITTEE  INVITATION TO BID FOR THE  PRINT ADVERTISEMENT FOR THE DOH ADVISORIES IB NO. 2020-230 1.	The Department of Health (DOH), through the General Appropriations Act of </t>
  </si>
  <si>
    <t xml:space="preserve"> BULACAN AGRICULTURAL STATE COLLEGE San Ildefonso, Bulacan 3010 PROCUREMENT OF GOODS 2020-03G: For the Acquisition of Information Technology and Office Equipment for the 3-Storey Education Building Phase 2 Capital Outlay - FY 2020 Preface These Philippine </t>
  </si>
  <si>
    <t xml:space="preserve"> Invitation to Bid for Improvement of Public Restroom in Batangas State University, Pablo Borbon Main I 1.	The Batangas State University, through the Supplemental Budget FY 20203 intends to apply the sum of Two Million Five Hundred Forty Seven Thousand Two</t>
  </si>
  <si>
    <t xml:space="preserve"> Invitation to Bid for Replacement of Roofing and Ceiling of CITE Building in Batangas State University, ARASOF-Nasugbu 1.	The Batangas State University, through the Supplemental Budget FY 2020 (Affiliation Savings 2018, Instruction Savings 2018, Instructi</t>
  </si>
  <si>
    <t xml:space="preserve"> Invitation to Bid The Armed Forces of the Philippines, through the Philippine Army Special Bids and Awards Committee (PASBAC), invites all suppliers/manufacturers/distributors to bid for the following items: Nomenclature/Activity		  A B C		 PRE-BID		 ROBE</t>
  </si>
  <si>
    <t xml:space="preserve"> INVITATION TO BID July 11, 2020 CHINA STATE CONSTRUCTION ENGINEERING CO. LTD. 12F Petron Megaplaza 358 Gil Puyat Avenue Makati City SUBJECT	: Construction of the Priority Bridges Crossing Pasig-Marikina River and Manggahan Floodway Bridges Construction Pr</t>
  </si>
  <si>
    <t xml:space="preserve"> Invitation to Bid The Armed Forces of the Philippines, through the Philippine Army Special Bids and Awards Committee (PASBAC), invites all suppliers/manufacturers/distributors to bid for the following items: Nomenclature/Activity		  A B C		  PRE-BID		  RO</t>
  </si>
  <si>
    <t xml:space="preserve"> INVITATION TO BID PROCUREMENT OF LOANS MONITORING SYSTEM 1.	The Philippine Deposit Insurance Corporation (PDIC), through its 2020-2021 Corporate Operating Budget, intends to apply the sum of Php 11,600,000.00 to payments under the contract for the Procure</t>
  </si>
  <si>
    <t xml:space="preserve"> Republic of the Philippines Province of Bukidnon Municipality of Damulog Barangay Sampagar OFFICE OF THE BIDS AND AWARD COMMITTEE INVITATION TO BID FOR SUPPLY AND DELIVERY OF VARIOUS CONSTRUCTION MATERIALS FOR THE REHABILITATION OF MPP-SENIOR CITIZEN . Th</t>
  </si>
  <si>
    <t xml:space="preserve"> Invitation to Bid The Armed Forces of the Philippines, through the Philippine Army Special Bids and Awards Committee (PASBAC), invites all suppliers/manufacturers/distributors to bid for the following items: Nomenclature/Activity		  A B C		    PRE-BID		  </t>
  </si>
  <si>
    <t xml:space="preserve"> Project Reference No.: 7089483 Solicitation No.:  ITB-124-2020 Contract No  INVITATION TO BID FOR THE SUPPLY AND DELIVERY OF VARIOUS FERTILIZER UNDER RICE PROGRAM CY 2020  1.	The Department of Agriculture Regional Field Office IVA through the Rice Program</t>
  </si>
  <si>
    <t xml:space="preserve"> Please see attached documents for your reference.</t>
  </si>
  <si>
    <t xml:space="preserve"> Diesel Engine  Operation weight (kg) 15,318 Bucket Capacity (m3) 0.58 Output Power (kw/rpm) 104/2000 Bucket Digging Force (kN) 95 Max digging Height (mm) 8305 Max digging depth (mm) 9150 Max digging reach (mm) 5040</t>
  </si>
  <si>
    <t xml:space="preserve"> BIDS AND AWARDS COMMITTEE FDA-BAC REF NO. ITB NO. 2020-005-CSL INVITATION TO BIDS SUPPLY, DELIVERY, INSTALLATION, COMMISSIONING AND TESTING OF GAS CHROMATOGRAPH WITH FLAME IONIZATION DETECTOR COMPLETE WITH ALL NECESSARY PARTS AND ACCESSORIES FOR FDA-ALABA</t>
  </si>
  <si>
    <t xml:space="preserve"> INVITATION TO APPLY FOR ELIGIBILITY AND TO BID The LGU of Mataasnakahoy, Batangas, through its Bids and Award Committee (BAC), invites contractors/suppliers registered with PHILGEPS to apply for Eligibility and if found eligible, to bid for the hereunder </t>
  </si>
  <si>
    <t xml:space="preserve"> The Western Mindanao State University, through its Bids and Awards Committee (BAC), is inviting PhilGEPS registered suppliers to apply for eligibility and to submit bids for the item mentioned hereunder:  1.)	1	Unit	Visualization Table for Medical Educati</t>
  </si>
  <si>
    <t xml:space="preserve"> Please see attached RFQ # 20-1151 and Technical Specifications Submit your Sign and Sealed Quotation together with your UPDATED ELIGIBILITY Requirements at 3/F ATI Building Department of Agriculture Region IV-MiMaRoPa, Property&amp;Supply Unit/BAC Secretariat</t>
  </si>
  <si>
    <t xml:space="preserve"> 1.	The General Mariano Alvarez Water District (GMAWD). through the GMAWD General Fund, intends to apply the sum of One Million and Two Hundred Thousand Pesos (Php 1,200,000.00) being the Approved Budget for the Contract (ABC) to payments under the contrac</t>
  </si>
  <si>
    <t xml:space="preserve"> PLEASE DOWNLOAD THE ATTACHMENT/S FOR REFERENCE. Important Notes and Conditions: You can submit your quotation ON or BEFORE JULY 17, 2020 at 09:00 AM with the photocopy of the following legal documents: a. Mayor’s / Business Permit b. PhilGEPS Registration</t>
  </si>
  <si>
    <t xml:space="preserve"> Description Republic of the Philippines  City of Danao BIDS AND AWARDS COMMITTEE INVITATION TO APPLY FOR ELIGIBILITY AND TO BID INFRASTRUCTURE PROJECTS IN THE CITY OF DANAO Construction of Drainage System at Ilaya to Guinacot, Danao City The City Governme</t>
  </si>
  <si>
    <t xml:space="preserve"> Description Republic of the Philippines  City of Danao BIDS AND AWARDS COMMITTEE INVITATION TO APPLY FOR ELIGIBILITY AND TO BID INFRASTRUCTURE PROJECTS IN THE CITY OF DANAO Concreting of Barangay Road at Sandayong Sur, Danao City The City Government of Da</t>
  </si>
  <si>
    <t xml:space="preserve"> Project Reference No.: 7096775 Solicitation No.:  ITB-128-2020 Contract No INVITATION TO BID FOR THE SUPPLY AND DELIVERY OF VARIOUS FERTILIZERS IN SUPPORT TO FOOD PRODUCTION AMIDST COVID 19 PANDEMIC UNDER CORN PROGRAM CY 2020   1.	The Department of Agricu</t>
  </si>
  <si>
    <t xml:space="preserve"> Description Republic of the Philippines  City of Danao BIDS AND AWARDS COMMITTEE INVITATION TO APPLY FOR ELIGIBILITY AND TO BID INFRASTRUCTURE PROJECTS IN THE CITY OF DANAO Repair/Rehab of Road @ C.P Garcia Street, Poblacion, Danao City The City Governmen</t>
  </si>
  <si>
    <t xml:space="preserve"> Const. of Barangay Hall</t>
  </si>
  <si>
    <t xml:space="preserve"> REQUEST FOR EXPRESSION OF INTEREST FOR FEASIBILITY STUDY The NIA- CARAGA Region, through the FS of CY 2020 FUNDS intends to apply the sum of  Twenty Four Million Two Hundred Seventy One Thousand Eight Hundred Forty Four Pesos and 65/100 Centavos Only (P 2</t>
  </si>
  <si>
    <t xml:space="preserve"> Construction of Drainage Canal</t>
  </si>
  <si>
    <t xml:space="preserve"> Name of Requirement/Brief Description 	 One (1) Lot Structural Engineering Audit/Investigation and Design Consultancy Services for the Proposed BSP Museum at PICC Project, as per BSP Terms of Reference Approved Budget for the Contract (inclusive of all ap</t>
  </si>
  <si>
    <t xml:space="preserve"> LOT.#1 Construction of Steel Gate @ Purok 3 (Php100,000.00), LOT.#2 Rehab of MPB @ Purok 3 (Php100,000.00), LOT. #3 Cons. Of MPB - (store Stall) Phase 2 @ P3 (Php200,000.00), LOT.#4 Crossdrain (Culvert) @ Purok 1(Php100,000.00), LOT.#5 Rehab of MPP @ Puro</t>
  </si>
  <si>
    <t xml:space="preserve"> IP Transport Municipal (ITPM) Services: Committed Internet Rate (CIR)  of 20 Mbps per Municipal Plaza. Zamboanga Del Sur: 1.Josefina Municipal Plaza  2. Midsalip Municipal Plaza  Zamboanga Sibugay: 1.Titay Municipal Plaza</t>
  </si>
  <si>
    <t xml:space="preserve"> Regravelling of Sitio Bulbulala</t>
  </si>
  <si>
    <t xml:space="preserve"> INVITATION TO BID The Department of Public Works and Highways - Pampanga 1st District Engineering Office, through its Bids and Awards Committee (BAC), invites contractors to submit bids for the following Contract: 1.	 Procurement ID/Contract ID	:	20CG0217</t>
  </si>
  <si>
    <t xml:space="preserve"> Republic of the Philippines Province of Cavite City of General Trias Invitation to Bid for  Project Reference No. INFR-20-018– CONSTRUCTION OF MAIN CITY HEALTH CENTER (PHASE II) AT BARANGAY PINAGTIPUNAN, CITY OF GEN. TRIAS, CAVITE 1.	The City Government U</t>
  </si>
  <si>
    <t xml:space="preserve"> The DPWH-Regional Office I, through its Bids and Awards Committee (BAC), invites contractors to submit bids for the following Contract: Contract ID: 20A00209 Contract Name: Construction of PENRO 3-Storey Building, Capitol Compound, Lingayen, Pangasinan Br</t>
  </si>
  <si>
    <t xml:space="preserve"> Republic of the Philippines Province of Cagayan MUNICIPALITY OF CALAYAN Calayan, Cagayan INVITATION TO BID ITB No./PhilGEPS Reference No. 7105013 CONCRETING OF ROADS UNDER AIP 2020 (Barangay Dibay &amp; Dilam , Calayan, Cagayan) 1.	The Local Government of Cal</t>
  </si>
  <si>
    <t xml:space="preserve"> This project is adopting the Design and Build scheme, which involves a 5-Storey Building which utilizes the whole lot area and considers mandatory set-backs. The Building will adopt the Green Architecture Design to create energy efficient and sustainable </t>
  </si>
  <si>
    <t xml:space="preserve"> REPAIR OF DAMAGED PORT FACILITIES, PORT OF LIMASAWA, LIMASAWA ISLAND, SO. LEYTE      The Philippine Ports Authority, Port Management Office – Western Leyte/Biliran, through the Corporate Budget of the Authority for CY 2019, intends to apply the sum of   S</t>
  </si>
  <si>
    <t xml:space="preserve"> 1.	The Government Service Insurance System (GSIS) through the GSIS Corporate Operating Budget for CY 2020 intends to apply the sum of One Million Three Hundred Thousand Pesos (Php1,300,000.00) being the Approved Budget for the Contract (ABC) to payments u</t>
  </si>
  <si>
    <t xml:space="preserve"> MICROFINIHSING</t>
  </si>
  <si>
    <t xml:space="preserve"> PHILIPPINE DEPOSIT INSURANCE CORPORATION Makati City INVITATION TO BID PROCUREMENT FOR THE SUPPLY, DELIVERY AND INSTALLATION OF SYSTEMS FURNITURE FOR PDIC OFFICE (Rebidding) 1.	The Philippine Deposit Insurance Corporation (PDIC), through its 2020 Corporat</t>
  </si>
  <si>
    <t xml:space="preserve"> Scope of Works Includes a.) Mobilization and Demobilization b.) Demolition Works  c.)Masonry Works d.) Architectural Works e.) Plumbing Works  f.) Electrical Works g.)  Formworks Source of Funds: Department of Health (20201050-005-021) Approved Budget for</t>
  </si>
  <si>
    <t xml:space="preserve"> 1 lot Provision of Security Services for a Period of One (1) Year in the DOLE Central Office from October 2020 to October 2021</t>
  </si>
  <si>
    <t xml:space="preserve"> Description Republic of the Philippines  City of Danao BIDS AND AWARDS COMMITTEE INVITATION TO APPLY FOR ELIGIBILITY AND TO BID INFRASTRUCTURE PROJECTS IN THE CITY OF DANAO Construction of Multi-Purpose Building at Barangay Cagat, Danao City The City Gove</t>
  </si>
  <si>
    <t xml:space="preserve"> Republic of the Philippines DEPARTMENT OF PUBLIC WORKS AND HIGHWAYS ANTIQUE  DISTRICT ENGINEERING OFFICE REGIONAL OFFICE VI San Jose, Antique INVITATION TO BID  The Department of Public Works and Highways, Antique District Engineering Office, San Jose, An</t>
  </si>
  <si>
    <t xml:space="preserve"> BID TENDER								 The Bids and Awards Committee								 Province of Iloilo								 								      In connection with your Invitation to Bid No. PPO-20-0239-B scheduled on July 29, 2020, I/We proposed to furnish and deliver in conformity with the Terms and</t>
  </si>
  <si>
    <t xml:space="preserve"> Managed Internet Services: Committed Information Rate (CIR) of at least 10 MBPS. Must have at least three (3) Wi-Fi access points per identified location. Wi-Fi Hotspot device. Must include 24/7 Support with proactive monitoring. For Covid19 Hospitals, qu</t>
  </si>
  <si>
    <t xml:space="preserve"> xRepublic of the Philippines DEPARTMENT OF PUBLIC WORKS AND HIGHWAYS NEGROS OCCIDENTAL 1ST DISTRICT ENGINEERING OFFICE Region VI Matab-ang, Talisay City, Negros Occidental INVITATION TO BID The DPWH, Negros Occidental 1st District Engineering Office, Mata</t>
  </si>
  <si>
    <t xml:space="preserve"> Republic of the Philippines Province of Bukidnon Municipality of Damulog Barangay Sampagar OFFICE OF THE BIDS AND AWARD COMMITTEE INVITATION TO BID FOR CONSTRUCTION SUPPLIES  AND MATERIALS FOR THE CONSTRUCTION OF MPP-WAITING SHED  The barangay government </t>
  </si>
  <si>
    <t xml:space="preserve"> Republic of the Philippines                   Department of Health	       CENTRAL OFFICE BIDS AND AWARDS COMMITTEE  INVITATION TO BID FOR  PROCUREMENT OF NEXT GENERATION PRIVILEGED ACCOUNT MANAGEMENT IN DOH DATA CENTER-REBID IB NO. 2020-205-A 1.	The Depar</t>
  </si>
  <si>
    <t xml:space="preserve"> INVITATION TO BID The Department of Public Works &amp; Highways thru its Bids and Awards Committee for Goods, through GAA 2020, intends to apply the sum of One Hundred Forty Nine Million Eight Hundred Thirty Three Thousand Three Hundred Thirty Three and 54/10</t>
  </si>
  <si>
    <t xml:space="preserve"> Please submit your lowest bid price for one (1) unit brand new motor vehicle with an engine displacement not less than 2.0 Liter if gasoline-fed; or 2.5 Liter, if diesel-fed; with an engine not exceeding 4 cylinders.  The type of vehicle can either be Cro</t>
  </si>
  <si>
    <t xml:space="preserve"> The Pag-IBIG Fund invites prospective bidders to bid for the Supply and Delivery of Five (5) units Sports Utility Vehicle (SUV). The requirement shall be procured through Negotiated Method of Procurement due to 2-Bid Failures. Our Approved Budget for the </t>
  </si>
  <si>
    <t xml:space="preserve"> Request for Proposal  The Bureau of Fisheries and Aquatic Resources Regional Office No. 5 (BFAR RO 5), Fabrica, Bula, Camarines Sur is requesting from prospective suppliers to submit written proposal for the Supply and Delivery of Tilapia Fingerlings. Qua</t>
  </si>
  <si>
    <t xml:space="preserve"> Thirty (30) sets Solar Kit See attached link under OTHER INFORMATION BOX</t>
  </si>
  <si>
    <t xml:space="preserve"> 1	Digital Wall Clock	1 unit 2	Dish Dryer    	        1 unit 3	Drinking Glass   	12 pcs 4	Wood Serving Tray	3 pcs 5	Plastic Serving Tray	3 pcs 6	Glass Jar	                5 pcs 7	Round Plate       	12 pcs 8	Serving Dish Plate 	6 pcs 9	Cups and Saucer	24 pc</t>
  </si>
  <si>
    <t xml:space="preserve"> Procurement of supply and delivery of drugs and biologics &amp; feeds 38	Set	Drugs &amp; Biologics •	1 box of Doxycycline HCI + Tiamulin + Vitamin A + Vitamin B12, WSP, 5gx48/box •	1 box of Levamisole HCI 10% Soluble Powder, 5gx48/box •	36 packs of Multivitamins </t>
  </si>
  <si>
    <t xml:space="preserve"> Two-Storey Agriculture Innovation Center for Agri-Fishery-Livestock</t>
  </si>
  <si>
    <t xml:space="preserve"> Procurement of supply and delivery of drugs and biologics &amp; feeds 70	bag	Chicken grower crumble, 50kg/bag 19	Set	Drugs &amp; Biologics •	Doxycycline HCI + Tiamulin + Vitamin A + Vitamin B12, WSP, 5gx48/box •	Levamisole HCI 10% Soluble Powder, 5gx48/box •	Mult</t>
  </si>
  <si>
    <t xml:space="preserve"> Invitation to Bid For Three (3) Years Subscription for Web Security Protection for LANDBANK Branches (700 Users)  1.	The LAND BANK OF THE PHILIPPINES (LANDBANK), through its Corporate Budget for the contract approved by the Board of Directors for 2020 int</t>
  </si>
  <si>
    <t xml:space="preserve"> Project Reference No.: 7096516 Solicitation No.:  ITB-129-2020 Contract No  INVITATION TO BID FOR THE SUPPLY AND DELIVERY OF 600 KGS. CORN SEEDS-HYBRID WHITE GLUTINOUS IN SUPPORT TO FOOD PRODUCTION AMIDST COVID-19 PANDEMIC UNDER CORN PROGRAM CY 2020   1.	</t>
  </si>
  <si>
    <t xml:space="preserve"> Project Reference No.: 7096115 Solicitation No.:  ITB-130-2020 Contract No  INVITATION TO BID FOR THE SUPPLY AND DELIVERY OF 1,600 BOTTLES INSECTICIDE IN SUPPORT TO FOOD PRODUCTION AMIDST COVID-19 PANDEMIC UNDER CORN PROGRAM CY 2020   1.	The Department of</t>
  </si>
  <si>
    <t xml:space="preserve"> See attached ITB</t>
  </si>
  <si>
    <t xml:space="preserve"> INVITATION TO BID SUPPLY AND DELIVERY OF SIX (6) UNITS GROUND PENETRATING RADAR (GPR) FOR THE USE OF DPWH REGIONAL OFFICES (FY 2020) The Department of Public Works and Highways [DPWH] thru its Bids and Awards Committee for Goods, through GAA 2020, intends</t>
  </si>
  <si>
    <t xml:space="preserve"> INVITATION TO BID FOR THE SUPPLY, DELIVERY, INSTALLATION AND COMMISSIONING OF CENTRALLY-MANAGED WIRELESS ACCESS POINTS (WAP) The Department of Public Works and Highways thru its Bids and Awards Committee for Goods, through the GAA 2020, intends to apply t</t>
  </si>
  <si>
    <t xml:space="preserve"> Items: Drugs and medicine (please see attachment) 1)  The Schedule of Bidding Activities is available at the BAC Office, City Annex Building, Brgy. Zapote, City of Binan, Laguna.  Please look for the following for inquiries:       a)  Engr. Wilfredo F. Al</t>
  </si>
  <si>
    <t xml:space="preserve"> Project Reference No.: 7089694 Solicitation No.:  ITB-126-2020 Contract No  INVITATION TO BID FOR THE SUPPLY AND DELIVERY OF 38,000 BAGS MURIATE OF POTASH (0-0-60) FOR REHABILITATION AND RECOVERY OF DAMAGES CAUSED BY TAAL VOLCANO ERUPTION UNDER THE REGULA</t>
  </si>
  <si>
    <t xml:space="preserve"> Project Reference No.: 7089668 Solicitation No.:  ITB-125-2020 Contract No  INVITATION TO BID FOR THE SUPPLY AND DELIVERY OF 26,276 BAGS UREA (46-0-0) UNDER RICE PROGRAM CY 2020   1.	The Department of Agriculture Regional Field Office IVA through the Rice</t>
  </si>
  <si>
    <t xml:space="preserve"> CSC-CO  BIDS AND AWARDS COMMITTEE                                                CSC-ITB No.  2020 - 09                 (Proc. of Anti-Virus Licenses)                                                                     June  29, 2020     INVITATION TO BID</t>
  </si>
  <si>
    <t xml:space="preserve"> CSC-CO  BIDS AND AWARDS COMMITTEE                                          CSC-ITB No.  2020-_08_               (Proc. of Laptops &amp; Printers)                                                                  June 29, 2020    INVITATION TO BID  (Mode of Pro</t>
  </si>
  <si>
    <t xml:space="preserve"> Contract Location: FIRST DISTRICT OF ALBAY Brief Description: Concreting of Farm to Market Roads Source of Funds: GAA 2020 DPWH OUTSIDE INFRA The BAC is conducting the public bidding for this Contract in accordance with RA 9184 and its Implementing Rules </t>
  </si>
  <si>
    <t xml:space="preserve"> Project Reference No.: 7090288 Solicitation No.:  ITB-127-2020 Contract No INVITATION TO BID FOR THE SUPPLY AND DELIVERY OF 2,151 BAGS GM HYBRID CORN SEEDS UNDER CORN PROGRAM CY 2020   1.	The Department of Agriculture Regional Field Office IVA through the</t>
  </si>
  <si>
    <t xml:space="preserve"> INVITATION TO BID FOR THE SUPPLY AND DELIVERY OF FOOD AND BEVERAGES FOR CASINO CUSTOMERS, PLAYERS AND GUESTS FOR THREE (3) YEARS FOR RONQUILLO SATELLITE UNDER ITB NO. PB20-06-035COR The Philippine Amusement and Gaming Corporation (PAGCOR) is inviting all </t>
  </si>
  <si>
    <t xml:space="preserve"> Installation of Artesian Well</t>
  </si>
  <si>
    <t xml:space="preserve"> INVITATION TO BID The Department of Public Works and Highways - Pampanga 1st District Engineering Office, through its Bids and Awards Committee (BAC), invites contractors to submit bids for the following Contract: 1.	 Procurement ID/Contract ID	:	20CG0200</t>
  </si>
  <si>
    <t xml:space="preserve"> NOTICE OF PROCUREMENT  (For Posting Purposes in the PhilGEPS and DPWH websites)  19CSZ016- Capacity Development of DPWH Staff in Tunnel Operation and Maintenance and Preparation of Tender Documents for Procurement of Services for the Operation and Mainten</t>
  </si>
  <si>
    <t xml:space="preserve"> 1 Year Security Services, ABC 19, 920,658.80/year *95 Security Guards* Please see attached ITB</t>
  </si>
  <si>
    <t xml:space="preserve"> Rehab of Day Care Center</t>
  </si>
  <si>
    <t xml:space="preserve"> Concreting of  Alley Roads</t>
  </si>
  <si>
    <t xml:space="preserve"> ALBAY 3RD DISTRICT ENGINEERING OFFICE																																																									 Paulog, Ligao City																																																									 																																																									 																										</t>
  </si>
  <si>
    <t xml:space="preserve"> Construction of Flood Mitigation Structure</t>
  </si>
  <si>
    <t xml:space="preserve"> Construction of Flood Mitigation Facility</t>
  </si>
  <si>
    <t xml:space="preserve"> Construction of Bridge</t>
  </si>
  <si>
    <t xml:space="preserve"> INVITATION TO BID FOR Expansion of Students Athletic Ground (Lot 2-Savings)                 The CAMARINES SUR POLYTECHNIC COLLEGES, through the GAA (Savings)  intends to apply the sum of Eight Hundred Twenty Nine Thousand Two Hundred Thirty Pesos &amp; 15/100</t>
  </si>
  <si>
    <t xml:space="preserve"> Continuation Development Center</t>
  </si>
  <si>
    <t xml:space="preserve"> Augmentation Bantay Bayan Outpost</t>
  </si>
  <si>
    <t xml:space="preserve"> INVITATION TO BID SUPPLY AND DELIVERY OF SIX (6) UNITS 24-CHANNEL SEISMOGRAPH FOR THE USE OF DPWH REGIONAL OFFICES (FY 2020) The Department of Public Works and Highways [DPWH] thru its Bids and Awards Committee for Goods, through GAA 2020, intends to appl</t>
  </si>
  <si>
    <t xml:space="preserve"> L=92LM;  W=1M;  T=0.15M</t>
  </si>
  <si>
    <t xml:space="preserve"> Invitation to Bid The Manila International Airport Authority, through its Bids and Awards Committee (BAC), invites contractors to apply for eligibility and if found eligible, to bid for the hereunder contract:  Name of Contract                            </t>
  </si>
  <si>
    <t xml:space="preserve"> MG-TSE20-018..METER MULTIFUNCTION CAN MEASURE VOLTAGE, CURRENT, ACTIVE POWER ABC  : P 1,500,000.00 PLACE OF DELIVERY : CMTSD WAREHOUSE DITUCALAN, ILIGAN CITY AMOUNT OF BID DOCUMENTS : P 3,000.00</t>
  </si>
  <si>
    <t xml:space="preserve"> Invitation to Bid For Two (2) Years Subscription of Dark Fiber Facility 1.	The LAND BANK OF THE PHILIPPINES (LANDBANK), through its Corporate Budget for the contract approved by the Board of Directors for 2019intends to apply the total sum of Six Million </t>
  </si>
  <si>
    <t xml:space="preserve"> Purchase request submitted by Ma. Theresa Alejandrino  1 unit	 ELECTRIC STERILIZER ABC is Php 150,000.00</t>
  </si>
  <si>
    <t xml:space="preserve"> INVITATION TO BID The Department of Public Works and Highways (DPWH) Camarines Sur 5th, District Engineering Office, Camarines Sur, through its Bids and Awards Committee (BAC), invites contractors to submit bids for the following contract(s): Contract ID </t>
  </si>
  <si>
    <t xml:space="preserve"> FLOOR STANDING, INVERTER TYPE</t>
  </si>
  <si>
    <t xml:space="preserve"> Republic of the Philippines City of Dapitan BIDS AND AWARDS COMMITTEE INVITATION TO BID June 25, 2020 	 The City Government of Dapitan, through its Bids and Awards Committee (BAC), invites interested parties to apply for eligibility and, if found eligible</t>
  </si>
  <si>
    <t xml:space="preserve"> pls see attached</t>
  </si>
  <si>
    <t xml:space="preserve"> Republic of the Philippines Department of Health	 CENTRAL OFFICE BIDS AND AWARDS COMMITTEE  INVITATION TO BID FOR THE  PROCUREMENT OF NVBSP COLLATERALS IB NO. 2020-218 1.	The Department of Health (DOH), through the General Appropriations Act of 2020 and C</t>
  </si>
  <si>
    <t xml:space="preserve"> Republic of the Philippines City of Dapitan BIDS AND AWARDS COMMITTEE INVITATION TO BID June 26, 2020 	 The City Government of Dapitan, through its Bids and Awards Committee (BAC), invites interested parties to apply for eligibility and, if found eligible</t>
  </si>
  <si>
    <t xml:space="preserve"> Invitation to Bid for the Consultancy Services for the Training Needs Assessment, Design, Development and Pilot Implementation of Training Programs on MSMEs Resiliency for the Creative Industries Sector: Animation (with development of PTTC trainers) 1.	Th</t>
  </si>
  <si>
    <t xml:space="preserve"> Rehabilitation of Paved Road</t>
  </si>
  <si>
    <t xml:space="preserve"> Invitation to Bid for the Consultancy Services for the Training Needs Assessment, Design, Development and Pilot Implementation of Training Programs on MSMEs Resiliency for the Creative Industries Sector: Gaming (with development of PTTC trainers) 1.	The P</t>
  </si>
  <si>
    <t xml:space="preserve"> Invitation to Bid for the Consultancy Services for the Training Needs Assessment, Design, Development and Pilot Implementation of Training Programs on MSMEs Resiliency for the Lifestyle Sector: Clothing (with development of PTTC trainers) 1.	The Philippin</t>
  </si>
  <si>
    <t xml:space="preserve"> INVITATION TO BID FOR PROVISION OF MULTI-YEAR CONTRACT FOR THE HIRING OF SERVICE PROVIDER FOR TERMITE TREATMENT AND GENERAL PEST CONTROL OF DSWD CENTRAL OFFICE AND OTHER SATELLITE OFFICES                                                          FOR CY 202</t>
  </si>
  <si>
    <t xml:space="preserve"> Procurement ID/Contract I.D.: 20CN0125 Contract Name: Slope Protection along Nueva Ecija – Aurora Road Contract Location: K0184+800 – K0184+880, K0184+980 – K0185+090 Brief Description: Drainage and Slope Protection Structures Approved Budget for the Cont</t>
  </si>
  <si>
    <t xml:space="preserve"> Procurement ID/Contract I.D.: 20CN0124 Contract Name: Slope Protection along Nueva Ecija – Aurora Road Contract Location: K0176+200 – K0176+360 Brief Description: Drainage and Slope Protection Structures Approved Budget for the Contract (ABC): Php 99,000,</t>
  </si>
  <si>
    <t xml:space="preserve"> Procurement ID/Contract I.D.: 20CN0123 Contract Name: Construction of Slope Protection along Baler - Casiguran Road (Dinadiawan-Casiguran Section) Contract Location: K0297+060 – K0297+143, K0297+190 – K0297+300, Casigura, Aurora Brief Description: Drainag</t>
  </si>
  <si>
    <t xml:space="preserve"> Procurement ID/Contract I.D.: 20CN0075 Contract Name: Construction of Slope Protection along Nueva Ecija – Aurora Road Contract Location: K0204+325 – K0204+386, Aurora Brief Description: Drainage and Slope Protection Structures Approved Budget for the Con</t>
  </si>
  <si>
    <t xml:space="preserve"> Procurement ID/Contract I.D.: 20CN0072 Contract Name: Construction of Slope Protection along Nueva Ecija – Aurora Road Contract Location: K0171+150 – K0171+195.52, Aurora Brief Description: Drainage and Slope Protection Structures Approved Budget for the </t>
  </si>
  <si>
    <t xml:space="preserve"> Procurement ID/Contract I.D.: 20CN0126 Contract Name: Slope Protection along Nueva Ecija – Aurora Road Contract Location: (K0190+740 – K0190+890), (K0191+211 – K0191+260) Brief Description: Drainage and Slope Protection Structures Approved Budget for the </t>
  </si>
  <si>
    <t xml:space="preserve"> L=5.5LM;  W=7M, FLOORING EMBANKMENT=1M COL. SIZE= 10"X10"</t>
  </si>
  <si>
    <t xml:space="preserve"> Procurement ID/Contract I.D.: 20CN0073 Contract Name: Construction of Slope Protection along Nueva Ecija – Aurora Road Contract Location: K0212+155 – K0212+203, Aurora Brief Description: Drainage and Slope Protection Structures Approved Budget for the Con</t>
  </si>
  <si>
    <t xml:space="preserve"> PLEASE DOWNLOAD THE ATTACHMENT/S FOR REFERENCE. Important Notes and Conditions: You can submit your quotation ON or BEFORE JUNE 22, 2020 at 09:00 AM with the photocopy of the following legal documents: a. Mayor’s / Business Permit b. PhilGEPS Registration</t>
  </si>
  <si>
    <t xml:space="preserve"> INVITATION TO BID FOR SUPPLY AND DELIVERY OF WORKSTATION COMPUTERS  FOR DSWD-UCT NPMO —  ITB NO. GOP/19-DSWD-059-A — (PR NO. 01-20001-PR-2019-11-00121) 1.	The Department of Social Welfare and Development (DSWD), through the DSWD Funds, intends to apply th</t>
  </si>
  <si>
    <t xml:space="preserve"> INVITATION TO BID  	 The Department of Public Works and Highways-National Capital Region (DPWH-NCR) and Unified Project Management Office - Flood Control Management Cluster (UPMO-FCMC), through the NCR Bids and Awards Committee (NCR-BAC), invites contract</t>
  </si>
  <si>
    <t xml:space="preserve"> 5	pack	0.1-10 uL tips, clear, Microvolume, pack of 1000s 5	pack	0.1-20 uL tips, clear, Ultra Micro, pack of 1000s 5	pack	100-1000 uL tips, clear, pack of 1000s 5	pack	5-200 uL tips, ThermoScientific Labtip, Yellow 5	pack	Art 10 Reach Barrier Tip, Hinged R</t>
  </si>
  <si>
    <t xml:space="preserve"> REPAIR / REPLACEMENT OF DEFECTIVE CCTV CAMERA AT AGUS 7 SPILLWAY</t>
  </si>
  <si>
    <t xml:space="preserve"> Seven (7) units Motorcycles See attached link under OTHER INFORMATION BOX</t>
  </si>
  <si>
    <t xml:space="preserve"> Procurement ID/Contract I.D.: 20CN0074 Contract Name: Construction of Slope Protection along Nueva Ecija – Aurora Road Contract Location: K0196+230 – K0196+277, Aurora Brief Description: Drainage and Slope Protection Structures Approved Budget for the Con</t>
  </si>
  <si>
    <t xml:space="preserve"> Preventive Maintenance of Road: Asphalt Overlay</t>
  </si>
  <si>
    <t xml:space="preserve"> Construction of Concrete Road</t>
  </si>
  <si>
    <t xml:space="preserve"> Rehabilitation/ Major Repair of Multi – Purpose Building</t>
  </si>
  <si>
    <t xml:space="preserve"> 1.	The DENR-Environmental Management Bureau Region 2, through the ESWM Fund (Fund 101) CY 2020 intends to apply the sum of Two Million Two Hundred Thousand Pesos (P2,200,000.00) the contract for Procurement Of Professional Consulting Service For The Condu</t>
  </si>
  <si>
    <t xml:space="preserve"> Invitation to Bid For One (1) Lot Supply, Delivery and Installation of Systems Furniture for LANDBANK Malolos Highway Office Building 1.	The LAND BANK OF THE PHILIPPINES (LANDBANK), through its Corporate Budget for the contract approved by the Board of Di</t>
  </si>
  <si>
    <t xml:space="preserve"> NOTICE TO THE PUBLIC  REQUEST FOR QUOTATION AMP SVP NO: 20-06-0262A	              The University of the Philippines, Diliman (UPD) hereby informs the public that it will be procuring the following item/s through Small Value Procurement:   Qty/Unit	Item De</t>
  </si>
  <si>
    <t xml:space="preserve"> INVITATION TO RE-BID FOR THE  SUPPLY AND DELIVERY OF COMPUTER NOTEBOOK PR Nos. 27619-001 to 27619-003 1.	The Metropolitan Cebu Water District, through the Corporate Budget of 2020 intends to apply the sum of: PR No.	Description	Qty.	Unit Price	Approved Bu</t>
  </si>
  <si>
    <t xml:space="preserve"> NOTICE TO THE PUBLIC  REQUEST FOR QUOTATION AMP SVP NO: 20-06-0278A	              The University of the Philippines, Diliman (UPD) hereby informs the public that it will be procuring the following item/s through Small Value Procurement:   Qty/Unit	Item De</t>
  </si>
  <si>
    <t xml:space="preserve"> INVITATION TO RE-BID FOR THE  SUPPLY AND DELIVERY OF GIS DESKTOP SOFTWARE PR No. 27611-001  1.	The Metropolitan Cebu Water District, through the Corporate Budget of 2020 intends to apply the sum of: PR No.	Description	Qty.	Unit Price	Approved Budget  for </t>
  </si>
  <si>
    <t xml:space="preserve"> INVITATION TO RE-BID FOR THE  SUPPLY, DELIVERY, AND INSTALLATION OF LOCAL AREA NETWORK (LAN) STRUCTURED CABLING IN THE NEW MSSD BUILDING, TALAMBAN, CEBU CITY PR No. 27608-001 1.	The Metropolitan Cebu Water District, through the Corporate Budget of 2020 in</t>
  </si>
  <si>
    <t xml:space="preserve"> SEE ATTACHED INVITATION TO BID, CHECKLISTS, BIDDING DOCUMENTS, STANDARD BIDDING FORMS AND PLANS</t>
  </si>
  <si>
    <t xml:space="preserve"> 1	COMPUTER SOFTWARE E-CAD ULTIMATE PACKE FULL SOFTWARE PACKAGE WITH DOUBLE KEY SOFTWARE PROGRAMS TOPO + CONTOUR + E-SURVEY SECTION + EARTHWORK + INTERPOLATE + KML + AREA DIVISION	1	KIT	 178,000.00</t>
  </si>
  <si>
    <t xml:space="preserve"> Republic of the Philippines WESTERN PHILIPPINES UNIVERSITY          A STRONG PARTNER FOR SUSTAINABLE DEVELOPMENT BIDS AND AWARDS COMMITTEE Invitation to Bid for Supply, Delivery and Installation of equipment for the DA-ACEF indigenous fruits project The W</t>
  </si>
  <si>
    <t xml:space="preserve"> The Subic Bay Metropolitan Authority, through the Corporate Budget for the contract approved by the governing board for 2020 intends to apply the sum of Seventy Million Pesos (PHP 70,000,000.00) VAT Exclusive being the Approved Budget for the Contract (AB</t>
  </si>
  <si>
    <t xml:space="preserve"> INVITATION TO RE-BID FOR THE  SUPPLY, DELIVERY, AND INSTALLATION OF FIRE SUPRESSION SYSTEM PR No. 27388-001 1.	The Metropolitan Cebu Water District, through the Corporate Budget of 2020 intends to apply the sum of: PR No.	Description	Qty.	Unit Price	Appro</t>
  </si>
  <si>
    <t xml:space="preserve"> DATA BACKUP STORAGE NETWORK ATTACHED STORAGE (NAS)/DISK STATION, RAID TECHNICAL SPEC: HARDWARE:  CPU: REALTEK RTD 1296 QUADCORE 1.4 GHZ HARDWARE ENCRYPTION ENGINE: YES HARDWARE TRANSCODING ENGINE:     *SUPPORTED CODEC: MPEG-4 PART 2(XVID, DIVX5), MPEG-2, </t>
  </si>
  <si>
    <t xml:space="preserve"> LUBRICANT, WIRE ROPE	 	 	 SPECIFICATIONS:	 SEMI FLUID WIRE ROPE DRESSING FOR EASY APPLICATION AND ROPE PENETRATION WHICH RESIST FLING-OFF AND WATER WASH-OUT. CONTAINS NO SOLVENT DILUENT. WIRE ROPE	 DRESSING WILL PENETRATE RIGHT INTO THE CORE OF THE ROPE, </t>
  </si>
  <si>
    <t xml:space="preserve"> Invitation to Bid For   Supply and Delivery of 11,360 bundles Clear Plastic Jacket for Savings, Signature Card  and 10,400 reams Whitewove Paper Mimeo 1.	The LAND BANK OF THE PHILIPPINES (LANDBANK), through its Corporate Budget for the contract approved b</t>
  </si>
  <si>
    <t xml:space="preserve"> Republic of the Philippines WESTERN PHILIPPINES UNIVERSITY          A STRONG PARTNER FOR SUSTAINABLE DEVELOPMENT BIDS AND AWARDS COMMITTEE Invitation to Bid for Supply, Delivery and Installation of Digital Speech Laboratory The Western Philippines Univers</t>
  </si>
  <si>
    <t xml:space="preserve"> Contract ID: 20-DO-0079 Contract Name: LOCAL PROGRAM - Local Infrastructure Program - Building and Other Structures - Multipurpose/Facilities - Construction of Multi-Purpose Building and Facilities, San Francisco St., Brgy. Patunhay, Cardona, Rizal Contra</t>
  </si>
  <si>
    <t xml:space="preserve"> Republic of the Philippines DEPARTMENT OF PUBLIC WORKS &amp; HIGHWAYS OFFICE OF THE REGIONAL DIRECTOR Region III Sindalan, City of San Fernando, Pampanga INVITATION TO BID The DPWH-Regional Office No. III,  through  its  Bids  and  Awards  Committee  (BAC),  </t>
  </si>
  <si>
    <t xml:space="preserve"> 1.	The Development Bank of the Philippines (DBP), through the Corporate Budget for CY 2020 intends to apply the sum of Two Million Five Hundred Thousand Pesos (Php2,500,000.00) inclusive of taxes/VAT being the Approved Budget for the Contract (ABC) to pay</t>
  </si>
  <si>
    <t xml:space="preserve"> INVITATION TO BID The DPWH Bukidnon 1st District Engineering Office, Malaybalay City, through its Bids and Awards Committee (BAC), invites contractors to submit bids for the following Contracts:   			 5	Contract ID 	:	20KA0139 	Contract Name 	:	Road Widen</t>
  </si>
  <si>
    <t xml:space="preserve"> INVITATION TO BID The DPWH Bukidnon 1st District Engineering Office, Malaybalay City, through its Bids and Awards Committee (BAC), invites contractors to submit bids for the following Contracts:   			 4	Contract ID 	:	20KA0138 	Contract Name 	:	Constructi</t>
  </si>
  <si>
    <t xml:space="preserve"> INVITATION TO BID The DPWH Bukidnon 1st District Engineering Office, Malaybalay City, through its Bids and Awards Committee (BAC), invites contractors to submit bids for the following Contracts:   1	Contract ID 	:	20KA0135 	Contract Name 	:	Road Widening </t>
  </si>
  <si>
    <t xml:space="preserve"> INVITATION TO BID The DPWH Bukidnon 1st District Engineering Office, Malaybalay City, through its Bids and Awards Committee (BAC), invites contractors to submit bids for the following Contracts:   			 6	Contract ID 	:	20KA0140 	Contract Name 	:	Paving of </t>
  </si>
  <si>
    <t xml:space="preserve"> HYDRAULIC OIL	 	 	 HYDRAULIC OIL HYPLUS	 HYDRAULIC OIL, TURBINE OIL T68	 	 HIGH QUALITY ANTI WEAR HYDRAULIC OIL FORTIFIES WITH AN EFFECTIVE ADDITIVE PACKAGE FOR HYDRAULIC SYSTEMS OPERATING UNDER A WIDE RANGE OF TEMPERATURE	 OPERATIONS. COMPATBLE WITH THE </t>
  </si>
  <si>
    <t xml:space="preserve"> NOTICE TO THE PUBLIC  REQUEST FOR QUOTATION AMP SVP NO: 20-05-0264A	              The University of the Philippines, Diliman (UPD) hereby informs the public that it will be procuring the following item/s through Small Value Procurement:   Qty/Unit	Item De</t>
  </si>
  <si>
    <t xml:space="preserve"> Invitation to Bid For One (1) Lot Supply, Delivery, Installation, Testing and Commissioning of Variable Refrigerant Flow (VRF) Air-Conditioning Units at LANDBANK Sta. Cruz Office Building 1.	The LAND BANK OF THE PHILIPPINES (LANDBANK), through its Corpora</t>
  </si>
  <si>
    <t xml:space="preserve"> INVITATION TO BID The DPWH Bukidnon 1st District Engineering Office, Malaybalay City, through its Bids and Awards Committee (BAC), invites contractors to submit bids for the following Contracts:   			 7	Contract ID 	:	20KA0141 	Contract Name 	:	Paving of </t>
  </si>
  <si>
    <t xml:space="preserve"> INVITATION TO BID The DPWH Bukidnon 1st District Engineering Office, Malaybalay City, through its Bids and Awards Committee (BAC), invites contractors to submit bids for the following Contracts:   			 3	Contract ID 	:	20KA0137 	Contract Name 	:	Paving of </t>
  </si>
  <si>
    <t xml:space="preserve"> Invitation to Bid For   Supply and Delivery of 4,300 pieces Ribbon for EPSON Printer FX2190 and 440 pieces  Genuine Burroughs Black Multiline Print Inkjet Cartridge 1.	The LAND BANK OF THE PHILIPPINES (LANDBANK), through its Corporate Budget for the contr</t>
  </si>
  <si>
    <t xml:space="preserve"> Invitation to Bid for Project No.: ITB 2020-Infra-006 1.	The Department of Education (DepEd) Division of Calamba City, intends to apply the sum of Two million seven hundred eighty-seven thousand seven hundred fifty-six pesos &amp; 08/100 only (Php.2,787,756.0</t>
  </si>
  <si>
    <t xml:space="preserve"> Invitation to Bid for Project No.: ITB 2020-Infra-003 1.	The Department of Education (DepEd) Division of Calamba City, intends to apply the sum of Two million three hundred forty thousand eight hundred one pesos &amp; 68/100 only (Php.2,340,801.68) being the </t>
  </si>
  <si>
    <t xml:space="preserve"> Invitation to Bid for Project No.: ITB 2020-Infra-005 1.	The Department of Education (DepEd) Division of Calamba City, intends to apply the sum of One million three hundred twenty-nine thousand four hundred twenty-eight pesos &amp; 01/100 only (Php.1,329,428.</t>
  </si>
  <si>
    <t xml:space="preserve"> INVITATION TO BID The DPWH Bukidnon 1st District Engineering Office, Malaybalay City, through its Bids and Awards Committee (BAC), invites contractors to submit bids for the following Contracts:   			 2	Contract ID 	:	20KA0136 	Contract Name 	:	Paving of </t>
  </si>
  <si>
    <t xml:space="preserve"> Invitation to Bid for Project No.: ITB 2020-Infra-004 1.	The Department of Education (DepEd) Division of Calamba City, intends to apply the sum of One million one hundred fourteen thousand seven hundred ninety-three pesos &amp; 99/100 only (Php.1,114,793.99) </t>
  </si>
  <si>
    <t xml:space="preserve"> Request for Proposal  The Bureau of Fisheries and Aquatic Resources Regional Office No. 5 (BFAR RO 5), Fabrica, Bula, Camarines Sur is requesting from prospective suppliers to submit written proposal for the Upgrading of Desktop Computer. Quantity	Unit	It</t>
  </si>
  <si>
    <t xml:space="preserve"> Invitation to Bid for Project No.: ITB 2020-Infra-001 1.	The Department of Education (DepEd) Division of Calamba City, intends to apply the sum of Three million twenty-five thousand six hundred fifty-seven pesos &amp; 63/100 only (Php.3,025,657.63) being the </t>
  </si>
  <si>
    <t xml:space="preserve"> 1. Pre-procurement	May 7, 2020 2. Advertisement/Posting of IBEI	May 8-14, 2020 3.  Eligibility Check	May 15-16, 2020 4. Issuance and availability of Bidding Documents	May 18-June 1, 2020 5. Pre-Bid Conference 	May 19, 2020 6. Submission and Opening of Bid</t>
  </si>
  <si>
    <t xml:space="preserve"> 1.	The Philippine Health Insurance Corporation, through the Corporate Operating Budget of CY 2020 intends to apply the sum of Fourteen Million Four Hundred Fifty Eight Pesos Three Hundred Thirty Three Pesos and Fifty Centavos (PhP14,458,333.50) for the fi</t>
  </si>
  <si>
    <t xml:space="preserve"> Invitation to Bid for Project No.: ITB 2020-Infra-002 1.	The Department of Education (DepEd) Division of Calamba City, intends to apply the sum of Two million six hundred six thousand nine hundred fifty-one pesos &amp; 31/100 only (Php.2,606,951.31) being the</t>
  </si>
  <si>
    <t xml:space="preserve"> INVITATION TO BID    SUPPLY AND DELIVERY OF 17 UNITS BRAND NEW MAJOR SURGERY SET AND 25 UNITS BRAND NEW MINOR SURGERY SET FOR THE PHILIPPINE ARMY (PA)  Bid Reference No. MPG-BI-2020-230 Rebid  (Previous Bid Reference No. MPG-BI-2019-166)     1.  The Phili</t>
  </si>
  <si>
    <t xml:space="preserve"> WORK ENVIRONMENT MEASUREMENT		 		 		 		 SCOPE OF WORKS:		 WORK ENVIRONMENT MEASUREMENT FOR THE FOLLOWING:		 PARAMETERS	NO. OF SAMPLING AREA/ STATION	 1.ILLUMINATION	15	 2.NOISE	15	 3.VENTILATION	15	 4.HEAT STRESS	15	 5.RELATIVE HUMIDITY &amp; AIR	15	 6. TOTAL</t>
  </si>
  <si>
    <t xml:space="preserve"> Republic of the Philippines				 				                   Office of the Municipal Mayor				 					       BIDS AND AWARDS COMMITTEE				 					            Sta. Barbara, Pangasinan				 									 					               Invitation to Bid 				 					                    </t>
  </si>
  <si>
    <t xml:space="preserve"> INVITATION TO BID FOR THE SUPPLY, DELIVERY, INSTALLATION, TESTING AND COMMISSIONING OF FIRE SUPPRESSION SYSTEM, 5-KW AIRCON, UPS, DOOR ACCESS CONTROL, TEMPERATURE AND HUMIDITY MONITORING SYSTEM, SERVER RACK AND RETROFITTING OF SERVER ROOM UNDER ITB NO. PB</t>
  </si>
  <si>
    <t xml:space="preserve"> Republic of the Philippines										 BIDS AND AWARDS COMMITTEE										 Province of Pangasinan										 Municipality of Sta. Barbara										 										 Invitation to Bid										  for 										 Improvement of Public Plaza										 Poblacion Norte,</t>
  </si>
  <si>
    <t xml:space="preserve"> NVITATION TO BID    SUPPLY AND DELIVERY OF BRAND NEW 3,552 PAIRS TANKER SUIT, PHILARPAT FOR THE PHILIPPINE ARMY (PA)   Bid Reference No. MPG-BI-2020-415 Approved Budget for the Contract - ₱ 9,615,264.00     1. The Philippine International Trading Corporat</t>
  </si>
  <si>
    <t xml:space="preserve"> PLS. SEE ATTACHMENT          The Schedule of BAC activities are as follows:								 								 BAC Activities					Schedule			 1	Advertisement/Posting of IAEB				March 16-23, 2020			 2	Receipt of Letter of Intent							 3	Eligibility Check				Arpil 6, 2020		</t>
  </si>
  <si>
    <t xml:space="preserve"> INVITATION TO BID    SUPPLY AND DELIVERY OF BRAND NEW 14,871 SETS TOWEL BATH AND FACE, MICROFIBER OD FOR THE PHILIPPINE ARMY (PA)   Bid Reference No. MPG-BI-2020-250 Approved Budget for the Contract - ₱ 8,579,377.32     1. The Philippine International Tra</t>
  </si>
  <si>
    <t xml:space="preserve"> INVITATION TO BID    SUPPLY AND DELIVERY OF 9,615 BRAND NEW INDIVIDUAL FIRST AID KITSFOR THE PHILIPPINE ARMY (PA)  Bid Reference No. MPG-B1-2019-416    Approved Budget for the Contract – P 36,663,533.40   1.  The Philippine International Trading Corporati</t>
  </si>
  <si>
    <t xml:space="preserve"> INVITATION TO BID   SUPPLY AND DELIVERY OF 45,000 PAIRS BRAND NEW SOCKS FOR BOOTS, GRAY FOR THE PHILIPPINE AIR FORCE (PAF)  Bid Reference No. MPG-BI-2020-045  Approved Budget for the Contract - ₱3,028,500.00      1. The Philippine International Trading Co</t>
  </si>
  <si>
    <t xml:space="preserve"> INVITATION FOR NEGOTIATION    SUPPLY OF LABOR AND MATERIALS FOR THE REPAIR AND IMPROVEMENT OF GEN. RICARTE SHRINE GROUNDS AND ATTENDANT PARKS OF THE PHILIPPINE VETERANS AFFAIRS OFFICE (PVAO)    Bid Ref No. MPG-B2-2020-310 Nego  (Previous Bid Ref No. 2019-</t>
  </si>
  <si>
    <t xml:space="preserve"> INVITATION TO BID    SUPPLY AND DELIVERY OF ONE LOT BRAND NEW OPHTHALMIC OPERATING MICROSCOPE AND BRAND NEW OPHTHALMIC CHAIR AND STAND FOR THE PHILIPPINE ARMY (PA)   Bid Reference No. MPG-BI-2020-231 Rebid (Previous Bid Reference No. MPG-BI-2019-169)     </t>
  </si>
  <si>
    <t xml:space="preserve"> PROVISION OF WATCHMAN SERVICES FROM MARCH 1-DECEMBER 31, 2020</t>
  </si>
  <si>
    <t xml:space="preserve"> INVITATION TO BID The DPWH-Regional Office No. III,  through  its  Bids  and  Awards  Committee  (BAC),  invites contractors to submit bids for the following Contracts below:   Procurement ID/Contract ID:    20C00042 Contract Name:      Local Program-Cons</t>
  </si>
  <si>
    <t xml:space="preserve"> Invitation to Bid For Supply and Delivery of 600 Units Passbook Printer 1.	The LAND BANK OF THE PHILIPPINES (LANDBANK), through its Corporate Budget for the contract approved by the Board of Directors for 2019 intends to apply the total sum of Nine Millio</t>
  </si>
  <si>
    <t xml:space="preserve"> Request for Quotation The Bureau of Fisheries and Aquatic Resources, Regional Office No. 5, Fabrica, Bula, Camarines Sur is requesting from prospective suppliers to submit quotation for the Supply and Delivery of FRP Materials, Underwater Fittings and Mar</t>
  </si>
  <si>
    <t xml:space="preserve"> Scope of Works Includes: a.) General requirements b.) Supply and install underground fibre optic network c.) Supply and install traffic signal equipment d.) Supply and install smart surveillance system (hardware and software) e.) Trainings for CCTO person</t>
  </si>
  <si>
    <t xml:space="preserve"> 500 ampule, Phytomenadione 10mg/ml, injection</t>
  </si>
  <si>
    <t xml:space="preserve"> INVITATION TO BID  SUPPLY AND DELIVERY OF FOURTEEN (14) SETS BRAND NEW TRACK ASSY (T130) FOR M113 APC OF THE PHILIPPINE ARMY (PA)  Bid Reference No. MPG-B1-2020-002 Approved Budget for the Contract - ₱ 10,769,230.64     1. Philippine International Trading</t>
  </si>
  <si>
    <t xml:space="preserve"> Request for Proposal  The Bureau of Fisheries and Aquatic Resources Regional Office No. 5 (BFAR RO 5), Fabrica, Bula, Camarines Sur is requesting from prospective suppliers to submit written proposal for the Supply and Delivery of Seaweed Propagules/Seedl</t>
  </si>
  <si>
    <t xml:space="preserve"> AIRCONDITIONING UNIT CEILING TYPE, 5 HP, 3 TONS AIRCONDITIONING UNIT INVERTER, SPLIT TYPE, 1.5 HP NOTE: WITH FREE INSTALLATION</t>
  </si>
  <si>
    <t xml:space="preserve"> INVITATION TO BID June 2, 2020 CHINA STATE CONSTRUCTION ENGINEERING CORPORATION LIMITED / CHINA GEO ENGINEERING CORPORATION (JV) 12F Petron Megaplaza, 358 Gil Puyat Avenue, Makati City  Email address: liuwei@chinaconstruction.com SUBJECT	:	Contract Packag</t>
  </si>
  <si>
    <t xml:space="preserve"> INVITATION TO BID The DPWH Bukidnon 1st District Engineering Office, Malaybalay City, through its Bids and Awards Committee (BAC), invites contractors to submit bids for the following Contracts:   			 8	Contract ID 	:	20KA0142 	Contract Name 	:	Constructi</t>
  </si>
  <si>
    <t xml:space="preserve"> REPAIR OF PHYTON CAGE NOTE: (FOR JOB ORDER) REQUEST FOR QUOTATION SHALL BE THRU EMAIL DUE TO COVID 19.   YOU CAN DROP YOUR QUOTATIONS AT OUR BID BOX SITUATED IN FRONT OF OUR MAINGATE GUARDHOUSE – AGUS 6/7 HPPC.</t>
  </si>
  <si>
    <t xml:space="preserve"> INVITATION TO BID June 2, 2020 CHINA GEZHOUBA GROUP CORPORATION LIMITED / CHINA GEZHOUBA GROUP MUNICIPAL ENGINEERING CORPORATION LIMITED (JV) Unit 916, High Street South Corporate Plaza Tower1, 26th Street corner 9th Ave., Bonifacio Global City, Taguig Ci</t>
  </si>
  <si>
    <t xml:space="preserve"> Invitation to Bid and Bidding Documents</t>
  </si>
  <si>
    <t xml:space="preserve"> Invitation to Bid for Project No.: ITB 2020-Infra-007 1.	The Department of Education (DepEd) Division of Calamba City, intends to apply the sum of One million one hundred eighty-seven thousand eight hundred forty-nine pesos &amp; 29/100 only (Php.1,187,849.29</t>
  </si>
  <si>
    <t xml:space="preserve"> Advertisement/Posting of Invitation to Bid 16 June 2020 Issuance and Availability of Bid Documents 16 June to 06 July 2020 Pre-bid Conference 29 June 2020, 2:00 PM Last Day of Written Clarification 02 July 2020 Last Day of Issuance of Bid Bulletin 06 July</t>
  </si>
  <si>
    <t xml:space="preserve"> Procurement ID/Contract I.D.: 20CN0071 Contract Name: Construction of Slope Protection Along Baler – Casiguran Road (Dinadiawan – Casiguran Section) Contract Location: (K0302+490 – K0302+570), Casiguran, Aurora Brief Description: Drainage and Slope Protec</t>
  </si>
  <si>
    <t xml:space="preserve"> Procurement ID/Contract I.D.: 20CN0070 Contract Name: Construction of Slope Protection Along Baler – Casiguran Road (Dinadiawan – Casiguran Section) Contract Location: K0292+910 – K0292+988, Aurora Brief Description: Drainage and Slope Protection Structur</t>
  </si>
  <si>
    <t xml:space="preserve"> Procurement ID/Contract I.D.: 20CN0067 Contract Name: Construction of Slope Protection Along A. Castañeda – Ma. Aurora San Luis Road Contract Location: (K0198+120 – K0198+171.84), Aurora  Brief Description: Drainage and Slope Protection Structures Approve</t>
  </si>
  <si>
    <t xml:space="preserve"> Procurement ID/Contract I.D.: 20CN0066 Contract Name: Construction of Slope Protection along Madela – Dinadiawan Road Contract Location: K0410+100 – K0410+146, Aurora  Brief Description: Drainage and Slope Protection Structures Approved Budget for the Con</t>
  </si>
  <si>
    <t xml:space="preserve"> Procurement ID/Contract I.D.: 20CN0068 Contract Name: Construction of Slope Protection Along A. Castañeda – Ma. Aurora San Luis Road Contract Location: (K0211+175 – K0211+310), Aurora  Brief Description: Drainage and Slope Protection Structures Approved B</t>
  </si>
  <si>
    <t xml:space="preserve"> Procurement ID/Contract I.D.: 20CN0069 Contract Name: Construction of Slope Protection Along Baler – Casiguran Road (Baler – Dinadiawan Section) Contract Location: (K0259+735 – K0259+775), Casiguran, Aurora Brief Description: Drainage and Slope Protection</t>
  </si>
  <si>
    <t xml:space="preserve"> Advertisement/Posting of Invitation to Bid 16 June 2020 Issuance and Availability of Bid Documents 16 June to 06 July 2020 Pre-bid Conference 29 June 2020 10:00 AM Last Day of Written Clarification 02 July 2020 Last Day of Issuance of Bid Bulletin 06 July</t>
  </si>
  <si>
    <t xml:space="preserve"> Invitation to Bid For Additional License for the Existing Solarwinds Servers, Networks, Database and Application Monitoring Tool 1.	The LAND BANK OF THE PHILIPPINES (LANDBANK), through its Corporate Budget for the contract approved by the Board of Directo</t>
  </si>
  <si>
    <t xml:space="preserve"> Invitation to Bid for the Consultancy Services for the Training Needs Assessment, Design, Development and Pilot Implementation of Training Programs on MSMEs Resiliency for the Food Manufacturing Sector: Processed Marine Products (with development of PTTC </t>
  </si>
  <si>
    <t xml:space="preserve"> L=92LM;  W=1M,  T=0.15M</t>
  </si>
  <si>
    <t xml:space="preserve"> Invitation to Bid for the Consultancy Services for the Training Needs Assessment, Design, Development and Pilot Implementation of Training Programs on MSMEs Resiliency for the Creative Industries Sector: Film (with development of PTTC trainers) 1.	The Phi</t>
  </si>
  <si>
    <t xml:space="preserve"> Invitation to Bid for the Consultancy Services for the Training Needs Assessment, Design, Development and Pilot Implementation of Training Programs on MSMEs Resiliency for the Food Manufacturing Sector: Processed Meat Products (with development of PTTC tr</t>
  </si>
  <si>
    <t xml:space="preserve"> INVITATION TO BID: 1. Project Title: Construction of Academic and Office Building Phase I,  PUP  Rizal  Campus,  S.H.  Loyola  Street,  Sampaloc,  Manila  (Using  a  Design  and Build  Scheme) 2. Approved Budget for the Contract: Php 69,682,190.00 3. Pre-</t>
  </si>
  <si>
    <t xml:space="preserve"> INVITATION TO BID 1)	The DPWH- Davao City District Engineering Office through its Bids and Awards Committee (BAC), invites contractors to submit bids for the following contract; 1. Procurement ID /          Contract ID No.	:	20LB0182     Contract Name	:	C</t>
  </si>
  <si>
    <t xml:space="preserve"> CSC-CO  BIDS AND AWARDS COMMITTEE    								                               CSC-ITB No.  2020 - 10  (Proc. of Primary Internet Services)      June 29, 2020   INVITATION TO BID  (Mode of Procurement:   Public Bidding) The Civil Service Commission (CSC), th</t>
  </si>
  <si>
    <t xml:space="preserve"> Purchase of 335 bags cement</t>
  </si>
  <si>
    <t xml:space="preserve"> 50	pc	LED Tube, 18 Watts 30	pc	LED Tube, 9 watts 20	pc	LED Emergency Lights 6	pc	LED Emergency Exit Lights 20	pc	Switch, wide series 20	pc	Floor outlet, wide series 30	pc	LED bulb, 12 watts 10	pc	LED Spot light, 30 watts 150	meter	THHN Cu wire, 2.0 mm sq </t>
  </si>
  <si>
    <t xml:space="preserve"> Request for Expression of Interest CONSULTING SERVICES FOR THE DETAILED ARCHITECTURAL AND ENGINEERING DESIGN FOR THE UNIVERSITY OF THE PHILIPPINES MINDANAO CSM RESEARCH DEVELOPMENT AND EXTENSION BUILDING Bid Reference No. GPG-B1-2020-309 Rebid (Previous B</t>
  </si>
  <si>
    <t xml:space="preserve"> Contract Location: FIRST DISTRICT OF ALBAY Brief Description: Construction of School Building Source of Funds	: GAA 2020 DPWH OUTSIDE INFRA The BAC is conducting the public bidding for this Contract in accordance with RA 9184 and its Implementing Rules an</t>
  </si>
  <si>
    <t xml:space="preserve"> REQUEST FOR EXPRESSION OF INTEREST (REOI) FOR CONSULTING SERVICES  19CSK00057 – Cluster - Consultancy Services for the Conduct of Feasibility Study for Region X Priority Road Infrastructure Projects-26 (REXPRIP-26), Total Length = 56.62 km:  a.) Quezon By</t>
  </si>
  <si>
    <t xml:space="preserve"> 20	pc	Silicon sealant 3	pail 	flexi bond 6	bag	cement 4	gal 	marine epoxy 10	pc	roller brush, 9" 10	pc	baby roller 10	pc	paint brush, 4" 10	pc	paint brush, 2" 4	pail 	flat latex, white 4	pail 	gloss latex, white 6	gal 	QDE black 1	gal 	QDE white 1	gal 	QD</t>
  </si>
  <si>
    <t xml:space="preserve"> Republic of the Philippines DEPARTMENT OF PUBLIC WORKS AND HIGHWAYS OFFICE OF THE DISTRICT ENGINEER TARLAC 2ND DISTRICT ENGINEERING OFFICE San Francisco, Concepcion, Tarlac Tel. No. (045) 925-5665	 INVITATION TO BID The Department of Public Works and High</t>
  </si>
  <si>
    <t xml:space="preserve"> Invitation to Bid 1.	The MUNICIPAL GOVERNMENT OF SAN VICENTE, PALAWAN, through the 20% Development Fund CY 2020 intends to apply the sum of  ONE MILLION NINE HUNDRED FIVE THOUSAND PESOS (Php 1,905,000.00) being the Approved Budget for the Contract (ABC) t</t>
  </si>
  <si>
    <t xml:space="preserve"> WATER POTABILITY TESTING	  	  	 25 SAMPLING POINTS ( 3 -  PHYSICO-CHEMICAL AND 22 - MICROBIOLOGICAL TESTS)	 PARAMETERS FOR PHYSIO-CHEMICAL ARE ARSENIC, CADMIUM, LEAD NITRATES, COLOR, TURBIDITY, IRON, Ph, MANGANESE, CHLORIDE, SULFATE AND TOTAL	 DISSOLVED S</t>
  </si>
  <si>
    <t xml:space="preserve"> Qty.	Unit	Description 10	pc	Mechanical Seal, 1 1/4" 10	pc	Coupling, L110, rubber only 10	pc	Coupling, L075, rubber only 10	pc	Fiber Flex 30	pc	Gasket Maker 10	pc	Bearing, sealed type, 6204 24	pc	Fan Belt/V-belt, A 57</t>
  </si>
  <si>
    <t xml:space="preserve"> 1.	The OFFICE OF CIVIL DEFENSE, through the OCD CY 2019 – Capital Outlay (Continuing Appropration), intends to apply the sum of Fifty Eight Million Six Hundred Fifty Seven Thousand Five Hundred Fifty Three Pesos (PHP58,657,553.00) being the Approved Budge</t>
  </si>
  <si>
    <t xml:space="preserve"> 1	Air Freshner	20 can		Php 103.00	 2	Alcohol Rubbing 70% Ethyl 500ml	20 bot		97.00	 3	Clip Binder, Backfold, 25mm (1)	5 pc		121.00	 4	Clip Binder, Backfold, 50mm (2)	5 pc		140.00	 5	Correction Tape Disposable, Usable Length of 6meters (min), 5mm width	10 </t>
  </si>
  <si>
    <t xml:space="preserve"> INVITATION TO BID FOR THE PROCUREMENT OF ONE (1) LOT, THREE (3) YEARS PRIVATE SECURITY AGENCY (PSA) SERVICES FOR CF-DAVAO AND APO VIEW SATELLITE UNDER ITB NO. PB20-03-002DAV The Philippine Amusement and Gaming Corporation (PAGCOR) is inviting all interest</t>
  </si>
  <si>
    <t xml:space="preserve"> INVITATION FOR NEGOTIATION  SUPPLY AND DELIVERY OF VARIOUS BRAND NEW SERVICE VEHICLES  FOR THE PHILIPPINE INTERNATIONAL TRADING CORPORATION   BAC Nego Ref. No. ASD-B1-2020-316 (Previous Bid Ref. Nos. ASD-B1-2018-607 and ASD-B1-2019-153 Rebid)    1. The Ph</t>
  </si>
  <si>
    <t xml:space="preserve"> Contract Name: Construction of Retention Basin at Estero de Sampaloc, Manila City Contract Location: Sampaloc, Manila      Brief Description: Construction of Retention Basin at Estero de Calubcob      Approved Budget for the Contract (ABC):  Php 48,999,86</t>
  </si>
  <si>
    <t xml:space="preserve"> INVITATION TO BID Provision of Security Services for Pag-IBIG Fund Central and Eastern Visayas Branches, Offices and Warehouses covering the period Y2020-2021 The Pag-IBIG Fund Technical and Administrative Support for Central and Eastern Visayas (TAS-CEV)</t>
  </si>
  <si>
    <t xml:space="preserve"> Contract Location: TIWI, ALBAY Brief Description: REHABILITATION/RECONSTRUCTION OF ROAD SLIPS Source of Funds: GAA 2020 DPWH INFRA  The BAC is conducting the public bidding for this Contract in accordance with RA 9184 and its Implementing Rules and Regula</t>
  </si>
  <si>
    <t xml:space="preserve"> REQUEST FOR EXPRESSION OF INTEREST (REOI) FOR CONSULTING SERVICES  19CSK00047 – Consulting Services for the Conduct of Feasibility Study for Region X Priority Road Infrastructure Projects-27 (REXPRIP-27) a.	PIA Bypass Road, Misamis Oriental 2nd Legislativ</t>
  </si>
  <si>
    <t xml:space="preserve"> CLARK DEVELOPMENT CORPORATION Clark Freeport Zone, Philippines INVITATION TO BID The Clark Development Corporation, through its Bids and Awards Committee (BAC), invites video production companies to bid for the hereunder project: Name of Project	:	PRODUCT</t>
  </si>
  <si>
    <t xml:space="preserve"> SUPPLY AND DELIVERY OF BRAND NEW 2,031 PIECES MILITARY BINOCULAR, COMPACT, MODEL 1 FOR THE PHILIPPINE ARMY (PA)   Bid Reference No. MPG-BI 2020-318 4 th  Rebid  (Previous Bid Ref. Nos. MPG-BI-2018-113, MPG-B1-2018-264, Rebid,                              </t>
  </si>
  <si>
    <t xml:space="preserve"> 2.	Contract ID: 20EI0182 Contract Name: Construction of Evacuation Center, Barangay San Juan,  Location: Bongabong, Oriental Mindoro Brief Description: Construction of 1 unit Building.  Approved Budget for the Contract (ABC): PhP 34,740,000.00 Source of F</t>
  </si>
  <si>
    <t xml:space="preserve"> INVITATION TO BID IB 2020-078 The Philippine Children’s Medical Center, through GAA 2019/2020 intends to apply the sum of Four Hundred Ninety-Six Million Pesos (Php496,000,00.00) being the Approved Budget for the Contract (ABC) to payment under the contra</t>
  </si>
  <si>
    <t xml:space="preserve"> Invitation to Bid Supply and Delivery of Various Vehicles for Resource Generation and Management Service (RGMS) 1. The Department of Trade and Industry, through the Rural Agro-Enterprise Partnership for Inclusive Development and Growth (RAPID Growth) Loan</t>
  </si>
  <si>
    <t xml:space="preserve"> INVITATION TO BID    PROCUREMENT OF PITC JANITORIAL AND ALLIED SERVICES REQUIREMENT FOR THREE (3) YEARS    Bid Ref. No. ASD-B1-2020-315 2nd Rebid  (Prev. Bid Ref. Nos. ASD-B1-2019-440 Rebid &amp; ASD-B1-2019-155)    Approved Budget for the Contract – ₱ 4,630,</t>
  </si>
  <si>
    <t xml:space="preserve"> INVITATION TO BID PROCUREMENT OF OTHER SUPPLIES AND MATERIALS (SUPPLIES AND TOOLS ON SHIELDED METAL ARTS &amp; WELDING) FOR SAN ROQUE NHS (UNDER SCHOOLS DIVISION OFFICE) 	 The City Government of Navotas, through its Bids and Awards Committee, will hold a Publ</t>
  </si>
  <si>
    <t xml:space="preserve"> Invitation to Bid For One (1) Lot Supply, Delivery and Installation of Office Furniture at LANBBANK Buendia Branch 1.	The LAND BANK OF THE PHILIPPINES (LANDBANK), through its Corporate Budget for the contract approved by the Board of Directors for 2019 in</t>
  </si>
  <si>
    <t xml:space="preserve"> A) REQUEST FOR QUOTATION 1. 1 lot FC-10-W06HD-934-02-12 FortiWeb-600D 24 x 7 Standard Bundle Renewal Includes: Advanced Hardware Replacement (NBD), Firmware and General Upgrades, 24x7 Support, Antivirus FortiWeb Security Service, &amp; IP Reputation for 7 Mon</t>
  </si>
  <si>
    <t xml:space="preserve"> RE-INVITATION TO BID FOR THE CONSTRUCTION OF VARIOUS 2020 CAPEX INFRASTRUCTURE PROJECTS WITHIN THE PORO POINT FREEPORT ZONE, CITY OF SAN FERNANDO, LA UNION    1. The Poro Point Management Corporation (PPMC), through the approved PPMC Corporate Budget for </t>
  </si>
  <si>
    <t xml:space="preserve"> Project Reference No.: 7089602 Solicitation No.:  ITB-114-2020 Contract No  INVITATION TO BID FOR THE SUPPLY AND DELIVERY OF TWO (2) UNITS TRUCK-MOUNTED LONG DISTANCE/  WIDERANGE SPRAYER UNDER RICE PROGRAM CY 2020   1.	The Department of Agriculture Region</t>
  </si>
  <si>
    <t xml:space="preserve"> REQUEST FOR QUOTATION Date	:	July 15, 2020 Project Title	:	SUPPLY, FABRICATION AND DELIVERY OF STEEL GATE AND WINDOW GLASS FOR THE REHABILITATION AND IMPROVEMENT OF ANTIPOLO REPEATER TOWER ITB No.             	:	FB20-03-007COR Approved Budget for the Cont</t>
  </si>
  <si>
    <t xml:space="preserve"> Description Republic of the Philippines  City of Danao BIDS AND AWARDS COMMITTEE INVITATION TO APPLY FOR ELIGIBILITY AND TO BID INFRASTRUCTURE PROJECTS IN THE CITY OF DANAO Construction of Box Culvert at Barangay Guinacot, Danao City The City Government o</t>
  </si>
  <si>
    <t xml:space="preserve"> REQUEST FOR EXPRESSION OF INTEREST FOR HIRING OF CONSULTANCY SERVICES FOR THE DEVELOPMENT OF AN ENVIRONMENTAL MANAGEMENT SYSTEM (EMS) CERTIFIABLE TO ISO 14001:2015 FOR DENR RIV-A REGIONAL OFFICE  1.	The Department of Environment and Natural Resources (DEN</t>
  </si>
  <si>
    <t xml:space="preserve"> Description Republic of the Philippines  City of Danao BIDS AND AWARDS COMMITTEE INVITATION TO APPLY FOR ELIGIBILITY AND TO BID INFRASTRUCTURE PROJECTS IN THE CITY OF DANAO Construction of Covered Court at Barangay Santican, Danao City The City Government</t>
  </si>
  <si>
    <t xml:space="preserve"> Description Republic of the Philippines  City of Danao BIDS AND AWARDS COMMITTEE INVITATION TO APPLY FOR ELIGIBILITY AND TO BID INFRASTRUCTURE PROJECTS IN THE CITY OF DANAO Construction of Covered Court at Barangay Mantija, Danao City The City Government </t>
  </si>
  <si>
    <t xml:space="preserve"> INVITATION TO BID The DPWH-Regional Office No. III,  through  its  Bids  and  Awards  Committee  (BAC),  invites contractors to submit bids for the Contract below: Procurement ID/Contract ID:    20C00050 Contract Name:      Rehabilitation of Pampanga Rive</t>
  </si>
  <si>
    <t xml:space="preserve"> Invitation to Bid For   Supply and Delivery of 1,100 Units Desktop Computer 1.	The LAND BANK OF THE PHILIPPINES (LANDBANK), through its Corporate Budget for the contract approved by the Board of Directors for 2019 intends to apply the total sum of Forty S</t>
  </si>
  <si>
    <t xml:space="preserve"> Description Republic of the Philippines  City of Danao BIDS AND AWARDS COMMITTEE INVITATION TO APPLY FOR ELIGIBILITY AND TO BID INFRASTRUCTURE PROJECTS IN THE CITY OF DANAO Rehab/Improvement of Barangay Road at Cogon, Guinsay, Danao City The City Governme</t>
  </si>
  <si>
    <t xml:space="preserve"> INVITATION TO BID FOR THE  SUPPLY, DELIVERY AND INSTALLATION OF SOUND SYSTEM  IB NO. 2020-225 1.	The Department of Health (DOH), through the Continuing Appropriations of 2019 intends to apply the sum of Three Million Three Hundred Ninety Two Thousand Four</t>
  </si>
  <si>
    <t xml:space="preserve"> The ZAMBOANGA CITY STATE POLYTECHNIC COLLEGE through its Bids and Awards Committee (BAC) is inviting PHILGEPS registered suppliers to apply for eligibility and to submit bids for the items listed below: 1.	Battle rope w/ mall mount 1.5 handles x 9m rope (</t>
  </si>
  <si>
    <t xml:space="preserve"> 30 vial, Methyprednisolone Sodium Succinate 40mg. (single dose) injection</t>
  </si>
  <si>
    <t xml:space="preserve"> Contract Location: TABACO CITY, ALBAY Brief Description: REPLACEMENT/CONSTRUCTION OF BRIDGE Source of Funds: GAA CY 2020 DPWH INFRA The BAC is conducting the public bidding for this Contract in accordance with RA 9184 and its Implementing Rules and Regula</t>
  </si>
  <si>
    <t xml:space="preserve"> Republic of the Philippines Province of Quezon CITY GOVERNMENT OF TAYABAS INVITATION TO BID FOR PROJECT # 20-084 - SUPPLY AND DELIVERY OF MEDICAL SUPPLIES 3RD  QUARTER  - CHO. 1.	The City Government of Tayabas, through the General Fund 2020 intends to app</t>
  </si>
  <si>
    <t xml:space="preserve"> 500 ampule, Morphine Sulfate 10mg/ml, 1ml injection</t>
  </si>
  <si>
    <t xml:space="preserve"> Please see attached files for reference. File names: 1. ITB - Manpower Lot Nos. I-V (v07.16.2020) 2. Bid Docs - Manpower Lot No. IV - Management (v07.16.2020) ***nothing follows***</t>
  </si>
  <si>
    <t xml:space="preserve"> Description Republic of the Philippines  City of Danao BIDS AND AWARDS COMMITTEE INVITATION TO APPLY FOR ELIGIBILITY AND TO BID INFRASTRUCTURE PROJECTS IN THE CITY OF DANAO River Bank Protection at Sitio Langlang, Barangay Cogon Cruz, Danao City The City </t>
  </si>
  <si>
    <t xml:space="preserve"> Please see attached files for reference. File names: 1. ITB - Manpower Lot Nos. I-V (v07.16.2020) 2. Bid Docs - Manpower Lot No. III - Marketing (v07.16.2020) ***nothing follows***</t>
  </si>
  <si>
    <t xml:space="preserve"> Please see attached files for reference. File names: 1. ITB - Manpower Lot Nos. I-V (v07.16.2020) 2. Bid Docs - Manpower Lot No. II - Accounting (v07.16.2020) ***nothing follows***</t>
  </si>
  <si>
    <t xml:space="preserve"> Please submit your lowest bid for rapidly deployable communications system as described in the technical specifications in the bid docs.</t>
  </si>
  <si>
    <t xml:space="preserve"> Republic of the Philippines Province of Quezon CITY GOVERNMENT OF TAYABAS INVITATION TO BID FOR PROJECT # 20-093 - PROCUREMENT OF MOTOR VEHICLE (RESPONSE / RESCUE VEHICLE CUSTOMIZED VEHICLE) – LDRRMO. 1.	The City Government of Tayabas, through the General</t>
  </si>
  <si>
    <t xml:space="preserve"> INVITATION TO BID The Iligan City Government Bids and Awards Committee (BAC), through 2019-GENERAL FUND intends to apply the sum of                          P 1,854,958.60 being the Approved Budget for the Contract (ABC) to payments under the Contract for</t>
  </si>
  <si>
    <t xml:space="preserve"> 1000 tablet, isoxsuprine Hydrochloride 10mg. tablet</t>
  </si>
  <si>
    <t xml:space="preserve"> 3,597 bags Portland Cement type -1 442 pcs. 12mm std. def. bars 60 kls. #4 common wire nails 60 kls. #3 common wire nails 10 kls. #2 common wire nails 778 pcs. 10mm @ Std def. bars 110 kls. # 16 tie wire  70 pcs. 3/8 Ordinary Plywood 30 kls. #1 Common Wir</t>
  </si>
  <si>
    <t xml:space="preserve"> 4-m3-Excavation 3.5-m3-Column &amp; Column Footing 3.3-m3-Wall Footing &amp; walling 10.80-m2-Flooring 128.48-m2-Roof Framing Installation &amp; Repair 128.48-m2-Ceiling Installation Garage 1 Repair (160.50 Sq. m) 20-m3-excavation 6.59-m3-Pedestal Column &amp; Column Foo</t>
  </si>
  <si>
    <t xml:space="preserve"> 299-contnr-Diesel Fuel (32L/Container) 17-L-Brake Fluid 1-pail-Grease 2-barrel-Oil 10 1-barrel-Gear Oil 1-barrel-Oil 40 4-units-Tire w/ flup 100x20 (Dumptruck) 20-units-Tire w/ flup 8.25x20 (Dumptruck)</t>
  </si>
  <si>
    <t xml:space="preserve"> PURCHASE AND DELIVERY OF MATERIALS FOR THE CONSTRUCTION OF SINIBA-AN MP BUILDING (COVERED GYM), BRGY. SINIBA-AN DINGLE, ILOILO</t>
  </si>
  <si>
    <t xml:space="preserve"> 1200 tablet, Isosorbide Dinitrate 5mg. Sublingual Tablet</t>
  </si>
  <si>
    <t xml:space="preserve"> The Bids and Awards Committee								 Province of Iloilo								 								      In connection with your Invitation to Bid No. PEO-20-0545 B (REBID) scheduled on August 7, 2020, I/we proposed to furnish and deliver in conformity with the terms and condition</t>
  </si>
  <si>
    <t xml:space="preserve"> 215 cubic meter Fine Aggregates 315 cubic meter Coarse Aggregates</t>
  </si>
  <si>
    <t xml:space="preserve"> Section I. Invitation to Bid   Provincial Government of Isabela SUPPLY AND DELIVERY OF VARIOUS AGRICULTURAL EQUIPMENT AND ACCESSORIES The Provincial Government of Isabela, through the PGI FUND intends to apply the sum of Nine Million Nine Hundred Thirty S</t>
  </si>
  <si>
    <t xml:space="preserve"> Republic of the Philippines DEPARTMENT OF HEALTH TALISAY DISTRICT HOSPITAL        (DR. JACINTO VELEZ SR. MEMORIAL HOSPITAL) San Isidro, Talisay City, Cebu (032)273-3226  (032) 273-3226 talisaydistricthospital@gmail.com http://www.tdh.doh.gov.ph INVITAT</t>
  </si>
  <si>
    <t xml:space="preserve"> Republic of the Philippines DEPARTMENT OF HEALTH TALISAY DISTRICT HOSPITAL        (DR. JACINTO VELEZ SR. MEMORIAL HOSPITAL) San Isidro, Talisay City, Cebu (032)273-8785  (032) 273-8785 talisaydistricthospital@gmail.com http://www.tdh.doh.gov.ph INVITAT</t>
  </si>
  <si>
    <t xml:space="preserve"> 264 Fine Aggregates 400 Coarse Aggregates</t>
  </si>
  <si>
    <t xml:space="preserve"> Procurement of supply and delivery of collapsible dryer 18	unit	Collapsible Dryer 		1.	Brand  new Made of plastic materials: black reinforced polyvinyl chloride Thickness: ≥ 0.50 mm Body: 13m x 5.8m (LxW); 1 piece (minimum) Dying area: 75 m² (minimum) Peg</t>
  </si>
  <si>
    <t xml:space="preserve"> INVITATION TO BID SUPPLY AND DELIVERY OF TWO (2) UNITS BRAND NEW AERIAL LADDER TRUCK FOR THE BUREAU OF FIRE PROTECTION - NATIONAL HEADQUARTERS (BFP-NHQ) Bid Reference No. GPG-B1-2020-329 2nd Rebid (Previous Bid Reference No. GPG-B1-2018-105 and GPG-B1-201</t>
  </si>
  <si>
    <t xml:space="preserve"> INVITATION TO BID FOR PROCUREMENT OF COURIER SERVICES  FOR DELIVERY OF DOCUMENTS under ITB No. PB20-07-037COR  The Philippine Amusement and Gaming Corporation (PAGCOR) is inviting all interested bidders in its forthcoming public bidding for the Procuremen</t>
  </si>
  <si>
    <t xml:space="preserve"> Contract ID: 20-DO-0067 Contract Name: LOCAL PROGRAM - Local Infrastructure Program – Buildings and Other Structures – Multipurpose/Facilities – Construction and/or Repair/ Rehabilitation of Multi-Purpose Building, Brgy. Rizal, Baras, Rizal Contract Locat</t>
  </si>
  <si>
    <t xml:space="preserve"> REQUEST FOR EXPRESSION OF INTEREST (REOI) FOR CONSULTING SERVICES  19CSK00048 – Consultancy Services for the Conduct of Feasibility Study for Tubod-Kapatagan Bypass Road, Sapad-Pualas Road, Kauswagan-Poona Piagapo-Marantao Road, Balo-i Bypass Road, (ReXPR</t>
  </si>
  <si>
    <t xml:space="preserve"> Lot 1 (Lot 6 Rebid)  REPAIR OF CLASSROOMS AT LANAO DEL NORTE PROVINCIAL SCIENCE AND TECHNOLOGY HS,TUBOD,LDN	 ABC Php3,759,553.34	 Contract Days: 90 CD	 Cost of Bidding Documents: Php5,000.00 The bidding shall be governed by the Implementing Rules and Regu</t>
  </si>
  <si>
    <t xml:space="preserve"> INVITATION TO BID FOR PROCUREMENT OF HDPE TUBING CY 2020 1.	The Norzagaray Water District (NorWD) through its Corporate Budget for the contract approved by the governing Boards intends to apply the sum of One Million Four Hundred  Thousand Pesos (Php. 1,4</t>
  </si>
  <si>
    <t xml:space="preserve"> 200 ampule, Ropivacaine Hydrochloride 10mg/ml, 10ml. injection</t>
  </si>
  <si>
    <t xml:space="preserve"> REQUEST FOR EXPRESSION OF INTEREST (REOI) FOR CONSULTING SERVICES  19CSK00049 – Consultancy Services for the Conduct of Feasibility Study for Misamis Occidental Economic Zone Diversion Road (ReXPRIP-29), Misamis Occidental 1st and 2nd Legislative District</t>
  </si>
  <si>
    <t xml:space="preserve"> INVITATION TO BID The DPWH-Tarlac 1st District Engineering Office, through its Bids and Awards Committee (BAC), invites contractors to submit bids for the following Contracts: f.	Procurement ID/Contract ID 	: 	20CJ0065 	Contract Name 	: 	Flood Management </t>
  </si>
  <si>
    <t xml:space="preserve"> Republic of the Philippines DEPARTMENT OF PUBLIC WORKS AND HIGHWAYS CAMARINES NORTE  DISTRICT ENGINEERING OFFICE REGIONAL OFFICE V Daet, Camarines Norte INVITATION TO BID The Department of Public Works and Highways, Camarines Norte District Engineering Of</t>
  </si>
  <si>
    <t xml:space="preserve"> INVITATION TO BID SUPPLY AND DELIVERY OF 45 HEADS EXPLOSIVE DETECTION DOGS WITH ACCESSORIES AND TRAINING FOR 45 PERSONNEL  FOR THE PHILIPPINE NATIONAL POLICE (PNP) Bid Reference No.: GPG-B1-2020-107 Approved Budget for the Contract: ₱22,248,000.00 1.	The </t>
  </si>
  <si>
    <t xml:space="preserve"> INVITATION TO BID  SUPPLY OF LABOR AND MATERIALS FOR THE REHABILITATION OF PETROLEUM, OIL AND LUBRICANTS (POL) DUMP AT LOWER CALARIAN, ZAMBOANGA CITY &amp; BATU-BATU, TAWI-TAWI FOR THE PHILIPPINE NAVY (PN)    Bid Ref. No. MPG-B2-2020-005    Approved Budget fo</t>
  </si>
  <si>
    <t xml:space="preserve"> REPLACEMENT OF FIRE SPRINKLER SYSTEM AND INSTALLATION OF JOCKEY PUMP OF THE DEPARTMENT OF ENVIRONMENT AND NATURAL RESOURCES-CENTRAL OFFICE (DENR-CO) Bid Ref. No. DENR-CO-2020-003 Rebid Approved Budget for the Contract:  25,000,000.00 1.	The   Department o</t>
  </si>
  <si>
    <t xml:space="preserve"> Description Republic of the Philippines  City of Danao BIDS AND AWARDS COMMITTEE INVITATION TO APPLY FOR ELIGIBILITY AND TO BID INFRASTRUCTURE PROJECTS IN THE CITY OF DANAO Slope Protection of Landslide Prone Areas at Barangay Guinacot, Danao City The Cit</t>
  </si>
  <si>
    <t xml:space="preserve"> INVITATION TO BID SUPPLY AND DELIVERY OF BRAND NEW KM 500 TIRE 11.00-20, 16PR  (LUG TRACTION DESIGN) FOR THE PHILIPPINE NAVY (PN)    Bid Ref. No. MPG-B1-2019-562 3rd Rebid  (Previous Bid Ref. Nos. MPG-B1-2018-397, MPG-B1-2018-597 Rebid and MPG-B1-2019-307</t>
  </si>
  <si>
    <t xml:space="preserve"> INVITATION TO BID The DPWH-Tarlac 1st District Engineering Office, through its Bids and Awards Committee (BAC), invites contractors to submit bids for the following Contracts: u.	Procurement ID/Contract ID 	: 	20CJ0137 	Contract Name 	: 	Local Infrastruct</t>
  </si>
  <si>
    <t xml:space="preserve"> INVITATION TO BID The DPWH-Tarlac 1st District Engineering Office, through its Bids and Awards Committee (BAC), invites contractors to submit bids for the following Contracts: r.	Procurement ID/Contract ID 	: 	20CJ0134 	Contract Name 	: 	Local Infrastruct</t>
  </si>
  <si>
    <t xml:space="preserve"> Invitation to Bid  for the  Subic-Clark Railway Project Public Bidding No.  19-341-7 1.	The Government of the Philippines (GoP) intends to apply for a Loan from the People’s Republic of China toward the cost of the Subic-Clark Railway Project (SCRP), and </t>
  </si>
  <si>
    <t xml:space="preserve"> The DPWH-North Manila District Engineering Office, through its Bids and Awards Committee (BAC) invites contractors to submit bids for the following Contract: 20.	Contract I.D. No. 20OE0173 Contract Name: Rehabilitation / Reconstruction / Improvement of Mu</t>
  </si>
  <si>
    <t xml:space="preserve"> Contract Name: Continuation of Multi – Purpose Building, Brgy. 259, Tondo, Manila Contract Location: Manila City      Brief Description: Rehabilitation of Multi – Purpose Building      Approved Budget for the Contract (ABC):  Php 14,849,659.73      Source</t>
  </si>
  <si>
    <t xml:space="preserve"> A. Clearing. Layout and false works B. Excavation C. Concrete Line Canal with Concrete Cover and Concrete Shoulder D. Concrete Line Canal</t>
  </si>
  <si>
    <t xml:space="preserve"> INVITATION TO BID The DPWH-Tarlac 1st District Engineering Office, through its Bids and Awards Committee (BAC), invites contractors to submit bids for the following Contracts: q.	Procurement ID/Contract ID 	: 	20CJ0133 	Contract Name 	: 	Local Infrastruct</t>
  </si>
  <si>
    <t xml:space="preserve"> INVITATION TO BID The DPWH-Tarlac 1st District Engineering Office, through its Bids and Awards Committee (BAC), invites contractors to submit bids for the following Contracts: x.	Procurement ID/Contract ID 	: 	20CJ0140 	Contract Name 	: 	Local Infrastruct</t>
  </si>
  <si>
    <t xml:space="preserve"> Invitation to Bid  PROCUREMENT OF REPAIR AND REHABILITATION OF VARIOUS SCHOOL BUILDING (REPAIR OF 11 CLASSROOMS) IN SINALOC ELEMENTARY SCHOOL Project 2020-03-0023 1.	The Department of Education, Division of El Salvador City, through the General Appropriat</t>
  </si>
  <si>
    <t xml:space="preserve"> REQUEST FOR QUOTATION Date: February 07, 2019	  RFQ No. MCPD20-002 PR NO. PD2001-20-005 To All Eligible Suppliers Please quote your lowest price inclusive of VAT on the item/s listed below, subject to the Terms and Conditions of this RFQ, for more informa</t>
  </si>
  <si>
    <t xml:space="preserve"> Contract Location:  BACACAY, STO. DOMINGO, MALINAO &amp; TABACO CITY, ALBAY Brief Description: WIDENING &amp; CONCRETING OF ROADS Source of Funds: GAA 2020 DPWH INFRA  The BAC is conducting the public bidding for this Contract in accordance with RA 9184 and its I</t>
  </si>
  <si>
    <t xml:space="preserve"> Contract ID: 			20GO0038 Contract 	Name: 			 Widening/Improvement/Upgrading of Honorata Manalo  (Buri Road), Brgy. Mandalagan, Bacolod City Contract 	Location: 		 Brgy. Mandalagan, Bacolod City, Negros Occidental Brief Description:                   Widen</t>
  </si>
  <si>
    <t xml:space="preserve"> INVITATION TO BID The National Development Company (NDC), through its Bids &amp; Awards Committee, invites bids for the public bidding of the project specified below: Name of Project          :	4th Public Bidding of the Site Development Works for the NDC Indu</t>
  </si>
  <si>
    <t xml:space="preserve"> INVITATION TO BID FOR THE EXTENSION OF MULTI-PURPOSE BUILDING AT BRGY. MACATIW, CITY OF ALAMINOS, PANGASINAN 1.	The CITY GOVERNMENT OF ALAMINOS, PANGASINAN through its Special Purpose Appropriation (SPA) intends to apply an amount of Seven Hundred Seventy</t>
  </si>
  <si>
    <t xml:space="preserve"> INVITATION TO BID FOR THE REHABILITATION / UPGRADING OF FARM TO MARKET ROAD (SABANGAN PORTION) AT BRGY. SABANGAN, CITY OF ALAMINOS, PANGASINAN 1.	The CITY GOVERNMENT OF ALAMINOS, PANGASINAN through its Development Fund (DF) intends to apply an amount of E</t>
  </si>
  <si>
    <t xml:space="preserve"> REHAB/REPAIR/RENOVATION/ COMPLETION OF 10 DAY CARE CENTER IN THE MUNICIPALITY OF LAPUYAN</t>
  </si>
  <si>
    <t xml:space="preserve"> INVITATION TO BID FOR THE CONSTRUCTION OF WINGS OF MULTI-PURPOSE BUILDING AT BRGY. TELBANG, CITY OF ALAMINOS, PANGASINAN 1.	The CITY GOVERNMENT OF ALAMINOS, PANGASINAN through its Development Fund intends to apply an amount of One Million Seven Hundred Fo</t>
  </si>
  <si>
    <t xml:space="preserve"> INVITATION TO BID FOR THE CONTRACT ID: 20-07-099 Contract Name: PROCUREMENT OF PERSONAL PROTECTIVE EQUIPMENT Approved Budget for the Contract (ABC) : Php 11,520,600.00 Cost of Bidding Documents: Php 25,000.00 1. The Department of Health - Zamboanga Penins</t>
  </si>
  <si>
    <t xml:space="preserve"> INVITATION TO BID FOR THE CONSTRUCTION OF MULTI-PURPOSE BUILDING AT BRGY. TANGCARANG, CITY OF ALAMINOS, PANGASINAN 1.	The CITY GOVERNMENT OF ALAMINOS, PANGASINAN through its Special Purpose Appropriation (SPA) intends to apply an amount of Two Million Fiv</t>
  </si>
  <si>
    <t xml:space="preserve"> Republic of the Philippines Province of Camarines Sur MUNICIPALITY OF BAAO INVITATION TO BID FOR THE SUPPLY AND DELIVERY OF OTHER SUPPLIES 1. The LOCAL GOVERNMENT UNIT OF BAAO, through the Budget for the contract approved by the Sanggunian 2020 intends to</t>
  </si>
  <si>
    <t xml:space="preserve"> Contract Location: STO. DOMINGO, MALINAO AND MALILIPOT, ALBAY Brief Description: REHABILITATION/CONSTRUCTION/IMPROV’T OF FLOOD CONTROL Source of Funds: GAA 2020 DPWH INFRA  The BAC is conducting the public bidding for this Contract in accordance with RA 9</t>
  </si>
  <si>
    <t xml:space="preserve"> 107 cubic meter Fine Aggregates 160 cubic meter Coarse Aggregates</t>
  </si>
  <si>
    <t xml:space="preserve"> For various Maintenance Work</t>
  </si>
  <si>
    <t xml:space="preserve"> Package 10 of 10: Supply and Delivery of 650 pieces Valve Box Cover, 160mm (Cast Iron or Ductile Iron) (re-bidding)</t>
  </si>
  <si>
    <t xml:space="preserve"> Package 7 of 10: Supply and Delivery of 25 units Fire Hydrant Head 4"Ø (Angle Type) and 15 units Fire Hydrant Head 6"Ø (3-Way) (re-bidding 2)</t>
  </si>
  <si>
    <t xml:space="preserve"> IMPROVEMENT OF MULTI PURPOSE BUILDING (DAY CARE CENTER) (BURGOS STREET, CENTRO 01, TUGUEGARAO CITY)</t>
  </si>
  <si>
    <t xml:space="preserve"> Republic of the Philippines Province of Quezon Municipality of Perez Bids &amp; Awards Committee INVITATION TO BID FOR  Repair &amp; Maintenance of Machinery &amp; Equipment (Tools &amp; Parts- Ambulance, Nissan Van, Volvo Truck, Pay Loader) (Second Bidding) 1.	The Munic</t>
  </si>
  <si>
    <t xml:space="preserve"> Republic of the Philippines DEPARTMENT OF HEALTH CEBU SOUTH MEDICAL CENTER       San Isidro, Talisay City, Cebu (032)273-8785  (032) 273-8785 tdh.bac@gmail.com http://www.tdh.doh.gov.ph INVITATION TO APPLY FOR ELIGIBILITY AND TO BID 	 1. The CEBU SOUTH</t>
  </si>
  <si>
    <t xml:space="preserve"> Republic of the Philippines Province of Quezon Municipality of Perez Bids &amp; Awards Committee INVITATION TO BID FOR  Purchase of ICT Equipment  (Desktop, Laptop &amp; Printer) (Second Bidding) 1.	The Municipal Government of Perez, Quezon through its Local Fund</t>
  </si>
  <si>
    <t xml:space="preserve"> METRO BANGUED WATER DISTRICT							 Bangued, Abra							 							 PURCHASE REQUEST							 							 DIVISION: 	TECHNICAL						 PR No.     : 	20-07-077						 DATE       : 	6-Jul-20						 							 Item No.	Description	Quantity	Unit	 Unit Cost 	 Amount 		 						</t>
  </si>
  <si>
    <t xml:space="preserve"> MG-A7C20-006..CARBON BRUSH FOR UNITS 3, 4 &amp; 5 FOR AGUS 6 EE ABC  : P 2,600,000.00 PLACE OF DELIVERY : AGUS 6/7 HEP WAREHOUSE FUENTES, ILIGAN CITY AMOUNT OF BID DOCUMENTS : P 3,000.00</t>
  </si>
  <si>
    <t xml:space="preserve"> Section I. Invitation to Bid FOR THE UPLB-S-045-08-20  SUPPLY AND DELIVERY OF BRANDED AND BRANDNEW DESKTOP COMPUTER FOR CAFS-ICROPS-CPMD 1.	The UNIVERSITY OF THE PHILIPPINES LOS BAÑOS (UPLB), through the GOP intends to apply the sum of ONE MILLION EIGHT H</t>
  </si>
  <si>
    <t xml:space="preserve"> Invitation to Bid Date: July 20, 2020 1.	The Provincial Government of Davao del Sur, through its Bids and Awards Committee (BAC), invites all potential bidders / suppliers to apply to bid for the following goods. Bids received in excess of the ABC shall b</t>
  </si>
  <si>
    <t xml:space="preserve"> MG-GPD20-004...SUPPLY/INSTALLATION OF OPERATION DISPLAY/MONITORING SYSTEM ABC : P 1,893,881.60 PLACE OF DELIVERY : MinGen Central Warehouse Ditucalan, Iligan City AMOUNT OF BID DOCUMENTS : P 3,000.00</t>
  </si>
  <si>
    <t xml:space="preserve"> RESCUE BOAT (8-10 SEATER) - FIBERGLASS - NON SKID AND REPAIRABLE - WITH CANOPY COVER AND TRAILERS - RIGID AND DURABLE - 2 PADDLES AND 2 LIFE JACKETS PAINTING AND ADDING OF LOGO</t>
  </si>
  <si>
    <t xml:space="preserve"> MA-A2H20-009.. PAD, GENERATOR BRAKE PAD, AGUS 1 HE PLANT ABC  : P 1,500,000.00 PLACE OF DELIVERY : AGUS 1 HEP WAREHOUSE MARAWI CITY AMOUNT OF BID DOCUMENTS : P 3,000.00</t>
  </si>
  <si>
    <t xml:space="preserve"> Invitation to Bid for the  UPGRADING OF LOCAL ACCESS ROAD AT AMBATALI ST., BUGALLON PROPER, RAMON, ISABELA 1.	The LGU-RAMON, ISABELA, through the Budget for the contract approved by the Sanggunian intends to apply the sum of Php11,623,000.00 being the App</t>
  </si>
  <si>
    <t xml:space="preserve"> Republic of the Philippines Cordillera Administrative Region PROVINCIAL GOVERNMENT OF ABRA Bangued Invitation to Bid for  CONCRETING OF DUCLIGAN FMR 1.	The Provincial Government of Abra, through the Budget for the Contract Approved by the Sangguniang Panl</t>
  </si>
  <si>
    <t xml:space="preserve"> Republic of the Philippines SUGAR REGULATORY ADMINISTRATION North Avenue, Diliman, Quezon City 													                                           7/20/2020 										         Date REQUEST FOR QUOTATION Gentlemen: 		Please quote your lowest prices, ta</t>
  </si>
  <si>
    <t xml:space="preserve"> Contract Ref. No.:	20200626-03-G  Name of Contract:	Procurement of Termite Treatment to be used by City Division Office Location:	LGU-MABALACAT CITY Republic of the PHILIPPINES Province of PAMPANGA Municipality of MABALACAT INVITATION TO APPLY FOR ELIGIBI</t>
  </si>
  <si>
    <t xml:space="preserve"> Republic of the Philippines Dagupan City BIDS AND AWARDS COMMITTEE INVITATION TO BID For the Procurement of Petroleum, Oil, &amp; Lubricant Products (PR no.: 2020-00793-018) 1.	The City Government of Dagupan, through the APPROVED ANNUAL BUDGET 2020 intends to</t>
  </si>
  <si>
    <t xml:space="preserve"> Republic of the Philippines Cordillera Administrative Region PROVINCIAL GOVERNMENT OF ABRA Bangued Invitation to Bid for  CONCRETING OF LINGEY FMR 1.	The Provincial Government of Abra, through the Budget for the Contract Approved by the Sangguniang Panlal</t>
  </si>
  <si>
    <t xml:space="preserve"> INVITATION TO BID SUPPLY, DELIVERY, INSTALLATION, TESTING AND COMMISSIONING OF IP-PBX SYSTEM FOR THE PROFESSIONAL REGULATION COMMISSION (PRC) – CENTRAL OFFICE Bid Reference No.: GPG-B1-2020-223 Approved Budget for the Contract: P 2,870,585.76 1.	The Phili</t>
  </si>
  <si>
    <t xml:space="preserve"> Republic of the Philippines Province of Quezon Municipality of Pagbilao COMMITTEE ON BIDS AND AWARDS INVITATION TO BID FOR SUPPLY AND DELIVERY OF IT EQUIPMENT &amp; OTHER SUPPLIES 1.	The Local Government Unit of Pagbilao, through the Approved Budget by the Sa</t>
  </si>
  <si>
    <t xml:space="preserve"> The Municipality of San Mariano, Isabela invite bidders to participate in this procurement, Supply and Delivery of Medicines, Vaccines, Equipment and Dentures for Senior Citizens  (OSCA Fund) Approved Budget: Php.228,445.00 Bids must be duly received on o</t>
  </si>
  <si>
    <t xml:space="preserve"> Contract Ref. No.:	20200626-02-G  Name of Contract:	Procurement of IT Equipment to be utilized by the Teaching and Learning via Alternative Delivery Mode of Division Office Location:	LGU-MABALACAT CITY Republic of the PHILIPPINES Province of PAMPANGA Muni</t>
  </si>
  <si>
    <t xml:space="preserve"> Package 8 of 10: Supply and Delivery of 365 pcs. D.I. Mechanical Sleeve Type Coupling, 110mm. O.D (4”) Standard Type</t>
  </si>
  <si>
    <t xml:space="preserve"> Invitation to Bid Procurement of Ink and Toner  		 1.	The Department of Environment and Natural Resources (DENR), CALABARZON Region , through the General Appropriations Acts of  2020 intends to apply the sum of One Million Nineteen Thousand Eight Hundred </t>
  </si>
  <si>
    <t xml:space="preserve"> 1.The Local Government Unit of the Municipality of Magsaysay, through the 2020 Annual Budget approved by the Sanggunian intends to apply the sum of Five-hundred Thousand Pesos (P 500,000.00) being the Approved Budget for the Contract (ABC) to payment unde</t>
  </si>
  <si>
    <t xml:space="preserve"> Opening of 10.00 m x 624.10 lm road with concreting of 5.00 m wide x 624.10 lm x 0.20 m thick two-lane road with 1.50 m wide shoulders on both sides; construction of grouted riprap slope protection; installation of 2 units 1-line x 10 lm x 910 mm ø RCPC; </t>
  </si>
  <si>
    <t xml:space="preserve"> Invitation to Bid for  PACKAGE 20-37:  COMMUNITY DEVELOPMENT 1.	The Bids and Awards Committee of the Local Government Unit of Santiago City, through the Economic Development Fund intends to apply the sum of Four Million Nine Hundred Eighty Seven Thousand </t>
  </si>
  <si>
    <t xml:space="preserve"> Package 9 of 10: Supply and Delivery of 328 pieces D.I. Mechanical Sleeve Type Coupling, 100mm (4") Ø (Universal Type) (re-bidding)</t>
  </si>
  <si>
    <t xml:space="preserve"> Printing of Ballistics Certificate and Pouches</t>
  </si>
  <si>
    <t xml:space="preserve"> Contract Location:  FIRST DISTRICT OF ALBAY Brief Description: CONSTRUCTION OF WATER SYSTEM Source of Funds: GAA 2020 DPWH INFRA  The BAC is conducting the public bidding for this Contract in accordance with RA 9184 and its Implementing Rules and Regulati</t>
  </si>
  <si>
    <t xml:space="preserve"> INVITATION TO BID FOR  Supply and Delivery of Various GMO Yellow Corn Seeds 1.	The Department of Agriculture Regional Field Office No. 5, through the GAA for CY 2020-Corn Program intends to apply the sum of Five Million Three Hundred Sixty-Eight Thousand </t>
  </si>
  <si>
    <t xml:space="preserve"> Printing of Forms</t>
  </si>
  <si>
    <t xml:space="preserve"> BIDS AND AWARDS COMMITTEE – SECURITY PLANT COMPLEX INVITATION TO BID 1.	The Bangko Sentral ng Pilipinas (BSP), through its Bids and Awards Committee – Security Plant Complex (BAC-SPC), invites Bidders to apply for eligibility and to bid for the hereunder </t>
  </si>
  <si>
    <t xml:space="preserve"> Republic of the Philippines Province of Samar Municipality of Sta. Rita The Municipality of Sta. Rita, through LGU fund intends to apply the sum of ONE MILLION SIX HUNDRED FIFTY THOUSAND PESOS (Php1,650,000.00) ONLY being the Approved Budget for the Contr</t>
  </si>
  <si>
    <t xml:space="preserve"> The CAGAYAN STATE UNIVERSITY (Andrews Campus), through the Trust Fund for the contract approved by the governing Board intends to apply the sum Two Million Eight Hundred Fifty-Nine Thousand Three Hundred Pesos and 00/100 (2,859,300.00) being the Approved </t>
  </si>
  <si>
    <t xml:space="preserve"> 1.	The Government Service Insurance System (GSIS), through the GSIS Corporate Operating Budget for CY 2019, intends to apply the sum of Twenty Six Million Three Hundred Seventy Six Thousand Pesos (Php26,376,000.00) being the Approved Budget for the Contra</t>
  </si>
  <si>
    <t xml:space="preserve"> Republic of the Philippines Region XII Province of Cotabato Municipality of Makilala  OFFICE OF THE BIDS AND AWARD COMMITTEE INVITATION TO BID N0. 2020-028            The Municipality of Makilala, through the Municipal Engineering Office  intends to apply</t>
  </si>
  <si>
    <t xml:space="preserve"> 1.	The PHILIPPINE COCONUT AUTHORITY – REGION VI, through the PHILIPPINE COCONUT AUTHORITY REJUVENATION THRU FERTILIZATION  PROJECT   intends to apply the sum of FIVE MILLION THREE HUNDRED SEVENTY FIVE THOUSAND FOUR HUNDRED FIFTEEN PESOS  (PhP 5,375,415.00</t>
  </si>
  <si>
    <t xml:space="preserve"> INVITATION TO BID FOR SUPPLY AND DELIVERY OF VARIOUS SPARE PARTS FOR REPLACEMENT OF SPAREPARTS OF VARIOUS FARM EQUIPMENT OF CITY AGRICULTURE OFFICE 1.	The Bids and Awards Committee of the Local Government Unit of Santiago City through the General Fund int</t>
  </si>
  <si>
    <t xml:space="preserve"> Republic of the Philippinesu                   Department of Health	       CENTRAL OFFICE BIDS AND AWARDS COMMITTEE  INVITATION TO BID FOR  PROCUREMENT FOR CORRECTIVE MAINTENANCE OF AIR CONDITIONING UNITS (ACU)  IB NO. 2020-223 1.	The Department of Health</t>
  </si>
  <si>
    <t xml:space="preserve"> see associated components for downloadable Bidding documents</t>
  </si>
  <si>
    <t xml:space="preserve"> Republic of the Philippines PROVINCE OF BOHOL City of Tagbilaran INVITATION TO BID  1.The Provincial Government of Bohol through the  BIDS AND AWARDS COMMITTEE   for CY 2020, intends to apply the sum of  SEVENTEEN MILLION NINE HUNDRED NINETY THREE  THOUSA</t>
  </si>
  <si>
    <t xml:space="preserve"> Project Billboard/Signboard, Occupational Safety and Health Program, Traffic Management, Mobilization/Demobilization, Maintenance Market Posts, Precast</t>
  </si>
  <si>
    <t xml:space="preserve"> Republic of the Philippines Province of Nueva Vizcaya BIDS AND AWARDS COMMITTEE (BAC-Goods) BAC OFFICE, Provincial Capitol, Bayombong, Nueva Vizcaya Tel. No. 078-392-2062 	 INVITATION TO BID FOR THE SUPPLY AND DELIVERY OF 1 SET SOUND SYSTEM W/ INSTALLATIO</t>
  </si>
  <si>
    <t xml:space="preserve"> 1.	The [PCA-Region XIII], through the 2020 EPRCP: Rejuvenation thru Fertilization (Inorganic Fertilizer)  intends to apply the sum of PhP 15,395,235.00 being the Approved Budget for the Contract (ABC) to payments under the contract for 2020 EPRCP: Rejuven</t>
  </si>
  <si>
    <t xml:space="preserve"> 1.	The Sultan Kudarat Water District, through the Corporate Budget Approved by the Governing Board  intends to apply the sum of P 1,420,000.00 being the Approved Budget for the Contract (ABC) to payments under the contract. Bids received in excess of the </t>
  </si>
  <si>
    <t xml:space="preserve"> Republic of the Philippines Province of Southern Leyte MUNICIPALITY OF SAINT BERNARD BIDS AND AWARDS COMMITTEE INVITATION TO BID FOR SUPPLY AND DELIVERY OF RESCUE EQUIPMENT BAC-SBSL-MDRRMO-2020-015 1.	The Municipality of Saint Bernard, Southern Leyte, thr</t>
  </si>
  <si>
    <t xml:space="preserve"> 851 heads Chicken (ready to lay) 49.5 bags Feeds (pdp) 50 kls 82 heads Piglet (8-10 kls) 64 bags Feeds (Starter) 123 bags Feeds (Grower) 95 bags Feeds (Finisher)</t>
  </si>
  <si>
    <t xml:space="preserve"> SUPPLY AND DELIVERY OF HOSPITAL EQUIPMENT</t>
  </si>
  <si>
    <t xml:space="preserve"> SUPPLY AND DELIVERY OF DUPLICATING/PRINTING MACHINES FOR MODULE PRINTING</t>
  </si>
  <si>
    <t xml:space="preserve"> Rehabilitation of Municipal Street (Felix Almano St., Caburan Big and Caburan Small, Jose Abad Santos, Davao Occidental) Length = 580.00 Meters Width = 5.00 Meters Thickness = 0.20 Meters</t>
  </si>
  <si>
    <t xml:space="preserve"> National Power Corporation INVITATION TO BID PUBLIC BIDDING 2020-0199 1.	The NATIONAL POWER CORPORATION (NPC), through       its        approved       Corporate Budget of CY 2020 intends to apply   the   sum   of (Please see schedule below) being the Appr</t>
  </si>
  <si>
    <t xml:space="preserve"> Republic of the Philippines Province of Palawan Municipality of Roxas BIDS AND AWARDS COMMITTEE INVITATION TO BID FOR THE SUPPLY AND DELIVERY OF MATERIALS FOR THE REPAINTING OF 31-UNITS SCHOOL BUILDING The Local Government Unit of Roxas, Palawan, through </t>
  </si>
  <si>
    <t xml:space="preserve"> Item I Surfacing Item II Subgrade Preparation Item III Portland Cement Concrete Pavement</t>
  </si>
  <si>
    <t xml:space="preserve"> INVITATION TO BID  Purchase &amp; Delivery of One (1) Unit Service Utility Vehicle for PGO-PSG (Re-bid) July 22, 2020 1.	The Provincial Government of Sarangani, through the AB CY 2020 intends to apply the sum of One Million Five Hundred Thousand Pesos Only (P</t>
  </si>
  <si>
    <t xml:space="preserve"> INVITATION TO BID IB NO.  2020 - 066/RJP SUPPLY AND DELIVERY OF 3 UNITS RECIRCULATING DRYER 1.	The Department of Agriculture – Regional Field Office 10, through Rice Program Funds CY 2020 intends to apply the sum of Ten Million Eight Hundred Thousand Peso</t>
  </si>
  <si>
    <t xml:space="preserve"> 1.The Provincial Government of Bohol through the  BIDS AND AWARDS COMMITTEE   for CY 2020, intends to apply the sum of  NINE MILLION FOUR HUNDRED SEVENTY    THOUSAND SIX HUNDRED  THREE  PESOS AND 91/100   (P9,470,603.91) being the Approved Budget for the </t>
  </si>
  <si>
    <t xml:space="preserve"> The ZAMBOANGA CITY STATE POLYTECHNIC COLLEGE through its Bids and Awards Committee (BAC) is inviting PHILGEPS registered suppliers to apply for eligibility and to submit bids for the items listed below: 1.	(6 pcs.) Terminal lugs, copper, crimp type, long </t>
  </si>
  <si>
    <t xml:space="preserve"> Contract Name: REPAIR OF DRAINAGE SYSTEM ALONG CALBAYOG-CATARMAN ROAD (S00084SM) K0795+200, BRGY. QUEZON, CALBAYOG CITY, SAMAR Contract Location: SAMAR  Brief Description: REPAIR/REHAB OF CROSS DRAINAGE STRUCTURE = 30.00 LIN.M. Approved Budget for the Con</t>
  </si>
  <si>
    <t xml:space="preserve"> b. Contract ID No:	20P00019     Contract Name:	ORGANIZATIONAL OUTCOME 1: Ensure Safe and Reliable National Road System – Network Development Program – Construction of Missing Links/New Roads Baguio – La Trinidad – Itogon – Sablan – Tuba and Tublay, Kamog </t>
  </si>
  <si>
    <t xml:space="preserve"> Republic of the Philippines Province of Lanao del Norte Municipality of Tubod OFFICE OF THE BIDS AND AWARDS COMMITTEE INVITATION TO BID CONSTRUCTION OF MALINGAO BIRTHING FACILITY  Barangay Malingao, Tubod, Lanao del Norte  (ITB-2020-JDL-0014 Re-Bid) Appro</t>
  </si>
  <si>
    <t xml:space="preserve"> a. Contract ID No:	20P00001     Contract Name:	ORGANIZATIONAL OUTCOME 1: Ensure Safe and Reliable National Road System – Network Development Program – Construction of Missing Links/New Roads Baguio – La Trinidad – Itogon – Sablan – Tuba and Tublay, Kamog </t>
  </si>
  <si>
    <t xml:space="preserve"> Republic of the Philippines Province of Negros Occidental Municipality of Isabela INVITATION TO BID FOR THE  Re-bidding of the Procurement of One (1) 4WD Double Cab / Multi-Purpose Vehicle, Isabela, Negros Occidental. 1. The MUNICIPALITY OF ISABELA, throu</t>
  </si>
  <si>
    <t xml:space="preserve"> construction of 10m x 8m Tribal Hall with CR, ceiling, plumbing fixtures, electrical and paintings</t>
  </si>
  <si>
    <t xml:space="preserve"> Concreting of 459.00 l.m. Farm-to-Market Road with 5.0 carriageway and 1.5m shoulder on both sides</t>
  </si>
  <si>
    <t xml:space="preserve"> Republic of the Philippines Province of Palawan Municipality of Roxas   BIDS AND AWARDS COMMITTEE INVITATION TO BID  FOR THE CONSTRUCTION OF MULTI-PURPOSE COVERED HALL AT ARASAN ELEMENTARY SCHOOL AND AGUSTIN ELLO ELEMENTARY SCHOOL The Local Government Uni</t>
  </si>
  <si>
    <t xml:space="preserve"> Republic of the Philippines Province of Davao de Oro BIDS AND AWARDS COMMITTEE Cabidianan, Nabunturan, Davao de Oro Invitation to Bid for the Construction of Construction of 5 bays Evacuation Center and Comfort Room at side 4, Brgy. Mangayon, Compostela 1</t>
  </si>
  <si>
    <t xml:space="preserve"> INVITATION TO BID  FOR THE Furnishing of Labor and Materials for the Animal Shelter Facility @Brgy. Macatbong, Cabanatuan City I.B. No. 2020 – 0037 							 1. The LGU-Cabanatuan City, through the General Fund FY 2020 intends to apply the sum of Five Milli</t>
  </si>
  <si>
    <t xml:space="preserve"> 2020 27th Public Bidding: Peritoneal Dialysis Supplies</t>
  </si>
  <si>
    <t xml:space="preserve"> Republic of the Philippines Province of Nueva Vizcaya BIDS AND AWARDS COMMITTEE (BAC-Goods) BAC OFFICE, Provincial Capitol, Bayombong, Nueva Vizcaya Tel. No. 078-392-2062 	 2ND INVITATION TO BID FOR THE SUPPLY &amp; DELIVERY OF DESKTOP COMPUTERS, LAPTOP, ETC.</t>
  </si>
  <si>
    <t xml:space="preserve"> Republic of the Philippines  City of Canlaon Office of the Bids and Awards Committee  INVITATION TO BID FOR the Procurement of Sound System  The Local Government of Canlaon City, through AIP 2020. Intends to apply the sum One Hundred Fifty Seven Thousand </t>
  </si>
  <si>
    <t xml:space="preserve"> ITEM 	ITEM &amp;  DESCRIPTION	QUANTITY NO.		 1	Filling Materials	8 cu.m 2	Cement	230 bags 3	Fine Aggregates	20 cu.m, 4	Coarse Aggregates	19 cu.m 5	16mm x6.0 RSB	52 pcs. 6	12mm x 6.0 Def. bars	48 pcs. 7	10mmx6.0 Derf. Bars	150 pcs. 8	#16 Tie Wire	20 kls. 9	4" </t>
  </si>
  <si>
    <t xml:space="preserve"> IMPROVEMENT OF MULTI-PURPOSE BUILDING CENTRO 09, TUGUEGARAO CITY</t>
  </si>
  <si>
    <t xml:space="preserve"> Republic of the Philippines Province of Nueva Vizcaya BIDS AND AWARDS COMMITTEE (BAC-Goods) BAC OFFICE, Provincial Capitol, Bayombong, Nueva Vizcaya Tel. No. 078-392-2062 	 INVITATION TO BID FOR THE SUPPLY AND DELIVERY OF 1 UNIT LAPTOP FOR THE  PROVINCIAL</t>
  </si>
  <si>
    <t xml:space="preserve"> Invitation to Bid 1.	The MUNICIPAL GOVERNMENT OF SAN VICENTE, PALAWAN, through the 2019 Continuing Fund of Municipal Economic and Enterprises Development Office (MEEDO) intends to apply the sum of  EIGHT HUNDRED THIRTY THOUSAND THREE HUNDRED NINETY PESOS </t>
  </si>
  <si>
    <t xml:space="preserve"> Republic of the Philippines CITY OF PANABO Province of Davao del Norte BIDS AND AWARDS COMMITTEE -o0o- INVITATION TO BID 						                                                                                               July 24, 2020 1.	The City Governm</t>
  </si>
  <si>
    <t xml:space="preserve"> SEE ATTACHED DISCRIPTION:</t>
  </si>
  <si>
    <t xml:space="preserve"> TONDO MEDICAL CENTER ISO 9001:2008 Certified Philhealth Accredited “Health care within your reach”  BIDS AND AWARDS COMMITTEE INVITATION TO BID   1.	The Tondo Medical Center (TMC), through the General Appropriations Act intends to apply the sum of Two Mil</t>
  </si>
  <si>
    <t xml:space="preserve"> Invitation to Re-bid Project 2020-17: Construction of Water Testing Laboratory Location of Project: MSU Compound, Fatima, General Santos City Scope of Work: The work consists of supply of materials, appurtenances, labor, equipment, tools, power water and </t>
  </si>
  <si>
    <t xml:space="preserve"> INVITATION TO BID FOR PURCHASE OF OFFICE SUPPLIES AND CONSUMABLES FOR THE USED OF VARIOUS OFFICES/PROGRAMS OF DSWD RO III FOR THE PERIOD OF AUGUST – SEPTEMBER 2020   1.	The DEPARTMENT OF SOCIAL WELFARE AND DEVELOPMENT FIELD OFFICE III through its Bids and</t>
  </si>
  <si>
    <t xml:space="preserve"> Republic of the Philippines Municipality of Bontoc Mountain Province Bids and Awards Committee INVITATION TO BID FOR SUPPLY AND DELIVERY OF OFFICE SUPPLIES, MATERIALS AND EQUIPMENT PB GOODS 2020-06/7131106 1.	The Municipal Government of Bontoc,Mountain Pr</t>
  </si>
  <si>
    <t xml:space="preserve"> Republic of the Philippines SILAY CITY GOVERNMENT Zamora Street Silay City, Negros Occidental Telefax No. (034) 495-3746 	Control  Reference Number : GOODS#0140, ITB#0143,  PR#0456: SCG-2020 Name of the Project: Purchase of Drugs and Medicines for use in </t>
  </si>
  <si>
    <t xml:space="preserve"> (Rehabilitation and Improvement of Closed dumpsite damaged during typhoon Tisoy), 143 Linear meter CHB Perimeter Fence with concrete tie beam and 143 Linear Meter Stone Masonry.</t>
  </si>
  <si>
    <t xml:space="preserve"> Contract ID:	20DL0233 Contract Name:	CONCRETING OF BRGY. RIZAL FMR, BRGY. RIZAL, PEREZ, QUEZON 		 Contract Location:	PEREZ, QUEZON  Brief Description:		CONCRETING OF FARM – TO – MARKET ROAD Approved Budget for the Contract (ABC):	PHP   11,940,000.00 Sourc</t>
  </si>
  <si>
    <t xml:space="preserve"> This project is own and govern by the Barangay Moradje, Josefina, Zamboanga del Sur which they will going to improve their basketball court in order for the youths to have nice and conducive to play.</t>
  </si>
  <si>
    <t xml:space="preserve"> Republic of the Philippines Province of Leyte Municipality of Hilongos INVITATION TO BID FOR THE PURCHASE OF TWO (2) DESKTOP COMPUTER FOR LAMAK CS 1.  The Local Government Unit of Hilongos, through SEF-CURRENT APPROPRIATION intends to apply the sum SIXTY </t>
  </si>
  <si>
    <t xml:space="preserve"> PLS. SEE ATTACH PURCHASE REQUISITION, TERMS OF REFERENCE, &amp; BID DOCS FOR DETAILS.</t>
  </si>
  <si>
    <t xml:space="preserve"> Invitation to Bid 1.	The Barangay Government of Tanza 2 through the 2020 BDRRM Fund,intend to apply the amount of  Ninety Thousand Pesos Only  (words)  Php 90,000.00 as the Approved Budget for the Contract (ABC) for the payment under the contract for the </t>
  </si>
  <si>
    <t xml:space="preserve"> Republic of the Philippines BIDS AND AWARDS COMMITTEE Bacolod City INVITATION TO BID FOR THE PURCHASE OF MATERIALS FOR THE CONCRETING OF ROAD AT FORTUNE TOWNE, 5TH ROAD, BRGY. ESTEFANIA 1.	The City of Bacolod, through the Sangguniang Panlungsod 2020 inten</t>
  </si>
  <si>
    <t xml:space="preserve"> LOT-I HARDWARE MATERIALS 44 Pcs.  12mm DSB x 6m 8 kls. Tie wire #16 3 cu.m. Washed sand 5 cu.m. Screened gravel 40 bags Portland cement 12 pcs. Ordinary plywood (1/4") 192 bd.ft 2x2x16 lauan (36 pcs.) 20 kls. CW nails (assorted) LOT-II GRAVELLING OF ROAD </t>
  </si>
  <si>
    <t xml:space="preserve"> Republic of the Philippines BIDS AND AWARDS COMMITTEE Bacolod City INVITATION TO BID FOR THE PROJECT FOR CONSTRUCTION/REHABILITATION/ IMPROVEMENT OF DRAINAGE SYSTEM @ BRGY. 27 1.	The City of Bacolod, through the Sangguniang Panlungsod 2020 intends to appl</t>
  </si>
  <si>
    <t xml:space="preserve"> Republic of the Philippines PROVINCE OF CAMIGUIN Mambajao, Camiguin  OFFICE OF THE BIDS AND AWARDS COMMITTEE (BAC) INVITATION TO BID The Provincial Government of Camiguin through its Bids and Awards Committee (BAC) invites all interested and qualified con</t>
  </si>
  <si>
    <t xml:space="preserve"> Republic of the Philippines Province of Surigao del Sur MUNICIPALITY OF LANUZA REQUEST FOR EXPRESSION OF INTEREST FOR Conduct Ground Delineation Survey of Community Protected Areas at Barangay Nurcia, Sibahay,Zone III, Mampi and Pakwan. The Municipality o</t>
  </si>
  <si>
    <t xml:space="preserve"> Republic of the Philippines PROVINCE OF CAMIGUIN Mambajao, Camiguin OFFICE OF THE BIDS AND AWARDS COMMITTEE (BAC) INVITATION TO BID The Provincial Government of Camiguin through its Bids and Awards Committee (BAC) invites all interested and qualified bidd</t>
  </si>
  <si>
    <t xml:space="preserve"> Benguet First District Engineering Office La Trinidad, Benguet July 22, 2020    INVITATION TO BID The Benguet First District Engineering Office, through its Bids and Awards Committee (BAC), invites contractors to submit bids for the following Contract: Co</t>
  </si>
  <si>
    <t xml:space="preserve"> 1. DRB 10mm 250 PCS.  2. TIE WIRE #16 20KGS  3. COCOFORMS 2X2X12 20PCS 4. COCOFORMS 2X3X12 20PCS.  5. CWN #3  3KGS  6. PORTLAND CEMENT 620 BAGS  7. BOULDERS (DEL AT JOB SITE) 130 CUM  8. WASHED SAND (DEL AT JOB SITE) 56 CUM  9. SAND AND GRAVEL (DEL AT JOB</t>
  </si>
  <si>
    <t xml:space="preserve"> PLS. SEE ATTACHED PURCHASE REQUISITION, TERMS OF REFERENCE &amp; BID DOCUMENTS FOR DETAILS.</t>
  </si>
  <si>
    <t xml:space="preserve"> 1.	The Municipality of Santo Tomas, La Union, through the budget for the contract approved by the sanggunian under 20% MDF intends to apply the sum of One million pesos              (Php 1,000,000.00) being the Approved Budget for the Contract (ABC) to pa</t>
  </si>
  <si>
    <t xml:space="preserve"> 1.	The Municipality of Santo Tomas, La Union, through the budget for the contract approved by the sanggunian under LGSF-FA (2020) intends to apply the sum of Four million pesos              (Php 4,000,000.00) being the Approved Budget for the Contract (AB</t>
  </si>
  <si>
    <t xml:space="preserve"> Road Concreting</t>
  </si>
  <si>
    <t xml:space="preserve"> OPENING OF BIDS IN DSWD FO IX ZAMBOANGA CITY,				 DELIVERY IN PCDP MAMPANG ZAMBOANGA CITY				 PROCUREMENT FOR THE FF.:				 						 				 5000	BOTTLES	ALCOHOL , 50 ml. ETHYL 70% ISOPROPHYL	@	 40.00  20	BOXES	DISPOSABLE GLOVES/CLEAN GLOVES	@	 150.00  20	BOXES</t>
  </si>
  <si>
    <t xml:space="preserve"> 1.	The Municipality of Santo Tomas, La Union, through the budget for the contract approved by the sanggunian under the General Fund (2020) intends to apply the sum of Three hundred fifty thousand pesos (Php 350,000.00) being the Approved Budget for the Co</t>
  </si>
  <si>
    <t xml:space="preserve"> Republic of the Philippines Province of Surigao del Norte  Municipality of Malimono  OFFICE OF THE BIDS AND AWARDS COMMITTEE INVITATION TO BID ID NO. GF -MAL-SDN-04-20 1.	The Municipality of Malimono, Surigao del Norte through the Office of the Bids and A</t>
  </si>
  <si>
    <t xml:space="preserve"> INVITATION TO BID FOR THE PROCUREMENT OF   BRAND NEW VAN-TYPE AMBULANCE The LGU- Palapag, N. Samar, through  the  2020 Budget for the contract approved by the Sanggunian   intends to apply the sum of    Two Million Eight Hundred Thousand Pesos (PhP  2,800</t>
  </si>
  <si>
    <t xml:space="preserve"> 1.	The Municipality of Santo Tomas, La Union, through the budget for the contract approved by the sanggunian under the General Fund (2020) intends to apply the sum of Seven hundred thousand pesos (Php 700,000.00) being the Approved Budget for the Contract</t>
  </si>
  <si>
    <t xml:space="preserve"> Procurement ID/Contract ID:	20PI0099 Contract Name:	Local Infrastructure Program - Local Roads and Bridges, Local Roads, Improvement of Bagnen Oriente - Bagnen Proper Provincial Road located at the vegetable producing Bauko, Mountain Province Contract Loc</t>
  </si>
  <si>
    <t xml:space="preserve"> 1.	The Municipality of Santo Tomas, La Union, through the budget for the contract approved by the sanggunian under the General Fund (2020) intends to apply the sum of Nine hundred ninety five thousand pesos (Php 995,000.00) being the Approved Budget for t</t>
  </si>
  <si>
    <t xml:space="preserve"> PAPER SHREDDER	Can shred staples, credit cards and CDs, strip cut, cut at least eighteen (18) sheets of 70gsm paper with a cutting speed of 60mm./second, auto switch and auto reverse, with motor overheating protection, cutting width of 3mm-4mm, 220V,60Hz.</t>
  </si>
  <si>
    <t xml:space="preserve"> Steel fabrication of window grills/painting works and electrical work including electrical fixtures.</t>
  </si>
  <si>
    <t xml:space="preserve"> The National Center for Mental Health (NCMH) is inviting all Phil-GEPS registered to apply the Invitation to Bid for Procurement of Systems and Solutions with Managed Services for the NCMH Crisis Hotline CY 2020. (Complete Specifications are indicated in </t>
  </si>
  <si>
    <t xml:space="preserve"> Republic of the Philippines PROVINCE OF SOUTHERN LEYTE Maasin City Invitation to Bid for the Procurement of Various Medical Equipment  Contract ID # 2020-08-18-448PG 1.	The Provincial Government of Southern Leyte through the SDH Medical Equipment Expenses</t>
  </si>
  <si>
    <t xml:space="preserve"> See attached file.....</t>
  </si>
  <si>
    <t xml:space="preserve"> Supply and delivery of streetlight supplies and materials for installation and maintenance of streetlights at various barangay of Capas,Tarlac</t>
  </si>
  <si>
    <t xml:space="preserve"> Provision of Field Office for Engineer (Rental Basis) Project Billboard Occupational Safety &amp; Health Requirements Mobilization/Demobilization Removal of Structures and Obstructions Structure Excavation (Common Soil) Embankment from Borrow (Common Soil) Re</t>
  </si>
  <si>
    <t xml:space="preserve"> Provision of Field Office for Engineer (Rental Basis) Project Billboard Occupational Safety &amp; Health Requirements Traffic Management Mobilization/Demobilization Removal of Existing Concrete Pavement (0.15m thk.) Roadway Excavation Subgrade Preparation (Co</t>
  </si>
  <si>
    <t xml:space="preserve"> Provision of Field Office for Engineer (Rental Basis) Project Billboard Occupational Safety &amp; Health Requirements Mobilization/Demobilization Structure Excavation Embankment Reinforcing Steel Bars Structural Concrete Works</t>
  </si>
  <si>
    <t xml:space="preserve"> INVITATION TO BID FOR THE Construction/Rehabilitation of Barangay Foot Trails LGU-Kabugao, Apayao 1.	The Local Government Unit of Kabugao, through Appropriation Ordinance No. 02-Series of 2019 (FY 2020 Annual Budget)   intends to apply the sum of Three Mi</t>
  </si>
  <si>
    <t xml:space="preserve"> Republic of the Philippines Province of Negros Occidental Municipality of Ilog Invitation to bid for sale Amount Php 1,000 Purchase of materials for the improvement of roads (Regravelling) Brgy. Balicotoc Proper to So. Taysican, Brgy. Balicotoc, Ilog, Neg</t>
  </si>
  <si>
    <t xml:space="preserve"> Provision of Field Office for Engineer (Rental Basis) Project Billboard Occupational Safety &amp; Health Requirements Traffic Management Mobilization/Demobilization Structure Excavation Embankment (from Borrow) Sub-grade Preparation (Common Material) Aggregat</t>
  </si>
  <si>
    <t xml:space="preserve"> Repair and Maintenance of Road Safety Facilities</t>
  </si>
  <si>
    <t xml:space="preserve"> Republic of the Philippines                   Department of Health	       CENTRAL OFFICE BIDS AND AWARDS COMMITTEE  INVITATION TO BID FOR THE  PROCUREMENT OF HEAVY DUTY COT BEDS  IB NO. 2020-231 1.	The Department of Health (DOH), through the General Appro</t>
  </si>
  <si>
    <t xml:space="preserve"> 1.	The Mindanao State University-Tawi-Tawi College of Technology and Oceanography (MSU-TCTO), through the MSU-TCTO Trust Fund,  intends to apply the sum of Two Million Nine Hundred Fifty-Six Thousand Five Hundred Fifty-Six Pesos and 86/100 Centavos (PhP 2</t>
  </si>
  <si>
    <t xml:space="preserve"> Job Orders / Rental of Equipments 8 units Rental of Service Vehicle 4x4 Pick Up Vehicle Fuel: Php 612,000.00 and Driver included whole day use Total Amount: Php 612,000.00</t>
  </si>
  <si>
    <t xml:space="preserve"> Provision of Field Office for Engineer (Rental Basis) Project Billboard Occupational Safety &amp; Health Requirements Mobilization/Demobilization Structure Excavation Embankment Stone Masonry Reinforcing Steel Bars (RSB) Concrete Works Removal of Existing Str</t>
  </si>
  <si>
    <t xml:space="preserve"> Republic of the Philippines Province of Nueva Vizcaya BIDS AND AWARDS COMMITTEE (BAC-Goods) BAC OFFICE, Provincial Capitol, Bayombong, Nueva Vizcaya Tel. No. 078-392-2062 	 INVITATION TO BID FOR THE SUPPLY &amp; DELIVERY OF HIGH-SPEED SCANNER, LAPTOP &amp; ALL IN</t>
  </si>
  <si>
    <t xml:space="preserve"> 1	"Ambulance (Responder -2020 Model) "	1	unit 	"Specs: Engine &amp; Transmission: Code- YD25 DDTi  Dispalcement - 2488 cc Engine Type - Inline 4- Cylinder, DOHC, 16 valves, Variable Turbocharger (VGS) Maximum Power - 129ps/3,200 rpm Maximum Torque - 356Nm/2,0</t>
  </si>
  <si>
    <t xml:space="preserve"> Republic of the Philippines PROVINCE OF SOUTHERN LEYTE Maasin City Invitation to Bid for the Procurement of Various Laboratory Supplies  Contract ID # 2020-08-18-447PG 1.	The Provincial Government of Southern Leyte through the SDH Medical, Dental and Labo</t>
  </si>
  <si>
    <t xml:space="preserve"> INVITATION TO BID FOR THE Construction of 1 Unit Day Care Center LGU-Kabugao, Apayao 1.	The Local Government Unit of Kabugao, through Appropriation Ordinance No. 02-Series of 2019 (FY 2020 Annual Budget)   intends to apply the sum of Two Million Pesos (₱2</t>
  </si>
  <si>
    <t xml:space="preserve"> Purchase request submitted by Helen B. Lobaton  1 6 sacks Fertilizer (Urea) 2 3 packs Fungicide (WP), 500 grams/pack 3 3 packs Insecticide (WP), 500 grams/pack  4 25 pieces Cane Bolo with case / Cane Knives 5 15 pieces Harvesting Knives (Tabas) 6 25 piece</t>
  </si>
  <si>
    <t xml:space="preserve"> 1.	All prospective suppliers must first submit photocopies of Class “A” Documents, and other Requirements together with the “Original’s” for the conduct of Business Inspection to determine their eligibility prior transacting business with PNPC. </t>
  </si>
  <si>
    <t xml:space="preserve"> BID DOCS AVAILABLE</t>
  </si>
  <si>
    <t xml:space="preserve"> 1	1/8 x 2" x 2" x 20' Steel Tubular 	21 length	      46,200.00 </t>
  </si>
  <si>
    <t xml:space="preserve"> https://drive.google.com/file/d/1Bipp6liM6aJIQAxMoD4xqeV2LHy_Ym9H/view?usp=drivesdk</t>
  </si>
  <si>
    <t xml:space="preserve"> https://drive.google.com/file/d/1sy8FcKnpX6Jj0oG6k8tVGFCw6b10PP_W/view?usp=drivesdk</t>
  </si>
  <si>
    <t xml:space="preserve"> https://drive.google.com/file/d/185oCl3M2amdhlVNRVDM7YiRM3oDjUiDh/view?usp=drivesdk</t>
  </si>
  <si>
    <t xml:space="preserve"> https://drive.google.com/file/d/1H9gOo1FhS3h5yMe6icXQQ-YKEm7ybDpA/view?usp=drivesdk</t>
  </si>
  <si>
    <t xml:space="preserve"> https://drive.google.com/file/d/1ToFIK1EZVslU4kKHSJUeHvsx5W0FvJPm/view?usp=drivesdk</t>
  </si>
  <si>
    <t xml:space="preserve"> https://drive.google.com/file/d/1YJ-KRwPUapnHLC32ckgzIzvikcp7BmHJ/view?usp=drivesdk</t>
  </si>
  <si>
    <t xml:space="preserve"> 3RD POSTING</t>
  </si>
  <si>
    <t xml:space="preserve"> FOR SBO AND AND MO</t>
  </si>
  <si>
    <t xml:space="preserve"> 2020 20% DF</t>
  </si>
  <si>
    <t xml:space="preserve"> BAC Chairman will be the contact person in any case</t>
  </si>
  <si>
    <t xml:space="preserve"> 3rd posting</t>
  </si>
  <si>
    <t xml:space="preserve"> BID TENDER							</t>
  </si>
  <si>
    <t xml:space="preserve"> BAC Schedule of Activities;</t>
  </si>
  <si>
    <t xml:space="preserve"> For inquerry, pls contact Ms. Yoshanne May C. Alarde, Cel # 09275328487</t>
  </si>
  <si>
    <t xml:space="preserve"> PUBLIC BIDDING </t>
  </si>
  <si>
    <t xml:space="preserve"> CABIAO WATER DISTRICT</t>
  </si>
  <si>
    <t xml:space="preserve"> 049-501-6490-101</t>
  </si>
  <si>
    <t xml:space="preserve"> For quotation our official form is attach and downloadable. Send quotation at ncr.quezoncity@tesda.gov.ph.</t>
  </si>
  <si>
    <t xml:space="preserve"> For inquerry, pls. contact Ms. Yoshanne May C. Alarde, Cel # 09275328487</t>
  </si>
  <si>
    <t xml:space="preserve"> Please dial 8711-4276 and look for Ms. Susan</t>
  </si>
  <si>
    <t xml:space="preserve"> INSTRUCTIONS/TERMS AND CONDITIONS:								</t>
  </si>
  <si>
    <t xml:space="preserve"> A complete set of Bidding Documents may be acquired by interested bidders on AUGUST 10, 2020 to SEPTEMBER 1,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</si>
  <si>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1		2	Piece	3V Lithium Batteries		220.00</t>
  </si>
  <si>
    <t xml:space="preserve"> 1	15	 canister 	Residual Peroxide Test Stips 100's	 30,000.00 </t>
  </si>
  <si>
    <t xml:space="preserve"> To Our Supplier, Bid Documents are Available at BAC Secretariat</t>
  </si>
  <si>
    <t xml:space="preserve"> oOption to reserve the stock for the VMMC: seven (3) working days after the opening of this canvass</t>
  </si>
  <si>
    <t xml:space="preserve"> see attached bidding document</t>
  </si>
  <si>
    <t xml:space="preserve"> 1 		100			Pack				 Sterile Gauze 4 x 4, 50s														16,500.00	</t>
  </si>
  <si>
    <t xml:space="preserve"> 1 		15				Bottle				50gr Oral Glucose Tolerance Test													3,000.00	</t>
  </si>
  <si>
    <t xml:space="preserve"> Please download ITB &amp; Biddocs in the Associated Components for reference.</t>
  </si>
  <si>
    <t xml:space="preserve"> Please contact Ms. Anabalu M. Aurelio, Branch Cashier of DBP Taytay-Palawan for further details.  You may call (048) 2442087 / (048) 2442096 / (02) 9680546 / 0905-4676610 / 0977-0178107 or email at taytay-palawan@dbp.ph.</t>
  </si>
  <si>
    <t xml:space="preserve"> PHILHEALTH CAPITATION FUND</t>
  </si>
  <si>
    <t xml:space="preserve"> Bidders must download the attached document to the associate  component section.</t>
  </si>
  <si>
    <t xml:space="preserve"> TERMS AND CONDITIONS</t>
  </si>
  <si>
    <t xml:space="preserve"> Bidders must download the attached documents to the associate component section.</t>
  </si>
  <si>
    <t xml:space="preserve"> You may download bidding documents using the link below:</t>
  </si>
  <si>
    <t xml:space="preserve"> Please contact the Procurement Unit for your question and clarifications</t>
  </si>
  <si>
    <t xml:space="preserve"> RAMON B. LUTAP</t>
  </si>
  <si>
    <t xml:space="preserve"> EMAIL US</t>
  </si>
  <si>
    <t xml:space="preserve"> Please contact the Procurement Unit for your question and clarifications.</t>
  </si>
  <si>
    <t xml:space="preserve"> All particulars relative to Preliminary Examination of Bids, Bid Security, Performance Security, Evaluation of Bids, Post-Qualification and Award of Contract shall be governed by the pertinent provisions of R.A 9184 and its Revised Implementing Rules and Regulations (Revised IRR). Prospective bidders should have completed a similar contract within the last five (5) years with a value of at least 50% of the ABC. The BAC will use non-discretionary “pass/fail” criteria in the screening of Technical Proposal as well as the Preliminary Examination of Bids. The BAC will conduct post-qualification of the Lowest Calculated Bid.</t>
  </si>
  <si>
    <t xml:space="preserve"> Preferably suppliers from Cagayan de Oro City and can deliver as soon as possible</t>
  </si>
  <si>
    <t xml:space="preserve"> Bidding Docs may avail at BAC Secretariat Manually and upon payment of corresponding amount</t>
  </si>
  <si>
    <t xml:space="preserve"> 1	Bidders are required to read the instructions  and fill ALL the blanks in typewritten form or written legibly in permanent ink.						</t>
  </si>
  <si>
    <t xml:space="preserve"> Bidding Documents may avail at BAC Secretariat manually and upon payment of corresponding amount</t>
  </si>
  <si>
    <t xml:space="preserve"> To all bidders please send us your sample materials picture together with your quotation at binalbaganwater@yahoo.com.  thank you.</t>
  </si>
  <si>
    <t xml:space="preserve"> FUNDED UNDER BDF 2020</t>
  </si>
  <si>
    <t xml:space="preserve"> To bidders please send us your sample materials picture together with your quotation at binalbaganwater@yahoo.com thank you.</t>
  </si>
  <si>
    <t xml:space="preserve"> attached Program of works</t>
  </si>
  <si>
    <t xml:space="preserve"> REMINDERS:</t>
  </si>
  <si>
    <t xml:space="preserve"> Please contact 8711 4276 local 240 look Mr. Mark/ Felix</t>
  </si>
  <si>
    <t xml:space="preserve"> 100 KVA Transformer</t>
  </si>
  <si>
    <t xml:space="preserve"> For more clarifications, please call Ms. Kareen Joy S. Macusi at (074)448-0041 loc 0110 or Ms Carmen P. Pavon at (074) 448-0041 loc 0117</t>
  </si>
  <si>
    <t xml:space="preserve"> For more information, please see or contact the BAC Members of Brgy. Incarizan, Magallanes, Sorsogon.</t>
  </si>
  <si>
    <t xml:space="preserve"> Please contact 8711-4276 local 240 look Mr. Mark/Felix</t>
  </si>
  <si>
    <t xml:space="preserve"> For More Info. Please Contact:</t>
  </si>
  <si>
    <t xml:space="preserve"> Supplies for DRRM and CoVid Related. Strictly 7 Days Delivery period !</t>
  </si>
  <si>
    <t xml:space="preserve"> Opening of Bids @ BAC Office, LGU Casiguran Multi-Purpose Hall</t>
  </si>
  <si>
    <t xml:space="preserve"> Terms and Conditions:</t>
  </si>
  <si>
    <t xml:space="preserve"> Feel free to call us at 930 7572 or Visit our school for bidding purposes</t>
  </si>
  <si>
    <t xml:space="preserve"> https://drive.google.com/file/d/1ZlkzAwRT3P7w4cl0m8LIy4mYCvETEfzZ/view?usp=drivesdk</t>
  </si>
  <si>
    <t xml:space="preserve"> https://drive.google.com/file/d/1f1E9PecuGJEPAhOi1CM84O3dRWtvXrFo/view?usp=drivesdk</t>
  </si>
  <si>
    <t xml:space="preserve"> Bidder's must download the documents in the associated component section.</t>
  </si>
  <si>
    <t xml:space="preserve"> Please be informed that the bid documents cannot be downloaded from the website. It is non – electronic. </t>
  </si>
  <si>
    <t xml:space="preserve"> You may also send your quotation at psa.cavite@yahoo.com and call 046-686-5728 for inquiries.</t>
  </si>
  <si>
    <t xml:space="preserve"> https://drive.google.com/file/d/18AfRqn_krdB0tDq86RCE3Gl3OO5b3P7e/view?usp=drivesdk</t>
  </si>
  <si>
    <t xml:space="preserve"> https://drive.google.com/file/d/1PijzX-sFHQbBajnMY9biwRg_4HhvGed8/view?usp=drivesdk</t>
  </si>
  <si>
    <t xml:space="preserve"> https://drive.google.com/file/d/14mGfAlYIE5UU25HuBSsyOLvN8bSLmNAk/view?usp=drivesdk</t>
  </si>
  <si>
    <t xml:space="preserve"> https://drive.google.com/file/d/1WuuR0TxWHpq7V68bmIbewqh_spR5ykUo/view?usp=drivesdk</t>
  </si>
  <si>
    <t xml:space="preserve"> Meals for the Conduct of RPFP in the Workplace as part of the FP Month Celebration in to PNP Personnel in Babatngon, Leyte</t>
  </si>
  <si>
    <t xml:space="preserve"> Please copy and paste the following URL into your web browser:</t>
  </si>
  <si>
    <t xml:space="preserve"> https://drive.google.com/file/d/1X7Jxn-zF1BlcQhVksV1CR0v62uh3uSHa/view?usp=drivesdk</t>
  </si>
  <si>
    <t xml:space="preserve"> Note:</t>
  </si>
  <si>
    <t xml:space="preserve"> Specification:</t>
  </si>
  <si>
    <t xml:space="preserve"> Note: Inclusive for free delivery.</t>
  </si>
  <si>
    <t xml:space="preserve"> Inclusive free delivery.</t>
  </si>
  <si>
    <t xml:space="preserve"> Please send your quotation to:</t>
  </si>
  <si>
    <t xml:space="preserve"> PLEASE CONTACT BAC CHAIRPERSON OF BARANGAY SAN JUAN</t>
  </si>
  <si>
    <t xml:space="preserve"> Please copy the link below and print for a copy of BIDDING DOCUMENT</t>
  </si>
  <si>
    <t xml:space="preserve"> For Particular,Inquire at BAC Secretariat of Brgy. Lakip Atimonan, Quezon</t>
  </si>
  <si>
    <t xml:space="preserve"> For Particular,Inquire at BAC Secretariat of Brgy. Sokol Atimonan, Quezon</t>
  </si>
  <si>
    <t xml:space="preserve"> Note: Please see the uploaded file at associated components.</t>
  </si>
  <si>
    <t xml:space="preserve"> Deadline of submission of quotation is on August 13, 2020 at 10:00 AM.</t>
  </si>
  <si>
    <t xml:space="preserve"> OFFICE AND SCHOOL SUPPLIES</t>
  </si>
  <si>
    <t xml:space="preserve"> Bid documents will be available starting on August 10, 2020 up to August 19, 2020 at Barangay Hall of Brgy. Lapaz, Nueva Valencia, Guimaras in a non-refundable amount of Php.300.00 pesos only payable to the Barangay Treasurer of the Barangay.</t>
  </si>
  <si>
    <t xml:space="preserve"> https://drive.google.com/file/d/1QTRjnuksvxzaUpNpKcl8dcI50OyeIhaB/view?usp=drivesdk</t>
  </si>
  <si>
    <t xml:space="preserve"> Click order link of the associated components</t>
  </si>
  <si>
    <t xml:space="preserve"> Date of posting: August 10-17, 2020</t>
  </si>
  <si>
    <t xml:space="preserve"> SEE REQUEST FOR QUOTATION</t>
  </si>
  <si>
    <t xml:space="preserve"> SUPPLIES AND DEVICES</t>
  </si>
  <si>
    <t xml:space="preserve"> Interested supplier are required to submit their quotation with Philgeps registration, valid/current Mayor's Permit, Income/Business Tax Return and Omnibus Sworn Statement. All documents must be submitted to the BAC Secretariat. DEADLINE FOR SUBMISSION:  August 13, 2020 @ 9:00 a.m</t>
  </si>
  <si>
    <t xml:space="preserve"> https://drive.google.com/file/d/1jTfEiJGooCaZQmNTDO5Tm_mRGD8IHWgB/view?usp=drivesdk</t>
  </si>
  <si>
    <t xml:space="preserve"> see request for quotation</t>
  </si>
  <si>
    <t xml:space="preserve"> See request for quotation</t>
  </si>
  <si>
    <t xml:space="preserve"> 1 set Public Address System</t>
  </si>
  <si>
    <t xml:space="preserve"> For further information, please refer to:</t>
  </si>
  <si>
    <t xml:space="preserve"> https://drive.google.com/file/d/1pKE3y444KUelkJzFeAcOslgt2qhU3l9U/view?usp=drivesdk</t>
  </si>
  <si>
    <t xml:space="preserve"> Bid Docs available</t>
  </si>
  <si>
    <t xml:space="preserve"> https://drive.google.com/file/d/1qoZ2ULzmjXYj0K1J38lqqtOe7cYwmWPe/view?usp=drivesdk</t>
  </si>
  <si>
    <t xml:space="preserve"> Bidding Documents:</t>
  </si>
  <si>
    <t xml:space="preserve"> Publication - August 10 -17, 2020</t>
  </si>
  <si>
    <t xml:space="preserve"> INTERESTED BIDDER MUST SUBMIT A VALID COMPANY ID. FOR REPRESENTATIVE/S, PLEASE BRING SPA, VALID COMPANY ID OF THE PERSON BEING REPRESENTED AND HIS/HER VALID ID AND DRL FOR THE PROJECT.</t>
  </si>
  <si>
    <t xml:space="preserve"> PURCHASE OF LAPTOP WITH PRINTER</t>
  </si>
  <si>
    <t xml:space="preserve"> INTERESTED BIDDER MUST PRESENT A VALID ID, ALL UNITS MUST BE ORIGINAL WITH COMPLETE ACCESSORIES, UNDER WARRANTY OF AT LEAST ONE (1) YEAR AND SUBJECT FOR REPLACEMENT IN CASE OF DEFECTS.</t>
  </si>
  <si>
    <t xml:space="preserve"> Bid document will be available on August 12, 2020 at the Cashier's office at 8:00am to 5:00Pm. Bid documents cost is 1000.00</t>
  </si>
  <si>
    <t xml:space="preserve"> https://drive.google.com/file/d/1_bkZgbYDlStYxJ0EjKNKydp5yMFuZiCQ/view?usp=drivesdk</t>
  </si>
  <si>
    <t xml:space="preserve"> https://drive.google.com/file/d/1kWiICqVbPOZoiYdDWGn2HiJ3WTHgPUbZ/view?usp=drivesdk</t>
  </si>
  <si>
    <t xml:space="preserve"> INTERESTED BIDDER MUST PRESENT A VALID COMPANY ID. FOR REPRESENTATIVES, PLEASE BRING YOUR VALID ID, VALID COMPANY ID OF THE PERSON BEING REPRESENTED, SPA AND DRL FOR THE PROJECT</t>
  </si>
  <si>
    <t xml:space="preserve"> ITB </t>
  </si>
  <si>
    <t xml:space="preserve"> All quotations must be in the prescribed canvass form and suppliers or its duly authorized representative shall personally submit the same to the City Procurement Office, City Government of Antipolo.</t>
  </si>
  <si>
    <t xml:space="preserve"> 1. Issuance of Bidding Documents</t>
  </si>
  <si>
    <t xml:space="preserve"> INTERESTED BIDDER MUST PRESENT A VALID COMPANY ID. FOR REPRESENTATIVE, PLEASE BRING VALID COMPANY ID OF THE PERSON BEING REPRESENTED, SPA, HIS/HER VALID ID AND DRL FOR THE PROJECT</t>
  </si>
  <si>
    <t xml:space="preserve"> PROCUREMENT ACTIVITIES	DATE	TIME (BFAR8 Ground floor Biometric Clock)	VENUE</t>
  </si>
  <si>
    <t xml:space="preserve"> ATTACHED POW</t>
  </si>
  <si>
    <t xml:space="preserve"> Inquire at the Office of Provincial Disaster Risk Reduction and Management Council for details.</t>
  </si>
  <si>
    <t xml:space="preserve"> Inquire at the Office of the Provincial Governor for details.</t>
  </si>
  <si>
    <t xml:space="preserve"> Inquire at the Office of the Provincial Agriculturist for details.</t>
  </si>
  <si>
    <t xml:space="preserve"> BID OPENING: AUGUST 17, 2020 AT 3:45PM BAC OFFICE, MUNICIPAL, HALL, STA. MARCELA, APAYAO</t>
  </si>
  <si>
    <t xml:space="preserve"> For More Details Please Contact: Floro E. Bejona -BAC Chairman 09333123724</t>
  </si>
  <si>
    <t xml:space="preserve"> https://drive.google.com/file/d/1UyCKwwiS9H_c4ihr2gCaWmR66_1ULX-W/view?usp=drivesdk</t>
  </si>
  <si>
    <t xml:space="preserve"> Annex “A”</t>
  </si>
  <si>
    <t xml:space="preserve"> ATTACHED PR</t>
  </si>
  <si>
    <t xml:space="preserve"> Sylvia Boneo</t>
  </si>
  <si>
    <t xml:space="preserve"> Cost of Documents: P5,000.00</t>
  </si>
  <si>
    <t xml:space="preserve"> Deadline of submission of quotation is on August 13, 2020 at 10:00 AM</t>
  </si>
  <si>
    <t xml:space="preserve"> BARANGAY PISA FUND</t>
  </si>
  <si>
    <t xml:space="preserve"> For particular, call Bac Sec</t>
  </si>
  <si>
    <t xml:space="preserve"> Use for the Implementation of 2017 Native Chicken production Project under SAAD program to be benefited by Sitio Bayol FA, Villaramos FA, Don Jose Aguirre FA, East Pob. FA, Patunan FA &amp; Piangon FA.</t>
  </si>
  <si>
    <t xml:space="preserve"> see DESCRIPTION for the Technical Specification</t>
  </si>
  <si>
    <t xml:space="preserve"> Bidders must download the attached document in the associated component section.</t>
  </si>
  <si>
    <t xml:space="preserve"> Scope of work: 30 meter length fence by 1.8 meters height</t>
  </si>
  <si>
    <t xml:space="preserve"> Please copy the link below and paste it on new tab:</t>
  </si>
  <si>
    <t xml:space="preserve"> Date of posting: August 9-17, 2020</t>
  </si>
  <si>
    <t xml:space="preserve"> Opening of quotation will be on August 13, 2020-09:30 in the morning at 3F BFP Conference Room, General Macario Peralta Jr., Drive, Iloilo City.</t>
  </si>
  <si>
    <t xml:space="preserve"> https://drive.google.com/file/d/1bXPJTN6rCmbYxTOAWCiOM-PWb0bcSeZd/view?usp=drivesdk</t>
  </si>
  <si>
    <t xml:space="preserve"> Other Information</t>
  </si>
  <si>
    <t xml:space="preserve"> * Suppliers must download the attached in the associated component section.</t>
  </si>
  <si>
    <t xml:space="preserve"> Preferably supplier with Office and Service Center in Iloilo City</t>
  </si>
  <si>
    <t xml:space="preserve"> The Procuring Entity is Barangay CANBANTUG, only posted in the account of Barangay Tabayag.</t>
  </si>
  <si>
    <t xml:space="preserve"> Attached Invitation to Bid signed and approved by Mr. Hassan L. Macadatar, BAC Chairman</t>
  </si>
  <si>
    <t xml:space="preserve"> Attached copy of Invitation to Bid signed and approved by Mr. Hassan L. Macadatar, BAC Chairman</t>
  </si>
  <si>
    <t xml:space="preserve"> Refer to request for Quotation for more information.</t>
  </si>
  <si>
    <t xml:space="preserve"> Please see attached Specifications</t>
  </si>
  <si>
    <t xml:space="preserve"> You may see the Supply Officer, Municipality of Caibiran</t>
  </si>
  <si>
    <t xml:space="preserve"> Attached Invitation to Bid</t>
  </si>
  <si>
    <t xml:space="preserve"> Bid Docs Php500.00</t>
  </si>
  <si>
    <t xml:space="preserve"> A complete set of Bidding Documents may be acquired by interested August 5, 2020 to August 24, 2020 from the address below.</t>
  </si>
  <si>
    <t xml:space="preserve"> REQUIREMENTS:</t>
  </si>
  <si>
    <t xml:space="preserve"> https://drive.google.com/file/d/12I2BkpDLwZMIOBic2RIoee96DnAT3c97/view?usp=drivesdk</t>
  </si>
  <si>
    <t xml:space="preserve"> Please see personally the BAC Chairman for the availability of the bid document upon payment of the non-refundable amount of P 500.00 to the Treasurer.</t>
  </si>
  <si>
    <t xml:space="preserve"> Delivery Point: Plantsite / JOLO DPP, Sulu Province</t>
  </si>
  <si>
    <t xml:space="preserve"> LCRB</t>
  </si>
  <si>
    <t xml:space="preserve"> 1. Funded under the Genral Fund, 20% Development Fund with an ABC of Php 299,184.38</t>
  </si>
  <si>
    <t xml:space="preserve"> click the links below to download plans</t>
  </si>
  <si>
    <t xml:space="preserve"> You may see the PISO Manager, Municipality of Caibiran</t>
  </si>
  <si>
    <t xml:space="preserve"> All quotation must be submitted in a sealed envelope directly to LPGH&amp;STC, address to Ms. Cecille P. Manipon, BAC Chairman or email, together with the following requirements;</t>
  </si>
  <si>
    <t xml:space="preserve"> Pls. deliver your proposal/quotation in a closed envelope on or before August 14, 2020, 5:00 pm.</t>
  </si>
  <si>
    <t xml:space="preserve"> Please contact BAC Secretariat for other inquiries on the said project.</t>
  </si>
  <si>
    <t xml:space="preserve"> CONTACT PERSON: BRYAN C. NIODA/CANVASSER</t>
  </si>
  <si>
    <t xml:space="preserve"> contact BAC Secretariat for specs &amp; requirements</t>
  </si>
  <si>
    <t xml:space="preserve"> REQUIREMENTS;</t>
  </si>
  <si>
    <t xml:space="preserve"> &gt; 200 Pax Lunch and AM Snack</t>
  </si>
  <si>
    <t xml:space="preserve"> 1 Unit Motorcycle (125)</t>
  </si>
  <si>
    <t xml:space="preserve"> The DICT-FOO-MC3 through its committee for SVP mode of procurement intend to procure CONST. MATERIALS as per specification above. As such, the supplier of known qualifications is hereby invited to submit their quotations/price proposals not later than August 14, 2020 at DICT-F. Torres St., Davao City The supplier must submit the ff. requirements:																																						</t>
  </si>
  <si>
    <t xml:space="preserve"> Suppliers are required to submit their quotation/written proposal with the following documents on or  AUGUST 11, 2020 9:00 AM at BAC Office, this LGU, to wit:</t>
  </si>
  <si>
    <t xml:space="preserve"> Quotation shall be submitted via email (lbphobac@mail.landbank.com) not later than August 17, 2020, Monday,</t>
  </si>
  <si>
    <t xml:space="preserve"> Opening of quotation will be on August 13, 2020- 09:30 in the morning at 3F BFP Conference Room, General Macario Peralta Jr. Drive, Iloilo City</t>
  </si>
  <si>
    <t xml:space="preserve"> The Local Government Unit of Island Garden City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</si>
  <si>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PLS. GET RFQ AT ADMIN OFFICE, 2ND FLR. ADMIN BLDG.,CABANGAN HIGH SCHOOL </t>
  </si>
  <si>
    <t xml:space="preserve"> 40 Pax Meals (for 7 frequency)</t>
  </si>
  <si>
    <t xml:space="preserve"> Please Quote your lowest price on the item/s listed above, subject to the General Conditions, stating the shortest time of delivery and submit your quotation duly signed by your representative not later than August 12, 2020, 4:00 P.M. at the Bids and Awards Committee, 3rd Floor, Provincial Capitol Building, Bontoc, Mountain Province.</t>
  </si>
  <si>
    <t xml:space="preserve"> 2000	sq. ft.	          Production/ Layout, Printing and delivery of Tarpaulin Streamers with Various Sizes for DOH </t>
  </si>
  <si>
    <t xml:space="preserve"> Please use the official quotation attached and provide a copy of PhilGEPS Certificate (Platinum).</t>
  </si>
  <si>
    <t xml:space="preserve"> Please refer to the attached Request for Quotation (RFQ) for complete and detailed specifications. For queries, please call at 317-1768 local 779 and look for Prof. John P. Natividad</t>
  </si>
  <si>
    <t xml:space="preserve"> SCHEDULE OF ACTIVITIES:</t>
  </si>
  <si>
    <t xml:space="preserve"> 1	Duplicating Machine	5	units</t>
  </si>
  <si>
    <t xml:space="preserve"> Alexander G. Diez</t>
  </si>
  <si>
    <t xml:space="preserve"> Delivery at the job site.</t>
  </si>
  <si>
    <t xml:space="preserve"> 30	packs	Energy saver Compact Fluorescent Twister</t>
  </si>
  <si>
    <t xml:space="preserve"> PLEASE DIRECTLY CONTACT QUEENIE RHICK M. GIL THRU 0936 256 4692</t>
  </si>
  <si>
    <t xml:space="preserve"> For the use of OG4, 2ID, PA</t>
  </si>
  <si>
    <t xml:space="preserve"> Contact person: Phebe Gayle M. Angellano</t>
  </si>
  <si>
    <t xml:space="preserve"> Please download RFQ thru the Associated Component under the Bid Notice Abstract</t>
  </si>
  <si>
    <t xml:space="preserve"> Bidders must download the document in the associated component section.</t>
  </si>
  <si>
    <t xml:space="preserve"> 20		Purhase of Toner Genuine (Samsung)</t>
  </si>
  <si>
    <t xml:space="preserve"> Production and Printing of DOH WV CHD Annual Report and Newsletter with the following specifications:</t>
  </si>
  <si>
    <t xml:space="preserve"> For the use of 76IB, 2ID, PA</t>
  </si>
  <si>
    <t xml:space="preserve"> For online conferences, webinars, and encoding and submission of reports though email.</t>
  </si>
  <si>
    <t xml:space="preserve"> 1	22 pcs – 1 x 5 x 10 Good Lumber	91.67	bd.ft.</t>
  </si>
  <si>
    <t xml:space="preserve"> To All  interested Suppliers ,Please visit our office at Municipal Goverment Center,Poblacion,Jabonga,Agusan Del Norte,for more Information and Details,..</t>
  </si>
  <si>
    <t xml:space="preserve"> Please contact the Procurement Unit for your question and clarification.</t>
  </si>
  <si>
    <t xml:space="preserve"> For the use of 2DCAU, 2ID, PA</t>
  </si>
  <si>
    <t xml:space="preserve"> For Particular,Inquire at BAC Secretariat of Brgy. Balubad Atimonan, Quezon</t>
  </si>
  <si>
    <t xml:space="preserve"> I.	DEMOLITION WORKS		</t>
  </si>
  <si>
    <t xml:space="preserve"> NOTE:</t>
  </si>
  <si>
    <t xml:space="preserve"> GUIDELINES:</t>
  </si>
  <si>
    <t xml:space="preserve"> For reproduction of    Instructional Materials (IMS)</t>
  </si>
  <si>
    <t xml:space="preserve"> For further information, please contact Ms. JOCELYN A. FERNANDO, MPMG, SBAC Secretariat at 5238231-38 local 2469, National Bureau of Investigation, Taft Avenue, Ermita, Manila.</t>
  </si>
  <si>
    <t xml:space="preserve"> CONTACT PERSON:</t>
  </si>
  <si>
    <t xml:space="preserve"> Note: Brand names of all items must be indicated in the bid.</t>
  </si>
  <si>
    <t xml:space="preserve"> TERMS AND CONDITIONS:</t>
  </si>
  <si>
    <t xml:space="preserve"> NOTE: To all Suppliers,</t>
  </si>
  <si>
    <t xml:space="preserve"> SUBMISSION OF QUOTATION NOT LATER THAN AUGUST 14, 2020 UNTIL 5:00PM AT BAC OFFICE ROOM 302 3/F CITY GOVERNMENT CENTER, SAN JUAN CITY</t>
  </si>
  <si>
    <t xml:space="preserve"> Buyer: A.S. Dizon</t>
  </si>
  <si>
    <t xml:space="preserve"> https://drive.google.com/file/d/1ICC-yPvj442SKxpPhx4GCdbz_3mJuoPU/view?usp=drivesdk</t>
  </si>
  <si>
    <t xml:space="preserve"> Deliver RFQ at Talaban ES.</t>
  </si>
  <si>
    <t xml:space="preserve"> Suppliers/bidders must download the attached documents in the associated component section.</t>
  </si>
  <si>
    <t xml:space="preserve"> All interested bidders must purchase bid document at Municipal Treasury Office together with the letter of intent before going to the BAC Office, 3rd floor, Municipal Bldg. Abatan, Buguias, Benguet from August 18, 2020 starting 3:00 PM - 4:00 PM.</t>
  </si>
  <si>
    <t xml:space="preserve"> THIS PROJECTS BELONGS TO BARANGAY GUBATAN MACO DAVAO DE ORO. PLEASE CONTACT THIS NUMBER 0915-8452898/ 0998-4269704</t>
  </si>
  <si>
    <t xml:space="preserve"> Interested suppliers are required to submit their valid and current Mayors Permit, DTI registration, BIR Registration, Tax Clearance, PhilGEPS Platinum Registration Certificate and Price Quotation (annex "A").</t>
  </si>
  <si>
    <t xml:space="preserve"> For the use of 202BDE, 2ID, PA</t>
  </si>
  <si>
    <t xml:space="preserve"> THE F3B EMERGENCY CART IS AN ECONOMICAL EMERGENCY CART THAT IS IDEAL FOR HOSPITALS AND CLINICS. FEATURES: APPLICABLE FOR US IN THE EMERGENCY WARDS AND OTHER PLACES.  ABS PLATFORM CAN PUT ARTICLES OR WRITE. BODY SIDE WITH A FILE BOX. ANTI-COLLISION PROTECTOR ON THE BUTTON CORNER. THE BOTTOM OF 4 HIGH-PERFORMANCE POLYURETHANE SILENT CASTERS (TWO OF THEM BRAKE DEVICES). THE PRODUCT QUALITY CONFORMS TO: GB/T 19001-2000 IDT ISO 9001-2000 . SIZE: 650 X 420 X 1020 mm.</t>
  </si>
  <si>
    <t xml:space="preserve"> All participating bidders MUST obtain the following every time there is a scheduled bidding and the physical presence of the participating bidder is necessary: Updated (not older than three weeks) Medical Certificate from their Local Health Officer, Travel Authority as required by IATF, Visitor’s Pass</t>
  </si>
  <si>
    <t xml:space="preserve"> BID DOCS PhP 500.00</t>
  </si>
  <si>
    <t xml:space="preserve"> Republic of the Philippines</t>
  </si>
  <si>
    <t xml:space="preserve"> Suppliers must download the attached document in the associated component section</t>
  </si>
  <si>
    <t xml:space="preserve"> Vehicle Corrective Maintenance</t>
  </si>
  <si>
    <t xml:space="preserve"> Bidding Documents Alternative download link: https://drive.google.com/file/d/1x5U30FV4d1WBJxgOylnbSRnfbvyG-jyT/view?usp=drivesdk</t>
  </si>
  <si>
    <t xml:space="preserve"> POW can be obtained from the BAC Secretariat</t>
  </si>
  <si>
    <t xml:space="preserve"> https://drive.google.com/file/d/1obptTUKUFUWpCHPZLOD2AnIDCE6ieGIe/view?usp=drivesdk</t>
  </si>
  <si>
    <t xml:space="preserve"> DOCUMENTARY REQUIREMENT: PLEASE ATTACHED UPON SUBMISSION OF THE QUOTATION</t>
  </si>
  <si>
    <t xml:space="preserve"> This is subject to the availability of supplies at the PS-DBM.</t>
  </si>
  <si>
    <t xml:space="preserve"> BID OPENING AUGUST 25, 2020 - 10:00AM AT MARIFOSQUE BGRY. HALL</t>
  </si>
  <si>
    <t xml:space="preserve"> Buyer: K.C. Lacatan</t>
  </si>
  <si>
    <t xml:space="preserve"> For further information please contact Ms. JOCELYN A. FERNANDO, MPMG, SBAC Secretariat at 5238231-38 local 2469, National Bureau of Investigation, Taft Avenue, Ermita, Manila.</t>
  </si>
  <si>
    <t xml:space="preserve"> For inquiries pls visit our Office or call the Chairman CCC @201ST CO, CAB, Mabalacat City, Pampanga</t>
  </si>
  <si>
    <t xml:space="preserve"> https://drive.google.com/file/d/1_iC1G-Mt-Jh4vGDb_LXdml2ZJSW_QTdG/view?usp=drivesdk</t>
  </si>
  <si>
    <t xml:space="preserve"> Mayors per</t>
  </si>
  <si>
    <t xml:space="preserve"> Please download document in associate components</t>
  </si>
  <si>
    <t xml:space="preserve"> 1	Duplicating Machine Ink	177	cart</t>
  </si>
  <si>
    <t xml:space="preserve"> Availability of RFQ: August 10 - 13, 2020, 8:00 AM-5:00 PM; Monday through Friday</t>
  </si>
  <si>
    <t xml:space="preserve"> Below is the link of the Bidding Document for this Project.</t>
  </si>
  <si>
    <t xml:space="preserve"> https://drive.google.com/file/d/10RM0lrHVSHzidT8nJiKcpA213-O4S_iG/view?usp=drivesdk</t>
  </si>
  <si>
    <t xml:space="preserve"> Mr. RUEL C. DE LOYOLA</t>
  </si>
  <si>
    <t xml:space="preserve"> Purchase Request and Activity Design are attached.</t>
  </si>
  <si>
    <t xml:space="preserve"> NIGEL VINCENT SUELTO</t>
  </si>
  <si>
    <t xml:space="preserve"> For inquiries, please call:</t>
  </si>
  <si>
    <t xml:space="preserve"> Instruction for Suppliers on how to View/Download the document just go to the link below:</t>
  </si>
  <si>
    <t xml:space="preserve"> Desktop Computer	1	set</t>
  </si>
  <si>
    <t xml:space="preserve"> The Municipal Government of Rizal, Occidental Mindoro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</si>
  <si>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Bidding requirements/bid forms may be obtained, beginning August 13, 2020  from C.A. General Service upon payment of a non-refundable fee of P4,000.00.  Interested parties may get in touch with Ms. Weng Mirhan, BAC Secretariat at telephone no. 8834-2708.</t>
  </si>
  <si>
    <t xml:space="preserve"> PLEASE ACCESS THE LINK BELOW TO VIEW/DOWNLOAD THE BIDDING DOCUMENTS:</t>
  </si>
  <si>
    <t xml:space="preserve"> For the copy of ITB, please download this link: https://drive.google.com/file/d/18LMiGucECdUclY5M_eJ6pzFdsGvb-1kt/view?usp=drivesdk</t>
  </si>
  <si>
    <t xml:space="preserve"> For the copy of ITB; please download this link: https://drive.google.com/file/d/18LMiGucECdUclY5M_eJ6pzFdsGvb-1kt/view?usp=drivesdk</t>
  </si>
  <si>
    <t xml:space="preserve"> Bidders are required to read the instructions:</t>
  </si>
  <si>
    <t xml:space="preserve"> Gasoline	1,000.00	ltrs</t>
  </si>
  <si>
    <t xml:space="preserve"> The deadline of submission is on or before August 19, 2020 at 1:30 in the afternoon, 2nd floor, BAC Office, Municipal Hall of Don Carlos, Bukidnon.</t>
  </si>
  <si>
    <t xml:space="preserve"> Please see associated components</t>
  </si>
  <si>
    <t xml:space="preserve"> OFFICE OF THE BIDS AND AWARD COMMITTEE</t>
  </si>
  <si>
    <t xml:space="preserve"> Please submit your quotations to the General Services Office of the Local Government Unit of Dupax del Norte.</t>
  </si>
  <si>
    <t xml:space="preserve"> For further information on this project procurement, interested consultants may contact the Bids and Awards Committee Secretariat through Mr. Marl Philippe Y. Cachero at (02) 8921 0565 or you may send an email to marlcachero7@gmail.com</t>
  </si>
  <si>
    <t xml:space="preserve"> Quotations submitted thru mail/fax will not be accepted.</t>
  </si>
  <si>
    <t xml:space="preserve"> The Municipality of San Jose reserves the right to accept or reject any bid, to annual biding process and to reject all bids at any time prior to the contract award, without hereby any liability to the affected bidder or bidders.</t>
  </si>
  <si>
    <t xml:space="preserve"> BIDDERS MUST DOWNLOAD THE ATTACHED DOCUMENT IN THE ASSOCIATED COMPONENT SECTION</t>
  </si>
  <si>
    <t xml:space="preserve"> Other information</t>
  </si>
  <si>
    <t xml:space="preserve"> No. of Meals	No. of Pax 	"ARTICLES/DESCRIPTION</t>
  </si>
  <si>
    <t xml:space="preserve"> Please contact the principal at 09156238041</t>
  </si>
  <si>
    <t xml:space="preserve"> Bidding documents shall be made available to prospective bidders or its duly authorized representative only at the Office of the Bids &amp; Awards Committee, Procurement Division, Rizal Provincial Government, Ynares Center Complex Antipolo City.</t>
  </si>
  <si>
    <t xml:space="preserve"> BAC Activities Schedule:</t>
  </si>
  <si>
    <t xml:space="preserve"> Activities Schedule:</t>
  </si>
  <si>
    <t xml:space="preserve"> Please submit your proposal and legal documents duly signed by your representative to email address janet_villafranca@tpb.gov.ph not later than 14 August 2020, 5:00PM, subject to the Terms and Conditions stated herewith and the shortest time of delivery.</t>
  </si>
  <si>
    <t xml:space="preserve"> Pub: August 11-13, 2020</t>
  </si>
  <si>
    <t xml:space="preserve"> SEE REQUEST FOR QUATATION</t>
  </si>
  <si>
    <t xml:space="preserve"> ITB</t>
  </si>
  <si>
    <t xml:space="preserve"> Publication: August 11-17, 2020</t>
  </si>
  <si>
    <t xml:space="preserve"> Items should be avialable within 5 days from the posting date</t>
  </si>
  <si>
    <t xml:space="preserve"> See attached Purchased Request</t>
  </si>
  <si>
    <t xml:space="preserve"> Submit LOI</t>
  </si>
  <si>
    <t xml:space="preserve"> A complete set of Bidding Documents may be acquired by interested Bidders on August 11, 2020 to August 31,2019 from the address below {DPWH Upper Kalinga DEO,Bulanao,Tabuk City, Kalinga and upon payment of the applicable fee for the Bidding Documents, pursuant to the latest Guidelines issued by the GPPB, in the amount of P5,000.00.Note: For lot procurement, the maximum fee for the Bidding Documents for each lot shall be based on its ABC, in accordance with the Guidelines issued by the GPPB; provided that the total fees for the Bidding Documents of all lots shall not exceed the maximum fee prescribed in the Guidelines for the sum of the ABC of all lots.}.</t>
  </si>
  <si>
    <t xml:space="preserve"> Delivery Point: Plantsite / Sitangkai DPP, Tawi-Tawi</t>
  </si>
  <si>
    <t xml:space="preserve"> For more information, please call the BAC Secretariat Section Office at telephone nos. 8522-7252 / 5335-1777 or 87 loc. 397.</t>
  </si>
  <si>
    <t xml:space="preserve"> YOU MAY DOWNLOAD THE RFQ FROM THE ASSOCIATED COMPONENTS</t>
  </si>
  <si>
    <t xml:space="preserve"> Opening of quotation will be held at Mayor's Office Conference Room, 2nd Floor Building, Municipal compound, Rumbang Poblacion, Rizal, Occidental Mindoro.</t>
  </si>
  <si>
    <t xml:space="preserve"> IT SHOULD BE DELIVERED TO SCHOOL ADDRESS</t>
  </si>
  <si>
    <t xml:space="preserve"> Request for Quotation is available at the office , see  the SBAC Sec.</t>
  </si>
  <si>
    <t xml:space="preserve"> TO BE DELIVERED AT BAYANGA ELEMENTARY SCHOOL</t>
  </si>
  <si>
    <t xml:space="preserve"> Opening of REquest for Quotation will be held on August 17, 2020-2:00pm at Mayor's Conference Room, Municipal Compound, Rumbang Poblacion, Rizal, Occidental Mindoro</t>
  </si>
  <si>
    <t xml:space="preserve"> Bid Documents will be available only to prospective bidders upon payment of a non-refundable amount										</t>
  </si>
  <si>
    <t xml:space="preserve"> Interested suppliers are required to submit their valid and current Mayor’s Permit, DTI Registration, BIR Registration, Tax Clearance, Philgeps Registration and price quotation (Annex “A”).</t>
  </si>
  <si>
    <t xml:space="preserve"> Please see attached Bidding Documents for more details.</t>
  </si>
  <si>
    <t xml:space="preserve"> 1.)	105	bd.ft	Coco lumber</t>
  </si>
  <si>
    <t xml:space="preserve"> 1.)	400	bags	Rice</t>
  </si>
  <si>
    <t xml:space="preserve"> 1.	Request Quotation (RFQ) form can be obtained at 110th Contracting Office. AFPPS Canvass Contracting Committee Secretariat, 53rd Engineer Brigade, PA Camp Lapulapu, Cebu City. Submissions of Sealed price Quotation will be at designated price quotation box located on same address and will be opened on date/time as indicated.</t>
  </si>
  <si>
    <t xml:space="preserve"> Quotation shall be submitted via email (lbphobac@mail.landbank.com) not later than August 17, 2020, Monday, 12:00 PM</t>
  </si>
  <si>
    <t xml:space="preserve"> Qoutation with out attached sample consider invalid.</t>
  </si>
  <si>
    <t xml:space="preserve"> To all interested bidder/s or representative/s please follow our Local Inter-Agency Task Force's protocol.</t>
  </si>
  <si>
    <t xml:space="preserve"> The deadline of Submission and opening of the RFQ are as follows:	</t>
  </si>
  <si>
    <t xml:space="preserve"> Table and chair set-ups must comply with the COVID-19 prevention measures.</t>
  </si>
  <si>
    <t xml:space="preserve"> For information inquire at BAC Secretariat of Atimonan, Quezon.</t>
  </si>
  <si>
    <t xml:space="preserve"> "                                                                     GENERAL CONDITIONS</t>
  </si>
  <si>
    <t xml:space="preserve"> Click to DL: https://drive.google.com/file/d/1UMbDoPaOCpRjdU52Pi59KWLpxevoA5xE/view?usp=drivesdk</t>
  </si>
  <si>
    <t xml:space="preserve"> For more information and details, please contact the BAC Secretariat</t>
  </si>
  <si>
    <t xml:space="preserve"> Items will be delivered at SAO Office, AETDC, FAB, lipa City Batangas. Lateral coordination is highly appreciated.</t>
  </si>
  <si>
    <t xml:space="preserve"> A complete set of bidding document may be purchased by interested bidders on August 08, 2020 to September 01, 2020 from the address below upon payment of a non-refundable fee for the bidding documents in the amount of P500.00</t>
  </si>
  <si>
    <t xml:space="preserve"> https://drive.google.com/file/d/1t1ppBr8Jsca_TIojIre4NU19qIxfiqp0/view?usp=drivesdk</t>
  </si>
  <si>
    <t xml:space="preserve"> Items will be delivered at SAO Office, AETDC, FAB, Lipa City, Batangas. Lateral coordination is highly appreciated.</t>
  </si>
  <si>
    <t xml:space="preserve"> https://drive.google.com/file/d/1LMYvv6Jj6XhRJ0y_ukH6Mnxj0b5NaPSt/view?usp=drivesdk</t>
  </si>
  <si>
    <t xml:space="preserve"> 1. Funded under the General Fund, 20% Development Fund with an ABC of Php 116,698.31</t>
  </si>
  <si>
    <t xml:space="preserve"> Please Download the Associated Components</t>
  </si>
  <si>
    <t xml:space="preserve"> The closing date shall be on the 3rd day after the date published on the Philgeps website.</t>
  </si>
  <si>
    <t xml:space="preserve"> SUPPLIER OR BIDDER MUST DOWNLOAD THE ATTACHED DOCUMENT IN THE ASSOCIATED COMPONENT SECTION.</t>
  </si>
  <si>
    <t xml:space="preserve"> Please see the details/items on the attached file in Associated Components</t>
  </si>
  <si>
    <t xml:space="preserve"> https://drive.google.com/file/d/1d04MixEot8ZAJPCrJ0h_y7SMh4NfxcM9/view?usp=drivesdk</t>
  </si>
  <si>
    <t xml:space="preserve"> https://drive.google.com/file/d/1ekgxcwzXExBsWyH5rGMo_lgTjuGKIABB/view?usp=drivesdk</t>
  </si>
  <si>
    <t xml:space="preserve"> 1.00	  	L.S	Mobilization and Demobilization</t>
  </si>
  <si>
    <t xml:space="preserve"> The closing date shall be on the 3rd day after the date published on the Philgeps website</t>
  </si>
  <si>
    <t xml:space="preserve"> Pre-Bid and Opening of Bids will be done through video conference. Bid submission is through online.</t>
  </si>
  <si>
    <t xml:space="preserve"> Kindly download the attached file in the associated component section</t>
  </si>
  <si>
    <t xml:space="preserve"> RFQ# 109CO – 08 – 2020 – 135 is ready and available at 109th CO, AFPPS, Camp Elias Angeles, San Jose, Pili, Camarines Sur</t>
  </si>
  <si>
    <t xml:space="preserve"> https://drive.google.com/file/d/16rTPR-wNPvPC9_X710yhuBbnIHMyVmc8/view?usp=drivesdk</t>
  </si>
  <si>
    <t xml:space="preserve"> Visit BAC Office and Bring the following requirements when acquiring prescribe Quotation Form and other inquiries:</t>
  </si>
  <si>
    <t xml:space="preserve"> See attachments</t>
  </si>
  <si>
    <t xml:space="preserve"> Office of the Principal</t>
  </si>
  <si>
    <t xml:space="preserve"> Instruction for Suppliers on How to View/Download the document:</t>
  </si>
  <si>
    <t xml:space="preserve"> Kindly download the attached file in the associated component section.</t>
  </si>
  <si>
    <t xml:space="preserve"> The PRO 7 BAC will issue a complete set of Bidding Documents upon payment in cash of a non-refundable amount of Five Thousand Pesos (₱ 5,000.00) for the project with ABC of 1M-5M.Prospective Bidders may obtain further information at the PRO 7-BAC Secretariat, PRO 7, Camp Sergio Osmeña Sr., Cebu City at telephone numbers (032) 255-0364 Look for PSSg Ryan D Delos Reyes. </t>
  </si>
  <si>
    <t xml:space="preserve"> to be used as storage of learning packets</t>
  </si>
  <si>
    <t xml:space="preserve"> https://drive.google.com/file/d/1HYtP7ILc31Qhq222oqUK4E-V2vddvcn5/view?usp=drivesdk</t>
  </si>
  <si>
    <t xml:space="preserve"> For other information and queries, visit us at Headquarters 113th Contracting Office, AFPPS, Camp O'Donnell, Brgy Sta Lucia, Capas Tarlac and look for Chief 113th CO, AFPPS. Submission of Request for Quotation must reach to this Office not later than 111000H August 2020 for the opening of Canvass at 113th CO conference room.</t>
  </si>
  <si>
    <t xml:space="preserve"> SUPPLIER NEED FOR FURTHER INFORMATION MAY CONTACT THE FOLLOWING:</t>
  </si>
  <si>
    <t xml:space="preserve"> NOTE: The winning bid shall be determined based on the proposal with the most advantageous financial package cost, provided that the amount of the bid does not exceed the above total budget.</t>
  </si>
  <si>
    <t xml:space="preserve"> For more info please contact Mr. Anthony Bosi @ 8932-6422 loc. 107 or 09213264733</t>
  </si>
  <si>
    <t xml:space="preserve"> BID DOCUMENT IS AVAILABLE AT THE BAC OFFICE DURING OFFICE HOUR.</t>
  </si>
  <si>
    <t xml:space="preserve"> THE BAC WILL ISSUE PROSPECTIVE BIDDER BIDDING DOCUMENTS AT THE MUNICIPALITY OF BACOLOR, BACOLOR, PAMPANGA UPON THEIR PAYMENT OF A NON REFUNDABLE AMOUNT OF P 1,000.00 TO THE BAC SECRETARIAT, THE MUNICIPALITY OF BACOLOR ASSUMES NO RESPONSIBILITY WHATSOEVER TO COMPENSATE OR IDENTIFY BIDDERS FOR ANY EXPENSES INCURRED IN THE PREPARATION OF THEIR BIDS.</t>
  </si>
  <si>
    <t xml:space="preserve"> Barangay Government Unit										</t>
  </si>
  <si>
    <t xml:space="preserve"> SUPPLIERS MUST DOWNLOAD THE ATTACHED DOCUMENT IN THE ASSOCIATED COMPONENT</t>
  </si>
  <si>
    <t xml:space="preserve"> For inquiry, call BAC sec</t>
  </si>
  <si>
    <t xml:space="preserve"> none</t>
  </si>
  <si>
    <t xml:space="preserve"> Please refer to the attached RFQ and TOR for the details of the project</t>
  </si>
  <si>
    <t xml:space="preserve"> The Procuring Entity is Barangay LENGIGON, posted only at the account of Colawin while pending registration.</t>
  </si>
  <si>
    <t xml:space="preserve"> Please download RFQ in the Associated Components for Quotation.</t>
  </si>
  <si>
    <t xml:space="preserve"> NOTE: Please call ATI IV-A for more details</t>
  </si>
  <si>
    <t xml:space="preserve"> The PRO 7 BAC will issue a complete set of Bidding Documents upon payment in cash of a non-refundable amount of Five Thousand Pesos (₱ 5,000.00) for the project with ABC of 1M-5M.Prospective Bidders may obtain further information at the PRO 7-BAC Secretariat, PRO 7, Camp Sergio Osmeña Sr., Cebu City at telephone numbers (032) 255-0364 Look for PSSg Ryan D Delos Reyes.</t>
  </si>
  <si>
    <t xml:space="preserve"> Pleas look for BAC Secretariat / TWG for bidding documents/clarification, failure of submitting necessary documents will be subjected to disqualification</t>
  </si>
  <si>
    <t xml:space="preserve"> Opening Date &amp; Time: August 18, 2020, 10:00 am</t>
  </si>
  <si>
    <t xml:space="preserve"> 1250 pcs Facemask (KN95)</t>
  </si>
  <si>
    <t xml:space="preserve"> SEE ASSOCIATED COMPONENTS</t>
  </si>
  <si>
    <t xml:space="preserve"> with Free Lifetime Service and has an authorized Service Center Based in Naga City, Camarines Sur. </t>
  </si>
  <si>
    <t xml:space="preserve"> https://drive.google.com/file/d/1WVMPo3Ik_hBGIojvC13Cy4UMAgZEzIQe/view?usp=drivesdk</t>
  </si>
  <si>
    <t xml:space="preserve"> . Date of First Publication: AUGUST 08, 2020</t>
  </si>
  <si>
    <t xml:space="preserve"> https://drive.google.com/file/d/1UYvUNmDViaiyy-3bhJNcngVBb-MMiAUr/view?usp=drivesdk</t>
  </si>
  <si>
    <t xml:space="preserve"> ONLY SUPPLIERS FROM BACOLOD CITY WILL BE SHORT LISTED.</t>
  </si>
  <si>
    <t xml:space="preserve"> Criteria: Pass or Fail </t>
  </si>
  <si>
    <t xml:space="preserve"> You may see the Municipal Health Officer, Municipality of Caibiran</t>
  </si>
  <si>
    <t xml:space="preserve"> Bid Openig Venue: BAC Office, 9:00AM</t>
  </si>
  <si>
    <t xml:space="preserve"> BIDDERS MUST DOWNLOAD THE ATTACHED DOCUMENTS IN THE ASSOCIATED COMPONENTS SECTION</t>
  </si>
  <si>
    <t xml:space="preserve"> https://drive.google.com/file/d/13EbDMMjAPg0Jum2U9q16BWAcMekLQK1M/view?usp=drivesdk</t>
  </si>
  <si>
    <t xml:space="preserve"> The Secretariat (BAC)</t>
  </si>
  <si>
    <t xml:space="preserve"> https://drive.google.com/file/d/1vjaRpspNNugF3Lhm-gd11-wLfP9I5ZkG/view?usp=drivesdk</t>
  </si>
  <si>
    <t xml:space="preserve"> * SUPPLIER  SHOULD BE WITHIN THE LOCALITIES OR NEARBY AREAS OF BAGUIO CITY</t>
  </si>
  <si>
    <t xml:space="preserve"> Bid opening shall be on August 27, 2020 at 9:00 A.M. at the Municipal Hall, Poblacion, Santa Fe, Romblon</t>
  </si>
  <si>
    <t xml:space="preserve"> Please submit your quotation and legal documents on or before 13 AUGUST 2020 thru email at christian_serrano@tpb.gov.ph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</si>
  <si>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https://drive.google.com/file/d/1AatwWOrxBnVdh2qJ41E86_yuBjp5zFbn/view?usp=drivesdk</t>
  </si>
  <si>
    <t xml:space="preserve"> Please see attached Bidding Document</t>
  </si>
  <si>
    <t xml:space="preserve"> https://drive.google.com/file/d/1BPcvyqTBsy3qGGBz1tPVuvU4P9Wv4t7V/view?usp=drivesdk</t>
  </si>
  <si>
    <t xml:space="preserve"> For clarifications, just contact the BAC Secretariat of DOH CHD-NM at telephone # (088) 858-7123 local 227 in JV Seriña St., Carmen, Cagayan de Oro City from Monday until Friday (8:00 am to 5:00 pm). Just look for Ms. Marilou A. Gecosala, the Head of Procurement Unit.</t>
  </si>
  <si>
    <t xml:space="preserve"> Please see attached RFQ found in the Associated Components for the specifications.</t>
  </si>
  <si>
    <t xml:space="preserve"> • Similar Contracts: Supply, Delivery, Test and Commissioning of Diesel Power Generations Systems with aggregate output capacity of at least 5.0 MW e.</t>
  </si>
  <si>
    <t xml:space="preserve"> * SUPPLIER  MUST BE WITHIN THE LOCALITIES OR NEARBY AREAS OF BAGUIO CITY</t>
  </si>
  <si>
    <t xml:space="preserve"> https://drive.google.com/file/d/1jmKKbCObJfzEFcErymRn_HqUiXPJGhp1/view?usp=drivesdk</t>
  </si>
  <si>
    <t xml:space="preserve"> SOURCE OF FUND: SB 1-2020</t>
  </si>
  <si>
    <t xml:space="preserve"> Please download the canvass in the associated component.</t>
  </si>
  <si>
    <t xml:space="preserve"> ***Please copy the link below and paste to the web browser to download the attached RFQ form.</t>
  </si>
  <si>
    <t xml:space="preserve"> PLEASE SEE/READ AND AGREE TO THE ATTACHED TERMS OF REFERENCES.</t>
  </si>
  <si>
    <t xml:space="preserve"> Contact 4354619</t>
  </si>
  <si>
    <t xml:space="preserve"> Quotation shall be submitted via email (lbphobac@mail.landbank.com) not later than August 17, 2020, Monday, 12:00 P.M.</t>
  </si>
  <si>
    <t xml:space="preserve"> https://drive.google.com/file/d/1S-FyTwGYic_bd4tTy8-bPLVXs-pfvaJ1/view?usp=drivesdk</t>
  </si>
  <si>
    <t xml:space="preserve"> PLEASE SEE/READ AND AGREE TO THE ATTACHED TERMS OF REFERENCES</t>
  </si>
  <si>
    <t xml:space="preserve"> Please download Invitation to Bid and Bid Documents</t>
  </si>
  <si>
    <t xml:space="preserve"> Mayor's Permit</t>
  </si>
  <si>
    <t xml:space="preserve"> You may also contact Mrs. Basilisa T. Kho BAC Chairman (034) 7090566</t>
  </si>
  <si>
    <t xml:space="preserve"> Above materials should be delivered at Kapatagan Water District Office 7 days after receipt of the Purchase Order. Penalty shall be imposed for the delay of the delivery of the materials.</t>
  </si>
  <si>
    <t xml:space="preserve"> Pls. See BAC Secretariat for further information.</t>
  </si>
  <si>
    <t xml:space="preserve"> Contact Person:  Mary Grace B. Katigbak</t>
  </si>
  <si>
    <t xml:space="preserve"> Please download RFQ online under Associated Components.</t>
  </si>
  <si>
    <t xml:space="preserve"> https://drive.google.com/file/d/1QlSFpkGaOVGqneRWZ2l5g4tRmuMK9SJo/view?usp=drivesdk</t>
  </si>
  <si>
    <t xml:space="preserve"> FOR MORE INFO AND CLARIFICATION, PLEASE SEE HEAD-BAC SECRETARIAT, ENGR. CATHERINE B. CAPILI AT ENGINEERING OFFICE FROM MONDAY TO FRIDAY (8:00 A.M. TO 5:00 P.M.)</t>
  </si>
  <si>
    <t xml:space="preserve"> https://drive.google.com/file/d/1blg_bfibgfmyqM8xKLRkUkV95mVY4KmM/view?usp=drivesdk</t>
  </si>
  <si>
    <t xml:space="preserve"> PLEASE SEE ATTACHED REQUEST FOR QUOTATION (RFQ), PURCHASE REQUISITION (PR) &amp; TERMS OF REFERENCE (TOR).</t>
  </si>
  <si>
    <t xml:space="preserve"> List of Requirements:</t>
  </si>
  <si>
    <t xml:space="preserve"> BIDDER MUST DOWNLOAD THE ATTACHED DOCUMENT IN THE ASSOCIATED COMPONENT SECTION.</t>
  </si>
  <si>
    <t xml:space="preserve"> PLEASE SEE/READ AND AGREE TO THE ATTACHED TERM OF REFERENCES.</t>
  </si>
  <si>
    <t xml:space="preserve"> BID DOCS PHP500.00</t>
  </si>
  <si>
    <t xml:space="preserve"> FOR INQUIRY PLEASE PROCEED TO BAC OFFICE</t>
  </si>
  <si>
    <t xml:space="preserve"> https://drive.google.com/file/d/13QO46KlXdUmRjpd_uYR1bmlULtrPQSON/view?usp=drivesdk</t>
  </si>
  <si>
    <t xml:space="preserve"> https://drive.google.com/file/d/1MW-n198UiKyIJxMdLDGnFTjKWxrH3vTx/view?usp=drivesdk</t>
  </si>
  <si>
    <t xml:space="preserve"> Please see attached  RFQ in the associate component</t>
  </si>
  <si>
    <t xml:space="preserve"> Last day of submission of quotation is on August 11, 2020 9:00am.</t>
  </si>
  <si>
    <t xml:space="preserve"> Opening of Bids</t>
  </si>
  <si>
    <t xml:space="preserve"> Please see attached bidding document in associated component</t>
  </si>
  <si>
    <t xml:space="preserve"> Suppliers must download the attached in the associated component section.</t>
  </si>
  <si>
    <t xml:space="preserve"> Please contact BAC Secretariat for more details on the said project.</t>
  </si>
  <si>
    <t xml:space="preserve"> https://drive.google.com/file/d/1y5BMq4QHlwReZVFCU-qhUwlH7RTtcFQl/view?usp=drivesdk</t>
  </si>
  <si>
    <t xml:space="preserve"> Please see attached Request for Quotation for the details***</t>
  </si>
  <si>
    <t xml:space="preserve"> 20,000 pouch/box Fortified Powdered Milk Drink</t>
  </si>
  <si>
    <t xml:space="preserve"> Please contact BAC Secretary for any query.</t>
  </si>
  <si>
    <t xml:space="preserve"> *Suppliers must download the attached in the associated component section.</t>
  </si>
  <si>
    <t xml:space="preserve"> https://drive.google.com/file/d/1j33-qHxuURDg7u7kBd9BvhKZqgbdTBlD/view?usp=drivesdk</t>
  </si>
  <si>
    <t xml:space="preserve"> Also available at DPWH website.</t>
  </si>
  <si>
    <t xml:space="preserve"> All suppliers must submit their quotation together with the following:</t>
  </si>
  <si>
    <t xml:space="preserve"> SUPPLIERS MUST DOWNLOAD THE ATTACHED DOCUMENTS IN THE ASSOCIATED COMPONENTS SECTION</t>
  </si>
  <si>
    <t xml:space="preserve"> Request for Quotation (RFQ) Documents Alternative download link: 300</t>
  </si>
  <si>
    <t xml:space="preserve"> Other Information:</t>
  </si>
  <si>
    <t xml:space="preserve"> for inquiry please contact @ 2050-293 BAC or BAC Secretariat</t>
  </si>
  <si>
    <t xml:space="preserve"> https://drive.google.com/file/d/1NBUD29wkqe9eAQE0dreBasNnkJmHUyI6/view?usp=drivesdk</t>
  </si>
  <si>
    <t xml:space="preserve"> Contact Person 			FARHAN M. AMBIONG</t>
  </si>
  <si>
    <t xml:space="preserve"> Kindly send us your quotation thru our email address.</t>
  </si>
  <si>
    <t xml:space="preserve"> Please send us your quotation thru our email address.</t>
  </si>
  <si>
    <t xml:space="preserve"> 9.	For further information, please refer to:</t>
  </si>
  <si>
    <t xml:space="preserve"> Please contact our School Personnel for more details and specification of our KERIS Module.</t>
  </si>
  <si>
    <t xml:space="preserve"> ALL INTERESTED BIDDERS ARE REQUIRED TO SUBMIT THEIR COMPLETE ELIGIBILITY REQUIREMENTS TO THE BAC FOR EVALUATION DURING THE PRE-BID CONFERENCE ON AUGUST 14, 2020 1:00P.M. AT THE DASMARIÑAS COMMUNITY AFFAIRS (DASCA) BUILDING LOCATED AT BRGY. BUROL I, CITY OF DASMARIÑAS, CAVITE. BIDDERS WHO SHALL FAIL TO ATTEND THE PRE-BID SHALL NOT BE ALLOWED TO JOIN THE BIDDING FOR THE AFORESAID PROJECT. </t>
  </si>
  <si>
    <t xml:space="preserve"> Stock	Unit	Item Description	Qty.</t>
  </si>
  <si>
    <t xml:space="preserve"> 3  units	1000 Liter Intermediate Bulk Container</t>
  </si>
  <si>
    <t xml:space="preserve"> No.  unit     Description	                                       Qty.</t>
  </si>
  <si>
    <t xml:space="preserve"> Pre-Bid will be on August 13, 2020 at 9:00 A.M via Zoom Tele-Conferencing please feel free to Call or Send a text message our Head of ICT (09266556047)</t>
  </si>
  <si>
    <t xml:space="preserve"> Cycle	Pills (branded)	1500</t>
  </si>
  <si>
    <t xml:space="preserve"> Unit	Item Description	Qty.</t>
  </si>
  <si>
    <t xml:space="preserve"> For Item No. 2</t>
  </si>
  <si>
    <t xml:space="preserve"> The BAC shall issue bidding documents upon payment of One Thousand Pesos Only  (Php1,000.00) to the disbursing/ collecting officer of the LGU.</t>
  </si>
  <si>
    <t xml:space="preserve"> stock         Unit	Item Description	Qty.</t>
  </si>
  <si>
    <t xml:space="preserve"> Required Documents:</t>
  </si>
  <si>
    <t xml:space="preserve"> Purpose:  for Water Treatment Plant &amp; Pumping Plant.</t>
  </si>
  <si>
    <t xml:space="preserve"> GREEN SPECIFICATIONS: </t>
  </si>
  <si>
    <t xml:space="preserve"> BAC ACTIVITIES	SCHEDULE</t>
  </si>
  <si>
    <t xml:space="preserve"> ALL INTERESTED BIDDERS ARE REQUIRED TO SUBMIT THEIR COMPLETE ELIGIBILITY REQUIREMENTS TO THE BAC FOR EVALUATION DURING THE PRE-BID CONFERENCE ON AUGUST 14, 2020 1:00 P.M. AT THE DASMARIÑAS COMMUNITY AFFAIRS (DASCA) BUILDING LOCATED AT BRGY. BUROL I, CITY OF DASMARIÑAS, CAVITE. BIDDERS WHO SHALL FAIL TO ATTEND THE PRE-BID SHALL NOT BE ALLOWED TO JOIN THE BIDDING FOR THE AFORESAID PROJECT. </t>
  </si>
  <si>
    <t xml:space="preserve"> ALL INTERESTED BIDDERS ARE REQUIRED TO SUBMIT THEIR COMPLETE ELIGIBILITY REQUIREMENTS TO THE BAC FOR EVALUATION DURING THE PRE-BID CONFERENCE ON AUGUST 14, 2020 1:00 P.M. AT THE DASMARIÑAS COMMUNITY AFFAIRS (DASCA) BUILDING, BRGY. BUROL I, CITY OF DASMARIÑAS, CAVITE. BIDDERS WHO SHALL FAIL TO ATTEND THE PRE-BID SHALL NOT BE ALLOWED TO JOIN THE BIDDING FOR THE AFORESAID PROJECT. </t>
  </si>
  <si>
    <t xml:space="preserve"> Project Reference no. GS100-20-08-240</t>
  </si>
  <si>
    <t xml:space="preserve"> Request for Quotation (RFQ) Documents Alternative download link: </t>
  </si>
  <si>
    <t xml:space="preserve"> Also available at DPWH website</t>
  </si>
  <si>
    <t xml:space="preserve"> SOURCE OF FUND: SB 2-2020</t>
  </si>
  <si>
    <t xml:space="preserve"> Links to download the plans</t>
  </si>
  <si>
    <t xml:space="preserve"> https://drive.google.com/file/d/18HOul5YRbZ09DNUldM7kQeFcmNjVEeRw/view?usp=drivesdk</t>
  </si>
  <si>
    <t xml:space="preserve"> Please see the attached in the associated components</t>
  </si>
  <si>
    <t xml:space="preserve"> Bidders/Suppliers Must Download the Attached Document in the Associated Component Section </t>
  </si>
  <si>
    <t xml:space="preserve"> For details, please contact Ms. Clarita Tamayo, Supply Officer</t>
  </si>
  <si>
    <t xml:space="preserve"> Bid Documents will be available only to prospective bidders upon payment of a non-refundable amount of one thousand pesos (Php500.00) to the Office of the Barangay Treasurer Cashier.</t>
  </si>
  <si>
    <t xml:space="preserve"> https://drive.google.com/file/d/1MO1nTHLiIpCK1EnwCV3FwZR5Fx1PiVNf/view?usp=drivesdk</t>
  </si>
  <si>
    <t xml:space="preserve"> 10 pcs. Headlamp (water resistant)</t>
  </si>
  <si>
    <t xml:space="preserve"> https://drive.google.com/file/d/1rFmRTQYTVpaSx4fBwjptS-htYOPXTFRP/view?usp=drivesdk</t>
  </si>
  <si>
    <t xml:space="preserve"> Date of Publication - August 07, 2020</t>
  </si>
  <si>
    <t xml:space="preserve"> https://drive.google.com/file/d/1Djw3iQ4-m6jWdsvIrRs8zH0w4HTrzoDg/view?usp=drivesdk</t>
  </si>
  <si>
    <t xml:space="preserve"> Purpose: To be use for the Foot Hand Washing and Disinfection stations for health and sanitatio</t>
  </si>
  <si>
    <t xml:space="preserve"> See RFQ</t>
  </si>
  <si>
    <t xml:space="preserve"> Purpose: To maintain reasonable stocks of common goods, office and school supplies necessary in the operation of different colleges and offices for 3rd and 4th quarter.</t>
  </si>
  <si>
    <t xml:space="preserve"> The BAC shall issue bidding documents upon payment of Five Thousand Pesos Only (Php5,000.00) to the disbursing/ collecting officer of the LGU.</t>
  </si>
  <si>
    <t xml:space="preserve"> LOOK FOR TREASURER MARIKITA CRUZ</t>
  </si>
  <si>
    <t xml:space="preserve"> None</t>
  </si>
  <si>
    <t xml:space="preserve"> For some concerns please contact the BAC Chairman/BAC Secretariat on CP# 09278701113 and 09087254959</t>
  </si>
  <si>
    <t xml:space="preserve"> you may also contact : Judy Anne V. Yabut</t>
  </si>
  <si>
    <t xml:space="preserve"> Please copy the link below, save and print for a copy of Bidding Document</t>
  </si>
  <si>
    <t xml:space="preserve"> Please call 0998-247-0239 / 0906-256-9238 for other details...</t>
  </si>
  <si>
    <t xml:space="preserve"> see PB of San Vicente Alcala Pangasinan</t>
  </si>
  <si>
    <t xml:space="preserve"> completed and delivered after three days upon receiving the original copy of module</t>
  </si>
  <si>
    <t xml:space="preserve"> ***Please see attached Request for Quotation...</t>
  </si>
  <si>
    <t xml:space="preserve"> completed and delivered after three days upon receiving the original copies</t>
  </si>
  <si>
    <t xml:space="preserve"> PLEASE SEE ATTACHED DOCUMENTS IN THE ASSOCIATED COMPONENTS</t>
  </si>
  <si>
    <t xml:space="preserve"> For further information, please refer to:		</t>
  </si>
  <si>
    <t xml:space="preserve"> Also available at the DPWH Website.</t>
  </si>
  <si>
    <t xml:space="preserve"> Please see attached ITB and Bid Documents</t>
  </si>
  <si>
    <t xml:space="preserve"> for more information just contact barangay secretariat of Barangay Cordova Norte Tigbauan, Iloilo</t>
  </si>
  <si>
    <t xml:space="preserve"> Availability of Bid Documents: August 07-26, 2020; 8:00 AM-5:00 PM; Monday through Friday</t>
  </si>
  <si>
    <t xml:space="preserve"> https://drive.google.com/file/d/13nF4s9EOi4h3vnINM1xLXyNTF7uV5KDR/view?usp=drivesdk</t>
  </si>
  <si>
    <t xml:space="preserve"> Subject to the submission of the following requirements:</t>
  </si>
  <si>
    <t xml:space="preserve"> For more information, please see or contact the BAC Members of Brgy. Tula Tula Norte, Magallanes, Sorsogon.</t>
  </si>
  <si>
    <t xml:space="preserve"> The BAC has the sole responsibility to accept and reject incomplete bids. The cost of Bid Documents is P5,000.00 which is non-refundable.</t>
  </si>
  <si>
    <t xml:space="preserve"> RFQ is available at the BAC Office during Office Hour.</t>
  </si>
  <si>
    <t xml:space="preserve"> I.  To be funded under General Fund, with an ABC of Php 14,400,000.00</t>
  </si>
  <si>
    <t xml:space="preserve"> https://drive.google.com/file/d/16yG-G2vm67dbM_PTeUAzn6ixeAxUxUSU/view?usp=drivesdk</t>
  </si>
  <si>
    <t xml:space="preserve"> Any requests for additional information concerning this bidding shall be directed to the following:</t>
  </si>
  <si>
    <t xml:space="preserve"> Toilet Paper-Preferably use of biodegradable raw materials, Preferably made of recycled materials, if not, it must be sourced out from a well-managed tree plantation, Preferably at least Elemental Chlorine Free (ECF).</t>
  </si>
  <si>
    <t xml:space="preserve"> 1. Bidders must download the attached document in the associated component section and can also be downloaded for free at www.ilocossur.gov.ph.</t>
  </si>
  <si>
    <t xml:space="preserve"> The BAC has the sole responsibility to accept and reject incomplete bids. The cost of Bid Documents is P500.00 which is non-refundable.</t>
  </si>
  <si>
    <t xml:space="preserve"> ***Please see attached Request for Quotation....</t>
  </si>
  <si>
    <t xml:space="preserve"> All bidders must download the attached document in the associated component section.</t>
  </si>
  <si>
    <t xml:space="preserve"> For more information please visit or contact the BAC Secretariat at Brgy New Carcar, La Libertad Z.N</t>
  </si>
  <si>
    <t xml:space="preserve"> Reservation Clause:</t>
  </si>
  <si>
    <t xml:space="preserve"> https://drive.google.com/file/d/1WJsdaKpV6-agfmjXr1_omG7We8VXYR7P/view?usp=drivesdk</t>
  </si>
  <si>
    <t xml:space="preserve"> Description for item nos. 1, 2 and 3</t>
  </si>
  <si>
    <t xml:space="preserve"> You may see the Municipal Agriculturist, Municipality of Caibiran</t>
  </si>
  <si>
    <t xml:space="preserve"> Please contact the Procurement Unit for your question and clarifications at 09265678922 or you may visit us Monday to Friday from 8:00AM to 5:00PM.</t>
  </si>
  <si>
    <t xml:space="preserve"> RFQs and documentary requirements may be submitted at the BAC Office or at email address at wvsbac.procurement@gmail.com on or before August 13, 2020, 5:00 pm.</t>
  </si>
  <si>
    <t xml:space="preserve"> Please be informed that the Bid Documents can't be downloaded from the website. Prospective bidders are requested to acquire the documents directly and personally from the BAC Secretariat upon payment at the Barangay Treasurer a corresponding fee of Php 500.00 for the said project.</t>
  </si>
  <si>
    <t xml:space="preserve"> A complete set of Bidding Documents may be acquired by interested Bidders on August 7, 2020 from the address below and upon payment of a nonrefundable fee for the Bidding Documents, pursuant to the latest Guidelines issued by the GPPB, in the amount One Thousand pesos only (Php 1,000.00).</t>
  </si>
  <si>
    <t xml:space="preserve"> PLEASE SEE ATTACHED PR IN THE INITIATED COMPONENT</t>
  </si>
  <si>
    <t xml:space="preserve"> BIDDERS MUST DOWNLOAD ELECTRONIC COPY OF BIDDING DOCUMENTS IN THE LINK BELOW:</t>
  </si>
  <si>
    <t xml:space="preserve"> For more details please call/visit BAC Secretariat @ LGU POLANCO, Polanco, Z. N.</t>
  </si>
  <si>
    <t xml:space="preserve"> SEE ATTACHED SUPPORTING DOCUMENTS</t>
  </si>
  <si>
    <t xml:space="preserve"> Bidders must download the attached document in the associated component section and can also be downloaded for free at www.ilocossur.gov.ph.</t>
  </si>
  <si>
    <t xml:space="preserve"> Please Quote your lowest price on the item/s listed above, subject to the General Conditions, stating the shortest time of delivery and submit your quotation duly signed by your representative not later than August 11, 2020, 9:00 A.M. at the Bids and Awards Committee Office, 3rd Floor, Provincial Capitol Building, Bontoc, Mountain Province.</t>
  </si>
  <si>
    <t xml:space="preserve"> The Local Government Unit of the Island Garden City of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</si>
  <si>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For Particulars: Inquire at BAC Secretariat of Atimonan, Quezon</t>
  </si>
  <si>
    <t xml:space="preserve"> Please download associated component/s</t>
  </si>
  <si>
    <t xml:space="preserve"> PRE-BID CONFERENCE WILL BE ON AUGUST 14, 2020, 2:00 PM AT MUNICIPAL HALL, SIBULAN, NEGROS ORIENTAL</t>
  </si>
  <si>
    <t xml:space="preserve"> For more details you may call/visit BAC Secretariat @ LGU POLANCO, Polanco, Z. N.</t>
  </si>
  <si>
    <t xml:space="preserve"> Please contact the Procurement Unit for your question and clarifications or you may visit us Monday to Friday from 8:00AM to 5:00PM.</t>
  </si>
  <si>
    <t xml:space="preserve"> PRE-BID CONFERENCE WILL BE ON AUGUST 14, 2020, 2:00 PM AT MUNICIPAL HALL, SIBULAN, NEGROS ORIENTAL AND OPENING OF BIDS WILL BE ON AUGUST 26, 2020, 2:00 PM AT THE SAME VENUE</t>
  </si>
  <si>
    <t xml:space="preserve"> Bidding Activities	Schedule / Venue</t>
  </si>
  <si>
    <t xml:space="preserve"> Copy and Paste in the browser the link below to view RFQ:</t>
  </si>
  <si>
    <t xml:space="preserve"> FOR COMMON USE OFFICE SUPPLIES</t>
  </si>
  <si>
    <t xml:space="preserve"> Request for Quotation (RFQ) Documents Alternative download link:</t>
  </si>
  <si>
    <t xml:space="preserve"> Pre-Bid Conference	2:00 P.M. August 13, 2020	DPWH Pampanga 2nd DEO BAC-Office</t>
  </si>
  <si>
    <t xml:space="preserve"> All quotations will be collated and checked a day after the 7 days posting.</t>
  </si>
  <si>
    <t xml:space="preserve"> Bidder / Supplier must download the attached documents in Associated Components.</t>
  </si>
  <si>
    <t xml:space="preserve"> To be deliver and install at MAMFIC, Fd. Rd. 3, Tibal-og, Sto. Tomas, Davao del Norte,  on or before October 15, 2020.</t>
  </si>
  <si>
    <t xml:space="preserve"> This office resorts to the Alternative Method of Procurement provided for under 52.1.b, IRR, RA 9184 which is Shopping, and thus, we request for the submission of price quotations for ordinary or regular office supplies and equipment not available in the Procurement Service involving an amount not exceeding P500, 000.00 (as prescribed in Annex "H" of IRR, RA 9184) to be procured directly from suppliers of known qualifications. </t>
  </si>
  <si>
    <t xml:space="preserve"> Bidding will be conducted through open competitive bidding procedures using a non-discretionary “pass/fail” criterion as specified in the Implementing Rules and Regulations (IRR) of Republic Act (RA) 9184, otherwise known as the “Government Procurement Reform Act”.</t>
  </si>
  <si>
    <t xml:space="preserve"> For more details you may call.visit BAC Secretariat @ LGU POLANCO, Polanco, Z. N.</t>
  </si>
  <si>
    <t xml:space="preserve"> Bidding Documents may be secured from the Bids and Awards Committee, Office of the Municipal Mayor upon payment to the MTO Cashier of a non-refundable amount of ₱ 10,000.00. </t>
  </si>
  <si>
    <t xml:space="preserve"> SUPPLIERS/BIDDERS MUST DOWNLOAD THE ATTACHED DOCUMENT IN THE ASSOCIATED COMPONENT SECTION.</t>
  </si>
  <si>
    <t xml:space="preserve"> Submission of Bids August 7, 2020 until September 1, 2020 @12noon</t>
  </si>
  <si>
    <t xml:space="preserve"> BID OPENING: AUGUST 14, 2020   3:45PM  BAC OFFICE, MUNICIPAL HALL, STA. MARCELA, APAYAO</t>
  </si>
  <si>
    <t xml:space="preserve"> Submit your quotation at BAC Secretariat office 2nd Floor, Municipal building, New Bataan, Davao de Oro, or you can also email your quotation at bacnewbataan@gmail.com.</t>
  </si>
  <si>
    <t xml:space="preserve"> Download RFQ and Memo at the associated components and submit both documents.</t>
  </si>
  <si>
    <t xml:space="preserve"> https://drive.google.com/file/d/10Z_TMXeBqc_Vvt_pShvaV4kTyLLFXETK/view?usp=drivesdk</t>
  </si>
  <si>
    <t xml:space="preserve"> Concreting of Barangay Road &amp; Construction of Line Canal amounting P260,130.00</t>
  </si>
  <si>
    <t xml:space="preserve"> Please look for BAC Secretary/TWG for bidding documents/clarification,failure of submitting necessary documents will be subjected to disqualification.</t>
  </si>
  <si>
    <t xml:space="preserve"> The BAC has the sole responsibility to accept and reject incomplete bids. The cost of Bid Documents is P1,000.00 which is non-refundable.</t>
  </si>
  <si>
    <t xml:space="preserve"> Bidding Date - August 27, 2020, 2:00PM at the Municipal Conference Hall, Galimuyod, Ilocos Sur</t>
  </si>
  <si>
    <t xml:space="preserve"> SOF: NPC TRUST FUND</t>
  </si>
  <si>
    <t xml:space="preserve"> Preferred supplier must be within Pampanga Area only for faster transactions.</t>
  </si>
  <si>
    <t xml:space="preserve"> 1. Any specifications other than those required/stated to this form shall not be considered in the evaluation of bid.</t>
  </si>
  <si>
    <t xml:space="preserve"> Publication - August 7-14, 2020</t>
  </si>
  <si>
    <t xml:space="preserve"> Please look for BAC Secretary/TWG for bidding documents/clarification, failure of submitting necessary documents will be subjected to disqualification.</t>
  </si>
  <si>
    <t xml:space="preserve"> For Particular, Inquire at BAC Secretariat of Brgy. Kulawit, Atimonan, Quezon</t>
  </si>
  <si>
    <t xml:space="preserve"> https://drive.google.com/file/d/1Dy3RpiOPTkczLlJB14Mj0XWzNE4SeALt/view?usp=drivesdk</t>
  </si>
  <si>
    <t xml:space="preserve"> contact BAC Secretariat</t>
  </si>
  <si>
    <t xml:space="preserve"> Other documents is available at BAC Office</t>
  </si>
  <si>
    <t xml:space="preserve"> FOR OK SA DEPED SERVICES</t>
  </si>
  <si>
    <t xml:space="preserve"> https://drive.google.com/file/d/1n14vFrrlUavyIR0tmBSgkUrktFbVjV8R/view?usp=drivesdk</t>
  </si>
  <si>
    <t xml:space="preserve"> SOF: 1011- Repair and Maintenance - Infrastructure Assets </t>
  </si>
  <si>
    <t xml:space="preserve"> UPLOADED DOCS ARE ALSO UPLOADED IN DPWH WEBSITE</t>
  </si>
  <si>
    <t xml:space="preserve"> https://drive.google.com/file/d/1yR8K8gmjzgO5WAJ1-u9LqKUinFsDGlKr/view?usp=drivesdk</t>
  </si>
  <si>
    <t xml:space="preserve"> Please visit BAC Office, Villakapa San Pablo Zambo. Sur</t>
  </si>
  <si>
    <t xml:space="preserve"> Submission of sealed envelopes and opening of bids: August 27, 2020/ 10:00 A.M./ Alimodian Municipal Conference Room</t>
  </si>
  <si>
    <t xml:space="preserve"> 1	 156 	vial	0.9% Sodium Chloride 50ml	 9,409.92 </t>
  </si>
  <si>
    <t xml:space="preserve"> 1.	Drinking Water Disinfectant, 100 ml/Bottle	4,000	Bottles	260,000.00	On or Before October 30, 2020	DOH – WV CHD</t>
  </si>
  <si>
    <t xml:space="preserve"> 1	5	pack	Activated Charcoal Sachet	 990.00 </t>
  </si>
  <si>
    <t xml:space="preserve"> 1 		150				Vials				0.9% Saline, 50 ml.													9,048.00	</t>
  </si>
  <si>
    <t xml:space="preserve"> For more Information and details please contact the Secretariat, BAC Office, LGU Tigbauan, Iloilo at (033) 511-8790.</t>
  </si>
  <si>
    <t xml:space="preserve"> SUPPLEMENTAL/BID BULLETIN</t>
  </si>
  <si>
    <t xml:space="preserve"> NOTE: BUDGET AMOUNT IS INCLUSIVE OF VAT</t>
  </si>
  <si>
    <t xml:space="preserve"> 1.	N95 MASK (20’s / box) 	100	Boxes	304,000.00	Within 60 Calendar Days from receipt of NTP	DOH – WV CHD</t>
  </si>
  <si>
    <t xml:space="preserve"> It will be appreciated if we can have your SEALED QUOTATION to be dropped at:</t>
  </si>
  <si>
    <t xml:space="preserve"> Please see attached details</t>
  </si>
  <si>
    <t xml:space="preserve"> BID OPENING: AUGUST 26, 2020  1:00PM  BAC OFFICE, MUNICIPAL HALL, STA. MARCELA, APAYAO</t>
  </si>
  <si>
    <t xml:space="preserve"> Printing of Modules Grade 2 to Grade 6</t>
  </si>
  <si>
    <t xml:space="preserve"> Unipolar Electrosurgical Cautery Unit </t>
  </si>
  <si>
    <t xml:space="preserve"> BIDDER NEED FOR FURTHER INFORMATION MAY CONTACT THE FOLLOWING:</t>
  </si>
  <si>
    <t xml:space="preserve"> 1.	Lubricated Male Condoms	134,862	Pieces	1,078,896.00	Within 4th Quarter of 2020	DOH – WV CHD</t>
  </si>
  <si>
    <t xml:space="preserve"> Please follow this link for the complete bidding documents and other attachments: </t>
  </si>
  <si>
    <t xml:space="preserve"> Refer to:</t>
  </si>
  <si>
    <t xml:space="preserve"> 1. Facemask Brand MUST not be from China.</t>
  </si>
  <si>
    <t xml:space="preserve"> https://drive.google.com/file/d/1dx1kQJBc1msaBu2mOCVdrycctwDtAadM/view?usp=drivesdk</t>
  </si>
  <si>
    <t xml:space="preserve"> 1.		Risograph Machine		5	unit</t>
  </si>
  <si>
    <t xml:space="preserve"> 1.	HIGH LOW OXYGEN NASAL CANNULA	200	Units	500,000.00	Within 30 Calendar Days from receipt of the NTP	Dr. Rafael S. Tumbokon Memorial Hospital (50), Roxas Memorial Provincial Hospital (50), Dr. Catalino G. Nava Provincial Hospital (50) and Iloilo Provincial Hospital (50)</t>
  </si>
  <si>
    <t xml:space="preserve"> https://drive.google.com/file/d/18Tcgk6Y1BhgfjO0gbUIY7g0cfaVzB41Z/view?usp=drivesdk</t>
  </si>
  <si>
    <t xml:space="preserve"> For more Information and details please contact the BAC Secretariat, LGU Tigbauan at (033) 511-8790.</t>
  </si>
  <si>
    <t xml:space="preserve"> INTERESTED BIDDER MUST PRESENT A VALID COMPANY ID, AUTHORIZED PERSONNEL SHALL BEAR THE ID OF PERSON BEING REPRESENTED, SPA AND HIS/HER VALID ID. FAILURE TO COMPLY WILL BE CONSIDERED AS BOGUS/HOAX/DUMMY AND WILL NOT BE ENTERTAINED.</t>
  </si>
  <si>
    <t xml:space="preserve"> Schedule of delivery: Every Monday</t>
  </si>
  <si>
    <t xml:space="preserve"> It will be appreciated if we can have your quotation SENT VIA EMAIL to:</t>
  </si>
  <si>
    <t xml:space="preserve"> SUPPLIERS/ BIDDERS MUST DOWNLOAD THE ATTACHED DOCUMENT IN ASSOCIATED COMPONENT SECTION.</t>
  </si>
  <si>
    <t xml:space="preserve"> 1. Date of First Publication: AUGUST 07, 2020</t>
  </si>
  <si>
    <t xml:space="preserve"> Please submit all documentary requirements specified in the Request for Quotation (RFQ)</t>
  </si>
  <si>
    <t xml:space="preserve"> Please the BAC Secretariat for the documents</t>
  </si>
  <si>
    <t xml:space="preserve"> 1.		Amlodipine 10 mg Tablet	77,120	Tablets	57,068.80	Within 30 Calendar Days from receipt of NTP	Based on Allocation Lists</t>
  </si>
  <si>
    <t xml:space="preserve"> 1.		Biperiden Hydrochloride, 2mg/Tablet	45,435	Tablets	238,988.10	Within 4th Quarter of 2020	DOH – WV CHD</t>
  </si>
  <si>
    <t xml:space="preserve"> bring the following when buying bid documents</t>
  </si>
  <si>
    <t xml:space="preserve"> SEE ATTACHED DOCUMENT FOR THE DESCRIPTION</t>
  </si>
  <si>
    <t xml:space="preserve"> ELIGIBILITY CHECK REQUIREMENTS FOR THE PROCUREMENT OF GOODS</t>
  </si>
  <si>
    <t xml:space="preserve"> Please place your quotation along with the documentary requirements in a SEALEDenvelop, properly marked with the following details:</t>
  </si>
  <si>
    <t xml:space="preserve"> A complete set of Bidding Documents may be acquired by interested bidders on AUGUST 7, 2020 to AUGUST 27, 2020 from 8:00AM to 5:00PM at the Office of the Bids and Awards Committee, 3rd Floor, Provincial Capitol, Bontoc, Mountain Province upon payment of the applicable fee for the Bidding Documents, pursuant to the latest Guidelines issued by the GPPB, in the amount of One Thousand Pesos Only (Php1,000.00) at the Cashier’s Office, Provincial Capitol, Bontoc, Mountain Province.</t>
  </si>
  <si>
    <t xml:space="preserve"> 20IH0110 (ITB, Bid Docs, POW)</t>
  </si>
  <si>
    <t xml:space="preserve"> Item Number	Description	Quantity	Unit</t>
  </si>
  <si>
    <t xml:space="preserve"> Deadline of submission of quotation is on August 11, 2020 at 8:00 AM.</t>
  </si>
  <si>
    <t xml:space="preserve"> 20IH0109 (ITB, Bid Docs, POW)</t>
  </si>
  <si>
    <t xml:space="preserve"> Add'l. Specifications:</t>
  </si>
  <si>
    <t xml:space="preserve"> 20IH0108 (ITB, Bid Docs, POW)</t>
  </si>
  <si>
    <t xml:space="preserve"> https://drive.google.com/file/d/1dcwk7odnPPybkhfkDCrg_RoSZiQ8l-qj/view?usp=drivesdk</t>
  </si>
  <si>
    <t xml:space="preserve"> VILMA B LLANETA</t>
  </si>
  <si>
    <t xml:space="preserve"> Please check link below to download Plan.</t>
  </si>
  <si>
    <t xml:space="preserve"> 1 		120			Vials				0.9% Saline, 50 ml.														7,238.40	</t>
  </si>
  <si>
    <t xml:space="preserve"> For more Information and details please contact the BAC Secretariat, LGU Tigbauan, Iloilo at (033) 511-8790.</t>
  </si>
  <si>
    <t xml:space="preserve"> Bidders must download the attached documents associated in the component section.</t>
  </si>
  <si>
    <t xml:space="preserve"> Opening and reading of quotation shall be on August 27, 2020, 9:00 in the morning at the Municipal Hall, Poblacion, Santa Fe, Romblon.</t>
  </si>
  <si>
    <t xml:space="preserve"> Submit your Quotation together with your PhilGEPS Cert</t>
  </si>
  <si>
    <t xml:space="preserve"> Please attach the following documents together with your quotation/bid</t>
  </si>
  <si>
    <t xml:space="preserve"> Deadline of submission of RFQ is on August 11, 2020 at 8:00 AM.</t>
  </si>
  <si>
    <t xml:space="preserve"> Bidding Documents may be secured from the Bids and Awards Committee, Office of the Municipal Mayor upon payment to the MTO Cashier of a non-refundable amount of ₱ 500.00. </t>
  </si>
  <si>
    <t xml:space="preserve"> 1. Integrated Solar Street Lights </t>
  </si>
  <si>
    <t xml:space="preserve"> FOR MORE INFORMATION AND DETAILS, PLEASE CONTACT BRGY. NAPNAPAN NORTE BIDS AND AWARDS COMMITTEE, BRGY. NAPNAPAN NORTE HALL C/O BRGY. SECRETARY CECILIA CAIN WITH CONTACT NO. 0907-1532241.</t>
  </si>
  <si>
    <t xml:space="preserve"> FOR INQUIRY PLEASE  PROCEED TO BAC OFFICE</t>
  </si>
  <si>
    <t xml:space="preserve"> BID DOCUMENTS IS AVAILABLE ONLY TO PROSPECTIVE BIDDER UPON PAYMENT OF NON-REFUNDABLE FEE IN THE AMOUNT OF 5,000.00 TO THE MUNICIPAL TREASURY OFFICE. BIDDING DOCUMENTS WILL STILL BE AVAILABLE BEFORE THE OPENING OF BIDS.</t>
  </si>
  <si>
    <t xml:space="preserve"> 20IH0111 (ITB, Bid Docs, POW)</t>
  </si>
  <si>
    <t xml:space="preserve"> quoted price must be VAT and delivery inclusive</t>
  </si>
  <si>
    <t xml:space="preserve"> Please see attached RFQ for more details.</t>
  </si>
  <si>
    <t xml:space="preserve"> 20IH0112 (ITB, Bid Docs, POW)</t>
  </si>
  <si>
    <t xml:space="preserve"> https://drive.google.com/file/d/1iPp3k4Z_7JzPbzz6rAoMsHxlUN2u8Qf5/view?usp=drivesdk</t>
  </si>
  <si>
    <t xml:space="preserve"> BID DOCUMENTS IS AVAILABLE ONLY TO PROSPECTIVE BIDDER UPON PAYMENT OF NON-REFUNDABLE FEE IN THE</t>
  </si>
  <si>
    <t xml:space="preserve"> LABORATORY MACHINE REAGENT			</t>
  </si>
  <si>
    <t xml:space="preserve"> SEALED QUOTATIONS or E-file SHOULD BE RECEIVED BY THE BAC ON OR BEFORE AUGUST 11, 2020 @5PM.</t>
  </si>
  <si>
    <t xml:space="preserve"> YOU MAY DOWNLOAD THE ITB FROM THE ASSOCIATED COMPONENTS</t>
  </si>
  <si>
    <t xml:space="preserve"> SALEOF BID DOCUMENTS: AUGUST 13 TO AUGUST 27, 2020 (8:00A.M. TO 5:00 P.M.)</t>
  </si>
  <si>
    <t xml:space="preserve"> Please see attached Invitation for Negotiated Procurement.</t>
  </si>
  <si>
    <t xml:space="preserve"> A complete set of Bidding Documents may be acquired by interested bidders on AUGUST 7, 2020 to AUGUST 27, 2020 from 8:00AM to 5:00PM at the Office of the Bids and Awards Committee, 3rd Floor, Provincial Capitol, Bontoc, Mountain Province upon payment of the applicable fee for the Bidding Documents, pursuant to the latest Guidelines issued by the GPPB, in the amount of Five Hundred Pesos Only (Php500.00) at the Cashier’s Office, Provincial Capitol, Bontoc, Mountain Province.</t>
  </si>
  <si>
    <t xml:space="preserve"> The bidders must download the attached documents in the associated components section.</t>
  </si>
  <si>
    <t xml:space="preserve"> For more Information and details pls. contact the BAC Secretariat, LGU-Tigbauan, Iloilo at (033) 511-8790.</t>
  </si>
  <si>
    <t xml:space="preserve"> BID OPENING - AUGUST 21, 2020 - 10:00AM BRGY. HALL SAN ANTONIO (SAPA)</t>
  </si>
  <si>
    <t xml:space="preserve"> RFQ: </t>
  </si>
  <si>
    <t xml:space="preserve"> NOLIFEL L. PASAJOL</t>
  </si>
  <si>
    <t xml:space="preserve"> FOR COMPLETE LIST OF ITEMS PLEASE DOWNLOAD ATTACHED REQUEST FOR QUOTATION AND CONTACT THE BAC CHAIRMAN OF BARANGAY SONGKIT, MADRID, SURIGAO DEL SUR</t>
  </si>
  <si>
    <t xml:space="preserve"> Opening and reading of quotations shall be on August 27, 2020, 9:00 o'clock in the morning at the Municipal Hall, Poblacion, Santa Fe, Romblon.</t>
  </si>
  <si>
    <t xml:space="preserve"> Kindly download the attached file in the associated component section. </t>
  </si>
  <si>
    <t xml:space="preserve"> • Similar Contracts: Supply and Delivery of Diesel Generating Sets or Mechanical and/or Electrical Parts / Components / Equipment for Diesel Generating Sets</t>
  </si>
  <si>
    <t xml:space="preserve"> LEVI C. EDMA</t>
  </si>
  <si>
    <t xml:space="preserve"> Bid Documents will be available only to prospective bidders upon payment of a non-refundable amount of Php 5,000.00 per set to the Municipal Treasurer of LGU- GATTARAN.</t>
  </si>
  <si>
    <t xml:space="preserve"> https://drive.google.com/file/d/1ZTkWgapjsmz61GvB3hw0Qd_tU4wsuA2x/view?usp=drivesdk</t>
  </si>
  <si>
    <t xml:space="preserve"> FOR INQUIRY PLEAS EPROCEED TO BAC OFFICE</t>
  </si>
  <si>
    <t xml:space="preserve"> • PCAB License: License Category of at least “Category B – General Building” and registration classification of at least “Medium A – Building or Industrial Plant”</t>
  </si>
  <si>
    <t xml:space="preserve"> Please see attached Request for Quotation for the details.</t>
  </si>
  <si>
    <t xml:space="preserve"> • Supply and Delivery of Diesel Generating Sets or Mechanical and/or Electrical Parts / Components / Equipment for Diesel Generating Sets</t>
  </si>
  <si>
    <t xml:space="preserve"> 2nd Publication</t>
  </si>
  <si>
    <t xml:space="preserve"> The work covers the design and build for the Construction of Alternative Water Supply (Level III) consisting of intake structure, earthworks/pipelaying, installation of transfer pipe, installation of transmission pipeline that can handle minimum volume of 40 liters per second, provision of flow meter, installation of distribution pipeline up to Sitio Tinago Brgy. Benolho, and installation of standpipes.</t>
  </si>
  <si>
    <t xml:space="preserve"> Bidders must download the attached document in the associate component section</t>
  </si>
  <si>
    <t xml:space="preserve"> See attached File</t>
  </si>
  <si>
    <t xml:space="preserve"> Please submit sealed quotation.</t>
  </si>
  <si>
    <t xml:space="preserve"> OPENING OF BID WILL BE ON AUGUST 18, 2020 AT DENR- CENRO DON CARLOS, BUKIDNON OFFICE.</t>
  </si>
  <si>
    <t xml:space="preserve"> Please refer to the attached Request for Quotation (RFQ) for complete and detailed specifications. For queries, please call at 317-1768 local 724 and look for Mr. Rogelio Y. Santos.</t>
  </si>
  <si>
    <t xml:space="preserve"> PLEASE DOWNLOAD ATTACHMENTS</t>
  </si>
  <si>
    <t xml:space="preserve"> IMPORTANT:</t>
  </si>
  <si>
    <t xml:space="preserve"> https://drive.google.com/file/d/1sWZ0FidU-mV87ist2fs2nNws4rh0H8TQ/view?usp=drivesdk</t>
  </si>
  <si>
    <t xml:space="preserve"> Schedule of Delivery: weekdays (Mon-Fri)</t>
  </si>
  <si>
    <t xml:space="preserve"> The submission of request for quotation is on or before the closing date.</t>
  </si>
  <si>
    <t xml:space="preserve"> https://drive.google.com/file/d/12RLaz6ZdXjiwt2K5KxeznL4AS-d_Lt67/view?usp=drivesdk</t>
  </si>
  <si>
    <t xml:space="preserve"> https://drive.google.com/file/d/1L4KQaEdHHwDBO5R0K_IWLduc76iagkf5/view?usp=drivesdk</t>
  </si>
  <si>
    <t xml:space="preserve"> please download the associated documents</t>
  </si>
  <si>
    <t xml:space="preserve"> Special Bids and Awards Committee Secretariat, Armor Div, PA	</t>
  </si>
  <si>
    <t xml:space="preserve"> Interested bidders must download the bidding documents in this link:</t>
  </si>
  <si>
    <t xml:space="preserve"> https://drive.google.com/file/d/1-NeX9T-naJJ8Elj-io672LJ_qH9A8Klv/view?usp=drivesdk</t>
  </si>
  <si>
    <t xml:space="preserve"> This a repost Notice the original bidding schedule was supposed to be on August 6. The barangay has no PhilGEPS account yet.</t>
  </si>
  <si>
    <t xml:space="preserve"> Opening of RFQs will be on August 12, 2020 at 9:00 in the morning at the Division Office, Penaplata, Samal District, IGACOS.</t>
  </si>
  <si>
    <t xml:space="preserve"> For Particulars: Inquire at BAC Secretariat of Barangay Zone IV Poblacion, Atimonan, Quezon</t>
  </si>
  <si>
    <t xml:space="preserve"> For more information, please call the:</t>
  </si>
  <si>
    <t xml:space="preserve"> https://drive.google.com/file/d/14FlqWQrhkv6g6pB3Mm1mb72lHEzSp4n3/view?usp=drivesdk</t>
  </si>
  <si>
    <t xml:space="preserve"> All participating bidders MUST obtain the following every time there is a scheduled bidding and the physical presence of the participating bidder is necessary: Updated (not older than three weeks) Medical Certificate from their Local Health Officer, Travel Authority as required by IATF, Visitor’s Pass.</t>
  </si>
  <si>
    <t xml:space="preserve"> Basketball Ring w/ Fiber Glass, Board &amp; Counter Weigths</t>
  </si>
  <si>
    <t xml:space="preserve"> Bidders must download the attached document in the associate component section.</t>
  </si>
  <si>
    <t xml:space="preserve"> Please see attached links for bidding documents: </t>
  </si>
  <si>
    <t xml:space="preserve"> Please download the attached file in the Associated Components section.</t>
  </si>
  <si>
    <t xml:space="preserve"> Please see attached link for bidding documents:</t>
  </si>
  <si>
    <t xml:space="preserve"> I AGGREGATES</t>
  </si>
  <si>
    <t xml:space="preserve"> 1. Receipt from the Bidders of Letter of intent –August 7-14,2020 @ 8:00am to 5:00 pm</t>
  </si>
  <si>
    <t xml:space="preserve"> Barangay Sta. Cruz is barangay that composed of Barangay Officials and Constituents.</t>
  </si>
  <si>
    <t xml:space="preserve"> https://drive.google.com/file/d/164AKjWBEYW-tkSLeDAivx4alTpE0aSd0/view?usp=drivesdk</t>
  </si>
  <si>
    <t xml:space="preserve"> 1. Receipt from the Bidders of Letter of intent – August 7-14,2020@ 8:00am to 5:00 pm</t>
  </si>
  <si>
    <t xml:space="preserve"> 1. Receipt from the Bidders of Letter of intent – August 7-13,2020 @ 8:00am to 5:00 pm</t>
  </si>
  <si>
    <t xml:space="preserve"> 1. Submission of Letter of Intent (LOI) - August 11-12, 2020 @ 8:00am to 5:00pm</t>
  </si>
  <si>
    <t xml:space="preserve"> https://drive.google.com/file/d/1jTcRMA2pr5EtYX3RX_KYRgsGqZ2qF3mX/view?usp=drivesdk</t>
  </si>
  <si>
    <t xml:space="preserve"> Should you be interested, please submit your "open" quotations on or before 11 August 2020, 2:00PM through email address: jrr_pttc@yahoo.com or jasminrio@pttc.gov.ph or fax no. 833-7403. Please download/ submit the filled up Quotation Form.Thank you!</t>
  </si>
  <si>
    <t xml:space="preserve"> Please submit the following with your bid:</t>
  </si>
  <si>
    <t xml:space="preserve"> • Similar Contracts: Supply and Delivery of Protection and Meters and/or Substation Protection and Equipment</t>
  </si>
  <si>
    <t xml:space="preserve"> Should you be interested, please submit your "open" quotations on or before  11 August 2020, 1:00PM through email address: jrr_pttc@yahoo.com or jasminrio@pttc.gov.ph or fax no. 833-7403. Please download/ submit the filled up Quotation Form.Thank you!</t>
  </si>
  <si>
    <t xml:space="preserve"> 2 units Hang Type &amp; Folded Basketball Goal supported structural steel of 5 mm x 2 " &amp; 5mm x 1.5" Angle Bar " sch. 40 bi PIpes, 12mm steel cable wire anchored with 1 ton heavy duty pully installed with thk x 1.20m x 1.80 m transparent original tempered glass with frame heavy duty ring with spring net and transluscent sticker</t>
  </si>
  <si>
    <t xml:space="preserve"> https://drive.google.com/file/d/13vpkthHapgd9CjTK9dCrn2gklG_qdbn1/view?usp=drivesdk</t>
  </si>
  <si>
    <t xml:space="preserve"> https://drive.google.com/file/d/1jpTA2-Udn8sjqwPHG7SUEoDLmlN0vxgK/view?usp=drivesdk</t>
  </si>
  <si>
    <t xml:space="preserve"> Schedule of Requirements:</t>
  </si>
  <si>
    <t xml:space="preserve"> ENGR. ROBERTO SE</t>
  </si>
  <si>
    <t xml:space="preserve"> Should you be interested, please submit your "open" quotations on or before  11 Aug 2020, 2:00PM through email address: jrr_pttc@yahoo.com or jasminrio@pttc.gov.ph or fax no. 833-7403. Please download/ submit the filled up Quotation Form.Thank you!</t>
  </si>
  <si>
    <t xml:space="preserve"> Should you be interested, please submit your "open" quotations on or before  11   August 2020, 2:00PM through email address: jrr_pttc@yahoo.com or jasminrio@pttc.gov.ph or fax no. 833-7403. Please download/ submit the filled up Quotation Form.Thank you!</t>
  </si>
  <si>
    <t xml:space="preserve"> NONE</t>
  </si>
  <si>
    <t xml:space="preserve"> https://drive.google.com/file/d/138HvYi7K40UJJhQLuFs1TfQbuJOa96ZL/view?usp=drivesdk</t>
  </si>
  <si>
    <t xml:space="preserve"> https://drive.google.com/file/d/1Gz0rHKLwtPpioZUs6xjHY_8GLIeijXIt/view?usp=drivesdk</t>
  </si>
  <si>
    <t xml:space="preserve"> with barangay logo and siren</t>
  </si>
  <si>
    <t xml:space="preserve"> Bidders must download the attached documents in the associated component section.</t>
  </si>
  <si>
    <t xml:space="preserve"> https://drive.google.com/file/d/1SlHFR6HBJzjvWBxy42dMf4DhoIubFDOb/view?usp=drivesdk</t>
  </si>
  <si>
    <t xml:space="preserve"> 1. Please see attached Request for Quotation of Prices (RFQP) form in the “Associated Components” link.</t>
  </si>
  <si>
    <t xml:space="preserve"> please see attached documents</t>
  </si>
  <si>
    <t xml:space="preserve"> Preferably bidders within Davao City only.</t>
  </si>
  <si>
    <t xml:space="preserve"> Please checked associated components.</t>
  </si>
  <si>
    <t xml:space="preserve"> Issuance of Bid Documents  : 8:00AM - 5:00PM August 06, 2020 to 8:00AM - 09:30AM, August 26, 2020</t>
  </si>
  <si>
    <t xml:space="preserve"> The Barangay has no PhilGEPS yet. This is a repost Notice the original schedule of this notice is same with the Ref. No 8-2020-1.</t>
  </si>
  <si>
    <t xml:space="preserve"> DEADLINE OF SUBMISSION OF SEALED QUOTATION: AUGUST 13, 2020 AT 12:59PM</t>
  </si>
  <si>
    <t xml:space="preserve"> Opening: August 12, 2020 10:00 A.M.</t>
  </si>
  <si>
    <t xml:space="preserve"> PRINTING OF MODULE- KINDER TO GRADE 6</t>
  </si>
  <si>
    <t xml:space="preserve"> Contact Person: 					</t>
  </si>
  <si>
    <t xml:space="preserve"> for more information just contact barangay secretariat of Barangay Barroc Tigbauan, Iloilo</t>
  </si>
  <si>
    <t xml:space="preserve"> Please see attached RFQ and PR and submit quotations thru sdomakatibacsec@gmail.com or submit sealed quotations thru courier with the following eligibility requirements:</t>
  </si>
  <si>
    <t xml:space="preserve"> availability of Bidding Document @ Darong Barangay Hall</t>
  </si>
  <si>
    <t xml:space="preserve"> Schedule of Bidding Activities: Sale and Issuance of Bid Mondays to Fridays Starting August 6, 2020 (8AM to 3PM only) DOE-BAC Secretariat, Procurement Management Division 3/F DOE Main Bldg., Energy Center, Rizal Drive, Bonifacio Global City, Taguig City Pre-Bid Conference August 13, 2020 – 9:00 AM to 11:00 AM at DOE BAC Main Office through video conferencing (Microsoft Teams). The bidders are required to submit the following information through jaymeedeogracias@gmail.com or jaymee.deogracias@doe.gov.ph: 1. Complete name of the authorized company representative who will participate in the Pre- Bid Conference. Complete company Name, address and contact details; 2. Active email addresses where the invitation/link will be sent; and 3. Indicate the item/s the company would like to participate Deadline of submission of information is on or before 11 August 2020. Video conferencing will be through MS Teams, prospective bidders are advised to download MS Teams app prior to the date of the Pre-bid Conference. Submission of Bids Mondays to Fridays 8AM to 3PM only DOE-Procurement Management Division 3/F DOE Main Bldg., Energy Center, Rizal Drive, Bonifacio Global City, Taguig City OR submission could be made through courier service provided it will be stamped-received by the DOE Records Management Division. Deadline of Submission of Bids August 27, 2020 –9:00 AM 3/F Procurement Management Division (PMD) DOE Main Bldg., Energy Center, Rizal Drive, Bonifacio Global City, Taguig City OR submission could be made through courier service provided it will be stamped-received by the DOE Records Management Division. Opening of Bids August 27, 2020 – 9:30 AM DOE- Audio Visual Room (AVR) Energy Center, Rizal Drive, Bonifacio Global City, Taguig.</t>
  </si>
  <si>
    <t xml:space="preserve"> Pre-Bid conference is on August 10, 2020 at 10:00 a.m. at the SGOD office, DepEd Division of La Carlota City         </t>
  </si>
  <si>
    <t xml:space="preserve"> Please see attached Invitation to Bid.</t>
  </si>
  <si>
    <t xml:space="preserve"> At brgy Sto.Niño(Loblobon), Maasin City, Southern Leyte</t>
  </si>
  <si>
    <t xml:space="preserve"> https://drive.google.com/file/d/1kQLLih6dU9KXVfdSDE3y2THp72JLFBui/view?usp=drivesdk</t>
  </si>
  <si>
    <t xml:space="preserve"> At Different Schools, Maasin City, Southern Leyte</t>
  </si>
  <si>
    <t xml:space="preserve"> At Different Brgys, Maasin City, Southern Leyte</t>
  </si>
  <si>
    <t xml:space="preserve"> Please download attachments. Thank you</t>
  </si>
  <si>
    <t xml:space="preserve"> Cost of other supplies for PHRMO use</t>
  </si>
  <si>
    <t xml:space="preserve"> At brgy Bactul II, Maasin City, Southern Leyte</t>
  </si>
  <si>
    <t xml:space="preserve"> for CNPH use</t>
  </si>
  <si>
    <t xml:space="preserve"> For information only.</t>
  </si>
  <si>
    <t xml:space="preserve"> At brgy Soro-soro, Maasin City, Southern Leyte</t>
  </si>
  <si>
    <t xml:space="preserve"> for the Provincial Tourism Operations Office (NON-DBM)</t>
  </si>
  <si>
    <t xml:space="preserve"> Light Output			15W		</t>
  </si>
  <si>
    <t xml:space="preserve"> for laboratory section use</t>
  </si>
  <si>
    <t xml:space="preserve"> At brgy Combado, Maasin City, Southern Leyte</t>
  </si>
  <si>
    <t xml:space="preserve"> for the use of Camarines Norte Provincial Jail Prisoner's Subsistence</t>
  </si>
  <si>
    <t xml:space="preserve"> for hospital hazardous waste facilities including installation</t>
  </si>
  <si>
    <t xml:space="preserve"> Bid Documents must be secured from the BAC Secretariat, Leyte SMED Center, Provincial Capitol Grounds, Tacloban City</t>
  </si>
  <si>
    <t xml:space="preserve"> OTHER INFORMATION</t>
  </si>
  <si>
    <t xml:space="preserve"> At Isagani E/S, brgy Isagani, Maasin City, Southern Leyte</t>
  </si>
  <si>
    <t xml:space="preserve"> 1. Pre-bid conference - August 14, 2020, 2:00PM at the Municipal Conference Hall, Galimuyod, Ilocos Sur</t>
  </si>
  <si>
    <t xml:space="preserve"> FOR MORE INFORMATION PLEASE CONTACT:</t>
  </si>
  <si>
    <t xml:space="preserve"> This posting is done in behalf of unregistered PHILGEPS PE. (Bgry. Napnapan) interested parties may contact Brgy. Secretariat of the said brgy.</t>
  </si>
  <si>
    <t xml:space="preserve"> The submission of the request for quotation is on or before the closing date.</t>
  </si>
  <si>
    <t xml:space="preserve"> August 12, 2020, 9:30am	- 	Deadline of submission Quotation</t>
  </si>
  <si>
    <t xml:space="preserve"> This posting is done in behalf of unregistered PHIGEPS PE (Brgy. Napnapan) interested may contact the Brgy secretariat of the said brgy.</t>
  </si>
  <si>
    <t xml:space="preserve"> see attached invitation to bid</t>
  </si>
  <si>
    <t xml:space="preserve"> SUBMISSION OF QUOTATION NOT LATER THAN AUGUST 13, 2020 UNTIL 12:00NN</t>
  </si>
  <si>
    <t xml:space="preserve"> CONSTRUCTION OF DOUBLE-BARREL BOX CULVERT AMOUNTING P295,210.00</t>
  </si>
  <si>
    <t xml:space="preserve"> See BAC Secretariat for further details.</t>
  </si>
  <si>
    <t xml:space="preserve"> CONSTRUCTION OF MAIN WATER TANK AMOUNTING P207,965.00</t>
  </si>
  <si>
    <t xml:space="preserve"> Amount of Bid Documents: Php10,000.00</t>
  </si>
  <si>
    <t xml:space="preserve"> ENGR. LEO J. ESPADA</t>
  </si>
  <si>
    <t xml:space="preserve"> Please contact the Procurement Unit for your question and clarifications at 09265678922 or you may visit us from Monday to Friday 8:00AM to 5:00PM.</t>
  </si>
  <si>
    <t xml:space="preserve"> You may also contact or send us your proposal/quotation with the following email addresses:</t>
  </si>
  <si>
    <t xml:space="preserve"> 1.) Availability of Request for Quotation (RFQ) can be downloaded here.</t>
  </si>
  <si>
    <t xml:space="preserve"> National Government Fund</t>
  </si>
  <si>
    <t xml:space="preserve"> Interested Bidders may submit QUOTATION thru:</t>
  </si>
  <si>
    <t xml:space="preserve"> Amount of Bid Documents: Php1,000.00</t>
  </si>
  <si>
    <t xml:space="preserve"> 1</t>
  </si>
  <si>
    <t xml:space="preserve"> Terms of Delivery: FOB Zamboanga City-WMSU</t>
  </si>
  <si>
    <t xml:space="preserve"> this posting is done in behalf of unregistered PHILGEPS PE of Brgy Napnapan (SK) interested parties may contact brgy secretariat of the said brgy.</t>
  </si>
  <si>
    <t xml:space="preserve"> BIDDING DATE AUGUST 18, 2020 @ 10:00AM AT HRMO OFFICE</t>
  </si>
  <si>
    <t xml:space="preserve"> Amount of Bid Documents: Php5,000.00</t>
  </si>
  <si>
    <t xml:space="preserve"> Please visit BAC office</t>
  </si>
  <si>
    <t xml:space="preserve"> Pre-Eligibility Conference - Aug. 13 @ 2:00PM</t>
  </si>
  <si>
    <t xml:space="preserve"> BID OPENING: AUGUST 25, 2020  AT 1:00PM   BAC OFFICE,MUNICIPAL HALL, STA. MARCELA, APAYAO</t>
  </si>
  <si>
    <t xml:space="preserve"> Please contact the Procurement Unit for your question and clarifications at 09265678922 or you may visit us in our office Monday to Friday from 8:00AM to 5:00PM.</t>
  </si>
  <si>
    <t xml:space="preserve"> ***Please copy the link below and paste to the web browser for the attached Request for Quotation (RFQ) form.</t>
  </si>
  <si>
    <t xml:space="preserve"> ATTACHMENT CAN BE DOWNLOADED THROUGH THE ASSOCIATED COMPONENTS.</t>
  </si>
  <si>
    <t xml:space="preserve"> Deliver to Carabalan Elementary School.</t>
  </si>
  <si>
    <t xml:space="preserve"> FOB / DELIVERY POINT: CARCAR WATER DISTRICT SAN VICENTE ST., POB. 1, CARCAR CITY CEBU</t>
  </si>
  <si>
    <t xml:space="preserve"> REQUEST FOR QUOTATION FORM WILL BE AVAILABLE AT GINGOOG CITY WATER DISTRICT OFFICE</t>
  </si>
  <si>
    <t xml:space="preserve"> At brgy Cansirong, Maasin City, Southern Leyte</t>
  </si>
  <si>
    <t xml:space="preserve"> CNPH use</t>
  </si>
  <si>
    <t xml:space="preserve"> See Attachments</t>
  </si>
  <si>
    <t xml:space="preserve"> Materials for the Improvement of Evacuation &amp; Operation Center (Installation of Couples Room and Lactating Area)</t>
  </si>
  <si>
    <t xml:space="preserve"> Cost of Documents: Php1,000.00</t>
  </si>
  <si>
    <t xml:space="preserve"> to be utilized in the rehabilitation/regravelling ot Tucao-Buenavista Road</t>
  </si>
  <si>
    <t xml:space="preserve"> For further questions/clarifications please contact DM Meymarie M. Altobar of Nagcarlan Branch at (049) 539-2370.</t>
  </si>
  <si>
    <t xml:space="preserve"> Please call 0998-247-0239 / 0906-256-9238 for other details..</t>
  </si>
  <si>
    <t xml:space="preserve"> Kindly download the attached bidding documents for the requirements and specifications.</t>
  </si>
  <si>
    <t xml:space="preserve"> Please call 0998-247-0239 / 0906-256-9238 for other detai</t>
  </si>
  <si>
    <t xml:space="preserve"> Prospective bidders should have the experience in undertaking a similar contract within the last five ( 5 ) years .Bidding will be conducted through open competitive bidding procedures using a non-discretionary “Pass/fail “criterion as specified under Implementing Rules and Regulations of R.A.9184 otherwise known as the “Government Procurement Reform Act”</t>
  </si>
  <si>
    <t xml:space="preserve"> Pls. submit or email</t>
  </si>
  <si>
    <t xml:space="preserve"> ITEM NO.                          SCOPE OF WORK                                              UNIT                   QUANTITY</t>
  </si>
  <si>
    <t xml:space="preserve"> For further questions/clarifications please contact Atty. Paul Elbert E. Amon, Head of FLS Laguna at (049) 557-7550.</t>
  </si>
  <si>
    <t xml:space="preserve"> Cost of Documents: Php5,000.00</t>
  </si>
  <si>
    <t xml:space="preserve"> SAID REQUEST IS PER LOT.</t>
  </si>
  <si>
    <t xml:space="preserve"> ELIGIBILITY REQUIREMENTS:</t>
  </si>
  <si>
    <t xml:space="preserve"> NOTE:  ALL INTERESTED SUPPLIERS/BIDDERS ARE REQUIRED TO LOG-IN TO THE SYSTEM, PHILGEPS BEFORE  SUBMITTING BID PROPOSAL/QUOTATION TO THE BAC SECRETARIAT. FOR MORE INFORMATION, PLEASE CONTACT MS. JOYCE ANN MAE L. DEL VALLE @ TEL. NO. (049) 530-2952 LOC. 106 &amp; MS. ALTHEA D. DEOMANO @ TEL. NO.  (049) 530-2952 LOC. 306.</t>
  </si>
  <si>
    <t xml:space="preserve"> NOTE: WEAR FACE MASK AND OBSERVED SOCIAL DISTANCING DURING THE OPENING OF BIDS.</t>
  </si>
  <si>
    <t xml:space="preserve"> ***Please copy the link below and paste to the web browser for the attached RFQ form.</t>
  </si>
  <si>
    <t xml:space="preserve"> Opening of bids shall be done 48 hours after the deadline of submission of bid or on August 17, 2020 (MONDAY), 2:00 p.m  at the BAC/Budget Office , 3rd floor , Municipal Building, Brgy. Timugan, Los Banos, Laguna. This is per BAC Resolution No. 2020-025 dated  27th of May  2020 with the Subject Re: Resolution Implementing Safety Measures during BAC Meetings including Online Bid Submission, Videoconferencing and Other Procurement Procedures Relative to the Control and Prevention of Corona Virus Disease 2019 (COVID-19). </t>
  </si>
  <si>
    <t xml:space="preserve"> A complete set of Bidding Documents will be provided by PNBAC Secretariat to the interested Bidders upon payment of a non-refundable fee in the amount of TWENTY FIVE THOUSAND PESOS (P 25,000.00) only at CRB, CPMU, Philippine Navy Finance Center (PNFC), Naval Station Jose Francisco, Fort Bonifacio, Taguig City.</t>
  </si>
  <si>
    <t xml:space="preserve"> Schedule of Activities:</t>
  </si>
  <si>
    <t xml:space="preserve"> SUBMISSION OF BID DOCUMENTS IS BEFORE 9:OO IN THE MORNING  OF</t>
  </si>
  <si>
    <t xml:space="preserve"> Pls. submit your sealed quotation at TESDA Regional Office III, Maimpis, City of San Fernando, Pampanga address to the Bids and Awards Committee and Attention to the Supply Officer Philippides B. Zamar om or before August 11, 2020 together with the documentary requirements specified in the RFQ or email at region3@tesda.gov.ph in pdf format</t>
  </si>
  <si>
    <t xml:space="preserve"> For more information, please see or contact the BAC Members of LGU-Magallanes, Sorsogon.</t>
  </si>
  <si>
    <t xml:space="preserve"> LGU Street Lights</t>
  </si>
  <si>
    <t xml:space="preserve"> A complete set of Bidding Documents will be provided by PNBAC Secretariat to the interested Bidders upon payment of a non-refundable fee in the amount of FIFTY THOUSAND PESOS (P50,000.00) only at CRB, CPMU, Philippine Navy Finance Center (PNFC), Naval Station Jose Francisco, Fort Bonifacio, Taguig City.</t>
  </si>
  <si>
    <t xml:space="preserve"> https://drive.google.com/file/d/1sfnR_iq9uznsa7k2LRonRFrbr23zRfWy/view?usp=drivesdk</t>
  </si>
  <si>
    <t xml:space="preserve"> Publication: August 06-12, 2020</t>
  </si>
  <si>
    <t xml:space="preserve"> For inquiries please call 09105056570</t>
  </si>
  <si>
    <t xml:space="preserve"> At brgy Tunga-tunga, Maasin City, Southern Leyte</t>
  </si>
  <si>
    <t xml:space="preserve"> At brgy Cambo-oc(half lane), Maasin City, Southern Leyte</t>
  </si>
  <si>
    <t xml:space="preserve"> Bidding Documents may be purchased by the Interested Bidders on August 12-13, 2020 from 8:00 A.M to 5:00 P.M. and upon payment of non - refundable fee of Five Hundred Pesos (Php 500.00).</t>
  </si>
  <si>
    <t xml:space="preserve"> https://drive.google.com/file/d/199yZSNUfV6MHKx76tntLIevObV9Htsgv/view?usp=drivesdk</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</si>
  <si>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</si>
  <si>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BAC ACTIVITIES AND SCHEDULE</t>
  </si>
  <si>
    <t xml:space="preserve"> A complete set of Bidding Documents will be provided by PNBAC Secretariat to the interested Bidders upon payment of a non-refundable fee in the amount of FIVE THOUSAND PESOS (P5,000.00) only at CRB, CPMU, Philippine Navy Finance Center (PNFC), Naval Station Jose Francisco, Fort Bonifacio, Taguig City.</t>
  </si>
  <si>
    <t xml:space="preserve"> legal size bond paper</t>
  </si>
  <si>
    <t xml:space="preserve"> 1. Funded under the General Fund with an ABC of Php 99,900.00</t>
  </si>
  <si>
    <t xml:space="preserve"> Project Title : REBLOCKING OF ROAD</t>
  </si>
  <si>
    <t xml:space="preserve"> To All  Interested Suppliers,Please Visit our Office at Municipal Goverment Center,Poblacion ,Agusan Del Norte for more Information and Details.</t>
  </si>
  <si>
    <t xml:space="preserve"> Bidders must download document in the associated component section</t>
  </si>
  <si>
    <t xml:space="preserve"> SUPPLER OR BIDDER MUST DOWNLOAD THE ATTACHED DOCUMENT IN THE ASSOCIATED COMPONENT SECTION.</t>
  </si>
  <si>
    <t xml:space="preserve"> Bid documents are available at the office of the Punong Barangay</t>
  </si>
  <si>
    <t xml:space="preserve"> bidders must download attached documents in the associated components</t>
  </si>
  <si>
    <t xml:space="preserve"> ONE TIME DELIVERY</t>
  </si>
  <si>
    <t xml:space="preserve"> 1. Availability of Bidding Documents - August 6 - 13, 2020</t>
  </si>
  <si>
    <t xml:space="preserve"> COPY OF DRAWINGS MAY BE REQUESTED AT THE BAC SECRETARIAT THROUGH MSCBAC2011@GMAIL.COM. PRE-BID CONFERENCE MAYBE CONDUCTED VIA AN ONLINE PLATFORM; REQUEST FOR CONFERENCE INVITATION MAY BE SENT TO THE BAC SECRETARIAT AT THE AFOREMENTIONED EMAIL ADDRESS.</t>
  </si>
  <si>
    <t xml:space="preserve"> Bid documents are available at Bayong Barangay Hall</t>
  </si>
  <si>
    <t xml:space="preserve"> Small Value Procurement documents are available at Cabagdalan Barangay Hall</t>
  </si>
  <si>
    <t xml:space="preserve"> Suppliers are required to submit their quotation/written proposal with the following documents on or before  AUGUST 12, 2020 9:00 AM at BAC Office, this LGU, to wit:</t>
  </si>
  <si>
    <t xml:space="preserve"> https://drive.google.com/file/d/1A0DvWVjLZK95mCJ0daLfjyDWYKK6yCHz/view?usp=drivesdk</t>
  </si>
  <si>
    <t xml:space="preserve"> Project Title : CONSTRUCTION OF BOX CULVERT WITH SLOPE PROTECTION</t>
  </si>
  <si>
    <t xml:space="preserve"> 2 sets REPLACEMENT OF LIFT SPRING (Php5,050.00 x 2) = P10,100.00</t>
  </si>
  <si>
    <t xml:space="preserve"> To all Interested  Suppliers ,Please visit our Office at Municipal Goverment Center,Poblacion,jabonga,Agusan Del Norte for more Information and Details.</t>
  </si>
  <si>
    <t xml:space="preserve"> • Similar Contracts: Lease of Modular Diesel Generating Sets or Operation and Maintenance (O &amp; M) of Diesel Generating Sets</t>
  </si>
  <si>
    <t xml:space="preserve"> ATTACHMENT CAN BE DOWNLOADED IN THE ASSOCIATED COMPONENTS.</t>
  </si>
  <si>
    <t xml:space="preserve"> Opening: August 12, 2020 at 10:00 A.M.</t>
  </si>
  <si>
    <t xml:space="preserve"> To all interested Suppliers,Please Visit our office at Municipal Government center,Poblacion,Jabonga,Agusan del norte for  more Information And Details.</t>
  </si>
  <si>
    <t xml:space="preserve"> Opening: August 12. 2020 at 10:00 A.M.</t>
  </si>
  <si>
    <t xml:space="preserve"> Dropping of Sealed Canvass/Quotations:    August 26, 2020 until 10:00 a.m.</t>
  </si>
  <si>
    <t xml:space="preserve"> The BAC is conducting the public bidding for this Contracts in accordance with RA 9184 and its Revised Implementing Rules and Regulations. Bids received in excess of the ABC shall be automatically rejected at bid opening.</t>
  </si>
  <si>
    <t xml:space="preserve"> Pre- Bid : August 12,2020- 10:00am</t>
  </si>
  <si>
    <t xml:space="preserve"> 1 lot LABOR REQUIREMENT: </t>
  </si>
  <si>
    <t xml:space="preserve"> Lot 1	Quantity	Item/Description</t>
  </si>
  <si>
    <t xml:space="preserve"> Please refer to the attached ITB</t>
  </si>
  <si>
    <t xml:space="preserve"> To All  Interested Suppliers ,Please Visit our office At Municipal Government Center,Poblacion,Jabonga,Agusan Del Norte for more information and details</t>
  </si>
  <si>
    <t xml:space="preserve"> https://drive.google.com/file/d/1dCH8ByXU3e4gQdvIwX0CJByvoQKwV3yO/view?usp=drivesdk</t>
  </si>
  <si>
    <t xml:space="preserve"> https://drive.google.com/file/d/1uwRlHA9CkfQimdA-ebrOQjSGAI4lrD5E/view?usp=drivesdk</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</si>
  <si>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</si>
  <si>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https://drive.google.com/file/d/1vN_g1615ZHVmryga1hXhMqtycXCrs7E_/view?usp=drivesdk</t>
  </si>
  <si>
    <t xml:space="preserve"> https://drive.google.com/file/d/16kkAOlEkEzPbqeu01JAOMtJt5gaE6Blz/view?usp=drivesdk</t>
  </si>
  <si>
    <t xml:space="preserve"> https://drive.google.com/file/d/124MJXl7B8igH6HHQ5vbkg79u7xfpCQeX/view?usp=drivesdk</t>
  </si>
  <si>
    <t xml:space="preserve"> 1) BRASS SWING CHECK VALVE 1/2": ABC - PHP 516,000 - 2,000 PCS</t>
  </si>
  <si>
    <t xml:space="preserve"> Please see attached Invitation to Bid and Technical Specifications.</t>
  </si>
  <si>
    <t xml:space="preserve"> hospital equipment for CNPH use</t>
  </si>
  <si>
    <t xml:space="preserve"> for inquiries, you may call us at tel. no. 364-8242 and look for Ms. Joson</t>
  </si>
  <si>
    <t xml:space="preserve"> A business tax will be levied to the winning Supplier/Contractor based on the total contract cost pursuant to Chapter 2. Article I. Section 11 in relation to Chapter 2. Article 1. Section 7 (a) to (h) of the Revised Revenue Code of Nabunturan 2016.</t>
  </si>
  <si>
    <t xml:space="preserve"> Area of Delivery: Quezon City</t>
  </si>
  <si>
    <t xml:space="preserve"> Quantity	Item / Description</t>
  </si>
  <si>
    <t xml:space="preserve"> https://drive.google.com/file/d/1n6gIbGKYGa7XJmHsqNx2a-Sbtxq0MP5j/view?usp=drivesdk</t>
  </si>
  <si>
    <t xml:space="preserve"> https://drive.google.com/file/d/194lfDfNf0YPgxU9AjxwoEeGBT0YwzyLY/view?usp=drivesdk</t>
  </si>
  <si>
    <t xml:space="preserve"> Please download bidding document and ITB in the assocciated components</t>
  </si>
  <si>
    <t xml:space="preserve"> https://drive.google.com/file/d/1EXLhi9nqwv_travGD_gPDWB6ifGQOoeu/view?usp=drivesdk</t>
  </si>
  <si>
    <t xml:space="preserve"> Please see attached associated components.</t>
  </si>
  <si>
    <t xml:space="preserve"> https://drive.google.com/file/d/1MX3mZU44V84vVBRDb5gwpIIx20lAHWB9/view?usp=drivesdk</t>
  </si>
  <si>
    <t xml:space="preserve"> PLASTIC P.E. ST. COUPLER 3/4`` : ABC Php64,080.00 - 1,000 PCS</t>
  </si>
  <si>
    <t xml:space="preserve"> 1.  Issuance of Bid Documents	August 6, 2020	</t>
  </si>
  <si>
    <t xml:space="preserve"> PLEASE DO NOT FORGET TO ATTACHED THE FOLLOWING REQUIREMENTS;</t>
  </si>
  <si>
    <t xml:space="preserve"> • Similar Contract: Supply and Delivery of Diesel Generating Sets or Mechanical and/or Electrical Parts / Components / Equipment for Diesel Generating Sets</t>
  </si>
  <si>
    <t xml:space="preserve"> Bid documents are available at Arpili Barangay Hall</t>
  </si>
  <si>
    <t xml:space="preserve"> Please see attached Bidding Document in associated component</t>
  </si>
  <si>
    <t xml:space="preserve"> Date of Bidding: August 13, 2020</t>
  </si>
  <si>
    <t xml:space="preserve"> https://drive.google.com/file/d/1_YJhF_3T7bTboJ0xqlFi7T71QFoNcI23/view?usp=drivesdk</t>
  </si>
  <si>
    <t xml:space="preserve"> ACTIVITIES SCHEDULE:</t>
  </si>
  <si>
    <t xml:space="preserve"> Bidders must download the attached document in the associated component section</t>
  </si>
  <si>
    <t xml:space="preserve"> Please see the BAC Chairman for more information and updates.</t>
  </si>
  <si>
    <t xml:space="preserve"> https://drive.google.com/file/d/1xy6ANLHNMCVHjL1-KL2oWmhwZLA4JH0E/view?usp=drivesdk</t>
  </si>
  <si>
    <t xml:space="preserve"> 1) BUTTERFLY GATE VALVE W/ HANDWHEEL 500MM: PLS SEE ATTACHED DRAWING - ABC - PHP 412,000.00 -1 PC</t>
  </si>
  <si>
    <t xml:space="preserve"> Click on the link to download bidding documents</t>
  </si>
  <si>
    <t xml:space="preserve"> Quotation shall be submitted via email (lbphobac@mail.landbank.com) not later than August 10, 2020, Monday, 12:00 P.M.</t>
  </si>
  <si>
    <t xml:space="preserve"> Publication - August 6-13, 2020</t>
  </si>
  <si>
    <t xml:space="preserve"> See DESCRIPTION for a the TECHNICAL SPECIFICATIONS</t>
  </si>
  <si>
    <t xml:space="preserve"> Please see attached PDF file for more information.</t>
  </si>
  <si>
    <t xml:space="preserve"> During submission of Letter of Intent (LOI), kindly bring original copies of Mayor’s Business Permit and Department of Trade and Industry (DTI) Business Name Registration.</t>
  </si>
  <si>
    <t xml:space="preserve"> https://drive.google.com/file/d/1PFDEzXSTzkPFcGqjbgo4RSbBER9YhFok/view?usp=drivesdk</t>
  </si>
  <si>
    <t xml:space="preserve"> https://drive.google.com/file/d/1mhVZWj4FU_yxoKmCt_d626wA0wGEg1Ln/view?usp=drivesdk</t>
  </si>
  <si>
    <t xml:space="preserve"> During submission of Letter of Intent (LOI), kindly bring original copies of PCAB License, Mayor’s Business Permit and Department of Trade and Industry (DTI) Business Name Registration, authorization from the Authorized Managing Officer (AMO) is not allowed.</t>
  </si>
  <si>
    <t xml:space="preserve"> https://drive.google.com/file/d/1E9hWFp5BYdFrVhd56V9nZAOksy_9V_Cw/view?usp=drivesdk</t>
  </si>
  <si>
    <t xml:space="preserve"> Cost of Bid Docs: Php 50,000.00</t>
  </si>
  <si>
    <t xml:space="preserve"> https://drive.google.com/file/d/12GRqeD8ooSP8coGWuaoe3i-ObEew9Ydf/view?usp=drivesdk</t>
  </si>
  <si>
    <t xml:space="preserve"> SEND TO SCHOOL</t>
  </si>
  <si>
    <t xml:space="preserve"> The barangay BAC Members ask permission to the LGU BAC to post notice on their PhilGEPS account since they dont have PhilGEPS account.</t>
  </si>
  <si>
    <t xml:space="preserve"> 20CM0086</t>
  </si>
  <si>
    <t xml:space="preserve"> 20CM0087</t>
  </si>
  <si>
    <t xml:space="preserve"> https://drive.google.com/file/d/1xmHtX6RathZTeKVG_GDGpJoX7B_AopfZ/view?usp=drivesdk</t>
  </si>
  <si>
    <t xml:space="preserve"> For further information, please contact:</t>
  </si>
  <si>
    <t xml:space="preserve"> Supplier may log in on this site and recieve Letter of Intent</t>
  </si>
  <si>
    <t xml:space="preserve"> Submission of Letter of Intent- August 6-10, 2020</t>
  </si>
  <si>
    <t xml:space="preserve"> EMERGENCY PURCHASE FOR RELIEF OPERATION (COVID 19 PANDEMIC)</t>
  </si>
  <si>
    <t xml:space="preserve"> 1. Receipt from the Bidders of Letter of intent – August 6-13,2020 @ 8:00am to 5:00 pm</t>
  </si>
  <si>
    <t xml:space="preserve"> 20CM0085</t>
  </si>
  <si>
    <t xml:space="preserve"> https://drive.google.com/file/d/1WA65AAolgDrgyHDRQvNZZ_qp5Qg6zz7_/view?usp=drivesdk</t>
  </si>
  <si>
    <t xml:space="preserve"> I.      Provision of Progress Photographs  --------    1.0 each</t>
  </si>
  <si>
    <t xml:space="preserve"> I.  Construction, Installation of Guard Rail-------- lumpsum</t>
  </si>
  <si>
    <t xml:space="preserve"> I.  Provision of Progress Photograps----- 1.0 each</t>
  </si>
  <si>
    <t xml:space="preserve"> ,</t>
  </si>
  <si>
    <t xml:space="preserve"> 1.Suppliers/Bidders must download the attached Bid Document in the associated component section.</t>
  </si>
  <si>
    <t xml:space="preserve"> Check associated components.</t>
  </si>
  <si>
    <t xml:space="preserve"> Construction of one-unit (1.5m x 1.5m x 1.5m) Source Tank, one-unit (1.5m x 1.5m x 1.5m) Outlet/Distribution tank and one-unit (5m x 5m x 2.8m) Storage/Collection Tank with water pipelines with total volume of 76.75.</t>
  </si>
  <si>
    <t xml:space="preserve"> Please bring valid medical certificates upon attendance (note: certificates should be issued one week prior to the date of attendance)</t>
  </si>
  <si>
    <t xml:space="preserve"> see associatded compoment</t>
  </si>
  <si>
    <t xml:space="preserve"> Cost of Bid Docs: Php 25,000.00</t>
  </si>
  <si>
    <t xml:space="preserve"> DEADLINE OF SUBMISSION OF SEALED QUOTATION AUGUST 12, 2020 AT 12:59 PM</t>
  </si>
  <si>
    <t xml:space="preserve"> BID TENDER								</t>
  </si>
  <si>
    <t xml:space="preserve"> Toner, Black (INEO + 221)	3	Tube</t>
  </si>
  <si>
    <t xml:space="preserve"> Deadline for submission of bid, August 12, 2020, 2pm.</t>
  </si>
  <si>
    <t xml:space="preserve"> https://drive.google.com/file/d/1szXt0il8nDc6AV1yCXXcVxN2546JucWb/view?usp=drivesdk</t>
  </si>
  <si>
    <t xml:space="preserve"> call Ms. Judilyn Garcia</t>
  </si>
  <si>
    <t xml:space="preserve"> https://drive.google.com/file/d/1fiWSAnQGo3JvDp9l4MzlO_q_OoYRwlhs/view?usp=drivesdk</t>
  </si>
  <si>
    <t xml:space="preserve"> REMINDER:</t>
  </si>
  <si>
    <t xml:space="preserve"> https://drive.google.com/file/d/1CZNaP6ecuc-yk6jKz7ht7QM9e7FObABw/view?usp=drivesdk</t>
  </si>
  <si>
    <t xml:space="preserve"> Issuance of Bid Documents: August 5-12, 2020</t>
  </si>
  <si>
    <t xml:space="preserve"> SUBMISSION OF LETTERS  OF INTENT  AND APPLICATION FOR ELIGIBILITY  WILL BE FROM  AUGUST 5-AUGUST  14,2020.CUT-OFF TIME FOR THE  SUBMISSION OF BIDS  WILL BE ON AUGUST 14,2020, 1:00 P.M.PRE-BID CONFERENCE WILL BE ON AUGUST 12,2020,1:00 P.M.OPENING OF BIDS AND ELIGIBILITY  CHECKING WILL BE AUGUST 14,2020, 1:00 P.M  AT  LAMAC,BARANGAY  HALL.BID DOCUMENTS  WILL BE AVAILABLE ONLY  UPON PAYMENT OF A NON-REFUNDABLE AMOUNT OF FIVE HUNDRED PEOSO( 500.00)  PAYABLE TO THE  BARANGAY TREASURER OF BARANGAY  LAMAC,PINAMUNGAJAN  CEBU</t>
  </si>
  <si>
    <t xml:space="preserve"> Please be informed that the Bid Documents can’t be downloaded from the website. Prospective bidders are requested to acquire the documents directly and personally from the BAC Secretariat upon payment at the Municipal Treasury Office a corresponding fee of Php5,000.00 for the said project.</t>
  </si>
  <si>
    <t xml:space="preserve"> BIDDERS MUST BE FROM WITHIN THE PROVINCE OF ZAMBOANGA DEL NORTE AND MUST HAVE A PHYSICAL OFFICE AT THE ABOVE MENTION PROVINCE.</t>
  </si>
  <si>
    <t xml:space="preserve"> PLEASE SEE ATTACH DOWNLOADED FILES/DOCUMENTS</t>
  </si>
  <si>
    <t xml:space="preserve"> 3009 pcs of modular kit</t>
  </si>
  <si>
    <t xml:space="preserve"> BIDDERS MUST DOWNLOAD THE ATTACHED DOCUMENTS IN THE ASSOCIATED COMPONENT SECTION</t>
  </si>
  <si>
    <t xml:space="preserve"> Please see attached at Associated Components</t>
  </si>
  <si>
    <t xml:space="preserve"> Bid documents are available at the office of Punong Banrangay</t>
  </si>
  <si>
    <t xml:space="preserve"> Please see file on associated component</t>
  </si>
  <si>
    <t xml:space="preserve"> The BAC is conducting the public bidding for this Contract in accordance with Republic Act No. 9184 and its Implementing Rules and Regulations (IRR).</t>
  </si>
  <si>
    <t xml:space="preserve"> https://drive.google.com/file/d/1KVBLVGaf1k4MtciBlvJLfHPoXODr6aKK/view?usp=drivesdk (Bidding Documents)</t>
  </si>
  <si>
    <t xml:space="preserve"> BID OPENING: AUGUST 24, 2020  1:00 PM  BAC OFFICE, MUNICIPAL HALL, STA. MARCELA, APAYAO</t>
  </si>
  <si>
    <t xml:space="preserve"> BIDDERS MUST BE FROM WITHIN THE PROVINCE OF ZAMBOANGA DEL NORTE AND MUST HAVE A PHYSICAL OFFICE WITHIN THE MENTIONED PROVINCE</t>
  </si>
  <si>
    <t xml:space="preserve"> The DICT-FOO-MC3 through its committee for SVP mode of procurement intend to procure SLIDING GLASS WINDOW as per specification above. As such, the supplier of known qualifications is hereby invited to submit their quotations/price proposals not later than August 12, 2020 at DICT-F. Torres St., Davao City The supplier must submit the ff. requirements:																																						</t>
  </si>
  <si>
    <t xml:space="preserve"> AS PER BAC INTERNAL RULE, YOU ARE REQUIRED TO ATTEND THE PREBID CONFERENCE AS SCHEDULED.</t>
  </si>
  <si>
    <t xml:space="preserve"> See main document.</t>
  </si>
  <si>
    <t xml:space="preserve"> The DICT-FOO-MC3 through its committee for SVP mode of procurement intend to procure AIRCON  UNIT as per specification above. As such, the supplier of known qualifications is hereby invited to submit their quotations/price proposals not later than August 12, 2020 at DICT-F. Torres St., Davao City The supplier must submit the ff. requirements:																																						</t>
  </si>
  <si>
    <t xml:space="preserve"> The DICT-FOO-MC3 through its committee for SVP mode of procurement intend to procure CONSTRUCTION MATERIALS as per specification above. As such, the supplier of known qualifications is hereby invited to submit their quotations/price proposals not later than August  12, 2020 at DICT-F. Torres St., Davao City The supplier must submit the ff. requirements:																																						</t>
  </si>
  <si>
    <t xml:space="preserve"> REHABILITATION OF LINED CANAL AT PUROK 2, 3 &amp; 6</t>
  </si>
  <si>
    <t xml:space="preserve"> 1	AMBULANCE</t>
  </si>
  <si>
    <t xml:space="preserve"> Please visit BAC Office Bubual San Pablo, Zambo. Sur</t>
  </si>
  <si>
    <t xml:space="preserve"> The Municipal Government of Dauin, Negros Oriental, through Supplemental #2 Fund,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</si>
  <si>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Please download the Bid Document in the Associated Component.</t>
  </si>
  <si>
    <t xml:space="preserve"> 1	Portland cement	350	Bags</t>
  </si>
  <si>
    <t xml:space="preserve"> Please find attached Purchase Request and Quotation.</t>
  </si>
  <si>
    <t xml:space="preserve"> Opening: August 11, 2020 at 10:00 A.M.</t>
  </si>
  <si>
    <t xml:space="preserve"> CHECK: https://drive.google.com/file/d/1bcOFGN9j-J8HOOWLU0KjOUxfviXo3mDH/view?usp=drivesdk</t>
  </si>
  <si>
    <t xml:space="preserve"> BID OPENING: AUGUST 12, 2020    3:00PM  BAC OFFICE, MUNICIPAL HALL, STA. MARCELA, APAYAO</t>
  </si>
  <si>
    <t xml:space="preserve"> DATE OF PUBLIC BIDDING: AUGUST 12, 2020 @ 10:00 A.M</t>
  </si>
  <si>
    <t xml:space="preserve"> Please refer to the attached Request for Quotation (RFQ) for complete and detailed specifications. For queries, please call at 317-1768 local 779 and look for Mr. John P. Natividad.</t>
  </si>
  <si>
    <t xml:space="preserve"> The Municipal Government of Dauin, Negros Oriental, through CRM Fund,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</si>
  <si>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SOURCE OF FUND: AB-2020</t>
  </si>
  <si>
    <t xml:space="preserve"> ALL INTERESTED BIDDERS ARE REQUIRED TO SUBMIT THEIR COMPLETE ELIGIBILITY REQUIREMENTS TO THE BAC FOR EVALUATION DURING THE PRE-BID CONFERENCE ON AUGUST 12, 2020 8:00A.M. AT THE BAC SECRETARIAT OFFICE, 2ND FLOOR, CITY HALL OF DASMARIÑAS, CAVITE. BIDDERS WHO SHALL FAIL TO ATTEND THE PRE-BID SHALL NOT BE ALLOWED TO JOIN THE BIDDING FOR THE AFORESAID PROJECT. </t>
  </si>
  <si>
    <t xml:space="preserve"> The schedule of opening the bid will be on August 17, 2020 at exactly 3:00 o'clock in the afternoon at the BAC Office LGU Dauis, Bohol.</t>
  </si>
  <si>
    <t xml:space="preserve"> Kindly see RFQ</t>
  </si>
  <si>
    <t xml:space="preserve"> Issuance of Bid Documents: August. 5-12, 2020</t>
  </si>
  <si>
    <t xml:space="preserve"> Please See Attached</t>
  </si>
  <si>
    <t xml:space="preserve"> Kindly see the Plan and details</t>
  </si>
  <si>
    <t xml:space="preserve"> BIDDERS MUST FROM WITHIN THE PROVINCE OF ZAMBOANGA DEL NORTE AND MUST HAVE A PHYSICAL OFFICE WITHIN IN THE PROVINCE</t>
  </si>
  <si>
    <t xml:space="preserve"> BIDDERS MUST BE FROM WITHIN THE PROVINCE OF ZAMBOANGA DEL NORTE AND MUST HAVE A PHYSICAL OFFICE WITHIN THE PROVINCE</t>
  </si>
  <si>
    <t xml:space="preserve"> Check Associated Components</t>
  </si>
  <si>
    <t xml:space="preserve"> SSUANCE OF BIDDING DOCUMENTS: August 5, 2020- August 24, 2020</t>
  </si>
  <si>
    <t xml:space="preserve"> For more details, please refer to:</t>
  </si>
  <si>
    <t xml:space="preserve"> Bidding: August 12, 2020</t>
  </si>
  <si>
    <t xml:space="preserve"> 630 PAX MEALS</t>
  </si>
  <si>
    <t xml:space="preserve"> Second Time Bidding</t>
  </si>
  <si>
    <t xml:space="preserve"> BIDDERS MUST BE FROM THE PROVINCE OF ZAMBOANGA DEL NORTE AND MUST BE HAVE A PHYSICAL OFFICE WITHIN THE PROVINCE.</t>
  </si>
  <si>
    <t xml:space="preserve"> https://drive.google.com/file/d/1prYvRaJzmzovDd-F9YURj3RzGz4cup7e/view?usp=drivesdk</t>
  </si>
  <si>
    <t xml:space="preserve"> kindly download he attached bidding documents for the requirements and specifications.</t>
  </si>
  <si>
    <t xml:space="preserve"> BIDDERS MUST BE FROM THE PROVINCE OF ZAMBOANGA DEL NORTE AND MUST HAVE A PHYSICAL OFFICE AT THE SAID PROVINCE</t>
  </si>
  <si>
    <t xml:space="preserve"> Issuance of LOI : August 5, 2020 to August 14, 2020 / 8:00am to 5:00pm</t>
  </si>
  <si>
    <t xml:space="preserve"> get rfq from BAC secretariat</t>
  </si>
  <si>
    <t xml:space="preserve"> https://drive.google.com/file/d/1KNo-ll4-27iYl2w292fBfNCn2239os9W/view?usp=drivesdk</t>
  </si>
  <si>
    <t xml:space="preserve"> The DICT-FOO-MC3 through its committee for SVP mode of procurement intend to procure PAINTING MATERIALS as per specification above. As such, the supplier of known qualifications is hereby invited to submit their quotations/price proposals not later than August 12, 2020 at DICT-F. Torres St., Davao City The supplier must submit the ff. requirements:																																						</t>
  </si>
  <si>
    <t xml:space="preserve"> https://drive.google.com/file/d/1Wpn6g2weRJbU6gzBZV5S9Vr9tQSK2MMi/view?usp=drivesdk</t>
  </si>
  <si>
    <t xml:space="preserve"> https://drive.google.com/file/d/1txQjl50yT2Vo-3s1n8YkiK3E6pjO_up7/view?usp=drivesdk</t>
  </si>
  <si>
    <t xml:space="preserve"> BIDDERS MUST BE FROM THE PROVINCE OF ZAMBOANGA DEL NORTE AND MUST HAVE A PHYSICAL OFFICE WITHIN THE PROVINCE</t>
  </si>
  <si>
    <t xml:space="preserve"> https://drive.google.com/file/d/1AGgPBPuVBw3FJvYClfSCPNXzhkJj8YUH/view?usp=drivesdk</t>
  </si>
  <si>
    <t xml:space="preserve"> https://drive.google.com/file/d/1feZkD2N-UivyCbnrZX0bFmZ_K7sG6HNh/view?usp=drivesdk</t>
  </si>
  <si>
    <t xml:space="preserve"> https://drive.google.com/file/d/1kS9Qhi-_AF2kVe8d-DijLQWMqzD0lEX_/view?usp=drivesdk</t>
  </si>
  <si>
    <t xml:space="preserve"> THIS IS FOR BRGY GENERAL, TUDELA, CEBU</t>
  </si>
  <si>
    <t xml:space="preserve"> 1.	30	units	Fabrication of Storage Bins</t>
  </si>
  <si>
    <t xml:space="preserve"> 1. DTI Business Name Registration or SEC Registration ,CDA Registration</t>
  </si>
  <si>
    <t xml:space="preserve"> Please see attach downloaded files/documents</t>
  </si>
  <si>
    <t xml:space="preserve"> 1.	Quotation must be your single best offer.</t>
  </si>
  <si>
    <t xml:space="preserve"> For more details, please contact the Municipal Engineer Jopson D. Baones with his Mobile No. 09399029802.</t>
  </si>
  <si>
    <t xml:space="preserve"> Mayors Per</t>
  </si>
  <si>
    <t xml:space="preserve"> mayors per</t>
  </si>
  <si>
    <t xml:space="preserve"> Area of Delivery: Quezon: City</t>
  </si>
  <si>
    <t xml:space="preserve"> Please download the Associated Components</t>
  </si>
  <si>
    <t xml:space="preserve"> BID OPENING: AUGUST 12, 2020 4:00PM  BAC OFFICE, MUNICIPAL HALL, STA. MARCELA, APAYAO</t>
  </si>
  <si>
    <t xml:space="preserve"> Bid documents are also downloadbale in the DPWH Website</t>
  </si>
  <si>
    <t xml:space="preserve"> Bidding documents can also be downloaded thru this link:</t>
  </si>
  <si>
    <t xml:space="preserve"> - All interested PCAB Licensed Contractors are advised to inquire at the Municipal Engineering Office for verification of plans, specifications, items of work and other matters pertaining to this procurement.</t>
  </si>
  <si>
    <t xml:space="preserve"> BID DOCUMENT IS AVAILABLE AT BAC SECRETARIAT, BRGY. BALZAIN</t>
  </si>
  <si>
    <t xml:space="preserve"> Bid Opening</t>
  </si>
  <si>
    <t xml:space="preserve"> Issuance of Bidding Documents:  August 5, 2020 until 1:30 p.m. of August 25, 2020</t>
  </si>
  <si>
    <t xml:space="preserve"> BAC Secretariat</t>
  </si>
  <si>
    <t xml:space="preserve"> BID DOCUMENT IS AVAILABLE AT BAC SECRETARIAT, BARANGAY HALL, BRGY. MANGAYANG</t>
  </si>
  <si>
    <t xml:space="preserve"> PLEASE SEE ASSOCIATED COMPONENTS FOR THE COMPLETE SET OF BIDDING DOCUMENTS</t>
  </si>
  <si>
    <t xml:space="preserve"> 1.)	37	sacks	Chicken Grower Crumble</t>
  </si>
  <si>
    <t xml:space="preserve"> TECHNICAL SPECIFICATIONS  </t>
  </si>
  <si>
    <t xml:space="preserve"> 1 METER HIGH CONCRETE PEDESTAL  WITH 40CM EXPOSED AND 60CM EMBEDED TO THE GROUND  SCHEDULED 40 3" IN THE DIAMETER  GI PIPE, 60 WATTS, 300-500 LUMENS OR ITS EQUIVALENT WITH BUILT IN STORAGE COMPATABLE TO 60WATTS, POST LAMP'S HEIGHT IS 6M WITH PIPE BASE STEEL PLATE AND ANCHOR BOLTED TO THE PEDESTAL, POST PAINTED WITH ACRYLIC SCRATCH RESISTANT</t>
  </si>
  <si>
    <t xml:space="preserve"> BID DOCUMENT IS AVAILABLE AT BAC SECRETARIAT OFFICE AT BRGY. HALL, BRGY. MANGAYANG</t>
  </si>
  <si>
    <t xml:space="preserve"> FUNDED UNDER BDF CY 2020</t>
  </si>
  <si>
    <t xml:space="preserve"> Bid Documents are also downloadable in the DPWH Website</t>
  </si>
  <si>
    <t xml:space="preserve"> Project Description	: Rehabilitation/Improvement</t>
  </si>
  <si>
    <t xml:space="preserve"> https://drive.google.com/file/d/11qp_9ZkE6moNLpBf1pyEcQQJGhHpEWUu/view?usp=drivesdk</t>
  </si>
  <si>
    <t xml:space="preserve"> This is a project of Barangay Diwan, please collect Bid Documents at Barangay Hall, Diwan, Dipolog City.</t>
  </si>
  <si>
    <t xml:space="preserve"> 1	Portland cement	10	Bags</t>
  </si>
  <si>
    <t xml:space="preserve"> SECOND POSTING</t>
  </si>
  <si>
    <t xml:space="preserve"> Please look Mr. FREDERICK VILLAS and Ms. Rowena Rodriguez for other information.</t>
  </si>
  <si>
    <t xml:space="preserve"> Pls see attached TOR</t>
  </si>
  <si>
    <t xml:space="preserve"> issuance of bid documents - August 5-26, 2020</t>
  </si>
  <si>
    <t xml:space="preserve"> Project Description	: Construction</t>
  </si>
  <si>
    <t xml:space="preserve"> Amount of Bidding Document: Php. 1,000.00</t>
  </si>
  <si>
    <t xml:space="preserve"> bid docs PhP 500.00</t>
  </si>
  <si>
    <t xml:space="preserve"> Project Description	: Completion</t>
  </si>
  <si>
    <t xml:space="preserve"> https://drive.google.com/file/d/1j1UDjS3xLlByRedNFOr-xhubQB_Ca9yF/view?usp=drivesdk</t>
  </si>
  <si>
    <t xml:space="preserve"> https://drive.google.com/file/d/1Rq-1cZwyXHWbwm3EcAaDKL4MhAzBJXYd/view?usp=drivesdk</t>
  </si>
  <si>
    <t xml:space="preserve"> FOR 2ND BIDDING</t>
  </si>
  <si>
    <t xml:space="preserve"> Interested supplier's please submit certificate of philgeps registration, mayor's permit &amp; tax clearance</t>
  </si>
  <si>
    <t xml:space="preserve"> a.	Construction &amp; Establishment of AgriHope Tourism Farm	   3,000,000.00</t>
  </si>
  <si>
    <t xml:space="preserve"> TERMS OF PAYMENT = 30 DAYS</t>
  </si>
  <si>
    <t xml:space="preserve"> a.	Construction of Perimeter Fence at Pantaleon Gotladera 	   1,800,000.00</t>
  </si>
  <si>
    <t xml:space="preserve"> a.	Concreting of Pathway at San Pedro 	   	               500,000.00</t>
  </si>
  <si>
    <t xml:space="preserve"> Name of Project: Procurement of Printer</t>
  </si>
  <si>
    <t xml:space="preserve"> Blood Bags		1000	unit </t>
  </si>
  <si>
    <t xml:space="preserve"> a.	Establishment of Coconut Nursery, Cogon, Juban   		      130,000.00</t>
  </si>
  <si>
    <t xml:space="preserve"> Bungulan Suckers/Balangon Suckers		15,000.00	pcs</t>
  </si>
  <si>
    <t xml:space="preserve"> Digital Light Processing Projector	1	unit</t>
  </si>
  <si>
    <t xml:space="preserve"> FOR BID DOCS:</t>
  </si>
  <si>
    <t xml:space="preserve"> Requirements:</t>
  </si>
  <si>
    <t xml:space="preserve"> Bid Opening: August 25, 2020, 9:00 AM.</t>
  </si>
  <si>
    <t xml:space="preserve"> https://drive.google.com/file/d/1_Q5ZnoxgNdwTlcSEyPvpXeoUZfbWbnrG/view?usp=drivesdk</t>
  </si>
  <si>
    <t xml:space="preserve"> Contact Person:  Mary Grace Katigbak</t>
  </si>
  <si>
    <t xml:space="preserve"> for other inquiry please contact @ 2050-293 BAC or BAC Secretariat</t>
  </si>
  <si>
    <t xml:space="preserve"> PLEASE SEND US YOUR QUOTATION THRU OUR EMAIL ADDRESS</t>
  </si>
  <si>
    <t xml:space="preserve"> You can also download the items and specifications at our official website: www.cebucity.gov.ph under For</t>
  </si>
  <si>
    <t xml:space="preserve"> Contact Person:  Ms. Heide Villamayor</t>
  </si>
  <si>
    <t xml:space="preserve"> Deadline for submission of bids will be on August 12, 2020, 10:00 A.M. at the Supply Office, Town Hall, Poblacion, Kibungan, Benguet.</t>
  </si>
  <si>
    <t xml:space="preserve"> For Particular, Inquire at BAC Secretariat of Brgy. San Rafael, Atimonan, Quezon</t>
  </si>
  <si>
    <t xml:space="preserve"> Please bring medical certificate issued at least 7 days prior to the conference you are attending. Thank you.</t>
  </si>
  <si>
    <t xml:space="preserve"> INVITATION TO BID</t>
  </si>
  <si>
    <t xml:space="preserve"> https://drive.google.com/file/d/1YL2VIfcB6qmSEbtpiFP4JruVbHOaZkHj/view?usp=drivesdk</t>
  </si>
  <si>
    <t xml:space="preserve"> https://drive.google.com/file/d/1JvunhUgo2KVZpaP4wzINyyQsfdAz-C_X/view?usp=drivesdk</t>
  </si>
  <si>
    <t xml:space="preserve"> Sta. Ana District</t>
  </si>
  <si>
    <t xml:space="preserve"> 1.	Availability of Request for Quotation (RFQ) Form is on august 4, 2020 until 5:00 pm of August 11, 2020 (working days only).</t>
  </si>
  <si>
    <t xml:space="preserve"> for more information just contact barangay secretariat of Barangay Bagacay Tigbauan, Iloilo</t>
  </si>
  <si>
    <t xml:space="preserve"> NOTE: THIS IS A REBIDDING FOR THE SAID ITEM IN THIS PURCHASE REQUEST..</t>
  </si>
  <si>
    <t xml:space="preserve"> NOTE: THIS IS A REBIDDING FOR ALL ITEMS IN THIS PURCHASE REQUEST..</t>
  </si>
  <si>
    <t xml:space="preserve"> Bidding documents can be downloaded on the Associated Components</t>
  </si>
  <si>
    <t xml:space="preserve"> Purpose: For Equipment and Fixtures for the Research Workshop Room</t>
  </si>
  <si>
    <t xml:space="preserve"> Purpose: To keep safe of the documents under the office of the Alumni Affairs.</t>
  </si>
  <si>
    <t xml:space="preserve"> Purpose: For Guidance and Counseling Office Use.</t>
  </si>
  <si>
    <t xml:space="preserve"> Prospective bidder should have experience in undertaking a similar project with the proposed project for bidding. The eligibility check/screening as well as the preliminary Examination of Bids shall use nondiscretionary “pass/fail” criteria. Post-qualification of the lowest calculated bid shall be conducted. All particulars relative to Eligibility Statement and Screening, Bid Security, Performance Security, Pre-bidding Conference(s), Evaluation of Bids, Post-qualification and Awards of Contract shall be governed by the pertinent provisions of RA 9184 and its Implementing Rules and Regulation (IRR).</t>
  </si>
  <si>
    <t xml:space="preserve"> For more information please visit or contact the BAC Secretariat at Brgy. Sto. Tomas, Mutia Z. N</t>
  </si>
  <si>
    <t xml:space="preserve"> Please download associated component/s </t>
  </si>
  <si>
    <t xml:space="preserve"> For more information, please see or contact the BAC Members of BRgy. Anibong, Magallanes, Sorsogon.</t>
  </si>
  <si>
    <t xml:space="preserve"> For more inquiries pls call 87230401 loc 4579</t>
  </si>
  <si>
    <t xml:space="preserve"> F0or more details you may call/visit BAC Secretariat @ LGU POLANCO, Polanco, Z.N.</t>
  </si>
  <si>
    <t xml:space="preserve"> For inquiries pls call 87230401 loc4579</t>
  </si>
  <si>
    <t xml:space="preserve"> Ms. ROGELIA E. MIGELLANO</t>
  </si>
  <si>
    <t xml:space="preserve"> Prospective bidders should have experience in undertaking a similar project within the last three (3) years, with an amount of at least 50% of the proposed project for bidding. The Eligibility Check/Screening as well as the Preliminary Examination of Bids shall use non-discretionary "pass/fail" criteria. Post Qualification of the lowest calculated bid shall be conducted.</t>
  </si>
  <si>
    <t xml:space="preserve"> Interested supplier/service provider is required to submit the following documents:</t>
  </si>
  <si>
    <t xml:space="preserve"> 1. Bidders are required to read the instruction.</t>
  </si>
  <si>
    <t xml:space="preserve"> Please contact the BAC Secretariat at the Municipal Budget Office, 2nd floor Municipal Building, LGU-Talisay Camarines Norte.</t>
  </si>
  <si>
    <t xml:space="preserve"> https://drive.google.com/file/d/1ZjhLw-3gSkKL2cWTS1Gu37dkJzrXOkDh/view?usp=drivesdk</t>
  </si>
  <si>
    <t xml:space="preserve"> Approved Budget for the contract - Php 150,000.00</t>
  </si>
  <si>
    <t xml:space="preserve"> https://drive.google.com/file/d/1FY6Uz6Zt7a0QMIK92FxW7ljK5bFVey0I/view?usp=drivesdk</t>
  </si>
  <si>
    <t xml:space="preserve"> https://drive.google.com/file/d/1Mpc_uak7o8DAT0_DC6yJkWN4OfQkarkN/view?usp=drivesdk</t>
  </si>
  <si>
    <t xml:space="preserve"> You may see the SO, Municipality of Caibiran</t>
  </si>
  <si>
    <t xml:space="preserve"> https://drive.google.com/file/d/1cGCtRQBKAJdXhcauS-OdeNZS5jecXjkP/view?usp=drivesdk</t>
  </si>
  <si>
    <t xml:space="preserve"> - other information may be discussed during pre-bid conference</t>
  </si>
  <si>
    <t xml:space="preserve"> https://drive.google.com/file/d/1JCi6s9GVMiQiYbUmaA2iCS0uunYhNoM-/view?usp=drivesdk</t>
  </si>
  <si>
    <t xml:space="preserve"> https://drive.google.com/file/d/10WY8N_ig-ZEfIrbdgAINMCVNYUDhKvKw/view?usp=drivesdk</t>
  </si>
  <si>
    <t xml:space="preserve"> Bidders shall pay the BAC a non-refundable fee of Php500.00 for the Bidding Documents, upon securing hard copies of the Documents. Bidders that download the Documents from the DPWH/PhilGEPS website shall pay the fee upon submission of their bids. </t>
  </si>
  <si>
    <t xml:space="preserve"> For more information, please see or contact the BAC Members of Brgy. Bulala, Magallanes, Sorsogon.</t>
  </si>
  <si>
    <t xml:space="preserve"> For More Details Please Contact: NECIFORA F. LADA-BAC Chairman#095536089892</t>
  </si>
  <si>
    <t xml:space="preserve"> https://drive.google.com/file/d/1t74V0LIJiPwYA2zPgM1359OEYtWyKZGT/view?usp=drivesdk</t>
  </si>
  <si>
    <t xml:space="preserve"> For more information,please see or contact the BAC Members of Brgy. Binisitahan Sur, Magallanes, Sorsogon.</t>
  </si>
  <si>
    <t xml:space="preserve"> 1	Diesoline	 4,440   Liters</t>
  </si>
  <si>
    <t xml:space="preserve"> BIDDERS MUST BE FROM WITHIN THE PROVINCE OF ZAMBOANGA DEL NORTE AND MUST HAVE A PHYSICAL OFFICE WITHIN THE SAID PROVINCE.</t>
  </si>
  <si>
    <t xml:space="preserve"> OPENING OF PRICE QUOTATION ON AUGUST 14, 2020 2:00 P.M. AT  DENR-PENR OFFICE, SAN VICTORIES, BRGY. 9, MALAYBALAY CITY</t>
  </si>
  <si>
    <t xml:space="preserve"> Download the RFQ at the link provided below:</t>
  </si>
  <si>
    <t xml:space="preserve"> SPECS: </t>
  </si>
  <si>
    <t xml:space="preserve"> Bid documents are available at the office of Punong Barangay</t>
  </si>
  <si>
    <t xml:space="preserve"> Medicine and Medical Supplies Rack, 1st bay double side, 7 levels, H1.8mx W 6.870m x L900mm, Wire Mesh racking, Beige Color, Powder Coated, 100Kg Load capacity per level	9	unit</t>
  </si>
  <si>
    <t xml:space="preserve"> Please send us your quotation and send it in our email address.</t>
  </si>
  <si>
    <t xml:space="preserve"> For more information, please see or contact the BAC Members of Brgy. Aguada Sur, Magallanes, Sorsogon.</t>
  </si>
  <si>
    <t xml:space="preserve"> For Further information please refer to:</t>
  </si>
  <si>
    <t xml:space="preserve"> Interested parties may send their VAT inclusive price quotation elmer.valenzuela@cbaa.gov.ph</t>
  </si>
  <si>
    <t xml:space="preserve"> Hon. Romeo F. Alberca</t>
  </si>
  <si>
    <t xml:space="preserve"> Please contact Mr. Reno C. Salazar the BAC Secretary with CP # 09459852914 or you may call to Ms. Ma. Teresa L. Minguez the Chairperson. Thanks and God Bless us all</t>
  </si>
  <si>
    <t xml:space="preserve"> SUPPLIERS/BIDDERS MUST DOWNLOAD THE ATTACHED DOCUMENTS IN THE ASSOCIATED COMPONENTS SECTION.</t>
  </si>
  <si>
    <t xml:space="preserve"> HON. ROMEO F. ALBERCA</t>
  </si>
  <si>
    <t xml:space="preserve"> RFQ ON MATERIALS FOR THE PRODUCTION OF LEARNING RESOURCE</t>
  </si>
  <si>
    <t xml:space="preserve"> Deadline for submission of bid, August 11, 2020, 2pm. </t>
  </si>
  <si>
    <t xml:space="preserve"> https://drive.google.com/file/d/1VHwM9HiDdVPGctOVPoLud9dHfj2-oSXm/view?usp=drivesdk</t>
  </si>
  <si>
    <t xml:space="preserve"> Please contact Mr. Reno C. Salazar the BAC Secretary with CP # 09459852914 or you may call to Ms. Ma. Teresa L. Minguez the BAC Chairperson. Thanks and God Bless us all.</t>
  </si>
  <si>
    <t xml:space="preserve"> Check to DL: https://drive.google.com/file/d/166aardG23l_EW8QujL-PfUb5qPfnUKq5/view?usp=drivesdk</t>
  </si>
  <si>
    <t xml:space="preserve"> A complete set of bidding document may be purchased by interested bidders on August 04, 2020 to August 24, 2020 from the address below upon payment of a non-refundable fee for the bidding documents in the amount of P5000.00</t>
  </si>
  <si>
    <t xml:space="preserve"> kindly download the attached bidding documents for the requirements and specifications.</t>
  </si>
  <si>
    <t xml:space="preserve"> Bid docs available @ Brgy. Hall  Navalita Hinundayan So.  Leyte</t>
  </si>
  <si>
    <t xml:space="preserve"> https://drive.google.com/file/d/18IIkrHxL40RDuQxSyG3X3lsiZGia2XEp/view?usp=drivesdk</t>
  </si>
  <si>
    <t xml:space="preserve"> Deadline for submission of bid, August 11, 2020, 2PM.</t>
  </si>
  <si>
    <t xml:space="preserve"> Supply  and Installation of 4-units Closed Circuit</t>
  </si>
  <si>
    <t xml:space="preserve"> https://drive.google.com/file/d/1vRAG27wI8my0TJfjoJJhpXci6DqXqfEX/view?usp=drivesdk</t>
  </si>
  <si>
    <t xml:space="preserve"> https://drive.google.com/file/d/169ZHvq0ebrDsxDvKUB98H6rVgJ0GTwFu/view?usp=drivesdk</t>
  </si>
  <si>
    <t xml:space="preserve"> https://drive.google.com/file/d/1K-gUSkJJWswm7tbmRijednZIiF8-Jrdf/view?usp=drivesdk</t>
  </si>
  <si>
    <t xml:space="preserve"> NOTE: THIS IS A REBIDDING FOR ALL ITEMS IN THIS PURCHASE REQUEST.</t>
  </si>
  <si>
    <t xml:space="preserve"> https://drive.google.com/file/d/1CnZBB1cAQMchL0uDwboDoGw9gX0IlYeb/view?usp=drivesdk</t>
  </si>
  <si>
    <t xml:space="preserve"> FUND SOURCE 20%EDF AND AM</t>
  </si>
  <si>
    <t xml:space="preserve"> https://drive.google.com/file/d/1W_WX7pP21K-Jk9MTtDnBz1UIbpd_Dvsc/view?usp=drivesdk</t>
  </si>
  <si>
    <t xml:space="preserve"> Bidder with the Single Calculated and Responsive Bid</t>
  </si>
  <si>
    <t xml:space="preserve"> https://drive.google.com/file/d/1-4aM7F3I-A_ynk0yWPmwH2sK4nm-xMaC/view?usp=drivesdk</t>
  </si>
  <si>
    <t xml:space="preserve"> https://drive.google.com/file/d/1LDWGvXWtt1erPkCxlXDprPAXYCsNx7GJ/view?usp=drivesdk</t>
  </si>
  <si>
    <t xml:space="preserve"> For information inquire at BAC Secretariat of Atimonan, Quezon</t>
  </si>
  <si>
    <t xml:space="preserve"> https://drive.google.com/file/d/187Uzytzb5-BVT0bFhucnSgrw5mpjGnP5/view?usp=drivesdk</t>
  </si>
  <si>
    <t xml:space="preserve"> SSUANCE OF BIDDING DOCUMENTS: August 4, 2020- August 24, 2020</t>
  </si>
  <si>
    <t xml:space="preserve"> Please viset BAC office</t>
  </si>
  <si>
    <t xml:space="preserve"> https://drive.google.com/file/d/1-rhjRKNT2H4v4Hx-C6asNGr0OvR4hqzN/view?usp=drivesdk</t>
  </si>
  <si>
    <t xml:space="preserve"> Posted at three conspicuous places.</t>
  </si>
  <si>
    <t xml:space="preserve"> Brand names of all items must be indicated in the bid.</t>
  </si>
  <si>
    <t xml:space="preserve"> 20% EDF CY 2020</t>
  </si>
  <si>
    <t xml:space="preserve"> ISSUANCE OF BIDDING DOCUMENTS: August 4, 2020- August 24, 2020</t>
  </si>
  <si>
    <t xml:space="preserve"> Fund Source CO Mayor's Office</t>
  </si>
  <si>
    <t xml:space="preserve"> https://drive.google.com/file/d/1eDF5yjy9T4-A7qmChQnB8sI6jKwjiZbR/view?usp=drivesdk</t>
  </si>
  <si>
    <t xml:space="preserve"> BIDDERS MUST DOWNLOAD THE DOCUMENTS IN THE ASSOCIATED COMPONENT</t>
  </si>
  <si>
    <t xml:space="preserve"> Interested supplier's please submit certificate of philgeps registration, mayor's permit &amp; tax clearance.</t>
  </si>
  <si>
    <t xml:space="preserve"> https://drive.google.com/file/d/1NFyxV-gjBjWtUkpGoKFIBtzT_fPXE6E7/view?usp=drivesdk</t>
  </si>
  <si>
    <t xml:space="preserve"> https://drive.google.com/file/d/14DCoLEuwtaNpYivZHEh3B2h1xHWDh_oe/view?usp=drivesdk</t>
  </si>
  <si>
    <t xml:space="preserve"> ISSUANCE OF BIDDING DOCUMENTS: August 4, 2020- AUgust 24, 2020</t>
  </si>
  <si>
    <t xml:space="preserve"> FUNDED UNDER CAPITAL OUTLAY - AB 2020</t>
  </si>
  <si>
    <t xml:space="preserve"> Please contact to Mr. Reno C. Salazar the BAC Secretary with CP # 09459852914 or you may call to Ms. Ma. Teresa L. Minguez the BAC Chairperson with CP # 09778033758. Thanks and God Bless us all.</t>
  </si>
  <si>
    <t xml:space="preserve"> Bidders must download the attached document in the associated components section.</t>
  </si>
  <si>
    <t xml:space="preserve"> Must be delivered to Batuan Elementary School, Valladolid, Negros Occidental</t>
  </si>
  <si>
    <t xml:space="preserve"> Please see attached Bidding Document for more details.</t>
  </si>
  <si>
    <t xml:space="preserve"> FOR THE INSTALLATION OF CLOSE CIRCUIT TELEVISION (CCTV)			</t>
  </si>
  <si>
    <t xml:space="preserve"> THOMAS ADRIAN GRIARTE</t>
  </si>
  <si>
    <t xml:space="preserve"> ISSUANCE OF BIDDING DOCUMENTS: AUGUST 4, 2020- AUGUST 24, 2020</t>
  </si>
  <si>
    <t xml:space="preserve"> ISSUANCE OF BIDDING DOCUMENTS: AUgust 4, 2020- AUgust 24, 2020</t>
  </si>
  <si>
    <t xml:space="preserve"> FUND SOURCE-CO Mayor's Office</t>
  </si>
  <si>
    <t xml:space="preserve"> For more details, please contact Barangay Captain Juvenile P. Medequiso, Sr. with his Mobile No. 09483976852.</t>
  </si>
  <si>
    <t xml:space="preserve"> You can download the Bidding Documents Here:</t>
  </si>
  <si>
    <t xml:space="preserve"> UPLOADED DOCUMENTS ARE ALSO AVAILABLE IN DPWH WEBSITE.</t>
  </si>
  <si>
    <t xml:space="preserve"> Bid Docs Fee P/10,000.00</t>
  </si>
  <si>
    <t xml:space="preserve"> Bid Docs PhP 500.00</t>
  </si>
  <si>
    <t xml:space="preserve"> UPLOADED DOCS ARE ALSO AVAILABLE IN DPWH WEBSITE</t>
  </si>
  <si>
    <t xml:space="preserve"> Fund Source - CO Mayor's Office</t>
  </si>
  <si>
    <t xml:space="preserve"> https://drive.google.com/file/d/1rC21UVKcoonFsTMYy2rVNdF3pc68Noit/view?usp=drivesdk</t>
  </si>
  <si>
    <t xml:space="preserve"> https://drive.google.com/file/d/1H4fW1GM4FDs_zRbCrEHJecmHvAHPV0qR/view?usp=drivesdk</t>
  </si>
  <si>
    <t xml:space="preserve"> Payment for the item to be procured is COD upon acceptance of the P.O. of the Winning Supplier</t>
  </si>
  <si>
    <t xml:space="preserve"> DESCRIPTION - CONCRETING</t>
  </si>
  <si>
    <t xml:space="preserve"> VICKY R. DURANA, MPA</t>
  </si>
  <si>
    <t xml:space="preserve"> Please see attached Notice of Negotiated Procurement for more details.</t>
  </si>
  <si>
    <t xml:space="preserve"> LINKS TO DOWNLOAD THE TERMS OF REFERENCE (TOR) AND PLANS</t>
  </si>
  <si>
    <t xml:space="preserve"> For Child Development Center Supplies</t>
  </si>
  <si>
    <t xml:space="preserve"> CHECKLIST FOR BIDDING OF GOODS</t>
  </si>
  <si>
    <t xml:space="preserve"> Interested bidders/suppliers may download attached documents located in the Associated Component Section.</t>
  </si>
  <si>
    <t xml:space="preserve"> Documentary Requirements:</t>
  </si>
  <si>
    <t xml:space="preserve"> https://drive.google.com/file/d/1EmAmEf2B-TI2F09nl2CLK2RPR57ln6-b/view?usp=drivesdk</t>
  </si>
  <si>
    <t xml:space="preserve"> The municipality of Kapangan reserves the right to reject any and all bids, declare a failure of bidding, or not award the contract at any time prior to contract award in accordance with section 41 of RA 9184 and its IRR, without thereby incurring any liability to the affected bidder/s.</t>
  </si>
  <si>
    <t xml:space="preserve"> https://drive.google.com/file/d/1vp-HAIV-zVV6TQxERenmziFzYacTTWAA/view?usp=drivesdk</t>
  </si>
  <si>
    <t xml:space="preserve"> email: bacsecretariat@customs.gov.ph</t>
  </si>
  <si>
    <t xml:space="preserve"> Bidder must download the attached document in the associated component section.</t>
  </si>
  <si>
    <t xml:space="preserve"> Barangay Antipolo Old, Nabua, Camarines Sur reserves the right to accept or reject any bid, to annual bidding process, and to reject all bids at anytime prior to contract, award, without thereby incurring liability to the affected Bidder of Bidders.</t>
  </si>
  <si>
    <t xml:space="preserve"> Interested/Prospective bidders are advised to go directly to the Bids and Awards Committee (BAC) of the aforesaid barangay. This is for posting purposes only since the concerned barangay has no internet connection for uploading purposes.</t>
  </si>
  <si>
    <t xml:space="preserve"> for more information just contact barangay secretariat of Barangay 9 Poblacion Tigbauan, Iloilo</t>
  </si>
  <si>
    <t xml:space="preserve"> For further information about the project, please kindly contact the telephone number provided in the Invitation to Bid. For the Pre-Bidding and Bidding Conference, a Zoom Conference will be held on the given date and time.</t>
  </si>
  <si>
    <t xml:space="preserve"> All interested bidders must purchase bid document at Municipal Treasury Office together with the letter of intent before going to the BAC Office, 3rd floor, Municipal Bldg. Abatan, Buguias, Benguet from August 4, 2020 starting 3:00 PM - 4:00 PM.</t>
  </si>
  <si>
    <t xml:space="preserve"> All interested bidders must purchase bid document at Municipal Treasury Office together with the letter of intent before going to the BAC Office, 3rd floor, Municipal Bldg. Abatan, Buguias, Benguet from August 11, 2020 starting 3:00 PM - 4:00 PM.</t>
  </si>
  <si>
    <t xml:space="preserve"> for more information just contact barangay secretariat of Barangay Bagumbayan Tigbauan, Iloilo</t>
  </si>
  <si>
    <t xml:space="preserve"> For further inquiries about the project, please contact BAC Secretariat of Brgy. Colon through the given contact number.</t>
  </si>
  <si>
    <t xml:space="preserve"> https://drive.google.com/file/d/1ATEMytt_mW2-qqpuph64k14Jzp2sLeOO/view?usp=drivesdk</t>
  </si>
  <si>
    <t xml:space="preserve"> Bidding Documents amount is Php 5,000.00.</t>
  </si>
  <si>
    <t xml:space="preserve"> https://drive.google.com/file/d/1VVeGBmMit3wd1gerNLo_8KjyNcM9iuW8/view?usp=drivesdk</t>
  </si>
  <si>
    <t xml:space="preserve"> Please give us a call at 924-6101 local 1063/1067</t>
  </si>
  <si>
    <t xml:space="preserve"> 2019 20% DF</t>
  </si>
  <si>
    <t xml:space="preserve"> Interested bidders may purchase bid documents from BAC-Secretariat at the address stated in the Invitation to Bid.</t>
  </si>
  <si>
    <t xml:space="preserve"> BAC Meetings will be conducted thru video conferencing via MS Team</t>
  </si>
  <si>
    <t xml:space="preserve"> Bidding Documents  amount is Php 10,000.00.</t>
  </si>
  <si>
    <t xml:space="preserve"> Bidding Documents amount is Php5,000.00.</t>
  </si>
  <si>
    <t xml:space="preserve"> CHECKLIST FOR INFRASTRUCTURE</t>
  </si>
  <si>
    <t xml:space="preserve"> For Particular, Inquire at BAC Secretariat of Brgy. Habingan, Atimonan, Quezon</t>
  </si>
  <si>
    <t xml:space="preserve"> The  schedule of activities is listed, as follows:							</t>
  </si>
  <si>
    <t xml:space="preserve"> ITEMS FOR PROCUREMENT:</t>
  </si>
  <si>
    <t xml:space="preserve"> Instruction for Suppliers on how to View/Download Documents:</t>
  </si>
  <si>
    <t xml:space="preserve"> 1. LINK FOR ITB, BID DOCS &amp; PLANS:</t>
  </si>
  <si>
    <t xml:space="preserve"> 1.LINKS FOR ITB, BID DOCS &amp; PLANS</t>
  </si>
  <si>
    <t xml:space="preserve"> Interested bidders may obtain further information from the PPA-BAC-EP- secretariat and inspect the bidding documents from the address given below from 9:00 am to 4:00 pm.</t>
  </si>
  <si>
    <t xml:space="preserve"> For Particulars: Inquire at BAC Secretariat of Barangay San Isidro, Atimonan, Quezon</t>
  </si>
  <si>
    <t xml:space="preserve"> Bidding Documents may be secured from the BAC Secretariat, Office of the Municipal Treasurer – Supply Section upon payment to the MTO Cashier of a non-refundable amount of ₱ 500.00. </t>
  </si>
  <si>
    <t xml:space="preserve"> Bidding Documents may be secured from the BAC Secretariat, Office of the Municipal Treasurer – Supply Section upon payment to the MTO Cashier of a non-refundable amount of ₱500.00.  </t>
  </si>
  <si>
    <t xml:space="preserve"> Bidding Documents may be secured from the BAC Secretariat, Office of the Municipal Treasurer – Supply Section upon payment to the MTO Cashier of a non-refundable amount of ₱5,000.00.  </t>
  </si>
  <si>
    <t xml:space="preserve"> For more information please visit or contact the BAC Secretariat at Brgy. Mauswagon, La Libertad Z. N</t>
  </si>
  <si>
    <t xml:space="preserve"> The BAC will use NON-DISCRETIONARY PASS/FAIL CRITERIA in the Eligibility Check/Screening as well as the Preliminary Examination of Bids.  The BAC will conduct post-qualification of the lowest calculated bid.</t>
  </si>
  <si>
    <t xml:space="preserve"> Created By: Aireen T. Dizon</t>
  </si>
  <si>
    <t xml:space="preserve"> https://drive.google.com/file/d/1C8cvMRk30T0WG1wepu-u9vFt6kN45iCP/view?usp=drivesdk</t>
  </si>
  <si>
    <t xml:space="preserve"> Ms. Antonina A. Alcachupas</t>
  </si>
  <si>
    <t xml:space="preserve"> BUDGET SOURCE: GAA/INCOME</t>
  </si>
  <si>
    <t xml:space="preserve"> Please be informed that the Bid Documents can't be downloaded from the website. Interested bidders are requested to acquire the documents directly and personally from the Mayor's Office upon payment of a corresponding fee of Php500.00 for the said project at the Municipal Treasury Office.</t>
  </si>
  <si>
    <t xml:space="preserve"> n/A</t>
  </si>
  <si>
    <t xml:space="preserve"> posted in three (3) conspicuous places</t>
  </si>
  <si>
    <t xml:space="preserve"> N/A</t>
  </si>
  <si>
    <t xml:space="preserve"> Requesting Office / End-User :  Barangay 649, Zone 68, District V</t>
  </si>
  <si>
    <t xml:space="preserve"> Buyer: J.S. Medina</t>
  </si>
  <si>
    <t xml:space="preserve"> Requesting Office/End - User : Barangay 649, Zone 68, District V</t>
  </si>
  <si>
    <t xml:space="preserve"> Pre-Bid Conference will be on August 7, 2020, at 10:00 am</t>
  </si>
  <si>
    <t xml:space="preserve"> Pre Bid Conference will be on August 7, 2020, at 10:00 am </t>
  </si>
  <si>
    <t xml:space="preserve"> https://drive.google.com/file/d/1T6O5-WQoMjpazzjVr3aOKHX_Xbl-K3Si/view?usp=drivesdk</t>
  </si>
  <si>
    <t xml:space="preserve"> For copies of the Bidding Documents, Scope of Works, Drawing and Bill of Quantities, kindly click the associated components.</t>
  </si>
  <si>
    <t xml:space="preserve"> ALL INTERESTED BIDDERS ARE REQUIRED TO SUBMIT THEIR COMPLETE ELIGIBILITY REQUIREMENTS TO THE BAC FOR EVALUATION DURING THE PRE-BID CONFERENCE ON AUGUST 7, 2020 8:00A.M. AT THE BAC SECRETARIAT OFFICE, 2ND FLOOR, CITY HALL OF DASMARIÑAS, CAVITE. BIDDERS WHO SHALL FAIL TO ATTEND THE PRE-BID SHALL NOT BE ALLOWED TO JOIN THE BIDDING FOR THE AFORESAID PROJECT. </t>
  </si>
  <si>
    <t xml:space="preserve"> https://drive.google.com/file/d/15Q8snoITHTAy4-6RxuJ8tiiUJDqC_8CR/view?usp=drivesdk</t>
  </si>
  <si>
    <t xml:space="preserve"> This is an Online or Electronic Bid Submission. Only One (1) Representative per Company is allowed to join the Video Conferencing.</t>
  </si>
  <si>
    <t xml:space="preserve"> https://drive.google.com/file/d/1lXDJO9dpJtm-mIiVC4bGE6Ec8aD2RYxU/view?usp=drivesdk</t>
  </si>
  <si>
    <t xml:space="preserve"> https://drive.google.com/file/d/1O0MEwoKebm6_IR4z8a5JwMw7MfguC33d/view?usp=drivesdk</t>
  </si>
  <si>
    <t xml:space="preserve"> https://drive.google.com/file/d/1jLagGNdQ1r6nQDAzr1lxlVxCcCAFUCkN/view?usp=drivesdk</t>
  </si>
  <si>
    <t xml:space="preserve"> https://drive.google.com/file/d/1RIjBv896OZro0INvj2ikwN4v13wN6dde/view?usp=drivesdk</t>
  </si>
  <si>
    <t xml:space="preserve"> PLEASE SEE ATTACHED INVITATION TO SUBMIT PRICE QUOTATION, TERMS OF REFERENCE, REQUEST FOR QUOTATION WITH ABC, TECHNICAL SPECIFICATIONS, SCHEDULE OF REQUIREMENTS AND PRICE QUOTATION FORM</t>
  </si>
  <si>
    <t xml:space="preserve"> Please see associated files attached.</t>
  </si>
  <si>
    <t xml:space="preserve"> This project is a Barangay Dagup project. Please contact the barangay Secretary at the said barangay at 09271138392.</t>
  </si>
  <si>
    <t xml:space="preserve"> kgd. DOMINGO E.MALLO           BAC CHAIRMAN            09989726210</t>
  </si>
  <si>
    <t xml:space="preserve"> https://drive.google.com/file/d/1DZpYSJckrUFfoQb2sXRufGLmMAc33POH/view?usp=drivesdk</t>
  </si>
  <si>
    <t xml:space="preserve"> 1. Interested bidders may obtain further information from the LOCAL GOVERNMENT UNIT OF TAYUM BAC Chairman from 8:00 AM to 5:00 PM.</t>
  </si>
  <si>
    <t xml:space="preserve"> https://drive.google.com/file/d/1Jnte8yPm8Z2pFeItEECoTbFGwygniyum/view?usp=drivesdk</t>
  </si>
  <si>
    <t xml:space="preserve"> SOURCE OF FUND:  20% DF, 2020</t>
  </si>
  <si>
    <t xml:space="preserve"> 1	4	pcs	S/S Hose Clamp #1¼	</t>
  </si>
  <si>
    <t xml:space="preserve"> 1	3	units	Ondoy Boat (4-6 pax capacity)	</t>
  </si>
  <si>
    <t xml:space="preserve"> Please contact to Mr. Reno C. Salazar the BAC Secretariat with CP # 09459852914 or you may call to Ms. Ma. Teresa L. Minguez the BAC Chairperson. Thanks and God Bless us all.</t>
  </si>
  <si>
    <t xml:space="preserve"> 1	15	pack	Battery, dry cell, AA, 2 pcs per blister pack	</t>
  </si>
  <si>
    <t xml:space="preserve"> The submission of request for quotation form is on or before the closing date.</t>
  </si>
  <si>
    <t xml:space="preserve"> https://drive.google.com/file/d/15YNaQ55MeL-7Bbsf3H-ZHKBpeqZbZplv/view?usp=drivesdk</t>
  </si>
  <si>
    <t xml:space="preserve"> https://drive.google.com/file/d/1wHuD5G7-yUs1loTOxXDidWs9a8KuSZ3B/view?usp=drivesdk</t>
  </si>
  <si>
    <t xml:space="preserve"> https://drive.google.com/file/d/1Xds4cVaAkOBta1XCGr2gy0k6cGlzW2S9/view?usp=drivesdk</t>
  </si>
  <si>
    <t xml:space="preserve"> THE BIDDER MUST QUOTE TO ALL ITEMS</t>
  </si>
  <si>
    <t xml:space="preserve"> https://drive.google.com/file/d/106ColiR76CW-qCDu6DsR0D972BgReQ5t/view?usp=drivesdk</t>
  </si>
  <si>
    <t xml:space="preserve"> labor by administration</t>
  </si>
  <si>
    <t xml:space="preserve"> ITB, Bidding Documents and RFQ can be download in the Associated Components.</t>
  </si>
  <si>
    <t xml:space="preserve"> Opening of BIDs is on Aug. 18, 2020 at the Municipal Session Hall, Municipal Building, Pagsanghan, Samar</t>
  </si>
  <si>
    <t xml:space="preserve"> Opening of BIDs is on August 18, 2020 at the Municipal Session Hall, Municipal Building, Pagsanghan, Samar</t>
  </si>
  <si>
    <t xml:space="preserve"> • PR Nos.: S3-SCL20-014, S3-TAU20-006, S3-WSD20-008, S3-SIB20-004, S3-PPP20-006 </t>
  </si>
  <si>
    <t xml:space="preserve"> • PR Nos.: S3-CTW20-024, S3-BAD20-012, S3-SIA20-007, S3-SCL20-015, S3-WSD20-009 </t>
  </si>
  <si>
    <t xml:space="preserve"> • PCAB License: License Category of at least “Category D – General Building” and registration classification of at least “Small B – Building or Industrial Plant” or “Small B – Mechanical Works”</t>
  </si>
  <si>
    <t xml:space="preserve"> the bidder must quote to all items.</t>
  </si>
  <si>
    <t xml:space="preserve"> Bidding documents will be available at BAC Secretariat Office on August 3, 2020 from 8:00 AM-5:00 PM, Monday-Friday.</t>
  </si>
  <si>
    <t xml:space="preserve"> • Similar Contracts: Conduct of Customer / Public Opinion Survey and/or Social Analysis and Research</t>
  </si>
  <si>
    <t xml:space="preserve"> https://drive.google.com/file/d/1gfIkLoDD89IOgWufyhDBymVg5bRGBLXD/view?usp=drivesdk</t>
  </si>
  <si>
    <t xml:space="preserve"> Submission of Bids before 10 a.m. of August 11, 2020</t>
  </si>
  <si>
    <t xml:space="preserve"> Please see attached files</t>
  </si>
  <si>
    <t xml:space="preserve"> https://drive.google.com/file/d/1ewyectRvJ4NAQIEZfutUJv7r04yEQ_4Z/view?usp=drivesdk</t>
  </si>
  <si>
    <t xml:space="preserve"> QTYUNIT/ITEM DESCRIPTION</t>
  </si>
  <si>
    <t xml:space="preserve"> SALE/ISSUANCE OF BIDDING DOCUMENTS FROM JULY 31, 2020 - AUGUST 14, 2020 UNTIL 5PM</t>
  </si>
  <si>
    <t xml:space="preserve"> PROCEED TO BARANGAY POBLACION HALL</t>
  </si>
  <si>
    <t xml:space="preserve"> Bid Quotation Forms will be available at the Procurement Office (BAC Secretariat), BAC Building, DPWH-Palawan 2nd District Engineering Office, Narra, Palawan and  can also be downloaded at (a) DPWH website www.dpwh.gov.ph, and (b) PhilGEPs website www.philgeps.gov.ph.  The deadline set for the submission of the accomplished bid quotation forms to be hand carried by supplier/authorized representative will be on the following procurement activity schedule.</t>
  </si>
  <si>
    <t xml:space="preserve"> Interested bidders may obtain further information from Palawan 2nd District Engineering Office (BAC Secretariat) and inspect the Bidding Documents at the address given below during 8:00am to 5:00pm.</t>
  </si>
  <si>
    <t xml:space="preserve"> https://drive.google.com/file/d/1XQ3oPUE3vZoKV5qvbcSZ2P5bSMjTcS_4/view?usp=drivesdk</t>
  </si>
  <si>
    <t xml:space="preserve"> https://drive.google.com/file/d/1UiuASXBYAOLF16DlL7xEUK18w1zei954/view?usp=drivesdk</t>
  </si>
  <si>
    <t xml:space="preserve"> SALE/ISSUANCE OF BIDDING DOCUMENTS FROM JULY 31, 2020 - AUGUST 10, 2020 UNTIL 5PM</t>
  </si>
  <si>
    <t xml:space="preserve"> . DTI Business Name Registration or SEC Registration ,CDA Registration</t>
  </si>
  <si>
    <t xml:space="preserve"> https://drive.google.com/file/d/1leXJ-snrh-_G4a0-mHKfKfiVy_NGR83J/view?usp=drivesdk</t>
  </si>
  <si>
    <t xml:space="preserve"> THIS IS A BARANGAY PROJECT OF BARANGAY CARDIZ, FOR INFORMATION PLEASE CONTACT THE BARANGAY SECRETARY OR TREASURER OF BARANGAY CARDIZ, BAGULIN, LA UNION</t>
  </si>
  <si>
    <t xml:space="preserve"> SALE/ ISSUANCE OF BIDDING DOCUMENTS FROM JULY 31, 2020- AUGUST 10, 2020 UNTIL 5PM</t>
  </si>
  <si>
    <t xml:space="preserve"> Bid opening on August 12, 2020 at 9:00A.M at the Municipal Function Hall</t>
  </si>
  <si>
    <t xml:space="preserve"> ITB, Bidding Documents and Plans can be download in the Associated Components.</t>
  </si>
  <si>
    <t xml:space="preserve"> Please contact BAC Secretariat on the said project.</t>
  </si>
  <si>
    <t xml:space="preserve"> Public Address Speaker System</t>
  </si>
  <si>
    <t xml:space="preserve"> https://drive.google.com/file/d/1nfBUxVKgJWeMKfk5r6eWm_yU-BA7uERl/view?usp=drivesdk</t>
  </si>
  <si>
    <t xml:space="preserve"> Delivery Point: Plantsite / Manuk Mangkaw DPP, Simunul, Tawi-Tawi</t>
  </si>
  <si>
    <t xml:space="preserve"> https://drive.google.com/file/d/10b7wcptrHyzagBVGrW7RCLjLrhbSXCmf/view?usp=drivesdk</t>
  </si>
  <si>
    <t xml:space="preserve"> There will be no pre-bid conference</t>
  </si>
  <si>
    <t xml:space="preserve"> PLS. SEE ATTACHED PDF FILE.</t>
  </si>
  <si>
    <t xml:space="preserve"> Delivery Point: SPUG-MOD Warehouse, Zamboanga City</t>
  </si>
  <si>
    <t xml:space="preserve"> SEE ATTACH ASSOCIATED COMPONENTS</t>
  </si>
  <si>
    <t xml:space="preserve"> https://drive.google.com/file/d/1E2UqFx3DeUbpU8T4fCoLx0ooK0p8E2ws/view?usp=drivesdk</t>
  </si>
  <si>
    <t xml:space="preserve"> FOR MORE INFORMATION AND CLARIFICATION, PLEASE SEE HEAD-BAC SECRETARIAT, ENGR. CATHERINE B. CAPILI AT LGU DULAG ENGINEERING OFFICE FROM MONDAY TO FRIDAY (8:00 A.M. TO 5:00 P.M.)</t>
  </si>
  <si>
    <t xml:space="preserve"> https://drive.google.com/file/d/1MWyMO6y2H8Rzx7teU5rU8zHVXvJmp0k_/view?usp=drivesdk</t>
  </si>
  <si>
    <t xml:space="preserve"> For copies of the Bidding Documents and Specifications, kindly click the associated components.</t>
  </si>
  <si>
    <t xml:space="preserve"> Bidders shall pay the BAC a non-refundable fee of Php25,000.00 for the Bidding Documents, upon securing hard copies of the Documents. Bidders that download the Documents from the DPWH/PhilGEPS website shall pay the fee upon submission of their bids. </t>
  </si>
  <si>
    <t xml:space="preserve"> https://drive.google.com/file/d/1GFhuTPxNgyqDHIRM0bZyARE-tpXR-mTz/view?usp=drivesdk</t>
  </si>
  <si>
    <t xml:space="preserve"> reach the number provided in this invitation for any clarifications</t>
  </si>
  <si>
    <t xml:space="preserve"> Please see attached files @ Other Information</t>
  </si>
  <si>
    <t xml:space="preserve"> BID OPENING: AUGUST 19, 2020    2:30PM  BAC OFFICE, MUNICIPAL HALL, STA. MARCELA, APAYAO</t>
  </si>
  <si>
    <t xml:space="preserve"> PLS BRING LETTER OF INTENT AND AUTHORITY TO BUY</t>
  </si>
  <si>
    <t xml:space="preserve"> https://drive.google.com/file/d/1OzfgCdgQb-26AwmP52en-jd4ZSZ3s2xO/view?usp=drivesdk</t>
  </si>
  <si>
    <t xml:space="preserve"> https://drive.google.com/file/d/1NMmOC3veN2DjzCyFwK4E2iMkL0BV2odS/view?usp=drivesdk</t>
  </si>
  <si>
    <t xml:space="preserve"> https://drive.google.com/file/d/1ADfDzS1hyO7jEus3-qKNiQUadDNEcS8I/view?usp=drivesdk</t>
  </si>
  <si>
    <t xml:space="preserve"> BID FORM IS AVAILABLE AT METRO BANGUED WATER DISTRICT</t>
  </si>
  <si>
    <t xml:space="preserve"> For further information, you may call the POC-BAC I Secretariat at 711-4276 loc. 224 from 8:00 a.m. to 4:00 p.m, Monday to Friday.</t>
  </si>
  <si>
    <t xml:space="preserve"> August 3 - 17, 2020</t>
  </si>
  <si>
    <t xml:space="preserve"> For more details, please contact Barangay Kagawad Teresita P. Gonzales with her Mobile No. 0910557-7887.</t>
  </si>
  <si>
    <t xml:space="preserve"> https://drive.google.com/file/d/1Fp4WIz9ZkbhCI5HV3Gh8tG6w43na7iKW/view?usp=drivesdk</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</si>
  <si>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</si>
  <si>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45 pcs Portable Thermal Scanner</t>
  </si>
  <si>
    <t xml:space="preserve"> https://drive.google.com/file/d/10Gy6J4oB_XOMDvCRojivTxVhDTxym7kv/view?usp=drivesdk</t>
  </si>
  <si>
    <t xml:space="preserve"> https://drive.google.com/file/d/1yHF_2Bs-8oLq3uwZd_P7FfhgFeyhRef5/view?usp=drivesdk</t>
  </si>
  <si>
    <t xml:space="preserve"> CONTACT 435-4619</t>
  </si>
  <si>
    <t xml:space="preserve"> INQUIRE AT BAC OFFICE, MUNICIPAL HALL TAMBULIG, ZAMBOANGA DLE SUR</t>
  </si>
  <si>
    <t xml:space="preserve"> Construction of Multi-Purpose Hall Building </t>
  </si>
  <si>
    <t xml:space="preserve"> BAC ACTIVITIES:</t>
  </si>
  <si>
    <t xml:space="preserve"> Engine &amp; Transmission</t>
  </si>
  <si>
    <t xml:space="preserve"> PROVINCE OF DAVAO DEL SUR</t>
  </si>
  <si>
    <t xml:space="preserve"> https://drive.google.com/file/d/1xK9voZNG79013NHnF-B96Rb0mnWnISip/view?usp=drivesdk</t>
  </si>
  <si>
    <t xml:space="preserve"> Bidder must download the attached documents in Associated Components.</t>
  </si>
  <si>
    <t xml:space="preserve"> For the complete and detailed specifications please see attached associated components.</t>
  </si>
  <si>
    <t xml:space="preserve"> https://drive.google.com/file/d/1QzVMSwKjRpWJNGV85NS0jzKxjnzUDRcE/view?usp=drivesdk</t>
  </si>
  <si>
    <t xml:space="preserve"> Instruction for Suppliers on how to View/Download the document:</t>
  </si>
  <si>
    <t xml:space="preserve"> Please see attached Philippine Bidding Document.</t>
  </si>
  <si>
    <t xml:space="preserve"> Other details visit BAC Office at Multi PUrpoe Hall</t>
  </si>
  <si>
    <t xml:space="preserve"> SEE ATTACHED ASSOCIATED COMPONENTS</t>
  </si>
  <si>
    <t xml:space="preserve"> BIDDERS/SUPPLIER MUST DOWNLOAD THE ATTACHED DOCUMENTS IN THE ASSOCIATED SECTIONS.</t>
  </si>
  <si>
    <t xml:space="preserve"> PLANT SITE, NEW DINAGAT DPP</t>
  </si>
  <si>
    <t xml:space="preserve"> Visit BAC Office at Multi PUrpose Hall, Brgy. Palamis, Alaminos City, Pangasinan for other details</t>
  </si>
  <si>
    <t xml:space="preserve"> For more information kindly contact:</t>
  </si>
  <si>
    <t xml:space="preserve"> LOT AWARD</t>
  </si>
  <si>
    <t xml:space="preserve"> Using ADB Procurement Guidelines under the ADB Capacity Building Technical Assistance (CDTA) - ADB TA 7796-PHI Strengthening Public Private Partnerships in the Philippines (45515-001) Project</t>
  </si>
  <si>
    <t xml:space="preserve"> Site Of Delivery:</t>
  </si>
  <si>
    <t xml:space="preserve"> see attached associated components</t>
  </si>
  <si>
    <t xml:space="preserve"> BRAND NEW</t>
  </si>
  <si>
    <t xml:space="preserve"> The Bidding Conferrence will be held at Barangay Lucutan Session Hall, Barangay Multi-Purpose Hall and the source of fund is from Barangay fund (20% BDF) Approved Budget</t>
  </si>
  <si>
    <t xml:space="preserve"> https://drive.google.com/file/d/1NMCQX376JJK-7i31SahZt4XMxGseFZSU/view?usp=drivesdk</t>
  </si>
  <si>
    <t xml:space="preserve"> 1. Submission of canvass on or before August 12, 2020 @ 2:00 P.M.</t>
  </si>
  <si>
    <t xml:space="preserve"> Revised on: May 24, 2004										</t>
  </si>
  <si>
    <t xml:space="preserve"> Bidding Documents may be purchased by the Interested Bidders on August 5-6, 2020 from 8:00 A.M to 5:00 P.M. and upon payment of non - refundable fee of Five Hundred Pesos (Php 500.00).</t>
  </si>
  <si>
    <t xml:space="preserve"> 1.) Supplier MUST be an exclusive authorized dealer or the brand being offered.</t>
  </si>
  <si>
    <t xml:space="preserve"> Other details visit BAC Office at Multi Purpose Hall, Brgy. Palamis, Alaminos City, Pangasinan</t>
  </si>
  <si>
    <t xml:space="preserve"> Pleas see attached associated components.</t>
  </si>
  <si>
    <t xml:space="preserve"> Please download the documents at the associated components.</t>
  </si>
  <si>
    <t xml:space="preserve"> 20II0061(Re-Ad) Bid Docs and Plans Link;</t>
  </si>
  <si>
    <t xml:space="preserve"> 1.	Bidders should have completed a contract similar to the Project. The description of an eligible bidder is contained in the Bidding Documents, particularly, in Section 2. Instructions to Bidders.</t>
  </si>
  <si>
    <t xml:space="preserve"> Bidding Documents may be purchased by the Interested Bidders on August 5-6, 2020 from 8:00 A.M to 5:00 P.M. and upon payment of non - refundable fee of Two Thousand Pesos (Php 2,000.00 ).</t>
  </si>
  <si>
    <t xml:space="preserve"> Information Technology &amp; Accessories &amp; Perip</t>
  </si>
  <si>
    <t xml:space="preserve"> You may see the Municipal engineer, Municipality of Caibiran</t>
  </si>
  <si>
    <t xml:space="preserve"> https://drive.google.com/file/d/17UalkDwk5sLEC7SoeTyhJu-nFIS8GkHr/view?usp=drivesdk</t>
  </si>
  <si>
    <t xml:space="preserve"> https://drive.google.com/file/d/1F-G7Fo4MovKc6qvAwy5dTyhCJgJ6Zd_u/view?usp=drivesdk</t>
  </si>
  <si>
    <t xml:space="preserve"> uploaded docs are also available in dpwh website</t>
  </si>
  <si>
    <t xml:space="preserve"> 1.	All interested bidders/suppliers may now submit Eligibility Documents and other documents.</t>
  </si>
  <si>
    <t xml:space="preserve"> Please Complete your Eligibility Requirement as Contractor  for Bidding Purposes</t>
  </si>
  <si>
    <t xml:space="preserve"> You may download the bidding documents through the link below:</t>
  </si>
  <si>
    <t xml:space="preserve"> MARITES L. ESPINOSA</t>
  </si>
  <si>
    <t xml:space="preserve"> Bid Docs Fee P/5,000.00</t>
  </si>
  <si>
    <t xml:space="preserve"> Bidding Documents will be available to prospective bidders who purchase the bidding documents from the Office of the Municipal Treasurer of the Local GOvernment Unit of Magpet</t>
  </si>
  <si>
    <t xml:space="preserve"> Criselle Mhae Hilario Rele</t>
  </si>
  <si>
    <t xml:space="preserve"> Project Description:</t>
  </si>
  <si>
    <t xml:space="preserve"> Please see Associated Component attached.</t>
  </si>
  <si>
    <t xml:space="preserve"> https://drive.google.com/file/d/1SEYZrRfwTY66y6_W5WFJYhgg8KqAqFAG/view?usp=drivesdk</t>
  </si>
  <si>
    <t xml:space="preserve"> KINDLY DOWNLOAD THE DOCUMENTS IN THE ASSOCIATED COMPONENTS.</t>
  </si>
  <si>
    <t xml:space="preserve"> BID DOCS PHP1000.00</t>
  </si>
  <si>
    <t xml:space="preserve"> Bid documents are available at the Barangay Hall, Alno, La Trinidad, Benguet.</t>
  </si>
  <si>
    <t xml:space="preserve"> KINDLY DOWNLOAD ATTACHMENTS IN THE ASSOCIATED COMPONENTS.</t>
  </si>
  <si>
    <t xml:space="preserve"> 1	unit	GENERATOR SET</t>
  </si>
  <si>
    <t xml:space="preserve"> KINDLY DOWNLOAD THE ATTACHMENT IN THE ASSOCIATED COMPONENTS.</t>
  </si>
  <si>
    <t xml:space="preserve"> 1.	1	unit	BRAND NEW TEN WHEELER DUMP TRUCK	</t>
  </si>
  <si>
    <t xml:space="preserve"> Bidders must download the attached documents in the associated component.</t>
  </si>
  <si>
    <t xml:space="preserve"> https://drive.google.com/file/d/1XIXor8RRc9OqPuQOBO3FJCbXLpif6ckG/view?usp=drivesdk</t>
  </si>
  <si>
    <t xml:space="preserve"> RIA P. JARAPA</t>
  </si>
  <si>
    <t xml:space="preserve"> DEADLINE FOR SUBMISSION OF BIDS:</t>
  </si>
  <si>
    <t xml:space="preserve"> Access the bidding documents in: https://drive.google.com/file/d/1zIcNDUZHLvTfbcQzWOTnE-nHn2a1WZc1/view?usp=drivesdk</t>
  </si>
  <si>
    <t xml:space="preserve"> Please download ITB here https://drive.google.com/file/d/1ax7R5RFg_makhrXI96MMI4L_lnRugGMZ/view?usp=drivesdk</t>
  </si>
  <si>
    <t xml:space="preserve"> Complete Bidding Documents can be downloaded at the DPWH Website including Bidding Forms</t>
  </si>
  <si>
    <t xml:space="preserve"> https://drive.google.com/file/d/1Mdd5sreRy6KjQkITOIFa_C8_mANKUmA3/view?usp=drivesdk</t>
  </si>
  <si>
    <t xml:space="preserve"> https://drive.google.com/file/d/1bZaLTC3HfCSW1waOSYtBoy4tJUWIHc5T/view?usp=drivesdk</t>
  </si>
  <si>
    <t xml:space="preserve"> Description:</t>
  </si>
  <si>
    <t xml:space="preserve"> BID DOCS POSTED: July 29, 2020 (Wednesday)</t>
  </si>
  <si>
    <t xml:space="preserve"> Purpose: 	Upgrade of Maritime Education Laboratories and Equipment.</t>
  </si>
  <si>
    <t xml:space="preserve"> The complete schedule of activities is listed, as follows:</t>
  </si>
  <si>
    <t xml:space="preserve"> Activated Dialdehyde Solution	50	Gallon</t>
  </si>
  <si>
    <t xml:space="preserve"> BID OPENING: AUGUST 18, 2020  1:00PM, BAC OFFICE, MUNICIPAL HALL, STA. MARCELA, APAYAO</t>
  </si>
  <si>
    <t xml:space="preserve"> ITB20-07-031B</t>
  </si>
  <si>
    <t xml:space="preserve"> ITB20-07-031A</t>
  </si>
  <si>
    <t xml:space="preserve"> Visit BAC Office for other details at Multi Purpose Halll, Brgy. Bolaney, Alaminos City, Pangasinan</t>
  </si>
  <si>
    <t xml:space="preserve"> Printer – Borderless Image Printing</t>
  </si>
  <si>
    <t xml:space="preserve"> 0.9% Sodium Chloride 1000ml	603	Bot</t>
  </si>
  <si>
    <t xml:space="preserve"> Fund 164</t>
  </si>
  <si>
    <t xml:space="preserve"> For any clarifications and information, please contact with this number 09461650451 - Brgy. Treasurer</t>
  </si>
  <si>
    <t xml:space="preserve"> Bid Docs Link: https://drive.google.com/file/d/10pxz9U6a7sASBASzhld5V2cmd1EjrF9y/view?usp=drivesdk</t>
  </si>
  <si>
    <t xml:space="preserve"> -other information may be discussed during pre-bid conference.</t>
  </si>
  <si>
    <t xml:space="preserve"> Instruction for Suppliers on how to View/ Download the document:</t>
  </si>
  <si>
    <t xml:space="preserve"> Submission of Bids before 10 a.m. of August 19,2020</t>
  </si>
  <si>
    <t xml:space="preserve"> Description: Pick - up truck ~4x4</t>
  </si>
  <si>
    <t xml:space="preserve"> 3700 LITS. DIESEL FUEL</t>
  </si>
  <si>
    <t xml:space="preserve"> 4000 LITS. DIESEL FUEL</t>
  </si>
  <si>
    <t xml:space="preserve"> Bidding Documents link:</t>
  </si>
  <si>
    <t xml:space="preserve"> Transformer w/ Installation and Metering</t>
  </si>
  <si>
    <t xml:space="preserve"> Bidding Document  amount is Php 5,000.00</t>
  </si>
  <si>
    <t xml:space="preserve"> 1.Submission of letter of intent July 29,2020- August 05,2020</t>
  </si>
  <si>
    <t xml:space="preserve"> https://drive.google.com/file/d/1G-Zr935bRTevV1_jIrCkZMmkTTCo1UgP/view?usp=drivesdk</t>
  </si>
  <si>
    <t xml:space="preserve"> Issuance of bid documents - July 29, 2020 - August 18, 2020</t>
  </si>
  <si>
    <t xml:space="preserve"> 1.	Sulfur 10% Ointment, 15g Tube	1,818	Tubes	94,754.16	On or Before October 30, 2020</t>
  </si>
  <si>
    <t xml:space="preserve"> 1.	Disinfectants (surfaces)	220	Bottles	319,000.00	Within 30 Calendar Days from receipt of the NTP	DOH – WV CHD</t>
  </si>
  <si>
    <t xml:space="preserve"> The Local Government Unit of Pilar, through the General Fund  intends to apply the sum of One Million, Three Hundred Thousand Pesos (P1,300,000.00)  being the Approved Budget for the Contract (ABC) to payment under the contract for the Procurement of 1 Unit Ambulance.  Bids received in excess of the ABC shall be automatically rejected at bid opening.</t>
  </si>
  <si>
    <t xml:space="preserve"> Posted at three conspicuous Places</t>
  </si>
  <si>
    <t xml:space="preserve"> Submission of Bids before 2 p.m. of August 19, 2020</t>
  </si>
  <si>
    <t xml:space="preserve"> 1.	NAAT – LAMP Reagents and Consumables	37	Packages	2,035,000.00	Within 30 Calendar Days from receipt of the NTP	DOH – WV CHD</t>
  </si>
  <si>
    <t xml:space="preserve"> 1. DTI Business Name Registration or SEC Registration, CDA, Registration</t>
  </si>
  <si>
    <t xml:space="preserve"> 1.	Sterile Gown Disposable	1,000	Pieces	300,000.00	Within 30 Calendar Days from receipt of the NTP	DOH – WV CHD</t>
  </si>
  <si>
    <t xml:space="preserve"> https://drive.google.com/file/d/1yMa1ushZXsI7qKTiF9omL0WL9-ocbyNy/view?usp=drivesdk</t>
  </si>
  <si>
    <t xml:space="preserve"> The Local Government Unit of Pilar, through the General Fund  intends to apply the sum of Six Hundred Thousand Pesos (P600,000.00)  being the Approved Budget for the Contract (ABC) to payment under the contract for the Procurement of 1 Unit Water Purifier.  Bids received in excess of the ABC shall be automatically rejected at bid opening.</t>
  </si>
  <si>
    <t xml:space="preserve"> 1.	Urine Pregnancy Test Kit	10,000	Kits	200,000.00	30 calendar days from receipt of NTP	DOH – WV CHD</t>
  </si>
  <si>
    <t xml:space="preserve"> FOR MORE INFORMATION AND CLARIFICATION, PLEASE SEE HEAD-BAC SECRETARIAT, ENGR. CATHERINE B. CAPILI AT ENGINEERING OFFICE, LGU DULAG FROM MONDAY TO FRIDAY (8:00 A.M. TO 5:00 P.M.)</t>
  </si>
  <si>
    <t xml:space="preserve"> I.  Funded under Special Education Fund, with an ABC of Php 1,496,670.00</t>
  </si>
  <si>
    <t xml:space="preserve"> Opening of Bids @ BAC Office, Municipal Hall</t>
  </si>
  <si>
    <t xml:space="preserve"> PEMILYN Z. MIRO</t>
  </si>
  <si>
    <t xml:space="preserve"> I.  Funded under Special Education Fund Supplemental Budget No. 1, with an ABC of Php 3,106,400.00</t>
  </si>
  <si>
    <t xml:space="preserve"> Bidding Docs Link:</t>
  </si>
  <si>
    <t xml:space="preserve"> pls. Inquire at BAC Secretariat</t>
  </si>
  <si>
    <t xml:space="preserve"> Barangay Hall</t>
  </si>
  <si>
    <t xml:space="preserve"> 1,225 Liters LIQUID FOLIAR FERTILIZER</t>
  </si>
  <si>
    <t xml:space="preserve"> 1.	ACID FAST STAIN (Ziehl-Neelsen Method)	700	Boxes	2,100,000.00	Within 30 Calendar Days from receipt of the NTP	DOH – WV CHD</t>
  </si>
  <si>
    <t xml:space="preserve"> 1.	Petri Dish, Disposable, 100mm x 15mm	600	Pieces	3,600.00	30 calendar days from receipt of NTP	DOH – WV CHD</t>
  </si>
  <si>
    <t xml:space="preserve"> 1.	Emergency Birthing Kits	1,000	Kits	500,000.00	On or Before October 15, 2020	DOH – WV CHD</t>
  </si>
  <si>
    <t xml:space="preserve"> 1.	N95 Mask (20’s/Box)	180	Boxes	547,200.00	On or Before September 30, 2020	DOH – WV CHD</t>
  </si>
  <si>
    <t xml:space="preserve"> https://drive.google.com/file/d/1aJmbjQgsetEcXDFNFlTfufaqhtbE4XlT/view?usp=drivesdk</t>
  </si>
  <si>
    <t xml:space="preserve"> The Local Government Unit of Pilar, through the General Fund  intends to apply the sum of One Million, One Hundred Thousand Pesos (P1,100,000.00)  being the Approved Budget for the Contract (ABC) to payment under the contract for the Procurement of 1 Unit Rescue Vehicle.  Bids received in excess of the ABC shall be automatically rejected at bid opening.</t>
  </si>
  <si>
    <t xml:space="preserve"> -other information may be discussed during pre-bid conference</t>
  </si>
  <si>
    <t xml:space="preserve"> The Bidding Conferrence will be held at Sitio Tawagan, Barangay Rosario, Mauban, Quezon, Barangay Hall, the Source of Fund is from Barangay Fund (Trust Fund)</t>
  </si>
  <si>
    <t xml:space="preserve"> OTHER SUPPLIES &amp; MATERIAL EXPENSES		</t>
  </si>
  <si>
    <t xml:space="preserve"> ALL INTERESTED BIDDERS ARE REQUIRED TO SUBMIT THEIR COMPLETE ELIGIBILITY REQUIREMENTS TO THE BAC FOR EVALUATION DURING THE PRE-BID CONFERENCE ON AUGUST 5, 2020 8:00A.M. AT THE BAC SECRETARIAT OFFICE, 2ND FLOOR, CITY HALL OF DASMARIÑAS, CAVITE. BIDDERS WHO SHALL FAIL TO ATTEND THE PRE-BID SHALL NOT BE ALLOWED TO JOIN THE BIDDING FOR THE AFORESAID PROJECT. </t>
  </si>
  <si>
    <t xml:space="preserve"> The ABC shall issue bidding documents upon payment of Five Hundred Pesos Only (Php500.00) to the disbursing/ collecting officer of the LGU.</t>
  </si>
  <si>
    <t xml:space="preserve"> see attached BQ for details</t>
  </si>
  <si>
    <t xml:space="preserve"> 20CSGG0002 - Request for Expression of Interest</t>
  </si>
  <si>
    <t xml:space="preserve"> Item Description:</t>
  </si>
  <si>
    <t xml:space="preserve"> Pls. Inquire at BAC Secretariat</t>
  </si>
  <si>
    <t xml:space="preserve"> Source of Fund: 20% BDF CY 2020</t>
  </si>
  <si>
    <t xml:space="preserve"> Ambulance</t>
  </si>
  <si>
    <t xml:space="preserve"> FOR MORE INFORMATION AND CLARIFICATION, PLEASE SEE HEAD-BAC SECRETARIAT, ENGR. CATHERINE B. CAPILI AT ENGINEERING OFFICE-LGU DULAG FROM MONDAY TO FRIDAY (8:00 A.M. TO 5:00 P.M.)</t>
  </si>
  <si>
    <t xml:space="preserve"> https://drive.google.com/file/d/1wudmWq74ynTajzq8cU5GnF7gdDX9VftP/view?usp=drivesdk</t>
  </si>
  <si>
    <t xml:space="preserve"> Bidding requirements/bid forms may be obtained, beginning August 3, 2020  from C.A. General Service upon payment of a non-refundable fee of P 3,000.00.  Interested parties may get in touch with Ms. Weng Mirhan, BAC Secretariat at telephone no. 8834-2708.</t>
  </si>
  <si>
    <t xml:space="preserve"> https://drive.google.com/file/d/15H6fO43EupGfqcq938TGfysCV5BKN7Nf/view?usp=drivesdk</t>
  </si>
  <si>
    <t xml:space="preserve"> Complete Bidding Documents can be downloaded using the links below:</t>
  </si>
  <si>
    <t xml:space="preserve"> Please see attached Philippine Bidding Document for more details.</t>
  </si>
  <si>
    <t xml:space="preserve"> • PR Nos.: S3-SIA20-003, S3-SCL20-016 S3-WSD20-007, S3-TAN20-005, S3-BAI20-004 </t>
  </si>
  <si>
    <t xml:space="preserve"> • Complete Project Title: Supply and Delivery of Battery Stationary 110VDC, Gel Type, 55 Cells, 2V per Cell, 150AH Min. Cap. 2.25VDC Floaf Charge, 2 Terminals Welded each with Copper Insert, Tubular Plates Design, with Rack &amp; Maintenance Free</t>
  </si>
  <si>
    <t xml:space="preserve"> See Link (bidding documents):</t>
  </si>
  <si>
    <t xml:space="preserve"> for query, pls. contact MS. JAM FABELLA at tel no. 8 5512200 locals 2452, 2453; email address: jamfabella@gmail.com</t>
  </si>
  <si>
    <t xml:space="preserve"> https://drive.google.com/file/d/1GZsrwAGq2RQvD32-o5QFnY8Xx08S_pjb/view?usp=drivesdk</t>
  </si>
  <si>
    <t xml:space="preserve"> Refer to the Barangay Secretary at Tel. No. 2360521.</t>
  </si>
  <si>
    <t xml:space="preserve"> Schedule of Bidding Activities: Sale and Issuance of Bid Mondays to Fridays Starting July 29, 2020 (8AM to 3PM only) DOE-BAC Secretariat, Procurement Management Division 3/F DOE Main Bldg., Energy Center, Rizal Drive, Bonifacio Global City, Taguig City </t>
  </si>
  <si>
    <t xml:space="preserve"> Bidding Documents available after the PreBid Conference. Bidders who opted to attend through online platform shall send request to the BAC for the link.</t>
  </si>
  <si>
    <t xml:space="preserve"> Please bring valid medical certificates upon attendance ( only certificates issued one week prior to the date of attendance are to be accepted)</t>
  </si>
  <si>
    <t xml:space="preserve"> For further information, please contact Atty. JOSHUA PAUL C. CAPIRAL, Head, BAC Secretariat , or Atty. RUBY ANNE DULNUAN-DATONG, Member, BAC Secretariat, National Bureau of Investigation, Taft Avenue, Ermita, Manila.</t>
  </si>
  <si>
    <t xml:space="preserve"> Issuance of bid documents - July 28, 2020 - August 17, 2020</t>
  </si>
  <si>
    <t xml:space="preserve"> A complete set of bidding document may be purchased by interested bidders on July 28, 2020 to August 17, 2020 from the address below upon payment of a non-refundable fee for the bidding documents in the amount of P500.00</t>
  </si>
  <si>
    <t xml:space="preserve"> Bidders must download the attached document in the associated component.</t>
  </si>
  <si>
    <t xml:space="preserve"> Amount of Bidding Documents: PhP10,000.00</t>
  </si>
  <si>
    <t xml:space="preserve"> kindly download the attached bidding documents for the requirements and technical specifications.</t>
  </si>
  <si>
    <t xml:space="preserve"> Purpose: 	For Medical use, For Dental use</t>
  </si>
  <si>
    <t xml:space="preserve"> Purpose: 	 Upgrading the office equipment and facilities and accessories of the CFMS</t>
  </si>
  <si>
    <t xml:space="preserve"> Purpose: 	Electronic Resources (E-books) for Learning Resource Center.</t>
  </si>
  <si>
    <t xml:space="preserve"> Please refer to the Bid Documents (Purchase Request) for the complete list of materials.</t>
  </si>
  <si>
    <t xml:space="preserve"> kindly download the attached bidding for the requirements and technical specifications.</t>
  </si>
  <si>
    <t xml:space="preserve"> BID OPENING: AUGUST 17, 2020  1:00PM  BAC OFFICE,MUNICIPAL HALL, STA. MARCELA, APAYAO</t>
  </si>
  <si>
    <t xml:space="preserve"> BID OPENING: AUGUST 17, 2020  2:30PM  BAC OFFICE, MUNICIPAL HALL, STA. MARCELA, APAYAO</t>
  </si>
  <si>
    <t xml:space="preserve"> https://drive.google.com/file/d/13RqoC-yadhcRf0ifWMZ-bxgtS3LIRg5N/view?usp=drivesdk</t>
  </si>
  <si>
    <t xml:space="preserve"> The Local Government Unit of Pilar, through the General Fund  intends to apply the sum of Two Hundred Ninety Thousand Pesos (P290,000.00)  being the Approved Budget for the Contract (ABC) to payment under the contract for the Procurement of 1 Lot Livelihood Training Equipment and Supplies.  Bids received in excess of the ABC shall be automatically rejected at bid opening.</t>
  </si>
  <si>
    <t xml:space="preserve"> A complete set of Bidding Documents may be purchased by interested Bidders on July 28 - August 18, 2020 from PhilHealth V Office and upon payment of a nonrefundable fee for the Bidding Documents for 1 lot or all of the 2 lots taking into consideration GPPB Resolution No 04-2012 dated Feb. 24, 2012 on the "Sales of Bidding documents", as follows:</t>
  </si>
  <si>
    <t xml:space="preserve"> https://drive.google.com/file/d/1fGfqZVOTza46Zqpkt5LY7n0qLuD7pAdc/view?usp=drivesdk</t>
  </si>
  <si>
    <t xml:space="preserve"> Contact Number </t>
  </si>
  <si>
    <t xml:space="preserve"> Source of Fund is from 20% Brgy. Development Fund Approved Budget of 2020</t>
  </si>
  <si>
    <t xml:space="preserve"> https://drive.google.com/file/d/1jBCAbkYxjUl9TVSnOtNhDNNa9B3HdkoY/view?usp=drivesdk</t>
  </si>
  <si>
    <t xml:space="preserve"> https://drive.google.com/file/d/1sEEUmK2wKXLiJl2dybOcwvD5eOMuuMx4/view?usp=drivesdk</t>
  </si>
  <si>
    <t xml:space="preserve"> Bidders must download documents in the associated components section.</t>
  </si>
  <si>
    <t xml:space="preserve"> https://drive.google.com/file/d/1LfM1aUyoxJCJVqRNm2B8D47Y_N38WBdx/view?usp=drivesdk</t>
  </si>
  <si>
    <t xml:space="preserve"> https://drive.google.com/file/d/15-m9qOMY8440OBX3P2V9yfboYivFP8Vy/view?usp=drivesdk</t>
  </si>
  <si>
    <t xml:space="preserve"> Bidding Documents is available to prospective bidder who purchase the bidding documents  at the office of the Municipal Treasurer of the Local Government Unit of Magpet</t>
  </si>
  <si>
    <t xml:space="preserve"> Pay Item No.	Description	Unit	Quantity</t>
  </si>
  <si>
    <t xml:space="preserve"> Bidding Documents is available to prospective bidders who purchase the bidding documents from the office of the Municipal Treasurer of the Local Government Unit of Magpet</t>
  </si>
  <si>
    <t xml:space="preserve"> Please download the attached documents in the associated components</t>
  </si>
  <si>
    <t xml:space="preserve"> https://drive.google.com/file/d/1zQ6Kxj8QpEcxZ3KXhCFoOvVwRWsSOx8y/view?usp=drivesdk</t>
  </si>
  <si>
    <t xml:space="preserve"> 1.  Please see associated components to download Invitation to Bid</t>
  </si>
  <si>
    <t xml:space="preserve"> PROJECT SPECIFICATIONS</t>
  </si>
  <si>
    <t xml:space="preserve"> Double Cab Truck w/ Customized Casket Compartment</t>
  </si>
  <si>
    <t xml:space="preserve"> ELIGIBILITY CHECK REQUIREMENTS FOR THE PROCUREMENT OF INFRASTRUCTURE PROJECT</t>
  </si>
  <si>
    <t xml:space="preserve"> Please see attached files at Other Information</t>
  </si>
  <si>
    <t xml:space="preserve"> Also available in DPWH Website</t>
  </si>
  <si>
    <t xml:space="preserve"> 5 units – DRR Rescue Vehicle (Motorcycle)</t>
  </si>
  <si>
    <t xml:space="preserve"> Cost of Documents: P1,000.00</t>
  </si>
  <si>
    <t xml:space="preserve"> 1 unit   Heavy Duty Hydraulic Kit for Extrication purposes (cutter &amp; spreader, rescue ram, motor pump &amp; coaxial hose)</t>
  </si>
  <si>
    <t xml:space="preserve"> FOR MORE INFO &amp; CLARIFICATION, PLEASE SEE HEAD BAC SECRETARIAT OF BRGY. BUNTAY COUNCIL AT BRGY. BUNTAY HALL, BRGY BUNTAY, DULAG LEYTE FROM MONDAY TO FRIDAY (8:00 A.M. TO 5:00 P.M.</t>
  </si>
  <si>
    <t xml:space="preserve"> 4	pcs	PLAIN G.I SHEET ga.24 			</t>
  </si>
  <si>
    <t xml:space="preserve"> Please download the attached PBD in the associated components</t>
  </si>
  <si>
    <t xml:space="preserve"> https://drive.google.com/file/d/1h7T9YfxgElQaEeGJK-ayx1OwiKx6ow9t/view?usp=drivesdk</t>
  </si>
  <si>
    <t xml:space="preserve"> • Similar Contracts: Supply and Delivery of Nickel-Cadnium Batteries for Industrial Applications</t>
  </si>
  <si>
    <t xml:space="preserve"> For more details, please contact Barangay Captain Lucita B. Jumawan with her Mobile No. 09463388096.</t>
  </si>
  <si>
    <t xml:space="preserve"> ATTENDANCE TO PRE-BID IS MANDATORY</t>
  </si>
  <si>
    <t xml:space="preserve"> FOR MORE INFO AND CLARIFICATION, PLEASE SEE HEAD BAC SECRETARIAT OF BRGY. SAN AGUSTIN COUNCIL AT BRGY. SAN AGUSTIN HALL, BRGY. SAN AGUSTIN, DULAG LEYTE FROM MONDAY TO FRIDAY (8:00 A.M. TO 5:00 P.M.)</t>
  </si>
  <si>
    <t xml:space="preserve"> FOR MORE INFO AND CLARIFICATION, PLEASE SEE HEAD-BAC SECRETARIAT OF BRGY. SAN AGUSTIN COUNCIL AT BRGY. SAN AGUSTIN HALL, BRGY. SAN AGUSTIN, DULAG LEYTE FROM MONDAY TO FRIDAY (8:00 A.M. TO 5:00 P.M.)</t>
  </si>
  <si>
    <t xml:space="preserve"> Mini Dump Truck</t>
  </si>
  <si>
    <t xml:space="preserve"> Please refer to the attached Invitation to Bid and Bidding Documents.</t>
  </si>
  <si>
    <t xml:space="preserve"> PLEASE SEE ATTACHED ASSOCIATED COMPONENT</t>
  </si>
  <si>
    <t xml:space="preserve"> 1.  Please see associated components to download Request Invitation to Bid Form</t>
  </si>
  <si>
    <t xml:space="preserve"> Please Contact Jaren D. Ducay, BAC Secretariat at 09956498330</t>
  </si>
  <si>
    <t xml:space="preserve"> 1.	THIS IS A FIRST PUBLICATION FOR THIS PROCUREMENT.</t>
  </si>
  <si>
    <t xml:space="preserve"> Use link to view the bidding documents</t>
  </si>
  <si>
    <t xml:space="preserve"> 2ND POSTING</t>
  </si>
  <si>
    <t xml:space="preserve"> Interested bidders must download electronic copy of bidding documents attached in the associated component section</t>
  </si>
  <si>
    <t xml:space="preserve"> ONE (1) ASSEMBLY MAIN ECB 3000AT, 3PHASE, 460V NEMA 1 (NATIONAL ELECTRICAL MANUFACTURERS ASSOCIATION) (FREE STANDING) MOULDED CASE CIRCUIT BREAKER AND ONE (1) ASSEMBLY AUTOMATIC TRANSFER SWITCH (ATS) 3000AT. 85KAIC, 460V, 3P, 60HZ INCLUDING INSTALLATION, TESTING, AND COMMISSIONING; ONE HUNDRED TWENTY (120) METERS 500 MM2 THW STRANDED COPPER WIRE AND TWENTY-FOUR (24) PIECES 500 MM2 MECHANICAL LUGS; TWO-CONDUCTOR</t>
  </si>
  <si>
    <t xml:space="preserve"> FOR MORE INFORMATION PLEASE CONTRACT ARLAINE M. DE VERA, BAC SECRETARIAT AT (075) 955-5862 OR EMAIL AT arlainemdevera@gmail.com</t>
  </si>
  <si>
    <t xml:space="preserve"> For more inquiries pls call 87230401 loc4579</t>
  </si>
  <si>
    <t xml:space="preserve"> For copies of Bidding Documents and Specifications, kindly click the associated components.</t>
  </si>
  <si>
    <t xml:space="preserve"> Please Contact:</t>
  </si>
  <si>
    <t xml:space="preserve"> Note:  	</t>
  </si>
  <si>
    <t xml:space="preserve"> PLEASE SEE ATTACHED PURCHASE ORDER</t>
  </si>
  <si>
    <t xml:space="preserve"> TECHNICAL SPECIFICATIONS</t>
  </si>
  <si>
    <t xml:space="preserve"> BAC ACTIVITIES	DATE	VENUE</t>
  </si>
  <si>
    <t xml:space="preserve"> BAC 2020-I02 PROJ. 1 BOQ,DBOQ AND POW</t>
  </si>
  <si>
    <t xml:space="preserve"> - other information may be discussed during pre-bid conference.</t>
  </si>
  <si>
    <t xml:space="preserve"> BAC 2020-I03 PROJ. 1 BOQ,DBOQ AND POW</t>
  </si>
  <si>
    <t xml:space="preserve"> PLEASE CHECK SIMILAR INFORMATION IN THE WEBSITE OF THE PROCURING ENTITY</t>
  </si>
  <si>
    <t xml:space="preserve"> Bid document can also be viewed/downloaded from DSWDS Caraga website</t>
  </si>
  <si>
    <t xml:space="preserve"> Bid document can also be viewed/downloaded from the DSWD Caraga website </t>
  </si>
  <si>
    <t xml:space="preserve"> 1. Eligible Bidders/Suppliers must have SLCC that is similar to the contract to be bid at least 50% of the Approved Budget for Contract and Registered Platinum PhilGEPS category.</t>
  </si>
  <si>
    <t xml:space="preserve"> ITB20-07-030C</t>
  </si>
  <si>
    <t xml:space="preserve"> ITB20-07-030A</t>
  </si>
  <si>
    <t xml:space="preserve"> ITB20-07-030B</t>
  </si>
  <si>
    <t xml:space="preserve"> or further information, please refer to:</t>
  </si>
  <si>
    <t xml:space="preserve"> The Schedule of BAC Activities are as follows:</t>
  </si>
  <si>
    <t xml:space="preserve"> PROCUREMENT ACTIVITIES	DATE	TIME (BFAR Biometric Clock)	VENUE</t>
  </si>
  <si>
    <t xml:space="preserve"> Inquire at the Office of the Provincial Engineer for details.</t>
  </si>
  <si>
    <t xml:space="preserve"> Pre-bid will be on July 31, 2020 at Gov. Feliciano Leviste MNHS, Lemery, Batangas</t>
  </si>
  <si>
    <t xml:space="preserve"> https://drive.google.com/file/d/1WJ0KbDXSpurQ8w59wTYwkJats7H_RRmA/view?usp=drivesdk</t>
  </si>
  <si>
    <t xml:space="preserve"> 1.	THIS IS A FIRST PUBLICATION OF THIS PROCUREMENT.</t>
  </si>
  <si>
    <t xml:space="preserve"> P-1 POBLACION PALMA GIL,DDN</t>
  </si>
  <si>
    <t xml:space="preserve"> https://drive.google.com/file/d/1B3OyiVcMLyt2KJn8piNE-VzlVmCSHOD7/view?usp=drivesdk</t>
  </si>
  <si>
    <t xml:space="preserve"> BID OPENING: AUGUST 14, 2020  1:00PM  BAC OFFICE, MUNICIPAL HALL, STA. MARCELA, APAYAO</t>
  </si>
  <si>
    <t xml:space="preserve"> Rice Allowance for PNP,BFp,PMFC and PA</t>
  </si>
  <si>
    <t xml:space="preserve"> BID OPENING: AUGUST 14, 2020   2:30PM  BAC OFFICE,MUNICIPAL HALL, STA. MARCELA, APAYAO</t>
  </si>
  <si>
    <t xml:space="preserve"> FIRST ENVELOPE (ELIGIBILITY &amp; TECHNICAL COMPONENTS) </t>
  </si>
  <si>
    <t xml:space="preserve"> July 29, 2020 - Issuance of Bidding Documents</t>
  </si>
  <si>
    <t xml:space="preserve"> Submission of sealed envelopes and opening of bids: August 13, 2020/ 10:00A.M/ Municipal Conference Room</t>
  </si>
  <si>
    <t xml:space="preserve"> https://drive.google.com/file/d/1qdGmTI65nzygfSsWGZWEHTJvLcBA3cub/view?usp=drivesdk</t>
  </si>
  <si>
    <t xml:space="preserve"> https://drive.google.com/file/d/1ROX8D5qgVPEVBRDHd4yTTMYuyxsxpapN/view?usp=drivesdk</t>
  </si>
  <si>
    <t xml:space="preserve"> Submission of sealed envelopes and opening of bids: August 13, 2020/ 10:00A.M./ Municipal Conference Room</t>
  </si>
  <si>
    <t xml:space="preserve"> https://drive.google.com/file/d/1k6vDDEyelPVuGQuqdPTkWNgYLdLuQXJK/view?usp=drivesdk</t>
  </si>
  <si>
    <t xml:space="preserve"> Fund: Tuklas-Lunas External</t>
  </si>
  <si>
    <t xml:space="preserve"> Fund:164</t>
  </si>
  <si>
    <t xml:space="preserve"> The schedule of opening of bid will be on August 17, 2020 at exactly 2:00 o'clock in the afternoon at the BAC Office LGU Dauis, Bohol.</t>
  </si>
  <si>
    <t xml:space="preserve"> Fund:101</t>
  </si>
  <si>
    <t xml:space="preserve"> INSTRUCTION:</t>
  </si>
  <si>
    <t xml:space="preserve"> Fund 101</t>
  </si>
  <si>
    <t xml:space="preserve"> Venue: Barangay Hall, Matindeg, Pura, Tarlac</t>
  </si>
  <si>
    <t xml:space="preserve"> MTO:  3 PCS. STEEL CABINET,4 DRAWERS</t>
  </si>
  <si>
    <t xml:space="preserve"> Availability of Bid Documents: July 25 – August 13, 2020; 8:00 AM-5:00 PM; Monday through Friday</t>
  </si>
  <si>
    <t xml:space="preserve"> Materials for the Improvement of CRDHS Stage-Toytoy</t>
  </si>
  <si>
    <t xml:space="preserve"> As a precautionary measure, only one prospective bidder or his/her representative shall be allowed to attend the different stages of the bidding process. Wearing of mask and face shield are mandatory for everyone who attends. </t>
  </si>
  <si>
    <t xml:space="preserve"> BAC Activities	Schedule	</t>
  </si>
  <si>
    <t xml:space="preserve"> • Similar Contracts: Dry docking  and ship repair</t>
  </si>
  <si>
    <t xml:space="preserve"> Bidding Information:</t>
  </si>
  <si>
    <t xml:space="preserve"> • Similar Contracts: Supply and Delivery of Lead-Acid (LA) Battery for Industrial Applications</t>
  </si>
  <si>
    <t xml:space="preserve"> See Associated Components</t>
  </si>
  <si>
    <t xml:space="preserve"> DepEd use, reproduction of modules/learners materials</t>
  </si>
  <si>
    <t xml:space="preserve"> https://drive.google.com/file/d/1jNIFQZA__HRT-6cuO_jFgLipv78aedHW/view?usp=drivesdk</t>
  </si>
  <si>
    <t xml:space="preserve"> Please download the document at the associated components.</t>
  </si>
  <si>
    <t xml:space="preserve"> FOR MORE INFORMATION AND CLARIFICATION, PLEASE SEE HEAD-BAC SECRETARIAT, ENGR. CATHERINE B. CAPILI AT ENGINEERING OFFICE FROM MONDAY TO FRIDAY (8:00 A.M. TO 5:00 P.M.)</t>
  </si>
  <si>
    <t xml:space="preserve"> BID DOCUMENT IS AVAILABLE AT ENGINEERING OFFICE, BAC SECRETARIAT</t>
  </si>
  <si>
    <t xml:space="preserve"> Submission of sealed envelopes and opening of bids:August 13, 2020/ 10:00 A.M/ Municipal Conference Room</t>
  </si>
  <si>
    <t xml:space="preserve"> bring the following buying document</t>
  </si>
  <si>
    <t xml:space="preserve"> also posted in dpwh website</t>
  </si>
  <si>
    <t xml:space="preserve"> Floating Ball Buoy</t>
  </si>
  <si>
    <t xml:space="preserve"> kindly download the attached bidding documents for requirements and specifications.</t>
  </si>
  <si>
    <t xml:space="preserve"> for more information please contact us in this number 09076210257 or 09776732454. thank you</t>
  </si>
  <si>
    <t xml:space="preserve"> The BAC is conducting the public bidding for this Contract in accordance with the 2016 Revised IRR of RA 9184.</t>
  </si>
  <si>
    <t xml:space="preserve"> Please see the following attached documents:</t>
  </si>
  <si>
    <t xml:space="preserve"> https://drive.google.com/file/d/1daM977YAV8gehI9iXB4l0Oasfx0WPsVR/view?usp=drivesdk</t>
  </si>
  <si>
    <t xml:space="preserve"> ***NOTE: Please copy the link below and paste to the web browser for the attached set of Bidding Documents.</t>
  </si>
  <si>
    <t xml:space="preserve"> Bidders must download the associated component/s.</t>
  </si>
  <si>
    <t xml:space="preserve"> https://drive.google.com/file/d/17JT5s-bcki5EEzHFa1lwE9BJhtMy3xca/view?usp=drivesdk</t>
  </si>
  <si>
    <t xml:space="preserve"> The Works consists of Provision of 82.5 l.m. stone masonry slope protection structure, 9 l.m headwall, 2-units apron, 2-units catch basin, 29.3 l.m. reinforced concrete canal lining and 24 l.m. 910mmø RCPC.</t>
  </si>
  <si>
    <t xml:space="preserve"> The Works consists of Provision of 35.63 l.m. stone masonry slope protection structure.</t>
  </si>
  <si>
    <t xml:space="preserve"> The Works consists of Provision of 61.00 l.m. grouted riprap, 61.00 l.m. rubble concrete, 36.2 l.m. stone masonry slope protection structure, 149 l.m. curb &amp; gutter and 246.2 l.m. concrete shoulder.</t>
  </si>
  <si>
    <t xml:space="preserve"> 20II0064 Plans:</t>
  </si>
  <si>
    <t xml:space="preserve"> email us : elelpob2@gmail.com</t>
  </si>
  <si>
    <t xml:space="preserve"> The Works consists of Concreting of 383.3 m long x 6.10m wide x 0.20m thk plain PCCP; provision for 146.220000000026 l.m. stone masonry slope protection structure, 18 l.m. headwall and 27 l.m. ø910mm RCPC.</t>
  </si>
  <si>
    <t xml:space="preserve"> The Works consists of Construction of 6.10m x 9.0m reinforced concrete flat slab bridge.</t>
  </si>
  <si>
    <t xml:space="preserve"> Bidders must download the attached documents  in the associated component</t>
  </si>
  <si>
    <t xml:space="preserve"> Proposed Isolation Building is a Center Facility for COVID-19 Asymptomatic and positive patient for treatment purposes.</t>
  </si>
  <si>
    <t xml:space="preserve"> The Works consists of Provision of One pc. Ø910mm RCPC with 38 l.m. (388.46 cu.m.) rubble concrete protection structure, 12.20 lm. (35.41 cu.m.) stone masonry headwall &amp; slope protection structure, 40 l.m. 88.0cu.m.) Gabion w/ mattress bedding and 5.70 l.m. (4.42 cu.m.) Grouted Riprap spillway flooring.</t>
  </si>
  <si>
    <t xml:space="preserve"> FOR MORE INFORMATION AND DETAILS PLEASE CONTACT BRGY. NAPNAPAN NORTE BIDS AND AWARDS COMMITTEE, BRGY NAPNAPAN NORTE HALL C/O BRGY. SECRETARY CECILIA CAIN, CELLPHONE NO. 0907-153-2241.</t>
  </si>
  <si>
    <t xml:space="preserve"> https://drive.google.com/file/d/176Ig8PhoS28RxErumadYVeSoLmB2SEay/view?usp=drivesdk</t>
  </si>
  <si>
    <t xml:space="preserve"> https://drive.google.com/file/d/1ngyh7s_WnoJQtzNQ9m2bCaNhBxX0cJJs/view?usp=drivesdk</t>
  </si>
  <si>
    <t xml:space="preserve"> https://drive.google.com/file/d/1yjTx8S8o_srqLoPrBSq_LvcUxrEuXOSC/view?usp=drivesdk</t>
  </si>
  <si>
    <t xml:space="preserve"> Disaster Risk Reduction &amp; Management (DRRM) Quick Response Vehicle is a Responder's Vehicle during Emergency and Rescue Operation, both natural and man-made calamity.</t>
  </si>
  <si>
    <t xml:space="preserve"> https://drive.google.com/file/d/1EH8SSe8HhRz-DzeHBwpqbDhdPYy7bb1W/view?usp=drivesdk</t>
  </si>
  <si>
    <t xml:space="preserve"> Item Qty.	Unit	D E S C R I P T I O N	</t>
  </si>
  <si>
    <t xml:space="preserve"> https://drive.google.com/file/d/11tApCDs3RBPvJQkAkfjbAb3rjr6_X3TD/view?usp=drivesdk</t>
  </si>
  <si>
    <t xml:space="preserve"> https://drive.google.com/file/d/1KnfDwUelVuG9vOuXF4orpfQAjjB6y86u/view?usp=drivesdk</t>
  </si>
  <si>
    <t xml:space="preserve"> The schedule of key procurement activities for this Contract are shown below:</t>
  </si>
  <si>
    <t xml:space="preserve"> https://drive.google.com/file/d/1OXImMB9GETEnlF_AxwAEznDyu_WRBCyt/view?usp=drivesdk</t>
  </si>
  <si>
    <t xml:space="preserve"> 1. Please download ITB and bidding documents in the associated component</t>
  </si>
  <si>
    <t xml:space="preserve"> Bidding documents:</t>
  </si>
  <si>
    <t xml:space="preserve"> FOR INQUIRY PLEASE PROCEED TO BAC OFFICE </t>
  </si>
  <si>
    <t xml:space="preserve"> https://drive.google.com/file/d/1C4RYBQxfe3BMWld5I_iCURJdfBiojwHU/view?usp=drivesdk</t>
  </si>
  <si>
    <t xml:space="preserve"> Interested bidders may obtain further information from Bids and Awards Committee Secretariat and inspect the Bidding Documents at the address given below from 9:00am to 5:00pm.</t>
  </si>
  <si>
    <t xml:space="preserve"> https://drive.google.com/file/d/1HUem-gbHELL77HRDx3RzowPVZY4nsHlA/view?usp=drivesdk</t>
  </si>
  <si>
    <t xml:space="preserve"> https://drive.google.com/file/d/1xkgMp7UynN4qZda7ufJOCRZbCucuJADG/view?usp=drivesdk</t>
  </si>
  <si>
    <t xml:space="preserve"> https://drive.google.com/file/d/1BTTHYyBClY0-0J_VsNz7ahwwsD4zXAxz/view?usp=drivesdk</t>
  </si>
  <si>
    <t xml:space="preserve"> Interested bidders may obtain further information from Local Government Unit of the Island Garden City of Samal and inspect the Bidding Documents at the address given below during 8:00 A.M. to 5:00 P.M.</t>
  </si>
  <si>
    <t xml:space="preserve"> https://drive.google.com/file/d/1SEyC5YFH7XpowEDS8fahNbIvJFHccwbe/view?usp=drivesdk</t>
  </si>
  <si>
    <t xml:space="preserve"> https://drive.google.com/file/d/16c95vA-aWZuCX2PyAx4jI3rw8xj-fMew/view?usp=drivesdk</t>
  </si>
  <si>
    <t xml:space="preserve"> https://drive.google.com/file/d/1jgey-BlMU0x5x6f9VOvYAgofqc1SZTrL/view?usp=drivesdk</t>
  </si>
  <si>
    <t xml:space="preserve"> MR. MOHAMADSUAIB  B. ESMAEL, BAC-B, Chairperson</t>
  </si>
  <si>
    <t xml:space="preserve"> • Similar Contracts: Supply and Delivery of Steel Poles or Steel Towers for at least 69kV Transmission Line</t>
  </si>
  <si>
    <t xml:space="preserve"> THE SUPPLIER MUST DOWNLOAD THE ATTACHED DOCUMENTS IN THE ASSOCIATED COMPONENTS.</t>
  </si>
  <si>
    <t xml:space="preserve"> COPY AND PASTE IN THE BROWSER THE LINK BELOW TO VIEW PLANS</t>
  </si>
  <si>
    <t xml:space="preserve"> Please see attached E-file for further Information</t>
  </si>
  <si>
    <t xml:space="preserve"> https://drive.google.com/file/d/1WAcRyHS9JxJQnTgaN2EOcmtrIoXPHvuk/view?usp=drivesdk</t>
  </si>
  <si>
    <t xml:space="preserve"> https://drive.google.com/file/d/122VykzL_IJwqT6CV3Gz1WH83LKF1tDGl/view?usp=drivesdk</t>
  </si>
  <si>
    <t xml:space="preserve"> https://drive.google.com/file/d/1wW5f2WOTvP4fLD-1N-CmBSP8Y1RF3VeO/view?usp=drivesdk</t>
  </si>
  <si>
    <t xml:space="preserve"> https://drive.google.com/file/d/1QCiMhhluyz2_t_cxDjH_yYs-MH3pQ1UY/view?usp=drivesdk</t>
  </si>
  <si>
    <t xml:space="preserve"> https://drive.google.com/file/d/121qtxUp0oU4M6KdBZQLeoitPb7dgI_IY/view?usp=drivesdk</t>
  </si>
  <si>
    <t xml:space="preserve"> https://drive.google.com/file/d/1GntPLIKQkczzifCvr_wfdz0TNWCd620Y/view?usp=drivesdk</t>
  </si>
  <si>
    <t xml:space="preserve"> COST OF BIDDING DOCUMENT (NON-REFUNDABLE) = PhP25,000.00</t>
  </si>
  <si>
    <t xml:space="preserve"> https://drive.google.com/file/d/1ZUgWceyqB6h9cAndkFZnLJ21Ls1BjoLd/view?usp=drivesdk</t>
  </si>
  <si>
    <t xml:space="preserve"> https://drive.google.com/file/d/10YgofYNbhFnHVuc3sTgNUn1s3GTwiTT5/view?usp=drivesdk</t>
  </si>
  <si>
    <t xml:space="preserve"> https://drive.google.com/file/d/15RuTC09fv4i-bDORk5ky2RBcd9Vn9Upa/view?usp=drivesdk</t>
  </si>
  <si>
    <t xml:space="preserve"> https://drive.google.com/file/d/1bGmdSNYzxh-q_LeFEoiby3zzG7uMalYy/view?usp=drivesdk</t>
  </si>
  <si>
    <t xml:space="preserve"> https://drive.google.com/file/d/1ncSzqXYDHUQMxjS6BA9ATb_8_rjmm4Lw/view?usp=drivesdk</t>
  </si>
  <si>
    <t xml:space="preserve"> Please see attached bill of quantities</t>
  </si>
  <si>
    <t xml:space="preserve"> The BAC shall issue bidding documents upon payment of Ten Thousand Pesos (Php10,000.00) for each LOT to the disbursing/ collecting officer of the LGU.</t>
  </si>
  <si>
    <t xml:space="preserve"> https://drive.google.com/file/d/16YRAwTBINA-dfllACoh60gia_G8ofZT_/view?usp=drivesdk</t>
  </si>
  <si>
    <t xml:space="preserve"> https://drive.google.com/file/d/15_6mFP7DqcXaTIYGlqhq2ni38Bv9NtY7/view?usp=drivesdk</t>
  </si>
  <si>
    <t xml:space="preserve"> https://drive.google.com/file/d/1egaYLoyAG8JV7Hwk9XwfghZUNQAY1pev/view?usp=drivesdk</t>
  </si>
  <si>
    <t xml:space="preserve"> https://drive.google.com/file/d/1DSfPL1SQv_IXAegRvwIikSJDBVK3kk4y/view?usp=drivesdk</t>
  </si>
  <si>
    <t xml:space="preserve"> Please see attached bill of quantities.</t>
  </si>
  <si>
    <t xml:space="preserve"> https://drive.google.com/file/d/1SPwK9pYQQTDeuivcG8GCeT18V-9r2D-v/view?usp=drivesdk</t>
  </si>
  <si>
    <t xml:space="preserve"> 1		60	pc	Fiberglass syringe 10cc			 51,600.00 </t>
  </si>
  <si>
    <t xml:space="preserve"> Advertisement/Posting of ITB to PhilGEPS, website and conspicuous places- July 23 to 31, 2020</t>
  </si>
  <si>
    <t xml:space="preserve"> https://drive.google.com/file/d/13YD4Sk9xCtEqc523WBx5v74zkghuiAAr/view?usp=drivesdk</t>
  </si>
  <si>
    <t xml:space="preserve"> https://drive.google.com/file/d/16dgVInrwviBFtHfRPl4uKyHMA9D1yZvz/view?usp=drivesdk</t>
  </si>
  <si>
    <t xml:space="preserve"> Bidding Documents may be purchased by the Interested Bidders on July 29, 2020 from 8:00 A.M to 5:00 P.M. and upon payment of non - refundable fee of Five Hundred Pesos (Php 500.00).</t>
  </si>
  <si>
    <t xml:space="preserve"> https://drive.google.com/file/d/1Uqu7iDVdDNAsDGg-GrjF8aMIjdHty_0e/view?usp=drivesdk</t>
  </si>
  <si>
    <t xml:space="preserve"> https://drive.google.com/file/d/1uZlYqVCCvMFqYUoWCTB0LKoYborO0_Go/view?usp=drivesdk</t>
  </si>
  <si>
    <t xml:space="preserve"> MEDSURG_3186 1.) PPE COMPLETE SET COMPOSED OF THE FOLLOWING:</t>
  </si>
  <si>
    <t xml:space="preserve"> https://drive.google.com/file/d/1i0ADnZaJhU7vYxJTSHgEn3XeMhlnD9uA/view?usp=drivesdk</t>
  </si>
  <si>
    <t xml:space="preserve"> Bidding Documents may be purchased by the Interested Bidders on July 29, 2020 from 8:00 A.M to 5:00 P.M. and upon payment of non - refundable fee of One Thousand Pesos (Php 1,000.00).</t>
  </si>
  <si>
    <t xml:space="preserve"> https://drive.google.com/file/d/1a8Eur9nTfM0wuWeOVsVjPukFiCk1jY8k/view?usp=drivesdk</t>
  </si>
  <si>
    <t xml:space="preserve"> https://drive.google.com/file/d/1d7D9q8XNftqkDwr1hmsIBINsY_DyIaLc/view?usp=drivesdk</t>
  </si>
  <si>
    <t xml:space="preserve"> 1.	Bidders should have completed, within 2 years from the date of submission and receipt of bids, a contract similar to the Project. The description of an eligible bidder is contained in the Bidding Documents, particularly, in Section II. Instructions to Bidders.</t>
  </si>
  <si>
    <t xml:space="preserve"> https://drive.google.com/file/d/1aUsxnNbBxAiAQLXFVxOvQJWQYW8CPSHc/view?usp=drivesdk</t>
  </si>
  <si>
    <t xml:space="preserve"> A complete set of Bidding Documents may be acquired by interested bidders on JULY 23, 2020 to AUGUST 11,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</si>
  <si>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https://drive.google.com/file/d/1W7j19uriMw6LBzkNg3JQ29tgN18UfKtW/view?usp=drivesdk</t>
  </si>
  <si>
    <t xml:space="preserve"> Deadline for submission of bids will be on August 11, 2020, 10:00 A.M. at the Supply Office, Town Hall, Poblacion, Kibungan, Benguet.</t>
  </si>
  <si>
    <t xml:space="preserve"> The Municipal Government of Dauin, Negros Oriental, through General Fund - MOOE,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</si>
  <si>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https://drive.google.com/file/d/1-yAP3jsHQ4LiofD70aLbWjFvQuFKCPj8/view?usp=drivesdk</t>
  </si>
  <si>
    <t xml:space="preserve"> BID OPENING: AUGUST 11, 2020 1:00PM  BAC OFFICE, MUNICIPAL HALL, STA. MARCELA, APAYAO</t>
  </si>
  <si>
    <t xml:space="preserve"> Issuance of Bid Documents Starts: July 22, 2020</t>
  </si>
  <si>
    <t xml:space="preserve"> BID OPENING: AUGUST 11, 2020   2:30PM   BAC OFFICE, MUNICIPAL HALL, STA. MARCELA, APAYAO</t>
  </si>
  <si>
    <t xml:space="preserve"> The BAC shall issue bidding documents upon payment of Five Hundred Pesos Only (Php500.00) to the disbursing/ collecting officer of the LGU.</t>
  </si>
  <si>
    <t xml:space="preserve"> Interested suppliers are required to submit their valid and current Mayor’s Permit, DTI Registration, BIR, Tax Clearance, PhilGEPS Registration Certificate - Platinum and price quotation (Annex “A”).</t>
  </si>
  <si>
    <t xml:space="preserve"> Bidding Documents Alternative download link: https://drive.google.com/file/d/1jp5Yx0fm5ndrKeiKGD8f8LM6qEP9CF2g/view?usp=drivesdk</t>
  </si>
  <si>
    <t xml:space="preserve"> Bidding Documents Alternative download link: https://drive.google.com/file/d/1znXAcm-pIPmqdk0z-QQVk1e_r_BtsVqG/view?usp=drivesdk</t>
  </si>
  <si>
    <t xml:space="preserve"> Bidding Documents Alternative download link: https://drive.google.com/file/d/1BKU763574_lUauoQ9b9dqTd44SzvQ7FM/view?usp=drivesdk</t>
  </si>
  <si>
    <t xml:space="preserve"> Bidding Documents Alternative download link: https://drive.google.com/file/d/1Z_P9ClPhYXoDORNi9kTMIcYrEwa8b1sx/view?usp=drivesdk</t>
  </si>
  <si>
    <t xml:space="preserve"> Bidding Documents Alternative download link: https://drive.google.com/file/d/1wEJKBdJqKvE6ZE3oTdAyLHFZT1PnQWqm/view?usp=drivesdk</t>
  </si>
  <si>
    <t xml:space="preserve"> Bidding Documents Alternative download link: https://drive.google.com/file/d/1TMhTVEXSl_yqXqGKs2GiKBhDYi01uG-N/view?usp=drivesdk</t>
  </si>
  <si>
    <t xml:space="preserve"> https://drive.google.com/file/d/1wR8cpwQ29A_PKsceiSWuGoGddMGIhfpk/view?usp=drivesdk</t>
  </si>
  <si>
    <t xml:space="preserve"> Interested bidders may obtain further information from Barangay Government of Barangay Mambago-A through the Bids and Awards Committee Secretariat and inspect the Bidding Documents at the address given below during office hours.</t>
  </si>
  <si>
    <t xml:space="preserve"> Please download the Bidding Requirements using the links below:</t>
  </si>
  <si>
    <t xml:space="preserve"> Bidding Documents Alternative download link: https://drive.google.com/file/d/1L0tv1jhd8FJjizLJKPgKLgJNyDMOgOlS/view?usp=drivesdk</t>
  </si>
  <si>
    <t xml:space="preserve"> Please be informed that the Bid Documents can't be downloaded from the website. Interested bidders are requested to acquire the documents directly and personally from the Mayor's Office upon payment of a corresponding fee of Php5,000.00 for the said project at the Municipal Treasury Office.</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</si>
  <si>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t>
  </si>
  <si>
    <t xml:space="preserve"> Bidding Documents Alternative download link: https://drive.google.com/file/d/11Qrfqnnpqy36lSft6vuolAF-hTVPzx90/view?usp=drivesdk</t>
  </si>
  <si>
    <t xml:space="preserve"> Bidders shall pay the BAC a non-refundable fee of Php50,000.00 for the Bidding Documents, upon securing hard copies of the Documents. Bidders that download the Documents from the DPWH/PhilGEPS website shall pay the fee upon submission of their bids. </t>
  </si>
  <si>
    <t xml:space="preserve"> You can download Bidding Documents here: </t>
  </si>
  <si>
    <t xml:space="preserve"> Please see attached PDF for more information</t>
  </si>
  <si>
    <t xml:space="preserve"> https://drive.google.com/file/d/1UDK5nEX_tprCmES9AXR73XCq_yQqW-9x/view?usp=drivesdk</t>
  </si>
  <si>
    <t xml:space="preserve"> Downloads available at the Associated Components/Bid Supplements pages.</t>
  </si>
  <si>
    <t xml:space="preserve"> • Similar Contracts: Supply and delivery of Diesel Generating Sets or Mechanical and/or Electrical Parts / Components / Equipment for Diesel Generating Sets</t>
  </si>
  <si>
    <t xml:space="preserve"> • PR Nos.: S3-PPP20-004, S3-TAU20-004, S3-CTW20-025, S3-MAN20-006 </t>
  </si>
  <si>
    <t xml:space="preserve"> For further information, including drawings and scope of works please refer to:</t>
  </si>
  <si>
    <t xml:space="preserve"> The duly accomplished Price Quotation Form together with the CERTIFIED TRUE COPY of</t>
  </si>
  <si>
    <t xml:space="preserve"> refer to link : https://drive.google.com/file/d/1co11NZRgrsIRHPTWDXuqXu_D7W1XsAjr/view?usp=drivesdk</t>
  </si>
  <si>
    <t xml:space="preserve"> refer to link: https://drive.google.com/file/d/1l26fVjMLyyuBQeVIFWlYPx8JRR97COTr/view?usp=drivesdk</t>
  </si>
  <si>
    <t xml:space="preserve"> 09460493915</t>
  </si>
  <si>
    <t xml:space="preserve"> All interested Bidders must download the attached documents at the Associated Component Section for Instruction to Bidders</t>
  </si>
  <si>
    <t xml:space="preserve"> https://drive.google.com/file/d/1tiPgxXYqh94JgeM8zDJ6HV5DzfTYaV20/view?usp=drivesdk</t>
  </si>
  <si>
    <t xml:space="preserve"> Download electronic copy of bidding documents attached in the associated component section</t>
  </si>
  <si>
    <t xml:space="preserve"> https://drive.google.com/file/d/1nfkqJnzfHUPsCw2JkzZXkCHpnBE2VjeI/view?usp=drivesdk</t>
  </si>
  <si>
    <t xml:space="preserve"> OPENING OF BID WILL BE ON AUGUST 12, 2020 AT 10:00 A.M. AT THE UNIVERSITY LIBRARY CONFERENCE ROOM, TAU, CAMILING, TARLAC. LATE BIDS WILL NOT BE ACCEPTED.</t>
  </si>
  <si>
    <t xml:space="preserve"> RECEIPT OF LOI's: July 29-30, 2020 at 5:00PM</t>
  </si>
  <si>
    <t xml:space="preserve"> https://drive.google.com/file/d/19mD0Q7QPQXPL434EjEe3qEHhHtk2bKrl/view?usp=drivesdk</t>
  </si>
  <si>
    <t xml:space="preserve"> Issuance of Bid Documents  : 8:00AM - 5:00PM July 22, 2020 to 8:00AM - 09:30AM, August 11, 2020</t>
  </si>
  <si>
    <t xml:space="preserve"> 1. ATTENDEES FOR ANY BIDDING CONFERENCE OF THE PROJECT  MUST COORDINATE WITH PBS-RTVM PROCUREMENT OFFICE FOR PSG CLEARANCE AND GATEPASS PURPOSES A DAY BEFORE THE SCHEDULED DATE OF THE CONFERENCE.</t>
  </si>
  <si>
    <t xml:space="preserve"> 2	units	EMERGENCY TRANSPORT MOTOR VEHICLE</t>
  </si>
  <si>
    <t xml:space="preserve"> 1. ATTENDEES FOR ANY BIDDING CONFERENCE OF THE PROJECT MUST COORDINATE WITH PBS-RTVM PROCUREMENT OFFICE FOR PSG CLEARANCE AND GATEPASS A DAY BEFORE THE SCHEDULE DATE OF THE CONFERENCE.</t>
  </si>
  <si>
    <t xml:space="preserve"> Bidding documents link:</t>
  </si>
  <si>
    <t xml:space="preserve"> Bid opening shall be on August 11, 2020 at 9:00 A.M. at the Municipal Hall, Poblacion, Santa Fe, Romblon</t>
  </si>
  <si>
    <t xml:space="preserve"> Bid Opening shall be on August 11, 2020 at 9:00 A.M. at the Municipal Hall, Poblacion, Santa Fe, Romblon</t>
  </si>
  <si>
    <t xml:space="preserve"> https://drive.google.com/file/d/1_D42cYW00CEetGDOOB8QRSpp0QR_Zswz/view?usp=drivesdk</t>
  </si>
  <si>
    <t xml:space="preserve"> Purpose: For use in water treatment.</t>
  </si>
  <si>
    <t xml:space="preserve"> Very Important Instruction:</t>
  </si>
  <si>
    <t xml:space="preserve"> Please download bidding documents at the provided link, https://drive.google.com/file/d/1zLLMsqLRRnEVVIbkLhxUqRcnxoCQBSyY/view?usp=drivesdk</t>
  </si>
  <si>
    <t xml:space="preserve"> https://drive.google.com/file/d/1IUIbz0__pti_t0vJ_SWaKc1nVpVH4BoM/view?usp=drivesdk</t>
  </si>
  <si>
    <t xml:space="preserve"> BIDDERS NEED FOR FURTHER INFORMATION MAY CONTACT THE FOLLOWING:</t>
  </si>
  <si>
    <t xml:space="preserve"> https://drive.google.com/file/d/19gvg8Y0Gi0MYZ5I6l5mqvHsvDMnmxeNP/view?usp=drivesdk</t>
  </si>
  <si>
    <t xml:space="preserve"> https://drive.google.com/file/d/1_K9Hfs_9ligdVGZ71M-vOxwqEVzRc7Yl/view?usp=drivesdk</t>
  </si>
  <si>
    <t xml:space="preserve"> https://drive.google.com/file/d/1P7ZW6Zf7mpeVEp4HlZsZ0ECI0HJUpgsq/view?usp=drivesdk</t>
  </si>
  <si>
    <t xml:space="preserve"> https://drive.google.com/file/d/1a6iRQi0VDEx1PsbUdZ23TwDTDKTyZMTS/view?usp=drivesdk</t>
  </si>
  <si>
    <t xml:space="preserve"> Please download documents in the associated components.</t>
  </si>
  <si>
    <t xml:space="preserve"> https://drive.google.com/file/d/1gwinF6SIm0kam-8v7ADxa5YQW1_LNPVP/view?usp=drivesdk</t>
  </si>
  <si>
    <t xml:space="preserve"> Please download bidding documents at the provided link, https://drive.google.com/file/d/1gjh8Vyn09MXo_r14MGhsOM-IVLoTOwjE/view?usp=drivesdk</t>
  </si>
  <si>
    <t xml:space="preserve"> Please download bidding documents at the provided link, https://drive.google.com/file/d/1Etl1wl_MIttSxLC3JzbAeat4vlhcrCG3/view?usp=drivesdk</t>
  </si>
  <si>
    <t xml:space="preserve"> Please download bidding documents at the provided link, https://drive.google.com/file/d/1oZitzqFAT4rogy9Tn5Ww3hIRsAOnsdoK/view?usp=drivesdk</t>
  </si>
  <si>
    <t xml:space="preserve"> https://drive.google.com/file/d/1In1fRSipB71_g7GENLNnhXnCEg6gpwNz/view?usp=drivesdk</t>
  </si>
  <si>
    <t xml:space="preserve"> FOR MORE INFORMATION, PLEASE DOWNLOAD ATTACHED INVITATION TO BID AND BIDDING DOCUMENTS</t>
  </si>
  <si>
    <t xml:space="preserve"> please call to: 0998-247-0239  &amp;  0906-256-9238  for other details . . .</t>
  </si>
  <si>
    <t xml:space="preserve"> bidder must download attached document in associated component</t>
  </si>
  <si>
    <t xml:space="preserve"> Prospective bidders should have experience in undertaking a similar project within the last (2) two years with an 				</t>
  </si>
  <si>
    <t xml:space="preserve"> https://drive.google.com/file/d/135T-E-iPuISTHo6nCEdIVoy8OFx2E-2i/view?usp=drivesdk</t>
  </si>
  <si>
    <t xml:space="preserve"> Please click link below for the plans.</t>
  </si>
  <si>
    <t xml:space="preserve"> The delivery schedule expressed as weeks/months stipulates hereafter a delivery date which is the date of delivery to the project site.  </t>
  </si>
  <si>
    <t xml:space="preserve"> https://drive.google.com/file/d/1a61i6rDWwf5GemzvzjWGF-r2Dl3bRn99/view?usp=drivesdk</t>
  </si>
  <si>
    <t xml:space="preserve"> The Bidder shall submit bid price not exceeding the ABC of CW1 and CW2 per project.</t>
  </si>
  <si>
    <t xml:space="preserve"> Please contact:</t>
  </si>
  <si>
    <t xml:space="preserve"> Deadline for the submission of bid is on August 3, 2020 at 2:00 PM and opening of bids to follow immediately.Please submit your sealed bid/quotation at BAC Office, New Civil Aviation Authority of the Philippines Bldg., Mactan-Cebu Int'l. Airport, Lapu-lapu City , Cebu and look for Hannah. </t>
  </si>
  <si>
    <t xml:space="preserve"> https://drive.google.com/file/d/1ESecUxZtALaUzufoj26wWSZj_PcC6rQh/view?usp=drivesdk</t>
  </si>
  <si>
    <t xml:space="preserve"> Quotation shall be submitted via email (lbphobac@mail.landbank.com) not later than July 27, 2020, Monday, 12:00PM</t>
  </si>
  <si>
    <t xml:space="preserve"> Tires 11x20 lug with tube		40	sets</t>
  </si>
  <si>
    <t xml:space="preserve"> Diesel		 22,241.99 	liters</t>
  </si>
  <si>
    <t xml:space="preserve"> Bid Documents will be available only to prospective bidders upon payment of a non-refundable amount of Php 10,000.00 per set to the Municipal Treasurer of LGU- GATTARAN.</t>
  </si>
  <si>
    <t xml:space="preserve"> • Similar Contracts: Supply and Delivery of Electrical Testing Equipment / Instruments</t>
  </si>
  <si>
    <t xml:space="preserve"> • Similar Contracts:Supply and Delivery of Diesel Generating Sets or Mechanical and/or Electrical Parts / Components / Equipment for Diesel Generating Sets</t>
  </si>
  <si>
    <t xml:space="preserve"> • Similar Contracts: Supply and Delivery of Diesel / Bunker Generating Sets or Mechanical and/or Electrical Parts / Components / Equipment for Diesel Generating Sets</t>
  </si>
  <si>
    <t xml:space="preserve"> Fur further information, please contact:</t>
  </si>
  <si>
    <t xml:space="preserve"> 1 .) Submit LETTER OF INTENT ADDRESS TO THE REGIONAL DIRECTOR, ALLAN L. POQUITA, Ph.D.  and ATTENTION BAC CHAIRPERSON, ATTY. KIM LAURIS M. LABASAN.</t>
  </si>
  <si>
    <t xml:space="preserve"> Bid Document Fee: Php5,000.00</t>
  </si>
  <si>
    <t xml:space="preserve"> Amount of Bidding Documents: PhP25,000.00 </t>
  </si>
  <si>
    <t xml:space="preserve"> The opening of bid will be on August 10, 2020 at exactly 2:00 o'clock in the afternoon at the BAC Office c/o Budget Office LGU Dauis, Bohol.</t>
  </si>
  <si>
    <t xml:space="preserve"> Bidding Documents may be purchased by the Interested Bidders on July 27-28, 2020 from 8:00 A.M to 5:00 P.M. and upon payment of non - refundable fee of Five Hundred Pesos (Php 500.00).</t>
  </si>
  <si>
    <t xml:space="preserve"> Section VII. Technical Specifications</t>
  </si>
  <si>
    <t xml:space="preserve"> Bidding Documents may be purchased by the Interested Bidders on July 27-28, 2020 from 8:00 A.M to 5:00 P.M. and upon payment of non - refundable fee of One Thousand Pesos (Php 1,000.00 ).</t>
  </si>
  <si>
    <t xml:space="preserve"> Inquire at the Office of the BAC Secretariat for more details.</t>
  </si>
  <si>
    <t xml:space="preserve"> Advertisement - July 21, 2020 </t>
  </si>
  <si>
    <t xml:space="preserve"> Plans:</t>
  </si>
  <si>
    <t xml:space="preserve"> New Contact Person</t>
  </si>
  <si>
    <t xml:space="preserve"> Please download attached file</t>
  </si>
  <si>
    <t xml:space="preserve"> Please download attached document.</t>
  </si>
  <si>
    <t xml:space="preserve"> https://drive.google.com/file/d/1qjWaWvprsdrrBSr2h4T99ZmJQylKRIYS/view?usp=drivesdk</t>
  </si>
  <si>
    <t xml:space="preserve"> • Similar Contracts: Supply and Delivery of Electrical / Mechanical Spare Parts for Diesel Generating Sets </t>
  </si>
  <si>
    <t xml:space="preserve"> https://drive.google.com/file/d/13lIPWxes-_2JoQ4ARfyDQg_XtwEV1jon/view?usp=drivesdk</t>
  </si>
  <si>
    <t xml:space="preserve"> Kindly see attached Invitation to Bid and Public Bidding Documents</t>
  </si>
  <si>
    <t xml:space="preserve"> https://drive.google.com/file/d/1NejwYOzdbUCFysuJ2fvoqO4TvEOkW8uB/view?usp=drivesdk</t>
  </si>
  <si>
    <t xml:space="preserve"> https://drive.google.com/file/d/1Tr1iRYD9xKLLV2XlhwMLFW5Vw97P5y0h/view?usp=drivesdk</t>
  </si>
  <si>
    <t xml:space="preserve"> A complete set of Bidding Documents may be acquired by interested bidders on JULY 20, 2020 to AUGUST 11,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</si>
  <si>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Bidding Document Cost: P/ 5,000.00</t>
  </si>
  <si>
    <t xml:space="preserve"> Bidding Document Cost: P/ 1,000.00</t>
  </si>
  <si>
    <t xml:space="preserve"> Bidding Document Cost: P/ 500.00</t>
  </si>
  <si>
    <t xml:space="preserve"> https://drive.google.com/file/d/1KEqMwsNq-ZrwNKNXwUcJj9RIkUy7JG-K/view?usp=drivesdk</t>
  </si>
  <si>
    <t xml:space="preserve"> Due to the current Community Quarantine brought about by the Covid-19 pandemic, PhilFIDA shall hold a virtual Pre-Bid Conference through O365 Teams on July 27, 2020, 10:00 A.M. Prospective bidders should submit a valid email address one day before the Pre-bid Conference.</t>
  </si>
  <si>
    <t xml:space="preserve"> https://drive.google.com/file/d/1v-PIw5dWg7YXKugFIGFZ0ylR_lcN7y87/view?usp=drivesdk</t>
  </si>
  <si>
    <t xml:space="preserve"> https://drive.google.com/file/d/11v6XkdFZ32VC-kX1T4vvn14YzAhKFCb7/view?usp=drivesdk</t>
  </si>
  <si>
    <t xml:space="preserve"> https://drive.google.com/file/d/1af8tD4vWU6G2n_xuxxRJq2dJTkJD5yiX/view?usp=drivesdk</t>
  </si>
  <si>
    <t xml:space="preserve"> PLEASE CHECK SIMILAR INFORMATION AT THE WEBSITE OF THE PROCURING ENTITY</t>
  </si>
  <si>
    <t xml:space="preserve"> https://drive.google.com/file/d/1klAd2gUV-wW1NxSAwx32cH8pH1yc4Ss1/view?usp=drivesdk</t>
  </si>
  <si>
    <t xml:space="preserve"> Issuance of Bid Documents  : 8:00AM - 5:00PM July 19, 2020 to 8:00AM - 10:00AM, July 28, 2020</t>
  </si>
  <si>
    <t xml:space="preserve"> https://drive.google.com/file/d/1mB00LkUBh-9TeofGu-Ekaj8oug86tHPL/view?usp=drivesdk</t>
  </si>
  <si>
    <t xml:space="preserve"> https://drive.google.com/file/d/1tOQ9_fyVeJg4rAhhe_PBcZIinGyDYXU1/view?usp=drivesdk</t>
  </si>
  <si>
    <t xml:space="preserve"> see attached page</t>
  </si>
  <si>
    <t xml:space="preserve"> https://drive.google.com/file/d/114ymJL_CLouSBiK-QJwkfNz8ZIl3WgA8/view?usp=drivesdk</t>
  </si>
  <si>
    <t xml:space="preserve"> See Attached Page</t>
  </si>
  <si>
    <t xml:space="preserve"> Interested bidders may obtain further information from the PNOC-Procurement Management Division and inspect the Bidding Documents at the address given below from 9:00 AM to 3:00 PM.</t>
  </si>
  <si>
    <t xml:space="preserve"> https://drive.google.com/file/d/1Np9-AlCH5awyt7NJvyLc8mp0KcmXCXYl/view?usp=drivesdk</t>
  </si>
  <si>
    <t xml:space="preserve"> All particulars relative to Eligibility Check, Bid Bond, Performance Bond, Pre-Bid Conference, Bid Evaluation, Post Qualification and recommendation to award shall be governed by the pertinent provisions of the revised RA 9184 and its Implementing Rules and Regulations (IRR). Bids received in excess of the ABC shall be automatically rejected at the opening of bid.</t>
  </si>
  <si>
    <t xml:space="preserve"> OPENING OF BID QUOTATION</t>
  </si>
  <si>
    <t xml:space="preserve"> A complete set of Bidding Documents may be acquired by interested Bidders on July 20, 2020 from the address below and upon payment of a non-refundable fee for the Bidding Documents, pursuant to the latest Guidelines issued by the GPPB, in the amount of Two Thousand Pesos (P2,000.00).  </t>
  </si>
  <si>
    <t xml:space="preserve"> BIDDERS MUST DOWNLOAD THE ATTACHED DOCUMENT IN THE ASSOCIATED COMPONENT SECTION.</t>
  </si>
  <si>
    <t xml:space="preserve"> A complete set of Bidding Documents may be acquired by interested Bidders on July 20, 2020 from the address below and upon payment of a non-refundable fee for the Bidding Documents, pursuant to the latest Guidelines issued by the GPPB, in the amount of Four Thousand Pesos (P4,000.00).  </t>
  </si>
  <si>
    <t xml:space="preserve"> Submission of Bids July 17, 2020 until August 13, 2020 @ 12noon</t>
  </si>
  <si>
    <t xml:space="preserve"> SCHEDULE OF ACTIVITIES</t>
  </si>
  <si>
    <t xml:space="preserve"> SCHEDULE  OF ACTIVITES</t>
  </si>
  <si>
    <t xml:space="preserve"> Bidding documents are available at the BAC Secretariat Office, 4th Floor, Core A, Senate of the Philippines, Diokno Avenue, Pasay City.</t>
  </si>
  <si>
    <t xml:space="preserve"> LINK to download the bidding document:</t>
  </si>
  <si>
    <t xml:space="preserve"> Contact Person </t>
  </si>
  <si>
    <t xml:space="preserve"> Please check links below to download Plan.</t>
  </si>
  <si>
    <t xml:space="preserve"> During submission of Letter of Intent (LOI), kindly bring original copies of Mayor’s Business Permit and Department of Trade and Industry (DTI) Business Name Registration, authorization from the Authorized Managing Officer (AMO) is not allowed.</t>
  </si>
  <si>
    <t xml:space="preserve"> Pre-Bid Conference	2:00 P.M. July 21, 2020	</t>
  </si>
  <si>
    <t xml:space="preserve"> 20CE0244: Proposed Rehabilitation &amp; Improvement of Central Luzon State University (CLSU) Road Networks; Invitation to Bid including Plans and other Supporting Docs</t>
  </si>
  <si>
    <t xml:space="preserve"> Annexes to the Terms of Reference (TOR) can be downloaded in the link description below:</t>
  </si>
  <si>
    <t xml:space="preserve"> See attached bidding Document</t>
  </si>
  <si>
    <t xml:space="preserve"> FOR BACKHOE PC70, PC130, PC200		</t>
  </si>
  <si>
    <t xml:space="preserve"> Ink- #664 Black	314	Bottles</t>
  </si>
  <si>
    <t xml:space="preserve"> Laptop:</t>
  </si>
  <si>
    <t xml:space="preserve"> INFORMATION &amp; COMMUNICATION TECHNOLOGY EQUIPMENT</t>
  </si>
  <si>
    <t xml:space="preserve"> Oxygen Tanks 2000 lbs	80	cylinder</t>
  </si>
  <si>
    <t xml:space="preserve"> Rescue hydraulic Cutter and Spreader Combi Tool</t>
  </si>
  <si>
    <t xml:space="preserve"> CONTACT PERSON: NERISSA R. QUINTINIO-BAC CHAIRMAN</t>
  </si>
  <si>
    <t xml:space="preserve"> CONTACT PERSON: NERISSA R. QUINTINIO</t>
  </si>
  <si>
    <t xml:space="preserve"> See attached file</t>
  </si>
  <si>
    <t xml:space="preserve"> Posted at three conspicuous places</t>
  </si>
  <si>
    <t xml:space="preserve"> Delivery Terms: FOB Zamboanga City-WMSU</t>
  </si>
  <si>
    <t xml:space="preserve"> Please see attached RFQ # 20-1151 and Technical Specifications</t>
  </si>
  <si>
    <t xml:space="preserve"> Const. of Drainage Canal</t>
  </si>
  <si>
    <t xml:space="preserve"> Buyer: J. R. S. Medina</t>
  </si>
  <si>
    <t xml:space="preserve"> Regravelling. of Sitio Bulbulala</t>
  </si>
  <si>
    <t xml:space="preserve"> https://drive.google.com/file/d/15Ol8W-O_RHeQry2yfFqn1bTF9ArQqr5E/view?usp=drivesdk</t>
  </si>
  <si>
    <t xml:space="preserve"> All Interested Bidders must download the attached document at the Associated Component Section for Instruction to Bidders</t>
  </si>
  <si>
    <t xml:space="preserve"> SCHEDULE:</t>
  </si>
  <si>
    <t xml:space="preserve"> Issuance of Bid Documents  : 8:00AM - 5:00PM July 03, 2020 to 8:00AM - 10:00AM, July 14, 2020</t>
  </si>
  <si>
    <t xml:space="preserve"> Please submit all documentary requirements stated in our RFQ</t>
  </si>
  <si>
    <t xml:space="preserve"> 1.	The Ilocos Sur Polytechnic State College, through the External Funds Granted by DA-BAR intends to apply the sum of Twenty Million Pesos and 0/100 (Php 20,000,000.00) being the Approved Budget for the Contract (ABC) to payments under the contract for Establishment of Agriculture Innovation Center for Agri-Fishery-Livestock at Ilocos Sur Polytechnic State College / 2020-06-INFR. Bids received in excess of the ABC shall be automatically rejected at bid opening.</t>
  </si>
  <si>
    <t xml:space="preserve"> for queries, pls contact MS. ANJ EMETERIO at tel no. 405-7233 to 34, email address: mqemetrio@gmail.com</t>
  </si>
  <si>
    <t xml:space="preserve"> please go to link https://drive.google.com/file/d/1s3J9LaCY_cBzkAMpn2dmtsZt9DRl1Dgd/view?usp=drivesdk for a copy of the Bidding Documents</t>
  </si>
  <si>
    <t xml:space="preserve"> The Above-listed documents (including the MS Word file for RFP) can also be downloaded at the DPWH website:</t>
  </si>
  <si>
    <t xml:space="preserve"> Concreting of Alley Roads</t>
  </si>
  <si>
    <t xml:space="preserve"> Continuation of Development Center</t>
  </si>
  <si>
    <t xml:space="preserve"> for queries, pls. contact MS. LUBELLE LUMABAS, tel no. 8-405-7233 to 34; email address: landbank2290@gmail.com</t>
  </si>
  <si>
    <t xml:space="preserve"> INTERESTED BIDDERS ARE ADVISED TO DOWNLOAD THE ATTACHED DOCUMENTS LOCATED AT THE ASSOCIATED COMPONENT SECTION FOR GUIDANCE.</t>
  </si>
  <si>
    <t xml:space="preserve"> INTERESTED BIDDERS ARE ADVISED TO DOWNLOAD THE ATTACHED DOCUMENTS LOCATED AT THE ASSOCIATED COMPONENT SECTION FOR GUIDANCE</t>
  </si>
  <si>
    <t xml:space="preserve"> Please see bidding documents for details</t>
  </si>
  <si>
    <t xml:space="preserve"> https://drive.google.com/file/d/1BLzW9kq3CQC1wOpc5Jbqpbj_6g7PQyFB/view?usp=drivesdk PLAN 20CN0073</t>
  </si>
  <si>
    <t xml:space="preserve"> Issuance of Bid Documents  : 8:00AM - 5:00PM June 20, 2020 to 8:00AM - 10:00AM, July 14, 2020</t>
  </si>
  <si>
    <t xml:space="preserve"> for queries, you may email MS. KIM STO. TOMAS  at kimjoyangeles@yahoo.com</t>
  </si>
  <si>
    <t xml:space="preserve"> https://drive.google.com/file/d/1KgHRA1CgLn0h8QZo9dFR0kgGgD4506Np/view?usp=drivesdk</t>
  </si>
  <si>
    <t xml:space="preserve"> for queries, pls. contact MR. CHARM FLORIDO at tel nos. 85512200 locals 2452, 2453; 84057233 to 34</t>
  </si>
  <si>
    <t xml:space="preserve"> for inquiries, pls contact MS. ARVIE ESTRELLA at tel no. 8-405-7233 to 34, 8-5512200 locals 2452, 2453, 2731, 2609, 2979 &amp; 2290</t>
  </si>
  <si>
    <t xml:space="preserve"> BAC ACTIVITIES</t>
  </si>
  <si>
    <t xml:space="preserve"> For further information, Please refer to:</t>
  </si>
  <si>
    <t xml:space="preserve"> INTERESTED BIDDERS ARE ADVISED TO DOWNLOAD THE ATTACHED DOCUMENTS LOCATED IN ASSOCIATED COMPONENT SECTION FOR GUIDANCE.</t>
  </si>
  <si>
    <t xml:space="preserve"> 2.	https://drive.google.com/file/d/1idHJ8D1pmUXgEU8-TWy_VILC8id1Gidv/view?usp=drivesdk</t>
  </si>
  <si>
    <t xml:space="preserve"> Below is the link of the bidding document for this Project.</t>
  </si>
  <si>
    <t xml:space="preserve"> for queries, pls contact MS. JENKIN DY at 8-5512200 locals 2290, 2979; email address: jenkindy26@yahoo.com</t>
  </si>
  <si>
    <t xml:space="preserve"> For query,  pls. contact MR. JENKIN DY at tel no. 8-5512200 locals 2290, 2979, 2609, 4169</t>
  </si>
  <si>
    <t xml:space="preserve"> BIDDING DOCUMENTS:</t>
  </si>
  <si>
    <t xml:space="preserve"> Please download the attached file</t>
  </si>
  <si>
    <t xml:space="preserve"> https://drive.google.com/file/d/1S99bbKF0ugZ3dTTl2KyFEW7qIxcz-GoC/view?usp=drivesdk</t>
  </si>
  <si>
    <t xml:space="preserve"> please download associated documents</t>
  </si>
  <si>
    <t xml:space="preserve"> https://drive.google.com/file/d/181CvNEQjHZZ677-Qofd8XLwG9Qlpd5N8/view?usp=drivesdk</t>
  </si>
  <si>
    <t xml:space="preserve"> See attached other associated components.</t>
  </si>
  <si>
    <t xml:space="preserve"> Upon Purchase of Bidding Documents, please submit the following documents:</t>
  </si>
  <si>
    <t xml:space="preserve"> Also available at DPWH Website.</t>
  </si>
  <si>
    <t xml:space="preserve"> 1) 12 drum OIL #15W40, atleast 200ltr per drum = P594,000.00</t>
  </si>
  <si>
    <t xml:space="preserve"> DESCRIPTION - ROAD CONCRETING</t>
  </si>
  <si>
    <t xml:space="preserve"> Bidders must download the attached documents in the associated component</t>
  </si>
  <si>
    <t xml:space="preserve"> Bidding Documents may be purchased by the Interested Bidders on June 10-11, 2020 from 8:00 A.M to 5:00 P.M. and upon payment of non - refundable fee of Two Thousand Five Hundred Pesos (Php 2,500.00).</t>
  </si>
  <si>
    <t xml:space="preserve"> Fuel		 25,641.03 	liters</t>
  </si>
  <si>
    <t xml:space="preserve"> Item Number	Description	Quantity	Total	Delivered, Weeks/Months</t>
  </si>
  <si>
    <t xml:space="preserve"> • Similar Contracts: Supply and Delivery of Petroleum, Oil or Lubricant Products </t>
  </si>
  <si>
    <t xml:space="preserve"> 1.1.	1	unit	LAPTOP</t>
  </si>
  <si>
    <t xml:space="preserve"> • Total ABC for Two (2) years:</t>
  </si>
  <si>
    <t xml:space="preserve"> Pre-bid Conference is open to all interested bidders.</t>
  </si>
  <si>
    <t xml:space="preserve"> You may contact</t>
  </si>
  <si>
    <t xml:space="preserve"> For more information, please contact with this number 09076210257. Thank you</t>
  </si>
  <si>
    <t xml:space="preserve"> Venue of the meeting may be changed.</t>
  </si>
  <si>
    <t xml:space="preserve"> For the use for project monitoring and supervision of various BARMM - B.R.I.D.G.E Projects</t>
  </si>
  <si>
    <t>M.A Cueva</t>
  </si>
  <si>
    <t>Michael Angelo J. Paras</t>
  </si>
  <si>
    <t>Tarhata Salendab Kido</t>
  </si>
  <si>
    <t>Joseph Cañas Hernani</t>
  </si>
  <si>
    <t>Marilou Seno Villanueva</t>
  </si>
  <si>
    <t>Perry Origenes Bague</t>
  </si>
  <si>
    <t>Melanie Calura Rufino</t>
  </si>
  <si>
    <t>Ma. Felicidad Rebong Payba</t>
  </si>
  <si>
    <t>Melchor Talosig Halog</t>
  </si>
  <si>
    <t>Julio M Ramos</t>
  </si>
  <si>
    <t>ALVIAR P. SALAGUBANG</t>
  </si>
  <si>
    <t>Ramer B. Panes</t>
  </si>
  <si>
    <t>Genevieve Nuñez</t>
  </si>
  <si>
    <t>Haydee Asparin Espinosa</t>
  </si>
  <si>
    <t>ANECITA A. SESPEÑE</t>
  </si>
  <si>
    <t>Michael, Jr. N Quizon</t>
  </si>
  <si>
    <t>Frenzel Ray Kitan Tomas</t>
  </si>
  <si>
    <t>Abdul Rafi M. Lomondaya</t>
  </si>
  <si>
    <t>dipolog water bac</t>
  </si>
  <si>
    <t>Marife Aglosolos</t>
  </si>
  <si>
    <t>Lorena Pasco Bodoso</t>
  </si>
  <si>
    <t>CYNTHIA GARCIA CAPALA</t>
  </si>
  <si>
    <t>Atila S. Barre</t>
  </si>
  <si>
    <t>JOSEPH CAÑAS HERNANI</t>
  </si>
  <si>
    <t>Vince Kyle Dizon Timbol</t>
  </si>
  <si>
    <t>Arniel A. Abellonar</t>
  </si>
  <si>
    <t>BIENVENIDO ROSERO ENCISO JR</t>
  </si>
  <si>
    <t>Eduardo D. Fernandez</t>
  </si>
  <si>
    <t>Maylen Asuncion</t>
  </si>
  <si>
    <t>Jerlyn Saliba Bandoy</t>
  </si>
  <si>
    <t>RAFAEL LACBAYO SANTIAGO</t>
  </si>
  <si>
    <t>EDUARDO SANTILLAN DIONISIO</t>
  </si>
  <si>
    <t>Korina Sibulo Tronqued</t>
  </si>
  <si>
    <t>Roy C Gonzales</t>
  </si>
  <si>
    <t>Margarito Materum</t>
  </si>
  <si>
    <t>Rommel T Reamico</t>
  </si>
  <si>
    <t>Cynthlyn Alfante Gutierez</t>
  </si>
  <si>
    <t>JAZERA DINOPOL OYAO</t>
  </si>
  <si>
    <t>Carlos J Martus</t>
  </si>
  <si>
    <t>Pinky Miriam D Canlas</t>
  </si>
  <si>
    <t>MARILOU DERION PEDOS</t>
  </si>
  <si>
    <t>Mary Zhane Acosta</t>
  </si>
  <si>
    <t>Sherrymine C. Lazaga</t>
  </si>
  <si>
    <t>Loel Bacatan Fajardo</t>
  </si>
  <si>
    <t>Reynold Q. Velos</t>
  </si>
  <si>
    <t>Katherine V Veracruz</t>
  </si>
  <si>
    <t>Zenaida A. Liberato</t>
  </si>
  <si>
    <t>Isidro Alabag Gumpad</t>
  </si>
  <si>
    <t>Rodelio Jr. Abordo Vera</t>
  </si>
  <si>
    <t>Dionesia B. Lagas</t>
  </si>
  <si>
    <t>Roland Dayuno Morales</t>
  </si>
  <si>
    <t>RONALD S LANGBAN</t>
  </si>
  <si>
    <t>Riza Joy Barnizo Pele-in</t>
  </si>
  <si>
    <t>Lezzth Ibias Duran</t>
  </si>
  <si>
    <t>Roxanne C. Pimentel</t>
  </si>
  <si>
    <t>ALFREDO DANDO DELOS SANTOS</t>
  </si>
  <si>
    <t>ROEL B CADAGAT</t>
  </si>
  <si>
    <t>Buenaventura Zaldivar Flandez</t>
  </si>
  <si>
    <t>DELIZA M CUTARA</t>
  </si>
  <si>
    <t>Fe P Sagre</t>
  </si>
  <si>
    <t>Mark J. Arceo</t>
  </si>
  <si>
    <t>MARY ANNE C LADO</t>
  </si>
  <si>
    <t>Marlone Dagle Alejado</t>
  </si>
  <si>
    <t>Christian Ian Caligagan Villarin</t>
  </si>
  <si>
    <t>German Dichoson Salanio</t>
  </si>
  <si>
    <t>Liza C Dorado</t>
  </si>
  <si>
    <t>Meshele  Lecias  Cadangan</t>
  </si>
  <si>
    <t>ZORAYA B. MASAKAL</t>
  </si>
  <si>
    <t>Amelia P. Santos</t>
  </si>
  <si>
    <t>Angelika A. Paladan</t>
  </si>
  <si>
    <t>REYNALDO B OBEDOZA</t>
  </si>
  <si>
    <t>Florence P. Tiu</t>
  </si>
  <si>
    <t>Victor Jimenez Sotelo</t>
  </si>
  <si>
    <t>REYSHA  T.  QUIMADO</t>
  </si>
  <si>
    <t>ELLEN ROSE C. BAUTISTA</t>
  </si>
  <si>
    <t>Marc Alexis M Arabe</t>
  </si>
  <si>
    <t>Jennylyn Fernando Macapagal</t>
  </si>
  <si>
    <t>Alexander A Aberin</t>
  </si>
  <si>
    <t>Sheila Marie S Chua</t>
  </si>
  <si>
    <t>Vanezza Blanche F Agbayani</t>
  </si>
  <si>
    <t>Jed D Panes</t>
  </si>
  <si>
    <t>Castor Gracilla Verdeblanco</t>
  </si>
  <si>
    <t>Grace Ipongan Daniel</t>
  </si>
  <si>
    <t>Mark Joseph Justimbaste Calinao</t>
  </si>
  <si>
    <t>Jevic Gadon Daguno</t>
  </si>
  <si>
    <t>Aurelia Araoarao Bongcac</t>
  </si>
  <si>
    <t>Philip Al C. Estacion</t>
  </si>
  <si>
    <t>Veronica CV Esguerra</t>
  </si>
  <si>
    <t>Daisy Acero Umbina</t>
  </si>
  <si>
    <t>Bazil Nacman Cabria</t>
  </si>
  <si>
    <t>Nurhima Injani Badol</t>
  </si>
  <si>
    <t>Manny Maturan Da-ang</t>
  </si>
  <si>
    <t>Marites Peremne Balinas</t>
  </si>
  <si>
    <t>Edmundo Jr M Abueg</t>
  </si>
  <si>
    <t>Rudy Escoto Metante</t>
  </si>
  <si>
    <t>Nerichelle R Bobis</t>
  </si>
  <si>
    <t>Generoso Jr. Projillo Maghopoy</t>
  </si>
  <si>
    <t>Jeaneth Tabura</t>
  </si>
  <si>
    <t>Serafin v Tiu, Jr.</t>
  </si>
  <si>
    <t>Rosa Katherine J. Angeles</t>
  </si>
  <si>
    <t>Nelzar Borres Arsenio</t>
  </si>
  <si>
    <t>Rosario Fe Quizon Arevalo</t>
  </si>
  <si>
    <t>Joseph R. Sermonia</t>
  </si>
  <si>
    <t>Arthur Molenilla Balmadrid</t>
  </si>
  <si>
    <t>FELIXBERTO JR. BIRCO MATUTE</t>
  </si>
  <si>
    <t>Aries Ramos Alahan</t>
  </si>
  <si>
    <t>Ryan Saguyod Apolonio</t>
  </si>
  <si>
    <t>Glory Vi A. Mesina</t>
  </si>
  <si>
    <t>Johnnyline Pastor Jagdon</t>
  </si>
  <si>
    <t>Rodel H. Lim</t>
  </si>
  <si>
    <t>ELIZABETH S. FERNANDEZ</t>
  </si>
  <si>
    <t>BIENVENIDA PAMAN DULCERO</t>
  </si>
  <si>
    <t>Marino E Martinquilla</t>
  </si>
  <si>
    <t>RANDY R MALIWAT</t>
  </si>
  <si>
    <t>ALLEN JOY M. ESCALONA</t>
  </si>
  <si>
    <t>Victor Ariong Aglipay</t>
  </si>
  <si>
    <t>Editha Ignacio De Lemos</t>
  </si>
  <si>
    <t>Gemma Pugong Luglug</t>
  </si>
  <si>
    <t>AIVIE MAE BUTUAN ALIUDIN</t>
  </si>
  <si>
    <t>Amadel A Gonzales</t>
  </si>
  <si>
    <t>Jhea E Ebal</t>
  </si>
  <si>
    <t>Irma Danganan Lugue</t>
  </si>
  <si>
    <t>John Carlo V Alegre</t>
  </si>
  <si>
    <t>John A Leonardo</t>
  </si>
  <si>
    <t>Brian D. Lumague</t>
  </si>
  <si>
    <t>Roxanne Padilla</t>
  </si>
  <si>
    <t>MUSLIMIN S. PAMIKIRIN</t>
  </si>
  <si>
    <t>Juanito Biadnes Acorin</t>
  </si>
  <si>
    <t>Jayson Pangilinan Balagtas</t>
  </si>
  <si>
    <t>Alerry Layog</t>
  </si>
  <si>
    <t>Rezalyn Abuzo Maputol</t>
  </si>
  <si>
    <t>Gilbert C Mondroy</t>
  </si>
  <si>
    <t>Mar P. Viernes</t>
  </si>
  <si>
    <t>Benhar Sulaiman Sali</t>
  </si>
  <si>
    <t>Cyrene T Palparan</t>
  </si>
  <si>
    <t>Lydia Yumang Vinculado</t>
  </si>
  <si>
    <t>Jomar Feliciano Doncillo</t>
  </si>
  <si>
    <t>Joel R Perez</t>
  </si>
  <si>
    <t>Vivian Enriquez Villanueva</t>
  </si>
  <si>
    <t>Sante Sobremonte Presaldo</t>
  </si>
  <si>
    <t>18/10/2019</t>
  </si>
  <si>
    <t>06/05/2020</t>
  </si>
  <si>
    <t>28/01/2020</t>
  </si>
  <si>
    <t>04/02/2020</t>
  </si>
  <si>
    <t>19/04/2020</t>
  </si>
  <si>
    <t>02/12/2019</t>
  </si>
  <si>
    <t>13/02/2020</t>
  </si>
  <si>
    <t>24/04/2020</t>
  </si>
  <si>
    <t>21/10/2019</t>
  </si>
  <si>
    <t>09/06/2020</t>
  </si>
  <si>
    <t>12/07/2020</t>
  </si>
  <si>
    <t>17/06/2020</t>
  </si>
  <si>
    <t>13/01/2020</t>
  </si>
  <si>
    <t>15/06/2020</t>
  </si>
  <si>
    <t>05/06/2020</t>
  </si>
  <si>
    <t>07/06/2020</t>
  </si>
  <si>
    <t>20/05/2020</t>
  </si>
  <si>
    <t>27/05/2020</t>
  </si>
  <si>
    <t>16/04/2020</t>
  </si>
  <si>
    <t>25/04/2020</t>
  </si>
  <si>
    <t>21/04/2020</t>
  </si>
  <si>
    <t>29/04/2020</t>
  </si>
  <si>
    <t>18/03/2020</t>
  </si>
  <si>
    <t>26/03/2020</t>
  </si>
  <si>
    <t>31/03/2020</t>
  </si>
  <si>
    <t>13/04/2020</t>
  </si>
  <si>
    <t>13/05/2020</t>
  </si>
  <si>
    <t>01/06/2020</t>
  </si>
  <si>
    <t>09/03/2020</t>
  </si>
  <si>
    <t>02/03/2020</t>
  </si>
  <si>
    <t>25/02/2020</t>
  </si>
  <si>
    <t>18/11/2019</t>
  </si>
  <si>
    <t>31/12/2019</t>
  </si>
  <si>
    <t>31/01/2020</t>
  </si>
  <si>
    <t>18/02/2020</t>
  </si>
  <si>
    <t>11/02/2020</t>
  </si>
  <si>
    <t>19/12/2019</t>
  </si>
  <si>
    <t>05/02/2020</t>
  </si>
  <si>
    <t>19/02/2020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</si>
</sst>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5941"/>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f>HYPERLINK("https://www.philgeps.gov.ph/GEPSNONPILOT/Tender/SplashBidNoticeAbstractUI.aspx?menuIndex=3&amp;refID=7130128&amp;Result=3","7130128")</f>
        <v>0</v>
      </c>
      <c r="B2" t="s">
        <v>24</v>
      </c>
      <c r="C2" t="s">
        <v>3931</v>
      </c>
      <c r="D2" t="s">
        <v>19017</v>
      </c>
      <c r="E2" t="s">
        <v>19127</v>
      </c>
      <c r="F2" t="s">
        <v>32831</v>
      </c>
      <c r="G2" t="s">
        <v>32838</v>
      </c>
      <c r="H2" t="s">
        <v>32848</v>
      </c>
      <c r="I2" t="s">
        <v>32851</v>
      </c>
      <c r="J2" t="s">
        <v>32974</v>
      </c>
      <c r="K2" t="s">
        <v>42726</v>
      </c>
      <c r="M2" t="s">
        <v>43021</v>
      </c>
      <c r="N2" t="s">
        <v>47424</v>
      </c>
      <c r="O2" t="s">
        <v>47425</v>
      </c>
      <c r="P2">
        <v>0</v>
      </c>
      <c r="Q2">
        <v>0</v>
      </c>
      <c r="R2" t="s">
        <v>47426</v>
      </c>
      <c r="S2" t="s">
        <v>47531</v>
      </c>
      <c r="T2" t="s">
        <v>49055</v>
      </c>
      <c r="U2" t="s">
        <v>49688</v>
      </c>
      <c r="V2" t="s">
        <v>62616</v>
      </c>
      <c r="W2" t="s">
        <v>43021</v>
      </c>
      <c r="X2" t="s">
        <v>47445</v>
      </c>
    </row>
    <row r="3" spans="1:24">
      <c r="A3">
        <f>HYPERLINK("https://www.philgeps.gov.ph/GEPSNONPILOT/Tender/SplashBidNoticeAbstractUI.aspx?menuIndex=3&amp;refID=7145677&amp;Result=3","7145677")</f>
        <v>0</v>
      </c>
      <c r="B3" t="s">
        <v>24</v>
      </c>
      <c r="C3" t="s">
        <v>3932</v>
      </c>
      <c r="D3" t="s">
        <v>19017</v>
      </c>
      <c r="E3" t="s">
        <v>19128</v>
      </c>
      <c r="F3" t="s">
        <v>32831</v>
      </c>
      <c r="G3" t="s">
        <v>32838</v>
      </c>
      <c r="H3" t="s">
        <v>32848</v>
      </c>
      <c r="I3" t="s">
        <v>4438</v>
      </c>
      <c r="J3" t="s">
        <v>32975</v>
      </c>
      <c r="K3" t="s">
        <v>42726</v>
      </c>
      <c r="M3" t="s">
        <v>43021</v>
      </c>
      <c r="N3" t="s">
        <v>47424</v>
      </c>
      <c r="O3" t="s">
        <v>47425</v>
      </c>
      <c r="P3">
        <v>0</v>
      </c>
      <c r="Q3">
        <v>1</v>
      </c>
      <c r="R3" t="s">
        <v>47426</v>
      </c>
      <c r="S3" t="s">
        <v>47531</v>
      </c>
      <c r="T3" t="s">
        <v>49056</v>
      </c>
      <c r="U3" t="s">
        <v>49689</v>
      </c>
      <c r="V3" t="s">
        <v>62616</v>
      </c>
      <c r="W3" t="s">
        <v>43021</v>
      </c>
      <c r="X3" t="s">
        <v>47438</v>
      </c>
    </row>
    <row r="4" spans="1:24">
      <c r="A4">
        <f>HYPERLINK("https://www.philgeps.gov.ph/GEPSNONPILOT/Tender/SplashBidNoticeAbstractUI.aspx?menuIndex=3&amp;refID=6567985&amp;Result=3","6567985")</f>
        <v>0</v>
      </c>
      <c r="B4" t="s">
        <v>25</v>
      </c>
      <c r="C4" t="s">
        <v>3933</v>
      </c>
      <c r="D4" t="s">
        <v>19018</v>
      </c>
      <c r="E4" t="s">
        <v>19129</v>
      </c>
      <c r="F4" t="s">
        <v>32831</v>
      </c>
      <c r="G4" t="s">
        <v>32839</v>
      </c>
      <c r="H4" t="s">
        <v>32848</v>
      </c>
      <c r="I4" t="s">
        <v>9577</v>
      </c>
      <c r="J4" t="s">
        <v>32976</v>
      </c>
      <c r="K4" t="s">
        <v>42727</v>
      </c>
      <c r="M4" t="s">
        <v>43022</v>
      </c>
      <c r="N4" t="s">
        <v>47424</v>
      </c>
      <c r="O4" t="s">
        <v>47425</v>
      </c>
      <c r="P4">
        <v>0</v>
      </c>
      <c r="Q4">
        <v>0</v>
      </c>
      <c r="R4" t="s">
        <v>47426</v>
      </c>
      <c r="S4" t="s">
        <v>47531</v>
      </c>
      <c r="T4" t="s">
        <v>49057</v>
      </c>
      <c r="U4" t="s">
        <v>49690</v>
      </c>
      <c r="V4" t="s">
        <v>62617</v>
      </c>
      <c r="W4" t="s">
        <v>43022</v>
      </c>
      <c r="X4" t="s">
        <v>64569</v>
      </c>
    </row>
    <row r="5" spans="1:24">
      <c r="A5">
        <f>HYPERLINK("https://www.philgeps.gov.ph/GEPSNONPILOT/Tender/SplashBidNoticeAbstractUI.aspx?menuIndex=3&amp;refID=7147616&amp;Result=3","7147616")</f>
        <v>0</v>
      </c>
      <c r="B5" t="s">
        <v>26</v>
      </c>
      <c r="C5" t="s">
        <v>3934</v>
      </c>
      <c r="D5" t="s">
        <v>19019</v>
      </c>
      <c r="E5" t="s">
        <v>19130</v>
      </c>
      <c r="F5" t="s">
        <v>32831</v>
      </c>
      <c r="G5" t="s">
        <v>32839</v>
      </c>
      <c r="H5" t="s">
        <v>32849</v>
      </c>
      <c r="I5" t="s">
        <v>4177</v>
      </c>
      <c r="J5" t="s">
        <v>32977</v>
      </c>
      <c r="K5" t="s">
        <v>42728</v>
      </c>
      <c r="M5" t="s">
        <v>43023</v>
      </c>
      <c r="N5" t="s">
        <v>47424</v>
      </c>
      <c r="O5" t="s">
        <v>47425</v>
      </c>
      <c r="P5">
        <v>0</v>
      </c>
      <c r="Q5">
        <v>1</v>
      </c>
      <c r="R5" t="s">
        <v>47426</v>
      </c>
      <c r="S5" t="s">
        <v>47531</v>
      </c>
      <c r="T5" t="s">
        <v>49058</v>
      </c>
      <c r="U5" t="s">
        <v>49691</v>
      </c>
      <c r="W5" t="s">
        <v>43023</v>
      </c>
      <c r="X5" t="s">
        <v>47438</v>
      </c>
    </row>
    <row r="6" spans="1:24">
      <c r="A6">
        <f>HYPERLINK("https://www.philgeps.gov.ph/GEPSNONPILOT/Tender/SplashBidNoticeAbstractUI.aspx?menuIndex=3&amp;refID=7148640&amp;Result=3","7148640")</f>
        <v>0</v>
      </c>
      <c r="B6" t="s">
        <v>27</v>
      </c>
      <c r="C6" t="s">
        <v>3935</v>
      </c>
      <c r="D6" t="s">
        <v>19020</v>
      </c>
      <c r="E6" t="s">
        <v>19131</v>
      </c>
      <c r="F6" t="s">
        <v>32831</v>
      </c>
      <c r="G6" t="s">
        <v>32839</v>
      </c>
      <c r="H6" t="s">
        <v>32849</v>
      </c>
      <c r="I6" t="s">
        <v>4177</v>
      </c>
      <c r="J6" t="s">
        <v>32978</v>
      </c>
      <c r="K6" t="s">
        <v>42729</v>
      </c>
      <c r="M6" t="s">
        <v>43024</v>
      </c>
      <c r="N6" t="s">
        <v>47424</v>
      </c>
      <c r="O6" t="s">
        <v>47425</v>
      </c>
      <c r="P6">
        <v>0</v>
      </c>
      <c r="Q6">
        <v>0</v>
      </c>
      <c r="R6" t="s">
        <v>47426</v>
      </c>
      <c r="S6" t="s">
        <v>47531</v>
      </c>
      <c r="T6" t="s">
        <v>49059</v>
      </c>
      <c r="U6" t="s">
        <v>49692</v>
      </c>
      <c r="W6" t="s">
        <v>43024</v>
      </c>
      <c r="X6" t="s">
        <v>47436</v>
      </c>
    </row>
    <row r="7" spans="1:24">
      <c r="A7">
        <f>HYPERLINK("https://www.philgeps.gov.ph/GEPSNONPILOT/Tender/SplashBidNoticeAbstractUI.aspx?menuIndex=3&amp;refID=7142140&amp;Result=3","7142140")</f>
        <v>0</v>
      </c>
      <c r="B7" t="s">
        <v>28</v>
      </c>
      <c r="C7" t="s">
        <v>3936</v>
      </c>
      <c r="D7" t="s">
        <v>19021</v>
      </c>
      <c r="E7" t="s">
        <v>19132</v>
      </c>
      <c r="F7" t="s">
        <v>32831</v>
      </c>
      <c r="G7" t="s">
        <v>32839</v>
      </c>
      <c r="H7" t="s">
        <v>32849</v>
      </c>
      <c r="I7" t="s">
        <v>4177</v>
      </c>
      <c r="J7" t="s">
        <v>32979</v>
      </c>
      <c r="K7" t="s">
        <v>42730</v>
      </c>
      <c r="M7" t="s">
        <v>43025</v>
      </c>
      <c r="N7" t="s">
        <v>47424</v>
      </c>
      <c r="O7" t="s">
        <v>47425</v>
      </c>
      <c r="P7">
        <v>0</v>
      </c>
      <c r="Q7">
        <v>1</v>
      </c>
      <c r="R7" t="s">
        <v>47426</v>
      </c>
      <c r="S7" t="s">
        <v>47531</v>
      </c>
      <c r="T7" t="s">
        <v>49060</v>
      </c>
      <c r="U7" t="s">
        <v>49693</v>
      </c>
      <c r="W7" t="s">
        <v>43025</v>
      </c>
      <c r="X7" t="s">
        <v>47439</v>
      </c>
    </row>
    <row r="8" spans="1:24">
      <c r="A8">
        <f>HYPERLINK("https://www.philgeps.gov.ph/GEPSNONPILOT/Tender/SplashBidNoticeAbstractUI.aspx?menuIndex=3&amp;refID=7142125&amp;Result=3","7142125")</f>
        <v>0</v>
      </c>
      <c r="B8" t="s">
        <v>28</v>
      </c>
      <c r="C8" t="s">
        <v>3937</v>
      </c>
      <c r="D8" t="s">
        <v>19021</v>
      </c>
      <c r="E8" t="s">
        <v>19133</v>
      </c>
      <c r="F8" t="s">
        <v>32831</v>
      </c>
      <c r="G8" t="s">
        <v>32839</v>
      </c>
      <c r="H8" t="s">
        <v>32849</v>
      </c>
      <c r="I8" t="s">
        <v>4177</v>
      </c>
      <c r="J8" t="s">
        <v>32979</v>
      </c>
      <c r="K8" t="s">
        <v>42730</v>
      </c>
      <c r="M8" t="s">
        <v>43025</v>
      </c>
      <c r="N8" t="s">
        <v>47424</v>
      </c>
      <c r="O8" t="s">
        <v>47425</v>
      </c>
      <c r="P8">
        <v>0</v>
      </c>
      <c r="Q8">
        <v>1</v>
      </c>
      <c r="R8" t="s">
        <v>47426</v>
      </c>
      <c r="S8" t="s">
        <v>47531</v>
      </c>
      <c r="T8" t="s">
        <v>49060</v>
      </c>
      <c r="U8" t="s">
        <v>49693</v>
      </c>
      <c r="W8" t="s">
        <v>43025</v>
      </c>
      <c r="X8" t="s">
        <v>47439</v>
      </c>
    </row>
    <row r="9" spans="1:24">
      <c r="A9">
        <f>HYPERLINK("https://www.philgeps.gov.ph/GEPSNONPILOT/Tender/SplashBidNoticeAbstractUI.aspx?menuIndex=3&amp;refID=7142113&amp;Result=3","7142113")</f>
        <v>0</v>
      </c>
      <c r="B9" t="s">
        <v>28</v>
      </c>
      <c r="C9" t="s">
        <v>3938</v>
      </c>
      <c r="D9" t="s">
        <v>19021</v>
      </c>
      <c r="E9" t="s">
        <v>19134</v>
      </c>
      <c r="F9" t="s">
        <v>32831</v>
      </c>
      <c r="G9" t="s">
        <v>32839</v>
      </c>
      <c r="H9" t="s">
        <v>32849</v>
      </c>
      <c r="I9" t="s">
        <v>4177</v>
      </c>
      <c r="J9" t="s">
        <v>32980</v>
      </c>
      <c r="K9" t="s">
        <v>42730</v>
      </c>
      <c r="M9" t="s">
        <v>43025</v>
      </c>
      <c r="N9" t="s">
        <v>47424</v>
      </c>
      <c r="O9" t="s">
        <v>47425</v>
      </c>
      <c r="P9">
        <v>0</v>
      </c>
      <c r="Q9">
        <v>1</v>
      </c>
      <c r="R9" t="s">
        <v>47426</v>
      </c>
      <c r="S9" t="s">
        <v>47531</v>
      </c>
      <c r="T9" t="s">
        <v>49060</v>
      </c>
      <c r="U9" t="s">
        <v>49694</v>
      </c>
      <c r="W9" t="s">
        <v>43025</v>
      </c>
      <c r="X9" t="s">
        <v>47439</v>
      </c>
    </row>
    <row r="10" spans="1:24">
      <c r="A10">
        <f>HYPERLINK("https://www.philgeps.gov.ph/GEPSNONPILOT/Tender/SplashBidNoticeAbstractUI.aspx?menuIndex=3&amp;refID=7138368&amp;Result=3","7138368")</f>
        <v>0</v>
      </c>
      <c r="B10" t="s">
        <v>29</v>
      </c>
      <c r="C10" t="s">
        <v>3939</v>
      </c>
      <c r="D10" t="s">
        <v>19017</v>
      </c>
      <c r="E10" t="s">
        <v>19135</v>
      </c>
      <c r="F10" t="s">
        <v>32831</v>
      </c>
      <c r="G10" t="s">
        <v>32838</v>
      </c>
      <c r="H10" t="s">
        <v>32848</v>
      </c>
      <c r="I10" t="s">
        <v>4303</v>
      </c>
      <c r="J10" t="s">
        <v>32981</v>
      </c>
      <c r="K10" t="s">
        <v>42731</v>
      </c>
      <c r="M10" t="s">
        <v>43026</v>
      </c>
      <c r="N10" t="s">
        <v>47424</v>
      </c>
      <c r="O10" t="s">
        <v>47425</v>
      </c>
      <c r="P10">
        <v>0</v>
      </c>
      <c r="Q10">
        <v>2</v>
      </c>
      <c r="R10" t="s">
        <v>47426</v>
      </c>
      <c r="S10" t="s">
        <v>47531</v>
      </c>
      <c r="T10" t="s">
        <v>49061</v>
      </c>
      <c r="U10" t="s">
        <v>49695</v>
      </c>
      <c r="V10" t="s">
        <v>62618</v>
      </c>
      <c r="W10" t="s">
        <v>43026</v>
      </c>
      <c r="X10" t="s">
        <v>47441</v>
      </c>
    </row>
    <row r="11" spans="1:24">
      <c r="A11">
        <f>HYPERLINK("https://www.philgeps.gov.ph/GEPSNONPILOT/Tender/SplashBidNoticeAbstractUI.aspx?menuIndex=3&amp;refID=7137069&amp;Result=3","7137069")</f>
        <v>0</v>
      </c>
      <c r="B11" t="s">
        <v>30</v>
      </c>
      <c r="C11" t="s">
        <v>3940</v>
      </c>
      <c r="E11" t="s">
        <v>19136</v>
      </c>
      <c r="F11" t="s">
        <v>32831</v>
      </c>
      <c r="G11" t="s">
        <v>32839</v>
      </c>
      <c r="H11" t="s">
        <v>32849</v>
      </c>
      <c r="I11" t="s">
        <v>4177</v>
      </c>
      <c r="J11" t="s">
        <v>32982</v>
      </c>
      <c r="K11" t="s">
        <v>42732</v>
      </c>
      <c r="M11" t="s">
        <v>43027</v>
      </c>
      <c r="N11" t="s">
        <v>47424</v>
      </c>
      <c r="O11" t="s">
        <v>47425</v>
      </c>
      <c r="P11">
        <v>0</v>
      </c>
      <c r="Q11">
        <v>0</v>
      </c>
      <c r="R11" t="s">
        <v>47426</v>
      </c>
      <c r="S11" t="s">
        <v>47531</v>
      </c>
      <c r="T11" t="s">
        <v>49062</v>
      </c>
      <c r="U11" t="s">
        <v>49696</v>
      </c>
      <c r="W11" t="s">
        <v>43027</v>
      </c>
      <c r="X11" t="s">
        <v>47441</v>
      </c>
    </row>
    <row r="12" spans="1:24">
      <c r="A12">
        <f>HYPERLINK("https://www.philgeps.gov.ph/GEPSNONPILOT/Tender/SplashBidNoticeAbstractUI.aspx?menuIndex=3&amp;refID=7142154&amp;Result=3","7142154")</f>
        <v>0</v>
      </c>
      <c r="B12" t="s">
        <v>28</v>
      </c>
      <c r="C12" t="s">
        <v>3941</v>
      </c>
      <c r="D12" t="s">
        <v>19021</v>
      </c>
      <c r="E12" t="s">
        <v>19137</v>
      </c>
      <c r="F12" t="s">
        <v>32831</v>
      </c>
      <c r="G12" t="s">
        <v>32839</v>
      </c>
      <c r="H12" t="s">
        <v>32849</v>
      </c>
      <c r="I12" t="s">
        <v>4177</v>
      </c>
      <c r="J12" t="s">
        <v>32983</v>
      </c>
      <c r="K12" t="s">
        <v>42730</v>
      </c>
      <c r="M12" t="s">
        <v>43025</v>
      </c>
      <c r="N12" t="s">
        <v>47424</v>
      </c>
      <c r="O12" t="s">
        <v>47425</v>
      </c>
      <c r="P12">
        <v>0</v>
      </c>
      <c r="Q12">
        <v>1</v>
      </c>
      <c r="R12" t="s">
        <v>47426</v>
      </c>
      <c r="S12" t="s">
        <v>47531</v>
      </c>
      <c r="T12" t="s">
        <v>49060</v>
      </c>
      <c r="U12" t="s">
        <v>49697</v>
      </c>
      <c r="W12" t="s">
        <v>43025</v>
      </c>
      <c r="X12" t="s">
        <v>47439</v>
      </c>
    </row>
    <row r="13" spans="1:24">
      <c r="A13">
        <f>HYPERLINK("https://www.philgeps.gov.ph/GEPSNONPILOT/Tender/SplashBidNoticeAbstractUI.aspx?menuIndex=3&amp;refID=7148671&amp;Result=3","7148671")</f>
        <v>0</v>
      </c>
      <c r="B13" t="s">
        <v>27</v>
      </c>
      <c r="C13" t="s">
        <v>3942</v>
      </c>
      <c r="D13" t="s">
        <v>19020</v>
      </c>
      <c r="E13" t="s">
        <v>19138</v>
      </c>
      <c r="F13" t="s">
        <v>32831</v>
      </c>
      <c r="G13" t="s">
        <v>32839</v>
      </c>
      <c r="H13" t="s">
        <v>32849</v>
      </c>
      <c r="I13" t="s">
        <v>4177</v>
      </c>
      <c r="J13" t="s">
        <v>32984</v>
      </c>
      <c r="K13" t="s">
        <v>42733</v>
      </c>
      <c r="M13" t="s">
        <v>43024</v>
      </c>
      <c r="N13" t="s">
        <v>47424</v>
      </c>
      <c r="O13" t="s">
        <v>47425</v>
      </c>
      <c r="P13">
        <v>0</v>
      </c>
      <c r="Q13">
        <v>1</v>
      </c>
      <c r="R13" t="s">
        <v>47426</v>
      </c>
      <c r="S13" t="s">
        <v>47531</v>
      </c>
      <c r="T13" t="s">
        <v>49059</v>
      </c>
      <c r="U13" t="s">
        <v>49692</v>
      </c>
      <c r="W13" t="s">
        <v>43024</v>
      </c>
      <c r="X13" t="s">
        <v>47436</v>
      </c>
    </row>
    <row r="14" spans="1:24">
      <c r="A14">
        <f>HYPERLINK("https://www.philgeps.gov.ph/GEPSNONPILOT/Tender/SplashBidNoticeAbstractUI.aspx?menuIndex=3&amp;refID=7148639&amp;Result=3","7148639")</f>
        <v>0</v>
      </c>
      <c r="B14" t="s">
        <v>27</v>
      </c>
      <c r="C14" t="s">
        <v>3943</v>
      </c>
      <c r="D14" t="s">
        <v>19020</v>
      </c>
      <c r="E14" t="s">
        <v>19139</v>
      </c>
      <c r="F14" t="s">
        <v>32831</v>
      </c>
      <c r="G14" t="s">
        <v>32839</v>
      </c>
      <c r="H14" t="s">
        <v>32849</v>
      </c>
      <c r="I14" t="s">
        <v>4177</v>
      </c>
      <c r="J14" t="s">
        <v>32985</v>
      </c>
      <c r="K14" t="s">
        <v>42730</v>
      </c>
      <c r="M14" t="s">
        <v>43024</v>
      </c>
      <c r="N14" t="s">
        <v>47424</v>
      </c>
      <c r="O14" t="s">
        <v>47425</v>
      </c>
      <c r="P14">
        <v>0</v>
      </c>
      <c r="Q14">
        <v>0</v>
      </c>
      <c r="R14" t="s">
        <v>47426</v>
      </c>
      <c r="S14" t="s">
        <v>47531</v>
      </c>
      <c r="T14" t="s">
        <v>49059</v>
      </c>
      <c r="U14" t="s">
        <v>49692</v>
      </c>
      <c r="W14" t="s">
        <v>43024</v>
      </c>
      <c r="X14" t="s">
        <v>47436</v>
      </c>
    </row>
    <row r="15" spans="1:24">
      <c r="A15">
        <f>HYPERLINK("https://www.philgeps.gov.ph/GEPSNONPILOT/Tender/SplashBidNoticeAbstractUI.aspx?menuIndex=3&amp;refID=7148667&amp;Result=3","7148667")</f>
        <v>0</v>
      </c>
      <c r="B15" t="s">
        <v>27</v>
      </c>
      <c r="C15" t="s">
        <v>3944</v>
      </c>
      <c r="D15" t="s">
        <v>19020</v>
      </c>
      <c r="E15" t="s">
        <v>19140</v>
      </c>
      <c r="F15" t="s">
        <v>32831</v>
      </c>
      <c r="G15" t="s">
        <v>32839</v>
      </c>
      <c r="H15" t="s">
        <v>32849</v>
      </c>
      <c r="I15" t="s">
        <v>4177</v>
      </c>
      <c r="J15" t="s">
        <v>32986</v>
      </c>
      <c r="K15" t="s">
        <v>42734</v>
      </c>
      <c r="M15" t="s">
        <v>43024</v>
      </c>
      <c r="N15" t="s">
        <v>47424</v>
      </c>
      <c r="O15" t="s">
        <v>47425</v>
      </c>
      <c r="P15">
        <v>0</v>
      </c>
      <c r="Q15">
        <v>0</v>
      </c>
      <c r="R15" t="s">
        <v>47426</v>
      </c>
      <c r="S15" t="s">
        <v>47531</v>
      </c>
      <c r="T15" t="s">
        <v>49059</v>
      </c>
      <c r="U15" t="s">
        <v>49692</v>
      </c>
      <c r="W15" t="s">
        <v>43024</v>
      </c>
      <c r="X15" t="s">
        <v>47436</v>
      </c>
    </row>
    <row r="16" spans="1:24">
      <c r="A16">
        <f>HYPERLINK("https://www.philgeps.gov.ph/GEPSNONPILOT/Tender/SplashBidNoticeAbstractUI.aspx?menuIndex=3&amp;refID=7148659&amp;Result=3","7148659")</f>
        <v>0</v>
      </c>
      <c r="B16" t="s">
        <v>27</v>
      </c>
      <c r="C16" t="s">
        <v>3945</v>
      </c>
      <c r="D16" t="s">
        <v>19020</v>
      </c>
      <c r="E16" t="s">
        <v>19141</v>
      </c>
      <c r="F16" t="s">
        <v>32831</v>
      </c>
      <c r="G16" t="s">
        <v>32839</v>
      </c>
      <c r="H16" t="s">
        <v>32849</v>
      </c>
      <c r="I16" t="s">
        <v>4177</v>
      </c>
      <c r="J16" t="s">
        <v>32987</v>
      </c>
      <c r="K16" t="s">
        <v>42735</v>
      </c>
      <c r="M16" t="s">
        <v>43024</v>
      </c>
      <c r="N16" t="s">
        <v>47424</v>
      </c>
      <c r="O16" t="s">
        <v>47425</v>
      </c>
      <c r="P16">
        <v>0</v>
      </c>
      <c r="Q16">
        <v>0</v>
      </c>
      <c r="R16" t="s">
        <v>47426</v>
      </c>
      <c r="S16" t="s">
        <v>47531</v>
      </c>
      <c r="T16" t="s">
        <v>49059</v>
      </c>
      <c r="U16" t="s">
        <v>49692</v>
      </c>
      <c r="W16" t="s">
        <v>43024</v>
      </c>
      <c r="X16" t="s">
        <v>47436</v>
      </c>
    </row>
    <row r="17" spans="1:24">
      <c r="A17">
        <f>HYPERLINK("https://www.philgeps.gov.ph/GEPSNONPILOT/Tender/SplashBidNoticeAbstractUI.aspx?menuIndex=3&amp;refID=7148679&amp;Result=3","7148679")</f>
        <v>0</v>
      </c>
      <c r="B17" t="s">
        <v>27</v>
      </c>
      <c r="C17" t="s">
        <v>3946</v>
      </c>
      <c r="D17" t="s">
        <v>19020</v>
      </c>
      <c r="E17" t="s">
        <v>19142</v>
      </c>
      <c r="F17" t="s">
        <v>32831</v>
      </c>
      <c r="G17" t="s">
        <v>32839</v>
      </c>
      <c r="H17" t="s">
        <v>32849</v>
      </c>
      <c r="I17" t="s">
        <v>4177</v>
      </c>
      <c r="J17" t="s">
        <v>32988</v>
      </c>
      <c r="K17" t="s">
        <v>42736</v>
      </c>
      <c r="M17" t="s">
        <v>43024</v>
      </c>
      <c r="N17" t="s">
        <v>47424</v>
      </c>
      <c r="O17" t="s">
        <v>47425</v>
      </c>
      <c r="P17">
        <v>0</v>
      </c>
      <c r="Q17">
        <v>0</v>
      </c>
      <c r="R17" t="s">
        <v>47426</v>
      </c>
      <c r="S17" t="s">
        <v>47531</v>
      </c>
      <c r="T17" t="s">
        <v>49059</v>
      </c>
      <c r="U17" t="s">
        <v>49692</v>
      </c>
      <c r="W17" t="s">
        <v>43024</v>
      </c>
      <c r="X17" t="s">
        <v>47436</v>
      </c>
    </row>
    <row r="18" spans="1:24">
      <c r="A18">
        <f>HYPERLINK("https://www.philgeps.gov.ph/GEPSNONPILOT/Tender/SplashBidNoticeAbstractUI.aspx?menuIndex=3&amp;refID=7148642&amp;Result=3","7148642")</f>
        <v>0</v>
      </c>
      <c r="B18" t="s">
        <v>27</v>
      </c>
      <c r="C18" t="s">
        <v>3947</v>
      </c>
      <c r="D18" t="s">
        <v>19020</v>
      </c>
      <c r="E18" t="s">
        <v>19143</v>
      </c>
      <c r="F18" t="s">
        <v>32831</v>
      </c>
      <c r="G18" t="s">
        <v>32839</v>
      </c>
      <c r="H18" t="s">
        <v>32849</v>
      </c>
      <c r="I18" t="s">
        <v>4177</v>
      </c>
      <c r="J18" t="s">
        <v>32989</v>
      </c>
      <c r="K18" t="s">
        <v>42737</v>
      </c>
      <c r="M18" t="s">
        <v>43024</v>
      </c>
      <c r="N18" t="s">
        <v>47424</v>
      </c>
      <c r="O18" t="s">
        <v>47425</v>
      </c>
      <c r="P18">
        <v>0</v>
      </c>
      <c r="Q18">
        <v>0</v>
      </c>
      <c r="R18" t="s">
        <v>47426</v>
      </c>
      <c r="S18" t="s">
        <v>47531</v>
      </c>
      <c r="T18" t="s">
        <v>49059</v>
      </c>
      <c r="U18" t="s">
        <v>49692</v>
      </c>
      <c r="W18" t="s">
        <v>43024</v>
      </c>
      <c r="X18" t="s">
        <v>47436</v>
      </c>
    </row>
    <row r="19" spans="1:24">
      <c r="A19">
        <f>HYPERLINK("https://www.philgeps.gov.ph/GEPSNONPILOT/Tender/SplashBidNoticeAbstractUI.aspx?menuIndex=3&amp;refID=7149674&amp;Result=3","7149674")</f>
        <v>0</v>
      </c>
      <c r="B19" t="s">
        <v>31</v>
      </c>
      <c r="C19" t="s">
        <v>3948</v>
      </c>
      <c r="D19" t="s">
        <v>19022</v>
      </c>
      <c r="E19" t="s">
        <v>19144</v>
      </c>
      <c r="F19" t="s">
        <v>32831</v>
      </c>
      <c r="G19" t="s">
        <v>32839</v>
      </c>
      <c r="H19" t="s">
        <v>32848</v>
      </c>
      <c r="I19" t="s">
        <v>7416</v>
      </c>
      <c r="J19" t="s">
        <v>32990</v>
      </c>
      <c r="K19" t="s">
        <v>42738</v>
      </c>
      <c r="L19" t="s">
        <v>31</v>
      </c>
      <c r="M19" t="s">
        <v>43028</v>
      </c>
      <c r="N19" t="s">
        <v>47424</v>
      </c>
      <c r="O19" t="s">
        <v>47425</v>
      </c>
      <c r="P19">
        <v>0</v>
      </c>
      <c r="Q19">
        <v>0</v>
      </c>
      <c r="R19" t="s">
        <v>47426</v>
      </c>
      <c r="S19" t="s">
        <v>47531</v>
      </c>
      <c r="T19" t="s">
        <v>49063</v>
      </c>
      <c r="U19" t="s">
        <v>49698</v>
      </c>
      <c r="W19" t="s">
        <v>43028</v>
      </c>
      <c r="X19" t="s">
        <v>47434</v>
      </c>
    </row>
    <row r="20" spans="1:24">
      <c r="A20">
        <f>HYPERLINK("https://www.philgeps.gov.ph/GEPSNONPILOT/Tender/SplashBidNoticeAbstractUI.aspx?menuIndex=3&amp;refID=7148682&amp;Result=3","7148682")</f>
        <v>0</v>
      </c>
      <c r="B20" t="s">
        <v>27</v>
      </c>
      <c r="C20" t="s">
        <v>3949</v>
      </c>
      <c r="D20" t="s">
        <v>19020</v>
      </c>
      <c r="E20" t="s">
        <v>19145</v>
      </c>
      <c r="F20" t="s">
        <v>32831</v>
      </c>
      <c r="G20" t="s">
        <v>32839</v>
      </c>
      <c r="H20" t="s">
        <v>32849</v>
      </c>
      <c r="I20" t="s">
        <v>4177</v>
      </c>
      <c r="J20" t="s">
        <v>32983</v>
      </c>
      <c r="K20" t="s">
        <v>42739</v>
      </c>
      <c r="M20" t="s">
        <v>43024</v>
      </c>
      <c r="N20" t="s">
        <v>47424</v>
      </c>
      <c r="O20" t="s">
        <v>47425</v>
      </c>
      <c r="P20">
        <v>0</v>
      </c>
      <c r="Q20">
        <v>0</v>
      </c>
      <c r="R20" t="s">
        <v>47426</v>
      </c>
      <c r="S20" t="s">
        <v>47531</v>
      </c>
      <c r="T20" t="s">
        <v>49059</v>
      </c>
      <c r="U20" t="s">
        <v>49692</v>
      </c>
      <c r="W20" t="s">
        <v>43024</v>
      </c>
      <c r="X20" t="s">
        <v>47436</v>
      </c>
    </row>
    <row r="21" spans="1:24">
      <c r="A21">
        <f>HYPERLINK("https://www.philgeps.gov.ph/GEPSNONPILOT/Tender/SplashBidNoticeAbstractUI.aspx?menuIndex=3&amp;refID=7149505&amp;Result=3","7149505")</f>
        <v>0</v>
      </c>
      <c r="B21" t="s">
        <v>32</v>
      </c>
      <c r="C21" t="s">
        <v>3950</v>
      </c>
      <c r="D21" t="s">
        <v>19023</v>
      </c>
      <c r="E21" t="s">
        <v>19146</v>
      </c>
      <c r="F21" t="s">
        <v>32831</v>
      </c>
      <c r="G21" t="s">
        <v>32839</v>
      </c>
      <c r="H21" t="s">
        <v>32849</v>
      </c>
      <c r="I21" t="s">
        <v>4177</v>
      </c>
      <c r="J21" t="s">
        <v>32991</v>
      </c>
      <c r="K21" t="s">
        <v>42732</v>
      </c>
      <c r="M21" t="s">
        <v>43029</v>
      </c>
      <c r="N21" t="s">
        <v>47424</v>
      </c>
      <c r="O21" t="s">
        <v>47425</v>
      </c>
      <c r="P21">
        <v>0</v>
      </c>
      <c r="Q21">
        <v>2</v>
      </c>
      <c r="R21" t="s">
        <v>47426</v>
      </c>
      <c r="S21" t="s">
        <v>47531</v>
      </c>
      <c r="T21" t="s">
        <v>49064</v>
      </c>
      <c r="U21" t="s">
        <v>49699</v>
      </c>
      <c r="V21" t="s">
        <v>62619</v>
      </c>
      <c r="W21" t="s">
        <v>43029</v>
      </c>
      <c r="X21" t="s">
        <v>47434</v>
      </c>
    </row>
    <row r="22" spans="1:24">
      <c r="A22">
        <f>HYPERLINK("https://www.philgeps.gov.ph/GEPSNONPILOT/Tender/SplashBidNoticeAbstractUI.aspx?menuIndex=3&amp;refID=7149489&amp;Result=3","7149489")</f>
        <v>0</v>
      </c>
      <c r="B22" t="s">
        <v>32</v>
      </c>
      <c r="C22" t="s">
        <v>3951</v>
      </c>
      <c r="D22" t="s">
        <v>19023</v>
      </c>
      <c r="E22" t="s">
        <v>19147</v>
      </c>
      <c r="F22" t="s">
        <v>32831</v>
      </c>
      <c r="G22" t="s">
        <v>32839</v>
      </c>
      <c r="H22" t="s">
        <v>32849</v>
      </c>
      <c r="I22" t="s">
        <v>4177</v>
      </c>
      <c r="J22" t="s">
        <v>32992</v>
      </c>
      <c r="K22" t="s">
        <v>42732</v>
      </c>
      <c r="M22" t="s">
        <v>43029</v>
      </c>
      <c r="N22" t="s">
        <v>47424</v>
      </c>
      <c r="O22" t="s">
        <v>47425</v>
      </c>
      <c r="P22">
        <v>0</v>
      </c>
      <c r="Q22">
        <v>2</v>
      </c>
      <c r="R22" t="s">
        <v>47426</v>
      </c>
      <c r="S22" t="s">
        <v>47531</v>
      </c>
      <c r="T22" t="s">
        <v>49064</v>
      </c>
      <c r="U22" t="s">
        <v>49700</v>
      </c>
      <c r="V22" t="s">
        <v>62620</v>
      </c>
      <c r="W22" t="s">
        <v>43029</v>
      </c>
      <c r="X22" t="s">
        <v>47434</v>
      </c>
    </row>
    <row r="23" spans="1:24">
      <c r="A23">
        <f>HYPERLINK("https://www.philgeps.gov.ph/GEPSNONPILOT/Tender/SplashBidNoticeAbstractUI.aspx?menuIndex=3&amp;refID=7149453&amp;Result=3","7149453")</f>
        <v>0</v>
      </c>
      <c r="B23" t="s">
        <v>32</v>
      </c>
      <c r="C23" t="s">
        <v>3952</v>
      </c>
      <c r="D23" t="s">
        <v>19023</v>
      </c>
      <c r="E23" t="s">
        <v>19148</v>
      </c>
      <c r="F23" t="s">
        <v>32831</v>
      </c>
      <c r="G23" t="s">
        <v>32839</v>
      </c>
      <c r="H23" t="s">
        <v>32849</v>
      </c>
      <c r="I23" t="s">
        <v>4177</v>
      </c>
      <c r="J23" t="s">
        <v>32993</v>
      </c>
      <c r="K23" t="s">
        <v>42732</v>
      </c>
      <c r="M23" t="s">
        <v>43029</v>
      </c>
      <c r="N23" t="s">
        <v>47424</v>
      </c>
      <c r="O23" t="s">
        <v>47425</v>
      </c>
      <c r="P23">
        <v>0</v>
      </c>
      <c r="Q23">
        <v>2</v>
      </c>
      <c r="R23" t="s">
        <v>47426</v>
      </c>
      <c r="S23" t="s">
        <v>47531</v>
      </c>
      <c r="T23" t="s">
        <v>49064</v>
      </c>
      <c r="U23" t="s">
        <v>49701</v>
      </c>
      <c r="V23" t="s">
        <v>62621</v>
      </c>
      <c r="W23" t="s">
        <v>43029</v>
      </c>
      <c r="X23" t="s">
        <v>47434</v>
      </c>
    </row>
    <row r="24" spans="1:24">
      <c r="A24">
        <f>HYPERLINK("https://www.philgeps.gov.ph/GEPSNONPILOT/Tender/SplashBidNoticeAbstractUI.aspx?menuIndex=3&amp;refID=7149437&amp;Result=3","7149437")</f>
        <v>0</v>
      </c>
      <c r="B24" t="s">
        <v>32</v>
      </c>
      <c r="C24" t="s">
        <v>3953</v>
      </c>
      <c r="D24" t="s">
        <v>19023</v>
      </c>
      <c r="E24" t="s">
        <v>19149</v>
      </c>
      <c r="F24" t="s">
        <v>32831</v>
      </c>
      <c r="G24" t="s">
        <v>32839</v>
      </c>
      <c r="H24" t="s">
        <v>32849</v>
      </c>
      <c r="I24" t="s">
        <v>4177</v>
      </c>
      <c r="J24" t="s">
        <v>32994</v>
      </c>
      <c r="K24" t="s">
        <v>42732</v>
      </c>
      <c r="M24" t="s">
        <v>43029</v>
      </c>
      <c r="N24" t="s">
        <v>47424</v>
      </c>
      <c r="O24" t="s">
        <v>47425</v>
      </c>
      <c r="P24">
        <v>0</v>
      </c>
      <c r="Q24">
        <v>2</v>
      </c>
      <c r="R24" t="s">
        <v>47426</v>
      </c>
      <c r="S24" t="s">
        <v>47531</v>
      </c>
      <c r="T24" t="s">
        <v>49064</v>
      </c>
      <c r="U24" t="s">
        <v>49702</v>
      </c>
      <c r="V24" t="s">
        <v>62622</v>
      </c>
      <c r="W24" t="s">
        <v>43029</v>
      </c>
      <c r="X24" t="s">
        <v>47434</v>
      </c>
    </row>
    <row r="25" spans="1:24">
      <c r="A25">
        <f>HYPERLINK("https://www.philgeps.gov.ph/GEPSNONPILOT/Tender/SplashBidNoticeAbstractUI.aspx?menuIndex=3&amp;refID=7148686&amp;Result=3","7148686")</f>
        <v>0</v>
      </c>
      <c r="B25" t="s">
        <v>27</v>
      </c>
      <c r="C25" t="s">
        <v>3954</v>
      </c>
      <c r="D25" t="s">
        <v>19020</v>
      </c>
      <c r="E25" t="s">
        <v>19150</v>
      </c>
      <c r="F25" t="s">
        <v>32831</v>
      </c>
      <c r="G25" t="s">
        <v>32839</v>
      </c>
      <c r="H25" t="s">
        <v>32849</v>
      </c>
      <c r="I25" t="s">
        <v>4177</v>
      </c>
      <c r="J25" t="s">
        <v>32995</v>
      </c>
      <c r="K25" t="s">
        <v>42740</v>
      </c>
      <c r="M25" t="s">
        <v>43024</v>
      </c>
      <c r="N25" t="s">
        <v>47424</v>
      </c>
      <c r="O25" t="s">
        <v>47425</v>
      </c>
      <c r="P25">
        <v>0</v>
      </c>
      <c r="Q25">
        <v>0</v>
      </c>
      <c r="R25" t="s">
        <v>47426</v>
      </c>
      <c r="S25" t="s">
        <v>47531</v>
      </c>
      <c r="T25" t="s">
        <v>49059</v>
      </c>
      <c r="U25" t="s">
        <v>49692</v>
      </c>
      <c r="W25" t="s">
        <v>43024</v>
      </c>
      <c r="X25" t="s">
        <v>47436</v>
      </c>
    </row>
    <row r="26" spans="1:24">
      <c r="A26">
        <f>HYPERLINK("https://www.philgeps.gov.ph/GEPSNONPILOT/Tender/SplashBidNoticeAbstractUI.aspx?menuIndex=3&amp;refID=7151986&amp;Result=3","7151986")</f>
        <v>0</v>
      </c>
      <c r="B26" t="s">
        <v>33</v>
      </c>
      <c r="C26" t="s">
        <v>3955</v>
      </c>
      <c r="D26" t="s">
        <v>19024</v>
      </c>
      <c r="E26" t="s">
        <v>19151</v>
      </c>
      <c r="F26" t="s">
        <v>32831</v>
      </c>
      <c r="G26" t="s">
        <v>32839</v>
      </c>
      <c r="H26" t="s">
        <v>32849</v>
      </c>
      <c r="I26" t="s">
        <v>4177</v>
      </c>
      <c r="J26" t="s">
        <v>32996</v>
      </c>
      <c r="K26" t="s">
        <v>42741</v>
      </c>
      <c r="M26" t="s">
        <v>43030</v>
      </c>
      <c r="N26" t="s">
        <v>47424</v>
      </c>
      <c r="O26" t="s">
        <v>47425</v>
      </c>
      <c r="P26">
        <v>0</v>
      </c>
      <c r="Q26">
        <v>0</v>
      </c>
      <c r="R26" t="s">
        <v>47426</v>
      </c>
      <c r="S26" t="s">
        <v>47531</v>
      </c>
      <c r="T26" t="s">
        <v>49065</v>
      </c>
      <c r="U26" t="s">
        <v>49703</v>
      </c>
      <c r="W26" t="s">
        <v>43030</v>
      </c>
      <c r="X26" t="s">
        <v>47434</v>
      </c>
    </row>
    <row r="27" spans="1:24">
      <c r="A27">
        <f>HYPERLINK("https://www.philgeps.gov.ph/GEPSNONPILOT/Tender/SplashBidNoticeAbstractUI.aspx?menuIndex=3&amp;refID=7148712&amp;Result=3","7148712")</f>
        <v>0</v>
      </c>
      <c r="B27" t="s">
        <v>27</v>
      </c>
      <c r="C27" t="s">
        <v>3956</v>
      </c>
      <c r="D27" t="s">
        <v>19020</v>
      </c>
      <c r="E27" t="s">
        <v>19152</v>
      </c>
      <c r="F27" t="s">
        <v>32831</v>
      </c>
      <c r="G27" t="s">
        <v>32839</v>
      </c>
      <c r="H27" t="s">
        <v>32849</v>
      </c>
      <c r="I27" t="s">
        <v>4177</v>
      </c>
      <c r="J27" t="s">
        <v>32997</v>
      </c>
      <c r="K27" t="s">
        <v>42730</v>
      </c>
      <c r="M27" t="s">
        <v>43024</v>
      </c>
      <c r="N27" t="s">
        <v>47424</v>
      </c>
      <c r="O27" t="s">
        <v>47425</v>
      </c>
      <c r="P27">
        <v>0</v>
      </c>
      <c r="Q27">
        <v>0</v>
      </c>
      <c r="R27" t="s">
        <v>47426</v>
      </c>
      <c r="S27" t="s">
        <v>47531</v>
      </c>
      <c r="T27" t="s">
        <v>49059</v>
      </c>
      <c r="U27" t="s">
        <v>49692</v>
      </c>
      <c r="W27" t="s">
        <v>43024</v>
      </c>
      <c r="X27" t="s">
        <v>47436</v>
      </c>
    </row>
    <row r="28" spans="1:24">
      <c r="A28">
        <f>HYPERLINK("https://www.philgeps.gov.ph/GEPSNONPILOT/Tender/SplashBidNoticeAbstractUI.aspx?menuIndex=3&amp;refID=7148708&amp;Result=3","7148708")</f>
        <v>0</v>
      </c>
      <c r="B28" t="s">
        <v>27</v>
      </c>
      <c r="C28" t="s">
        <v>3957</v>
      </c>
      <c r="D28" t="s">
        <v>19020</v>
      </c>
      <c r="E28" t="s">
        <v>19153</v>
      </c>
      <c r="F28" t="s">
        <v>32831</v>
      </c>
      <c r="G28" t="s">
        <v>32839</v>
      </c>
      <c r="H28" t="s">
        <v>32849</v>
      </c>
      <c r="I28" t="s">
        <v>4177</v>
      </c>
      <c r="J28" t="s">
        <v>32983</v>
      </c>
      <c r="K28" t="s">
        <v>42742</v>
      </c>
      <c r="M28" t="s">
        <v>43024</v>
      </c>
      <c r="N28" t="s">
        <v>47424</v>
      </c>
      <c r="O28" t="s">
        <v>47425</v>
      </c>
      <c r="P28">
        <v>0</v>
      </c>
      <c r="Q28">
        <v>0</v>
      </c>
      <c r="R28" t="s">
        <v>47426</v>
      </c>
      <c r="S28" t="s">
        <v>47531</v>
      </c>
      <c r="T28" t="s">
        <v>49059</v>
      </c>
      <c r="U28" t="s">
        <v>49692</v>
      </c>
      <c r="W28" t="s">
        <v>43024</v>
      </c>
      <c r="X28" t="s">
        <v>47436</v>
      </c>
    </row>
    <row r="29" spans="1:24">
      <c r="A29">
        <f>HYPERLINK("https://www.philgeps.gov.ph/GEPSNONPILOT/Tender/SplashBidNoticeAbstractUI.aspx?menuIndex=3&amp;refID=7154496&amp;Result=3","7154496")</f>
        <v>0</v>
      </c>
      <c r="B29" t="s">
        <v>34</v>
      </c>
      <c r="C29" t="s">
        <v>3958</v>
      </c>
      <c r="E29" t="s">
        <v>19154</v>
      </c>
      <c r="F29" t="s">
        <v>32831</v>
      </c>
      <c r="G29" t="s">
        <v>32838</v>
      </c>
      <c r="H29" t="s">
        <v>32848</v>
      </c>
      <c r="I29" t="s">
        <v>32852</v>
      </c>
      <c r="J29" t="s">
        <v>32998</v>
      </c>
      <c r="K29" t="s">
        <v>42726</v>
      </c>
      <c r="M29" t="s">
        <v>43031</v>
      </c>
      <c r="N29" t="s">
        <v>47424</v>
      </c>
      <c r="O29" t="s">
        <v>47425</v>
      </c>
      <c r="P29">
        <v>0</v>
      </c>
      <c r="Q29">
        <v>5</v>
      </c>
      <c r="R29" t="s">
        <v>47426</v>
      </c>
      <c r="S29" t="s">
        <v>47531</v>
      </c>
      <c r="T29" t="s">
        <v>49066</v>
      </c>
      <c r="U29" t="s">
        <v>49704</v>
      </c>
      <c r="W29" t="s">
        <v>43031</v>
      </c>
      <c r="X29" t="s">
        <v>47433</v>
      </c>
    </row>
    <row r="30" spans="1:24">
      <c r="A30">
        <f>HYPERLINK("https://www.philgeps.gov.ph/GEPSNONPILOT/Tender/SplashBidNoticeAbstractUI.aspx?menuIndex=3&amp;refID=7149416&amp;Result=3","7149416")</f>
        <v>0</v>
      </c>
      <c r="B30" t="s">
        <v>32</v>
      </c>
      <c r="C30" t="s">
        <v>3959</v>
      </c>
      <c r="D30" t="s">
        <v>19023</v>
      </c>
      <c r="E30" t="s">
        <v>19155</v>
      </c>
      <c r="F30" t="s">
        <v>32831</v>
      </c>
      <c r="G30" t="s">
        <v>32839</v>
      </c>
      <c r="H30" t="s">
        <v>32849</v>
      </c>
      <c r="I30" t="s">
        <v>4177</v>
      </c>
      <c r="J30" t="s">
        <v>32999</v>
      </c>
      <c r="K30" t="s">
        <v>42732</v>
      </c>
      <c r="M30" t="s">
        <v>43029</v>
      </c>
      <c r="N30" t="s">
        <v>47424</v>
      </c>
      <c r="O30" t="s">
        <v>47425</v>
      </c>
      <c r="P30">
        <v>0</v>
      </c>
      <c r="Q30">
        <v>2</v>
      </c>
      <c r="R30" t="s">
        <v>47426</v>
      </c>
      <c r="S30" t="s">
        <v>47531</v>
      </c>
      <c r="T30" t="s">
        <v>49064</v>
      </c>
      <c r="U30" t="s">
        <v>49705</v>
      </c>
      <c r="V30" t="s">
        <v>62623</v>
      </c>
      <c r="W30" t="s">
        <v>43029</v>
      </c>
      <c r="X30" t="s">
        <v>47434</v>
      </c>
    </row>
    <row r="31" spans="1:24">
      <c r="A31">
        <f>HYPERLINK("https://www.philgeps.gov.ph/GEPSNONPILOT/Tender/SplashBidNoticeAbstractUI.aspx?menuIndex=3&amp;refID=7149365&amp;Result=3","7149365")</f>
        <v>0</v>
      </c>
      <c r="B31" t="s">
        <v>32</v>
      </c>
      <c r="C31" t="s">
        <v>3960</v>
      </c>
      <c r="D31" t="s">
        <v>19023</v>
      </c>
      <c r="E31" t="s">
        <v>19156</v>
      </c>
      <c r="F31" t="s">
        <v>32831</v>
      </c>
      <c r="G31" t="s">
        <v>32839</v>
      </c>
      <c r="H31" t="s">
        <v>32849</v>
      </c>
      <c r="I31" t="s">
        <v>4177</v>
      </c>
      <c r="J31" t="s">
        <v>33000</v>
      </c>
      <c r="K31" t="s">
        <v>42732</v>
      </c>
      <c r="M31" t="s">
        <v>43029</v>
      </c>
      <c r="N31" t="s">
        <v>47424</v>
      </c>
      <c r="O31" t="s">
        <v>47425</v>
      </c>
      <c r="P31">
        <v>0</v>
      </c>
      <c r="Q31">
        <v>2</v>
      </c>
      <c r="R31" t="s">
        <v>47426</v>
      </c>
      <c r="S31" t="s">
        <v>47531</v>
      </c>
      <c r="T31" t="s">
        <v>49064</v>
      </c>
      <c r="U31" t="s">
        <v>49706</v>
      </c>
      <c r="V31" t="s">
        <v>62624</v>
      </c>
      <c r="W31" t="s">
        <v>43029</v>
      </c>
      <c r="X31" t="s">
        <v>47434</v>
      </c>
    </row>
    <row r="32" spans="1:24">
      <c r="A32">
        <f>HYPERLINK("https://www.philgeps.gov.ph/GEPSNONPILOT/Tender/SplashBidNoticeAbstractUI.aspx?menuIndex=3&amp;refID=7148703&amp;Result=3","7148703")</f>
        <v>0</v>
      </c>
      <c r="B32" t="s">
        <v>27</v>
      </c>
      <c r="C32" t="s">
        <v>3961</v>
      </c>
      <c r="D32" t="s">
        <v>19020</v>
      </c>
      <c r="E32" t="s">
        <v>19157</v>
      </c>
      <c r="F32" t="s">
        <v>32831</v>
      </c>
      <c r="G32" t="s">
        <v>32839</v>
      </c>
      <c r="H32" t="s">
        <v>32849</v>
      </c>
      <c r="I32" t="s">
        <v>4177</v>
      </c>
      <c r="J32" t="s">
        <v>33001</v>
      </c>
      <c r="K32" t="s">
        <v>42743</v>
      </c>
      <c r="M32" t="s">
        <v>43024</v>
      </c>
      <c r="N32" t="s">
        <v>47424</v>
      </c>
      <c r="O32" t="s">
        <v>47425</v>
      </c>
      <c r="P32">
        <v>0</v>
      </c>
      <c r="Q32">
        <v>0</v>
      </c>
      <c r="R32" t="s">
        <v>47426</v>
      </c>
      <c r="S32" t="s">
        <v>47531</v>
      </c>
      <c r="T32" t="s">
        <v>49059</v>
      </c>
      <c r="U32" t="s">
        <v>49692</v>
      </c>
      <c r="W32" t="s">
        <v>43024</v>
      </c>
      <c r="X32" t="s">
        <v>47436</v>
      </c>
    </row>
    <row r="33" spans="1:24">
      <c r="A33">
        <f>HYPERLINK("https://www.philgeps.gov.ph/GEPSNONPILOT/Tender/SplashBidNoticeAbstractUI.aspx?menuIndex=3&amp;refID=7148699&amp;Result=3","7148699")</f>
        <v>0</v>
      </c>
      <c r="B33" t="s">
        <v>27</v>
      </c>
      <c r="C33" t="s">
        <v>3962</v>
      </c>
      <c r="D33" t="s">
        <v>19020</v>
      </c>
      <c r="E33" t="s">
        <v>19158</v>
      </c>
      <c r="F33" t="s">
        <v>32831</v>
      </c>
      <c r="G33" t="s">
        <v>32839</v>
      </c>
      <c r="H33" t="s">
        <v>32849</v>
      </c>
      <c r="I33" t="s">
        <v>4177</v>
      </c>
      <c r="J33" t="s">
        <v>32980</v>
      </c>
      <c r="K33" t="s">
        <v>42736</v>
      </c>
      <c r="M33" t="s">
        <v>43024</v>
      </c>
      <c r="N33" t="s">
        <v>47424</v>
      </c>
      <c r="O33" t="s">
        <v>47425</v>
      </c>
      <c r="P33">
        <v>0</v>
      </c>
      <c r="Q33">
        <v>0</v>
      </c>
      <c r="R33" t="s">
        <v>47426</v>
      </c>
      <c r="S33" t="s">
        <v>47531</v>
      </c>
      <c r="T33" t="s">
        <v>49059</v>
      </c>
      <c r="U33" t="s">
        <v>49692</v>
      </c>
      <c r="W33" t="s">
        <v>43024</v>
      </c>
      <c r="X33" t="s">
        <v>47436</v>
      </c>
    </row>
    <row r="34" spans="1:24">
      <c r="A34">
        <f>HYPERLINK("https://www.philgeps.gov.ph/GEPSNONPILOT/Tender/SplashBidNoticeAbstractUI.aspx?menuIndex=3&amp;refID=7148695&amp;Result=3","7148695")</f>
        <v>0</v>
      </c>
      <c r="B34" t="s">
        <v>27</v>
      </c>
      <c r="C34" t="s">
        <v>3963</v>
      </c>
      <c r="D34" t="s">
        <v>19020</v>
      </c>
      <c r="E34" t="s">
        <v>19159</v>
      </c>
      <c r="F34" t="s">
        <v>32831</v>
      </c>
      <c r="G34" t="s">
        <v>32839</v>
      </c>
      <c r="H34" t="s">
        <v>32849</v>
      </c>
      <c r="I34" t="s">
        <v>4177</v>
      </c>
      <c r="J34" t="s">
        <v>33002</v>
      </c>
      <c r="K34" t="s">
        <v>42744</v>
      </c>
      <c r="M34" t="s">
        <v>43024</v>
      </c>
      <c r="N34" t="s">
        <v>47424</v>
      </c>
      <c r="O34" t="s">
        <v>47425</v>
      </c>
      <c r="P34">
        <v>0</v>
      </c>
      <c r="Q34">
        <v>0</v>
      </c>
      <c r="R34" t="s">
        <v>47426</v>
      </c>
      <c r="S34" t="s">
        <v>47531</v>
      </c>
      <c r="T34" t="s">
        <v>49059</v>
      </c>
      <c r="U34" t="s">
        <v>49692</v>
      </c>
      <c r="W34" t="s">
        <v>43024</v>
      </c>
      <c r="X34" t="s">
        <v>47436</v>
      </c>
    </row>
    <row r="35" spans="1:24">
      <c r="A35">
        <f>HYPERLINK("https://www.philgeps.gov.ph/GEPSNONPILOT/Tender/SplashBidNoticeAbstractUI.aspx?menuIndex=3&amp;refID=7148694&amp;Result=3","7148694")</f>
        <v>0</v>
      </c>
      <c r="B35" t="s">
        <v>27</v>
      </c>
      <c r="C35" t="s">
        <v>3964</v>
      </c>
      <c r="D35" t="s">
        <v>19020</v>
      </c>
      <c r="E35" t="s">
        <v>19160</v>
      </c>
      <c r="F35" t="s">
        <v>32831</v>
      </c>
      <c r="G35" t="s">
        <v>32839</v>
      </c>
      <c r="H35" t="s">
        <v>32849</v>
      </c>
      <c r="I35" t="s">
        <v>4177</v>
      </c>
      <c r="J35" t="s">
        <v>33003</v>
      </c>
      <c r="K35" t="s">
        <v>42733</v>
      </c>
      <c r="M35" t="s">
        <v>43024</v>
      </c>
      <c r="N35" t="s">
        <v>47424</v>
      </c>
      <c r="O35" t="s">
        <v>47425</v>
      </c>
      <c r="P35">
        <v>0</v>
      </c>
      <c r="Q35">
        <v>0</v>
      </c>
      <c r="R35" t="s">
        <v>47426</v>
      </c>
      <c r="S35" t="s">
        <v>47531</v>
      </c>
      <c r="T35" t="s">
        <v>49059</v>
      </c>
      <c r="U35" t="s">
        <v>49692</v>
      </c>
      <c r="W35" t="s">
        <v>43024</v>
      </c>
      <c r="X35" t="s">
        <v>47436</v>
      </c>
    </row>
    <row r="36" spans="1:24">
      <c r="A36">
        <f>HYPERLINK("https://www.philgeps.gov.ph/GEPSNONPILOT/Tender/SplashBidNoticeAbstractUI.aspx?menuIndex=3&amp;refID=7157599&amp;Result=3","7157599")</f>
        <v>0</v>
      </c>
      <c r="B36" t="s">
        <v>35</v>
      </c>
      <c r="C36" t="s">
        <v>3965</v>
      </c>
      <c r="D36" t="s">
        <v>19025</v>
      </c>
      <c r="E36" t="s">
        <v>19161</v>
      </c>
      <c r="F36" t="s">
        <v>32832</v>
      </c>
      <c r="G36" t="s">
        <v>32840</v>
      </c>
      <c r="H36" t="s">
        <v>32848</v>
      </c>
      <c r="I36" t="s">
        <v>7416</v>
      </c>
      <c r="J36" t="s">
        <v>33004</v>
      </c>
      <c r="K36" t="s">
        <v>42730</v>
      </c>
      <c r="M36" t="s">
        <v>43032</v>
      </c>
      <c r="N36" t="s">
        <v>47424</v>
      </c>
      <c r="O36" t="s">
        <v>47425</v>
      </c>
      <c r="P36">
        <v>0</v>
      </c>
      <c r="Q36">
        <v>1</v>
      </c>
      <c r="R36" t="s">
        <v>47426</v>
      </c>
      <c r="S36" t="s">
        <v>47531</v>
      </c>
      <c r="T36" t="s">
        <v>49067</v>
      </c>
      <c r="U36" t="s">
        <v>49707</v>
      </c>
      <c r="W36" t="s">
        <v>43032</v>
      </c>
      <c r="X36" t="s">
        <v>47432</v>
      </c>
    </row>
    <row r="37" spans="1:24">
      <c r="A37">
        <f>HYPERLINK("https://www.philgeps.gov.ph/GEPSNONPILOT/Tender/SplashBidNoticeAbstractUI.aspx?menuIndex=3&amp;refID=7148690&amp;Result=3","7148690")</f>
        <v>0</v>
      </c>
      <c r="B37" t="s">
        <v>27</v>
      </c>
      <c r="C37" t="s">
        <v>3966</v>
      </c>
      <c r="D37" t="s">
        <v>19020</v>
      </c>
      <c r="E37" t="s">
        <v>19162</v>
      </c>
      <c r="F37" t="s">
        <v>32831</v>
      </c>
      <c r="G37" t="s">
        <v>32839</v>
      </c>
      <c r="H37" t="s">
        <v>32849</v>
      </c>
      <c r="I37" t="s">
        <v>4177</v>
      </c>
      <c r="J37" t="s">
        <v>33005</v>
      </c>
      <c r="K37" t="s">
        <v>42742</v>
      </c>
      <c r="M37" t="s">
        <v>43024</v>
      </c>
      <c r="N37" t="s">
        <v>47424</v>
      </c>
      <c r="O37" t="s">
        <v>47425</v>
      </c>
      <c r="P37">
        <v>0</v>
      </c>
      <c r="Q37">
        <v>0</v>
      </c>
      <c r="R37" t="s">
        <v>47426</v>
      </c>
      <c r="S37" t="s">
        <v>47531</v>
      </c>
      <c r="T37" t="s">
        <v>49059</v>
      </c>
      <c r="U37" t="s">
        <v>49692</v>
      </c>
      <c r="W37" t="s">
        <v>43024</v>
      </c>
      <c r="X37" t="s">
        <v>47436</v>
      </c>
    </row>
    <row r="38" spans="1:24">
      <c r="A38">
        <f>HYPERLINK("https://www.philgeps.gov.ph/GEPSNONPILOT/Tender/SplashBidNoticeAbstractUI.aspx?menuIndex=3&amp;refID=7148675&amp;Result=3","7148675")</f>
        <v>0</v>
      </c>
      <c r="B38" t="s">
        <v>27</v>
      </c>
      <c r="C38" t="s">
        <v>3967</v>
      </c>
      <c r="D38" t="s">
        <v>19020</v>
      </c>
      <c r="E38" t="s">
        <v>19163</v>
      </c>
      <c r="F38" t="s">
        <v>32831</v>
      </c>
      <c r="G38" t="s">
        <v>32839</v>
      </c>
      <c r="H38" t="s">
        <v>32849</v>
      </c>
      <c r="I38" t="s">
        <v>4177</v>
      </c>
      <c r="J38" t="s">
        <v>33006</v>
      </c>
      <c r="K38" t="s">
        <v>42739</v>
      </c>
      <c r="M38" t="s">
        <v>43024</v>
      </c>
      <c r="N38" t="s">
        <v>47424</v>
      </c>
      <c r="O38" t="s">
        <v>47425</v>
      </c>
      <c r="P38">
        <v>0</v>
      </c>
      <c r="Q38">
        <v>0</v>
      </c>
      <c r="R38" t="s">
        <v>47426</v>
      </c>
      <c r="S38" t="s">
        <v>47531</v>
      </c>
      <c r="T38" t="s">
        <v>49059</v>
      </c>
      <c r="U38" t="s">
        <v>49692</v>
      </c>
      <c r="W38" t="s">
        <v>43024</v>
      </c>
      <c r="X38" t="s">
        <v>47436</v>
      </c>
    </row>
    <row r="39" spans="1:24">
      <c r="A39">
        <f>HYPERLINK("https://www.philgeps.gov.ph/GEPSNONPILOT/Tender/SplashBidNoticeAbstractUI.aspx?menuIndex=3&amp;refID=7153048&amp;Result=3","7153048")</f>
        <v>0</v>
      </c>
      <c r="B39" t="s">
        <v>36</v>
      </c>
      <c r="C39" t="s">
        <v>3968</v>
      </c>
      <c r="D39" t="s">
        <v>19026</v>
      </c>
      <c r="E39" t="s">
        <v>19164</v>
      </c>
      <c r="F39" t="s">
        <v>32831</v>
      </c>
      <c r="G39" t="s">
        <v>32841</v>
      </c>
      <c r="H39" t="s">
        <v>32848</v>
      </c>
      <c r="I39" t="s">
        <v>4558</v>
      </c>
      <c r="J39" t="s">
        <v>33007</v>
      </c>
      <c r="K39" t="s">
        <v>42732</v>
      </c>
      <c r="M39" t="s">
        <v>43033</v>
      </c>
      <c r="N39" t="s">
        <v>47424</v>
      </c>
      <c r="O39" t="s">
        <v>47425</v>
      </c>
      <c r="P39">
        <v>0</v>
      </c>
      <c r="Q39">
        <v>2</v>
      </c>
      <c r="R39" t="s">
        <v>47426</v>
      </c>
      <c r="S39" t="s">
        <v>47531</v>
      </c>
      <c r="T39" t="s">
        <v>49068</v>
      </c>
      <c r="U39" t="s">
        <v>49708</v>
      </c>
      <c r="W39" t="s">
        <v>43033</v>
      </c>
      <c r="X39" t="s">
        <v>47433</v>
      </c>
    </row>
    <row r="40" spans="1:24">
      <c r="A40">
        <f>HYPERLINK("https://www.philgeps.gov.ph/GEPSNONPILOT/Tender/SplashBidNoticeAbstractUI.aspx?menuIndex=3&amp;refID=7157188&amp;Result=3","7157188")</f>
        <v>0</v>
      </c>
      <c r="B40" t="s">
        <v>37</v>
      </c>
      <c r="C40" t="s">
        <v>3969</v>
      </c>
      <c r="D40" t="s">
        <v>19027</v>
      </c>
      <c r="E40" t="s">
        <v>19165</v>
      </c>
      <c r="F40" t="s">
        <v>32831</v>
      </c>
      <c r="G40" t="s">
        <v>32839</v>
      </c>
      <c r="H40" t="s">
        <v>32849</v>
      </c>
      <c r="I40" t="s">
        <v>7416</v>
      </c>
      <c r="J40" t="s">
        <v>33008</v>
      </c>
      <c r="K40" t="s">
        <v>42732</v>
      </c>
      <c r="M40" t="s">
        <v>43034</v>
      </c>
      <c r="N40" t="s">
        <v>47424</v>
      </c>
      <c r="O40" t="s">
        <v>47425</v>
      </c>
      <c r="P40">
        <v>0</v>
      </c>
      <c r="Q40">
        <v>0</v>
      </c>
      <c r="R40" t="s">
        <v>47426</v>
      </c>
      <c r="S40" t="s">
        <v>47531</v>
      </c>
      <c r="T40" t="s">
        <v>49069</v>
      </c>
      <c r="U40" t="s">
        <v>49709</v>
      </c>
      <c r="W40" t="s">
        <v>43034</v>
      </c>
      <c r="X40" t="s">
        <v>47432</v>
      </c>
    </row>
    <row r="41" spans="1:24">
      <c r="A41">
        <f>HYPERLINK("https://www.philgeps.gov.ph/GEPSNONPILOT/Tender/SplashBidNoticeAbstractUI.aspx?menuIndex=3&amp;refID=7156537&amp;Result=3","7156537")</f>
        <v>0</v>
      </c>
      <c r="B41" t="s">
        <v>24</v>
      </c>
      <c r="C41" t="s">
        <v>3970</v>
      </c>
      <c r="D41" t="s">
        <v>19017</v>
      </c>
      <c r="E41" t="s">
        <v>19166</v>
      </c>
      <c r="F41" t="s">
        <v>32831</v>
      </c>
      <c r="G41" t="s">
        <v>32838</v>
      </c>
      <c r="H41" t="s">
        <v>32848</v>
      </c>
      <c r="I41" t="s">
        <v>32853</v>
      </c>
      <c r="J41" t="s">
        <v>33009</v>
      </c>
      <c r="K41" t="s">
        <v>42726</v>
      </c>
      <c r="M41" t="s">
        <v>43021</v>
      </c>
      <c r="N41" t="s">
        <v>47424</v>
      </c>
      <c r="O41" t="s">
        <v>47425</v>
      </c>
      <c r="P41">
        <v>0</v>
      </c>
      <c r="Q41">
        <v>2</v>
      </c>
      <c r="R41" t="s">
        <v>47426</v>
      </c>
      <c r="S41" t="s">
        <v>47531</v>
      </c>
      <c r="T41" t="s">
        <v>49056</v>
      </c>
      <c r="U41" t="s">
        <v>49710</v>
      </c>
      <c r="V41" t="s">
        <v>62616</v>
      </c>
      <c r="W41" t="s">
        <v>43021</v>
      </c>
      <c r="X41" t="s">
        <v>47432</v>
      </c>
    </row>
    <row r="42" spans="1:24">
      <c r="A42">
        <f>HYPERLINK("https://www.philgeps.gov.ph/GEPSNONPILOT/Tender/SplashBidNoticeAbstractUI.aspx?menuIndex=3&amp;refID=7156328&amp;Result=3","7156328")</f>
        <v>0</v>
      </c>
      <c r="B42" t="s">
        <v>38</v>
      </c>
      <c r="C42" t="s">
        <v>3971</v>
      </c>
      <c r="D42" t="s">
        <v>19028</v>
      </c>
      <c r="E42" t="s">
        <v>19167</v>
      </c>
      <c r="F42" t="s">
        <v>32831</v>
      </c>
      <c r="G42" t="s">
        <v>32841</v>
      </c>
      <c r="H42" t="s">
        <v>32848</v>
      </c>
      <c r="I42" t="s">
        <v>9577</v>
      </c>
      <c r="J42" t="s">
        <v>33010</v>
      </c>
      <c r="K42" t="s">
        <v>42731</v>
      </c>
      <c r="M42" t="s">
        <v>43035</v>
      </c>
      <c r="N42" t="s">
        <v>47424</v>
      </c>
      <c r="O42" t="s">
        <v>47425</v>
      </c>
      <c r="P42">
        <v>0</v>
      </c>
      <c r="Q42">
        <v>2</v>
      </c>
      <c r="R42" t="s">
        <v>47426</v>
      </c>
      <c r="S42" t="s">
        <v>47531</v>
      </c>
      <c r="T42" t="s">
        <v>49070</v>
      </c>
      <c r="U42" t="s">
        <v>49711</v>
      </c>
      <c r="V42" t="s">
        <v>62625</v>
      </c>
      <c r="W42" t="s">
        <v>43035</v>
      </c>
      <c r="X42" t="s">
        <v>47432</v>
      </c>
    </row>
    <row r="43" spans="1:24">
      <c r="A43">
        <f>HYPERLINK("https://www.philgeps.gov.ph/GEPSNONPILOT/Tender/SplashBidNoticeAbstractUI.aspx?menuIndex=3&amp;refID=7154511&amp;Result=3","7154511")</f>
        <v>0</v>
      </c>
      <c r="B43" t="s">
        <v>39</v>
      </c>
      <c r="C43" t="s">
        <v>3972</v>
      </c>
      <c r="D43" t="s">
        <v>19029</v>
      </c>
      <c r="E43" t="s">
        <v>19168</v>
      </c>
      <c r="F43" t="s">
        <v>32831</v>
      </c>
      <c r="G43" t="s">
        <v>32839</v>
      </c>
      <c r="H43" t="s">
        <v>32848</v>
      </c>
      <c r="I43" t="s">
        <v>32854</v>
      </c>
      <c r="J43" t="s">
        <v>33011</v>
      </c>
      <c r="K43" t="s">
        <v>42727</v>
      </c>
      <c r="M43" t="s">
        <v>43036</v>
      </c>
      <c r="N43" t="s">
        <v>47424</v>
      </c>
      <c r="O43" t="s">
        <v>47425</v>
      </c>
      <c r="P43">
        <v>0</v>
      </c>
      <c r="Q43">
        <v>0</v>
      </c>
      <c r="R43" t="s">
        <v>47426</v>
      </c>
      <c r="S43" t="s">
        <v>47531</v>
      </c>
      <c r="T43" t="s">
        <v>49071</v>
      </c>
      <c r="U43" t="s">
        <v>49712</v>
      </c>
      <c r="W43" t="s">
        <v>43036</v>
      </c>
      <c r="X43" t="s">
        <v>47433</v>
      </c>
    </row>
    <row r="44" spans="1:24">
      <c r="A44">
        <f>HYPERLINK("https://www.philgeps.gov.ph/GEPSNONPILOT/Tender/SplashBidNoticeAbstractUI.aspx?menuIndex=3&amp;refID=7153745&amp;Result=3","7153745")</f>
        <v>0</v>
      </c>
      <c r="B44" t="s">
        <v>40</v>
      </c>
      <c r="C44" t="s">
        <v>3973</v>
      </c>
      <c r="D44" t="s">
        <v>19027</v>
      </c>
      <c r="E44" t="s">
        <v>19169</v>
      </c>
      <c r="F44" t="s">
        <v>32831</v>
      </c>
      <c r="G44" t="s">
        <v>32839</v>
      </c>
      <c r="H44" t="s">
        <v>32848</v>
      </c>
      <c r="I44" t="s">
        <v>7751</v>
      </c>
      <c r="J44" t="s">
        <v>33012</v>
      </c>
      <c r="K44" t="s">
        <v>42730</v>
      </c>
      <c r="M44" t="s">
        <v>43037</v>
      </c>
      <c r="N44" t="s">
        <v>47424</v>
      </c>
      <c r="O44" t="s">
        <v>47425</v>
      </c>
      <c r="P44">
        <v>0</v>
      </c>
      <c r="Q44">
        <v>0</v>
      </c>
      <c r="R44" t="s">
        <v>47426</v>
      </c>
      <c r="S44" t="s">
        <v>47531</v>
      </c>
      <c r="T44" t="s">
        <v>49065</v>
      </c>
      <c r="U44" t="s">
        <v>49713</v>
      </c>
      <c r="W44" t="s">
        <v>43037</v>
      </c>
      <c r="X44" t="s">
        <v>47433</v>
      </c>
    </row>
    <row r="45" spans="1:24">
      <c r="A45">
        <f>HYPERLINK("https://www.philgeps.gov.ph/GEPSNONPILOT/Tender/SplashBidNoticeAbstractUI.aspx?menuIndex=3&amp;refID=7145927&amp;Result=3","7145927")</f>
        <v>0</v>
      </c>
      <c r="B45" t="s">
        <v>41</v>
      </c>
      <c r="C45" t="s">
        <v>3974</v>
      </c>
      <c r="D45" t="s">
        <v>19030</v>
      </c>
      <c r="E45" t="s">
        <v>19170</v>
      </c>
      <c r="F45" t="s">
        <v>32831</v>
      </c>
      <c r="G45" t="s">
        <v>32839</v>
      </c>
      <c r="H45" t="s">
        <v>32849</v>
      </c>
      <c r="I45" t="s">
        <v>4177</v>
      </c>
      <c r="J45" t="s">
        <v>33013</v>
      </c>
      <c r="K45" t="s">
        <v>42730</v>
      </c>
      <c r="M45" t="s">
        <v>43038</v>
      </c>
      <c r="N45" t="s">
        <v>47424</v>
      </c>
      <c r="O45" t="s">
        <v>47425</v>
      </c>
      <c r="P45">
        <v>0</v>
      </c>
      <c r="Q45">
        <v>2</v>
      </c>
      <c r="R45" t="s">
        <v>47426</v>
      </c>
      <c r="S45" t="s">
        <v>47531</v>
      </c>
      <c r="T45" t="s">
        <v>49072</v>
      </c>
      <c r="U45" t="s">
        <v>49714</v>
      </c>
      <c r="W45" t="s">
        <v>43038</v>
      </c>
      <c r="X45" t="s">
        <v>47438</v>
      </c>
    </row>
    <row r="46" spans="1:24">
      <c r="A46">
        <f>HYPERLINK("https://www.philgeps.gov.ph/GEPSNONPILOT/Tender/SplashBidNoticeAbstractUI.aspx?menuIndex=3&amp;refID=7157934&amp;Result=3","7157934")</f>
        <v>0</v>
      </c>
      <c r="B46" t="s">
        <v>42</v>
      </c>
      <c r="C46" t="s">
        <v>3975</v>
      </c>
      <c r="D46" t="s">
        <v>19031</v>
      </c>
      <c r="E46" t="s">
        <v>19171</v>
      </c>
      <c r="F46" t="s">
        <v>32831</v>
      </c>
      <c r="G46" t="s">
        <v>32840</v>
      </c>
      <c r="H46" t="s">
        <v>32848</v>
      </c>
      <c r="I46" t="s">
        <v>32855</v>
      </c>
      <c r="J46" t="s">
        <v>33014</v>
      </c>
      <c r="K46" t="s">
        <v>42730</v>
      </c>
      <c r="M46" t="s">
        <v>43039</v>
      </c>
      <c r="N46" t="s">
        <v>47424</v>
      </c>
      <c r="O46" t="s">
        <v>47425</v>
      </c>
      <c r="P46">
        <v>0</v>
      </c>
      <c r="Q46">
        <v>7</v>
      </c>
      <c r="R46" t="s">
        <v>47426</v>
      </c>
      <c r="S46" t="s">
        <v>47531</v>
      </c>
      <c r="T46" t="s">
        <v>49073</v>
      </c>
      <c r="U46" t="s">
        <v>49715</v>
      </c>
      <c r="W46" t="s">
        <v>43039</v>
      </c>
      <c r="X46" t="s">
        <v>47432</v>
      </c>
    </row>
    <row r="47" spans="1:24">
      <c r="A47">
        <f>HYPERLINK("https://www.philgeps.gov.ph/GEPSNONPILOT/Tender/SplashBidNoticeAbstractUI.aspx?menuIndex=3&amp;refID=7157875&amp;Result=3","7157875")</f>
        <v>0</v>
      </c>
      <c r="B47" t="s">
        <v>43</v>
      </c>
      <c r="C47" t="s">
        <v>3976</v>
      </c>
      <c r="D47" t="s">
        <v>19032</v>
      </c>
      <c r="E47" t="s">
        <v>19172</v>
      </c>
      <c r="F47" t="s">
        <v>32831</v>
      </c>
      <c r="G47" t="s">
        <v>32839</v>
      </c>
      <c r="H47" t="s">
        <v>32849</v>
      </c>
      <c r="I47" t="s">
        <v>4177</v>
      </c>
      <c r="J47" t="s">
        <v>33015</v>
      </c>
      <c r="K47" t="s">
        <v>42745</v>
      </c>
      <c r="M47" t="s">
        <v>43040</v>
      </c>
      <c r="N47" t="s">
        <v>47424</v>
      </c>
      <c r="O47" t="s">
        <v>47425</v>
      </c>
      <c r="P47">
        <v>0</v>
      </c>
      <c r="Q47">
        <v>0</v>
      </c>
      <c r="R47" t="s">
        <v>47426</v>
      </c>
      <c r="S47" t="s">
        <v>47531</v>
      </c>
      <c r="T47" t="s">
        <v>49074</v>
      </c>
      <c r="U47" t="s">
        <v>49716</v>
      </c>
      <c r="W47" t="s">
        <v>43040</v>
      </c>
      <c r="X47" t="s">
        <v>47432</v>
      </c>
    </row>
    <row r="48" spans="1:24">
      <c r="A48">
        <f>HYPERLINK("https://www.philgeps.gov.ph/GEPSNONPILOT/Tender/SplashBidNoticeAbstractUI.aspx?menuIndex=3&amp;refID=7157834&amp;Result=3","7157834")</f>
        <v>0</v>
      </c>
      <c r="B48" t="s">
        <v>43</v>
      </c>
      <c r="C48" t="s">
        <v>3977</v>
      </c>
      <c r="D48" t="s">
        <v>19032</v>
      </c>
      <c r="E48" t="s">
        <v>19173</v>
      </c>
      <c r="F48" t="s">
        <v>32831</v>
      </c>
      <c r="G48" t="s">
        <v>32839</v>
      </c>
      <c r="H48" t="s">
        <v>32849</v>
      </c>
      <c r="I48" t="s">
        <v>4177</v>
      </c>
      <c r="J48" t="s">
        <v>33016</v>
      </c>
      <c r="K48" t="s">
        <v>42746</v>
      </c>
      <c r="M48" t="s">
        <v>43040</v>
      </c>
      <c r="N48" t="s">
        <v>47424</v>
      </c>
      <c r="O48" t="s">
        <v>47425</v>
      </c>
      <c r="P48">
        <v>0</v>
      </c>
      <c r="Q48">
        <v>0</v>
      </c>
      <c r="R48" t="s">
        <v>47426</v>
      </c>
      <c r="S48" t="s">
        <v>47531</v>
      </c>
      <c r="T48" t="s">
        <v>49075</v>
      </c>
      <c r="U48" t="s">
        <v>49717</v>
      </c>
      <c r="W48" t="s">
        <v>43040</v>
      </c>
      <c r="X48" t="s">
        <v>47432</v>
      </c>
    </row>
    <row r="49" spans="1:24">
      <c r="A49">
        <f>HYPERLINK("https://www.philgeps.gov.ph/GEPSNONPILOT/Tender/SplashBidNoticeAbstractUI.aspx?menuIndex=3&amp;refID=7157735&amp;Result=3","7157735")</f>
        <v>0</v>
      </c>
      <c r="B49" t="s">
        <v>43</v>
      </c>
      <c r="C49" t="s">
        <v>3976</v>
      </c>
      <c r="D49" t="s">
        <v>19032</v>
      </c>
      <c r="E49" t="s">
        <v>19174</v>
      </c>
      <c r="F49" t="s">
        <v>32831</v>
      </c>
      <c r="G49" t="s">
        <v>32839</v>
      </c>
      <c r="H49" t="s">
        <v>32849</v>
      </c>
      <c r="I49" t="s">
        <v>4177</v>
      </c>
      <c r="J49" t="s">
        <v>33017</v>
      </c>
      <c r="K49" t="s">
        <v>42747</v>
      </c>
      <c r="M49" t="s">
        <v>43040</v>
      </c>
      <c r="N49" t="s">
        <v>47424</v>
      </c>
      <c r="O49" t="s">
        <v>47425</v>
      </c>
      <c r="P49">
        <v>0</v>
      </c>
      <c r="Q49">
        <v>0</v>
      </c>
      <c r="R49" t="s">
        <v>47426</v>
      </c>
      <c r="S49" t="s">
        <v>47531</v>
      </c>
      <c r="T49" t="s">
        <v>49076</v>
      </c>
      <c r="U49" t="s">
        <v>49718</v>
      </c>
      <c r="W49" t="s">
        <v>43040</v>
      </c>
      <c r="X49" t="s">
        <v>47432</v>
      </c>
    </row>
    <row r="50" spans="1:24">
      <c r="A50">
        <f>HYPERLINK("https://www.philgeps.gov.ph/GEPSNONPILOT/Tender/SplashBidNoticeAbstractUI.aspx?menuIndex=3&amp;refID=7156279&amp;Result=3","7156279")</f>
        <v>0</v>
      </c>
      <c r="B50" t="s">
        <v>38</v>
      </c>
      <c r="C50" t="s">
        <v>3978</v>
      </c>
      <c r="D50" t="s">
        <v>19028</v>
      </c>
      <c r="E50" t="s">
        <v>19175</v>
      </c>
      <c r="F50" t="s">
        <v>32831</v>
      </c>
      <c r="G50" t="s">
        <v>32839</v>
      </c>
      <c r="H50" t="s">
        <v>32848</v>
      </c>
      <c r="I50" t="s">
        <v>32856</v>
      </c>
      <c r="J50" t="s">
        <v>33018</v>
      </c>
      <c r="K50" t="s">
        <v>42731</v>
      </c>
      <c r="M50" t="s">
        <v>43035</v>
      </c>
      <c r="N50" t="s">
        <v>47424</v>
      </c>
      <c r="O50" t="s">
        <v>47425</v>
      </c>
      <c r="P50">
        <v>0</v>
      </c>
      <c r="Q50">
        <v>1</v>
      </c>
      <c r="R50" t="s">
        <v>47426</v>
      </c>
      <c r="S50" t="s">
        <v>47531</v>
      </c>
      <c r="T50" t="s">
        <v>49070</v>
      </c>
      <c r="U50" t="s">
        <v>49719</v>
      </c>
      <c r="V50" t="s">
        <v>62626</v>
      </c>
      <c r="W50" t="s">
        <v>43035</v>
      </c>
      <c r="X50" t="s">
        <v>47432</v>
      </c>
    </row>
    <row r="51" spans="1:24">
      <c r="A51">
        <f>HYPERLINK("https://www.philgeps.gov.ph/GEPSNONPILOT/Tender/SplashBidNoticeAbstractUI.aspx?menuIndex=3&amp;refID=7158067&amp;Result=3","7158067")</f>
        <v>0</v>
      </c>
      <c r="B51" t="s">
        <v>44</v>
      </c>
      <c r="C51" t="s">
        <v>3979</v>
      </c>
      <c r="D51" t="s">
        <v>19033</v>
      </c>
      <c r="E51" t="s">
        <v>19176</v>
      </c>
      <c r="F51" t="s">
        <v>32831</v>
      </c>
      <c r="G51" t="s">
        <v>32840</v>
      </c>
      <c r="H51" t="s">
        <v>32848</v>
      </c>
      <c r="I51" t="s">
        <v>32857</v>
      </c>
      <c r="J51" t="s">
        <v>33019</v>
      </c>
      <c r="K51" t="s">
        <v>42748</v>
      </c>
      <c r="M51" t="s">
        <v>43041</v>
      </c>
      <c r="N51" t="s">
        <v>47424</v>
      </c>
      <c r="O51" t="s">
        <v>47425</v>
      </c>
      <c r="P51">
        <v>0</v>
      </c>
      <c r="Q51">
        <v>8</v>
      </c>
      <c r="R51" t="s">
        <v>47426</v>
      </c>
      <c r="S51" t="s">
        <v>47531</v>
      </c>
      <c r="T51" t="s">
        <v>49061</v>
      </c>
      <c r="U51" t="s">
        <v>49720</v>
      </c>
      <c r="W51" t="s">
        <v>43041</v>
      </c>
      <c r="X51" t="s">
        <v>47432</v>
      </c>
    </row>
    <row r="52" spans="1:24">
      <c r="A52">
        <f>HYPERLINK("https://www.philgeps.gov.ph/GEPSNONPILOT/Tender/SplashBidNoticeAbstractUI.aspx?menuIndex=3&amp;refID=7156260&amp;Result=3","7156260")</f>
        <v>0</v>
      </c>
      <c r="B52" t="s">
        <v>38</v>
      </c>
      <c r="C52" t="s">
        <v>3980</v>
      </c>
      <c r="D52" t="s">
        <v>19028</v>
      </c>
      <c r="E52" t="s">
        <v>19177</v>
      </c>
      <c r="F52" t="s">
        <v>32831</v>
      </c>
      <c r="G52" t="s">
        <v>32839</v>
      </c>
      <c r="H52" t="s">
        <v>32849</v>
      </c>
      <c r="I52" t="s">
        <v>4177</v>
      </c>
      <c r="J52" t="s">
        <v>33020</v>
      </c>
      <c r="K52" t="s">
        <v>42749</v>
      </c>
      <c r="M52" t="s">
        <v>43035</v>
      </c>
      <c r="N52" t="s">
        <v>47424</v>
      </c>
      <c r="O52" t="s">
        <v>47425</v>
      </c>
      <c r="P52">
        <v>0</v>
      </c>
      <c r="Q52">
        <v>0</v>
      </c>
      <c r="R52" t="s">
        <v>47426</v>
      </c>
      <c r="S52" t="s">
        <v>47531</v>
      </c>
      <c r="T52" t="s">
        <v>49070</v>
      </c>
      <c r="U52" t="s">
        <v>49721</v>
      </c>
      <c r="V52" t="s">
        <v>62627</v>
      </c>
      <c r="W52" t="s">
        <v>43035</v>
      </c>
      <c r="X52" t="s">
        <v>47432</v>
      </c>
    </row>
    <row r="53" spans="1:24">
      <c r="A53">
        <f>HYPERLINK("https://www.philgeps.gov.ph/GEPSNONPILOT/Tender/SplashBidNoticeAbstractUI.aspx?menuIndex=3&amp;refID=7157112&amp;Result=3","7157112")</f>
        <v>0</v>
      </c>
      <c r="B53" t="s">
        <v>45</v>
      </c>
      <c r="C53" t="s">
        <v>3981</v>
      </c>
      <c r="D53" t="s">
        <v>19034</v>
      </c>
      <c r="E53" t="s">
        <v>19178</v>
      </c>
      <c r="F53" t="s">
        <v>32831</v>
      </c>
      <c r="G53" t="s">
        <v>32839</v>
      </c>
      <c r="H53" t="s">
        <v>32848</v>
      </c>
      <c r="I53" t="s">
        <v>7416</v>
      </c>
      <c r="J53" t="s">
        <v>32980</v>
      </c>
      <c r="K53" t="s">
        <v>42745</v>
      </c>
      <c r="M53" t="s">
        <v>43042</v>
      </c>
      <c r="N53" t="s">
        <v>47424</v>
      </c>
      <c r="O53" t="s">
        <v>47425</v>
      </c>
      <c r="P53">
        <v>0</v>
      </c>
      <c r="Q53">
        <v>0</v>
      </c>
      <c r="R53" t="s">
        <v>47426</v>
      </c>
      <c r="S53" t="s">
        <v>47531</v>
      </c>
      <c r="T53" t="s">
        <v>49077</v>
      </c>
      <c r="U53" t="s">
        <v>49722</v>
      </c>
      <c r="W53" t="s">
        <v>43042</v>
      </c>
      <c r="X53" t="s">
        <v>47432</v>
      </c>
    </row>
    <row r="54" spans="1:24">
      <c r="A54">
        <f>HYPERLINK("https://www.philgeps.gov.ph/GEPSNONPILOT/Tender/SplashBidNoticeAbstractUI.aspx?menuIndex=3&amp;refID=7154566&amp;Result=3","7154566")</f>
        <v>0</v>
      </c>
      <c r="B54" t="s">
        <v>34</v>
      </c>
      <c r="C54" t="s">
        <v>3982</v>
      </c>
      <c r="E54" t="s">
        <v>19179</v>
      </c>
      <c r="F54" t="s">
        <v>32831</v>
      </c>
      <c r="G54" t="s">
        <v>32838</v>
      </c>
      <c r="H54" t="s">
        <v>32848</v>
      </c>
      <c r="I54" t="s">
        <v>32858</v>
      </c>
      <c r="J54" t="s">
        <v>33021</v>
      </c>
      <c r="K54" t="s">
        <v>42726</v>
      </c>
      <c r="M54" t="s">
        <v>43031</v>
      </c>
      <c r="N54" t="s">
        <v>47424</v>
      </c>
      <c r="O54" t="s">
        <v>47425</v>
      </c>
      <c r="P54">
        <v>0</v>
      </c>
      <c r="Q54">
        <v>1</v>
      </c>
      <c r="R54" t="s">
        <v>47426</v>
      </c>
      <c r="S54" t="s">
        <v>47531</v>
      </c>
      <c r="T54" t="s">
        <v>49066</v>
      </c>
      <c r="U54" t="s">
        <v>49704</v>
      </c>
      <c r="W54" t="s">
        <v>43031</v>
      </c>
      <c r="X54" t="s">
        <v>47433</v>
      </c>
    </row>
    <row r="55" spans="1:24">
      <c r="A55">
        <f>HYPERLINK("https://www.philgeps.gov.ph/GEPSNONPILOT/Tender/SplashBidNoticeAbstractUI.aspx?menuIndex=3&amp;refID=7154541&amp;Result=3","7154541")</f>
        <v>0</v>
      </c>
      <c r="B55" t="s">
        <v>34</v>
      </c>
      <c r="C55" t="s">
        <v>3983</v>
      </c>
      <c r="E55" t="s">
        <v>19180</v>
      </c>
      <c r="F55" t="s">
        <v>32831</v>
      </c>
      <c r="G55" t="s">
        <v>32838</v>
      </c>
      <c r="H55" t="s">
        <v>32848</v>
      </c>
      <c r="I55" t="s">
        <v>32859</v>
      </c>
      <c r="J55" t="s">
        <v>33022</v>
      </c>
      <c r="K55" t="s">
        <v>42726</v>
      </c>
      <c r="M55" t="s">
        <v>43031</v>
      </c>
      <c r="N55" t="s">
        <v>47424</v>
      </c>
      <c r="O55" t="s">
        <v>47425</v>
      </c>
      <c r="P55">
        <v>0</v>
      </c>
      <c r="Q55">
        <v>1</v>
      </c>
      <c r="R55" t="s">
        <v>47426</v>
      </c>
      <c r="S55" t="s">
        <v>47531</v>
      </c>
      <c r="T55" t="s">
        <v>49066</v>
      </c>
      <c r="U55" t="s">
        <v>49704</v>
      </c>
      <c r="W55" t="s">
        <v>43031</v>
      </c>
      <c r="X55" t="s">
        <v>47433</v>
      </c>
    </row>
    <row r="56" spans="1:24">
      <c r="A56">
        <f>HYPERLINK("https://www.philgeps.gov.ph/GEPSNONPILOT/Tender/SplashBidNoticeAbstractUI.aspx?menuIndex=3&amp;refID=7154518&amp;Result=3","7154518")</f>
        <v>0</v>
      </c>
      <c r="B56" t="s">
        <v>34</v>
      </c>
      <c r="C56" t="s">
        <v>3984</v>
      </c>
      <c r="E56" t="s">
        <v>19181</v>
      </c>
      <c r="F56" t="s">
        <v>32831</v>
      </c>
      <c r="G56" t="s">
        <v>32838</v>
      </c>
      <c r="H56" t="s">
        <v>32848</v>
      </c>
      <c r="I56" t="s">
        <v>5379</v>
      </c>
      <c r="J56" t="s">
        <v>33023</v>
      </c>
      <c r="K56" t="s">
        <v>42726</v>
      </c>
      <c r="M56" t="s">
        <v>43031</v>
      </c>
      <c r="N56" t="s">
        <v>47424</v>
      </c>
      <c r="O56" t="s">
        <v>47425</v>
      </c>
      <c r="P56">
        <v>0</v>
      </c>
      <c r="Q56">
        <v>1</v>
      </c>
      <c r="R56" t="s">
        <v>47426</v>
      </c>
      <c r="S56" t="s">
        <v>47531</v>
      </c>
      <c r="T56" t="s">
        <v>49066</v>
      </c>
      <c r="U56" t="s">
        <v>49704</v>
      </c>
      <c r="W56" t="s">
        <v>43031</v>
      </c>
      <c r="X56" t="s">
        <v>47433</v>
      </c>
    </row>
    <row r="57" spans="1:24">
      <c r="A57">
        <f>HYPERLINK("https://www.philgeps.gov.ph/GEPSNONPILOT/Tender/SplashBidNoticeAbstractUI.aspx?menuIndex=3&amp;refID=7158088&amp;Result=3","7158088")</f>
        <v>0</v>
      </c>
      <c r="B57" t="s">
        <v>46</v>
      </c>
      <c r="C57" t="s">
        <v>3985</v>
      </c>
      <c r="D57" t="s">
        <v>19035</v>
      </c>
      <c r="E57" t="s">
        <v>19182</v>
      </c>
      <c r="F57" t="s">
        <v>32831</v>
      </c>
      <c r="G57" t="s">
        <v>32839</v>
      </c>
      <c r="H57" t="s">
        <v>32848</v>
      </c>
      <c r="I57" t="s">
        <v>9577</v>
      </c>
      <c r="J57" t="s">
        <v>33024</v>
      </c>
      <c r="K57" t="s">
        <v>42731</v>
      </c>
      <c r="M57" t="s">
        <v>43043</v>
      </c>
      <c r="N57" t="s">
        <v>47424</v>
      </c>
      <c r="O57" t="s">
        <v>47425</v>
      </c>
      <c r="P57">
        <v>0</v>
      </c>
      <c r="Q57">
        <v>1</v>
      </c>
      <c r="R57" t="s">
        <v>47426</v>
      </c>
      <c r="S57" t="s">
        <v>47531</v>
      </c>
      <c r="T57" t="s">
        <v>49078</v>
      </c>
      <c r="U57" t="s">
        <v>49723</v>
      </c>
      <c r="W57" t="s">
        <v>43043</v>
      </c>
      <c r="X57" t="s">
        <v>47432</v>
      </c>
    </row>
    <row r="58" spans="1:24">
      <c r="A58">
        <f>HYPERLINK("https://www.philgeps.gov.ph/GEPSNONPILOT/Tender/SplashBidNoticeAbstractUI.aspx?menuIndex=3&amp;refID=7148572&amp;Result=3","7148572")</f>
        <v>0</v>
      </c>
      <c r="B58" t="s">
        <v>47</v>
      </c>
      <c r="C58" t="s">
        <v>3986</v>
      </c>
      <c r="D58" t="s">
        <v>19030</v>
      </c>
      <c r="E58" t="s">
        <v>19183</v>
      </c>
      <c r="F58" t="s">
        <v>32831</v>
      </c>
      <c r="G58" t="s">
        <v>32842</v>
      </c>
      <c r="H58" t="s">
        <v>32850</v>
      </c>
      <c r="I58" t="s">
        <v>4446</v>
      </c>
      <c r="J58" t="s">
        <v>33025</v>
      </c>
      <c r="K58" t="s">
        <v>42750</v>
      </c>
      <c r="M58" t="s">
        <v>43044</v>
      </c>
      <c r="N58" t="s">
        <v>47424</v>
      </c>
      <c r="O58" t="s">
        <v>47425</v>
      </c>
      <c r="P58">
        <v>0</v>
      </c>
      <c r="Q58">
        <v>1</v>
      </c>
      <c r="R58" t="s">
        <v>47426</v>
      </c>
      <c r="S58" t="s">
        <v>47531</v>
      </c>
      <c r="T58" t="s">
        <v>49079</v>
      </c>
      <c r="U58" t="s">
        <v>49724</v>
      </c>
      <c r="V58" t="s">
        <v>62628</v>
      </c>
      <c r="W58" t="s">
        <v>43044</v>
      </c>
      <c r="X58" t="s">
        <v>47437</v>
      </c>
    </row>
    <row r="59" spans="1:24">
      <c r="A59">
        <f>HYPERLINK("https://www.philgeps.gov.ph/GEPSNONPILOT/Tender/SplashBidNoticeAbstractUI.aspx?menuIndex=3&amp;refID=7156307&amp;Result=3","7156307")</f>
        <v>0</v>
      </c>
      <c r="B59" t="s">
        <v>38</v>
      </c>
      <c r="C59" t="s">
        <v>3987</v>
      </c>
      <c r="D59" t="s">
        <v>19028</v>
      </c>
      <c r="E59" t="s">
        <v>19184</v>
      </c>
      <c r="F59" t="s">
        <v>32831</v>
      </c>
      <c r="G59" t="s">
        <v>32841</v>
      </c>
      <c r="H59" t="s">
        <v>32848</v>
      </c>
      <c r="I59" t="s">
        <v>4776</v>
      </c>
      <c r="J59" t="s">
        <v>33026</v>
      </c>
      <c r="K59" t="s">
        <v>42731</v>
      </c>
      <c r="M59" t="s">
        <v>43035</v>
      </c>
      <c r="N59" t="s">
        <v>47424</v>
      </c>
      <c r="O59" t="s">
        <v>47425</v>
      </c>
      <c r="P59">
        <v>0</v>
      </c>
      <c r="Q59">
        <v>0</v>
      </c>
      <c r="R59" t="s">
        <v>47426</v>
      </c>
      <c r="S59" t="s">
        <v>47531</v>
      </c>
      <c r="T59" t="s">
        <v>49070</v>
      </c>
      <c r="U59" t="s">
        <v>49725</v>
      </c>
      <c r="V59" t="s">
        <v>62629</v>
      </c>
      <c r="W59" t="s">
        <v>43035</v>
      </c>
      <c r="X59" t="s">
        <v>47432</v>
      </c>
    </row>
    <row r="60" spans="1:24">
      <c r="A60">
        <f>HYPERLINK("https://www.philgeps.gov.ph/GEPSNONPILOT/Tender/SplashBidNoticeAbstractUI.aspx?menuIndex=3&amp;refID=7159120&amp;Result=3","7159120")</f>
        <v>0</v>
      </c>
      <c r="B60" t="s">
        <v>48</v>
      </c>
      <c r="C60" t="s">
        <v>3988</v>
      </c>
      <c r="D60" t="s">
        <v>19036</v>
      </c>
      <c r="E60" t="s">
        <v>19185</v>
      </c>
      <c r="F60" t="s">
        <v>32831</v>
      </c>
      <c r="G60" t="s">
        <v>32839</v>
      </c>
      <c r="H60" t="s">
        <v>32848</v>
      </c>
      <c r="I60" t="s">
        <v>7416</v>
      </c>
      <c r="J60" t="s">
        <v>33027</v>
      </c>
      <c r="K60" t="s">
        <v>42727</v>
      </c>
      <c r="M60" t="s">
        <v>43045</v>
      </c>
      <c r="N60" t="s">
        <v>47424</v>
      </c>
      <c r="O60" t="s">
        <v>47425</v>
      </c>
      <c r="P60">
        <v>0</v>
      </c>
      <c r="Q60">
        <v>0</v>
      </c>
      <c r="R60" t="s">
        <v>47426</v>
      </c>
      <c r="S60" t="s">
        <v>47531</v>
      </c>
      <c r="T60" t="s">
        <v>49080</v>
      </c>
      <c r="U60" t="s">
        <v>49726</v>
      </c>
      <c r="W60" t="s">
        <v>43045</v>
      </c>
      <c r="X60" t="s">
        <v>47431</v>
      </c>
    </row>
    <row r="61" spans="1:24">
      <c r="A61">
        <f>HYPERLINK("https://www.philgeps.gov.ph/GEPSNONPILOT/Tender/SplashBidNoticeAbstractUI.aspx?menuIndex=3&amp;refID=7159068&amp;Result=3","7159068")</f>
        <v>0</v>
      </c>
      <c r="B61" t="s">
        <v>49</v>
      </c>
      <c r="C61" t="s">
        <v>3989</v>
      </c>
      <c r="D61" t="s">
        <v>19037</v>
      </c>
      <c r="E61" t="s">
        <v>19186</v>
      </c>
      <c r="F61" t="s">
        <v>32831</v>
      </c>
      <c r="G61" t="s">
        <v>32839</v>
      </c>
      <c r="H61" t="s">
        <v>32848</v>
      </c>
      <c r="I61" t="s">
        <v>32860</v>
      </c>
      <c r="J61" t="s">
        <v>33028</v>
      </c>
      <c r="K61" t="s">
        <v>42750</v>
      </c>
      <c r="M61" t="s">
        <v>43046</v>
      </c>
      <c r="N61" t="s">
        <v>47424</v>
      </c>
      <c r="O61" t="s">
        <v>47425</v>
      </c>
      <c r="P61">
        <v>0</v>
      </c>
      <c r="Q61">
        <v>0</v>
      </c>
      <c r="R61" t="s">
        <v>47426</v>
      </c>
      <c r="S61" t="s">
        <v>47531</v>
      </c>
      <c r="T61" t="s">
        <v>49063</v>
      </c>
      <c r="U61" t="s">
        <v>49727</v>
      </c>
      <c r="V61" t="s">
        <v>62630</v>
      </c>
      <c r="W61" t="s">
        <v>43046</v>
      </c>
      <c r="X61" t="s">
        <v>47431</v>
      </c>
    </row>
    <row r="62" spans="1:24">
      <c r="A62">
        <f>HYPERLINK("https://www.philgeps.gov.ph/GEPSNONPILOT/Tender/SplashBidNoticeAbstractUI.aspx?menuIndex=3&amp;refID=7158971&amp;Result=3","7158971")</f>
        <v>0</v>
      </c>
      <c r="B62" t="s">
        <v>34</v>
      </c>
      <c r="C62" t="s">
        <v>3990</v>
      </c>
      <c r="E62" t="s">
        <v>19187</v>
      </c>
      <c r="F62" t="s">
        <v>32831</v>
      </c>
      <c r="G62" t="s">
        <v>32838</v>
      </c>
      <c r="H62" t="s">
        <v>32848</v>
      </c>
      <c r="I62" t="s">
        <v>4438</v>
      </c>
      <c r="J62" t="s">
        <v>33029</v>
      </c>
      <c r="K62" t="s">
        <v>42730</v>
      </c>
      <c r="M62" t="s">
        <v>43031</v>
      </c>
      <c r="N62" t="s">
        <v>47424</v>
      </c>
      <c r="O62" t="s">
        <v>47425</v>
      </c>
      <c r="P62">
        <v>0</v>
      </c>
      <c r="Q62">
        <v>1</v>
      </c>
      <c r="R62" t="s">
        <v>47426</v>
      </c>
      <c r="S62" t="s">
        <v>47531</v>
      </c>
      <c r="T62" t="s">
        <v>49066</v>
      </c>
      <c r="U62" t="s">
        <v>49728</v>
      </c>
      <c r="W62" t="s">
        <v>43031</v>
      </c>
      <c r="X62" t="s">
        <v>47431</v>
      </c>
    </row>
    <row r="63" spans="1:24">
      <c r="A63">
        <f>HYPERLINK("https://www.philgeps.gov.ph/GEPSNONPILOT/Tender/SplashBidNoticeAbstractUI.aspx?menuIndex=3&amp;refID=7156187&amp;Result=3","7156187")</f>
        <v>0</v>
      </c>
      <c r="B63" t="s">
        <v>50</v>
      </c>
      <c r="C63" t="s">
        <v>3991</v>
      </c>
      <c r="D63" t="s">
        <v>19017</v>
      </c>
      <c r="E63" t="s">
        <v>19188</v>
      </c>
      <c r="F63" t="s">
        <v>32831</v>
      </c>
      <c r="G63" t="s">
        <v>32840</v>
      </c>
      <c r="H63" t="s">
        <v>32848</v>
      </c>
      <c r="I63" t="s">
        <v>9577</v>
      </c>
      <c r="J63" t="s">
        <v>33030</v>
      </c>
      <c r="K63" t="s">
        <v>42727</v>
      </c>
      <c r="M63" t="s">
        <v>43047</v>
      </c>
      <c r="N63" t="s">
        <v>47424</v>
      </c>
      <c r="O63" t="s">
        <v>47425</v>
      </c>
      <c r="P63">
        <v>0</v>
      </c>
      <c r="Q63">
        <v>3</v>
      </c>
      <c r="R63" t="s">
        <v>47426</v>
      </c>
      <c r="S63" t="s">
        <v>47531</v>
      </c>
      <c r="T63" t="s">
        <v>49081</v>
      </c>
      <c r="U63" t="s">
        <v>49729</v>
      </c>
      <c r="W63" t="s">
        <v>43047</v>
      </c>
      <c r="X63" t="s">
        <v>47432</v>
      </c>
    </row>
    <row r="64" spans="1:24">
      <c r="A64">
        <f>HYPERLINK("https://www.philgeps.gov.ph/GEPSNONPILOT/Tender/SplashBidNoticeAbstractUI.aspx?menuIndex=3&amp;refID=7158831&amp;Result=3","7158831")</f>
        <v>0</v>
      </c>
      <c r="B64" t="s">
        <v>51</v>
      </c>
      <c r="C64" t="s">
        <v>3992</v>
      </c>
      <c r="D64" t="s">
        <v>19038</v>
      </c>
      <c r="E64" t="s">
        <v>19189</v>
      </c>
      <c r="F64" t="s">
        <v>32831</v>
      </c>
      <c r="G64" t="s">
        <v>32839</v>
      </c>
      <c r="H64" t="s">
        <v>32848</v>
      </c>
      <c r="I64" t="s">
        <v>7416</v>
      </c>
      <c r="J64" t="s">
        <v>33031</v>
      </c>
      <c r="K64" t="s">
        <v>42726</v>
      </c>
      <c r="M64" t="s">
        <v>43048</v>
      </c>
      <c r="N64" t="s">
        <v>47424</v>
      </c>
      <c r="O64" t="s">
        <v>47425</v>
      </c>
      <c r="P64">
        <v>0</v>
      </c>
      <c r="Q64">
        <v>1</v>
      </c>
      <c r="R64" t="s">
        <v>47426</v>
      </c>
      <c r="S64" t="s">
        <v>47531</v>
      </c>
      <c r="T64" t="s">
        <v>49070</v>
      </c>
      <c r="U64" t="s">
        <v>49730</v>
      </c>
      <c r="W64" t="s">
        <v>43048</v>
      </c>
      <c r="X64" t="s">
        <v>47431</v>
      </c>
    </row>
    <row r="65" spans="1:24">
      <c r="A65">
        <f>HYPERLINK("https://www.philgeps.gov.ph/GEPSNONPILOT/Tender/SplashBidNoticeAbstractUI.aspx?menuIndex=3&amp;refID=7157787&amp;Result=3","7157787")</f>
        <v>0</v>
      </c>
      <c r="B65" t="s">
        <v>43</v>
      </c>
      <c r="C65" t="s">
        <v>3993</v>
      </c>
      <c r="D65" t="s">
        <v>19032</v>
      </c>
      <c r="E65" t="s">
        <v>19190</v>
      </c>
      <c r="F65" t="s">
        <v>32831</v>
      </c>
      <c r="G65" t="s">
        <v>32839</v>
      </c>
      <c r="H65" t="s">
        <v>32849</v>
      </c>
      <c r="I65" t="s">
        <v>4177</v>
      </c>
      <c r="J65" t="s">
        <v>33032</v>
      </c>
      <c r="K65" t="s">
        <v>42751</v>
      </c>
      <c r="M65" t="s">
        <v>43040</v>
      </c>
      <c r="N65" t="s">
        <v>47424</v>
      </c>
      <c r="O65" t="s">
        <v>47425</v>
      </c>
      <c r="P65">
        <v>0</v>
      </c>
      <c r="Q65">
        <v>0</v>
      </c>
      <c r="R65" t="s">
        <v>47426</v>
      </c>
      <c r="S65" t="s">
        <v>47531</v>
      </c>
      <c r="T65" t="s">
        <v>49082</v>
      </c>
      <c r="U65" t="s">
        <v>49731</v>
      </c>
      <c r="W65" t="s">
        <v>43040</v>
      </c>
      <c r="X65" t="s">
        <v>47432</v>
      </c>
    </row>
    <row r="66" spans="1:24">
      <c r="A66">
        <f>HYPERLINK("https://www.philgeps.gov.ph/GEPSNONPILOT/Tender/SplashBidNoticeAbstractUI.aspx?menuIndex=3&amp;refID=7158740&amp;Result=3","7158740")</f>
        <v>0</v>
      </c>
      <c r="B66" t="s">
        <v>52</v>
      </c>
      <c r="C66" t="s">
        <v>3994</v>
      </c>
      <c r="D66" t="s">
        <v>19020</v>
      </c>
      <c r="E66" t="s">
        <v>19191</v>
      </c>
      <c r="F66" t="s">
        <v>32831</v>
      </c>
      <c r="G66" t="s">
        <v>32839</v>
      </c>
      <c r="H66" t="s">
        <v>32849</v>
      </c>
      <c r="I66" t="s">
        <v>4177</v>
      </c>
      <c r="J66" t="s">
        <v>33033</v>
      </c>
      <c r="K66" t="s">
        <v>42752</v>
      </c>
      <c r="M66" t="s">
        <v>43049</v>
      </c>
      <c r="N66" t="s">
        <v>47424</v>
      </c>
      <c r="O66" t="s">
        <v>47425</v>
      </c>
      <c r="P66">
        <v>0</v>
      </c>
      <c r="Q66">
        <v>0</v>
      </c>
      <c r="R66" t="s">
        <v>47426</v>
      </c>
      <c r="S66" t="s">
        <v>47531</v>
      </c>
      <c r="T66" t="s">
        <v>49083</v>
      </c>
      <c r="U66" t="s">
        <v>49732</v>
      </c>
      <c r="W66" t="s">
        <v>43049</v>
      </c>
      <c r="X66" t="s">
        <v>47431</v>
      </c>
    </row>
    <row r="67" spans="1:24">
      <c r="A67">
        <f>HYPERLINK("https://www.philgeps.gov.ph/GEPSNONPILOT/Tender/SplashBidNoticeAbstractUI.aspx?menuIndex=3&amp;refID=7159369&amp;Result=3","7159369")</f>
        <v>0</v>
      </c>
      <c r="B67" t="s">
        <v>48</v>
      </c>
      <c r="C67" t="s">
        <v>3995</v>
      </c>
      <c r="D67" t="s">
        <v>19036</v>
      </c>
      <c r="E67" t="s">
        <v>19192</v>
      </c>
      <c r="F67" t="s">
        <v>32831</v>
      </c>
      <c r="G67" t="s">
        <v>32841</v>
      </c>
      <c r="H67" t="s">
        <v>32848</v>
      </c>
      <c r="I67" t="s">
        <v>7416</v>
      </c>
      <c r="J67" t="s">
        <v>33034</v>
      </c>
      <c r="K67" t="s">
        <v>42727</v>
      </c>
      <c r="M67" t="s">
        <v>43045</v>
      </c>
      <c r="N67" t="s">
        <v>47424</v>
      </c>
      <c r="O67" t="s">
        <v>47425</v>
      </c>
      <c r="P67">
        <v>0</v>
      </c>
      <c r="Q67">
        <v>0</v>
      </c>
      <c r="R67" t="s">
        <v>47426</v>
      </c>
      <c r="S67" t="s">
        <v>47531</v>
      </c>
      <c r="T67" t="s">
        <v>49080</v>
      </c>
      <c r="U67" t="s">
        <v>49733</v>
      </c>
      <c r="W67" t="s">
        <v>43045</v>
      </c>
      <c r="X67" t="s">
        <v>47431</v>
      </c>
    </row>
    <row r="68" spans="1:24">
      <c r="A68">
        <f>HYPERLINK("https://www.philgeps.gov.ph/GEPSNONPILOT/Tender/SplashBidNoticeAbstractUI.aspx?menuIndex=3&amp;refID=7158928&amp;Result=3","7158928")</f>
        <v>0</v>
      </c>
      <c r="B68" t="s">
        <v>53</v>
      </c>
      <c r="C68" t="s">
        <v>3996</v>
      </c>
      <c r="D68" t="s">
        <v>19019</v>
      </c>
      <c r="E68" t="s">
        <v>19193</v>
      </c>
      <c r="F68" t="s">
        <v>32831</v>
      </c>
      <c r="G68" t="s">
        <v>32838</v>
      </c>
      <c r="H68" t="s">
        <v>32848</v>
      </c>
      <c r="I68" t="s">
        <v>32860</v>
      </c>
      <c r="J68" t="s">
        <v>33035</v>
      </c>
      <c r="K68" t="s">
        <v>42750</v>
      </c>
      <c r="M68" t="s">
        <v>43050</v>
      </c>
      <c r="N68" t="s">
        <v>47424</v>
      </c>
      <c r="O68" t="s">
        <v>47425</v>
      </c>
      <c r="P68">
        <v>0</v>
      </c>
      <c r="Q68">
        <v>1</v>
      </c>
      <c r="R68" t="s">
        <v>47426</v>
      </c>
      <c r="S68" t="s">
        <v>47531</v>
      </c>
      <c r="T68" t="s">
        <v>49084</v>
      </c>
      <c r="U68" t="s">
        <v>49734</v>
      </c>
      <c r="W68" t="s">
        <v>43050</v>
      </c>
      <c r="X68" t="s">
        <v>47431</v>
      </c>
    </row>
    <row r="69" spans="1:24">
      <c r="A69">
        <f>HYPERLINK("https://www.philgeps.gov.ph/GEPSNONPILOT/Tender/SplashBidNoticeAbstractUI.aspx?menuIndex=3&amp;refID=7159060&amp;Result=3","7159060")</f>
        <v>0</v>
      </c>
      <c r="B69" t="s">
        <v>54</v>
      </c>
      <c r="C69" t="s">
        <v>3997</v>
      </c>
      <c r="E69" t="s">
        <v>19194</v>
      </c>
      <c r="F69" t="s">
        <v>32831</v>
      </c>
      <c r="G69" t="s">
        <v>32839</v>
      </c>
      <c r="H69" t="s">
        <v>32848</v>
      </c>
      <c r="I69" t="s">
        <v>4177</v>
      </c>
      <c r="J69" t="s">
        <v>33036</v>
      </c>
      <c r="K69" t="s">
        <v>42744</v>
      </c>
      <c r="M69" t="s">
        <v>43051</v>
      </c>
      <c r="N69" t="s">
        <v>47424</v>
      </c>
      <c r="O69" t="s">
        <v>47425</v>
      </c>
      <c r="P69">
        <v>0</v>
      </c>
      <c r="Q69">
        <v>0</v>
      </c>
      <c r="R69" t="s">
        <v>47426</v>
      </c>
      <c r="S69" t="s">
        <v>47531</v>
      </c>
      <c r="T69" t="s">
        <v>49059</v>
      </c>
      <c r="U69" t="s">
        <v>49735</v>
      </c>
      <c r="W69" t="s">
        <v>43051</v>
      </c>
      <c r="X69" t="s">
        <v>47431</v>
      </c>
    </row>
    <row r="70" spans="1:24">
      <c r="A70">
        <f>HYPERLINK("https://www.philgeps.gov.ph/GEPSNONPILOT/Tender/SplashBidNoticeAbstractUI.aspx?menuIndex=3&amp;refID=7158884&amp;Result=3","7158884")</f>
        <v>0</v>
      </c>
      <c r="B70" t="s">
        <v>55</v>
      </c>
      <c r="C70" t="s">
        <v>3998</v>
      </c>
      <c r="D70" t="s">
        <v>19039</v>
      </c>
      <c r="E70" t="s">
        <v>19195</v>
      </c>
      <c r="F70" t="s">
        <v>32831</v>
      </c>
      <c r="G70" t="s">
        <v>32838</v>
      </c>
      <c r="H70" t="s">
        <v>32848</v>
      </c>
      <c r="I70" t="s">
        <v>5379</v>
      </c>
      <c r="J70" t="s">
        <v>32976</v>
      </c>
      <c r="K70" t="s">
        <v>42748</v>
      </c>
      <c r="M70" t="s">
        <v>43052</v>
      </c>
      <c r="N70" t="s">
        <v>47424</v>
      </c>
      <c r="O70" t="s">
        <v>47425</v>
      </c>
      <c r="P70">
        <v>0</v>
      </c>
      <c r="Q70">
        <v>0</v>
      </c>
      <c r="R70" t="s">
        <v>47426</v>
      </c>
      <c r="S70" t="s">
        <v>47531</v>
      </c>
      <c r="T70" t="s">
        <v>49085</v>
      </c>
      <c r="U70" t="s">
        <v>49736</v>
      </c>
      <c r="V70" t="s">
        <v>62631</v>
      </c>
      <c r="W70" t="s">
        <v>43052</v>
      </c>
      <c r="X70" t="s">
        <v>47431</v>
      </c>
    </row>
    <row r="71" spans="1:24">
      <c r="A71">
        <f>HYPERLINK("https://www.philgeps.gov.ph/GEPSNONPILOT/Tender/SplashBidNoticeAbstractUI.aspx?menuIndex=3&amp;refID=7159236&amp;Result=3","7159236")</f>
        <v>0</v>
      </c>
      <c r="B71" t="s">
        <v>56</v>
      </c>
      <c r="C71" t="s">
        <v>3999</v>
      </c>
      <c r="D71" t="s">
        <v>19040</v>
      </c>
      <c r="E71" t="s">
        <v>19196</v>
      </c>
      <c r="F71" t="s">
        <v>32831</v>
      </c>
      <c r="G71" t="s">
        <v>32839</v>
      </c>
      <c r="H71" t="s">
        <v>32848</v>
      </c>
      <c r="I71" t="s">
        <v>32861</v>
      </c>
      <c r="J71" t="s">
        <v>33037</v>
      </c>
      <c r="K71" t="s">
        <v>42730</v>
      </c>
      <c r="M71" t="s">
        <v>43053</v>
      </c>
      <c r="N71" t="s">
        <v>47424</v>
      </c>
      <c r="O71" t="s">
        <v>47425</v>
      </c>
      <c r="P71">
        <v>0</v>
      </c>
      <c r="Q71">
        <v>11</v>
      </c>
      <c r="R71" t="s">
        <v>47426</v>
      </c>
      <c r="S71" t="s">
        <v>47531</v>
      </c>
      <c r="T71" t="s">
        <v>49078</v>
      </c>
      <c r="U71" t="s">
        <v>49737</v>
      </c>
      <c r="W71" t="s">
        <v>43053</v>
      </c>
      <c r="X71" t="s">
        <v>47431</v>
      </c>
    </row>
    <row r="72" spans="1:24">
      <c r="A72">
        <f>HYPERLINK("https://www.philgeps.gov.ph/GEPSNONPILOT/Tender/SplashBidNoticeAbstractUI.aspx?menuIndex=3&amp;refID=7159271&amp;Result=3","7159271")</f>
        <v>0</v>
      </c>
      <c r="B72" t="s">
        <v>48</v>
      </c>
      <c r="C72" t="s">
        <v>4000</v>
      </c>
      <c r="D72" t="s">
        <v>19036</v>
      </c>
      <c r="E72" t="s">
        <v>19197</v>
      </c>
      <c r="F72" t="s">
        <v>32831</v>
      </c>
      <c r="G72" t="s">
        <v>32839</v>
      </c>
      <c r="H72" t="s">
        <v>32848</v>
      </c>
      <c r="I72" t="s">
        <v>32862</v>
      </c>
      <c r="J72" t="s">
        <v>33038</v>
      </c>
      <c r="K72" t="s">
        <v>42727</v>
      </c>
      <c r="M72" t="s">
        <v>43045</v>
      </c>
      <c r="N72" t="s">
        <v>47424</v>
      </c>
      <c r="O72" t="s">
        <v>47425</v>
      </c>
      <c r="P72">
        <v>0</v>
      </c>
      <c r="Q72">
        <v>1</v>
      </c>
      <c r="R72" t="s">
        <v>47426</v>
      </c>
      <c r="S72" t="s">
        <v>47531</v>
      </c>
      <c r="T72" t="s">
        <v>49080</v>
      </c>
      <c r="U72" t="s">
        <v>49738</v>
      </c>
      <c r="W72" t="s">
        <v>43045</v>
      </c>
      <c r="X72" t="s">
        <v>47431</v>
      </c>
    </row>
    <row r="73" spans="1:24">
      <c r="A73">
        <f>HYPERLINK("https://www.philgeps.gov.ph/GEPSNONPILOT/Tender/SplashBidNoticeAbstractUI.aspx?menuIndex=3&amp;refID=7158241&amp;Result=3","7158241")</f>
        <v>0</v>
      </c>
      <c r="B73" t="s">
        <v>57</v>
      </c>
      <c r="C73" t="s">
        <v>4001</v>
      </c>
      <c r="E73" t="s">
        <v>19198</v>
      </c>
      <c r="F73" t="s">
        <v>32831</v>
      </c>
      <c r="G73" t="s">
        <v>32839</v>
      </c>
      <c r="H73" t="s">
        <v>32849</v>
      </c>
      <c r="I73" t="s">
        <v>4177</v>
      </c>
      <c r="J73" t="s">
        <v>32983</v>
      </c>
      <c r="K73" t="s">
        <v>42742</v>
      </c>
      <c r="M73" t="s">
        <v>43054</v>
      </c>
      <c r="N73" t="s">
        <v>47424</v>
      </c>
      <c r="O73" t="s">
        <v>47425</v>
      </c>
      <c r="P73">
        <v>0</v>
      </c>
      <c r="Q73">
        <v>0</v>
      </c>
      <c r="R73" t="s">
        <v>47426</v>
      </c>
      <c r="S73" t="s">
        <v>47531</v>
      </c>
      <c r="T73" t="s">
        <v>49066</v>
      </c>
      <c r="U73" t="s">
        <v>49739</v>
      </c>
      <c r="W73" t="s">
        <v>43054</v>
      </c>
      <c r="X73" t="s">
        <v>47432</v>
      </c>
    </row>
    <row r="74" spans="1:24">
      <c r="A74">
        <f>HYPERLINK("https://www.philgeps.gov.ph/GEPSNONPILOT/Tender/SplashBidNoticeAbstractUI.aspx?menuIndex=3&amp;refID=7158672&amp;Result=3","7158672")</f>
        <v>0</v>
      </c>
      <c r="B74" t="s">
        <v>58</v>
      </c>
      <c r="C74" t="s">
        <v>4002</v>
      </c>
      <c r="D74" t="s">
        <v>19041</v>
      </c>
      <c r="E74" t="s">
        <v>19199</v>
      </c>
      <c r="F74" t="s">
        <v>32831</v>
      </c>
      <c r="G74" t="s">
        <v>32839</v>
      </c>
      <c r="H74" t="s">
        <v>32848</v>
      </c>
      <c r="I74" t="s">
        <v>4487</v>
      </c>
      <c r="J74" t="s">
        <v>33039</v>
      </c>
      <c r="K74" t="s">
        <v>42748</v>
      </c>
      <c r="M74" t="s">
        <v>43055</v>
      </c>
      <c r="N74" t="s">
        <v>47424</v>
      </c>
      <c r="O74" t="s">
        <v>47425</v>
      </c>
      <c r="P74">
        <v>0</v>
      </c>
      <c r="Q74">
        <v>1</v>
      </c>
      <c r="R74" t="s">
        <v>47426</v>
      </c>
      <c r="S74" t="s">
        <v>47531</v>
      </c>
      <c r="T74" t="s">
        <v>49086</v>
      </c>
      <c r="U74" t="s">
        <v>49740</v>
      </c>
      <c r="W74" t="s">
        <v>43055</v>
      </c>
      <c r="X74" t="s">
        <v>47431</v>
      </c>
    </row>
    <row r="75" spans="1:24">
      <c r="A75">
        <f>HYPERLINK("https://www.philgeps.gov.ph/GEPSNONPILOT/Tender/SplashBidNoticeAbstractUI.aspx?menuIndex=3&amp;refID=7158309&amp;Result=3","7158309")</f>
        <v>0</v>
      </c>
      <c r="B75" t="s">
        <v>57</v>
      </c>
      <c r="C75" t="s">
        <v>4003</v>
      </c>
      <c r="E75" t="s">
        <v>19200</v>
      </c>
      <c r="F75" t="s">
        <v>32831</v>
      </c>
      <c r="G75" t="s">
        <v>32839</v>
      </c>
      <c r="H75" t="s">
        <v>32849</v>
      </c>
      <c r="I75" t="s">
        <v>4177</v>
      </c>
      <c r="J75" t="s">
        <v>33040</v>
      </c>
      <c r="K75" t="s">
        <v>42727</v>
      </c>
      <c r="M75" t="s">
        <v>43054</v>
      </c>
      <c r="N75" t="s">
        <v>47424</v>
      </c>
      <c r="O75" t="s">
        <v>47425</v>
      </c>
      <c r="P75">
        <v>0</v>
      </c>
      <c r="Q75">
        <v>0</v>
      </c>
      <c r="R75" t="s">
        <v>47426</v>
      </c>
      <c r="S75" t="s">
        <v>47531</v>
      </c>
      <c r="T75" t="s">
        <v>49064</v>
      </c>
      <c r="U75" t="s">
        <v>49741</v>
      </c>
      <c r="W75" t="s">
        <v>43054</v>
      </c>
      <c r="X75" t="s">
        <v>47432</v>
      </c>
    </row>
    <row r="76" spans="1:24">
      <c r="A76">
        <f>HYPERLINK("https://www.philgeps.gov.ph/GEPSNONPILOT/Tender/SplashBidNoticeAbstractUI.aspx?menuIndex=3&amp;refID=7159326&amp;Result=3","7159326")</f>
        <v>0</v>
      </c>
      <c r="B76" t="s">
        <v>59</v>
      </c>
      <c r="C76" t="s">
        <v>3968</v>
      </c>
      <c r="D76" t="s">
        <v>19026</v>
      </c>
      <c r="E76" t="s">
        <v>19201</v>
      </c>
      <c r="F76" t="s">
        <v>32831</v>
      </c>
      <c r="G76" t="s">
        <v>32841</v>
      </c>
      <c r="H76" t="s">
        <v>32848</v>
      </c>
      <c r="I76" t="s">
        <v>4558</v>
      </c>
      <c r="J76" t="s">
        <v>33041</v>
      </c>
      <c r="K76" t="s">
        <v>42732</v>
      </c>
      <c r="M76" t="s">
        <v>43056</v>
      </c>
      <c r="N76" t="s">
        <v>47424</v>
      </c>
      <c r="O76" t="s">
        <v>47425</v>
      </c>
      <c r="P76">
        <v>0</v>
      </c>
      <c r="Q76">
        <v>2</v>
      </c>
      <c r="R76" t="s">
        <v>47426</v>
      </c>
      <c r="S76" t="s">
        <v>47531</v>
      </c>
      <c r="T76" t="s">
        <v>49068</v>
      </c>
      <c r="U76" t="s">
        <v>49742</v>
      </c>
      <c r="W76" t="s">
        <v>43056</v>
      </c>
      <c r="X76" t="s">
        <v>47431</v>
      </c>
    </row>
    <row r="77" spans="1:24">
      <c r="A77">
        <f>HYPERLINK("https://www.philgeps.gov.ph/GEPSNONPILOT/Tender/SplashBidNoticeAbstractUI.aspx?menuIndex=3&amp;refID=7159216&amp;Result=3","7159216")</f>
        <v>0</v>
      </c>
      <c r="B77" t="s">
        <v>48</v>
      </c>
      <c r="C77" t="s">
        <v>4004</v>
      </c>
      <c r="D77" t="s">
        <v>19036</v>
      </c>
      <c r="E77" t="s">
        <v>19202</v>
      </c>
      <c r="F77" t="s">
        <v>32831</v>
      </c>
      <c r="G77" t="s">
        <v>32839</v>
      </c>
      <c r="H77" t="s">
        <v>32848</v>
      </c>
      <c r="I77" t="s">
        <v>7416</v>
      </c>
      <c r="J77" t="s">
        <v>33042</v>
      </c>
      <c r="K77" t="s">
        <v>42727</v>
      </c>
      <c r="M77" t="s">
        <v>43045</v>
      </c>
      <c r="N77" t="s">
        <v>47424</v>
      </c>
      <c r="O77" t="s">
        <v>47425</v>
      </c>
      <c r="P77">
        <v>0</v>
      </c>
      <c r="Q77">
        <v>0</v>
      </c>
      <c r="R77" t="s">
        <v>47426</v>
      </c>
      <c r="S77" t="s">
        <v>47531</v>
      </c>
      <c r="T77" t="s">
        <v>49080</v>
      </c>
      <c r="U77" t="s">
        <v>49743</v>
      </c>
      <c r="W77" t="s">
        <v>43045</v>
      </c>
      <c r="X77" t="s">
        <v>47431</v>
      </c>
    </row>
    <row r="78" spans="1:24">
      <c r="A78">
        <f>HYPERLINK("https://www.philgeps.gov.ph/GEPSNONPILOT/Tender/SplashBidNoticeAbstractUI.aspx?menuIndex=3&amp;refID=7159412&amp;Result=3","7159412")</f>
        <v>0</v>
      </c>
      <c r="B78" t="s">
        <v>31</v>
      </c>
      <c r="C78" t="s">
        <v>4005</v>
      </c>
      <c r="D78" t="s">
        <v>19022</v>
      </c>
      <c r="E78" t="s">
        <v>19203</v>
      </c>
      <c r="F78" t="s">
        <v>32831</v>
      </c>
      <c r="G78" t="s">
        <v>32839</v>
      </c>
      <c r="H78" t="s">
        <v>32848</v>
      </c>
      <c r="I78" t="s">
        <v>7416</v>
      </c>
      <c r="J78" t="s">
        <v>33043</v>
      </c>
      <c r="K78" t="s">
        <v>42738</v>
      </c>
      <c r="L78" t="s">
        <v>31</v>
      </c>
      <c r="M78" t="s">
        <v>43028</v>
      </c>
      <c r="N78" t="s">
        <v>47424</v>
      </c>
      <c r="O78" t="s">
        <v>47425</v>
      </c>
      <c r="P78">
        <v>0</v>
      </c>
      <c r="Q78">
        <v>0</v>
      </c>
      <c r="R78" t="s">
        <v>47426</v>
      </c>
      <c r="S78" t="s">
        <v>47531</v>
      </c>
      <c r="T78" t="s">
        <v>49063</v>
      </c>
      <c r="U78" t="s">
        <v>49744</v>
      </c>
      <c r="W78" t="s">
        <v>43028</v>
      </c>
      <c r="X78" t="s">
        <v>47431</v>
      </c>
    </row>
    <row r="79" spans="1:24">
      <c r="A79">
        <f>HYPERLINK("https://www.philgeps.gov.ph/GEPSNONPILOT/Tender/SplashBidNoticeAbstractUI.aspx?menuIndex=3&amp;refID=7160217&amp;Result=3","7160217")</f>
        <v>0</v>
      </c>
      <c r="B79" t="s">
        <v>60</v>
      </c>
      <c r="C79" t="s">
        <v>4006</v>
      </c>
      <c r="D79" t="s">
        <v>19042</v>
      </c>
      <c r="E79" t="s">
        <v>19204</v>
      </c>
      <c r="F79" t="s">
        <v>32831</v>
      </c>
      <c r="G79" t="s">
        <v>32839</v>
      </c>
      <c r="H79" t="s">
        <v>32848</v>
      </c>
      <c r="I79" t="s">
        <v>4438</v>
      </c>
      <c r="J79" t="s">
        <v>33044</v>
      </c>
      <c r="K79" t="s">
        <v>42726</v>
      </c>
      <c r="M79" t="s">
        <v>43057</v>
      </c>
      <c r="N79" t="s">
        <v>47424</v>
      </c>
      <c r="O79" t="s">
        <v>47425</v>
      </c>
      <c r="P79">
        <v>0</v>
      </c>
      <c r="Q79">
        <v>1</v>
      </c>
      <c r="R79" t="s">
        <v>47426</v>
      </c>
      <c r="S79" t="s">
        <v>47531</v>
      </c>
      <c r="T79" t="s">
        <v>49087</v>
      </c>
      <c r="U79" t="s">
        <v>49745</v>
      </c>
      <c r="W79" t="s">
        <v>43057</v>
      </c>
      <c r="X79" t="s">
        <v>47431</v>
      </c>
    </row>
    <row r="80" spans="1:24">
      <c r="A80">
        <f>HYPERLINK("https://www.philgeps.gov.ph/GEPSNONPILOT/Tender/SplashBidNoticeAbstractUI.aspx?menuIndex=3&amp;refID=7160177&amp;Result=3","7160177")</f>
        <v>0</v>
      </c>
      <c r="B80" t="s">
        <v>60</v>
      </c>
      <c r="C80" t="s">
        <v>4007</v>
      </c>
      <c r="D80" t="s">
        <v>19042</v>
      </c>
      <c r="E80" t="s">
        <v>19205</v>
      </c>
      <c r="F80" t="s">
        <v>32831</v>
      </c>
      <c r="G80" t="s">
        <v>32839</v>
      </c>
      <c r="H80" t="s">
        <v>32850</v>
      </c>
      <c r="I80" t="s">
        <v>32863</v>
      </c>
      <c r="J80" t="s">
        <v>33045</v>
      </c>
      <c r="K80" t="s">
        <v>42726</v>
      </c>
      <c r="M80" t="s">
        <v>43057</v>
      </c>
      <c r="N80" t="s">
        <v>47424</v>
      </c>
      <c r="O80" t="s">
        <v>47425</v>
      </c>
      <c r="P80">
        <v>0</v>
      </c>
      <c r="Q80">
        <v>0</v>
      </c>
      <c r="R80" t="s">
        <v>47426</v>
      </c>
      <c r="S80" t="s">
        <v>47531</v>
      </c>
      <c r="T80" t="s">
        <v>49087</v>
      </c>
      <c r="U80" t="s">
        <v>49746</v>
      </c>
      <c r="W80" t="s">
        <v>43057</v>
      </c>
      <c r="X80" t="s">
        <v>47431</v>
      </c>
    </row>
    <row r="81" spans="1:24">
      <c r="A81">
        <f>HYPERLINK("https://www.philgeps.gov.ph/GEPSNONPILOT/Tender/SplashBidNoticeAbstractUI.aspx?menuIndex=3&amp;refID=7160164&amp;Result=3","7160164")</f>
        <v>0</v>
      </c>
      <c r="B81" t="s">
        <v>61</v>
      </c>
      <c r="C81" t="s">
        <v>4008</v>
      </c>
      <c r="D81" t="s">
        <v>19021</v>
      </c>
      <c r="E81" t="s">
        <v>19206</v>
      </c>
      <c r="F81" t="s">
        <v>32831</v>
      </c>
      <c r="G81" t="s">
        <v>32839</v>
      </c>
      <c r="H81" t="s">
        <v>32848</v>
      </c>
      <c r="I81" t="s">
        <v>7751</v>
      </c>
      <c r="J81" t="s">
        <v>33046</v>
      </c>
      <c r="K81" t="s">
        <v>42727</v>
      </c>
      <c r="M81" t="s">
        <v>43058</v>
      </c>
      <c r="N81" t="s">
        <v>47424</v>
      </c>
      <c r="O81" t="s">
        <v>47425</v>
      </c>
      <c r="P81">
        <v>0</v>
      </c>
      <c r="Q81">
        <v>4</v>
      </c>
      <c r="R81" t="s">
        <v>47426</v>
      </c>
      <c r="S81" t="s">
        <v>47531</v>
      </c>
      <c r="T81" t="s">
        <v>49088</v>
      </c>
      <c r="U81" t="s">
        <v>49747</v>
      </c>
      <c r="W81" t="s">
        <v>43058</v>
      </c>
      <c r="X81" t="s">
        <v>47431</v>
      </c>
    </row>
    <row r="82" spans="1:24">
      <c r="A82">
        <f>HYPERLINK("https://www.philgeps.gov.ph/GEPSNONPILOT/Tender/SplashBidNoticeAbstractUI.aspx?menuIndex=3&amp;refID=7159974&amp;Result=3","7159974")</f>
        <v>0</v>
      </c>
      <c r="B82" t="s">
        <v>62</v>
      </c>
      <c r="C82" t="s">
        <v>4009</v>
      </c>
      <c r="D82" t="s">
        <v>19043</v>
      </c>
      <c r="E82" t="s">
        <v>19207</v>
      </c>
      <c r="F82" t="s">
        <v>32831</v>
      </c>
      <c r="G82" t="s">
        <v>32839</v>
      </c>
      <c r="H82" t="s">
        <v>32849</v>
      </c>
      <c r="I82" t="s">
        <v>4177</v>
      </c>
      <c r="J82" t="s">
        <v>33047</v>
      </c>
      <c r="K82" t="s">
        <v>42753</v>
      </c>
      <c r="M82" t="s">
        <v>43059</v>
      </c>
      <c r="N82" t="s">
        <v>47424</v>
      </c>
      <c r="O82" t="s">
        <v>47425</v>
      </c>
      <c r="P82">
        <v>0</v>
      </c>
      <c r="Q82">
        <v>0</v>
      </c>
      <c r="R82" t="s">
        <v>47426</v>
      </c>
      <c r="S82" t="s">
        <v>47531</v>
      </c>
      <c r="T82" t="s">
        <v>49065</v>
      </c>
      <c r="U82" t="s">
        <v>49748</v>
      </c>
      <c r="W82" t="s">
        <v>43059</v>
      </c>
      <c r="X82" t="s">
        <v>47431</v>
      </c>
    </row>
    <row r="83" spans="1:24">
      <c r="A83">
        <f>HYPERLINK("https://www.philgeps.gov.ph/GEPSNONPILOT/Tender/SplashBidNoticeAbstractUI.aspx?menuIndex=3&amp;refID=7159913&amp;Result=3","7159913")</f>
        <v>0</v>
      </c>
      <c r="B83" t="s">
        <v>63</v>
      </c>
      <c r="C83" t="s">
        <v>4010</v>
      </c>
      <c r="D83" t="s">
        <v>19017</v>
      </c>
      <c r="E83" t="s">
        <v>19208</v>
      </c>
      <c r="F83" t="s">
        <v>32831</v>
      </c>
      <c r="G83" t="s">
        <v>32838</v>
      </c>
      <c r="H83" t="s">
        <v>32848</v>
      </c>
      <c r="I83" t="s">
        <v>32864</v>
      </c>
      <c r="J83" t="s">
        <v>33048</v>
      </c>
      <c r="K83" t="s">
        <v>42726</v>
      </c>
      <c r="M83" t="s">
        <v>43060</v>
      </c>
      <c r="N83" t="s">
        <v>47424</v>
      </c>
      <c r="O83" t="s">
        <v>47425</v>
      </c>
      <c r="P83">
        <v>0</v>
      </c>
      <c r="Q83">
        <v>7</v>
      </c>
      <c r="R83" t="s">
        <v>47426</v>
      </c>
      <c r="S83" t="s">
        <v>47531</v>
      </c>
      <c r="T83" t="s">
        <v>49089</v>
      </c>
      <c r="U83" t="s">
        <v>49749</v>
      </c>
      <c r="W83" t="s">
        <v>43060</v>
      </c>
      <c r="X83" t="s">
        <v>47431</v>
      </c>
    </row>
    <row r="84" spans="1:24">
      <c r="A84">
        <f>HYPERLINK("https://www.philgeps.gov.ph/GEPSNONPILOT/Tender/SplashBidNoticeAbstractUI.aspx?menuIndex=3&amp;refID=7158431&amp;Result=3","7158431")</f>
        <v>0</v>
      </c>
      <c r="B84" t="s">
        <v>64</v>
      </c>
      <c r="C84" t="s">
        <v>4011</v>
      </c>
      <c r="D84" t="s">
        <v>19044</v>
      </c>
      <c r="E84" t="s">
        <v>19209</v>
      </c>
      <c r="F84" t="s">
        <v>32831</v>
      </c>
      <c r="G84" t="s">
        <v>32838</v>
      </c>
      <c r="H84" t="s">
        <v>32849</v>
      </c>
      <c r="I84" t="s">
        <v>4177</v>
      </c>
      <c r="J84" t="s">
        <v>33049</v>
      </c>
      <c r="K84" t="s">
        <v>42747</v>
      </c>
      <c r="M84" t="s">
        <v>43061</v>
      </c>
      <c r="N84" t="s">
        <v>47424</v>
      </c>
      <c r="O84" t="s">
        <v>47425</v>
      </c>
      <c r="P84">
        <v>0</v>
      </c>
      <c r="Q84">
        <v>0</v>
      </c>
      <c r="R84" t="s">
        <v>47426</v>
      </c>
      <c r="S84" t="s">
        <v>47531</v>
      </c>
      <c r="T84" t="s">
        <v>49055</v>
      </c>
      <c r="U84" t="s">
        <v>49750</v>
      </c>
      <c r="W84" t="s">
        <v>43061</v>
      </c>
      <c r="X84" t="s">
        <v>47432</v>
      </c>
    </row>
    <row r="85" spans="1:24">
      <c r="A85">
        <f>HYPERLINK("https://www.philgeps.gov.ph/GEPSNONPILOT/Tender/SplashBidNoticeAbstractUI.aspx?menuIndex=3&amp;refID=7160167&amp;Result=3","7160167")</f>
        <v>0</v>
      </c>
      <c r="B85" t="s">
        <v>65</v>
      </c>
      <c r="C85" t="s">
        <v>4012</v>
      </c>
      <c r="D85" t="s">
        <v>19039</v>
      </c>
      <c r="E85" t="s">
        <v>19210</v>
      </c>
      <c r="F85" t="s">
        <v>32831</v>
      </c>
      <c r="G85" t="s">
        <v>32839</v>
      </c>
      <c r="H85" t="s">
        <v>32848</v>
      </c>
      <c r="I85" t="s">
        <v>7416</v>
      </c>
      <c r="J85" t="s">
        <v>33050</v>
      </c>
      <c r="K85" t="s">
        <v>42727</v>
      </c>
      <c r="M85" t="s">
        <v>43062</v>
      </c>
      <c r="N85" t="s">
        <v>47424</v>
      </c>
      <c r="O85" t="s">
        <v>47425</v>
      </c>
      <c r="P85">
        <v>0</v>
      </c>
      <c r="Q85">
        <v>0</v>
      </c>
      <c r="R85" t="s">
        <v>47426</v>
      </c>
      <c r="S85" t="s">
        <v>47531</v>
      </c>
      <c r="T85" t="s">
        <v>49090</v>
      </c>
      <c r="U85" t="s">
        <v>49751</v>
      </c>
      <c r="V85" t="s">
        <v>62631</v>
      </c>
      <c r="W85" t="s">
        <v>43062</v>
      </c>
      <c r="X85" t="s">
        <v>47431</v>
      </c>
    </row>
    <row r="86" spans="1:24">
      <c r="A86">
        <f>HYPERLINK("https://www.philgeps.gov.ph/GEPSNONPILOT/Tender/SplashBidNoticeAbstractUI.aspx?menuIndex=3&amp;refID=7159718&amp;Result=3","7159718")</f>
        <v>0</v>
      </c>
      <c r="B86" t="s">
        <v>66</v>
      </c>
      <c r="C86" t="s">
        <v>4013</v>
      </c>
      <c r="D86" t="s">
        <v>19041</v>
      </c>
      <c r="E86" t="s">
        <v>19211</v>
      </c>
      <c r="F86" t="s">
        <v>32831</v>
      </c>
      <c r="G86" t="s">
        <v>32839</v>
      </c>
      <c r="H86" t="s">
        <v>32849</v>
      </c>
      <c r="I86" t="s">
        <v>4177</v>
      </c>
      <c r="J86" t="s">
        <v>33051</v>
      </c>
      <c r="K86" t="s">
        <v>42754</v>
      </c>
      <c r="M86" t="s">
        <v>43063</v>
      </c>
      <c r="N86" t="s">
        <v>47424</v>
      </c>
      <c r="O86" t="s">
        <v>47425</v>
      </c>
      <c r="P86">
        <v>0</v>
      </c>
      <c r="Q86">
        <v>0</v>
      </c>
      <c r="R86" t="s">
        <v>47426</v>
      </c>
      <c r="S86" t="s">
        <v>47531</v>
      </c>
      <c r="T86" t="s">
        <v>49064</v>
      </c>
      <c r="U86" t="s">
        <v>49752</v>
      </c>
      <c r="W86" t="s">
        <v>43063</v>
      </c>
      <c r="X86" t="s">
        <v>47431</v>
      </c>
    </row>
    <row r="87" spans="1:24">
      <c r="A87">
        <f>HYPERLINK("https://www.philgeps.gov.ph/GEPSNONPILOT/Tender/SplashBidNoticeAbstractUI.aspx?menuIndex=3&amp;refID=7160153&amp;Result=3","7160153")</f>
        <v>0</v>
      </c>
      <c r="B87" t="s">
        <v>67</v>
      </c>
      <c r="C87" t="s">
        <v>4014</v>
      </c>
      <c r="E87" t="s">
        <v>19212</v>
      </c>
      <c r="F87" t="s">
        <v>32831</v>
      </c>
      <c r="G87" t="s">
        <v>32840</v>
      </c>
      <c r="H87" t="s">
        <v>32850</v>
      </c>
      <c r="I87" t="s">
        <v>32865</v>
      </c>
      <c r="J87" t="s">
        <v>33052</v>
      </c>
      <c r="K87" t="s">
        <v>42730</v>
      </c>
      <c r="M87" t="s">
        <v>43064</v>
      </c>
      <c r="N87" t="s">
        <v>47424</v>
      </c>
      <c r="O87" t="s">
        <v>47425</v>
      </c>
      <c r="P87">
        <v>0</v>
      </c>
      <c r="Q87">
        <v>0</v>
      </c>
      <c r="R87" t="s">
        <v>47426</v>
      </c>
      <c r="S87" t="s">
        <v>47531</v>
      </c>
      <c r="T87" t="s">
        <v>49091</v>
      </c>
      <c r="U87" t="s">
        <v>49753</v>
      </c>
      <c r="V87" t="s">
        <v>62632</v>
      </c>
      <c r="W87" t="s">
        <v>43064</v>
      </c>
      <c r="X87" t="s">
        <v>47431</v>
      </c>
    </row>
    <row r="88" spans="1:24">
      <c r="A88">
        <f>HYPERLINK("https://www.philgeps.gov.ph/GEPSNONPILOT/Tender/SplashBidNoticeAbstractUI.aspx?menuIndex=3&amp;refID=7160463&amp;Result=3","7160463")</f>
        <v>0</v>
      </c>
      <c r="B88" t="s">
        <v>68</v>
      </c>
      <c r="C88" t="s">
        <v>4015</v>
      </c>
      <c r="D88" t="s">
        <v>19045</v>
      </c>
      <c r="E88" t="s">
        <v>19213</v>
      </c>
      <c r="F88" t="s">
        <v>32831</v>
      </c>
      <c r="G88" t="s">
        <v>32839</v>
      </c>
      <c r="H88" t="s">
        <v>32849</v>
      </c>
      <c r="I88" t="s">
        <v>4177</v>
      </c>
      <c r="J88" t="s">
        <v>33053</v>
      </c>
      <c r="K88" t="s">
        <v>42730</v>
      </c>
      <c r="M88" t="s">
        <v>43065</v>
      </c>
      <c r="N88" t="s">
        <v>47424</v>
      </c>
      <c r="O88" t="s">
        <v>47425</v>
      </c>
      <c r="P88">
        <v>0</v>
      </c>
      <c r="Q88">
        <v>0</v>
      </c>
      <c r="R88" t="s">
        <v>47426</v>
      </c>
      <c r="S88" t="s">
        <v>47531</v>
      </c>
      <c r="T88" t="s">
        <v>49092</v>
      </c>
      <c r="U88" t="s">
        <v>49754</v>
      </c>
      <c r="W88" t="s">
        <v>43065</v>
      </c>
      <c r="X88" t="s">
        <v>47431</v>
      </c>
    </row>
    <row r="89" spans="1:24">
      <c r="A89">
        <f>HYPERLINK("https://www.philgeps.gov.ph/GEPSNONPILOT/Tender/SplashBidNoticeAbstractUI.aspx?menuIndex=3&amp;refID=7160388&amp;Result=3","7160388")</f>
        <v>0</v>
      </c>
      <c r="B89" t="s">
        <v>69</v>
      </c>
      <c r="C89" t="s">
        <v>4016</v>
      </c>
      <c r="D89" t="s">
        <v>19021</v>
      </c>
      <c r="E89" t="s">
        <v>19214</v>
      </c>
      <c r="F89" t="s">
        <v>32831</v>
      </c>
      <c r="G89" t="s">
        <v>32839</v>
      </c>
      <c r="H89" t="s">
        <v>32848</v>
      </c>
      <c r="I89" t="s">
        <v>9577</v>
      </c>
      <c r="J89" t="s">
        <v>33054</v>
      </c>
      <c r="K89" t="s">
        <v>42730</v>
      </c>
      <c r="L89" t="s">
        <v>69</v>
      </c>
      <c r="M89" t="s">
        <v>43066</v>
      </c>
      <c r="N89" t="s">
        <v>47424</v>
      </c>
      <c r="O89" t="s">
        <v>47425</v>
      </c>
      <c r="P89">
        <v>0</v>
      </c>
      <c r="Q89">
        <v>1</v>
      </c>
      <c r="R89" t="s">
        <v>47426</v>
      </c>
      <c r="S89" t="s">
        <v>47531</v>
      </c>
      <c r="T89" t="s">
        <v>49071</v>
      </c>
      <c r="U89" t="s">
        <v>49755</v>
      </c>
      <c r="W89" t="s">
        <v>43066</v>
      </c>
      <c r="X89" t="s">
        <v>47431</v>
      </c>
    </row>
    <row r="90" spans="1:24">
      <c r="A90">
        <f>HYPERLINK("https://www.philgeps.gov.ph/GEPSNONPILOT/Tender/SplashBidNoticeAbstractUI.aspx?menuIndex=3&amp;refID=7158254&amp;Result=3","7158254")</f>
        <v>0</v>
      </c>
      <c r="B90" t="s">
        <v>57</v>
      </c>
      <c r="C90" t="s">
        <v>4017</v>
      </c>
      <c r="E90" t="s">
        <v>19215</v>
      </c>
      <c r="F90" t="s">
        <v>32831</v>
      </c>
      <c r="G90" t="s">
        <v>32839</v>
      </c>
      <c r="H90" t="s">
        <v>32848</v>
      </c>
      <c r="I90" t="s">
        <v>8577</v>
      </c>
      <c r="J90" t="s">
        <v>32980</v>
      </c>
      <c r="K90" t="s">
        <v>42727</v>
      </c>
      <c r="M90" t="s">
        <v>43054</v>
      </c>
      <c r="N90" t="s">
        <v>47424</v>
      </c>
      <c r="O90" t="s">
        <v>47425</v>
      </c>
      <c r="P90">
        <v>0</v>
      </c>
      <c r="Q90">
        <v>0</v>
      </c>
      <c r="R90" t="s">
        <v>47426</v>
      </c>
      <c r="S90" t="s">
        <v>47531</v>
      </c>
      <c r="T90" t="s">
        <v>49093</v>
      </c>
      <c r="U90" t="s">
        <v>49756</v>
      </c>
      <c r="V90" t="s">
        <v>62633</v>
      </c>
      <c r="W90" t="s">
        <v>43054</v>
      </c>
      <c r="X90" t="s">
        <v>47432</v>
      </c>
    </row>
    <row r="91" spans="1:24">
      <c r="A91">
        <f>HYPERLINK("https://www.philgeps.gov.ph/GEPSNONPILOT/Tender/SplashBidNoticeAbstractUI.aspx?menuIndex=3&amp;refID=7160358&amp;Result=3","7160358")</f>
        <v>0</v>
      </c>
      <c r="B91" t="s">
        <v>70</v>
      </c>
      <c r="C91" t="s">
        <v>4018</v>
      </c>
      <c r="D91" t="s">
        <v>19037</v>
      </c>
      <c r="E91" t="s">
        <v>19216</v>
      </c>
      <c r="F91" t="s">
        <v>32831</v>
      </c>
      <c r="G91" t="s">
        <v>32839</v>
      </c>
      <c r="H91" t="s">
        <v>32848</v>
      </c>
      <c r="I91" t="s">
        <v>7751</v>
      </c>
      <c r="J91" t="s">
        <v>33055</v>
      </c>
      <c r="K91" t="s">
        <v>42730</v>
      </c>
      <c r="M91" t="s">
        <v>43067</v>
      </c>
      <c r="N91" t="s">
        <v>47424</v>
      </c>
      <c r="O91" t="s">
        <v>47425</v>
      </c>
      <c r="P91">
        <v>0</v>
      </c>
      <c r="Q91">
        <v>1</v>
      </c>
      <c r="R91" t="s">
        <v>47426</v>
      </c>
      <c r="S91" t="s">
        <v>47531</v>
      </c>
      <c r="T91" t="s">
        <v>49094</v>
      </c>
      <c r="U91" t="s">
        <v>49757</v>
      </c>
      <c r="W91" t="s">
        <v>43067</v>
      </c>
      <c r="X91" t="s">
        <v>47431</v>
      </c>
    </row>
    <row r="92" spans="1:24">
      <c r="A92">
        <f>HYPERLINK("https://www.philgeps.gov.ph/GEPSNONPILOT/Tender/SplashBidNoticeAbstractUI.aspx?menuIndex=3&amp;refID=7160277&amp;Result=3","7160277")</f>
        <v>0</v>
      </c>
      <c r="B92" t="s">
        <v>60</v>
      </c>
      <c r="C92" t="s">
        <v>4019</v>
      </c>
      <c r="D92" t="s">
        <v>19042</v>
      </c>
      <c r="E92" t="s">
        <v>19217</v>
      </c>
      <c r="F92" t="s">
        <v>32831</v>
      </c>
      <c r="G92" t="s">
        <v>32839</v>
      </c>
      <c r="H92" t="s">
        <v>32848</v>
      </c>
      <c r="I92" t="s">
        <v>4438</v>
      </c>
      <c r="J92" t="s">
        <v>33056</v>
      </c>
      <c r="K92" t="s">
        <v>42726</v>
      </c>
      <c r="M92" t="s">
        <v>43057</v>
      </c>
      <c r="N92" t="s">
        <v>47424</v>
      </c>
      <c r="O92" t="s">
        <v>47425</v>
      </c>
      <c r="P92">
        <v>0</v>
      </c>
      <c r="Q92">
        <v>2</v>
      </c>
      <c r="R92" t="s">
        <v>47426</v>
      </c>
      <c r="S92" t="s">
        <v>47531</v>
      </c>
      <c r="T92" t="s">
        <v>49087</v>
      </c>
      <c r="U92" t="s">
        <v>49758</v>
      </c>
      <c r="W92" t="s">
        <v>43057</v>
      </c>
      <c r="X92" t="s">
        <v>47431</v>
      </c>
    </row>
    <row r="93" spans="1:24">
      <c r="A93">
        <f>HYPERLINK("https://www.philgeps.gov.ph/GEPSNONPILOT/Tender/SplashBidNoticeAbstractUI.aspx?menuIndex=3&amp;refID=7160262&amp;Result=3","7160262")</f>
        <v>0</v>
      </c>
      <c r="B93" t="s">
        <v>60</v>
      </c>
      <c r="C93" t="s">
        <v>4020</v>
      </c>
      <c r="D93" t="s">
        <v>19042</v>
      </c>
      <c r="E93" t="s">
        <v>19218</v>
      </c>
      <c r="F93" t="s">
        <v>32831</v>
      </c>
      <c r="G93" t="s">
        <v>32839</v>
      </c>
      <c r="H93" t="s">
        <v>32848</v>
      </c>
      <c r="I93" t="s">
        <v>4438</v>
      </c>
      <c r="J93" t="s">
        <v>33057</v>
      </c>
      <c r="K93" t="s">
        <v>42726</v>
      </c>
      <c r="M93" t="s">
        <v>43057</v>
      </c>
      <c r="N93" t="s">
        <v>47424</v>
      </c>
      <c r="O93" t="s">
        <v>47425</v>
      </c>
      <c r="P93">
        <v>0</v>
      </c>
      <c r="Q93">
        <v>1</v>
      </c>
      <c r="R93" t="s">
        <v>47426</v>
      </c>
      <c r="S93" t="s">
        <v>47531</v>
      </c>
      <c r="T93" t="s">
        <v>49087</v>
      </c>
      <c r="U93" t="s">
        <v>49759</v>
      </c>
      <c r="W93" t="s">
        <v>43057</v>
      </c>
      <c r="X93" t="s">
        <v>47431</v>
      </c>
    </row>
    <row r="94" spans="1:24">
      <c r="A94">
        <f>HYPERLINK("https://www.philgeps.gov.ph/GEPSNONPILOT/Tender/SplashBidNoticeAbstractUI.aspx?menuIndex=3&amp;refID=7160260&amp;Result=3","7160260")</f>
        <v>0</v>
      </c>
      <c r="B94" t="s">
        <v>71</v>
      </c>
      <c r="C94" t="s">
        <v>4021</v>
      </c>
      <c r="D94" t="s">
        <v>19039</v>
      </c>
      <c r="E94" t="s">
        <v>19219</v>
      </c>
      <c r="F94" t="s">
        <v>32831</v>
      </c>
      <c r="G94" t="s">
        <v>32839</v>
      </c>
      <c r="H94" t="s">
        <v>32848</v>
      </c>
      <c r="I94" t="s">
        <v>7416</v>
      </c>
      <c r="J94" t="s">
        <v>33058</v>
      </c>
      <c r="K94" t="s">
        <v>42731</v>
      </c>
      <c r="M94" t="s">
        <v>43068</v>
      </c>
      <c r="N94" t="s">
        <v>47424</v>
      </c>
      <c r="O94" t="s">
        <v>47425</v>
      </c>
      <c r="P94">
        <v>0</v>
      </c>
      <c r="Q94">
        <v>0</v>
      </c>
      <c r="R94" t="s">
        <v>47426</v>
      </c>
      <c r="S94" t="s">
        <v>47531</v>
      </c>
      <c r="T94" t="s">
        <v>49090</v>
      </c>
      <c r="U94" t="s">
        <v>49760</v>
      </c>
      <c r="V94" t="s">
        <v>62631</v>
      </c>
      <c r="W94" t="s">
        <v>43068</v>
      </c>
      <c r="X94" t="s">
        <v>47431</v>
      </c>
    </row>
    <row r="95" spans="1:24">
      <c r="A95">
        <f>HYPERLINK("https://www.philgeps.gov.ph/GEPSNONPILOT/Tender/SplashBidNoticeAbstractUI.aspx?menuIndex=3&amp;refID=7159518&amp;Result=3","7159518")</f>
        <v>0</v>
      </c>
      <c r="B95" t="s">
        <v>48</v>
      </c>
      <c r="C95" t="s">
        <v>4022</v>
      </c>
      <c r="D95" t="s">
        <v>19036</v>
      </c>
      <c r="E95" t="s">
        <v>19220</v>
      </c>
      <c r="F95" t="s">
        <v>32831</v>
      </c>
      <c r="G95" t="s">
        <v>32841</v>
      </c>
      <c r="H95" t="s">
        <v>32849</v>
      </c>
      <c r="I95" t="s">
        <v>4177</v>
      </c>
      <c r="J95" t="s">
        <v>33059</v>
      </c>
      <c r="K95" t="s">
        <v>42755</v>
      </c>
      <c r="M95" t="s">
        <v>43045</v>
      </c>
      <c r="N95" t="s">
        <v>47424</v>
      </c>
      <c r="O95" t="s">
        <v>47425</v>
      </c>
      <c r="P95">
        <v>0</v>
      </c>
      <c r="Q95">
        <v>0</v>
      </c>
      <c r="R95" t="s">
        <v>47426</v>
      </c>
      <c r="S95" t="s">
        <v>47531</v>
      </c>
      <c r="T95" t="s">
        <v>49080</v>
      </c>
      <c r="U95" t="s">
        <v>49761</v>
      </c>
      <c r="W95" t="s">
        <v>43045</v>
      </c>
      <c r="X95" t="s">
        <v>47431</v>
      </c>
    </row>
    <row r="96" spans="1:24">
      <c r="A96">
        <f>HYPERLINK("https://www.philgeps.gov.ph/GEPSNONPILOT/Tender/SplashBidNoticeAbstractUI.aspx?menuIndex=3&amp;refID=7159562&amp;Result=3","7159562")</f>
        <v>0</v>
      </c>
      <c r="B96" t="s">
        <v>48</v>
      </c>
      <c r="C96" t="s">
        <v>4023</v>
      </c>
      <c r="D96" t="s">
        <v>19036</v>
      </c>
      <c r="E96" t="s">
        <v>19221</v>
      </c>
      <c r="F96" t="s">
        <v>32831</v>
      </c>
      <c r="G96" t="s">
        <v>32841</v>
      </c>
      <c r="H96" t="s">
        <v>32849</v>
      </c>
      <c r="I96" t="s">
        <v>4177</v>
      </c>
      <c r="J96" t="s">
        <v>33060</v>
      </c>
      <c r="K96" t="s">
        <v>42756</v>
      </c>
      <c r="M96" t="s">
        <v>43045</v>
      </c>
      <c r="N96" t="s">
        <v>47424</v>
      </c>
      <c r="O96" t="s">
        <v>47425</v>
      </c>
      <c r="P96">
        <v>0</v>
      </c>
      <c r="Q96">
        <v>0</v>
      </c>
      <c r="R96" t="s">
        <v>47426</v>
      </c>
      <c r="S96" t="s">
        <v>47531</v>
      </c>
      <c r="T96" t="s">
        <v>49080</v>
      </c>
      <c r="U96" t="s">
        <v>49762</v>
      </c>
      <c r="W96" t="s">
        <v>43045</v>
      </c>
      <c r="X96" t="s">
        <v>47431</v>
      </c>
    </row>
    <row r="97" spans="1:24">
      <c r="A97">
        <f>HYPERLINK("https://www.philgeps.gov.ph/GEPSNONPILOT/Tender/SplashBidNoticeAbstractUI.aspx?menuIndex=3&amp;refID=7160598&amp;Result=3","7160598")</f>
        <v>0</v>
      </c>
      <c r="B97" t="s">
        <v>72</v>
      </c>
      <c r="C97" t="s">
        <v>4024</v>
      </c>
      <c r="D97" t="s">
        <v>19027</v>
      </c>
      <c r="E97" t="s">
        <v>19222</v>
      </c>
      <c r="F97" t="s">
        <v>32831</v>
      </c>
      <c r="G97" t="s">
        <v>32839</v>
      </c>
      <c r="H97" t="s">
        <v>32848</v>
      </c>
      <c r="I97" t="s">
        <v>9577</v>
      </c>
      <c r="J97" t="s">
        <v>33061</v>
      </c>
      <c r="K97" t="s">
        <v>42745</v>
      </c>
      <c r="M97" t="s">
        <v>43069</v>
      </c>
      <c r="N97" t="s">
        <v>47424</v>
      </c>
      <c r="O97" t="s">
        <v>47425</v>
      </c>
      <c r="P97">
        <v>0</v>
      </c>
      <c r="Q97">
        <v>1</v>
      </c>
      <c r="R97" t="s">
        <v>47426</v>
      </c>
      <c r="S97" t="s">
        <v>47531</v>
      </c>
      <c r="T97" t="s">
        <v>49087</v>
      </c>
      <c r="U97" t="s">
        <v>49763</v>
      </c>
      <c r="W97" t="s">
        <v>64429</v>
      </c>
      <c r="X97" t="s">
        <v>47431</v>
      </c>
    </row>
    <row r="98" spans="1:24">
      <c r="A98">
        <f>HYPERLINK("https://www.philgeps.gov.ph/GEPSNONPILOT/Tender/SplashBidNoticeAbstractUI.aspx?menuIndex=3&amp;refID=7157339&amp;Result=3","7157339")</f>
        <v>0</v>
      </c>
      <c r="B98" t="s">
        <v>45</v>
      </c>
      <c r="C98" t="s">
        <v>4025</v>
      </c>
      <c r="D98" t="s">
        <v>19034</v>
      </c>
      <c r="E98" t="s">
        <v>19178</v>
      </c>
      <c r="F98" t="s">
        <v>32831</v>
      </c>
      <c r="G98" t="s">
        <v>32839</v>
      </c>
      <c r="H98" t="s">
        <v>32848</v>
      </c>
      <c r="I98" t="s">
        <v>7416</v>
      </c>
      <c r="J98" t="s">
        <v>33062</v>
      </c>
      <c r="K98" t="s">
        <v>42745</v>
      </c>
      <c r="M98" t="s">
        <v>43042</v>
      </c>
      <c r="N98" t="s">
        <v>47424</v>
      </c>
      <c r="O98" t="s">
        <v>47425</v>
      </c>
      <c r="P98">
        <v>0</v>
      </c>
      <c r="Q98">
        <v>1</v>
      </c>
      <c r="R98" t="s">
        <v>47426</v>
      </c>
      <c r="S98" t="s">
        <v>47531</v>
      </c>
      <c r="T98" t="s">
        <v>49077</v>
      </c>
      <c r="U98" t="s">
        <v>49764</v>
      </c>
      <c r="W98" t="s">
        <v>43042</v>
      </c>
      <c r="X98" t="s">
        <v>47432</v>
      </c>
    </row>
    <row r="99" spans="1:24">
      <c r="A99">
        <f>HYPERLINK("https://www.philgeps.gov.ph/GEPSNONPILOT/Tender/SplashBidNoticeAbstractUI.aspx?menuIndex=3&amp;refID=7160913&amp;Result=3","7160913")</f>
        <v>0</v>
      </c>
      <c r="B99" t="s">
        <v>72</v>
      </c>
      <c r="C99" t="s">
        <v>4026</v>
      </c>
      <c r="D99" t="s">
        <v>19027</v>
      </c>
      <c r="E99" t="s">
        <v>19223</v>
      </c>
      <c r="F99" t="s">
        <v>32831</v>
      </c>
      <c r="G99" t="s">
        <v>32839</v>
      </c>
      <c r="H99" t="s">
        <v>32848</v>
      </c>
      <c r="I99" t="s">
        <v>32866</v>
      </c>
      <c r="J99" t="s">
        <v>33063</v>
      </c>
      <c r="K99" t="s">
        <v>42745</v>
      </c>
      <c r="M99" t="s">
        <v>43069</v>
      </c>
      <c r="N99" t="s">
        <v>47424</v>
      </c>
      <c r="O99" t="s">
        <v>47425</v>
      </c>
      <c r="P99">
        <v>0</v>
      </c>
      <c r="Q99">
        <v>0</v>
      </c>
      <c r="R99" t="s">
        <v>47426</v>
      </c>
      <c r="S99" t="s">
        <v>47531</v>
      </c>
      <c r="T99" t="s">
        <v>49087</v>
      </c>
      <c r="U99" t="s">
        <v>49763</v>
      </c>
      <c r="W99" t="s">
        <v>64429</v>
      </c>
      <c r="X99" t="s">
        <v>47431</v>
      </c>
    </row>
    <row r="100" spans="1:24">
      <c r="A100">
        <f>HYPERLINK("https://www.philgeps.gov.ph/GEPSNONPILOT/Tender/SplashBidNoticeAbstractUI.aspx?menuIndex=3&amp;refID=7160872&amp;Result=3","7160872")</f>
        <v>0</v>
      </c>
      <c r="B100" t="s">
        <v>73</v>
      </c>
      <c r="C100" t="s">
        <v>4027</v>
      </c>
      <c r="D100" t="s">
        <v>19044</v>
      </c>
      <c r="E100" t="s">
        <v>19224</v>
      </c>
      <c r="F100" t="s">
        <v>32831</v>
      </c>
      <c r="G100" t="s">
        <v>32839</v>
      </c>
      <c r="H100" t="s">
        <v>32849</v>
      </c>
      <c r="I100" t="s">
        <v>4177</v>
      </c>
      <c r="J100" t="s">
        <v>32978</v>
      </c>
      <c r="K100" t="s">
        <v>42747</v>
      </c>
      <c r="M100" t="s">
        <v>43070</v>
      </c>
      <c r="N100" t="s">
        <v>47424</v>
      </c>
      <c r="O100" t="s">
        <v>47425</v>
      </c>
      <c r="P100">
        <v>0</v>
      </c>
      <c r="Q100">
        <v>0</v>
      </c>
      <c r="R100" t="s">
        <v>47426</v>
      </c>
      <c r="S100" t="s">
        <v>47531</v>
      </c>
      <c r="T100" t="s">
        <v>49095</v>
      </c>
      <c r="U100" t="s">
        <v>49765</v>
      </c>
      <c r="V100" t="s">
        <v>49765</v>
      </c>
      <c r="W100" t="s">
        <v>43070</v>
      </c>
      <c r="X100" t="s">
        <v>47431</v>
      </c>
    </row>
    <row r="101" spans="1:24">
      <c r="A101">
        <f>HYPERLINK("https://www.philgeps.gov.ph/GEPSNONPILOT/Tender/SplashBidNoticeAbstractUI.aspx?menuIndex=3&amp;refID=7159566&amp;Result=3","7159566")</f>
        <v>0</v>
      </c>
      <c r="B101" t="s">
        <v>74</v>
      </c>
      <c r="C101" t="s">
        <v>4028</v>
      </c>
      <c r="D101" t="s">
        <v>19033</v>
      </c>
      <c r="E101" t="s">
        <v>19225</v>
      </c>
      <c r="F101" t="s">
        <v>32831</v>
      </c>
      <c r="G101" t="s">
        <v>32838</v>
      </c>
      <c r="H101" t="s">
        <v>32848</v>
      </c>
      <c r="I101" t="s">
        <v>32855</v>
      </c>
      <c r="J101" t="s">
        <v>33064</v>
      </c>
      <c r="K101" t="s">
        <v>42727</v>
      </c>
      <c r="M101" t="s">
        <v>43071</v>
      </c>
      <c r="N101" t="s">
        <v>47424</v>
      </c>
      <c r="O101" t="s">
        <v>47425</v>
      </c>
      <c r="P101">
        <v>0</v>
      </c>
      <c r="Q101">
        <v>7</v>
      </c>
      <c r="R101" t="s">
        <v>47426</v>
      </c>
      <c r="S101" t="s">
        <v>47531</v>
      </c>
      <c r="T101" t="s">
        <v>49096</v>
      </c>
      <c r="U101" t="s">
        <v>49766</v>
      </c>
      <c r="V101" t="s">
        <v>62634</v>
      </c>
      <c r="W101" t="s">
        <v>43071</v>
      </c>
      <c r="X101" t="s">
        <v>47431</v>
      </c>
    </row>
    <row r="102" spans="1:24">
      <c r="A102">
        <f>HYPERLINK("https://www.philgeps.gov.ph/GEPSNONPILOT/Tender/SplashBidNoticeAbstractUI.aspx?menuIndex=3&amp;refID=7160870&amp;Result=3","7160870")</f>
        <v>0</v>
      </c>
      <c r="B102" t="s">
        <v>72</v>
      </c>
      <c r="C102" t="s">
        <v>4029</v>
      </c>
      <c r="D102" t="s">
        <v>19027</v>
      </c>
      <c r="E102" t="s">
        <v>19226</v>
      </c>
      <c r="F102" t="s">
        <v>32831</v>
      </c>
      <c r="G102" t="s">
        <v>32839</v>
      </c>
      <c r="H102" t="s">
        <v>32848</v>
      </c>
      <c r="I102" t="s">
        <v>9577</v>
      </c>
      <c r="J102" t="s">
        <v>33065</v>
      </c>
      <c r="K102" t="s">
        <v>42745</v>
      </c>
      <c r="M102" t="s">
        <v>43069</v>
      </c>
      <c r="N102" t="s">
        <v>47424</v>
      </c>
      <c r="O102" t="s">
        <v>47425</v>
      </c>
      <c r="P102">
        <v>0</v>
      </c>
      <c r="Q102">
        <v>1</v>
      </c>
      <c r="R102" t="s">
        <v>47426</v>
      </c>
      <c r="S102" t="s">
        <v>47531</v>
      </c>
      <c r="T102" t="s">
        <v>49087</v>
      </c>
      <c r="U102" t="s">
        <v>49763</v>
      </c>
      <c r="W102" t="s">
        <v>64429</v>
      </c>
      <c r="X102" t="s">
        <v>47431</v>
      </c>
    </row>
    <row r="103" spans="1:24">
      <c r="A103">
        <f>HYPERLINK("https://www.philgeps.gov.ph/GEPSNONPILOT/Tender/SplashBidNoticeAbstractUI.aspx?menuIndex=3&amp;refID=7160437&amp;Result=3","7160437")</f>
        <v>0</v>
      </c>
      <c r="B103" t="s">
        <v>75</v>
      </c>
      <c r="C103" t="s">
        <v>4030</v>
      </c>
      <c r="D103" t="s">
        <v>19046</v>
      </c>
      <c r="E103" t="s">
        <v>19227</v>
      </c>
      <c r="F103" t="s">
        <v>32831</v>
      </c>
      <c r="G103" t="s">
        <v>32839</v>
      </c>
      <c r="H103" t="s">
        <v>32849</v>
      </c>
      <c r="I103" t="s">
        <v>4177</v>
      </c>
      <c r="J103" t="s">
        <v>33066</v>
      </c>
      <c r="K103" t="s">
        <v>42757</v>
      </c>
      <c r="M103" t="s">
        <v>43072</v>
      </c>
      <c r="N103" t="s">
        <v>47424</v>
      </c>
      <c r="O103" t="s">
        <v>47425</v>
      </c>
      <c r="P103">
        <v>0</v>
      </c>
      <c r="Q103">
        <v>2</v>
      </c>
      <c r="R103" t="s">
        <v>47426</v>
      </c>
      <c r="S103" t="s">
        <v>47531</v>
      </c>
      <c r="T103" t="s">
        <v>49086</v>
      </c>
      <c r="U103" t="s">
        <v>49767</v>
      </c>
      <c r="W103" t="s">
        <v>43072</v>
      </c>
      <c r="X103" t="s">
        <v>47431</v>
      </c>
    </row>
    <row r="104" spans="1:24">
      <c r="A104">
        <f>HYPERLINK("https://www.philgeps.gov.ph/GEPSNONPILOT/Tender/SplashBidNoticeAbstractUI.aspx?menuIndex=3&amp;refID=7161096&amp;Result=3","7161096")</f>
        <v>0</v>
      </c>
      <c r="B104" t="s">
        <v>76</v>
      </c>
      <c r="C104" t="s">
        <v>4031</v>
      </c>
      <c r="D104" t="s">
        <v>19047</v>
      </c>
      <c r="E104" t="s">
        <v>19228</v>
      </c>
      <c r="F104" t="s">
        <v>32831</v>
      </c>
      <c r="G104" t="s">
        <v>32839</v>
      </c>
      <c r="H104" t="s">
        <v>32848</v>
      </c>
      <c r="I104" t="s">
        <v>4776</v>
      </c>
      <c r="J104" t="s">
        <v>33067</v>
      </c>
      <c r="K104" t="s">
        <v>42727</v>
      </c>
      <c r="M104" t="s">
        <v>43073</v>
      </c>
      <c r="N104" t="s">
        <v>47424</v>
      </c>
      <c r="O104" t="s">
        <v>47425</v>
      </c>
      <c r="P104">
        <v>0</v>
      </c>
      <c r="Q104">
        <v>2</v>
      </c>
      <c r="R104" t="s">
        <v>47426</v>
      </c>
      <c r="S104" t="s">
        <v>47531</v>
      </c>
      <c r="T104" t="s">
        <v>49063</v>
      </c>
      <c r="U104" t="s">
        <v>49768</v>
      </c>
      <c r="V104" t="s">
        <v>62635</v>
      </c>
      <c r="W104" t="s">
        <v>43073</v>
      </c>
      <c r="X104" t="s">
        <v>47431</v>
      </c>
    </row>
    <row r="105" spans="1:24">
      <c r="A105">
        <f>HYPERLINK("https://www.philgeps.gov.ph/GEPSNONPILOT/Tender/SplashBidNoticeAbstractUI.aspx?menuIndex=3&amp;refID=7160940&amp;Result=3","7160940")</f>
        <v>0</v>
      </c>
      <c r="B105" t="s">
        <v>77</v>
      </c>
      <c r="C105" t="s">
        <v>4032</v>
      </c>
      <c r="D105" t="s">
        <v>19042</v>
      </c>
      <c r="E105" t="s">
        <v>19229</v>
      </c>
      <c r="F105" t="s">
        <v>32831</v>
      </c>
      <c r="G105" t="s">
        <v>32839</v>
      </c>
      <c r="H105" t="s">
        <v>32848</v>
      </c>
      <c r="I105" t="s">
        <v>7416</v>
      </c>
      <c r="J105" t="s">
        <v>33068</v>
      </c>
      <c r="K105" t="s">
        <v>42747</v>
      </c>
      <c r="M105" t="s">
        <v>43074</v>
      </c>
      <c r="N105" t="s">
        <v>47424</v>
      </c>
      <c r="O105" t="s">
        <v>47425</v>
      </c>
      <c r="P105">
        <v>0</v>
      </c>
      <c r="Q105">
        <v>0</v>
      </c>
      <c r="R105" t="s">
        <v>47426</v>
      </c>
      <c r="S105" t="s">
        <v>47531</v>
      </c>
      <c r="T105" t="s">
        <v>49097</v>
      </c>
      <c r="U105" t="s">
        <v>49769</v>
      </c>
      <c r="W105" t="s">
        <v>64430</v>
      </c>
      <c r="X105" t="s">
        <v>47431</v>
      </c>
    </row>
    <row r="106" spans="1:24">
      <c r="A106">
        <f>HYPERLINK("https://www.philgeps.gov.ph/GEPSNONPILOT/Tender/SplashBidNoticeAbstractUI.aspx?menuIndex=3&amp;refID=7161022&amp;Result=3","7161022")</f>
        <v>0</v>
      </c>
      <c r="B106" t="s">
        <v>72</v>
      </c>
      <c r="C106" t="s">
        <v>4033</v>
      </c>
      <c r="D106" t="s">
        <v>19027</v>
      </c>
      <c r="E106" t="s">
        <v>19230</v>
      </c>
      <c r="F106" t="s">
        <v>32831</v>
      </c>
      <c r="G106" t="s">
        <v>32839</v>
      </c>
      <c r="H106" t="s">
        <v>32848</v>
      </c>
      <c r="I106" t="s">
        <v>9577</v>
      </c>
      <c r="J106" t="s">
        <v>33069</v>
      </c>
      <c r="K106" t="s">
        <v>42745</v>
      </c>
      <c r="M106" t="s">
        <v>43069</v>
      </c>
      <c r="N106" t="s">
        <v>47424</v>
      </c>
      <c r="O106" t="s">
        <v>47425</v>
      </c>
      <c r="P106">
        <v>0</v>
      </c>
      <c r="Q106">
        <v>0</v>
      </c>
      <c r="R106" t="s">
        <v>47426</v>
      </c>
      <c r="S106" t="s">
        <v>47531</v>
      </c>
      <c r="T106" t="s">
        <v>49087</v>
      </c>
      <c r="U106" t="s">
        <v>49763</v>
      </c>
      <c r="W106" t="s">
        <v>64429</v>
      </c>
      <c r="X106" t="s">
        <v>47431</v>
      </c>
    </row>
    <row r="107" spans="1:24">
      <c r="A107">
        <f>HYPERLINK("https://www.philgeps.gov.ph/GEPSNONPILOT/Tender/SplashBidNoticeAbstractUI.aspx?menuIndex=3&amp;refID=7160275&amp;Result=3","7160275")</f>
        <v>0</v>
      </c>
      <c r="B107" t="s">
        <v>78</v>
      </c>
      <c r="C107" t="s">
        <v>4034</v>
      </c>
      <c r="D107" t="s">
        <v>19023</v>
      </c>
      <c r="E107" t="s">
        <v>19231</v>
      </c>
      <c r="F107" t="s">
        <v>32831</v>
      </c>
      <c r="G107" t="s">
        <v>32839</v>
      </c>
      <c r="H107" t="s">
        <v>14069</v>
      </c>
      <c r="I107" t="s">
        <v>14069</v>
      </c>
      <c r="J107" t="s">
        <v>33070</v>
      </c>
      <c r="K107" t="s">
        <v>42730</v>
      </c>
      <c r="M107" t="s">
        <v>43075</v>
      </c>
      <c r="N107" t="s">
        <v>47424</v>
      </c>
      <c r="O107" t="s">
        <v>47425</v>
      </c>
      <c r="P107">
        <v>0</v>
      </c>
      <c r="Q107">
        <v>3</v>
      </c>
      <c r="R107" t="s">
        <v>47426</v>
      </c>
      <c r="S107" t="s">
        <v>47531</v>
      </c>
      <c r="T107" t="s">
        <v>49098</v>
      </c>
      <c r="U107" t="s">
        <v>49770</v>
      </c>
      <c r="W107" t="s">
        <v>43075</v>
      </c>
      <c r="X107" t="s">
        <v>47431</v>
      </c>
    </row>
    <row r="108" spans="1:24">
      <c r="A108">
        <f>HYPERLINK("https://www.philgeps.gov.ph/GEPSNONPILOT/Tender/SplashBidNoticeAbstractUI.aspx?menuIndex=3&amp;refID=7160958&amp;Result=3","7160958")</f>
        <v>0</v>
      </c>
      <c r="B108" t="s">
        <v>77</v>
      </c>
      <c r="C108" t="s">
        <v>4035</v>
      </c>
      <c r="D108" t="s">
        <v>19042</v>
      </c>
      <c r="E108" t="s">
        <v>19232</v>
      </c>
      <c r="F108" t="s">
        <v>32831</v>
      </c>
      <c r="G108" t="s">
        <v>32839</v>
      </c>
      <c r="H108" t="s">
        <v>32848</v>
      </c>
      <c r="I108" t="s">
        <v>32867</v>
      </c>
      <c r="J108" t="s">
        <v>33071</v>
      </c>
      <c r="K108" t="s">
        <v>42730</v>
      </c>
      <c r="M108" t="s">
        <v>43074</v>
      </c>
      <c r="N108" t="s">
        <v>47424</v>
      </c>
      <c r="O108" t="s">
        <v>47425</v>
      </c>
      <c r="P108">
        <v>0</v>
      </c>
      <c r="Q108">
        <v>2</v>
      </c>
      <c r="R108" t="s">
        <v>47426</v>
      </c>
      <c r="S108" t="s">
        <v>47531</v>
      </c>
      <c r="T108" t="s">
        <v>49099</v>
      </c>
      <c r="U108" t="s">
        <v>49771</v>
      </c>
      <c r="W108" t="s">
        <v>64430</v>
      </c>
      <c r="X108" t="s">
        <v>47431</v>
      </c>
    </row>
    <row r="109" spans="1:24">
      <c r="A109">
        <f>HYPERLINK("https://www.philgeps.gov.ph/GEPSNONPILOT/Tender/SplashBidNoticeAbstractUI.aspx?menuIndex=3&amp;refID=7160813&amp;Result=3","7160813")</f>
        <v>0</v>
      </c>
      <c r="B109" t="s">
        <v>73</v>
      </c>
      <c r="C109" t="s">
        <v>4036</v>
      </c>
      <c r="D109" t="s">
        <v>19044</v>
      </c>
      <c r="E109" t="s">
        <v>19233</v>
      </c>
      <c r="F109" t="s">
        <v>32831</v>
      </c>
      <c r="G109" t="s">
        <v>32839</v>
      </c>
      <c r="H109" t="s">
        <v>32849</v>
      </c>
      <c r="I109" t="s">
        <v>4177</v>
      </c>
      <c r="J109" t="s">
        <v>33072</v>
      </c>
      <c r="K109" t="s">
        <v>42747</v>
      </c>
      <c r="M109" t="s">
        <v>43070</v>
      </c>
      <c r="N109" t="s">
        <v>47424</v>
      </c>
      <c r="O109" t="s">
        <v>47425</v>
      </c>
      <c r="P109">
        <v>0</v>
      </c>
      <c r="Q109">
        <v>0</v>
      </c>
      <c r="R109" t="s">
        <v>47426</v>
      </c>
      <c r="S109" t="s">
        <v>47531</v>
      </c>
      <c r="T109" t="s">
        <v>49095</v>
      </c>
      <c r="U109" t="s">
        <v>49765</v>
      </c>
      <c r="V109" t="s">
        <v>49765</v>
      </c>
      <c r="W109" t="s">
        <v>43070</v>
      </c>
      <c r="X109" t="s">
        <v>47431</v>
      </c>
    </row>
    <row r="110" spans="1:24">
      <c r="A110">
        <f>HYPERLINK("https://www.philgeps.gov.ph/GEPSNONPILOT/Tender/SplashBidNoticeAbstractUI.aspx?menuIndex=3&amp;refID=7160709&amp;Result=3","7160709")</f>
        <v>0</v>
      </c>
      <c r="B110" t="s">
        <v>79</v>
      </c>
      <c r="C110" t="s">
        <v>4037</v>
      </c>
      <c r="D110" t="s">
        <v>19017</v>
      </c>
      <c r="E110" t="s">
        <v>19234</v>
      </c>
      <c r="F110" t="s">
        <v>32831</v>
      </c>
      <c r="G110" t="s">
        <v>32838</v>
      </c>
      <c r="H110" t="s">
        <v>32848</v>
      </c>
      <c r="I110" t="s">
        <v>7819</v>
      </c>
      <c r="J110" t="s">
        <v>33073</v>
      </c>
      <c r="K110" t="s">
        <v>42726</v>
      </c>
      <c r="M110" t="s">
        <v>43076</v>
      </c>
      <c r="N110" t="s">
        <v>47424</v>
      </c>
      <c r="O110" t="s">
        <v>47425</v>
      </c>
      <c r="P110">
        <v>0</v>
      </c>
      <c r="Q110">
        <v>1</v>
      </c>
      <c r="R110" t="s">
        <v>47426</v>
      </c>
      <c r="S110" t="s">
        <v>47531</v>
      </c>
      <c r="T110" t="s">
        <v>49100</v>
      </c>
      <c r="U110" t="s">
        <v>49772</v>
      </c>
      <c r="V110" t="s">
        <v>62636</v>
      </c>
      <c r="W110" t="s">
        <v>43076</v>
      </c>
      <c r="X110" t="s">
        <v>47431</v>
      </c>
    </row>
    <row r="111" spans="1:24">
      <c r="A111">
        <f>HYPERLINK("https://www.philgeps.gov.ph/GEPSNONPILOT/Tender/SplashBidNoticeAbstractUI.aspx?menuIndex=3&amp;refID=7160687&amp;Result=3","7160687")</f>
        <v>0</v>
      </c>
      <c r="B111" t="s">
        <v>72</v>
      </c>
      <c r="C111" t="s">
        <v>4038</v>
      </c>
      <c r="D111" t="s">
        <v>19027</v>
      </c>
      <c r="E111" t="s">
        <v>19235</v>
      </c>
      <c r="F111" t="s">
        <v>32831</v>
      </c>
      <c r="G111" t="s">
        <v>32839</v>
      </c>
      <c r="H111" t="s">
        <v>32848</v>
      </c>
      <c r="I111" t="s">
        <v>4177</v>
      </c>
      <c r="J111" t="s">
        <v>33074</v>
      </c>
      <c r="K111" t="s">
        <v>42745</v>
      </c>
      <c r="M111" t="s">
        <v>43069</v>
      </c>
      <c r="N111" t="s">
        <v>47424</v>
      </c>
      <c r="O111" t="s">
        <v>47425</v>
      </c>
      <c r="P111">
        <v>0</v>
      </c>
      <c r="Q111">
        <v>1</v>
      </c>
      <c r="R111" t="s">
        <v>47426</v>
      </c>
      <c r="S111" t="s">
        <v>47531</v>
      </c>
      <c r="T111" t="s">
        <v>49087</v>
      </c>
      <c r="U111" t="s">
        <v>49763</v>
      </c>
      <c r="W111" t="s">
        <v>64429</v>
      </c>
      <c r="X111" t="s">
        <v>47431</v>
      </c>
    </row>
    <row r="112" spans="1:24">
      <c r="A112">
        <f>HYPERLINK("https://www.philgeps.gov.ph/GEPSNONPILOT/Tender/SplashBidNoticeAbstractUI.aspx?menuIndex=3&amp;refID=7160640&amp;Result=3","7160640")</f>
        <v>0</v>
      </c>
      <c r="B112" t="s">
        <v>72</v>
      </c>
      <c r="C112" t="s">
        <v>4039</v>
      </c>
      <c r="D112" t="s">
        <v>19027</v>
      </c>
      <c r="E112" t="s">
        <v>19236</v>
      </c>
      <c r="F112" t="s">
        <v>32831</v>
      </c>
      <c r="G112" t="s">
        <v>32839</v>
      </c>
      <c r="H112" t="s">
        <v>32848</v>
      </c>
      <c r="I112" t="s">
        <v>4340</v>
      </c>
      <c r="J112" t="s">
        <v>33075</v>
      </c>
      <c r="K112" t="s">
        <v>42745</v>
      </c>
      <c r="M112" t="s">
        <v>43069</v>
      </c>
      <c r="N112" t="s">
        <v>47424</v>
      </c>
      <c r="O112" t="s">
        <v>47425</v>
      </c>
      <c r="P112">
        <v>0</v>
      </c>
      <c r="Q112">
        <v>0</v>
      </c>
      <c r="R112" t="s">
        <v>47426</v>
      </c>
      <c r="S112" t="s">
        <v>47531</v>
      </c>
      <c r="T112" t="s">
        <v>49087</v>
      </c>
      <c r="U112" t="s">
        <v>49763</v>
      </c>
      <c r="W112" t="s">
        <v>64429</v>
      </c>
      <c r="X112" t="s">
        <v>47431</v>
      </c>
    </row>
    <row r="113" spans="1:24">
      <c r="A113">
        <f>HYPERLINK("https://www.philgeps.gov.ph/GEPSNONPILOT/Tender/SplashBidNoticeAbstractUI.aspx?menuIndex=3&amp;refID=7159343&amp;Result=3","7159343")</f>
        <v>0</v>
      </c>
      <c r="B113" t="s">
        <v>80</v>
      </c>
      <c r="C113" t="s">
        <v>4040</v>
      </c>
      <c r="D113" t="s">
        <v>19048</v>
      </c>
      <c r="E113" t="s">
        <v>19237</v>
      </c>
      <c r="F113" t="s">
        <v>32831</v>
      </c>
      <c r="G113" t="s">
        <v>32839</v>
      </c>
      <c r="H113" t="s">
        <v>32849</v>
      </c>
      <c r="I113" t="s">
        <v>4177</v>
      </c>
      <c r="J113" t="s">
        <v>33076</v>
      </c>
      <c r="K113" t="s">
        <v>42746</v>
      </c>
      <c r="M113" t="s">
        <v>43077</v>
      </c>
      <c r="N113" t="s">
        <v>47424</v>
      </c>
      <c r="O113" t="s">
        <v>47425</v>
      </c>
      <c r="P113">
        <v>0</v>
      </c>
      <c r="Q113">
        <v>0</v>
      </c>
      <c r="R113" t="s">
        <v>47426</v>
      </c>
      <c r="S113" t="s">
        <v>47531</v>
      </c>
      <c r="T113" t="s">
        <v>49071</v>
      </c>
      <c r="U113" t="s">
        <v>49773</v>
      </c>
      <c r="W113" t="s">
        <v>43077</v>
      </c>
      <c r="X113" t="s">
        <v>47431</v>
      </c>
    </row>
    <row r="114" spans="1:24">
      <c r="A114">
        <f>HYPERLINK("https://www.philgeps.gov.ph/GEPSNONPILOT/Tender/SplashBidNoticeAbstractUI.aspx?menuIndex=3&amp;refID=7160623&amp;Result=3","7160623")</f>
        <v>0</v>
      </c>
      <c r="B114" t="s">
        <v>67</v>
      </c>
      <c r="C114" t="s">
        <v>4014</v>
      </c>
      <c r="E114" t="s">
        <v>19238</v>
      </c>
      <c r="F114" t="s">
        <v>32831</v>
      </c>
      <c r="G114" t="s">
        <v>32840</v>
      </c>
      <c r="H114" t="s">
        <v>32850</v>
      </c>
      <c r="I114" t="s">
        <v>32865</v>
      </c>
      <c r="J114" t="s">
        <v>33077</v>
      </c>
      <c r="K114" t="s">
        <v>42730</v>
      </c>
      <c r="M114" t="s">
        <v>43064</v>
      </c>
      <c r="N114" t="s">
        <v>47424</v>
      </c>
      <c r="O114" t="s">
        <v>47425</v>
      </c>
      <c r="P114">
        <v>0</v>
      </c>
      <c r="Q114">
        <v>0</v>
      </c>
      <c r="R114" t="s">
        <v>47426</v>
      </c>
      <c r="S114" t="s">
        <v>47531</v>
      </c>
      <c r="T114" t="s">
        <v>49091</v>
      </c>
      <c r="U114" t="s">
        <v>49774</v>
      </c>
      <c r="V114" t="s">
        <v>62637</v>
      </c>
      <c r="W114" t="s">
        <v>43064</v>
      </c>
      <c r="X114" t="s">
        <v>47431</v>
      </c>
    </row>
    <row r="115" spans="1:24">
      <c r="A115">
        <f>HYPERLINK("https://www.philgeps.gov.ph/GEPSNONPILOT/Tender/SplashBidNoticeAbstractUI.aspx?menuIndex=3&amp;refID=7161137&amp;Result=3","7161137")</f>
        <v>0</v>
      </c>
      <c r="B115" t="s">
        <v>81</v>
      </c>
      <c r="C115" t="s">
        <v>4041</v>
      </c>
      <c r="D115" t="s">
        <v>19023</v>
      </c>
      <c r="E115" t="s">
        <v>19239</v>
      </c>
      <c r="F115" t="s">
        <v>32831</v>
      </c>
      <c r="G115" t="s">
        <v>32843</v>
      </c>
      <c r="H115" t="s">
        <v>32848</v>
      </c>
      <c r="I115" t="s">
        <v>7416</v>
      </c>
      <c r="J115" t="s">
        <v>33078</v>
      </c>
      <c r="K115" t="s">
        <v>42732</v>
      </c>
      <c r="M115" t="s">
        <v>43078</v>
      </c>
      <c r="N115" t="s">
        <v>47424</v>
      </c>
      <c r="O115" t="s">
        <v>47425</v>
      </c>
      <c r="P115">
        <v>0</v>
      </c>
      <c r="Q115">
        <v>0</v>
      </c>
      <c r="R115" t="s">
        <v>47426</v>
      </c>
      <c r="S115" t="s">
        <v>47531</v>
      </c>
      <c r="T115" t="s">
        <v>49100</v>
      </c>
      <c r="U115" t="s">
        <v>49775</v>
      </c>
      <c r="W115" t="s">
        <v>43078</v>
      </c>
      <c r="X115" t="s">
        <v>47431</v>
      </c>
    </row>
    <row r="116" spans="1:24">
      <c r="A116">
        <f>HYPERLINK("https://www.philgeps.gov.ph/GEPSNONPILOT/Tender/SplashBidNoticeAbstractUI.aspx?menuIndex=3&amp;refID=7160993&amp;Result=3","7160993")</f>
        <v>0</v>
      </c>
      <c r="B116" t="s">
        <v>72</v>
      </c>
      <c r="C116" t="s">
        <v>4042</v>
      </c>
      <c r="D116" t="s">
        <v>19027</v>
      </c>
      <c r="E116" t="s">
        <v>19240</v>
      </c>
      <c r="F116" t="s">
        <v>32831</v>
      </c>
      <c r="G116" t="s">
        <v>32839</v>
      </c>
      <c r="H116" t="s">
        <v>32848</v>
      </c>
      <c r="I116" t="s">
        <v>4776</v>
      </c>
      <c r="J116" t="s">
        <v>33079</v>
      </c>
      <c r="K116" t="s">
        <v>42745</v>
      </c>
      <c r="M116" t="s">
        <v>43069</v>
      </c>
      <c r="N116" t="s">
        <v>47424</v>
      </c>
      <c r="O116" t="s">
        <v>47425</v>
      </c>
      <c r="P116">
        <v>0</v>
      </c>
      <c r="Q116">
        <v>3</v>
      </c>
      <c r="R116" t="s">
        <v>47426</v>
      </c>
      <c r="S116" t="s">
        <v>47531</v>
      </c>
      <c r="T116" t="s">
        <v>49087</v>
      </c>
      <c r="U116" t="s">
        <v>49763</v>
      </c>
      <c r="W116" t="s">
        <v>64429</v>
      </c>
      <c r="X116" t="s">
        <v>47431</v>
      </c>
    </row>
    <row r="117" spans="1:24">
      <c r="A117">
        <f>HYPERLINK("https://www.philgeps.gov.ph/GEPSNONPILOT/Tender/SplashBidNoticeAbstractUI.aspx?menuIndex=3&amp;refID=7161122&amp;Result=3","7161122")</f>
        <v>0</v>
      </c>
      <c r="B117" t="s">
        <v>81</v>
      </c>
      <c r="C117" t="s">
        <v>4041</v>
      </c>
      <c r="D117" t="s">
        <v>19023</v>
      </c>
      <c r="E117" t="s">
        <v>19241</v>
      </c>
      <c r="F117" t="s">
        <v>32831</v>
      </c>
      <c r="G117" t="s">
        <v>32838</v>
      </c>
      <c r="H117" t="s">
        <v>32848</v>
      </c>
      <c r="I117" t="s">
        <v>7416</v>
      </c>
      <c r="J117" t="s">
        <v>33078</v>
      </c>
      <c r="K117" t="s">
        <v>42732</v>
      </c>
      <c r="M117" t="s">
        <v>43078</v>
      </c>
      <c r="N117" t="s">
        <v>47424</v>
      </c>
      <c r="O117" t="s">
        <v>47425</v>
      </c>
      <c r="P117">
        <v>0</v>
      </c>
      <c r="Q117">
        <v>0</v>
      </c>
      <c r="R117" t="s">
        <v>47426</v>
      </c>
      <c r="S117" t="s">
        <v>47531</v>
      </c>
      <c r="T117" t="s">
        <v>49100</v>
      </c>
      <c r="U117" t="s">
        <v>49776</v>
      </c>
      <c r="W117" t="s">
        <v>43078</v>
      </c>
      <c r="X117" t="s">
        <v>47431</v>
      </c>
    </row>
    <row r="118" spans="1:24">
      <c r="A118">
        <f>HYPERLINK("https://www.philgeps.gov.ph/GEPSNONPILOT/Tender/SplashBidNoticeAbstractUI.aspx?menuIndex=3&amp;refID=7160543&amp;Result=3","7160543")</f>
        <v>0</v>
      </c>
      <c r="B118" t="s">
        <v>68</v>
      </c>
      <c r="C118" t="s">
        <v>4043</v>
      </c>
      <c r="D118" t="s">
        <v>19045</v>
      </c>
      <c r="E118" t="s">
        <v>19242</v>
      </c>
      <c r="F118" t="s">
        <v>32831</v>
      </c>
      <c r="G118" t="s">
        <v>32839</v>
      </c>
      <c r="H118" t="s">
        <v>32849</v>
      </c>
      <c r="I118" t="s">
        <v>4177</v>
      </c>
      <c r="J118" t="s">
        <v>33080</v>
      </c>
      <c r="K118" t="s">
        <v>42745</v>
      </c>
      <c r="M118" t="s">
        <v>43065</v>
      </c>
      <c r="N118" t="s">
        <v>47424</v>
      </c>
      <c r="O118" t="s">
        <v>47425</v>
      </c>
      <c r="P118">
        <v>0</v>
      </c>
      <c r="Q118">
        <v>0</v>
      </c>
      <c r="R118" t="s">
        <v>47426</v>
      </c>
      <c r="S118" t="s">
        <v>47531</v>
      </c>
      <c r="T118" t="s">
        <v>49092</v>
      </c>
      <c r="U118" t="s">
        <v>49777</v>
      </c>
      <c r="W118" t="s">
        <v>43065</v>
      </c>
      <c r="X118" t="s">
        <v>47431</v>
      </c>
    </row>
    <row r="119" spans="1:24">
      <c r="A119">
        <f>HYPERLINK("https://www.philgeps.gov.ph/GEPSNONPILOT/Tender/SplashBidNoticeAbstractUI.aspx?menuIndex=3&amp;refID=7160621&amp;Result=3","7160621")</f>
        <v>0</v>
      </c>
      <c r="B119" t="s">
        <v>75</v>
      </c>
      <c r="C119" t="s">
        <v>4044</v>
      </c>
      <c r="D119" t="s">
        <v>19046</v>
      </c>
      <c r="E119" t="s">
        <v>19243</v>
      </c>
      <c r="F119" t="s">
        <v>32831</v>
      </c>
      <c r="G119" t="s">
        <v>32839</v>
      </c>
      <c r="H119" t="s">
        <v>32849</v>
      </c>
      <c r="I119" t="s">
        <v>4177</v>
      </c>
      <c r="J119" t="s">
        <v>33081</v>
      </c>
      <c r="K119" t="s">
        <v>42757</v>
      </c>
      <c r="M119" t="s">
        <v>43072</v>
      </c>
      <c r="N119" t="s">
        <v>47424</v>
      </c>
      <c r="O119" t="s">
        <v>47425</v>
      </c>
      <c r="P119">
        <v>0</v>
      </c>
      <c r="Q119">
        <v>0</v>
      </c>
      <c r="R119" t="s">
        <v>47426</v>
      </c>
      <c r="S119" t="s">
        <v>47531</v>
      </c>
      <c r="T119" t="s">
        <v>49101</v>
      </c>
      <c r="U119" t="s">
        <v>49778</v>
      </c>
      <c r="W119" t="s">
        <v>43072</v>
      </c>
      <c r="X119" t="s">
        <v>47431</v>
      </c>
    </row>
    <row r="120" spans="1:24">
      <c r="A120">
        <f>HYPERLINK("https://www.philgeps.gov.ph/GEPSNONPILOT/Tender/SplashBidNoticeAbstractUI.aspx?menuIndex=3&amp;refID=7160728&amp;Result=3","7160728")</f>
        <v>0</v>
      </c>
      <c r="B120" t="s">
        <v>72</v>
      </c>
      <c r="C120" t="s">
        <v>4045</v>
      </c>
      <c r="D120" t="s">
        <v>19027</v>
      </c>
      <c r="E120" t="s">
        <v>19244</v>
      </c>
      <c r="F120" t="s">
        <v>32831</v>
      </c>
      <c r="G120" t="s">
        <v>32839</v>
      </c>
      <c r="H120" t="s">
        <v>32848</v>
      </c>
      <c r="I120" t="s">
        <v>4558</v>
      </c>
      <c r="J120" t="s">
        <v>33082</v>
      </c>
      <c r="K120" t="s">
        <v>42745</v>
      </c>
      <c r="M120" t="s">
        <v>43069</v>
      </c>
      <c r="N120" t="s">
        <v>47424</v>
      </c>
      <c r="O120" t="s">
        <v>47425</v>
      </c>
      <c r="P120">
        <v>0</v>
      </c>
      <c r="Q120">
        <v>2</v>
      </c>
      <c r="R120" t="s">
        <v>47426</v>
      </c>
      <c r="S120" t="s">
        <v>47531</v>
      </c>
      <c r="T120" t="s">
        <v>49087</v>
      </c>
      <c r="U120" t="s">
        <v>49763</v>
      </c>
      <c r="W120" t="s">
        <v>64429</v>
      </c>
      <c r="X120" t="s">
        <v>47431</v>
      </c>
    </row>
    <row r="121" spans="1:24">
      <c r="A121">
        <f>HYPERLINK("https://www.philgeps.gov.ph/GEPSNONPILOT/Tender/SplashBidNoticeAbstractUI.aspx?menuIndex=3&amp;refID=7160926&amp;Result=3","7160926")</f>
        <v>0</v>
      </c>
      <c r="B121" t="s">
        <v>82</v>
      </c>
      <c r="C121" t="s">
        <v>4046</v>
      </c>
      <c r="E121" t="s">
        <v>19245</v>
      </c>
      <c r="F121" t="s">
        <v>32831</v>
      </c>
      <c r="G121" t="s">
        <v>32839</v>
      </c>
      <c r="H121" t="s">
        <v>32848</v>
      </c>
      <c r="I121" t="s">
        <v>32864</v>
      </c>
      <c r="J121" t="s">
        <v>33083</v>
      </c>
      <c r="K121" t="s">
        <v>42729</v>
      </c>
      <c r="M121" t="s">
        <v>43079</v>
      </c>
      <c r="N121" t="s">
        <v>47424</v>
      </c>
      <c r="O121" t="s">
        <v>47425</v>
      </c>
      <c r="Q121">
        <v>5</v>
      </c>
      <c r="R121" t="s">
        <v>47426</v>
      </c>
      <c r="S121" t="s">
        <v>47532</v>
      </c>
      <c r="T121" t="s">
        <v>49102</v>
      </c>
      <c r="U121" t="s">
        <v>49779</v>
      </c>
      <c r="W121" t="s">
        <v>43079</v>
      </c>
      <c r="X121" t="s">
        <v>47431</v>
      </c>
    </row>
    <row r="122" spans="1:24">
      <c r="A122">
        <f>HYPERLINK("https://www.philgeps.gov.ph/GEPSNONPILOT/Tender/SplashBidNoticeAbstractUI.aspx?menuIndex=3&amp;refID=7161791&amp;Result=3","7161791")</f>
        <v>0</v>
      </c>
      <c r="B122" t="s">
        <v>83</v>
      </c>
      <c r="C122" t="s">
        <v>4047</v>
      </c>
      <c r="D122" t="s">
        <v>19038</v>
      </c>
      <c r="E122" t="s">
        <v>19246</v>
      </c>
      <c r="F122" t="s">
        <v>32831</v>
      </c>
      <c r="G122" t="s">
        <v>32838</v>
      </c>
      <c r="H122" t="s">
        <v>32848</v>
      </c>
      <c r="I122" t="s">
        <v>32868</v>
      </c>
      <c r="J122" t="s">
        <v>33084</v>
      </c>
      <c r="K122" t="s">
        <v>42730</v>
      </c>
      <c r="M122" t="s">
        <v>43080</v>
      </c>
      <c r="N122" t="s">
        <v>47424</v>
      </c>
      <c r="O122" t="s">
        <v>47425</v>
      </c>
      <c r="P122">
        <v>0</v>
      </c>
      <c r="Q122">
        <v>1</v>
      </c>
      <c r="R122" t="s">
        <v>47426</v>
      </c>
      <c r="S122" t="s">
        <v>47531</v>
      </c>
      <c r="T122" t="s">
        <v>49103</v>
      </c>
      <c r="U122" t="s">
        <v>49780</v>
      </c>
      <c r="W122" t="s">
        <v>43080</v>
      </c>
      <c r="X122" t="s">
        <v>47430</v>
      </c>
    </row>
    <row r="123" spans="1:24">
      <c r="A123">
        <f>HYPERLINK("https://www.philgeps.gov.ph/GEPSNONPILOT/Tender/SplashBidNoticeAbstractUI.aspx?menuIndex=3&amp;refID=7161786&amp;Result=3","7161786")</f>
        <v>0</v>
      </c>
      <c r="B123" t="s">
        <v>84</v>
      </c>
      <c r="C123" t="s">
        <v>4048</v>
      </c>
      <c r="E123" t="s">
        <v>19247</v>
      </c>
      <c r="F123" t="s">
        <v>32831</v>
      </c>
      <c r="G123" t="s">
        <v>32838</v>
      </c>
      <c r="H123" t="s">
        <v>32848</v>
      </c>
      <c r="I123" t="s">
        <v>32869</v>
      </c>
      <c r="J123" t="s">
        <v>33085</v>
      </c>
      <c r="K123" t="s">
        <v>42732</v>
      </c>
      <c r="M123" t="s">
        <v>43081</v>
      </c>
      <c r="N123" t="s">
        <v>47424</v>
      </c>
      <c r="O123" t="s">
        <v>47425</v>
      </c>
      <c r="P123">
        <v>0</v>
      </c>
      <c r="Q123">
        <v>0</v>
      </c>
      <c r="R123" t="s">
        <v>47426</v>
      </c>
      <c r="S123" t="s">
        <v>47531</v>
      </c>
      <c r="T123" t="s">
        <v>49104</v>
      </c>
      <c r="U123" t="s">
        <v>49781</v>
      </c>
      <c r="W123" t="s">
        <v>43081</v>
      </c>
      <c r="X123" t="s">
        <v>47430</v>
      </c>
    </row>
    <row r="124" spans="1:24">
      <c r="A124">
        <f>HYPERLINK("https://www.philgeps.gov.ph/GEPSNONPILOT/Tender/SplashBidNoticeAbstractUI.aspx?menuIndex=3&amp;refID=7161781&amp;Result=3","7161781")</f>
        <v>0</v>
      </c>
      <c r="B124" t="s">
        <v>84</v>
      </c>
      <c r="C124" t="s">
        <v>4049</v>
      </c>
      <c r="E124" t="s">
        <v>19248</v>
      </c>
      <c r="F124" t="s">
        <v>32831</v>
      </c>
      <c r="G124" t="s">
        <v>32838</v>
      </c>
      <c r="H124" t="s">
        <v>32848</v>
      </c>
      <c r="I124" t="s">
        <v>32870</v>
      </c>
      <c r="J124" t="s">
        <v>33086</v>
      </c>
      <c r="K124" t="s">
        <v>42732</v>
      </c>
      <c r="M124" t="s">
        <v>43081</v>
      </c>
      <c r="N124" t="s">
        <v>47424</v>
      </c>
      <c r="O124" t="s">
        <v>47425</v>
      </c>
      <c r="P124">
        <v>0</v>
      </c>
      <c r="Q124">
        <v>0</v>
      </c>
      <c r="R124" t="s">
        <v>47426</v>
      </c>
      <c r="S124" t="s">
        <v>47531</v>
      </c>
      <c r="T124" t="s">
        <v>49104</v>
      </c>
      <c r="U124" t="s">
        <v>49781</v>
      </c>
      <c r="W124" t="s">
        <v>43081</v>
      </c>
      <c r="X124" t="s">
        <v>47430</v>
      </c>
    </row>
    <row r="125" spans="1:24">
      <c r="A125">
        <f>HYPERLINK("https://www.philgeps.gov.ph/GEPSNONPILOT/Tender/SplashBidNoticeAbstractUI.aspx?menuIndex=3&amp;refID=7161701&amp;Result=3","7161701")</f>
        <v>0</v>
      </c>
      <c r="B125" t="s">
        <v>85</v>
      </c>
      <c r="C125" t="s">
        <v>4050</v>
      </c>
      <c r="D125" t="s">
        <v>19028</v>
      </c>
      <c r="E125" t="s">
        <v>19249</v>
      </c>
      <c r="F125" t="s">
        <v>32831</v>
      </c>
      <c r="G125" t="s">
        <v>32840</v>
      </c>
      <c r="H125" t="s">
        <v>32848</v>
      </c>
      <c r="I125" t="s">
        <v>32854</v>
      </c>
      <c r="J125" t="s">
        <v>32980</v>
      </c>
      <c r="K125" t="s">
        <v>42758</v>
      </c>
      <c r="M125" t="s">
        <v>43082</v>
      </c>
      <c r="N125" t="s">
        <v>47424</v>
      </c>
      <c r="O125" t="s">
        <v>47425</v>
      </c>
      <c r="P125">
        <v>0</v>
      </c>
      <c r="Q125">
        <v>0</v>
      </c>
      <c r="R125" t="s">
        <v>47426</v>
      </c>
      <c r="S125" t="s">
        <v>47531</v>
      </c>
      <c r="T125" t="s">
        <v>49105</v>
      </c>
      <c r="U125" t="s">
        <v>49782</v>
      </c>
      <c r="W125" t="s">
        <v>43082</v>
      </c>
      <c r="X125" t="s">
        <v>47431</v>
      </c>
    </row>
    <row r="126" spans="1:24">
      <c r="A126">
        <f>HYPERLINK("https://www.philgeps.gov.ph/GEPSNONPILOT/Tender/SplashBidNoticeAbstractUI.aspx?menuIndex=3&amp;refID=7161697&amp;Result=3","7161697")</f>
        <v>0</v>
      </c>
      <c r="B126" t="s">
        <v>85</v>
      </c>
      <c r="C126" t="s">
        <v>4051</v>
      </c>
      <c r="E126" t="s">
        <v>19250</v>
      </c>
      <c r="F126" t="s">
        <v>32831</v>
      </c>
      <c r="G126" t="s">
        <v>32840</v>
      </c>
      <c r="H126" t="s">
        <v>32848</v>
      </c>
      <c r="I126" t="s">
        <v>10805</v>
      </c>
      <c r="J126" t="s">
        <v>32983</v>
      </c>
      <c r="K126" t="s">
        <v>42758</v>
      </c>
      <c r="M126" t="s">
        <v>43082</v>
      </c>
      <c r="N126" t="s">
        <v>47424</v>
      </c>
      <c r="O126" t="s">
        <v>47425</v>
      </c>
      <c r="P126">
        <v>0</v>
      </c>
      <c r="Q126">
        <v>0</v>
      </c>
      <c r="R126" t="s">
        <v>47426</v>
      </c>
      <c r="S126" t="s">
        <v>47531</v>
      </c>
      <c r="T126" t="s">
        <v>49105</v>
      </c>
      <c r="U126" t="s">
        <v>49783</v>
      </c>
      <c r="W126" t="s">
        <v>43082</v>
      </c>
      <c r="X126" t="s">
        <v>47431</v>
      </c>
    </row>
    <row r="127" spans="1:24">
      <c r="A127">
        <f>HYPERLINK("https://www.philgeps.gov.ph/GEPSNONPILOT/Tender/SplashBidNoticeAbstractUI.aspx?menuIndex=3&amp;refID=7161680&amp;Result=3","7161680")</f>
        <v>0</v>
      </c>
      <c r="B127" t="s">
        <v>85</v>
      </c>
      <c r="C127" t="s">
        <v>4052</v>
      </c>
      <c r="D127" t="s">
        <v>19028</v>
      </c>
      <c r="E127" t="s">
        <v>19250</v>
      </c>
      <c r="F127" t="s">
        <v>32831</v>
      </c>
      <c r="G127" t="s">
        <v>32840</v>
      </c>
      <c r="H127" t="s">
        <v>32848</v>
      </c>
      <c r="I127" t="s">
        <v>32867</v>
      </c>
      <c r="J127" t="s">
        <v>33087</v>
      </c>
      <c r="K127" t="s">
        <v>42758</v>
      </c>
      <c r="M127" t="s">
        <v>43082</v>
      </c>
      <c r="N127" t="s">
        <v>47424</v>
      </c>
      <c r="O127" t="s">
        <v>47425</v>
      </c>
      <c r="P127">
        <v>0</v>
      </c>
      <c r="Q127">
        <v>3</v>
      </c>
      <c r="R127" t="s">
        <v>47426</v>
      </c>
      <c r="S127" t="s">
        <v>47531</v>
      </c>
      <c r="T127" t="s">
        <v>49105</v>
      </c>
      <c r="U127" t="s">
        <v>49784</v>
      </c>
      <c r="W127" t="s">
        <v>43082</v>
      </c>
      <c r="X127" t="s">
        <v>47431</v>
      </c>
    </row>
    <row r="128" spans="1:24">
      <c r="A128">
        <f>HYPERLINK("https://www.philgeps.gov.ph/GEPSNONPILOT/Tender/SplashBidNoticeAbstractUI.aspx?menuIndex=3&amp;refID=7161368&amp;Result=3","7161368")</f>
        <v>0</v>
      </c>
      <c r="B128" t="s">
        <v>83</v>
      </c>
      <c r="C128" t="s">
        <v>4053</v>
      </c>
      <c r="D128" t="s">
        <v>19038</v>
      </c>
      <c r="E128" t="s">
        <v>19251</v>
      </c>
      <c r="F128" t="s">
        <v>32831</v>
      </c>
      <c r="G128" t="s">
        <v>32838</v>
      </c>
      <c r="H128" t="s">
        <v>32848</v>
      </c>
      <c r="I128" t="s">
        <v>32860</v>
      </c>
      <c r="J128" t="s">
        <v>33088</v>
      </c>
      <c r="K128" t="s">
        <v>42727</v>
      </c>
      <c r="M128" t="s">
        <v>43080</v>
      </c>
      <c r="N128" t="s">
        <v>47424</v>
      </c>
      <c r="O128" t="s">
        <v>47425</v>
      </c>
      <c r="P128">
        <v>0</v>
      </c>
      <c r="Q128">
        <v>1</v>
      </c>
      <c r="R128" t="s">
        <v>47426</v>
      </c>
      <c r="S128" t="s">
        <v>47531</v>
      </c>
      <c r="T128" t="s">
        <v>49103</v>
      </c>
      <c r="U128" t="s">
        <v>49780</v>
      </c>
      <c r="W128" t="s">
        <v>43080</v>
      </c>
      <c r="X128" t="s">
        <v>47431</v>
      </c>
    </row>
    <row r="129" spans="1:24">
      <c r="A129">
        <f>HYPERLINK("https://www.philgeps.gov.ph/GEPSNONPILOT/Tender/SplashBidNoticeAbstractUI.aspx?menuIndex=3&amp;refID=7161836&amp;Result=3","7161836")</f>
        <v>0</v>
      </c>
      <c r="B129" t="s">
        <v>86</v>
      </c>
      <c r="C129" t="s">
        <v>4054</v>
      </c>
      <c r="D129" t="s">
        <v>19049</v>
      </c>
      <c r="E129" t="s">
        <v>19252</v>
      </c>
      <c r="F129" t="s">
        <v>32831</v>
      </c>
      <c r="G129" t="s">
        <v>32839</v>
      </c>
      <c r="H129" t="s">
        <v>32848</v>
      </c>
      <c r="I129" t="s">
        <v>7416</v>
      </c>
      <c r="J129" t="s">
        <v>33089</v>
      </c>
      <c r="K129" t="s">
        <v>42726</v>
      </c>
      <c r="M129" t="s">
        <v>43083</v>
      </c>
      <c r="N129" t="s">
        <v>47424</v>
      </c>
      <c r="O129" t="s">
        <v>47425</v>
      </c>
      <c r="P129">
        <v>0</v>
      </c>
      <c r="Q129">
        <v>0</v>
      </c>
      <c r="R129" t="s">
        <v>47426</v>
      </c>
      <c r="S129" t="s">
        <v>47531</v>
      </c>
      <c r="T129" t="s">
        <v>49106</v>
      </c>
      <c r="U129" t="s">
        <v>49785</v>
      </c>
      <c r="W129" t="s">
        <v>43083</v>
      </c>
      <c r="X129" t="s">
        <v>47430</v>
      </c>
    </row>
    <row r="130" spans="1:24">
      <c r="A130">
        <f>HYPERLINK("https://www.philgeps.gov.ph/GEPSNONPILOT/Tender/SplashBidNoticeAbstractUI.aspx?menuIndex=3&amp;refID=7161794&amp;Result=3","7161794")</f>
        <v>0</v>
      </c>
      <c r="B130" t="s">
        <v>83</v>
      </c>
      <c r="C130" t="s">
        <v>4055</v>
      </c>
      <c r="D130" t="s">
        <v>19038</v>
      </c>
      <c r="E130" t="s">
        <v>19253</v>
      </c>
      <c r="F130" t="s">
        <v>32831</v>
      </c>
      <c r="G130" t="s">
        <v>32838</v>
      </c>
      <c r="H130" t="s">
        <v>32848</v>
      </c>
      <c r="I130" t="s">
        <v>32862</v>
      </c>
      <c r="J130" t="s">
        <v>33090</v>
      </c>
      <c r="K130" t="s">
        <v>42730</v>
      </c>
      <c r="M130" t="s">
        <v>43080</v>
      </c>
      <c r="N130" t="s">
        <v>47424</v>
      </c>
      <c r="O130" t="s">
        <v>47425</v>
      </c>
      <c r="P130">
        <v>0</v>
      </c>
      <c r="Q130">
        <v>0</v>
      </c>
      <c r="R130" t="s">
        <v>47426</v>
      </c>
      <c r="S130" t="s">
        <v>47531</v>
      </c>
      <c r="T130" t="s">
        <v>49103</v>
      </c>
      <c r="U130" t="s">
        <v>49780</v>
      </c>
      <c r="W130" t="s">
        <v>43080</v>
      </c>
      <c r="X130" t="s">
        <v>47430</v>
      </c>
    </row>
    <row r="131" spans="1:24">
      <c r="A131">
        <f>HYPERLINK("https://www.philgeps.gov.ph/GEPSNONPILOT/Tender/SplashBidNoticeAbstractUI.aspx?menuIndex=3&amp;refID=7161914&amp;Result=3","7161914")</f>
        <v>0</v>
      </c>
      <c r="B131" t="s">
        <v>87</v>
      </c>
      <c r="C131" t="s">
        <v>4056</v>
      </c>
      <c r="D131" t="s">
        <v>19050</v>
      </c>
      <c r="E131" t="s">
        <v>19254</v>
      </c>
      <c r="F131" t="s">
        <v>32831</v>
      </c>
      <c r="G131" t="s">
        <v>32840</v>
      </c>
      <c r="H131" t="s">
        <v>32848</v>
      </c>
      <c r="I131" t="s">
        <v>10805</v>
      </c>
      <c r="J131" t="s">
        <v>33091</v>
      </c>
      <c r="K131" t="s">
        <v>42727</v>
      </c>
      <c r="M131" t="s">
        <v>43084</v>
      </c>
      <c r="N131" t="s">
        <v>47424</v>
      </c>
      <c r="O131" t="s">
        <v>47425</v>
      </c>
      <c r="P131">
        <v>0</v>
      </c>
      <c r="Q131">
        <v>0</v>
      </c>
      <c r="R131" t="s">
        <v>47426</v>
      </c>
      <c r="S131" t="s">
        <v>47531</v>
      </c>
      <c r="T131" t="s">
        <v>49096</v>
      </c>
      <c r="U131" t="s">
        <v>49786</v>
      </c>
      <c r="W131" t="s">
        <v>43084</v>
      </c>
      <c r="X131" t="s">
        <v>47430</v>
      </c>
    </row>
    <row r="132" spans="1:24">
      <c r="A132">
        <f>HYPERLINK("https://www.philgeps.gov.ph/GEPSNONPILOT/Tender/SplashBidNoticeAbstractUI.aspx?menuIndex=3&amp;refID=7161083&amp;Result=3","7161083")</f>
        <v>0</v>
      </c>
      <c r="B132" t="s">
        <v>81</v>
      </c>
      <c r="C132" t="s">
        <v>4057</v>
      </c>
      <c r="D132" t="s">
        <v>19023</v>
      </c>
      <c r="E132" t="s">
        <v>19255</v>
      </c>
      <c r="F132" t="s">
        <v>32831</v>
      </c>
      <c r="G132" t="s">
        <v>32838</v>
      </c>
      <c r="H132" t="s">
        <v>32848</v>
      </c>
      <c r="I132" t="s">
        <v>7416</v>
      </c>
      <c r="J132" t="s">
        <v>33092</v>
      </c>
      <c r="K132" t="s">
        <v>42732</v>
      </c>
      <c r="M132" t="s">
        <v>43078</v>
      </c>
      <c r="N132" t="s">
        <v>47424</v>
      </c>
      <c r="O132" t="s">
        <v>47425</v>
      </c>
      <c r="P132">
        <v>0</v>
      </c>
      <c r="Q132">
        <v>0</v>
      </c>
      <c r="R132" t="s">
        <v>47426</v>
      </c>
      <c r="S132" t="s">
        <v>47531</v>
      </c>
      <c r="T132" t="s">
        <v>49100</v>
      </c>
      <c r="U132" t="s">
        <v>49787</v>
      </c>
      <c r="W132" t="s">
        <v>43078</v>
      </c>
      <c r="X132" t="s">
        <v>47431</v>
      </c>
    </row>
    <row r="133" spans="1:24">
      <c r="A133">
        <f>HYPERLINK("https://www.philgeps.gov.ph/GEPSNONPILOT/Tender/SplashBidNoticeAbstractUI.aspx?menuIndex=3&amp;refID=7161902&amp;Result=3","7161902")</f>
        <v>0</v>
      </c>
      <c r="B133" t="s">
        <v>88</v>
      </c>
      <c r="C133" t="s">
        <v>4058</v>
      </c>
      <c r="D133" t="s">
        <v>19026</v>
      </c>
      <c r="E133" t="s">
        <v>19256</v>
      </c>
      <c r="F133" t="s">
        <v>32831</v>
      </c>
      <c r="G133" t="s">
        <v>32839</v>
      </c>
      <c r="H133" t="s">
        <v>32848</v>
      </c>
      <c r="I133" t="s">
        <v>7416</v>
      </c>
      <c r="J133" t="s">
        <v>33093</v>
      </c>
      <c r="K133" t="s">
        <v>42750</v>
      </c>
      <c r="M133" t="s">
        <v>43085</v>
      </c>
      <c r="N133" t="s">
        <v>47424</v>
      </c>
      <c r="O133" t="s">
        <v>47425</v>
      </c>
      <c r="P133">
        <v>0</v>
      </c>
      <c r="Q133">
        <v>1</v>
      </c>
      <c r="R133" t="s">
        <v>47426</v>
      </c>
      <c r="S133" t="s">
        <v>47531</v>
      </c>
      <c r="T133" t="s">
        <v>49091</v>
      </c>
      <c r="U133" t="s">
        <v>49788</v>
      </c>
      <c r="W133" t="s">
        <v>43085</v>
      </c>
      <c r="X133" t="s">
        <v>47430</v>
      </c>
    </row>
    <row r="134" spans="1:24">
      <c r="A134">
        <f>HYPERLINK("https://www.philgeps.gov.ph/GEPSNONPILOT/Tender/SplashBidNoticeAbstractUI.aspx?menuIndex=3&amp;refID=7161893&amp;Result=3","7161893")</f>
        <v>0</v>
      </c>
      <c r="B134" t="s">
        <v>89</v>
      </c>
      <c r="C134" t="s">
        <v>4059</v>
      </c>
      <c r="D134" t="s">
        <v>19026</v>
      </c>
      <c r="E134" t="s">
        <v>19257</v>
      </c>
      <c r="F134" t="s">
        <v>32831</v>
      </c>
      <c r="G134" t="s">
        <v>32839</v>
      </c>
      <c r="H134" t="s">
        <v>32848</v>
      </c>
      <c r="I134" t="s">
        <v>7416</v>
      </c>
      <c r="J134" t="s">
        <v>33094</v>
      </c>
      <c r="K134" t="s">
        <v>42750</v>
      </c>
      <c r="M134" t="s">
        <v>43086</v>
      </c>
      <c r="N134" t="s">
        <v>47424</v>
      </c>
      <c r="O134" t="s">
        <v>47425</v>
      </c>
      <c r="P134">
        <v>0</v>
      </c>
      <c r="Q134">
        <v>3</v>
      </c>
      <c r="R134" t="s">
        <v>47426</v>
      </c>
      <c r="S134" t="s">
        <v>47531</v>
      </c>
      <c r="T134" t="s">
        <v>49091</v>
      </c>
      <c r="U134" t="s">
        <v>49789</v>
      </c>
      <c r="W134" t="s">
        <v>43086</v>
      </c>
      <c r="X134" t="s">
        <v>47430</v>
      </c>
    </row>
    <row r="135" spans="1:24">
      <c r="A135">
        <f>HYPERLINK("https://www.philgeps.gov.ph/GEPSNONPILOT/Tender/SplashBidNoticeAbstractUI.aspx?menuIndex=3&amp;refID=7161918&amp;Result=3","7161918")</f>
        <v>0</v>
      </c>
      <c r="B135" t="s">
        <v>90</v>
      </c>
      <c r="C135" t="s">
        <v>4060</v>
      </c>
      <c r="D135" t="s">
        <v>19017</v>
      </c>
      <c r="E135" t="s">
        <v>19258</v>
      </c>
      <c r="F135" t="s">
        <v>32831</v>
      </c>
      <c r="G135" t="s">
        <v>32840</v>
      </c>
      <c r="H135" t="s">
        <v>32848</v>
      </c>
      <c r="I135" t="s">
        <v>32871</v>
      </c>
      <c r="J135" t="s">
        <v>33041</v>
      </c>
      <c r="K135" t="s">
        <v>42726</v>
      </c>
      <c r="M135" t="s">
        <v>43087</v>
      </c>
      <c r="N135" t="s">
        <v>47424</v>
      </c>
      <c r="O135" t="s">
        <v>47425</v>
      </c>
      <c r="P135">
        <v>0</v>
      </c>
      <c r="Q135">
        <v>3</v>
      </c>
      <c r="R135" t="s">
        <v>47426</v>
      </c>
      <c r="S135" t="s">
        <v>47531</v>
      </c>
      <c r="T135" t="s">
        <v>49107</v>
      </c>
      <c r="U135" t="s">
        <v>49790</v>
      </c>
      <c r="V135" t="s">
        <v>62638</v>
      </c>
      <c r="W135" t="s">
        <v>43087</v>
      </c>
      <c r="X135" t="s">
        <v>47430</v>
      </c>
    </row>
    <row r="136" spans="1:24">
      <c r="A136">
        <f>HYPERLINK("https://www.philgeps.gov.ph/GEPSNONPILOT/Tender/SplashBidNoticeAbstractUI.aspx?menuIndex=3&amp;refID=7161730&amp;Result=3","7161730")</f>
        <v>0</v>
      </c>
      <c r="B136" t="s">
        <v>91</v>
      </c>
      <c r="C136" t="s">
        <v>4061</v>
      </c>
      <c r="E136" t="s">
        <v>19259</v>
      </c>
      <c r="F136" t="s">
        <v>32831</v>
      </c>
      <c r="G136" t="s">
        <v>32838</v>
      </c>
      <c r="H136" t="s">
        <v>32848</v>
      </c>
      <c r="I136" t="s">
        <v>5379</v>
      </c>
      <c r="J136" t="s">
        <v>33095</v>
      </c>
      <c r="K136" t="s">
        <v>42732</v>
      </c>
      <c r="M136" t="s">
        <v>43088</v>
      </c>
      <c r="N136" t="s">
        <v>47424</v>
      </c>
      <c r="O136" t="s">
        <v>47425</v>
      </c>
      <c r="P136">
        <v>0</v>
      </c>
      <c r="Q136">
        <v>0</v>
      </c>
      <c r="R136" t="s">
        <v>47426</v>
      </c>
      <c r="S136" t="s">
        <v>47531</v>
      </c>
      <c r="T136" t="s">
        <v>49108</v>
      </c>
      <c r="U136" t="s">
        <v>49791</v>
      </c>
      <c r="V136" t="s">
        <v>62639</v>
      </c>
      <c r="W136" t="s">
        <v>43088</v>
      </c>
      <c r="X136" t="s">
        <v>47431</v>
      </c>
    </row>
    <row r="137" spans="1:24">
      <c r="A137">
        <f>HYPERLINK("https://www.philgeps.gov.ph/GEPSNONPILOT/Tender/SplashBidNoticeAbstractUI.aspx?menuIndex=3&amp;refID=7161881&amp;Result=3","7161881")</f>
        <v>0</v>
      </c>
      <c r="B137" t="s">
        <v>92</v>
      </c>
      <c r="C137" t="s">
        <v>4062</v>
      </c>
      <c r="D137" t="s">
        <v>19051</v>
      </c>
      <c r="E137" t="s">
        <v>19260</v>
      </c>
      <c r="F137" t="s">
        <v>32831</v>
      </c>
      <c r="G137" t="s">
        <v>32839</v>
      </c>
      <c r="H137" t="s">
        <v>32849</v>
      </c>
      <c r="I137" t="s">
        <v>4177</v>
      </c>
      <c r="J137" t="s">
        <v>33083</v>
      </c>
      <c r="K137" t="s">
        <v>42732</v>
      </c>
      <c r="M137" t="s">
        <v>43089</v>
      </c>
      <c r="N137" t="s">
        <v>47424</v>
      </c>
      <c r="O137" t="s">
        <v>47425</v>
      </c>
      <c r="P137">
        <v>0</v>
      </c>
      <c r="Q137">
        <v>0</v>
      </c>
      <c r="R137" t="s">
        <v>47426</v>
      </c>
      <c r="S137" t="s">
        <v>47531</v>
      </c>
      <c r="T137" t="s">
        <v>49065</v>
      </c>
      <c r="U137" t="s">
        <v>49792</v>
      </c>
      <c r="V137" t="s">
        <v>62640</v>
      </c>
      <c r="W137" t="s">
        <v>43089</v>
      </c>
      <c r="X137" t="s">
        <v>47430</v>
      </c>
    </row>
    <row r="138" spans="1:24">
      <c r="A138">
        <f>HYPERLINK("https://www.philgeps.gov.ph/GEPSNONPILOT/Tender/SplashBidNoticeAbstractUI.aspx?menuIndex=3&amp;refID=7161904&amp;Result=3","7161904")</f>
        <v>0</v>
      </c>
      <c r="B138" t="s">
        <v>92</v>
      </c>
      <c r="C138" t="s">
        <v>4063</v>
      </c>
      <c r="D138" t="s">
        <v>19051</v>
      </c>
      <c r="E138" t="s">
        <v>19260</v>
      </c>
      <c r="F138" t="s">
        <v>32831</v>
      </c>
      <c r="G138" t="s">
        <v>32839</v>
      </c>
      <c r="H138" t="s">
        <v>32849</v>
      </c>
      <c r="I138" t="s">
        <v>4177</v>
      </c>
      <c r="J138" t="s">
        <v>33032</v>
      </c>
      <c r="K138" t="s">
        <v>42732</v>
      </c>
      <c r="M138" t="s">
        <v>43089</v>
      </c>
      <c r="N138" t="s">
        <v>47424</v>
      </c>
      <c r="O138" t="s">
        <v>47425</v>
      </c>
      <c r="P138">
        <v>0</v>
      </c>
      <c r="Q138">
        <v>0</v>
      </c>
      <c r="R138" t="s">
        <v>47426</v>
      </c>
      <c r="S138" t="s">
        <v>47531</v>
      </c>
      <c r="T138" t="s">
        <v>49065</v>
      </c>
      <c r="U138" t="s">
        <v>49793</v>
      </c>
      <c r="V138" t="s">
        <v>62640</v>
      </c>
      <c r="W138" t="s">
        <v>43089</v>
      </c>
      <c r="X138" t="s">
        <v>47430</v>
      </c>
    </row>
    <row r="139" spans="1:24">
      <c r="A139">
        <f>HYPERLINK("https://www.philgeps.gov.ph/GEPSNONPILOT/Tender/SplashBidNoticeAbstractUI.aspx?menuIndex=3&amp;refID=7161874&amp;Result=3","7161874")</f>
        <v>0</v>
      </c>
      <c r="B139" t="s">
        <v>93</v>
      </c>
      <c r="C139" t="s">
        <v>4064</v>
      </c>
      <c r="D139" t="s">
        <v>19035</v>
      </c>
      <c r="E139" t="s">
        <v>19261</v>
      </c>
      <c r="F139" t="s">
        <v>32831</v>
      </c>
      <c r="G139" t="s">
        <v>32839</v>
      </c>
      <c r="H139" t="s">
        <v>32848</v>
      </c>
      <c r="I139" t="s">
        <v>32861</v>
      </c>
      <c r="J139" t="s">
        <v>33096</v>
      </c>
      <c r="K139" t="s">
        <v>42730</v>
      </c>
      <c r="M139" t="s">
        <v>43090</v>
      </c>
      <c r="N139" t="s">
        <v>47424</v>
      </c>
      <c r="O139" t="s">
        <v>47425</v>
      </c>
      <c r="P139">
        <v>0</v>
      </c>
      <c r="Q139">
        <v>5</v>
      </c>
      <c r="R139" t="s">
        <v>47426</v>
      </c>
      <c r="S139" t="s">
        <v>47531</v>
      </c>
      <c r="T139" t="s">
        <v>49078</v>
      </c>
      <c r="U139" t="s">
        <v>49794</v>
      </c>
      <c r="V139" t="s">
        <v>62641</v>
      </c>
      <c r="W139" t="s">
        <v>43090</v>
      </c>
      <c r="X139" t="s">
        <v>47430</v>
      </c>
    </row>
    <row r="140" spans="1:24">
      <c r="A140">
        <f>HYPERLINK("https://www.philgeps.gov.ph/GEPSNONPILOT/Tender/SplashBidNoticeAbstractUI.aspx?menuIndex=3&amp;refID=7161921&amp;Result=3","7161921")</f>
        <v>0</v>
      </c>
      <c r="B140" t="s">
        <v>94</v>
      </c>
      <c r="C140" t="s">
        <v>4065</v>
      </c>
      <c r="D140" t="s">
        <v>19052</v>
      </c>
      <c r="E140" t="s">
        <v>19262</v>
      </c>
      <c r="F140" t="s">
        <v>32831</v>
      </c>
      <c r="G140" t="s">
        <v>32838</v>
      </c>
      <c r="H140" t="s">
        <v>32849</v>
      </c>
      <c r="I140" t="s">
        <v>4177</v>
      </c>
      <c r="J140" t="s">
        <v>33097</v>
      </c>
      <c r="K140" t="s">
        <v>42729</v>
      </c>
      <c r="M140" t="s">
        <v>43091</v>
      </c>
      <c r="N140" t="s">
        <v>47424</v>
      </c>
      <c r="O140" t="s">
        <v>47425</v>
      </c>
      <c r="P140">
        <v>0</v>
      </c>
      <c r="Q140">
        <v>0</v>
      </c>
      <c r="R140" t="s">
        <v>47426</v>
      </c>
      <c r="S140" t="s">
        <v>47531</v>
      </c>
      <c r="T140" t="s">
        <v>49079</v>
      </c>
      <c r="U140" t="s">
        <v>49795</v>
      </c>
      <c r="W140" t="s">
        <v>43091</v>
      </c>
      <c r="X140" t="s">
        <v>47430</v>
      </c>
    </row>
    <row r="141" spans="1:24">
      <c r="A141">
        <f>HYPERLINK("https://www.philgeps.gov.ph/GEPSNONPILOT/Tender/SplashBidNoticeAbstractUI.aspx?menuIndex=3&amp;refID=7161901&amp;Result=3","7161901")</f>
        <v>0</v>
      </c>
      <c r="B141" t="s">
        <v>95</v>
      </c>
      <c r="C141" t="s">
        <v>4066</v>
      </c>
      <c r="D141" t="s">
        <v>19032</v>
      </c>
      <c r="E141" t="s">
        <v>19263</v>
      </c>
      <c r="F141" t="s">
        <v>32831</v>
      </c>
      <c r="G141" t="s">
        <v>32838</v>
      </c>
      <c r="H141" t="s">
        <v>32848</v>
      </c>
      <c r="I141" t="s">
        <v>32872</v>
      </c>
      <c r="J141" t="s">
        <v>32980</v>
      </c>
      <c r="K141" t="s">
        <v>42726</v>
      </c>
      <c r="M141" t="s">
        <v>43092</v>
      </c>
      <c r="N141" t="s">
        <v>47424</v>
      </c>
      <c r="O141" t="s">
        <v>47425</v>
      </c>
      <c r="P141">
        <v>0</v>
      </c>
      <c r="Q141">
        <v>0</v>
      </c>
      <c r="R141" t="s">
        <v>47426</v>
      </c>
      <c r="S141" t="s">
        <v>47531</v>
      </c>
      <c r="T141" t="s">
        <v>49109</v>
      </c>
      <c r="U141" t="s">
        <v>49796</v>
      </c>
      <c r="W141" t="s">
        <v>43092</v>
      </c>
      <c r="X141" t="s">
        <v>47430</v>
      </c>
    </row>
    <row r="142" spans="1:24">
      <c r="A142">
        <f>HYPERLINK("https://www.philgeps.gov.ph/GEPSNONPILOT/Tender/SplashBidNoticeAbstractUI.aspx?menuIndex=3&amp;refID=7162002&amp;Result=3","7162002")</f>
        <v>0</v>
      </c>
      <c r="B142" t="s">
        <v>96</v>
      </c>
      <c r="C142" t="s">
        <v>4067</v>
      </c>
      <c r="D142" t="s">
        <v>19053</v>
      </c>
      <c r="E142" t="s">
        <v>19264</v>
      </c>
      <c r="F142" t="s">
        <v>32831</v>
      </c>
      <c r="G142" t="s">
        <v>32840</v>
      </c>
      <c r="H142" t="s">
        <v>32848</v>
      </c>
      <c r="I142" t="s">
        <v>9577</v>
      </c>
      <c r="J142" t="s">
        <v>33098</v>
      </c>
      <c r="K142" t="s">
        <v>42759</v>
      </c>
      <c r="M142" t="s">
        <v>43093</v>
      </c>
      <c r="N142" t="s">
        <v>47424</v>
      </c>
      <c r="O142" t="s">
        <v>47425</v>
      </c>
      <c r="P142">
        <v>0</v>
      </c>
      <c r="Q142">
        <v>1</v>
      </c>
      <c r="R142" t="s">
        <v>47426</v>
      </c>
      <c r="S142" t="s">
        <v>47531</v>
      </c>
      <c r="T142" t="s">
        <v>49110</v>
      </c>
      <c r="U142" t="s">
        <v>49797</v>
      </c>
      <c r="W142" t="s">
        <v>64431</v>
      </c>
      <c r="X142" t="s">
        <v>47430</v>
      </c>
    </row>
    <row r="143" spans="1:24">
      <c r="A143">
        <f>HYPERLINK("https://www.philgeps.gov.ph/GEPSNONPILOT/Tender/SplashBidNoticeAbstractUI.aspx?menuIndex=3&amp;refID=7161870&amp;Result=3","7161870")</f>
        <v>0</v>
      </c>
      <c r="B143" t="s">
        <v>93</v>
      </c>
      <c r="C143" t="s">
        <v>4068</v>
      </c>
      <c r="D143" t="s">
        <v>19035</v>
      </c>
      <c r="E143" t="s">
        <v>19265</v>
      </c>
      <c r="F143" t="s">
        <v>32831</v>
      </c>
      <c r="G143" t="s">
        <v>32839</v>
      </c>
      <c r="H143" t="s">
        <v>32848</v>
      </c>
      <c r="I143" t="s">
        <v>32857</v>
      </c>
      <c r="J143" t="s">
        <v>33099</v>
      </c>
      <c r="K143" t="s">
        <v>42730</v>
      </c>
      <c r="M143" t="s">
        <v>43090</v>
      </c>
      <c r="N143" t="s">
        <v>47424</v>
      </c>
      <c r="O143" t="s">
        <v>47425</v>
      </c>
      <c r="P143">
        <v>0</v>
      </c>
      <c r="Q143">
        <v>4</v>
      </c>
      <c r="R143" t="s">
        <v>47426</v>
      </c>
      <c r="S143" t="s">
        <v>47531</v>
      </c>
      <c r="T143" t="s">
        <v>49078</v>
      </c>
      <c r="U143" t="s">
        <v>49794</v>
      </c>
      <c r="V143" t="s">
        <v>62642</v>
      </c>
      <c r="W143" t="s">
        <v>43090</v>
      </c>
      <c r="X143" t="s">
        <v>47430</v>
      </c>
    </row>
    <row r="144" spans="1:24">
      <c r="A144">
        <f>HYPERLINK("https://www.philgeps.gov.ph/GEPSNONPILOT/Tender/SplashBidNoticeAbstractUI.aspx?menuIndex=3&amp;refID=7161984&amp;Result=3","7161984")</f>
        <v>0</v>
      </c>
      <c r="B144" t="s">
        <v>87</v>
      </c>
      <c r="C144" t="s">
        <v>4069</v>
      </c>
      <c r="D144" t="s">
        <v>19050</v>
      </c>
      <c r="E144" t="s">
        <v>19266</v>
      </c>
      <c r="F144" t="s">
        <v>32831</v>
      </c>
      <c r="G144" t="s">
        <v>32840</v>
      </c>
      <c r="H144" t="s">
        <v>32848</v>
      </c>
      <c r="I144" t="s">
        <v>9577</v>
      </c>
      <c r="J144" t="s">
        <v>33100</v>
      </c>
      <c r="K144" t="s">
        <v>42727</v>
      </c>
      <c r="M144" t="s">
        <v>43084</v>
      </c>
      <c r="N144" t="s">
        <v>47424</v>
      </c>
      <c r="O144" t="s">
        <v>47425</v>
      </c>
      <c r="P144">
        <v>0</v>
      </c>
      <c r="Q144">
        <v>0</v>
      </c>
      <c r="R144" t="s">
        <v>47426</v>
      </c>
      <c r="S144" t="s">
        <v>47531</v>
      </c>
      <c r="T144" t="s">
        <v>49096</v>
      </c>
      <c r="U144" t="s">
        <v>49798</v>
      </c>
      <c r="W144" t="s">
        <v>43084</v>
      </c>
      <c r="X144" t="s">
        <v>47430</v>
      </c>
    </row>
    <row r="145" spans="1:24">
      <c r="A145">
        <f>HYPERLINK("https://www.philgeps.gov.ph/GEPSNONPILOT/Tender/SplashBidNoticeAbstractUI.aspx?menuIndex=3&amp;refID=7161835&amp;Result=3","7161835")</f>
        <v>0</v>
      </c>
      <c r="B145" t="s">
        <v>97</v>
      </c>
      <c r="C145" t="s">
        <v>4070</v>
      </c>
      <c r="D145" t="s">
        <v>19042</v>
      </c>
      <c r="E145" t="s">
        <v>19267</v>
      </c>
      <c r="F145" t="s">
        <v>32831</v>
      </c>
      <c r="G145" t="s">
        <v>32840</v>
      </c>
      <c r="H145" t="s">
        <v>32848</v>
      </c>
      <c r="I145" t="s">
        <v>4438</v>
      </c>
      <c r="J145" t="s">
        <v>33101</v>
      </c>
      <c r="K145" t="s">
        <v>42759</v>
      </c>
      <c r="M145" t="s">
        <v>43094</v>
      </c>
      <c r="N145" t="s">
        <v>47424</v>
      </c>
      <c r="O145" t="s">
        <v>47425</v>
      </c>
      <c r="P145">
        <v>0</v>
      </c>
      <c r="Q145">
        <v>0</v>
      </c>
      <c r="R145" t="s">
        <v>47426</v>
      </c>
      <c r="S145" t="s">
        <v>47531</v>
      </c>
      <c r="T145" t="s">
        <v>49111</v>
      </c>
      <c r="U145" t="s">
        <v>49799</v>
      </c>
      <c r="W145" t="s">
        <v>43094</v>
      </c>
      <c r="X145" t="s">
        <v>47430</v>
      </c>
    </row>
    <row r="146" spans="1:24">
      <c r="A146">
        <f>HYPERLINK("https://www.philgeps.gov.ph/GEPSNONPILOT/Tender/SplashBidNoticeAbstractUI.aspx?menuIndex=3&amp;refID=7161983&amp;Result=3","7161983")</f>
        <v>0</v>
      </c>
      <c r="B146" t="s">
        <v>96</v>
      </c>
      <c r="C146" t="s">
        <v>4067</v>
      </c>
      <c r="D146" t="s">
        <v>19053</v>
      </c>
      <c r="E146" t="s">
        <v>19268</v>
      </c>
      <c r="F146" t="s">
        <v>32831</v>
      </c>
      <c r="G146" t="s">
        <v>32840</v>
      </c>
      <c r="H146" t="s">
        <v>32848</v>
      </c>
      <c r="I146" t="s">
        <v>9577</v>
      </c>
      <c r="J146" t="s">
        <v>33007</v>
      </c>
      <c r="K146" t="s">
        <v>42759</v>
      </c>
      <c r="M146" t="s">
        <v>43093</v>
      </c>
      <c r="N146" t="s">
        <v>47424</v>
      </c>
      <c r="O146" t="s">
        <v>47425</v>
      </c>
      <c r="P146">
        <v>0</v>
      </c>
      <c r="Q146">
        <v>0</v>
      </c>
      <c r="R146" t="s">
        <v>47426</v>
      </c>
      <c r="S146" t="s">
        <v>47531</v>
      </c>
      <c r="T146" t="s">
        <v>49110</v>
      </c>
      <c r="U146" t="s">
        <v>49800</v>
      </c>
      <c r="W146" t="s">
        <v>64431</v>
      </c>
      <c r="X146" t="s">
        <v>47430</v>
      </c>
    </row>
    <row r="147" spans="1:24">
      <c r="A147">
        <f>HYPERLINK("https://www.philgeps.gov.ph/GEPSNONPILOT/Tender/SplashBidNoticeAbstractUI.aspx?menuIndex=3&amp;refID=7161888&amp;Result=3","7161888")</f>
        <v>0</v>
      </c>
      <c r="B147" t="s">
        <v>98</v>
      </c>
      <c r="C147" t="s">
        <v>4071</v>
      </c>
      <c r="D147" t="s">
        <v>19039</v>
      </c>
      <c r="E147" t="s">
        <v>19269</v>
      </c>
      <c r="F147" t="s">
        <v>32831</v>
      </c>
      <c r="G147" t="s">
        <v>32838</v>
      </c>
      <c r="H147" t="s">
        <v>32848</v>
      </c>
      <c r="I147" t="s">
        <v>32873</v>
      </c>
      <c r="J147" t="s">
        <v>33102</v>
      </c>
      <c r="K147" t="s">
        <v>42727</v>
      </c>
      <c r="M147" t="s">
        <v>43095</v>
      </c>
      <c r="N147" t="s">
        <v>47424</v>
      </c>
      <c r="O147" t="s">
        <v>47425</v>
      </c>
      <c r="P147">
        <v>0</v>
      </c>
      <c r="Q147">
        <v>3</v>
      </c>
      <c r="R147" t="s">
        <v>47426</v>
      </c>
      <c r="S147" t="s">
        <v>47531</v>
      </c>
      <c r="T147" t="s">
        <v>49112</v>
      </c>
      <c r="U147" t="s">
        <v>49801</v>
      </c>
      <c r="W147" t="s">
        <v>43095</v>
      </c>
      <c r="X147" t="s">
        <v>47430</v>
      </c>
    </row>
    <row r="148" spans="1:24">
      <c r="A148">
        <f>HYPERLINK("https://www.philgeps.gov.ph/GEPSNONPILOT/Tender/SplashBidNoticeAbstractUI.aspx?menuIndex=3&amp;refID=7162000&amp;Result=3","7162000")</f>
        <v>0</v>
      </c>
      <c r="B148" t="s">
        <v>99</v>
      </c>
      <c r="C148" t="s">
        <v>4072</v>
      </c>
      <c r="D148" t="s">
        <v>19054</v>
      </c>
      <c r="E148" t="s">
        <v>19270</v>
      </c>
      <c r="F148" t="s">
        <v>32831</v>
      </c>
      <c r="G148" t="s">
        <v>32839</v>
      </c>
      <c r="H148" t="s">
        <v>32848</v>
      </c>
      <c r="I148" t="s">
        <v>5379</v>
      </c>
      <c r="J148" t="s">
        <v>33103</v>
      </c>
      <c r="K148" t="s">
        <v>42760</v>
      </c>
      <c r="M148" t="s">
        <v>43096</v>
      </c>
      <c r="N148" t="s">
        <v>47424</v>
      </c>
      <c r="O148" t="s">
        <v>47425</v>
      </c>
      <c r="P148">
        <v>0</v>
      </c>
      <c r="Q148">
        <v>0</v>
      </c>
      <c r="R148" t="s">
        <v>47426</v>
      </c>
      <c r="S148" t="s">
        <v>47531</v>
      </c>
      <c r="T148" t="s">
        <v>49069</v>
      </c>
      <c r="U148" t="s">
        <v>49802</v>
      </c>
      <c r="V148" t="s">
        <v>62643</v>
      </c>
      <c r="W148" t="s">
        <v>43096</v>
      </c>
      <c r="X148" t="s">
        <v>47430</v>
      </c>
    </row>
    <row r="149" spans="1:24">
      <c r="A149">
        <f>HYPERLINK("https://www.philgeps.gov.ph/GEPSNONPILOT/Tender/SplashBidNoticeAbstractUI.aspx?menuIndex=3&amp;refID=7161999&amp;Result=3","7161999")</f>
        <v>0</v>
      </c>
      <c r="B149" t="s">
        <v>100</v>
      </c>
      <c r="C149" t="s">
        <v>4073</v>
      </c>
      <c r="D149" t="s">
        <v>19017</v>
      </c>
      <c r="E149" t="s">
        <v>19271</v>
      </c>
      <c r="F149" t="s">
        <v>32831</v>
      </c>
      <c r="G149" t="s">
        <v>32840</v>
      </c>
      <c r="H149" t="s">
        <v>32848</v>
      </c>
      <c r="I149" t="s">
        <v>32860</v>
      </c>
      <c r="J149" t="s">
        <v>33104</v>
      </c>
      <c r="K149" t="s">
        <v>42731</v>
      </c>
      <c r="M149" t="s">
        <v>43097</v>
      </c>
      <c r="N149" t="s">
        <v>47424</v>
      </c>
      <c r="O149" t="s">
        <v>47425</v>
      </c>
      <c r="P149">
        <v>0</v>
      </c>
      <c r="Q149">
        <v>6</v>
      </c>
      <c r="R149" t="s">
        <v>47426</v>
      </c>
      <c r="S149" t="s">
        <v>47531</v>
      </c>
      <c r="T149" t="s">
        <v>49113</v>
      </c>
      <c r="U149" t="s">
        <v>49803</v>
      </c>
      <c r="V149" t="s">
        <v>62644</v>
      </c>
      <c r="W149" t="s">
        <v>43097</v>
      </c>
      <c r="X149" t="s">
        <v>47430</v>
      </c>
    </row>
    <row r="150" spans="1:24">
      <c r="A150">
        <f>HYPERLINK("https://www.philgeps.gov.ph/GEPSNONPILOT/Tender/SplashBidNoticeAbstractUI.aspx?menuIndex=3&amp;refID=7161976&amp;Result=3","7161976")</f>
        <v>0</v>
      </c>
      <c r="B150" t="s">
        <v>101</v>
      </c>
      <c r="C150" t="s">
        <v>4074</v>
      </c>
      <c r="D150" t="s">
        <v>19055</v>
      </c>
      <c r="E150" t="s">
        <v>19272</v>
      </c>
      <c r="F150" t="s">
        <v>32831</v>
      </c>
      <c r="G150" t="s">
        <v>32840</v>
      </c>
      <c r="H150" t="s">
        <v>32848</v>
      </c>
      <c r="I150" t="s">
        <v>9577</v>
      </c>
      <c r="J150" t="s">
        <v>33105</v>
      </c>
      <c r="K150" t="s">
        <v>42726</v>
      </c>
      <c r="M150" t="s">
        <v>43098</v>
      </c>
      <c r="N150" t="s">
        <v>47424</v>
      </c>
      <c r="O150" t="s">
        <v>47425</v>
      </c>
      <c r="P150">
        <v>0</v>
      </c>
      <c r="Q150">
        <v>0</v>
      </c>
      <c r="R150" t="s">
        <v>47426</v>
      </c>
      <c r="S150" t="s">
        <v>47531</v>
      </c>
      <c r="T150" t="s">
        <v>49114</v>
      </c>
      <c r="U150" t="s">
        <v>49804</v>
      </c>
      <c r="W150" t="s">
        <v>43098</v>
      </c>
      <c r="X150" t="s">
        <v>47430</v>
      </c>
    </row>
    <row r="151" spans="1:24">
      <c r="A151">
        <f>HYPERLINK("https://www.philgeps.gov.ph/GEPSNONPILOT/Tender/SplashBidNoticeAbstractUI.aspx?menuIndex=3&amp;refID=7161955&amp;Result=3","7161955")</f>
        <v>0</v>
      </c>
      <c r="B151" t="s">
        <v>75</v>
      </c>
      <c r="C151" t="s">
        <v>4075</v>
      </c>
      <c r="D151" t="s">
        <v>19046</v>
      </c>
      <c r="E151" t="s">
        <v>19273</v>
      </c>
      <c r="F151" t="s">
        <v>32831</v>
      </c>
      <c r="G151" t="s">
        <v>32839</v>
      </c>
      <c r="H151" t="s">
        <v>32849</v>
      </c>
      <c r="I151" t="s">
        <v>4177</v>
      </c>
      <c r="J151" t="s">
        <v>33106</v>
      </c>
      <c r="K151" t="s">
        <v>42761</v>
      </c>
      <c r="M151" t="s">
        <v>43072</v>
      </c>
      <c r="N151" t="s">
        <v>47424</v>
      </c>
      <c r="O151" t="s">
        <v>47425</v>
      </c>
      <c r="P151">
        <v>0</v>
      </c>
      <c r="Q151">
        <v>1</v>
      </c>
      <c r="R151" t="s">
        <v>47426</v>
      </c>
      <c r="S151" t="s">
        <v>47531</v>
      </c>
      <c r="T151" t="s">
        <v>49101</v>
      </c>
      <c r="U151" t="s">
        <v>49805</v>
      </c>
      <c r="W151" t="s">
        <v>43072</v>
      </c>
      <c r="X151" t="s">
        <v>47430</v>
      </c>
    </row>
    <row r="152" spans="1:24">
      <c r="A152">
        <f>HYPERLINK("https://www.philgeps.gov.ph/GEPSNONPILOT/Tender/SplashBidNoticeAbstractUI.aspx?menuIndex=3&amp;refID=7161949&amp;Result=3","7161949")</f>
        <v>0</v>
      </c>
      <c r="B152" t="s">
        <v>102</v>
      </c>
      <c r="C152" t="s">
        <v>4076</v>
      </c>
      <c r="D152" t="s">
        <v>19017</v>
      </c>
      <c r="E152" t="s">
        <v>19274</v>
      </c>
      <c r="F152" t="s">
        <v>32831</v>
      </c>
      <c r="G152" t="s">
        <v>32840</v>
      </c>
      <c r="H152" t="s">
        <v>32848</v>
      </c>
      <c r="I152" t="s">
        <v>4438</v>
      </c>
      <c r="J152" t="s">
        <v>32983</v>
      </c>
      <c r="K152" t="s">
        <v>42726</v>
      </c>
      <c r="M152" t="s">
        <v>43099</v>
      </c>
      <c r="N152" t="s">
        <v>47424</v>
      </c>
      <c r="O152" t="s">
        <v>47425</v>
      </c>
      <c r="P152">
        <v>0</v>
      </c>
      <c r="Q152">
        <v>2</v>
      </c>
      <c r="R152" t="s">
        <v>47426</v>
      </c>
      <c r="S152" t="s">
        <v>47531</v>
      </c>
      <c r="T152" t="s">
        <v>49060</v>
      </c>
      <c r="U152" t="s">
        <v>49806</v>
      </c>
      <c r="W152" t="s">
        <v>43099</v>
      </c>
      <c r="X152" t="s">
        <v>47430</v>
      </c>
    </row>
    <row r="153" spans="1:24">
      <c r="A153">
        <f>HYPERLINK("https://www.philgeps.gov.ph/GEPSNONPILOT/Tender/SplashBidNoticeAbstractUI.aspx?menuIndex=3&amp;refID=7161102&amp;Result=3","7161102")</f>
        <v>0</v>
      </c>
      <c r="B153" t="s">
        <v>81</v>
      </c>
      <c r="C153" t="s">
        <v>4041</v>
      </c>
      <c r="D153" t="s">
        <v>19023</v>
      </c>
      <c r="E153" t="s">
        <v>19275</v>
      </c>
      <c r="F153" t="s">
        <v>32831</v>
      </c>
      <c r="G153" t="s">
        <v>32838</v>
      </c>
      <c r="H153" t="s">
        <v>32848</v>
      </c>
      <c r="I153" t="s">
        <v>7416</v>
      </c>
      <c r="J153" t="s">
        <v>33078</v>
      </c>
      <c r="K153" t="s">
        <v>42732</v>
      </c>
      <c r="M153" t="s">
        <v>43078</v>
      </c>
      <c r="N153" t="s">
        <v>47424</v>
      </c>
      <c r="O153" t="s">
        <v>47425</v>
      </c>
      <c r="P153">
        <v>0</v>
      </c>
      <c r="Q153">
        <v>0</v>
      </c>
      <c r="R153" t="s">
        <v>47426</v>
      </c>
      <c r="S153" t="s">
        <v>47531</v>
      </c>
      <c r="T153" t="s">
        <v>49100</v>
      </c>
      <c r="U153" t="s">
        <v>49807</v>
      </c>
      <c r="W153" t="s">
        <v>43078</v>
      </c>
      <c r="X153" t="s">
        <v>47431</v>
      </c>
    </row>
    <row r="154" spans="1:24">
      <c r="A154">
        <f>HYPERLINK("https://www.philgeps.gov.ph/GEPSNONPILOT/Tender/SplashBidNoticeAbstractUI.aspx?menuIndex=3&amp;refID=7162075&amp;Result=3","7162075")</f>
        <v>0</v>
      </c>
      <c r="B154" t="s">
        <v>103</v>
      </c>
      <c r="C154" t="s">
        <v>4077</v>
      </c>
      <c r="D154" t="s">
        <v>19056</v>
      </c>
      <c r="E154" t="s">
        <v>19276</v>
      </c>
      <c r="F154" t="s">
        <v>32831</v>
      </c>
      <c r="G154" t="s">
        <v>32838</v>
      </c>
      <c r="H154" t="s">
        <v>32848</v>
      </c>
      <c r="I154" t="s">
        <v>10805</v>
      </c>
      <c r="J154" t="s">
        <v>33107</v>
      </c>
      <c r="K154" t="s">
        <v>42742</v>
      </c>
      <c r="L154" t="s">
        <v>103</v>
      </c>
      <c r="M154" t="s">
        <v>43100</v>
      </c>
      <c r="N154" t="s">
        <v>47424</v>
      </c>
      <c r="O154" t="s">
        <v>47425</v>
      </c>
      <c r="P154">
        <v>0</v>
      </c>
      <c r="Q154">
        <v>6</v>
      </c>
      <c r="R154" t="s">
        <v>47426</v>
      </c>
      <c r="S154" t="s">
        <v>47531</v>
      </c>
      <c r="T154" t="s">
        <v>49115</v>
      </c>
      <c r="U154" t="s">
        <v>49808</v>
      </c>
      <c r="W154" t="s">
        <v>43100</v>
      </c>
      <c r="X154" t="s">
        <v>47430</v>
      </c>
    </row>
    <row r="155" spans="1:24">
      <c r="A155">
        <f>HYPERLINK("https://www.philgeps.gov.ph/GEPSNONPILOT/Tender/SplashBidNoticeAbstractUI.aspx?menuIndex=3&amp;refID=7161979&amp;Result=3","7161979")</f>
        <v>0</v>
      </c>
      <c r="B155" t="s">
        <v>95</v>
      </c>
      <c r="C155" t="s">
        <v>4078</v>
      </c>
      <c r="D155" t="s">
        <v>19032</v>
      </c>
      <c r="E155" t="s">
        <v>19277</v>
      </c>
      <c r="F155" t="s">
        <v>32831</v>
      </c>
      <c r="G155" t="s">
        <v>32838</v>
      </c>
      <c r="H155" t="s">
        <v>32848</v>
      </c>
      <c r="I155" t="s">
        <v>4487</v>
      </c>
      <c r="J155" t="s">
        <v>33041</v>
      </c>
      <c r="K155" t="s">
        <v>42726</v>
      </c>
      <c r="M155" t="s">
        <v>43092</v>
      </c>
      <c r="N155" t="s">
        <v>47424</v>
      </c>
      <c r="O155" t="s">
        <v>47425</v>
      </c>
      <c r="P155">
        <v>0</v>
      </c>
      <c r="Q155">
        <v>0</v>
      </c>
      <c r="R155" t="s">
        <v>47426</v>
      </c>
      <c r="S155" t="s">
        <v>47531</v>
      </c>
      <c r="T155" t="s">
        <v>49091</v>
      </c>
      <c r="U155" t="s">
        <v>49809</v>
      </c>
      <c r="W155" t="s">
        <v>43092</v>
      </c>
      <c r="X155" t="s">
        <v>47430</v>
      </c>
    </row>
    <row r="156" spans="1:24">
      <c r="A156">
        <f>HYPERLINK("https://www.philgeps.gov.ph/GEPSNONPILOT/Tender/SplashBidNoticeAbstractUI.aspx?menuIndex=3&amp;refID=7162073&amp;Result=3","7162073")</f>
        <v>0</v>
      </c>
      <c r="B156" t="s">
        <v>104</v>
      </c>
      <c r="C156" t="s">
        <v>4079</v>
      </c>
      <c r="D156" t="s">
        <v>19048</v>
      </c>
      <c r="E156" t="s">
        <v>19278</v>
      </c>
      <c r="F156" t="s">
        <v>32831</v>
      </c>
      <c r="G156" t="s">
        <v>32840</v>
      </c>
      <c r="H156" t="s">
        <v>32848</v>
      </c>
      <c r="I156" t="s">
        <v>7878</v>
      </c>
      <c r="J156" t="s">
        <v>33012</v>
      </c>
      <c r="K156" t="s">
        <v>42730</v>
      </c>
      <c r="M156" t="s">
        <v>43101</v>
      </c>
      <c r="N156" t="s">
        <v>47424</v>
      </c>
      <c r="O156" t="s">
        <v>47425</v>
      </c>
      <c r="P156">
        <v>0</v>
      </c>
      <c r="Q156">
        <v>1</v>
      </c>
      <c r="R156" t="s">
        <v>47426</v>
      </c>
      <c r="S156" t="s">
        <v>47531</v>
      </c>
      <c r="T156" t="s">
        <v>49116</v>
      </c>
      <c r="U156" t="s">
        <v>49810</v>
      </c>
      <c r="W156" t="s">
        <v>43101</v>
      </c>
      <c r="X156" t="s">
        <v>47430</v>
      </c>
    </row>
    <row r="157" spans="1:24">
      <c r="A157">
        <f>HYPERLINK("https://www.philgeps.gov.ph/GEPSNONPILOT/Tender/SplashBidNoticeAbstractUI.aspx?menuIndex=3&amp;refID=7162071&amp;Result=3","7162071")</f>
        <v>0</v>
      </c>
      <c r="B157" t="s">
        <v>105</v>
      </c>
      <c r="C157" t="s">
        <v>4080</v>
      </c>
      <c r="D157" t="s">
        <v>19027</v>
      </c>
      <c r="E157" t="s">
        <v>19279</v>
      </c>
      <c r="F157" t="s">
        <v>32831</v>
      </c>
      <c r="G157" t="s">
        <v>32839</v>
      </c>
      <c r="H157" t="s">
        <v>32848</v>
      </c>
      <c r="I157" t="s">
        <v>7751</v>
      </c>
      <c r="J157" t="s">
        <v>33108</v>
      </c>
      <c r="K157" t="s">
        <v>42729</v>
      </c>
      <c r="M157" t="s">
        <v>43102</v>
      </c>
      <c r="N157" t="s">
        <v>47424</v>
      </c>
      <c r="O157" t="s">
        <v>47425</v>
      </c>
      <c r="P157">
        <v>0</v>
      </c>
      <c r="Q157">
        <v>1</v>
      </c>
      <c r="R157" t="s">
        <v>47426</v>
      </c>
      <c r="S157" t="s">
        <v>47531</v>
      </c>
      <c r="T157" t="s">
        <v>49077</v>
      </c>
      <c r="U157" t="s">
        <v>49811</v>
      </c>
      <c r="W157" t="s">
        <v>43102</v>
      </c>
      <c r="X157" t="s">
        <v>47430</v>
      </c>
    </row>
    <row r="158" spans="1:24">
      <c r="A158">
        <f>HYPERLINK("https://www.philgeps.gov.ph/GEPSNONPILOT/Tender/SplashBidNoticeAbstractUI.aspx?menuIndex=3&amp;refID=7162070&amp;Result=3","7162070")</f>
        <v>0</v>
      </c>
      <c r="B158" t="s">
        <v>100</v>
      </c>
      <c r="C158" t="s">
        <v>4081</v>
      </c>
      <c r="D158" t="s">
        <v>19017</v>
      </c>
      <c r="E158" t="s">
        <v>19280</v>
      </c>
      <c r="F158" t="s">
        <v>32831</v>
      </c>
      <c r="G158" t="s">
        <v>32840</v>
      </c>
      <c r="H158" t="s">
        <v>32848</v>
      </c>
      <c r="I158" t="s">
        <v>32860</v>
      </c>
      <c r="J158" t="s">
        <v>33109</v>
      </c>
      <c r="K158" t="s">
        <v>42731</v>
      </c>
      <c r="M158" t="s">
        <v>43097</v>
      </c>
      <c r="N158" t="s">
        <v>47424</v>
      </c>
      <c r="O158" t="s">
        <v>47425</v>
      </c>
      <c r="P158">
        <v>0</v>
      </c>
      <c r="Q158">
        <v>3</v>
      </c>
      <c r="R158" t="s">
        <v>47426</v>
      </c>
      <c r="S158" t="s">
        <v>47531</v>
      </c>
      <c r="T158" t="s">
        <v>49113</v>
      </c>
      <c r="U158" t="s">
        <v>49812</v>
      </c>
      <c r="V158" t="s">
        <v>62644</v>
      </c>
      <c r="W158" t="s">
        <v>43097</v>
      </c>
      <c r="X158" t="s">
        <v>47430</v>
      </c>
    </row>
    <row r="159" spans="1:24">
      <c r="A159">
        <f>HYPERLINK("https://www.philgeps.gov.ph/GEPSNONPILOT/Tender/SplashBidNoticeAbstractUI.aspx?menuIndex=3&amp;refID=7162067&amp;Result=3","7162067")</f>
        <v>0</v>
      </c>
      <c r="B159" t="s">
        <v>106</v>
      </c>
      <c r="C159" t="s">
        <v>4082</v>
      </c>
      <c r="D159" t="s">
        <v>19057</v>
      </c>
      <c r="E159" t="s">
        <v>19281</v>
      </c>
      <c r="F159" t="s">
        <v>32831</v>
      </c>
      <c r="G159" t="s">
        <v>32839</v>
      </c>
      <c r="H159" t="s">
        <v>32849</v>
      </c>
      <c r="I159" t="s">
        <v>4177</v>
      </c>
      <c r="J159" t="s">
        <v>33110</v>
      </c>
      <c r="K159" t="s">
        <v>42745</v>
      </c>
      <c r="M159" t="s">
        <v>43103</v>
      </c>
      <c r="N159" t="s">
        <v>47424</v>
      </c>
      <c r="O159" t="s">
        <v>47425</v>
      </c>
      <c r="P159">
        <v>0</v>
      </c>
      <c r="Q159">
        <v>0</v>
      </c>
      <c r="R159" t="s">
        <v>47426</v>
      </c>
      <c r="S159" t="s">
        <v>47531</v>
      </c>
      <c r="T159" t="s">
        <v>49066</v>
      </c>
      <c r="U159" t="s">
        <v>49813</v>
      </c>
      <c r="W159" t="s">
        <v>43103</v>
      </c>
      <c r="X159" t="s">
        <v>47430</v>
      </c>
    </row>
    <row r="160" spans="1:24">
      <c r="A160">
        <f>HYPERLINK("https://www.philgeps.gov.ph/GEPSNONPILOT/Tender/SplashBidNoticeAbstractUI.aspx?menuIndex=3&amp;refID=7161946&amp;Result=3","7161946")</f>
        <v>0</v>
      </c>
      <c r="B160" t="s">
        <v>107</v>
      </c>
      <c r="C160" t="s">
        <v>4083</v>
      </c>
      <c r="D160" t="s">
        <v>19034</v>
      </c>
      <c r="E160" t="s">
        <v>19282</v>
      </c>
      <c r="F160" t="s">
        <v>32831</v>
      </c>
      <c r="G160" t="s">
        <v>32838</v>
      </c>
      <c r="H160" t="s">
        <v>32848</v>
      </c>
      <c r="I160" t="s">
        <v>10888</v>
      </c>
      <c r="J160" t="s">
        <v>32976</v>
      </c>
      <c r="K160" t="s">
        <v>42730</v>
      </c>
      <c r="M160" t="s">
        <v>43104</v>
      </c>
      <c r="N160" t="s">
        <v>47424</v>
      </c>
      <c r="O160" t="s">
        <v>47425</v>
      </c>
      <c r="P160">
        <v>0</v>
      </c>
      <c r="Q160">
        <v>0</v>
      </c>
      <c r="R160" t="s">
        <v>47426</v>
      </c>
      <c r="S160" t="s">
        <v>47531</v>
      </c>
      <c r="T160" t="s">
        <v>49080</v>
      </c>
      <c r="U160" t="s">
        <v>49814</v>
      </c>
      <c r="W160" t="s">
        <v>43104</v>
      </c>
      <c r="X160" t="s">
        <v>47430</v>
      </c>
    </row>
    <row r="161" spans="1:24">
      <c r="A161">
        <f>HYPERLINK("https://www.philgeps.gov.ph/GEPSNONPILOT/Tender/SplashBidNoticeAbstractUI.aspx?menuIndex=3&amp;refID=7162063&amp;Result=3","7162063")</f>
        <v>0</v>
      </c>
      <c r="B161" t="s">
        <v>108</v>
      </c>
      <c r="C161" t="s">
        <v>4084</v>
      </c>
      <c r="D161" t="s">
        <v>19058</v>
      </c>
      <c r="E161" t="s">
        <v>19283</v>
      </c>
      <c r="F161" t="s">
        <v>32831</v>
      </c>
      <c r="G161" t="s">
        <v>32839</v>
      </c>
      <c r="H161" t="s">
        <v>32848</v>
      </c>
      <c r="I161" t="s">
        <v>7751</v>
      </c>
      <c r="J161" t="s">
        <v>33111</v>
      </c>
      <c r="K161" t="s">
        <v>42732</v>
      </c>
      <c r="M161" t="s">
        <v>43105</v>
      </c>
      <c r="N161" t="s">
        <v>47424</v>
      </c>
      <c r="O161" t="s">
        <v>47425</v>
      </c>
      <c r="P161">
        <v>0</v>
      </c>
      <c r="Q161">
        <v>4</v>
      </c>
      <c r="R161" t="s">
        <v>47426</v>
      </c>
      <c r="S161" t="s">
        <v>47531</v>
      </c>
      <c r="T161" t="s">
        <v>49117</v>
      </c>
      <c r="U161" t="s">
        <v>49815</v>
      </c>
      <c r="W161" t="s">
        <v>43105</v>
      </c>
      <c r="X161" t="s">
        <v>47430</v>
      </c>
    </row>
    <row r="162" spans="1:24">
      <c r="A162">
        <f>HYPERLINK("https://www.philgeps.gov.ph/GEPSNONPILOT/Tender/SplashBidNoticeAbstractUI.aspx?menuIndex=3&amp;refID=7162060&amp;Result=3","7162060")</f>
        <v>0</v>
      </c>
      <c r="B162" t="s">
        <v>109</v>
      </c>
      <c r="C162" t="s">
        <v>4085</v>
      </c>
      <c r="D162" t="s">
        <v>19048</v>
      </c>
      <c r="E162" t="s">
        <v>19284</v>
      </c>
      <c r="F162" t="s">
        <v>32831</v>
      </c>
      <c r="G162" t="s">
        <v>32839</v>
      </c>
      <c r="H162" t="s">
        <v>32848</v>
      </c>
      <c r="I162" t="s">
        <v>4776</v>
      </c>
      <c r="J162" t="s">
        <v>33081</v>
      </c>
      <c r="K162" t="s">
        <v>42729</v>
      </c>
      <c r="M162" t="s">
        <v>43106</v>
      </c>
      <c r="N162" t="s">
        <v>47424</v>
      </c>
      <c r="O162" t="s">
        <v>47425</v>
      </c>
      <c r="P162">
        <v>0</v>
      </c>
      <c r="Q162">
        <v>5</v>
      </c>
      <c r="R162" t="s">
        <v>47426</v>
      </c>
      <c r="S162" t="s">
        <v>47531</v>
      </c>
      <c r="T162" t="s">
        <v>49118</v>
      </c>
      <c r="U162" t="s">
        <v>49816</v>
      </c>
      <c r="W162" t="s">
        <v>43106</v>
      </c>
      <c r="X162" t="s">
        <v>47430</v>
      </c>
    </row>
    <row r="163" spans="1:24">
      <c r="A163">
        <f>HYPERLINK("https://www.philgeps.gov.ph/GEPSNONPILOT/Tender/SplashBidNoticeAbstractUI.aspx?menuIndex=3&amp;refID=7162048&amp;Result=3","7162048")</f>
        <v>0</v>
      </c>
      <c r="B163" t="s">
        <v>95</v>
      </c>
      <c r="C163" t="s">
        <v>4086</v>
      </c>
      <c r="D163" t="s">
        <v>19032</v>
      </c>
      <c r="E163" t="s">
        <v>19285</v>
      </c>
      <c r="F163" t="s">
        <v>32831</v>
      </c>
      <c r="G163" t="s">
        <v>32838</v>
      </c>
      <c r="H163" t="s">
        <v>32848</v>
      </c>
      <c r="I163" t="s">
        <v>4222</v>
      </c>
      <c r="J163" t="s">
        <v>33112</v>
      </c>
      <c r="K163" t="s">
        <v>42758</v>
      </c>
      <c r="M163" t="s">
        <v>43092</v>
      </c>
      <c r="N163" t="s">
        <v>47424</v>
      </c>
      <c r="O163" t="s">
        <v>47425</v>
      </c>
      <c r="P163">
        <v>0</v>
      </c>
      <c r="Q163">
        <v>0</v>
      </c>
      <c r="R163" t="s">
        <v>47426</v>
      </c>
      <c r="S163" t="s">
        <v>47531</v>
      </c>
      <c r="T163" t="s">
        <v>49091</v>
      </c>
      <c r="U163" t="s">
        <v>49817</v>
      </c>
      <c r="W163" t="s">
        <v>43092</v>
      </c>
      <c r="X163" t="s">
        <v>47430</v>
      </c>
    </row>
    <row r="164" spans="1:24">
      <c r="A164">
        <f>HYPERLINK("https://www.philgeps.gov.ph/GEPSNONPILOT/Tender/SplashBidNoticeAbstractUI.aspx?menuIndex=3&amp;refID=7162047&amp;Result=3","7162047")</f>
        <v>0</v>
      </c>
      <c r="B164" t="s">
        <v>100</v>
      </c>
      <c r="C164" t="s">
        <v>4087</v>
      </c>
      <c r="D164" t="s">
        <v>19017</v>
      </c>
      <c r="E164" t="s">
        <v>19286</v>
      </c>
      <c r="F164" t="s">
        <v>32831</v>
      </c>
      <c r="G164" t="s">
        <v>32840</v>
      </c>
      <c r="H164" t="s">
        <v>32848</v>
      </c>
      <c r="I164" t="s">
        <v>32860</v>
      </c>
      <c r="J164" t="s">
        <v>33113</v>
      </c>
      <c r="K164" t="s">
        <v>42731</v>
      </c>
      <c r="M164" t="s">
        <v>43097</v>
      </c>
      <c r="N164" t="s">
        <v>47424</v>
      </c>
      <c r="O164" t="s">
        <v>47425</v>
      </c>
      <c r="P164">
        <v>0</v>
      </c>
      <c r="Q164">
        <v>2</v>
      </c>
      <c r="R164" t="s">
        <v>47426</v>
      </c>
      <c r="S164" t="s">
        <v>47531</v>
      </c>
      <c r="T164" t="s">
        <v>49113</v>
      </c>
      <c r="U164" t="s">
        <v>49812</v>
      </c>
      <c r="V164" t="s">
        <v>62644</v>
      </c>
      <c r="W164" t="s">
        <v>43097</v>
      </c>
      <c r="X164" t="s">
        <v>47430</v>
      </c>
    </row>
    <row r="165" spans="1:24">
      <c r="A165">
        <f>HYPERLINK("https://www.philgeps.gov.ph/GEPSNONPILOT/Tender/SplashBidNoticeAbstractUI.aspx?menuIndex=3&amp;refID=7162043&amp;Result=3","7162043")</f>
        <v>0</v>
      </c>
      <c r="B165" t="s">
        <v>110</v>
      </c>
      <c r="C165" t="s">
        <v>4088</v>
      </c>
      <c r="D165" t="s">
        <v>19027</v>
      </c>
      <c r="E165" t="s">
        <v>19287</v>
      </c>
      <c r="F165" t="s">
        <v>32831</v>
      </c>
      <c r="G165" t="s">
        <v>32838</v>
      </c>
      <c r="H165" t="s">
        <v>32848</v>
      </c>
      <c r="I165" t="s">
        <v>9577</v>
      </c>
      <c r="J165" t="s">
        <v>33114</v>
      </c>
      <c r="K165" t="s">
        <v>42732</v>
      </c>
      <c r="M165" t="s">
        <v>43107</v>
      </c>
      <c r="N165" t="s">
        <v>47424</v>
      </c>
      <c r="O165" t="s">
        <v>47425</v>
      </c>
      <c r="P165">
        <v>0</v>
      </c>
      <c r="Q165">
        <v>2</v>
      </c>
      <c r="R165" t="s">
        <v>47426</v>
      </c>
      <c r="S165" t="s">
        <v>47531</v>
      </c>
      <c r="T165" t="s">
        <v>49119</v>
      </c>
      <c r="U165" t="s">
        <v>49818</v>
      </c>
      <c r="W165" t="s">
        <v>43107</v>
      </c>
      <c r="X165" t="s">
        <v>47430</v>
      </c>
    </row>
    <row r="166" spans="1:24">
      <c r="A166">
        <f>HYPERLINK("https://www.philgeps.gov.ph/GEPSNONPILOT/Tender/SplashBidNoticeAbstractUI.aspx?menuIndex=3&amp;refID=7162039&amp;Result=3","7162039")</f>
        <v>0</v>
      </c>
      <c r="B166" t="s">
        <v>111</v>
      </c>
      <c r="C166" t="s">
        <v>4089</v>
      </c>
      <c r="D166" t="s">
        <v>19059</v>
      </c>
      <c r="E166" t="s">
        <v>19288</v>
      </c>
      <c r="F166" t="s">
        <v>32831</v>
      </c>
      <c r="G166" t="s">
        <v>32838</v>
      </c>
      <c r="H166" t="s">
        <v>32848</v>
      </c>
      <c r="I166" t="s">
        <v>4776</v>
      </c>
      <c r="J166" t="s">
        <v>32976</v>
      </c>
      <c r="K166" t="s">
        <v>42726</v>
      </c>
      <c r="M166" t="s">
        <v>43108</v>
      </c>
      <c r="N166" t="s">
        <v>47424</v>
      </c>
      <c r="O166" t="s">
        <v>47425</v>
      </c>
      <c r="P166">
        <v>0</v>
      </c>
      <c r="Q166">
        <v>1</v>
      </c>
      <c r="R166" t="s">
        <v>47426</v>
      </c>
      <c r="S166" t="s">
        <v>47531</v>
      </c>
      <c r="T166" t="s">
        <v>49100</v>
      </c>
      <c r="U166" t="s">
        <v>49819</v>
      </c>
      <c r="W166" t="s">
        <v>43108</v>
      </c>
      <c r="X166" t="s">
        <v>47430</v>
      </c>
    </row>
    <row r="167" spans="1:24">
      <c r="A167">
        <f>HYPERLINK("https://www.philgeps.gov.ph/GEPSNONPILOT/Tender/SplashBidNoticeAbstractUI.aspx?menuIndex=3&amp;refID=7161954&amp;Result=3","7161954")</f>
        <v>0</v>
      </c>
      <c r="B167" t="s">
        <v>112</v>
      </c>
      <c r="C167" t="s">
        <v>4090</v>
      </c>
      <c r="D167" t="s">
        <v>19024</v>
      </c>
      <c r="E167" t="s">
        <v>19289</v>
      </c>
      <c r="F167" t="s">
        <v>32831</v>
      </c>
      <c r="G167" t="s">
        <v>32839</v>
      </c>
      <c r="H167" t="s">
        <v>32848</v>
      </c>
      <c r="I167" t="s">
        <v>4776</v>
      </c>
      <c r="J167" t="s">
        <v>32983</v>
      </c>
      <c r="K167" t="s">
        <v>42727</v>
      </c>
      <c r="M167" t="s">
        <v>43109</v>
      </c>
      <c r="N167" t="s">
        <v>47424</v>
      </c>
      <c r="O167" t="s">
        <v>47425</v>
      </c>
      <c r="P167">
        <v>0</v>
      </c>
      <c r="Q167">
        <v>2</v>
      </c>
      <c r="R167" t="s">
        <v>47426</v>
      </c>
      <c r="S167" t="s">
        <v>47531</v>
      </c>
      <c r="T167" t="s">
        <v>49059</v>
      </c>
      <c r="U167" t="s">
        <v>49820</v>
      </c>
      <c r="W167" t="s">
        <v>43109</v>
      </c>
      <c r="X167" t="s">
        <v>47430</v>
      </c>
    </row>
    <row r="168" spans="1:24">
      <c r="A168">
        <f>HYPERLINK("https://www.philgeps.gov.ph/GEPSNONPILOT/Tender/SplashBidNoticeAbstractUI.aspx?menuIndex=3&amp;refID=7162029&amp;Result=3","7162029")</f>
        <v>0</v>
      </c>
      <c r="B168" t="s">
        <v>99</v>
      </c>
      <c r="C168" t="s">
        <v>4091</v>
      </c>
      <c r="D168" t="s">
        <v>19054</v>
      </c>
      <c r="E168" t="s">
        <v>19290</v>
      </c>
      <c r="F168" t="s">
        <v>32831</v>
      </c>
      <c r="G168" t="s">
        <v>32839</v>
      </c>
      <c r="H168" t="s">
        <v>32848</v>
      </c>
      <c r="I168" t="s">
        <v>32857</v>
      </c>
      <c r="J168" t="s">
        <v>33115</v>
      </c>
      <c r="K168" t="s">
        <v>42730</v>
      </c>
      <c r="M168" t="s">
        <v>43096</v>
      </c>
      <c r="N168" t="s">
        <v>47424</v>
      </c>
      <c r="O168" t="s">
        <v>47425</v>
      </c>
      <c r="P168">
        <v>0</v>
      </c>
      <c r="Q168">
        <v>3</v>
      </c>
      <c r="R168" t="s">
        <v>47426</v>
      </c>
      <c r="S168" t="s">
        <v>47531</v>
      </c>
      <c r="T168" t="s">
        <v>49069</v>
      </c>
      <c r="U168" t="s">
        <v>49821</v>
      </c>
      <c r="V168" t="s">
        <v>62643</v>
      </c>
      <c r="W168" t="s">
        <v>43096</v>
      </c>
      <c r="X168" t="s">
        <v>47430</v>
      </c>
    </row>
    <row r="169" spans="1:24">
      <c r="A169">
        <f>HYPERLINK("https://www.philgeps.gov.ph/GEPSNONPILOT/Tender/SplashBidNoticeAbstractUI.aspx?menuIndex=3&amp;refID=7162020&amp;Result=3","7162020")</f>
        <v>0</v>
      </c>
      <c r="B169" t="s">
        <v>75</v>
      </c>
      <c r="C169" t="s">
        <v>4092</v>
      </c>
      <c r="D169" t="s">
        <v>19046</v>
      </c>
      <c r="E169" t="s">
        <v>19291</v>
      </c>
      <c r="F169" t="s">
        <v>32831</v>
      </c>
      <c r="G169" t="s">
        <v>32839</v>
      </c>
      <c r="H169" t="s">
        <v>32849</v>
      </c>
      <c r="I169" t="s">
        <v>4177</v>
      </c>
      <c r="J169" t="s">
        <v>33024</v>
      </c>
      <c r="K169" t="s">
        <v>42757</v>
      </c>
      <c r="M169" t="s">
        <v>43072</v>
      </c>
      <c r="N169" t="s">
        <v>47424</v>
      </c>
      <c r="O169" t="s">
        <v>47425</v>
      </c>
      <c r="P169">
        <v>0</v>
      </c>
      <c r="Q169">
        <v>0</v>
      </c>
      <c r="R169" t="s">
        <v>47426</v>
      </c>
      <c r="S169" t="s">
        <v>47531</v>
      </c>
      <c r="T169" t="s">
        <v>49101</v>
      </c>
      <c r="U169" t="s">
        <v>49822</v>
      </c>
      <c r="W169" t="s">
        <v>43072</v>
      </c>
      <c r="X169" t="s">
        <v>47430</v>
      </c>
    </row>
    <row r="170" spans="1:24">
      <c r="A170">
        <f>HYPERLINK("https://www.philgeps.gov.ph/GEPSNONPILOT/Tender/SplashBidNoticeAbstractUI.aspx?menuIndex=3&amp;refID=7162041&amp;Result=3","7162041")</f>
        <v>0</v>
      </c>
      <c r="B170" t="s">
        <v>113</v>
      </c>
      <c r="C170" t="s">
        <v>4093</v>
      </c>
      <c r="D170" t="s">
        <v>19027</v>
      </c>
      <c r="E170" t="s">
        <v>19292</v>
      </c>
      <c r="F170" t="s">
        <v>32831</v>
      </c>
      <c r="G170" t="s">
        <v>32838</v>
      </c>
      <c r="H170" t="s">
        <v>32848</v>
      </c>
      <c r="I170" t="s">
        <v>32874</v>
      </c>
      <c r="J170" t="s">
        <v>33116</v>
      </c>
      <c r="K170" t="s">
        <v>42731</v>
      </c>
      <c r="M170" t="s">
        <v>43110</v>
      </c>
      <c r="N170" t="s">
        <v>47424</v>
      </c>
      <c r="O170" t="s">
        <v>47425</v>
      </c>
      <c r="P170">
        <v>0</v>
      </c>
      <c r="Q170">
        <v>6</v>
      </c>
      <c r="R170" t="s">
        <v>47426</v>
      </c>
      <c r="S170" t="s">
        <v>47531</v>
      </c>
      <c r="T170" t="s">
        <v>49108</v>
      </c>
      <c r="U170" t="s">
        <v>49823</v>
      </c>
      <c r="W170" t="s">
        <v>47317</v>
      </c>
      <c r="X170" t="s">
        <v>47430</v>
      </c>
    </row>
    <row r="171" spans="1:24">
      <c r="A171">
        <f>HYPERLINK("https://www.philgeps.gov.ph/GEPSNONPILOT/Tender/SplashBidNoticeAbstractUI.aspx?menuIndex=3&amp;refID=7162013&amp;Result=3","7162013")</f>
        <v>0</v>
      </c>
      <c r="B171" t="s">
        <v>114</v>
      </c>
      <c r="C171" t="s">
        <v>4094</v>
      </c>
      <c r="D171" t="s">
        <v>19050</v>
      </c>
      <c r="E171" t="s">
        <v>19293</v>
      </c>
      <c r="F171" t="s">
        <v>32831</v>
      </c>
      <c r="G171" t="s">
        <v>32841</v>
      </c>
      <c r="H171" t="s">
        <v>32848</v>
      </c>
      <c r="I171" t="s">
        <v>4558</v>
      </c>
      <c r="J171" t="s">
        <v>33117</v>
      </c>
      <c r="K171" t="s">
        <v>42745</v>
      </c>
      <c r="L171" t="s">
        <v>114</v>
      </c>
      <c r="M171" t="s">
        <v>43111</v>
      </c>
      <c r="N171" t="s">
        <v>47424</v>
      </c>
      <c r="O171" t="s">
        <v>47425</v>
      </c>
      <c r="P171">
        <v>0</v>
      </c>
      <c r="Q171">
        <v>3</v>
      </c>
      <c r="R171" t="s">
        <v>47426</v>
      </c>
      <c r="S171" t="s">
        <v>47531</v>
      </c>
      <c r="T171" t="s">
        <v>49120</v>
      </c>
      <c r="U171" t="s">
        <v>49824</v>
      </c>
      <c r="W171" t="s">
        <v>43111</v>
      </c>
      <c r="X171" t="s">
        <v>47430</v>
      </c>
    </row>
    <row r="172" spans="1:24">
      <c r="A172">
        <f>HYPERLINK("https://www.philgeps.gov.ph/GEPSNONPILOT/Tender/SplashBidNoticeAbstractUI.aspx?menuIndex=3&amp;refID=7160731&amp;Result=3","7160731")</f>
        <v>0</v>
      </c>
      <c r="B172" t="s">
        <v>115</v>
      </c>
      <c r="C172" t="s">
        <v>4095</v>
      </c>
      <c r="D172" t="s">
        <v>19060</v>
      </c>
      <c r="E172" t="s">
        <v>19294</v>
      </c>
      <c r="F172" t="s">
        <v>32831</v>
      </c>
      <c r="G172" t="s">
        <v>32839</v>
      </c>
      <c r="H172" t="s">
        <v>32849</v>
      </c>
      <c r="I172" t="s">
        <v>4177</v>
      </c>
      <c r="J172" t="s">
        <v>33118</v>
      </c>
      <c r="K172" t="s">
        <v>42762</v>
      </c>
      <c r="M172" t="s">
        <v>43112</v>
      </c>
      <c r="N172" t="s">
        <v>47424</v>
      </c>
      <c r="O172" t="s">
        <v>47425</v>
      </c>
      <c r="P172">
        <v>0</v>
      </c>
      <c r="Q172">
        <v>0</v>
      </c>
      <c r="R172" t="s">
        <v>47426</v>
      </c>
      <c r="S172" t="s">
        <v>47531</v>
      </c>
      <c r="T172" t="s">
        <v>49096</v>
      </c>
      <c r="U172" t="s">
        <v>49825</v>
      </c>
      <c r="V172" t="s">
        <v>62645</v>
      </c>
      <c r="W172" t="s">
        <v>43112</v>
      </c>
      <c r="X172" t="s">
        <v>47431</v>
      </c>
    </row>
    <row r="173" spans="1:24">
      <c r="A173">
        <f>HYPERLINK("https://www.philgeps.gov.ph/GEPSNONPILOT/Tender/SplashBidNoticeAbstractUI.aspx?menuIndex=3&amp;refID=7161944&amp;Result=3","7161944")</f>
        <v>0</v>
      </c>
      <c r="B173" t="s">
        <v>116</v>
      </c>
      <c r="C173" t="s">
        <v>4096</v>
      </c>
      <c r="D173" t="s">
        <v>19057</v>
      </c>
      <c r="E173" t="s">
        <v>19295</v>
      </c>
      <c r="F173" t="s">
        <v>32831</v>
      </c>
      <c r="G173" t="s">
        <v>32838</v>
      </c>
      <c r="H173" t="s">
        <v>32848</v>
      </c>
      <c r="I173" t="s">
        <v>4471</v>
      </c>
      <c r="J173" t="s">
        <v>33119</v>
      </c>
      <c r="K173" t="s">
        <v>42731</v>
      </c>
      <c r="M173" t="s">
        <v>43113</v>
      </c>
      <c r="N173" t="s">
        <v>47424</v>
      </c>
      <c r="O173" t="s">
        <v>47425</v>
      </c>
      <c r="P173">
        <v>0</v>
      </c>
      <c r="Q173">
        <v>1</v>
      </c>
      <c r="R173" t="s">
        <v>47426</v>
      </c>
      <c r="S173" t="s">
        <v>47531</v>
      </c>
      <c r="T173" t="s">
        <v>49061</v>
      </c>
      <c r="U173" t="s">
        <v>49826</v>
      </c>
      <c r="W173" t="s">
        <v>43113</v>
      </c>
      <c r="X173" t="s">
        <v>47430</v>
      </c>
    </row>
    <row r="174" spans="1:24">
      <c r="A174">
        <f>HYPERLINK("https://www.philgeps.gov.ph/GEPSNONPILOT/Tender/SplashBidNoticeAbstractUI.aspx?menuIndex=3&amp;refID=7162018&amp;Result=3","7162018")</f>
        <v>0</v>
      </c>
      <c r="B174" t="s">
        <v>100</v>
      </c>
      <c r="C174" t="s">
        <v>4097</v>
      </c>
      <c r="D174" t="s">
        <v>19017</v>
      </c>
      <c r="E174" t="s">
        <v>19296</v>
      </c>
      <c r="F174" t="s">
        <v>32831</v>
      </c>
      <c r="G174" t="s">
        <v>32840</v>
      </c>
      <c r="H174" t="s">
        <v>32848</v>
      </c>
      <c r="I174" t="s">
        <v>32860</v>
      </c>
      <c r="J174" t="s">
        <v>33120</v>
      </c>
      <c r="K174" t="s">
        <v>42731</v>
      </c>
      <c r="M174" t="s">
        <v>43097</v>
      </c>
      <c r="N174" t="s">
        <v>47424</v>
      </c>
      <c r="O174" t="s">
        <v>47425</v>
      </c>
      <c r="P174">
        <v>0</v>
      </c>
      <c r="Q174">
        <v>2</v>
      </c>
      <c r="R174" t="s">
        <v>47426</v>
      </c>
      <c r="S174" t="s">
        <v>47531</v>
      </c>
      <c r="T174" t="s">
        <v>49121</v>
      </c>
      <c r="U174" t="s">
        <v>49812</v>
      </c>
      <c r="V174" t="s">
        <v>62644</v>
      </c>
      <c r="W174" t="s">
        <v>43097</v>
      </c>
      <c r="X174" t="s">
        <v>47430</v>
      </c>
    </row>
    <row r="175" spans="1:24">
      <c r="A175">
        <f>HYPERLINK("https://www.philgeps.gov.ph/GEPSNONPILOT/Tender/SplashBidNoticeAbstractUI.aspx?menuIndex=3&amp;refID=7161935&amp;Result=3","7161935")</f>
        <v>0</v>
      </c>
      <c r="B175" t="s">
        <v>95</v>
      </c>
      <c r="C175" t="s">
        <v>4098</v>
      </c>
      <c r="D175" t="s">
        <v>19032</v>
      </c>
      <c r="E175" t="s">
        <v>19297</v>
      </c>
      <c r="F175" t="s">
        <v>32831</v>
      </c>
      <c r="G175" t="s">
        <v>32839</v>
      </c>
      <c r="H175" t="s">
        <v>32848</v>
      </c>
      <c r="I175" t="s">
        <v>32857</v>
      </c>
      <c r="J175" t="s">
        <v>33121</v>
      </c>
      <c r="K175" t="s">
        <v>42726</v>
      </c>
      <c r="M175" t="s">
        <v>43092</v>
      </c>
      <c r="N175" t="s">
        <v>47424</v>
      </c>
      <c r="O175" t="s">
        <v>47425</v>
      </c>
      <c r="P175">
        <v>0</v>
      </c>
      <c r="Q175">
        <v>4</v>
      </c>
      <c r="R175" t="s">
        <v>47426</v>
      </c>
      <c r="S175" t="s">
        <v>47531</v>
      </c>
      <c r="T175" t="s">
        <v>49109</v>
      </c>
      <c r="U175" t="s">
        <v>49827</v>
      </c>
      <c r="W175" t="s">
        <v>43092</v>
      </c>
      <c r="X175" t="s">
        <v>47430</v>
      </c>
    </row>
    <row r="176" spans="1:24">
      <c r="A176">
        <f>HYPERLINK("https://www.philgeps.gov.ph/GEPSNONPILOT/Tender/SplashBidNoticeAbstractUI.aspx?menuIndex=3&amp;refID=7162017&amp;Result=3","7162017")</f>
        <v>0</v>
      </c>
      <c r="B176" t="s">
        <v>99</v>
      </c>
      <c r="C176" t="s">
        <v>4099</v>
      </c>
      <c r="D176" t="s">
        <v>19054</v>
      </c>
      <c r="E176" t="s">
        <v>19298</v>
      </c>
      <c r="F176" t="s">
        <v>32831</v>
      </c>
      <c r="G176" t="s">
        <v>32839</v>
      </c>
      <c r="H176" t="s">
        <v>32848</v>
      </c>
      <c r="I176" t="s">
        <v>32857</v>
      </c>
      <c r="J176" t="s">
        <v>33122</v>
      </c>
      <c r="K176" t="s">
        <v>42730</v>
      </c>
      <c r="M176" t="s">
        <v>43096</v>
      </c>
      <c r="N176" t="s">
        <v>47424</v>
      </c>
      <c r="O176" t="s">
        <v>47425</v>
      </c>
      <c r="P176">
        <v>0</v>
      </c>
      <c r="Q176">
        <v>2</v>
      </c>
      <c r="R176" t="s">
        <v>47426</v>
      </c>
      <c r="S176" t="s">
        <v>47531</v>
      </c>
      <c r="T176" t="s">
        <v>49069</v>
      </c>
      <c r="U176" t="s">
        <v>49821</v>
      </c>
      <c r="V176" t="s">
        <v>62643</v>
      </c>
      <c r="W176" t="s">
        <v>43096</v>
      </c>
      <c r="X176" t="s">
        <v>47430</v>
      </c>
    </row>
    <row r="177" spans="1:24">
      <c r="A177">
        <f>HYPERLINK("https://www.philgeps.gov.ph/GEPSNONPILOT/Tender/SplashBidNoticeAbstractUI.aspx?menuIndex=3&amp;refID=7161932&amp;Result=3","7161932")</f>
        <v>0</v>
      </c>
      <c r="B177" t="s">
        <v>112</v>
      </c>
      <c r="C177" t="s">
        <v>4100</v>
      </c>
      <c r="D177" t="s">
        <v>19024</v>
      </c>
      <c r="E177" t="s">
        <v>19299</v>
      </c>
      <c r="F177" t="s">
        <v>32831</v>
      </c>
      <c r="G177" t="s">
        <v>32839</v>
      </c>
      <c r="H177" t="s">
        <v>32848</v>
      </c>
      <c r="I177" t="s">
        <v>32857</v>
      </c>
      <c r="J177" t="s">
        <v>33123</v>
      </c>
      <c r="K177" t="s">
        <v>42727</v>
      </c>
      <c r="M177" t="s">
        <v>43109</v>
      </c>
      <c r="N177" t="s">
        <v>47424</v>
      </c>
      <c r="O177" t="s">
        <v>47425</v>
      </c>
      <c r="P177">
        <v>0</v>
      </c>
      <c r="Q177">
        <v>1</v>
      </c>
      <c r="R177" t="s">
        <v>47426</v>
      </c>
      <c r="S177" t="s">
        <v>47531</v>
      </c>
      <c r="T177" t="s">
        <v>49080</v>
      </c>
      <c r="U177" t="s">
        <v>49828</v>
      </c>
      <c r="W177" t="s">
        <v>43109</v>
      </c>
      <c r="X177" t="s">
        <v>47430</v>
      </c>
    </row>
    <row r="178" spans="1:24">
      <c r="A178">
        <f>HYPERLINK("https://www.philgeps.gov.ph/GEPSNONPILOT/Tender/SplashBidNoticeAbstractUI.aspx?menuIndex=3&amp;refID=7161926&amp;Result=3","7161926")</f>
        <v>0</v>
      </c>
      <c r="B178" t="s">
        <v>117</v>
      </c>
      <c r="C178" t="s">
        <v>4101</v>
      </c>
      <c r="D178" t="s">
        <v>19036</v>
      </c>
      <c r="E178" t="s">
        <v>19300</v>
      </c>
      <c r="F178" t="s">
        <v>32831</v>
      </c>
      <c r="G178" t="s">
        <v>32840</v>
      </c>
      <c r="H178" t="s">
        <v>32848</v>
      </c>
      <c r="I178" t="s">
        <v>9577</v>
      </c>
      <c r="J178" t="s">
        <v>33124</v>
      </c>
      <c r="K178" t="s">
        <v>42758</v>
      </c>
      <c r="M178" t="s">
        <v>43114</v>
      </c>
      <c r="N178" t="s">
        <v>47424</v>
      </c>
      <c r="O178" t="s">
        <v>47425</v>
      </c>
      <c r="P178">
        <v>0</v>
      </c>
      <c r="Q178">
        <v>1</v>
      </c>
      <c r="R178" t="s">
        <v>47426</v>
      </c>
      <c r="S178" t="s">
        <v>47531</v>
      </c>
      <c r="T178" t="s">
        <v>49056</v>
      </c>
      <c r="U178" t="s">
        <v>49829</v>
      </c>
      <c r="W178" t="s">
        <v>43114</v>
      </c>
      <c r="X178" t="s">
        <v>47430</v>
      </c>
    </row>
    <row r="179" spans="1:24">
      <c r="A179">
        <f>HYPERLINK("https://www.philgeps.gov.ph/GEPSNONPILOT/Tender/SplashBidNoticeAbstractUI.aspx?menuIndex=3&amp;refID=7162034&amp;Result=3","7162034")</f>
        <v>0</v>
      </c>
      <c r="B179" t="s">
        <v>92</v>
      </c>
      <c r="C179" t="s">
        <v>4102</v>
      </c>
      <c r="D179" t="s">
        <v>19051</v>
      </c>
      <c r="E179" t="s">
        <v>19260</v>
      </c>
      <c r="F179" t="s">
        <v>32831</v>
      </c>
      <c r="G179" t="s">
        <v>32839</v>
      </c>
      <c r="H179" t="s">
        <v>32849</v>
      </c>
      <c r="I179" t="s">
        <v>4177</v>
      </c>
      <c r="J179" t="s">
        <v>33118</v>
      </c>
      <c r="K179" t="s">
        <v>42732</v>
      </c>
      <c r="M179" t="s">
        <v>43089</v>
      </c>
      <c r="N179" t="s">
        <v>47424</v>
      </c>
      <c r="O179" t="s">
        <v>47425</v>
      </c>
      <c r="P179">
        <v>0</v>
      </c>
      <c r="Q179">
        <v>0</v>
      </c>
      <c r="R179" t="s">
        <v>47426</v>
      </c>
      <c r="S179" t="s">
        <v>47531</v>
      </c>
      <c r="T179" t="s">
        <v>49065</v>
      </c>
      <c r="U179" t="s">
        <v>49830</v>
      </c>
      <c r="V179" t="s">
        <v>62640</v>
      </c>
      <c r="W179" t="s">
        <v>43089</v>
      </c>
      <c r="X179" t="s">
        <v>47430</v>
      </c>
    </row>
    <row r="180" spans="1:24">
      <c r="A180">
        <f>HYPERLINK("https://www.philgeps.gov.ph/GEPSNONPILOT/Tender/SplashBidNoticeAbstractUI.aspx?menuIndex=3&amp;refID=7162008&amp;Result=3","7162008")</f>
        <v>0</v>
      </c>
      <c r="B180" t="s">
        <v>118</v>
      </c>
      <c r="C180" t="s">
        <v>4103</v>
      </c>
      <c r="D180" t="s">
        <v>19061</v>
      </c>
      <c r="E180" t="s">
        <v>19301</v>
      </c>
      <c r="F180" t="s">
        <v>32831</v>
      </c>
      <c r="G180" t="s">
        <v>32838</v>
      </c>
      <c r="H180" t="s">
        <v>32848</v>
      </c>
      <c r="I180" t="s">
        <v>7416</v>
      </c>
      <c r="J180" t="s">
        <v>33125</v>
      </c>
      <c r="K180" t="s">
        <v>42730</v>
      </c>
      <c r="M180" t="s">
        <v>43115</v>
      </c>
      <c r="N180" t="s">
        <v>47424</v>
      </c>
      <c r="O180" t="s">
        <v>47425</v>
      </c>
      <c r="P180">
        <v>0</v>
      </c>
      <c r="Q180">
        <v>0</v>
      </c>
      <c r="R180" t="s">
        <v>47426</v>
      </c>
      <c r="S180" t="s">
        <v>47531</v>
      </c>
      <c r="T180" t="s">
        <v>49100</v>
      </c>
      <c r="U180" t="s">
        <v>49831</v>
      </c>
      <c r="W180" t="s">
        <v>43115</v>
      </c>
      <c r="X180" t="s">
        <v>47430</v>
      </c>
    </row>
    <row r="181" spans="1:24">
      <c r="A181">
        <f>HYPERLINK("https://www.philgeps.gov.ph/GEPSNONPILOT/Tender/SplashBidNoticeAbstractUI.aspx?menuIndex=3&amp;refID=7161865&amp;Result=3","7161865")</f>
        <v>0</v>
      </c>
      <c r="B181" t="s">
        <v>93</v>
      </c>
      <c r="C181" t="s">
        <v>4104</v>
      </c>
      <c r="D181" t="s">
        <v>19035</v>
      </c>
      <c r="E181" t="s">
        <v>19302</v>
      </c>
      <c r="F181" t="s">
        <v>32831</v>
      </c>
      <c r="G181" t="s">
        <v>32839</v>
      </c>
      <c r="H181" t="s">
        <v>32848</v>
      </c>
      <c r="I181" t="s">
        <v>32857</v>
      </c>
      <c r="J181" t="s">
        <v>33126</v>
      </c>
      <c r="K181" t="s">
        <v>42730</v>
      </c>
      <c r="M181" t="s">
        <v>43090</v>
      </c>
      <c r="N181" t="s">
        <v>47424</v>
      </c>
      <c r="O181" t="s">
        <v>47425</v>
      </c>
      <c r="P181">
        <v>0</v>
      </c>
      <c r="Q181">
        <v>10</v>
      </c>
      <c r="R181" t="s">
        <v>47426</v>
      </c>
      <c r="S181" t="s">
        <v>47531</v>
      </c>
      <c r="T181" t="s">
        <v>49078</v>
      </c>
      <c r="U181" t="s">
        <v>49794</v>
      </c>
      <c r="V181" t="s">
        <v>62646</v>
      </c>
      <c r="W181" t="s">
        <v>43090</v>
      </c>
      <c r="X181" t="s">
        <v>47430</v>
      </c>
    </row>
    <row r="182" spans="1:24">
      <c r="A182">
        <f>HYPERLINK("https://www.philgeps.gov.ph/GEPSNONPILOT/Tender/SplashBidNoticeAbstractUI.aspx?menuIndex=3&amp;refID=7161957&amp;Result=3","7161957")</f>
        <v>0</v>
      </c>
      <c r="B182" t="s">
        <v>119</v>
      </c>
      <c r="C182" t="s">
        <v>4105</v>
      </c>
      <c r="D182" t="s">
        <v>19062</v>
      </c>
      <c r="E182" t="s">
        <v>19303</v>
      </c>
      <c r="F182" t="s">
        <v>32831</v>
      </c>
      <c r="G182" t="s">
        <v>32841</v>
      </c>
      <c r="H182" t="s">
        <v>32848</v>
      </c>
      <c r="I182" t="s">
        <v>4438</v>
      </c>
      <c r="J182" t="s">
        <v>33127</v>
      </c>
      <c r="K182" t="s">
        <v>42732</v>
      </c>
      <c r="M182" t="s">
        <v>43116</v>
      </c>
      <c r="N182" t="s">
        <v>47424</v>
      </c>
      <c r="O182" t="s">
        <v>47425</v>
      </c>
      <c r="P182">
        <v>0</v>
      </c>
      <c r="Q182">
        <v>0</v>
      </c>
      <c r="R182" t="s">
        <v>47426</v>
      </c>
      <c r="S182" t="s">
        <v>47531</v>
      </c>
      <c r="T182" t="s">
        <v>49079</v>
      </c>
      <c r="U182" t="s">
        <v>49832</v>
      </c>
      <c r="W182" t="s">
        <v>43116</v>
      </c>
      <c r="X182" t="s">
        <v>47430</v>
      </c>
    </row>
    <row r="183" spans="1:24">
      <c r="A183">
        <f>HYPERLINK("https://www.philgeps.gov.ph/GEPSNONPILOT/Tender/SplashBidNoticeAbstractUI.aspx?menuIndex=3&amp;refID=7161863&amp;Result=3","7161863")</f>
        <v>0</v>
      </c>
      <c r="B183" t="s">
        <v>93</v>
      </c>
      <c r="C183" t="s">
        <v>4106</v>
      </c>
      <c r="D183" t="s">
        <v>19035</v>
      </c>
      <c r="E183" t="s">
        <v>19304</v>
      </c>
      <c r="F183" t="s">
        <v>32831</v>
      </c>
      <c r="G183" t="s">
        <v>32839</v>
      </c>
      <c r="H183" t="s">
        <v>32848</v>
      </c>
      <c r="I183" t="s">
        <v>32861</v>
      </c>
      <c r="J183" t="s">
        <v>33128</v>
      </c>
      <c r="K183" t="s">
        <v>42730</v>
      </c>
      <c r="M183" t="s">
        <v>43090</v>
      </c>
      <c r="N183" t="s">
        <v>47424</v>
      </c>
      <c r="O183" t="s">
        <v>47425</v>
      </c>
      <c r="P183">
        <v>0</v>
      </c>
      <c r="Q183">
        <v>11</v>
      </c>
      <c r="R183" t="s">
        <v>47426</v>
      </c>
      <c r="S183" t="s">
        <v>47531</v>
      </c>
      <c r="T183" t="s">
        <v>49078</v>
      </c>
      <c r="U183" t="s">
        <v>49794</v>
      </c>
      <c r="V183" t="s">
        <v>62647</v>
      </c>
      <c r="W183" t="s">
        <v>43090</v>
      </c>
      <c r="X183" t="s">
        <v>47430</v>
      </c>
    </row>
    <row r="184" spans="1:24">
      <c r="A184">
        <f>HYPERLINK("https://www.philgeps.gov.ph/GEPSNONPILOT/Tender/SplashBidNoticeAbstractUI.aspx?menuIndex=3&amp;refID=7161988&amp;Result=3","7161988")</f>
        <v>0</v>
      </c>
      <c r="B184" t="s">
        <v>100</v>
      </c>
      <c r="C184" t="s">
        <v>4107</v>
      </c>
      <c r="D184" t="s">
        <v>19017</v>
      </c>
      <c r="E184" t="s">
        <v>19305</v>
      </c>
      <c r="F184" t="s">
        <v>32831</v>
      </c>
      <c r="G184" t="s">
        <v>32840</v>
      </c>
      <c r="H184" t="s">
        <v>32848</v>
      </c>
      <c r="I184" t="s">
        <v>32860</v>
      </c>
      <c r="J184" t="s">
        <v>33129</v>
      </c>
      <c r="K184" t="s">
        <v>42731</v>
      </c>
      <c r="M184" t="s">
        <v>43097</v>
      </c>
      <c r="N184" t="s">
        <v>47424</v>
      </c>
      <c r="O184" t="s">
        <v>47425</v>
      </c>
      <c r="P184">
        <v>0</v>
      </c>
      <c r="Q184">
        <v>2</v>
      </c>
      <c r="R184" t="s">
        <v>47426</v>
      </c>
      <c r="S184" t="s">
        <v>47531</v>
      </c>
      <c r="T184" t="s">
        <v>49113</v>
      </c>
      <c r="U184" t="s">
        <v>49833</v>
      </c>
      <c r="V184" t="s">
        <v>62644</v>
      </c>
      <c r="W184" t="s">
        <v>43097</v>
      </c>
      <c r="X184" t="s">
        <v>47430</v>
      </c>
    </row>
    <row r="185" spans="1:24">
      <c r="A185">
        <f>HYPERLINK("https://www.philgeps.gov.ph/GEPSNONPILOT/Tender/SplashBidNoticeAbstractUI.aspx?menuIndex=3&amp;refID=7162175&amp;Result=3","7162175")</f>
        <v>0</v>
      </c>
      <c r="B185" t="s">
        <v>120</v>
      </c>
      <c r="C185" t="s">
        <v>4108</v>
      </c>
      <c r="D185" t="s">
        <v>19026</v>
      </c>
      <c r="E185" t="s">
        <v>19306</v>
      </c>
      <c r="F185" t="s">
        <v>32831</v>
      </c>
      <c r="G185" t="s">
        <v>32839</v>
      </c>
      <c r="H185" t="s">
        <v>32849</v>
      </c>
      <c r="I185" t="s">
        <v>4177</v>
      </c>
      <c r="J185" t="s">
        <v>33130</v>
      </c>
      <c r="K185" t="s">
        <v>42763</v>
      </c>
      <c r="M185" t="s">
        <v>43117</v>
      </c>
      <c r="N185" t="s">
        <v>47424</v>
      </c>
      <c r="O185" t="s">
        <v>47425</v>
      </c>
      <c r="P185">
        <v>0</v>
      </c>
      <c r="Q185">
        <v>5</v>
      </c>
      <c r="R185" t="s">
        <v>47426</v>
      </c>
      <c r="S185" t="s">
        <v>47531</v>
      </c>
      <c r="T185" t="s">
        <v>49065</v>
      </c>
      <c r="U185" t="s">
        <v>49834</v>
      </c>
      <c r="W185" t="s">
        <v>43117</v>
      </c>
      <c r="X185" t="s">
        <v>47430</v>
      </c>
    </row>
    <row r="186" spans="1:24">
      <c r="A186">
        <f>HYPERLINK("https://www.philgeps.gov.ph/GEPSNONPILOT/Tender/SplashBidNoticeAbstractUI.aspx?menuIndex=3&amp;refID=7161924&amp;Result=3","7161924")</f>
        <v>0</v>
      </c>
      <c r="B186" t="s">
        <v>92</v>
      </c>
      <c r="C186" t="s">
        <v>4109</v>
      </c>
      <c r="D186" t="s">
        <v>19051</v>
      </c>
      <c r="E186" t="s">
        <v>19260</v>
      </c>
      <c r="F186" t="s">
        <v>32831</v>
      </c>
      <c r="G186" t="s">
        <v>32839</v>
      </c>
      <c r="H186" t="s">
        <v>32849</v>
      </c>
      <c r="I186" t="s">
        <v>4177</v>
      </c>
      <c r="J186" t="s">
        <v>33118</v>
      </c>
      <c r="K186" t="s">
        <v>42732</v>
      </c>
      <c r="M186" t="s">
        <v>43089</v>
      </c>
      <c r="N186" t="s">
        <v>47424</v>
      </c>
      <c r="O186" t="s">
        <v>47425</v>
      </c>
      <c r="P186">
        <v>0</v>
      </c>
      <c r="Q186">
        <v>0</v>
      </c>
      <c r="R186" t="s">
        <v>47426</v>
      </c>
      <c r="S186" t="s">
        <v>47531</v>
      </c>
      <c r="T186" t="s">
        <v>49065</v>
      </c>
      <c r="U186" t="s">
        <v>49835</v>
      </c>
      <c r="V186" t="s">
        <v>62640</v>
      </c>
      <c r="W186" t="s">
        <v>43089</v>
      </c>
      <c r="X186" t="s">
        <v>47430</v>
      </c>
    </row>
    <row r="187" spans="1:24">
      <c r="A187">
        <f>HYPERLINK("https://www.philgeps.gov.ph/GEPSNONPILOT/Tender/SplashBidNoticeAbstractUI.aspx?menuIndex=3&amp;refID=7161866&amp;Result=3","7161866")</f>
        <v>0</v>
      </c>
      <c r="B187" t="s">
        <v>95</v>
      </c>
      <c r="C187" t="s">
        <v>4110</v>
      </c>
      <c r="D187" t="s">
        <v>19032</v>
      </c>
      <c r="E187" t="s">
        <v>19307</v>
      </c>
      <c r="F187" t="s">
        <v>32831</v>
      </c>
      <c r="G187" t="s">
        <v>32839</v>
      </c>
      <c r="H187" t="s">
        <v>32848</v>
      </c>
      <c r="I187" t="s">
        <v>32855</v>
      </c>
      <c r="J187" t="s">
        <v>33131</v>
      </c>
      <c r="K187" t="s">
        <v>42726</v>
      </c>
      <c r="M187" t="s">
        <v>43092</v>
      </c>
      <c r="N187" t="s">
        <v>47424</v>
      </c>
      <c r="O187" t="s">
        <v>47425</v>
      </c>
      <c r="P187">
        <v>0</v>
      </c>
      <c r="Q187">
        <v>1</v>
      </c>
      <c r="R187" t="s">
        <v>47426</v>
      </c>
      <c r="S187" t="s">
        <v>47531</v>
      </c>
      <c r="T187" t="s">
        <v>49109</v>
      </c>
      <c r="U187" t="s">
        <v>49836</v>
      </c>
      <c r="W187" t="s">
        <v>43092</v>
      </c>
      <c r="X187" t="s">
        <v>47430</v>
      </c>
    </row>
    <row r="188" spans="1:24">
      <c r="A188">
        <f>HYPERLINK("https://www.philgeps.gov.ph/GEPSNONPILOT/Tender/SplashBidNoticeAbstractUI.aspx?menuIndex=3&amp;refID=7162173&amp;Result=3","7162173")</f>
        <v>0</v>
      </c>
      <c r="B188" t="s">
        <v>108</v>
      </c>
      <c r="C188" t="s">
        <v>4111</v>
      </c>
      <c r="D188" t="s">
        <v>19058</v>
      </c>
      <c r="E188" t="s">
        <v>19308</v>
      </c>
      <c r="F188" t="s">
        <v>32831</v>
      </c>
      <c r="G188" t="s">
        <v>32839</v>
      </c>
      <c r="H188" t="s">
        <v>32848</v>
      </c>
      <c r="I188" t="s">
        <v>32859</v>
      </c>
      <c r="J188" t="s">
        <v>33132</v>
      </c>
      <c r="K188" t="s">
        <v>42732</v>
      </c>
      <c r="M188" t="s">
        <v>43105</v>
      </c>
      <c r="N188" t="s">
        <v>47424</v>
      </c>
      <c r="O188" t="s">
        <v>47425</v>
      </c>
      <c r="P188">
        <v>0</v>
      </c>
      <c r="Q188">
        <v>1</v>
      </c>
      <c r="R188" t="s">
        <v>47426</v>
      </c>
      <c r="S188" t="s">
        <v>47531</v>
      </c>
      <c r="T188" t="s">
        <v>49122</v>
      </c>
      <c r="U188" t="s">
        <v>49837</v>
      </c>
      <c r="W188" t="s">
        <v>43105</v>
      </c>
      <c r="X188" t="s">
        <v>47430</v>
      </c>
    </row>
    <row r="189" spans="1:24">
      <c r="A189">
        <f>HYPERLINK("https://www.philgeps.gov.ph/GEPSNONPILOT/Tender/SplashBidNoticeAbstractUI.aspx?menuIndex=3&amp;refID=7162168&amp;Result=3","7162168")</f>
        <v>0</v>
      </c>
      <c r="B189" t="s">
        <v>95</v>
      </c>
      <c r="C189" t="s">
        <v>4112</v>
      </c>
      <c r="D189" t="s">
        <v>19032</v>
      </c>
      <c r="E189" t="s">
        <v>19309</v>
      </c>
      <c r="F189" t="s">
        <v>32831</v>
      </c>
      <c r="G189" t="s">
        <v>32838</v>
      </c>
      <c r="H189" t="s">
        <v>32848</v>
      </c>
      <c r="I189" t="s">
        <v>32862</v>
      </c>
      <c r="J189" t="s">
        <v>33133</v>
      </c>
      <c r="K189" t="s">
        <v>42726</v>
      </c>
      <c r="M189" t="s">
        <v>43092</v>
      </c>
      <c r="N189" t="s">
        <v>47424</v>
      </c>
      <c r="O189" t="s">
        <v>47425</v>
      </c>
      <c r="P189">
        <v>0</v>
      </c>
      <c r="Q189">
        <v>0</v>
      </c>
      <c r="R189" t="s">
        <v>47426</v>
      </c>
      <c r="S189" t="s">
        <v>47531</v>
      </c>
      <c r="T189" t="s">
        <v>49109</v>
      </c>
      <c r="U189" t="s">
        <v>49838</v>
      </c>
      <c r="W189" t="s">
        <v>43092</v>
      </c>
      <c r="X189" t="s">
        <v>47430</v>
      </c>
    </row>
    <row r="190" spans="1:24">
      <c r="A190">
        <f>HYPERLINK("https://www.philgeps.gov.ph/GEPSNONPILOT/Tender/SplashBidNoticeAbstractUI.aspx?menuIndex=3&amp;refID=7162171&amp;Result=3","7162171")</f>
        <v>0</v>
      </c>
      <c r="B190" t="s">
        <v>121</v>
      </c>
      <c r="C190" t="s">
        <v>4113</v>
      </c>
      <c r="D190" t="s">
        <v>19048</v>
      </c>
      <c r="E190" t="s">
        <v>19310</v>
      </c>
      <c r="F190" t="s">
        <v>32831</v>
      </c>
      <c r="G190" t="s">
        <v>32840</v>
      </c>
      <c r="H190" t="s">
        <v>32848</v>
      </c>
      <c r="I190" t="s">
        <v>9577</v>
      </c>
      <c r="J190" t="s">
        <v>33134</v>
      </c>
      <c r="K190" t="s">
        <v>42727</v>
      </c>
      <c r="M190" t="s">
        <v>43118</v>
      </c>
      <c r="N190" t="s">
        <v>47424</v>
      </c>
      <c r="O190" t="s">
        <v>47425</v>
      </c>
      <c r="P190">
        <v>0</v>
      </c>
      <c r="Q190">
        <v>0</v>
      </c>
      <c r="R190" t="s">
        <v>47426</v>
      </c>
      <c r="S190" t="s">
        <v>47531</v>
      </c>
      <c r="T190" t="s">
        <v>49123</v>
      </c>
      <c r="U190" t="s">
        <v>49839</v>
      </c>
      <c r="W190" t="s">
        <v>43118</v>
      </c>
      <c r="X190" t="s">
        <v>47430</v>
      </c>
    </row>
    <row r="191" spans="1:24">
      <c r="A191">
        <f>HYPERLINK("https://www.philgeps.gov.ph/GEPSNONPILOT/Tender/SplashBidNoticeAbstractUI.aspx?menuIndex=3&amp;refID=7162162&amp;Result=3","7162162")</f>
        <v>0</v>
      </c>
      <c r="B191" t="s">
        <v>122</v>
      </c>
      <c r="C191" t="s">
        <v>4114</v>
      </c>
      <c r="D191" t="s">
        <v>19017</v>
      </c>
      <c r="E191" t="s">
        <v>19311</v>
      </c>
      <c r="F191" t="s">
        <v>32831</v>
      </c>
      <c r="G191" t="s">
        <v>32838</v>
      </c>
      <c r="H191" t="s">
        <v>32848</v>
      </c>
      <c r="I191" t="s">
        <v>32860</v>
      </c>
      <c r="J191" t="s">
        <v>33098</v>
      </c>
      <c r="K191" t="s">
        <v>42726</v>
      </c>
      <c r="M191" t="s">
        <v>43119</v>
      </c>
      <c r="N191" t="s">
        <v>47424</v>
      </c>
      <c r="O191" t="s">
        <v>47425</v>
      </c>
      <c r="P191">
        <v>0</v>
      </c>
      <c r="Q191">
        <v>4</v>
      </c>
      <c r="R191" t="s">
        <v>47426</v>
      </c>
      <c r="S191" t="s">
        <v>47531</v>
      </c>
      <c r="T191" t="s">
        <v>49124</v>
      </c>
      <c r="U191" t="s">
        <v>49840</v>
      </c>
      <c r="W191" t="s">
        <v>43119</v>
      </c>
      <c r="X191" t="s">
        <v>47430</v>
      </c>
    </row>
    <row r="192" spans="1:24">
      <c r="A192">
        <f>HYPERLINK("https://www.philgeps.gov.ph/GEPSNONPILOT/Tender/SplashBidNoticeAbstractUI.aspx?menuIndex=3&amp;refID=7162131&amp;Result=3","7162131")</f>
        <v>0</v>
      </c>
      <c r="B192" t="s">
        <v>123</v>
      </c>
      <c r="C192" t="s">
        <v>4115</v>
      </c>
      <c r="D192" t="s">
        <v>19038</v>
      </c>
      <c r="E192" t="s">
        <v>19312</v>
      </c>
      <c r="F192" t="s">
        <v>32831</v>
      </c>
      <c r="G192" t="s">
        <v>32838</v>
      </c>
      <c r="H192" t="s">
        <v>32848</v>
      </c>
      <c r="I192" t="s">
        <v>5379</v>
      </c>
      <c r="J192" t="s">
        <v>33135</v>
      </c>
      <c r="K192" t="s">
        <v>42726</v>
      </c>
      <c r="M192" t="s">
        <v>43120</v>
      </c>
      <c r="N192" t="s">
        <v>47424</v>
      </c>
      <c r="O192" t="s">
        <v>47425</v>
      </c>
      <c r="P192">
        <v>0</v>
      </c>
      <c r="Q192">
        <v>0</v>
      </c>
      <c r="R192" t="s">
        <v>47426</v>
      </c>
      <c r="S192" t="s">
        <v>47531</v>
      </c>
      <c r="T192" t="s">
        <v>49073</v>
      </c>
      <c r="U192" t="s">
        <v>49841</v>
      </c>
      <c r="W192" t="s">
        <v>43120</v>
      </c>
      <c r="X192" t="s">
        <v>47430</v>
      </c>
    </row>
    <row r="193" spans="1:24">
      <c r="A193">
        <f>HYPERLINK("https://www.philgeps.gov.ph/GEPSNONPILOT/Tender/SplashBidNoticeAbstractUI.aspx?menuIndex=3&amp;refID=7162181&amp;Result=3","7162181")</f>
        <v>0</v>
      </c>
      <c r="B193" t="s">
        <v>105</v>
      </c>
      <c r="C193" t="s">
        <v>4116</v>
      </c>
      <c r="D193" t="s">
        <v>19027</v>
      </c>
      <c r="E193" t="s">
        <v>19313</v>
      </c>
      <c r="F193" t="s">
        <v>32831</v>
      </c>
      <c r="G193" t="s">
        <v>32839</v>
      </c>
      <c r="H193" t="s">
        <v>32848</v>
      </c>
      <c r="I193" t="s">
        <v>32870</v>
      </c>
      <c r="J193" t="s">
        <v>33136</v>
      </c>
      <c r="K193" t="s">
        <v>42745</v>
      </c>
      <c r="M193" t="s">
        <v>43102</v>
      </c>
      <c r="N193" t="s">
        <v>47424</v>
      </c>
      <c r="O193" t="s">
        <v>47425</v>
      </c>
      <c r="P193">
        <v>0</v>
      </c>
      <c r="Q193">
        <v>0</v>
      </c>
      <c r="R193" t="s">
        <v>47426</v>
      </c>
      <c r="S193" t="s">
        <v>47531</v>
      </c>
      <c r="T193" t="s">
        <v>49077</v>
      </c>
      <c r="U193" t="s">
        <v>49842</v>
      </c>
      <c r="W193" t="s">
        <v>43102</v>
      </c>
      <c r="X193" t="s">
        <v>47430</v>
      </c>
    </row>
    <row r="194" spans="1:24">
      <c r="A194">
        <f>HYPERLINK("https://www.philgeps.gov.ph/GEPSNONPILOT/Tender/SplashBidNoticeAbstractUI.aspx?menuIndex=3&amp;refID=7162010&amp;Result=3","7162010")</f>
        <v>0</v>
      </c>
      <c r="B194" t="s">
        <v>99</v>
      </c>
      <c r="C194" t="s">
        <v>4117</v>
      </c>
      <c r="D194" t="s">
        <v>19054</v>
      </c>
      <c r="E194" t="s">
        <v>19314</v>
      </c>
      <c r="F194" t="s">
        <v>32831</v>
      </c>
      <c r="G194" t="s">
        <v>32839</v>
      </c>
      <c r="H194" t="s">
        <v>32848</v>
      </c>
      <c r="I194" t="s">
        <v>5379</v>
      </c>
      <c r="J194" t="s">
        <v>33137</v>
      </c>
      <c r="K194" t="s">
        <v>42759</v>
      </c>
      <c r="M194" t="s">
        <v>43096</v>
      </c>
      <c r="N194" t="s">
        <v>47424</v>
      </c>
      <c r="O194" t="s">
        <v>47425</v>
      </c>
      <c r="P194">
        <v>0</v>
      </c>
      <c r="Q194">
        <v>0</v>
      </c>
      <c r="R194" t="s">
        <v>47426</v>
      </c>
      <c r="S194" t="s">
        <v>47531</v>
      </c>
      <c r="T194" t="s">
        <v>49069</v>
      </c>
      <c r="U194" t="s">
        <v>49821</v>
      </c>
      <c r="V194" t="s">
        <v>62643</v>
      </c>
      <c r="W194" t="s">
        <v>43096</v>
      </c>
      <c r="X194" t="s">
        <v>47430</v>
      </c>
    </row>
    <row r="195" spans="1:24">
      <c r="A195">
        <f>HYPERLINK("https://www.philgeps.gov.ph/GEPSNONPILOT/Tender/SplashBidNoticeAbstractUI.aspx?menuIndex=3&amp;refID=7162172&amp;Result=3","7162172")</f>
        <v>0</v>
      </c>
      <c r="B195" t="s">
        <v>123</v>
      </c>
      <c r="C195" t="s">
        <v>4118</v>
      </c>
      <c r="D195" t="s">
        <v>19038</v>
      </c>
      <c r="E195" t="s">
        <v>19315</v>
      </c>
      <c r="F195" t="s">
        <v>32831</v>
      </c>
      <c r="G195" t="s">
        <v>32838</v>
      </c>
      <c r="H195" t="s">
        <v>32849</v>
      </c>
      <c r="I195" t="s">
        <v>4177</v>
      </c>
      <c r="J195" t="s">
        <v>33138</v>
      </c>
      <c r="K195" t="s">
        <v>42726</v>
      </c>
      <c r="M195" t="s">
        <v>43120</v>
      </c>
      <c r="N195" t="s">
        <v>47424</v>
      </c>
      <c r="O195" t="s">
        <v>47425</v>
      </c>
      <c r="P195">
        <v>0</v>
      </c>
      <c r="Q195">
        <v>0</v>
      </c>
      <c r="R195" t="s">
        <v>47426</v>
      </c>
      <c r="S195" t="s">
        <v>47531</v>
      </c>
      <c r="T195" t="s">
        <v>49080</v>
      </c>
      <c r="U195" t="s">
        <v>49843</v>
      </c>
      <c r="W195" t="s">
        <v>43120</v>
      </c>
      <c r="X195" t="s">
        <v>47430</v>
      </c>
    </row>
    <row r="196" spans="1:24">
      <c r="A196">
        <f>HYPERLINK("https://www.philgeps.gov.ph/GEPSNONPILOT/Tender/SplashBidNoticeAbstractUI.aspx?menuIndex=3&amp;refID=7162117&amp;Result=3","7162117")</f>
        <v>0</v>
      </c>
      <c r="B196" t="s">
        <v>124</v>
      </c>
      <c r="C196" t="s">
        <v>4119</v>
      </c>
      <c r="D196" t="s">
        <v>19061</v>
      </c>
      <c r="E196" t="s">
        <v>4119</v>
      </c>
      <c r="F196" t="s">
        <v>32831</v>
      </c>
      <c r="G196" t="s">
        <v>32838</v>
      </c>
      <c r="H196" t="s">
        <v>32848</v>
      </c>
      <c r="I196" t="s">
        <v>32860</v>
      </c>
      <c r="J196" t="s">
        <v>33139</v>
      </c>
      <c r="K196" t="s">
        <v>42730</v>
      </c>
      <c r="M196" t="s">
        <v>43121</v>
      </c>
      <c r="N196" t="s">
        <v>47424</v>
      </c>
      <c r="O196" t="s">
        <v>47425</v>
      </c>
      <c r="P196">
        <v>0</v>
      </c>
      <c r="Q196">
        <v>1</v>
      </c>
      <c r="R196" t="s">
        <v>47426</v>
      </c>
      <c r="S196" t="s">
        <v>47531</v>
      </c>
      <c r="T196" t="s">
        <v>49056</v>
      </c>
      <c r="U196" t="s">
        <v>49844</v>
      </c>
      <c r="W196" t="s">
        <v>43121</v>
      </c>
      <c r="X196" t="s">
        <v>47430</v>
      </c>
    </row>
    <row r="197" spans="1:24">
      <c r="A197">
        <f>HYPERLINK("https://www.philgeps.gov.ph/GEPSNONPILOT/Tender/SplashBidNoticeAbstractUI.aspx?menuIndex=3&amp;refID=7162113&amp;Result=3","7162113")</f>
        <v>0</v>
      </c>
      <c r="B197" t="s">
        <v>125</v>
      </c>
      <c r="C197" t="s">
        <v>4120</v>
      </c>
      <c r="D197" t="s">
        <v>19019</v>
      </c>
      <c r="E197" t="s">
        <v>19316</v>
      </c>
      <c r="F197" t="s">
        <v>32831</v>
      </c>
      <c r="G197" t="s">
        <v>32839</v>
      </c>
      <c r="H197" t="s">
        <v>32848</v>
      </c>
      <c r="I197" t="s">
        <v>4558</v>
      </c>
      <c r="J197" t="s">
        <v>33140</v>
      </c>
      <c r="K197" t="s">
        <v>42758</v>
      </c>
      <c r="M197" t="s">
        <v>43122</v>
      </c>
      <c r="N197" t="s">
        <v>47424</v>
      </c>
      <c r="O197" t="s">
        <v>47425</v>
      </c>
      <c r="P197">
        <v>0</v>
      </c>
      <c r="Q197">
        <v>1</v>
      </c>
      <c r="R197" t="s">
        <v>47426</v>
      </c>
      <c r="S197" t="s">
        <v>47531</v>
      </c>
      <c r="T197" t="s">
        <v>49091</v>
      </c>
      <c r="U197" t="s">
        <v>49845</v>
      </c>
      <c r="W197" t="s">
        <v>43122</v>
      </c>
      <c r="X197" t="s">
        <v>47430</v>
      </c>
    </row>
    <row r="198" spans="1:24">
      <c r="A198">
        <f>HYPERLINK("https://www.philgeps.gov.ph/GEPSNONPILOT/Tender/SplashBidNoticeAbstractUI.aspx?menuIndex=3&amp;refID=7162149&amp;Result=3","7162149")</f>
        <v>0</v>
      </c>
      <c r="B198" t="s">
        <v>108</v>
      </c>
      <c r="C198" t="s">
        <v>4121</v>
      </c>
      <c r="D198" t="s">
        <v>19058</v>
      </c>
      <c r="E198" t="s">
        <v>19317</v>
      </c>
      <c r="F198" t="s">
        <v>32831</v>
      </c>
      <c r="G198" t="s">
        <v>32839</v>
      </c>
      <c r="H198" t="s">
        <v>32848</v>
      </c>
      <c r="I198" t="s">
        <v>32875</v>
      </c>
      <c r="J198" t="s">
        <v>33141</v>
      </c>
      <c r="K198" t="s">
        <v>42732</v>
      </c>
      <c r="M198" t="s">
        <v>43105</v>
      </c>
      <c r="N198" t="s">
        <v>47424</v>
      </c>
      <c r="O198" t="s">
        <v>47425</v>
      </c>
      <c r="P198">
        <v>0</v>
      </c>
      <c r="Q198">
        <v>0</v>
      </c>
      <c r="R198" t="s">
        <v>47426</v>
      </c>
      <c r="S198" t="s">
        <v>47531</v>
      </c>
      <c r="T198" t="s">
        <v>49122</v>
      </c>
      <c r="U198" t="s">
        <v>49846</v>
      </c>
      <c r="W198" t="s">
        <v>43105</v>
      </c>
      <c r="X198" t="s">
        <v>47430</v>
      </c>
    </row>
    <row r="199" spans="1:24">
      <c r="A199">
        <f>HYPERLINK("https://www.philgeps.gov.ph/GEPSNONPILOT/Tender/SplashBidNoticeAbstractUI.aspx?menuIndex=3&amp;refID=7162125&amp;Result=3","7162125")</f>
        <v>0</v>
      </c>
      <c r="B199" t="s">
        <v>108</v>
      </c>
      <c r="C199" t="s">
        <v>4122</v>
      </c>
      <c r="D199" t="s">
        <v>19058</v>
      </c>
      <c r="E199" t="s">
        <v>19318</v>
      </c>
      <c r="F199" t="s">
        <v>32831</v>
      </c>
      <c r="G199" t="s">
        <v>32839</v>
      </c>
      <c r="H199" t="s">
        <v>32848</v>
      </c>
      <c r="I199" t="s">
        <v>7751</v>
      </c>
      <c r="J199" t="s">
        <v>33083</v>
      </c>
      <c r="K199" t="s">
        <v>42732</v>
      </c>
      <c r="M199" t="s">
        <v>43105</v>
      </c>
      <c r="N199" t="s">
        <v>47424</v>
      </c>
      <c r="O199" t="s">
        <v>47425</v>
      </c>
      <c r="P199">
        <v>0</v>
      </c>
      <c r="Q199">
        <v>1</v>
      </c>
      <c r="R199" t="s">
        <v>47426</v>
      </c>
      <c r="S199" t="s">
        <v>47531</v>
      </c>
      <c r="T199" t="s">
        <v>49122</v>
      </c>
      <c r="U199" t="s">
        <v>49847</v>
      </c>
      <c r="W199" t="s">
        <v>43105</v>
      </c>
      <c r="X199" t="s">
        <v>47430</v>
      </c>
    </row>
    <row r="200" spans="1:24">
      <c r="A200">
        <f>HYPERLINK("https://www.philgeps.gov.ph/GEPSNONPILOT/Tender/SplashBidNoticeAbstractUI.aspx?menuIndex=3&amp;refID=7162093&amp;Result=3","7162093")</f>
        <v>0</v>
      </c>
      <c r="B200" t="s">
        <v>100</v>
      </c>
      <c r="C200" t="s">
        <v>4123</v>
      </c>
      <c r="D200" t="s">
        <v>19017</v>
      </c>
      <c r="E200" t="s">
        <v>19319</v>
      </c>
      <c r="F200" t="s">
        <v>32831</v>
      </c>
      <c r="G200" t="s">
        <v>32840</v>
      </c>
      <c r="H200" t="s">
        <v>32848</v>
      </c>
      <c r="I200" t="s">
        <v>32860</v>
      </c>
      <c r="J200" t="s">
        <v>33142</v>
      </c>
      <c r="K200" t="s">
        <v>42731</v>
      </c>
      <c r="M200" t="s">
        <v>43097</v>
      </c>
      <c r="N200" t="s">
        <v>47424</v>
      </c>
      <c r="O200" t="s">
        <v>47425</v>
      </c>
      <c r="P200">
        <v>0</v>
      </c>
      <c r="Q200">
        <v>2</v>
      </c>
      <c r="R200" t="s">
        <v>47426</v>
      </c>
      <c r="S200" t="s">
        <v>47531</v>
      </c>
      <c r="T200" t="s">
        <v>49113</v>
      </c>
      <c r="U200" t="s">
        <v>49812</v>
      </c>
      <c r="V200" t="s">
        <v>62644</v>
      </c>
      <c r="W200" t="s">
        <v>43097</v>
      </c>
      <c r="X200" t="s">
        <v>47430</v>
      </c>
    </row>
    <row r="201" spans="1:24">
      <c r="A201">
        <f>HYPERLINK("https://www.philgeps.gov.ph/GEPSNONPILOT/Tender/SplashBidNoticeAbstractUI.aspx?menuIndex=3&amp;refID=7162121&amp;Result=3","7162121")</f>
        <v>0</v>
      </c>
      <c r="B201" t="s">
        <v>126</v>
      </c>
      <c r="C201" t="s">
        <v>4124</v>
      </c>
      <c r="E201" t="s">
        <v>19320</v>
      </c>
      <c r="F201" t="s">
        <v>32831</v>
      </c>
      <c r="G201" t="s">
        <v>32838</v>
      </c>
      <c r="H201" t="s">
        <v>32848</v>
      </c>
      <c r="I201" t="s">
        <v>32864</v>
      </c>
      <c r="J201" t="s">
        <v>33143</v>
      </c>
      <c r="K201" t="s">
        <v>42732</v>
      </c>
      <c r="M201" t="s">
        <v>43123</v>
      </c>
      <c r="N201" t="s">
        <v>47424</v>
      </c>
      <c r="O201" t="s">
        <v>47425</v>
      </c>
      <c r="P201">
        <v>0</v>
      </c>
      <c r="Q201">
        <v>6</v>
      </c>
      <c r="R201" t="s">
        <v>47426</v>
      </c>
      <c r="S201" t="s">
        <v>47531</v>
      </c>
      <c r="T201" t="s">
        <v>49125</v>
      </c>
      <c r="U201" t="s">
        <v>49848</v>
      </c>
      <c r="W201" t="s">
        <v>43123</v>
      </c>
      <c r="X201" t="s">
        <v>47430</v>
      </c>
    </row>
    <row r="202" spans="1:24">
      <c r="A202">
        <f>HYPERLINK("https://www.philgeps.gov.ph/GEPSNONPILOT/Tender/SplashBidNoticeAbstractUI.aspx?menuIndex=3&amp;refID=7162089&amp;Result=3","7162089")</f>
        <v>0</v>
      </c>
      <c r="B202" t="s">
        <v>127</v>
      </c>
      <c r="C202" t="s">
        <v>4125</v>
      </c>
      <c r="D202" t="s">
        <v>19038</v>
      </c>
      <c r="E202" t="s">
        <v>19321</v>
      </c>
      <c r="F202" t="s">
        <v>32831</v>
      </c>
      <c r="G202" t="s">
        <v>32842</v>
      </c>
      <c r="H202" t="s">
        <v>32848</v>
      </c>
      <c r="I202" t="s">
        <v>4438</v>
      </c>
      <c r="J202" t="s">
        <v>33144</v>
      </c>
      <c r="K202" t="s">
        <v>42727</v>
      </c>
      <c r="M202" t="s">
        <v>43124</v>
      </c>
      <c r="N202" t="s">
        <v>47424</v>
      </c>
      <c r="O202" t="s">
        <v>47425</v>
      </c>
      <c r="P202">
        <v>0</v>
      </c>
      <c r="Q202">
        <v>0</v>
      </c>
      <c r="R202" t="s">
        <v>47426</v>
      </c>
      <c r="S202" t="s">
        <v>47531</v>
      </c>
      <c r="T202" t="s">
        <v>49104</v>
      </c>
      <c r="U202" t="s">
        <v>49849</v>
      </c>
      <c r="W202" t="s">
        <v>43124</v>
      </c>
      <c r="X202" t="s">
        <v>47430</v>
      </c>
    </row>
    <row r="203" spans="1:24">
      <c r="A203">
        <f>HYPERLINK("https://www.philgeps.gov.ph/GEPSNONPILOT/Tender/SplashBidNoticeAbstractUI.aspx?menuIndex=3&amp;refID=7161920&amp;Result=3","7161920")</f>
        <v>0</v>
      </c>
      <c r="B203" t="s">
        <v>91</v>
      </c>
      <c r="C203" t="s">
        <v>4126</v>
      </c>
      <c r="D203" t="s">
        <v>19056</v>
      </c>
      <c r="E203" t="s">
        <v>19322</v>
      </c>
      <c r="F203" t="s">
        <v>32831</v>
      </c>
      <c r="G203" t="s">
        <v>32840</v>
      </c>
      <c r="H203" t="s">
        <v>32848</v>
      </c>
      <c r="I203" t="s">
        <v>32867</v>
      </c>
      <c r="J203" t="s">
        <v>33145</v>
      </c>
      <c r="K203" t="s">
        <v>42732</v>
      </c>
      <c r="M203" t="s">
        <v>43088</v>
      </c>
      <c r="N203" t="s">
        <v>47424</v>
      </c>
      <c r="O203" t="s">
        <v>47425</v>
      </c>
      <c r="P203">
        <v>0</v>
      </c>
      <c r="Q203">
        <v>5</v>
      </c>
      <c r="R203" t="s">
        <v>47426</v>
      </c>
      <c r="S203" t="s">
        <v>47531</v>
      </c>
      <c r="T203" t="s">
        <v>49108</v>
      </c>
      <c r="U203" t="s">
        <v>49850</v>
      </c>
      <c r="V203" t="s">
        <v>62639</v>
      </c>
      <c r="W203" t="s">
        <v>43088</v>
      </c>
      <c r="X203" t="s">
        <v>47430</v>
      </c>
    </row>
    <row r="204" spans="1:24">
      <c r="A204">
        <f>HYPERLINK("https://www.philgeps.gov.ph/GEPSNONPILOT/Tender/SplashBidNoticeAbstractUI.aspx?menuIndex=3&amp;refID=7162105&amp;Result=3","7162105")</f>
        <v>0</v>
      </c>
      <c r="B204" t="s">
        <v>128</v>
      </c>
      <c r="C204" t="s">
        <v>4127</v>
      </c>
      <c r="D204" t="s">
        <v>19042</v>
      </c>
      <c r="E204" t="s">
        <v>19323</v>
      </c>
      <c r="F204" t="s">
        <v>32831</v>
      </c>
      <c r="G204" t="s">
        <v>32839</v>
      </c>
      <c r="H204" t="s">
        <v>32848</v>
      </c>
      <c r="I204" t="s">
        <v>7751</v>
      </c>
      <c r="J204" t="s">
        <v>33032</v>
      </c>
      <c r="K204" t="s">
        <v>42764</v>
      </c>
      <c r="M204" t="s">
        <v>43125</v>
      </c>
      <c r="N204" t="s">
        <v>47424</v>
      </c>
      <c r="O204" t="s">
        <v>47425</v>
      </c>
      <c r="P204">
        <v>0</v>
      </c>
      <c r="Q204">
        <v>3</v>
      </c>
      <c r="R204" t="s">
        <v>47426</v>
      </c>
      <c r="S204" t="s">
        <v>47531</v>
      </c>
      <c r="T204" t="s">
        <v>49126</v>
      </c>
      <c r="U204" t="s">
        <v>49851</v>
      </c>
      <c r="W204" t="s">
        <v>43125</v>
      </c>
      <c r="X204" t="s">
        <v>47430</v>
      </c>
    </row>
    <row r="205" spans="1:24">
      <c r="A205">
        <f>HYPERLINK("https://www.philgeps.gov.ph/GEPSNONPILOT/Tender/SplashBidNoticeAbstractUI.aspx?menuIndex=3&amp;refID=7161860&amp;Result=3","7161860")</f>
        <v>0</v>
      </c>
      <c r="B205" t="s">
        <v>103</v>
      </c>
      <c r="C205" t="s">
        <v>4128</v>
      </c>
      <c r="D205" t="s">
        <v>19056</v>
      </c>
      <c r="E205" t="s">
        <v>19324</v>
      </c>
      <c r="F205" t="s">
        <v>32831</v>
      </c>
      <c r="G205" t="s">
        <v>32838</v>
      </c>
      <c r="H205" t="s">
        <v>32848</v>
      </c>
      <c r="I205" t="s">
        <v>5379</v>
      </c>
      <c r="J205" t="s">
        <v>33041</v>
      </c>
      <c r="K205" t="s">
        <v>42759</v>
      </c>
      <c r="L205" t="s">
        <v>103</v>
      </c>
      <c r="M205" t="s">
        <v>43100</v>
      </c>
      <c r="N205" t="s">
        <v>47424</v>
      </c>
      <c r="O205" t="s">
        <v>47425</v>
      </c>
      <c r="P205">
        <v>0</v>
      </c>
      <c r="Q205">
        <v>1</v>
      </c>
      <c r="R205" t="s">
        <v>47426</v>
      </c>
      <c r="S205" t="s">
        <v>47531</v>
      </c>
      <c r="T205" t="s">
        <v>49115</v>
      </c>
      <c r="U205" t="s">
        <v>49808</v>
      </c>
      <c r="W205" t="s">
        <v>43100</v>
      </c>
      <c r="X205" t="s">
        <v>47430</v>
      </c>
    </row>
    <row r="206" spans="1:24">
      <c r="A206">
        <f>HYPERLINK("https://www.philgeps.gov.ph/GEPSNONPILOT/Tender/SplashBidNoticeAbstractUI.aspx?menuIndex=3&amp;refID=7162094&amp;Result=3","7162094")</f>
        <v>0</v>
      </c>
      <c r="B206" t="s">
        <v>129</v>
      </c>
      <c r="C206" t="s">
        <v>4129</v>
      </c>
      <c r="D206" t="s">
        <v>19026</v>
      </c>
      <c r="E206" t="s">
        <v>4129</v>
      </c>
      <c r="F206" t="s">
        <v>32831</v>
      </c>
      <c r="G206" t="s">
        <v>32838</v>
      </c>
      <c r="H206" t="s">
        <v>32848</v>
      </c>
      <c r="I206" t="s">
        <v>10888</v>
      </c>
      <c r="J206" t="s">
        <v>33146</v>
      </c>
      <c r="K206" t="s">
        <v>42732</v>
      </c>
      <c r="M206" t="s">
        <v>43126</v>
      </c>
      <c r="N206" t="s">
        <v>47424</v>
      </c>
      <c r="O206" t="s">
        <v>47425</v>
      </c>
      <c r="P206">
        <v>0</v>
      </c>
      <c r="Q206">
        <v>7</v>
      </c>
      <c r="R206" t="s">
        <v>47426</v>
      </c>
      <c r="S206" t="s">
        <v>47531</v>
      </c>
      <c r="T206" t="s">
        <v>49127</v>
      </c>
      <c r="U206" t="s">
        <v>49852</v>
      </c>
      <c r="W206" t="s">
        <v>43126</v>
      </c>
      <c r="X206" t="s">
        <v>47430</v>
      </c>
    </row>
    <row r="207" spans="1:24">
      <c r="A207">
        <f>HYPERLINK("https://www.philgeps.gov.ph/GEPSNONPILOT/Tender/SplashBidNoticeAbstractUI.aspx?menuIndex=3&amp;refID=7161855&amp;Result=3","7161855")</f>
        <v>0</v>
      </c>
      <c r="B207" t="s">
        <v>130</v>
      </c>
      <c r="C207" t="s">
        <v>4130</v>
      </c>
      <c r="D207" t="s">
        <v>19063</v>
      </c>
      <c r="E207" t="s">
        <v>19325</v>
      </c>
      <c r="F207" t="s">
        <v>32831</v>
      </c>
      <c r="G207" t="s">
        <v>32839</v>
      </c>
      <c r="H207" t="s">
        <v>32848</v>
      </c>
      <c r="I207" t="s">
        <v>4776</v>
      </c>
      <c r="J207" t="s">
        <v>33147</v>
      </c>
      <c r="K207" t="s">
        <v>42747</v>
      </c>
      <c r="M207" t="s">
        <v>43127</v>
      </c>
      <c r="N207" t="s">
        <v>47424</v>
      </c>
      <c r="O207" t="s">
        <v>47425</v>
      </c>
      <c r="P207">
        <v>0</v>
      </c>
      <c r="Q207">
        <v>1</v>
      </c>
      <c r="R207" t="s">
        <v>47426</v>
      </c>
      <c r="S207" t="s">
        <v>47531</v>
      </c>
      <c r="T207" t="s">
        <v>49091</v>
      </c>
      <c r="U207" t="s">
        <v>49853</v>
      </c>
      <c r="W207" t="s">
        <v>43127</v>
      </c>
      <c r="X207" t="s">
        <v>47430</v>
      </c>
    </row>
    <row r="208" spans="1:24">
      <c r="A208">
        <f>HYPERLINK("https://www.philgeps.gov.ph/GEPSNONPILOT/Tender/SplashBidNoticeAbstractUI.aspx?menuIndex=3&amp;refID=7161846&amp;Result=3","7161846")</f>
        <v>0</v>
      </c>
      <c r="B208" t="s">
        <v>86</v>
      </c>
      <c r="C208" t="s">
        <v>4131</v>
      </c>
      <c r="D208" t="s">
        <v>19049</v>
      </c>
      <c r="E208" t="s">
        <v>19326</v>
      </c>
      <c r="F208" t="s">
        <v>32831</v>
      </c>
      <c r="G208" t="s">
        <v>32838</v>
      </c>
      <c r="H208" t="s">
        <v>32848</v>
      </c>
      <c r="I208" t="s">
        <v>10805</v>
      </c>
      <c r="J208" t="s">
        <v>33148</v>
      </c>
      <c r="K208" t="s">
        <v>42726</v>
      </c>
      <c r="M208" t="s">
        <v>43083</v>
      </c>
      <c r="N208" t="s">
        <v>47424</v>
      </c>
      <c r="O208" t="s">
        <v>47425</v>
      </c>
      <c r="P208">
        <v>0</v>
      </c>
      <c r="Q208">
        <v>0</v>
      </c>
      <c r="R208" t="s">
        <v>47426</v>
      </c>
      <c r="S208" t="s">
        <v>47531</v>
      </c>
      <c r="T208" t="s">
        <v>49128</v>
      </c>
      <c r="U208" t="s">
        <v>49854</v>
      </c>
      <c r="W208" t="s">
        <v>43083</v>
      </c>
      <c r="X208" t="s">
        <v>47430</v>
      </c>
    </row>
    <row r="209" spans="1:24">
      <c r="A209">
        <f>HYPERLINK("https://www.philgeps.gov.ph/GEPSNONPILOT/Tender/SplashBidNoticeAbstractUI.aspx?menuIndex=3&amp;refID=7161861&amp;Result=3","7161861")</f>
        <v>0</v>
      </c>
      <c r="B209" t="s">
        <v>130</v>
      </c>
      <c r="C209" t="s">
        <v>4132</v>
      </c>
      <c r="D209" t="s">
        <v>19063</v>
      </c>
      <c r="E209" t="s">
        <v>19327</v>
      </c>
      <c r="F209" t="s">
        <v>32831</v>
      </c>
      <c r="G209" t="s">
        <v>32840</v>
      </c>
      <c r="H209" t="s">
        <v>32848</v>
      </c>
      <c r="I209" t="s">
        <v>32870</v>
      </c>
      <c r="J209" t="s">
        <v>33149</v>
      </c>
      <c r="K209" t="s">
        <v>42747</v>
      </c>
      <c r="M209" t="s">
        <v>43127</v>
      </c>
      <c r="N209" t="s">
        <v>47424</v>
      </c>
      <c r="O209" t="s">
        <v>47425</v>
      </c>
      <c r="P209">
        <v>0</v>
      </c>
      <c r="Q209">
        <v>0</v>
      </c>
      <c r="R209" t="s">
        <v>47426</v>
      </c>
      <c r="S209" t="s">
        <v>47531</v>
      </c>
      <c r="T209" t="s">
        <v>49091</v>
      </c>
      <c r="U209" t="s">
        <v>49855</v>
      </c>
      <c r="W209" t="s">
        <v>43127</v>
      </c>
      <c r="X209" t="s">
        <v>47430</v>
      </c>
    </row>
    <row r="210" spans="1:24">
      <c r="A210">
        <f>HYPERLINK("https://www.philgeps.gov.ph/GEPSNONPILOT/Tender/SplashBidNoticeAbstractUI.aspx?menuIndex=3&amp;refID=7161843&amp;Result=3","7161843")</f>
        <v>0</v>
      </c>
      <c r="B210" t="s">
        <v>86</v>
      </c>
      <c r="C210" t="s">
        <v>4133</v>
      </c>
      <c r="D210" t="s">
        <v>19049</v>
      </c>
      <c r="E210" t="s">
        <v>19328</v>
      </c>
      <c r="F210" t="s">
        <v>32831</v>
      </c>
      <c r="G210" t="s">
        <v>32839</v>
      </c>
      <c r="H210" t="s">
        <v>32848</v>
      </c>
      <c r="I210" t="s">
        <v>7416</v>
      </c>
      <c r="J210" t="s">
        <v>33150</v>
      </c>
      <c r="K210" t="s">
        <v>42726</v>
      </c>
      <c r="M210" t="s">
        <v>43083</v>
      </c>
      <c r="N210" t="s">
        <v>47424</v>
      </c>
      <c r="O210" t="s">
        <v>47425</v>
      </c>
      <c r="P210">
        <v>0</v>
      </c>
      <c r="Q210">
        <v>0</v>
      </c>
      <c r="R210" t="s">
        <v>47426</v>
      </c>
      <c r="S210" t="s">
        <v>47531</v>
      </c>
      <c r="T210" t="s">
        <v>49106</v>
      </c>
      <c r="U210" t="s">
        <v>49856</v>
      </c>
      <c r="W210" t="s">
        <v>43083</v>
      </c>
      <c r="X210" t="s">
        <v>47430</v>
      </c>
    </row>
    <row r="211" spans="1:24">
      <c r="A211">
        <f>HYPERLINK("https://www.philgeps.gov.ph/GEPSNONPILOT/Tender/SplashBidNoticeAbstractUI.aspx?menuIndex=3&amp;refID=7161280&amp;Result=3","7161280")</f>
        <v>0</v>
      </c>
      <c r="B211" t="s">
        <v>38</v>
      </c>
      <c r="C211" t="s">
        <v>4134</v>
      </c>
      <c r="D211" t="s">
        <v>19028</v>
      </c>
      <c r="E211" t="s">
        <v>19329</v>
      </c>
      <c r="F211" t="s">
        <v>32831</v>
      </c>
      <c r="G211" t="s">
        <v>32839</v>
      </c>
      <c r="H211" t="s">
        <v>32849</v>
      </c>
      <c r="I211" t="s">
        <v>4177</v>
      </c>
      <c r="J211" t="s">
        <v>33151</v>
      </c>
      <c r="K211" t="s">
        <v>42765</v>
      </c>
      <c r="M211" t="s">
        <v>43035</v>
      </c>
      <c r="N211" t="s">
        <v>47424</v>
      </c>
      <c r="O211" t="s">
        <v>47425</v>
      </c>
      <c r="P211">
        <v>0</v>
      </c>
      <c r="Q211">
        <v>0</v>
      </c>
      <c r="R211" t="s">
        <v>47426</v>
      </c>
      <c r="S211" t="s">
        <v>47531</v>
      </c>
      <c r="T211" t="s">
        <v>49118</v>
      </c>
      <c r="U211" t="s">
        <v>49857</v>
      </c>
      <c r="V211" t="s">
        <v>62627</v>
      </c>
      <c r="W211" t="s">
        <v>43035</v>
      </c>
      <c r="X211" t="s">
        <v>47431</v>
      </c>
    </row>
    <row r="212" spans="1:24">
      <c r="A212">
        <f>HYPERLINK("https://www.philgeps.gov.ph/GEPSNONPILOT/Tender/SplashBidNoticeAbstractUI.aspx?menuIndex=3&amp;refID=7161858&amp;Result=3","7161858")</f>
        <v>0</v>
      </c>
      <c r="B212" t="s">
        <v>86</v>
      </c>
      <c r="C212" t="s">
        <v>4135</v>
      </c>
      <c r="D212" t="s">
        <v>19049</v>
      </c>
      <c r="E212" t="s">
        <v>19330</v>
      </c>
      <c r="F212" t="s">
        <v>32831</v>
      </c>
      <c r="G212" t="s">
        <v>32838</v>
      </c>
      <c r="H212" t="s">
        <v>32848</v>
      </c>
      <c r="I212" t="s">
        <v>7416</v>
      </c>
      <c r="J212" t="s">
        <v>33152</v>
      </c>
      <c r="K212" t="s">
        <v>42726</v>
      </c>
      <c r="M212" t="s">
        <v>43083</v>
      </c>
      <c r="N212" t="s">
        <v>47424</v>
      </c>
      <c r="O212" t="s">
        <v>47425</v>
      </c>
      <c r="P212">
        <v>0</v>
      </c>
      <c r="Q212">
        <v>0</v>
      </c>
      <c r="R212" t="s">
        <v>47426</v>
      </c>
      <c r="S212" t="s">
        <v>47531</v>
      </c>
      <c r="T212" t="s">
        <v>49128</v>
      </c>
      <c r="U212" t="s">
        <v>49858</v>
      </c>
      <c r="W212" t="s">
        <v>43083</v>
      </c>
      <c r="X212" t="s">
        <v>47430</v>
      </c>
    </row>
    <row r="213" spans="1:24">
      <c r="A213">
        <f>HYPERLINK("https://www.philgeps.gov.ph/GEPSNONPILOT/Tender/SplashBidNoticeAbstractUI.aspx?menuIndex=3&amp;refID=7161200&amp;Result=3","7161200")</f>
        <v>0</v>
      </c>
      <c r="B213" t="s">
        <v>81</v>
      </c>
      <c r="C213" t="s">
        <v>4136</v>
      </c>
      <c r="D213" t="s">
        <v>19023</v>
      </c>
      <c r="E213" t="s">
        <v>19331</v>
      </c>
      <c r="F213" t="s">
        <v>32831</v>
      </c>
      <c r="G213" t="s">
        <v>32838</v>
      </c>
      <c r="H213" t="s">
        <v>32848</v>
      </c>
      <c r="I213" t="s">
        <v>7416</v>
      </c>
      <c r="J213" t="s">
        <v>33153</v>
      </c>
      <c r="K213" t="s">
        <v>42732</v>
      </c>
      <c r="M213" t="s">
        <v>43078</v>
      </c>
      <c r="N213" t="s">
        <v>47424</v>
      </c>
      <c r="O213" t="s">
        <v>47425</v>
      </c>
      <c r="P213">
        <v>0</v>
      </c>
      <c r="Q213">
        <v>0</v>
      </c>
      <c r="R213" t="s">
        <v>47426</v>
      </c>
      <c r="S213" t="s">
        <v>47531</v>
      </c>
      <c r="T213" t="s">
        <v>49100</v>
      </c>
      <c r="U213" t="s">
        <v>49859</v>
      </c>
      <c r="W213" t="s">
        <v>43078</v>
      </c>
      <c r="X213" t="s">
        <v>47431</v>
      </c>
    </row>
    <row r="214" spans="1:24">
      <c r="A214">
        <f>HYPERLINK("https://www.philgeps.gov.ph/GEPSNONPILOT/Tender/SplashBidNoticeAbstractUI.aspx?menuIndex=3&amp;refID=7161853&amp;Result=3","7161853")</f>
        <v>0</v>
      </c>
      <c r="B214" t="s">
        <v>86</v>
      </c>
      <c r="C214" t="s">
        <v>4137</v>
      </c>
      <c r="D214" t="s">
        <v>19049</v>
      </c>
      <c r="E214" t="s">
        <v>19332</v>
      </c>
      <c r="F214" t="s">
        <v>32831</v>
      </c>
      <c r="G214" t="s">
        <v>32838</v>
      </c>
      <c r="H214" t="s">
        <v>32848</v>
      </c>
      <c r="I214" t="s">
        <v>7416</v>
      </c>
      <c r="J214" t="s">
        <v>33154</v>
      </c>
      <c r="K214" t="s">
        <v>42726</v>
      </c>
      <c r="M214" t="s">
        <v>43083</v>
      </c>
      <c r="N214" t="s">
        <v>47424</v>
      </c>
      <c r="O214" t="s">
        <v>47425</v>
      </c>
      <c r="P214">
        <v>0</v>
      </c>
      <c r="Q214">
        <v>0</v>
      </c>
      <c r="R214" t="s">
        <v>47426</v>
      </c>
      <c r="S214" t="s">
        <v>47531</v>
      </c>
      <c r="T214" t="s">
        <v>49128</v>
      </c>
      <c r="U214" t="s">
        <v>49860</v>
      </c>
      <c r="W214" t="s">
        <v>43083</v>
      </c>
      <c r="X214" t="s">
        <v>47430</v>
      </c>
    </row>
    <row r="215" spans="1:24">
      <c r="A215">
        <f>HYPERLINK("https://www.philgeps.gov.ph/GEPSNONPILOT/Tender/SplashBidNoticeAbstractUI.aspx?menuIndex=3&amp;refID=7161163&amp;Result=3","7161163")</f>
        <v>0</v>
      </c>
      <c r="B215" t="s">
        <v>81</v>
      </c>
      <c r="C215" t="s">
        <v>4057</v>
      </c>
      <c r="D215" t="s">
        <v>19023</v>
      </c>
      <c r="E215" t="s">
        <v>19333</v>
      </c>
      <c r="F215" t="s">
        <v>32831</v>
      </c>
      <c r="G215" t="s">
        <v>32838</v>
      </c>
      <c r="H215" t="s">
        <v>32848</v>
      </c>
      <c r="I215" t="s">
        <v>7416</v>
      </c>
      <c r="J215" t="s">
        <v>33155</v>
      </c>
      <c r="K215" t="s">
        <v>42732</v>
      </c>
      <c r="M215" t="s">
        <v>43078</v>
      </c>
      <c r="N215" t="s">
        <v>47424</v>
      </c>
      <c r="O215" t="s">
        <v>47425</v>
      </c>
      <c r="P215">
        <v>0</v>
      </c>
      <c r="Q215">
        <v>0</v>
      </c>
      <c r="R215" t="s">
        <v>47426</v>
      </c>
      <c r="S215" t="s">
        <v>47531</v>
      </c>
      <c r="T215" t="s">
        <v>49100</v>
      </c>
      <c r="U215" t="s">
        <v>49861</v>
      </c>
      <c r="W215" t="s">
        <v>43078</v>
      </c>
      <c r="X215" t="s">
        <v>47431</v>
      </c>
    </row>
    <row r="216" spans="1:24">
      <c r="A216">
        <f>HYPERLINK("https://www.philgeps.gov.ph/GEPSNONPILOT/Tender/SplashBidNoticeAbstractUI.aspx?menuIndex=3&amp;refID=7161210&amp;Result=3","7161210")</f>
        <v>0</v>
      </c>
      <c r="B216" t="s">
        <v>81</v>
      </c>
      <c r="C216" t="s">
        <v>4138</v>
      </c>
      <c r="D216" t="s">
        <v>19023</v>
      </c>
      <c r="E216" t="s">
        <v>19334</v>
      </c>
      <c r="F216" t="s">
        <v>32831</v>
      </c>
      <c r="G216" t="s">
        <v>32838</v>
      </c>
      <c r="H216" t="s">
        <v>32848</v>
      </c>
      <c r="I216" t="s">
        <v>7416</v>
      </c>
      <c r="J216" t="s">
        <v>33078</v>
      </c>
      <c r="K216" t="s">
        <v>42732</v>
      </c>
      <c r="M216" t="s">
        <v>43078</v>
      </c>
      <c r="N216" t="s">
        <v>47424</v>
      </c>
      <c r="O216" t="s">
        <v>47425</v>
      </c>
      <c r="P216">
        <v>0</v>
      </c>
      <c r="Q216">
        <v>0</v>
      </c>
      <c r="R216" t="s">
        <v>47426</v>
      </c>
      <c r="S216" t="s">
        <v>47531</v>
      </c>
      <c r="T216" t="s">
        <v>49100</v>
      </c>
      <c r="U216" t="s">
        <v>49862</v>
      </c>
      <c r="W216" t="s">
        <v>43078</v>
      </c>
      <c r="X216" t="s">
        <v>47431</v>
      </c>
    </row>
    <row r="217" spans="1:24">
      <c r="A217">
        <f>HYPERLINK("https://www.philgeps.gov.ph/GEPSNONPILOT/Tender/SplashBidNoticeAbstractUI.aspx?menuIndex=3&amp;refID=7162194&amp;Result=3","7162194")</f>
        <v>0</v>
      </c>
      <c r="B217" t="s">
        <v>131</v>
      </c>
      <c r="C217" t="s">
        <v>4139</v>
      </c>
      <c r="D217" t="s">
        <v>19064</v>
      </c>
      <c r="E217" t="s">
        <v>19335</v>
      </c>
      <c r="F217" t="s">
        <v>32831</v>
      </c>
      <c r="G217" t="s">
        <v>32840</v>
      </c>
      <c r="H217" t="s">
        <v>32848</v>
      </c>
      <c r="I217" t="s">
        <v>32870</v>
      </c>
      <c r="J217" t="s">
        <v>33156</v>
      </c>
      <c r="K217" t="s">
        <v>42730</v>
      </c>
      <c r="M217" t="s">
        <v>43128</v>
      </c>
      <c r="N217" t="s">
        <v>47424</v>
      </c>
      <c r="O217" t="s">
        <v>47425</v>
      </c>
      <c r="P217">
        <v>0</v>
      </c>
      <c r="Q217">
        <v>0</v>
      </c>
      <c r="R217" t="s">
        <v>47426</v>
      </c>
      <c r="S217" t="s">
        <v>47531</v>
      </c>
      <c r="T217" t="s">
        <v>49073</v>
      </c>
      <c r="U217" t="s">
        <v>49863</v>
      </c>
      <c r="W217" t="s">
        <v>43128</v>
      </c>
      <c r="X217" t="s">
        <v>47430</v>
      </c>
    </row>
    <row r="218" spans="1:24">
      <c r="A218">
        <f>HYPERLINK("https://www.philgeps.gov.ph/GEPSNONPILOT/Tender/SplashBidNoticeAbstractUI.aspx?menuIndex=3&amp;refID=7161192&amp;Result=3","7161192")</f>
        <v>0</v>
      </c>
      <c r="B218" t="s">
        <v>81</v>
      </c>
      <c r="C218" t="s">
        <v>4140</v>
      </c>
      <c r="D218" t="s">
        <v>19023</v>
      </c>
      <c r="E218" t="s">
        <v>19336</v>
      </c>
      <c r="F218" t="s">
        <v>32831</v>
      </c>
      <c r="G218" t="s">
        <v>32838</v>
      </c>
      <c r="H218" t="s">
        <v>32848</v>
      </c>
      <c r="I218" t="s">
        <v>7416</v>
      </c>
      <c r="J218" t="s">
        <v>33157</v>
      </c>
      <c r="K218" t="s">
        <v>42732</v>
      </c>
      <c r="M218" t="s">
        <v>43078</v>
      </c>
      <c r="N218" t="s">
        <v>47424</v>
      </c>
      <c r="O218" t="s">
        <v>47425</v>
      </c>
      <c r="P218">
        <v>0</v>
      </c>
      <c r="Q218">
        <v>0</v>
      </c>
      <c r="R218" t="s">
        <v>47426</v>
      </c>
      <c r="S218" t="s">
        <v>47531</v>
      </c>
      <c r="T218" t="s">
        <v>49100</v>
      </c>
      <c r="U218" t="s">
        <v>49864</v>
      </c>
      <c r="W218" t="s">
        <v>43078</v>
      </c>
      <c r="X218" t="s">
        <v>47431</v>
      </c>
    </row>
    <row r="219" spans="1:24">
      <c r="A219">
        <f>HYPERLINK("https://www.philgeps.gov.ph/GEPSNONPILOT/Tender/SplashBidNoticeAbstractUI.aspx?menuIndex=3&amp;refID=7162079&amp;Result=3","7162079")</f>
        <v>0</v>
      </c>
      <c r="B219" t="s">
        <v>114</v>
      </c>
      <c r="C219" t="s">
        <v>4141</v>
      </c>
      <c r="D219" t="s">
        <v>19050</v>
      </c>
      <c r="E219" t="s">
        <v>19337</v>
      </c>
      <c r="F219" t="s">
        <v>32831</v>
      </c>
      <c r="G219" t="s">
        <v>32839</v>
      </c>
      <c r="H219" t="s">
        <v>32848</v>
      </c>
      <c r="I219" t="s">
        <v>32870</v>
      </c>
      <c r="J219" t="s">
        <v>33158</v>
      </c>
      <c r="K219" t="s">
        <v>42727</v>
      </c>
      <c r="L219" t="s">
        <v>114</v>
      </c>
      <c r="M219" t="s">
        <v>43111</v>
      </c>
      <c r="N219" t="s">
        <v>47424</v>
      </c>
      <c r="O219" t="s">
        <v>47425</v>
      </c>
      <c r="P219">
        <v>0</v>
      </c>
      <c r="Q219">
        <v>0</v>
      </c>
      <c r="R219" t="s">
        <v>47426</v>
      </c>
      <c r="S219" t="s">
        <v>47531</v>
      </c>
      <c r="T219" t="s">
        <v>49088</v>
      </c>
      <c r="U219" t="s">
        <v>49865</v>
      </c>
      <c r="W219" t="s">
        <v>43111</v>
      </c>
      <c r="X219" t="s">
        <v>47430</v>
      </c>
    </row>
    <row r="220" spans="1:24">
      <c r="A220">
        <f>HYPERLINK("https://www.philgeps.gov.ph/GEPSNONPILOT/Tender/SplashBidNoticeAbstractUI.aspx?menuIndex=3&amp;refID=7162245&amp;Result=3","7162245")</f>
        <v>0</v>
      </c>
      <c r="B220" t="s">
        <v>123</v>
      </c>
      <c r="C220" t="s">
        <v>4090</v>
      </c>
      <c r="D220" t="s">
        <v>19038</v>
      </c>
      <c r="E220" t="s">
        <v>19338</v>
      </c>
      <c r="F220" t="s">
        <v>32831</v>
      </c>
      <c r="G220" t="s">
        <v>32840</v>
      </c>
      <c r="H220" t="s">
        <v>32848</v>
      </c>
      <c r="I220" t="s">
        <v>9577</v>
      </c>
      <c r="J220" t="s">
        <v>33159</v>
      </c>
      <c r="K220" t="s">
        <v>42726</v>
      </c>
      <c r="M220" t="s">
        <v>43120</v>
      </c>
      <c r="N220" t="s">
        <v>47424</v>
      </c>
      <c r="O220" t="s">
        <v>47425</v>
      </c>
      <c r="P220">
        <v>0</v>
      </c>
      <c r="Q220">
        <v>0</v>
      </c>
      <c r="R220" t="s">
        <v>47426</v>
      </c>
      <c r="S220" t="s">
        <v>47531</v>
      </c>
      <c r="T220" t="s">
        <v>49129</v>
      </c>
      <c r="U220" t="s">
        <v>49866</v>
      </c>
      <c r="W220" t="s">
        <v>43120</v>
      </c>
      <c r="X220" t="s">
        <v>47430</v>
      </c>
    </row>
    <row r="221" spans="1:24">
      <c r="A221">
        <f>HYPERLINK("https://www.philgeps.gov.ph/GEPSNONPILOT/Tender/SplashBidNoticeAbstractUI.aspx?menuIndex=3&amp;refID=7161176&amp;Result=3","7161176")</f>
        <v>0</v>
      </c>
      <c r="B221" t="s">
        <v>81</v>
      </c>
      <c r="C221" t="s">
        <v>4140</v>
      </c>
      <c r="D221" t="s">
        <v>19023</v>
      </c>
      <c r="E221" t="s">
        <v>19339</v>
      </c>
      <c r="F221" t="s">
        <v>32831</v>
      </c>
      <c r="G221" t="s">
        <v>32838</v>
      </c>
      <c r="H221" t="s">
        <v>32848</v>
      </c>
      <c r="I221" t="s">
        <v>7416</v>
      </c>
      <c r="J221" t="s">
        <v>33157</v>
      </c>
      <c r="K221" t="s">
        <v>42732</v>
      </c>
      <c r="M221" t="s">
        <v>43078</v>
      </c>
      <c r="N221" t="s">
        <v>47424</v>
      </c>
      <c r="O221" t="s">
        <v>47425</v>
      </c>
      <c r="P221">
        <v>0</v>
      </c>
      <c r="Q221">
        <v>0</v>
      </c>
      <c r="R221" t="s">
        <v>47426</v>
      </c>
      <c r="S221" t="s">
        <v>47531</v>
      </c>
      <c r="T221" t="s">
        <v>49100</v>
      </c>
      <c r="U221" t="s">
        <v>49867</v>
      </c>
      <c r="W221" t="s">
        <v>43078</v>
      </c>
      <c r="X221" t="s">
        <v>47431</v>
      </c>
    </row>
    <row r="222" spans="1:24">
      <c r="A222">
        <f>HYPERLINK("https://www.philgeps.gov.ph/GEPSNONPILOT/Tender/SplashBidNoticeAbstractUI.aspx?menuIndex=3&amp;refID=7162236&amp;Result=3","7162236")</f>
        <v>0</v>
      </c>
      <c r="B222" t="s">
        <v>123</v>
      </c>
      <c r="C222" t="s">
        <v>4142</v>
      </c>
      <c r="D222" t="s">
        <v>19038</v>
      </c>
      <c r="E222" t="s">
        <v>19340</v>
      </c>
      <c r="F222" t="s">
        <v>32831</v>
      </c>
      <c r="G222" t="s">
        <v>32838</v>
      </c>
      <c r="H222" t="s">
        <v>32848</v>
      </c>
      <c r="I222" t="s">
        <v>32857</v>
      </c>
      <c r="J222" t="s">
        <v>33160</v>
      </c>
      <c r="K222" t="s">
        <v>42726</v>
      </c>
      <c r="M222" t="s">
        <v>43120</v>
      </c>
      <c r="N222" t="s">
        <v>47424</v>
      </c>
      <c r="O222" t="s">
        <v>47425</v>
      </c>
      <c r="P222">
        <v>0</v>
      </c>
      <c r="Q222">
        <v>1</v>
      </c>
      <c r="R222" t="s">
        <v>47426</v>
      </c>
      <c r="S222" t="s">
        <v>47531</v>
      </c>
      <c r="T222" t="s">
        <v>49129</v>
      </c>
      <c r="U222" t="s">
        <v>49868</v>
      </c>
      <c r="W222" t="s">
        <v>43120</v>
      </c>
      <c r="X222" t="s">
        <v>47430</v>
      </c>
    </row>
    <row r="223" spans="1:24">
      <c r="A223">
        <f>HYPERLINK("https://www.philgeps.gov.ph/GEPSNONPILOT/Tender/SplashBidNoticeAbstractUI.aspx?menuIndex=3&amp;refID=7162112&amp;Result=3","7162112")</f>
        <v>0</v>
      </c>
      <c r="B223" t="s">
        <v>132</v>
      </c>
      <c r="C223" t="s">
        <v>4143</v>
      </c>
      <c r="D223" t="s">
        <v>19058</v>
      </c>
      <c r="E223" t="s">
        <v>19341</v>
      </c>
      <c r="F223" t="s">
        <v>32831</v>
      </c>
      <c r="G223" t="s">
        <v>32838</v>
      </c>
      <c r="H223" t="s">
        <v>32848</v>
      </c>
      <c r="I223" t="s">
        <v>7416</v>
      </c>
      <c r="J223" t="s">
        <v>33161</v>
      </c>
      <c r="K223" t="s">
        <v>42731</v>
      </c>
      <c r="M223" t="s">
        <v>43129</v>
      </c>
      <c r="N223" t="s">
        <v>47424</v>
      </c>
      <c r="O223" t="s">
        <v>47425</v>
      </c>
      <c r="P223">
        <v>0</v>
      </c>
      <c r="Q223">
        <v>0</v>
      </c>
      <c r="R223" t="s">
        <v>47426</v>
      </c>
      <c r="S223" t="s">
        <v>47531</v>
      </c>
      <c r="T223" t="s">
        <v>49123</v>
      </c>
      <c r="U223" t="s">
        <v>49869</v>
      </c>
      <c r="W223" t="s">
        <v>43129</v>
      </c>
      <c r="X223" t="s">
        <v>47430</v>
      </c>
    </row>
    <row r="224" spans="1:24">
      <c r="A224">
        <f>HYPERLINK("https://www.philgeps.gov.ph/GEPSNONPILOT/Tender/SplashBidNoticeAbstractUI.aspx?menuIndex=3&amp;refID=7162232&amp;Result=3","7162232")</f>
        <v>0</v>
      </c>
      <c r="B224" t="s">
        <v>133</v>
      </c>
      <c r="C224" t="s">
        <v>4144</v>
      </c>
      <c r="E224" t="s">
        <v>19342</v>
      </c>
      <c r="F224" t="s">
        <v>32832</v>
      </c>
      <c r="G224" t="s">
        <v>32839</v>
      </c>
      <c r="H224" t="s">
        <v>32848</v>
      </c>
      <c r="I224" t="s">
        <v>4438</v>
      </c>
      <c r="J224" t="s">
        <v>33041</v>
      </c>
      <c r="K224" t="s">
        <v>42732</v>
      </c>
      <c r="M224" t="s">
        <v>43130</v>
      </c>
      <c r="N224" t="s">
        <v>47424</v>
      </c>
      <c r="O224" t="s">
        <v>47425</v>
      </c>
      <c r="P224">
        <v>0</v>
      </c>
      <c r="Q224">
        <v>0</v>
      </c>
      <c r="R224" t="s">
        <v>47426</v>
      </c>
      <c r="S224" t="s">
        <v>47531</v>
      </c>
      <c r="T224" t="s">
        <v>49130</v>
      </c>
      <c r="U224" t="s">
        <v>49870</v>
      </c>
      <c r="W224" t="s">
        <v>43130</v>
      </c>
      <c r="X224" t="s">
        <v>47430</v>
      </c>
    </row>
    <row r="225" spans="1:24">
      <c r="A225">
        <f>HYPERLINK("https://www.philgeps.gov.ph/GEPSNONPILOT/Tender/SplashBidNoticeAbstractUI.aspx?menuIndex=3&amp;refID=7162190&amp;Result=3","7162190")</f>
        <v>0</v>
      </c>
      <c r="B225" t="s">
        <v>134</v>
      </c>
      <c r="C225" t="s">
        <v>4145</v>
      </c>
      <c r="D225" t="s">
        <v>19017</v>
      </c>
      <c r="E225" t="s">
        <v>19343</v>
      </c>
      <c r="F225" t="s">
        <v>32831</v>
      </c>
      <c r="G225" t="s">
        <v>32838</v>
      </c>
      <c r="H225" t="s">
        <v>32848</v>
      </c>
      <c r="I225" t="s">
        <v>32860</v>
      </c>
      <c r="J225" t="s">
        <v>33162</v>
      </c>
      <c r="K225" t="s">
        <v>42726</v>
      </c>
      <c r="M225" t="s">
        <v>43131</v>
      </c>
      <c r="N225" t="s">
        <v>47424</v>
      </c>
      <c r="O225" t="s">
        <v>47425</v>
      </c>
      <c r="P225">
        <v>0</v>
      </c>
      <c r="Q225">
        <v>4</v>
      </c>
      <c r="R225" t="s">
        <v>47426</v>
      </c>
      <c r="S225" t="s">
        <v>47531</v>
      </c>
      <c r="T225" t="s">
        <v>49124</v>
      </c>
      <c r="U225" t="s">
        <v>49871</v>
      </c>
      <c r="W225" t="s">
        <v>43131</v>
      </c>
      <c r="X225" t="s">
        <v>47430</v>
      </c>
    </row>
    <row r="226" spans="1:24">
      <c r="A226">
        <f>HYPERLINK("https://www.philgeps.gov.ph/GEPSNONPILOT/Tender/SplashBidNoticeAbstractUI.aspx?menuIndex=3&amp;refID=7162227&amp;Result=3","7162227")</f>
        <v>0</v>
      </c>
      <c r="B226" t="s">
        <v>130</v>
      </c>
      <c r="C226" t="s">
        <v>4146</v>
      </c>
      <c r="D226" t="s">
        <v>19063</v>
      </c>
      <c r="E226" t="s">
        <v>19344</v>
      </c>
      <c r="F226" t="s">
        <v>32831</v>
      </c>
      <c r="G226" t="s">
        <v>32840</v>
      </c>
      <c r="H226" t="s">
        <v>32848</v>
      </c>
      <c r="I226" t="s">
        <v>9577</v>
      </c>
      <c r="J226" t="s">
        <v>33163</v>
      </c>
      <c r="K226" t="s">
        <v>42747</v>
      </c>
      <c r="M226" t="s">
        <v>43127</v>
      </c>
      <c r="N226" t="s">
        <v>47424</v>
      </c>
      <c r="O226" t="s">
        <v>47425</v>
      </c>
      <c r="P226">
        <v>0</v>
      </c>
      <c r="Q226">
        <v>1</v>
      </c>
      <c r="R226" t="s">
        <v>47426</v>
      </c>
      <c r="S226" t="s">
        <v>47531</v>
      </c>
      <c r="T226" t="s">
        <v>49091</v>
      </c>
      <c r="U226" t="s">
        <v>49872</v>
      </c>
      <c r="W226" t="s">
        <v>43127</v>
      </c>
      <c r="X226" t="s">
        <v>47430</v>
      </c>
    </row>
    <row r="227" spans="1:24">
      <c r="A227">
        <f>HYPERLINK("https://www.philgeps.gov.ph/GEPSNONPILOT/Tender/SplashBidNoticeAbstractUI.aspx?menuIndex=3&amp;refID=7162262&amp;Result=3","7162262")</f>
        <v>0</v>
      </c>
      <c r="B227" t="s">
        <v>135</v>
      </c>
      <c r="C227" t="s">
        <v>4147</v>
      </c>
      <c r="D227" t="s">
        <v>19044</v>
      </c>
      <c r="E227" t="s">
        <v>19345</v>
      </c>
      <c r="F227" t="s">
        <v>32831</v>
      </c>
      <c r="G227" t="s">
        <v>32839</v>
      </c>
      <c r="H227" t="s">
        <v>32849</v>
      </c>
      <c r="I227" t="s">
        <v>32866</v>
      </c>
      <c r="J227" t="s">
        <v>32983</v>
      </c>
      <c r="K227" t="s">
        <v>42729</v>
      </c>
      <c r="M227" t="s">
        <v>43132</v>
      </c>
      <c r="N227" t="s">
        <v>47424</v>
      </c>
      <c r="O227" t="s">
        <v>47425</v>
      </c>
      <c r="P227">
        <v>0</v>
      </c>
      <c r="Q227">
        <v>0</v>
      </c>
      <c r="R227" t="s">
        <v>47426</v>
      </c>
      <c r="S227" t="s">
        <v>47531</v>
      </c>
      <c r="T227" t="s">
        <v>49131</v>
      </c>
      <c r="U227" t="s">
        <v>49873</v>
      </c>
      <c r="W227" t="s">
        <v>43132</v>
      </c>
      <c r="X227" t="s">
        <v>47430</v>
      </c>
    </row>
    <row r="228" spans="1:24">
      <c r="A228">
        <f>HYPERLINK("https://www.philgeps.gov.ph/GEPSNONPILOT/Tender/SplashBidNoticeAbstractUI.aspx?menuIndex=3&amp;refID=7162243&amp;Result=3","7162243")</f>
        <v>0</v>
      </c>
      <c r="B228" t="s">
        <v>108</v>
      </c>
      <c r="C228" t="s">
        <v>4148</v>
      </c>
      <c r="D228" t="s">
        <v>19058</v>
      </c>
      <c r="E228" t="s">
        <v>19346</v>
      </c>
      <c r="F228" t="s">
        <v>32831</v>
      </c>
      <c r="G228" t="s">
        <v>32839</v>
      </c>
      <c r="H228" t="s">
        <v>32848</v>
      </c>
      <c r="I228" t="s">
        <v>32859</v>
      </c>
      <c r="J228" t="s">
        <v>33164</v>
      </c>
      <c r="K228" t="s">
        <v>42732</v>
      </c>
      <c r="M228" t="s">
        <v>43105</v>
      </c>
      <c r="N228" t="s">
        <v>47424</v>
      </c>
      <c r="O228" t="s">
        <v>47425</v>
      </c>
      <c r="P228">
        <v>0</v>
      </c>
      <c r="Q228">
        <v>1</v>
      </c>
      <c r="R228" t="s">
        <v>47426</v>
      </c>
      <c r="S228" t="s">
        <v>47531</v>
      </c>
      <c r="T228" t="s">
        <v>49122</v>
      </c>
      <c r="U228" t="s">
        <v>49874</v>
      </c>
      <c r="W228" t="s">
        <v>43105</v>
      </c>
      <c r="X228" t="s">
        <v>47430</v>
      </c>
    </row>
    <row r="229" spans="1:24">
      <c r="A229">
        <f>HYPERLINK("https://www.philgeps.gov.ph/GEPSNONPILOT/Tender/SplashBidNoticeAbstractUI.aspx?menuIndex=3&amp;refID=7162254&amp;Result=3","7162254")</f>
        <v>0</v>
      </c>
      <c r="B229" t="s">
        <v>136</v>
      </c>
      <c r="C229" t="s">
        <v>4149</v>
      </c>
      <c r="D229" t="s">
        <v>19047</v>
      </c>
      <c r="E229" t="s">
        <v>19347</v>
      </c>
      <c r="F229" t="s">
        <v>32831</v>
      </c>
      <c r="G229" t="s">
        <v>32838</v>
      </c>
      <c r="H229" t="s">
        <v>32848</v>
      </c>
      <c r="I229" t="s">
        <v>32867</v>
      </c>
      <c r="J229" t="s">
        <v>33165</v>
      </c>
      <c r="K229" t="s">
        <v>42729</v>
      </c>
      <c r="L229" t="s">
        <v>136</v>
      </c>
      <c r="M229" t="s">
        <v>43133</v>
      </c>
      <c r="N229" t="s">
        <v>47424</v>
      </c>
      <c r="O229" t="s">
        <v>47425</v>
      </c>
      <c r="P229">
        <v>0</v>
      </c>
      <c r="Q229">
        <v>9</v>
      </c>
      <c r="R229" t="s">
        <v>47426</v>
      </c>
      <c r="S229" t="s">
        <v>47531</v>
      </c>
      <c r="T229" t="s">
        <v>49068</v>
      </c>
      <c r="U229" t="s">
        <v>49875</v>
      </c>
      <c r="W229" t="s">
        <v>43133</v>
      </c>
      <c r="X229" t="s">
        <v>47430</v>
      </c>
    </row>
    <row r="230" spans="1:24">
      <c r="A230">
        <f>HYPERLINK("https://www.philgeps.gov.ph/GEPSNONPILOT/Tender/SplashBidNoticeAbstractUI.aspx?menuIndex=3&amp;refID=7162235&amp;Result=3","7162235")</f>
        <v>0</v>
      </c>
      <c r="B230" t="s">
        <v>137</v>
      </c>
      <c r="C230" t="s">
        <v>4150</v>
      </c>
      <c r="D230" t="s">
        <v>19017</v>
      </c>
      <c r="E230" t="s">
        <v>19311</v>
      </c>
      <c r="F230" t="s">
        <v>32831</v>
      </c>
      <c r="G230" t="s">
        <v>32838</v>
      </c>
      <c r="H230" t="s">
        <v>32848</v>
      </c>
      <c r="I230" t="s">
        <v>32864</v>
      </c>
      <c r="J230" t="s">
        <v>33166</v>
      </c>
      <c r="K230" t="s">
        <v>42726</v>
      </c>
      <c r="M230" t="s">
        <v>43134</v>
      </c>
      <c r="N230" t="s">
        <v>47424</v>
      </c>
      <c r="O230" t="s">
        <v>47425</v>
      </c>
      <c r="P230">
        <v>0</v>
      </c>
      <c r="Q230">
        <v>4</v>
      </c>
      <c r="R230" t="s">
        <v>47426</v>
      </c>
      <c r="S230" t="s">
        <v>47531</v>
      </c>
      <c r="T230" t="s">
        <v>49124</v>
      </c>
      <c r="U230" t="s">
        <v>49876</v>
      </c>
      <c r="W230" t="s">
        <v>43134</v>
      </c>
      <c r="X230" t="s">
        <v>47430</v>
      </c>
    </row>
    <row r="231" spans="1:24">
      <c r="A231">
        <f>HYPERLINK("https://www.philgeps.gov.ph/GEPSNONPILOT/Tender/SplashBidNoticeAbstractUI.aspx?menuIndex=3&amp;refID=7162246&amp;Result=3","7162246")</f>
        <v>0</v>
      </c>
      <c r="B231" t="s">
        <v>138</v>
      </c>
      <c r="C231" t="s">
        <v>4151</v>
      </c>
      <c r="D231" t="s">
        <v>19057</v>
      </c>
      <c r="E231" t="s">
        <v>19348</v>
      </c>
      <c r="F231" t="s">
        <v>32831</v>
      </c>
      <c r="G231" t="s">
        <v>32842</v>
      </c>
      <c r="H231" t="s">
        <v>32848</v>
      </c>
      <c r="I231" t="s">
        <v>9577</v>
      </c>
      <c r="J231" t="s">
        <v>33090</v>
      </c>
      <c r="K231" t="s">
        <v>42758</v>
      </c>
      <c r="M231" t="s">
        <v>43135</v>
      </c>
      <c r="N231" t="s">
        <v>47424</v>
      </c>
      <c r="O231" t="s">
        <v>47425</v>
      </c>
      <c r="P231">
        <v>0</v>
      </c>
      <c r="Q231">
        <v>2</v>
      </c>
      <c r="R231" t="s">
        <v>47426</v>
      </c>
      <c r="S231" t="s">
        <v>47531</v>
      </c>
      <c r="T231" t="s">
        <v>49056</v>
      </c>
      <c r="U231" t="s">
        <v>49877</v>
      </c>
      <c r="W231" t="s">
        <v>43135</v>
      </c>
      <c r="X231" t="s">
        <v>47430</v>
      </c>
    </row>
    <row r="232" spans="1:24">
      <c r="A232">
        <f>HYPERLINK("https://www.philgeps.gov.ph/GEPSNONPILOT/Tender/SplashBidNoticeAbstractUI.aspx?menuIndex=3&amp;refID=7162188&amp;Result=3","7162188")</f>
        <v>0</v>
      </c>
      <c r="B232" t="s">
        <v>139</v>
      </c>
      <c r="C232" t="s">
        <v>4152</v>
      </c>
      <c r="D232" t="s">
        <v>19042</v>
      </c>
      <c r="E232" t="s">
        <v>19349</v>
      </c>
      <c r="F232" t="s">
        <v>32831</v>
      </c>
      <c r="G232" t="s">
        <v>32839</v>
      </c>
      <c r="H232" t="s">
        <v>32848</v>
      </c>
      <c r="I232" t="s">
        <v>7416</v>
      </c>
      <c r="J232" t="s">
        <v>33167</v>
      </c>
      <c r="K232" t="s">
        <v>42730</v>
      </c>
      <c r="M232" t="s">
        <v>43136</v>
      </c>
      <c r="N232" t="s">
        <v>47424</v>
      </c>
      <c r="O232" t="s">
        <v>47425</v>
      </c>
      <c r="P232">
        <v>0</v>
      </c>
      <c r="Q232">
        <v>0</v>
      </c>
      <c r="R232" t="s">
        <v>47426</v>
      </c>
      <c r="S232" t="s">
        <v>47531</v>
      </c>
      <c r="T232" t="s">
        <v>49132</v>
      </c>
      <c r="U232" t="s">
        <v>49878</v>
      </c>
      <c r="W232" t="s">
        <v>43136</v>
      </c>
      <c r="X232" t="s">
        <v>47430</v>
      </c>
    </row>
    <row r="233" spans="1:24">
      <c r="A233">
        <f>HYPERLINK("https://www.philgeps.gov.ph/GEPSNONPILOT/Tender/SplashBidNoticeAbstractUI.aspx?menuIndex=3&amp;refID=7162214&amp;Result=3","7162214")</f>
        <v>0</v>
      </c>
      <c r="B233" t="s">
        <v>108</v>
      </c>
      <c r="C233" t="s">
        <v>4153</v>
      </c>
      <c r="D233" t="s">
        <v>19058</v>
      </c>
      <c r="E233" t="s">
        <v>19350</v>
      </c>
      <c r="F233" t="s">
        <v>32831</v>
      </c>
      <c r="G233" t="s">
        <v>32839</v>
      </c>
      <c r="H233" t="s">
        <v>32848</v>
      </c>
      <c r="I233" t="s">
        <v>32876</v>
      </c>
      <c r="J233" t="s">
        <v>32980</v>
      </c>
      <c r="K233" t="s">
        <v>42732</v>
      </c>
      <c r="M233" t="s">
        <v>43105</v>
      </c>
      <c r="N233" t="s">
        <v>47424</v>
      </c>
      <c r="O233" t="s">
        <v>47425</v>
      </c>
      <c r="P233">
        <v>0</v>
      </c>
      <c r="Q233">
        <v>0</v>
      </c>
      <c r="R233" t="s">
        <v>47426</v>
      </c>
      <c r="S233" t="s">
        <v>47531</v>
      </c>
      <c r="T233" t="s">
        <v>49122</v>
      </c>
      <c r="U233" t="s">
        <v>49879</v>
      </c>
      <c r="W233" t="s">
        <v>43105</v>
      </c>
      <c r="X233" t="s">
        <v>47430</v>
      </c>
    </row>
    <row r="234" spans="1:24">
      <c r="A234">
        <f>HYPERLINK("https://www.philgeps.gov.ph/GEPSNONPILOT/Tender/SplashBidNoticeAbstractUI.aspx?menuIndex=3&amp;refID=7162206&amp;Result=3","7162206")</f>
        <v>0</v>
      </c>
      <c r="B234" t="s">
        <v>140</v>
      </c>
      <c r="C234" t="s">
        <v>4154</v>
      </c>
      <c r="D234" t="s">
        <v>19062</v>
      </c>
      <c r="E234" t="s">
        <v>19351</v>
      </c>
      <c r="F234" t="s">
        <v>32831</v>
      </c>
      <c r="G234" t="s">
        <v>32841</v>
      </c>
      <c r="H234" t="s">
        <v>32849</v>
      </c>
      <c r="I234" t="s">
        <v>4177</v>
      </c>
      <c r="J234" t="s">
        <v>33044</v>
      </c>
      <c r="K234" t="s">
        <v>42766</v>
      </c>
      <c r="M234" t="s">
        <v>43137</v>
      </c>
      <c r="N234" t="s">
        <v>47424</v>
      </c>
      <c r="O234" t="s">
        <v>47425</v>
      </c>
      <c r="P234">
        <v>0</v>
      </c>
      <c r="Q234">
        <v>0</v>
      </c>
      <c r="R234" t="s">
        <v>47426</v>
      </c>
      <c r="S234" t="s">
        <v>47531</v>
      </c>
      <c r="T234" t="s">
        <v>49060</v>
      </c>
      <c r="U234" t="s">
        <v>49880</v>
      </c>
      <c r="W234" t="s">
        <v>43137</v>
      </c>
      <c r="X234" t="s">
        <v>47430</v>
      </c>
    </row>
    <row r="235" spans="1:24">
      <c r="A235">
        <f>HYPERLINK("https://www.philgeps.gov.ph/GEPSNONPILOT/Tender/SplashBidNoticeAbstractUI.aspx?menuIndex=3&amp;refID=7162242&amp;Result=3","7162242")</f>
        <v>0</v>
      </c>
      <c r="B235" t="s">
        <v>141</v>
      </c>
      <c r="C235" t="s">
        <v>4155</v>
      </c>
      <c r="D235" t="s">
        <v>19018</v>
      </c>
      <c r="E235" t="s">
        <v>19352</v>
      </c>
      <c r="F235" t="s">
        <v>32831</v>
      </c>
      <c r="G235" t="s">
        <v>32840</v>
      </c>
      <c r="H235" t="s">
        <v>32848</v>
      </c>
      <c r="I235" t="s">
        <v>32858</v>
      </c>
      <c r="J235" t="s">
        <v>33168</v>
      </c>
      <c r="K235" t="s">
        <v>42726</v>
      </c>
      <c r="M235" t="s">
        <v>43138</v>
      </c>
      <c r="N235" t="s">
        <v>47424</v>
      </c>
      <c r="O235" t="s">
        <v>47425</v>
      </c>
      <c r="P235">
        <v>0</v>
      </c>
      <c r="Q235">
        <v>1</v>
      </c>
      <c r="R235" t="s">
        <v>47426</v>
      </c>
      <c r="S235" t="s">
        <v>47531</v>
      </c>
      <c r="T235" t="s">
        <v>49133</v>
      </c>
      <c r="U235" t="s">
        <v>49881</v>
      </c>
      <c r="W235" t="s">
        <v>43138</v>
      </c>
      <c r="X235" t="s">
        <v>47430</v>
      </c>
    </row>
    <row r="236" spans="1:24">
      <c r="A236">
        <f>HYPERLINK("https://www.philgeps.gov.ph/GEPSNONPILOT/Tender/SplashBidNoticeAbstractUI.aspx?menuIndex=3&amp;refID=7162114&amp;Result=3","7162114")</f>
        <v>0</v>
      </c>
      <c r="B236" t="s">
        <v>100</v>
      </c>
      <c r="C236" t="s">
        <v>4156</v>
      </c>
      <c r="D236" t="s">
        <v>19017</v>
      </c>
      <c r="E236" t="s">
        <v>19353</v>
      </c>
      <c r="F236" t="s">
        <v>32831</v>
      </c>
      <c r="G236" t="s">
        <v>32838</v>
      </c>
      <c r="H236" t="s">
        <v>32848</v>
      </c>
      <c r="I236" t="s">
        <v>32877</v>
      </c>
      <c r="J236" t="s">
        <v>33169</v>
      </c>
      <c r="K236" t="s">
        <v>42731</v>
      </c>
      <c r="M236" t="s">
        <v>43097</v>
      </c>
      <c r="N236" t="s">
        <v>47424</v>
      </c>
      <c r="O236" t="s">
        <v>47425</v>
      </c>
      <c r="P236">
        <v>0</v>
      </c>
      <c r="Q236">
        <v>1</v>
      </c>
      <c r="R236" t="s">
        <v>47426</v>
      </c>
      <c r="S236" t="s">
        <v>47531</v>
      </c>
      <c r="T236" t="s">
        <v>49134</v>
      </c>
      <c r="U236" t="s">
        <v>49882</v>
      </c>
      <c r="V236" t="s">
        <v>62644</v>
      </c>
      <c r="W236" t="s">
        <v>43097</v>
      </c>
      <c r="X236" t="s">
        <v>47430</v>
      </c>
    </row>
    <row r="237" spans="1:24">
      <c r="A237">
        <f>HYPERLINK("https://www.philgeps.gov.ph/GEPSNONPILOT/Tender/SplashBidNoticeAbstractUI.aspx?menuIndex=3&amp;refID=7162220&amp;Result=3","7162220")</f>
        <v>0</v>
      </c>
      <c r="B237" t="s">
        <v>114</v>
      </c>
      <c r="C237" t="s">
        <v>4157</v>
      </c>
      <c r="D237" t="s">
        <v>19050</v>
      </c>
      <c r="E237" t="s">
        <v>19354</v>
      </c>
      <c r="F237" t="s">
        <v>32831</v>
      </c>
      <c r="G237" t="s">
        <v>32839</v>
      </c>
      <c r="H237" t="s">
        <v>32848</v>
      </c>
      <c r="I237" t="s">
        <v>32878</v>
      </c>
      <c r="J237" t="s">
        <v>33170</v>
      </c>
      <c r="K237" t="s">
        <v>42727</v>
      </c>
      <c r="L237" t="s">
        <v>114</v>
      </c>
      <c r="M237" t="s">
        <v>43111</v>
      </c>
      <c r="N237" t="s">
        <v>47424</v>
      </c>
      <c r="O237" t="s">
        <v>47425</v>
      </c>
      <c r="P237">
        <v>0</v>
      </c>
      <c r="Q237">
        <v>0</v>
      </c>
      <c r="R237" t="s">
        <v>47426</v>
      </c>
      <c r="S237" t="s">
        <v>47531</v>
      </c>
      <c r="T237" t="s">
        <v>49088</v>
      </c>
      <c r="U237" t="s">
        <v>49883</v>
      </c>
      <c r="W237" t="s">
        <v>43111</v>
      </c>
      <c r="X237" t="s">
        <v>47430</v>
      </c>
    </row>
    <row r="238" spans="1:24">
      <c r="A238">
        <f>HYPERLINK("https://www.philgeps.gov.ph/GEPSNONPILOT/Tender/SplashBidNoticeAbstractUI.aspx?menuIndex=3&amp;refID=7162200&amp;Result=3","7162200")</f>
        <v>0</v>
      </c>
      <c r="B238" t="s">
        <v>142</v>
      </c>
      <c r="C238" t="s">
        <v>4158</v>
      </c>
      <c r="D238" t="s">
        <v>19021</v>
      </c>
      <c r="E238" t="s">
        <v>19355</v>
      </c>
      <c r="F238" t="s">
        <v>32831</v>
      </c>
      <c r="G238" t="s">
        <v>32838</v>
      </c>
      <c r="H238" t="s">
        <v>32848</v>
      </c>
      <c r="I238" t="s">
        <v>4303</v>
      </c>
      <c r="J238" t="s">
        <v>33171</v>
      </c>
      <c r="K238" t="s">
        <v>42748</v>
      </c>
      <c r="M238" t="s">
        <v>43139</v>
      </c>
      <c r="N238" t="s">
        <v>47424</v>
      </c>
      <c r="O238" t="s">
        <v>47425</v>
      </c>
      <c r="P238">
        <v>0</v>
      </c>
      <c r="Q238">
        <v>1</v>
      </c>
      <c r="R238" t="s">
        <v>47426</v>
      </c>
      <c r="S238" t="s">
        <v>47531</v>
      </c>
      <c r="T238" t="s">
        <v>49135</v>
      </c>
      <c r="U238" t="s">
        <v>49884</v>
      </c>
      <c r="W238" t="s">
        <v>43139</v>
      </c>
      <c r="X238" t="s">
        <v>47430</v>
      </c>
    </row>
    <row r="239" spans="1:24">
      <c r="A239">
        <f>HYPERLINK("https://www.philgeps.gov.ph/GEPSNONPILOT/Tender/SplashBidNoticeAbstractUI.aspx?menuIndex=3&amp;refID=7162231&amp;Result=3","7162231")</f>
        <v>0</v>
      </c>
      <c r="B239" t="s">
        <v>143</v>
      </c>
      <c r="C239" t="s">
        <v>4159</v>
      </c>
      <c r="D239" t="s">
        <v>19065</v>
      </c>
      <c r="E239" t="s">
        <v>19356</v>
      </c>
      <c r="F239" t="s">
        <v>32831</v>
      </c>
      <c r="G239" t="s">
        <v>32838</v>
      </c>
      <c r="H239" t="s">
        <v>32848</v>
      </c>
      <c r="I239" t="s">
        <v>32874</v>
      </c>
      <c r="J239" t="s">
        <v>33172</v>
      </c>
      <c r="K239" t="s">
        <v>42731</v>
      </c>
      <c r="M239" t="s">
        <v>43140</v>
      </c>
      <c r="N239" t="s">
        <v>47424</v>
      </c>
      <c r="O239" t="s">
        <v>47425</v>
      </c>
      <c r="P239">
        <v>0</v>
      </c>
      <c r="Q239">
        <v>7</v>
      </c>
      <c r="R239" t="s">
        <v>47426</v>
      </c>
      <c r="S239" t="s">
        <v>47531</v>
      </c>
      <c r="T239" t="s">
        <v>49100</v>
      </c>
      <c r="U239" t="s">
        <v>49885</v>
      </c>
      <c r="W239" t="s">
        <v>43140</v>
      </c>
      <c r="X239" t="s">
        <v>47430</v>
      </c>
    </row>
    <row r="240" spans="1:24">
      <c r="A240">
        <f>HYPERLINK("https://www.philgeps.gov.ph/GEPSNONPILOT/Tender/SplashBidNoticeAbstractUI.aspx?menuIndex=3&amp;refID=7162197&amp;Result=3","7162197")</f>
        <v>0</v>
      </c>
      <c r="B240" t="s">
        <v>123</v>
      </c>
      <c r="C240" t="s">
        <v>4160</v>
      </c>
      <c r="D240" t="s">
        <v>19038</v>
      </c>
      <c r="E240" t="s">
        <v>19357</v>
      </c>
      <c r="F240" t="s">
        <v>32831</v>
      </c>
      <c r="G240" t="s">
        <v>32843</v>
      </c>
      <c r="H240" t="s">
        <v>32848</v>
      </c>
      <c r="I240" t="s">
        <v>32853</v>
      </c>
      <c r="J240" t="s">
        <v>33173</v>
      </c>
      <c r="K240" t="s">
        <v>42726</v>
      </c>
      <c r="M240" t="s">
        <v>43120</v>
      </c>
      <c r="N240" t="s">
        <v>47424</v>
      </c>
      <c r="O240" t="s">
        <v>47425</v>
      </c>
      <c r="P240">
        <v>0</v>
      </c>
      <c r="Q240">
        <v>0</v>
      </c>
      <c r="R240" t="s">
        <v>47426</v>
      </c>
      <c r="S240" t="s">
        <v>47531</v>
      </c>
      <c r="T240" t="s">
        <v>49129</v>
      </c>
      <c r="U240" t="s">
        <v>49886</v>
      </c>
      <c r="W240" t="s">
        <v>43120</v>
      </c>
      <c r="X240" t="s">
        <v>47430</v>
      </c>
    </row>
    <row r="241" spans="1:24">
      <c r="A241">
        <f>HYPERLINK("https://www.philgeps.gov.ph/GEPSNONPILOT/Tender/SplashBidNoticeAbstractUI.aspx?menuIndex=3&amp;refID=7162215&amp;Result=3","7162215")</f>
        <v>0</v>
      </c>
      <c r="B241" t="s">
        <v>123</v>
      </c>
      <c r="C241" t="s">
        <v>4161</v>
      </c>
      <c r="D241" t="s">
        <v>19038</v>
      </c>
      <c r="E241" t="s">
        <v>19358</v>
      </c>
      <c r="F241" t="s">
        <v>32831</v>
      </c>
      <c r="G241" t="s">
        <v>32838</v>
      </c>
      <c r="H241" t="s">
        <v>32848</v>
      </c>
      <c r="I241" t="s">
        <v>4438</v>
      </c>
      <c r="J241" t="s">
        <v>33174</v>
      </c>
      <c r="K241" t="s">
        <v>42726</v>
      </c>
      <c r="M241" t="s">
        <v>43120</v>
      </c>
      <c r="N241" t="s">
        <v>47424</v>
      </c>
      <c r="O241" t="s">
        <v>47425</v>
      </c>
      <c r="P241">
        <v>0</v>
      </c>
      <c r="Q241">
        <v>0</v>
      </c>
      <c r="R241" t="s">
        <v>47426</v>
      </c>
      <c r="S241" t="s">
        <v>47531</v>
      </c>
      <c r="T241" t="s">
        <v>49129</v>
      </c>
      <c r="U241" t="s">
        <v>49887</v>
      </c>
      <c r="W241" t="s">
        <v>43120</v>
      </c>
      <c r="X241" t="s">
        <v>47430</v>
      </c>
    </row>
    <row r="242" spans="1:24">
      <c r="A242">
        <f>HYPERLINK("https://www.philgeps.gov.ph/GEPSNONPILOT/Tender/SplashBidNoticeAbstractUI.aspx?menuIndex=3&amp;refID=7162266&amp;Result=3","7162266")</f>
        <v>0</v>
      </c>
      <c r="B242" t="s">
        <v>138</v>
      </c>
      <c r="C242" t="s">
        <v>4162</v>
      </c>
      <c r="D242" t="s">
        <v>19057</v>
      </c>
      <c r="E242" t="s">
        <v>19359</v>
      </c>
      <c r="F242" t="s">
        <v>32831</v>
      </c>
      <c r="G242" t="s">
        <v>32842</v>
      </c>
      <c r="H242" t="s">
        <v>32848</v>
      </c>
      <c r="I242" t="s">
        <v>4487</v>
      </c>
      <c r="J242" t="s">
        <v>33029</v>
      </c>
      <c r="K242" t="s">
        <v>42758</v>
      </c>
      <c r="M242" t="s">
        <v>43135</v>
      </c>
      <c r="N242" t="s">
        <v>47424</v>
      </c>
      <c r="O242" t="s">
        <v>47425</v>
      </c>
      <c r="P242">
        <v>0</v>
      </c>
      <c r="Q242">
        <v>3</v>
      </c>
      <c r="R242" t="s">
        <v>47426</v>
      </c>
      <c r="S242" t="s">
        <v>47531</v>
      </c>
      <c r="T242" t="s">
        <v>49056</v>
      </c>
      <c r="U242" t="s">
        <v>49888</v>
      </c>
      <c r="W242" t="s">
        <v>43135</v>
      </c>
      <c r="X242" t="s">
        <v>47430</v>
      </c>
    </row>
    <row r="243" spans="1:24">
      <c r="A243">
        <f>HYPERLINK("https://www.philgeps.gov.ph/GEPSNONPILOT/Tender/SplashBidNoticeAbstractUI.aspx?menuIndex=3&amp;refID=7162297&amp;Result=3","7162297")</f>
        <v>0</v>
      </c>
      <c r="B243" t="s">
        <v>123</v>
      </c>
      <c r="C243" t="s">
        <v>4163</v>
      </c>
      <c r="D243" t="s">
        <v>19038</v>
      </c>
      <c r="E243" t="s">
        <v>19360</v>
      </c>
      <c r="F243" t="s">
        <v>32831</v>
      </c>
      <c r="G243" t="s">
        <v>32838</v>
      </c>
      <c r="H243" t="s">
        <v>32848</v>
      </c>
      <c r="I243" t="s">
        <v>4438</v>
      </c>
      <c r="J243" t="s">
        <v>33175</v>
      </c>
      <c r="K243" t="s">
        <v>42726</v>
      </c>
      <c r="M243" t="s">
        <v>43120</v>
      </c>
      <c r="N243" t="s">
        <v>47424</v>
      </c>
      <c r="O243" t="s">
        <v>47425</v>
      </c>
      <c r="P243">
        <v>0</v>
      </c>
      <c r="Q243">
        <v>0</v>
      </c>
      <c r="R243" t="s">
        <v>47426</v>
      </c>
      <c r="S243" t="s">
        <v>47531</v>
      </c>
      <c r="T243" t="s">
        <v>49129</v>
      </c>
      <c r="U243" t="s">
        <v>49889</v>
      </c>
      <c r="W243" t="s">
        <v>43120</v>
      </c>
      <c r="X243" t="s">
        <v>47430</v>
      </c>
    </row>
    <row r="244" spans="1:24">
      <c r="A244">
        <f>HYPERLINK("https://www.philgeps.gov.ph/GEPSNONPILOT/Tender/SplashBidNoticeAbstractUI.aspx?menuIndex=3&amp;refID=7162307&amp;Result=3","7162307")</f>
        <v>0</v>
      </c>
      <c r="B244" t="s">
        <v>108</v>
      </c>
      <c r="C244" t="s">
        <v>4164</v>
      </c>
      <c r="D244" t="s">
        <v>19058</v>
      </c>
      <c r="E244" t="s">
        <v>19361</v>
      </c>
      <c r="F244" t="s">
        <v>32831</v>
      </c>
      <c r="G244" t="s">
        <v>32839</v>
      </c>
      <c r="H244" t="s">
        <v>32848</v>
      </c>
      <c r="I244" t="s">
        <v>4487</v>
      </c>
      <c r="J244" t="s">
        <v>33176</v>
      </c>
      <c r="K244" t="s">
        <v>42732</v>
      </c>
      <c r="M244" t="s">
        <v>43105</v>
      </c>
      <c r="N244" t="s">
        <v>47424</v>
      </c>
      <c r="O244" t="s">
        <v>47425</v>
      </c>
      <c r="P244">
        <v>0</v>
      </c>
      <c r="Q244">
        <v>0</v>
      </c>
      <c r="R244" t="s">
        <v>47426</v>
      </c>
      <c r="S244" t="s">
        <v>47531</v>
      </c>
      <c r="T244" t="s">
        <v>49122</v>
      </c>
      <c r="U244" t="s">
        <v>49890</v>
      </c>
      <c r="W244" t="s">
        <v>43105</v>
      </c>
      <c r="X244" t="s">
        <v>47430</v>
      </c>
    </row>
    <row r="245" spans="1:24">
      <c r="A245">
        <f>HYPERLINK("https://www.philgeps.gov.ph/GEPSNONPILOT/Tender/SplashBidNoticeAbstractUI.aspx?menuIndex=3&amp;refID=7162294&amp;Result=3","7162294")</f>
        <v>0</v>
      </c>
      <c r="B245" t="s">
        <v>144</v>
      </c>
      <c r="C245" t="s">
        <v>4165</v>
      </c>
      <c r="D245" t="s">
        <v>19066</v>
      </c>
      <c r="E245" t="s">
        <v>19362</v>
      </c>
      <c r="F245" t="s">
        <v>32831</v>
      </c>
      <c r="G245" t="s">
        <v>32839</v>
      </c>
      <c r="H245" t="s">
        <v>32848</v>
      </c>
      <c r="I245" t="s">
        <v>6526</v>
      </c>
      <c r="J245" t="s">
        <v>33177</v>
      </c>
      <c r="K245" t="s">
        <v>42732</v>
      </c>
      <c r="M245" t="s">
        <v>43141</v>
      </c>
      <c r="N245" t="s">
        <v>47424</v>
      </c>
      <c r="O245" t="s">
        <v>47425</v>
      </c>
      <c r="P245">
        <v>0</v>
      </c>
      <c r="Q245">
        <v>0</v>
      </c>
      <c r="R245" t="s">
        <v>47426</v>
      </c>
      <c r="S245" t="s">
        <v>47531</v>
      </c>
      <c r="T245" t="s">
        <v>49136</v>
      </c>
      <c r="U245" t="s">
        <v>49891</v>
      </c>
      <c r="W245" t="s">
        <v>43141</v>
      </c>
      <c r="X245" t="s">
        <v>47430</v>
      </c>
    </row>
    <row r="246" spans="1:24">
      <c r="A246">
        <f>HYPERLINK("https://www.philgeps.gov.ph/GEPSNONPILOT/Tender/SplashBidNoticeAbstractUI.aspx?menuIndex=3&amp;refID=7162268&amp;Result=3","7162268")</f>
        <v>0</v>
      </c>
      <c r="B246" t="s">
        <v>108</v>
      </c>
      <c r="C246" t="s">
        <v>4166</v>
      </c>
      <c r="D246" t="s">
        <v>19058</v>
      </c>
      <c r="E246" t="s">
        <v>19363</v>
      </c>
      <c r="F246" t="s">
        <v>32831</v>
      </c>
      <c r="G246" t="s">
        <v>32839</v>
      </c>
      <c r="H246" t="s">
        <v>32848</v>
      </c>
      <c r="I246" t="s">
        <v>4487</v>
      </c>
      <c r="J246" t="s">
        <v>33178</v>
      </c>
      <c r="K246" t="s">
        <v>42732</v>
      </c>
      <c r="M246" t="s">
        <v>43105</v>
      </c>
      <c r="N246" t="s">
        <v>47424</v>
      </c>
      <c r="O246" t="s">
        <v>47425</v>
      </c>
      <c r="P246">
        <v>0</v>
      </c>
      <c r="Q246">
        <v>0</v>
      </c>
      <c r="R246" t="s">
        <v>47426</v>
      </c>
      <c r="S246" t="s">
        <v>47531</v>
      </c>
      <c r="T246" t="s">
        <v>49122</v>
      </c>
      <c r="U246" t="s">
        <v>49892</v>
      </c>
      <c r="W246" t="s">
        <v>43105</v>
      </c>
      <c r="X246" t="s">
        <v>47430</v>
      </c>
    </row>
    <row r="247" spans="1:24">
      <c r="A247">
        <f>HYPERLINK("https://www.philgeps.gov.ph/GEPSNONPILOT/Tender/SplashBidNoticeAbstractUI.aspx?menuIndex=3&amp;refID=7162314&amp;Result=3","7162314")</f>
        <v>0</v>
      </c>
      <c r="B247" t="s">
        <v>99</v>
      </c>
      <c r="C247" t="s">
        <v>4167</v>
      </c>
      <c r="D247" t="s">
        <v>19054</v>
      </c>
      <c r="E247" t="s">
        <v>19364</v>
      </c>
      <c r="F247" t="s">
        <v>32831</v>
      </c>
      <c r="G247" t="s">
        <v>32839</v>
      </c>
      <c r="H247" t="s">
        <v>32848</v>
      </c>
      <c r="I247" t="s">
        <v>32879</v>
      </c>
      <c r="J247" t="s">
        <v>33179</v>
      </c>
      <c r="K247" t="s">
        <v>42730</v>
      </c>
      <c r="M247" t="s">
        <v>43096</v>
      </c>
      <c r="N247" t="s">
        <v>47424</v>
      </c>
      <c r="O247" t="s">
        <v>47425</v>
      </c>
      <c r="P247">
        <v>0</v>
      </c>
      <c r="Q247">
        <v>1</v>
      </c>
      <c r="R247" t="s">
        <v>47426</v>
      </c>
      <c r="S247" t="s">
        <v>47531</v>
      </c>
      <c r="T247" t="s">
        <v>49069</v>
      </c>
      <c r="U247" t="s">
        <v>49821</v>
      </c>
      <c r="V247" t="s">
        <v>62643</v>
      </c>
      <c r="W247" t="s">
        <v>43096</v>
      </c>
      <c r="X247" t="s">
        <v>47430</v>
      </c>
    </row>
    <row r="248" spans="1:24">
      <c r="A248">
        <f>HYPERLINK("https://www.philgeps.gov.ph/GEPSNONPILOT/Tender/SplashBidNoticeAbstractUI.aspx?menuIndex=3&amp;refID=7162281&amp;Result=3","7162281")</f>
        <v>0</v>
      </c>
      <c r="B248" t="s">
        <v>145</v>
      </c>
      <c r="C248" t="s">
        <v>4168</v>
      </c>
      <c r="D248" t="s">
        <v>19048</v>
      </c>
      <c r="E248" t="s">
        <v>19365</v>
      </c>
      <c r="F248" t="s">
        <v>32831</v>
      </c>
      <c r="G248" t="s">
        <v>32839</v>
      </c>
      <c r="H248" t="s">
        <v>32848</v>
      </c>
      <c r="I248" t="s">
        <v>32860</v>
      </c>
      <c r="J248" t="s">
        <v>33180</v>
      </c>
      <c r="K248" t="s">
        <v>42731</v>
      </c>
      <c r="L248" t="s">
        <v>145</v>
      </c>
      <c r="M248" t="s">
        <v>43142</v>
      </c>
      <c r="N248" t="s">
        <v>47424</v>
      </c>
      <c r="O248" t="s">
        <v>47425</v>
      </c>
      <c r="P248">
        <v>0</v>
      </c>
      <c r="Q248">
        <v>7</v>
      </c>
      <c r="R248" t="s">
        <v>47426</v>
      </c>
      <c r="S248" t="s">
        <v>47531</v>
      </c>
      <c r="T248" t="s">
        <v>49069</v>
      </c>
      <c r="U248" t="s">
        <v>49893</v>
      </c>
      <c r="V248" t="s">
        <v>62648</v>
      </c>
      <c r="W248" t="s">
        <v>43142</v>
      </c>
      <c r="X248" t="s">
        <v>47430</v>
      </c>
    </row>
    <row r="249" spans="1:24">
      <c r="A249">
        <f>HYPERLINK("https://www.philgeps.gov.ph/GEPSNONPILOT/Tender/SplashBidNoticeAbstractUI.aspx?menuIndex=3&amp;refID=7162274&amp;Result=3","7162274")</f>
        <v>0</v>
      </c>
      <c r="B249" t="s">
        <v>146</v>
      </c>
      <c r="C249" t="s">
        <v>4169</v>
      </c>
      <c r="D249" t="s">
        <v>19060</v>
      </c>
      <c r="E249" t="s">
        <v>19366</v>
      </c>
      <c r="F249" t="s">
        <v>32831</v>
      </c>
      <c r="G249" t="s">
        <v>32838</v>
      </c>
      <c r="H249" t="s">
        <v>32848</v>
      </c>
      <c r="I249" t="s">
        <v>32856</v>
      </c>
      <c r="J249" t="s">
        <v>32980</v>
      </c>
      <c r="K249" t="s">
        <v>42732</v>
      </c>
      <c r="M249" t="s">
        <v>43143</v>
      </c>
      <c r="N249" t="s">
        <v>47424</v>
      </c>
      <c r="O249" t="s">
        <v>47425</v>
      </c>
      <c r="P249">
        <v>0</v>
      </c>
      <c r="Q249">
        <v>0</v>
      </c>
      <c r="R249" t="s">
        <v>47426</v>
      </c>
      <c r="S249" t="s">
        <v>47531</v>
      </c>
      <c r="T249" t="s">
        <v>49100</v>
      </c>
      <c r="U249" t="s">
        <v>49894</v>
      </c>
      <c r="V249" t="s">
        <v>62649</v>
      </c>
      <c r="W249" t="s">
        <v>43143</v>
      </c>
      <c r="X249" t="s">
        <v>47430</v>
      </c>
    </row>
    <row r="250" spans="1:24">
      <c r="A250">
        <f>HYPERLINK("https://www.philgeps.gov.ph/GEPSNONPILOT/Tender/SplashBidNoticeAbstractUI.aspx?menuIndex=3&amp;refID=7162290&amp;Result=3","7162290")</f>
        <v>0</v>
      </c>
      <c r="B250" t="s">
        <v>92</v>
      </c>
      <c r="C250" t="s">
        <v>4170</v>
      </c>
      <c r="D250" t="s">
        <v>19051</v>
      </c>
      <c r="E250" t="s">
        <v>19260</v>
      </c>
      <c r="F250" t="s">
        <v>32831</v>
      </c>
      <c r="G250" t="s">
        <v>32839</v>
      </c>
      <c r="H250" t="s">
        <v>32849</v>
      </c>
      <c r="I250" t="s">
        <v>4177</v>
      </c>
      <c r="J250" t="s">
        <v>33055</v>
      </c>
      <c r="K250" t="s">
        <v>42732</v>
      </c>
      <c r="M250" t="s">
        <v>43089</v>
      </c>
      <c r="N250" t="s">
        <v>47424</v>
      </c>
      <c r="O250" t="s">
        <v>47425</v>
      </c>
      <c r="P250">
        <v>0</v>
      </c>
      <c r="Q250">
        <v>0</v>
      </c>
      <c r="R250" t="s">
        <v>47426</v>
      </c>
      <c r="S250" t="s">
        <v>47531</v>
      </c>
      <c r="T250" t="s">
        <v>49065</v>
      </c>
      <c r="U250" t="s">
        <v>49895</v>
      </c>
      <c r="V250" t="s">
        <v>62640</v>
      </c>
      <c r="W250" t="s">
        <v>43089</v>
      </c>
      <c r="X250" t="s">
        <v>47430</v>
      </c>
    </row>
    <row r="251" spans="1:24">
      <c r="A251">
        <f>HYPERLINK("https://www.philgeps.gov.ph/GEPSNONPILOT/Tender/SplashBidNoticeAbstractUI.aspx?menuIndex=3&amp;refID=7162285&amp;Result=3","7162285")</f>
        <v>0</v>
      </c>
      <c r="B251" t="s">
        <v>38</v>
      </c>
      <c r="C251" t="s">
        <v>4171</v>
      </c>
      <c r="D251" t="s">
        <v>19028</v>
      </c>
      <c r="E251" t="s">
        <v>19367</v>
      </c>
      <c r="F251" t="s">
        <v>32831</v>
      </c>
      <c r="G251" t="s">
        <v>32839</v>
      </c>
      <c r="H251" t="s">
        <v>32849</v>
      </c>
      <c r="I251" t="s">
        <v>4177</v>
      </c>
      <c r="J251" t="s">
        <v>33181</v>
      </c>
      <c r="K251" t="s">
        <v>42767</v>
      </c>
      <c r="M251" t="s">
        <v>43035</v>
      </c>
      <c r="N251" t="s">
        <v>47424</v>
      </c>
      <c r="O251" t="s">
        <v>47425</v>
      </c>
      <c r="P251">
        <v>0</v>
      </c>
      <c r="Q251">
        <v>0</v>
      </c>
      <c r="R251" t="s">
        <v>47426</v>
      </c>
      <c r="S251" t="s">
        <v>47531</v>
      </c>
      <c r="T251" t="s">
        <v>49070</v>
      </c>
      <c r="U251" t="s">
        <v>49896</v>
      </c>
      <c r="V251" t="s">
        <v>62650</v>
      </c>
      <c r="W251" t="s">
        <v>43035</v>
      </c>
      <c r="X251" t="s">
        <v>47430</v>
      </c>
    </row>
    <row r="252" spans="1:24">
      <c r="A252">
        <f>HYPERLINK("https://www.philgeps.gov.ph/GEPSNONPILOT/Tender/SplashBidNoticeAbstractUI.aspx?menuIndex=3&amp;refID=7162272&amp;Result=3","7162272")</f>
        <v>0</v>
      </c>
      <c r="B252" t="s">
        <v>147</v>
      </c>
      <c r="C252" t="s">
        <v>4172</v>
      </c>
      <c r="D252" t="s">
        <v>19067</v>
      </c>
      <c r="E252" t="s">
        <v>19368</v>
      </c>
      <c r="F252" t="s">
        <v>32831</v>
      </c>
      <c r="G252" t="s">
        <v>32838</v>
      </c>
      <c r="H252" t="s">
        <v>32848</v>
      </c>
      <c r="I252" t="s">
        <v>32859</v>
      </c>
      <c r="J252" t="s">
        <v>33182</v>
      </c>
      <c r="K252" t="s">
        <v>42727</v>
      </c>
      <c r="M252" t="s">
        <v>43144</v>
      </c>
      <c r="N252" t="s">
        <v>47424</v>
      </c>
      <c r="O252" t="s">
        <v>47425</v>
      </c>
      <c r="P252">
        <v>0</v>
      </c>
      <c r="Q252">
        <v>1</v>
      </c>
      <c r="R252" t="s">
        <v>47426</v>
      </c>
      <c r="S252" t="s">
        <v>47531</v>
      </c>
      <c r="T252" t="s">
        <v>49056</v>
      </c>
      <c r="U252" t="s">
        <v>49897</v>
      </c>
      <c r="W252" t="s">
        <v>43144</v>
      </c>
      <c r="X252" t="s">
        <v>47430</v>
      </c>
    </row>
    <row r="253" spans="1:24">
      <c r="A253">
        <f>HYPERLINK("https://www.philgeps.gov.ph/GEPSNONPILOT/Tender/SplashBidNoticeAbstractUI.aspx?menuIndex=3&amp;refID=7162320&amp;Result=3","7162320")</f>
        <v>0</v>
      </c>
      <c r="B253" t="s">
        <v>99</v>
      </c>
      <c r="C253" t="s">
        <v>4173</v>
      </c>
      <c r="D253" t="s">
        <v>19054</v>
      </c>
      <c r="E253" t="s">
        <v>19369</v>
      </c>
      <c r="F253" t="s">
        <v>32831</v>
      </c>
      <c r="G253" t="s">
        <v>32839</v>
      </c>
      <c r="H253" t="s">
        <v>32848</v>
      </c>
      <c r="I253" t="s">
        <v>9577</v>
      </c>
      <c r="J253" t="s">
        <v>33183</v>
      </c>
      <c r="K253" t="s">
        <v>42730</v>
      </c>
      <c r="M253" t="s">
        <v>43096</v>
      </c>
      <c r="N253" t="s">
        <v>47424</v>
      </c>
      <c r="O253" t="s">
        <v>47425</v>
      </c>
      <c r="P253">
        <v>0</v>
      </c>
      <c r="Q253">
        <v>0</v>
      </c>
      <c r="R253" t="s">
        <v>47426</v>
      </c>
      <c r="S253" t="s">
        <v>47531</v>
      </c>
      <c r="T253" t="s">
        <v>49069</v>
      </c>
      <c r="U253" t="s">
        <v>49821</v>
      </c>
      <c r="V253" t="s">
        <v>62643</v>
      </c>
      <c r="W253" t="s">
        <v>43096</v>
      </c>
      <c r="X253" t="s">
        <v>47430</v>
      </c>
    </row>
    <row r="254" spans="1:24">
      <c r="A254">
        <f>HYPERLINK("https://www.philgeps.gov.ph/GEPSNONPILOT/Tender/SplashBidNoticeAbstractUI.aspx?menuIndex=3&amp;refID=7162270&amp;Result=3","7162270")</f>
        <v>0</v>
      </c>
      <c r="B254" t="s">
        <v>123</v>
      </c>
      <c r="C254" t="s">
        <v>4174</v>
      </c>
      <c r="D254" t="s">
        <v>19038</v>
      </c>
      <c r="E254" t="s">
        <v>19370</v>
      </c>
      <c r="F254" t="s">
        <v>32831</v>
      </c>
      <c r="G254" t="s">
        <v>32840</v>
      </c>
      <c r="H254" t="s">
        <v>32848</v>
      </c>
      <c r="I254" t="s">
        <v>9577</v>
      </c>
      <c r="J254" t="s">
        <v>33175</v>
      </c>
      <c r="K254" t="s">
        <v>42726</v>
      </c>
      <c r="M254" t="s">
        <v>43120</v>
      </c>
      <c r="N254" t="s">
        <v>47424</v>
      </c>
      <c r="O254" t="s">
        <v>47425</v>
      </c>
      <c r="P254">
        <v>0</v>
      </c>
      <c r="Q254">
        <v>0</v>
      </c>
      <c r="R254" t="s">
        <v>47426</v>
      </c>
      <c r="S254" t="s">
        <v>47531</v>
      </c>
      <c r="T254" t="s">
        <v>49129</v>
      </c>
      <c r="U254" t="s">
        <v>49898</v>
      </c>
      <c r="W254" t="s">
        <v>43120</v>
      </c>
      <c r="X254" t="s">
        <v>47430</v>
      </c>
    </row>
    <row r="255" spans="1:24">
      <c r="A255">
        <f>HYPERLINK("https://www.philgeps.gov.ph/GEPSNONPILOT/Tender/SplashBidNoticeAbstractUI.aspx?menuIndex=3&amp;refID=7162302&amp;Result=3","7162302")</f>
        <v>0</v>
      </c>
      <c r="B255" t="s">
        <v>148</v>
      </c>
      <c r="C255" t="s">
        <v>4175</v>
      </c>
      <c r="D255" t="s">
        <v>19047</v>
      </c>
      <c r="E255" t="s">
        <v>19371</v>
      </c>
      <c r="F255" t="s">
        <v>32831</v>
      </c>
      <c r="G255" t="s">
        <v>32839</v>
      </c>
      <c r="H255" t="s">
        <v>32848</v>
      </c>
      <c r="I255" t="s">
        <v>32855</v>
      </c>
      <c r="J255" t="s">
        <v>33184</v>
      </c>
      <c r="K255" t="s">
        <v>42727</v>
      </c>
      <c r="M255" t="s">
        <v>43145</v>
      </c>
      <c r="N255" t="s">
        <v>47424</v>
      </c>
      <c r="O255" t="s">
        <v>47425</v>
      </c>
      <c r="P255">
        <v>0</v>
      </c>
      <c r="Q255">
        <v>2</v>
      </c>
      <c r="R255" t="s">
        <v>47426</v>
      </c>
      <c r="S255" t="s">
        <v>47531</v>
      </c>
      <c r="T255" t="s">
        <v>49073</v>
      </c>
      <c r="U255" t="s">
        <v>49899</v>
      </c>
      <c r="W255" t="s">
        <v>43145</v>
      </c>
      <c r="X255" t="s">
        <v>47430</v>
      </c>
    </row>
    <row r="256" spans="1:24">
      <c r="A256">
        <f>HYPERLINK("https://www.philgeps.gov.ph/GEPSNONPILOT/Tender/SplashBidNoticeAbstractUI.aspx?menuIndex=3&amp;refID=7162324&amp;Result=3","7162324")</f>
        <v>0</v>
      </c>
      <c r="B256" t="s">
        <v>123</v>
      </c>
      <c r="C256" t="s">
        <v>4176</v>
      </c>
      <c r="D256" t="s">
        <v>19038</v>
      </c>
      <c r="E256" t="s">
        <v>19372</v>
      </c>
      <c r="F256" t="s">
        <v>32831</v>
      </c>
      <c r="G256" t="s">
        <v>32838</v>
      </c>
      <c r="H256" t="s">
        <v>32848</v>
      </c>
      <c r="I256" t="s">
        <v>6526</v>
      </c>
      <c r="J256" t="s">
        <v>33185</v>
      </c>
      <c r="K256" t="s">
        <v>42726</v>
      </c>
      <c r="M256" t="s">
        <v>43120</v>
      </c>
      <c r="N256" t="s">
        <v>47424</v>
      </c>
      <c r="O256" t="s">
        <v>47425</v>
      </c>
      <c r="P256">
        <v>0</v>
      </c>
      <c r="Q256">
        <v>0</v>
      </c>
      <c r="R256" t="s">
        <v>47426</v>
      </c>
      <c r="S256" t="s">
        <v>47531</v>
      </c>
      <c r="T256" t="s">
        <v>49129</v>
      </c>
      <c r="U256" t="s">
        <v>49900</v>
      </c>
      <c r="W256" t="s">
        <v>43120</v>
      </c>
      <c r="X256" t="s">
        <v>47430</v>
      </c>
    </row>
    <row r="257" spans="1:24">
      <c r="A257">
        <f>HYPERLINK("https://www.philgeps.gov.ph/GEPSNONPILOT/Tender/SplashBidNoticeAbstractUI.aspx?menuIndex=3&amp;refID=7162322&amp;Result=3","7162322")</f>
        <v>0</v>
      </c>
      <c r="B257" t="s">
        <v>144</v>
      </c>
      <c r="C257" t="s">
        <v>4177</v>
      </c>
      <c r="D257" t="s">
        <v>19066</v>
      </c>
      <c r="E257" t="s">
        <v>19373</v>
      </c>
      <c r="F257" t="s">
        <v>32831</v>
      </c>
      <c r="G257" t="s">
        <v>32840</v>
      </c>
      <c r="H257" t="s">
        <v>32849</v>
      </c>
      <c r="I257" t="s">
        <v>4177</v>
      </c>
      <c r="J257" t="s">
        <v>33090</v>
      </c>
      <c r="K257" t="s">
        <v>42732</v>
      </c>
      <c r="M257" t="s">
        <v>43141</v>
      </c>
      <c r="N257" t="s">
        <v>47424</v>
      </c>
      <c r="O257" t="s">
        <v>47425</v>
      </c>
      <c r="P257">
        <v>0</v>
      </c>
      <c r="Q257">
        <v>0</v>
      </c>
      <c r="R257" t="s">
        <v>47426</v>
      </c>
      <c r="S257" t="s">
        <v>47531</v>
      </c>
      <c r="T257" t="s">
        <v>49107</v>
      </c>
      <c r="U257" t="s">
        <v>49901</v>
      </c>
      <c r="W257" t="s">
        <v>43141</v>
      </c>
      <c r="X257" t="s">
        <v>47430</v>
      </c>
    </row>
    <row r="258" spans="1:24">
      <c r="A258">
        <f>HYPERLINK("https://www.philgeps.gov.ph/GEPSNONPILOT/Tender/SplashBidNoticeAbstractUI.aspx?menuIndex=3&amp;refID=7162353&amp;Result=3","7162353")</f>
        <v>0</v>
      </c>
      <c r="B258" t="s">
        <v>149</v>
      </c>
      <c r="C258" t="s">
        <v>4178</v>
      </c>
      <c r="D258" t="s">
        <v>19019</v>
      </c>
      <c r="E258" t="s">
        <v>19374</v>
      </c>
      <c r="F258" t="s">
        <v>32831</v>
      </c>
      <c r="G258" t="s">
        <v>32839</v>
      </c>
      <c r="H258" t="s">
        <v>32848</v>
      </c>
      <c r="I258" t="s">
        <v>7416</v>
      </c>
      <c r="J258" t="s">
        <v>33186</v>
      </c>
      <c r="K258" t="s">
        <v>42732</v>
      </c>
      <c r="M258" t="s">
        <v>43146</v>
      </c>
      <c r="N258" t="s">
        <v>47424</v>
      </c>
      <c r="O258" t="s">
        <v>47425</v>
      </c>
      <c r="P258">
        <v>0</v>
      </c>
      <c r="Q258">
        <v>0</v>
      </c>
      <c r="R258" t="s">
        <v>47426</v>
      </c>
      <c r="S258" t="s">
        <v>47531</v>
      </c>
      <c r="T258" t="s">
        <v>49057</v>
      </c>
      <c r="U258" t="s">
        <v>49902</v>
      </c>
      <c r="W258" t="s">
        <v>43146</v>
      </c>
      <c r="X258" t="s">
        <v>47430</v>
      </c>
    </row>
    <row r="259" spans="1:24">
      <c r="A259">
        <f>HYPERLINK("https://www.philgeps.gov.ph/GEPSNONPILOT/Tender/SplashBidNoticeAbstractUI.aspx?menuIndex=3&amp;refID=7162316&amp;Result=3","7162316")</f>
        <v>0</v>
      </c>
      <c r="B259" t="s">
        <v>145</v>
      </c>
      <c r="C259" t="s">
        <v>4179</v>
      </c>
      <c r="D259" t="s">
        <v>19048</v>
      </c>
      <c r="E259" t="s">
        <v>19375</v>
      </c>
      <c r="F259" t="s">
        <v>32831</v>
      </c>
      <c r="G259" t="s">
        <v>32839</v>
      </c>
      <c r="H259" t="s">
        <v>32848</v>
      </c>
      <c r="I259" t="s">
        <v>4558</v>
      </c>
      <c r="J259" t="s">
        <v>33187</v>
      </c>
      <c r="K259" t="s">
        <v>42731</v>
      </c>
      <c r="L259" t="s">
        <v>145</v>
      </c>
      <c r="M259" t="s">
        <v>43142</v>
      </c>
      <c r="N259" t="s">
        <v>47424</v>
      </c>
      <c r="O259" t="s">
        <v>47425</v>
      </c>
      <c r="P259">
        <v>0</v>
      </c>
      <c r="Q259">
        <v>4</v>
      </c>
      <c r="R259" t="s">
        <v>47426</v>
      </c>
      <c r="S259" t="s">
        <v>47531</v>
      </c>
      <c r="T259" t="s">
        <v>49069</v>
      </c>
      <c r="U259" t="s">
        <v>49903</v>
      </c>
      <c r="V259" t="s">
        <v>62648</v>
      </c>
      <c r="W259" t="s">
        <v>43142</v>
      </c>
      <c r="X259" t="s">
        <v>47430</v>
      </c>
    </row>
    <row r="260" spans="1:24">
      <c r="A260">
        <f>HYPERLINK("https://www.philgeps.gov.ph/GEPSNONPILOT/Tender/SplashBidNoticeAbstractUI.aspx?menuIndex=3&amp;refID=7162352&amp;Result=3","7162352")</f>
        <v>0</v>
      </c>
      <c r="B260" t="s">
        <v>150</v>
      </c>
      <c r="C260" t="s">
        <v>4180</v>
      </c>
      <c r="D260" t="s">
        <v>19025</v>
      </c>
      <c r="E260" t="s">
        <v>19376</v>
      </c>
      <c r="F260" t="s">
        <v>32831</v>
      </c>
      <c r="G260" t="s">
        <v>32838</v>
      </c>
      <c r="H260" t="s">
        <v>32848</v>
      </c>
      <c r="I260" t="s">
        <v>7416</v>
      </c>
      <c r="J260" t="s">
        <v>33188</v>
      </c>
      <c r="K260" t="s">
        <v>42730</v>
      </c>
      <c r="M260" t="s">
        <v>43147</v>
      </c>
      <c r="N260" t="s">
        <v>47424</v>
      </c>
      <c r="O260" t="s">
        <v>47425</v>
      </c>
      <c r="P260">
        <v>0</v>
      </c>
      <c r="Q260">
        <v>0</v>
      </c>
      <c r="R260" t="s">
        <v>47426</v>
      </c>
      <c r="S260" t="s">
        <v>47531</v>
      </c>
      <c r="T260" t="s">
        <v>49129</v>
      </c>
      <c r="U260" t="s">
        <v>49904</v>
      </c>
      <c r="W260" t="s">
        <v>43147</v>
      </c>
      <c r="X260" t="s">
        <v>47430</v>
      </c>
    </row>
    <row r="261" spans="1:24">
      <c r="A261">
        <f>HYPERLINK("https://www.philgeps.gov.ph/GEPSNONPILOT/Tender/SplashBidNoticeAbstractUI.aspx?menuIndex=3&amp;refID=7162348&amp;Result=3","7162348")</f>
        <v>0</v>
      </c>
      <c r="B261" t="s">
        <v>114</v>
      </c>
      <c r="C261" t="s">
        <v>4181</v>
      </c>
      <c r="D261" t="s">
        <v>19050</v>
      </c>
      <c r="E261" t="s">
        <v>19377</v>
      </c>
      <c r="F261" t="s">
        <v>32831</v>
      </c>
      <c r="G261" t="s">
        <v>32839</v>
      </c>
      <c r="H261" t="s">
        <v>32848</v>
      </c>
      <c r="I261" t="s">
        <v>7751</v>
      </c>
      <c r="J261" t="s">
        <v>33189</v>
      </c>
      <c r="K261" t="s">
        <v>42726</v>
      </c>
      <c r="L261" t="s">
        <v>114</v>
      </c>
      <c r="M261" t="s">
        <v>43111</v>
      </c>
      <c r="N261" t="s">
        <v>47424</v>
      </c>
      <c r="O261" t="s">
        <v>47425</v>
      </c>
      <c r="P261">
        <v>0</v>
      </c>
      <c r="Q261">
        <v>6</v>
      </c>
      <c r="R261" t="s">
        <v>47426</v>
      </c>
      <c r="S261" t="s">
        <v>47531</v>
      </c>
      <c r="T261" t="s">
        <v>49088</v>
      </c>
      <c r="U261" t="s">
        <v>49905</v>
      </c>
      <c r="W261" t="s">
        <v>43111</v>
      </c>
      <c r="X261" t="s">
        <v>47430</v>
      </c>
    </row>
    <row r="262" spans="1:24">
      <c r="A262">
        <f>HYPERLINK("https://www.philgeps.gov.ph/GEPSNONPILOT/Tender/SplashBidNoticeAbstractUI.aspx?menuIndex=3&amp;refID=7162315&amp;Result=3","7162315")</f>
        <v>0</v>
      </c>
      <c r="B262" t="s">
        <v>143</v>
      </c>
      <c r="C262" t="s">
        <v>4182</v>
      </c>
      <c r="D262" t="s">
        <v>19065</v>
      </c>
      <c r="E262" t="s">
        <v>19378</v>
      </c>
      <c r="F262" t="s">
        <v>32831</v>
      </c>
      <c r="G262" t="s">
        <v>32838</v>
      </c>
      <c r="H262" t="s">
        <v>32848</v>
      </c>
      <c r="I262" t="s">
        <v>4558</v>
      </c>
      <c r="J262" t="s">
        <v>33190</v>
      </c>
      <c r="K262" t="s">
        <v>42731</v>
      </c>
      <c r="M262" t="s">
        <v>43140</v>
      </c>
      <c r="N262" t="s">
        <v>47424</v>
      </c>
      <c r="O262" t="s">
        <v>47425</v>
      </c>
      <c r="P262">
        <v>0</v>
      </c>
      <c r="Q262">
        <v>6</v>
      </c>
      <c r="R262" t="s">
        <v>47426</v>
      </c>
      <c r="S262" t="s">
        <v>47531</v>
      </c>
      <c r="T262" t="s">
        <v>49100</v>
      </c>
      <c r="U262" t="s">
        <v>49906</v>
      </c>
      <c r="W262" t="s">
        <v>43140</v>
      </c>
      <c r="X262" t="s">
        <v>47430</v>
      </c>
    </row>
    <row r="263" spans="1:24">
      <c r="A263">
        <f>HYPERLINK("https://www.philgeps.gov.ph/GEPSNONPILOT/Tender/SplashBidNoticeAbstractUI.aspx?menuIndex=3&amp;refID=7162347&amp;Result=3","7162347")</f>
        <v>0</v>
      </c>
      <c r="B263" t="s">
        <v>99</v>
      </c>
      <c r="C263" t="s">
        <v>4183</v>
      </c>
      <c r="D263" t="s">
        <v>19054</v>
      </c>
      <c r="E263" t="s">
        <v>19379</v>
      </c>
      <c r="F263" t="s">
        <v>32831</v>
      </c>
      <c r="G263" t="s">
        <v>32839</v>
      </c>
      <c r="H263" t="s">
        <v>32848</v>
      </c>
      <c r="I263" t="s">
        <v>9577</v>
      </c>
      <c r="J263" t="s">
        <v>33025</v>
      </c>
      <c r="K263" t="s">
        <v>42730</v>
      </c>
      <c r="M263" t="s">
        <v>43096</v>
      </c>
      <c r="N263" t="s">
        <v>47424</v>
      </c>
      <c r="O263" t="s">
        <v>47425</v>
      </c>
      <c r="P263">
        <v>0</v>
      </c>
      <c r="Q263">
        <v>1</v>
      </c>
      <c r="R263" t="s">
        <v>47426</v>
      </c>
      <c r="S263" t="s">
        <v>47531</v>
      </c>
      <c r="T263" t="s">
        <v>49069</v>
      </c>
      <c r="U263" t="s">
        <v>49821</v>
      </c>
      <c r="V263" t="s">
        <v>62643</v>
      </c>
      <c r="W263" t="s">
        <v>43096</v>
      </c>
      <c r="X263" t="s">
        <v>47430</v>
      </c>
    </row>
    <row r="264" spans="1:24">
      <c r="A264">
        <f>HYPERLINK("https://www.philgeps.gov.ph/GEPSNONPILOT/Tender/SplashBidNoticeAbstractUI.aspx?menuIndex=3&amp;refID=7162362&amp;Result=3","7162362")</f>
        <v>0</v>
      </c>
      <c r="B264" t="s">
        <v>99</v>
      </c>
      <c r="C264" t="s">
        <v>4184</v>
      </c>
      <c r="D264" t="s">
        <v>19054</v>
      </c>
      <c r="E264" t="s">
        <v>19380</v>
      </c>
      <c r="F264" t="s">
        <v>32831</v>
      </c>
      <c r="G264" t="s">
        <v>32839</v>
      </c>
      <c r="H264" t="s">
        <v>32848</v>
      </c>
      <c r="I264" t="s">
        <v>9577</v>
      </c>
      <c r="J264" t="s">
        <v>33191</v>
      </c>
      <c r="K264" t="s">
        <v>42730</v>
      </c>
      <c r="M264" t="s">
        <v>43096</v>
      </c>
      <c r="N264" t="s">
        <v>47424</v>
      </c>
      <c r="O264" t="s">
        <v>47425</v>
      </c>
      <c r="P264">
        <v>0</v>
      </c>
      <c r="Q264">
        <v>0</v>
      </c>
      <c r="R264" t="s">
        <v>47426</v>
      </c>
      <c r="S264" t="s">
        <v>47531</v>
      </c>
      <c r="T264" t="s">
        <v>49069</v>
      </c>
      <c r="U264" t="s">
        <v>49821</v>
      </c>
      <c r="V264" t="s">
        <v>62643</v>
      </c>
      <c r="W264" t="s">
        <v>43096</v>
      </c>
      <c r="X264" t="s">
        <v>47430</v>
      </c>
    </row>
    <row r="265" spans="1:24">
      <c r="A265">
        <f>HYPERLINK("https://www.philgeps.gov.ph/GEPSNONPILOT/Tender/SplashBidNoticeAbstractUI.aspx?menuIndex=3&amp;refID=7162395&amp;Result=3","7162395")</f>
        <v>0</v>
      </c>
      <c r="B265" t="s">
        <v>151</v>
      </c>
      <c r="C265" t="s">
        <v>4185</v>
      </c>
      <c r="D265" t="s">
        <v>19043</v>
      </c>
      <c r="E265" t="s">
        <v>19219</v>
      </c>
      <c r="F265" t="s">
        <v>32831</v>
      </c>
      <c r="G265" t="s">
        <v>32839</v>
      </c>
      <c r="H265" t="s">
        <v>32849</v>
      </c>
      <c r="I265" t="s">
        <v>4177</v>
      </c>
      <c r="J265" t="s">
        <v>33192</v>
      </c>
      <c r="K265" t="s">
        <v>42732</v>
      </c>
      <c r="M265" t="s">
        <v>43148</v>
      </c>
      <c r="N265" t="s">
        <v>47424</v>
      </c>
      <c r="O265" t="s">
        <v>47425</v>
      </c>
      <c r="P265">
        <v>0</v>
      </c>
      <c r="Q265">
        <v>0</v>
      </c>
      <c r="R265" t="s">
        <v>47426</v>
      </c>
      <c r="S265" t="s">
        <v>47531</v>
      </c>
      <c r="T265" t="s">
        <v>49091</v>
      </c>
      <c r="U265" t="s">
        <v>49907</v>
      </c>
      <c r="W265" t="s">
        <v>43148</v>
      </c>
      <c r="X265" t="s">
        <v>47430</v>
      </c>
    </row>
    <row r="266" spans="1:24">
      <c r="A266">
        <f>HYPERLINK("https://www.philgeps.gov.ph/GEPSNONPILOT/Tender/SplashBidNoticeAbstractUI.aspx?menuIndex=3&amp;refID=7162350&amp;Result=3","7162350")</f>
        <v>0</v>
      </c>
      <c r="B266" t="s">
        <v>152</v>
      </c>
      <c r="C266" t="s">
        <v>4186</v>
      </c>
      <c r="D266" t="s">
        <v>19068</v>
      </c>
      <c r="E266" t="s">
        <v>19381</v>
      </c>
      <c r="F266" t="s">
        <v>32831</v>
      </c>
      <c r="G266" t="s">
        <v>32838</v>
      </c>
      <c r="H266" t="s">
        <v>32848</v>
      </c>
      <c r="I266" t="s">
        <v>32858</v>
      </c>
      <c r="J266" t="s">
        <v>33007</v>
      </c>
      <c r="K266" t="s">
        <v>42745</v>
      </c>
      <c r="M266" t="s">
        <v>43149</v>
      </c>
      <c r="N266" t="s">
        <v>47424</v>
      </c>
      <c r="O266" t="s">
        <v>47425</v>
      </c>
      <c r="P266">
        <v>0</v>
      </c>
      <c r="Q266">
        <v>1</v>
      </c>
      <c r="R266" t="s">
        <v>47426</v>
      </c>
      <c r="S266" t="s">
        <v>47531</v>
      </c>
      <c r="T266" t="s">
        <v>49100</v>
      </c>
      <c r="U266" t="s">
        <v>49908</v>
      </c>
      <c r="W266" t="s">
        <v>43149</v>
      </c>
      <c r="X266" t="s">
        <v>47430</v>
      </c>
    </row>
    <row r="267" spans="1:24">
      <c r="A267">
        <f>HYPERLINK("https://www.philgeps.gov.ph/GEPSNONPILOT/Tender/SplashBidNoticeAbstractUI.aspx?menuIndex=3&amp;refID=7162394&amp;Result=3","7162394")</f>
        <v>0</v>
      </c>
      <c r="B267" t="s">
        <v>145</v>
      </c>
      <c r="C267" t="s">
        <v>4187</v>
      </c>
      <c r="D267" t="s">
        <v>19048</v>
      </c>
      <c r="E267" t="s">
        <v>19382</v>
      </c>
      <c r="F267" t="s">
        <v>32831</v>
      </c>
      <c r="G267" t="s">
        <v>32839</v>
      </c>
      <c r="H267" t="s">
        <v>32848</v>
      </c>
      <c r="I267" t="s">
        <v>32880</v>
      </c>
      <c r="J267" t="s">
        <v>33193</v>
      </c>
      <c r="K267" t="s">
        <v>42731</v>
      </c>
      <c r="L267" t="s">
        <v>145</v>
      </c>
      <c r="M267" t="s">
        <v>43142</v>
      </c>
      <c r="N267" t="s">
        <v>47424</v>
      </c>
      <c r="O267" t="s">
        <v>47425</v>
      </c>
      <c r="P267">
        <v>0</v>
      </c>
      <c r="Q267">
        <v>3</v>
      </c>
      <c r="R267" t="s">
        <v>47426</v>
      </c>
      <c r="S267" t="s">
        <v>47531</v>
      </c>
      <c r="T267" t="s">
        <v>49069</v>
      </c>
      <c r="U267" t="s">
        <v>49909</v>
      </c>
      <c r="V267" t="s">
        <v>62648</v>
      </c>
      <c r="W267" t="s">
        <v>43142</v>
      </c>
      <c r="X267" t="s">
        <v>47430</v>
      </c>
    </row>
    <row r="268" spans="1:24">
      <c r="A268">
        <f>HYPERLINK("https://www.philgeps.gov.ph/GEPSNONPILOT/Tender/SplashBidNoticeAbstractUI.aspx?menuIndex=3&amp;refID=7162390&amp;Result=3","7162390")</f>
        <v>0</v>
      </c>
      <c r="B268" t="s">
        <v>99</v>
      </c>
      <c r="C268" t="s">
        <v>4188</v>
      </c>
      <c r="D268" t="s">
        <v>19054</v>
      </c>
      <c r="E268" t="s">
        <v>19383</v>
      </c>
      <c r="F268" t="s">
        <v>32831</v>
      </c>
      <c r="G268" t="s">
        <v>32839</v>
      </c>
      <c r="H268" t="s">
        <v>32848</v>
      </c>
      <c r="I268" t="s">
        <v>4487</v>
      </c>
      <c r="J268" t="s">
        <v>33194</v>
      </c>
      <c r="K268" t="s">
        <v>42730</v>
      </c>
      <c r="M268" t="s">
        <v>43096</v>
      </c>
      <c r="N268" t="s">
        <v>47424</v>
      </c>
      <c r="O268" t="s">
        <v>47425</v>
      </c>
      <c r="P268">
        <v>0</v>
      </c>
      <c r="Q268">
        <v>0</v>
      </c>
      <c r="R268" t="s">
        <v>47426</v>
      </c>
      <c r="S268" t="s">
        <v>47531</v>
      </c>
      <c r="T268" t="s">
        <v>49069</v>
      </c>
      <c r="U268" t="s">
        <v>49821</v>
      </c>
      <c r="V268" t="s">
        <v>62643</v>
      </c>
      <c r="W268" t="s">
        <v>43096</v>
      </c>
      <c r="X268" t="s">
        <v>47430</v>
      </c>
    </row>
    <row r="269" spans="1:24">
      <c r="A269">
        <f>HYPERLINK("https://www.philgeps.gov.ph/GEPSNONPILOT/Tender/SplashBidNoticeAbstractUI.aspx?menuIndex=3&amp;refID=7162340&amp;Result=3","7162340")</f>
        <v>0</v>
      </c>
      <c r="B269" t="s">
        <v>153</v>
      </c>
      <c r="C269" t="s">
        <v>4189</v>
      </c>
      <c r="D269" t="s">
        <v>19045</v>
      </c>
      <c r="E269" t="s">
        <v>19384</v>
      </c>
      <c r="F269" t="s">
        <v>32831</v>
      </c>
      <c r="G269" t="s">
        <v>32839</v>
      </c>
      <c r="H269" t="s">
        <v>32849</v>
      </c>
      <c r="I269" t="s">
        <v>4177</v>
      </c>
      <c r="J269" t="s">
        <v>33195</v>
      </c>
      <c r="K269" t="s">
        <v>42742</v>
      </c>
      <c r="L269" t="s">
        <v>153</v>
      </c>
      <c r="M269" t="s">
        <v>43150</v>
      </c>
      <c r="N269" t="s">
        <v>47424</v>
      </c>
      <c r="O269" t="s">
        <v>47425</v>
      </c>
      <c r="P269">
        <v>0</v>
      </c>
      <c r="Q269">
        <v>0</v>
      </c>
      <c r="R269" t="s">
        <v>47426</v>
      </c>
      <c r="S269" t="s">
        <v>47531</v>
      </c>
      <c r="T269" t="s">
        <v>49132</v>
      </c>
      <c r="U269" t="s">
        <v>49910</v>
      </c>
      <c r="V269" t="s">
        <v>62651</v>
      </c>
      <c r="W269" t="s">
        <v>43150</v>
      </c>
      <c r="X269" t="s">
        <v>47430</v>
      </c>
    </row>
    <row r="270" spans="1:24">
      <c r="A270">
        <f>HYPERLINK("https://www.philgeps.gov.ph/GEPSNONPILOT/Tender/SplashBidNoticeAbstractUI.aspx?menuIndex=3&amp;refID=7162386&amp;Result=3","7162386")</f>
        <v>0</v>
      </c>
      <c r="B270" t="s">
        <v>154</v>
      </c>
      <c r="C270" t="s">
        <v>4190</v>
      </c>
      <c r="D270" t="s">
        <v>19058</v>
      </c>
      <c r="E270" t="s">
        <v>19385</v>
      </c>
      <c r="F270" t="s">
        <v>32831</v>
      </c>
      <c r="G270" t="s">
        <v>32839</v>
      </c>
      <c r="H270" t="s">
        <v>32848</v>
      </c>
      <c r="I270" t="s">
        <v>7416</v>
      </c>
      <c r="J270" t="s">
        <v>33196</v>
      </c>
      <c r="K270" t="s">
        <v>42732</v>
      </c>
      <c r="M270" t="s">
        <v>43151</v>
      </c>
      <c r="N270" t="s">
        <v>47424</v>
      </c>
      <c r="O270" t="s">
        <v>47425</v>
      </c>
      <c r="P270">
        <v>0</v>
      </c>
      <c r="Q270">
        <v>0</v>
      </c>
      <c r="R270" t="s">
        <v>47426</v>
      </c>
      <c r="S270" t="s">
        <v>47531</v>
      </c>
      <c r="T270" t="s">
        <v>49080</v>
      </c>
      <c r="U270" t="s">
        <v>49911</v>
      </c>
      <c r="W270" t="s">
        <v>43151</v>
      </c>
      <c r="X270" t="s">
        <v>47430</v>
      </c>
    </row>
    <row r="271" spans="1:24">
      <c r="A271">
        <f>HYPERLINK("https://www.philgeps.gov.ph/GEPSNONPILOT/Tender/SplashBidNoticeAbstractUI.aspx?menuIndex=3&amp;refID=7162384&amp;Result=3","7162384")</f>
        <v>0</v>
      </c>
      <c r="B271" t="s">
        <v>149</v>
      </c>
      <c r="C271" t="s">
        <v>4191</v>
      </c>
      <c r="D271" t="s">
        <v>19019</v>
      </c>
      <c r="E271" t="s">
        <v>19386</v>
      </c>
      <c r="F271" t="s">
        <v>32831</v>
      </c>
      <c r="G271" t="s">
        <v>32839</v>
      </c>
      <c r="H271" t="s">
        <v>32848</v>
      </c>
      <c r="I271" t="s">
        <v>4776</v>
      </c>
      <c r="J271" t="s">
        <v>33197</v>
      </c>
      <c r="K271" t="s">
        <v>42732</v>
      </c>
      <c r="M271" t="s">
        <v>43146</v>
      </c>
      <c r="N271" t="s">
        <v>47424</v>
      </c>
      <c r="O271" t="s">
        <v>47425</v>
      </c>
      <c r="P271">
        <v>0</v>
      </c>
      <c r="Q271">
        <v>0</v>
      </c>
      <c r="R271" t="s">
        <v>47426</v>
      </c>
      <c r="S271" t="s">
        <v>47531</v>
      </c>
      <c r="T271" t="s">
        <v>49057</v>
      </c>
      <c r="U271" t="s">
        <v>49912</v>
      </c>
      <c r="W271" t="s">
        <v>43146</v>
      </c>
      <c r="X271" t="s">
        <v>47430</v>
      </c>
    </row>
    <row r="272" spans="1:24">
      <c r="A272">
        <f>HYPERLINK("https://www.philgeps.gov.ph/GEPSNONPILOT/Tender/SplashBidNoticeAbstractUI.aspx?menuIndex=3&amp;refID=7162381&amp;Result=3","7162381")</f>
        <v>0</v>
      </c>
      <c r="B272" t="s">
        <v>150</v>
      </c>
      <c r="C272" t="s">
        <v>4192</v>
      </c>
      <c r="D272" t="s">
        <v>19025</v>
      </c>
      <c r="E272" t="s">
        <v>19387</v>
      </c>
      <c r="F272" t="s">
        <v>32831</v>
      </c>
      <c r="G272" t="s">
        <v>32838</v>
      </c>
      <c r="H272" t="s">
        <v>32848</v>
      </c>
      <c r="I272" t="s">
        <v>7416</v>
      </c>
      <c r="J272" t="s">
        <v>33007</v>
      </c>
      <c r="K272" t="s">
        <v>42730</v>
      </c>
      <c r="M272" t="s">
        <v>43147</v>
      </c>
      <c r="N272" t="s">
        <v>47424</v>
      </c>
      <c r="O272" t="s">
        <v>47425</v>
      </c>
      <c r="P272">
        <v>0</v>
      </c>
      <c r="Q272">
        <v>0</v>
      </c>
      <c r="R272" t="s">
        <v>47426</v>
      </c>
      <c r="S272" t="s">
        <v>47531</v>
      </c>
      <c r="T272" t="s">
        <v>49129</v>
      </c>
      <c r="U272" t="s">
        <v>49913</v>
      </c>
      <c r="W272" t="s">
        <v>43147</v>
      </c>
      <c r="X272" t="s">
        <v>47430</v>
      </c>
    </row>
    <row r="273" spans="1:24">
      <c r="A273">
        <f>HYPERLINK("https://www.philgeps.gov.ph/GEPSNONPILOT/Tender/SplashBidNoticeAbstractUI.aspx?menuIndex=3&amp;refID=7162337&amp;Result=3","7162337")</f>
        <v>0</v>
      </c>
      <c r="B273" t="s">
        <v>155</v>
      </c>
      <c r="C273" t="s">
        <v>4193</v>
      </c>
      <c r="D273" t="s">
        <v>19064</v>
      </c>
      <c r="E273" t="s">
        <v>19388</v>
      </c>
      <c r="F273" t="s">
        <v>32831</v>
      </c>
      <c r="G273" t="s">
        <v>32839</v>
      </c>
      <c r="H273" t="s">
        <v>32848</v>
      </c>
      <c r="I273" t="s">
        <v>32881</v>
      </c>
      <c r="J273" t="s">
        <v>33198</v>
      </c>
      <c r="K273" t="s">
        <v>42748</v>
      </c>
      <c r="M273" t="s">
        <v>43152</v>
      </c>
      <c r="N273" t="s">
        <v>47424</v>
      </c>
      <c r="O273" t="s">
        <v>47425</v>
      </c>
      <c r="P273">
        <v>0</v>
      </c>
      <c r="Q273">
        <v>0</v>
      </c>
      <c r="R273" t="s">
        <v>47426</v>
      </c>
      <c r="S273" t="s">
        <v>47531</v>
      </c>
      <c r="T273" t="s">
        <v>49105</v>
      </c>
      <c r="U273" t="s">
        <v>49914</v>
      </c>
      <c r="W273" t="s">
        <v>43152</v>
      </c>
      <c r="X273" t="s">
        <v>47430</v>
      </c>
    </row>
    <row r="274" spans="1:24">
      <c r="A274">
        <f>HYPERLINK("https://www.philgeps.gov.ph/GEPSNONPILOT/Tender/SplashBidNoticeAbstractUI.aspx?menuIndex=3&amp;refID=7162369&amp;Result=3","7162369")</f>
        <v>0</v>
      </c>
      <c r="B274" t="s">
        <v>149</v>
      </c>
      <c r="C274" t="s">
        <v>4194</v>
      </c>
      <c r="D274" t="s">
        <v>19019</v>
      </c>
      <c r="E274" t="s">
        <v>19389</v>
      </c>
      <c r="F274" t="s">
        <v>32831</v>
      </c>
      <c r="G274" t="s">
        <v>32839</v>
      </c>
      <c r="H274" t="s">
        <v>32848</v>
      </c>
      <c r="I274" t="s">
        <v>7416</v>
      </c>
      <c r="J274" t="s">
        <v>33199</v>
      </c>
      <c r="K274" t="s">
        <v>42732</v>
      </c>
      <c r="M274" t="s">
        <v>43146</v>
      </c>
      <c r="N274" t="s">
        <v>47424</v>
      </c>
      <c r="O274" t="s">
        <v>47425</v>
      </c>
      <c r="P274">
        <v>0</v>
      </c>
      <c r="Q274">
        <v>0</v>
      </c>
      <c r="R274" t="s">
        <v>47426</v>
      </c>
      <c r="S274" t="s">
        <v>47531</v>
      </c>
      <c r="T274" t="s">
        <v>49057</v>
      </c>
      <c r="U274" t="s">
        <v>49915</v>
      </c>
      <c r="W274" t="s">
        <v>43146</v>
      </c>
      <c r="X274" t="s">
        <v>47430</v>
      </c>
    </row>
    <row r="275" spans="1:24">
      <c r="A275">
        <f>HYPERLINK("https://www.philgeps.gov.ph/GEPSNONPILOT/Tender/SplashBidNoticeAbstractUI.aspx?menuIndex=3&amp;refID=7162313&amp;Result=3","7162313")</f>
        <v>0</v>
      </c>
      <c r="B275" t="s">
        <v>138</v>
      </c>
      <c r="C275" t="s">
        <v>4195</v>
      </c>
      <c r="D275" t="s">
        <v>19057</v>
      </c>
      <c r="E275" t="s">
        <v>19390</v>
      </c>
      <c r="F275" t="s">
        <v>32831</v>
      </c>
      <c r="G275" t="s">
        <v>32838</v>
      </c>
      <c r="H275" t="s">
        <v>32848</v>
      </c>
      <c r="I275" t="s">
        <v>7416</v>
      </c>
      <c r="J275" t="s">
        <v>33200</v>
      </c>
      <c r="K275" t="s">
        <v>42758</v>
      </c>
      <c r="M275" t="s">
        <v>43135</v>
      </c>
      <c r="N275" t="s">
        <v>47424</v>
      </c>
      <c r="O275" t="s">
        <v>47425</v>
      </c>
      <c r="P275">
        <v>0</v>
      </c>
      <c r="Q275">
        <v>0</v>
      </c>
      <c r="R275" t="s">
        <v>47426</v>
      </c>
      <c r="S275" t="s">
        <v>47531</v>
      </c>
      <c r="T275" t="s">
        <v>49056</v>
      </c>
      <c r="U275" t="s">
        <v>49916</v>
      </c>
      <c r="W275" t="s">
        <v>43135</v>
      </c>
      <c r="X275" t="s">
        <v>47430</v>
      </c>
    </row>
    <row r="276" spans="1:24">
      <c r="A276">
        <f>HYPERLINK("https://www.philgeps.gov.ph/GEPSNONPILOT/Tender/SplashBidNoticeAbstractUI.aspx?menuIndex=3&amp;refID=7162326&amp;Result=3","7162326")</f>
        <v>0</v>
      </c>
      <c r="B276" t="s">
        <v>99</v>
      </c>
      <c r="C276" t="s">
        <v>4196</v>
      </c>
      <c r="D276" t="s">
        <v>19054</v>
      </c>
      <c r="E276" t="s">
        <v>19391</v>
      </c>
      <c r="F276" t="s">
        <v>32831</v>
      </c>
      <c r="G276" t="s">
        <v>32839</v>
      </c>
      <c r="H276" t="s">
        <v>32848</v>
      </c>
      <c r="I276" t="s">
        <v>9577</v>
      </c>
      <c r="J276" t="s">
        <v>33201</v>
      </c>
      <c r="K276" t="s">
        <v>42730</v>
      </c>
      <c r="M276" t="s">
        <v>43096</v>
      </c>
      <c r="N276" t="s">
        <v>47424</v>
      </c>
      <c r="O276" t="s">
        <v>47425</v>
      </c>
      <c r="P276">
        <v>0</v>
      </c>
      <c r="Q276">
        <v>1</v>
      </c>
      <c r="R276" t="s">
        <v>47426</v>
      </c>
      <c r="S276" t="s">
        <v>47531</v>
      </c>
      <c r="T276" t="s">
        <v>49069</v>
      </c>
      <c r="U276" t="s">
        <v>49821</v>
      </c>
      <c r="V276" t="s">
        <v>62643</v>
      </c>
      <c r="W276" t="s">
        <v>43096</v>
      </c>
      <c r="X276" t="s">
        <v>47430</v>
      </c>
    </row>
    <row r="277" spans="1:24">
      <c r="A277">
        <f>HYPERLINK("https://www.philgeps.gov.ph/GEPSNONPILOT/Tender/SplashBidNoticeAbstractUI.aspx?menuIndex=3&amp;refID=7162391&amp;Result=3","7162391")</f>
        <v>0</v>
      </c>
      <c r="B277" t="s">
        <v>38</v>
      </c>
      <c r="C277" t="s">
        <v>4197</v>
      </c>
      <c r="D277" t="s">
        <v>19028</v>
      </c>
      <c r="E277" t="s">
        <v>19392</v>
      </c>
      <c r="F277" t="s">
        <v>32831</v>
      </c>
      <c r="G277" t="s">
        <v>32839</v>
      </c>
      <c r="H277" t="s">
        <v>32849</v>
      </c>
      <c r="I277" t="s">
        <v>4177</v>
      </c>
      <c r="J277" t="s">
        <v>33087</v>
      </c>
      <c r="K277" t="s">
        <v>42731</v>
      </c>
      <c r="M277" t="s">
        <v>43035</v>
      </c>
      <c r="N277" t="s">
        <v>47424</v>
      </c>
      <c r="O277" t="s">
        <v>47425</v>
      </c>
      <c r="P277">
        <v>0</v>
      </c>
      <c r="Q277">
        <v>0</v>
      </c>
      <c r="R277" t="s">
        <v>47426</v>
      </c>
      <c r="S277" t="s">
        <v>47531</v>
      </c>
      <c r="T277" t="s">
        <v>49070</v>
      </c>
      <c r="U277" t="s">
        <v>49917</v>
      </c>
      <c r="V277" t="s">
        <v>62627</v>
      </c>
      <c r="W277" t="s">
        <v>43035</v>
      </c>
      <c r="X277" t="s">
        <v>47430</v>
      </c>
    </row>
    <row r="278" spans="1:24">
      <c r="A278">
        <f>HYPERLINK("https://www.philgeps.gov.ph/GEPSNONPILOT/Tender/SplashBidNoticeAbstractUI.aspx?menuIndex=3&amp;refID=7162280&amp;Result=3","7162280")</f>
        <v>0</v>
      </c>
      <c r="B278" t="s">
        <v>99</v>
      </c>
      <c r="C278" t="s">
        <v>4198</v>
      </c>
      <c r="D278" t="s">
        <v>19054</v>
      </c>
      <c r="E278" t="s">
        <v>19393</v>
      </c>
      <c r="F278" t="s">
        <v>32831</v>
      </c>
      <c r="G278" t="s">
        <v>32839</v>
      </c>
      <c r="H278" t="s">
        <v>32848</v>
      </c>
      <c r="I278" t="s">
        <v>32857</v>
      </c>
      <c r="J278" t="s">
        <v>33162</v>
      </c>
      <c r="K278" t="s">
        <v>42730</v>
      </c>
      <c r="M278" t="s">
        <v>43096</v>
      </c>
      <c r="N278" t="s">
        <v>47424</v>
      </c>
      <c r="O278" t="s">
        <v>47425</v>
      </c>
      <c r="P278">
        <v>0</v>
      </c>
      <c r="Q278">
        <v>2</v>
      </c>
      <c r="R278" t="s">
        <v>47426</v>
      </c>
      <c r="S278" t="s">
        <v>47531</v>
      </c>
      <c r="T278" t="s">
        <v>49069</v>
      </c>
      <c r="U278" t="s">
        <v>49821</v>
      </c>
      <c r="V278" t="s">
        <v>62643</v>
      </c>
      <c r="W278" t="s">
        <v>43096</v>
      </c>
      <c r="X278" t="s">
        <v>47430</v>
      </c>
    </row>
    <row r="279" spans="1:24">
      <c r="A279">
        <f>HYPERLINK("https://www.philgeps.gov.ph/GEPSNONPILOT/Tender/SplashBidNoticeAbstractUI.aspx?menuIndex=3&amp;refID=7162299&amp;Result=3","7162299")</f>
        <v>0</v>
      </c>
      <c r="B279" t="s">
        <v>156</v>
      </c>
      <c r="C279" t="s">
        <v>4199</v>
      </c>
      <c r="D279" t="s">
        <v>19034</v>
      </c>
      <c r="E279" t="s">
        <v>19394</v>
      </c>
      <c r="F279" t="s">
        <v>32831</v>
      </c>
      <c r="G279" t="s">
        <v>32838</v>
      </c>
      <c r="H279" t="s">
        <v>32848</v>
      </c>
      <c r="I279" t="s">
        <v>32870</v>
      </c>
      <c r="J279" t="s">
        <v>32983</v>
      </c>
      <c r="K279" t="s">
        <v>42727</v>
      </c>
      <c r="M279" t="s">
        <v>43153</v>
      </c>
      <c r="N279" t="s">
        <v>47424</v>
      </c>
      <c r="O279" t="s">
        <v>47425</v>
      </c>
      <c r="P279">
        <v>0</v>
      </c>
      <c r="Q279">
        <v>0</v>
      </c>
      <c r="R279" t="s">
        <v>47426</v>
      </c>
      <c r="S279" t="s">
        <v>47531</v>
      </c>
      <c r="T279" t="s">
        <v>49127</v>
      </c>
      <c r="U279" t="s">
        <v>49918</v>
      </c>
      <c r="W279" t="s">
        <v>43153</v>
      </c>
      <c r="X279" t="s">
        <v>47430</v>
      </c>
    </row>
    <row r="280" spans="1:24">
      <c r="A280">
        <f>HYPERLINK("https://www.philgeps.gov.ph/GEPSNONPILOT/Tender/SplashBidNoticeAbstractUI.aspx?menuIndex=3&amp;refID=7162335&amp;Result=3","7162335")</f>
        <v>0</v>
      </c>
      <c r="B280" t="s">
        <v>99</v>
      </c>
      <c r="C280" t="s">
        <v>4200</v>
      </c>
      <c r="D280" t="s">
        <v>19054</v>
      </c>
      <c r="E280" t="s">
        <v>19395</v>
      </c>
      <c r="F280" t="s">
        <v>32831</v>
      </c>
      <c r="G280" t="s">
        <v>32839</v>
      </c>
      <c r="H280" t="s">
        <v>32848</v>
      </c>
      <c r="I280" t="s">
        <v>9577</v>
      </c>
      <c r="J280" t="s">
        <v>33202</v>
      </c>
      <c r="K280" t="s">
        <v>42730</v>
      </c>
      <c r="M280" t="s">
        <v>43096</v>
      </c>
      <c r="N280" t="s">
        <v>47424</v>
      </c>
      <c r="O280" t="s">
        <v>47425</v>
      </c>
      <c r="P280">
        <v>0</v>
      </c>
      <c r="Q280">
        <v>0</v>
      </c>
      <c r="R280" t="s">
        <v>47426</v>
      </c>
      <c r="S280" t="s">
        <v>47531</v>
      </c>
      <c r="T280" t="s">
        <v>49069</v>
      </c>
      <c r="U280" t="s">
        <v>49821</v>
      </c>
      <c r="V280" t="s">
        <v>62643</v>
      </c>
      <c r="W280" t="s">
        <v>43096</v>
      </c>
      <c r="X280" t="s">
        <v>47430</v>
      </c>
    </row>
    <row r="281" spans="1:24">
      <c r="A281">
        <f>HYPERLINK("https://www.philgeps.gov.ph/GEPSNONPILOT/Tender/SplashBidNoticeAbstractUI.aspx?menuIndex=3&amp;refID=7162329&amp;Result=3","7162329")</f>
        <v>0</v>
      </c>
      <c r="B281" t="s">
        <v>108</v>
      </c>
      <c r="C281" t="s">
        <v>4201</v>
      </c>
      <c r="D281" t="s">
        <v>19058</v>
      </c>
      <c r="E281" t="s">
        <v>19396</v>
      </c>
      <c r="F281" t="s">
        <v>32831</v>
      </c>
      <c r="G281" t="s">
        <v>32839</v>
      </c>
      <c r="H281" t="s">
        <v>32848</v>
      </c>
      <c r="I281" t="s">
        <v>4487</v>
      </c>
      <c r="J281" t="s">
        <v>33203</v>
      </c>
      <c r="K281" t="s">
        <v>42732</v>
      </c>
      <c r="M281" t="s">
        <v>43105</v>
      </c>
      <c r="N281" t="s">
        <v>47424</v>
      </c>
      <c r="O281" t="s">
        <v>47425</v>
      </c>
      <c r="P281">
        <v>0</v>
      </c>
      <c r="Q281">
        <v>0</v>
      </c>
      <c r="R281" t="s">
        <v>47426</v>
      </c>
      <c r="S281" t="s">
        <v>47531</v>
      </c>
      <c r="T281" t="s">
        <v>49122</v>
      </c>
      <c r="U281" t="s">
        <v>49919</v>
      </c>
      <c r="W281" t="s">
        <v>43105</v>
      </c>
      <c r="X281" t="s">
        <v>47430</v>
      </c>
    </row>
    <row r="282" spans="1:24">
      <c r="A282">
        <f>HYPERLINK("https://www.philgeps.gov.ph/GEPSNONPILOT/Tender/SplashBidNoticeAbstractUI.aspx?menuIndex=3&amp;refID=7162423&amp;Result=3","7162423")</f>
        <v>0</v>
      </c>
      <c r="B282" t="s">
        <v>99</v>
      </c>
      <c r="C282" t="s">
        <v>4202</v>
      </c>
      <c r="D282" t="s">
        <v>19054</v>
      </c>
      <c r="E282" t="s">
        <v>19397</v>
      </c>
      <c r="F282" t="s">
        <v>32831</v>
      </c>
      <c r="G282" t="s">
        <v>32839</v>
      </c>
      <c r="H282" t="s">
        <v>32848</v>
      </c>
      <c r="I282" t="s">
        <v>4471</v>
      </c>
      <c r="J282" t="s">
        <v>33204</v>
      </c>
      <c r="K282" t="s">
        <v>42730</v>
      </c>
      <c r="M282" t="s">
        <v>43096</v>
      </c>
      <c r="N282" t="s">
        <v>47424</v>
      </c>
      <c r="O282" t="s">
        <v>47425</v>
      </c>
      <c r="P282">
        <v>0</v>
      </c>
      <c r="Q282">
        <v>0</v>
      </c>
      <c r="R282" t="s">
        <v>47426</v>
      </c>
      <c r="S282" t="s">
        <v>47531</v>
      </c>
      <c r="T282" t="s">
        <v>49069</v>
      </c>
      <c r="U282" t="s">
        <v>49821</v>
      </c>
      <c r="V282" t="s">
        <v>62643</v>
      </c>
      <c r="W282" t="s">
        <v>43096</v>
      </c>
      <c r="X282" t="s">
        <v>47430</v>
      </c>
    </row>
    <row r="283" spans="1:24">
      <c r="A283">
        <f>HYPERLINK("https://www.philgeps.gov.ph/GEPSNONPILOT/Tender/SplashBidNoticeAbstractUI.aspx?menuIndex=3&amp;refID=7162402&amp;Result=3","7162402")</f>
        <v>0</v>
      </c>
      <c r="B283" t="s">
        <v>157</v>
      </c>
      <c r="C283" t="s">
        <v>4203</v>
      </c>
      <c r="D283" t="s">
        <v>19069</v>
      </c>
      <c r="E283" t="s">
        <v>19398</v>
      </c>
      <c r="F283" t="s">
        <v>32831</v>
      </c>
      <c r="G283" t="s">
        <v>32839</v>
      </c>
      <c r="H283" t="s">
        <v>32849</v>
      </c>
      <c r="I283" t="s">
        <v>4177</v>
      </c>
      <c r="J283" t="s">
        <v>33205</v>
      </c>
      <c r="K283" t="s">
        <v>42728</v>
      </c>
      <c r="M283" t="s">
        <v>43154</v>
      </c>
      <c r="N283" t="s">
        <v>47424</v>
      </c>
      <c r="O283" t="s">
        <v>47425</v>
      </c>
      <c r="P283">
        <v>0</v>
      </c>
      <c r="Q283">
        <v>2</v>
      </c>
      <c r="R283" t="s">
        <v>47426</v>
      </c>
      <c r="S283" t="s">
        <v>47531</v>
      </c>
      <c r="T283" t="s">
        <v>49071</v>
      </c>
      <c r="U283" t="s">
        <v>49920</v>
      </c>
      <c r="W283" t="s">
        <v>43154</v>
      </c>
      <c r="X283" t="s">
        <v>47430</v>
      </c>
    </row>
    <row r="284" spans="1:24">
      <c r="A284">
        <f>HYPERLINK("https://www.philgeps.gov.ph/GEPSNONPILOT/Tender/SplashBidNoticeAbstractUI.aspx?menuIndex=3&amp;refID=7162419&amp;Result=3","7162419")</f>
        <v>0</v>
      </c>
      <c r="B284" t="s">
        <v>99</v>
      </c>
      <c r="C284" t="s">
        <v>4204</v>
      </c>
      <c r="D284" t="s">
        <v>19054</v>
      </c>
      <c r="E284" t="s">
        <v>19399</v>
      </c>
      <c r="F284" t="s">
        <v>32831</v>
      </c>
      <c r="G284" t="s">
        <v>32839</v>
      </c>
      <c r="H284" t="s">
        <v>32848</v>
      </c>
      <c r="I284" t="s">
        <v>7416</v>
      </c>
      <c r="J284" t="s">
        <v>33206</v>
      </c>
      <c r="K284" t="s">
        <v>42730</v>
      </c>
      <c r="M284" t="s">
        <v>43096</v>
      </c>
      <c r="N284" t="s">
        <v>47424</v>
      </c>
      <c r="O284" t="s">
        <v>47425</v>
      </c>
      <c r="P284">
        <v>0</v>
      </c>
      <c r="Q284">
        <v>0</v>
      </c>
      <c r="R284" t="s">
        <v>47426</v>
      </c>
      <c r="S284" t="s">
        <v>47531</v>
      </c>
      <c r="T284" t="s">
        <v>49069</v>
      </c>
      <c r="U284" t="s">
        <v>49821</v>
      </c>
      <c r="V284" t="s">
        <v>62643</v>
      </c>
      <c r="W284" t="s">
        <v>43096</v>
      </c>
      <c r="X284" t="s">
        <v>47430</v>
      </c>
    </row>
    <row r="285" spans="1:24">
      <c r="A285">
        <f>HYPERLINK("https://www.philgeps.gov.ph/GEPSNONPILOT/Tender/SplashBidNoticeAbstractUI.aspx?menuIndex=3&amp;refID=7162418&amp;Result=3","7162418")</f>
        <v>0</v>
      </c>
      <c r="B285" t="s">
        <v>123</v>
      </c>
      <c r="C285" t="s">
        <v>4205</v>
      </c>
      <c r="D285" t="s">
        <v>19038</v>
      </c>
      <c r="E285" t="s">
        <v>19400</v>
      </c>
      <c r="F285" t="s">
        <v>32831</v>
      </c>
      <c r="G285" t="s">
        <v>32838</v>
      </c>
      <c r="H285" t="s">
        <v>32848</v>
      </c>
      <c r="I285" t="s">
        <v>4558</v>
      </c>
      <c r="J285" t="s">
        <v>33207</v>
      </c>
      <c r="K285" t="s">
        <v>42726</v>
      </c>
      <c r="M285" t="s">
        <v>43120</v>
      </c>
      <c r="N285" t="s">
        <v>47424</v>
      </c>
      <c r="O285" t="s">
        <v>47425</v>
      </c>
      <c r="P285">
        <v>0</v>
      </c>
      <c r="Q285">
        <v>1</v>
      </c>
      <c r="R285" t="s">
        <v>47426</v>
      </c>
      <c r="S285" t="s">
        <v>47531</v>
      </c>
      <c r="T285" t="s">
        <v>49129</v>
      </c>
      <c r="U285" t="s">
        <v>49921</v>
      </c>
      <c r="W285" t="s">
        <v>43120</v>
      </c>
      <c r="X285" t="s">
        <v>47430</v>
      </c>
    </row>
    <row r="286" spans="1:24">
      <c r="A286">
        <f>HYPERLINK("https://www.philgeps.gov.ph/GEPSNONPILOT/Tender/SplashBidNoticeAbstractUI.aspx?menuIndex=3&amp;refID=7162414&amp;Result=3","7162414")</f>
        <v>0</v>
      </c>
      <c r="B286" t="s">
        <v>158</v>
      </c>
      <c r="C286" t="s">
        <v>4206</v>
      </c>
      <c r="E286" t="s">
        <v>19401</v>
      </c>
      <c r="F286" t="s">
        <v>32831</v>
      </c>
      <c r="G286" t="s">
        <v>32838</v>
      </c>
      <c r="H286" t="s">
        <v>32848</v>
      </c>
      <c r="I286" t="s">
        <v>32856</v>
      </c>
      <c r="J286" t="s">
        <v>33208</v>
      </c>
      <c r="K286" t="s">
        <v>42732</v>
      </c>
      <c r="M286" t="s">
        <v>43155</v>
      </c>
      <c r="N286" t="s">
        <v>47424</v>
      </c>
      <c r="O286" t="s">
        <v>47425</v>
      </c>
      <c r="P286">
        <v>0</v>
      </c>
      <c r="Q286">
        <v>0</v>
      </c>
      <c r="R286" t="s">
        <v>47426</v>
      </c>
      <c r="S286" t="s">
        <v>47531</v>
      </c>
      <c r="T286" t="s">
        <v>49125</v>
      </c>
      <c r="U286" t="s">
        <v>49922</v>
      </c>
      <c r="W286" t="s">
        <v>43155</v>
      </c>
      <c r="X286" t="s">
        <v>47430</v>
      </c>
    </row>
    <row r="287" spans="1:24">
      <c r="A287">
        <f>HYPERLINK("https://www.philgeps.gov.ph/GEPSNONPILOT/Tender/SplashBidNoticeAbstractUI.aspx?menuIndex=3&amp;refID=7162412&amp;Result=3","7162412")</f>
        <v>0</v>
      </c>
      <c r="B287" t="s">
        <v>159</v>
      </c>
      <c r="C287" t="s">
        <v>4207</v>
      </c>
      <c r="D287" t="s">
        <v>19058</v>
      </c>
      <c r="E287" t="s">
        <v>19402</v>
      </c>
      <c r="F287" t="s">
        <v>32831</v>
      </c>
      <c r="G287" t="s">
        <v>32838</v>
      </c>
      <c r="H287" t="s">
        <v>32848</v>
      </c>
      <c r="I287" t="s">
        <v>32882</v>
      </c>
      <c r="J287" t="s">
        <v>33209</v>
      </c>
      <c r="K287" t="s">
        <v>42730</v>
      </c>
      <c r="L287" t="s">
        <v>159</v>
      </c>
      <c r="M287" t="s">
        <v>43156</v>
      </c>
      <c r="N287" t="s">
        <v>47424</v>
      </c>
      <c r="O287" t="s">
        <v>47425</v>
      </c>
      <c r="P287">
        <v>0</v>
      </c>
      <c r="Q287">
        <v>0</v>
      </c>
      <c r="R287" t="s">
        <v>47426</v>
      </c>
      <c r="S287" t="s">
        <v>47531</v>
      </c>
      <c r="T287" t="s">
        <v>49068</v>
      </c>
      <c r="U287" t="s">
        <v>49923</v>
      </c>
      <c r="V287" t="s">
        <v>62652</v>
      </c>
      <c r="W287" t="s">
        <v>43156</v>
      </c>
      <c r="X287" t="s">
        <v>47430</v>
      </c>
    </row>
    <row r="288" spans="1:24">
      <c r="A288">
        <f>HYPERLINK("https://www.philgeps.gov.ph/GEPSNONPILOT/Tender/SplashBidNoticeAbstractUI.aspx?menuIndex=3&amp;refID=7162411&amp;Result=3","7162411")</f>
        <v>0</v>
      </c>
      <c r="B288" t="s">
        <v>123</v>
      </c>
      <c r="C288" t="s">
        <v>4208</v>
      </c>
      <c r="D288" t="s">
        <v>19038</v>
      </c>
      <c r="E288" t="s">
        <v>19403</v>
      </c>
      <c r="F288" t="s">
        <v>32831</v>
      </c>
      <c r="G288" t="s">
        <v>32838</v>
      </c>
      <c r="H288" t="s">
        <v>32848</v>
      </c>
      <c r="I288" t="s">
        <v>4222</v>
      </c>
      <c r="J288" t="s">
        <v>33210</v>
      </c>
      <c r="K288" t="s">
        <v>42726</v>
      </c>
      <c r="M288" t="s">
        <v>43120</v>
      </c>
      <c r="N288" t="s">
        <v>47424</v>
      </c>
      <c r="O288" t="s">
        <v>47425</v>
      </c>
      <c r="P288">
        <v>0</v>
      </c>
      <c r="Q288">
        <v>0</v>
      </c>
      <c r="R288" t="s">
        <v>47426</v>
      </c>
      <c r="S288" t="s">
        <v>47531</v>
      </c>
      <c r="T288" t="s">
        <v>49129</v>
      </c>
      <c r="U288" t="s">
        <v>49924</v>
      </c>
      <c r="W288" t="s">
        <v>43120</v>
      </c>
      <c r="X288" t="s">
        <v>47430</v>
      </c>
    </row>
    <row r="289" spans="1:24">
      <c r="A289">
        <f>HYPERLINK("https://www.philgeps.gov.ph/GEPSNONPILOT/Tender/SplashBidNoticeAbstractUI.aspx?menuIndex=3&amp;refID=7162410&amp;Result=3","7162410")</f>
        <v>0</v>
      </c>
      <c r="B289" t="s">
        <v>155</v>
      </c>
      <c r="C289" t="s">
        <v>4209</v>
      </c>
      <c r="D289" t="s">
        <v>19064</v>
      </c>
      <c r="E289" t="s">
        <v>19404</v>
      </c>
      <c r="F289" t="s">
        <v>32831</v>
      </c>
      <c r="G289" t="s">
        <v>32839</v>
      </c>
      <c r="H289" t="s">
        <v>32848</v>
      </c>
      <c r="I289" t="s">
        <v>32856</v>
      </c>
      <c r="J289" t="s">
        <v>33148</v>
      </c>
      <c r="K289" t="s">
        <v>42748</v>
      </c>
      <c r="M289" t="s">
        <v>43152</v>
      </c>
      <c r="N289" t="s">
        <v>47424</v>
      </c>
      <c r="O289" t="s">
        <v>47425</v>
      </c>
      <c r="P289">
        <v>0</v>
      </c>
      <c r="Q289">
        <v>0</v>
      </c>
      <c r="R289" t="s">
        <v>47426</v>
      </c>
      <c r="S289" t="s">
        <v>47531</v>
      </c>
      <c r="T289" t="s">
        <v>49105</v>
      </c>
      <c r="U289" t="s">
        <v>49925</v>
      </c>
      <c r="W289" t="s">
        <v>43152</v>
      </c>
      <c r="X289" t="s">
        <v>47430</v>
      </c>
    </row>
    <row r="290" spans="1:24">
      <c r="A290">
        <f>HYPERLINK("https://www.philgeps.gov.ph/GEPSNONPILOT/Tender/SplashBidNoticeAbstractUI.aspx?menuIndex=3&amp;refID=7162448&amp;Result=3","7162448")</f>
        <v>0</v>
      </c>
      <c r="B290" t="s">
        <v>99</v>
      </c>
      <c r="C290" t="s">
        <v>4210</v>
      </c>
      <c r="D290" t="s">
        <v>19054</v>
      </c>
      <c r="E290" t="s">
        <v>19405</v>
      </c>
      <c r="F290" t="s">
        <v>32831</v>
      </c>
      <c r="G290" t="s">
        <v>32839</v>
      </c>
      <c r="H290" t="s">
        <v>32848</v>
      </c>
      <c r="I290" t="s">
        <v>7416</v>
      </c>
      <c r="J290" t="s">
        <v>33211</v>
      </c>
      <c r="K290" t="s">
        <v>42730</v>
      </c>
      <c r="M290" t="s">
        <v>43096</v>
      </c>
      <c r="N290" t="s">
        <v>47424</v>
      </c>
      <c r="O290" t="s">
        <v>47425</v>
      </c>
      <c r="P290">
        <v>0</v>
      </c>
      <c r="Q290">
        <v>0</v>
      </c>
      <c r="R290" t="s">
        <v>47426</v>
      </c>
      <c r="S290" t="s">
        <v>47531</v>
      </c>
      <c r="T290" t="s">
        <v>49069</v>
      </c>
      <c r="U290" t="s">
        <v>49821</v>
      </c>
      <c r="V290" t="s">
        <v>62643</v>
      </c>
      <c r="W290" t="s">
        <v>43096</v>
      </c>
      <c r="X290" t="s">
        <v>47430</v>
      </c>
    </row>
    <row r="291" spans="1:24">
      <c r="A291">
        <f>HYPERLINK("https://www.philgeps.gov.ph/GEPSNONPILOT/Tender/SplashBidNoticeAbstractUI.aspx?menuIndex=3&amp;refID=7162408&amp;Result=3","7162408")</f>
        <v>0</v>
      </c>
      <c r="B291" t="s">
        <v>99</v>
      </c>
      <c r="C291" t="s">
        <v>4211</v>
      </c>
      <c r="D291" t="s">
        <v>19054</v>
      </c>
      <c r="E291" t="s">
        <v>19406</v>
      </c>
      <c r="F291" t="s">
        <v>32831</v>
      </c>
      <c r="G291" t="s">
        <v>32839</v>
      </c>
      <c r="H291" t="s">
        <v>32848</v>
      </c>
      <c r="I291" t="s">
        <v>32867</v>
      </c>
      <c r="J291" t="s">
        <v>33212</v>
      </c>
      <c r="K291" t="s">
        <v>42730</v>
      </c>
      <c r="M291" t="s">
        <v>43096</v>
      </c>
      <c r="N291" t="s">
        <v>47424</v>
      </c>
      <c r="O291" t="s">
        <v>47425</v>
      </c>
      <c r="P291">
        <v>0</v>
      </c>
      <c r="Q291">
        <v>1</v>
      </c>
      <c r="R291" t="s">
        <v>47426</v>
      </c>
      <c r="S291" t="s">
        <v>47531</v>
      </c>
      <c r="T291" t="s">
        <v>49069</v>
      </c>
      <c r="U291" t="s">
        <v>49821</v>
      </c>
      <c r="V291" t="s">
        <v>62643</v>
      </c>
      <c r="W291" t="s">
        <v>43096</v>
      </c>
      <c r="X291" t="s">
        <v>47430</v>
      </c>
    </row>
    <row r="292" spans="1:24">
      <c r="A292">
        <f>HYPERLINK("https://www.philgeps.gov.ph/GEPSNONPILOT/Tender/SplashBidNoticeAbstractUI.aspx?menuIndex=3&amp;refID=7162437&amp;Result=3","7162437")</f>
        <v>0</v>
      </c>
      <c r="B292" t="s">
        <v>99</v>
      </c>
      <c r="C292" t="s">
        <v>4212</v>
      </c>
      <c r="D292" t="s">
        <v>19054</v>
      </c>
      <c r="E292" t="s">
        <v>19407</v>
      </c>
      <c r="F292" t="s">
        <v>32831</v>
      </c>
      <c r="G292" t="s">
        <v>32839</v>
      </c>
      <c r="H292" t="s">
        <v>32848</v>
      </c>
      <c r="I292" t="s">
        <v>7416</v>
      </c>
      <c r="J292" t="s">
        <v>33213</v>
      </c>
      <c r="K292" t="s">
        <v>42730</v>
      </c>
      <c r="M292" t="s">
        <v>43096</v>
      </c>
      <c r="N292" t="s">
        <v>47424</v>
      </c>
      <c r="O292" t="s">
        <v>47425</v>
      </c>
      <c r="P292">
        <v>0</v>
      </c>
      <c r="Q292">
        <v>0</v>
      </c>
      <c r="R292" t="s">
        <v>47426</v>
      </c>
      <c r="S292" t="s">
        <v>47531</v>
      </c>
      <c r="T292" t="s">
        <v>49069</v>
      </c>
      <c r="U292" t="s">
        <v>49821</v>
      </c>
      <c r="V292" t="s">
        <v>62643</v>
      </c>
      <c r="W292" t="s">
        <v>43096</v>
      </c>
      <c r="X292" t="s">
        <v>47430</v>
      </c>
    </row>
    <row r="293" spans="1:24">
      <c r="A293">
        <f>HYPERLINK("https://www.philgeps.gov.ph/GEPSNONPILOT/Tender/SplashBidNoticeAbstractUI.aspx?menuIndex=3&amp;refID=7162446&amp;Result=3","7162446")</f>
        <v>0</v>
      </c>
      <c r="B293" t="s">
        <v>160</v>
      </c>
      <c r="C293" t="s">
        <v>4213</v>
      </c>
      <c r="D293" t="s">
        <v>19070</v>
      </c>
      <c r="E293" t="s">
        <v>19408</v>
      </c>
      <c r="F293" t="s">
        <v>32831</v>
      </c>
      <c r="G293" t="s">
        <v>32842</v>
      </c>
      <c r="H293" t="s">
        <v>32848</v>
      </c>
      <c r="I293" t="s">
        <v>32870</v>
      </c>
      <c r="J293" t="s">
        <v>33214</v>
      </c>
      <c r="K293" t="s">
        <v>42730</v>
      </c>
      <c r="M293" t="s">
        <v>43157</v>
      </c>
      <c r="N293" t="s">
        <v>47424</v>
      </c>
      <c r="O293" t="s">
        <v>47425</v>
      </c>
      <c r="P293">
        <v>0</v>
      </c>
      <c r="Q293">
        <v>3</v>
      </c>
      <c r="R293" t="s">
        <v>47426</v>
      </c>
      <c r="S293" t="s">
        <v>47531</v>
      </c>
      <c r="T293" t="s">
        <v>49064</v>
      </c>
      <c r="U293" t="s">
        <v>49926</v>
      </c>
      <c r="W293" t="s">
        <v>43157</v>
      </c>
      <c r="X293" t="s">
        <v>47430</v>
      </c>
    </row>
    <row r="294" spans="1:24">
      <c r="A294">
        <f>HYPERLINK("https://www.philgeps.gov.ph/GEPSNONPILOT/Tender/SplashBidNoticeAbstractUI.aspx?menuIndex=3&amp;refID=7162396&amp;Result=3","7162396")</f>
        <v>0</v>
      </c>
      <c r="B294" t="s">
        <v>161</v>
      </c>
      <c r="C294" t="s">
        <v>4214</v>
      </c>
      <c r="D294" t="s">
        <v>19031</v>
      </c>
      <c r="E294" t="s">
        <v>19409</v>
      </c>
      <c r="F294" t="s">
        <v>32831</v>
      </c>
      <c r="G294" t="s">
        <v>32839</v>
      </c>
      <c r="H294" t="s">
        <v>32848</v>
      </c>
      <c r="I294" t="s">
        <v>7416</v>
      </c>
      <c r="J294" t="s">
        <v>33111</v>
      </c>
      <c r="K294" t="s">
        <v>42768</v>
      </c>
      <c r="M294" t="s">
        <v>43158</v>
      </c>
      <c r="N294" t="s">
        <v>47424</v>
      </c>
      <c r="O294" t="s">
        <v>47425</v>
      </c>
      <c r="Q294">
        <v>1</v>
      </c>
      <c r="R294" t="s">
        <v>47426</v>
      </c>
      <c r="S294" t="s">
        <v>47533</v>
      </c>
      <c r="T294" t="s">
        <v>49137</v>
      </c>
      <c r="U294" t="s">
        <v>49927</v>
      </c>
      <c r="W294" t="s">
        <v>43158</v>
      </c>
      <c r="X294" t="s">
        <v>47430</v>
      </c>
    </row>
    <row r="295" spans="1:24">
      <c r="A295">
        <f>HYPERLINK("https://www.philgeps.gov.ph/GEPSNONPILOT/Tender/SplashBidNoticeAbstractUI.aspx?menuIndex=3&amp;refID=7162424&amp;Result=3","7162424")</f>
        <v>0</v>
      </c>
      <c r="B295" t="s">
        <v>149</v>
      </c>
      <c r="C295" t="s">
        <v>4215</v>
      </c>
      <c r="D295" t="s">
        <v>19019</v>
      </c>
      <c r="E295" t="s">
        <v>19410</v>
      </c>
      <c r="F295" t="s">
        <v>32831</v>
      </c>
      <c r="G295" t="s">
        <v>32839</v>
      </c>
      <c r="H295" t="s">
        <v>32848</v>
      </c>
      <c r="I295" t="s">
        <v>10805</v>
      </c>
      <c r="J295" t="s">
        <v>33215</v>
      </c>
      <c r="K295" t="s">
        <v>42732</v>
      </c>
      <c r="M295" t="s">
        <v>43146</v>
      </c>
      <c r="N295" t="s">
        <v>47424</v>
      </c>
      <c r="O295" t="s">
        <v>47425</v>
      </c>
      <c r="P295">
        <v>0</v>
      </c>
      <c r="Q295">
        <v>1</v>
      </c>
      <c r="R295" t="s">
        <v>47426</v>
      </c>
      <c r="S295" t="s">
        <v>47531</v>
      </c>
      <c r="T295" t="s">
        <v>49057</v>
      </c>
      <c r="U295" t="s">
        <v>49928</v>
      </c>
      <c r="W295" t="s">
        <v>43146</v>
      </c>
      <c r="X295" t="s">
        <v>47430</v>
      </c>
    </row>
    <row r="296" spans="1:24">
      <c r="A296">
        <f>HYPERLINK("https://www.philgeps.gov.ph/GEPSNONPILOT/Tender/SplashBidNoticeAbstractUI.aspx?menuIndex=3&amp;refID=7162459&amp;Result=3","7162459")</f>
        <v>0</v>
      </c>
      <c r="B296" t="s">
        <v>153</v>
      </c>
      <c r="C296" t="s">
        <v>4216</v>
      </c>
      <c r="D296" t="s">
        <v>19045</v>
      </c>
      <c r="E296" t="s">
        <v>19411</v>
      </c>
      <c r="F296" t="s">
        <v>32831</v>
      </c>
      <c r="G296" t="s">
        <v>32839</v>
      </c>
      <c r="H296" t="s">
        <v>32849</v>
      </c>
      <c r="I296" t="s">
        <v>4177</v>
      </c>
      <c r="J296" t="s">
        <v>33017</v>
      </c>
      <c r="K296" t="s">
        <v>42730</v>
      </c>
      <c r="L296" t="s">
        <v>153</v>
      </c>
      <c r="M296" t="s">
        <v>43150</v>
      </c>
      <c r="N296" t="s">
        <v>47424</v>
      </c>
      <c r="O296" t="s">
        <v>47425</v>
      </c>
      <c r="P296">
        <v>0</v>
      </c>
      <c r="Q296">
        <v>0</v>
      </c>
      <c r="R296" t="s">
        <v>47426</v>
      </c>
      <c r="S296" t="s">
        <v>47531</v>
      </c>
      <c r="T296" t="s">
        <v>49132</v>
      </c>
      <c r="U296" t="s">
        <v>49929</v>
      </c>
      <c r="V296" t="s">
        <v>62653</v>
      </c>
      <c r="W296" t="s">
        <v>43150</v>
      </c>
      <c r="X296" t="s">
        <v>47430</v>
      </c>
    </row>
    <row r="297" spans="1:24">
      <c r="A297">
        <f>HYPERLINK("https://www.philgeps.gov.ph/GEPSNONPILOT/Tender/SplashBidNoticeAbstractUI.aspx?menuIndex=3&amp;refID=7162442&amp;Result=3","7162442")</f>
        <v>0</v>
      </c>
      <c r="B297" t="s">
        <v>162</v>
      </c>
      <c r="C297" t="s">
        <v>4217</v>
      </c>
      <c r="D297" t="s">
        <v>19027</v>
      </c>
      <c r="E297" t="s">
        <v>19412</v>
      </c>
      <c r="F297" t="s">
        <v>32831</v>
      </c>
      <c r="G297" t="s">
        <v>32839</v>
      </c>
      <c r="H297" t="s">
        <v>32848</v>
      </c>
      <c r="I297" t="s">
        <v>10643</v>
      </c>
      <c r="J297" t="s">
        <v>33216</v>
      </c>
      <c r="K297" t="s">
        <v>42732</v>
      </c>
      <c r="M297" t="s">
        <v>43159</v>
      </c>
      <c r="N297" t="s">
        <v>47424</v>
      </c>
      <c r="O297" t="s">
        <v>47425</v>
      </c>
      <c r="P297">
        <v>0</v>
      </c>
      <c r="Q297">
        <v>1</v>
      </c>
      <c r="R297" t="s">
        <v>47426</v>
      </c>
      <c r="S297" t="s">
        <v>47531</v>
      </c>
      <c r="T297" t="s">
        <v>49086</v>
      </c>
      <c r="U297" t="s">
        <v>49930</v>
      </c>
      <c r="W297" t="s">
        <v>43159</v>
      </c>
      <c r="X297" t="s">
        <v>47430</v>
      </c>
    </row>
    <row r="298" spans="1:24">
      <c r="A298">
        <f>HYPERLINK("https://www.philgeps.gov.ph/GEPSNONPILOT/Tender/SplashBidNoticeAbstractUI.aspx?menuIndex=3&amp;refID=7162404&amp;Result=3","7162404")</f>
        <v>0</v>
      </c>
      <c r="B298" t="s">
        <v>163</v>
      </c>
      <c r="C298" t="s">
        <v>4218</v>
      </c>
      <c r="E298" t="s">
        <v>19413</v>
      </c>
      <c r="F298" t="s">
        <v>32831</v>
      </c>
      <c r="G298" t="s">
        <v>32839</v>
      </c>
      <c r="H298" t="s">
        <v>32849</v>
      </c>
      <c r="I298" t="s">
        <v>7416</v>
      </c>
      <c r="J298" t="s">
        <v>33217</v>
      </c>
      <c r="K298" t="s">
        <v>42732</v>
      </c>
      <c r="M298" t="s">
        <v>43160</v>
      </c>
      <c r="N298" t="s">
        <v>47424</v>
      </c>
      <c r="O298" t="s">
        <v>47425</v>
      </c>
      <c r="P298">
        <v>0</v>
      </c>
      <c r="Q298">
        <v>0</v>
      </c>
      <c r="R298" t="s">
        <v>47426</v>
      </c>
      <c r="S298" t="s">
        <v>47531</v>
      </c>
      <c r="T298" t="s">
        <v>49105</v>
      </c>
      <c r="U298" t="s">
        <v>49931</v>
      </c>
      <c r="W298" t="s">
        <v>43160</v>
      </c>
      <c r="X298" t="s">
        <v>47430</v>
      </c>
    </row>
    <row r="299" spans="1:24">
      <c r="A299">
        <f>HYPERLINK("https://www.philgeps.gov.ph/GEPSNONPILOT/Tender/SplashBidNoticeAbstractUI.aspx?menuIndex=3&amp;refID=7162426&amp;Result=3","7162426")</f>
        <v>0</v>
      </c>
      <c r="B299" t="s">
        <v>164</v>
      </c>
      <c r="C299" t="s">
        <v>4219</v>
      </c>
      <c r="E299" t="s">
        <v>19414</v>
      </c>
      <c r="F299" t="s">
        <v>32831</v>
      </c>
      <c r="G299" t="s">
        <v>32838</v>
      </c>
      <c r="H299" t="s">
        <v>32848</v>
      </c>
      <c r="I299" t="s">
        <v>4340</v>
      </c>
      <c r="J299" t="s">
        <v>33218</v>
      </c>
      <c r="K299" t="s">
        <v>42732</v>
      </c>
      <c r="M299" t="s">
        <v>43161</v>
      </c>
      <c r="N299" t="s">
        <v>47424</v>
      </c>
      <c r="O299" t="s">
        <v>47425</v>
      </c>
      <c r="P299">
        <v>0</v>
      </c>
      <c r="Q299">
        <v>1</v>
      </c>
      <c r="R299" t="s">
        <v>47426</v>
      </c>
      <c r="S299" t="s">
        <v>47531</v>
      </c>
      <c r="T299" t="s">
        <v>49056</v>
      </c>
      <c r="U299" t="s">
        <v>49932</v>
      </c>
      <c r="W299" t="s">
        <v>43161</v>
      </c>
      <c r="X299" t="s">
        <v>47430</v>
      </c>
    </row>
    <row r="300" spans="1:24">
      <c r="A300">
        <f>HYPERLINK("https://www.philgeps.gov.ph/GEPSNONPILOT/Tender/SplashBidNoticeAbstractUI.aspx?menuIndex=3&amp;refID=7162508&amp;Result=3","7162508")</f>
        <v>0</v>
      </c>
      <c r="B300" t="s">
        <v>165</v>
      </c>
      <c r="C300" t="s">
        <v>4220</v>
      </c>
      <c r="D300" t="s">
        <v>19030</v>
      </c>
      <c r="E300" t="s">
        <v>19415</v>
      </c>
      <c r="F300" t="s">
        <v>32831</v>
      </c>
      <c r="G300" t="s">
        <v>32840</v>
      </c>
      <c r="H300" t="s">
        <v>32848</v>
      </c>
      <c r="I300" t="s">
        <v>7437</v>
      </c>
      <c r="J300" t="s">
        <v>33162</v>
      </c>
      <c r="K300" t="s">
        <v>42727</v>
      </c>
      <c r="M300" t="s">
        <v>43162</v>
      </c>
      <c r="N300" t="s">
        <v>47424</v>
      </c>
      <c r="O300" t="s">
        <v>47425</v>
      </c>
      <c r="P300">
        <v>0</v>
      </c>
      <c r="Q300">
        <v>4</v>
      </c>
      <c r="R300" t="s">
        <v>47426</v>
      </c>
      <c r="S300" t="s">
        <v>47531</v>
      </c>
      <c r="T300" t="s">
        <v>49108</v>
      </c>
      <c r="U300" t="s">
        <v>49933</v>
      </c>
      <c r="W300" t="s">
        <v>43162</v>
      </c>
      <c r="X300" t="s">
        <v>47430</v>
      </c>
    </row>
    <row r="301" spans="1:24">
      <c r="A301">
        <f>HYPERLINK("https://www.philgeps.gov.ph/GEPSNONPILOT/Tender/SplashBidNoticeAbstractUI.aspx?menuIndex=3&amp;refID=7162504&amp;Result=3","7162504")</f>
        <v>0</v>
      </c>
      <c r="B301" t="s">
        <v>99</v>
      </c>
      <c r="C301" t="s">
        <v>4221</v>
      </c>
      <c r="D301" t="s">
        <v>19054</v>
      </c>
      <c r="E301" t="s">
        <v>19416</v>
      </c>
      <c r="F301" t="s">
        <v>32831</v>
      </c>
      <c r="G301" t="s">
        <v>32839</v>
      </c>
      <c r="H301" t="s">
        <v>32848</v>
      </c>
      <c r="I301" t="s">
        <v>7416</v>
      </c>
      <c r="J301" t="s">
        <v>33219</v>
      </c>
      <c r="K301" t="s">
        <v>42730</v>
      </c>
      <c r="M301" t="s">
        <v>43096</v>
      </c>
      <c r="N301" t="s">
        <v>47424</v>
      </c>
      <c r="O301" t="s">
        <v>47425</v>
      </c>
      <c r="P301">
        <v>0</v>
      </c>
      <c r="Q301">
        <v>0</v>
      </c>
      <c r="R301" t="s">
        <v>47426</v>
      </c>
      <c r="S301" t="s">
        <v>47531</v>
      </c>
      <c r="T301" t="s">
        <v>49069</v>
      </c>
      <c r="U301" t="s">
        <v>49821</v>
      </c>
      <c r="V301" t="s">
        <v>62643</v>
      </c>
      <c r="W301" t="s">
        <v>43096</v>
      </c>
      <c r="X301" t="s">
        <v>47430</v>
      </c>
    </row>
    <row r="302" spans="1:24">
      <c r="A302">
        <f>HYPERLINK("https://www.philgeps.gov.ph/GEPSNONPILOT/Tender/SplashBidNoticeAbstractUI.aspx?menuIndex=3&amp;refID=7162450&amp;Result=3","7162450")</f>
        <v>0</v>
      </c>
      <c r="B302" t="s">
        <v>144</v>
      </c>
      <c r="C302" t="s">
        <v>4222</v>
      </c>
      <c r="D302" t="s">
        <v>19066</v>
      </c>
      <c r="E302" t="s">
        <v>19417</v>
      </c>
      <c r="F302" t="s">
        <v>32831</v>
      </c>
      <c r="G302" t="s">
        <v>32840</v>
      </c>
      <c r="H302" t="s">
        <v>32848</v>
      </c>
      <c r="I302" t="s">
        <v>4222</v>
      </c>
      <c r="J302" t="s">
        <v>33220</v>
      </c>
      <c r="K302" t="s">
        <v>42732</v>
      </c>
      <c r="M302" t="s">
        <v>43141</v>
      </c>
      <c r="N302" t="s">
        <v>47424</v>
      </c>
      <c r="O302" t="s">
        <v>47425</v>
      </c>
      <c r="P302">
        <v>0</v>
      </c>
      <c r="Q302">
        <v>0</v>
      </c>
      <c r="R302" t="s">
        <v>47426</v>
      </c>
      <c r="S302" t="s">
        <v>47531</v>
      </c>
      <c r="T302" t="s">
        <v>49107</v>
      </c>
      <c r="U302" t="s">
        <v>49934</v>
      </c>
      <c r="W302" t="s">
        <v>43141</v>
      </c>
      <c r="X302" t="s">
        <v>47430</v>
      </c>
    </row>
    <row r="303" spans="1:24">
      <c r="A303">
        <f>HYPERLINK("https://www.philgeps.gov.ph/GEPSNONPILOT/Tender/SplashBidNoticeAbstractUI.aspx?menuIndex=3&amp;refID=7162521&amp;Result=3","7162521")</f>
        <v>0</v>
      </c>
      <c r="B303" t="s">
        <v>166</v>
      </c>
      <c r="C303" t="s">
        <v>4223</v>
      </c>
      <c r="D303" t="s">
        <v>19021</v>
      </c>
      <c r="E303" t="s">
        <v>19418</v>
      </c>
      <c r="F303" t="s">
        <v>32831</v>
      </c>
      <c r="G303" t="s">
        <v>32839</v>
      </c>
      <c r="H303" t="s">
        <v>32848</v>
      </c>
      <c r="I303" t="s">
        <v>7416</v>
      </c>
      <c r="J303" t="s">
        <v>33221</v>
      </c>
      <c r="K303" t="s">
        <v>42727</v>
      </c>
      <c r="M303" t="s">
        <v>43163</v>
      </c>
      <c r="N303" t="s">
        <v>47424</v>
      </c>
      <c r="O303" t="s">
        <v>47425</v>
      </c>
      <c r="P303">
        <v>0</v>
      </c>
      <c r="Q303">
        <v>1</v>
      </c>
      <c r="R303" t="s">
        <v>47426</v>
      </c>
      <c r="S303" t="s">
        <v>47531</v>
      </c>
      <c r="T303" t="s">
        <v>49105</v>
      </c>
      <c r="U303" t="s">
        <v>49935</v>
      </c>
      <c r="W303" t="s">
        <v>43163</v>
      </c>
      <c r="X303" t="s">
        <v>47430</v>
      </c>
    </row>
    <row r="304" spans="1:24">
      <c r="A304">
        <f>HYPERLINK("https://www.philgeps.gov.ph/GEPSNONPILOT/Tender/SplashBidNoticeAbstractUI.aspx?menuIndex=3&amp;refID=7162428&amp;Result=3","7162428")</f>
        <v>0</v>
      </c>
      <c r="B304" t="s">
        <v>167</v>
      </c>
      <c r="C304" t="s">
        <v>4224</v>
      </c>
      <c r="D304" t="s">
        <v>19069</v>
      </c>
      <c r="E304" t="s">
        <v>19419</v>
      </c>
      <c r="F304" t="s">
        <v>32831</v>
      </c>
      <c r="G304" t="s">
        <v>32838</v>
      </c>
      <c r="H304" t="s">
        <v>32848</v>
      </c>
      <c r="I304" t="s">
        <v>32855</v>
      </c>
      <c r="J304" t="s">
        <v>33132</v>
      </c>
      <c r="K304" t="s">
        <v>42730</v>
      </c>
      <c r="M304" t="s">
        <v>43164</v>
      </c>
      <c r="N304" t="s">
        <v>47424</v>
      </c>
      <c r="O304" t="s">
        <v>47425</v>
      </c>
      <c r="P304">
        <v>0</v>
      </c>
      <c r="Q304">
        <v>2</v>
      </c>
      <c r="R304" t="s">
        <v>47426</v>
      </c>
      <c r="S304" t="s">
        <v>47531</v>
      </c>
      <c r="T304" t="s">
        <v>49056</v>
      </c>
      <c r="U304" t="s">
        <v>49936</v>
      </c>
      <c r="W304" t="s">
        <v>43164</v>
      </c>
      <c r="X304" t="s">
        <v>47430</v>
      </c>
    </row>
    <row r="305" spans="1:24">
      <c r="A305">
        <f>HYPERLINK("https://www.philgeps.gov.ph/GEPSNONPILOT/Tender/SplashBidNoticeAbstractUI.aspx?menuIndex=3&amp;refID=7162399&amp;Result=3","7162399")</f>
        <v>0</v>
      </c>
      <c r="B305" t="s">
        <v>168</v>
      </c>
      <c r="C305" t="s">
        <v>4225</v>
      </c>
      <c r="D305" t="s">
        <v>19071</v>
      </c>
      <c r="E305" t="s">
        <v>19420</v>
      </c>
      <c r="F305" t="s">
        <v>32831</v>
      </c>
      <c r="G305" t="s">
        <v>32839</v>
      </c>
      <c r="H305" t="s">
        <v>32848</v>
      </c>
      <c r="I305" t="s">
        <v>4303</v>
      </c>
      <c r="J305" t="s">
        <v>33222</v>
      </c>
      <c r="K305" t="s">
        <v>42731</v>
      </c>
      <c r="M305" t="s">
        <v>43165</v>
      </c>
      <c r="N305" t="s">
        <v>47424</v>
      </c>
      <c r="O305" t="s">
        <v>47425</v>
      </c>
      <c r="P305">
        <v>0</v>
      </c>
      <c r="Q305">
        <v>0</v>
      </c>
      <c r="R305" t="s">
        <v>47426</v>
      </c>
      <c r="S305" t="s">
        <v>47531</v>
      </c>
      <c r="T305" t="s">
        <v>49068</v>
      </c>
      <c r="U305" t="s">
        <v>49937</v>
      </c>
      <c r="V305" t="s">
        <v>62654</v>
      </c>
      <c r="W305" t="s">
        <v>43165</v>
      </c>
      <c r="X305" t="s">
        <v>47430</v>
      </c>
    </row>
    <row r="306" spans="1:24">
      <c r="A306">
        <f>HYPERLINK("https://www.philgeps.gov.ph/GEPSNONPILOT/Tender/SplashBidNoticeAbstractUI.aspx?menuIndex=3&amp;refID=7162520&amp;Result=3","7162520")</f>
        <v>0</v>
      </c>
      <c r="B306" t="s">
        <v>169</v>
      </c>
      <c r="C306" t="s">
        <v>4226</v>
      </c>
      <c r="D306" t="s">
        <v>19022</v>
      </c>
      <c r="E306" t="s">
        <v>19421</v>
      </c>
      <c r="F306" t="s">
        <v>32831</v>
      </c>
      <c r="G306" t="s">
        <v>32838</v>
      </c>
      <c r="H306" t="s">
        <v>32848</v>
      </c>
      <c r="I306" t="s">
        <v>9577</v>
      </c>
      <c r="J306" t="s">
        <v>33132</v>
      </c>
      <c r="K306" t="s">
        <v>42758</v>
      </c>
      <c r="M306" t="s">
        <v>43166</v>
      </c>
      <c r="N306" t="s">
        <v>47424</v>
      </c>
      <c r="O306" t="s">
        <v>47425</v>
      </c>
      <c r="P306">
        <v>0</v>
      </c>
      <c r="Q306">
        <v>0</v>
      </c>
      <c r="R306" t="s">
        <v>47426</v>
      </c>
      <c r="S306" t="s">
        <v>47531</v>
      </c>
      <c r="T306" t="s">
        <v>49100</v>
      </c>
      <c r="U306" t="s">
        <v>49938</v>
      </c>
      <c r="W306" t="s">
        <v>43166</v>
      </c>
      <c r="X306" t="s">
        <v>47430</v>
      </c>
    </row>
    <row r="307" spans="1:24">
      <c r="A307">
        <f>HYPERLINK("https://www.philgeps.gov.ph/GEPSNONPILOT/Tender/SplashBidNoticeAbstractUI.aspx?menuIndex=3&amp;refID=7162490&amp;Result=3","7162490")</f>
        <v>0</v>
      </c>
      <c r="B307" t="s">
        <v>170</v>
      </c>
      <c r="C307" t="s">
        <v>4227</v>
      </c>
      <c r="D307" t="s">
        <v>19046</v>
      </c>
      <c r="E307" t="s">
        <v>19422</v>
      </c>
      <c r="F307" t="s">
        <v>32831</v>
      </c>
      <c r="G307" t="s">
        <v>32842</v>
      </c>
      <c r="H307" t="s">
        <v>32848</v>
      </c>
      <c r="I307" t="s">
        <v>4487</v>
      </c>
      <c r="J307" t="s">
        <v>33223</v>
      </c>
      <c r="K307" t="s">
        <v>42726</v>
      </c>
      <c r="M307" t="s">
        <v>43167</v>
      </c>
      <c r="N307" t="s">
        <v>47424</v>
      </c>
      <c r="O307" t="s">
        <v>47425</v>
      </c>
      <c r="P307">
        <v>0</v>
      </c>
      <c r="Q307">
        <v>1</v>
      </c>
      <c r="R307" t="s">
        <v>47426</v>
      </c>
      <c r="S307" t="s">
        <v>47531</v>
      </c>
      <c r="T307" t="s">
        <v>49091</v>
      </c>
      <c r="U307" t="s">
        <v>49939</v>
      </c>
      <c r="W307" t="s">
        <v>43167</v>
      </c>
      <c r="X307" t="s">
        <v>47430</v>
      </c>
    </row>
    <row r="308" spans="1:24">
      <c r="A308">
        <f>HYPERLINK("https://www.philgeps.gov.ph/GEPSNONPILOT/Tender/SplashBidNoticeAbstractUI.aspx?menuIndex=3&amp;refID=7162485&amp;Result=3","7162485")</f>
        <v>0</v>
      </c>
      <c r="B308" t="s">
        <v>99</v>
      </c>
      <c r="C308" t="s">
        <v>4228</v>
      </c>
      <c r="D308" t="s">
        <v>19054</v>
      </c>
      <c r="E308" t="s">
        <v>19423</v>
      </c>
      <c r="F308" t="s">
        <v>32831</v>
      </c>
      <c r="G308" t="s">
        <v>32839</v>
      </c>
      <c r="H308" t="s">
        <v>32848</v>
      </c>
      <c r="I308" t="s">
        <v>7416</v>
      </c>
      <c r="J308" t="s">
        <v>33224</v>
      </c>
      <c r="K308" t="s">
        <v>42730</v>
      </c>
      <c r="M308" t="s">
        <v>43096</v>
      </c>
      <c r="N308" t="s">
        <v>47424</v>
      </c>
      <c r="O308" t="s">
        <v>47425</v>
      </c>
      <c r="P308">
        <v>0</v>
      </c>
      <c r="Q308">
        <v>0</v>
      </c>
      <c r="R308" t="s">
        <v>47426</v>
      </c>
      <c r="S308" t="s">
        <v>47531</v>
      </c>
      <c r="T308" t="s">
        <v>49069</v>
      </c>
      <c r="U308" t="s">
        <v>49821</v>
      </c>
      <c r="V308" t="s">
        <v>62643</v>
      </c>
      <c r="W308" t="s">
        <v>43096</v>
      </c>
      <c r="X308" t="s">
        <v>47430</v>
      </c>
    </row>
    <row r="309" spans="1:24">
      <c r="A309">
        <f>HYPERLINK("https://www.philgeps.gov.ph/GEPSNONPILOT/Tender/SplashBidNoticeAbstractUI.aspx?menuIndex=3&amp;refID=7162484&amp;Result=3","7162484")</f>
        <v>0</v>
      </c>
      <c r="B309" t="s">
        <v>171</v>
      </c>
      <c r="C309" t="s">
        <v>4229</v>
      </c>
      <c r="D309" t="s">
        <v>19034</v>
      </c>
      <c r="E309" t="s">
        <v>19424</v>
      </c>
      <c r="F309" t="s">
        <v>32831</v>
      </c>
      <c r="G309" t="s">
        <v>32838</v>
      </c>
      <c r="H309" t="s">
        <v>32848</v>
      </c>
      <c r="I309" t="s">
        <v>32883</v>
      </c>
      <c r="J309" t="s">
        <v>33178</v>
      </c>
      <c r="K309" t="s">
        <v>42730</v>
      </c>
      <c r="M309" t="s">
        <v>43168</v>
      </c>
      <c r="N309" t="s">
        <v>47424</v>
      </c>
      <c r="O309" t="s">
        <v>47425</v>
      </c>
      <c r="P309">
        <v>0</v>
      </c>
      <c r="Q309">
        <v>0</v>
      </c>
      <c r="R309" t="s">
        <v>47426</v>
      </c>
      <c r="S309" t="s">
        <v>47531</v>
      </c>
      <c r="T309" t="s">
        <v>49125</v>
      </c>
      <c r="U309" t="s">
        <v>49940</v>
      </c>
      <c r="W309" t="s">
        <v>64432</v>
      </c>
      <c r="X309" t="s">
        <v>47430</v>
      </c>
    </row>
    <row r="310" spans="1:24">
      <c r="A310">
        <f>HYPERLINK("https://www.philgeps.gov.ph/GEPSNONPILOT/Tender/SplashBidNoticeAbstractUI.aspx?menuIndex=3&amp;refID=7162503&amp;Result=3","7162503")</f>
        <v>0</v>
      </c>
      <c r="B310" t="s">
        <v>145</v>
      </c>
      <c r="C310" t="s">
        <v>4230</v>
      </c>
      <c r="D310" t="s">
        <v>19048</v>
      </c>
      <c r="E310" t="s">
        <v>19425</v>
      </c>
      <c r="F310" t="s">
        <v>32831</v>
      </c>
      <c r="G310" t="s">
        <v>32839</v>
      </c>
      <c r="H310" t="s">
        <v>32848</v>
      </c>
      <c r="I310" t="s">
        <v>10805</v>
      </c>
      <c r="J310" t="s">
        <v>33225</v>
      </c>
      <c r="K310" t="s">
        <v>42727</v>
      </c>
      <c r="L310" t="s">
        <v>145</v>
      </c>
      <c r="M310" t="s">
        <v>43142</v>
      </c>
      <c r="N310" t="s">
        <v>47424</v>
      </c>
      <c r="O310" t="s">
        <v>47425</v>
      </c>
      <c r="P310">
        <v>0</v>
      </c>
      <c r="Q310">
        <v>2</v>
      </c>
      <c r="R310" t="s">
        <v>47426</v>
      </c>
      <c r="S310" t="s">
        <v>47531</v>
      </c>
      <c r="T310" t="s">
        <v>49069</v>
      </c>
      <c r="U310" t="s">
        <v>49941</v>
      </c>
      <c r="V310" t="s">
        <v>62648</v>
      </c>
      <c r="W310" t="s">
        <v>43142</v>
      </c>
      <c r="X310" t="s">
        <v>47430</v>
      </c>
    </row>
    <row r="311" spans="1:24">
      <c r="A311">
        <f>HYPERLINK("https://www.philgeps.gov.ph/GEPSNONPILOT/Tender/SplashBidNoticeAbstractUI.aspx?menuIndex=3&amp;refID=7162489&amp;Result=3","7162489")</f>
        <v>0</v>
      </c>
      <c r="B311" t="s">
        <v>172</v>
      </c>
      <c r="C311" t="s">
        <v>4231</v>
      </c>
      <c r="D311" t="s">
        <v>19022</v>
      </c>
      <c r="E311" t="s">
        <v>19426</v>
      </c>
      <c r="F311" t="s">
        <v>32831</v>
      </c>
      <c r="G311" t="s">
        <v>32842</v>
      </c>
      <c r="H311" t="s">
        <v>32848</v>
      </c>
      <c r="I311" t="s">
        <v>32860</v>
      </c>
      <c r="J311" t="s">
        <v>33226</v>
      </c>
      <c r="K311" t="s">
        <v>42726</v>
      </c>
      <c r="M311" t="s">
        <v>43169</v>
      </c>
      <c r="N311" t="s">
        <v>47424</v>
      </c>
      <c r="O311" t="s">
        <v>47425</v>
      </c>
      <c r="P311">
        <v>0</v>
      </c>
      <c r="Q311">
        <v>3</v>
      </c>
      <c r="R311" t="s">
        <v>47426</v>
      </c>
      <c r="S311" t="s">
        <v>47531</v>
      </c>
      <c r="T311" t="s">
        <v>49061</v>
      </c>
      <c r="U311" t="s">
        <v>49942</v>
      </c>
      <c r="V311" t="s">
        <v>62655</v>
      </c>
      <c r="W311" t="s">
        <v>43169</v>
      </c>
      <c r="X311" t="s">
        <v>47430</v>
      </c>
    </row>
    <row r="312" spans="1:24">
      <c r="A312">
        <f>HYPERLINK("https://www.philgeps.gov.ph/GEPSNONPILOT/Tender/SplashBidNoticeAbstractUI.aspx?menuIndex=3&amp;refID=7162440&amp;Result=3","7162440")</f>
        <v>0</v>
      </c>
      <c r="B312" t="s">
        <v>149</v>
      </c>
      <c r="C312" t="s">
        <v>4232</v>
      </c>
      <c r="D312" t="s">
        <v>19019</v>
      </c>
      <c r="E312" t="s">
        <v>19427</v>
      </c>
      <c r="F312" t="s">
        <v>32831</v>
      </c>
      <c r="G312" t="s">
        <v>32839</v>
      </c>
      <c r="H312" t="s">
        <v>32848</v>
      </c>
      <c r="I312" t="s">
        <v>4776</v>
      </c>
      <c r="J312" t="s">
        <v>33227</v>
      </c>
      <c r="K312" t="s">
        <v>42732</v>
      </c>
      <c r="M312" t="s">
        <v>43146</v>
      </c>
      <c r="N312" t="s">
        <v>47424</v>
      </c>
      <c r="O312" t="s">
        <v>47425</v>
      </c>
      <c r="P312">
        <v>0</v>
      </c>
      <c r="Q312">
        <v>2</v>
      </c>
      <c r="R312" t="s">
        <v>47426</v>
      </c>
      <c r="S312" t="s">
        <v>47531</v>
      </c>
      <c r="T312" t="s">
        <v>49057</v>
      </c>
      <c r="U312" t="s">
        <v>49943</v>
      </c>
      <c r="W312" t="s">
        <v>43146</v>
      </c>
      <c r="X312" t="s">
        <v>47430</v>
      </c>
    </row>
    <row r="313" spans="1:24">
      <c r="A313">
        <f>HYPERLINK("https://www.philgeps.gov.ph/GEPSNONPILOT/Tender/SplashBidNoticeAbstractUI.aspx?menuIndex=3&amp;refID=7162479&amp;Result=3","7162479")</f>
        <v>0</v>
      </c>
      <c r="B313" t="s">
        <v>173</v>
      </c>
      <c r="C313" t="s">
        <v>4233</v>
      </c>
      <c r="D313" t="s">
        <v>19072</v>
      </c>
      <c r="E313" t="s">
        <v>19428</v>
      </c>
      <c r="F313" t="s">
        <v>32831</v>
      </c>
      <c r="G313" t="s">
        <v>32838</v>
      </c>
      <c r="H313" t="s">
        <v>32848</v>
      </c>
      <c r="I313" t="s">
        <v>9577</v>
      </c>
      <c r="J313" t="s">
        <v>33228</v>
      </c>
      <c r="K313" t="s">
        <v>42758</v>
      </c>
      <c r="M313" t="s">
        <v>43170</v>
      </c>
      <c r="N313" t="s">
        <v>47424</v>
      </c>
      <c r="O313" t="s">
        <v>47425</v>
      </c>
      <c r="P313">
        <v>0</v>
      </c>
      <c r="Q313">
        <v>0</v>
      </c>
      <c r="R313" t="s">
        <v>47426</v>
      </c>
      <c r="S313" t="s">
        <v>47531</v>
      </c>
      <c r="T313" t="s">
        <v>49079</v>
      </c>
      <c r="U313" t="s">
        <v>49944</v>
      </c>
      <c r="V313" t="s">
        <v>62656</v>
      </c>
      <c r="W313" t="s">
        <v>43170</v>
      </c>
      <c r="X313" t="s">
        <v>47430</v>
      </c>
    </row>
    <row r="314" spans="1:24">
      <c r="A314">
        <f>HYPERLINK("https://www.philgeps.gov.ph/GEPSNONPILOT/Tender/SplashBidNoticeAbstractUI.aspx?menuIndex=3&amp;refID=7162477&amp;Result=3","7162477")</f>
        <v>0</v>
      </c>
      <c r="B314" t="s">
        <v>145</v>
      </c>
      <c r="C314" t="s">
        <v>4234</v>
      </c>
      <c r="D314" t="s">
        <v>19048</v>
      </c>
      <c r="E314" t="s">
        <v>19429</v>
      </c>
      <c r="F314" t="s">
        <v>32831</v>
      </c>
      <c r="G314" t="s">
        <v>32839</v>
      </c>
      <c r="H314" t="s">
        <v>32848</v>
      </c>
      <c r="I314" t="s">
        <v>32857</v>
      </c>
      <c r="J314" t="s">
        <v>33229</v>
      </c>
      <c r="K314" t="s">
        <v>42731</v>
      </c>
      <c r="L314" t="s">
        <v>145</v>
      </c>
      <c r="M314" t="s">
        <v>43142</v>
      </c>
      <c r="N314" t="s">
        <v>47424</v>
      </c>
      <c r="O314" t="s">
        <v>47425</v>
      </c>
      <c r="P314">
        <v>0</v>
      </c>
      <c r="Q314">
        <v>8</v>
      </c>
      <c r="R314" t="s">
        <v>47426</v>
      </c>
      <c r="S314" t="s">
        <v>47531</v>
      </c>
      <c r="T314" t="s">
        <v>49069</v>
      </c>
      <c r="U314" t="s">
        <v>49945</v>
      </c>
      <c r="V314" t="s">
        <v>62648</v>
      </c>
      <c r="W314" t="s">
        <v>43142</v>
      </c>
      <c r="X314" t="s">
        <v>47430</v>
      </c>
    </row>
    <row r="315" spans="1:24">
      <c r="A315">
        <f>HYPERLINK("https://www.philgeps.gov.ph/GEPSNONPILOT/Tender/SplashBidNoticeAbstractUI.aspx?menuIndex=3&amp;refID=7162460&amp;Result=3","7162460")</f>
        <v>0</v>
      </c>
      <c r="B315" t="s">
        <v>157</v>
      </c>
      <c r="C315" t="s">
        <v>4235</v>
      </c>
      <c r="D315" t="s">
        <v>19069</v>
      </c>
      <c r="E315" t="s">
        <v>19430</v>
      </c>
      <c r="F315" t="s">
        <v>32831</v>
      </c>
      <c r="G315" t="s">
        <v>32839</v>
      </c>
      <c r="H315" t="s">
        <v>32849</v>
      </c>
      <c r="I315" t="s">
        <v>32852</v>
      </c>
      <c r="J315" t="s">
        <v>33230</v>
      </c>
      <c r="K315" t="s">
        <v>42763</v>
      </c>
      <c r="M315" t="s">
        <v>43154</v>
      </c>
      <c r="N315" t="s">
        <v>47424</v>
      </c>
      <c r="O315" t="s">
        <v>47425</v>
      </c>
      <c r="P315">
        <v>0</v>
      </c>
      <c r="Q315">
        <v>1</v>
      </c>
      <c r="R315" t="s">
        <v>47426</v>
      </c>
      <c r="S315" t="s">
        <v>47531</v>
      </c>
      <c r="T315" t="s">
        <v>49065</v>
      </c>
      <c r="U315" t="s">
        <v>49946</v>
      </c>
      <c r="W315" t="s">
        <v>43154</v>
      </c>
      <c r="X315" t="s">
        <v>47430</v>
      </c>
    </row>
    <row r="316" spans="1:24">
      <c r="A316">
        <f>HYPERLINK("https://www.philgeps.gov.ph/GEPSNONPILOT/Tender/SplashBidNoticeAbstractUI.aspx?menuIndex=3&amp;refID=7162537&amp;Result=3","7162537")</f>
        <v>0</v>
      </c>
      <c r="B316" t="s">
        <v>99</v>
      </c>
      <c r="C316" t="s">
        <v>4236</v>
      </c>
      <c r="D316" t="s">
        <v>19054</v>
      </c>
      <c r="E316" t="s">
        <v>19431</v>
      </c>
      <c r="F316" t="s">
        <v>32831</v>
      </c>
      <c r="G316" t="s">
        <v>32839</v>
      </c>
      <c r="H316" t="s">
        <v>32848</v>
      </c>
      <c r="I316" t="s">
        <v>7416</v>
      </c>
      <c r="J316" t="s">
        <v>33231</v>
      </c>
      <c r="K316" t="s">
        <v>42730</v>
      </c>
      <c r="M316" t="s">
        <v>43171</v>
      </c>
      <c r="N316" t="s">
        <v>47424</v>
      </c>
      <c r="O316" t="s">
        <v>47425</v>
      </c>
      <c r="P316">
        <v>0</v>
      </c>
      <c r="Q316">
        <v>0</v>
      </c>
      <c r="R316" t="s">
        <v>47426</v>
      </c>
      <c r="S316" t="s">
        <v>47531</v>
      </c>
      <c r="T316" t="s">
        <v>49069</v>
      </c>
      <c r="U316" t="s">
        <v>49821</v>
      </c>
      <c r="V316" t="s">
        <v>62643</v>
      </c>
      <c r="W316" t="s">
        <v>43171</v>
      </c>
      <c r="X316" t="s">
        <v>47430</v>
      </c>
    </row>
    <row r="317" spans="1:24">
      <c r="A317">
        <f>HYPERLINK("https://www.philgeps.gov.ph/GEPSNONPILOT/Tender/SplashBidNoticeAbstractUI.aspx?menuIndex=3&amp;refID=7162533&amp;Result=3","7162533")</f>
        <v>0</v>
      </c>
      <c r="B317" t="s">
        <v>174</v>
      </c>
      <c r="C317" t="s">
        <v>4237</v>
      </c>
      <c r="D317" t="s">
        <v>19019</v>
      </c>
      <c r="E317" t="s">
        <v>19432</v>
      </c>
      <c r="F317" t="s">
        <v>32831</v>
      </c>
      <c r="G317" t="s">
        <v>32838</v>
      </c>
      <c r="H317" t="s">
        <v>32848</v>
      </c>
      <c r="I317" t="s">
        <v>32884</v>
      </c>
      <c r="J317" t="s">
        <v>33232</v>
      </c>
      <c r="K317" t="s">
        <v>42730</v>
      </c>
      <c r="M317" t="s">
        <v>43172</v>
      </c>
      <c r="N317" t="s">
        <v>47424</v>
      </c>
      <c r="O317" t="s">
        <v>47425</v>
      </c>
      <c r="P317">
        <v>0</v>
      </c>
      <c r="Q317">
        <v>4</v>
      </c>
      <c r="R317" t="s">
        <v>47426</v>
      </c>
      <c r="S317" t="s">
        <v>47531</v>
      </c>
      <c r="T317" t="s">
        <v>49138</v>
      </c>
      <c r="U317" t="s">
        <v>49947</v>
      </c>
      <c r="W317" t="s">
        <v>43172</v>
      </c>
      <c r="X317" t="s">
        <v>47430</v>
      </c>
    </row>
    <row r="318" spans="1:24">
      <c r="A318">
        <f>HYPERLINK("https://www.philgeps.gov.ph/GEPSNONPILOT/Tender/SplashBidNoticeAbstractUI.aspx?menuIndex=3&amp;refID=7162481&amp;Result=3","7162481")</f>
        <v>0</v>
      </c>
      <c r="B318" t="s">
        <v>175</v>
      </c>
      <c r="C318" t="s">
        <v>4238</v>
      </c>
      <c r="D318" t="s">
        <v>19021</v>
      </c>
      <c r="E318" t="s">
        <v>19418</v>
      </c>
      <c r="F318" t="s">
        <v>32831</v>
      </c>
      <c r="G318" t="s">
        <v>32839</v>
      </c>
      <c r="H318" t="s">
        <v>32848</v>
      </c>
      <c r="I318" t="s">
        <v>7416</v>
      </c>
      <c r="J318" t="s">
        <v>33233</v>
      </c>
      <c r="K318" t="s">
        <v>42727</v>
      </c>
      <c r="M318" t="s">
        <v>43173</v>
      </c>
      <c r="N318" t="s">
        <v>47424</v>
      </c>
      <c r="O318" t="s">
        <v>47425</v>
      </c>
      <c r="P318">
        <v>0</v>
      </c>
      <c r="Q318">
        <v>0</v>
      </c>
      <c r="R318" t="s">
        <v>47426</v>
      </c>
      <c r="S318" t="s">
        <v>47531</v>
      </c>
      <c r="T318" t="s">
        <v>49105</v>
      </c>
      <c r="U318" t="s">
        <v>49935</v>
      </c>
      <c r="W318" t="s">
        <v>43173</v>
      </c>
      <c r="X318" t="s">
        <v>47430</v>
      </c>
    </row>
    <row r="319" spans="1:24">
      <c r="A319">
        <f>HYPERLINK("https://www.philgeps.gov.ph/GEPSNONPILOT/Tender/SplashBidNoticeAbstractUI.aspx?menuIndex=3&amp;refID=7162530&amp;Result=3","7162530")</f>
        <v>0</v>
      </c>
      <c r="B319" t="s">
        <v>170</v>
      </c>
      <c r="C319" t="s">
        <v>4239</v>
      </c>
      <c r="D319" t="s">
        <v>19046</v>
      </c>
      <c r="E319" t="s">
        <v>19433</v>
      </c>
      <c r="F319" t="s">
        <v>32831</v>
      </c>
      <c r="G319" t="s">
        <v>32839</v>
      </c>
      <c r="H319" t="s">
        <v>32849</v>
      </c>
      <c r="I319" t="s">
        <v>7416</v>
      </c>
      <c r="J319" t="s">
        <v>33072</v>
      </c>
      <c r="K319" t="s">
        <v>42733</v>
      </c>
      <c r="M319" t="s">
        <v>43167</v>
      </c>
      <c r="N319" t="s">
        <v>47424</v>
      </c>
      <c r="O319" t="s">
        <v>47425</v>
      </c>
      <c r="P319">
        <v>0</v>
      </c>
      <c r="Q319">
        <v>0</v>
      </c>
      <c r="R319" t="s">
        <v>47426</v>
      </c>
      <c r="S319" t="s">
        <v>47531</v>
      </c>
      <c r="T319" t="s">
        <v>49091</v>
      </c>
      <c r="U319" t="s">
        <v>49948</v>
      </c>
      <c r="W319" t="s">
        <v>43167</v>
      </c>
      <c r="X319" t="s">
        <v>47430</v>
      </c>
    </row>
    <row r="320" spans="1:24">
      <c r="A320">
        <f>HYPERLINK("https://www.philgeps.gov.ph/GEPSNONPILOT/Tender/SplashBidNoticeAbstractUI.aspx?menuIndex=3&amp;refID=7162589&amp;Result=3","7162589")</f>
        <v>0</v>
      </c>
      <c r="B320" t="s">
        <v>176</v>
      </c>
      <c r="C320" t="s">
        <v>4240</v>
      </c>
      <c r="D320" t="s">
        <v>19027</v>
      </c>
      <c r="E320" t="s">
        <v>19434</v>
      </c>
      <c r="F320" t="s">
        <v>32831</v>
      </c>
      <c r="G320" t="s">
        <v>32838</v>
      </c>
      <c r="H320" t="s">
        <v>32848</v>
      </c>
      <c r="I320" t="s">
        <v>9577</v>
      </c>
      <c r="J320" t="s">
        <v>33234</v>
      </c>
      <c r="K320" t="s">
        <v>42758</v>
      </c>
      <c r="M320" t="s">
        <v>43174</v>
      </c>
      <c r="N320" t="s">
        <v>47424</v>
      </c>
      <c r="O320" t="s">
        <v>47425</v>
      </c>
      <c r="P320">
        <v>0</v>
      </c>
      <c r="Q320">
        <v>1</v>
      </c>
      <c r="R320" t="s">
        <v>47426</v>
      </c>
      <c r="S320" t="s">
        <v>47531</v>
      </c>
      <c r="T320" t="s">
        <v>49056</v>
      </c>
      <c r="U320" t="s">
        <v>49949</v>
      </c>
      <c r="V320" t="s">
        <v>62657</v>
      </c>
      <c r="W320" t="s">
        <v>43174</v>
      </c>
      <c r="X320" t="s">
        <v>47430</v>
      </c>
    </row>
    <row r="321" spans="1:24">
      <c r="A321">
        <f>HYPERLINK("https://www.philgeps.gov.ph/GEPSNONPILOT/Tender/SplashBidNoticeAbstractUI.aspx?menuIndex=3&amp;refID=7162524&amp;Result=3","7162524")</f>
        <v>0</v>
      </c>
      <c r="B321" t="s">
        <v>177</v>
      </c>
      <c r="C321" t="s">
        <v>4241</v>
      </c>
      <c r="D321" t="s">
        <v>19073</v>
      </c>
      <c r="E321" t="s">
        <v>19183</v>
      </c>
      <c r="F321" t="s">
        <v>32833</v>
      </c>
      <c r="G321" t="s">
        <v>32839</v>
      </c>
      <c r="H321" t="s">
        <v>32849</v>
      </c>
      <c r="I321" t="s">
        <v>4177</v>
      </c>
      <c r="J321" t="s">
        <v>33235</v>
      </c>
      <c r="K321" t="s">
        <v>42727</v>
      </c>
      <c r="M321" t="s">
        <v>43175</v>
      </c>
      <c r="N321" t="s">
        <v>47424</v>
      </c>
      <c r="O321" t="s">
        <v>47425</v>
      </c>
      <c r="P321">
        <v>0</v>
      </c>
      <c r="Q321">
        <v>0</v>
      </c>
      <c r="R321" t="s">
        <v>47426</v>
      </c>
      <c r="S321" t="s">
        <v>47531</v>
      </c>
      <c r="T321" t="s">
        <v>49101</v>
      </c>
      <c r="U321" t="s">
        <v>49950</v>
      </c>
      <c r="V321" t="s">
        <v>49950</v>
      </c>
      <c r="W321" t="s">
        <v>43175</v>
      </c>
      <c r="X321" t="s">
        <v>47430</v>
      </c>
    </row>
    <row r="322" spans="1:24">
      <c r="A322">
        <f>HYPERLINK("https://www.philgeps.gov.ph/GEPSNONPILOT/Tender/SplashBidNoticeAbstractUI.aspx?menuIndex=3&amp;refID=7162604&amp;Result=3","7162604")</f>
        <v>0</v>
      </c>
      <c r="B322" t="s">
        <v>73</v>
      </c>
      <c r="C322" t="s">
        <v>4242</v>
      </c>
      <c r="D322" t="s">
        <v>19044</v>
      </c>
      <c r="E322" t="s">
        <v>19435</v>
      </c>
      <c r="F322" t="s">
        <v>32831</v>
      </c>
      <c r="G322" t="s">
        <v>32839</v>
      </c>
      <c r="H322" t="s">
        <v>32849</v>
      </c>
      <c r="I322" t="s">
        <v>4177</v>
      </c>
      <c r="J322" t="s">
        <v>32978</v>
      </c>
      <c r="K322" t="s">
        <v>42747</v>
      </c>
      <c r="M322" t="s">
        <v>43070</v>
      </c>
      <c r="N322" t="s">
        <v>47424</v>
      </c>
      <c r="O322" t="s">
        <v>47425</v>
      </c>
      <c r="P322">
        <v>0</v>
      </c>
      <c r="Q322">
        <v>0</v>
      </c>
      <c r="R322" t="s">
        <v>47426</v>
      </c>
      <c r="S322" t="s">
        <v>47531</v>
      </c>
      <c r="T322" t="s">
        <v>49139</v>
      </c>
      <c r="U322" t="s">
        <v>49765</v>
      </c>
      <c r="V322" t="s">
        <v>49765</v>
      </c>
      <c r="W322" t="s">
        <v>43070</v>
      </c>
      <c r="X322" t="s">
        <v>47430</v>
      </c>
    </row>
    <row r="323" spans="1:24">
      <c r="A323">
        <f>HYPERLINK("https://www.philgeps.gov.ph/GEPSNONPILOT/Tender/SplashBidNoticeAbstractUI.aspx?menuIndex=3&amp;refID=7162603&amp;Result=3","7162603")</f>
        <v>0</v>
      </c>
      <c r="B323" t="s">
        <v>92</v>
      </c>
      <c r="C323" t="s">
        <v>4243</v>
      </c>
      <c r="D323" t="s">
        <v>19051</v>
      </c>
      <c r="E323" t="s">
        <v>19260</v>
      </c>
      <c r="F323" t="s">
        <v>32831</v>
      </c>
      <c r="G323" t="s">
        <v>32839</v>
      </c>
      <c r="H323" t="s">
        <v>32849</v>
      </c>
      <c r="I323" t="s">
        <v>4177</v>
      </c>
      <c r="J323" t="s">
        <v>33236</v>
      </c>
      <c r="K323" t="s">
        <v>42732</v>
      </c>
      <c r="M323" t="s">
        <v>43089</v>
      </c>
      <c r="N323" t="s">
        <v>47424</v>
      </c>
      <c r="O323" t="s">
        <v>47425</v>
      </c>
      <c r="P323">
        <v>0</v>
      </c>
      <c r="Q323">
        <v>0</v>
      </c>
      <c r="R323" t="s">
        <v>47426</v>
      </c>
      <c r="S323" t="s">
        <v>47531</v>
      </c>
      <c r="T323" t="s">
        <v>49065</v>
      </c>
      <c r="U323" t="s">
        <v>49951</v>
      </c>
      <c r="V323" t="s">
        <v>62640</v>
      </c>
      <c r="W323" t="s">
        <v>43089</v>
      </c>
      <c r="X323" t="s">
        <v>47430</v>
      </c>
    </row>
    <row r="324" spans="1:24">
      <c r="A324">
        <f>HYPERLINK("https://www.philgeps.gov.ph/GEPSNONPILOT/Tender/SplashBidNoticeAbstractUI.aspx?menuIndex=3&amp;refID=7162602&amp;Result=3","7162602")</f>
        <v>0</v>
      </c>
      <c r="B324" t="s">
        <v>170</v>
      </c>
      <c r="C324" t="s">
        <v>4244</v>
      </c>
      <c r="D324" t="s">
        <v>19046</v>
      </c>
      <c r="E324" t="s">
        <v>19436</v>
      </c>
      <c r="F324" t="s">
        <v>32831</v>
      </c>
      <c r="G324" t="s">
        <v>32839</v>
      </c>
      <c r="H324" t="s">
        <v>32849</v>
      </c>
      <c r="I324" t="s">
        <v>4177</v>
      </c>
      <c r="J324" t="s">
        <v>33237</v>
      </c>
      <c r="K324" t="s">
        <v>42769</v>
      </c>
      <c r="M324" t="s">
        <v>43167</v>
      </c>
      <c r="N324" t="s">
        <v>47424</v>
      </c>
      <c r="O324" t="s">
        <v>47425</v>
      </c>
      <c r="P324">
        <v>0</v>
      </c>
      <c r="Q324">
        <v>0</v>
      </c>
      <c r="R324" t="s">
        <v>47426</v>
      </c>
      <c r="S324" t="s">
        <v>47531</v>
      </c>
      <c r="T324" t="s">
        <v>49140</v>
      </c>
      <c r="U324" t="s">
        <v>49952</v>
      </c>
      <c r="W324" t="s">
        <v>43167</v>
      </c>
      <c r="X324" t="s">
        <v>47430</v>
      </c>
    </row>
    <row r="325" spans="1:24">
      <c r="A325">
        <f>HYPERLINK("https://www.philgeps.gov.ph/GEPSNONPILOT/Tender/SplashBidNoticeAbstractUI.aspx?menuIndex=3&amp;refID=7162597&amp;Result=3","7162597")</f>
        <v>0</v>
      </c>
      <c r="B325" t="s">
        <v>178</v>
      </c>
      <c r="C325" t="s">
        <v>4245</v>
      </c>
      <c r="D325" t="s">
        <v>19074</v>
      </c>
      <c r="E325" t="s">
        <v>19437</v>
      </c>
      <c r="F325" t="s">
        <v>32831</v>
      </c>
      <c r="G325" t="s">
        <v>32840</v>
      </c>
      <c r="H325" t="s">
        <v>32848</v>
      </c>
      <c r="I325" t="s">
        <v>6526</v>
      </c>
      <c r="J325" t="s">
        <v>33044</v>
      </c>
      <c r="K325" t="s">
        <v>42758</v>
      </c>
      <c r="M325" t="s">
        <v>43176</v>
      </c>
      <c r="N325" t="s">
        <v>47424</v>
      </c>
      <c r="O325" t="s">
        <v>47425</v>
      </c>
      <c r="P325">
        <v>0</v>
      </c>
      <c r="Q325">
        <v>1</v>
      </c>
      <c r="R325" t="s">
        <v>47426</v>
      </c>
      <c r="S325" t="s">
        <v>47531</v>
      </c>
      <c r="T325" t="s">
        <v>49141</v>
      </c>
      <c r="U325" t="s">
        <v>49953</v>
      </c>
      <c r="W325" t="s">
        <v>43176</v>
      </c>
      <c r="X325" t="s">
        <v>47430</v>
      </c>
    </row>
    <row r="326" spans="1:24">
      <c r="A326">
        <f>HYPERLINK("https://www.philgeps.gov.ph/GEPSNONPILOT/Tender/SplashBidNoticeAbstractUI.aspx?menuIndex=3&amp;refID=7162588&amp;Result=3","7162588")</f>
        <v>0</v>
      </c>
      <c r="B326" t="s">
        <v>179</v>
      </c>
      <c r="C326" t="s">
        <v>4246</v>
      </c>
      <c r="D326" t="s">
        <v>19062</v>
      </c>
      <c r="E326" t="s">
        <v>19438</v>
      </c>
      <c r="F326" t="s">
        <v>32831</v>
      </c>
      <c r="G326" t="s">
        <v>32838</v>
      </c>
      <c r="H326" t="s">
        <v>32848</v>
      </c>
      <c r="I326" t="s">
        <v>4558</v>
      </c>
      <c r="J326" t="s">
        <v>33238</v>
      </c>
      <c r="K326" t="s">
        <v>42731</v>
      </c>
      <c r="M326" t="s">
        <v>43177</v>
      </c>
      <c r="N326" t="s">
        <v>47424</v>
      </c>
      <c r="O326" t="s">
        <v>47425</v>
      </c>
      <c r="P326">
        <v>0</v>
      </c>
      <c r="Q326">
        <v>1</v>
      </c>
      <c r="R326" t="s">
        <v>47426</v>
      </c>
      <c r="S326" t="s">
        <v>47531</v>
      </c>
      <c r="T326" t="s">
        <v>49089</v>
      </c>
      <c r="U326" t="s">
        <v>49954</v>
      </c>
      <c r="W326" t="s">
        <v>43177</v>
      </c>
      <c r="X326" t="s">
        <v>47430</v>
      </c>
    </row>
    <row r="327" spans="1:24">
      <c r="A327">
        <f>HYPERLINK("https://www.philgeps.gov.ph/GEPSNONPILOT/Tender/SplashBidNoticeAbstractUI.aspx?menuIndex=3&amp;refID=7162586&amp;Result=3","7162586")</f>
        <v>0</v>
      </c>
      <c r="B327" t="s">
        <v>180</v>
      </c>
      <c r="C327" t="s">
        <v>4247</v>
      </c>
      <c r="D327" t="s">
        <v>19021</v>
      </c>
      <c r="E327" t="s">
        <v>19439</v>
      </c>
      <c r="F327" t="s">
        <v>32831</v>
      </c>
      <c r="G327" t="s">
        <v>32839</v>
      </c>
      <c r="H327" t="s">
        <v>32848</v>
      </c>
      <c r="I327" t="s">
        <v>32863</v>
      </c>
      <c r="J327" t="s">
        <v>33118</v>
      </c>
      <c r="K327" t="s">
        <v>42732</v>
      </c>
      <c r="M327" t="s">
        <v>43178</v>
      </c>
      <c r="N327" t="s">
        <v>47424</v>
      </c>
      <c r="O327" t="s">
        <v>47425</v>
      </c>
      <c r="P327">
        <v>0</v>
      </c>
      <c r="Q327">
        <v>2</v>
      </c>
      <c r="R327" t="s">
        <v>47426</v>
      </c>
      <c r="S327" t="s">
        <v>47531</v>
      </c>
      <c r="T327" t="s">
        <v>49090</v>
      </c>
      <c r="U327" t="s">
        <v>49955</v>
      </c>
      <c r="W327" t="s">
        <v>43178</v>
      </c>
      <c r="X327" t="s">
        <v>47430</v>
      </c>
    </row>
    <row r="328" spans="1:24">
      <c r="A328">
        <f>HYPERLINK("https://www.philgeps.gov.ph/GEPSNONPILOT/Tender/SplashBidNoticeAbstractUI.aspx?menuIndex=3&amp;refID=7162580&amp;Result=3","7162580")</f>
        <v>0</v>
      </c>
      <c r="B328" t="s">
        <v>181</v>
      </c>
      <c r="C328" t="s">
        <v>4248</v>
      </c>
      <c r="D328" t="s">
        <v>19027</v>
      </c>
      <c r="E328" t="s">
        <v>19440</v>
      </c>
      <c r="F328" t="s">
        <v>32831</v>
      </c>
      <c r="G328" t="s">
        <v>32839</v>
      </c>
      <c r="H328" t="s">
        <v>32848</v>
      </c>
      <c r="I328" t="s">
        <v>32885</v>
      </c>
      <c r="J328" t="s">
        <v>33239</v>
      </c>
      <c r="K328" t="s">
        <v>42729</v>
      </c>
      <c r="M328" t="s">
        <v>43179</v>
      </c>
      <c r="N328" t="s">
        <v>47424</v>
      </c>
      <c r="O328" t="s">
        <v>47425</v>
      </c>
      <c r="P328">
        <v>0</v>
      </c>
      <c r="Q328">
        <v>1</v>
      </c>
      <c r="R328" t="s">
        <v>47426</v>
      </c>
      <c r="S328" t="s">
        <v>47531</v>
      </c>
      <c r="T328" t="s">
        <v>49140</v>
      </c>
      <c r="U328" t="s">
        <v>49956</v>
      </c>
      <c r="W328" t="s">
        <v>43179</v>
      </c>
      <c r="X328" t="s">
        <v>47430</v>
      </c>
    </row>
    <row r="329" spans="1:24">
      <c r="A329">
        <f>HYPERLINK("https://www.philgeps.gov.ph/GEPSNONPILOT/Tender/SplashBidNoticeAbstractUI.aspx?menuIndex=3&amp;refID=7162469&amp;Result=3","7162469")</f>
        <v>0</v>
      </c>
      <c r="B329" t="s">
        <v>99</v>
      </c>
      <c r="C329" t="s">
        <v>4249</v>
      </c>
      <c r="D329" t="s">
        <v>19054</v>
      </c>
      <c r="E329" t="s">
        <v>19441</v>
      </c>
      <c r="F329" t="s">
        <v>32831</v>
      </c>
      <c r="G329" t="s">
        <v>32839</v>
      </c>
      <c r="H329" t="s">
        <v>32848</v>
      </c>
      <c r="I329" t="s">
        <v>7416</v>
      </c>
      <c r="J329" t="s">
        <v>33240</v>
      </c>
      <c r="K329" t="s">
        <v>42730</v>
      </c>
      <c r="M329" t="s">
        <v>43096</v>
      </c>
      <c r="N329" t="s">
        <v>47424</v>
      </c>
      <c r="O329" t="s">
        <v>47425</v>
      </c>
      <c r="P329">
        <v>0</v>
      </c>
      <c r="Q329">
        <v>0</v>
      </c>
      <c r="R329" t="s">
        <v>47426</v>
      </c>
      <c r="S329" t="s">
        <v>47531</v>
      </c>
      <c r="T329" t="s">
        <v>49069</v>
      </c>
      <c r="U329" t="s">
        <v>49821</v>
      </c>
      <c r="V329" t="s">
        <v>62643</v>
      </c>
      <c r="W329" t="s">
        <v>43096</v>
      </c>
      <c r="X329" t="s">
        <v>47430</v>
      </c>
    </row>
    <row r="330" spans="1:24">
      <c r="A330">
        <f>HYPERLINK("https://www.philgeps.gov.ph/GEPSNONPILOT/Tender/SplashBidNoticeAbstractUI.aspx?menuIndex=3&amp;refID=7162574&amp;Result=3","7162574")</f>
        <v>0</v>
      </c>
      <c r="B330" t="s">
        <v>174</v>
      </c>
      <c r="C330" t="s">
        <v>4250</v>
      </c>
      <c r="D330" t="s">
        <v>19019</v>
      </c>
      <c r="E330" t="s">
        <v>19442</v>
      </c>
      <c r="F330" t="s">
        <v>32831</v>
      </c>
      <c r="G330" t="s">
        <v>32839</v>
      </c>
      <c r="H330" t="s">
        <v>32848</v>
      </c>
      <c r="I330" t="s">
        <v>32857</v>
      </c>
      <c r="J330" t="s">
        <v>33241</v>
      </c>
      <c r="K330" t="s">
        <v>42730</v>
      </c>
      <c r="M330" t="s">
        <v>43172</v>
      </c>
      <c r="N330" t="s">
        <v>47424</v>
      </c>
      <c r="O330" t="s">
        <v>47425</v>
      </c>
      <c r="P330">
        <v>0</v>
      </c>
      <c r="Q330">
        <v>13</v>
      </c>
      <c r="R330" t="s">
        <v>47426</v>
      </c>
      <c r="S330" t="s">
        <v>47531</v>
      </c>
      <c r="T330" t="s">
        <v>49138</v>
      </c>
      <c r="U330" t="s">
        <v>49957</v>
      </c>
      <c r="W330" t="s">
        <v>43172</v>
      </c>
      <c r="X330" t="s">
        <v>47430</v>
      </c>
    </row>
    <row r="331" spans="1:24">
      <c r="A331">
        <f>HYPERLINK("https://www.philgeps.gov.ph/GEPSNONPILOT/Tender/SplashBidNoticeAbstractUI.aspx?menuIndex=3&amp;refID=7162482&amp;Result=3","7162482")</f>
        <v>0</v>
      </c>
      <c r="B331" t="s">
        <v>160</v>
      </c>
      <c r="C331" t="s">
        <v>4251</v>
      </c>
      <c r="D331" t="s">
        <v>19075</v>
      </c>
      <c r="E331" t="s">
        <v>19443</v>
      </c>
      <c r="F331" t="s">
        <v>32831</v>
      </c>
      <c r="G331" t="s">
        <v>32838</v>
      </c>
      <c r="H331" t="s">
        <v>32848</v>
      </c>
      <c r="I331" t="s">
        <v>32886</v>
      </c>
      <c r="J331" t="s">
        <v>33242</v>
      </c>
      <c r="K331" t="s">
        <v>42730</v>
      </c>
      <c r="M331" t="s">
        <v>43157</v>
      </c>
      <c r="N331" t="s">
        <v>47424</v>
      </c>
      <c r="O331" t="s">
        <v>47425</v>
      </c>
      <c r="P331">
        <v>0</v>
      </c>
      <c r="Q331">
        <v>8</v>
      </c>
      <c r="R331" t="s">
        <v>47426</v>
      </c>
      <c r="S331" t="s">
        <v>47531</v>
      </c>
      <c r="T331" t="s">
        <v>49064</v>
      </c>
      <c r="U331" t="s">
        <v>49926</v>
      </c>
      <c r="W331" t="s">
        <v>43157</v>
      </c>
      <c r="X331" t="s">
        <v>47430</v>
      </c>
    </row>
    <row r="332" spans="1:24">
      <c r="A332">
        <f>HYPERLINK("https://www.philgeps.gov.ph/GEPSNONPILOT/Tender/SplashBidNoticeAbstractUI.aspx?menuIndex=3&amp;refID=7162587&amp;Result=3","7162587")</f>
        <v>0</v>
      </c>
      <c r="B332" t="s">
        <v>171</v>
      </c>
      <c r="C332" t="s">
        <v>4252</v>
      </c>
      <c r="D332" t="s">
        <v>19076</v>
      </c>
      <c r="E332" t="s">
        <v>19444</v>
      </c>
      <c r="F332" t="s">
        <v>32831</v>
      </c>
      <c r="G332" t="s">
        <v>32838</v>
      </c>
      <c r="H332" t="s">
        <v>32848</v>
      </c>
      <c r="I332" t="s">
        <v>32887</v>
      </c>
      <c r="J332" t="s">
        <v>33243</v>
      </c>
      <c r="K332" t="s">
        <v>42730</v>
      </c>
      <c r="M332" t="s">
        <v>43168</v>
      </c>
      <c r="N332" t="s">
        <v>47424</v>
      </c>
      <c r="O332" t="s">
        <v>47425</v>
      </c>
      <c r="P332">
        <v>0</v>
      </c>
      <c r="Q332">
        <v>0</v>
      </c>
      <c r="R332" t="s">
        <v>47426</v>
      </c>
      <c r="S332" t="s">
        <v>47531</v>
      </c>
      <c r="T332" t="s">
        <v>49125</v>
      </c>
      <c r="U332" t="s">
        <v>49958</v>
      </c>
      <c r="W332" t="s">
        <v>64432</v>
      </c>
      <c r="X332" t="s">
        <v>47430</v>
      </c>
    </row>
    <row r="333" spans="1:24">
      <c r="A333">
        <f>HYPERLINK("https://www.philgeps.gov.ph/GEPSNONPILOT/Tender/SplashBidNoticeAbstractUI.aspx?menuIndex=3&amp;refID=7162561&amp;Result=3","7162561")</f>
        <v>0</v>
      </c>
      <c r="B333" t="s">
        <v>99</v>
      </c>
      <c r="C333" t="s">
        <v>4253</v>
      </c>
      <c r="D333" t="s">
        <v>19054</v>
      </c>
      <c r="E333" t="s">
        <v>19445</v>
      </c>
      <c r="F333" t="s">
        <v>32831</v>
      </c>
      <c r="G333" t="s">
        <v>32839</v>
      </c>
      <c r="H333" t="s">
        <v>32848</v>
      </c>
      <c r="I333" t="s">
        <v>7416</v>
      </c>
      <c r="J333" t="s">
        <v>33244</v>
      </c>
      <c r="K333" t="s">
        <v>42730</v>
      </c>
      <c r="M333" t="s">
        <v>43171</v>
      </c>
      <c r="N333" t="s">
        <v>47424</v>
      </c>
      <c r="O333" t="s">
        <v>47425</v>
      </c>
      <c r="P333">
        <v>0</v>
      </c>
      <c r="Q333">
        <v>0</v>
      </c>
      <c r="R333" t="s">
        <v>47426</v>
      </c>
      <c r="S333" t="s">
        <v>47531</v>
      </c>
      <c r="T333" t="s">
        <v>49069</v>
      </c>
      <c r="U333" t="s">
        <v>49821</v>
      </c>
      <c r="V333" t="s">
        <v>62643</v>
      </c>
      <c r="W333" t="s">
        <v>43171</v>
      </c>
      <c r="X333" t="s">
        <v>47430</v>
      </c>
    </row>
    <row r="334" spans="1:24">
      <c r="A334">
        <f>HYPERLINK("https://www.philgeps.gov.ph/GEPSNONPILOT/Tender/SplashBidNoticeAbstractUI.aspx?menuIndex=3&amp;refID=7162548&amp;Result=3","7162548")</f>
        <v>0</v>
      </c>
      <c r="B334" t="s">
        <v>99</v>
      </c>
      <c r="C334" t="s">
        <v>4254</v>
      </c>
      <c r="D334" t="s">
        <v>19054</v>
      </c>
      <c r="E334" t="s">
        <v>19446</v>
      </c>
      <c r="F334" t="s">
        <v>32831</v>
      </c>
      <c r="G334" t="s">
        <v>32839</v>
      </c>
      <c r="H334" t="s">
        <v>32848</v>
      </c>
      <c r="I334" t="s">
        <v>7416</v>
      </c>
      <c r="J334" t="s">
        <v>33245</v>
      </c>
      <c r="K334" t="s">
        <v>42730</v>
      </c>
      <c r="M334" t="s">
        <v>43171</v>
      </c>
      <c r="N334" t="s">
        <v>47424</v>
      </c>
      <c r="O334" t="s">
        <v>47425</v>
      </c>
      <c r="P334">
        <v>0</v>
      </c>
      <c r="Q334">
        <v>0</v>
      </c>
      <c r="R334" t="s">
        <v>47426</v>
      </c>
      <c r="S334" t="s">
        <v>47531</v>
      </c>
      <c r="T334" t="s">
        <v>49069</v>
      </c>
      <c r="U334" t="s">
        <v>49821</v>
      </c>
      <c r="V334" t="s">
        <v>62643</v>
      </c>
      <c r="W334" t="s">
        <v>43171</v>
      </c>
      <c r="X334" t="s">
        <v>47430</v>
      </c>
    </row>
    <row r="335" spans="1:24">
      <c r="A335">
        <f>HYPERLINK("https://www.philgeps.gov.ph/GEPSNONPILOT/Tender/SplashBidNoticeAbstractUI.aspx?menuIndex=3&amp;refID=7162598&amp;Result=3","7162598")</f>
        <v>0</v>
      </c>
      <c r="B335" t="s">
        <v>182</v>
      </c>
      <c r="C335" t="s">
        <v>4255</v>
      </c>
      <c r="D335" t="s">
        <v>19057</v>
      </c>
      <c r="E335" t="s">
        <v>19447</v>
      </c>
      <c r="F335" t="s">
        <v>32831</v>
      </c>
      <c r="G335" t="s">
        <v>32839</v>
      </c>
      <c r="H335" t="s">
        <v>32849</v>
      </c>
      <c r="I335" t="s">
        <v>4177</v>
      </c>
      <c r="J335" t="s">
        <v>33246</v>
      </c>
      <c r="K335" t="s">
        <v>42746</v>
      </c>
      <c r="M335" t="s">
        <v>43180</v>
      </c>
      <c r="N335" t="s">
        <v>47424</v>
      </c>
      <c r="O335" t="s">
        <v>47425</v>
      </c>
      <c r="P335">
        <v>0</v>
      </c>
      <c r="Q335">
        <v>0</v>
      </c>
      <c r="R335" t="s">
        <v>47426</v>
      </c>
      <c r="S335" t="s">
        <v>47531</v>
      </c>
      <c r="T335" t="s">
        <v>49059</v>
      </c>
      <c r="U335" t="s">
        <v>49959</v>
      </c>
      <c r="W335" t="s">
        <v>43180</v>
      </c>
      <c r="X335" t="s">
        <v>47430</v>
      </c>
    </row>
    <row r="336" spans="1:24">
      <c r="A336">
        <f>HYPERLINK("https://www.philgeps.gov.ph/GEPSNONPILOT/Tender/SplashBidNoticeAbstractUI.aspx?menuIndex=3&amp;refID=7162540&amp;Result=3","7162540")</f>
        <v>0</v>
      </c>
      <c r="B336" t="s">
        <v>172</v>
      </c>
      <c r="C336" t="s">
        <v>4256</v>
      </c>
      <c r="D336" t="s">
        <v>19022</v>
      </c>
      <c r="E336" t="s">
        <v>19448</v>
      </c>
      <c r="F336" t="s">
        <v>32831</v>
      </c>
      <c r="G336" t="s">
        <v>32838</v>
      </c>
      <c r="H336" t="s">
        <v>32848</v>
      </c>
      <c r="I336" t="s">
        <v>4558</v>
      </c>
      <c r="J336" t="s">
        <v>32983</v>
      </c>
      <c r="K336" t="s">
        <v>42726</v>
      </c>
      <c r="M336" t="s">
        <v>43169</v>
      </c>
      <c r="N336" t="s">
        <v>47424</v>
      </c>
      <c r="O336" t="s">
        <v>47425</v>
      </c>
      <c r="P336">
        <v>0</v>
      </c>
      <c r="Q336">
        <v>2</v>
      </c>
      <c r="R336" t="s">
        <v>47426</v>
      </c>
      <c r="S336" t="s">
        <v>47531</v>
      </c>
      <c r="T336" t="s">
        <v>49061</v>
      </c>
      <c r="U336" t="s">
        <v>49960</v>
      </c>
      <c r="V336" t="s">
        <v>62658</v>
      </c>
      <c r="W336" t="s">
        <v>43169</v>
      </c>
      <c r="X336" t="s">
        <v>47430</v>
      </c>
    </row>
    <row r="337" spans="1:24">
      <c r="A337">
        <f>HYPERLINK("https://www.philgeps.gov.ph/GEPSNONPILOT/Tender/SplashBidNoticeAbstractUI.aspx?menuIndex=3&amp;refID=7162564&amp;Result=3","7162564")</f>
        <v>0</v>
      </c>
      <c r="B337" t="s">
        <v>183</v>
      </c>
      <c r="C337" t="s">
        <v>4257</v>
      </c>
      <c r="D337" t="s">
        <v>19073</v>
      </c>
      <c r="E337" t="s">
        <v>19449</v>
      </c>
      <c r="F337" t="s">
        <v>32834</v>
      </c>
      <c r="G337" t="s">
        <v>32840</v>
      </c>
      <c r="H337" t="s">
        <v>32848</v>
      </c>
      <c r="I337" t="s">
        <v>9577</v>
      </c>
      <c r="J337" t="s">
        <v>33247</v>
      </c>
      <c r="K337" t="s">
        <v>42748</v>
      </c>
      <c r="M337" t="s">
        <v>43181</v>
      </c>
      <c r="N337" t="s">
        <v>47424</v>
      </c>
      <c r="O337" t="s">
        <v>47425</v>
      </c>
      <c r="P337">
        <v>0</v>
      </c>
      <c r="Q337">
        <v>1</v>
      </c>
      <c r="R337" t="s">
        <v>47426</v>
      </c>
      <c r="S337" t="s">
        <v>47531</v>
      </c>
      <c r="T337" t="s">
        <v>49119</v>
      </c>
      <c r="U337" t="s">
        <v>49961</v>
      </c>
      <c r="W337" t="s">
        <v>43181</v>
      </c>
      <c r="X337" t="s">
        <v>47430</v>
      </c>
    </row>
    <row r="338" spans="1:24">
      <c r="A338">
        <f>HYPERLINK("https://www.philgeps.gov.ph/GEPSNONPILOT/Tender/SplashBidNoticeAbstractUI.aspx?menuIndex=3&amp;refID=7162556&amp;Result=3","7162556")</f>
        <v>0</v>
      </c>
      <c r="B338" t="s">
        <v>171</v>
      </c>
      <c r="C338" t="s">
        <v>4258</v>
      </c>
      <c r="D338" t="s">
        <v>19077</v>
      </c>
      <c r="E338" t="s">
        <v>19450</v>
      </c>
      <c r="F338" t="s">
        <v>32831</v>
      </c>
      <c r="G338" t="s">
        <v>32838</v>
      </c>
      <c r="H338" t="s">
        <v>32848</v>
      </c>
      <c r="I338" t="s">
        <v>32859</v>
      </c>
      <c r="J338" t="s">
        <v>33248</v>
      </c>
      <c r="K338" t="s">
        <v>42730</v>
      </c>
      <c r="M338" t="s">
        <v>43168</v>
      </c>
      <c r="N338" t="s">
        <v>47424</v>
      </c>
      <c r="O338" t="s">
        <v>47425</v>
      </c>
      <c r="P338">
        <v>0</v>
      </c>
      <c r="Q338">
        <v>1</v>
      </c>
      <c r="R338" t="s">
        <v>47426</v>
      </c>
      <c r="S338" t="s">
        <v>47531</v>
      </c>
      <c r="T338" t="s">
        <v>49125</v>
      </c>
      <c r="U338" t="s">
        <v>49962</v>
      </c>
      <c r="W338" t="s">
        <v>64432</v>
      </c>
      <c r="X338" t="s">
        <v>47430</v>
      </c>
    </row>
    <row r="339" spans="1:24">
      <c r="A339">
        <f>HYPERLINK("https://www.philgeps.gov.ph/GEPSNONPILOT/Tender/SplashBidNoticeAbstractUI.aspx?menuIndex=3&amp;refID=7162546&amp;Result=3","7162546")</f>
        <v>0</v>
      </c>
      <c r="B339" t="s">
        <v>184</v>
      </c>
      <c r="C339" t="s">
        <v>4259</v>
      </c>
      <c r="D339" t="s">
        <v>19049</v>
      </c>
      <c r="E339" t="s">
        <v>19451</v>
      </c>
      <c r="F339" t="s">
        <v>32831</v>
      </c>
      <c r="G339" t="s">
        <v>32838</v>
      </c>
      <c r="H339" t="s">
        <v>32848</v>
      </c>
      <c r="I339" t="s">
        <v>32857</v>
      </c>
      <c r="J339" t="s">
        <v>33249</v>
      </c>
      <c r="K339" t="s">
        <v>42732</v>
      </c>
      <c r="M339" t="s">
        <v>43182</v>
      </c>
      <c r="N339" t="s">
        <v>47424</v>
      </c>
      <c r="O339" t="s">
        <v>47425</v>
      </c>
      <c r="P339">
        <v>0</v>
      </c>
      <c r="Q339">
        <v>3</v>
      </c>
      <c r="R339" t="s">
        <v>47426</v>
      </c>
      <c r="S339" t="s">
        <v>47531</v>
      </c>
      <c r="T339" t="s">
        <v>49056</v>
      </c>
      <c r="U339" t="s">
        <v>49963</v>
      </c>
      <c r="W339" t="s">
        <v>43182</v>
      </c>
      <c r="X339" t="s">
        <v>47430</v>
      </c>
    </row>
    <row r="340" spans="1:24">
      <c r="A340">
        <f>HYPERLINK("https://www.philgeps.gov.ph/GEPSNONPILOT/Tender/SplashBidNoticeAbstractUI.aspx?menuIndex=3&amp;refID=7162529&amp;Result=3","7162529")</f>
        <v>0</v>
      </c>
      <c r="B340" t="s">
        <v>185</v>
      </c>
      <c r="C340" t="s">
        <v>4260</v>
      </c>
      <c r="D340" t="s">
        <v>19057</v>
      </c>
      <c r="E340" t="s">
        <v>19452</v>
      </c>
      <c r="F340" t="s">
        <v>32831</v>
      </c>
      <c r="G340" t="s">
        <v>32840</v>
      </c>
      <c r="H340" t="s">
        <v>32848</v>
      </c>
      <c r="I340" t="s">
        <v>32858</v>
      </c>
      <c r="J340" t="s">
        <v>33250</v>
      </c>
      <c r="K340" t="s">
        <v>42727</v>
      </c>
      <c r="M340" t="s">
        <v>43183</v>
      </c>
      <c r="N340" t="s">
        <v>47424</v>
      </c>
      <c r="O340" t="s">
        <v>47425</v>
      </c>
      <c r="P340">
        <v>0</v>
      </c>
      <c r="Q340">
        <v>1</v>
      </c>
      <c r="R340" t="s">
        <v>47426</v>
      </c>
      <c r="S340" t="s">
        <v>47531</v>
      </c>
      <c r="T340" t="s">
        <v>49107</v>
      </c>
      <c r="U340" t="s">
        <v>49964</v>
      </c>
      <c r="W340" t="s">
        <v>43183</v>
      </c>
      <c r="X340" t="s">
        <v>47430</v>
      </c>
    </row>
    <row r="341" spans="1:24">
      <c r="A341">
        <f>HYPERLINK("https://www.philgeps.gov.ph/GEPSNONPILOT/Tender/SplashBidNoticeAbstractUI.aspx?menuIndex=3&amp;refID=7162454&amp;Result=3","7162454")</f>
        <v>0</v>
      </c>
      <c r="B341" t="s">
        <v>186</v>
      </c>
      <c r="C341" t="s">
        <v>4261</v>
      </c>
      <c r="D341" t="s">
        <v>19074</v>
      </c>
      <c r="E341" t="s">
        <v>19453</v>
      </c>
      <c r="F341" t="s">
        <v>32831</v>
      </c>
      <c r="G341" t="s">
        <v>32839</v>
      </c>
      <c r="H341" t="s">
        <v>32848</v>
      </c>
      <c r="I341" t="s">
        <v>32857</v>
      </c>
      <c r="J341" t="s">
        <v>33251</v>
      </c>
      <c r="K341" t="s">
        <v>42730</v>
      </c>
      <c r="M341" t="s">
        <v>43184</v>
      </c>
      <c r="N341" t="s">
        <v>47424</v>
      </c>
      <c r="O341" t="s">
        <v>47425</v>
      </c>
      <c r="P341">
        <v>0</v>
      </c>
      <c r="Q341">
        <v>1</v>
      </c>
      <c r="R341" t="s">
        <v>47426</v>
      </c>
      <c r="S341" t="s">
        <v>47531</v>
      </c>
      <c r="T341" t="s">
        <v>49071</v>
      </c>
      <c r="U341" t="s">
        <v>49965</v>
      </c>
      <c r="W341" t="s">
        <v>43184</v>
      </c>
      <c r="X341" t="s">
        <v>47430</v>
      </c>
    </row>
    <row r="342" spans="1:24">
      <c r="A342">
        <f>HYPERLINK("https://www.philgeps.gov.ph/GEPSNONPILOT/Tender/SplashBidNoticeAbstractUI.aspx?menuIndex=3&amp;refID=7162614&amp;Result=3","7162614")</f>
        <v>0</v>
      </c>
      <c r="B342" t="s">
        <v>174</v>
      </c>
      <c r="C342" t="s">
        <v>4262</v>
      </c>
      <c r="D342" t="s">
        <v>19019</v>
      </c>
      <c r="E342" t="s">
        <v>19454</v>
      </c>
      <c r="F342" t="s">
        <v>32831</v>
      </c>
      <c r="G342" t="s">
        <v>32839</v>
      </c>
      <c r="H342" t="s">
        <v>32848</v>
      </c>
      <c r="I342" t="s">
        <v>32867</v>
      </c>
      <c r="J342" t="s">
        <v>32978</v>
      </c>
      <c r="K342" t="s">
        <v>42730</v>
      </c>
      <c r="M342" t="s">
        <v>43172</v>
      </c>
      <c r="N342" t="s">
        <v>47424</v>
      </c>
      <c r="O342" t="s">
        <v>47425</v>
      </c>
      <c r="P342">
        <v>0</v>
      </c>
      <c r="Q342">
        <v>8</v>
      </c>
      <c r="R342" t="s">
        <v>47426</v>
      </c>
      <c r="S342" t="s">
        <v>47531</v>
      </c>
      <c r="T342" t="s">
        <v>49138</v>
      </c>
      <c r="U342" t="s">
        <v>49966</v>
      </c>
      <c r="W342" t="s">
        <v>43172</v>
      </c>
      <c r="X342" t="s">
        <v>47430</v>
      </c>
    </row>
    <row r="343" spans="1:24">
      <c r="A343">
        <f>HYPERLINK("https://www.philgeps.gov.ph/GEPSNONPILOT/Tender/SplashBidNoticeAbstractUI.aspx?menuIndex=3&amp;refID=7162650&amp;Result=3","7162650")</f>
        <v>0</v>
      </c>
      <c r="B343" t="s">
        <v>180</v>
      </c>
      <c r="C343" t="s">
        <v>4263</v>
      </c>
      <c r="D343" t="s">
        <v>19021</v>
      </c>
      <c r="E343" t="s">
        <v>19455</v>
      </c>
      <c r="F343" t="s">
        <v>32831</v>
      </c>
      <c r="G343" t="s">
        <v>32839</v>
      </c>
      <c r="H343" t="s">
        <v>32848</v>
      </c>
      <c r="I343" t="s">
        <v>32857</v>
      </c>
      <c r="J343" t="s">
        <v>33252</v>
      </c>
      <c r="K343" t="s">
        <v>42732</v>
      </c>
      <c r="M343" t="s">
        <v>43178</v>
      </c>
      <c r="N343" t="s">
        <v>47424</v>
      </c>
      <c r="O343" t="s">
        <v>47425</v>
      </c>
      <c r="P343">
        <v>0</v>
      </c>
      <c r="Q343">
        <v>4</v>
      </c>
      <c r="R343" t="s">
        <v>47426</v>
      </c>
      <c r="S343" t="s">
        <v>47531</v>
      </c>
      <c r="T343" t="s">
        <v>49078</v>
      </c>
      <c r="U343" t="s">
        <v>49955</v>
      </c>
      <c r="W343" t="s">
        <v>43178</v>
      </c>
      <c r="X343" t="s">
        <v>47430</v>
      </c>
    </row>
    <row r="344" spans="1:24">
      <c r="A344">
        <f>HYPERLINK("https://www.philgeps.gov.ph/GEPSNONPILOT/Tender/SplashBidNoticeAbstractUI.aspx?menuIndex=3&amp;refID=7162642&amp;Result=3","7162642")</f>
        <v>0</v>
      </c>
      <c r="B344" t="s">
        <v>170</v>
      </c>
      <c r="C344" t="s">
        <v>4264</v>
      </c>
      <c r="D344" t="s">
        <v>19046</v>
      </c>
      <c r="E344" t="s">
        <v>19456</v>
      </c>
      <c r="F344" t="s">
        <v>32831</v>
      </c>
      <c r="G344" t="s">
        <v>32839</v>
      </c>
      <c r="H344" t="s">
        <v>32849</v>
      </c>
      <c r="I344" t="s">
        <v>4177</v>
      </c>
      <c r="J344" t="s">
        <v>33111</v>
      </c>
      <c r="K344" t="s">
        <v>42770</v>
      </c>
      <c r="M344" t="s">
        <v>43167</v>
      </c>
      <c r="N344" t="s">
        <v>47424</v>
      </c>
      <c r="O344" t="s">
        <v>47425</v>
      </c>
      <c r="P344">
        <v>0</v>
      </c>
      <c r="Q344">
        <v>0</v>
      </c>
      <c r="R344" t="s">
        <v>47426</v>
      </c>
      <c r="S344" t="s">
        <v>47531</v>
      </c>
      <c r="T344" t="s">
        <v>49140</v>
      </c>
      <c r="U344" t="s">
        <v>49967</v>
      </c>
      <c r="W344" t="s">
        <v>43167</v>
      </c>
      <c r="X344" t="s">
        <v>47430</v>
      </c>
    </row>
    <row r="345" spans="1:24">
      <c r="A345">
        <f>HYPERLINK("https://www.philgeps.gov.ph/GEPSNONPILOT/Tender/SplashBidNoticeAbstractUI.aspx?menuIndex=3&amp;refID=7162638&amp;Result=3","7162638")</f>
        <v>0</v>
      </c>
      <c r="B345" t="s">
        <v>179</v>
      </c>
      <c r="C345" t="s">
        <v>4265</v>
      </c>
      <c r="D345" t="s">
        <v>19062</v>
      </c>
      <c r="E345" t="s">
        <v>19438</v>
      </c>
      <c r="F345" t="s">
        <v>32831</v>
      </c>
      <c r="G345" t="s">
        <v>32838</v>
      </c>
      <c r="H345" t="s">
        <v>32848</v>
      </c>
      <c r="I345" t="s">
        <v>32860</v>
      </c>
      <c r="J345" t="s">
        <v>33253</v>
      </c>
      <c r="K345" t="s">
        <v>42731</v>
      </c>
      <c r="M345" t="s">
        <v>43177</v>
      </c>
      <c r="N345" t="s">
        <v>47424</v>
      </c>
      <c r="O345" t="s">
        <v>47425</v>
      </c>
      <c r="P345">
        <v>0</v>
      </c>
      <c r="Q345">
        <v>0</v>
      </c>
      <c r="R345" t="s">
        <v>47426</v>
      </c>
      <c r="S345" t="s">
        <v>47531</v>
      </c>
      <c r="T345" t="s">
        <v>49089</v>
      </c>
      <c r="U345" t="s">
        <v>49968</v>
      </c>
      <c r="W345" t="s">
        <v>43177</v>
      </c>
      <c r="X345" t="s">
        <v>47430</v>
      </c>
    </row>
    <row r="346" spans="1:24">
      <c r="A346">
        <f>HYPERLINK("https://www.philgeps.gov.ph/GEPSNONPILOT/Tender/SplashBidNoticeAbstractUI.aspx?menuIndex=3&amp;refID=7162622&amp;Result=3","7162622")</f>
        <v>0</v>
      </c>
      <c r="B346" t="s">
        <v>179</v>
      </c>
      <c r="C346" t="s">
        <v>4266</v>
      </c>
      <c r="D346" t="s">
        <v>19062</v>
      </c>
      <c r="E346" t="s">
        <v>19438</v>
      </c>
      <c r="F346" t="s">
        <v>32831</v>
      </c>
      <c r="G346" t="s">
        <v>32838</v>
      </c>
      <c r="H346" t="s">
        <v>32848</v>
      </c>
      <c r="I346" t="s">
        <v>7416</v>
      </c>
      <c r="J346" t="s">
        <v>33254</v>
      </c>
      <c r="K346" t="s">
        <v>42731</v>
      </c>
      <c r="M346" t="s">
        <v>43177</v>
      </c>
      <c r="N346" t="s">
        <v>47424</v>
      </c>
      <c r="O346" t="s">
        <v>47425</v>
      </c>
      <c r="P346">
        <v>0</v>
      </c>
      <c r="Q346">
        <v>0</v>
      </c>
      <c r="R346" t="s">
        <v>47426</v>
      </c>
      <c r="S346" t="s">
        <v>47531</v>
      </c>
      <c r="T346" t="s">
        <v>49089</v>
      </c>
      <c r="U346" t="s">
        <v>49969</v>
      </c>
      <c r="W346" t="s">
        <v>43177</v>
      </c>
      <c r="X346" t="s">
        <v>47430</v>
      </c>
    </row>
    <row r="347" spans="1:24">
      <c r="A347">
        <f>HYPERLINK("https://www.philgeps.gov.ph/GEPSNONPILOT/Tender/SplashBidNoticeAbstractUI.aspx?menuIndex=3&amp;refID=7162656&amp;Result=3","7162656")</f>
        <v>0</v>
      </c>
      <c r="B347" t="s">
        <v>187</v>
      </c>
      <c r="C347" t="s">
        <v>4267</v>
      </c>
      <c r="D347" t="s">
        <v>19041</v>
      </c>
      <c r="E347" t="s">
        <v>19457</v>
      </c>
      <c r="F347" t="s">
        <v>32831</v>
      </c>
      <c r="G347" t="s">
        <v>32838</v>
      </c>
      <c r="H347" t="s">
        <v>32848</v>
      </c>
      <c r="I347" t="s">
        <v>7416</v>
      </c>
      <c r="J347" t="s">
        <v>33255</v>
      </c>
      <c r="K347" t="s">
        <v>42731</v>
      </c>
      <c r="M347" t="s">
        <v>43185</v>
      </c>
      <c r="N347" t="s">
        <v>47424</v>
      </c>
      <c r="O347" t="s">
        <v>47425</v>
      </c>
      <c r="P347">
        <v>0</v>
      </c>
      <c r="Q347">
        <v>0</v>
      </c>
      <c r="R347" t="s">
        <v>47426</v>
      </c>
      <c r="S347" t="s">
        <v>47531</v>
      </c>
      <c r="T347" t="s">
        <v>49127</v>
      </c>
      <c r="U347" t="s">
        <v>49970</v>
      </c>
      <c r="W347" t="s">
        <v>43185</v>
      </c>
      <c r="X347" t="s">
        <v>47430</v>
      </c>
    </row>
    <row r="348" spans="1:24">
      <c r="A348">
        <f>HYPERLINK("https://www.philgeps.gov.ph/GEPSNONPILOT/Tender/SplashBidNoticeAbstractUI.aspx?menuIndex=3&amp;refID=7162628&amp;Result=3","7162628")</f>
        <v>0</v>
      </c>
      <c r="B348" t="s">
        <v>171</v>
      </c>
      <c r="C348" t="s">
        <v>4268</v>
      </c>
      <c r="D348" t="s">
        <v>19077</v>
      </c>
      <c r="E348" t="s">
        <v>19458</v>
      </c>
      <c r="F348" t="s">
        <v>32831</v>
      </c>
      <c r="G348" t="s">
        <v>32838</v>
      </c>
      <c r="H348" t="s">
        <v>32848</v>
      </c>
      <c r="I348" t="s">
        <v>4487</v>
      </c>
      <c r="J348" t="s">
        <v>33256</v>
      </c>
      <c r="K348" t="s">
        <v>42730</v>
      </c>
      <c r="M348" t="s">
        <v>43168</v>
      </c>
      <c r="N348" t="s">
        <v>47424</v>
      </c>
      <c r="O348" t="s">
        <v>47425</v>
      </c>
      <c r="P348">
        <v>0</v>
      </c>
      <c r="Q348">
        <v>0</v>
      </c>
      <c r="R348" t="s">
        <v>47426</v>
      </c>
      <c r="S348" t="s">
        <v>47531</v>
      </c>
      <c r="T348" t="s">
        <v>49125</v>
      </c>
      <c r="U348" t="s">
        <v>49971</v>
      </c>
      <c r="W348" t="s">
        <v>64432</v>
      </c>
      <c r="X348" t="s">
        <v>47430</v>
      </c>
    </row>
    <row r="349" spans="1:24">
      <c r="A349">
        <f>HYPERLINK("https://www.philgeps.gov.ph/GEPSNONPILOT/Tender/SplashBidNoticeAbstractUI.aspx?menuIndex=3&amp;refID=7162626&amp;Result=3","7162626")</f>
        <v>0</v>
      </c>
      <c r="B349" t="s">
        <v>123</v>
      </c>
      <c r="C349" t="s">
        <v>4269</v>
      </c>
      <c r="D349" t="s">
        <v>19038</v>
      </c>
      <c r="E349" t="s">
        <v>19459</v>
      </c>
      <c r="F349" t="s">
        <v>32831</v>
      </c>
      <c r="G349" t="s">
        <v>32839</v>
      </c>
      <c r="H349" t="s">
        <v>32848</v>
      </c>
      <c r="I349" t="s">
        <v>7751</v>
      </c>
      <c r="J349" t="s">
        <v>33257</v>
      </c>
      <c r="K349" t="s">
        <v>42727</v>
      </c>
      <c r="M349" t="s">
        <v>43120</v>
      </c>
      <c r="N349" t="s">
        <v>47424</v>
      </c>
      <c r="O349" t="s">
        <v>47425</v>
      </c>
      <c r="P349">
        <v>0</v>
      </c>
      <c r="Q349">
        <v>2</v>
      </c>
      <c r="R349" t="s">
        <v>47426</v>
      </c>
      <c r="S349" t="s">
        <v>47531</v>
      </c>
      <c r="T349" t="s">
        <v>49065</v>
      </c>
      <c r="U349" t="s">
        <v>49972</v>
      </c>
      <c r="V349" t="s">
        <v>62659</v>
      </c>
      <c r="W349" t="s">
        <v>43120</v>
      </c>
      <c r="X349" t="s">
        <v>47430</v>
      </c>
    </row>
    <row r="350" spans="1:24">
      <c r="A350">
        <f>HYPERLINK("https://www.philgeps.gov.ph/GEPSNONPILOT/Tender/SplashBidNoticeAbstractUI.aspx?menuIndex=3&amp;refID=7162637&amp;Result=3","7162637")</f>
        <v>0</v>
      </c>
      <c r="B350" t="s">
        <v>188</v>
      </c>
      <c r="C350" t="s">
        <v>4270</v>
      </c>
      <c r="D350" t="s">
        <v>19035</v>
      </c>
      <c r="E350" t="s">
        <v>19460</v>
      </c>
      <c r="F350" t="s">
        <v>32831</v>
      </c>
      <c r="G350" t="s">
        <v>32838</v>
      </c>
      <c r="H350" t="s">
        <v>32848</v>
      </c>
      <c r="I350" t="s">
        <v>4340</v>
      </c>
      <c r="J350" t="s">
        <v>33258</v>
      </c>
      <c r="K350" t="s">
        <v>42732</v>
      </c>
      <c r="M350" t="s">
        <v>43186</v>
      </c>
      <c r="N350" t="s">
        <v>47424</v>
      </c>
      <c r="O350" t="s">
        <v>47425</v>
      </c>
      <c r="P350">
        <v>0</v>
      </c>
      <c r="Q350">
        <v>4</v>
      </c>
      <c r="R350" t="s">
        <v>47426</v>
      </c>
      <c r="S350" t="s">
        <v>47531</v>
      </c>
      <c r="T350" t="s">
        <v>49056</v>
      </c>
      <c r="U350" t="s">
        <v>49973</v>
      </c>
      <c r="W350" t="s">
        <v>43186</v>
      </c>
      <c r="X350" t="s">
        <v>47430</v>
      </c>
    </row>
    <row r="351" spans="1:24">
      <c r="A351">
        <f>HYPERLINK("https://www.philgeps.gov.ph/GEPSNONPILOT/Tender/SplashBidNoticeAbstractUI.aspx?menuIndex=3&amp;refID=7162634&amp;Result=3","7162634")</f>
        <v>0</v>
      </c>
      <c r="B351" t="s">
        <v>189</v>
      </c>
      <c r="C351" t="s">
        <v>4271</v>
      </c>
      <c r="D351" t="s">
        <v>19038</v>
      </c>
      <c r="E351" t="s">
        <v>19461</v>
      </c>
      <c r="F351" t="s">
        <v>32831</v>
      </c>
      <c r="G351" t="s">
        <v>32839</v>
      </c>
      <c r="H351" t="s">
        <v>32848</v>
      </c>
      <c r="I351" t="s">
        <v>7416</v>
      </c>
      <c r="J351" t="s">
        <v>33259</v>
      </c>
      <c r="K351" t="s">
        <v>42726</v>
      </c>
      <c r="M351" t="s">
        <v>43187</v>
      </c>
      <c r="N351" t="s">
        <v>47424</v>
      </c>
      <c r="O351" t="s">
        <v>47425</v>
      </c>
      <c r="P351">
        <v>0</v>
      </c>
      <c r="Q351">
        <v>0</v>
      </c>
      <c r="R351" t="s">
        <v>47426</v>
      </c>
      <c r="S351" t="s">
        <v>47531</v>
      </c>
      <c r="T351" t="s">
        <v>49142</v>
      </c>
      <c r="U351" t="s">
        <v>49974</v>
      </c>
      <c r="W351" t="s">
        <v>43187</v>
      </c>
      <c r="X351" t="s">
        <v>47430</v>
      </c>
    </row>
    <row r="352" spans="1:24">
      <c r="A352">
        <f>HYPERLINK("https://www.philgeps.gov.ph/GEPSNONPILOT/Tender/SplashBidNoticeAbstractUI.aspx?menuIndex=3&amp;refID=7162670&amp;Result=3","7162670")</f>
        <v>0</v>
      </c>
      <c r="B352" t="s">
        <v>187</v>
      </c>
      <c r="C352" t="s">
        <v>4272</v>
      </c>
      <c r="D352" t="s">
        <v>19041</v>
      </c>
      <c r="E352" t="s">
        <v>19462</v>
      </c>
      <c r="F352" t="s">
        <v>32831</v>
      </c>
      <c r="G352" t="s">
        <v>32838</v>
      </c>
      <c r="H352" t="s">
        <v>32848</v>
      </c>
      <c r="I352" t="s">
        <v>7416</v>
      </c>
      <c r="J352" t="s">
        <v>33260</v>
      </c>
      <c r="K352" t="s">
        <v>42731</v>
      </c>
      <c r="M352" t="s">
        <v>43185</v>
      </c>
      <c r="N352" t="s">
        <v>47424</v>
      </c>
      <c r="O352" t="s">
        <v>47425</v>
      </c>
      <c r="P352">
        <v>0</v>
      </c>
      <c r="Q352">
        <v>0</v>
      </c>
      <c r="R352" t="s">
        <v>47426</v>
      </c>
      <c r="S352" t="s">
        <v>47531</v>
      </c>
      <c r="T352" t="s">
        <v>49127</v>
      </c>
      <c r="U352" t="s">
        <v>49970</v>
      </c>
      <c r="W352" t="s">
        <v>43185</v>
      </c>
      <c r="X352" t="s">
        <v>47430</v>
      </c>
    </row>
    <row r="353" spans="1:24">
      <c r="A353">
        <f>HYPERLINK("https://www.philgeps.gov.ph/GEPSNONPILOT/Tender/SplashBidNoticeAbstractUI.aspx?menuIndex=3&amp;refID=7162652&amp;Result=3","7162652")</f>
        <v>0</v>
      </c>
      <c r="B353" t="s">
        <v>190</v>
      </c>
      <c r="C353" t="s">
        <v>4273</v>
      </c>
      <c r="D353" t="s">
        <v>19034</v>
      </c>
      <c r="E353" t="s">
        <v>19463</v>
      </c>
      <c r="F353" t="s">
        <v>32831</v>
      </c>
      <c r="G353" t="s">
        <v>32838</v>
      </c>
      <c r="H353" t="s">
        <v>32848</v>
      </c>
      <c r="I353" t="s">
        <v>32859</v>
      </c>
      <c r="J353" t="s">
        <v>33261</v>
      </c>
      <c r="K353" t="s">
        <v>42759</v>
      </c>
      <c r="M353" t="s">
        <v>43188</v>
      </c>
      <c r="N353" t="s">
        <v>47424</v>
      </c>
      <c r="O353" t="s">
        <v>47425</v>
      </c>
      <c r="P353">
        <v>0</v>
      </c>
      <c r="Q353">
        <v>1</v>
      </c>
      <c r="R353" t="s">
        <v>47426</v>
      </c>
      <c r="S353" t="s">
        <v>47531</v>
      </c>
      <c r="T353" t="s">
        <v>49100</v>
      </c>
      <c r="U353" t="s">
        <v>49975</v>
      </c>
      <c r="W353" t="s">
        <v>43188</v>
      </c>
      <c r="X353" t="s">
        <v>47430</v>
      </c>
    </row>
    <row r="354" spans="1:24">
      <c r="A354">
        <f>HYPERLINK("https://www.philgeps.gov.ph/GEPSNONPILOT/Tender/SplashBidNoticeAbstractUI.aspx?menuIndex=3&amp;refID=7162605&amp;Result=3","7162605")</f>
        <v>0</v>
      </c>
      <c r="B354" t="s">
        <v>173</v>
      </c>
      <c r="C354" t="s">
        <v>4274</v>
      </c>
      <c r="D354" t="s">
        <v>19040</v>
      </c>
      <c r="E354" t="s">
        <v>19464</v>
      </c>
      <c r="F354" t="s">
        <v>32831</v>
      </c>
      <c r="G354" t="s">
        <v>32838</v>
      </c>
      <c r="H354" t="s">
        <v>32848</v>
      </c>
      <c r="I354" t="s">
        <v>32860</v>
      </c>
      <c r="J354" t="s">
        <v>33262</v>
      </c>
      <c r="K354" t="s">
        <v>42758</v>
      </c>
      <c r="M354" t="s">
        <v>43170</v>
      </c>
      <c r="N354" t="s">
        <v>47424</v>
      </c>
      <c r="O354" t="s">
        <v>47425</v>
      </c>
      <c r="P354">
        <v>0</v>
      </c>
      <c r="Q354">
        <v>1</v>
      </c>
      <c r="R354" t="s">
        <v>47426</v>
      </c>
      <c r="S354" t="s">
        <v>47531</v>
      </c>
      <c r="T354" t="s">
        <v>49079</v>
      </c>
      <c r="U354" t="s">
        <v>49976</v>
      </c>
      <c r="V354" t="s">
        <v>62656</v>
      </c>
      <c r="W354" t="s">
        <v>43170</v>
      </c>
      <c r="X354" t="s">
        <v>47430</v>
      </c>
    </row>
    <row r="355" spans="1:24">
      <c r="A355">
        <f>HYPERLINK("https://www.philgeps.gov.ph/GEPSNONPILOT/Tender/SplashBidNoticeAbstractUI.aspx?menuIndex=3&amp;refID=7162666&amp;Result=3","7162666")</f>
        <v>0</v>
      </c>
      <c r="B355" t="s">
        <v>165</v>
      </c>
      <c r="C355" t="s">
        <v>4226</v>
      </c>
      <c r="D355" t="s">
        <v>19030</v>
      </c>
      <c r="E355" t="s">
        <v>19465</v>
      </c>
      <c r="F355" t="s">
        <v>32831</v>
      </c>
      <c r="G355" t="s">
        <v>32842</v>
      </c>
      <c r="H355" t="s">
        <v>32848</v>
      </c>
      <c r="I355" t="s">
        <v>9577</v>
      </c>
      <c r="J355" t="s">
        <v>33162</v>
      </c>
      <c r="K355" t="s">
        <v>42727</v>
      </c>
      <c r="M355" t="s">
        <v>43162</v>
      </c>
      <c r="N355" t="s">
        <v>47424</v>
      </c>
      <c r="O355" t="s">
        <v>47425</v>
      </c>
      <c r="P355">
        <v>0</v>
      </c>
      <c r="Q355">
        <v>1</v>
      </c>
      <c r="R355" t="s">
        <v>47426</v>
      </c>
      <c r="S355" t="s">
        <v>47531</v>
      </c>
      <c r="T355" t="s">
        <v>49056</v>
      </c>
      <c r="U355" t="s">
        <v>49977</v>
      </c>
      <c r="W355" t="s">
        <v>43162</v>
      </c>
      <c r="X355" t="s">
        <v>47430</v>
      </c>
    </row>
    <row r="356" spans="1:24">
      <c r="A356">
        <f>HYPERLINK("https://www.philgeps.gov.ph/GEPSNONPILOT/Tender/SplashBidNoticeAbstractUI.aspx?menuIndex=3&amp;refID=7162624&amp;Result=3","7162624")</f>
        <v>0</v>
      </c>
      <c r="B356" t="s">
        <v>191</v>
      </c>
      <c r="C356" t="s">
        <v>4275</v>
      </c>
      <c r="E356" t="s">
        <v>19466</v>
      </c>
      <c r="F356" t="s">
        <v>32831</v>
      </c>
      <c r="G356" t="s">
        <v>32839</v>
      </c>
      <c r="H356" t="s">
        <v>32849</v>
      </c>
      <c r="I356" t="s">
        <v>4177</v>
      </c>
      <c r="J356" t="s">
        <v>33263</v>
      </c>
      <c r="K356" t="s">
        <v>42732</v>
      </c>
      <c r="M356" t="s">
        <v>43189</v>
      </c>
      <c r="N356" t="s">
        <v>47424</v>
      </c>
      <c r="O356" t="s">
        <v>47425</v>
      </c>
      <c r="P356">
        <v>0</v>
      </c>
      <c r="Q356">
        <v>0</v>
      </c>
      <c r="R356" t="s">
        <v>47426</v>
      </c>
      <c r="S356" t="s">
        <v>47531</v>
      </c>
      <c r="T356" t="s">
        <v>49143</v>
      </c>
      <c r="U356" t="s">
        <v>49978</v>
      </c>
      <c r="W356" t="s">
        <v>43189</v>
      </c>
      <c r="X356" t="s">
        <v>47430</v>
      </c>
    </row>
    <row r="357" spans="1:24">
      <c r="A357">
        <f>HYPERLINK("https://www.philgeps.gov.ph/GEPSNONPILOT/Tender/SplashBidNoticeAbstractUI.aspx?menuIndex=3&amp;refID=7162649&amp;Result=3","7162649")</f>
        <v>0</v>
      </c>
      <c r="B357" t="s">
        <v>192</v>
      </c>
      <c r="C357" t="s">
        <v>4276</v>
      </c>
      <c r="D357" t="s">
        <v>19057</v>
      </c>
      <c r="E357" t="s">
        <v>19467</v>
      </c>
      <c r="F357" t="s">
        <v>32831</v>
      </c>
      <c r="G357" t="s">
        <v>32838</v>
      </c>
      <c r="H357" t="s">
        <v>32848</v>
      </c>
      <c r="I357" t="s">
        <v>32863</v>
      </c>
      <c r="J357" t="s">
        <v>33044</v>
      </c>
      <c r="K357" t="s">
        <v>42730</v>
      </c>
      <c r="M357" t="s">
        <v>43190</v>
      </c>
      <c r="N357" t="s">
        <v>47424</v>
      </c>
      <c r="O357" t="s">
        <v>47425</v>
      </c>
      <c r="P357">
        <v>0</v>
      </c>
      <c r="Q357">
        <v>3</v>
      </c>
      <c r="R357" t="s">
        <v>47426</v>
      </c>
      <c r="S357" t="s">
        <v>47531</v>
      </c>
      <c r="T357" t="s">
        <v>49085</v>
      </c>
      <c r="U357" t="s">
        <v>49979</v>
      </c>
      <c r="W357" t="s">
        <v>43190</v>
      </c>
      <c r="X357" t="s">
        <v>47430</v>
      </c>
    </row>
    <row r="358" spans="1:24">
      <c r="A358">
        <f>HYPERLINK("https://www.philgeps.gov.ph/GEPSNONPILOT/Tender/SplashBidNoticeAbstractUI.aspx?menuIndex=3&amp;refID=7162665&amp;Result=3","7162665")</f>
        <v>0</v>
      </c>
      <c r="B358" t="s">
        <v>193</v>
      </c>
      <c r="C358" t="s">
        <v>4277</v>
      </c>
      <c r="D358" t="s">
        <v>19078</v>
      </c>
      <c r="E358" t="s">
        <v>19468</v>
      </c>
      <c r="F358" t="s">
        <v>32831</v>
      </c>
      <c r="G358" t="s">
        <v>32838</v>
      </c>
      <c r="H358" t="s">
        <v>32848</v>
      </c>
      <c r="I358" t="s">
        <v>32888</v>
      </c>
      <c r="J358" t="s">
        <v>33264</v>
      </c>
      <c r="K358" t="s">
        <v>42727</v>
      </c>
      <c r="M358" t="s">
        <v>43191</v>
      </c>
      <c r="N358" t="s">
        <v>47424</v>
      </c>
      <c r="O358" t="s">
        <v>47425</v>
      </c>
      <c r="P358">
        <v>0</v>
      </c>
      <c r="Q358">
        <v>0</v>
      </c>
      <c r="R358" t="s">
        <v>47426</v>
      </c>
      <c r="S358" t="s">
        <v>47531</v>
      </c>
      <c r="T358" t="s">
        <v>49079</v>
      </c>
      <c r="U358" t="s">
        <v>49980</v>
      </c>
      <c r="W358" t="s">
        <v>43191</v>
      </c>
      <c r="X358" t="s">
        <v>47430</v>
      </c>
    </row>
    <row r="359" spans="1:24">
      <c r="A359">
        <f>HYPERLINK("https://www.philgeps.gov.ph/GEPSNONPILOT/Tender/SplashBidNoticeAbstractUI.aspx?menuIndex=3&amp;refID=7162646&amp;Result=3","7162646")</f>
        <v>0</v>
      </c>
      <c r="B359" t="s">
        <v>194</v>
      </c>
      <c r="C359" t="s">
        <v>4278</v>
      </c>
      <c r="E359" t="s">
        <v>19469</v>
      </c>
      <c r="F359" t="s">
        <v>32831</v>
      </c>
      <c r="G359" t="s">
        <v>32838</v>
      </c>
      <c r="H359" t="s">
        <v>32848</v>
      </c>
      <c r="I359" t="s">
        <v>4776</v>
      </c>
      <c r="J359" t="s">
        <v>33265</v>
      </c>
      <c r="K359" t="s">
        <v>42732</v>
      </c>
      <c r="M359" t="s">
        <v>43192</v>
      </c>
      <c r="N359" t="s">
        <v>47424</v>
      </c>
      <c r="O359" t="s">
        <v>47425</v>
      </c>
      <c r="P359">
        <v>0</v>
      </c>
      <c r="Q359">
        <v>0</v>
      </c>
      <c r="R359" t="s">
        <v>47426</v>
      </c>
      <c r="S359" t="s">
        <v>47531</v>
      </c>
      <c r="T359" t="s">
        <v>49089</v>
      </c>
      <c r="U359" t="s">
        <v>49981</v>
      </c>
      <c r="W359" t="s">
        <v>43192</v>
      </c>
      <c r="X359" t="s">
        <v>47430</v>
      </c>
    </row>
    <row r="360" spans="1:24">
      <c r="A360">
        <f>HYPERLINK("https://www.philgeps.gov.ph/GEPSNONPILOT/Tender/SplashBidNoticeAbstractUI.aspx?menuIndex=3&amp;refID=7162657&amp;Result=3","7162657")</f>
        <v>0</v>
      </c>
      <c r="B360" t="s">
        <v>179</v>
      </c>
      <c r="C360" t="s">
        <v>4279</v>
      </c>
      <c r="D360" t="s">
        <v>19062</v>
      </c>
      <c r="E360" t="s">
        <v>19438</v>
      </c>
      <c r="F360" t="s">
        <v>32831</v>
      </c>
      <c r="G360" t="s">
        <v>32838</v>
      </c>
      <c r="H360" t="s">
        <v>32848</v>
      </c>
      <c r="I360" t="s">
        <v>32861</v>
      </c>
      <c r="J360" t="s">
        <v>33266</v>
      </c>
      <c r="K360" t="s">
        <v>42731</v>
      </c>
      <c r="M360" t="s">
        <v>43177</v>
      </c>
      <c r="N360" t="s">
        <v>47424</v>
      </c>
      <c r="O360" t="s">
        <v>47425</v>
      </c>
      <c r="P360">
        <v>0</v>
      </c>
      <c r="Q360">
        <v>3</v>
      </c>
      <c r="R360" t="s">
        <v>47426</v>
      </c>
      <c r="S360" t="s">
        <v>47531</v>
      </c>
      <c r="T360" t="s">
        <v>49089</v>
      </c>
      <c r="U360" t="s">
        <v>49982</v>
      </c>
      <c r="W360" t="s">
        <v>43177</v>
      </c>
      <c r="X360" t="s">
        <v>47430</v>
      </c>
    </row>
    <row r="361" spans="1:24">
      <c r="A361">
        <f>HYPERLINK("https://www.philgeps.gov.ph/GEPSNONPILOT/Tender/SplashBidNoticeAbstractUI.aspx?menuIndex=3&amp;refID=7162660&amp;Result=3","7162660")</f>
        <v>0</v>
      </c>
      <c r="B361" t="s">
        <v>195</v>
      </c>
      <c r="C361" t="s">
        <v>4280</v>
      </c>
      <c r="D361" t="s">
        <v>19026</v>
      </c>
      <c r="E361" t="s">
        <v>19470</v>
      </c>
      <c r="F361" t="s">
        <v>32831</v>
      </c>
      <c r="G361" t="s">
        <v>32838</v>
      </c>
      <c r="H361" t="s">
        <v>32848</v>
      </c>
      <c r="I361" t="s">
        <v>4776</v>
      </c>
      <c r="J361" t="s">
        <v>33040</v>
      </c>
      <c r="K361" t="s">
        <v>42727</v>
      </c>
      <c r="M361" t="s">
        <v>43193</v>
      </c>
      <c r="N361" t="s">
        <v>47424</v>
      </c>
      <c r="O361" t="s">
        <v>47425</v>
      </c>
      <c r="P361">
        <v>0</v>
      </c>
      <c r="Q361">
        <v>2</v>
      </c>
      <c r="R361" t="s">
        <v>47426</v>
      </c>
      <c r="S361" t="s">
        <v>47531</v>
      </c>
      <c r="T361" t="s">
        <v>49100</v>
      </c>
      <c r="U361" t="s">
        <v>49983</v>
      </c>
      <c r="W361" t="s">
        <v>43193</v>
      </c>
      <c r="X361" t="s">
        <v>47430</v>
      </c>
    </row>
    <row r="362" spans="1:24">
      <c r="A362">
        <f>HYPERLINK("https://www.philgeps.gov.ph/GEPSNONPILOT/Tender/SplashBidNoticeAbstractUI.aspx?menuIndex=3&amp;refID=7162677&amp;Result=3","7162677")</f>
        <v>0</v>
      </c>
      <c r="B362" t="s">
        <v>176</v>
      </c>
      <c r="C362" t="s">
        <v>4281</v>
      </c>
      <c r="D362" t="s">
        <v>19027</v>
      </c>
      <c r="E362" t="s">
        <v>19471</v>
      </c>
      <c r="F362" t="s">
        <v>32831</v>
      </c>
      <c r="G362" t="s">
        <v>32838</v>
      </c>
      <c r="H362" t="s">
        <v>32848</v>
      </c>
      <c r="I362" t="s">
        <v>4438</v>
      </c>
      <c r="J362" t="s">
        <v>33267</v>
      </c>
      <c r="K362" t="s">
        <v>42758</v>
      </c>
      <c r="M362" t="s">
        <v>43174</v>
      </c>
      <c r="N362" t="s">
        <v>47424</v>
      </c>
      <c r="O362" t="s">
        <v>47425</v>
      </c>
      <c r="P362">
        <v>0</v>
      </c>
      <c r="Q362">
        <v>1</v>
      </c>
      <c r="R362" t="s">
        <v>47426</v>
      </c>
      <c r="S362" t="s">
        <v>47531</v>
      </c>
      <c r="T362" t="s">
        <v>49056</v>
      </c>
      <c r="U362" t="s">
        <v>49984</v>
      </c>
      <c r="W362" t="s">
        <v>43174</v>
      </c>
      <c r="X362" t="s">
        <v>47430</v>
      </c>
    </row>
    <row r="363" spans="1:24">
      <c r="A363">
        <f>HYPERLINK("https://www.philgeps.gov.ph/GEPSNONPILOT/Tender/SplashBidNoticeAbstractUI.aspx?menuIndex=3&amp;refID=7162729&amp;Result=3","7162729")</f>
        <v>0</v>
      </c>
      <c r="B363" t="s">
        <v>180</v>
      </c>
      <c r="C363" t="s">
        <v>4282</v>
      </c>
      <c r="D363" t="s">
        <v>19021</v>
      </c>
      <c r="E363" t="s">
        <v>19472</v>
      </c>
      <c r="F363" t="s">
        <v>32831</v>
      </c>
      <c r="G363" t="s">
        <v>32838</v>
      </c>
      <c r="H363" t="s">
        <v>32848</v>
      </c>
      <c r="I363" t="s">
        <v>5379</v>
      </c>
      <c r="J363" t="s">
        <v>33268</v>
      </c>
      <c r="K363" t="s">
        <v>42732</v>
      </c>
      <c r="M363" t="s">
        <v>43178</v>
      </c>
      <c r="N363" t="s">
        <v>47424</v>
      </c>
      <c r="O363" t="s">
        <v>47425</v>
      </c>
      <c r="P363">
        <v>0</v>
      </c>
      <c r="Q363">
        <v>0</v>
      </c>
      <c r="R363" t="s">
        <v>47426</v>
      </c>
      <c r="S363" t="s">
        <v>47531</v>
      </c>
      <c r="T363" t="s">
        <v>49100</v>
      </c>
      <c r="U363" t="s">
        <v>49985</v>
      </c>
      <c r="W363" t="s">
        <v>43178</v>
      </c>
      <c r="X363" t="s">
        <v>47430</v>
      </c>
    </row>
    <row r="364" spans="1:24">
      <c r="A364">
        <f>HYPERLINK("https://www.philgeps.gov.ph/GEPSNONPILOT/Tender/SplashBidNoticeAbstractUI.aspx?menuIndex=3&amp;refID=7162712&amp;Result=3","7162712")</f>
        <v>0</v>
      </c>
      <c r="B364" t="s">
        <v>179</v>
      </c>
      <c r="C364" t="s">
        <v>4283</v>
      </c>
      <c r="D364" t="s">
        <v>19062</v>
      </c>
      <c r="E364" t="s">
        <v>19438</v>
      </c>
      <c r="F364" t="s">
        <v>32831</v>
      </c>
      <c r="G364" t="s">
        <v>32838</v>
      </c>
      <c r="H364" t="s">
        <v>32848</v>
      </c>
      <c r="I364" t="s">
        <v>32862</v>
      </c>
      <c r="J364" t="s">
        <v>33269</v>
      </c>
      <c r="K364" t="s">
        <v>42731</v>
      </c>
      <c r="M364" t="s">
        <v>43177</v>
      </c>
      <c r="N364" t="s">
        <v>47424</v>
      </c>
      <c r="O364" t="s">
        <v>47425</v>
      </c>
      <c r="P364">
        <v>0</v>
      </c>
      <c r="Q364">
        <v>1</v>
      </c>
      <c r="R364" t="s">
        <v>47426</v>
      </c>
      <c r="S364" t="s">
        <v>47531</v>
      </c>
      <c r="T364" t="s">
        <v>49089</v>
      </c>
      <c r="U364" t="s">
        <v>49986</v>
      </c>
      <c r="W364" t="s">
        <v>43177</v>
      </c>
      <c r="X364" t="s">
        <v>47430</v>
      </c>
    </row>
    <row r="365" spans="1:24">
      <c r="A365">
        <f>HYPERLINK("https://www.philgeps.gov.ph/GEPSNONPILOT/Tender/SplashBidNoticeAbstractUI.aspx?menuIndex=3&amp;refID=7162710&amp;Result=3","7162710")</f>
        <v>0</v>
      </c>
      <c r="B365" t="s">
        <v>170</v>
      </c>
      <c r="C365" t="s">
        <v>4284</v>
      </c>
      <c r="D365" t="s">
        <v>19046</v>
      </c>
      <c r="E365" t="s">
        <v>19473</v>
      </c>
      <c r="F365" t="s">
        <v>32831</v>
      </c>
      <c r="G365" t="s">
        <v>32839</v>
      </c>
      <c r="H365" t="s">
        <v>32849</v>
      </c>
      <c r="I365" t="s">
        <v>4177</v>
      </c>
      <c r="J365" t="s">
        <v>33066</v>
      </c>
      <c r="K365" t="s">
        <v>42771</v>
      </c>
      <c r="M365" t="s">
        <v>43167</v>
      </c>
      <c r="N365" t="s">
        <v>47424</v>
      </c>
      <c r="O365" t="s">
        <v>47425</v>
      </c>
      <c r="P365">
        <v>0</v>
      </c>
      <c r="Q365">
        <v>0</v>
      </c>
      <c r="R365" t="s">
        <v>47426</v>
      </c>
      <c r="S365" t="s">
        <v>47531</v>
      </c>
      <c r="T365" t="s">
        <v>49140</v>
      </c>
      <c r="U365" t="s">
        <v>49987</v>
      </c>
      <c r="W365" t="s">
        <v>43167</v>
      </c>
      <c r="X365" t="s">
        <v>47430</v>
      </c>
    </row>
    <row r="366" spans="1:24">
      <c r="A366">
        <f>HYPERLINK("https://www.philgeps.gov.ph/GEPSNONPILOT/Tender/SplashBidNoticeAbstractUI.aspx?menuIndex=3&amp;refID=7162708&amp;Result=3","7162708")</f>
        <v>0</v>
      </c>
      <c r="B366" t="s">
        <v>176</v>
      </c>
      <c r="C366" t="s">
        <v>4285</v>
      </c>
      <c r="D366" t="s">
        <v>19027</v>
      </c>
      <c r="E366" t="s">
        <v>19161</v>
      </c>
      <c r="F366" t="s">
        <v>32831</v>
      </c>
      <c r="G366" t="s">
        <v>32838</v>
      </c>
      <c r="H366" t="s">
        <v>32848</v>
      </c>
      <c r="I366" t="s">
        <v>4438</v>
      </c>
      <c r="J366" t="s">
        <v>33270</v>
      </c>
      <c r="K366" t="s">
        <v>42758</v>
      </c>
      <c r="M366" t="s">
        <v>43174</v>
      </c>
      <c r="N366" t="s">
        <v>47424</v>
      </c>
      <c r="O366" t="s">
        <v>47425</v>
      </c>
      <c r="P366">
        <v>0</v>
      </c>
      <c r="Q366">
        <v>0</v>
      </c>
      <c r="R366" t="s">
        <v>47426</v>
      </c>
      <c r="S366" t="s">
        <v>47531</v>
      </c>
      <c r="T366" t="s">
        <v>49079</v>
      </c>
      <c r="U366" t="s">
        <v>49988</v>
      </c>
      <c r="W366" t="s">
        <v>43174</v>
      </c>
      <c r="X366" t="s">
        <v>47430</v>
      </c>
    </row>
    <row r="367" spans="1:24">
      <c r="A367">
        <f>HYPERLINK("https://www.philgeps.gov.ph/GEPSNONPILOT/Tender/SplashBidNoticeAbstractUI.aspx?menuIndex=3&amp;refID=7162678&amp;Result=3","7162678")</f>
        <v>0</v>
      </c>
      <c r="B367" t="s">
        <v>187</v>
      </c>
      <c r="C367" t="s">
        <v>4286</v>
      </c>
      <c r="D367" t="s">
        <v>19041</v>
      </c>
      <c r="E367" t="s">
        <v>19474</v>
      </c>
      <c r="F367" t="s">
        <v>32831</v>
      </c>
      <c r="G367" t="s">
        <v>32838</v>
      </c>
      <c r="H367" t="s">
        <v>32848</v>
      </c>
      <c r="I367" t="s">
        <v>7416</v>
      </c>
      <c r="J367" t="s">
        <v>33271</v>
      </c>
      <c r="K367" t="s">
        <v>42731</v>
      </c>
      <c r="M367" t="s">
        <v>43185</v>
      </c>
      <c r="N367" t="s">
        <v>47424</v>
      </c>
      <c r="O367" t="s">
        <v>47425</v>
      </c>
      <c r="P367">
        <v>0</v>
      </c>
      <c r="Q367">
        <v>0</v>
      </c>
      <c r="R367" t="s">
        <v>47426</v>
      </c>
      <c r="S367" t="s">
        <v>47531</v>
      </c>
      <c r="T367" t="s">
        <v>49127</v>
      </c>
      <c r="U367" t="s">
        <v>49970</v>
      </c>
      <c r="W367" t="s">
        <v>43185</v>
      </c>
      <c r="X367" t="s">
        <v>47430</v>
      </c>
    </row>
    <row r="368" spans="1:24">
      <c r="A368">
        <f>HYPERLINK("https://www.philgeps.gov.ph/GEPSNONPILOT/Tender/SplashBidNoticeAbstractUI.aspx?menuIndex=3&amp;refID=7162696&amp;Result=3","7162696")</f>
        <v>0</v>
      </c>
      <c r="B368" t="s">
        <v>196</v>
      </c>
      <c r="C368" t="s">
        <v>4287</v>
      </c>
      <c r="D368" t="s">
        <v>19079</v>
      </c>
      <c r="E368" t="s">
        <v>19475</v>
      </c>
      <c r="F368" t="s">
        <v>32831</v>
      </c>
      <c r="G368" t="s">
        <v>32838</v>
      </c>
      <c r="H368" t="s">
        <v>32850</v>
      </c>
      <c r="I368" t="s">
        <v>32866</v>
      </c>
      <c r="J368" t="s">
        <v>33007</v>
      </c>
      <c r="K368" t="s">
        <v>42727</v>
      </c>
      <c r="M368" t="s">
        <v>43194</v>
      </c>
      <c r="N368" t="s">
        <v>47424</v>
      </c>
      <c r="O368" t="s">
        <v>47425</v>
      </c>
      <c r="P368">
        <v>0</v>
      </c>
      <c r="Q368">
        <v>0</v>
      </c>
      <c r="R368" t="s">
        <v>47426</v>
      </c>
      <c r="S368" t="s">
        <v>47531</v>
      </c>
      <c r="T368" t="s">
        <v>49059</v>
      </c>
      <c r="U368" t="s">
        <v>49989</v>
      </c>
      <c r="W368" t="s">
        <v>43194</v>
      </c>
      <c r="X368" t="s">
        <v>47430</v>
      </c>
    </row>
    <row r="369" spans="1:24">
      <c r="A369">
        <f>HYPERLINK("https://www.philgeps.gov.ph/GEPSNONPILOT/Tender/SplashBidNoticeAbstractUI.aspx?menuIndex=3&amp;refID=7162685&amp;Result=3","7162685")</f>
        <v>0</v>
      </c>
      <c r="B369" t="s">
        <v>197</v>
      </c>
      <c r="C369" t="s">
        <v>4288</v>
      </c>
      <c r="D369" t="s">
        <v>19022</v>
      </c>
      <c r="E369" t="s">
        <v>19476</v>
      </c>
      <c r="F369" t="s">
        <v>32831</v>
      </c>
      <c r="G369" t="s">
        <v>32838</v>
      </c>
      <c r="H369" t="s">
        <v>32848</v>
      </c>
      <c r="I369" t="s">
        <v>9577</v>
      </c>
      <c r="J369" t="s">
        <v>33272</v>
      </c>
      <c r="K369" t="s">
        <v>42760</v>
      </c>
      <c r="M369" t="s">
        <v>43195</v>
      </c>
      <c r="N369" t="s">
        <v>47424</v>
      </c>
      <c r="O369" t="s">
        <v>47425</v>
      </c>
      <c r="P369">
        <v>0</v>
      </c>
      <c r="Q369">
        <v>0</v>
      </c>
      <c r="R369" t="s">
        <v>47426</v>
      </c>
      <c r="S369" t="s">
        <v>47531</v>
      </c>
      <c r="T369" t="s">
        <v>49056</v>
      </c>
      <c r="U369" t="s">
        <v>49990</v>
      </c>
      <c r="W369" t="s">
        <v>43195</v>
      </c>
      <c r="X369" t="s">
        <v>47430</v>
      </c>
    </row>
    <row r="370" spans="1:24">
      <c r="A370">
        <f>HYPERLINK("https://www.philgeps.gov.ph/GEPSNONPILOT/Tender/SplashBidNoticeAbstractUI.aspx?menuIndex=3&amp;refID=7162693&amp;Result=3","7162693")</f>
        <v>0</v>
      </c>
      <c r="B370" t="s">
        <v>179</v>
      </c>
      <c r="C370" t="s">
        <v>4289</v>
      </c>
      <c r="D370" t="s">
        <v>19062</v>
      </c>
      <c r="E370" t="s">
        <v>19438</v>
      </c>
      <c r="F370" t="s">
        <v>32831</v>
      </c>
      <c r="G370" t="s">
        <v>32838</v>
      </c>
      <c r="H370" t="s">
        <v>32848</v>
      </c>
      <c r="I370" t="s">
        <v>32870</v>
      </c>
      <c r="J370" t="s">
        <v>33162</v>
      </c>
      <c r="K370" t="s">
        <v>42731</v>
      </c>
      <c r="M370" t="s">
        <v>43177</v>
      </c>
      <c r="N370" t="s">
        <v>47424</v>
      </c>
      <c r="O370" t="s">
        <v>47425</v>
      </c>
      <c r="P370">
        <v>0</v>
      </c>
      <c r="Q370">
        <v>0</v>
      </c>
      <c r="R370" t="s">
        <v>47426</v>
      </c>
      <c r="S370" t="s">
        <v>47531</v>
      </c>
      <c r="T370" t="s">
        <v>49100</v>
      </c>
      <c r="U370" t="s">
        <v>49991</v>
      </c>
      <c r="W370" t="s">
        <v>43177</v>
      </c>
      <c r="X370" t="s">
        <v>47430</v>
      </c>
    </row>
    <row r="371" spans="1:24">
      <c r="A371">
        <f>HYPERLINK("https://www.philgeps.gov.ph/GEPSNONPILOT/Tender/SplashBidNoticeAbstractUI.aspx?menuIndex=3&amp;refID=7162698&amp;Result=3","7162698")</f>
        <v>0</v>
      </c>
      <c r="B371" t="s">
        <v>198</v>
      </c>
      <c r="C371" t="s">
        <v>4290</v>
      </c>
      <c r="D371" t="s">
        <v>19045</v>
      </c>
      <c r="E371" t="s">
        <v>19477</v>
      </c>
      <c r="F371" t="s">
        <v>32831</v>
      </c>
      <c r="G371" t="s">
        <v>32838</v>
      </c>
      <c r="H371" t="s">
        <v>32848</v>
      </c>
      <c r="I371" t="s">
        <v>32868</v>
      </c>
      <c r="J371" t="s">
        <v>33273</v>
      </c>
      <c r="K371" t="s">
        <v>42758</v>
      </c>
      <c r="M371" t="s">
        <v>43196</v>
      </c>
      <c r="N371" t="s">
        <v>47424</v>
      </c>
      <c r="O371" t="s">
        <v>47425</v>
      </c>
      <c r="P371">
        <v>0</v>
      </c>
      <c r="Q371">
        <v>2</v>
      </c>
      <c r="R371" t="s">
        <v>47426</v>
      </c>
      <c r="S371" t="s">
        <v>47531</v>
      </c>
      <c r="T371" t="s">
        <v>49100</v>
      </c>
      <c r="U371" t="s">
        <v>49992</v>
      </c>
      <c r="W371" t="s">
        <v>43196</v>
      </c>
      <c r="X371" t="s">
        <v>47430</v>
      </c>
    </row>
    <row r="372" spans="1:24">
      <c r="A372">
        <f>HYPERLINK("https://www.philgeps.gov.ph/GEPSNONPILOT/Tender/SplashBidNoticeAbstractUI.aspx?menuIndex=3&amp;refID=7162702&amp;Result=3","7162702")</f>
        <v>0</v>
      </c>
      <c r="B372" t="s">
        <v>187</v>
      </c>
      <c r="C372" t="s">
        <v>4291</v>
      </c>
      <c r="D372" t="s">
        <v>19041</v>
      </c>
      <c r="E372" t="s">
        <v>19478</v>
      </c>
      <c r="F372" t="s">
        <v>32831</v>
      </c>
      <c r="G372" t="s">
        <v>32838</v>
      </c>
      <c r="H372" t="s">
        <v>32848</v>
      </c>
      <c r="I372" t="s">
        <v>4558</v>
      </c>
      <c r="J372" t="s">
        <v>33274</v>
      </c>
      <c r="K372" t="s">
        <v>42731</v>
      </c>
      <c r="M372" t="s">
        <v>43185</v>
      </c>
      <c r="N372" t="s">
        <v>47424</v>
      </c>
      <c r="O372" t="s">
        <v>47425</v>
      </c>
      <c r="P372">
        <v>0</v>
      </c>
      <c r="Q372">
        <v>1</v>
      </c>
      <c r="R372" t="s">
        <v>47426</v>
      </c>
      <c r="S372" t="s">
        <v>47531</v>
      </c>
      <c r="T372" t="s">
        <v>49127</v>
      </c>
      <c r="U372" t="s">
        <v>49970</v>
      </c>
      <c r="W372" t="s">
        <v>43185</v>
      </c>
      <c r="X372" t="s">
        <v>47430</v>
      </c>
    </row>
    <row r="373" spans="1:24">
      <c r="A373">
        <f>HYPERLINK("https://www.philgeps.gov.ph/GEPSNONPILOT/Tender/SplashBidNoticeAbstractUI.aspx?menuIndex=3&amp;refID=7162672&amp;Result=3","7162672")</f>
        <v>0</v>
      </c>
      <c r="B373" t="s">
        <v>170</v>
      </c>
      <c r="C373" t="s">
        <v>4292</v>
      </c>
      <c r="D373" t="s">
        <v>19046</v>
      </c>
      <c r="E373" t="s">
        <v>19479</v>
      </c>
      <c r="F373" t="s">
        <v>32831</v>
      </c>
      <c r="G373" t="s">
        <v>32839</v>
      </c>
      <c r="H373" t="s">
        <v>32849</v>
      </c>
      <c r="I373" t="s">
        <v>4177</v>
      </c>
      <c r="J373" t="s">
        <v>33111</v>
      </c>
      <c r="K373" t="s">
        <v>42770</v>
      </c>
      <c r="M373" t="s">
        <v>43167</v>
      </c>
      <c r="N373" t="s">
        <v>47424</v>
      </c>
      <c r="O373" t="s">
        <v>47425</v>
      </c>
      <c r="P373">
        <v>0</v>
      </c>
      <c r="Q373">
        <v>1</v>
      </c>
      <c r="R373" t="s">
        <v>47426</v>
      </c>
      <c r="S373" t="s">
        <v>47531</v>
      </c>
      <c r="T373" t="s">
        <v>49140</v>
      </c>
      <c r="U373" t="s">
        <v>49993</v>
      </c>
      <c r="W373" t="s">
        <v>43167</v>
      </c>
      <c r="X373" t="s">
        <v>47430</v>
      </c>
    </row>
    <row r="374" spans="1:24">
      <c r="A374">
        <f>HYPERLINK("https://www.philgeps.gov.ph/GEPSNONPILOT/Tender/SplashBidNoticeAbstractUI.aspx?menuIndex=3&amp;refID=7162740&amp;Result=3","7162740")</f>
        <v>0</v>
      </c>
      <c r="B374" t="s">
        <v>44</v>
      </c>
      <c r="C374" t="s">
        <v>4293</v>
      </c>
      <c r="D374" t="s">
        <v>19033</v>
      </c>
      <c r="E374" t="s">
        <v>19480</v>
      </c>
      <c r="F374" t="s">
        <v>32831</v>
      </c>
      <c r="G374" t="s">
        <v>32840</v>
      </c>
      <c r="H374" t="s">
        <v>32848</v>
      </c>
      <c r="I374" t="s">
        <v>4303</v>
      </c>
      <c r="J374" t="s">
        <v>33040</v>
      </c>
      <c r="K374" t="s">
        <v>42748</v>
      </c>
      <c r="M374" t="s">
        <v>43041</v>
      </c>
      <c r="N374" t="s">
        <v>47424</v>
      </c>
      <c r="O374" t="s">
        <v>47425</v>
      </c>
      <c r="P374">
        <v>0</v>
      </c>
      <c r="Q374">
        <v>1</v>
      </c>
      <c r="R374" t="s">
        <v>47426</v>
      </c>
      <c r="S374" t="s">
        <v>47531</v>
      </c>
      <c r="T374" t="s">
        <v>49061</v>
      </c>
      <c r="U374" t="s">
        <v>49994</v>
      </c>
      <c r="W374" t="s">
        <v>43041</v>
      </c>
      <c r="X374" t="s">
        <v>47430</v>
      </c>
    </row>
    <row r="375" spans="1:24">
      <c r="A375">
        <f>HYPERLINK("https://www.philgeps.gov.ph/GEPSNONPILOT/Tender/SplashBidNoticeAbstractUI.aspx?menuIndex=3&amp;refID=7162757&amp;Result=3","7162757")</f>
        <v>0</v>
      </c>
      <c r="B375" t="s">
        <v>136</v>
      </c>
      <c r="C375" t="s">
        <v>4294</v>
      </c>
      <c r="D375" t="s">
        <v>19047</v>
      </c>
      <c r="E375" t="s">
        <v>19481</v>
      </c>
      <c r="F375" t="s">
        <v>32831</v>
      </c>
      <c r="G375" t="s">
        <v>32838</v>
      </c>
      <c r="H375" t="s">
        <v>32848</v>
      </c>
      <c r="I375" t="s">
        <v>4776</v>
      </c>
      <c r="J375" t="s">
        <v>33275</v>
      </c>
      <c r="K375" t="s">
        <v>42730</v>
      </c>
      <c r="L375" t="s">
        <v>136</v>
      </c>
      <c r="M375" t="s">
        <v>43133</v>
      </c>
      <c r="N375" t="s">
        <v>47424</v>
      </c>
      <c r="O375" t="s">
        <v>47425</v>
      </c>
      <c r="P375">
        <v>0</v>
      </c>
      <c r="Q375">
        <v>6</v>
      </c>
      <c r="R375" t="s">
        <v>47426</v>
      </c>
      <c r="S375" t="s">
        <v>47531</v>
      </c>
      <c r="T375" t="s">
        <v>49068</v>
      </c>
      <c r="U375" t="s">
        <v>49995</v>
      </c>
      <c r="W375" t="s">
        <v>43133</v>
      </c>
      <c r="X375" t="s">
        <v>47430</v>
      </c>
    </row>
    <row r="376" spans="1:24">
      <c r="A376">
        <f>HYPERLINK("https://www.philgeps.gov.ph/GEPSNONPILOT/Tender/SplashBidNoticeAbstractUI.aspx?menuIndex=3&amp;refID=7162751&amp;Result=3","7162751")</f>
        <v>0</v>
      </c>
      <c r="B376" t="s">
        <v>187</v>
      </c>
      <c r="C376" t="s">
        <v>4295</v>
      </c>
      <c r="D376" t="s">
        <v>19041</v>
      </c>
      <c r="E376" t="s">
        <v>19482</v>
      </c>
      <c r="F376" t="s">
        <v>32831</v>
      </c>
      <c r="G376" t="s">
        <v>32838</v>
      </c>
      <c r="H376" t="s">
        <v>32848</v>
      </c>
      <c r="I376" t="s">
        <v>4558</v>
      </c>
      <c r="J376" t="s">
        <v>33276</v>
      </c>
      <c r="K376" t="s">
        <v>42731</v>
      </c>
      <c r="M376" t="s">
        <v>43185</v>
      </c>
      <c r="N376" t="s">
        <v>47424</v>
      </c>
      <c r="O376" t="s">
        <v>47425</v>
      </c>
      <c r="P376">
        <v>0</v>
      </c>
      <c r="Q376">
        <v>0</v>
      </c>
      <c r="R376" t="s">
        <v>47426</v>
      </c>
      <c r="S376" t="s">
        <v>47531</v>
      </c>
      <c r="T376" t="s">
        <v>49127</v>
      </c>
      <c r="U376" t="s">
        <v>49970</v>
      </c>
      <c r="W376" t="s">
        <v>43185</v>
      </c>
      <c r="X376" t="s">
        <v>47430</v>
      </c>
    </row>
    <row r="377" spans="1:24">
      <c r="A377">
        <f>HYPERLINK("https://www.philgeps.gov.ph/GEPSNONPILOT/Tender/SplashBidNoticeAbstractUI.aspx?menuIndex=3&amp;refID=7162695&amp;Result=3","7162695")</f>
        <v>0</v>
      </c>
      <c r="B377" t="s">
        <v>180</v>
      </c>
      <c r="C377" t="s">
        <v>4296</v>
      </c>
      <c r="D377" t="s">
        <v>19021</v>
      </c>
      <c r="E377" t="s">
        <v>19483</v>
      </c>
      <c r="F377" t="s">
        <v>32831</v>
      </c>
      <c r="G377" t="s">
        <v>32838</v>
      </c>
      <c r="H377" t="s">
        <v>32848</v>
      </c>
      <c r="I377" t="s">
        <v>4340</v>
      </c>
      <c r="J377" t="s">
        <v>33277</v>
      </c>
      <c r="K377" t="s">
        <v>42732</v>
      </c>
      <c r="M377" t="s">
        <v>43178</v>
      </c>
      <c r="N377" t="s">
        <v>47424</v>
      </c>
      <c r="O377" t="s">
        <v>47425</v>
      </c>
      <c r="P377">
        <v>0</v>
      </c>
      <c r="Q377">
        <v>0</v>
      </c>
      <c r="R377" t="s">
        <v>47426</v>
      </c>
      <c r="S377" t="s">
        <v>47531</v>
      </c>
      <c r="T377" t="s">
        <v>49100</v>
      </c>
      <c r="U377" t="s">
        <v>49996</v>
      </c>
      <c r="W377" t="s">
        <v>43178</v>
      </c>
      <c r="X377" t="s">
        <v>47430</v>
      </c>
    </row>
    <row r="378" spans="1:24">
      <c r="A378">
        <f>HYPERLINK("https://www.philgeps.gov.ph/GEPSNONPILOT/Tender/SplashBidNoticeAbstractUI.aspx?menuIndex=3&amp;refID=7162748&amp;Result=3","7162748")</f>
        <v>0</v>
      </c>
      <c r="B378" t="s">
        <v>180</v>
      </c>
      <c r="C378" t="s">
        <v>4297</v>
      </c>
      <c r="D378" t="s">
        <v>19021</v>
      </c>
      <c r="E378" t="s">
        <v>19484</v>
      </c>
      <c r="F378" t="s">
        <v>32831</v>
      </c>
      <c r="G378" t="s">
        <v>32838</v>
      </c>
      <c r="H378" t="s">
        <v>32848</v>
      </c>
      <c r="I378" t="s">
        <v>32867</v>
      </c>
      <c r="J378" t="s">
        <v>33278</v>
      </c>
      <c r="K378" t="s">
        <v>42732</v>
      </c>
      <c r="M378" t="s">
        <v>43178</v>
      </c>
      <c r="N378" t="s">
        <v>47424</v>
      </c>
      <c r="O378" t="s">
        <v>47425</v>
      </c>
      <c r="P378">
        <v>0</v>
      </c>
      <c r="Q378">
        <v>1</v>
      </c>
      <c r="R378" t="s">
        <v>47426</v>
      </c>
      <c r="S378" t="s">
        <v>47531</v>
      </c>
      <c r="T378" t="s">
        <v>49100</v>
      </c>
      <c r="U378" t="s">
        <v>49997</v>
      </c>
      <c r="W378" t="s">
        <v>43178</v>
      </c>
      <c r="X378" t="s">
        <v>47430</v>
      </c>
    </row>
    <row r="379" spans="1:24">
      <c r="A379">
        <f>HYPERLINK("https://www.philgeps.gov.ph/GEPSNONPILOT/Tender/SplashBidNoticeAbstractUI.aspx?menuIndex=3&amp;refID=7162806&amp;Result=3","7162806")</f>
        <v>0</v>
      </c>
      <c r="B379" t="s">
        <v>199</v>
      </c>
      <c r="C379" t="s">
        <v>4298</v>
      </c>
      <c r="D379" t="s">
        <v>19017</v>
      </c>
      <c r="E379" t="s">
        <v>19485</v>
      </c>
      <c r="F379" t="s">
        <v>32831</v>
      </c>
      <c r="G379" t="s">
        <v>32842</v>
      </c>
      <c r="H379" t="s">
        <v>32848</v>
      </c>
      <c r="I379" t="s">
        <v>10805</v>
      </c>
      <c r="J379" t="s">
        <v>33279</v>
      </c>
      <c r="K379" t="s">
        <v>42745</v>
      </c>
      <c r="M379" t="s">
        <v>43197</v>
      </c>
      <c r="N379" t="s">
        <v>47424</v>
      </c>
      <c r="O379" t="s">
        <v>47425</v>
      </c>
      <c r="P379">
        <v>0</v>
      </c>
      <c r="Q379">
        <v>1</v>
      </c>
      <c r="R379" t="s">
        <v>47426</v>
      </c>
      <c r="S379" t="s">
        <v>47531</v>
      </c>
      <c r="T379" t="s">
        <v>49123</v>
      </c>
      <c r="U379" t="s">
        <v>49998</v>
      </c>
      <c r="W379" t="s">
        <v>43197</v>
      </c>
      <c r="X379" t="s">
        <v>47430</v>
      </c>
    </row>
    <row r="380" spans="1:24">
      <c r="A380">
        <f>HYPERLINK("https://www.philgeps.gov.ph/GEPSNONPILOT/Tender/SplashBidNoticeAbstractUI.aspx?menuIndex=3&amp;refID=7162735&amp;Result=3","7162735")</f>
        <v>0</v>
      </c>
      <c r="B380" t="s">
        <v>92</v>
      </c>
      <c r="C380" t="s">
        <v>4299</v>
      </c>
      <c r="D380" t="s">
        <v>19051</v>
      </c>
      <c r="E380" t="s">
        <v>19260</v>
      </c>
      <c r="F380" t="s">
        <v>32831</v>
      </c>
      <c r="G380" t="s">
        <v>32839</v>
      </c>
      <c r="H380" t="s">
        <v>32849</v>
      </c>
      <c r="I380" t="s">
        <v>4177</v>
      </c>
      <c r="J380" t="s">
        <v>33055</v>
      </c>
      <c r="K380" t="s">
        <v>42732</v>
      </c>
      <c r="M380" t="s">
        <v>43089</v>
      </c>
      <c r="N380" t="s">
        <v>47424</v>
      </c>
      <c r="O380" t="s">
        <v>47425</v>
      </c>
      <c r="P380">
        <v>0</v>
      </c>
      <c r="Q380">
        <v>0</v>
      </c>
      <c r="R380" t="s">
        <v>47426</v>
      </c>
      <c r="S380" t="s">
        <v>47531</v>
      </c>
      <c r="T380" t="s">
        <v>49065</v>
      </c>
      <c r="U380" t="s">
        <v>49999</v>
      </c>
      <c r="V380" t="s">
        <v>62640</v>
      </c>
      <c r="W380" t="s">
        <v>43089</v>
      </c>
      <c r="X380" t="s">
        <v>47430</v>
      </c>
    </row>
    <row r="381" spans="1:24">
      <c r="A381">
        <f>HYPERLINK("https://www.philgeps.gov.ph/GEPSNONPILOT/Tender/SplashBidNoticeAbstractUI.aspx?menuIndex=3&amp;refID=7162805&amp;Result=3","7162805")</f>
        <v>0</v>
      </c>
      <c r="B381" t="s">
        <v>200</v>
      </c>
      <c r="C381" t="s">
        <v>4300</v>
      </c>
      <c r="D381" t="s">
        <v>19042</v>
      </c>
      <c r="E381" t="s">
        <v>19486</v>
      </c>
      <c r="F381" t="s">
        <v>32831</v>
      </c>
      <c r="G381" t="s">
        <v>32838</v>
      </c>
      <c r="H381" t="s">
        <v>32848</v>
      </c>
      <c r="I381" t="s">
        <v>4438</v>
      </c>
      <c r="J381" t="s">
        <v>33280</v>
      </c>
      <c r="K381" t="s">
        <v>42726</v>
      </c>
      <c r="M381" t="s">
        <v>43198</v>
      </c>
      <c r="N381" t="s">
        <v>47424</v>
      </c>
      <c r="O381" t="s">
        <v>47425</v>
      </c>
      <c r="P381">
        <v>0</v>
      </c>
      <c r="Q381">
        <v>0</v>
      </c>
      <c r="R381" t="s">
        <v>47426</v>
      </c>
      <c r="S381" t="s">
        <v>47531</v>
      </c>
      <c r="T381" t="s">
        <v>49144</v>
      </c>
      <c r="U381" t="s">
        <v>50000</v>
      </c>
      <c r="W381" t="s">
        <v>43198</v>
      </c>
      <c r="X381" t="s">
        <v>47430</v>
      </c>
    </row>
    <row r="382" spans="1:24">
      <c r="A382">
        <f>HYPERLINK("https://www.philgeps.gov.ph/GEPSNONPILOT/Tender/SplashBidNoticeAbstractUI.aspx?menuIndex=3&amp;refID=7162798&amp;Result=3","7162798")</f>
        <v>0</v>
      </c>
      <c r="B382" t="s">
        <v>201</v>
      </c>
      <c r="C382" t="s">
        <v>4301</v>
      </c>
      <c r="E382" t="s">
        <v>19487</v>
      </c>
      <c r="F382" t="s">
        <v>32831</v>
      </c>
      <c r="G382" t="s">
        <v>32838</v>
      </c>
      <c r="H382" t="s">
        <v>32848</v>
      </c>
      <c r="I382" t="s">
        <v>32889</v>
      </c>
      <c r="J382" t="s">
        <v>33281</v>
      </c>
      <c r="K382" t="s">
        <v>42732</v>
      </c>
      <c r="M382" t="s">
        <v>43199</v>
      </c>
      <c r="N382" t="s">
        <v>47424</v>
      </c>
      <c r="O382" t="s">
        <v>47425</v>
      </c>
      <c r="P382">
        <v>0</v>
      </c>
      <c r="Q382">
        <v>0</v>
      </c>
      <c r="R382" t="s">
        <v>47426</v>
      </c>
      <c r="S382" t="s">
        <v>47531</v>
      </c>
      <c r="T382" t="s">
        <v>49129</v>
      </c>
      <c r="U382" t="s">
        <v>50001</v>
      </c>
      <c r="W382" t="s">
        <v>43199</v>
      </c>
      <c r="X382" t="s">
        <v>47430</v>
      </c>
    </row>
    <row r="383" spans="1:24">
      <c r="A383">
        <f>HYPERLINK("https://www.philgeps.gov.ph/GEPSNONPILOT/Tender/SplashBidNoticeAbstractUI.aspx?menuIndex=3&amp;refID=7162743&amp;Result=3","7162743")</f>
        <v>0</v>
      </c>
      <c r="B383" t="s">
        <v>202</v>
      </c>
      <c r="C383" t="s">
        <v>4302</v>
      </c>
      <c r="D383" t="s">
        <v>19057</v>
      </c>
      <c r="E383" t="s">
        <v>19488</v>
      </c>
      <c r="F383" t="s">
        <v>32831</v>
      </c>
      <c r="G383" t="s">
        <v>32839</v>
      </c>
      <c r="H383" t="s">
        <v>32849</v>
      </c>
      <c r="I383" t="s">
        <v>4177</v>
      </c>
      <c r="J383" t="s">
        <v>33282</v>
      </c>
      <c r="K383" t="s">
        <v>42745</v>
      </c>
      <c r="M383" t="s">
        <v>43200</v>
      </c>
      <c r="N383" t="s">
        <v>47424</v>
      </c>
      <c r="O383" t="s">
        <v>47425</v>
      </c>
      <c r="P383">
        <v>0</v>
      </c>
      <c r="Q383">
        <v>0</v>
      </c>
      <c r="R383" t="s">
        <v>47426</v>
      </c>
      <c r="S383" t="s">
        <v>47531</v>
      </c>
      <c r="T383" t="s">
        <v>49070</v>
      </c>
      <c r="U383" t="s">
        <v>50002</v>
      </c>
      <c r="W383" t="s">
        <v>43200</v>
      </c>
      <c r="X383" t="s">
        <v>47430</v>
      </c>
    </row>
    <row r="384" spans="1:24">
      <c r="A384">
        <f>HYPERLINK("https://www.philgeps.gov.ph/GEPSNONPILOT/Tender/SplashBidNoticeAbstractUI.aspx?menuIndex=3&amp;refID=7162797&amp;Result=3","7162797")</f>
        <v>0</v>
      </c>
      <c r="B384" t="s">
        <v>203</v>
      </c>
      <c r="C384" t="s">
        <v>4303</v>
      </c>
      <c r="D384" t="s">
        <v>19065</v>
      </c>
      <c r="E384" t="s">
        <v>19489</v>
      </c>
      <c r="F384" t="s">
        <v>32831</v>
      </c>
      <c r="G384" t="s">
        <v>32838</v>
      </c>
      <c r="H384" t="s">
        <v>32848</v>
      </c>
      <c r="I384" t="s">
        <v>4303</v>
      </c>
      <c r="J384" t="s">
        <v>33127</v>
      </c>
      <c r="K384" t="s">
        <v>42726</v>
      </c>
      <c r="M384" t="s">
        <v>43201</v>
      </c>
      <c r="N384" t="s">
        <v>47424</v>
      </c>
      <c r="O384" t="s">
        <v>47425</v>
      </c>
      <c r="P384">
        <v>0</v>
      </c>
      <c r="Q384">
        <v>1</v>
      </c>
      <c r="R384" t="s">
        <v>47426</v>
      </c>
      <c r="S384" t="s">
        <v>47531</v>
      </c>
      <c r="T384" t="s">
        <v>49108</v>
      </c>
      <c r="U384" t="s">
        <v>50003</v>
      </c>
      <c r="W384" t="s">
        <v>43201</v>
      </c>
      <c r="X384" t="s">
        <v>47430</v>
      </c>
    </row>
    <row r="385" spans="1:24">
      <c r="A385">
        <f>HYPERLINK("https://www.philgeps.gov.ph/GEPSNONPILOT/Tender/SplashBidNoticeAbstractUI.aspx?menuIndex=3&amp;refID=7162742&amp;Result=3","7162742")</f>
        <v>0</v>
      </c>
      <c r="B385" t="s">
        <v>187</v>
      </c>
      <c r="C385" t="s">
        <v>4304</v>
      </c>
      <c r="D385" t="s">
        <v>19041</v>
      </c>
      <c r="E385" t="s">
        <v>19490</v>
      </c>
      <c r="F385" t="s">
        <v>32831</v>
      </c>
      <c r="G385" t="s">
        <v>32838</v>
      </c>
      <c r="H385" t="s">
        <v>32848</v>
      </c>
      <c r="I385" t="s">
        <v>4222</v>
      </c>
      <c r="J385" t="s">
        <v>33283</v>
      </c>
      <c r="K385" t="s">
        <v>42731</v>
      </c>
      <c r="M385" t="s">
        <v>43185</v>
      </c>
      <c r="N385" t="s">
        <v>47424</v>
      </c>
      <c r="O385" t="s">
        <v>47425</v>
      </c>
      <c r="P385">
        <v>0</v>
      </c>
      <c r="Q385">
        <v>0</v>
      </c>
      <c r="R385" t="s">
        <v>47426</v>
      </c>
      <c r="S385" t="s">
        <v>47531</v>
      </c>
      <c r="T385" t="s">
        <v>49127</v>
      </c>
      <c r="U385" t="s">
        <v>49970</v>
      </c>
      <c r="W385" t="s">
        <v>43185</v>
      </c>
      <c r="X385" t="s">
        <v>47430</v>
      </c>
    </row>
    <row r="386" spans="1:24">
      <c r="A386">
        <f>HYPERLINK("https://www.philgeps.gov.ph/GEPSNONPILOT/Tender/SplashBidNoticeAbstractUI.aspx?menuIndex=3&amp;refID=7162821&amp;Result=3","7162821")</f>
        <v>0</v>
      </c>
      <c r="B386" t="s">
        <v>204</v>
      </c>
      <c r="C386" t="s">
        <v>4305</v>
      </c>
      <c r="D386" t="s">
        <v>19023</v>
      </c>
      <c r="E386" t="s">
        <v>19491</v>
      </c>
      <c r="F386" t="s">
        <v>32831</v>
      </c>
      <c r="G386" t="s">
        <v>32838</v>
      </c>
      <c r="H386" t="s">
        <v>32848</v>
      </c>
      <c r="I386" t="s">
        <v>32855</v>
      </c>
      <c r="J386" t="s">
        <v>33284</v>
      </c>
      <c r="K386" t="s">
        <v>42726</v>
      </c>
      <c r="M386" t="s">
        <v>43202</v>
      </c>
      <c r="N386" t="s">
        <v>47424</v>
      </c>
      <c r="O386" t="s">
        <v>47425</v>
      </c>
      <c r="P386">
        <v>0</v>
      </c>
      <c r="Q386">
        <v>8</v>
      </c>
      <c r="R386" t="s">
        <v>47426</v>
      </c>
      <c r="S386" t="s">
        <v>47531</v>
      </c>
      <c r="T386" t="s">
        <v>49068</v>
      </c>
      <c r="U386" t="s">
        <v>50004</v>
      </c>
      <c r="W386" t="s">
        <v>43202</v>
      </c>
      <c r="X386" t="s">
        <v>47430</v>
      </c>
    </row>
    <row r="387" spans="1:24">
      <c r="A387">
        <f>HYPERLINK("https://www.philgeps.gov.ph/GEPSNONPILOT/Tender/SplashBidNoticeAbstractUI.aspx?menuIndex=3&amp;refID=7162807&amp;Result=3","7162807")</f>
        <v>0</v>
      </c>
      <c r="B387" t="s">
        <v>128</v>
      </c>
      <c r="C387" t="s">
        <v>4306</v>
      </c>
      <c r="D387" t="s">
        <v>19042</v>
      </c>
      <c r="E387" t="s">
        <v>19492</v>
      </c>
      <c r="F387" t="s">
        <v>32831</v>
      </c>
      <c r="G387" t="s">
        <v>32839</v>
      </c>
      <c r="H387" t="s">
        <v>32848</v>
      </c>
      <c r="I387" t="s">
        <v>7751</v>
      </c>
      <c r="J387" t="s">
        <v>33285</v>
      </c>
      <c r="K387" t="s">
        <v>42764</v>
      </c>
      <c r="M387" t="s">
        <v>43125</v>
      </c>
      <c r="N387" t="s">
        <v>47424</v>
      </c>
      <c r="O387" t="s">
        <v>47425</v>
      </c>
      <c r="P387">
        <v>0</v>
      </c>
      <c r="Q387">
        <v>2</v>
      </c>
      <c r="R387" t="s">
        <v>47426</v>
      </c>
      <c r="S387" t="s">
        <v>47531</v>
      </c>
      <c r="T387" t="s">
        <v>49072</v>
      </c>
      <c r="U387" t="s">
        <v>50005</v>
      </c>
      <c r="W387" t="s">
        <v>43125</v>
      </c>
      <c r="X387" t="s">
        <v>47430</v>
      </c>
    </row>
    <row r="388" spans="1:24">
      <c r="A388">
        <f>HYPERLINK("https://www.philgeps.gov.ph/GEPSNONPILOT/Tender/SplashBidNoticeAbstractUI.aspx?menuIndex=3&amp;refID=7162800&amp;Result=3","7162800")</f>
        <v>0</v>
      </c>
      <c r="B388" t="s">
        <v>199</v>
      </c>
      <c r="C388" t="s">
        <v>4307</v>
      </c>
      <c r="D388" t="s">
        <v>19017</v>
      </c>
      <c r="E388" t="s">
        <v>19493</v>
      </c>
      <c r="F388" t="s">
        <v>32831</v>
      </c>
      <c r="G388" t="s">
        <v>32842</v>
      </c>
      <c r="H388" t="s">
        <v>32848</v>
      </c>
      <c r="I388" t="s">
        <v>32857</v>
      </c>
      <c r="J388" t="s">
        <v>33286</v>
      </c>
      <c r="K388" t="s">
        <v>42731</v>
      </c>
      <c r="M388" t="s">
        <v>43197</v>
      </c>
      <c r="N388" t="s">
        <v>47424</v>
      </c>
      <c r="O388" t="s">
        <v>47425</v>
      </c>
      <c r="P388">
        <v>0</v>
      </c>
      <c r="Q388">
        <v>5</v>
      </c>
      <c r="R388" t="s">
        <v>47426</v>
      </c>
      <c r="S388" t="s">
        <v>47531</v>
      </c>
      <c r="T388" t="s">
        <v>49123</v>
      </c>
      <c r="U388" t="s">
        <v>50006</v>
      </c>
      <c r="W388" t="s">
        <v>43197</v>
      </c>
      <c r="X388" t="s">
        <v>47430</v>
      </c>
    </row>
    <row r="389" spans="1:24">
      <c r="A389">
        <f>HYPERLINK("https://www.philgeps.gov.ph/GEPSNONPILOT/Tender/SplashBidNoticeAbstractUI.aspx?menuIndex=3&amp;refID=7162796&amp;Result=3","7162796")</f>
        <v>0</v>
      </c>
      <c r="B389" t="s">
        <v>200</v>
      </c>
      <c r="C389" t="s">
        <v>4308</v>
      </c>
      <c r="D389" t="s">
        <v>19042</v>
      </c>
      <c r="E389" t="s">
        <v>19494</v>
      </c>
      <c r="F389" t="s">
        <v>32831</v>
      </c>
      <c r="G389" t="s">
        <v>32838</v>
      </c>
      <c r="H389" t="s">
        <v>32848</v>
      </c>
      <c r="I389" t="s">
        <v>4438</v>
      </c>
      <c r="J389" t="s">
        <v>33287</v>
      </c>
      <c r="K389" t="s">
        <v>42726</v>
      </c>
      <c r="M389" t="s">
        <v>43198</v>
      </c>
      <c r="N389" t="s">
        <v>47424</v>
      </c>
      <c r="O389" t="s">
        <v>47425</v>
      </c>
      <c r="P389">
        <v>0</v>
      </c>
      <c r="Q389">
        <v>0</v>
      </c>
      <c r="R389" t="s">
        <v>47426</v>
      </c>
      <c r="S389" t="s">
        <v>47531</v>
      </c>
      <c r="T389" t="s">
        <v>49125</v>
      </c>
      <c r="U389" t="s">
        <v>50000</v>
      </c>
      <c r="W389" t="s">
        <v>43198</v>
      </c>
      <c r="X389" t="s">
        <v>47430</v>
      </c>
    </row>
    <row r="390" spans="1:24">
      <c r="A390">
        <f>HYPERLINK("https://www.philgeps.gov.ph/GEPSNONPILOT/Tender/SplashBidNoticeAbstractUI.aspx?menuIndex=3&amp;refID=7162790&amp;Result=3","7162790")</f>
        <v>0</v>
      </c>
      <c r="B390" t="s">
        <v>205</v>
      </c>
      <c r="C390" t="s">
        <v>4309</v>
      </c>
      <c r="D390" t="s">
        <v>19055</v>
      </c>
      <c r="E390" t="s">
        <v>19495</v>
      </c>
      <c r="F390" t="s">
        <v>32831</v>
      </c>
      <c r="G390" t="s">
        <v>32839</v>
      </c>
      <c r="H390" t="s">
        <v>32848</v>
      </c>
      <c r="I390" t="s">
        <v>11727</v>
      </c>
      <c r="J390" t="s">
        <v>33288</v>
      </c>
      <c r="K390" t="s">
        <v>42730</v>
      </c>
      <c r="M390" t="s">
        <v>43203</v>
      </c>
      <c r="N390" t="s">
        <v>47424</v>
      </c>
      <c r="O390" t="s">
        <v>47425</v>
      </c>
      <c r="P390">
        <v>0</v>
      </c>
      <c r="Q390">
        <v>2</v>
      </c>
      <c r="R390" t="s">
        <v>47426</v>
      </c>
      <c r="S390" t="s">
        <v>47531</v>
      </c>
      <c r="T390" t="s">
        <v>49065</v>
      </c>
      <c r="U390" t="s">
        <v>50007</v>
      </c>
      <c r="W390" t="s">
        <v>43203</v>
      </c>
      <c r="X390" t="s">
        <v>47430</v>
      </c>
    </row>
    <row r="391" spans="1:24">
      <c r="A391">
        <f>HYPERLINK("https://www.philgeps.gov.ph/GEPSNONPILOT/Tender/SplashBidNoticeAbstractUI.aspx?menuIndex=3&amp;refID=7162692&amp;Result=3","7162692")</f>
        <v>0</v>
      </c>
      <c r="B391" t="s">
        <v>187</v>
      </c>
      <c r="C391" t="s">
        <v>4310</v>
      </c>
      <c r="D391" t="s">
        <v>19041</v>
      </c>
      <c r="E391" t="s">
        <v>19457</v>
      </c>
      <c r="F391" t="s">
        <v>32831</v>
      </c>
      <c r="G391" t="s">
        <v>32838</v>
      </c>
      <c r="H391" t="s">
        <v>32848</v>
      </c>
      <c r="I391" t="s">
        <v>8781</v>
      </c>
      <c r="J391" t="s">
        <v>33289</v>
      </c>
      <c r="K391" t="s">
        <v>42731</v>
      </c>
      <c r="M391" t="s">
        <v>43185</v>
      </c>
      <c r="N391" t="s">
        <v>47424</v>
      </c>
      <c r="O391" t="s">
        <v>47425</v>
      </c>
      <c r="P391">
        <v>0</v>
      </c>
      <c r="Q391">
        <v>0</v>
      </c>
      <c r="R391" t="s">
        <v>47426</v>
      </c>
      <c r="S391" t="s">
        <v>47531</v>
      </c>
      <c r="T391" t="s">
        <v>49127</v>
      </c>
      <c r="U391" t="s">
        <v>49970</v>
      </c>
      <c r="W391" t="s">
        <v>43185</v>
      </c>
      <c r="X391" t="s">
        <v>47430</v>
      </c>
    </row>
    <row r="392" spans="1:24">
      <c r="A392">
        <f>HYPERLINK("https://www.philgeps.gov.ph/GEPSNONPILOT/Tender/SplashBidNoticeAbstractUI.aspx?menuIndex=3&amp;refID=7162777&amp;Result=3","7162777")</f>
        <v>0</v>
      </c>
      <c r="B392" t="s">
        <v>136</v>
      </c>
      <c r="C392" t="s">
        <v>4311</v>
      </c>
      <c r="D392" t="s">
        <v>19047</v>
      </c>
      <c r="E392" t="s">
        <v>19496</v>
      </c>
      <c r="F392" t="s">
        <v>32831</v>
      </c>
      <c r="G392" t="s">
        <v>32838</v>
      </c>
      <c r="H392" t="s">
        <v>32848</v>
      </c>
      <c r="I392" t="s">
        <v>9577</v>
      </c>
      <c r="J392" t="s">
        <v>33290</v>
      </c>
      <c r="K392" t="s">
        <v>42730</v>
      </c>
      <c r="L392" t="s">
        <v>136</v>
      </c>
      <c r="M392" t="s">
        <v>43133</v>
      </c>
      <c r="N392" t="s">
        <v>47424</v>
      </c>
      <c r="O392" t="s">
        <v>47425</v>
      </c>
      <c r="P392">
        <v>0</v>
      </c>
      <c r="Q392">
        <v>2</v>
      </c>
      <c r="R392" t="s">
        <v>47426</v>
      </c>
      <c r="S392" t="s">
        <v>47531</v>
      </c>
      <c r="T392" t="s">
        <v>49068</v>
      </c>
      <c r="U392" t="s">
        <v>50008</v>
      </c>
      <c r="W392" t="s">
        <v>43133</v>
      </c>
      <c r="X392" t="s">
        <v>47430</v>
      </c>
    </row>
    <row r="393" spans="1:24">
      <c r="A393">
        <f>HYPERLINK("https://www.philgeps.gov.ph/GEPSNONPILOT/Tender/SplashBidNoticeAbstractUI.aspx?menuIndex=3&amp;refID=7162770&amp;Result=3","7162770")</f>
        <v>0</v>
      </c>
      <c r="B393" t="s">
        <v>206</v>
      </c>
      <c r="C393" t="s">
        <v>4312</v>
      </c>
      <c r="D393" t="s">
        <v>19017</v>
      </c>
      <c r="E393" t="s">
        <v>19497</v>
      </c>
      <c r="F393" t="s">
        <v>32831</v>
      </c>
      <c r="G393" t="s">
        <v>32838</v>
      </c>
      <c r="H393" t="s">
        <v>32848</v>
      </c>
      <c r="I393" t="s">
        <v>32858</v>
      </c>
      <c r="J393" t="s">
        <v>33291</v>
      </c>
      <c r="K393" t="s">
        <v>42726</v>
      </c>
      <c r="M393" t="s">
        <v>43204</v>
      </c>
      <c r="N393" t="s">
        <v>47424</v>
      </c>
      <c r="O393" t="s">
        <v>47425</v>
      </c>
      <c r="P393">
        <v>0</v>
      </c>
      <c r="Q393">
        <v>2</v>
      </c>
      <c r="R393" t="s">
        <v>47426</v>
      </c>
      <c r="S393" t="s">
        <v>47531</v>
      </c>
      <c r="T393" t="s">
        <v>49056</v>
      </c>
      <c r="U393" t="s">
        <v>50009</v>
      </c>
      <c r="W393" t="s">
        <v>43204</v>
      </c>
      <c r="X393" t="s">
        <v>47430</v>
      </c>
    </row>
    <row r="394" spans="1:24">
      <c r="A394">
        <f>HYPERLINK("https://www.philgeps.gov.ph/GEPSNONPILOT/Tender/SplashBidNoticeAbstractUI.aspx?menuIndex=3&amp;refID=7162769&amp;Result=3","7162769")</f>
        <v>0</v>
      </c>
      <c r="B394" t="s">
        <v>207</v>
      </c>
      <c r="C394" t="s">
        <v>4313</v>
      </c>
      <c r="D394" t="s">
        <v>19050</v>
      </c>
      <c r="E394" t="s">
        <v>19498</v>
      </c>
      <c r="F394" t="s">
        <v>32831</v>
      </c>
      <c r="G394" t="s">
        <v>32839</v>
      </c>
      <c r="H394" t="s">
        <v>32848</v>
      </c>
      <c r="I394" t="s">
        <v>32890</v>
      </c>
      <c r="J394" t="s">
        <v>33292</v>
      </c>
      <c r="K394" t="s">
        <v>42732</v>
      </c>
      <c r="M394" t="s">
        <v>43205</v>
      </c>
      <c r="N394" t="s">
        <v>47424</v>
      </c>
      <c r="O394" t="s">
        <v>47425</v>
      </c>
      <c r="P394">
        <v>0</v>
      </c>
      <c r="Q394">
        <v>0</v>
      </c>
      <c r="R394" t="s">
        <v>47426</v>
      </c>
      <c r="S394" t="s">
        <v>47531</v>
      </c>
      <c r="T394" t="s">
        <v>49069</v>
      </c>
      <c r="U394" t="s">
        <v>50010</v>
      </c>
      <c r="W394" t="s">
        <v>64433</v>
      </c>
      <c r="X394" t="s">
        <v>47430</v>
      </c>
    </row>
    <row r="395" spans="1:24">
      <c r="A395">
        <f>HYPERLINK("https://www.philgeps.gov.ph/GEPSNONPILOT/Tender/SplashBidNoticeAbstractUI.aspx?menuIndex=3&amp;refID=7162765&amp;Result=3","7162765")</f>
        <v>0</v>
      </c>
      <c r="B395" t="s">
        <v>92</v>
      </c>
      <c r="C395" t="s">
        <v>4314</v>
      </c>
      <c r="D395" t="s">
        <v>19051</v>
      </c>
      <c r="E395" t="s">
        <v>19260</v>
      </c>
      <c r="F395" t="s">
        <v>32831</v>
      </c>
      <c r="G395" t="s">
        <v>32839</v>
      </c>
      <c r="H395" t="s">
        <v>32849</v>
      </c>
      <c r="I395" t="s">
        <v>4177</v>
      </c>
      <c r="J395" t="s">
        <v>33083</v>
      </c>
      <c r="K395" t="s">
        <v>42732</v>
      </c>
      <c r="M395" t="s">
        <v>43089</v>
      </c>
      <c r="N395" t="s">
        <v>47424</v>
      </c>
      <c r="O395" t="s">
        <v>47425</v>
      </c>
      <c r="P395">
        <v>0</v>
      </c>
      <c r="Q395">
        <v>0</v>
      </c>
      <c r="R395" t="s">
        <v>47426</v>
      </c>
      <c r="S395" t="s">
        <v>47531</v>
      </c>
      <c r="T395" t="s">
        <v>49065</v>
      </c>
      <c r="U395" t="s">
        <v>50011</v>
      </c>
      <c r="V395" t="s">
        <v>62640</v>
      </c>
      <c r="W395" t="s">
        <v>43089</v>
      </c>
      <c r="X395" t="s">
        <v>47430</v>
      </c>
    </row>
    <row r="396" spans="1:24">
      <c r="A396">
        <f>HYPERLINK("https://www.philgeps.gov.ph/GEPSNONPILOT/Tender/SplashBidNoticeAbstractUI.aspx?menuIndex=3&amp;refID=7162763&amp;Result=3","7162763")</f>
        <v>0</v>
      </c>
      <c r="B396" t="s">
        <v>207</v>
      </c>
      <c r="C396" t="s">
        <v>4315</v>
      </c>
      <c r="D396" t="s">
        <v>19050</v>
      </c>
      <c r="E396" t="s">
        <v>19499</v>
      </c>
      <c r="F396" t="s">
        <v>32831</v>
      </c>
      <c r="G396" t="s">
        <v>32839</v>
      </c>
      <c r="H396" t="s">
        <v>32848</v>
      </c>
      <c r="I396" t="s">
        <v>4438</v>
      </c>
      <c r="J396" t="s">
        <v>33293</v>
      </c>
      <c r="K396" t="s">
        <v>42732</v>
      </c>
      <c r="M396" t="s">
        <v>43205</v>
      </c>
      <c r="N396" t="s">
        <v>47424</v>
      </c>
      <c r="O396" t="s">
        <v>47425</v>
      </c>
      <c r="P396">
        <v>0</v>
      </c>
      <c r="Q396">
        <v>1</v>
      </c>
      <c r="R396" t="s">
        <v>47426</v>
      </c>
      <c r="S396" t="s">
        <v>47531</v>
      </c>
      <c r="T396" t="s">
        <v>49069</v>
      </c>
      <c r="U396" t="s">
        <v>50012</v>
      </c>
      <c r="W396" t="s">
        <v>64433</v>
      </c>
      <c r="X396" t="s">
        <v>47430</v>
      </c>
    </row>
    <row r="397" spans="1:24">
      <c r="A397">
        <f>HYPERLINK("https://www.philgeps.gov.ph/GEPSNONPILOT/Tender/SplashBidNoticeAbstractUI.aspx?menuIndex=3&amp;refID=7162816&amp;Result=3","7162816")</f>
        <v>0</v>
      </c>
      <c r="B397" t="s">
        <v>199</v>
      </c>
      <c r="C397" t="s">
        <v>4316</v>
      </c>
      <c r="D397" t="s">
        <v>19017</v>
      </c>
      <c r="E397" t="s">
        <v>19500</v>
      </c>
      <c r="F397" t="s">
        <v>32831</v>
      </c>
      <c r="G397" t="s">
        <v>32838</v>
      </c>
      <c r="H397" t="s">
        <v>32848</v>
      </c>
      <c r="I397" t="s">
        <v>32886</v>
      </c>
      <c r="J397" t="s">
        <v>33294</v>
      </c>
      <c r="K397" t="s">
        <v>42731</v>
      </c>
      <c r="M397" t="s">
        <v>43197</v>
      </c>
      <c r="N397" t="s">
        <v>47424</v>
      </c>
      <c r="O397" t="s">
        <v>47425</v>
      </c>
      <c r="P397">
        <v>0</v>
      </c>
      <c r="Q397">
        <v>2</v>
      </c>
      <c r="R397" t="s">
        <v>47426</v>
      </c>
      <c r="S397" t="s">
        <v>47531</v>
      </c>
      <c r="T397" t="s">
        <v>49123</v>
      </c>
      <c r="U397" t="s">
        <v>50013</v>
      </c>
      <c r="W397" t="s">
        <v>43197</v>
      </c>
      <c r="X397" t="s">
        <v>47430</v>
      </c>
    </row>
    <row r="398" spans="1:24">
      <c r="A398">
        <f>HYPERLINK("https://www.philgeps.gov.ph/GEPSNONPILOT/Tender/SplashBidNoticeAbstractUI.aspx?menuIndex=3&amp;refID=7162785&amp;Result=3","7162785")</f>
        <v>0</v>
      </c>
      <c r="B398" t="s">
        <v>208</v>
      </c>
      <c r="C398" t="s">
        <v>4317</v>
      </c>
      <c r="D398" t="s">
        <v>19047</v>
      </c>
      <c r="E398" t="s">
        <v>19501</v>
      </c>
      <c r="F398" t="s">
        <v>32831</v>
      </c>
      <c r="G398" t="s">
        <v>32840</v>
      </c>
      <c r="H398" t="s">
        <v>32848</v>
      </c>
      <c r="I398" t="s">
        <v>4558</v>
      </c>
      <c r="J398" t="s">
        <v>33292</v>
      </c>
      <c r="K398" t="s">
        <v>42759</v>
      </c>
      <c r="M398" t="s">
        <v>43206</v>
      </c>
      <c r="N398" t="s">
        <v>47424</v>
      </c>
      <c r="O398" t="s">
        <v>47425</v>
      </c>
      <c r="P398">
        <v>0</v>
      </c>
      <c r="Q398">
        <v>0</v>
      </c>
      <c r="R398" t="s">
        <v>47426</v>
      </c>
      <c r="S398" t="s">
        <v>47531</v>
      </c>
      <c r="T398" t="s">
        <v>49145</v>
      </c>
      <c r="U398" t="s">
        <v>50014</v>
      </c>
      <c r="W398" t="s">
        <v>43206</v>
      </c>
      <c r="X398" t="s">
        <v>47430</v>
      </c>
    </row>
    <row r="399" spans="1:24">
      <c r="A399">
        <f>HYPERLINK("https://www.philgeps.gov.ph/GEPSNONPILOT/Tender/SplashBidNoticeAbstractUI.aspx?menuIndex=3&amp;refID=7162887&amp;Result=3","7162887")</f>
        <v>0</v>
      </c>
      <c r="B399" t="s">
        <v>209</v>
      </c>
      <c r="C399" t="s">
        <v>4318</v>
      </c>
      <c r="D399" t="s">
        <v>19061</v>
      </c>
      <c r="E399" t="s">
        <v>19502</v>
      </c>
      <c r="F399" t="s">
        <v>32831</v>
      </c>
      <c r="G399" t="s">
        <v>32838</v>
      </c>
      <c r="H399" t="s">
        <v>32848</v>
      </c>
      <c r="I399" t="s">
        <v>7416</v>
      </c>
      <c r="J399" t="s">
        <v>33295</v>
      </c>
      <c r="K399" t="s">
        <v>42732</v>
      </c>
      <c r="M399" t="s">
        <v>43207</v>
      </c>
      <c r="N399" t="s">
        <v>47424</v>
      </c>
      <c r="O399" t="s">
        <v>47425</v>
      </c>
      <c r="P399">
        <v>0</v>
      </c>
      <c r="Q399">
        <v>0</v>
      </c>
      <c r="R399" t="s">
        <v>47426</v>
      </c>
      <c r="S399" t="s">
        <v>47531</v>
      </c>
      <c r="T399" t="s">
        <v>49091</v>
      </c>
      <c r="U399" t="s">
        <v>50015</v>
      </c>
      <c r="W399" t="s">
        <v>43207</v>
      </c>
      <c r="X399" t="s">
        <v>47430</v>
      </c>
    </row>
    <row r="400" spans="1:24">
      <c r="A400">
        <f>HYPERLINK("https://www.philgeps.gov.ph/GEPSNONPILOT/Tender/SplashBidNoticeAbstractUI.aspx?menuIndex=3&amp;refID=7162730&amp;Result=3","7162730")</f>
        <v>0</v>
      </c>
      <c r="B400" t="s">
        <v>113</v>
      </c>
      <c r="C400" t="s">
        <v>4319</v>
      </c>
      <c r="D400" t="s">
        <v>19027</v>
      </c>
      <c r="E400" t="s">
        <v>19503</v>
      </c>
      <c r="F400" t="s">
        <v>32831</v>
      </c>
      <c r="G400" t="s">
        <v>32838</v>
      </c>
      <c r="H400" t="s">
        <v>32848</v>
      </c>
      <c r="I400" t="s">
        <v>4776</v>
      </c>
      <c r="J400" t="s">
        <v>33296</v>
      </c>
      <c r="K400" t="s">
        <v>42731</v>
      </c>
      <c r="M400" t="s">
        <v>43110</v>
      </c>
      <c r="N400" t="s">
        <v>47424</v>
      </c>
      <c r="O400" t="s">
        <v>47425</v>
      </c>
      <c r="P400">
        <v>0</v>
      </c>
      <c r="Q400">
        <v>2</v>
      </c>
      <c r="R400" t="s">
        <v>47426</v>
      </c>
      <c r="S400" t="s">
        <v>47531</v>
      </c>
      <c r="T400" t="s">
        <v>49108</v>
      </c>
      <c r="U400" t="s">
        <v>50016</v>
      </c>
      <c r="W400" t="s">
        <v>47317</v>
      </c>
      <c r="X400" t="s">
        <v>47430</v>
      </c>
    </row>
    <row r="401" spans="1:24">
      <c r="A401">
        <f>HYPERLINK("https://www.philgeps.gov.ph/GEPSNONPILOT/Tender/SplashBidNoticeAbstractUI.aspx?menuIndex=3&amp;refID=7162886&amp;Result=3","7162886")</f>
        <v>0</v>
      </c>
      <c r="B401" t="s">
        <v>210</v>
      </c>
      <c r="C401" t="s">
        <v>4320</v>
      </c>
      <c r="D401" t="s">
        <v>19022</v>
      </c>
      <c r="E401" t="s">
        <v>19504</v>
      </c>
      <c r="F401" t="s">
        <v>32831</v>
      </c>
      <c r="G401" t="s">
        <v>32838</v>
      </c>
      <c r="H401" t="s">
        <v>32848</v>
      </c>
      <c r="I401" t="s">
        <v>10805</v>
      </c>
      <c r="J401" t="s">
        <v>32978</v>
      </c>
      <c r="K401" t="s">
        <v>42770</v>
      </c>
      <c r="M401" t="s">
        <v>43208</v>
      </c>
      <c r="N401" t="s">
        <v>47424</v>
      </c>
      <c r="O401" t="s">
        <v>47425</v>
      </c>
      <c r="P401">
        <v>0</v>
      </c>
      <c r="Q401">
        <v>1</v>
      </c>
      <c r="R401" t="s">
        <v>47426</v>
      </c>
      <c r="S401" t="s">
        <v>47531</v>
      </c>
      <c r="T401" t="s">
        <v>49146</v>
      </c>
      <c r="U401" t="s">
        <v>50017</v>
      </c>
      <c r="V401" t="s">
        <v>62660</v>
      </c>
      <c r="W401" t="s">
        <v>43208</v>
      </c>
      <c r="X401" t="s">
        <v>47430</v>
      </c>
    </row>
    <row r="402" spans="1:24">
      <c r="A402">
        <f>HYPERLINK("https://www.philgeps.gov.ph/GEPSNONPILOT/Tender/SplashBidNoticeAbstractUI.aspx?menuIndex=3&amp;refID=7162877&amp;Result=3","7162877")</f>
        <v>0</v>
      </c>
      <c r="B402" t="s">
        <v>211</v>
      </c>
      <c r="C402" t="s">
        <v>4177</v>
      </c>
      <c r="D402" t="s">
        <v>19033</v>
      </c>
      <c r="E402" t="s">
        <v>19497</v>
      </c>
      <c r="F402" t="s">
        <v>32831</v>
      </c>
      <c r="G402" t="s">
        <v>32839</v>
      </c>
      <c r="H402" t="s">
        <v>32849</v>
      </c>
      <c r="I402" t="s">
        <v>4177</v>
      </c>
      <c r="J402" t="s">
        <v>33297</v>
      </c>
      <c r="K402" t="s">
        <v>42729</v>
      </c>
      <c r="M402" t="s">
        <v>43209</v>
      </c>
      <c r="N402" t="s">
        <v>47424</v>
      </c>
      <c r="O402" t="s">
        <v>47425</v>
      </c>
      <c r="P402">
        <v>0</v>
      </c>
      <c r="Q402">
        <v>0</v>
      </c>
      <c r="R402" t="s">
        <v>47426</v>
      </c>
      <c r="S402" t="s">
        <v>47531</v>
      </c>
      <c r="T402" t="s">
        <v>49068</v>
      </c>
      <c r="U402" t="s">
        <v>50018</v>
      </c>
      <c r="V402" t="s">
        <v>62661</v>
      </c>
      <c r="W402" t="s">
        <v>43209</v>
      </c>
      <c r="X402" t="s">
        <v>47430</v>
      </c>
    </row>
    <row r="403" spans="1:24">
      <c r="A403">
        <f>HYPERLINK("https://www.philgeps.gov.ph/GEPSNONPILOT/Tender/SplashBidNoticeAbstractUI.aspx?menuIndex=3&amp;refID=7162866&amp;Result=3","7162866")</f>
        <v>0</v>
      </c>
      <c r="B403" t="s">
        <v>212</v>
      </c>
      <c r="C403" t="s">
        <v>4321</v>
      </c>
      <c r="D403" t="s">
        <v>19048</v>
      </c>
      <c r="E403" t="s">
        <v>19505</v>
      </c>
      <c r="F403" t="s">
        <v>32831</v>
      </c>
      <c r="G403" t="s">
        <v>32838</v>
      </c>
      <c r="H403" t="s">
        <v>32848</v>
      </c>
      <c r="I403" t="s">
        <v>32857</v>
      </c>
      <c r="J403" t="s">
        <v>33298</v>
      </c>
      <c r="K403" t="s">
        <v>42730</v>
      </c>
      <c r="M403" t="s">
        <v>43210</v>
      </c>
      <c r="N403" t="s">
        <v>47424</v>
      </c>
      <c r="O403" t="s">
        <v>47425</v>
      </c>
      <c r="P403">
        <v>0</v>
      </c>
      <c r="Q403">
        <v>7</v>
      </c>
      <c r="R403" t="s">
        <v>47426</v>
      </c>
      <c r="S403" t="s">
        <v>47531</v>
      </c>
      <c r="T403" t="s">
        <v>49056</v>
      </c>
      <c r="U403" t="s">
        <v>50019</v>
      </c>
      <c r="W403" t="s">
        <v>43210</v>
      </c>
      <c r="X403" t="s">
        <v>47430</v>
      </c>
    </row>
    <row r="404" spans="1:24">
      <c r="A404">
        <f>HYPERLINK("https://www.philgeps.gov.ph/GEPSNONPILOT/Tender/SplashBidNoticeAbstractUI.aspx?menuIndex=3&amp;refID=7162856&amp;Result=3","7162856")</f>
        <v>0</v>
      </c>
      <c r="B404" t="s">
        <v>207</v>
      </c>
      <c r="C404" t="s">
        <v>4322</v>
      </c>
      <c r="D404" t="s">
        <v>19050</v>
      </c>
      <c r="E404" t="s">
        <v>19506</v>
      </c>
      <c r="F404" t="s">
        <v>32831</v>
      </c>
      <c r="G404" t="s">
        <v>32839</v>
      </c>
      <c r="H404" t="s">
        <v>32848</v>
      </c>
      <c r="I404" t="s">
        <v>5379</v>
      </c>
      <c r="J404" t="s">
        <v>33299</v>
      </c>
      <c r="K404" t="s">
        <v>42732</v>
      </c>
      <c r="M404" t="s">
        <v>43205</v>
      </c>
      <c r="N404" t="s">
        <v>47424</v>
      </c>
      <c r="O404" t="s">
        <v>47425</v>
      </c>
      <c r="P404">
        <v>0</v>
      </c>
      <c r="Q404">
        <v>0</v>
      </c>
      <c r="R404" t="s">
        <v>47426</v>
      </c>
      <c r="S404" t="s">
        <v>47531</v>
      </c>
      <c r="T404" t="s">
        <v>49069</v>
      </c>
      <c r="U404" t="s">
        <v>50020</v>
      </c>
      <c r="W404" t="s">
        <v>64433</v>
      </c>
      <c r="X404" t="s">
        <v>47430</v>
      </c>
    </row>
    <row r="405" spans="1:24">
      <c r="A405">
        <f>HYPERLINK("https://www.philgeps.gov.ph/GEPSNONPILOT/Tender/SplashBidNoticeAbstractUI.aspx?menuIndex=3&amp;refID=7162891&amp;Result=3","7162891")</f>
        <v>0</v>
      </c>
      <c r="B405" t="s">
        <v>213</v>
      </c>
      <c r="C405" t="s">
        <v>4323</v>
      </c>
      <c r="D405" t="s">
        <v>19052</v>
      </c>
      <c r="E405" t="s">
        <v>19507</v>
      </c>
      <c r="F405" t="s">
        <v>32831</v>
      </c>
      <c r="G405" t="s">
        <v>32838</v>
      </c>
      <c r="H405" t="s">
        <v>32848</v>
      </c>
      <c r="I405" t="s">
        <v>32878</v>
      </c>
      <c r="J405" t="s">
        <v>33300</v>
      </c>
      <c r="K405" t="s">
        <v>42726</v>
      </c>
      <c r="M405" t="s">
        <v>43211</v>
      </c>
      <c r="N405" t="s">
        <v>47424</v>
      </c>
      <c r="O405" t="s">
        <v>47425</v>
      </c>
      <c r="P405">
        <v>0</v>
      </c>
      <c r="Q405">
        <v>2</v>
      </c>
      <c r="R405" t="s">
        <v>47426</v>
      </c>
      <c r="S405" t="s">
        <v>47531</v>
      </c>
      <c r="T405" t="s">
        <v>49100</v>
      </c>
      <c r="U405" t="s">
        <v>50021</v>
      </c>
      <c r="V405" t="s">
        <v>62662</v>
      </c>
      <c r="W405" t="s">
        <v>43211</v>
      </c>
      <c r="X405" t="s">
        <v>47430</v>
      </c>
    </row>
    <row r="406" spans="1:24">
      <c r="A406">
        <f>HYPERLINK("https://www.philgeps.gov.ph/GEPSNONPILOT/Tender/SplashBidNoticeAbstractUI.aspx?menuIndex=3&amp;refID=7162822&amp;Result=3","7162822")</f>
        <v>0</v>
      </c>
      <c r="B406" t="s">
        <v>214</v>
      </c>
      <c r="C406" t="s">
        <v>4324</v>
      </c>
      <c r="D406" t="s">
        <v>19047</v>
      </c>
      <c r="E406" t="s">
        <v>19508</v>
      </c>
      <c r="F406" t="s">
        <v>32831</v>
      </c>
      <c r="G406" t="s">
        <v>32839</v>
      </c>
      <c r="H406" t="s">
        <v>32849</v>
      </c>
      <c r="I406" t="s">
        <v>4177</v>
      </c>
      <c r="J406" t="s">
        <v>33301</v>
      </c>
      <c r="K406" t="s">
        <v>42772</v>
      </c>
      <c r="M406" t="s">
        <v>43212</v>
      </c>
      <c r="N406" t="s">
        <v>47424</v>
      </c>
      <c r="O406" t="s">
        <v>47425</v>
      </c>
      <c r="P406">
        <v>0</v>
      </c>
      <c r="Q406">
        <v>1</v>
      </c>
      <c r="R406" t="s">
        <v>47426</v>
      </c>
      <c r="S406" t="s">
        <v>47531</v>
      </c>
      <c r="T406" t="s">
        <v>49147</v>
      </c>
      <c r="U406" t="s">
        <v>50022</v>
      </c>
      <c r="W406" t="s">
        <v>43212</v>
      </c>
      <c r="X406" t="s">
        <v>47430</v>
      </c>
    </row>
    <row r="407" spans="1:24">
      <c r="A407">
        <f>HYPERLINK("https://www.philgeps.gov.ph/GEPSNONPILOT/Tender/SplashBidNoticeAbstractUI.aspx?menuIndex=3&amp;refID=7162843&amp;Result=3","7162843")</f>
        <v>0</v>
      </c>
      <c r="B407" t="s">
        <v>207</v>
      </c>
      <c r="C407" t="s">
        <v>4325</v>
      </c>
      <c r="D407" t="s">
        <v>19050</v>
      </c>
      <c r="E407" t="s">
        <v>19509</v>
      </c>
      <c r="F407" t="s">
        <v>32831</v>
      </c>
      <c r="G407" t="s">
        <v>32839</v>
      </c>
      <c r="H407" t="s">
        <v>32848</v>
      </c>
      <c r="I407" t="s">
        <v>4222</v>
      </c>
      <c r="J407" t="s">
        <v>33302</v>
      </c>
      <c r="K407" t="s">
        <v>42732</v>
      </c>
      <c r="M407" t="s">
        <v>43205</v>
      </c>
      <c r="N407" t="s">
        <v>47424</v>
      </c>
      <c r="O407" t="s">
        <v>47425</v>
      </c>
      <c r="P407">
        <v>0</v>
      </c>
      <c r="Q407">
        <v>0</v>
      </c>
      <c r="R407" t="s">
        <v>47426</v>
      </c>
      <c r="S407" t="s">
        <v>47531</v>
      </c>
      <c r="T407" t="s">
        <v>49069</v>
      </c>
      <c r="U407" t="s">
        <v>50023</v>
      </c>
      <c r="W407" t="s">
        <v>64433</v>
      </c>
      <c r="X407" t="s">
        <v>47430</v>
      </c>
    </row>
    <row r="408" spans="1:24">
      <c r="A408">
        <f>HYPERLINK("https://www.philgeps.gov.ph/GEPSNONPILOT/Tender/SplashBidNoticeAbstractUI.aspx?menuIndex=3&amp;refID=7162884&amp;Result=3","7162884")</f>
        <v>0</v>
      </c>
      <c r="B408" t="s">
        <v>215</v>
      </c>
      <c r="C408" t="s">
        <v>4326</v>
      </c>
      <c r="D408" t="s">
        <v>19080</v>
      </c>
      <c r="E408" t="s">
        <v>19510</v>
      </c>
      <c r="F408" t="s">
        <v>32831</v>
      </c>
      <c r="G408" t="s">
        <v>32839</v>
      </c>
      <c r="H408" t="s">
        <v>32849</v>
      </c>
      <c r="I408" t="s">
        <v>4177</v>
      </c>
      <c r="J408" t="s">
        <v>33303</v>
      </c>
      <c r="K408" t="s">
        <v>42729</v>
      </c>
      <c r="L408" t="s">
        <v>215</v>
      </c>
      <c r="M408" t="s">
        <v>43213</v>
      </c>
      <c r="N408" t="s">
        <v>47424</v>
      </c>
      <c r="O408" t="s">
        <v>47425</v>
      </c>
      <c r="P408">
        <v>0</v>
      </c>
      <c r="Q408">
        <v>0</v>
      </c>
      <c r="R408" t="s">
        <v>47426</v>
      </c>
      <c r="S408" t="s">
        <v>47531</v>
      </c>
      <c r="T408" t="s">
        <v>49066</v>
      </c>
      <c r="U408" t="s">
        <v>50024</v>
      </c>
      <c r="W408" t="s">
        <v>43213</v>
      </c>
      <c r="X408" t="s">
        <v>47430</v>
      </c>
    </row>
    <row r="409" spans="1:24">
      <c r="A409">
        <f>HYPERLINK("https://www.philgeps.gov.ph/GEPSNONPILOT/Tender/SplashBidNoticeAbstractUI.aspx?menuIndex=3&amp;refID=7162720&amp;Result=3","7162720")</f>
        <v>0</v>
      </c>
      <c r="B409" t="s">
        <v>180</v>
      </c>
      <c r="C409" t="s">
        <v>4327</v>
      </c>
      <c r="D409" t="s">
        <v>19021</v>
      </c>
      <c r="E409" t="s">
        <v>19511</v>
      </c>
      <c r="F409" t="s">
        <v>32831</v>
      </c>
      <c r="G409" t="s">
        <v>32838</v>
      </c>
      <c r="H409" t="s">
        <v>32848</v>
      </c>
      <c r="I409" t="s">
        <v>32870</v>
      </c>
      <c r="J409" t="s">
        <v>33304</v>
      </c>
      <c r="K409" t="s">
        <v>42732</v>
      </c>
      <c r="M409" t="s">
        <v>43178</v>
      </c>
      <c r="N409" t="s">
        <v>47424</v>
      </c>
      <c r="O409" t="s">
        <v>47425</v>
      </c>
      <c r="P409">
        <v>0</v>
      </c>
      <c r="Q409">
        <v>0</v>
      </c>
      <c r="R409" t="s">
        <v>47426</v>
      </c>
      <c r="S409" t="s">
        <v>47531</v>
      </c>
      <c r="T409" t="s">
        <v>49100</v>
      </c>
      <c r="U409" t="s">
        <v>50025</v>
      </c>
      <c r="W409" t="s">
        <v>43178</v>
      </c>
      <c r="X409" t="s">
        <v>47430</v>
      </c>
    </row>
    <row r="410" spans="1:24">
      <c r="A410">
        <f>HYPERLINK("https://www.philgeps.gov.ph/GEPSNONPILOT/Tender/SplashBidNoticeAbstractUI.aspx?menuIndex=3&amp;refID=7162899&amp;Result=3","7162899")</f>
        <v>0</v>
      </c>
      <c r="B410" t="s">
        <v>216</v>
      </c>
      <c r="C410" t="s">
        <v>4328</v>
      </c>
      <c r="D410" t="s">
        <v>19050</v>
      </c>
      <c r="E410" t="s">
        <v>19512</v>
      </c>
      <c r="F410" t="s">
        <v>32831</v>
      </c>
      <c r="G410" t="s">
        <v>32840</v>
      </c>
      <c r="H410" t="s">
        <v>32848</v>
      </c>
      <c r="I410" t="s">
        <v>4438</v>
      </c>
      <c r="J410" t="s">
        <v>33305</v>
      </c>
      <c r="K410" t="s">
        <v>42726</v>
      </c>
      <c r="M410" t="s">
        <v>43214</v>
      </c>
      <c r="N410" t="s">
        <v>47424</v>
      </c>
      <c r="O410" t="s">
        <v>47425</v>
      </c>
      <c r="P410">
        <v>0</v>
      </c>
      <c r="Q410">
        <v>1</v>
      </c>
      <c r="R410" t="s">
        <v>47426</v>
      </c>
      <c r="S410" t="s">
        <v>47531</v>
      </c>
      <c r="T410" t="s">
        <v>49148</v>
      </c>
      <c r="U410" t="s">
        <v>50026</v>
      </c>
      <c r="W410" t="s">
        <v>43214</v>
      </c>
      <c r="X410" t="s">
        <v>47430</v>
      </c>
    </row>
    <row r="411" spans="1:24">
      <c r="A411">
        <f>HYPERLINK("https://www.philgeps.gov.ph/GEPSNONPILOT/Tender/SplashBidNoticeAbstractUI.aspx?menuIndex=3&amp;refID=7162897&amp;Result=3","7162897")</f>
        <v>0</v>
      </c>
      <c r="B411" t="s">
        <v>217</v>
      </c>
      <c r="C411" t="s">
        <v>4329</v>
      </c>
      <c r="D411" t="s">
        <v>19037</v>
      </c>
      <c r="E411" t="s">
        <v>19513</v>
      </c>
      <c r="F411" t="s">
        <v>32831</v>
      </c>
      <c r="G411" t="s">
        <v>32839</v>
      </c>
      <c r="H411" t="s">
        <v>32848</v>
      </c>
      <c r="I411" t="s">
        <v>7416</v>
      </c>
      <c r="J411" t="s">
        <v>33306</v>
      </c>
      <c r="K411" t="s">
        <v>42730</v>
      </c>
      <c r="M411" t="s">
        <v>43215</v>
      </c>
      <c r="N411" t="s">
        <v>47424</v>
      </c>
      <c r="O411" t="s">
        <v>47425</v>
      </c>
      <c r="P411">
        <v>0</v>
      </c>
      <c r="Q411">
        <v>0</v>
      </c>
      <c r="R411" t="s">
        <v>47426</v>
      </c>
      <c r="S411" t="s">
        <v>47531</v>
      </c>
      <c r="T411" t="s">
        <v>49149</v>
      </c>
      <c r="U411" t="s">
        <v>50027</v>
      </c>
      <c r="W411" t="s">
        <v>43392</v>
      </c>
      <c r="X411" t="s">
        <v>47430</v>
      </c>
    </row>
    <row r="412" spans="1:24">
      <c r="A412">
        <f>HYPERLINK("https://www.philgeps.gov.ph/GEPSNONPILOT/Tender/SplashBidNoticeAbstractUI.aspx?menuIndex=3&amp;refID=7162842&amp;Result=3","7162842")</f>
        <v>0</v>
      </c>
      <c r="B412" t="s">
        <v>199</v>
      </c>
      <c r="C412" t="s">
        <v>4330</v>
      </c>
      <c r="D412" t="s">
        <v>19017</v>
      </c>
      <c r="E412" t="s">
        <v>19514</v>
      </c>
      <c r="F412" t="s">
        <v>32831</v>
      </c>
      <c r="G412" t="s">
        <v>32842</v>
      </c>
      <c r="H412" t="s">
        <v>32848</v>
      </c>
      <c r="I412" t="s">
        <v>4776</v>
      </c>
      <c r="J412" t="s">
        <v>33307</v>
      </c>
      <c r="K412" t="s">
        <v>42731</v>
      </c>
      <c r="M412" t="s">
        <v>43197</v>
      </c>
      <c r="N412" t="s">
        <v>47424</v>
      </c>
      <c r="O412" t="s">
        <v>47425</v>
      </c>
      <c r="P412">
        <v>0</v>
      </c>
      <c r="Q412">
        <v>2</v>
      </c>
      <c r="R412" t="s">
        <v>47426</v>
      </c>
      <c r="S412" t="s">
        <v>47531</v>
      </c>
      <c r="T412" t="s">
        <v>49123</v>
      </c>
      <c r="U412" t="s">
        <v>50028</v>
      </c>
      <c r="W412" t="s">
        <v>43197</v>
      </c>
      <c r="X412" t="s">
        <v>47430</v>
      </c>
    </row>
    <row r="413" spans="1:24">
      <c r="A413">
        <f>HYPERLINK("https://www.philgeps.gov.ph/GEPSNONPILOT/Tender/SplashBidNoticeAbstractUI.aspx?menuIndex=3&amp;refID=7162839&amp;Result=3","7162839")</f>
        <v>0</v>
      </c>
      <c r="B413" t="s">
        <v>218</v>
      </c>
      <c r="C413" t="s">
        <v>4331</v>
      </c>
      <c r="D413" t="s">
        <v>19036</v>
      </c>
      <c r="E413" t="s">
        <v>19515</v>
      </c>
      <c r="F413" t="s">
        <v>32831</v>
      </c>
      <c r="G413" t="s">
        <v>32838</v>
      </c>
      <c r="H413" t="s">
        <v>32848</v>
      </c>
      <c r="I413" t="s">
        <v>10805</v>
      </c>
      <c r="J413" t="s">
        <v>33308</v>
      </c>
      <c r="K413" t="s">
        <v>42727</v>
      </c>
      <c r="M413" t="s">
        <v>43216</v>
      </c>
      <c r="N413" t="s">
        <v>47424</v>
      </c>
      <c r="O413" t="s">
        <v>47425</v>
      </c>
      <c r="P413">
        <v>0</v>
      </c>
      <c r="Q413">
        <v>1</v>
      </c>
      <c r="R413" t="s">
        <v>47426</v>
      </c>
      <c r="S413" t="s">
        <v>47531</v>
      </c>
      <c r="T413" t="s">
        <v>49104</v>
      </c>
      <c r="U413" t="s">
        <v>50029</v>
      </c>
      <c r="W413" t="s">
        <v>43216</v>
      </c>
      <c r="X413" t="s">
        <v>47430</v>
      </c>
    </row>
    <row r="414" spans="1:24">
      <c r="A414">
        <f>HYPERLINK("https://www.philgeps.gov.ph/GEPSNONPILOT/Tender/SplashBidNoticeAbstractUI.aspx?menuIndex=3&amp;refID=7162837&amp;Result=3","7162837")</f>
        <v>0</v>
      </c>
      <c r="B414" t="s">
        <v>204</v>
      </c>
      <c r="C414" t="s">
        <v>4332</v>
      </c>
      <c r="D414" t="s">
        <v>19023</v>
      </c>
      <c r="E414" t="s">
        <v>19516</v>
      </c>
      <c r="F414" t="s">
        <v>32831</v>
      </c>
      <c r="G414" t="s">
        <v>32838</v>
      </c>
      <c r="H414" t="s">
        <v>32849</v>
      </c>
      <c r="I414" t="s">
        <v>4177</v>
      </c>
      <c r="J414" t="s">
        <v>33309</v>
      </c>
      <c r="K414" t="s">
        <v>42726</v>
      </c>
      <c r="M414" t="s">
        <v>43202</v>
      </c>
      <c r="N414" t="s">
        <v>47424</v>
      </c>
      <c r="O414" t="s">
        <v>47425</v>
      </c>
      <c r="P414">
        <v>0</v>
      </c>
      <c r="Q414">
        <v>1</v>
      </c>
      <c r="R414" t="s">
        <v>47426</v>
      </c>
      <c r="S414" t="s">
        <v>47531</v>
      </c>
      <c r="T414" t="s">
        <v>49068</v>
      </c>
      <c r="U414" t="s">
        <v>50030</v>
      </c>
      <c r="W414" t="s">
        <v>43202</v>
      </c>
      <c r="X414" t="s">
        <v>47430</v>
      </c>
    </row>
    <row r="415" spans="1:24">
      <c r="A415">
        <f>HYPERLINK("https://www.philgeps.gov.ph/GEPSNONPILOT/Tender/SplashBidNoticeAbstractUI.aspx?menuIndex=3&amp;refID=7162827&amp;Result=3","7162827")</f>
        <v>0</v>
      </c>
      <c r="B415" t="s">
        <v>199</v>
      </c>
      <c r="C415" t="s">
        <v>4333</v>
      </c>
      <c r="D415" t="s">
        <v>19017</v>
      </c>
      <c r="E415" t="s">
        <v>19517</v>
      </c>
      <c r="F415" t="s">
        <v>32831</v>
      </c>
      <c r="G415" t="s">
        <v>32842</v>
      </c>
      <c r="H415" t="s">
        <v>32848</v>
      </c>
      <c r="I415" t="s">
        <v>10805</v>
      </c>
      <c r="J415" t="s">
        <v>33310</v>
      </c>
      <c r="K415" t="s">
        <v>42745</v>
      </c>
      <c r="M415" t="s">
        <v>43197</v>
      </c>
      <c r="N415" t="s">
        <v>47424</v>
      </c>
      <c r="O415" t="s">
        <v>47425</v>
      </c>
      <c r="P415">
        <v>0</v>
      </c>
      <c r="Q415">
        <v>5</v>
      </c>
      <c r="R415" t="s">
        <v>47426</v>
      </c>
      <c r="S415" t="s">
        <v>47531</v>
      </c>
      <c r="T415" t="s">
        <v>49123</v>
      </c>
      <c r="U415" t="s">
        <v>50031</v>
      </c>
      <c r="W415" t="s">
        <v>43197</v>
      </c>
      <c r="X415" t="s">
        <v>47430</v>
      </c>
    </row>
    <row r="416" spans="1:24">
      <c r="A416">
        <f>HYPERLINK("https://www.philgeps.gov.ph/GEPSNONPILOT/Tender/SplashBidNoticeAbstractUI.aspx?menuIndex=3&amp;refID=7162826&amp;Result=3","7162826")</f>
        <v>0</v>
      </c>
      <c r="B416" t="s">
        <v>219</v>
      </c>
      <c r="C416" t="s">
        <v>4334</v>
      </c>
      <c r="D416" t="s">
        <v>19017</v>
      </c>
      <c r="E416" t="s">
        <v>19518</v>
      </c>
      <c r="F416" t="s">
        <v>32831</v>
      </c>
      <c r="G416" t="s">
        <v>32840</v>
      </c>
      <c r="H416" t="s">
        <v>32848</v>
      </c>
      <c r="I416" t="s">
        <v>32891</v>
      </c>
      <c r="J416" t="s">
        <v>33311</v>
      </c>
      <c r="K416" t="s">
        <v>42748</v>
      </c>
      <c r="M416" t="s">
        <v>43217</v>
      </c>
      <c r="N416" t="s">
        <v>47424</v>
      </c>
      <c r="O416" t="s">
        <v>47425</v>
      </c>
      <c r="P416">
        <v>0</v>
      </c>
      <c r="Q416">
        <v>2</v>
      </c>
      <c r="R416" t="s">
        <v>47426</v>
      </c>
      <c r="S416" t="s">
        <v>47531</v>
      </c>
      <c r="T416" t="s">
        <v>49114</v>
      </c>
      <c r="U416" t="s">
        <v>50032</v>
      </c>
      <c r="W416" t="s">
        <v>43217</v>
      </c>
      <c r="X416" t="s">
        <v>47430</v>
      </c>
    </row>
    <row r="417" spans="1:24">
      <c r="A417">
        <f>HYPERLINK("https://www.philgeps.gov.ph/GEPSNONPILOT/Tender/SplashBidNoticeAbstractUI.aspx?menuIndex=3&amp;refID=7162913&amp;Result=3","7162913")</f>
        <v>0</v>
      </c>
      <c r="B417" t="s">
        <v>211</v>
      </c>
      <c r="C417" t="s">
        <v>4335</v>
      </c>
      <c r="D417" t="s">
        <v>19033</v>
      </c>
      <c r="E417" t="s">
        <v>19497</v>
      </c>
      <c r="F417" t="s">
        <v>32831</v>
      </c>
      <c r="G417" t="s">
        <v>32839</v>
      </c>
      <c r="H417" t="s">
        <v>32848</v>
      </c>
      <c r="I417" t="s">
        <v>10805</v>
      </c>
      <c r="J417" t="s">
        <v>33312</v>
      </c>
      <c r="K417" t="s">
        <v>42727</v>
      </c>
      <c r="M417" t="s">
        <v>43209</v>
      </c>
      <c r="N417" t="s">
        <v>47424</v>
      </c>
      <c r="O417" t="s">
        <v>47425</v>
      </c>
      <c r="P417">
        <v>0</v>
      </c>
      <c r="Q417">
        <v>2</v>
      </c>
      <c r="R417" t="s">
        <v>47426</v>
      </c>
      <c r="S417" t="s">
        <v>47531</v>
      </c>
      <c r="T417" t="s">
        <v>49068</v>
      </c>
      <c r="U417" t="s">
        <v>50033</v>
      </c>
      <c r="V417" t="s">
        <v>62663</v>
      </c>
      <c r="W417" t="s">
        <v>43209</v>
      </c>
      <c r="X417" t="s">
        <v>47430</v>
      </c>
    </row>
    <row r="418" spans="1:24">
      <c r="A418">
        <f>HYPERLINK("https://www.philgeps.gov.ph/GEPSNONPILOT/Tender/SplashBidNoticeAbstractUI.aspx?menuIndex=3&amp;refID=7162912&amp;Result=3","7162912")</f>
        <v>0</v>
      </c>
      <c r="B418" t="s">
        <v>199</v>
      </c>
      <c r="C418" t="s">
        <v>4336</v>
      </c>
      <c r="D418" t="s">
        <v>19017</v>
      </c>
      <c r="E418" t="s">
        <v>19519</v>
      </c>
      <c r="F418" t="s">
        <v>32831</v>
      </c>
      <c r="G418" t="s">
        <v>32842</v>
      </c>
      <c r="H418" t="s">
        <v>32848</v>
      </c>
      <c r="I418" t="s">
        <v>10805</v>
      </c>
      <c r="J418" t="s">
        <v>33313</v>
      </c>
      <c r="K418" t="s">
        <v>42745</v>
      </c>
      <c r="M418" t="s">
        <v>43197</v>
      </c>
      <c r="N418" t="s">
        <v>47424</v>
      </c>
      <c r="O418" t="s">
        <v>47425</v>
      </c>
      <c r="P418">
        <v>0</v>
      </c>
      <c r="Q418">
        <v>7</v>
      </c>
      <c r="R418" t="s">
        <v>47426</v>
      </c>
      <c r="S418" t="s">
        <v>47531</v>
      </c>
      <c r="T418" t="s">
        <v>49123</v>
      </c>
      <c r="U418" t="s">
        <v>50034</v>
      </c>
      <c r="W418" t="s">
        <v>43197</v>
      </c>
      <c r="X418" t="s">
        <v>47430</v>
      </c>
    </row>
    <row r="419" spans="1:24">
      <c r="A419">
        <f>HYPERLINK("https://www.philgeps.gov.ph/GEPSNONPILOT/Tender/SplashBidNoticeAbstractUI.aspx?menuIndex=3&amp;refID=7162964&amp;Result=3","7162964")</f>
        <v>0</v>
      </c>
      <c r="B419" t="s">
        <v>220</v>
      </c>
      <c r="C419" t="s">
        <v>4337</v>
      </c>
      <c r="D419" t="s">
        <v>19081</v>
      </c>
      <c r="E419" t="s">
        <v>19520</v>
      </c>
      <c r="F419" t="s">
        <v>32831</v>
      </c>
      <c r="G419" t="s">
        <v>32839</v>
      </c>
      <c r="H419" t="s">
        <v>32848</v>
      </c>
      <c r="I419" t="s">
        <v>4177</v>
      </c>
      <c r="J419" t="s">
        <v>33314</v>
      </c>
      <c r="K419" t="s">
        <v>42726</v>
      </c>
      <c r="M419" t="s">
        <v>43218</v>
      </c>
      <c r="N419" t="s">
        <v>47424</v>
      </c>
      <c r="O419" t="s">
        <v>47425</v>
      </c>
      <c r="P419">
        <v>0</v>
      </c>
      <c r="Q419">
        <v>0</v>
      </c>
      <c r="R419" t="s">
        <v>47426</v>
      </c>
      <c r="S419" t="s">
        <v>47531</v>
      </c>
      <c r="T419" t="s">
        <v>49073</v>
      </c>
      <c r="U419" t="s">
        <v>49907</v>
      </c>
      <c r="W419" t="s">
        <v>43218</v>
      </c>
      <c r="X419" t="s">
        <v>47430</v>
      </c>
    </row>
    <row r="420" spans="1:24">
      <c r="A420">
        <f>HYPERLINK("https://www.philgeps.gov.ph/GEPSNONPILOT/Tender/SplashBidNoticeAbstractUI.aspx?menuIndex=3&amp;refID=7162958&amp;Result=3","7162958")</f>
        <v>0</v>
      </c>
      <c r="B420" t="s">
        <v>221</v>
      </c>
      <c r="C420" t="s">
        <v>4338</v>
      </c>
      <c r="D420" t="s">
        <v>19022</v>
      </c>
      <c r="E420" t="s">
        <v>19521</v>
      </c>
      <c r="F420" t="s">
        <v>32831</v>
      </c>
      <c r="G420" t="s">
        <v>32838</v>
      </c>
      <c r="H420" t="s">
        <v>32848</v>
      </c>
      <c r="I420" t="s">
        <v>7751</v>
      </c>
      <c r="J420" t="s">
        <v>33315</v>
      </c>
      <c r="K420" t="s">
        <v>42732</v>
      </c>
      <c r="L420" t="s">
        <v>221</v>
      </c>
      <c r="M420" t="s">
        <v>43219</v>
      </c>
      <c r="N420" t="s">
        <v>47424</v>
      </c>
      <c r="O420" t="s">
        <v>47425</v>
      </c>
      <c r="P420">
        <v>0</v>
      </c>
      <c r="Q420">
        <v>1</v>
      </c>
      <c r="R420" t="s">
        <v>47426</v>
      </c>
      <c r="S420" t="s">
        <v>47531</v>
      </c>
      <c r="T420" t="s">
        <v>49079</v>
      </c>
      <c r="U420" t="s">
        <v>50035</v>
      </c>
      <c r="W420" t="s">
        <v>43219</v>
      </c>
      <c r="X420" t="s">
        <v>47430</v>
      </c>
    </row>
    <row r="421" spans="1:24">
      <c r="A421">
        <f>HYPERLINK("https://www.philgeps.gov.ph/GEPSNONPILOT/Tender/SplashBidNoticeAbstractUI.aspx?menuIndex=3&amp;refID=7162956&amp;Result=3","7162956")</f>
        <v>0</v>
      </c>
      <c r="B421" t="s">
        <v>222</v>
      </c>
      <c r="C421" t="s">
        <v>4339</v>
      </c>
      <c r="D421" t="s">
        <v>19070</v>
      </c>
      <c r="E421" t="s">
        <v>19522</v>
      </c>
      <c r="F421" t="s">
        <v>32831</v>
      </c>
      <c r="G421" t="s">
        <v>32838</v>
      </c>
      <c r="H421" t="s">
        <v>32848</v>
      </c>
      <c r="I421" t="s">
        <v>32857</v>
      </c>
      <c r="J421" t="s">
        <v>33316</v>
      </c>
      <c r="K421" t="s">
        <v>42732</v>
      </c>
      <c r="M421" t="s">
        <v>43220</v>
      </c>
      <c r="N421" t="s">
        <v>47424</v>
      </c>
      <c r="O421" t="s">
        <v>47425</v>
      </c>
      <c r="P421">
        <v>0</v>
      </c>
      <c r="Q421">
        <v>2</v>
      </c>
      <c r="R421" t="s">
        <v>47426</v>
      </c>
      <c r="S421" t="s">
        <v>47531</v>
      </c>
      <c r="T421" t="s">
        <v>49150</v>
      </c>
      <c r="U421" t="s">
        <v>50036</v>
      </c>
      <c r="W421" t="s">
        <v>43220</v>
      </c>
      <c r="X421" t="s">
        <v>47430</v>
      </c>
    </row>
    <row r="422" spans="1:24">
      <c r="A422">
        <f>HYPERLINK("https://www.philgeps.gov.ph/GEPSNONPILOT/Tender/SplashBidNoticeAbstractUI.aspx?menuIndex=3&amp;refID=7163011&amp;Result=3","7163011")</f>
        <v>0</v>
      </c>
      <c r="B422" t="s">
        <v>223</v>
      </c>
      <c r="C422" t="s">
        <v>4340</v>
      </c>
      <c r="E422" t="s">
        <v>19523</v>
      </c>
      <c r="F422" t="s">
        <v>32831</v>
      </c>
      <c r="G422" t="s">
        <v>32838</v>
      </c>
      <c r="H422" t="s">
        <v>32848</v>
      </c>
      <c r="I422" t="s">
        <v>4471</v>
      </c>
      <c r="J422" t="s">
        <v>33317</v>
      </c>
      <c r="K422" t="s">
        <v>42731</v>
      </c>
      <c r="M422" t="s">
        <v>43221</v>
      </c>
      <c r="N422" t="s">
        <v>47424</v>
      </c>
      <c r="O422" t="s">
        <v>47425</v>
      </c>
      <c r="P422">
        <v>0</v>
      </c>
      <c r="Q422">
        <v>2</v>
      </c>
      <c r="R422" t="s">
        <v>47426</v>
      </c>
      <c r="S422" t="s">
        <v>47531</v>
      </c>
      <c r="T422" t="s">
        <v>49108</v>
      </c>
      <c r="U422" t="s">
        <v>50037</v>
      </c>
      <c r="W422" t="s">
        <v>43221</v>
      </c>
      <c r="X422" t="s">
        <v>47430</v>
      </c>
    </row>
    <row r="423" spans="1:24">
      <c r="A423">
        <f>HYPERLINK("https://www.philgeps.gov.ph/GEPSNONPILOT/Tender/SplashBidNoticeAbstractUI.aspx?menuIndex=3&amp;refID=7162993&amp;Result=3","7162993")</f>
        <v>0</v>
      </c>
      <c r="B423" t="s">
        <v>221</v>
      </c>
      <c r="C423" t="s">
        <v>4341</v>
      </c>
      <c r="D423" t="s">
        <v>19022</v>
      </c>
      <c r="E423" t="s">
        <v>19524</v>
      </c>
      <c r="F423" t="s">
        <v>32831</v>
      </c>
      <c r="G423" t="s">
        <v>32838</v>
      </c>
      <c r="H423" t="s">
        <v>32848</v>
      </c>
      <c r="I423" t="s">
        <v>4776</v>
      </c>
      <c r="J423" t="s">
        <v>33318</v>
      </c>
      <c r="K423" t="s">
        <v>42732</v>
      </c>
      <c r="L423" t="s">
        <v>221</v>
      </c>
      <c r="M423" t="s">
        <v>43219</v>
      </c>
      <c r="N423" t="s">
        <v>47424</v>
      </c>
      <c r="O423" t="s">
        <v>47425</v>
      </c>
      <c r="P423">
        <v>0</v>
      </c>
      <c r="Q423">
        <v>5</v>
      </c>
      <c r="R423" t="s">
        <v>47426</v>
      </c>
      <c r="S423" t="s">
        <v>47531</v>
      </c>
      <c r="T423" t="s">
        <v>49056</v>
      </c>
      <c r="U423" t="s">
        <v>50038</v>
      </c>
      <c r="W423" t="s">
        <v>43219</v>
      </c>
      <c r="X423" t="s">
        <v>47430</v>
      </c>
    </row>
    <row r="424" spans="1:24">
      <c r="A424">
        <f>HYPERLINK("https://www.philgeps.gov.ph/GEPSNONPILOT/Tender/SplashBidNoticeAbstractUI.aspx?menuIndex=3&amp;refID=7162962&amp;Result=3","7162962")</f>
        <v>0</v>
      </c>
      <c r="B424" t="s">
        <v>48</v>
      </c>
      <c r="C424" t="s">
        <v>4342</v>
      </c>
      <c r="D424" t="s">
        <v>19036</v>
      </c>
      <c r="E424" t="s">
        <v>19525</v>
      </c>
      <c r="F424" t="s">
        <v>32831</v>
      </c>
      <c r="G424" t="s">
        <v>32839</v>
      </c>
      <c r="H424" t="s">
        <v>32849</v>
      </c>
      <c r="I424" t="s">
        <v>4177</v>
      </c>
      <c r="J424" t="s">
        <v>33319</v>
      </c>
      <c r="K424" t="s">
        <v>42745</v>
      </c>
      <c r="M424" t="s">
        <v>43045</v>
      </c>
      <c r="N424" t="s">
        <v>47424</v>
      </c>
      <c r="O424" t="s">
        <v>47425</v>
      </c>
      <c r="P424">
        <v>0</v>
      </c>
      <c r="Q424">
        <v>0</v>
      </c>
      <c r="R424" t="s">
        <v>47426</v>
      </c>
      <c r="S424" t="s">
        <v>47531</v>
      </c>
      <c r="T424" t="s">
        <v>49151</v>
      </c>
      <c r="U424" t="s">
        <v>50039</v>
      </c>
      <c r="W424" t="s">
        <v>43045</v>
      </c>
      <c r="X424" t="s">
        <v>47430</v>
      </c>
    </row>
    <row r="425" spans="1:24">
      <c r="A425">
        <f>HYPERLINK("https://www.philgeps.gov.ph/GEPSNONPILOT/Tender/SplashBidNoticeAbstractUI.aspx?menuIndex=3&amp;refID=7162986&amp;Result=3","7162986")</f>
        <v>0</v>
      </c>
      <c r="B425" t="s">
        <v>199</v>
      </c>
      <c r="C425" t="s">
        <v>4343</v>
      </c>
      <c r="D425" t="s">
        <v>19017</v>
      </c>
      <c r="E425" t="s">
        <v>19526</v>
      </c>
      <c r="F425" t="s">
        <v>32831</v>
      </c>
      <c r="G425" t="s">
        <v>32842</v>
      </c>
      <c r="H425" t="s">
        <v>32848</v>
      </c>
      <c r="I425" t="s">
        <v>32857</v>
      </c>
      <c r="J425" t="s">
        <v>33320</v>
      </c>
      <c r="K425" t="s">
        <v>42731</v>
      </c>
      <c r="M425" t="s">
        <v>43197</v>
      </c>
      <c r="N425" t="s">
        <v>47424</v>
      </c>
      <c r="O425" t="s">
        <v>47425</v>
      </c>
      <c r="P425">
        <v>0</v>
      </c>
      <c r="Q425">
        <v>3</v>
      </c>
      <c r="R425" t="s">
        <v>47426</v>
      </c>
      <c r="S425" t="s">
        <v>47531</v>
      </c>
      <c r="T425" t="s">
        <v>49123</v>
      </c>
      <c r="U425" t="s">
        <v>50040</v>
      </c>
      <c r="W425" t="s">
        <v>43197</v>
      </c>
      <c r="X425" t="s">
        <v>47430</v>
      </c>
    </row>
    <row r="426" spans="1:24">
      <c r="A426">
        <f>HYPERLINK("https://www.philgeps.gov.ph/GEPSNONPILOT/Tender/SplashBidNoticeAbstractUI.aspx?menuIndex=3&amp;refID=7162967&amp;Result=3","7162967")</f>
        <v>0</v>
      </c>
      <c r="B426" t="s">
        <v>224</v>
      </c>
      <c r="C426" t="s">
        <v>4344</v>
      </c>
      <c r="D426" t="s">
        <v>19027</v>
      </c>
      <c r="E426" t="s">
        <v>19527</v>
      </c>
      <c r="F426" t="s">
        <v>32831</v>
      </c>
      <c r="G426" t="s">
        <v>32840</v>
      </c>
      <c r="H426" t="s">
        <v>32848</v>
      </c>
      <c r="I426" t="s">
        <v>32855</v>
      </c>
      <c r="J426" t="s">
        <v>33077</v>
      </c>
      <c r="K426" t="s">
        <v>42727</v>
      </c>
      <c r="M426" t="s">
        <v>43222</v>
      </c>
      <c r="N426" t="s">
        <v>47424</v>
      </c>
      <c r="O426" t="s">
        <v>47425</v>
      </c>
      <c r="P426">
        <v>0</v>
      </c>
      <c r="Q426">
        <v>8</v>
      </c>
      <c r="R426" t="s">
        <v>47426</v>
      </c>
      <c r="S426" t="s">
        <v>47531</v>
      </c>
      <c r="T426" t="s">
        <v>49152</v>
      </c>
      <c r="U426" t="s">
        <v>50041</v>
      </c>
      <c r="V426" t="s">
        <v>62664</v>
      </c>
      <c r="W426" t="s">
        <v>43222</v>
      </c>
      <c r="X426" t="s">
        <v>47430</v>
      </c>
    </row>
    <row r="427" spans="1:24">
      <c r="A427">
        <f>HYPERLINK("https://www.philgeps.gov.ph/GEPSNONPILOT/Tender/SplashBidNoticeAbstractUI.aspx?menuIndex=3&amp;refID=7163012&amp;Result=3","7163012")</f>
        <v>0</v>
      </c>
      <c r="B427" t="s">
        <v>199</v>
      </c>
      <c r="C427" t="s">
        <v>4345</v>
      </c>
      <c r="D427" t="s">
        <v>19017</v>
      </c>
      <c r="E427" t="s">
        <v>19528</v>
      </c>
      <c r="F427" t="s">
        <v>32831</v>
      </c>
      <c r="G427" t="s">
        <v>32838</v>
      </c>
      <c r="H427" t="s">
        <v>32848</v>
      </c>
      <c r="I427" t="s">
        <v>32862</v>
      </c>
      <c r="J427" t="s">
        <v>33133</v>
      </c>
      <c r="K427" t="s">
        <v>42745</v>
      </c>
      <c r="M427" t="s">
        <v>43197</v>
      </c>
      <c r="N427" t="s">
        <v>47424</v>
      </c>
      <c r="O427" t="s">
        <v>47425</v>
      </c>
      <c r="P427">
        <v>0</v>
      </c>
      <c r="Q427">
        <v>7</v>
      </c>
      <c r="R427" t="s">
        <v>47426</v>
      </c>
      <c r="S427" t="s">
        <v>47531</v>
      </c>
      <c r="T427" t="s">
        <v>49119</v>
      </c>
      <c r="U427" t="s">
        <v>50042</v>
      </c>
      <c r="W427" t="s">
        <v>43197</v>
      </c>
      <c r="X427" t="s">
        <v>47430</v>
      </c>
    </row>
    <row r="428" spans="1:24">
      <c r="A428">
        <f>HYPERLINK("https://www.philgeps.gov.ph/GEPSNONPILOT/Tender/SplashBidNoticeAbstractUI.aspx?menuIndex=3&amp;refID=7162954&amp;Result=3","7162954")</f>
        <v>0</v>
      </c>
      <c r="B428" t="s">
        <v>225</v>
      </c>
      <c r="C428" t="s">
        <v>3968</v>
      </c>
      <c r="E428" t="s">
        <v>19529</v>
      </c>
      <c r="F428" t="s">
        <v>32831</v>
      </c>
      <c r="G428" t="s">
        <v>32840</v>
      </c>
      <c r="H428" t="s">
        <v>32848</v>
      </c>
      <c r="I428" t="s">
        <v>4558</v>
      </c>
      <c r="J428" t="s">
        <v>33321</v>
      </c>
      <c r="K428" t="s">
        <v>42732</v>
      </c>
      <c r="M428" t="s">
        <v>43223</v>
      </c>
      <c r="N428" t="s">
        <v>47424</v>
      </c>
      <c r="O428" t="s">
        <v>47425</v>
      </c>
      <c r="P428">
        <v>0</v>
      </c>
      <c r="Q428">
        <v>0</v>
      </c>
      <c r="R428" t="s">
        <v>47426</v>
      </c>
      <c r="S428" t="s">
        <v>47531</v>
      </c>
      <c r="T428" t="s">
        <v>49153</v>
      </c>
      <c r="U428" t="s">
        <v>50043</v>
      </c>
      <c r="W428" t="s">
        <v>43223</v>
      </c>
      <c r="X428" t="s">
        <v>47430</v>
      </c>
    </row>
    <row r="429" spans="1:24">
      <c r="A429">
        <f>HYPERLINK("https://www.philgeps.gov.ph/GEPSNONPILOT/Tender/SplashBidNoticeAbstractUI.aspx?menuIndex=3&amp;refID=7162949&amp;Result=3","7162949")</f>
        <v>0</v>
      </c>
      <c r="B429" t="s">
        <v>193</v>
      </c>
      <c r="C429" t="s">
        <v>4346</v>
      </c>
      <c r="D429" t="s">
        <v>19078</v>
      </c>
      <c r="E429" t="s">
        <v>19530</v>
      </c>
      <c r="F429" t="s">
        <v>32831</v>
      </c>
      <c r="G429" t="s">
        <v>32839</v>
      </c>
      <c r="H429" t="s">
        <v>32849</v>
      </c>
      <c r="I429" t="s">
        <v>4177</v>
      </c>
      <c r="J429" t="s">
        <v>33322</v>
      </c>
      <c r="K429" t="s">
        <v>42770</v>
      </c>
      <c r="M429" t="s">
        <v>43191</v>
      </c>
      <c r="N429" t="s">
        <v>47424</v>
      </c>
      <c r="O429" t="s">
        <v>47425</v>
      </c>
      <c r="P429">
        <v>0</v>
      </c>
      <c r="Q429">
        <v>1</v>
      </c>
      <c r="R429" t="s">
        <v>47426</v>
      </c>
      <c r="S429" t="s">
        <v>47531</v>
      </c>
      <c r="T429" t="s">
        <v>49071</v>
      </c>
      <c r="U429" t="s">
        <v>50044</v>
      </c>
      <c r="W429" t="s">
        <v>43191</v>
      </c>
      <c r="X429" t="s">
        <v>47430</v>
      </c>
    </row>
    <row r="430" spans="1:24">
      <c r="A430">
        <f>HYPERLINK("https://www.philgeps.gov.ph/GEPSNONPILOT/Tender/SplashBidNoticeAbstractUI.aspx?menuIndex=3&amp;refID=7162946&amp;Result=3","7162946")</f>
        <v>0</v>
      </c>
      <c r="B430" t="s">
        <v>199</v>
      </c>
      <c r="C430" t="s">
        <v>4347</v>
      </c>
      <c r="D430" t="s">
        <v>19017</v>
      </c>
      <c r="E430" t="s">
        <v>19531</v>
      </c>
      <c r="F430" t="s">
        <v>32831</v>
      </c>
      <c r="G430" t="s">
        <v>32842</v>
      </c>
      <c r="H430" t="s">
        <v>32848</v>
      </c>
      <c r="I430" t="s">
        <v>32860</v>
      </c>
      <c r="J430" t="s">
        <v>33323</v>
      </c>
      <c r="K430" t="s">
        <v>42731</v>
      </c>
      <c r="M430" t="s">
        <v>43197</v>
      </c>
      <c r="N430" t="s">
        <v>47424</v>
      </c>
      <c r="O430" t="s">
        <v>47425</v>
      </c>
      <c r="P430">
        <v>0</v>
      </c>
      <c r="Q430">
        <v>3</v>
      </c>
      <c r="R430" t="s">
        <v>47426</v>
      </c>
      <c r="S430" t="s">
        <v>47531</v>
      </c>
      <c r="T430" t="s">
        <v>49123</v>
      </c>
      <c r="U430" t="s">
        <v>50045</v>
      </c>
      <c r="W430" t="s">
        <v>43197</v>
      </c>
      <c r="X430" t="s">
        <v>47430</v>
      </c>
    </row>
    <row r="431" spans="1:24">
      <c r="A431">
        <f>HYPERLINK("https://www.philgeps.gov.ph/GEPSNONPILOT/Tender/SplashBidNoticeAbstractUI.aspx?menuIndex=3&amp;refID=7162973&amp;Result=3","7162973")</f>
        <v>0</v>
      </c>
      <c r="B431" t="s">
        <v>221</v>
      </c>
      <c r="C431" t="s">
        <v>4348</v>
      </c>
      <c r="D431" t="s">
        <v>19022</v>
      </c>
      <c r="E431" t="s">
        <v>19532</v>
      </c>
      <c r="F431" t="s">
        <v>32831</v>
      </c>
      <c r="G431" t="s">
        <v>32838</v>
      </c>
      <c r="H431" t="s">
        <v>32848</v>
      </c>
      <c r="I431" t="s">
        <v>32869</v>
      </c>
      <c r="J431" t="s">
        <v>33324</v>
      </c>
      <c r="K431" t="s">
        <v>42732</v>
      </c>
      <c r="L431" t="s">
        <v>221</v>
      </c>
      <c r="M431" t="s">
        <v>43219</v>
      </c>
      <c r="N431" t="s">
        <v>47424</v>
      </c>
      <c r="O431" t="s">
        <v>47425</v>
      </c>
      <c r="P431">
        <v>0</v>
      </c>
      <c r="Q431">
        <v>4</v>
      </c>
      <c r="R431" t="s">
        <v>47426</v>
      </c>
      <c r="S431" t="s">
        <v>47531</v>
      </c>
      <c r="T431" t="s">
        <v>49056</v>
      </c>
      <c r="U431" t="s">
        <v>50046</v>
      </c>
      <c r="W431" t="s">
        <v>43219</v>
      </c>
      <c r="X431" t="s">
        <v>47430</v>
      </c>
    </row>
    <row r="432" spans="1:24">
      <c r="A432">
        <f>HYPERLINK("https://www.philgeps.gov.ph/GEPSNONPILOT/Tender/SplashBidNoticeAbstractUI.aspx?menuIndex=3&amp;refID=7162906&amp;Result=3","7162906")</f>
        <v>0</v>
      </c>
      <c r="B432" t="s">
        <v>215</v>
      </c>
      <c r="C432" t="s">
        <v>4349</v>
      </c>
      <c r="D432" t="s">
        <v>19080</v>
      </c>
      <c r="E432" t="s">
        <v>19533</v>
      </c>
      <c r="F432" t="s">
        <v>32831</v>
      </c>
      <c r="G432" t="s">
        <v>32839</v>
      </c>
      <c r="H432" t="s">
        <v>32848</v>
      </c>
      <c r="I432" t="s">
        <v>32855</v>
      </c>
      <c r="J432" t="s">
        <v>33325</v>
      </c>
      <c r="K432" t="s">
        <v>42748</v>
      </c>
      <c r="L432" t="s">
        <v>215</v>
      </c>
      <c r="M432" t="s">
        <v>43213</v>
      </c>
      <c r="N432" t="s">
        <v>47424</v>
      </c>
      <c r="O432" t="s">
        <v>47425</v>
      </c>
      <c r="P432">
        <v>0</v>
      </c>
      <c r="Q432">
        <v>0</v>
      </c>
      <c r="R432" t="s">
        <v>47426</v>
      </c>
      <c r="S432" t="s">
        <v>47531</v>
      </c>
      <c r="T432" t="s">
        <v>49066</v>
      </c>
      <c r="U432" t="s">
        <v>50047</v>
      </c>
      <c r="W432" t="s">
        <v>43213</v>
      </c>
      <c r="X432" t="s">
        <v>47430</v>
      </c>
    </row>
    <row r="433" spans="1:24">
      <c r="A433">
        <f>HYPERLINK("https://www.philgeps.gov.ph/GEPSNONPILOT/Tender/SplashBidNoticeAbstractUI.aspx?menuIndex=3&amp;refID=7163101&amp;Result=3","7163101")</f>
        <v>0</v>
      </c>
      <c r="B433" t="s">
        <v>226</v>
      </c>
      <c r="C433" t="s">
        <v>4350</v>
      </c>
      <c r="D433" t="s">
        <v>19049</v>
      </c>
      <c r="E433" t="s">
        <v>19534</v>
      </c>
      <c r="F433" t="s">
        <v>32831</v>
      </c>
      <c r="G433" t="s">
        <v>32839</v>
      </c>
      <c r="H433" t="s">
        <v>32849</v>
      </c>
      <c r="I433" t="s">
        <v>4177</v>
      </c>
      <c r="J433" t="s">
        <v>33044</v>
      </c>
      <c r="K433" t="s">
        <v>42749</v>
      </c>
      <c r="M433" t="s">
        <v>43224</v>
      </c>
      <c r="N433" t="s">
        <v>47424</v>
      </c>
      <c r="O433" t="s">
        <v>47425</v>
      </c>
      <c r="P433">
        <v>0</v>
      </c>
      <c r="Q433">
        <v>0</v>
      </c>
      <c r="R433" t="s">
        <v>47426</v>
      </c>
      <c r="S433" t="s">
        <v>47531</v>
      </c>
      <c r="T433" t="s">
        <v>49154</v>
      </c>
      <c r="U433" t="s">
        <v>50048</v>
      </c>
      <c r="W433" t="s">
        <v>43224</v>
      </c>
      <c r="X433" t="s">
        <v>47430</v>
      </c>
    </row>
    <row r="434" spans="1:24">
      <c r="A434">
        <f>HYPERLINK("https://www.philgeps.gov.ph/GEPSNONPILOT/Tender/SplashBidNoticeAbstractUI.aspx?menuIndex=3&amp;refID=7163093&amp;Result=3","7163093")</f>
        <v>0</v>
      </c>
      <c r="B434" t="s">
        <v>227</v>
      </c>
      <c r="C434" t="s">
        <v>4351</v>
      </c>
      <c r="D434" t="s">
        <v>19018</v>
      </c>
      <c r="E434" t="s">
        <v>19535</v>
      </c>
      <c r="F434" t="s">
        <v>32831</v>
      </c>
      <c r="G434" t="s">
        <v>32839</v>
      </c>
      <c r="H434" t="s">
        <v>32849</v>
      </c>
      <c r="I434" t="s">
        <v>4177</v>
      </c>
      <c r="J434" t="s">
        <v>33118</v>
      </c>
      <c r="K434" t="s">
        <v>42747</v>
      </c>
      <c r="L434" t="s">
        <v>227</v>
      </c>
      <c r="M434" t="s">
        <v>43225</v>
      </c>
      <c r="N434" t="s">
        <v>47424</v>
      </c>
      <c r="O434" t="s">
        <v>47425</v>
      </c>
      <c r="P434">
        <v>0</v>
      </c>
      <c r="Q434">
        <v>0</v>
      </c>
      <c r="R434" t="s">
        <v>47426</v>
      </c>
      <c r="S434" t="s">
        <v>47531</v>
      </c>
      <c r="T434" t="s">
        <v>49155</v>
      </c>
      <c r="U434" t="s">
        <v>50049</v>
      </c>
      <c r="V434" t="s">
        <v>62665</v>
      </c>
      <c r="W434" t="s">
        <v>43225</v>
      </c>
      <c r="X434" t="s">
        <v>47430</v>
      </c>
    </row>
    <row r="435" spans="1:24">
      <c r="A435">
        <f>HYPERLINK("https://www.philgeps.gov.ph/GEPSNONPILOT/Tender/SplashBidNoticeAbstractUI.aspx?menuIndex=3&amp;refID=7163089&amp;Result=3","7163089")</f>
        <v>0</v>
      </c>
      <c r="B435" t="s">
        <v>90</v>
      </c>
      <c r="C435" t="s">
        <v>4352</v>
      </c>
      <c r="E435" t="s">
        <v>19536</v>
      </c>
      <c r="F435" t="s">
        <v>32831</v>
      </c>
      <c r="G435" t="s">
        <v>32840</v>
      </c>
      <c r="H435" t="s">
        <v>32848</v>
      </c>
      <c r="I435" t="s">
        <v>9577</v>
      </c>
      <c r="J435" t="s">
        <v>33162</v>
      </c>
      <c r="K435" t="s">
        <v>42726</v>
      </c>
      <c r="M435" t="s">
        <v>43226</v>
      </c>
      <c r="N435" t="s">
        <v>47424</v>
      </c>
      <c r="O435" t="s">
        <v>47425</v>
      </c>
      <c r="P435">
        <v>0</v>
      </c>
      <c r="Q435">
        <v>1</v>
      </c>
      <c r="R435" t="s">
        <v>47426</v>
      </c>
      <c r="S435" t="s">
        <v>47531</v>
      </c>
      <c r="T435" t="s">
        <v>49107</v>
      </c>
      <c r="U435" t="s">
        <v>50050</v>
      </c>
      <c r="W435" t="s">
        <v>43226</v>
      </c>
      <c r="X435" t="s">
        <v>47430</v>
      </c>
    </row>
    <row r="436" spans="1:24">
      <c r="A436">
        <f>HYPERLINK("https://www.philgeps.gov.ph/GEPSNONPILOT/Tender/SplashBidNoticeAbstractUI.aspx?menuIndex=3&amp;refID=7162848&amp;Result=3","7162848")</f>
        <v>0</v>
      </c>
      <c r="B436" t="s">
        <v>207</v>
      </c>
      <c r="C436" t="s">
        <v>4353</v>
      </c>
      <c r="D436" t="s">
        <v>19050</v>
      </c>
      <c r="E436" t="s">
        <v>19537</v>
      </c>
      <c r="F436" t="s">
        <v>32831</v>
      </c>
      <c r="G436" t="s">
        <v>32839</v>
      </c>
      <c r="H436" t="s">
        <v>32848</v>
      </c>
      <c r="I436" t="s">
        <v>4438</v>
      </c>
      <c r="J436" t="s">
        <v>33326</v>
      </c>
      <c r="K436" t="s">
        <v>42732</v>
      </c>
      <c r="M436" t="s">
        <v>43205</v>
      </c>
      <c r="N436" t="s">
        <v>47424</v>
      </c>
      <c r="O436" t="s">
        <v>47425</v>
      </c>
      <c r="P436">
        <v>0</v>
      </c>
      <c r="Q436">
        <v>1</v>
      </c>
      <c r="R436" t="s">
        <v>47426</v>
      </c>
      <c r="S436" t="s">
        <v>47531</v>
      </c>
      <c r="T436" t="s">
        <v>49069</v>
      </c>
      <c r="U436" t="s">
        <v>50051</v>
      </c>
      <c r="W436" t="s">
        <v>64433</v>
      </c>
      <c r="X436" t="s">
        <v>47430</v>
      </c>
    </row>
    <row r="437" spans="1:24">
      <c r="A437">
        <f>HYPERLINK("https://www.philgeps.gov.ph/GEPSNONPILOT/Tender/SplashBidNoticeAbstractUI.aspx?menuIndex=3&amp;refID=7163085&amp;Result=3","7163085")</f>
        <v>0</v>
      </c>
      <c r="B437" t="s">
        <v>228</v>
      </c>
      <c r="C437" t="s">
        <v>4354</v>
      </c>
      <c r="D437" t="s">
        <v>19033</v>
      </c>
      <c r="E437" t="s">
        <v>19538</v>
      </c>
      <c r="F437" t="s">
        <v>32831</v>
      </c>
      <c r="G437" t="s">
        <v>32838</v>
      </c>
      <c r="H437" t="s">
        <v>32848</v>
      </c>
      <c r="I437" t="s">
        <v>32859</v>
      </c>
      <c r="J437" t="s">
        <v>33327</v>
      </c>
      <c r="K437" t="s">
        <v>42727</v>
      </c>
      <c r="M437" t="s">
        <v>43227</v>
      </c>
      <c r="N437" t="s">
        <v>47424</v>
      </c>
      <c r="O437" t="s">
        <v>47425</v>
      </c>
      <c r="P437">
        <v>0</v>
      </c>
      <c r="Q437">
        <v>2</v>
      </c>
      <c r="R437" t="s">
        <v>47426</v>
      </c>
      <c r="S437" t="s">
        <v>47531</v>
      </c>
      <c r="T437" t="s">
        <v>49089</v>
      </c>
      <c r="U437" t="s">
        <v>50052</v>
      </c>
      <c r="W437" t="s">
        <v>43227</v>
      </c>
      <c r="X437" t="s">
        <v>47430</v>
      </c>
    </row>
    <row r="438" spans="1:24">
      <c r="A438">
        <f>HYPERLINK("https://www.philgeps.gov.ph/GEPSNONPILOT/Tender/SplashBidNoticeAbstractUI.aspx?menuIndex=3&amp;refID=7163084&amp;Result=3","7163084")</f>
        <v>0</v>
      </c>
      <c r="B438" t="s">
        <v>229</v>
      </c>
      <c r="C438" t="s">
        <v>4355</v>
      </c>
      <c r="D438" t="s">
        <v>19077</v>
      </c>
      <c r="E438" t="s">
        <v>19539</v>
      </c>
      <c r="F438" t="s">
        <v>32831</v>
      </c>
      <c r="G438" t="s">
        <v>32838</v>
      </c>
      <c r="H438" t="s">
        <v>32848</v>
      </c>
      <c r="I438" t="s">
        <v>32892</v>
      </c>
      <c r="J438" t="s">
        <v>33328</v>
      </c>
      <c r="K438" t="s">
        <v>42732</v>
      </c>
      <c r="M438" t="s">
        <v>43228</v>
      </c>
      <c r="N438" t="s">
        <v>47424</v>
      </c>
      <c r="O438" t="s">
        <v>47425</v>
      </c>
      <c r="P438">
        <v>0</v>
      </c>
      <c r="Q438">
        <v>1</v>
      </c>
      <c r="R438" t="s">
        <v>47426</v>
      </c>
      <c r="S438" t="s">
        <v>47531</v>
      </c>
      <c r="T438" t="s">
        <v>49079</v>
      </c>
      <c r="U438" t="s">
        <v>50053</v>
      </c>
      <c r="W438" t="s">
        <v>43228</v>
      </c>
      <c r="X438" t="s">
        <v>47430</v>
      </c>
    </row>
    <row r="439" spans="1:24">
      <c r="A439">
        <f>HYPERLINK("https://www.philgeps.gov.ph/GEPSNONPILOT/Tender/SplashBidNoticeAbstractUI.aspx?menuIndex=3&amp;refID=7162825&amp;Result=3","7162825")</f>
        <v>0</v>
      </c>
      <c r="B439" t="s">
        <v>230</v>
      </c>
      <c r="C439" t="s">
        <v>4356</v>
      </c>
      <c r="D439" t="s">
        <v>19041</v>
      </c>
      <c r="E439" t="s">
        <v>19203</v>
      </c>
      <c r="F439" t="s">
        <v>32831</v>
      </c>
      <c r="G439" t="s">
        <v>32839</v>
      </c>
      <c r="H439" t="s">
        <v>32849</v>
      </c>
      <c r="I439" t="s">
        <v>4177</v>
      </c>
      <c r="J439" t="s">
        <v>33329</v>
      </c>
      <c r="K439" t="s">
        <v>42742</v>
      </c>
      <c r="M439" t="s">
        <v>43229</v>
      </c>
      <c r="N439" t="s">
        <v>47424</v>
      </c>
      <c r="O439" t="s">
        <v>47425</v>
      </c>
      <c r="P439">
        <v>0</v>
      </c>
      <c r="Q439">
        <v>0</v>
      </c>
      <c r="R439" t="s">
        <v>47426</v>
      </c>
      <c r="S439" t="s">
        <v>47531</v>
      </c>
      <c r="T439" t="s">
        <v>49064</v>
      </c>
      <c r="U439" t="s">
        <v>50054</v>
      </c>
      <c r="W439" t="s">
        <v>43229</v>
      </c>
      <c r="X439" t="s">
        <v>47430</v>
      </c>
    </row>
    <row r="440" spans="1:24">
      <c r="A440">
        <f>HYPERLINK("https://www.philgeps.gov.ph/GEPSNONPILOT/Tender/SplashBidNoticeAbstractUI.aspx?menuIndex=3&amp;refID=7163077&amp;Result=3","7163077")</f>
        <v>0</v>
      </c>
      <c r="B440" t="s">
        <v>114</v>
      </c>
      <c r="C440" t="s">
        <v>4357</v>
      </c>
      <c r="D440" t="s">
        <v>19050</v>
      </c>
      <c r="E440" t="s">
        <v>19540</v>
      </c>
      <c r="F440" t="s">
        <v>32831</v>
      </c>
      <c r="G440" t="s">
        <v>32838</v>
      </c>
      <c r="H440" t="s">
        <v>32848</v>
      </c>
      <c r="I440" t="s">
        <v>32870</v>
      </c>
      <c r="J440" t="s">
        <v>33330</v>
      </c>
      <c r="K440" t="s">
        <v>42731</v>
      </c>
      <c r="L440" t="s">
        <v>114</v>
      </c>
      <c r="M440" t="s">
        <v>43111</v>
      </c>
      <c r="N440" t="s">
        <v>47424</v>
      </c>
      <c r="O440" t="s">
        <v>47425</v>
      </c>
      <c r="P440">
        <v>0</v>
      </c>
      <c r="Q440">
        <v>0</v>
      </c>
      <c r="R440" t="s">
        <v>47426</v>
      </c>
      <c r="S440" t="s">
        <v>47531</v>
      </c>
      <c r="T440" t="s">
        <v>49150</v>
      </c>
      <c r="U440" t="s">
        <v>49824</v>
      </c>
      <c r="W440" t="s">
        <v>43111</v>
      </c>
      <c r="X440" t="s">
        <v>47430</v>
      </c>
    </row>
    <row r="441" spans="1:24">
      <c r="A441">
        <f>HYPERLINK("https://www.philgeps.gov.ph/GEPSNONPILOT/Tender/SplashBidNoticeAbstractUI.aspx?menuIndex=3&amp;refID=7162940&amp;Result=3","7162940")</f>
        <v>0</v>
      </c>
      <c r="B441" t="s">
        <v>225</v>
      </c>
      <c r="C441" t="s">
        <v>3968</v>
      </c>
      <c r="E441" t="s">
        <v>19541</v>
      </c>
      <c r="F441" t="s">
        <v>32831</v>
      </c>
      <c r="G441" t="s">
        <v>32840</v>
      </c>
      <c r="H441" t="s">
        <v>32848</v>
      </c>
      <c r="I441" t="s">
        <v>4558</v>
      </c>
      <c r="J441" t="s">
        <v>33331</v>
      </c>
      <c r="K441" t="s">
        <v>42732</v>
      </c>
      <c r="M441" t="s">
        <v>43223</v>
      </c>
      <c r="N441" t="s">
        <v>47424</v>
      </c>
      <c r="O441" t="s">
        <v>47425</v>
      </c>
      <c r="P441">
        <v>0</v>
      </c>
      <c r="Q441">
        <v>0</v>
      </c>
      <c r="R441" t="s">
        <v>47426</v>
      </c>
      <c r="S441" t="s">
        <v>47531</v>
      </c>
      <c r="T441" t="s">
        <v>49156</v>
      </c>
      <c r="U441" t="s">
        <v>50055</v>
      </c>
      <c r="W441" t="s">
        <v>43223</v>
      </c>
      <c r="X441" t="s">
        <v>47430</v>
      </c>
    </row>
    <row r="442" spans="1:24">
      <c r="A442">
        <f>HYPERLINK("https://www.philgeps.gov.ph/GEPSNONPILOT/Tender/SplashBidNoticeAbstractUI.aspx?menuIndex=3&amp;refID=7162850&amp;Result=3","7162850")</f>
        <v>0</v>
      </c>
      <c r="B442" t="s">
        <v>231</v>
      </c>
      <c r="C442" t="s">
        <v>4358</v>
      </c>
      <c r="D442" t="s">
        <v>19039</v>
      </c>
      <c r="E442" t="s">
        <v>19542</v>
      </c>
      <c r="F442" t="s">
        <v>32831</v>
      </c>
      <c r="G442" t="s">
        <v>32839</v>
      </c>
      <c r="H442" t="s">
        <v>32848</v>
      </c>
      <c r="I442" t="s">
        <v>32874</v>
      </c>
      <c r="J442" t="s">
        <v>33332</v>
      </c>
      <c r="K442" t="s">
        <v>42747</v>
      </c>
      <c r="M442" t="s">
        <v>43230</v>
      </c>
      <c r="N442" t="s">
        <v>47424</v>
      </c>
      <c r="O442" t="s">
        <v>47425</v>
      </c>
      <c r="P442">
        <v>0</v>
      </c>
      <c r="Q442">
        <v>7</v>
      </c>
      <c r="R442" t="s">
        <v>47426</v>
      </c>
      <c r="S442" t="s">
        <v>47531</v>
      </c>
      <c r="T442" t="s">
        <v>49065</v>
      </c>
      <c r="U442" t="s">
        <v>50056</v>
      </c>
      <c r="W442" t="s">
        <v>43230</v>
      </c>
      <c r="X442" t="s">
        <v>47430</v>
      </c>
    </row>
    <row r="443" spans="1:24">
      <c r="A443">
        <f>HYPERLINK("https://www.philgeps.gov.ph/GEPSNONPILOT/Tender/SplashBidNoticeAbstractUI.aspx?menuIndex=3&amp;refID=7163079&amp;Result=3","7163079")</f>
        <v>0</v>
      </c>
      <c r="B443" t="s">
        <v>199</v>
      </c>
      <c r="C443" t="s">
        <v>4307</v>
      </c>
      <c r="D443" t="s">
        <v>19017</v>
      </c>
      <c r="E443" t="s">
        <v>19543</v>
      </c>
      <c r="F443" t="s">
        <v>32831</v>
      </c>
      <c r="G443" t="s">
        <v>32842</v>
      </c>
      <c r="H443" t="s">
        <v>32848</v>
      </c>
      <c r="I443" t="s">
        <v>32857</v>
      </c>
      <c r="J443" t="s">
        <v>33333</v>
      </c>
      <c r="K443" t="s">
        <v>42731</v>
      </c>
      <c r="M443" t="s">
        <v>43197</v>
      </c>
      <c r="N443" t="s">
        <v>47424</v>
      </c>
      <c r="O443" t="s">
        <v>47425</v>
      </c>
      <c r="P443">
        <v>0</v>
      </c>
      <c r="Q443">
        <v>4</v>
      </c>
      <c r="R443" t="s">
        <v>47426</v>
      </c>
      <c r="S443" t="s">
        <v>47531</v>
      </c>
      <c r="T443" t="s">
        <v>49123</v>
      </c>
      <c r="U443" t="s">
        <v>50057</v>
      </c>
      <c r="W443" t="s">
        <v>43197</v>
      </c>
      <c r="X443" t="s">
        <v>47430</v>
      </c>
    </row>
    <row r="444" spans="1:24">
      <c r="A444">
        <f>HYPERLINK("https://www.philgeps.gov.ph/GEPSNONPILOT/Tender/SplashBidNoticeAbstractUI.aspx?menuIndex=3&amp;refID=7163051&amp;Result=3","7163051")</f>
        <v>0</v>
      </c>
      <c r="B444" t="s">
        <v>199</v>
      </c>
      <c r="C444" t="s">
        <v>4359</v>
      </c>
      <c r="D444" t="s">
        <v>19017</v>
      </c>
      <c r="E444" t="s">
        <v>19544</v>
      </c>
      <c r="F444" t="s">
        <v>32831</v>
      </c>
      <c r="G444" t="s">
        <v>32842</v>
      </c>
      <c r="H444" t="s">
        <v>32848</v>
      </c>
      <c r="I444" t="s">
        <v>32857</v>
      </c>
      <c r="J444" t="s">
        <v>33334</v>
      </c>
      <c r="K444" t="s">
        <v>42731</v>
      </c>
      <c r="M444" t="s">
        <v>43197</v>
      </c>
      <c r="N444" t="s">
        <v>47424</v>
      </c>
      <c r="O444" t="s">
        <v>47425</v>
      </c>
      <c r="P444">
        <v>0</v>
      </c>
      <c r="Q444">
        <v>12</v>
      </c>
      <c r="R444" t="s">
        <v>47426</v>
      </c>
      <c r="S444" t="s">
        <v>47531</v>
      </c>
      <c r="T444" t="s">
        <v>49123</v>
      </c>
      <c r="U444" t="s">
        <v>50058</v>
      </c>
      <c r="W444" t="s">
        <v>43197</v>
      </c>
      <c r="X444" t="s">
        <v>47430</v>
      </c>
    </row>
    <row r="445" spans="1:24">
      <c r="A445">
        <f>HYPERLINK("https://www.philgeps.gov.ph/GEPSNONPILOT/Tender/SplashBidNoticeAbstractUI.aspx?menuIndex=3&amp;refID=7163047&amp;Result=3","7163047")</f>
        <v>0</v>
      </c>
      <c r="B445" t="s">
        <v>31</v>
      </c>
      <c r="C445" t="s">
        <v>4360</v>
      </c>
      <c r="D445" t="s">
        <v>19022</v>
      </c>
      <c r="E445" t="s">
        <v>19130</v>
      </c>
      <c r="F445" t="s">
        <v>32831</v>
      </c>
      <c r="G445" t="s">
        <v>32839</v>
      </c>
      <c r="H445" t="s">
        <v>32848</v>
      </c>
      <c r="I445" t="s">
        <v>7416</v>
      </c>
      <c r="J445" t="s">
        <v>33335</v>
      </c>
      <c r="K445" t="s">
        <v>42738</v>
      </c>
      <c r="L445" t="s">
        <v>31</v>
      </c>
      <c r="M445" t="s">
        <v>43028</v>
      </c>
      <c r="N445" t="s">
        <v>47424</v>
      </c>
      <c r="O445" t="s">
        <v>47425</v>
      </c>
      <c r="P445">
        <v>0</v>
      </c>
      <c r="Q445">
        <v>0</v>
      </c>
      <c r="R445" t="s">
        <v>47426</v>
      </c>
      <c r="S445" t="s">
        <v>47531</v>
      </c>
      <c r="T445" t="s">
        <v>49063</v>
      </c>
      <c r="U445" t="s">
        <v>49744</v>
      </c>
      <c r="W445" t="s">
        <v>43028</v>
      </c>
      <c r="X445" t="s">
        <v>47430</v>
      </c>
    </row>
    <row r="446" spans="1:24">
      <c r="A446">
        <f>HYPERLINK("https://www.philgeps.gov.ph/GEPSNONPILOT/Tender/SplashBidNoticeAbstractUI.aspx?menuIndex=3&amp;refID=7163074&amp;Result=3","7163074")</f>
        <v>0</v>
      </c>
      <c r="B446" t="s">
        <v>232</v>
      </c>
      <c r="C446" t="s">
        <v>4361</v>
      </c>
      <c r="D446" t="s">
        <v>19038</v>
      </c>
      <c r="E446" t="s">
        <v>19545</v>
      </c>
      <c r="F446" t="s">
        <v>32831</v>
      </c>
      <c r="G446" t="s">
        <v>32839</v>
      </c>
      <c r="H446" t="s">
        <v>32848</v>
      </c>
      <c r="I446" t="s">
        <v>32874</v>
      </c>
      <c r="J446" t="s">
        <v>33336</v>
      </c>
      <c r="K446" t="s">
        <v>42732</v>
      </c>
      <c r="M446" t="s">
        <v>43231</v>
      </c>
      <c r="N446" t="s">
        <v>47424</v>
      </c>
      <c r="O446" t="s">
        <v>47425</v>
      </c>
      <c r="P446">
        <v>0</v>
      </c>
      <c r="Q446">
        <v>8</v>
      </c>
      <c r="R446" t="s">
        <v>47426</v>
      </c>
      <c r="S446" t="s">
        <v>47531</v>
      </c>
      <c r="T446" t="s">
        <v>49080</v>
      </c>
      <c r="U446" t="s">
        <v>50059</v>
      </c>
      <c r="W446" t="s">
        <v>43231</v>
      </c>
      <c r="X446" t="s">
        <v>47430</v>
      </c>
    </row>
    <row r="447" spans="1:24">
      <c r="A447">
        <f>HYPERLINK("https://www.philgeps.gov.ph/GEPSNONPILOT/Tender/SplashBidNoticeAbstractUI.aspx?menuIndex=3&amp;refID=7163042&amp;Result=3","7163042")</f>
        <v>0</v>
      </c>
      <c r="B447" t="s">
        <v>228</v>
      </c>
      <c r="C447" t="s">
        <v>4362</v>
      </c>
      <c r="D447" t="s">
        <v>19033</v>
      </c>
      <c r="E447" t="s">
        <v>19546</v>
      </c>
      <c r="F447" t="s">
        <v>32831</v>
      </c>
      <c r="G447" t="s">
        <v>32838</v>
      </c>
      <c r="H447" t="s">
        <v>32848</v>
      </c>
      <c r="I447" t="s">
        <v>32883</v>
      </c>
      <c r="J447" t="s">
        <v>33337</v>
      </c>
      <c r="K447" t="s">
        <v>42727</v>
      </c>
      <c r="M447" t="s">
        <v>43227</v>
      </c>
      <c r="N447" t="s">
        <v>47424</v>
      </c>
      <c r="O447" t="s">
        <v>47425</v>
      </c>
      <c r="P447">
        <v>0</v>
      </c>
      <c r="Q447">
        <v>1</v>
      </c>
      <c r="R447" t="s">
        <v>47426</v>
      </c>
      <c r="S447" t="s">
        <v>47531</v>
      </c>
      <c r="T447" t="s">
        <v>49129</v>
      </c>
      <c r="U447" t="s">
        <v>50060</v>
      </c>
      <c r="W447" t="s">
        <v>43227</v>
      </c>
      <c r="X447" t="s">
        <v>47430</v>
      </c>
    </row>
    <row r="448" spans="1:24">
      <c r="A448">
        <f>HYPERLINK("https://www.philgeps.gov.ph/GEPSNONPILOT/Tender/SplashBidNoticeAbstractUI.aspx?menuIndex=3&amp;refID=7163057&amp;Result=3","7163057")</f>
        <v>0</v>
      </c>
      <c r="B448" t="s">
        <v>227</v>
      </c>
      <c r="C448" t="s">
        <v>4363</v>
      </c>
      <c r="D448" t="s">
        <v>19018</v>
      </c>
      <c r="E448" t="s">
        <v>19547</v>
      </c>
      <c r="F448" t="s">
        <v>32831</v>
      </c>
      <c r="G448" t="s">
        <v>32839</v>
      </c>
      <c r="H448" t="s">
        <v>32849</v>
      </c>
      <c r="I448" t="s">
        <v>4177</v>
      </c>
      <c r="J448" t="s">
        <v>33072</v>
      </c>
      <c r="K448" t="s">
        <v>42747</v>
      </c>
      <c r="L448" t="s">
        <v>227</v>
      </c>
      <c r="M448" t="s">
        <v>43225</v>
      </c>
      <c r="N448" t="s">
        <v>47424</v>
      </c>
      <c r="O448" t="s">
        <v>47425</v>
      </c>
      <c r="P448">
        <v>0</v>
      </c>
      <c r="Q448">
        <v>0</v>
      </c>
      <c r="R448" t="s">
        <v>47426</v>
      </c>
      <c r="S448" t="s">
        <v>47531</v>
      </c>
      <c r="T448" t="s">
        <v>49155</v>
      </c>
      <c r="U448" t="s">
        <v>50049</v>
      </c>
      <c r="V448" t="s">
        <v>62665</v>
      </c>
      <c r="W448" t="s">
        <v>43225</v>
      </c>
      <c r="X448" t="s">
        <v>47430</v>
      </c>
    </row>
    <row r="449" spans="1:24">
      <c r="A449">
        <f>HYPERLINK("https://www.philgeps.gov.ph/GEPSNONPILOT/Tender/SplashBidNoticeAbstractUI.aspx?menuIndex=3&amp;refID=7163031&amp;Result=3","7163031")</f>
        <v>0</v>
      </c>
      <c r="B449" t="s">
        <v>224</v>
      </c>
      <c r="C449" t="s">
        <v>4344</v>
      </c>
      <c r="D449" t="s">
        <v>19027</v>
      </c>
      <c r="E449" t="s">
        <v>19548</v>
      </c>
      <c r="F449" t="s">
        <v>32831</v>
      </c>
      <c r="G449" t="s">
        <v>32840</v>
      </c>
      <c r="H449" t="s">
        <v>32848</v>
      </c>
      <c r="I449" t="s">
        <v>32855</v>
      </c>
      <c r="J449" t="s">
        <v>33338</v>
      </c>
      <c r="K449" t="s">
        <v>42727</v>
      </c>
      <c r="M449" t="s">
        <v>43222</v>
      </c>
      <c r="N449" t="s">
        <v>47424</v>
      </c>
      <c r="O449" t="s">
        <v>47425</v>
      </c>
      <c r="P449">
        <v>0</v>
      </c>
      <c r="Q449">
        <v>8</v>
      </c>
      <c r="R449" t="s">
        <v>47426</v>
      </c>
      <c r="S449" t="s">
        <v>47531</v>
      </c>
      <c r="T449" t="s">
        <v>49143</v>
      </c>
      <c r="U449" t="s">
        <v>50061</v>
      </c>
      <c r="V449" t="s">
        <v>62666</v>
      </c>
      <c r="W449" t="s">
        <v>43222</v>
      </c>
      <c r="X449" t="s">
        <v>47430</v>
      </c>
    </row>
    <row r="450" spans="1:24">
      <c r="A450">
        <f>HYPERLINK("https://www.philgeps.gov.ph/GEPSNONPILOT/Tender/SplashBidNoticeAbstractUI.aspx?menuIndex=3&amp;refID=7163017&amp;Result=3","7163017")</f>
        <v>0</v>
      </c>
      <c r="B450" t="s">
        <v>233</v>
      </c>
      <c r="C450" t="s">
        <v>4364</v>
      </c>
      <c r="D450" t="s">
        <v>19065</v>
      </c>
      <c r="E450" t="s">
        <v>19549</v>
      </c>
      <c r="F450" t="s">
        <v>32831</v>
      </c>
      <c r="G450" t="s">
        <v>32839</v>
      </c>
      <c r="H450" t="s">
        <v>32849</v>
      </c>
      <c r="I450" t="s">
        <v>4177</v>
      </c>
      <c r="J450" t="s">
        <v>33339</v>
      </c>
      <c r="K450" t="s">
        <v>42770</v>
      </c>
      <c r="M450" t="s">
        <v>43232</v>
      </c>
      <c r="N450" t="s">
        <v>47424</v>
      </c>
      <c r="O450" t="s">
        <v>47425</v>
      </c>
      <c r="P450">
        <v>0</v>
      </c>
      <c r="Q450">
        <v>0</v>
      </c>
      <c r="R450" t="s">
        <v>47426</v>
      </c>
      <c r="S450" t="s">
        <v>47531</v>
      </c>
      <c r="T450" t="s">
        <v>49132</v>
      </c>
      <c r="U450" t="s">
        <v>50062</v>
      </c>
      <c r="V450" t="s">
        <v>62667</v>
      </c>
      <c r="W450" t="s">
        <v>43232</v>
      </c>
      <c r="X450" t="s">
        <v>47430</v>
      </c>
    </row>
    <row r="451" spans="1:24">
      <c r="A451">
        <f>HYPERLINK("https://www.philgeps.gov.ph/GEPSNONPILOT/Tender/SplashBidNoticeAbstractUI.aspx?menuIndex=3&amp;refID=7163064&amp;Result=3","7163064")</f>
        <v>0</v>
      </c>
      <c r="B451" t="s">
        <v>234</v>
      </c>
      <c r="C451" t="s">
        <v>4365</v>
      </c>
      <c r="D451" t="s">
        <v>19045</v>
      </c>
      <c r="E451" t="s">
        <v>19550</v>
      </c>
      <c r="F451" t="s">
        <v>32831</v>
      </c>
      <c r="G451" t="s">
        <v>32838</v>
      </c>
      <c r="H451" t="s">
        <v>32848</v>
      </c>
      <c r="I451" t="s">
        <v>32857</v>
      </c>
      <c r="J451" t="s">
        <v>33292</v>
      </c>
      <c r="K451" t="s">
        <v>42731</v>
      </c>
      <c r="M451" t="s">
        <v>43233</v>
      </c>
      <c r="N451" t="s">
        <v>47424</v>
      </c>
      <c r="O451" t="s">
        <v>47425</v>
      </c>
      <c r="P451">
        <v>0</v>
      </c>
      <c r="Q451">
        <v>1</v>
      </c>
      <c r="R451" t="s">
        <v>47426</v>
      </c>
      <c r="S451" t="s">
        <v>47531</v>
      </c>
      <c r="T451" t="s">
        <v>49151</v>
      </c>
      <c r="U451" t="s">
        <v>50063</v>
      </c>
      <c r="W451" t="s">
        <v>43233</v>
      </c>
      <c r="X451" t="s">
        <v>47430</v>
      </c>
    </row>
    <row r="452" spans="1:24">
      <c r="A452">
        <f>HYPERLINK("https://www.philgeps.gov.ph/GEPSNONPILOT/Tender/SplashBidNoticeAbstractUI.aspx?menuIndex=3&amp;refID=7162939&amp;Result=3","7162939")</f>
        <v>0</v>
      </c>
      <c r="B452" t="s">
        <v>235</v>
      </c>
      <c r="C452" t="s">
        <v>4366</v>
      </c>
      <c r="D452" t="s">
        <v>19017</v>
      </c>
      <c r="E452" t="s">
        <v>19551</v>
      </c>
      <c r="F452" t="s">
        <v>32831</v>
      </c>
      <c r="G452" t="s">
        <v>32838</v>
      </c>
      <c r="H452" t="s">
        <v>32848</v>
      </c>
      <c r="I452" t="s">
        <v>32858</v>
      </c>
      <c r="J452" t="s">
        <v>33340</v>
      </c>
      <c r="K452" t="s">
        <v>42759</v>
      </c>
      <c r="M452" t="s">
        <v>43234</v>
      </c>
      <c r="N452" t="s">
        <v>47424</v>
      </c>
      <c r="O452" t="s">
        <v>47425</v>
      </c>
      <c r="P452">
        <v>0</v>
      </c>
      <c r="Q452">
        <v>0</v>
      </c>
      <c r="R452" t="s">
        <v>47426</v>
      </c>
      <c r="S452" t="s">
        <v>47531</v>
      </c>
      <c r="T452" t="s">
        <v>49119</v>
      </c>
      <c r="U452" t="s">
        <v>50064</v>
      </c>
      <c r="W452" t="s">
        <v>43234</v>
      </c>
      <c r="X452" t="s">
        <v>47430</v>
      </c>
    </row>
    <row r="453" spans="1:24">
      <c r="A453">
        <f>HYPERLINK("https://www.philgeps.gov.ph/GEPSNONPILOT/Tender/SplashBidNoticeAbstractUI.aspx?menuIndex=3&amp;refID=7163037&amp;Result=3","7163037")</f>
        <v>0</v>
      </c>
      <c r="B453" t="s">
        <v>230</v>
      </c>
      <c r="C453" t="s">
        <v>4367</v>
      </c>
      <c r="D453" t="s">
        <v>19041</v>
      </c>
      <c r="E453" t="s">
        <v>19211</v>
      </c>
      <c r="F453" t="s">
        <v>32831</v>
      </c>
      <c r="G453" t="s">
        <v>32839</v>
      </c>
      <c r="H453" t="s">
        <v>32849</v>
      </c>
      <c r="I453" t="s">
        <v>4177</v>
      </c>
      <c r="J453" t="s">
        <v>33341</v>
      </c>
      <c r="K453" t="s">
        <v>42773</v>
      </c>
      <c r="M453" t="s">
        <v>43229</v>
      </c>
      <c r="N453" t="s">
        <v>47424</v>
      </c>
      <c r="O453" t="s">
        <v>47425</v>
      </c>
      <c r="P453">
        <v>0</v>
      </c>
      <c r="Q453">
        <v>0</v>
      </c>
      <c r="R453" t="s">
        <v>47426</v>
      </c>
      <c r="S453" t="s">
        <v>47531</v>
      </c>
      <c r="T453" t="s">
        <v>49157</v>
      </c>
      <c r="U453" t="s">
        <v>50065</v>
      </c>
      <c r="W453" t="s">
        <v>43229</v>
      </c>
      <c r="X453" t="s">
        <v>47430</v>
      </c>
    </row>
    <row r="454" spans="1:24">
      <c r="A454">
        <f>HYPERLINK("https://www.philgeps.gov.ph/GEPSNONPILOT/Tender/SplashBidNoticeAbstractUI.aspx?menuIndex=3&amp;refID=7162918&amp;Result=3","7162918")</f>
        <v>0</v>
      </c>
      <c r="B454" t="s">
        <v>236</v>
      </c>
      <c r="C454" t="s">
        <v>4368</v>
      </c>
      <c r="D454" t="s">
        <v>19074</v>
      </c>
      <c r="E454" t="s">
        <v>19552</v>
      </c>
      <c r="F454" t="s">
        <v>32831</v>
      </c>
      <c r="G454" t="s">
        <v>32844</v>
      </c>
      <c r="H454" t="s">
        <v>14069</v>
      </c>
      <c r="I454" t="s">
        <v>14069</v>
      </c>
      <c r="J454" t="s">
        <v>32978</v>
      </c>
      <c r="K454" t="s">
        <v>42730</v>
      </c>
      <c r="M454" t="s">
        <v>43235</v>
      </c>
      <c r="N454" t="s">
        <v>47424</v>
      </c>
      <c r="O454" t="s">
        <v>47425</v>
      </c>
      <c r="P454">
        <v>0</v>
      </c>
      <c r="Q454">
        <v>2</v>
      </c>
      <c r="R454" t="s">
        <v>47426</v>
      </c>
      <c r="S454" t="s">
        <v>47531</v>
      </c>
      <c r="T454" t="s">
        <v>49158</v>
      </c>
      <c r="U454" t="s">
        <v>50066</v>
      </c>
      <c r="W454" t="s">
        <v>43235</v>
      </c>
      <c r="X454" t="s">
        <v>47430</v>
      </c>
    </row>
    <row r="455" spans="1:24">
      <c r="A455">
        <f>HYPERLINK("https://www.philgeps.gov.ph/GEPSNONPILOT/Tender/SplashBidNoticeAbstractUI.aspx?menuIndex=3&amp;refID=7163052&amp;Result=3","7163052")</f>
        <v>0</v>
      </c>
      <c r="B455" t="s">
        <v>237</v>
      </c>
      <c r="C455" t="s">
        <v>4369</v>
      </c>
      <c r="D455" t="s">
        <v>19049</v>
      </c>
      <c r="E455" t="s">
        <v>19311</v>
      </c>
      <c r="F455" t="s">
        <v>32831</v>
      </c>
      <c r="G455" t="s">
        <v>32840</v>
      </c>
      <c r="H455" t="s">
        <v>32848</v>
      </c>
      <c r="I455" t="s">
        <v>32866</v>
      </c>
      <c r="J455" t="s">
        <v>33342</v>
      </c>
      <c r="K455" t="s">
        <v>42758</v>
      </c>
      <c r="M455" t="s">
        <v>43236</v>
      </c>
      <c r="N455" t="s">
        <v>47424</v>
      </c>
      <c r="O455" t="s">
        <v>47425</v>
      </c>
      <c r="P455">
        <v>0</v>
      </c>
      <c r="Q455">
        <v>0</v>
      </c>
      <c r="R455" t="s">
        <v>47426</v>
      </c>
      <c r="S455" t="s">
        <v>47531</v>
      </c>
      <c r="T455" t="s">
        <v>49114</v>
      </c>
      <c r="U455" t="s">
        <v>50067</v>
      </c>
      <c r="W455" t="s">
        <v>43236</v>
      </c>
      <c r="X455" t="s">
        <v>47430</v>
      </c>
    </row>
    <row r="456" spans="1:24">
      <c r="A456">
        <f>HYPERLINK("https://www.philgeps.gov.ph/GEPSNONPILOT/Tender/SplashBidNoticeAbstractUI.aspx?menuIndex=3&amp;refID=7163180&amp;Result=3","7163180")</f>
        <v>0</v>
      </c>
      <c r="B456" t="s">
        <v>199</v>
      </c>
      <c r="C456" t="s">
        <v>4370</v>
      </c>
      <c r="D456" t="s">
        <v>19017</v>
      </c>
      <c r="E456" t="s">
        <v>19553</v>
      </c>
      <c r="F456" t="s">
        <v>32831</v>
      </c>
      <c r="G456" t="s">
        <v>32842</v>
      </c>
      <c r="H456" t="s">
        <v>32848</v>
      </c>
      <c r="I456" t="s">
        <v>32860</v>
      </c>
      <c r="J456" t="s">
        <v>33343</v>
      </c>
      <c r="K456" t="s">
        <v>42731</v>
      </c>
      <c r="M456" t="s">
        <v>43197</v>
      </c>
      <c r="N456" t="s">
        <v>47424</v>
      </c>
      <c r="O456" t="s">
        <v>47425</v>
      </c>
      <c r="P456">
        <v>0</v>
      </c>
      <c r="Q456">
        <v>4</v>
      </c>
      <c r="R456" t="s">
        <v>47426</v>
      </c>
      <c r="S456" t="s">
        <v>47531</v>
      </c>
      <c r="T456" t="s">
        <v>49123</v>
      </c>
      <c r="U456" t="s">
        <v>50068</v>
      </c>
      <c r="W456" t="s">
        <v>43197</v>
      </c>
      <c r="X456" t="s">
        <v>47430</v>
      </c>
    </row>
    <row r="457" spans="1:24">
      <c r="A457">
        <f>HYPERLINK("https://www.philgeps.gov.ph/GEPSNONPILOT/Tender/SplashBidNoticeAbstractUI.aspx?menuIndex=3&amp;refID=7163023&amp;Result=3","7163023")</f>
        <v>0</v>
      </c>
      <c r="B457" t="s">
        <v>238</v>
      </c>
      <c r="C457" t="s">
        <v>4371</v>
      </c>
      <c r="D457" t="s">
        <v>19049</v>
      </c>
      <c r="E457" t="s">
        <v>19554</v>
      </c>
      <c r="F457" t="s">
        <v>32831</v>
      </c>
      <c r="G457" t="s">
        <v>32838</v>
      </c>
      <c r="H457" t="s">
        <v>32848</v>
      </c>
      <c r="I457" t="s">
        <v>32893</v>
      </c>
      <c r="J457" t="s">
        <v>33207</v>
      </c>
      <c r="K457" t="s">
        <v>42759</v>
      </c>
      <c r="L457" t="s">
        <v>238</v>
      </c>
      <c r="M457" t="s">
        <v>43237</v>
      </c>
      <c r="N457" t="s">
        <v>47424</v>
      </c>
      <c r="O457" t="s">
        <v>47425</v>
      </c>
      <c r="P457">
        <v>0</v>
      </c>
      <c r="Q457">
        <v>0</v>
      </c>
      <c r="R457" t="s">
        <v>47426</v>
      </c>
      <c r="S457" t="s">
        <v>47531</v>
      </c>
      <c r="T457" t="s">
        <v>49104</v>
      </c>
      <c r="U457" t="s">
        <v>50069</v>
      </c>
      <c r="W457" t="s">
        <v>43237</v>
      </c>
      <c r="X457" t="s">
        <v>47430</v>
      </c>
    </row>
    <row r="458" spans="1:24">
      <c r="A458">
        <f>HYPERLINK("https://www.philgeps.gov.ph/GEPSNONPILOT/Tender/SplashBidNoticeAbstractUI.aspx?menuIndex=3&amp;refID=7162931&amp;Result=3","7162931")</f>
        <v>0</v>
      </c>
      <c r="B458" t="s">
        <v>239</v>
      </c>
      <c r="C458" t="s">
        <v>4372</v>
      </c>
      <c r="E458" t="s">
        <v>19555</v>
      </c>
      <c r="F458" t="s">
        <v>32833</v>
      </c>
      <c r="G458" t="s">
        <v>32840</v>
      </c>
      <c r="H458" t="s">
        <v>32848</v>
      </c>
      <c r="I458" t="s">
        <v>32858</v>
      </c>
      <c r="J458" t="s">
        <v>33344</v>
      </c>
      <c r="K458" t="s">
        <v>42748</v>
      </c>
      <c r="M458" t="s">
        <v>43238</v>
      </c>
      <c r="N458" t="s">
        <v>47424</v>
      </c>
      <c r="O458" t="s">
        <v>47425</v>
      </c>
      <c r="P458">
        <v>0</v>
      </c>
      <c r="Q458">
        <v>0</v>
      </c>
      <c r="R458" t="s">
        <v>47426</v>
      </c>
      <c r="S458" t="s">
        <v>47531</v>
      </c>
      <c r="T458" t="s">
        <v>49114</v>
      </c>
      <c r="U458" t="s">
        <v>50070</v>
      </c>
      <c r="W458" t="s">
        <v>43238</v>
      </c>
      <c r="X458" t="s">
        <v>47430</v>
      </c>
    </row>
    <row r="459" spans="1:24">
      <c r="A459">
        <f>HYPERLINK("https://www.philgeps.gov.ph/GEPSNONPILOT/Tender/SplashBidNoticeAbstractUI.aspx?menuIndex=3&amp;refID=7163171&amp;Result=3","7163171")</f>
        <v>0</v>
      </c>
      <c r="B459" t="s">
        <v>240</v>
      </c>
      <c r="C459" t="s">
        <v>4373</v>
      </c>
      <c r="D459" t="s">
        <v>19033</v>
      </c>
      <c r="E459" t="s">
        <v>19556</v>
      </c>
      <c r="F459" t="s">
        <v>32831</v>
      </c>
      <c r="G459" t="s">
        <v>32840</v>
      </c>
      <c r="H459" t="s">
        <v>32848</v>
      </c>
      <c r="I459" t="s">
        <v>32894</v>
      </c>
      <c r="J459" t="s">
        <v>33345</v>
      </c>
      <c r="K459" t="s">
        <v>42726</v>
      </c>
      <c r="M459" t="s">
        <v>43239</v>
      </c>
      <c r="N459" t="s">
        <v>47424</v>
      </c>
      <c r="O459" t="s">
        <v>47425</v>
      </c>
      <c r="P459">
        <v>0</v>
      </c>
      <c r="Q459">
        <v>3</v>
      </c>
      <c r="R459" t="s">
        <v>47426</v>
      </c>
      <c r="S459" t="s">
        <v>47531</v>
      </c>
      <c r="T459" t="s">
        <v>49107</v>
      </c>
      <c r="U459" t="s">
        <v>50071</v>
      </c>
      <c r="W459" t="s">
        <v>43239</v>
      </c>
      <c r="X459" t="s">
        <v>47430</v>
      </c>
    </row>
    <row r="460" spans="1:24">
      <c r="A460">
        <f>HYPERLINK("https://www.philgeps.gov.ph/GEPSNONPILOT/Tender/SplashBidNoticeAbstractUI.aspx?menuIndex=3&amp;refID=7163174&amp;Result=3","7163174")</f>
        <v>0</v>
      </c>
      <c r="B460" t="s">
        <v>241</v>
      </c>
      <c r="C460" t="s">
        <v>4374</v>
      </c>
      <c r="D460" t="s">
        <v>19082</v>
      </c>
      <c r="E460" t="s">
        <v>19557</v>
      </c>
      <c r="F460" t="s">
        <v>32831</v>
      </c>
      <c r="G460" t="s">
        <v>32840</v>
      </c>
      <c r="H460" t="s">
        <v>32848</v>
      </c>
      <c r="I460" t="s">
        <v>32889</v>
      </c>
      <c r="J460" t="s">
        <v>33346</v>
      </c>
      <c r="K460" t="s">
        <v>42727</v>
      </c>
      <c r="M460" t="s">
        <v>43240</v>
      </c>
      <c r="N460" t="s">
        <v>47424</v>
      </c>
      <c r="O460" t="s">
        <v>47425</v>
      </c>
      <c r="P460">
        <v>0</v>
      </c>
      <c r="Q460">
        <v>0</v>
      </c>
      <c r="R460" t="s">
        <v>47426</v>
      </c>
      <c r="S460" t="s">
        <v>47531</v>
      </c>
      <c r="T460" t="s">
        <v>49102</v>
      </c>
      <c r="U460" t="s">
        <v>50072</v>
      </c>
      <c r="W460" t="s">
        <v>43240</v>
      </c>
      <c r="X460" t="s">
        <v>47430</v>
      </c>
    </row>
    <row r="461" spans="1:24">
      <c r="A461">
        <f>HYPERLINK("https://www.philgeps.gov.ph/GEPSNONPILOT/Tender/SplashBidNoticeAbstractUI.aspx?menuIndex=3&amp;refID=7163166&amp;Result=3","7163166")</f>
        <v>0</v>
      </c>
      <c r="B461" t="s">
        <v>242</v>
      </c>
      <c r="C461" t="s">
        <v>4375</v>
      </c>
      <c r="D461" t="s">
        <v>19073</v>
      </c>
      <c r="E461" t="s">
        <v>19558</v>
      </c>
      <c r="F461" t="s">
        <v>32831</v>
      </c>
      <c r="G461" t="s">
        <v>32838</v>
      </c>
      <c r="H461" t="s">
        <v>32848</v>
      </c>
      <c r="I461" t="s">
        <v>32895</v>
      </c>
      <c r="J461" t="s">
        <v>33347</v>
      </c>
      <c r="K461" t="s">
        <v>42726</v>
      </c>
      <c r="M461" t="s">
        <v>43241</v>
      </c>
      <c r="N461" t="s">
        <v>47424</v>
      </c>
      <c r="O461" t="s">
        <v>47425</v>
      </c>
      <c r="P461">
        <v>0</v>
      </c>
      <c r="Q461">
        <v>0</v>
      </c>
      <c r="R461" t="s">
        <v>47426</v>
      </c>
      <c r="S461" t="s">
        <v>47531</v>
      </c>
      <c r="T461" t="s">
        <v>49159</v>
      </c>
      <c r="U461" t="s">
        <v>50073</v>
      </c>
      <c r="V461" t="s">
        <v>62668</v>
      </c>
      <c r="W461" t="s">
        <v>43241</v>
      </c>
      <c r="X461" t="s">
        <v>47430</v>
      </c>
    </row>
    <row r="462" spans="1:24">
      <c r="A462">
        <f>HYPERLINK("https://www.philgeps.gov.ph/GEPSNONPILOT/Tender/SplashBidNoticeAbstractUI.aspx?menuIndex=3&amp;refID=7163158&amp;Result=3","7163158")</f>
        <v>0</v>
      </c>
      <c r="B462" t="s">
        <v>114</v>
      </c>
      <c r="C462" t="s">
        <v>4376</v>
      </c>
      <c r="D462" t="s">
        <v>19050</v>
      </c>
      <c r="E462" t="s">
        <v>19559</v>
      </c>
      <c r="F462" t="s">
        <v>32831</v>
      </c>
      <c r="G462" t="s">
        <v>32838</v>
      </c>
      <c r="H462" t="s">
        <v>32848</v>
      </c>
      <c r="I462" t="s">
        <v>4222</v>
      </c>
      <c r="J462" t="s">
        <v>33348</v>
      </c>
      <c r="K462" t="s">
        <v>42731</v>
      </c>
      <c r="L462" t="s">
        <v>114</v>
      </c>
      <c r="M462" t="s">
        <v>43111</v>
      </c>
      <c r="N462" t="s">
        <v>47424</v>
      </c>
      <c r="O462" t="s">
        <v>47425</v>
      </c>
      <c r="P462">
        <v>0</v>
      </c>
      <c r="Q462">
        <v>0</v>
      </c>
      <c r="R462" t="s">
        <v>47426</v>
      </c>
      <c r="S462" t="s">
        <v>47531</v>
      </c>
      <c r="T462" t="s">
        <v>49150</v>
      </c>
      <c r="U462" t="s">
        <v>49824</v>
      </c>
      <c r="W462" t="s">
        <v>43111</v>
      </c>
      <c r="X462" t="s">
        <v>47430</v>
      </c>
    </row>
    <row r="463" spans="1:24">
      <c r="A463">
        <f>HYPERLINK("https://www.philgeps.gov.ph/GEPSNONPILOT/Tender/SplashBidNoticeAbstractUI.aspx?menuIndex=3&amp;refID=7163154&amp;Result=3","7163154")</f>
        <v>0</v>
      </c>
      <c r="B463" t="s">
        <v>228</v>
      </c>
      <c r="C463" t="s">
        <v>4377</v>
      </c>
      <c r="D463" t="s">
        <v>19033</v>
      </c>
      <c r="E463" t="s">
        <v>19560</v>
      </c>
      <c r="F463" t="s">
        <v>32831</v>
      </c>
      <c r="G463" t="s">
        <v>32838</v>
      </c>
      <c r="H463" t="s">
        <v>32848</v>
      </c>
      <c r="I463" t="s">
        <v>32859</v>
      </c>
      <c r="J463" t="s">
        <v>33349</v>
      </c>
      <c r="K463" t="s">
        <v>42727</v>
      </c>
      <c r="M463" t="s">
        <v>43227</v>
      </c>
      <c r="N463" t="s">
        <v>47424</v>
      </c>
      <c r="O463" t="s">
        <v>47425</v>
      </c>
      <c r="P463">
        <v>0</v>
      </c>
      <c r="Q463">
        <v>1</v>
      </c>
      <c r="R463" t="s">
        <v>47426</v>
      </c>
      <c r="S463" t="s">
        <v>47531</v>
      </c>
      <c r="T463" t="s">
        <v>49089</v>
      </c>
      <c r="U463" t="s">
        <v>50074</v>
      </c>
      <c r="W463" t="s">
        <v>43227</v>
      </c>
      <c r="X463" t="s">
        <v>47430</v>
      </c>
    </row>
    <row r="464" spans="1:24">
      <c r="A464">
        <f>HYPERLINK("https://www.philgeps.gov.ph/GEPSNONPILOT/Tender/SplashBidNoticeAbstractUI.aspx?menuIndex=3&amp;refID=7163145&amp;Result=3","7163145")</f>
        <v>0</v>
      </c>
      <c r="B464" t="s">
        <v>243</v>
      </c>
      <c r="C464" t="s">
        <v>4378</v>
      </c>
      <c r="D464" t="s">
        <v>19074</v>
      </c>
      <c r="E464" t="s">
        <v>19561</v>
      </c>
      <c r="F464" t="s">
        <v>32831</v>
      </c>
      <c r="G464" t="s">
        <v>32839</v>
      </c>
      <c r="H464" t="s">
        <v>32849</v>
      </c>
      <c r="I464" t="s">
        <v>4177</v>
      </c>
      <c r="J464" t="s">
        <v>33350</v>
      </c>
      <c r="K464" t="s">
        <v>42762</v>
      </c>
      <c r="M464" t="s">
        <v>43242</v>
      </c>
      <c r="N464" t="s">
        <v>47424</v>
      </c>
      <c r="O464" t="s">
        <v>47425</v>
      </c>
      <c r="P464">
        <v>0</v>
      </c>
      <c r="Q464">
        <v>1</v>
      </c>
      <c r="R464" t="s">
        <v>47426</v>
      </c>
      <c r="S464" t="s">
        <v>47531</v>
      </c>
      <c r="T464" t="s">
        <v>49078</v>
      </c>
      <c r="U464" t="s">
        <v>50075</v>
      </c>
      <c r="W464" t="s">
        <v>43242</v>
      </c>
      <c r="X464" t="s">
        <v>47430</v>
      </c>
    </row>
    <row r="465" spans="1:24">
      <c r="A465">
        <f>HYPERLINK("https://www.philgeps.gov.ph/GEPSNONPILOT/Tender/SplashBidNoticeAbstractUI.aspx?menuIndex=3&amp;refID=7163144&amp;Result=3","7163144")</f>
        <v>0</v>
      </c>
      <c r="B465" t="s">
        <v>244</v>
      </c>
      <c r="C465" t="s">
        <v>4379</v>
      </c>
      <c r="D465" t="s">
        <v>19035</v>
      </c>
      <c r="E465" t="s">
        <v>19311</v>
      </c>
      <c r="F465" t="s">
        <v>32831</v>
      </c>
      <c r="G465" t="s">
        <v>32842</v>
      </c>
      <c r="H465" t="s">
        <v>32848</v>
      </c>
      <c r="I465" t="s">
        <v>9577</v>
      </c>
      <c r="J465" t="s">
        <v>33351</v>
      </c>
      <c r="K465" t="s">
        <v>42758</v>
      </c>
      <c r="M465" t="s">
        <v>43243</v>
      </c>
      <c r="N465" t="s">
        <v>47424</v>
      </c>
      <c r="O465" t="s">
        <v>47425</v>
      </c>
      <c r="P465">
        <v>0</v>
      </c>
      <c r="Q465">
        <v>2</v>
      </c>
      <c r="R465" t="s">
        <v>47426</v>
      </c>
      <c r="S465" t="s">
        <v>47531</v>
      </c>
      <c r="T465" t="s">
        <v>49125</v>
      </c>
      <c r="U465" t="s">
        <v>50076</v>
      </c>
      <c r="W465" t="s">
        <v>43243</v>
      </c>
      <c r="X465" t="s">
        <v>47430</v>
      </c>
    </row>
    <row r="466" spans="1:24">
      <c r="A466">
        <f>HYPERLINK("https://www.philgeps.gov.ph/GEPSNONPILOT/Tender/SplashBidNoticeAbstractUI.aspx?menuIndex=3&amp;refID=7163173&amp;Result=3","7163173")</f>
        <v>0</v>
      </c>
      <c r="B466" t="s">
        <v>245</v>
      </c>
      <c r="C466" t="s">
        <v>4380</v>
      </c>
      <c r="D466" t="s">
        <v>19033</v>
      </c>
      <c r="E466" t="s">
        <v>19562</v>
      </c>
      <c r="F466" t="s">
        <v>32831</v>
      </c>
      <c r="G466" t="s">
        <v>32838</v>
      </c>
      <c r="H466" t="s">
        <v>32848</v>
      </c>
      <c r="I466" t="s">
        <v>7416</v>
      </c>
      <c r="J466" t="s">
        <v>33352</v>
      </c>
      <c r="K466" t="s">
        <v>42732</v>
      </c>
      <c r="M466" t="s">
        <v>43244</v>
      </c>
      <c r="N466" t="s">
        <v>47424</v>
      </c>
      <c r="O466" t="s">
        <v>47425</v>
      </c>
      <c r="P466">
        <v>0</v>
      </c>
      <c r="Q466">
        <v>0</v>
      </c>
      <c r="R466" t="s">
        <v>47426</v>
      </c>
      <c r="S466" t="s">
        <v>47531</v>
      </c>
      <c r="T466" t="s">
        <v>49100</v>
      </c>
      <c r="U466" t="s">
        <v>50077</v>
      </c>
      <c r="W466" t="s">
        <v>43244</v>
      </c>
      <c r="X466" t="s">
        <v>47430</v>
      </c>
    </row>
    <row r="467" spans="1:24">
      <c r="A467">
        <f>HYPERLINK("https://www.philgeps.gov.ph/GEPSNONPILOT/Tender/SplashBidNoticeAbstractUI.aspx?menuIndex=3&amp;refID=7163156&amp;Result=3","7163156")</f>
        <v>0</v>
      </c>
      <c r="B467" t="s">
        <v>246</v>
      </c>
      <c r="C467" t="s">
        <v>4381</v>
      </c>
      <c r="E467" t="s">
        <v>19563</v>
      </c>
      <c r="F467" t="s">
        <v>32831</v>
      </c>
      <c r="G467" t="s">
        <v>32838</v>
      </c>
      <c r="H467" t="s">
        <v>32848</v>
      </c>
      <c r="I467" t="s">
        <v>32863</v>
      </c>
      <c r="J467" t="s">
        <v>33338</v>
      </c>
      <c r="K467" t="s">
        <v>42732</v>
      </c>
      <c r="M467" t="s">
        <v>43245</v>
      </c>
      <c r="N467" t="s">
        <v>47424</v>
      </c>
      <c r="O467" t="s">
        <v>47425</v>
      </c>
      <c r="P467">
        <v>0</v>
      </c>
      <c r="Q467">
        <v>1</v>
      </c>
      <c r="R467" t="s">
        <v>47426</v>
      </c>
      <c r="S467" t="s">
        <v>47531</v>
      </c>
      <c r="T467" t="s">
        <v>49100</v>
      </c>
      <c r="U467" t="s">
        <v>50078</v>
      </c>
      <c r="W467" t="s">
        <v>43245</v>
      </c>
      <c r="X467" t="s">
        <v>47430</v>
      </c>
    </row>
    <row r="468" spans="1:24">
      <c r="A468">
        <f>HYPERLINK("https://www.philgeps.gov.ph/GEPSNONPILOT/Tender/SplashBidNoticeAbstractUI.aspx?menuIndex=3&amp;refID=7163139&amp;Result=3","7163139")</f>
        <v>0</v>
      </c>
      <c r="B468" t="s">
        <v>247</v>
      </c>
      <c r="C468" t="s">
        <v>4382</v>
      </c>
      <c r="D468" t="s">
        <v>19026</v>
      </c>
      <c r="E468" t="s">
        <v>19564</v>
      </c>
      <c r="F468" t="s">
        <v>32831</v>
      </c>
      <c r="G468" t="s">
        <v>32842</v>
      </c>
      <c r="H468" t="s">
        <v>32848</v>
      </c>
      <c r="I468" t="s">
        <v>4776</v>
      </c>
      <c r="J468" t="s">
        <v>33031</v>
      </c>
      <c r="K468" t="s">
        <v>42732</v>
      </c>
      <c r="M468" t="s">
        <v>43246</v>
      </c>
      <c r="N468" t="s">
        <v>47424</v>
      </c>
      <c r="O468" t="s">
        <v>47425</v>
      </c>
      <c r="P468">
        <v>0</v>
      </c>
      <c r="Q468">
        <v>0</v>
      </c>
      <c r="R468" t="s">
        <v>47426</v>
      </c>
      <c r="S468" t="s">
        <v>47531</v>
      </c>
      <c r="T468" t="s">
        <v>49108</v>
      </c>
      <c r="U468" t="s">
        <v>50079</v>
      </c>
      <c r="W468" t="s">
        <v>43246</v>
      </c>
      <c r="X468" t="s">
        <v>47430</v>
      </c>
    </row>
    <row r="469" spans="1:24">
      <c r="A469">
        <f>HYPERLINK("https://www.philgeps.gov.ph/GEPSNONPILOT/Tender/SplashBidNoticeAbstractUI.aspx?menuIndex=3&amp;refID=7163035&amp;Result=3","7163035")</f>
        <v>0</v>
      </c>
      <c r="B469" t="s">
        <v>90</v>
      </c>
      <c r="C469" t="s">
        <v>4383</v>
      </c>
      <c r="E469" t="s">
        <v>19565</v>
      </c>
      <c r="F469" t="s">
        <v>32831</v>
      </c>
      <c r="G469" t="s">
        <v>32840</v>
      </c>
      <c r="H469" t="s">
        <v>32848</v>
      </c>
      <c r="I469" t="s">
        <v>32860</v>
      </c>
      <c r="J469" t="s">
        <v>33353</v>
      </c>
      <c r="K469" t="s">
        <v>42726</v>
      </c>
      <c r="M469" t="s">
        <v>43226</v>
      </c>
      <c r="N469" t="s">
        <v>47424</v>
      </c>
      <c r="O469" t="s">
        <v>47425</v>
      </c>
      <c r="P469">
        <v>0</v>
      </c>
      <c r="Q469">
        <v>0</v>
      </c>
      <c r="R469" t="s">
        <v>47426</v>
      </c>
      <c r="S469" t="s">
        <v>47531</v>
      </c>
      <c r="T469" t="s">
        <v>49107</v>
      </c>
      <c r="U469" t="s">
        <v>50080</v>
      </c>
      <c r="V469" t="s">
        <v>62669</v>
      </c>
      <c r="W469" t="s">
        <v>43226</v>
      </c>
      <c r="X469" t="s">
        <v>47430</v>
      </c>
    </row>
    <row r="470" spans="1:24">
      <c r="A470">
        <f>HYPERLINK("https://www.philgeps.gov.ph/GEPSNONPILOT/Tender/SplashBidNoticeAbstractUI.aspx?menuIndex=3&amp;refID=7163198&amp;Result=3","7163198")</f>
        <v>0</v>
      </c>
      <c r="B470" t="s">
        <v>228</v>
      </c>
      <c r="C470" t="s">
        <v>4384</v>
      </c>
      <c r="D470" t="s">
        <v>19033</v>
      </c>
      <c r="E470" t="s">
        <v>19566</v>
      </c>
      <c r="F470" t="s">
        <v>32831</v>
      </c>
      <c r="G470" t="s">
        <v>32838</v>
      </c>
      <c r="H470" t="s">
        <v>32848</v>
      </c>
      <c r="I470" t="s">
        <v>32859</v>
      </c>
      <c r="J470" t="s">
        <v>33283</v>
      </c>
      <c r="K470" t="s">
        <v>42727</v>
      </c>
      <c r="M470" t="s">
        <v>43227</v>
      </c>
      <c r="N470" t="s">
        <v>47424</v>
      </c>
      <c r="O470" t="s">
        <v>47425</v>
      </c>
      <c r="P470">
        <v>0</v>
      </c>
      <c r="Q470">
        <v>1</v>
      </c>
      <c r="R470" t="s">
        <v>47426</v>
      </c>
      <c r="S470" t="s">
        <v>47531</v>
      </c>
      <c r="T470" t="s">
        <v>49089</v>
      </c>
      <c r="U470" t="s">
        <v>50081</v>
      </c>
      <c r="W470" t="s">
        <v>43227</v>
      </c>
      <c r="X470" t="s">
        <v>47430</v>
      </c>
    </row>
    <row r="471" spans="1:24">
      <c r="A471">
        <f>HYPERLINK("https://www.philgeps.gov.ph/GEPSNONPILOT/Tender/SplashBidNoticeAbstractUI.aspx?menuIndex=3&amp;refID=7163253&amp;Result=3","7163253")</f>
        <v>0</v>
      </c>
      <c r="B471" t="s">
        <v>248</v>
      </c>
      <c r="C471" t="s">
        <v>4385</v>
      </c>
      <c r="D471" t="s">
        <v>19038</v>
      </c>
      <c r="E471" t="s">
        <v>19567</v>
      </c>
      <c r="F471" t="s">
        <v>32831</v>
      </c>
      <c r="G471" t="s">
        <v>32839</v>
      </c>
      <c r="H471" t="s">
        <v>32849</v>
      </c>
      <c r="I471" t="s">
        <v>4177</v>
      </c>
      <c r="J471" t="s">
        <v>33354</v>
      </c>
      <c r="K471" t="s">
        <v>42727</v>
      </c>
      <c r="M471" t="s">
        <v>43247</v>
      </c>
      <c r="N471" t="s">
        <v>47424</v>
      </c>
      <c r="O471" t="s">
        <v>47425</v>
      </c>
      <c r="P471">
        <v>0</v>
      </c>
      <c r="Q471">
        <v>0</v>
      </c>
      <c r="R471" t="s">
        <v>47426</v>
      </c>
      <c r="S471" t="s">
        <v>47531</v>
      </c>
      <c r="T471" t="s">
        <v>49069</v>
      </c>
      <c r="U471" t="s">
        <v>50082</v>
      </c>
      <c r="W471" t="s">
        <v>64434</v>
      </c>
      <c r="X471" t="s">
        <v>47430</v>
      </c>
    </row>
    <row r="472" spans="1:24">
      <c r="A472">
        <f>HYPERLINK("https://www.philgeps.gov.ph/GEPSNONPILOT/Tender/SplashBidNoticeAbstractUI.aspx?menuIndex=3&amp;refID=7163161&amp;Result=3","7163161")</f>
        <v>0</v>
      </c>
      <c r="B472" t="s">
        <v>248</v>
      </c>
      <c r="C472" t="s">
        <v>4386</v>
      </c>
      <c r="D472" t="s">
        <v>19038</v>
      </c>
      <c r="E472" t="s">
        <v>19568</v>
      </c>
      <c r="F472" t="s">
        <v>32831</v>
      </c>
      <c r="G472" t="s">
        <v>32839</v>
      </c>
      <c r="H472" t="s">
        <v>32849</v>
      </c>
      <c r="I472" t="s">
        <v>4177</v>
      </c>
      <c r="J472" t="s">
        <v>33355</v>
      </c>
      <c r="K472" t="s">
        <v>42727</v>
      </c>
      <c r="M472" t="s">
        <v>43247</v>
      </c>
      <c r="N472" t="s">
        <v>47424</v>
      </c>
      <c r="O472" t="s">
        <v>47425</v>
      </c>
      <c r="P472">
        <v>0</v>
      </c>
      <c r="Q472">
        <v>1</v>
      </c>
      <c r="R472" t="s">
        <v>47426</v>
      </c>
      <c r="S472" t="s">
        <v>47531</v>
      </c>
      <c r="T472" t="s">
        <v>49069</v>
      </c>
      <c r="U472" t="s">
        <v>50083</v>
      </c>
      <c r="W472" t="s">
        <v>64434</v>
      </c>
      <c r="X472" t="s">
        <v>47430</v>
      </c>
    </row>
    <row r="473" spans="1:24">
      <c r="A473">
        <f>HYPERLINK("https://www.philgeps.gov.ph/GEPSNONPILOT/Tender/SplashBidNoticeAbstractUI.aspx?menuIndex=3&amp;refID=7163252&amp;Result=3","7163252")</f>
        <v>0</v>
      </c>
      <c r="B473" t="s">
        <v>249</v>
      </c>
      <c r="C473" t="s">
        <v>4387</v>
      </c>
      <c r="D473" t="s">
        <v>19018</v>
      </c>
      <c r="E473" t="s">
        <v>19569</v>
      </c>
      <c r="F473" t="s">
        <v>32831</v>
      </c>
      <c r="G473" t="s">
        <v>32840</v>
      </c>
      <c r="H473" t="s">
        <v>32848</v>
      </c>
      <c r="I473" t="s">
        <v>32860</v>
      </c>
      <c r="J473" t="s">
        <v>33356</v>
      </c>
      <c r="K473" t="s">
        <v>42731</v>
      </c>
      <c r="M473" t="s">
        <v>43248</v>
      </c>
      <c r="N473" t="s">
        <v>47424</v>
      </c>
      <c r="O473" t="s">
        <v>47425</v>
      </c>
      <c r="P473">
        <v>0</v>
      </c>
      <c r="Q473">
        <v>4</v>
      </c>
      <c r="R473" t="s">
        <v>47426</v>
      </c>
      <c r="S473" t="s">
        <v>47531</v>
      </c>
      <c r="T473" t="s">
        <v>49091</v>
      </c>
      <c r="U473" t="s">
        <v>50084</v>
      </c>
      <c r="W473" t="s">
        <v>43248</v>
      </c>
      <c r="X473" t="s">
        <v>47430</v>
      </c>
    </row>
    <row r="474" spans="1:24">
      <c r="A474">
        <f>HYPERLINK("https://www.philgeps.gov.ph/GEPSNONPILOT/Tender/SplashBidNoticeAbstractUI.aspx?menuIndex=3&amp;refID=7163251&amp;Result=3","7163251")</f>
        <v>0</v>
      </c>
      <c r="B474" t="s">
        <v>250</v>
      </c>
      <c r="C474" t="s">
        <v>4388</v>
      </c>
      <c r="D474" t="s">
        <v>19075</v>
      </c>
      <c r="E474" t="s">
        <v>19570</v>
      </c>
      <c r="F474" t="s">
        <v>32831</v>
      </c>
      <c r="G474" t="s">
        <v>32839</v>
      </c>
      <c r="H474" t="s">
        <v>32848</v>
      </c>
      <c r="I474" t="s">
        <v>32864</v>
      </c>
      <c r="J474" t="s">
        <v>33357</v>
      </c>
      <c r="K474" t="s">
        <v>42731</v>
      </c>
      <c r="M474" t="s">
        <v>43249</v>
      </c>
      <c r="N474" t="s">
        <v>47424</v>
      </c>
      <c r="O474" t="s">
        <v>47425</v>
      </c>
      <c r="P474">
        <v>0</v>
      </c>
      <c r="Q474">
        <v>3</v>
      </c>
      <c r="R474" t="s">
        <v>47426</v>
      </c>
      <c r="S474" t="s">
        <v>47531</v>
      </c>
      <c r="T474" t="s">
        <v>49073</v>
      </c>
      <c r="U474" t="s">
        <v>50085</v>
      </c>
      <c r="W474" t="s">
        <v>43249</v>
      </c>
      <c r="X474" t="s">
        <v>47430</v>
      </c>
    </row>
    <row r="475" spans="1:24">
      <c r="A475">
        <f>HYPERLINK("https://www.philgeps.gov.ph/GEPSNONPILOT/Tender/SplashBidNoticeAbstractUI.aspx?menuIndex=3&amp;refID=7163238&amp;Result=3","7163238")</f>
        <v>0</v>
      </c>
      <c r="B475" t="s">
        <v>114</v>
      </c>
      <c r="C475" t="s">
        <v>4389</v>
      </c>
      <c r="D475" t="s">
        <v>19050</v>
      </c>
      <c r="E475" t="s">
        <v>19571</v>
      </c>
      <c r="F475" t="s">
        <v>32831</v>
      </c>
      <c r="G475" t="s">
        <v>32838</v>
      </c>
      <c r="H475" t="s">
        <v>32848</v>
      </c>
      <c r="I475" t="s">
        <v>32896</v>
      </c>
      <c r="J475" t="s">
        <v>33358</v>
      </c>
      <c r="K475" t="s">
        <v>42731</v>
      </c>
      <c r="L475" t="s">
        <v>114</v>
      </c>
      <c r="M475" t="s">
        <v>43111</v>
      </c>
      <c r="N475" t="s">
        <v>47424</v>
      </c>
      <c r="O475" t="s">
        <v>47425</v>
      </c>
      <c r="P475">
        <v>0</v>
      </c>
      <c r="Q475">
        <v>1</v>
      </c>
      <c r="R475" t="s">
        <v>47426</v>
      </c>
      <c r="S475" t="s">
        <v>47531</v>
      </c>
      <c r="T475" t="s">
        <v>49150</v>
      </c>
      <c r="U475" t="s">
        <v>49824</v>
      </c>
      <c r="W475" t="s">
        <v>43111</v>
      </c>
      <c r="X475" t="s">
        <v>47430</v>
      </c>
    </row>
    <row r="476" spans="1:24">
      <c r="A476">
        <f>HYPERLINK("https://www.philgeps.gov.ph/GEPSNONPILOT/Tender/SplashBidNoticeAbstractUI.aspx?menuIndex=3&amp;refID=7163243&amp;Result=3","7163243")</f>
        <v>0</v>
      </c>
      <c r="B476" t="s">
        <v>251</v>
      </c>
      <c r="C476" t="s">
        <v>4390</v>
      </c>
      <c r="D476" t="s">
        <v>19079</v>
      </c>
      <c r="E476" t="s">
        <v>19198</v>
      </c>
      <c r="F476" t="s">
        <v>32831</v>
      </c>
      <c r="G476" t="s">
        <v>32840</v>
      </c>
      <c r="H476" t="s">
        <v>32848</v>
      </c>
      <c r="I476" t="s">
        <v>32897</v>
      </c>
      <c r="J476" t="s">
        <v>33143</v>
      </c>
      <c r="K476" t="s">
        <v>42727</v>
      </c>
      <c r="M476" t="s">
        <v>43250</v>
      </c>
      <c r="N476" t="s">
        <v>47424</v>
      </c>
      <c r="O476" t="s">
        <v>47425</v>
      </c>
      <c r="P476">
        <v>0</v>
      </c>
      <c r="Q476">
        <v>3</v>
      </c>
      <c r="R476" t="s">
        <v>47426</v>
      </c>
      <c r="S476" t="s">
        <v>47531</v>
      </c>
      <c r="T476" t="s">
        <v>49114</v>
      </c>
      <c r="U476" t="s">
        <v>50086</v>
      </c>
      <c r="W476" t="s">
        <v>43250</v>
      </c>
      <c r="X476" t="s">
        <v>47430</v>
      </c>
    </row>
    <row r="477" spans="1:24">
      <c r="A477">
        <f>HYPERLINK("https://www.philgeps.gov.ph/GEPSNONPILOT/Tender/SplashBidNoticeAbstractUI.aspx?menuIndex=3&amp;refID=7163172&amp;Result=3","7163172")</f>
        <v>0</v>
      </c>
      <c r="B477" t="s">
        <v>228</v>
      </c>
      <c r="C477" t="s">
        <v>4391</v>
      </c>
      <c r="D477" t="s">
        <v>19033</v>
      </c>
      <c r="E477" t="s">
        <v>19572</v>
      </c>
      <c r="F477" t="s">
        <v>32831</v>
      </c>
      <c r="G477" t="s">
        <v>32838</v>
      </c>
      <c r="H477" t="s">
        <v>32848</v>
      </c>
      <c r="I477" t="s">
        <v>32898</v>
      </c>
      <c r="J477" t="s">
        <v>33359</v>
      </c>
      <c r="K477" t="s">
        <v>42727</v>
      </c>
      <c r="M477" t="s">
        <v>43227</v>
      </c>
      <c r="N477" t="s">
        <v>47424</v>
      </c>
      <c r="O477" t="s">
        <v>47425</v>
      </c>
      <c r="P477">
        <v>0</v>
      </c>
      <c r="Q477">
        <v>0</v>
      </c>
      <c r="R477" t="s">
        <v>47426</v>
      </c>
      <c r="S477" t="s">
        <v>47531</v>
      </c>
      <c r="T477" t="s">
        <v>49089</v>
      </c>
      <c r="U477" t="s">
        <v>50087</v>
      </c>
      <c r="W477" t="s">
        <v>43227</v>
      </c>
      <c r="X477" t="s">
        <v>47430</v>
      </c>
    </row>
    <row r="478" spans="1:24">
      <c r="A478">
        <f>HYPERLINK("https://www.philgeps.gov.ph/GEPSNONPILOT/Tender/SplashBidNoticeAbstractUI.aspx?menuIndex=3&amp;refID=7163224&amp;Result=3","7163224")</f>
        <v>0</v>
      </c>
      <c r="B478" t="s">
        <v>252</v>
      </c>
      <c r="C478" t="s">
        <v>4392</v>
      </c>
      <c r="D478" t="s">
        <v>19056</v>
      </c>
      <c r="E478" t="s">
        <v>19573</v>
      </c>
      <c r="F478" t="s">
        <v>32831</v>
      </c>
      <c r="G478" t="s">
        <v>32838</v>
      </c>
      <c r="H478" t="s">
        <v>32850</v>
      </c>
      <c r="I478" t="s">
        <v>5667</v>
      </c>
      <c r="J478" t="s">
        <v>33140</v>
      </c>
      <c r="K478" t="s">
        <v>42774</v>
      </c>
      <c r="M478" t="s">
        <v>43251</v>
      </c>
      <c r="N478" t="s">
        <v>47424</v>
      </c>
      <c r="O478" t="s">
        <v>47425</v>
      </c>
      <c r="P478">
        <v>0</v>
      </c>
      <c r="Q478">
        <v>0</v>
      </c>
      <c r="R478" t="s">
        <v>47426</v>
      </c>
      <c r="S478" t="s">
        <v>47531</v>
      </c>
      <c r="T478" t="s">
        <v>49079</v>
      </c>
      <c r="U478" t="s">
        <v>49728</v>
      </c>
      <c r="W478" t="s">
        <v>43251</v>
      </c>
      <c r="X478" t="s">
        <v>47430</v>
      </c>
    </row>
    <row r="479" spans="1:24">
      <c r="A479">
        <f>HYPERLINK("https://www.philgeps.gov.ph/GEPSNONPILOT/Tender/SplashBidNoticeAbstractUI.aspx?menuIndex=3&amp;refID=7163240&amp;Result=3","7163240")</f>
        <v>0</v>
      </c>
      <c r="B479" t="s">
        <v>244</v>
      </c>
      <c r="C479" t="s">
        <v>4393</v>
      </c>
      <c r="D479" t="s">
        <v>19035</v>
      </c>
      <c r="E479" t="s">
        <v>19520</v>
      </c>
      <c r="F479" t="s">
        <v>32831</v>
      </c>
      <c r="G479" t="s">
        <v>32842</v>
      </c>
      <c r="H479" t="s">
        <v>32848</v>
      </c>
      <c r="I479" t="s">
        <v>9577</v>
      </c>
      <c r="J479" t="s">
        <v>33360</v>
      </c>
      <c r="K479" t="s">
        <v>42758</v>
      </c>
      <c r="M479" t="s">
        <v>43243</v>
      </c>
      <c r="N479" t="s">
        <v>47424</v>
      </c>
      <c r="O479" t="s">
        <v>47425</v>
      </c>
      <c r="P479">
        <v>0</v>
      </c>
      <c r="Q479">
        <v>1</v>
      </c>
      <c r="R479" t="s">
        <v>47426</v>
      </c>
      <c r="S479" t="s">
        <v>47531</v>
      </c>
      <c r="T479" t="s">
        <v>49125</v>
      </c>
      <c r="U479" t="s">
        <v>50088</v>
      </c>
      <c r="W479" t="s">
        <v>43243</v>
      </c>
      <c r="X479" t="s">
        <v>47430</v>
      </c>
    </row>
    <row r="480" spans="1:24">
      <c r="A480">
        <f>HYPERLINK("https://www.philgeps.gov.ph/GEPSNONPILOT/Tender/SplashBidNoticeAbstractUI.aspx?menuIndex=3&amp;refID=7163223&amp;Result=3","7163223")</f>
        <v>0</v>
      </c>
      <c r="B480" t="s">
        <v>228</v>
      </c>
      <c r="C480" t="s">
        <v>4394</v>
      </c>
      <c r="D480" t="s">
        <v>19033</v>
      </c>
      <c r="E480" t="s">
        <v>19574</v>
      </c>
      <c r="F480" t="s">
        <v>32831</v>
      </c>
      <c r="G480" t="s">
        <v>32838</v>
      </c>
      <c r="H480" t="s">
        <v>32848</v>
      </c>
      <c r="I480" t="s">
        <v>32898</v>
      </c>
      <c r="J480" t="s">
        <v>33361</v>
      </c>
      <c r="K480" t="s">
        <v>42727</v>
      </c>
      <c r="M480" t="s">
        <v>43227</v>
      </c>
      <c r="N480" t="s">
        <v>47424</v>
      </c>
      <c r="O480" t="s">
        <v>47425</v>
      </c>
      <c r="P480">
        <v>0</v>
      </c>
      <c r="Q480">
        <v>1</v>
      </c>
      <c r="R480" t="s">
        <v>47426</v>
      </c>
      <c r="S480" t="s">
        <v>47531</v>
      </c>
      <c r="T480" t="s">
        <v>49089</v>
      </c>
      <c r="U480" t="s">
        <v>50089</v>
      </c>
      <c r="W480" t="s">
        <v>43227</v>
      </c>
      <c r="X480" t="s">
        <v>47430</v>
      </c>
    </row>
    <row r="481" spans="1:24">
      <c r="A481">
        <f>HYPERLINK("https://www.philgeps.gov.ph/GEPSNONPILOT/Tender/SplashBidNoticeAbstractUI.aspx?menuIndex=3&amp;refID=7163213&amp;Result=3","7163213")</f>
        <v>0</v>
      </c>
      <c r="B481" t="s">
        <v>199</v>
      </c>
      <c r="C481" t="s">
        <v>4395</v>
      </c>
      <c r="D481" t="s">
        <v>19017</v>
      </c>
      <c r="E481" t="s">
        <v>19575</v>
      </c>
      <c r="F481" t="s">
        <v>32831</v>
      </c>
      <c r="G481" t="s">
        <v>32838</v>
      </c>
      <c r="H481" t="s">
        <v>32848</v>
      </c>
      <c r="I481" t="s">
        <v>6526</v>
      </c>
      <c r="J481" t="s">
        <v>33362</v>
      </c>
      <c r="K481" t="s">
        <v>42731</v>
      </c>
      <c r="M481" t="s">
        <v>43197</v>
      </c>
      <c r="N481" t="s">
        <v>47424</v>
      </c>
      <c r="O481" t="s">
        <v>47425</v>
      </c>
      <c r="P481">
        <v>0</v>
      </c>
      <c r="Q481">
        <v>2</v>
      </c>
      <c r="R481" t="s">
        <v>47426</v>
      </c>
      <c r="S481" t="s">
        <v>47531</v>
      </c>
      <c r="T481" t="s">
        <v>49123</v>
      </c>
      <c r="U481" t="s">
        <v>50090</v>
      </c>
      <c r="W481" t="s">
        <v>43197</v>
      </c>
      <c r="X481" t="s">
        <v>47430</v>
      </c>
    </row>
    <row r="482" spans="1:24">
      <c r="A482">
        <f>HYPERLINK("https://www.philgeps.gov.ph/GEPSNONPILOT/Tender/SplashBidNoticeAbstractUI.aspx?menuIndex=3&amp;refID=7163230&amp;Result=3","7163230")</f>
        <v>0</v>
      </c>
      <c r="B482" t="s">
        <v>253</v>
      </c>
      <c r="C482" t="s">
        <v>4396</v>
      </c>
      <c r="D482" t="s">
        <v>19045</v>
      </c>
      <c r="E482" t="s">
        <v>19576</v>
      </c>
      <c r="F482" t="s">
        <v>32831</v>
      </c>
      <c r="G482" t="s">
        <v>32838</v>
      </c>
      <c r="H482" t="s">
        <v>32848</v>
      </c>
      <c r="I482" t="s">
        <v>4471</v>
      </c>
      <c r="J482" t="s">
        <v>33363</v>
      </c>
      <c r="K482" t="s">
        <v>42745</v>
      </c>
      <c r="M482" t="s">
        <v>43252</v>
      </c>
      <c r="N482" t="s">
        <v>47424</v>
      </c>
      <c r="O482" t="s">
        <v>47425</v>
      </c>
      <c r="P482">
        <v>0</v>
      </c>
      <c r="Q482">
        <v>2</v>
      </c>
      <c r="R482" t="s">
        <v>47426</v>
      </c>
      <c r="S482" t="s">
        <v>47531</v>
      </c>
      <c r="T482" t="s">
        <v>49056</v>
      </c>
      <c r="U482" t="s">
        <v>50091</v>
      </c>
      <c r="W482" t="s">
        <v>43252</v>
      </c>
      <c r="X482" t="s">
        <v>47430</v>
      </c>
    </row>
    <row r="483" spans="1:24">
      <c r="A483">
        <f>HYPERLINK("https://www.philgeps.gov.ph/GEPSNONPILOT/Tender/SplashBidNoticeAbstractUI.aspx?menuIndex=3&amp;refID=7163211&amp;Result=3","7163211")</f>
        <v>0</v>
      </c>
      <c r="B483" t="s">
        <v>90</v>
      </c>
      <c r="C483" t="s">
        <v>4397</v>
      </c>
      <c r="E483" t="s">
        <v>19577</v>
      </c>
      <c r="F483" t="s">
        <v>32831</v>
      </c>
      <c r="G483" t="s">
        <v>32840</v>
      </c>
      <c r="H483" t="s">
        <v>32848</v>
      </c>
      <c r="I483" t="s">
        <v>4776</v>
      </c>
      <c r="J483" t="s">
        <v>33364</v>
      </c>
      <c r="K483" t="s">
        <v>42726</v>
      </c>
      <c r="M483" t="s">
        <v>43226</v>
      </c>
      <c r="N483" t="s">
        <v>47424</v>
      </c>
      <c r="O483" t="s">
        <v>47425</v>
      </c>
      <c r="P483">
        <v>0</v>
      </c>
      <c r="Q483">
        <v>6</v>
      </c>
      <c r="R483" t="s">
        <v>47426</v>
      </c>
      <c r="S483" t="s">
        <v>47531</v>
      </c>
      <c r="T483" t="s">
        <v>49107</v>
      </c>
      <c r="U483" t="s">
        <v>50092</v>
      </c>
      <c r="W483" t="s">
        <v>43226</v>
      </c>
      <c r="X483" t="s">
        <v>47430</v>
      </c>
    </row>
    <row r="484" spans="1:24">
      <c r="A484">
        <f>HYPERLINK("https://www.philgeps.gov.ph/GEPSNONPILOT/Tender/SplashBidNoticeAbstractUI.aspx?menuIndex=3&amp;refID=7163203&amp;Result=3","7163203")</f>
        <v>0</v>
      </c>
      <c r="B484" t="s">
        <v>231</v>
      </c>
      <c r="C484" t="s">
        <v>4398</v>
      </c>
      <c r="D484" t="s">
        <v>19039</v>
      </c>
      <c r="E484" t="s">
        <v>19578</v>
      </c>
      <c r="F484" t="s">
        <v>32831</v>
      </c>
      <c r="G484" t="s">
        <v>32839</v>
      </c>
      <c r="H484" t="s">
        <v>32848</v>
      </c>
      <c r="I484" t="s">
        <v>32886</v>
      </c>
      <c r="J484" t="s">
        <v>33118</v>
      </c>
      <c r="K484" t="s">
        <v>42729</v>
      </c>
      <c r="M484" t="s">
        <v>43230</v>
      </c>
      <c r="N484" t="s">
        <v>47424</v>
      </c>
      <c r="O484" t="s">
        <v>47425</v>
      </c>
      <c r="P484">
        <v>0</v>
      </c>
      <c r="Q484">
        <v>1</v>
      </c>
      <c r="R484" t="s">
        <v>47426</v>
      </c>
      <c r="S484" t="s">
        <v>47531</v>
      </c>
      <c r="T484" t="s">
        <v>49065</v>
      </c>
      <c r="U484" t="s">
        <v>50093</v>
      </c>
      <c r="W484" t="s">
        <v>43230</v>
      </c>
      <c r="X484" t="s">
        <v>47430</v>
      </c>
    </row>
    <row r="485" spans="1:24">
      <c r="A485">
        <f>HYPERLINK("https://www.philgeps.gov.ph/GEPSNONPILOT/Tender/SplashBidNoticeAbstractUI.aspx?menuIndex=3&amp;refID=7163202&amp;Result=3","7163202")</f>
        <v>0</v>
      </c>
      <c r="B485" t="s">
        <v>254</v>
      </c>
      <c r="C485" t="s">
        <v>4399</v>
      </c>
      <c r="D485" t="s">
        <v>19067</v>
      </c>
      <c r="E485" t="s">
        <v>19579</v>
      </c>
      <c r="F485" t="s">
        <v>32833</v>
      </c>
      <c r="G485" t="s">
        <v>32839</v>
      </c>
      <c r="H485" t="s">
        <v>32848</v>
      </c>
      <c r="I485" t="s">
        <v>32859</v>
      </c>
      <c r="J485" t="s">
        <v>33241</v>
      </c>
      <c r="K485" t="s">
        <v>42727</v>
      </c>
      <c r="L485" t="s">
        <v>254</v>
      </c>
      <c r="M485" t="s">
        <v>43253</v>
      </c>
      <c r="N485" t="s">
        <v>47424</v>
      </c>
      <c r="O485" t="s">
        <v>47425</v>
      </c>
      <c r="P485">
        <v>0</v>
      </c>
      <c r="Q485">
        <v>1</v>
      </c>
      <c r="R485" t="s">
        <v>47426</v>
      </c>
      <c r="S485" t="s">
        <v>47531</v>
      </c>
      <c r="T485" t="s">
        <v>49160</v>
      </c>
      <c r="U485" t="s">
        <v>50094</v>
      </c>
      <c r="W485" t="s">
        <v>43253</v>
      </c>
      <c r="X485" t="s">
        <v>47430</v>
      </c>
    </row>
    <row r="486" spans="1:24">
      <c r="A486">
        <f>HYPERLINK("https://www.philgeps.gov.ph/GEPSNONPILOT/Tender/SplashBidNoticeAbstractUI.aspx?menuIndex=3&amp;refID=7163197&amp;Result=3","7163197")</f>
        <v>0</v>
      </c>
      <c r="B486" t="s">
        <v>255</v>
      </c>
      <c r="C486" t="s">
        <v>4400</v>
      </c>
      <c r="D486" t="s">
        <v>19023</v>
      </c>
      <c r="E486" t="s">
        <v>19580</v>
      </c>
      <c r="F486" t="s">
        <v>32832</v>
      </c>
      <c r="G486" t="s">
        <v>32839</v>
      </c>
      <c r="H486" t="s">
        <v>32849</v>
      </c>
      <c r="I486" t="s">
        <v>4177</v>
      </c>
      <c r="J486" t="s">
        <v>32985</v>
      </c>
      <c r="K486" t="s">
        <v>42730</v>
      </c>
      <c r="M486" t="s">
        <v>43254</v>
      </c>
      <c r="N486" t="s">
        <v>47424</v>
      </c>
      <c r="O486" t="s">
        <v>47425</v>
      </c>
      <c r="P486">
        <v>0</v>
      </c>
      <c r="Q486">
        <v>0</v>
      </c>
      <c r="R486" t="s">
        <v>47426</v>
      </c>
      <c r="S486" t="s">
        <v>47531</v>
      </c>
      <c r="T486" t="s">
        <v>49131</v>
      </c>
      <c r="U486" t="s">
        <v>50095</v>
      </c>
      <c r="W486" t="s">
        <v>43254</v>
      </c>
      <c r="X486" t="s">
        <v>47430</v>
      </c>
    </row>
    <row r="487" spans="1:24">
      <c r="A487">
        <f>HYPERLINK("https://www.philgeps.gov.ph/GEPSNONPILOT/Tender/SplashBidNoticeAbstractUI.aspx?menuIndex=3&amp;refID=7163255&amp;Result=3","7163255")</f>
        <v>0</v>
      </c>
      <c r="B487" t="s">
        <v>199</v>
      </c>
      <c r="C487" t="s">
        <v>4401</v>
      </c>
      <c r="D487" t="s">
        <v>19017</v>
      </c>
      <c r="E487" t="s">
        <v>19581</v>
      </c>
      <c r="F487" t="s">
        <v>32831</v>
      </c>
      <c r="G487" t="s">
        <v>32842</v>
      </c>
      <c r="H487" t="s">
        <v>32848</v>
      </c>
      <c r="I487" t="s">
        <v>32857</v>
      </c>
      <c r="J487" t="s">
        <v>33133</v>
      </c>
      <c r="K487" t="s">
        <v>42731</v>
      </c>
      <c r="M487" t="s">
        <v>43197</v>
      </c>
      <c r="N487" t="s">
        <v>47424</v>
      </c>
      <c r="O487" t="s">
        <v>47425</v>
      </c>
      <c r="P487">
        <v>0</v>
      </c>
      <c r="Q487">
        <v>7</v>
      </c>
      <c r="R487" t="s">
        <v>47426</v>
      </c>
      <c r="S487" t="s">
        <v>47531</v>
      </c>
      <c r="T487" t="s">
        <v>49123</v>
      </c>
      <c r="U487" t="s">
        <v>50096</v>
      </c>
      <c r="W487" t="s">
        <v>43197</v>
      </c>
      <c r="X487" t="s">
        <v>47430</v>
      </c>
    </row>
    <row r="488" spans="1:24">
      <c r="A488">
        <f>HYPERLINK("https://www.philgeps.gov.ph/GEPSNONPILOT/Tender/SplashBidNoticeAbstractUI.aspx?menuIndex=3&amp;refID=7163217&amp;Result=3","7163217")</f>
        <v>0</v>
      </c>
      <c r="B488" t="s">
        <v>256</v>
      </c>
      <c r="C488" t="s">
        <v>4402</v>
      </c>
      <c r="D488" t="s">
        <v>19017</v>
      </c>
      <c r="E488" t="s">
        <v>4402</v>
      </c>
      <c r="F488" t="s">
        <v>32831</v>
      </c>
      <c r="G488" t="s">
        <v>32841</v>
      </c>
      <c r="H488" t="s">
        <v>32848</v>
      </c>
      <c r="I488" t="s">
        <v>4558</v>
      </c>
      <c r="J488" t="s">
        <v>33365</v>
      </c>
      <c r="K488" t="s">
        <v>42732</v>
      </c>
      <c r="M488" t="s">
        <v>43255</v>
      </c>
      <c r="N488" t="s">
        <v>47424</v>
      </c>
      <c r="O488" t="s">
        <v>47425</v>
      </c>
      <c r="P488">
        <v>0</v>
      </c>
      <c r="Q488">
        <v>4</v>
      </c>
      <c r="R488" t="s">
        <v>47426</v>
      </c>
      <c r="S488" t="s">
        <v>47531</v>
      </c>
      <c r="T488" t="s">
        <v>49061</v>
      </c>
      <c r="U488" t="s">
        <v>50097</v>
      </c>
      <c r="W488" t="s">
        <v>43255</v>
      </c>
      <c r="X488" t="s">
        <v>47430</v>
      </c>
    </row>
    <row r="489" spans="1:24">
      <c r="A489">
        <f>HYPERLINK("https://www.philgeps.gov.ph/GEPSNONPILOT/Tender/SplashBidNoticeAbstractUI.aspx?menuIndex=3&amp;refID=7163080&amp;Result=3","7163080")</f>
        <v>0</v>
      </c>
      <c r="B489" t="s">
        <v>257</v>
      </c>
      <c r="C489" t="s">
        <v>4403</v>
      </c>
      <c r="D489" t="s">
        <v>19058</v>
      </c>
      <c r="E489" t="s">
        <v>19582</v>
      </c>
      <c r="F489" t="s">
        <v>32831</v>
      </c>
      <c r="G489" t="s">
        <v>32838</v>
      </c>
      <c r="H489" t="s">
        <v>32848</v>
      </c>
      <c r="I489" t="s">
        <v>6526</v>
      </c>
      <c r="J489" t="s">
        <v>33366</v>
      </c>
      <c r="K489" t="s">
        <v>42732</v>
      </c>
      <c r="M489" t="s">
        <v>43256</v>
      </c>
      <c r="N489" t="s">
        <v>47424</v>
      </c>
      <c r="O489" t="s">
        <v>47425</v>
      </c>
      <c r="P489">
        <v>0</v>
      </c>
      <c r="Q489">
        <v>0</v>
      </c>
      <c r="R489" t="s">
        <v>47426</v>
      </c>
      <c r="S489" t="s">
        <v>47531</v>
      </c>
      <c r="T489" t="s">
        <v>49161</v>
      </c>
      <c r="U489" t="s">
        <v>50098</v>
      </c>
      <c r="W489" t="s">
        <v>43256</v>
      </c>
      <c r="X489" t="s">
        <v>47430</v>
      </c>
    </row>
    <row r="490" spans="1:24">
      <c r="A490">
        <f>HYPERLINK("https://www.philgeps.gov.ph/GEPSNONPILOT/Tender/SplashBidNoticeAbstractUI.aspx?menuIndex=3&amp;refID=7163228&amp;Result=3","7163228")</f>
        <v>0</v>
      </c>
      <c r="B490" t="s">
        <v>93</v>
      </c>
      <c r="C490" t="s">
        <v>4404</v>
      </c>
      <c r="D490" t="s">
        <v>19035</v>
      </c>
      <c r="E490" t="s">
        <v>19583</v>
      </c>
      <c r="F490" t="s">
        <v>32831</v>
      </c>
      <c r="G490" t="s">
        <v>32840</v>
      </c>
      <c r="H490" t="s">
        <v>32848</v>
      </c>
      <c r="I490" t="s">
        <v>32897</v>
      </c>
      <c r="J490" t="s">
        <v>32985</v>
      </c>
      <c r="K490" t="s">
        <v>42732</v>
      </c>
      <c r="M490" t="s">
        <v>43090</v>
      </c>
      <c r="N490" t="s">
        <v>47424</v>
      </c>
      <c r="O490" t="s">
        <v>47425</v>
      </c>
      <c r="P490">
        <v>0</v>
      </c>
      <c r="Q490">
        <v>0</v>
      </c>
      <c r="R490" t="s">
        <v>47426</v>
      </c>
      <c r="S490" t="s">
        <v>47531</v>
      </c>
      <c r="T490" t="s">
        <v>49162</v>
      </c>
      <c r="U490" t="s">
        <v>50099</v>
      </c>
      <c r="V490" t="s">
        <v>62670</v>
      </c>
      <c r="W490" t="s">
        <v>43090</v>
      </c>
      <c r="X490" t="s">
        <v>47430</v>
      </c>
    </row>
    <row r="491" spans="1:24">
      <c r="A491">
        <f>HYPERLINK("https://www.philgeps.gov.ph/GEPSNONPILOT/Tender/SplashBidNoticeAbstractUI.aspx?menuIndex=3&amp;refID=7163331&amp;Result=3","7163331")</f>
        <v>0</v>
      </c>
      <c r="B491" t="s">
        <v>250</v>
      </c>
      <c r="C491" t="s">
        <v>4405</v>
      </c>
      <c r="D491" t="s">
        <v>19075</v>
      </c>
      <c r="E491" t="s">
        <v>19584</v>
      </c>
      <c r="F491" t="s">
        <v>32831</v>
      </c>
      <c r="G491" t="s">
        <v>32839</v>
      </c>
      <c r="H491" t="s">
        <v>32848</v>
      </c>
      <c r="I491" t="s">
        <v>32861</v>
      </c>
      <c r="J491" t="s">
        <v>33367</v>
      </c>
      <c r="K491" t="s">
        <v>42731</v>
      </c>
      <c r="M491" t="s">
        <v>43249</v>
      </c>
      <c r="N491" t="s">
        <v>47424</v>
      </c>
      <c r="O491" t="s">
        <v>47425</v>
      </c>
      <c r="P491">
        <v>0</v>
      </c>
      <c r="Q491">
        <v>1</v>
      </c>
      <c r="R491" t="s">
        <v>47426</v>
      </c>
      <c r="S491" t="s">
        <v>47531</v>
      </c>
      <c r="T491" t="s">
        <v>49073</v>
      </c>
      <c r="U491" t="s">
        <v>50100</v>
      </c>
      <c r="W491" t="s">
        <v>43249</v>
      </c>
      <c r="X491" t="s">
        <v>47430</v>
      </c>
    </row>
    <row r="492" spans="1:24">
      <c r="A492">
        <f>HYPERLINK("https://www.philgeps.gov.ph/GEPSNONPILOT/Tender/SplashBidNoticeAbstractUI.aspx?menuIndex=3&amp;refID=7163320&amp;Result=3","7163320")</f>
        <v>0</v>
      </c>
      <c r="B492" t="s">
        <v>173</v>
      </c>
      <c r="C492" t="s">
        <v>4406</v>
      </c>
      <c r="D492" t="s">
        <v>19040</v>
      </c>
      <c r="E492" t="s">
        <v>19585</v>
      </c>
      <c r="F492" t="s">
        <v>32831</v>
      </c>
      <c r="G492" t="s">
        <v>32838</v>
      </c>
      <c r="H492" t="s">
        <v>32848</v>
      </c>
      <c r="I492" t="s">
        <v>9577</v>
      </c>
      <c r="J492" t="s">
        <v>33368</v>
      </c>
      <c r="K492" t="s">
        <v>42758</v>
      </c>
      <c r="M492" t="s">
        <v>43170</v>
      </c>
      <c r="N492" t="s">
        <v>47424</v>
      </c>
      <c r="O492" t="s">
        <v>47425</v>
      </c>
      <c r="P492">
        <v>0</v>
      </c>
      <c r="Q492">
        <v>0</v>
      </c>
      <c r="R492" t="s">
        <v>47426</v>
      </c>
      <c r="S492" t="s">
        <v>47531</v>
      </c>
      <c r="T492" t="s">
        <v>49079</v>
      </c>
      <c r="U492" t="s">
        <v>50101</v>
      </c>
      <c r="V492" t="s">
        <v>62656</v>
      </c>
      <c r="W492" t="s">
        <v>43170</v>
      </c>
      <c r="X492" t="s">
        <v>47430</v>
      </c>
    </row>
    <row r="493" spans="1:24">
      <c r="A493">
        <f>HYPERLINK("https://www.philgeps.gov.ph/GEPSNONPILOT/Tender/SplashBidNoticeAbstractUI.aspx?menuIndex=3&amp;refID=7163319&amp;Result=3","7163319")</f>
        <v>0</v>
      </c>
      <c r="B493" t="s">
        <v>258</v>
      </c>
      <c r="C493" t="s">
        <v>4407</v>
      </c>
      <c r="D493" t="s">
        <v>19023</v>
      </c>
      <c r="E493" t="s">
        <v>19586</v>
      </c>
      <c r="F493" t="s">
        <v>32831</v>
      </c>
      <c r="G493" t="s">
        <v>32840</v>
      </c>
      <c r="H493" t="s">
        <v>32848</v>
      </c>
      <c r="I493" t="s">
        <v>32870</v>
      </c>
      <c r="J493" t="s">
        <v>33369</v>
      </c>
      <c r="K493" t="s">
        <v>42759</v>
      </c>
      <c r="M493" t="s">
        <v>43257</v>
      </c>
      <c r="N493" t="s">
        <v>47424</v>
      </c>
      <c r="O493" t="s">
        <v>47425</v>
      </c>
      <c r="P493">
        <v>0</v>
      </c>
      <c r="Q493">
        <v>0</v>
      </c>
      <c r="R493" t="s">
        <v>47426</v>
      </c>
      <c r="S493" t="s">
        <v>47531</v>
      </c>
      <c r="T493" t="s">
        <v>49163</v>
      </c>
      <c r="U493" t="s">
        <v>50102</v>
      </c>
      <c r="W493" t="s">
        <v>43257</v>
      </c>
      <c r="X493" t="s">
        <v>47430</v>
      </c>
    </row>
    <row r="494" spans="1:24">
      <c r="A494">
        <f>HYPERLINK("https://www.philgeps.gov.ph/GEPSNONPILOT/Tender/SplashBidNoticeAbstractUI.aspx?menuIndex=3&amp;refID=7163306&amp;Result=3","7163306")</f>
        <v>0</v>
      </c>
      <c r="B494" t="s">
        <v>258</v>
      </c>
      <c r="C494" t="s">
        <v>4407</v>
      </c>
      <c r="D494" t="s">
        <v>19023</v>
      </c>
      <c r="E494" t="s">
        <v>19587</v>
      </c>
      <c r="F494" t="s">
        <v>32831</v>
      </c>
      <c r="G494" t="s">
        <v>32840</v>
      </c>
      <c r="H494" t="s">
        <v>32848</v>
      </c>
      <c r="I494" t="s">
        <v>32870</v>
      </c>
      <c r="J494" t="s">
        <v>33370</v>
      </c>
      <c r="K494" t="s">
        <v>42759</v>
      </c>
      <c r="M494" t="s">
        <v>43257</v>
      </c>
      <c r="N494" t="s">
        <v>47424</v>
      </c>
      <c r="O494" t="s">
        <v>47425</v>
      </c>
      <c r="P494">
        <v>0</v>
      </c>
      <c r="Q494">
        <v>0</v>
      </c>
      <c r="R494" t="s">
        <v>47426</v>
      </c>
      <c r="S494" t="s">
        <v>47531</v>
      </c>
      <c r="T494" t="s">
        <v>49163</v>
      </c>
      <c r="U494" t="s">
        <v>50103</v>
      </c>
      <c r="W494" t="s">
        <v>43257</v>
      </c>
      <c r="X494" t="s">
        <v>47430</v>
      </c>
    </row>
    <row r="495" spans="1:24">
      <c r="A495">
        <f>HYPERLINK("https://www.philgeps.gov.ph/GEPSNONPILOT/Tender/SplashBidNoticeAbstractUI.aspx?menuIndex=3&amp;refID=7163302&amp;Result=3","7163302")</f>
        <v>0</v>
      </c>
      <c r="B495" t="s">
        <v>259</v>
      </c>
      <c r="C495" t="s">
        <v>4408</v>
      </c>
      <c r="E495" t="s">
        <v>19211</v>
      </c>
      <c r="F495" t="s">
        <v>32832</v>
      </c>
      <c r="G495" t="s">
        <v>32839</v>
      </c>
      <c r="H495" t="s">
        <v>32848</v>
      </c>
      <c r="I495" t="s">
        <v>7416</v>
      </c>
      <c r="J495" t="s">
        <v>33371</v>
      </c>
      <c r="K495" t="s">
        <v>42732</v>
      </c>
      <c r="M495" t="s">
        <v>43258</v>
      </c>
      <c r="N495" t="s">
        <v>47424</v>
      </c>
      <c r="O495" t="s">
        <v>47425</v>
      </c>
      <c r="P495">
        <v>0</v>
      </c>
      <c r="Q495">
        <v>0</v>
      </c>
      <c r="R495" t="s">
        <v>47426</v>
      </c>
      <c r="S495" t="s">
        <v>47531</v>
      </c>
      <c r="T495" t="s">
        <v>49164</v>
      </c>
      <c r="U495" t="s">
        <v>50104</v>
      </c>
      <c r="W495" t="s">
        <v>43258</v>
      </c>
      <c r="X495" t="s">
        <v>47430</v>
      </c>
    </row>
    <row r="496" spans="1:24">
      <c r="A496">
        <f>HYPERLINK("https://www.philgeps.gov.ph/GEPSNONPILOT/Tender/SplashBidNoticeAbstractUI.aspx?menuIndex=3&amp;refID=7162714&amp;Result=3","7162714")</f>
        <v>0</v>
      </c>
      <c r="B496" t="s">
        <v>260</v>
      </c>
      <c r="C496" t="s">
        <v>4409</v>
      </c>
      <c r="D496" t="s">
        <v>19020</v>
      </c>
      <c r="E496" t="s">
        <v>19588</v>
      </c>
      <c r="F496" t="s">
        <v>32831</v>
      </c>
      <c r="G496" t="s">
        <v>32838</v>
      </c>
      <c r="H496" t="s">
        <v>14069</v>
      </c>
      <c r="I496" t="s">
        <v>32865</v>
      </c>
      <c r="J496" t="s">
        <v>32985</v>
      </c>
      <c r="K496" t="s">
        <v>42748</v>
      </c>
      <c r="M496" t="s">
        <v>43259</v>
      </c>
      <c r="N496" t="s">
        <v>47424</v>
      </c>
      <c r="O496" t="s">
        <v>47425</v>
      </c>
      <c r="P496">
        <v>0</v>
      </c>
      <c r="Q496">
        <v>1</v>
      </c>
      <c r="R496" t="s">
        <v>47426</v>
      </c>
      <c r="S496" t="s">
        <v>47531</v>
      </c>
      <c r="T496" t="s">
        <v>49064</v>
      </c>
      <c r="U496" t="s">
        <v>50105</v>
      </c>
      <c r="V496" t="s">
        <v>62671</v>
      </c>
      <c r="W496" t="s">
        <v>43259</v>
      </c>
      <c r="X496" t="s">
        <v>47430</v>
      </c>
    </row>
    <row r="497" spans="1:24">
      <c r="A497">
        <f>HYPERLINK("https://www.philgeps.gov.ph/GEPSNONPILOT/Tender/SplashBidNoticeAbstractUI.aspx?menuIndex=3&amp;refID=7163299&amp;Result=3","7163299")</f>
        <v>0</v>
      </c>
      <c r="B497" t="s">
        <v>173</v>
      </c>
      <c r="C497" t="s">
        <v>4406</v>
      </c>
      <c r="D497" t="s">
        <v>19040</v>
      </c>
      <c r="E497" t="s">
        <v>19589</v>
      </c>
      <c r="F497" t="s">
        <v>32831</v>
      </c>
      <c r="G497" t="s">
        <v>32838</v>
      </c>
      <c r="H497" t="s">
        <v>32848</v>
      </c>
      <c r="I497" t="s">
        <v>32857</v>
      </c>
      <c r="J497" t="s">
        <v>33372</v>
      </c>
      <c r="K497" t="s">
        <v>42758</v>
      </c>
      <c r="M497" t="s">
        <v>43170</v>
      </c>
      <c r="N497" t="s">
        <v>47424</v>
      </c>
      <c r="O497" t="s">
        <v>47425</v>
      </c>
      <c r="P497">
        <v>0</v>
      </c>
      <c r="Q497">
        <v>1</v>
      </c>
      <c r="R497" t="s">
        <v>47426</v>
      </c>
      <c r="S497" t="s">
        <v>47531</v>
      </c>
      <c r="T497" t="s">
        <v>49079</v>
      </c>
      <c r="U497" t="s">
        <v>50106</v>
      </c>
      <c r="V497" t="s">
        <v>62656</v>
      </c>
      <c r="W497" t="s">
        <v>43170</v>
      </c>
      <c r="X497" t="s">
        <v>47430</v>
      </c>
    </row>
    <row r="498" spans="1:24">
      <c r="A498">
        <f>HYPERLINK("https://www.philgeps.gov.ph/GEPSNONPILOT/Tender/SplashBidNoticeAbstractUI.aspx?menuIndex=3&amp;refID=7163295&amp;Result=3","7163295")</f>
        <v>0</v>
      </c>
      <c r="B498" t="s">
        <v>261</v>
      </c>
      <c r="C498" t="s">
        <v>4410</v>
      </c>
      <c r="D498" t="s">
        <v>19059</v>
      </c>
      <c r="E498" t="s">
        <v>19590</v>
      </c>
      <c r="F498" t="s">
        <v>32831</v>
      </c>
      <c r="G498" t="s">
        <v>32839</v>
      </c>
      <c r="H498" t="s">
        <v>32849</v>
      </c>
      <c r="I498" t="s">
        <v>4177</v>
      </c>
      <c r="J498" t="s">
        <v>33373</v>
      </c>
      <c r="K498" t="s">
        <v>42726</v>
      </c>
      <c r="M498" t="s">
        <v>43260</v>
      </c>
      <c r="N498" t="s">
        <v>47424</v>
      </c>
      <c r="O498" t="s">
        <v>47425</v>
      </c>
      <c r="P498">
        <v>0</v>
      </c>
      <c r="Q498">
        <v>0</v>
      </c>
      <c r="R498" t="s">
        <v>47426</v>
      </c>
      <c r="S498" t="s">
        <v>47531</v>
      </c>
      <c r="T498" t="s">
        <v>49080</v>
      </c>
      <c r="U498" t="s">
        <v>50107</v>
      </c>
      <c r="V498" t="s">
        <v>62672</v>
      </c>
      <c r="W498" t="s">
        <v>43260</v>
      </c>
      <c r="X498" t="s">
        <v>47430</v>
      </c>
    </row>
    <row r="499" spans="1:24">
      <c r="A499">
        <f>HYPERLINK("https://www.philgeps.gov.ph/GEPSNONPILOT/Tender/SplashBidNoticeAbstractUI.aspx?menuIndex=3&amp;refID=7163336&amp;Result=3","7163336")</f>
        <v>0</v>
      </c>
      <c r="B499" t="s">
        <v>114</v>
      </c>
      <c r="C499" t="s">
        <v>4411</v>
      </c>
      <c r="D499" t="s">
        <v>19050</v>
      </c>
      <c r="E499" t="s">
        <v>19591</v>
      </c>
      <c r="F499" t="s">
        <v>32831</v>
      </c>
      <c r="G499" t="s">
        <v>32842</v>
      </c>
      <c r="H499" t="s">
        <v>32848</v>
      </c>
      <c r="I499" t="s">
        <v>9577</v>
      </c>
      <c r="J499" t="s">
        <v>33374</v>
      </c>
      <c r="K499" t="s">
        <v>42731</v>
      </c>
      <c r="L499" t="s">
        <v>114</v>
      </c>
      <c r="M499" t="s">
        <v>43111</v>
      </c>
      <c r="N499" t="s">
        <v>47424</v>
      </c>
      <c r="O499" t="s">
        <v>47425</v>
      </c>
      <c r="P499">
        <v>0</v>
      </c>
      <c r="Q499">
        <v>0</v>
      </c>
      <c r="R499" t="s">
        <v>47426</v>
      </c>
      <c r="S499" t="s">
        <v>47531</v>
      </c>
      <c r="T499" t="s">
        <v>49150</v>
      </c>
      <c r="U499" t="s">
        <v>49824</v>
      </c>
      <c r="W499" t="s">
        <v>43111</v>
      </c>
      <c r="X499" t="s">
        <v>47430</v>
      </c>
    </row>
    <row r="500" spans="1:24">
      <c r="A500">
        <f>HYPERLINK("https://www.philgeps.gov.ph/GEPSNONPILOT/Tender/SplashBidNoticeAbstractUI.aspx?menuIndex=3&amp;refID=7163292&amp;Result=3","7163292")</f>
        <v>0</v>
      </c>
      <c r="B500" t="s">
        <v>250</v>
      </c>
      <c r="C500" t="s">
        <v>4412</v>
      </c>
      <c r="D500" t="s">
        <v>19075</v>
      </c>
      <c r="E500" t="s">
        <v>19592</v>
      </c>
      <c r="F500" t="s">
        <v>32831</v>
      </c>
      <c r="G500" t="s">
        <v>32839</v>
      </c>
      <c r="H500" t="s">
        <v>32848</v>
      </c>
      <c r="I500" t="s">
        <v>4558</v>
      </c>
      <c r="J500" t="s">
        <v>33375</v>
      </c>
      <c r="K500" t="s">
        <v>42731</v>
      </c>
      <c r="M500" t="s">
        <v>43249</v>
      </c>
      <c r="N500" t="s">
        <v>47424</v>
      </c>
      <c r="O500" t="s">
        <v>47425</v>
      </c>
      <c r="P500">
        <v>0</v>
      </c>
      <c r="Q500">
        <v>1</v>
      </c>
      <c r="R500" t="s">
        <v>47426</v>
      </c>
      <c r="S500" t="s">
        <v>47531</v>
      </c>
      <c r="T500" t="s">
        <v>49073</v>
      </c>
      <c r="U500" t="s">
        <v>50108</v>
      </c>
      <c r="W500" t="s">
        <v>43249</v>
      </c>
      <c r="X500" t="s">
        <v>47430</v>
      </c>
    </row>
    <row r="501" spans="1:24">
      <c r="A501">
        <f>HYPERLINK("https://www.philgeps.gov.ph/GEPSNONPILOT/Tender/SplashBidNoticeAbstractUI.aspx?menuIndex=3&amp;refID=7163181&amp;Result=3","7163181")</f>
        <v>0</v>
      </c>
      <c r="B501" t="s">
        <v>262</v>
      </c>
      <c r="C501" t="s">
        <v>4413</v>
      </c>
      <c r="D501" t="s">
        <v>19049</v>
      </c>
      <c r="E501" t="s">
        <v>19593</v>
      </c>
      <c r="F501" t="s">
        <v>32831</v>
      </c>
      <c r="G501" t="s">
        <v>32838</v>
      </c>
      <c r="H501" t="s">
        <v>32848</v>
      </c>
      <c r="I501" t="s">
        <v>32862</v>
      </c>
      <c r="J501" t="s">
        <v>33029</v>
      </c>
      <c r="K501" t="s">
        <v>42726</v>
      </c>
      <c r="M501" t="s">
        <v>43261</v>
      </c>
      <c r="N501" t="s">
        <v>47424</v>
      </c>
      <c r="O501" t="s">
        <v>47425</v>
      </c>
      <c r="P501">
        <v>0</v>
      </c>
      <c r="Q501">
        <v>0</v>
      </c>
      <c r="R501" t="s">
        <v>47426</v>
      </c>
      <c r="S501" t="s">
        <v>47531</v>
      </c>
      <c r="T501" t="s">
        <v>49165</v>
      </c>
      <c r="U501" t="s">
        <v>50109</v>
      </c>
      <c r="W501" t="s">
        <v>43261</v>
      </c>
      <c r="X501" t="s">
        <v>47430</v>
      </c>
    </row>
    <row r="502" spans="1:24">
      <c r="A502">
        <f>HYPERLINK("https://www.philgeps.gov.ph/GEPSNONPILOT/Tender/SplashBidNoticeAbstractUI.aspx?menuIndex=3&amp;refID=7163346&amp;Result=3","7163346")</f>
        <v>0</v>
      </c>
      <c r="B502" t="s">
        <v>90</v>
      </c>
      <c r="C502" t="s">
        <v>4414</v>
      </c>
      <c r="E502" t="s">
        <v>19594</v>
      </c>
      <c r="F502" t="s">
        <v>32831</v>
      </c>
      <c r="G502" t="s">
        <v>32840</v>
      </c>
      <c r="H502" t="s">
        <v>32848</v>
      </c>
      <c r="I502" t="s">
        <v>4776</v>
      </c>
      <c r="J502" t="s">
        <v>32980</v>
      </c>
      <c r="K502" t="s">
        <v>42726</v>
      </c>
      <c r="M502" t="s">
        <v>43226</v>
      </c>
      <c r="N502" t="s">
        <v>47424</v>
      </c>
      <c r="O502" t="s">
        <v>47425</v>
      </c>
      <c r="P502">
        <v>0</v>
      </c>
      <c r="Q502">
        <v>2</v>
      </c>
      <c r="R502" t="s">
        <v>47426</v>
      </c>
      <c r="S502" t="s">
        <v>47531</v>
      </c>
      <c r="T502" t="s">
        <v>49107</v>
      </c>
      <c r="U502" t="s">
        <v>50110</v>
      </c>
      <c r="V502" t="s">
        <v>62673</v>
      </c>
      <c r="W502" t="s">
        <v>43226</v>
      </c>
      <c r="X502" t="s">
        <v>47430</v>
      </c>
    </row>
    <row r="503" spans="1:24">
      <c r="A503">
        <f>HYPERLINK("https://www.philgeps.gov.ph/GEPSNONPILOT/Tender/SplashBidNoticeAbstractUI.aspx?menuIndex=3&amp;refID=7163285&amp;Result=3","7163285")</f>
        <v>0</v>
      </c>
      <c r="B503" t="s">
        <v>114</v>
      </c>
      <c r="C503" t="s">
        <v>4415</v>
      </c>
      <c r="D503" t="s">
        <v>19050</v>
      </c>
      <c r="E503" t="s">
        <v>19595</v>
      </c>
      <c r="F503" t="s">
        <v>32831</v>
      </c>
      <c r="G503" t="s">
        <v>32838</v>
      </c>
      <c r="H503" t="s">
        <v>32848</v>
      </c>
      <c r="I503" t="s">
        <v>9577</v>
      </c>
      <c r="J503" t="s">
        <v>33376</v>
      </c>
      <c r="K503" t="s">
        <v>42731</v>
      </c>
      <c r="L503" t="s">
        <v>114</v>
      </c>
      <c r="M503" t="s">
        <v>43111</v>
      </c>
      <c r="N503" t="s">
        <v>47424</v>
      </c>
      <c r="O503" t="s">
        <v>47425</v>
      </c>
      <c r="P503">
        <v>0</v>
      </c>
      <c r="Q503">
        <v>0</v>
      </c>
      <c r="R503" t="s">
        <v>47426</v>
      </c>
      <c r="S503" t="s">
        <v>47531</v>
      </c>
      <c r="T503" t="s">
        <v>49150</v>
      </c>
      <c r="U503" t="s">
        <v>49824</v>
      </c>
      <c r="W503" t="s">
        <v>43111</v>
      </c>
      <c r="X503" t="s">
        <v>47430</v>
      </c>
    </row>
    <row r="504" spans="1:24">
      <c r="A504">
        <f>HYPERLINK("https://www.philgeps.gov.ph/GEPSNONPILOT/Tender/SplashBidNoticeAbstractUI.aspx?menuIndex=3&amp;refID=7163431&amp;Result=3","7163431")</f>
        <v>0</v>
      </c>
      <c r="B504" t="s">
        <v>263</v>
      </c>
      <c r="C504" t="s">
        <v>4416</v>
      </c>
      <c r="D504" t="s">
        <v>19083</v>
      </c>
      <c r="E504" t="s">
        <v>19596</v>
      </c>
      <c r="F504" t="s">
        <v>32831</v>
      </c>
      <c r="G504" t="s">
        <v>32839</v>
      </c>
      <c r="H504" t="s">
        <v>32848</v>
      </c>
      <c r="I504" t="s">
        <v>7416</v>
      </c>
      <c r="J504" t="s">
        <v>33377</v>
      </c>
      <c r="K504" t="s">
        <v>42745</v>
      </c>
      <c r="M504" t="s">
        <v>43262</v>
      </c>
      <c r="N504" t="s">
        <v>47424</v>
      </c>
      <c r="O504" t="s">
        <v>47425</v>
      </c>
      <c r="P504">
        <v>0</v>
      </c>
      <c r="Q504">
        <v>0</v>
      </c>
      <c r="R504" t="s">
        <v>47426</v>
      </c>
      <c r="S504" t="s">
        <v>47531</v>
      </c>
      <c r="T504" t="s">
        <v>49059</v>
      </c>
      <c r="U504" t="s">
        <v>50111</v>
      </c>
      <c r="W504" t="s">
        <v>43262</v>
      </c>
      <c r="X504" t="s">
        <v>47430</v>
      </c>
    </row>
    <row r="505" spans="1:24">
      <c r="A505">
        <f>HYPERLINK("https://www.philgeps.gov.ph/GEPSNONPILOT/Tender/SplashBidNoticeAbstractUI.aspx?menuIndex=3&amp;refID=7163316&amp;Result=3","7163316")</f>
        <v>0</v>
      </c>
      <c r="B505" t="s">
        <v>262</v>
      </c>
      <c r="C505" t="s">
        <v>4417</v>
      </c>
      <c r="D505" t="s">
        <v>19049</v>
      </c>
      <c r="E505" t="s">
        <v>19597</v>
      </c>
      <c r="F505" t="s">
        <v>32831</v>
      </c>
      <c r="G505" t="s">
        <v>32838</v>
      </c>
      <c r="H505" t="s">
        <v>32848</v>
      </c>
      <c r="I505" t="s">
        <v>32862</v>
      </c>
      <c r="J505" t="s">
        <v>33378</v>
      </c>
      <c r="K505" t="s">
        <v>42726</v>
      </c>
      <c r="M505" t="s">
        <v>43261</v>
      </c>
      <c r="N505" t="s">
        <v>47424</v>
      </c>
      <c r="O505" t="s">
        <v>47425</v>
      </c>
      <c r="P505">
        <v>0</v>
      </c>
      <c r="Q505">
        <v>0</v>
      </c>
      <c r="R505" t="s">
        <v>47426</v>
      </c>
      <c r="S505" t="s">
        <v>47531</v>
      </c>
      <c r="T505" t="s">
        <v>49127</v>
      </c>
      <c r="U505" t="s">
        <v>50112</v>
      </c>
      <c r="W505" t="s">
        <v>43261</v>
      </c>
      <c r="X505" t="s">
        <v>47430</v>
      </c>
    </row>
    <row r="506" spans="1:24">
      <c r="A506">
        <f>HYPERLINK("https://www.philgeps.gov.ph/GEPSNONPILOT/Tender/SplashBidNoticeAbstractUI.aspx?menuIndex=3&amp;refID=7163418&amp;Result=3","7163418")</f>
        <v>0</v>
      </c>
      <c r="B506" t="s">
        <v>228</v>
      </c>
      <c r="C506" t="s">
        <v>4418</v>
      </c>
      <c r="D506" t="s">
        <v>19033</v>
      </c>
      <c r="E506" t="s">
        <v>19598</v>
      </c>
      <c r="F506" t="s">
        <v>32831</v>
      </c>
      <c r="G506" t="s">
        <v>32838</v>
      </c>
      <c r="H506" t="s">
        <v>32848</v>
      </c>
      <c r="I506" t="s">
        <v>32856</v>
      </c>
      <c r="J506" t="s">
        <v>32980</v>
      </c>
      <c r="K506" t="s">
        <v>42727</v>
      </c>
      <c r="M506" t="s">
        <v>43227</v>
      </c>
      <c r="N506" t="s">
        <v>47424</v>
      </c>
      <c r="O506" t="s">
        <v>47425</v>
      </c>
      <c r="P506">
        <v>0</v>
      </c>
      <c r="Q506">
        <v>0</v>
      </c>
      <c r="R506" t="s">
        <v>47426</v>
      </c>
      <c r="S506" t="s">
        <v>47531</v>
      </c>
      <c r="T506" t="s">
        <v>49089</v>
      </c>
      <c r="U506" t="s">
        <v>50113</v>
      </c>
      <c r="W506" t="s">
        <v>43227</v>
      </c>
      <c r="X506" t="s">
        <v>47430</v>
      </c>
    </row>
    <row r="507" spans="1:24">
      <c r="A507">
        <f>HYPERLINK("https://www.philgeps.gov.ph/GEPSNONPILOT/Tender/SplashBidNoticeAbstractUI.aspx?menuIndex=3&amp;refID=7163305&amp;Result=3","7163305")</f>
        <v>0</v>
      </c>
      <c r="B507" t="s">
        <v>264</v>
      </c>
      <c r="C507" t="s">
        <v>4419</v>
      </c>
      <c r="D507" t="s">
        <v>19062</v>
      </c>
      <c r="E507" t="s">
        <v>19183</v>
      </c>
      <c r="F507" t="s">
        <v>32831</v>
      </c>
      <c r="G507" t="s">
        <v>32839</v>
      </c>
      <c r="H507" t="s">
        <v>32848</v>
      </c>
      <c r="I507" t="s">
        <v>7416</v>
      </c>
      <c r="J507" t="s">
        <v>33379</v>
      </c>
      <c r="K507" t="s">
        <v>42727</v>
      </c>
      <c r="M507" t="s">
        <v>43263</v>
      </c>
      <c r="N507" t="s">
        <v>47424</v>
      </c>
      <c r="O507" t="s">
        <v>47425</v>
      </c>
      <c r="P507">
        <v>0</v>
      </c>
      <c r="Q507">
        <v>0</v>
      </c>
      <c r="R507" t="s">
        <v>47426</v>
      </c>
      <c r="S507" t="s">
        <v>47531</v>
      </c>
      <c r="T507" t="s">
        <v>49080</v>
      </c>
      <c r="U507" t="s">
        <v>50114</v>
      </c>
      <c r="W507" t="s">
        <v>43263</v>
      </c>
      <c r="X507" t="s">
        <v>47430</v>
      </c>
    </row>
    <row r="508" spans="1:24">
      <c r="A508">
        <f>HYPERLINK("https://www.philgeps.gov.ph/GEPSNONPILOT/Tender/SplashBidNoticeAbstractUI.aspx?menuIndex=3&amp;refID=7163404&amp;Result=3","7163404")</f>
        <v>0</v>
      </c>
      <c r="B508" t="s">
        <v>265</v>
      </c>
      <c r="C508" t="s">
        <v>4420</v>
      </c>
      <c r="D508" t="s">
        <v>19071</v>
      </c>
      <c r="E508" t="s">
        <v>19599</v>
      </c>
      <c r="F508" t="s">
        <v>32831</v>
      </c>
      <c r="G508" t="s">
        <v>32839</v>
      </c>
      <c r="H508" t="s">
        <v>32848</v>
      </c>
      <c r="I508" t="s">
        <v>32870</v>
      </c>
      <c r="J508" t="s">
        <v>32980</v>
      </c>
      <c r="K508" t="s">
        <v>42731</v>
      </c>
      <c r="M508" t="s">
        <v>43264</v>
      </c>
      <c r="N508" t="s">
        <v>47424</v>
      </c>
      <c r="O508" t="s">
        <v>47425</v>
      </c>
      <c r="P508">
        <v>0</v>
      </c>
      <c r="Q508">
        <v>0</v>
      </c>
      <c r="R508" t="s">
        <v>47426</v>
      </c>
      <c r="S508" t="s">
        <v>47531</v>
      </c>
      <c r="T508" t="s">
        <v>49159</v>
      </c>
      <c r="U508" t="s">
        <v>50115</v>
      </c>
      <c r="W508" t="s">
        <v>43264</v>
      </c>
      <c r="X508" t="s">
        <v>47430</v>
      </c>
    </row>
    <row r="509" spans="1:24">
      <c r="A509">
        <f>HYPERLINK("https://www.philgeps.gov.ph/GEPSNONPILOT/Tender/SplashBidNoticeAbstractUI.aspx?menuIndex=3&amp;refID=7163427&amp;Result=3","7163427")</f>
        <v>0</v>
      </c>
      <c r="B509" t="s">
        <v>266</v>
      </c>
      <c r="C509" t="s">
        <v>4421</v>
      </c>
      <c r="E509" t="s">
        <v>19600</v>
      </c>
      <c r="F509" t="s">
        <v>32831</v>
      </c>
      <c r="G509" t="s">
        <v>32838</v>
      </c>
      <c r="H509" t="s">
        <v>32848</v>
      </c>
      <c r="I509" t="s">
        <v>32883</v>
      </c>
      <c r="J509" t="s">
        <v>33380</v>
      </c>
      <c r="K509" t="s">
        <v>42727</v>
      </c>
      <c r="M509" t="s">
        <v>43265</v>
      </c>
      <c r="N509" t="s">
        <v>47424</v>
      </c>
      <c r="O509" t="s">
        <v>47425</v>
      </c>
      <c r="Q509">
        <v>3</v>
      </c>
      <c r="R509" t="s">
        <v>47426</v>
      </c>
      <c r="S509" t="s">
        <v>47534</v>
      </c>
      <c r="T509" t="s">
        <v>49056</v>
      </c>
      <c r="U509" t="s">
        <v>50116</v>
      </c>
      <c r="W509" t="s">
        <v>43265</v>
      </c>
      <c r="X509" t="s">
        <v>47430</v>
      </c>
    </row>
    <row r="510" spans="1:24">
      <c r="A510">
        <f>HYPERLINK("https://www.philgeps.gov.ph/GEPSNONPILOT/Tender/SplashBidNoticeAbstractUI.aspx?menuIndex=3&amp;refID=7163402&amp;Result=3","7163402")</f>
        <v>0</v>
      </c>
      <c r="B510" t="s">
        <v>114</v>
      </c>
      <c r="C510" t="s">
        <v>4422</v>
      </c>
      <c r="D510" t="s">
        <v>19050</v>
      </c>
      <c r="E510" t="s">
        <v>19601</v>
      </c>
      <c r="F510" t="s">
        <v>32831</v>
      </c>
      <c r="G510" t="s">
        <v>32838</v>
      </c>
      <c r="H510" t="s">
        <v>32848</v>
      </c>
      <c r="I510" t="s">
        <v>32870</v>
      </c>
      <c r="J510" t="s">
        <v>33381</v>
      </c>
      <c r="K510" t="s">
        <v>42731</v>
      </c>
      <c r="L510" t="s">
        <v>114</v>
      </c>
      <c r="M510" t="s">
        <v>43111</v>
      </c>
      <c r="N510" t="s">
        <v>47424</v>
      </c>
      <c r="O510" t="s">
        <v>47425</v>
      </c>
      <c r="P510">
        <v>0</v>
      </c>
      <c r="Q510">
        <v>0</v>
      </c>
      <c r="R510" t="s">
        <v>47426</v>
      </c>
      <c r="S510" t="s">
        <v>47531</v>
      </c>
      <c r="T510" t="s">
        <v>49150</v>
      </c>
      <c r="U510" t="s">
        <v>49824</v>
      </c>
      <c r="W510" t="s">
        <v>43111</v>
      </c>
      <c r="X510" t="s">
        <v>47430</v>
      </c>
    </row>
    <row r="511" spans="1:24">
      <c r="A511">
        <f>HYPERLINK("https://www.philgeps.gov.ph/GEPSNONPILOT/Tender/SplashBidNoticeAbstractUI.aspx?menuIndex=3&amp;refID=7163425&amp;Result=3","7163425")</f>
        <v>0</v>
      </c>
      <c r="B511" t="s">
        <v>230</v>
      </c>
      <c r="C511" t="s">
        <v>4423</v>
      </c>
      <c r="D511" t="s">
        <v>19041</v>
      </c>
      <c r="E511" t="s">
        <v>19130</v>
      </c>
      <c r="F511" t="s">
        <v>32831</v>
      </c>
      <c r="G511" t="s">
        <v>32839</v>
      </c>
      <c r="H511" t="s">
        <v>32849</v>
      </c>
      <c r="I511" t="s">
        <v>4177</v>
      </c>
      <c r="J511" t="s">
        <v>33382</v>
      </c>
      <c r="K511" t="s">
        <v>42730</v>
      </c>
      <c r="M511" t="s">
        <v>43229</v>
      </c>
      <c r="N511" t="s">
        <v>47424</v>
      </c>
      <c r="O511" t="s">
        <v>47425</v>
      </c>
      <c r="P511">
        <v>0</v>
      </c>
      <c r="Q511">
        <v>0</v>
      </c>
      <c r="R511" t="s">
        <v>47426</v>
      </c>
      <c r="S511" t="s">
        <v>47531</v>
      </c>
      <c r="T511" t="s">
        <v>49091</v>
      </c>
      <c r="U511" t="s">
        <v>50117</v>
      </c>
      <c r="W511" t="s">
        <v>43229</v>
      </c>
      <c r="X511" t="s">
        <v>47430</v>
      </c>
    </row>
    <row r="512" spans="1:24">
      <c r="A512">
        <f>HYPERLINK("https://www.philgeps.gov.ph/GEPSNONPILOT/Tender/SplashBidNoticeAbstractUI.aspx?menuIndex=3&amp;refID=7163395&amp;Result=3","7163395")</f>
        <v>0</v>
      </c>
      <c r="B512" t="s">
        <v>267</v>
      </c>
      <c r="C512" t="s">
        <v>4424</v>
      </c>
      <c r="D512" t="s">
        <v>19078</v>
      </c>
      <c r="E512" t="s">
        <v>19602</v>
      </c>
      <c r="F512" t="s">
        <v>32831</v>
      </c>
      <c r="G512" t="s">
        <v>32840</v>
      </c>
      <c r="H512" t="s">
        <v>32848</v>
      </c>
      <c r="I512" t="s">
        <v>32894</v>
      </c>
      <c r="J512" t="s">
        <v>33019</v>
      </c>
      <c r="K512" t="s">
        <v>42748</v>
      </c>
      <c r="M512" t="s">
        <v>43266</v>
      </c>
      <c r="N512" t="s">
        <v>47424</v>
      </c>
      <c r="O512" t="s">
        <v>47425</v>
      </c>
      <c r="P512">
        <v>0</v>
      </c>
      <c r="Q512">
        <v>0</v>
      </c>
      <c r="R512" t="s">
        <v>47426</v>
      </c>
      <c r="S512" t="s">
        <v>47531</v>
      </c>
      <c r="T512" t="s">
        <v>49166</v>
      </c>
      <c r="U512" t="s">
        <v>50118</v>
      </c>
      <c r="W512" t="s">
        <v>43266</v>
      </c>
      <c r="X512" t="s">
        <v>47430</v>
      </c>
    </row>
    <row r="513" spans="1:24">
      <c r="A513">
        <f>HYPERLINK("https://www.philgeps.gov.ph/GEPSNONPILOT/Tender/SplashBidNoticeAbstractUI.aspx?menuIndex=3&amp;refID=7163389&amp;Result=3","7163389")</f>
        <v>0</v>
      </c>
      <c r="B513" t="s">
        <v>256</v>
      </c>
      <c r="C513" t="s">
        <v>4425</v>
      </c>
      <c r="D513" t="s">
        <v>19017</v>
      </c>
      <c r="E513" t="s">
        <v>4425</v>
      </c>
      <c r="F513" t="s">
        <v>32831</v>
      </c>
      <c r="G513" t="s">
        <v>32838</v>
      </c>
      <c r="H513" t="s">
        <v>32848</v>
      </c>
      <c r="I513" t="s">
        <v>4558</v>
      </c>
      <c r="J513" t="s">
        <v>33383</v>
      </c>
      <c r="K513" t="s">
        <v>42732</v>
      </c>
      <c r="M513" t="s">
        <v>43255</v>
      </c>
      <c r="N513" t="s">
        <v>47424</v>
      </c>
      <c r="O513" t="s">
        <v>47425</v>
      </c>
      <c r="P513">
        <v>0</v>
      </c>
      <c r="Q513">
        <v>2</v>
      </c>
      <c r="R513" t="s">
        <v>47426</v>
      </c>
      <c r="S513" t="s">
        <v>47531</v>
      </c>
      <c r="T513" t="s">
        <v>49061</v>
      </c>
      <c r="U513" t="s">
        <v>50097</v>
      </c>
      <c r="W513" t="s">
        <v>43255</v>
      </c>
      <c r="X513" t="s">
        <v>47430</v>
      </c>
    </row>
    <row r="514" spans="1:24">
      <c r="A514">
        <f>HYPERLINK("https://www.philgeps.gov.ph/GEPSNONPILOT/Tender/SplashBidNoticeAbstractUI.aspx?menuIndex=3&amp;refID=7163417&amp;Result=3","7163417")</f>
        <v>0</v>
      </c>
      <c r="B514" t="s">
        <v>268</v>
      </c>
      <c r="C514" t="s">
        <v>4426</v>
      </c>
      <c r="D514" t="s">
        <v>19081</v>
      </c>
      <c r="E514" t="s">
        <v>19603</v>
      </c>
      <c r="F514" t="s">
        <v>32831</v>
      </c>
      <c r="G514" t="s">
        <v>32839</v>
      </c>
      <c r="H514" t="s">
        <v>32849</v>
      </c>
      <c r="I514" t="s">
        <v>4177</v>
      </c>
      <c r="J514" t="s">
        <v>33087</v>
      </c>
      <c r="K514" t="s">
        <v>42749</v>
      </c>
      <c r="M514" t="s">
        <v>43267</v>
      </c>
      <c r="N514" t="s">
        <v>47424</v>
      </c>
      <c r="O514" t="s">
        <v>47425</v>
      </c>
      <c r="P514">
        <v>0</v>
      </c>
      <c r="Q514">
        <v>0</v>
      </c>
      <c r="R514" t="s">
        <v>47426</v>
      </c>
      <c r="S514" t="s">
        <v>47531</v>
      </c>
      <c r="T514" t="s">
        <v>49151</v>
      </c>
      <c r="U514" t="s">
        <v>50119</v>
      </c>
      <c r="W514" t="s">
        <v>43267</v>
      </c>
      <c r="X514" t="s">
        <v>47430</v>
      </c>
    </row>
    <row r="515" spans="1:24">
      <c r="A515">
        <f>HYPERLINK("https://www.philgeps.gov.ph/GEPSNONPILOT/Tender/SplashBidNoticeAbstractUI.aspx?menuIndex=3&amp;refID=7163379&amp;Result=3","7163379")</f>
        <v>0</v>
      </c>
      <c r="B515" t="s">
        <v>262</v>
      </c>
      <c r="C515" t="s">
        <v>4427</v>
      </c>
      <c r="D515" t="s">
        <v>19049</v>
      </c>
      <c r="E515" t="s">
        <v>19604</v>
      </c>
      <c r="F515" t="s">
        <v>32831</v>
      </c>
      <c r="G515" t="s">
        <v>32838</v>
      </c>
      <c r="H515" t="s">
        <v>32848</v>
      </c>
      <c r="I515" t="s">
        <v>5379</v>
      </c>
      <c r="J515" t="s">
        <v>33384</v>
      </c>
      <c r="K515" t="s">
        <v>42726</v>
      </c>
      <c r="M515" t="s">
        <v>43261</v>
      </c>
      <c r="N515" t="s">
        <v>47424</v>
      </c>
      <c r="O515" t="s">
        <v>47425</v>
      </c>
      <c r="P515">
        <v>0</v>
      </c>
      <c r="Q515">
        <v>0</v>
      </c>
      <c r="R515" t="s">
        <v>47426</v>
      </c>
      <c r="S515" t="s">
        <v>47531</v>
      </c>
      <c r="T515" t="s">
        <v>49110</v>
      </c>
      <c r="U515" t="s">
        <v>50120</v>
      </c>
      <c r="W515" t="s">
        <v>43261</v>
      </c>
      <c r="X515" t="s">
        <v>47430</v>
      </c>
    </row>
    <row r="516" spans="1:24">
      <c r="A516">
        <f>HYPERLINK("https://www.philgeps.gov.ph/GEPSNONPILOT/Tender/SplashBidNoticeAbstractUI.aspx?menuIndex=3&amp;refID=7163401&amp;Result=3","7163401")</f>
        <v>0</v>
      </c>
      <c r="B516" t="s">
        <v>263</v>
      </c>
      <c r="C516" t="s">
        <v>4428</v>
      </c>
      <c r="D516" t="s">
        <v>19083</v>
      </c>
      <c r="E516" t="s">
        <v>19605</v>
      </c>
      <c r="F516" t="s">
        <v>32831</v>
      </c>
      <c r="G516" t="s">
        <v>32839</v>
      </c>
      <c r="H516" t="s">
        <v>32849</v>
      </c>
      <c r="I516" t="s">
        <v>4177</v>
      </c>
      <c r="J516" t="s">
        <v>33118</v>
      </c>
      <c r="K516" t="s">
        <v>42763</v>
      </c>
      <c r="M516" t="s">
        <v>43262</v>
      </c>
      <c r="N516" t="s">
        <v>47424</v>
      </c>
      <c r="O516" t="s">
        <v>47425</v>
      </c>
      <c r="P516">
        <v>0</v>
      </c>
      <c r="Q516">
        <v>0</v>
      </c>
      <c r="R516" t="s">
        <v>47426</v>
      </c>
      <c r="S516" t="s">
        <v>47531</v>
      </c>
      <c r="T516" t="s">
        <v>49078</v>
      </c>
      <c r="U516" t="s">
        <v>50121</v>
      </c>
      <c r="W516" t="s">
        <v>43262</v>
      </c>
      <c r="X516" t="s">
        <v>47430</v>
      </c>
    </row>
    <row r="517" spans="1:24">
      <c r="A517">
        <f>HYPERLINK("https://www.philgeps.gov.ph/GEPSNONPILOT/Tender/SplashBidNoticeAbstractUI.aspx?menuIndex=3&amp;refID=7163489&amp;Result=3","7163489")</f>
        <v>0</v>
      </c>
      <c r="B517" t="s">
        <v>269</v>
      </c>
      <c r="C517" t="s">
        <v>4429</v>
      </c>
      <c r="D517" t="s">
        <v>19030</v>
      </c>
      <c r="E517" t="s">
        <v>19606</v>
      </c>
      <c r="F517" t="s">
        <v>32831</v>
      </c>
      <c r="G517" t="s">
        <v>32838</v>
      </c>
      <c r="H517" t="s">
        <v>32848</v>
      </c>
      <c r="I517" t="s">
        <v>32864</v>
      </c>
      <c r="J517" t="s">
        <v>33087</v>
      </c>
      <c r="K517" t="s">
        <v>42759</v>
      </c>
      <c r="M517" t="s">
        <v>43268</v>
      </c>
      <c r="N517" t="s">
        <v>47424</v>
      </c>
      <c r="O517" t="s">
        <v>47425</v>
      </c>
      <c r="P517">
        <v>0</v>
      </c>
      <c r="Q517">
        <v>3</v>
      </c>
      <c r="R517" t="s">
        <v>47426</v>
      </c>
      <c r="S517" t="s">
        <v>47531</v>
      </c>
      <c r="T517" t="s">
        <v>49079</v>
      </c>
      <c r="U517" t="s">
        <v>50122</v>
      </c>
      <c r="W517" t="s">
        <v>43268</v>
      </c>
      <c r="X517" t="s">
        <v>47430</v>
      </c>
    </row>
    <row r="518" spans="1:24">
      <c r="A518">
        <f>HYPERLINK("https://www.philgeps.gov.ph/GEPSNONPILOT/Tender/SplashBidNoticeAbstractUI.aspx?menuIndex=3&amp;refID=7163392&amp;Result=3","7163392")</f>
        <v>0</v>
      </c>
      <c r="B518" t="s">
        <v>99</v>
      </c>
      <c r="C518" t="s">
        <v>4430</v>
      </c>
      <c r="D518" t="s">
        <v>19054</v>
      </c>
      <c r="E518" t="s">
        <v>19607</v>
      </c>
      <c r="F518" t="s">
        <v>32831</v>
      </c>
      <c r="G518" t="s">
        <v>32839</v>
      </c>
      <c r="H518" t="s">
        <v>32848</v>
      </c>
      <c r="I518" t="s">
        <v>9577</v>
      </c>
      <c r="J518" t="s">
        <v>33385</v>
      </c>
      <c r="K518" t="s">
        <v>42730</v>
      </c>
      <c r="M518" t="s">
        <v>43171</v>
      </c>
      <c r="N518" t="s">
        <v>47424</v>
      </c>
      <c r="O518" t="s">
        <v>47425</v>
      </c>
      <c r="P518">
        <v>0</v>
      </c>
      <c r="Q518">
        <v>0</v>
      </c>
      <c r="R518" t="s">
        <v>47426</v>
      </c>
      <c r="S518" t="s">
        <v>47531</v>
      </c>
      <c r="T518" t="s">
        <v>49069</v>
      </c>
      <c r="U518" t="s">
        <v>49821</v>
      </c>
      <c r="V518" t="s">
        <v>62643</v>
      </c>
      <c r="W518" t="s">
        <v>43171</v>
      </c>
      <c r="X518" t="s">
        <v>47430</v>
      </c>
    </row>
    <row r="519" spans="1:24">
      <c r="A519">
        <f>HYPERLINK("https://www.philgeps.gov.ph/GEPSNONPILOT/Tender/SplashBidNoticeAbstractUI.aspx?menuIndex=3&amp;refID=7163483&amp;Result=3","7163483")</f>
        <v>0</v>
      </c>
      <c r="B519" t="s">
        <v>104</v>
      </c>
      <c r="C519" t="s">
        <v>4431</v>
      </c>
      <c r="D519" t="s">
        <v>19048</v>
      </c>
      <c r="E519" t="s">
        <v>19608</v>
      </c>
      <c r="F519" t="s">
        <v>32831</v>
      </c>
      <c r="G519" t="s">
        <v>32840</v>
      </c>
      <c r="H519" t="s">
        <v>32848</v>
      </c>
      <c r="I519" t="s">
        <v>32857</v>
      </c>
      <c r="J519" t="s">
        <v>33386</v>
      </c>
      <c r="K519" t="s">
        <v>42730</v>
      </c>
      <c r="M519" t="s">
        <v>43101</v>
      </c>
      <c r="N519" t="s">
        <v>47424</v>
      </c>
      <c r="O519" t="s">
        <v>47425</v>
      </c>
      <c r="P519">
        <v>0</v>
      </c>
      <c r="Q519">
        <v>12</v>
      </c>
      <c r="R519" t="s">
        <v>47426</v>
      </c>
      <c r="S519" t="s">
        <v>47531</v>
      </c>
      <c r="T519" t="s">
        <v>49116</v>
      </c>
      <c r="U519" t="s">
        <v>50123</v>
      </c>
      <c r="W519" t="s">
        <v>43101</v>
      </c>
      <c r="X519" t="s">
        <v>47430</v>
      </c>
    </row>
    <row r="520" spans="1:24">
      <c r="A520">
        <f>HYPERLINK("https://www.philgeps.gov.ph/GEPSNONPILOT/Tender/SplashBidNoticeAbstractUI.aspx?menuIndex=3&amp;refID=7163475&amp;Result=3","7163475")</f>
        <v>0</v>
      </c>
      <c r="B520" t="s">
        <v>270</v>
      </c>
      <c r="C520" t="s">
        <v>4432</v>
      </c>
      <c r="D520" t="s">
        <v>19017</v>
      </c>
      <c r="E520" t="s">
        <v>19609</v>
      </c>
      <c r="F520" t="s">
        <v>32831</v>
      </c>
      <c r="G520" t="s">
        <v>32839</v>
      </c>
      <c r="H520" t="s">
        <v>32848</v>
      </c>
      <c r="I520" t="s">
        <v>32863</v>
      </c>
      <c r="J520" t="s">
        <v>33387</v>
      </c>
      <c r="K520" t="s">
        <v>42775</v>
      </c>
      <c r="M520" t="s">
        <v>43269</v>
      </c>
      <c r="N520" t="s">
        <v>47424</v>
      </c>
      <c r="O520" t="s">
        <v>47425</v>
      </c>
      <c r="Q520">
        <v>1</v>
      </c>
      <c r="R520" t="s">
        <v>47426</v>
      </c>
      <c r="S520" t="s">
        <v>47535</v>
      </c>
      <c r="T520" t="s">
        <v>49078</v>
      </c>
      <c r="U520" t="s">
        <v>50124</v>
      </c>
      <c r="W520" t="s">
        <v>43269</v>
      </c>
      <c r="X520" t="s">
        <v>47430</v>
      </c>
    </row>
    <row r="521" spans="1:24">
      <c r="A521">
        <f>HYPERLINK("https://www.philgeps.gov.ph/GEPSNONPILOT/Tender/SplashBidNoticeAbstractUI.aspx?menuIndex=3&amp;refID=7163288&amp;Result=3","7163288")</f>
        <v>0</v>
      </c>
      <c r="B521" t="s">
        <v>271</v>
      </c>
      <c r="C521" t="s">
        <v>4433</v>
      </c>
      <c r="D521" t="s">
        <v>19037</v>
      </c>
      <c r="E521" t="s">
        <v>19610</v>
      </c>
      <c r="F521" t="s">
        <v>32831</v>
      </c>
      <c r="G521" t="s">
        <v>32838</v>
      </c>
      <c r="H521" t="s">
        <v>32848</v>
      </c>
      <c r="I521" t="s">
        <v>9577</v>
      </c>
      <c r="J521" t="s">
        <v>33388</v>
      </c>
      <c r="K521" t="s">
        <v>42729</v>
      </c>
      <c r="M521" t="s">
        <v>43270</v>
      </c>
      <c r="N521" t="s">
        <v>47424</v>
      </c>
      <c r="O521" t="s">
        <v>47425</v>
      </c>
      <c r="P521">
        <v>0</v>
      </c>
      <c r="Q521">
        <v>2</v>
      </c>
      <c r="R521" t="s">
        <v>47426</v>
      </c>
      <c r="S521" t="s">
        <v>47531</v>
      </c>
      <c r="T521" t="s">
        <v>49167</v>
      </c>
      <c r="U521" t="s">
        <v>50125</v>
      </c>
      <c r="W521" t="s">
        <v>43270</v>
      </c>
      <c r="X521" t="s">
        <v>47430</v>
      </c>
    </row>
    <row r="522" spans="1:24">
      <c r="A522">
        <f>HYPERLINK("https://www.philgeps.gov.ph/GEPSNONPILOT/Tender/SplashBidNoticeAbstractUI.aspx?menuIndex=3&amp;refID=7163473&amp;Result=3","7163473")</f>
        <v>0</v>
      </c>
      <c r="B522" t="s">
        <v>263</v>
      </c>
      <c r="C522" t="s">
        <v>4434</v>
      </c>
      <c r="D522" t="s">
        <v>19083</v>
      </c>
      <c r="E522" t="s">
        <v>19611</v>
      </c>
      <c r="F522" t="s">
        <v>32831</v>
      </c>
      <c r="G522" t="s">
        <v>32839</v>
      </c>
      <c r="H522" t="s">
        <v>32848</v>
      </c>
      <c r="I522" t="s">
        <v>7416</v>
      </c>
      <c r="J522" t="s">
        <v>33389</v>
      </c>
      <c r="K522" t="s">
        <v>42745</v>
      </c>
      <c r="M522" t="s">
        <v>43262</v>
      </c>
      <c r="N522" t="s">
        <v>47424</v>
      </c>
      <c r="O522" t="s">
        <v>47425</v>
      </c>
      <c r="P522">
        <v>0</v>
      </c>
      <c r="Q522">
        <v>0</v>
      </c>
      <c r="R522" t="s">
        <v>47426</v>
      </c>
      <c r="S522" t="s">
        <v>47531</v>
      </c>
      <c r="T522" t="s">
        <v>49059</v>
      </c>
      <c r="U522" t="s">
        <v>50126</v>
      </c>
      <c r="W522" t="s">
        <v>43262</v>
      </c>
      <c r="X522" t="s">
        <v>47430</v>
      </c>
    </row>
    <row r="523" spans="1:24">
      <c r="A523">
        <f>HYPERLINK("https://www.philgeps.gov.ph/GEPSNONPILOT/Tender/SplashBidNoticeAbstractUI.aspx?menuIndex=3&amp;refID=7163337&amp;Result=3","7163337")</f>
        <v>0</v>
      </c>
      <c r="B523" t="s">
        <v>262</v>
      </c>
      <c r="C523" t="s">
        <v>4413</v>
      </c>
      <c r="D523" t="s">
        <v>19049</v>
      </c>
      <c r="E523" t="s">
        <v>19612</v>
      </c>
      <c r="F523" t="s">
        <v>32831</v>
      </c>
      <c r="G523" t="s">
        <v>32838</v>
      </c>
      <c r="H523" t="s">
        <v>32848</v>
      </c>
      <c r="I523" t="s">
        <v>7416</v>
      </c>
      <c r="J523" t="s">
        <v>33390</v>
      </c>
      <c r="K523" t="s">
        <v>42726</v>
      </c>
      <c r="M523" t="s">
        <v>43261</v>
      </c>
      <c r="N523" t="s">
        <v>47424</v>
      </c>
      <c r="O523" t="s">
        <v>47425</v>
      </c>
      <c r="P523">
        <v>0</v>
      </c>
      <c r="Q523">
        <v>0</v>
      </c>
      <c r="R523" t="s">
        <v>47426</v>
      </c>
      <c r="S523" t="s">
        <v>47531</v>
      </c>
      <c r="T523" t="s">
        <v>49168</v>
      </c>
      <c r="U523" t="s">
        <v>50127</v>
      </c>
      <c r="W523" t="s">
        <v>43261</v>
      </c>
      <c r="X523" t="s">
        <v>47430</v>
      </c>
    </row>
    <row r="524" spans="1:24">
      <c r="A524">
        <f>HYPERLINK("https://www.philgeps.gov.ph/GEPSNONPILOT/Tender/SplashBidNoticeAbstractUI.aspx?menuIndex=3&amp;refID=7163415&amp;Result=3","7163415")</f>
        <v>0</v>
      </c>
      <c r="B524" t="s">
        <v>104</v>
      </c>
      <c r="C524" t="s">
        <v>4435</v>
      </c>
      <c r="D524" t="s">
        <v>19048</v>
      </c>
      <c r="E524" t="s">
        <v>19613</v>
      </c>
      <c r="F524" t="s">
        <v>32831</v>
      </c>
      <c r="G524" t="s">
        <v>32840</v>
      </c>
      <c r="H524" t="s">
        <v>32848</v>
      </c>
      <c r="I524" t="s">
        <v>4435</v>
      </c>
      <c r="J524" t="s">
        <v>33178</v>
      </c>
      <c r="K524" t="s">
        <v>42730</v>
      </c>
      <c r="M524" t="s">
        <v>43101</v>
      </c>
      <c r="N524" t="s">
        <v>47424</v>
      </c>
      <c r="O524" t="s">
        <v>47425</v>
      </c>
      <c r="P524">
        <v>0</v>
      </c>
      <c r="Q524">
        <v>2</v>
      </c>
      <c r="R524" t="s">
        <v>47426</v>
      </c>
      <c r="S524" t="s">
        <v>47531</v>
      </c>
      <c r="T524" t="s">
        <v>49116</v>
      </c>
      <c r="U524" t="s">
        <v>50128</v>
      </c>
      <c r="W524" t="s">
        <v>43101</v>
      </c>
      <c r="X524" t="s">
        <v>47430</v>
      </c>
    </row>
    <row r="525" spans="1:24">
      <c r="A525">
        <f>HYPERLINK("https://www.philgeps.gov.ph/GEPSNONPILOT/Tender/SplashBidNoticeAbstractUI.aspx?menuIndex=3&amp;refID=7163467&amp;Result=3","7163467")</f>
        <v>0</v>
      </c>
      <c r="B525" t="s">
        <v>248</v>
      </c>
      <c r="C525" t="s">
        <v>4436</v>
      </c>
      <c r="D525" t="s">
        <v>19038</v>
      </c>
      <c r="E525" t="s">
        <v>19614</v>
      </c>
      <c r="F525" t="s">
        <v>32831</v>
      </c>
      <c r="G525" t="s">
        <v>32839</v>
      </c>
      <c r="H525" t="s">
        <v>32848</v>
      </c>
      <c r="I525" t="s">
        <v>4776</v>
      </c>
      <c r="J525" t="s">
        <v>33391</v>
      </c>
      <c r="K525" t="s">
        <v>42742</v>
      </c>
      <c r="M525" t="s">
        <v>43247</v>
      </c>
      <c r="N525" t="s">
        <v>47424</v>
      </c>
      <c r="O525" t="s">
        <v>47425</v>
      </c>
      <c r="P525">
        <v>0</v>
      </c>
      <c r="Q525">
        <v>0</v>
      </c>
      <c r="R525" t="s">
        <v>47426</v>
      </c>
      <c r="S525" t="s">
        <v>47531</v>
      </c>
      <c r="T525" t="s">
        <v>49069</v>
      </c>
      <c r="U525" t="s">
        <v>50129</v>
      </c>
      <c r="W525" t="s">
        <v>64434</v>
      </c>
      <c r="X525" t="s">
        <v>47430</v>
      </c>
    </row>
    <row r="526" spans="1:24">
      <c r="A526">
        <f>HYPERLINK("https://www.philgeps.gov.ph/GEPSNONPILOT/Tender/SplashBidNoticeAbstractUI.aspx?menuIndex=3&amp;refID=7163478&amp;Result=3","7163478")</f>
        <v>0</v>
      </c>
      <c r="B526" t="s">
        <v>271</v>
      </c>
      <c r="C526" t="s">
        <v>4437</v>
      </c>
      <c r="D526" t="s">
        <v>19037</v>
      </c>
      <c r="E526" t="s">
        <v>19615</v>
      </c>
      <c r="F526" t="s">
        <v>32831</v>
      </c>
      <c r="G526" t="s">
        <v>32842</v>
      </c>
      <c r="H526" t="s">
        <v>32848</v>
      </c>
      <c r="I526" t="s">
        <v>4340</v>
      </c>
      <c r="J526" t="s">
        <v>33392</v>
      </c>
      <c r="K526" t="s">
        <v>42727</v>
      </c>
      <c r="M526" t="s">
        <v>43270</v>
      </c>
      <c r="N526" t="s">
        <v>47424</v>
      </c>
      <c r="O526" t="s">
        <v>47425</v>
      </c>
      <c r="P526">
        <v>0</v>
      </c>
      <c r="Q526">
        <v>1</v>
      </c>
      <c r="R526" t="s">
        <v>47426</v>
      </c>
      <c r="S526" t="s">
        <v>47531</v>
      </c>
      <c r="T526" t="s">
        <v>49167</v>
      </c>
      <c r="U526" t="s">
        <v>50130</v>
      </c>
      <c r="W526" t="s">
        <v>43270</v>
      </c>
      <c r="X526" t="s">
        <v>47430</v>
      </c>
    </row>
    <row r="527" spans="1:24">
      <c r="A527">
        <f>HYPERLINK("https://www.philgeps.gov.ph/GEPSNONPILOT/Tender/SplashBidNoticeAbstractUI.aspx?menuIndex=3&amp;refID=7163461&amp;Result=3","7163461")</f>
        <v>0</v>
      </c>
      <c r="B527" t="s">
        <v>104</v>
      </c>
      <c r="C527" t="s">
        <v>4438</v>
      </c>
      <c r="D527" t="s">
        <v>19048</v>
      </c>
      <c r="E527" t="s">
        <v>19616</v>
      </c>
      <c r="F527" t="s">
        <v>32831</v>
      </c>
      <c r="G527" t="s">
        <v>32840</v>
      </c>
      <c r="H527" t="s">
        <v>32848</v>
      </c>
      <c r="I527" t="s">
        <v>4438</v>
      </c>
      <c r="J527" t="s">
        <v>32985</v>
      </c>
      <c r="K527" t="s">
        <v>42730</v>
      </c>
      <c r="M527" t="s">
        <v>43101</v>
      </c>
      <c r="N527" t="s">
        <v>47424</v>
      </c>
      <c r="O527" t="s">
        <v>47425</v>
      </c>
      <c r="P527">
        <v>0</v>
      </c>
      <c r="Q527">
        <v>3</v>
      </c>
      <c r="R527" t="s">
        <v>47426</v>
      </c>
      <c r="S527" t="s">
        <v>47531</v>
      </c>
      <c r="T527" t="s">
        <v>49116</v>
      </c>
      <c r="U527" t="s">
        <v>50131</v>
      </c>
      <c r="W527" t="s">
        <v>43101</v>
      </c>
      <c r="X527" t="s">
        <v>47430</v>
      </c>
    </row>
    <row r="528" spans="1:24">
      <c r="A528">
        <f>HYPERLINK("https://www.philgeps.gov.ph/GEPSNONPILOT/Tender/SplashBidNoticeAbstractUI.aspx?menuIndex=3&amp;refID=7163451&amp;Result=3","7163451")</f>
        <v>0</v>
      </c>
      <c r="B528" t="s">
        <v>228</v>
      </c>
      <c r="C528" t="s">
        <v>4439</v>
      </c>
      <c r="D528" t="s">
        <v>19033</v>
      </c>
      <c r="E528" t="s">
        <v>19617</v>
      </c>
      <c r="F528" t="s">
        <v>32831</v>
      </c>
      <c r="G528" t="s">
        <v>32838</v>
      </c>
      <c r="H528" t="s">
        <v>32848</v>
      </c>
      <c r="I528" t="s">
        <v>4438</v>
      </c>
      <c r="J528" t="s">
        <v>33393</v>
      </c>
      <c r="K528" t="s">
        <v>42727</v>
      </c>
      <c r="M528" t="s">
        <v>43227</v>
      </c>
      <c r="N528" t="s">
        <v>47424</v>
      </c>
      <c r="O528" t="s">
        <v>47425</v>
      </c>
      <c r="P528">
        <v>0</v>
      </c>
      <c r="Q528">
        <v>1</v>
      </c>
      <c r="R528" t="s">
        <v>47426</v>
      </c>
      <c r="S528" t="s">
        <v>47531</v>
      </c>
      <c r="T528" t="s">
        <v>49089</v>
      </c>
      <c r="U528" t="s">
        <v>50132</v>
      </c>
      <c r="W528" t="s">
        <v>43227</v>
      </c>
      <c r="X528" t="s">
        <v>47430</v>
      </c>
    </row>
    <row r="529" spans="1:24">
      <c r="A529">
        <f>HYPERLINK("https://www.philgeps.gov.ph/GEPSNONPILOT/Tender/SplashBidNoticeAbstractUI.aspx?menuIndex=3&amp;refID=7163462&amp;Result=3","7163462")</f>
        <v>0</v>
      </c>
      <c r="B529" t="s">
        <v>271</v>
      </c>
      <c r="C529" t="s">
        <v>4440</v>
      </c>
      <c r="D529" t="s">
        <v>19037</v>
      </c>
      <c r="E529" t="s">
        <v>19618</v>
      </c>
      <c r="F529" t="s">
        <v>32831</v>
      </c>
      <c r="G529" t="s">
        <v>32842</v>
      </c>
      <c r="H529" t="s">
        <v>32848</v>
      </c>
      <c r="I529" t="s">
        <v>10805</v>
      </c>
      <c r="J529" t="s">
        <v>33394</v>
      </c>
      <c r="K529" t="s">
        <v>42730</v>
      </c>
      <c r="M529" t="s">
        <v>43270</v>
      </c>
      <c r="N529" t="s">
        <v>47424</v>
      </c>
      <c r="O529" t="s">
        <v>47425</v>
      </c>
      <c r="P529">
        <v>0</v>
      </c>
      <c r="Q529">
        <v>3</v>
      </c>
      <c r="R529" t="s">
        <v>47426</v>
      </c>
      <c r="S529" t="s">
        <v>47531</v>
      </c>
      <c r="T529" t="s">
        <v>49167</v>
      </c>
      <c r="U529" t="s">
        <v>50133</v>
      </c>
      <c r="W529" t="s">
        <v>43270</v>
      </c>
      <c r="X529" t="s">
        <v>47430</v>
      </c>
    </row>
    <row r="530" spans="1:24">
      <c r="A530">
        <f>HYPERLINK("https://www.philgeps.gov.ph/GEPSNONPILOT/Tender/SplashBidNoticeAbstractUI.aspx?menuIndex=3&amp;refID=7163459&amp;Result=3","7163459")</f>
        <v>0</v>
      </c>
      <c r="B530" t="s">
        <v>266</v>
      </c>
      <c r="C530" t="s">
        <v>4441</v>
      </c>
      <c r="E530" t="s">
        <v>19619</v>
      </c>
      <c r="F530" t="s">
        <v>32831</v>
      </c>
      <c r="G530" t="s">
        <v>32838</v>
      </c>
      <c r="H530" t="s">
        <v>32848</v>
      </c>
      <c r="I530" t="s">
        <v>32883</v>
      </c>
      <c r="J530" t="s">
        <v>33241</v>
      </c>
      <c r="K530" t="s">
        <v>42727</v>
      </c>
      <c r="M530" t="s">
        <v>43265</v>
      </c>
      <c r="N530" t="s">
        <v>47424</v>
      </c>
      <c r="O530" t="s">
        <v>47425</v>
      </c>
      <c r="Q530">
        <v>3</v>
      </c>
      <c r="R530" t="s">
        <v>47426</v>
      </c>
      <c r="S530" t="s">
        <v>47534</v>
      </c>
      <c r="T530" t="s">
        <v>49056</v>
      </c>
      <c r="U530" t="s">
        <v>50134</v>
      </c>
      <c r="W530" t="s">
        <v>43265</v>
      </c>
      <c r="X530" t="s">
        <v>47430</v>
      </c>
    </row>
    <row r="531" spans="1:24">
      <c r="A531">
        <f>HYPERLINK("https://www.philgeps.gov.ph/GEPSNONPILOT/Tender/SplashBidNoticeAbstractUI.aspx?menuIndex=3&amp;refID=7163590&amp;Result=3","7163590")</f>
        <v>0</v>
      </c>
      <c r="B531" t="s">
        <v>272</v>
      </c>
      <c r="C531" t="s">
        <v>4442</v>
      </c>
      <c r="D531" t="s">
        <v>19077</v>
      </c>
      <c r="E531" t="s">
        <v>19620</v>
      </c>
      <c r="F531" t="s">
        <v>32831</v>
      </c>
      <c r="G531" t="s">
        <v>32838</v>
      </c>
      <c r="H531" t="s">
        <v>32848</v>
      </c>
      <c r="I531" t="s">
        <v>4438</v>
      </c>
      <c r="J531" t="s">
        <v>33395</v>
      </c>
      <c r="K531" t="s">
        <v>42732</v>
      </c>
      <c r="M531" t="s">
        <v>43271</v>
      </c>
      <c r="N531" t="s">
        <v>47424</v>
      </c>
      <c r="O531" t="s">
        <v>47425</v>
      </c>
      <c r="P531">
        <v>0</v>
      </c>
      <c r="Q531">
        <v>0</v>
      </c>
      <c r="R531" t="s">
        <v>47426</v>
      </c>
      <c r="S531" t="s">
        <v>47531</v>
      </c>
      <c r="T531" t="s">
        <v>49100</v>
      </c>
      <c r="U531" t="s">
        <v>50135</v>
      </c>
      <c r="W531" t="s">
        <v>43271</v>
      </c>
      <c r="X531" t="s">
        <v>47430</v>
      </c>
    </row>
    <row r="532" spans="1:24">
      <c r="A532">
        <f>HYPERLINK("https://www.philgeps.gov.ph/GEPSNONPILOT/Tender/SplashBidNoticeAbstractUI.aspx?menuIndex=3&amp;refID=7163585&amp;Result=3","7163585")</f>
        <v>0</v>
      </c>
      <c r="B532" t="s">
        <v>273</v>
      </c>
      <c r="C532" t="s">
        <v>4443</v>
      </c>
      <c r="D532" t="s">
        <v>19060</v>
      </c>
      <c r="E532" t="s">
        <v>19621</v>
      </c>
      <c r="F532" t="s">
        <v>32831</v>
      </c>
      <c r="G532" t="s">
        <v>32838</v>
      </c>
      <c r="H532" t="s">
        <v>32848</v>
      </c>
      <c r="I532" t="s">
        <v>32853</v>
      </c>
      <c r="J532" t="s">
        <v>33396</v>
      </c>
      <c r="K532" t="s">
        <v>42727</v>
      </c>
      <c r="M532" t="s">
        <v>43272</v>
      </c>
      <c r="N532" t="s">
        <v>47424</v>
      </c>
      <c r="O532" t="s">
        <v>47425</v>
      </c>
      <c r="P532">
        <v>0</v>
      </c>
      <c r="Q532">
        <v>0</v>
      </c>
      <c r="R532" t="s">
        <v>47426</v>
      </c>
      <c r="S532" t="s">
        <v>47531</v>
      </c>
      <c r="T532" t="s">
        <v>49108</v>
      </c>
      <c r="U532" t="s">
        <v>50136</v>
      </c>
      <c r="V532" t="s">
        <v>62674</v>
      </c>
      <c r="W532" t="s">
        <v>43272</v>
      </c>
      <c r="X532" t="s">
        <v>47430</v>
      </c>
    </row>
    <row r="533" spans="1:24">
      <c r="A533">
        <f>HYPERLINK("https://www.philgeps.gov.ph/GEPSNONPILOT/Tender/SplashBidNoticeAbstractUI.aspx?menuIndex=3&amp;refID=7163571&amp;Result=3","7163571")</f>
        <v>0</v>
      </c>
      <c r="B533" t="s">
        <v>219</v>
      </c>
      <c r="C533" t="s">
        <v>4444</v>
      </c>
      <c r="D533" t="s">
        <v>19017</v>
      </c>
      <c r="E533" t="s">
        <v>19622</v>
      </c>
      <c r="F533" t="s">
        <v>32831</v>
      </c>
      <c r="G533" t="s">
        <v>32840</v>
      </c>
      <c r="H533" t="s">
        <v>32848</v>
      </c>
      <c r="I533" t="s">
        <v>4340</v>
      </c>
      <c r="J533" t="s">
        <v>32976</v>
      </c>
      <c r="K533" t="s">
        <v>42748</v>
      </c>
      <c r="M533" t="s">
        <v>43217</v>
      </c>
      <c r="N533" t="s">
        <v>47424</v>
      </c>
      <c r="O533" t="s">
        <v>47425</v>
      </c>
      <c r="P533">
        <v>0</v>
      </c>
      <c r="Q533">
        <v>5</v>
      </c>
      <c r="R533" t="s">
        <v>47426</v>
      </c>
      <c r="S533" t="s">
        <v>47531</v>
      </c>
      <c r="T533" t="s">
        <v>49141</v>
      </c>
      <c r="U533" t="s">
        <v>50137</v>
      </c>
      <c r="W533" t="s">
        <v>43217</v>
      </c>
      <c r="X533" t="s">
        <v>47430</v>
      </c>
    </row>
    <row r="534" spans="1:24">
      <c r="A534">
        <f>HYPERLINK("https://www.philgeps.gov.ph/GEPSNONPILOT/Tender/SplashBidNoticeAbstractUI.aspx?menuIndex=3&amp;refID=7163471&amp;Result=3","7163471")</f>
        <v>0</v>
      </c>
      <c r="B534" t="s">
        <v>274</v>
      </c>
      <c r="C534" t="s">
        <v>4445</v>
      </c>
      <c r="D534" t="s">
        <v>19035</v>
      </c>
      <c r="E534" t="s">
        <v>19351</v>
      </c>
      <c r="F534" t="s">
        <v>32831</v>
      </c>
      <c r="G534" t="s">
        <v>32842</v>
      </c>
      <c r="H534" t="s">
        <v>32848</v>
      </c>
      <c r="I534" t="s">
        <v>4438</v>
      </c>
      <c r="J534" t="s">
        <v>33397</v>
      </c>
      <c r="K534" t="s">
        <v>42758</v>
      </c>
      <c r="M534" t="s">
        <v>43273</v>
      </c>
      <c r="N534" t="s">
        <v>47424</v>
      </c>
      <c r="O534" t="s">
        <v>47425</v>
      </c>
      <c r="P534">
        <v>0</v>
      </c>
      <c r="Q534">
        <v>1</v>
      </c>
      <c r="R534" t="s">
        <v>47426</v>
      </c>
      <c r="S534" t="s">
        <v>47531</v>
      </c>
      <c r="T534" t="s">
        <v>49079</v>
      </c>
      <c r="U534" t="s">
        <v>50138</v>
      </c>
      <c r="V534" t="s">
        <v>62675</v>
      </c>
      <c r="W534" t="s">
        <v>43273</v>
      </c>
      <c r="X534" t="s">
        <v>47430</v>
      </c>
    </row>
    <row r="535" spans="1:24">
      <c r="A535">
        <f>HYPERLINK("https://www.philgeps.gov.ph/GEPSNONPILOT/Tender/SplashBidNoticeAbstractUI.aspx?menuIndex=3&amp;refID=7163544&amp;Result=3","7163544")</f>
        <v>0</v>
      </c>
      <c r="B535" t="s">
        <v>104</v>
      </c>
      <c r="C535" t="s">
        <v>4446</v>
      </c>
      <c r="D535" t="s">
        <v>19048</v>
      </c>
      <c r="E535" t="s">
        <v>19623</v>
      </c>
      <c r="F535" t="s">
        <v>32831</v>
      </c>
      <c r="G535" t="s">
        <v>32840</v>
      </c>
      <c r="H535" t="s">
        <v>32848</v>
      </c>
      <c r="I535" t="s">
        <v>4446</v>
      </c>
      <c r="J535" t="s">
        <v>33184</v>
      </c>
      <c r="K535" t="s">
        <v>42730</v>
      </c>
      <c r="M535" t="s">
        <v>43101</v>
      </c>
      <c r="N535" t="s">
        <v>47424</v>
      </c>
      <c r="O535" t="s">
        <v>47425</v>
      </c>
      <c r="P535">
        <v>0</v>
      </c>
      <c r="Q535">
        <v>2</v>
      </c>
      <c r="R535" t="s">
        <v>47426</v>
      </c>
      <c r="S535" t="s">
        <v>47531</v>
      </c>
      <c r="T535" t="s">
        <v>49116</v>
      </c>
      <c r="U535" t="s">
        <v>50139</v>
      </c>
      <c r="W535" t="s">
        <v>43101</v>
      </c>
      <c r="X535" t="s">
        <v>47430</v>
      </c>
    </row>
    <row r="536" spans="1:24">
      <c r="A536">
        <f>HYPERLINK("https://www.philgeps.gov.ph/GEPSNONPILOT/Tender/SplashBidNoticeAbstractUI.aspx?menuIndex=3&amp;refID=7163539&amp;Result=3","7163539")</f>
        <v>0</v>
      </c>
      <c r="B536" t="s">
        <v>275</v>
      </c>
      <c r="C536" t="s">
        <v>4447</v>
      </c>
      <c r="E536" t="s">
        <v>19624</v>
      </c>
      <c r="F536" t="s">
        <v>32831</v>
      </c>
      <c r="G536" t="s">
        <v>32839</v>
      </c>
      <c r="H536" t="s">
        <v>32849</v>
      </c>
      <c r="I536" t="s">
        <v>4177</v>
      </c>
      <c r="J536" t="s">
        <v>32985</v>
      </c>
      <c r="K536" t="s">
        <v>42752</v>
      </c>
      <c r="M536" t="s">
        <v>43274</v>
      </c>
      <c r="N536" t="s">
        <v>47424</v>
      </c>
      <c r="O536" t="s">
        <v>47425</v>
      </c>
      <c r="P536">
        <v>0</v>
      </c>
      <c r="Q536">
        <v>1</v>
      </c>
      <c r="R536" t="s">
        <v>47426</v>
      </c>
      <c r="S536" t="s">
        <v>47531</v>
      </c>
      <c r="T536" t="s">
        <v>49057</v>
      </c>
      <c r="U536" t="s">
        <v>50140</v>
      </c>
      <c r="W536" t="s">
        <v>43274</v>
      </c>
      <c r="X536" t="s">
        <v>47430</v>
      </c>
    </row>
    <row r="537" spans="1:24">
      <c r="A537">
        <f>HYPERLINK("https://www.philgeps.gov.ph/GEPSNONPILOT/Tender/SplashBidNoticeAbstractUI.aspx?menuIndex=3&amp;refID=7163532&amp;Result=3","7163532")</f>
        <v>0</v>
      </c>
      <c r="B537" t="s">
        <v>276</v>
      </c>
      <c r="C537" t="s">
        <v>4448</v>
      </c>
      <c r="D537" t="s">
        <v>19043</v>
      </c>
      <c r="E537" t="s">
        <v>19625</v>
      </c>
      <c r="F537" t="s">
        <v>32831</v>
      </c>
      <c r="G537" t="s">
        <v>32840</v>
      </c>
      <c r="H537" t="s">
        <v>32848</v>
      </c>
      <c r="I537" t="s">
        <v>4558</v>
      </c>
      <c r="J537" t="s">
        <v>33398</v>
      </c>
      <c r="K537" t="s">
        <v>42732</v>
      </c>
      <c r="M537" t="s">
        <v>43275</v>
      </c>
      <c r="N537" t="s">
        <v>47424</v>
      </c>
      <c r="O537" t="s">
        <v>47425</v>
      </c>
      <c r="P537">
        <v>0</v>
      </c>
      <c r="Q537">
        <v>19</v>
      </c>
      <c r="R537" t="s">
        <v>47426</v>
      </c>
      <c r="S537" t="s">
        <v>47531</v>
      </c>
      <c r="T537" t="s">
        <v>49169</v>
      </c>
      <c r="U537" t="s">
        <v>50141</v>
      </c>
      <c r="W537" t="s">
        <v>43275</v>
      </c>
      <c r="X537" t="s">
        <v>47430</v>
      </c>
    </row>
    <row r="538" spans="1:24">
      <c r="A538">
        <f>HYPERLINK("https://www.philgeps.gov.ph/GEPSNONPILOT/Tender/SplashBidNoticeAbstractUI.aspx?menuIndex=3&amp;refID=7163528&amp;Result=3","7163528")</f>
        <v>0</v>
      </c>
      <c r="B538" t="s">
        <v>104</v>
      </c>
      <c r="C538" t="s">
        <v>4438</v>
      </c>
      <c r="D538" t="s">
        <v>19048</v>
      </c>
      <c r="E538" t="s">
        <v>19626</v>
      </c>
      <c r="F538" t="s">
        <v>32831</v>
      </c>
      <c r="G538" t="s">
        <v>32840</v>
      </c>
      <c r="H538" t="s">
        <v>32848</v>
      </c>
      <c r="I538" t="s">
        <v>4438</v>
      </c>
      <c r="J538" t="s">
        <v>33399</v>
      </c>
      <c r="K538" t="s">
        <v>42730</v>
      </c>
      <c r="M538" t="s">
        <v>43101</v>
      </c>
      <c r="N538" t="s">
        <v>47424</v>
      </c>
      <c r="O538" t="s">
        <v>47425</v>
      </c>
      <c r="P538">
        <v>0</v>
      </c>
      <c r="Q538">
        <v>0</v>
      </c>
      <c r="R538" t="s">
        <v>47426</v>
      </c>
      <c r="S538" t="s">
        <v>47531</v>
      </c>
      <c r="T538" t="s">
        <v>49116</v>
      </c>
      <c r="U538" t="s">
        <v>50142</v>
      </c>
      <c r="W538" t="s">
        <v>43101</v>
      </c>
      <c r="X538" t="s">
        <v>47430</v>
      </c>
    </row>
    <row r="539" spans="1:24">
      <c r="A539">
        <f>HYPERLINK("https://www.philgeps.gov.ph/GEPSNONPILOT/Tender/SplashBidNoticeAbstractUI.aspx?menuIndex=3&amp;refID=7163573&amp;Result=3","7163573")</f>
        <v>0</v>
      </c>
      <c r="B539" t="s">
        <v>277</v>
      </c>
      <c r="C539" t="s">
        <v>4449</v>
      </c>
      <c r="D539" t="s">
        <v>19068</v>
      </c>
      <c r="E539" t="s">
        <v>19627</v>
      </c>
      <c r="F539" t="s">
        <v>32831</v>
      </c>
      <c r="G539" t="s">
        <v>32840</v>
      </c>
      <c r="H539" t="s">
        <v>32848</v>
      </c>
      <c r="I539" t="s">
        <v>9577</v>
      </c>
      <c r="J539" t="s">
        <v>33400</v>
      </c>
      <c r="K539" t="s">
        <v>42727</v>
      </c>
      <c r="M539" t="s">
        <v>43276</v>
      </c>
      <c r="N539" t="s">
        <v>47424</v>
      </c>
      <c r="O539" t="s">
        <v>47425</v>
      </c>
      <c r="P539">
        <v>0</v>
      </c>
      <c r="Q539">
        <v>0</v>
      </c>
      <c r="R539" t="s">
        <v>47426</v>
      </c>
      <c r="S539" t="s">
        <v>47531</v>
      </c>
      <c r="T539" t="s">
        <v>49056</v>
      </c>
      <c r="U539" t="s">
        <v>50143</v>
      </c>
      <c r="W539" t="s">
        <v>43276</v>
      </c>
      <c r="X539" t="s">
        <v>47430</v>
      </c>
    </row>
    <row r="540" spans="1:24">
      <c r="A540">
        <f>HYPERLINK("https://www.philgeps.gov.ph/GEPSNONPILOT/Tender/SplashBidNoticeAbstractUI.aspx?menuIndex=3&amp;refID=7163524&amp;Result=3","7163524")</f>
        <v>0</v>
      </c>
      <c r="B540" t="s">
        <v>256</v>
      </c>
      <c r="C540" t="s">
        <v>4450</v>
      </c>
      <c r="D540" t="s">
        <v>19017</v>
      </c>
      <c r="E540" t="s">
        <v>4450</v>
      </c>
      <c r="F540" t="s">
        <v>32831</v>
      </c>
      <c r="G540" t="s">
        <v>32838</v>
      </c>
      <c r="H540" t="s">
        <v>32848</v>
      </c>
      <c r="I540" t="s">
        <v>32861</v>
      </c>
      <c r="J540" t="s">
        <v>33401</v>
      </c>
      <c r="K540" t="s">
        <v>42732</v>
      </c>
      <c r="M540" t="s">
        <v>43255</v>
      </c>
      <c r="N540" t="s">
        <v>47424</v>
      </c>
      <c r="O540" t="s">
        <v>47425</v>
      </c>
      <c r="P540">
        <v>0</v>
      </c>
      <c r="Q540">
        <v>7</v>
      </c>
      <c r="R540" t="s">
        <v>47426</v>
      </c>
      <c r="S540" t="s">
        <v>47531</v>
      </c>
      <c r="T540" t="s">
        <v>49061</v>
      </c>
      <c r="U540" t="s">
        <v>50097</v>
      </c>
      <c r="W540" t="s">
        <v>43255</v>
      </c>
      <c r="X540" t="s">
        <v>47430</v>
      </c>
    </row>
    <row r="541" spans="1:24">
      <c r="A541">
        <f>HYPERLINK("https://www.philgeps.gov.ph/GEPSNONPILOT/Tender/SplashBidNoticeAbstractUI.aspx?menuIndex=3&amp;refID=7163479&amp;Result=3","7163479")</f>
        <v>0</v>
      </c>
      <c r="B541" t="s">
        <v>278</v>
      </c>
      <c r="C541" t="s">
        <v>4451</v>
      </c>
      <c r="D541" t="s">
        <v>19034</v>
      </c>
      <c r="E541" t="s">
        <v>19628</v>
      </c>
      <c r="F541" t="s">
        <v>32831</v>
      </c>
      <c r="G541" t="s">
        <v>32838</v>
      </c>
      <c r="H541" t="s">
        <v>32848</v>
      </c>
      <c r="I541" t="s">
        <v>14069</v>
      </c>
      <c r="J541" t="s">
        <v>33402</v>
      </c>
      <c r="K541" t="s">
        <v>42732</v>
      </c>
      <c r="M541" t="s">
        <v>43277</v>
      </c>
      <c r="N541" t="s">
        <v>47424</v>
      </c>
      <c r="O541" t="s">
        <v>47425</v>
      </c>
      <c r="P541">
        <v>0</v>
      </c>
      <c r="Q541">
        <v>1</v>
      </c>
      <c r="R541" t="s">
        <v>47426</v>
      </c>
      <c r="S541" t="s">
        <v>47531</v>
      </c>
      <c r="T541" t="s">
        <v>49100</v>
      </c>
      <c r="U541" t="s">
        <v>50144</v>
      </c>
      <c r="W541" t="s">
        <v>43277</v>
      </c>
      <c r="X541" t="s">
        <v>47430</v>
      </c>
    </row>
    <row r="542" spans="1:24">
      <c r="A542">
        <f>HYPERLINK("https://www.philgeps.gov.ph/GEPSNONPILOT/Tender/SplashBidNoticeAbstractUI.aspx?menuIndex=3&amp;refID=7163536&amp;Result=3","7163536")</f>
        <v>0</v>
      </c>
      <c r="B542" t="s">
        <v>279</v>
      </c>
      <c r="C542" t="s">
        <v>4452</v>
      </c>
      <c r="D542" t="s">
        <v>19064</v>
      </c>
      <c r="E542" t="s">
        <v>19629</v>
      </c>
      <c r="F542" t="s">
        <v>32831</v>
      </c>
      <c r="G542" t="s">
        <v>32839</v>
      </c>
      <c r="H542" t="s">
        <v>32848</v>
      </c>
      <c r="I542" t="s">
        <v>32855</v>
      </c>
      <c r="J542" t="s">
        <v>33403</v>
      </c>
      <c r="K542" t="s">
        <v>42727</v>
      </c>
      <c r="M542" t="s">
        <v>43278</v>
      </c>
      <c r="N542" t="s">
        <v>47424</v>
      </c>
      <c r="O542" t="s">
        <v>47425</v>
      </c>
      <c r="P542">
        <v>0</v>
      </c>
      <c r="Q542">
        <v>1</v>
      </c>
      <c r="R542" t="s">
        <v>47426</v>
      </c>
      <c r="S542" t="s">
        <v>47531</v>
      </c>
      <c r="T542" t="s">
        <v>49170</v>
      </c>
      <c r="U542" t="s">
        <v>50145</v>
      </c>
      <c r="W542" t="s">
        <v>43278</v>
      </c>
      <c r="X542" t="s">
        <v>47430</v>
      </c>
    </row>
    <row r="543" spans="1:24">
      <c r="A543">
        <f>HYPERLINK("https://www.philgeps.gov.ph/GEPSNONPILOT/Tender/SplashBidNoticeAbstractUI.aspx?menuIndex=3&amp;refID=7163672&amp;Result=3","7163672")</f>
        <v>0</v>
      </c>
      <c r="B543" t="s">
        <v>280</v>
      </c>
      <c r="C543" t="s">
        <v>4453</v>
      </c>
      <c r="D543" t="s">
        <v>19044</v>
      </c>
      <c r="E543" t="s">
        <v>19630</v>
      </c>
      <c r="F543" t="s">
        <v>32831</v>
      </c>
      <c r="G543" t="s">
        <v>32838</v>
      </c>
      <c r="H543" t="s">
        <v>32849</v>
      </c>
      <c r="I543" t="s">
        <v>4177</v>
      </c>
      <c r="J543" t="s">
        <v>33404</v>
      </c>
      <c r="K543" t="s">
        <v>42727</v>
      </c>
      <c r="M543" t="s">
        <v>43279</v>
      </c>
      <c r="N543" t="s">
        <v>47424</v>
      </c>
      <c r="O543" t="s">
        <v>47425</v>
      </c>
      <c r="P543">
        <v>0</v>
      </c>
      <c r="Q543">
        <v>0</v>
      </c>
      <c r="R543" t="s">
        <v>47426</v>
      </c>
      <c r="S543" t="s">
        <v>47531</v>
      </c>
      <c r="T543" t="s">
        <v>49089</v>
      </c>
      <c r="U543" t="s">
        <v>50146</v>
      </c>
      <c r="W543" t="s">
        <v>43279</v>
      </c>
      <c r="X543" t="s">
        <v>47430</v>
      </c>
    </row>
    <row r="544" spans="1:24">
      <c r="A544">
        <f>HYPERLINK("https://www.philgeps.gov.ph/GEPSNONPILOT/Tender/SplashBidNoticeAbstractUI.aspx?menuIndex=3&amp;refID=7163578&amp;Result=3","7163578")</f>
        <v>0</v>
      </c>
      <c r="B544" t="s">
        <v>142</v>
      </c>
      <c r="C544" t="s">
        <v>4454</v>
      </c>
      <c r="D544" t="s">
        <v>19021</v>
      </c>
      <c r="E544" t="s">
        <v>19631</v>
      </c>
      <c r="F544" t="s">
        <v>32831</v>
      </c>
      <c r="G544" t="s">
        <v>32839</v>
      </c>
      <c r="H544" t="s">
        <v>32848</v>
      </c>
      <c r="I544" t="s">
        <v>32899</v>
      </c>
      <c r="J544" t="s">
        <v>33405</v>
      </c>
      <c r="K544" t="s">
        <v>42729</v>
      </c>
      <c r="M544" t="s">
        <v>43139</v>
      </c>
      <c r="N544" t="s">
        <v>47424</v>
      </c>
      <c r="O544" t="s">
        <v>47425</v>
      </c>
      <c r="P544">
        <v>0</v>
      </c>
      <c r="Q544">
        <v>0</v>
      </c>
      <c r="R544" t="s">
        <v>47426</v>
      </c>
      <c r="S544" t="s">
        <v>47531</v>
      </c>
      <c r="T544" t="s">
        <v>49171</v>
      </c>
      <c r="U544" t="s">
        <v>50147</v>
      </c>
      <c r="W544" t="s">
        <v>43139</v>
      </c>
      <c r="X544" t="s">
        <v>47430</v>
      </c>
    </row>
    <row r="545" spans="1:24">
      <c r="A545">
        <f>HYPERLINK("https://www.philgeps.gov.ph/GEPSNONPILOT/Tender/SplashBidNoticeAbstractUI.aspx?menuIndex=3&amp;refID=7163671&amp;Result=3","7163671")</f>
        <v>0</v>
      </c>
      <c r="B545" t="s">
        <v>281</v>
      </c>
      <c r="C545" t="s">
        <v>4455</v>
      </c>
      <c r="D545" t="s">
        <v>19035</v>
      </c>
      <c r="E545" t="s">
        <v>19632</v>
      </c>
      <c r="F545" t="s">
        <v>32831</v>
      </c>
      <c r="G545" t="s">
        <v>32838</v>
      </c>
      <c r="H545" t="s">
        <v>32848</v>
      </c>
      <c r="I545" t="s">
        <v>4487</v>
      </c>
      <c r="J545" t="s">
        <v>33406</v>
      </c>
      <c r="K545" t="s">
        <v>42730</v>
      </c>
      <c r="M545" t="s">
        <v>43280</v>
      </c>
      <c r="N545" t="s">
        <v>47424</v>
      </c>
      <c r="O545" t="s">
        <v>47425</v>
      </c>
      <c r="P545">
        <v>0</v>
      </c>
      <c r="Q545">
        <v>2</v>
      </c>
      <c r="R545" t="s">
        <v>47426</v>
      </c>
      <c r="S545" t="s">
        <v>47531</v>
      </c>
      <c r="T545" t="s">
        <v>49061</v>
      </c>
      <c r="U545" t="s">
        <v>50148</v>
      </c>
      <c r="W545" t="s">
        <v>43280</v>
      </c>
      <c r="X545" t="s">
        <v>47430</v>
      </c>
    </row>
    <row r="546" spans="1:24">
      <c r="A546">
        <f>HYPERLINK("https://www.philgeps.gov.ph/GEPSNONPILOT/Tender/SplashBidNoticeAbstractUI.aspx?menuIndex=3&amp;refID=7163664&amp;Result=3","7163664")</f>
        <v>0</v>
      </c>
      <c r="B546" t="s">
        <v>282</v>
      </c>
      <c r="C546" t="s">
        <v>4456</v>
      </c>
      <c r="D546" t="s">
        <v>19052</v>
      </c>
      <c r="E546" t="s">
        <v>19633</v>
      </c>
      <c r="F546" t="s">
        <v>32831</v>
      </c>
      <c r="G546" t="s">
        <v>32839</v>
      </c>
      <c r="H546" t="s">
        <v>32848</v>
      </c>
      <c r="I546" t="s">
        <v>32874</v>
      </c>
      <c r="J546" t="s">
        <v>33407</v>
      </c>
      <c r="K546" t="s">
        <v>42731</v>
      </c>
      <c r="M546" t="s">
        <v>43281</v>
      </c>
      <c r="N546" t="s">
        <v>47424</v>
      </c>
      <c r="O546" t="s">
        <v>47425</v>
      </c>
      <c r="P546">
        <v>0</v>
      </c>
      <c r="Q546">
        <v>12</v>
      </c>
      <c r="R546" t="s">
        <v>47426</v>
      </c>
      <c r="S546" t="s">
        <v>47531</v>
      </c>
      <c r="T546" t="s">
        <v>49065</v>
      </c>
      <c r="U546" t="s">
        <v>50149</v>
      </c>
      <c r="W546" t="s">
        <v>43281</v>
      </c>
      <c r="X546" t="s">
        <v>47430</v>
      </c>
    </row>
    <row r="547" spans="1:24">
      <c r="A547">
        <f>HYPERLINK("https://www.philgeps.gov.ph/GEPSNONPILOT/Tender/SplashBidNoticeAbstractUI.aspx?menuIndex=3&amp;refID=7163373&amp;Result=3","7163373")</f>
        <v>0</v>
      </c>
      <c r="B547" t="s">
        <v>114</v>
      </c>
      <c r="C547" t="s">
        <v>4457</v>
      </c>
      <c r="D547" t="s">
        <v>19050</v>
      </c>
      <c r="E547" t="s">
        <v>19634</v>
      </c>
      <c r="F547" t="s">
        <v>32831</v>
      </c>
      <c r="G547" t="s">
        <v>32838</v>
      </c>
      <c r="H547" t="s">
        <v>32848</v>
      </c>
      <c r="I547" t="s">
        <v>32870</v>
      </c>
      <c r="J547" t="s">
        <v>33408</v>
      </c>
      <c r="K547" t="s">
        <v>42731</v>
      </c>
      <c r="L547" t="s">
        <v>114</v>
      </c>
      <c r="M547" t="s">
        <v>43111</v>
      </c>
      <c r="N547" t="s">
        <v>47424</v>
      </c>
      <c r="O547" t="s">
        <v>47425</v>
      </c>
      <c r="P547">
        <v>0</v>
      </c>
      <c r="Q547">
        <v>0</v>
      </c>
      <c r="R547" t="s">
        <v>47426</v>
      </c>
      <c r="S547" t="s">
        <v>47531</v>
      </c>
      <c r="T547" t="s">
        <v>49150</v>
      </c>
      <c r="U547" t="s">
        <v>49824</v>
      </c>
      <c r="W547" t="s">
        <v>43111</v>
      </c>
      <c r="X547" t="s">
        <v>47430</v>
      </c>
    </row>
    <row r="548" spans="1:24">
      <c r="A548">
        <f>HYPERLINK("https://www.philgeps.gov.ph/GEPSNONPILOT/Tender/SplashBidNoticeAbstractUI.aspx?menuIndex=3&amp;refID=7163656&amp;Result=3","7163656")</f>
        <v>0</v>
      </c>
      <c r="B548" t="s">
        <v>283</v>
      </c>
      <c r="C548" t="s">
        <v>4458</v>
      </c>
      <c r="D548" t="s">
        <v>19037</v>
      </c>
      <c r="E548" t="s">
        <v>19635</v>
      </c>
      <c r="F548" t="s">
        <v>32831</v>
      </c>
      <c r="G548" t="s">
        <v>32840</v>
      </c>
      <c r="H548" t="s">
        <v>32848</v>
      </c>
      <c r="I548" t="s">
        <v>32859</v>
      </c>
      <c r="J548" t="s">
        <v>33409</v>
      </c>
      <c r="K548" t="s">
        <v>42727</v>
      </c>
      <c r="M548" t="s">
        <v>43282</v>
      </c>
      <c r="N548" t="s">
        <v>47424</v>
      </c>
      <c r="O548" t="s">
        <v>47425</v>
      </c>
      <c r="P548">
        <v>0</v>
      </c>
      <c r="Q548">
        <v>1</v>
      </c>
      <c r="R548" t="s">
        <v>47426</v>
      </c>
      <c r="S548" t="s">
        <v>47531</v>
      </c>
      <c r="T548" t="s">
        <v>49107</v>
      </c>
      <c r="U548" t="s">
        <v>50150</v>
      </c>
      <c r="W548" t="s">
        <v>43282</v>
      </c>
      <c r="X548" t="s">
        <v>47430</v>
      </c>
    </row>
    <row r="549" spans="1:24">
      <c r="A549">
        <f>HYPERLINK("https://www.philgeps.gov.ph/GEPSNONPILOT/Tender/SplashBidNoticeAbstractUI.aspx?menuIndex=3&amp;refID=7163653&amp;Result=3","7163653")</f>
        <v>0</v>
      </c>
      <c r="B549" t="s">
        <v>284</v>
      </c>
      <c r="C549" t="s">
        <v>4459</v>
      </c>
      <c r="D549" t="s">
        <v>19039</v>
      </c>
      <c r="E549" t="s">
        <v>19203</v>
      </c>
      <c r="F549" t="s">
        <v>32831</v>
      </c>
      <c r="G549" t="s">
        <v>32839</v>
      </c>
      <c r="H549" t="s">
        <v>32848</v>
      </c>
      <c r="I549" t="s">
        <v>4177</v>
      </c>
      <c r="J549" t="s">
        <v>32978</v>
      </c>
      <c r="K549" t="s">
        <v>42727</v>
      </c>
      <c r="M549" t="s">
        <v>43283</v>
      </c>
      <c r="N549" t="s">
        <v>47424</v>
      </c>
      <c r="O549" t="s">
        <v>47425</v>
      </c>
      <c r="P549">
        <v>0</v>
      </c>
      <c r="Q549">
        <v>0</v>
      </c>
      <c r="R549" t="s">
        <v>47426</v>
      </c>
      <c r="S549" t="s">
        <v>47531</v>
      </c>
      <c r="T549" t="s">
        <v>49172</v>
      </c>
      <c r="U549" t="s">
        <v>50151</v>
      </c>
      <c r="W549" t="s">
        <v>43283</v>
      </c>
      <c r="X549" t="s">
        <v>47430</v>
      </c>
    </row>
    <row r="550" spans="1:24">
      <c r="A550">
        <f>HYPERLINK("https://www.philgeps.gov.ph/GEPSNONPILOT/Tender/SplashBidNoticeAbstractUI.aspx?menuIndex=3&amp;refID=7163640&amp;Result=3","7163640")</f>
        <v>0</v>
      </c>
      <c r="B550" t="s">
        <v>192</v>
      </c>
      <c r="C550" t="s">
        <v>4460</v>
      </c>
      <c r="D550" t="s">
        <v>19057</v>
      </c>
      <c r="E550" t="s">
        <v>19636</v>
      </c>
      <c r="F550" t="s">
        <v>32831</v>
      </c>
      <c r="G550" t="s">
        <v>32838</v>
      </c>
      <c r="H550" t="s">
        <v>32848</v>
      </c>
      <c r="I550" t="s">
        <v>7416</v>
      </c>
      <c r="J550" t="s">
        <v>33410</v>
      </c>
      <c r="K550" t="s">
        <v>42730</v>
      </c>
      <c r="M550" t="s">
        <v>43190</v>
      </c>
      <c r="N550" t="s">
        <v>47424</v>
      </c>
      <c r="O550" t="s">
        <v>47425</v>
      </c>
      <c r="P550">
        <v>0</v>
      </c>
      <c r="Q550">
        <v>1</v>
      </c>
      <c r="R550" t="s">
        <v>47426</v>
      </c>
      <c r="S550" t="s">
        <v>47531</v>
      </c>
      <c r="T550" t="s">
        <v>49068</v>
      </c>
      <c r="U550" t="s">
        <v>50152</v>
      </c>
      <c r="W550" t="s">
        <v>43190</v>
      </c>
      <c r="X550" t="s">
        <v>47430</v>
      </c>
    </row>
    <row r="551" spans="1:24">
      <c r="A551">
        <f>HYPERLINK("https://www.philgeps.gov.ph/GEPSNONPILOT/Tender/SplashBidNoticeAbstractUI.aspx?menuIndex=3&amp;refID=7163568&amp;Result=3","7163568")</f>
        <v>0</v>
      </c>
      <c r="B551" t="s">
        <v>266</v>
      </c>
      <c r="C551" t="s">
        <v>4461</v>
      </c>
      <c r="E551" t="s">
        <v>19637</v>
      </c>
      <c r="F551" t="s">
        <v>32831</v>
      </c>
      <c r="G551" t="s">
        <v>32838</v>
      </c>
      <c r="H551" t="s">
        <v>32848</v>
      </c>
      <c r="I551" t="s">
        <v>32883</v>
      </c>
      <c r="J551" t="s">
        <v>33411</v>
      </c>
      <c r="K551" t="s">
        <v>42730</v>
      </c>
      <c r="M551" t="s">
        <v>43265</v>
      </c>
      <c r="N551" t="s">
        <v>47424</v>
      </c>
      <c r="O551" t="s">
        <v>47425</v>
      </c>
      <c r="Q551">
        <v>4</v>
      </c>
      <c r="R551" t="s">
        <v>47426</v>
      </c>
      <c r="S551" t="s">
        <v>47534</v>
      </c>
      <c r="T551" t="s">
        <v>49056</v>
      </c>
      <c r="U551" t="s">
        <v>50153</v>
      </c>
      <c r="W551" t="s">
        <v>43265</v>
      </c>
      <c r="X551" t="s">
        <v>47430</v>
      </c>
    </row>
    <row r="552" spans="1:24">
      <c r="A552">
        <f>HYPERLINK("https://www.philgeps.gov.ph/GEPSNONPILOT/Tender/SplashBidNoticeAbstractUI.aspx?menuIndex=3&amp;refID=7163639&amp;Result=3","7163639")</f>
        <v>0</v>
      </c>
      <c r="B552" t="s">
        <v>281</v>
      </c>
      <c r="C552" t="s">
        <v>4462</v>
      </c>
      <c r="D552" t="s">
        <v>19035</v>
      </c>
      <c r="E552" t="s">
        <v>19638</v>
      </c>
      <c r="F552" t="s">
        <v>32831</v>
      </c>
      <c r="G552" t="s">
        <v>32838</v>
      </c>
      <c r="H552" t="s">
        <v>32848</v>
      </c>
      <c r="I552" t="s">
        <v>9577</v>
      </c>
      <c r="J552" t="s">
        <v>33067</v>
      </c>
      <c r="K552" t="s">
        <v>42730</v>
      </c>
      <c r="M552" t="s">
        <v>43280</v>
      </c>
      <c r="N552" t="s">
        <v>47424</v>
      </c>
      <c r="O552" t="s">
        <v>47425</v>
      </c>
      <c r="P552">
        <v>0</v>
      </c>
      <c r="Q552">
        <v>0</v>
      </c>
      <c r="R552" t="s">
        <v>47426</v>
      </c>
      <c r="S552" t="s">
        <v>47531</v>
      </c>
      <c r="T552" t="s">
        <v>49061</v>
      </c>
      <c r="U552" t="s">
        <v>50154</v>
      </c>
      <c r="W552" t="s">
        <v>43280</v>
      </c>
      <c r="X552" t="s">
        <v>47430</v>
      </c>
    </row>
    <row r="553" spans="1:24">
      <c r="A553">
        <f>HYPERLINK("https://www.philgeps.gov.ph/GEPSNONPILOT/Tender/SplashBidNoticeAbstractUI.aspx?menuIndex=3&amp;refID=7163633&amp;Result=3","7163633")</f>
        <v>0</v>
      </c>
      <c r="B553" t="s">
        <v>285</v>
      </c>
      <c r="C553" t="s">
        <v>4463</v>
      </c>
      <c r="D553" t="s">
        <v>19038</v>
      </c>
      <c r="E553" t="s">
        <v>19639</v>
      </c>
      <c r="F553" t="s">
        <v>32831</v>
      </c>
      <c r="G553" t="s">
        <v>32838</v>
      </c>
      <c r="H553" t="s">
        <v>32848</v>
      </c>
      <c r="I553" t="s">
        <v>4438</v>
      </c>
      <c r="J553" t="s">
        <v>33007</v>
      </c>
      <c r="K553" t="s">
        <v>42732</v>
      </c>
      <c r="M553" t="s">
        <v>43284</v>
      </c>
      <c r="N553" t="s">
        <v>47424</v>
      </c>
      <c r="O553" t="s">
        <v>47425</v>
      </c>
      <c r="P553">
        <v>0</v>
      </c>
      <c r="Q553">
        <v>0</v>
      </c>
      <c r="R553" t="s">
        <v>47426</v>
      </c>
      <c r="S553" t="s">
        <v>47531</v>
      </c>
      <c r="T553" t="s">
        <v>49108</v>
      </c>
      <c r="U553" t="s">
        <v>50155</v>
      </c>
      <c r="W553" t="s">
        <v>43284</v>
      </c>
      <c r="X553" t="s">
        <v>47430</v>
      </c>
    </row>
    <row r="554" spans="1:24">
      <c r="A554">
        <f>HYPERLINK("https://www.philgeps.gov.ph/GEPSNONPILOT/Tender/SplashBidNoticeAbstractUI.aspx?menuIndex=3&amp;refID=7163665&amp;Result=3","7163665")</f>
        <v>0</v>
      </c>
      <c r="B554" t="s">
        <v>250</v>
      </c>
      <c r="C554" t="s">
        <v>4464</v>
      </c>
      <c r="D554" t="s">
        <v>19075</v>
      </c>
      <c r="E554" t="s">
        <v>19640</v>
      </c>
      <c r="F554" t="s">
        <v>32831</v>
      </c>
      <c r="G554" t="s">
        <v>32839</v>
      </c>
      <c r="H554" t="s">
        <v>32848</v>
      </c>
      <c r="I554" t="s">
        <v>9281</v>
      </c>
      <c r="J554" t="s">
        <v>33412</v>
      </c>
      <c r="K554" t="s">
        <v>42731</v>
      </c>
      <c r="M554" t="s">
        <v>43249</v>
      </c>
      <c r="N554" t="s">
        <v>47424</v>
      </c>
      <c r="O554" t="s">
        <v>47425</v>
      </c>
      <c r="P554">
        <v>0</v>
      </c>
      <c r="Q554">
        <v>0</v>
      </c>
      <c r="R554" t="s">
        <v>47426</v>
      </c>
      <c r="S554" t="s">
        <v>47531</v>
      </c>
      <c r="T554" t="s">
        <v>49073</v>
      </c>
      <c r="U554" t="s">
        <v>50156</v>
      </c>
      <c r="W554" t="s">
        <v>43249</v>
      </c>
      <c r="X554" t="s">
        <v>47430</v>
      </c>
    </row>
    <row r="555" spans="1:24">
      <c r="A555">
        <f>HYPERLINK("https://www.philgeps.gov.ph/GEPSNONPILOT/Tender/SplashBidNoticeAbstractUI.aspx?menuIndex=3&amp;refID=7163622&amp;Result=3","7163622")</f>
        <v>0</v>
      </c>
      <c r="B555" t="s">
        <v>285</v>
      </c>
      <c r="C555" t="s">
        <v>4465</v>
      </c>
      <c r="D555" t="s">
        <v>19038</v>
      </c>
      <c r="E555" t="s">
        <v>19641</v>
      </c>
      <c r="F555" t="s">
        <v>32831</v>
      </c>
      <c r="G555" t="s">
        <v>32838</v>
      </c>
      <c r="H555" t="s">
        <v>32848</v>
      </c>
      <c r="I555" t="s">
        <v>11727</v>
      </c>
      <c r="J555" t="s">
        <v>33413</v>
      </c>
      <c r="K555" t="s">
        <v>42732</v>
      </c>
      <c r="M555" t="s">
        <v>43284</v>
      </c>
      <c r="N555" t="s">
        <v>47424</v>
      </c>
      <c r="O555" t="s">
        <v>47425</v>
      </c>
      <c r="P555">
        <v>0</v>
      </c>
      <c r="Q555">
        <v>1</v>
      </c>
      <c r="R555" t="s">
        <v>47426</v>
      </c>
      <c r="S555" t="s">
        <v>47531</v>
      </c>
      <c r="T555" t="s">
        <v>49108</v>
      </c>
      <c r="U555" t="s">
        <v>50157</v>
      </c>
      <c r="W555" t="s">
        <v>43284</v>
      </c>
      <c r="X555" t="s">
        <v>47430</v>
      </c>
    </row>
    <row r="556" spans="1:24">
      <c r="A556">
        <f>HYPERLINK("https://www.philgeps.gov.ph/GEPSNONPILOT/Tender/SplashBidNoticeAbstractUI.aspx?menuIndex=3&amp;refID=7163683&amp;Result=3","7163683")</f>
        <v>0</v>
      </c>
      <c r="B556" t="s">
        <v>285</v>
      </c>
      <c r="C556" t="s">
        <v>4466</v>
      </c>
      <c r="D556" t="s">
        <v>19038</v>
      </c>
      <c r="E556" t="s">
        <v>19642</v>
      </c>
      <c r="F556" t="s">
        <v>32831</v>
      </c>
      <c r="G556" t="s">
        <v>32838</v>
      </c>
      <c r="H556" t="s">
        <v>32848</v>
      </c>
      <c r="I556" t="s">
        <v>32879</v>
      </c>
      <c r="J556" t="s">
        <v>33414</v>
      </c>
      <c r="K556" t="s">
        <v>42732</v>
      </c>
      <c r="M556" t="s">
        <v>43284</v>
      </c>
      <c r="N556" t="s">
        <v>47424</v>
      </c>
      <c r="O556" t="s">
        <v>47425</v>
      </c>
      <c r="P556">
        <v>0</v>
      </c>
      <c r="Q556">
        <v>3</v>
      </c>
      <c r="R556" t="s">
        <v>47426</v>
      </c>
      <c r="S556" t="s">
        <v>47531</v>
      </c>
      <c r="T556" t="s">
        <v>49108</v>
      </c>
      <c r="U556" t="s">
        <v>50158</v>
      </c>
      <c r="W556" t="s">
        <v>43284</v>
      </c>
      <c r="X556" t="s">
        <v>47430</v>
      </c>
    </row>
    <row r="557" spans="1:24">
      <c r="A557">
        <f>HYPERLINK("https://www.philgeps.gov.ph/GEPSNONPILOT/Tender/SplashBidNoticeAbstractUI.aspx?menuIndex=3&amp;refID=7163674&amp;Result=3","7163674")</f>
        <v>0</v>
      </c>
      <c r="B557" t="s">
        <v>266</v>
      </c>
      <c r="C557" t="s">
        <v>4467</v>
      </c>
      <c r="D557" t="s">
        <v>19040</v>
      </c>
      <c r="E557" t="s">
        <v>19643</v>
      </c>
      <c r="F557" t="s">
        <v>32831</v>
      </c>
      <c r="G557" t="s">
        <v>32838</v>
      </c>
      <c r="H557" t="s">
        <v>32848</v>
      </c>
      <c r="I557" t="s">
        <v>32887</v>
      </c>
      <c r="J557" t="s">
        <v>33012</v>
      </c>
      <c r="K557" t="s">
        <v>42727</v>
      </c>
      <c r="M557" t="s">
        <v>43265</v>
      </c>
      <c r="N557" t="s">
        <v>47424</v>
      </c>
      <c r="O557" t="s">
        <v>47425</v>
      </c>
      <c r="P557">
        <v>0</v>
      </c>
      <c r="Q557">
        <v>4</v>
      </c>
      <c r="R557" t="s">
        <v>47426</v>
      </c>
      <c r="S557" t="s">
        <v>47531</v>
      </c>
      <c r="T557" t="s">
        <v>49073</v>
      </c>
      <c r="U557" t="s">
        <v>50159</v>
      </c>
      <c r="W557" t="s">
        <v>43265</v>
      </c>
      <c r="X557" t="s">
        <v>47430</v>
      </c>
    </row>
    <row r="558" spans="1:24">
      <c r="A558">
        <f>HYPERLINK("https://www.philgeps.gov.ph/GEPSNONPILOT/Tender/SplashBidNoticeAbstractUI.aspx?menuIndex=3&amp;refID=7163647&amp;Result=3","7163647")</f>
        <v>0</v>
      </c>
      <c r="B558" t="s">
        <v>285</v>
      </c>
      <c r="C558" t="s">
        <v>4468</v>
      </c>
      <c r="D558" t="s">
        <v>19038</v>
      </c>
      <c r="E558" t="s">
        <v>19644</v>
      </c>
      <c r="F558" t="s">
        <v>32831</v>
      </c>
      <c r="G558" t="s">
        <v>32838</v>
      </c>
      <c r="H558" t="s">
        <v>32848</v>
      </c>
      <c r="I558" t="s">
        <v>32857</v>
      </c>
      <c r="J558" t="s">
        <v>33415</v>
      </c>
      <c r="K558" t="s">
        <v>42732</v>
      </c>
      <c r="M558" t="s">
        <v>43284</v>
      </c>
      <c r="N558" t="s">
        <v>47424</v>
      </c>
      <c r="O558" t="s">
        <v>47425</v>
      </c>
      <c r="P558">
        <v>0</v>
      </c>
      <c r="Q558">
        <v>3</v>
      </c>
      <c r="R558" t="s">
        <v>47426</v>
      </c>
      <c r="S558" t="s">
        <v>47531</v>
      </c>
      <c r="T558" t="s">
        <v>49108</v>
      </c>
      <c r="U558" t="s">
        <v>50160</v>
      </c>
      <c r="W558" t="s">
        <v>43284</v>
      </c>
      <c r="X558" t="s">
        <v>47430</v>
      </c>
    </row>
    <row r="559" spans="1:24">
      <c r="A559">
        <f>HYPERLINK("https://www.philgeps.gov.ph/GEPSNONPILOT/Tender/SplashBidNoticeAbstractUI.aspx?menuIndex=3&amp;refID=7163625&amp;Result=3","7163625")</f>
        <v>0</v>
      </c>
      <c r="B559" t="s">
        <v>286</v>
      </c>
      <c r="C559" t="s">
        <v>4469</v>
      </c>
      <c r="D559" t="s">
        <v>19017</v>
      </c>
      <c r="E559" t="s">
        <v>19645</v>
      </c>
      <c r="F559" t="s">
        <v>32831</v>
      </c>
      <c r="G559" t="s">
        <v>32840</v>
      </c>
      <c r="H559" t="s">
        <v>32849</v>
      </c>
      <c r="I559" t="s">
        <v>4177</v>
      </c>
      <c r="J559" t="s">
        <v>32980</v>
      </c>
      <c r="K559" t="s">
        <v>42727</v>
      </c>
      <c r="M559" t="s">
        <v>43285</v>
      </c>
      <c r="N559" t="s">
        <v>47424</v>
      </c>
      <c r="O559" t="s">
        <v>47425</v>
      </c>
      <c r="P559">
        <v>0</v>
      </c>
      <c r="Q559">
        <v>0</v>
      </c>
      <c r="R559" t="s">
        <v>47426</v>
      </c>
      <c r="S559" t="s">
        <v>47531</v>
      </c>
      <c r="T559" t="s">
        <v>49141</v>
      </c>
      <c r="U559" t="s">
        <v>50161</v>
      </c>
      <c r="W559" t="s">
        <v>43285</v>
      </c>
      <c r="X559" t="s">
        <v>47430</v>
      </c>
    </row>
    <row r="560" spans="1:24">
      <c r="A560">
        <f>HYPERLINK("https://www.philgeps.gov.ph/GEPSNONPILOT/Tender/SplashBidNoticeAbstractUI.aspx?menuIndex=3&amp;refID=7163629&amp;Result=3","7163629")</f>
        <v>0</v>
      </c>
      <c r="B560" t="s">
        <v>277</v>
      </c>
      <c r="C560" t="s">
        <v>4470</v>
      </c>
      <c r="D560" t="s">
        <v>19068</v>
      </c>
      <c r="E560" t="s">
        <v>19646</v>
      </c>
      <c r="F560" t="s">
        <v>32831</v>
      </c>
      <c r="G560" t="s">
        <v>32838</v>
      </c>
      <c r="H560" t="s">
        <v>32848</v>
      </c>
      <c r="I560" t="s">
        <v>32871</v>
      </c>
      <c r="J560" t="s">
        <v>33416</v>
      </c>
      <c r="K560" t="s">
        <v>42727</v>
      </c>
      <c r="M560" t="s">
        <v>43276</v>
      </c>
      <c r="N560" t="s">
        <v>47424</v>
      </c>
      <c r="O560" t="s">
        <v>47425</v>
      </c>
      <c r="P560">
        <v>0</v>
      </c>
      <c r="Q560">
        <v>6</v>
      </c>
      <c r="R560" t="s">
        <v>47426</v>
      </c>
      <c r="S560" t="s">
        <v>47531</v>
      </c>
      <c r="T560" t="s">
        <v>49056</v>
      </c>
      <c r="U560" t="s">
        <v>50162</v>
      </c>
      <c r="W560" t="s">
        <v>43276</v>
      </c>
      <c r="X560" t="s">
        <v>47430</v>
      </c>
    </row>
    <row r="561" spans="1:24">
      <c r="A561">
        <f>HYPERLINK("https://www.philgeps.gov.ph/GEPSNONPILOT/Tender/SplashBidNoticeAbstractUI.aspx?menuIndex=3&amp;refID=7163781&amp;Result=3","7163781")</f>
        <v>0</v>
      </c>
      <c r="B561" t="s">
        <v>273</v>
      </c>
      <c r="C561" t="s">
        <v>4471</v>
      </c>
      <c r="D561" t="s">
        <v>19060</v>
      </c>
      <c r="E561" t="s">
        <v>19647</v>
      </c>
      <c r="F561" t="s">
        <v>32831</v>
      </c>
      <c r="G561" t="s">
        <v>32838</v>
      </c>
      <c r="H561" t="s">
        <v>32848</v>
      </c>
      <c r="I561" t="s">
        <v>4471</v>
      </c>
      <c r="J561" t="s">
        <v>33417</v>
      </c>
      <c r="K561" t="s">
        <v>42776</v>
      </c>
      <c r="M561" t="s">
        <v>43272</v>
      </c>
      <c r="N561" t="s">
        <v>47424</v>
      </c>
      <c r="O561" t="s">
        <v>47425</v>
      </c>
      <c r="P561">
        <v>0</v>
      </c>
      <c r="Q561">
        <v>0</v>
      </c>
      <c r="R561" t="s">
        <v>47426</v>
      </c>
      <c r="S561" t="s">
        <v>47531</v>
      </c>
      <c r="T561" t="s">
        <v>49108</v>
      </c>
      <c r="U561" t="s">
        <v>50136</v>
      </c>
      <c r="V561" t="s">
        <v>62674</v>
      </c>
      <c r="W561" t="s">
        <v>43272</v>
      </c>
      <c r="X561" t="s">
        <v>47430</v>
      </c>
    </row>
    <row r="562" spans="1:24">
      <c r="A562">
        <f>HYPERLINK("https://www.philgeps.gov.ph/GEPSNONPILOT/Tender/SplashBidNoticeAbstractUI.aspx?menuIndex=3&amp;refID=7163519&amp;Result=3","7163519")</f>
        <v>0</v>
      </c>
      <c r="B562" t="s">
        <v>276</v>
      </c>
      <c r="C562" t="s">
        <v>4472</v>
      </c>
      <c r="D562" t="s">
        <v>19043</v>
      </c>
      <c r="E562" t="s">
        <v>19648</v>
      </c>
      <c r="F562" t="s">
        <v>32831</v>
      </c>
      <c r="G562" t="s">
        <v>32840</v>
      </c>
      <c r="H562" t="s">
        <v>32848</v>
      </c>
      <c r="I562" t="s">
        <v>4558</v>
      </c>
      <c r="J562" t="s">
        <v>33418</v>
      </c>
      <c r="K562" t="s">
        <v>42732</v>
      </c>
      <c r="M562" t="s">
        <v>43275</v>
      </c>
      <c r="N562" t="s">
        <v>47424</v>
      </c>
      <c r="O562" t="s">
        <v>47425</v>
      </c>
      <c r="P562">
        <v>0</v>
      </c>
      <c r="Q562">
        <v>19</v>
      </c>
      <c r="R562" t="s">
        <v>47426</v>
      </c>
      <c r="S562" t="s">
        <v>47531</v>
      </c>
      <c r="T562" t="s">
        <v>49169</v>
      </c>
      <c r="U562" t="s">
        <v>50163</v>
      </c>
      <c r="W562" t="s">
        <v>43275</v>
      </c>
      <c r="X562" t="s">
        <v>47430</v>
      </c>
    </row>
    <row r="563" spans="1:24">
      <c r="A563">
        <f>HYPERLINK("https://www.philgeps.gov.ph/GEPSNONPILOT/Tender/SplashBidNoticeAbstractUI.aspx?menuIndex=3&amp;refID=7163780&amp;Result=3","7163780")</f>
        <v>0</v>
      </c>
      <c r="B563" t="s">
        <v>272</v>
      </c>
      <c r="C563" t="s">
        <v>4473</v>
      </c>
      <c r="E563" t="s">
        <v>19649</v>
      </c>
      <c r="F563" t="s">
        <v>32831</v>
      </c>
      <c r="G563" t="s">
        <v>32838</v>
      </c>
      <c r="H563" t="s">
        <v>32848</v>
      </c>
      <c r="I563" t="s">
        <v>4776</v>
      </c>
      <c r="J563" t="s">
        <v>32983</v>
      </c>
      <c r="K563" t="s">
        <v>42732</v>
      </c>
      <c r="M563" t="s">
        <v>43271</v>
      </c>
      <c r="N563" t="s">
        <v>47424</v>
      </c>
      <c r="O563" t="s">
        <v>47425</v>
      </c>
      <c r="P563">
        <v>0</v>
      </c>
      <c r="Q563">
        <v>0</v>
      </c>
      <c r="R563" t="s">
        <v>47426</v>
      </c>
      <c r="S563" t="s">
        <v>47531</v>
      </c>
      <c r="T563" t="s">
        <v>49100</v>
      </c>
      <c r="U563" t="s">
        <v>50164</v>
      </c>
      <c r="W563" t="s">
        <v>43271</v>
      </c>
      <c r="X563" t="s">
        <v>47430</v>
      </c>
    </row>
    <row r="564" spans="1:24">
      <c r="A564">
        <f>HYPERLINK("https://www.philgeps.gov.ph/GEPSNONPILOT/Tender/SplashBidNoticeAbstractUI.aspx?menuIndex=3&amp;refID=7163772&amp;Result=3","7163772")</f>
        <v>0</v>
      </c>
      <c r="B564" t="s">
        <v>287</v>
      </c>
      <c r="C564" t="s">
        <v>4474</v>
      </c>
      <c r="D564" t="s">
        <v>19070</v>
      </c>
      <c r="E564" t="s">
        <v>19650</v>
      </c>
      <c r="F564" t="s">
        <v>32831</v>
      </c>
      <c r="G564" t="s">
        <v>32839</v>
      </c>
      <c r="H564" t="s">
        <v>32848</v>
      </c>
      <c r="I564" t="s">
        <v>32857</v>
      </c>
      <c r="J564" t="s">
        <v>33419</v>
      </c>
      <c r="K564" t="s">
        <v>42732</v>
      </c>
      <c r="M564" t="s">
        <v>43286</v>
      </c>
      <c r="N564" t="s">
        <v>47424</v>
      </c>
      <c r="O564" t="s">
        <v>47425</v>
      </c>
      <c r="P564">
        <v>0</v>
      </c>
      <c r="Q564">
        <v>2</v>
      </c>
      <c r="R564" t="s">
        <v>47426</v>
      </c>
      <c r="S564" t="s">
        <v>47531</v>
      </c>
      <c r="T564" t="s">
        <v>49105</v>
      </c>
      <c r="U564" t="s">
        <v>50165</v>
      </c>
      <c r="V564" t="s">
        <v>62676</v>
      </c>
      <c r="W564" t="s">
        <v>43286</v>
      </c>
      <c r="X564" t="s">
        <v>47430</v>
      </c>
    </row>
    <row r="565" spans="1:24">
      <c r="A565">
        <f>HYPERLINK("https://www.philgeps.gov.ph/GEPSNONPILOT/Tender/SplashBidNoticeAbstractUI.aspx?menuIndex=3&amp;refID=7163754&amp;Result=3","7163754")</f>
        <v>0</v>
      </c>
      <c r="B565" t="s">
        <v>213</v>
      </c>
      <c r="C565" t="s">
        <v>4475</v>
      </c>
      <c r="D565" t="s">
        <v>19030</v>
      </c>
      <c r="E565" t="s">
        <v>19651</v>
      </c>
      <c r="F565" t="s">
        <v>32831</v>
      </c>
      <c r="G565" t="s">
        <v>32838</v>
      </c>
      <c r="H565" t="s">
        <v>32848</v>
      </c>
      <c r="I565" t="s">
        <v>32866</v>
      </c>
      <c r="J565" t="s">
        <v>33420</v>
      </c>
      <c r="K565" t="s">
        <v>42727</v>
      </c>
      <c r="M565" t="s">
        <v>43287</v>
      </c>
      <c r="N565" t="s">
        <v>47424</v>
      </c>
      <c r="O565" t="s">
        <v>47425</v>
      </c>
      <c r="P565">
        <v>0</v>
      </c>
      <c r="Q565">
        <v>0</v>
      </c>
      <c r="R565" t="s">
        <v>47426</v>
      </c>
      <c r="S565" t="s">
        <v>47531</v>
      </c>
      <c r="T565" t="s">
        <v>49100</v>
      </c>
      <c r="U565" t="s">
        <v>50166</v>
      </c>
      <c r="V565" t="s">
        <v>62662</v>
      </c>
      <c r="W565" t="s">
        <v>43287</v>
      </c>
      <c r="X565" t="s">
        <v>47430</v>
      </c>
    </row>
    <row r="566" spans="1:24">
      <c r="A566">
        <f>HYPERLINK("https://www.philgeps.gov.ph/GEPSNONPILOT/Tender/SplashBidNoticeAbstractUI.aspx?menuIndex=3&amp;refID=7163731&amp;Result=3","7163731")</f>
        <v>0</v>
      </c>
      <c r="B566" t="s">
        <v>280</v>
      </c>
      <c r="C566" t="s">
        <v>4476</v>
      </c>
      <c r="D566" t="s">
        <v>19044</v>
      </c>
      <c r="E566" t="s">
        <v>19437</v>
      </c>
      <c r="F566" t="s">
        <v>32831</v>
      </c>
      <c r="G566" t="s">
        <v>32838</v>
      </c>
      <c r="H566" t="s">
        <v>32849</v>
      </c>
      <c r="I566" t="s">
        <v>32856</v>
      </c>
      <c r="J566" t="s">
        <v>33007</v>
      </c>
      <c r="K566" t="s">
        <v>42726</v>
      </c>
      <c r="M566" t="s">
        <v>43279</v>
      </c>
      <c r="N566" t="s">
        <v>47424</v>
      </c>
      <c r="O566" t="s">
        <v>47425</v>
      </c>
      <c r="P566">
        <v>0</v>
      </c>
      <c r="Q566">
        <v>2</v>
      </c>
      <c r="R566" t="s">
        <v>47426</v>
      </c>
      <c r="S566" t="s">
        <v>47531</v>
      </c>
      <c r="T566" t="s">
        <v>49089</v>
      </c>
      <c r="U566" t="s">
        <v>50167</v>
      </c>
      <c r="W566" t="s">
        <v>43279</v>
      </c>
      <c r="X566" t="s">
        <v>47430</v>
      </c>
    </row>
    <row r="567" spans="1:24">
      <c r="A567">
        <f>HYPERLINK("https://www.philgeps.gov.ph/GEPSNONPILOT/Tender/SplashBidNoticeAbstractUI.aspx?menuIndex=3&amp;refID=7163520&amp;Result=3","7163520")</f>
        <v>0</v>
      </c>
      <c r="B567" t="s">
        <v>288</v>
      </c>
      <c r="C567" t="s">
        <v>4477</v>
      </c>
      <c r="D567" t="s">
        <v>19021</v>
      </c>
      <c r="E567" t="s">
        <v>19652</v>
      </c>
      <c r="F567" t="s">
        <v>32831</v>
      </c>
      <c r="G567" t="s">
        <v>32839</v>
      </c>
      <c r="H567" t="s">
        <v>32848</v>
      </c>
      <c r="I567" t="s">
        <v>32859</v>
      </c>
      <c r="J567" t="s">
        <v>33421</v>
      </c>
      <c r="K567" t="s">
        <v>42730</v>
      </c>
      <c r="M567" t="s">
        <v>43288</v>
      </c>
      <c r="N567" t="s">
        <v>47424</v>
      </c>
      <c r="O567" t="s">
        <v>47425</v>
      </c>
      <c r="P567">
        <v>0</v>
      </c>
      <c r="Q567">
        <v>2</v>
      </c>
      <c r="R567" t="s">
        <v>47426</v>
      </c>
      <c r="S567" t="s">
        <v>47531</v>
      </c>
      <c r="T567" t="s">
        <v>49151</v>
      </c>
      <c r="U567" t="s">
        <v>50168</v>
      </c>
      <c r="W567" t="s">
        <v>43288</v>
      </c>
      <c r="X567" t="s">
        <v>47430</v>
      </c>
    </row>
    <row r="568" spans="1:24">
      <c r="A568">
        <f>HYPERLINK("https://www.philgeps.gov.ph/GEPSNONPILOT/Tender/SplashBidNoticeAbstractUI.aspx?menuIndex=3&amp;refID=7163784&amp;Result=3","7163784")</f>
        <v>0</v>
      </c>
      <c r="B568" t="s">
        <v>195</v>
      </c>
      <c r="C568" t="s">
        <v>4478</v>
      </c>
      <c r="D568" t="s">
        <v>19021</v>
      </c>
      <c r="E568" t="s">
        <v>19653</v>
      </c>
      <c r="F568" t="s">
        <v>32831</v>
      </c>
      <c r="G568" t="s">
        <v>32838</v>
      </c>
      <c r="H568" t="s">
        <v>32848</v>
      </c>
      <c r="I568" t="s">
        <v>32867</v>
      </c>
      <c r="J568" t="s">
        <v>33422</v>
      </c>
      <c r="K568" t="s">
        <v>42731</v>
      </c>
      <c r="M568" t="s">
        <v>43193</v>
      </c>
      <c r="N568" t="s">
        <v>47424</v>
      </c>
      <c r="O568" t="s">
        <v>47425</v>
      </c>
      <c r="P568">
        <v>0</v>
      </c>
      <c r="Q568">
        <v>2</v>
      </c>
      <c r="R568" t="s">
        <v>47426</v>
      </c>
      <c r="S568" t="s">
        <v>47531</v>
      </c>
      <c r="T568" t="s">
        <v>49089</v>
      </c>
      <c r="U568" t="s">
        <v>50169</v>
      </c>
      <c r="W568" t="s">
        <v>43193</v>
      </c>
      <c r="X568" t="s">
        <v>47430</v>
      </c>
    </row>
    <row r="569" spans="1:24">
      <c r="A569">
        <f>HYPERLINK("https://www.philgeps.gov.ph/GEPSNONPILOT/Tender/SplashBidNoticeAbstractUI.aspx?menuIndex=3&amp;refID=7163759&amp;Result=3","7163759")</f>
        <v>0</v>
      </c>
      <c r="B569" t="s">
        <v>289</v>
      </c>
      <c r="C569" t="s">
        <v>4479</v>
      </c>
      <c r="D569" t="s">
        <v>19084</v>
      </c>
      <c r="E569" t="s">
        <v>19654</v>
      </c>
      <c r="F569" t="s">
        <v>32831</v>
      </c>
      <c r="G569" t="s">
        <v>32838</v>
      </c>
      <c r="H569" t="s">
        <v>14069</v>
      </c>
      <c r="I569" t="s">
        <v>14069</v>
      </c>
      <c r="J569" t="s">
        <v>33090</v>
      </c>
      <c r="K569" t="s">
        <v>42777</v>
      </c>
      <c r="M569" t="s">
        <v>43289</v>
      </c>
      <c r="N569" t="s">
        <v>47424</v>
      </c>
      <c r="O569" t="s">
        <v>47425</v>
      </c>
      <c r="P569">
        <v>0</v>
      </c>
      <c r="Q569">
        <v>1</v>
      </c>
      <c r="R569" t="s">
        <v>47426</v>
      </c>
      <c r="S569" t="s">
        <v>47531</v>
      </c>
      <c r="T569" t="s">
        <v>49079</v>
      </c>
      <c r="U569" t="s">
        <v>50170</v>
      </c>
      <c r="W569" t="s">
        <v>43289</v>
      </c>
      <c r="X569" t="s">
        <v>47430</v>
      </c>
    </row>
    <row r="570" spans="1:24">
      <c r="A570">
        <f>HYPERLINK("https://www.philgeps.gov.ph/GEPSNONPILOT/Tender/SplashBidNoticeAbstractUI.aspx?menuIndex=3&amp;refID=7163722&amp;Result=3","7163722")</f>
        <v>0</v>
      </c>
      <c r="B570" t="s">
        <v>142</v>
      </c>
      <c r="C570" t="s">
        <v>4480</v>
      </c>
      <c r="D570" t="s">
        <v>19021</v>
      </c>
      <c r="E570" t="s">
        <v>19655</v>
      </c>
      <c r="F570" t="s">
        <v>32831</v>
      </c>
      <c r="G570" t="s">
        <v>32839</v>
      </c>
      <c r="H570" t="s">
        <v>32848</v>
      </c>
      <c r="I570" t="s">
        <v>9577</v>
      </c>
      <c r="J570" t="s">
        <v>33423</v>
      </c>
      <c r="K570" t="s">
        <v>42731</v>
      </c>
      <c r="M570" t="s">
        <v>43139</v>
      </c>
      <c r="N570" t="s">
        <v>47424</v>
      </c>
      <c r="O570" t="s">
        <v>47425</v>
      </c>
      <c r="P570">
        <v>0</v>
      </c>
      <c r="Q570">
        <v>2</v>
      </c>
      <c r="R570" t="s">
        <v>47426</v>
      </c>
      <c r="S570" t="s">
        <v>47531</v>
      </c>
      <c r="T570" t="s">
        <v>49073</v>
      </c>
      <c r="U570" t="s">
        <v>50147</v>
      </c>
      <c r="W570" t="s">
        <v>43139</v>
      </c>
      <c r="X570" t="s">
        <v>47430</v>
      </c>
    </row>
    <row r="571" spans="1:24">
      <c r="A571">
        <f>HYPERLINK("https://www.philgeps.gov.ph/GEPSNONPILOT/Tender/SplashBidNoticeAbstractUI.aspx?menuIndex=3&amp;refID=7163705&amp;Result=3","7163705")</f>
        <v>0</v>
      </c>
      <c r="B571" t="s">
        <v>272</v>
      </c>
      <c r="C571" t="s">
        <v>4481</v>
      </c>
      <c r="D571" t="s">
        <v>19077</v>
      </c>
      <c r="E571" t="s">
        <v>19656</v>
      </c>
      <c r="F571" t="s">
        <v>32831</v>
      </c>
      <c r="G571" t="s">
        <v>32838</v>
      </c>
      <c r="H571" t="s">
        <v>32848</v>
      </c>
      <c r="I571" t="s">
        <v>5379</v>
      </c>
      <c r="J571" t="s">
        <v>33424</v>
      </c>
      <c r="K571" t="s">
        <v>42732</v>
      </c>
      <c r="M571" t="s">
        <v>43290</v>
      </c>
      <c r="N571" t="s">
        <v>47424</v>
      </c>
      <c r="O571" t="s">
        <v>47425</v>
      </c>
      <c r="P571">
        <v>0</v>
      </c>
      <c r="Q571">
        <v>0</v>
      </c>
      <c r="R571" t="s">
        <v>47426</v>
      </c>
      <c r="S571" t="s">
        <v>47531</v>
      </c>
      <c r="T571" t="s">
        <v>49100</v>
      </c>
      <c r="U571" t="s">
        <v>50171</v>
      </c>
      <c r="W571" t="s">
        <v>43290</v>
      </c>
      <c r="X571" t="s">
        <v>47430</v>
      </c>
    </row>
    <row r="572" spans="1:24">
      <c r="A572">
        <f>HYPERLINK("https://www.philgeps.gov.ph/GEPSNONPILOT/Tender/SplashBidNoticeAbstractUI.aspx?menuIndex=3&amp;refID=7163621&amp;Result=3","7163621")</f>
        <v>0</v>
      </c>
      <c r="B572" t="s">
        <v>290</v>
      </c>
      <c r="C572" t="s">
        <v>4482</v>
      </c>
      <c r="D572" t="s">
        <v>19026</v>
      </c>
      <c r="E572" t="s">
        <v>19657</v>
      </c>
      <c r="F572" t="s">
        <v>32831</v>
      </c>
      <c r="G572" t="s">
        <v>32838</v>
      </c>
      <c r="H572" t="s">
        <v>32848</v>
      </c>
      <c r="I572" t="s">
        <v>32894</v>
      </c>
      <c r="J572" t="s">
        <v>33425</v>
      </c>
      <c r="K572" t="s">
        <v>42729</v>
      </c>
      <c r="M572" t="s">
        <v>43291</v>
      </c>
      <c r="N572" t="s">
        <v>47424</v>
      </c>
      <c r="O572" t="s">
        <v>47425</v>
      </c>
      <c r="P572">
        <v>0</v>
      </c>
      <c r="Q572">
        <v>0</v>
      </c>
      <c r="R572" t="s">
        <v>47426</v>
      </c>
      <c r="S572" t="s">
        <v>47531</v>
      </c>
      <c r="T572" t="s">
        <v>49125</v>
      </c>
      <c r="U572" t="s">
        <v>50172</v>
      </c>
      <c r="V572" t="s">
        <v>62677</v>
      </c>
      <c r="W572" t="s">
        <v>43291</v>
      </c>
      <c r="X572" t="s">
        <v>47430</v>
      </c>
    </row>
    <row r="573" spans="1:24">
      <c r="A573">
        <f>HYPERLINK("https://www.philgeps.gov.ph/GEPSNONPILOT/Tender/SplashBidNoticeAbstractUI.aspx?menuIndex=3&amp;refID=7163703&amp;Result=3","7163703")</f>
        <v>0</v>
      </c>
      <c r="B573" t="s">
        <v>281</v>
      </c>
      <c r="C573" t="s">
        <v>4483</v>
      </c>
      <c r="D573" t="s">
        <v>19035</v>
      </c>
      <c r="E573" t="s">
        <v>19658</v>
      </c>
      <c r="F573" t="s">
        <v>32831</v>
      </c>
      <c r="G573" t="s">
        <v>32838</v>
      </c>
      <c r="H573" t="s">
        <v>32848</v>
      </c>
      <c r="I573" t="s">
        <v>32854</v>
      </c>
      <c r="J573" t="s">
        <v>33133</v>
      </c>
      <c r="K573" t="s">
        <v>42730</v>
      </c>
      <c r="M573" t="s">
        <v>43280</v>
      </c>
      <c r="N573" t="s">
        <v>47424</v>
      </c>
      <c r="O573" t="s">
        <v>47425</v>
      </c>
      <c r="P573">
        <v>0</v>
      </c>
      <c r="Q573">
        <v>0</v>
      </c>
      <c r="R573" t="s">
        <v>47426</v>
      </c>
      <c r="S573" t="s">
        <v>47531</v>
      </c>
      <c r="T573" t="s">
        <v>49061</v>
      </c>
      <c r="U573" t="s">
        <v>50173</v>
      </c>
      <c r="W573" t="s">
        <v>43280</v>
      </c>
      <c r="X573" t="s">
        <v>47430</v>
      </c>
    </row>
    <row r="574" spans="1:24">
      <c r="A574">
        <f>HYPERLINK("https://www.philgeps.gov.ph/GEPSNONPILOT/Tender/SplashBidNoticeAbstractUI.aspx?menuIndex=3&amp;refID=7163697&amp;Result=3","7163697")</f>
        <v>0</v>
      </c>
      <c r="B574" t="s">
        <v>283</v>
      </c>
      <c r="C574" t="s">
        <v>4484</v>
      </c>
      <c r="D574" t="s">
        <v>19037</v>
      </c>
      <c r="E574" t="s">
        <v>19659</v>
      </c>
      <c r="F574" t="s">
        <v>32831</v>
      </c>
      <c r="G574" t="s">
        <v>32840</v>
      </c>
      <c r="H574" t="s">
        <v>32848</v>
      </c>
      <c r="I574" t="s">
        <v>32878</v>
      </c>
      <c r="J574" t="s">
        <v>33364</v>
      </c>
      <c r="K574" t="s">
        <v>42727</v>
      </c>
      <c r="M574" t="s">
        <v>43282</v>
      </c>
      <c r="N574" t="s">
        <v>47424</v>
      </c>
      <c r="O574" t="s">
        <v>47425</v>
      </c>
      <c r="P574">
        <v>0</v>
      </c>
      <c r="Q574">
        <v>0</v>
      </c>
      <c r="R574" t="s">
        <v>47426</v>
      </c>
      <c r="S574" t="s">
        <v>47531</v>
      </c>
      <c r="T574" t="s">
        <v>49107</v>
      </c>
      <c r="U574" t="s">
        <v>50174</v>
      </c>
      <c r="W574" t="s">
        <v>43282</v>
      </c>
      <c r="X574" t="s">
        <v>47430</v>
      </c>
    </row>
    <row r="575" spans="1:24">
      <c r="A575">
        <f>HYPERLINK("https://www.philgeps.gov.ph/GEPSNONPILOT/Tender/SplashBidNoticeAbstractUI.aspx?menuIndex=3&amp;refID=7163901&amp;Result=3","7163901")</f>
        <v>0</v>
      </c>
      <c r="B575" t="s">
        <v>291</v>
      </c>
      <c r="C575" t="s">
        <v>4485</v>
      </c>
      <c r="D575" t="s">
        <v>19061</v>
      </c>
      <c r="E575" t="s">
        <v>19660</v>
      </c>
      <c r="F575" t="s">
        <v>32831</v>
      </c>
      <c r="G575" t="s">
        <v>32839</v>
      </c>
      <c r="H575" t="s">
        <v>32848</v>
      </c>
      <c r="I575" t="s">
        <v>4776</v>
      </c>
      <c r="J575" t="s">
        <v>33426</v>
      </c>
      <c r="K575" t="s">
        <v>42732</v>
      </c>
      <c r="M575" t="s">
        <v>43292</v>
      </c>
      <c r="N575" t="s">
        <v>47424</v>
      </c>
      <c r="O575" t="s">
        <v>47425</v>
      </c>
      <c r="P575">
        <v>0</v>
      </c>
      <c r="Q575">
        <v>4</v>
      </c>
      <c r="R575" t="s">
        <v>47426</v>
      </c>
      <c r="S575" t="s">
        <v>47531</v>
      </c>
      <c r="T575" t="s">
        <v>49173</v>
      </c>
      <c r="U575" t="s">
        <v>50175</v>
      </c>
      <c r="W575" t="s">
        <v>43292</v>
      </c>
      <c r="X575" t="s">
        <v>47430</v>
      </c>
    </row>
    <row r="576" spans="1:24">
      <c r="A576">
        <f>HYPERLINK("https://www.philgeps.gov.ph/GEPSNONPILOT/Tender/SplashBidNoticeAbstractUI.aspx?menuIndex=3&amp;refID=7163728&amp;Result=3","7163728")</f>
        <v>0</v>
      </c>
      <c r="B576" t="s">
        <v>283</v>
      </c>
      <c r="C576" t="s">
        <v>4486</v>
      </c>
      <c r="D576" t="s">
        <v>19037</v>
      </c>
      <c r="E576" t="s">
        <v>19661</v>
      </c>
      <c r="F576" t="s">
        <v>32831</v>
      </c>
      <c r="G576" t="s">
        <v>32840</v>
      </c>
      <c r="H576" t="s">
        <v>32848</v>
      </c>
      <c r="I576" t="s">
        <v>7416</v>
      </c>
      <c r="J576" t="s">
        <v>33427</v>
      </c>
      <c r="K576" t="s">
        <v>42727</v>
      </c>
      <c r="M576" t="s">
        <v>43282</v>
      </c>
      <c r="N576" t="s">
        <v>47424</v>
      </c>
      <c r="O576" t="s">
        <v>47425</v>
      </c>
      <c r="P576">
        <v>0</v>
      </c>
      <c r="Q576">
        <v>0</v>
      </c>
      <c r="R576" t="s">
        <v>47426</v>
      </c>
      <c r="S576" t="s">
        <v>47531</v>
      </c>
      <c r="T576" t="s">
        <v>49107</v>
      </c>
      <c r="U576" t="s">
        <v>50176</v>
      </c>
      <c r="W576" t="s">
        <v>43282</v>
      </c>
      <c r="X576" t="s">
        <v>47430</v>
      </c>
    </row>
    <row r="577" spans="1:24">
      <c r="A577">
        <f>HYPERLINK("https://www.philgeps.gov.ph/GEPSNONPILOT/Tender/SplashBidNoticeAbstractUI.aspx?menuIndex=3&amp;refID=7163890&amp;Result=3","7163890")</f>
        <v>0</v>
      </c>
      <c r="B577" t="s">
        <v>273</v>
      </c>
      <c r="C577" t="s">
        <v>4487</v>
      </c>
      <c r="D577" t="s">
        <v>19060</v>
      </c>
      <c r="E577" t="s">
        <v>19662</v>
      </c>
      <c r="F577" t="s">
        <v>32831</v>
      </c>
      <c r="G577" t="s">
        <v>32838</v>
      </c>
      <c r="H577" t="s">
        <v>32848</v>
      </c>
      <c r="I577" t="s">
        <v>4487</v>
      </c>
      <c r="J577" t="s">
        <v>32976</v>
      </c>
      <c r="K577" t="s">
        <v>42776</v>
      </c>
      <c r="M577" t="s">
        <v>43272</v>
      </c>
      <c r="N577" t="s">
        <v>47424</v>
      </c>
      <c r="O577" t="s">
        <v>47425</v>
      </c>
      <c r="P577">
        <v>0</v>
      </c>
      <c r="Q577">
        <v>0</v>
      </c>
      <c r="R577" t="s">
        <v>47426</v>
      </c>
      <c r="S577" t="s">
        <v>47531</v>
      </c>
      <c r="T577" t="s">
        <v>49108</v>
      </c>
      <c r="U577" t="s">
        <v>50136</v>
      </c>
      <c r="V577" t="s">
        <v>62674</v>
      </c>
      <c r="W577" t="s">
        <v>43272</v>
      </c>
      <c r="X577" t="s">
        <v>47430</v>
      </c>
    </row>
    <row r="578" spans="1:24">
      <c r="A578">
        <f>HYPERLINK("https://www.philgeps.gov.ph/GEPSNONPILOT/Tender/SplashBidNoticeAbstractUI.aspx?menuIndex=3&amp;refID=7163883&amp;Result=3","7163883")</f>
        <v>0</v>
      </c>
      <c r="B578" t="s">
        <v>83</v>
      </c>
      <c r="C578" t="s">
        <v>4488</v>
      </c>
      <c r="D578" t="s">
        <v>19038</v>
      </c>
      <c r="E578" t="s">
        <v>19663</v>
      </c>
      <c r="F578" t="s">
        <v>32831</v>
      </c>
      <c r="G578" t="s">
        <v>32838</v>
      </c>
      <c r="H578" t="s">
        <v>32848</v>
      </c>
      <c r="I578" t="s">
        <v>32882</v>
      </c>
      <c r="J578" t="s">
        <v>32980</v>
      </c>
      <c r="K578" t="s">
        <v>42727</v>
      </c>
      <c r="M578" t="s">
        <v>43080</v>
      </c>
      <c r="N578" t="s">
        <v>47424</v>
      </c>
      <c r="O578" t="s">
        <v>47425</v>
      </c>
      <c r="P578">
        <v>0</v>
      </c>
      <c r="Q578">
        <v>2</v>
      </c>
      <c r="R578" t="s">
        <v>47426</v>
      </c>
      <c r="S578" t="s">
        <v>47531</v>
      </c>
      <c r="T578" t="s">
        <v>49103</v>
      </c>
      <c r="U578" t="s">
        <v>49780</v>
      </c>
      <c r="W578" t="s">
        <v>43080</v>
      </c>
      <c r="X578" t="s">
        <v>47430</v>
      </c>
    </row>
    <row r="579" spans="1:24">
      <c r="A579">
        <f>HYPERLINK("https://www.philgeps.gov.ph/GEPSNONPILOT/Tender/SplashBidNoticeAbstractUI.aspx?menuIndex=3&amp;refID=7163872&amp;Result=3","7163872")</f>
        <v>0</v>
      </c>
      <c r="B579" t="s">
        <v>292</v>
      </c>
      <c r="C579" t="s">
        <v>4489</v>
      </c>
      <c r="D579" t="s">
        <v>19022</v>
      </c>
      <c r="E579" t="s">
        <v>19664</v>
      </c>
      <c r="F579" t="s">
        <v>32831</v>
      </c>
      <c r="G579" t="s">
        <v>32838</v>
      </c>
      <c r="H579" t="s">
        <v>32848</v>
      </c>
      <c r="I579" t="s">
        <v>32856</v>
      </c>
      <c r="J579" t="s">
        <v>33428</v>
      </c>
      <c r="K579" t="s">
        <v>42758</v>
      </c>
      <c r="M579" t="s">
        <v>43293</v>
      </c>
      <c r="N579" t="s">
        <v>47424</v>
      </c>
      <c r="O579" t="s">
        <v>47425</v>
      </c>
      <c r="P579">
        <v>0</v>
      </c>
      <c r="Q579">
        <v>0</v>
      </c>
      <c r="R579" t="s">
        <v>47426</v>
      </c>
      <c r="S579" t="s">
        <v>47531</v>
      </c>
      <c r="T579" t="s">
        <v>49100</v>
      </c>
      <c r="U579" t="s">
        <v>50177</v>
      </c>
      <c r="W579" t="s">
        <v>43293</v>
      </c>
      <c r="X579" t="s">
        <v>47430</v>
      </c>
    </row>
    <row r="580" spans="1:24">
      <c r="A580">
        <f>HYPERLINK("https://www.philgeps.gov.ph/GEPSNONPILOT/Tender/SplashBidNoticeAbstractUI.aspx?menuIndex=3&amp;refID=7163867&amp;Result=3","7163867")</f>
        <v>0</v>
      </c>
      <c r="B580" t="s">
        <v>82</v>
      </c>
      <c r="C580" t="s">
        <v>4490</v>
      </c>
      <c r="E580" t="s">
        <v>19665</v>
      </c>
      <c r="F580" t="s">
        <v>32831</v>
      </c>
      <c r="G580" t="s">
        <v>32839</v>
      </c>
      <c r="H580" t="s">
        <v>32849</v>
      </c>
      <c r="I580" t="s">
        <v>4177</v>
      </c>
      <c r="J580" t="s">
        <v>33429</v>
      </c>
      <c r="K580" t="s">
        <v>42764</v>
      </c>
      <c r="M580" t="s">
        <v>43079</v>
      </c>
      <c r="N580" t="s">
        <v>47424</v>
      </c>
      <c r="O580" t="s">
        <v>47425</v>
      </c>
      <c r="P580">
        <v>0</v>
      </c>
      <c r="Q580">
        <v>3</v>
      </c>
      <c r="R580" t="s">
        <v>47426</v>
      </c>
      <c r="S580" t="s">
        <v>47531</v>
      </c>
      <c r="T580" t="s">
        <v>49137</v>
      </c>
      <c r="U580" t="s">
        <v>50178</v>
      </c>
      <c r="W580" t="s">
        <v>43079</v>
      </c>
      <c r="X580" t="s">
        <v>47430</v>
      </c>
    </row>
    <row r="581" spans="1:24">
      <c r="A581">
        <f>HYPERLINK("https://www.philgeps.gov.ph/GEPSNONPILOT/Tender/SplashBidNoticeAbstractUI.aspx?menuIndex=3&amp;refID=7163749&amp;Result=3","7163749")</f>
        <v>0</v>
      </c>
      <c r="B581" t="s">
        <v>293</v>
      </c>
      <c r="C581" t="s">
        <v>4491</v>
      </c>
      <c r="D581" t="s">
        <v>19074</v>
      </c>
      <c r="E581" t="s">
        <v>19666</v>
      </c>
      <c r="F581" t="s">
        <v>32831</v>
      </c>
      <c r="G581" t="s">
        <v>32842</v>
      </c>
      <c r="H581" t="s">
        <v>32848</v>
      </c>
      <c r="I581" t="s">
        <v>4487</v>
      </c>
      <c r="J581" t="s">
        <v>33025</v>
      </c>
      <c r="K581" t="s">
        <v>42727</v>
      </c>
      <c r="M581" t="s">
        <v>43294</v>
      </c>
      <c r="N581" t="s">
        <v>47424</v>
      </c>
      <c r="O581" t="s">
        <v>47425</v>
      </c>
      <c r="P581">
        <v>0</v>
      </c>
      <c r="Q581">
        <v>1</v>
      </c>
      <c r="R581" t="s">
        <v>47426</v>
      </c>
      <c r="S581" t="s">
        <v>47531</v>
      </c>
      <c r="T581" t="s">
        <v>49073</v>
      </c>
      <c r="U581" t="s">
        <v>50179</v>
      </c>
      <c r="W581" t="s">
        <v>43294</v>
      </c>
      <c r="X581" t="s">
        <v>47430</v>
      </c>
    </row>
    <row r="582" spans="1:24">
      <c r="A582">
        <f>HYPERLINK("https://www.philgeps.gov.ph/GEPSNONPILOT/Tender/SplashBidNoticeAbstractUI.aspx?menuIndex=3&amp;refID=7163234&amp;Result=3","7163234")</f>
        <v>0</v>
      </c>
      <c r="B582" t="s">
        <v>262</v>
      </c>
      <c r="C582" t="s">
        <v>4492</v>
      </c>
      <c r="D582" t="s">
        <v>19049</v>
      </c>
      <c r="E582" t="s">
        <v>19667</v>
      </c>
      <c r="F582" t="s">
        <v>32831</v>
      </c>
      <c r="G582" t="s">
        <v>32838</v>
      </c>
      <c r="H582" t="s">
        <v>32848</v>
      </c>
      <c r="I582" t="s">
        <v>4558</v>
      </c>
      <c r="J582" t="s">
        <v>32985</v>
      </c>
      <c r="K582" t="s">
        <v>42726</v>
      </c>
      <c r="M582" t="s">
        <v>43261</v>
      </c>
      <c r="N582" t="s">
        <v>47424</v>
      </c>
      <c r="O582" t="s">
        <v>47425</v>
      </c>
      <c r="P582">
        <v>0</v>
      </c>
      <c r="Q582">
        <v>1</v>
      </c>
      <c r="R582" t="s">
        <v>47426</v>
      </c>
      <c r="S582" t="s">
        <v>47531</v>
      </c>
      <c r="T582" t="s">
        <v>49174</v>
      </c>
      <c r="U582" t="s">
        <v>50180</v>
      </c>
      <c r="W582" t="s">
        <v>43261</v>
      </c>
      <c r="X582" t="s">
        <v>47430</v>
      </c>
    </row>
    <row r="583" spans="1:24">
      <c r="A583">
        <f>HYPERLINK("https://www.philgeps.gov.ph/GEPSNONPILOT/Tender/SplashBidNoticeAbstractUI.aspx?menuIndex=3&amp;refID=7163894&amp;Result=3","7163894")</f>
        <v>0</v>
      </c>
      <c r="B583" t="s">
        <v>294</v>
      </c>
      <c r="C583" t="s">
        <v>4493</v>
      </c>
      <c r="D583" t="s">
        <v>19077</v>
      </c>
      <c r="E583" t="s">
        <v>19668</v>
      </c>
      <c r="F583" t="s">
        <v>32831</v>
      </c>
      <c r="G583" t="s">
        <v>32838</v>
      </c>
      <c r="H583" t="s">
        <v>32848</v>
      </c>
      <c r="I583" t="s">
        <v>4438</v>
      </c>
      <c r="J583" t="s">
        <v>33372</v>
      </c>
      <c r="K583" t="s">
        <v>42726</v>
      </c>
      <c r="M583" t="s">
        <v>43295</v>
      </c>
      <c r="N583" t="s">
        <v>47424</v>
      </c>
      <c r="O583" t="s">
        <v>47425</v>
      </c>
      <c r="P583">
        <v>0</v>
      </c>
      <c r="Q583">
        <v>2</v>
      </c>
      <c r="R583" t="s">
        <v>47426</v>
      </c>
      <c r="S583" t="s">
        <v>47531</v>
      </c>
      <c r="T583" t="s">
        <v>49079</v>
      </c>
      <c r="U583" t="s">
        <v>50181</v>
      </c>
      <c r="W583" t="s">
        <v>43295</v>
      </c>
      <c r="X583" t="s">
        <v>47430</v>
      </c>
    </row>
    <row r="584" spans="1:24">
      <c r="A584">
        <f>HYPERLINK("https://www.philgeps.gov.ph/GEPSNONPILOT/Tender/SplashBidNoticeAbstractUI.aspx?menuIndex=3&amp;refID=7163852&amp;Result=3","7163852")</f>
        <v>0</v>
      </c>
      <c r="B584" t="s">
        <v>295</v>
      </c>
      <c r="C584" t="s">
        <v>4494</v>
      </c>
      <c r="D584" t="s">
        <v>19074</v>
      </c>
      <c r="E584" t="s">
        <v>19669</v>
      </c>
      <c r="F584" t="s">
        <v>32831</v>
      </c>
      <c r="G584" t="s">
        <v>32838</v>
      </c>
      <c r="H584" t="s">
        <v>32848</v>
      </c>
      <c r="I584" t="s">
        <v>32890</v>
      </c>
      <c r="J584" t="s">
        <v>33430</v>
      </c>
      <c r="K584" t="s">
        <v>42726</v>
      </c>
      <c r="M584" t="s">
        <v>43296</v>
      </c>
      <c r="N584" t="s">
        <v>47424</v>
      </c>
      <c r="O584" t="s">
        <v>47425</v>
      </c>
      <c r="P584">
        <v>0</v>
      </c>
      <c r="Q584">
        <v>0</v>
      </c>
      <c r="R584" t="s">
        <v>47426</v>
      </c>
      <c r="S584" t="s">
        <v>47531</v>
      </c>
      <c r="T584" t="s">
        <v>49175</v>
      </c>
      <c r="U584" t="s">
        <v>50182</v>
      </c>
      <c r="W584" t="s">
        <v>43296</v>
      </c>
      <c r="X584" t="s">
        <v>47430</v>
      </c>
    </row>
    <row r="585" spans="1:24">
      <c r="A585">
        <f>HYPERLINK("https://www.philgeps.gov.ph/GEPSNONPILOT/Tender/SplashBidNoticeAbstractUI.aspx?menuIndex=3&amp;refID=7163712&amp;Result=3","7163712")</f>
        <v>0</v>
      </c>
      <c r="B585" t="s">
        <v>225</v>
      </c>
      <c r="C585" t="s">
        <v>4226</v>
      </c>
      <c r="E585" t="s">
        <v>19670</v>
      </c>
      <c r="F585" t="s">
        <v>32831</v>
      </c>
      <c r="G585" t="s">
        <v>32840</v>
      </c>
      <c r="H585" t="s">
        <v>32848</v>
      </c>
      <c r="I585" t="s">
        <v>9577</v>
      </c>
      <c r="J585" t="s">
        <v>33431</v>
      </c>
      <c r="K585" t="s">
        <v>42732</v>
      </c>
      <c r="M585" t="s">
        <v>43223</v>
      </c>
      <c r="N585" t="s">
        <v>47424</v>
      </c>
      <c r="O585" t="s">
        <v>47425</v>
      </c>
      <c r="P585">
        <v>0</v>
      </c>
      <c r="Q585">
        <v>0</v>
      </c>
      <c r="R585" t="s">
        <v>47426</v>
      </c>
      <c r="S585" t="s">
        <v>47531</v>
      </c>
      <c r="T585" t="s">
        <v>49176</v>
      </c>
      <c r="U585" t="s">
        <v>50183</v>
      </c>
      <c r="W585" t="s">
        <v>43223</v>
      </c>
      <c r="X585" t="s">
        <v>47430</v>
      </c>
    </row>
    <row r="586" spans="1:24">
      <c r="A586">
        <f>HYPERLINK("https://www.philgeps.gov.ph/GEPSNONPILOT/Tender/SplashBidNoticeAbstractUI.aspx?menuIndex=3&amp;refID=7163757&amp;Result=3","7163757")</f>
        <v>0</v>
      </c>
      <c r="B586" t="s">
        <v>283</v>
      </c>
      <c r="C586" t="s">
        <v>4495</v>
      </c>
      <c r="D586" t="s">
        <v>19037</v>
      </c>
      <c r="E586" t="s">
        <v>19671</v>
      </c>
      <c r="F586" t="s">
        <v>32831</v>
      </c>
      <c r="G586" t="s">
        <v>32838</v>
      </c>
      <c r="H586" t="s">
        <v>32848</v>
      </c>
      <c r="I586" t="s">
        <v>32860</v>
      </c>
      <c r="J586" t="s">
        <v>33432</v>
      </c>
      <c r="K586" t="s">
        <v>42727</v>
      </c>
      <c r="M586" t="s">
        <v>43282</v>
      </c>
      <c r="N586" t="s">
        <v>47424</v>
      </c>
      <c r="O586" t="s">
        <v>47425</v>
      </c>
      <c r="P586">
        <v>0</v>
      </c>
      <c r="Q586">
        <v>0</v>
      </c>
      <c r="R586" t="s">
        <v>47426</v>
      </c>
      <c r="S586" t="s">
        <v>47531</v>
      </c>
      <c r="T586" t="s">
        <v>49100</v>
      </c>
      <c r="U586" t="s">
        <v>50184</v>
      </c>
      <c r="W586" t="s">
        <v>43282</v>
      </c>
      <c r="X586" t="s">
        <v>47430</v>
      </c>
    </row>
    <row r="587" spans="1:24">
      <c r="A587">
        <f>HYPERLINK("https://www.philgeps.gov.ph/GEPSNONPILOT/Tender/SplashBidNoticeAbstractUI.aspx?menuIndex=3&amp;refID=7163843&amp;Result=3","7163843")</f>
        <v>0</v>
      </c>
      <c r="B587" t="s">
        <v>296</v>
      </c>
      <c r="C587" t="s">
        <v>4496</v>
      </c>
      <c r="D587" t="s">
        <v>19024</v>
      </c>
      <c r="E587" t="s">
        <v>19672</v>
      </c>
      <c r="F587" t="s">
        <v>32831</v>
      </c>
      <c r="G587" t="s">
        <v>32838</v>
      </c>
      <c r="H587" t="s">
        <v>32848</v>
      </c>
      <c r="I587" t="s">
        <v>32870</v>
      </c>
      <c r="J587" t="s">
        <v>33385</v>
      </c>
      <c r="K587" t="s">
        <v>42727</v>
      </c>
      <c r="M587" t="s">
        <v>43297</v>
      </c>
      <c r="N587" t="s">
        <v>47424</v>
      </c>
      <c r="O587" t="s">
        <v>47425</v>
      </c>
      <c r="P587">
        <v>0</v>
      </c>
      <c r="Q587">
        <v>0</v>
      </c>
      <c r="R587" t="s">
        <v>47426</v>
      </c>
      <c r="S587" t="s">
        <v>47531</v>
      </c>
      <c r="T587" t="s">
        <v>49079</v>
      </c>
      <c r="U587" t="s">
        <v>50185</v>
      </c>
      <c r="W587" t="s">
        <v>43297</v>
      </c>
      <c r="X587" t="s">
        <v>47430</v>
      </c>
    </row>
    <row r="588" spans="1:24">
      <c r="A588">
        <f>HYPERLINK("https://www.philgeps.gov.ph/GEPSNONPILOT/Tender/SplashBidNoticeAbstractUI.aspx?menuIndex=3&amp;refID=7163831&amp;Result=3","7163831")</f>
        <v>0</v>
      </c>
      <c r="B588" t="s">
        <v>297</v>
      </c>
      <c r="C588" t="s">
        <v>4497</v>
      </c>
      <c r="D588" t="s">
        <v>19075</v>
      </c>
      <c r="E588" t="s">
        <v>19351</v>
      </c>
      <c r="F588" t="s">
        <v>32831</v>
      </c>
      <c r="G588" t="s">
        <v>32839</v>
      </c>
      <c r="H588" t="s">
        <v>32848</v>
      </c>
      <c r="I588" t="s">
        <v>4438</v>
      </c>
      <c r="J588" t="s">
        <v>33433</v>
      </c>
      <c r="K588" t="s">
        <v>42730</v>
      </c>
      <c r="M588" t="s">
        <v>43298</v>
      </c>
      <c r="N588" t="s">
        <v>47424</v>
      </c>
      <c r="O588" t="s">
        <v>47425</v>
      </c>
      <c r="P588">
        <v>0</v>
      </c>
      <c r="Q588">
        <v>1</v>
      </c>
      <c r="R588" t="s">
        <v>47426</v>
      </c>
      <c r="S588" t="s">
        <v>47531</v>
      </c>
      <c r="T588" t="s">
        <v>49080</v>
      </c>
      <c r="U588" t="s">
        <v>50186</v>
      </c>
      <c r="W588" t="s">
        <v>43298</v>
      </c>
      <c r="X588" t="s">
        <v>47430</v>
      </c>
    </row>
    <row r="589" spans="1:24">
      <c r="A589">
        <f>HYPERLINK("https://www.philgeps.gov.ph/GEPSNONPILOT/Tender/SplashBidNoticeAbstractUI.aspx?menuIndex=3&amp;refID=7163827&amp;Result=3","7163827")</f>
        <v>0</v>
      </c>
      <c r="B589" t="s">
        <v>258</v>
      </c>
      <c r="C589" t="s">
        <v>4407</v>
      </c>
      <c r="D589" t="s">
        <v>19023</v>
      </c>
      <c r="E589" t="s">
        <v>19673</v>
      </c>
      <c r="F589" t="s">
        <v>32831</v>
      </c>
      <c r="G589" t="s">
        <v>32840</v>
      </c>
      <c r="H589" t="s">
        <v>32848</v>
      </c>
      <c r="I589" t="s">
        <v>32870</v>
      </c>
      <c r="J589" t="s">
        <v>33434</v>
      </c>
      <c r="K589" t="s">
        <v>42759</v>
      </c>
      <c r="M589" t="s">
        <v>43257</v>
      </c>
      <c r="N589" t="s">
        <v>47424</v>
      </c>
      <c r="O589" t="s">
        <v>47425</v>
      </c>
      <c r="P589">
        <v>0</v>
      </c>
      <c r="Q589">
        <v>0</v>
      </c>
      <c r="R589" t="s">
        <v>47426</v>
      </c>
      <c r="S589" t="s">
        <v>47531</v>
      </c>
      <c r="T589" t="s">
        <v>49163</v>
      </c>
      <c r="U589" t="s">
        <v>50187</v>
      </c>
      <c r="W589" t="s">
        <v>43257</v>
      </c>
      <c r="X589" t="s">
        <v>47430</v>
      </c>
    </row>
    <row r="590" spans="1:24">
      <c r="A590">
        <f>HYPERLINK("https://www.philgeps.gov.ph/GEPSNONPILOT/Tender/SplashBidNoticeAbstractUI.aspx?menuIndex=3&amp;refID=7163847&amp;Result=3","7163847")</f>
        <v>0</v>
      </c>
      <c r="B590" t="s">
        <v>272</v>
      </c>
      <c r="C590" t="s">
        <v>4498</v>
      </c>
      <c r="D590" t="s">
        <v>19077</v>
      </c>
      <c r="E590" t="s">
        <v>19674</v>
      </c>
      <c r="F590" t="s">
        <v>32831</v>
      </c>
      <c r="G590" t="s">
        <v>32838</v>
      </c>
      <c r="H590" t="s">
        <v>32848</v>
      </c>
      <c r="I590" t="s">
        <v>5379</v>
      </c>
      <c r="J590" t="s">
        <v>33435</v>
      </c>
      <c r="K590" t="s">
        <v>42732</v>
      </c>
      <c r="M590" t="s">
        <v>43290</v>
      </c>
      <c r="N590" t="s">
        <v>47424</v>
      </c>
      <c r="O590" t="s">
        <v>47425</v>
      </c>
      <c r="P590">
        <v>0</v>
      </c>
      <c r="Q590">
        <v>0</v>
      </c>
      <c r="R590" t="s">
        <v>47426</v>
      </c>
      <c r="S590" t="s">
        <v>47531</v>
      </c>
      <c r="T590" t="s">
        <v>49100</v>
      </c>
      <c r="U590" t="s">
        <v>50188</v>
      </c>
      <c r="W590" t="s">
        <v>43290</v>
      </c>
      <c r="X590" t="s">
        <v>47430</v>
      </c>
    </row>
    <row r="591" spans="1:24">
      <c r="A591">
        <f>HYPERLINK("https://www.philgeps.gov.ph/GEPSNONPILOT/Tender/SplashBidNoticeAbstractUI.aspx?menuIndex=3&amp;refID=7163804&amp;Result=3","7163804")</f>
        <v>0</v>
      </c>
      <c r="B591" t="s">
        <v>298</v>
      </c>
      <c r="C591" t="s">
        <v>4499</v>
      </c>
      <c r="D591" t="s">
        <v>19024</v>
      </c>
      <c r="E591" t="s">
        <v>19675</v>
      </c>
      <c r="F591" t="s">
        <v>32831</v>
      </c>
      <c r="G591" t="s">
        <v>32839</v>
      </c>
      <c r="H591" t="s">
        <v>32848</v>
      </c>
      <c r="I591" t="s">
        <v>7416</v>
      </c>
      <c r="J591" t="s">
        <v>33436</v>
      </c>
      <c r="K591" t="s">
        <v>42732</v>
      </c>
      <c r="M591" t="s">
        <v>43299</v>
      </c>
      <c r="N591" t="s">
        <v>47424</v>
      </c>
      <c r="O591" t="s">
        <v>47425</v>
      </c>
      <c r="P591">
        <v>0</v>
      </c>
      <c r="Q591">
        <v>0</v>
      </c>
      <c r="R591" t="s">
        <v>47426</v>
      </c>
      <c r="S591" t="s">
        <v>47531</v>
      </c>
      <c r="T591" t="s">
        <v>49080</v>
      </c>
      <c r="U591" t="s">
        <v>50189</v>
      </c>
      <c r="W591" t="s">
        <v>43299</v>
      </c>
      <c r="X591" t="s">
        <v>47430</v>
      </c>
    </row>
    <row r="592" spans="1:24">
      <c r="A592">
        <f>HYPERLINK("https://www.philgeps.gov.ph/GEPSNONPILOT/Tender/SplashBidNoticeAbstractUI.aspx?menuIndex=3&amp;refID=7163837&amp;Result=3","7163837")</f>
        <v>0</v>
      </c>
      <c r="B592" t="s">
        <v>299</v>
      </c>
      <c r="C592" t="s">
        <v>4500</v>
      </c>
      <c r="D592" t="s">
        <v>19045</v>
      </c>
      <c r="E592" t="s">
        <v>19676</v>
      </c>
      <c r="F592" t="s">
        <v>32831</v>
      </c>
      <c r="G592" t="s">
        <v>32839</v>
      </c>
      <c r="H592" t="s">
        <v>32849</v>
      </c>
      <c r="I592" t="s">
        <v>4177</v>
      </c>
      <c r="J592" t="s">
        <v>33437</v>
      </c>
      <c r="K592" t="s">
        <v>42730</v>
      </c>
      <c r="M592" t="s">
        <v>43300</v>
      </c>
      <c r="N592" t="s">
        <v>47424</v>
      </c>
      <c r="O592" t="s">
        <v>47425</v>
      </c>
      <c r="P592">
        <v>0</v>
      </c>
      <c r="Q592">
        <v>0</v>
      </c>
      <c r="R592" t="s">
        <v>47426</v>
      </c>
      <c r="S592" t="s">
        <v>47531</v>
      </c>
      <c r="T592" t="s">
        <v>49151</v>
      </c>
      <c r="U592" t="s">
        <v>50190</v>
      </c>
      <c r="W592" t="s">
        <v>43300</v>
      </c>
      <c r="X592" t="s">
        <v>47430</v>
      </c>
    </row>
    <row r="593" spans="1:24">
      <c r="A593">
        <f>HYPERLINK("https://www.philgeps.gov.ph/GEPSNONPILOT/Tender/SplashBidNoticeAbstractUI.aspx?menuIndex=3&amp;refID=7163830&amp;Result=3","7163830")</f>
        <v>0</v>
      </c>
      <c r="B593" t="s">
        <v>207</v>
      </c>
      <c r="C593" t="s">
        <v>4501</v>
      </c>
      <c r="D593" t="s">
        <v>19050</v>
      </c>
      <c r="E593" t="s">
        <v>19677</v>
      </c>
      <c r="F593" t="s">
        <v>32831</v>
      </c>
      <c r="G593" t="s">
        <v>32839</v>
      </c>
      <c r="H593" t="s">
        <v>32848</v>
      </c>
      <c r="I593" t="s">
        <v>7416</v>
      </c>
      <c r="J593" t="s">
        <v>33438</v>
      </c>
      <c r="K593" t="s">
        <v>42732</v>
      </c>
      <c r="M593" t="s">
        <v>43205</v>
      </c>
      <c r="N593" t="s">
        <v>47424</v>
      </c>
      <c r="O593" t="s">
        <v>47425</v>
      </c>
      <c r="P593">
        <v>0</v>
      </c>
      <c r="Q593">
        <v>0</v>
      </c>
      <c r="R593" t="s">
        <v>47426</v>
      </c>
      <c r="S593" t="s">
        <v>47531</v>
      </c>
      <c r="T593" t="s">
        <v>49069</v>
      </c>
      <c r="U593" t="s">
        <v>50191</v>
      </c>
      <c r="W593" t="s">
        <v>64433</v>
      </c>
      <c r="X593" t="s">
        <v>47430</v>
      </c>
    </row>
    <row r="594" spans="1:24">
      <c r="A594">
        <f>HYPERLINK("https://www.philgeps.gov.ph/GEPSNONPILOT/Tender/SplashBidNoticeAbstractUI.aspx?menuIndex=3&amp;refID=7163800&amp;Result=3","7163800")</f>
        <v>0</v>
      </c>
      <c r="B594" t="s">
        <v>180</v>
      </c>
      <c r="C594" t="s">
        <v>4226</v>
      </c>
      <c r="D594" t="s">
        <v>19021</v>
      </c>
      <c r="E594" t="s">
        <v>19678</v>
      </c>
      <c r="F594" t="s">
        <v>32831</v>
      </c>
      <c r="G594" t="s">
        <v>32842</v>
      </c>
      <c r="H594" t="s">
        <v>32848</v>
      </c>
      <c r="I594" t="s">
        <v>9577</v>
      </c>
      <c r="J594" t="s">
        <v>33439</v>
      </c>
      <c r="K594" t="s">
        <v>42732</v>
      </c>
      <c r="M594" t="s">
        <v>43178</v>
      </c>
      <c r="N594" t="s">
        <v>47424</v>
      </c>
      <c r="O594" t="s">
        <v>47425</v>
      </c>
      <c r="P594">
        <v>0</v>
      </c>
      <c r="Q594">
        <v>0</v>
      </c>
      <c r="R594" t="s">
        <v>47426</v>
      </c>
      <c r="S594" t="s">
        <v>47531</v>
      </c>
      <c r="T594" t="s">
        <v>49100</v>
      </c>
      <c r="U594" t="s">
        <v>50192</v>
      </c>
      <c r="W594" t="s">
        <v>43178</v>
      </c>
      <c r="X594" t="s">
        <v>47430</v>
      </c>
    </row>
    <row r="595" spans="1:24">
      <c r="A595">
        <f>HYPERLINK("https://www.philgeps.gov.ph/GEPSNONPILOT/Tender/SplashBidNoticeAbstractUI.aspx?menuIndex=3&amp;refID=7163694&amp;Result=3","7163694")</f>
        <v>0</v>
      </c>
      <c r="B595" t="s">
        <v>250</v>
      </c>
      <c r="C595" t="s">
        <v>4502</v>
      </c>
      <c r="D595" t="s">
        <v>19075</v>
      </c>
      <c r="E595" t="s">
        <v>19679</v>
      </c>
      <c r="F595" t="s">
        <v>32831</v>
      </c>
      <c r="G595" t="s">
        <v>32839</v>
      </c>
      <c r="H595" t="s">
        <v>32848</v>
      </c>
      <c r="I595" t="s">
        <v>32853</v>
      </c>
      <c r="J595" t="s">
        <v>33440</v>
      </c>
      <c r="K595" t="s">
        <v>42731</v>
      </c>
      <c r="M595" t="s">
        <v>43249</v>
      </c>
      <c r="N595" t="s">
        <v>47424</v>
      </c>
      <c r="O595" t="s">
        <v>47425</v>
      </c>
      <c r="P595">
        <v>0</v>
      </c>
      <c r="Q595">
        <v>0</v>
      </c>
      <c r="R595" t="s">
        <v>47426</v>
      </c>
      <c r="S595" t="s">
        <v>47531</v>
      </c>
      <c r="T595" t="s">
        <v>49073</v>
      </c>
      <c r="U595" t="s">
        <v>50193</v>
      </c>
      <c r="W595" t="s">
        <v>43249</v>
      </c>
      <c r="X595" t="s">
        <v>47430</v>
      </c>
    </row>
    <row r="596" spans="1:24">
      <c r="A596">
        <f>HYPERLINK("https://www.philgeps.gov.ph/GEPSNONPILOT/Tender/SplashBidNoticeAbstractUI.aspx?menuIndex=3&amp;refID=7163856&amp;Result=3","7163856")</f>
        <v>0</v>
      </c>
      <c r="B596" t="s">
        <v>282</v>
      </c>
      <c r="C596" t="s">
        <v>4503</v>
      </c>
      <c r="D596" t="s">
        <v>19052</v>
      </c>
      <c r="E596" t="s">
        <v>19680</v>
      </c>
      <c r="F596" t="s">
        <v>32831</v>
      </c>
      <c r="G596" t="s">
        <v>32839</v>
      </c>
      <c r="H596" t="s">
        <v>32848</v>
      </c>
      <c r="I596" t="s">
        <v>9577</v>
      </c>
      <c r="J596" t="s">
        <v>33441</v>
      </c>
      <c r="K596" t="s">
        <v>42731</v>
      </c>
      <c r="M596" t="s">
        <v>43281</v>
      </c>
      <c r="N596" t="s">
        <v>47424</v>
      </c>
      <c r="O596" t="s">
        <v>47425</v>
      </c>
      <c r="P596">
        <v>0</v>
      </c>
      <c r="Q596">
        <v>2</v>
      </c>
      <c r="R596" t="s">
        <v>47426</v>
      </c>
      <c r="S596" t="s">
        <v>47531</v>
      </c>
      <c r="T596" t="s">
        <v>49065</v>
      </c>
      <c r="U596" t="s">
        <v>50194</v>
      </c>
      <c r="W596" t="s">
        <v>43281</v>
      </c>
      <c r="X596" t="s">
        <v>47430</v>
      </c>
    </row>
    <row r="597" spans="1:24">
      <c r="A597">
        <f>HYPERLINK("https://www.philgeps.gov.ph/GEPSNONPILOT/Tender/SplashBidNoticeAbstractUI.aspx?menuIndex=3&amp;refID=7163824&amp;Result=3","7163824")</f>
        <v>0</v>
      </c>
      <c r="B597" t="s">
        <v>300</v>
      </c>
      <c r="C597" t="s">
        <v>4504</v>
      </c>
      <c r="D597" t="s">
        <v>19030</v>
      </c>
      <c r="E597" t="s">
        <v>19681</v>
      </c>
      <c r="F597" t="s">
        <v>32831</v>
      </c>
      <c r="G597" t="s">
        <v>32840</v>
      </c>
      <c r="H597" t="s">
        <v>32848</v>
      </c>
      <c r="I597" t="s">
        <v>10805</v>
      </c>
      <c r="J597" t="s">
        <v>33442</v>
      </c>
      <c r="K597" t="s">
        <v>42732</v>
      </c>
      <c r="M597" t="s">
        <v>43301</v>
      </c>
      <c r="N597" t="s">
        <v>47424</v>
      </c>
      <c r="O597" t="s">
        <v>47425</v>
      </c>
      <c r="P597">
        <v>0</v>
      </c>
      <c r="Q597">
        <v>1</v>
      </c>
      <c r="R597" t="s">
        <v>47426</v>
      </c>
      <c r="S597" t="s">
        <v>47531</v>
      </c>
      <c r="T597" t="s">
        <v>49114</v>
      </c>
      <c r="U597" t="s">
        <v>50195</v>
      </c>
      <c r="W597" t="s">
        <v>43301</v>
      </c>
      <c r="X597" t="s">
        <v>47430</v>
      </c>
    </row>
    <row r="598" spans="1:24">
      <c r="A598">
        <f>HYPERLINK("https://www.philgeps.gov.ph/GEPSNONPILOT/Tender/SplashBidNoticeAbstractUI.aspx?menuIndex=3&amp;refID=7163613&amp;Result=3","7163613")</f>
        <v>0</v>
      </c>
      <c r="B598" t="s">
        <v>301</v>
      </c>
      <c r="C598" t="s">
        <v>4505</v>
      </c>
      <c r="D598" t="s">
        <v>19048</v>
      </c>
      <c r="E598" t="s">
        <v>19682</v>
      </c>
      <c r="F598" t="s">
        <v>32831</v>
      </c>
      <c r="G598" t="s">
        <v>32839</v>
      </c>
      <c r="H598" t="s">
        <v>32849</v>
      </c>
      <c r="I598" t="s">
        <v>4177</v>
      </c>
      <c r="J598" t="s">
        <v>33443</v>
      </c>
      <c r="K598" t="s">
        <v>42763</v>
      </c>
      <c r="M598" t="s">
        <v>43302</v>
      </c>
      <c r="N598" t="s">
        <v>47424</v>
      </c>
      <c r="O598" t="s">
        <v>47425</v>
      </c>
      <c r="P598">
        <v>0</v>
      </c>
      <c r="Q598">
        <v>1</v>
      </c>
      <c r="R598" t="s">
        <v>47426</v>
      </c>
      <c r="S598" t="s">
        <v>47531</v>
      </c>
      <c r="T598" t="s">
        <v>49065</v>
      </c>
      <c r="U598" t="s">
        <v>50196</v>
      </c>
      <c r="W598" t="s">
        <v>43302</v>
      </c>
      <c r="X598" t="s">
        <v>47430</v>
      </c>
    </row>
    <row r="599" spans="1:24">
      <c r="A599">
        <f>HYPERLINK("https://www.philgeps.gov.ph/GEPSNONPILOT/Tender/SplashBidNoticeAbstractUI.aspx?menuIndex=3&amp;refID=7163870&amp;Result=3","7163870")</f>
        <v>0</v>
      </c>
      <c r="B599" t="s">
        <v>302</v>
      </c>
      <c r="C599" t="s">
        <v>4506</v>
      </c>
      <c r="D599" t="s">
        <v>19021</v>
      </c>
      <c r="E599" t="s">
        <v>19683</v>
      </c>
      <c r="F599" t="s">
        <v>32831</v>
      </c>
      <c r="G599" t="s">
        <v>32840</v>
      </c>
      <c r="H599" t="s">
        <v>32848</v>
      </c>
      <c r="I599" t="s">
        <v>7416</v>
      </c>
      <c r="J599" t="s">
        <v>33444</v>
      </c>
      <c r="K599" t="s">
        <v>42742</v>
      </c>
      <c r="M599" t="s">
        <v>43303</v>
      </c>
      <c r="N599" t="s">
        <v>47424</v>
      </c>
      <c r="O599" t="s">
        <v>47425</v>
      </c>
      <c r="P599">
        <v>0</v>
      </c>
      <c r="Q599">
        <v>2</v>
      </c>
      <c r="R599" t="s">
        <v>47426</v>
      </c>
      <c r="S599" t="s">
        <v>47531</v>
      </c>
      <c r="T599" t="s">
        <v>49177</v>
      </c>
      <c r="U599" t="s">
        <v>50197</v>
      </c>
      <c r="W599" t="s">
        <v>43303</v>
      </c>
      <c r="X599" t="s">
        <v>47430</v>
      </c>
    </row>
    <row r="600" spans="1:24">
      <c r="A600">
        <f>HYPERLINK("https://www.philgeps.gov.ph/GEPSNONPILOT/Tender/SplashBidNoticeAbstractUI.aspx?menuIndex=3&amp;refID=7163612&amp;Result=3","7163612")</f>
        <v>0</v>
      </c>
      <c r="B600" t="s">
        <v>286</v>
      </c>
      <c r="C600" t="s">
        <v>4507</v>
      </c>
      <c r="D600" t="s">
        <v>19017</v>
      </c>
      <c r="E600" t="s">
        <v>19606</v>
      </c>
      <c r="F600" t="s">
        <v>32831</v>
      </c>
      <c r="G600" t="s">
        <v>32840</v>
      </c>
      <c r="H600" t="s">
        <v>32849</v>
      </c>
      <c r="I600" t="s">
        <v>4177</v>
      </c>
      <c r="J600" t="s">
        <v>32980</v>
      </c>
      <c r="K600" t="s">
        <v>42727</v>
      </c>
      <c r="M600" t="s">
        <v>43285</v>
      </c>
      <c r="N600" t="s">
        <v>47424</v>
      </c>
      <c r="O600" t="s">
        <v>47425</v>
      </c>
      <c r="P600">
        <v>0</v>
      </c>
      <c r="Q600">
        <v>0</v>
      </c>
      <c r="R600" t="s">
        <v>47426</v>
      </c>
      <c r="S600" t="s">
        <v>47531</v>
      </c>
      <c r="T600" t="s">
        <v>49141</v>
      </c>
      <c r="U600" t="s">
        <v>50198</v>
      </c>
      <c r="W600" t="s">
        <v>43285</v>
      </c>
      <c r="X600" t="s">
        <v>47430</v>
      </c>
    </row>
    <row r="601" spans="1:24">
      <c r="A601">
        <f>HYPERLINK("https://www.philgeps.gov.ph/GEPSNONPILOT/Tender/SplashBidNoticeAbstractUI.aspx?menuIndex=3&amp;refID=7163611&amp;Result=3","7163611")</f>
        <v>0</v>
      </c>
      <c r="B601" t="s">
        <v>280</v>
      </c>
      <c r="C601" t="s">
        <v>4508</v>
      </c>
      <c r="D601" t="s">
        <v>19044</v>
      </c>
      <c r="E601" t="s">
        <v>19684</v>
      </c>
      <c r="F601" t="s">
        <v>32831</v>
      </c>
      <c r="G601" t="s">
        <v>32839</v>
      </c>
      <c r="H601" t="s">
        <v>32849</v>
      </c>
      <c r="I601" t="s">
        <v>4177</v>
      </c>
      <c r="J601" t="s">
        <v>33445</v>
      </c>
      <c r="K601" t="s">
        <v>42729</v>
      </c>
      <c r="M601" t="s">
        <v>43279</v>
      </c>
      <c r="N601" t="s">
        <v>47424</v>
      </c>
      <c r="O601" t="s">
        <v>47425</v>
      </c>
      <c r="P601">
        <v>0</v>
      </c>
      <c r="Q601">
        <v>0</v>
      </c>
      <c r="R601" t="s">
        <v>47426</v>
      </c>
      <c r="S601" t="s">
        <v>47531</v>
      </c>
      <c r="T601" t="s">
        <v>49068</v>
      </c>
      <c r="U601" t="s">
        <v>50199</v>
      </c>
      <c r="W601" t="s">
        <v>43279</v>
      </c>
      <c r="X601" t="s">
        <v>47430</v>
      </c>
    </row>
    <row r="602" spans="1:24">
      <c r="A602">
        <f>HYPERLINK("https://www.philgeps.gov.ph/GEPSNONPILOT/Tender/SplashBidNoticeAbstractUI.aspx?menuIndex=3&amp;refID=7163857&amp;Result=3","7163857")</f>
        <v>0</v>
      </c>
      <c r="B602" t="s">
        <v>95</v>
      </c>
      <c r="C602" t="s">
        <v>4509</v>
      </c>
      <c r="D602" t="s">
        <v>19032</v>
      </c>
      <c r="E602" t="s">
        <v>19685</v>
      </c>
      <c r="F602" t="s">
        <v>32831</v>
      </c>
      <c r="G602" t="s">
        <v>32838</v>
      </c>
      <c r="H602" t="s">
        <v>32848</v>
      </c>
      <c r="I602" t="s">
        <v>7416</v>
      </c>
      <c r="J602" t="s">
        <v>33446</v>
      </c>
      <c r="K602" t="s">
        <v>42727</v>
      </c>
      <c r="M602" t="s">
        <v>43092</v>
      </c>
      <c r="N602" t="s">
        <v>47424</v>
      </c>
      <c r="O602" t="s">
        <v>47425</v>
      </c>
      <c r="P602">
        <v>0</v>
      </c>
      <c r="Q602">
        <v>0</v>
      </c>
      <c r="R602" t="s">
        <v>47426</v>
      </c>
      <c r="S602" t="s">
        <v>47531</v>
      </c>
      <c r="T602" t="s">
        <v>49091</v>
      </c>
      <c r="U602" t="s">
        <v>50200</v>
      </c>
      <c r="W602" t="s">
        <v>43092</v>
      </c>
      <c r="X602" t="s">
        <v>47430</v>
      </c>
    </row>
    <row r="603" spans="1:24">
      <c r="A603">
        <f>HYPERLINK("https://www.philgeps.gov.ph/GEPSNONPILOT/Tender/SplashBidNoticeAbstractUI.aspx?menuIndex=3&amp;refID=7163793&amp;Result=3","7163793")</f>
        <v>0</v>
      </c>
      <c r="B603" t="s">
        <v>303</v>
      </c>
      <c r="C603" t="s">
        <v>4510</v>
      </c>
      <c r="D603" t="s">
        <v>19067</v>
      </c>
      <c r="E603" t="s">
        <v>19515</v>
      </c>
      <c r="F603" t="s">
        <v>32831</v>
      </c>
      <c r="G603" t="s">
        <v>32838</v>
      </c>
      <c r="H603" t="s">
        <v>32848</v>
      </c>
      <c r="I603" t="s">
        <v>4776</v>
      </c>
      <c r="J603" t="s">
        <v>33254</v>
      </c>
      <c r="K603" t="s">
        <v>42731</v>
      </c>
      <c r="M603" t="s">
        <v>43304</v>
      </c>
      <c r="N603" t="s">
        <v>47424</v>
      </c>
      <c r="O603" t="s">
        <v>47425</v>
      </c>
      <c r="P603">
        <v>0</v>
      </c>
      <c r="Q603">
        <v>3</v>
      </c>
      <c r="R603" t="s">
        <v>47426</v>
      </c>
      <c r="S603" t="s">
        <v>47531</v>
      </c>
      <c r="T603" t="s">
        <v>49125</v>
      </c>
      <c r="U603" t="s">
        <v>50201</v>
      </c>
      <c r="W603" t="s">
        <v>43304</v>
      </c>
      <c r="X603" t="s">
        <v>47430</v>
      </c>
    </row>
    <row r="604" spans="1:24">
      <c r="A604">
        <f>HYPERLINK("https://www.philgeps.gov.ph/GEPSNONPILOT/Tender/SplashBidNoticeAbstractUI.aspx?menuIndex=3&amp;refID=7163513&amp;Result=3","7163513")</f>
        <v>0</v>
      </c>
      <c r="B604" t="s">
        <v>275</v>
      </c>
      <c r="C604" t="s">
        <v>4511</v>
      </c>
      <c r="E604" t="s">
        <v>19686</v>
      </c>
      <c r="F604" t="s">
        <v>32831</v>
      </c>
      <c r="G604" t="s">
        <v>32839</v>
      </c>
      <c r="H604" t="s">
        <v>32849</v>
      </c>
      <c r="I604" t="s">
        <v>4177</v>
      </c>
      <c r="J604" t="s">
        <v>32983</v>
      </c>
      <c r="K604" t="s">
        <v>42754</v>
      </c>
      <c r="M604" t="s">
        <v>43274</v>
      </c>
      <c r="N604" t="s">
        <v>47424</v>
      </c>
      <c r="O604" t="s">
        <v>47425</v>
      </c>
      <c r="P604">
        <v>0</v>
      </c>
      <c r="Q604">
        <v>1</v>
      </c>
      <c r="R604" t="s">
        <v>47426</v>
      </c>
      <c r="S604" t="s">
        <v>47531</v>
      </c>
      <c r="T604" t="s">
        <v>49057</v>
      </c>
      <c r="U604" t="s">
        <v>50202</v>
      </c>
      <c r="W604" t="s">
        <v>43274</v>
      </c>
      <c r="X604" t="s">
        <v>47430</v>
      </c>
    </row>
    <row r="605" spans="1:24">
      <c r="A605">
        <f>HYPERLINK("https://www.philgeps.gov.ph/GEPSNONPILOT/Tender/SplashBidNoticeAbstractUI.aspx?menuIndex=3&amp;refID=7163687&amp;Result=3","7163687")</f>
        <v>0</v>
      </c>
      <c r="B605" t="s">
        <v>281</v>
      </c>
      <c r="C605" t="s">
        <v>4512</v>
      </c>
      <c r="D605" t="s">
        <v>19035</v>
      </c>
      <c r="E605" t="s">
        <v>19687</v>
      </c>
      <c r="F605" t="s">
        <v>32831</v>
      </c>
      <c r="G605" t="s">
        <v>32838</v>
      </c>
      <c r="H605" t="s">
        <v>32848</v>
      </c>
      <c r="I605" t="s">
        <v>9577</v>
      </c>
      <c r="J605" t="s">
        <v>33041</v>
      </c>
      <c r="K605" t="s">
        <v>42730</v>
      </c>
      <c r="M605" t="s">
        <v>43280</v>
      </c>
      <c r="N605" t="s">
        <v>47424</v>
      </c>
      <c r="O605" t="s">
        <v>47425</v>
      </c>
      <c r="P605">
        <v>0</v>
      </c>
      <c r="Q605">
        <v>0</v>
      </c>
      <c r="R605" t="s">
        <v>47426</v>
      </c>
      <c r="S605" t="s">
        <v>47531</v>
      </c>
      <c r="T605" t="s">
        <v>49061</v>
      </c>
      <c r="U605" t="s">
        <v>50203</v>
      </c>
      <c r="W605" t="s">
        <v>43280</v>
      </c>
      <c r="X605" t="s">
        <v>47430</v>
      </c>
    </row>
    <row r="606" spans="1:24">
      <c r="A606">
        <f>HYPERLINK("https://www.philgeps.gov.ph/GEPSNONPILOT/Tender/SplashBidNoticeAbstractUI.aspx?menuIndex=3&amp;refID=7163608&amp;Result=3","7163608")</f>
        <v>0</v>
      </c>
      <c r="B606" t="s">
        <v>304</v>
      </c>
      <c r="C606" t="s">
        <v>4513</v>
      </c>
      <c r="D606" t="s">
        <v>19017</v>
      </c>
      <c r="E606" t="s">
        <v>19688</v>
      </c>
      <c r="F606" t="s">
        <v>32831</v>
      </c>
      <c r="G606" t="s">
        <v>32838</v>
      </c>
      <c r="H606" t="s">
        <v>32849</v>
      </c>
      <c r="I606" t="s">
        <v>4177</v>
      </c>
      <c r="J606" t="s">
        <v>33447</v>
      </c>
      <c r="K606" t="s">
        <v>42727</v>
      </c>
      <c r="M606" t="s">
        <v>43305</v>
      </c>
      <c r="N606" t="s">
        <v>47424</v>
      </c>
      <c r="O606" t="s">
        <v>47425</v>
      </c>
      <c r="P606">
        <v>0</v>
      </c>
      <c r="Q606">
        <v>3</v>
      </c>
      <c r="R606" t="s">
        <v>47426</v>
      </c>
      <c r="S606" t="s">
        <v>47531</v>
      </c>
      <c r="T606" t="s">
        <v>49124</v>
      </c>
      <c r="U606" t="s">
        <v>50204</v>
      </c>
      <c r="V606" t="s">
        <v>62678</v>
      </c>
      <c r="W606" t="s">
        <v>43305</v>
      </c>
      <c r="X606" t="s">
        <v>47430</v>
      </c>
    </row>
    <row r="607" spans="1:24">
      <c r="A607">
        <f>HYPERLINK("https://www.philgeps.gov.ph/GEPSNONPILOT/Tender/SplashBidNoticeAbstractUI.aspx?menuIndex=3&amp;refID=7163502&amp;Result=3","7163502")</f>
        <v>0</v>
      </c>
      <c r="B607" t="s">
        <v>305</v>
      </c>
      <c r="C607" t="s">
        <v>4514</v>
      </c>
      <c r="D607" t="s">
        <v>19021</v>
      </c>
      <c r="E607" t="s">
        <v>19689</v>
      </c>
      <c r="F607" t="s">
        <v>32831</v>
      </c>
      <c r="G607" t="s">
        <v>32839</v>
      </c>
      <c r="H607" t="s">
        <v>32849</v>
      </c>
      <c r="I607" t="s">
        <v>7416</v>
      </c>
      <c r="J607" t="s">
        <v>32980</v>
      </c>
      <c r="K607" t="s">
        <v>42776</v>
      </c>
      <c r="M607" t="s">
        <v>43306</v>
      </c>
      <c r="N607" t="s">
        <v>47424</v>
      </c>
      <c r="O607" t="s">
        <v>47425</v>
      </c>
      <c r="P607">
        <v>0</v>
      </c>
      <c r="Q607">
        <v>1</v>
      </c>
      <c r="R607" t="s">
        <v>47426</v>
      </c>
      <c r="S607" t="s">
        <v>47531</v>
      </c>
      <c r="T607" t="s">
        <v>49063</v>
      </c>
      <c r="U607" t="s">
        <v>50205</v>
      </c>
      <c r="W607" t="s">
        <v>43306</v>
      </c>
      <c r="X607" t="s">
        <v>47430</v>
      </c>
    </row>
    <row r="608" spans="1:24">
      <c r="A608">
        <f>HYPERLINK("https://www.philgeps.gov.ph/GEPSNONPILOT/Tender/SplashBidNoticeAbstractUI.aspx?menuIndex=3&amp;refID=7163594&amp;Result=3","7163594")</f>
        <v>0</v>
      </c>
      <c r="B608" t="s">
        <v>198</v>
      </c>
      <c r="C608" t="s">
        <v>4515</v>
      </c>
      <c r="D608" t="s">
        <v>19045</v>
      </c>
      <c r="E608" t="s">
        <v>19690</v>
      </c>
      <c r="F608" t="s">
        <v>32831</v>
      </c>
      <c r="G608" t="s">
        <v>32838</v>
      </c>
      <c r="H608" t="s">
        <v>32848</v>
      </c>
      <c r="I608" t="s">
        <v>32900</v>
      </c>
      <c r="J608" t="s">
        <v>33254</v>
      </c>
      <c r="K608" t="s">
        <v>42732</v>
      </c>
      <c r="M608" t="s">
        <v>43196</v>
      </c>
      <c r="N608" t="s">
        <v>47424</v>
      </c>
      <c r="O608" t="s">
        <v>47425</v>
      </c>
      <c r="P608">
        <v>0</v>
      </c>
      <c r="Q608">
        <v>0</v>
      </c>
      <c r="R608" t="s">
        <v>47426</v>
      </c>
      <c r="S608" t="s">
        <v>47531</v>
      </c>
      <c r="T608" t="s">
        <v>49100</v>
      </c>
      <c r="U608" t="s">
        <v>50206</v>
      </c>
      <c r="W608" t="s">
        <v>43196</v>
      </c>
      <c r="X608" t="s">
        <v>47430</v>
      </c>
    </row>
    <row r="609" spans="1:24">
      <c r="A609">
        <f>HYPERLINK("https://www.philgeps.gov.ph/GEPSNONPILOT/Tender/SplashBidNoticeAbstractUI.aspx?menuIndex=3&amp;refID=7163491&amp;Result=3","7163491")</f>
        <v>0</v>
      </c>
      <c r="B609" t="s">
        <v>282</v>
      </c>
      <c r="C609" t="s">
        <v>4516</v>
      </c>
      <c r="D609" t="s">
        <v>19052</v>
      </c>
      <c r="E609" t="s">
        <v>19691</v>
      </c>
      <c r="F609" t="s">
        <v>32831</v>
      </c>
      <c r="G609" t="s">
        <v>32839</v>
      </c>
      <c r="H609" t="s">
        <v>32848</v>
      </c>
      <c r="I609" t="s">
        <v>4558</v>
      </c>
      <c r="J609" t="s">
        <v>33448</v>
      </c>
      <c r="K609" t="s">
        <v>42731</v>
      </c>
      <c r="M609" t="s">
        <v>43281</v>
      </c>
      <c r="N609" t="s">
        <v>47424</v>
      </c>
      <c r="O609" t="s">
        <v>47425</v>
      </c>
      <c r="P609">
        <v>0</v>
      </c>
      <c r="Q609">
        <v>5</v>
      </c>
      <c r="R609" t="s">
        <v>47426</v>
      </c>
      <c r="S609" t="s">
        <v>47531</v>
      </c>
      <c r="T609" t="s">
        <v>49065</v>
      </c>
      <c r="U609" t="s">
        <v>50207</v>
      </c>
      <c r="W609" t="s">
        <v>43281</v>
      </c>
      <c r="X609" t="s">
        <v>47430</v>
      </c>
    </row>
    <row r="610" spans="1:24">
      <c r="A610">
        <f>HYPERLINK("https://www.philgeps.gov.ph/GEPSNONPILOT/Tender/SplashBidNoticeAbstractUI.aspx?menuIndex=3&amp;refID=7163449&amp;Result=3","7163449")</f>
        <v>0</v>
      </c>
      <c r="B610" t="s">
        <v>303</v>
      </c>
      <c r="C610" t="s">
        <v>4517</v>
      </c>
      <c r="D610" t="s">
        <v>19067</v>
      </c>
      <c r="E610" t="s">
        <v>19692</v>
      </c>
      <c r="F610" t="s">
        <v>32831</v>
      </c>
      <c r="G610" t="s">
        <v>32838</v>
      </c>
      <c r="H610" t="s">
        <v>32848</v>
      </c>
      <c r="I610" t="s">
        <v>6526</v>
      </c>
      <c r="J610" t="s">
        <v>33449</v>
      </c>
      <c r="K610" t="s">
        <v>42731</v>
      </c>
      <c r="M610" t="s">
        <v>43304</v>
      </c>
      <c r="N610" t="s">
        <v>47424</v>
      </c>
      <c r="O610" t="s">
        <v>47425</v>
      </c>
      <c r="P610">
        <v>0</v>
      </c>
      <c r="Q610">
        <v>1</v>
      </c>
      <c r="R610" t="s">
        <v>47426</v>
      </c>
      <c r="S610" t="s">
        <v>47531</v>
      </c>
      <c r="T610" t="s">
        <v>49125</v>
      </c>
      <c r="U610" t="s">
        <v>50208</v>
      </c>
      <c r="W610" t="s">
        <v>43304</v>
      </c>
      <c r="X610" t="s">
        <v>47430</v>
      </c>
    </row>
    <row r="611" spans="1:24">
      <c r="A611">
        <f>HYPERLINK("https://www.philgeps.gov.ph/GEPSNONPILOT/Tender/SplashBidNoticeAbstractUI.aspx?menuIndex=3&amp;refID=7163445&amp;Result=3","7163445")</f>
        <v>0</v>
      </c>
      <c r="B611" t="s">
        <v>256</v>
      </c>
      <c r="C611" t="s">
        <v>4518</v>
      </c>
      <c r="D611" t="s">
        <v>19017</v>
      </c>
      <c r="E611" t="s">
        <v>19693</v>
      </c>
      <c r="F611" t="s">
        <v>32831</v>
      </c>
      <c r="G611" t="s">
        <v>32838</v>
      </c>
      <c r="H611" t="s">
        <v>32848</v>
      </c>
      <c r="I611" t="s">
        <v>4558</v>
      </c>
      <c r="J611" t="s">
        <v>33450</v>
      </c>
      <c r="K611" t="s">
        <v>42732</v>
      </c>
      <c r="M611" t="s">
        <v>43255</v>
      </c>
      <c r="N611" t="s">
        <v>47424</v>
      </c>
      <c r="O611" t="s">
        <v>47425</v>
      </c>
      <c r="P611">
        <v>0</v>
      </c>
      <c r="Q611">
        <v>1</v>
      </c>
      <c r="R611" t="s">
        <v>47426</v>
      </c>
      <c r="S611" t="s">
        <v>47531</v>
      </c>
      <c r="T611" t="s">
        <v>49061</v>
      </c>
      <c r="U611" t="s">
        <v>50097</v>
      </c>
      <c r="W611" t="s">
        <v>43255</v>
      </c>
      <c r="X611" t="s">
        <v>47430</v>
      </c>
    </row>
    <row r="612" spans="1:24">
      <c r="A612">
        <f>HYPERLINK("https://www.philgeps.gov.ph/GEPSNONPILOT/Tender/SplashBidNoticeAbstractUI.aspx?menuIndex=3&amp;refID=7163602&amp;Result=3","7163602")</f>
        <v>0</v>
      </c>
      <c r="B612" t="s">
        <v>286</v>
      </c>
      <c r="C612" t="s">
        <v>4519</v>
      </c>
      <c r="D612" t="s">
        <v>19017</v>
      </c>
      <c r="E612" t="s">
        <v>19351</v>
      </c>
      <c r="F612" t="s">
        <v>32831</v>
      </c>
      <c r="G612" t="s">
        <v>32840</v>
      </c>
      <c r="H612" t="s">
        <v>32849</v>
      </c>
      <c r="I612" t="s">
        <v>4177</v>
      </c>
      <c r="J612" t="s">
        <v>32980</v>
      </c>
      <c r="K612" t="s">
        <v>42727</v>
      </c>
      <c r="M612" t="s">
        <v>43285</v>
      </c>
      <c r="N612" t="s">
        <v>47424</v>
      </c>
      <c r="O612" t="s">
        <v>47425</v>
      </c>
      <c r="P612">
        <v>0</v>
      </c>
      <c r="Q612">
        <v>1</v>
      </c>
      <c r="R612" t="s">
        <v>47426</v>
      </c>
      <c r="S612" t="s">
        <v>47531</v>
      </c>
      <c r="T612" t="s">
        <v>49141</v>
      </c>
      <c r="U612" t="s">
        <v>50209</v>
      </c>
      <c r="W612" t="s">
        <v>43285</v>
      </c>
      <c r="X612" t="s">
        <v>47430</v>
      </c>
    </row>
    <row r="613" spans="1:24">
      <c r="A613">
        <f>HYPERLINK("https://www.philgeps.gov.ph/GEPSNONPILOT/Tender/SplashBidNoticeAbstractUI.aspx?menuIndex=3&amp;refID=7163439&amp;Result=3","7163439")</f>
        <v>0</v>
      </c>
      <c r="B613" t="s">
        <v>271</v>
      </c>
      <c r="C613" t="s">
        <v>4520</v>
      </c>
      <c r="D613" t="s">
        <v>19037</v>
      </c>
      <c r="E613" t="s">
        <v>19694</v>
      </c>
      <c r="F613" t="s">
        <v>32831</v>
      </c>
      <c r="G613" t="s">
        <v>32838</v>
      </c>
      <c r="H613" t="s">
        <v>32848</v>
      </c>
      <c r="I613" t="s">
        <v>9577</v>
      </c>
      <c r="J613" t="s">
        <v>33162</v>
      </c>
      <c r="K613" t="s">
        <v>42730</v>
      </c>
      <c r="M613" t="s">
        <v>43270</v>
      </c>
      <c r="N613" t="s">
        <v>47424</v>
      </c>
      <c r="O613" t="s">
        <v>47425</v>
      </c>
      <c r="P613">
        <v>0</v>
      </c>
      <c r="Q613">
        <v>3</v>
      </c>
      <c r="R613" t="s">
        <v>47426</v>
      </c>
      <c r="S613" t="s">
        <v>47531</v>
      </c>
      <c r="T613" t="s">
        <v>49167</v>
      </c>
      <c r="U613" t="s">
        <v>50210</v>
      </c>
      <c r="W613" t="s">
        <v>43270</v>
      </c>
      <c r="X613" t="s">
        <v>47430</v>
      </c>
    </row>
    <row r="614" spans="1:24">
      <c r="A614">
        <f>HYPERLINK("https://www.philgeps.gov.ph/GEPSNONPILOT/Tender/SplashBidNoticeAbstractUI.aspx?menuIndex=3&amp;refID=7163693&amp;Result=3","7163693")</f>
        <v>0</v>
      </c>
      <c r="B614" t="s">
        <v>306</v>
      </c>
      <c r="C614" t="s">
        <v>4521</v>
      </c>
      <c r="D614" t="s">
        <v>19047</v>
      </c>
      <c r="E614" t="s">
        <v>19695</v>
      </c>
      <c r="F614" t="s">
        <v>32831</v>
      </c>
      <c r="G614" t="s">
        <v>32838</v>
      </c>
      <c r="H614" t="s">
        <v>32848</v>
      </c>
      <c r="I614" t="s">
        <v>32858</v>
      </c>
      <c r="J614" t="s">
        <v>33451</v>
      </c>
      <c r="K614" t="s">
        <v>42732</v>
      </c>
      <c r="M614" t="s">
        <v>43307</v>
      </c>
      <c r="N614" t="s">
        <v>47424</v>
      </c>
      <c r="O614" t="s">
        <v>47425</v>
      </c>
      <c r="P614">
        <v>0</v>
      </c>
      <c r="Q614">
        <v>0</v>
      </c>
      <c r="R614" t="s">
        <v>47426</v>
      </c>
      <c r="S614" t="s">
        <v>47531</v>
      </c>
      <c r="T614" t="s">
        <v>49178</v>
      </c>
      <c r="U614" t="s">
        <v>50211</v>
      </c>
      <c r="W614" t="s">
        <v>43307</v>
      </c>
      <c r="X614" t="s">
        <v>47430</v>
      </c>
    </row>
    <row r="615" spans="1:24">
      <c r="A615">
        <f>HYPERLINK("https://www.philgeps.gov.ph/GEPSNONPILOT/Tender/SplashBidNoticeAbstractUI.aspx?menuIndex=3&amp;refID=7163436&amp;Result=3","7163436")</f>
        <v>0</v>
      </c>
      <c r="B615" t="s">
        <v>295</v>
      </c>
      <c r="C615" t="s">
        <v>4522</v>
      </c>
      <c r="D615" t="s">
        <v>19074</v>
      </c>
      <c r="E615" t="s">
        <v>19696</v>
      </c>
      <c r="F615" t="s">
        <v>32831</v>
      </c>
      <c r="G615" t="s">
        <v>32838</v>
      </c>
      <c r="H615" t="s">
        <v>32848</v>
      </c>
      <c r="I615" t="s">
        <v>9577</v>
      </c>
      <c r="J615" t="s">
        <v>33077</v>
      </c>
      <c r="K615" t="s">
        <v>42726</v>
      </c>
      <c r="M615" t="s">
        <v>43296</v>
      </c>
      <c r="N615" t="s">
        <v>47424</v>
      </c>
      <c r="O615" t="s">
        <v>47425</v>
      </c>
      <c r="P615">
        <v>0</v>
      </c>
      <c r="Q615">
        <v>1</v>
      </c>
      <c r="R615" t="s">
        <v>47426</v>
      </c>
      <c r="S615" t="s">
        <v>47531</v>
      </c>
      <c r="T615" t="s">
        <v>49175</v>
      </c>
      <c r="U615" t="s">
        <v>50212</v>
      </c>
      <c r="W615" t="s">
        <v>43296</v>
      </c>
      <c r="X615" t="s">
        <v>47430</v>
      </c>
    </row>
    <row r="616" spans="1:24">
      <c r="A616">
        <f>HYPERLINK("https://www.philgeps.gov.ph/GEPSNONPILOT/Tender/SplashBidNoticeAbstractUI.aspx?menuIndex=3&amp;refID=7163367&amp;Result=3","7163367")</f>
        <v>0</v>
      </c>
      <c r="B616" t="s">
        <v>307</v>
      </c>
      <c r="C616" t="s">
        <v>4523</v>
      </c>
      <c r="D616" t="s">
        <v>19078</v>
      </c>
      <c r="E616" t="s">
        <v>19697</v>
      </c>
      <c r="F616" t="s">
        <v>32831</v>
      </c>
      <c r="G616" t="s">
        <v>32839</v>
      </c>
      <c r="H616" t="s">
        <v>32849</v>
      </c>
      <c r="I616" t="s">
        <v>4177</v>
      </c>
      <c r="J616" t="s">
        <v>33452</v>
      </c>
      <c r="K616" t="s">
        <v>42754</v>
      </c>
      <c r="M616" t="s">
        <v>43308</v>
      </c>
      <c r="N616" t="s">
        <v>47424</v>
      </c>
      <c r="O616" t="s">
        <v>47425</v>
      </c>
      <c r="P616">
        <v>0</v>
      </c>
      <c r="Q616">
        <v>0</v>
      </c>
      <c r="R616" t="s">
        <v>47426</v>
      </c>
      <c r="S616" t="s">
        <v>47531</v>
      </c>
      <c r="T616" t="s">
        <v>49132</v>
      </c>
      <c r="U616" t="s">
        <v>50213</v>
      </c>
      <c r="W616" t="s">
        <v>43308</v>
      </c>
      <c r="X616" t="s">
        <v>47430</v>
      </c>
    </row>
    <row r="617" spans="1:24">
      <c r="A617">
        <f>HYPERLINK("https://www.philgeps.gov.ph/GEPSNONPILOT/Tender/SplashBidNoticeAbstractUI.aspx?menuIndex=3&amp;refID=7163448&amp;Result=3","7163448")</f>
        <v>0</v>
      </c>
      <c r="B617" t="s">
        <v>27</v>
      </c>
      <c r="C617" t="s">
        <v>4524</v>
      </c>
      <c r="D617" t="s">
        <v>19020</v>
      </c>
      <c r="E617" t="s">
        <v>19698</v>
      </c>
      <c r="F617" t="s">
        <v>32831</v>
      </c>
      <c r="G617" t="s">
        <v>32839</v>
      </c>
      <c r="H617" t="s">
        <v>32848</v>
      </c>
      <c r="I617" t="s">
        <v>32901</v>
      </c>
      <c r="J617" t="s">
        <v>33453</v>
      </c>
      <c r="K617" t="s">
        <v>42731</v>
      </c>
      <c r="M617" t="s">
        <v>43309</v>
      </c>
      <c r="N617" t="s">
        <v>47424</v>
      </c>
      <c r="O617" t="s">
        <v>47425</v>
      </c>
      <c r="P617">
        <v>0</v>
      </c>
      <c r="Q617">
        <v>2</v>
      </c>
      <c r="R617" t="s">
        <v>47426</v>
      </c>
      <c r="S617" t="s">
        <v>47531</v>
      </c>
      <c r="T617" t="s">
        <v>49179</v>
      </c>
      <c r="U617" t="s">
        <v>50214</v>
      </c>
      <c r="W617" t="s">
        <v>43309</v>
      </c>
      <c r="X617" t="s">
        <v>47430</v>
      </c>
    </row>
    <row r="618" spans="1:24">
      <c r="A618">
        <f>HYPERLINK("https://www.philgeps.gov.ph/GEPSNONPILOT/Tender/SplashBidNoticeAbstractUI.aspx?menuIndex=3&amp;refID=7163441&amp;Result=3","7163441")</f>
        <v>0</v>
      </c>
      <c r="B618" t="s">
        <v>262</v>
      </c>
      <c r="C618" t="s">
        <v>4525</v>
      </c>
      <c r="D618" t="s">
        <v>19049</v>
      </c>
      <c r="E618" t="s">
        <v>19699</v>
      </c>
      <c r="F618" t="s">
        <v>32831</v>
      </c>
      <c r="G618" t="s">
        <v>32838</v>
      </c>
      <c r="H618" t="s">
        <v>32848</v>
      </c>
      <c r="I618" t="s">
        <v>7416</v>
      </c>
      <c r="J618" t="s">
        <v>33087</v>
      </c>
      <c r="K618" t="s">
        <v>42726</v>
      </c>
      <c r="M618" t="s">
        <v>43261</v>
      </c>
      <c r="N618" t="s">
        <v>47424</v>
      </c>
      <c r="O618" t="s">
        <v>47425</v>
      </c>
      <c r="P618">
        <v>0</v>
      </c>
      <c r="Q618">
        <v>0</v>
      </c>
      <c r="R618" t="s">
        <v>47426</v>
      </c>
      <c r="S618" t="s">
        <v>47531</v>
      </c>
      <c r="T618" t="s">
        <v>49180</v>
      </c>
      <c r="U618" t="s">
        <v>50215</v>
      </c>
      <c r="W618" t="s">
        <v>43261</v>
      </c>
      <c r="X618" t="s">
        <v>47430</v>
      </c>
    </row>
    <row r="619" spans="1:24">
      <c r="A619">
        <f>HYPERLINK("https://www.philgeps.gov.ph/GEPSNONPILOT/Tender/SplashBidNoticeAbstractUI.aspx?menuIndex=3&amp;refID=7163516&amp;Result=3","7163516")</f>
        <v>0</v>
      </c>
      <c r="B619" t="s">
        <v>271</v>
      </c>
      <c r="C619" t="s">
        <v>4526</v>
      </c>
      <c r="D619" t="s">
        <v>19037</v>
      </c>
      <c r="E619" t="s">
        <v>19700</v>
      </c>
      <c r="F619" t="s">
        <v>32831</v>
      </c>
      <c r="G619" t="s">
        <v>32842</v>
      </c>
      <c r="H619" t="s">
        <v>32848</v>
      </c>
      <c r="I619" t="s">
        <v>9577</v>
      </c>
      <c r="J619" t="s">
        <v>33454</v>
      </c>
      <c r="K619" t="s">
        <v>42727</v>
      </c>
      <c r="M619" t="s">
        <v>43270</v>
      </c>
      <c r="N619" t="s">
        <v>47424</v>
      </c>
      <c r="O619" t="s">
        <v>47425</v>
      </c>
      <c r="P619">
        <v>0</v>
      </c>
      <c r="Q619">
        <v>4</v>
      </c>
      <c r="R619" t="s">
        <v>47426</v>
      </c>
      <c r="S619" t="s">
        <v>47531</v>
      </c>
      <c r="T619" t="s">
        <v>49167</v>
      </c>
      <c r="U619" t="s">
        <v>50216</v>
      </c>
      <c r="W619" t="s">
        <v>43270</v>
      </c>
      <c r="X619" t="s">
        <v>47430</v>
      </c>
    </row>
    <row r="620" spans="1:24">
      <c r="A620">
        <f>HYPERLINK("https://www.philgeps.gov.ph/GEPSNONPILOT/Tender/SplashBidNoticeAbstractUI.aspx?menuIndex=3&amp;refID=7163435&amp;Result=3","7163435")</f>
        <v>0</v>
      </c>
      <c r="B620" t="s">
        <v>288</v>
      </c>
      <c r="C620" t="s">
        <v>4527</v>
      </c>
      <c r="D620" t="s">
        <v>19021</v>
      </c>
      <c r="E620" t="s">
        <v>19701</v>
      </c>
      <c r="F620" t="s">
        <v>32831</v>
      </c>
      <c r="G620" t="s">
        <v>32839</v>
      </c>
      <c r="H620" t="s">
        <v>32848</v>
      </c>
      <c r="I620" t="s">
        <v>32890</v>
      </c>
      <c r="J620" t="s">
        <v>33118</v>
      </c>
      <c r="K620" t="s">
        <v>42730</v>
      </c>
      <c r="M620" t="s">
        <v>43288</v>
      </c>
      <c r="N620" t="s">
        <v>47424</v>
      </c>
      <c r="O620" t="s">
        <v>47425</v>
      </c>
      <c r="P620">
        <v>0</v>
      </c>
      <c r="Q620">
        <v>0</v>
      </c>
      <c r="R620" t="s">
        <v>47426</v>
      </c>
      <c r="S620" t="s">
        <v>47531</v>
      </c>
      <c r="T620" t="s">
        <v>49151</v>
      </c>
      <c r="U620" t="s">
        <v>50217</v>
      </c>
      <c r="W620" t="s">
        <v>43288</v>
      </c>
      <c r="X620" t="s">
        <v>47430</v>
      </c>
    </row>
    <row r="621" spans="1:24">
      <c r="A621">
        <f>HYPERLINK("https://www.philgeps.gov.ph/GEPSNONPILOT/Tender/SplashBidNoticeAbstractUI.aspx?menuIndex=3&amp;refID=7163987&amp;Result=3","7163987")</f>
        <v>0</v>
      </c>
      <c r="B621" t="s">
        <v>308</v>
      </c>
      <c r="C621" t="s">
        <v>4528</v>
      </c>
      <c r="D621" t="s">
        <v>19077</v>
      </c>
      <c r="E621" t="s">
        <v>19702</v>
      </c>
      <c r="F621" t="s">
        <v>32831</v>
      </c>
      <c r="G621" t="s">
        <v>32839</v>
      </c>
      <c r="H621" t="s">
        <v>32849</v>
      </c>
      <c r="I621" t="s">
        <v>4177</v>
      </c>
      <c r="J621" t="s">
        <v>33012</v>
      </c>
      <c r="K621" t="s">
        <v>42747</v>
      </c>
      <c r="M621" t="s">
        <v>43310</v>
      </c>
      <c r="N621" t="s">
        <v>47424</v>
      </c>
      <c r="O621" t="s">
        <v>47425</v>
      </c>
      <c r="P621">
        <v>0</v>
      </c>
      <c r="Q621">
        <v>0</v>
      </c>
      <c r="R621" t="s">
        <v>47426</v>
      </c>
      <c r="S621" t="s">
        <v>47531</v>
      </c>
      <c r="T621" t="s">
        <v>49073</v>
      </c>
      <c r="U621" t="s">
        <v>50218</v>
      </c>
      <c r="W621" t="s">
        <v>43310</v>
      </c>
      <c r="X621" t="s">
        <v>47430</v>
      </c>
    </row>
    <row r="622" spans="1:24">
      <c r="A622">
        <f>HYPERLINK("https://www.philgeps.gov.ph/GEPSNONPILOT/Tender/SplashBidNoticeAbstractUI.aspx?menuIndex=3&amp;refID=7163982&amp;Result=3","7163982")</f>
        <v>0</v>
      </c>
      <c r="B622" t="s">
        <v>309</v>
      </c>
      <c r="C622" t="s">
        <v>4529</v>
      </c>
      <c r="D622" t="s">
        <v>19073</v>
      </c>
      <c r="E622" t="s">
        <v>19703</v>
      </c>
      <c r="F622" t="s">
        <v>32831</v>
      </c>
      <c r="G622" t="s">
        <v>32839</v>
      </c>
      <c r="H622" t="s">
        <v>32848</v>
      </c>
      <c r="I622" t="s">
        <v>4438</v>
      </c>
      <c r="J622" t="s">
        <v>33455</v>
      </c>
      <c r="K622" t="s">
        <v>42727</v>
      </c>
      <c r="M622" t="s">
        <v>43311</v>
      </c>
      <c r="N622" t="s">
        <v>47424</v>
      </c>
      <c r="O622" t="s">
        <v>47425</v>
      </c>
      <c r="P622">
        <v>0</v>
      </c>
      <c r="Q622">
        <v>0</v>
      </c>
      <c r="R622" t="s">
        <v>47426</v>
      </c>
      <c r="S622" t="s">
        <v>47531</v>
      </c>
      <c r="T622" t="s">
        <v>49073</v>
      </c>
      <c r="U622" t="s">
        <v>50219</v>
      </c>
      <c r="V622" t="s">
        <v>62679</v>
      </c>
      <c r="W622" t="s">
        <v>43311</v>
      </c>
      <c r="X622" t="s">
        <v>47430</v>
      </c>
    </row>
    <row r="623" spans="1:24">
      <c r="A623">
        <f>HYPERLINK("https://www.philgeps.gov.ph/GEPSNONPILOT/Tender/SplashBidNoticeAbstractUI.aspx?menuIndex=3&amp;refID=7163366&amp;Result=3","7163366")</f>
        <v>0</v>
      </c>
      <c r="B623" t="s">
        <v>228</v>
      </c>
      <c r="C623" t="s">
        <v>4530</v>
      </c>
      <c r="D623" t="s">
        <v>19033</v>
      </c>
      <c r="E623" t="s">
        <v>19704</v>
      </c>
      <c r="F623" t="s">
        <v>32831</v>
      </c>
      <c r="G623" t="s">
        <v>32838</v>
      </c>
      <c r="H623" t="s">
        <v>32848</v>
      </c>
      <c r="I623" t="s">
        <v>10805</v>
      </c>
      <c r="J623" t="s">
        <v>33456</v>
      </c>
      <c r="K623" t="s">
        <v>42727</v>
      </c>
      <c r="M623" t="s">
        <v>43227</v>
      </c>
      <c r="N623" t="s">
        <v>47424</v>
      </c>
      <c r="O623" t="s">
        <v>47425</v>
      </c>
      <c r="P623">
        <v>0</v>
      </c>
      <c r="Q623">
        <v>3</v>
      </c>
      <c r="R623" t="s">
        <v>47426</v>
      </c>
      <c r="S623" t="s">
        <v>47531</v>
      </c>
      <c r="T623" t="s">
        <v>49089</v>
      </c>
      <c r="U623" t="s">
        <v>50220</v>
      </c>
      <c r="W623" t="s">
        <v>43227</v>
      </c>
      <c r="X623" t="s">
        <v>47430</v>
      </c>
    </row>
    <row r="624" spans="1:24">
      <c r="A624">
        <f>HYPERLINK("https://www.philgeps.gov.ph/GEPSNONPILOT/Tender/SplashBidNoticeAbstractUI.aspx?menuIndex=3&amp;refID=7163973&amp;Result=3","7163973")</f>
        <v>0</v>
      </c>
      <c r="B624" t="s">
        <v>310</v>
      </c>
      <c r="C624" t="s">
        <v>4531</v>
      </c>
      <c r="D624" t="s">
        <v>19058</v>
      </c>
      <c r="E624" t="s">
        <v>4531</v>
      </c>
      <c r="F624" t="s">
        <v>32831</v>
      </c>
      <c r="G624" t="s">
        <v>32840</v>
      </c>
      <c r="H624" t="s">
        <v>32850</v>
      </c>
      <c r="I624" t="s">
        <v>32863</v>
      </c>
      <c r="J624" t="s">
        <v>33457</v>
      </c>
      <c r="K624" t="s">
        <v>42727</v>
      </c>
      <c r="M624" t="s">
        <v>43312</v>
      </c>
      <c r="N624" t="s">
        <v>47424</v>
      </c>
      <c r="O624" t="s">
        <v>47425</v>
      </c>
      <c r="P624">
        <v>0</v>
      </c>
      <c r="Q624">
        <v>0</v>
      </c>
      <c r="R624" t="s">
        <v>47426</v>
      </c>
      <c r="S624" t="s">
        <v>47531</v>
      </c>
      <c r="T624" t="s">
        <v>49150</v>
      </c>
      <c r="U624" t="s">
        <v>50221</v>
      </c>
      <c r="W624" t="s">
        <v>43312</v>
      </c>
      <c r="X624" t="s">
        <v>47430</v>
      </c>
    </row>
    <row r="625" spans="1:24">
      <c r="A625">
        <f>HYPERLINK("https://www.philgeps.gov.ph/GEPSNONPILOT/Tender/SplashBidNoticeAbstractUI.aspx?menuIndex=3&amp;refID=7163989&amp;Result=3","7163989")</f>
        <v>0</v>
      </c>
      <c r="B625" t="s">
        <v>311</v>
      </c>
      <c r="C625" t="s">
        <v>4532</v>
      </c>
      <c r="D625" t="s">
        <v>19064</v>
      </c>
      <c r="E625" t="s">
        <v>19705</v>
      </c>
      <c r="F625" t="s">
        <v>32831</v>
      </c>
      <c r="G625" t="s">
        <v>32839</v>
      </c>
      <c r="H625" t="s">
        <v>32848</v>
      </c>
      <c r="I625" t="s">
        <v>32857</v>
      </c>
      <c r="J625" t="s">
        <v>33090</v>
      </c>
      <c r="K625" t="s">
        <v>42763</v>
      </c>
      <c r="M625" t="s">
        <v>43313</v>
      </c>
      <c r="N625" t="s">
        <v>47424</v>
      </c>
      <c r="O625" t="s">
        <v>47425</v>
      </c>
      <c r="P625">
        <v>0</v>
      </c>
      <c r="Q625">
        <v>1</v>
      </c>
      <c r="R625" t="s">
        <v>47426</v>
      </c>
      <c r="S625" t="s">
        <v>47531</v>
      </c>
      <c r="T625" t="s">
        <v>49181</v>
      </c>
      <c r="U625" t="s">
        <v>50222</v>
      </c>
      <c r="W625" t="s">
        <v>43313</v>
      </c>
      <c r="X625" t="s">
        <v>47430</v>
      </c>
    </row>
    <row r="626" spans="1:24">
      <c r="A626">
        <f>HYPERLINK("https://www.philgeps.gov.ph/GEPSNONPILOT/Tender/SplashBidNoticeAbstractUI.aspx?menuIndex=3&amp;refID=7163432&amp;Result=3","7163432")</f>
        <v>0</v>
      </c>
      <c r="B626" t="s">
        <v>114</v>
      </c>
      <c r="C626" t="s">
        <v>4533</v>
      </c>
      <c r="D626" t="s">
        <v>19050</v>
      </c>
      <c r="E626" t="s">
        <v>19706</v>
      </c>
      <c r="F626" t="s">
        <v>32831</v>
      </c>
      <c r="G626" t="s">
        <v>32838</v>
      </c>
      <c r="H626" t="s">
        <v>32848</v>
      </c>
      <c r="I626" t="s">
        <v>32870</v>
      </c>
      <c r="J626" t="s">
        <v>33458</v>
      </c>
      <c r="K626" t="s">
        <v>42731</v>
      </c>
      <c r="L626" t="s">
        <v>114</v>
      </c>
      <c r="M626" t="s">
        <v>43111</v>
      </c>
      <c r="N626" t="s">
        <v>47424</v>
      </c>
      <c r="O626" t="s">
        <v>47425</v>
      </c>
      <c r="P626">
        <v>0</v>
      </c>
      <c r="Q626">
        <v>0</v>
      </c>
      <c r="R626" t="s">
        <v>47426</v>
      </c>
      <c r="S626" t="s">
        <v>47531</v>
      </c>
      <c r="T626" t="s">
        <v>49150</v>
      </c>
      <c r="U626" t="s">
        <v>49824</v>
      </c>
      <c r="W626" t="s">
        <v>43111</v>
      </c>
      <c r="X626" t="s">
        <v>47430</v>
      </c>
    </row>
    <row r="627" spans="1:24">
      <c r="A627">
        <f>HYPERLINK("https://www.philgeps.gov.ph/GEPSNONPILOT/Tender/SplashBidNoticeAbstractUI.aspx?menuIndex=3&amp;refID=7163504&amp;Result=3","7163504")</f>
        <v>0</v>
      </c>
      <c r="B627" t="s">
        <v>271</v>
      </c>
      <c r="C627" t="s">
        <v>4534</v>
      </c>
      <c r="D627" t="s">
        <v>19037</v>
      </c>
      <c r="E627" t="s">
        <v>19707</v>
      </c>
      <c r="F627" t="s">
        <v>32831</v>
      </c>
      <c r="G627" t="s">
        <v>32842</v>
      </c>
      <c r="H627" t="s">
        <v>32848</v>
      </c>
      <c r="I627" t="s">
        <v>10805</v>
      </c>
      <c r="J627" t="s">
        <v>33459</v>
      </c>
      <c r="K627" t="s">
        <v>42730</v>
      </c>
      <c r="M627" t="s">
        <v>43270</v>
      </c>
      <c r="N627" t="s">
        <v>47424</v>
      </c>
      <c r="O627" t="s">
        <v>47425</v>
      </c>
      <c r="P627">
        <v>0</v>
      </c>
      <c r="Q627">
        <v>4</v>
      </c>
      <c r="R627" t="s">
        <v>47426</v>
      </c>
      <c r="S627" t="s">
        <v>47531</v>
      </c>
      <c r="T627" t="s">
        <v>49182</v>
      </c>
      <c r="U627" t="s">
        <v>50223</v>
      </c>
      <c r="W627" t="s">
        <v>43270</v>
      </c>
      <c r="X627" t="s">
        <v>47430</v>
      </c>
    </row>
    <row r="628" spans="1:24">
      <c r="A628">
        <f>HYPERLINK("https://www.philgeps.gov.ph/GEPSNONPILOT/Tender/SplashBidNoticeAbstractUI.aspx?menuIndex=3&amp;refID=7163976&amp;Result=3","7163976")</f>
        <v>0</v>
      </c>
      <c r="B628" t="s">
        <v>180</v>
      </c>
      <c r="C628" t="s">
        <v>4226</v>
      </c>
      <c r="D628" t="s">
        <v>19021</v>
      </c>
      <c r="E628" t="s">
        <v>19708</v>
      </c>
      <c r="F628" t="s">
        <v>32831</v>
      </c>
      <c r="G628" t="s">
        <v>32842</v>
      </c>
      <c r="H628" t="s">
        <v>32848</v>
      </c>
      <c r="I628" t="s">
        <v>9577</v>
      </c>
      <c r="J628" t="s">
        <v>33460</v>
      </c>
      <c r="K628" t="s">
        <v>42732</v>
      </c>
      <c r="M628" t="s">
        <v>43178</v>
      </c>
      <c r="N628" t="s">
        <v>47424</v>
      </c>
      <c r="O628" t="s">
        <v>47425</v>
      </c>
      <c r="P628">
        <v>0</v>
      </c>
      <c r="Q628">
        <v>0</v>
      </c>
      <c r="R628" t="s">
        <v>47426</v>
      </c>
      <c r="S628" t="s">
        <v>47531</v>
      </c>
      <c r="T628" t="s">
        <v>49100</v>
      </c>
      <c r="U628" t="s">
        <v>50224</v>
      </c>
      <c r="W628" t="s">
        <v>43178</v>
      </c>
      <c r="X628" t="s">
        <v>47430</v>
      </c>
    </row>
    <row r="629" spans="1:24">
      <c r="A629">
        <f>HYPERLINK("https://www.philgeps.gov.ph/GEPSNONPILOT/Tender/SplashBidNoticeAbstractUI.aspx?menuIndex=3&amp;refID=7163959&amp;Result=3","7163959")</f>
        <v>0</v>
      </c>
      <c r="B629" t="s">
        <v>312</v>
      </c>
      <c r="C629" t="s">
        <v>4535</v>
      </c>
      <c r="D629" t="s">
        <v>19018</v>
      </c>
      <c r="E629" t="s">
        <v>19709</v>
      </c>
      <c r="F629" t="s">
        <v>32831</v>
      </c>
      <c r="G629" t="s">
        <v>32838</v>
      </c>
      <c r="H629" t="s">
        <v>32848</v>
      </c>
      <c r="I629" t="s">
        <v>32862</v>
      </c>
      <c r="J629" t="s">
        <v>33461</v>
      </c>
      <c r="K629" t="s">
        <v>42730</v>
      </c>
      <c r="M629" t="s">
        <v>43314</v>
      </c>
      <c r="N629" t="s">
        <v>47424</v>
      </c>
      <c r="O629" t="s">
        <v>47425</v>
      </c>
      <c r="P629">
        <v>0</v>
      </c>
      <c r="Q629">
        <v>0</v>
      </c>
      <c r="R629" t="s">
        <v>47426</v>
      </c>
      <c r="S629" t="s">
        <v>47531</v>
      </c>
      <c r="T629" t="s">
        <v>49061</v>
      </c>
      <c r="U629" t="s">
        <v>50225</v>
      </c>
      <c r="W629" t="s">
        <v>43314</v>
      </c>
      <c r="X629" t="s">
        <v>47430</v>
      </c>
    </row>
    <row r="630" spans="1:24">
      <c r="A630">
        <f>HYPERLINK("https://www.philgeps.gov.ph/GEPSNONPILOT/Tender/SplashBidNoticeAbstractUI.aspx?menuIndex=3&amp;refID=7163958&amp;Result=3","7163958")</f>
        <v>0</v>
      </c>
      <c r="B630" t="s">
        <v>268</v>
      </c>
      <c r="C630" t="s">
        <v>4536</v>
      </c>
      <c r="D630" t="s">
        <v>19081</v>
      </c>
      <c r="E630" t="s">
        <v>19710</v>
      </c>
      <c r="F630" t="s">
        <v>32831</v>
      </c>
      <c r="G630" t="s">
        <v>32839</v>
      </c>
      <c r="H630" t="s">
        <v>32848</v>
      </c>
      <c r="I630" t="s">
        <v>4776</v>
      </c>
      <c r="J630" t="s">
        <v>33462</v>
      </c>
      <c r="K630" t="s">
        <v>42730</v>
      </c>
      <c r="M630" t="s">
        <v>43267</v>
      </c>
      <c r="N630" t="s">
        <v>47424</v>
      </c>
      <c r="O630" t="s">
        <v>47425</v>
      </c>
      <c r="P630">
        <v>0</v>
      </c>
      <c r="Q630">
        <v>3</v>
      </c>
      <c r="R630" t="s">
        <v>47426</v>
      </c>
      <c r="S630" t="s">
        <v>47531</v>
      </c>
      <c r="T630" t="s">
        <v>49143</v>
      </c>
      <c r="U630" t="s">
        <v>50226</v>
      </c>
      <c r="W630" t="s">
        <v>43267</v>
      </c>
      <c r="X630" t="s">
        <v>47430</v>
      </c>
    </row>
    <row r="631" spans="1:24">
      <c r="A631">
        <f>HYPERLINK("https://www.philgeps.gov.ph/GEPSNONPILOT/Tender/SplashBidNoticeAbstractUI.aspx?menuIndex=3&amp;refID=7163954&amp;Result=3","7163954")</f>
        <v>0</v>
      </c>
      <c r="B631" t="s">
        <v>313</v>
      </c>
      <c r="C631" t="s">
        <v>4537</v>
      </c>
      <c r="D631" t="s">
        <v>19052</v>
      </c>
      <c r="E631" t="s">
        <v>19711</v>
      </c>
      <c r="F631" t="s">
        <v>32831</v>
      </c>
      <c r="G631" t="s">
        <v>32839</v>
      </c>
      <c r="H631" t="s">
        <v>32848</v>
      </c>
      <c r="I631" t="s">
        <v>7416</v>
      </c>
      <c r="J631" t="s">
        <v>33463</v>
      </c>
      <c r="K631" t="s">
        <v>42745</v>
      </c>
      <c r="M631" t="s">
        <v>43315</v>
      </c>
      <c r="N631" t="s">
        <v>47424</v>
      </c>
      <c r="O631" t="s">
        <v>47425</v>
      </c>
      <c r="P631">
        <v>0</v>
      </c>
      <c r="Q631">
        <v>0</v>
      </c>
      <c r="R631" t="s">
        <v>47426</v>
      </c>
      <c r="S631" t="s">
        <v>47531</v>
      </c>
      <c r="T631" t="s">
        <v>49078</v>
      </c>
      <c r="U631" t="s">
        <v>50227</v>
      </c>
      <c r="W631" t="s">
        <v>64435</v>
      </c>
      <c r="X631" t="s">
        <v>47430</v>
      </c>
    </row>
    <row r="632" spans="1:24">
      <c r="A632">
        <f>HYPERLINK("https://www.philgeps.gov.ph/GEPSNONPILOT/Tender/SplashBidNoticeAbstractUI.aspx?menuIndex=3&amp;refID=7163948&amp;Result=3","7163948")</f>
        <v>0</v>
      </c>
      <c r="B632" t="s">
        <v>309</v>
      </c>
      <c r="C632" t="s">
        <v>4538</v>
      </c>
      <c r="D632" t="s">
        <v>19073</v>
      </c>
      <c r="E632" t="s">
        <v>19712</v>
      </c>
      <c r="F632" t="s">
        <v>32831</v>
      </c>
      <c r="G632" t="s">
        <v>32839</v>
      </c>
      <c r="H632" t="s">
        <v>32848</v>
      </c>
      <c r="I632" t="s">
        <v>32857</v>
      </c>
      <c r="J632" t="s">
        <v>33044</v>
      </c>
      <c r="K632" t="s">
        <v>42727</v>
      </c>
      <c r="M632" t="s">
        <v>43311</v>
      </c>
      <c r="N632" t="s">
        <v>47424</v>
      </c>
      <c r="O632" t="s">
        <v>47425</v>
      </c>
      <c r="P632">
        <v>0</v>
      </c>
      <c r="Q632">
        <v>5</v>
      </c>
      <c r="R632" t="s">
        <v>47426</v>
      </c>
      <c r="S632" t="s">
        <v>47531</v>
      </c>
      <c r="T632" t="s">
        <v>49073</v>
      </c>
      <c r="U632" t="s">
        <v>50228</v>
      </c>
      <c r="V632" t="s">
        <v>62680</v>
      </c>
      <c r="W632" t="s">
        <v>43311</v>
      </c>
      <c r="X632" t="s">
        <v>47430</v>
      </c>
    </row>
    <row r="633" spans="1:24">
      <c r="A633">
        <f>HYPERLINK("https://www.philgeps.gov.ph/GEPSNONPILOT/Tender/SplashBidNoticeAbstractUI.aspx?menuIndex=3&amp;refID=7163979&amp;Result=3","7163979")</f>
        <v>0</v>
      </c>
      <c r="B633" t="s">
        <v>314</v>
      </c>
      <c r="C633" t="s">
        <v>4539</v>
      </c>
      <c r="D633" t="s">
        <v>19085</v>
      </c>
      <c r="E633" t="s">
        <v>19713</v>
      </c>
      <c r="F633" t="s">
        <v>32831</v>
      </c>
      <c r="G633" t="s">
        <v>32842</v>
      </c>
      <c r="H633" t="s">
        <v>32848</v>
      </c>
      <c r="I633" t="s">
        <v>32860</v>
      </c>
      <c r="J633" t="s">
        <v>33464</v>
      </c>
      <c r="K633" t="s">
        <v>42731</v>
      </c>
      <c r="M633" t="s">
        <v>43316</v>
      </c>
      <c r="N633" t="s">
        <v>47424</v>
      </c>
      <c r="O633" t="s">
        <v>47425</v>
      </c>
      <c r="P633">
        <v>0</v>
      </c>
      <c r="Q633">
        <v>1</v>
      </c>
      <c r="R633" t="s">
        <v>47426</v>
      </c>
      <c r="S633" t="s">
        <v>47531</v>
      </c>
      <c r="T633" t="s">
        <v>49125</v>
      </c>
      <c r="U633" t="s">
        <v>50229</v>
      </c>
      <c r="W633" t="s">
        <v>43316</v>
      </c>
      <c r="X633" t="s">
        <v>47430</v>
      </c>
    </row>
    <row r="634" spans="1:24">
      <c r="A634">
        <f>HYPERLINK("https://www.philgeps.gov.ph/GEPSNONPILOT/Tender/SplashBidNoticeAbstractUI.aspx?menuIndex=3&amp;refID=7164044&amp;Result=3","7164044")</f>
        <v>0</v>
      </c>
      <c r="B634" t="s">
        <v>315</v>
      </c>
      <c r="C634" t="s">
        <v>4540</v>
      </c>
      <c r="D634" t="s">
        <v>19086</v>
      </c>
      <c r="E634" t="s">
        <v>19714</v>
      </c>
      <c r="F634" t="s">
        <v>32831</v>
      </c>
      <c r="G634" t="s">
        <v>32839</v>
      </c>
      <c r="H634" t="s">
        <v>32848</v>
      </c>
      <c r="I634" t="s">
        <v>7751</v>
      </c>
      <c r="J634" t="s">
        <v>33465</v>
      </c>
      <c r="K634" t="s">
        <v>42745</v>
      </c>
      <c r="M634" t="s">
        <v>43317</v>
      </c>
      <c r="N634" t="s">
        <v>47424</v>
      </c>
      <c r="O634" t="s">
        <v>47425</v>
      </c>
      <c r="P634">
        <v>0</v>
      </c>
      <c r="Q634">
        <v>6</v>
      </c>
      <c r="R634" t="s">
        <v>47426</v>
      </c>
      <c r="S634" t="s">
        <v>47531</v>
      </c>
      <c r="T634" t="s">
        <v>49183</v>
      </c>
      <c r="U634" t="s">
        <v>50230</v>
      </c>
      <c r="W634" t="s">
        <v>43317</v>
      </c>
      <c r="X634" t="s">
        <v>47430</v>
      </c>
    </row>
    <row r="635" spans="1:24">
      <c r="A635">
        <f>HYPERLINK("https://www.philgeps.gov.ph/GEPSNONPILOT/Tender/SplashBidNoticeAbstractUI.aspx?menuIndex=3&amp;refID=7164040&amp;Result=3","7164040")</f>
        <v>0</v>
      </c>
      <c r="B635" t="s">
        <v>308</v>
      </c>
      <c r="C635" t="s">
        <v>4541</v>
      </c>
      <c r="D635" t="s">
        <v>19077</v>
      </c>
      <c r="E635" t="s">
        <v>19715</v>
      </c>
      <c r="F635" t="s">
        <v>32831</v>
      </c>
      <c r="G635" t="s">
        <v>32839</v>
      </c>
      <c r="H635" t="s">
        <v>32849</v>
      </c>
      <c r="I635" t="s">
        <v>4177</v>
      </c>
      <c r="J635" t="s">
        <v>33466</v>
      </c>
      <c r="K635" t="s">
        <v>42747</v>
      </c>
      <c r="M635" t="s">
        <v>43310</v>
      </c>
      <c r="N635" t="s">
        <v>47424</v>
      </c>
      <c r="O635" t="s">
        <v>47425</v>
      </c>
      <c r="P635">
        <v>0</v>
      </c>
      <c r="Q635">
        <v>0</v>
      </c>
      <c r="R635" t="s">
        <v>47426</v>
      </c>
      <c r="S635" t="s">
        <v>47531</v>
      </c>
      <c r="T635" t="s">
        <v>49073</v>
      </c>
      <c r="U635" t="s">
        <v>50231</v>
      </c>
      <c r="W635" t="s">
        <v>43310</v>
      </c>
      <c r="X635" t="s">
        <v>47430</v>
      </c>
    </row>
    <row r="636" spans="1:24">
      <c r="A636">
        <f>HYPERLINK("https://www.philgeps.gov.ph/GEPSNONPILOT/Tender/SplashBidNoticeAbstractUI.aspx?menuIndex=3&amp;refID=7164031&amp;Result=3","7164031")</f>
        <v>0</v>
      </c>
      <c r="B636" t="s">
        <v>308</v>
      </c>
      <c r="C636" t="s">
        <v>4542</v>
      </c>
      <c r="D636" t="s">
        <v>19077</v>
      </c>
      <c r="E636" t="s">
        <v>19716</v>
      </c>
      <c r="F636" t="s">
        <v>32831</v>
      </c>
      <c r="G636" t="s">
        <v>32839</v>
      </c>
      <c r="H636" t="s">
        <v>32849</v>
      </c>
      <c r="I636" t="s">
        <v>4177</v>
      </c>
      <c r="J636" t="s">
        <v>32978</v>
      </c>
      <c r="K636" t="s">
        <v>42747</v>
      </c>
      <c r="M636" t="s">
        <v>43310</v>
      </c>
      <c r="N636" t="s">
        <v>47424</v>
      </c>
      <c r="O636" t="s">
        <v>47425</v>
      </c>
      <c r="P636">
        <v>0</v>
      </c>
      <c r="Q636">
        <v>0</v>
      </c>
      <c r="R636" t="s">
        <v>47426</v>
      </c>
      <c r="S636" t="s">
        <v>47531</v>
      </c>
      <c r="T636" t="s">
        <v>49073</v>
      </c>
      <c r="U636" t="s">
        <v>50232</v>
      </c>
      <c r="W636" t="s">
        <v>43310</v>
      </c>
      <c r="X636" t="s">
        <v>47430</v>
      </c>
    </row>
    <row r="637" spans="1:24">
      <c r="A637">
        <f>HYPERLINK("https://www.philgeps.gov.ph/GEPSNONPILOT/Tender/SplashBidNoticeAbstractUI.aspx?menuIndex=3&amp;refID=7163957&amp;Result=3","7163957")</f>
        <v>0</v>
      </c>
      <c r="B637" t="s">
        <v>316</v>
      </c>
      <c r="C637" t="s">
        <v>4543</v>
      </c>
      <c r="D637" t="s">
        <v>19023</v>
      </c>
      <c r="E637" t="s">
        <v>19717</v>
      </c>
      <c r="F637" t="s">
        <v>32831</v>
      </c>
      <c r="G637" t="s">
        <v>32839</v>
      </c>
      <c r="H637" t="s">
        <v>32849</v>
      </c>
      <c r="I637" t="s">
        <v>4177</v>
      </c>
      <c r="J637" t="s">
        <v>33467</v>
      </c>
      <c r="K637" t="s">
        <v>42778</v>
      </c>
      <c r="M637" t="s">
        <v>43318</v>
      </c>
      <c r="N637" t="s">
        <v>47424</v>
      </c>
      <c r="O637" t="s">
        <v>47425</v>
      </c>
      <c r="P637">
        <v>0</v>
      </c>
      <c r="Q637">
        <v>2</v>
      </c>
      <c r="R637" t="s">
        <v>47426</v>
      </c>
      <c r="S637" t="s">
        <v>47531</v>
      </c>
      <c r="T637" t="s">
        <v>49184</v>
      </c>
      <c r="U637" t="s">
        <v>50233</v>
      </c>
      <c r="V637" t="s">
        <v>62681</v>
      </c>
      <c r="W637" t="s">
        <v>43318</v>
      </c>
      <c r="X637" t="s">
        <v>47430</v>
      </c>
    </row>
    <row r="638" spans="1:24">
      <c r="A638">
        <f>HYPERLINK("https://www.philgeps.gov.ph/GEPSNONPILOT/Tender/SplashBidNoticeAbstractUI.aspx?menuIndex=3&amp;refID=7164026&amp;Result=3","7164026")</f>
        <v>0</v>
      </c>
      <c r="B638" t="s">
        <v>317</v>
      </c>
      <c r="C638" t="s">
        <v>4544</v>
      </c>
      <c r="D638" t="s">
        <v>19020</v>
      </c>
      <c r="E638" t="s">
        <v>19718</v>
      </c>
      <c r="F638" t="s">
        <v>32831</v>
      </c>
      <c r="G638" t="s">
        <v>32839</v>
      </c>
      <c r="H638" t="s">
        <v>32848</v>
      </c>
      <c r="I638" t="s">
        <v>32860</v>
      </c>
      <c r="J638" t="s">
        <v>33468</v>
      </c>
      <c r="K638" t="s">
        <v>42779</v>
      </c>
      <c r="M638" t="s">
        <v>43319</v>
      </c>
      <c r="N638" t="s">
        <v>47424</v>
      </c>
      <c r="O638" t="s">
        <v>47425</v>
      </c>
      <c r="P638">
        <v>0</v>
      </c>
      <c r="Q638">
        <v>1</v>
      </c>
      <c r="R638" t="s">
        <v>47426</v>
      </c>
      <c r="S638" t="s">
        <v>47531</v>
      </c>
      <c r="T638" t="s">
        <v>49185</v>
      </c>
      <c r="U638" t="s">
        <v>50234</v>
      </c>
      <c r="V638" t="s">
        <v>62682</v>
      </c>
      <c r="W638" t="s">
        <v>43319</v>
      </c>
      <c r="X638" t="s">
        <v>47430</v>
      </c>
    </row>
    <row r="639" spans="1:24">
      <c r="A639">
        <f>HYPERLINK("https://www.philgeps.gov.ph/GEPSNONPILOT/Tender/SplashBidNoticeAbstractUI.aspx?menuIndex=3&amp;refID=7163508&amp;Result=3","7163508")</f>
        <v>0</v>
      </c>
      <c r="B639" t="s">
        <v>318</v>
      </c>
      <c r="C639" t="s">
        <v>4545</v>
      </c>
      <c r="D639" t="s">
        <v>19019</v>
      </c>
      <c r="E639" t="s">
        <v>19719</v>
      </c>
      <c r="F639" t="s">
        <v>32831</v>
      </c>
      <c r="G639" t="s">
        <v>32838</v>
      </c>
      <c r="H639" t="s">
        <v>32848</v>
      </c>
      <c r="I639" t="s">
        <v>8577</v>
      </c>
      <c r="J639" t="s">
        <v>33469</v>
      </c>
      <c r="K639" t="s">
        <v>42750</v>
      </c>
      <c r="M639" t="s">
        <v>43320</v>
      </c>
      <c r="N639" t="s">
        <v>47424</v>
      </c>
      <c r="O639" t="s">
        <v>47425</v>
      </c>
      <c r="P639">
        <v>0</v>
      </c>
      <c r="Q639">
        <v>5</v>
      </c>
      <c r="R639" t="s">
        <v>47426</v>
      </c>
      <c r="S639" t="s">
        <v>47531</v>
      </c>
      <c r="T639" t="s">
        <v>49100</v>
      </c>
      <c r="U639" t="s">
        <v>50235</v>
      </c>
      <c r="V639" t="s">
        <v>62683</v>
      </c>
      <c r="W639" t="s">
        <v>43320</v>
      </c>
      <c r="X639" t="s">
        <v>47430</v>
      </c>
    </row>
    <row r="640" spans="1:24">
      <c r="A640">
        <f>HYPERLINK("https://www.philgeps.gov.ph/GEPSNONPILOT/Tender/SplashBidNoticeAbstractUI.aspx?menuIndex=3&amp;refID=7164025&amp;Result=3","7164025")</f>
        <v>0</v>
      </c>
      <c r="B640" t="s">
        <v>319</v>
      </c>
      <c r="C640" t="s">
        <v>4546</v>
      </c>
      <c r="D640" t="s">
        <v>19044</v>
      </c>
      <c r="E640" t="s">
        <v>19720</v>
      </c>
      <c r="F640" t="s">
        <v>32831</v>
      </c>
      <c r="G640" t="s">
        <v>32838</v>
      </c>
      <c r="H640" t="s">
        <v>14069</v>
      </c>
      <c r="I640" t="s">
        <v>14069</v>
      </c>
      <c r="J640" t="s">
        <v>33445</v>
      </c>
      <c r="K640" t="s">
        <v>42730</v>
      </c>
      <c r="M640" t="s">
        <v>43321</v>
      </c>
      <c r="N640" t="s">
        <v>47424</v>
      </c>
      <c r="O640" t="s">
        <v>47425</v>
      </c>
      <c r="P640">
        <v>0</v>
      </c>
      <c r="Q640">
        <v>0</v>
      </c>
      <c r="R640" t="s">
        <v>47426</v>
      </c>
      <c r="S640" t="s">
        <v>47531</v>
      </c>
      <c r="T640" t="s">
        <v>49073</v>
      </c>
      <c r="U640" t="s">
        <v>50236</v>
      </c>
      <c r="W640" t="s">
        <v>43321</v>
      </c>
      <c r="X640" t="s">
        <v>47430</v>
      </c>
    </row>
    <row r="641" spans="1:24">
      <c r="A641">
        <f>HYPERLINK("https://www.philgeps.gov.ph/GEPSNONPILOT/Tender/SplashBidNoticeAbstractUI.aspx?menuIndex=3&amp;refID=7164024&amp;Result=3","7164024")</f>
        <v>0</v>
      </c>
      <c r="B641" t="s">
        <v>309</v>
      </c>
      <c r="C641" t="s">
        <v>4547</v>
      </c>
      <c r="D641" t="s">
        <v>19073</v>
      </c>
      <c r="E641" t="s">
        <v>19721</v>
      </c>
      <c r="F641" t="s">
        <v>32831</v>
      </c>
      <c r="G641" t="s">
        <v>32839</v>
      </c>
      <c r="H641" t="s">
        <v>32848</v>
      </c>
      <c r="I641" t="s">
        <v>7751</v>
      </c>
      <c r="J641" t="s">
        <v>33380</v>
      </c>
      <c r="K641" t="s">
        <v>42727</v>
      </c>
      <c r="M641" t="s">
        <v>43311</v>
      </c>
      <c r="N641" t="s">
        <v>47424</v>
      </c>
      <c r="O641" t="s">
        <v>47425</v>
      </c>
      <c r="P641">
        <v>0</v>
      </c>
      <c r="Q641">
        <v>1</v>
      </c>
      <c r="R641" t="s">
        <v>47426</v>
      </c>
      <c r="S641" t="s">
        <v>47531</v>
      </c>
      <c r="T641" t="s">
        <v>49073</v>
      </c>
      <c r="U641" t="s">
        <v>50237</v>
      </c>
      <c r="V641" t="s">
        <v>62684</v>
      </c>
      <c r="W641" t="s">
        <v>43311</v>
      </c>
      <c r="X641" t="s">
        <v>47430</v>
      </c>
    </row>
    <row r="642" spans="1:24">
      <c r="A642">
        <f>HYPERLINK("https://www.philgeps.gov.ph/GEPSNONPILOT/Tender/SplashBidNoticeAbstractUI.aspx?menuIndex=3&amp;refID=7164017&amp;Result=3","7164017")</f>
        <v>0</v>
      </c>
      <c r="B642" t="s">
        <v>309</v>
      </c>
      <c r="C642" t="s">
        <v>4548</v>
      </c>
      <c r="D642" t="s">
        <v>19073</v>
      </c>
      <c r="E642" t="s">
        <v>19722</v>
      </c>
      <c r="F642" t="s">
        <v>32831</v>
      </c>
      <c r="G642" t="s">
        <v>32839</v>
      </c>
      <c r="H642" t="s">
        <v>32848</v>
      </c>
      <c r="I642" t="s">
        <v>4222</v>
      </c>
      <c r="J642" t="s">
        <v>33470</v>
      </c>
      <c r="K642" t="s">
        <v>42727</v>
      </c>
      <c r="M642" t="s">
        <v>43311</v>
      </c>
      <c r="N642" t="s">
        <v>47424</v>
      </c>
      <c r="O642" t="s">
        <v>47425</v>
      </c>
      <c r="P642">
        <v>0</v>
      </c>
      <c r="Q642">
        <v>0</v>
      </c>
      <c r="R642" t="s">
        <v>47426</v>
      </c>
      <c r="S642" t="s">
        <v>47531</v>
      </c>
      <c r="T642" t="s">
        <v>49073</v>
      </c>
      <c r="U642" t="s">
        <v>50238</v>
      </c>
      <c r="V642" t="s">
        <v>62685</v>
      </c>
      <c r="W642" t="s">
        <v>43311</v>
      </c>
      <c r="X642" t="s">
        <v>47430</v>
      </c>
    </row>
    <row r="643" spans="1:24">
      <c r="A643">
        <f>HYPERLINK("https://www.philgeps.gov.ph/GEPSNONPILOT/Tender/SplashBidNoticeAbstractUI.aspx?menuIndex=3&amp;refID=7163963&amp;Result=3","7163963")</f>
        <v>0</v>
      </c>
      <c r="B643" t="s">
        <v>317</v>
      </c>
      <c r="C643" t="s">
        <v>4549</v>
      </c>
      <c r="D643" t="s">
        <v>19020</v>
      </c>
      <c r="E643" t="s">
        <v>19723</v>
      </c>
      <c r="F643" t="s">
        <v>32831</v>
      </c>
      <c r="G643" t="s">
        <v>32839</v>
      </c>
      <c r="H643" t="s">
        <v>32848</v>
      </c>
      <c r="I643" t="s">
        <v>4177</v>
      </c>
      <c r="J643" t="s">
        <v>33055</v>
      </c>
      <c r="K643" t="s">
        <v>42729</v>
      </c>
      <c r="M643" t="s">
        <v>43319</v>
      </c>
      <c r="N643" t="s">
        <v>47424</v>
      </c>
      <c r="O643" t="s">
        <v>47425</v>
      </c>
      <c r="P643">
        <v>0</v>
      </c>
      <c r="Q643">
        <v>0</v>
      </c>
      <c r="R643" t="s">
        <v>47426</v>
      </c>
      <c r="S643" t="s">
        <v>47531</v>
      </c>
      <c r="T643" t="s">
        <v>49186</v>
      </c>
      <c r="U643" t="s">
        <v>50239</v>
      </c>
      <c r="V643" t="s">
        <v>62682</v>
      </c>
      <c r="W643" t="s">
        <v>43319</v>
      </c>
      <c r="X643" t="s">
        <v>47430</v>
      </c>
    </row>
    <row r="644" spans="1:24">
      <c r="A644">
        <f>HYPERLINK("https://www.philgeps.gov.ph/GEPSNONPILOT/Tender/SplashBidNoticeAbstractUI.aspx?menuIndex=3&amp;refID=7164013&amp;Result=3","7164013")</f>
        <v>0</v>
      </c>
      <c r="B644" t="s">
        <v>95</v>
      </c>
      <c r="C644" t="s">
        <v>4550</v>
      </c>
      <c r="D644" t="s">
        <v>19032</v>
      </c>
      <c r="E644" t="s">
        <v>19724</v>
      </c>
      <c r="F644" t="s">
        <v>32831</v>
      </c>
      <c r="G644" t="s">
        <v>32838</v>
      </c>
      <c r="H644" t="s">
        <v>32848</v>
      </c>
      <c r="I644" t="s">
        <v>32852</v>
      </c>
      <c r="J644" t="s">
        <v>33461</v>
      </c>
      <c r="K644" t="s">
        <v>42726</v>
      </c>
      <c r="M644" t="s">
        <v>43092</v>
      </c>
      <c r="N644" t="s">
        <v>47424</v>
      </c>
      <c r="O644" t="s">
        <v>47425</v>
      </c>
      <c r="P644">
        <v>0</v>
      </c>
      <c r="Q644">
        <v>0</v>
      </c>
      <c r="R644" t="s">
        <v>47426</v>
      </c>
      <c r="S644" t="s">
        <v>47531</v>
      </c>
      <c r="T644" t="s">
        <v>49109</v>
      </c>
      <c r="U644" t="s">
        <v>50240</v>
      </c>
      <c r="W644" t="s">
        <v>43092</v>
      </c>
      <c r="X644" t="s">
        <v>47430</v>
      </c>
    </row>
    <row r="645" spans="1:24">
      <c r="A645">
        <f>HYPERLINK("https://www.philgeps.gov.ph/GEPSNONPILOT/Tender/SplashBidNoticeAbstractUI.aspx?menuIndex=3&amp;refID=7164005&amp;Result=3","7164005")</f>
        <v>0</v>
      </c>
      <c r="B645" t="s">
        <v>308</v>
      </c>
      <c r="C645" t="s">
        <v>4551</v>
      </c>
      <c r="D645" t="s">
        <v>19077</v>
      </c>
      <c r="E645" t="s">
        <v>19725</v>
      </c>
      <c r="F645" t="s">
        <v>32831</v>
      </c>
      <c r="G645" t="s">
        <v>32839</v>
      </c>
      <c r="H645" t="s">
        <v>32849</v>
      </c>
      <c r="I645" t="s">
        <v>4177</v>
      </c>
      <c r="J645" t="s">
        <v>33078</v>
      </c>
      <c r="K645" t="s">
        <v>42729</v>
      </c>
      <c r="M645" t="s">
        <v>43310</v>
      </c>
      <c r="N645" t="s">
        <v>47424</v>
      </c>
      <c r="O645" t="s">
        <v>47425</v>
      </c>
      <c r="P645">
        <v>0</v>
      </c>
      <c r="Q645">
        <v>0</v>
      </c>
      <c r="R645" t="s">
        <v>47426</v>
      </c>
      <c r="S645" t="s">
        <v>47531</v>
      </c>
      <c r="T645" t="s">
        <v>49073</v>
      </c>
      <c r="U645" t="s">
        <v>50241</v>
      </c>
      <c r="W645" t="s">
        <v>43310</v>
      </c>
      <c r="X645" t="s">
        <v>47430</v>
      </c>
    </row>
    <row r="646" spans="1:24">
      <c r="A646">
        <f>HYPERLINK("https://www.philgeps.gov.ph/GEPSNONPILOT/Tender/SplashBidNoticeAbstractUI.aspx?menuIndex=3&amp;refID=7163962&amp;Result=3","7163962")</f>
        <v>0</v>
      </c>
      <c r="B646" t="s">
        <v>282</v>
      </c>
      <c r="C646" t="s">
        <v>4552</v>
      </c>
      <c r="D646" t="s">
        <v>19052</v>
      </c>
      <c r="E646" t="s">
        <v>19726</v>
      </c>
      <c r="F646" t="s">
        <v>32831</v>
      </c>
      <c r="G646" t="s">
        <v>32839</v>
      </c>
      <c r="H646" t="s">
        <v>32848</v>
      </c>
      <c r="I646" t="s">
        <v>4487</v>
      </c>
      <c r="J646" t="s">
        <v>33471</v>
      </c>
      <c r="K646" t="s">
        <v>42730</v>
      </c>
      <c r="M646" t="s">
        <v>43281</v>
      </c>
      <c r="N646" t="s">
        <v>47424</v>
      </c>
      <c r="O646" t="s">
        <v>47425</v>
      </c>
      <c r="P646">
        <v>0</v>
      </c>
      <c r="Q646">
        <v>4</v>
      </c>
      <c r="R646" t="s">
        <v>47426</v>
      </c>
      <c r="S646" t="s">
        <v>47531</v>
      </c>
      <c r="T646" t="s">
        <v>49065</v>
      </c>
      <c r="U646" t="s">
        <v>50242</v>
      </c>
      <c r="W646" t="s">
        <v>43281</v>
      </c>
      <c r="X646" t="s">
        <v>47430</v>
      </c>
    </row>
    <row r="647" spans="1:24">
      <c r="A647">
        <f>HYPERLINK("https://www.philgeps.gov.ph/GEPSNONPILOT/Tender/SplashBidNoticeAbstractUI.aspx?menuIndex=3&amp;refID=7164001&amp;Result=3","7164001")</f>
        <v>0</v>
      </c>
      <c r="B647" t="s">
        <v>309</v>
      </c>
      <c r="C647" t="s">
        <v>4553</v>
      </c>
      <c r="D647" t="s">
        <v>19073</v>
      </c>
      <c r="E647" t="s">
        <v>19727</v>
      </c>
      <c r="F647" t="s">
        <v>32831</v>
      </c>
      <c r="G647" t="s">
        <v>32839</v>
      </c>
      <c r="H647" t="s">
        <v>32848</v>
      </c>
      <c r="I647" t="s">
        <v>32902</v>
      </c>
      <c r="J647" t="s">
        <v>33241</v>
      </c>
      <c r="K647" t="s">
        <v>42727</v>
      </c>
      <c r="M647" t="s">
        <v>43311</v>
      </c>
      <c r="N647" t="s">
        <v>47424</v>
      </c>
      <c r="O647" t="s">
        <v>47425</v>
      </c>
      <c r="P647">
        <v>0</v>
      </c>
      <c r="Q647">
        <v>7</v>
      </c>
      <c r="R647" t="s">
        <v>47426</v>
      </c>
      <c r="S647" t="s">
        <v>47531</v>
      </c>
      <c r="T647" t="s">
        <v>49073</v>
      </c>
      <c r="U647" t="s">
        <v>50243</v>
      </c>
      <c r="V647" t="s">
        <v>62686</v>
      </c>
      <c r="W647" t="s">
        <v>43311</v>
      </c>
      <c r="X647" t="s">
        <v>47430</v>
      </c>
    </row>
    <row r="648" spans="1:24">
      <c r="A648">
        <f>HYPERLINK("https://www.philgeps.gov.ph/GEPSNONPILOT/Tender/SplashBidNoticeAbstractUI.aspx?menuIndex=3&amp;refID=7164039&amp;Result=3","7164039")</f>
        <v>0</v>
      </c>
      <c r="B648" t="s">
        <v>276</v>
      </c>
      <c r="C648" t="s">
        <v>4554</v>
      </c>
      <c r="D648" t="s">
        <v>19043</v>
      </c>
      <c r="E648" t="s">
        <v>19728</v>
      </c>
      <c r="F648" t="s">
        <v>32831</v>
      </c>
      <c r="G648" t="s">
        <v>32839</v>
      </c>
      <c r="H648" t="s">
        <v>32849</v>
      </c>
      <c r="I648" t="s">
        <v>32903</v>
      </c>
      <c r="J648" t="s">
        <v>33472</v>
      </c>
      <c r="K648" t="s">
        <v>42732</v>
      </c>
      <c r="M648" t="s">
        <v>43322</v>
      </c>
      <c r="N648" t="s">
        <v>47424</v>
      </c>
      <c r="O648" t="s">
        <v>47425</v>
      </c>
      <c r="P648">
        <v>0</v>
      </c>
      <c r="Q648">
        <v>2</v>
      </c>
      <c r="R648" t="s">
        <v>47426</v>
      </c>
      <c r="S648" t="s">
        <v>47531</v>
      </c>
      <c r="T648" t="s">
        <v>49187</v>
      </c>
      <c r="U648" t="s">
        <v>50244</v>
      </c>
      <c r="W648" t="s">
        <v>43322</v>
      </c>
      <c r="X648" t="s">
        <v>47430</v>
      </c>
    </row>
    <row r="649" spans="1:24">
      <c r="A649">
        <f>HYPERLINK("https://www.philgeps.gov.ph/GEPSNONPILOT/Tender/SplashBidNoticeAbstractUI.aspx?menuIndex=3&amp;refID=7164000&amp;Result=3","7164000")</f>
        <v>0</v>
      </c>
      <c r="B649" t="s">
        <v>308</v>
      </c>
      <c r="C649" t="s">
        <v>4555</v>
      </c>
      <c r="D649" t="s">
        <v>19077</v>
      </c>
      <c r="E649" t="s">
        <v>19729</v>
      </c>
      <c r="F649" t="s">
        <v>32831</v>
      </c>
      <c r="G649" t="s">
        <v>32839</v>
      </c>
      <c r="H649" t="s">
        <v>32849</v>
      </c>
      <c r="I649" t="s">
        <v>4177</v>
      </c>
      <c r="J649" t="s">
        <v>33473</v>
      </c>
      <c r="K649" t="s">
        <v>42747</v>
      </c>
      <c r="M649" t="s">
        <v>43310</v>
      </c>
      <c r="N649" t="s">
        <v>47424</v>
      </c>
      <c r="O649" t="s">
        <v>47425</v>
      </c>
      <c r="P649">
        <v>0</v>
      </c>
      <c r="Q649">
        <v>0</v>
      </c>
      <c r="R649" t="s">
        <v>47426</v>
      </c>
      <c r="S649" t="s">
        <v>47531</v>
      </c>
      <c r="T649" t="s">
        <v>49073</v>
      </c>
      <c r="U649" t="s">
        <v>50245</v>
      </c>
      <c r="W649" t="s">
        <v>43310</v>
      </c>
      <c r="X649" t="s">
        <v>47430</v>
      </c>
    </row>
    <row r="650" spans="1:24">
      <c r="A650">
        <f>HYPERLINK("https://www.philgeps.gov.ph/GEPSNONPILOT/Tender/SplashBidNoticeAbstractUI.aspx?menuIndex=3&amp;refID=7164012&amp;Result=3","7164012")</f>
        <v>0</v>
      </c>
      <c r="B650" t="s">
        <v>320</v>
      </c>
      <c r="C650" t="s">
        <v>4556</v>
      </c>
      <c r="D650" t="s">
        <v>19045</v>
      </c>
      <c r="E650" t="s">
        <v>19730</v>
      </c>
      <c r="F650" t="s">
        <v>32834</v>
      </c>
      <c r="G650" t="s">
        <v>32840</v>
      </c>
      <c r="H650" t="s">
        <v>32848</v>
      </c>
      <c r="I650" t="s">
        <v>5379</v>
      </c>
      <c r="J650" t="s">
        <v>33087</v>
      </c>
      <c r="K650" t="s">
        <v>42745</v>
      </c>
      <c r="M650" t="s">
        <v>43323</v>
      </c>
      <c r="N650" t="s">
        <v>47424</v>
      </c>
      <c r="O650" t="s">
        <v>47425</v>
      </c>
      <c r="P650">
        <v>0</v>
      </c>
      <c r="Q650">
        <v>6</v>
      </c>
      <c r="R650" t="s">
        <v>47426</v>
      </c>
      <c r="S650" t="s">
        <v>47531</v>
      </c>
      <c r="T650" t="s">
        <v>49105</v>
      </c>
      <c r="U650" t="s">
        <v>50246</v>
      </c>
      <c r="W650" t="s">
        <v>43323</v>
      </c>
      <c r="X650" t="s">
        <v>47430</v>
      </c>
    </row>
    <row r="651" spans="1:24">
      <c r="A651">
        <f>HYPERLINK("https://www.philgeps.gov.ph/GEPSNONPILOT/Tender/SplashBidNoticeAbstractUI.aspx?menuIndex=3&amp;refID=7163994&amp;Result=3","7163994")</f>
        <v>0</v>
      </c>
      <c r="B651" t="s">
        <v>276</v>
      </c>
      <c r="C651" t="s">
        <v>4557</v>
      </c>
      <c r="D651" t="s">
        <v>19043</v>
      </c>
      <c r="E651" t="s">
        <v>19731</v>
      </c>
      <c r="F651" t="s">
        <v>32831</v>
      </c>
      <c r="G651" t="s">
        <v>32839</v>
      </c>
      <c r="H651" t="s">
        <v>32849</v>
      </c>
      <c r="I651" t="s">
        <v>4177</v>
      </c>
      <c r="J651" t="s">
        <v>33474</v>
      </c>
      <c r="K651" t="s">
        <v>42732</v>
      </c>
      <c r="M651" t="s">
        <v>43322</v>
      </c>
      <c r="N651" t="s">
        <v>47424</v>
      </c>
      <c r="O651" t="s">
        <v>47425</v>
      </c>
      <c r="P651">
        <v>0</v>
      </c>
      <c r="Q651">
        <v>0</v>
      </c>
      <c r="R651" t="s">
        <v>47426</v>
      </c>
      <c r="S651" t="s">
        <v>47531</v>
      </c>
      <c r="T651" t="s">
        <v>49187</v>
      </c>
      <c r="U651" t="s">
        <v>50247</v>
      </c>
      <c r="W651" t="s">
        <v>43322</v>
      </c>
      <c r="X651" t="s">
        <v>47430</v>
      </c>
    </row>
    <row r="652" spans="1:24">
      <c r="A652">
        <f>HYPERLINK("https://www.philgeps.gov.ph/GEPSNONPILOT/Tender/SplashBidNoticeAbstractUI.aspx?menuIndex=3&amp;refID=7164006&amp;Result=3","7164006")</f>
        <v>0</v>
      </c>
      <c r="B652" t="s">
        <v>309</v>
      </c>
      <c r="C652" t="s">
        <v>4558</v>
      </c>
      <c r="D652" t="s">
        <v>19073</v>
      </c>
      <c r="E652" t="s">
        <v>19732</v>
      </c>
      <c r="F652" t="s">
        <v>32831</v>
      </c>
      <c r="G652" t="s">
        <v>32839</v>
      </c>
      <c r="H652" t="s">
        <v>32848</v>
      </c>
      <c r="I652" t="s">
        <v>4558</v>
      </c>
      <c r="J652" t="s">
        <v>33011</v>
      </c>
      <c r="K652" t="s">
        <v>42727</v>
      </c>
      <c r="M652" t="s">
        <v>43311</v>
      </c>
      <c r="N652" t="s">
        <v>47424</v>
      </c>
      <c r="O652" t="s">
        <v>47425</v>
      </c>
      <c r="P652">
        <v>0</v>
      </c>
      <c r="Q652">
        <v>1</v>
      </c>
      <c r="R652" t="s">
        <v>47426</v>
      </c>
      <c r="S652" t="s">
        <v>47531</v>
      </c>
      <c r="T652" t="s">
        <v>49073</v>
      </c>
      <c r="U652" t="s">
        <v>50248</v>
      </c>
      <c r="V652" t="s">
        <v>62687</v>
      </c>
      <c r="W652" t="s">
        <v>43311</v>
      </c>
      <c r="X652" t="s">
        <v>47430</v>
      </c>
    </row>
    <row r="653" spans="1:24">
      <c r="A653">
        <f>HYPERLINK("https://www.philgeps.gov.ph/GEPSNONPILOT/Tender/SplashBidNoticeAbstractUI.aspx?menuIndex=3&amp;refID=7163993&amp;Result=3","7163993")</f>
        <v>0</v>
      </c>
      <c r="B653" t="s">
        <v>248</v>
      </c>
      <c r="C653" t="s">
        <v>4559</v>
      </c>
      <c r="D653" t="s">
        <v>19038</v>
      </c>
      <c r="E653" t="s">
        <v>19733</v>
      </c>
      <c r="F653" t="s">
        <v>32831</v>
      </c>
      <c r="G653" t="s">
        <v>32839</v>
      </c>
      <c r="H653" t="s">
        <v>32848</v>
      </c>
      <c r="I653" t="s">
        <v>32857</v>
      </c>
      <c r="J653" t="s">
        <v>33475</v>
      </c>
      <c r="K653" t="s">
        <v>42742</v>
      </c>
      <c r="M653" t="s">
        <v>43247</v>
      </c>
      <c r="N653" t="s">
        <v>47424</v>
      </c>
      <c r="O653" t="s">
        <v>47425</v>
      </c>
      <c r="P653">
        <v>0</v>
      </c>
      <c r="Q653">
        <v>3</v>
      </c>
      <c r="R653" t="s">
        <v>47426</v>
      </c>
      <c r="S653" t="s">
        <v>47531</v>
      </c>
      <c r="T653" t="s">
        <v>49069</v>
      </c>
      <c r="U653" t="s">
        <v>50249</v>
      </c>
      <c r="W653" t="s">
        <v>64434</v>
      </c>
      <c r="X653" t="s">
        <v>47430</v>
      </c>
    </row>
    <row r="654" spans="1:24">
      <c r="A654">
        <f>HYPERLINK("https://www.philgeps.gov.ph/GEPSNONPILOT/Tender/SplashBidNoticeAbstractUI.aspx?menuIndex=3&amp;refID=7163991&amp;Result=3","7163991")</f>
        <v>0</v>
      </c>
      <c r="B654" t="s">
        <v>317</v>
      </c>
      <c r="C654" t="s">
        <v>4560</v>
      </c>
      <c r="D654" t="s">
        <v>19020</v>
      </c>
      <c r="E654" t="s">
        <v>19734</v>
      </c>
      <c r="F654" t="s">
        <v>32831</v>
      </c>
      <c r="G654" t="s">
        <v>32839</v>
      </c>
      <c r="H654" t="s">
        <v>32848</v>
      </c>
      <c r="I654" t="s">
        <v>9577</v>
      </c>
      <c r="J654" t="s">
        <v>32985</v>
      </c>
      <c r="K654" t="s">
        <v>42779</v>
      </c>
      <c r="M654" t="s">
        <v>43319</v>
      </c>
      <c r="N654" t="s">
        <v>47424</v>
      </c>
      <c r="O654" t="s">
        <v>47425</v>
      </c>
      <c r="P654">
        <v>0</v>
      </c>
      <c r="Q654">
        <v>0</v>
      </c>
      <c r="R654" t="s">
        <v>47426</v>
      </c>
      <c r="S654" t="s">
        <v>47531</v>
      </c>
      <c r="T654" t="s">
        <v>49185</v>
      </c>
      <c r="U654" t="s">
        <v>50250</v>
      </c>
      <c r="V654" t="s">
        <v>62682</v>
      </c>
      <c r="W654" t="s">
        <v>43319</v>
      </c>
      <c r="X654" t="s">
        <v>47430</v>
      </c>
    </row>
    <row r="655" spans="1:24">
      <c r="A655">
        <f>HYPERLINK("https://www.philgeps.gov.ph/GEPSNONPILOT/Tender/SplashBidNoticeAbstractUI.aspx?menuIndex=3&amp;refID=7163943&amp;Result=3","7163943")</f>
        <v>0</v>
      </c>
      <c r="B655" t="s">
        <v>311</v>
      </c>
      <c r="C655" t="s">
        <v>4561</v>
      </c>
      <c r="D655" t="s">
        <v>19064</v>
      </c>
      <c r="E655" t="s">
        <v>19735</v>
      </c>
      <c r="F655" t="s">
        <v>32831</v>
      </c>
      <c r="G655" t="s">
        <v>32839</v>
      </c>
      <c r="H655" t="s">
        <v>32848</v>
      </c>
      <c r="I655" t="s">
        <v>32859</v>
      </c>
      <c r="J655" t="s">
        <v>33279</v>
      </c>
      <c r="K655" t="s">
        <v>42763</v>
      </c>
      <c r="M655" t="s">
        <v>43313</v>
      </c>
      <c r="N655" t="s">
        <v>47424</v>
      </c>
      <c r="O655" t="s">
        <v>47425</v>
      </c>
      <c r="P655">
        <v>0</v>
      </c>
      <c r="Q655">
        <v>0</v>
      </c>
      <c r="R655" t="s">
        <v>47426</v>
      </c>
      <c r="S655" t="s">
        <v>47531</v>
      </c>
      <c r="T655" t="s">
        <v>49188</v>
      </c>
      <c r="U655" t="s">
        <v>50222</v>
      </c>
      <c r="W655" t="s">
        <v>43313</v>
      </c>
      <c r="X655" t="s">
        <v>47430</v>
      </c>
    </row>
    <row r="656" spans="1:24">
      <c r="A656">
        <f>HYPERLINK("https://www.philgeps.gov.ph/GEPSNONPILOT/Tender/SplashBidNoticeAbstractUI.aspx?menuIndex=3&amp;refID=7163942&amp;Result=3","7163942")</f>
        <v>0</v>
      </c>
      <c r="B656" t="s">
        <v>321</v>
      </c>
      <c r="C656" t="s">
        <v>4562</v>
      </c>
      <c r="D656" t="s">
        <v>19045</v>
      </c>
      <c r="E656" t="s">
        <v>19736</v>
      </c>
      <c r="F656" t="s">
        <v>32831</v>
      </c>
      <c r="G656" t="s">
        <v>32838</v>
      </c>
      <c r="H656" t="s">
        <v>32848</v>
      </c>
      <c r="I656" t="s">
        <v>5379</v>
      </c>
      <c r="J656" t="s">
        <v>33476</v>
      </c>
      <c r="K656" t="s">
        <v>42759</v>
      </c>
      <c r="M656" t="s">
        <v>43324</v>
      </c>
      <c r="N656" t="s">
        <v>47424</v>
      </c>
      <c r="O656" t="s">
        <v>47425</v>
      </c>
      <c r="P656">
        <v>0</v>
      </c>
      <c r="Q656">
        <v>4</v>
      </c>
      <c r="R656" t="s">
        <v>47426</v>
      </c>
      <c r="S656" t="s">
        <v>47531</v>
      </c>
      <c r="T656" t="s">
        <v>49108</v>
      </c>
      <c r="U656" t="s">
        <v>50251</v>
      </c>
      <c r="V656" t="s">
        <v>62688</v>
      </c>
      <c r="W656" t="s">
        <v>43324</v>
      </c>
      <c r="X656" t="s">
        <v>47430</v>
      </c>
    </row>
    <row r="657" spans="1:24">
      <c r="A657">
        <f>HYPERLINK("https://www.philgeps.gov.ph/GEPSNONPILOT/Tender/SplashBidNoticeAbstractUI.aspx?menuIndex=3&amp;refID=7164027&amp;Result=3","7164027")</f>
        <v>0</v>
      </c>
      <c r="B657" t="s">
        <v>276</v>
      </c>
      <c r="C657" t="s">
        <v>4563</v>
      </c>
      <c r="D657" t="s">
        <v>19043</v>
      </c>
      <c r="E657" t="s">
        <v>19737</v>
      </c>
      <c r="F657" t="s">
        <v>32831</v>
      </c>
      <c r="G657" t="s">
        <v>32839</v>
      </c>
      <c r="H657" t="s">
        <v>32848</v>
      </c>
      <c r="I657" t="s">
        <v>32871</v>
      </c>
      <c r="J657" t="s">
        <v>33477</v>
      </c>
      <c r="K657" t="s">
        <v>42732</v>
      </c>
      <c r="M657" t="s">
        <v>43322</v>
      </c>
      <c r="N657" t="s">
        <v>47424</v>
      </c>
      <c r="O657" t="s">
        <v>47425</v>
      </c>
      <c r="Q657">
        <v>21</v>
      </c>
      <c r="R657" t="s">
        <v>47426</v>
      </c>
      <c r="S657" t="s">
        <v>47536</v>
      </c>
      <c r="T657" t="s">
        <v>49187</v>
      </c>
      <c r="U657" t="s">
        <v>50252</v>
      </c>
      <c r="W657" t="s">
        <v>43322</v>
      </c>
      <c r="X657" t="s">
        <v>47430</v>
      </c>
    </row>
    <row r="658" spans="1:24">
      <c r="A658">
        <f>HYPERLINK("https://www.philgeps.gov.ph/GEPSNONPILOT/Tender/SplashBidNoticeAbstractUI.aspx?menuIndex=3&amp;refID=7163996&amp;Result=3","7163996")</f>
        <v>0</v>
      </c>
      <c r="B658" t="s">
        <v>313</v>
      </c>
      <c r="C658" t="s">
        <v>4564</v>
      </c>
      <c r="D658" t="s">
        <v>19052</v>
      </c>
      <c r="E658" t="s">
        <v>19738</v>
      </c>
      <c r="F658" t="s">
        <v>32831</v>
      </c>
      <c r="G658" t="s">
        <v>32839</v>
      </c>
      <c r="H658" t="s">
        <v>32848</v>
      </c>
      <c r="I658" t="s">
        <v>7416</v>
      </c>
      <c r="J658" t="s">
        <v>33478</v>
      </c>
      <c r="K658" t="s">
        <v>42763</v>
      </c>
      <c r="M658" t="s">
        <v>43315</v>
      </c>
      <c r="N658" t="s">
        <v>47424</v>
      </c>
      <c r="O658" t="s">
        <v>47425</v>
      </c>
      <c r="P658">
        <v>0</v>
      </c>
      <c r="Q658">
        <v>0</v>
      </c>
      <c r="R658" t="s">
        <v>47426</v>
      </c>
      <c r="S658" t="s">
        <v>47531</v>
      </c>
      <c r="T658" t="s">
        <v>49078</v>
      </c>
      <c r="U658" t="s">
        <v>50253</v>
      </c>
      <c r="W658" t="s">
        <v>64435</v>
      </c>
      <c r="X658" t="s">
        <v>47430</v>
      </c>
    </row>
    <row r="659" spans="1:24">
      <c r="A659">
        <f>HYPERLINK("https://www.philgeps.gov.ph/GEPSNONPILOT/Tender/SplashBidNoticeAbstractUI.aspx?menuIndex=3&amp;refID=7163908&amp;Result=3","7163908")</f>
        <v>0</v>
      </c>
      <c r="B659" t="s">
        <v>322</v>
      </c>
      <c r="C659" t="s">
        <v>4565</v>
      </c>
      <c r="D659" t="s">
        <v>19023</v>
      </c>
      <c r="E659" t="s">
        <v>19739</v>
      </c>
      <c r="F659" t="s">
        <v>32831</v>
      </c>
      <c r="G659" t="s">
        <v>32838</v>
      </c>
      <c r="H659" t="s">
        <v>32848</v>
      </c>
      <c r="I659" t="s">
        <v>4776</v>
      </c>
      <c r="J659" t="s">
        <v>32979</v>
      </c>
      <c r="K659" t="s">
        <v>42759</v>
      </c>
      <c r="M659" t="s">
        <v>43325</v>
      </c>
      <c r="N659" t="s">
        <v>47424</v>
      </c>
      <c r="O659" t="s">
        <v>47425</v>
      </c>
      <c r="P659">
        <v>0</v>
      </c>
      <c r="Q659">
        <v>1</v>
      </c>
      <c r="R659" t="s">
        <v>47426</v>
      </c>
      <c r="S659" t="s">
        <v>47531</v>
      </c>
      <c r="T659" t="s">
        <v>49115</v>
      </c>
      <c r="U659" t="s">
        <v>50254</v>
      </c>
      <c r="W659" t="s">
        <v>43325</v>
      </c>
      <c r="X659" t="s">
        <v>47430</v>
      </c>
    </row>
    <row r="660" spans="1:24">
      <c r="A660">
        <f>HYPERLINK("https://www.philgeps.gov.ph/GEPSNONPILOT/Tender/SplashBidNoticeAbstractUI.aspx?menuIndex=3&amp;refID=7163947&amp;Result=3","7163947")</f>
        <v>0</v>
      </c>
      <c r="B660" t="s">
        <v>323</v>
      </c>
      <c r="C660" t="s">
        <v>4566</v>
      </c>
      <c r="D660" t="s">
        <v>19081</v>
      </c>
      <c r="E660" t="s">
        <v>19740</v>
      </c>
      <c r="F660" t="s">
        <v>32831</v>
      </c>
      <c r="G660" t="s">
        <v>32838</v>
      </c>
      <c r="H660" t="s">
        <v>32848</v>
      </c>
      <c r="I660" t="s">
        <v>7416</v>
      </c>
      <c r="J660" t="s">
        <v>33479</v>
      </c>
      <c r="K660" t="s">
        <v>42726</v>
      </c>
      <c r="M660" t="s">
        <v>43326</v>
      </c>
      <c r="N660" t="s">
        <v>47424</v>
      </c>
      <c r="O660" t="s">
        <v>47425</v>
      </c>
      <c r="P660">
        <v>0</v>
      </c>
      <c r="Q660">
        <v>0</v>
      </c>
      <c r="R660" t="s">
        <v>47426</v>
      </c>
      <c r="S660" t="s">
        <v>47531</v>
      </c>
      <c r="T660" t="s">
        <v>49104</v>
      </c>
      <c r="U660" t="s">
        <v>50255</v>
      </c>
      <c r="W660" t="s">
        <v>43326</v>
      </c>
      <c r="X660" t="s">
        <v>47430</v>
      </c>
    </row>
    <row r="661" spans="1:24">
      <c r="A661">
        <f>HYPERLINK("https://www.philgeps.gov.ph/GEPSNONPILOT/Tender/SplashBidNoticeAbstractUI.aspx?menuIndex=3&amp;refID=7163362&amp;Result=3","7163362")</f>
        <v>0</v>
      </c>
      <c r="B661" t="s">
        <v>248</v>
      </c>
      <c r="C661" t="s">
        <v>4567</v>
      </c>
      <c r="D661" t="s">
        <v>19038</v>
      </c>
      <c r="E661" t="s">
        <v>19741</v>
      </c>
      <c r="F661" t="s">
        <v>32831</v>
      </c>
      <c r="G661" t="s">
        <v>32839</v>
      </c>
      <c r="H661" t="s">
        <v>32848</v>
      </c>
      <c r="I661" t="s">
        <v>4471</v>
      </c>
      <c r="J661" t="s">
        <v>33480</v>
      </c>
      <c r="K661" t="s">
        <v>42742</v>
      </c>
      <c r="M661" t="s">
        <v>43247</v>
      </c>
      <c r="N661" t="s">
        <v>47424</v>
      </c>
      <c r="O661" t="s">
        <v>47425</v>
      </c>
      <c r="P661">
        <v>0</v>
      </c>
      <c r="Q661">
        <v>1</v>
      </c>
      <c r="R661" t="s">
        <v>47426</v>
      </c>
      <c r="S661" t="s">
        <v>47531</v>
      </c>
      <c r="T661" t="s">
        <v>49069</v>
      </c>
      <c r="U661" t="s">
        <v>50256</v>
      </c>
      <c r="W661" t="s">
        <v>64434</v>
      </c>
      <c r="X661" t="s">
        <v>47430</v>
      </c>
    </row>
    <row r="662" spans="1:24">
      <c r="A662">
        <f>HYPERLINK("https://www.philgeps.gov.ph/GEPSNONPILOT/Tender/SplashBidNoticeAbstractUI.aspx?menuIndex=3&amp;refID=7163342&amp;Result=3","7163342")</f>
        <v>0</v>
      </c>
      <c r="B662" t="s">
        <v>324</v>
      </c>
      <c r="C662" t="s">
        <v>4568</v>
      </c>
      <c r="D662" t="s">
        <v>19054</v>
      </c>
      <c r="E662" t="s">
        <v>19742</v>
      </c>
      <c r="F662" t="s">
        <v>32831</v>
      </c>
      <c r="G662" t="s">
        <v>32839</v>
      </c>
      <c r="H662" t="s">
        <v>32848</v>
      </c>
      <c r="I662" t="s">
        <v>32890</v>
      </c>
      <c r="J662" t="s">
        <v>33481</v>
      </c>
      <c r="K662" t="s">
        <v>42729</v>
      </c>
      <c r="M662" t="s">
        <v>43327</v>
      </c>
      <c r="N662" t="s">
        <v>47424</v>
      </c>
      <c r="O662" t="s">
        <v>47425</v>
      </c>
      <c r="P662">
        <v>0</v>
      </c>
      <c r="Q662">
        <v>0</v>
      </c>
      <c r="R662" t="s">
        <v>47426</v>
      </c>
      <c r="S662" t="s">
        <v>47531</v>
      </c>
      <c r="T662" t="s">
        <v>49189</v>
      </c>
      <c r="U662" t="s">
        <v>50257</v>
      </c>
      <c r="W662" t="s">
        <v>43327</v>
      </c>
      <c r="X662" t="s">
        <v>47430</v>
      </c>
    </row>
    <row r="663" spans="1:24">
      <c r="A663">
        <f>HYPERLINK("https://www.philgeps.gov.ph/GEPSNONPILOT/Tender/SplashBidNoticeAbstractUI.aspx?menuIndex=3&amp;refID=7163271&amp;Result=3","7163271")</f>
        <v>0</v>
      </c>
      <c r="B663" t="s">
        <v>93</v>
      </c>
      <c r="C663" t="s">
        <v>4569</v>
      </c>
      <c r="D663" t="s">
        <v>19035</v>
      </c>
      <c r="E663" t="s">
        <v>19743</v>
      </c>
      <c r="F663" t="s">
        <v>32831</v>
      </c>
      <c r="G663" t="s">
        <v>32838</v>
      </c>
      <c r="H663" t="s">
        <v>32848</v>
      </c>
      <c r="I663" t="s">
        <v>4222</v>
      </c>
      <c r="J663" t="s">
        <v>33364</v>
      </c>
      <c r="K663" t="s">
        <v>42732</v>
      </c>
      <c r="M663" t="s">
        <v>43090</v>
      </c>
      <c r="N663" t="s">
        <v>47424</v>
      </c>
      <c r="O663" t="s">
        <v>47425</v>
      </c>
      <c r="P663">
        <v>0</v>
      </c>
      <c r="Q663">
        <v>0</v>
      </c>
      <c r="R663" t="s">
        <v>47426</v>
      </c>
      <c r="S663" t="s">
        <v>47531</v>
      </c>
      <c r="T663" t="s">
        <v>49127</v>
      </c>
      <c r="U663" t="s">
        <v>50258</v>
      </c>
      <c r="V663" t="s">
        <v>50258</v>
      </c>
      <c r="W663" t="s">
        <v>43090</v>
      </c>
      <c r="X663" t="s">
        <v>47430</v>
      </c>
    </row>
    <row r="664" spans="1:24">
      <c r="A664">
        <f>HYPERLINK("https://www.philgeps.gov.ph/GEPSNONPILOT/Tender/SplashBidNoticeAbstractUI.aspx?menuIndex=3&amp;refID=7163270&amp;Result=3","7163270")</f>
        <v>0</v>
      </c>
      <c r="B664" t="s">
        <v>325</v>
      </c>
      <c r="C664" t="s">
        <v>4570</v>
      </c>
      <c r="D664" t="s">
        <v>19026</v>
      </c>
      <c r="E664" t="s">
        <v>19744</v>
      </c>
      <c r="F664" t="s">
        <v>32831</v>
      </c>
      <c r="G664" t="s">
        <v>32839</v>
      </c>
      <c r="H664" t="s">
        <v>32848</v>
      </c>
      <c r="I664" t="s">
        <v>7416</v>
      </c>
      <c r="J664" t="s">
        <v>33482</v>
      </c>
      <c r="K664" t="s">
        <v>42750</v>
      </c>
      <c r="M664" t="s">
        <v>43328</v>
      </c>
      <c r="N664" t="s">
        <v>47424</v>
      </c>
      <c r="O664" t="s">
        <v>47425</v>
      </c>
      <c r="P664">
        <v>0</v>
      </c>
      <c r="Q664">
        <v>1</v>
      </c>
      <c r="R664" t="s">
        <v>47426</v>
      </c>
      <c r="S664" t="s">
        <v>47531</v>
      </c>
      <c r="T664" t="s">
        <v>49091</v>
      </c>
      <c r="U664" t="s">
        <v>49788</v>
      </c>
      <c r="W664" t="s">
        <v>43328</v>
      </c>
      <c r="X664" t="s">
        <v>47430</v>
      </c>
    </row>
    <row r="665" spans="1:24">
      <c r="A665">
        <f>HYPERLINK("https://www.philgeps.gov.ph/GEPSNONPILOT/Tender/SplashBidNoticeAbstractUI.aspx?menuIndex=3&amp;refID=7163365&amp;Result=3","7163365")</f>
        <v>0</v>
      </c>
      <c r="B665" t="s">
        <v>266</v>
      </c>
      <c r="C665" t="s">
        <v>4571</v>
      </c>
      <c r="E665" t="s">
        <v>19745</v>
      </c>
      <c r="F665" t="s">
        <v>32831</v>
      </c>
      <c r="G665" t="s">
        <v>32838</v>
      </c>
      <c r="H665" t="s">
        <v>32848</v>
      </c>
      <c r="I665" t="s">
        <v>32883</v>
      </c>
      <c r="J665" t="s">
        <v>32985</v>
      </c>
      <c r="K665" t="s">
        <v>42727</v>
      </c>
      <c r="M665" t="s">
        <v>43265</v>
      </c>
      <c r="N665" t="s">
        <v>47424</v>
      </c>
      <c r="O665" t="s">
        <v>47425</v>
      </c>
      <c r="Q665">
        <v>5</v>
      </c>
      <c r="R665" t="s">
        <v>47426</v>
      </c>
      <c r="S665" t="s">
        <v>47537</v>
      </c>
      <c r="T665" t="s">
        <v>49056</v>
      </c>
      <c r="U665" t="s">
        <v>50259</v>
      </c>
      <c r="W665" t="s">
        <v>43265</v>
      </c>
      <c r="X665" t="s">
        <v>47430</v>
      </c>
    </row>
    <row r="666" spans="1:24">
      <c r="A666">
        <f>HYPERLINK("https://www.philgeps.gov.ph/GEPSNONPILOT/Tender/SplashBidNoticeAbstractUI.aspx?menuIndex=3&amp;refID=7163260&amp;Result=3","7163260")</f>
        <v>0</v>
      </c>
      <c r="B666" t="s">
        <v>326</v>
      </c>
      <c r="C666" t="s">
        <v>4572</v>
      </c>
      <c r="D666" t="s">
        <v>19057</v>
      </c>
      <c r="E666" t="s">
        <v>19746</v>
      </c>
      <c r="F666" t="s">
        <v>32831</v>
      </c>
      <c r="G666" t="s">
        <v>32839</v>
      </c>
      <c r="H666" t="s">
        <v>32848</v>
      </c>
      <c r="I666" t="s">
        <v>7751</v>
      </c>
      <c r="J666" t="s">
        <v>33483</v>
      </c>
      <c r="K666" t="s">
        <v>42780</v>
      </c>
      <c r="M666" t="s">
        <v>43329</v>
      </c>
      <c r="N666" t="s">
        <v>47424</v>
      </c>
      <c r="O666" t="s">
        <v>47425</v>
      </c>
      <c r="P666">
        <v>0</v>
      </c>
      <c r="Q666">
        <v>19</v>
      </c>
      <c r="R666" t="s">
        <v>47426</v>
      </c>
      <c r="S666" t="s">
        <v>47531</v>
      </c>
      <c r="T666" t="s">
        <v>49190</v>
      </c>
      <c r="U666" t="s">
        <v>50260</v>
      </c>
      <c r="V666" t="s">
        <v>62689</v>
      </c>
      <c r="W666" t="s">
        <v>43329</v>
      </c>
      <c r="X666" t="s">
        <v>47430</v>
      </c>
    </row>
    <row r="667" spans="1:24">
      <c r="A667">
        <f>HYPERLINK("https://www.philgeps.gov.ph/GEPSNONPILOT/Tender/SplashBidNoticeAbstractUI.aspx?menuIndex=3&amp;refID=7163258&amp;Result=3","7163258")</f>
        <v>0</v>
      </c>
      <c r="B667" t="s">
        <v>262</v>
      </c>
      <c r="C667" t="s">
        <v>4492</v>
      </c>
      <c r="D667" t="s">
        <v>19049</v>
      </c>
      <c r="E667" t="s">
        <v>19747</v>
      </c>
      <c r="F667" t="s">
        <v>32831</v>
      </c>
      <c r="G667" t="s">
        <v>32838</v>
      </c>
      <c r="H667" t="s">
        <v>32848</v>
      </c>
      <c r="I667" t="s">
        <v>32861</v>
      </c>
      <c r="J667" t="s">
        <v>33484</v>
      </c>
      <c r="K667" t="s">
        <v>42726</v>
      </c>
      <c r="M667" t="s">
        <v>43261</v>
      </c>
      <c r="N667" t="s">
        <v>47424</v>
      </c>
      <c r="O667" t="s">
        <v>47425</v>
      </c>
      <c r="P667">
        <v>0</v>
      </c>
      <c r="Q667">
        <v>2</v>
      </c>
      <c r="R667" t="s">
        <v>47426</v>
      </c>
      <c r="S667" t="s">
        <v>47531</v>
      </c>
      <c r="T667" t="s">
        <v>49191</v>
      </c>
      <c r="U667" t="s">
        <v>50261</v>
      </c>
      <c r="W667" t="s">
        <v>43261</v>
      </c>
      <c r="X667" t="s">
        <v>47430</v>
      </c>
    </row>
    <row r="668" spans="1:24">
      <c r="A668">
        <f>HYPERLINK("https://www.philgeps.gov.ph/GEPSNONPILOT/Tender/SplashBidNoticeAbstractUI.aspx?menuIndex=3&amp;refID=7163940&amp;Result=3","7163940")</f>
        <v>0</v>
      </c>
      <c r="B668" t="s">
        <v>282</v>
      </c>
      <c r="C668" t="s">
        <v>4573</v>
      </c>
      <c r="D668" t="s">
        <v>19052</v>
      </c>
      <c r="E668" t="s">
        <v>19748</v>
      </c>
      <c r="F668" t="s">
        <v>32831</v>
      </c>
      <c r="G668" t="s">
        <v>32839</v>
      </c>
      <c r="H668" t="s">
        <v>32848</v>
      </c>
      <c r="I668" t="s">
        <v>4340</v>
      </c>
      <c r="J668" t="s">
        <v>33485</v>
      </c>
      <c r="K668" t="s">
        <v>42731</v>
      </c>
      <c r="M668" t="s">
        <v>43281</v>
      </c>
      <c r="N668" t="s">
        <v>47424</v>
      </c>
      <c r="O668" t="s">
        <v>47425</v>
      </c>
      <c r="P668">
        <v>0</v>
      </c>
      <c r="Q668">
        <v>1</v>
      </c>
      <c r="R668" t="s">
        <v>47426</v>
      </c>
      <c r="S668" t="s">
        <v>47531</v>
      </c>
      <c r="T668" t="s">
        <v>49065</v>
      </c>
      <c r="U668" t="s">
        <v>50262</v>
      </c>
      <c r="W668" t="s">
        <v>43281</v>
      </c>
      <c r="X668" t="s">
        <v>47430</v>
      </c>
    </row>
    <row r="669" spans="1:24">
      <c r="A669">
        <f>HYPERLINK("https://www.philgeps.gov.ph/GEPSNONPILOT/Tender/SplashBidNoticeAbstractUI.aspx?menuIndex=3&amp;refID=7163921&amp;Result=3","7163921")</f>
        <v>0</v>
      </c>
      <c r="B669" t="s">
        <v>313</v>
      </c>
      <c r="C669" t="s">
        <v>4574</v>
      </c>
      <c r="D669" t="s">
        <v>19052</v>
      </c>
      <c r="E669" t="s">
        <v>19749</v>
      </c>
      <c r="F669" t="s">
        <v>32831</v>
      </c>
      <c r="G669" t="s">
        <v>32839</v>
      </c>
      <c r="H669" t="s">
        <v>32848</v>
      </c>
      <c r="I669" t="s">
        <v>32852</v>
      </c>
      <c r="J669" t="s">
        <v>33486</v>
      </c>
      <c r="K669" t="s">
        <v>42731</v>
      </c>
      <c r="M669" t="s">
        <v>43315</v>
      </c>
      <c r="N669" t="s">
        <v>47424</v>
      </c>
      <c r="O669" t="s">
        <v>47425</v>
      </c>
      <c r="P669">
        <v>0</v>
      </c>
      <c r="Q669">
        <v>2</v>
      </c>
      <c r="R669" t="s">
        <v>47426</v>
      </c>
      <c r="S669" t="s">
        <v>47531</v>
      </c>
      <c r="T669" t="s">
        <v>49078</v>
      </c>
      <c r="U669" t="s">
        <v>50263</v>
      </c>
      <c r="W669" t="s">
        <v>64435</v>
      </c>
      <c r="X669" t="s">
        <v>47430</v>
      </c>
    </row>
    <row r="670" spans="1:24">
      <c r="A670">
        <f>HYPERLINK("https://www.philgeps.gov.ph/GEPSNONPILOT/Tender/SplashBidNoticeAbstractUI.aspx?menuIndex=3&amp;refID=7163263&amp;Result=3","7163263")</f>
        <v>0</v>
      </c>
      <c r="B670" t="s">
        <v>269</v>
      </c>
      <c r="C670" t="s">
        <v>4575</v>
      </c>
      <c r="D670" t="s">
        <v>19030</v>
      </c>
      <c r="E670" t="s">
        <v>19351</v>
      </c>
      <c r="F670" t="s">
        <v>32831</v>
      </c>
      <c r="G670" t="s">
        <v>32838</v>
      </c>
      <c r="H670" t="s">
        <v>32848</v>
      </c>
      <c r="I670" t="s">
        <v>10805</v>
      </c>
      <c r="J670" t="s">
        <v>33026</v>
      </c>
      <c r="K670" t="s">
        <v>42759</v>
      </c>
      <c r="M670" t="s">
        <v>43268</v>
      </c>
      <c r="N670" t="s">
        <v>47424</v>
      </c>
      <c r="O670" t="s">
        <v>47425</v>
      </c>
      <c r="P670">
        <v>0</v>
      </c>
      <c r="Q670">
        <v>1</v>
      </c>
      <c r="R670" t="s">
        <v>47426</v>
      </c>
      <c r="S670" t="s">
        <v>47531</v>
      </c>
      <c r="T670" t="s">
        <v>49125</v>
      </c>
      <c r="U670" t="s">
        <v>50264</v>
      </c>
      <c r="W670" t="s">
        <v>43268</v>
      </c>
      <c r="X670" t="s">
        <v>47430</v>
      </c>
    </row>
    <row r="671" spans="1:24">
      <c r="A671">
        <f>HYPERLINK("https://www.philgeps.gov.ph/GEPSNONPILOT/Tender/SplashBidNoticeAbstractUI.aspx?menuIndex=3&amp;refID=7164002&amp;Result=3","7164002")</f>
        <v>0</v>
      </c>
      <c r="B671" t="s">
        <v>322</v>
      </c>
      <c r="C671" t="s">
        <v>4576</v>
      </c>
      <c r="D671" t="s">
        <v>19023</v>
      </c>
      <c r="E671" t="s">
        <v>19739</v>
      </c>
      <c r="F671" t="s">
        <v>32831</v>
      </c>
      <c r="G671" t="s">
        <v>32838</v>
      </c>
      <c r="H671" t="s">
        <v>32848</v>
      </c>
      <c r="I671" t="s">
        <v>32857</v>
      </c>
      <c r="J671" t="s">
        <v>33019</v>
      </c>
      <c r="K671" t="s">
        <v>42759</v>
      </c>
      <c r="M671" t="s">
        <v>43325</v>
      </c>
      <c r="N671" t="s">
        <v>47424</v>
      </c>
      <c r="O671" t="s">
        <v>47425</v>
      </c>
      <c r="P671">
        <v>0</v>
      </c>
      <c r="Q671">
        <v>7</v>
      </c>
      <c r="R671" t="s">
        <v>47426</v>
      </c>
      <c r="S671" t="s">
        <v>47531</v>
      </c>
      <c r="T671" t="s">
        <v>49115</v>
      </c>
      <c r="U671" t="s">
        <v>50265</v>
      </c>
      <c r="W671" t="s">
        <v>43325</v>
      </c>
      <c r="X671" t="s">
        <v>47430</v>
      </c>
    </row>
    <row r="672" spans="1:24">
      <c r="A672">
        <f>HYPERLINK("https://www.philgeps.gov.ph/GEPSNONPILOT/Tender/SplashBidNoticeAbstractUI.aspx?menuIndex=3&amp;refID=7163110&amp;Result=3","7163110")</f>
        <v>0</v>
      </c>
      <c r="B672" t="s">
        <v>327</v>
      </c>
      <c r="C672" t="s">
        <v>4577</v>
      </c>
      <c r="D672" t="s">
        <v>19019</v>
      </c>
      <c r="E672" t="s">
        <v>19750</v>
      </c>
      <c r="F672" t="s">
        <v>32831</v>
      </c>
      <c r="G672" t="s">
        <v>32838</v>
      </c>
      <c r="H672" t="s">
        <v>32848</v>
      </c>
      <c r="I672" t="s">
        <v>32851</v>
      </c>
      <c r="J672" t="s">
        <v>33487</v>
      </c>
      <c r="K672" t="s">
        <v>42759</v>
      </c>
      <c r="M672" t="s">
        <v>43330</v>
      </c>
      <c r="N672" t="s">
        <v>47424</v>
      </c>
      <c r="O672" t="s">
        <v>47425</v>
      </c>
      <c r="P672">
        <v>0</v>
      </c>
      <c r="Q672">
        <v>1</v>
      </c>
      <c r="R672" t="s">
        <v>47426</v>
      </c>
      <c r="S672" t="s">
        <v>47531</v>
      </c>
      <c r="T672" t="s">
        <v>49085</v>
      </c>
      <c r="U672" t="s">
        <v>50266</v>
      </c>
      <c r="W672" t="s">
        <v>43330</v>
      </c>
      <c r="X672" t="s">
        <v>47430</v>
      </c>
    </row>
    <row r="673" spans="1:24">
      <c r="A673">
        <f>HYPERLINK("https://www.philgeps.gov.ph/GEPSNONPILOT/Tender/SplashBidNoticeAbstractUI.aspx?menuIndex=3&amp;refID=7164125&amp;Result=3","7164125")</f>
        <v>0</v>
      </c>
      <c r="B673" t="s">
        <v>264</v>
      </c>
      <c r="C673" t="s">
        <v>4578</v>
      </c>
      <c r="D673" t="s">
        <v>19062</v>
      </c>
      <c r="E673" t="s">
        <v>19751</v>
      </c>
      <c r="F673" t="s">
        <v>32831</v>
      </c>
      <c r="G673" t="s">
        <v>32839</v>
      </c>
      <c r="H673" t="s">
        <v>32848</v>
      </c>
      <c r="I673" t="s">
        <v>7416</v>
      </c>
      <c r="J673" t="s">
        <v>33488</v>
      </c>
      <c r="K673" t="s">
        <v>42727</v>
      </c>
      <c r="M673" t="s">
        <v>43263</v>
      </c>
      <c r="N673" t="s">
        <v>47424</v>
      </c>
      <c r="O673" t="s">
        <v>47425</v>
      </c>
      <c r="P673">
        <v>0</v>
      </c>
      <c r="Q673">
        <v>0</v>
      </c>
      <c r="R673" t="s">
        <v>47426</v>
      </c>
      <c r="S673" t="s">
        <v>47531</v>
      </c>
      <c r="T673" t="s">
        <v>49080</v>
      </c>
      <c r="U673" t="s">
        <v>50267</v>
      </c>
      <c r="W673" t="s">
        <v>43263</v>
      </c>
      <c r="X673" t="s">
        <v>47430</v>
      </c>
    </row>
    <row r="674" spans="1:24">
      <c r="A674">
        <f>HYPERLINK("https://www.philgeps.gov.ph/GEPSNONPILOT/Tender/SplashBidNoticeAbstractUI.aspx?menuIndex=3&amp;refID=7163125&amp;Result=3","7163125")</f>
        <v>0</v>
      </c>
      <c r="B674" t="s">
        <v>262</v>
      </c>
      <c r="C674" t="s">
        <v>4579</v>
      </c>
      <c r="D674" t="s">
        <v>19049</v>
      </c>
      <c r="E674" t="s">
        <v>19752</v>
      </c>
      <c r="F674" t="s">
        <v>32831</v>
      </c>
      <c r="G674" t="s">
        <v>32838</v>
      </c>
      <c r="H674" t="s">
        <v>32848</v>
      </c>
      <c r="I674" t="s">
        <v>32862</v>
      </c>
      <c r="J674" t="s">
        <v>33402</v>
      </c>
      <c r="K674" t="s">
        <v>42726</v>
      </c>
      <c r="M674" t="s">
        <v>43261</v>
      </c>
      <c r="N674" t="s">
        <v>47424</v>
      </c>
      <c r="O674" t="s">
        <v>47425</v>
      </c>
      <c r="P674">
        <v>0</v>
      </c>
      <c r="Q674">
        <v>0</v>
      </c>
      <c r="R674" t="s">
        <v>47426</v>
      </c>
      <c r="S674" t="s">
        <v>47531</v>
      </c>
      <c r="T674" t="s">
        <v>49061</v>
      </c>
      <c r="U674" t="s">
        <v>50268</v>
      </c>
      <c r="W674" t="s">
        <v>43261</v>
      </c>
      <c r="X674" t="s">
        <v>47430</v>
      </c>
    </row>
    <row r="675" spans="1:24">
      <c r="A675">
        <f>HYPERLINK("https://www.philgeps.gov.ph/GEPSNONPILOT/Tender/SplashBidNoticeAbstractUI.aspx?menuIndex=3&amp;refID=7163124&amp;Result=3","7163124")</f>
        <v>0</v>
      </c>
      <c r="B675" t="s">
        <v>229</v>
      </c>
      <c r="C675" t="s">
        <v>4580</v>
      </c>
      <c r="D675" t="s">
        <v>19077</v>
      </c>
      <c r="E675" t="s">
        <v>19753</v>
      </c>
      <c r="F675" t="s">
        <v>32831</v>
      </c>
      <c r="G675" t="s">
        <v>32838</v>
      </c>
      <c r="H675" t="s">
        <v>32848</v>
      </c>
      <c r="I675" t="s">
        <v>32892</v>
      </c>
      <c r="J675" t="s">
        <v>33489</v>
      </c>
      <c r="K675" t="s">
        <v>42732</v>
      </c>
      <c r="M675" t="s">
        <v>43228</v>
      </c>
      <c r="N675" t="s">
        <v>47424</v>
      </c>
      <c r="O675" t="s">
        <v>47425</v>
      </c>
      <c r="P675">
        <v>0</v>
      </c>
      <c r="Q675">
        <v>2</v>
      </c>
      <c r="R675" t="s">
        <v>47426</v>
      </c>
      <c r="S675" t="s">
        <v>47531</v>
      </c>
      <c r="T675" t="s">
        <v>49079</v>
      </c>
      <c r="U675" t="s">
        <v>50269</v>
      </c>
      <c r="W675" t="s">
        <v>43228</v>
      </c>
      <c r="X675" t="s">
        <v>47430</v>
      </c>
    </row>
    <row r="676" spans="1:24">
      <c r="A676">
        <f>HYPERLINK("https://www.philgeps.gov.ph/GEPSNONPILOT/Tender/SplashBidNoticeAbstractUI.aspx?menuIndex=3&amp;refID=7163964&amp;Result=3","7163964")</f>
        <v>0</v>
      </c>
      <c r="B676" t="s">
        <v>309</v>
      </c>
      <c r="C676" t="s">
        <v>4581</v>
      </c>
      <c r="D676" t="s">
        <v>19073</v>
      </c>
      <c r="E676" t="s">
        <v>19754</v>
      </c>
      <c r="F676" t="s">
        <v>32831</v>
      </c>
      <c r="G676" t="s">
        <v>32839</v>
      </c>
      <c r="H676" t="s">
        <v>32848</v>
      </c>
      <c r="I676" t="s">
        <v>4558</v>
      </c>
      <c r="J676" t="s">
        <v>33490</v>
      </c>
      <c r="K676" t="s">
        <v>42727</v>
      </c>
      <c r="M676" t="s">
        <v>43311</v>
      </c>
      <c r="N676" t="s">
        <v>47424</v>
      </c>
      <c r="O676" t="s">
        <v>47425</v>
      </c>
      <c r="P676">
        <v>0</v>
      </c>
      <c r="Q676">
        <v>1</v>
      </c>
      <c r="R676" t="s">
        <v>47426</v>
      </c>
      <c r="S676" t="s">
        <v>47531</v>
      </c>
      <c r="T676" t="s">
        <v>49073</v>
      </c>
      <c r="U676" t="s">
        <v>50270</v>
      </c>
      <c r="V676" t="s">
        <v>62690</v>
      </c>
      <c r="W676" t="s">
        <v>43311</v>
      </c>
      <c r="X676" t="s">
        <v>47430</v>
      </c>
    </row>
    <row r="677" spans="1:24">
      <c r="A677">
        <f>HYPERLINK("https://www.philgeps.gov.ph/GEPSNONPILOT/Tender/SplashBidNoticeAbstractUI.aspx?menuIndex=3&amp;refID=7164105&amp;Result=3","7164105")</f>
        <v>0</v>
      </c>
      <c r="B677" t="s">
        <v>328</v>
      </c>
      <c r="C677" t="s">
        <v>4582</v>
      </c>
      <c r="D677" t="s">
        <v>19031</v>
      </c>
      <c r="E677" t="s">
        <v>19755</v>
      </c>
      <c r="F677" t="s">
        <v>32831</v>
      </c>
      <c r="G677" t="s">
        <v>32838</v>
      </c>
      <c r="H677" t="s">
        <v>32848</v>
      </c>
      <c r="I677" t="s">
        <v>32884</v>
      </c>
      <c r="J677" t="s">
        <v>33491</v>
      </c>
      <c r="K677" t="s">
        <v>42730</v>
      </c>
      <c r="M677" t="s">
        <v>43331</v>
      </c>
      <c r="N677" t="s">
        <v>47424</v>
      </c>
      <c r="O677" t="s">
        <v>47425</v>
      </c>
      <c r="P677">
        <v>0</v>
      </c>
      <c r="Q677">
        <v>2</v>
      </c>
      <c r="R677" t="s">
        <v>47426</v>
      </c>
      <c r="S677" t="s">
        <v>47531</v>
      </c>
      <c r="T677" t="s">
        <v>49056</v>
      </c>
      <c r="U677" t="s">
        <v>50271</v>
      </c>
      <c r="W677" t="s">
        <v>43331</v>
      </c>
      <c r="X677" t="s">
        <v>47430</v>
      </c>
    </row>
    <row r="678" spans="1:24">
      <c r="A678">
        <f>HYPERLINK("https://www.philgeps.gov.ph/GEPSNONPILOT/Tender/SplashBidNoticeAbstractUI.aspx?menuIndex=3&amp;refID=7164088&amp;Result=3","7164088")</f>
        <v>0</v>
      </c>
      <c r="B678" t="s">
        <v>328</v>
      </c>
      <c r="C678" t="s">
        <v>4583</v>
      </c>
      <c r="D678" t="s">
        <v>19031</v>
      </c>
      <c r="E678" t="s">
        <v>19756</v>
      </c>
      <c r="F678" t="s">
        <v>32831</v>
      </c>
      <c r="G678" t="s">
        <v>32838</v>
      </c>
      <c r="H678" t="s">
        <v>32848</v>
      </c>
      <c r="I678" t="s">
        <v>4438</v>
      </c>
      <c r="J678" t="s">
        <v>33492</v>
      </c>
      <c r="K678" t="s">
        <v>42730</v>
      </c>
      <c r="M678" t="s">
        <v>43331</v>
      </c>
      <c r="N678" t="s">
        <v>47424</v>
      </c>
      <c r="O678" t="s">
        <v>47425</v>
      </c>
      <c r="P678">
        <v>0</v>
      </c>
      <c r="Q678">
        <v>0</v>
      </c>
      <c r="R678" t="s">
        <v>47426</v>
      </c>
      <c r="S678" t="s">
        <v>47531</v>
      </c>
      <c r="T678" t="s">
        <v>49056</v>
      </c>
      <c r="U678" t="s">
        <v>50271</v>
      </c>
      <c r="W678" t="s">
        <v>43331</v>
      </c>
      <c r="X678" t="s">
        <v>47430</v>
      </c>
    </row>
    <row r="679" spans="1:24">
      <c r="A679">
        <f>HYPERLINK("https://www.philgeps.gov.ph/GEPSNONPILOT/Tender/SplashBidNoticeAbstractUI.aspx?menuIndex=3&amp;refID=7164085&amp;Result=3","7164085")</f>
        <v>0</v>
      </c>
      <c r="B679" t="s">
        <v>329</v>
      </c>
      <c r="C679" t="s">
        <v>4584</v>
      </c>
      <c r="D679" t="s">
        <v>19044</v>
      </c>
      <c r="E679" t="s">
        <v>19476</v>
      </c>
      <c r="F679" t="s">
        <v>32831</v>
      </c>
      <c r="G679" t="s">
        <v>32838</v>
      </c>
      <c r="H679" t="s">
        <v>32849</v>
      </c>
      <c r="I679" t="s">
        <v>7416</v>
      </c>
      <c r="J679" t="s">
        <v>33135</v>
      </c>
      <c r="K679" t="s">
        <v>42732</v>
      </c>
      <c r="M679" t="s">
        <v>43332</v>
      </c>
      <c r="N679" t="s">
        <v>47424</v>
      </c>
      <c r="O679" t="s">
        <v>47425</v>
      </c>
      <c r="P679">
        <v>0</v>
      </c>
      <c r="Q679">
        <v>0</v>
      </c>
      <c r="R679" t="s">
        <v>47426</v>
      </c>
      <c r="S679" t="s">
        <v>47531</v>
      </c>
      <c r="T679" t="s">
        <v>49104</v>
      </c>
      <c r="U679" t="s">
        <v>50272</v>
      </c>
      <c r="W679" t="s">
        <v>43332</v>
      </c>
      <c r="X679" t="s">
        <v>47430</v>
      </c>
    </row>
    <row r="680" spans="1:24">
      <c r="A680">
        <f>HYPERLINK("https://www.philgeps.gov.ph/GEPSNONPILOT/Tender/SplashBidNoticeAbstractUI.aspx?menuIndex=3&amp;refID=7164108&amp;Result=3","7164108")</f>
        <v>0</v>
      </c>
      <c r="B680" t="s">
        <v>328</v>
      </c>
      <c r="C680" t="s">
        <v>4585</v>
      </c>
      <c r="D680" t="s">
        <v>19031</v>
      </c>
      <c r="E680" t="s">
        <v>19757</v>
      </c>
      <c r="F680" t="s">
        <v>32831</v>
      </c>
      <c r="G680" t="s">
        <v>32838</v>
      </c>
      <c r="H680" t="s">
        <v>32848</v>
      </c>
      <c r="I680" t="s">
        <v>5379</v>
      </c>
      <c r="J680" t="s">
        <v>33493</v>
      </c>
      <c r="K680" t="s">
        <v>42749</v>
      </c>
      <c r="M680" t="s">
        <v>43331</v>
      </c>
      <c r="N680" t="s">
        <v>47424</v>
      </c>
      <c r="O680" t="s">
        <v>47425</v>
      </c>
      <c r="P680">
        <v>0</v>
      </c>
      <c r="Q680">
        <v>0</v>
      </c>
      <c r="R680" t="s">
        <v>47426</v>
      </c>
      <c r="S680" t="s">
        <v>47531</v>
      </c>
      <c r="T680" t="s">
        <v>49056</v>
      </c>
      <c r="U680" t="s">
        <v>50271</v>
      </c>
      <c r="W680" t="s">
        <v>43331</v>
      </c>
      <c r="X680" t="s">
        <v>47430</v>
      </c>
    </row>
    <row r="681" spans="1:24">
      <c r="A681">
        <f>HYPERLINK("https://www.philgeps.gov.ph/GEPSNONPILOT/Tender/SplashBidNoticeAbstractUI.aspx?menuIndex=3&amp;refID=7164083&amp;Result=3","7164083")</f>
        <v>0</v>
      </c>
      <c r="B681" t="s">
        <v>328</v>
      </c>
      <c r="C681" t="s">
        <v>4586</v>
      </c>
      <c r="D681" t="s">
        <v>19031</v>
      </c>
      <c r="E681" t="s">
        <v>19758</v>
      </c>
      <c r="F681" t="s">
        <v>32831</v>
      </c>
      <c r="G681" t="s">
        <v>32838</v>
      </c>
      <c r="H681" t="s">
        <v>32848</v>
      </c>
      <c r="I681" t="s">
        <v>32882</v>
      </c>
      <c r="J681" t="s">
        <v>32978</v>
      </c>
      <c r="K681" t="s">
        <v>42730</v>
      </c>
      <c r="M681" t="s">
        <v>43331</v>
      </c>
      <c r="N681" t="s">
        <v>47424</v>
      </c>
      <c r="O681" t="s">
        <v>47425</v>
      </c>
      <c r="P681">
        <v>0</v>
      </c>
      <c r="Q681">
        <v>3</v>
      </c>
      <c r="R681" t="s">
        <v>47426</v>
      </c>
      <c r="S681" t="s">
        <v>47531</v>
      </c>
      <c r="T681" t="s">
        <v>49056</v>
      </c>
      <c r="U681" t="s">
        <v>50271</v>
      </c>
      <c r="W681" t="s">
        <v>43331</v>
      </c>
      <c r="X681" t="s">
        <v>47430</v>
      </c>
    </row>
    <row r="682" spans="1:24">
      <c r="A682">
        <f>HYPERLINK("https://www.philgeps.gov.ph/GEPSNONPILOT/Tender/SplashBidNoticeAbstractUI.aspx?menuIndex=3&amp;refID=7164079&amp;Result=3","7164079")</f>
        <v>0</v>
      </c>
      <c r="B682" t="s">
        <v>95</v>
      </c>
      <c r="C682" t="s">
        <v>4587</v>
      </c>
      <c r="D682" t="s">
        <v>19032</v>
      </c>
      <c r="E682" t="s">
        <v>19759</v>
      </c>
      <c r="F682" t="s">
        <v>32831</v>
      </c>
      <c r="G682" t="s">
        <v>32839</v>
      </c>
      <c r="H682" t="s">
        <v>32848</v>
      </c>
      <c r="I682" t="s">
        <v>4776</v>
      </c>
      <c r="J682" t="s">
        <v>33494</v>
      </c>
      <c r="K682" t="s">
        <v>42726</v>
      </c>
      <c r="M682" t="s">
        <v>43092</v>
      </c>
      <c r="N682" t="s">
        <v>47424</v>
      </c>
      <c r="O682" t="s">
        <v>47425</v>
      </c>
      <c r="P682">
        <v>0</v>
      </c>
      <c r="Q682">
        <v>3</v>
      </c>
      <c r="R682" t="s">
        <v>47426</v>
      </c>
      <c r="S682" t="s">
        <v>47531</v>
      </c>
      <c r="T682" t="s">
        <v>49091</v>
      </c>
      <c r="U682" t="s">
        <v>50273</v>
      </c>
      <c r="W682" t="s">
        <v>43092</v>
      </c>
      <c r="X682" t="s">
        <v>47430</v>
      </c>
    </row>
    <row r="683" spans="1:24">
      <c r="A683">
        <f>HYPERLINK("https://www.philgeps.gov.ph/GEPSNONPILOT/Tender/SplashBidNoticeAbstractUI.aspx?menuIndex=3&amp;refID=7164092&amp;Result=3","7164092")</f>
        <v>0</v>
      </c>
      <c r="B683" t="s">
        <v>328</v>
      </c>
      <c r="C683" t="s">
        <v>4588</v>
      </c>
      <c r="D683" t="s">
        <v>19031</v>
      </c>
      <c r="E683" t="s">
        <v>19760</v>
      </c>
      <c r="F683" t="s">
        <v>32831</v>
      </c>
      <c r="G683" t="s">
        <v>32838</v>
      </c>
      <c r="H683" t="s">
        <v>32848</v>
      </c>
      <c r="I683" t="s">
        <v>7878</v>
      </c>
      <c r="J683" t="s">
        <v>33495</v>
      </c>
      <c r="K683" t="s">
        <v>42760</v>
      </c>
      <c r="M683" t="s">
        <v>43331</v>
      </c>
      <c r="N683" t="s">
        <v>47424</v>
      </c>
      <c r="O683" t="s">
        <v>47425</v>
      </c>
      <c r="P683">
        <v>0</v>
      </c>
      <c r="Q683">
        <v>0</v>
      </c>
      <c r="R683" t="s">
        <v>47426</v>
      </c>
      <c r="S683" t="s">
        <v>47531</v>
      </c>
      <c r="T683" t="s">
        <v>49056</v>
      </c>
      <c r="U683" t="s">
        <v>50271</v>
      </c>
      <c r="W683" t="s">
        <v>43331</v>
      </c>
      <c r="X683" t="s">
        <v>47430</v>
      </c>
    </row>
    <row r="684" spans="1:24">
      <c r="A684">
        <f>HYPERLINK("https://www.philgeps.gov.ph/GEPSNONPILOT/Tender/SplashBidNoticeAbstractUI.aspx?menuIndex=3&amp;refID=7164074&amp;Result=3","7164074")</f>
        <v>0</v>
      </c>
      <c r="B684" t="s">
        <v>276</v>
      </c>
      <c r="C684" t="s">
        <v>4589</v>
      </c>
      <c r="D684" t="s">
        <v>19043</v>
      </c>
      <c r="E684" t="s">
        <v>19761</v>
      </c>
      <c r="F684" t="s">
        <v>32831</v>
      </c>
      <c r="G684" t="s">
        <v>32839</v>
      </c>
      <c r="H684" t="s">
        <v>32848</v>
      </c>
      <c r="I684" t="s">
        <v>32867</v>
      </c>
      <c r="J684" t="s">
        <v>33496</v>
      </c>
      <c r="K684" t="s">
        <v>42732</v>
      </c>
      <c r="M684" t="s">
        <v>43322</v>
      </c>
      <c r="N684" t="s">
        <v>47424</v>
      </c>
      <c r="O684" t="s">
        <v>47425</v>
      </c>
      <c r="Q684">
        <v>4</v>
      </c>
      <c r="R684" t="s">
        <v>47426</v>
      </c>
      <c r="S684" t="s">
        <v>47538</v>
      </c>
      <c r="T684" t="s">
        <v>49187</v>
      </c>
      <c r="U684" t="s">
        <v>50274</v>
      </c>
      <c r="W684" t="s">
        <v>43322</v>
      </c>
      <c r="X684" t="s">
        <v>47430</v>
      </c>
    </row>
    <row r="685" spans="1:24">
      <c r="A685">
        <f>HYPERLINK("https://www.philgeps.gov.ph/GEPSNONPILOT/Tender/SplashBidNoticeAbstractUI.aspx?menuIndex=3&amp;refID=7163272&amp;Result=3","7163272")</f>
        <v>0</v>
      </c>
      <c r="B685" t="s">
        <v>330</v>
      </c>
      <c r="C685" t="s">
        <v>4590</v>
      </c>
      <c r="E685" t="s">
        <v>19762</v>
      </c>
      <c r="F685" t="s">
        <v>32831</v>
      </c>
      <c r="G685" t="s">
        <v>32838</v>
      </c>
      <c r="H685" t="s">
        <v>32848</v>
      </c>
      <c r="I685" t="s">
        <v>32904</v>
      </c>
      <c r="J685" t="s">
        <v>33497</v>
      </c>
      <c r="K685" t="s">
        <v>42732</v>
      </c>
      <c r="M685" t="s">
        <v>43333</v>
      </c>
      <c r="N685" t="s">
        <v>47424</v>
      </c>
      <c r="O685" t="s">
        <v>47425</v>
      </c>
      <c r="P685">
        <v>0</v>
      </c>
      <c r="Q685">
        <v>3</v>
      </c>
      <c r="R685" t="s">
        <v>47426</v>
      </c>
      <c r="S685" t="s">
        <v>47531</v>
      </c>
      <c r="T685" t="s">
        <v>49100</v>
      </c>
      <c r="U685" t="s">
        <v>50275</v>
      </c>
      <c r="W685" t="s">
        <v>43333</v>
      </c>
      <c r="X685" t="s">
        <v>47430</v>
      </c>
    </row>
    <row r="686" spans="1:24">
      <c r="A686">
        <f>HYPERLINK("https://www.philgeps.gov.ph/GEPSNONPILOT/Tender/SplashBidNoticeAbstractUI.aspx?menuIndex=3&amp;refID=7164084&amp;Result=3","7164084")</f>
        <v>0</v>
      </c>
      <c r="B686" t="s">
        <v>331</v>
      </c>
      <c r="C686" t="s">
        <v>4591</v>
      </c>
      <c r="D686" t="s">
        <v>19042</v>
      </c>
      <c r="E686" t="s">
        <v>19763</v>
      </c>
      <c r="F686" t="s">
        <v>32831</v>
      </c>
      <c r="G686" t="s">
        <v>32839</v>
      </c>
      <c r="H686" t="s">
        <v>32848</v>
      </c>
      <c r="I686" t="s">
        <v>32852</v>
      </c>
      <c r="J686" t="s">
        <v>33498</v>
      </c>
      <c r="K686" t="s">
        <v>42726</v>
      </c>
      <c r="M686" t="s">
        <v>43334</v>
      </c>
      <c r="N686" t="s">
        <v>47424</v>
      </c>
      <c r="O686" t="s">
        <v>47425</v>
      </c>
      <c r="P686">
        <v>0</v>
      </c>
      <c r="Q686">
        <v>0</v>
      </c>
      <c r="R686" t="s">
        <v>47426</v>
      </c>
      <c r="S686" t="s">
        <v>47531</v>
      </c>
      <c r="T686" t="s">
        <v>49105</v>
      </c>
      <c r="U686" t="s">
        <v>50276</v>
      </c>
      <c r="W686" t="s">
        <v>43334</v>
      </c>
      <c r="X686" t="s">
        <v>47430</v>
      </c>
    </row>
    <row r="687" spans="1:24">
      <c r="A687">
        <f>HYPERLINK("https://www.philgeps.gov.ph/GEPSNONPILOT/Tender/SplashBidNoticeAbstractUI.aspx?menuIndex=3&amp;refID=7164072&amp;Result=3","7164072")</f>
        <v>0</v>
      </c>
      <c r="B687" t="s">
        <v>276</v>
      </c>
      <c r="C687" t="s">
        <v>4592</v>
      </c>
      <c r="D687" t="s">
        <v>19043</v>
      </c>
      <c r="E687" t="s">
        <v>19764</v>
      </c>
      <c r="F687" t="s">
        <v>32831</v>
      </c>
      <c r="G687" t="s">
        <v>32839</v>
      </c>
      <c r="H687" t="s">
        <v>32848</v>
      </c>
      <c r="I687" t="s">
        <v>4776</v>
      </c>
      <c r="J687" t="s">
        <v>33499</v>
      </c>
      <c r="K687" t="s">
        <v>42732</v>
      </c>
      <c r="M687" t="s">
        <v>43322</v>
      </c>
      <c r="N687" t="s">
        <v>47424</v>
      </c>
      <c r="O687" t="s">
        <v>47425</v>
      </c>
      <c r="Q687">
        <v>1</v>
      </c>
      <c r="R687" t="s">
        <v>47426</v>
      </c>
      <c r="S687" t="s">
        <v>47539</v>
      </c>
      <c r="T687" t="s">
        <v>49187</v>
      </c>
      <c r="U687" t="s">
        <v>50277</v>
      </c>
      <c r="W687" t="s">
        <v>43322</v>
      </c>
      <c r="X687" t="s">
        <v>47430</v>
      </c>
    </row>
    <row r="688" spans="1:24">
      <c r="A688">
        <f>HYPERLINK("https://www.philgeps.gov.ph/GEPSNONPILOT/Tender/SplashBidNoticeAbstractUI.aspx?menuIndex=3&amp;refID=7164111&amp;Result=3","7164111")</f>
        <v>0</v>
      </c>
      <c r="B688" t="s">
        <v>332</v>
      </c>
      <c r="C688" t="s">
        <v>4593</v>
      </c>
      <c r="D688" t="s">
        <v>19017</v>
      </c>
      <c r="E688" t="s">
        <v>19311</v>
      </c>
      <c r="F688" t="s">
        <v>32831</v>
      </c>
      <c r="G688" t="s">
        <v>32840</v>
      </c>
      <c r="H688" t="s">
        <v>32848</v>
      </c>
      <c r="I688" t="s">
        <v>32860</v>
      </c>
      <c r="J688" t="s">
        <v>33500</v>
      </c>
      <c r="K688" t="s">
        <v>42748</v>
      </c>
      <c r="M688" t="s">
        <v>43335</v>
      </c>
      <c r="N688" t="s">
        <v>47424</v>
      </c>
      <c r="O688" t="s">
        <v>47425</v>
      </c>
      <c r="P688">
        <v>0</v>
      </c>
      <c r="Q688">
        <v>5</v>
      </c>
      <c r="R688" t="s">
        <v>47426</v>
      </c>
      <c r="S688" t="s">
        <v>47531</v>
      </c>
      <c r="T688" t="s">
        <v>49141</v>
      </c>
      <c r="U688" t="s">
        <v>50278</v>
      </c>
      <c r="W688" t="s">
        <v>43335</v>
      </c>
      <c r="X688" t="s">
        <v>47430</v>
      </c>
    </row>
    <row r="689" spans="1:24">
      <c r="A689">
        <f>HYPERLINK("https://www.philgeps.gov.ph/GEPSNONPILOT/Tender/SplashBidNoticeAbstractUI.aspx?menuIndex=3&amp;refID=7164286&amp;Result=3","7164286")</f>
        <v>0</v>
      </c>
      <c r="B689" t="s">
        <v>333</v>
      </c>
      <c r="C689" t="s">
        <v>4594</v>
      </c>
      <c r="D689" t="s">
        <v>19022</v>
      </c>
      <c r="E689" t="s">
        <v>19203</v>
      </c>
      <c r="F689" t="s">
        <v>32831</v>
      </c>
      <c r="G689" t="s">
        <v>32840</v>
      </c>
      <c r="H689" t="s">
        <v>32848</v>
      </c>
      <c r="I689" t="s">
        <v>32858</v>
      </c>
      <c r="J689" t="s">
        <v>33501</v>
      </c>
      <c r="K689" t="s">
        <v>42760</v>
      </c>
      <c r="M689" t="s">
        <v>43336</v>
      </c>
      <c r="N689" t="s">
        <v>47424</v>
      </c>
      <c r="O689" t="s">
        <v>47425</v>
      </c>
      <c r="P689">
        <v>0</v>
      </c>
      <c r="Q689">
        <v>2</v>
      </c>
      <c r="R689" t="s">
        <v>47426</v>
      </c>
      <c r="S689" t="s">
        <v>47531</v>
      </c>
      <c r="T689" t="s">
        <v>49116</v>
      </c>
      <c r="U689" t="s">
        <v>50279</v>
      </c>
      <c r="W689" t="s">
        <v>43336</v>
      </c>
      <c r="X689" t="s">
        <v>47428</v>
      </c>
    </row>
    <row r="690" spans="1:24">
      <c r="A690">
        <f>HYPERLINK("https://www.philgeps.gov.ph/GEPSNONPILOT/Tender/SplashBidNoticeAbstractUI.aspx?menuIndex=3&amp;refID=7163123&amp;Result=3","7163123")</f>
        <v>0</v>
      </c>
      <c r="B690" t="s">
        <v>334</v>
      </c>
      <c r="C690" t="s">
        <v>4595</v>
      </c>
      <c r="D690" t="s">
        <v>19047</v>
      </c>
      <c r="E690" t="s">
        <v>19501</v>
      </c>
      <c r="F690" t="s">
        <v>32831</v>
      </c>
      <c r="G690" t="s">
        <v>32839</v>
      </c>
      <c r="H690" t="s">
        <v>32848</v>
      </c>
      <c r="I690" t="s">
        <v>32855</v>
      </c>
      <c r="J690" t="s">
        <v>33502</v>
      </c>
      <c r="K690" t="s">
        <v>42758</v>
      </c>
      <c r="M690" t="s">
        <v>43337</v>
      </c>
      <c r="N690" t="s">
        <v>47424</v>
      </c>
      <c r="O690" t="s">
        <v>47425</v>
      </c>
      <c r="P690">
        <v>0</v>
      </c>
      <c r="Q690">
        <v>1</v>
      </c>
      <c r="R690" t="s">
        <v>47426</v>
      </c>
      <c r="S690" t="s">
        <v>47531</v>
      </c>
      <c r="T690" t="s">
        <v>49091</v>
      </c>
      <c r="U690" t="s">
        <v>50280</v>
      </c>
      <c r="W690" t="s">
        <v>43337</v>
      </c>
      <c r="X690" t="s">
        <v>47430</v>
      </c>
    </row>
    <row r="691" spans="1:24">
      <c r="A691">
        <f>HYPERLINK("https://www.philgeps.gov.ph/GEPSNONPILOT/Tender/SplashBidNoticeAbstractUI.aspx?menuIndex=3&amp;refID=7164247&amp;Result=3","7164247")</f>
        <v>0</v>
      </c>
      <c r="B691" t="s">
        <v>335</v>
      </c>
      <c r="C691" t="s">
        <v>4596</v>
      </c>
      <c r="D691" t="s">
        <v>19022</v>
      </c>
      <c r="E691" t="s">
        <v>19765</v>
      </c>
      <c r="F691" t="s">
        <v>32831</v>
      </c>
      <c r="G691" t="s">
        <v>32838</v>
      </c>
      <c r="H691" t="s">
        <v>32848</v>
      </c>
      <c r="I691" t="s">
        <v>4558</v>
      </c>
      <c r="J691" t="s">
        <v>33503</v>
      </c>
      <c r="K691" t="s">
        <v>42726</v>
      </c>
      <c r="M691" t="s">
        <v>43338</v>
      </c>
      <c r="N691" t="s">
        <v>47424</v>
      </c>
      <c r="O691" t="s">
        <v>47425</v>
      </c>
      <c r="P691">
        <v>0</v>
      </c>
      <c r="Q691">
        <v>1</v>
      </c>
      <c r="R691" t="s">
        <v>47426</v>
      </c>
      <c r="S691" t="s">
        <v>47531</v>
      </c>
      <c r="T691" t="s">
        <v>49068</v>
      </c>
      <c r="U691" t="s">
        <v>50281</v>
      </c>
      <c r="V691" t="s">
        <v>62691</v>
      </c>
      <c r="W691" t="s">
        <v>43338</v>
      </c>
      <c r="X691" t="s">
        <v>47430</v>
      </c>
    </row>
    <row r="692" spans="1:24">
      <c r="A692">
        <f>HYPERLINK("https://www.philgeps.gov.ph/GEPSNONPILOT/Tender/SplashBidNoticeAbstractUI.aspx?menuIndex=3&amp;refID=7164235&amp;Result=3","7164235")</f>
        <v>0</v>
      </c>
      <c r="B692" t="s">
        <v>335</v>
      </c>
      <c r="C692" t="s">
        <v>4597</v>
      </c>
      <c r="D692" t="s">
        <v>19022</v>
      </c>
      <c r="E692" t="s">
        <v>19766</v>
      </c>
      <c r="F692" t="s">
        <v>32831</v>
      </c>
      <c r="G692" t="s">
        <v>32838</v>
      </c>
      <c r="H692" t="s">
        <v>32848</v>
      </c>
      <c r="I692" t="s">
        <v>32905</v>
      </c>
      <c r="J692" t="s">
        <v>33504</v>
      </c>
      <c r="K692" t="s">
        <v>42726</v>
      </c>
      <c r="M692" t="s">
        <v>43338</v>
      </c>
      <c r="N692" t="s">
        <v>47424</v>
      </c>
      <c r="O692" t="s">
        <v>47425</v>
      </c>
      <c r="P692">
        <v>0</v>
      </c>
      <c r="Q692">
        <v>0</v>
      </c>
      <c r="R692" t="s">
        <v>47426</v>
      </c>
      <c r="S692" t="s">
        <v>47531</v>
      </c>
      <c r="T692" t="s">
        <v>49068</v>
      </c>
      <c r="U692" t="s">
        <v>50281</v>
      </c>
      <c r="V692" t="s">
        <v>62692</v>
      </c>
      <c r="W692" t="s">
        <v>43338</v>
      </c>
      <c r="X692" t="s">
        <v>47430</v>
      </c>
    </row>
    <row r="693" spans="1:24">
      <c r="A693">
        <f>HYPERLINK("https://www.philgeps.gov.ph/GEPSNONPILOT/Tender/SplashBidNoticeAbstractUI.aspx?menuIndex=3&amp;refID=7164232&amp;Result=3","7164232")</f>
        <v>0</v>
      </c>
      <c r="B693" t="s">
        <v>335</v>
      </c>
      <c r="C693" t="s">
        <v>4598</v>
      </c>
      <c r="D693" t="s">
        <v>19022</v>
      </c>
      <c r="E693" t="s">
        <v>19767</v>
      </c>
      <c r="F693" t="s">
        <v>32831</v>
      </c>
      <c r="G693" t="s">
        <v>32838</v>
      </c>
      <c r="H693" t="s">
        <v>32848</v>
      </c>
      <c r="I693" t="s">
        <v>5379</v>
      </c>
      <c r="J693" t="s">
        <v>33505</v>
      </c>
      <c r="K693" t="s">
        <v>42726</v>
      </c>
      <c r="M693" t="s">
        <v>43338</v>
      </c>
      <c r="N693" t="s">
        <v>47424</v>
      </c>
      <c r="O693" t="s">
        <v>47425</v>
      </c>
      <c r="P693">
        <v>0</v>
      </c>
      <c r="Q693">
        <v>1</v>
      </c>
      <c r="R693" t="s">
        <v>47426</v>
      </c>
      <c r="S693" t="s">
        <v>47531</v>
      </c>
      <c r="T693" t="s">
        <v>49068</v>
      </c>
      <c r="U693" t="s">
        <v>50281</v>
      </c>
      <c r="V693" t="s">
        <v>62691</v>
      </c>
      <c r="W693" t="s">
        <v>43338</v>
      </c>
      <c r="X693" t="s">
        <v>47430</v>
      </c>
    </row>
    <row r="694" spans="1:24">
      <c r="A694">
        <f>HYPERLINK("https://www.philgeps.gov.ph/GEPSNONPILOT/Tender/SplashBidNoticeAbstractUI.aspx?menuIndex=3&amp;refID=7164283&amp;Result=3","7164283")</f>
        <v>0</v>
      </c>
      <c r="B694" t="s">
        <v>336</v>
      </c>
      <c r="C694" t="s">
        <v>4599</v>
      </c>
      <c r="D694" t="s">
        <v>19077</v>
      </c>
      <c r="E694" t="s">
        <v>19768</v>
      </c>
      <c r="F694" t="s">
        <v>32831</v>
      </c>
      <c r="G694" t="s">
        <v>32838</v>
      </c>
      <c r="H694" t="s">
        <v>32848</v>
      </c>
      <c r="I694" t="s">
        <v>32906</v>
      </c>
      <c r="J694" t="s">
        <v>33506</v>
      </c>
      <c r="K694" t="s">
        <v>42726</v>
      </c>
      <c r="M694" t="s">
        <v>43339</v>
      </c>
      <c r="N694" t="s">
        <v>47424</v>
      </c>
      <c r="O694" t="s">
        <v>47425</v>
      </c>
      <c r="P694">
        <v>0</v>
      </c>
      <c r="Q694">
        <v>8</v>
      </c>
      <c r="R694" t="s">
        <v>47426</v>
      </c>
      <c r="S694" t="s">
        <v>47531</v>
      </c>
      <c r="T694" t="s">
        <v>49056</v>
      </c>
      <c r="U694" t="s">
        <v>50282</v>
      </c>
      <c r="W694" t="s">
        <v>43339</v>
      </c>
      <c r="X694" t="s">
        <v>47430</v>
      </c>
    </row>
    <row r="695" spans="1:24">
      <c r="A695">
        <f>HYPERLINK("https://www.philgeps.gov.ph/GEPSNONPILOT/Tender/SplashBidNoticeAbstractUI.aspx?menuIndex=3&amp;refID=7164078&amp;Result=3","7164078")</f>
        <v>0</v>
      </c>
      <c r="B695" t="s">
        <v>308</v>
      </c>
      <c r="C695" t="s">
        <v>4600</v>
      </c>
      <c r="D695" t="s">
        <v>19077</v>
      </c>
      <c r="E695" t="s">
        <v>19769</v>
      </c>
      <c r="F695" t="s">
        <v>32831</v>
      </c>
      <c r="G695" t="s">
        <v>32839</v>
      </c>
      <c r="H695" t="s">
        <v>32849</v>
      </c>
      <c r="I695" t="s">
        <v>4177</v>
      </c>
      <c r="J695" t="s">
        <v>33083</v>
      </c>
      <c r="K695" t="s">
        <v>42730</v>
      </c>
      <c r="M695" t="s">
        <v>43310</v>
      </c>
      <c r="N695" t="s">
        <v>47424</v>
      </c>
      <c r="O695" t="s">
        <v>47425</v>
      </c>
      <c r="P695">
        <v>0</v>
      </c>
      <c r="Q695">
        <v>0</v>
      </c>
      <c r="R695" t="s">
        <v>47426</v>
      </c>
      <c r="S695" t="s">
        <v>47531</v>
      </c>
      <c r="T695" t="s">
        <v>49137</v>
      </c>
      <c r="U695" t="s">
        <v>50283</v>
      </c>
      <c r="W695" t="s">
        <v>43310</v>
      </c>
      <c r="X695" t="s">
        <v>47430</v>
      </c>
    </row>
    <row r="696" spans="1:24">
      <c r="A696">
        <f>HYPERLINK("https://www.philgeps.gov.ph/GEPSNONPILOT/Tender/SplashBidNoticeAbstractUI.aspx?menuIndex=3&amp;refID=7164260&amp;Result=3","7164260")</f>
        <v>0</v>
      </c>
      <c r="B696" t="s">
        <v>335</v>
      </c>
      <c r="C696" t="s">
        <v>4601</v>
      </c>
      <c r="D696" t="s">
        <v>19022</v>
      </c>
      <c r="E696" t="s">
        <v>19770</v>
      </c>
      <c r="F696" t="s">
        <v>32831</v>
      </c>
      <c r="G696" t="s">
        <v>32838</v>
      </c>
      <c r="H696" t="s">
        <v>32848</v>
      </c>
      <c r="I696" t="s">
        <v>4776</v>
      </c>
      <c r="J696" t="s">
        <v>33162</v>
      </c>
      <c r="K696" t="s">
        <v>42726</v>
      </c>
      <c r="M696" t="s">
        <v>43338</v>
      </c>
      <c r="N696" t="s">
        <v>47424</v>
      </c>
      <c r="O696" t="s">
        <v>47425</v>
      </c>
      <c r="P696">
        <v>0</v>
      </c>
      <c r="Q696">
        <v>1</v>
      </c>
      <c r="R696" t="s">
        <v>47426</v>
      </c>
      <c r="S696" t="s">
        <v>47531</v>
      </c>
      <c r="T696" t="s">
        <v>49068</v>
      </c>
      <c r="U696" t="s">
        <v>50281</v>
      </c>
      <c r="V696" t="s">
        <v>62693</v>
      </c>
      <c r="W696" t="s">
        <v>43338</v>
      </c>
      <c r="X696" t="s">
        <v>47430</v>
      </c>
    </row>
    <row r="697" spans="1:24">
      <c r="A697">
        <f>HYPERLINK("https://www.philgeps.gov.ph/GEPSNONPILOT/Tender/SplashBidNoticeAbstractUI.aspx?menuIndex=3&amp;refID=7164186&amp;Result=3","7164186")</f>
        <v>0</v>
      </c>
      <c r="B697" t="s">
        <v>337</v>
      </c>
      <c r="C697" t="s">
        <v>4602</v>
      </c>
      <c r="D697" t="s">
        <v>19051</v>
      </c>
      <c r="E697" t="s">
        <v>19771</v>
      </c>
      <c r="F697" t="s">
        <v>32831</v>
      </c>
      <c r="G697" t="s">
        <v>32838</v>
      </c>
      <c r="H697" t="s">
        <v>32848</v>
      </c>
      <c r="I697" t="s">
        <v>32854</v>
      </c>
      <c r="J697" t="s">
        <v>33507</v>
      </c>
      <c r="K697" t="s">
        <v>42726</v>
      </c>
      <c r="M697" t="s">
        <v>43340</v>
      </c>
      <c r="N697" t="s">
        <v>47424</v>
      </c>
      <c r="O697" t="s">
        <v>47425</v>
      </c>
      <c r="P697">
        <v>0</v>
      </c>
      <c r="Q697">
        <v>1</v>
      </c>
      <c r="R697" t="s">
        <v>47426</v>
      </c>
      <c r="S697" t="s">
        <v>47531</v>
      </c>
      <c r="T697" t="s">
        <v>49079</v>
      </c>
      <c r="U697" t="s">
        <v>50284</v>
      </c>
      <c r="W697" t="s">
        <v>43340</v>
      </c>
      <c r="X697" t="s">
        <v>47430</v>
      </c>
    </row>
    <row r="698" spans="1:24">
      <c r="A698">
        <f>HYPERLINK("https://www.philgeps.gov.ph/GEPSNONPILOT/Tender/SplashBidNoticeAbstractUI.aspx?menuIndex=3&amp;refID=7164173&amp;Result=3","7164173")</f>
        <v>0</v>
      </c>
      <c r="B698" t="s">
        <v>338</v>
      </c>
      <c r="C698" t="s">
        <v>4296</v>
      </c>
      <c r="D698" t="s">
        <v>19019</v>
      </c>
      <c r="E698" t="s">
        <v>19772</v>
      </c>
      <c r="F698" t="s">
        <v>32831</v>
      </c>
      <c r="G698" t="s">
        <v>32840</v>
      </c>
      <c r="H698" t="s">
        <v>32848</v>
      </c>
      <c r="I698" t="s">
        <v>4340</v>
      </c>
      <c r="J698" t="s">
        <v>33508</v>
      </c>
      <c r="K698" t="s">
        <v>42726</v>
      </c>
      <c r="M698" t="s">
        <v>43341</v>
      </c>
      <c r="N698" t="s">
        <v>47424</v>
      </c>
      <c r="O698" t="s">
        <v>47425</v>
      </c>
      <c r="P698">
        <v>0</v>
      </c>
      <c r="Q698">
        <v>0</v>
      </c>
      <c r="R698" t="s">
        <v>47426</v>
      </c>
      <c r="S698" t="s">
        <v>47531</v>
      </c>
      <c r="T698" t="s">
        <v>49056</v>
      </c>
      <c r="U698" t="s">
        <v>50285</v>
      </c>
      <c r="W698" t="s">
        <v>43341</v>
      </c>
      <c r="X698" t="s">
        <v>47430</v>
      </c>
    </row>
    <row r="699" spans="1:24">
      <c r="A699">
        <f>HYPERLINK("https://www.philgeps.gov.ph/GEPSNONPILOT/Tender/SplashBidNoticeAbstractUI.aspx?menuIndex=3&amp;refID=7164169&amp;Result=3","7164169")</f>
        <v>0</v>
      </c>
      <c r="B699" t="s">
        <v>338</v>
      </c>
      <c r="C699" t="s">
        <v>4603</v>
      </c>
      <c r="D699" t="s">
        <v>19019</v>
      </c>
      <c r="E699" t="s">
        <v>19773</v>
      </c>
      <c r="F699" t="s">
        <v>32831</v>
      </c>
      <c r="G699" t="s">
        <v>32840</v>
      </c>
      <c r="H699" t="s">
        <v>32848</v>
      </c>
      <c r="I699" t="s">
        <v>7416</v>
      </c>
      <c r="J699" t="s">
        <v>33509</v>
      </c>
      <c r="K699" t="s">
        <v>42726</v>
      </c>
      <c r="M699" t="s">
        <v>43341</v>
      </c>
      <c r="N699" t="s">
        <v>47424</v>
      </c>
      <c r="O699" t="s">
        <v>47425</v>
      </c>
      <c r="P699">
        <v>0</v>
      </c>
      <c r="Q699">
        <v>0</v>
      </c>
      <c r="R699" t="s">
        <v>47426</v>
      </c>
      <c r="S699" t="s">
        <v>47531</v>
      </c>
      <c r="T699" t="s">
        <v>49056</v>
      </c>
      <c r="U699" t="s">
        <v>50286</v>
      </c>
      <c r="W699" t="s">
        <v>43341</v>
      </c>
      <c r="X699" t="s">
        <v>47430</v>
      </c>
    </row>
    <row r="700" spans="1:24">
      <c r="A700">
        <f>HYPERLINK("https://www.philgeps.gov.ph/GEPSNONPILOT/Tender/SplashBidNoticeAbstractUI.aspx?menuIndex=3&amp;refID=7164166&amp;Result=3","7164166")</f>
        <v>0</v>
      </c>
      <c r="B700" t="s">
        <v>339</v>
      </c>
      <c r="C700" t="s">
        <v>4604</v>
      </c>
      <c r="D700" t="s">
        <v>19027</v>
      </c>
      <c r="E700" t="s">
        <v>19774</v>
      </c>
      <c r="F700" t="s">
        <v>32831</v>
      </c>
      <c r="G700" t="s">
        <v>32838</v>
      </c>
      <c r="H700" t="s">
        <v>32848</v>
      </c>
      <c r="I700" t="s">
        <v>32858</v>
      </c>
      <c r="J700" t="s">
        <v>33510</v>
      </c>
      <c r="K700" t="s">
        <v>42758</v>
      </c>
      <c r="M700" t="s">
        <v>43342</v>
      </c>
      <c r="N700" t="s">
        <v>47424</v>
      </c>
      <c r="O700" t="s">
        <v>47425</v>
      </c>
      <c r="P700">
        <v>0</v>
      </c>
      <c r="Q700">
        <v>1</v>
      </c>
      <c r="R700" t="s">
        <v>47426</v>
      </c>
      <c r="S700" t="s">
        <v>47531</v>
      </c>
      <c r="T700" t="s">
        <v>49079</v>
      </c>
      <c r="U700" t="s">
        <v>50287</v>
      </c>
      <c r="W700" t="s">
        <v>43342</v>
      </c>
      <c r="X700" t="s">
        <v>47430</v>
      </c>
    </row>
    <row r="701" spans="1:24">
      <c r="A701">
        <f>HYPERLINK("https://www.philgeps.gov.ph/GEPSNONPILOT/Tender/SplashBidNoticeAbstractUI.aspx?menuIndex=3&amp;refID=7164197&amp;Result=3","7164197")</f>
        <v>0</v>
      </c>
      <c r="B701" t="s">
        <v>340</v>
      </c>
      <c r="C701" t="s">
        <v>4067</v>
      </c>
      <c r="D701" t="s">
        <v>19044</v>
      </c>
      <c r="E701" t="s">
        <v>19775</v>
      </c>
      <c r="F701" t="s">
        <v>32831</v>
      </c>
      <c r="G701" t="s">
        <v>32838</v>
      </c>
      <c r="H701" t="s">
        <v>32848</v>
      </c>
      <c r="I701" t="s">
        <v>32860</v>
      </c>
      <c r="J701" t="s">
        <v>33511</v>
      </c>
      <c r="K701" t="s">
        <v>42758</v>
      </c>
      <c r="M701" t="s">
        <v>43343</v>
      </c>
      <c r="N701" t="s">
        <v>47424</v>
      </c>
      <c r="O701" t="s">
        <v>47425</v>
      </c>
      <c r="P701">
        <v>0</v>
      </c>
      <c r="Q701">
        <v>2</v>
      </c>
      <c r="R701" t="s">
        <v>47426</v>
      </c>
      <c r="S701" t="s">
        <v>47531</v>
      </c>
      <c r="T701" t="s">
        <v>49108</v>
      </c>
      <c r="U701" t="s">
        <v>50288</v>
      </c>
      <c r="W701" t="s">
        <v>43343</v>
      </c>
      <c r="X701" t="s">
        <v>47430</v>
      </c>
    </row>
    <row r="702" spans="1:24">
      <c r="A702">
        <f>HYPERLINK("https://www.philgeps.gov.ph/GEPSNONPILOT/Tender/SplashBidNoticeAbstractUI.aspx?menuIndex=3&amp;refID=7164192&amp;Result=3","7164192")</f>
        <v>0</v>
      </c>
      <c r="B702" t="s">
        <v>335</v>
      </c>
      <c r="C702" t="s">
        <v>4605</v>
      </c>
      <c r="D702" t="s">
        <v>19022</v>
      </c>
      <c r="E702" t="s">
        <v>19776</v>
      </c>
      <c r="F702" t="s">
        <v>32831</v>
      </c>
      <c r="G702" t="s">
        <v>32838</v>
      </c>
      <c r="H702" t="s">
        <v>32848</v>
      </c>
      <c r="I702" t="s">
        <v>4776</v>
      </c>
      <c r="J702" t="s">
        <v>33512</v>
      </c>
      <c r="K702" t="s">
        <v>42726</v>
      </c>
      <c r="M702" t="s">
        <v>43338</v>
      </c>
      <c r="N702" t="s">
        <v>47424</v>
      </c>
      <c r="O702" t="s">
        <v>47425</v>
      </c>
      <c r="P702">
        <v>0</v>
      </c>
      <c r="Q702">
        <v>2</v>
      </c>
      <c r="R702" t="s">
        <v>47426</v>
      </c>
      <c r="S702" t="s">
        <v>47531</v>
      </c>
      <c r="T702" t="s">
        <v>49068</v>
      </c>
      <c r="U702" t="s">
        <v>50281</v>
      </c>
      <c r="V702" t="s">
        <v>62694</v>
      </c>
      <c r="W702" t="s">
        <v>43338</v>
      </c>
      <c r="X702" t="s">
        <v>47430</v>
      </c>
    </row>
    <row r="703" spans="1:24">
      <c r="A703">
        <f>HYPERLINK("https://www.philgeps.gov.ph/GEPSNONPILOT/Tender/SplashBidNoticeAbstractUI.aspx?menuIndex=3&amp;refID=7164383&amp;Result=3","7164383")</f>
        <v>0</v>
      </c>
      <c r="B703" t="s">
        <v>341</v>
      </c>
      <c r="C703" t="s">
        <v>4606</v>
      </c>
      <c r="D703" t="s">
        <v>19035</v>
      </c>
      <c r="E703" t="s">
        <v>19777</v>
      </c>
      <c r="F703" t="s">
        <v>32831</v>
      </c>
      <c r="G703" t="s">
        <v>32838</v>
      </c>
      <c r="H703" t="s">
        <v>32848</v>
      </c>
      <c r="I703" t="s">
        <v>4438</v>
      </c>
      <c r="J703" t="s">
        <v>33513</v>
      </c>
      <c r="K703" t="s">
        <v>42731</v>
      </c>
      <c r="M703" t="s">
        <v>43344</v>
      </c>
      <c r="N703" t="s">
        <v>47424</v>
      </c>
      <c r="O703" t="s">
        <v>47425</v>
      </c>
      <c r="P703">
        <v>0</v>
      </c>
      <c r="Q703">
        <v>0</v>
      </c>
      <c r="R703" t="s">
        <v>47426</v>
      </c>
      <c r="S703" t="s">
        <v>47531</v>
      </c>
      <c r="T703" t="s">
        <v>49100</v>
      </c>
      <c r="U703" t="s">
        <v>50289</v>
      </c>
      <c r="W703" t="s">
        <v>43344</v>
      </c>
      <c r="X703" t="s">
        <v>47428</v>
      </c>
    </row>
    <row r="704" spans="1:24">
      <c r="A704">
        <f>HYPERLINK("https://www.philgeps.gov.ph/GEPSNONPILOT/Tender/SplashBidNoticeAbstractUI.aspx?menuIndex=3&amp;refID=7164279&amp;Result=3","7164279")</f>
        <v>0</v>
      </c>
      <c r="B704" t="s">
        <v>228</v>
      </c>
      <c r="C704" t="s">
        <v>4607</v>
      </c>
      <c r="D704" t="s">
        <v>19033</v>
      </c>
      <c r="E704" t="s">
        <v>19778</v>
      </c>
      <c r="F704" t="s">
        <v>32831</v>
      </c>
      <c r="G704" t="s">
        <v>32838</v>
      </c>
      <c r="H704" t="s">
        <v>32848</v>
      </c>
      <c r="I704" t="s">
        <v>32860</v>
      </c>
      <c r="J704" t="s">
        <v>33514</v>
      </c>
      <c r="K704" t="s">
        <v>42727</v>
      </c>
      <c r="M704" t="s">
        <v>43227</v>
      </c>
      <c r="N704" t="s">
        <v>47424</v>
      </c>
      <c r="O704" t="s">
        <v>47425</v>
      </c>
      <c r="P704">
        <v>0</v>
      </c>
      <c r="Q704">
        <v>5</v>
      </c>
      <c r="R704" t="s">
        <v>47426</v>
      </c>
      <c r="S704" t="s">
        <v>47531</v>
      </c>
      <c r="T704" t="s">
        <v>49073</v>
      </c>
      <c r="U704" t="s">
        <v>50290</v>
      </c>
      <c r="V704" t="s">
        <v>62695</v>
      </c>
      <c r="W704" t="s">
        <v>43227</v>
      </c>
      <c r="X704" t="s">
        <v>47430</v>
      </c>
    </row>
    <row r="705" spans="1:24">
      <c r="A705">
        <f>HYPERLINK("https://www.philgeps.gov.ph/GEPSNONPILOT/Tender/SplashBidNoticeAbstractUI.aspx?menuIndex=3&amp;refID=7164220&amp;Result=3","7164220")</f>
        <v>0</v>
      </c>
      <c r="B705" t="s">
        <v>335</v>
      </c>
      <c r="C705" t="s">
        <v>4608</v>
      </c>
      <c r="D705" t="s">
        <v>19087</v>
      </c>
      <c r="E705" t="s">
        <v>19779</v>
      </c>
      <c r="F705" t="s">
        <v>32831</v>
      </c>
      <c r="G705" t="s">
        <v>32838</v>
      </c>
      <c r="H705" t="s">
        <v>32848</v>
      </c>
      <c r="I705" t="s">
        <v>7878</v>
      </c>
      <c r="J705" t="s">
        <v>33515</v>
      </c>
      <c r="K705" t="s">
        <v>42726</v>
      </c>
      <c r="M705" t="s">
        <v>43338</v>
      </c>
      <c r="N705" t="s">
        <v>47424</v>
      </c>
      <c r="O705" t="s">
        <v>47425</v>
      </c>
      <c r="P705">
        <v>0</v>
      </c>
      <c r="Q705">
        <v>0</v>
      </c>
      <c r="R705" t="s">
        <v>47426</v>
      </c>
      <c r="S705" t="s">
        <v>47531</v>
      </c>
      <c r="T705" t="s">
        <v>49068</v>
      </c>
      <c r="U705" t="s">
        <v>50281</v>
      </c>
      <c r="W705" t="s">
        <v>43338</v>
      </c>
      <c r="X705" t="s">
        <v>47430</v>
      </c>
    </row>
    <row r="706" spans="1:24">
      <c r="A706">
        <f>HYPERLINK("https://www.philgeps.gov.ph/GEPSNONPILOT/Tender/SplashBidNoticeAbstractUI.aspx?menuIndex=3&amp;refID=7164362&amp;Result=3","7164362")</f>
        <v>0</v>
      </c>
      <c r="B706" t="s">
        <v>342</v>
      </c>
      <c r="C706" t="s">
        <v>4609</v>
      </c>
      <c r="D706" t="s">
        <v>19047</v>
      </c>
      <c r="E706" t="s">
        <v>19780</v>
      </c>
      <c r="F706" t="s">
        <v>32831</v>
      </c>
      <c r="G706" t="s">
        <v>32838</v>
      </c>
      <c r="H706" t="s">
        <v>32848</v>
      </c>
      <c r="I706" t="s">
        <v>4303</v>
      </c>
      <c r="J706" t="s">
        <v>33516</v>
      </c>
      <c r="K706" t="s">
        <v>42727</v>
      </c>
      <c r="M706" t="s">
        <v>43345</v>
      </c>
      <c r="N706" t="s">
        <v>47424</v>
      </c>
      <c r="O706" t="s">
        <v>47425</v>
      </c>
      <c r="P706">
        <v>0</v>
      </c>
      <c r="Q706">
        <v>2</v>
      </c>
      <c r="R706" t="s">
        <v>47426</v>
      </c>
      <c r="S706" t="s">
        <v>47531</v>
      </c>
      <c r="T706" t="s">
        <v>49056</v>
      </c>
      <c r="U706" t="s">
        <v>50291</v>
      </c>
      <c r="W706" t="s">
        <v>64436</v>
      </c>
      <c r="X706" t="s">
        <v>47428</v>
      </c>
    </row>
    <row r="707" spans="1:24">
      <c r="A707">
        <f>HYPERLINK("https://www.philgeps.gov.ph/GEPSNONPILOT/Tender/SplashBidNoticeAbstractUI.aspx?menuIndex=3&amp;refID=7164167&amp;Result=3","7164167")</f>
        <v>0</v>
      </c>
      <c r="B707" t="s">
        <v>338</v>
      </c>
      <c r="C707" t="s">
        <v>4610</v>
      </c>
      <c r="D707" t="s">
        <v>19019</v>
      </c>
      <c r="E707" t="s">
        <v>19781</v>
      </c>
      <c r="F707" t="s">
        <v>32831</v>
      </c>
      <c r="G707" t="s">
        <v>32840</v>
      </c>
      <c r="H707" t="s">
        <v>32848</v>
      </c>
      <c r="I707" t="s">
        <v>32860</v>
      </c>
      <c r="J707" t="s">
        <v>33268</v>
      </c>
      <c r="K707" t="s">
        <v>42726</v>
      </c>
      <c r="M707" t="s">
        <v>43341</v>
      </c>
      <c r="N707" t="s">
        <v>47424</v>
      </c>
      <c r="O707" t="s">
        <v>47425</v>
      </c>
      <c r="P707">
        <v>0</v>
      </c>
      <c r="Q707">
        <v>1</v>
      </c>
      <c r="R707" t="s">
        <v>47426</v>
      </c>
      <c r="S707" t="s">
        <v>47531</v>
      </c>
      <c r="T707" t="s">
        <v>49056</v>
      </c>
      <c r="U707" t="s">
        <v>50292</v>
      </c>
      <c r="W707" t="s">
        <v>43341</v>
      </c>
      <c r="X707" t="s">
        <v>47430</v>
      </c>
    </row>
    <row r="708" spans="1:24">
      <c r="A708">
        <f>HYPERLINK("https://www.philgeps.gov.ph/GEPSNONPILOT/Tender/SplashBidNoticeAbstractUI.aspx?menuIndex=3&amp;refID=7164359&amp;Result=3","7164359")</f>
        <v>0</v>
      </c>
      <c r="B708" t="s">
        <v>342</v>
      </c>
      <c r="C708" t="s">
        <v>4611</v>
      </c>
      <c r="D708" t="s">
        <v>19047</v>
      </c>
      <c r="E708" t="s">
        <v>19782</v>
      </c>
      <c r="F708" t="s">
        <v>32831</v>
      </c>
      <c r="G708" t="s">
        <v>32838</v>
      </c>
      <c r="H708" t="s">
        <v>32848</v>
      </c>
      <c r="I708" t="s">
        <v>32854</v>
      </c>
      <c r="J708" t="s">
        <v>33517</v>
      </c>
      <c r="K708" t="s">
        <v>42727</v>
      </c>
      <c r="M708" t="s">
        <v>43345</v>
      </c>
      <c r="N708" t="s">
        <v>47424</v>
      </c>
      <c r="O708" t="s">
        <v>47425</v>
      </c>
      <c r="P708">
        <v>0</v>
      </c>
      <c r="Q708">
        <v>0</v>
      </c>
      <c r="R708" t="s">
        <v>47426</v>
      </c>
      <c r="S708" t="s">
        <v>47531</v>
      </c>
      <c r="T708" t="s">
        <v>49056</v>
      </c>
      <c r="U708" t="s">
        <v>50291</v>
      </c>
      <c r="W708" t="s">
        <v>64436</v>
      </c>
      <c r="X708" t="s">
        <v>47428</v>
      </c>
    </row>
    <row r="709" spans="1:24">
      <c r="A709">
        <f>HYPERLINK("https://www.philgeps.gov.ph/GEPSNONPILOT/Tender/SplashBidNoticeAbstractUI.aspx?menuIndex=3&amp;refID=7164348&amp;Result=3","7164348")</f>
        <v>0</v>
      </c>
      <c r="B709" t="s">
        <v>67</v>
      </c>
      <c r="C709" t="s">
        <v>4612</v>
      </c>
      <c r="D709" t="s">
        <v>19079</v>
      </c>
      <c r="E709" t="s">
        <v>19783</v>
      </c>
      <c r="F709" t="s">
        <v>32831</v>
      </c>
      <c r="G709" t="s">
        <v>32839</v>
      </c>
      <c r="H709" t="s">
        <v>32849</v>
      </c>
      <c r="I709" t="s">
        <v>4177</v>
      </c>
      <c r="J709" t="s">
        <v>33518</v>
      </c>
      <c r="K709" t="s">
        <v>42729</v>
      </c>
      <c r="M709" t="s">
        <v>43346</v>
      </c>
      <c r="N709" t="s">
        <v>47424</v>
      </c>
      <c r="O709" t="s">
        <v>47425</v>
      </c>
      <c r="P709">
        <v>0</v>
      </c>
      <c r="Q709">
        <v>6</v>
      </c>
      <c r="R709" t="s">
        <v>47426</v>
      </c>
      <c r="S709" t="s">
        <v>47531</v>
      </c>
      <c r="T709" t="s">
        <v>49189</v>
      </c>
      <c r="U709" t="s">
        <v>50293</v>
      </c>
      <c r="W709" t="s">
        <v>43346</v>
      </c>
      <c r="X709" t="s">
        <v>47428</v>
      </c>
    </row>
    <row r="710" spans="1:24">
      <c r="A710">
        <f>HYPERLINK("https://www.philgeps.gov.ph/GEPSNONPILOT/Tender/SplashBidNoticeAbstractUI.aspx?menuIndex=3&amp;refID=7164075&amp;Result=3","7164075")</f>
        <v>0</v>
      </c>
      <c r="B710" t="s">
        <v>293</v>
      </c>
      <c r="C710" t="s">
        <v>4613</v>
      </c>
      <c r="D710" t="s">
        <v>19044</v>
      </c>
      <c r="E710" t="s">
        <v>19784</v>
      </c>
      <c r="F710" t="s">
        <v>32831</v>
      </c>
      <c r="G710" t="s">
        <v>32838</v>
      </c>
      <c r="H710" t="s">
        <v>32848</v>
      </c>
      <c r="I710" t="s">
        <v>5379</v>
      </c>
      <c r="J710" t="s">
        <v>33519</v>
      </c>
      <c r="K710" t="s">
        <v>42727</v>
      </c>
      <c r="M710" t="s">
        <v>43294</v>
      </c>
      <c r="N710" t="s">
        <v>47424</v>
      </c>
      <c r="O710" t="s">
        <v>47425</v>
      </c>
      <c r="P710">
        <v>0</v>
      </c>
      <c r="Q710">
        <v>0</v>
      </c>
      <c r="R710" t="s">
        <v>47426</v>
      </c>
      <c r="S710" t="s">
        <v>47531</v>
      </c>
      <c r="T710" t="s">
        <v>49073</v>
      </c>
      <c r="U710" t="s">
        <v>50294</v>
      </c>
      <c r="W710" t="s">
        <v>43294</v>
      </c>
      <c r="X710" t="s">
        <v>47430</v>
      </c>
    </row>
    <row r="711" spans="1:24">
      <c r="A711">
        <f>HYPERLINK("https://www.philgeps.gov.ph/GEPSNONPILOT/Tender/SplashBidNoticeAbstractUI.aspx?menuIndex=3&amp;refID=7164380&amp;Result=3","7164380")</f>
        <v>0</v>
      </c>
      <c r="B711" t="s">
        <v>341</v>
      </c>
      <c r="C711" t="s">
        <v>4614</v>
      </c>
      <c r="D711" t="s">
        <v>19035</v>
      </c>
      <c r="E711" t="s">
        <v>19785</v>
      </c>
      <c r="F711" t="s">
        <v>32831</v>
      </c>
      <c r="G711" t="s">
        <v>32840</v>
      </c>
      <c r="H711" t="s">
        <v>32848</v>
      </c>
      <c r="I711" t="s">
        <v>4487</v>
      </c>
      <c r="J711" t="s">
        <v>33520</v>
      </c>
      <c r="K711" t="s">
        <v>42731</v>
      </c>
      <c r="M711" t="s">
        <v>43344</v>
      </c>
      <c r="N711" t="s">
        <v>47424</v>
      </c>
      <c r="O711" t="s">
        <v>47425</v>
      </c>
      <c r="P711">
        <v>0</v>
      </c>
      <c r="Q711">
        <v>4</v>
      </c>
      <c r="R711" t="s">
        <v>47426</v>
      </c>
      <c r="S711" t="s">
        <v>47531</v>
      </c>
      <c r="T711" t="s">
        <v>49100</v>
      </c>
      <c r="U711" t="s">
        <v>50295</v>
      </c>
      <c r="W711" t="s">
        <v>43344</v>
      </c>
      <c r="X711" t="s">
        <v>47428</v>
      </c>
    </row>
    <row r="712" spans="1:24">
      <c r="A712">
        <f>HYPERLINK("https://www.philgeps.gov.ph/GEPSNONPILOT/Tender/SplashBidNoticeAbstractUI.aspx?menuIndex=3&amp;refID=7164327&amp;Result=3","7164327")</f>
        <v>0</v>
      </c>
      <c r="B712" t="s">
        <v>343</v>
      </c>
      <c r="C712" t="s">
        <v>4615</v>
      </c>
      <c r="D712" t="s">
        <v>19037</v>
      </c>
      <c r="E712" t="s">
        <v>19198</v>
      </c>
      <c r="F712" t="s">
        <v>32831</v>
      </c>
      <c r="G712" t="s">
        <v>32839</v>
      </c>
      <c r="H712" t="s">
        <v>32848</v>
      </c>
      <c r="I712" t="s">
        <v>7416</v>
      </c>
      <c r="J712" t="s">
        <v>33521</v>
      </c>
      <c r="K712" t="s">
        <v>42731</v>
      </c>
      <c r="M712" t="s">
        <v>43347</v>
      </c>
      <c r="N712" t="s">
        <v>47424</v>
      </c>
      <c r="O712" t="s">
        <v>47425</v>
      </c>
      <c r="P712">
        <v>0</v>
      </c>
      <c r="Q712">
        <v>2</v>
      </c>
      <c r="R712" t="s">
        <v>47426</v>
      </c>
      <c r="S712" t="s">
        <v>47531</v>
      </c>
      <c r="T712" t="s">
        <v>49189</v>
      </c>
      <c r="U712" t="s">
        <v>50296</v>
      </c>
      <c r="W712" t="s">
        <v>43347</v>
      </c>
      <c r="X712" t="s">
        <v>47428</v>
      </c>
    </row>
    <row r="713" spans="1:24">
      <c r="A713">
        <f>HYPERLINK("https://www.philgeps.gov.ph/GEPSNONPILOT/Tender/SplashBidNoticeAbstractUI.aspx?menuIndex=3&amp;refID=7164361&amp;Result=3","7164361")</f>
        <v>0</v>
      </c>
      <c r="B713" t="s">
        <v>342</v>
      </c>
      <c r="C713" t="s">
        <v>4616</v>
      </c>
      <c r="D713" t="s">
        <v>19047</v>
      </c>
      <c r="E713" t="s">
        <v>19786</v>
      </c>
      <c r="F713" t="s">
        <v>32831</v>
      </c>
      <c r="G713" t="s">
        <v>32840</v>
      </c>
      <c r="H713" t="s">
        <v>32848</v>
      </c>
      <c r="I713" t="s">
        <v>4558</v>
      </c>
      <c r="J713" t="s">
        <v>33522</v>
      </c>
      <c r="K713" t="s">
        <v>42727</v>
      </c>
      <c r="M713" t="s">
        <v>43345</v>
      </c>
      <c r="N713" t="s">
        <v>47424</v>
      </c>
      <c r="O713" t="s">
        <v>47425</v>
      </c>
      <c r="P713">
        <v>0</v>
      </c>
      <c r="Q713">
        <v>3</v>
      </c>
      <c r="R713" t="s">
        <v>47426</v>
      </c>
      <c r="S713" t="s">
        <v>47531</v>
      </c>
      <c r="T713" t="s">
        <v>49056</v>
      </c>
      <c r="U713" t="s">
        <v>50297</v>
      </c>
      <c r="W713" t="s">
        <v>64436</v>
      </c>
      <c r="X713" t="s">
        <v>47428</v>
      </c>
    </row>
    <row r="714" spans="1:24">
      <c r="A714">
        <f>HYPERLINK("https://www.philgeps.gov.ph/GEPSNONPILOT/Tender/SplashBidNoticeAbstractUI.aspx?menuIndex=3&amp;refID=7164119&amp;Result=3","7164119")</f>
        <v>0</v>
      </c>
      <c r="B714" t="s">
        <v>264</v>
      </c>
      <c r="C714" t="s">
        <v>4578</v>
      </c>
      <c r="D714" t="s">
        <v>19062</v>
      </c>
      <c r="E714" t="s">
        <v>19787</v>
      </c>
      <c r="F714" t="s">
        <v>32831</v>
      </c>
      <c r="G714" t="s">
        <v>32839</v>
      </c>
      <c r="H714" t="s">
        <v>32848</v>
      </c>
      <c r="I714" t="s">
        <v>7416</v>
      </c>
      <c r="J714" t="s">
        <v>33523</v>
      </c>
      <c r="K714" t="s">
        <v>42727</v>
      </c>
      <c r="M714" t="s">
        <v>43263</v>
      </c>
      <c r="N714" t="s">
        <v>47424</v>
      </c>
      <c r="O714" t="s">
        <v>47425</v>
      </c>
      <c r="P714">
        <v>0</v>
      </c>
      <c r="Q714">
        <v>0</v>
      </c>
      <c r="R714" t="s">
        <v>47426</v>
      </c>
      <c r="S714" t="s">
        <v>47531</v>
      </c>
      <c r="T714" t="s">
        <v>49080</v>
      </c>
      <c r="U714" t="s">
        <v>50267</v>
      </c>
      <c r="W714" t="s">
        <v>43263</v>
      </c>
      <c r="X714" t="s">
        <v>47430</v>
      </c>
    </row>
    <row r="715" spans="1:24">
      <c r="A715">
        <f>HYPERLINK("https://www.philgeps.gov.ph/GEPSNONPILOT/Tender/SplashBidNoticeAbstractUI.aspx?menuIndex=3&amp;refID=7164328&amp;Result=3","7164328")</f>
        <v>0</v>
      </c>
      <c r="B715" t="s">
        <v>344</v>
      </c>
      <c r="C715" t="s">
        <v>4617</v>
      </c>
      <c r="D715" t="s">
        <v>19046</v>
      </c>
      <c r="E715" t="s">
        <v>19788</v>
      </c>
      <c r="F715" t="s">
        <v>32831</v>
      </c>
      <c r="G715" t="s">
        <v>32839</v>
      </c>
      <c r="H715" t="s">
        <v>32848</v>
      </c>
      <c r="I715" t="s">
        <v>7751</v>
      </c>
      <c r="J715" t="s">
        <v>33524</v>
      </c>
      <c r="K715" t="s">
        <v>42781</v>
      </c>
      <c r="M715" t="s">
        <v>43348</v>
      </c>
      <c r="N715" t="s">
        <v>47424</v>
      </c>
      <c r="O715" t="s">
        <v>47425</v>
      </c>
      <c r="P715">
        <v>0</v>
      </c>
      <c r="Q715">
        <v>1</v>
      </c>
      <c r="R715" t="s">
        <v>47426</v>
      </c>
      <c r="S715" t="s">
        <v>47531</v>
      </c>
      <c r="T715" t="s">
        <v>49084</v>
      </c>
      <c r="U715" t="s">
        <v>50298</v>
      </c>
      <c r="W715" t="s">
        <v>43348</v>
      </c>
      <c r="X715" t="s">
        <v>47428</v>
      </c>
    </row>
    <row r="716" spans="1:24">
      <c r="A716">
        <f>HYPERLINK("https://www.philgeps.gov.ph/GEPSNONPILOT/Tender/SplashBidNoticeAbstractUI.aspx?menuIndex=3&amp;refID=7164338&amp;Result=3","7164338")</f>
        <v>0</v>
      </c>
      <c r="B716" t="s">
        <v>344</v>
      </c>
      <c r="C716" t="s">
        <v>4618</v>
      </c>
      <c r="D716" t="s">
        <v>19046</v>
      </c>
      <c r="E716" t="s">
        <v>19789</v>
      </c>
      <c r="F716" t="s">
        <v>32831</v>
      </c>
      <c r="G716" t="s">
        <v>32839</v>
      </c>
      <c r="H716" t="s">
        <v>32848</v>
      </c>
      <c r="I716" t="s">
        <v>7751</v>
      </c>
      <c r="J716" t="s">
        <v>33525</v>
      </c>
      <c r="K716" t="s">
        <v>42781</v>
      </c>
      <c r="M716" t="s">
        <v>43348</v>
      </c>
      <c r="N716" t="s">
        <v>47424</v>
      </c>
      <c r="O716" t="s">
        <v>47425</v>
      </c>
      <c r="P716">
        <v>0</v>
      </c>
      <c r="Q716">
        <v>5</v>
      </c>
      <c r="R716" t="s">
        <v>47426</v>
      </c>
      <c r="S716" t="s">
        <v>47531</v>
      </c>
      <c r="T716" t="s">
        <v>49192</v>
      </c>
      <c r="U716" t="s">
        <v>50299</v>
      </c>
      <c r="W716" t="s">
        <v>43348</v>
      </c>
      <c r="X716" t="s">
        <v>47428</v>
      </c>
    </row>
    <row r="717" spans="1:24">
      <c r="A717">
        <f>HYPERLINK("https://www.philgeps.gov.ph/GEPSNONPILOT/Tender/SplashBidNoticeAbstractUI.aspx?menuIndex=3&amp;refID=7164326&amp;Result=3","7164326")</f>
        <v>0</v>
      </c>
      <c r="B717" t="s">
        <v>343</v>
      </c>
      <c r="C717" t="s">
        <v>4619</v>
      </c>
      <c r="D717" t="s">
        <v>19037</v>
      </c>
      <c r="E717" t="s">
        <v>19790</v>
      </c>
      <c r="F717" t="s">
        <v>32831</v>
      </c>
      <c r="G717" t="s">
        <v>32839</v>
      </c>
      <c r="H717" t="s">
        <v>32848</v>
      </c>
      <c r="I717" t="s">
        <v>7416</v>
      </c>
      <c r="J717" t="s">
        <v>33526</v>
      </c>
      <c r="K717" t="s">
        <v>42731</v>
      </c>
      <c r="M717" t="s">
        <v>43347</v>
      </c>
      <c r="N717" t="s">
        <v>47424</v>
      </c>
      <c r="O717" t="s">
        <v>47425</v>
      </c>
      <c r="P717">
        <v>0</v>
      </c>
      <c r="Q717">
        <v>2</v>
      </c>
      <c r="R717" t="s">
        <v>47426</v>
      </c>
      <c r="S717" t="s">
        <v>47531</v>
      </c>
      <c r="T717" t="s">
        <v>49189</v>
      </c>
      <c r="U717" t="s">
        <v>50296</v>
      </c>
      <c r="W717" t="s">
        <v>43347</v>
      </c>
      <c r="X717" t="s">
        <v>47428</v>
      </c>
    </row>
    <row r="718" spans="1:24">
      <c r="A718">
        <f>HYPERLINK("https://www.philgeps.gov.ph/GEPSNONPILOT/Tender/SplashBidNoticeAbstractUI.aspx?menuIndex=3&amp;refID=7164316&amp;Result=3","7164316")</f>
        <v>0</v>
      </c>
      <c r="B718" t="s">
        <v>343</v>
      </c>
      <c r="C718" t="s">
        <v>4620</v>
      </c>
      <c r="D718" t="s">
        <v>19037</v>
      </c>
      <c r="E718" t="s">
        <v>19606</v>
      </c>
      <c r="F718" t="s">
        <v>32831</v>
      </c>
      <c r="G718" t="s">
        <v>32839</v>
      </c>
      <c r="H718" t="s">
        <v>32848</v>
      </c>
      <c r="I718" t="s">
        <v>7416</v>
      </c>
      <c r="J718" t="s">
        <v>33527</v>
      </c>
      <c r="K718" t="s">
        <v>42731</v>
      </c>
      <c r="M718" t="s">
        <v>43347</v>
      </c>
      <c r="N718" t="s">
        <v>47424</v>
      </c>
      <c r="O718" t="s">
        <v>47425</v>
      </c>
      <c r="P718">
        <v>0</v>
      </c>
      <c r="Q718">
        <v>2</v>
      </c>
      <c r="R718" t="s">
        <v>47426</v>
      </c>
      <c r="S718" t="s">
        <v>47531</v>
      </c>
      <c r="T718" t="s">
        <v>49189</v>
      </c>
      <c r="U718" t="s">
        <v>50296</v>
      </c>
      <c r="W718" t="s">
        <v>43347</v>
      </c>
      <c r="X718" t="s">
        <v>47428</v>
      </c>
    </row>
    <row r="719" spans="1:24">
      <c r="A719">
        <f>HYPERLINK("https://www.philgeps.gov.ph/GEPSNONPILOT/Tender/SplashBidNoticeAbstractUI.aspx?menuIndex=3&amp;refID=7164452&amp;Result=3","7164452")</f>
        <v>0</v>
      </c>
      <c r="B719" t="s">
        <v>345</v>
      </c>
      <c r="C719" t="s">
        <v>4621</v>
      </c>
      <c r="D719" t="s">
        <v>19074</v>
      </c>
      <c r="E719" t="s">
        <v>19791</v>
      </c>
      <c r="F719" t="s">
        <v>32831</v>
      </c>
      <c r="G719" t="s">
        <v>32839</v>
      </c>
      <c r="H719" t="s">
        <v>32850</v>
      </c>
      <c r="I719" t="s">
        <v>32861</v>
      </c>
      <c r="J719" t="s">
        <v>33528</v>
      </c>
      <c r="K719" t="s">
        <v>42747</v>
      </c>
      <c r="M719" t="s">
        <v>43349</v>
      </c>
      <c r="N719" t="s">
        <v>47424</v>
      </c>
      <c r="O719" t="s">
        <v>47425</v>
      </c>
      <c r="P719">
        <v>0</v>
      </c>
      <c r="Q719">
        <v>16</v>
      </c>
      <c r="R719" t="s">
        <v>47426</v>
      </c>
      <c r="S719" t="s">
        <v>47531</v>
      </c>
      <c r="T719" t="s">
        <v>49193</v>
      </c>
      <c r="U719" t="s">
        <v>50300</v>
      </c>
      <c r="W719" t="s">
        <v>43349</v>
      </c>
      <c r="X719" t="s">
        <v>47428</v>
      </c>
    </row>
    <row r="720" spans="1:24">
      <c r="A720">
        <f>HYPERLINK("https://www.philgeps.gov.ph/GEPSNONPILOT/Tender/SplashBidNoticeAbstractUI.aspx?menuIndex=3&amp;refID=7164451&amp;Result=3","7164451")</f>
        <v>0</v>
      </c>
      <c r="B720" t="s">
        <v>346</v>
      </c>
      <c r="C720" t="s">
        <v>4622</v>
      </c>
      <c r="E720" t="s">
        <v>4622</v>
      </c>
      <c r="F720" t="s">
        <v>32831</v>
      </c>
      <c r="G720" t="s">
        <v>32839</v>
      </c>
      <c r="H720" t="s">
        <v>32849</v>
      </c>
      <c r="I720" t="s">
        <v>4177</v>
      </c>
      <c r="J720" t="s">
        <v>33529</v>
      </c>
      <c r="K720" t="s">
        <v>42732</v>
      </c>
      <c r="M720" t="s">
        <v>43350</v>
      </c>
      <c r="N720" t="s">
        <v>47424</v>
      </c>
      <c r="O720" t="s">
        <v>47425</v>
      </c>
      <c r="P720">
        <v>0</v>
      </c>
      <c r="Q720">
        <v>0</v>
      </c>
      <c r="R720" t="s">
        <v>47426</v>
      </c>
      <c r="S720" t="s">
        <v>47531</v>
      </c>
      <c r="T720" t="s">
        <v>49194</v>
      </c>
      <c r="U720" t="s">
        <v>50301</v>
      </c>
      <c r="W720" t="s">
        <v>43350</v>
      </c>
      <c r="X720" t="s">
        <v>47428</v>
      </c>
    </row>
    <row r="721" spans="1:24">
      <c r="A721">
        <f>HYPERLINK("https://www.philgeps.gov.ph/GEPSNONPILOT/Tender/SplashBidNoticeAbstractUI.aspx?menuIndex=3&amp;refID=7164321&amp;Result=3","7164321")</f>
        <v>0</v>
      </c>
      <c r="B721" t="s">
        <v>347</v>
      </c>
      <c r="C721" t="s">
        <v>4623</v>
      </c>
      <c r="D721" t="s">
        <v>19057</v>
      </c>
      <c r="E721" t="s">
        <v>19792</v>
      </c>
      <c r="F721" t="s">
        <v>32831</v>
      </c>
      <c r="G721" t="s">
        <v>32839</v>
      </c>
      <c r="H721" t="s">
        <v>32848</v>
      </c>
      <c r="I721" t="s">
        <v>7416</v>
      </c>
      <c r="J721" t="s">
        <v>33530</v>
      </c>
      <c r="K721" t="s">
        <v>42726</v>
      </c>
      <c r="M721" t="s">
        <v>43351</v>
      </c>
      <c r="N721" t="s">
        <v>47424</v>
      </c>
      <c r="O721" t="s">
        <v>47425</v>
      </c>
      <c r="P721">
        <v>0</v>
      </c>
      <c r="Q721">
        <v>0</v>
      </c>
      <c r="R721" t="s">
        <v>47426</v>
      </c>
      <c r="S721" t="s">
        <v>47531</v>
      </c>
      <c r="T721" t="s">
        <v>49109</v>
      </c>
      <c r="U721" t="s">
        <v>50302</v>
      </c>
      <c r="V721" t="s">
        <v>62696</v>
      </c>
      <c r="W721" t="s">
        <v>43351</v>
      </c>
      <c r="X721" t="s">
        <v>47428</v>
      </c>
    </row>
    <row r="722" spans="1:24">
      <c r="A722">
        <f>HYPERLINK("https://www.philgeps.gov.ph/GEPSNONPILOT/Tender/SplashBidNoticeAbstractUI.aspx?menuIndex=3&amp;refID=7164448&amp;Result=3","7164448")</f>
        <v>0</v>
      </c>
      <c r="B722" t="s">
        <v>346</v>
      </c>
      <c r="C722" t="s">
        <v>4624</v>
      </c>
      <c r="E722" t="s">
        <v>19793</v>
      </c>
      <c r="F722" t="s">
        <v>32831</v>
      </c>
      <c r="G722" t="s">
        <v>32839</v>
      </c>
      <c r="H722" t="s">
        <v>32849</v>
      </c>
      <c r="I722" t="s">
        <v>4177</v>
      </c>
      <c r="J722" t="s">
        <v>33531</v>
      </c>
      <c r="K722" t="s">
        <v>42782</v>
      </c>
      <c r="M722" t="s">
        <v>43350</v>
      </c>
      <c r="N722" t="s">
        <v>47424</v>
      </c>
      <c r="O722" t="s">
        <v>47425</v>
      </c>
      <c r="P722">
        <v>0</v>
      </c>
      <c r="Q722">
        <v>0</v>
      </c>
      <c r="R722" t="s">
        <v>47426</v>
      </c>
      <c r="S722" t="s">
        <v>47531</v>
      </c>
      <c r="T722" t="s">
        <v>49194</v>
      </c>
      <c r="U722" t="s">
        <v>50303</v>
      </c>
      <c r="W722" t="s">
        <v>43350</v>
      </c>
      <c r="X722" t="s">
        <v>47428</v>
      </c>
    </row>
    <row r="723" spans="1:24">
      <c r="A723">
        <f>HYPERLINK("https://www.philgeps.gov.ph/GEPSNONPILOT/Tender/SplashBidNoticeAbstractUI.aspx?menuIndex=3&amp;refID=7164444&amp;Result=3","7164444")</f>
        <v>0</v>
      </c>
      <c r="B723" t="s">
        <v>346</v>
      </c>
      <c r="C723" t="s">
        <v>4625</v>
      </c>
      <c r="D723" t="s">
        <v>19041</v>
      </c>
      <c r="E723" t="s">
        <v>4625</v>
      </c>
      <c r="F723" t="s">
        <v>32831</v>
      </c>
      <c r="G723" t="s">
        <v>32839</v>
      </c>
      <c r="H723" t="s">
        <v>32849</v>
      </c>
      <c r="I723" t="s">
        <v>4177</v>
      </c>
      <c r="J723" t="s">
        <v>33532</v>
      </c>
      <c r="K723" t="s">
        <v>42783</v>
      </c>
      <c r="M723" t="s">
        <v>43350</v>
      </c>
      <c r="N723" t="s">
        <v>47424</v>
      </c>
      <c r="O723" t="s">
        <v>47425</v>
      </c>
      <c r="P723">
        <v>0</v>
      </c>
      <c r="Q723">
        <v>0</v>
      </c>
      <c r="R723" t="s">
        <v>47426</v>
      </c>
      <c r="S723" t="s">
        <v>47531</v>
      </c>
      <c r="T723" t="s">
        <v>49194</v>
      </c>
      <c r="U723" t="s">
        <v>50304</v>
      </c>
      <c r="W723" t="s">
        <v>43350</v>
      </c>
      <c r="X723" t="s">
        <v>47428</v>
      </c>
    </row>
    <row r="724" spans="1:24">
      <c r="A724">
        <f>HYPERLINK("https://www.philgeps.gov.ph/GEPSNONPILOT/Tender/SplashBidNoticeAbstractUI.aspx?menuIndex=3&amp;refID=7164436&amp;Result=3","7164436")</f>
        <v>0</v>
      </c>
      <c r="B724" t="s">
        <v>348</v>
      </c>
      <c r="C724" t="s">
        <v>4626</v>
      </c>
      <c r="D724" t="s">
        <v>19057</v>
      </c>
      <c r="E724" t="s">
        <v>19211</v>
      </c>
      <c r="F724" t="s">
        <v>32831</v>
      </c>
      <c r="G724" t="s">
        <v>32839</v>
      </c>
      <c r="H724" t="s">
        <v>32848</v>
      </c>
      <c r="I724" t="s">
        <v>7751</v>
      </c>
      <c r="J724" t="s">
        <v>33533</v>
      </c>
      <c r="K724" t="s">
        <v>42748</v>
      </c>
      <c r="M724" t="s">
        <v>43352</v>
      </c>
      <c r="N724" t="s">
        <v>47424</v>
      </c>
      <c r="O724" t="s">
        <v>47425</v>
      </c>
      <c r="P724">
        <v>0</v>
      </c>
      <c r="Q724">
        <v>0</v>
      </c>
      <c r="R724" t="s">
        <v>47426</v>
      </c>
      <c r="S724" t="s">
        <v>47531</v>
      </c>
      <c r="T724" t="s">
        <v>49070</v>
      </c>
      <c r="U724" t="s">
        <v>50305</v>
      </c>
      <c r="W724" t="s">
        <v>43352</v>
      </c>
      <c r="X724" t="s">
        <v>47428</v>
      </c>
    </row>
    <row r="725" spans="1:24">
      <c r="A725">
        <f>HYPERLINK("https://www.philgeps.gov.ph/GEPSNONPILOT/Tender/SplashBidNoticeAbstractUI.aspx?menuIndex=3&amp;refID=7164318&amp;Result=3","7164318")</f>
        <v>0</v>
      </c>
      <c r="B725" t="s">
        <v>343</v>
      </c>
      <c r="C725" t="s">
        <v>4627</v>
      </c>
      <c r="D725" t="s">
        <v>19037</v>
      </c>
      <c r="E725" t="s">
        <v>19645</v>
      </c>
      <c r="F725" t="s">
        <v>32831</v>
      </c>
      <c r="G725" t="s">
        <v>32839</v>
      </c>
      <c r="H725" t="s">
        <v>32848</v>
      </c>
      <c r="I725" t="s">
        <v>7416</v>
      </c>
      <c r="J725" t="s">
        <v>33534</v>
      </c>
      <c r="K725" t="s">
        <v>42731</v>
      </c>
      <c r="M725" t="s">
        <v>43347</v>
      </c>
      <c r="N725" t="s">
        <v>47424</v>
      </c>
      <c r="O725" t="s">
        <v>47425</v>
      </c>
      <c r="P725">
        <v>0</v>
      </c>
      <c r="Q725">
        <v>2</v>
      </c>
      <c r="R725" t="s">
        <v>47426</v>
      </c>
      <c r="S725" t="s">
        <v>47531</v>
      </c>
      <c r="T725" t="s">
        <v>49189</v>
      </c>
      <c r="U725" t="s">
        <v>50296</v>
      </c>
      <c r="W725" t="s">
        <v>43347</v>
      </c>
      <c r="X725" t="s">
        <v>47428</v>
      </c>
    </row>
    <row r="726" spans="1:24">
      <c r="A726">
        <f>HYPERLINK("https://www.philgeps.gov.ph/GEPSNONPILOT/Tender/SplashBidNoticeAbstractUI.aspx?menuIndex=3&amp;refID=7164439&amp;Result=3","7164439")</f>
        <v>0</v>
      </c>
      <c r="B726" t="s">
        <v>346</v>
      </c>
      <c r="C726" t="s">
        <v>4628</v>
      </c>
      <c r="D726" t="s">
        <v>19041</v>
      </c>
      <c r="E726" t="s">
        <v>4628</v>
      </c>
      <c r="F726" t="s">
        <v>32831</v>
      </c>
      <c r="G726" t="s">
        <v>32839</v>
      </c>
      <c r="H726" t="s">
        <v>32849</v>
      </c>
      <c r="I726" t="s">
        <v>4177</v>
      </c>
      <c r="J726" t="s">
        <v>33535</v>
      </c>
      <c r="K726" t="s">
        <v>42784</v>
      </c>
      <c r="M726" t="s">
        <v>43350</v>
      </c>
      <c r="N726" t="s">
        <v>47424</v>
      </c>
      <c r="O726" t="s">
        <v>47425</v>
      </c>
      <c r="P726">
        <v>0</v>
      </c>
      <c r="Q726">
        <v>0</v>
      </c>
      <c r="R726" t="s">
        <v>47426</v>
      </c>
      <c r="S726" t="s">
        <v>47531</v>
      </c>
      <c r="T726" t="s">
        <v>49194</v>
      </c>
      <c r="U726" t="s">
        <v>50306</v>
      </c>
      <c r="W726" t="s">
        <v>43350</v>
      </c>
      <c r="X726" t="s">
        <v>47428</v>
      </c>
    </row>
    <row r="727" spans="1:24">
      <c r="A727">
        <f>HYPERLINK("https://www.philgeps.gov.ph/GEPSNONPILOT/Tender/SplashBidNoticeAbstractUI.aspx?menuIndex=3&amp;refID=7164432&amp;Result=3","7164432")</f>
        <v>0</v>
      </c>
      <c r="B727" t="s">
        <v>349</v>
      </c>
      <c r="C727" t="s">
        <v>4629</v>
      </c>
      <c r="D727" t="s">
        <v>19023</v>
      </c>
      <c r="E727" t="s">
        <v>19794</v>
      </c>
      <c r="F727" t="s">
        <v>32831</v>
      </c>
      <c r="G727" t="s">
        <v>32839</v>
      </c>
      <c r="H727" t="s">
        <v>32849</v>
      </c>
      <c r="I727" t="s">
        <v>4177</v>
      </c>
      <c r="J727" t="s">
        <v>33536</v>
      </c>
      <c r="K727" t="s">
        <v>42749</v>
      </c>
      <c r="M727" t="s">
        <v>43353</v>
      </c>
      <c r="N727" t="s">
        <v>47424</v>
      </c>
      <c r="O727" t="s">
        <v>47425</v>
      </c>
      <c r="P727">
        <v>0</v>
      </c>
      <c r="Q727">
        <v>0</v>
      </c>
      <c r="R727" t="s">
        <v>47426</v>
      </c>
      <c r="S727" t="s">
        <v>47531</v>
      </c>
      <c r="T727" t="s">
        <v>49065</v>
      </c>
      <c r="U727" t="s">
        <v>50307</v>
      </c>
      <c r="V727" t="s">
        <v>62697</v>
      </c>
      <c r="W727" t="s">
        <v>43353</v>
      </c>
      <c r="X727" t="s">
        <v>47428</v>
      </c>
    </row>
    <row r="728" spans="1:24">
      <c r="A728">
        <f>HYPERLINK("https://www.philgeps.gov.ph/GEPSNONPILOT/Tender/SplashBidNoticeAbstractUI.aspx?menuIndex=3&amp;refID=7164427&amp;Result=3","7164427")</f>
        <v>0</v>
      </c>
      <c r="B728" t="s">
        <v>350</v>
      </c>
      <c r="C728" t="s">
        <v>4630</v>
      </c>
      <c r="D728" t="s">
        <v>19038</v>
      </c>
      <c r="E728" t="s">
        <v>19795</v>
      </c>
      <c r="F728" t="s">
        <v>32831</v>
      </c>
      <c r="G728" t="s">
        <v>32840</v>
      </c>
      <c r="H728" t="s">
        <v>32848</v>
      </c>
      <c r="I728" t="s">
        <v>4776</v>
      </c>
      <c r="J728" t="s">
        <v>33537</v>
      </c>
      <c r="K728" t="s">
        <v>42726</v>
      </c>
      <c r="M728" t="s">
        <v>43354</v>
      </c>
      <c r="N728" t="s">
        <v>47424</v>
      </c>
      <c r="O728" t="s">
        <v>47425</v>
      </c>
      <c r="P728">
        <v>0</v>
      </c>
      <c r="Q728">
        <v>1</v>
      </c>
      <c r="R728" t="s">
        <v>47426</v>
      </c>
      <c r="S728" t="s">
        <v>47531</v>
      </c>
      <c r="T728" t="s">
        <v>49105</v>
      </c>
      <c r="U728" t="s">
        <v>50308</v>
      </c>
      <c r="V728" t="s">
        <v>62698</v>
      </c>
      <c r="W728" t="s">
        <v>43354</v>
      </c>
      <c r="X728" t="s">
        <v>47428</v>
      </c>
    </row>
    <row r="729" spans="1:24">
      <c r="A729">
        <f>HYPERLINK("https://www.philgeps.gov.ph/GEPSNONPILOT/Tender/SplashBidNoticeAbstractUI.aspx?menuIndex=3&amp;refID=7164446&amp;Result=3","7164446")</f>
        <v>0</v>
      </c>
      <c r="B729" t="s">
        <v>345</v>
      </c>
      <c r="C729" t="s">
        <v>4631</v>
      </c>
      <c r="D729" t="s">
        <v>19074</v>
      </c>
      <c r="E729" t="s">
        <v>19796</v>
      </c>
      <c r="F729" t="s">
        <v>32831</v>
      </c>
      <c r="G729" t="s">
        <v>32839</v>
      </c>
      <c r="H729" t="s">
        <v>32850</v>
      </c>
      <c r="I729" t="s">
        <v>32861</v>
      </c>
      <c r="J729" t="s">
        <v>33472</v>
      </c>
      <c r="K729" t="s">
        <v>42747</v>
      </c>
      <c r="M729" t="s">
        <v>43349</v>
      </c>
      <c r="N729" t="s">
        <v>47424</v>
      </c>
      <c r="O729" t="s">
        <v>47425</v>
      </c>
      <c r="P729">
        <v>0</v>
      </c>
      <c r="Q729">
        <v>16</v>
      </c>
      <c r="R729" t="s">
        <v>47426</v>
      </c>
      <c r="S729" t="s">
        <v>47531</v>
      </c>
      <c r="T729" t="s">
        <v>49193</v>
      </c>
      <c r="U729" t="s">
        <v>50309</v>
      </c>
      <c r="W729" t="s">
        <v>43349</v>
      </c>
      <c r="X729" t="s">
        <v>47428</v>
      </c>
    </row>
    <row r="730" spans="1:24">
      <c r="A730">
        <f>HYPERLINK("https://www.philgeps.gov.ph/GEPSNONPILOT/Tender/SplashBidNoticeAbstractUI.aspx?menuIndex=3&amp;refID=7164416&amp;Result=3","7164416")</f>
        <v>0</v>
      </c>
      <c r="B730" t="s">
        <v>351</v>
      </c>
      <c r="C730" t="s">
        <v>4632</v>
      </c>
      <c r="D730" t="s">
        <v>19045</v>
      </c>
      <c r="E730" t="s">
        <v>19797</v>
      </c>
      <c r="F730" t="s">
        <v>32831</v>
      </c>
      <c r="G730" t="s">
        <v>32839</v>
      </c>
      <c r="H730" t="s">
        <v>32850</v>
      </c>
      <c r="I730" t="s">
        <v>8577</v>
      </c>
      <c r="J730" t="s">
        <v>33291</v>
      </c>
      <c r="K730" t="s">
        <v>42731</v>
      </c>
      <c r="M730" t="s">
        <v>43355</v>
      </c>
      <c r="N730" t="s">
        <v>47424</v>
      </c>
      <c r="O730" t="s">
        <v>47425</v>
      </c>
      <c r="P730">
        <v>0</v>
      </c>
      <c r="Q730">
        <v>0</v>
      </c>
      <c r="R730" t="s">
        <v>47426</v>
      </c>
      <c r="S730" t="s">
        <v>47531</v>
      </c>
      <c r="T730" t="s">
        <v>49159</v>
      </c>
      <c r="U730" t="s">
        <v>50310</v>
      </c>
      <c r="W730" t="s">
        <v>43355</v>
      </c>
      <c r="X730" t="s">
        <v>47428</v>
      </c>
    </row>
    <row r="731" spans="1:24">
      <c r="A731">
        <f>HYPERLINK("https://www.philgeps.gov.ph/GEPSNONPILOT/Tender/SplashBidNoticeAbstractUI.aspx?menuIndex=3&amp;refID=7164433&amp;Result=3","7164433")</f>
        <v>0</v>
      </c>
      <c r="B731" t="s">
        <v>352</v>
      </c>
      <c r="C731" t="s">
        <v>4633</v>
      </c>
      <c r="D731" t="s">
        <v>19017</v>
      </c>
      <c r="E731" t="s">
        <v>19798</v>
      </c>
      <c r="F731" t="s">
        <v>32831</v>
      </c>
      <c r="G731" t="s">
        <v>32838</v>
      </c>
      <c r="H731" t="s">
        <v>32848</v>
      </c>
      <c r="I731" t="s">
        <v>32907</v>
      </c>
      <c r="J731" t="s">
        <v>33538</v>
      </c>
      <c r="K731" t="s">
        <v>42730</v>
      </c>
      <c r="M731" t="s">
        <v>43356</v>
      </c>
      <c r="N731" t="s">
        <v>47424</v>
      </c>
      <c r="O731" t="s">
        <v>47425</v>
      </c>
      <c r="P731">
        <v>0</v>
      </c>
      <c r="Q731">
        <v>2</v>
      </c>
      <c r="R731" t="s">
        <v>47426</v>
      </c>
      <c r="S731" t="s">
        <v>47531</v>
      </c>
      <c r="T731" t="s">
        <v>49068</v>
      </c>
      <c r="U731" t="s">
        <v>50311</v>
      </c>
      <c r="W731" t="s">
        <v>43356</v>
      </c>
      <c r="X731" t="s">
        <v>47428</v>
      </c>
    </row>
    <row r="732" spans="1:24">
      <c r="A732">
        <f>HYPERLINK("https://www.philgeps.gov.ph/GEPSNONPILOT/Tender/SplashBidNoticeAbstractUI.aspx?menuIndex=3&amp;refID=7164408&amp;Result=3","7164408")</f>
        <v>0</v>
      </c>
      <c r="B732" t="s">
        <v>353</v>
      </c>
      <c r="C732" t="s">
        <v>4634</v>
      </c>
      <c r="D732" t="s">
        <v>19017</v>
      </c>
      <c r="E732" t="s">
        <v>19799</v>
      </c>
      <c r="F732" t="s">
        <v>32831</v>
      </c>
      <c r="G732" t="s">
        <v>32839</v>
      </c>
      <c r="H732" t="s">
        <v>32848</v>
      </c>
      <c r="I732" t="s">
        <v>7416</v>
      </c>
      <c r="J732" t="s">
        <v>33539</v>
      </c>
      <c r="K732" t="s">
        <v>42726</v>
      </c>
      <c r="M732" t="s">
        <v>43357</v>
      </c>
      <c r="N732" t="s">
        <v>47424</v>
      </c>
      <c r="O732" t="s">
        <v>47425</v>
      </c>
      <c r="P732">
        <v>0</v>
      </c>
      <c r="Q732">
        <v>5</v>
      </c>
      <c r="R732" t="s">
        <v>47426</v>
      </c>
      <c r="S732" t="s">
        <v>47531</v>
      </c>
      <c r="T732" t="s">
        <v>49070</v>
      </c>
      <c r="U732" t="s">
        <v>50312</v>
      </c>
      <c r="W732" t="s">
        <v>43357</v>
      </c>
      <c r="X732" t="s">
        <v>47428</v>
      </c>
    </row>
    <row r="733" spans="1:24">
      <c r="A733">
        <f>HYPERLINK("https://www.philgeps.gov.ph/GEPSNONPILOT/Tender/SplashBidNoticeAbstractUI.aspx?menuIndex=3&amp;refID=7164386&amp;Result=3","7164386")</f>
        <v>0</v>
      </c>
      <c r="B733" t="s">
        <v>341</v>
      </c>
      <c r="C733" t="s">
        <v>4635</v>
      </c>
      <c r="D733" t="s">
        <v>19035</v>
      </c>
      <c r="E733" t="s">
        <v>19800</v>
      </c>
      <c r="F733" t="s">
        <v>32831</v>
      </c>
      <c r="G733" t="s">
        <v>32838</v>
      </c>
      <c r="H733" t="s">
        <v>32848</v>
      </c>
      <c r="I733" t="s">
        <v>4487</v>
      </c>
      <c r="J733" t="s">
        <v>33540</v>
      </c>
      <c r="K733" t="s">
        <v>42731</v>
      </c>
      <c r="M733" t="s">
        <v>43344</v>
      </c>
      <c r="N733" t="s">
        <v>47424</v>
      </c>
      <c r="O733" t="s">
        <v>47425</v>
      </c>
      <c r="P733">
        <v>0</v>
      </c>
      <c r="Q733">
        <v>7</v>
      </c>
      <c r="R733" t="s">
        <v>47426</v>
      </c>
      <c r="S733" t="s">
        <v>47531</v>
      </c>
      <c r="T733" t="s">
        <v>49100</v>
      </c>
      <c r="U733" t="s">
        <v>50313</v>
      </c>
      <c r="W733" t="s">
        <v>43344</v>
      </c>
      <c r="X733" t="s">
        <v>47428</v>
      </c>
    </row>
    <row r="734" spans="1:24">
      <c r="A734">
        <f>HYPERLINK("https://www.philgeps.gov.ph/GEPSNONPILOT/Tender/SplashBidNoticeAbstractUI.aspx?menuIndex=3&amp;refID=7164403&amp;Result=3","7164403")</f>
        <v>0</v>
      </c>
      <c r="B734" t="s">
        <v>354</v>
      </c>
      <c r="C734" t="s">
        <v>4636</v>
      </c>
      <c r="D734" t="s">
        <v>19038</v>
      </c>
      <c r="E734" t="s">
        <v>19555</v>
      </c>
      <c r="F734" t="s">
        <v>32831</v>
      </c>
      <c r="G734" t="s">
        <v>32839</v>
      </c>
      <c r="H734" t="s">
        <v>32848</v>
      </c>
      <c r="I734" t="s">
        <v>7416</v>
      </c>
      <c r="J734" t="s">
        <v>33541</v>
      </c>
      <c r="K734" t="s">
        <v>42726</v>
      </c>
      <c r="M734" t="s">
        <v>43358</v>
      </c>
      <c r="N734" t="s">
        <v>47424</v>
      </c>
      <c r="O734" t="s">
        <v>47425</v>
      </c>
      <c r="P734">
        <v>0</v>
      </c>
      <c r="Q734">
        <v>1</v>
      </c>
      <c r="R734" t="s">
        <v>47426</v>
      </c>
      <c r="S734" t="s">
        <v>47531</v>
      </c>
      <c r="T734" t="s">
        <v>49070</v>
      </c>
      <c r="U734" t="s">
        <v>50314</v>
      </c>
      <c r="W734" t="s">
        <v>43358</v>
      </c>
      <c r="X734" t="s">
        <v>47428</v>
      </c>
    </row>
    <row r="735" spans="1:24">
      <c r="A735">
        <f>HYPERLINK("https://www.philgeps.gov.ph/GEPSNONPILOT/Tender/SplashBidNoticeAbstractUI.aspx?menuIndex=3&amp;refID=7164398&amp;Result=3","7164398")</f>
        <v>0</v>
      </c>
      <c r="B735" t="s">
        <v>353</v>
      </c>
      <c r="C735" t="s">
        <v>4637</v>
      </c>
      <c r="D735" t="s">
        <v>19017</v>
      </c>
      <c r="E735" t="s">
        <v>19801</v>
      </c>
      <c r="F735" t="s">
        <v>32831</v>
      </c>
      <c r="G735" t="s">
        <v>32839</v>
      </c>
      <c r="H735" t="s">
        <v>32848</v>
      </c>
      <c r="I735" t="s">
        <v>4438</v>
      </c>
      <c r="J735" t="s">
        <v>33364</v>
      </c>
      <c r="K735" t="s">
        <v>42726</v>
      </c>
      <c r="M735" t="s">
        <v>43357</v>
      </c>
      <c r="N735" t="s">
        <v>47424</v>
      </c>
      <c r="O735" t="s">
        <v>47425</v>
      </c>
      <c r="P735">
        <v>0</v>
      </c>
      <c r="Q735">
        <v>5</v>
      </c>
      <c r="R735" t="s">
        <v>47426</v>
      </c>
      <c r="S735" t="s">
        <v>47531</v>
      </c>
      <c r="T735" t="s">
        <v>49070</v>
      </c>
      <c r="U735" t="s">
        <v>50312</v>
      </c>
      <c r="W735" t="s">
        <v>43357</v>
      </c>
      <c r="X735" t="s">
        <v>47428</v>
      </c>
    </row>
    <row r="736" spans="1:24">
      <c r="A736">
        <f>HYPERLINK("https://www.philgeps.gov.ph/GEPSNONPILOT/Tender/SplashBidNoticeAbstractUI.aspx?menuIndex=3&amp;refID=7164396&amp;Result=3","7164396")</f>
        <v>0</v>
      </c>
      <c r="B736" t="s">
        <v>355</v>
      </c>
      <c r="C736" t="s">
        <v>4638</v>
      </c>
      <c r="D736" t="s">
        <v>19023</v>
      </c>
      <c r="E736" t="s">
        <v>19802</v>
      </c>
      <c r="F736" t="s">
        <v>32831</v>
      </c>
      <c r="G736" t="s">
        <v>32839</v>
      </c>
      <c r="H736" t="s">
        <v>32848</v>
      </c>
      <c r="I736" t="s">
        <v>8577</v>
      </c>
      <c r="J736" t="s">
        <v>33528</v>
      </c>
      <c r="K736" t="s">
        <v>42763</v>
      </c>
      <c r="M736" t="s">
        <v>43359</v>
      </c>
      <c r="N736" t="s">
        <v>47424</v>
      </c>
      <c r="O736" t="s">
        <v>47425</v>
      </c>
      <c r="P736">
        <v>0</v>
      </c>
      <c r="Q736">
        <v>2</v>
      </c>
      <c r="R736" t="s">
        <v>47426</v>
      </c>
      <c r="S736" t="s">
        <v>47531</v>
      </c>
      <c r="T736" t="s">
        <v>49073</v>
      </c>
      <c r="U736" t="s">
        <v>50315</v>
      </c>
      <c r="W736" t="s">
        <v>43359</v>
      </c>
      <c r="X736" t="s">
        <v>47428</v>
      </c>
    </row>
    <row r="737" spans="1:24">
      <c r="A737">
        <f>HYPERLINK("https://www.philgeps.gov.ph/GEPSNONPILOT/Tender/SplashBidNoticeAbstractUI.aspx?menuIndex=3&amp;refID=7164429&amp;Result=3","7164429")</f>
        <v>0</v>
      </c>
      <c r="B737" t="s">
        <v>356</v>
      </c>
      <c r="C737" t="s">
        <v>4630</v>
      </c>
      <c r="D737" t="s">
        <v>19038</v>
      </c>
      <c r="E737" t="s">
        <v>19803</v>
      </c>
      <c r="F737" t="s">
        <v>32831</v>
      </c>
      <c r="G737" t="s">
        <v>32840</v>
      </c>
      <c r="H737" t="s">
        <v>32848</v>
      </c>
      <c r="I737" t="s">
        <v>4776</v>
      </c>
      <c r="J737" t="s">
        <v>33372</v>
      </c>
      <c r="K737" t="s">
        <v>42726</v>
      </c>
      <c r="M737" t="s">
        <v>43360</v>
      </c>
      <c r="N737" t="s">
        <v>47424</v>
      </c>
      <c r="O737" t="s">
        <v>47425</v>
      </c>
      <c r="P737">
        <v>0</v>
      </c>
      <c r="Q737">
        <v>0</v>
      </c>
      <c r="R737" t="s">
        <v>47426</v>
      </c>
      <c r="S737" t="s">
        <v>47531</v>
      </c>
      <c r="T737" t="s">
        <v>49105</v>
      </c>
      <c r="U737" t="s">
        <v>50316</v>
      </c>
      <c r="V737" t="s">
        <v>62699</v>
      </c>
      <c r="W737" t="s">
        <v>43360</v>
      </c>
      <c r="X737" t="s">
        <v>47428</v>
      </c>
    </row>
    <row r="738" spans="1:24">
      <c r="A738">
        <f>HYPERLINK("https://www.philgeps.gov.ph/GEPSNONPILOT/Tender/SplashBidNoticeAbstractUI.aspx?menuIndex=3&amp;refID=7164535&amp;Result=3","7164535")</f>
        <v>0</v>
      </c>
      <c r="B738" t="s">
        <v>357</v>
      </c>
      <c r="C738" t="s">
        <v>4639</v>
      </c>
      <c r="D738" t="s">
        <v>19019</v>
      </c>
      <c r="E738" t="s">
        <v>19804</v>
      </c>
      <c r="F738" t="s">
        <v>32831</v>
      </c>
      <c r="G738" t="s">
        <v>32838</v>
      </c>
      <c r="H738" t="s">
        <v>32848</v>
      </c>
      <c r="I738" t="s">
        <v>32898</v>
      </c>
      <c r="J738" t="s">
        <v>33542</v>
      </c>
      <c r="K738" t="s">
        <v>42727</v>
      </c>
      <c r="M738" t="s">
        <v>43361</v>
      </c>
      <c r="N738" t="s">
        <v>47424</v>
      </c>
      <c r="O738" t="s">
        <v>47425</v>
      </c>
      <c r="P738">
        <v>0</v>
      </c>
      <c r="Q738">
        <v>2</v>
      </c>
      <c r="R738" t="s">
        <v>47426</v>
      </c>
      <c r="S738" t="s">
        <v>47531</v>
      </c>
      <c r="T738" t="s">
        <v>49068</v>
      </c>
      <c r="U738" t="s">
        <v>50317</v>
      </c>
      <c r="V738" t="s">
        <v>62700</v>
      </c>
      <c r="W738" t="s">
        <v>43361</v>
      </c>
      <c r="X738" t="s">
        <v>47428</v>
      </c>
    </row>
    <row r="739" spans="1:24">
      <c r="A739">
        <f>HYPERLINK("https://www.philgeps.gov.ph/GEPSNONPILOT/Tender/SplashBidNoticeAbstractUI.aspx?menuIndex=3&amp;refID=7164534&amp;Result=3","7164534")</f>
        <v>0</v>
      </c>
      <c r="B739" t="s">
        <v>357</v>
      </c>
      <c r="C739" t="s">
        <v>4640</v>
      </c>
      <c r="D739" t="s">
        <v>19019</v>
      </c>
      <c r="E739" t="s">
        <v>19805</v>
      </c>
      <c r="F739" t="s">
        <v>32831</v>
      </c>
      <c r="G739" t="s">
        <v>32840</v>
      </c>
      <c r="H739" t="s">
        <v>32848</v>
      </c>
      <c r="I739" t="s">
        <v>9577</v>
      </c>
      <c r="J739" t="s">
        <v>33543</v>
      </c>
      <c r="K739" t="s">
        <v>42727</v>
      </c>
      <c r="M739" t="s">
        <v>43361</v>
      </c>
      <c r="N739" t="s">
        <v>47424</v>
      </c>
      <c r="O739" t="s">
        <v>47425</v>
      </c>
      <c r="P739">
        <v>0</v>
      </c>
      <c r="Q739">
        <v>5</v>
      </c>
      <c r="R739" t="s">
        <v>47426</v>
      </c>
      <c r="S739" t="s">
        <v>47531</v>
      </c>
      <c r="T739" t="s">
        <v>49068</v>
      </c>
      <c r="U739" t="s">
        <v>50318</v>
      </c>
      <c r="V739" t="s">
        <v>62700</v>
      </c>
      <c r="W739" t="s">
        <v>43361</v>
      </c>
      <c r="X739" t="s">
        <v>47428</v>
      </c>
    </row>
    <row r="740" spans="1:24">
      <c r="A740">
        <f>HYPERLINK("https://www.philgeps.gov.ph/GEPSNONPILOT/Tender/SplashBidNoticeAbstractUI.aspx?menuIndex=3&amp;refID=7164372&amp;Result=3","7164372")</f>
        <v>0</v>
      </c>
      <c r="B740" t="s">
        <v>342</v>
      </c>
      <c r="C740" t="s">
        <v>4641</v>
      </c>
      <c r="D740" t="s">
        <v>19047</v>
      </c>
      <c r="E740" t="s">
        <v>19806</v>
      </c>
      <c r="F740" t="s">
        <v>32831</v>
      </c>
      <c r="G740" t="s">
        <v>32838</v>
      </c>
      <c r="H740" t="s">
        <v>32848</v>
      </c>
      <c r="I740" t="s">
        <v>8577</v>
      </c>
      <c r="J740" t="s">
        <v>33544</v>
      </c>
      <c r="K740" t="s">
        <v>42732</v>
      </c>
      <c r="M740" t="s">
        <v>43345</v>
      </c>
      <c r="N740" t="s">
        <v>47424</v>
      </c>
      <c r="O740" t="s">
        <v>47425</v>
      </c>
      <c r="P740">
        <v>0</v>
      </c>
      <c r="Q740">
        <v>2</v>
      </c>
      <c r="R740" t="s">
        <v>47426</v>
      </c>
      <c r="S740" t="s">
        <v>47531</v>
      </c>
      <c r="T740" t="s">
        <v>49056</v>
      </c>
      <c r="U740" t="s">
        <v>50291</v>
      </c>
      <c r="W740" t="s">
        <v>64436</v>
      </c>
      <c r="X740" t="s">
        <v>47428</v>
      </c>
    </row>
    <row r="741" spans="1:24">
      <c r="A741">
        <f>HYPERLINK("https://www.philgeps.gov.ph/GEPSNONPILOT/Tender/SplashBidNoticeAbstractUI.aspx?menuIndex=3&amp;refID=7164532&amp;Result=3","7164532")</f>
        <v>0</v>
      </c>
      <c r="B741" t="s">
        <v>357</v>
      </c>
      <c r="C741" t="s">
        <v>4642</v>
      </c>
      <c r="D741" t="s">
        <v>19019</v>
      </c>
      <c r="E741" t="s">
        <v>19807</v>
      </c>
      <c r="F741" t="s">
        <v>32831</v>
      </c>
      <c r="G741" t="s">
        <v>32838</v>
      </c>
      <c r="H741" t="s">
        <v>32848</v>
      </c>
      <c r="I741" t="s">
        <v>4487</v>
      </c>
      <c r="J741" t="s">
        <v>33090</v>
      </c>
      <c r="K741" t="s">
        <v>42727</v>
      </c>
      <c r="M741" t="s">
        <v>43361</v>
      </c>
      <c r="N741" t="s">
        <v>47424</v>
      </c>
      <c r="O741" t="s">
        <v>47425</v>
      </c>
      <c r="P741">
        <v>0</v>
      </c>
      <c r="Q741">
        <v>8</v>
      </c>
      <c r="R741" t="s">
        <v>47426</v>
      </c>
      <c r="S741" t="s">
        <v>47531</v>
      </c>
      <c r="T741" t="s">
        <v>49068</v>
      </c>
      <c r="U741" t="s">
        <v>50319</v>
      </c>
      <c r="V741" t="s">
        <v>62700</v>
      </c>
      <c r="W741" t="s">
        <v>43361</v>
      </c>
      <c r="X741" t="s">
        <v>47428</v>
      </c>
    </row>
    <row r="742" spans="1:24">
      <c r="A742">
        <f>HYPERLINK("https://www.philgeps.gov.ph/GEPSNONPILOT/Tender/SplashBidNoticeAbstractUI.aspx?menuIndex=3&amp;refID=7164530&amp;Result=3","7164530")</f>
        <v>0</v>
      </c>
      <c r="B742" t="s">
        <v>358</v>
      </c>
      <c r="C742" t="s">
        <v>4643</v>
      </c>
      <c r="D742" t="s">
        <v>19025</v>
      </c>
      <c r="E742" t="s">
        <v>19808</v>
      </c>
      <c r="F742" t="s">
        <v>32831</v>
      </c>
      <c r="G742" t="s">
        <v>32843</v>
      </c>
      <c r="H742" t="s">
        <v>32848</v>
      </c>
      <c r="I742" t="s">
        <v>32857</v>
      </c>
      <c r="J742" t="s">
        <v>33081</v>
      </c>
      <c r="K742" t="s">
        <v>42732</v>
      </c>
      <c r="M742" t="s">
        <v>43362</v>
      </c>
      <c r="N742" t="s">
        <v>47424</v>
      </c>
      <c r="O742" t="s">
        <v>47425</v>
      </c>
      <c r="P742">
        <v>0</v>
      </c>
      <c r="Q742">
        <v>3</v>
      </c>
      <c r="R742" t="s">
        <v>47426</v>
      </c>
      <c r="S742" t="s">
        <v>47531</v>
      </c>
      <c r="T742" t="s">
        <v>49056</v>
      </c>
      <c r="U742" t="s">
        <v>50320</v>
      </c>
      <c r="W742" t="s">
        <v>43362</v>
      </c>
      <c r="X742" t="s">
        <v>47428</v>
      </c>
    </row>
    <row r="743" spans="1:24">
      <c r="A743">
        <f>HYPERLINK("https://www.philgeps.gov.ph/GEPSNONPILOT/Tender/SplashBidNoticeAbstractUI.aspx?menuIndex=3&amp;refID=7164529&amp;Result=3","7164529")</f>
        <v>0</v>
      </c>
      <c r="B743" t="s">
        <v>357</v>
      </c>
      <c r="C743" t="s">
        <v>4644</v>
      </c>
      <c r="D743" t="s">
        <v>19019</v>
      </c>
      <c r="E743" t="s">
        <v>19809</v>
      </c>
      <c r="F743" t="s">
        <v>32831</v>
      </c>
      <c r="G743" t="s">
        <v>32840</v>
      </c>
      <c r="H743" t="s">
        <v>32848</v>
      </c>
      <c r="I743" t="s">
        <v>7416</v>
      </c>
      <c r="J743" t="s">
        <v>33545</v>
      </c>
      <c r="K743" t="s">
        <v>42727</v>
      </c>
      <c r="M743" t="s">
        <v>43361</v>
      </c>
      <c r="N743" t="s">
        <v>47424</v>
      </c>
      <c r="O743" t="s">
        <v>47425</v>
      </c>
      <c r="P743">
        <v>0</v>
      </c>
      <c r="Q743">
        <v>1</v>
      </c>
      <c r="R743" t="s">
        <v>47426</v>
      </c>
      <c r="S743" t="s">
        <v>47531</v>
      </c>
      <c r="T743" t="s">
        <v>49068</v>
      </c>
      <c r="U743" t="s">
        <v>50321</v>
      </c>
      <c r="V743" t="s">
        <v>62700</v>
      </c>
      <c r="W743" t="s">
        <v>43361</v>
      </c>
      <c r="X743" t="s">
        <v>47428</v>
      </c>
    </row>
    <row r="744" spans="1:24">
      <c r="A744">
        <f>HYPERLINK("https://www.philgeps.gov.ph/GEPSNONPILOT/Tender/SplashBidNoticeAbstractUI.aspx?menuIndex=3&amp;refID=7164527&amp;Result=3","7164527")</f>
        <v>0</v>
      </c>
      <c r="B744" t="s">
        <v>357</v>
      </c>
      <c r="C744" t="s">
        <v>4645</v>
      </c>
      <c r="D744" t="s">
        <v>19019</v>
      </c>
      <c r="E744" t="s">
        <v>19810</v>
      </c>
      <c r="F744" t="s">
        <v>32831</v>
      </c>
      <c r="G744" t="s">
        <v>32838</v>
      </c>
      <c r="H744" t="s">
        <v>32848</v>
      </c>
      <c r="I744" t="s">
        <v>4487</v>
      </c>
      <c r="J744" t="s">
        <v>33317</v>
      </c>
      <c r="K744" t="s">
        <v>42727</v>
      </c>
      <c r="M744" t="s">
        <v>43361</v>
      </c>
      <c r="N744" t="s">
        <v>47424</v>
      </c>
      <c r="O744" t="s">
        <v>47425</v>
      </c>
      <c r="P744">
        <v>0</v>
      </c>
      <c r="Q744">
        <v>3</v>
      </c>
      <c r="R744" t="s">
        <v>47426</v>
      </c>
      <c r="S744" t="s">
        <v>47531</v>
      </c>
      <c r="T744" t="s">
        <v>49068</v>
      </c>
      <c r="U744" t="s">
        <v>50322</v>
      </c>
      <c r="V744" t="s">
        <v>62700</v>
      </c>
      <c r="W744" t="s">
        <v>43361</v>
      </c>
      <c r="X744" t="s">
        <v>47428</v>
      </c>
    </row>
    <row r="745" spans="1:24">
      <c r="A745">
        <f>HYPERLINK("https://www.philgeps.gov.ph/GEPSNONPILOT/Tender/SplashBidNoticeAbstractUI.aspx?menuIndex=3&amp;refID=7164525&amp;Result=3","7164525")</f>
        <v>0</v>
      </c>
      <c r="B745" t="s">
        <v>359</v>
      </c>
      <c r="C745" t="s">
        <v>4646</v>
      </c>
      <c r="D745" t="s">
        <v>19057</v>
      </c>
      <c r="E745" t="s">
        <v>19811</v>
      </c>
      <c r="F745" t="s">
        <v>32831</v>
      </c>
      <c r="G745" t="s">
        <v>32839</v>
      </c>
      <c r="H745" t="s">
        <v>32848</v>
      </c>
      <c r="I745" t="s">
        <v>4222</v>
      </c>
      <c r="J745" t="s">
        <v>33546</v>
      </c>
      <c r="K745" t="s">
        <v>42726</v>
      </c>
      <c r="M745" t="s">
        <v>43363</v>
      </c>
      <c r="N745" t="s">
        <v>47424</v>
      </c>
      <c r="O745" t="s">
        <v>47425</v>
      </c>
      <c r="P745">
        <v>0</v>
      </c>
      <c r="Q745">
        <v>0</v>
      </c>
      <c r="R745" t="s">
        <v>47426</v>
      </c>
      <c r="S745" t="s">
        <v>47531</v>
      </c>
      <c r="T745" t="s">
        <v>49091</v>
      </c>
      <c r="U745" t="s">
        <v>50323</v>
      </c>
      <c r="W745" t="s">
        <v>43363</v>
      </c>
      <c r="X745" t="s">
        <v>47428</v>
      </c>
    </row>
    <row r="746" spans="1:24">
      <c r="A746">
        <f>HYPERLINK("https://www.philgeps.gov.ph/GEPSNONPILOT/Tender/SplashBidNoticeAbstractUI.aspx?menuIndex=3&amp;refID=7164319&amp;Result=3","7164319")</f>
        <v>0</v>
      </c>
      <c r="B746" t="s">
        <v>360</v>
      </c>
      <c r="C746" t="s">
        <v>4647</v>
      </c>
      <c r="D746" t="s">
        <v>19057</v>
      </c>
      <c r="E746" t="s">
        <v>19219</v>
      </c>
      <c r="F746" t="s">
        <v>32831</v>
      </c>
      <c r="G746" t="s">
        <v>32839</v>
      </c>
      <c r="H746" t="s">
        <v>32848</v>
      </c>
      <c r="I746" t="s">
        <v>7416</v>
      </c>
      <c r="J746" t="s">
        <v>33547</v>
      </c>
      <c r="K746" t="s">
        <v>42726</v>
      </c>
      <c r="M746" t="s">
        <v>43364</v>
      </c>
      <c r="N746" t="s">
        <v>47424</v>
      </c>
      <c r="O746" t="s">
        <v>47425</v>
      </c>
      <c r="P746">
        <v>0</v>
      </c>
      <c r="Q746">
        <v>0</v>
      </c>
      <c r="R746" t="s">
        <v>47426</v>
      </c>
      <c r="S746" t="s">
        <v>47531</v>
      </c>
      <c r="T746" t="s">
        <v>49091</v>
      </c>
      <c r="U746" t="s">
        <v>50324</v>
      </c>
      <c r="W746" t="s">
        <v>43364</v>
      </c>
      <c r="X746" t="s">
        <v>47428</v>
      </c>
    </row>
    <row r="747" spans="1:24">
      <c r="A747">
        <f>HYPERLINK("https://www.philgeps.gov.ph/GEPSNONPILOT/Tender/SplashBidNoticeAbstractUI.aspx?menuIndex=3&amp;refID=7164508&amp;Result=3","7164508")</f>
        <v>0</v>
      </c>
      <c r="B747" t="s">
        <v>361</v>
      </c>
      <c r="C747" t="s">
        <v>4648</v>
      </c>
      <c r="D747" t="s">
        <v>19088</v>
      </c>
      <c r="E747" t="s">
        <v>19812</v>
      </c>
      <c r="F747" t="s">
        <v>32831</v>
      </c>
      <c r="G747" t="s">
        <v>32839</v>
      </c>
      <c r="H747" t="s">
        <v>32848</v>
      </c>
      <c r="I747" t="s">
        <v>32855</v>
      </c>
      <c r="J747" t="s">
        <v>33016</v>
      </c>
      <c r="K747" t="s">
        <v>42730</v>
      </c>
      <c r="M747" t="s">
        <v>43365</v>
      </c>
      <c r="N747" t="s">
        <v>47424</v>
      </c>
      <c r="O747" t="s">
        <v>47425</v>
      </c>
      <c r="P747">
        <v>0</v>
      </c>
      <c r="Q747">
        <v>1</v>
      </c>
      <c r="R747" t="s">
        <v>47426</v>
      </c>
      <c r="S747" t="s">
        <v>47531</v>
      </c>
      <c r="T747" t="s">
        <v>49195</v>
      </c>
      <c r="U747" t="s">
        <v>50325</v>
      </c>
      <c r="W747" t="s">
        <v>43365</v>
      </c>
      <c r="X747" t="s">
        <v>47428</v>
      </c>
    </row>
    <row r="748" spans="1:24">
      <c r="A748">
        <f>HYPERLINK("https://www.philgeps.gov.ph/GEPSNONPILOT/Tender/SplashBidNoticeAbstractUI.aspx?menuIndex=3&amp;refID=7164507&amp;Result=3","7164507")</f>
        <v>0</v>
      </c>
      <c r="B748" t="s">
        <v>362</v>
      </c>
      <c r="C748" t="s">
        <v>4649</v>
      </c>
      <c r="D748" t="s">
        <v>19023</v>
      </c>
      <c r="E748" t="s">
        <v>19813</v>
      </c>
      <c r="F748" t="s">
        <v>32831</v>
      </c>
      <c r="G748" t="s">
        <v>32838</v>
      </c>
      <c r="H748" t="s">
        <v>32848</v>
      </c>
      <c r="I748" t="s">
        <v>4471</v>
      </c>
      <c r="J748" t="s">
        <v>33519</v>
      </c>
      <c r="K748" t="s">
        <v>42730</v>
      </c>
      <c r="M748" t="s">
        <v>43366</v>
      </c>
      <c r="N748" t="s">
        <v>47424</v>
      </c>
      <c r="O748" t="s">
        <v>47425</v>
      </c>
      <c r="P748">
        <v>0</v>
      </c>
      <c r="Q748">
        <v>4</v>
      </c>
      <c r="R748" t="s">
        <v>47426</v>
      </c>
      <c r="S748" t="s">
        <v>47531</v>
      </c>
      <c r="T748" t="s">
        <v>49079</v>
      </c>
      <c r="U748" t="s">
        <v>50326</v>
      </c>
      <c r="W748" t="s">
        <v>43366</v>
      </c>
      <c r="X748" t="s">
        <v>47428</v>
      </c>
    </row>
    <row r="749" spans="1:24">
      <c r="A749">
        <f>HYPERLINK("https://www.philgeps.gov.ph/GEPSNONPILOT/Tender/SplashBidNoticeAbstractUI.aspx?menuIndex=3&amp;refID=7164426&amp;Result=3","7164426")</f>
        <v>0</v>
      </c>
      <c r="B749" t="s">
        <v>349</v>
      </c>
      <c r="C749" t="s">
        <v>4650</v>
      </c>
      <c r="D749" t="s">
        <v>19023</v>
      </c>
      <c r="E749" t="s">
        <v>19814</v>
      </c>
      <c r="F749" t="s">
        <v>32831</v>
      </c>
      <c r="G749" t="s">
        <v>32839</v>
      </c>
      <c r="H749" t="s">
        <v>32848</v>
      </c>
      <c r="I749" t="s">
        <v>7416</v>
      </c>
      <c r="J749" t="s">
        <v>33548</v>
      </c>
      <c r="K749" t="s">
        <v>42727</v>
      </c>
      <c r="M749" t="s">
        <v>43353</v>
      </c>
      <c r="N749" t="s">
        <v>47424</v>
      </c>
      <c r="O749" t="s">
        <v>47425</v>
      </c>
      <c r="P749">
        <v>0</v>
      </c>
      <c r="Q749">
        <v>0</v>
      </c>
      <c r="R749" t="s">
        <v>47426</v>
      </c>
      <c r="S749" t="s">
        <v>47531</v>
      </c>
      <c r="T749" t="s">
        <v>49065</v>
      </c>
      <c r="U749" t="s">
        <v>50327</v>
      </c>
      <c r="V749" t="s">
        <v>62697</v>
      </c>
      <c r="W749" t="s">
        <v>43353</v>
      </c>
      <c r="X749" t="s">
        <v>47428</v>
      </c>
    </row>
    <row r="750" spans="1:24">
      <c r="A750">
        <f>HYPERLINK("https://www.philgeps.gov.ph/GEPSNONPILOT/Tender/SplashBidNoticeAbstractUI.aspx?menuIndex=3&amp;refID=7164501&amp;Result=3","7164501")</f>
        <v>0</v>
      </c>
      <c r="B750" t="s">
        <v>362</v>
      </c>
      <c r="C750" t="s">
        <v>4651</v>
      </c>
      <c r="D750" t="s">
        <v>19023</v>
      </c>
      <c r="E750" t="s">
        <v>19815</v>
      </c>
      <c r="F750" t="s">
        <v>32831</v>
      </c>
      <c r="G750" t="s">
        <v>32838</v>
      </c>
      <c r="H750" t="s">
        <v>32848</v>
      </c>
      <c r="I750" t="s">
        <v>4487</v>
      </c>
      <c r="J750" t="s">
        <v>33549</v>
      </c>
      <c r="K750" t="s">
        <v>42727</v>
      </c>
      <c r="M750" t="s">
        <v>43366</v>
      </c>
      <c r="N750" t="s">
        <v>47424</v>
      </c>
      <c r="O750" t="s">
        <v>47425</v>
      </c>
      <c r="P750">
        <v>0</v>
      </c>
      <c r="Q750">
        <v>0</v>
      </c>
      <c r="R750" t="s">
        <v>47426</v>
      </c>
      <c r="S750" t="s">
        <v>47531</v>
      </c>
      <c r="T750" t="s">
        <v>49079</v>
      </c>
      <c r="U750" t="s">
        <v>50326</v>
      </c>
      <c r="W750" t="s">
        <v>43366</v>
      </c>
      <c r="X750" t="s">
        <v>47428</v>
      </c>
    </row>
    <row r="751" spans="1:24">
      <c r="A751">
        <f>HYPERLINK("https://www.philgeps.gov.ph/GEPSNONPILOT/Tender/SplashBidNoticeAbstractUI.aspx?menuIndex=3&amp;refID=7164492&amp;Result=3","7164492")</f>
        <v>0</v>
      </c>
      <c r="B751" t="s">
        <v>363</v>
      </c>
      <c r="C751" t="s">
        <v>4652</v>
      </c>
      <c r="D751" t="s">
        <v>19054</v>
      </c>
      <c r="E751" t="s">
        <v>19816</v>
      </c>
      <c r="F751" t="s">
        <v>32831</v>
      </c>
      <c r="G751" t="s">
        <v>32839</v>
      </c>
      <c r="H751" t="s">
        <v>32848</v>
      </c>
      <c r="I751" t="s">
        <v>7416</v>
      </c>
      <c r="J751" t="s">
        <v>32976</v>
      </c>
      <c r="K751" t="s">
        <v>42732</v>
      </c>
      <c r="M751" t="s">
        <v>43367</v>
      </c>
      <c r="N751" t="s">
        <v>47424</v>
      </c>
      <c r="O751" t="s">
        <v>47425</v>
      </c>
      <c r="P751">
        <v>0</v>
      </c>
      <c r="Q751">
        <v>0</v>
      </c>
      <c r="R751" t="s">
        <v>47426</v>
      </c>
      <c r="S751" t="s">
        <v>47531</v>
      </c>
      <c r="T751" t="s">
        <v>49151</v>
      </c>
      <c r="U751" t="s">
        <v>50328</v>
      </c>
      <c r="W751" t="s">
        <v>43367</v>
      </c>
      <c r="X751" t="s">
        <v>47428</v>
      </c>
    </row>
    <row r="752" spans="1:24">
      <c r="A752">
        <f>HYPERLINK("https://www.philgeps.gov.ph/GEPSNONPILOT/Tender/SplashBidNoticeAbstractUI.aspx?menuIndex=3&amp;refID=7164391&amp;Result=3","7164391")</f>
        <v>0</v>
      </c>
      <c r="B752" t="s">
        <v>355</v>
      </c>
      <c r="C752" t="s">
        <v>4653</v>
      </c>
      <c r="D752" t="s">
        <v>19023</v>
      </c>
      <c r="E752" t="s">
        <v>19802</v>
      </c>
      <c r="F752" t="s">
        <v>32831</v>
      </c>
      <c r="G752" t="s">
        <v>32839</v>
      </c>
      <c r="H752" t="s">
        <v>32848</v>
      </c>
      <c r="I752" t="s">
        <v>4438</v>
      </c>
      <c r="J752" t="s">
        <v>33550</v>
      </c>
      <c r="K752" t="s">
        <v>42727</v>
      </c>
      <c r="M752" t="s">
        <v>43359</v>
      </c>
      <c r="N752" t="s">
        <v>47424</v>
      </c>
      <c r="O752" t="s">
        <v>47425</v>
      </c>
      <c r="P752">
        <v>0</v>
      </c>
      <c r="Q752">
        <v>2</v>
      </c>
      <c r="R752" t="s">
        <v>47426</v>
      </c>
      <c r="S752" t="s">
        <v>47531</v>
      </c>
      <c r="T752" t="s">
        <v>49073</v>
      </c>
      <c r="U752" t="s">
        <v>50329</v>
      </c>
      <c r="W752" t="s">
        <v>43359</v>
      </c>
      <c r="X752" t="s">
        <v>47428</v>
      </c>
    </row>
    <row r="753" spans="1:24">
      <c r="A753">
        <f>HYPERLINK("https://www.philgeps.gov.ph/GEPSNONPILOT/Tender/SplashBidNoticeAbstractUI.aspx?menuIndex=3&amp;refID=7164494&amp;Result=3","7164494")</f>
        <v>0</v>
      </c>
      <c r="B753" t="s">
        <v>361</v>
      </c>
      <c r="C753" t="s">
        <v>4654</v>
      </c>
      <c r="D753" t="s">
        <v>19088</v>
      </c>
      <c r="E753" t="s">
        <v>19817</v>
      </c>
      <c r="F753" t="s">
        <v>32831</v>
      </c>
      <c r="G753" t="s">
        <v>32839</v>
      </c>
      <c r="H753" t="s">
        <v>32848</v>
      </c>
      <c r="I753" t="s">
        <v>32857</v>
      </c>
      <c r="J753" t="s">
        <v>33111</v>
      </c>
      <c r="K753" t="s">
        <v>42730</v>
      </c>
      <c r="M753" t="s">
        <v>43365</v>
      </c>
      <c r="N753" t="s">
        <v>47424</v>
      </c>
      <c r="O753" t="s">
        <v>47425</v>
      </c>
      <c r="P753">
        <v>0</v>
      </c>
      <c r="Q753">
        <v>5</v>
      </c>
      <c r="R753" t="s">
        <v>47426</v>
      </c>
      <c r="S753" t="s">
        <v>47531</v>
      </c>
      <c r="T753" t="s">
        <v>49195</v>
      </c>
      <c r="U753" t="s">
        <v>50330</v>
      </c>
      <c r="W753" t="s">
        <v>43365</v>
      </c>
      <c r="X753" t="s">
        <v>47428</v>
      </c>
    </row>
    <row r="754" spans="1:24">
      <c r="A754">
        <f>HYPERLINK("https://www.philgeps.gov.ph/GEPSNONPILOT/Tender/SplashBidNoticeAbstractUI.aspx?menuIndex=3&amp;refID=7164574&amp;Result=3","7164574")</f>
        <v>0</v>
      </c>
      <c r="B754" t="s">
        <v>364</v>
      </c>
      <c r="C754" t="s">
        <v>4655</v>
      </c>
      <c r="D754" t="s">
        <v>19037</v>
      </c>
      <c r="E754" t="s">
        <v>19818</v>
      </c>
      <c r="F754" t="s">
        <v>32831</v>
      </c>
      <c r="G754" t="s">
        <v>32839</v>
      </c>
      <c r="H754" t="s">
        <v>32850</v>
      </c>
      <c r="I754" t="s">
        <v>32908</v>
      </c>
      <c r="J754" t="s">
        <v>33066</v>
      </c>
      <c r="K754" t="s">
        <v>42785</v>
      </c>
      <c r="M754" t="s">
        <v>43368</v>
      </c>
      <c r="N754" t="s">
        <v>47424</v>
      </c>
      <c r="O754" t="s">
        <v>47425</v>
      </c>
      <c r="P754">
        <v>0</v>
      </c>
      <c r="Q754">
        <v>1</v>
      </c>
      <c r="R754" t="s">
        <v>47426</v>
      </c>
      <c r="S754" t="s">
        <v>47531</v>
      </c>
      <c r="T754" t="s">
        <v>49151</v>
      </c>
      <c r="U754" t="s">
        <v>50331</v>
      </c>
      <c r="W754" t="s">
        <v>43368</v>
      </c>
      <c r="X754" t="s">
        <v>47428</v>
      </c>
    </row>
    <row r="755" spans="1:24">
      <c r="A755">
        <f>HYPERLINK("https://www.philgeps.gov.ph/GEPSNONPILOT/Tender/SplashBidNoticeAbstractUI.aspx?menuIndex=3&amp;refID=7164571&amp;Result=3","7164571")</f>
        <v>0</v>
      </c>
      <c r="B755" t="s">
        <v>365</v>
      </c>
      <c r="C755" t="s">
        <v>4656</v>
      </c>
      <c r="D755" t="s">
        <v>19020</v>
      </c>
      <c r="E755" t="s">
        <v>19819</v>
      </c>
      <c r="F755" t="s">
        <v>32831</v>
      </c>
      <c r="G755" t="s">
        <v>32838</v>
      </c>
      <c r="H755" t="s">
        <v>32848</v>
      </c>
      <c r="I755" t="s">
        <v>10805</v>
      </c>
      <c r="J755" t="s">
        <v>33551</v>
      </c>
      <c r="K755" t="s">
        <v>42730</v>
      </c>
      <c r="M755" t="s">
        <v>43369</v>
      </c>
      <c r="N755" t="s">
        <v>47424</v>
      </c>
      <c r="O755" t="s">
        <v>47425</v>
      </c>
      <c r="P755">
        <v>0</v>
      </c>
      <c r="Q755">
        <v>3</v>
      </c>
      <c r="R755" t="s">
        <v>47426</v>
      </c>
      <c r="S755" t="s">
        <v>47531</v>
      </c>
      <c r="T755" t="s">
        <v>49056</v>
      </c>
      <c r="U755" t="s">
        <v>50332</v>
      </c>
      <c r="V755" t="s">
        <v>62701</v>
      </c>
      <c r="W755" t="s">
        <v>43369</v>
      </c>
      <c r="X755" t="s">
        <v>47428</v>
      </c>
    </row>
    <row r="756" spans="1:24">
      <c r="A756">
        <f>HYPERLINK("https://www.philgeps.gov.ph/GEPSNONPILOT/Tender/SplashBidNoticeAbstractUI.aspx?menuIndex=3&amp;refID=7164562&amp;Result=3","7164562")</f>
        <v>0</v>
      </c>
      <c r="B756" t="s">
        <v>361</v>
      </c>
      <c r="C756" t="s">
        <v>4657</v>
      </c>
      <c r="D756" t="s">
        <v>19088</v>
      </c>
      <c r="E756" t="s">
        <v>19820</v>
      </c>
      <c r="F756" t="s">
        <v>32831</v>
      </c>
      <c r="G756" t="s">
        <v>32844</v>
      </c>
      <c r="H756" t="s">
        <v>32848</v>
      </c>
      <c r="I756" t="s">
        <v>14069</v>
      </c>
      <c r="J756" t="s">
        <v>33552</v>
      </c>
      <c r="K756" t="s">
        <v>42786</v>
      </c>
      <c r="M756" t="s">
        <v>43365</v>
      </c>
      <c r="N756" t="s">
        <v>47424</v>
      </c>
      <c r="O756" t="s">
        <v>47425</v>
      </c>
      <c r="P756">
        <v>0</v>
      </c>
      <c r="Q756">
        <v>0</v>
      </c>
      <c r="R756" t="s">
        <v>47426</v>
      </c>
      <c r="S756" t="s">
        <v>47531</v>
      </c>
      <c r="T756" t="s">
        <v>49195</v>
      </c>
      <c r="U756" t="s">
        <v>50333</v>
      </c>
      <c r="W756" t="s">
        <v>43365</v>
      </c>
      <c r="X756" t="s">
        <v>47428</v>
      </c>
    </row>
    <row r="757" spans="1:24">
      <c r="A757">
        <f>HYPERLINK("https://www.philgeps.gov.ph/GEPSNONPILOT/Tender/SplashBidNoticeAbstractUI.aspx?menuIndex=3&amp;refID=7164561&amp;Result=3","7164561")</f>
        <v>0</v>
      </c>
      <c r="B757" t="s">
        <v>361</v>
      </c>
      <c r="C757" t="s">
        <v>4658</v>
      </c>
      <c r="D757" t="s">
        <v>19088</v>
      </c>
      <c r="E757" t="s">
        <v>19821</v>
      </c>
      <c r="F757" t="s">
        <v>32831</v>
      </c>
      <c r="G757" t="s">
        <v>32839</v>
      </c>
      <c r="H757" t="s">
        <v>32848</v>
      </c>
      <c r="I757" t="s">
        <v>7819</v>
      </c>
      <c r="J757" t="s">
        <v>33553</v>
      </c>
      <c r="K757" t="s">
        <v>42773</v>
      </c>
      <c r="M757" t="s">
        <v>43365</v>
      </c>
      <c r="N757" t="s">
        <v>47424</v>
      </c>
      <c r="O757" t="s">
        <v>47425</v>
      </c>
      <c r="P757">
        <v>0</v>
      </c>
      <c r="Q757">
        <v>2</v>
      </c>
      <c r="R757" t="s">
        <v>47426</v>
      </c>
      <c r="S757" t="s">
        <v>47531</v>
      </c>
      <c r="T757" t="s">
        <v>49195</v>
      </c>
      <c r="U757" t="s">
        <v>50334</v>
      </c>
      <c r="W757" t="s">
        <v>43365</v>
      </c>
      <c r="X757" t="s">
        <v>47428</v>
      </c>
    </row>
    <row r="758" spans="1:24">
      <c r="A758">
        <f>HYPERLINK("https://www.philgeps.gov.ph/GEPSNONPILOT/Tender/SplashBidNoticeAbstractUI.aspx?menuIndex=3&amp;refID=7164392&amp;Result=3","7164392")</f>
        <v>0</v>
      </c>
      <c r="B758" t="s">
        <v>366</v>
      </c>
      <c r="C758" t="s">
        <v>4659</v>
      </c>
      <c r="D758" t="s">
        <v>19027</v>
      </c>
      <c r="E758" t="s">
        <v>19822</v>
      </c>
      <c r="F758" t="s">
        <v>32831</v>
      </c>
      <c r="G758" t="s">
        <v>32838</v>
      </c>
      <c r="H758" t="s">
        <v>32848</v>
      </c>
      <c r="I758" t="s">
        <v>32860</v>
      </c>
      <c r="J758" t="s">
        <v>33554</v>
      </c>
      <c r="K758" t="s">
        <v>42748</v>
      </c>
      <c r="L758" t="s">
        <v>366</v>
      </c>
      <c r="M758" t="s">
        <v>43370</v>
      </c>
      <c r="N758" t="s">
        <v>47424</v>
      </c>
      <c r="O758" t="s">
        <v>47425</v>
      </c>
      <c r="P758">
        <v>0</v>
      </c>
      <c r="Q758">
        <v>2</v>
      </c>
      <c r="R758" t="s">
        <v>47426</v>
      </c>
      <c r="S758" t="s">
        <v>47531</v>
      </c>
      <c r="T758" t="s">
        <v>49070</v>
      </c>
      <c r="U758" t="s">
        <v>50335</v>
      </c>
      <c r="V758" t="s">
        <v>62702</v>
      </c>
      <c r="W758" t="s">
        <v>43370</v>
      </c>
      <c r="X758" t="s">
        <v>47428</v>
      </c>
    </row>
    <row r="759" spans="1:24">
      <c r="A759">
        <f>HYPERLINK("https://www.philgeps.gov.ph/GEPSNONPILOT/Tender/SplashBidNoticeAbstractUI.aspx?menuIndex=3&amp;refID=7164559&amp;Result=3","7164559")</f>
        <v>0</v>
      </c>
      <c r="B759" t="s">
        <v>367</v>
      </c>
      <c r="C759" t="s">
        <v>4660</v>
      </c>
      <c r="D759" t="s">
        <v>19089</v>
      </c>
      <c r="E759" t="s">
        <v>19823</v>
      </c>
      <c r="F759" t="s">
        <v>32831</v>
      </c>
      <c r="G759" t="s">
        <v>32839</v>
      </c>
      <c r="H759" t="s">
        <v>32848</v>
      </c>
      <c r="I759" t="s">
        <v>10888</v>
      </c>
      <c r="J759" t="s">
        <v>32980</v>
      </c>
      <c r="K759" t="s">
        <v>42731</v>
      </c>
      <c r="M759" t="s">
        <v>43371</v>
      </c>
      <c r="N759" t="s">
        <v>47424</v>
      </c>
      <c r="O759" t="s">
        <v>47425</v>
      </c>
      <c r="P759">
        <v>0</v>
      </c>
      <c r="Q759">
        <v>0</v>
      </c>
      <c r="R759" t="s">
        <v>47426</v>
      </c>
      <c r="S759" t="s">
        <v>47531</v>
      </c>
      <c r="T759" t="s">
        <v>49196</v>
      </c>
      <c r="U759" t="s">
        <v>50336</v>
      </c>
      <c r="V759" t="s">
        <v>62703</v>
      </c>
      <c r="W759" t="s">
        <v>43371</v>
      </c>
      <c r="X759" t="s">
        <v>47428</v>
      </c>
    </row>
    <row r="760" spans="1:24">
      <c r="A760">
        <f>HYPERLINK("https://www.philgeps.gov.ph/GEPSNONPILOT/Tender/SplashBidNoticeAbstractUI.aspx?menuIndex=3&amp;refID=7164533&amp;Result=3","7164533")</f>
        <v>0</v>
      </c>
      <c r="B760" t="s">
        <v>357</v>
      </c>
      <c r="C760" t="s">
        <v>4661</v>
      </c>
      <c r="D760" t="s">
        <v>19019</v>
      </c>
      <c r="E760" t="s">
        <v>19824</v>
      </c>
      <c r="F760" t="s">
        <v>32831</v>
      </c>
      <c r="G760" t="s">
        <v>32840</v>
      </c>
      <c r="H760" t="s">
        <v>32848</v>
      </c>
      <c r="I760" t="s">
        <v>7416</v>
      </c>
      <c r="J760" t="s">
        <v>33555</v>
      </c>
      <c r="K760" t="s">
        <v>42727</v>
      </c>
      <c r="M760" t="s">
        <v>43361</v>
      </c>
      <c r="N760" t="s">
        <v>47424</v>
      </c>
      <c r="O760" t="s">
        <v>47425</v>
      </c>
      <c r="P760">
        <v>0</v>
      </c>
      <c r="Q760">
        <v>1</v>
      </c>
      <c r="R760" t="s">
        <v>47426</v>
      </c>
      <c r="S760" t="s">
        <v>47531</v>
      </c>
      <c r="T760" t="s">
        <v>49068</v>
      </c>
      <c r="U760" t="s">
        <v>50337</v>
      </c>
      <c r="V760" t="s">
        <v>62700</v>
      </c>
      <c r="W760" t="s">
        <v>43361</v>
      </c>
      <c r="X760" t="s">
        <v>47428</v>
      </c>
    </row>
    <row r="761" spans="1:24">
      <c r="A761">
        <f>HYPERLINK("https://www.philgeps.gov.ph/GEPSNONPILOT/Tender/SplashBidNoticeAbstractUI.aspx?menuIndex=3&amp;refID=7164557&amp;Result=3","7164557")</f>
        <v>0</v>
      </c>
      <c r="B761" t="s">
        <v>368</v>
      </c>
      <c r="C761" t="s">
        <v>4662</v>
      </c>
      <c r="D761" t="s">
        <v>19045</v>
      </c>
      <c r="E761" t="s">
        <v>19825</v>
      </c>
      <c r="F761" t="s">
        <v>32831</v>
      </c>
      <c r="G761" t="s">
        <v>32839</v>
      </c>
      <c r="H761" t="s">
        <v>32849</v>
      </c>
      <c r="I761" t="s">
        <v>4177</v>
      </c>
      <c r="J761" t="s">
        <v>33072</v>
      </c>
      <c r="K761" t="s">
        <v>42729</v>
      </c>
      <c r="M761" t="s">
        <v>43372</v>
      </c>
      <c r="N761" t="s">
        <v>47424</v>
      </c>
      <c r="O761" t="s">
        <v>47425</v>
      </c>
      <c r="P761">
        <v>0</v>
      </c>
      <c r="Q761">
        <v>0</v>
      </c>
      <c r="R761" t="s">
        <v>47426</v>
      </c>
      <c r="S761" t="s">
        <v>47531</v>
      </c>
      <c r="T761" t="s">
        <v>49173</v>
      </c>
      <c r="U761" t="s">
        <v>50338</v>
      </c>
      <c r="W761" t="s">
        <v>43372</v>
      </c>
      <c r="X761" t="s">
        <v>47428</v>
      </c>
    </row>
    <row r="762" spans="1:24">
      <c r="A762">
        <f>HYPERLINK("https://www.philgeps.gov.ph/GEPSNONPILOT/Tender/SplashBidNoticeAbstractUI.aspx?menuIndex=3&amp;refID=7164552&amp;Result=3","7164552")</f>
        <v>0</v>
      </c>
      <c r="B762" t="s">
        <v>369</v>
      </c>
      <c r="C762" t="s">
        <v>4663</v>
      </c>
      <c r="D762" t="s">
        <v>19064</v>
      </c>
      <c r="E762" t="s">
        <v>19826</v>
      </c>
      <c r="F762" t="s">
        <v>32831</v>
      </c>
      <c r="G762" t="s">
        <v>32839</v>
      </c>
      <c r="H762" t="s">
        <v>32848</v>
      </c>
      <c r="I762" t="s">
        <v>4177</v>
      </c>
      <c r="J762" t="s">
        <v>33087</v>
      </c>
      <c r="K762" t="s">
        <v>42726</v>
      </c>
      <c r="M762" t="s">
        <v>43373</v>
      </c>
      <c r="N762" t="s">
        <v>47424</v>
      </c>
      <c r="O762" t="s">
        <v>47425</v>
      </c>
      <c r="P762">
        <v>0</v>
      </c>
      <c r="Q762">
        <v>0</v>
      </c>
      <c r="R762" t="s">
        <v>47426</v>
      </c>
      <c r="S762" t="s">
        <v>47531</v>
      </c>
      <c r="T762" t="s">
        <v>49091</v>
      </c>
      <c r="U762" t="s">
        <v>50339</v>
      </c>
      <c r="W762" t="s">
        <v>43373</v>
      </c>
      <c r="X762" t="s">
        <v>47428</v>
      </c>
    </row>
    <row r="763" spans="1:24">
      <c r="A763">
        <f>HYPERLINK("https://www.philgeps.gov.ph/GEPSNONPILOT/Tender/SplashBidNoticeAbstractUI.aspx?menuIndex=3&amp;refID=7164564&amp;Result=3","7164564")</f>
        <v>0</v>
      </c>
      <c r="B763" t="s">
        <v>370</v>
      </c>
      <c r="C763" t="s">
        <v>4664</v>
      </c>
      <c r="D763" t="s">
        <v>19045</v>
      </c>
      <c r="E763" t="s">
        <v>19827</v>
      </c>
      <c r="F763" t="s">
        <v>32831</v>
      </c>
      <c r="G763" t="s">
        <v>32839</v>
      </c>
      <c r="H763" t="s">
        <v>32848</v>
      </c>
      <c r="I763" t="s">
        <v>32858</v>
      </c>
      <c r="J763" t="s">
        <v>33556</v>
      </c>
      <c r="K763" t="s">
        <v>42776</v>
      </c>
      <c r="M763" t="s">
        <v>43374</v>
      </c>
      <c r="N763" t="s">
        <v>47424</v>
      </c>
      <c r="O763" t="s">
        <v>47425</v>
      </c>
      <c r="P763">
        <v>0</v>
      </c>
      <c r="Q763">
        <v>1</v>
      </c>
      <c r="R763" t="s">
        <v>47426</v>
      </c>
      <c r="S763" t="s">
        <v>47531</v>
      </c>
      <c r="T763" t="s">
        <v>49197</v>
      </c>
      <c r="U763" t="s">
        <v>50340</v>
      </c>
      <c r="W763" t="s">
        <v>43374</v>
      </c>
      <c r="X763" t="s">
        <v>47428</v>
      </c>
    </row>
    <row r="764" spans="1:24">
      <c r="A764">
        <f>HYPERLINK("https://www.philgeps.gov.ph/GEPSNONPILOT/Tender/SplashBidNoticeAbstractUI.aspx?menuIndex=3&amp;refID=7164550&amp;Result=3","7164550")</f>
        <v>0</v>
      </c>
      <c r="B764" t="s">
        <v>361</v>
      </c>
      <c r="C764" t="s">
        <v>4665</v>
      </c>
      <c r="D764" t="s">
        <v>19088</v>
      </c>
      <c r="E764" t="s">
        <v>19828</v>
      </c>
      <c r="F764" t="s">
        <v>32831</v>
      </c>
      <c r="G764" t="s">
        <v>32839</v>
      </c>
      <c r="H764" t="s">
        <v>32848</v>
      </c>
      <c r="I764" t="s">
        <v>7751</v>
      </c>
      <c r="J764" t="s">
        <v>33257</v>
      </c>
      <c r="K764" t="s">
        <v>42730</v>
      </c>
      <c r="M764" t="s">
        <v>43365</v>
      </c>
      <c r="N764" t="s">
        <v>47424</v>
      </c>
      <c r="O764" t="s">
        <v>47425</v>
      </c>
      <c r="P764">
        <v>0</v>
      </c>
      <c r="Q764">
        <v>4</v>
      </c>
      <c r="R764" t="s">
        <v>47426</v>
      </c>
      <c r="S764" t="s">
        <v>47531</v>
      </c>
      <c r="T764" t="s">
        <v>49195</v>
      </c>
      <c r="U764" t="s">
        <v>50341</v>
      </c>
      <c r="W764" t="s">
        <v>43365</v>
      </c>
      <c r="X764" t="s">
        <v>47428</v>
      </c>
    </row>
    <row r="765" spans="1:24">
      <c r="A765">
        <f>HYPERLINK("https://www.philgeps.gov.ph/GEPSNONPILOT/Tender/SplashBidNoticeAbstractUI.aspx?menuIndex=3&amp;refID=7164560&amp;Result=3","7164560")</f>
        <v>0</v>
      </c>
      <c r="B765" t="s">
        <v>371</v>
      </c>
      <c r="C765" t="s">
        <v>4666</v>
      </c>
      <c r="D765" t="s">
        <v>19056</v>
      </c>
      <c r="E765" t="s">
        <v>19829</v>
      </c>
      <c r="F765" t="s">
        <v>32831</v>
      </c>
      <c r="G765" t="s">
        <v>32839</v>
      </c>
      <c r="H765" t="s">
        <v>32849</v>
      </c>
      <c r="I765" t="s">
        <v>32889</v>
      </c>
      <c r="J765" t="s">
        <v>33557</v>
      </c>
      <c r="K765" t="s">
        <v>42770</v>
      </c>
      <c r="M765" t="s">
        <v>43375</v>
      </c>
      <c r="N765" t="s">
        <v>47424</v>
      </c>
      <c r="O765" t="s">
        <v>47425</v>
      </c>
      <c r="P765">
        <v>0</v>
      </c>
      <c r="Q765">
        <v>2</v>
      </c>
      <c r="R765" t="s">
        <v>47426</v>
      </c>
      <c r="S765" t="s">
        <v>47531</v>
      </c>
      <c r="T765" t="s">
        <v>49179</v>
      </c>
      <c r="U765" t="s">
        <v>50342</v>
      </c>
      <c r="V765" t="s">
        <v>62704</v>
      </c>
      <c r="W765" t="s">
        <v>43375</v>
      </c>
      <c r="X765" t="s">
        <v>47428</v>
      </c>
    </row>
    <row r="766" spans="1:24">
      <c r="A766">
        <f>HYPERLINK("https://www.philgeps.gov.ph/GEPSNONPILOT/Tender/SplashBidNoticeAbstractUI.aspx?menuIndex=3&amp;refID=7164531&amp;Result=3","7164531")</f>
        <v>0</v>
      </c>
      <c r="B766" t="s">
        <v>357</v>
      </c>
      <c r="C766" t="s">
        <v>4667</v>
      </c>
      <c r="D766" t="s">
        <v>19019</v>
      </c>
      <c r="E766" t="s">
        <v>19830</v>
      </c>
      <c r="F766" t="s">
        <v>32831</v>
      </c>
      <c r="G766" t="s">
        <v>32838</v>
      </c>
      <c r="H766" t="s">
        <v>32848</v>
      </c>
      <c r="I766" t="s">
        <v>32856</v>
      </c>
      <c r="J766" t="s">
        <v>33558</v>
      </c>
      <c r="K766" t="s">
        <v>42730</v>
      </c>
      <c r="M766" t="s">
        <v>43361</v>
      </c>
      <c r="N766" t="s">
        <v>47424</v>
      </c>
      <c r="O766" t="s">
        <v>47425</v>
      </c>
      <c r="P766">
        <v>0</v>
      </c>
      <c r="Q766">
        <v>4</v>
      </c>
      <c r="R766" t="s">
        <v>47426</v>
      </c>
      <c r="S766" t="s">
        <v>47531</v>
      </c>
      <c r="T766" t="s">
        <v>49068</v>
      </c>
      <c r="U766" t="s">
        <v>50343</v>
      </c>
      <c r="V766" t="s">
        <v>62700</v>
      </c>
      <c r="W766" t="s">
        <v>43361</v>
      </c>
      <c r="X766" t="s">
        <v>47428</v>
      </c>
    </row>
    <row r="767" spans="1:24">
      <c r="A767">
        <f>HYPERLINK("https://www.philgeps.gov.ph/GEPSNONPILOT/Tender/SplashBidNoticeAbstractUI.aspx?menuIndex=3&amp;refID=7164652&amp;Result=3","7164652")</f>
        <v>0</v>
      </c>
      <c r="B767" t="s">
        <v>372</v>
      </c>
      <c r="C767" t="s">
        <v>4668</v>
      </c>
      <c r="D767" t="s">
        <v>19054</v>
      </c>
      <c r="E767" t="s">
        <v>19831</v>
      </c>
      <c r="F767" t="s">
        <v>32831</v>
      </c>
      <c r="G767" t="s">
        <v>32838</v>
      </c>
      <c r="H767" t="s">
        <v>32848</v>
      </c>
      <c r="I767" t="s">
        <v>4776</v>
      </c>
      <c r="J767" t="s">
        <v>33559</v>
      </c>
      <c r="K767" t="s">
        <v>42731</v>
      </c>
      <c r="M767" t="s">
        <v>43376</v>
      </c>
      <c r="N767" t="s">
        <v>47424</v>
      </c>
      <c r="O767" t="s">
        <v>47425</v>
      </c>
      <c r="P767">
        <v>0</v>
      </c>
      <c r="Q767">
        <v>0</v>
      </c>
      <c r="R767" t="s">
        <v>47426</v>
      </c>
      <c r="S767" t="s">
        <v>47531</v>
      </c>
      <c r="T767" t="s">
        <v>49150</v>
      </c>
      <c r="U767" t="s">
        <v>50344</v>
      </c>
      <c r="V767" t="s">
        <v>62705</v>
      </c>
      <c r="W767" t="s">
        <v>43376</v>
      </c>
      <c r="X767" t="s">
        <v>47427</v>
      </c>
    </row>
    <row r="768" spans="1:24">
      <c r="A768">
        <f>HYPERLINK("https://www.philgeps.gov.ph/GEPSNONPILOT/Tender/SplashBidNoticeAbstractUI.aspx?menuIndex=3&amp;refID=7164650&amp;Result=3","7164650")</f>
        <v>0</v>
      </c>
      <c r="B768" t="s">
        <v>372</v>
      </c>
      <c r="C768" t="s">
        <v>4669</v>
      </c>
      <c r="D768" t="s">
        <v>19054</v>
      </c>
      <c r="E768" t="s">
        <v>19832</v>
      </c>
      <c r="F768" t="s">
        <v>32831</v>
      </c>
      <c r="G768" t="s">
        <v>32838</v>
      </c>
      <c r="H768" t="s">
        <v>32848</v>
      </c>
      <c r="I768" t="s">
        <v>32870</v>
      </c>
      <c r="J768" t="s">
        <v>33334</v>
      </c>
      <c r="K768" t="s">
        <v>42731</v>
      </c>
      <c r="M768" t="s">
        <v>43376</v>
      </c>
      <c r="N768" t="s">
        <v>47424</v>
      </c>
      <c r="O768" t="s">
        <v>47425</v>
      </c>
      <c r="P768">
        <v>0</v>
      </c>
      <c r="Q768">
        <v>0</v>
      </c>
      <c r="R768" t="s">
        <v>47426</v>
      </c>
      <c r="S768" t="s">
        <v>47531</v>
      </c>
      <c r="T768" t="s">
        <v>49150</v>
      </c>
      <c r="U768" t="s">
        <v>50345</v>
      </c>
      <c r="V768" t="s">
        <v>62705</v>
      </c>
      <c r="W768" t="s">
        <v>43376</v>
      </c>
      <c r="X768" t="s">
        <v>47427</v>
      </c>
    </row>
    <row r="769" spans="1:24">
      <c r="A769">
        <f>HYPERLINK("https://www.philgeps.gov.ph/GEPSNONPILOT/Tender/SplashBidNoticeAbstractUI.aspx?menuIndex=3&amp;refID=7164646&amp;Result=3","7164646")</f>
        <v>0</v>
      </c>
      <c r="B769" t="s">
        <v>373</v>
      </c>
      <c r="C769" t="s">
        <v>4670</v>
      </c>
      <c r="D769" t="s">
        <v>19062</v>
      </c>
      <c r="E769" t="s">
        <v>19183</v>
      </c>
      <c r="F769" t="s">
        <v>32831</v>
      </c>
      <c r="G769" t="s">
        <v>32840</v>
      </c>
      <c r="H769" t="s">
        <v>32848</v>
      </c>
      <c r="I769" t="s">
        <v>4438</v>
      </c>
      <c r="J769" t="s">
        <v>33560</v>
      </c>
      <c r="K769" t="s">
        <v>42726</v>
      </c>
      <c r="M769" t="s">
        <v>43377</v>
      </c>
      <c r="N769" t="s">
        <v>47424</v>
      </c>
      <c r="O769" t="s">
        <v>47425</v>
      </c>
      <c r="P769">
        <v>0</v>
      </c>
      <c r="Q769">
        <v>2</v>
      </c>
      <c r="R769" t="s">
        <v>47426</v>
      </c>
      <c r="S769" t="s">
        <v>47531</v>
      </c>
      <c r="T769" t="s">
        <v>49109</v>
      </c>
      <c r="U769" t="s">
        <v>50346</v>
      </c>
      <c r="W769" t="s">
        <v>43377</v>
      </c>
      <c r="X769" t="s">
        <v>47427</v>
      </c>
    </row>
    <row r="770" spans="1:24">
      <c r="A770">
        <f>HYPERLINK("https://www.philgeps.gov.ph/GEPSNONPILOT/Tender/SplashBidNoticeAbstractUI.aspx?menuIndex=3&amp;refID=7164553&amp;Result=3","7164553")</f>
        <v>0</v>
      </c>
      <c r="B770" t="s">
        <v>361</v>
      </c>
      <c r="C770" t="s">
        <v>4671</v>
      </c>
      <c r="D770" t="s">
        <v>19088</v>
      </c>
      <c r="E770" t="s">
        <v>19833</v>
      </c>
      <c r="F770" t="s">
        <v>32831</v>
      </c>
      <c r="G770" t="s">
        <v>32839</v>
      </c>
      <c r="H770" t="s">
        <v>32848</v>
      </c>
      <c r="I770" t="s">
        <v>4438</v>
      </c>
      <c r="J770" t="s">
        <v>33561</v>
      </c>
      <c r="K770" t="s">
        <v>42730</v>
      </c>
      <c r="M770" t="s">
        <v>43365</v>
      </c>
      <c r="N770" t="s">
        <v>47424</v>
      </c>
      <c r="O770" t="s">
        <v>47425</v>
      </c>
      <c r="P770">
        <v>0</v>
      </c>
      <c r="Q770">
        <v>7</v>
      </c>
      <c r="R770" t="s">
        <v>47426</v>
      </c>
      <c r="S770" t="s">
        <v>47531</v>
      </c>
      <c r="T770" t="s">
        <v>49195</v>
      </c>
      <c r="U770" t="s">
        <v>50347</v>
      </c>
      <c r="W770" t="s">
        <v>43365</v>
      </c>
      <c r="X770" t="s">
        <v>47428</v>
      </c>
    </row>
    <row r="771" spans="1:24">
      <c r="A771">
        <f>HYPERLINK("https://www.philgeps.gov.ph/GEPSNONPILOT/Tender/SplashBidNoticeAbstractUI.aspx?menuIndex=3&amp;refID=7164649&amp;Result=3","7164649")</f>
        <v>0</v>
      </c>
      <c r="B771" t="s">
        <v>374</v>
      </c>
      <c r="C771" t="s">
        <v>4672</v>
      </c>
      <c r="D771" t="s">
        <v>19021</v>
      </c>
      <c r="E771" t="s">
        <v>19834</v>
      </c>
      <c r="F771" t="s">
        <v>32831</v>
      </c>
      <c r="G771" t="s">
        <v>32839</v>
      </c>
      <c r="H771" t="s">
        <v>32849</v>
      </c>
      <c r="I771" t="s">
        <v>4177</v>
      </c>
      <c r="J771" t="s">
        <v>32980</v>
      </c>
      <c r="K771" t="s">
        <v>42726</v>
      </c>
      <c r="M771" t="s">
        <v>43378</v>
      </c>
      <c r="N771" t="s">
        <v>47424</v>
      </c>
      <c r="O771" t="s">
        <v>47425</v>
      </c>
      <c r="P771">
        <v>0</v>
      </c>
      <c r="Q771">
        <v>0</v>
      </c>
      <c r="R771" t="s">
        <v>47426</v>
      </c>
      <c r="S771" t="s">
        <v>47531</v>
      </c>
      <c r="T771" t="s">
        <v>49068</v>
      </c>
      <c r="U771" t="s">
        <v>50348</v>
      </c>
      <c r="V771" t="s">
        <v>62706</v>
      </c>
      <c r="W771" t="s">
        <v>43378</v>
      </c>
      <c r="X771" t="s">
        <v>47427</v>
      </c>
    </row>
    <row r="772" spans="1:24">
      <c r="A772">
        <f>HYPERLINK("https://www.philgeps.gov.ph/GEPSNONPILOT/Tender/SplashBidNoticeAbstractUI.aspx?menuIndex=3&amp;refID=7164644&amp;Result=3","7164644")</f>
        <v>0</v>
      </c>
      <c r="B772" t="s">
        <v>375</v>
      </c>
      <c r="C772" t="s">
        <v>4673</v>
      </c>
      <c r="D772" t="s">
        <v>19030</v>
      </c>
      <c r="E772" t="s">
        <v>19835</v>
      </c>
      <c r="F772" t="s">
        <v>32831</v>
      </c>
      <c r="G772" t="s">
        <v>32842</v>
      </c>
      <c r="H772" t="s">
        <v>32848</v>
      </c>
      <c r="I772" t="s">
        <v>32864</v>
      </c>
      <c r="J772" t="s">
        <v>33041</v>
      </c>
      <c r="K772" t="s">
        <v>42730</v>
      </c>
      <c r="M772" t="s">
        <v>43379</v>
      </c>
      <c r="N772" t="s">
        <v>47424</v>
      </c>
      <c r="O772" t="s">
        <v>47425</v>
      </c>
      <c r="P772">
        <v>0</v>
      </c>
      <c r="Q772">
        <v>1</v>
      </c>
      <c r="R772" t="s">
        <v>47426</v>
      </c>
      <c r="S772" t="s">
        <v>47531</v>
      </c>
      <c r="T772" t="s">
        <v>49198</v>
      </c>
      <c r="U772" t="s">
        <v>50349</v>
      </c>
      <c r="W772" t="s">
        <v>43379</v>
      </c>
      <c r="X772" t="s">
        <v>47427</v>
      </c>
    </row>
    <row r="773" spans="1:24">
      <c r="A773">
        <f>HYPERLINK("https://www.philgeps.gov.ph/GEPSNONPILOT/Tender/SplashBidNoticeAbstractUI.aspx?menuIndex=3&amp;refID=7164642&amp;Result=3","7164642")</f>
        <v>0</v>
      </c>
      <c r="B773" t="s">
        <v>376</v>
      </c>
      <c r="C773" t="s">
        <v>4674</v>
      </c>
      <c r="D773" t="s">
        <v>19074</v>
      </c>
      <c r="E773" t="s">
        <v>19836</v>
      </c>
      <c r="F773" t="s">
        <v>32831</v>
      </c>
      <c r="G773" t="s">
        <v>32840</v>
      </c>
      <c r="H773" t="s">
        <v>32848</v>
      </c>
      <c r="I773" t="s">
        <v>4438</v>
      </c>
      <c r="J773" t="s">
        <v>33562</v>
      </c>
      <c r="K773" t="s">
        <v>42759</v>
      </c>
      <c r="M773" t="s">
        <v>43380</v>
      </c>
      <c r="N773" t="s">
        <v>47424</v>
      </c>
      <c r="O773" t="s">
        <v>47425</v>
      </c>
      <c r="P773">
        <v>0</v>
      </c>
      <c r="Q773">
        <v>0</v>
      </c>
      <c r="R773" t="s">
        <v>47426</v>
      </c>
      <c r="S773" t="s">
        <v>47531</v>
      </c>
      <c r="T773" t="s">
        <v>49114</v>
      </c>
      <c r="U773" t="s">
        <v>50350</v>
      </c>
      <c r="V773" t="s">
        <v>62707</v>
      </c>
      <c r="W773" t="s">
        <v>43380</v>
      </c>
      <c r="X773" t="s">
        <v>47427</v>
      </c>
    </row>
    <row r="774" spans="1:24">
      <c r="A774">
        <f>HYPERLINK("https://www.philgeps.gov.ph/GEPSNONPILOT/Tender/SplashBidNoticeAbstractUI.aspx?menuIndex=3&amp;refID=7164623&amp;Result=3","7164623")</f>
        <v>0</v>
      </c>
      <c r="B774" t="s">
        <v>377</v>
      </c>
      <c r="C774" t="s">
        <v>4675</v>
      </c>
      <c r="D774" t="s">
        <v>19017</v>
      </c>
      <c r="E774" t="s">
        <v>19837</v>
      </c>
      <c r="F774" t="s">
        <v>32831</v>
      </c>
      <c r="G774" t="s">
        <v>32839</v>
      </c>
      <c r="H774" t="s">
        <v>32849</v>
      </c>
      <c r="I774" t="s">
        <v>32899</v>
      </c>
      <c r="J774" t="s">
        <v>33563</v>
      </c>
      <c r="K774" t="s">
        <v>42770</v>
      </c>
      <c r="M774" t="s">
        <v>43381</v>
      </c>
      <c r="N774" t="s">
        <v>47424</v>
      </c>
      <c r="O774" t="s">
        <v>47425</v>
      </c>
      <c r="P774">
        <v>0</v>
      </c>
      <c r="Q774">
        <v>4</v>
      </c>
      <c r="R774" t="s">
        <v>47426</v>
      </c>
      <c r="S774" t="s">
        <v>47531</v>
      </c>
      <c r="T774" t="s">
        <v>49199</v>
      </c>
      <c r="U774" t="s">
        <v>50351</v>
      </c>
      <c r="W774" t="s">
        <v>43381</v>
      </c>
      <c r="X774" t="s">
        <v>47428</v>
      </c>
    </row>
    <row r="775" spans="1:24">
      <c r="A775">
        <f>HYPERLINK("https://www.philgeps.gov.ph/GEPSNONPILOT/Tender/SplashBidNoticeAbstractUI.aspx?menuIndex=3&amp;refID=7164579&amp;Result=3","7164579")</f>
        <v>0</v>
      </c>
      <c r="B775" t="s">
        <v>378</v>
      </c>
      <c r="C775" t="s">
        <v>4676</v>
      </c>
      <c r="D775" t="s">
        <v>19074</v>
      </c>
      <c r="E775" t="s">
        <v>19838</v>
      </c>
      <c r="F775" t="s">
        <v>32832</v>
      </c>
      <c r="G775" t="s">
        <v>32840</v>
      </c>
      <c r="H775" t="s">
        <v>32848</v>
      </c>
      <c r="I775" t="s">
        <v>32858</v>
      </c>
      <c r="J775" t="s">
        <v>33564</v>
      </c>
      <c r="K775" t="s">
        <v>42731</v>
      </c>
      <c r="L775" t="s">
        <v>378</v>
      </c>
      <c r="M775" t="s">
        <v>43382</v>
      </c>
      <c r="N775" t="s">
        <v>47424</v>
      </c>
      <c r="O775" t="s">
        <v>47425</v>
      </c>
      <c r="P775">
        <v>0</v>
      </c>
      <c r="Q775">
        <v>1</v>
      </c>
      <c r="R775" t="s">
        <v>47426</v>
      </c>
      <c r="S775" t="s">
        <v>47531</v>
      </c>
      <c r="T775" t="s">
        <v>49200</v>
      </c>
      <c r="U775" t="s">
        <v>50352</v>
      </c>
      <c r="W775" t="s">
        <v>43382</v>
      </c>
      <c r="X775" t="s">
        <v>47428</v>
      </c>
    </row>
    <row r="776" spans="1:24">
      <c r="A776">
        <f>HYPERLINK("https://www.philgeps.gov.ph/GEPSNONPILOT/Tender/SplashBidNoticeAbstractUI.aspx?menuIndex=3&amp;refID=7164549&amp;Result=3","7164549")</f>
        <v>0</v>
      </c>
      <c r="B776" t="s">
        <v>379</v>
      </c>
      <c r="C776" t="s">
        <v>4677</v>
      </c>
      <c r="D776" t="s">
        <v>19060</v>
      </c>
      <c r="E776" t="s">
        <v>19839</v>
      </c>
      <c r="F776" t="s">
        <v>32831</v>
      </c>
      <c r="G776" t="s">
        <v>32838</v>
      </c>
      <c r="H776" t="s">
        <v>32848</v>
      </c>
      <c r="I776" t="s">
        <v>32884</v>
      </c>
      <c r="J776" t="s">
        <v>33025</v>
      </c>
      <c r="K776" t="s">
        <v>42732</v>
      </c>
      <c r="M776" t="s">
        <v>43383</v>
      </c>
      <c r="N776" t="s">
        <v>47424</v>
      </c>
      <c r="O776" t="s">
        <v>47425</v>
      </c>
      <c r="P776">
        <v>0</v>
      </c>
      <c r="Q776">
        <v>1</v>
      </c>
      <c r="R776" t="s">
        <v>47426</v>
      </c>
      <c r="S776" t="s">
        <v>47531</v>
      </c>
      <c r="T776" t="s">
        <v>49108</v>
      </c>
      <c r="U776" t="s">
        <v>50353</v>
      </c>
      <c r="W776" t="s">
        <v>43383</v>
      </c>
      <c r="X776" t="s">
        <v>47428</v>
      </c>
    </row>
    <row r="777" spans="1:24">
      <c r="A777">
        <f>HYPERLINK("https://www.philgeps.gov.ph/GEPSNONPILOT/Tender/SplashBidNoticeAbstractUI.aspx?menuIndex=3&amp;refID=7164654&amp;Result=3","7164654")</f>
        <v>0</v>
      </c>
      <c r="B777" t="s">
        <v>366</v>
      </c>
      <c r="C777" t="s">
        <v>4678</v>
      </c>
      <c r="D777" t="s">
        <v>19027</v>
      </c>
      <c r="E777" t="s">
        <v>19822</v>
      </c>
      <c r="F777" t="s">
        <v>32831</v>
      </c>
      <c r="G777" t="s">
        <v>32838</v>
      </c>
      <c r="H777" t="s">
        <v>32848</v>
      </c>
      <c r="I777" t="s">
        <v>9577</v>
      </c>
      <c r="J777" t="s">
        <v>33554</v>
      </c>
      <c r="K777" t="s">
        <v>42748</v>
      </c>
      <c r="L777" t="s">
        <v>366</v>
      </c>
      <c r="M777" t="s">
        <v>43370</v>
      </c>
      <c r="N777" t="s">
        <v>47424</v>
      </c>
      <c r="O777" t="s">
        <v>47425</v>
      </c>
      <c r="P777">
        <v>0</v>
      </c>
      <c r="Q777">
        <v>2</v>
      </c>
      <c r="R777" t="s">
        <v>47426</v>
      </c>
      <c r="S777" t="s">
        <v>47531</v>
      </c>
      <c r="T777" t="s">
        <v>49198</v>
      </c>
      <c r="U777" t="s">
        <v>50354</v>
      </c>
      <c r="V777" t="s">
        <v>62708</v>
      </c>
      <c r="W777" t="s">
        <v>43370</v>
      </c>
      <c r="X777" t="s">
        <v>47427</v>
      </c>
    </row>
    <row r="778" spans="1:24">
      <c r="A778">
        <f>HYPERLINK("https://www.philgeps.gov.ph/GEPSNONPILOT/Tender/SplashBidNoticeAbstractUI.aspx?menuIndex=3&amp;refID=7164683&amp;Result=3","7164683")</f>
        <v>0</v>
      </c>
      <c r="B778" t="s">
        <v>380</v>
      </c>
      <c r="C778" t="s">
        <v>4679</v>
      </c>
      <c r="D778" t="s">
        <v>19061</v>
      </c>
      <c r="E778" t="s">
        <v>19840</v>
      </c>
      <c r="F778" t="s">
        <v>32831</v>
      </c>
      <c r="G778" t="s">
        <v>32839</v>
      </c>
      <c r="H778" t="s">
        <v>32848</v>
      </c>
      <c r="I778" t="s">
        <v>7416</v>
      </c>
      <c r="J778" t="s">
        <v>33565</v>
      </c>
      <c r="K778" t="s">
        <v>42726</v>
      </c>
      <c r="M778" t="s">
        <v>43384</v>
      </c>
      <c r="N778" t="s">
        <v>47424</v>
      </c>
      <c r="O778" t="s">
        <v>47425</v>
      </c>
      <c r="P778">
        <v>0</v>
      </c>
      <c r="Q778">
        <v>0</v>
      </c>
      <c r="R778" t="s">
        <v>47426</v>
      </c>
      <c r="S778" t="s">
        <v>47531</v>
      </c>
      <c r="T778" t="s">
        <v>49070</v>
      </c>
      <c r="U778" t="s">
        <v>50355</v>
      </c>
      <c r="W778" t="s">
        <v>43384</v>
      </c>
      <c r="X778" t="s">
        <v>47427</v>
      </c>
    </row>
    <row r="779" spans="1:24">
      <c r="A779">
        <f>HYPERLINK("https://www.philgeps.gov.ph/GEPSNONPILOT/Tender/SplashBidNoticeAbstractUI.aspx?menuIndex=3&amp;refID=7164682&amp;Result=3","7164682")</f>
        <v>0</v>
      </c>
      <c r="B779" t="s">
        <v>381</v>
      </c>
      <c r="C779" t="s">
        <v>4680</v>
      </c>
      <c r="E779" t="s">
        <v>19434</v>
      </c>
      <c r="F779" t="s">
        <v>32831</v>
      </c>
      <c r="G779" t="s">
        <v>32842</v>
      </c>
      <c r="H779" t="s">
        <v>32848</v>
      </c>
      <c r="I779" t="s">
        <v>32860</v>
      </c>
      <c r="J779" t="s">
        <v>33566</v>
      </c>
      <c r="K779" t="s">
        <v>42732</v>
      </c>
      <c r="M779" t="s">
        <v>43385</v>
      </c>
      <c r="N779" t="s">
        <v>47424</v>
      </c>
      <c r="O779" t="s">
        <v>47425</v>
      </c>
      <c r="P779">
        <v>0</v>
      </c>
      <c r="Q779">
        <v>5</v>
      </c>
      <c r="R779" t="s">
        <v>47426</v>
      </c>
      <c r="S779" t="s">
        <v>47531</v>
      </c>
      <c r="T779" t="s">
        <v>49108</v>
      </c>
      <c r="U779" t="s">
        <v>50356</v>
      </c>
      <c r="W779" t="s">
        <v>43385</v>
      </c>
      <c r="X779" t="s">
        <v>47427</v>
      </c>
    </row>
    <row r="780" spans="1:24">
      <c r="A780">
        <f>HYPERLINK("https://www.philgeps.gov.ph/GEPSNONPILOT/Tender/SplashBidNoticeAbstractUI.aspx?menuIndex=3&amp;refID=7164651&amp;Result=3","7164651")</f>
        <v>0</v>
      </c>
      <c r="B780" t="s">
        <v>382</v>
      </c>
      <c r="C780" t="s">
        <v>4681</v>
      </c>
      <c r="D780" t="s">
        <v>19021</v>
      </c>
      <c r="E780" t="s">
        <v>19841</v>
      </c>
      <c r="F780" t="s">
        <v>32831</v>
      </c>
      <c r="G780" t="s">
        <v>32839</v>
      </c>
      <c r="H780" t="s">
        <v>32849</v>
      </c>
      <c r="I780" t="s">
        <v>4177</v>
      </c>
      <c r="J780" t="s">
        <v>32980</v>
      </c>
      <c r="K780" t="s">
        <v>42726</v>
      </c>
      <c r="M780" t="s">
        <v>43386</v>
      </c>
      <c r="N780" t="s">
        <v>47424</v>
      </c>
      <c r="O780" t="s">
        <v>47425</v>
      </c>
      <c r="P780">
        <v>0</v>
      </c>
      <c r="Q780">
        <v>0</v>
      </c>
      <c r="R780" t="s">
        <v>47426</v>
      </c>
      <c r="S780" t="s">
        <v>47531</v>
      </c>
      <c r="T780" t="s">
        <v>49068</v>
      </c>
      <c r="U780" t="s">
        <v>50348</v>
      </c>
      <c r="V780" t="s">
        <v>62706</v>
      </c>
      <c r="W780" t="s">
        <v>43386</v>
      </c>
      <c r="X780" t="s">
        <v>47427</v>
      </c>
    </row>
    <row r="781" spans="1:24">
      <c r="A781">
        <f>HYPERLINK("https://www.philgeps.gov.ph/GEPSNONPILOT/Tender/SplashBidNoticeAbstractUI.aspx?menuIndex=3&amp;refID=7164681&amp;Result=3","7164681")</f>
        <v>0</v>
      </c>
      <c r="B781" t="s">
        <v>380</v>
      </c>
      <c r="C781" t="s">
        <v>4682</v>
      </c>
      <c r="D781" t="s">
        <v>19061</v>
      </c>
      <c r="E781" t="s">
        <v>19842</v>
      </c>
      <c r="F781" t="s">
        <v>32831</v>
      </c>
      <c r="G781" t="s">
        <v>32839</v>
      </c>
      <c r="H781" t="s">
        <v>32848</v>
      </c>
      <c r="I781" t="s">
        <v>7416</v>
      </c>
      <c r="J781" t="s">
        <v>33567</v>
      </c>
      <c r="K781" t="s">
        <v>42726</v>
      </c>
      <c r="M781" t="s">
        <v>43384</v>
      </c>
      <c r="N781" t="s">
        <v>47424</v>
      </c>
      <c r="O781" t="s">
        <v>47425</v>
      </c>
      <c r="P781">
        <v>0</v>
      </c>
      <c r="Q781">
        <v>0</v>
      </c>
      <c r="R781" t="s">
        <v>47426</v>
      </c>
      <c r="S781" t="s">
        <v>47531</v>
      </c>
      <c r="T781" t="s">
        <v>49070</v>
      </c>
      <c r="U781" t="s">
        <v>50357</v>
      </c>
      <c r="W781" t="s">
        <v>43384</v>
      </c>
      <c r="X781" t="s">
        <v>47427</v>
      </c>
    </row>
    <row r="782" spans="1:24">
      <c r="A782">
        <f>HYPERLINK("https://www.philgeps.gov.ph/GEPSNONPILOT/Tender/SplashBidNoticeAbstractUI.aspx?menuIndex=3&amp;refID=7164680&amp;Result=3","7164680")</f>
        <v>0</v>
      </c>
      <c r="B782" t="s">
        <v>383</v>
      </c>
      <c r="C782" t="s">
        <v>4683</v>
      </c>
      <c r="D782" t="s">
        <v>19061</v>
      </c>
      <c r="E782" t="s">
        <v>19541</v>
      </c>
      <c r="F782" t="s">
        <v>32831</v>
      </c>
      <c r="G782" t="s">
        <v>32840</v>
      </c>
      <c r="H782" t="s">
        <v>32848</v>
      </c>
      <c r="I782" t="s">
        <v>4776</v>
      </c>
      <c r="J782" t="s">
        <v>33568</v>
      </c>
      <c r="K782" t="s">
        <v>42731</v>
      </c>
      <c r="M782" t="s">
        <v>43387</v>
      </c>
      <c r="N782" t="s">
        <v>47424</v>
      </c>
      <c r="O782" t="s">
        <v>47425</v>
      </c>
      <c r="P782">
        <v>0</v>
      </c>
      <c r="Q782">
        <v>0</v>
      </c>
      <c r="R782" t="s">
        <v>47426</v>
      </c>
      <c r="S782" t="s">
        <v>47531</v>
      </c>
      <c r="T782" t="s">
        <v>49125</v>
      </c>
      <c r="U782" t="s">
        <v>50358</v>
      </c>
      <c r="W782" t="s">
        <v>43387</v>
      </c>
      <c r="X782" t="s">
        <v>47427</v>
      </c>
    </row>
    <row r="783" spans="1:24">
      <c r="A783">
        <f>HYPERLINK("https://www.philgeps.gov.ph/GEPSNONPILOT/Tender/SplashBidNoticeAbstractUI.aspx?menuIndex=3&amp;refID=7164677&amp;Result=3","7164677")</f>
        <v>0</v>
      </c>
      <c r="B783" t="s">
        <v>384</v>
      </c>
      <c r="C783" t="s">
        <v>4684</v>
      </c>
      <c r="E783" t="s">
        <v>19843</v>
      </c>
      <c r="F783" t="s">
        <v>32831</v>
      </c>
      <c r="G783" t="s">
        <v>32839</v>
      </c>
      <c r="H783" t="s">
        <v>32848</v>
      </c>
      <c r="I783" t="s">
        <v>32903</v>
      </c>
      <c r="J783" t="s">
        <v>33569</v>
      </c>
      <c r="K783" t="s">
        <v>42732</v>
      </c>
      <c r="M783" t="s">
        <v>43388</v>
      </c>
      <c r="N783" t="s">
        <v>47424</v>
      </c>
      <c r="O783" t="s">
        <v>47425</v>
      </c>
      <c r="P783">
        <v>0</v>
      </c>
      <c r="Q783">
        <v>0</v>
      </c>
      <c r="R783" t="s">
        <v>47426</v>
      </c>
      <c r="S783" t="s">
        <v>47531</v>
      </c>
      <c r="T783" t="s">
        <v>49066</v>
      </c>
      <c r="U783" t="s">
        <v>50359</v>
      </c>
      <c r="W783" t="s">
        <v>43388</v>
      </c>
      <c r="X783" t="s">
        <v>47427</v>
      </c>
    </row>
    <row r="784" spans="1:24">
      <c r="A784">
        <f>HYPERLINK("https://www.philgeps.gov.ph/GEPSNONPILOT/Tender/SplashBidNoticeAbstractUI.aspx?menuIndex=3&amp;refID=7164648&amp;Result=3","7164648")</f>
        <v>0</v>
      </c>
      <c r="B784" t="s">
        <v>385</v>
      </c>
      <c r="C784" t="s">
        <v>4672</v>
      </c>
      <c r="D784" t="s">
        <v>19021</v>
      </c>
      <c r="E784" t="s">
        <v>19844</v>
      </c>
      <c r="F784" t="s">
        <v>32831</v>
      </c>
      <c r="G784" t="s">
        <v>32839</v>
      </c>
      <c r="H784" t="s">
        <v>32849</v>
      </c>
      <c r="I784" t="s">
        <v>4177</v>
      </c>
      <c r="J784" t="s">
        <v>33364</v>
      </c>
      <c r="K784" t="s">
        <v>42726</v>
      </c>
      <c r="M784" t="s">
        <v>43389</v>
      </c>
      <c r="N784" t="s">
        <v>47424</v>
      </c>
      <c r="O784" t="s">
        <v>47425</v>
      </c>
      <c r="P784">
        <v>0</v>
      </c>
      <c r="Q784">
        <v>0</v>
      </c>
      <c r="R784" t="s">
        <v>47426</v>
      </c>
      <c r="S784" t="s">
        <v>47531</v>
      </c>
      <c r="T784" t="s">
        <v>49068</v>
      </c>
      <c r="U784" t="s">
        <v>50348</v>
      </c>
      <c r="V784" t="s">
        <v>62706</v>
      </c>
      <c r="W784" t="s">
        <v>43389</v>
      </c>
      <c r="X784" t="s">
        <v>47427</v>
      </c>
    </row>
    <row r="785" spans="1:24">
      <c r="A785">
        <f>HYPERLINK("https://www.philgeps.gov.ph/GEPSNONPILOT/Tender/SplashBidNoticeAbstractUI.aspx?menuIndex=3&amp;refID=7164674&amp;Result=3","7164674")</f>
        <v>0</v>
      </c>
      <c r="B785" t="s">
        <v>383</v>
      </c>
      <c r="C785" t="s">
        <v>4685</v>
      </c>
      <c r="D785" t="s">
        <v>19061</v>
      </c>
      <c r="E785" t="s">
        <v>19845</v>
      </c>
      <c r="F785" t="s">
        <v>32831</v>
      </c>
      <c r="G785" t="s">
        <v>32838</v>
      </c>
      <c r="H785" t="s">
        <v>32848</v>
      </c>
      <c r="I785" t="s">
        <v>7416</v>
      </c>
      <c r="J785" t="s">
        <v>33568</v>
      </c>
      <c r="K785" t="s">
        <v>42731</v>
      </c>
      <c r="M785" t="s">
        <v>43387</v>
      </c>
      <c r="N785" t="s">
        <v>47424</v>
      </c>
      <c r="O785" t="s">
        <v>47425</v>
      </c>
      <c r="P785">
        <v>0</v>
      </c>
      <c r="Q785">
        <v>0</v>
      </c>
      <c r="R785" t="s">
        <v>47426</v>
      </c>
      <c r="S785" t="s">
        <v>47531</v>
      </c>
      <c r="T785" t="s">
        <v>49125</v>
      </c>
      <c r="U785" t="s">
        <v>50360</v>
      </c>
      <c r="W785" t="s">
        <v>43387</v>
      </c>
      <c r="X785" t="s">
        <v>47427</v>
      </c>
    </row>
    <row r="786" spans="1:24">
      <c r="A786">
        <f>HYPERLINK("https://www.philgeps.gov.ph/GEPSNONPILOT/Tender/SplashBidNoticeAbstractUI.aspx?menuIndex=3&amp;refID=7164670&amp;Result=3","7164670")</f>
        <v>0</v>
      </c>
      <c r="B786" t="s">
        <v>386</v>
      </c>
      <c r="C786" t="s">
        <v>4686</v>
      </c>
      <c r="D786" t="s">
        <v>19035</v>
      </c>
      <c r="E786" t="s">
        <v>19846</v>
      </c>
      <c r="F786" t="s">
        <v>32831</v>
      </c>
      <c r="G786" t="s">
        <v>32838</v>
      </c>
      <c r="H786" t="s">
        <v>32848</v>
      </c>
      <c r="I786" t="s">
        <v>4438</v>
      </c>
      <c r="J786" t="s">
        <v>33570</v>
      </c>
      <c r="K786" t="s">
        <v>42726</v>
      </c>
      <c r="M786" t="s">
        <v>43390</v>
      </c>
      <c r="N786" t="s">
        <v>47424</v>
      </c>
      <c r="O786" t="s">
        <v>47425</v>
      </c>
      <c r="P786">
        <v>0</v>
      </c>
      <c r="Q786">
        <v>1</v>
      </c>
      <c r="R786" t="s">
        <v>47426</v>
      </c>
      <c r="S786" t="s">
        <v>47531</v>
      </c>
      <c r="T786" t="s">
        <v>49056</v>
      </c>
      <c r="U786" t="s">
        <v>50361</v>
      </c>
      <c r="V786" t="s">
        <v>62709</v>
      </c>
      <c r="W786" t="s">
        <v>43390</v>
      </c>
      <c r="X786" t="s">
        <v>47427</v>
      </c>
    </row>
    <row r="787" spans="1:24">
      <c r="A787">
        <f>HYPERLINK("https://www.philgeps.gov.ph/GEPSNONPILOT/Tender/SplashBidNoticeAbstractUI.aspx?menuIndex=3&amp;refID=7164491&amp;Result=3","7164491")</f>
        <v>0</v>
      </c>
      <c r="B787" t="s">
        <v>362</v>
      </c>
      <c r="C787" t="s">
        <v>4687</v>
      </c>
      <c r="D787" t="s">
        <v>19023</v>
      </c>
      <c r="E787" t="s">
        <v>19847</v>
      </c>
      <c r="F787" t="s">
        <v>32831</v>
      </c>
      <c r="G787" t="s">
        <v>32838</v>
      </c>
      <c r="H787" t="s">
        <v>32848</v>
      </c>
      <c r="I787" t="s">
        <v>32862</v>
      </c>
      <c r="J787" t="s">
        <v>33313</v>
      </c>
      <c r="K787" t="s">
        <v>42726</v>
      </c>
      <c r="M787" t="s">
        <v>43366</v>
      </c>
      <c r="N787" t="s">
        <v>47424</v>
      </c>
      <c r="O787" t="s">
        <v>47425</v>
      </c>
      <c r="P787">
        <v>0</v>
      </c>
      <c r="Q787">
        <v>2</v>
      </c>
      <c r="R787" t="s">
        <v>47426</v>
      </c>
      <c r="S787" t="s">
        <v>47531</v>
      </c>
      <c r="T787" t="s">
        <v>49079</v>
      </c>
      <c r="U787" t="s">
        <v>50326</v>
      </c>
      <c r="W787" t="s">
        <v>43366</v>
      </c>
      <c r="X787" t="s">
        <v>47428</v>
      </c>
    </row>
    <row r="788" spans="1:24">
      <c r="A788">
        <f>HYPERLINK("https://www.philgeps.gov.ph/GEPSNONPILOT/Tender/SplashBidNoticeAbstractUI.aspx?menuIndex=3&amp;refID=7164667&amp;Result=3","7164667")</f>
        <v>0</v>
      </c>
      <c r="B788" t="s">
        <v>387</v>
      </c>
      <c r="C788" t="s">
        <v>4688</v>
      </c>
      <c r="D788" t="s">
        <v>19045</v>
      </c>
      <c r="E788" t="s">
        <v>19434</v>
      </c>
      <c r="F788" t="s">
        <v>32831</v>
      </c>
      <c r="G788" t="s">
        <v>32838</v>
      </c>
      <c r="H788" t="s">
        <v>32848</v>
      </c>
      <c r="I788" t="s">
        <v>7437</v>
      </c>
      <c r="J788" t="s">
        <v>33571</v>
      </c>
      <c r="K788" t="s">
        <v>42730</v>
      </c>
      <c r="M788" t="s">
        <v>43391</v>
      </c>
      <c r="N788" t="s">
        <v>47424</v>
      </c>
      <c r="O788" t="s">
        <v>47425</v>
      </c>
      <c r="P788">
        <v>0</v>
      </c>
      <c r="Q788">
        <v>2</v>
      </c>
      <c r="R788" t="s">
        <v>47426</v>
      </c>
      <c r="S788" t="s">
        <v>47531</v>
      </c>
      <c r="T788" t="s">
        <v>49119</v>
      </c>
      <c r="U788" t="s">
        <v>50362</v>
      </c>
      <c r="W788" t="s">
        <v>43391</v>
      </c>
      <c r="X788" t="s">
        <v>47427</v>
      </c>
    </row>
    <row r="789" spans="1:24">
      <c r="A789">
        <f>HYPERLINK("https://www.philgeps.gov.ph/GEPSNONPILOT/Tender/SplashBidNoticeAbstractUI.aspx?menuIndex=3&amp;refID=7164665&amp;Result=3","7164665")</f>
        <v>0</v>
      </c>
      <c r="B789" t="s">
        <v>217</v>
      </c>
      <c r="C789" t="s">
        <v>4689</v>
      </c>
      <c r="D789" t="s">
        <v>19037</v>
      </c>
      <c r="E789" t="s">
        <v>19848</v>
      </c>
      <c r="F789" t="s">
        <v>32831</v>
      </c>
      <c r="G789" t="s">
        <v>32839</v>
      </c>
      <c r="H789" t="s">
        <v>32848</v>
      </c>
      <c r="I789" t="s">
        <v>7416</v>
      </c>
      <c r="J789" t="s">
        <v>33572</v>
      </c>
      <c r="K789" t="s">
        <v>42730</v>
      </c>
      <c r="M789" t="s">
        <v>43392</v>
      </c>
      <c r="N789" t="s">
        <v>47424</v>
      </c>
      <c r="O789" t="s">
        <v>47425</v>
      </c>
      <c r="P789">
        <v>0</v>
      </c>
      <c r="Q789">
        <v>0</v>
      </c>
      <c r="R789" t="s">
        <v>47426</v>
      </c>
      <c r="S789" t="s">
        <v>47531</v>
      </c>
      <c r="T789" t="s">
        <v>49057</v>
      </c>
      <c r="U789" t="s">
        <v>50363</v>
      </c>
      <c r="W789" t="s">
        <v>43392</v>
      </c>
      <c r="X789" t="s">
        <v>47427</v>
      </c>
    </row>
    <row r="790" spans="1:24">
      <c r="A790">
        <f>HYPERLINK("https://www.philgeps.gov.ph/GEPSNONPILOT/Tender/SplashBidNoticeAbstractUI.aspx?menuIndex=3&amp;refID=7164653&amp;Result=3","7164653")</f>
        <v>0</v>
      </c>
      <c r="B790" t="s">
        <v>372</v>
      </c>
      <c r="C790" t="s">
        <v>4690</v>
      </c>
      <c r="D790" t="s">
        <v>19054</v>
      </c>
      <c r="E790" t="s">
        <v>19849</v>
      </c>
      <c r="F790" t="s">
        <v>32831</v>
      </c>
      <c r="G790" t="s">
        <v>32838</v>
      </c>
      <c r="H790" t="s">
        <v>32848</v>
      </c>
      <c r="I790" t="s">
        <v>4776</v>
      </c>
      <c r="J790" t="s">
        <v>33573</v>
      </c>
      <c r="K790" t="s">
        <v>42731</v>
      </c>
      <c r="M790" t="s">
        <v>43376</v>
      </c>
      <c r="N790" t="s">
        <v>47424</v>
      </c>
      <c r="O790" t="s">
        <v>47425</v>
      </c>
      <c r="P790">
        <v>0</v>
      </c>
      <c r="Q790">
        <v>0</v>
      </c>
      <c r="R790" t="s">
        <v>47426</v>
      </c>
      <c r="S790" t="s">
        <v>47531</v>
      </c>
      <c r="T790" t="s">
        <v>49150</v>
      </c>
      <c r="U790" t="s">
        <v>50364</v>
      </c>
      <c r="V790" t="s">
        <v>62705</v>
      </c>
      <c r="W790" t="s">
        <v>43376</v>
      </c>
      <c r="X790" t="s">
        <v>47427</v>
      </c>
    </row>
    <row r="791" spans="1:24">
      <c r="A791">
        <f>HYPERLINK("https://www.philgeps.gov.ph/GEPSNONPILOT/Tender/SplashBidNoticeAbstractUI.aspx?menuIndex=3&amp;refID=7164663&amp;Result=3","7164663")</f>
        <v>0</v>
      </c>
      <c r="B791" t="s">
        <v>388</v>
      </c>
      <c r="C791" t="s">
        <v>4691</v>
      </c>
      <c r="D791" t="s">
        <v>19057</v>
      </c>
      <c r="E791" t="s">
        <v>19850</v>
      </c>
      <c r="F791" t="s">
        <v>32831</v>
      </c>
      <c r="G791" t="s">
        <v>32839</v>
      </c>
      <c r="H791" t="s">
        <v>32849</v>
      </c>
      <c r="I791" t="s">
        <v>4177</v>
      </c>
      <c r="J791" t="s">
        <v>33574</v>
      </c>
      <c r="K791" t="s">
        <v>42787</v>
      </c>
      <c r="M791" t="s">
        <v>43393</v>
      </c>
      <c r="N791" t="s">
        <v>47424</v>
      </c>
      <c r="O791" t="s">
        <v>47425</v>
      </c>
      <c r="P791">
        <v>0</v>
      </c>
      <c r="Q791">
        <v>2</v>
      </c>
      <c r="R791" t="s">
        <v>47426</v>
      </c>
      <c r="S791" t="s">
        <v>47531</v>
      </c>
      <c r="T791" t="s">
        <v>49059</v>
      </c>
      <c r="U791" t="s">
        <v>50365</v>
      </c>
      <c r="W791" t="s">
        <v>43393</v>
      </c>
      <c r="X791" t="s">
        <v>47427</v>
      </c>
    </row>
    <row r="792" spans="1:24">
      <c r="A792">
        <f>HYPERLINK("https://www.philgeps.gov.ph/GEPSNONPILOT/Tender/SplashBidNoticeAbstractUI.aspx?menuIndex=3&amp;refID=7164673&amp;Result=3","7164673")</f>
        <v>0</v>
      </c>
      <c r="B792" t="s">
        <v>389</v>
      </c>
      <c r="C792" t="s">
        <v>4692</v>
      </c>
      <c r="D792" t="s">
        <v>19045</v>
      </c>
      <c r="E792" t="s">
        <v>19851</v>
      </c>
      <c r="F792" t="s">
        <v>32831</v>
      </c>
      <c r="G792" t="s">
        <v>32839</v>
      </c>
      <c r="H792" t="s">
        <v>32848</v>
      </c>
      <c r="I792" t="s">
        <v>7416</v>
      </c>
      <c r="J792" t="s">
        <v>33575</v>
      </c>
      <c r="K792" t="s">
        <v>42730</v>
      </c>
      <c r="M792" t="s">
        <v>43394</v>
      </c>
      <c r="N792" t="s">
        <v>47424</v>
      </c>
      <c r="O792" t="s">
        <v>47425</v>
      </c>
      <c r="P792">
        <v>0</v>
      </c>
      <c r="Q792">
        <v>0</v>
      </c>
      <c r="R792" t="s">
        <v>47426</v>
      </c>
      <c r="S792" t="s">
        <v>47531</v>
      </c>
      <c r="T792" t="s">
        <v>49201</v>
      </c>
      <c r="U792" t="s">
        <v>50366</v>
      </c>
      <c r="W792" t="s">
        <v>43394</v>
      </c>
      <c r="X792" t="s">
        <v>47427</v>
      </c>
    </row>
    <row r="793" spans="1:24">
      <c r="A793">
        <f>HYPERLINK("https://www.philgeps.gov.ph/GEPSNONPILOT/Tender/SplashBidNoticeAbstractUI.aspx?menuIndex=3&amp;refID=7164694&amp;Result=3","7164694")</f>
        <v>0</v>
      </c>
      <c r="B793" t="s">
        <v>217</v>
      </c>
      <c r="C793" t="s">
        <v>4693</v>
      </c>
      <c r="D793" t="s">
        <v>19037</v>
      </c>
      <c r="E793" t="s">
        <v>19852</v>
      </c>
      <c r="F793" t="s">
        <v>32831</v>
      </c>
      <c r="G793" t="s">
        <v>32839</v>
      </c>
      <c r="H793" t="s">
        <v>32849</v>
      </c>
      <c r="I793" t="s">
        <v>4177</v>
      </c>
      <c r="J793" t="s">
        <v>33118</v>
      </c>
      <c r="K793" t="s">
        <v>42730</v>
      </c>
      <c r="M793" t="s">
        <v>43392</v>
      </c>
      <c r="N793" t="s">
        <v>47424</v>
      </c>
      <c r="O793" t="s">
        <v>47425</v>
      </c>
      <c r="P793">
        <v>0</v>
      </c>
      <c r="Q793">
        <v>1</v>
      </c>
      <c r="R793" t="s">
        <v>47426</v>
      </c>
      <c r="S793" t="s">
        <v>47531</v>
      </c>
      <c r="T793" t="s">
        <v>49202</v>
      </c>
      <c r="U793" t="s">
        <v>50367</v>
      </c>
      <c r="W793" t="s">
        <v>43392</v>
      </c>
      <c r="X793" t="s">
        <v>47427</v>
      </c>
    </row>
    <row r="794" spans="1:24">
      <c r="A794">
        <f>HYPERLINK("https://www.philgeps.gov.ph/GEPSNONPILOT/Tender/SplashBidNoticeAbstractUI.aspx?menuIndex=3&amp;refID=7164708&amp;Result=3","7164708")</f>
        <v>0</v>
      </c>
      <c r="B794" t="s">
        <v>390</v>
      </c>
      <c r="C794" t="s">
        <v>4694</v>
      </c>
      <c r="D794" t="s">
        <v>19026</v>
      </c>
      <c r="E794" t="s">
        <v>19853</v>
      </c>
      <c r="F794" t="s">
        <v>32831</v>
      </c>
      <c r="G794" t="s">
        <v>32840</v>
      </c>
      <c r="H794" t="s">
        <v>32848</v>
      </c>
      <c r="I794" t="s">
        <v>7416</v>
      </c>
      <c r="J794" t="s">
        <v>33133</v>
      </c>
      <c r="K794" t="s">
        <v>42759</v>
      </c>
      <c r="M794" t="s">
        <v>43395</v>
      </c>
      <c r="N794" t="s">
        <v>47424</v>
      </c>
      <c r="O794" t="s">
        <v>47425</v>
      </c>
      <c r="P794">
        <v>0</v>
      </c>
      <c r="Q794">
        <v>0</v>
      </c>
      <c r="R794" t="s">
        <v>47426</v>
      </c>
      <c r="S794" t="s">
        <v>47531</v>
      </c>
      <c r="T794" t="s">
        <v>49100</v>
      </c>
      <c r="U794" t="s">
        <v>50368</v>
      </c>
      <c r="W794" t="s">
        <v>43395</v>
      </c>
      <c r="X794" t="s">
        <v>47427</v>
      </c>
    </row>
    <row r="795" spans="1:24">
      <c r="A795">
        <f>HYPERLINK("https://www.philgeps.gov.ph/GEPSNONPILOT/Tender/SplashBidNoticeAbstractUI.aspx?menuIndex=3&amp;refID=7164676&amp;Result=3","7164676")</f>
        <v>0</v>
      </c>
      <c r="B795" t="s">
        <v>383</v>
      </c>
      <c r="C795" t="s">
        <v>4695</v>
      </c>
      <c r="D795" t="s">
        <v>19061</v>
      </c>
      <c r="E795" t="s">
        <v>19854</v>
      </c>
      <c r="F795" t="s">
        <v>32831</v>
      </c>
      <c r="G795" t="s">
        <v>32838</v>
      </c>
      <c r="H795" t="s">
        <v>32848</v>
      </c>
      <c r="I795" t="s">
        <v>7416</v>
      </c>
      <c r="J795" t="s">
        <v>33292</v>
      </c>
      <c r="K795" t="s">
        <v>42731</v>
      </c>
      <c r="M795" t="s">
        <v>43387</v>
      </c>
      <c r="N795" t="s">
        <v>47424</v>
      </c>
      <c r="O795" t="s">
        <v>47425</v>
      </c>
      <c r="P795">
        <v>0</v>
      </c>
      <c r="Q795">
        <v>0</v>
      </c>
      <c r="R795" t="s">
        <v>47426</v>
      </c>
      <c r="S795" t="s">
        <v>47531</v>
      </c>
      <c r="T795" t="s">
        <v>49125</v>
      </c>
      <c r="U795" t="s">
        <v>50369</v>
      </c>
      <c r="W795" t="s">
        <v>43387</v>
      </c>
      <c r="X795" t="s">
        <v>47427</v>
      </c>
    </row>
    <row r="796" spans="1:24">
      <c r="A796">
        <f>HYPERLINK("https://www.philgeps.gov.ph/GEPSNONPILOT/Tender/SplashBidNoticeAbstractUI.aspx?menuIndex=3&amp;refID=7164640&amp;Result=3","7164640")</f>
        <v>0</v>
      </c>
      <c r="B796" t="s">
        <v>391</v>
      </c>
      <c r="C796" t="s">
        <v>4696</v>
      </c>
      <c r="D796" t="s">
        <v>19090</v>
      </c>
      <c r="E796" t="s">
        <v>19855</v>
      </c>
      <c r="F796" t="s">
        <v>32831</v>
      </c>
      <c r="G796" t="s">
        <v>32838</v>
      </c>
      <c r="H796" t="s">
        <v>32848</v>
      </c>
      <c r="I796" t="s">
        <v>32858</v>
      </c>
      <c r="J796" t="s">
        <v>32978</v>
      </c>
      <c r="K796" t="s">
        <v>42758</v>
      </c>
      <c r="M796" t="s">
        <v>43396</v>
      </c>
      <c r="N796" t="s">
        <v>47424</v>
      </c>
      <c r="O796" t="s">
        <v>47425</v>
      </c>
      <c r="P796">
        <v>0</v>
      </c>
      <c r="Q796">
        <v>0</v>
      </c>
      <c r="R796" t="s">
        <v>47426</v>
      </c>
      <c r="S796" t="s">
        <v>47531</v>
      </c>
      <c r="T796" t="s">
        <v>49056</v>
      </c>
      <c r="U796" t="s">
        <v>50370</v>
      </c>
      <c r="W796" t="s">
        <v>43396</v>
      </c>
      <c r="X796" t="s">
        <v>47428</v>
      </c>
    </row>
    <row r="797" spans="1:24">
      <c r="A797">
        <f>HYPERLINK("https://www.philgeps.gov.ph/GEPSNONPILOT/Tender/SplashBidNoticeAbstractUI.aspx?menuIndex=3&amp;refID=7164702&amp;Result=3","7164702")</f>
        <v>0</v>
      </c>
      <c r="B797" t="s">
        <v>392</v>
      </c>
      <c r="C797" t="s">
        <v>4697</v>
      </c>
      <c r="D797" t="s">
        <v>19022</v>
      </c>
      <c r="E797" t="s">
        <v>19856</v>
      </c>
      <c r="F797" t="s">
        <v>32831</v>
      </c>
      <c r="G797" t="s">
        <v>32839</v>
      </c>
      <c r="H797" t="s">
        <v>32849</v>
      </c>
      <c r="I797" t="s">
        <v>4177</v>
      </c>
      <c r="J797" t="s">
        <v>32985</v>
      </c>
      <c r="K797" t="s">
        <v>42730</v>
      </c>
      <c r="M797" t="s">
        <v>43397</v>
      </c>
      <c r="N797" t="s">
        <v>47424</v>
      </c>
      <c r="O797" t="s">
        <v>47425</v>
      </c>
      <c r="P797">
        <v>0</v>
      </c>
      <c r="Q797">
        <v>2</v>
      </c>
      <c r="R797" t="s">
        <v>47426</v>
      </c>
      <c r="S797" t="s">
        <v>47531</v>
      </c>
      <c r="T797" t="s">
        <v>49080</v>
      </c>
      <c r="U797" t="s">
        <v>50371</v>
      </c>
      <c r="W797" t="s">
        <v>43397</v>
      </c>
      <c r="X797" t="s">
        <v>47427</v>
      </c>
    </row>
    <row r="798" spans="1:24">
      <c r="A798">
        <f>HYPERLINK("https://www.philgeps.gov.ph/GEPSNONPILOT/Tender/SplashBidNoticeAbstractUI.aspx?menuIndex=3&amp;refID=7164700&amp;Result=3","7164700")</f>
        <v>0</v>
      </c>
      <c r="B798" t="s">
        <v>383</v>
      </c>
      <c r="C798" t="s">
        <v>4698</v>
      </c>
      <c r="D798" t="s">
        <v>19061</v>
      </c>
      <c r="E798" t="s">
        <v>19857</v>
      </c>
      <c r="F798" t="s">
        <v>32831</v>
      </c>
      <c r="G798" t="s">
        <v>32840</v>
      </c>
      <c r="H798" t="s">
        <v>32848</v>
      </c>
      <c r="I798" t="s">
        <v>9577</v>
      </c>
      <c r="J798" t="s">
        <v>33100</v>
      </c>
      <c r="K798" t="s">
        <v>42731</v>
      </c>
      <c r="M798" t="s">
        <v>43387</v>
      </c>
      <c r="N798" t="s">
        <v>47424</v>
      </c>
      <c r="O798" t="s">
        <v>47425</v>
      </c>
      <c r="P798">
        <v>0</v>
      </c>
      <c r="Q798">
        <v>0</v>
      </c>
      <c r="R798" t="s">
        <v>47426</v>
      </c>
      <c r="S798" t="s">
        <v>47531</v>
      </c>
      <c r="T798" t="s">
        <v>49125</v>
      </c>
      <c r="U798" t="s">
        <v>50372</v>
      </c>
      <c r="W798" t="s">
        <v>43387</v>
      </c>
      <c r="X798" t="s">
        <v>47427</v>
      </c>
    </row>
    <row r="799" spans="1:24">
      <c r="A799">
        <f>HYPERLINK("https://www.philgeps.gov.ph/GEPSNONPILOT/Tender/SplashBidNoticeAbstractUI.aspx?menuIndex=3&amp;refID=7164666&amp;Result=3","7164666")</f>
        <v>0</v>
      </c>
      <c r="B799" t="s">
        <v>393</v>
      </c>
      <c r="C799" t="s">
        <v>4699</v>
      </c>
      <c r="D799" t="s">
        <v>19086</v>
      </c>
      <c r="E799" t="s">
        <v>19858</v>
      </c>
      <c r="F799" t="s">
        <v>32831</v>
      </c>
      <c r="G799" t="s">
        <v>32838</v>
      </c>
      <c r="H799" t="s">
        <v>32848</v>
      </c>
      <c r="I799" t="s">
        <v>9577</v>
      </c>
      <c r="J799" t="s">
        <v>33576</v>
      </c>
      <c r="K799" t="s">
        <v>42726</v>
      </c>
      <c r="M799" t="s">
        <v>43398</v>
      </c>
      <c r="N799" t="s">
        <v>47424</v>
      </c>
      <c r="O799" t="s">
        <v>47425</v>
      </c>
      <c r="P799">
        <v>0</v>
      </c>
      <c r="Q799">
        <v>9</v>
      </c>
      <c r="R799" t="s">
        <v>47426</v>
      </c>
      <c r="S799" t="s">
        <v>47531</v>
      </c>
      <c r="T799" t="s">
        <v>49203</v>
      </c>
      <c r="U799" t="s">
        <v>50373</v>
      </c>
      <c r="W799" t="s">
        <v>43398</v>
      </c>
      <c r="X799" t="s">
        <v>47427</v>
      </c>
    </row>
    <row r="800" spans="1:24">
      <c r="A800">
        <f>HYPERLINK("https://www.philgeps.gov.ph/GEPSNONPILOT/Tender/SplashBidNoticeAbstractUI.aspx?menuIndex=3&amp;refID=7164699&amp;Result=3","7164699")</f>
        <v>0</v>
      </c>
      <c r="B800" t="s">
        <v>394</v>
      </c>
      <c r="C800" t="s">
        <v>4700</v>
      </c>
      <c r="D800" t="s">
        <v>19074</v>
      </c>
      <c r="E800" t="s">
        <v>19859</v>
      </c>
      <c r="F800" t="s">
        <v>32831</v>
      </c>
      <c r="G800" t="s">
        <v>32839</v>
      </c>
      <c r="H800" t="s">
        <v>32849</v>
      </c>
      <c r="I800" t="s">
        <v>4177</v>
      </c>
      <c r="J800" t="s">
        <v>33090</v>
      </c>
      <c r="K800" t="s">
        <v>42729</v>
      </c>
      <c r="M800" t="s">
        <v>43399</v>
      </c>
      <c r="N800" t="s">
        <v>47424</v>
      </c>
      <c r="O800" t="s">
        <v>47425</v>
      </c>
      <c r="P800">
        <v>0</v>
      </c>
      <c r="Q800">
        <v>0</v>
      </c>
      <c r="R800" t="s">
        <v>47426</v>
      </c>
      <c r="S800" t="s">
        <v>47531</v>
      </c>
      <c r="T800" t="s">
        <v>49070</v>
      </c>
      <c r="U800" t="s">
        <v>50374</v>
      </c>
      <c r="W800" t="s">
        <v>43399</v>
      </c>
      <c r="X800" t="s">
        <v>47427</v>
      </c>
    </row>
    <row r="801" spans="1:24">
      <c r="A801">
        <f>HYPERLINK("https://www.philgeps.gov.ph/GEPSNONPILOT/Tender/SplashBidNoticeAbstractUI.aspx?menuIndex=3&amp;refID=7164697&amp;Result=3","7164697")</f>
        <v>0</v>
      </c>
      <c r="B801" t="s">
        <v>217</v>
      </c>
      <c r="C801" t="s">
        <v>4701</v>
      </c>
      <c r="D801" t="s">
        <v>19037</v>
      </c>
      <c r="E801" t="s">
        <v>19860</v>
      </c>
      <c r="F801" t="s">
        <v>32831</v>
      </c>
      <c r="G801" t="s">
        <v>32839</v>
      </c>
      <c r="H801" t="s">
        <v>32848</v>
      </c>
      <c r="I801" t="s">
        <v>32857</v>
      </c>
      <c r="J801" t="s">
        <v>33577</v>
      </c>
      <c r="K801" t="s">
        <v>42730</v>
      </c>
      <c r="M801" t="s">
        <v>43392</v>
      </c>
      <c r="N801" t="s">
        <v>47424</v>
      </c>
      <c r="O801" t="s">
        <v>47425</v>
      </c>
      <c r="P801">
        <v>0</v>
      </c>
      <c r="Q801">
        <v>6</v>
      </c>
      <c r="R801" t="s">
        <v>47426</v>
      </c>
      <c r="S801" t="s">
        <v>47531</v>
      </c>
      <c r="T801" t="s">
        <v>49202</v>
      </c>
      <c r="U801" t="s">
        <v>50375</v>
      </c>
      <c r="W801" t="s">
        <v>43392</v>
      </c>
      <c r="X801" t="s">
        <v>47427</v>
      </c>
    </row>
    <row r="802" spans="1:24">
      <c r="A802">
        <f>HYPERLINK("https://www.philgeps.gov.ph/GEPSNONPILOT/Tender/SplashBidNoticeAbstractUI.aspx?menuIndex=3&amp;refID=7164679&amp;Result=3","7164679")</f>
        <v>0</v>
      </c>
      <c r="B802" t="s">
        <v>383</v>
      </c>
      <c r="C802" t="s">
        <v>4702</v>
      </c>
      <c r="D802" t="s">
        <v>19061</v>
      </c>
      <c r="E802" t="s">
        <v>19861</v>
      </c>
      <c r="F802" t="s">
        <v>32831</v>
      </c>
      <c r="G802" t="s">
        <v>32840</v>
      </c>
      <c r="H802" t="s">
        <v>32848</v>
      </c>
      <c r="I802" t="s">
        <v>4776</v>
      </c>
      <c r="J802" t="s">
        <v>33578</v>
      </c>
      <c r="K802" t="s">
        <v>42731</v>
      </c>
      <c r="M802" t="s">
        <v>43387</v>
      </c>
      <c r="N802" t="s">
        <v>47424</v>
      </c>
      <c r="O802" t="s">
        <v>47425</v>
      </c>
      <c r="P802">
        <v>0</v>
      </c>
      <c r="Q802">
        <v>0</v>
      </c>
      <c r="R802" t="s">
        <v>47426</v>
      </c>
      <c r="S802" t="s">
        <v>47531</v>
      </c>
      <c r="T802" t="s">
        <v>49125</v>
      </c>
      <c r="U802" t="s">
        <v>50376</v>
      </c>
      <c r="W802" t="s">
        <v>43387</v>
      </c>
      <c r="X802" t="s">
        <v>47427</v>
      </c>
    </row>
    <row r="803" spans="1:24">
      <c r="A803">
        <f>HYPERLINK("https://www.philgeps.gov.ph/GEPSNONPILOT/Tender/SplashBidNoticeAbstractUI.aspx?menuIndex=3&amp;refID=7164691&amp;Result=3","7164691")</f>
        <v>0</v>
      </c>
      <c r="B803" t="s">
        <v>217</v>
      </c>
      <c r="C803" t="s">
        <v>4703</v>
      </c>
      <c r="D803" t="s">
        <v>19037</v>
      </c>
      <c r="E803" t="s">
        <v>19862</v>
      </c>
      <c r="F803" t="s">
        <v>32831</v>
      </c>
      <c r="G803" t="s">
        <v>32839</v>
      </c>
      <c r="H803" t="s">
        <v>32848</v>
      </c>
      <c r="I803" t="s">
        <v>7416</v>
      </c>
      <c r="J803" t="s">
        <v>33579</v>
      </c>
      <c r="K803" t="s">
        <v>42730</v>
      </c>
      <c r="M803" t="s">
        <v>43392</v>
      </c>
      <c r="N803" t="s">
        <v>47424</v>
      </c>
      <c r="O803" t="s">
        <v>47425</v>
      </c>
      <c r="P803">
        <v>0</v>
      </c>
      <c r="Q803">
        <v>0</v>
      </c>
      <c r="R803" t="s">
        <v>47426</v>
      </c>
      <c r="S803" t="s">
        <v>47531</v>
      </c>
      <c r="T803" t="s">
        <v>49057</v>
      </c>
      <c r="U803" t="s">
        <v>50377</v>
      </c>
      <c r="W803" t="s">
        <v>43392</v>
      </c>
      <c r="X803" t="s">
        <v>47427</v>
      </c>
    </row>
    <row r="804" spans="1:24">
      <c r="A804">
        <f>HYPERLINK("https://www.philgeps.gov.ph/GEPSNONPILOT/Tender/SplashBidNoticeAbstractUI.aspx?menuIndex=3&amp;refID=7164698&amp;Result=3","7164698")</f>
        <v>0</v>
      </c>
      <c r="B804" t="s">
        <v>383</v>
      </c>
      <c r="C804" t="s">
        <v>4704</v>
      </c>
      <c r="D804" t="s">
        <v>19061</v>
      </c>
      <c r="E804" t="s">
        <v>19863</v>
      </c>
      <c r="F804" t="s">
        <v>32831</v>
      </c>
      <c r="G804" t="s">
        <v>32840</v>
      </c>
      <c r="H804" t="s">
        <v>32848</v>
      </c>
      <c r="I804" t="s">
        <v>32859</v>
      </c>
      <c r="J804" t="s">
        <v>33580</v>
      </c>
      <c r="K804" t="s">
        <v>42731</v>
      </c>
      <c r="M804" t="s">
        <v>43387</v>
      </c>
      <c r="N804" t="s">
        <v>47424</v>
      </c>
      <c r="O804" t="s">
        <v>47425</v>
      </c>
      <c r="P804">
        <v>0</v>
      </c>
      <c r="Q804">
        <v>2</v>
      </c>
      <c r="R804" t="s">
        <v>47426</v>
      </c>
      <c r="S804" t="s">
        <v>47531</v>
      </c>
      <c r="T804" t="s">
        <v>49125</v>
      </c>
      <c r="U804" t="s">
        <v>50378</v>
      </c>
      <c r="W804" t="s">
        <v>43387</v>
      </c>
      <c r="X804" t="s">
        <v>47427</v>
      </c>
    </row>
    <row r="805" spans="1:24">
      <c r="A805">
        <f>HYPERLINK("https://www.philgeps.gov.ph/GEPSNONPILOT/Tender/SplashBidNoticeAbstractUI.aspx?menuIndex=3&amp;refID=7164690&amp;Result=3","7164690")</f>
        <v>0</v>
      </c>
      <c r="B805" t="s">
        <v>381</v>
      </c>
      <c r="C805" t="s">
        <v>4705</v>
      </c>
      <c r="E805" t="s">
        <v>19864</v>
      </c>
      <c r="F805" t="s">
        <v>32831</v>
      </c>
      <c r="G805" t="s">
        <v>32842</v>
      </c>
      <c r="H805" t="s">
        <v>32848</v>
      </c>
      <c r="I805" t="s">
        <v>32860</v>
      </c>
      <c r="J805" t="s">
        <v>33581</v>
      </c>
      <c r="K805" t="s">
        <v>42732</v>
      </c>
      <c r="M805" t="s">
        <v>43385</v>
      </c>
      <c r="N805" t="s">
        <v>47424</v>
      </c>
      <c r="O805" t="s">
        <v>47425</v>
      </c>
      <c r="P805">
        <v>0</v>
      </c>
      <c r="Q805">
        <v>1</v>
      </c>
      <c r="R805" t="s">
        <v>47426</v>
      </c>
      <c r="S805" t="s">
        <v>47531</v>
      </c>
      <c r="T805" t="s">
        <v>49108</v>
      </c>
      <c r="U805" t="s">
        <v>50379</v>
      </c>
      <c r="W805" t="s">
        <v>43385</v>
      </c>
      <c r="X805" t="s">
        <v>47427</v>
      </c>
    </row>
    <row r="806" spans="1:24">
      <c r="A806">
        <f>HYPERLINK("https://www.philgeps.gov.ph/GEPSNONPILOT/Tender/SplashBidNoticeAbstractUI.aspx?menuIndex=3&amp;refID=7164696&amp;Result=3","7164696")</f>
        <v>0</v>
      </c>
      <c r="B806" t="s">
        <v>383</v>
      </c>
      <c r="C806" t="s">
        <v>4706</v>
      </c>
      <c r="D806" t="s">
        <v>19061</v>
      </c>
      <c r="E806" t="s">
        <v>19865</v>
      </c>
      <c r="F806" t="s">
        <v>32831</v>
      </c>
      <c r="G806" t="s">
        <v>32840</v>
      </c>
      <c r="H806" t="s">
        <v>32848</v>
      </c>
      <c r="I806" t="s">
        <v>32909</v>
      </c>
      <c r="J806" t="s">
        <v>33385</v>
      </c>
      <c r="K806" t="s">
        <v>42731</v>
      </c>
      <c r="M806" t="s">
        <v>43387</v>
      </c>
      <c r="N806" t="s">
        <v>47424</v>
      </c>
      <c r="O806" t="s">
        <v>47425</v>
      </c>
      <c r="P806">
        <v>0</v>
      </c>
      <c r="Q806">
        <v>0</v>
      </c>
      <c r="R806" t="s">
        <v>47426</v>
      </c>
      <c r="S806" t="s">
        <v>47531</v>
      </c>
      <c r="T806" t="s">
        <v>49125</v>
      </c>
      <c r="U806" t="s">
        <v>50380</v>
      </c>
      <c r="W806" t="s">
        <v>43387</v>
      </c>
      <c r="X806" t="s">
        <v>47427</v>
      </c>
    </row>
    <row r="807" spans="1:24">
      <c r="A807">
        <f>HYPERLINK("https://www.philgeps.gov.ph/GEPSNONPILOT/Tender/SplashBidNoticeAbstractUI.aspx?menuIndex=3&amp;refID=7164706&amp;Result=3","7164706")</f>
        <v>0</v>
      </c>
      <c r="B807" t="s">
        <v>395</v>
      </c>
      <c r="C807" t="s">
        <v>4707</v>
      </c>
      <c r="D807" t="s">
        <v>19091</v>
      </c>
      <c r="E807" t="s">
        <v>19486</v>
      </c>
      <c r="F807" t="s">
        <v>32831</v>
      </c>
      <c r="G807" t="s">
        <v>32839</v>
      </c>
      <c r="H807" t="s">
        <v>32849</v>
      </c>
      <c r="I807" t="s">
        <v>4177</v>
      </c>
      <c r="J807" t="s">
        <v>32980</v>
      </c>
      <c r="K807" t="s">
        <v>42727</v>
      </c>
      <c r="M807" t="s">
        <v>43400</v>
      </c>
      <c r="N807" t="s">
        <v>47424</v>
      </c>
      <c r="O807" t="s">
        <v>47425</v>
      </c>
      <c r="P807">
        <v>0</v>
      </c>
      <c r="Q807">
        <v>0</v>
      </c>
      <c r="R807" t="s">
        <v>47426</v>
      </c>
      <c r="S807" t="s">
        <v>47531</v>
      </c>
      <c r="T807" t="s">
        <v>49069</v>
      </c>
      <c r="U807" t="s">
        <v>50381</v>
      </c>
      <c r="W807" t="s">
        <v>43400</v>
      </c>
      <c r="X807" t="s">
        <v>47427</v>
      </c>
    </row>
    <row r="808" spans="1:24">
      <c r="A808">
        <f>HYPERLINK("https://www.philgeps.gov.ph/GEPSNONPILOT/Tender/SplashBidNoticeAbstractUI.aspx?menuIndex=3&amp;refID=7164687&amp;Result=3","7164687")</f>
        <v>0</v>
      </c>
      <c r="B808" t="s">
        <v>381</v>
      </c>
      <c r="C808" t="s">
        <v>4708</v>
      </c>
      <c r="E808" t="s">
        <v>19866</v>
      </c>
      <c r="F808" t="s">
        <v>32831</v>
      </c>
      <c r="G808" t="s">
        <v>32842</v>
      </c>
      <c r="H808" t="s">
        <v>32848</v>
      </c>
      <c r="I808" t="s">
        <v>32860</v>
      </c>
      <c r="J808" t="s">
        <v>33582</v>
      </c>
      <c r="K808" t="s">
        <v>42732</v>
      </c>
      <c r="M808" t="s">
        <v>43385</v>
      </c>
      <c r="N808" t="s">
        <v>47424</v>
      </c>
      <c r="O808" t="s">
        <v>47425</v>
      </c>
      <c r="P808">
        <v>0</v>
      </c>
      <c r="Q808">
        <v>0</v>
      </c>
      <c r="R808" t="s">
        <v>47426</v>
      </c>
      <c r="S808" t="s">
        <v>47531</v>
      </c>
      <c r="T808" t="s">
        <v>49108</v>
      </c>
      <c r="U808" t="s">
        <v>50379</v>
      </c>
      <c r="W808" t="s">
        <v>43385</v>
      </c>
      <c r="X808" t="s">
        <v>47427</v>
      </c>
    </row>
    <row r="809" spans="1:24">
      <c r="A809">
        <f>HYPERLINK("https://www.philgeps.gov.ph/GEPSNONPILOT/Tender/SplashBidNoticeAbstractUI.aspx?menuIndex=3&amp;refID=7164685&amp;Result=3","7164685")</f>
        <v>0</v>
      </c>
      <c r="B809" t="s">
        <v>217</v>
      </c>
      <c r="C809" t="s">
        <v>4709</v>
      </c>
      <c r="D809" t="s">
        <v>19037</v>
      </c>
      <c r="E809" t="s">
        <v>19867</v>
      </c>
      <c r="F809" t="s">
        <v>32831</v>
      </c>
      <c r="G809" t="s">
        <v>32839</v>
      </c>
      <c r="H809" t="s">
        <v>32848</v>
      </c>
      <c r="I809" t="s">
        <v>32902</v>
      </c>
      <c r="J809" t="s">
        <v>33583</v>
      </c>
      <c r="K809" t="s">
        <v>42730</v>
      </c>
      <c r="M809" t="s">
        <v>43392</v>
      </c>
      <c r="N809" t="s">
        <v>47424</v>
      </c>
      <c r="O809" t="s">
        <v>47425</v>
      </c>
      <c r="P809">
        <v>0</v>
      </c>
      <c r="Q809">
        <v>4</v>
      </c>
      <c r="R809" t="s">
        <v>47426</v>
      </c>
      <c r="S809" t="s">
        <v>47531</v>
      </c>
      <c r="T809" t="s">
        <v>49057</v>
      </c>
      <c r="U809" t="s">
        <v>50382</v>
      </c>
      <c r="W809" t="s">
        <v>43392</v>
      </c>
      <c r="X809" t="s">
        <v>47427</v>
      </c>
    </row>
    <row r="810" spans="1:24">
      <c r="A810">
        <f>HYPERLINK("https://www.philgeps.gov.ph/GEPSNONPILOT/Tender/SplashBidNoticeAbstractUI.aspx?menuIndex=3&amp;refID=7164684&amp;Result=3","7164684")</f>
        <v>0</v>
      </c>
      <c r="B810" t="s">
        <v>383</v>
      </c>
      <c r="C810" t="s">
        <v>4710</v>
      </c>
      <c r="D810" t="s">
        <v>19061</v>
      </c>
      <c r="E810" t="s">
        <v>19529</v>
      </c>
      <c r="F810" t="s">
        <v>32831</v>
      </c>
      <c r="G810" t="s">
        <v>32840</v>
      </c>
      <c r="H810" t="s">
        <v>32848</v>
      </c>
      <c r="I810" t="s">
        <v>32874</v>
      </c>
      <c r="J810" t="s">
        <v>33584</v>
      </c>
      <c r="K810" t="s">
        <v>42731</v>
      </c>
      <c r="M810" t="s">
        <v>43387</v>
      </c>
      <c r="N810" t="s">
        <v>47424</v>
      </c>
      <c r="O810" t="s">
        <v>47425</v>
      </c>
      <c r="P810">
        <v>0</v>
      </c>
      <c r="Q810">
        <v>3</v>
      </c>
      <c r="R810" t="s">
        <v>47426</v>
      </c>
      <c r="S810" t="s">
        <v>47531</v>
      </c>
      <c r="T810" t="s">
        <v>49125</v>
      </c>
      <c r="U810" t="s">
        <v>50383</v>
      </c>
      <c r="W810" t="s">
        <v>43387</v>
      </c>
      <c r="X810" t="s">
        <v>47427</v>
      </c>
    </row>
    <row r="811" spans="1:24">
      <c r="A811">
        <f>HYPERLINK("https://www.philgeps.gov.ph/GEPSNONPILOT/Tender/SplashBidNoticeAbstractUI.aspx?menuIndex=3&amp;refID=7164689&amp;Result=3","7164689")</f>
        <v>0</v>
      </c>
      <c r="B811" t="s">
        <v>217</v>
      </c>
      <c r="C811" t="s">
        <v>4711</v>
      </c>
      <c r="D811" t="s">
        <v>19037</v>
      </c>
      <c r="E811" t="s">
        <v>19868</v>
      </c>
      <c r="F811" t="s">
        <v>32831</v>
      </c>
      <c r="G811" t="s">
        <v>32839</v>
      </c>
      <c r="H811" t="s">
        <v>32848</v>
      </c>
      <c r="I811" t="s">
        <v>7416</v>
      </c>
      <c r="J811" t="s">
        <v>33585</v>
      </c>
      <c r="K811" t="s">
        <v>42730</v>
      </c>
      <c r="M811" t="s">
        <v>43392</v>
      </c>
      <c r="N811" t="s">
        <v>47424</v>
      </c>
      <c r="O811" t="s">
        <v>47425</v>
      </c>
      <c r="P811">
        <v>0</v>
      </c>
      <c r="Q811">
        <v>0</v>
      </c>
      <c r="R811" t="s">
        <v>47426</v>
      </c>
      <c r="S811" t="s">
        <v>47531</v>
      </c>
      <c r="T811" t="s">
        <v>49057</v>
      </c>
      <c r="U811" t="s">
        <v>50384</v>
      </c>
      <c r="W811" t="s">
        <v>43392</v>
      </c>
      <c r="X811" t="s">
        <v>47427</v>
      </c>
    </row>
    <row r="812" spans="1:24">
      <c r="A812">
        <f>HYPERLINK("https://www.philgeps.gov.ph/GEPSNONPILOT/Tender/SplashBidNoticeAbstractUI.aspx?menuIndex=3&amp;refID=7164659&amp;Result=3","7164659")</f>
        <v>0</v>
      </c>
      <c r="B812" t="s">
        <v>396</v>
      </c>
      <c r="C812" t="s">
        <v>4712</v>
      </c>
      <c r="D812" t="s">
        <v>19024</v>
      </c>
      <c r="E812" t="s">
        <v>19869</v>
      </c>
      <c r="F812" t="s">
        <v>32831</v>
      </c>
      <c r="G812" t="s">
        <v>32839</v>
      </c>
      <c r="H812" t="s">
        <v>32848</v>
      </c>
      <c r="I812" t="s">
        <v>4487</v>
      </c>
      <c r="J812" t="s">
        <v>33586</v>
      </c>
      <c r="K812" t="s">
        <v>42747</v>
      </c>
      <c r="M812" t="s">
        <v>43401</v>
      </c>
      <c r="N812" t="s">
        <v>47424</v>
      </c>
      <c r="O812" t="s">
        <v>47425</v>
      </c>
      <c r="P812">
        <v>0</v>
      </c>
      <c r="Q812">
        <v>1</v>
      </c>
      <c r="R812" t="s">
        <v>47426</v>
      </c>
      <c r="S812" t="s">
        <v>47531</v>
      </c>
      <c r="T812" t="s">
        <v>49204</v>
      </c>
      <c r="U812" t="s">
        <v>50385</v>
      </c>
      <c r="V812" t="s">
        <v>62710</v>
      </c>
      <c r="W812" t="s">
        <v>43401</v>
      </c>
      <c r="X812" t="s">
        <v>47427</v>
      </c>
    </row>
    <row r="813" spans="1:24">
      <c r="A813">
        <f>HYPERLINK("https://www.philgeps.gov.ph/GEPSNONPILOT/Tender/SplashBidNoticeAbstractUI.aspx?menuIndex=3&amp;refID=7164688&amp;Result=3","7164688")</f>
        <v>0</v>
      </c>
      <c r="B813" t="s">
        <v>397</v>
      </c>
      <c r="C813" t="s">
        <v>4713</v>
      </c>
      <c r="E813" t="s">
        <v>19870</v>
      </c>
      <c r="F813" t="s">
        <v>32831</v>
      </c>
      <c r="G813" t="s">
        <v>32840</v>
      </c>
      <c r="H813" t="s">
        <v>32848</v>
      </c>
      <c r="I813" t="s">
        <v>4438</v>
      </c>
      <c r="J813" t="s">
        <v>33040</v>
      </c>
      <c r="K813" t="s">
        <v>42732</v>
      </c>
      <c r="M813" t="s">
        <v>43402</v>
      </c>
      <c r="N813" t="s">
        <v>47424</v>
      </c>
      <c r="O813" t="s">
        <v>47425</v>
      </c>
      <c r="P813">
        <v>0</v>
      </c>
      <c r="Q813">
        <v>0</v>
      </c>
      <c r="R813" t="s">
        <v>47426</v>
      </c>
      <c r="S813" t="s">
        <v>47531</v>
      </c>
      <c r="T813" t="s">
        <v>49177</v>
      </c>
      <c r="U813" t="s">
        <v>50386</v>
      </c>
      <c r="W813" t="s">
        <v>43402</v>
      </c>
      <c r="X813" t="s">
        <v>47427</v>
      </c>
    </row>
    <row r="814" spans="1:24">
      <c r="A814">
        <f>HYPERLINK("https://www.philgeps.gov.ph/GEPSNONPILOT/Tender/SplashBidNoticeAbstractUI.aspx?menuIndex=3&amp;refID=7164693&amp;Result=3","7164693")</f>
        <v>0</v>
      </c>
      <c r="B814" t="s">
        <v>383</v>
      </c>
      <c r="C814" t="s">
        <v>4714</v>
      </c>
      <c r="D814" t="s">
        <v>19061</v>
      </c>
      <c r="E814" t="s">
        <v>19670</v>
      </c>
      <c r="F814" t="s">
        <v>32831</v>
      </c>
      <c r="G814" t="s">
        <v>32840</v>
      </c>
      <c r="H814" t="s">
        <v>32848</v>
      </c>
      <c r="I814" t="s">
        <v>32902</v>
      </c>
      <c r="J814" t="s">
        <v>33385</v>
      </c>
      <c r="K814" t="s">
        <v>42731</v>
      </c>
      <c r="M814" t="s">
        <v>43387</v>
      </c>
      <c r="N814" t="s">
        <v>47424</v>
      </c>
      <c r="O814" t="s">
        <v>47425</v>
      </c>
      <c r="P814">
        <v>0</v>
      </c>
      <c r="Q814">
        <v>0</v>
      </c>
      <c r="R814" t="s">
        <v>47426</v>
      </c>
      <c r="S814" t="s">
        <v>47531</v>
      </c>
      <c r="T814" t="s">
        <v>49125</v>
      </c>
      <c r="U814" t="s">
        <v>50387</v>
      </c>
      <c r="W814" t="s">
        <v>43387</v>
      </c>
      <c r="X814" t="s">
        <v>47427</v>
      </c>
    </row>
    <row r="815" spans="1:24">
      <c r="A815">
        <f>HYPERLINK("https://www.philgeps.gov.ph/GEPSNONPILOT/Tender/SplashBidNoticeAbstractUI.aspx?menuIndex=3&amp;refID=7164744&amp;Result=3","7164744")</f>
        <v>0</v>
      </c>
      <c r="B815" t="s">
        <v>398</v>
      </c>
      <c r="C815" t="s">
        <v>4715</v>
      </c>
      <c r="D815" t="s">
        <v>19017</v>
      </c>
      <c r="E815" t="s">
        <v>19871</v>
      </c>
      <c r="F815" t="s">
        <v>32831</v>
      </c>
      <c r="G815" t="s">
        <v>32838</v>
      </c>
      <c r="H815" t="s">
        <v>32848</v>
      </c>
      <c r="I815" t="s">
        <v>4487</v>
      </c>
      <c r="J815" t="s">
        <v>33587</v>
      </c>
      <c r="K815" t="s">
        <v>42732</v>
      </c>
      <c r="M815" t="s">
        <v>43403</v>
      </c>
      <c r="N815" t="s">
        <v>47424</v>
      </c>
      <c r="O815" t="s">
        <v>47425</v>
      </c>
      <c r="P815">
        <v>0</v>
      </c>
      <c r="Q815">
        <v>3</v>
      </c>
      <c r="R815" t="s">
        <v>47426</v>
      </c>
      <c r="S815" t="s">
        <v>47531</v>
      </c>
      <c r="T815" t="s">
        <v>49100</v>
      </c>
      <c r="U815" t="s">
        <v>50388</v>
      </c>
      <c r="W815" t="s">
        <v>43403</v>
      </c>
      <c r="X815" t="s">
        <v>47427</v>
      </c>
    </row>
    <row r="816" spans="1:24">
      <c r="A816">
        <f>HYPERLINK("https://www.philgeps.gov.ph/GEPSNONPILOT/Tender/SplashBidNoticeAbstractUI.aspx?menuIndex=3&amp;refID=7164741&amp;Result=3","7164741")</f>
        <v>0</v>
      </c>
      <c r="B816" t="s">
        <v>399</v>
      </c>
      <c r="C816" t="s">
        <v>4716</v>
      </c>
      <c r="D816" t="s">
        <v>19017</v>
      </c>
      <c r="E816" t="s">
        <v>19872</v>
      </c>
      <c r="F816" t="s">
        <v>32831</v>
      </c>
      <c r="G816" t="s">
        <v>32840</v>
      </c>
      <c r="H816" t="s">
        <v>32848</v>
      </c>
      <c r="I816" t="s">
        <v>9577</v>
      </c>
      <c r="J816" t="s">
        <v>33588</v>
      </c>
      <c r="K816" t="s">
        <v>42726</v>
      </c>
      <c r="M816" t="s">
        <v>43404</v>
      </c>
      <c r="N816" t="s">
        <v>47424</v>
      </c>
      <c r="O816" t="s">
        <v>47425</v>
      </c>
      <c r="P816">
        <v>0</v>
      </c>
      <c r="Q816">
        <v>4</v>
      </c>
      <c r="R816" t="s">
        <v>47426</v>
      </c>
      <c r="S816" t="s">
        <v>47531</v>
      </c>
      <c r="T816" t="s">
        <v>49100</v>
      </c>
      <c r="U816" t="s">
        <v>50389</v>
      </c>
      <c r="W816" t="s">
        <v>43404</v>
      </c>
      <c r="X816" t="s">
        <v>47427</v>
      </c>
    </row>
    <row r="817" spans="1:24">
      <c r="A817">
        <f>HYPERLINK("https://www.philgeps.gov.ph/GEPSNONPILOT/Tender/SplashBidNoticeAbstractUI.aspx?menuIndex=3&amp;refID=7164740&amp;Result=3","7164740")</f>
        <v>0</v>
      </c>
      <c r="B817" t="s">
        <v>400</v>
      </c>
      <c r="C817" t="s">
        <v>4717</v>
      </c>
      <c r="D817" t="s">
        <v>19017</v>
      </c>
      <c r="E817" t="s">
        <v>19873</v>
      </c>
      <c r="F817" t="s">
        <v>32831</v>
      </c>
      <c r="G817" t="s">
        <v>32839</v>
      </c>
      <c r="H817" t="s">
        <v>32848</v>
      </c>
      <c r="I817" t="s">
        <v>32871</v>
      </c>
      <c r="J817" t="s">
        <v>33589</v>
      </c>
      <c r="K817" t="s">
        <v>42732</v>
      </c>
      <c r="M817" t="s">
        <v>43405</v>
      </c>
      <c r="N817" t="s">
        <v>47424</v>
      </c>
      <c r="O817" t="s">
        <v>47425</v>
      </c>
      <c r="P817">
        <v>0</v>
      </c>
      <c r="Q817">
        <v>34</v>
      </c>
      <c r="R817" t="s">
        <v>47426</v>
      </c>
      <c r="S817" t="s">
        <v>47531</v>
      </c>
      <c r="T817" t="s">
        <v>49065</v>
      </c>
      <c r="U817" t="s">
        <v>50390</v>
      </c>
      <c r="W817" t="s">
        <v>43405</v>
      </c>
      <c r="X817" t="s">
        <v>47427</v>
      </c>
    </row>
    <row r="818" spans="1:24">
      <c r="A818">
        <f>HYPERLINK("https://www.philgeps.gov.ph/GEPSNONPILOT/Tender/SplashBidNoticeAbstractUI.aspx?menuIndex=3&amp;refID=7164686&amp;Result=3","7164686")</f>
        <v>0</v>
      </c>
      <c r="B818" t="s">
        <v>401</v>
      </c>
      <c r="C818" t="s">
        <v>4718</v>
      </c>
      <c r="D818" t="s">
        <v>19074</v>
      </c>
      <c r="E818" t="s">
        <v>19836</v>
      </c>
      <c r="F818" t="s">
        <v>32831</v>
      </c>
      <c r="G818" t="s">
        <v>32840</v>
      </c>
      <c r="H818" t="s">
        <v>32848</v>
      </c>
      <c r="I818" t="s">
        <v>4438</v>
      </c>
      <c r="J818" t="s">
        <v>33590</v>
      </c>
      <c r="K818" t="s">
        <v>42759</v>
      </c>
      <c r="M818" t="s">
        <v>43406</v>
      </c>
      <c r="N818" t="s">
        <v>47424</v>
      </c>
      <c r="O818" t="s">
        <v>47425</v>
      </c>
      <c r="P818">
        <v>0</v>
      </c>
      <c r="Q818">
        <v>0</v>
      </c>
      <c r="R818" t="s">
        <v>47426</v>
      </c>
      <c r="S818" t="s">
        <v>47531</v>
      </c>
      <c r="T818" t="s">
        <v>49205</v>
      </c>
      <c r="U818" t="s">
        <v>50391</v>
      </c>
      <c r="W818" t="s">
        <v>43406</v>
      </c>
      <c r="X818" t="s">
        <v>47427</v>
      </c>
    </row>
    <row r="819" spans="1:24">
      <c r="A819">
        <f>HYPERLINK("https://www.philgeps.gov.ph/GEPSNONPILOT/Tender/SplashBidNoticeAbstractUI.aspx?menuIndex=3&amp;refID=7164704&amp;Result=3","7164704")</f>
        <v>0</v>
      </c>
      <c r="B819" t="s">
        <v>217</v>
      </c>
      <c r="C819" t="s">
        <v>4719</v>
      </c>
      <c r="D819" t="s">
        <v>19037</v>
      </c>
      <c r="E819" t="s">
        <v>19874</v>
      </c>
      <c r="F819" t="s">
        <v>32831</v>
      </c>
      <c r="G819" t="s">
        <v>32839</v>
      </c>
      <c r="H819" t="s">
        <v>32848</v>
      </c>
      <c r="I819" t="s">
        <v>32852</v>
      </c>
      <c r="J819" t="s">
        <v>33591</v>
      </c>
      <c r="K819" t="s">
        <v>42730</v>
      </c>
      <c r="M819" t="s">
        <v>43392</v>
      </c>
      <c r="N819" t="s">
        <v>47424</v>
      </c>
      <c r="O819" t="s">
        <v>47425</v>
      </c>
      <c r="P819">
        <v>0</v>
      </c>
      <c r="Q819">
        <v>0</v>
      </c>
      <c r="R819" t="s">
        <v>47426</v>
      </c>
      <c r="S819" t="s">
        <v>47531</v>
      </c>
      <c r="T819" t="s">
        <v>49202</v>
      </c>
      <c r="U819" t="s">
        <v>50392</v>
      </c>
      <c r="W819" t="s">
        <v>43392</v>
      </c>
      <c r="X819" t="s">
        <v>47427</v>
      </c>
    </row>
    <row r="820" spans="1:24">
      <c r="A820">
        <f>HYPERLINK("https://www.philgeps.gov.ph/GEPSNONPILOT/Tender/SplashBidNoticeAbstractUI.aspx?menuIndex=3&amp;refID=7164734&amp;Result=3","7164734")</f>
        <v>0</v>
      </c>
      <c r="B820" t="s">
        <v>402</v>
      </c>
      <c r="C820" t="s">
        <v>4720</v>
      </c>
      <c r="D820" t="s">
        <v>19074</v>
      </c>
      <c r="E820" t="s">
        <v>19875</v>
      </c>
      <c r="F820" t="s">
        <v>32831</v>
      </c>
      <c r="G820" t="s">
        <v>32840</v>
      </c>
      <c r="H820" t="s">
        <v>32848</v>
      </c>
      <c r="I820" t="s">
        <v>4438</v>
      </c>
      <c r="J820" t="s">
        <v>33592</v>
      </c>
      <c r="K820" t="s">
        <v>42759</v>
      </c>
      <c r="L820" t="s">
        <v>402</v>
      </c>
      <c r="M820" t="s">
        <v>43407</v>
      </c>
      <c r="N820" t="s">
        <v>47424</v>
      </c>
      <c r="O820" t="s">
        <v>47425</v>
      </c>
      <c r="P820">
        <v>0</v>
      </c>
      <c r="Q820">
        <v>1</v>
      </c>
      <c r="R820" t="s">
        <v>47426</v>
      </c>
      <c r="S820" t="s">
        <v>47531</v>
      </c>
      <c r="T820" t="s">
        <v>49144</v>
      </c>
      <c r="U820" t="s">
        <v>50393</v>
      </c>
      <c r="V820" t="s">
        <v>62711</v>
      </c>
      <c r="W820" t="s">
        <v>43407</v>
      </c>
      <c r="X820" t="s">
        <v>47427</v>
      </c>
    </row>
    <row r="821" spans="1:24">
      <c r="A821">
        <f>HYPERLINK("https://www.philgeps.gov.ph/GEPSNONPILOT/Tender/SplashBidNoticeAbstractUI.aspx?menuIndex=3&amp;refID=7164731&amp;Result=3","7164731")</f>
        <v>0</v>
      </c>
      <c r="B821" t="s">
        <v>403</v>
      </c>
      <c r="C821" t="s">
        <v>4721</v>
      </c>
      <c r="D821" t="s">
        <v>19023</v>
      </c>
      <c r="E821" t="s">
        <v>19876</v>
      </c>
      <c r="F821" t="s">
        <v>32831</v>
      </c>
      <c r="G821" t="s">
        <v>32838</v>
      </c>
      <c r="H821" t="s">
        <v>32848</v>
      </c>
      <c r="I821" t="s">
        <v>32858</v>
      </c>
      <c r="J821" t="s">
        <v>33593</v>
      </c>
      <c r="K821" t="s">
        <v>42726</v>
      </c>
      <c r="M821" t="s">
        <v>43408</v>
      </c>
      <c r="N821" t="s">
        <v>47424</v>
      </c>
      <c r="O821" t="s">
        <v>47425</v>
      </c>
      <c r="P821">
        <v>0</v>
      </c>
      <c r="Q821">
        <v>1</v>
      </c>
      <c r="R821" t="s">
        <v>47426</v>
      </c>
      <c r="S821" t="s">
        <v>47531</v>
      </c>
      <c r="T821" t="s">
        <v>49091</v>
      </c>
      <c r="U821" t="s">
        <v>50394</v>
      </c>
      <c r="W821" t="s">
        <v>43408</v>
      </c>
      <c r="X821" t="s">
        <v>47427</v>
      </c>
    </row>
    <row r="822" spans="1:24">
      <c r="A822">
        <f>HYPERLINK("https://www.philgeps.gov.ph/GEPSNONPILOT/Tender/SplashBidNoticeAbstractUI.aspx?menuIndex=3&amp;refID=7164729&amp;Result=3","7164729")</f>
        <v>0</v>
      </c>
      <c r="B822" t="s">
        <v>399</v>
      </c>
      <c r="C822" t="s">
        <v>4722</v>
      </c>
      <c r="D822" t="s">
        <v>19017</v>
      </c>
      <c r="E822" t="s">
        <v>19877</v>
      </c>
      <c r="F822" t="s">
        <v>32831</v>
      </c>
      <c r="G822" t="s">
        <v>32840</v>
      </c>
      <c r="H822" t="s">
        <v>32848</v>
      </c>
      <c r="I822" t="s">
        <v>9577</v>
      </c>
      <c r="J822" t="s">
        <v>33594</v>
      </c>
      <c r="K822" t="s">
        <v>42726</v>
      </c>
      <c r="M822" t="s">
        <v>43404</v>
      </c>
      <c r="N822" t="s">
        <v>47424</v>
      </c>
      <c r="O822" t="s">
        <v>47425</v>
      </c>
      <c r="P822">
        <v>0</v>
      </c>
      <c r="Q822">
        <v>4</v>
      </c>
      <c r="R822" t="s">
        <v>47426</v>
      </c>
      <c r="S822" t="s">
        <v>47531</v>
      </c>
      <c r="T822" t="s">
        <v>49100</v>
      </c>
      <c r="U822" t="s">
        <v>50389</v>
      </c>
      <c r="W822" t="s">
        <v>43404</v>
      </c>
      <c r="X822" t="s">
        <v>47427</v>
      </c>
    </row>
    <row r="823" spans="1:24">
      <c r="A823">
        <f>HYPERLINK("https://www.philgeps.gov.ph/GEPSNONPILOT/Tender/SplashBidNoticeAbstractUI.aspx?menuIndex=3&amp;refID=7164727&amp;Result=3","7164727")</f>
        <v>0</v>
      </c>
      <c r="B823" t="s">
        <v>403</v>
      </c>
      <c r="C823" t="s">
        <v>4723</v>
      </c>
      <c r="D823" t="s">
        <v>19023</v>
      </c>
      <c r="E823" t="s">
        <v>19878</v>
      </c>
      <c r="F823" t="s">
        <v>32831</v>
      </c>
      <c r="G823" t="s">
        <v>32838</v>
      </c>
      <c r="H823" t="s">
        <v>32848</v>
      </c>
      <c r="I823" t="s">
        <v>32858</v>
      </c>
      <c r="J823" t="s">
        <v>33087</v>
      </c>
      <c r="K823" t="s">
        <v>42726</v>
      </c>
      <c r="M823" t="s">
        <v>43408</v>
      </c>
      <c r="N823" t="s">
        <v>47424</v>
      </c>
      <c r="O823" t="s">
        <v>47425</v>
      </c>
      <c r="P823">
        <v>0</v>
      </c>
      <c r="Q823">
        <v>1</v>
      </c>
      <c r="R823" t="s">
        <v>47426</v>
      </c>
      <c r="S823" t="s">
        <v>47531</v>
      </c>
      <c r="T823" t="s">
        <v>49091</v>
      </c>
      <c r="U823" t="s">
        <v>50395</v>
      </c>
      <c r="W823" t="s">
        <v>43408</v>
      </c>
      <c r="X823" t="s">
        <v>47427</v>
      </c>
    </row>
    <row r="824" spans="1:24">
      <c r="A824">
        <f>HYPERLINK("https://www.philgeps.gov.ph/GEPSNONPILOT/Tender/SplashBidNoticeAbstractUI.aspx?menuIndex=3&amp;refID=7164726&amp;Result=3","7164726")</f>
        <v>0</v>
      </c>
      <c r="B824" t="s">
        <v>399</v>
      </c>
      <c r="C824" t="s">
        <v>4724</v>
      </c>
      <c r="D824" t="s">
        <v>19017</v>
      </c>
      <c r="E824" t="s">
        <v>19879</v>
      </c>
      <c r="F824" t="s">
        <v>32831</v>
      </c>
      <c r="G824" t="s">
        <v>32840</v>
      </c>
      <c r="H824" t="s">
        <v>32848</v>
      </c>
      <c r="I824" t="s">
        <v>9577</v>
      </c>
      <c r="J824" t="s">
        <v>33595</v>
      </c>
      <c r="K824" t="s">
        <v>42726</v>
      </c>
      <c r="M824" t="s">
        <v>43404</v>
      </c>
      <c r="N824" t="s">
        <v>47424</v>
      </c>
      <c r="O824" t="s">
        <v>47425</v>
      </c>
      <c r="P824">
        <v>0</v>
      </c>
      <c r="Q824">
        <v>1</v>
      </c>
      <c r="R824" t="s">
        <v>47426</v>
      </c>
      <c r="S824" t="s">
        <v>47531</v>
      </c>
      <c r="T824" t="s">
        <v>49100</v>
      </c>
      <c r="U824" t="s">
        <v>50389</v>
      </c>
      <c r="W824" t="s">
        <v>43404</v>
      </c>
      <c r="X824" t="s">
        <v>47427</v>
      </c>
    </row>
    <row r="825" spans="1:24">
      <c r="A825">
        <f>HYPERLINK("https://www.philgeps.gov.ph/GEPSNONPILOT/Tender/SplashBidNoticeAbstractUI.aspx?menuIndex=3&amp;refID=7164739&amp;Result=3","7164739")</f>
        <v>0</v>
      </c>
      <c r="B825" t="s">
        <v>404</v>
      </c>
      <c r="C825" t="s">
        <v>4725</v>
      </c>
      <c r="D825" t="s">
        <v>19074</v>
      </c>
      <c r="E825" t="s">
        <v>19836</v>
      </c>
      <c r="F825" t="s">
        <v>32831</v>
      </c>
      <c r="G825" t="s">
        <v>32840</v>
      </c>
      <c r="H825" t="s">
        <v>32848</v>
      </c>
      <c r="I825" t="s">
        <v>4438</v>
      </c>
      <c r="J825" t="s">
        <v>33596</v>
      </c>
      <c r="K825" t="s">
        <v>42759</v>
      </c>
      <c r="M825" t="s">
        <v>43409</v>
      </c>
      <c r="N825" t="s">
        <v>47424</v>
      </c>
      <c r="O825" t="s">
        <v>47425</v>
      </c>
      <c r="P825">
        <v>0</v>
      </c>
      <c r="Q825">
        <v>0</v>
      </c>
      <c r="R825" t="s">
        <v>47426</v>
      </c>
      <c r="S825" t="s">
        <v>47531</v>
      </c>
      <c r="T825" t="s">
        <v>49114</v>
      </c>
      <c r="U825" t="s">
        <v>50396</v>
      </c>
      <c r="V825" t="s">
        <v>62712</v>
      </c>
      <c r="W825" t="s">
        <v>43409</v>
      </c>
      <c r="X825" t="s">
        <v>47427</v>
      </c>
    </row>
    <row r="826" spans="1:24">
      <c r="A826">
        <f>HYPERLINK("https://www.philgeps.gov.ph/GEPSNONPILOT/Tender/SplashBidNoticeAbstractUI.aspx?menuIndex=3&amp;refID=7164725&amp;Result=3","7164725")</f>
        <v>0</v>
      </c>
      <c r="B826" t="s">
        <v>405</v>
      </c>
      <c r="C826" t="s">
        <v>4726</v>
      </c>
      <c r="D826" t="s">
        <v>19074</v>
      </c>
      <c r="E826" t="s">
        <v>19880</v>
      </c>
      <c r="F826" t="s">
        <v>32831</v>
      </c>
      <c r="G826" t="s">
        <v>32840</v>
      </c>
      <c r="H826" t="s">
        <v>32848</v>
      </c>
      <c r="I826" t="s">
        <v>4438</v>
      </c>
      <c r="J826" t="s">
        <v>33597</v>
      </c>
      <c r="K826" t="s">
        <v>42759</v>
      </c>
      <c r="M826" t="s">
        <v>43410</v>
      </c>
      <c r="N826" t="s">
        <v>47424</v>
      </c>
      <c r="O826" t="s">
        <v>47425</v>
      </c>
      <c r="P826">
        <v>0</v>
      </c>
      <c r="Q826">
        <v>0</v>
      </c>
      <c r="R826" t="s">
        <v>47426</v>
      </c>
      <c r="S826" t="s">
        <v>47531</v>
      </c>
      <c r="T826" t="s">
        <v>49114</v>
      </c>
      <c r="U826" t="s">
        <v>50397</v>
      </c>
      <c r="V826" t="s">
        <v>62707</v>
      </c>
      <c r="W826" t="s">
        <v>43410</v>
      </c>
      <c r="X826" t="s">
        <v>47427</v>
      </c>
    </row>
    <row r="827" spans="1:24">
      <c r="A827">
        <f>HYPERLINK("https://www.philgeps.gov.ph/GEPSNONPILOT/Tender/SplashBidNoticeAbstractUI.aspx?menuIndex=3&amp;refID=7164776&amp;Result=3","7164776")</f>
        <v>0</v>
      </c>
      <c r="B827" t="s">
        <v>406</v>
      </c>
      <c r="C827" t="s">
        <v>4727</v>
      </c>
      <c r="E827" t="s">
        <v>19881</v>
      </c>
      <c r="F827" t="s">
        <v>32831</v>
      </c>
      <c r="G827" t="s">
        <v>32839</v>
      </c>
      <c r="H827" t="s">
        <v>32848</v>
      </c>
      <c r="I827" t="s">
        <v>9577</v>
      </c>
      <c r="J827" t="s">
        <v>33598</v>
      </c>
      <c r="K827" t="s">
        <v>42732</v>
      </c>
      <c r="M827" t="s">
        <v>43411</v>
      </c>
      <c r="N827" t="s">
        <v>47424</v>
      </c>
      <c r="O827" t="s">
        <v>47425</v>
      </c>
      <c r="P827">
        <v>0</v>
      </c>
      <c r="Q827">
        <v>8</v>
      </c>
      <c r="R827" t="s">
        <v>47426</v>
      </c>
      <c r="S827" t="s">
        <v>47531</v>
      </c>
      <c r="T827" t="s">
        <v>49192</v>
      </c>
      <c r="U827" t="s">
        <v>50398</v>
      </c>
      <c r="W827" t="s">
        <v>43411</v>
      </c>
      <c r="X827" t="s">
        <v>47427</v>
      </c>
    </row>
    <row r="828" spans="1:24">
      <c r="A828">
        <f>HYPERLINK("https://www.philgeps.gov.ph/GEPSNONPILOT/Tender/SplashBidNoticeAbstractUI.aspx?menuIndex=3&amp;refID=7164736&amp;Result=3","7164736")</f>
        <v>0</v>
      </c>
      <c r="B828" t="s">
        <v>407</v>
      </c>
      <c r="C828" t="s">
        <v>4728</v>
      </c>
      <c r="D828" t="s">
        <v>19017</v>
      </c>
      <c r="E828" t="s">
        <v>19882</v>
      </c>
      <c r="F828" t="s">
        <v>32831</v>
      </c>
      <c r="G828" t="s">
        <v>32838</v>
      </c>
      <c r="H828" t="s">
        <v>32848</v>
      </c>
      <c r="I828" t="s">
        <v>32869</v>
      </c>
      <c r="J828" t="s">
        <v>33599</v>
      </c>
      <c r="K828" t="s">
        <v>42758</v>
      </c>
      <c r="M828" t="s">
        <v>43412</v>
      </c>
      <c r="N828" t="s">
        <v>47424</v>
      </c>
      <c r="O828" t="s">
        <v>47425</v>
      </c>
      <c r="P828">
        <v>0</v>
      </c>
      <c r="Q828">
        <v>4</v>
      </c>
      <c r="R828" t="s">
        <v>47426</v>
      </c>
      <c r="S828" t="s">
        <v>47531</v>
      </c>
      <c r="T828" t="s">
        <v>49070</v>
      </c>
      <c r="U828" t="s">
        <v>50399</v>
      </c>
      <c r="V828" t="s">
        <v>62713</v>
      </c>
      <c r="W828" t="s">
        <v>43412</v>
      </c>
      <c r="X828" t="s">
        <v>47427</v>
      </c>
    </row>
    <row r="829" spans="1:24">
      <c r="A829">
        <f>HYPERLINK("https://www.philgeps.gov.ph/GEPSNONPILOT/Tender/SplashBidNoticeAbstractUI.aspx?menuIndex=3&amp;refID=7164672&amp;Result=3","7164672")</f>
        <v>0</v>
      </c>
      <c r="B829" t="s">
        <v>408</v>
      </c>
      <c r="C829" t="s">
        <v>4729</v>
      </c>
      <c r="D829" t="s">
        <v>19043</v>
      </c>
      <c r="E829" t="s">
        <v>19883</v>
      </c>
      <c r="F829" t="s">
        <v>32831</v>
      </c>
      <c r="G829" t="s">
        <v>32839</v>
      </c>
      <c r="H829" t="s">
        <v>32848</v>
      </c>
      <c r="I829" t="s">
        <v>7416</v>
      </c>
      <c r="J829" t="s">
        <v>33600</v>
      </c>
      <c r="K829" t="s">
        <v>42748</v>
      </c>
      <c r="M829" t="s">
        <v>43413</v>
      </c>
      <c r="N829" t="s">
        <v>47424</v>
      </c>
      <c r="O829" t="s">
        <v>47425</v>
      </c>
      <c r="P829">
        <v>0</v>
      </c>
      <c r="Q829">
        <v>1</v>
      </c>
      <c r="R829" t="s">
        <v>47426</v>
      </c>
      <c r="S829" t="s">
        <v>47531</v>
      </c>
      <c r="T829" t="s">
        <v>49091</v>
      </c>
      <c r="U829" t="s">
        <v>50400</v>
      </c>
      <c r="V829" t="s">
        <v>62714</v>
      </c>
      <c r="W829" t="s">
        <v>43413</v>
      </c>
      <c r="X829" t="s">
        <v>47427</v>
      </c>
    </row>
    <row r="830" spans="1:24">
      <c r="A830">
        <f>HYPERLINK("https://www.philgeps.gov.ph/GEPSNONPILOT/Tender/SplashBidNoticeAbstractUI.aspx?menuIndex=3&amp;refID=7164777&amp;Result=3","7164777")</f>
        <v>0</v>
      </c>
      <c r="B830" t="s">
        <v>409</v>
      </c>
      <c r="C830" t="s">
        <v>4730</v>
      </c>
      <c r="D830" t="s">
        <v>19074</v>
      </c>
      <c r="E830" t="s">
        <v>19836</v>
      </c>
      <c r="F830" t="s">
        <v>32831</v>
      </c>
      <c r="G830" t="s">
        <v>32840</v>
      </c>
      <c r="H830" t="s">
        <v>32848</v>
      </c>
      <c r="I830" t="s">
        <v>4438</v>
      </c>
      <c r="J830" t="s">
        <v>33601</v>
      </c>
      <c r="K830" t="s">
        <v>42759</v>
      </c>
      <c r="M830" t="s">
        <v>43414</v>
      </c>
      <c r="N830" t="s">
        <v>47424</v>
      </c>
      <c r="O830" t="s">
        <v>47425</v>
      </c>
      <c r="P830">
        <v>0</v>
      </c>
      <c r="Q830">
        <v>1</v>
      </c>
      <c r="R830" t="s">
        <v>47426</v>
      </c>
      <c r="S830" t="s">
        <v>47531</v>
      </c>
      <c r="T830" t="s">
        <v>49125</v>
      </c>
      <c r="U830" t="s">
        <v>50401</v>
      </c>
      <c r="V830" t="s">
        <v>62707</v>
      </c>
      <c r="W830" t="s">
        <v>43414</v>
      </c>
      <c r="X830" t="s">
        <v>47427</v>
      </c>
    </row>
    <row r="831" spans="1:24">
      <c r="A831">
        <f>HYPERLINK("https://www.philgeps.gov.ph/GEPSNONPILOT/Tender/SplashBidNoticeAbstractUI.aspx?menuIndex=3&amp;refID=7164742&amp;Result=3","7164742")</f>
        <v>0</v>
      </c>
      <c r="B831" t="s">
        <v>410</v>
      </c>
      <c r="C831" t="s">
        <v>4731</v>
      </c>
      <c r="D831" t="s">
        <v>19031</v>
      </c>
      <c r="E831" t="s">
        <v>19884</v>
      </c>
      <c r="F831" t="s">
        <v>32831</v>
      </c>
      <c r="G831" t="s">
        <v>32838</v>
      </c>
      <c r="H831" t="s">
        <v>32848</v>
      </c>
      <c r="I831" t="s">
        <v>32862</v>
      </c>
      <c r="J831" t="s">
        <v>33602</v>
      </c>
      <c r="K831" t="s">
        <v>42730</v>
      </c>
      <c r="M831" t="s">
        <v>43415</v>
      </c>
      <c r="N831" t="s">
        <v>47424</v>
      </c>
      <c r="O831" t="s">
        <v>47425</v>
      </c>
      <c r="P831">
        <v>0</v>
      </c>
      <c r="Q831">
        <v>0</v>
      </c>
      <c r="R831" t="s">
        <v>47426</v>
      </c>
      <c r="S831" t="s">
        <v>47531</v>
      </c>
      <c r="T831" t="s">
        <v>49059</v>
      </c>
      <c r="U831" t="s">
        <v>50402</v>
      </c>
      <c r="V831" t="s">
        <v>62715</v>
      </c>
      <c r="W831" t="s">
        <v>43415</v>
      </c>
      <c r="X831" t="s">
        <v>47427</v>
      </c>
    </row>
    <row r="832" spans="1:24">
      <c r="A832">
        <f>HYPERLINK("https://www.philgeps.gov.ph/GEPSNONPILOT/Tender/SplashBidNoticeAbstractUI.aspx?menuIndex=3&amp;refID=7164772&amp;Result=3","7164772")</f>
        <v>0</v>
      </c>
      <c r="B832" t="s">
        <v>411</v>
      </c>
      <c r="C832" t="s">
        <v>4726</v>
      </c>
      <c r="D832" t="s">
        <v>19074</v>
      </c>
      <c r="E832" t="s">
        <v>19836</v>
      </c>
      <c r="F832" t="s">
        <v>32831</v>
      </c>
      <c r="G832" t="s">
        <v>32840</v>
      </c>
      <c r="H832" t="s">
        <v>32848</v>
      </c>
      <c r="I832" t="s">
        <v>4438</v>
      </c>
      <c r="J832" t="s">
        <v>33603</v>
      </c>
      <c r="K832" t="s">
        <v>42759</v>
      </c>
      <c r="M832" t="s">
        <v>43416</v>
      </c>
      <c r="N832" t="s">
        <v>47424</v>
      </c>
      <c r="O832" t="s">
        <v>47425</v>
      </c>
      <c r="P832">
        <v>0</v>
      </c>
      <c r="Q832">
        <v>0</v>
      </c>
      <c r="R832" t="s">
        <v>47426</v>
      </c>
      <c r="S832" t="s">
        <v>47531</v>
      </c>
      <c r="T832" t="s">
        <v>49108</v>
      </c>
      <c r="U832" t="s">
        <v>50403</v>
      </c>
      <c r="V832" t="s">
        <v>62707</v>
      </c>
      <c r="W832" t="s">
        <v>43416</v>
      </c>
      <c r="X832" t="s">
        <v>47427</v>
      </c>
    </row>
    <row r="833" spans="1:24">
      <c r="A833">
        <f>HYPERLINK("https://www.philgeps.gov.ph/GEPSNONPILOT/Tender/SplashBidNoticeAbstractUI.aspx?menuIndex=3&amp;refID=7164724&amp;Result=3","7164724")</f>
        <v>0</v>
      </c>
      <c r="B833" t="s">
        <v>25</v>
      </c>
      <c r="C833" t="s">
        <v>4732</v>
      </c>
      <c r="D833" t="s">
        <v>19018</v>
      </c>
      <c r="E833" t="s">
        <v>19885</v>
      </c>
      <c r="F833" t="s">
        <v>32831</v>
      </c>
      <c r="G833" t="s">
        <v>32839</v>
      </c>
      <c r="H833" t="s">
        <v>32848</v>
      </c>
      <c r="I833" t="s">
        <v>32857</v>
      </c>
      <c r="J833" t="s">
        <v>33077</v>
      </c>
      <c r="K833" t="s">
        <v>42731</v>
      </c>
      <c r="M833" t="s">
        <v>43022</v>
      </c>
      <c r="N833" t="s">
        <v>47424</v>
      </c>
      <c r="O833" t="s">
        <v>47425</v>
      </c>
      <c r="P833">
        <v>0</v>
      </c>
      <c r="Q833">
        <v>6</v>
      </c>
      <c r="R833" t="s">
        <v>47426</v>
      </c>
      <c r="S833" t="s">
        <v>47531</v>
      </c>
      <c r="T833" t="s">
        <v>49057</v>
      </c>
      <c r="U833" t="s">
        <v>50404</v>
      </c>
      <c r="V833" t="s">
        <v>62716</v>
      </c>
      <c r="W833" t="s">
        <v>43022</v>
      </c>
      <c r="X833" t="s">
        <v>47427</v>
      </c>
    </row>
    <row r="834" spans="1:24">
      <c r="A834">
        <f>HYPERLINK("https://www.philgeps.gov.ph/GEPSNONPILOT/Tender/SplashBidNoticeAbstractUI.aspx?menuIndex=3&amp;refID=7164769&amp;Result=3","7164769")</f>
        <v>0</v>
      </c>
      <c r="B834" t="s">
        <v>412</v>
      </c>
      <c r="C834" t="s">
        <v>4733</v>
      </c>
      <c r="D834" t="s">
        <v>19091</v>
      </c>
      <c r="E834" t="s">
        <v>19886</v>
      </c>
      <c r="F834" t="s">
        <v>32831</v>
      </c>
      <c r="G834" t="s">
        <v>32838</v>
      </c>
      <c r="H834" t="s">
        <v>32848</v>
      </c>
      <c r="I834" t="s">
        <v>7751</v>
      </c>
      <c r="J834" t="s">
        <v>33604</v>
      </c>
      <c r="K834" t="s">
        <v>42742</v>
      </c>
      <c r="M834" t="s">
        <v>43417</v>
      </c>
      <c r="N834" t="s">
        <v>47424</v>
      </c>
      <c r="O834" t="s">
        <v>47425</v>
      </c>
      <c r="P834">
        <v>0</v>
      </c>
      <c r="Q834">
        <v>0</v>
      </c>
      <c r="R834" t="s">
        <v>47426</v>
      </c>
      <c r="S834" t="s">
        <v>47531</v>
      </c>
      <c r="T834" t="s">
        <v>49104</v>
      </c>
      <c r="U834" t="s">
        <v>50405</v>
      </c>
      <c r="W834" t="s">
        <v>46826</v>
      </c>
      <c r="X834" t="s">
        <v>47427</v>
      </c>
    </row>
    <row r="835" spans="1:24">
      <c r="A835">
        <f>HYPERLINK("https://www.philgeps.gov.ph/GEPSNONPILOT/Tender/SplashBidNoticeAbstractUI.aspx?menuIndex=3&amp;refID=7164767&amp;Result=3","7164767")</f>
        <v>0</v>
      </c>
      <c r="B835" t="s">
        <v>413</v>
      </c>
      <c r="C835" t="s">
        <v>4734</v>
      </c>
      <c r="D835" t="s">
        <v>19017</v>
      </c>
      <c r="E835" t="s">
        <v>19887</v>
      </c>
      <c r="F835" t="s">
        <v>32831</v>
      </c>
      <c r="G835" t="s">
        <v>32840</v>
      </c>
      <c r="H835" t="s">
        <v>32848</v>
      </c>
      <c r="I835" t="s">
        <v>32860</v>
      </c>
      <c r="J835" t="s">
        <v>33605</v>
      </c>
      <c r="K835" t="s">
        <v>42727</v>
      </c>
      <c r="M835" t="s">
        <v>43418</v>
      </c>
      <c r="N835" t="s">
        <v>47424</v>
      </c>
      <c r="O835" t="s">
        <v>47425</v>
      </c>
      <c r="P835">
        <v>0</v>
      </c>
      <c r="Q835">
        <v>4</v>
      </c>
      <c r="R835" t="s">
        <v>47426</v>
      </c>
      <c r="S835" t="s">
        <v>47531</v>
      </c>
      <c r="T835" t="s">
        <v>49114</v>
      </c>
      <c r="U835" t="s">
        <v>50406</v>
      </c>
      <c r="W835" t="s">
        <v>43418</v>
      </c>
      <c r="X835" t="s">
        <v>47427</v>
      </c>
    </row>
    <row r="836" spans="1:24">
      <c r="A836">
        <f>HYPERLINK("https://www.philgeps.gov.ph/GEPSNONPILOT/Tender/SplashBidNoticeAbstractUI.aspx?menuIndex=3&amp;refID=7164707&amp;Result=3","7164707")</f>
        <v>0</v>
      </c>
      <c r="B836" t="s">
        <v>354</v>
      </c>
      <c r="C836" t="s">
        <v>4636</v>
      </c>
      <c r="D836" t="s">
        <v>19038</v>
      </c>
      <c r="E836" t="s">
        <v>19555</v>
      </c>
      <c r="F836" t="s">
        <v>32831</v>
      </c>
      <c r="G836" t="s">
        <v>32839</v>
      </c>
      <c r="H836" t="s">
        <v>32848</v>
      </c>
      <c r="I836" t="s">
        <v>7416</v>
      </c>
      <c r="J836" t="s">
        <v>33541</v>
      </c>
      <c r="K836" t="s">
        <v>42726</v>
      </c>
      <c r="M836" t="s">
        <v>43358</v>
      </c>
      <c r="N836" t="s">
        <v>47424</v>
      </c>
      <c r="O836" t="s">
        <v>47425</v>
      </c>
      <c r="P836">
        <v>0</v>
      </c>
      <c r="Q836">
        <v>1</v>
      </c>
      <c r="R836" t="s">
        <v>47426</v>
      </c>
      <c r="S836" t="s">
        <v>47531</v>
      </c>
      <c r="T836" t="s">
        <v>49070</v>
      </c>
      <c r="U836" t="s">
        <v>50407</v>
      </c>
      <c r="W836" t="s">
        <v>43358</v>
      </c>
      <c r="X836" t="s">
        <v>47427</v>
      </c>
    </row>
    <row r="837" spans="1:24">
      <c r="A837">
        <f>HYPERLINK("https://www.philgeps.gov.ph/GEPSNONPILOT/Tender/SplashBidNoticeAbstractUI.aspx?menuIndex=3&amp;refID=7164764&amp;Result=3","7164764")</f>
        <v>0</v>
      </c>
      <c r="B837" t="s">
        <v>414</v>
      </c>
      <c r="C837" t="s">
        <v>4735</v>
      </c>
      <c r="D837" t="s">
        <v>19049</v>
      </c>
      <c r="E837" t="s">
        <v>19351</v>
      </c>
      <c r="F837" t="s">
        <v>32831</v>
      </c>
      <c r="G837" t="s">
        <v>32842</v>
      </c>
      <c r="H837" t="s">
        <v>32848</v>
      </c>
      <c r="I837" t="s">
        <v>9577</v>
      </c>
      <c r="J837" t="s">
        <v>33606</v>
      </c>
      <c r="K837" t="s">
        <v>42760</v>
      </c>
      <c r="M837" t="s">
        <v>43419</v>
      </c>
      <c r="N837" t="s">
        <v>47424</v>
      </c>
      <c r="O837" t="s">
        <v>47425</v>
      </c>
      <c r="P837">
        <v>0</v>
      </c>
      <c r="Q837">
        <v>0</v>
      </c>
      <c r="R837" t="s">
        <v>47426</v>
      </c>
      <c r="S837" t="s">
        <v>47531</v>
      </c>
      <c r="T837" t="s">
        <v>49056</v>
      </c>
      <c r="U837" t="s">
        <v>50408</v>
      </c>
      <c r="W837" t="s">
        <v>43419</v>
      </c>
      <c r="X837" t="s">
        <v>47427</v>
      </c>
    </row>
    <row r="838" spans="1:24">
      <c r="A838">
        <f>HYPERLINK("https://www.philgeps.gov.ph/GEPSNONPILOT/Tender/SplashBidNoticeAbstractUI.aspx?menuIndex=3&amp;refID=7164762&amp;Result=3","7164762")</f>
        <v>0</v>
      </c>
      <c r="B838" t="s">
        <v>415</v>
      </c>
      <c r="C838" t="s">
        <v>4736</v>
      </c>
      <c r="D838" t="s">
        <v>19018</v>
      </c>
      <c r="E838" t="s">
        <v>19888</v>
      </c>
      <c r="F838" t="s">
        <v>32831</v>
      </c>
      <c r="G838" t="s">
        <v>32838</v>
      </c>
      <c r="H838" t="s">
        <v>32848</v>
      </c>
      <c r="I838" t="s">
        <v>32859</v>
      </c>
      <c r="J838" t="s">
        <v>33607</v>
      </c>
      <c r="K838" t="s">
        <v>42732</v>
      </c>
      <c r="M838" t="s">
        <v>43420</v>
      </c>
      <c r="N838" t="s">
        <v>47424</v>
      </c>
      <c r="O838" t="s">
        <v>47425</v>
      </c>
      <c r="P838">
        <v>0</v>
      </c>
      <c r="Q838">
        <v>3</v>
      </c>
      <c r="R838" t="s">
        <v>47426</v>
      </c>
      <c r="S838" t="s">
        <v>47531</v>
      </c>
      <c r="T838" t="s">
        <v>49056</v>
      </c>
      <c r="U838" t="s">
        <v>50409</v>
      </c>
      <c r="W838" t="s">
        <v>43420</v>
      </c>
      <c r="X838" t="s">
        <v>47427</v>
      </c>
    </row>
    <row r="839" spans="1:24">
      <c r="A839">
        <f>HYPERLINK("https://www.philgeps.gov.ph/GEPSNONPILOT/Tender/SplashBidNoticeAbstractUI.aspx?menuIndex=3&amp;refID=7164759&amp;Result=3","7164759")</f>
        <v>0</v>
      </c>
      <c r="B839" t="s">
        <v>416</v>
      </c>
      <c r="C839" t="s">
        <v>4737</v>
      </c>
      <c r="E839" t="s">
        <v>19889</v>
      </c>
      <c r="F839" t="s">
        <v>32831</v>
      </c>
      <c r="G839" t="s">
        <v>32839</v>
      </c>
      <c r="H839" t="s">
        <v>32848</v>
      </c>
      <c r="I839" t="s">
        <v>4177</v>
      </c>
      <c r="J839" t="s">
        <v>33111</v>
      </c>
      <c r="K839" t="s">
        <v>42788</v>
      </c>
      <c r="M839" t="s">
        <v>43421</v>
      </c>
      <c r="N839" t="s">
        <v>47424</v>
      </c>
      <c r="O839" t="s">
        <v>47425</v>
      </c>
      <c r="P839">
        <v>0</v>
      </c>
      <c r="Q839">
        <v>0</v>
      </c>
      <c r="R839" t="s">
        <v>47426</v>
      </c>
      <c r="S839" t="s">
        <v>47531</v>
      </c>
      <c r="T839" t="s">
        <v>49078</v>
      </c>
      <c r="U839" t="s">
        <v>50410</v>
      </c>
      <c r="W839" t="s">
        <v>43421</v>
      </c>
      <c r="X839" t="s">
        <v>47427</v>
      </c>
    </row>
    <row r="840" spans="1:24">
      <c r="A840">
        <f>HYPERLINK("https://www.philgeps.gov.ph/GEPSNONPILOT/Tender/SplashBidNoticeAbstractUI.aspx?menuIndex=3&amp;refID=7164775&amp;Result=3","7164775")</f>
        <v>0</v>
      </c>
      <c r="B840" t="s">
        <v>394</v>
      </c>
      <c r="C840" t="s">
        <v>4738</v>
      </c>
      <c r="D840" t="s">
        <v>19074</v>
      </c>
      <c r="E840" t="s">
        <v>19890</v>
      </c>
      <c r="F840" t="s">
        <v>32831</v>
      </c>
      <c r="G840" t="s">
        <v>32839</v>
      </c>
      <c r="H840" t="s">
        <v>32849</v>
      </c>
      <c r="I840" t="s">
        <v>4177</v>
      </c>
      <c r="J840" t="s">
        <v>32978</v>
      </c>
      <c r="K840" t="s">
        <v>42729</v>
      </c>
      <c r="M840" t="s">
        <v>43399</v>
      </c>
      <c r="N840" t="s">
        <v>47424</v>
      </c>
      <c r="O840" t="s">
        <v>47425</v>
      </c>
      <c r="P840">
        <v>0</v>
      </c>
      <c r="Q840">
        <v>0</v>
      </c>
      <c r="R840" t="s">
        <v>47426</v>
      </c>
      <c r="S840" t="s">
        <v>47531</v>
      </c>
      <c r="T840" t="s">
        <v>49070</v>
      </c>
      <c r="U840" t="s">
        <v>50411</v>
      </c>
      <c r="W840" t="s">
        <v>43399</v>
      </c>
      <c r="X840" t="s">
        <v>47427</v>
      </c>
    </row>
    <row r="841" spans="1:24">
      <c r="A841">
        <f>HYPERLINK("https://www.philgeps.gov.ph/GEPSNONPILOT/Tender/SplashBidNoticeAbstractUI.aspx?menuIndex=3&amp;refID=7164752&amp;Result=3","7164752")</f>
        <v>0</v>
      </c>
      <c r="B841" t="s">
        <v>410</v>
      </c>
      <c r="C841" t="s">
        <v>4739</v>
      </c>
      <c r="D841" t="s">
        <v>19031</v>
      </c>
      <c r="E841" t="s">
        <v>19891</v>
      </c>
      <c r="F841" t="s">
        <v>32831</v>
      </c>
      <c r="G841" t="s">
        <v>32839</v>
      </c>
      <c r="H841" t="s">
        <v>32849</v>
      </c>
      <c r="I841" t="s">
        <v>4177</v>
      </c>
      <c r="J841" t="s">
        <v>33608</v>
      </c>
      <c r="K841" t="s">
        <v>42770</v>
      </c>
      <c r="M841" t="s">
        <v>43415</v>
      </c>
      <c r="N841" t="s">
        <v>47424</v>
      </c>
      <c r="O841" t="s">
        <v>47425</v>
      </c>
      <c r="P841">
        <v>0</v>
      </c>
      <c r="Q841">
        <v>0</v>
      </c>
      <c r="R841" t="s">
        <v>47426</v>
      </c>
      <c r="S841" t="s">
        <v>47531</v>
      </c>
      <c r="T841" t="s">
        <v>49065</v>
      </c>
      <c r="U841" t="s">
        <v>50412</v>
      </c>
      <c r="V841" t="s">
        <v>62717</v>
      </c>
      <c r="W841" t="s">
        <v>43415</v>
      </c>
      <c r="X841" t="s">
        <v>47427</v>
      </c>
    </row>
    <row r="842" spans="1:24">
      <c r="A842">
        <f>HYPERLINK("https://www.philgeps.gov.ph/GEPSNONPILOT/Tender/SplashBidNoticeAbstractUI.aspx?menuIndex=3&amp;refID=7164750&amp;Result=3","7164750")</f>
        <v>0</v>
      </c>
      <c r="B842" t="s">
        <v>417</v>
      </c>
      <c r="C842" t="s">
        <v>4740</v>
      </c>
      <c r="D842" t="s">
        <v>19043</v>
      </c>
      <c r="E842" t="s">
        <v>19144</v>
      </c>
      <c r="F842" t="s">
        <v>32831</v>
      </c>
      <c r="G842" t="s">
        <v>32840</v>
      </c>
      <c r="H842" t="s">
        <v>32848</v>
      </c>
      <c r="I842" t="s">
        <v>4438</v>
      </c>
      <c r="J842" t="s">
        <v>33609</v>
      </c>
      <c r="K842" t="s">
        <v>42730</v>
      </c>
      <c r="M842" t="s">
        <v>43422</v>
      </c>
      <c r="N842" t="s">
        <v>47424</v>
      </c>
      <c r="O842" t="s">
        <v>47425</v>
      </c>
      <c r="P842">
        <v>0</v>
      </c>
      <c r="Q842">
        <v>0</v>
      </c>
      <c r="R842" t="s">
        <v>47426</v>
      </c>
      <c r="S842" t="s">
        <v>47531</v>
      </c>
      <c r="T842" t="s">
        <v>49084</v>
      </c>
      <c r="U842" t="s">
        <v>50413</v>
      </c>
      <c r="W842" t="s">
        <v>43422</v>
      </c>
      <c r="X842" t="s">
        <v>47427</v>
      </c>
    </row>
    <row r="843" spans="1:24">
      <c r="A843">
        <f>HYPERLINK("https://www.philgeps.gov.ph/GEPSNONPILOT/Tender/SplashBidNoticeAbstractUI.aspx?menuIndex=3&amp;refID=7164749&amp;Result=3","7164749")</f>
        <v>0</v>
      </c>
      <c r="B843" t="s">
        <v>418</v>
      </c>
      <c r="C843" t="s">
        <v>4741</v>
      </c>
      <c r="D843" t="s">
        <v>19043</v>
      </c>
      <c r="E843" t="s">
        <v>19892</v>
      </c>
      <c r="F843" t="s">
        <v>32831</v>
      </c>
      <c r="G843" t="s">
        <v>32839</v>
      </c>
      <c r="H843" t="s">
        <v>32848</v>
      </c>
      <c r="I843" t="s">
        <v>4435</v>
      </c>
      <c r="J843" t="s">
        <v>33610</v>
      </c>
      <c r="K843" t="s">
        <v>42729</v>
      </c>
      <c r="M843" t="s">
        <v>43423</v>
      </c>
      <c r="N843" t="s">
        <v>47424</v>
      </c>
      <c r="O843" t="s">
        <v>47425</v>
      </c>
      <c r="P843">
        <v>0</v>
      </c>
      <c r="Q843">
        <v>2</v>
      </c>
      <c r="R843" t="s">
        <v>47426</v>
      </c>
      <c r="S843" t="s">
        <v>47531</v>
      </c>
      <c r="T843" t="s">
        <v>49159</v>
      </c>
      <c r="U843" t="s">
        <v>50414</v>
      </c>
      <c r="V843" t="s">
        <v>62718</v>
      </c>
      <c r="W843" t="s">
        <v>43423</v>
      </c>
      <c r="X843" t="s">
        <v>47427</v>
      </c>
    </row>
    <row r="844" spans="1:24">
      <c r="A844">
        <f>HYPERLINK("https://www.philgeps.gov.ph/GEPSNONPILOT/Tender/SplashBidNoticeAbstractUI.aspx?menuIndex=3&amp;refID=7164771&amp;Result=3","7164771")</f>
        <v>0</v>
      </c>
      <c r="B844" t="s">
        <v>413</v>
      </c>
      <c r="C844" t="s">
        <v>4742</v>
      </c>
      <c r="D844" t="s">
        <v>19017</v>
      </c>
      <c r="E844" t="s">
        <v>19893</v>
      </c>
      <c r="F844" t="s">
        <v>32831</v>
      </c>
      <c r="G844" t="s">
        <v>32840</v>
      </c>
      <c r="H844" t="s">
        <v>32848</v>
      </c>
      <c r="I844" t="s">
        <v>32864</v>
      </c>
      <c r="J844" t="s">
        <v>33606</v>
      </c>
      <c r="K844" t="s">
        <v>42727</v>
      </c>
      <c r="M844" t="s">
        <v>43418</v>
      </c>
      <c r="N844" t="s">
        <v>47424</v>
      </c>
      <c r="O844" t="s">
        <v>47425</v>
      </c>
      <c r="P844">
        <v>0</v>
      </c>
      <c r="Q844">
        <v>15</v>
      </c>
      <c r="R844" t="s">
        <v>47426</v>
      </c>
      <c r="S844" t="s">
        <v>47531</v>
      </c>
      <c r="T844" t="s">
        <v>49162</v>
      </c>
      <c r="U844" t="s">
        <v>50415</v>
      </c>
      <c r="W844" t="s">
        <v>43418</v>
      </c>
      <c r="X844" t="s">
        <v>47427</v>
      </c>
    </row>
    <row r="845" spans="1:24">
      <c r="A845">
        <f>HYPERLINK("https://www.philgeps.gov.ph/GEPSNONPILOT/Tender/SplashBidNoticeAbstractUI.aspx?menuIndex=3&amp;refID=7164756&amp;Result=3","7164756")</f>
        <v>0</v>
      </c>
      <c r="B845" t="s">
        <v>419</v>
      </c>
      <c r="C845" t="s">
        <v>4743</v>
      </c>
      <c r="D845" t="s">
        <v>19091</v>
      </c>
      <c r="E845" t="s">
        <v>19894</v>
      </c>
      <c r="F845" t="s">
        <v>32831</v>
      </c>
      <c r="G845" t="s">
        <v>32838</v>
      </c>
      <c r="H845" t="s">
        <v>32848</v>
      </c>
      <c r="I845" t="s">
        <v>5379</v>
      </c>
      <c r="J845" t="s">
        <v>33611</v>
      </c>
      <c r="K845" t="s">
        <v>42732</v>
      </c>
      <c r="M845" t="s">
        <v>43424</v>
      </c>
      <c r="N845" t="s">
        <v>47424</v>
      </c>
      <c r="O845" t="s">
        <v>47425</v>
      </c>
      <c r="P845">
        <v>0</v>
      </c>
      <c r="Q845">
        <v>0</v>
      </c>
      <c r="R845" t="s">
        <v>47426</v>
      </c>
      <c r="S845" t="s">
        <v>47531</v>
      </c>
      <c r="T845" t="s">
        <v>49206</v>
      </c>
      <c r="U845" t="s">
        <v>50416</v>
      </c>
      <c r="W845" t="s">
        <v>43424</v>
      </c>
      <c r="X845" t="s">
        <v>47427</v>
      </c>
    </row>
    <row r="846" spans="1:24">
      <c r="A846">
        <f>HYPERLINK("https://www.philgeps.gov.ph/GEPSNONPILOT/Tender/SplashBidNoticeAbstractUI.aspx?menuIndex=3&amp;refID=7164722&amp;Result=3","7164722")</f>
        <v>0</v>
      </c>
      <c r="B846" t="s">
        <v>420</v>
      </c>
      <c r="C846" t="s">
        <v>4744</v>
      </c>
      <c r="D846" t="s">
        <v>19023</v>
      </c>
      <c r="E846" t="s">
        <v>19895</v>
      </c>
      <c r="F846" t="s">
        <v>32831</v>
      </c>
      <c r="G846" t="s">
        <v>32839</v>
      </c>
      <c r="H846" t="s">
        <v>32849</v>
      </c>
      <c r="I846" t="s">
        <v>4177</v>
      </c>
      <c r="J846" t="s">
        <v>32976</v>
      </c>
      <c r="K846" t="s">
        <v>42727</v>
      </c>
      <c r="M846" t="s">
        <v>43425</v>
      </c>
      <c r="N846" t="s">
        <v>47424</v>
      </c>
      <c r="O846" t="s">
        <v>47425</v>
      </c>
      <c r="P846">
        <v>0</v>
      </c>
      <c r="Q846">
        <v>0</v>
      </c>
      <c r="R846" t="s">
        <v>47426</v>
      </c>
      <c r="S846" t="s">
        <v>47531</v>
      </c>
      <c r="T846" t="s">
        <v>49068</v>
      </c>
      <c r="U846" t="s">
        <v>50417</v>
      </c>
      <c r="W846" t="s">
        <v>43425</v>
      </c>
      <c r="X846" t="s">
        <v>47427</v>
      </c>
    </row>
    <row r="847" spans="1:24">
      <c r="A847">
        <f>HYPERLINK("https://www.philgeps.gov.ph/GEPSNONPILOT/Tender/SplashBidNoticeAbstractUI.aspx?menuIndex=3&amp;refID=7164754&amp;Result=3","7164754")</f>
        <v>0</v>
      </c>
      <c r="B847" t="s">
        <v>421</v>
      </c>
      <c r="C847" t="s">
        <v>4745</v>
      </c>
      <c r="D847" t="s">
        <v>19021</v>
      </c>
      <c r="E847" t="s">
        <v>19896</v>
      </c>
      <c r="F847" t="s">
        <v>32831</v>
      </c>
      <c r="G847" t="s">
        <v>32838</v>
      </c>
      <c r="H847" t="s">
        <v>32848</v>
      </c>
      <c r="I847" t="s">
        <v>11484</v>
      </c>
      <c r="J847" t="s">
        <v>33612</v>
      </c>
      <c r="K847" t="s">
        <v>42726</v>
      </c>
      <c r="M847" t="s">
        <v>43426</v>
      </c>
      <c r="N847" t="s">
        <v>47424</v>
      </c>
      <c r="O847" t="s">
        <v>47425</v>
      </c>
      <c r="P847">
        <v>0</v>
      </c>
      <c r="Q847">
        <v>1</v>
      </c>
      <c r="R847" t="s">
        <v>47426</v>
      </c>
      <c r="S847" t="s">
        <v>47531</v>
      </c>
      <c r="T847" t="s">
        <v>49105</v>
      </c>
      <c r="U847" t="s">
        <v>50418</v>
      </c>
      <c r="W847" t="s">
        <v>43426</v>
      </c>
      <c r="X847" t="s">
        <v>47427</v>
      </c>
    </row>
    <row r="848" spans="1:24">
      <c r="A848">
        <f>HYPERLINK("https://www.philgeps.gov.ph/GEPSNONPILOT/Tender/SplashBidNoticeAbstractUI.aspx?menuIndex=3&amp;refID=7164765&amp;Result=3","7164765")</f>
        <v>0</v>
      </c>
      <c r="B848" t="s">
        <v>412</v>
      </c>
      <c r="C848" t="s">
        <v>4746</v>
      </c>
      <c r="D848" t="s">
        <v>19091</v>
      </c>
      <c r="E848" t="s">
        <v>19897</v>
      </c>
      <c r="F848" t="s">
        <v>32831</v>
      </c>
      <c r="G848" t="s">
        <v>32838</v>
      </c>
      <c r="H848" t="s">
        <v>32848</v>
      </c>
      <c r="I848" t="s">
        <v>7751</v>
      </c>
      <c r="J848" t="s">
        <v>33613</v>
      </c>
      <c r="K848" t="s">
        <v>42730</v>
      </c>
      <c r="M848" t="s">
        <v>43417</v>
      </c>
      <c r="N848" t="s">
        <v>47424</v>
      </c>
      <c r="O848" t="s">
        <v>47425</v>
      </c>
      <c r="P848">
        <v>0</v>
      </c>
      <c r="Q848">
        <v>0</v>
      </c>
      <c r="R848" t="s">
        <v>47426</v>
      </c>
      <c r="S848" t="s">
        <v>47531</v>
      </c>
      <c r="T848" t="s">
        <v>49104</v>
      </c>
      <c r="U848" t="s">
        <v>50419</v>
      </c>
      <c r="W848" t="s">
        <v>46826</v>
      </c>
      <c r="X848" t="s">
        <v>47427</v>
      </c>
    </row>
    <row r="849" spans="1:24">
      <c r="A849">
        <f>HYPERLINK("https://www.philgeps.gov.ph/GEPSNONPILOT/Tender/SplashBidNoticeAbstractUI.aspx?menuIndex=3&amp;refID=7164718&amp;Result=3","7164718")</f>
        <v>0</v>
      </c>
      <c r="B849" t="s">
        <v>422</v>
      </c>
      <c r="C849" t="s">
        <v>4747</v>
      </c>
      <c r="D849" t="s">
        <v>19091</v>
      </c>
      <c r="E849" t="s">
        <v>19898</v>
      </c>
      <c r="F849" t="s">
        <v>32831</v>
      </c>
      <c r="G849" t="s">
        <v>32842</v>
      </c>
      <c r="H849" t="s">
        <v>32848</v>
      </c>
      <c r="I849" t="s">
        <v>9577</v>
      </c>
      <c r="J849" t="s">
        <v>33614</v>
      </c>
      <c r="K849" t="s">
        <v>42726</v>
      </c>
      <c r="M849" t="s">
        <v>43427</v>
      </c>
      <c r="N849" t="s">
        <v>47424</v>
      </c>
      <c r="O849" t="s">
        <v>47425</v>
      </c>
      <c r="P849">
        <v>0</v>
      </c>
      <c r="Q849">
        <v>1</v>
      </c>
      <c r="R849" t="s">
        <v>47426</v>
      </c>
      <c r="S849" t="s">
        <v>47531</v>
      </c>
      <c r="T849" t="s">
        <v>49108</v>
      </c>
      <c r="U849" t="s">
        <v>50420</v>
      </c>
      <c r="W849" t="s">
        <v>43427</v>
      </c>
      <c r="X849" t="s">
        <v>47427</v>
      </c>
    </row>
    <row r="850" spans="1:24">
      <c r="A850">
        <f>HYPERLINK("https://www.philgeps.gov.ph/GEPSNONPILOT/Tender/SplashBidNoticeAbstractUI.aspx?menuIndex=3&amp;refID=7164778&amp;Result=3","7164778")</f>
        <v>0</v>
      </c>
      <c r="B850" t="s">
        <v>423</v>
      </c>
      <c r="C850" t="s">
        <v>4748</v>
      </c>
      <c r="D850" t="s">
        <v>19031</v>
      </c>
      <c r="E850" t="s">
        <v>19899</v>
      </c>
      <c r="F850" t="s">
        <v>32831</v>
      </c>
      <c r="G850" t="s">
        <v>32839</v>
      </c>
      <c r="H850" t="s">
        <v>32848</v>
      </c>
      <c r="I850" t="s">
        <v>7416</v>
      </c>
      <c r="J850" t="s">
        <v>33615</v>
      </c>
      <c r="K850" t="s">
        <v>42726</v>
      </c>
      <c r="M850" t="s">
        <v>43428</v>
      </c>
      <c r="N850" t="s">
        <v>47424</v>
      </c>
      <c r="O850" t="s">
        <v>47425</v>
      </c>
      <c r="P850">
        <v>0</v>
      </c>
      <c r="Q850">
        <v>0</v>
      </c>
      <c r="R850" t="s">
        <v>47426</v>
      </c>
      <c r="S850" t="s">
        <v>47531</v>
      </c>
      <c r="T850" t="s">
        <v>49070</v>
      </c>
      <c r="U850" t="s">
        <v>50421</v>
      </c>
      <c r="W850" t="s">
        <v>43428</v>
      </c>
      <c r="X850" t="s">
        <v>47427</v>
      </c>
    </row>
    <row r="851" spans="1:24">
      <c r="A851">
        <f>HYPERLINK("https://www.philgeps.gov.ph/GEPSNONPILOT/Tender/SplashBidNoticeAbstractUI.aspx?menuIndex=3&amp;refID=7164825&amp;Result=3","7164825")</f>
        <v>0</v>
      </c>
      <c r="B851" t="s">
        <v>424</v>
      </c>
      <c r="C851" t="s">
        <v>4749</v>
      </c>
      <c r="D851" t="s">
        <v>19062</v>
      </c>
      <c r="E851" t="s">
        <v>19900</v>
      </c>
      <c r="F851" t="s">
        <v>32831</v>
      </c>
      <c r="G851" t="s">
        <v>32842</v>
      </c>
      <c r="H851" t="s">
        <v>32848</v>
      </c>
      <c r="I851" t="s">
        <v>4776</v>
      </c>
      <c r="J851" t="s">
        <v>33464</v>
      </c>
      <c r="K851" t="s">
        <v>42730</v>
      </c>
      <c r="M851" t="s">
        <v>43429</v>
      </c>
      <c r="N851" t="s">
        <v>47424</v>
      </c>
      <c r="O851" t="s">
        <v>47425</v>
      </c>
      <c r="P851">
        <v>0</v>
      </c>
      <c r="Q851">
        <v>1</v>
      </c>
      <c r="R851" t="s">
        <v>47426</v>
      </c>
      <c r="S851" t="s">
        <v>47531</v>
      </c>
      <c r="T851" t="s">
        <v>49151</v>
      </c>
      <c r="U851" t="s">
        <v>50422</v>
      </c>
      <c r="W851" t="s">
        <v>43429</v>
      </c>
      <c r="X851" t="s">
        <v>47427</v>
      </c>
    </row>
    <row r="852" spans="1:24">
      <c r="A852">
        <f>HYPERLINK("https://www.philgeps.gov.ph/GEPSNONPILOT/Tender/SplashBidNoticeAbstractUI.aspx?menuIndex=3&amp;refID=7164747&amp;Result=3","7164747")</f>
        <v>0</v>
      </c>
      <c r="B852" t="s">
        <v>425</v>
      </c>
      <c r="C852" t="s">
        <v>4718</v>
      </c>
      <c r="D852" t="s">
        <v>19074</v>
      </c>
      <c r="E852" t="s">
        <v>19836</v>
      </c>
      <c r="F852" t="s">
        <v>32831</v>
      </c>
      <c r="G852" t="s">
        <v>32840</v>
      </c>
      <c r="H852" t="s">
        <v>32848</v>
      </c>
      <c r="I852" t="s">
        <v>4438</v>
      </c>
      <c r="J852" t="s">
        <v>33616</v>
      </c>
      <c r="K852" t="s">
        <v>42759</v>
      </c>
      <c r="M852" t="s">
        <v>43430</v>
      </c>
      <c r="N852" t="s">
        <v>47424</v>
      </c>
      <c r="O852" t="s">
        <v>47425</v>
      </c>
      <c r="P852">
        <v>0</v>
      </c>
      <c r="Q852">
        <v>0</v>
      </c>
      <c r="R852" t="s">
        <v>47426</v>
      </c>
      <c r="S852" t="s">
        <v>47531</v>
      </c>
      <c r="T852" t="s">
        <v>49166</v>
      </c>
      <c r="U852" t="s">
        <v>50423</v>
      </c>
      <c r="V852" t="s">
        <v>62707</v>
      </c>
      <c r="W852" t="s">
        <v>43430</v>
      </c>
      <c r="X852" t="s">
        <v>47427</v>
      </c>
    </row>
    <row r="853" spans="1:24">
      <c r="A853">
        <f>HYPERLINK("https://www.philgeps.gov.ph/GEPSNONPILOT/Tender/SplashBidNoticeAbstractUI.aspx?menuIndex=3&amp;refID=7164738&amp;Result=3","7164738")</f>
        <v>0</v>
      </c>
      <c r="B853" t="s">
        <v>426</v>
      </c>
      <c r="C853" t="s">
        <v>4750</v>
      </c>
      <c r="D853" t="s">
        <v>19062</v>
      </c>
      <c r="E853" t="s">
        <v>19787</v>
      </c>
      <c r="F853" t="s">
        <v>32831</v>
      </c>
      <c r="G853" t="s">
        <v>32840</v>
      </c>
      <c r="H853" t="s">
        <v>32848</v>
      </c>
      <c r="I853" t="s">
        <v>32858</v>
      </c>
      <c r="J853" t="s">
        <v>33617</v>
      </c>
      <c r="K853" t="s">
        <v>42758</v>
      </c>
      <c r="M853" t="s">
        <v>43431</v>
      </c>
      <c r="N853" t="s">
        <v>47424</v>
      </c>
      <c r="O853" t="s">
        <v>47425</v>
      </c>
      <c r="P853">
        <v>0</v>
      </c>
      <c r="Q853">
        <v>0</v>
      </c>
      <c r="R853" t="s">
        <v>47426</v>
      </c>
      <c r="S853" t="s">
        <v>47531</v>
      </c>
      <c r="T853" t="s">
        <v>49114</v>
      </c>
      <c r="U853" t="s">
        <v>50424</v>
      </c>
      <c r="V853" t="s">
        <v>53758</v>
      </c>
      <c r="W853" t="s">
        <v>43431</v>
      </c>
      <c r="X853" t="s">
        <v>47427</v>
      </c>
    </row>
    <row r="854" spans="1:24">
      <c r="A854">
        <f>HYPERLINK("https://www.philgeps.gov.ph/GEPSNONPILOT/Tender/SplashBidNoticeAbstractUI.aspx?menuIndex=3&amp;refID=7164822&amp;Result=3","7164822")</f>
        <v>0</v>
      </c>
      <c r="B854" t="s">
        <v>418</v>
      </c>
      <c r="C854" t="s">
        <v>4751</v>
      </c>
      <c r="D854" t="s">
        <v>19043</v>
      </c>
      <c r="E854" t="s">
        <v>19901</v>
      </c>
      <c r="F854" t="s">
        <v>32831</v>
      </c>
      <c r="G854" t="s">
        <v>32839</v>
      </c>
      <c r="H854" t="s">
        <v>32848</v>
      </c>
      <c r="I854" t="s">
        <v>32861</v>
      </c>
      <c r="J854" t="s">
        <v>33618</v>
      </c>
      <c r="K854" t="s">
        <v>42729</v>
      </c>
      <c r="M854" t="s">
        <v>43423</v>
      </c>
      <c r="N854" t="s">
        <v>47424</v>
      </c>
      <c r="O854" t="s">
        <v>47425</v>
      </c>
      <c r="P854">
        <v>0</v>
      </c>
      <c r="Q854">
        <v>9</v>
      </c>
      <c r="R854" t="s">
        <v>47426</v>
      </c>
      <c r="S854" t="s">
        <v>47531</v>
      </c>
      <c r="T854" t="s">
        <v>49207</v>
      </c>
      <c r="U854" t="s">
        <v>50425</v>
      </c>
      <c r="V854" t="s">
        <v>62718</v>
      </c>
      <c r="W854" t="s">
        <v>43423</v>
      </c>
      <c r="X854" t="s">
        <v>47427</v>
      </c>
    </row>
    <row r="855" spans="1:24">
      <c r="A855">
        <f>HYPERLINK("https://www.philgeps.gov.ph/GEPSNONPILOT/Tender/SplashBidNoticeAbstractUI.aspx?menuIndex=3&amp;refID=7164820&amp;Result=3","7164820")</f>
        <v>0</v>
      </c>
      <c r="B855" t="s">
        <v>394</v>
      </c>
      <c r="C855" t="s">
        <v>4752</v>
      </c>
      <c r="D855" t="s">
        <v>19074</v>
      </c>
      <c r="E855" t="s">
        <v>19902</v>
      </c>
      <c r="F855" t="s">
        <v>32831</v>
      </c>
      <c r="G855" t="s">
        <v>32840</v>
      </c>
      <c r="H855" t="s">
        <v>32848</v>
      </c>
      <c r="I855" t="s">
        <v>7416</v>
      </c>
      <c r="J855" t="s">
        <v>33619</v>
      </c>
      <c r="K855" t="s">
        <v>42730</v>
      </c>
      <c r="M855" t="s">
        <v>43399</v>
      </c>
      <c r="N855" t="s">
        <v>47424</v>
      </c>
      <c r="O855" t="s">
        <v>47425</v>
      </c>
      <c r="P855">
        <v>0</v>
      </c>
      <c r="Q855">
        <v>0</v>
      </c>
      <c r="R855" t="s">
        <v>47426</v>
      </c>
      <c r="S855" t="s">
        <v>47531</v>
      </c>
      <c r="T855" t="s">
        <v>49070</v>
      </c>
      <c r="U855" t="s">
        <v>50426</v>
      </c>
      <c r="W855" t="s">
        <v>43399</v>
      </c>
      <c r="X855" t="s">
        <v>47427</v>
      </c>
    </row>
    <row r="856" spans="1:24">
      <c r="A856">
        <f>HYPERLINK("https://www.philgeps.gov.ph/GEPSNONPILOT/Tender/SplashBidNoticeAbstractUI.aspx?menuIndex=3&amp;refID=7164751&amp;Result=3","7164751")</f>
        <v>0</v>
      </c>
      <c r="B856" t="s">
        <v>427</v>
      </c>
      <c r="C856" t="s">
        <v>4753</v>
      </c>
      <c r="D856" t="s">
        <v>19047</v>
      </c>
      <c r="E856" t="s">
        <v>19903</v>
      </c>
      <c r="F856" t="s">
        <v>32831</v>
      </c>
      <c r="G856" t="s">
        <v>32840</v>
      </c>
      <c r="H856" t="s">
        <v>32848</v>
      </c>
      <c r="I856" t="s">
        <v>9577</v>
      </c>
      <c r="J856" t="s">
        <v>33620</v>
      </c>
      <c r="K856" t="s">
        <v>42758</v>
      </c>
      <c r="M856" t="s">
        <v>43432</v>
      </c>
      <c r="N856" t="s">
        <v>47424</v>
      </c>
      <c r="O856" t="s">
        <v>47425</v>
      </c>
      <c r="P856">
        <v>0</v>
      </c>
      <c r="Q856">
        <v>2</v>
      </c>
      <c r="R856" t="s">
        <v>47426</v>
      </c>
      <c r="S856" t="s">
        <v>47531</v>
      </c>
      <c r="T856" t="s">
        <v>49114</v>
      </c>
      <c r="U856" t="s">
        <v>50427</v>
      </c>
      <c r="W856" t="s">
        <v>43432</v>
      </c>
      <c r="X856" t="s">
        <v>47427</v>
      </c>
    </row>
    <row r="857" spans="1:24">
      <c r="A857">
        <f>HYPERLINK("https://www.philgeps.gov.ph/GEPSNONPILOT/Tender/SplashBidNoticeAbstractUI.aspx?menuIndex=3&amp;refID=7164813&amp;Result=3","7164813")</f>
        <v>0</v>
      </c>
      <c r="B857" t="s">
        <v>424</v>
      </c>
      <c r="C857" t="s">
        <v>4754</v>
      </c>
      <c r="D857" t="s">
        <v>19062</v>
      </c>
      <c r="E857" t="s">
        <v>19904</v>
      </c>
      <c r="F857" t="s">
        <v>32831</v>
      </c>
      <c r="G857" t="s">
        <v>32839</v>
      </c>
      <c r="H857" t="s">
        <v>32848</v>
      </c>
      <c r="I857" t="s">
        <v>32870</v>
      </c>
      <c r="J857" t="s">
        <v>33017</v>
      </c>
      <c r="K857" t="s">
        <v>42730</v>
      </c>
      <c r="M857" t="s">
        <v>43429</v>
      </c>
      <c r="N857" t="s">
        <v>47424</v>
      </c>
      <c r="O857" t="s">
        <v>47425</v>
      </c>
      <c r="P857">
        <v>0</v>
      </c>
      <c r="Q857">
        <v>0</v>
      </c>
      <c r="R857" t="s">
        <v>47426</v>
      </c>
      <c r="S857" t="s">
        <v>47531</v>
      </c>
      <c r="T857" t="s">
        <v>49143</v>
      </c>
      <c r="U857" t="s">
        <v>50428</v>
      </c>
      <c r="W857" t="s">
        <v>43429</v>
      </c>
      <c r="X857" t="s">
        <v>47427</v>
      </c>
    </row>
    <row r="858" spans="1:24">
      <c r="A858">
        <f>HYPERLINK("https://www.philgeps.gov.ph/GEPSNONPILOT/Tender/SplashBidNoticeAbstractUI.aspx?menuIndex=3&amp;refID=7164809&amp;Result=3","7164809")</f>
        <v>0</v>
      </c>
      <c r="B858" t="s">
        <v>428</v>
      </c>
      <c r="C858" t="s">
        <v>4755</v>
      </c>
      <c r="D858" t="s">
        <v>19062</v>
      </c>
      <c r="E858" t="s">
        <v>19183</v>
      </c>
      <c r="F858" t="s">
        <v>32831</v>
      </c>
      <c r="G858" t="s">
        <v>32842</v>
      </c>
      <c r="H858" t="s">
        <v>32848</v>
      </c>
      <c r="I858" t="s">
        <v>32910</v>
      </c>
      <c r="J858" t="s">
        <v>33621</v>
      </c>
      <c r="K858" t="s">
        <v>42748</v>
      </c>
      <c r="M858" t="s">
        <v>43433</v>
      </c>
      <c r="N858" t="s">
        <v>47424</v>
      </c>
      <c r="O858" t="s">
        <v>47425</v>
      </c>
      <c r="P858">
        <v>0</v>
      </c>
      <c r="Q858">
        <v>0</v>
      </c>
      <c r="R858" t="s">
        <v>47426</v>
      </c>
      <c r="S858" t="s">
        <v>47531</v>
      </c>
      <c r="T858" t="s">
        <v>49061</v>
      </c>
      <c r="U858" t="s">
        <v>50429</v>
      </c>
      <c r="W858" t="s">
        <v>43433</v>
      </c>
      <c r="X858" t="s">
        <v>47427</v>
      </c>
    </row>
    <row r="859" spans="1:24">
      <c r="A859">
        <f>HYPERLINK("https://www.philgeps.gov.ph/GEPSNONPILOT/Tender/SplashBidNoticeAbstractUI.aspx?menuIndex=3&amp;refID=7164806&amp;Result=3","7164806")</f>
        <v>0</v>
      </c>
      <c r="B859" t="s">
        <v>424</v>
      </c>
      <c r="C859" t="s">
        <v>4754</v>
      </c>
      <c r="D859" t="s">
        <v>19062</v>
      </c>
      <c r="E859" t="s">
        <v>19905</v>
      </c>
      <c r="F859" t="s">
        <v>32831</v>
      </c>
      <c r="G859" t="s">
        <v>32839</v>
      </c>
      <c r="H859" t="s">
        <v>32848</v>
      </c>
      <c r="I859" t="s">
        <v>32870</v>
      </c>
      <c r="J859" t="s">
        <v>33587</v>
      </c>
      <c r="K859" t="s">
        <v>42730</v>
      </c>
      <c r="M859" t="s">
        <v>43429</v>
      </c>
      <c r="N859" t="s">
        <v>47424</v>
      </c>
      <c r="O859" t="s">
        <v>47425</v>
      </c>
      <c r="P859">
        <v>0</v>
      </c>
      <c r="Q859">
        <v>0</v>
      </c>
      <c r="R859" t="s">
        <v>47426</v>
      </c>
      <c r="S859" t="s">
        <v>47531</v>
      </c>
      <c r="T859" t="s">
        <v>49143</v>
      </c>
      <c r="U859" t="s">
        <v>50430</v>
      </c>
      <c r="W859" t="s">
        <v>43429</v>
      </c>
      <c r="X859" t="s">
        <v>47427</v>
      </c>
    </row>
    <row r="860" spans="1:24">
      <c r="A860">
        <f>HYPERLINK("https://www.philgeps.gov.ph/GEPSNONPILOT/Tender/SplashBidNoticeAbstractUI.aspx?menuIndex=3&amp;refID=7164798&amp;Result=3","7164798")</f>
        <v>0</v>
      </c>
      <c r="B860" t="s">
        <v>429</v>
      </c>
      <c r="C860" t="s">
        <v>4756</v>
      </c>
      <c r="D860" t="s">
        <v>19055</v>
      </c>
      <c r="E860" t="s">
        <v>19906</v>
      </c>
      <c r="F860" t="s">
        <v>32831</v>
      </c>
      <c r="G860" t="s">
        <v>32839</v>
      </c>
      <c r="H860" t="s">
        <v>32848</v>
      </c>
      <c r="I860" t="s">
        <v>4471</v>
      </c>
      <c r="J860" t="s">
        <v>33622</v>
      </c>
      <c r="K860" t="s">
        <v>42730</v>
      </c>
      <c r="M860" t="s">
        <v>43434</v>
      </c>
      <c r="N860" t="s">
        <v>47424</v>
      </c>
      <c r="O860" t="s">
        <v>47425</v>
      </c>
      <c r="P860">
        <v>0</v>
      </c>
      <c r="Q860">
        <v>1</v>
      </c>
      <c r="R860" t="s">
        <v>47426</v>
      </c>
      <c r="S860" t="s">
        <v>47531</v>
      </c>
      <c r="T860" t="s">
        <v>49148</v>
      </c>
      <c r="U860" t="s">
        <v>50431</v>
      </c>
      <c r="W860" t="s">
        <v>43434</v>
      </c>
      <c r="X860" t="s">
        <v>47427</v>
      </c>
    </row>
    <row r="861" spans="1:24">
      <c r="A861">
        <f>HYPERLINK("https://www.philgeps.gov.ph/GEPSNONPILOT/Tender/SplashBidNoticeAbstractUI.aspx?menuIndex=3&amp;refID=7164795&amp;Result=3","7164795")</f>
        <v>0</v>
      </c>
      <c r="B861" t="s">
        <v>430</v>
      </c>
      <c r="C861" t="s">
        <v>4757</v>
      </c>
      <c r="D861" t="s">
        <v>19092</v>
      </c>
      <c r="E861" t="s">
        <v>19907</v>
      </c>
      <c r="F861" t="s">
        <v>32831</v>
      </c>
      <c r="G861" t="s">
        <v>32840</v>
      </c>
      <c r="H861" t="s">
        <v>32848</v>
      </c>
      <c r="I861" t="s">
        <v>10643</v>
      </c>
      <c r="J861" t="s">
        <v>33623</v>
      </c>
      <c r="K861" t="s">
        <v>42726</v>
      </c>
      <c r="M861" t="s">
        <v>43435</v>
      </c>
      <c r="N861" t="s">
        <v>47424</v>
      </c>
      <c r="O861" t="s">
        <v>47425</v>
      </c>
      <c r="P861">
        <v>0</v>
      </c>
      <c r="Q861">
        <v>0</v>
      </c>
      <c r="R861" t="s">
        <v>47426</v>
      </c>
      <c r="S861" t="s">
        <v>47531</v>
      </c>
      <c r="T861" t="s">
        <v>49208</v>
      </c>
      <c r="U861" t="s">
        <v>50432</v>
      </c>
      <c r="W861" t="s">
        <v>43435</v>
      </c>
      <c r="X861" t="s">
        <v>47427</v>
      </c>
    </row>
    <row r="862" spans="1:24">
      <c r="A862">
        <f>HYPERLINK("https://www.philgeps.gov.ph/GEPSNONPILOT/Tender/SplashBidNoticeAbstractUI.aspx?menuIndex=3&amp;refID=7164819&amp;Result=3","7164819")</f>
        <v>0</v>
      </c>
      <c r="B862" t="s">
        <v>424</v>
      </c>
      <c r="C862" t="s">
        <v>4758</v>
      </c>
      <c r="D862" t="s">
        <v>19062</v>
      </c>
      <c r="E862" t="s">
        <v>19908</v>
      </c>
      <c r="F862" t="s">
        <v>32831</v>
      </c>
      <c r="G862" t="s">
        <v>32838</v>
      </c>
      <c r="H862" t="s">
        <v>32848</v>
      </c>
      <c r="I862" t="s">
        <v>5379</v>
      </c>
      <c r="J862" t="s">
        <v>33041</v>
      </c>
      <c r="K862" t="s">
        <v>42745</v>
      </c>
      <c r="M862" t="s">
        <v>43429</v>
      </c>
      <c r="N862" t="s">
        <v>47424</v>
      </c>
      <c r="O862" t="s">
        <v>47425</v>
      </c>
      <c r="P862">
        <v>0</v>
      </c>
      <c r="Q862">
        <v>0</v>
      </c>
      <c r="R862" t="s">
        <v>47426</v>
      </c>
      <c r="S862" t="s">
        <v>47531</v>
      </c>
      <c r="T862" t="s">
        <v>49151</v>
      </c>
      <c r="U862" t="s">
        <v>50422</v>
      </c>
      <c r="W862" t="s">
        <v>43429</v>
      </c>
      <c r="X862" t="s">
        <v>47427</v>
      </c>
    </row>
    <row r="863" spans="1:24">
      <c r="A863">
        <f>HYPERLINK("https://www.philgeps.gov.ph/GEPSNONPILOT/Tender/SplashBidNoticeAbstractUI.aspx?menuIndex=3&amp;refID=7164792&amp;Result=3","7164792")</f>
        <v>0</v>
      </c>
      <c r="B863" t="s">
        <v>365</v>
      </c>
      <c r="C863" t="s">
        <v>4759</v>
      </c>
      <c r="D863" t="s">
        <v>19020</v>
      </c>
      <c r="E863" t="s">
        <v>19909</v>
      </c>
      <c r="F863" t="s">
        <v>32831</v>
      </c>
      <c r="G863" t="s">
        <v>32838</v>
      </c>
      <c r="H863" t="s">
        <v>32848</v>
      </c>
      <c r="I863" t="s">
        <v>32911</v>
      </c>
      <c r="J863" t="s">
        <v>33624</v>
      </c>
      <c r="K863" t="s">
        <v>42775</v>
      </c>
      <c r="M863" t="s">
        <v>43369</v>
      </c>
      <c r="N863" t="s">
        <v>47424</v>
      </c>
      <c r="O863" t="s">
        <v>47425</v>
      </c>
      <c r="P863">
        <v>0</v>
      </c>
      <c r="Q863">
        <v>0</v>
      </c>
      <c r="R863" t="s">
        <v>47426</v>
      </c>
      <c r="S863" t="s">
        <v>47531</v>
      </c>
      <c r="T863" t="s">
        <v>49056</v>
      </c>
      <c r="U863" t="s">
        <v>50332</v>
      </c>
      <c r="V863" t="s">
        <v>62701</v>
      </c>
      <c r="W863" t="s">
        <v>43369</v>
      </c>
      <c r="X863" t="s">
        <v>47427</v>
      </c>
    </row>
    <row r="864" spans="1:24">
      <c r="A864">
        <f>HYPERLINK("https://www.philgeps.gov.ph/GEPSNONPILOT/Tender/SplashBidNoticeAbstractUI.aspx?menuIndex=3&amp;refID=7164786&amp;Result=3","7164786")</f>
        <v>0</v>
      </c>
      <c r="B864" t="s">
        <v>431</v>
      </c>
      <c r="C864" t="s">
        <v>4760</v>
      </c>
      <c r="D864" t="s">
        <v>19021</v>
      </c>
      <c r="E864" t="s">
        <v>19910</v>
      </c>
      <c r="F864" t="s">
        <v>32831</v>
      </c>
      <c r="G864" t="s">
        <v>32839</v>
      </c>
      <c r="H864" t="s">
        <v>32849</v>
      </c>
      <c r="I864" t="s">
        <v>4177</v>
      </c>
      <c r="J864" t="s">
        <v>32980</v>
      </c>
      <c r="K864" t="s">
        <v>42730</v>
      </c>
      <c r="M864" t="s">
        <v>43436</v>
      </c>
      <c r="N864" t="s">
        <v>47424</v>
      </c>
      <c r="O864" t="s">
        <v>47425</v>
      </c>
      <c r="P864">
        <v>0</v>
      </c>
      <c r="Q864">
        <v>0</v>
      </c>
      <c r="R864" t="s">
        <v>47426</v>
      </c>
      <c r="S864" t="s">
        <v>47531</v>
      </c>
      <c r="T864" t="s">
        <v>49091</v>
      </c>
      <c r="U864" t="s">
        <v>50433</v>
      </c>
      <c r="V864" t="s">
        <v>62719</v>
      </c>
      <c r="W864" t="s">
        <v>43436</v>
      </c>
      <c r="X864" t="s">
        <v>47427</v>
      </c>
    </row>
    <row r="865" spans="1:24">
      <c r="A865">
        <f>HYPERLINK("https://www.philgeps.gov.ph/GEPSNONPILOT/Tender/SplashBidNoticeAbstractUI.aspx?menuIndex=3&amp;refID=7164717&amp;Result=3","7164717")</f>
        <v>0</v>
      </c>
      <c r="B865" t="s">
        <v>432</v>
      </c>
      <c r="C865" t="s">
        <v>4761</v>
      </c>
      <c r="D865" t="s">
        <v>19027</v>
      </c>
      <c r="E865" t="s">
        <v>19911</v>
      </c>
      <c r="F865" t="s">
        <v>32831</v>
      </c>
      <c r="G865" t="s">
        <v>32840</v>
      </c>
      <c r="H865" t="s">
        <v>32848</v>
      </c>
      <c r="I865" t="s">
        <v>32860</v>
      </c>
      <c r="J865" t="s">
        <v>33625</v>
      </c>
      <c r="K865" t="s">
        <v>42731</v>
      </c>
      <c r="M865" t="s">
        <v>43437</v>
      </c>
      <c r="N865" t="s">
        <v>47424</v>
      </c>
      <c r="O865" t="s">
        <v>47425</v>
      </c>
      <c r="P865">
        <v>0</v>
      </c>
      <c r="Q865">
        <v>2</v>
      </c>
      <c r="R865" t="s">
        <v>47426</v>
      </c>
      <c r="S865" t="s">
        <v>47531</v>
      </c>
      <c r="T865" t="s">
        <v>49066</v>
      </c>
      <c r="U865" t="s">
        <v>50434</v>
      </c>
      <c r="W865" t="s">
        <v>43437</v>
      </c>
      <c r="X865" t="s">
        <v>47427</v>
      </c>
    </row>
    <row r="866" spans="1:24">
      <c r="A866">
        <f>HYPERLINK("https://www.philgeps.gov.ph/GEPSNONPILOT/Tender/SplashBidNoticeAbstractUI.aspx?menuIndex=3&amp;refID=7164783&amp;Result=3","7164783")</f>
        <v>0</v>
      </c>
      <c r="B866" t="s">
        <v>394</v>
      </c>
      <c r="C866" t="s">
        <v>4762</v>
      </c>
      <c r="D866" t="s">
        <v>19074</v>
      </c>
      <c r="E866" t="s">
        <v>19912</v>
      </c>
      <c r="F866" t="s">
        <v>32831</v>
      </c>
      <c r="G866" t="s">
        <v>32839</v>
      </c>
      <c r="H866" t="s">
        <v>32849</v>
      </c>
      <c r="I866" t="s">
        <v>4177</v>
      </c>
      <c r="J866" t="s">
        <v>32978</v>
      </c>
      <c r="K866" t="s">
        <v>42729</v>
      </c>
      <c r="M866" t="s">
        <v>43399</v>
      </c>
      <c r="N866" t="s">
        <v>47424</v>
      </c>
      <c r="O866" t="s">
        <v>47425</v>
      </c>
      <c r="P866">
        <v>0</v>
      </c>
      <c r="Q866">
        <v>0</v>
      </c>
      <c r="R866" t="s">
        <v>47426</v>
      </c>
      <c r="S866" t="s">
        <v>47531</v>
      </c>
      <c r="T866" t="s">
        <v>49070</v>
      </c>
      <c r="U866" t="s">
        <v>50435</v>
      </c>
      <c r="W866" t="s">
        <v>43399</v>
      </c>
      <c r="X866" t="s">
        <v>47427</v>
      </c>
    </row>
    <row r="867" spans="1:24">
      <c r="A867">
        <f>HYPERLINK("https://www.philgeps.gov.ph/GEPSNONPILOT/Tender/SplashBidNoticeAbstractUI.aspx?menuIndex=3&amp;refID=7164799&amp;Result=3","7164799")</f>
        <v>0</v>
      </c>
      <c r="B867" t="s">
        <v>433</v>
      </c>
      <c r="C867" t="s">
        <v>4763</v>
      </c>
      <c r="D867" t="s">
        <v>19093</v>
      </c>
      <c r="E867" t="s">
        <v>19913</v>
      </c>
      <c r="F867" t="s">
        <v>32831</v>
      </c>
      <c r="G867" t="s">
        <v>32839</v>
      </c>
      <c r="H867" t="s">
        <v>32848</v>
      </c>
      <c r="I867" t="s">
        <v>4776</v>
      </c>
      <c r="J867" t="s">
        <v>33067</v>
      </c>
      <c r="K867" t="s">
        <v>42731</v>
      </c>
      <c r="M867" t="s">
        <v>43438</v>
      </c>
      <c r="N867" t="s">
        <v>47424</v>
      </c>
      <c r="O867" t="s">
        <v>47425</v>
      </c>
      <c r="P867">
        <v>0</v>
      </c>
      <c r="Q867">
        <v>5</v>
      </c>
      <c r="R867" t="s">
        <v>47426</v>
      </c>
      <c r="S867" t="s">
        <v>47531</v>
      </c>
      <c r="T867" t="s">
        <v>49209</v>
      </c>
      <c r="U867" t="s">
        <v>50436</v>
      </c>
      <c r="W867" t="s">
        <v>43438</v>
      </c>
      <c r="X867" t="s">
        <v>47427</v>
      </c>
    </row>
    <row r="868" spans="1:24">
      <c r="A868">
        <f>HYPERLINK("https://www.philgeps.gov.ph/GEPSNONPILOT/Tender/SplashBidNoticeAbstractUI.aspx?menuIndex=3&amp;refID=7164858&amp;Result=3","7164858")</f>
        <v>0</v>
      </c>
      <c r="B868" t="s">
        <v>434</v>
      </c>
      <c r="C868" t="s">
        <v>4764</v>
      </c>
      <c r="D868" t="s">
        <v>19023</v>
      </c>
      <c r="E868" t="s">
        <v>19914</v>
      </c>
      <c r="F868" t="s">
        <v>32831</v>
      </c>
      <c r="G868" t="s">
        <v>32838</v>
      </c>
      <c r="H868" t="s">
        <v>32848</v>
      </c>
      <c r="I868" t="s">
        <v>32855</v>
      </c>
      <c r="J868" t="s">
        <v>33626</v>
      </c>
      <c r="K868" t="s">
        <v>42730</v>
      </c>
      <c r="M868" t="s">
        <v>43439</v>
      </c>
      <c r="N868" t="s">
        <v>47424</v>
      </c>
      <c r="O868" t="s">
        <v>47425</v>
      </c>
      <c r="P868">
        <v>0</v>
      </c>
      <c r="Q868">
        <v>1</v>
      </c>
      <c r="R868" t="s">
        <v>47426</v>
      </c>
      <c r="S868" t="s">
        <v>47531</v>
      </c>
      <c r="T868" t="s">
        <v>49100</v>
      </c>
      <c r="U868" t="s">
        <v>50437</v>
      </c>
      <c r="W868" t="s">
        <v>43439</v>
      </c>
      <c r="X868" t="s">
        <v>47427</v>
      </c>
    </row>
    <row r="869" spans="1:24">
      <c r="A869">
        <f>HYPERLINK("https://www.philgeps.gov.ph/GEPSNONPILOT/Tender/SplashBidNoticeAbstractUI.aspx?menuIndex=3&amp;refID=7164821&amp;Result=3","7164821")</f>
        <v>0</v>
      </c>
      <c r="B869" t="s">
        <v>435</v>
      </c>
      <c r="C869" t="s">
        <v>4765</v>
      </c>
      <c r="D869" t="s">
        <v>19060</v>
      </c>
      <c r="E869" t="s">
        <v>19915</v>
      </c>
      <c r="F869" t="s">
        <v>32831</v>
      </c>
      <c r="G869" t="s">
        <v>32839</v>
      </c>
      <c r="H869" t="s">
        <v>32848</v>
      </c>
      <c r="I869" t="s">
        <v>8577</v>
      </c>
      <c r="J869" t="s">
        <v>33108</v>
      </c>
      <c r="K869" t="s">
        <v>42730</v>
      </c>
      <c r="M869" t="s">
        <v>43440</v>
      </c>
      <c r="N869" t="s">
        <v>47424</v>
      </c>
      <c r="O869" t="s">
        <v>47425</v>
      </c>
      <c r="P869">
        <v>0</v>
      </c>
      <c r="Q869">
        <v>3</v>
      </c>
      <c r="R869" t="s">
        <v>47426</v>
      </c>
      <c r="S869" t="s">
        <v>47531</v>
      </c>
      <c r="T869" t="s">
        <v>49102</v>
      </c>
      <c r="U869" t="s">
        <v>50438</v>
      </c>
      <c r="V869" t="s">
        <v>62720</v>
      </c>
      <c r="W869" t="s">
        <v>43440</v>
      </c>
      <c r="X869" t="s">
        <v>47427</v>
      </c>
    </row>
    <row r="870" spans="1:24">
      <c r="A870">
        <f>HYPERLINK("https://www.philgeps.gov.ph/GEPSNONPILOT/Tender/SplashBidNoticeAbstractUI.aspx?menuIndex=3&amp;refID=7164857&amp;Result=3","7164857")</f>
        <v>0</v>
      </c>
      <c r="B870" t="s">
        <v>436</v>
      </c>
      <c r="C870" t="s">
        <v>4766</v>
      </c>
      <c r="D870" t="s">
        <v>19057</v>
      </c>
      <c r="E870" t="s">
        <v>19916</v>
      </c>
      <c r="F870" t="s">
        <v>32831</v>
      </c>
      <c r="G870" t="s">
        <v>32840</v>
      </c>
      <c r="H870" t="s">
        <v>32848</v>
      </c>
      <c r="I870" t="s">
        <v>4776</v>
      </c>
      <c r="J870" t="s">
        <v>33627</v>
      </c>
      <c r="K870" t="s">
        <v>42726</v>
      </c>
      <c r="M870" t="s">
        <v>43441</v>
      </c>
      <c r="N870" t="s">
        <v>47424</v>
      </c>
      <c r="O870" t="s">
        <v>47425</v>
      </c>
      <c r="P870">
        <v>0</v>
      </c>
      <c r="Q870">
        <v>0</v>
      </c>
      <c r="R870" t="s">
        <v>47426</v>
      </c>
      <c r="S870" t="s">
        <v>47531</v>
      </c>
      <c r="T870" t="s">
        <v>49145</v>
      </c>
      <c r="U870" t="s">
        <v>50439</v>
      </c>
      <c r="V870" t="s">
        <v>62721</v>
      </c>
      <c r="W870" t="s">
        <v>43441</v>
      </c>
      <c r="X870" t="s">
        <v>47427</v>
      </c>
    </row>
    <row r="871" spans="1:24">
      <c r="A871">
        <f>HYPERLINK("https://www.philgeps.gov.ph/GEPSNONPILOT/Tender/SplashBidNoticeAbstractUI.aspx?menuIndex=3&amp;refID=7164856&amp;Result=3","7164856")</f>
        <v>0</v>
      </c>
      <c r="B871" t="s">
        <v>437</v>
      </c>
      <c r="C871" t="s">
        <v>4767</v>
      </c>
      <c r="D871" t="s">
        <v>19090</v>
      </c>
      <c r="E871" t="s">
        <v>19917</v>
      </c>
      <c r="F871" t="s">
        <v>32831</v>
      </c>
      <c r="G871" t="s">
        <v>32838</v>
      </c>
      <c r="H871" t="s">
        <v>32848</v>
      </c>
      <c r="I871" t="s">
        <v>9577</v>
      </c>
      <c r="J871" t="s">
        <v>33175</v>
      </c>
      <c r="K871" t="s">
        <v>42731</v>
      </c>
      <c r="M871" t="s">
        <v>43442</v>
      </c>
      <c r="N871" t="s">
        <v>47424</v>
      </c>
      <c r="O871" t="s">
        <v>47425</v>
      </c>
      <c r="P871">
        <v>0</v>
      </c>
      <c r="Q871">
        <v>1</v>
      </c>
      <c r="R871" t="s">
        <v>47426</v>
      </c>
      <c r="S871" t="s">
        <v>47531</v>
      </c>
      <c r="T871" t="s">
        <v>49073</v>
      </c>
      <c r="U871" t="s">
        <v>50440</v>
      </c>
      <c r="W871" t="s">
        <v>43442</v>
      </c>
      <c r="X871" t="s">
        <v>47427</v>
      </c>
    </row>
    <row r="872" spans="1:24">
      <c r="A872">
        <f>HYPERLINK("https://www.philgeps.gov.ph/GEPSNONPILOT/Tender/SplashBidNoticeAbstractUI.aspx?menuIndex=3&amp;refID=7164789&amp;Result=3","7164789")</f>
        <v>0</v>
      </c>
      <c r="B872" t="s">
        <v>431</v>
      </c>
      <c r="C872" t="s">
        <v>4760</v>
      </c>
      <c r="D872" t="s">
        <v>19021</v>
      </c>
      <c r="E872" t="s">
        <v>19918</v>
      </c>
      <c r="F872" t="s">
        <v>32831</v>
      </c>
      <c r="G872" t="s">
        <v>32839</v>
      </c>
      <c r="H872" t="s">
        <v>32849</v>
      </c>
      <c r="I872" t="s">
        <v>4177</v>
      </c>
      <c r="J872" t="s">
        <v>33628</v>
      </c>
      <c r="K872" t="s">
        <v>42730</v>
      </c>
      <c r="M872" t="s">
        <v>43436</v>
      </c>
      <c r="N872" t="s">
        <v>47424</v>
      </c>
      <c r="O872" t="s">
        <v>47425</v>
      </c>
      <c r="P872">
        <v>0</v>
      </c>
      <c r="Q872">
        <v>0</v>
      </c>
      <c r="R872" t="s">
        <v>47426</v>
      </c>
      <c r="S872" t="s">
        <v>47531</v>
      </c>
      <c r="T872" t="s">
        <v>49091</v>
      </c>
      <c r="U872" t="s">
        <v>50441</v>
      </c>
      <c r="V872" t="s">
        <v>62719</v>
      </c>
      <c r="W872" t="s">
        <v>43436</v>
      </c>
      <c r="X872" t="s">
        <v>47427</v>
      </c>
    </row>
    <row r="873" spans="1:24">
      <c r="A873">
        <f>HYPERLINK("https://www.philgeps.gov.ph/GEPSNONPILOT/Tender/SplashBidNoticeAbstractUI.aspx?menuIndex=3&amp;refID=7164851&amp;Result=3","7164851")</f>
        <v>0</v>
      </c>
      <c r="B873" t="s">
        <v>394</v>
      </c>
      <c r="C873" t="s">
        <v>4768</v>
      </c>
      <c r="D873" t="s">
        <v>19074</v>
      </c>
      <c r="E873" t="s">
        <v>19919</v>
      </c>
      <c r="F873" t="s">
        <v>32831</v>
      </c>
      <c r="G873" t="s">
        <v>32840</v>
      </c>
      <c r="H873" t="s">
        <v>32850</v>
      </c>
      <c r="I873" t="s">
        <v>10805</v>
      </c>
      <c r="J873" t="s">
        <v>33629</v>
      </c>
      <c r="K873" t="s">
        <v>42730</v>
      </c>
      <c r="M873" t="s">
        <v>43399</v>
      </c>
      <c r="N873" t="s">
        <v>47424</v>
      </c>
      <c r="O873" t="s">
        <v>47425</v>
      </c>
      <c r="P873">
        <v>0</v>
      </c>
      <c r="Q873">
        <v>0</v>
      </c>
      <c r="R873" t="s">
        <v>47426</v>
      </c>
      <c r="S873" t="s">
        <v>47531</v>
      </c>
      <c r="T873" t="s">
        <v>49070</v>
      </c>
      <c r="U873" t="s">
        <v>50442</v>
      </c>
      <c r="W873" t="s">
        <v>43399</v>
      </c>
      <c r="X873" t="s">
        <v>47427</v>
      </c>
    </row>
    <row r="874" spans="1:24">
      <c r="A874">
        <f>HYPERLINK("https://www.philgeps.gov.ph/GEPSNONPILOT/Tender/SplashBidNoticeAbstractUI.aspx?menuIndex=3&amp;refID=7164845&amp;Result=3","7164845")</f>
        <v>0</v>
      </c>
      <c r="B874" t="s">
        <v>428</v>
      </c>
      <c r="C874" t="s">
        <v>4769</v>
      </c>
      <c r="D874" t="s">
        <v>19062</v>
      </c>
      <c r="E874" t="s">
        <v>19920</v>
      </c>
      <c r="F874" t="s">
        <v>32831</v>
      </c>
      <c r="G874" t="s">
        <v>32842</v>
      </c>
      <c r="H874" t="s">
        <v>32848</v>
      </c>
      <c r="I874" t="s">
        <v>10643</v>
      </c>
      <c r="J874" t="s">
        <v>33630</v>
      </c>
      <c r="K874" t="s">
        <v>42748</v>
      </c>
      <c r="M874" t="s">
        <v>43433</v>
      </c>
      <c r="N874" t="s">
        <v>47424</v>
      </c>
      <c r="O874" t="s">
        <v>47425</v>
      </c>
      <c r="P874">
        <v>0</v>
      </c>
      <c r="Q874">
        <v>0</v>
      </c>
      <c r="R874" t="s">
        <v>47426</v>
      </c>
      <c r="S874" t="s">
        <v>47531</v>
      </c>
      <c r="T874" t="s">
        <v>49061</v>
      </c>
      <c r="U874" t="s">
        <v>50443</v>
      </c>
      <c r="W874" t="s">
        <v>43433</v>
      </c>
      <c r="X874" t="s">
        <v>47427</v>
      </c>
    </row>
    <row r="875" spans="1:24">
      <c r="A875">
        <f>HYPERLINK("https://www.philgeps.gov.ph/GEPSNONPILOT/Tender/SplashBidNoticeAbstractUI.aspx?menuIndex=3&amp;refID=7164840&amp;Result=3","7164840")</f>
        <v>0</v>
      </c>
      <c r="B875" t="s">
        <v>438</v>
      </c>
      <c r="C875" t="s">
        <v>4770</v>
      </c>
      <c r="D875" t="s">
        <v>19083</v>
      </c>
      <c r="E875" t="s">
        <v>19921</v>
      </c>
      <c r="F875" t="s">
        <v>32831</v>
      </c>
      <c r="G875" t="s">
        <v>32839</v>
      </c>
      <c r="H875" t="s">
        <v>32848</v>
      </c>
      <c r="I875" t="s">
        <v>32870</v>
      </c>
      <c r="J875" t="s">
        <v>33631</v>
      </c>
      <c r="K875" t="s">
        <v>42727</v>
      </c>
      <c r="M875" t="s">
        <v>43443</v>
      </c>
      <c r="N875" t="s">
        <v>47424</v>
      </c>
      <c r="O875" t="s">
        <v>47425</v>
      </c>
      <c r="P875">
        <v>0</v>
      </c>
      <c r="Q875">
        <v>0</v>
      </c>
      <c r="R875" t="s">
        <v>47426</v>
      </c>
      <c r="S875" t="s">
        <v>47531</v>
      </c>
      <c r="T875" t="s">
        <v>49175</v>
      </c>
      <c r="U875" t="s">
        <v>50444</v>
      </c>
      <c r="W875" t="s">
        <v>43443</v>
      </c>
      <c r="X875" t="s">
        <v>47427</v>
      </c>
    </row>
    <row r="876" spans="1:24">
      <c r="A876">
        <f>HYPERLINK("https://www.philgeps.gov.ph/GEPSNONPILOT/Tender/SplashBidNoticeAbstractUI.aspx?menuIndex=3&amp;refID=7164782&amp;Result=3","7164782")</f>
        <v>0</v>
      </c>
      <c r="B876" t="s">
        <v>413</v>
      </c>
      <c r="C876" t="s">
        <v>4771</v>
      </c>
      <c r="D876" t="s">
        <v>19017</v>
      </c>
      <c r="E876" t="s">
        <v>19922</v>
      </c>
      <c r="F876" t="s">
        <v>32831</v>
      </c>
      <c r="G876" t="s">
        <v>32840</v>
      </c>
      <c r="H876" t="s">
        <v>32848</v>
      </c>
      <c r="I876" t="s">
        <v>32912</v>
      </c>
      <c r="J876" t="s">
        <v>33292</v>
      </c>
      <c r="K876" t="s">
        <v>42727</v>
      </c>
      <c r="M876" t="s">
        <v>43418</v>
      </c>
      <c r="N876" t="s">
        <v>47424</v>
      </c>
      <c r="O876" t="s">
        <v>47425</v>
      </c>
      <c r="P876">
        <v>0</v>
      </c>
      <c r="Q876">
        <v>2</v>
      </c>
      <c r="R876" t="s">
        <v>47426</v>
      </c>
      <c r="S876" t="s">
        <v>47531</v>
      </c>
      <c r="T876" t="s">
        <v>49107</v>
      </c>
      <c r="U876" t="s">
        <v>50445</v>
      </c>
      <c r="W876" t="s">
        <v>43418</v>
      </c>
      <c r="X876" t="s">
        <v>47427</v>
      </c>
    </row>
    <row r="877" spans="1:24">
      <c r="A877">
        <f>HYPERLINK("https://www.philgeps.gov.ph/GEPSNONPILOT/Tender/SplashBidNoticeAbstractUI.aspx?menuIndex=3&amp;refID=7164839&amp;Result=3","7164839")</f>
        <v>0</v>
      </c>
      <c r="B877" t="s">
        <v>428</v>
      </c>
      <c r="C877" t="s">
        <v>4755</v>
      </c>
      <c r="D877" t="s">
        <v>19062</v>
      </c>
      <c r="E877" t="s">
        <v>19751</v>
      </c>
      <c r="F877" t="s">
        <v>32831</v>
      </c>
      <c r="G877" t="s">
        <v>32842</v>
      </c>
      <c r="H877" t="s">
        <v>32848</v>
      </c>
      <c r="I877" t="s">
        <v>32910</v>
      </c>
      <c r="J877" t="s">
        <v>33632</v>
      </c>
      <c r="K877" t="s">
        <v>42748</v>
      </c>
      <c r="M877" t="s">
        <v>43433</v>
      </c>
      <c r="N877" t="s">
        <v>47424</v>
      </c>
      <c r="O877" t="s">
        <v>47425</v>
      </c>
      <c r="P877">
        <v>0</v>
      </c>
      <c r="Q877">
        <v>0</v>
      </c>
      <c r="R877" t="s">
        <v>47426</v>
      </c>
      <c r="S877" t="s">
        <v>47531</v>
      </c>
      <c r="T877" t="s">
        <v>49127</v>
      </c>
      <c r="U877" t="s">
        <v>50446</v>
      </c>
      <c r="W877" t="s">
        <v>43433</v>
      </c>
      <c r="X877" t="s">
        <v>47427</v>
      </c>
    </row>
    <row r="878" spans="1:24">
      <c r="A878">
        <f>HYPERLINK("https://www.philgeps.gov.ph/GEPSNONPILOT/Tender/SplashBidNoticeAbstractUI.aspx?menuIndex=3&amp;refID=7164837&amp;Result=3","7164837")</f>
        <v>0</v>
      </c>
      <c r="B878" t="s">
        <v>439</v>
      </c>
      <c r="C878" t="s">
        <v>4772</v>
      </c>
      <c r="D878" t="s">
        <v>19027</v>
      </c>
      <c r="E878" t="s">
        <v>19923</v>
      </c>
      <c r="F878" t="s">
        <v>32831</v>
      </c>
      <c r="G878" t="s">
        <v>32838</v>
      </c>
      <c r="H878" t="s">
        <v>32848</v>
      </c>
      <c r="I878" t="s">
        <v>7416</v>
      </c>
      <c r="J878" t="s">
        <v>33633</v>
      </c>
      <c r="K878" t="s">
        <v>42758</v>
      </c>
      <c r="M878" t="s">
        <v>43444</v>
      </c>
      <c r="N878" t="s">
        <v>47424</v>
      </c>
      <c r="O878" t="s">
        <v>47425</v>
      </c>
      <c r="P878">
        <v>0</v>
      </c>
      <c r="Q878">
        <v>0</v>
      </c>
      <c r="R878" t="s">
        <v>47426</v>
      </c>
      <c r="S878" t="s">
        <v>47531</v>
      </c>
      <c r="T878" t="s">
        <v>49125</v>
      </c>
      <c r="U878" t="s">
        <v>50447</v>
      </c>
      <c r="W878" t="s">
        <v>43444</v>
      </c>
      <c r="X878" t="s">
        <v>47427</v>
      </c>
    </row>
    <row r="879" spans="1:24">
      <c r="A879">
        <f>HYPERLINK("https://www.philgeps.gov.ph/GEPSNONPILOT/Tender/SplashBidNoticeAbstractUI.aspx?menuIndex=3&amp;refID=7164836&amp;Result=3","7164836")</f>
        <v>0</v>
      </c>
      <c r="B879" t="s">
        <v>438</v>
      </c>
      <c r="C879" t="s">
        <v>4773</v>
      </c>
      <c r="D879" t="s">
        <v>19083</v>
      </c>
      <c r="E879" t="s">
        <v>19924</v>
      </c>
      <c r="F879" t="s">
        <v>32831</v>
      </c>
      <c r="G879" t="s">
        <v>32841</v>
      </c>
      <c r="H879" t="s">
        <v>32848</v>
      </c>
      <c r="I879" t="s">
        <v>32857</v>
      </c>
      <c r="J879" t="s">
        <v>33087</v>
      </c>
      <c r="K879" t="s">
        <v>42727</v>
      </c>
      <c r="M879" t="s">
        <v>43443</v>
      </c>
      <c r="N879" t="s">
        <v>47424</v>
      </c>
      <c r="O879" t="s">
        <v>47425</v>
      </c>
      <c r="P879">
        <v>0</v>
      </c>
      <c r="Q879">
        <v>5</v>
      </c>
      <c r="R879" t="s">
        <v>47426</v>
      </c>
      <c r="S879" t="s">
        <v>47531</v>
      </c>
      <c r="T879" t="s">
        <v>49210</v>
      </c>
      <c r="U879" t="s">
        <v>50448</v>
      </c>
      <c r="W879" t="s">
        <v>43443</v>
      </c>
      <c r="X879" t="s">
        <v>47427</v>
      </c>
    </row>
    <row r="880" spans="1:24">
      <c r="A880">
        <f>HYPERLINK("https://www.philgeps.gov.ph/GEPSNONPILOT/Tender/SplashBidNoticeAbstractUI.aspx?menuIndex=3&amp;refID=7164835&amp;Result=3","7164835")</f>
        <v>0</v>
      </c>
      <c r="B880" t="s">
        <v>435</v>
      </c>
      <c r="C880" t="s">
        <v>4774</v>
      </c>
      <c r="D880" t="s">
        <v>19060</v>
      </c>
      <c r="E880" t="s">
        <v>19925</v>
      </c>
      <c r="F880" t="s">
        <v>32831</v>
      </c>
      <c r="G880" t="s">
        <v>32839</v>
      </c>
      <c r="H880" t="s">
        <v>32848</v>
      </c>
      <c r="I880" t="s">
        <v>4487</v>
      </c>
      <c r="J880" t="s">
        <v>33634</v>
      </c>
      <c r="K880" t="s">
        <v>42730</v>
      </c>
      <c r="M880" t="s">
        <v>43440</v>
      </c>
      <c r="N880" t="s">
        <v>47424</v>
      </c>
      <c r="O880" t="s">
        <v>47425</v>
      </c>
      <c r="P880">
        <v>0</v>
      </c>
      <c r="Q880">
        <v>4</v>
      </c>
      <c r="R880" t="s">
        <v>47426</v>
      </c>
      <c r="S880" t="s">
        <v>47531</v>
      </c>
      <c r="T880" t="s">
        <v>49059</v>
      </c>
      <c r="U880" t="s">
        <v>50449</v>
      </c>
      <c r="W880" t="s">
        <v>43440</v>
      </c>
      <c r="X880" t="s">
        <v>47427</v>
      </c>
    </row>
    <row r="881" spans="1:24">
      <c r="A881">
        <f>HYPERLINK("https://www.philgeps.gov.ph/GEPSNONPILOT/Tender/SplashBidNoticeAbstractUI.aspx?menuIndex=3&amp;refID=7164850&amp;Result=3","7164850")</f>
        <v>0</v>
      </c>
      <c r="B881" t="s">
        <v>440</v>
      </c>
      <c r="C881" t="s">
        <v>4775</v>
      </c>
      <c r="D881" t="s">
        <v>19094</v>
      </c>
      <c r="E881" t="s">
        <v>19926</v>
      </c>
      <c r="F881" t="s">
        <v>32831</v>
      </c>
      <c r="G881" t="s">
        <v>32839</v>
      </c>
      <c r="H881" t="s">
        <v>32849</v>
      </c>
      <c r="I881" t="s">
        <v>4177</v>
      </c>
      <c r="J881" t="s">
        <v>33133</v>
      </c>
      <c r="K881" t="s">
        <v>42732</v>
      </c>
      <c r="M881" t="s">
        <v>43445</v>
      </c>
      <c r="N881" t="s">
        <v>47424</v>
      </c>
      <c r="O881" t="s">
        <v>47425</v>
      </c>
      <c r="P881">
        <v>0</v>
      </c>
      <c r="Q881">
        <v>0</v>
      </c>
      <c r="R881" t="s">
        <v>47426</v>
      </c>
      <c r="S881" t="s">
        <v>47531</v>
      </c>
      <c r="T881" t="s">
        <v>49211</v>
      </c>
      <c r="U881" t="s">
        <v>50450</v>
      </c>
      <c r="W881" t="s">
        <v>43445</v>
      </c>
      <c r="X881" t="s">
        <v>47427</v>
      </c>
    </row>
    <row r="882" spans="1:24">
      <c r="A882">
        <f>HYPERLINK("https://www.philgeps.gov.ph/GEPSNONPILOT/Tender/SplashBidNoticeAbstractUI.aspx?menuIndex=3&amp;refID=7164834&amp;Result=3","7164834")</f>
        <v>0</v>
      </c>
      <c r="B882" t="s">
        <v>428</v>
      </c>
      <c r="C882" t="s">
        <v>4776</v>
      </c>
      <c r="D882" t="s">
        <v>19062</v>
      </c>
      <c r="E882" t="s">
        <v>19787</v>
      </c>
      <c r="F882" t="s">
        <v>32831</v>
      </c>
      <c r="G882" t="s">
        <v>32842</v>
      </c>
      <c r="H882" t="s">
        <v>32848</v>
      </c>
      <c r="I882" t="s">
        <v>4776</v>
      </c>
      <c r="J882" t="s">
        <v>33635</v>
      </c>
      <c r="K882" t="s">
        <v>42748</v>
      </c>
      <c r="M882" t="s">
        <v>43433</v>
      </c>
      <c r="N882" t="s">
        <v>47424</v>
      </c>
      <c r="O882" t="s">
        <v>47425</v>
      </c>
      <c r="P882">
        <v>0</v>
      </c>
      <c r="Q882">
        <v>0</v>
      </c>
      <c r="R882" t="s">
        <v>47426</v>
      </c>
      <c r="S882" t="s">
        <v>47531</v>
      </c>
      <c r="T882" t="s">
        <v>49127</v>
      </c>
      <c r="U882" t="s">
        <v>50451</v>
      </c>
      <c r="W882" t="s">
        <v>43433</v>
      </c>
      <c r="X882" t="s">
        <v>47427</v>
      </c>
    </row>
    <row r="883" spans="1:24">
      <c r="A883">
        <f>HYPERLINK("https://www.philgeps.gov.ph/GEPSNONPILOT/Tender/SplashBidNoticeAbstractUI.aspx?menuIndex=3&amp;refID=7164841&amp;Result=3","7164841")</f>
        <v>0</v>
      </c>
      <c r="B883" t="s">
        <v>435</v>
      </c>
      <c r="C883" t="s">
        <v>4777</v>
      </c>
      <c r="D883" t="s">
        <v>19060</v>
      </c>
      <c r="E883" t="s">
        <v>19927</v>
      </c>
      <c r="F883" t="s">
        <v>32831</v>
      </c>
      <c r="G883" t="s">
        <v>32839</v>
      </c>
      <c r="H883" t="s">
        <v>32848</v>
      </c>
      <c r="I883" t="s">
        <v>4487</v>
      </c>
      <c r="J883" t="s">
        <v>33636</v>
      </c>
      <c r="K883" t="s">
        <v>42731</v>
      </c>
      <c r="M883" t="s">
        <v>43440</v>
      </c>
      <c r="N883" t="s">
        <v>47424</v>
      </c>
      <c r="O883" t="s">
        <v>47425</v>
      </c>
      <c r="P883">
        <v>0</v>
      </c>
      <c r="Q883">
        <v>5</v>
      </c>
      <c r="R883" t="s">
        <v>47426</v>
      </c>
      <c r="S883" t="s">
        <v>47531</v>
      </c>
      <c r="T883" t="s">
        <v>49059</v>
      </c>
      <c r="U883" t="s">
        <v>50452</v>
      </c>
      <c r="V883" t="s">
        <v>62722</v>
      </c>
      <c r="W883" t="s">
        <v>43440</v>
      </c>
      <c r="X883" t="s">
        <v>47427</v>
      </c>
    </row>
    <row r="884" spans="1:24">
      <c r="A884">
        <f>HYPERLINK("https://www.philgeps.gov.ph/GEPSNONPILOT/Tender/SplashBidNoticeAbstractUI.aspx?menuIndex=3&amp;refID=7164791&amp;Result=3","7164791")</f>
        <v>0</v>
      </c>
      <c r="B884" t="s">
        <v>394</v>
      </c>
      <c r="C884" t="s">
        <v>4778</v>
      </c>
      <c r="D884" t="s">
        <v>19074</v>
      </c>
      <c r="E884" t="s">
        <v>19928</v>
      </c>
      <c r="F884" t="s">
        <v>32831</v>
      </c>
      <c r="G884" t="s">
        <v>32839</v>
      </c>
      <c r="H884" t="s">
        <v>32849</v>
      </c>
      <c r="I884" t="s">
        <v>4177</v>
      </c>
      <c r="J884" t="s">
        <v>33087</v>
      </c>
      <c r="K884" t="s">
        <v>42730</v>
      </c>
      <c r="M884" t="s">
        <v>43399</v>
      </c>
      <c r="N884" t="s">
        <v>47424</v>
      </c>
      <c r="O884" t="s">
        <v>47425</v>
      </c>
      <c r="P884">
        <v>0</v>
      </c>
      <c r="Q884">
        <v>0</v>
      </c>
      <c r="R884" t="s">
        <v>47426</v>
      </c>
      <c r="S884" t="s">
        <v>47531</v>
      </c>
      <c r="T884" t="s">
        <v>49070</v>
      </c>
      <c r="U884" t="s">
        <v>50453</v>
      </c>
      <c r="W884" t="s">
        <v>43399</v>
      </c>
      <c r="X884" t="s">
        <v>47427</v>
      </c>
    </row>
    <row r="885" spans="1:24">
      <c r="A885">
        <f>HYPERLINK("https://www.philgeps.gov.ph/GEPSNONPILOT/Tender/SplashBidNoticeAbstractUI.aspx?menuIndex=3&amp;refID=7164884&amp;Result=3","7164884")</f>
        <v>0</v>
      </c>
      <c r="B885" t="s">
        <v>381</v>
      </c>
      <c r="C885" t="s">
        <v>4779</v>
      </c>
      <c r="E885" t="s">
        <v>19826</v>
      </c>
      <c r="F885" t="s">
        <v>32831</v>
      </c>
      <c r="G885" t="s">
        <v>32842</v>
      </c>
      <c r="H885" t="s">
        <v>32848</v>
      </c>
      <c r="I885" t="s">
        <v>32860</v>
      </c>
      <c r="J885" t="s">
        <v>33637</v>
      </c>
      <c r="K885" t="s">
        <v>42732</v>
      </c>
      <c r="M885" t="s">
        <v>43385</v>
      </c>
      <c r="N885" t="s">
        <v>47424</v>
      </c>
      <c r="O885" t="s">
        <v>47425</v>
      </c>
      <c r="P885">
        <v>0</v>
      </c>
      <c r="Q885">
        <v>2</v>
      </c>
      <c r="R885" t="s">
        <v>47426</v>
      </c>
      <c r="S885" t="s">
        <v>47531</v>
      </c>
      <c r="T885" t="s">
        <v>49108</v>
      </c>
      <c r="U885" t="s">
        <v>50454</v>
      </c>
      <c r="W885" t="s">
        <v>43385</v>
      </c>
      <c r="X885" t="s">
        <v>47427</v>
      </c>
    </row>
    <row r="886" spans="1:24">
      <c r="A886">
        <f>HYPERLINK("https://www.philgeps.gov.ph/GEPSNONPILOT/Tender/SplashBidNoticeAbstractUI.aspx?menuIndex=3&amp;refID=7164881&amp;Result=3","7164881")</f>
        <v>0</v>
      </c>
      <c r="B886" t="s">
        <v>441</v>
      </c>
      <c r="C886" t="s">
        <v>4780</v>
      </c>
      <c r="D886" t="s">
        <v>19017</v>
      </c>
      <c r="E886" t="s">
        <v>19929</v>
      </c>
      <c r="F886" t="s">
        <v>32831</v>
      </c>
      <c r="G886" t="s">
        <v>32840</v>
      </c>
      <c r="H886" t="s">
        <v>32848</v>
      </c>
      <c r="I886" t="s">
        <v>32860</v>
      </c>
      <c r="J886" t="s">
        <v>33638</v>
      </c>
      <c r="K886" t="s">
        <v>42748</v>
      </c>
      <c r="M886" t="s">
        <v>43446</v>
      </c>
      <c r="N886" t="s">
        <v>47424</v>
      </c>
      <c r="O886" t="s">
        <v>47425</v>
      </c>
      <c r="P886">
        <v>0</v>
      </c>
      <c r="Q886">
        <v>5</v>
      </c>
      <c r="R886" t="s">
        <v>47426</v>
      </c>
      <c r="S886" t="s">
        <v>47531</v>
      </c>
      <c r="T886" t="s">
        <v>49079</v>
      </c>
      <c r="U886" t="s">
        <v>50455</v>
      </c>
      <c r="W886" t="s">
        <v>43446</v>
      </c>
      <c r="X886" t="s">
        <v>47427</v>
      </c>
    </row>
    <row r="887" spans="1:24">
      <c r="A887">
        <f>HYPERLINK("https://www.philgeps.gov.ph/GEPSNONPILOT/Tender/SplashBidNoticeAbstractUI.aspx?menuIndex=3&amp;refID=7164879&amp;Result=3","7164879")</f>
        <v>0</v>
      </c>
      <c r="B887" t="s">
        <v>441</v>
      </c>
      <c r="C887" t="s">
        <v>4781</v>
      </c>
      <c r="D887" t="s">
        <v>19017</v>
      </c>
      <c r="E887" t="s">
        <v>19929</v>
      </c>
      <c r="F887" t="s">
        <v>32831</v>
      </c>
      <c r="G887" t="s">
        <v>32840</v>
      </c>
      <c r="H887" t="s">
        <v>32848</v>
      </c>
      <c r="I887" t="s">
        <v>4471</v>
      </c>
      <c r="J887" t="s">
        <v>33132</v>
      </c>
      <c r="K887" t="s">
        <v>42748</v>
      </c>
      <c r="M887" t="s">
        <v>43446</v>
      </c>
      <c r="N887" t="s">
        <v>47424</v>
      </c>
      <c r="O887" t="s">
        <v>47425</v>
      </c>
      <c r="P887">
        <v>0</v>
      </c>
      <c r="Q887">
        <v>9</v>
      </c>
      <c r="R887" t="s">
        <v>47426</v>
      </c>
      <c r="S887" t="s">
        <v>47531</v>
      </c>
      <c r="T887" t="s">
        <v>49119</v>
      </c>
      <c r="U887" t="s">
        <v>50456</v>
      </c>
      <c r="W887" t="s">
        <v>43446</v>
      </c>
      <c r="X887" t="s">
        <v>47427</v>
      </c>
    </row>
    <row r="888" spans="1:24">
      <c r="A888">
        <f>HYPERLINK("https://www.philgeps.gov.ph/GEPSNONPILOT/Tender/SplashBidNoticeAbstractUI.aspx?menuIndex=3&amp;refID=7164847&amp;Result=3","7164847")</f>
        <v>0</v>
      </c>
      <c r="B888" t="s">
        <v>435</v>
      </c>
      <c r="C888" t="s">
        <v>4782</v>
      </c>
      <c r="D888" t="s">
        <v>19060</v>
      </c>
      <c r="E888" t="s">
        <v>19930</v>
      </c>
      <c r="F888" t="s">
        <v>32831</v>
      </c>
      <c r="G888" t="s">
        <v>32839</v>
      </c>
      <c r="H888" t="s">
        <v>32848</v>
      </c>
      <c r="I888" t="s">
        <v>7416</v>
      </c>
      <c r="J888" t="s">
        <v>33639</v>
      </c>
      <c r="K888" t="s">
        <v>42730</v>
      </c>
      <c r="M888" t="s">
        <v>43440</v>
      </c>
      <c r="N888" t="s">
        <v>47424</v>
      </c>
      <c r="O888" t="s">
        <v>47425</v>
      </c>
      <c r="P888">
        <v>0</v>
      </c>
      <c r="Q888">
        <v>2</v>
      </c>
      <c r="R888" t="s">
        <v>47426</v>
      </c>
      <c r="S888" t="s">
        <v>47531</v>
      </c>
      <c r="T888" t="s">
        <v>49059</v>
      </c>
      <c r="U888" t="s">
        <v>50457</v>
      </c>
      <c r="W888" t="s">
        <v>43440</v>
      </c>
      <c r="X888" t="s">
        <v>47427</v>
      </c>
    </row>
    <row r="889" spans="1:24">
      <c r="A889">
        <f>HYPERLINK("https://www.philgeps.gov.ph/GEPSNONPILOT/Tender/SplashBidNoticeAbstractUI.aspx?menuIndex=3&amp;refID=7164817&amp;Result=3","7164817")</f>
        <v>0</v>
      </c>
      <c r="B889" t="s">
        <v>424</v>
      </c>
      <c r="C889" t="s">
        <v>4783</v>
      </c>
      <c r="D889" t="s">
        <v>19062</v>
      </c>
      <c r="E889" t="s">
        <v>19931</v>
      </c>
      <c r="F889" t="s">
        <v>32831</v>
      </c>
      <c r="G889" t="s">
        <v>32842</v>
      </c>
      <c r="H889" t="s">
        <v>32848</v>
      </c>
      <c r="I889" t="s">
        <v>4776</v>
      </c>
      <c r="J889" t="s">
        <v>33640</v>
      </c>
      <c r="K889" t="s">
        <v>42730</v>
      </c>
      <c r="M889" t="s">
        <v>43429</v>
      </c>
      <c r="N889" t="s">
        <v>47424</v>
      </c>
      <c r="O889" t="s">
        <v>47425</v>
      </c>
      <c r="P889">
        <v>0</v>
      </c>
      <c r="Q889">
        <v>1</v>
      </c>
      <c r="R889" t="s">
        <v>47426</v>
      </c>
      <c r="S889" t="s">
        <v>47531</v>
      </c>
      <c r="T889" t="s">
        <v>49151</v>
      </c>
      <c r="U889" t="s">
        <v>50422</v>
      </c>
      <c r="W889" t="s">
        <v>43429</v>
      </c>
      <c r="X889" t="s">
        <v>47427</v>
      </c>
    </row>
    <row r="890" spans="1:24">
      <c r="A890">
        <f>HYPERLINK("https://www.philgeps.gov.ph/GEPSNONPILOT/Tender/SplashBidNoticeAbstractUI.aspx?menuIndex=3&amp;refID=7164833&amp;Result=3","7164833")</f>
        <v>0</v>
      </c>
      <c r="B890" t="s">
        <v>394</v>
      </c>
      <c r="C890" t="s">
        <v>4752</v>
      </c>
      <c r="D890" t="s">
        <v>19074</v>
      </c>
      <c r="E890" t="s">
        <v>19932</v>
      </c>
      <c r="F890" t="s">
        <v>32831</v>
      </c>
      <c r="G890" t="s">
        <v>32840</v>
      </c>
      <c r="H890" t="s">
        <v>32848</v>
      </c>
      <c r="I890" t="s">
        <v>7416</v>
      </c>
      <c r="J890" t="s">
        <v>33641</v>
      </c>
      <c r="K890" t="s">
        <v>42730</v>
      </c>
      <c r="M890" t="s">
        <v>43399</v>
      </c>
      <c r="N890" t="s">
        <v>47424</v>
      </c>
      <c r="O890" t="s">
        <v>47425</v>
      </c>
      <c r="P890">
        <v>0</v>
      </c>
      <c r="Q890">
        <v>0</v>
      </c>
      <c r="R890" t="s">
        <v>47426</v>
      </c>
      <c r="S890" t="s">
        <v>47531</v>
      </c>
      <c r="T890" t="s">
        <v>49070</v>
      </c>
      <c r="U890" t="s">
        <v>50458</v>
      </c>
      <c r="W890" t="s">
        <v>43399</v>
      </c>
      <c r="X890" t="s">
        <v>47427</v>
      </c>
    </row>
    <row r="891" spans="1:24">
      <c r="A891">
        <f>HYPERLINK("https://www.philgeps.gov.ph/GEPSNONPILOT/Tender/SplashBidNoticeAbstractUI.aspx?menuIndex=3&amp;refID=7164873&amp;Result=3","7164873")</f>
        <v>0</v>
      </c>
      <c r="B891" t="s">
        <v>442</v>
      </c>
      <c r="C891" t="s">
        <v>4784</v>
      </c>
      <c r="D891" t="s">
        <v>19017</v>
      </c>
      <c r="E891" t="s">
        <v>19933</v>
      </c>
      <c r="F891" t="s">
        <v>32831</v>
      </c>
      <c r="G891" t="s">
        <v>32840</v>
      </c>
      <c r="H891" t="s">
        <v>32848</v>
      </c>
      <c r="I891" t="s">
        <v>4438</v>
      </c>
      <c r="J891" t="s">
        <v>33292</v>
      </c>
      <c r="K891" t="s">
        <v>42732</v>
      </c>
      <c r="M891" t="s">
        <v>43447</v>
      </c>
      <c r="N891" t="s">
        <v>47424</v>
      </c>
      <c r="O891" t="s">
        <v>47425</v>
      </c>
      <c r="P891">
        <v>0</v>
      </c>
      <c r="Q891">
        <v>3</v>
      </c>
      <c r="R891" t="s">
        <v>47426</v>
      </c>
      <c r="S891" t="s">
        <v>47531</v>
      </c>
      <c r="T891" t="s">
        <v>49061</v>
      </c>
      <c r="U891" t="s">
        <v>50459</v>
      </c>
      <c r="W891" t="s">
        <v>43447</v>
      </c>
      <c r="X891" t="s">
        <v>47427</v>
      </c>
    </row>
    <row r="892" spans="1:24">
      <c r="A892">
        <f>HYPERLINK("https://www.philgeps.gov.ph/GEPSNONPILOT/Tender/SplashBidNoticeAbstractUI.aspx?menuIndex=3&amp;refID=7164870&amp;Result=3","7164870")</f>
        <v>0</v>
      </c>
      <c r="B892" t="s">
        <v>436</v>
      </c>
      <c r="C892" t="s">
        <v>4785</v>
      </c>
      <c r="E892" t="s">
        <v>19934</v>
      </c>
      <c r="F892" t="s">
        <v>32831</v>
      </c>
      <c r="G892" t="s">
        <v>32840</v>
      </c>
      <c r="H892" t="s">
        <v>32848</v>
      </c>
      <c r="I892" t="s">
        <v>32854</v>
      </c>
      <c r="J892" t="s">
        <v>33508</v>
      </c>
      <c r="K892" t="s">
        <v>42748</v>
      </c>
      <c r="M892" t="s">
        <v>43441</v>
      </c>
      <c r="N892" t="s">
        <v>47424</v>
      </c>
      <c r="O892" t="s">
        <v>47425</v>
      </c>
      <c r="P892">
        <v>0</v>
      </c>
      <c r="Q892">
        <v>0</v>
      </c>
      <c r="R892" t="s">
        <v>47426</v>
      </c>
      <c r="S892" t="s">
        <v>47531</v>
      </c>
      <c r="T892" t="s">
        <v>49212</v>
      </c>
      <c r="U892" t="s">
        <v>50460</v>
      </c>
      <c r="W892" t="s">
        <v>43441</v>
      </c>
      <c r="X892" t="s">
        <v>47427</v>
      </c>
    </row>
    <row r="893" spans="1:24">
      <c r="A893">
        <f>HYPERLINK("https://www.philgeps.gov.ph/GEPSNONPILOT/Tender/SplashBidNoticeAbstractUI.aspx?menuIndex=3&amp;refID=7164868&amp;Result=3","7164868")</f>
        <v>0</v>
      </c>
      <c r="B893" t="s">
        <v>435</v>
      </c>
      <c r="C893" t="s">
        <v>4786</v>
      </c>
      <c r="D893" t="s">
        <v>19060</v>
      </c>
      <c r="E893" t="s">
        <v>19935</v>
      </c>
      <c r="F893" t="s">
        <v>32831</v>
      </c>
      <c r="G893" t="s">
        <v>32839</v>
      </c>
      <c r="H893" t="s">
        <v>32848</v>
      </c>
      <c r="I893" t="s">
        <v>7416</v>
      </c>
      <c r="J893" t="s">
        <v>33642</v>
      </c>
      <c r="K893" t="s">
        <v>42731</v>
      </c>
      <c r="M893" t="s">
        <v>43440</v>
      </c>
      <c r="N893" t="s">
        <v>47424</v>
      </c>
      <c r="O893" t="s">
        <v>47425</v>
      </c>
      <c r="P893">
        <v>0</v>
      </c>
      <c r="Q893">
        <v>2</v>
      </c>
      <c r="R893" t="s">
        <v>47426</v>
      </c>
      <c r="S893" t="s">
        <v>47531</v>
      </c>
      <c r="T893" t="s">
        <v>49059</v>
      </c>
      <c r="U893" t="s">
        <v>50461</v>
      </c>
      <c r="W893" t="s">
        <v>43440</v>
      </c>
      <c r="X893" t="s">
        <v>47427</v>
      </c>
    </row>
    <row r="894" spans="1:24">
      <c r="A894">
        <f>HYPERLINK("https://www.philgeps.gov.ph/GEPSNONPILOT/Tender/SplashBidNoticeAbstractUI.aspx?menuIndex=3&amp;refID=7164880&amp;Result=3","7164880")</f>
        <v>0</v>
      </c>
      <c r="B894" t="s">
        <v>443</v>
      </c>
      <c r="C894" t="s">
        <v>4787</v>
      </c>
      <c r="D894" t="s">
        <v>19042</v>
      </c>
      <c r="E894" t="s">
        <v>19936</v>
      </c>
      <c r="F894" t="s">
        <v>32831</v>
      </c>
      <c r="G894" t="s">
        <v>32838</v>
      </c>
      <c r="H894" t="s">
        <v>32848</v>
      </c>
      <c r="I894" t="s">
        <v>4446</v>
      </c>
      <c r="J894" t="s">
        <v>33643</v>
      </c>
      <c r="K894" t="s">
        <v>42758</v>
      </c>
      <c r="M894" t="s">
        <v>43448</v>
      </c>
      <c r="N894" t="s">
        <v>47424</v>
      </c>
      <c r="O894" t="s">
        <v>47425</v>
      </c>
      <c r="P894">
        <v>0</v>
      </c>
      <c r="Q894">
        <v>0</v>
      </c>
      <c r="R894" t="s">
        <v>47426</v>
      </c>
      <c r="S894" t="s">
        <v>47531</v>
      </c>
      <c r="T894" t="s">
        <v>49056</v>
      </c>
      <c r="U894" t="s">
        <v>50462</v>
      </c>
      <c r="W894" t="s">
        <v>43448</v>
      </c>
      <c r="X894" t="s">
        <v>47427</v>
      </c>
    </row>
    <row r="895" spans="1:24">
      <c r="A895">
        <f>HYPERLINK("https://www.philgeps.gov.ph/GEPSNONPILOT/Tender/SplashBidNoticeAbstractUI.aspx?menuIndex=3&amp;refID=7164867&amp;Result=3","7164867")</f>
        <v>0</v>
      </c>
      <c r="B895" t="s">
        <v>444</v>
      </c>
      <c r="C895" t="s">
        <v>4788</v>
      </c>
      <c r="D895" t="s">
        <v>19057</v>
      </c>
      <c r="E895" t="s">
        <v>19937</v>
      </c>
      <c r="F895" t="s">
        <v>32831</v>
      </c>
      <c r="G895" t="s">
        <v>32840</v>
      </c>
      <c r="H895" t="s">
        <v>32848</v>
      </c>
      <c r="I895" t="s">
        <v>32861</v>
      </c>
      <c r="J895" t="s">
        <v>33133</v>
      </c>
      <c r="K895" t="s">
        <v>42732</v>
      </c>
      <c r="M895" t="s">
        <v>43449</v>
      </c>
      <c r="N895" t="s">
        <v>47424</v>
      </c>
      <c r="O895" t="s">
        <v>47425</v>
      </c>
      <c r="P895">
        <v>0</v>
      </c>
      <c r="Q895">
        <v>2</v>
      </c>
      <c r="R895" t="s">
        <v>47426</v>
      </c>
      <c r="S895" t="s">
        <v>47531</v>
      </c>
      <c r="T895" t="s">
        <v>49056</v>
      </c>
      <c r="U895" t="s">
        <v>50463</v>
      </c>
      <c r="W895" t="s">
        <v>43449</v>
      </c>
      <c r="X895" t="s">
        <v>47427</v>
      </c>
    </row>
    <row r="896" spans="1:24">
      <c r="A896">
        <f>HYPERLINK("https://www.philgeps.gov.ph/GEPSNONPILOT/Tender/SplashBidNoticeAbstractUI.aspx?menuIndex=3&amp;refID=7164875&amp;Result=3","7164875")</f>
        <v>0</v>
      </c>
      <c r="B896" t="s">
        <v>442</v>
      </c>
      <c r="C896" t="s">
        <v>4789</v>
      </c>
      <c r="D896" t="s">
        <v>19017</v>
      </c>
      <c r="E896" t="s">
        <v>19938</v>
      </c>
      <c r="F896" t="s">
        <v>32831</v>
      </c>
      <c r="G896" t="s">
        <v>32840</v>
      </c>
      <c r="H896" t="s">
        <v>32848</v>
      </c>
      <c r="I896" t="s">
        <v>4438</v>
      </c>
      <c r="J896" t="s">
        <v>33175</v>
      </c>
      <c r="K896" t="s">
        <v>42732</v>
      </c>
      <c r="M896" t="s">
        <v>43447</v>
      </c>
      <c r="N896" t="s">
        <v>47424</v>
      </c>
      <c r="O896" t="s">
        <v>47425</v>
      </c>
      <c r="P896">
        <v>0</v>
      </c>
      <c r="Q896">
        <v>2</v>
      </c>
      <c r="R896" t="s">
        <v>47426</v>
      </c>
      <c r="S896" t="s">
        <v>47531</v>
      </c>
      <c r="T896" t="s">
        <v>49061</v>
      </c>
      <c r="U896" t="s">
        <v>50464</v>
      </c>
      <c r="W896" t="s">
        <v>43447</v>
      </c>
      <c r="X896" t="s">
        <v>47427</v>
      </c>
    </row>
    <row r="897" spans="1:24">
      <c r="A897">
        <f>HYPERLINK("https://www.philgeps.gov.ph/GEPSNONPILOT/Tender/SplashBidNoticeAbstractUI.aspx?menuIndex=3&amp;refID=7164882&amp;Result=3","7164882")</f>
        <v>0</v>
      </c>
      <c r="B897" t="s">
        <v>445</v>
      </c>
      <c r="C897" t="s">
        <v>4790</v>
      </c>
      <c r="D897" t="s">
        <v>19018</v>
      </c>
      <c r="E897" t="s">
        <v>19939</v>
      </c>
      <c r="F897" t="s">
        <v>32831</v>
      </c>
      <c r="G897" t="s">
        <v>32839</v>
      </c>
      <c r="H897" t="s">
        <v>32848</v>
      </c>
      <c r="I897" t="s">
        <v>7751</v>
      </c>
      <c r="J897" t="s">
        <v>32985</v>
      </c>
      <c r="K897" t="s">
        <v>42731</v>
      </c>
      <c r="M897" t="s">
        <v>43450</v>
      </c>
      <c r="N897" t="s">
        <v>47424</v>
      </c>
      <c r="O897" t="s">
        <v>47425</v>
      </c>
      <c r="P897">
        <v>0</v>
      </c>
      <c r="Q897">
        <v>0</v>
      </c>
      <c r="R897" t="s">
        <v>47426</v>
      </c>
      <c r="S897" t="s">
        <v>47531</v>
      </c>
      <c r="T897" t="s">
        <v>49068</v>
      </c>
      <c r="U897" t="s">
        <v>50465</v>
      </c>
      <c r="W897" t="s">
        <v>43450</v>
      </c>
      <c r="X897" t="s">
        <v>47427</v>
      </c>
    </row>
    <row r="898" spans="1:24">
      <c r="A898">
        <f>HYPERLINK("https://www.philgeps.gov.ph/GEPSNONPILOT/Tender/SplashBidNoticeAbstractUI.aspx?menuIndex=3&amp;refID=7164901&amp;Result=3","7164901")</f>
        <v>0</v>
      </c>
      <c r="B898" t="s">
        <v>446</v>
      </c>
      <c r="C898" t="s">
        <v>4791</v>
      </c>
      <c r="D898" t="s">
        <v>19032</v>
      </c>
      <c r="E898" t="s">
        <v>19940</v>
      </c>
      <c r="F898" t="s">
        <v>32831</v>
      </c>
      <c r="G898" t="s">
        <v>32839</v>
      </c>
      <c r="H898" t="s">
        <v>32848</v>
      </c>
      <c r="I898" t="s">
        <v>32874</v>
      </c>
      <c r="J898" t="s">
        <v>33644</v>
      </c>
      <c r="K898" t="s">
        <v>42747</v>
      </c>
      <c r="M898" t="s">
        <v>43451</v>
      </c>
      <c r="N898" t="s">
        <v>47424</v>
      </c>
      <c r="O898" t="s">
        <v>47425</v>
      </c>
      <c r="P898">
        <v>0</v>
      </c>
      <c r="Q898">
        <v>3</v>
      </c>
      <c r="R898" t="s">
        <v>47426</v>
      </c>
      <c r="S898" t="s">
        <v>47531</v>
      </c>
      <c r="T898" t="s">
        <v>49189</v>
      </c>
      <c r="U898" t="s">
        <v>50466</v>
      </c>
      <c r="V898" t="s">
        <v>62723</v>
      </c>
      <c r="W898" t="s">
        <v>43451</v>
      </c>
      <c r="X898" t="s">
        <v>47427</v>
      </c>
    </row>
    <row r="899" spans="1:24">
      <c r="A899">
        <f>HYPERLINK("https://www.philgeps.gov.ph/GEPSNONPILOT/Tender/SplashBidNoticeAbstractUI.aspx?menuIndex=3&amp;refID=7164872&amp;Result=3","7164872")</f>
        <v>0</v>
      </c>
      <c r="B899" t="s">
        <v>441</v>
      </c>
      <c r="C899" t="s">
        <v>4792</v>
      </c>
      <c r="D899" t="s">
        <v>19017</v>
      </c>
      <c r="E899" t="s">
        <v>19941</v>
      </c>
      <c r="F899" t="s">
        <v>32831</v>
      </c>
      <c r="G899" t="s">
        <v>32840</v>
      </c>
      <c r="H899" t="s">
        <v>32848</v>
      </c>
      <c r="I899" t="s">
        <v>7416</v>
      </c>
      <c r="J899" t="s">
        <v>33026</v>
      </c>
      <c r="K899" t="s">
        <v>42748</v>
      </c>
      <c r="M899" t="s">
        <v>43446</v>
      </c>
      <c r="N899" t="s">
        <v>47424</v>
      </c>
      <c r="O899" t="s">
        <v>47425</v>
      </c>
      <c r="P899">
        <v>0</v>
      </c>
      <c r="Q899">
        <v>3</v>
      </c>
      <c r="R899" t="s">
        <v>47426</v>
      </c>
      <c r="S899" t="s">
        <v>47531</v>
      </c>
      <c r="T899" t="s">
        <v>49079</v>
      </c>
      <c r="U899" t="s">
        <v>50467</v>
      </c>
      <c r="W899" t="s">
        <v>43446</v>
      </c>
      <c r="X899" t="s">
        <v>47427</v>
      </c>
    </row>
    <row r="900" spans="1:24">
      <c r="A900">
        <f>HYPERLINK("https://www.philgeps.gov.ph/GEPSNONPILOT/Tender/SplashBidNoticeAbstractUI.aspx?menuIndex=3&amp;refID=7164907&amp;Result=3","7164907")</f>
        <v>0</v>
      </c>
      <c r="B900" t="s">
        <v>447</v>
      </c>
      <c r="C900" t="s">
        <v>4726</v>
      </c>
      <c r="D900" t="s">
        <v>19074</v>
      </c>
      <c r="E900" t="s">
        <v>19836</v>
      </c>
      <c r="F900" t="s">
        <v>32831</v>
      </c>
      <c r="G900" t="s">
        <v>32840</v>
      </c>
      <c r="H900" t="s">
        <v>32848</v>
      </c>
      <c r="I900" t="s">
        <v>4438</v>
      </c>
      <c r="J900" t="s">
        <v>33645</v>
      </c>
      <c r="K900" t="s">
        <v>42759</v>
      </c>
      <c r="M900" t="s">
        <v>43452</v>
      </c>
      <c r="N900" t="s">
        <v>47424</v>
      </c>
      <c r="O900" t="s">
        <v>47425</v>
      </c>
      <c r="P900">
        <v>0</v>
      </c>
      <c r="Q900">
        <v>0</v>
      </c>
      <c r="R900" t="s">
        <v>47426</v>
      </c>
      <c r="S900" t="s">
        <v>47531</v>
      </c>
      <c r="T900" t="s">
        <v>49213</v>
      </c>
      <c r="U900" t="s">
        <v>50468</v>
      </c>
      <c r="V900" t="s">
        <v>62707</v>
      </c>
      <c r="W900" t="s">
        <v>43452</v>
      </c>
      <c r="X900" t="s">
        <v>47427</v>
      </c>
    </row>
    <row r="901" spans="1:24">
      <c r="A901">
        <f>HYPERLINK("https://www.philgeps.gov.ph/GEPSNONPILOT/Tender/SplashBidNoticeAbstractUI.aspx?menuIndex=3&amp;refID=7164906&amp;Result=3","7164906")</f>
        <v>0</v>
      </c>
      <c r="B901" t="s">
        <v>448</v>
      </c>
      <c r="C901" t="s">
        <v>4793</v>
      </c>
      <c r="D901" t="s">
        <v>19027</v>
      </c>
      <c r="E901" t="s">
        <v>19942</v>
      </c>
      <c r="F901" t="s">
        <v>32831</v>
      </c>
      <c r="G901" t="s">
        <v>32840</v>
      </c>
      <c r="H901" t="s">
        <v>32848</v>
      </c>
      <c r="I901" t="s">
        <v>32856</v>
      </c>
      <c r="J901" t="s">
        <v>33646</v>
      </c>
      <c r="K901" t="s">
        <v>42726</v>
      </c>
      <c r="M901" t="s">
        <v>43453</v>
      </c>
      <c r="N901" t="s">
        <v>47424</v>
      </c>
      <c r="O901" t="s">
        <v>47425</v>
      </c>
      <c r="P901">
        <v>0</v>
      </c>
      <c r="Q901">
        <v>1</v>
      </c>
      <c r="R901" t="s">
        <v>47426</v>
      </c>
      <c r="S901" t="s">
        <v>47531</v>
      </c>
      <c r="T901" t="s">
        <v>49214</v>
      </c>
      <c r="U901" t="s">
        <v>50469</v>
      </c>
      <c r="W901" t="s">
        <v>43453</v>
      </c>
      <c r="X901" t="s">
        <v>47427</v>
      </c>
    </row>
    <row r="902" spans="1:24">
      <c r="A902">
        <f>HYPERLINK("https://www.philgeps.gov.ph/GEPSNONPILOT/Tender/SplashBidNoticeAbstractUI.aspx?menuIndex=3&amp;refID=7164904&amp;Result=3","7164904")</f>
        <v>0</v>
      </c>
      <c r="B902" t="s">
        <v>449</v>
      </c>
      <c r="C902" t="s">
        <v>4794</v>
      </c>
      <c r="D902" t="s">
        <v>19062</v>
      </c>
      <c r="E902" t="s">
        <v>19198</v>
      </c>
      <c r="F902" t="s">
        <v>32831</v>
      </c>
      <c r="G902" t="s">
        <v>32842</v>
      </c>
      <c r="H902" t="s">
        <v>32848</v>
      </c>
      <c r="I902" t="s">
        <v>32858</v>
      </c>
      <c r="J902" t="s">
        <v>33647</v>
      </c>
      <c r="K902" t="s">
        <v>42759</v>
      </c>
      <c r="M902" t="s">
        <v>43454</v>
      </c>
      <c r="N902" t="s">
        <v>47424</v>
      </c>
      <c r="O902" t="s">
        <v>47425</v>
      </c>
      <c r="P902">
        <v>0</v>
      </c>
      <c r="Q902">
        <v>1</v>
      </c>
      <c r="R902" t="s">
        <v>47426</v>
      </c>
      <c r="S902" t="s">
        <v>47531</v>
      </c>
      <c r="T902" t="s">
        <v>49119</v>
      </c>
      <c r="U902" t="s">
        <v>50470</v>
      </c>
      <c r="W902" t="s">
        <v>43454</v>
      </c>
      <c r="X902" t="s">
        <v>47427</v>
      </c>
    </row>
    <row r="903" spans="1:24">
      <c r="A903">
        <f>HYPERLINK("https://www.philgeps.gov.ph/GEPSNONPILOT/Tender/SplashBidNoticeAbstractUI.aspx?menuIndex=3&amp;refID=7164869&amp;Result=3","7164869")</f>
        <v>0</v>
      </c>
      <c r="B903" t="s">
        <v>444</v>
      </c>
      <c r="C903" t="s">
        <v>4795</v>
      </c>
      <c r="D903" t="s">
        <v>19057</v>
      </c>
      <c r="E903" t="s">
        <v>19208</v>
      </c>
      <c r="F903" t="s">
        <v>32831</v>
      </c>
      <c r="G903" t="s">
        <v>32840</v>
      </c>
      <c r="H903" t="s">
        <v>32848</v>
      </c>
      <c r="I903" t="s">
        <v>32884</v>
      </c>
      <c r="J903" t="s">
        <v>33385</v>
      </c>
      <c r="K903" t="s">
        <v>42732</v>
      </c>
      <c r="M903" t="s">
        <v>43449</v>
      </c>
      <c r="N903" t="s">
        <v>47424</v>
      </c>
      <c r="O903" t="s">
        <v>47425</v>
      </c>
      <c r="P903">
        <v>0</v>
      </c>
      <c r="Q903">
        <v>1</v>
      </c>
      <c r="R903" t="s">
        <v>47426</v>
      </c>
      <c r="S903" t="s">
        <v>47531</v>
      </c>
      <c r="T903" t="s">
        <v>49056</v>
      </c>
      <c r="U903" t="s">
        <v>50471</v>
      </c>
      <c r="W903" t="s">
        <v>43449</v>
      </c>
      <c r="X903" t="s">
        <v>47427</v>
      </c>
    </row>
    <row r="904" spans="1:24">
      <c r="A904">
        <f>HYPERLINK("https://www.philgeps.gov.ph/GEPSNONPILOT/Tender/SplashBidNoticeAbstractUI.aspx?menuIndex=3&amp;refID=7164902&amp;Result=3","7164902")</f>
        <v>0</v>
      </c>
      <c r="B904" t="s">
        <v>424</v>
      </c>
      <c r="C904" t="s">
        <v>4796</v>
      </c>
      <c r="D904" t="s">
        <v>19062</v>
      </c>
      <c r="E904" t="s">
        <v>19943</v>
      </c>
      <c r="F904" t="s">
        <v>32831</v>
      </c>
      <c r="G904" t="s">
        <v>32839</v>
      </c>
      <c r="H904" t="s">
        <v>32849</v>
      </c>
      <c r="I904" t="s">
        <v>4177</v>
      </c>
      <c r="J904" t="s">
        <v>33648</v>
      </c>
      <c r="K904" t="s">
        <v>42789</v>
      </c>
      <c r="M904" t="s">
        <v>43429</v>
      </c>
      <c r="N904" t="s">
        <v>47424</v>
      </c>
      <c r="O904" t="s">
        <v>47425</v>
      </c>
      <c r="P904">
        <v>0</v>
      </c>
      <c r="Q904">
        <v>1</v>
      </c>
      <c r="R904" t="s">
        <v>47426</v>
      </c>
      <c r="S904" t="s">
        <v>47531</v>
      </c>
      <c r="T904" t="s">
        <v>49215</v>
      </c>
      <c r="U904" t="s">
        <v>50472</v>
      </c>
      <c r="W904" t="s">
        <v>43429</v>
      </c>
      <c r="X904" t="s">
        <v>47427</v>
      </c>
    </row>
    <row r="905" spans="1:24">
      <c r="A905">
        <f>HYPERLINK("https://www.philgeps.gov.ph/GEPSNONPILOT/Tender/SplashBidNoticeAbstractUI.aspx?menuIndex=3&amp;refID=7164899&amp;Result=3","7164899")</f>
        <v>0</v>
      </c>
      <c r="B905" t="s">
        <v>450</v>
      </c>
      <c r="C905" t="s">
        <v>4797</v>
      </c>
      <c r="D905" t="s">
        <v>19074</v>
      </c>
      <c r="E905" t="s">
        <v>19944</v>
      </c>
      <c r="F905" t="s">
        <v>32831</v>
      </c>
      <c r="G905" t="s">
        <v>32839</v>
      </c>
      <c r="H905" t="s">
        <v>32848</v>
      </c>
      <c r="I905" t="s">
        <v>32874</v>
      </c>
      <c r="J905" t="s">
        <v>33649</v>
      </c>
      <c r="K905" t="s">
        <v>42726</v>
      </c>
      <c r="M905" t="s">
        <v>43455</v>
      </c>
      <c r="N905" t="s">
        <v>47424</v>
      </c>
      <c r="O905" t="s">
        <v>47425</v>
      </c>
      <c r="P905">
        <v>0</v>
      </c>
      <c r="Q905">
        <v>4</v>
      </c>
      <c r="R905" t="s">
        <v>47426</v>
      </c>
      <c r="S905" t="s">
        <v>47531</v>
      </c>
      <c r="T905" t="s">
        <v>49216</v>
      </c>
      <c r="U905" t="s">
        <v>50473</v>
      </c>
      <c r="W905" t="s">
        <v>64437</v>
      </c>
      <c r="X905" t="s">
        <v>47427</v>
      </c>
    </row>
    <row r="906" spans="1:24">
      <c r="A906">
        <f>HYPERLINK("https://www.philgeps.gov.ph/GEPSNONPILOT/Tender/SplashBidNoticeAbstractUI.aspx?menuIndex=3&amp;refID=7164897&amp;Result=3","7164897")</f>
        <v>0</v>
      </c>
      <c r="B906" t="s">
        <v>448</v>
      </c>
      <c r="C906" t="s">
        <v>4798</v>
      </c>
      <c r="D906" t="s">
        <v>19027</v>
      </c>
      <c r="E906" t="s">
        <v>19945</v>
      </c>
      <c r="F906" t="s">
        <v>32831</v>
      </c>
      <c r="G906" t="s">
        <v>32840</v>
      </c>
      <c r="H906" t="s">
        <v>32848</v>
      </c>
      <c r="I906" t="s">
        <v>32852</v>
      </c>
      <c r="J906" t="s">
        <v>33650</v>
      </c>
      <c r="K906" t="s">
        <v>42726</v>
      </c>
      <c r="M906" t="s">
        <v>43453</v>
      </c>
      <c r="N906" t="s">
        <v>47424</v>
      </c>
      <c r="O906" t="s">
        <v>47425</v>
      </c>
      <c r="P906">
        <v>0</v>
      </c>
      <c r="Q906">
        <v>1</v>
      </c>
      <c r="R906" t="s">
        <v>47426</v>
      </c>
      <c r="S906" t="s">
        <v>47531</v>
      </c>
      <c r="T906" t="s">
        <v>49214</v>
      </c>
      <c r="U906" t="s">
        <v>50474</v>
      </c>
      <c r="W906" t="s">
        <v>43453</v>
      </c>
      <c r="X906" t="s">
        <v>47427</v>
      </c>
    </row>
    <row r="907" spans="1:24">
      <c r="A907">
        <f>HYPERLINK("https://www.philgeps.gov.ph/GEPSNONPILOT/Tender/SplashBidNoticeAbstractUI.aspx?menuIndex=3&amp;refID=7164866&amp;Result=3","7164866")</f>
        <v>0</v>
      </c>
      <c r="B907" t="s">
        <v>451</v>
      </c>
      <c r="C907" t="s">
        <v>4799</v>
      </c>
      <c r="D907" t="s">
        <v>19057</v>
      </c>
      <c r="E907" t="s">
        <v>19946</v>
      </c>
      <c r="F907" t="s">
        <v>32831</v>
      </c>
      <c r="G907" t="s">
        <v>32840</v>
      </c>
      <c r="H907" t="s">
        <v>32848</v>
      </c>
      <c r="I907" t="s">
        <v>6526</v>
      </c>
      <c r="J907" t="s">
        <v>33651</v>
      </c>
      <c r="K907" t="s">
        <v>42790</v>
      </c>
      <c r="M907" t="s">
        <v>43456</v>
      </c>
      <c r="N907" t="s">
        <v>47424</v>
      </c>
      <c r="O907" t="s">
        <v>47425</v>
      </c>
      <c r="P907">
        <v>0</v>
      </c>
      <c r="Q907">
        <v>0</v>
      </c>
      <c r="R907" t="s">
        <v>47426</v>
      </c>
      <c r="S907" t="s">
        <v>47531</v>
      </c>
      <c r="T907" t="s">
        <v>49079</v>
      </c>
      <c r="U907" t="s">
        <v>50475</v>
      </c>
      <c r="V907" t="s">
        <v>62724</v>
      </c>
      <c r="W907" t="s">
        <v>43456</v>
      </c>
      <c r="X907" t="s">
        <v>47427</v>
      </c>
    </row>
    <row r="908" spans="1:24">
      <c r="A908">
        <f>HYPERLINK("https://www.philgeps.gov.ph/GEPSNONPILOT/Tender/SplashBidNoticeAbstractUI.aspx?menuIndex=3&amp;refID=7164896&amp;Result=3","7164896")</f>
        <v>0</v>
      </c>
      <c r="B908" t="s">
        <v>448</v>
      </c>
      <c r="C908" t="s">
        <v>4800</v>
      </c>
      <c r="D908" t="s">
        <v>19027</v>
      </c>
      <c r="E908" t="s">
        <v>19947</v>
      </c>
      <c r="F908" t="s">
        <v>32831</v>
      </c>
      <c r="G908" t="s">
        <v>32840</v>
      </c>
      <c r="H908" t="s">
        <v>32848</v>
      </c>
      <c r="I908" t="s">
        <v>32870</v>
      </c>
      <c r="J908" t="s">
        <v>33652</v>
      </c>
      <c r="K908" t="s">
        <v>42726</v>
      </c>
      <c r="M908" t="s">
        <v>43453</v>
      </c>
      <c r="N908" t="s">
        <v>47424</v>
      </c>
      <c r="O908" t="s">
        <v>47425</v>
      </c>
      <c r="P908">
        <v>0</v>
      </c>
      <c r="Q908">
        <v>0</v>
      </c>
      <c r="R908" t="s">
        <v>47426</v>
      </c>
      <c r="S908" t="s">
        <v>47531</v>
      </c>
      <c r="T908" t="s">
        <v>49214</v>
      </c>
      <c r="U908" t="s">
        <v>50476</v>
      </c>
      <c r="W908" t="s">
        <v>43453</v>
      </c>
      <c r="X908" t="s">
        <v>47427</v>
      </c>
    </row>
    <row r="909" spans="1:24">
      <c r="A909">
        <f>HYPERLINK("https://www.philgeps.gov.ph/GEPSNONPILOT/Tender/SplashBidNoticeAbstractUI.aspx?menuIndex=3&amp;refID=7164893&amp;Result=3","7164893")</f>
        <v>0</v>
      </c>
      <c r="B909" t="s">
        <v>452</v>
      </c>
      <c r="C909" t="s">
        <v>4726</v>
      </c>
      <c r="D909" t="s">
        <v>19074</v>
      </c>
      <c r="E909" t="s">
        <v>19948</v>
      </c>
      <c r="F909" t="s">
        <v>32831</v>
      </c>
      <c r="G909" t="s">
        <v>32840</v>
      </c>
      <c r="H909" t="s">
        <v>32848</v>
      </c>
      <c r="I909" t="s">
        <v>4438</v>
      </c>
      <c r="J909" t="s">
        <v>33653</v>
      </c>
      <c r="K909" t="s">
        <v>42759</v>
      </c>
      <c r="L909" t="s">
        <v>452</v>
      </c>
      <c r="M909" t="s">
        <v>43457</v>
      </c>
      <c r="N909" t="s">
        <v>47424</v>
      </c>
      <c r="O909" t="s">
        <v>47425</v>
      </c>
      <c r="P909">
        <v>0</v>
      </c>
      <c r="Q909">
        <v>0</v>
      </c>
      <c r="R909" t="s">
        <v>47426</v>
      </c>
      <c r="S909" t="s">
        <v>47531</v>
      </c>
      <c r="T909" t="s">
        <v>49079</v>
      </c>
      <c r="U909" t="s">
        <v>50477</v>
      </c>
      <c r="V909" t="s">
        <v>62707</v>
      </c>
      <c r="W909" t="s">
        <v>43457</v>
      </c>
      <c r="X909" t="s">
        <v>47427</v>
      </c>
    </row>
    <row r="910" spans="1:24">
      <c r="A910">
        <f>HYPERLINK("https://www.philgeps.gov.ph/GEPSNONPILOT/Tender/SplashBidNoticeAbstractUI.aspx?menuIndex=3&amp;refID=7164892&amp;Result=3","7164892")</f>
        <v>0</v>
      </c>
      <c r="B910" t="s">
        <v>453</v>
      </c>
      <c r="C910" t="s">
        <v>4801</v>
      </c>
      <c r="D910" t="s">
        <v>19023</v>
      </c>
      <c r="E910" t="s">
        <v>19144</v>
      </c>
      <c r="F910" t="s">
        <v>32831</v>
      </c>
      <c r="G910" t="s">
        <v>32839</v>
      </c>
      <c r="H910" t="s">
        <v>32850</v>
      </c>
      <c r="I910" t="s">
        <v>7751</v>
      </c>
      <c r="J910" t="s">
        <v>32976</v>
      </c>
      <c r="K910" t="s">
        <v>42758</v>
      </c>
      <c r="M910" t="s">
        <v>43458</v>
      </c>
      <c r="N910" t="s">
        <v>47424</v>
      </c>
      <c r="O910" t="s">
        <v>47425</v>
      </c>
      <c r="P910">
        <v>0</v>
      </c>
      <c r="Q910">
        <v>0</v>
      </c>
      <c r="R910" t="s">
        <v>47426</v>
      </c>
      <c r="S910" t="s">
        <v>47531</v>
      </c>
      <c r="T910" t="s">
        <v>49091</v>
      </c>
      <c r="U910" t="s">
        <v>50478</v>
      </c>
      <c r="W910" t="s">
        <v>64438</v>
      </c>
      <c r="X910" t="s">
        <v>47427</v>
      </c>
    </row>
    <row r="911" spans="1:24">
      <c r="A911">
        <f>HYPERLINK("https://www.philgeps.gov.ph/GEPSNONPILOT/Tender/SplashBidNoticeAbstractUI.aspx?menuIndex=3&amp;refID=7164746&amp;Result=3","7164746")</f>
        <v>0</v>
      </c>
      <c r="B911" t="s">
        <v>454</v>
      </c>
      <c r="C911" t="s">
        <v>4802</v>
      </c>
      <c r="D911" t="s">
        <v>19017</v>
      </c>
      <c r="E911" t="s">
        <v>19949</v>
      </c>
      <c r="F911" t="s">
        <v>32831</v>
      </c>
      <c r="G911" t="s">
        <v>32840</v>
      </c>
      <c r="H911" t="s">
        <v>32850</v>
      </c>
      <c r="I911" t="s">
        <v>32905</v>
      </c>
      <c r="J911" t="s">
        <v>33654</v>
      </c>
      <c r="K911" t="s">
        <v>42726</v>
      </c>
      <c r="M911" t="s">
        <v>43459</v>
      </c>
      <c r="N911" t="s">
        <v>47424</v>
      </c>
      <c r="O911" t="s">
        <v>47425</v>
      </c>
      <c r="P911">
        <v>0</v>
      </c>
      <c r="Q911">
        <v>6</v>
      </c>
      <c r="R911" t="s">
        <v>47426</v>
      </c>
      <c r="S911" t="s">
        <v>47531</v>
      </c>
      <c r="T911" t="s">
        <v>49212</v>
      </c>
      <c r="U911" t="s">
        <v>50479</v>
      </c>
      <c r="W911" t="s">
        <v>43459</v>
      </c>
      <c r="X911" t="s">
        <v>47427</v>
      </c>
    </row>
    <row r="912" spans="1:24">
      <c r="A912">
        <f>HYPERLINK("https://www.philgeps.gov.ph/GEPSNONPILOT/Tender/SplashBidNoticeAbstractUI.aspx?menuIndex=3&amp;refID=7164876&amp;Result=3","7164876")</f>
        <v>0</v>
      </c>
      <c r="B912" t="s">
        <v>441</v>
      </c>
      <c r="C912" t="s">
        <v>4792</v>
      </c>
      <c r="D912" t="s">
        <v>19017</v>
      </c>
      <c r="E912" t="s">
        <v>19950</v>
      </c>
      <c r="F912" t="s">
        <v>32831</v>
      </c>
      <c r="G912" t="s">
        <v>32840</v>
      </c>
      <c r="H912" t="s">
        <v>32848</v>
      </c>
      <c r="I912" t="s">
        <v>7416</v>
      </c>
      <c r="J912" t="s">
        <v>33424</v>
      </c>
      <c r="K912" t="s">
        <v>42748</v>
      </c>
      <c r="M912" t="s">
        <v>43446</v>
      </c>
      <c r="N912" t="s">
        <v>47424</v>
      </c>
      <c r="O912" t="s">
        <v>47425</v>
      </c>
      <c r="P912">
        <v>0</v>
      </c>
      <c r="Q912">
        <v>4</v>
      </c>
      <c r="R912" t="s">
        <v>47426</v>
      </c>
      <c r="S912" t="s">
        <v>47531</v>
      </c>
      <c r="T912" t="s">
        <v>49114</v>
      </c>
      <c r="U912" t="s">
        <v>50480</v>
      </c>
      <c r="W912" t="s">
        <v>43446</v>
      </c>
      <c r="X912" t="s">
        <v>47427</v>
      </c>
    </row>
    <row r="913" spans="1:24">
      <c r="A913">
        <f>HYPERLINK("https://www.philgeps.gov.ph/GEPSNONPILOT/Tender/SplashBidNoticeAbstractUI.aspx?menuIndex=3&amp;refID=7164891&amp;Result=3","7164891")</f>
        <v>0</v>
      </c>
      <c r="B913" t="s">
        <v>455</v>
      </c>
      <c r="C913" t="s">
        <v>4803</v>
      </c>
      <c r="D913" t="s">
        <v>19023</v>
      </c>
      <c r="E913" t="s">
        <v>19951</v>
      </c>
      <c r="F913" t="s">
        <v>32831</v>
      </c>
      <c r="G913" t="s">
        <v>32839</v>
      </c>
      <c r="H913" t="s">
        <v>32849</v>
      </c>
      <c r="I913" t="s">
        <v>4177</v>
      </c>
      <c r="J913" t="s">
        <v>33118</v>
      </c>
      <c r="K913" t="s">
        <v>42745</v>
      </c>
      <c r="M913" t="s">
        <v>43460</v>
      </c>
      <c r="N913" t="s">
        <v>47424</v>
      </c>
      <c r="O913" t="s">
        <v>47425</v>
      </c>
      <c r="P913">
        <v>0</v>
      </c>
      <c r="Q913">
        <v>0</v>
      </c>
      <c r="R913" t="s">
        <v>47426</v>
      </c>
      <c r="S913" t="s">
        <v>47531</v>
      </c>
      <c r="T913" t="s">
        <v>49217</v>
      </c>
      <c r="U913" t="s">
        <v>50481</v>
      </c>
      <c r="W913" t="s">
        <v>43460</v>
      </c>
      <c r="X913" t="s">
        <v>47427</v>
      </c>
    </row>
    <row r="914" spans="1:24">
      <c r="A914">
        <f>HYPERLINK("https://www.philgeps.gov.ph/GEPSNONPILOT/Tender/SplashBidNoticeAbstractUI.aspx?menuIndex=3&amp;refID=7164889&amp;Result=3","7164889")</f>
        <v>0</v>
      </c>
      <c r="B914" t="s">
        <v>448</v>
      </c>
      <c r="C914" t="s">
        <v>4804</v>
      </c>
      <c r="D914" t="s">
        <v>19027</v>
      </c>
      <c r="E914" t="s">
        <v>19952</v>
      </c>
      <c r="F914" t="s">
        <v>32831</v>
      </c>
      <c r="G914" t="s">
        <v>32840</v>
      </c>
      <c r="H914" t="s">
        <v>32848</v>
      </c>
      <c r="I914" t="s">
        <v>6526</v>
      </c>
      <c r="J914" t="s">
        <v>33655</v>
      </c>
      <c r="K914" t="s">
        <v>42726</v>
      </c>
      <c r="M914" t="s">
        <v>43453</v>
      </c>
      <c r="N914" t="s">
        <v>47424</v>
      </c>
      <c r="O914" t="s">
        <v>47425</v>
      </c>
      <c r="P914">
        <v>0</v>
      </c>
      <c r="Q914">
        <v>0</v>
      </c>
      <c r="R914" t="s">
        <v>47426</v>
      </c>
      <c r="S914" t="s">
        <v>47531</v>
      </c>
      <c r="T914" t="s">
        <v>49214</v>
      </c>
      <c r="U914" t="s">
        <v>50482</v>
      </c>
      <c r="W914" t="s">
        <v>43453</v>
      </c>
      <c r="X914" t="s">
        <v>47427</v>
      </c>
    </row>
    <row r="915" spans="1:24">
      <c r="A915">
        <f>HYPERLINK("https://www.philgeps.gov.ph/GEPSNONPILOT/Tender/SplashBidNoticeAbstractUI.aspx?menuIndex=3&amp;refID=7164894&amp;Result=3","7164894")</f>
        <v>0</v>
      </c>
      <c r="B915" t="s">
        <v>455</v>
      </c>
      <c r="C915" t="s">
        <v>4805</v>
      </c>
      <c r="D915" t="s">
        <v>19023</v>
      </c>
      <c r="E915" t="s">
        <v>19953</v>
      </c>
      <c r="F915" t="s">
        <v>32831</v>
      </c>
      <c r="G915" t="s">
        <v>32839</v>
      </c>
      <c r="H915" t="s">
        <v>32848</v>
      </c>
      <c r="I915" t="s">
        <v>7751</v>
      </c>
      <c r="J915" t="s">
        <v>33656</v>
      </c>
      <c r="K915" t="s">
        <v>42727</v>
      </c>
      <c r="M915" t="s">
        <v>43460</v>
      </c>
      <c r="N915" t="s">
        <v>47424</v>
      </c>
      <c r="O915" t="s">
        <v>47425</v>
      </c>
      <c r="P915">
        <v>0</v>
      </c>
      <c r="Q915">
        <v>3</v>
      </c>
      <c r="R915" t="s">
        <v>47426</v>
      </c>
      <c r="S915" t="s">
        <v>47531</v>
      </c>
      <c r="T915" t="s">
        <v>49217</v>
      </c>
      <c r="U915" t="s">
        <v>50481</v>
      </c>
      <c r="W915" t="s">
        <v>43460</v>
      </c>
      <c r="X915" t="s">
        <v>47427</v>
      </c>
    </row>
    <row r="916" spans="1:24">
      <c r="A916">
        <f>HYPERLINK("https://www.philgeps.gov.ph/GEPSNONPILOT/Tender/SplashBidNoticeAbstractUI.aspx?menuIndex=3&amp;refID=7164903&amp;Result=3","7164903")</f>
        <v>0</v>
      </c>
      <c r="B916" t="s">
        <v>448</v>
      </c>
      <c r="C916" t="s">
        <v>4806</v>
      </c>
      <c r="D916" t="s">
        <v>19027</v>
      </c>
      <c r="E916" t="s">
        <v>19954</v>
      </c>
      <c r="F916" t="s">
        <v>32831</v>
      </c>
      <c r="G916" t="s">
        <v>32840</v>
      </c>
      <c r="H916" t="s">
        <v>32848</v>
      </c>
      <c r="I916" t="s">
        <v>32870</v>
      </c>
      <c r="J916" t="s">
        <v>33464</v>
      </c>
      <c r="K916" t="s">
        <v>42726</v>
      </c>
      <c r="M916" t="s">
        <v>43453</v>
      </c>
      <c r="N916" t="s">
        <v>47424</v>
      </c>
      <c r="O916" t="s">
        <v>47425</v>
      </c>
      <c r="P916">
        <v>0</v>
      </c>
      <c r="Q916">
        <v>0</v>
      </c>
      <c r="R916" t="s">
        <v>47426</v>
      </c>
      <c r="S916" t="s">
        <v>47531</v>
      </c>
      <c r="T916" t="s">
        <v>49214</v>
      </c>
      <c r="U916" t="s">
        <v>50483</v>
      </c>
      <c r="W916" t="s">
        <v>43453</v>
      </c>
      <c r="X916" t="s">
        <v>47427</v>
      </c>
    </row>
    <row r="917" spans="1:24">
      <c r="A917">
        <f>HYPERLINK("https://www.philgeps.gov.ph/GEPSNONPILOT/Tender/SplashBidNoticeAbstractUI.aspx?menuIndex=3&amp;refID=7164900&amp;Result=3","7164900")</f>
        <v>0</v>
      </c>
      <c r="B917" t="s">
        <v>456</v>
      </c>
      <c r="C917" t="s">
        <v>4807</v>
      </c>
      <c r="D917" t="s">
        <v>19019</v>
      </c>
      <c r="E917" t="s">
        <v>19955</v>
      </c>
      <c r="F917" t="s">
        <v>32831</v>
      </c>
      <c r="G917" t="s">
        <v>32838</v>
      </c>
      <c r="H917" t="s">
        <v>32848</v>
      </c>
      <c r="I917" t="s">
        <v>32858</v>
      </c>
      <c r="J917" t="s">
        <v>33657</v>
      </c>
      <c r="K917" t="s">
        <v>42748</v>
      </c>
      <c r="L917" t="s">
        <v>456</v>
      </c>
      <c r="M917" t="s">
        <v>43461</v>
      </c>
      <c r="N917" t="s">
        <v>47424</v>
      </c>
      <c r="O917" t="s">
        <v>47425</v>
      </c>
      <c r="P917">
        <v>0</v>
      </c>
      <c r="Q917">
        <v>2</v>
      </c>
      <c r="R917" t="s">
        <v>47426</v>
      </c>
      <c r="S917" t="s">
        <v>47531</v>
      </c>
      <c r="T917" t="s">
        <v>49089</v>
      </c>
      <c r="U917" t="s">
        <v>50484</v>
      </c>
      <c r="W917" t="s">
        <v>43461</v>
      </c>
      <c r="X917" t="s">
        <v>47427</v>
      </c>
    </row>
    <row r="918" spans="1:24">
      <c r="A918">
        <f>HYPERLINK("https://www.philgeps.gov.ph/GEPSNONPILOT/Tender/SplashBidNoticeAbstractUI.aspx?menuIndex=3&amp;refID=7164865&amp;Result=3","7164865")</f>
        <v>0</v>
      </c>
      <c r="B918" t="s">
        <v>457</v>
      </c>
      <c r="C918" t="s">
        <v>4808</v>
      </c>
      <c r="E918" t="s">
        <v>19503</v>
      </c>
      <c r="F918" t="s">
        <v>32831</v>
      </c>
      <c r="G918" t="s">
        <v>32839</v>
      </c>
      <c r="H918" t="s">
        <v>32849</v>
      </c>
      <c r="I918" t="s">
        <v>4177</v>
      </c>
      <c r="J918" t="s">
        <v>33658</v>
      </c>
      <c r="K918" t="s">
        <v>42732</v>
      </c>
      <c r="M918" t="s">
        <v>43462</v>
      </c>
      <c r="N918" t="s">
        <v>47424</v>
      </c>
      <c r="O918" t="s">
        <v>47425</v>
      </c>
      <c r="P918">
        <v>0</v>
      </c>
      <c r="Q918">
        <v>0</v>
      </c>
      <c r="R918" t="s">
        <v>47426</v>
      </c>
      <c r="S918" t="s">
        <v>47531</v>
      </c>
      <c r="T918" t="s">
        <v>49091</v>
      </c>
      <c r="U918" t="s">
        <v>50485</v>
      </c>
      <c r="W918" t="s">
        <v>43462</v>
      </c>
      <c r="X918" t="s">
        <v>47427</v>
      </c>
    </row>
    <row r="919" spans="1:24">
      <c r="A919">
        <f>HYPERLINK("https://www.philgeps.gov.ph/GEPSNONPILOT/Tender/SplashBidNoticeAbstractUI.aspx?menuIndex=3&amp;refID=7164863&amp;Result=3","7164863")</f>
        <v>0</v>
      </c>
      <c r="B919" t="s">
        <v>457</v>
      </c>
      <c r="C919" t="s">
        <v>4809</v>
      </c>
      <c r="E919" t="s">
        <v>19292</v>
      </c>
      <c r="F919" t="s">
        <v>32831</v>
      </c>
      <c r="G919" t="s">
        <v>32839</v>
      </c>
      <c r="H919" t="s">
        <v>32849</v>
      </c>
      <c r="I919" t="s">
        <v>4177</v>
      </c>
      <c r="J919" t="s">
        <v>33659</v>
      </c>
      <c r="K919" t="s">
        <v>42732</v>
      </c>
      <c r="M919" t="s">
        <v>43462</v>
      </c>
      <c r="N919" t="s">
        <v>47424</v>
      </c>
      <c r="O919" t="s">
        <v>47425</v>
      </c>
      <c r="P919">
        <v>0</v>
      </c>
      <c r="Q919">
        <v>0</v>
      </c>
      <c r="R919" t="s">
        <v>47426</v>
      </c>
      <c r="S919" t="s">
        <v>47531</v>
      </c>
      <c r="T919" t="s">
        <v>49091</v>
      </c>
      <c r="U919" t="s">
        <v>50486</v>
      </c>
      <c r="W919" t="s">
        <v>43462</v>
      </c>
      <c r="X919" t="s">
        <v>47427</v>
      </c>
    </row>
    <row r="920" spans="1:24">
      <c r="A920">
        <f>HYPERLINK("https://www.philgeps.gov.ph/GEPSNONPILOT/Tender/SplashBidNoticeAbstractUI.aspx?menuIndex=3&amp;refID=7164895&amp;Result=3","7164895")</f>
        <v>0</v>
      </c>
      <c r="B920" t="s">
        <v>458</v>
      </c>
      <c r="C920" t="s">
        <v>4810</v>
      </c>
      <c r="D920" t="s">
        <v>19022</v>
      </c>
      <c r="E920" t="s">
        <v>19956</v>
      </c>
      <c r="F920" t="s">
        <v>32831</v>
      </c>
      <c r="G920" t="s">
        <v>32840</v>
      </c>
      <c r="H920" t="s">
        <v>32848</v>
      </c>
      <c r="I920" t="s">
        <v>9577</v>
      </c>
      <c r="J920" t="s">
        <v>33660</v>
      </c>
      <c r="K920" t="s">
        <v>42726</v>
      </c>
      <c r="M920" t="s">
        <v>43463</v>
      </c>
      <c r="N920" t="s">
        <v>47424</v>
      </c>
      <c r="O920" t="s">
        <v>47425</v>
      </c>
      <c r="P920">
        <v>0</v>
      </c>
      <c r="Q920">
        <v>1</v>
      </c>
      <c r="R920" t="s">
        <v>47426</v>
      </c>
      <c r="S920" t="s">
        <v>47531</v>
      </c>
      <c r="T920" t="s">
        <v>49214</v>
      </c>
      <c r="U920" t="s">
        <v>50487</v>
      </c>
      <c r="W920" t="s">
        <v>43463</v>
      </c>
      <c r="X920" t="s">
        <v>47427</v>
      </c>
    </row>
    <row r="921" spans="1:24">
      <c r="A921">
        <f>HYPERLINK("https://www.philgeps.gov.ph/GEPSNONPILOT/Tender/SplashBidNoticeAbstractUI.aspx?menuIndex=3&amp;refID=7164887&amp;Result=3","7164887")</f>
        <v>0</v>
      </c>
      <c r="B921" t="s">
        <v>455</v>
      </c>
      <c r="C921" t="s">
        <v>4811</v>
      </c>
      <c r="D921" t="s">
        <v>19023</v>
      </c>
      <c r="E921" t="s">
        <v>19957</v>
      </c>
      <c r="F921" t="s">
        <v>32831</v>
      </c>
      <c r="G921" t="s">
        <v>32839</v>
      </c>
      <c r="H921" t="s">
        <v>32849</v>
      </c>
      <c r="I921" t="s">
        <v>4177</v>
      </c>
      <c r="J921" t="s">
        <v>33118</v>
      </c>
      <c r="K921" t="s">
        <v>42759</v>
      </c>
      <c r="M921" t="s">
        <v>43460</v>
      </c>
      <c r="N921" t="s">
        <v>47424</v>
      </c>
      <c r="O921" t="s">
        <v>47425</v>
      </c>
      <c r="P921">
        <v>0</v>
      </c>
      <c r="Q921">
        <v>0</v>
      </c>
      <c r="R921" t="s">
        <v>47426</v>
      </c>
      <c r="S921" t="s">
        <v>47531</v>
      </c>
      <c r="T921" t="s">
        <v>49217</v>
      </c>
      <c r="U921" t="s">
        <v>50481</v>
      </c>
      <c r="W921" t="s">
        <v>43460</v>
      </c>
      <c r="X921" t="s">
        <v>47427</v>
      </c>
    </row>
    <row r="922" spans="1:24">
      <c r="A922">
        <f>HYPERLINK("https://www.philgeps.gov.ph/GEPSNONPILOT/Tender/SplashBidNoticeAbstractUI.aspx?menuIndex=3&amp;refID=7164861&amp;Result=3","7164861")</f>
        <v>0</v>
      </c>
      <c r="B922" t="s">
        <v>457</v>
      </c>
      <c r="C922" t="s">
        <v>4812</v>
      </c>
      <c r="E922" t="s">
        <v>19870</v>
      </c>
      <c r="F922" t="s">
        <v>32831</v>
      </c>
      <c r="G922" t="s">
        <v>32839</v>
      </c>
      <c r="H922" t="s">
        <v>32849</v>
      </c>
      <c r="I922" t="s">
        <v>4177</v>
      </c>
      <c r="J922" t="s">
        <v>33661</v>
      </c>
      <c r="K922" t="s">
        <v>42732</v>
      </c>
      <c r="M922" t="s">
        <v>43462</v>
      </c>
      <c r="N922" t="s">
        <v>47424</v>
      </c>
      <c r="O922" t="s">
        <v>47425</v>
      </c>
      <c r="P922">
        <v>0</v>
      </c>
      <c r="Q922">
        <v>0</v>
      </c>
      <c r="R922" t="s">
        <v>47426</v>
      </c>
      <c r="S922" t="s">
        <v>47531</v>
      </c>
      <c r="T922" t="s">
        <v>49091</v>
      </c>
      <c r="U922" t="s">
        <v>50488</v>
      </c>
      <c r="W922" t="s">
        <v>43462</v>
      </c>
      <c r="X922" t="s">
        <v>47427</v>
      </c>
    </row>
    <row r="923" spans="1:24">
      <c r="A923">
        <f>HYPERLINK("https://www.philgeps.gov.ph/GEPSNONPILOT/Tender/SplashBidNoticeAbstractUI.aspx?menuIndex=3&amp;refID=7164860&amp;Result=3","7164860")</f>
        <v>0</v>
      </c>
      <c r="B923" t="s">
        <v>451</v>
      </c>
      <c r="C923" t="s">
        <v>4162</v>
      </c>
      <c r="D923" t="s">
        <v>19057</v>
      </c>
      <c r="E923" t="s">
        <v>19958</v>
      </c>
      <c r="F923" t="s">
        <v>32831</v>
      </c>
      <c r="G923" t="s">
        <v>32840</v>
      </c>
      <c r="H923" t="s">
        <v>32848</v>
      </c>
      <c r="I923" t="s">
        <v>10805</v>
      </c>
      <c r="J923" t="s">
        <v>33662</v>
      </c>
      <c r="K923" t="s">
        <v>42791</v>
      </c>
      <c r="M923" t="s">
        <v>43456</v>
      </c>
      <c r="N923" t="s">
        <v>47424</v>
      </c>
      <c r="O923" t="s">
        <v>47425</v>
      </c>
      <c r="P923">
        <v>0</v>
      </c>
      <c r="Q923">
        <v>2</v>
      </c>
      <c r="R923" t="s">
        <v>47426</v>
      </c>
      <c r="S923" t="s">
        <v>47531</v>
      </c>
      <c r="T923" t="s">
        <v>49079</v>
      </c>
      <c r="U923" t="s">
        <v>50489</v>
      </c>
      <c r="V923" t="s">
        <v>62725</v>
      </c>
      <c r="W923" t="s">
        <v>43456</v>
      </c>
      <c r="X923" t="s">
        <v>47427</v>
      </c>
    </row>
    <row r="924" spans="1:24">
      <c r="A924">
        <f>HYPERLINK("https://www.philgeps.gov.ph/GEPSNONPILOT/Tender/SplashBidNoticeAbstractUI.aspx?menuIndex=3&amp;refID=7164830&amp;Result=3","7164830")</f>
        <v>0</v>
      </c>
      <c r="B924" t="s">
        <v>435</v>
      </c>
      <c r="C924" t="s">
        <v>4813</v>
      </c>
      <c r="D924" t="s">
        <v>19060</v>
      </c>
      <c r="E924" t="s">
        <v>19959</v>
      </c>
      <c r="F924" t="s">
        <v>32831</v>
      </c>
      <c r="G924" t="s">
        <v>32839</v>
      </c>
      <c r="H924" t="s">
        <v>32848</v>
      </c>
      <c r="I924" t="s">
        <v>32913</v>
      </c>
      <c r="J924" t="s">
        <v>32985</v>
      </c>
      <c r="K924" t="s">
        <v>42730</v>
      </c>
      <c r="M924" t="s">
        <v>43440</v>
      </c>
      <c r="N924" t="s">
        <v>47424</v>
      </c>
      <c r="O924" t="s">
        <v>47425</v>
      </c>
      <c r="P924">
        <v>0</v>
      </c>
      <c r="Q924">
        <v>2</v>
      </c>
      <c r="R924" t="s">
        <v>47426</v>
      </c>
      <c r="S924" t="s">
        <v>47531</v>
      </c>
      <c r="T924" t="s">
        <v>49059</v>
      </c>
      <c r="U924" t="s">
        <v>50490</v>
      </c>
      <c r="W924" t="s">
        <v>43440</v>
      </c>
      <c r="X924" t="s">
        <v>47427</v>
      </c>
    </row>
    <row r="925" spans="1:24">
      <c r="A925">
        <f>HYPERLINK("https://www.philgeps.gov.ph/GEPSNONPILOT/Tender/SplashBidNoticeAbstractUI.aspx?menuIndex=3&amp;refID=7164864&amp;Result=3","7164864")</f>
        <v>0</v>
      </c>
      <c r="B925" t="s">
        <v>435</v>
      </c>
      <c r="C925" t="s">
        <v>4814</v>
      </c>
      <c r="D925" t="s">
        <v>19060</v>
      </c>
      <c r="E925" t="s">
        <v>19960</v>
      </c>
      <c r="F925" t="s">
        <v>32831</v>
      </c>
      <c r="G925" t="s">
        <v>32839</v>
      </c>
      <c r="H925" t="s">
        <v>32848</v>
      </c>
      <c r="I925" t="s">
        <v>7416</v>
      </c>
      <c r="J925" t="s">
        <v>33642</v>
      </c>
      <c r="K925" t="s">
        <v>42730</v>
      </c>
      <c r="M925" t="s">
        <v>43440</v>
      </c>
      <c r="N925" t="s">
        <v>47424</v>
      </c>
      <c r="O925" t="s">
        <v>47425</v>
      </c>
      <c r="P925">
        <v>0</v>
      </c>
      <c r="Q925">
        <v>2</v>
      </c>
      <c r="R925" t="s">
        <v>47426</v>
      </c>
      <c r="S925" t="s">
        <v>47531</v>
      </c>
      <c r="T925" t="s">
        <v>49059</v>
      </c>
      <c r="U925" t="s">
        <v>50461</v>
      </c>
      <c r="W925" t="s">
        <v>43440</v>
      </c>
      <c r="X925" t="s">
        <v>47427</v>
      </c>
    </row>
    <row r="926" spans="1:24">
      <c r="A926">
        <f>HYPERLINK("https://www.philgeps.gov.ph/GEPSNONPILOT/Tender/SplashBidNoticeAbstractUI.aspx?menuIndex=3&amp;refID=7164828&amp;Result=3","7164828")</f>
        <v>0</v>
      </c>
      <c r="B926" t="s">
        <v>435</v>
      </c>
      <c r="C926" t="s">
        <v>4815</v>
      </c>
      <c r="D926" t="s">
        <v>19060</v>
      </c>
      <c r="E926" t="s">
        <v>19961</v>
      </c>
      <c r="F926" t="s">
        <v>32831</v>
      </c>
      <c r="G926" t="s">
        <v>32839</v>
      </c>
      <c r="H926" t="s">
        <v>32848</v>
      </c>
      <c r="I926" t="s">
        <v>32870</v>
      </c>
      <c r="J926" t="s">
        <v>33024</v>
      </c>
      <c r="K926" t="s">
        <v>42730</v>
      </c>
      <c r="M926" t="s">
        <v>43440</v>
      </c>
      <c r="N926" t="s">
        <v>47424</v>
      </c>
      <c r="O926" t="s">
        <v>47425</v>
      </c>
      <c r="P926">
        <v>0</v>
      </c>
      <c r="Q926">
        <v>0</v>
      </c>
      <c r="R926" t="s">
        <v>47426</v>
      </c>
      <c r="S926" t="s">
        <v>47531</v>
      </c>
      <c r="T926" t="s">
        <v>49102</v>
      </c>
      <c r="U926" t="s">
        <v>50491</v>
      </c>
      <c r="V926" t="s">
        <v>62726</v>
      </c>
      <c r="W926" t="s">
        <v>43440</v>
      </c>
      <c r="X926" t="s">
        <v>47427</v>
      </c>
    </row>
    <row r="927" spans="1:24">
      <c r="A927">
        <f>HYPERLINK("https://www.philgeps.gov.ph/GEPSNONPILOT/Tender/SplashBidNoticeAbstractUI.aspx?menuIndex=3&amp;refID=7164862&amp;Result=3","7164862")</f>
        <v>0</v>
      </c>
      <c r="B927" t="s">
        <v>457</v>
      </c>
      <c r="C927" t="s">
        <v>4809</v>
      </c>
      <c r="E927" t="s">
        <v>19962</v>
      </c>
      <c r="F927" t="s">
        <v>32831</v>
      </c>
      <c r="G927" t="s">
        <v>32839</v>
      </c>
      <c r="H927" t="s">
        <v>32849</v>
      </c>
      <c r="I927" t="s">
        <v>4177</v>
      </c>
      <c r="J927" t="s">
        <v>33663</v>
      </c>
      <c r="K927" t="s">
        <v>42732</v>
      </c>
      <c r="M927" t="s">
        <v>43462</v>
      </c>
      <c r="N927" t="s">
        <v>47424</v>
      </c>
      <c r="O927" t="s">
        <v>47425</v>
      </c>
      <c r="P927">
        <v>0</v>
      </c>
      <c r="Q927">
        <v>0</v>
      </c>
      <c r="R927" t="s">
        <v>47426</v>
      </c>
      <c r="S927" t="s">
        <v>47531</v>
      </c>
      <c r="T927" t="s">
        <v>49091</v>
      </c>
      <c r="U927" t="s">
        <v>50492</v>
      </c>
      <c r="W927" t="s">
        <v>43462</v>
      </c>
      <c r="X927" t="s">
        <v>47427</v>
      </c>
    </row>
    <row r="928" spans="1:24">
      <c r="A928">
        <f>HYPERLINK("https://www.philgeps.gov.ph/GEPSNONPILOT/Tender/SplashBidNoticeAbstractUI.aspx?menuIndex=3&amp;refID=7164886&amp;Result=3","7164886")</f>
        <v>0</v>
      </c>
      <c r="B928" t="s">
        <v>459</v>
      </c>
      <c r="C928" t="s">
        <v>4816</v>
      </c>
      <c r="D928" t="s">
        <v>19023</v>
      </c>
      <c r="E928" t="s">
        <v>19963</v>
      </c>
      <c r="F928" t="s">
        <v>32831</v>
      </c>
      <c r="G928" t="s">
        <v>32839</v>
      </c>
      <c r="H928" t="s">
        <v>32849</v>
      </c>
      <c r="I928" t="s">
        <v>4177</v>
      </c>
      <c r="J928" t="s">
        <v>33664</v>
      </c>
      <c r="K928" t="s">
        <v>42780</v>
      </c>
      <c r="M928" t="s">
        <v>43464</v>
      </c>
      <c r="N928" t="s">
        <v>47424</v>
      </c>
      <c r="O928" t="s">
        <v>47425</v>
      </c>
      <c r="P928">
        <v>0</v>
      </c>
      <c r="Q928">
        <v>0</v>
      </c>
      <c r="R928" t="s">
        <v>47426</v>
      </c>
      <c r="S928" t="s">
        <v>47531</v>
      </c>
      <c r="T928" t="s">
        <v>49102</v>
      </c>
      <c r="U928" t="s">
        <v>50493</v>
      </c>
      <c r="V928" t="s">
        <v>62727</v>
      </c>
      <c r="W928" t="s">
        <v>43464</v>
      </c>
      <c r="X928" t="s">
        <v>47427</v>
      </c>
    </row>
    <row r="929" spans="1:24">
      <c r="A929">
        <f>HYPERLINK("https://www.philgeps.gov.ph/GEPSNONPILOT/Tender/SplashBidNoticeAbstractUI.aspx?menuIndex=3&amp;refID=7164779&amp;Result=3","7164779")</f>
        <v>0</v>
      </c>
      <c r="B929" t="s">
        <v>413</v>
      </c>
      <c r="C929" t="s">
        <v>4817</v>
      </c>
      <c r="D929" t="s">
        <v>19017</v>
      </c>
      <c r="E929" t="s">
        <v>19964</v>
      </c>
      <c r="F929" t="s">
        <v>32831</v>
      </c>
      <c r="G929" t="s">
        <v>32840</v>
      </c>
      <c r="H929" t="s">
        <v>32848</v>
      </c>
      <c r="I929" t="s">
        <v>32884</v>
      </c>
      <c r="J929" t="s">
        <v>33241</v>
      </c>
      <c r="K929" t="s">
        <v>42727</v>
      </c>
      <c r="M929" t="s">
        <v>43418</v>
      </c>
      <c r="N929" t="s">
        <v>47424</v>
      </c>
      <c r="O929" t="s">
        <v>47425</v>
      </c>
      <c r="P929">
        <v>0</v>
      </c>
      <c r="Q929">
        <v>15</v>
      </c>
      <c r="R929" t="s">
        <v>47426</v>
      </c>
      <c r="S929" t="s">
        <v>47531</v>
      </c>
      <c r="T929" t="s">
        <v>49107</v>
      </c>
      <c r="U929" t="s">
        <v>50494</v>
      </c>
      <c r="W929" t="s">
        <v>43418</v>
      </c>
      <c r="X929" t="s">
        <v>47427</v>
      </c>
    </row>
    <row r="930" spans="1:24">
      <c r="A930">
        <f>HYPERLINK("https://www.philgeps.gov.ph/GEPSNONPILOT/Tender/SplashBidNoticeAbstractUI.aspx?menuIndex=3&amp;refID=7164711&amp;Result=3","7164711")</f>
        <v>0</v>
      </c>
      <c r="B930" t="s">
        <v>421</v>
      </c>
      <c r="C930" t="s">
        <v>4818</v>
      </c>
      <c r="D930" t="s">
        <v>19021</v>
      </c>
      <c r="E930" t="s">
        <v>19965</v>
      </c>
      <c r="F930" t="s">
        <v>32831</v>
      </c>
      <c r="G930" t="s">
        <v>32838</v>
      </c>
      <c r="H930" t="s">
        <v>32848</v>
      </c>
      <c r="I930" t="s">
        <v>4222</v>
      </c>
      <c r="J930" t="s">
        <v>33665</v>
      </c>
      <c r="K930" t="s">
        <v>42726</v>
      </c>
      <c r="M930" t="s">
        <v>43426</v>
      </c>
      <c r="N930" t="s">
        <v>47424</v>
      </c>
      <c r="O930" t="s">
        <v>47425</v>
      </c>
      <c r="P930">
        <v>0</v>
      </c>
      <c r="Q930">
        <v>0</v>
      </c>
      <c r="R930" t="s">
        <v>47426</v>
      </c>
      <c r="S930" t="s">
        <v>47531</v>
      </c>
      <c r="T930" t="s">
        <v>49105</v>
      </c>
      <c r="U930" t="s">
        <v>50495</v>
      </c>
      <c r="W930" t="s">
        <v>43426</v>
      </c>
      <c r="X930" t="s">
        <v>47427</v>
      </c>
    </row>
    <row r="931" spans="1:24">
      <c r="A931">
        <f>HYPERLINK("https://www.philgeps.gov.ph/GEPSNONPILOT/Tender/SplashBidNoticeAbstractUI.aspx?menuIndex=3&amp;refID=7164829&amp;Result=3","7164829")</f>
        <v>0</v>
      </c>
      <c r="B931" t="s">
        <v>439</v>
      </c>
      <c r="C931" t="s">
        <v>4819</v>
      </c>
      <c r="D931" t="s">
        <v>19027</v>
      </c>
      <c r="E931" t="s">
        <v>19966</v>
      </c>
      <c r="F931" t="s">
        <v>32831</v>
      </c>
      <c r="G931" t="s">
        <v>32838</v>
      </c>
      <c r="H931" t="s">
        <v>32848</v>
      </c>
      <c r="I931" t="s">
        <v>32857</v>
      </c>
      <c r="J931" t="s">
        <v>33666</v>
      </c>
      <c r="K931" t="s">
        <v>42758</v>
      </c>
      <c r="M931" t="s">
        <v>43444</v>
      </c>
      <c r="N931" t="s">
        <v>47424</v>
      </c>
      <c r="O931" t="s">
        <v>47425</v>
      </c>
      <c r="P931">
        <v>0</v>
      </c>
      <c r="Q931">
        <v>1</v>
      </c>
      <c r="R931" t="s">
        <v>47426</v>
      </c>
      <c r="S931" t="s">
        <v>47531</v>
      </c>
      <c r="T931" t="s">
        <v>49161</v>
      </c>
      <c r="U931" t="s">
        <v>50496</v>
      </c>
      <c r="W931" t="s">
        <v>43444</v>
      </c>
      <c r="X931" t="s">
        <v>47427</v>
      </c>
    </row>
    <row r="932" spans="1:24">
      <c r="A932">
        <f>HYPERLINK("https://www.philgeps.gov.ph/GEPSNONPILOT/Tender/SplashBidNoticeAbstractUI.aspx?menuIndex=3&amp;refID=7164710&amp;Result=3","7164710")</f>
        <v>0</v>
      </c>
      <c r="B932" t="s">
        <v>460</v>
      </c>
      <c r="C932" t="s">
        <v>4820</v>
      </c>
      <c r="D932" t="s">
        <v>19086</v>
      </c>
      <c r="E932" t="s">
        <v>19967</v>
      </c>
      <c r="F932" t="s">
        <v>32831</v>
      </c>
      <c r="G932" t="s">
        <v>32840</v>
      </c>
      <c r="H932" t="s">
        <v>32848</v>
      </c>
      <c r="I932" t="s">
        <v>4487</v>
      </c>
      <c r="J932" t="s">
        <v>33667</v>
      </c>
      <c r="K932" t="s">
        <v>42732</v>
      </c>
      <c r="M932" t="s">
        <v>43465</v>
      </c>
      <c r="N932" t="s">
        <v>47424</v>
      </c>
      <c r="O932" t="s">
        <v>47425</v>
      </c>
      <c r="P932">
        <v>0</v>
      </c>
      <c r="Q932">
        <v>0</v>
      </c>
      <c r="R932" t="s">
        <v>47426</v>
      </c>
      <c r="S932" t="s">
        <v>47531</v>
      </c>
      <c r="T932" t="s">
        <v>49100</v>
      </c>
      <c r="U932" t="s">
        <v>50497</v>
      </c>
      <c r="V932" t="s">
        <v>62728</v>
      </c>
      <c r="W932" t="s">
        <v>43465</v>
      </c>
      <c r="X932" t="s">
        <v>47427</v>
      </c>
    </row>
    <row r="933" spans="1:24">
      <c r="A933">
        <f>HYPERLINK("https://www.philgeps.gov.ph/GEPSNONPILOT/Tender/SplashBidNoticeAbstractUI.aspx?menuIndex=3&amp;refID=7164709&amp;Result=3","7164709")</f>
        <v>0</v>
      </c>
      <c r="B933" t="s">
        <v>217</v>
      </c>
      <c r="C933" t="s">
        <v>4821</v>
      </c>
      <c r="D933" t="s">
        <v>19037</v>
      </c>
      <c r="E933" t="s">
        <v>19968</v>
      </c>
      <c r="F933" t="s">
        <v>32831</v>
      </c>
      <c r="G933" t="s">
        <v>32839</v>
      </c>
      <c r="H933" t="s">
        <v>32849</v>
      </c>
      <c r="I933" t="s">
        <v>4177</v>
      </c>
      <c r="J933" t="s">
        <v>33668</v>
      </c>
      <c r="K933" t="s">
        <v>42730</v>
      </c>
      <c r="M933" t="s">
        <v>43392</v>
      </c>
      <c r="N933" t="s">
        <v>47424</v>
      </c>
      <c r="O933" t="s">
        <v>47425</v>
      </c>
      <c r="P933">
        <v>0</v>
      </c>
      <c r="Q933">
        <v>0</v>
      </c>
      <c r="R933" t="s">
        <v>47426</v>
      </c>
      <c r="S933" t="s">
        <v>47531</v>
      </c>
      <c r="T933" t="s">
        <v>49202</v>
      </c>
      <c r="U933" t="s">
        <v>50498</v>
      </c>
      <c r="W933" t="s">
        <v>43392</v>
      </c>
      <c r="X933" t="s">
        <v>47427</v>
      </c>
    </row>
    <row r="934" spans="1:24">
      <c r="A934">
        <f>HYPERLINK("https://www.philgeps.gov.ph/GEPSNONPILOT/Tender/SplashBidNoticeAbstractUI.aspx?menuIndex=3&amp;refID=7164658&amp;Result=3","7164658")</f>
        <v>0</v>
      </c>
      <c r="B934" t="s">
        <v>217</v>
      </c>
      <c r="C934" t="s">
        <v>4822</v>
      </c>
      <c r="D934" t="s">
        <v>19037</v>
      </c>
      <c r="E934" t="s">
        <v>19969</v>
      </c>
      <c r="F934" t="s">
        <v>32831</v>
      </c>
      <c r="G934" t="s">
        <v>32839</v>
      </c>
      <c r="H934" t="s">
        <v>32848</v>
      </c>
      <c r="I934" t="s">
        <v>32857</v>
      </c>
      <c r="J934" t="s">
        <v>33044</v>
      </c>
      <c r="K934" t="s">
        <v>42730</v>
      </c>
      <c r="M934" t="s">
        <v>43392</v>
      </c>
      <c r="N934" t="s">
        <v>47424</v>
      </c>
      <c r="O934" t="s">
        <v>47425</v>
      </c>
      <c r="P934">
        <v>0</v>
      </c>
      <c r="Q934">
        <v>3</v>
      </c>
      <c r="R934" t="s">
        <v>47426</v>
      </c>
      <c r="S934" t="s">
        <v>47531</v>
      </c>
      <c r="T934" t="s">
        <v>49057</v>
      </c>
      <c r="U934" t="s">
        <v>50499</v>
      </c>
      <c r="W934" t="s">
        <v>43392</v>
      </c>
      <c r="X934" t="s">
        <v>47427</v>
      </c>
    </row>
    <row r="935" spans="1:24">
      <c r="A935">
        <f>HYPERLINK("https://www.philgeps.gov.ph/GEPSNONPILOT/Tender/SplashBidNoticeAbstractUI.aspx?menuIndex=3&amp;refID=7164780&amp;Result=3","7164780")</f>
        <v>0</v>
      </c>
      <c r="B935" t="s">
        <v>461</v>
      </c>
      <c r="C935" t="s">
        <v>4823</v>
      </c>
      <c r="D935" t="s">
        <v>19055</v>
      </c>
      <c r="E935" t="s">
        <v>19970</v>
      </c>
      <c r="F935" t="s">
        <v>32831</v>
      </c>
      <c r="G935" t="s">
        <v>32839</v>
      </c>
      <c r="H935" t="s">
        <v>32848</v>
      </c>
      <c r="I935" t="s">
        <v>7416</v>
      </c>
      <c r="J935" t="s">
        <v>33669</v>
      </c>
      <c r="K935" t="s">
        <v>42730</v>
      </c>
      <c r="M935" t="s">
        <v>43466</v>
      </c>
      <c r="N935" t="s">
        <v>47424</v>
      </c>
      <c r="O935" t="s">
        <v>47425</v>
      </c>
      <c r="P935">
        <v>0</v>
      </c>
      <c r="Q935">
        <v>0</v>
      </c>
      <c r="R935" t="s">
        <v>47426</v>
      </c>
      <c r="S935" t="s">
        <v>47531</v>
      </c>
      <c r="T935" t="s">
        <v>49148</v>
      </c>
      <c r="U935" t="s">
        <v>50500</v>
      </c>
      <c r="W935" t="s">
        <v>43466</v>
      </c>
      <c r="X935" t="s">
        <v>47427</v>
      </c>
    </row>
    <row r="936" spans="1:24">
      <c r="A936">
        <f>HYPERLINK("https://www.philgeps.gov.ph/GEPSNONPILOT/Tender/SplashBidNoticeAbstractUI.aspx?menuIndex=3&amp;refID=7164934&amp;Result=3","7164934")</f>
        <v>0</v>
      </c>
      <c r="B936" t="s">
        <v>462</v>
      </c>
      <c r="C936" t="s">
        <v>4824</v>
      </c>
      <c r="D936" t="s">
        <v>19033</v>
      </c>
      <c r="E936" t="s">
        <v>19971</v>
      </c>
      <c r="F936" t="s">
        <v>32831</v>
      </c>
      <c r="G936" t="s">
        <v>32840</v>
      </c>
      <c r="H936" t="s">
        <v>32848</v>
      </c>
      <c r="I936" t="s">
        <v>4558</v>
      </c>
      <c r="J936" t="s">
        <v>33670</v>
      </c>
      <c r="K936" t="s">
        <v>42731</v>
      </c>
      <c r="M936" t="s">
        <v>43467</v>
      </c>
      <c r="N936" t="s">
        <v>47424</v>
      </c>
      <c r="O936" t="s">
        <v>47425</v>
      </c>
      <c r="P936">
        <v>0</v>
      </c>
      <c r="Q936">
        <v>4</v>
      </c>
      <c r="R936" t="s">
        <v>47426</v>
      </c>
      <c r="S936" t="s">
        <v>47531</v>
      </c>
      <c r="T936" t="s">
        <v>49114</v>
      </c>
      <c r="U936" t="s">
        <v>50501</v>
      </c>
      <c r="W936" t="s">
        <v>43467</v>
      </c>
      <c r="X936" t="s">
        <v>47427</v>
      </c>
    </row>
    <row r="937" spans="1:24">
      <c r="A937">
        <f>HYPERLINK("https://www.philgeps.gov.ph/GEPSNONPILOT/Tender/SplashBidNoticeAbstractUI.aspx?menuIndex=3&amp;refID=7164932&amp;Result=3","7164932")</f>
        <v>0</v>
      </c>
      <c r="B937" t="s">
        <v>463</v>
      </c>
      <c r="C937" t="s">
        <v>4825</v>
      </c>
      <c r="D937" t="s">
        <v>19093</v>
      </c>
      <c r="E937" t="s">
        <v>19972</v>
      </c>
      <c r="F937" t="s">
        <v>32831</v>
      </c>
      <c r="G937" t="s">
        <v>32839</v>
      </c>
      <c r="H937" t="s">
        <v>32848</v>
      </c>
      <c r="I937" t="s">
        <v>32890</v>
      </c>
      <c r="J937" t="s">
        <v>33671</v>
      </c>
      <c r="K937" t="s">
        <v>42727</v>
      </c>
      <c r="M937" t="s">
        <v>43468</v>
      </c>
      <c r="N937" t="s">
        <v>47424</v>
      </c>
      <c r="O937" t="s">
        <v>47425</v>
      </c>
      <c r="P937">
        <v>0</v>
      </c>
      <c r="Q937">
        <v>3</v>
      </c>
      <c r="R937" t="s">
        <v>47426</v>
      </c>
      <c r="S937" t="s">
        <v>47531</v>
      </c>
      <c r="T937" t="s">
        <v>49086</v>
      </c>
      <c r="U937" t="s">
        <v>50502</v>
      </c>
      <c r="W937" t="s">
        <v>43468</v>
      </c>
      <c r="X937" t="s">
        <v>47427</v>
      </c>
    </row>
    <row r="938" spans="1:24">
      <c r="A938">
        <f>HYPERLINK("https://www.philgeps.gov.ph/GEPSNONPILOT/Tender/SplashBidNoticeAbstractUI.aspx?menuIndex=3&amp;refID=7164928&amp;Result=3","7164928")</f>
        <v>0</v>
      </c>
      <c r="B938" t="s">
        <v>464</v>
      </c>
      <c r="C938" t="s">
        <v>4826</v>
      </c>
      <c r="D938" t="s">
        <v>19055</v>
      </c>
      <c r="E938" t="s">
        <v>19973</v>
      </c>
      <c r="F938" t="s">
        <v>32831</v>
      </c>
      <c r="G938" t="s">
        <v>32839</v>
      </c>
      <c r="H938" t="s">
        <v>32849</v>
      </c>
      <c r="I938" t="s">
        <v>32913</v>
      </c>
      <c r="J938" t="s">
        <v>33672</v>
      </c>
      <c r="K938" t="s">
        <v>42732</v>
      </c>
      <c r="M938" t="s">
        <v>43469</v>
      </c>
      <c r="N938" t="s">
        <v>47424</v>
      </c>
      <c r="O938" t="s">
        <v>47425</v>
      </c>
      <c r="P938">
        <v>0</v>
      </c>
      <c r="Q938">
        <v>0</v>
      </c>
      <c r="R938" t="s">
        <v>47426</v>
      </c>
      <c r="S938" t="s">
        <v>47531</v>
      </c>
      <c r="T938" t="s">
        <v>49218</v>
      </c>
      <c r="U938" t="s">
        <v>50503</v>
      </c>
      <c r="V938" t="s">
        <v>62729</v>
      </c>
      <c r="W938" t="s">
        <v>43469</v>
      </c>
      <c r="X938" t="s">
        <v>47427</v>
      </c>
    </row>
    <row r="939" spans="1:24">
      <c r="A939">
        <f>HYPERLINK("https://www.philgeps.gov.ph/GEPSNONPILOT/Tender/SplashBidNoticeAbstractUI.aspx?menuIndex=3&amp;refID=7164927&amp;Result=3","7164927")</f>
        <v>0</v>
      </c>
      <c r="B939" t="s">
        <v>463</v>
      </c>
      <c r="C939" t="s">
        <v>4827</v>
      </c>
      <c r="D939" t="s">
        <v>19093</v>
      </c>
      <c r="E939" t="s">
        <v>19974</v>
      </c>
      <c r="F939" t="s">
        <v>32831</v>
      </c>
      <c r="G939" t="s">
        <v>32839</v>
      </c>
      <c r="H939" t="s">
        <v>32848</v>
      </c>
      <c r="I939" t="s">
        <v>4776</v>
      </c>
      <c r="J939" t="s">
        <v>33593</v>
      </c>
      <c r="K939" t="s">
        <v>42727</v>
      </c>
      <c r="M939" t="s">
        <v>43468</v>
      </c>
      <c r="N939" t="s">
        <v>47424</v>
      </c>
      <c r="O939" t="s">
        <v>47425</v>
      </c>
      <c r="P939">
        <v>0</v>
      </c>
      <c r="Q939">
        <v>4</v>
      </c>
      <c r="R939" t="s">
        <v>47426</v>
      </c>
      <c r="S939" t="s">
        <v>47531</v>
      </c>
      <c r="T939" t="s">
        <v>49154</v>
      </c>
      <c r="U939" t="s">
        <v>50504</v>
      </c>
      <c r="W939" t="s">
        <v>43468</v>
      </c>
      <c r="X939" t="s">
        <v>47427</v>
      </c>
    </row>
    <row r="940" spans="1:24">
      <c r="A940">
        <f>HYPERLINK("https://www.philgeps.gov.ph/GEPSNONPILOT/Tender/SplashBidNoticeAbstractUI.aspx?menuIndex=3&amp;refID=7164926&amp;Result=3","7164926")</f>
        <v>0</v>
      </c>
      <c r="B940" t="s">
        <v>465</v>
      </c>
      <c r="C940" t="s">
        <v>4828</v>
      </c>
      <c r="D940" t="s">
        <v>19023</v>
      </c>
      <c r="E940" t="s">
        <v>19975</v>
      </c>
      <c r="F940" t="s">
        <v>32831</v>
      </c>
      <c r="G940" t="s">
        <v>32840</v>
      </c>
      <c r="H940" t="s">
        <v>32848</v>
      </c>
      <c r="I940" t="s">
        <v>32860</v>
      </c>
      <c r="J940" t="s">
        <v>33087</v>
      </c>
      <c r="K940" t="s">
        <v>42748</v>
      </c>
      <c r="M940" t="s">
        <v>43470</v>
      </c>
      <c r="N940" t="s">
        <v>47424</v>
      </c>
      <c r="O940" t="s">
        <v>47425</v>
      </c>
      <c r="P940">
        <v>0</v>
      </c>
      <c r="Q940">
        <v>2</v>
      </c>
      <c r="R940" t="s">
        <v>47426</v>
      </c>
      <c r="S940" t="s">
        <v>47531</v>
      </c>
      <c r="T940" t="s">
        <v>49073</v>
      </c>
      <c r="U940" t="s">
        <v>50505</v>
      </c>
      <c r="W940" t="s">
        <v>43470</v>
      </c>
      <c r="X940" t="s">
        <v>47427</v>
      </c>
    </row>
    <row r="941" spans="1:24">
      <c r="A941">
        <f>HYPERLINK("https://www.philgeps.gov.ph/GEPSNONPILOT/Tender/SplashBidNoticeAbstractUI.aspx?menuIndex=3&amp;refID=7164923&amp;Result=3","7164923")</f>
        <v>0</v>
      </c>
      <c r="B941" t="s">
        <v>463</v>
      </c>
      <c r="C941" t="s">
        <v>4829</v>
      </c>
      <c r="D941" t="s">
        <v>19093</v>
      </c>
      <c r="E941" t="s">
        <v>19976</v>
      </c>
      <c r="F941" t="s">
        <v>32831</v>
      </c>
      <c r="G941" t="s">
        <v>32839</v>
      </c>
      <c r="H941" t="s">
        <v>32848</v>
      </c>
      <c r="I941" t="s">
        <v>7751</v>
      </c>
      <c r="J941" t="s">
        <v>33257</v>
      </c>
      <c r="K941" t="s">
        <v>42730</v>
      </c>
      <c r="M941" t="s">
        <v>43468</v>
      </c>
      <c r="N941" t="s">
        <v>47424</v>
      </c>
      <c r="O941" t="s">
        <v>47425</v>
      </c>
      <c r="P941">
        <v>0</v>
      </c>
      <c r="Q941">
        <v>2</v>
      </c>
      <c r="R941" t="s">
        <v>47426</v>
      </c>
      <c r="S941" t="s">
        <v>47531</v>
      </c>
      <c r="T941" t="s">
        <v>49154</v>
      </c>
      <c r="U941" t="s">
        <v>50506</v>
      </c>
      <c r="W941" t="s">
        <v>43468</v>
      </c>
      <c r="X941" t="s">
        <v>47427</v>
      </c>
    </row>
    <row r="942" spans="1:24">
      <c r="A942">
        <f>HYPERLINK("https://www.philgeps.gov.ph/GEPSNONPILOT/Tender/SplashBidNoticeAbstractUI.aspx?menuIndex=3&amp;refID=7164922&amp;Result=3","7164922")</f>
        <v>0</v>
      </c>
      <c r="B942" t="s">
        <v>466</v>
      </c>
      <c r="C942" t="s">
        <v>4830</v>
      </c>
      <c r="D942" t="s">
        <v>19027</v>
      </c>
      <c r="E942" t="s">
        <v>19977</v>
      </c>
      <c r="F942" t="s">
        <v>32831</v>
      </c>
      <c r="G942" t="s">
        <v>32838</v>
      </c>
      <c r="H942" t="s">
        <v>32848</v>
      </c>
      <c r="I942" t="s">
        <v>32858</v>
      </c>
      <c r="J942" t="s">
        <v>33673</v>
      </c>
      <c r="K942" t="s">
        <v>42748</v>
      </c>
      <c r="M942" t="s">
        <v>43471</v>
      </c>
      <c r="N942" t="s">
        <v>47424</v>
      </c>
      <c r="O942" t="s">
        <v>47425</v>
      </c>
      <c r="P942">
        <v>0</v>
      </c>
      <c r="Q942">
        <v>0</v>
      </c>
      <c r="R942" t="s">
        <v>47426</v>
      </c>
      <c r="S942" t="s">
        <v>47531</v>
      </c>
      <c r="T942" t="s">
        <v>49108</v>
      </c>
      <c r="U942" t="s">
        <v>50507</v>
      </c>
      <c r="W942" t="s">
        <v>43471</v>
      </c>
      <c r="X942" t="s">
        <v>47427</v>
      </c>
    </row>
    <row r="943" spans="1:24">
      <c r="A943">
        <f>HYPERLINK("https://www.philgeps.gov.ph/GEPSNONPILOT/Tender/SplashBidNoticeAbstractUI.aspx?menuIndex=3&amp;refID=7164831&amp;Result=3","7164831")</f>
        <v>0</v>
      </c>
      <c r="B943" t="s">
        <v>435</v>
      </c>
      <c r="C943" t="s">
        <v>4831</v>
      </c>
      <c r="D943" t="s">
        <v>19060</v>
      </c>
      <c r="E943" t="s">
        <v>19978</v>
      </c>
      <c r="F943" t="s">
        <v>32831</v>
      </c>
      <c r="G943" t="s">
        <v>32839</v>
      </c>
      <c r="H943" t="s">
        <v>32848</v>
      </c>
      <c r="I943" t="s">
        <v>32913</v>
      </c>
      <c r="J943" t="s">
        <v>32985</v>
      </c>
      <c r="K943" t="s">
        <v>42731</v>
      </c>
      <c r="M943" t="s">
        <v>43440</v>
      </c>
      <c r="N943" t="s">
        <v>47424</v>
      </c>
      <c r="O943" t="s">
        <v>47425</v>
      </c>
      <c r="P943">
        <v>0</v>
      </c>
      <c r="Q943">
        <v>2</v>
      </c>
      <c r="R943" t="s">
        <v>47426</v>
      </c>
      <c r="S943" t="s">
        <v>47531</v>
      </c>
      <c r="T943" t="s">
        <v>49059</v>
      </c>
      <c r="U943" t="s">
        <v>50490</v>
      </c>
      <c r="W943" t="s">
        <v>43440</v>
      </c>
      <c r="X943" t="s">
        <v>47427</v>
      </c>
    </row>
    <row r="944" spans="1:24">
      <c r="A944">
        <f>HYPERLINK("https://www.philgeps.gov.ph/GEPSNONPILOT/Tender/SplashBidNoticeAbstractUI.aspx?menuIndex=3&amp;refID=7164888&amp;Result=3","7164888")</f>
        <v>0</v>
      </c>
      <c r="B944" t="s">
        <v>467</v>
      </c>
      <c r="C944" t="s">
        <v>4832</v>
      </c>
      <c r="D944" t="s">
        <v>19023</v>
      </c>
      <c r="E944" t="s">
        <v>19979</v>
      </c>
      <c r="F944" t="s">
        <v>32831</v>
      </c>
      <c r="G944" t="s">
        <v>32841</v>
      </c>
      <c r="H944" t="s">
        <v>32848</v>
      </c>
      <c r="I944" t="s">
        <v>4222</v>
      </c>
      <c r="J944" t="s">
        <v>33041</v>
      </c>
      <c r="K944" t="s">
        <v>42760</v>
      </c>
      <c r="M944" t="s">
        <v>43472</v>
      </c>
      <c r="N944" t="s">
        <v>47424</v>
      </c>
      <c r="O944" t="s">
        <v>47425</v>
      </c>
      <c r="P944">
        <v>0</v>
      </c>
      <c r="Q944">
        <v>0</v>
      </c>
      <c r="R944" t="s">
        <v>47426</v>
      </c>
      <c r="S944" t="s">
        <v>47531</v>
      </c>
      <c r="T944" t="s">
        <v>49091</v>
      </c>
      <c r="U944" t="s">
        <v>50508</v>
      </c>
      <c r="W944" t="s">
        <v>64439</v>
      </c>
      <c r="X944" t="s">
        <v>47427</v>
      </c>
    </row>
    <row r="945" spans="1:24">
      <c r="A945">
        <f>HYPERLINK("https://www.philgeps.gov.ph/GEPSNONPILOT/Tender/SplashBidNoticeAbstractUI.aspx?menuIndex=3&amp;refID=7164920&amp;Result=3","7164920")</f>
        <v>0</v>
      </c>
      <c r="B945" t="s">
        <v>468</v>
      </c>
      <c r="C945" t="s">
        <v>4833</v>
      </c>
      <c r="D945" t="s">
        <v>19031</v>
      </c>
      <c r="E945" t="s">
        <v>19980</v>
      </c>
      <c r="F945" t="s">
        <v>32831</v>
      </c>
      <c r="G945" t="s">
        <v>32839</v>
      </c>
      <c r="H945" t="s">
        <v>32848</v>
      </c>
      <c r="I945" t="s">
        <v>4776</v>
      </c>
      <c r="J945" t="s">
        <v>33674</v>
      </c>
      <c r="K945" t="s">
        <v>42727</v>
      </c>
      <c r="M945" t="s">
        <v>43473</v>
      </c>
      <c r="N945" t="s">
        <v>47424</v>
      </c>
      <c r="O945" t="s">
        <v>47425</v>
      </c>
      <c r="P945">
        <v>0</v>
      </c>
      <c r="Q945">
        <v>1</v>
      </c>
      <c r="R945" t="s">
        <v>47426</v>
      </c>
      <c r="S945" t="s">
        <v>47531</v>
      </c>
      <c r="T945" t="s">
        <v>49148</v>
      </c>
      <c r="U945" t="s">
        <v>50509</v>
      </c>
      <c r="W945" t="s">
        <v>64440</v>
      </c>
      <c r="X945" t="s">
        <v>47427</v>
      </c>
    </row>
    <row r="946" spans="1:24">
      <c r="A946">
        <f>HYPERLINK("https://www.philgeps.gov.ph/GEPSNONPILOT/Tender/SplashBidNoticeAbstractUI.aspx?menuIndex=3&amp;refID=7164919&amp;Result=3","7164919")</f>
        <v>0</v>
      </c>
      <c r="B946" t="s">
        <v>468</v>
      </c>
      <c r="C946" t="s">
        <v>4834</v>
      </c>
      <c r="D946" t="s">
        <v>19031</v>
      </c>
      <c r="E946" t="s">
        <v>19981</v>
      </c>
      <c r="F946" t="s">
        <v>32831</v>
      </c>
      <c r="G946" t="s">
        <v>32839</v>
      </c>
      <c r="H946" t="s">
        <v>32848</v>
      </c>
      <c r="I946" t="s">
        <v>32853</v>
      </c>
      <c r="J946" t="s">
        <v>33675</v>
      </c>
      <c r="K946" t="s">
        <v>42727</v>
      </c>
      <c r="M946" t="s">
        <v>43473</v>
      </c>
      <c r="N946" t="s">
        <v>47424</v>
      </c>
      <c r="O946" t="s">
        <v>47425</v>
      </c>
      <c r="P946">
        <v>0</v>
      </c>
      <c r="Q946">
        <v>2</v>
      </c>
      <c r="R946" t="s">
        <v>47426</v>
      </c>
      <c r="S946" t="s">
        <v>47531</v>
      </c>
      <c r="T946" t="s">
        <v>49148</v>
      </c>
      <c r="U946" t="s">
        <v>50510</v>
      </c>
      <c r="W946" t="s">
        <v>64440</v>
      </c>
      <c r="X946" t="s">
        <v>47427</v>
      </c>
    </row>
    <row r="947" spans="1:24">
      <c r="A947">
        <f>HYPERLINK("https://www.philgeps.gov.ph/GEPSNONPILOT/Tender/SplashBidNoticeAbstractUI.aspx?menuIndex=3&amp;refID=7164918&amp;Result=3","7164918")</f>
        <v>0</v>
      </c>
      <c r="B947" t="s">
        <v>468</v>
      </c>
      <c r="C947" t="s">
        <v>4835</v>
      </c>
      <c r="D947" t="s">
        <v>19031</v>
      </c>
      <c r="E947" t="s">
        <v>19982</v>
      </c>
      <c r="F947" t="s">
        <v>32831</v>
      </c>
      <c r="G947" t="s">
        <v>32839</v>
      </c>
      <c r="H947" t="s">
        <v>32848</v>
      </c>
      <c r="I947" t="s">
        <v>32870</v>
      </c>
      <c r="J947" t="s">
        <v>33676</v>
      </c>
      <c r="K947" t="s">
        <v>42763</v>
      </c>
      <c r="M947" t="s">
        <v>43473</v>
      </c>
      <c r="N947" t="s">
        <v>47424</v>
      </c>
      <c r="O947" t="s">
        <v>47425</v>
      </c>
      <c r="P947">
        <v>0</v>
      </c>
      <c r="Q947">
        <v>0</v>
      </c>
      <c r="R947" t="s">
        <v>47426</v>
      </c>
      <c r="S947" t="s">
        <v>47531</v>
      </c>
      <c r="T947" t="s">
        <v>49148</v>
      </c>
      <c r="U947" t="s">
        <v>50511</v>
      </c>
      <c r="W947" t="s">
        <v>64440</v>
      </c>
      <c r="X947" t="s">
        <v>47427</v>
      </c>
    </row>
    <row r="948" spans="1:24">
      <c r="A948">
        <f>HYPERLINK("https://www.philgeps.gov.ph/GEPSNONPILOT/Tender/SplashBidNoticeAbstractUI.aspx?menuIndex=3&amp;refID=7164916&amp;Result=3","7164916")</f>
        <v>0</v>
      </c>
      <c r="B948" t="s">
        <v>466</v>
      </c>
      <c r="C948" t="s">
        <v>4836</v>
      </c>
      <c r="D948" t="s">
        <v>19027</v>
      </c>
      <c r="E948" t="s">
        <v>19983</v>
      </c>
      <c r="F948" t="s">
        <v>32831</v>
      </c>
      <c r="G948" t="s">
        <v>32838</v>
      </c>
      <c r="H948" t="s">
        <v>32848</v>
      </c>
      <c r="I948" t="s">
        <v>32858</v>
      </c>
      <c r="J948" t="s">
        <v>33268</v>
      </c>
      <c r="K948" t="s">
        <v>42748</v>
      </c>
      <c r="M948" t="s">
        <v>43471</v>
      </c>
      <c r="N948" t="s">
        <v>47424</v>
      </c>
      <c r="O948" t="s">
        <v>47425</v>
      </c>
      <c r="P948">
        <v>0</v>
      </c>
      <c r="Q948">
        <v>1</v>
      </c>
      <c r="R948" t="s">
        <v>47426</v>
      </c>
      <c r="S948" t="s">
        <v>47531</v>
      </c>
      <c r="T948" t="s">
        <v>49108</v>
      </c>
      <c r="U948" t="s">
        <v>50512</v>
      </c>
      <c r="W948" t="s">
        <v>43471</v>
      </c>
      <c r="X948" t="s">
        <v>47427</v>
      </c>
    </row>
    <row r="949" spans="1:24">
      <c r="A949">
        <f>HYPERLINK("https://www.philgeps.gov.ph/GEPSNONPILOT/Tender/SplashBidNoticeAbstractUI.aspx?menuIndex=3&amp;refID=7164960&amp;Result=3","7164960")</f>
        <v>0</v>
      </c>
      <c r="B949" t="s">
        <v>469</v>
      </c>
      <c r="C949" t="s">
        <v>4837</v>
      </c>
      <c r="D949" t="s">
        <v>19024</v>
      </c>
      <c r="E949" t="s">
        <v>19984</v>
      </c>
      <c r="F949" t="s">
        <v>32831</v>
      </c>
      <c r="G949" t="s">
        <v>32838</v>
      </c>
      <c r="H949" t="s">
        <v>32850</v>
      </c>
      <c r="I949" t="s">
        <v>5379</v>
      </c>
      <c r="J949" t="s">
        <v>33677</v>
      </c>
      <c r="K949" t="s">
        <v>42749</v>
      </c>
      <c r="M949" t="s">
        <v>43474</v>
      </c>
      <c r="N949" t="s">
        <v>47424</v>
      </c>
      <c r="O949" t="s">
        <v>47425</v>
      </c>
      <c r="P949">
        <v>0</v>
      </c>
      <c r="Q949">
        <v>0</v>
      </c>
      <c r="R949" t="s">
        <v>47426</v>
      </c>
      <c r="S949" t="s">
        <v>47531</v>
      </c>
      <c r="T949" t="s">
        <v>49079</v>
      </c>
      <c r="U949" t="s">
        <v>50513</v>
      </c>
      <c r="W949" t="s">
        <v>43474</v>
      </c>
      <c r="X949" t="s">
        <v>47427</v>
      </c>
    </row>
    <row r="950" spans="1:24">
      <c r="A950">
        <f>HYPERLINK("https://www.philgeps.gov.ph/GEPSNONPILOT/Tender/SplashBidNoticeAbstractUI.aspx?menuIndex=3&amp;refID=7164968&amp;Result=3","7164968")</f>
        <v>0</v>
      </c>
      <c r="B950" t="s">
        <v>470</v>
      </c>
      <c r="C950" t="s">
        <v>4838</v>
      </c>
      <c r="D950" t="s">
        <v>19077</v>
      </c>
      <c r="E950" t="s">
        <v>19985</v>
      </c>
      <c r="F950" t="s">
        <v>32831</v>
      </c>
      <c r="G950" t="s">
        <v>32842</v>
      </c>
      <c r="H950" t="s">
        <v>32848</v>
      </c>
      <c r="I950" t="s">
        <v>4303</v>
      </c>
      <c r="J950" t="s">
        <v>33678</v>
      </c>
      <c r="K950" t="s">
        <v>42727</v>
      </c>
      <c r="M950" t="s">
        <v>43475</v>
      </c>
      <c r="N950" t="s">
        <v>47424</v>
      </c>
      <c r="O950" t="s">
        <v>47425</v>
      </c>
      <c r="P950">
        <v>0</v>
      </c>
      <c r="Q950">
        <v>1</v>
      </c>
      <c r="R950" t="s">
        <v>47426</v>
      </c>
      <c r="S950" t="s">
        <v>47531</v>
      </c>
      <c r="T950" t="s">
        <v>49148</v>
      </c>
      <c r="U950" t="s">
        <v>50514</v>
      </c>
      <c r="W950" t="s">
        <v>43475</v>
      </c>
      <c r="X950" t="s">
        <v>47427</v>
      </c>
    </row>
    <row r="951" spans="1:24">
      <c r="A951">
        <f>HYPERLINK("https://www.philgeps.gov.ph/GEPSNONPILOT/Tender/SplashBidNoticeAbstractUI.aspx?menuIndex=3&amp;refID=7164921&amp;Result=3","7164921")</f>
        <v>0</v>
      </c>
      <c r="B951" t="s">
        <v>468</v>
      </c>
      <c r="C951" t="s">
        <v>4839</v>
      </c>
      <c r="D951" t="s">
        <v>19031</v>
      </c>
      <c r="E951" t="s">
        <v>19986</v>
      </c>
      <c r="F951" t="s">
        <v>32831</v>
      </c>
      <c r="G951" t="s">
        <v>32839</v>
      </c>
      <c r="H951" t="s">
        <v>32848</v>
      </c>
      <c r="I951" t="s">
        <v>4303</v>
      </c>
      <c r="J951" t="s">
        <v>33679</v>
      </c>
      <c r="K951" t="s">
        <v>42727</v>
      </c>
      <c r="M951" t="s">
        <v>43473</v>
      </c>
      <c r="N951" t="s">
        <v>47424</v>
      </c>
      <c r="O951" t="s">
        <v>47425</v>
      </c>
      <c r="P951">
        <v>0</v>
      </c>
      <c r="Q951">
        <v>0</v>
      </c>
      <c r="R951" t="s">
        <v>47426</v>
      </c>
      <c r="S951" t="s">
        <v>47531</v>
      </c>
      <c r="T951" t="s">
        <v>49148</v>
      </c>
      <c r="U951" t="s">
        <v>50515</v>
      </c>
      <c r="W951" t="s">
        <v>64440</v>
      </c>
      <c r="X951" t="s">
        <v>47427</v>
      </c>
    </row>
    <row r="952" spans="1:24">
      <c r="A952">
        <f>HYPERLINK("https://www.philgeps.gov.ph/GEPSNONPILOT/Tender/SplashBidNoticeAbstractUI.aspx?menuIndex=3&amp;refID=7164964&amp;Result=3","7164964")</f>
        <v>0</v>
      </c>
      <c r="B952" t="s">
        <v>469</v>
      </c>
      <c r="C952" t="s">
        <v>4840</v>
      </c>
      <c r="D952" t="s">
        <v>19024</v>
      </c>
      <c r="E952" t="s">
        <v>19987</v>
      </c>
      <c r="F952" t="s">
        <v>32831</v>
      </c>
      <c r="G952" t="s">
        <v>32838</v>
      </c>
      <c r="H952" t="s">
        <v>32848</v>
      </c>
      <c r="I952" t="s">
        <v>32857</v>
      </c>
      <c r="J952" t="s">
        <v>33178</v>
      </c>
      <c r="K952" t="s">
        <v>42727</v>
      </c>
      <c r="M952" t="s">
        <v>43474</v>
      </c>
      <c r="N952" t="s">
        <v>47424</v>
      </c>
      <c r="O952" t="s">
        <v>47425</v>
      </c>
      <c r="P952">
        <v>0</v>
      </c>
      <c r="Q952">
        <v>5</v>
      </c>
      <c r="R952" t="s">
        <v>47426</v>
      </c>
      <c r="S952" t="s">
        <v>47531</v>
      </c>
      <c r="T952" t="s">
        <v>49079</v>
      </c>
      <c r="U952" t="s">
        <v>50516</v>
      </c>
      <c r="W952" t="s">
        <v>43474</v>
      </c>
      <c r="X952" t="s">
        <v>47427</v>
      </c>
    </row>
    <row r="953" spans="1:24">
      <c r="A953">
        <f>HYPERLINK("https://www.philgeps.gov.ph/GEPSNONPILOT/Tender/SplashBidNoticeAbstractUI.aspx?menuIndex=3&amp;refID=7164917&amp;Result=3","7164917")</f>
        <v>0</v>
      </c>
      <c r="B953" t="s">
        <v>471</v>
      </c>
      <c r="C953" t="s">
        <v>4841</v>
      </c>
      <c r="D953" t="s">
        <v>19027</v>
      </c>
      <c r="E953" t="s">
        <v>19988</v>
      </c>
      <c r="F953" t="s">
        <v>32831</v>
      </c>
      <c r="G953" t="s">
        <v>32838</v>
      </c>
      <c r="H953" t="s">
        <v>32848</v>
      </c>
      <c r="I953" t="s">
        <v>7416</v>
      </c>
      <c r="J953" t="s">
        <v>33680</v>
      </c>
      <c r="K953" t="s">
        <v>42727</v>
      </c>
      <c r="M953" t="s">
        <v>43476</v>
      </c>
      <c r="N953" t="s">
        <v>47424</v>
      </c>
      <c r="O953" t="s">
        <v>47425</v>
      </c>
      <c r="P953">
        <v>0</v>
      </c>
      <c r="Q953">
        <v>0</v>
      </c>
      <c r="R953" t="s">
        <v>47426</v>
      </c>
      <c r="S953" t="s">
        <v>47531</v>
      </c>
      <c r="T953" t="s">
        <v>49119</v>
      </c>
      <c r="U953" t="s">
        <v>50517</v>
      </c>
      <c r="W953" t="s">
        <v>43476</v>
      </c>
      <c r="X953" t="s">
        <v>47427</v>
      </c>
    </row>
    <row r="954" spans="1:24">
      <c r="A954">
        <f>HYPERLINK("https://www.philgeps.gov.ph/GEPSNONPILOT/Tender/SplashBidNoticeAbstractUI.aspx?menuIndex=3&amp;refID=7164961&amp;Result=3","7164961")</f>
        <v>0</v>
      </c>
      <c r="B954" t="s">
        <v>470</v>
      </c>
      <c r="C954" t="s">
        <v>4842</v>
      </c>
      <c r="D954" t="s">
        <v>19077</v>
      </c>
      <c r="E954" t="s">
        <v>19989</v>
      </c>
      <c r="F954" t="s">
        <v>32831</v>
      </c>
      <c r="G954" t="s">
        <v>32842</v>
      </c>
      <c r="H954" t="s">
        <v>32848</v>
      </c>
      <c r="I954" t="s">
        <v>4487</v>
      </c>
      <c r="J954" t="s">
        <v>33090</v>
      </c>
      <c r="K954" t="s">
        <v>42727</v>
      </c>
      <c r="M954" t="s">
        <v>43475</v>
      </c>
      <c r="N954" t="s">
        <v>47424</v>
      </c>
      <c r="O954" t="s">
        <v>47425</v>
      </c>
      <c r="P954">
        <v>0</v>
      </c>
      <c r="Q954">
        <v>1</v>
      </c>
      <c r="R954" t="s">
        <v>47426</v>
      </c>
      <c r="S954" t="s">
        <v>47531</v>
      </c>
      <c r="T954" t="s">
        <v>49148</v>
      </c>
      <c r="U954" t="s">
        <v>50514</v>
      </c>
      <c r="W954" t="s">
        <v>43475</v>
      </c>
      <c r="X954" t="s">
        <v>47427</v>
      </c>
    </row>
    <row r="955" spans="1:24">
      <c r="A955">
        <f>HYPERLINK("https://www.philgeps.gov.ph/GEPSNONPILOT/Tender/SplashBidNoticeAbstractUI.aspx?menuIndex=3&amp;refID=7164954&amp;Result=3","7164954")</f>
        <v>0</v>
      </c>
      <c r="B955" t="s">
        <v>472</v>
      </c>
      <c r="C955" t="s">
        <v>4843</v>
      </c>
      <c r="D955" t="s">
        <v>19064</v>
      </c>
      <c r="E955" t="s">
        <v>19990</v>
      </c>
      <c r="F955" t="s">
        <v>32831</v>
      </c>
      <c r="G955" t="s">
        <v>32839</v>
      </c>
      <c r="H955" t="s">
        <v>32848</v>
      </c>
      <c r="I955" t="s">
        <v>7416</v>
      </c>
      <c r="J955" t="s">
        <v>33681</v>
      </c>
      <c r="K955" t="s">
        <v>42758</v>
      </c>
      <c r="M955" t="s">
        <v>43477</v>
      </c>
      <c r="N955" t="s">
        <v>47424</v>
      </c>
      <c r="O955" t="s">
        <v>47425</v>
      </c>
      <c r="P955">
        <v>0</v>
      </c>
      <c r="Q955">
        <v>0</v>
      </c>
      <c r="R955" t="s">
        <v>47426</v>
      </c>
      <c r="S955" t="s">
        <v>47531</v>
      </c>
      <c r="T955" t="s">
        <v>49073</v>
      </c>
      <c r="U955" t="s">
        <v>50518</v>
      </c>
      <c r="W955" t="s">
        <v>43477</v>
      </c>
      <c r="X955" t="s">
        <v>47427</v>
      </c>
    </row>
    <row r="956" spans="1:24">
      <c r="A956">
        <f>HYPERLINK("https://www.philgeps.gov.ph/GEPSNONPILOT/Tender/SplashBidNoticeAbstractUI.aspx?menuIndex=3&amp;refID=7164924&amp;Result=3","7164924")</f>
        <v>0</v>
      </c>
      <c r="B956" t="s">
        <v>473</v>
      </c>
      <c r="C956" t="s">
        <v>4844</v>
      </c>
      <c r="D956" t="s">
        <v>19091</v>
      </c>
      <c r="E956" t="s">
        <v>19991</v>
      </c>
      <c r="F956" t="s">
        <v>32831</v>
      </c>
      <c r="G956" t="s">
        <v>32839</v>
      </c>
      <c r="H956" t="s">
        <v>32848</v>
      </c>
      <c r="I956" t="s">
        <v>4776</v>
      </c>
      <c r="J956" t="s">
        <v>33561</v>
      </c>
      <c r="K956" t="s">
        <v>42730</v>
      </c>
      <c r="M956" t="s">
        <v>43478</v>
      </c>
      <c r="N956" t="s">
        <v>47424</v>
      </c>
      <c r="O956" t="s">
        <v>47425</v>
      </c>
      <c r="P956">
        <v>0</v>
      </c>
      <c r="Q956">
        <v>5</v>
      </c>
      <c r="R956" t="s">
        <v>47426</v>
      </c>
      <c r="S956" t="s">
        <v>47531</v>
      </c>
      <c r="T956" t="s">
        <v>49219</v>
      </c>
      <c r="U956" t="s">
        <v>50519</v>
      </c>
      <c r="W956" t="s">
        <v>43478</v>
      </c>
      <c r="X956" t="s">
        <v>47427</v>
      </c>
    </row>
    <row r="957" spans="1:24">
      <c r="A957">
        <f>HYPERLINK("https://www.philgeps.gov.ph/GEPSNONPILOT/Tender/SplashBidNoticeAbstractUI.aspx?menuIndex=3&amp;refID=7164953&amp;Result=3","7164953")</f>
        <v>0</v>
      </c>
      <c r="B957" t="s">
        <v>474</v>
      </c>
      <c r="C957" t="s">
        <v>4845</v>
      </c>
      <c r="D957" t="s">
        <v>19027</v>
      </c>
      <c r="E957" t="s">
        <v>19992</v>
      </c>
      <c r="F957" t="s">
        <v>32831</v>
      </c>
      <c r="G957" t="s">
        <v>32843</v>
      </c>
      <c r="H957" t="s">
        <v>32848</v>
      </c>
      <c r="I957" t="s">
        <v>32857</v>
      </c>
      <c r="J957" t="s">
        <v>33682</v>
      </c>
      <c r="K957" t="s">
        <v>42791</v>
      </c>
      <c r="M957" t="s">
        <v>43479</v>
      </c>
      <c r="N957" t="s">
        <v>47424</v>
      </c>
      <c r="O957" t="s">
        <v>47425</v>
      </c>
      <c r="P957">
        <v>0</v>
      </c>
      <c r="Q957">
        <v>2</v>
      </c>
      <c r="R957" t="s">
        <v>47426</v>
      </c>
      <c r="S957" t="s">
        <v>47531</v>
      </c>
      <c r="T957" t="s">
        <v>49196</v>
      </c>
      <c r="U957" t="s">
        <v>50520</v>
      </c>
      <c r="W957" t="s">
        <v>43479</v>
      </c>
      <c r="X957" t="s">
        <v>47427</v>
      </c>
    </row>
    <row r="958" spans="1:24">
      <c r="A958">
        <f>HYPERLINK("https://www.philgeps.gov.ph/GEPSNONPILOT/Tender/SplashBidNoticeAbstractUI.aspx?menuIndex=3&amp;refID=7164950&amp;Result=3","7164950")</f>
        <v>0</v>
      </c>
      <c r="B958" t="s">
        <v>475</v>
      </c>
      <c r="C958" t="s">
        <v>4846</v>
      </c>
      <c r="D958" t="s">
        <v>19062</v>
      </c>
      <c r="E958" t="s">
        <v>19993</v>
      </c>
      <c r="F958" t="s">
        <v>32831</v>
      </c>
      <c r="G958" t="s">
        <v>32838</v>
      </c>
      <c r="H958" t="s">
        <v>32848</v>
      </c>
      <c r="I958" t="s">
        <v>32864</v>
      </c>
      <c r="J958" t="s">
        <v>33683</v>
      </c>
      <c r="K958" t="s">
        <v>42726</v>
      </c>
      <c r="M958" t="s">
        <v>43480</v>
      </c>
      <c r="N958" t="s">
        <v>47424</v>
      </c>
      <c r="O958" t="s">
        <v>47425</v>
      </c>
      <c r="P958">
        <v>0</v>
      </c>
      <c r="Q958">
        <v>0</v>
      </c>
      <c r="R958" t="s">
        <v>47426</v>
      </c>
      <c r="S958" t="s">
        <v>47531</v>
      </c>
      <c r="T958" t="s">
        <v>49079</v>
      </c>
      <c r="U958" t="s">
        <v>50521</v>
      </c>
      <c r="W958" t="s">
        <v>43480</v>
      </c>
      <c r="X958" t="s">
        <v>47427</v>
      </c>
    </row>
    <row r="959" spans="1:24">
      <c r="A959">
        <f>HYPERLINK("https://www.philgeps.gov.ph/GEPSNONPILOT/Tender/SplashBidNoticeAbstractUI.aspx?menuIndex=3&amp;refID=7164933&amp;Result=3","7164933")</f>
        <v>0</v>
      </c>
      <c r="B959" t="s">
        <v>476</v>
      </c>
      <c r="C959" t="s">
        <v>4847</v>
      </c>
      <c r="D959" t="s">
        <v>19030</v>
      </c>
      <c r="E959" t="s">
        <v>19994</v>
      </c>
      <c r="F959" t="s">
        <v>32831</v>
      </c>
      <c r="G959" t="s">
        <v>32840</v>
      </c>
      <c r="H959" t="s">
        <v>32850</v>
      </c>
      <c r="I959" t="s">
        <v>4558</v>
      </c>
      <c r="J959" t="s">
        <v>33198</v>
      </c>
      <c r="K959" t="s">
        <v>42726</v>
      </c>
      <c r="M959" t="s">
        <v>43481</v>
      </c>
      <c r="N959" t="s">
        <v>47424</v>
      </c>
      <c r="O959" t="s">
        <v>47425</v>
      </c>
      <c r="P959">
        <v>0</v>
      </c>
      <c r="Q959">
        <v>4</v>
      </c>
      <c r="R959" t="s">
        <v>47426</v>
      </c>
      <c r="S959" t="s">
        <v>47531</v>
      </c>
      <c r="T959" t="s">
        <v>49103</v>
      </c>
      <c r="U959" t="s">
        <v>50522</v>
      </c>
      <c r="W959" t="s">
        <v>43481</v>
      </c>
      <c r="X959" t="s">
        <v>47427</v>
      </c>
    </row>
    <row r="960" spans="1:24">
      <c r="A960">
        <f>HYPERLINK("https://www.philgeps.gov.ph/GEPSNONPILOT/Tender/SplashBidNoticeAbstractUI.aspx?menuIndex=3&amp;refID=7164949&amp;Result=3","7164949")</f>
        <v>0</v>
      </c>
      <c r="B960" t="s">
        <v>475</v>
      </c>
      <c r="C960" t="s">
        <v>4848</v>
      </c>
      <c r="D960" t="s">
        <v>19062</v>
      </c>
      <c r="E960" t="s">
        <v>19920</v>
      </c>
      <c r="F960" t="s">
        <v>32831</v>
      </c>
      <c r="G960" t="s">
        <v>32838</v>
      </c>
      <c r="H960" t="s">
        <v>32848</v>
      </c>
      <c r="I960" t="s">
        <v>32860</v>
      </c>
      <c r="J960" t="s">
        <v>33684</v>
      </c>
      <c r="K960" t="s">
        <v>42726</v>
      </c>
      <c r="M960" t="s">
        <v>43480</v>
      </c>
      <c r="N960" t="s">
        <v>47424</v>
      </c>
      <c r="O960" t="s">
        <v>47425</v>
      </c>
      <c r="P960">
        <v>0</v>
      </c>
      <c r="Q960">
        <v>0</v>
      </c>
      <c r="R960" t="s">
        <v>47426</v>
      </c>
      <c r="S960" t="s">
        <v>47531</v>
      </c>
      <c r="T960" t="s">
        <v>49079</v>
      </c>
      <c r="U960" t="s">
        <v>50523</v>
      </c>
      <c r="W960" t="s">
        <v>43480</v>
      </c>
      <c r="X960" t="s">
        <v>47427</v>
      </c>
    </row>
    <row r="961" spans="1:24">
      <c r="A961">
        <f>HYPERLINK("https://www.philgeps.gov.ph/GEPSNONPILOT/Tender/SplashBidNoticeAbstractUI.aspx?menuIndex=3&amp;refID=7164947&amp;Result=3","7164947")</f>
        <v>0</v>
      </c>
      <c r="B961" t="s">
        <v>475</v>
      </c>
      <c r="C961" t="s">
        <v>4849</v>
      </c>
      <c r="D961" t="s">
        <v>19062</v>
      </c>
      <c r="E961" t="s">
        <v>19751</v>
      </c>
      <c r="F961" t="s">
        <v>32831</v>
      </c>
      <c r="G961" t="s">
        <v>32838</v>
      </c>
      <c r="H961" t="s">
        <v>32848</v>
      </c>
      <c r="I961" t="s">
        <v>7416</v>
      </c>
      <c r="J961" t="s">
        <v>33685</v>
      </c>
      <c r="K961" t="s">
        <v>42726</v>
      </c>
      <c r="M961" t="s">
        <v>43480</v>
      </c>
      <c r="N961" t="s">
        <v>47424</v>
      </c>
      <c r="O961" t="s">
        <v>47425</v>
      </c>
      <c r="P961">
        <v>0</v>
      </c>
      <c r="Q961">
        <v>0</v>
      </c>
      <c r="R961" t="s">
        <v>47426</v>
      </c>
      <c r="S961" t="s">
        <v>47531</v>
      </c>
      <c r="T961" t="s">
        <v>49079</v>
      </c>
      <c r="U961" t="s">
        <v>50524</v>
      </c>
      <c r="W961" t="s">
        <v>43480</v>
      </c>
      <c r="X961" t="s">
        <v>47427</v>
      </c>
    </row>
    <row r="962" spans="1:24">
      <c r="A962">
        <f>HYPERLINK("https://www.philgeps.gov.ph/GEPSNONPILOT/Tender/SplashBidNoticeAbstractUI.aspx?menuIndex=3&amp;refID=7164965&amp;Result=3","7164965")</f>
        <v>0</v>
      </c>
      <c r="B962" t="s">
        <v>477</v>
      </c>
      <c r="C962" t="s">
        <v>4850</v>
      </c>
      <c r="D962" t="s">
        <v>19027</v>
      </c>
      <c r="E962" t="s">
        <v>19995</v>
      </c>
      <c r="F962" t="s">
        <v>32831</v>
      </c>
      <c r="G962" t="s">
        <v>32838</v>
      </c>
      <c r="H962" t="s">
        <v>32848</v>
      </c>
      <c r="I962" t="s">
        <v>10643</v>
      </c>
      <c r="J962" t="s">
        <v>33686</v>
      </c>
      <c r="K962" t="s">
        <v>42759</v>
      </c>
      <c r="M962" t="s">
        <v>43482</v>
      </c>
      <c r="N962" t="s">
        <v>47424</v>
      </c>
      <c r="O962" t="s">
        <v>47425</v>
      </c>
      <c r="P962">
        <v>0</v>
      </c>
      <c r="Q962">
        <v>1</v>
      </c>
      <c r="R962" t="s">
        <v>47426</v>
      </c>
      <c r="S962" t="s">
        <v>47531</v>
      </c>
      <c r="T962" t="s">
        <v>49091</v>
      </c>
      <c r="U962" t="s">
        <v>50525</v>
      </c>
      <c r="W962" t="s">
        <v>43482</v>
      </c>
      <c r="X962" t="s">
        <v>47427</v>
      </c>
    </row>
    <row r="963" spans="1:24">
      <c r="A963">
        <f>HYPERLINK("https://www.philgeps.gov.ph/GEPSNONPILOT/Tender/SplashBidNoticeAbstractUI.aspx?menuIndex=3&amp;refID=7164943&amp;Result=3","7164943")</f>
        <v>0</v>
      </c>
      <c r="B963" t="s">
        <v>478</v>
      </c>
      <c r="C963" t="s">
        <v>4851</v>
      </c>
      <c r="E963" t="s">
        <v>19996</v>
      </c>
      <c r="F963" t="s">
        <v>32831</v>
      </c>
      <c r="G963" t="s">
        <v>32839</v>
      </c>
      <c r="H963" t="s">
        <v>32848</v>
      </c>
      <c r="I963" t="s">
        <v>7751</v>
      </c>
      <c r="J963" t="s">
        <v>33111</v>
      </c>
      <c r="K963" t="s">
        <v>42727</v>
      </c>
      <c r="M963" t="s">
        <v>43483</v>
      </c>
      <c r="N963" t="s">
        <v>47424</v>
      </c>
      <c r="O963" t="s">
        <v>47425</v>
      </c>
      <c r="P963">
        <v>0</v>
      </c>
      <c r="Q963">
        <v>4</v>
      </c>
      <c r="R963" t="s">
        <v>47426</v>
      </c>
      <c r="S963" t="s">
        <v>47531</v>
      </c>
      <c r="T963" t="s">
        <v>49084</v>
      </c>
      <c r="U963" t="s">
        <v>50526</v>
      </c>
      <c r="W963" t="s">
        <v>43483</v>
      </c>
      <c r="X963" t="s">
        <v>47427</v>
      </c>
    </row>
    <row r="964" spans="1:24">
      <c r="A964">
        <f>HYPERLINK("https://www.philgeps.gov.ph/GEPSNONPILOT/Tender/SplashBidNoticeAbstractUI.aspx?menuIndex=3&amp;refID=7164942&amp;Result=3","7164942")</f>
        <v>0</v>
      </c>
      <c r="B964" t="s">
        <v>475</v>
      </c>
      <c r="C964" t="s">
        <v>4852</v>
      </c>
      <c r="D964" t="s">
        <v>19062</v>
      </c>
      <c r="E964" t="s">
        <v>19183</v>
      </c>
      <c r="F964" t="s">
        <v>32831</v>
      </c>
      <c r="G964" t="s">
        <v>32838</v>
      </c>
      <c r="H964" t="s">
        <v>32848</v>
      </c>
      <c r="I964" t="s">
        <v>32860</v>
      </c>
      <c r="J964" t="s">
        <v>33687</v>
      </c>
      <c r="K964" t="s">
        <v>42726</v>
      </c>
      <c r="M964" t="s">
        <v>43480</v>
      </c>
      <c r="N964" t="s">
        <v>47424</v>
      </c>
      <c r="O964" t="s">
        <v>47425</v>
      </c>
      <c r="P964">
        <v>0</v>
      </c>
      <c r="Q964">
        <v>1</v>
      </c>
      <c r="R964" t="s">
        <v>47426</v>
      </c>
      <c r="S964" t="s">
        <v>47531</v>
      </c>
      <c r="T964" t="s">
        <v>49079</v>
      </c>
      <c r="U964" t="s">
        <v>50523</v>
      </c>
      <c r="W964" t="s">
        <v>43480</v>
      </c>
      <c r="X964" t="s">
        <v>47427</v>
      </c>
    </row>
    <row r="965" spans="1:24">
      <c r="A965">
        <f>HYPERLINK("https://www.philgeps.gov.ph/GEPSNONPILOT/Tender/SplashBidNoticeAbstractUI.aspx?menuIndex=3&amp;refID=7164826&amp;Result=3","7164826")</f>
        <v>0</v>
      </c>
      <c r="B965" t="s">
        <v>435</v>
      </c>
      <c r="C965" t="s">
        <v>4853</v>
      </c>
      <c r="D965" t="s">
        <v>19060</v>
      </c>
      <c r="E965" t="s">
        <v>19997</v>
      </c>
      <c r="F965" t="s">
        <v>32831</v>
      </c>
      <c r="G965" t="s">
        <v>32839</v>
      </c>
      <c r="H965" t="s">
        <v>32848</v>
      </c>
      <c r="I965" t="s">
        <v>32870</v>
      </c>
      <c r="J965" t="s">
        <v>33688</v>
      </c>
      <c r="K965" t="s">
        <v>42730</v>
      </c>
      <c r="M965" t="s">
        <v>43440</v>
      </c>
      <c r="N965" t="s">
        <v>47424</v>
      </c>
      <c r="O965" t="s">
        <v>47425</v>
      </c>
      <c r="P965">
        <v>0</v>
      </c>
      <c r="Q965">
        <v>0</v>
      </c>
      <c r="R965" t="s">
        <v>47426</v>
      </c>
      <c r="S965" t="s">
        <v>47531</v>
      </c>
      <c r="T965" t="s">
        <v>49102</v>
      </c>
      <c r="U965" t="s">
        <v>50527</v>
      </c>
      <c r="V965" t="s">
        <v>62730</v>
      </c>
      <c r="W965" t="s">
        <v>43440</v>
      </c>
      <c r="X965" t="s">
        <v>47427</v>
      </c>
    </row>
    <row r="966" spans="1:24">
      <c r="A966">
        <f>HYPERLINK("https://www.philgeps.gov.ph/GEPSNONPILOT/Tender/SplashBidNoticeAbstractUI.aspx?menuIndex=3&amp;refID=7156630&amp;Result=3","7156630")</f>
        <v>0</v>
      </c>
      <c r="B966" t="s">
        <v>479</v>
      </c>
      <c r="C966" t="s">
        <v>4854</v>
      </c>
      <c r="D966" t="s">
        <v>19045</v>
      </c>
      <c r="E966" t="s">
        <v>19998</v>
      </c>
      <c r="F966" t="s">
        <v>32831</v>
      </c>
      <c r="G966" t="s">
        <v>32841</v>
      </c>
      <c r="H966" t="s">
        <v>32848</v>
      </c>
      <c r="I966" t="s">
        <v>32883</v>
      </c>
      <c r="J966" t="s">
        <v>33689</v>
      </c>
      <c r="K966" t="s">
        <v>42732</v>
      </c>
      <c r="M966" t="s">
        <v>43484</v>
      </c>
      <c r="N966" t="s">
        <v>47424</v>
      </c>
      <c r="O966" t="s">
        <v>47425</v>
      </c>
      <c r="P966">
        <v>0</v>
      </c>
      <c r="Q966">
        <v>3</v>
      </c>
      <c r="R966" t="s">
        <v>47427</v>
      </c>
      <c r="S966" t="s">
        <v>47540</v>
      </c>
      <c r="T966" t="s">
        <v>49105</v>
      </c>
      <c r="U966" t="s">
        <v>50528</v>
      </c>
      <c r="V966" t="s">
        <v>62731</v>
      </c>
      <c r="W966" t="s">
        <v>43484</v>
      </c>
      <c r="X966" t="s">
        <v>47432</v>
      </c>
    </row>
    <row r="967" spans="1:24">
      <c r="A967">
        <f>HYPERLINK("https://www.philgeps.gov.ph/GEPSNONPILOT/Tender/SplashBidNoticeAbstractUI.aspx?menuIndex=3&amp;refID=7164952&amp;Result=3","7164952")</f>
        <v>0</v>
      </c>
      <c r="B967" t="s">
        <v>480</v>
      </c>
      <c r="C967" t="s">
        <v>4855</v>
      </c>
      <c r="D967" t="s">
        <v>19062</v>
      </c>
      <c r="E967" t="s">
        <v>19183</v>
      </c>
      <c r="F967" t="s">
        <v>32831</v>
      </c>
      <c r="G967" t="s">
        <v>32838</v>
      </c>
      <c r="H967" t="s">
        <v>32848</v>
      </c>
      <c r="I967" t="s">
        <v>32860</v>
      </c>
      <c r="J967" t="s">
        <v>33690</v>
      </c>
      <c r="K967" t="s">
        <v>42726</v>
      </c>
      <c r="M967" t="s">
        <v>43485</v>
      </c>
      <c r="N967" t="s">
        <v>47424</v>
      </c>
      <c r="O967" t="s">
        <v>47425</v>
      </c>
      <c r="P967">
        <v>0</v>
      </c>
      <c r="Q967">
        <v>0</v>
      </c>
      <c r="R967" t="s">
        <v>47426</v>
      </c>
      <c r="S967" t="s">
        <v>47531</v>
      </c>
      <c r="T967" t="s">
        <v>49079</v>
      </c>
      <c r="U967" t="s">
        <v>50523</v>
      </c>
      <c r="W967" t="s">
        <v>43485</v>
      </c>
      <c r="X967" t="s">
        <v>47427</v>
      </c>
    </row>
    <row r="968" spans="1:24">
      <c r="A968">
        <f>HYPERLINK("https://www.philgeps.gov.ph/GEPSNONPILOT/Tender/SplashBidNoticeAbstractUI.aspx?menuIndex=3&amp;refID=7162128&amp;Result=3","7162128")</f>
        <v>0</v>
      </c>
      <c r="B968" t="s">
        <v>481</v>
      </c>
      <c r="C968" t="s">
        <v>4856</v>
      </c>
      <c r="D968" t="s">
        <v>19065</v>
      </c>
      <c r="E968" t="s">
        <v>19999</v>
      </c>
      <c r="F968" t="s">
        <v>32831</v>
      </c>
      <c r="G968" t="s">
        <v>32839</v>
      </c>
      <c r="H968" t="s">
        <v>32849</v>
      </c>
      <c r="I968" t="s">
        <v>4177</v>
      </c>
      <c r="J968" t="s">
        <v>33465</v>
      </c>
      <c r="K968" t="s">
        <v>42770</v>
      </c>
      <c r="L968" t="s">
        <v>481</v>
      </c>
      <c r="M968" t="s">
        <v>43486</v>
      </c>
      <c r="N968" t="s">
        <v>47424</v>
      </c>
      <c r="O968" t="s">
        <v>47425</v>
      </c>
      <c r="P968">
        <v>0</v>
      </c>
      <c r="Q968">
        <v>0</v>
      </c>
      <c r="R968" t="s">
        <v>47427</v>
      </c>
      <c r="S968" t="s">
        <v>47540</v>
      </c>
      <c r="T968" t="s">
        <v>49065</v>
      </c>
      <c r="U968" t="s">
        <v>50529</v>
      </c>
      <c r="V968" t="s">
        <v>62732</v>
      </c>
      <c r="W968" t="s">
        <v>43486</v>
      </c>
      <c r="X968" t="s">
        <v>47430</v>
      </c>
    </row>
    <row r="969" spans="1:24">
      <c r="A969">
        <f>HYPERLINK("https://www.philgeps.gov.ph/GEPSNONPILOT/Tender/SplashBidNoticeAbstractUI.aspx?menuIndex=3&amp;refID=7161049&amp;Result=3","7161049")</f>
        <v>0</v>
      </c>
      <c r="B969" t="s">
        <v>482</v>
      </c>
      <c r="C969" t="s">
        <v>4857</v>
      </c>
      <c r="D969" t="s">
        <v>19059</v>
      </c>
      <c r="E969" t="s">
        <v>20000</v>
      </c>
      <c r="F969" t="s">
        <v>32831</v>
      </c>
      <c r="G969" t="s">
        <v>32842</v>
      </c>
      <c r="H969" t="s">
        <v>32848</v>
      </c>
      <c r="I969" t="s">
        <v>32894</v>
      </c>
      <c r="J969" t="s">
        <v>33691</v>
      </c>
      <c r="K969" t="s">
        <v>42726</v>
      </c>
      <c r="M969" t="s">
        <v>43487</v>
      </c>
      <c r="N969" t="s">
        <v>47424</v>
      </c>
      <c r="O969" t="s">
        <v>47425</v>
      </c>
      <c r="P969">
        <v>0</v>
      </c>
      <c r="Q969">
        <v>3</v>
      </c>
      <c r="R969" t="s">
        <v>47427</v>
      </c>
      <c r="S969" t="s">
        <v>47540</v>
      </c>
      <c r="T969" t="s">
        <v>49114</v>
      </c>
      <c r="U969" t="s">
        <v>50530</v>
      </c>
      <c r="W969" t="s">
        <v>43487</v>
      </c>
      <c r="X969" t="s">
        <v>47431</v>
      </c>
    </row>
    <row r="970" spans="1:24">
      <c r="A970">
        <f>HYPERLINK("https://www.philgeps.gov.ph/GEPSNONPILOT/Tender/SplashBidNoticeAbstractUI.aspx?menuIndex=3&amp;refID=7160648&amp;Result=3","7160648")</f>
        <v>0</v>
      </c>
      <c r="B970" t="s">
        <v>482</v>
      </c>
      <c r="C970" t="s">
        <v>4858</v>
      </c>
      <c r="D970" t="s">
        <v>19059</v>
      </c>
      <c r="E970" t="s">
        <v>20001</v>
      </c>
      <c r="F970" t="s">
        <v>32831</v>
      </c>
      <c r="G970" t="s">
        <v>32842</v>
      </c>
      <c r="H970" t="s">
        <v>32848</v>
      </c>
      <c r="I970" t="s">
        <v>32855</v>
      </c>
      <c r="J970" t="s">
        <v>33692</v>
      </c>
      <c r="K970" t="s">
        <v>42726</v>
      </c>
      <c r="M970" t="s">
        <v>43487</v>
      </c>
      <c r="N970" t="s">
        <v>47424</v>
      </c>
      <c r="O970" t="s">
        <v>47425</v>
      </c>
      <c r="P970">
        <v>0</v>
      </c>
      <c r="Q970">
        <v>5</v>
      </c>
      <c r="R970" t="s">
        <v>47427</v>
      </c>
      <c r="S970" t="s">
        <v>47540</v>
      </c>
      <c r="T970" t="s">
        <v>49114</v>
      </c>
      <c r="U970" t="s">
        <v>50531</v>
      </c>
      <c r="W970" t="s">
        <v>43487</v>
      </c>
      <c r="X970" t="s">
        <v>47431</v>
      </c>
    </row>
    <row r="971" spans="1:24">
      <c r="A971">
        <f>HYPERLINK("https://www.philgeps.gov.ph/GEPSNONPILOT/Tender/SplashBidNoticeAbstractUI.aspx?menuIndex=3&amp;refID=7164945&amp;Result=3","7164945")</f>
        <v>0</v>
      </c>
      <c r="B971" t="s">
        <v>483</v>
      </c>
      <c r="C971" t="s">
        <v>4859</v>
      </c>
      <c r="D971" t="s">
        <v>19021</v>
      </c>
      <c r="E971" t="s">
        <v>20002</v>
      </c>
      <c r="F971" t="s">
        <v>32831</v>
      </c>
      <c r="G971" t="s">
        <v>32840</v>
      </c>
      <c r="H971" t="s">
        <v>32848</v>
      </c>
      <c r="I971" t="s">
        <v>9577</v>
      </c>
      <c r="J971" t="s">
        <v>33044</v>
      </c>
      <c r="K971" t="s">
        <v>42726</v>
      </c>
      <c r="M971" t="s">
        <v>43488</v>
      </c>
      <c r="N971" t="s">
        <v>47424</v>
      </c>
      <c r="O971" t="s">
        <v>47425</v>
      </c>
      <c r="P971">
        <v>0</v>
      </c>
      <c r="Q971">
        <v>1</v>
      </c>
      <c r="R971" t="s">
        <v>47426</v>
      </c>
      <c r="S971" t="s">
        <v>47531</v>
      </c>
      <c r="T971" t="s">
        <v>49141</v>
      </c>
      <c r="U971" t="s">
        <v>50532</v>
      </c>
      <c r="W971" t="s">
        <v>43488</v>
      </c>
      <c r="X971" t="s">
        <v>47427</v>
      </c>
    </row>
    <row r="972" spans="1:24">
      <c r="A972">
        <f>HYPERLINK("https://www.philgeps.gov.ph/GEPSNONPILOT/Tender/SplashBidNoticeAbstractUI.aspx?menuIndex=3&amp;refID=7164890&amp;Result=3","7164890")</f>
        <v>0</v>
      </c>
      <c r="B972" t="s">
        <v>439</v>
      </c>
      <c r="C972" t="s">
        <v>4860</v>
      </c>
      <c r="D972" t="s">
        <v>19027</v>
      </c>
      <c r="E972" t="s">
        <v>20003</v>
      </c>
      <c r="F972" t="s">
        <v>32831</v>
      </c>
      <c r="G972" t="s">
        <v>32838</v>
      </c>
      <c r="H972" t="s">
        <v>32848</v>
      </c>
      <c r="I972" t="s">
        <v>10805</v>
      </c>
      <c r="J972" t="s">
        <v>33693</v>
      </c>
      <c r="K972" t="s">
        <v>42758</v>
      </c>
      <c r="M972" t="s">
        <v>43444</v>
      </c>
      <c r="N972" t="s">
        <v>47424</v>
      </c>
      <c r="O972" t="s">
        <v>47425</v>
      </c>
      <c r="P972">
        <v>0</v>
      </c>
      <c r="Q972">
        <v>2</v>
      </c>
      <c r="R972" t="s">
        <v>47426</v>
      </c>
      <c r="S972" t="s">
        <v>47531</v>
      </c>
      <c r="T972" t="s">
        <v>49125</v>
      </c>
      <c r="U972" t="s">
        <v>50533</v>
      </c>
      <c r="W972" t="s">
        <v>43444</v>
      </c>
      <c r="X972" t="s">
        <v>47427</v>
      </c>
    </row>
    <row r="973" spans="1:24">
      <c r="A973">
        <f>HYPERLINK("https://www.philgeps.gov.ph/GEPSNONPILOT/Tender/SplashBidNoticeAbstractUI.aspx?menuIndex=3&amp;refID=7156669&amp;Result=3","7156669")</f>
        <v>0</v>
      </c>
      <c r="B973" t="s">
        <v>479</v>
      </c>
      <c r="C973" t="s">
        <v>4861</v>
      </c>
      <c r="E973" t="s">
        <v>20004</v>
      </c>
      <c r="F973" t="s">
        <v>32831</v>
      </c>
      <c r="G973" t="s">
        <v>32841</v>
      </c>
      <c r="H973" t="s">
        <v>32848</v>
      </c>
      <c r="I973" t="s">
        <v>32883</v>
      </c>
      <c r="J973" t="s">
        <v>33694</v>
      </c>
      <c r="K973" t="s">
        <v>42727</v>
      </c>
      <c r="M973" t="s">
        <v>43484</v>
      </c>
      <c r="N973" t="s">
        <v>47424</v>
      </c>
      <c r="O973" t="s">
        <v>47425</v>
      </c>
      <c r="P973">
        <v>0</v>
      </c>
      <c r="Q973">
        <v>3</v>
      </c>
      <c r="R973" t="s">
        <v>47427</v>
      </c>
      <c r="S973" t="s">
        <v>47540</v>
      </c>
      <c r="T973" t="s">
        <v>49105</v>
      </c>
      <c r="U973" t="s">
        <v>50534</v>
      </c>
      <c r="V973" t="s">
        <v>62731</v>
      </c>
      <c r="W973" t="s">
        <v>43484</v>
      </c>
      <c r="X973" t="s">
        <v>47432</v>
      </c>
    </row>
    <row r="974" spans="1:24">
      <c r="A974">
        <f>HYPERLINK("https://www.philgeps.gov.ph/GEPSNONPILOT/Tender/SplashBidNoticeAbstractUI.aspx?menuIndex=3&amp;refID=7155633&amp;Result=3","7155633")</f>
        <v>0</v>
      </c>
      <c r="B974" t="s">
        <v>484</v>
      </c>
      <c r="C974" t="s">
        <v>4862</v>
      </c>
      <c r="D974" t="s">
        <v>19038</v>
      </c>
      <c r="E974" t="s">
        <v>20005</v>
      </c>
      <c r="F974" t="s">
        <v>32831</v>
      </c>
      <c r="G974" t="s">
        <v>32839</v>
      </c>
      <c r="H974" t="s">
        <v>32848</v>
      </c>
      <c r="I974" t="s">
        <v>32857</v>
      </c>
      <c r="J974" t="s">
        <v>33695</v>
      </c>
      <c r="K974" t="s">
        <v>42730</v>
      </c>
      <c r="M974" t="s">
        <v>43489</v>
      </c>
      <c r="N974" t="s">
        <v>47424</v>
      </c>
      <c r="O974" t="s">
        <v>47425</v>
      </c>
      <c r="P974">
        <v>0</v>
      </c>
      <c r="Q974">
        <v>3</v>
      </c>
      <c r="R974" t="s">
        <v>47427</v>
      </c>
      <c r="S974" t="s">
        <v>47540</v>
      </c>
      <c r="T974" t="s">
        <v>49073</v>
      </c>
      <c r="U974" t="s">
        <v>50535</v>
      </c>
      <c r="V974" t="s">
        <v>62733</v>
      </c>
      <c r="W974" t="s">
        <v>43489</v>
      </c>
      <c r="X974" t="s">
        <v>47432</v>
      </c>
    </row>
    <row r="975" spans="1:24">
      <c r="A975">
        <f>HYPERLINK("https://www.philgeps.gov.ph/GEPSNONPILOT/Tender/SplashBidNoticeAbstractUI.aspx?menuIndex=3&amp;refID=7155616&amp;Result=3","7155616")</f>
        <v>0</v>
      </c>
      <c r="B975" t="s">
        <v>484</v>
      </c>
      <c r="C975" t="s">
        <v>4863</v>
      </c>
      <c r="D975" t="s">
        <v>19038</v>
      </c>
      <c r="E975" t="s">
        <v>20006</v>
      </c>
      <c r="F975" t="s">
        <v>32831</v>
      </c>
      <c r="G975" t="s">
        <v>32839</v>
      </c>
      <c r="H975" t="s">
        <v>32848</v>
      </c>
      <c r="I975" t="s">
        <v>32857</v>
      </c>
      <c r="J975" t="s">
        <v>33696</v>
      </c>
      <c r="K975" t="s">
        <v>42730</v>
      </c>
      <c r="M975" t="s">
        <v>43489</v>
      </c>
      <c r="N975" t="s">
        <v>47424</v>
      </c>
      <c r="O975" t="s">
        <v>47425</v>
      </c>
      <c r="P975">
        <v>0</v>
      </c>
      <c r="Q975">
        <v>3</v>
      </c>
      <c r="R975" t="s">
        <v>47427</v>
      </c>
      <c r="S975" t="s">
        <v>47540</v>
      </c>
      <c r="T975" t="s">
        <v>49073</v>
      </c>
      <c r="U975" t="s">
        <v>50536</v>
      </c>
      <c r="V975" t="s">
        <v>62733</v>
      </c>
      <c r="W975" t="s">
        <v>43489</v>
      </c>
      <c r="X975" t="s">
        <v>47432</v>
      </c>
    </row>
    <row r="976" spans="1:24">
      <c r="A976">
        <f>HYPERLINK("https://www.philgeps.gov.ph/GEPSNONPILOT/Tender/SplashBidNoticeAbstractUI.aspx?menuIndex=3&amp;refID=7164951&amp;Result=3","7164951")</f>
        <v>0</v>
      </c>
      <c r="B976" t="s">
        <v>470</v>
      </c>
      <c r="C976" t="s">
        <v>4864</v>
      </c>
      <c r="D976" t="s">
        <v>19077</v>
      </c>
      <c r="E976" t="s">
        <v>20007</v>
      </c>
      <c r="F976" t="s">
        <v>32831</v>
      </c>
      <c r="G976" t="s">
        <v>32842</v>
      </c>
      <c r="H976" t="s">
        <v>32848</v>
      </c>
      <c r="I976" t="s">
        <v>32886</v>
      </c>
      <c r="J976" t="s">
        <v>33558</v>
      </c>
      <c r="K976" t="s">
        <v>42727</v>
      </c>
      <c r="M976" t="s">
        <v>43475</v>
      </c>
      <c r="N976" t="s">
        <v>47424</v>
      </c>
      <c r="O976" t="s">
        <v>47425</v>
      </c>
      <c r="P976">
        <v>0</v>
      </c>
      <c r="Q976">
        <v>7</v>
      </c>
      <c r="R976" t="s">
        <v>47426</v>
      </c>
      <c r="S976" t="s">
        <v>47531</v>
      </c>
      <c r="T976" t="s">
        <v>49148</v>
      </c>
      <c r="U976" t="s">
        <v>50514</v>
      </c>
      <c r="W976" t="s">
        <v>43475</v>
      </c>
      <c r="X976" t="s">
        <v>47427</v>
      </c>
    </row>
    <row r="977" spans="1:24">
      <c r="A977">
        <f>HYPERLINK("https://www.philgeps.gov.ph/GEPSNONPILOT/Tender/SplashBidNoticeAbstractUI.aspx?menuIndex=3&amp;refID=7153378&amp;Result=3","7153378")</f>
        <v>0</v>
      </c>
      <c r="B977" t="s">
        <v>484</v>
      </c>
      <c r="C977" t="s">
        <v>4865</v>
      </c>
      <c r="D977" t="s">
        <v>19038</v>
      </c>
      <c r="E977" t="s">
        <v>20008</v>
      </c>
      <c r="F977" t="s">
        <v>32831</v>
      </c>
      <c r="G977" t="s">
        <v>32839</v>
      </c>
      <c r="H977" t="s">
        <v>32848</v>
      </c>
      <c r="I977" t="s">
        <v>32856</v>
      </c>
      <c r="J977" t="s">
        <v>33697</v>
      </c>
      <c r="K977" t="s">
        <v>42730</v>
      </c>
      <c r="M977" t="s">
        <v>43489</v>
      </c>
      <c r="N977" t="s">
        <v>47424</v>
      </c>
      <c r="O977" t="s">
        <v>47425</v>
      </c>
      <c r="P977">
        <v>0</v>
      </c>
      <c r="Q977">
        <v>2</v>
      </c>
      <c r="R977" t="s">
        <v>47427</v>
      </c>
      <c r="S977" t="s">
        <v>47540</v>
      </c>
      <c r="T977" t="s">
        <v>49073</v>
      </c>
      <c r="U977" t="s">
        <v>50537</v>
      </c>
      <c r="V977" t="s">
        <v>62734</v>
      </c>
      <c r="W977" t="s">
        <v>43489</v>
      </c>
      <c r="X977" t="s">
        <v>47433</v>
      </c>
    </row>
    <row r="978" spans="1:24">
      <c r="A978">
        <f>HYPERLINK("https://www.philgeps.gov.ph/GEPSNONPILOT/Tender/SplashBidNoticeAbstractUI.aspx?menuIndex=3&amp;refID=7152866&amp;Result=3","7152866")</f>
        <v>0</v>
      </c>
      <c r="B978" t="s">
        <v>484</v>
      </c>
      <c r="C978" t="s">
        <v>4866</v>
      </c>
      <c r="D978" t="s">
        <v>19038</v>
      </c>
      <c r="E978" t="s">
        <v>20009</v>
      </c>
      <c r="F978" t="s">
        <v>32831</v>
      </c>
      <c r="G978" t="s">
        <v>32839</v>
      </c>
      <c r="H978" t="s">
        <v>32848</v>
      </c>
      <c r="I978" t="s">
        <v>32893</v>
      </c>
      <c r="J978" t="s">
        <v>33698</v>
      </c>
      <c r="K978" t="s">
        <v>42730</v>
      </c>
      <c r="M978" t="s">
        <v>43489</v>
      </c>
      <c r="N978" t="s">
        <v>47424</v>
      </c>
      <c r="O978" t="s">
        <v>47425</v>
      </c>
      <c r="P978">
        <v>0</v>
      </c>
      <c r="Q978">
        <v>0</v>
      </c>
      <c r="R978" t="s">
        <v>47427</v>
      </c>
      <c r="S978" t="s">
        <v>47540</v>
      </c>
      <c r="T978" t="s">
        <v>49073</v>
      </c>
      <c r="U978" t="s">
        <v>50538</v>
      </c>
      <c r="V978" t="s">
        <v>62735</v>
      </c>
      <c r="W978" t="s">
        <v>43489</v>
      </c>
      <c r="X978" t="s">
        <v>47433</v>
      </c>
    </row>
    <row r="979" spans="1:24">
      <c r="A979">
        <f>HYPERLINK("https://www.philgeps.gov.ph/GEPSNONPILOT/Tender/SplashBidNoticeAbstractUI.aspx?menuIndex=3&amp;refID=7159715&amp;Result=3","7159715")</f>
        <v>0</v>
      </c>
      <c r="B979" t="s">
        <v>485</v>
      </c>
      <c r="C979" t="s">
        <v>4867</v>
      </c>
      <c r="D979" t="s">
        <v>19032</v>
      </c>
      <c r="E979" t="s">
        <v>20010</v>
      </c>
      <c r="F979" t="s">
        <v>32831</v>
      </c>
      <c r="G979" t="s">
        <v>32841</v>
      </c>
      <c r="H979" t="s">
        <v>32849</v>
      </c>
      <c r="I979" t="s">
        <v>4471</v>
      </c>
      <c r="J979" t="s">
        <v>33699</v>
      </c>
      <c r="K979" t="s">
        <v>42726</v>
      </c>
      <c r="M979" t="s">
        <v>43490</v>
      </c>
      <c r="N979" t="s">
        <v>47424</v>
      </c>
      <c r="O979" t="s">
        <v>47425</v>
      </c>
      <c r="P979">
        <v>0</v>
      </c>
      <c r="Q979">
        <v>1</v>
      </c>
      <c r="R979" t="s">
        <v>47427</v>
      </c>
      <c r="S979" t="s">
        <v>47540</v>
      </c>
      <c r="T979" t="s">
        <v>49220</v>
      </c>
      <c r="U979" t="s">
        <v>50539</v>
      </c>
      <c r="V979" t="s">
        <v>62736</v>
      </c>
      <c r="W979" t="s">
        <v>43490</v>
      </c>
      <c r="X979" t="s">
        <v>47431</v>
      </c>
    </row>
    <row r="980" spans="1:24">
      <c r="A980">
        <f>HYPERLINK("https://www.philgeps.gov.ph/GEPSNONPILOT/Tender/SplashBidNoticeAbstractUI.aspx?menuIndex=3&amp;refID=7137880&amp;Result=3","7137880")</f>
        <v>0</v>
      </c>
      <c r="B980" t="s">
        <v>484</v>
      </c>
      <c r="C980" t="s">
        <v>4868</v>
      </c>
      <c r="D980" t="s">
        <v>19038</v>
      </c>
      <c r="E980" t="s">
        <v>20011</v>
      </c>
      <c r="F980" t="s">
        <v>32831</v>
      </c>
      <c r="G980" t="s">
        <v>32839</v>
      </c>
      <c r="H980" t="s">
        <v>32848</v>
      </c>
      <c r="I980" t="s">
        <v>4303</v>
      </c>
      <c r="J980" t="s">
        <v>33700</v>
      </c>
      <c r="K980" t="s">
        <v>42730</v>
      </c>
      <c r="M980" t="s">
        <v>43489</v>
      </c>
      <c r="N980" t="s">
        <v>47424</v>
      </c>
      <c r="O980" t="s">
        <v>47425</v>
      </c>
      <c r="P980">
        <v>0</v>
      </c>
      <c r="Q980">
        <v>0</v>
      </c>
      <c r="R980" t="s">
        <v>47427</v>
      </c>
      <c r="S980" t="s">
        <v>47540</v>
      </c>
      <c r="T980" t="s">
        <v>49073</v>
      </c>
      <c r="U980" t="s">
        <v>50540</v>
      </c>
      <c r="V980" t="s">
        <v>62734</v>
      </c>
      <c r="W980" t="s">
        <v>43489</v>
      </c>
      <c r="X980" t="s">
        <v>47441</v>
      </c>
    </row>
    <row r="981" spans="1:24">
      <c r="A981">
        <f>HYPERLINK("https://www.philgeps.gov.ph/GEPSNONPILOT/Tender/SplashBidNoticeAbstractUI.aspx?menuIndex=3&amp;refID=7159608&amp;Result=3","7159608")</f>
        <v>0</v>
      </c>
      <c r="B981" t="s">
        <v>486</v>
      </c>
      <c r="C981" t="s">
        <v>4869</v>
      </c>
      <c r="D981" t="s">
        <v>19025</v>
      </c>
      <c r="E981" t="s">
        <v>20012</v>
      </c>
      <c r="F981" t="s">
        <v>32831</v>
      </c>
      <c r="G981" t="s">
        <v>32840</v>
      </c>
      <c r="H981" t="s">
        <v>32848</v>
      </c>
      <c r="I981" t="s">
        <v>32857</v>
      </c>
      <c r="J981" t="s">
        <v>33701</v>
      </c>
      <c r="K981" t="s">
        <v>42726</v>
      </c>
      <c r="M981" t="s">
        <v>43491</v>
      </c>
      <c r="N981" t="s">
        <v>47424</v>
      </c>
      <c r="O981" t="s">
        <v>47425</v>
      </c>
      <c r="P981">
        <v>0</v>
      </c>
      <c r="Q981">
        <v>2</v>
      </c>
      <c r="R981" t="s">
        <v>47427</v>
      </c>
      <c r="S981" t="s">
        <v>47540</v>
      </c>
      <c r="T981" t="s">
        <v>49105</v>
      </c>
      <c r="U981" t="s">
        <v>50541</v>
      </c>
      <c r="W981" t="s">
        <v>43491</v>
      </c>
      <c r="X981" t="s">
        <v>47431</v>
      </c>
    </row>
    <row r="982" spans="1:24">
      <c r="A982">
        <f>HYPERLINK("https://www.philgeps.gov.ph/GEPSNONPILOT/Tender/SplashBidNoticeAbstractUI.aspx?menuIndex=3&amp;refID=7164974&amp;Result=3","7164974")</f>
        <v>0</v>
      </c>
      <c r="B982" t="s">
        <v>487</v>
      </c>
      <c r="C982" t="s">
        <v>4870</v>
      </c>
      <c r="D982" t="s">
        <v>19018</v>
      </c>
      <c r="E982" t="s">
        <v>20013</v>
      </c>
      <c r="F982" t="s">
        <v>32832</v>
      </c>
      <c r="G982" t="s">
        <v>32840</v>
      </c>
      <c r="H982" t="s">
        <v>32848</v>
      </c>
      <c r="I982" t="s">
        <v>4438</v>
      </c>
      <c r="J982" t="s">
        <v>33044</v>
      </c>
      <c r="K982" t="s">
        <v>42758</v>
      </c>
      <c r="M982" t="s">
        <v>43492</v>
      </c>
      <c r="N982" t="s">
        <v>47424</v>
      </c>
      <c r="O982" t="s">
        <v>47425</v>
      </c>
      <c r="P982">
        <v>0</v>
      </c>
      <c r="Q982">
        <v>2</v>
      </c>
      <c r="R982" t="s">
        <v>47426</v>
      </c>
      <c r="S982" t="s">
        <v>47531</v>
      </c>
      <c r="T982" t="s">
        <v>49145</v>
      </c>
      <c r="U982" t="s">
        <v>50542</v>
      </c>
      <c r="W982" t="s">
        <v>43492</v>
      </c>
      <c r="X982" t="s">
        <v>47427</v>
      </c>
    </row>
    <row r="983" spans="1:24">
      <c r="A983">
        <f>HYPERLINK("https://www.philgeps.gov.ph/GEPSNONPILOT/Tender/SplashBidNoticeAbstractUI.aspx?menuIndex=3&amp;refID=7164971&amp;Result=3","7164971")</f>
        <v>0</v>
      </c>
      <c r="B983" t="s">
        <v>477</v>
      </c>
      <c r="C983" t="s">
        <v>4871</v>
      </c>
      <c r="D983" t="s">
        <v>19027</v>
      </c>
      <c r="E983" t="s">
        <v>20014</v>
      </c>
      <c r="F983" t="s">
        <v>32831</v>
      </c>
      <c r="G983" t="s">
        <v>32838</v>
      </c>
      <c r="H983" t="s">
        <v>32848</v>
      </c>
      <c r="I983" t="s">
        <v>32907</v>
      </c>
      <c r="J983" t="s">
        <v>33702</v>
      </c>
      <c r="K983" t="s">
        <v>42759</v>
      </c>
      <c r="M983" t="s">
        <v>43482</v>
      </c>
      <c r="N983" t="s">
        <v>47424</v>
      </c>
      <c r="O983" t="s">
        <v>47425</v>
      </c>
      <c r="P983">
        <v>0</v>
      </c>
      <c r="Q983">
        <v>0</v>
      </c>
      <c r="R983" t="s">
        <v>47426</v>
      </c>
      <c r="S983" t="s">
        <v>47531</v>
      </c>
      <c r="T983" t="s">
        <v>49091</v>
      </c>
      <c r="U983" t="s">
        <v>50543</v>
      </c>
      <c r="W983" t="s">
        <v>43482</v>
      </c>
      <c r="X983" t="s">
        <v>47427</v>
      </c>
    </row>
    <row r="984" spans="1:24">
      <c r="A984">
        <f>HYPERLINK("https://www.philgeps.gov.ph/GEPSNONPILOT/Tender/SplashBidNoticeAbstractUI.aspx?menuIndex=3&amp;refID=7160925&amp;Result=3","7160925")</f>
        <v>0</v>
      </c>
      <c r="B984" t="s">
        <v>488</v>
      </c>
      <c r="C984" t="s">
        <v>4872</v>
      </c>
      <c r="D984" t="s">
        <v>19017</v>
      </c>
      <c r="E984" t="s">
        <v>20015</v>
      </c>
      <c r="F984" t="s">
        <v>32833</v>
      </c>
      <c r="G984" t="s">
        <v>32840</v>
      </c>
      <c r="H984" t="s">
        <v>32848</v>
      </c>
      <c r="I984" t="s">
        <v>32864</v>
      </c>
      <c r="J984" t="s">
        <v>33703</v>
      </c>
      <c r="K984" t="s">
        <v>42732</v>
      </c>
      <c r="M984" t="s">
        <v>43493</v>
      </c>
      <c r="N984" t="s">
        <v>47424</v>
      </c>
      <c r="O984" t="s">
        <v>47425</v>
      </c>
      <c r="P984">
        <v>0</v>
      </c>
      <c r="Q984">
        <v>5</v>
      </c>
      <c r="R984" t="s">
        <v>47427</v>
      </c>
      <c r="S984" t="s">
        <v>47540</v>
      </c>
      <c r="T984" t="s">
        <v>49114</v>
      </c>
      <c r="U984" t="s">
        <v>50544</v>
      </c>
      <c r="W984" t="s">
        <v>43493</v>
      </c>
      <c r="X984" t="s">
        <v>47431</v>
      </c>
    </row>
    <row r="985" spans="1:24">
      <c r="A985">
        <f>HYPERLINK("https://www.philgeps.gov.ph/GEPSNONPILOT/Tender/SplashBidNoticeAbstractUI.aspx?menuIndex=3&amp;refID=7152906&amp;Result=3","7152906")</f>
        <v>0</v>
      </c>
      <c r="B985" t="s">
        <v>484</v>
      </c>
      <c r="C985" t="s">
        <v>4873</v>
      </c>
      <c r="D985" t="s">
        <v>19038</v>
      </c>
      <c r="E985" t="s">
        <v>20016</v>
      </c>
      <c r="F985" t="s">
        <v>32831</v>
      </c>
      <c r="G985" t="s">
        <v>32839</v>
      </c>
      <c r="H985" t="s">
        <v>32848</v>
      </c>
      <c r="I985" t="s">
        <v>5379</v>
      </c>
      <c r="J985" t="s">
        <v>33031</v>
      </c>
      <c r="K985" t="s">
        <v>42730</v>
      </c>
      <c r="M985" t="s">
        <v>43489</v>
      </c>
      <c r="N985" t="s">
        <v>47424</v>
      </c>
      <c r="O985" t="s">
        <v>47425</v>
      </c>
      <c r="P985">
        <v>0</v>
      </c>
      <c r="Q985">
        <v>0</v>
      </c>
      <c r="R985" t="s">
        <v>47427</v>
      </c>
      <c r="S985" t="s">
        <v>47540</v>
      </c>
      <c r="T985" t="s">
        <v>49073</v>
      </c>
      <c r="U985" t="s">
        <v>50545</v>
      </c>
      <c r="V985" t="s">
        <v>62735</v>
      </c>
      <c r="W985" t="s">
        <v>43489</v>
      </c>
      <c r="X985" t="s">
        <v>47433</v>
      </c>
    </row>
    <row r="986" spans="1:24">
      <c r="A986">
        <f>HYPERLINK("https://www.philgeps.gov.ph/GEPSNONPILOT/Tender/SplashBidNoticeAbstractUI.aspx?menuIndex=3&amp;refID=7164969&amp;Result=3","7164969")</f>
        <v>0</v>
      </c>
      <c r="B986" t="s">
        <v>477</v>
      </c>
      <c r="C986" t="s">
        <v>4874</v>
      </c>
      <c r="D986" t="s">
        <v>19027</v>
      </c>
      <c r="E986" t="s">
        <v>20017</v>
      </c>
      <c r="F986" t="s">
        <v>32831</v>
      </c>
      <c r="G986" t="s">
        <v>32838</v>
      </c>
      <c r="H986" t="s">
        <v>32848</v>
      </c>
      <c r="I986" t="s">
        <v>32879</v>
      </c>
      <c r="J986" t="s">
        <v>33704</v>
      </c>
      <c r="K986" t="s">
        <v>42759</v>
      </c>
      <c r="M986" t="s">
        <v>43482</v>
      </c>
      <c r="N986" t="s">
        <v>47424</v>
      </c>
      <c r="O986" t="s">
        <v>47425</v>
      </c>
      <c r="P986">
        <v>0</v>
      </c>
      <c r="Q986">
        <v>1</v>
      </c>
      <c r="R986" t="s">
        <v>47426</v>
      </c>
      <c r="S986" t="s">
        <v>47531</v>
      </c>
      <c r="T986" t="s">
        <v>49091</v>
      </c>
      <c r="U986" t="s">
        <v>50546</v>
      </c>
      <c r="W986" t="s">
        <v>43482</v>
      </c>
      <c r="X986" t="s">
        <v>47427</v>
      </c>
    </row>
    <row r="987" spans="1:24">
      <c r="A987">
        <f>HYPERLINK("https://www.philgeps.gov.ph/GEPSNONPILOT/Tender/SplashBidNoticeAbstractUI.aspx?menuIndex=3&amp;refID=7152824&amp;Result=3","7152824")</f>
        <v>0</v>
      </c>
      <c r="B987" t="s">
        <v>484</v>
      </c>
      <c r="C987" t="s">
        <v>4875</v>
      </c>
      <c r="D987" t="s">
        <v>19038</v>
      </c>
      <c r="E987" t="s">
        <v>20018</v>
      </c>
      <c r="F987" t="s">
        <v>32831</v>
      </c>
      <c r="G987" t="s">
        <v>32839</v>
      </c>
      <c r="H987" t="s">
        <v>32848</v>
      </c>
      <c r="I987" t="s">
        <v>5379</v>
      </c>
      <c r="J987" t="s">
        <v>33087</v>
      </c>
      <c r="K987" t="s">
        <v>42730</v>
      </c>
      <c r="M987" t="s">
        <v>43489</v>
      </c>
      <c r="N987" t="s">
        <v>47424</v>
      </c>
      <c r="O987" t="s">
        <v>47425</v>
      </c>
      <c r="P987">
        <v>0</v>
      </c>
      <c r="Q987">
        <v>0</v>
      </c>
      <c r="R987" t="s">
        <v>47427</v>
      </c>
      <c r="S987" t="s">
        <v>47540</v>
      </c>
      <c r="T987" t="s">
        <v>49073</v>
      </c>
      <c r="U987" t="s">
        <v>50547</v>
      </c>
      <c r="V987" t="s">
        <v>62735</v>
      </c>
      <c r="W987" t="s">
        <v>43489</v>
      </c>
      <c r="X987" t="s">
        <v>47433</v>
      </c>
    </row>
    <row r="988" spans="1:24">
      <c r="A988">
        <f>HYPERLINK("https://www.philgeps.gov.ph/GEPSNONPILOT/Tender/SplashBidNoticeAbstractUI.aspx?menuIndex=3&amp;refID=7164940&amp;Result=3","7164940")</f>
        <v>0</v>
      </c>
      <c r="B988" t="s">
        <v>478</v>
      </c>
      <c r="C988" t="s">
        <v>4876</v>
      </c>
      <c r="D988" t="s">
        <v>19043</v>
      </c>
      <c r="E988" t="s">
        <v>20019</v>
      </c>
      <c r="F988" t="s">
        <v>32831</v>
      </c>
      <c r="G988" t="s">
        <v>32839</v>
      </c>
      <c r="H988" t="s">
        <v>32848</v>
      </c>
      <c r="I988" t="s">
        <v>32868</v>
      </c>
      <c r="J988" t="s">
        <v>33705</v>
      </c>
      <c r="K988" t="s">
        <v>42727</v>
      </c>
      <c r="M988" t="s">
        <v>43483</v>
      </c>
      <c r="N988" t="s">
        <v>47424</v>
      </c>
      <c r="O988" t="s">
        <v>47425</v>
      </c>
      <c r="P988">
        <v>0</v>
      </c>
      <c r="Q988">
        <v>3</v>
      </c>
      <c r="R988" t="s">
        <v>47426</v>
      </c>
      <c r="S988" t="s">
        <v>47531</v>
      </c>
      <c r="T988" t="s">
        <v>49084</v>
      </c>
      <c r="U988" t="s">
        <v>50548</v>
      </c>
      <c r="W988" t="s">
        <v>43483</v>
      </c>
      <c r="X988" t="s">
        <v>47427</v>
      </c>
    </row>
    <row r="989" spans="1:24">
      <c r="A989">
        <f>HYPERLINK("https://www.philgeps.gov.ph/GEPSNONPILOT/Tender/SplashBidNoticeAbstractUI.aspx?menuIndex=3&amp;refID=7152787&amp;Result=3","7152787")</f>
        <v>0</v>
      </c>
      <c r="B989" t="s">
        <v>484</v>
      </c>
      <c r="C989" t="s">
        <v>4877</v>
      </c>
      <c r="D989" t="s">
        <v>19038</v>
      </c>
      <c r="E989" t="s">
        <v>20020</v>
      </c>
      <c r="F989" t="s">
        <v>32831</v>
      </c>
      <c r="G989" t="s">
        <v>32839</v>
      </c>
      <c r="H989" t="s">
        <v>32848</v>
      </c>
      <c r="I989" t="s">
        <v>5379</v>
      </c>
      <c r="J989" t="s">
        <v>33706</v>
      </c>
      <c r="K989" t="s">
        <v>42730</v>
      </c>
      <c r="M989" t="s">
        <v>43489</v>
      </c>
      <c r="N989" t="s">
        <v>47424</v>
      </c>
      <c r="O989" t="s">
        <v>47425</v>
      </c>
      <c r="P989">
        <v>0</v>
      </c>
      <c r="Q989">
        <v>0</v>
      </c>
      <c r="R989" t="s">
        <v>47427</v>
      </c>
      <c r="S989" t="s">
        <v>47540</v>
      </c>
      <c r="T989" t="s">
        <v>49073</v>
      </c>
      <c r="U989" t="s">
        <v>50549</v>
      </c>
      <c r="V989" t="s">
        <v>62735</v>
      </c>
      <c r="W989" t="s">
        <v>43489</v>
      </c>
      <c r="X989" t="s">
        <v>47433</v>
      </c>
    </row>
    <row r="990" spans="1:24">
      <c r="A990">
        <f>HYPERLINK("https://www.philgeps.gov.ph/GEPSNONPILOT/Tender/SplashBidNoticeAbstractUI.aspx?menuIndex=3&amp;refID=7164939&amp;Result=3","7164939")</f>
        <v>0</v>
      </c>
      <c r="B990" t="s">
        <v>473</v>
      </c>
      <c r="C990" t="s">
        <v>4878</v>
      </c>
      <c r="D990" t="s">
        <v>19091</v>
      </c>
      <c r="E990" t="s">
        <v>20021</v>
      </c>
      <c r="F990" t="s">
        <v>32831</v>
      </c>
      <c r="G990" t="s">
        <v>32839</v>
      </c>
      <c r="H990" t="s">
        <v>32848</v>
      </c>
      <c r="I990" t="s">
        <v>4776</v>
      </c>
      <c r="J990" t="s">
        <v>33707</v>
      </c>
      <c r="K990" t="s">
        <v>42747</v>
      </c>
      <c r="M990" t="s">
        <v>43478</v>
      </c>
      <c r="N990" t="s">
        <v>47424</v>
      </c>
      <c r="O990" t="s">
        <v>47425</v>
      </c>
      <c r="P990">
        <v>0</v>
      </c>
      <c r="Q990">
        <v>1</v>
      </c>
      <c r="R990" t="s">
        <v>47426</v>
      </c>
      <c r="S990" t="s">
        <v>47531</v>
      </c>
      <c r="T990" t="s">
        <v>49219</v>
      </c>
      <c r="U990" t="s">
        <v>50550</v>
      </c>
      <c r="W990" t="s">
        <v>43478</v>
      </c>
      <c r="X990" t="s">
        <v>47427</v>
      </c>
    </row>
    <row r="991" spans="1:24">
      <c r="A991">
        <f>HYPERLINK("https://www.philgeps.gov.ph/GEPSNONPILOT/Tender/SplashBidNoticeAbstractUI.aspx?menuIndex=3&amp;refID=7164912&amp;Result=3","7164912")</f>
        <v>0</v>
      </c>
      <c r="B991" t="s">
        <v>464</v>
      </c>
      <c r="C991" t="s">
        <v>4879</v>
      </c>
      <c r="D991" t="s">
        <v>19055</v>
      </c>
      <c r="E991" t="s">
        <v>20022</v>
      </c>
      <c r="F991" t="s">
        <v>32831</v>
      </c>
      <c r="G991" t="s">
        <v>32839</v>
      </c>
      <c r="H991" t="s">
        <v>32848</v>
      </c>
      <c r="I991" t="s">
        <v>4303</v>
      </c>
      <c r="J991" t="s">
        <v>33708</v>
      </c>
      <c r="K991" t="s">
        <v>42730</v>
      </c>
      <c r="M991" t="s">
        <v>43469</v>
      </c>
      <c r="N991" t="s">
        <v>47424</v>
      </c>
      <c r="O991" t="s">
        <v>47425</v>
      </c>
      <c r="P991">
        <v>0</v>
      </c>
      <c r="Q991">
        <v>0</v>
      </c>
      <c r="R991" t="s">
        <v>47426</v>
      </c>
      <c r="S991" t="s">
        <v>47531</v>
      </c>
      <c r="T991" t="s">
        <v>49218</v>
      </c>
      <c r="U991" t="s">
        <v>50551</v>
      </c>
      <c r="V991" t="s">
        <v>62729</v>
      </c>
      <c r="W991" t="s">
        <v>43469</v>
      </c>
      <c r="X991" t="s">
        <v>47427</v>
      </c>
    </row>
    <row r="992" spans="1:24">
      <c r="A992">
        <f>HYPERLINK("https://www.philgeps.gov.ph/GEPSNONPILOT/Tender/SplashBidNoticeAbstractUI.aspx?menuIndex=3&amp;refID=7164911&amp;Result=3","7164911")</f>
        <v>0</v>
      </c>
      <c r="B992" t="s">
        <v>471</v>
      </c>
      <c r="C992" t="s">
        <v>4880</v>
      </c>
      <c r="D992" t="s">
        <v>19027</v>
      </c>
      <c r="E992" t="s">
        <v>20023</v>
      </c>
      <c r="F992" t="s">
        <v>32831</v>
      </c>
      <c r="G992" t="s">
        <v>32838</v>
      </c>
      <c r="H992" t="s">
        <v>32848</v>
      </c>
      <c r="I992" t="s">
        <v>32909</v>
      </c>
      <c r="J992" t="s">
        <v>33709</v>
      </c>
      <c r="K992" t="s">
        <v>42727</v>
      </c>
      <c r="M992" t="s">
        <v>43476</v>
      </c>
      <c r="N992" t="s">
        <v>47424</v>
      </c>
      <c r="O992" t="s">
        <v>47425</v>
      </c>
      <c r="P992">
        <v>0</v>
      </c>
      <c r="Q992">
        <v>1</v>
      </c>
      <c r="R992" t="s">
        <v>47426</v>
      </c>
      <c r="S992" t="s">
        <v>47531</v>
      </c>
      <c r="T992" t="s">
        <v>49119</v>
      </c>
      <c r="U992" t="s">
        <v>50552</v>
      </c>
      <c r="W992" t="s">
        <v>43476</v>
      </c>
      <c r="X992" t="s">
        <v>47427</v>
      </c>
    </row>
    <row r="993" spans="1:24">
      <c r="A993">
        <f>HYPERLINK("https://www.philgeps.gov.ph/GEPSNONPILOT/Tender/SplashBidNoticeAbstractUI.aspx?menuIndex=3&amp;refID=7164973&amp;Result=3","7164973")</f>
        <v>0</v>
      </c>
      <c r="B993" t="s">
        <v>470</v>
      </c>
      <c r="C993" t="s">
        <v>4881</v>
      </c>
      <c r="D993" t="s">
        <v>19077</v>
      </c>
      <c r="E993" t="s">
        <v>20024</v>
      </c>
      <c r="F993" t="s">
        <v>32831</v>
      </c>
      <c r="G993" t="s">
        <v>32842</v>
      </c>
      <c r="H993" t="s">
        <v>32848</v>
      </c>
      <c r="I993" t="s">
        <v>4487</v>
      </c>
      <c r="J993" t="s">
        <v>32983</v>
      </c>
      <c r="K993" t="s">
        <v>42727</v>
      </c>
      <c r="M993" t="s">
        <v>43475</v>
      </c>
      <c r="N993" t="s">
        <v>47424</v>
      </c>
      <c r="O993" t="s">
        <v>47425</v>
      </c>
      <c r="P993">
        <v>0</v>
      </c>
      <c r="Q993">
        <v>0</v>
      </c>
      <c r="R993" t="s">
        <v>47426</v>
      </c>
      <c r="S993" t="s">
        <v>47531</v>
      </c>
      <c r="T993" t="s">
        <v>49148</v>
      </c>
      <c r="U993" t="s">
        <v>50553</v>
      </c>
      <c r="W993" t="s">
        <v>43475</v>
      </c>
      <c r="X993" t="s">
        <v>47427</v>
      </c>
    </row>
    <row r="994" spans="1:24">
      <c r="A994">
        <f>HYPERLINK("https://www.philgeps.gov.ph/GEPSNONPILOT/Tender/SplashBidNoticeAbstractUI.aspx?menuIndex=3&amp;refID=7164910&amp;Result=3","7164910")</f>
        <v>0</v>
      </c>
      <c r="B994" t="s">
        <v>468</v>
      </c>
      <c r="C994" t="s">
        <v>4882</v>
      </c>
      <c r="D994" t="s">
        <v>19031</v>
      </c>
      <c r="E994" t="s">
        <v>20025</v>
      </c>
      <c r="F994" t="s">
        <v>32831</v>
      </c>
      <c r="G994" t="s">
        <v>32839</v>
      </c>
      <c r="H994" t="s">
        <v>32848</v>
      </c>
      <c r="I994" t="s">
        <v>32914</v>
      </c>
      <c r="J994" t="s">
        <v>33710</v>
      </c>
      <c r="K994" t="s">
        <v>42727</v>
      </c>
      <c r="M994" t="s">
        <v>43473</v>
      </c>
      <c r="N994" t="s">
        <v>47424</v>
      </c>
      <c r="O994" t="s">
        <v>47425</v>
      </c>
      <c r="P994">
        <v>0</v>
      </c>
      <c r="Q994">
        <v>4</v>
      </c>
      <c r="R994" t="s">
        <v>47426</v>
      </c>
      <c r="S994" t="s">
        <v>47531</v>
      </c>
      <c r="T994" t="s">
        <v>49148</v>
      </c>
      <c r="U994" t="s">
        <v>50554</v>
      </c>
      <c r="W994" t="s">
        <v>64440</v>
      </c>
      <c r="X994" t="s">
        <v>47427</v>
      </c>
    </row>
    <row r="995" spans="1:24">
      <c r="A995">
        <f>HYPERLINK("https://www.philgeps.gov.ph/GEPSNONPILOT/Tender/SplashBidNoticeAbstractUI.aspx?menuIndex=3&amp;refID=7164656&amp;Result=3","7164656")</f>
        <v>0</v>
      </c>
      <c r="B995" t="s">
        <v>217</v>
      </c>
      <c r="C995" t="s">
        <v>4883</v>
      </c>
      <c r="D995" t="s">
        <v>19037</v>
      </c>
      <c r="E995" t="s">
        <v>20026</v>
      </c>
      <c r="F995" t="s">
        <v>32831</v>
      </c>
      <c r="G995" t="s">
        <v>32839</v>
      </c>
      <c r="H995" t="s">
        <v>32848</v>
      </c>
      <c r="I995" t="s">
        <v>7416</v>
      </c>
      <c r="J995" t="s">
        <v>33711</v>
      </c>
      <c r="K995" t="s">
        <v>42730</v>
      </c>
      <c r="M995" t="s">
        <v>43392</v>
      </c>
      <c r="N995" t="s">
        <v>47424</v>
      </c>
      <c r="O995" t="s">
        <v>47425</v>
      </c>
      <c r="P995">
        <v>0</v>
      </c>
      <c r="Q995">
        <v>0</v>
      </c>
      <c r="R995" t="s">
        <v>47426</v>
      </c>
      <c r="S995" t="s">
        <v>47531</v>
      </c>
      <c r="T995" t="s">
        <v>49057</v>
      </c>
      <c r="U995" t="s">
        <v>50555</v>
      </c>
      <c r="W995" t="s">
        <v>43392</v>
      </c>
      <c r="X995" t="s">
        <v>47427</v>
      </c>
    </row>
    <row r="996" spans="1:24">
      <c r="A996">
        <f>HYPERLINK("https://www.philgeps.gov.ph/GEPSNONPILOT/Tender/SplashBidNoticeAbstractUI.aspx?menuIndex=3&amp;refID=7164655&amp;Result=3","7164655")</f>
        <v>0</v>
      </c>
      <c r="B996" t="s">
        <v>489</v>
      </c>
      <c r="C996" t="s">
        <v>4884</v>
      </c>
      <c r="D996" t="s">
        <v>19091</v>
      </c>
      <c r="E996" t="s">
        <v>20027</v>
      </c>
      <c r="F996" t="s">
        <v>32831</v>
      </c>
      <c r="G996" t="s">
        <v>32839</v>
      </c>
      <c r="H996" t="s">
        <v>32848</v>
      </c>
      <c r="I996" t="s">
        <v>4558</v>
      </c>
      <c r="J996" t="s">
        <v>33712</v>
      </c>
      <c r="K996" t="s">
        <v>42727</v>
      </c>
      <c r="M996" t="s">
        <v>43494</v>
      </c>
      <c r="N996" t="s">
        <v>47424</v>
      </c>
      <c r="O996" t="s">
        <v>47425</v>
      </c>
      <c r="P996">
        <v>0</v>
      </c>
      <c r="Q996">
        <v>1</v>
      </c>
      <c r="R996" t="s">
        <v>47426</v>
      </c>
      <c r="S996" t="s">
        <v>47531</v>
      </c>
      <c r="T996" t="s">
        <v>49073</v>
      </c>
      <c r="U996" t="s">
        <v>50556</v>
      </c>
      <c r="W996" t="s">
        <v>43494</v>
      </c>
      <c r="X996" t="s">
        <v>47427</v>
      </c>
    </row>
    <row r="997" spans="1:24">
      <c r="A997">
        <f>HYPERLINK("https://www.philgeps.gov.ph/GEPSNONPILOT/Tender/SplashBidNoticeAbstractUI.aspx?menuIndex=3&amp;refID=7164622&amp;Result=3","7164622")</f>
        <v>0</v>
      </c>
      <c r="B997" t="s">
        <v>377</v>
      </c>
      <c r="C997" t="s">
        <v>4885</v>
      </c>
      <c r="D997" t="s">
        <v>19017</v>
      </c>
      <c r="E997" t="s">
        <v>20028</v>
      </c>
      <c r="F997" t="s">
        <v>32831</v>
      </c>
      <c r="G997" t="s">
        <v>32839</v>
      </c>
      <c r="H997" t="s">
        <v>32849</v>
      </c>
      <c r="I997" t="s">
        <v>32899</v>
      </c>
      <c r="J997" t="s">
        <v>33713</v>
      </c>
      <c r="K997" t="s">
        <v>42770</v>
      </c>
      <c r="M997" t="s">
        <v>43381</v>
      </c>
      <c r="N997" t="s">
        <v>47424</v>
      </c>
      <c r="O997" t="s">
        <v>47425</v>
      </c>
      <c r="P997">
        <v>0</v>
      </c>
      <c r="Q997">
        <v>4</v>
      </c>
      <c r="R997" t="s">
        <v>47426</v>
      </c>
      <c r="S997" t="s">
        <v>47531</v>
      </c>
      <c r="T997" t="s">
        <v>49199</v>
      </c>
      <c r="U997" t="s">
        <v>50557</v>
      </c>
      <c r="W997" t="s">
        <v>43381</v>
      </c>
      <c r="X997" t="s">
        <v>47428</v>
      </c>
    </row>
    <row r="998" spans="1:24">
      <c r="A998">
        <f>HYPERLINK("https://www.philgeps.gov.ph/GEPSNONPILOT/Tender/SplashBidNoticeAbstractUI.aspx?menuIndex=3&amp;refID=7164618&amp;Result=3","7164618")</f>
        <v>0</v>
      </c>
      <c r="B998" t="s">
        <v>490</v>
      </c>
      <c r="C998" t="s">
        <v>4886</v>
      </c>
      <c r="D998" t="s">
        <v>19067</v>
      </c>
      <c r="E998" t="s">
        <v>20029</v>
      </c>
      <c r="F998" t="s">
        <v>32831</v>
      </c>
      <c r="G998" t="s">
        <v>32839</v>
      </c>
      <c r="H998" t="s">
        <v>32848</v>
      </c>
      <c r="I998" t="s">
        <v>32854</v>
      </c>
      <c r="J998" t="s">
        <v>33714</v>
      </c>
      <c r="K998" t="s">
        <v>42727</v>
      </c>
      <c r="M998" t="s">
        <v>43495</v>
      </c>
      <c r="N998" t="s">
        <v>47424</v>
      </c>
      <c r="O998" t="s">
        <v>47425</v>
      </c>
      <c r="P998">
        <v>0</v>
      </c>
      <c r="Q998">
        <v>0</v>
      </c>
      <c r="R998" t="s">
        <v>47426</v>
      </c>
      <c r="S998" t="s">
        <v>47531</v>
      </c>
      <c r="T998" t="s">
        <v>49080</v>
      </c>
      <c r="U998" t="s">
        <v>50558</v>
      </c>
      <c r="W998" t="s">
        <v>43495</v>
      </c>
      <c r="X998" t="s">
        <v>47428</v>
      </c>
    </row>
    <row r="999" spans="1:24">
      <c r="A999">
        <f>HYPERLINK("https://www.philgeps.gov.ph/GEPSNONPILOT/Tender/SplashBidNoticeAbstractUI.aspx?menuIndex=3&amp;refID=7164936&amp;Result=3","7164936")</f>
        <v>0</v>
      </c>
      <c r="B999" t="s">
        <v>478</v>
      </c>
      <c r="C999" t="s">
        <v>4887</v>
      </c>
      <c r="D999" t="s">
        <v>19043</v>
      </c>
      <c r="E999" t="s">
        <v>20030</v>
      </c>
      <c r="F999" t="s">
        <v>32831</v>
      </c>
      <c r="G999" t="s">
        <v>32839</v>
      </c>
      <c r="H999" t="s">
        <v>32848</v>
      </c>
      <c r="I999" t="s">
        <v>32883</v>
      </c>
      <c r="J999" t="s">
        <v>33715</v>
      </c>
      <c r="K999" t="s">
        <v>42727</v>
      </c>
      <c r="M999" t="s">
        <v>43483</v>
      </c>
      <c r="N999" t="s">
        <v>47424</v>
      </c>
      <c r="O999" t="s">
        <v>47425</v>
      </c>
      <c r="P999">
        <v>0</v>
      </c>
      <c r="Q999">
        <v>0</v>
      </c>
      <c r="R999" t="s">
        <v>47426</v>
      </c>
      <c r="S999" t="s">
        <v>47531</v>
      </c>
      <c r="T999" t="s">
        <v>49084</v>
      </c>
      <c r="U999" t="s">
        <v>50559</v>
      </c>
      <c r="W999" t="s">
        <v>43483</v>
      </c>
      <c r="X999" t="s">
        <v>47427</v>
      </c>
    </row>
    <row r="1000" spans="1:24">
      <c r="A1000">
        <f>HYPERLINK("https://www.philgeps.gov.ph/GEPSNONPILOT/Tender/SplashBidNoticeAbstractUI.aspx?menuIndex=3&amp;refID=7164087&amp;Result=3","7164087")</f>
        <v>0</v>
      </c>
      <c r="B1000" t="s">
        <v>491</v>
      </c>
      <c r="C1000" t="s">
        <v>4888</v>
      </c>
      <c r="D1000" t="s">
        <v>19037</v>
      </c>
      <c r="E1000" t="s">
        <v>20031</v>
      </c>
      <c r="F1000" t="s">
        <v>32833</v>
      </c>
      <c r="G1000" t="s">
        <v>32839</v>
      </c>
      <c r="H1000" t="s">
        <v>32848</v>
      </c>
      <c r="I1000" t="s">
        <v>7416</v>
      </c>
      <c r="J1000" t="s">
        <v>32985</v>
      </c>
      <c r="K1000" t="s">
        <v>42748</v>
      </c>
      <c r="M1000" t="s">
        <v>43496</v>
      </c>
      <c r="N1000" t="s">
        <v>47424</v>
      </c>
      <c r="O1000" t="s">
        <v>47425</v>
      </c>
      <c r="P1000">
        <v>0</v>
      </c>
      <c r="Q1000">
        <v>0</v>
      </c>
      <c r="R1000" t="s">
        <v>47427</v>
      </c>
      <c r="S1000" t="s">
        <v>47540</v>
      </c>
      <c r="T1000" t="s">
        <v>49221</v>
      </c>
      <c r="U1000" t="s">
        <v>50560</v>
      </c>
      <c r="W1000" t="s">
        <v>43496</v>
      </c>
      <c r="X1000" t="s">
        <v>47430</v>
      </c>
    </row>
    <row r="1001" spans="1:24">
      <c r="A1001">
        <f>HYPERLINK("https://www.philgeps.gov.ph/GEPSNONPILOT/Tender/SplashBidNoticeAbstractUI.aspx?menuIndex=3&amp;refID=7164287&amp;Result=3","7164287")</f>
        <v>0</v>
      </c>
      <c r="B1001" t="s">
        <v>492</v>
      </c>
      <c r="C1001" t="s">
        <v>4889</v>
      </c>
      <c r="D1001" t="s">
        <v>19077</v>
      </c>
      <c r="E1001" t="s">
        <v>19845</v>
      </c>
      <c r="F1001" t="s">
        <v>32831</v>
      </c>
      <c r="G1001" t="s">
        <v>32839</v>
      </c>
      <c r="H1001" t="s">
        <v>32849</v>
      </c>
      <c r="I1001" t="s">
        <v>4177</v>
      </c>
      <c r="J1001" t="s">
        <v>33044</v>
      </c>
      <c r="K1001" t="s">
        <v>42729</v>
      </c>
      <c r="M1001" t="s">
        <v>43497</v>
      </c>
      <c r="N1001" t="s">
        <v>47424</v>
      </c>
      <c r="O1001" t="s">
        <v>47425</v>
      </c>
      <c r="P1001">
        <v>0</v>
      </c>
      <c r="Q1001">
        <v>0</v>
      </c>
      <c r="R1001" t="s">
        <v>47427</v>
      </c>
      <c r="S1001" t="s">
        <v>47540</v>
      </c>
      <c r="T1001" t="s">
        <v>49217</v>
      </c>
      <c r="U1001" t="s">
        <v>50561</v>
      </c>
      <c r="V1001" t="s">
        <v>62737</v>
      </c>
      <c r="W1001" t="s">
        <v>43497</v>
      </c>
      <c r="X1001" t="s">
        <v>47428</v>
      </c>
    </row>
    <row r="1002" spans="1:24">
      <c r="A1002">
        <f>HYPERLINK("https://www.philgeps.gov.ph/GEPSNONPILOT/Tender/SplashBidNoticeAbstractUI.aspx?menuIndex=3&amp;refID=7164946&amp;Result=3","7164946")</f>
        <v>0</v>
      </c>
      <c r="B1002" t="s">
        <v>475</v>
      </c>
      <c r="C1002" t="s">
        <v>4890</v>
      </c>
      <c r="D1002" t="s">
        <v>19062</v>
      </c>
      <c r="E1002" t="s">
        <v>19787</v>
      </c>
      <c r="F1002" t="s">
        <v>32831</v>
      </c>
      <c r="G1002" t="s">
        <v>32838</v>
      </c>
      <c r="H1002" t="s">
        <v>32848</v>
      </c>
      <c r="I1002" t="s">
        <v>32864</v>
      </c>
      <c r="J1002" t="s">
        <v>33334</v>
      </c>
      <c r="K1002" t="s">
        <v>42726</v>
      </c>
      <c r="M1002" t="s">
        <v>43480</v>
      </c>
      <c r="N1002" t="s">
        <v>47424</v>
      </c>
      <c r="O1002" t="s">
        <v>47425</v>
      </c>
      <c r="P1002">
        <v>0</v>
      </c>
      <c r="Q1002">
        <v>0</v>
      </c>
      <c r="R1002" t="s">
        <v>47426</v>
      </c>
      <c r="S1002" t="s">
        <v>47531</v>
      </c>
      <c r="T1002" t="s">
        <v>49079</v>
      </c>
      <c r="U1002" t="s">
        <v>50521</v>
      </c>
      <c r="W1002" t="s">
        <v>43480</v>
      </c>
      <c r="X1002" t="s">
        <v>47427</v>
      </c>
    </row>
    <row r="1003" spans="1:24">
      <c r="A1003">
        <f>HYPERLINK("https://www.philgeps.gov.ph/GEPSNONPILOT/Tender/SplashBidNoticeAbstractUI.aspx?menuIndex=3&amp;refID=7164284&amp;Result=3","7164284")</f>
        <v>0</v>
      </c>
      <c r="B1003" t="s">
        <v>493</v>
      </c>
      <c r="C1003" t="s">
        <v>4891</v>
      </c>
      <c r="E1003" t="s">
        <v>20032</v>
      </c>
      <c r="F1003" t="s">
        <v>32831</v>
      </c>
      <c r="G1003" t="s">
        <v>32839</v>
      </c>
      <c r="H1003" t="s">
        <v>32850</v>
      </c>
      <c r="I1003" t="s">
        <v>5667</v>
      </c>
      <c r="J1003" t="s">
        <v>33716</v>
      </c>
      <c r="K1003" t="s">
        <v>42775</v>
      </c>
      <c r="M1003" t="s">
        <v>43498</v>
      </c>
      <c r="N1003" t="s">
        <v>47424</v>
      </c>
      <c r="O1003" t="s">
        <v>47425</v>
      </c>
      <c r="P1003">
        <v>0</v>
      </c>
      <c r="Q1003">
        <v>2</v>
      </c>
      <c r="R1003" t="s">
        <v>47427</v>
      </c>
      <c r="S1003" t="s">
        <v>47540</v>
      </c>
      <c r="T1003" t="s">
        <v>49222</v>
      </c>
      <c r="U1003" t="s">
        <v>50562</v>
      </c>
      <c r="W1003" t="s">
        <v>43498</v>
      </c>
      <c r="X1003" t="s">
        <v>47430</v>
      </c>
    </row>
    <row r="1004" spans="1:24">
      <c r="A1004">
        <f>HYPERLINK("https://www.philgeps.gov.ph/GEPSNONPILOT/Tender/SplashBidNoticeAbstractUI.aspx?menuIndex=3&amp;refID=7164258&amp;Result=3","7164258")</f>
        <v>0</v>
      </c>
      <c r="B1004" t="s">
        <v>494</v>
      </c>
      <c r="C1004" t="s">
        <v>4892</v>
      </c>
      <c r="D1004" t="s">
        <v>19026</v>
      </c>
      <c r="E1004" t="s">
        <v>20033</v>
      </c>
      <c r="F1004" t="s">
        <v>32831</v>
      </c>
      <c r="G1004" t="s">
        <v>32839</v>
      </c>
      <c r="H1004" t="s">
        <v>32848</v>
      </c>
      <c r="I1004" t="s">
        <v>7416</v>
      </c>
      <c r="J1004" t="s">
        <v>33717</v>
      </c>
      <c r="K1004" t="s">
        <v>42732</v>
      </c>
      <c r="M1004" t="s">
        <v>43499</v>
      </c>
      <c r="N1004" t="s">
        <v>47424</v>
      </c>
      <c r="O1004" t="s">
        <v>47425</v>
      </c>
      <c r="P1004">
        <v>0</v>
      </c>
      <c r="Q1004">
        <v>1</v>
      </c>
      <c r="R1004" t="s">
        <v>47427</v>
      </c>
      <c r="S1004" t="s">
        <v>47540</v>
      </c>
      <c r="T1004" t="s">
        <v>49105</v>
      </c>
      <c r="U1004" t="s">
        <v>50563</v>
      </c>
      <c r="W1004" t="s">
        <v>43499</v>
      </c>
      <c r="X1004" t="s">
        <v>47430</v>
      </c>
    </row>
    <row r="1005" spans="1:24">
      <c r="A1005">
        <f>HYPERLINK("https://www.philgeps.gov.ph/GEPSNONPILOT/Tender/SplashBidNoticeAbstractUI.aspx?menuIndex=3&amp;refID=7164184&amp;Result=3","7164184")</f>
        <v>0</v>
      </c>
      <c r="B1005" t="s">
        <v>495</v>
      </c>
      <c r="C1005" t="s">
        <v>4893</v>
      </c>
      <c r="D1005" t="s">
        <v>19074</v>
      </c>
      <c r="E1005" t="s">
        <v>20034</v>
      </c>
      <c r="F1005" t="s">
        <v>32831</v>
      </c>
      <c r="G1005" t="s">
        <v>32840</v>
      </c>
      <c r="H1005" t="s">
        <v>32848</v>
      </c>
      <c r="I1005" t="s">
        <v>4438</v>
      </c>
      <c r="J1005" t="s">
        <v>33718</v>
      </c>
      <c r="K1005" t="s">
        <v>42759</v>
      </c>
      <c r="M1005" t="s">
        <v>43500</v>
      </c>
      <c r="N1005" t="s">
        <v>47424</v>
      </c>
      <c r="O1005" t="s">
        <v>47425</v>
      </c>
      <c r="P1005">
        <v>0</v>
      </c>
      <c r="Q1005">
        <v>2</v>
      </c>
      <c r="R1005" t="s">
        <v>47427</v>
      </c>
      <c r="S1005" t="s">
        <v>47540</v>
      </c>
      <c r="T1005" t="s">
        <v>49145</v>
      </c>
      <c r="U1005" t="s">
        <v>50564</v>
      </c>
      <c r="V1005" t="s">
        <v>62707</v>
      </c>
      <c r="W1005" t="s">
        <v>43500</v>
      </c>
      <c r="X1005" t="s">
        <v>47430</v>
      </c>
    </row>
    <row r="1006" spans="1:24">
      <c r="A1006">
        <f>HYPERLINK("https://www.philgeps.gov.ph/GEPSNONPILOT/Tender/SplashBidNoticeAbstractUI.aspx?menuIndex=3&amp;refID=7164077&amp;Result=3","7164077")</f>
        <v>0</v>
      </c>
      <c r="B1006" t="s">
        <v>496</v>
      </c>
      <c r="C1006" t="s">
        <v>4894</v>
      </c>
      <c r="D1006" t="s">
        <v>19023</v>
      </c>
      <c r="E1006" t="s">
        <v>20035</v>
      </c>
      <c r="F1006" t="s">
        <v>32831</v>
      </c>
      <c r="G1006" t="s">
        <v>32839</v>
      </c>
      <c r="H1006" t="s">
        <v>32848</v>
      </c>
      <c r="I1006" t="s">
        <v>32864</v>
      </c>
      <c r="J1006" t="s">
        <v>33719</v>
      </c>
      <c r="K1006" t="s">
        <v>42730</v>
      </c>
      <c r="M1006" t="s">
        <v>43501</v>
      </c>
      <c r="N1006" t="s">
        <v>47424</v>
      </c>
      <c r="O1006" t="s">
        <v>47425</v>
      </c>
      <c r="P1006">
        <v>0</v>
      </c>
      <c r="Q1006">
        <v>5</v>
      </c>
      <c r="R1006" t="s">
        <v>47427</v>
      </c>
      <c r="S1006" t="s">
        <v>47540</v>
      </c>
      <c r="T1006" t="s">
        <v>49068</v>
      </c>
      <c r="U1006" t="s">
        <v>50565</v>
      </c>
      <c r="W1006" t="s">
        <v>43501</v>
      </c>
      <c r="X1006" t="s">
        <v>47430</v>
      </c>
    </row>
    <row r="1007" spans="1:24">
      <c r="A1007">
        <f>HYPERLINK("https://www.philgeps.gov.ph/GEPSNONPILOT/Tender/SplashBidNoticeAbstractUI.aspx?menuIndex=3&amp;refID=7164073&amp;Result=3","7164073")</f>
        <v>0</v>
      </c>
      <c r="B1007" t="s">
        <v>308</v>
      </c>
      <c r="C1007" t="s">
        <v>4895</v>
      </c>
      <c r="D1007" t="s">
        <v>19077</v>
      </c>
      <c r="E1007" t="s">
        <v>20036</v>
      </c>
      <c r="F1007" t="s">
        <v>32831</v>
      </c>
      <c r="G1007" t="s">
        <v>32839</v>
      </c>
      <c r="H1007" t="s">
        <v>32849</v>
      </c>
      <c r="I1007" t="s">
        <v>4177</v>
      </c>
      <c r="J1007" t="s">
        <v>33032</v>
      </c>
      <c r="K1007" t="s">
        <v>42792</v>
      </c>
      <c r="M1007" t="s">
        <v>43310</v>
      </c>
      <c r="N1007" t="s">
        <v>47424</v>
      </c>
      <c r="O1007" t="s">
        <v>47425</v>
      </c>
      <c r="P1007">
        <v>0</v>
      </c>
      <c r="Q1007">
        <v>0</v>
      </c>
      <c r="R1007" t="s">
        <v>47427</v>
      </c>
      <c r="S1007" t="s">
        <v>47540</v>
      </c>
      <c r="T1007" t="s">
        <v>49132</v>
      </c>
      <c r="U1007" t="s">
        <v>50566</v>
      </c>
      <c r="W1007" t="s">
        <v>43310</v>
      </c>
      <c r="X1007" t="s">
        <v>47430</v>
      </c>
    </row>
    <row r="1008" spans="1:24">
      <c r="A1008">
        <f>HYPERLINK("https://www.philgeps.gov.ph/GEPSNONPILOT/Tender/SplashBidNoticeAbstractUI.aspx?menuIndex=3&amp;refID=7164064&amp;Result=3","7164064")</f>
        <v>0</v>
      </c>
      <c r="B1008" t="s">
        <v>497</v>
      </c>
      <c r="C1008" t="s">
        <v>4896</v>
      </c>
      <c r="D1008" t="s">
        <v>19088</v>
      </c>
      <c r="E1008" t="s">
        <v>19520</v>
      </c>
      <c r="F1008" t="s">
        <v>32831</v>
      </c>
      <c r="G1008" t="s">
        <v>32839</v>
      </c>
      <c r="H1008" t="s">
        <v>32848</v>
      </c>
      <c r="I1008" t="s">
        <v>9577</v>
      </c>
      <c r="J1008" t="s">
        <v>33720</v>
      </c>
      <c r="K1008" t="s">
        <v>42748</v>
      </c>
      <c r="M1008" t="s">
        <v>43502</v>
      </c>
      <c r="N1008" t="s">
        <v>47424</v>
      </c>
      <c r="O1008" t="s">
        <v>47425</v>
      </c>
      <c r="P1008">
        <v>0</v>
      </c>
      <c r="Q1008">
        <v>6</v>
      </c>
      <c r="R1008" t="s">
        <v>47427</v>
      </c>
      <c r="S1008" t="s">
        <v>47540</v>
      </c>
      <c r="T1008" t="s">
        <v>49091</v>
      </c>
      <c r="U1008" t="s">
        <v>50567</v>
      </c>
      <c r="W1008" t="s">
        <v>43502</v>
      </c>
      <c r="X1008" t="s">
        <v>47430</v>
      </c>
    </row>
    <row r="1009" spans="1:24">
      <c r="A1009">
        <f>HYPERLINK("https://www.philgeps.gov.ph/GEPSNONPILOT/Tender/SplashBidNoticeAbstractUI.aspx?menuIndex=3&amp;refID=7164285&amp;Result=3","7164285")</f>
        <v>0</v>
      </c>
      <c r="B1009" t="s">
        <v>498</v>
      </c>
      <c r="C1009" t="s">
        <v>4897</v>
      </c>
      <c r="D1009" t="s">
        <v>19021</v>
      </c>
      <c r="E1009" t="s">
        <v>19555</v>
      </c>
      <c r="F1009" t="s">
        <v>32831</v>
      </c>
      <c r="G1009" t="s">
        <v>32839</v>
      </c>
      <c r="H1009" t="s">
        <v>32848</v>
      </c>
      <c r="I1009" t="s">
        <v>7416</v>
      </c>
      <c r="J1009" t="s">
        <v>33721</v>
      </c>
      <c r="K1009" t="s">
        <v>42726</v>
      </c>
      <c r="M1009" t="s">
        <v>43503</v>
      </c>
      <c r="N1009" t="s">
        <v>47424</v>
      </c>
      <c r="O1009" t="s">
        <v>47425</v>
      </c>
      <c r="P1009">
        <v>0</v>
      </c>
      <c r="Q1009">
        <v>0</v>
      </c>
      <c r="R1009" t="s">
        <v>47427</v>
      </c>
      <c r="S1009" t="s">
        <v>47540</v>
      </c>
      <c r="T1009" t="s">
        <v>49109</v>
      </c>
      <c r="U1009" t="s">
        <v>50568</v>
      </c>
      <c r="W1009" t="s">
        <v>43503</v>
      </c>
      <c r="X1009" t="s">
        <v>47428</v>
      </c>
    </row>
    <row r="1010" spans="1:24">
      <c r="A1010">
        <f>HYPERLINK("https://www.philgeps.gov.ph/GEPSNONPILOT/Tender/SplashBidNoticeAbstractUI.aspx?menuIndex=3&amp;refID=7163801&amp;Result=3","7163801")</f>
        <v>0</v>
      </c>
      <c r="B1010" t="s">
        <v>499</v>
      </c>
      <c r="C1010" t="s">
        <v>4898</v>
      </c>
      <c r="D1010" t="s">
        <v>19043</v>
      </c>
      <c r="E1010" t="s">
        <v>20037</v>
      </c>
      <c r="F1010" t="s">
        <v>32831</v>
      </c>
      <c r="G1010" t="s">
        <v>32839</v>
      </c>
      <c r="H1010" t="s">
        <v>32848</v>
      </c>
      <c r="I1010" t="s">
        <v>32860</v>
      </c>
      <c r="J1010" t="s">
        <v>33722</v>
      </c>
      <c r="K1010" t="s">
        <v>42727</v>
      </c>
      <c r="L1010" t="s">
        <v>499</v>
      </c>
      <c r="M1010" t="s">
        <v>43504</v>
      </c>
      <c r="N1010" t="s">
        <v>47424</v>
      </c>
      <c r="O1010" t="s">
        <v>47425</v>
      </c>
      <c r="P1010">
        <v>0</v>
      </c>
      <c r="Q1010">
        <v>1</v>
      </c>
      <c r="R1010" t="s">
        <v>47427</v>
      </c>
      <c r="S1010" t="s">
        <v>47540</v>
      </c>
      <c r="T1010" t="s">
        <v>49223</v>
      </c>
      <c r="U1010" t="s">
        <v>50569</v>
      </c>
      <c r="W1010" t="s">
        <v>43504</v>
      </c>
      <c r="X1010" t="s">
        <v>47430</v>
      </c>
    </row>
    <row r="1011" spans="1:24">
      <c r="A1011">
        <f>HYPERLINK("https://www.philgeps.gov.ph/GEPSNONPILOT/Tender/SplashBidNoticeAbstractUI.aspx?menuIndex=3&amp;refID=7163779&amp;Result=3","7163779")</f>
        <v>0</v>
      </c>
      <c r="B1011" t="s">
        <v>500</v>
      </c>
      <c r="C1011" t="s">
        <v>4899</v>
      </c>
      <c r="D1011" t="s">
        <v>19017</v>
      </c>
      <c r="E1011" t="s">
        <v>19203</v>
      </c>
      <c r="F1011" t="s">
        <v>32831</v>
      </c>
      <c r="G1011" t="s">
        <v>32838</v>
      </c>
      <c r="H1011" t="s">
        <v>32850</v>
      </c>
      <c r="I1011" t="s">
        <v>32864</v>
      </c>
      <c r="J1011" t="s">
        <v>33723</v>
      </c>
      <c r="K1011" t="s">
        <v>42750</v>
      </c>
      <c r="M1011" t="s">
        <v>43505</v>
      </c>
      <c r="N1011" t="s">
        <v>47424</v>
      </c>
      <c r="O1011" t="s">
        <v>47425</v>
      </c>
      <c r="P1011">
        <v>0</v>
      </c>
      <c r="Q1011">
        <v>7</v>
      </c>
      <c r="R1011" t="s">
        <v>47427</v>
      </c>
      <c r="S1011" t="s">
        <v>47540</v>
      </c>
      <c r="T1011" t="s">
        <v>49060</v>
      </c>
      <c r="U1011" t="s">
        <v>50570</v>
      </c>
      <c r="W1011" t="s">
        <v>43505</v>
      </c>
      <c r="X1011" t="s">
        <v>47430</v>
      </c>
    </row>
    <row r="1012" spans="1:24">
      <c r="A1012">
        <f>HYPERLINK("https://www.philgeps.gov.ph/GEPSNONPILOT/Tender/SplashBidNoticeAbstractUI.aspx?menuIndex=3&amp;refID=7163692&amp;Result=3","7163692")</f>
        <v>0</v>
      </c>
      <c r="B1012" t="s">
        <v>373</v>
      </c>
      <c r="C1012" t="s">
        <v>4900</v>
      </c>
      <c r="D1012" t="s">
        <v>19062</v>
      </c>
      <c r="E1012" t="s">
        <v>19203</v>
      </c>
      <c r="F1012" t="s">
        <v>32831</v>
      </c>
      <c r="G1012" t="s">
        <v>32839</v>
      </c>
      <c r="H1012" t="s">
        <v>32848</v>
      </c>
      <c r="I1012" t="s">
        <v>32858</v>
      </c>
      <c r="J1012" t="s">
        <v>33724</v>
      </c>
      <c r="K1012" t="s">
        <v>42758</v>
      </c>
      <c r="M1012" t="s">
        <v>43377</v>
      </c>
      <c r="N1012" t="s">
        <v>47424</v>
      </c>
      <c r="O1012" t="s">
        <v>47425</v>
      </c>
      <c r="P1012">
        <v>0</v>
      </c>
      <c r="Q1012">
        <v>0</v>
      </c>
      <c r="R1012" t="s">
        <v>47427</v>
      </c>
      <c r="S1012" t="s">
        <v>47540</v>
      </c>
      <c r="T1012" t="s">
        <v>49224</v>
      </c>
      <c r="U1012" t="s">
        <v>50571</v>
      </c>
      <c r="W1012" t="s">
        <v>43377</v>
      </c>
      <c r="X1012" t="s">
        <v>47430</v>
      </c>
    </row>
    <row r="1013" spans="1:24">
      <c r="A1013">
        <f>HYPERLINK("https://www.philgeps.gov.ph/GEPSNONPILOT/Tender/SplashBidNoticeAbstractUI.aspx?menuIndex=3&amp;refID=7164621&amp;Result=3","7164621")</f>
        <v>0</v>
      </c>
      <c r="B1013" t="s">
        <v>501</v>
      </c>
      <c r="C1013" t="s">
        <v>4901</v>
      </c>
      <c r="D1013" t="s">
        <v>19017</v>
      </c>
      <c r="E1013" t="s">
        <v>20038</v>
      </c>
      <c r="F1013" t="s">
        <v>32831</v>
      </c>
      <c r="G1013" t="s">
        <v>32839</v>
      </c>
      <c r="H1013" t="s">
        <v>32848</v>
      </c>
      <c r="I1013" t="s">
        <v>32864</v>
      </c>
      <c r="J1013" t="s">
        <v>33725</v>
      </c>
      <c r="K1013" t="s">
        <v>42730</v>
      </c>
      <c r="M1013" t="s">
        <v>43506</v>
      </c>
      <c r="N1013" t="s">
        <v>47424</v>
      </c>
      <c r="O1013" t="s">
        <v>47425</v>
      </c>
      <c r="P1013">
        <v>0</v>
      </c>
      <c r="Q1013">
        <v>10</v>
      </c>
      <c r="R1013" t="s">
        <v>47426</v>
      </c>
      <c r="S1013" t="s">
        <v>47531</v>
      </c>
      <c r="T1013" t="s">
        <v>49219</v>
      </c>
      <c r="U1013" t="s">
        <v>50572</v>
      </c>
      <c r="W1013" t="s">
        <v>43506</v>
      </c>
      <c r="X1013" t="s">
        <v>47428</v>
      </c>
    </row>
    <row r="1014" spans="1:24">
      <c r="A1014">
        <f>HYPERLINK("https://www.philgeps.gov.ph/GEPSNONPILOT/Tender/SplashBidNoticeAbstractUI.aspx?menuIndex=3&amp;refID=7164915&amp;Result=3","7164915")</f>
        <v>0</v>
      </c>
      <c r="B1014" t="s">
        <v>468</v>
      </c>
      <c r="C1014" t="s">
        <v>4902</v>
      </c>
      <c r="D1014" t="s">
        <v>19031</v>
      </c>
      <c r="E1014" t="s">
        <v>20039</v>
      </c>
      <c r="F1014" t="s">
        <v>32831</v>
      </c>
      <c r="G1014" t="s">
        <v>32839</v>
      </c>
      <c r="H1014" t="s">
        <v>32848</v>
      </c>
      <c r="I1014" t="s">
        <v>32892</v>
      </c>
      <c r="J1014" t="s">
        <v>33726</v>
      </c>
      <c r="K1014" t="s">
        <v>42727</v>
      </c>
      <c r="M1014" t="s">
        <v>43473</v>
      </c>
      <c r="N1014" t="s">
        <v>47424</v>
      </c>
      <c r="O1014" t="s">
        <v>47425</v>
      </c>
      <c r="P1014">
        <v>0</v>
      </c>
      <c r="Q1014">
        <v>3</v>
      </c>
      <c r="R1014" t="s">
        <v>47426</v>
      </c>
      <c r="S1014" t="s">
        <v>47531</v>
      </c>
      <c r="T1014" t="s">
        <v>49148</v>
      </c>
      <c r="U1014" t="s">
        <v>50573</v>
      </c>
      <c r="W1014" t="s">
        <v>64440</v>
      </c>
      <c r="X1014" t="s">
        <v>47427</v>
      </c>
    </row>
    <row r="1015" spans="1:24">
      <c r="A1015">
        <f>HYPERLINK("https://www.philgeps.gov.ph/GEPSNONPILOT/Tender/SplashBidNoticeAbstractUI.aspx?menuIndex=3&amp;refID=7163497&amp;Result=3","7163497")</f>
        <v>0</v>
      </c>
      <c r="B1015" t="s">
        <v>502</v>
      </c>
      <c r="C1015" t="s">
        <v>4903</v>
      </c>
      <c r="D1015" t="s">
        <v>19026</v>
      </c>
      <c r="E1015" t="s">
        <v>20040</v>
      </c>
      <c r="F1015" t="s">
        <v>32831</v>
      </c>
      <c r="G1015" t="s">
        <v>32839</v>
      </c>
      <c r="H1015" t="s">
        <v>32848</v>
      </c>
      <c r="I1015" t="s">
        <v>7751</v>
      </c>
      <c r="J1015" t="s">
        <v>33727</v>
      </c>
      <c r="K1015" t="s">
        <v>42750</v>
      </c>
      <c r="M1015" t="s">
        <v>43507</v>
      </c>
      <c r="N1015" t="s">
        <v>47424</v>
      </c>
      <c r="O1015" t="s">
        <v>47425</v>
      </c>
      <c r="P1015">
        <v>0</v>
      </c>
      <c r="Q1015">
        <v>2</v>
      </c>
      <c r="R1015" t="s">
        <v>47427</v>
      </c>
      <c r="S1015" t="s">
        <v>47540</v>
      </c>
      <c r="T1015" t="s">
        <v>49109</v>
      </c>
      <c r="U1015" t="s">
        <v>50574</v>
      </c>
      <c r="W1015" t="s">
        <v>43507</v>
      </c>
      <c r="X1015" t="s">
        <v>47430</v>
      </c>
    </row>
    <row r="1016" spans="1:24">
      <c r="A1016">
        <f>HYPERLINK("https://www.philgeps.gov.ph/GEPSNONPILOT/Tender/SplashBidNoticeAbstractUI.aspx?menuIndex=3&amp;refID=7163355&amp;Result=3","7163355")</f>
        <v>0</v>
      </c>
      <c r="B1016" t="s">
        <v>217</v>
      </c>
      <c r="C1016" t="s">
        <v>4904</v>
      </c>
      <c r="D1016" t="s">
        <v>19037</v>
      </c>
      <c r="E1016" t="s">
        <v>20041</v>
      </c>
      <c r="F1016" t="s">
        <v>32831</v>
      </c>
      <c r="G1016" t="s">
        <v>32838</v>
      </c>
      <c r="H1016" t="s">
        <v>32848</v>
      </c>
      <c r="I1016" t="s">
        <v>7416</v>
      </c>
      <c r="J1016" t="s">
        <v>33728</v>
      </c>
      <c r="K1016" t="s">
        <v>42730</v>
      </c>
      <c r="M1016" t="s">
        <v>43392</v>
      </c>
      <c r="N1016" t="s">
        <v>47424</v>
      </c>
      <c r="O1016" t="s">
        <v>47425</v>
      </c>
      <c r="P1016">
        <v>0</v>
      </c>
      <c r="Q1016">
        <v>0</v>
      </c>
      <c r="R1016" t="s">
        <v>47427</v>
      </c>
      <c r="S1016" t="s">
        <v>47540</v>
      </c>
      <c r="T1016" t="s">
        <v>49162</v>
      </c>
      <c r="U1016" t="s">
        <v>50575</v>
      </c>
      <c r="W1016" t="s">
        <v>43392</v>
      </c>
      <c r="X1016" t="s">
        <v>47430</v>
      </c>
    </row>
    <row r="1017" spans="1:24">
      <c r="A1017">
        <f>HYPERLINK("https://www.philgeps.gov.ph/GEPSNONPILOT/Tender/SplashBidNoticeAbstractUI.aspx?menuIndex=3&amp;refID=7164310&amp;Result=3","7164310")</f>
        <v>0</v>
      </c>
      <c r="B1017" t="s">
        <v>503</v>
      </c>
      <c r="C1017" t="s">
        <v>4905</v>
      </c>
      <c r="D1017" t="s">
        <v>19078</v>
      </c>
      <c r="E1017" t="s">
        <v>19311</v>
      </c>
      <c r="F1017" t="s">
        <v>32831</v>
      </c>
      <c r="G1017" t="s">
        <v>32839</v>
      </c>
      <c r="H1017" t="s">
        <v>32848</v>
      </c>
      <c r="I1017" t="s">
        <v>32883</v>
      </c>
      <c r="J1017" t="s">
        <v>33133</v>
      </c>
      <c r="K1017" t="s">
        <v>42726</v>
      </c>
      <c r="M1017" t="s">
        <v>43508</v>
      </c>
      <c r="N1017" t="s">
        <v>47424</v>
      </c>
      <c r="O1017" t="s">
        <v>47425</v>
      </c>
      <c r="P1017">
        <v>0</v>
      </c>
      <c r="Q1017">
        <v>0</v>
      </c>
      <c r="R1017" t="s">
        <v>47427</v>
      </c>
      <c r="S1017" t="s">
        <v>47540</v>
      </c>
      <c r="T1017" t="s">
        <v>49225</v>
      </c>
      <c r="U1017" t="s">
        <v>50576</v>
      </c>
      <c r="W1017" t="s">
        <v>43508</v>
      </c>
      <c r="X1017" t="s">
        <v>47428</v>
      </c>
    </row>
    <row r="1018" spans="1:24">
      <c r="A1018">
        <f>HYPERLINK("https://www.philgeps.gov.ph/GEPSNONPILOT/Tender/SplashBidNoticeAbstractUI.aspx?menuIndex=3&amp;refID=7164308&amp;Result=3","7164308")</f>
        <v>0</v>
      </c>
      <c r="B1018" t="s">
        <v>504</v>
      </c>
      <c r="C1018" t="s">
        <v>4906</v>
      </c>
      <c r="D1018" t="s">
        <v>19023</v>
      </c>
      <c r="E1018" t="s">
        <v>20042</v>
      </c>
      <c r="F1018" t="s">
        <v>32831</v>
      </c>
      <c r="G1018" t="s">
        <v>32839</v>
      </c>
      <c r="H1018" t="s">
        <v>32849</v>
      </c>
      <c r="I1018" t="s">
        <v>4177</v>
      </c>
      <c r="J1018" t="s">
        <v>33087</v>
      </c>
      <c r="K1018" t="s">
        <v>42726</v>
      </c>
      <c r="M1018" t="s">
        <v>43509</v>
      </c>
      <c r="N1018" t="s">
        <v>47424</v>
      </c>
      <c r="O1018" t="s">
        <v>47425</v>
      </c>
      <c r="P1018">
        <v>0</v>
      </c>
      <c r="Q1018">
        <v>0</v>
      </c>
      <c r="R1018" t="s">
        <v>47427</v>
      </c>
      <c r="S1018" t="s">
        <v>47540</v>
      </c>
      <c r="T1018" t="s">
        <v>49109</v>
      </c>
      <c r="U1018" t="s">
        <v>50577</v>
      </c>
      <c r="W1018" t="s">
        <v>43509</v>
      </c>
      <c r="X1018" t="s">
        <v>47428</v>
      </c>
    </row>
    <row r="1019" spans="1:24">
      <c r="A1019">
        <f>HYPERLINK("https://www.philgeps.gov.ph/GEPSNONPILOT/Tender/SplashBidNoticeAbstractUI.aspx?menuIndex=3&amp;refID=7163761&amp;Result=3","7163761")</f>
        <v>0</v>
      </c>
      <c r="B1019" t="s">
        <v>375</v>
      </c>
      <c r="C1019" t="s">
        <v>4907</v>
      </c>
      <c r="D1019" t="s">
        <v>19030</v>
      </c>
      <c r="E1019" t="s">
        <v>19494</v>
      </c>
      <c r="F1019" t="s">
        <v>32831</v>
      </c>
      <c r="G1019" t="s">
        <v>32842</v>
      </c>
      <c r="H1019" t="s">
        <v>32848</v>
      </c>
      <c r="I1019" t="s">
        <v>32864</v>
      </c>
      <c r="J1019" t="s">
        <v>33144</v>
      </c>
      <c r="K1019" t="s">
        <v>42730</v>
      </c>
      <c r="M1019" t="s">
        <v>43379</v>
      </c>
      <c r="N1019" t="s">
        <v>47424</v>
      </c>
      <c r="O1019" t="s">
        <v>47425</v>
      </c>
      <c r="P1019">
        <v>0</v>
      </c>
      <c r="Q1019">
        <v>3</v>
      </c>
      <c r="R1019" t="s">
        <v>47427</v>
      </c>
      <c r="S1019" t="s">
        <v>47540</v>
      </c>
      <c r="T1019" t="s">
        <v>49198</v>
      </c>
      <c r="U1019" t="s">
        <v>50578</v>
      </c>
      <c r="W1019" t="s">
        <v>43379</v>
      </c>
      <c r="X1019" t="s">
        <v>47430</v>
      </c>
    </row>
    <row r="1020" spans="1:24">
      <c r="A1020">
        <f>HYPERLINK("https://www.philgeps.gov.ph/GEPSNONPILOT/Tender/SplashBidNoticeAbstractUI.aspx?menuIndex=3&amp;refID=7164098&amp;Result=3","7164098")</f>
        <v>0</v>
      </c>
      <c r="B1020" t="s">
        <v>505</v>
      </c>
      <c r="C1020" t="s">
        <v>4908</v>
      </c>
      <c r="D1020" t="s">
        <v>19020</v>
      </c>
      <c r="E1020" t="s">
        <v>20043</v>
      </c>
      <c r="F1020" t="s">
        <v>32831</v>
      </c>
      <c r="G1020" t="s">
        <v>32838</v>
      </c>
      <c r="H1020" t="s">
        <v>32848</v>
      </c>
      <c r="I1020" t="s">
        <v>7416</v>
      </c>
      <c r="J1020" t="s">
        <v>33729</v>
      </c>
      <c r="K1020" t="s">
        <v>42732</v>
      </c>
      <c r="M1020" t="s">
        <v>43510</v>
      </c>
      <c r="N1020" t="s">
        <v>47424</v>
      </c>
      <c r="O1020" t="s">
        <v>47425</v>
      </c>
      <c r="P1020">
        <v>0</v>
      </c>
      <c r="Q1020">
        <v>0</v>
      </c>
      <c r="R1020" t="s">
        <v>47427</v>
      </c>
      <c r="S1020" t="s">
        <v>47540</v>
      </c>
      <c r="T1020" t="s">
        <v>49175</v>
      </c>
      <c r="U1020" t="s">
        <v>50579</v>
      </c>
      <c r="V1020" t="s">
        <v>62738</v>
      </c>
      <c r="W1020" t="s">
        <v>43510</v>
      </c>
      <c r="X1020" t="s">
        <v>47430</v>
      </c>
    </row>
    <row r="1021" spans="1:24">
      <c r="A1021">
        <f>HYPERLINK("https://www.philgeps.gov.ph/GEPSNONPILOT/Tender/SplashBidNoticeAbstractUI.aspx?menuIndex=3&amp;refID=7164938&amp;Result=3","7164938")</f>
        <v>0</v>
      </c>
      <c r="B1021" t="s">
        <v>478</v>
      </c>
      <c r="C1021" t="s">
        <v>4909</v>
      </c>
      <c r="E1021" t="s">
        <v>20044</v>
      </c>
      <c r="F1021" t="s">
        <v>32831</v>
      </c>
      <c r="G1021" t="s">
        <v>32839</v>
      </c>
      <c r="H1021" t="s">
        <v>32848</v>
      </c>
      <c r="I1021" t="s">
        <v>4303</v>
      </c>
      <c r="J1021" t="s">
        <v>33730</v>
      </c>
      <c r="K1021" t="s">
        <v>42730</v>
      </c>
      <c r="M1021" t="s">
        <v>43483</v>
      </c>
      <c r="N1021" t="s">
        <v>47424</v>
      </c>
      <c r="O1021" t="s">
        <v>47425</v>
      </c>
      <c r="P1021">
        <v>0</v>
      </c>
      <c r="Q1021">
        <v>1</v>
      </c>
      <c r="R1021" t="s">
        <v>47426</v>
      </c>
      <c r="S1021" t="s">
        <v>47531</v>
      </c>
      <c r="T1021" t="s">
        <v>49084</v>
      </c>
      <c r="U1021" t="s">
        <v>50580</v>
      </c>
      <c r="W1021" t="s">
        <v>43483</v>
      </c>
      <c r="X1021" t="s">
        <v>47427</v>
      </c>
    </row>
    <row r="1022" spans="1:24">
      <c r="A1022">
        <f>HYPERLINK("https://www.philgeps.gov.ph/GEPSNONPILOT/Tender/SplashBidNoticeAbstractUI.aspx?menuIndex=3&amp;refID=7164913&amp;Result=3","7164913")</f>
        <v>0</v>
      </c>
      <c r="B1022" t="s">
        <v>468</v>
      </c>
      <c r="C1022" t="s">
        <v>4910</v>
      </c>
      <c r="D1022" t="s">
        <v>19031</v>
      </c>
      <c r="E1022" t="s">
        <v>20045</v>
      </c>
      <c r="F1022" t="s">
        <v>32831</v>
      </c>
      <c r="G1022" t="s">
        <v>32839</v>
      </c>
      <c r="H1022" t="s">
        <v>32848</v>
      </c>
      <c r="I1022" t="s">
        <v>4558</v>
      </c>
      <c r="J1022" t="s">
        <v>33731</v>
      </c>
      <c r="K1022" t="s">
        <v>42727</v>
      </c>
      <c r="M1022" t="s">
        <v>43473</v>
      </c>
      <c r="N1022" t="s">
        <v>47424</v>
      </c>
      <c r="O1022" t="s">
        <v>47425</v>
      </c>
      <c r="P1022">
        <v>0</v>
      </c>
      <c r="Q1022">
        <v>0</v>
      </c>
      <c r="R1022" t="s">
        <v>47426</v>
      </c>
      <c r="S1022" t="s">
        <v>47531</v>
      </c>
      <c r="T1022" t="s">
        <v>49148</v>
      </c>
      <c r="U1022" t="s">
        <v>50581</v>
      </c>
      <c r="W1022" t="s">
        <v>64440</v>
      </c>
      <c r="X1022" t="s">
        <v>47427</v>
      </c>
    </row>
    <row r="1023" spans="1:24">
      <c r="A1023">
        <f>HYPERLINK("https://www.philgeps.gov.ph/GEPSNONPILOT/Tender/SplashBidNoticeAbstractUI.aspx?menuIndex=3&amp;refID=7164302&amp;Result=3","7164302")</f>
        <v>0</v>
      </c>
      <c r="B1023" t="s">
        <v>506</v>
      </c>
      <c r="C1023" t="s">
        <v>4911</v>
      </c>
      <c r="D1023" t="s">
        <v>19095</v>
      </c>
      <c r="E1023" t="s">
        <v>19443</v>
      </c>
      <c r="F1023" t="s">
        <v>32831</v>
      </c>
      <c r="G1023" t="s">
        <v>32838</v>
      </c>
      <c r="H1023" t="s">
        <v>32848</v>
      </c>
      <c r="I1023" t="s">
        <v>4471</v>
      </c>
      <c r="J1023" t="s">
        <v>33732</v>
      </c>
      <c r="K1023" t="s">
        <v>42730</v>
      </c>
      <c r="M1023" t="s">
        <v>43511</v>
      </c>
      <c r="N1023" t="s">
        <v>47424</v>
      </c>
      <c r="O1023" t="s">
        <v>47425</v>
      </c>
      <c r="P1023">
        <v>0</v>
      </c>
      <c r="Q1023">
        <v>0</v>
      </c>
      <c r="R1023" t="s">
        <v>47427</v>
      </c>
      <c r="S1023" t="s">
        <v>47540</v>
      </c>
      <c r="T1023" t="s">
        <v>49162</v>
      </c>
      <c r="U1023" t="s">
        <v>50582</v>
      </c>
      <c r="V1023" t="s">
        <v>62739</v>
      </c>
      <c r="W1023" t="s">
        <v>43511</v>
      </c>
      <c r="X1023" t="s">
        <v>47428</v>
      </c>
    </row>
    <row r="1024" spans="1:24">
      <c r="A1024">
        <f>HYPERLINK("https://www.philgeps.gov.ph/GEPSNONPILOT/Tender/SplashBidNoticeAbstractUI.aspx?menuIndex=3&amp;refID=7164059&amp;Result=3","7164059")</f>
        <v>0</v>
      </c>
      <c r="B1024" t="s">
        <v>497</v>
      </c>
      <c r="C1024" t="s">
        <v>4912</v>
      </c>
      <c r="D1024" t="s">
        <v>19088</v>
      </c>
      <c r="E1024" t="s">
        <v>19311</v>
      </c>
      <c r="F1024" t="s">
        <v>32831</v>
      </c>
      <c r="G1024" t="s">
        <v>32839</v>
      </c>
      <c r="H1024" t="s">
        <v>32848</v>
      </c>
      <c r="I1024" t="s">
        <v>9577</v>
      </c>
      <c r="J1024" t="s">
        <v>33490</v>
      </c>
      <c r="K1024" t="s">
        <v>42748</v>
      </c>
      <c r="M1024" t="s">
        <v>43502</v>
      </c>
      <c r="N1024" t="s">
        <v>47424</v>
      </c>
      <c r="O1024" t="s">
        <v>47425</v>
      </c>
      <c r="P1024">
        <v>0</v>
      </c>
      <c r="Q1024">
        <v>4</v>
      </c>
      <c r="R1024" t="s">
        <v>47427</v>
      </c>
      <c r="S1024" t="s">
        <v>47540</v>
      </c>
      <c r="T1024" t="s">
        <v>49091</v>
      </c>
      <c r="U1024" t="s">
        <v>50583</v>
      </c>
      <c r="W1024" t="s">
        <v>43502</v>
      </c>
      <c r="X1024" t="s">
        <v>47430</v>
      </c>
    </row>
    <row r="1025" spans="1:24">
      <c r="A1025">
        <f>HYPERLINK("https://www.philgeps.gov.ph/GEPSNONPILOT/Tender/SplashBidNoticeAbstractUI.aspx?menuIndex=3&amp;refID=7164300&amp;Result=3","7164300")</f>
        <v>0</v>
      </c>
      <c r="B1025" t="s">
        <v>506</v>
      </c>
      <c r="C1025" t="s">
        <v>4913</v>
      </c>
      <c r="D1025" t="s">
        <v>19095</v>
      </c>
      <c r="E1025" t="s">
        <v>20046</v>
      </c>
      <c r="F1025" t="s">
        <v>32831</v>
      </c>
      <c r="G1025" t="s">
        <v>32838</v>
      </c>
      <c r="H1025" t="s">
        <v>32848</v>
      </c>
      <c r="I1025" t="s">
        <v>32892</v>
      </c>
      <c r="J1025" t="s">
        <v>33424</v>
      </c>
      <c r="K1025" t="s">
        <v>42730</v>
      </c>
      <c r="M1025" t="s">
        <v>43511</v>
      </c>
      <c r="N1025" t="s">
        <v>47424</v>
      </c>
      <c r="O1025" t="s">
        <v>47425</v>
      </c>
      <c r="P1025">
        <v>0</v>
      </c>
      <c r="Q1025">
        <v>2</v>
      </c>
      <c r="R1025" t="s">
        <v>47427</v>
      </c>
      <c r="S1025" t="s">
        <v>47540</v>
      </c>
      <c r="T1025" t="s">
        <v>49162</v>
      </c>
      <c r="U1025" t="s">
        <v>50582</v>
      </c>
      <c r="V1025" t="s">
        <v>62739</v>
      </c>
      <c r="W1025" t="s">
        <v>43511</v>
      </c>
      <c r="X1025" t="s">
        <v>47428</v>
      </c>
    </row>
    <row r="1026" spans="1:24">
      <c r="A1026">
        <f>HYPERLINK("https://www.philgeps.gov.ph/GEPSNONPILOT/Tender/SplashBidNoticeAbstractUI.aspx?menuIndex=3&amp;refID=7164298&amp;Result=3","7164298")</f>
        <v>0</v>
      </c>
      <c r="B1026" t="s">
        <v>506</v>
      </c>
      <c r="C1026" t="s">
        <v>4914</v>
      </c>
      <c r="D1026" t="s">
        <v>19095</v>
      </c>
      <c r="E1026" t="s">
        <v>20047</v>
      </c>
      <c r="F1026" t="s">
        <v>32831</v>
      </c>
      <c r="G1026" t="s">
        <v>32838</v>
      </c>
      <c r="H1026" t="s">
        <v>32848</v>
      </c>
      <c r="I1026" t="s">
        <v>4303</v>
      </c>
      <c r="J1026" t="s">
        <v>33733</v>
      </c>
      <c r="K1026" t="s">
        <v>42730</v>
      </c>
      <c r="M1026" t="s">
        <v>43511</v>
      </c>
      <c r="N1026" t="s">
        <v>47424</v>
      </c>
      <c r="O1026" t="s">
        <v>47425</v>
      </c>
      <c r="P1026">
        <v>0</v>
      </c>
      <c r="Q1026">
        <v>0</v>
      </c>
      <c r="R1026" t="s">
        <v>47427</v>
      </c>
      <c r="S1026" t="s">
        <v>47540</v>
      </c>
      <c r="T1026" t="s">
        <v>49162</v>
      </c>
      <c r="U1026" t="s">
        <v>50582</v>
      </c>
      <c r="V1026" t="s">
        <v>62739</v>
      </c>
      <c r="W1026" t="s">
        <v>43511</v>
      </c>
      <c r="X1026" t="s">
        <v>47428</v>
      </c>
    </row>
    <row r="1027" spans="1:24">
      <c r="A1027">
        <f>HYPERLINK("https://www.philgeps.gov.ph/GEPSNONPILOT/Tender/SplashBidNoticeAbstractUI.aspx?menuIndex=3&amp;refID=7164305&amp;Result=3","7164305")</f>
        <v>0</v>
      </c>
      <c r="B1027" t="s">
        <v>503</v>
      </c>
      <c r="C1027" t="s">
        <v>4915</v>
      </c>
      <c r="D1027" t="s">
        <v>19078</v>
      </c>
      <c r="E1027" t="s">
        <v>19311</v>
      </c>
      <c r="F1027" t="s">
        <v>32831</v>
      </c>
      <c r="G1027" t="s">
        <v>32839</v>
      </c>
      <c r="H1027" t="s">
        <v>32848</v>
      </c>
      <c r="I1027" t="s">
        <v>32883</v>
      </c>
      <c r="J1027" t="s">
        <v>33593</v>
      </c>
      <c r="K1027" t="s">
        <v>42726</v>
      </c>
      <c r="M1027" t="s">
        <v>43508</v>
      </c>
      <c r="N1027" t="s">
        <v>47424</v>
      </c>
      <c r="O1027" t="s">
        <v>47425</v>
      </c>
      <c r="P1027">
        <v>0</v>
      </c>
      <c r="Q1027">
        <v>0</v>
      </c>
      <c r="R1027" t="s">
        <v>47427</v>
      </c>
      <c r="S1027" t="s">
        <v>47540</v>
      </c>
      <c r="T1027" t="s">
        <v>49215</v>
      </c>
      <c r="U1027" t="s">
        <v>50584</v>
      </c>
      <c r="W1027" t="s">
        <v>43508</v>
      </c>
      <c r="X1027" t="s">
        <v>47428</v>
      </c>
    </row>
    <row r="1028" spans="1:24">
      <c r="A1028">
        <f>HYPERLINK("https://www.philgeps.gov.ph/GEPSNONPILOT/Tender/SplashBidNoticeAbstractUI.aspx?menuIndex=3&amp;refID=7164296&amp;Result=3","7164296")</f>
        <v>0</v>
      </c>
      <c r="B1028" t="s">
        <v>506</v>
      </c>
      <c r="C1028" t="s">
        <v>4916</v>
      </c>
      <c r="D1028" t="s">
        <v>19095</v>
      </c>
      <c r="E1028" t="s">
        <v>20048</v>
      </c>
      <c r="F1028" t="s">
        <v>32831</v>
      </c>
      <c r="G1028" t="s">
        <v>32838</v>
      </c>
      <c r="H1028" t="s">
        <v>32848</v>
      </c>
      <c r="I1028" t="s">
        <v>4303</v>
      </c>
      <c r="J1028" t="s">
        <v>33734</v>
      </c>
      <c r="K1028" t="s">
        <v>42730</v>
      </c>
      <c r="M1028" t="s">
        <v>43511</v>
      </c>
      <c r="N1028" t="s">
        <v>47424</v>
      </c>
      <c r="O1028" t="s">
        <v>47425</v>
      </c>
      <c r="P1028">
        <v>0</v>
      </c>
      <c r="Q1028">
        <v>0</v>
      </c>
      <c r="R1028" t="s">
        <v>47427</v>
      </c>
      <c r="S1028" t="s">
        <v>47540</v>
      </c>
      <c r="T1028" t="s">
        <v>49162</v>
      </c>
      <c r="U1028" t="s">
        <v>50582</v>
      </c>
      <c r="V1028" t="s">
        <v>62739</v>
      </c>
      <c r="W1028" t="s">
        <v>43511</v>
      </c>
      <c r="X1028" t="s">
        <v>47428</v>
      </c>
    </row>
    <row r="1029" spans="1:24">
      <c r="A1029">
        <f>HYPERLINK("https://www.philgeps.gov.ph/GEPSNONPILOT/Tender/SplashBidNoticeAbstractUI.aspx?menuIndex=3&amp;refID=7164304&amp;Result=3","7164304")</f>
        <v>0</v>
      </c>
      <c r="B1029" t="s">
        <v>503</v>
      </c>
      <c r="C1029" t="s">
        <v>4917</v>
      </c>
      <c r="D1029" t="s">
        <v>19078</v>
      </c>
      <c r="E1029" t="s">
        <v>19311</v>
      </c>
      <c r="F1029" t="s">
        <v>32831</v>
      </c>
      <c r="G1029" t="s">
        <v>32839</v>
      </c>
      <c r="H1029" t="s">
        <v>32848</v>
      </c>
      <c r="I1029" t="s">
        <v>32883</v>
      </c>
      <c r="J1029" t="s">
        <v>32976</v>
      </c>
      <c r="K1029" t="s">
        <v>42726</v>
      </c>
      <c r="M1029" t="s">
        <v>43508</v>
      </c>
      <c r="N1029" t="s">
        <v>47424</v>
      </c>
      <c r="O1029" t="s">
        <v>47425</v>
      </c>
      <c r="P1029">
        <v>0</v>
      </c>
      <c r="Q1029">
        <v>1</v>
      </c>
      <c r="R1029" t="s">
        <v>47427</v>
      </c>
      <c r="S1029" t="s">
        <v>47540</v>
      </c>
      <c r="T1029" t="s">
        <v>49226</v>
      </c>
      <c r="U1029" t="s">
        <v>50585</v>
      </c>
      <c r="W1029" t="s">
        <v>43508</v>
      </c>
      <c r="X1029" t="s">
        <v>47428</v>
      </c>
    </row>
    <row r="1030" spans="1:24">
      <c r="A1030">
        <f>HYPERLINK("https://www.philgeps.gov.ph/GEPSNONPILOT/Tender/SplashBidNoticeAbstractUI.aspx?menuIndex=3&amp;refID=7164295&amp;Result=3","7164295")</f>
        <v>0</v>
      </c>
      <c r="B1030" t="s">
        <v>506</v>
      </c>
      <c r="C1030" t="s">
        <v>4918</v>
      </c>
      <c r="D1030" t="s">
        <v>19095</v>
      </c>
      <c r="E1030" t="s">
        <v>20049</v>
      </c>
      <c r="F1030" t="s">
        <v>32831</v>
      </c>
      <c r="G1030" t="s">
        <v>32838</v>
      </c>
      <c r="H1030" t="s">
        <v>32848</v>
      </c>
      <c r="I1030" t="s">
        <v>4303</v>
      </c>
      <c r="J1030" t="s">
        <v>33735</v>
      </c>
      <c r="K1030" t="s">
        <v>42730</v>
      </c>
      <c r="M1030" t="s">
        <v>43511</v>
      </c>
      <c r="N1030" t="s">
        <v>47424</v>
      </c>
      <c r="O1030" t="s">
        <v>47425</v>
      </c>
      <c r="P1030">
        <v>0</v>
      </c>
      <c r="Q1030">
        <v>0</v>
      </c>
      <c r="R1030" t="s">
        <v>47427</v>
      </c>
      <c r="S1030" t="s">
        <v>47540</v>
      </c>
      <c r="T1030" t="s">
        <v>49162</v>
      </c>
      <c r="U1030" t="s">
        <v>50582</v>
      </c>
      <c r="V1030" t="s">
        <v>62739</v>
      </c>
      <c r="W1030" t="s">
        <v>43511</v>
      </c>
      <c r="X1030" t="s">
        <v>47428</v>
      </c>
    </row>
    <row r="1031" spans="1:24">
      <c r="A1031">
        <f>HYPERLINK("https://www.philgeps.gov.ph/GEPSNONPILOT/Tender/SplashBidNoticeAbstractUI.aspx?menuIndex=3&amp;refID=7164303&amp;Result=3","7164303")</f>
        <v>0</v>
      </c>
      <c r="B1031" t="s">
        <v>507</v>
      </c>
      <c r="C1031" t="s">
        <v>4726</v>
      </c>
      <c r="D1031" t="s">
        <v>19074</v>
      </c>
      <c r="E1031" t="s">
        <v>19880</v>
      </c>
      <c r="F1031" t="s">
        <v>32831</v>
      </c>
      <c r="G1031" t="s">
        <v>32840</v>
      </c>
      <c r="H1031" t="s">
        <v>32848</v>
      </c>
      <c r="I1031" t="s">
        <v>4438</v>
      </c>
      <c r="J1031" t="s">
        <v>33736</v>
      </c>
      <c r="K1031" t="s">
        <v>42759</v>
      </c>
      <c r="M1031" t="s">
        <v>43512</v>
      </c>
      <c r="N1031" t="s">
        <v>47424</v>
      </c>
      <c r="O1031" t="s">
        <v>47425</v>
      </c>
      <c r="P1031">
        <v>0</v>
      </c>
      <c r="Q1031">
        <v>1</v>
      </c>
      <c r="R1031" t="s">
        <v>47427</v>
      </c>
      <c r="S1031" t="s">
        <v>47540</v>
      </c>
      <c r="T1031" t="s">
        <v>49227</v>
      </c>
      <c r="U1031" t="s">
        <v>50586</v>
      </c>
      <c r="V1031" t="s">
        <v>62707</v>
      </c>
      <c r="W1031" t="s">
        <v>43512</v>
      </c>
      <c r="X1031" t="s">
        <v>47428</v>
      </c>
    </row>
    <row r="1032" spans="1:24">
      <c r="A1032">
        <f>HYPERLINK("https://www.philgeps.gov.ph/GEPSNONPILOT/Tender/SplashBidNoticeAbstractUI.aspx?menuIndex=3&amp;refID=7164293&amp;Result=3","7164293")</f>
        <v>0</v>
      </c>
      <c r="B1032" t="s">
        <v>508</v>
      </c>
      <c r="C1032" t="s">
        <v>4919</v>
      </c>
      <c r="D1032" t="s">
        <v>19068</v>
      </c>
      <c r="E1032" t="s">
        <v>20050</v>
      </c>
      <c r="F1032" t="s">
        <v>32831</v>
      </c>
      <c r="G1032" t="s">
        <v>32839</v>
      </c>
      <c r="H1032" t="s">
        <v>32848</v>
      </c>
      <c r="I1032" t="s">
        <v>6526</v>
      </c>
      <c r="J1032" t="s">
        <v>33223</v>
      </c>
      <c r="K1032" t="s">
        <v>42731</v>
      </c>
      <c r="M1032" t="s">
        <v>43513</v>
      </c>
      <c r="N1032" t="s">
        <v>47424</v>
      </c>
      <c r="O1032" t="s">
        <v>47425</v>
      </c>
      <c r="P1032">
        <v>0</v>
      </c>
      <c r="Q1032">
        <v>0</v>
      </c>
      <c r="R1032" t="s">
        <v>47427</v>
      </c>
      <c r="S1032" t="s">
        <v>47540</v>
      </c>
      <c r="T1032" t="s">
        <v>49215</v>
      </c>
      <c r="U1032" t="s">
        <v>50587</v>
      </c>
      <c r="W1032" t="s">
        <v>43513</v>
      </c>
      <c r="X1032" t="s">
        <v>47428</v>
      </c>
    </row>
    <row r="1033" spans="1:24">
      <c r="A1033">
        <f>HYPERLINK("https://www.philgeps.gov.ph/GEPSNONPILOT/Tender/SplashBidNoticeAbstractUI.aspx?menuIndex=3&amp;refID=7164292&amp;Result=3","7164292")</f>
        <v>0</v>
      </c>
      <c r="B1033" t="s">
        <v>508</v>
      </c>
      <c r="C1033" t="s">
        <v>4920</v>
      </c>
      <c r="D1033" t="s">
        <v>19068</v>
      </c>
      <c r="E1033" t="s">
        <v>20051</v>
      </c>
      <c r="F1033" t="s">
        <v>32831</v>
      </c>
      <c r="G1033" t="s">
        <v>32839</v>
      </c>
      <c r="H1033" t="s">
        <v>32849</v>
      </c>
      <c r="I1033" t="s">
        <v>4177</v>
      </c>
      <c r="J1033" t="s">
        <v>33737</v>
      </c>
      <c r="K1033" t="s">
        <v>42785</v>
      </c>
      <c r="M1033" t="s">
        <v>43513</v>
      </c>
      <c r="N1033" t="s">
        <v>47424</v>
      </c>
      <c r="O1033" t="s">
        <v>47425</v>
      </c>
      <c r="P1033">
        <v>0</v>
      </c>
      <c r="Q1033">
        <v>0</v>
      </c>
      <c r="R1033" t="s">
        <v>47427</v>
      </c>
      <c r="S1033" t="s">
        <v>47540</v>
      </c>
      <c r="T1033" t="s">
        <v>49102</v>
      </c>
      <c r="U1033" t="s">
        <v>50588</v>
      </c>
      <c r="W1033" t="s">
        <v>43513</v>
      </c>
      <c r="X1033" t="s">
        <v>47428</v>
      </c>
    </row>
    <row r="1034" spans="1:24">
      <c r="A1034">
        <f>HYPERLINK("https://www.philgeps.gov.ph/GEPSNONPILOT/Tender/SplashBidNoticeAbstractUI.aspx?menuIndex=3&amp;refID=7164290&amp;Result=3","7164290")</f>
        <v>0</v>
      </c>
      <c r="B1034" t="s">
        <v>509</v>
      </c>
      <c r="C1034" t="s">
        <v>4921</v>
      </c>
      <c r="D1034" t="s">
        <v>19040</v>
      </c>
      <c r="E1034" t="s">
        <v>19606</v>
      </c>
      <c r="F1034" t="s">
        <v>32831</v>
      </c>
      <c r="G1034" t="s">
        <v>32840</v>
      </c>
      <c r="H1034" t="s">
        <v>32848</v>
      </c>
      <c r="I1034" t="s">
        <v>9577</v>
      </c>
      <c r="J1034" t="s">
        <v>33738</v>
      </c>
      <c r="K1034" t="s">
        <v>42758</v>
      </c>
      <c r="M1034" t="s">
        <v>43514</v>
      </c>
      <c r="N1034" t="s">
        <v>47424</v>
      </c>
      <c r="O1034" t="s">
        <v>47425</v>
      </c>
      <c r="P1034">
        <v>0</v>
      </c>
      <c r="Q1034">
        <v>3</v>
      </c>
      <c r="R1034" t="s">
        <v>47427</v>
      </c>
      <c r="S1034" t="s">
        <v>47540</v>
      </c>
      <c r="T1034" t="s">
        <v>49124</v>
      </c>
      <c r="U1034" t="s">
        <v>50589</v>
      </c>
      <c r="W1034" t="s">
        <v>43514</v>
      </c>
      <c r="X1034" t="s">
        <v>47428</v>
      </c>
    </row>
    <row r="1035" spans="1:24">
      <c r="A1035">
        <f>HYPERLINK("https://www.philgeps.gov.ph/GEPSNONPILOT/Tender/SplashBidNoticeAbstractUI.aspx?menuIndex=3&amp;refID=7164289&amp;Result=3","7164289")</f>
        <v>0</v>
      </c>
      <c r="B1035" t="s">
        <v>510</v>
      </c>
      <c r="C1035" t="s">
        <v>4922</v>
      </c>
      <c r="D1035" t="s">
        <v>19093</v>
      </c>
      <c r="E1035" t="s">
        <v>20052</v>
      </c>
      <c r="F1035" t="s">
        <v>32831</v>
      </c>
      <c r="G1035" t="s">
        <v>32841</v>
      </c>
      <c r="H1035" t="s">
        <v>32849</v>
      </c>
      <c r="I1035" t="s">
        <v>4177</v>
      </c>
      <c r="J1035" t="s">
        <v>33739</v>
      </c>
      <c r="K1035" t="s">
        <v>42757</v>
      </c>
      <c r="M1035" t="s">
        <v>43515</v>
      </c>
      <c r="N1035" t="s">
        <v>47424</v>
      </c>
      <c r="O1035" t="s">
        <v>47425</v>
      </c>
      <c r="P1035">
        <v>0</v>
      </c>
      <c r="Q1035">
        <v>0</v>
      </c>
      <c r="R1035" t="s">
        <v>47427</v>
      </c>
      <c r="S1035" t="s">
        <v>47540</v>
      </c>
      <c r="T1035" t="s">
        <v>49214</v>
      </c>
      <c r="U1035" t="s">
        <v>50590</v>
      </c>
      <c r="W1035" t="s">
        <v>43515</v>
      </c>
      <c r="X1035" t="s">
        <v>47428</v>
      </c>
    </row>
    <row r="1036" spans="1:24">
      <c r="A1036">
        <f>HYPERLINK("https://www.philgeps.gov.ph/GEPSNONPILOT/Tender/SplashBidNoticeAbstractUI.aspx?menuIndex=3&amp;refID=7164299&amp;Result=3","7164299")</f>
        <v>0</v>
      </c>
      <c r="B1036" t="s">
        <v>506</v>
      </c>
      <c r="C1036" t="s">
        <v>4923</v>
      </c>
      <c r="D1036" t="s">
        <v>19095</v>
      </c>
      <c r="E1036" t="s">
        <v>20053</v>
      </c>
      <c r="F1036" t="s">
        <v>32831</v>
      </c>
      <c r="G1036" t="s">
        <v>32838</v>
      </c>
      <c r="H1036" t="s">
        <v>32848</v>
      </c>
      <c r="I1036" t="s">
        <v>6526</v>
      </c>
      <c r="J1036" t="s">
        <v>33740</v>
      </c>
      <c r="K1036" t="s">
        <v>42730</v>
      </c>
      <c r="M1036" t="s">
        <v>43511</v>
      </c>
      <c r="N1036" t="s">
        <v>47424</v>
      </c>
      <c r="O1036" t="s">
        <v>47425</v>
      </c>
      <c r="P1036">
        <v>0</v>
      </c>
      <c r="Q1036">
        <v>0</v>
      </c>
      <c r="R1036" t="s">
        <v>47427</v>
      </c>
      <c r="S1036" t="s">
        <v>47540</v>
      </c>
      <c r="T1036" t="s">
        <v>49162</v>
      </c>
      <c r="U1036" t="s">
        <v>50582</v>
      </c>
      <c r="V1036" t="s">
        <v>62739</v>
      </c>
      <c r="W1036" t="s">
        <v>43511</v>
      </c>
      <c r="X1036" t="s">
        <v>47428</v>
      </c>
    </row>
    <row r="1037" spans="1:24">
      <c r="A1037">
        <f>HYPERLINK("https://www.philgeps.gov.ph/GEPSNONPILOT/Tender/SplashBidNoticeAbstractUI.aspx?menuIndex=3&amp;refID=7164288&amp;Result=3","7164288")</f>
        <v>0</v>
      </c>
      <c r="B1037" t="s">
        <v>492</v>
      </c>
      <c r="C1037" t="s">
        <v>4924</v>
      </c>
      <c r="D1037" t="s">
        <v>19077</v>
      </c>
      <c r="E1037" t="s">
        <v>20054</v>
      </c>
      <c r="F1037" t="s">
        <v>32831</v>
      </c>
      <c r="G1037" t="s">
        <v>32839</v>
      </c>
      <c r="H1037" t="s">
        <v>32849</v>
      </c>
      <c r="I1037" t="s">
        <v>4177</v>
      </c>
      <c r="J1037" t="s">
        <v>32980</v>
      </c>
      <c r="K1037" t="s">
        <v>42729</v>
      </c>
      <c r="M1037" t="s">
        <v>43497</v>
      </c>
      <c r="N1037" t="s">
        <v>47424</v>
      </c>
      <c r="O1037" t="s">
        <v>47425</v>
      </c>
      <c r="P1037">
        <v>0</v>
      </c>
      <c r="Q1037">
        <v>0</v>
      </c>
      <c r="R1037" t="s">
        <v>47427</v>
      </c>
      <c r="S1037" t="s">
        <v>47540</v>
      </c>
      <c r="T1037" t="s">
        <v>49217</v>
      </c>
      <c r="U1037" t="s">
        <v>50591</v>
      </c>
      <c r="V1037" t="s">
        <v>62737</v>
      </c>
      <c r="W1037" t="s">
        <v>43497</v>
      </c>
      <c r="X1037" t="s">
        <v>47428</v>
      </c>
    </row>
    <row r="1038" spans="1:24">
      <c r="A1038">
        <f>HYPERLINK("https://www.philgeps.gov.ph/GEPSNONPILOT/Tender/SplashBidNoticeAbstractUI.aspx?menuIndex=3&amp;refID=7162358&amp;Result=3","7162358")</f>
        <v>0</v>
      </c>
      <c r="B1038" t="s">
        <v>511</v>
      </c>
      <c r="C1038" t="s">
        <v>4925</v>
      </c>
      <c r="D1038" t="s">
        <v>19059</v>
      </c>
      <c r="E1038" t="s">
        <v>19790</v>
      </c>
      <c r="F1038" t="s">
        <v>32831</v>
      </c>
      <c r="G1038" t="s">
        <v>32839</v>
      </c>
      <c r="H1038" t="s">
        <v>32848</v>
      </c>
      <c r="I1038" t="s">
        <v>32915</v>
      </c>
      <c r="J1038" t="s">
        <v>32980</v>
      </c>
      <c r="K1038" t="s">
        <v>42727</v>
      </c>
      <c r="M1038" t="s">
        <v>43516</v>
      </c>
      <c r="N1038" t="s">
        <v>47424</v>
      </c>
      <c r="O1038" t="s">
        <v>47425</v>
      </c>
      <c r="P1038">
        <v>0</v>
      </c>
      <c r="Q1038">
        <v>2</v>
      </c>
      <c r="R1038" t="s">
        <v>47427</v>
      </c>
      <c r="S1038" t="s">
        <v>47540</v>
      </c>
      <c r="T1038" t="s">
        <v>49228</v>
      </c>
      <c r="U1038" t="s">
        <v>50592</v>
      </c>
      <c r="W1038" t="s">
        <v>43516</v>
      </c>
      <c r="X1038" t="s">
        <v>47430</v>
      </c>
    </row>
    <row r="1039" spans="1:24">
      <c r="A1039">
        <f>HYPERLINK("https://www.philgeps.gov.ph/GEPSNONPILOT/Tender/SplashBidNoticeAbstractUI.aspx?menuIndex=3&amp;refID=7164297&amp;Result=3","7164297")</f>
        <v>0</v>
      </c>
      <c r="B1039" t="s">
        <v>506</v>
      </c>
      <c r="C1039" t="s">
        <v>4926</v>
      </c>
      <c r="D1039" t="s">
        <v>19095</v>
      </c>
      <c r="E1039" t="s">
        <v>20055</v>
      </c>
      <c r="F1039" t="s">
        <v>32831</v>
      </c>
      <c r="G1039" t="s">
        <v>32838</v>
      </c>
      <c r="H1039" t="s">
        <v>32848</v>
      </c>
      <c r="I1039" t="s">
        <v>6526</v>
      </c>
      <c r="J1039" t="s">
        <v>33031</v>
      </c>
      <c r="K1039" t="s">
        <v>42730</v>
      </c>
      <c r="M1039" t="s">
        <v>43511</v>
      </c>
      <c r="N1039" t="s">
        <v>47424</v>
      </c>
      <c r="O1039" t="s">
        <v>47425</v>
      </c>
      <c r="P1039">
        <v>0</v>
      </c>
      <c r="Q1039">
        <v>1</v>
      </c>
      <c r="R1039" t="s">
        <v>47427</v>
      </c>
      <c r="S1039" t="s">
        <v>47540</v>
      </c>
      <c r="T1039" t="s">
        <v>49162</v>
      </c>
      <c r="U1039" t="s">
        <v>50582</v>
      </c>
      <c r="V1039" t="s">
        <v>62739</v>
      </c>
      <c r="W1039" t="s">
        <v>43511</v>
      </c>
      <c r="X1039" t="s">
        <v>47428</v>
      </c>
    </row>
    <row r="1040" spans="1:24">
      <c r="A1040">
        <f>HYPERLINK("https://www.philgeps.gov.ph/GEPSNONPILOT/Tender/SplashBidNoticeAbstractUI.aspx?menuIndex=3&amp;refID=7162204&amp;Result=3","7162204")</f>
        <v>0</v>
      </c>
      <c r="B1040" t="s">
        <v>481</v>
      </c>
      <c r="C1040" t="s">
        <v>4927</v>
      </c>
      <c r="D1040" t="s">
        <v>19065</v>
      </c>
      <c r="E1040" t="s">
        <v>20056</v>
      </c>
      <c r="F1040" t="s">
        <v>32831</v>
      </c>
      <c r="G1040" t="s">
        <v>32839</v>
      </c>
      <c r="H1040" t="s">
        <v>32848</v>
      </c>
      <c r="I1040" t="s">
        <v>32858</v>
      </c>
      <c r="J1040" t="s">
        <v>33741</v>
      </c>
      <c r="K1040" t="s">
        <v>42730</v>
      </c>
      <c r="L1040" t="s">
        <v>481</v>
      </c>
      <c r="M1040" t="s">
        <v>43486</v>
      </c>
      <c r="N1040" t="s">
        <v>47424</v>
      </c>
      <c r="O1040" t="s">
        <v>47425</v>
      </c>
      <c r="P1040">
        <v>0</v>
      </c>
      <c r="Q1040">
        <v>4</v>
      </c>
      <c r="R1040" t="s">
        <v>47427</v>
      </c>
      <c r="S1040" t="s">
        <v>47540</v>
      </c>
      <c r="T1040" t="s">
        <v>49065</v>
      </c>
      <c r="U1040" t="s">
        <v>50529</v>
      </c>
      <c r="V1040" t="s">
        <v>62740</v>
      </c>
      <c r="W1040" t="s">
        <v>43486</v>
      </c>
      <c r="X1040" t="s">
        <v>47430</v>
      </c>
    </row>
    <row r="1041" spans="1:24">
      <c r="A1041">
        <f>HYPERLINK("https://www.philgeps.gov.ph/GEPSNONPILOT/Tender/SplashBidNoticeAbstractUI.aspx?menuIndex=3&amp;refID=7164322&amp;Result=3","7164322")</f>
        <v>0</v>
      </c>
      <c r="B1041" t="s">
        <v>512</v>
      </c>
      <c r="C1041" t="s">
        <v>4928</v>
      </c>
      <c r="D1041" t="s">
        <v>19018</v>
      </c>
      <c r="E1041" t="s">
        <v>20057</v>
      </c>
      <c r="F1041" t="s">
        <v>32831</v>
      </c>
      <c r="G1041" t="s">
        <v>32838</v>
      </c>
      <c r="H1041" t="s">
        <v>32848</v>
      </c>
      <c r="I1041" t="s">
        <v>7416</v>
      </c>
      <c r="J1041" t="s">
        <v>33041</v>
      </c>
      <c r="K1041" t="s">
        <v>42727</v>
      </c>
      <c r="M1041" t="s">
        <v>43517</v>
      </c>
      <c r="N1041" t="s">
        <v>47424</v>
      </c>
      <c r="O1041" t="s">
        <v>47425</v>
      </c>
      <c r="P1041">
        <v>0</v>
      </c>
      <c r="Q1041">
        <v>0</v>
      </c>
      <c r="R1041" t="s">
        <v>47427</v>
      </c>
      <c r="S1041" t="s">
        <v>47540</v>
      </c>
      <c r="T1041" t="s">
        <v>49166</v>
      </c>
      <c r="U1041" t="s">
        <v>50593</v>
      </c>
      <c r="W1041" t="s">
        <v>43517</v>
      </c>
      <c r="X1041" t="s">
        <v>47428</v>
      </c>
    </row>
    <row r="1042" spans="1:24">
      <c r="A1042">
        <f>HYPERLINK("https://www.philgeps.gov.ph/GEPSNONPILOT/Tender/SplashBidNoticeAbstractUI.aspx?menuIndex=3&amp;refID=7164294&amp;Result=3","7164294")</f>
        <v>0</v>
      </c>
      <c r="B1042" t="s">
        <v>506</v>
      </c>
      <c r="C1042" t="s">
        <v>4929</v>
      </c>
      <c r="D1042" t="s">
        <v>19095</v>
      </c>
      <c r="E1042" t="s">
        <v>20058</v>
      </c>
      <c r="F1042" t="s">
        <v>32831</v>
      </c>
      <c r="G1042" t="s">
        <v>32838</v>
      </c>
      <c r="H1042" t="s">
        <v>32848</v>
      </c>
      <c r="I1042" t="s">
        <v>32862</v>
      </c>
      <c r="J1042" t="s">
        <v>33178</v>
      </c>
      <c r="K1042" t="s">
        <v>42730</v>
      </c>
      <c r="M1042" t="s">
        <v>43511</v>
      </c>
      <c r="N1042" t="s">
        <v>47424</v>
      </c>
      <c r="O1042" t="s">
        <v>47425</v>
      </c>
      <c r="P1042">
        <v>0</v>
      </c>
      <c r="Q1042">
        <v>0</v>
      </c>
      <c r="R1042" t="s">
        <v>47427</v>
      </c>
      <c r="S1042" t="s">
        <v>47540</v>
      </c>
      <c r="T1042" t="s">
        <v>49162</v>
      </c>
      <c r="U1042" t="s">
        <v>50582</v>
      </c>
      <c r="V1042" t="s">
        <v>62739</v>
      </c>
      <c r="W1042" t="s">
        <v>43511</v>
      </c>
      <c r="X1042" t="s">
        <v>47428</v>
      </c>
    </row>
    <row r="1043" spans="1:24">
      <c r="A1043">
        <f>HYPERLINK("https://www.philgeps.gov.ph/GEPSNONPILOT/Tender/SplashBidNoticeAbstractUI.aspx?menuIndex=3&amp;refID=7164364&amp;Result=3","7164364")</f>
        <v>0</v>
      </c>
      <c r="B1043" t="s">
        <v>513</v>
      </c>
      <c r="C1043" t="s">
        <v>4930</v>
      </c>
      <c r="D1043" t="s">
        <v>19018</v>
      </c>
      <c r="E1043" t="s">
        <v>20059</v>
      </c>
      <c r="F1043" t="s">
        <v>32831</v>
      </c>
      <c r="G1043" t="s">
        <v>32842</v>
      </c>
      <c r="H1043" t="s">
        <v>32848</v>
      </c>
      <c r="I1043" t="s">
        <v>9577</v>
      </c>
      <c r="J1043" t="s">
        <v>33742</v>
      </c>
      <c r="K1043" t="s">
        <v>42726</v>
      </c>
      <c r="M1043" t="s">
        <v>43518</v>
      </c>
      <c r="N1043" t="s">
        <v>47424</v>
      </c>
      <c r="O1043" t="s">
        <v>47425</v>
      </c>
      <c r="P1043">
        <v>0</v>
      </c>
      <c r="Q1043">
        <v>2</v>
      </c>
      <c r="R1043" t="s">
        <v>47427</v>
      </c>
      <c r="S1043" t="s">
        <v>47540</v>
      </c>
      <c r="T1043" t="s">
        <v>49214</v>
      </c>
      <c r="U1043" t="s">
        <v>50594</v>
      </c>
      <c r="W1043" t="s">
        <v>64441</v>
      </c>
      <c r="X1043" t="s">
        <v>47428</v>
      </c>
    </row>
    <row r="1044" spans="1:24">
      <c r="A1044">
        <f>HYPERLINK("https://www.philgeps.gov.ph/GEPSNONPILOT/Tender/SplashBidNoticeAbstractUI.aspx?menuIndex=3&amp;refID=7164301&amp;Result=3","7164301")</f>
        <v>0</v>
      </c>
      <c r="B1044" t="s">
        <v>506</v>
      </c>
      <c r="C1044" t="s">
        <v>4931</v>
      </c>
      <c r="D1044" t="s">
        <v>19095</v>
      </c>
      <c r="E1044" t="s">
        <v>19408</v>
      </c>
      <c r="F1044" t="s">
        <v>32831</v>
      </c>
      <c r="G1044" t="s">
        <v>32838</v>
      </c>
      <c r="H1044" t="s">
        <v>32848</v>
      </c>
      <c r="I1044" t="s">
        <v>4303</v>
      </c>
      <c r="J1044" t="s">
        <v>33743</v>
      </c>
      <c r="K1044" t="s">
        <v>42730</v>
      </c>
      <c r="M1044" t="s">
        <v>43511</v>
      </c>
      <c r="N1044" t="s">
        <v>47424</v>
      </c>
      <c r="O1044" t="s">
        <v>47425</v>
      </c>
      <c r="P1044">
        <v>0</v>
      </c>
      <c r="Q1044">
        <v>0</v>
      </c>
      <c r="R1044" t="s">
        <v>47427</v>
      </c>
      <c r="S1044" t="s">
        <v>47540</v>
      </c>
      <c r="T1044" t="s">
        <v>49162</v>
      </c>
      <c r="U1044" t="s">
        <v>50582</v>
      </c>
      <c r="V1044" t="s">
        <v>62739</v>
      </c>
      <c r="W1044" t="s">
        <v>43511</v>
      </c>
      <c r="X1044" t="s">
        <v>47428</v>
      </c>
    </row>
    <row r="1045" spans="1:24">
      <c r="A1045">
        <f>HYPERLINK("https://www.philgeps.gov.ph/GEPSNONPILOT/Tender/SplashBidNoticeAbstractUI.aspx?menuIndex=3&amp;refID=7164358&amp;Result=3","7164358")</f>
        <v>0</v>
      </c>
      <c r="B1045" t="s">
        <v>514</v>
      </c>
      <c r="C1045" t="s">
        <v>4438</v>
      </c>
      <c r="D1045" t="s">
        <v>19017</v>
      </c>
      <c r="E1045" t="s">
        <v>20060</v>
      </c>
      <c r="F1045" t="s">
        <v>32831</v>
      </c>
      <c r="G1045" t="s">
        <v>32842</v>
      </c>
      <c r="H1045" t="s">
        <v>32848</v>
      </c>
      <c r="I1045" t="s">
        <v>4438</v>
      </c>
      <c r="J1045" t="s">
        <v>33744</v>
      </c>
      <c r="K1045" t="s">
        <v>42758</v>
      </c>
      <c r="M1045" t="s">
        <v>43519</v>
      </c>
      <c r="N1045" t="s">
        <v>47424</v>
      </c>
      <c r="O1045" t="s">
        <v>47425</v>
      </c>
      <c r="P1045">
        <v>0</v>
      </c>
      <c r="Q1045">
        <v>3</v>
      </c>
      <c r="R1045" t="s">
        <v>47427</v>
      </c>
      <c r="S1045" t="s">
        <v>47540</v>
      </c>
      <c r="T1045" t="s">
        <v>49107</v>
      </c>
      <c r="U1045" t="s">
        <v>50595</v>
      </c>
      <c r="V1045" t="s">
        <v>62741</v>
      </c>
      <c r="W1045" t="s">
        <v>43519</v>
      </c>
      <c r="X1045" t="s">
        <v>47428</v>
      </c>
    </row>
    <row r="1046" spans="1:24">
      <c r="A1046">
        <f>HYPERLINK("https://www.philgeps.gov.ph/GEPSNONPILOT/Tender/SplashBidNoticeAbstractUI.aspx?menuIndex=3&amp;refID=7163115&amp;Result=3","7163115")</f>
        <v>0</v>
      </c>
      <c r="B1046" t="s">
        <v>515</v>
      </c>
      <c r="C1046" t="s">
        <v>4932</v>
      </c>
      <c r="D1046" t="s">
        <v>19074</v>
      </c>
      <c r="E1046" t="s">
        <v>19311</v>
      </c>
      <c r="F1046" t="s">
        <v>32831</v>
      </c>
      <c r="G1046" t="s">
        <v>32840</v>
      </c>
      <c r="H1046" t="s">
        <v>32848</v>
      </c>
      <c r="I1046" t="s">
        <v>32858</v>
      </c>
      <c r="J1046" t="s">
        <v>33745</v>
      </c>
      <c r="K1046" t="s">
        <v>42732</v>
      </c>
      <c r="M1046" t="s">
        <v>43520</v>
      </c>
      <c r="N1046" t="s">
        <v>47424</v>
      </c>
      <c r="O1046" t="s">
        <v>47425</v>
      </c>
      <c r="P1046">
        <v>0</v>
      </c>
      <c r="Q1046">
        <v>2</v>
      </c>
      <c r="R1046" t="s">
        <v>47427</v>
      </c>
      <c r="S1046" t="s">
        <v>47540</v>
      </c>
      <c r="T1046" t="s">
        <v>49229</v>
      </c>
      <c r="U1046" t="s">
        <v>50596</v>
      </c>
      <c r="W1046" t="s">
        <v>43520</v>
      </c>
      <c r="X1046" t="s">
        <v>47430</v>
      </c>
    </row>
    <row r="1047" spans="1:24">
      <c r="A1047">
        <f>HYPERLINK("https://www.philgeps.gov.ph/GEPSNONPILOT/Tender/SplashBidNoticeAbstractUI.aspx?menuIndex=3&amp;refID=7164357&amp;Result=3","7164357")</f>
        <v>0</v>
      </c>
      <c r="B1047" t="s">
        <v>217</v>
      </c>
      <c r="C1047" t="s">
        <v>4933</v>
      </c>
      <c r="D1047" t="s">
        <v>19037</v>
      </c>
      <c r="E1047" t="s">
        <v>20061</v>
      </c>
      <c r="F1047" t="s">
        <v>32831</v>
      </c>
      <c r="G1047" t="s">
        <v>32839</v>
      </c>
      <c r="H1047" t="s">
        <v>32848</v>
      </c>
      <c r="I1047" t="s">
        <v>7416</v>
      </c>
      <c r="J1047" t="s">
        <v>33746</v>
      </c>
      <c r="K1047" t="s">
        <v>42730</v>
      </c>
      <c r="M1047" t="s">
        <v>43392</v>
      </c>
      <c r="N1047" t="s">
        <v>47424</v>
      </c>
      <c r="O1047" t="s">
        <v>47425</v>
      </c>
      <c r="P1047">
        <v>0</v>
      </c>
      <c r="Q1047">
        <v>0</v>
      </c>
      <c r="R1047" t="s">
        <v>47427</v>
      </c>
      <c r="S1047" t="s">
        <v>47540</v>
      </c>
      <c r="T1047" t="s">
        <v>49057</v>
      </c>
      <c r="U1047" t="s">
        <v>50597</v>
      </c>
      <c r="W1047" t="s">
        <v>43392</v>
      </c>
      <c r="X1047" t="s">
        <v>47428</v>
      </c>
    </row>
    <row r="1048" spans="1:24">
      <c r="A1048">
        <f>HYPERLINK("https://www.philgeps.gov.ph/GEPSNONPILOT/Tender/SplashBidNoticeAbstractUI.aspx?menuIndex=3&amp;refID=7164356&amp;Result=3","7164356")</f>
        <v>0</v>
      </c>
      <c r="B1048" t="s">
        <v>512</v>
      </c>
      <c r="C1048" t="s">
        <v>4934</v>
      </c>
      <c r="D1048" t="s">
        <v>19018</v>
      </c>
      <c r="E1048" t="s">
        <v>20062</v>
      </c>
      <c r="F1048" t="s">
        <v>32831</v>
      </c>
      <c r="G1048" t="s">
        <v>32838</v>
      </c>
      <c r="H1048" t="s">
        <v>32848</v>
      </c>
      <c r="I1048" t="s">
        <v>7416</v>
      </c>
      <c r="J1048" t="s">
        <v>32976</v>
      </c>
      <c r="K1048" t="s">
        <v>42727</v>
      </c>
      <c r="M1048" t="s">
        <v>43517</v>
      </c>
      <c r="N1048" t="s">
        <v>47424</v>
      </c>
      <c r="O1048" t="s">
        <v>47425</v>
      </c>
      <c r="P1048">
        <v>0</v>
      </c>
      <c r="Q1048">
        <v>0</v>
      </c>
      <c r="R1048" t="s">
        <v>47427</v>
      </c>
      <c r="S1048" t="s">
        <v>47540</v>
      </c>
      <c r="T1048" t="s">
        <v>49166</v>
      </c>
      <c r="U1048" t="s">
        <v>50593</v>
      </c>
      <c r="W1048" t="s">
        <v>43517</v>
      </c>
      <c r="X1048" t="s">
        <v>47428</v>
      </c>
    </row>
    <row r="1049" spans="1:24">
      <c r="A1049">
        <f>HYPERLINK("https://www.philgeps.gov.ph/GEPSNONPILOT/Tender/SplashBidNoticeAbstractUI.aspx?menuIndex=3&amp;refID=7164604&amp;Result=3","7164604")</f>
        <v>0</v>
      </c>
      <c r="B1049" t="s">
        <v>468</v>
      </c>
      <c r="C1049" t="s">
        <v>4935</v>
      </c>
      <c r="D1049" t="s">
        <v>19031</v>
      </c>
      <c r="E1049" t="s">
        <v>20063</v>
      </c>
      <c r="F1049" t="s">
        <v>32831</v>
      </c>
      <c r="G1049" t="s">
        <v>32841</v>
      </c>
      <c r="H1049" t="s">
        <v>32848</v>
      </c>
      <c r="I1049" t="s">
        <v>32883</v>
      </c>
      <c r="J1049" t="s">
        <v>32983</v>
      </c>
      <c r="K1049" t="s">
        <v>42730</v>
      </c>
      <c r="M1049" t="s">
        <v>43473</v>
      </c>
      <c r="N1049" t="s">
        <v>47424</v>
      </c>
      <c r="O1049" t="s">
        <v>47425</v>
      </c>
      <c r="P1049">
        <v>0</v>
      </c>
      <c r="Q1049">
        <v>1</v>
      </c>
      <c r="R1049" t="s">
        <v>47426</v>
      </c>
      <c r="S1049" t="s">
        <v>47531</v>
      </c>
      <c r="T1049" t="s">
        <v>49148</v>
      </c>
      <c r="U1049" t="s">
        <v>50598</v>
      </c>
      <c r="W1049" t="s">
        <v>64440</v>
      </c>
      <c r="X1049" t="s">
        <v>47428</v>
      </c>
    </row>
    <row r="1050" spans="1:24">
      <c r="A1050">
        <f>HYPERLINK("https://www.philgeps.gov.ph/GEPSNONPILOT/Tender/SplashBidNoticeAbstractUI.aspx?menuIndex=3&amp;refID=7164355&amp;Result=3","7164355")</f>
        <v>0</v>
      </c>
      <c r="B1050" t="s">
        <v>513</v>
      </c>
      <c r="C1050" t="s">
        <v>4936</v>
      </c>
      <c r="D1050" t="s">
        <v>19018</v>
      </c>
      <c r="E1050" t="s">
        <v>20064</v>
      </c>
      <c r="F1050" t="s">
        <v>32831</v>
      </c>
      <c r="G1050" t="s">
        <v>32838</v>
      </c>
      <c r="H1050" t="s">
        <v>32848</v>
      </c>
      <c r="I1050" t="s">
        <v>32875</v>
      </c>
      <c r="J1050" t="s">
        <v>32983</v>
      </c>
      <c r="K1050" t="s">
        <v>42726</v>
      </c>
      <c r="M1050" t="s">
        <v>43518</v>
      </c>
      <c r="N1050" t="s">
        <v>47424</v>
      </c>
      <c r="O1050" t="s">
        <v>47425</v>
      </c>
      <c r="P1050">
        <v>0</v>
      </c>
      <c r="Q1050">
        <v>0</v>
      </c>
      <c r="R1050" t="s">
        <v>47427</v>
      </c>
      <c r="S1050" t="s">
        <v>47540</v>
      </c>
      <c r="T1050" t="s">
        <v>49214</v>
      </c>
      <c r="U1050" t="s">
        <v>50599</v>
      </c>
      <c r="W1050" t="s">
        <v>64441</v>
      </c>
      <c r="X1050" t="s">
        <v>47428</v>
      </c>
    </row>
    <row r="1051" spans="1:24">
      <c r="A1051">
        <f>HYPERLINK("https://www.philgeps.gov.ph/GEPSNONPILOT/Tender/SplashBidNoticeAbstractUI.aspx?menuIndex=3&amp;refID=7164291&amp;Result=3","7164291")</f>
        <v>0</v>
      </c>
      <c r="B1051" t="s">
        <v>510</v>
      </c>
      <c r="C1051" t="s">
        <v>4937</v>
      </c>
      <c r="D1051" t="s">
        <v>19093</v>
      </c>
      <c r="E1051" t="s">
        <v>20065</v>
      </c>
      <c r="F1051" t="s">
        <v>32831</v>
      </c>
      <c r="G1051" t="s">
        <v>32838</v>
      </c>
      <c r="H1051" t="s">
        <v>32848</v>
      </c>
      <c r="I1051" t="s">
        <v>32864</v>
      </c>
      <c r="J1051" t="s">
        <v>33747</v>
      </c>
      <c r="K1051" t="s">
        <v>42748</v>
      </c>
      <c r="M1051" t="s">
        <v>43515</v>
      </c>
      <c r="N1051" t="s">
        <v>47424</v>
      </c>
      <c r="O1051" t="s">
        <v>47425</v>
      </c>
      <c r="P1051">
        <v>0</v>
      </c>
      <c r="Q1051">
        <v>0</v>
      </c>
      <c r="R1051" t="s">
        <v>47427</v>
      </c>
      <c r="S1051" t="s">
        <v>47540</v>
      </c>
      <c r="T1051" t="s">
        <v>49213</v>
      </c>
      <c r="U1051" t="s">
        <v>50600</v>
      </c>
      <c r="W1051" t="s">
        <v>43515</v>
      </c>
      <c r="X1051" t="s">
        <v>47428</v>
      </c>
    </row>
    <row r="1052" spans="1:24">
      <c r="A1052">
        <f>HYPERLINK("https://www.philgeps.gov.ph/GEPSNONPILOT/Tender/SplashBidNoticeAbstractUI.aspx?menuIndex=3&amp;refID=7164351&amp;Result=3","7164351")</f>
        <v>0</v>
      </c>
      <c r="B1052" t="s">
        <v>516</v>
      </c>
      <c r="C1052" t="s">
        <v>4938</v>
      </c>
      <c r="D1052" t="s">
        <v>19021</v>
      </c>
      <c r="E1052" t="s">
        <v>20066</v>
      </c>
      <c r="F1052" t="s">
        <v>32831</v>
      </c>
      <c r="G1052" t="s">
        <v>32839</v>
      </c>
      <c r="H1052" t="s">
        <v>32848</v>
      </c>
      <c r="I1052" t="s">
        <v>7416</v>
      </c>
      <c r="J1052" t="s">
        <v>33748</v>
      </c>
      <c r="K1052" t="s">
        <v>42726</v>
      </c>
      <c r="M1052" t="s">
        <v>43521</v>
      </c>
      <c r="N1052" t="s">
        <v>47424</v>
      </c>
      <c r="O1052" t="s">
        <v>47425</v>
      </c>
      <c r="P1052">
        <v>0</v>
      </c>
      <c r="Q1052">
        <v>1</v>
      </c>
      <c r="R1052" t="s">
        <v>47427</v>
      </c>
      <c r="S1052" t="s">
        <v>47540</v>
      </c>
      <c r="T1052" t="s">
        <v>49181</v>
      </c>
      <c r="U1052" t="s">
        <v>50601</v>
      </c>
      <c r="V1052" t="s">
        <v>62742</v>
      </c>
      <c r="W1052" t="s">
        <v>43521</v>
      </c>
      <c r="X1052" t="s">
        <v>47428</v>
      </c>
    </row>
    <row r="1053" spans="1:24">
      <c r="A1053">
        <f>HYPERLINK("https://www.philgeps.gov.ph/GEPSNONPILOT/Tender/SplashBidNoticeAbstractUI.aspx?menuIndex=3&amp;refID=7164349&amp;Result=3","7164349")</f>
        <v>0</v>
      </c>
      <c r="B1053" t="s">
        <v>513</v>
      </c>
      <c r="C1053" t="s">
        <v>4939</v>
      </c>
      <c r="D1053" t="s">
        <v>19018</v>
      </c>
      <c r="E1053" t="s">
        <v>20067</v>
      </c>
      <c r="F1053" t="s">
        <v>32831</v>
      </c>
      <c r="G1053" t="s">
        <v>32838</v>
      </c>
      <c r="H1053" t="s">
        <v>32848</v>
      </c>
      <c r="I1053" t="s">
        <v>5379</v>
      </c>
      <c r="J1053" t="s">
        <v>33749</v>
      </c>
      <c r="K1053" t="s">
        <v>42726</v>
      </c>
      <c r="M1053" t="s">
        <v>43518</v>
      </c>
      <c r="N1053" t="s">
        <v>47424</v>
      </c>
      <c r="O1053" t="s">
        <v>47425</v>
      </c>
      <c r="P1053">
        <v>0</v>
      </c>
      <c r="Q1053">
        <v>0</v>
      </c>
      <c r="R1053" t="s">
        <v>47427</v>
      </c>
      <c r="S1053" t="s">
        <v>47540</v>
      </c>
      <c r="T1053" t="s">
        <v>49214</v>
      </c>
      <c r="U1053" t="s">
        <v>50602</v>
      </c>
      <c r="W1053" t="s">
        <v>64441</v>
      </c>
      <c r="X1053" t="s">
        <v>47428</v>
      </c>
    </row>
    <row r="1054" spans="1:24">
      <c r="A1054">
        <f>HYPERLINK("https://www.philgeps.gov.ph/GEPSNONPILOT/Tender/SplashBidNoticeAbstractUI.aspx?menuIndex=3&amp;refID=7164360&amp;Result=3","7164360")</f>
        <v>0</v>
      </c>
      <c r="B1054" t="s">
        <v>513</v>
      </c>
      <c r="C1054" t="s">
        <v>4930</v>
      </c>
      <c r="D1054" t="s">
        <v>19018</v>
      </c>
      <c r="E1054" t="s">
        <v>20068</v>
      </c>
      <c r="F1054" t="s">
        <v>32831</v>
      </c>
      <c r="G1054" t="s">
        <v>32842</v>
      </c>
      <c r="H1054" t="s">
        <v>32848</v>
      </c>
      <c r="I1054" t="s">
        <v>9577</v>
      </c>
      <c r="J1054" t="s">
        <v>33750</v>
      </c>
      <c r="K1054" t="s">
        <v>42726</v>
      </c>
      <c r="M1054" t="s">
        <v>43518</v>
      </c>
      <c r="N1054" t="s">
        <v>47424</v>
      </c>
      <c r="O1054" t="s">
        <v>47425</v>
      </c>
      <c r="P1054">
        <v>0</v>
      </c>
      <c r="Q1054">
        <v>2</v>
      </c>
      <c r="R1054" t="s">
        <v>47427</v>
      </c>
      <c r="S1054" t="s">
        <v>47540</v>
      </c>
      <c r="T1054" t="s">
        <v>49214</v>
      </c>
      <c r="U1054" t="s">
        <v>50603</v>
      </c>
      <c r="W1054" t="s">
        <v>64441</v>
      </c>
      <c r="X1054" t="s">
        <v>47428</v>
      </c>
    </row>
    <row r="1055" spans="1:24">
      <c r="A1055">
        <f>HYPERLINK("https://www.philgeps.gov.ph/GEPSNONPILOT/Tender/SplashBidNoticeAbstractUI.aspx?menuIndex=3&amp;refID=7164342&amp;Result=3","7164342")</f>
        <v>0</v>
      </c>
      <c r="B1055" t="s">
        <v>217</v>
      </c>
      <c r="C1055" t="s">
        <v>4940</v>
      </c>
      <c r="D1055" t="s">
        <v>19037</v>
      </c>
      <c r="E1055" t="s">
        <v>20069</v>
      </c>
      <c r="F1055" t="s">
        <v>32831</v>
      </c>
      <c r="G1055" t="s">
        <v>32839</v>
      </c>
      <c r="H1055" t="s">
        <v>32849</v>
      </c>
      <c r="I1055" t="s">
        <v>32889</v>
      </c>
      <c r="J1055" t="s">
        <v>33553</v>
      </c>
      <c r="K1055" t="s">
        <v>42730</v>
      </c>
      <c r="M1055" t="s">
        <v>43392</v>
      </c>
      <c r="N1055" t="s">
        <v>47424</v>
      </c>
      <c r="O1055" t="s">
        <v>47425</v>
      </c>
      <c r="P1055">
        <v>0</v>
      </c>
      <c r="Q1055">
        <v>1</v>
      </c>
      <c r="R1055" t="s">
        <v>47427</v>
      </c>
      <c r="S1055" t="s">
        <v>47540</v>
      </c>
      <c r="T1055" t="s">
        <v>49202</v>
      </c>
      <c r="U1055" t="s">
        <v>50604</v>
      </c>
      <c r="W1055" t="s">
        <v>43392</v>
      </c>
      <c r="X1055" t="s">
        <v>47428</v>
      </c>
    </row>
    <row r="1056" spans="1:24">
      <c r="A1056">
        <f>HYPERLINK("https://www.philgeps.gov.ph/GEPSNONPILOT/Tender/SplashBidNoticeAbstractUI.aspx?menuIndex=3&amp;refID=7164353&amp;Result=3","7164353")</f>
        <v>0</v>
      </c>
      <c r="B1056" t="s">
        <v>513</v>
      </c>
      <c r="C1056" t="s">
        <v>4941</v>
      </c>
      <c r="D1056" t="s">
        <v>19018</v>
      </c>
      <c r="E1056" t="s">
        <v>20070</v>
      </c>
      <c r="F1056" t="s">
        <v>32831</v>
      </c>
      <c r="G1056" t="s">
        <v>32838</v>
      </c>
      <c r="H1056" t="s">
        <v>32848</v>
      </c>
      <c r="I1056" t="s">
        <v>6526</v>
      </c>
      <c r="J1056" t="s">
        <v>33751</v>
      </c>
      <c r="K1056" t="s">
        <v>42726</v>
      </c>
      <c r="M1056" t="s">
        <v>43518</v>
      </c>
      <c r="N1056" t="s">
        <v>47424</v>
      </c>
      <c r="O1056" t="s">
        <v>47425</v>
      </c>
      <c r="P1056">
        <v>0</v>
      </c>
      <c r="Q1056">
        <v>0</v>
      </c>
      <c r="R1056" t="s">
        <v>47427</v>
      </c>
      <c r="S1056" t="s">
        <v>47540</v>
      </c>
      <c r="T1056" t="s">
        <v>49214</v>
      </c>
      <c r="U1056" t="s">
        <v>50602</v>
      </c>
      <c r="W1056" t="s">
        <v>64441</v>
      </c>
      <c r="X1056" t="s">
        <v>47428</v>
      </c>
    </row>
    <row r="1057" spans="1:24">
      <c r="A1057">
        <f>HYPERLINK("https://www.philgeps.gov.ph/GEPSNONPILOT/Tender/SplashBidNoticeAbstractUI.aspx?menuIndex=3&amp;refID=7164336&amp;Result=3","7164336")</f>
        <v>0</v>
      </c>
      <c r="B1057" t="s">
        <v>517</v>
      </c>
      <c r="C1057" t="s">
        <v>4942</v>
      </c>
      <c r="E1057" t="s">
        <v>20071</v>
      </c>
      <c r="F1057" t="s">
        <v>32831</v>
      </c>
      <c r="G1057" t="s">
        <v>32839</v>
      </c>
      <c r="H1057" t="s">
        <v>32848</v>
      </c>
      <c r="I1057" t="s">
        <v>10643</v>
      </c>
      <c r="J1057" t="s">
        <v>33752</v>
      </c>
      <c r="K1057" t="s">
        <v>42732</v>
      </c>
      <c r="M1057" t="s">
        <v>43522</v>
      </c>
      <c r="N1057" t="s">
        <v>47424</v>
      </c>
      <c r="O1057" t="s">
        <v>47425</v>
      </c>
      <c r="P1057">
        <v>0</v>
      </c>
      <c r="Q1057">
        <v>1</v>
      </c>
      <c r="R1057" t="s">
        <v>47427</v>
      </c>
      <c r="S1057" t="s">
        <v>47540</v>
      </c>
      <c r="T1057" t="s">
        <v>49155</v>
      </c>
      <c r="U1057" t="s">
        <v>50605</v>
      </c>
      <c r="W1057" t="s">
        <v>43522</v>
      </c>
      <c r="X1057" t="s">
        <v>47428</v>
      </c>
    </row>
    <row r="1058" spans="1:24">
      <c r="A1058">
        <f>HYPERLINK("https://www.philgeps.gov.ph/GEPSNONPILOT/Tender/SplashBidNoticeAbstractUI.aspx?menuIndex=3&amp;refID=7164333&amp;Result=3","7164333")</f>
        <v>0</v>
      </c>
      <c r="B1058" t="s">
        <v>513</v>
      </c>
      <c r="C1058" t="s">
        <v>4943</v>
      </c>
      <c r="D1058" t="s">
        <v>19018</v>
      </c>
      <c r="E1058" t="s">
        <v>20072</v>
      </c>
      <c r="F1058" t="s">
        <v>32831</v>
      </c>
      <c r="G1058" t="s">
        <v>32838</v>
      </c>
      <c r="H1058" t="s">
        <v>32848</v>
      </c>
      <c r="I1058" t="s">
        <v>32907</v>
      </c>
      <c r="J1058" t="s">
        <v>33753</v>
      </c>
      <c r="K1058" t="s">
        <v>42726</v>
      </c>
      <c r="M1058" t="s">
        <v>43518</v>
      </c>
      <c r="N1058" t="s">
        <v>47424</v>
      </c>
      <c r="O1058" t="s">
        <v>47425</v>
      </c>
      <c r="P1058">
        <v>0</v>
      </c>
      <c r="Q1058">
        <v>0</v>
      </c>
      <c r="R1058" t="s">
        <v>47427</v>
      </c>
      <c r="S1058" t="s">
        <v>47540</v>
      </c>
      <c r="T1058" t="s">
        <v>49214</v>
      </c>
      <c r="U1058" t="s">
        <v>50602</v>
      </c>
      <c r="W1058" t="s">
        <v>64441</v>
      </c>
      <c r="X1058" t="s">
        <v>47428</v>
      </c>
    </row>
    <row r="1059" spans="1:24">
      <c r="A1059">
        <f>HYPERLINK("https://www.philgeps.gov.ph/GEPSNONPILOT/Tender/SplashBidNoticeAbstractUI.aspx?menuIndex=3&amp;refID=7164350&amp;Result=3","7164350")</f>
        <v>0</v>
      </c>
      <c r="B1059" t="s">
        <v>513</v>
      </c>
      <c r="C1059" t="s">
        <v>4944</v>
      </c>
      <c r="D1059" t="s">
        <v>19018</v>
      </c>
      <c r="E1059" t="s">
        <v>20073</v>
      </c>
      <c r="F1059" t="s">
        <v>32831</v>
      </c>
      <c r="G1059" t="s">
        <v>32838</v>
      </c>
      <c r="H1059" t="s">
        <v>32848</v>
      </c>
      <c r="I1059" t="s">
        <v>6526</v>
      </c>
      <c r="J1059" t="s">
        <v>33137</v>
      </c>
      <c r="K1059" t="s">
        <v>42726</v>
      </c>
      <c r="M1059" t="s">
        <v>43518</v>
      </c>
      <c r="N1059" t="s">
        <v>47424</v>
      </c>
      <c r="O1059" t="s">
        <v>47425</v>
      </c>
      <c r="P1059">
        <v>0</v>
      </c>
      <c r="Q1059">
        <v>0</v>
      </c>
      <c r="R1059" t="s">
        <v>47427</v>
      </c>
      <c r="S1059" t="s">
        <v>47540</v>
      </c>
      <c r="T1059" t="s">
        <v>49214</v>
      </c>
      <c r="U1059" t="s">
        <v>50602</v>
      </c>
      <c r="W1059" t="s">
        <v>64441</v>
      </c>
      <c r="X1059" t="s">
        <v>47428</v>
      </c>
    </row>
    <row r="1060" spans="1:24">
      <c r="A1060">
        <f>HYPERLINK("https://www.philgeps.gov.ph/GEPSNONPILOT/Tender/SplashBidNoticeAbstractUI.aspx?menuIndex=3&amp;refID=7164330&amp;Result=3","7164330")</f>
        <v>0</v>
      </c>
      <c r="B1060" t="s">
        <v>518</v>
      </c>
      <c r="C1060" t="s">
        <v>4945</v>
      </c>
      <c r="D1060" t="s">
        <v>19047</v>
      </c>
      <c r="E1060" t="s">
        <v>19802</v>
      </c>
      <c r="F1060" t="s">
        <v>32831</v>
      </c>
      <c r="G1060" t="s">
        <v>32838</v>
      </c>
      <c r="H1060" t="s">
        <v>32848</v>
      </c>
      <c r="I1060" t="s">
        <v>4438</v>
      </c>
      <c r="J1060" t="s">
        <v>33754</v>
      </c>
      <c r="K1060" t="s">
        <v>42726</v>
      </c>
      <c r="M1060" t="s">
        <v>43523</v>
      </c>
      <c r="N1060" t="s">
        <v>47424</v>
      </c>
      <c r="O1060" t="s">
        <v>47425</v>
      </c>
      <c r="P1060">
        <v>0</v>
      </c>
      <c r="Q1060">
        <v>2</v>
      </c>
      <c r="R1060" t="s">
        <v>47427</v>
      </c>
      <c r="S1060" t="s">
        <v>47540</v>
      </c>
      <c r="T1060" t="s">
        <v>49114</v>
      </c>
      <c r="U1060" t="s">
        <v>50606</v>
      </c>
      <c r="W1060" t="s">
        <v>43523</v>
      </c>
      <c r="X1060" t="s">
        <v>47428</v>
      </c>
    </row>
    <row r="1061" spans="1:24">
      <c r="A1061">
        <f>HYPERLINK("https://www.philgeps.gov.ph/GEPSNONPILOT/Tender/SplashBidNoticeAbstractUI.aspx?menuIndex=3&amp;refID=7164329&amp;Result=3","7164329")</f>
        <v>0</v>
      </c>
      <c r="B1061" t="s">
        <v>513</v>
      </c>
      <c r="C1061" t="s">
        <v>4946</v>
      </c>
      <c r="D1061" t="s">
        <v>19018</v>
      </c>
      <c r="E1061" t="s">
        <v>20074</v>
      </c>
      <c r="F1061" t="s">
        <v>32831</v>
      </c>
      <c r="G1061" t="s">
        <v>32838</v>
      </c>
      <c r="H1061" t="s">
        <v>32848</v>
      </c>
      <c r="I1061" t="s">
        <v>32907</v>
      </c>
      <c r="J1061" t="s">
        <v>33755</v>
      </c>
      <c r="K1061" t="s">
        <v>42726</v>
      </c>
      <c r="M1061" t="s">
        <v>43518</v>
      </c>
      <c r="N1061" t="s">
        <v>47424</v>
      </c>
      <c r="O1061" t="s">
        <v>47425</v>
      </c>
      <c r="P1061">
        <v>0</v>
      </c>
      <c r="Q1061">
        <v>0</v>
      </c>
      <c r="R1061" t="s">
        <v>47427</v>
      </c>
      <c r="S1061" t="s">
        <v>47540</v>
      </c>
      <c r="T1061" t="s">
        <v>49214</v>
      </c>
      <c r="U1061" t="s">
        <v>50602</v>
      </c>
      <c r="W1061" t="s">
        <v>64441</v>
      </c>
      <c r="X1061" t="s">
        <v>47428</v>
      </c>
    </row>
    <row r="1062" spans="1:24">
      <c r="A1062">
        <f>HYPERLINK("https://www.philgeps.gov.ph/GEPSNONPILOT/Tender/SplashBidNoticeAbstractUI.aspx?menuIndex=3&amp;refID=7164595&amp;Result=3","7164595")</f>
        <v>0</v>
      </c>
      <c r="B1062" t="s">
        <v>338</v>
      </c>
      <c r="C1062" t="s">
        <v>4142</v>
      </c>
      <c r="D1062" t="s">
        <v>19019</v>
      </c>
      <c r="E1062" t="s">
        <v>19262</v>
      </c>
      <c r="F1062" t="s">
        <v>32831</v>
      </c>
      <c r="G1062" t="s">
        <v>32840</v>
      </c>
      <c r="H1062" t="s">
        <v>32848</v>
      </c>
      <c r="I1062" t="s">
        <v>32857</v>
      </c>
      <c r="J1062" t="s">
        <v>33175</v>
      </c>
      <c r="K1062" t="s">
        <v>42732</v>
      </c>
      <c r="M1062" t="s">
        <v>43524</v>
      </c>
      <c r="N1062" t="s">
        <v>47424</v>
      </c>
      <c r="O1062" t="s">
        <v>47425</v>
      </c>
      <c r="P1062">
        <v>0</v>
      </c>
      <c r="Q1062">
        <v>1</v>
      </c>
      <c r="R1062" t="s">
        <v>47426</v>
      </c>
      <c r="S1062" t="s">
        <v>47531</v>
      </c>
      <c r="T1062" t="s">
        <v>49230</v>
      </c>
      <c r="U1062" t="s">
        <v>50607</v>
      </c>
      <c r="W1062" t="s">
        <v>43524</v>
      </c>
      <c r="X1062" t="s">
        <v>47428</v>
      </c>
    </row>
    <row r="1063" spans="1:24">
      <c r="A1063">
        <f>HYPERLINK("https://www.philgeps.gov.ph/GEPSNONPILOT/Tender/SplashBidNoticeAbstractUI.aspx?menuIndex=3&amp;refID=7164340&amp;Result=3","7164340")</f>
        <v>0</v>
      </c>
      <c r="B1063" t="s">
        <v>513</v>
      </c>
      <c r="C1063" t="s">
        <v>4939</v>
      </c>
      <c r="D1063" t="s">
        <v>19018</v>
      </c>
      <c r="E1063" t="s">
        <v>20075</v>
      </c>
      <c r="F1063" t="s">
        <v>32831</v>
      </c>
      <c r="G1063" t="s">
        <v>32838</v>
      </c>
      <c r="H1063" t="s">
        <v>32848</v>
      </c>
      <c r="I1063" t="s">
        <v>5379</v>
      </c>
      <c r="J1063" t="s">
        <v>33098</v>
      </c>
      <c r="K1063" t="s">
        <v>42726</v>
      </c>
      <c r="M1063" t="s">
        <v>43518</v>
      </c>
      <c r="N1063" t="s">
        <v>47424</v>
      </c>
      <c r="O1063" t="s">
        <v>47425</v>
      </c>
      <c r="P1063">
        <v>0</v>
      </c>
      <c r="Q1063">
        <v>0</v>
      </c>
      <c r="R1063" t="s">
        <v>47427</v>
      </c>
      <c r="S1063" t="s">
        <v>47540</v>
      </c>
      <c r="T1063" t="s">
        <v>49214</v>
      </c>
      <c r="U1063" t="s">
        <v>50602</v>
      </c>
      <c r="W1063" t="s">
        <v>64441</v>
      </c>
      <c r="X1063" t="s">
        <v>47428</v>
      </c>
    </row>
    <row r="1064" spans="1:24">
      <c r="A1064">
        <f>HYPERLINK("https://www.philgeps.gov.ph/GEPSNONPILOT/Tender/SplashBidNoticeAbstractUI.aspx?menuIndex=3&amp;refID=7164591&amp;Result=3","7164591")</f>
        <v>0</v>
      </c>
      <c r="B1064" t="s">
        <v>365</v>
      </c>
      <c r="C1064" t="s">
        <v>4947</v>
      </c>
      <c r="D1064" t="s">
        <v>19020</v>
      </c>
      <c r="E1064" t="s">
        <v>20076</v>
      </c>
      <c r="F1064" t="s">
        <v>32831</v>
      </c>
      <c r="G1064" t="s">
        <v>32838</v>
      </c>
      <c r="H1064" t="s">
        <v>32848</v>
      </c>
      <c r="I1064" t="s">
        <v>32866</v>
      </c>
      <c r="J1064" t="s">
        <v>33133</v>
      </c>
      <c r="K1064" t="s">
        <v>42730</v>
      </c>
      <c r="M1064" t="s">
        <v>43369</v>
      </c>
      <c r="N1064" t="s">
        <v>47424</v>
      </c>
      <c r="O1064" t="s">
        <v>47425</v>
      </c>
      <c r="P1064">
        <v>0</v>
      </c>
      <c r="Q1064">
        <v>0</v>
      </c>
      <c r="R1064" t="s">
        <v>47426</v>
      </c>
      <c r="S1064" t="s">
        <v>47531</v>
      </c>
      <c r="T1064" t="s">
        <v>49056</v>
      </c>
      <c r="U1064" t="s">
        <v>50332</v>
      </c>
      <c r="V1064" t="s">
        <v>62743</v>
      </c>
      <c r="W1064" t="s">
        <v>43369</v>
      </c>
      <c r="X1064" t="s">
        <v>47428</v>
      </c>
    </row>
    <row r="1065" spans="1:24">
      <c r="A1065">
        <f>HYPERLINK("https://www.philgeps.gov.ph/GEPSNONPILOT/Tender/SplashBidNoticeAbstractUI.aspx?menuIndex=3&amp;refID=7164352&amp;Result=3","7164352")</f>
        <v>0</v>
      </c>
      <c r="B1065" t="s">
        <v>217</v>
      </c>
      <c r="C1065" t="s">
        <v>4948</v>
      </c>
      <c r="D1065" t="s">
        <v>19037</v>
      </c>
      <c r="E1065" t="s">
        <v>20077</v>
      </c>
      <c r="F1065" t="s">
        <v>32831</v>
      </c>
      <c r="G1065" t="s">
        <v>32839</v>
      </c>
      <c r="H1065" t="s">
        <v>32848</v>
      </c>
      <c r="I1065" t="s">
        <v>7416</v>
      </c>
      <c r="J1065" t="s">
        <v>33756</v>
      </c>
      <c r="K1065" t="s">
        <v>42730</v>
      </c>
      <c r="M1065" t="s">
        <v>43392</v>
      </c>
      <c r="N1065" t="s">
        <v>47424</v>
      </c>
      <c r="O1065" t="s">
        <v>47425</v>
      </c>
      <c r="P1065">
        <v>0</v>
      </c>
      <c r="Q1065">
        <v>0</v>
      </c>
      <c r="R1065" t="s">
        <v>47427</v>
      </c>
      <c r="S1065" t="s">
        <v>47540</v>
      </c>
      <c r="T1065" t="s">
        <v>49057</v>
      </c>
      <c r="U1065" t="s">
        <v>50608</v>
      </c>
      <c r="W1065" t="s">
        <v>43392</v>
      </c>
      <c r="X1065" t="s">
        <v>47428</v>
      </c>
    </row>
    <row r="1066" spans="1:24">
      <c r="A1066">
        <f>HYPERLINK("https://www.philgeps.gov.ph/GEPSNONPILOT/Tender/SplashBidNoticeAbstractUI.aspx?menuIndex=3&amp;refID=7164580&amp;Result=3","7164580")</f>
        <v>0</v>
      </c>
      <c r="B1066" t="s">
        <v>417</v>
      </c>
      <c r="C1066" t="s">
        <v>4949</v>
      </c>
      <c r="D1066" t="s">
        <v>19043</v>
      </c>
      <c r="E1066" t="s">
        <v>19219</v>
      </c>
      <c r="F1066" t="s">
        <v>32831</v>
      </c>
      <c r="G1066" t="s">
        <v>32840</v>
      </c>
      <c r="H1066" t="s">
        <v>32848</v>
      </c>
      <c r="I1066" t="s">
        <v>4438</v>
      </c>
      <c r="J1066" t="s">
        <v>33757</v>
      </c>
      <c r="K1066" t="s">
        <v>42730</v>
      </c>
      <c r="M1066" t="s">
        <v>43422</v>
      </c>
      <c r="N1066" t="s">
        <v>47424</v>
      </c>
      <c r="O1066" t="s">
        <v>47425</v>
      </c>
      <c r="P1066">
        <v>0</v>
      </c>
      <c r="Q1066">
        <v>0</v>
      </c>
      <c r="R1066" t="s">
        <v>47426</v>
      </c>
      <c r="S1066" t="s">
        <v>47531</v>
      </c>
      <c r="T1066" t="s">
        <v>49231</v>
      </c>
      <c r="U1066" t="s">
        <v>50609</v>
      </c>
      <c r="W1066" t="s">
        <v>43422</v>
      </c>
      <c r="X1066" t="s">
        <v>47428</v>
      </c>
    </row>
    <row r="1067" spans="1:24">
      <c r="A1067">
        <f>HYPERLINK("https://www.philgeps.gov.ph/GEPSNONPILOT/Tender/SplashBidNoticeAbstractUI.aspx?menuIndex=3&amp;refID=7164546&amp;Result=3","7164546")</f>
        <v>0</v>
      </c>
      <c r="B1067" t="s">
        <v>442</v>
      </c>
      <c r="C1067" t="s">
        <v>4950</v>
      </c>
      <c r="D1067" t="s">
        <v>19096</v>
      </c>
      <c r="E1067" t="s">
        <v>20078</v>
      </c>
      <c r="F1067" t="s">
        <v>32831</v>
      </c>
      <c r="G1067" t="s">
        <v>32840</v>
      </c>
      <c r="H1067" t="s">
        <v>32848</v>
      </c>
      <c r="I1067" t="s">
        <v>4487</v>
      </c>
      <c r="J1067" t="s">
        <v>33758</v>
      </c>
      <c r="K1067" t="s">
        <v>42732</v>
      </c>
      <c r="M1067" t="s">
        <v>43447</v>
      </c>
      <c r="N1067" t="s">
        <v>47424</v>
      </c>
      <c r="O1067" t="s">
        <v>47425</v>
      </c>
      <c r="P1067">
        <v>0</v>
      </c>
      <c r="Q1067">
        <v>11</v>
      </c>
      <c r="R1067" t="s">
        <v>47426</v>
      </c>
      <c r="S1067" t="s">
        <v>47531</v>
      </c>
      <c r="T1067" t="s">
        <v>49061</v>
      </c>
      <c r="U1067" t="s">
        <v>50610</v>
      </c>
      <c r="W1067" t="s">
        <v>43447</v>
      </c>
      <c r="X1067" t="s">
        <v>47428</v>
      </c>
    </row>
    <row r="1068" spans="1:24">
      <c r="A1068">
        <f>HYPERLINK("https://www.philgeps.gov.ph/GEPSNONPILOT/Tender/SplashBidNoticeAbstractUI.aspx?menuIndex=3&amp;refID=7164544&amp;Result=3","7164544")</f>
        <v>0</v>
      </c>
      <c r="B1068" t="s">
        <v>369</v>
      </c>
      <c r="C1068" t="s">
        <v>4951</v>
      </c>
      <c r="D1068" t="s">
        <v>19064</v>
      </c>
      <c r="E1068" t="s">
        <v>20079</v>
      </c>
      <c r="F1068" t="s">
        <v>32831</v>
      </c>
      <c r="G1068" t="s">
        <v>32839</v>
      </c>
      <c r="H1068" t="s">
        <v>32848</v>
      </c>
      <c r="I1068" t="s">
        <v>4177</v>
      </c>
      <c r="J1068" t="s">
        <v>33759</v>
      </c>
      <c r="K1068" t="s">
        <v>42726</v>
      </c>
      <c r="M1068" t="s">
        <v>43373</v>
      </c>
      <c r="N1068" t="s">
        <v>47424</v>
      </c>
      <c r="O1068" t="s">
        <v>47425</v>
      </c>
      <c r="P1068">
        <v>0</v>
      </c>
      <c r="Q1068">
        <v>0</v>
      </c>
      <c r="R1068" t="s">
        <v>47426</v>
      </c>
      <c r="S1068" t="s">
        <v>47531</v>
      </c>
      <c r="T1068" t="s">
        <v>49091</v>
      </c>
      <c r="U1068" t="s">
        <v>50611</v>
      </c>
      <c r="W1068" t="s">
        <v>43373</v>
      </c>
      <c r="X1068" t="s">
        <v>47428</v>
      </c>
    </row>
    <row r="1069" spans="1:24">
      <c r="A1069">
        <f>HYPERLINK("https://www.philgeps.gov.ph/GEPSNONPILOT/Tender/SplashBidNoticeAbstractUI.aspx?menuIndex=3&amp;refID=7164542&amp;Result=3","7164542")</f>
        <v>0</v>
      </c>
      <c r="B1069" t="s">
        <v>361</v>
      </c>
      <c r="C1069" t="s">
        <v>4952</v>
      </c>
      <c r="D1069" t="s">
        <v>19088</v>
      </c>
      <c r="E1069" t="s">
        <v>20080</v>
      </c>
      <c r="F1069" t="s">
        <v>32831</v>
      </c>
      <c r="G1069" t="s">
        <v>32839</v>
      </c>
      <c r="H1069" t="s">
        <v>32848</v>
      </c>
      <c r="I1069" t="s">
        <v>4438</v>
      </c>
      <c r="J1069" t="s">
        <v>33017</v>
      </c>
      <c r="K1069" t="s">
        <v>42730</v>
      </c>
      <c r="M1069" t="s">
        <v>43365</v>
      </c>
      <c r="N1069" t="s">
        <v>47424</v>
      </c>
      <c r="O1069" t="s">
        <v>47425</v>
      </c>
      <c r="P1069">
        <v>0</v>
      </c>
      <c r="Q1069">
        <v>1</v>
      </c>
      <c r="R1069" t="s">
        <v>47426</v>
      </c>
      <c r="S1069" t="s">
        <v>47531</v>
      </c>
      <c r="T1069" t="s">
        <v>49195</v>
      </c>
      <c r="U1069" t="s">
        <v>50612</v>
      </c>
      <c r="W1069" t="s">
        <v>43365</v>
      </c>
      <c r="X1069" t="s">
        <v>47428</v>
      </c>
    </row>
    <row r="1070" spans="1:24">
      <c r="A1070">
        <f>HYPERLINK("https://www.philgeps.gov.ph/GEPSNONPILOT/Tender/SplashBidNoticeAbstractUI.aspx?menuIndex=3&amp;refID=7164540&amp;Result=3","7164540")</f>
        <v>0</v>
      </c>
      <c r="B1070" t="s">
        <v>519</v>
      </c>
      <c r="C1070" t="s">
        <v>4953</v>
      </c>
      <c r="D1070" t="s">
        <v>19047</v>
      </c>
      <c r="E1070" t="s">
        <v>20081</v>
      </c>
      <c r="F1070" t="s">
        <v>32831</v>
      </c>
      <c r="G1070" t="s">
        <v>32839</v>
      </c>
      <c r="H1070" t="s">
        <v>32848</v>
      </c>
      <c r="I1070" t="s">
        <v>10643</v>
      </c>
      <c r="J1070" t="s">
        <v>33760</v>
      </c>
      <c r="K1070" t="s">
        <v>42726</v>
      </c>
      <c r="M1070" t="s">
        <v>43525</v>
      </c>
      <c r="N1070" t="s">
        <v>47424</v>
      </c>
      <c r="O1070" t="s">
        <v>47425</v>
      </c>
      <c r="P1070">
        <v>0</v>
      </c>
      <c r="Q1070">
        <v>2</v>
      </c>
      <c r="R1070" t="s">
        <v>47426</v>
      </c>
      <c r="S1070" t="s">
        <v>47531</v>
      </c>
      <c r="T1070" t="s">
        <v>49232</v>
      </c>
      <c r="U1070" t="s">
        <v>50613</v>
      </c>
      <c r="W1070" t="s">
        <v>43525</v>
      </c>
      <c r="X1070" t="s">
        <v>47428</v>
      </c>
    </row>
    <row r="1071" spans="1:24">
      <c r="A1071">
        <f>HYPERLINK("https://www.philgeps.gov.ph/GEPSNONPILOT/Tender/SplashBidNoticeAbstractUI.aspx?menuIndex=3&amp;refID=7164539&amp;Result=3","7164539")</f>
        <v>0</v>
      </c>
      <c r="B1071" t="s">
        <v>361</v>
      </c>
      <c r="C1071" t="s">
        <v>4954</v>
      </c>
      <c r="D1071" t="s">
        <v>19088</v>
      </c>
      <c r="E1071" t="s">
        <v>20082</v>
      </c>
      <c r="F1071" t="s">
        <v>32831</v>
      </c>
      <c r="G1071" t="s">
        <v>32839</v>
      </c>
      <c r="H1071" t="s">
        <v>32848</v>
      </c>
      <c r="I1071" t="s">
        <v>32857</v>
      </c>
      <c r="J1071" t="s">
        <v>33118</v>
      </c>
      <c r="K1071" t="s">
        <v>42730</v>
      </c>
      <c r="M1071" t="s">
        <v>43365</v>
      </c>
      <c r="N1071" t="s">
        <v>47424</v>
      </c>
      <c r="O1071" t="s">
        <v>47425</v>
      </c>
      <c r="P1071">
        <v>0</v>
      </c>
      <c r="Q1071">
        <v>6</v>
      </c>
      <c r="R1071" t="s">
        <v>47426</v>
      </c>
      <c r="S1071" t="s">
        <v>47531</v>
      </c>
      <c r="T1071" t="s">
        <v>49195</v>
      </c>
      <c r="U1071" t="s">
        <v>50614</v>
      </c>
      <c r="W1071" t="s">
        <v>43365</v>
      </c>
      <c r="X1071" t="s">
        <v>47428</v>
      </c>
    </row>
    <row r="1072" spans="1:24">
      <c r="A1072">
        <f>HYPERLINK("https://www.philgeps.gov.ph/GEPSNONPILOT/Tender/SplashBidNoticeAbstractUI.aspx?menuIndex=3&amp;refID=7164537&amp;Result=3","7164537")</f>
        <v>0</v>
      </c>
      <c r="B1072" t="s">
        <v>357</v>
      </c>
      <c r="C1072" t="s">
        <v>4955</v>
      </c>
      <c r="D1072" t="s">
        <v>19019</v>
      </c>
      <c r="E1072" t="s">
        <v>20083</v>
      </c>
      <c r="F1072" t="s">
        <v>32831</v>
      </c>
      <c r="G1072" t="s">
        <v>32840</v>
      </c>
      <c r="H1072" t="s">
        <v>32848</v>
      </c>
      <c r="I1072" t="s">
        <v>9577</v>
      </c>
      <c r="J1072" t="s">
        <v>33761</v>
      </c>
      <c r="K1072" t="s">
        <v>42727</v>
      </c>
      <c r="M1072" t="s">
        <v>43361</v>
      </c>
      <c r="N1072" t="s">
        <v>47424</v>
      </c>
      <c r="O1072" t="s">
        <v>47425</v>
      </c>
      <c r="P1072">
        <v>0</v>
      </c>
      <c r="Q1072">
        <v>8</v>
      </c>
      <c r="R1072" t="s">
        <v>47426</v>
      </c>
      <c r="S1072" t="s">
        <v>47531</v>
      </c>
      <c r="T1072" t="s">
        <v>49068</v>
      </c>
      <c r="U1072" t="s">
        <v>50615</v>
      </c>
      <c r="V1072" t="s">
        <v>62700</v>
      </c>
      <c r="W1072" t="s">
        <v>43361</v>
      </c>
      <c r="X1072" t="s">
        <v>47428</v>
      </c>
    </row>
    <row r="1073" spans="1:24">
      <c r="A1073">
        <f>HYPERLINK("https://www.philgeps.gov.ph/GEPSNONPILOT/Tender/SplashBidNoticeAbstractUI.aspx?menuIndex=3&amp;refID=7164486&amp;Result=3","7164486")</f>
        <v>0</v>
      </c>
      <c r="B1073" t="s">
        <v>362</v>
      </c>
      <c r="C1073" t="s">
        <v>4956</v>
      </c>
      <c r="D1073" t="s">
        <v>19023</v>
      </c>
      <c r="E1073" t="s">
        <v>20084</v>
      </c>
      <c r="F1073" t="s">
        <v>32831</v>
      </c>
      <c r="G1073" t="s">
        <v>32838</v>
      </c>
      <c r="H1073" t="s">
        <v>32848</v>
      </c>
      <c r="I1073" t="s">
        <v>32857</v>
      </c>
      <c r="J1073" t="s">
        <v>33762</v>
      </c>
      <c r="K1073" t="s">
        <v>42730</v>
      </c>
      <c r="M1073" t="s">
        <v>43366</v>
      </c>
      <c r="N1073" t="s">
        <v>47424</v>
      </c>
      <c r="O1073" t="s">
        <v>47425</v>
      </c>
      <c r="P1073">
        <v>0</v>
      </c>
      <c r="Q1073">
        <v>2</v>
      </c>
      <c r="R1073" t="s">
        <v>47426</v>
      </c>
      <c r="S1073" t="s">
        <v>47531</v>
      </c>
      <c r="T1073" t="s">
        <v>49079</v>
      </c>
      <c r="U1073" t="s">
        <v>50326</v>
      </c>
      <c r="W1073" t="s">
        <v>43366</v>
      </c>
      <c r="X1073" t="s">
        <v>47428</v>
      </c>
    </row>
    <row r="1074" spans="1:24">
      <c r="A1074">
        <f>HYPERLINK("https://www.philgeps.gov.ph/GEPSNONPILOT/Tender/SplashBidNoticeAbstractUI.aspx?menuIndex=3&amp;refID=7164547&amp;Result=3","7164547")</f>
        <v>0</v>
      </c>
      <c r="B1074" t="s">
        <v>361</v>
      </c>
      <c r="C1074" t="s">
        <v>4957</v>
      </c>
      <c r="D1074" t="s">
        <v>19088</v>
      </c>
      <c r="E1074" t="s">
        <v>20085</v>
      </c>
      <c r="F1074" t="s">
        <v>32831</v>
      </c>
      <c r="G1074" t="s">
        <v>32839</v>
      </c>
      <c r="H1074" t="s">
        <v>32848</v>
      </c>
      <c r="I1074" t="s">
        <v>7751</v>
      </c>
      <c r="J1074" t="s">
        <v>33553</v>
      </c>
      <c r="K1074" t="s">
        <v>42773</v>
      </c>
      <c r="M1074" t="s">
        <v>43365</v>
      </c>
      <c r="N1074" t="s">
        <v>47424</v>
      </c>
      <c r="O1074" t="s">
        <v>47425</v>
      </c>
      <c r="P1074">
        <v>0</v>
      </c>
      <c r="Q1074">
        <v>4</v>
      </c>
      <c r="R1074" t="s">
        <v>47426</v>
      </c>
      <c r="S1074" t="s">
        <v>47531</v>
      </c>
      <c r="T1074" t="s">
        <v>49195</v>
      </c>
      <c r="U1074" t="s">
        <v>50616</v>
      </c>
      <c r="W1074" t="s">
        <v>43365</v>
      </c>
      <c r="X1074" t="s">
        <v>47428</v>
      </c>
    </row>
    <row r="1075" spans="1:24">
      <c r="A1075">
        <f>HYPERLINK("https://www.philgeps.gov.ph/GEPSNONPILOT/Tender/SplashBidNoticeAbstractUI.aspx?menuIndex=3&amp;refID=7164482&amp;Result=3","7164482")</f>
        <v>0</v>
      </c>
      <c r="B1075" t="s">
        <v>362</v>
      </c>
      <c r="C1075" t="s">
        <v>4958</v>
      </c>
      <c r="D1075" t="s">
        <v>19023</v>
      </c>
      <c r="E1075" t="s">
        <v>20086</v>
      </c>
      <c r="F1075" t="s">
        <v>32831</v>
      </c>
      <c r="G1075" t="s">
        <v>32838</v>
      </c>
      <c r="H1075" t="s">
        <v>32848</v>
      </c>
      <c r="I1075" t="s">
        <v>32857</v>
      </c>
      <c r="J1075" t="s">
        <v>33763</v>
      </c>
      <c r="K1075" t="s">
        <v>42727</v>
      </c>
      <c r="M1075" t="s">
        <v>43366</v>
      </c>
      <c r="N1075" t="s">
        <v>47424</v>
      </c>
      <c r="O1075" t="s">
        <v>47425</v>
      </c>
      <c r="P1075">
        <v>0</v>
      </c>
      <c r="Q1075">
        <v>4</v>
      </c>
      <c r="R1075" t="s">
        <v>47426</v>
      </c>
      <c r="S1075" t="s">
        <v>47531</v>
      </c>
      <c r="T1075" t="s">
        <v>49079</v>
      </c>
      <c r="U1075" t="s">
        <v>50326</v>
      </c>
      <c r="W1075" t="s">
        <v>43366</v>
      </c>
      <c r="X1075" t="s">
        <v>47428</v>
      </c>
    </row>
    <row r="1076" spans="1:24">
      <c r="A1076">
        <f>HYPERLINK("https://www.philgeps.gov.ph/GEPSNONPILOT/Tender/SplashBidNoticeAbstractUI.aspx?menuIndex=3&amp;refID=7164317&amp;Result=3","7164317")</f>
        <v>0</v>
      </c>
      <c r="B1076" t="s">
        <v>520</v>
      </c>
      <c r="C1076" t="s">
        <v>4959</v>
      </c>
      <c r="D1076" t="s">
        <v>19043</v>
      </c>
      <c r="E1076" t="s">
        <v>19311</v>
      </c>
      <c r="F1076" t="s">
        <v>32831</v>
      </c>
      <c r="G1076" t="s">
        <v>32839</v>
      </c>
      <c r="H1076" t="s">
        <v>32848</v>
      </c>
      <c r="I1076" t="s">
        <v>7416</v>
      </c>
      <c r="J1076" t="s">
        <v>33764</v>
      </c>
      <c r="K1076" t="s">
        <v>42731</v>
      </c>
      <c r="M1076" t="s">
        <v>43526</v>
      </c>
      <c r="N1076" t="s">
        <v>47424</v>
      </c>
      <c r="O1076" t="s">
        <v>47425</v>
      </c>
      <c r="P1076">
        <v>0</v>
      </c>
      <c r="Q1076">
        <v>1</v>
      </c>
      <c r="R1076" t="s">
        <v>47427</v>
      </c>
      <c r="S1076" t="s">
        <v>47540</v>
      </c>
      <c r="T1076" t="s">
        <v>49091</v>
      </c>
      <c r="U1076" t="s">
        <v>50617</v>
      </c>
      <c r="W1076" t="s">
        <v>43526</v>
      </c>
      <c r="X1076" t="s">
        <v>47428</v>
      </c>
    </row>
    <row r="1077" spans="1:24">
      <c r="A1077">
        <f>HYPERLINK("https://www.philgeps.gov.ph/GEPSNONPILOT/Tender/SplashBidNoticeAbstractUI.aspx?menuIndex=3&amp;refID=7164456&amp;Result=3","7164456")</f>
        <v>0</v>
      </c>
      <c r="B1077" t="s">
        <v>346</v>
      </c>
      <c r="C1077" t="s">
        <v>4960</v>
      </c>
      <c r="D1077" t="s">
        <v>19041</v>
      </c>
      <c r="E1077" t="s">
        <v>4960</v>
      </c>
      <c r="F1077" t="s">
        <v>32831</v>
      </c>
      <c r="G1077" t="s">
        <v>32839</v>
      </c>
      <c r="H1077" t="s">
        <v>32849</v>
      </c>
      <c r="I1077" t="s">
        <v>4177</v>
      </c>
      <c r="J1077" t="s">
        <v>33765</v>
      </c>
      <c r="K1077" t="s">
        <v>42793</v>
      </c>
      <c r="M1077" t="s">
        <v>43350</v>
      </c>
      <c r="N1077" t="s">
        <v>47424</v>
      </c>
      <c r="O1077" t="s">
        <v>47425</v>
      </c>
      <c r="P1077">
        <v>0</v>
      </c>
      <c r="Q1077">
        <v>0</v>
      </c>
      <c r="R1077" t="s">
        <v>47426</v>
      </c>
      <c r="S1077" t="s">
        <v>47531</v>
      </c>
      <c r="T1077" t="s">
        <v>49118</v>
      </c>
      <c r="U1077" t="s">
        <v>50618</v>
      </c>
      <c r="W1077" t="s">
        <v>43350</v>
      </c>
      <c r="X1077" t="s">
        <v>47428</v>
      </c>
    </row>
    <row r="1078" spans="1:24">
      <c r="A1078">
        <f>HYPERLINK("https://www.philgeps.gov.ph/GEPSNONPILOT/Tender/SplashBidNoticeAbstractUI.aspx?menuIndex=3&amp;refID=7164601&amp;Result=3","7164601")</f>
        <v>0</v>
      </c>
      <c r="B1078" t="s">
        <v>468</v>
      </c>
      <c r="C1078" t="s">
        <v>4961</v>
      </c>
      <c r="D1078" t="s">
        <v>19031</v>
      </c>
      <c r="E1078" t="s">
        <v>20087</v>
      </c>
      <c r="F1078" t="s">
        <v>32831</v>
      </c>
      <c r="G1078" t="s">
        <v>32841</v>
      </c>
      <c r="H1078" t="s">
        <v>32848</v>
      </c>
      <c r="I1078" t="s">
        <v>7416</v>
      </c>
      <c r="J1078" t="s">
        <v>33766</v>
      </c>
      <c r="K1078" t="s">
        <v>42730</v>
      </c>
      <c r="M1078" t="s">
        <v>43473</v>
      </c>
      <c r="N1078" t="s">
        <v>47424</v>
      </c>
      <c r="O1078" t="s">
        <v>47425</v>
      </c>
      <c r="P1078">
        <v>0</v>
      </c>
      <c r="Q1078">
        <v>0</v>
      </c>
      <c r="R1078" t="s">
        <v>47426</v>
      </c>
      <c r="S1078" t="s">
        <v>47531</v>
      </c>
      <c r="T1078" t="s">
        <v>49148</v>
      </c>
      <c r="U1078" t="s">
        <v>50619</v>
      </c>
      <c r="W1078" t="s">
        <v>64440</v>
      </c>
      <c r="X1078" t="s">
        <v>47428</v>
      </c>
    </row>
    <row r="1079" spans="1:24">
      <c r="A1079">
        <f>HYPERLINK("https://www.philgeps.gov.ph/GEPSNONPILOT/Tender/SplashBidNoticeAbstractUI.aspx?menuIndex=3&amp;refID=7164313&amp;Result=3","7164313")</f>
        <v>0</v>
      </c>
      <c r="B1079" t="s">
        <v>343</v>
      </c>
      <c r="C1079" t="s">
        <v>4962</v>
      </c>
      <c r="D1079" t="s">
        <v>19037</v>
      </c>
      <c r="E1079" t="s">
        <v>19351</v>
      </c>
      <c r="F1079" t="s">
        <v>32831</v>
      </c>
      <c r="G1079" t="s">
        <v>32839</v>
      </c>
      <c r="H1079" t="s">
        <v>32848</v>
      </c>
      <c r="I1079" t="s">
        <v>7416</v>
      </c>
      <c r="J1079" t="s">
        <v>33767</v>
      </c>
      <c r="K1079" t="s">
        <v>42731</v>
      </c>
      <c r="M1079" t="s">
        <v>43347</v>
      </c>
      <c r="N1079" t="s">
        <v>47424</v>
      </c>
      <c r="O1079" t="s">
        <v>47425</v>
      </c>
      <c r="P1079">
        <v>0</v>
      </c>
      <c r="Q1079">
        <v>1</v>
      </c>
      <c r="R1079" t="s">
        <v>47426</v>
      </c>
      <c r="S1079" t="s">
        <v>47531</v>
      </c>
      <c r="T1079" t="s">
        <v>49189</v>
      </c>
      <c r="U1079" t="s">
        <v>50296</v>
      </c>
      <c r="W1079" t="s">
        <v>43347</v>
      </c>
      <c r="X1079" t="s">
        <v>47428</v>
      </c>
    </row>
    <row r="1080" spans="1:24">
      <c r="A1080">
        <f>HYPERLINK("https://www.philgeps.gov.ph/GEPSNONPILOT/Tender/SplashBidNoticeAbstractUI.aspx?menuIndex=3&amp;refID=7164311&amp;Result=3","7164311")</f>
        <v>0</v>
      </c>
      <c r="B1080" t="s">
        <v>521</v>
      </c>
      <c r="C1080" t="s">
        <v>4963</v>
      </c>
      <c r="D1080" t="s">
        <v>19057</v>
      </c>
      <c r="E1080" t="s">
        <v>19219</v>
      </c>
      <c r="F1080" t="s">
        <v>32831</v>
      </c>
      <c r="G1080" t="s">
        <v>32839</v>
      </c>
      <c r="H1080" t="s">
        <v>32848</v>
      </c>
      <c r="I1080" t="s">
        <v>7416</v>
      </c>
      <c r="J1080" t="s">
        <v>33768</v>
      </c>
      <c r="K1080" t="s">
        <v>42726</v>
      </c>
      <c r="M1080" t="s">
        <v>43527</v>
      </c>
      <c r="N1080" t="s">
        <v>47424</v>
      </c>
      <c r="O1080" t="s">
        <v>47425</v>
      </c>
      <c r="P1080">
        <v>0</v>
      </c>
      <c r="Q1080">
        <v>0</v>
      </c>
      <c r="R1080" t="s">
        <v>47426</v>
      </c>
      <c r="S1080" t="s">
        <v>47531</v>
      </c>
      <c r="T1080" t="s">
        <v>49091</v>
      </c>
      <c r="U1080" t="s">
        <v>50620</v>
      </c>
      <c r="W1080" t="s">
        <v>43527</v>
      </c>
      <c r="X1080" t="s">
        <v>47428</v>
      </c>
    </row>
    <row r="1081" spans="1:24">
      <c r="A1081">
        <f>HYPERLINK("https://www.philgeps.gov.ph/GEPSNONPILOT/Tender/SplashBidNoticeAbstractUI.aspx?menuIndex=3&amp;refID=7164307&amp;Result=3","7164307")</f>
        <v>0</v>
      </c>
      <c r="B1081" t="s">
        <v>347</v>
      </c>
      <c r="C1081" t="s">
        <v>4964</v>
      </c>
      <c r="D1081" t="s">
        <v>19057</v>
      </c>
      <c r="E1081" t="s">
        <v>20088</v>
      </c>
      <c r="F1081" t="s">
        <v>32831</v>
      </c>
      <c r="G1081" t="s">
        <v>32839</v>
      </c>
      <c r="H1081" t="s">
        <v>32848</v>
      </c>
      <c r="I1081" t="s">
        <v>7416</v>
      </c>
      <c r="J1081" t="s">
        <v>33769</v>
      </c>
      <c r="K1081" t="s">
        <v>42726</v>
      </c>
      <c r="M1081" t="s">
        <v>43351</v>
      </c>
      <c r="N1081" t="s">
        <v>47424</v>
      </c>
      <c r="O1081" t="s">
        <v>47425</v>
      </c>
      <c r="P1081">
        <v>0</v>
      </c>
      <c r="Q1081">
        <v>0</v>
      </c>
      <c r="R1081" t="s">
        <v>47426</v>
      </c>
      <c r="S1081" t="s">
        <v>47531</v>
      </c>
      <c r="T1081" t="s">
        <v>49091</v>
      </c>
      <c r="U1081" t="s">
        <v>50621</v>
      </c>
      <c r="V1081" t="s">
        <v>62744</v>
      </c>
      <c r="W1081" t="s">
        <v>43351</v>
      </c>
      <c r="X1081" t="s">
        <v>47428</v>
      </c>
    </row>
    <row r="1082" spans="1:24">
      <c r="A1082">
        <f>HYPERLINK("https://www.philgeps.gov.ph/GEPSNONPILOT/Tender/SplashBidNoticeAbstractUI.aspx?menuIndex=3&amp;refID=7164164&amp;Result=3","7164164")</f>
        <v>0</v>
      </c>
      <c r="B1082" t="s">
        <v>522</v>
      </c>
      <c r="C1082" t="s">
        <v>4965</v>
      </c>
      <c r="D1082" t="s">
        <v>19050</v>
      </c>
      <c r="E1082" t="s">
        <v>20089</v>
      </c>
      <c r="F1082" t="s">
        <v>32831</v>
      </c>
      <c r="G1082" t="s">
        <v>32839</v>
      </c>
      <c r="H1082" t="s">
        <v>32848</v>
      </c>
      <c r="I1082" t="s">
        <v>32860</v>
      </c>
      <c r="J1082" t="s">
        <v>33770</v>
      </c>
      <c r="K1082" t="s">
        <v>42730</v>
      </c>
      <c r="M1082" t="s">
        <v>43528</v>
      </c>
      <c r="N1082" t="s">
        <v>47424</v>
      </c>
      <c r="O1082" t="s">
        <v>47425</v>
      </c>
      <c r="P1082">
        <v>0</v>
      </c>
      <c r="Q1082">
        <v>4</v>
      </c>
      <c r="R1082" t="s">
        <v>47426</v>
      </c>
      <c r="S1082" t="s">
        <v>47531</v>
      </c>
      <c r="T1082" t="s">
        <v>49169</v>
      </c>
      <c r="U1082" t="s">
        <v>50622</v>
      </c>
      <c r="W1082" t="s">
        <v>64442</v>
      </c>
      <c r="X1082" t="s">
        <v>47430</v>
      </c>
    </row>
    <row r="1083" spans="1:24">
      <c r="A1083">
        <f>HYPERLINK("https://www.philgeps.gov.ph/GEPSNONPILOT/Tender/SplashBidNoticeAbstractUI.aspx?menuIndex=3&amp;refID=7164162&amp;Result=3","7164162")</f>
        <v>0</v>
      </c>
      <c r="B1083" t="s">
        <v>338</v>
      </c>
      <c r="C1083" t="s">
        <v>4966</v>
      </c>
      <c r="D1083" t="s">
        <v>19019</v>
      </c>
      <c r="E1083" t="s">
        <v>20090</v>
      </c>
      <c r="F1083" t="s">
        <v>32831</v>
      </c>
      <c r="G1083" t="s">
        <v>32840</v>
      </c>
      <c r="H1083" t="s">
        <v>32848</v>
      </c>
      <c r="I1083" t="s">
        <v>9577</v>
      </c>
      <c r="J1083" t="s">
        <v>33771</v>
      </c>
      <c r="K1083" t="s">
        <v>42726</v>
      </c>
      <c r="M1083" t="s">
        <v>43341</v>
      </c>
      <c r="N1083" t="s">
        <v>47424</v>
      </c>
      <c r="O1083" t="s">
        <v>47425</v>
      </c>
      <c r="P1083">
        <v>0</v>
      </c>
      <c r="Q1083">
        <v>0</v>
      </c>
      <c r="R1083" t="s">
        <v>47426</v>
      </c>
      <c r="S1083" t="s">
        <v>47531</v>
      </c>
      <c r="T1083" t="s">
        <v>49233</v>
      </c>
      <c r="U1083" t="s">
        <v>50623</v>
      </c>
      <c r="W1083" t="s">
        <v>43341</v>
      </c>
      <c r="X1083" t="s">
        <v>47430</v>
      </c>
    </row>
    <row r="1084" spans="1:24">
      <c r="A1084">
        <f>HYPERLINK("https://www.philgeps.gov.ph/GEPSNONPILOT/Tender/SplashBidNoticeAbstractUI.aspx?menuIndex=3&amp;refID=7164156&amp;Result=3","7164156")</f>
        <v>0</v>
      </c>
      <c r="B1084" t="s">
        <v>523</v>
      </c>
      <c r="C1084" t="s">
        <v>4967</v>
      </c>
      <c r="E1084" t="s">
        <v>19670</v>
      </c>
      <c r="F1084" t="s">
        <v>32831</v>
      </c>
      <c r="G1084" t="s">
        <v>32840</v>
      </c>
      <c r="H1084" t="s">
        <v>32848</v>
      </c>
      <c r="I1084" t="s">
        <v>4487</v>
      </c>
      <c r="J1084" t="s">
        <v>33133</v>
      </c>
      <c r="K1084" t="s">
        <v>42732</v>
      </c>
      <c r="M1084" t="s">
        <v>43529</v>
      </c>
      <c r="N1084" t="s">
        <v>47424</v>
      </c>
      <c r="O1084" t="s">
        <v>47425</v>
      </c>
      <c r="P1084">
        <v>0</v>
      </c>
      <c r="Q1084">
        <v>0</v>
      </c>
      <c r="R1084" t="s">
        <v>47426</v>
      </c>
      <c r="S1084" t="s">
        <v>47531</v>
      </c>
      <c r="T1084" t="s">
        <v>49234</v>
      </c>
      <c r="U1084" t="s">
        <v>50624</v>
      </c>
      <c r="W1084" t="s">
        <v>43529</v>
      </c>
      <c r="X1084" t="s">
        <v>47430</v>
      </c>
    </row>
    <row r="1085" spans="1:24">
      <c r="A1085">
        <f>HYPERLINK("https://www.philgeps.gov.ph/GEPSNONPILOT/Tender/SplashBidNoticeAbstractUI.aspx?menuIndex=3&amp;refID=7164314&amp;Result=3","7164314")</f>
        <v>0</v>
      </c>
      <c r="B1085" t="s">
        <v>434</v>
      </c>
      <c r="C1085" t="s">
        <v>4968</v>
      </c>
      <c r="D1085" t="s">
        <v>19023</v>
      </c>
      <c r="E1085" t="s">
        <v>20091</v>
      </c>
      <c r="F1085" t="s">
        <v>32831</v>
      </c>
      <c r="G1085" t="s">
        <v>32840</v>
      </c>
      <c r="H1085" t="s">
        <v>32848</v>
      </c>
      <c r="I1085" t="s">
        <v>32855</v>
      </c>
      <c r="J1085" t="s">
        <v>33772</v>
      </c>
      <c r="K1085" t="s">
        <v>42758</v>
      </c>
      <c r="M1085" t="s">
        <v>43439</v>
      </c>
      <c r="N1085" t="s">
        <v>47424</v>
      </c>
      <c r="O1085" t="s">
        <v>47425</v>
      </c>
      <c r="P1085">
        <v>0</v>
      </c>
      <c r="Q1085">
        <v>5</v>
      </c>
      <c r="R1085" t="s">
        <v>47426</v>
      </c>
      <c r="S1085" t="s">
        <v>47531</v>
      </c>
      <c r="T1085" t="s">
        <v>49107</v>
      </c>
      <c r="U1085" t="s">
        <v>50625</v>
      </c>
      <c r="W1085" t="s">
        <v>43439</v>
      </c>
      <c r="X1085" t="s">
        <v>47428</v>
      </c>
    </row>
    <row r="1086" spans="1:24">
      <c r="A1086">
        <f>HYPERLINK("https://www.philgeps.gov.ph/GEPSNONPILOT/Tender/SplashBidNoticeAbstractUI.aspx?menuIndex=3&amp;refID=7164309&amp;Result=3","7164309")</f>
        <v>0</v>
      </c>
      <c r="B1086" t="s">
        <v>524</v>
      </c>
      <c r="C1086" t="s">
        <v>4969</v>
      </c>
      <c r="D1086" t="s">
        <v>19038</v>
      </c>
      <c r="E1086" t="s">
        <v>20092</v>
      </c>
      <c r="F1086" t="s">
        <v>32831</v>
      </c>
      <c r="G1086" t="s">
        <v>32839</v>
      </c>
      <c r="H1086" t="s">
        <v>32848</v>
      </c>
      <c r="I1086" t="s">
        <v>7416</v>
      </c>
      <c r="J1086" t="s">
        <v>33773</v>
      </c>
      <c r="K1086" t="s">
        <v>42750</v>
      </c>
      <c r="M1086" t="s">
        <v>43530</v>
      </c>
      <c r="N1086" t="s">
        <v>47424</v>
      </c>
      <c r="O1086" t="s">
        <v>47425</v>
      </c>
      <c r="P1086">
        <v>0</v>
      </c>
      <c r="Q1086">
        <v>0</v>
      </c>
      <c r="R1086" t="s">
        <v>47426</v>
      </c>
      <c r="S1086" t="s">
        <v>47531</v>
      </c>
      <c r="T1086" t="s">
        <v>49073</v>
      </c>
      <c r="U1086" t="s">
        <v>50626</v>
      </c>
      <c r="V1086" t="s">
        <v>62745</v>
      </c>
      <c r="W1086" t="s">
        <v>43530</v>
      </c>
      <c r="X1086" t="s">
        <v>47428</v>
      </c>
    </row>
    <row r="1087" spans="1:24">
      <c r="A1087">
        <f>HYPERLINK("https://www.philgeps.gov.ph/GEPSNONPILOT/Tender/SplashBidNoticeAbstractUI.aspx?menuIndex=3&amp;refID=7164068&amp;Result=3","7164068")</f>
        <v>0</v>
      </c>
      <c r="B1087" t="s">
        <v>315</v>
      </c>
      <c r="C1087" t="s">
        <v>4970</v>
      </c>
      <c r="D1087" t="s">
        <v>19086</v>
      </c>
      <c r="E1087" t="s">
        <v>20093</v>
      </c>
      <c r="F1087" t="s">
        <v>32831</v>
      </c>
      <c r="G1087" t="s">
        <v>32839</v>
      </c>
      <c r="H1087" t="s">
        <v>32848</v>
      </c>
      <c r="I1087" t="s">
        <v>4438</v>
      </c>
      <c r="J1087" t="s">
        <v>33774</v>
      </c>
      <c r="K1087" t="s">
        <v>42727</v>
      </c>
      <c r="M1087" t="s">
        <v>43317</v>
      </c>
      <c r="N1087" t="s">
        <v>47424</v>
      </c>
      <c r="O1087" t="s">
        <v>47425</v>
      </c>
      <c r="P1087">
        <v>0</v>
      </c>
      <c r="Q1087">
        <v>0</v>
      </c>
      <c r="R1087" t="s">
        <v>47426</v>
      </c>
      <c r="S1087" t="s">
        <v>47531</v>
      </c>
      <c r="T1087" t="s">
        <v>49059</v>
      </c>
      <c r="U1087" t="s">
        <v>50230</v>
      </c>
      <c r="W1087" t="s">
        <v>43317</v>
      </c>
      <c r="X1087" t="s">
        <v>47430</v>
      </c>
    </row>
    <row r="1088" spans="1:24">
      <c r="A1088">
        <f>HYPERLINK("https://www.philgeps.gov.ph/GEPSNONPILOT/Tender/SplashBidNoticeAbstractUI.aspx?menuIndex=3&amp;refID=7164061&amp;Result=3","7164061")</f>
        <v>0</v>
      </c>
      <c r="B1088" t="s">
        <v>315</v>
      </c>
      <c r="C1088" t="s">
        <v>4971</v>
      </c>
      <c r="D1088" t="s">
        <v>19086</v>
      </c>
      <c r="E1088" t="s">
        <v>20094</v>
      </c>
      <c r="F1088" t="s">
        <v>32831</v>
      </c>
      <c r="G1088" t="s">
        <v>32839</v>
      </c>
      <c r="H1088" t="s">
        <v>32848</v>
      </c>
      <c r="I1088" t="s">
        <v>7751</v>
      </c>
      <c r="J1088" t="s">
        <v>33072</v>
      </c>
      <c r="K1088" t="s">
        <v>42727</v>
      </c>
      <c r="M1088" t="s">
        <v>43317</v>
      </c>
      <c r="N1088" t="s">
        <v>47424</v>
      </c>
      <c r="O1088" t="s">
        <v>47425</v>
      </c>
      <c r="P1088">
        <v>0</v>
      </c>
      <c r="Q1088">
        <v>0</v>
      </c>
      <c r="R1088" t="s">
        <v>47426</v>
      </c>
      <c r="S1088" t="s">
        <v>47531</v>
      </c>
      <c r="T1088" t="s">
        <v>49059</v>
      </c>
      <c r="U1088" t="s">
        <v>50230</v>
      </c>
      <c r="W1088" t="s">
        <v>43317</v>
      </c>
      <c r="X1088" t="s">
        <v>47430</v>
      </c>
    </row>
    <row r="1089" spans="1:24">
      <c r="A1089">
        <f>HYPERLINK("https://www.philgeps.gov.ph/GEPSNONPILOT/Tender/SplashBidNoticeAbstractUI.aspx?menuIndex=3&amp;refID=7164152&amp;Result=3","7164152")</f>
        <v>0</v>
      </c>
      <c r="B1089" t="s">
        <v>338</v>
      </c>
      <c r="C1089" t="s">
        <v>4142</v>
      </c>
      <c r="D1089" t="s">
        <v>19019</v>
      </c>
      <c r="E1089" t="s">
        <v>20095</v>
      </c>
      <c r="F1089" t="s">
        <v>32831</v>
      </c>
      <c r="G1089" t="s">
        <v>32840</v>
      </c>
      <c r="H1089" t="s">
        <v>32848</v>
      </c>
      <c r="I1089" t="s">
        <v>32861</v>
      </c>
      <c r="J1089" t="s">
        <v>33775</v>
      </c>
      <c r="K1089" t="s">
        <v>42726</v>
      </c>
      <c r="M1089" t="s">
        <v>43341</v>
      </c>
      <c r="N1089" t="s">
        <v>47424</v>
      </c>
      <c r="O1089" t="s">
        <v>47425</v>
      </c>
      <c r="P1089">
        <v>0</v>
      </c>
      <c r="Q1089">
        <v>1</v>
      </c>
      <c r="R1089" t="s">
        <v>47426</v>
      </c>
      <c r="S1089" t="s">
        <v>47531</v>
      </c>
      <c r="T1089" t="s">
        <v>49056</v>
      </c>
      <c r="U1089" t="s">
        <v>50627</v>
      </c>
      <c r="W1089" t="s">
        <v>43341</v>
      </c>
      <c r="X1089" t="s">
        <v>47430</v>
      </c>
    </row>
    <row r="1090" spans="1:24">
      <c r="A1090">
        <f>HYPERLINK("https://www.philgeps.gov.ph/GEPSNONPILOT/Tender/SplashBidNoticeAbstractUI.aspx?menuIndex=3&amp;refID=7164487&amp;Result=3","7164487")</f>
        <v>0</v>
      </c>
      <c r="B1090" t="s">
        <v>362</v>
      </c>
      <c r="C1090" t="s">
        <v>4972</v>
      </c>
      <c r="D1090" t="s">
        <v>19023</v>
      </c>
      <c r="E1090" t="s">
        <v>20096</v>
      </c>
      <c r="F1090" t="s">
        <v>32831</v>
      </c>
      <c r="G1090" t="s">
        <v>32838</v>
      </c>
      <c r="H1090" t="s">
        <v>32848</v>
      </c>
      <c r="I1090" t="s">
        <v>32856</v>
      </c>
      <c r="J1090" t="s">
        <v>33776</v>
      </c>
      <c r="K1090" t="s">
        <v>42727</v>
      </c>
      <c r="M1090" t="s">
        <v>43366</v>
      </c>
      <c r="N1090" t="s">
        <v>47424</v>
      </c>
      <c r="O1090" t="s">
        <v>47425</v>
      </c>
      <c r="P1090">
        <v>0</v>
      </c>
      <c r="Q1090">
        <v>2</v>
      </c>
      <c r="R1090" t="s">
        <v>47426</v>
      </c>
      <c r="S1090" t="s">
        <v>47531</v>
      </c>
      <c r="T1090" t="s">
        <v>49079</v>
      </c>
      <c r="U1090" t="s">
        <v>50326</v>
      </c>
      <c r="W1090" t="s">
        <v>43366</v>
      </c>
      <c r="X1090" t="s">
        <v>47428</v>
      </c>
    </row>
    <row r="1091" spans="1:24">
      <c r="A1091">
        <f>HYPERLINK("https://www.philgeps.gov.ph/GEPSNONPILOT/Tender/SplashBidNoticeAbstractUI.aspx?menuIndex=3&amp;refID=7164406&amp;Result=3","7164406")</f>
        <v>0</v>
      </c>
      <c r="B1091" t="s">
        <v>525</v>
      </c>
      <c r="C1091" t="s">
        <v>4973</v>
      </c>
      <c r="D1091" t="s">
        <v>19029</v>
      </c>
      <c r="E1091" t="s">
        <v>20097</v>
      </c>
      <c r="F1091" t="s">
        <v>32831</v>
      </c>
      <c r="G1091" t="s">
        <v>32838</v>
      </c>
      <c r="H1091" t="s">
        <v>32848</v>
      </c>
      <c r="I1091" t="s">
        <v>32891</v>
      </c>
      <c r="J1091" t="s">
        <v>33777</v>
      </c>
      <c r="K1091" t="s">
        <v>42727</v>
      </c>
      <c r="M1091" t="s">
        <v>43531</v>
      </c>
      <c r="N1091" t="s">
        <v>47424</v>
      </c>
      <c r="O1091" t="s">
        <v>47425</v>
      </c>
      <c r="P1091">
        <v>0</v>
      </c>
      <c r="Q1091">
        <v>2</v>
      </c>
      <c r="R1091" t="s">
        <v>47427</v>
      </c>
      <c r="S1091" t="s">
        <v>47540</v>
      </c>
      <c r="T1091" t="s">
        <v>49081</v>
      </c>
      <c r="U1091" t="s">
        <v>50628</v>
      </c>
      <c r="W1091" t="s">
        <v>43531</v>
      </c>
      <c r="X1091" t="s">
        <v>47428</v>
      </c>
    </row>
    <row r="1092" spans="1:24">
      <c r="A1092">
        <f>HYPERLINK("https://www.philgeps.gov.ph/GEPSNONPILOT/Tender/SplashBidNoticeAbstractUI.aspx?menuIndex=3&amp;refID=7164599&amp;Result=3","7164599")</f>
        <v>0</v>
      </c>
      <c r="B1092" t="s">
        <v>365</v>
      </c>
      <c r="C1092" t="s">
        <v>4974</v>
      </c>
      <c r="D1092" t="s">
        <v>19020</v>
      </c>
      <c r="E1092" t="s">
        <v>20098</v>
      </c>
      <c r="F1092" t="s">
        <v>32831</v>
      </c>
      <c r="G1092" t="s">
        <v>32838</v>
      </c>
      <c r="H1092" t="s">
        <v>32848</v>
      </c>
      <c r="I1092" t="s">
        <v>6526</v>
      </c>
      <c r="J1092" t="s">
        <v>33778</v>
      </c>
      <c r="K1092" t="s">
        <v>42730</v>
      </c>
      <c r="M1092" t="s">
        <v>43369</v>
      </c>
      <c r="N1092" t="s">
        <v>47424</v>
      </c>
      <c r="O1092" t="s">
        <v>47425</v>
      </c>
      <c r="P1092">
        <v>0</v>
      </c>
      <c r="Q1092">
        <v>0</v>
      </c>
      <c r="R1092" t="s">
        <v>47426</v>
      </c>
      <c r="S1092" t="s">
        <v>47531</v>
      </c>
      <c r="T1092" t="s">
        <v>49056</v>
      </c>
      <c r="U1092" t="s">
        <v>50332</v>
      </c>
      <c r="V1092" t="s">
        <v>62701</v>
      </c>
      <c r="W1092" t="s">
        <v>43369</v>
      </c>
      <c r="X1092" t="s">
        <v>47428</v>
      </c>
    </row>
    <row r="1093" spans="1:24">
      <c r="A1093">
        <f>HYPERLINK("https://www.philgeps.gov.ph/GEPSNONPILOT/Tender/SplashBidNoticeAbstractUI.aspx?menuIndex=3&amp;refID=7164402&amp;Result=3","7164402")</f>
        <v>0</v>
      </c>
      <c r="B1093" t="s">
        <v>526</v>
      </c>
      <c r="C1093" t="s">
        <v>4975</v>
      </c>
      <c r="D1093" t="s">
        <v>19034</v>
      </c>
      <c r="E1093" t="s">
        <v>20099</v>
      </c>
      <c r="F1093" t="s">
        <v>32831</v>
      </c>
      <c r="G1093" t="s">
        <v>32839</v>
      </c>
      <c r="H1093" t="s">
        <v>32848</v>
      </c>
      <c r="I1093" t="s">
        <v>4776</v>
      </c>
      <c r="J1093" t="s">
        <v>33779</v>
      </c>
      <c r="K1093" t="s">
        <v>42730</v>
      </c>
      <c r="M1093" t="s">
        <v>43532</v>
      </c>
      <c r="N1093" t="s">
        <v>47424</v>
      </c>
      <c r="O1093" t="s">
        <v>47425</v>
      </c>
      <c r="P1093">
        <v>0</v>
      </c>
      <c r="Q1093">
        <v>4</v>
      </c>
      <c r="R1093" t="s">
        <v>47427</v>
      </c>
      <c r="S1093" t="s">
        <v>47540</v>
      </c>
      <c r="T1093" t="s">
        <v>49066</v>
      </c>
      <c r="U1093" t="s">
        <v>50629</v>
      </c>
      <c r="W1093" t="s">
        <v>43532</v>
      </c>
      <c r="X1093" t="s">
        <v>47428</v>
      </c>
    </row>
    <row r="1094" spans="1:24">
      <c r="A1094">
        <f>HYPERLINK("https://www.philgeps.gov.ph/GEPSNONPILOT/Tender/SplashBidNoticeAbstractUI.aspx?menuIndex=3&amp;refID=7164145&amp;Result=3","7164145")</f>
        <v>0</v>
      </c>
      <c r="B1094" t="s">
        <v>338</v>
      </c>
      <c r="C1094" t="s">
        <v>4142</v>
      </c>
      <c r="D1094" t="s">
        <v>19019</v>
      </c>
      <c r="E1094" t="s">
        <v>20100</v>
      </c>
      <c r="F1094" t="s">
        <v>32831</v>
      </c>
      <c r="G1094" t="s">
        <v>32840</v>
      </c>
      <c r="H1094" t="s">
        <v>32848</v>
      </c>
      <c r="I1094" t="s">
        <v>32857</v>
      </c>
      <c r="J1094" t="s">
        <v>33175</v>
      </c>
      <c r="K1094" t="s">
        <v>42726</v>
      </c>
      <c r="M1094" t="s">
        <v>43341</v>
      </c>
      <c r="N1094" t="s">
        <v>47424</v>
      </c>
      <c r="O1094" t="s">
        <v>47425</v>
      </c>
      <c r="P1094">
        <v>0</v>
      </c>
      <c r="Q1094">
        <v>1</v>
      </c>
      <c r="R1094" t="s">
        <v>47426</v>
      </c>
      <c r="S1094" t="s">
        <v>47531</v>
      </c>
      <c r="T1094" t="s">
        <v>49056</v>
      </c>
      <c r="U1094" t="s">
        <v>50630</v>
      </c>
      <c r="W1094" t="s">
        <v>43341</v>
      </c>
      <c r="X1094" t="s">
        <v>47430</v>
      </c>
    </row>
    <row r="1095" spans="1:24">
      <c r="A1095">
        <f>HYPERLINK("https://www.philgeps.gov.ph/GEPSNONPILOT/Tender/SplashBidNoticeAbstractUI.aspx?menuIndex=3&amp;refID=7164394&amp;Result=3","7164394")</f>
        <v>0</v>
      </c>
      <c r="B1095" t="s">
        <v>527</v>
      </c>
      <c r="C1095" t="s">
        <v>4976</v>
      </c>
      <c r="D1095" t="s">
        <v>19090</v>
      </c>
      <c r="E1095" t="s">
        <v>20101</v>
      </c>
      <c r="F1095" t="s">
        <v>32831</v>
      </c>
      <c r="G1095" t="s">
        <v>32839</v>
      </c>
      <c r="H1095" t="s">
        <v>32848</v>
      </c>
      <c r="I1095" t="s">
        <v>10643</v>
      </c>
      <c r="J1095" t="s">
        <v>33780</v>
      </c>
      <c r="K1095" t="s">
        <v>42759</v>
      </c>
      <c r="M1095" t="s">
        <v>43533</v>
      </c>
      <c r="N1095" t="s">
        <v>47424</v>
      </c>
      <c r="O1095" t="s">
        <v>47425</v>
      </c>
      <c r="P1095">
        <v>0</v>
      </c>
      <c r="Q1095">
        <v>1</v>
      </c>
      <c r="R1095" t="s">
        <v>47427</v>
      </c>
      <c r="S1095" t="s">
        <v>47540</v>
      </c>
      <c r="T1095" t="s">
        <v>49091</v>
      </c>
      <c r="U1095" t="s">
        <v>50026</v>
      </c>
      <c r="W1095" t="s">
        <v>43533</v>
      </c>
      <c r="X1095" t="s">
        <v>47428</v>
      </c>
    </row>
    <row r="1096" spans="1:24">
      <c r="A1096">
        <f>HYPERLINK("https://www.philgeps.gov.ph/GEPSNONPILOT/Tender/SplashBidNoticeAbstractUI.aspx?menuIndex=3&amp;refID=7164407&amp;Result=3","7164407")</f>
        <v>0</v>
      </c>
      <c r="B1096" t="s">
        <v>525</v>
      </c>
      <c r="C1096" t="s">
        <v>4977</v>
      </c>
      <c r="D1096" t="s">
        <v>19029</v>
      </c>
      <c r="E1096" t="s">
        <v>20102</v>
      </c>
      <c r="F1096" t="s">
        <v>32831</v>
      </c>
      <c r="G1096" t="s">
        <v>32838</v>
      </c>
      <c r="H1096" t="s">
        <v>32848</v>
      </c>
      <c r="I1096" t="s">
        <v>32857</v>
      </c>
      <c r="J1096" t="s">
        <v>33781</v>
      </c>
      <c r="K1096" t="s">
        <v>42727</v>
      </c>
      <c r="M1096" t="s">
        <v>43531</v>
      </c>
      <c r="N1096" t="s">
        <v>47424</v>
      </c>
      <c r="O1096" t="s">
        <v>47425</v>
      </c>
      <c r="P1096">
        <v>0</v>
      </c>
      <c r="Q1096">
        <v>6</v>
      </c>
      <c r="R1096" t="s">
        <v>47427</v>
      </c>
      <c r="S1096" t="s">
        <v>47540</v>
      </c>
      <c r="T1096" t="s">
        <v>49081</v>
      </c>
      <c r="U1096" t="s">
        <v>50631</v>
      </c>
      <c r="W1096" t="s">
        <v>43531</v>
      </c>
      <c r="X1096" t="s">
        <v>47428</v>
      </c>
    </row>
    <row r="1097" spans="1:24">
      <c r="A1097">
        <f>HYPERLINK("https://www.philgeps.gov.ph/GEPSNONPILOT/Tender/SplashBidNoticeAbstractUI.aspx?menuIndex=3&amp;refID=7164347&amp;Result=3","7164347")</f>
        <v>0</v>
      </c>
      <c r="B1097" t="s">
        <v>516</v>
      </c>
      <c r="C1097" t="s">
        <v>4978</v>
      </c>
      <c r="D1097" t="s">
        <v>19021</v>
      </c>
      <c r="E1097" t="s">
        <v>20103</v>
      </c>
      <c r="F1097" t="s">
        <v>32831</v>
      </c>
      <c r="G1097" t="s">
        <v>32839</v>
      </c>
      <c r="H1097" t="s">
        <v>32849</v>
      </c>
      <c r="I1097" t="s">
        <v>4177</v>
      </c>
      <c r="J1097" t="s">
        <v>33782</v>
      </c>
      <c r="K1097" t="s">
        <v>42766</v>
      </c>
      <c r="M1097" t="s">
        <v>43521</v>
      </c>
      <c r="N1097" t="s">
        <v>47424</v>
      </c>
      <c r="O1097" t="s">
        <v>47425</v>
      </c>
      <c r="P1097">
        <v>0</v>
      </c>
      <c r="Q1097">
        <v>4</v>
      </c>
      <c r="R1097" t="s">
        <v>47427</v>
      </c>
      <c r="S1097" t="s">
        <v>47540</v>
      </c>
      <c r="T1097" t="s">
        <v>49181</v>
      </c>
      <c r="U1097" t="s">
        <v>50632</v>
      </c>
      <c r="V1097" t="s">
        <v>62742</v>
      </c>
      <c r="W1097" t="s">
        <v>43521</v>
      </c>
      <c r="X1097" t="s">
        <v>47428</v>
      </c>
    </row>
    <row r="1098" spans="1:24">
      <c r="A1098">
        <f>HYPERLINK("https://www.philgeps.gov.ph/GEPSNONPILOT/Tender/SplashBidNoticeAbstractUI.aspx?menuIndex=3&amp;refID=7164390&amp;Result=3","7164390")</f>
        <v>0</v>
      </c>
      <c r="B1098" t="s">
        <v>528</v>
      </c>
      <c r="C1098" t="s">
        <v>4979</v>
      </c>
      <c r="D1098" t="s">
        <v>19027</v>
      </c>
      <c r="E1098" t="s">
        <v>20104</v>
      </c>
      <c r="F1098" t="s">
        <v>32831</v>
      </c>
      <c r="G1098" t="s">
        <v>32838</v>
      </c>
      <c r="H1098" t="s">
        <v>32849</v>
      </c>
      <c r="I1098" t="s">
        <v>7416</v>
      </c>
      <c r="J1098" t="s">
        <v>33090</v>
      </c>
      <c r="K1098" t="s">
        <v>42730</v>
      </c>
      <c r="M1098" t="s">
        <v>43534</v>
      </c>
      <c r="N1098" t="s">
        <v>47424</v>
      </c>
      <c r="O1098" t="s">
        <v>47425</v>
      </c>
      <c r="P1098">
        <v>0</v>
      </c>
      <c r="Q1098">
        <v>0</v>
      </c>
      <c r="R1098" t="s">
        <v>47427</v>
      </c>
      <c r="S1098" t="s">
        <v>47540</v>
      </c>
      <c r="T1098" t="s">
        <v>49214</v>
      </c>
      <c r="U1098" t="s">
        <v>50633</v>
      </c>
      <c r="W1098" t="s">
        <v>43534</v>
      </c>
      <c r="X1098" t="s">
        <v>47428</v>
      </c>
    </row>
    <row r="1099" spans="1:24">
      <c r="A1099">
        <f>HYPERLINK("https://www.philgeps.gov.ph/GEPSNONPILOT/Tender/SplashBidNoticeAbstractUI.aspx?menuIndex=3&amp;refID=7164389&amp;Result=3","7164389")</f>
        <v>0</v>
      </c>
      <c r="B1099" t="s">
        <v>513</v>
      </c>
      <c r="C1099" t="s">
        <v>4980</v>
      </c>
      <c r="D1099" t="s">
        <v>19018</v>
      </c>
      <c r="E1099" t="s">
        <v>20105</v>
      </c>
      <c r="F1099" t="s">
        <v>32831</v>
      </c>
      <c r="G1099" t="s">
        <v>32842</v>
      </c>
      <c r="H1099" t="s">
        <v>32848</v>
      </c>
      <c r="I1099" t="s">
        <v>4340</v>
      </c>
      <c r="J1099" t="s">
        <v>33783</v>
      </c>
      <c r="K1099" t="s">
        <v>42726</v>
      </c>
      <c r="M1099" t="s">
        <v>43518</v>
      </c>
      <c r="N1099" t="s">
        <v>47424</v>
      </c>
      <c r="O1099" t="s">
        <v>47425</v>
      </c>
      <c r="P1099">
        <v>0</v>
      </c>
      <c r="Q1099">
        <v>1</v>
      </c>
      <c r="R1099" t="s">
        <v>47427</v>
      </c>
      <c r="S1099" t="s">
        <v>47540</v>
      </c>
      <c r="T1099" t="s">
        <v>49214</v>
      </c>
      <c r="U1099" t="s">
        <v>50594</v>
      </c>
      <c r="W1099" t="s">
        <v>64441</v>
      </c>
      <c r="X1099" t="s">
        <v>47428</v>
      </c>
    </row>
    <row r="1100" spans="1:24">
      <c r="A1100">
        <f>HYPERLINK("https://www.philgeps.gov.ph/GEPSNONPILOT/Tender/SplashBidNoticeAbstractUI.aspx?menuIndex=3&amp;refID=7164385&amp;Result=3","7164385")</f>
        <v>0</v>
      </c>
      <c r="B1100" t="s">
        <v>513</v>
      </c>
      <c r="C1100" t="s">
        <v>4930</v>
      </c>
      <c r="D1100" t="s">
        <v>19018</v>
      </c>
      <c r="E1100" t="s">
        <v>20106</v>
      </c>
      <c r="F1100" t="s">
        <v>32831</v>
      </c>
      <c r="G1100" t="s">
        <v>32842</v>
      </c>
      <c r="H1100" t="s">
        <v>32848</v>
      </c>
      <c r="I1100" t="s">
        <v>9577</v>
      </c>
      <c r="J1100" t="s">
        <v>33784</v>
      </c>
      <c r="K1100" t="s">
        <v>42726</v>
      </c>
      <c r="M1100" t="s">
        <v>43518</v>
      </c>
      <c r="N1100" t="s">
        <v>47424</v>
      </c>
      <c r="O1100" t="s">
        <v>47425</v>
      </c>
      <c r="P1100">
        <v>0</v>
      </c>
      <c r="Q1100">
        <v>1</v>
      </c>
      <c r="R1100" t="s">
        <v>47427</v>
      </c>
      <c r="S1100" t="s">
        <v>47540</v>
      </c>
      <c r="T1100" t="s">
        <v>49214</v>
      </c>
      <c r="U1100" t="s">
        <v>50594</v>
      </c>
      <c r="W1100" t="s">
        <v>64441</v>
      </c>
      <c r="X1100" t="s">
        <v>47428</v>
      </c>
    </row>
    <row r="1101" spans="1:24">
      <c r="A1101">
        <f>HYPERLINK("https://www.philgeps.gov.ph/GEPSNONPILOT/Tender/SplashBidNoticeAbstractUI.aspx?menuIndex=3&amp;refID=7164449&amp;Result=3","7164449")</f>
        <v>0</v>
      </c>
      <c r="B1101" t="s">
        <v>217</v>
      </c>
      <c r="C1101" t="s">
        <v>4981</v>
      </c>
      <c r="D1101" t="s">
        <v>19037</v>
      </c>
      <c r="E1101" t="s">
        <v>20107</v>
      </c>
      <c r="F1101" t="s">
        <v>32831</v>
      </c>
      <c r="G1101" t="s">
        <v>32839</v>
      </c>
      <c r="H1101" t="s">
        <v>32848</v>
      </c>
      <c r="I1101" t="s">
        <v>7416</v>
      </c>
      <c r="J1101" t="s">
        <v>33785</v>
      </c>
      <c r="K1101" t="s">
        <v>42730</v>
      </c>
      <c r="M1101" t="s">
        <v>43392</v>
      </c>
      <c r="N1101" t="s">
        <v>47424</v>
      </c>
      <c r="O1101" t="s">
        <v>47425</v>
      </c>
      <c r="P1101">
        <v>0</v>
      </c>
      <c r="Q1101">
        <v>0</v>
      </c>
      <c r="R1101" t="s">
        <v>47427</v>
      </c>
      <c r="S1101" t="s">
        <v>47540</v>
      </c>
      <c r="T1101" t="s">
        <v>49057</v>
      </c>
      <c r="U1101" t="s">
        <v>50634</v>
      </c>
      <c r="W1101" t="s">
        <v>43392</v>
      </c>
      <c r="X1101" t="s">
        <v>47428</v>
      </c>
    </row>
    <row r="1102" spans="1:24">
      <c r="A1102">
        <f>HYPERLINK("https://www.philgeps.gov.ph/GEPSNONPILOT/Tender/SplashBidNoticeAbstractUI.aspx?menuIndex=3&amp;refID=7164457&amp;Result=3","7164457")</f>
        <v>0</v>
      </c>
      <c r="B1102" t="s">
        <v>529</v>
      </c>
      <c r="C1102" t="s">
        <v>4982</v>
      </c>
      <c r="D1102" t="s">
        <v>19078</v>
      </c>
      <c r="E1102" t="s">
        <v>20108</v>
      </c>
      <c r="F1102" t="s">
        <v>32831</v>
      </c>
      <c r="G1102" t="s">
        <v>32838</v>
      </c>
      <c r="H1102" t="s">
        <v>32848</v>
      </c>
      <c r="I1102" t="s">
        <v>9577</v>
      </c>
      <c r="J1102" t="s">
        <v>33786</v>
      </c>
      <c r="K1102" t="s">
        <v>42727</v>
      </c>
      <c r="M1102" t="s">
        <v>43535</v>
      </c>
      <c r="N1102" t="s">
        <v>47424</v>
      </c>
      <c r="O1102" t="s">
        <v>47425</v>
      </c>
      <c r="P1102">
        <v>0</v>
      </c>
      <c r="Q1102">
        <v>2</v>
      </c>
      <c r="R1102" t="s">
        <v>47427</v>
      </c>
      <c r="S1102" t="s">
        <v>47540</v>
      </c>
      <c r="T1102" t="s">
        <v>49107</v>
      </c>
      <c r="U1102" t="s">
        <v>50635</v>
      </c>
      <c r="W1102" t="s">
        <v>43535</v>
      </c>
      <c r="X1102" t="s">
        <v>47428</v>
      </c>
    </row>
    <row r="1103" spans="1:24">
      <c r="A1103">
        <f>HYPERLINK("https://www.philgeps.gov.ph/GEPSNONPILOT/Tender/SplashBidNoticeAbstractUI.aspx?menuIndex=3&amp;refID=7164455&amp;Result=3","7164455")</f>
        <v>0</v>
      </c>
      <c r="B1103" t="s">
        <v>530</v>
      </c>
      <c r="C1103" t="s">
        <v>4983</v>
      </c>
      <c r="D1103" t="s">
        <v>19062</v>
      </c>
      <c r="E1103" t="s">
        <v>20109</v>
      </c>
      <c r="F1103" t="s">
        <v>32831</v>
      </c>
      <c r="G1103" t="s">
        <v>32839</v>
      </c>
      <c r="H1103" t="s">
        <v>32849</v>
      </c>
      <c r="I1103" t="s">
        <v>4177</v>
      </c>
      <c r="J1103" t="s">
        <v>33787</v>
      </c>
      <c r="K1103" t="s">
        <v>42794</v>
      </c>
      <c r="M1103" t="s">
        <v>43536</v>
      </c>
      <c r="N1103" t="s">
        <v>47424</v>
      </c>
      <c r="O1103" t="s">
        <v>47425</v>
      </c>
      <c r="P1103">
        <v>0</v>
      </c>
      <c r="Q1103">
        <v>0</v>
      </c>
      <c r="R1103" t="s">
        <v>47427</v>
      </c>
      <c r="S1103" t="s">
        <v>47540</v>
      </c>
      <c r="T1103" t="s">
        <v>49204</v>
      </c>
      <c r="U1103" t="s">
        <v>50636</v>
      </c>
      <c r="W1103" t="s">
        <v>43536</v>
      </c>
      <c r="X1103" t="s">
        <v>47428</v>
      </c>
    </row>
    <row r="1104" spans="1:24">
      <c r="A1104">
        <f>HYPERLINK("https://www.philgeps.gov.ph/GEPSNONPILOT/Tender/SplashBidNoticeAbstractUI.aspx?menuIndex=3&amp;refID=7164405&amp;Result=3","7164405")</f>
        <v>0</v>
      </c>
      <c r="B1104" t="s">
        <v>525</v>
      </c>
      <c r="C1104" t="s">
        <v>4984</v>
      </c>
      <c r="D1104" t="s">
        <v>19029</v>
      </c>
      <c r="E1104" t="s">
        <v>20110</v>
      </c>
      <c r="F1104" t="s">
        <v>32831</v>
      </c>
      <c r="G1104" t="s">
        <v>32838</v>
      </c>
      <c r="H1104" t="s">
        <v>32848</v>
      </c>
      <c r="I1104" t="s">
        <v>32871</v>
      </c>
      <c r="J1104" t="s">
        <v>33788</v>
      </c>
      <c r="K1104" t="s">
        <v>42727</v>
      </c>
      <c r="M1104" t="s">
        <v>43531</v>
      </c>
      <c r="N1104" t="s">
        <v>47424</v>
      </c>
      <c r="O1104" t="s">
        <v>47425</v>
      </c>
      <c r="P1104">
        <v>0</v>
      </c>
      <c r="Q1104">
        <v>3</v>
      </c>
      <c r="R1104" t="s">
        <v>47427</v>
      </c>
      <c r="S1104" t="s">
        <v>47540</v>
      </c>
      <c r="T1104" t="s">
        <v>49081</v>
      </c>
      <c r="U1104" t="s">
        <v>50637</v>
      </c>
      <c r="W1104" t="s">
        <v>43531</v>
      </c>
      <c r="X1104" t="s">
        <v>47428</v>
      </c>
    </row>
    <row r="1105" spans="1:24">
      <c r="A1105">
        <f>HYPERLINK("https://www.philgeps.gov.ph/GEPSNONPILOT/Tender/SplashBidNoticeAbstractUI.aspx?menuIndex=3&amp;refID=7164454&amp;Result=3","7164454")</f>
        <v>0</v>
      </c>
      <c r="B1105" t="s">
        <v>531</v>
      </c>
      <c r="C1105" t="s">
        <v>4985</v>
      </c>
      <c r="D1105" t="s">
        <v>19027</v>
      </c>
      <c r="E1105" t="s">
        <v>20111</v>
      </c>
      <c r="F1105" t="s">
        <v>32831</v>
      </c>
      <c r="G1105" t="s">
        <v>32838</v>
      </c>
      <c r="H1105" t="s">
        <v>32848</v>
      </c>
      <c r="I1105" t="s">
        <v>9577</v>
      </c>
      <c r="J1105" t="s">
        <v>33789</v>
      </c>
      <c r="K1105" t="s">
        <v>42732</v>
      </c>
      <c r="M1105" t="s">
        <v>43537</v>
      </c>
      <c r="N1105" t="s">
        <v>47424</v>
      </c>
      <c r="O1105" t="s">
        <v>47425</v>
      </c>
      <c r="P1105">
        <v>0</v>
      </c>
      <c r="Q1105">
        <v>4</v>
      </c>
      <c r="R1105" t="s">
        <v>47427</v>
      </c>
      <c r="S1105" t="s">
        <v>47540</v>
      </c>
      <c r="T1105" t="s">
        <v>49214</v>
      </c>
      <c r="U1105" t="s">
        <v>50638</v>
      </c>
      <c r="W1105" t="s">
        <v>43537</v>
      </c>
      <c r="X1105" t="s">
        <v>47428</v>
      </c>
    </row>
    <row r="1106" spans="1:24">
      <c r="A1106">
        <f>HYPERLINK("https://www.philgeps.gov.ph/GEPSNONPILOT/Tender/SplashBidNoticeAbstractUI.aspx?menuIndex=3&amp;refID=7164450&amp;Result=3","7164450")</f>
        <v>0</v>
      </c>
      <c r="B1106" t="s">
        <v>525</v>
      </c>
      <c r="C1106" t="s">
        <v>4986</v>
      </c>
      <c r="D1106" t="s">
        <v>19029</v>
      </c>
      <c r="E1106" t="s">
        <v>20112</v>
      </c>
      <c r="F1106" t="s">
        <v>32831</v>
      </c>
      <c r="G1106" t="s">
        <v>32839</v>
      </c>
      <c r="H1106" t="s">
        <v>32848</v>
      </c>
      <c r="I1106" t="s">
        <v>32874</v>
      </c>
      <c r="J1106" t="s">
        <v>33472</v>
      </c>
      <c r="K1106" t="s">
        <v>42727</v>
      </c>
      <c r="M1106" t="s">
        <v>43531</v>
      </c>
      <c r="N1106" t="s">
        <v>47424</v>
      </c>
      <c r="O1106" t="s">
        <v>47425</v>
      </c>
      <c r="P1106">
        <v>0</v>
      </c>
      <c r="Q1106">
        <v>15</v>
      </c>
      <c r="R1106" t="s">
        <v>47427</v>
      </c>
      <c r="S1106" t="s">
        <v>47540</v>
      </c>
      <c r="T1106" t="s">
        <v>49071</v>
      </c>
      <c r="U1106" t="s">
        <v>50639</v>
      </c>
      <c r="W1106" t="s">
        <v>43531</v>
      </c>
      <c r="X1106" t="s">
        <v>47428</v>
      </c>
    </row>
    <row r="1107" spans="1:24">
      <c r="A1107">
        <f>HYPERLINK("https://www.philgeps.gov.ph/GEPSNONPILOT/Tender/SplashBidNoticeAbstractUI.aspx?menuIndex=3&amp;refID=7164401&amp;Result=3","7164401")</f>
        <v>0</v>
      </c>
      <c r="B1107" t="s">
        <v>532</v>
      </c>
      <c r="C1107" t="s">
        <v>4987</v>
      </c>
      <c r="D1107" t="s">
        <v>19045</v>
      </c>
      <c r="E1107" t="s">
        <v>20113</v>
      </c>
      <c r="F1107" t="s">
        <v>32831</v>
      </c>
      <c r="G1107" t="s">
        <v>32838</v>
      </c>
      <c r="H1107" t="s">
        <v>32848</v>
      </c>
      <c r="I1107" t="s">
        <v>32916</v>
      </c>
      <c r="J1107" t="s">
        <v>33090</v>
      </c>
      <c r="K1107" t="s">
        <v>42732</v>
      </c>
      <c r="M1107" t="s">
        <v>43538</v>
      </c>
      <c r="N1107" t="s">
        <v>47424</v>
      </c>
      <c r="O1107" t="s">
        <v>47425</v>
      </c>
      <c r="P1107">
        <v>0</v>
      </c>
      <c r="Q1107">
        <v>2</v>
      </c>
      <c r="R1107" t="s">
        <v>47427</v>
      </c>
      <c r="S1107" t="s">
        <v>47540</v>
      </c>
      <c r="T1107" t="s">
        <v>49107</v>
      </c>
      <c r="U1107" t="s">
        <v>50640</v>
      </c>
      <c r="W1107" t="s">
        <v>43538</v>
      </c>
      <c r="X1107" t="s">
        <v>47428</v>
      </c>
    </row>
    <row r="1108" spans="1:24">
      <c r="A1108">
        <f>HYPERLINK("https://www.philgeps.gov.ph/GEPSNONPILOT/Tender/SplashBidNoticeAbstractUI.aspx?menuIndex=3&amp;refID=7164443&amp;Result=3","7164443")</f>
        <v>0</v>
      </c>
      <c r="B1108" t="s">
        <v>217</v>
      </c>
      <c r="C1108" t="s">
        <v>4988</v>
      </c>
      <c r="D1108" t="s">
        <v>19037</v>
      </c>
      <c r="E1108" t="s">
        <v>20114</v>
      </c>
      <c r="F1108" t="s">
        <v>32831</v>
      </c>
      <c r="G1108" t="s">
        <v>32839</v>
      </c>
      <c r="H1108" t="s">
        <v>32848</v>
      </c>
      <c r="I1108" t="s">
        <v>7416</v>
      </c>
      <c r="J1108" t="s">
        <v>33790</v>
      </c>
      <c r="K1108" t="s">
        <v>42730</v>
      </c>
      <c r="M1108" t="s">
        <v>43392</v>
      </c>
      <c r="N1108" t="s">
        <v>47424</v>
      </c>
      <c r="O1108" t="s">
        <v>47425</v>
      </c>
      <c r="P1108">
        <v>0</v>
      </c>
      <c r="Q1108">
        <v>0</v>
      </c>
      <c r="R1108" t="s">
        <v>47427</v>
      </c>
      <c r="S1108" t="s">
        <v>47540</v>
      </c>
      <c r="T1108" t="s">
        <v>49057</v>
      </c>
      <c r="U1108" t="s">
        <v>50641</v>
      </c>
      <c r="W1108" t="s">
        <v>43392</v>
      </c>
      <c r="X1108" t="s">
        <v>47428</v>
      </c>
    </row>
    <row r="1109" spans="1:24">
      <c r="A1109">
        <f>HYPERLINK("https://www.philgeps.gov.ph/GEPSNONPILOT/Tender/SplashBidNoticeAbstractUI.aspx?menuIndex=3&amp;refID=7164395&amp;Result=3","7164395")</f>
        <v>0</v>
      </c>
      <c r="B1109" t="s">
        <v>513</v>
      </c>
      <c r="C1109" t="s">
        <v>4980</v>
      </c>
      <c r="D1109" t="s">
        <v>19018</v>
      </c>
      <c r="E1109" t="s">
        <v>20115</v>
      </c>
      <c r="F1109" t="s">
        <v>32831</v>
      </c>
      <c r="G1109" t="s">
        <v>32842</v>
      </c>
      <c r="H1109" t="s">
        <v>32848</v>
      </c>
      <c r="I1109" t="s">
        <v>4340</v>
      </c>
      <c r="J1109" t="s">
        <v>33791</v>
      </c>
      <c r="K1109" t="s">
        <v>42726</v>
      </c>
      <c r="M1109" t="s">
        <v>43518</v>
      </c>
      <c r="N1109" t="s">
        <v>47424</v>
      </c>
      <c r="O1109" t="s">
        <v>47425</v>
      </c>
      <c r="P1109">
        <v>0</v>
      </c>
      <c r="Q1109">
        <v>2</v>
      </c>
      <c r="R1109" t="s">
        <v>47427</v>
      </c>
      <c r="S1109" t="s">
        <v>47540</v>
      </c>
      <c r="T1109" t="s">
        <v>49214</v>
      </c>
      <c r="U1109" t="s">
        <v>50594</v>
      </c>
      <c r="W1109" t="s">
        <v>64441</v>
      </c>
      <c r="X1109" t="s">
        <v>47428</v>
      </c>
    </row>
    <row r="1110" spans="1:24">
      <c r="A1110">
        <f>HYPERLINK("https://www.philgeps.gov.ph/GEPSNONPILOT/Tender/SplashBidNoticeAbstractUI.aspx?menuIndex=3&amp;refID=7164437&amp;Result=3","7164437")</f>
        <v>0</v>
      </c>
      <c r="B1110" t="s">
        <v>217</v>
      </c>
      <c r="C1110" t="s">
        <v>4989</v>
      </c>
      <c r="D1110" t="s">
        <v>19037</v>
      </c>
      <c r="E1110" t="s">
        <v>20116</v>
      </c>
      <c r="F1110" t="s">
        <v>32831</v>
      </c>
      <c r="G1110" t="s">
        <v>32839</v>
      </c>
      <c r="H1110" t="s">
        <v>32848</v>
      </c>
      <c r="I1110" t="s">
        <v>7416</v>
      </c>
      <c r="J1110" t="s">
        <v>33792</v>
      </c>
      <c r="K1110" t="s">
        <v>42730</v>
      </c>
      <c r="M1110" t="s">
        <v>43392</v>
      </c>
      <c r="N1110" t="s">
        <v>47424</v>
      </c>
      <c r="O1110" t="s">
        <v>47425</v>
      </c>
      <c r="P1110">
        <v>0</v>
      </c>
      <c r="Q1110">
        <v>0</v>
      </c>
      <c r="R1110" t="s">
        <v>47427</v>
      </c>
      <c r="S1110" t="s">
        <v>47540</v>
      </c>
      <c r="T1110" t="s">
        <v>49057</v>
      </c>
      <c r="U1110" t="s">
        <v>50642</v>
      </c>
      <c r="W1110" t="s">
        <v>43392</v>
      </c>
      <c r="X1110" t="s">
        <v>47428</v>
      </c>
    </row>
    <row r="1111" spans="1:24">
      <c r="A1111">
        <f>HYPERLINK("https://www.philgeps.gov.ph/GEPSNONPILOT/Tender/SplashBidNoticeAbstractUI.aspx?menuIndex=3&amp;refID=7164434&amp;Result=3","7164434")</f>
        <v>0</v>
      </c>
      <c r="B1111" t="s">
        <v>533</v>
      </c>
      <c r="C1111" t="s">
        <v>4990</v>
      </c>
      <c r="D1111" t="s">
        <v>19054</v>
      </c>
      <c r="E1111" t="s">
        <v>20117</v>
      </c>
      <c r="F1111" t="s">
        <v>32831</v>
      </c>
      <c r="G1111" t="s">
        <v>32839</v>
      </c>
      <c r="H1111" t="s">
        <v>32848</v>
      </c>
      <c r="I1111" t="s">
        <v>32890</v>
      </c>
      <c r="J1111" t="s">
        <v>33279</v>
      </c>
      <c r="K1111" t="s">
        <v>42745</v>
      </c>
      <c r="M1111" t="s">
        <v>43539</v>
      </c>
      <c r="N1111" t="s">
        <v>47424</v>
      </c>
      <c r="O1111" t="s">
        <v>47425</v>
      </c>
      <c r="P1111">
        <v>0</v>
      </c>
      <c r="Q1111">
        <v>0</v>
      </c>
      <c r="R1111" t="s">
        <v>47427</v>
      </c>
      <c r="S1111" t="s">
        <v>47540</v>
      </c>
      <c r="T1111" t="s">
        <v>49172</v>
      </c>
      <c r="U1111" t="s">
        <v>50643</v>
      </c>
      <c r="V1111" t="s">
        <v>62746</v>
      </c>
      <c r="W1111" t="s">
        <v>43539</v>
      </c>
      <c r="X1111" t="s">
        <v>47428</v>
      </c>
    </row>
    <row r="1112" spans="1:24">
      <c r="A1112">
        <f>HYPERLINK("https://www.philgeps.gov.ph/GEPSNONPILOT/Tender/SplashBidNoticeAbstractUI.aspx?menuIndex=3&amp;refID=7164430&amp;Result=3","7164430")</f>
        <v>0</v>
      </c>
      <c r="B1112" t="s">
        <v>533</v>
      </c>
      <c r="C1112" t="s">
        <v>4991</v>
      </c>
      <c r="D1112" t="s">
        <v>19054</v>
      </c>
      <c r="E1112" t="s">
        <v>20118</v>
      </c>
      <c r="F1112" t="s">
        <v>32831</v>
      </c>
      <c r="G1112" t="s">
        <v>32839</v>
      </c>
      <c r="H1112" t="s">
        <v>32848</v>
      </c>
      <c r="I1112" t="s">
        <v>4438</v>
      </c>
      <c r="J1112" t="s">
        <v>33793</v>
      </c>
      <c r="K1112" t="s">
        <v>42745</v>
      </c>
      <c r="M1112" t="s">
        <v>43539</v>
      </c>
      <c r="N1112" t="s">
        <v>47424</v>
      </c>
      <c r="O1112" t="s">
        <v>47425</v>
      </c>
      <c r="P1112">
        <v>0</v>
      </c>
      <c r="Q1112">
        <v>0</v>
      </c>
      <c r="R1112" t="s">
        <v>47427</v>
      </c>
      <c r="S1112" t="s">
        <v>47540</v>
      </c>
      <c r="T1112" t="s">
        <v>49172</v>
      </c>
      <c r="U1112" t="s">
        <v>50644</v>
      </c>
      <c r="V1112" t="s">
        <v>62746</v>
      </c>
      <c r="W1112" t="s">
        <v>43539</v>
      </c>
      <c r="X1112" t="s">
        <v>47428</v>
      </c>
    </row>
    <row r="1113" spans="1:24">
      <c r="A1113">
        <f>HYPERLINK("https://www.philgeps.gov.ph/GEPSNONPILOT/Tender/SplashBidNoticeAbstractUI.aspx?menuIndex=3&amp;refID=7164447&amp;Result=3","7164447")</f>
        <v>0</v>
      </c>
      <c r="B1113" t="s">
        <v>502</v>
      </c>
      <c r="C1113" t="s">
        <v>4992</v>
      </c>
      <c r="D1113" t="s">
        <v>19026</v>
      </c>
      <c r="E1113" t="s">
        <v>20119</v>
      </c>
      <c r="F1113" t="s">
        <v>32831</v>
      </c>
      <c r="G1113" t="s">
        <v>32839</v>
      </c>
      <c r="H1113" t="s">
        <v>32848</v>
      </c>
      <c r="I1113" t="s">
        <v>32883</v>
      </c>
      <c r="J1113" t="s">
        <v>33794</v>
      </c>
      <c r="K1113" t="s">
        <v>42750</v>
      </c>
      <c r="M1113" t="s">
        <v>43507</v>
      </c>
      <c r="N1113" t="s">
        <v>47424</v>
      </c>
      <c r="O1113" t="s">
        <v>47425</v>
      </c>
      <c r="P1113">
        <v>0</v>
      </c>
      <c r="Q1113">
        <v>1</v>
      </c>
      <c r="R1113" t="s">
        <v>47427</v>
      </c>
      <c r="S1113" t="s">
        <v>47540</v>
      </c>
      <c r="T1113" t="s">
        <v>49109</v>
      </c>
      <c r="U1113" t="s">
        <v>50645</v>
      </c>
      <c r="W1113" t="s">
        <v>43507</v>
      </c>
      <c r="X1113" t="s">
        <v>47428</v>
      </c>
    </row>
    <row r="1114" spans="1:24">
      <c r="A1114">
        <f>HYPERLINK("https://www.philgeps.gov.ph/GEPSNONPILOT/Tender/SplashBidNoticeAbstractUI.aspx?menuIndex=3&amp;refID=7164423&amp;Result=3","7164423")</f>
        <v>0</v>
      </c>
      <c r="B1114" t="s">
        <v>349</v>
      </c>
      <c r="C1114" t="s">
        <v>4993</v>
      </c>
      <c r="D1114" t="s">
        <v>19023</v>
      </c>
      <c r="E1114" t="s">
        <v>20120</v>
      </c>
      <c r="F1114" t="s">
        <v>32831</v>
      </c>
      <c r="G1114" t="s">
        <v>32841</v>
      </c>
      <c r="H1114" t="s">
        <v>32848</v>
      </c>
      <c r="I1114" t="s">
        <v>7751</v>
      </c>
      <c r="J1114" t="s">
        <v>33795</v>
      </c>
      <c r="K1114" t="s">
        <v>42727</v>
      </c>
      <c r="M1114" t="s">
        <v>43353</v>
      </c>
      <c r="N1114" t="s">
        <v>47424</v>
      </c>
      <c r="O1114" t="s">
        <v>47425</v>
      </c>
      <c r="P1114">
        <v>0</v>
      </c>
      <c r="Q1114">
        <v>1</v>
      </c>
      <c r="R1114" t="s">
        <v>47427</v>
      </c>
      <c r="S1114" t="s">
        <v>47540</v>
      </c>
      <c r="T1114" t="s">
        <v>49073</v>
      </c>
      <c r="U1114" t="s">
        <v>50646</v>
      </c>
      <c r="V1114" t="s">
        <v>62747</v>
      </c>
      <c r="W1114" t="s">
        <v>43353</v>
      </c>
      <c r="X1114" t="s">
        <v>47428</v>
      </c>
    </row>
    <row r="1115" spans="1:24">
      <c r="A1115">
        <f>HYPERLINK("https://www.philgeps.gov.ph/GEPSNONPILOT/Tender/SplashBidNoticeAbstractUI.aspx?menuIndex=3&amp;refID=7164464&amp;Result=3","7164464")</f>
        <v>0</v>
      </c>
      <c r="B1115" t="s">
        <v>217</v>
      </c>
      <c r="C1115" t="s">
        <v>4994</v>
      </c>
      <c r="D1115" t="s">
        <v>19037</v>
      </c>
      <c r="E1115" t="s">
        <v>20121</v>
      </c>
      <c r="F1115" t="s">
        <v>32831</v>
      </c>
      <c r="G1115" t="s">
        <v>32839</v>
      </c>
      <c r="H1115" t="s">
        <v>32848</v>
      </c>
      <c r="I1115" t="s">
        <v>7416</v>
      </c>
      <c r="J1115" t="s">
        <v>33796</v>
      </c>
      <c r="K1115" t="s">
        <v>42730</v>
      </c>
      <c r="M1115" t="s">
        <v>43392</v>
      </c>
      <c r="N1115" t="s">
        <v>47424</v>
      </c>
      <c r="O1115" t="s">
        <v>47425</v>
      </c>
      <c r="P1115">
        <v>0</v>
      </c>
      <c r="Q1115">
        <v>0</v>
      </c>
      <c r="R1115" t="s">
        <v>47427</v>
      </c>
      <c r="S1115" t="s">
        <v>47540</v>
      </c>
      <c r="T1115" t="s">
        <v>49057</v>
      </c>
      <c r="U1115" t="s">
        <v>50647</v>
      </c>
      <c r="W1115" t="s">
        <v>43392</v>
      </c>
      <c r="X1115" t="s">
        <v>47428</v>
      </c>
    </row>
    <row r="1116" spans="1:24">
      <c r="A1116">
        <f>HYPERLINK("https://www.philgeps.gov.ph/GEPSNONPILOT/Tender/SplashBidNoticeAbstractUI.aspx?menuIndex=3&amp;refID=7164438&amp;Result=3","7164438")</f>
        <v>0</v>
      </c>
      <c r="B1116" t="s">
        <v>530</v>
      </c>
      <c r="C1116" t="s">
        <v>4995</v>
      </c>
      <c r="D1116" t="s">
        <v>19062</v>
      </c>
      <c r="E1116" t="s">
        <v>20122</v>
      </c>
      <c r="F1116" t="s">
        <v>32831</v>
      </c>
      <c r="G1116" t="s">
        <v>32839</v>
      </c>
      <c r="H1116" t="s">
        <v>32849</v>
      </c>
      <c r="I1116" t="s">
        <v>4177</v>
      </c>
      <c r="J1116" t="s">
        <v>33797</v>
      </c>
      <c r="K1116" t="s">
        <v>42745</v>
      </c>
      <c r="M1116" t="s">
        <v>43536</v>
      </c>
      <c r="N1116" t="s">
        <v>47424</v>
      </c>
      <c r="O1116" t="s">
        <v>47425</v>
      </c>
      <c r="P1116">
        <v>0</v>
      </c>
      <c r="Q1116">
        <v>0</v>
      </c>
      <c r="R1116" t="s">
        <v>47427</v>
      </c>
      <c r="S1116" t="s">
        <v>47540</v>
      </c>
      <c r="T1116" t="s">
        <v>49192</v>
      </c>
      <c r="U1116" t="s">
        <v>50636</v>
      </c>
      <c r="W1116" t="s">
        <v>43536</v>
      </c>
      <c r="X1116" t="s">
        <v>47428</v>
      </c>
    </row>
    <row r="1117" spans="1:24">
      <c r="A1117">
        <f>HYPERLINK("https://www.philgeps.gov.ph/GEPSNONPILOT/Tender/SplashBidNoticeAbstractUI.aspx?menuIndex=3&amp;refID=7164516&amp;Result=3","7164516")</f>
        <v>0</v>
      </c>
      <c r="B1117" t="s">
        <v>534</v>
      </c>
      <c r="C1117" t="s">
        <v>4996</v>
      </c>
      <c r="E1117" t="s">
        <v>20123</v>
      </c>
      <c r="F1117" t="s">
        <v>32831</v>
      </c>
      <c r="G1117" t="s">
        <v>32839</v>
      </c>
      <c r="H1117" t="s">
        <v>32848</v>
      </c>
      <c r="I1117" t="s">
        <v>32876</v>
      </c>
      <c r="J1117" t="s">
        <v>33106</v>
      </c>
      <c r="K1117" t="s">
        <v>42730</v>
      </c>
      <c r="M1117" t="s">
        <v>43540</v>
      </c>
      <c r="N1117" t="s">
        <v>47424</v>
      </c>
      <c r="O1117" t="s">
        <v>47425</v>
      </c>
      <c r="P1117">
        <v>0</v>
      </c>
      <c r="Q1117">
        <v>9</v>
      </c>
      <c r="R1117" t="s">
        <v>47427</v>
      </c>
      <c r="S1117" t="s">
        <v>47540</v>
      </c>
      <c r="T1117" t="s">
        <v>49065</v>
      </c>
      <c r="U1117" t="s">
        <v>50648</v>
      </c>
      <c r="W1117" t="s">
        <v>43540</v>
      </c>
      <c r="X1117" t="s">
        <v>47428</v>
      </c>
    </row>
    <row r="1118" spans="1:24">
      <c r="A1118">
        <f>HYPERLINK("https://www.philgeps.gov.ph/GEPSNONPILOT/Tender/SplashBidNoticeAbstractUI.aspx?menuIndex=3&amp;refID=7164514&amp;Result=3","7164514")</f>
        <v>0</v>
      </c>
      <c r="B1118" t="s">
        <v>535</v>
      </c>
      <c r="C1118" t="s">
        <v>4997</v>
      </c>
      <c r="D1118" t="s">
        <v>19019</v>
      </c>
      <c r="E1118" t="s">
        <v>20124</v>
      </c>
      <c r="F1118" t="s">
        <v>32831</v>
      </c>
      <c r="G1118" t="s">
        <v>32839</v>
      </c>
      <c r="H1118" t="s">
        <v>32849</v>
      </c>
      <c r="I1118" t="s">
        <v>4177</v>
      </c>
      <c r="J1118" t="s">
        <v>33798</v>
      </c>
      <c r="K1118" t="s">
        <v>42732</v>
      </c>
      <c r="M1118" t="s">
        <v>43541</v>
      </c>
      <c r="N1118" t="s">
        <v>47424</v>
      </c>
      <c r="O1118" t="s">
        <v>47425</v>
      </c>
      <c r="P1118">
        <v>0</v>
      </c>
      <c r="Q1118">
        <v>0</v>
      </c>
      <c r="R1118" t="s">
        <v>47427</v>
      </c>
      <c r="S1118" t="s">
        <v>47540</v>
      </c>
      <c r="T1118" t="s">
        <v>49188</v>
      </c>
      <c r="U1118" t="s">
        <v>50649</v>
      </c>
      <c r="W1118" t="s">
        <v>43541</v>
      </c>
      <c r="X1118" t="s">
        <v>47428</v>
      </c>
    </row>
    <row r="1119" spans="1:24">
      <c r="A1119">
        <f>HYPERLINK("https://www.philgeps.gov.ph/GEPSNONPILOT/Tender/SplashBidNoticeAbstractUI.aspx?menuIndex=3&amp;refID=7164399&amp;Result=3","7164399")</f>
        <v>0</v>
      </c>
      <c r="B1119" t="s">
        <v>513</v>
      </c>
      <c r="C1119" t="s">
        <v>4980</v>
      </c>
      <c r="D1119" t="s">
        <v>19018</v>
      </c>
      <c r="E1119" t="s">
        <v>20125</v>
      </c>
      <c r="F1119" t="s">
        <v>32831</v>
      </c>
      <c r="G1119" t="s">
        <v>32842</v>
      </c>
      <c r="H1119" t="s">
        <v>32848</v>
      </c>
      <c r="I1119" t="s">
        <v>4340</v>
      </c>
      <c r="J1119" t="s">
        <v>33799</v>
      </c>
      <c r="K1119" t="s">
        <v>42726</v>
      </c>
      <c r="M1119" t="s">
        <v>43518</v>
      </c>
      <c r="N1119" t="s">
        <v>47424</v>
      </c>
      <c r="O1119" t="s">
        <v>47425</v>
      </c>
      <c r="P1119">
        <v>0</v>
      </c>
      <c r="Q1119">
        <v>1</v>
      </c>
      <c r="R1119" t="s">
        <v>47427</v>
      </c>
      <c r="S1119" t="s">
        <v>47540</v>
      </c>
      <c r="T1119" t="s">
        <v>49214</v>
      </c>
      <c r="U1119" t="s">
        <v>50594</v>
      </c>
      <c r="W1119" t="s">
        <v>64441</v>
      </c>
      <c r="X1119" t="s">
        <v>47428</v>
      </c>
    </row>
    <row r="1120" spans="1:24">
      <c r="A1120">
        <f>HYPERLINK("https://www.philgeps.gov.ph/GEPSNONPILOT/Tender/SplashBidNoticeAbstractUI.aspx?menuIndex=3&amp;refID=7164513&amp;Result=3","7164513")</f>
        <v>0</v>
      </c>
      <c r="B1120" t="s">
        <v>535</v>
      </c>
      <c r="C1120" t="s">
        <v>4998</v>
      </c>
      <c r="D1120" t="s">
        <v>19019</v>
      </c>
      <c r="E1120" t="s">
        <v>20126</v>
      </c>
      <c r="F1120" t="s">
        <v>32831</v>
      </c>
      <c r="G1120" t="s">
        <v>32839</v>
      </c>
      <c r="H1120" t="s">
        <v>32849</v>
      </c>
      <c r="I1120" t="s">
        <v>4177</v>
      </c>
      <c r="J1120" t="s">
        <v>33800</v>
      </c>
      <c r="K1120" t="s">
        <v>42732</v>
      </c>
      <c r="M1120" t="s">
        <v>43541</v>
      </c>
      <c r="N1120" t="s">
        <v>47424</v>
      </c>
      <c r="O1120" t="s">
        <v>47425</v>
      </c>
      <c r="P1120">
        <v>0</v>
      </c>
      <c r="Q1120">
        <v>0</v>
      </c>
      <c r="R1120" t="s">
        <v>47427</v>
      </c>
      <c r="S1120" t="s">
        <v>47540</v>
      </c>
      <c r="T1120" t="s">
        <v>49188</v>
      </c>
      <c r="U1120" t="s">
        <v>50650</v>
      </c>
      <c r="W1120" t="s">
        <v>43541</v>
      </c>
      <c r="X1120" t="s">
        <v>47428</v>
      </c>
    </row>
    <row r="1121" spans="1:24">
      <c r="A1121">
        <f>HYPERLINK("https://www.philgeps.gov.ph/GEPSNONPILOT/Tender/SplashBidNoticeAbstractUI.aspx?menuIndex=3&amp;refID=7164512&amp;Result=3","7164512")</f>
        <v>0</v>
      </c>
      <c r="B1121" t="s">
        <v>534</v>
      </c>
      <c r="C1121" t="s">
        <v>4999</v>
      </c>
      <c r="E1121" t="s">
        <v>20127</v>
      </c>
      <c r="F1121" t="s">
        <v>32831</v>
      </c>
      <c r="G1121" t="s">
        <v>32839</v>
      </c>
      <c r="H1121" t="s">
        <v>32848</v>
      </c>
      <c r="I1121" t="s">
        <v>10805</v>
      </c>
      <c r="J1121" t="s">
        <v>33801</v>
      </c>
      <c r="K1121" t="s">
        <v>42730</v>
      </c>
      <c r="M1121" t="s">
        <v>43540</v>
      </c>
      <c r="N1121" t="s">
        <v>47424</v>
      </c>
      <c r="O1121" t="s">
        <v>47425</v>
      </c>
      <c r="P1121">
        <v>0</v>
      </c>
      <c r="Q1121">
        <v>2</v>
      </c>
      <c r="R1121" t="s">
        <v>47427</v>
      </c>
      <c r="S1121" t="s">
        <v>47540</v>
      </c>
      <c r="T1121" t="s">
        <v>49065</v>
      </c>
      <c r="U1121" t="s">
        <v>50651</v>
      </c>
      <c r="W1121" t="s">
        <v>43540</v>
      </c>
      <c r="X1121" t="s">
        <v>47428</v>
      </c>
    </row>
    <row r="1122" spans="1:24">
      <c r="A1122">
        <f>HYPERLINK("https://www.philgeps.gov.ph/GEPSNONPILOT/Tender/SplashBidNoticeAbstractUI.aspx?menuIndex=3&amp;refID=7164503&amp;Result=3","7164503")</f>
        <v>0</v>
      </c>
      <c r="B1122" t="s">
        <v>534</v>
      </c>
      <c r="C1122" t="s">
        <v>5000</v>
      </c>
      <c r="E1122" t="s">
        <v>20128</v>
      </c>
      <c r="F1122" t="s">
        <v>32831</v>
      </c>
      <c r="G1122" t="s">
        <v>32839</v>
      </c>
      <c r="H1122" t="s">
        <v>32848</v>
      </c>
      <c r="I1122" t="s">
        <v>32866</v>
      </c>
      <c r="J1122" t="s">
        <v>33802</v>
      </c>
      <c r="K1122" t="s">
        <v>42770</v>
      </c>
      <c r="M1122" t="s">
        <v>43540</v>
      </c>
      <c r="N1122" t="s">
        <v>47424</v>
      </c>
      <c r="O1122" t="s">
        <v>47425</v>
      </c>
      <c r="P1122">
        <v>0</v>
      </c>
      <c r="Q1122">
        <v>0</v>
      </c>
      <c r="R1122" t="s">
        <v>47427</v>
      </c>
      <c r="S1122" t="s">
        <v>47540</v>
      </c>
      <c r="T1122" t="s">
        <v>49065</v>
      </c>
      <c r="U1122" t="s">
        <v>50652</v>
      </c>
      <c r="W1122" t="s">
        <v>43540</v>
      </c>
      <c r="X1122" t="s">
        <v>47428</v>
      </c>
    </row>
    <row r="1123" spans="1:24">
      <c r="A1123">
        <f>HYPERLINK("https://www.philgeps.gov.ph/GEPSNONPILOT/Tender/SplashBidNoticeAbstractUI.aspx?menuIndex=3&amp;refID=7164489&amp;Result=3","7164489")</f>
        <v>0</v>
      </c>
      <c r="B1123" t="s">
        <v>535</v>
      </c>
      <c r="C1123" t="s">
        <v>5001</v>
      </c>
      <c r="D1123" t="s">
        <v>19019</v>
      </c>
      <c r="E1123" t="s">
        <v>20129</v>
      </c>
      <c r="F1123" t="s">
        <v>32831</v>
      </c>
      <c r="G1123" t="s">
        <v>32839</v>
      </c>
      <c r="H1123" t="s">
        <v>32849</v>
      </c>
      <c r="I1123" t="s">
        <v>4177</v>
      </c>
      <c r="J1123" t="s">
        <v>33803</v>
      </c>
      <c r="K1123" t="s">
        <v>42732</v>
      </c>
      <c r="M1123" t="s">
        <v>43541</v>
      </c>
      <c r="N1123" t="s">
        <v>47424</v>
      </c>
      <c r="O1123" t="s">
        <v>47425</v>
      </c>
      <c r="P1123">
        <v>0</v>
      </c>
      <c r="Q1123">
        <v>0</v>
      </c>
      <c r="R1123" t="s">
        <v>47427</v>
      </c>
      <c r="S1123" t="s">
        <v>47540</v>
      </c>
      <c r="T1123" t="s">
        <v>49188</v>
      </c>
      <c r="U1123" t="s">
        <v>50653</v>
      </c>
      <c r="W1123" t="s">
        <v>43541</v>
      </c>
      <c r="X1123" t="s">
        <v>47428</v>
      </c>
    </row>
    <row r="1124" spans="1:24">
      <c r="A1124">
        <f>HYPERLINK("https://www.philgeps.gov.ph/GEPSNONPILOT/Tender/SplashBidNoticeAbstractUI.aspx?menuIndex=3&amp;refID=7164462&amp;Result=3","7164462")</f>
        <v>0</v>
      </c>
      <c r="B1124" t="s">
        <v>346</v>
      </c>
      <c r="C1124" t="s">
        <v>5002</v>
      </c>
      <c r="D1124" t="s">
        <v>19041</v>
      </c>
      <c r="E1124" t="s">
        <v>20130</v>
      </c>
      <c r="F1124" t="s">
        <v>32831</v>
      </c>
      <c r="G1124" t="s">
        <v>32839</v>
      </c>
      <c r="H1124" t="s">
        <v>32849</v>
      </c>
      <c r="I1124" t="s">
        <v>4177</v>
      </c>
      <c r="J1124" t="s">
        <v>33804</v>
      </c>
      <c r="K1124" t="s">
        <v>42795</v>
      </c>
      <c r="M1124" t="s">
        <v>43350</v>
      </c>
      <c r="N1124" t="s">
        <v>47424</v>
      </c>
      <c r="O1124" t="s">
        <v>47425</v>
      </c>
      <c r="P1124">
        <v>0</v>
      </c>
      <c r="Q1124">
        <v>0</v>
      </c>
      <c r="R1124" t="s">
        <v>47426</v>
      </c>
      <c r="S1124" t="s">
        <v>47531</v>
      </c>
      <c r="T1124" t="s">
        <v>49118</v>
      </c>
      <c r="U1124" t="s">
        <v>50654</v>
      </c>
      <c r="W1124" t="s">
        <v>43350</v>
      </c>
      <c r="X1124" t="s">
        <v>47428</v>
      </c>
    </row>
    <row r="1125" spans="1:24">
      <c r="A1125">
        <f>HYPERLINK("https://www.philgeps.gov.ph/GEPSNONPILOT/Tender/SplashBidNoticeAbstractUI.aspx?menuIndex=3&amp;refID=7164484&amp;Result=3","7164484")</f>
        <v>0</v>
      </c>
      <c r="B1125" t="s">
        <v>536</v>
      </c>
      <c r="C1125" t="s">
        <v>5003</v>
      </c>
      <c r="D1125" t="s">
        <v>19030</v>
      </c>
      <c r="E1125" t="s">
        <v>20131</v>
      </c>
      <c r="F1125" t="s">
        <v>32831</v>
      </c>
      <c r="G1125" t="s">
        <v>32839</v>
      </c>
      <c r="H1125" t="s">
        <v>32849</v>
      </c>
      <c r="I1125" t="s">
        <v>4177</v>
      </c>
      <c r="J1125" t="s">
        <v>33805</v>
      </c>
      <c r="K1125" t="s">
        <v>42763</v>
      </c>
      <c r="M1125" t="s">
        <v>43542</v>
      </c>
      <c r="N1125" t="s">
        <v>47424</v>
      </c>
      <c r="O1125" t="s">
        <v>47425</v>
      </c>
      <c r="P1125">
        <v>0</v>
      </c>
      <c r="Q1125">
        <v>5</v>
      </c>
      <c r="R1125" t="s">
        <v>47427</v>
      </c>
      <c r="S1125" t="s">
        <v>47540</v>
      </c>
      <c r="T1125" t="s">
        <v>49078</v>
      </c>
      <c r="U1125" t="s">
        <v>50655</v>
      </c>
      <c r="V1125" t="s">
        <v>62748</v>
      </c>
      <c r="W1125" t="s">
        <v>43542</v>
      </c>
      <c r="X1125" t="s">
        <v>47428</v>
      </c>
    </row>
    <row r="1126" spans="1:24">
      <c r="A1126">
        <f>HYPERLINK("https://www.philgeps.gov.ph/GEPSNONPILOT/Tender/SplashBidNoticeAbstractUI.aspx?menuIndex=3&amp;refID=7164424&amp;Result=3","7164424")</f>
        <v>0</v>
      </c>
      <c r="B1126" t="s">
        <v>537</v>
      </c>
      <c r="C1126" t="s">
        <v>5004</v>
      </c>
      <c r="D1126" t="s">
        <v>19062</v>
      </c>
      <c r="E1126" t="s">
        <v>19211</v>
      </c>
      <c r="F1126" t="s">
        <v>32831</v>
      </c>
      <c r="G1126" t="s">
        <v>32839</v>
      </c>
      <c r="H1126" t="s">
        <v>32848</v>
      </c>
      <c r="I1126" t="s">
        <v>32858</v>
      </c>
      <c r="J1126" t="s">
        <v>33806</v>
      </c>
      <c r="K1126" t="s">
        <v>42758</v>
      </c>
      <c r="M1126" t="s">
        <v>43543</v>
      </c>
      <c r="N1126" t="s">
        <v>47424</v>
      </c>
      <c r="O1126" t="s">
        <v>47425</v>
      </c>
      <c r="P1126">
        <v>0</v>
      </c>
      <c r="Q1126">
        <v>0</v>
      </c>
      <c r="R1126" t="s">
        <v>47427</v>
      </c>
      <c r="S1126" t="s">
        <v>47540</v>
      </c>
      <c r="T1126" t="s">
        <v>49091</v>
      </c>
      <c r="U1126" t="s">
        <v>50656</v>
      </c>
      <c r="W1126" t="s">
        <v>43543</v>
      </c>
      <c r="X1126" t="s">
        <v>47428</v>
      </c>
    </row>
    <row r="1127" spans="1:24">
      <c r="A1127">
        <f>HYPERLINK("https://www.philgeps.gov.ph/GEPSNONPILOT/Tender/SplashBidNoticeAbstractUI.aspx?menuIndex=3&amp;refID=7164483&amp;Result=3","7164483")</f>
        <v>0</v>
      </c>
      <c r="B1127" t="s">
        <v>538</v>
      </c>
      <c r="C1127" t="s">
        <v>5005</v>
      </c>
      <c r="D1127" t="s">
        <v>19017</v>
      </c>
      <c r="E1127" t="s">
        <v>20132</v>
      </c>
      <c r="F1127" t="s">
        <v>32831</v>
      </c>
      <c r="G1127" t="s">
        <v>32838</v>
      </c>
      <c r="H1127" t="s">
        <v>32848</v>
      </c>
      <c r="I1127" t="s">
        <v>32858</v>
      </c>
      <c r="J1127" t="s">
        <v>33807</v>
      </c>
      <c r="K1127" t="s">
        <v>42732</v>
      </c>
      <c r="M1127" t="s">
        <v>43544</v>
      </c>
      <c r="N1127" t="s">
        <v>47424</v>
      </c>
      <c r="O1127" t="s">
        <v>47425</v>
      </c>
      <c r="P1127">
        <v>0</v>
      </c>
      <c r="Q1127">
        <v>1</v>
      </c>
      <c r="R1127" t="s">
        <v>47427</v>
      </c>
      <c r="S1127" t="s">
        <v>47540</v>
      </c>
      <c r="T1127" t="s">
        <v>49116</v>
      </c>
      <c r="U1127" t="s">
        <v>50657</v>
      </c>
      <c r="W1127" t="s">
        <v>43544</v>
      </c>
      <c r="X1127" t="s">
        <v>47428</v>
      </c>
    </row>
    <row r="1128" spans="1:24">
      <c r="A1128">
        <f>HYPERLINK("https://www.philgeps.gov.ph/GEPSNONPILOT/Tender/SplashBidNoticeAbstractUI.aspx?menuIndex=3&amp;refID=7164479&amp;Result=3","7164479")</f>
        <v>0</v>
      </c>
      <c r="B1128" t="s">
        <v>536</v>
      </c>
      <c r="C1128" t="s">
        <v>5006</v>
      </c>
      <c r="D1128" t="s">
        <v>19030</v>
      </c>
      <c r="E1128" t="s">
        <v>20133</v>
      </c>
      <c r="F1128" t="s">
        <v>32831</v>
      </c>
      <c r="G1128" t="s">
        <v>32839</v>
      </c>
      <c r="H1128" t="s">
        <v>32849</v>
      </c>
      <c r="I1128" t="s">
        <v>4177</v>
      </c>
      <c r="J1128" t="s">
        <v>33808</v>
      </c>
      <c r="K1128" t="s">
        <v>42735</v>
      </c>
      <c r="M1128" t="s">
        <v>43542</v>
      </c>
      <c r="N1128" t="s">
        <v>47424</v>
      </c>
      <c r="O1128" t="s">
        <v>47425</v>
      </c>
      <c r="P1128">
        <v>0</v>
      </c>
      <c r="Q1128">
        <v>2</v>
      </c>
      <c r="R1128" t="s">
        <v>47427</v>
      </c>
      <c r="S1128" t="s">
        <v>47540</v>
      </c>
      <c r="T1128" t="s">
        <v>49065</v>
      </c>
      <c r="U1128" t="s">
        <v>50658</v>
      </c>
      <c r="V1128" t="s">
        <v>62748</v>
      </c>
      <c r="W1128" t="s">
        <v>43542</v>
      </c>
      <c r="X1128" t="s">
        <v>47428</v>
      </c>
    </row>
    <row r="1129" spans="1:24">
      <c r="A1129">
        <f>HYPERLINK("https://www.philgeps.gov.ph/GEPSNONPILOT/Tender/SplashBidNoticeAbstractUI.aspx?menuIndex=3&amp;refID=7164472&amp;Result=3","7164472")</f>
        <v>0</v>
      </c>
      <c r="B1129" t="s">
        <v>217</v>
      </c>
      <c r="C1129" t="s">
        <v>5007</v>
      </c>
      <c r="D1129" t="s">
        <v>19037</v>
      </c>
      <c r="E1129" t="s">
        <v>20134</v>
      </c>
      <c r="F1129" t="s">
        <v>32831</v>
      </c>
      <c r="G1129" t="s">
        <v>32839</v>
      </c>
      <c r="H1129" t="s">
        <v>32848</v>
      </c>
      <c r="I1129" t="s">
        <v>7416</v>
      </c>
      <c r="J1129" t="s">
        <v>33809</v>
      </c>
      <c r="K1129" t="s">
        <v>42730</v>
      </c>
      <c r="M1129" t="s">
        <v>43392</v>
      </c>
      <c r="N1129" t="s">
        <v>47424</v>
      </c>
      <c r="O1129" t="s">
        <v>47425</v>
      </c>
      <c r="P1129">
        <v>0</v>
      </c>
      <c r="Q1129">
        <v>0</v>
      </c>
      <c r="R1129" t="s">
        <v>47427</v>
      </c>
      <c r="S1129" t="s">
        <v>47540</v>
      </c>
      <c r="T1129" t="s">
        <v>49057</v>
      </c>
      <c r="U1129" t="s">
        <v>50659</v>
      </c>
      <c r="W1129" t="s">
        <v>43392</v>
      </c>
      <c r="X1129" t="s">
        <v>47428</v>
      </c>
    </row>
    <row r="1130" spans="1:24">
      <c r="A1130">
        <f>HYPERLINK("https://www.philgeps.gov.ph/GEPSNONPILOT/Tender/SplashBidNoticeAbstractUI.aspx?menuIndex=3&amp;refID=7164468&amp;Result=3","7164468")</f>
        <v>0</v>
      </c>
      <c r="B1130" t="s">
        <v>531</v>
      </c>
      <c r="C1130" t="s">
        <v>5008</v>
      </c>
      <c r="D1130" t="s">
        <v>19027</v>
      </c>
      <c r="E1130" t="s">
        <v>20135</v>
      </c>
      <c r="F1130" t="s">
        <v>32831</v>
      </c>
      <c r="G1130" t="s">
        <v>32838</v>
      </c>
      <c r="H1130" t="s">
        <v>32848</v>
      </c>
      <c r="I1130" t="s">
        <v>4776</v>
      </c>
      <c r="J1130" t="s">
        <v>33810</v>
      </c>
      <c r="K1130" t="s">
        <v>42732</v>
      </c>
      <c r="M1130" t="s">
        <v>43537</v>
      </c>
      <c r="N1130" t="s">
        <v>47424</v>
      </c>
      <c r="O1130" t="s">
        <v>47425</v>
      </c>
      <c r="P1130">
        <v>0</v>
      </c>
      <c r="Q1130">
        <v>1</v>
      </c>
      <c r="R1130" t="s">
        <v>47427</v>
      </c>
      <c r="S1130" t="s">
        <v>47540</v>
      </c>
      <c r="T1130" t="s">
        <v>49213</v>
      </c>
      <c r="U1130" t="s">
        <v>50638</v>
      </c>
      <c r="W1130" t="s">
        <v>43537</v>
      </c>
      <c r="X1130" t="s">
        <v>47428</v>
      </c>
    </row>
    <row r="1131" spans="1:24">
      <c r="A1131">
        <f>HYPERLINK("https://www.philgeps.gov.ph/GEPSNONPILOT/Tender/SplashBidNoticeAbstractUI.aspx?menuIndex=3&amp;refID=7164453&amp;Result=3","7164453")</f>
        <v>0</v>
      </c>
      <c r="B1131" t="s">
        <v>539</v>
      </c>
      <c r="C1131" t="s">
        <v>5009</v>
      </c>
      <c r="D1131" t="s">
        <v>19057</v>
      </c>
      <c r="E1131" t="s">
        <v>20136</v>
      </c>
      <c r="F1131" t="s">
        <v>32831</v>
      </c>
      <c r="G1131" t="s">
        <v>32838</v>
      </c>
      <c r="H1131" t="s">
        <v>32848</v>
      </c>
      <c r="I1131" t="s">
        <v>32892</v>
      </c>
      <c r="J1131" t="s">
        <v>33811</v>
      </c>
      <c r="K1131" t="s">
        <v>42726</v>
      </c>
      <c r="M1131" t="s">
        <v>43545</v>
      </c>
      <c r="N1131" t="s">
        <v>47424</v>
      </c>
      <c r="O1131" t="s">
        <v>47425</v>
      </c>
      <c r="P1131">
        <v>0</v>
      </c>
      <c r="Q1131">
        <v>2</v>
      </c>
      <c r="R1131" t="s">
        <v>47427</v>
      </c>
      <c r="S1131" t="s">
        <v>47540</v>
      </c>
      <c r="T1131" t="s">
        <v>49214</v>
      </c>
      <c r="U1131" t="s">
        <v>50323</v>
      </c>
      <c r="W1131" t="s">
        <v>43545</v>
      </c>
      <c r="X1131" t="s">
        <v>47428</v>
      </c>
    </row>
    <row r="1132" spans="1:24">
      <c r="A1132">
        <f>HYPERLINK("https://www.philgeps.gov.ph/GEPSNONPILOT/Tender/SplashBidNoticeAbstractUI.aspx?menuIndex=3&amp;refID=7164467&amp;Result=3","7164467")</f>
        <v>0</v>
      </c>
      <c r="B1132" t="s">
        <v>502</v>
      </c>
      <c r="C1132" t="s">
        <v>5010</v>
      </c>
      <c r="D1132" t="s">
        <v>19026</v>
      </c>
      <c r="E1132" t="s">
        <v>20137</v>
      </c>
      <c r="F1132" t="s">
        <v>32831</v>
      </c>
      <c r="G1132" t="s">
        <v>32839</v>
      </c>
      <c r="H1132" t="s">
        <v>32848</v>
      </c>
      <c r="I1132" t="s">
        <v>10805</v>
      </c>
      <c r="J1132" t="s">
        <v>33812</v>
      </c>
      <c r="K1132" t="s">
        <v>42726</v>
      </c>
      <c r="M1132" t="s">
        <v>43507</v>
      </c>
      <c r="N1132" t="s">
        <v>47424</v>
      </c>
      <c r="O1132" t="s">
        <v>47425</v>
      </c>
      <c r="P1132">
        <v>0</v>
      </c>
      <c r="Q1132">
        <v>2</v>
      </c>
      <c r="R1132" t="s">
        <v>47427</v>
      </c>
      <c r="S1132" t="s">
        <v>47540</v>
      </c>
      <c r="T1132" t="s">
        <v>49109</v>
      </c>
      <c r="U1132" t="s">
        <v>50660</v>
      </c>
      <c r="W1132" t="s">
        <v>43507</v>
      </c>
      <c r="X1132" t="s">
        <v>47428</v>
      </c>
    </row>
    <row r="1133" spans="1:24">
      <c r="A1133">
        <f>HYPERLINK("https://www.philgeps.gov.ph/GEPSNONPILOT/Tender/SplashBidNoticeAbstractUI.aspx?menuIndex=3&amp;refID=7164488&amp;Result=3","7164488")</f>
        <v>0</v>
      </c>
      <c r="B1133" t="s">
        <v>540</v>
      </c>
      <c r="C1133" t="s">
        <v>5011</v>
      </c>
      <c r="D1133" t="s">
        <v>19077</v>
      </c>
      <c r="E1133" t="s">
        <v>20138</v>
      </c>
      <c r="F1133" t="s">
        <v>32831</v>
      </c>
      <c r="G1133" t="s">
        <v>32838</v>
      </c>
      <c r="H1133" t="s">
        <v>32849</v>
      </c>
      <c r="I1133" t="s">
        <v>4177</v>
      </c>
      <c r="J1133" t="s">
        <v>32976</v>
      </c>
      <c r="K1133" t="s">
        <v>42742</v>
      </c>
      <c r="M1133" t="s">
        <v>43546</v>
      </c>
      <c r="N1133" t="s">
        <v>47424</v>
      </c>
      <c r="O1133" t="s">
        <v>47425</v>
      </c>
      <c r="P1133">
        <v>0</v>
      </c>
      <c r="Q1133">
        <v>0</v>
      </c>
      <c r="R1133" t="s">
        <v>47427</v>
      </c>
      <c r="S1133" t="s">
        <v>47540</v>
      </c>
      <c r="T1133" t="s">
        <v>49079</v>
      </c>
      <c r="U1133" t="s">
        <v>50661</v>
      </c>
      <c r="V1133" t="s">
        <v>62749</v>
      </c>
      <c r="W1133" t="s">
        <v>43546</v>
      </c>
      <c r="X1133" t="s">
        <v>47428</v>
      </c>
    </row>
    <row r="1134" spans="1:24">
      <c r="A1134">
        <f>HYPERLINK("https://www.philgeps.gov.ph/GEPSNONPILOT/Tender/SplashBidNoticeAbstractUI.aspx?menuIndex=3&amp;refID=7164505&amp;Result=3","7164505")</f>
        <v>0</v>
      </c>
      <c r="B1134" t="s">
        <v>541</v>
      </c>
      <c r="C1134" t="s">
        <v>5012</v>
      </c>
      <c r="D1134" t="s">
        <v>19022</v>
      </c>
      <c r="E1134" t="s">
        <v>20139</v>
      </c>
      <c r="F1134" t="s">
        <v>32831</v>
      </c>
      <c r="G1134" t="s">
        <v>32838</v>
      </c>
      <c r="H1134" t="s">
        <v>32848</v>
      </c>
      <c r="I1134" t="s">
        <v>10805</v>
      </c>
      <c r="J1134" t="s">
        <v>33133</v>
      </c>
      <c r="K1134" t="s">
        <v>42726</v>
      </c>
      <c r="M1134" t="s">
        <v>43547</v>
      </c>
      <c r="N1134" t="s">
        <v>47424</v>
      </c>
      <c r="O1134" t="s">
        <v>47425</v>
      </c>
      <c r="P1134">
        <v>0</v>
      </c>
      <c r="Q1134">
        <v>0</v>
      </c>
      <c r="R1134" t="s">
        <v>47427</v>
      </c>
      <c r="S1134" t="s">
        <v>47540</v>
      </c>
      <c r="T1134" t="s">
        <v>49114</v>
      </c>
      <c r="U1134" t="s">
        <v>50662</v>
      </c>
      <c r="W1134" t="s">
        <v>43547</v>
      </c>
      <c r="X1134" t="s">
        <v>47428</v>
      </c>
    </row>
    <row r="1135" spans="1:24">
      <c r="A1135">
        <f>HYPERLINK("https://www.philgeps.gov.ph/GEPSNONPILOT/Tender/SplashBidNoticeAbstractUI.aspx?menuIndex=3&amp;refID=7164460&amp;Result=3","7164460")</f>
        <v>0</v>
      </c>
      <c r="B1135" t="s">
        <v>542</v>
      </c>
      <c r="C1135" t="s">
        <v>5013</v>
      </c>
      <c r="D1135" t="s">
        <v>19047</v>
      </c>
      <c r="E1135" t="s">
        <v>20140</v>
      </c>
      <c r="F1135" t="s">
        <v>32831</v>
      </c>
      <c r="G1135" t="s">
        <v>32840</v>
      </c>
      <c r="H1135" t="s">
        <v>32848</v>
      </c>
      <c r="I1135" t="s">
        <v>32858</v>
      </c>
      <c r="J1135" t="s">
        <v>33813</v>
      </c>
      <c r="K1135" t="s">
        <v>42732</v>
      </c>
      <c r="M1135" t="s">
        <v>43548</v>
      </c>
      <c r="N1135" t="s">
        <v>47424</v>
      </c>
      <c r="O1135" t="s">
        <v>47425</v>
      </c>
      <c r="P1135">
        <v>0</v>
      </c>
      <c r="Q1135">
        <v>2</v>
      </c>
      <c r="R1135" t="s">
        <v>47427</v>
      </c>
      <c r="S1135" t="s">
        <v>47540</v>
      </c>
      <c r="T1135" t="s">
        <v>49091</v>
      </c>
      <c r="U1135" t="s">
        <v>50663</v>
      </c>
      <c r="W1135" t="s">
        <v>43548</v>
      </c>
      <c r="X1135" t="s">
        <v>47428</v>
      </c>
    </row>
    <row r="1136" spans="1:24">
      <c r="A1136">
        <f>HYPERLINK("https://www.philgeps.gov.ph/GEPSNONPILOT/Tender/SplashBidNoticeAbstractUI.aspx?menuIndex=3&amp;refID=7164475&amp;Result=3","7164475")</f>
        <v>0</v>
      </c>
      <c r="B1136" t="s">
        <v>539</v>
      </c>
      <c r="C1136" t="s">
        <v>5014</v>
      </c>
      <c r="D1136" t="s">
        <v>19057</v>
      </c>
      <c r="E1136" t="s">
        <v>20141</v>
      </c>
      <c r="F1136" t="s">
        <v>32831</v>
      </c>
      <c r="G1136" t="s">
        <v>32838</v>
      </c>
      <c r="H1136" t="s">
        <v>32848</v>
      </c>
      <c r="I1136" t="s">
        <v>7819</v>
      </c>
      <c r="J1136" t="s">
        <v>33814</v>
      </c>
      <c r="K1136" t="s">
        <v>42726</v>
      </c>
      <c r="M1136" t="s">
        <v>43545</v>
      </c>
      <c r="N1136" t="s">
        <v>47424</v>
      </c>
      <c r="O1136" t="s">
        <v>47425</v>
      </c>
      <c r="P1136">
        <v>0</v>
      </c>
      <c r="Q1136">
        <v>0</v>
      </c>
      <c r="R1136" t="s">
        <v>47427</v>
      </c>
      <c r="S1136" t="s">
        <v>47540</v>
      </c>
      <c r="T1136" t="s">
        <v>49214</v>
      </c>
      <c r="U1136" t="s">
        <v>50664</v>
      </c>
      <c r="W1136" t="s">
        <v>43545</v>
      </c>
      <c r="X1136" t="s">
        <v>47428</v>
      </c>
    </row>
    <row r="1137" spans="1:24">
      <c r="A1137">
        <f>HYPERLINK("https://www.philgeps.gov.ph/GEPSNONPILOT/Tender/SplashBidNoticeAbstractUI.aspx?menuIndex=3&amp;refID=7164417&amp;Result=3","7164417")</f>
        <v>0</v>
      </c>
      <c r="B1137" t="s">
        <v>543</v>
      </c>
      <c r="C1137" t="s">
        <v>5015</v>
      </c>
      <c r="D1137" t="s">
        <v>19017</v>
      </c>
      <c r="E1137" t="s">
        <v>20142</v>
      </c>
      <c r="F1137" t="s">
        <v>32831</v>
      </c>
      <c r="G1137" t="s">
        <v>32838</v>
      </c>
      <c r="H1137" t="s">
        <v>32848</v>
      </c>
      <c r="I1137" t="s">
        <v>6526</v>
      </c>
      <c r="J1137" t="s">
        <v>33677</v>
      </c>
      <c r="K1137" t="s">
        <v>42732</v>
      </c>
      <c r="M1137" t="s">
        <v>43549</v>
      </c>
      <c r="N1137" t="s">
        <v>47424</v>
      </c>
      <c r="O1137" t="s">
        <v>47425</v>
      </c>
      <c r="P1137">
        <v>0</v>
      </c>
      <c r="Q1137">
        <v>3</v>
      </c>
      <c r="R1137" t="s">
        <v>47427</v>
      </c>
      <c r="S1137" t="s">
        <v>47540</v>
      </c>
      <c r="T1137" t="s">
        <v>49166</v>
      </c>
      <c r="U1137" t="s">
        <v>50665</v>
      </c>
      <c r="W1137" t="s">
        <v>43549</v>
      </c>
      <c r="X1137" t="s">
        <v>47428</v>
      </c>
    </row>
    <row r="1138" spans="1:24">
      <c r="A1138">
        <f>HYPERLINK("https://www.philgeps.gov.ph/GEPSNONPILOT/Tender/SplashBidNoticeAbstractUI.aspx?menuIndex=3&amp;refID=7164577&amp;Result=3","7164577")</f>
        <v>0</v>
      </c>
      <c r="B1138" t="s">
        <v>544</v>
      </c>
      <c r="C1138" t="s">
        <v>5016</v>
      </c>
      <c r="D1138" t="s">
        <v>19077</v>
      </c>
      <c r="E1138" t="s">
        <v>20143</v>
      </c>
      <c r="F1138" t="s">
        <v>32831</v>
      </c>
      <c r="G1138" t="s">
        <v>32838</v>
      </c>
      <c r="H1138" t="s">
        <v>32848</v>
      </c>
      <c r="I1138" t="s">
        <v>32907</v>
      </c>
      <c r="J1138" t="s">
        <v>33815</v>
      </c>
      <c r="K1138" t="s">
        <v>42732</v>
      </c>
      <c r="M1138" t="s">
        <v>43550</v>
      </c>
      <c r="N1138" t="s">
        <v>47424</v>
      </c>
      <c r="O1138" t="s">
        <v>47425</v>
      </c>
      <c r="P1138">
        <v>0</v>
      </c>
      <c r="Q1138">
        <v>0</v>
      </c>
      <c r="R1138" t="s">
        <v>47427</v>
      </c>
      <c r="S1138" t="s">
        <v>47540</v>
      </c>
      <c r="T1138" t="s">
        <v>49177</v>
      </c>
      <c r="U1138" t="s">
        <v>50666</v>
      </c>
      <c r="W1138" t="s">
        <v>43550</v>
      </c>
      <c r="X1138" t="s">
        <v>47428</v>
      </c>
    </row>
    <row r="1139" spans="1:24">
      <c r="A1139">
        <f>HYPERLINK("https://www.philgeps.gov.ph/GEPSNONPILOT/Tender/SplashBidNoticeAbstractUI.aspx?menuIndex=3&amp;refID=7164576&amp;Result=3","7164576")</f>
        <v>0</v>
      </c>
      <c r="B1139" t="s">
        <v>468</v>
      </c>
      <c r="C1139" t="s">
        <v>5017</v>
      </c>
      <c r="D1139" t="s">
        <v>19031</v>
      </c>
      <c r="E1139" t="s">
        <v>20144</v>
      </c>
      <c r="F1139" t="s">
        <v>32831</v>
      </c>
      <c r="G1139" t="s">
        <v>32838</v>
      </c>
      <c r="H1139" t="s">
        <v>32848</v>
      </c>
      <c r="I1139" t="s">
        <v>32862</v>
      </c>
      <c r="J1139" t="s">
        <v>33816</v>
      </c>
      <c r="K1139" t="s">
        <v>42727</v>
      </c>
      <c r="M1139" t="s">
        <v>43473</v>
      </c>
      <c r="N1139" t="s">
        <v>47424</v>
      </c>
      <c r="O1139" t="s">
        <v>47425</v>
      </c>
      <c r="P1139">
        <v>0</v>
      </c>
      <c r="Q1139">
        <v>0</v>
      </c>
      <c r="R1139" t="s">
        <v>47427</v>
      </c>
      <c r="S1139" t="s">
        <v>47540</v>
      </c>
      <c r="T1139" t="s">
        <v>49166</v>
      </c>
      <c r="U1139" t="s">
        <v>50667</v>
      </c>
      <c r="W1139" t="s">
        <v>64440</v>
      </c>
      <c r="X1139" t="s">
        <v>47428</v>
      </c>
    </row>
    <row r="1140" spans="1:24">
      <c r="A1140">
        <f>HYPERLINK("https://www.philgeps.gov.ph/GEPSNONPILOT/Tender/SplashBidNoticeAbstractUI.aspx?menuIndex=3&amp;refID=7164573&amp;Result=3","7164573")</f>
        <v>0</v>
      </c>
      <c r="B1140" t="s">
        <v>338</v>
      </c>
      <c r="C1140" t="s">
        <v>5018</v>
      </c>
      <c r="D1140" t="s">
        <v>19019</v>
      </c>
      <c r="E1140" t="s">
        <v>20145</v>
      </c>
      <c r="F1140" t="s">
        <v>32831</v>
      </c>
      <c r="G1140" t="s">
        <v>32840</v>
      </c>
      <c r="H1140" t="s">
        <v>32848</v>
      </c>
      <c r="I1140" t="s">
        <v>7416</v>
      </c>
      <c r="J1140" t="s">
        <v>33817</v>
      </c>
      <c r="K1140" t="s">
        <v>42758</v>
      </c>
      <c r="M1140" t="s">
        <v>43551</v>
      </c>
      <c r="N1140" t="s">
        <v>47424</v>
      </c>
      <c r="O1140" t="s">
        <v>47425</v>
      </c>
      <c r="P1140">
        <v>0</v>
      </c>
      <c r="Q1140">
        <v>0</v>
      </c>
      <c r="R1140" t="s">
        <v>47427</v>
      </c>
      <c r="S1140" t="s">
        <v>47540</v>
      </c>
      <c r="T1140" t="s">
        <v>49145</v>
      </c>
      <c r="U1140" t="s">
        <v>50668</v>
      </c>
      <c r="W1140" t="s">
        <v>43551</v>
      </c>
      <c r="X1140" t="s">
        <v>47428</v>
      </c>
    </row>
    <row r="1141" spans="1:24">
      <c r="A1141">
        <f>HYPERLINK("https://www.philgeps.gov.ph/GEPSNONPILOT/Tender/SplashBidNoticeAbstractUI.aspx?menuIndex=3&amp;refID=7164570&amp;Result=3","7164570")</f>
        <v>0</v>
      </c>
      <c r="B1141" t="s">
        <v>338</v>
      </c>
      <c r="C1141" t="s">
        <v>5019</v>
      </c>
      <c r="D1141" t="s">
        <v>19019</v>
      </c>
      <c r="E1141" t="s">
        <v>20146</v>
      </c>
      <c r="F1141" t="s">
        <v>32831</v>
      </c>
      <c r="G1141" t="s">
        <v>32840</v>
      </c>
      <c r="H1141" t="s">
        <v>32848</v>
      </c>
      <c r="I1141" t="s">
        <v>7416</v>
      </c>
      <c r="J1141" t="s">
        <v>33818</v>
      </c>
      <c r="K1141" t="s">
        <v>42758</v>
      </c>
      <c r="M1141" t="s">
        <v>43551</v>
      </c>
      <c r="N1141" t="s">
        <v>47424</v>
      </c>
      <c r="O1141" t="s">
        <v>47425</v>
      </c>
      <c r="P1141">
        <v>0</v>
      </c>
      <c r="Q1141">
        <v>0</v>
      </c>
      <c r="R1141" t="s">
        <v>47427</v>
      </c>
      <c r="S1141" t="s">
        <v>47540</v>
      </c>
      <c r="T1141" t="s">
        <v>49114</v>
      </c>
      <c r="U1141" t="s">
        <v>50669</v>
      </c>
      <c r="W1141" t="s">
        <v>43551</v>
      </c>
      <c r="X1141" t="s">
        <v>47428</v>
      </c>
    </row>
    <row r="1142" spans="1:24">
      <c r="A1142">
        <f>HYPERLINK("https://www.philgeps.gov.ph/GEPSNONPILOT/Tender/SplashBidNoticeAbstractUI.aspx?menuIndex=3&amp;refID=7164568&amp;Result=3","7164568")</f>
        <v>0</v>
      </c>
      <c r="B1142" t="s">
        <v>545</v>
      </c>
      <c r="C1142" t="s">
        <v>5020</v>
      </c>
      <c r="E1142" t="s">
        <v>20147</v>
      </c>
      <c r="F1142" t="s">
        <v>32831</v>
      </c>
      <c r="G1142" t="s">
        <v>32838</v>
      </c>
      <c r="H1142" t="s">
        <v>32848</v>
      </c>
      <c r="I1142" t="s">
        <v>32860</v>
      </c>
      <c r="J1142" t="s">
        <v>33819</v>
      </c>
      <c r="K1142" t="s">
        <v>42731</v>
      </c>
      <c r="N1142" t="s">
        <v>47424</v>
      </c>
      <c r="O1142" t="s">
        <v>47425</v>
      </c>
      <c r="P1142">
        <v>0</v>
      </c>
      <c r="Q1142">
        <v>2</v>
      </c>
      <c r="R1142" t="s">
        <v>47427</v>
      </c>
      <c r="S1142" t="s">
        <v>47540</v>
      </c>
      <c r="T1142" t="s">
        <v>49056</v>
      </c>
      <c r="U1142" t="s">
        <v>50670</v>
      </c>
      <c r="W1142" t="s">
        <v>43569</v>
      </c>
      <c r="X1142" t="s">
        <v>47428</v>
      </c>
    </row>
    <row r="1143" spans="1:24">
      <c r="A1143">
        <f>HYPERLINK("https://www.philgeps.gov.ph/GEPSNONPILOT/Tender/SplashBidNoticeAbstractUI.aspx?menuIndex=3&amp;refID=7164566&amp;Result=3","7164566")</f>
        <v>0</v>
      </c>
      <c r="B1143" t="s">
        <v>546</v>
      </c>
      <c r="C1143" t="s">
        <v>5021</v>
      </c>
      <c r="D1143" t="s">
        <v>19074</v>
      </c>
      <c r="E1143" t="s">
        <v>19880</v>
      </c>
      <c r="F1143" t="s">
        <v>32831</v>
      </c>
      <c r="G1143" t="s">
        <v>32840</v>
      </c>
      <c r="H1143" t="s">
        <v>32848</v>
      </c>
      <c r="I1143" t="s">
        <v>4438</v>
      </c>
      <c r="J1143" t="s">
        <v>33820</v>
      </c>
      <c r="K1143" t="s">
        <v>42759</v>
      </c>
      <c r="M1143" t="s">
        <v>43552</v>
      </c>
      <c r="N1143" t="s">
        <v>47424</v>
      </c>
      <c r="O1143" t="s">
        <v>47425</v>
      </c>
      <c r="P1143">
        <v>0</v>
      </c>
      <c r="Q1143">
        <v>1</v>
      </c>
      <c r="R1143" t="s">
        <v>47427</v>
      </c>
      <c r="S1143" t="s">
        <v>47540</v>
      </c>
      <c r="T1143" t="s">
        <v>49111</v>
      </c>
      <c r="U1143" t="s">
        <v>50671</v>
      </c>
      <c r="V1143" t="s">
        <v>62707</v>
      </c>
      <c r="W1143" t="s">
        <v>43552</v>
      </c>
      <c r="X1143" t="s">
        <v>47428</v>
      </c>
    </row>
    <row r="1144" spans="1:24">
      <c r="A1144">
        <f>HYPERLINK("https://www.philgeps.gov.ph/GEPSNONPILOT/Tender/SplashBidNoticeAbstractUI.aspx?menuIndex=3&amp;refID=7164420&amp;Result=3","7164420")</f>
        <v>0</v>
      </c>
      <c r="B1144" t="s">
        <v>547</v>
      </c>
      <c r="C1144" t="s">
        <v>5022</v>
      </c>
      <c r="D1144" t="s">
        <v>19045</v>
      </c>
      <c r="E1144" t="s">
        <v>20148</v>
      </c>
      <c r="F1144" t="s">
        <v>32831</v>
      </c>
      <c r="G1144" t="s">
        <v>32838</v>
      </c>
      <c r="H1144" t="s">
        <v>32848</v>
      </c>
      <c r="I1144" t="s">
        <v>10805</v>
      </c>
      <c r="J1144" t="s">
        <v>33821</v>
      </c>
      <c r="K1144" t="s">
        <v>42759</v>
      </c>
      <c r="M1144" t="s">
        <v>43553</v>
      </c>
      <c r="N1144" t="s">
        <v>47424</v>
      </c>
      <c r="O1144" t="s">
        <v>47425</v>
      </c>
      <c r="P1144">
        <v>0</v>
      </c>
      <c r="Q1144">
        <v>0</v>
      </c>
      <c r="R1144" t="s">
        <v>47427</v>
      </c>
      <c r="S1144" t="s">
        <v>47540</v>
      </c>
      <c r="T1144" t="s">
        <v>49108</v>
      </c>
      <c r="U1144" t="s">
        <v>50672</v>
      </c>
      <c r="W1144" t="s">
        <v>43553</v>
      </c>
      <c r="X1144" t="s">
        <v>47428</v>
      </c>
    </row>
    <row r="1145" spans="1:24">
      <c r="A1145">
        <f>HYPERLINK("https://www.philgeps.gov.ph/GEPSNONPILOT/Tender/SplashBidNoticeAbstractUI.aspx?menuIndex=3&amp;refID=7164554&amp;Result=3","7164554")</f>
        <v>0</v>
      </c>
      <c r="B1145" t="s">
        <v>213</v>
      </c>
      <c r="C1145" t="s">
        <v>5023</v>
      </c>
      <c r="E1145" t="s">
        <v>20149</v>
      </c>
      <c r="F1145" t="s">
        <v>32831</v>
      </c>
      <c r="G1145" t="s">
        <v>32839</v>
      </c>
      <c r="H1145" t="s">
        <v>32848</v>
      </c>
      <c r="I1145" t="s">
        <v>32875</v>
      </c>
      <c r="J1145" t="s">
        <v>33822</v>
      </c>
      <c r="K1145" t="s">
        <v>42730</v>
      </c>
      <c r="M1145" t="s">
        <v>43554</v>
      </c>
      <c r="N1145" t="s">
        <v>47424</v>
      </c>
      <c r="O1145" t="s">
        <v>47425</v>
      </c>
      <c r="P1145">
        <v>0</v>
      </c>
      <c r="Q1145">
        <v>2</v>
      </c>
      <c r="R1145" t="s">
        <v>47427</v>
      </c>
      <c r="S1145" t="s">
        <v>47540</v>
      </c>
      <c r="T1145" t="s">
        <v>49071</v>
      </c>
      <c r="U1145" t="s">
        <v>50673</v>
      </c>
      <c r="V1145" t="s">
        <v>62750</v>
      </c>
      <c r="W1145" t="s">
        <v>43554</v>
      </c>
      <c r="X1145" t="s">
        <v>47428</v>
      </c>
    </row>
    <row r="1146" spans="1:24">
      <c r="A1146">
        <f>HYPERLINK("https://www.philgeps.gov.ph/GEPSNONPILOT/Tender/SplashBidNoticeAbstractUI.aspx?menuIndex=3&amp;refID=7164548&amp;Result=3","7164548")</f>
        <v>0</v>
      </c>
      <c r="B1146" t="s">
        <v>529</v>
      </c>
      <c r="C1146" t="s">
        <v>5024</v>
      </c>
      <c r="D1146" t="s">
        <v>19078</v>
      </c>
      <c r="E1146" t="s">
        <v>20150</v>
      </c>
      <c r="F1146" t="s">
        <v>32831</v>
      </c>
      <c r="G1146" t="s">
        <v>32838</v>
      </c>
      <c r="H1146" t="s">
        <v>32848</v>
      </c>
      <c r="I1146" t="s">
        <v>10643</v>
      </c>
      <c r="J1146" t="s">
        <v>33823</v>
      </c>
      <c r="K1146" t="s">
        <v>42727</v>
      </c>
      <c r="M1146" t="s">
        <v>43535</v>
      </c>
      <c r="N1146" t="s">
        <v>47424</v>
      </c>
      <c r="O1146" t="s">
        <v>47425</v>
      </c>
      <c r="P1146">
        <v>0</v>
      </c>
      <c r="Q1146">
        <v>1</v>
      </c>
      <c r="R1146" t="s">
        <v>47427</v>
      </c>
      <c r="S1146" t="s">
        <v>47540</v>
      </c>
      <c r="T1146" t="s">
        <v>49107</v>
      </c>
      <c r="U1146" t="s">
        <v>50674</v>
      </c>
      <c r="W1146" t="s">
        <v>43535</v>
      </c>
      <c r="X1146" t="s">
        <v>47428</v>
      </c>
    </row>
    <row r="1147" spans="1:24">
      <c r="A1147">
        <f>HYPERLINK("https://www.philgeps.gov.ph/GEPSNONPILOT/Tender/SplashBidNoticeAbstractUI.aspx?menuIndex=3&amp;refID=7164545&amp;Result=3","7164545")</f>
        <v>0</v>
      </c>
      <c r="B1147" t="s">
        <v>548</v>
      </c>
      <c r="C1147" t="s">
        <v>4672</v>
      </c>
      <c r="D1147" t="s">
        <v>19021</v>
      </c>
      <c r="E1147" t="s">
        <v>20151</v>
      </c>
      <c r="F1147" t="s">
        <v>32831</v>
      </c>
      <c r="G1147" t="s">
        <v>32839</v>
      </c>
      <c r="H1147" t="s">
        <v>32849</v>
      </c>
      <c r="I1147" t="s">
        <v>4177</v>
      </c>
      <c r="J1147" t="s">
        <v>33824</v>
      </c>
      <c r="K1147" t="s">
        <v>42726</v>
      </c>
      <c r="M1147" t="s">
        <v>43555</v>
      </c>
      <c r="N1147" t="s">
        <v>47424</v>
      </c>
      <c r="O1147" t="s">
        <v>47425</v>
      </c>
      <c r="P1147">
        <v>0</v>
      </c>
      <c r="Q1147">
        <v>0</v>
      </c>
      <c r="R1147" t="s">
        <v>47427</v>
      </c>
      <c r="S1147" t="s">
        <v>47540</v>
      </c>
      <c r="T1147" t="s">
        <v>49068</v>
      </c>
      <c r="U1147" t="s">
        <v>50348</v>
      </c>
      <c r="V1147" t="s">
        <v>62751</v>
      </c>
      <c r="W1147" t="s">
        <v>43555</v>
      </c>
      <c r="X1147" t="s">
        <v>47428</v>
      </c>
    </row>
    <row r="1148" spans="1:24">
      <c r="A1148">
        <f>HYPERLINK("https://www.philgeps.gov.ph/GEPSNONPILOT/Tender/SplashBidNoticeAbstractUI.aspx?menuIndex=3&amp;refID=7164470&amp;Result=3","7164470")</f>
        <v>0</v>
      </c>
      <c r="B1148" t="s">
        <v>549</v>
      </c>
      <c r="C1148" t="s">
        <v>5025</v>
      </c>
      <c r="D1148" t="s">
        <v>19046</v>
      </c>
      <c r="E1148" t="s">
        <v>20152</v>
      </c>
      <c r="F1148" t="s">
        <v>32831</v>
      </c>
      <c r="G1148" t="s">
        <v>32840</v>
      </c>
      <c r="H1148" t="s">
        <v>32848</v>
      </c>
      <c r="I1148" t="s">
        <v>7416</v>
      </c>
      <c r="J1148" t="s">
        <v>33825</v>
      </c>
      <c r="K1148" t="s">
        <v>42758</v>
      </c>
      <c r="M1148" t="s">
        <v>43556</v>
      </c>
      <c r="N1148" t="s">
        <v>47424</v>
      </c>
      <c r="O1148" t="s">
        <v>47425</v>
      </c>
      <c r="P1148">
        <v>0</v>
      </c>
      <c r="Q1148">
        <v>0</v>
      </c>
      <c r="R1148" t="s">
        <v>47427</v>
      </c>
      <c r="S1148" t="s">
        <v>47540</v>
      </c>
      <c r="T1148" t="s">
        <v>49212</v>
      </c>
      <c r="U1148" t="s">
        <v>50675</v>
      </c>
      <c r="W1148" t="s">
        <v>43556</v>
      </c>
      <c r="X1148" t="s">
        <v>47428</v>
      </c>
    </row>
    <row r="1149" spans="1:24">
      <c r="A1149">
        <f>HYPERLINK("https://www.philgeps.gov.ph/GEPSNONPILOT/Tender/SplashBidNoticeAbstractUI.aspx?menuIndex=3&amp;refID=7164541&amp;Result=3","7164541")</f>
        <v>0</v>
      </c>
      <c r="B1149" t="s">
        <v>548</v>
      </c>
      <c r="C1149" t="s">
        <v>4672</v>
      </c>
      <c r="D1149" t="s">
        <v>19021</v>
      </c>
      <c r="E1149" t="s">
        <v>20153</v>
      </c>
      <c r="F1149" t="s">
        <v>32831</v>
      </c>
      <c r="G1149" t="s">
        <v>32839</v>
      </c>
      <c r="H1149" t="s">
        <v>32849</v>
      </c>
      <c r="I1149" t="s">
        <v>4177</v>
      </c>
      <c r="J1149" t="s">
        <v>33826</v>
      </c>
      <c r="K1149" t="s">
        <v>42726</v>
      </c>
      <c r="M1149" t="s">
        <v>43555</v>
      </c>
      <c r="N1149" t="s">
        <v>47424</v>
      </c>
      <c r="O1149" t="s">
        <v>47425</v>
      </c>
      <c r="P1149">
        <v>0</v>
      </c>
      <c r="Q1149">
        <v>0</v>
      </c>
      <c r="R1149" t="s">
        <v>47427</v>
      </c>
      <c r="S1149" t="s">
        <v>47540</v>
      </c>
      <c r="T1149" t="s">
        <v>49068</v>
      </c>
      <c r="U1149" t="s">
        <v>50348</v>
      </c>
      <c r="V1149" t="s">
        <v>62751</v>
      </c>
      <c r="W1149" t="s">
        <v>43555</v>
      </c>
      <c r="X1149" t="s">
        <v>47428</v>
      </c>
    </row>
    <row r="1150" spans="1:24">
      <c r="A1150">
        <f>HYPERLINK("https://www.philgeps.gov.ph/GEPSNONPILOT/Tender/SplashBidNoticeAbstractUI.aspx?menuIndex=3&amp;refID=7164538&amp;Result=3","7164538")</f>
        <v>0</v>
      </c>
      <c r="B1150" t="s">
        <v>213</v>
      </c>
      <c r="C1150" t="s">
        <v>5026</v>
      </c>
      <c r="E1150" t="s">
        <v>20154</v>
      </c>
      <c r="F1150" t="s">
        <v>32831</v>
      </c>
      <c r="G1150" t="s">
        <v>32839</v>
      </c>
      <c r="H1150" t="s">
        <v>32848</v>
      </c>
      <c r="I1150" t="s">
        <v>32875</v>
      </c>
      <c r="J1150" t="s">
        <v>33827</v>
      </c>
      <c r="K1150" t="s">
        <v>42730</v>
      </c>
      <c r="M1150" t="s">
        <v>43554</v>
      </c>
      <c r="N1150" t="s">
        <v>47424</v>
      </c>
      <c r="O1150" t="s">
        <v>47425</v>
      </c>
      <c r="P1150">
        <v>0</v>
      </c>
      <c r="Q1150">
        <v>2</v>
      </c>
      <c r="R1150" t="s">
        <v>47427</v>
      </c>
      <c r="S1150" t="s">
        <v>47540</v>
      </c>
      <c r="T1150" t="s">
        <v>49071</v>
      </c>
      <c r="U1150" t="s">
        <v>50676</v>
      </c>
      <c r="V1150" t="s">
        <v>62750</v>
      </c>
      <c r="W1150" t="s">
        <v>43554</v>
      </c>
      <c r="X1150" t="s">
        <v>47428</v>
      </c>
    </row>
    <row r="1151" spans="1:24">
      <c r="A1151">
        <f>HYPERLINK("https://www.philgeps.gov.ph/GEPSNONPILOT/Tender/SplashBidNoticeAbstractUI.aspx?menuIndex=3&amp;refID=7164536&amp;Result=3","7164536")</f>
        <v>0</v>
      </c>
      <c r="B1151" t="s">
        <v>550</v>
      </c>
      <c r="C1151" t="s">
        <v>5027</v>
      </c>
      <c r="D1151" t="s">
        <v>19021</v>
      </c>
      <c r="E1151" t="s">
        <v>20155</v>
      </c>
      <c r="F1151" t="s">
        <v>32831</v>
      </c>
      <c r="G1151" t="s">
        <v>32839</v>
      </c>
      <c r="H1151" t="s">
        <v>32849</v>
      </c>
      <c r="I1151" t="s">
        <v>4177</v>
      </c>
      <c r="J1151" t="s">
        <v>33044</v>
      </c>
      <c r="K1151" t="s">
        <v>42726</v>
      </c>
      <c r="M1151" t="s">
        <v>43557</v>
      </c>
      <c r="N1151" t="s">
        <v>47424</v>
      </c>
      <c r="O1151" t="s">
        <v>47425</v>
      </c>
      <c r="P1151">
        <v>0</v>
      </c>
      <c r="Q1151">
        <v>0</v>
      </c>
      <c r="R1151" t="s">
        <v>47427</v>
      </c>
      <c r="S1151" t="s">
        <v>47540</v>
      </c>
      <c r="T1151" t="s">
        <v>49068</v>
      </c>
      <c r="U1151" t="s">
        <v>50348</v>
      </c>
      <c r="V1151" t="s">
        <v>62751</v>
      </c>
      <c r="W1151" t="s">
        <v>43557</v>
      </c>
      <c r="X1151" t="s">
        <v>47428</v>
      </c>
    </row>
    <row r="1152" spans="1:24">
      <c r="A1152">
        <f>HYPERLINK("https://www.philgeps.gov.ph/GEPSNONPILOT/Tender/SplashBidNoticeAbstractUI.aspx?menuIndex=3&amp;refID=7164528&amp;Result=3","7164528")</f>
        <v>0</v>
      </c>
      <c r="B1152" t="s">
        <v>541</v>
      </c>
      <c r="C1152" t="s">
        <v>5028</v>
      </c>
      <c r="D1152" t="s">
        <v>19022</v>
      </c>
      <c r="E1152" t="s">
        <v>20156</v>
      </c>
      <c r="F1152" t="s">
        <v>32831</v>
      </c>
      <c r="G1152" t="s">
        <v>32838</v>
      </c>
      <c r="H1152" t="s">
        <v>32848</v>
      </c>
      <c r="I1152" t="s">
        <v>32854</v>
      </c>
      <c r="J1152" t="s">
        <v>33175</v>
      </c>
      <c r="K1152" t="s">
        <v>42726</v>
      </c>
      <c r="M1152" t="s">
        <v>43547</v>
      </c>
      <c r="N1152" t="s">
        <v>47424</v>
      </c>
      <c r="O1152" t="s">
        <v>47425</v>
      </c>
      <c r="P1152">
        <v>0</v>
      </c>
      <c r="Q1152">
        <v>0</v>
      </c>
      <c r="R1152" t="s">
        <v>47427</v>
      </c>
      <c r="S1152" t="s">
        <v>47540</v>
      </c>
      <c r="T1152" t="s">
        <v>49114</v>
      </c>
      <c r="U1152" t="s">
        <v>50677</v>
      </c>
      <c r="W1152" t="s">
        <v>43547</v>
      </c>
      <c r="X1152" t="s">
        <v>47428</v>
      </c>
    </row>
    <row r="1153" spans="1:24">
      <c r="A1153">
        <f>HYPERLINK("https://www.philgeps.gov.ph/GEPSNONPILOT/Tender/SplashBidNoticeAbstractUI.aspx?menuIndex=3&amp;refID=7164526&amp;Result=3","7164526")</f>
        <v>0</v>
      </c>
      <c r="B1153" t="s">
        <v>541</v>
      </c>
      <c r="C1153" t="s">
        <v>5029</v>
      </c>
      <c r="D1153" t="s">
        <v>19022</v>
      </c>
      <c r="E1153" t="s">
        <v>20157</v>
      </c>
      <c r="F1153" t="s">
        <v>32831</v>
      </c>
      <c r="G1153" t="s">
        <v>32838</v>
      </c>
      <c r="H1153" t="s">
        <v>32848</v>
      </c>
      <c r="I1153" t="s">
        <v>9577</v>
      </c>
      <c r="J1153" t="s">
        <v>33828</v>
      </c>
      <c r="K1153" t="s">
        <v>42726</v>
      </c>
      <c r="M1153" t="s">
        <v>43547</v>
      </c>
      <c r="N1153" t="s">
        <v>47424</v>
      </c>
      <c r="O1153" t="s">
        <v>47425</v>
      </c>
      <c r="P1153">
        <v>0</v>
      </c>
      <c r="Q1153">
        <v>0</v>
      </c>
      <c r="R1153" t="s">
        <v>47427</v>
      </c>
      <c r="S1153" t="s">
        <v>47540</v>
      </c>
      <c r="T1153" t="s">
        <v>49114</v>
      </c>
      <c r="U1153" t="s">
        <v>50677</v>
      </c>
      <c r="W1153" t="s">
        <v>43547</v>
      </c>
      <c r="X1153" t="s">
        <v>47428</v>
      </c>
    </row>
    <row r="1154" spans="1:24">
      <c r="A1154">
        <f>HYPERLINK("https://www.philgeps.gov.ph/GEPSNONPILOT/Tender/SplashBidNoticeAbstractUI.aspx?menuIndex=3&amp;refID=7164606&amp;Result=3","7164606")</f>
        <v>0</v>
      </c>
      <c r="B1154" t="s">
        <v>490</v>
      </c>
      <c r="C1154" t="s">
        <v>5030</v>
      </c>
      <c r="D1154" t="s">
        <v>19067</v>
      </c>
      <c r="E1154" t="s">
        <v>20158</v>
      </c>
      <c r="F1154" t="s">
        <v>32831</v>
      </c>
      <c r="G1154" t="s">
        <v>32838</v>
      </c>
      <c r="H1154" t="s">
        <v>32848</v>
      </c>
      <c r="I1154" t="s">
        <v>32878</v>
      </c>
      <c r="J1154" t="s">
        <v>33829</v>
      </c>
      <c r="K1154" t="s">
        <v>42727</v>
      </c>
      <c r="M1154" t="s">
        <v>43495</v>
      </c>
      <c r="N1154" t="s">
        <v>47424</v>
      </c>
      <c r="O1154" t="s">
        <v>47425</v>
      </c>
      <c r="P1154">
        <v>0</v>
      </c>
      <c r="Q1154">
        <v>1</v>
      </c>
      <c r="R1154" t="s">
        <v>47427</v>
      </c>
      <c r="S1154" t="s">
        <v>47540</v>
      </c>
      <c r="T1154" t="s">
        <v>49177</v>
      </c>
      <c r="U1154" t="s">
        <v>50678</v>
      </c>
      <c r="W1154" t="s">
        <v>43495</v>
      </c>
      <c r="X1154" t="s">
        <v>47428</v>
      </c>
    </row>
    <row r="1155" spans="1:24">
      <c r="A1155">
        <f>HYPERLINK("https://www.philgeps.gov.ph/GEPSNONPILOT/Tender/SplashBidNoticeAbstractUI.aspx?menuIndex=3&amp;refID=7164511&amp;Result=3","7164511")</f>
        <v>0</v>
      </c>
      <c r="B1155" t="s">
        <v>534</v>
      </c>
      <c r="C1155" t="s">
        <v>5031</v>
      </c>
      <c r="E1155" t="s">
        <v>20159</v>
      </c>
      <c r="F1155" t="s">
        <v>32831</v>
      </c>
      <c r="G1155" t="s">
        <v>32839</v>
      </c>
      <c r="H1155" t="s">
        <v>32848</v>
      </c>
      <c r="I1155" t="s">
        <v>9577</v>
      </c>
      <c r="J1155" t="s">
        <v>33830</v>
      </c>
      <c r="K1155" t="s">
        <v>42730</v>
      </c>
      <c r="M1155" t="s">
        <v>43540</v>
      </c>
      <c r="N1155" t="s">
        <v>47424</v>
      </c>
      <c r="O1155" t="s">
        <v>47425</v>
      </c>
      <c r="P1155">
        <v>0</v>
      </c>
      <c r="Q1155">
        <v>2</v>
      </c>
      <c r="R1155" t="s">
        <v>47427</v>
      </c>
      <c r="S1155" t="s">
        <v>47540</v>
      </c>
      <c r="T1155" t="s">
        <v>49065</v>
      </c>
      <c r="U1155" t="s">
        <v>50679</v>
      </c>
      <c r="W1155" t="s">
        <v>43540</v>
      </c>
      <c r="X1155" t="s">
        <v>47428</v>
      </c>
    </row>
    <row r="1156" spans="1:24">
      <c r="A1156">
        <f>HYPERLINK("https://www.philgeps.gov.ph/GEPSNONPILOT/Tender/SplashBidNoticeAbstractUI.aspx?menuIndex=3&amp;refID=7164612&amp;Result=3","7164612")</f>
        <v>0</v>
      </c>
      <c r="B1156" t="s">
        <v>490</v>
      </c>
      <c r="C1156" t="s">
        <v>5032</v>
      </c>
      <c r="D1156" t="s">
        <v>19067</v>
      </c>
      <c r="E1156" t="s">
        <v>20160</v>
      </c>
      <c r="F1156" t="s">
        <v>32831</v>
      </c>
      <c r="G1156" t="s">
        <v>32838</v>
      </c>
      <c r="H1156" t="s">
        <v>32848</v>
      </c>
      <c r="I1156" t="s">
        <v>32862</v>
      </c>
      <c r="J1156" t="s">
        <v>33162</v>
      </c>
      <c r="K1156" t="s">
        <v>42727</v>
      </c>
      <c r="M1156" t="s">
        <v>43495</v>
      </c>
      <c r="N1156" t="s">
        <v>47424</v>
      </c>
      <c r="O1156" t="s">
        <v>47425</v>
      </c>
      <c r="P1156">
        <v>0</v>
      </c>
      <c r="Q1156">
        <v>0</v>
      </c>
      <c r="R1156" t="s">
        <v>47427</v>
      </c>
      <c r="S1156" t="s">
        <v>47540</v>
      </c>
      <c r="T1156" t="s">
        <v>49177</v>
      </c>
      <c r="U1156" t="s">
        <v>50680</v>
      </c>
      <c r="W1156" t="s">
        <v>43495</v>
      </c>
      <c r="X1156" t="s">
        <v>47428</v>
      </c>
    </row>
    <row r="1157" spans="1:24">
      <c r="A1157">
        <f>HYPERLINK("https://www.philgeps.gov.ph/GEPSNONPILOT/Tender/SplashBidNoticeAbstractUI.aspx?menuIndex=3&amp;refID=7164543&amp;Result=3","7164543")</f>
        <v>0</v>
      </c>
      <c r="B1157" t="s">
        <v>551</v>
      </c>
      <c r="C1157" t="s">
        <v>5013</v>
      </c>
      <c r="D1157" t="s">
        <v>19047</v>
      </c>
      <c r="E1157" t="s">
        <v>20140</v>
      </c>
      <c r="F1157" t="s">
        <v>32831</v>
      </c>
      <c r="G1157" t="s">
        <v>32840</v>
      </c>
      <c r="H1157" t="s">
        <v>32848</v>
      </c>
      <c r="I1157" t="s">
        <v>32858</v>
      </c>
      <c r="J1157" t="s">
        <v>33831</v>
      </c>
      <c r="K1157" t="s">
        <v>42732</v>
      </c>
      <c r="M1157" t="s">
        <v>43558</v>
      </c>
      <c r="N1157" t="s">
        <v>47424</v>
      </c>
      <c r="O1157" t="s">
        <v>47425</v>
      </c>
      <c r="P1157">
        <v>0</v>
      </c>
      <c r="Q1157">
        <v>2</v>
      </c>
      <c r="R1157" t="s">
        <v>47427</v>
      </c>
      <c r="S1157" t="s">
        <v>47540</v>
      </c>
      <c r="T1157" t="s">
        <v>49091</v>
      </c>
      <c r="U1157" t="s">
        <v>50681</v>
      </c>
      <c r="W1157" t="s">
        <v>43558</v>
      </c>
      <c r="X1157" t="s">
        <v>47428</v>
      </c>
    </row>
    <row r="1158" spans="1:24">
      <c r="A1158">
        <f>HYPERLINK("https://www.philgeps.gov.ph/GEPSNONPILOT/Tender/SplashBidNoticeAbstractUI.aspx?menuIndex=3&amp;refID=7164387&amp;Result=3","7164387")</f>
        <v>0</v>
      </c>
      <c r="B1158" t="s">
        <v>528</v>
      </c>
      <c r="C1158" t="s">
        <v>5033</v>
      </c>
      <c r="D1158" t="s">
        <v>19027</v>
      </c>
      <c r="E1158" t="s">
        <v>20161</v>
      </c>
      <c r="F1158" t="s">
        <v>32831</v>
      </c>
      <c r="G1158" t="s">
        <v>32838</v>
      </c>
      <c r="H1158" t="s">
        <v>32848</v>
      </c>
      <c r="I1158" t="s">
        <v>9577</v>
      </c>
      <c r="J1158" t="s">
        <v>33832</v>
      </c>
      <c r="K1158" t="s">
        <v>42727</v>
      </c>
      <c r="M1158" t="s">
        <v>43534</v>
      </c>
      <c r="N1158" t="s">
        <v>47424</v>
      </c>
      <c r="O1158" t="s">
        <v>47425</v>
      </c>
      <c r="P1158">
        <v>0</v>
      </c>
      <c r="Q1158">
        <v>4</v>
      </c>
      <c r="R1158" t="s">
        <v>47427</v>
      </c>
      <c r="S1158" t="s">
        <v>47540</v>
      </c>
      <c r="T1158" t="s">
        <v>49214</v>
      </c>
      <c r="U1158" t="s">
        <v>50682</v>
      </c>
      <c r="W1158" t="s">
        <v>43534</v>
      </c>
      <c r="X1158" t="s">
        <v>47428</v>
      </c>
    </row>
    <row r="1159" spans="1:24">
      <c r="A1159">
        <f>HYPERLINK("https://www.philgeps.gov.ph/GEPSNONPILOT/Tender/SplashBidNoticeAbstractUI.aspx?menuIndex=3&amp;refID=7164608&amp;Result=3","7164608")</f>
        <v>0</v>
      </c>
      <c r="B1159" t="s">
        <v>490</v>
      </c>
      <c r="C1159" t="s">
        <v>5034</v>
      </c>
      <c r="D1159" t="s">
        <v>19067</v>
      </c>
      <c r="E1159" t="s">
        <v>20162</v>
      </c>
      <c r="F1159" t="s">
        <v>32831</v>
      </c>
      <c r="G1159" t="s">
        <v>32838</v>
      </c>
      <c r="H1159" t="s">
        <v>32848</v>
      </c>
      <c r="I1159" t="s">
        <v>32878</v>
      </c>
      <c r="J1159" t="s">
        <v>33025</v>
      </c>
      <c r="K1159" t="s">
        <v>42727</v>
      </c>
      <c r="M1159" t="s">
        <v>43495</v>
      </c>
      <c r="N1159" t="s">
        <v>47424</v>
      </c>
      <c r="O1159" t="s">
        <v>47425</v>
      </c>
      <c r="P1159">
        <v>0</v>
      </c>
      <c r="Q1159">
        <v>0</v>
      </c>
      <c r="R1159" t="s">
        <v>47427</v>
      </c>
      <c r="S1159" t="s">
        <v>47540</v>
      </c>
      <c r="T1159" t="s">
        <v>49177</v>
      </c>
      <c r="U1159" t="s">
        <v>50683</v>
      </c>
      <c r="W1159" t="s">
        <v>43495</v>
      </c>
      <c r="X1159" t="s">
        <v>47428</v>
      </c>
    </row>
    <row r="1160" spans="1:24">
      <c r="A1160">
        <f>HYPERLINK("https://www.philgeps.gov.ph/GEPSNONPILOT/Tender/SplashBidNoticeAbstractUI.aspx?menuIndex=3&amp;refID=7164461&amp;Result=3","7164461")</f>
        <v>0</v>
      </c>
      <c r="B1160" t="s">
        <v>539</v>
      </c>
      <c r="C1160" t="s">
        <v>5035</v>
      </c>
      <c r="D1160" t="s">
        <v>19057</v>
      </c>
      <c r="E1160" t="s">
        <v>20163</v>
      </c>
      <c r="F1160" t="s">
        <v>32831</v>
      </c>
      <c r="G1160" t="s">
        <v>32838</v>
      </c>
      <c r="H1160" t="s">
        <v>32848</v>
      </c>
      <c r="I1160" t="s">
        <v>32853</v>
      </c>
      <c r="J1160" t="s">
        <v>33833</v>
      </c>
      <c r="K1160" t="s">
        <v>42726</v>
      </c>
      <c r="M1160" t="s">
        <v>43545</v>
      </c>
      <c r="N1160" t="s">
        <v>47424</v>
      </c>
      <c r="O1160" t="s">
        <v>47425</v>
      </c>
      <c r="P1160">
        <v>0</v>
      </c>
      <c r="Q1160">
        <v>0</v>
      </c>
      <c r="R1160" t="s">
        <v>47427</v>
      </c>
      <c r="S1160" t="s">
        <v>47540</v>
      </c>
      <c r="T1160" t="s">
        <v>49214</v>
      </c>
      <c r="U1160" t="s">
        <v>50323</v>
      </c>
      <c r="W1160" t="s">
        <v>43545</v>
      </c>
      <c r="X1160" t="s">
        <v>47428</v>
      </c>
    </row>
    <row r="1161" spans="1:24">
      <c r="A1161">
        <f>HYPERLINK("https://www.philgeps.gov.ph/GEPSNONPILOT/Tender/SplashBidNoticeAbstractUI.aspx?menuIndex=3&amp;refID=7164605&amp;Result=3","7164605")</f>
        <v>0</v>
      </c>
      <c r="B1161" t="s">
        <v>490</v>
      </c>
      <c r="C1161" t="s">
        <v>5036</v>
      </c>
      <c r="D1161" t="s">
        <v>19067</v>
      </c>
      <c r="E1161" t="s">
        <v>20164</v>
      </c>
      <c r="F1161" t="s">
        <v>32831</v>
      </c>
      <c r="G1161" t="s">
        <v>32838</v>
      </c>
      <c r="H1161" t="s">
        <v>32848</v>
      </c>
      <c r="I1161" t="s">
        <v>10888</v>
      </c>
      <c r="J1161" t="s">
        <v>33834</v>
      </c>
      <c r="K1161" t="s">
        <v>42727</v>
      </c>
      <c r="M1161" t="s">
        <v>43495</v>
      </c>
      <c r="N1161" t="s">
        <v>47424</v>
      </c>
      <c r="O1161" t="s">
        <v>47425</v>
      </c>
      <c r="P1161">
        <v>0</v>
      </c>
      <c r="Q1161">
        <v>0</v>
      </c>
      <c r="R1161" t="s">
        <v>47427</v>
      </c>
      <c r="S1161" t="s">
        <v>47540</v>
      </c>
      <c r="T1161" t="s">
        <v>49177</v>
      </c>
      <c r="U1161" t="s">
        <v>50684</v>
      </c>
      <c r="W1161" t="s">
        <v>43495</v>
      </c>
      <c r="X1161" t="s">
        <v>47428</v>
      </c>
    </row>
    <row r="1162" spans="1:24">
      <c r="A1162">
        <f>HYPERLINK("https://www.philgeps.gov.ph/GEPSNONPILOT/Tender/SplashBidNoticeAbstractUI.aspx?menuIndex=3&amp;refID=7164556&amp;Result=3","7164556")</f>
        <v>0</v>
      </c>
      <c r="B1162" t="s">
        <v>542</v>
      </c>
      <c r="C1162" t="s">
        <v>5013</v>
      </c>
      <c r="D1162" t="s">
        <v>19047</v>
      </c>
      <c r="E1162" t="s">
        <v>20140</v>
      </c>
      <c r="F1162" t="s">
        <v>32831</v>
      </c>
      <c r="G1162" t="s">
        <v>32840</v>
      </c>
      <c r="H1162" t="s">
        <v>32848</v>
      </c>
      <c r="I1162" t="s">
        <v>32858</v>
      </c>
      <c r="J1162" t="s">
        <v>33813</v>
      </c>
      <c r="K1162" t="s">
        <v>42732</v>
      </c>
      <c r="M1162" t="s">
        <v>43559</v>
      </c>
      <c r="N1162" t="s">
        <v>47424</v>
      </c>
      <c r="O1162" t="s">
        <v>47425</v>
      </c>
      <c r="P1162">
        <v>0</v>
      </c>
      <c r="Q1162">
        <v>1</v>
      </c>
      <c r="R1162" t="s">
        <v>47427</v>
      </c>
      <c r="S1162" t="s">
        <v>47540</v>
      </c>
      <c r="T1162" t="s">
        <v>49091</v>
      </c>
      <c r="U1162" t="s">
        <v>50685</v>
      </c>
      <c r="W1162" t="s">
        <v>43559</v>
      </c>
      <c r="X1162" t="s">
        <v>47428</v>
      </c>
    </row>
    <row r="1163" spans="1:24">
      <c r="A1163">
        <f>HYPERLINK("https://www.philgeps.gov.ph/GEPSNONPILOT/Tender/SplashBidNoticeAbstractUI.aspx?menuIndex=3&amp;refID=7164597&amp;Result=3","7164597")</f>
        <v>0</v>
      </c>
      <c r="B1163" t="s">
        <v>552</v>
      </c>
      <c r="C1163" t="s">
        <v>4726</v>
      </c>
      <c r="D1163" t="s">
        <v>19074</v>
      </c>
      <c r="E1163" t="s">
        <v>20165</v>
      </c>
      <c r="F1163" t="s">
        <v>32831</v>
      </c>
      <c r="G1163" t="s">
        <v>32840</v>
      </c>
      <c r="H1163" t="s">
        <v>32848</v>
      </c>
      <c r="I1163" t="s">
        <v>4438</v>
      </c>
      <c r="J1163" t="s">
        <v>33835</v>
      </c>
      <c r="K1163" t="s">
        <v>42759</v>
      </c>
      <c r="M1163" t="s">
        <v>43560</v>
      </c>
      <c r="N1163" t="s">
        <v>47424</v>
      </c>
      <c r="O1163" t="s">
        <v>47425</v>
      </c>
      <c r="P1163">
        <v>0</v>
      </c>
      <c r="Q1163">
        <v>1</v>
      </c>
      <c r="R1163" t="s">
        <v>47427</v>
      </c>
      <c r="S1163" t="s">
        <v>47540</v>
      </c>
      <c r="T1163" t="s">
        <v>49235</v>
      </c>
      <c r="U1163" t="s">
        <v>50686</v>
      </c>
      <c r="V1163" t="s">
        <v>62707</v>
      </c>
      <c r="W1163" t="s">
        <v>43560</v>
      </c>
      <c r="X1163" t="s">
        <v>47428</v>
      </c>
    </row>
    <row r="1164" spans="1:24">
      <c r="A1164">
        <f>HYPERLINK("https://www.philgeps.gov.ph/GEPSNONPILOT/Tender/SplashBidNoticeAbstractUI.aspx?menuIndex=3&amp;refID=7164596&amp;Result=3","7164596")</f>
        <v>0</v>
      </c>
      <c r="B1164" t="s">
        <v>553</v>
      </c>
      <c r="C1164" t="s">
        <v>5037</v>
      </c>
      <c r="D1164" t="s">
        <v>19030</v>
      </c>
      <c r="E1164" t="s">
        <v>20014</v>
      </c>
      <c r="F1164" t="s">
        <v>32831</v>
      </c>
      <c r="G1164" t="s">
        <v>32840</v>
      </c>
      <c r="H1164" t="s">
        <v>32848</v>
      </c>
      <c r="I1164" t="s">
        <v>32857</v>
      </c>
      <c r="J1164" t="s">
        <v>33836</v>
      </c>
      <c r="K1164" t="s">
        <v>42742</v>
      </c>
      <c r="M1164" t="s">
        <v>43561</v>
      </c>
      <c r="N1164" t="s">
        <v>47424</v>
      </c>
      <c r="O1164" t="s">
        <v>47425</v>
      </c>
      <c r="P1164">
        <v>0</v>
      </c>
      <c r="Q1164">
        <v>16</v>
      </c>
      <c r="R1164" t="s">
        <v>47427</v>
      </c>
      <c r="S1164" t="s">
        <v>47540</v>
      </c>
      <c r="T1164" t="s">
        <v>49107</v>
      </c>
      <c r="U1164" t="s">
        <v>50687</v>
      </c>
      <c r="W1164" t="s">
        <v>43561</v>
      </c>
      <c r="X1164" t="s">
        <v>47428</v>
      </c>
    </row>
    <row r="1165" spans="1:24">
      <c r="A1165">
        <f>HYPERLINK("https://www.philgeps.gov.ph/GEPSNONPILOT/Tender/SplashBidNoticeAbstractUI.aspx?menuIndex=3&amp;refID=7164590&amp;Result=3","7164590")</f>
        <v>0</v>
      </c>
      <c r="B1165" t="s">
        <v>468</v>
      </c>
      <c r="C1165" t="s">
        <v>5038</v>
      </c>
      <c r="D1165" t="s">
        <v>19031</v>
      </c>
      <c r="E1165" t="s">
        <v>20166</v>
      </c>
      <c r="F1165" t="s">
        <v>32831</v>
      </c>
      <c r="G1165" t="s">
        <v>32838</v>
      </c>
      <c r="H1165" t="s">
        <v>32848</v>
      </c>
      <c r="I1165" t="s">
        <v>32862</v>
      </c>
      <c r="J1165" t="s">
        <v>33178</v>
      </c>
      <c r="K1165" t="s">
        <v>42727</v>
      </c>
      <c r="M1165" t="s">
        <v>43473</v>
      </c>
      <c r="N1165" t="s">
        <v>47424</v>
      </c>
      <c r="O1165" t="s">
        <v>47425</v>
      </c>
      <c r="P1165">
        <v>0</v>
      </c>
      <c r="Q1165">
        <v>0</v>
      </c>
      <c r="R1165" t="s">
        <v>47427</v>
      </c>
      <c r="S1165" t="s">
        <v>47540</v>
      </c>
      <c r="T1165" t="s">
        <v>49166</v>
      </c>
      <c r="U1165" t="s">
        <v>50688</v>
      </c>
      <c r="W1165" t="s">
        <v>64440</v>
      </c>
      <c r="X1165" t="s">
        <v>47428</v>
      </c>
    </row>
    <row r="1166" spans="1:24">
      <c r="A1166">
        <f>HYPERLINK("https://www.philgeps.gov.ph/GEPSNONPILOT/Tender/SplashBidNoticeAbstractUI.aspx?menuIndex=3&amp;refID=7164600&amp;Result=3","7164600")</f>
        <v>0</v>
      </c>
      <c r="B1166" t="s">
        <v>554</v>
      </c>
      <c r="C1166" t="s">
        <v>5039</v>
      </c>
      <c r="D1166" t="s">
        <v>19091</v>
      </c>
      <c r="E1166" t="s">
        <v>19984</v>
      </c>
      <c r="F1166" t="s">
        <v>32831</v>
      </c>
      <c r="G1166" t="s">
        <v>32839</v>
      </c>
      <c r="H1166" t="s">
        <v>32849</v>
      </c>
      <c r="I1166" t="s">
        <v>4177</v>
      </c>
      <c r="J1166" t="s">
        <v>33837</v>
      </c>
      <c r="K1166" t="s">
        <v>42746</v>
      </c>
      <c r="M1166" t="s">
        <v>43562</v>
      </c>
      <c r="N1166" t="s">
        <v>47424</v>
      </c>
      <c r="O1166" t="s">
        <v>47425</v>
      </c>
      <c r="P1166">
        <v>0</v>
      </c>
      <c r="Q1166">
        <v>0</v>
      </c>
      <c r="R1166" t="s">
        <v>47427</v>
      </c>
      <c r="S1166" t="s">
        <v>47540</v>
      </c>
      <c r="T1166" t="s">
        <v>49059</v>
      </c>
      <c r="U1166" t="s">
        <v>50689</v>
      </c>
      <c r="W1166" t="s">
        <v>43562</v>
      </c>
      <c r="X1166" t="s">
        <v>47428</v>
      </c>
    </row>
    <row r="1167" spans="1:24">
      <c r="A1167">
        <f>HYPERLINK("https://www.philgeps.gov.ph/GEPSNONPILOT/Tender/SplashBidNoticeAbstractUI.aspx?menuIndex=3&amp;refID=7164584&amp;Result=3","7164584")</f>
        <v>0</v>
      </c>
      <c r="B1167" t="s">
        <v>468</v>
      </c>
      <c r="C1167" t="s">
        <v>5040</v>
      </c>
      <c r="D1167" t="s">
        <v>19031</v>
      </c>
      <c r="E1167" t="s">
        <v>20167</v>
      </c>
      <c r="F1167" t="s">
        <v>32831</v>
      </c>
      <c r="G1167" t="s">
        <v>32838</v>
      </c>
      <c r="H1167" t="s">
        <v>32848</v>
      </c>
      <c r="I1167" t="s">
        <v>5379</v>
      </c>
      <c r="J1167" t="s">
        <v>33838</v>
      </c>
      <c r="K1167" t="s">
        <v>42763</v>
      </c>
      <c r="M1167" t="s">
        <v>43473</v>
      </c>
      <c r="N1167" t="s">
        <v>47424</v>
      </c>
      <c r="O1167" t="s">
        <v>47425</v>
      </c>
      <c r="P1167">
        <v>0</v>
      </c>
      <c r="Q1167">
        <v>0</v>
      </c>
      <c r="R1167" t="s">
        <v>47427</v>
      </c>
      <c r="S1167" t="s">
        <v>47540</v>
      </c>
      <c r="T1167" t="s">
        <v>49166</v>
      </c>
      <c r="U1167" t="s">
        <v>50690</v>
      </c>
      <c r="W1167" t="s">
        <v>64440</v>
      </c>
      <c r="X1167" t="s">
        <v>47428</v>
      </c>
    </row>
    <row r="1168" spans="1:24">
      <c r="A1168">
        <f>HYPERLINK("https://www.philgeps.gov.ph/GEPSNONPILOT/Tender/SplashBidNoticeAbstractUI.aspx?menuIndex=3&amp;refID=7164598&amp;Result=3","7164598")</f>
        <v>0</v>
      </c>
      <c r="B1168" t="s">
        <v>468</v>
      </c>
      <c r="C1168" t="s">
        <v>5041</v>
      </c>
      <c r="D1168" t="s">
        <v>19031</v>
      </c>
      <c r="E1168" t="s">
        <v>20168</v>
      </c>
      <c r="F1168" t="s">
        <v>32831</v>
      </c>
      <c r="G1168" t="s">
        <v>32838</v>
      </c>
      <c r="H1168" t="s">
        <v>32848</v>
      </c>
      <c r="I1168" t="s">
        <v>32870</v>
      </c>
      <c r="J1168" t="s">
        <v>33839</v>
      </c>
      <c r="K1168" t="s">
        <v>42763</v>
      </c>
      <c r="M1168" t="s">
        <v>43473</v>
      </c>
      <c r="N1168" t="s">
        <v>47424</v>
      </c>
      <c r="O1168" t="s">
        <v>47425</v>
      </c>
      <c r="P1168">
        <v>0</v>
      </c>
      <c r="Q1168">
        <v>0</v>
      </c>
      <c r="R1168" t="s">
        <v>47427</v>
      </c>
      <c r="S1168" t="s">
        <v>47540</v>
      </c>
      <c r="T1168" t="s">
        <v>49166</v>
      </c>
      <c r="U1168" t="s">
        <v>50691</v>
      </c>
      <c r="W1168" t="s">
        <v>64440</v>
      </c>
      <c r="X1168" t="s">
        <v>47428</v>
      </c>
    </row>
    <row r="1169" spans="1:24">
      <c r="A1169">
        <f>HYPERLINK("https://www.philgeps.gov.ph/GEPSNONPILOT/Tender/SplashBidNoticeAbstractUI.aspx?menuIndex=3&amp;refID=7164594&amp;Result=3","7164594")</f>
        <v>0</v>
      </c>
      <c r="B1169" t="s">
        <v>468</v>
      </c>
      <c r="C1169" t="s">
        <v>5042</v>
      </c>
      <c r="D1169" t="s">
        <v>19031</v>
      </c>
      <c r="E1169" t="s">
        <v>20169</v>
      </c>
      <c r="F1169" t="s">
        <v>32831</v>
      </c>
      <c r="G1169" t="s">
        <v>32838</v>
      </c>
      <c r="H1169" t="s">
        <v>32848</v>
      </c>
      <c r="I1169" t="s">
        <v>5379</v>
      </c>
      <c r="J1169" t="s">
        <v>33207</v>
      </c>
      <c r="K1169" t="s">
        <v>42763</v>
      </c>
      <c r="M1169" t="s">
        <v>43473</v>
      </c>
      <c r="N1169" t="s">
        <v>47424</v>
      </c>
      <c r="O1169" t="s">
        <v>47425</v>
      </c>
      <c r="P1169">
        <v>0</v>
      </c>
      <c r="Q1169">
        <v>0</v>
      </c>
      <c r="R1169" t="s">
        <v>47427</v>
      </c>
      <c r="S1169" t="s">
        <v>47540</v>
      </c>
      <c r="T1169" t="s">
        <v>49166</v>
      </c>
      <c r="U1169" t="s">
        <v>50692</v>
      </c>
      <c r="W1169" t="s">
        <v>64440</v>
      </c>
      <c r="X1169" t="s">
        <v>47428</v>
      </c>
    </row>
    <row r="1170" spans="1:24">
      <c r="A1170">
        <f>HYPERLINK("https://www.philgeps.gov.ph/GEPSNONPILOT/Tender/SplashBidNoticeAbstractUI.aspx?menuIndex=3&amp;refID=7164583&amp;Result=3","7164583")</f>
        <v>0</v>
      </c>
      <c r="B1170" t="s">
        <v>338</v>
      </c>
      <c r="C1170" t="s">
        <v>5043</v>
      </c>
      <c r="D1170" t="s">
        <v>19019</v>
      </c>
      <c r="E1170" t="s">
        <v>20170</v>
      </c>
      <c r="F1170" t="s">
        <v>32831</v>
      </c>
      <c r="G1170" t="s">
        <v>32840</v>
      </c>
      <c r="H1170" t="s">
        <v>32848</v>
      </c>
      <c r="I1170" t="s">
        <v>7416</v>
      </c>
      <c r="J1170" t="s">
        <v>33840</v>
      </c>
      <c r="K1170" t="s">
        <v>42758</v>
      </c>
      <c r="M1170" t="s">
        <v>43551</v>
      </c>
      <c r="N1170" t="s">
        <v>47424</v>
      </c>
      <c r="O1170" t="s">
        <v>47425</v>
      </c>
      <c r="P1170">
        <v>0</v>
      </c>
      <c r="Q1170">
        <v>0</v>
      </c>
      <c r="R1170" t="s">
        <v>47427</v>
      </c>
      <c r="S1170" t="s">
        <v>47540</v>
      </c>
      <c r="T1170" t="s">
        <v>49145</v>
      </c>
      <c r="U1170" t="s">
        <v>50693</v>
      </c>
      <c r="W1170" t="s">
        <v>43551</v>
      </c>
      <c r="X1170" t="s">
        <v>47428</v>
      </c>
    </row>
    <row r="1171" spans="1:24">
      <c r="A1171">
        <f>HYPERLINK("https://www.philgeps.gov.ph/GEPSNONPILOT/Tender/SplashBidNoticeAbstractUI.aspx?menuIndex=3&amp;refID=7164578&amp;Result=3","7164578")</f>
        <v>0</v>
      </c>
      <c r="B1171" t="s">
        <v>468</v>
      </c>
      <c r="C1171" t="s">
        <v>5044</v>
      </c>
      <c r="D1171" t="s">
        <v>19031</v>
      </c>
      <c r="E1171" t="s">
        <v>20171</v>
      </c>
      <c r="F1171" t="s">
        <v>32831</v>
      </c>
      <c r="G1171" t="s">
        <v>32838</v>
      </c>
      <c r="H1171" t="s">
        <v>32848</v>
      </c>
      <c r="I1171" t="s">
        <v>5379</v>
      </c>
      <c r="J1171" t="s">
        <v>32983</v>
      </c>
      <c r="K1171" t="s">
        <v>42763</v>
      </c>
      <c r="M1171" t="s">
        <v>43473</v>
      </c>
      <c r="N1171" t="s">
        <v>47424</v>
      </c>
      <c r="O1171" t="s">
        <v>47425</v>
      </c>
      <c r="P1171">
        <v>0</v>
      </c>
      <c r="Q1171">
        <v>0</v>
      </c>
      <c r="R1171" t="s">
        <v>47427</v>
      </c>
      <c r="S1171" t="s">
        <v>47540</v>
      </c>
      <c r="T1171" t="s">
        <v>49166</v>
      </c>
      <c r="U1171" t="s">
        <v>50694</v>
      </c>
      <c r="W1171" t="s">
        <v>64440</v>
      </c>
      <c r="X1171" t="s">
        <v>47428</v>
      </c>
    </row>
    <row r="1172" spans="1:24">
      <c r="A1172">
        <f>HYPERLINK("https://www.philgeps.gov.ph/GEPSNONPILOT/Tender/SplashBidNoticeAbstractUI.aspx?menuIndex=3&amp;refID=7164588&amp;Result=3","7164588")</f>
        <v>0</v>
      </c>
      <c r="B1172" t="s">
        <v>468</v>
      </c>
      <c r="C1172" t="s">
        <v>5045</v>
      </c>
      <c r="D1172" t="s">
        <v>19031</v>
      </c>
      <c r="E1172" t="s">
        <v>20172</v>
      </c>
      <c r="F1172" t="s">
        <v>32831</v>
      </c>
      <c r="G1172" t="s">
        <v>32838</v>
      </c>
      <c r="H1172" t="s">
        <v>32848</v>
      </c>
      <c r="I1172" t="s">
        <v>5379</v>
      </c>
      <c r="J1172" t="s">
        <v>33841</v>
      </c>
      <c r="K1172" t="s">
        <v>42763</v>
      </c>
      <c r="M1172" t="s">
        <v>43473</v>
      </c>
      <c r="N1172" t="s">
        <v>47424</v>
      </c>
      <c r="O1172" t="s">
        <v>47425</v>
      </c>
      <c r="P1172">
        <v>0</v>
      </c>
      <c r="Q1172">
        <v>0</v>
      </c>
      <c r="R1172" t="s">
        <v>47427</v>
      </c>
      <c r="S1172" t="s">
        <v>47540</v>
      </c>
      <c r="T1172" t="s">
        <v>49166</v>
      </c>
      <c r="U1172" t="s">
        <v>50695</v>
      </c>
      <c r="W1172" t="s">
        <v>64440</v>
      </c>
      <c r="X1172" t="s">
        <v>47428</v>
      </c>
    </row>
    <row r="1173" spans="1:24">
      <c r="A1173">
        <f>HYPERLINK("https://www.philgeps.gov.ph/GEPSNONPILOT/Tender/SplashBidNoticeAbstractUI.aspx?menuIndex=3&amp;refID=7164524&amp;Result=3","7164524")</f>
        <v>0</v>
      </c>
      <c r="B1173" t="s">
        <v>541</v>
      </c>
      <c r="C1173" t="s">
        <v>5046</v>
      </c>
      <c r="D1173" t="s">
        <v>19022</v>
      </c>
      <c r="E1173" t="s">
        <v>20173</v>
      </c>
      <c r="F1173" t="s">
        <v>32831</v>
      </c>
      <c r="G1173" t="s">
        <v>32838</v>
      </c>
      <c r="H1173" t="s">
        <v>32848</v>
      </c>
      <c r="I1173" t="s">
        <v>32861</v>
      </c>
      <c r="J1173" t="s">
        <v>33385</v>
      </c>
      <c r="K1173" t="s">
        <v>42726</v>
      </c>
      <c r="M1173" t="s">
        <v>43547</v>
      </c>
      <c r="N1173" t="s">
        <v>47424</v>
      </c>
      <c r="O1173" t="s">
        <v>47425</v>
      </c>
      <c r="P1173">
        <v>0</v>
      </c>
      <c r="Q1173">
        <v>2</v>
      </c>
      <c r="R1173" t="s">
        <v>47427</v>
      </c>
      <c r="S1173" t="s">
        <v>47540</v>
      </c>
      <c r="T1173" t="s">
        <v>49114</v>
      </c>
      <c r="U1173" t="s">
        <v>50677</v>
      </c>
      <c r="W1173" t="s">
        <v>43547</v>
      </c>
      <c r="X1173" t="s">
        <v>47428</v>
      </c>
    </row>
    <row r="1174" spans="1:24">
      <c r="A1174">
        <f>HYPERLINK("https://www.philgeps.gov.ph/GEPSNONPILOT/Tender/SplashBidNoticeAbstractUI.aspx?menuIndex=3&amp;refID=7164523&amp;Result=3","7164523")</f>
        <v>0</v>
      </c>
      <c r="B1174" t="s">
        <v>541</v>
      </c>
      <c r="C1174" t="s">
        <v>5029</v>
      </c>
      <c r="D1174" t="s">
        <v>19022</v>
      </c>
      <c r="E1174" t="s">
        <v>20174</v>
      </c>
      <c r="F1174" t="s">
        <v>32831</v>
      </c>
      <c r="G1174" t="s">
        <v>32838</v>
      </c>
      <c r="H1174" t="s">
        <v>32848</v>
      </c>
      <c r="I1174" t="s">
        <v>9577</v>
      </c>
      <c r="J1174" t="s">
        <v>33385</v>
      </c>
      <c r="K1174" t="s">
        <v>42726</v>
      </c>
      <c r="M1174" t="s">
        <v>43547</v>
      </c>
      <c r="N1174" t="s">
        <v>47424</v>
      </c>
      <c r="O1174" t="s">
        <v>47425</v>
      </c>
      <c r="P1174">
        <v>0</v>
      </c>
      <c r="Q1174">
        <v>0</v>
      </c>
      <c r="R1174" t="s">
        <v>47427</v>
      </c>
      <c r="S1174" t="s">
        <v>47540</v>
      </c>
      <c r="T1174" t="s">
        <v>49114</v>
      </c>
      <c r="U1174" t="s">
        <v>50677</v>
      </c>
      <c r="W1174" t="s">
        <v>43547</v>
      </c>
      <c r="X1174" t="s">
        <v>47428</v>
      </c>
    </row>
    <row r="1175" spans="1:24">
      <c r="A1175">
        <f>HYPERLINK("https://www.philgeps.gov.ph/GEPSNONPILOT/Tender/SplashBidNoticeAbstractUI.aspx?menuIndex=3&amp;refID=7164638&amp;Result=3","7164638")</f>
        <v>0</v>
      </c>
      <c r="B1175" t="s">
        <v>391</v>
      </c>
      <c r="C1175" t="s">
        <v>5047</v>
      </c>
      <c r="D1175" t="s">
        <v>19090</v>
      </c>
      <c r="E1175" t="s">
        <v>20175</v>
      </c>
      <c r="F1175" t="s">
        <v>32831</v>
      </c>
      <c r="G1175" t="s">
        <v>32838</v>
      </c>
      <c r="H1175" t="s">
        <v>32848</v>
      </c>
      <c r="I1175" t="s">
        <v>32858</v>
      </c>
      <c r="J1175" t="s">
        <v>33842</v>
      </c>
      <c r="K1175" t="s">
        <v>42758</v>
      </c>
      <c r="M1175" t="s">
        <v>43396</v>
      </c>
      <c r="N1175" t="s">
        <v>47424</v>
      </c>
      <c r="O1175" t="s">
        <v>47425</v>
      </c>
      <c r="P1175">
        <v>0</v>
      </c>
      <c r="Q1175">
        <v>0</v>
      </c>
      <c r="R1175" t="s">
        <v>47427</v>
      </c>
      <c r="S1175" t="s">
        <v>47540</v>
      </c>
      <c r="T1175" t="s">
        <v>49214</v>
      </c>
      <c r="U1175" t="s">
        <v>50696</v>
      </c>
      <c r="W1175" t="s">
        <v>43396</v>
      </c>
      <c r="X1175" t="s">
        <v>47428</v>
      </c>
    </row>
    <row r="1176" spans="1:24">
      <c r="A1176">
        <f>HYPERLINK("https://www.philgeps.gov.ph/GEPSNONPILOT/Tender/SplashBidNoticeAbstractUI.aspx?menuIndex=3&amp;refID=7152340&amp;Result=3","7152340")</f>
        <v>0</v>
      </c>
      <c r="B1176" t="s">
        <v>555</v>
      </c>
      <c r="C1176" t="s">
        <v>5048</v>
      </c>
      <c r="D1176" t="s">
        <v>19033</v>
      </c>
      <c r="E1176" t="s">
        <v>20176</v>
      </c>
      <c r="F1176" t="s">
        <v>32831</v>
      </c>
      <c r="G1176" t="s">
        <v>32838</v>
      </c>
      <c r="H1176" t="s">
        <v>32848</v>
      </c>
      <c r="I1176" t="s">
        <v>32889</v>
      </c>
      <c r="J1176" t="s">
        <v>33843</v>
      </c>
      <c r="K1176" t="s">
        <v>42730</v>
      </c>
      <c r="M1176" t="s">
        <v>43563</v>
      </c>
      <c r="N1176" t="s">
        <v>47424</v>
      </c>
      <c r="O1176" t="s">
        <v>47425</v>
      </c>
      <c r="P1176">
        <v>0</v>
      </c>
      <c r="Q1176">
        <v>0</v>
      </c>
      <c r="R1176" t="s">
        <v>47428</v>
      </c>
      <c r="S1176" t="s">
        <v>47541</v>
      </c>
      <c r="T1176" t="s">
        <v>49163</v>
      </c>
      <c r="U1176" t="s">
        <v>50697</v>
      </c>
      <c r="W1176" t="s">
        <v>43563</v>
      </c>
      <c r="X1176" t="s">
        <v>47433</v>
      </c>
    </row>
    <row r="1177" spans="1:24">
      <c r="A1177">
        <f>HYPERLINK("https://www.philgeps.gov.ph/GEPSNONPILOT/Tender/SplashBidNoticeAbstractUI.aspx?menuIndex=3&amp;refID=7164582&amp;Result=3","7164582")</f>
        <v>0</v>
      </c>
      <c r="B1177" t="s">
        <v>468</v>
      </c>
      <c r="C1177" t="s">
        <v>5049</v>
      </c>
      <c r="D1177" t="s">
        <v>19031</v>
      </c>
      <c r="E1177" t="s">
        <v>20177</v>
      </c>
      <c r="F1177" t="s">
        <v>32831</v>
      </c>
      <c r="G1177" t="s">
        <v>32838</v>
      </c>
      <c r="H1177" t="s">
        <v>32848</v>
      </c>
      <c r="I1177" t="s">
        <v>32870</v>
      </c>
      <c r="J1177" t="s">
        <v>33844</v>
      </c>
      <c r="K1177" t="s">
        <v>42763</v>
      </c>
      <c r="M1177" t="s">
        <v>43473</v>
      </c>
      <c r="N1177" t="s">
        <v>47424</v>
      </c>
      <c r="O1177" t="s">
        <v>47425</v>
      </c>
      <c r="P1177">
        <v>0</v>
      </c>
      <c r="Q1177">
        <v>0</v>
      </c>
      <c r="R1177" t="s">
        <v>47427</v>
      </c>
      <c r="S1177" t="s">
        <v>47540</v>
      </c>
      <c r="T1177" t="s">
        <v>49166</v>
      </c>
      <c r="U1177" t="s">
        <v>50698</v>
      </c>
      <c r="W1177" t="s">
        <v>64440</v>
      </c>
      <c r="X1177" t="s">
        <v>47428</v>
      </c>
    </row>
    <row r="1178" spans="1:24">
      <c r="A1178">
        <f>HYPERLINK("https://www.philgeps.gov.ph/GEPSNONPILOT/Tender/SplashBidNoticeAbstractUI.aspx?menuIndex=3&amp;refID=7149566&amp;Result=3","7149566")</f>
        <v>0</v>
      </c>
      <c r="B1178" t="s">
        <v>556</v>
      </c>
      <c r="C1178" t="s">
        <v>5050</v>
      </c>
      <c r="D1178" t="s">
        <v>19037</v>
      </c>
      <c r="E1178" t="s">
        <v>20178</v>
      </c>
      <c r="F1178" t="s">
        <v>32831</v>
      </c>
      <c r="G1178" t="s">
        <v>32838</v>
      </c>
      <c r="H1178" t="s">
        <v>32848</v>
      </c>
      <c r="I1178" t="s">
        <v>11484</v>
      </c>
      <c r="J1178" t="s">
        <v>33845</v>
      </c>
      <c r="K1178" t="s">
        <v>42747</v>
      </c>
      <c r="M1178" t="s">
        <v>43564</v>
      </c>
      <c r="N1178" t="s">
        <v>47424</v>
      </c>
      <c r="O1178" t="s">
        <v>47425</v>
      </c>
      <c r="P1178">
        <v>0</v>
      </c>
      <c r="Q1178">
        <v>5</v>
      </c>
      <c r="R1178" t="s">
        <v>47428</v>
      </c>
      <c r="S1178" t="s">
        <v>47541</v>
      </c>
      <c r="T1178" t="s">
        <v>49108</v>
      </c>
      <c r="U1178" t="s">
        <v>50699</v>
      </c>
      <c r="V1178" t="s">
        <v>62752</v>
      </c>
      <c r="W1178" t="s">
        <v>43564</v>
      </c>
      <c r="X1178" t="s">
        <v>47434</v>
      </c>
    </row>
    <row r="1179" spans="1:24">
      <c r="A1179">
        <f>HYPERLINK("https://www.philgeps.gov.ph/GEPSNONPILOT/Tender/SplashBidNoticeAbstractUI.aspx?menuIndex=3&amp;refID=7144930-2&amp;Result=3","7144930-2")</f>
        <v>0</v>
      </c>
      <c r="B1179" t="s">
        <v>557</v>
      </c>
      <c r="C1179" t="s">
        <v>5051</v>
      </c>
      <c r="E1179" t="s">
        <v>20179</v>
      </c>
      <c r="F1179" t="s">
        <v>32831</v>
      </c>
      <c r="G1179" t="s">
        <v>32839</v>
      </c>
      <c r="H1179" t="s">
        <v>14069</v>
      </c>
      <c r="I1179" t="s">
        <v>14069</v>
      </c>
      <c r="J1179" t="s">
        <v>33846</v>
      </c>
      <c r="K1179" t="s">
        <v>42732</v>
      </c>
      <c r="M1179" t="s">
        <v>43565</v>
      </c>
      <c r="N1179" t="s">
        <v>47424</v>
      </c>
      <c r="O1179" t="s">
        <v>47425</v>
      </c>
      <c r="P1179">
        <v>0</v>
      </c>
      <c r="Q1179">
        <v>1</v>
      </c>
      <c r="R1179" t="s">
        <v>47428</v>
      </c>
      <c r="S1179" t="s">
        <v>47541</v>
      </c>
      <c r="T1179" t="s">
        <v>49236</v>
      </c>
      <c r="U1179" t="s">
        <v>50700</v>
      </c>
      <c r="V1179" t="s">
        <v>62753</v>
      </c>
      <c r="W1179" t="s">
        <v>43565</v>
      </c>
      <c r="X1179" t="s">
        <v>47430</v>
      </c>
    </row>
    <row r="1180" spans="1:24">
      <c r="A1180">
        <f>HYPERLINK("https://www.philgeps.gov.ph/GEPSNONPILOT/Tender/SplashBidNoticeAbstractUI.aspx?menuIndex=3&amp;refID=7164585&amp;Result=3","7164585")</f>
        <v>0</v>
      </c>
      <c r="B1180" t="s">
        <v>468</v>
      </c>
      <c r="C1180" t="s">
        <v>5052</v>
      </c>
      <c r="D1180" t="s">
        <v>19031</v>
      </c>
      <c r="E1180" t="s">
        <v>20180</v>
      </c>
      <c r="F1180" t="s">
        <v>32831</v>
      </c>
      <c r="G1180" t="s">
        <v>32838</v>
      </c>
      <c r="H1180" t="s">
        <v>32848</v>
      </c>
      <c r="I1180" t="s">
        <v>32870</v>
      </c>
      <c r="J1180" t="s">
        <v>33847</v>
      </c>
      <c r="K1180" t="s">
        <v>42763</v>
      </c>
      <c r="M1180" t="s">
        <v>43473</v>
      </c>
      <c r="N1180" t="s">
        <v>47424</v>
      </c>
      <c r="O1180" t="s">
        <v>47425</v>
      </c>
      <c r="P1180">
        <v>0</v>
      </c>
      <c r="Q1180">
        <v>0</v>
      </c>
      <c r="R1180" t="s">
        <v>47427</v>
      </c>
      <c r="S1180" t="s">
        <v>47540</v>
      </c>
      <c r="T1180" t="s">
        <v>49166</v>
      </c>
      <c r="U1180" t="s">
        <v>50701</v>
      </c>
      <c r="W1180" t="s">
        <v>64440</v>
      </c>
      <c r="X1180" t="s">
        <v>47428</v>
      </c>
    </row>
    <row r="1181" spans="1:24">
      <c r="A1181">
        <f>HYPERLINK("https://www.philgeps.gov.ph/GEPSNONPILOT/Tender/SplashBidNoticeAbstractUI.aspx?menuIndex=3&amp;refID=7164610&amp;Result=3","7164610")</f>
        <v>0</v>
      </c>
      <c r="B1181" t="s">
        <v>490</v>
      </c>
      <c r="C1181" t="s">
        <v>5053</v>
      </c>
      <c r="D1181" t="s">
        <v>19067</v>
      </c>
      <c r="E1181" t="s">
        <v>20181</v>
      </c>
      <c r="F1181" t="s">
        <v>32831</v>
      </c>
      <c r="G1181" t="s">
        <v>32838</v>
      </c>
      <c r="H1181" t="s">
        <v>32848</v>
      </c>
      <c r="I1181" t="s">
        <v>6526</v>
      </c>
      <c r="J1181" t="s">
        <v>33848</v>
      </c>
      <c r="K1181" t="s">
        <v>42727</v>
      </c>
      <c r="M1181" t="s">
        <v>43495</v>
      </c>
      <c r="N1181" t="s">
        <v>47424</v>
      </c>
      <c r="O1181" t="s">
        <v>47425</v>
      </c>
      <c r="P1181">
        <v>0</v>
      </c>
      <c r="Q1181">
        <v>1</v>
      </c>
      <c r="R1181" t="s">
        <v>47427</v>
      </c>
      <c r="S1181" t="s">
        <v>47540</v>
      </c>
      <c r="T1181" t="s">
        <v>49177</v>
      </c>
      <c r="U1181" t="s">
        <v>50702</v>
      </c>
      <c r="W1181" t="s">
        <v>43495</v>
      </c>
      <c r="X1181" t="s">
        <v>47428</v>
      </c>
    </row>
    <row r="1182" spans="1:24">
      <c r="A1182">
        <f>HYPERLINK("https://www.philgeps.gov.ph/GEPSNONPILOT/Tender/SplashBidNoticeAbstractUI.aspx?menuIndex=3&amp;refID=7136556&amp;Result=3","7136556")</f>
        <v>0</v>
      </c>
      <c r="B1182" t="s">
        <v>558</v>
      </c>
      <c r="C1182" t="s">
        <v>5054</v>
      </c>
      <c r="D1182" t="s">
        <v>19045</v>
      </c>
      <c r="E1182" t="s">
        <v>20182</v>
      </c>
      <c r="F1182" t="s">
        <v>32831</v>
      </c>
      <c r="G1182" t="s">
        <v>32838</v>
      </c>
      <c r="H1182" t="s">
        <v>32848</v>
      </c>
      <c r="I1182" t="s">
        <v>4303</v>
      </c>
      <c r="J1182" t="s">
        <v>33849</v>
      </c>
      <c r="K1182" t="s">
        <v>42759</v>
      </c>
      <c r="M1182" t="s">
        <v>43566</v>
      </c>
      <c r="N1182" t="s">
        <v>47424</v>
      </c>
      <c r="O1182" t="s">
        <v>47425</v>
      </c>
      <c r="P1182">
        <v>0</v>
      </c>
      <c r="Q1182">
        <v>0</v>
      </c>
      <c r="R1182" t="s">
        <v>47428</v>
      </c>
      <c r="S1182" t="s">
        <v>47541</v>
      </c>
      <c r="T1182" t="s">
        <v>49111</v>
      </c>
      <c r="U1182" t="s">
        <v>50703</v>
      </c>
      <c r="W1182" t="s">
        <v>43566</v>
      </c>
      <c r="X1182" t="s">
        <v>47441</v>
      </c>
    </row>
    <row r="1183" spans="1:24">
      <c r="A1183">
        <f>HYPERLINK("https://www.philgeps.gov.ph/GEPSNONPILOT/Tender/SplashBidNoticeAbstractUI.aspx?menuIndex=3&amp;refID=7148685&amp;Result=3","7148685")</f>
        <v>0</v>
      </c>
      <c r="B1183" t="s">
        <v>559</v>
      </c>
      <c r="C1183" t="s">
        <v>5055</v>
      </c>
      <c r="D1183" t="s">
        <v>19091</v>
      </c>
      <c r="E1183" t="s">
        <v>20183</v>
      </c>
      <c r="F1183" t="s">
        <v>32831</v>
      </c>
      <c r="G1183" t="s">
        <v>32838</v>
      </c>
      <c r="H1183" t="s">
        <v>32848</v>
      </c>
      <c r="I1183" t="s">
        <v>5379</v>
      </c>
      <c r="J1183" t="s">
        <v>33850</v>
      </c>
      <c r="K1183" t="s">
        <v>42758</v>
      </c>
      <c r="M1183" t="s">
        <v>43567</v>
      </c>
      <c r="N1183" t="s">
        <v>47424</v>
      </c>
      <c r="O1183" t="s">
        <v>47425</v>
      </c>
      <c r="P1183">
        <v>0</v>
      </c>
      <c r="Q1183">
        <v>0</v>
      </c>
      <c r="R1183" t="s">
        <v>47428</v>
      </c>
      <c r="S1183" t="s">
        <v>47541</v>
      </c>
      <c r="T1183" t="s">
        <v>49111</v>
      </c>
      <c r="U1183" t="s">
        <v>50704</v>
      </c>
      <c r="W1183" t="s">
        <v>43567</v>
      </c>
      <c r="X1183" t="s">
        <v>47436</v>
      </c>
    </row>
    <row r="1184" spans="1:24">
      <c r="A1184">
        <f>HYPERLINK("https://www.philgeps.gov.ph/GEPSNONPILOT/Tender/SplashBidNoticeAbstractUI.aspx?menuIndex=3&amp;refID=7164581&amp;Result=3","7164581")</f>
        <v>0</v>
      </c>
      <c r="B1184" t="s">
        <v>560</v>
      </c>
      <c r="C1184" t="s">
        <v>5056</v>
      </c>
      <c r="D1184" t="s">
        <v>19017</v>
      </c>
      <c r="E1184" t="s">
        <v>20184</v>
      </c>
      <c r="F1184" t="s">
        <v>32831</v>
      </c>
      <c r="G1184" t="s">
        <v>32843</v>
      </c>
      <c r="H1184" t="s">
        <v>32850</v>
      </c>
      <c r="I1184" t="s">
        <v>4438</v>
      </c>
      <c r="J1184" t="s">
        <v>33851</v>
      </c>
      <c r="K1184" t="s">
        <v>42730</v>
      </c>
      <c r="M1184" t="s">
        <v>43568</v>
      </c>
      <c r="N1184" t="s">
        <v>47424</v>
      </c>
      <c r="O1184" t="s">
        <v>47425</v>
      </c>
      <c r="P1184">
        <v>0</v>
      </c>
      <c r="Q1184">
        <v>4</v>
      </c>
      <c r="R1184" t="s">
        <v>47427</v>
      </c>
      <c r="S1184" t="s">
        <v>47540</v>
      </c>
      <c r="T1184" t="s">
        <v>49166</v>
      </c>
      <c r="U1184" t="s">
        <v>50705</v>
      </c>
      <c r="V1184" t="s">
        <v>62754</v>
      </c>
      <c r="W1184" t="s">
        <v>43568</v>
      </c>
      <c r="X1184" t="s">
        <v>47428</v>
      </c>
    </row>
    <row r="1185" spans="1:24">
      <c r="A1185">
        <f>HYPERLINK("https://www.philgeps.gov.ph/GEPSNONPILOT/Tender/SplashBidNoticeAbstractUI.aspx?menuIndex=3&amp;refID=7164632&amp;Result=3","7164632")</f>
        <v>0</v>
      </c>
      <c r="B1185" t="s">
        <v>545</v>
      </c>
      <c r="C1185" t="s">
        <v>5057</v>
      </c>
      <c r="D1185" t="s">
        <v>19075</v>
      </c>
      <c r="E1185" t="s">
        <v>20185</v>
      </c>
      <c r="F1185" t="s">
        <v>32831</v>
      </c>
      <c r="G1185" t="s">
        <v>32838</v>
      </c>
      <c r="H1185" t="s">
        <v>32848</v>
      </c>
      <c r="I1185" t="s">
        <v>32860</v>
      </c>
      <c r="J1185" t="s">
        <v>33852</v>
      </c>
      <c r="K1185" t="s">
        <v>42731</v>
      </c>
      <c r="M1185" t="s">
        <v>43569</v>
      </c>
      <c r="N1185" t="s">
        <v>47424</v>
      </c>
      <c r="O1185" t="s">
        <v>47425</v>
      </c>
      <c r="P1185">
        <v>0</v>
      </c>
      <c r="Q1185">
        <v>1</v>
      </c>
      <c r="R1185" t="s">
        <v>47427</v>
      </c>
      <c r="S1185" t="s">
        <v>47540</v>
      </c>
      <c r="T1185" t="s">
        <v>49056</v>
      </c>
      <c r="U1185" t="s">
        <v>50706</v>
      </c>
      <c r="W1185" t="s">
        <v>43569</v>
      </c>
      <c r="X1185" t="s">
        <v>47428</v>
      </c>
    </row>
    <row r="1186" spans="1:24">
      <c r="A1186">
        <f>HYPERLINK("https://www.philgeps.gov.ph/GEPSNONPILOT/Tender/SplashBidNoticeAbstractUI.aspx?menuIndex=3&amp;refID=7148680&amp;Result=3","7148680")</f>
        <v>0</v>
      </c>
      <c r="B1186" t="s">
        <v>559</v>
      </c>
      <c r="C1186" t="s">
        <v>5058</v>
      </c>
      <c r="D1186" t="s">
        <v>19091</v>
      </c>
      <c r="E1186" t="s">
        <v>20186</v>
      </c>
      <c r="F1186" t="s">
        <v>32831</v>
      </c>
      <c r="G1186" t="s">
        <v>32838</v>
      </c>
      <c r="H1186" t="s">
        <v>32848</v>
      </c>
      <c r="I1186" t="s">
        <v>5379</v>
      </c>
      <c r="J1186" t="s">
        <v>33853</v>
      </c>
      <c r="K1186" t="s">
        <v>42758</v>
      </c>
      <c r="M1186" t="s">
        <v>43567</v>
      </c>
      <c r="N1186" t="s">
        <v>47424</v>
      </c>
      <c r="O1186" t="s">
        <v>47425</v>
      </c>
      <c r="P1186">
        <v>0</v>
      </c>
      <c r="Q1186">
        <v>0</v>
      </c>
      <c r="R1186" t="s">
        <v>47428</v>
      </c>
      <c r="S1186" t="s">
        <v>47541</v>
      </c>
      <c r="T1186" t="s">
        <v>49111</v>
      </c>
      <c r="U1186" t="s">
        <v>50707</v>
      </c>
      <c r="W1186" t="s">
        <v>43567</v>
      </c>
      <c r="X1186" t="s">
        <v>47436</v>
      </c>
    </row>
    <row r="1187" spans="1:24">
      <c r="A1187">
        <f>HYPERLINK("https://www.philgeps.gov.ph/GEPSNONPILOT/Tender/SplashBidNoticeAbstractUI.aspx?menuIndex=3&amp;refID=7164631&amp;Result=3","7164631")</f>
        <v>0</v>
      </c>
      <c r="B1187" t="s">
        <v>413</v>
      </c>
      <c r="C1187" t="s">
        <v>5059</v>
      </c>
      <c r="D1187" t="s">
        <v>19017</v>
      </c>
      <c r="E1187" t="s">
        <v>20187</v>
      </c>
      <c r="F1187" t="s">
        <v>32831</v>
      </c>
      <c r="G1187" t="s">
        <v>32840</v>
      </c>
      <c r="H1187" t="s">
        <v>32848</v>
      </c>
      <c r="I1187" t="s">
        <v>4487</v>
      </c>
      <c r="J1187" t="s">
        <v>33241</v>
      </c>
      <c r="K1187" t="s">
        <v>42727</v>
      </c>
      <c r="M1187" t="s">
        <v>43418</v>
      </c>
      <c r="N1187" t="s">
        <v>47424</v>
      </c>
      <c r="O1187" t="s">
        <v>47425</v>
      </c>
      <c r="P1187">
        <v>0</v>
      </c>
      <c r="Q1187">
        <v>3</v>
      </c>
      <c r="R1187" t="s">
        <v>47427</v>
      </c>
      <c r="S1187" t="s">
        <v>47540</v>
      </c>
      <c r="T1187" t="s">
        <v>49163</v>
      </c>
      <c r="U1187" t="s">
        <v>50708</v>
      </c>
      <c r="W1187" t="s">
        <v>43418</v>
      </c>
      <c r="X1187" t="s">
        <v>47428</v>
      </c>
    </row>
    <row r="1188" spans="1:24">
      <c r="A1188">
        <f>HYPERLINK("https://www.philgeps.gov.ph/GEPSNONPILOT/Tender/SplashBidNoticeAbstractUI.aspx?menuIndex=3&amp;refID=7164627&amp;Result=3","7164627")</f>
        <v>0</v>
      </c>
      <c r="B1188" t="s">
        <v>561</v>
      </c>
      <c r="C1188" t="s">
        <v>5060</v>
      </c>
      <c r="E1188" t="s">
        <v>20188</v>
      </c>
      <c r="F1188" t="s">
        <v>32831</v>
      </c>
      <c r="G1188" t="s">
        <v>32840</v>
      </c>
      <c r="H1188" t="s">
        <v>32848</v>
      </c>
      <c r="I1188" t="s">
        <v>32887</v>
      </c>
      <c r="J1188" t="s">
        <v>33854</v>
      </c>
      <c r="K1188" t="s">
        <v>42748</v>
      </c>
      <c r="M1188" t="s">
        <v>43570</v>
      </c>
      <c r="N1188" t="s">
        <v>47424</v>
      </c>
      <c r="O1188" t="s">
        <v>47425</v>
      </c>
      <c r="P1188">
        <v>0</v>
      </c>
      <c r="Q1188">
        <v>8</v>
      </c>
      <c r="R1188" t="s">
        <v>47427</v>
      </c>
      <c r="S1188" t="s">
        <v>47540</v>
      </c>
      <c r="T1188" t="s">
        <v>49141</v>
      </c>
      <c r="U1188" t="s">
        <v>50709</v>
      </c>
      <c r="W1188" t="s">
        <v>43570</v>
      </c>
      <c r="X1188" t="s">
        <v>47428</v>
      </c>
    </row>
    <row r="1189" spans="1:24">
      <c r="A1189">
        <f>HYPERLINK("https://www.philgeps.gov.ph/GEPSNONPILOT/Tender/SplashBidNoticeAbstractUI.aspx?menuIndex=3&amp;refID=7164639&amp;Result=3","7164639")</f>
        <v>0</v>
      </c>
      <c r="B1189" t="s">
        <v>391</v>
      </c>
      <c r="C1189" t="s">
        <v>5061</v>
      </c>
      <c r="D1189" t="s">
        <v>19090</v>
      </c>
      <c r="E1189" t="s">
        <v>20189</v>
      </c>
      <c r="F1189" t="s">
        <v>32831</v>
      </c>
      <c r="G1189" t="s">
        <v>32838</v>
      </c>
      <c r="H1189" t="s">
        <v>32848</v>
      </c>
      <c r="I1189" t="s">
        <v>32858</v>
      </c>
      <c r="J1189" t="s">
        <v>33855</v>
      </c>
      <c r="K1189" t="s">
        <v>42758</v>
      </c>
      <c r="M1189" t="s">
        <v>43396</v>
      </c>
      <c r="N1189" t="s">
        <v>47424</v>
      </c>
      <c r="O1189" t="s">
        <v>47425</v>
      </c>
      <c r="P1189">
        <v>0</v>
      </c>
      <c r="Q1189">
        <v>0</v>
      </c>
      <c r="R1189" t="s">
        <v>47427</v>
      </c>
      <c r="S1189" t="s">
        <v>47540</v>
      </c>
      <c r="T1189" t="s">
        <v>49214</v>
      </c>
      <c r="U1189" t="s">
        <v>50710</v>
      </c>
      <c r="W1189" t="s">
        <v>43396</v>
      </c>
      <c r="X1189" t="s">
        <v>47428</v>
      </c>
    </row>
    <row r="1190" spans="1:24">
      <c r="A1190">
        <f>HYPERLINK("https://www.philgeps.gov.ph/GEPSNONPILOT/Tender/SplashBidNoticeAbstractUI.aspx?menuIndex=3&amp;refID=7156637&amp;Result=3","7156637")</f>
        <v>0</v>
      </c>
      <c r="B1190" t="s">
        <v>562</v>
      </c>
      <c r="C1190" t="s">
        <v>4859</v>
      </c>
      <c r="D1190" t="s">
        <v>19017</v>
      </c>
      <c r="E1190" t="s">
        <v>20190</v>
      </c>
      <c r="F1190" t="s">
        <v>32831</v>
      </c>
      <c r="G1190" t="s">
        <v>32842</v>
      </c>
      <c r="H1190" t="s">
        <v>32848</v>
      </c>
      <c r="I1190" t="s">
        <v>32860</v>
      </c>
      <c r="J1190" t="s">
        <v>33856</v>
      </c>
      <c r="K1190" t="s">
        <v>42732</v>
      </c>
      <c r="M1190" t="s">
        <v>43571</v>
      </c>
      <c r="N1190" t="s">
        <v>47424</v>
      </c>
      <c r="O1190" t="s">
        <v>47425</v>
      </c>
      <c r="P1190">
        <v>0</v>
      </c>
      <c r="Q1190">
        <v>2</v>
      </c>
      <c r="R1190" t="s">
        <v>47428</v>
      </c>
      <c r="S1190" t="s">
        <v>47541</v>
      </c>
      <c r="T1190" t="s">
        <v>49107</v>
      </c>
      <c r="U1190" t="s">
        <v>50711</v>
      </c>
      <c r="V1190" t="s">
        <v>62755</v>
      </c>
      <c r="W1190" t="s">
        <v>43571</v>
      </c>
      <c r="X1190" t="s">
        <v>47432</v>
      </c>
    </row>
    <row r="1191" spans="1:24">
      <c r="A1191">
        <f>HYPERLINK("https://www.philgeps.gov.ph/GEPSNONPILOT/Tender/SplashBidNoticeAbstractUI.aspx?menuIndex=3&amp;refID=7164603&amp;Result=3","7164603")</f>
        <v>0</v>
      </c>
      <c r="B1191" t="s">
        <v>490</v>
      </c>
      <c r="C1191" t="s">
        <v>5062</v>
      </c>
      <c r="D1191" t="s">
        <v>19067</v>
      </c>
      <c r="E1191" t="s">
        <v>20191</v>
      </c>
      <c r="F1191" t="s">
        <v>32831</v>
      </c>
      <c r="G1191" t="s">
        <v>32838</v>
      </c>
      <c r="H1191" t="s">
        <v>32848</v>
      </c>
      <c r="I1191" t="s">
        <v>5379</v>
      </c>
      <c r="J1191" t="s">
        <v>33007</v>
      </c>
      <c r="K1191" t="s">
        <v>42759</v>
      </c>
      <c r="M1191" t="s">
        <v>43495</v>
      </c>
      <c r="N1191" t="s">
        <v>47424</v>
      </c>
      <c r="O1191" t="s">
        <v>47425</v>
      </c>
      <c r="P1191">
        <v>0</v>
      </c>
      <c r="Q1191">
        <v>0</v>
      </c>
      <c r="R1191" t="s">
        <v>47427</v>
      </c>
      <c r="S1191" t="s">
        <v>47540</v>
      </c>
      <c r="T1191" t="s">
        <v>49177</v>
      </c>
      <c r="U1191" t="s">
        <v>50712</v>
      </c>
      <c r="W1191" t="s">
        <v>43495</v>
      </c>
      <c r="X1191" t="s">
        <v>47428</v>
      </c>
    </row>
    <row r="1192" spans="1:24">
      <c r="A1192">
        <f>HYPERLINK("https://www.philgeps.gov.ph/GEPSNONPILOT/Tender/SplashBidNoticeAbstractUI.aspx?menuIndex=3&amp;refID=7158245&amp;Result=3","7158245")</f>
        <v>0</v>
      </c>
      <c r="B1192" t="s">
        <v>563</v>
      </c>
      <c r="C1192" t="s">
        <v>5063</v>
      </c>
      <c r="D1192" t="s">
        <v>19060</v>
      </c>
      <c r="E1192" t="s">
        <v>20192</v>
      </c>
      <c r="F1192" t="s">
        <v>32831</v>
      </c>
      <c r="G1192" t="s">
        <v>32838</v>
      </c>
      <c r="H1192" t="s">
        <v>32848</v>
      </c>
      <c r="I1192" t="s">
        <v>4438</v>
      </c>
      <c r="J1192" t="s">
        <v>33857</v>
      </c>
      <c r="K1192" t="s">
        <v>42732</v>
      </c>
      <c r="M1192" t="s">
        <v>43572</v>
      </c>
      <c r="N1192" t="s">
        <v>47424</v>
      </c>
      <c r="O1192" t="s">
        <v>47425</v>
      </c>
      <c r="P1192">
        <v>0</v>
      </c>
      <c r="Q1192">
        <v>2</v>
      </c>
      <c r="R1192" t="s">
        <v>47428</v>
      </c>
      <c r="S1192" t="s">
        <v>47541</v>
      </c>
      <c r="T1192" t="s">
        <v>49212</v>
      </c>
      <c r="U1192" t="s">
        <v>50713</v>
      </c>
      <c r="W1192" t="s">
        <v>43572</v>
      </c>
      <c r="X1192" t="s">
        <v>47432</v>
      </c>
    </row>
    <row r="1193" spans="1:24">
      <c r="A1193">
        <f>HYPERLINK("https://www.philgeps.gov.ph/GEPSNONPILOT/Tender/SplashBidNoticeAbstractUI.aspx?menuIndex=3&amp;refID=7164609&amp;Result=3","7164609")</f>
        <v>0</v>
      </c>
      <c r="B1193" t="s">
        <v>490</v>
      </c>
      <c r="C1193" t="s">
        <v>5053</v>
      </c>
      <c r="D1193" t="s">
        <v>19067</v>
      </c>
      <c r="E1193" t="s">
        <v>20193</v>
      </c>
      <c r="F1193" t="s">
        <v>32831</v>
      </c>
      <c r="G1193" t="s">
        <v>32838</v>
      </c>
      <c r="H1193" t="s">
        <v>32848</v>
      </c>
      <c r="I1193" t="s">
        <v>6526</v>
      </c>
      <c r="J1193" t="s">
        <v>33858</v>
      </c>
      <c r="K1193" t="s">
        <v>42727</v>
      </c>
      <c r="M1193" t="s">
        <v>43495</v>
      </c>
      <c r="N1193" t="s">
        <v>47424</v>
      </c>
      <c r="O1193" t="s">
        <v>47425</v>
      </c>
      <c r="P1193">
        <v>0</v>
      </c>
      <c r="Q1193">
        <v>0</v>
      </c>
      <c r="R1193" t="s">
        <v>47427</v>
      </c>
      <c r="S1193" t="s">
        <v>47540</v>
      </c>
      <c r="T1193" t="s">
        <v>49177</v>
      </c>
      <c r="U1193" t="s">
        <v>50683</v>
      </c>
      <c r="W1193" t="s">
        <v>43495</v>
      </c>
      <c r="X1193" t="s">
        <v>47428</v>
      </c>
    </row>
    <row r="1194" spans="1:24">
      <c r="A1194">
        <f>HYPERLINK("https://www.philgeps.gov.ph/GEPSNONPILOT/Tender/SplashBidNoticeAbstractUI.aspx?menuIndex=3&amp;refID=7158000&amp;Result=3","7158000")</f>
        <v>0</v>
      </c>
      <c r="B1194" t="s">
        <v>564</v>
      </c>
      <c r="C1194" t="s">
        <v>5064</v>
      </c>
      <c r="D1194" t="s">
        <v>19045</v>
      </c>
      <c r="E1194" t="s">
        <v>20194</v>
      </c>
      <c r="F1194" t="s">
        <v>32831</v>
      </c>
      <c r="G1194" t="s">
        <v>32838</v>
      </c>
      <c r="H1194" t="s">
        <v>32848</v>
      </c>
      <c r="I1194" t="s">
        <v>5379</v>
      </c>
      <c r="J1194" t="s">
        <v>33859</v>
      </c>
      <c r="K1194" t="s">
        <v>42760</v>
      </c>
      <c r="M1194" t="s">
        <v>43573</v>
      </c>
      <c r="N1194" t="s">
        <v>47424</v>
      </c>
      <c r="O1194" t="s">
        <v>47425</v>
      </c>
      <c r="P1194">
        <v>0</v>
      </c>
      <c r="Q1194">
        <v>6</v>
      </c>
      <c r="R1194" t="s">
        <v>47428</v>
      </c>
      <c r="S1194" t="s">
        <v>47541</v>
      </c>
      <c r="T1194" t="s">
        <v>49237</v>
      </c>
      <c r="U1194" t="s">
        <v>50714</v>
      </c>
      <c r="W1194" t="s">
        <v>43573</v>
      </c>
      <c r="X1194" t="s">
        <v>47432</v>
      </c>
    </row>
    <row r="1195" spans="1:24">
      <c r="A1195">
        <f>HYPERLINK("https://www.philgeps.gov.ph/GEPSNONPILOT/Tender/SplashBidNoticeAbstractUI.aspx?menuIndex=3&amp;refID=7157844&amp;Result=3","7157844")</f>
        <v>0</v>
      </c>
      <c r="B1195" t="s">
        <v>50</v>
      </c>
      <c r="C1195" t="s">
        <v>5065</v>
      </c>
      <c r="D1195" t="s">
        <v>19017</v>
      </c>
      <c r="E1195" t="s">
        <v>20195</v>
      </c>
      <c r="F1195" t="s">
        <v>32831</v>
      </c>
      <c r="G1195" t="s">
        <v>32838</v>
      </c>
      <c r="H1195" t="s">
        <v>32848</v>
      </c>
      <c r="I1195" t="s">
        <v>32870</v>
      </c>
      <c r="J1195" t="s">
        <v>33860</v>
      </c>
      <c r="K1195" t="s">
        <v>42796</v>
      </c>
      <c r="M1195" t="s">
        <v>43574</v>
      </c>
      <c r="N1195" t="s">
        <v>47424</v>
      </c>
      <c r="O1195" t="s">
        <v>47425</v>
      </c>
      <c r="P1195">
        <v>0</v>
      </c>
      <c r="Q1195">
        <v>0</v>
      </c>
      <c r="R1195" t="s">
        <v>47428</v>
      </c>
      <c r="S1195" t="s">
        <v>47541</v>
      </c>
      <c r="T1195" t="s">
        <v>49238</v>
      </c>
      <c r="U1195" t="s">
        <v>50715</v>
      </c>
      <c r="W1195" t="s">
        <v>43574</v>
      </c>
      <c r="X1195" t="s">
        <v>47432</v>
      </c>
    </row>
    <row r="1196" spans="1:24">
      <c r="A1196">
        <f>HYPERLINK("https://www.philgeps.gov.ph/GEPSNONPILOT/Tender/SplashBidNoticeAbstractUI.aspx?menuIndex=3&amp;refID=7158249&amp;Result=3","7158249")</f>
        <v>0</v>
      </c>
      <c r="B1196" t="s">
        <v>563</v>
      </c>
      <c r="C1196" t="s">
        <v>5066</v>
      </c>
      <c r="D1196" t="s">
        <v>19060</v>
      </c>
      <c r="E1196" t="s">
        <v>20196</v>
      </c>
      <c r="F1196" t="s">
        <v>32831</v>
      </c>
      <c r="G1196" t="s">
        <v>32838</v>
      </c>
      <c r="H1196" t="s">
        <v>32848</v>
      </c>
      <c r="I1196" t="s">
        <v>7751</v>
      </c>
      <c r="J1196" t="s">
        <v>33140</v>
      </c>
      <c r="K1196" t="s">
        <v>42732</v>
      </c>
      <c r="M1196" t="s">
        <v>43572</v>
      </c>
      <c r="N1196" t="s">
        <v>47424</v>
      </c>
      <c r="O1196" t="s">
        <v>47425</v>
      </c>
      <c r="P1196">
        <v>0</v>
      </c>
      <c r="Q1196">
        <v>0</v>
      </c>
      <c r="R1196" t="s">
        <v>47428</v>
      </c>
      <c r="S1196" t="s">
        <v>47541</v>
      </c>
      <c r="T1196" t="s">
        <v>49212</v>
      </c>
      <c r="U1196" t="s">
        <v>50716</v>
      </c>
      <c r="W1196" t="s">
        <v>43572</v>
      </c>
      <c r="X1196" t="s">
        <v>47432</v>
      </c>
    </row>
    <row r="1197" spans="1:24">
      <c r="A1197">
        <f>HYPERLINK("https://www.philgeps.gov.ph/GEPSNONPILOT/Tender/SplashBidNoticeAbstractUI.aspx?menuIndex=3&amp;refID=7156184&amp;Result=3","7156184")</f>
        <v>0</v>
      </c>
      <c r="B1197" t="s">
        <v>565</v>
      </c>
      <c r="C1197" t="s">
        <v>5067</v>
      </c>
      <c r="D1197" t="s">
        <v>19020</v>
      </c>
      <c r="E1197" t="s">
        <v>20197</v>
      </c>
      <c r="F1197" t="s">
        <v>32831</v>
      </c>
      <c r="G1197" t="s">
        <v>32842</v>
      </c>
      <c r="H1197" t="s">
        <v>32848</v>
      </c>
      <c r="I1197" t="s">
        <v>32860</v>
      </c>
      <c r="J1197" t="s">
        <v>33861</v>
      </c>
      <c r="K1197" t="s">
        <v>42727</v>
      </c>
      <c r="M1197" t="s">
        <v>43575</v>
      </c>
      <c r="N1197" t="s">
        <v>47424</v>
      </c>
      <c r="O1197" t="s">
        <v>47425</v>
      </c>
      <c r="P1197">
        <v>0</v>
      </c>
      <c r="Q1197">
        <v>2</v>
      </c>
      <c r="R1197" t="s">
        <v>47428</v>
      </c>
      <c r="S1197" t="s">
        <v>47541</v>
      </c>
      <c r="T1197" t="s">
        <v>49089</v>
      </c>
      <c r="U1197" t="s">
        <v>50717</v>
      </c>
      <c r="W1197" t="s">
        <v>43575</v>
      </c>
      <c r="X1197" t="s">
        <v>47432</v>
      </c>
    </row>
    <row r="1198" spans="1:24">
      <c r="A1198">
        <f>HYPERLINK("https://www.philgeps.gov.ph/GEPSNONPILOT/Tender/SplashBidNoticeAbstractUI.aspx?menuIndex=3&amp;refID=7155567&amp;Result=3","7155567")</f>
        <v>0</v>
      </c>
      <c r="B1198" t="s">
        <v>566</v>
      </c>
      <c r="C1198" t="s">
        <v>566</v>
      </c>
      <c r="D1198" t="s">
        <v>19088</v>
      </c>
      <c r="E1198" t="s">
        <v>19311</v>
      </c>
      <c r="F1198" t="s">
        <v>32834</v>
      </c>
      <c r="G1198" t="s">
        <v>32840</v>
      </c>
      <c r="H1198" t="s">
        <v>32848</v>
      </c>
      <c r="I1198" t="s">
        <v>4438</v>
      </c>
      <c r="J1198" t="s">
        <v>33862</v>
      </c>
      <c r="K1198" t="s">
        <v>42748</v>
      </c>
      <c r="M1198" t="s">
        <v>43576</v>
      </c>
      <c r="N1198" t="s">
        <v>47424</v>
      </c>
      <c r="O1198" t="s">
        <v>47425</v>
      </c>
      <c r="P1198">
        <v>0</v>
      </c>
      <c r="Q1198">
        <v>3</v>
      </c>
      <c r="R1198" t="s">
        <v>47428</v>
      </c>
      <c r="S1198" t="s">
        <v>47541</v>
      </c>
      <c r="T1198" t="s">
        <v>49205</v>
      </c>
      <c r="U1198" t="s">
        <v>50718</v>
      </c>
      <c r="W1198" t="s">
        <v>43576</v>
      </c>
      <c r="X1198" t="s">
        <v>47432</v>
      </c>
    </row>
    <row r="1199" spans="1:24">
      <c r="A1199">
        <f>HYPERLINK("https://www.philgeps.gov.ph/GEPSNONPILOT/Tender/SplashBidNoticeAbstractUI.aspx?menuIndex=3&amp;refID=7155038&amp;Result=3","7155038")</f>
        <v>0</v>
      </c>
      <c r="B1199" t="s">
        <v>567</v>
      </c>
      <c r="C1199" t="s">
        <v>5068</v>
      </c>
      <c r="D1199" t="s">
        <v>19031</v>
      </c>
      <c r="E1199" t="s">
        <v>20198</v>
      </c>
      <c r="F1199" t="s">
        <v>32831</v>
      </c>
      <c r="G1199" t="s">
        <v>32842</v>
      </c>
      <c r="H1199" t="s">
        <v>32848</v>
      </c>
      <c r="I1199" t="s">
        <v>9577</v>
      </c>
      <c r="J1199" t="s">
        <v>33863</v>
      </c>
      <c r="K1199" t="s">
        <v>42727</v>
      </c>
      <c r="M1199" t="s">
        <v>43577</v>
      </c>
      <c r="N1199" t="s">
        <v>47424</v>
      </c>
      <c r="O1199" t="s">
        <v>47425</v>
      </c>
      <c r="P1199">
        <v>0</v>
      </c>
      <c r="Q1199">
        <v>2</v>
      </c>
      <c r="R1199" t="s">
        <v>47428</v>
      </c>
      <c r="S1199" t="s">
        <v>47541</v>
      </c>
      <c r="T1199" t="s">
        <v>49177</v>
      </c>
      <c r="U1199" t="s">
        <v>50719</v>
      </c>
      <c r="W1199" t="s">
        <v>43577</v>
      </c>
      <c r="X1199" t="s">
        <v>47433</v>
      </c>
    </row>
    <row r="1200" spans="1:24">
      <c r="A1200">
        <f>HYPERLINK("https://www.philgeps.gov.ph/GEPSNONPILOT/Tender/SplashBidNoticeAbstractUI.aspx?menuIndex=3&amp;refID=7155031&amp;Result=3","7155031")</f>
        <v>0</v>
      </c>
      <c r="B1200" t="s">
        <v>567</v>
      </c>
      <c r="C1200" t="s">
        <v>5069</v>
      </c>
      <c r="D1200" t="s">
        <v>19031</v>
      </c>
      <c r="E1200" t="s">
        <v>20199</v>
      </c>
      <c r="F1200" t="s">
        <v>32831</v>
      </c>
      <c r="G1200" t="s">
        <v>32838</v>
      </c>
      <c r="H1200" t="s">
        <v>32848</v>
      </c>
      <c r="I1200" t="s">
        <v>5379</v>
      </c>
      <c r="J1200" t="s">
        <v>33090</v>
      </c>
      <c r="K1200" t="s">
        <v>42727</v>
      </c>
      <c r="M1200" t="s">
        <v>43577</v>
      </c>
      <c r="N1200" t="s">
        <v>47424</v>
      </c>
      <c r="O1200" t="s">
        <v>47425</v>
      </c>
      <c r="P1200">
        <v>0</v>
      </c>
      <c r="Q1200">
        <v>0</v>
      </c>
      <c r="R1200" t="s">
        <v>47428</v>
      </c>
      <c r="S1200" t="s">
        <v>47541</v>
      </c>
      <c r="T1200" t="s">
        <v>49177</v>
      </c>
      <c r="U1200" t="s">
        <v>50719</v>
      </c>
      <c r="W1200" t="s">
        <v>43577</v>
      </c>
      <c r="X1200" t="s">
        <v>47433</v>
      </c>
    </row>
    <row r="1201" spans="1:24">
      <c r="A1201">
        <f>HYPERLINK("https://www.philgeps.gov.ph/GEPSNONPILOT/Tender/SplashBidNoticeAbstractUI.aspx?menuIndex=3&amp;refID=7164629&amp;Result=3","7164629")</f>
        <v>0</v>
      </c>
      <c r="B1201" t="s">
        <v>413</v>
      </c>
      <c r="C1201" t="s">
        <v>5070</v>
      </c>
      <c r="D1201" t="s">
        <v>19017</v>
      </c>
      <c r="E1201" t="s">
        <v>20200</v>
      </c>
      <c r="F1201" t="s">
        <v>32831</v>
      </c>
      <c r="G1201" t="s">
        <v>32840</v>
      </c>
      <c r="H1201" t="s">
        <v>32848</v>
      </c>
      <c r="I1201" t="s">
        <v>32864</v>
      </c>
      <c r="J1201" t="s">
        <v>33025</v>
      </c>
      <c r="K1201" t="s">
        <v>42727</v>
      </c>
      <c r="M1201" t="s">
        <v>43418</v>
      </c>
      <c r="N1201" t="s">
        <v>47424</v>
      </c>
      <c r="O1201" t="s">
        <v>47425</v>
      </c>
      <c r="P1201">
        <v>0</v>
      </c>
      <c r="Q1201">
        <v>14</v>
      </c>
      <c r="R1201" t="s">
        <v>47427</v>
      </c>
      <c r="S1201" t="s">
        <v>47540</v>
      </c>
      <c r="T1201" t="s">
        <v>49239</v>
      </c>
      <c r="U1201" t="s">
        <v>50720</v>
      </c>
      <c r="W1201" t="s">
        <v>43418</v>
      </c>
      <c r="X1201" t="s">
        <v>47428</v>
      </c>
    </row>
    <row r="1202" spans="1:24">
      <c r="A1202">
        <f>HYPERLINK("https://www.philgeps.gov.ph/GEPSNONPILOT/Tender/SplashBidNoticeAbstractUI.aspx?menuIndex=3&amp;refID=7164637&amp;Result=3","7164637")</f>
        <v>0</v>
      </c>
      <c r="B1202" t="s">
        <v>391</v>
      </c>
      <c r="C1202" t="s">
        <v>5071</v>
      </c>
      <c r="D1202" t="s">
        <v>19090</v>
      </c>
      <c r="E1202" t="s">
        <v>20201</v>
      </c>
      <c r="F1202" t="s">
        <v>32831</v>
      </c>
      <c r="G1202" t="s">
        <v>32838</v>
      </c>
      <c r="H1202" t="s">
        <v>32848</v>
      </c>
      <c r="I1202" t="s">
        <v>32858</v>
      </c>
      <c r="J1202" t="s">
        <v>33864</v>
      </c>
      <c r="K1202" t="s">
        <v>42758</v>
      </c>
      <c r="M1202" t="s">
        <v>43396</v>
      </c>
      <c r="N1202" t="s">
        <v>47424</v>
      </c>
      <c r="O1202" t="s">
        <v>47425</v>
      </c>
      <c r="P1202">
        <v>0</v>
      </c>
      <c r="Q1202">
        <v>0</v>
      </c>
      <c r="R1202" t="s">
        <v>47427</v>
      </c>
      <c r="S1202" t="s">
        <v>47540</v>
      </c>
      <c r="T1202" t="s">
        <v>49214</v>
      </c>
      <c r="U1202" t="s">
        <v>50721</v>
      </c>
      <c r="W1202" t="s">
        <v>43396</v>
      </c>
      <c r="X1202" t="s">
        <v>47428</v>
      </c>
    </row>
    <row r="1203" spans="1:24">
      <c r="A1203">
        <f>HYPERLINK("https://www.philgeps.gov.ph/GEPSNONPILOT/Tender/SplashBidNoticeAbstractUI.aspx?menuIndex=3&amp;refID=7154903&amp;Result=3","7154903")</f>
        <v>0</v>
      </c>
      <c r="B1203" t="s">
        <v>568</v>
      </c>
      <c r="C1203" t="s">
        <v>5072</v>
      </c>
      <c r="D1203" t="s">
        <v>19037</v>
      </c>
      <c r="E1203" t="s">
        <v>20202</v>
      </c>
      <c r="F1203" t="s">
        <v>32831</v>
      </c>
      <c r="G1203" t="s">
        <v>32838</v>
      </c>
      <c r="H1203" t="s">
        <v>32848</v>
      </c>
      <c r="I1203" t="s">
        <v>32854</v>
      </c>
      <c r="J1203" t="s">
        <v>33313</v>
      </c>
      <c r="K1203" t="s">
        <v>42730</v>
      </c>
      <c r="M1203" t="s">
        <v>43578</v>
      </c>
      <c r="N1203" t="s">
        <v>47424</v>
      </c>
      <c r="O1203" t="s">
        <v>47425</v>
      </c>
      <c r="P1203">
        <v>0</v>
      </c>
      <c r="Q1203">
        <v>2</v>
      </c>
      <c r="R1203" t="s">
        <v>47428</v>
      </c>
      <c r="S1203" t="s">
        <v>47541</v>
      </c>
      <c r="T1203" t="s">
        <v>49240</v>
      </c>
      <c r="U1203" t="s">
        <v>50722</v>
      </c>
      <c r="V1203" t="s">
        <v>62756</v>
      </c>
      <c r="W1203" t="s">
        <v>43578</v>
      </c>
      <c r="X1203" t="s">
        <v>47433</v>
      </c>
    </row>
    <row r="1204" spans="1:24">
      <c r="A1204">
        <f>HYPERLINK("https://www.philgeps.gov.ph/GEPSNONPILOT/Tender/SplashBidNoticeAbstractUI.aspx?menuIndex=3&amp;refID=7154571&amp;Result=3","7154571")</f>
        <v>0</v>
      </c>
      <c r="B1204" t="s">
        <v>569</v>
      </c>
      <c r="C1204" t="s">
        <v>5073</v>
      </c>
      <c r="D1204" t="s">
        <v>19056</v>
      </c>
      <c r="E1204" t="s">
        <v>20203</v>
      </c>
      <c r="F1204" t="s">
        <v>32831</v>
      </c>
      <c r="G1204" t="s">
        <v>32838</v>
      </c>
      <c r="H1204" t="s">
        <v>32848</v>
      </c>
      <c r="I1204" t="s">
        <v>4303</v>
      </c>
      <c r="J1204" t="s">
        <v>33865</v>
      </c>
      <c r="K1204" t="s">
        <v>42732</v>
      </c>
      <c r="M1204" t="s">
        <v>43579</v>
      </c>
      <c r="N1204" t="s">
        <v>47424</v>
      </c>
      <c r="O1204" t="s">
        <v>47425</v>
      </c>
      <c r="P1204">
        <v>0</v>
      </c>
      <c r="Q1204">
        <v>0</v>
      </c>
      <c r="R1204" t="s">
        <v>47428</v>
      </c>
      <c r="S1204" t="s">
        <v>47541</v>
      </c>
      <c r="T1204" t="s">
        <v>49237</v>
      </c>
      <c r="U1204" t="s">
        <v>50723</v>
      </c>
      <c r="W1204" t="s">
        <v>43579</v>
      </c>
      <c r="X1204" t="s">
        <v>47433</v>
      </c>
    </row>
    <row r="1205" spans="1:24">
      <c r="A1205">
        <f>HYPERLINK("https://www.philgeps.gov.ph/GEPSNONPILOT/Tender/SplashBidNoticeAbstractUI.aspx?menuIndex=3&amp;refID=7158022&amp;Result=3","7158022")</f>
        <v>0</v>
      </c>
      <c r="B1205" t="s">
        <v>564</v>
      </c>
      <c r="C1205" t="s">
        <v>5074</v>
      </c>
      <c r="D1205" t="s">
        <v>19045</v>
      </c>
      <c r="E1205" t="s">
        <v>20204</v>
      </c>
      <c r="F1205" t="s">
        <v>32831</v>
      </c>
      <c r="G1205" t="s">
        <v>32838</v>
      </c>
      <c r="H1205" t="s">
        <v>32848</v>
      </c>
      <c r="I1205" t="s">
        <v>32864</v>
      </c>
      <c r="J1205" t="s">
        <v>33041</v>
      </c>
      <c r="K1205" t="s">
        <v>42732</v>
      </c>
      <c r="M1205" t="s">
        <v>43573</v>
      </c>
      <c r="N1205" t="s">
        <v>47424</v>
      </c>
      <c r="O1205" t="s">
        <v>47425</v>
      </c>
      <c r="P1205">
        <v>0</v>
      </c>
      <c r="Q1205">
        <v>4</v>
      </c>
      <c r="R1205" t="s">
        <v>47428</v>
      </c>
      <c r="S1205" t="s">
        <v>47541</v>
      </c>
      <c r="T1205" t="s">
        <v>49237</v>
      </c>
      <c r="U1205" t="s">
        <v>50724</v>
      </c>
      <c r="W1205" t="s">
        <v>43573</v>
      </c>
      <c r="X1205" t="s">
        <v>47432</v>
      </c>
    </row>
    <row r="1206" spans="1:24">
      <c r="A1206">
        <f>HYPERLINK("https://www.philgeps.gov.ph/GEPSNONPILOT/Tender/SplashBidNoticeAbstractUI.aspx?menuIndex=3&amp;refID=7155043&amp;Result=3","7155043")</f>
        <v>0</v>
      </c>
      <c r="B1206" t="s">
        <v>567</v>
      </c>
      <c r="C1206" t="s">
        <v>5075</v>
      </c>
      <c r="D1206" t="s">
        <v>19031</v>
      </c>
      <c r="E1206" t="s">
        <v>20205</v>
      </c>
      <c r="F1206" t="s">
        <v>32831</v>
      </c>
      <c r="G1206" t="s">
        <v>32842</v>
      </c>
      <c r="H1206" t="s">
        <v>32848</v>
      </c>
      <c r="I1206" t="s">
        <v>9577</v>
      </c>
      <c r="J1206" t="s">
        <v>33866</v>
      </c>
      <c r="K1206" t="s">
        <v>42727</v>
      </c>
      <c r="M1206" t="s">
        <v>43577</v>
      </c>
      <c r="N1206" t="s">
        <v>47424</v>
      </c>
      <c r="O1206" t="s">
        <v>47425</v>
      </c>
      <c r="P1206">
        <v>0</v>
      </c>
      <c r="Q1206">
        <v>0</v>
      </c>
      <c r="R1206" t="s">
        <v>47428</v>
      </c>
      <c r="S1206" t="s">
        <v>47541</v>
      </c>
      <c r="T1206" t="s">
        <v>49177</v>
      </c>
      <c r="U1206" t="s">
        <v>50719</v>
      </c>
      <c r="W1206" t="s">
        <v>43577</v>
      </c>
      <c r="X1206" t="s">
        <v>47433</v>
      </c>
    </row>
    <row r="1207" spans="1:24">
      <c r="A1207">
        <f>HYPERLINK("https://www.philgeps.gov.ph/GEPSNONPILOT/Tender/SplashBidNoticeAbstractUI.aspx?menuIndex=3&amp;refID=7154340&amp;Result=3","7154340")</f>
        <v>0</v>
      </c>
      <c r="B1207" t="s">
        <v>570</v>
      </c>
      <c r="C1207" t="s">
        <v>5076</v>
      </c>
      <c r="D1207" t="s">
        <v>19068</v>
      </c>
      <c r="E1207" t="s">
        <v>20206</v>
      </c>
      <c r="F1207" t="s">
        <v>32831</v>
      </c>
      <c r="G1207" t="s">
        <v>32838</v>
      </c>
      <c r="H1207" t="s">
        <v>32848</v>
      </c>
      <c r="I1207" t="s">
        <v>9577</v>
      </c>
      <c r="J1207" t="s">
        <v>33867</v>
      </c>
      <c r="K1207" t="s">
        <v>42731</v>
      </c>
      <c r="M1207" t="s">
        <v>43580</v>
      </c>
      <c r="N1207" t="s">
        <v>47424</v>
      </c>
      <c r="O1207" t="s">
        <v>47425</v>
      </c>
      <c r="P1207">
        <v>0</v>
      </c>
      <c r="Q1207">
        <v>2</v>
      </c>
      <c r="R1207" t="s">
        <v>47428</v>
      </c>
      <c r="S1207" t="s">
        <v>47541</v>
      </c>
      <c r="T1207" t="s">
        <v>49145</v>
      </c>
      <c r="U1207" t="s">
        <v>50725</v>
      </c>
      <c r="W1207" t="s">
        <v>43580</v>
      </c>
      <c r="X1207" t="s">
        <v>47433</v>
      </c>
    </row>
    <row r="1208" spans="1:24">
      <c r="A1208">
        <f>HYPERLINK("https://www.philgeps.gov.ph/GEPSNONPILOT/Tender/SplashBidNoticeAbstractUI.aspx?menuIndex=3&amp;refID=7156590&amp;Result=3","7156590")</f>
        <v>0</v>
      </c>
      <c r="B1208" t="s">
        <v>571</v>
      </c>
      <c r="C1208" t="s">
        <v>5077</v>
      </c>
      <c r="D1208" t="s">
        <v>19037</v>
      </c>
      <c r="E1208" t="s">
        <v>20207</v>
      </c>
      <c r="F1208" t="s">
        <v>32831</v>
      </c>
      <c r="G1208" t="s">
        <v>32840</v>
      </c>
      <c r="H1208" t="s">
        <v>32848</v>
      </c>
      <c r="I1208" t="s">
        <v>32867</v>
      </c>
      <c r="J1208" t="s">
        <v>33868</v>
      </c>
      <c r="K1208" t="s">
        <v>42727</v>
      </c>
      <c r="M1208" t="s">
        <v>43581</v>
      </c>
      <c r="N1208" t="s">
        <v>47424</v>
      </c>
      <c r="O1208" t="s">
        <v>47425</v>
      </c>
      <c r="P1208">
        <v>0</v>
      </c>
      <c r="Q1208">
        <v>6</v>
      </c>
      <c r="R1208" t="s">
        <v>47428</v>
      </c>
      <c r="S1208" t="s">
        <v>47541</v>
      </c>
      <c r="T1208" t="s">
        <v>49119</v>
      </c>
      <c r="U1208" t="s">
        <v>50726</v>
      </c>
      <c r="W1208" t="s">
        <v>43581</v>
      </c>
      <c r="X1208" t="s">
        <v>47432</v>
      </c>
    </row>
    <row r="1209" spans="1:24">
      <c r="A1209">
        <f>HYPERLINK("https://www.philgeps.gov.ph/GEPSNONPILOT/Tender/SplashBidNoticeAbstractUI.aspx?menuIndex=3&amp;refID=7164626&amp;Result=3","7164626")</f>
        <v>0</v>
      </c>
      <c r="B1209" t="s">
        <v>572</v>
      </c>
      <c r="C1209" t="s">
        <v>5078</v>
      </c>
      <c r="E1209" t="s">
        <v>19486</v>
      </c>
      <c r="F1209" t="s">
        <v>32831</v>
      </c>
      <c r="G1209" t="s">
        <v>32840</v>
      </c>
      <c r="H1209" t="s">
        <v>32848</v>
      </c>
      <c r="I1209" t="s">
        <v>9577</v>
      </c>
      <c r="J1209" t="s">
        <v>33869</v>
      </c>
      <c r="K1209" t="s">
        <v>42758</v>
      </c>
      <c r="M1209" t="s">
        <v>43582</v>
      </c>
      <c r="N1209" t="s">
        <v>47424</v>
      </c>
      <c r="O1209" t="s">
        <v>47425</v>
      </c>
      <c r="P1209">
        <v>0</v>
      </c>
      <c r="Q1209">
        <v>1</v>
      </c>
      <c r="R1209" t="s">
        <v>47427</v>
      </c>
      <c r="S1209" t="s">
        <v>47540</v>
      </c>
      <c r="T1209" t="s">
        <v>49145</v>
      </c>
      <c r="U1209" t="s">
        <v>50727</v>
      </c>
      <c r="W1209" t="s">
        <v>43582</v>
      </c>
      <c r="X1209" t="s">
        <v>47428</v>
      </c>
    </row>
    <row r="1210" spans="1:24">
      <c r="A1210">
        <f>HYPERLINK("https://www.philgeps.gov.ph/GEPSNONPILOT/Tender/SplashBidNoticeAbstractUI.aspx?menuIndex=3&amp;refID=7154973&amp;Result=3","7154973")</f>
        <v>0</v>
      </c>
      <c r="B1210" t="s">
        <v>573</v>
      </c>
      <c r="C1210" t="s">
        <v>5079</v>
      </c>
      <c r="D1210" t="s">
        <v>19062</v>
      </c>
      <c r="E1210" t="s">
        <v>19203</v>
      </c>
      <c r="F1210" t="s">
        <v>32831</v>
      </c>
      <c r="G1210" t="s">
        <v>32839</v>
      </c>
      <c r="H1210" t="s">
        <v>32848</v>
      </c>
      <c r="I1210" t="s">
        <v>32858</v>
      </c>
      <c r="J1210" t="s">
        <v>33870</v>
      </c>
      <c r="K1210" t="s">
        <v>42758</v>
      </c>
      <c r="M1210" t="s">
        <v>43583</v>
      </c>
      <c r="N1210" t="s">
        <v>47424</v>
      </c>
      <c r="O1210" t="s">
        <v>47425</v>
      </c>
      <c r="P1210">
        <v>0</v>
      </c>
      <c r="Q1210">
        <v>0</v>
      </c>
      <c r="R1210" t="s">
        <v>47428</v>
      </c>
      <c r="S1210" t="s">
        <v>47541</v>
      </c>
      <c r="T1210" t="s">
        <v>49241</v>
      </c>
      <c r="U1210" t="s">
        <v>50728</v>
      </c>
      <c r="W1210" t="s">
        <v>43583</v>
      </c>
      <c r="X1210" t="s">
        <v>47433</v>
      </c>
    </row>
    <row r="1211" spans="1:24">
      <c r="A1211">
        <f>HYPERLINK("https://www.philgeps.gov.ph/GEPSNONPILOT/Tender/SplashBidNoticeAbstractUI.aspx?menuIndex=3&amp;refID=7158264&amp;Result=3","7158264")</f>
        <v>0</v>
      </c>
      <c r="B1211" t="s">
        <v>563</v>
      </c>
      <c r="C1211" t="s">
        <v>5080</v>
      </c>
      <c r="D1211" t="s">
        <v>19060</v>
      </c>
      <c r="E1211" t="s">
        <v>20208</v>
      </c>
      <c r="F1211" t="s">
        <v>32831</v>
      </c>
      <c r="G1211" t="s">
        <v>32838</v>
      </c>
      <c r="H1211" t="s">
        <v>32848</v>
      </c>
      <c r="I1211" t="s">
        <v>4438</v>
      </c>
      <c r="J1211" t="s">
        <v>33871</v>
      </c>
      <c r="K1211" t="s">
        <v>42732</v>
      </c>
      <c r="M1211" t="s">
        <v>43572</v>
      </c>
      <c r="N1211" t="s">
        <v>47424</v>
      </c>
      <c r="O1211" t="s">
        <v>47425</v>
      </c>
      <c r="P1211">
        <v>0</v>
      </c>
      <c r="Q1211">
        <v>0</v>
      </c>
      <c r="R1211" t="s">
        <v>47428</v>
      </c>
      <c r="S1211" t="s">
        <v>47541</v>
      </c>
      <c r="T1211" t="s">
        <v>49212</v>
      </c>
      <c r="U1211" t="s">
        <v>50729</v>
      </c>
      <c r="W1211" t="s">
        <v>43572</v>
      </c>
      <c r="X1211" t="s">
        <v>47432</v>
      </c>
    </row>
    <row r="1212" spans="1:24">
      <c r="A1212">
        <f>HYPERLINK("https://www.philgeps.gov.ph/GEPSNONPILOT/Tender/SplashBidNoticeAbstractUI.aspx?menuIndex=3&amp;refID=7154528&amp;Result=3","7154528")</f>
        <v>0</v>
      </c>
      <c r="B1212" t="s">
        <v>569</v>
      </c>
      <c r="C1212" t="s">
        <v>5081</v>
      </c>
      <c r="D1212" t="s">
        <v>19056</v>
      </c>
      <c r="E1212" t="s">
        <v>20209</v>
      </c>
      <c r="F1212" t="s">
        <v>32831</v>
      </c>
      <c r="G1212" t="s">
        <v>32838</v>
      </c>
      <c r="H1212" t="s">
        <v>32848</v>
      </c>
      <c r="I1212" t="s">
        <v>4303</v>
      </c>
      <c r="J1212" t="s">
        <v>33872</v>
      </c>
      <c r="K1212" t="s">
        <v>42732</v>
      </c>
      <c r="M1212" t="s">
        <v>43579</v>
      </c>
      <c r="N1212" t="s">
        <v>47424</v>
      </c>
      <c r="O1212" t="s">
        <v>47425</v>
      </c>
      <c r="P1212">
        <v>0</v>
      </c>
      <c r="Q1212">
        <v>1</v>
      </c>
      <c r="R1212" t="s">
        <v>47428</v>
      </c>
      <c r="S1212" t="s">
        <v>47541</v>
      </c>
      <c r="T1212" t="s">
        <v>49237</v>
      </c>
      <c r="U1212" t="s">
        <v>50730</v>
      </c>
      <c r="W1212" t="s">
        <v>43579</v>
      </c>
      <c r="X1212" t="s">
        <v>47433</v>
      </c>
    </row>
    <row r="1213" spans="1:24">
      <c r="A1213">
        <f>HYPERLINK("https://www.philgeps.gov.ph/GEPSNONPILOT/Tender/SplashBidNoticeAbstractUI.aspx?menuIndex=3&amp;refID=7153790&amp;Result=3","7153790")</f>
        <v>0</v>
      </c>
      <c r="B1213" t="s">
        <v>574</v>
      </c>
      <c r="C1213" t="s">
        <v>5082</v>
      </c>
      <c r="D1213" t="s">
        <v>19077</v>
      </c>
      <c r="E1213" t="s">
        <v>20210</v>
      </c>
      <c r="F1213" t="s">
        <v>32831</v>
      </c>
      <c r="G1213" t="s">
        <v>32839</v>
      </c>
      <c r="H1213" t="s">
        <v>32849</v>
      </c>
      <c r="I1213" t="s">
        <v>4177</v>
      </c>
      <c r="J1213" t="s">
        <v>32983</v>
      </c>
      <c r="K1213" t="s">
        <v>42750</v>
      </c>
      <c r="M1213" t="s">
        <v>43584</v>
      </c>
      <c r="N1213" t="s">
        <v>47424</v>
      </c>
      <c r="O1213" t="s">
        <v>47425</v>
      </c>
      <c r="P1213">
        <v>0</v>
      </c>
      <c r="Q1213">
        <v>0</v>
      </c>
      <c r="R1213" t="s">
        <v>47428</v>
      </c>
      <c r="S1213" t="s">
        <v>47541</v>
      </c>
      <c r="T1213" t="s">
        <v>49057</v>
      </c>
      <c r="U1213" t="s">
        <v>50731</v>
      </c>
      <c r="V1213" t="s">
        <v>62757</v>
      </c>
      <c r="W1213" t="s">
        <v>43584</v>
      </c>
      <c r="X1213" t="s">
        <v>47433</v>
      </c>
    </row>
    <row r="1214" spans="1:24">
      <c r="A1214">
        <f>HYPERLINK("https://www.philgeps.gov.ph/GEPSNONPILOT/Tender/SplashBidNoticeAbstractUI.aspx?menuIndex=3&amp;refID=7158808&amp;Result=3","7158808")</f>
        <v>0</v>
      </c>
      <c r="B1214" t="s">
        <v>72</v>
      </c>
      <c r="C1214" t="s">
        <v>5083</v>
      </c>
      <c r="D1214" t="s">
        <v>19027</v>
      </c>
      <c r="E1214" t="s">
        <v>20211</v>
      </c>
      <c r="F1214" t="s">
        <v>32831</v>
      </c>
      <c r="G1214" t="s">
        <v>32838</v>
      </c>
      <c r="H1214" t="s">
        <v>32848</v>
      </c>
      <c r="I1214" t="s">
        <v>7416</v>
      </c>
      <c r="J1214" t="s">
        <v>33873</v>
      </c>
      <c r="K1214" t="s">
        <v>42745</v>
      </c>
      <c r="M1214" t="s">
        <v>43069</v>
      </c>
      <c r="N1214" t="s">
        <v>47424</v>
      </c>
      <c r="O1214" t="s">
        <v>47425</v>
      </c>
      <c r="P1214">
        <v>0</v>
      </c>
      <c r="Q1214">
        <v>0</v>
      </c>
      <c r="R1214" t="s">
        <v>47428</v>
      </c>
      <c r="S1214" t="s">
        <v>47541</v>
      </c>
      <c r="T1214" t="s">
        <v>49087</v>
      </c>
      <c r="U1214" t="s">
        <v>50732</v>
      </c>
      <c r="W1214" t="s">
        <v>64429</v>
      </c>
      <c r="X1214" t="s">
        <v>47431</v>
      </c>
    </row>
    <row r="1215" spans="1:24">
      <c r="A1215">
        <f>HYPERLINK("https://www.philgeps.gov.ph/GEPSNONPILOT/Tender/SplashBidNoticeAbstractUI.aspx?menuIndex=3&amp;refID=7164634&amp;Result=3","7164634")</f>
        <v>0</v>
      </c>
      <c r="B1215" t="s">
        <v>391</v>
      </c>
      <c r="C1215" t="s">
        <v>5084</v>
      </c>
      <c r="D1215" t="s">
        <v>19090</v>
      </c>
      <c r="E1215" t="s">
        <v>20212</v>
      </c>
      <c r="F1215" t="s">
        <v>32831</v>
      </c>
      <c r="G1215" t="s">
        <v>32838</v>
      </c>
      <c r="H1215" t="s">
        <v>32848</v>
      </c>
      <c r="I1215" t="s">
        <v>32858</v>
      </c>
      <c r="J1215" t="s">
        <v>33184</v>
      </c>
      <c r="K1215" t="s">
        <v>42758</v>
      </c>
      <c r="M1215" t="s">
        <v>43396</v>
      </c>
      <c r="N1215" t="s">
        <v>47424</v>
      </c>
      <c r="O1215" t="s">
        <v>47425</v>
      </c>
      <c r="P1215">
        <v>0</v>
      </c>
      <c r="Q1215">
        <v>0</v>
      </c>
      <c r="R1215" t="s">
        <v>47427</v>
      </c>
      <c r="S1215" t="s">
        <v>47540</v>
      </c>
      <c r="T1215" t="s">
        <v>49214</v>
      </c>
      <c r="U1215" t="s">
        <v>50733</v>
      </c>
      <c r="W1215" t="s">
        <v>43396</v>
      </c>
      <c r="X1215" t="s">
        <v>47428</v>
      </c>
    </row>
    <row r="1216" spans="1:24">
      <c r="A1216">
        <f>HYPERLINK("https://www.philgeps.gov.ph/GEPSNONPILOT/Tender/SplashBidNoticeAbstractUI.aspx?menuIndex=3&amp;refID=7158781&amp;Result=3","7158781")</f>
        <v>0</v>
      </c>
      <c r="B1216" t="s">
        <v>575</v>
      </c>
      <c r="C1216" t="s">
        <v>5085</v>
      </c>
      <c r="D1216" t="s">
        <v>19041</v>
      </c>
      <c r="E1216" t="s">
        <v>20213</v>
      </c>
      <c r="F1216" t="s">
        <v>32831</v>
      </c>
      <c r="G1216" t="s">
        <v>32838</v>
      </c>
      <c r="H1216" t="s">
        <v>32848</v>
      </c>
      <c r="I1216" t="s">
        <v>5379</v>
      </c>
      <c r="J1216" t="s">
        <v>33573</v>
      </c>
      <c r="K1216" t="s">
        <v>42749</v>
      </c>
      <c r="M1216" t="s">
        <v>43585</v>
      </c>
      <c r="N1216" t="s">
        <v>47424</v>
      </c>
      <c r="O1216" t="s">
        <v>47425</v>
      </c>
      <c r="P1216">
        <v>0</v>
      </c>
      <c r="Q1216">
        <v>0</v>
      </c>
      <c r="R1216" t="s">
        <v>47428</v>
      </c>
      <c r="S1216" t="s">
        <v>47541</v>
      </c>
      <c r="T1216" t="s">
        <v>49166</v>
      </c>
      <c r="U1216" t="s">
        <v>50734</v>
      </c>
      <c r="W1216" t="s">
        <v>43585</v>
      </c>
      <c r="X1216" t="s">
        <v>47431</v>
      </c>
    </row>
    <row r="1217" spans="1:24">
      <c r="A1217">
        <f>HYPERLINK("https://www.philgeps.gov.ph/GEPSNONPILOT/Tender/SplashBidNoticeAbstractUI.aspx?menuIndex=3&amp;refID=7158308&amp;Result=3","7158308")</f>
        <v>0</v>
      </c>
      <c r="B1217" t="s">
        <v>563</v>
      </c>
      <c r="C1217" t="s">
        <v>5086</v>
      </c>
      <c r="D1217" t="s">
        <v>19060</v>
      </c>
      <c r="E1217" t="s">
        <v>20214</v>
      </c>
      <c r="F1217" t="s">
        <v>32831</v>
      </c>
      <c r="G1217" t="s">
        <v>32838</v>
      </c>
      <c r="H1217" t="s">
        <v>32848</v>
      </c>
      <c r="I1217" t="s">
        <v>4438</v>
      </c>
      <c r="J1217" t="s">
        <v>33874</v>
      </c>
      <c r="K1217" t="s">
        <v>42732</v>
      </c>
      <c r="M1217" t="s">
        <v>43572</v>
      </c>
      <c r="N1217" t="s">
        <v>47424</v>
      </c>
      <c r="O1217" t="s">
        <v>47425</v>
      </c>
      <c r="P1217">
        <v>0</v>
      </c>
      <c r="Q1217">
        <v>0</v>
      </c>
      <c r="R1217" t="s">
        <v>47428</v>
      </c>
      <c r="S1217" t="s">
        <v>47541</v>
      </c>
      <c r="T1217" t="s">
        <v>49212</v>
      </c>
      <c r="U1217" t="s">
        <v>50735</v>
      </c>
      <c r="W1217" t="s">
        <v>43572</v>
      </c>
      <c r="X1217" t="s">
        <v>47432</v>
      </c>
    </row>
    <row r="1218" spans="1:24">
      <c r="A1218">
        <f>HYPERLINK("https://www.philgeps.gov.ph/GEPSNONPILOT/Tender/SplashBidNoticeAbstractUI.aspx?menuIndex=3&amp;refID=7158305&amp;Result=3","7158305")</f>
        <v>0</v>
      </c>
      <c r="B1218" t="s">
        <v>563</v>
      </c>
      <c r="C1218" t="s">
        <v>5087</v>
      </c>
      <c r="D1218" t="s">
        <v>19060</v>
      </c>
      <c r="E1218" t="s">
        <v>20215</v>
      </c>
      <c r="F1218" t="s">
        <v>32831</v>
      </c>
      <c r="G1218" t="s">
        <v>32838</v>
      </c>
      <c r="H1218" t="s">
        <v>32848</v>
      </c>
      <c r="I1218" t="s">
        <v>32862</v>
      </c>
      <c r="J1218" t="s">
        <v>33875</v>
      </c>
      <c r="K1218" t="s">
        <v>42732</v>
      </c>
      <c r="M1218" t="s">
        <v>43572</v>
      </c>
      <c r="N1218" t="s">
        <v>47424</v>
      </c>
      <c r="O1218" t="s">
        <v>47425</v>
      </c>
      <c r="P1218">
        <v>0</v>
      </c>
      <c r="Q1218">
        <v>1</v>
      </c>
      <c r="R1218" t="s">
        <v>47428</v>
      </c>
      <c r="S1218" t="s">
        <v>47541</v>
      </c>
      <c r="T1218" t="s">
        <v>49212</v>
      </c>
      <c r="U1218" t="s">
        <v>50736</v>
      </c>
      <c r="W1218" t="s">
        <v>43572</v>
      </c>
      <c r="X1218" t="s">
        <v>47432</v>
      </c>
    </row>
    <row r="1219" spans="1:24">
      <c r="A1219">
        <f>HYPERLINK("https://www.philgeps.gov.ph/GEPSNONPILOT/Tender/SplashBidNoticeAbstractUI.aspx?menuIndex=3&amp;refID=7158300&amp;Result=3","7158300")</f>
        <v>0</v>
      </c>
      <c r="B1219" t="s">
        <v>563</v>
      </c>
      <c r="C1219" t="s">
        <v>5088</v>
      </c>
      <c r="D1219" t="s">
        <v>19060</v>
      </c>
      <c r="E1219" t="s">
        <v>20216</v>
      </c>
      <c r="F1219" t="s">
        <v>32831</v>
      </c>
      <c r="G1219" t="s">
        <v>32838</v>
      </c>
      <c r="H1219" t="s">
        <v>32848</v>
      </c>
      <c r="I1219" t="s">
        <v>5379</v>
      </c>
      <c r="J1219" t="s">
        <v>33876</v>
      </c>
      <c r="K1219" t="s">
        <v>42732</v>
      </c>
      <c r="M1219" t="s">
        <v>43572</v>
      </c>
      <c r="N1219" t="s">
        <v>47424</v>
      </c>
      <c r="O1219" t="s">
        <v>47425</v>
      </c>
      <c r="P1219">
        <v>0</v>
      </c>
      <c r="Q1219">
        <v>0</v>
      </c>
      <c r="R1219" t="s">
        <v>47428</v>
      </c>
      <c r="S1219" t="s">
        <v>47541</v>
      </c>
      <c r="T1219" t="s">
        <v>49212</v>
      </c>
      <c r="U1219" t="s">
        <v>50737</v>
      </c>
      <c r="W1219" t="s">
        <v>43572</v>
      </c>
      <c r="X1219" t="s">
        <v>47432</v>
      </c>
    </row>
    <row r="1220" spans="1:24">
      <c r="A1220">
        <f>HYPERLINK("https://www.philgeps.gov.ph/GEPSNONPILOT/Tender/SplashBidNoticeAbstractUI.aspx?menuIndex=3&amp;refID=7158298&amp;Result=3","7158298")</f>
        <v>0</v>
      </c>
      <c r="B1220" t="s">
        <v>563</v>
      </c>
      <c r="C1220" t="s">
        <v>5089</v>
      </c>
      <c r="D1220" t="s">
        <v>19060</v>
      </c>
      <c r="E1220" t="s">
        <v>20217</v>
      </c>
      <c r="F1220" t="s">
        <v>32831</v>
      </c>
      <c r="G1220" t="s">
        <v>32838</v>
      </c>
      <c r="H1220" t="s">
        <v>32848</v>
      </c>
      <c r="I1220" t="s">
        <v>4438</v>
      </c>
      <c r="J1220" t="s">
        <v>33025</v>
      </c>
      <c r="K1220" t="s">
        <v>42732</v>
      </c>
      <c r="M1220" t="s">
        <v>43572</v>
      </c>
      <c r="N1220" t="s">
        <v>47424</v>
      </c>
      <c r="O1220" t="s">
        <v>47425</v>
      </c>
      <c r="P1220">
        <v>0</v>
      </c>
      <c r="Q1220">
        <v>0</v>
      </c>
      <c r="R1220" t="s">
        <v>47428</v>
      </c>
      <c r="S1220" t="s">
        <v>47541</v>
      </c>
      <c r="T1220" t="s">
        <v>49212</v>
      </c>
      <c r="U1220" t="s">
        <v>50738</v>
      </c>
      <c r="W1220" t="s">
        <v>43572</v>
      </c>
      <c r="X1220" t="s">
        <v>47432</v>
      </c>
    </row>
    <row r="1221" spans="1:24">
      <c r="A1221">
        <f>HYPERLINK("https://www.philgeps.gov.ph/GEPSNONPILOT/Tender/SplashBidNoticeAbstractUI.aspx?menuIndex=3&amp;refID=7158289&amp;Result=3","7158289")</f>
        <v>0</v>
      </c>
      <c r="B1221" t="s">
        <v>563</v>
      </c>
      <c r="C1221" t="s">
        <v>5090</v>
      </c>
      <c r="D1221" t="s">
        <v>19060</v>
      </c>
      <c r="E1221" t="s">
        <v>20218</v>
      </c>
      <c r="F1221" t="s">
        <v>32831</v>
      </c>
      <c r="G1221" t="s">
        <v>32838</v>
      </c>
      <c r="H1221" t="s">
        <v>32848</v>
      </c>
      <c r="I1221" t="s">
        <v>32890</v>
      </c>
      <c r="J1221" t="s">
        <v>33241</v>
      </c>
      <c r="K1221" t="s">
        <v>42732</v>
      </c>
      <c r="M1221" t="s">
        <v>43572</v>
      </c>
      <c r="N1221" t="s">
        <v>47424</v>
      </c>
      <c r="O1221" t="s">
        <v>47425</v>
      </c>
      <c r="P1221">
        <v>0</v>
      </c>
      <c r="Q1221">
        <v>1</v>
      </c>
      <c r="R1221" t="s">
        <v>47428</v>
      </c>
      <c r="S1221" t="s">
        <v>47541</v>
      </c>
      <c r="T1221" t="s">
        <v>49212</v>
      </c>
      <c r="U1221" t="s">
        <v>50739</v>
      </c>
      <c r="W1221" t="s">
        <v>43572</v>
      </c>
      <c r="X1221" t="s">
        <v>47432</v>
      </c>
    </row>
    <row r="1222" spans="1:24">
      <c r="A1222">
        <f>HYPERLINK("https://www.philgeps.gov.ph/GEPSNONPILOT/Tender/SplashBidNoticeAbstractUI.aspx?menuIndex=3&amp;refID=7158734&amp;Result=3","7158734")</f>
        <v>0</v>
      </c>
      <c r="B1222" t="s">
        <v>67</v>
      </c>
      <c r="C1222" t="s">
        <v>5091</v>
      </c>
      <c r="D1222" t="s">
        <v>19079</v>
      </c>
      <c r="E1222" t="s">
        <v>20219</v>
      </c>
      <c r="F1222" t="s">
        <v>32831</v>
      </c>
      <c r="G1222" t="s">
        <v>32838</v>
      </c>
      <c r="H1222" t="s">
        <v>32849</v>
      </c>
      <c r="I1222" t="s">
        <v>4177</v>
      </c>
      <c r="J1222" t="s">
        <v>33877</v>
      </c>
      <c r="K1222" t="s">
        <v>42730</v>
      </c>
      <c r="M1222" t="s">
        <v>43586</v>
      </c>
      <c r="N1222" t="s">
        <v>47424</v>
      </c>
      <c r="O1222" t="s">
        <v>47425</v>
      </c>
      <c r="P1222">
        <v>0</v>
      </c>
      <c r="Q1222">
        <v>1</v>
      </c>
      <c r="R1222" t="s">
        <v>47428</v>
      </c>
      <c r="S1222" t="s">
        <v>47541</v>
      </c>
      <c r="T1222" t="s">
        <v>49242</v>
      </c>
      <c r="U1222" t="s">
        <v>50740</v>
      </c>
      <c r="V1222" t="s">
        <v>62758</v>
      </c>
      <c r="W1222" t="s">
        <v>43586</v>
      </c>
      <c r="X1222" t="s">
        <v>47431</v>
      </c>
    </row>
    <row r="1223" spans="1:24">
      <c r="A1223">
        <f>HYPERLINK("https://www.philgeps.gov.ph/GEPSNONPILOT/Tender/SplashBidNoticeAbstractUI.aspx?menuIndex=3&amp;refID=7158857&amp;Result=3","7158857")</f>
        <v>0</v>
      </c>
      <c r="B1223" t="s">
        <v>576</v>
      </c>
      <c r="C1223" t="s">
        <v>5092</v>
      </c>
      <c r="D1223" t="s">
        <v>19044</v>
      </c>
      <c r="E1223" t="s">
        <v>20220</v>
      </c>
      <c r="F1223" t="s">
        <v>32831</v>
      </c>
      <c r="G1223" t="s">
        <v>32840</v>
      </c>
      <c r="H1223" t="s">
        <v>32848</v>
      </c>
      <c r="I1223" t="s">
        <v>7416</v>
      </c>
      <c r="J1223" t="s">
        <v>33878</v>
      </c>
      <c r="K1223" t="s">
        <v>42726</v>
      </c>
      <c r="M1223" t="s">
        <v>43587</v>
      </c>
      <c r="N1223" t="s">
        <v>47424</v>
      </c>
      <c r="O1223" t="s">
        <v>47425</v>
      </c>
      <c r="P1223">
        <v>0</v>
      </c>
      <c r="Q1223">
        <v>0</v>
      </c>
      <c r="R1223" t="s">
        <v>47428</v>
      </c>
      <c r="S1223" t="s">
        <v>47541</v>
      </c>
      <c r="T1223" t="s">
        <v>49243</v>
      </c>
      <c r="U1223" t="s">
        <v>50741</v>
      </c>
      <c r="W1223" t="s">
        <v>43587</v>
      </c>
      <c r="X1223" t="s">
        <v>47431</v>
      </c>
    </row>
    <row r="1224" spans="1:24">
      <c r="A1224">
        <f>HYPERLINK("https://www.philgeps.gov.ph/GEPSNONPILOT/Tender/SplashBidNoticeAbstractUI.aspx?menuIndex=3&amp;refID=7158819&amp;Result=3","7158819")</f>
        <v>0</v>
      </c>
      <c r="B1224" t="s">
        <v>72</v>
      </c>
      <c r="C1224" t="s">
        <v>5093</v>
      </c>
      <c r="D1224" t="s">
        <v>19027</v>
      </c>
      <c r="E1224" t="s">
        <v>20221</v>
      </c>
      <c r="F1224" t="s">
        <v>32831</v>
      </c>
      <c r="G1224" t="s">
        <v>32838</v>
      </c>
      <c r="H1224" t="s">
        <v>32848</v>
      </c>
      <c r="I1224" t="s">
        <v>5379</v>
      </c>
      <c r="J1224" t="s">
        <v>33879</v>
      </c>
      <c r="K1224" t="s">
        <v>42745</v>
      </c>
      <c r="M1224" t="s">
        <v>43069</v>
      </c>
      <c r="N1224" t="s">
        <v>47424</v>
      </c>
      <c r="O1224" t="s">
        <v>47425</v>
      </c>
      <c r="P1224">
        <v>0</v>
      </c>
      <c r="Q1224">
        <v>0</v>
      </c>
      <c r="R1224" t="s">
        <v>47428</v>
      </c>
      <c r="S1224" t="s">
        <v>47541</v>
      </c>
      <c r="T1224" t="s">
        <v>49087</v>
      </c>
      <c r="U1224" t="s">
        <v>50732</v>
      </c>
      <c r="W1224" t="s">
        <v>64429</v>
      </c>
      <c r="X1224" t="s">
        <v>47431</v>
      </c>
    </row>
    <row r="1225" spans="1:24">
      <c r="A1225">
        <f>HYPERLINK("https://www.philgeps.gov.ph/GEPSNONPILOT/Tender/SplashBidNoticeAbstractUI.aspx?menuIndex=3&amp;refID=7158292&amp;Result=3","7158292")</f>
        <v>0</v>
      </c>
      <c r="B1225" t="s">
        <v>563</v>
      </c>
      <c r="C1225" t="s">
        <v>5094</v>
      </c>
      <c r="D1225" t="s">
        <v>19060</v>
      </c>
      <c r="E1225" t="s">
        <v>20222</v>
      </c>
      <c r="F1225" t="s">
        <v>32831</v>
      </c>
      <c r="G1225" t="s">
        <v>32838</v>
      </c>
      <c r="H1225" t="s">
        <v>32848</v>
      </c>
      <c r="I1225" t="s">
        <v>32890</v>
      </c>
      <c r="J1225" t="s">
        <v>33845</v>
      </c>
      <c r="K1225" t="s">
        <v>42732</v>
      </c>
      <c r="M1225" t="s">
        <v>43572</v>
      </c>
      <c r="N1225" t="s">
        <v>47424</v>
      </c>
      <c r="O1225" t="s">
        <v>47425</v>
      </c>
      <c r="P1225">
        <v>0</v>
      </c>
      <c r="Q1225">
        <v>1</v>
      </c>
      <c r="R1225" t="s">
        <v>47428</v>
      </c>
      <c r="S1225" t="s">
        <v>47541</v>
      </c>
      <c r="T1225" t="s">
        <v>49212</v>
      </c>
      <c r="U1225" t="s">
        <v>50742</v>
      </c>
      <c r="W1225" t="s">
        <v>43572</v>
      </c>
      <c r="X1225" t="s">
        <v>47432</v>
      </c>
    </row>
    <row r="1226" spans="1:24">
      <c r="A1226">
        <f>HYPERLINK("https://www.philgeps.gov.ph/GEPSNONPILOT/Tender/SplashBidNoticeAbstractUI.aspx?menuIndex=3&amp;refID=7160473&amp;Result=3","7160473")</f>
        <v>0</v>
      </c>
      <c r="B1226" t="s">
        <v>32</v>
      </c>
      <c r="C1226" t="s">
        <v>5095</v>
      </c>
      <c r="D1226" t="s">
        <v>19023</v>
      </c>
      <c r="E1226" t="s">
        <v>20223</v>
      </c>
      <c r="F1226" t="s">
        <v>32831</v>
      </c>
      <c r="G1226" t="s">
        <v>32838</v>
      </c>
      <c r="H1226" t="s">
        <v>32848</v>
      </c>
      <c r="I1226" t="s">
        <v>4438</v>
      </c>
      <c r="J1226" t="s">
        <v>33880</v>
      </c>
      <c r="K1226" t="s">
        <v>42732</v>
      </c>
      <c r="M1226" t="s">
        <v>43029</v>
      </c>
      <c r="N1226" t="s">
        <v>47424</v>
      </c>
      <c r="O1226" t="s">
        <v>47425</v>
      </c>
      <c r="P1226">
        <v>0</v>
      </c>
      <c r="Q1226">
        <v>2</v>
      </c>
      <c r="R1226" t="s">
        <v>47428</v>
      </c>
      <c r="S1226" t="s">
        <v>47541</v>
      </c>
      <c r="T1226" t="s">
        <v>49244</v>
      </c>
      <c r="U1226" t="s">
        <v>50743</v>
      </c>
      <c r="W1226" t="s">
        <v>43029</v>
      </c>
      <c r="X1226" t="s">
        <v>47431</v>
      </c>
    </row>
    <row r="1227" spans="1:24">
      <c r="A1227">
        <f>HYPERLINK("https://www.philgeps.gov.ph/GEPSNONPILOT/Tender/SplashBidNoticeAbstractUI.aspx?menuIndex=3&amp;refID=7158835&amp;Result=3","7158835")</f>
        <v>0</v>
      </c>
      <c r="B1227" t="s">
        <v>72</v>
      </c>
      <c r="C1227" t="s">
        <v>5096</v>
      </c>
      <c r="D1227" t="s">
        <v>19027</v>
      </c>
      <c r="E1227" t="s">
        <v>20224</v>
      </c>
      <c r="F1227" t="s">
        <v>32831</v>
      </c>
      <c r="G1227" t="s">
        <v>32838</v>
      </c>
      <c r="H1227" t="s">
        <v>32848</v>
      </c>
      <c r="I1227" t="s">
        <v>32864</v>
      </c>
      <c r="J1227" t="s">
        <v>33479</v>
      </c>
      <c r="K1227" t="s">
        <v>42745</v>
      </c>
      <c r="M1227" t="s">
        <v>43069</v>
      </c>
      <c r="N1227" t="s">
        <v>47424</v>
      </c>
      <c r="O1227" t="s">
        <v>47425</v>
      </c>
      <c r="P1227">
        <v>0</v>
      </c>
      <c r="Q1227">
        <v>2</v>
      </c>
      <c r="R1227" t="s">
        <v>47428</v>
      </c>
      <c r="S1227" t="s">
        <v>47541</v>
      </c>
      <c r="T1227" t="s">
        <v>49087</v>
      </c>
      <c r="U1227" t="s">
        <v>50732</v>
      </c>
      <c r="W1227" t="s">
        <v>64429</v>
      </c>
      <c r="X1227" t="s">
        <v>47431</v>
      </c>
    </row>
    <row r="1228" spans="1:24">
      <c r="A1228">
        <f>HYPERLINK("https://www.philgeps.gov.ph/GEPSNONPILOT/Tender/SplashBidNoticeAbstractUI.aspx?menuIndex=3&amp;refID=7160429&amp;Result=3","7160429")</f>
        <v>0</v>
      </c>
      <c r="B1228" t="s">
        <v>525</v>
      </c>
      <c r="C1228" t="s">
        <v>5097</v>
      </c>
      <c r="D1228" t="s">
        <v>19029</v>
      </c>
      <c r="E1228" t="s">
        <v>5097</v>
      </c>
      <c r="F1228" t="s">
        <v>32831</v>
      </c>
      <c r="G1228" t="s">
        <v>32839</v>
      </c>
      <c r="H1228" t="s">
        <v>32849</v>
      </c>
      <c r="I1228" t="s">
        <v>4177</v>
      </c>
      <c r="J1228" t="s">
        <v>33881</v>
      </c>
      <c r="K1228" t="s">
        <v>42797</v>
      </c>
      <c r="M1228" t="s">
        <v>43531</v>
      </c>
      <c r="N1228" t="s">
        <v>47424</v>
      </c>
      <c r="O1228" t="s">
        <v>47425</v>
      </c>
      <c r="P1228">
        <v>0</v>
      </c>
      <c r="Q1228">
        <v>0</v>
      </c>
      <c r="R1228" t="s">
        <v>47428</v>
      </c>
      <c r="S1228" t="s">
        <v>47541</v>
      </c>
      <c r="T1228" t="s">
        <v>49245</v>
      </c>
      <c r="U1228" t="s">
        <v>50744</v>
      </c>
      <c r="W1228" t="s">
        <v>43531</v>
      </c>
      <c r="X1228" t="s">
        <v>47431</v>
      </c>
    </row>
    <row r="1229" spans="1:24">
      <c r="A1229">
        <f>HYPERLINK("https://www.philgeps.gov.ph/GEPSNONPILOT/Tender/SplashBidNoticeAbstractUI.aspx?menuIndex=3&amp;refID=7160291&amp;Result=3","7160291")</f>
        <v>0</v>
      </c>
      <c r="B1229" t="s">
        <v>525</v>
      </c>
      <c r="C1229" t="s">
        <v>5097</v>
      </c>
      <c r="D1229" t="s">
        <v>19029</v>
      </c>
      <c r="E1229" t="s">
        <v>20225</v>
      </c>
      <c r="F1229" t="s">
        <v>32831</v>
      </c>
      <c r="G1229" t="s">
        <v>32839</v>
      </c>
      <c r="H1229" t="s">
        <v>32849</v>
      </c>
      <c r="I1229" t="s">
        <v>4177</v>
      </c>
      <c r="J1229" t="s">
        <v>33882</v>
      </c>
      <c r="K1229" t="s">
        <v>42797</v>
      </c>
      <c r="M1229" t="s">
        <v>43531</v>
      </c>
      <c r="N1229" t="s">
        <v>47424</v>
      </c>
      <c r="O1229" t="s">
        <v>47425</v>
      </c>
      <c r="P1229">
        <v>0</v>
      </c>
      <c r="Q1229">
        <v>0</v>
      </c>
      <c r="R1229" t="s">
        <v>47428</v>
      </c>
      <c r="S1229" t="s">
        <v>47541</v>
      </c>
      <c r="T1229" t="s">
        <v>49245</v>
      </c>
      <c r="U1229" t="s">
        <v>50745</v>
      </c>
      <c r="W1229" t="s">
        <v>43531</v>
      </c>
      <c r="X1229" t="s">
        <v>47431</v>
      </c>
    </row>
    <row r="1230" spans="1:24">
      <c r="A1230">
        <f>HYPERLINK("https://www.philgeps.gov.ph/GEPSNONPILOT/Tender/SplashBidNoticeAbstractUI.aspx?menuIndex=3&amp;refID=7158815&amp;Result=3","7158815")</f>
        <v>0</v>
      </c>
      <c r="B1230" t="s">
        <v>67</v>
      </c>
      <c r="C1230" t="s">
        <v>5098</v>
      </c>
      <c r="D1230" t="s">
        <v>19079</v>
      </c>
      <c r="E1230" t="s">
        <v>20226</v>
      </c>
      <c r="F1230" t="s">
        <v>32831</v>
      </c>
      <c r="G1230" t="s">
        <v>32838</v>
      </c>
      <c r="H1230" t="s">
        <v>32849</v>
      </c>
      <c r="I1230" t="s">
        <v>4177</v>
      </c>
      <c r="J1230" t="s">
        <v>33883</v>
      </c>
      <c r="K1230" t="s">
        <v>42742</v>
      </c>
      <c r="M1230" t="s">
        <v>43586</v>
      </c>
      <c r="N1230" t="s">
        <v>47424</v>
      </c>
      <c r="O1230" t="s">
        <v>47425</v>
      </c>
      <c r="P1230">
        <v>0</v>
      </c>
      <c r="Q1230">
        <v>0</v>
      </c>
      <c r="R1230" t="s">
        <v>47428</v>
      </c>
      <c r="S1230" t="s">
        <v>47541</v>
      </c>
      <c r="T1230" t="s">
        <v>49242</v>
      </c>
      <c r="U1230" t="s">
        <v>50746</v>
      </c>
      <c r="V1230" t="s">
        <v>62759</v>
      </c>
      <c r="W1230" t="s">
        <v>43586</v>
      </c>
      <c r="X1230" t="s">
        <v>47431</v>
      </c>
    </row>
    <row r="1231" spans="1:24">
      <c r="A1231">
        <f>HYPERLINK("https://www.philgeps.gov.ph/GEPSNONPILOT/Tender/SplashBidNoticeAbstractUI.aspx?menuIndex=3&amp;refID=7160506&amp;Result=3","7160506")</f>
        <v>0</v>
      </c>
      <c r="B1231" t="s">
        <v>32</v>
      </c>
      <c r="C1231" t="s">
        <v>5099</v>
      </c>
      <c r="D1231" t="s">
        <v>19023</v>
      </c>
      <c r="E1231" t="s">
        <v>20227</v>
      </c>
      <c r="F1231" t="s">
        <v>32831</v>
      </c>
      <c r="G1231" t="s">
        <v>32838</v>
      </c>
      <c r="H1231" t="s">
        <v>32848</v>
      </c>
      <c r="I1231" t="s">
        <v>4303</v>
      </c>
      <c r="J1231" t="s">
        <v>33884</v>
      </c>
      <c r="K1231" t="s">
        <v>42732</v>
      </c>
      <c r="M1231" t="s">
        <v>43029</v>
      </c>
      <c r="N1231" t="s">
        <v>47424</v>
      </c>
      <c r="O1231" t="s">
        <v>47425</v>
      </c>
      <c r="P1231">
        <v>0</v>
      </c>
      <c r="Q1231">
        <v>2</v>
      </c>
      <c r="R1231" t="s">
        <v>47428</v>
      </c>
      <c r="S1231" t="s">
        <v>47541</v>
      </c>
      <c r="T1231" t="s">
        <v>49244</v>
      </c>
      <c r="U1231" t="s">
        <v>50747</v>
      </c>
      <c r="W1231" t="s">
        <v>43029</v>
      </c>
      <c r="X1231" t="s">
        <v>47431</v>
      </c>
    </row>
    <row r="1232" spans="1:24">
      <c r="A1232">
        <f>HYPERLINK("https://www.philgeps.gov.ph/GEPSNONPILOT/Tender/SplashBidNoticeAbstractUI.aspx?menuIndex=3&amp;refID=7160159&amp;Result=3","7160159")</f>
        <v>0</v>
      </c>
      <c r="B1232" t="s">
        <v>577</v>
      </c>
      <c r="C1232" t="s">
        <v>5100</v>
      </c>
      <c r="D1232" t="s">
        <v>19062</v>
      </c>
      <c r="E1232" t="s">
        <v>19787</v>
      </c>
      <c r="F1232" t="s">
        <v>32832</v>
      </c>
      <c r="G1232" t="s">
        <v>32840</v>
      </c>
      <c r="H1232" t="s">
        <v>32848</v>
      </c>
      <c r="I1232" t="s">
        <v>32860</v>
      </c>
      <c r="J1232" t="s">
        <v>33885</v>
      </c>
      <c r="K1232" t="s">
        <v>42731</v>
      </c>
      <c r="M1232" t="s">
        <v>43588</v>
      </c>
      <c r="N1232" t="s">
        <v>47424</v>
      </c>
      <c r="O1232" t="s">
        <v>47425</v>
      </c>
      <c r="P1232">
        <v>0</v>
      </c>
      <c r="Q1232">
        <v>0</v>
      </c>
      <c r="R1232" t="s">
        <v>47428</v>
      </c>
      <c r="S1232" t="s">
        <v>47541</v>
      </c>
      <c r="T1232" t="s">
        <v>49107</v>
      </c>
      <c r="U1232" t="s">
        <v>50748</v>
      </c>
      <c r="W1232" t="s">
        <v>43588</v>
      </c>
      <c r="X1232" t="s">
        <v>47431</v>
      </c>
    </row>
    <row r="1233" spans="1:24">
      <c r="A1233">
        <f>HYPERLINK("https://www.philgeps.gov.ph/GEPSNONPILOT/Tender/SplashBidNoticeAbstractUI.aspx?menuIndex=3&amp;refID=7160141&amp;Result=3","7160141")</f>
        <v>0</v>
      </c>
      <c r="B1233" t="s">
        <v>578</v>
      </c>
      <c r="C1233" t="s">
        <v>5101</v>
      </c>
      <c r="D1233" t="s">
        <v>19027</v>
      </c>
      <c r="E1233" t="s">
        <v>20228</v>
      </c>
      <c r="F1233" t="s">
        <v>32831</v>
      </c>
      <c r="G1233" t="s">
        <v>32838</v>
      </c>
      <c r="H1233" t="s">
        <v>32848</v>
      </c>
      <c r="I1233" t="s">
        <v>10805</v>
      </c>
      <c r="J1233" t="s">
        <v>33023</v>
      </c>
      <c r="K1233" t="s">
        <v>42727</v>
      </c>
      <c r="M1233" t="s">
        <v>43589</v>
      </c>
      <c r="N1233" t="s">
        <v>47424</v>
      </c>
      <c r="O1233" t="s">
        <v>47425</v>
      </c>
      <c r="P1233">
        <v>0</v>
      </c>
      <c r="Q1233">
        <v>1</v>
      </c>
      <c r="R1233" t="s">
        <v>47428</v>
      </c>
      <c r="S1233" t="s">
        <v>47541</v>
      </c>
      <c r="T1233" t="s">
        <v>49163</v>
      </c>
      <c r="U1233" t="s">
        <v>50749</v>
      </c>
      <c r="W1233" t="s">
        <v>43589</v>
      </c>
      <c r="X1233" t="s">
        <v>47431</v>
      </c>
    </row>
    <row r="1234" spans="1:24">
      <c r="A1234">
        <f>HYPERLINK("https://www.philgeps.gov.ph/GEPSNONPILOT/Tender/SplashBidNoticeAbstractUI.aspx?menuIndex=3&amp;refID=7159991&amp;Result=3","7159991")</f>
        <v>0</v>
      </c>
      <c r="B1234" t="s">
        <v>579</v>
      </c>
      <c r="C1234" t="s">
        <v>5102</v>
      </c>
      <c r="D1234" t="s">
        <v>19017</v>
      </c>
      <c r="E1234" t="s">
        <v>20229</v>
      </c>
      <c r="F1234" t="s">
        <v>32831</v>
      </c>
      <c r="G1234" t="s">
        <v>32838</v>
      </c>
      <c r="H1234" t="s">
        <v>32848</v>
      </c>
      <c r="I1234" t="s">
        <v>4177</v>
      </c>
      <c r="J1234" t="s">
        <v>33078</v>
      </c>
      <c r="K1234" t="s">
        <v>42732</v>
      </c>
      <c r="M1234" t="s">
        <v>43590</v>
      </c>
      <c r="N1234" t="s">
        <v>47424</v>
      </c>
      <c r="O1234" t="s">
        <v>47425</v>
      </c>
      <c r="P1234">
        <v>0</v>
      </c>
      <c r="Q1234">
        <v>2</v>
      </c>
      <c r="R1234" t="s">
        <v>47428</v>
      </c>
      <c r="S1234" t="s">
        <v>47541</v>
      </c>
      <c r="T1234" t="s">
        <v>49166</v>
      </c>
      <c r="U1234" t="s">
        <v>50750</v>
      </c>
      <c r="V1234" t="s">
        <v>62760</v>
      </c>
      <c r="W1234" t="s">
        <v>43590</v>
      </c>
      <c r="X1234" t="s">
        <v>47431</v>
      </c>
    </row>
    <row r="1235" spans="1:24">
      <c r="A1235">
        <f>HYPERLINK("https://www.philgeps.gov.ph/GEPSNONPILOT/Tender/SplashBidNoticeAbstractUI.aspx?menuIndex=3&amp;refID=7159785&amp;Result=3","7159785")</f>
        <v>0</v>
      </c>
      <c r="B1235" t="s">
        <v>580</v>
      </c>
      <c r="C1235" t="s">
        <v>5103</v>
      </c>
      <c r="D1235" t="s">
        <v>19045</v>
      </c>
      <c r="E1235" t="s">
        <v>20230</v>
      </c>
      <c r="F1235" t="s">
        <v>32831</v>
      </c>
      <c r="G1235" t="s">
        <v>32839</v>
      </c>
      <c r="H1235" t="s">
        <v>32848</v>
      </c>
      <c r="I1235" t="s">
        <v>32874</v>
      </c>
      <c r="J1235" t="s">
        <v>33886</v>
      </c>
      <c r="K1235" t="s">
        <v>42727</v>
      </c>
      <c r="M1235" t="s">
        <v>43591</v>
      </c>
      <c r="N1235" t="s">
        <v>47424</v>
      </c>
      <c r="O1235" t="s">
        <v>47425</v>
      </c>
      <c r="P1235">
        <v>0</v>
      </c>
      <c r="Q1235">
        <v>21</v>
      </c>
      <c r="R1235" t="s">
        <v>47428</v>
      </c>
      <c r="S1235" t="s">
        <v>47541</v>
      </c>
      <c r="T1235" t="s">
        <v>49065</v>
      </c>
      <c r="U1235" t="s">
        <v>50751</v>
      </c>
      <c r="W1235" t="s">
        <v>43591</v>
      </c>
      <c r="X1235" t="s">
        <v>47431</v>
      </c>
    </row>
    <row r="1236" spans="1:24">
      <c r="A1236">
        <f>HYPERLINK("https://www.philgeps.gov.ph/GEPSNONPILOT/Tender/SplashBidNoticeAbstractUI.aspx?menuIndex=3&amp;refID=7159297&amp;Result=3","7159297")</f>
        <v>0</v>
      </c>
      <c r="B1236" t="s">
        <v>581</v>
      </c>
      <c r="C1236" t="s">
        <v>5104</v>
      </c>
      <c r="D1236" t="s">
        <v>19044</v>
      </c>
      <c r="E1236" t="s">
        <v>20231</v>
      </c>
      <c r="F1236" t="s">
        <v>32831</v>
      </c>
      <c r="G1236" t="s">
        <v>32838</v>
      </c>
      <c r="H1236" t="s">
        <v>32848</v>
      </c>
      <c r="I1236" t="s">
        <v>4776</v>
      </c>
      <c r="J1236" t="s">
        <v>33887</v>
      </c>
      <c r="K1236" t="s">
        <v>42726</v>
      </c>
      <c r="M1236" t="s">
        <v>43592</v>
      </c>
      <c r="N1236" t="s">
        <v>47424</v>
      </c>
      <c r="O1236" t="s">
        <v>47425</v>
      </c>
      <c r="P1236">
        <v>0</v>
      </c>
      <c r="Q1236">
        <v>3</v>
      </c>
      <c r="R1236" t="s">
        <v>47428</v>
      </c>
      <c r="S1236" t="s">
        <v>47541</v>
      </c>
      <c r="T1236" t="s">
        <v>49163</v>
      </c>
      <c r="U1236" t="s">
        <v>50752</v>
      </c>
      <c r="W1236" t="s">
        <v>43592</v>
      </c>
      <c r="X1236" t="s">
        <v>47431</v>
      </c>
    </row>
    <row r="1237" spans="1:24">
      <c r="A1237">
        <f>HYPERLINK("https://www.philgeps.gov.ph/GEPSNONPILOT/Tender/SplashBidNoticeAbstractUI.aspx?menuIndex=3&amp;refID=7161059&amp;Result=3","7161059")</f>
        <v>0</v>
      </c>
      <c r="B1237" t="s">
        <v>582</v>
      </c>
      <c r="C1237" t="s">
        <v>5105</v>
      </c>
      <c r="D1237" t="s">
        <v>19027</v>
      </c>
      <c r="E1237" t="s">
        <v>20232</v>
      </c>
      <c r="F1237" t="s">
        <v>32831</v>
      </c>
      <c r="G1237" t="s">
        <v>32839</v>
      </c>
      <c r="H1237" t="s">
        <v>32848</v>
      </c>
      <c r="I1237" t="s">
        <v>7416</v>
      </c>
      <c r="J1237" t="s">
        <v>33888</v>
      </c>
      <c r="K1237" t="s">
        <v>42732</v>
      </c>
      <c r="M1237" t="s">
        <v>43593</v>
      </c>
      <c r="N1237" t="s">
        <v>47424</v>
      </c>
      <c r="O1237" t="s">
        <v>47425</v>
      </c>
      <c r="P1237">
        <v>0</v>
      </c>
      <c r="Q1237">
        <v>1</v>
      </c>
      <c r="R1237" t="s">
        <v>47428</v>
      </c>
      <c r="S1237" t="s">
        <v>47541</v>
      </c>
      <c r="T1237" t="s">
        <v>49179</v>
      </c>
      <c r="U1237" t="s">
        <v>50753</v>
      </c>
      <c r="V1237" t="s">
        <v>62761</v>
      </c>
      <c r="W1237" t="s">
        <v>43593</v>
      </c>
      <c r="X1237" t="s">
        <v>47431</v>
      </c>
    </row>
    <row r="1238" spans="1:24">
      <c r="A1238">
        <f>HYPERLINK("https://www.philgeps.gov.ph/GEPSNONPILOT/Tender/SplashBidNoticeAbstractUI.aspx?menuIndex=3&amp;refID=7161162&amp;Result=3","7161162")</f>
        <v>0</v>
      </c>
      <c r="B1238" t="s">
        <v>582</v>
      </c>
      <c r="C1238" t="s">
        <v>5106</v>
      </c>
      <c r="D1238" t="s">
        <v>19027</v>
      </c>
      <c r="E1238" t="s">
        <v>20233</v>
      </c>
      <c r="F1238" t="s">
        <v>32831</v>
      </c>
      <c r="G1238" t="s">
        <v>32839</v>
      </c>
      <c r="H1238" t="s">
        <v>32849</v>
      </c>
      <c r="I1238" t="s">
        <v>4177</v>
      </c>
      <c r="J1238" t="s">
        <v>33889</v>
      </c>
      <c r="K1238" t="s">
        <v>42732</v>
      </c>
      <c r="M1238" t="s">
        <v>43593</v>
      </c>
      <c r="N1238" t="s">
        <v>47424</v>
      </c>
      <c r="O1238" t="s">
        <v>47425</v>
      </c>
      <c r="P1238">
        <v>0</v>
      </c>
      <c r="Q1238">
        <v>0</v>
      </c>
      <c r="R1238" t="s">
        <v>47428</v>
      </c>
      <c r="S1238" t="s">
        <v>47541</v>
      </c>
      <c r="T1238" t="s">
        <v>49179</v>
      </c>
      <c r="U1238" t="s">
        <v>50754</v>
      </c>
      <c r="V1238" t="s">
        <v>62761</v>
      </c>
      <c r="W1238" t="s">
        <v>43593</v>
      </c>
      <c r="X1238" t="s">
        <v>47431</v>
      </c>
    </row>
    <row r="1239" spans="1:24">
      <c r="A1239">
        <f>HYPERLINK("https://www.philgeps.gov.ph/GEPSNONPILOT/Tender/SplashBidNoticeAbstractUI.aspx?menuIndex=3&amp;refID=7160406&amp;Result=3","7160406")</f>
        <v>0</v>
      </c>
      <c r="B1239" t="s">
        <v>525</v>
      </c>
      <c r="C1239" t="s">
        <v>5097</v>
      </c>
      <c r="D1239" t="s">
        <v>19029</v>
      </c>
      <c r="E1239" t="s">
        <v>5097</v>
      </c>
      <c r="F1239" t="s">
        <v>32831</v>
      </c>
      <c r="G1239" t="s">
        <v>32839</v>
      </c>
      <c r="H1239" t="s">
        <v>32849</v>
      </c>
      <c r="I1239" t="s">
        <v>4177</v>
      </c>
      <c r="J1239" t="s">
        <v>33882</v>
      </c>
      <c r="K1239" t="s">
        <v>42797</v>
      </c>
      <c r="M1239" t="s">
        <v>43531</v>
      </c>
      <c r="N1239" t="s">
        <v>47424</v>
      </c>
      <c r="O1239" t="s">
        <v>47425</v>
      </c>
      <c r="P1239">
        <v>0</v>
      </c>
      <c r="Q1239">
        <v>0</v>
      </c>
      <c r="R1239" t="s">
        <v>47428</v>
      </c>
      <c r="S1239" t="s">
        <v>47541</v>
      </c>
      <c r="T1239" t="s">
        <v>49245</v>
      </c>
      <c r="U1239" t="s">
        <v>50755</v>
      </c>
      <c r="W1239" t="s">
        <v>43531</v>
      </c>
      <c r="X1239" t="s">
        <v>47431</v>
      </c>
    </row>
    <row r="1240" spans="1:24">
      <c r="A1240">
        <f>HYPERLINK("https://www.philgeps.gov.ph/GEPSNONPILOT/Tender/SplashBidNoticeAbstractUI.aspx?menuIndex=3&amp;refID=7161115&amp;Result=3","7161115")</f>
        <v>0</v>
      </c>
      <c r="B1240" t="s">
        <v>582</v>
      </c>
      <c r="C1240" t="s">
        <v>5107</v>
      </c>
      <c r="D1240" t="s">
        <v>19027</v>
      </c>
      <c r="E1240" t="s">
        <v>20234</v>
      </c>
      <c r="F1240" t="s">
        <v>32831</v>
      </c>
      <c r="G1240" t="s">
        <v>32839</v>
      </c>
      <c r="H1240" t="s">
        <v>32849</v>
      </c>
      <c r="I1240" t="s">
        <v>4177</v>
      </c>
      <c r="J1240" t="s">
        <v>33890</v>
      </c>
      <c r="K1240" t="s">
        <v>42732</v>
      </c>
      <c r="M1240" t="s">
        <v>43593</v>
      </c>
      <c r="N1240" t="s">
        <v>47424</v>
      </c>
      <c r="O1240" t="s">
        <v>47425</v>
      </c>
      <c r="P1240">
        <v>0</v>
      </c>
      <c r="Q1240">
        <v>0</v>
      </c>
      <c r="R1240" t="s">
        <v>47428</v>
      </c>
      <c r="S1240" t="s">
        <v>47541</v>
      </c>
      <c r="T1240" t="s">
        <v>49086</v>
      </c>
      <c r="U1240" t="s">
        <v>50756</v>
      </c>
      <c r="V1240" t="s">
        <v>62761</v>
      </c>
      <c r="W1240" t="s">
        <v>43593</v>
      </c>
      <c r="X1240" t="s">
        <v>47431</v>
      </c>
    </row>
    <row r="1241" spans="1:24">
      <c r="A1241">
        <f>HYPERLINK("https://www.philgeps.gov.ph/GEPSNONPILOT/Tender/SplashBidNoticeAbstractUI.aspx?menuIndex=3&amp;refID=7160324&amp;Result=3","7160324")</f>
        <v>0</v>
      </c>
      <c r="B1241" t="s">
        <v>583</v>
      </c>
      <c r="C1241" t="s">
        <v>5108</v>
      </c>
      <c r="D1241" t="s">
        <v>19069</v>
      </c>
      <c r="E1241" t="s">
        <v>20235</v>
      </c>
      <c r="F1241" t="s">
        <v>32831</v>
      </c>
      <c r="G1241" t="s">
        <v>32839</v>
      </c>
      <c r="H1241" t="s">
        <v>32848</v>
      </c>
      <c r="I1241" t="s">
        <v>32860</v>
      </c>
      <c r="J1241" t="s">
        <v>33078</v>
      </c>
      <c r="K1241" t="s">
        <v>42745</v>
      </c>
      <c r="M1241" t="s">
        <v>43594</v>
      </c>
      <c r="N1241" t="s">
        <v>47424</v>
      </c>
      <c r="O1241" t="s">
        <v>47425</v>
      </c>
      <c r="P1241">
        <v>0</v>
      </c>
      <c r="Q1241">
        <v>0</v>
      </c>
      <c r="R1241" t="s">
        <v>47428</v>
      </c>
      <c r="S1241" t="s">
        <v>47541</v>
      </c>
      <c r="T1241" t="s">
        <v>49066</v>
      </c>
      <c r="U1241" t="s">
        <v>50757</v>
      </c>
      <c r="V1241" t="s">
        <v>62762</v>
      </c>
      <c r="W1241" t="s">
        <v>43594</v>
      </c>
      <c r="X1241" t="s">
        <v>47431</v>
      </c>
    </row>
    <row r="1242" spans="1:24">
      <c r="A1242">
        <f>HYPERLINK("https://www.philgeps.gov.ph/GEPSNONPILOT/Tender/SplashBidNoticeAbstractUI.aspx?menuIndex=3&amp;refID=7161088&amp;Result=3","7161088")</f>
        <v>0</v>
      </c>
      <c r="B1242" t="s">
        <v>582</v>
      </c>
      <c r="C1242" t="s">
        <v>5109</v>
      </c>
      <c r="D1242" t="s">
        <v>19027</v>
      </c>
      <c r="E1242" t="s">
        <v>20236</v>
      </c>
      <c r="F1242" t="s">
        <v>32831</v>
      </c>
      <c r="G1242" t="s">
        <v>32839</v>
      </c>
      <c r="H1242" t="s">
        <v>32848</v>
      </c>
      <c r="I1242" t="s">
        <v>7416</v>
      </c>
      <c r="J1242" t="s">
        <v>33891</v>
      </c>
      <c r="K1242" t="s">
        <v>42732</v>
      </c>
      <c r="M1242" t="s">
        <v>43593</v>
      </c>
      <c r="N1242" t="s">
        <v>47424</v>
      </c>
      <c r="O1242" t="s">
        <v>47425</v>
      </c>
      <c r="P1242">
        <v>0</v>
      </c>
      <c r="Q1242">
        <v>0</v>
      </c>
      <c r="R1242" t="s">
        <v>47428</v>
      </c>
      <c r="S1242" t="s">
        <v>47541</v>
      </c>
      <c r="T1242" t="s">
        <v>49179</v>
      </c>
      <c r="U1242" t="s">
        <v>50758</v>
      </c>
      <c r="V1242" t="s">
        <v>62761</v>
      </c>
      <c r="W1242" t="s">
        <v>43593</v>
      </c>
      <c r="X1242" t="s">
        <v>47431</v>
      </c>
    </row>
    <row r="1243" spans="1:24">
      <c r="A1243">
        <f>HYPERLINK("https://www.philgeps.gov.ph/GEPSNONPILOT/Tender/SplashBidNoticeAbstractUI.aspx?menuIndex=3&amp;refID=7161038&amp;Result=3","7161038")</f>
        <v>0</v>
      </c>
      <c r="B1243" t="s">
        <v>582</v>
      </c>
      <c r="C1243" t="s">
        <v>5110</v>
      </c>
      <c r="D1243" t="s">
        <v>19027</v>
      </c>
      <c r="E1243" t="s">
        <v>20237</v>
      </c>
      <c r="F1243" t="s">
        <v>32831</v>
      </c>
      <c r="G1243" t="s">
        <v>32839</v>
      </c>
      <c r="H1243" t="s">
        <v>32848</v>
      </c>
      <c r="I1243" t="s">
        <v>7751</v>
      </c>
      <c r="J1243" t="s">
        <v>33108</v>
      </c>
      <c r="K1243" t="s">
        <v>42732</v>
      </c>
      <c r="M1243" t="s">
        <v>43593</v>
      </c>
      <c r="N1243" t="s">
        <v>47424</v>
      </c>
      <c r="O1243" t="s">
        <v>47425</v>
      </c>
      <c r="P1243">
        <v>0</v>
      </c>
      <c r="Q1243">
        <v>5</v>
      </c>
      <c r="R1243" t="s">
        <v>47428</v>
      </c>
      <c r="S1243" t="s">
        <v>47541</v>
      </c>
      <c r="T1243" t="s">
        <v>49179</v>
      </c>
      <c r="U1243" t="s">
        <v>50759</v>
      </c>
      <c r="V1243" t="s">
        <v>62761</v>
      </c>
      <c r="W1243" t="s">
        <v>43593</v>
      </c>
      <c r="X1243" t="s">
        <v>47431</v>
      </c>
    </row>
    <row r="1244" spans="1:24">
      <c r="A1244">
        <f>HYPERLINK("https://www.philgeps.gov.ph/GEPSNONPILOT/Tender/SplashBidNoticeAbstractUI.aspx?menuIndex=3&amp;refID=7160933&amp;Result=3","7160933")</f>
        <v>0</v>
      </c>
      <c r="B1244" t="s">
        <v>584</v>
      </c>
      <c r="C1244" t="s">
        <v>5111</v>
      </c>
      <c r="D1244" t="s">
        <v>19017</v>
      </c>
      <c r="E1244" t="s">
        <v>20238</v>
      </c>
      <c r="F1244" t="s">
        <v>32831</v>
      </c>
      <c r="G1244" t="s">
        <v>32838</v>
      </c>
      <c r="H1244" t="s">
        <v>32848</v>
      </c>
      <c r="I1244" t="s">
        <v>4438</v>
      </c>
      <c r="J1244" t="s">
        <v>33007</v>
      </c>
      <c r="K1244" t="s">
        <v>42730</v>
      </c>
      <c r="M1244" t="s">
        <v>43595</v>
      </c>
      <c r="N1244" t="s">
        <v>47424</v>
      </c>
      <c r="O1244" t="s">
        <v>47425</v>
      </c>
      <c r="P1244">
        <v>0</v>
      </c>
      <c r="Q1244">
        <v>4</v>
      </c>
      <c r="R1244" t="s">
        <v>47428</v>
      </c>
      <c r="S1244" t="s">
        <v>47541</v>
      </c>
      <c r="T1244" t="s">
        <v>49111</v>
      </c>
      <c r="U1244" t="s">
        <v>50760</v>
      </c>
      <c r="W1244" t="s">
        <v>43595</v>
      </c>
      <c r="X1244" t="s">
        <v>47431</v>
      </c>
    </row>
    <row r="1245" spans="1:24">
      <c r="A1245">
        <f>HYPERLINK("https://www.philgeps.gov.ph/GEPSNONPILOT/Tender/SplashBidNoticeAbstractUI.aspx?menuIndex=3&amp;refID=7160892&amp;Result=3","7160892")</f>
        <v>0</v>
      </c>
      <c r="B1245" t="s">
        <v>488</v>
      </c>
      <c r="C1245" t="s">
        <v>4872</v>
      </c>
      <c r="D1245" t="s">
        <v>19017</v>
      </c>
      <c r="E1245" t="s">
        <v>20239</v>
      </c>
      <c r="F1245" t="s">
        <v>32833</v>
      </c>
      <c r="G1245" t="s">
        <v>32840</v>
      </c>
      <c r="H1245" t="s">
        <v>32848</v>
      </c>
      <c r="I1245" t="s">
        <v>32864</v>
      </c>
      <c r="J1245" t="s">
        <v>33703</v>
      </c>
      <c r="K1245" t="s">
        <v>42732</v>
      </c>
      <c r="M1245" t="s">
        <v>43493</v>
      </c>
      <c r="N1245" t="s">
        <v>47424</v>
      </c>
      <c r="O1245" t="s">
        <v>47425</v>
      </c>
      <c r="P1245">
        <v>0</v>
      </c>
      <c r="Q1245">
        <v>4</v>
      </c>
      <c r="R1245" t="s">
        <v>47428</v>
      </c>
      <c r="S1245" t="s">
        <v>47541</v>
      </c>
      <c r="T1245" t="s">
        <v>49145</v>
      </c>
      <c r="U1245" t="s">
        <v>50544</v>
      </c>
      <c r="W1245" t="s">
        <v>43493</v>
      </c>
      <c r="X1245" t="s">
        <v>47431</v>
      </c>
    </row>
    <row r="1246" spans="1:24">
      <c r="A1246">
        <f>HYPERLINK("https://www.philgeps.gov.ph/GEPSNONPILOT/Tender/SplashBidNoticeAbstractUI.aspx?menuIndex=3&amp;refID=7160889&amp;Result=3","7160889")</f>
        <v>0</v>
      </c>
      <c r="B1246" t="s">
        <v>585</v>
      </c>
      <c r="C1246" t="s">
        <v>5112</v>
      </c>
      <c r="D1246" t="s">
        <v>19017</v>
      </c>
      <c r="E1246" t="s">
        <v>20240</v>
      </c>
      <c r="F1246" t="s">
        <v>32831</v>
      </c>
      <c r="G1246" t="s">
        <v>32838</v>
      </c>
      <c r="H1246" t="s">
        <v>32848</v>
      </c>
      <c r="I1246" t="s">
        <v>4776</v>
      </c>
      <c r="J1246" t="s">
        <v>33892</v>
      </c>
      <c r="K1246" t="s">
        <v>42731</v>
      </c>
      <c r="M1246" t="s">
        <v>43596</v>
      </c>
      <c r="N1246" t="s">
        <v>47424</v>
      </c>
      <c r="O1246" t="s">
        <v>47425</v>
      </c>
      <c r="P1246">
        <v>0</v>
      </c>
      <c r="Q1246">
        <v>1</v>
      </c>
      <c r="R1246" t="s">
        <v>47428</v>
      </c>
      <c r="S1246" t="s">
        <v>47541</v>
      </c>
      <c r="T1246" t="s">
        <v>49091</v>
      </c>
      <c r="U1246" t="s">
        <v>50761</v>
      </c>
      <c r="W1246" t="s">
        <v>43596</v>
      </c>
      <c r="X1246" t="s">
        <v>47431</v>
      </c>
    </row>
    <row r="1247" spans="1:24">
      <c r="A1247">
        <f>HYPERLINK("https://www.philgeps.gov.ph/GEPSNONPILOT/Tender/SplashBidNoticeAbstractUI.aspx?menuIndex=3&amp;refID=7160853&amp;Result=3","7160853")</f>
        <v>0</v>
      </c>
      <c r="B1247" t="s">
        <v>585</v>
      </c>
      <c r="C1247" t="s">
        <v>5113</v>
      </c>
      <c r="D1247" t="s">
        <v>19017</v>
      </c>
      <c r="E1247" t="s">
        <v>20241</v>
      </c>
      <c r="F1247" t="s">
        <v>32831</v>
      </c>
      <c r="G1247" t="s">
        <v>32838</v>
      </c>
      <c r="H1247" t="s">
        <v>32848</v>
      </c>
      <c r="I1247" t="s">
        <v>4776</v>
      </c>
      <c r="J1247" t="s">
        <v>33893</v>
      </c>
      <c r="K1247" t="s">
        <v>42731</v>
      </c>
      <c r="M1247" t="s">
        <v>43596</v>
      </c>
      <c r="N1247" t="s">
        <v>47424</v>
      </c>
      <c r="O1247" t="s">
        <v>47425</v>
      </c>
      <c r="P1247">
        <v>0</v>
      </c>
      <c r="Q1247">
        <v>5</v>
      </c>
      <c r="R1247" t="s">
        <v>47428</v>
      </c>
      <c r="S1247" t="s">
        <v>47541</v>
      </c>
      <c r="T1247" t="s">
        <v>49091</v>
      </c>
      <c r="U1247" t="s">
        <v>50762</v>
      </c>
      <c r="W1247" t="s">
        <v>43596</v>
      </c>
      <c r="X1247" t="s">
        <v>47431</v>
      </c>
    </row>
    <row r="1248" spans="1:24">
      <c r="A1248">
        <f>HYPERLINK("https://www.philgeps.gov.ph/GEPSNONPILOT/Tender/SplashBidNoticeAbstractUI.aspx?menuIndex=3&amp;refID=7160766&amp;Result=3","7160766")</f>
        <v>0</v>
      </c>
      <c r="B1248" t="s">
        <v>585</v>
      </c>
      <c r="C1248" t="s">
        <v>5114</v>
      </c>
      <c r="D1248" t="s">
        <v>19017</v>
      </c>
      <c r="E1248" t="s">
        <v>20242</v>
      </c>
      <c r="F1248" t="s">
        <v>32831</v>
      </c>
      <c r="G1248" t="s">
        <v>32838</v>
      </c>
      <c r="H1248" t="s">
        <v>32848</v>
      </c>
      <c r="I1248" t="s">
        <v>4776</v>
      </c>
      <c r="J1248" t="s">
        <v>33268</v>
      </c>
      <c r="K1248" t="s">
        <v>42731</v>
      </c>
      <c r="M1248" t="s">
        <v>43596</v>
      </c>
      <c r="N1248" t="s">
        <v>47424</v>
      </c>
      <c r="O1248" t="s">
        <v>47425</v>
      </c>
      <c r="P1248">
        <v>0</v>
      </c>
      <c r="Q1248">
        <v>3</v>
      </c>
      <c r="R1248" t="s">
        <v>47428</v>
      </c>
      <c r="S1248" t="s">
        <v>47541</v>
      </c>
      <c r="T1248" t="s">
        <v>49068</v>
      </c>
      <c r="U1248" t="s">
        <v>50761</v>
      </c>
      <c r="W1248" t="s">
        <v>43596</v>
      </c>
      <c r="X1248" t="s">
        <v>47431</v>
      </c>
    </row>
    <row r="1249" spans="1:24">
      <c r="A1249">
        <f>HYPERLINK("https://www.philgeps.gov.ph/GEPSNONPILOT/Tender/SplashBidNoticeAbstractUI.aspx?menuIndex=3&amp;refID=7160735&amp;Result=3","7160735")</f>
        <v>0</v>
      </c>
      <c r="B1249" t="s">
        <v>586</v>
      </c>
      <c r="C1249" t="s">
        <v>5115</v>
      </c>
      <c r="D1249" t="s">
        <v>19028</v>
      </c>
      <c r="E1249" t="s">
        <v>20243</v>
      </c>
      <c r="F1249" t="s">
        <v>32831</v>
      </c>
      <c r="G1249" t="s">
        <v>32841</v>
      </c>
      <c r="H1249" t="s">
        <v>32849</v>
      </c>
      <c r="I1249" t="s">
        <v>4177</v>
      </c>
      <c r="J1249" t="s">
        <v>32980</v>
      </c>
      <c r="K1249" t="s">
        <v>42798</v>
      </c>
      <c r="M1249" t="s">
        <v>43597</v>
      </c>
      <c r="N1249" t="s">
        <v>47424</v>
      </c>
      <c r="O1249" t="s">
        <v>47425</v>
      </c>
      <c r="P1249">
        <v>0</v>
      </c>
      <c r="Q1249">
        <v>0</v>
      </c>
      <c r="R1249" t="s">
        <v>47428</v>
      </c>
      <c r="S1249" t="s">
        <v>47541</v>
      </c>
      <c r="T1249" t="s">
        <v>49070</v>
      </c>
      <c r="U1249" t="s">
        <v>50763</v>
      </c>
      <c r="W1249" t="s">
        <v>43597</v>
      </c>
      <c r="X1249" t="s">
        <v>47431</v>
      </c>
    </row>
    <row r="1250" spans="1:24">
      <c r="A1250">
        <f>HYPERLINK("https://www.philgeps.gov.ph/GEPSNONPILOT/Tender/SplashBidNoticeAbstractUI.aspx?menuIndex=3&amp;refID=7161006&amp;Result=3","7161006")</f>
        <v>0</v>
      </c>
      <c r="B1250" t="s">
        <v>228</v>
      </c>
      <c r="C1250" t="s">
        <v>5116</v>
      </c>
      <c r="D1250" t="s">
        <v>19031</v>
      </c>
      <c r="E1250" t="s">
        <v>20244</v>
      </c>
      <c r="F1250" t="s">
        <v>32831</v>
      </c>
      <c r="G1250" t="s">
        <v>32838</v>
      </c>
      <c r="H1250" t="s">
        <v>32848</v>
      </c>
      <c r="I1250" t="s">
        <v>32860</v>
      </c>
      <c r="J1250" t="s">
        <v>33894</v>
      </c>
      <c r="K1250" t="s">
        <v>42727</v>
      </c>
      <c r="M1250" t="s">
        <v>43598</v>
      </c>
      <c r="N1250" t="s">
        <v>47424</v>
      </c>
      <c r="O1250" t="s">
        <v>47425</v>
      </c>
      <c r="P1250">
        <v>0</v>
      </c>
      <c r="Q1250">
        <v>0</v>
      </c>
      <c r="R1250" t="s">
        <v>47428</v>
      </c>
      <c r="S1250" t="s">
        <v>47541</v>
      </c>
      <c r="T1250" t="s">
        <v>49235</v>
      </c>
      <c r="U1250" t="s">
        <v>50764</v>
      </c>
      <c r="W1250" t="s">
        <v>43598</v>
      </c>
      <c r="X1250" t="s">
        <v>47431</v>
      </c>
    </row>
    <row r="1251" spans="1:24">
      <c r="A1251">
        <f>HYPERLINK("https://www.philgeps.gov.ph/GEPSNONPILOT/Tender/SplashBidNoticeAbstractUI.aspx?menuIndex=3&amp;refID=7160477&amp;Result=3","7160477")</f>
        <v>0</v>
      </c>
      <c r="B1251" t="s">
        <v>525</v>
      </c>
      <c r="C1251" t="s">
        <v>5097</v>
      </c>
      <c r="D1251" t="s">
        <v>19029</v>
      </c>
      <c r="E1251" t="s">
        <v>20245</v>
      </c>
      <c r="F1251" t="s">
        <v>32831</v>
      </c>
      <c r="G1251" t="s">
        <v>32839</v>
      </c>
      <c r="H1251" t="s">
        <v>32849</v>
      </c>
      <c r="I1251" t="s">
        <v>4177</v>
      </c>
      <c r="J1251" t="s">
        <v>33882</v>
      </c>
      <c r="K1251" t="s">
        <v>42797</v>
      </c>
      <c r="M1251" t="s">
        <v>43531</v>
      </c>
      <c r="N1251" t="s">
        <v>47424</v>
      </c>
      <c r="O1251" t="s">
        <v>47425</v>
      </c>
      <c r="P1251">
        <v>0</v>
      </c>
      <c r="Q1251">
        <v>0</v>
      </c>
      <c r="R1251" t="s">
        <v>47428</v>
      </c>
      <c r="S1251" t="s">
        <v>47541</v>
      </c>
      <c r="T1251" t="s">
        <v>49245</v>
      </c>
      <c r="U1251" t="s">
        <v>50765</v>
      </c>
      <c r="W1251" t="s">
        <v>43531</v>
      </c>
      <c r="X1251" t="s">
        <v>47431</v>
      </c>
    </row>
    <row r="1252" spans="1:24">
      <c r="A1252">
        <f>HYPERLINK("https://www.philgeps.gov.ph/GEPSNONPILOT/Tender/SplashBidNoticeAbstractUI.aspx?menuIndex=3&amp;refID=7160613&amp;Result=3","7160613")</f>
        <v>0</v>
      </c>
      <c r="B1252" t="s">
        <v>525</v>
      </c>
      <c r="C1252" t="s">
        <v>5117</v>
      </c>
      <c r="D1252" t="s">
        <v>19029</v>
      </c>
      <c r="E1252" t="s">
        <v>20246</v>
      </c>
      <c r="F1252" t="s">
        <v>32831</v>
      </c>
      <c r="G1252" t="s">
        <v>32839</v>
      </c>
      <c r="H1252" t="s">
        <v>32849</v>
      </c>
      <c r="I1252" t="s">
        <v>4177</v>
      </c>
      <c r="J1252" t="s">
        <v>33895</v>
      </c>
      <c r="K1252" t="s">
        <v>42799</v>
      </c>
      <c r="M1252" t="s">
        <v>43531</v>
      </c>
      <c r="N1252" t="s">
        <v>47424</v>
      </c>
      <c r="O1252" t="s">
        <v>47425</v>
      </c>
      <c r="P1252">
        <v>0</v>
      </c>
      <c r="Q1252">
        <v>0</v>
      </c>
      <c r="R1252" t="s">
        <v>47428</v>
      </c>
      <c r="S1252" t="s">
        <v>47541</v>
      </c>
      <c r="T1252" t="s">
        <v>49246</v>
      </c>
      <c r="U1252" t="s">
        <v>50766</v>
      </c>
      <c r="W1252" t="s">
        <v>43531</v>
      </c>
      <c r="X1252" t="s">
        <v>47431</v>
      </c>
    </row>
    <row r="1253" spans="1:24">
      <c r="A1253">
        <f>HYPERLINK("https://www.philgeps.gov.ph/GEPSNONPILOT/Tender/SplashBidNoticeAbstractUI.aspx?menuIndex=3&amp;refID=7160609&amp;Result=3","7160609")</f>
        <v>0</v>
      </c>
      <c r="B1253" t="s">
        <v>32</v>
      </c>
      <c r="C1253" t="s">
        <v>5118</v>
      </c>
      <c r="D1253" t="s">
        <v>19023</v>
      </c>
      <c r="E1253" t="s">
        <v>20247</v>
      </c>
      <c r="F1253" t="s">
        <v>32831</v>
      </c>
      <c r="G1253" t="s">
        <v>32838</v>
      </c>
      <c r="H1253" t="s">
        <v>32848</v>
      </c>
      <c r="I1253" t="s">
        <v>4438</v>
      </c>
      <c r="J1253" t="s">
        <v>33896</v>
      </c>
      <c r="K1253" t="s">
        <v>42732</v>
      </c>
      <c r="M1253" t="s">
        <v>43029</v>
      </c>
      <c r="N1253" t="s">
        <v>47424</v>
      </c>
      <c r="O1253" t="s">
        <v>47425</v>
      </c>
      <c r="P1253">
        <v>0</v>
      </c>
      <c r="Q1253">
        <v>2</v>
      </c>
      <c r="R1253" t="s">
        <v>47428</v>
      </c>
      <c r="S1253" t="s">
        <v>47541</v>
      </c>
      <c r="T1253" t="s">
        <v>49244</v>
      </c>
      <c r="U1253" t="s">
        <v>50767</v>
      </c>
      <c r="W1253" t="s">
        <v>43029</v>
      </c>
      <c r="X1253" t="s">
        <v>47431</v>
      </c>
    </row>
    <row r="1254" spans="1:24">
      <c r="A1254">
        <f>HYPERLINK("https://www.philgeps.gov.ph/GEPSNONPILOT/Tender/SplashBidNoticeAbstractUI.aspx?menuIndex=3&amp;refID=7160574&amp;Result=3","7160574")</f>
        <v>0</v>
      </c>
      <c r="B1254" t="s">
        <v>525</v>
      </c>
      <c r="C1254" t="s">
        <v>5097</v>
      </c>
      <c r="D1254" t="s">
        <v>19029</v>
      </c>
      <c r="E1254" t="s">
        <v>20248</v>
      </c>
      <c r="F1254" t="s">
        <v>32831</v>
      </c>
      <c r="G1254" t="s">
        <v>32839</v>
      </c>
      <c r="H1254" t="s">
        <v>32849</v>
      </c>
      <c r="I1254" t="s">
        <v>4177</v>
      </c>
      <c r="J1254" t="s">
        <v>33881</v>
      </c>
      <c r="K1254" t="s">
        <v>42797</v>
      </c>
      <c r="M1254" t="s">
        <v>43531</v>
      </c>
      <c r="N1254" t="s">
        <v>47424</v>
      </c>
      <c r="O1254" t="s">
        <v>47425</v>
      </c>
      <c r="P1254">
        <v>0</v>
      </c>
      <c r="Q1254">
        <v>0</v>
      </c>
      <c r="R1254" t="s">
        <v>47428</v>
      </c>
      <c r="S1254" t="s">
        <v>47541</v>
      </c>
      <c r="T1254" t="s">
        <v>49245</v>
      </c>
      <c r="U1254" t="s">
        <v>50768</v>
      </c>
      <c r="W1254" t="s">
        <v>43531</v>
      </c>
      <c r="X1254" t="s">
        <v>47431</v>
      </c>
    </row>
    <row r="1255" spans="1:24">
      <c r="A1255">
        <f>HYPERLINK("https://www.philgeps.gov.ph/GEPSNONPILOT/Tender/SplashBidNoticeAbstractUI.aspx?menuIndex=3&amp;refID=7160546&amp;Result=3","7160546")</f>
        <v>0</v>
      </c>
      <c r="B1255" t="s">
        <v>32</v>
      </c>
      <c r="C1255" t="s">
        <v>5119</v>
      </c>
      <c r="D1255" t="s">
        <v>19023</v>
      </c>
      <c r="E1255" t="s">
        <v>20249</v>
      </c>
      <c r="F1255" t="s">
        <v>32831</v>
      </c>
      <c r="G1255" t="s">
        <v>32838</v>
      </c>
      <c r="H1255" t="s">
        <v>32848</v>
      </c>
      <c r="I1255" t="s">
        <v>4303</v>
      </c>
      <c r="J1255" t="s">
        <v>33897</v>
      </c>
      <c r="K1255" t="s">
        <v>42732</v>
      </c>
      <c r="M1255" t="s">
        <v>43029</v>
      </c>
      <c r="N1255" t="s">
        <v>47424</v>
      </c>
      <c r="O1255" t="s">
        <v>47425</v>
      </c>
      <c r="P1255">
        <v>0</v>
      </c>
      <c r="Q1255">
        <v>1</v>
      </c>
      <c r="R1255" t="s">
        <v>47428</v>
      </c>
      <c r="S1255" t="s">
        <v>47541</v>
      </c>
      <c r="T1255" t="s">
        <v>49244</v>
      </c>
      <c r="U1255" t="s">
        <v>50769</v>
      </c>
      <c r="W1255" t="s">
        <v>43029</v>
      </c>
      <c r="X1255" t="s">
        <v>47431</v>
      </c>
    </row>
    <row r="1256" spans="1:24">
      <c r="A1256">
        <f>HYPERLINK("https://www.philgeps.gov.ph/GEPSNONPILOT/Tender/SplashBidNoticeAbstractUI.aspx?menuIndex=3&amp;refID=7154547&amp;Result=3","7154547")</f>
        <v>0</v>
      </c>
      <c r="B1256" t="s">
        <v>569</v>
      </c>
      <c r="C1256" t="s">
        <v>5120</v>
      </c>
      <c r="D1256" t="s">
        <v>19056</v>
      </c>
      <c r="E1256" t="s">
        <v>20250</v>
      </c>
      <c r="F1256" t="s">
        <v>32831</v>
      </c>
      <c r="G1256" t="s">
        <v>32838</v>
      </c>
      <c r="H1256" t="s">
        <v>32848</v>
      </c>
      <c r="I1256" t="s">
        <v>32880</v>
      </c>
      <c r="J1256" t="s">
        <v>33898</v>
      </c>
      <c r="K1256" t="s">
        <v>42732</v>
      </c>
      <c r="M1256" t="s">
        <v>43579</v>
      </c>
      <c r="N1256" t="s">
        <v>47424</v>
      </c>
      <c r="O1256" t="s">
        <v>47425</v>
      </c>
      <c r="P1256">
        <v>0</v>
      </c>
      <c r="Q1256">
        <v>3</v>
      </c>
      <c r="R1256" t="s">
        <v>47428</v>
      </c>
      <c r="S1256" t="s">
        <v>47541</v>
      </c>
      <c r="T1256" t="s">
        <v>49237</v>
      </c>
      <c r="U1256" t="s">
        <v>50770</v>
      </c>
      <c r="W1256" t="s">
        <v>43579</v>
      </c>
      <c r="X1256" t="s">
        <v>47433</v>
      </c>
    </row>
    <row r="1257" spans="1:24">
      <c r="A1257">
        <f>HYPERLINK("https://www.philgeps.gov.ph/GEPSNONPILOT/Tender/SplashBidNoticeAbstractUI.aspx?menuIndex=3&amp;refID=7159142&amp;Result=3","7159142")</f>
        <v>0</v>
      </c>
      <c r="B1257" t="s">
        <v>67</v>
      </c>
      <c r="C1257" t="s">
        <v>5121</v>
      </c>
      <c r="D1257" t="s">
        <v>19079</v>
      </c>
      <c r="E1257" t="s">
        <v>20251</v>
      </c>
      <c r="F1257" t="s">
        <v>32831</v>
      </c>
      <c r="G1257" t="s">
        <v>32838</v>
      </c>
      <c r="H1257" t="s">
        <v>32849</v>
      </c>
      <c r="I1257" t="s">
        <v>32863</v>
      </c>
      <c r="J1257" t="s">
        <v>33899</v>
      </c>
      <c r="K1257" t="s">
        <v>42727</v>
      </c>
      <c r="M1257" t="s">
        <v>43586</v>
      </c>
      <c r="N1257" t="s">
        <v>47424</v>
      </c>
      <c r="O1257" t="s">
        <v>47425</v>
      </c>
      <c r="P1257">
        <v>0</v>
      </c>
      <c r="Q1257">
        <v>0</v>
      </c>
      <c r="R1257" t="s">
        <v>47428</v>
      </c>
      <c r="S1257" t="s">
        <v>47541</v>
      </c>
      <c r="T1257" t="s">
        <v>49242</v>
      </c>
      <c r="U1257" t="s">
        <v>50771</v>
      </c>
      <c r="V1257" t="s">
        <v>62758</v>
      </c>
      <c r="W1257" t="s">
        <v>43586</v>
      </c>
      <c r="X1257" t="s">
        <v>47431</v>
      </c>
    </row>
    <row r="1258" spans="1:24">
      <c r="A1258">
        <f>HYPERLINK("https://www.philgeps.gov.ph/GEPSNONPILOT/Tender/SplashBidNoticeAbstractUI.aspx?menuIndex=3&amp;refID=7160811&amp;Result=3","7160811")</f>
        <v>0</v>
      </c>
      <c r="B1258" t="s">
        <v>585</v>
      </c>
      <c r="C1258" t="s">
        <v>5122</v>
      </c>
      <c r="D1258" t="s">
        <v>19017</v>
      </c>
      <c r="E1258" t="s">
        <v>20252</v>
      </c>
      <c r="F1258" t="s">
        <v>32831</v>
      </c>
      <c r="G1258" t="s">
        <v>32838</v>
      </c>
      <c r="H1258" t="s">
        <v>32848</v>
      </c>
      <c r="I1258" t="s">
        <v>4776</v>
      </c>
      <c r="J1258" t="s">
        <v>33086</v>
      </c>
      <c r="K1258" t="s">
        <v>42731</v>
      </c>
      <c r="M1258" t="s">
        <v>43596</v>
      </c>
      <c r="N1258" t="s">
        <v>47424</v>
      </c>
      <c r="O1258" t="s">
        <v>47425</v>
      </c>
      <c r="P1258">
        <v>0</v>
      </c>
      <c r="Q1258">
        <v>2</v>
      </c>
      <c r="R1258" t="s">
        <v>47428</v>
      </c>
      <c r="S1258" t="s">
        <v>47541</v>
      </c>
      <c r="T1258" t="s">
        <v>49091</v>
      </c>
      <c r="U1258" t="s">
        <v>50762</v>
      </c>
      <c r="W1258" t="s">
        <v>43596</v>
      </c>
      <c r="X1258" t="s">
        <v>47431</v>
      </c>
    </row>
    <row r="1259" spans="1:24">
      <c r="A1259">
        <f>HYPERLINK("https://www.philgeps.gov.ph/GEPSNONPILOT/Tender/SplashBidNoticeAbstractUI.aspx?menuIndex=3&amp;refID=7160577&amp;Result=3","7160577")</f>
        <v>0</v>
      </c>
      <c r="B1259" t="s">
        <v>32</v>
      </c>
      <c r="C1259" t="s">
        <v>5123</v>
      </c>
      <c r="D1259" t="s">
        <v>19023</v>
      </c>
      <c r="E1259" t="s">
        <v>20253</v>
      </c>
      <c r="F1259" t="s">
        <v>32831</v>
      </c>
      <c r="G1259" t="s">
        <v>32838</v>
      </c>
      <c r="H1259" t="s">
        <v>32848</v>
      </c>
      <c r="I1259" t="s">
        <v>4303</v>
      </c>
      <c r="J1259" t="s">
        <v>33900</v>
      </c>
      <c r="K1259" t="s">
        <v>42732</v>
      </c>
      <c r="M1259" t="s">
        <v>43029</v>
      </c>
      <c r="N1259" t="s">
        <v>47424</v>
      </c>
      <c r="O1259" t="s">
        <v>47425</v>
      </c>
      <c r="P1259">
        <v>0</v>
      </c>
      <c r="Q1259">
        <v>1</v>
      </c>
      <c r="R1259" t="s">
        <v>47428</v>
      </c>
      <c r="S1259" t="s">
        <v>47541</v>
      </c>
      <c r="T1259" t="s">
        <v>49244</v>
      </c>
      <c r="U1259" t="s">
        <v>50772</v>
      </c>
      <c r="W1259" t="s">
        <v>43029</v>
      </c>
      <c r="X1259" t="s">
        <v>47431</v>
      </c>
    </row>
    <row r="1260" spans="1:24">
      <c r="A1260">
        <f>HYPERLINK("https://www.philgeps.gov.ph/GEPSNONPILOT/Tender/SplashBidNoticeAbstractUI.aspx?menuIndex=3&amp;refID=7160549&amp;Result=3","7160549")</f>
        <v>0</v>
      </c>
      <c r="B1260" t="s">
        <v>583</v>
      </c>
      <c r="C1260" t="s">
        <v>5124</v>
      </c>
      <c r="D1260" t="s">
        <v>19069</v>
      </c>
      <c r="E1260" t="s">
        <v>20254</v>
      </c>
      <c r="F1260" t="s">
        <v>32831</v>
      </c>
      <c r="G1260" t="s">
        <v>32839</v>
      </c>
      <c r="H1260" t="s">
        <v>32848</v>
      </c>
      <c r="I1260" t="s">
        <v>32862</v>
      </c>
      <c r="J1260" t="s">
        <v>33090</v>
      </c>
      <c r="K1260" t="s">
        <v>42745</v>
      </c>
      <c r="M1260" t="s">
        <v>43594</v>
      </c>
      <c r="N1260" t="s">
        <v>47424</v>
      </c>
      <c r="O1260" t="s">
        <v>47425</v>
      </c>
      <c r="P1260">
        <v>0</v>
      </c>
      <c r="Q1260">
        <v>1</v>
      </c>
      <c r="R1260" t="s">
        <v>47428</v>
      </c>
      <c r="S1260" t="s">
        <v>47541</v>
      </c>
      <c r="T1260" t="s">
        <v>49064</v>
      </c>
      <c r="U1260" t="s">
        <v>50773</v>
      </c>
      <c r="V1260" t="s">
        <v>62762</v>
      </c>
      <c r="W1260" t="s">
        <v>43594</v>
      </c>
      <c r="X1260" t="s">
        <v>47431</v>
      </c>
    </row>
    <row r="1261" spans="1:24">
      <c r="A1261">
        <f>HYPERLINK("https://www.philgeps.gov.ph/GEPSNONPILOT/Tender/SplashBidNoticeAbstractUI.aspx?menuIndex=3&amp;refID=7158962&amp;Result=3","7158962")</f>
        <v>0</v>
      </c>
      <c r="B1261" t="s">
        <v>67</v>
      </c>
      <c r="C1261" t="s">
        <v>5125</v>
      </c>
      <c r="D1261" t="s">
        <v>19079</v>
      </c>
      <c r="E1261" t="s">
        <v>20255</v>
      </c>
      <c r="F1261" t="s">
        <v>32831</v>
      </c>
      <c r="G1261" t="s">
        <v>32838</v>
      </c>
      <c r="H1261" t="s">
        <v>32849</v>
      </c>
      <c r="I1261" t="s">
        <v>32863</v>
      </c>
      <c r="J1261" t="s">
        <v>33901</v>
      </c>
      <c r="K1261" t="s">
        <v>42727</v>
      </c>
      <c r="M1261" t="s">
        <v>43586</v>
      </c>
      <c r="N1261" t="s">
        <v>47424</v>
      </c>
      <c r="O1261" t="s">
        <v>47425</v>
      </c>
      <c r="P1261">
        <v>0</v>
      </c>
      <c r="Q1261">
        <v>0</v>
      </c>
      <c r="R1261" t="s">
        <v>47428</v>
      </c>
      <c r="S1261" t="s">
        <v>47541</v>
      </c>
      <c r="T1261" t="s">
        <v>49242</v>
      </c>
      <c r="U1261" t="s">
        <v>50774</v>
      </c>
      <c r="V1261" t="s">
        <v>62763</v>
      </c>
      <c r="W1261" t="s">
        <v>43586</v>
      </c>
      <c r="X1261" t="s">
        <v>47431</v>
      </c>
    </row>
    <row r="1262" spans="1:24">
      <c r="A1262">
        <f>HYPERLINK("https://www.philgeps.gov.ph/GEPSNONPILOT/Tender/SplashBidNoticeAbstractUI.aspx?menuIndex=3&amp;refID=7159272&amp;Result=3","7159272")</f>
        <v>0</v>
      </c>
      <c r="B1262" t="s">
        <v>67</v>
      </c>
      <c r="C1262" t="s">
        <v>5126</v>
      </c>
      <c r="D1262" t="s">
        <v>19079</v>
      </c>
      <c r="E1262" t="s">
        <v>20256</v>
      </c>
      <c r="F1262" t="s">
        <v>32831</v>
      </c>
      <c r="G1262" t="s">
        <v>32838</v>
      </c>
      <c r="H1262" t="s">
        <v>32849</v>
      </c>
      <c r="I1262" t="s">
        <v>32863</v>
      </c>
      <c r="J1262" t="s">
        <v>33902</v>
      </c>
      <c r="K1262" t="s">
        <v>42727</v>
      </c>
      <c r="M1262" t="s">
        <v>43586</v>
      </c>
      <c r="N1262" t="s">
        <v>47424</v>
      </c>
      <c r="O1262" t="s">
        <v>47425</v>
      </c>
      <c r="P1262">
        <v>0</v>
      </c>
      <c r="Q1262">
        <v>0</v>
      </c>
      <c r="R1262" t="s">
        <v>47428</v>
      </c>
      <c r="S1262" t="s">
        <v>47541</v>
      </c>
      <c r="T1262" t="s">
        <v>49242</v>
      </c>
      <c r="U1262" t="s">
        <v>50775</v>
      </c>
      <c r="V1262" t="s">
        <v>62758</v>
      </c>
      <c r="W1262" t="s">
        <v>43586</v>
      </c>
      <c r="X1262" t="s">
        <v>47431</v>
      </c>
    </row>
    <row r="1263" spans="1:24">
      <c r="A1263">
        <f>HYPERLINK("https://www.philgeps.gov.ph/GEPSNONPILOT/Tender/SplashBidNoticeAbstractUI.aspx?menuIndex=3&amp;refID=7154556&amp;Result=3","7154556")</f>
        <v>0</v>
      </c>
      <c r="B1263" t="s">
        <v>569</v>
      </c>
      <c r="C1263" t="s">
        <v>4142</v>
      </c>
      <c r="D1263" t="s">
        <v>19056</v>
      </c>
      <c r="E1263" t="s">
        <v>20257</v>
      </c>
      <c r="F1263" t="s">
        <v>32831</v>
      </c>
      <c r="G1263" t="s">
        <v>32838</v>
      </c>
      <c r="H1263" t="s">
        <v>32848</v>
      </c>
      <c r="I1263" t="s">
        <v>32857</v>
      </c>
      <c r="J1263" t="s">
        <v>33903</v>
      </c>
      <c r="K1263" t="s">
        <v>42732</v>
      </c>
      <c r="M1263" t="s">
        <v>43579</v>
      </c>
      <c r="N1263" t="s">
        <v>47424</v>
      </c>
      <c r="O1263" t="s">
        <v>47425</v>
      </c>
      <c r="P1263">
        <v>0</v>
      </c>
      <c r="Q1263">
        <v>8</v>
      </c>
      <c r="R1263" t="s">
        <v>47428</v>
      </c>
      <c r="S1263" t="s">
        <v>47541</v>
      </c>
      <c r="T1263" t="s">
        <v>49237</v>
      </c>
      <c r="U1263" t="s">
        <v>50776</v>
      </c>
      <c r="W1263" t="s">
        <v>43579</v>
      </c>
      <c r="X1263" t="s">
        <v>47433</v>
      </c>
    </row>
    <row r="1264" spans="1:24">
      <c r="A1264">
        <f>HYPERLINK("https://www.philgeps.gov.ph/GEPSNONPILOT/Tender/SplashBidNoticeAbstractUI.aspx?menuIndex=3&amp;refID=7161789&amp;Result=3","7161789")</f>
        <v>0</v>
      </c>
      <c r="B1264" t="s">
        <v>465</v>
      </c>
      <c r="C1264" t="s">
        <v>4828</v>
      </c>
      <c r="D1264" t="s">
        <v>19023</v>
      </c>
      <c r="E1264" t="s">
        <v>20258</v>
      </c>
      <c r="F1264" t="s">
        <v>32831</v>
      </c>
      <c r="G1264" t="s">
        <v>32840</v>
      </c>
      <c r="H1264" t="s">
        <v>32848</v>
      </c>
      <c r="I1264" t="s">
        <v>32860</v>
      </c>
      <c r="J1264" t="s">
        <v>33087</v>
      </c>
      <c r="K1264" t="s">
        <v>42748</v>
      </c>
      <c r="M1264" t="s">
        <v>43470</v>
      </c>
      <c r="N1264" t="s">
        <v>47424</v>
      </c>
      <c r="O1264" t="s">
        <v>47425</v>
      </c>
      <c r="P1264">
        <v>0</v>
      </c>
      <c r="Q1264">
        <v>2</v>
      </c>
      <c r="R1264" t="s">
        <v>47428</v>
      </c>
      <c r="S1264" t="s">
        <v>47541</v>
      </c>
      <c r="T1264" t="s">
        <v>49114</v>
      </c>
      <c r="U1264" t="s">
        <v>50505</v>
      </c>
      <c r="W1264" t="s">
        <v>43470</v>
      </c>
      <c r="X1264" t="s">
        <v>47430</v>
      </c>
    </row>
    <row r="1265" spans="1:24">
      <c r="A1265">
        <f>HYPERLINK("https://www.philgeps.gov.ph/GEPSNONPILOT/Tender/SplashBidNoticeAbstractUI.aspx?menuIndex=3&amp;refID=7161788&amp;Result=3","7161788")</f>
        <v>0</v>
      </c>
      <c r="B1265" t="s">
        <v>338</v>
      </c>
      <c r="C1265" t="s">
        <v>5127</v>
      </c>
      <c r="D1265" t="s">
        <v>19019</v>
      </c>
      <c r="E1265" t="s">
        <v>20259</v>
      </c>
      <c r="F1265" t="s">
        <v>32831</v>
      </c>
      <c r="G1265" t="s">
        <v>32842</v>
      </c>
      <c r="H1265" t="s">
        <v>32848</v>
      </c>
      <c r="I1265" t="s">
        <v>11484</v>
      </c>
      <c r="J1265" t="s">
        <v>33704</v>
      </c>
      <c r="K1265" t="s">
        <v>42758</v>
      </c>
      <c r="M1265" t="s">
        <v>43551</v>
      </c>
      <c r="N1265" t="s">
        <v>47424</v>
      </c>
      <c r="O1265" t="s">
        <v>47425</v>
      </c>
      <c r="P1265">
        <v>0</v>
      </c>
      <c r="Q1265">
        <v>1</v>
      </c>
      <c r="R1265" t="s">
        <v>47428</v>
      </c>
      <c r="S1265" t="s">
        <v>47541</v>
      </c>
      <c r="T1265" t="s">
        <v>49145</v>
      </c>
      <c r="U1265" t="s">
        <v>50777</v>
      </c>
      <c r="W1265" t="s">
        <v>43551</v>
      </c>
      <c r="X1265" t="s">
        <v>47430</v>
      </c>
    </row>
    <row r="1266" spans="1:24">
      <c r="A1266">
        <f>HYPERLINK("https://www.philgeps.gov.ph/GEPSNONPILOT/Tender/SplashBidNoticeAbstractUI.aspx?menuIndex=3&amp;refID=7161785&amp;Result=3","7161785")</f>
        <v>0</v>
      </c>
      <c r="B1266" t="s">
        <v>587</v>
      </c>
      <c r="C1266" t="s">
        <v>5128</v>
      </c>
      <c r="D1266" t="s">
        <v>19024</v>
      </c>
      <c r="E1266" t="s">
        <v>20260</v>
      </c>
      <c r="F1266" t="s">
        <v>32831</v>
      </c>
      <c r="G1266" t="s">
        <v>32840</v>
      </c>
      <c r="H1266" t="s">
        <v>32848</v>
      </c>
      <c r="I1266" t="s">
        <v>32855</v>
      </c>
      <c r="J1266" t="s">
        <v>33086</v>
      </c>
      <c r="K1266" t="s">
        <v>42758</v>
      </c>
      <c r="M1266" t="s">
        <v>43599</v>
      </c>
      <c r="N1266" t="s">
        <v>47424</v>
      </c>
      <c r="O1266" t="s">
        <v>47425</v>
      </c>
      <c r="P1266">
        <v>0</v>
      </c>
      <c r="Q1266">
        <v>0</v>
      </c>
      <c r="R1266" t="s">
        <v>47428</v>
      </c>
      <c r="S1266" t="s">
        <v>47541</v>
      </c>
      <c r="T1266" t="s">
        <v>49145</v>
      </c>
      <c r="U1266" t="s">
        <v>50505</v>
      </c>
      <c r="W1266" t="s">
        <v>43599</v>
      </c>
      <c r="X1266" t="s">
        <v>47430</v>
      </c>
    </row>
    <row r="1267" spans="1:24">
      <c r="A1267">
        <f>HYPERLINK("https://www.philgeps.gov.ph/GEPSNONPILOT/Tender/SplashBidNoticeAbstractUI.aspx?menuIndex=3&amp;refID=7161138&amp;Result=3","7161138")</f>
        <v>0</v>
      </c>
      <c r="B1267" t="s">
        <v>582</v>
      </c>
      <c r="C1267" t="s">
        <v>5129</v>
      </c>
      <c r="D1267" t="s">
        <v>19027</v>
      </c>
      <c r="E1267" t="s">
        <v>20261</v>
      </c>
      <c r="F1267" t="s">
        <v>32831</v>
      </c>
      <c r="G1267" t="s">
        <v>32839</v>
      </c>
      <c r="H1267" t="s">
        <v>32849</v>
      </c>
      <c r="I1267" t="s">
        <v>4177</v>
      </c>
      <c r="J1267" t="s">
        <v>33904</v>
      </c>
      <c r="K1267" t="s">
        <v>42732</v>
      </c>
      <c r="M1267" t="s">
        <v>43593</v>
      </c>
      <c r="N1267" t="s">
        <v>47424</v>
      </c>
      <c r="O1267" t="s">
        <v>47425</v>
      </c>
      <c r="P1267">
        <v>0</v>
      </c>
      <c r="Q1267">
        <v>0</v>
      </c>
      <c r="R1267" t="s">
        <v>47428</v>
      </c>
      <c r="S1267" t="s">
        <v>47541</v>
      </c>
      <c r="T1267" t="s">
        <v>49179</v>
      </c>
      <c r="U1267" t="s">
        <v>50778</v>
      </c>
      <c r="V1267" t="s">
        <v>62761</v>
      </c>
      <c r="W1267" t="s">
        <v>43593</v>
      </c>
      <c r="X1267" t="s">
        <v>47431</v>
      </c>
    </row>
    <row r="1268" spans="1:24">
      <c r="A1268">
        <f>HYPERLINK("https://www.philgeps.gov.ph/GEPSNONPILOT/Tender/SplashBidNoticeAbstractUI.aspx?menuIndex=3&amp;refID=7161784&amp;Result=3","7161784")</f>
        <v>0</v>
      </c>
      <c r="B1268" t="s">
        <v>465</v>
      </c>
      <c r="C1268" t="s">
        <v>4828</v>
      </c>
      <c r="D1268" t="s">
        <v>19023</v>
      </c>
      <c r="E1268" t="s">
        <v>20262</v>
      </c>
      <c r="F1268" t="s">
        <v>32831</v>
      </c>
      <c r="G1268" t="s">
        <v>32840</v>
      </c>
      <c r="H1268" t="s">
        <v>32848</v>
      </c>
      <c r="I1268" t="s">
        <v>32860</v>
      </c>
      <c r="J1268" t="s">
        <v>33087</v>
      </c>
      <c r="K1268" t="s">
        <v>42748</v>
      </c>
      <c r="M1268" t="s">
        <v>43470</v>
      </c>
      <c r="N1268" t="s">
        <v>47424</v>
      </c>
      <c r="O1268" t="s">
        <v>47425</v>
      </c>
      <c r="P1268">
        <v>0</v>
      </c>
      <c r="Q1268">
        <v>1</v>
      </c>
      <c r="R1268" t="s">
        <v>47428</v>
      </c>
      <c r="S1268" t="s">
        <v>47541</v>
      </c>
      <c r="T1268" t="s">
        <v>49114</v>
      </c>
      <c r="U1268" t="s">
        <v>50779</v>
      </c>
      <c r="W1268" t="s">
        <v>43470</v>
      </c>
      <c r="X1268" t="s">
        <v>47430</v>
      </c>
    </row>
    <row r="1269" spans="1:24">
      <c r="A1269">
        <f>HYPERLINK("https://www.philgeps.gov.ph/GEPSNONPILOT/Tender/SplashBidNoticeAbstractUI.aspx?menuIndex=3&amp;refID=7161214&amp;Result=3","7161214")</f>
        <v>0</v>
      </c>
      <c r="B1269" t="s">
        <v>588</v>
      </c>
      <c r="C1269" t="s">
        <v>5130</v>
      </c>
      <c r="E1269" t="s">
        <v>20263</v>
      </c>
      <c r="F1269" t="s">
        <v>32833</v>
      </c>
      <c r="G1269" t="s">
        <v>32838</v>
      </c>
      <c r="H1269" t="s">
        <v>32848</v>
      </c>
      <c r="I1269" t="s">
        <v>4438</v>
      </c>
      <c r="J1269" t="s">
        <v>33905</v>
      </c>
      <c r="K1269" t="s">
        <v>42732</v>
      </c>
      <c r="M1269" t="s">
        <v>43600</v>
      </c>
      <c r="N1269" t="s">
        <v>47424</v>
      </c>
      <c r="O1269" t="s">
        <v>47425</v>
      </c>
      <c r="P1269">
        <v>0</v>
      </c>
      <c r="Q1269">
        <v>0</v>
      </c>
      <c r="R1269" t="s">
        <v>47428</v>
      </c>
      <c r="S1269" t="s">
        <v>47541</v>
      </c>
      <c r="T1269" t="s">
        <v>49069</v>
      </c>
      <c r="U1269" t="s">
        <v>50780</v>
      </c>
      <c r="V1269" t="s">
        <v>62764</v>
      </c>
      <c r="W1269" t="s">
        <v>43600</v>
      </c>
      <c r="X1269" t="s">
        <v>47431</v>
      </c>
    </row>
    <row r="1270" spans="1:24">
      <c r="A1270">
        <f>HYPERLINK("https://www.philgeps.gov.ph/GEPSNONPILOT/Tender/SplashBidNoticeAbstractUI.aspx?menuIndex=3&amp;refID=7161783&amp;Result=3","7161783")</f>
        <v>0</v>
      </c>
      <c r="B1270" t="s">
        <v>338</v>
      </c>
      <c r="C1270" t="s">
        <v>5131</v>
      </c>
      <c r="D1270" t="s">
        <v>19019</v>
      </c>
      <c r="E1270" t="s">
        <v>20264</v>
      </c>
      <c r="F1270" t="s">
        <v>32831</v>
      </c>
      <c r="G1270" t="s">
        <v>32840</v>
      </c>
      <c r="H1270" t="s">
        <v>32848</v>
      </c>
      <c r="I1270" t="s">
        <v>11484</v>
      </c>
      <c r="J1270" t="s">
        <v>33775</v>
      </c>
      <c r="K1270" t="s">
        <v>42758</v>
      </c>
      <c r="M1270" t="s">
        <v>43551</v>
      </c>
      <c r="N1270" t="s">
        <v>47424</v>
      </c>
      <c r="O1270" t="s">
        <v>47425</v>
      </c>
      <c r="P1270">
        <v>0</v>
      </c>
      <c r="Q1270">
        <v>1</v>
      </c>
      <c r="R1270" t="s">
        <v>47428</v>
      </c>
      <c r="S1270" t="s">
        <v>47541</v>
      </c>
      <c r="T1270" t="s">
        <v>49145</v>
      </c>
      <c r="U1270" t="s">
        <v>50781</v>
      </c>
      <c r="W1270" t="s">
        <v>43551</v>
      </c>
      <c r="X1270" t="s">
        <v>47430</v>
      </c>
    </row>
    <row r="1271" spans="1:24">
      <c r="A1271">
        <f>HYPERLINK("https://www.philgeps.gov.ph/GEPSNONPILOT/Tender/SplashBidNoticeAbstractUI.aspx?menuIndex=3&amp;refID=7161782&amp;Result=3","7161782")</f>
        <v>0</v>
      </c>
      <c r="B1271" t="s">
        <v>465</v>
      </c>
      <c r="C1271" t="s">
        <v>4828</v>
      </c>
      <c r="D1271" t="s">
        <v>19023</v>
      </c>
      <c r="E1271" t="s">
        <v>20265</v>
      </c>
      <c r="F1271" t="s">
        <v>32831</v>
      </c>
      <c r="G1271" t="s">
        <v>32840</v>
      </c>
      <c r="H1271" t="s">
        <v>32848</v>
      </c>
      <c r="I1271" t="s">
        <v>32860</v>
      </c>
      <c r="J1271" t="s">
        <v>33338</v>
      </c>
      <c r="K1271" t="s">
        <v>42748</v>
      </c>
      <c r="M1271" t="s">
        <v>43470</v>
      </c>
      <c r="N1271" t="s">
        <v>47424</v>
      </c>
      <c r="O1271" t="s">
        <v>47425</v>
      </c>
      <c r="P1271">
        <v>0</v>
      </c>
      <c r="Q1271">
        <v>3</v>
      </c>
      <c r="R1271" t="s">
        <v>47428</v>
      </c>
      <c r="S1271" t="s">
        <v>47541</v>
      </c>
      <c r="T1271" t="s">
        <v>49114</v>
      </c>
      <c r="U1271" t="s">
        <v>50505</v>
      </c>
      <c r="W1271" t="s">
        <v>43470</v>
      </c>
      <c r="X1271" t="s">
        <v>47430</v>
      </c>
    </row>
    <row r="1272" spans="1:24">
      <c r="A1272">
        <f>HYPERLINK("https://www.philgeps.gov.ph/GEPSNONPILOT/Tender/SplashBidNoticeAbstractUI.aspx?menuIndex=3&amp;refID=7161764&amp;Result=3","7161764")</f>
        <v>0</v>
      </c>
      <c r="B1272" t="s">
        <v>589</v>
      </c>
      <c r="C1272" t="s">
        <v>5132</v>
      </c>
      <c r="D1272" t="s">
        <v>19069</v>
      </c>
      <c r="E1272" t="s">
        <v>20266</v>
      </c>
      <c r="F1272" t="s">
        <v>32831</v>
      </c>
      <c r="G1272" t="s">
        <v>32839</v>
      </c>
      <c r="H1272" t="s">
        <v>32849</v>
      </c>
      <c r="I1272" t="s">
        <v>4177</v>
      </c>
      <c r="J1272" t="s">
        <v>33906</v>
      </c>
      <c r="K1272" t="s">
        <v>42800</v>
      </c>
      <c r="M1272" t="s">
        <v>43601</v>
      </c>
      <c r="N1272" t="s">
        <v>47424</v>
      </c>
      <c r="O1272" t="s">
        <v>47425</v>
      </c>
      <c r="P1272">
        <v>0</v>
      </c>
      <c r="Q1272">
        <v>3</v>
      </c>
      <c r="R1272" t="s">
        <v>47428</v>
      </c>
      <c r="S1272" t="s">
        <v>47541</v>
      </c>
      <c r="T1272" t="s">
        <v>49247</v>
      </c>
      <c r="U1272" t="s">
        <v>50782</v>
      </c>
      <c r="W1272" t="s">
        <v>43601</v>
      </c>
      <c r="X1272" t="s">
        <v>47431</v>
      </c>
    </row>
    <row r="1273" spans="1:24">
      <c r="A1273">
        <f>HYPERLINK("https://www.philgeps.gov.ph/GEPSNONPILOT/Tender/SplashBidNoticeAbstractUI.aspx?menuIndex=3&amp;refID=7161761&amp;Result=3","7161761")</f>
        <v>0</v>
      </c>
      <c r="B1273" t="s">
        <v>590</v>
      </c>
      <c r="C1273" t="s">
        <v>5133</v>
      </c>
      <c r="D1273" t="s">
        <v>19045</v>
      </c>
      <c r="E1273" t="s">
        <v>20267</v>
      </c>
      <c r="F1273" t="s">
        <v>32831</v>
      </c>
      <c r="G1273" t="s">
        <v>32839</v>
      </c>
      <c r="H1273" t="s">
        <v>32848</v>
      </c>
      <c r="I1273" t="s">
        <v>32854</v>
      </c>
      <c r="J1273" t="s">
        <v>32983</v>
      </c>
      <c r="K1273" t="s">
        <v>42745</v>
      </c>
      <c r="M1273" t="s">
        <v>43602</v>
      </c>
      <c r="N1273" t="s">
        <v>47424</v>
      </c>
      <c r="O1273" t="s">
        <v>47425</v>
      </c>
      <c r="P1273">
        <v>0</v>
      </c>
      <c r="Q1273">
        <v>1</v>
      </c>
      <c r="R1273" t="s">
        <v>47428</v>
      </c>
      <c r="S1273" t="s">
        <v>47541</v>
      </c>
      <c r="T1273" t="s">
        <v>49188</v>
      </c>
      <c r="U1273" t="s">
        <v>50783</v>
      </c>
      <c r="W1273" t="s">
        <v>43602</v>
      </c>
      <c r="X1273" t="s">
        <v>47431</v>
      </c>
    </row>
    <row r="1274" spans="1:24">
      <c r="A1274">
        <f>HYPERLINK("https://www.philgeps.gov.ph/GEPSNONPILOT/Tender/SplashBidNoticeAbstractUI.aspx?menuIndex=3&amp;refID=7161699&amp;Result=3","7161699")</f>
        <v>0</v>
      </c>
      <c r="B1274" t="s">
        <v>591</v>
      </c>
      <c r="C1274" t="s">
        <v>5134</v>
      </c>
      <c r="D1274" t="s">
        <v>19038</v>
      </c>
      <c r="E1274" t="s">
        <v>20268</v>
      </c>
      <c r="F1274" t="s">
        <v>32831</v>
      </c>
      <c r="G1274" t="s">
        <v>32840</v>
      </c>
      <c r="H1274" t="s">
        <v>32848</v>
      </c>
      <c r="I1274" t="s">
        <v>32858</v>
      </c>
      <c r="J1274" t="s">
        <v>33907</v>
      </c>
      <c r="K1274" t="s">
        <v>42759</v>
      </c>
      <c r="M1274" t="s">
        <v>43603</v>
      </c>
      <c r="N1274" t="s">
        <v>47424</v>
      </c>
      <c r="O1274" t="s">
        <v>47425</v>
      </c>
      <c r="P1274">
        <v>0</v>
      </c>
      <c r="Q1274">
        <v>0</v>
      </c>
      <c r="R1274" t="s">
        <v>47428</v>
      </c>
      <c r="S1274" t="s">
        <v>47541</v>
      </c>
      <c r="T1274" t="s">
        <v>49114</v>
      </c>
      <c r="U1274" t="s">
        <v>50784</v>
      </c>
      <c r="W1274" t="s">
        <v>43603</v>
      </c>
      <c r="X1274" t="s">
        <v>47431</v>
      </c>
    </row>
    <row r="1275" spans="1:24">
      <c r="A1275">
        <f>HYPERLINK("https://www.philgeps.gov.ph/GEPSNONPILOT/Tender/SplashBidNoticeAbstractUI.aspx?menuIndex=3&amp;refID=7161787&amp;Result=3","7161787")</f>
        <v>0</v>
      </c>
      <c r="B1275" t="s">
        <v>465</v>
      </c>
      <c r="C1275" t="s">
        <v>4828</v>
      </c>
      <c r="D1275" t="s">
        <v>19023</v>
      </c>
      <c r="E1275" t="s">
        <v>20269</v>
      </c>
      <c r="F1275" t="s">
        <v>32831</v>
      </c>
      <c r="G1275" t="s">
        <v>32840</v>
      </c>
      <c r="H1275" t="s">
        <v>32848</v>
      </c>
      <c r="I1275" t="s">
        <v>32860</v>
      </c>
      <c r="J1275" t="s">
        <v>32983</v>
      </c>
      <c r="K1275" t="s">
        <v>42748</v>
      </c>
      <c r="M1275" t="s">
        <v>43470</v>
      </c>
      <c r="N1275" t="s">
        <v>47424</v>
      </c>
      <c r="O1275" t="s">
        <v>47425</v>
      </c>
      <c r="P1275">
        <v>0</v>
      </c>
      <c r="Q1275">
        <v>3</v>
      </c>
      <c r="R1275" t="s">
        <v>47428</v>
      </c>
      <c r="S1275" t="s">
        <v>47541</v>
      </c>
      <c r="T1275" t="s">
        <v>49114</v>
      </c>
      <c r="U1275" t="s">
        <v>50505</v>
      </c>
      <c r="W1275" t="s">
        <v>43470</v>
      </c>
      <c r="X1275" t="s">
        <v>47430</v>
      </c>
    </row>
    <row r="1276" spans="1:24">
      <c r="A1276">
        <f>HYPERLINK("https://www.philgeps.gov.ph/GEPSNONPILOT/Tender/SplashBidNoticeAbstractUI.aspx?menuIndex=3&amp;refID=7161564&amp;Result=3","7161564")</f>
        <v>0</v>
      </c>
      <c r="B1276" t="s">
        <v>587</v>
      </c>
      <c r="C1276" t="s">
        <v>5135</v>
      </c>
      <c r="D1276" t="s">
        <v>19024</v>
      </c>
      <c r="E1276" t="s">
        <v>20270</v>
      </c>
      <c r="F1276" t="s">
        <v>32831</v>
      </c>
      <c r="G1276" t="s">
        <v>32843</v>
      </c>
      <c r="H1276" t="s">
        <v>14069</v>
      </c>
      <c r="I1276" t="s">
        <v>32899</v>
      </c>
      <c r="J1276" t="s">
        <v>33268</v>
      </c>
      <c r="K1276" t="s">
        <v>42726</v>
      </c>
      <c r="M1276" t="s">
        <v>43599</v>
      </c>
      <c r="N1276" t="s">
        <v>47424</v>
      </c>
      <c r="O1276" t="s">
        <v>47425</v>
      </c>
      <c r="P1276">
        <v>0</v>
      </c>
      <c r="Q1276">
        <v>0</v>
      </c>
      <c r="R1276" t="s">
        <v>47428</v>
      </c>
      <c r="S1276" t="s">
        <v>47541</v>
      </c>
      <c r="T1276" t="s">
        <v>49119</v>
      </c>
      <c r="U1276" t="s">
        <v>50505</v>
      </c>
      <c r="W1276" t="s">
        <v>43599</v>
      </c>
      <c r="X1276" t="s">
        <v>47431</v>
      </c>
    </row>
    <row r="1277" spans="1:24">
      <c r="A1277">
        <f>HYPERLINK("https://www.philgeps.gov.ph/GEPSNONPILOT/Tender/SplashBidNoticeAbstractUI.aspx?menuIndex=3&amp;refID=7161315&amp;Result=3","7161315")</f>
        <v>0</v>
      </c>
      <c r="B1277" t="s">
        <v>592</v>
      </c>
      <c r="C1277" t="s">
        <v>5136</v>
      </c>
      <c r="D1277" t="s">
        <v>19045</v>
      </c>
      <c r="E1277" t="s">
        <v>20271</v>
      </c>
      <c r="F1277" t="s">
        <v>32831</v>
      </c>
      <c r="G1277" t="s">
        <v>32838</v>
      </c>
      <c r="H1277" t="s">
        <v>32848</v>
      </c>
      <c r="I1277" t="s">
        <v>32864</v>
      </c>
      <c r="J1277" t="s">
        <v>33908</v>
      </c>
      <c r="K1277" t="s">
        <v>42731</v>
      </c>
      <c r="M1277" t="s">
        <v>43604</v>
      </c>
      <c r="N1277" t="s">
        <v>47424</v>
      </c>
      <c r="O1277" t="s">
        <v>47425</v>
      </c>
      <c r="P1277">
        <v>0</v>
      </c>
      <c r="Q1277">
        <v>0</v>
      </c>
      <c r="R1277" t="s">
        <v>47428</v>
      </c>
      <c r="S1277" t="s">
        <v>47541</v>
      </c>
      <c r="T1277" t="s">
        <v>49239</v>
      </c>
      <c r="U1277" t="s">
        <v>50785</v>
      </c>
      <c r="W1277" t="s">
        <v>43604</v>
      </c>
      <c r="X1277" t="s">
        <v>47431</v>
      </c>
    </row>
    <row r="1278" spans="1:24">
      <c r="A1278">
        <f>HYPERLINK("https://www.philgeps.gov.ph/GEPSNONPILOT/Tender/SplashBidNoticeAbstractUI.aspx?menuIndex=3&amp;refID=7161780&amp;Result=3","7161780")</f>
        <v>0</v>
      </c>
      <c r="B1278" t="s">
        <v>593</v>
      </c>
      <c r="C1278" t="s">
        <v>5137</v>
      </c>
      <c r="D1278" t="s">
        <v>19031</v>
      </c>
      <c r="E1278" t="s">
        <v>20272</v>
      </c>
      <c r="F1278" t="s">
        <v>32831</v>
      </c>
      <c r="G1278" t="s">
        <v>32838</v>
      </c>
      <c r="H1278" t="s">
        <v>32848</v>
      </c>
      <c r="I1278" t="s">
        <v>32863</v>
      </c>
      <c r="J1278" t="s">
        <v>32978</v>
      </c>
      <c r="K1278" t="s">
        <v>42774</v>
      </c>
      <c r="M1278" t="s">
        <v>43605</v>
      </c>
      <c r="N1278" t="s">
        <v>47424</v>
      </c>
      <c r="O1278" t="s">
        <v>47425</v>
      </c>
      <c r="P1278">
        <v>0</v>
      </c>
      <c r="Q1278">
        <v>1</v>
      </c>
      <c r="R1278" t="s">
        <v>47428</v>
      </c>
      <c r="S1278" t="s">
        <v>47541</v>
      </c>
      <c r="T1278" t="s">
        <v>49111</v>
      </c>
      <c r="U1278" t="s">
        <v>50786</v>
      </c>
      <c r="W1278" t="s">
        <v>43605</v>
      </c>
      <c r="X1278" t="s">
        <v>47431</v>
      </c>
    </row>
    <row r="1279" spans="1:24">
      <c r="A1279">
        <f>HYPERLINK("https://www.philgeps.gov.ph/GEPSNONPILOT/Tender/SplashBidNoticeAbstractUI.aspx?menuIndex=3&amp;refID=7161237&amp;Result=3","7161237")</f>
        <v>0</v>
      </c>
      <c r="B1279" t="s">
        <v>484</v>
      </c>
      <c r="C1279" t="s">
        <v>5138</v>
      </c>
      <c r="D1279" t="s">
        <v>19038</v>
      </c>
      <c r="E1279" t="s">
        <v>20273</v>
      </c>
      <c r="F1279" t="s">
        <v>32831</v>
      </c>
      <c r="G1279" t="s">
        <v>32838</v>
      </c>
      <c r="H1279" t="s">
        <v>32848</v>
      </c>
      <c r="I1279" t="s">
        <v>4303</v>
      </c>
      <c r="J1279" t="s">
        <v>33909</v>
      </c>
      <c r="K1279" t="s">
        <v>42730</v>
      </c>
      <c r="M1279" t="s">
        <v>43606</v>
      </c>
      <c r="N1279" t="s">
        <v>47424</v>
      </c>
      <c r="O1279" t="s">
        <v>47425</v>
      </c>
      <c r="P1279">
        <v>0</v>
      </c>
      <c r="Q1279">
        <v>0</v>
      </c>
      <c r="R1279" t="s">
        <v>47428</v>
      </c>
      <c r="S1279" t="s">
        <v>47541</v>
      </c>
      <c r="T1279" t="s">
        <v>49214</v>
      </c>
      <c r="U1279" t="s">
        <v>50787</v>
      </c>
      <c r="V1279" t="s">
        <v>62735</v>
      </c>
      <c r="W1279" t="s">
        <v>43606</v>
      </c>
      <c r="X1279" t="s">
        <v>47431</v>
      </c>
    </row>
    <row r="1280" spans="1:24">
      <c r="A1280">
        <f>HYPERLINK("https://www.philgeps.gov.ph/GEPSNONPILOT/Tender/SplashBidNoticeAbstractUI.aspx?menuIndex=3&amp;refID=7161746&amp;Result=3","7161746")</f>
        <v>0</v>
      </c>
      <c r="B1280" t="s">
        <v>594</v>
      </c>
      <c r="C1280" t="s">
        <v>5139</v>
      </c>
      <c r="D1280" t="s">
        <v>19022</v>
      </c>
      <c r="E1280" t="s">
        <v>19351</v>
      </c>
      <c r="F1280" t="s">
        <v>32831</v>
      </c>
      <c r="G1280" t="s">
        <v>32838</v>
      </c>
      <c r="H1280" t="s">
        <v>32848</v>
      </c>
      <c r="I1280" t="s">
        <v>9577</v>
      </c>
      <c r="J1280" t="s">
        <v>33910</v>
      </c>
      <c r="K1280" t="s">
        <v>42760</v>
      </c>
      <c r="M1280" t="s">
        <v>43607</v>
      </c>
      <c r="N1280" t="s">
        <v>47424</v>
      </c>
      <c r="O1280" t="s">
        <v>47425</v>
      </c>
      <c r="P1280">
        <v>0</v>
      </c>
      <c r="Q1280">
        <v>0</v>
      </c>
      <c r="R1280" t="s">
        <v>47428</v>
      </c>
      <c r="S1280" t="s">
        <v>47541</v>
      </c>
      <c r="T1280" t="s">
        <v>49214</v>
      </c>
      <c r="U1280" t="s">
        <v>50788</v>
      </c>
      <c r="W1280" t="s">
        <v>43607</v>
      </c>
      <c r="X1280" t="s">
        <v>47431</v>
      </c>
    </row>
    <row r="1281" spans="1:24">
      <c r="A1281">
        <f>HYPERLINK("https://www.philgeps.gov.ph/GEPSNONPILOT/Tender/SplashBidNoticeAbstractUI.aspx?menuIndex=3&amp;refID=7161226&amp;Result=3","7161226")</f>
        <v>0</v>
      </c>
      <c r="B1281" t="s">
        <v>484</v>
      </c>
      <c r="C1281" t="s">
        <v>5140</v>
      </c>
      <c r="D1281" t="s">
        <v>19038</v>
      </c>
      <c r="E1281" t="s">
        <v>20274</v>
      </c>
      <c r="F1281" t="s">
        <v>32831</v>
      </c>
      <c r="G1281" t="s">
        <v>32838</v>
      </c>
      <c r="H1281" t="s">
        <v>32848</v>
      </c>
      <c r="I1281" t="s">
        <v>32883</v>
      </c>
      <c r="J1281" t="s">
        <v>33911</v>
      </c>
      <c r="K1281" t="s">
        <v>42730</v>
      </c>
      <c r="M1281" t="s">
        <v>43606</v>
      </c>
      <c r="N1281" t="s">
        <v>47424</v>
      </c>
      <c r="O1281" t="s">
        <v>47425</v>
      </c>
      <c r="P1281">
        <v>0</v>
      </c>
      <c r="Q1281">
        <v>0</v>
      </c>
      <c r="R1281" t="s">
        <v>47428</v>
      </c>
      <c r="S1281" t="s">
        <v>47541</v>
      </c>
      <c r="T1281" t="s">
        <v>49214</v>
      </c>
      <c r="U1281" t="s">
        <v>50789</v>
      </c>
      <c r="V1281" t="s">
        <v>62735</v>
      </c>
      <c r="W1281" t="s">
        <v>43606</v>
      </c>
      <c r="X1281" t="s">
        <v>47431</v>
      </c>
    </row>
    <row r="1282" spans="1:24">
      <c r="A1282">
        <f>HYPERLINK("https://www.philgeps.gov.ph/GEPSNONPILOT/Tender/SplashBidNoticeAbstractUI.aspx?menuIndex=3&amp;refID=7158850&amp;Result=3","7158850")</f>
        <v>0</v>
      </c>
      <c r="B1282" t="s">
        <v>72</v>
      </c>
      <c r="C1282" t="s">
        <v>5141</v>
      </c>
      <c r="D1282" t="s">
        <v>19027</v>
      </c>
      <c r="E1282" t="s">
        <v>20275</v>
      </c>
      <c r="F1282" t="s">
        <v>32831</v>
      </c>
      <c r="G1282" t="s">
        <v>32838</v>
      </c>
      <c r="H1282" t="s">
        <v>32848</v>
      </c>
      <c r="I1282" t="s">
        <v>32864</v>
      </c>
      <c r="J1282" t="s">
        <v>33912</v>
      </c>
      <c r="K1282" t="s">
        <v>42745</v>
      </c>
      <c r="M1282" t="s">
        <v>43069</v>
      </c>
      <c r="N1282" t="s">
        <v>47424</v>
      </c>
      <c r="O1282" t="s">
        <v>47425</v>
      </c>
      <c r="P1282">
        <v>0</v>
      </c>
      <c r="Q1282">
        <v>3</v>
      </c>
      <c r="R1282" t="s">
        <v>47428</v>
      </c>
      <c r="S1282" t="s">
        <v>47541</v>
      </c>
      <c r="T1282" t="s">
        <v>49087</v>
      </c>
      <c r="U1282" t="s">
        <v>50732</v>
      </c>
      <c r="W1282" t="s">
        <v>64429</v>
      </c>
      <c r="X1282" t="s">
        <v>47431</v>
      </c>
    </row>
    <row r="1283" spans="1:24">
      <c r="A1283">
        <f>HYPERLINK("https://www.philgeps.gov.ph/GEPSNONPILOT/Tender/SplashBidNoticeAbstractUI.aspx?menuIndex=3&amp;refID=7161489&amp;Result=3","7161489")</f>
        <v>0</v>
      </c>
      <c r="B1283" t="s">
        <v>567</v>
      </c>
      <c r="C1283" t="s">
        <v>5142</v>
      </c>
      <c r="D1283" t="s">
        <v>19031</v>
      </c>
      <c r="E1283" t="s">
        <v>20276</v>
      </c>
      <c r="F1283" t="s">
        <v>32831</v>
      </c>
      <c r="G1283" t="s">
        <v>32838</v>
      </c>
      <c r="H1283" t="s">
        <v>32848</v>
      </c>
      <c r="I1283" t="s">
        <v>4776</v>
      </c>
      <c r="J1283" t="s">
        <v>33007</v>
      </c>
      <c r="K1283" t="s">
        <v>42727</v>
      </c>
      <c r="M1283" t="s">
        <v>43577</v>
      </c>
      <c r="N1283" t="s">
        <v>47424</v>
      </c>
      <c r="O1283" t="s">
        <v>47425</v>
      </c>
      <c r="P1283">
        <v>0</v>
      </c>
      <c r="Q1283">
        <v>2</v>
      </c>
      <c r="R1283" t="s">
        <v>47428</v>
      </c>
      <c r="S1283" t="s">
        <v>47541</v>
      </c>
      <c r="T1283" t="s">
        <v>49177</v>
      </c>
      <c r="U1283" t="s">
        <v>50719</v>
      </c>
      <c r="W1283" t="s">
        <v>43577</v>
      </c>
      <c r="X1283" t="s">
        <v>47431</v>
      </c>
    </row>
    <row r="1284" spans="1:24">
      <c r="A1284">
        <f>HYPERLINK("https://www.philgeps.gov.ph/GEPSNONPILOT/Tender/SplashBidNoticeAbstractUI.aspx?menuIndex=3&amp;refID=7159116&amp;Result=3","7159116")</f>
        <v>0</v>
      </c>
      <c r="B1284" t="s">
        <v>595</v>
      </c>
      <c r="C1284" t="s">
        <v>5143</v>
      </c>
      <c r="D1284" t="s">
        <v>19043</v>
      </c>
      <c r="E1284" t="s">
        <v>20277</v>
      </c>
      <c r="F1284" t="s">
        <v>32831</v>
      </c>
      <c r="G1284" t="s">
        <v>32839</v>
      </c>
      <c r="H1284" t="s">
        <v>32848</v>
      </c>
      <c r="I1284" t="s">
        <v>32857</v>
      </c>
      <c r="J1284" t="s">
        <v>33090</v>
      </c>
      <c r="K1284" t="s">
        <v>42731</v>
      </c>
      <c r="M1284" t="s">
        <v>43608</v>
      </c>
      <c r="N1284" t="s">
        <v>47424</v>
      </c>
      <c r="O1284" t="s">
        <v>47425</v>
      </c>
      <c r="P1284">
        <v>0</v>
      </c>
      <c r="Q1284">
        <v>5</v>
      </c>
      <c r="R1284" t="s">
        <v>47428</v>
      </c>
      <c r="S1284" t="s">
        <v>47541</v>
      </c>
      <c r="T1284" t="s">
        <v>49209</v>
      </c>
      <c r="U1284" t="s">
        <v>50790</v>
      </c>
      <c r="V1284" t="s">
        <v>62765</v>
      </c>
      <c r="W1284" t="s">
        <v>43608</v>
      </c>
      <c r="X1284" t="s">
        <v>47431</v>
      </c>
    </row>
    <row r="1285" spans="1:24">
      <c r="A1285">
        <f>HYPERLINK("https://www.philgeps.gov.ph/GEPSNONPILOT/Tender/SplashBidNoticeAbstractUI.aspx?menuIndex=3&amp;refID=7161300&amp;Result=3","7161300")</f>
        <v>0</v>
      </c>
      <c r="B1285" t="s">
        <v>592</v>
      </c>
      <c r="C1285" t="s">
        <v>5144</v>
      </c>
      <c r="D1285" t="s">
        <v>19045</v>
      </c>
      <c r="E1285" t="s">
        <v>20278</v>
      </c>
      <c r="F1285" t="s">
        <v>32831</v>
      </c>
      <c r="G1285" t="s">
        <v>32838</v>
      </c>
      <c r="H1285" t="s">
        <v>32848</v>
      </c>
      <c r="I1285" t="s">
        <v>4776</v>
      </c>
      <c r="J1285" t="s">
        <v>33292</v>
      </c>
      <c r="K1285" t="s">
        <v>42731</v>
      </c>
      <c r="M1285" t="s">
        <v>43604</v>
      </c>
      <c r="N1285" t="s">
        <v>47424</v>
      </c>
      <c r="O1285" t="s">
        <v>47425</v>
      </c>
      <c r="P1285">
        <v>0</v>
      </c>
      <c r="Q1285">
        <v>2</v>
      </c>
      <c r="R1285" t="s">
        <v>47428</v>
      </c>
      <c r="S1285" t="s">
        <v>47541</v>
      </c>
      <c r="T1285" t="s">
        <v>49239</v>
      </c>
      <c r="U1285" t="s">
        <v>50791</v>
      </c>
      <c r="W1285" t="s">
        <v>43604</v>
      </c>
      <c r="X1285" t="s">
        <v>47431</v>
      </c>
    </row>
    <row r="1286" spans="1:24">
      <c r="A1286">
        <f>HYPERLINK("https://www.philgeps.gov.ph/GEPSNONPILOT/Tender/SplashBidNoticeAbstractUI.aspx?menuIndex=3&amp;refID=7158282&amp;Result=3","7158282")</f>
        <v>0</v>
      </c>
      <c r="B1286" t="s">
        <v>563</v>
      </c>
      <c r="C1286" t="s">
        <v>5145</v>
      </c>
      <c r="D1286" t="s">
        <v>19060</v>
      </c>
      <c r="E1286" t="s">
        <v>20279</v>
      </c>
      <c r="F1286" t="s">
        <v>32831</v>
      </c>
      <c r="G1286" t="s">
        <v>32838</v>
      </c>
      <c r="H1286" t="s">
        <v>32848</v>
      </c>
      <c r="I1286" t="s">
        <v>4438</v>
      </c>
      <c r="J1286" t="s">
        <v>33913</v>
      </c>
      <c r="K1286" t="s">
        <v>42732</v>
      </c>
      <c r="M1286" t="s">
        <v>43572</v>
      </c>
      <c r="N1286" t="s">
        <v>47424</v>
      </c>
      <c r="O1286" t="s">
        <v>47425</v>
      </c>
      <c r="P1286">
        <v>0</v>
      </c>
      <c r="Q1286">
        <v>0</v>
      </c>
      <c r="R1286" t="s">
        <v>47428</v>
      </c>
      <c r="S1286" t="s">
        <v>47541</v>
      </c>
      <c r="T1286" t="s">
        <v>49212</v>
      </c>
      <c r="U1286" t="s">
        <v>50792</v>
      </c>
      <c r="W1286" t="s">
        <v>43572</v>
      </c>
      <c r="X1286" t="s">
        <v>47432</v>
      </c>
    </row>
    <row r="1287" spans="1:24">
      <c r="A1287">
        <f>HYPERLINK("https://www.philgeps.gov.ph/GEPSNONPILOT/Tender/SplashBidNoticeAbstractUI.aspx?menuIndex=3&amp;refID=7158276&amp;Result=3","7158276")</f>
        <v>0</v>
      </c>
      <c r="B1287" t="s">
        <v>563</v>
      </c>
      <c r="C1287" t="s">
        <v>5146</v>
      </c>
      <c r="D1287" t="s">
        <v>19060</v>
      </c>
      <c r="E1287" t="s">
        <v>20280</v>
      </c>
      <c r="F1287" t="s">
        <v>32831</v>
      </c>
      <c r="G1287" t="s">
        <v>32838</v>
      </c>
      <c r="H1287" t="s">
        <v>32848</v>
      </c>
      <c r="I1287" t="s">
        <v>32862</v>
      </c>
      <c r="J1287" t="s">
        <v>33914</v>
      </c>
      <c r="K1287" t="s">
        <v>42732</v>
      </c>
      <c r="M1287" t="s">
        <v>43572</v>
      </c>
      <c r="N1287" t="s">
        <v>47424</v>
      </c>
      <c r="O1287" t="s">
        <v>47425</v>
      </c>
      <c r="P1287">
        <v>0</v>
      </c>
      <c r="Q1287">
        <v>0</v>
      </c>
      <c r="R1287" t="s">
        <v>47428</v>
      </c>
      <c r="S1287" t="s">
        <v>47541</v>
      </c>
      <c r="T1287" t="s">
        <v>49212</v>
      </c>
      <c r="U1287" t="s">
        <v>50793</v>
      </c>
      <c r="W1287" t="s">
        <v>43572</v>
      </c>
      <c r="X1287" t="s">
        <v>47432</v>
      </c>
    </row>
    <row r="1288" spans="1:24">
      <c r="A1288">
        <f>HYPERLINK("https://www.philgeps.gov.ph/GEPSNONPILOT/Tender/SplashBidNoticeAbstractUI.aspx?menuIndex=3&amp;refID=7158269&amp;Result=3","7158269")</f>
        <v>0</v>
      </c>
      <c r="B1288" t="s">
        <v>563</v>
      </c>
      <c r="C1288" t="s">
        <v>5147</v>
      </c>
      <c r="D1288" t="s">
        <v>19060</v>
      </c>
      <c r="E1288" t="s">
        <v>20281</v>
      </c>
      <c r="F1288" t="s">
        <v>32831</v>
      </c>
      <c r="G1288" t="s">
        <v>32838</v>
      </c>
      <c r="H1288" t="s">
        <v>32848</v>
      </c>
      <c r="I1288" t="s">
        <v>32862</v>
      </c>
      <c r="J1288" t="s">
        <v>33915</v>
      </c>
      <c r="K1288" t="s">
        <v>42732</v>
      </c>
      <c r="M1288" t="s">
        <v>43572</v>
      </c>
      <c r="N1288" t="s">
        <v>47424</v>
      </c>
      <c r="O1288" t="s">
        <v>47425</v>
      </c>
      <c r="P1288">
        <v>0</v>
      </c>
      <c r="Q1288">
        <v>0</v>
      </c>
      <c r="R1288" t="s">
        <v>47428</v>
      </c>
      <c r="S1288" t="s">
        <v>47541</v>
      </c>
      <c r="T1288" t="s">
        <v>49212</v>
      </c>
      <c r="U1288" t="s">
        <v>50794</v>
      </c>
      <c r="W1288" t="s">
        <v>43572</v>
      </c>
      <c r="X1288" t="s">
        <v>47432</v>
      </c>
    </row>
    <row r="1289" spans="1:24">
      <c r="A1289">
        <f>HYPERLINK("https://www.philgeps.gov.ph/GEPSNONPILOT/Tender/SplashBidNoticeAbstractUI.aspx?menuIndex=3&amp;refID=7158287&amp;Result=3","7158287")</f>
        <v>0</v>
      </c>
      <c r="B1289" t="s">
        <v>563</v>
      </c>
      <c r="C1289" t="s">
        <v>5148</v>
      </c>
      <c r="D1289" t="s">
        <v>19060</v>
      </c>
      <c r="E1289" t="s">
        <v>20282</v>
      </c>
      <c r="F1289" t="s">
        <v>32831</v>
      </c>
      <c r="G1289" t="s">
        <v>32838</v>
      </c>
      <c r="H1289" t="s">
        <v>32848</v>
      </c>
      <c r="I1289" t="s">
        <v>4438</v>
      </c>
      <c r="J1289" t="s">
        <v>33916</v>
      </c>
      <c r="K1289" t="s">
        <v>42732</v>
      </c>
      <c r="M1289" t="s">
        <v>43572</v>
      </c>
      <c r="N1289" t="s">
        <v>47424</v>
      </c>
      <c r="O1289" t="s">
        <v>47425</v>
      </c>
      <c r="P1289">
        <v>0</v>
      </c>
      <c r="Q1289">
        <v>2</v>
      </c>
      <c r="R1289" t="s">
        <v>47428</v>
      </c>
      <c r="S1289" t="s">
        <v>47541</v>
      </c>
      <c r="T1289" t="s">
        <v>49212</v>
      </c>
      <c r="U1289" t="s">
        <v>50792</v>
      </c>
      <c r="W1289" t="s">
        <v>43572</v>
      </c>
      <c r="X1289" t="s">
        <v>47432</v>
      </c>
    </row>
    <row r="1290" spans="1:24">
      <c r="A1290">
        <f>HYPERLINK("https://www.philgeps.gov.ph/GEPSNONPILOT/Tender/SplashBidNoticeAbstractUI.aspx?menuIndex=3&amp;refID=7164625&amp;Result=3","7164625")</f>
        <v>0</v>
      </c>
      <c r="B1290" t="s">
        <v>572</v>
      </c>
      <c r="C1290" t="s">
        <v>5149</v>
      </c>
      <c r="E1290" t="s">
        <v>19494</v>
      </c>
      <c r="F1290" t="s">
        <v>32831</v>
      </c>
      <c r="G1290" t="s">
        <v>32840</v>
      </c>
      <c r="H1290" t="s">
        <v>32848</v>
      </c>
      <c r="I1290" t="s">
        <v>9577</v>
      </c>
      <c r="J1290" t="s">
        <v>33917</v>
      </c>
      <c r="K1290" t="s">
        <v>42758</v>
      </c>
      <c r="M1290" t="s">
        <v>43582</v>
      </c>
      <c r="N1290" t="s">
        <v>47424</v>
      </c>
      <c r="O1290" t="s">
        <v>47425</v>
      </c>
      <c r="P1290">
        <v>0</v>
      </c>
      <c r="Q1290">
        <v>1</v>
      </c>
      <c r="R1290" t="s">
        <v>47427</v>
      </c>
      <c r="S1290" t="s">
        <v>47540</v>
      </c>
      <c r="T1290" t="s">
        <v>49145</v>
      </c>
      <c r="U1290" t="s">
        <v>50727</v>
      </c>
      <c r="W1290" t="s">
        <v>43582</v>
      </c>
      <c r="X1290" t="s">
        <v>47428</v>
      </c>
    </row>
    <row r="1291" spans="1:24">
      <c r="A1291">
        <f>HYPERLINK("https://www.philgeps.gov.ph/GEPSNONPILOT/Tender/SplashBidNoticeAbstractUI.aspx?menuIndex=3&amp;refID=7164619&amp;Result=3","7164619")</f>
        <v>0</v>
      </c>
      <c r="B1291" t="s">
        <v>596</v>
      </c>
      <c r="C1291" t="s">
        <v>5150</v>
      </c>
      <c r="D1291" t="s">
        <v>19026</v>
      </c>
      <c r="E1291" t="s">
        <v>20283</v>
      </c>
      <c r="F1291" t="s">
        <v>32831</v>
      </c>
      <c r="G1291" t="s">
        <v>32839</v>
      </c>
      <c r="H1291" t="s">
        <v>32848</v>
      </c>
      <c r="I1291" t="s">
        <v>7416</v>
      </c>
      <c r="J1291" t="s">
        <v>33918</v>
      </c>
      <c r="K1291" t="s">
        <v>42732</v>
      </c>
      <c r="M1291" t="s">
        <v>43609</v>
      </c>
      <c r="N1291" t="s">
        <v>47424</v>
      </c>
      <c r="O1291" t="s">
        <v>47425</v>
      </c>
      <c r="P1291">
        <v>0</v>
      </c>
      <c r="Q1291">
        <v>1</v>
      </c>
      <c r="R1291" t="s">
        <v>47427</v>
      </c>
      <c r="S1291" t="s">
        <v>47540</v>
      </c>
      <c r="T1291" t="s">
        <v>49105</v>
      </c>
      <c r="U1291" t="s">
        <v>50563</v>
      </c>
      <c r="W1291" t="s">
        <v>43609</v>
      </c>
      <c r="X1291" t="s">
        <v>47428</v>
      </c>
    </row>
    <row r="1292" spans="1:24">
      <c r="A1292">
        <f>HYPERLINK("https://www.philgeps.gov.ph/GEPSNONPILOT/Tender/SplashBidNoticeAbstractUI.aspx?menuIndex=3&amp;refID=7164614&amp;Result=3","7164614")</f>
        <v>0</v>
      </c>
      <c r="B1292" t="s">
        <v>490</v>
      </c>
      <c r="C1292" t="s">
        <v>4067</v>
      </c>
      <c r="D1292" t="s">
        <v>19067</v>
      </c>
      <c r="E1292" t="s">
        <v>20284</v>
      </c>
      <c r="F1292" t="s">
        <v>32831</v>
      </c>
      <c r="G1292" t="s">
        <v>32838</v>
      </c>
      <c r="H1292" t="s">
        <v>32848</v>
      </c>
      <c r="I1292" t="s">
        <v>9577</v>
      </c>
      <c r="J1292" t="s">
        <v>33919</v>
      </c>
      <c r="K1292" t="s">
        <v>42727</v>
      </c>
      <c r="M1292" t="s">
        <v>43495</v>
      </c>
      <c r="N1292" t="s">
        <v>47424</v>
      </c>
      <c r="O1292" t="s">
        <v>47425</v>
      </c>
      <c r="P1292">
        <v>0</v>
      </c>
      <c r="Q1292">
        <v>1</v>
      </c>
      <c r="R1292" t="s">
        <v>47427</v>
      </c>
      <c r="S1292" t="s">
        <v>47540</v>
      </c>
      <c r="T1292" t="s">
        <v>49177</v>
      </c>
      <c r="U1292" t="s">
        <v>50795</v>
      </c>
      <c r="W1292" t="s">
        <v>43495</v>
      </c>
      <c r="X1292" t="s">
        <v>47428</v>
      </c>
    </row>
    <row r="1293" spans="1:24">
      <c r="A1293">
        <f>HYPERLINK("https://www.philgeps.gov.ph/GEPSNONPILOT/Tender/SplashBidNoticeAbstractUI.aspx?menuIndex=3&amp;refID=7158278&amp;Result=3","7158278")</f>
        <v>0</v>
      </c>
      <c r="B1293" t="s">
        <v>563</v>
      </c>
      <c r="C1293" t="s">
        <v>5151</v>
      </c>
      <c r="D1293" t="s">
        <v>19060</v>
      </c>
      <c r="E1293" t="s">
        <v>20285</v>
      </c>
      <c r="F1293" t="s">
        <v>32831</v>
      </c>
      <c r="G1293" t="s">
        <v>32838</v>
      </c>
      <c r="H1293" t="s">
        <v>32848</v>
      </c>
      <c r="I1293" t="s">
        <v>4438</v>
      </c>
      <c r="J1293" t="s">
        <v>33920</v>
      </c>
      <c r="K1293" t="s">
        <v>42732</v>
      </c>
      <c r="M1293" t="s">
        <v>43572</v>
      </c>
      <c r="N1293" t="s">
        <v>47424</v>
      </c>
      <c r="O1293" t="s">
        <v>47425</v>
      </c>
      <c r="P1293">
        <v>0</v>
      </c>
      <c r="Q1293">
        <v>0</v>
      </c>
      <c r="R1293" t="s">
        <v>47428</v>
      </c>
      <c r="S1293" t="s">
        <v>47541</v>
      </c>
      <c r="T1293" t="s">
        <v>49212</v>
      </c>
      <c r="U1293" t="s">
        <v>50792</v>
      </c>
      <c r="W1293" t="s">
        <v>43572</v>
      </c>
      <c r="X1293" t="s">
        <v>47432</v>
      </c>
    </row>
    <row r="1294" spans="1:24">
      <c r="A1294">
        <f>HYPERLINK("https://www.philgeps.gov.ph/GEPSNONPILOT/Tender/SplashBidNoticeAbstractUI.aspx?menuIndex=3&amp;refID=7164613&amp;Result=3","7164613")</f>
        <v>0</v>
      </c>
      <c r="B1294" t="s">
        <v>584</v>
      </c>
      <c r="C1294" t="s">
        <v>5152</v>
      </c>
      <c r="D1294" t="s">
        <v>19017</v>
      </c>
      <c r="E1294" t="s">
        <v>20286</v>
      </c>
      <c r="F1294" t="s">
        <v>32831</v>
      </c>
      <c r="G1294" t="s">
        <v>32838</v>
      </c>
      <c r="H1294" t="s">
        <v>32848</v>
      </c>
      <c r="I1294" t="s">
        <v>32874</v>
      </c>
      <c r="J1294" t="s">
        <v>33921</v>
      </c>
      <c r="K1294" t="s">
        <v>42730</v>
      </c>
      <c r="M1294" t="s">
        <v>43610</v>
      </c>
      <c r="N1294" t="s">
        <v>47424</v>
      </c>
      <c r="O1294" t="s">
        <v>47425</v>
      </c>
      <c r="P1294">
        <v>0</v>
      </c>
      <c r="Q1294">
        <v>6</v>
      </c>
      <c r="R1294" t="s">
        <v>47427</v>
      </c>
      <c r="S1294" t="s">
        <v>47540</v>
      </c>
      <c r="T1294" t="s">
        <v>49166</v>
      </c>
      <c r="U1294" t="s">
        <v>50796</v>
      </c>
      <c r="W1294" t="s">
        <v>43610</v>
      </c>
      <c r="X1294" t="s">
        <v>47428</v>
      </c>
    </row>
    <row r="1295" spans="1:24">
      <c r="A1295">
        <f>HYPERLINK("https://www.philgeps.gov.ph/GEPSNONPILOT/Tender/SplashBidNoticeAbstractUI.aspx?menuIndex=3&amp;refID=7164520&amp;Result=3","7164520")</f>
        <v>0</v>
      </c>
      <c r="B1295" t="s">
        <v>541</v>
      </c>
      <c r="C1295" t="s">
        <v>5012</v>
      </c>
      <c r="E1295" t="s">
        <v>20287</v>
      </c>
      <c r="F1295" t="s">
        <v>32831</v>
      </c>
      <c r="G1295" t="s">
        <v>32838</v>
      </c>
      <c r="H1295" t="s">
        <v>32848</v>
      </c>
      <c r="I1295" t="s">
        <v>10805</v>
      </c>
      <c r="J1295" t="s">
        <v>33922</v>
      </c>
      <c r="K1295" t="s">
        <v>42726</v>
      </c>
      <c r="M1295" t="s">
        <v>43547</v>
      </c>
      <c r="N1295" t="s">
        <v>47424</v>
      </c>
      <c r="O1295" t="s">
        <v>47425</v>
      </c>
      <c r="P1295">
        <v>0</v>
      </c>
      <c r="Q1295">
        <v>0</v>
      </c>
      <c r="R1295" t="s">
        <v>47427</v>
      </c>
      <c r="S1295" t="s">
        <v>47540</v>
      </c>
      <c r="T1295" t="s">
        <v>49114</v>
      </c>
      <c r="U1295" t="s">
        <v>50797</v>
      </c>
      <c r="W1295" t="s">
        <v>43547</v>
      </c>
      <c r="X1295" t="s">
        <v>47428</v>
      </c>
    </row>
    <row r="1296" spans="1:24">
      <c r="A1296">
        <f>HYPERLINK("https://www.philgeps.gov.ph/GEPSNONPILOT/Tender/SplashBidNoticeAbstractUI.aspx?menuIndex=3&amp;refID=7161700&amp;Result=3","7161700")</f>
        <v>0</v>
      </c>
      <c r="B1296" t="s">
        <v>597</v>
      </c>
      <c r="C1296" t="s">
        <v>5153</v>
      </c>
      <c r="D1296" t="s">
        <v>19017</v>
      </c>
      <c r="E1296" t="s">
        <v>20288</v>
      </c>
      <c r="F1296" t="s">
        <v>32831</v>
      </c>
      <c r="G1296" t="s">
        <v>32839</v>
      </c>
      <c r="H1296" t="s">
        <v>32848</v>
      </c>
      <c r="I1296" t="s">
        <v>32863</v>
      </c>
      <c r="J1296" t="s">
        <v>33923</v>
      </c>
      <c r="K1296" t="s">
        <v>42727</v>
      </c>
      <c r="M1296" t="s">
        <v>43611</v>
      </c>
      <c r="N1296" t="s">
        <v>47424</v>
      </c>
      <c r="O1296" t="s">
        <v>47425</v>
      </c>
      <c r="P1296">
        <v>0</v>
      </c>
      <c r="Q1296">
        <v>0</v>
      </c>
      <c r="R1296" t="s">
        <v>47428</v>
      </c>
      <c r="S1296" t="s">
        <v>47541</v>
      </c>
      <c r="T1296" t="s">
        <v>49248</v>
      </c>
      <c r="U1296" t="s">
        <v>50798</v>
      </c>
      <c r="W1296" t="s">
        <v>43611</v>
      </c>
      <c r="X1296" t="s">
        <v>47431</v>
      </c>
    </row>
    <row r="1297" spans="1:24">
      <c r="A1297">
        <f>HYPERLINK("https://www.philgeps.gov.ph/GEPSNONPILOT/Tender/SplashBidNoticeAbstractUI.aspx?menuIndex=3&amp;refID=7164615&amp;Result=3","7164615")</f>
        <v>0</v>
      </c>
      <c r="B1297" t="s">
        <v>545</v>
      </c>
      <c r="C1297" t="s">
        <v>5154</v>
      </c>
      <c r="D1297" t="s">
        <v>19075</v>
      </c>
      <c r="E1297" t="s">
        <v>20289</v>
      </c>
      <c r="F1297" t="s">
        <v>32831</v>
      </c>
      <c r="G1297" t="s">
        <v>32838</v>
      </c>
      <c r="H1297" t="s">
        <v>32848</v>
      </c>
      <c r="I1297" t="s">
        <v>32860</v>
      </c>
      <c r="J1297" t="s">
        <v>33819</v>
      </c>
      <c r="K1297" t="s">
        <v>42731</v>
      </c>
      <c r="M1297" t="s">
        <v>43569</v>
      </c>
      <c r="N1297" t="s">
        <v>47424</v>
      </c>
      <c r="O1297" t="s">
        <v>47425</v>
      </c>
      <c r="P1297">
        <v>0</v>
      </c>
      <c r="Q1297">
        <v>1</v>
      </c>
      <c r="R1297" t="s">
        <v>47427</v>
      </c>
      <c r="S1297" t="s">
        <v>47540</v>
      </c>
      <c r="T1297" t="s">
        <v>49056</v>
      </c>
      <c r="U1297" t="s">
        <v>50670</v>
      </c>
      <c r="W1297" t="s">
        <v>43569</v>
      </c>
      <c r="X1297" t="s">
        <v>47428</v>
      </c>
    </row>
    <row r="1298" spans="1:24">
      <c r="A1298">
        <f>HYPERLINK("https://www.philgeps.gov.ph/GEPSNONPILOT/Tender/SplashBidNoticeAbstractUI.aspx?menuIndex=3&amp;refID=7161813&amp;Result=3","7161813")</f>
        <v>0</v>
      </c>
      <c r="B1298" t="s">
        <v>598</v>
      </c>
      <c r="C1298" t="s">
        <v>5155</v>
      </c>
      <c r="E1298" t="s">
        <v>5155</v>
      </c>
      <c r="F1298" t="s">
        <v>32831</v>
      </c>
      <c r="G1298" t="s">
        <v>32838</v>
      </c>
      <c r="H1298" t="s">
        <v>32848</v>
      </c>
      <c r="I1298" t="s">
        <v>7819</v>
      </c>
      <c r="J1298" t="s">
        <v>33364</v>
      </c>
      <c r="K1298" t="s">
        <v>42732</v>
      </c>
      <c r="M1298" t="s">
        <v>43612</v>
      </c>
      <c r="N1298" t="s">
        <v>47424</v>
      </c>
      <c r="O1298" t="s">
        <v>47425</v>
      </c>
      <c r="P1298">
        <v>0</v>
      </c>
      <c r="Q1298">
        <v>6</v>
      </c>
      <c r="R1298" t="s">
        <v>47428</v>
      </c>
      <c r="S1298" t="s">
        <v>47541</v>
      </c>
      <c r="T1298" t="s">
        <v>49056</v>
      </c>
      <c r="U1298" t="s">
        <v>50799</v>
      </c>
      <c r="W1298" t="s">
        <v>43612</v>
      </c>
      <c r="X1298" t="s">
        <v>47430</v>
      </c>
    </row>
    <row r="1299" spans="1:24">
      <c r="A1299">
        <f>HYPERLINK("https://www.philgeps.gov.ph/GEPSNONPILOT/Tender/SplashBidNoticeAbstractUI.aspx?menuIndex=3&amp;refID=7158950&amp;Result=3","7158950")</f>
        <v>0</v>
      </c>
      <c r="B1299" t="s">
        <v>599</v>
      </c>
      <c r="C1299" t="s">
        <v>5156</v>
      </c>
      <c r="D1299" t="s">
        <v>19018</v>
      </c>
      <c r="E1299" t="s">
        <v>20290</v>
      </c>
      <c r="F1299" t="s">
        <v>32831</v>
      </c>
      <c r="G1299" t="s">
        <v>32838</v>
      </c>
      <c r="H1299" t="s">
        <v>32848</v>
      </c>
      <c r="I1299" t="s">
        <v>32874</v>
      </c>
      <c r="J1299" t="s">
        <v>33924</v>
      </c>
      <c r="K1299" t="s">
        <v>42732</v>
      </c>
      <c r="M1299" t="s">
        <v>43613</v>
      </c>
      <c r="N1299" t="s">
        <v>47424</v>
      </c>
      <c r="O1299" t="s">
        <v>47425</v>
      </c>
      <c r="P1299">
        <v>0</v>
      </c>
      <c r="Q1299">
        <v>5</v>
      </c>
      <c r="R1299" t="s">
        <v>47428</v>
      </c>
      <c r="S1299" t="s">
        <v>47541</v>
      </c>
      <c r="T1299" t="s">
        <v>49114</v>
      </c>
      <c r="U1299" t="s">
        <v>50800</v>
      </c>
      <c r="W1299" t="s">
        <v>43613</v>
      </c>
      <c r="X1299" t="s">
        <v>47431</v>
      </c>
    </row>
    <row r="1300" spans="1:24">
      <c r="A1300">
        <f>HYPERLINK("https://www.philgeps.gov.ph/GEPSNONPILOT/Tender/SplashBidNoticeAbstractUI.aspx?menuIndex=3&amp;refID=7158257&amp;Result=3","7158257")</f>
        <v>0</v>
      </c>
      <c r="B1300" t="s">
        <v>563</v>
      </c>
      <c r="C1300" t="s">
        <v>5157</v>
      </c>
      <c r="D1300" t="s">
        <v>19060</v>
      </c>
      <c r="E1300" t="s">
        <v>20291</v>
      </c>
      <c r="F1300" t="s">
        <v>32831</v>
      </c>
      <c r="G1300" t="s">
        <v>32838</v>
      </c>
      <c r="H1300" t="s">
        <v>32848</v>
      </c>
      <c r="I1300" t="s">
        <v>32860</v>
      </c>
      <c r="J1300" t="s">
        <v>33925</v>
      </c>
      <c r="K1300" t="s">
        <v>42732</v>
      </c>
      <c r="M1300" t="s">
        <v>43572</v>
      </c>
      <c r="N1300" t="s">
        <v>47424</v>
      </c>
      <c r="O1300" t="s">
        <v>47425</v>
      </c>
      <c r="P1300">
        <v>0</v>
      </c>
      <c r="Q1300">
        <v>0</v>
      </c>
      <c r="R1300" t="s">
        <v>47428</v>
      </c>
      <c r="S1300" t="s">
        <v>47541</v>
      </c>
      <c r="T1300" t="s">
        <v>49212</v>
      </c>
      <c r="U1300" t="s">
        <v>50801</v>
      </c>
      <c r="W1300" t="s">
        <v>43572</v>
      </c>
      <c r="X1300" t="s">
        <v>47432</v>
      </c>
    </row>
    <row r="1301" spans="1:24">
      <c r="A1301">
        <f>HYPERLINK("https://www.philgeps.gov.ph/GEPSNONPILOT/Tender/SplashBidNoticeAbstractUI.aspx?menuIndex=3&amp;refID=7161811&amp;Result=3","7161811")</f>
        <v>0</v>
      </c>
      <c r="B1301" t="s">
        <v>600</v>
      </c>
      <c r="C1301" t="s">
        <v>5158</v>
      </c>
      <c r="E1301" t="s">
        <v>20292</v>
      </c>
      <c r="F1301" t="s">
        <v>32831</v>
      </c>
      <c r="G1301" t="s">
        <v>32838</v>
      </c>
      <c r="H1301" t="s">
        <v>32848</v>
      </c>
      <c r="I1301" t="s">
        <v>32864</v>
      </c>
      <c r="J1301" t="s">
        <v>33926</v>
      </c>
      <c r="K1301" t="s">
        <v>42732</v>
      </c>
      <c r="M1301" t="s">
        <v>43614</v>
      </c>
      <c r="N1301" t="s">
        <v>47424</v>
      </c>
      <c r="O1301" t="s">
        <v>47425</v>
      </c>
      <c r="P1301">
        <v>0</v>
      </c>
      <c r="Q1301">
        <v>13</v>
      </c>
      <c r="R1301" t="s">
        <v>47428</v>
      </c>
      <c r="S1301" t="s">
        <v>47541</v>
      </c>
      <c r="T1301" t="s">
        <v>49056</v>
      </c>
      <c r="U1301" t="s">
        <v>50802</v>
      </c>
      <c r="W1301" t="s">
        <v>43614</v>
      </c>
      <c r="X1301" t="s">
        <v>47430</v>
      </c>
    </row>
    <row r="1302" spans="1:24">
      <c r="A1302">
        <f>HYPERLINK("https://www.philgeps.gov.ph/GEPSNONPILOT/Tender/SplashBidNoticeAbstractUI.aspx?menuIndex=3&amp;refID=7161809&amp;Result=3","7161809")</f>
        <v>0</v>
      </c>
      <c r="B1302" t="s">
        <v>600</v>
      </c>
      <c r="C1302" t="s">
        <v>5159</v>
      </c>
      <c r="E1302" t="s">
        <v>20293</v>
      </c>
      <c r="F1302" t="s">
        <v>32831</v>
      </c>
      <c r="G1302" t="s">
        <v>32838</v>
      </c>
      <c r="H1302" t="s">
        <v>32848</v>
      </c>
      <c r="I1302" t="s">
        <v>32864</v>
      </c>
      <c r="J1302" t="s">
        <v>33927</v>
      </c>
      <c r="K1302" t="s">
        <v>42732</v>
      </c>
      <c r="M1302" t="s">
        <v>43614</v>
      </c>
      <c r="N1302" t="s">
        <v>47424</v>
      </c>
      <c r="O1302" t="s">
        <v>47425</v>
      </c>
      <c r="P1302">
        <v>0</v>
      </c>
      <c r="Q1302">
        <v>13</v>
      </c>
      <c r="R1302" t="s">
        <v>47428</v>
      </c>
      <c r="S1302" t="s">
        <v>47541</v>
      </c>
      <c r="T1302" t="s">
        <v>49056</v>
      </c>
      <c r="U1302" t="s">
        <v>50803</v>
      </c>
      <c r="W1302" t="s">
        <v>43614</v>
      </c>
      <c r="X1302" t="s">
        <v>47430</v>
      </c>
    </row>
    <row r="1303" spans="1:24">
      <c r="A1303">
        <f>HYPERLINK("https://www.philgeps.gov.ph/GEPSNONPILOT/Tender/SplashBidNoticeAbstractUI.aspx?menuIndex=3&amp;refID=7161807&amp;Result=3","7161807")</f>
        <v>0</v>
      </c>
      <c r="B1303" t="s">
        <v>600</v>
      </c>
      <c r="C1303" t="s">
        <v>5160</v>
      </c>
      <c r="E1303" t="s">
        <v>20294</v>
      </c>
      <c r="F1303" t="s">
        <v>32831</v>
      </c>
      <c r="G1303" t="s">
        <v>32838</v>
      </c>
      <c r="H1303" t="s">
        <v>32848</v>
      </c>
      <c r="I1303" t="s">
        <v>32864</v>
      </c>
      <c r="J1303" t="s">
        <v>33928</v>
      </c>
      <c r="K1303" t="s">
        <v>42732</v>
      </c>
      <c r="M1303" t="s">
        <v>43614</v>
      </c>
      <c r="N1303" t="s">
        <v>47424</v>
      </c>
      <c r="O1303" t="s">
        <v>47425</v>
      </c>
      <c r="P1303">
        <v>0</v>
      </c>
      <c r="Q1303">
        <v>13</v>
      </c>
      <c r="R1303" t="s">
        <v>47428</v>
      </c>
      <c r="S1303" t="s">
        <v>47541</v>
      </c>
      <c r="T1303" t="s">
        <v>49056</v>
      </c>
      <c r="U1303" t="s">
        <v>50804</v>
      </c>
      <c r="W1303" t="s">
        <v>43614</v>
      </c>
      <c r="X1303" t="s">
        <v>47430</v>
      </c>
    </row>
    <row r="1304" spans="1:24">
      <c r="A1304">
        <f>HYPERLINK("https://www.philgeps.gov.ph/GEPSNONPILOT/Tender/SplashBidNoticeAbstractUI.aspx?menuIndex=3&amp;refID=7161815&amp;Result=3","7161815")</f>
        <v>0</v>
      </c>
      <c r="B1304" t="s">
        <v>598</v>
      </c>
      <c r="C1304" t="s">
        <v>5161</v>
      </c>
      <c r="E1304" t="s">
        <v>20295</v>
      </c>
      <c r="F1304" t="s">
        <v>32831</v>
      </c>
      <c r="G1304" t="s">
        <v>32838</v>
      </c>
      <c r="H1304" t="s">
        <v>32848</v>
      </c>
      <c r="I1304" t="s">
        <v>32864</v>
      </c>
      <c r="J1304" t="s">
        <v>33291</v>
      </c>
      <c r="K1304" t="s">
        <v>42732</v>
      </c>
      <c r="M1304" t="s">
        <v>43612</v>
      </c>
      <c r="N1304" t="s">
        <v>47424</v>
      </c>
      <c r="O1304" t="s">
        <v>47425</v>
      </c>
      <c r="P1304">
        <v>0</v>
      </c>
      <c r="Q1304">
        <v>14</v>
      </c>
      <c r="R1304" t="s">
        <v>47428</v>
      </c>
      <c r="S1304" t="s">
        <v>47541</v>
      </c>
      <c r="T1304" t="s">
        <v>49056</v>
      </c>
      <c r="U1304" t="s">
        <v>50805</v>
      </c>
      <c r="W1304" t="s">
        <v>43612</v>
      </c>
      <c r="X1304" t="s">
        <v>47430</v>
      </c>
    </row>
    <row r="1305" spans="1:24">
      <c r="A1305">
        <f>HYPERLINK("https://www.philgeps.gov.ph/GEPSNONPILOT/Tender/SplashBidNoticeAbstractUI.aspx?menuIndex=3&amp;refID=7164522&amp;Result=3","7164522")</f>
        <v>0</v>
      </c>
      <c r="B1305" t="s">
        <v>541</v>
      </c>
      <c r="C1305" t="s">
        <v>5012</v>
      </c>
      <c r="D1305" t="s">
        <v>19022</v>
      </c>
      <c r="E1305" t="s">
        <v>20296</v>
      </c>
      <c r="F1305" t="s">
        <v>32831</v>
      </c>
      <c r="G1305" t="s">
        <v>32838</v>
      </c>
      <c r="H1305" t="s">
        <v>32848</v>
      </c>
      <c r="I1305" t="s">
        <v>10805</v>
      </c>
      <c r="J1305" t="s">
        <v>33133</v>
      </c>
      <c r="K1305" t="s">
        <v>42726</v>
      </c>
      <c r="M1305" t="s">
        <v>43547</v>
      </c>
      <c r="N1305" t="s">
        <v>47424</v>
      </c>
      <c r="O1305" t="s">
        <v>47425</v>
      </c>
      <c r="P1305">
        <v>0</v>
      </c>
      <c r="Q1305">
        <v>0</v>
      </c>
      <c r="R1305" t="s">
        <v>47427</v>
      </c>
      <c r="S1305" t="s">
        <v>47540</v>
      </c>
      <c r="T1305" t="s">
        <v>49114</v>
      </c>
      <c r="U1305" t="s">
        <v>50677</v>
      </c>
      <c r="W1305" t="s">
        <v>43547</v>
      </c>
      <c r="X1305" t="s">
        <v>47428</v>
      </c>
    </row>
    <row r="1306" spans="1:24">
      <c r="A1306">
        <f>HYPERLINK("https://www.philgeps.gov.ph/GEPSNONPILOT/Tender/SplashBidNoticeAbstractUI.aspx?menuIndex=3&amp;refID=7161810&amp;Result=3","7161810")</f>
        <v>0</v>
      </c>
      <c r="B1306" t="s">
        <v>601</v>
      </c>
      <c r="C1306" t="s">
        <v>5162</v>
      </c>
      <c r="D1306" t="s">
        <v>19021</v>
      </c>
      <c r="E1306" t="s">
        <v>19189</v>
      </c>
      <c r="F1306" t="s">
        <v>32831</v>
      </c>
      <c r="G1306" t="s">
        <v>32839</v>
      </c>
      <c r="H1306" t="s">
        <v>32848</v>
      </c>
      <c r="I1306" t="s">
        <v>32852</v>
      </c>
      <c r="J1306" t="s">
        <v>33067</v>
      </c>
      <c r="K1306" t="s">
        <v>42726</v>
      </c>
      <c r="M1306" t="s">
        <v>43615</v>
      </c>
      <c r="N1306" t="s">
        <v>47424</v>
      </c>
      <c r="O1306" t="s">
        <v>47425</v>
      </c>
      <c r="P1306">
        <v>0</v>
      </c>
      <c r="Q1306">
        <v>0</v>
      </c>
      <c r="R1306" t="s">
        <v>47428</v>
      </c>
      <c r="S1306" t="s">
        <v>47541</v>
      </c>
      <c r="T1306" t="s">
        <v>49109</v>
      </c>
      <c r="U1306" t="s">
        <v>50806</v>
      </c>
      <c r="W1306" t="s">
        <v>43615</v>
      </c>
      <c r="X1306" t="s">
        <v>47430</v>
      </c>
    </row>
    <row r="1307" spans="1:24">
      <c r="A1307">
        <f>HYPERLINK("https://www.philgeps.gov.ph/GEPSNONPILOT/Tender/SplashBidNoticeAbstractUI.aspx?menuIndex=3&amp;refID=7161803&amp;Result=3","7161803")</f>
        <v>0</v>
      </c>
      <c r="B1307" t="s">
        <v>602</v>
      </c>
      <c r="C1307" t="s">
        <v>5163</v>
      </c>
      <c r="D1307" t="s">
        <v>19021</v>
      </c>
      <c r="E1307" t="s">
        <v>19281</v>
      </c>
      <c r="F1307" t="s">
        <v>32831</v>
      </c>
      <c r="G1307" t="s">
        <v>32839</v>
      </c>
      <c r="H1307" t="s">
        <v>32848</v>
      </c>
      <c r="I1307" t="s">
        <v>7416</v>
      </c>
      <c r="J1307" t="s">
        <v>33424</v>
      </c>
      <c r="K1307" t="s">
        <v>42726</v>
      </c>
      <c r="M1307" t="s">
        <v>43616</v>
      </c>
      <c r="N1307" t="s">
        <v>47424</v>
      </c>
      <c r="O1307" t="s">
        <v>47425</v>
      </c>
      <c r="P1307">
        <v>0</v>
      </c>
      <c r="Q1307">
        <v>0</v>
      </c>
      <c r="R1307" t="s">
        <v>47428</v>
      </c>
      <c r="S1307" t="s">
        <v>47541</v>
      </c>
      <c r="T1307" t="s">
        <v>49109</v>
      </c>
      <c r="U1307" t="s">
        <v>50807</v>
      </c>
      <c r="W1307" t="s">
        <v>43616</v>
      </c>
      <c r="X1307" t="s">
        <v>47430</v>
      </c>
    </row>
    <row r="1308" spans="1:24">
      <c r="A1308">
        <f>HYPERLINK("https://www.philgeps.gov.ph/GEPSNONPILOT/Tender/SplashBidNoticeAbstractUI.aspx?menuIndex=3&amp;refID=7161808&amp;Result=3","7161808")</f>
        <v>0</v>
      </c>
      <c r="B1308" t="s">
        <v>601</v>
      </c>
      <c r="C1308" t="s">
        <v>5164</v>
      </c>
      <c r="D1308" t="s">
        <v>19021</v>
      </c>
      <c r="E1308" t="s">
        <v>20297</v>
      </c>
      <c r="F1308" t="s">
        <v>32831</v>
      </c>
      <c r="G1308" t="s">
        <v>32839</v>
      </c>
      <c r="H1308" t="s">
        <v>32848</v>
      </c>
      <c r="I1308" t="s">
        <v>7416</v>
      </c>
      <c r="J1308" t="s">
        <v>33929</v>
      </c>
      <c r="K1308" t="s">
        <v>42726</v>
      </c>
      <c r="M1308" t="s">
        <v>43615</v>
      </c>
      <c r="N1308" t="s">
        <v>47424</v>
      </c>
      <c r="O1308" t="s">
        <v>47425</v>
      </c>
      <c r="P1308">
        <v>0</v>
      </c>
      <c r="Q1308">
        <v>1</v>
      </c>
      <c r="R1308" t="s">
        <v>47428</v>
      </c>
      <c r="S1308" t="s">
        <v>47541</v>
      </c>
      <c r="T1308" t="s">
        <v>49091</v>
      </c>
      <c r="U1308" t="s">
        <v>50808</v>
      </c>
      <c r="W1308" t="s">
        <v>43615</v>
      </c>
      <c r="X1308" t="s">
        <v>47430</v>
      </c>
    </row>
    <row r="1309" spans="1:24">
      <c r="A1309">
        <f>HYPERLINK("https://www.philgeps.gov.ph/GEPSNONPILOT/Tender/SplashBidNoticeAbstractUI.aspx?menuIndex=3&amp;refID=7161802&amp;Result=3","7161802")</f>
        <v>0</v>
      </c>
      <c r="B1309" t="s">
        <v>602</v>
      </c>
      <c r="C1309" t="s">
        <v>5165</v>
      </c>
      <c r="D1309" t="s">
        <v>19021</v>
      </c>
      <c r="E1309" t="s">
        <v>20298</v>
      </c>
      <c r="F1309" t="s">
        <v>32831</v>
      </c>
      <c r="G1309" t="s">
        <v>32839</v>
      </c>
      <c r="H1309" t="s">
        <v>32848</v>
      </c>
      <c r="I1309" t="s">
        <v>7416</v>
      </c>
      <c r="J1309" t="s">
        <v>33930</v>
      </c>
      <c r="K1309" t="s">
        <v>42726</v>
      </c>
      <c r="M1309" t="s">
        <v>43616</v>
      </c>
      <c r="N1309" t="s">
        <v>47424</v>
      </c>
      <c r="O1309" t="s">
        <v>47425</v>
      </c>
      <c r="P1309">
        <v>0</v>
      </c>
      <c r="Q1309">
        <v>0</v>
      </c>
      <c r="R1309" t="s">
        <v>47428</v>
      </c>
      <c r="S1309" t="s">
        <v>47541</v>
      </c>
      <c r="T1309" t="s">
        <v>49109</v>
      </c>
      <c r="U1309" t="s">
        <v>50809</v>
      </c>
      <c r="W1309" t="s">
        <v>43616</v>
      </c>
      <c r="X1309" t="s">
        <v>47430</v>
      </c>
    </row>
    <row r="1310" spans="1:24">
      <c r="A1310">
        <f>HYPERLINK("https://www.philgeps.gov.ph/GEPSNONPILOT/Tender/SplashBidNoticeAbstractUI.aspx?menuIndex=3&amp;refID=7161801&amp;Result=3","7161801")</f>
        <v>0</v>
      </c>
      <c r="B1310" t="s">
        <v>600</v>
      </c>
      <c r="C1310" t="s">
        <v>5166</v>
      </c>
      <c r="E1310" t="s">
        <v>20299</v>
      </c>
      <c r="F1310" t="s">
        <v>32831</v>
      </c>
      <c r="G1310" t="s">
        <v>32838</v>
      </c>
      <c r="H1310" t="s">
        <v>32848</v>
      </c>
      <c r="I1310" t="s">
        <v>32864</v>
      </c>
      <c r="J1310" t="s">
        <v>33931</v>
      </c>
      <c r="K1310" t="s">
        <v>42732</v>
      </c>
      <c r="M1310" t="s">
        <v>43614</v>
      </c>
      <c r="N1310" t="s">
        <v>47424</v>
      </c>
      <c r="O1310" t="s">
        <v>47425</v>
      </c>
      <c r="P1310">
        <v>0</v>
      </c>
      <c r="Q1310">
        <v>13</v>
      </c>
      <c r="R1310" t="s">
        <v>47428</v>
      </c>
      <c r="S1310" t="s">
        <v>47541</v>
      </c>
      <c r="T1310" t="s">
        <v>49056</v>
      </c>
      <c r="U1310" t="s">
        <v>50810</v>
      </c>
      <c r="W1310" t="s">
        <v>43614</v>
      </c>
      <c r="X1310" t="s">
        <v>47430</v>
      </c>
    </row>
    <row r="1311" spans="1:24">
      <c r="A1311">
        <f>HYPERLINK("https://www.philgeps.gov.ph/GEPSNONPILOT/Tender/SplashBidNoticeAbstractUI.aspx?menuIndex=3&amp;refID=7161800&amp;Result=3","7161800")</f>
        <v>0</v>
      </c>
      <c r="B1311" t="s">
        <v>603</v>
      </c>
      <c r="C1311" t="s">
        <v>5167</v>
      </c>
      <c r="E1311" t="s">
        <v>19311</v>
      </c>
      <c r="F1311" t="s">
        <v>32831</v>
      </c>
      <c r="G1311" t="s">
        <v>32838</v>
      </c>
      <c r="H1311" t="s">
        <v>32848</v>
      </c>
      <c r="I1311" t="s">
        <v>32864</v>
      </c>
      <c r="J1311" t="s">
        <v>33932</v>
      </c>
      <c r="K1311" t="s">
        <v>42732</v>
      </c>
      <c r="M1311" t="s">
        <v>43617</v>
      </c>
      <c r="N1311" t="s">
        <v>47424</v>
      </c>
      <c r="O1311" t="s">
        <v>47425</v>
      </c>
      <c r="P1311">
        <v>0</v>
      </c>
      <c r="Q1311">
        <v>8</v>
      </c>
      <c r="R1311" t="s">
        <v>47428</v>
      </c>
      <c r="S1311" t="s">
        <v>47541</v>
      </c>
      <c r="T1311" t="s">
        <v>49145</v>
      </c>
      <c r="U1311" t="s">
        <v>50811</v>
      </c>
      <c r="W1311" t="s">
        <v>43617</v>
      </c>
      <c r="X1311" t="s">
        <v>47430</v>
      </c>
    </row>
    <row r="1312" spans="1:24">
      <c r="A1312">
        <f>HYPERLINK("https://www.philgeps.gov.ph/GEPSNONPILOT/Tender/SplashBidNoticeAbstractUI.aspx?menuIndex=3&amp;refID=7161806&amp;Result=3","7161806")</f>
        <v>0</v>
      </c>
      <c r="B1312" t="s">
        <v>600</v>
      </c>
      <c r="C1312" t="s">
        <v>5168</v>
      </c>
      <c r="E1312" t="s">
        <v>20300</v>
      </c>
      <c r="F1312" t="s">
        <v>32831</v>
      </c>
      <c r="G1312" t="s">
        <v>32838</v>
      </c>
      <c r="H1312" t="s">
        <v>32848</v>
      </c>
      <c r="I1312" t="s">
        <v>32864</v>
      </c>
      <c r="J1312" t="s">
        <v>33933</v>
      </c>
      <c r="K1312" t="s">
        <v>42732</v>
      </c>
      <c r="M1312" t="s">
        <v>43614</v>
      </c>
      <c r="N1312" t="s">
        <v>47424</v>
      </c>
      <c r="O1312" t="s">
        <v>47425</v>
      </c>
      <c r="P1312">
        <v>0</v>
      </c>
      <c r="Q1312">
        <v>12</v>
      </c>
      <c r="R1312" t="s">
        <v>47428</v>
      </c>
      <c r="S1312" t="s">
        <v>47541</v>
      </c>
      <c r="T1312" t="s">
        <v>49056</v>
      </c>
      <c r="U1312" t="s">
        <v>50812</v>
      </c>
      <c r="W1312" t="s">
        <v>43614</v>
      </c>
      <c r="X1312" t="s">
        <v>47430</v>
      </c>
    </row>
    <row r="1313" spans="1:24">
      <c r="A1313">
        <f>HYPERLINK("https://www.philgeps.gov.ph/GEPSNONPILOT/Tender/SplashBidNoticeAbstractUI.aspx?menuIndex=3&amp;refID=7159088&amp;Result=3","7159088")</f>
        <v>0</v>
      </c>
      <c r="B1313" t="s">
        <v>67</v>
      </c>
      <c r="C1313" t="s">
        <v>5169</v>
      </c>
      <c r="D1313" t="s">
        <v>19079</v>
      </c>
      <c r="E1313" t="s">
        <v>20301</v>
      </c>
      <c r="F1313" t="s">
        <v>32831</v>
      </c>
      <c r="G1313" t="s">
        <v>32838</v>
      </c>
      <c r="H1313" t="s">
        <v>32849</v>
      </c>
      <c r="I1313" t="s">
        <v>14069</v>
      </c>
      <c r="J1313" t="s">
        <v>33934</v>
      </c>
      <c r="K1313" t="s">
        <v>42727</v>
      </c>
      <c r="M1313" t="s">
        <v>43586</v>
      </c>
      <c r="N1313" t="s">
        <v>47424</v>
      </c>
      <c r="O1313" t="s">
        <v>47425</v>
      </c>
      <c r="P1313">
        <v>0</v>
      </c>
      <c r="Q1313">
        <v>1</v>
      </c>
      <c r="R1313" t="s">
        <v>47428</v>
      </c>
      <c r="S1313" t="s">
        <v>47541</v>
      </c>
      <c r="T1313" t="s">
        <v>49242</v>
      </c>
      <c r="U1313" t="s">
        <v>50813</v>
      </c>
      <c r="V1313" t="s">
        <v>62758</v>
      </c>
      <c r="W1313" t="s">
        <v>43586</v>
      </c>
      <c r="X1313" t="s">
        <v>47431</v>
      </c>
    </row>
    <row r="1314" spans="1:24">
      <c r="A1314">
        <f>HYPERLINK("https://www.philgeps.gov.ph/GEPSNONPILOT/Tender/SplashBidNoticeAbstractUI.aspx?menuIndex=3&amp;refID=7161795&amp;Result=3","7161795")</f>
        <v>0</v>
      </c>
      <c r="B1314" t="s">
        <v>604</v>
      </c>
      <c r="C1314" t="s">
        <v>5170</v>
      </c>
      <c r="D1314" t="s">
        <v>19021</v>
      </c>
      <c r="E1314" t="s">
        <v>19281</v>
      </c>
      <c r="F1314" t="s">
        <v>32831</v>
      </c>
      <c r="G1314" t="s">
        <v>32839</v>
      </c>
      <c r="H1314" t="s">
        <v>32848</v>
      </c>
      <c r="I1314" t="s">
        <v>7416</v>
      </c>
      <c r="J1314" t="s">
        <v>33930</v>
      </c>
      <c r="K1314" t="s">
        <v>42726</v>
      </c>
      <c r="M1314" t="s">
        <v>43618</v>
      </c>
      <c r="N1314" t="s">
        <v>47424</v>
      </c>
      <c r="O1314" t="s">
        <v>47425</v>
      </c>
      <c r="P1314">
        <v>0</v>
      </c>
      <c r="Q1314">
        <v>0</v>
      </c>
      <c r="R1314" t="s">
        <v>47428</v>
      </c>
      <c r="S1314" t="s">
        <v>47541</v>
      </c>
      <c r="T1314" t="s">
        <v>49109</v>
      </c>
      <c r="U1314" t="s">
        <v>50814</v>
      </c>
      <c r="W1314" t="s">
        <v>43618</v>
      </c>
      <c r="X1314" t="s">
        <v>47430</v>
      </c>
    </row>
    <row r="1315" spans="1:24">
      <c r="A1315">
        <f>HYPERLINK("https://www.philgeps.gov.ph/GEPSNONPILOT/Tender/SplashBidNoticeAbstractUI.aspx?menuIndex=3&amp;refID=7161793&amp;Result=3","7161793")</f>
        <v>0</v>
      </c>
      <c r="B1315" t="s">
        <v>338</v>
      </c>
      <c r="C1315" t="s">
        <v>5171</v>
      </c>
      <c r="D1315" t="s">
        <v>19019</v>
      </c>
      <c r="E1315" t="s">
        <v>20302</v>
      </c>
      <c r="F1315" t="s">
        <v>32831</v>
      </c>
      <c r="G1315" t="s">
        <v>32842</v>
      </c>
      <c r="H1315" t="s">
        <v>32848</v>
      </c>
      <c r="I1315" t="s">
        <v>32860</v>
      </c>
      <c r="J1315" t="s">
        <v>33509</v>
      </c>
      <c r="K1315" t="s">
        <v>42758</v>
      </c>
      <c r="M1315" t="s">
        <v>43551</v>
      </c>
      <c r="N1315" t="s">
        <v>47424</v>
      </c>
      <c r="O1315" t="s">
        <v>47425</v>
      </c>
      <c r="P1315">
        <v>0</v>
      </c>
      <c r="Q1315">
        <v>2</v>
      </c>
      <c r="R1315" t="s">
        <v>47428</v>
      </c>
      <c r="S1315" t="s">
        <v>47541</v>
      </c>
      <c r="T1315" t="s">
        <v>49145</v>
      </c>
      <c r="U1315" t="s">
        <v>50815</v>
      </c>
      <c r="W1315" t="s">
        <v>43551</v>
      </c>
      <c r="X1315" t="s">
        <v>47430</v>
      </c>
    </row>
    <row r="1316" spans="1:24">
      <c r="A1316">
        <f>HYPERLINK("https://www.philgeps.gov.ph/GEPSNONPILOT/Tender/SplashBidNoticeAbstractUI.aspx?menuIndex=3&amp;refID=7161790&amp;Result=3","7161790")</f>
        <v>0</v>
      </c>
      <c r="B1316" t="s">
        <v>338</v>
      </c>
      <c r="C1316" t="s">
        <v>5172</v>
      </c>
      <c r="D1316" t="s">
        <v>19019</v>
      </c>
      <c r="E1316" t="s">
        <v>20303</v>
      </c>
      <c r="F1316" t="s">
        <v>32831</v>
      </c>
      <c r="G1316" t="s">
        <v>32840</v>
      </c>
      <c r="H1316" t="s">
        <v>32848</v>
      </c>
      <c r="I1316" t="s">
        <v>32887</v>
      </c>
      <c r="J1316" t="s">
        <v>33935</v>
      </c>
      <c r="K1316" t="s">
        <v>42758</v>
      </c>
      <c r="M1316" t="s">
        <v>43551</v>
      </c>
      <c r="N1316" t="s">
        <v>47424</v>
      </c>
      <c r="O1316" t="s">
        <v>47425</v>
      </c>
      <c r="P1316">
        <v>0</v>
      </c>
      <c r="Q1316">
        <v>1</v>
      </c>
      <c r="R1316" t="s">
        <v>47428</v>
      </c>
      <c r="S1316" t="s">
        <v>47541</v>
      </c>
      <c r="T1316" t="s">
        <v>49145</v>
      </c>
      <c r="U1316" t="s">
        <v>50816</v>
      </c>
      <c r="W1316" t="s">
        <v>43551</v>
      </c>
      <c r="X1316" t="s">
        <v>47430</v>
      </c>
    </row>
    <row r="1317" spans="1:24">
      <c r="A1317">
        <f>HYPERLINK("https://www.philgeps.gov.ph/GEPSNONPILOT/Tender/SplashBidNoticeAbstractUI.aspx?menuIndex=3&amp;refID=7161816&amp;Result=3","7161816")</f>
        <v>0</v>
      </c>
      <c r="B1317" t="s">
        <v>605</v>
      </c>
      <c r="C1317" t="s">
        <v>5173</v>
      </c>
      <c r="D1317" t="s">
        <v>19027</v>
      </c>
      <c r="E1317" t="s">
        <v>19203</v>
      </c>
      <c r="F1317" t="s">
        <v>32831</v>
      </c>
      <c r="G1317" t="s">
        <v>32842</v>
      </c>
      <c r="H1317" t="s">
        <v>32848</v>
      </c>
      <c r="I1317" t="s">
        <v>32860</v>
      </c>
      <c r="J1317" t="s">
        <v>33936</v>
      </c>
      <c r="K1317" t="s">
        <v>42759</v>
      </c>
      <c r="M1317" t="s">
        <v>43619</v>
      </c>
      <c r="N1317" t="s">
        <v>47424</v>
      </c>
      <c r="O1317" t="s">
        <v>47425</v>
      </c>
      <c r="P1317">
        <v>0</v>
      </c>
      <c r="Q1317">
        <v>1</v>
      </c>
      <c r="R1317" t="s">
        <v>47428</v>
      </c>
      <c r="S1317" t="s">
        <v>47541</v>
      </c>
      <c r="T1317" t="s">
        <v>49129</v>
      </c>
      <c r="U1317" t="s">
        <v>50817</v>
      </c>
      <c r="W1317" t="s">
        <v>43619</v>
      </c>
      <c r="X1317" t="s">
        <v>47430</v>
      </c>
    </row>
    <row r="1318" spans="1:24">
      <c r="A1318">
        <f>HYPERLINK("https://www.philgeps.gov.ph/GEPSNONPILOT/Tender/SplashBidNoticeAbstractUI.aspx?menuIndex=3&amp;refID=7161841&amp;Result=3","7161841")</f>
        <v>0</v>
      </c>
      <c r="B1318" t="s">
        <v>606</v>
      </c>
      <c r="C1318" t="s">
        <v>5174</v>
      </c>
      <c r="D1318" t="s">
        <v>19023</v>
      </c>
      <c r="E1318" t="s">
        <v>20304</v>
      </c>
      <c r="F1318" t="s">
        <v>32831</v>
      </c>
      <c r="G1318" t="s">
        <v>32838</v>
      </c>
      <c r="H1318" t="s">
        <v>32850</v>
      </c>
      <c r="I1318" t="s">
        <v>32880</v>
      </c>
      <c r="J1318" t="s">
        <v>33388</v>
      </c>
      <c r="K1318" t="s">
        <v>42758</v>
      </c>
      <c r="M1318" t="s">
        <v>43620</v>
      </c>
      <c r="N1318" t="s">
        <v>47424</v>
      </c>
      <c r="O1318" t="s">
        <v>47425</v>
      </c>
      <c r="P1318">
        <v>0</v>
      </c>
      <c r="Q1318">
        <v>0</v>
      </c>
      <c r="R1318" t="s">
        <v>47428</v>
      </c>
      <c r="S1318" t="s">
        <v>47541</v>
      </c>
      <c r="T1318" t="s">
        <v>49145</v>
      </c>
      <c r="U1318" t="s">
        <v>50818</v>
      </c>
      <c r="W1318" t="s">
        <v>43620</v>
      </c>
      <c r="X1318" t="s">
        <v>47430</v>
      </c>
    </row>
    <row r="1319" spans="1:24">
      <c r="A1319">
        <f>HYPERLINK("https://www.philgeps.gov.ph/GEPSNONPILOT/Tender/SplashBidNoticeAbstractUI.aspx?menuIndex=3&amp;refID=7161840&amp;Result=3","7161840")</f>
        <v>0</v>
      </c>
      <c r="B1319" t="s">
        <v>607</v>
      </c>
      <c r="C1319" t="s">
        <v>5175</v>
      </c>
      <c r="D1319" t="s">
        <v>19017</v>
      </c>
      <c r="E1319" t="s">
        <v>20305</v>
      </c>
      <c r="F1319" t="s">
        <v>32831</v>
      </c>
      <c r="G1319" t="s">
        <v>32838</v>
      </c>
      <c r="H1319" t="s">
        <v>32848</v>
      </c>
      <c r="I1319" t="s">
        <v>32857</v>
      </c>
      <c r="J1319" t="s">
        <v>33937</v>
      </c>
      <c r="K1319" t="s">
        <v>42732</v>
      </c>
      <c r="M1319" t="s">
        <v>43621</v>
      </c>
      <c r="N1319" t="s">
        <v>47424</v>
      </c>
      <c r="O1319" t="s">
        <v>47425</v>
      </c>
      <c r="P1319">
        <v>0</v>
      </c>
      <c r="Q1319">
        <v>3</v>
      </c>
      <c r="R1319" t="s">
        <v>47428</v>
      </c>
      <c r="S1319" t="s">
        <v>47541</v>
      </c>
      <c r="T1319" t="s">
        <v>49163</v>
      </c>
      <c r="U1319" t="s">
        <v>50819</v>
      </c>
      <c r="V1319" t="s">
        <v>62766</v>
      </c>
      <c r="W1319" t="s">
        <v>43621</v>
      </c>
      <c r="X1319" t="s">
        <v>47430</v>
      </c>
    </row>
    <row r="1320" spans="1:24">
      <c r="A1320">
        <f>HYPERLINK("https://www.philgeps.gov.ph/GEPSNONPILOT/Tender/SplashBidNoticeAbstractUI.aspx?menuIndex=3&amp;refID=7161839&amp;Result=3","7161839")</f>
        <v>0</v>
      </c>
      <c r="B1320" t="s">
        <v>608</v>
      </c>
      <c r="C1320" t="s">
        <v>5176</v>
      </c>
      <c r="D1320" t="s">
        <v>19083</v>
      </c>
      <c r="E1320" t="s">
        <v>20306</v>
      </c>
      <c r="F1320" t="s">
        <v>32831</v>
      </c>
      <c r="G1320" t="s">
        <v>32839</v>
      </c>
      <c r="H1320" t="s">
        <v>32848</v>
      </c>
      <c r="I1320" t="s">
        <v>32917</v>
      </c>
      <c r="J1320" t="s">
        <v>33118</v>
      </c>
      <c r="K1320" t="s">
        <v>42730</v>
      </c>
      <c r="M1320" t="s">
        <v>43622</v>
      </c>
      <c r="N1320" t="s">
        <v>47424</v>
      </c>
      <c r="O1320" t="s">
        <v>47425</v>
      </c>
      <c r="P1320">
        <v>0</v>
      </c>
      <c r="Q1320">
        <v>1</v>
      </c>
      <c r="R1320" t="s">
        <v>47428</v>
      </c>
      <c r="S1320" t="s">
        <v>47541</v>
      </c>
      <c r="T1320" t="s">
        <v>49249</v>
      </c>
      <c r="U1320" t="s">
        <v>50820</v>
      </c>
      <c r="W1320" t="s">
        <v>43622</v>
      </c>
      <c r="X1320" t="s">
        <v>47430</v>
      </c>
    </row>
    <row r="1321" spans="1:24">
      <c r="A1321">
        <f>HYPERLINK("https://www.philgeps.gov.ph/GEPSNONPILOT/Tender/SplashBidNoticeAbstractUI.aspx?menuIndex=3&amp;refID=7161837&amp;Result=3","7161837")</f>
        <v>0</v>
      </c>
      <c r="B1321" t="s">
        <v>609</v>
      </c>
      <c r="C1321" t="s">
        <v>4859</v>
      </c>
      <c r="D1321" t="s">
        <v>19017</v>
      </c>
      <c r="E1321" t="s">
        <v>20307</v>
      </c>
      <c r="F1321" t="s">
        <v>32831</v>
      </c>
      <c r="G1321" t="s">
        <v>32840</v>
      </c>
      <c r="H1321" t="s">
        <v>32848</v>
      </c>
      <c r="I1321" t="s">
        <v>9577</v>
      </c>
      <c r="J1321" t="s">
        <v>33938</v>
      </c>
      <c r="K1321" t="s">
        <v>42732</v>
      </c>
      <c r="M1321" t="s">
        <v>43623</v>
      </c>
      <c r="N1321" t="s">
        <v>47424</v>
      </c>
      <c r="O1321" t="s">
        <v>47425</v>
      </c>
      <c r="P1321">
        <v>0</v>
      </c>
      <c r="Q1321">
        <v>6</v>
      </c>
      <c r="R1321" t="s">
        <v>47428</v>
      </c>
      <c r="S1321" t="s">
        <v>47541</v>
      </c>
      <c r="T1321" t="s">
        <v>49107</v>
      </c>
      <c r="U1321" t="s">
        <v>50821</v>
      </c>
      <c r="W1321" t="s">
        <v>43623</v>
      </c>
      <c r="X1321" t="s">
        <v>47430</v>
      </c>
    </row>
    <row r="1322" spans="1:24">
      <c r="A1322">
        <f>HYPERLINK("https://www.philgeps.gov.ph/GEPSNONPILOT/Tender/SplashBidNoticeAbstractUI.aspx?menuIndex=3&amp;refID=7161799&amp;Result=3","7161799")</f>
        <v>0</v>
      </c>
      <c r="B1322" t="s">
        <v>600</v>
      </c>
      <c r="C1322" t="s">
        <v>5177</v>
      </c>
      <c r="E1322" t="s">
        <v>20308</v>
      </c>
      <c r="F1322" t="s">
        <v>32831</v>
      </c>
      <c r="G1322" t="s">
        <v>32838</v>
      </c>
      <c r="H1322" t="s">
        <v>32848</v>
      </c>
      <c r="I1322" t="s">
        <v>32864</v>
      </c>
      <c r="J1322" t="s">
        <v>33933</v>
      </c>
      <c r="K1322" t="s">
        <v>42732</v>
      </c>
      <c r="M1322" t="s">
        <v>43614</v>
      </c>
      <c r="N1322" t="s">
        <v>47424</v>
      </c>
      <c r="O1322" t="s">
        <v>47425</v>
      </c>
      <c r="P1322">
        <v>0</v>
      </c>
      <c r="Q1322">
        <v>16</v>
      </c>
      <c r="R1322" t="s">
        <v>47428</v>
      </c>
      <c r="S1322" t="s">
        <v>47541</v>
      </c>
      <c r="T1322" t="s">
        <v>49056</v>
      </c>
      <c r="U1322" t="s">
        <v>50822</v>
      </c>
      <c r="W1322" t="s">
        <v>43614</v>
      </c>
      <c r="X1322" t="s">
        <v>47430</v>
      </c>
    </row>
    <row r="1323" spans="1:24">
      <c r="A1323">
        <f>HYPERLINK("https://www.philgeps.gov.ph/GEPSNONPILOT/Tender/SplashBidNoticeAbstractUI.aspx?menuIndex=3&amp;refID=7161798&amp;Result=3","7161798")</f>
        <v>0</v>
      </c>
      <c r="B1323" t="s">
        <v>610</v>
      </c>
      <c r="C1323" t="s">
        <v>4828</v>
      </c>
      <c r="D1323" t="s">
        <v>19023</v>
      </c>
      <c r="E1323" t="s">
        <v>20309</v>
      </c>
      <c r="F1323" t="s">
        <v>32831</v>
      </c>
      <c r="G1323" t="s">
        <v>32840</v>
      </c>
      <c r="H1323" t="s">
        <v>32848</v>
      </c>
      <c r="I1323" t="s">
        <v>32860</v>
      </c>
      <c r="J1323" t="s">
        <v>32980</v>
      </c>
      <c r="K1323" t="s">
        <v>42748</v>
      </c>
      <c r="M1323" t="s">
        <v>43624</v>
      </c>
      <c r="N1323" t="s">
        <v>47424</v>
      </c>
      <c r="O1323" t="s">
        <v>47425</v>
      </c>
      <c r="P1323">
        <v>0</v>
      </c>
      <c r="Q1323">
        <v>1</v>
      </c>
      <c r="R1323" t="s">
        <v>47428</v>
      </c>
      <c r="S1323" t="s">
        <v>47541</v>
      </c>
      <c r="T1323" t="s">
        <v>49214</v>
      </c>
      <c r="U1323" t="s">
        <v>50505</v>
      </c>
      <c r="W1323" t="s">
        <v>43624</v>
      </c>
      <c r="X1323" t="s">
        <v>47430</v>
      </c>
    </row>
    <row r="1324" spans="1:24">
      <c r="A1324">
        <f>HYPERLINK("https://www.philgeps.gov.ph/GEPSNONPILOT/Tender/SplashBidNoticeAbstractUI.aspx?menuIndex=3&amp;refID=7161833&amp;Result=3","7161833")</f>
        <v>0</v>
      </c>
      <c r="B1324" t="s">
        <v>611</v>
      </c>
      <c r="C1324" t="s">
        <v>4459</v>
      </c>
      <c r="D1324" t="s">
        <v>19059</v>
      </c>
      <c r="E1324" t="s">
        <v>20310</v>
      </c>
      <c r="F1324" t="s">
        <v>32831</v>
      </c>
      <c r="G1324" t="s">
        <v>32845</v>
      </c>
      <c r="H1324" t="s">
        <v>32848</v>
      </c>
      <c r="I1324" t="s">
        <v>7416</v>
      </c>
      <c r="J1324" t="s">
        <v>33939</v>
      </c>
      <c r="K1324" t="s">
        <v>42750</v>
      </c>
      <c r="M1324" t="s">
        <v>43625</v>
      </c>
      <c r="N1324" t="s">
        <v>47424</v>
      </c>
      <c r="O1324" t="s">
        <v>47425</v>
      </c>
      <c r="P1324">
        <v>0</v>
      </c>
      <c r="Q1324">
        <v>1</v>
      </c>
      <c r="R1324" t="s">
        <v>47428</v>
      </c>
      <c r="S1324" t="s">
        <v>47541</v>
      </c>
      <c r="T1324" t="s">
        <v>49080</v>
      </c>
      <c r="U1324" t="s">
        <v>50823</v>
      </c>
      <c r="W1324" t="s">
        <v>43625</v>
      </c>
      <c r="X1324" t="s">
        <v>47430</v>
      </c>
    </row>
    <row r="1325" spans="1:24">
      <c r="A1325">
        <f>HYPERLINK("https://www.philgeps.gov.ph/GEPSNONPILOT/Tender/SplashBidNoticeAbstractUI.aspx?menuIndex=3&amp;refID=7161838&amp;Result=3","7161838")</f>
        <v>0</v>
      </c>
      <c r="B1325" t="s">
        <v>606</v>
      </c>
      <c r="C1325" t="s">
        <v>5178</v>
      </c>
      <c r="D1325" t="s">
        <v>19023</v>
      </c>
      <c r="E1325" t="s">
        <v>20311</v>
      </c>
      <c r="F1325" t="s">
        <v>32831</v>
      </c>
      <c r="G1325" t="s">
        <v>32838</v>
      </c>
      <c r="H1325" t="s">
        <v>32850</v>
      </c>
      <c r="I1325" t="s">
        <v>32880</v>
      </c>
      <c r="J1325" t="s">
        <v>33475</v>
      </c>
      <c r="K1325" t="s">
        <v>42758</v>
      </c>
      <c r="M1325" t="s">
        <v>43620</v>
      </c>
      <c r="N1325" t="s">
        <v>47424</v>
      </c>
      <c r="O1325" t="s">
        <v>47425</v>
      </c>
      <c r="P1325">
        <v>0</v>
      </c>
      <c r="Q1325">
        <v>0</v>
      </c>
      <c r="R1325" t="s">
        <v>47428</v>
      </c>
      <c r="S1325" t="s">
        <v>47541</v>
      </c>
      <c r="T1325" t="s">
        <v>49145</v>
      </c>
      <c r="U1325" t="s">
        <v>50824</v>
      </c>
      <c r="W1325" t="s">
        <v>43620</v>
      </c>
      <c r="X1325" t="s">
        <v>47430</v>
      </c>
    </row>
    <row r="1326" spans="1:24">
      <c r="A1326">
        <f>HYPERLINK("https://www.philgeps.gov.ph/GEPSNONPILOT/Tender/SplashBidNoticeAbstractUI.aspx?menuIndex=3&amp;refID=7161829&amp;Result=3","7161829")</f>
        <v>0</v>
      </c>
      <c r="B1326" t="s">
        <v>612</v>
      </c>
      <c r="C1326" t="s">
        <v>5179</v>
      </c>
      <c r="D1326" t="s">
        <v>19062</v>
      </c>
      <c r="E1326" t="s">
        <v>20312</v>
      </c>
      <c r="F1326" t="s">
        <v>32833</v>
      </c>
      <c r="G1326" t="s">
        <v>32838</v>
      </c>
      <c r="H1326" t="s">
        <v>32848</v>
      </c>
      <c r="I1326" t="s">
        <v>32860</v>
      </c>
      <c r="J1326" t="s">
        <v>33364</v>
      </c>
      <c r="K1326" t="s">
        <v>42758</v>
      </c>
      <c r="M1326" t="s">
        <v>43626</v>
      </c>
      <c r="N1326" t="s">
        <v>47424</v>
      </c>
      <c r="O1326" t="s">
        <v>47425</v>
      </c>
      <c r="P1326">
        <v>0</v>
      </c>
      <c r="Q1326">
        <v>0</v>
      </c>
      <c r="R1326" t="s">
        <v>47428</v>
      </c>
      <c r="S1326" t="s">
        <v>47541</v>
      </c>
      <c r="T1326" t="s">
        <v>49091</v>
      </c>
      <c r="U1326" t="s">
        <v>50825</v>
      </c>
      <c r="W1326" t="s">
        <v>43626</v>
      </c>
      <c r="X1326" t="s">
        <v>47430</v>
      </c>
    </row>
    <row r="1327" spans="1:24">
      <c r="A1327">
        <f>HYPERLINK("https://www.philgeps.gov.ph/GEPSNONPILOT/Tender/SplashBidNoticeAbstractUI.aspx?menuIndex=3&amp;refID=7161828&amp;Result=3","7161828")</f>
        <v>0</v>
      </c>
      <c r="B1327" t="s">
        <v>613</v>
      </c>
      <c r="C1327" t="s">
        <v>5180</v>
      </c>
      <c r="D1327" t="s">
        <v>19038</v>
      </c>
      <c r="E1327" t="s">
        <v>19787</v>
      </c>
      <c r="F1327" t="s">
        <v>32831</v>
      </c>
      <c r="G1327" t="s">
        <v>32839</v>
      </c>
      <c r="H1327" t="s">
        <v>32848</v>
      </c>
      <c r="I1327" t="s">
        <v>7416</v>
      </c>
      <c r="J1327" t="s">
        <v>33940</v>
      </c>
      <c r="K1327" t="s">
        <v>42731</v>
      </c>
      <c r="M1327" t="s">
        <v>43627</v>
      </c>
      <c r="N1327" t="s">
        <v>47424</v>
      </c>
      <c r="O1327" t="s">
        <v>47425</v>
      </c>
      <c r="P1327">
        <v>0</v>
      </c>
      <c r="Q1327">
        <v>0</v>
      </c>
      <c r="R1327" t="s">
        <v>47428</v>
      </c>
      <c r="S1327" t="s">
        <v>47541</v>
      </c>
      <c r="T1327" t="s">
        <v>49070</v>
      </c>
      <c r="U1327" t="s">
        <v>50826</v>
      </c>
      <c r="W1327" t="s">
        <v>43627</v>
      </c>
      <c r="X1327" t="s">
        <v>47430</v>
      </c>
    </row>
    <row r="1328" spans="1:24">
      <c r="A1328">
        <f>HYPERLINK("https://www.philgeps.gov.ph/GEPSNONPILOT/Tender/SplashBidNoticeAbstractUI.aspx?menuIndex=3&amp;refID=7161805&amp;Result=3","7161805")</f>
        <v>0</v>
      </c>
      <c r="B1328" t="s">
        <v>600</v>
      </c>
      <c r="C1328" t="s">
        <v>5181</v>
      </c>
      <c r="E1328" t="s">
        <v>20313</v>
      </c>
      <c r="F1328" t="s">
        <v>32831</v>
      </c>
      <c r="G1328" t="s">
        <v>32838</v>
      </c>
      <c r="H1328" t="s">
        <v>32848</v>
      </c>
      <c r="I1328" t="s">
        <v>32864</v>
      </c>
      <c r="J1328" t="s">
        <v>33926</v>
      </c>
      <c r="K1328" t="s">
        <v>42732</v>
      </c>
      <c r="M1328" t="s">
        <v>43614</v>
      </c>
      <c r="N1328" t="s">
        <v>47424</v>
      </c>
      <c r="O1328" t="s">
        <v>47425</v>
      </c>
      <c r="P1328">
        <v>0</v>
      </c>
      <c r="Q1328">
        <v>12</v>
      </c>
      <c r="R1328" t="s">
        <v>47428</v>
      </c>
      <c r="S1328" t="s">
        <v>47541</v>
      </c>
      <c r="T1328" t="s">
        <v>49056</v>
      </c>
      <c r="U1328" t="s">
        <v>50827</v>
      </c>
      <c r="W1328" t="s">
        <v>43614</v>
      </c>
      <c r="X1328" t="s">
        <v>47430</v>
      </c>
    </row>
    <row r="1329" spans="1:24">
      <c r="A1329">
        <f>HYPERLINK("https://www.philgeps.gov.ph/GEPSNONPILOT/Tender/SplashBidNoticeAbstractUI.aspx?menuIndex=3&amp;refID=7161825&amp;Result=3","7161825")</f>
        <v>0</v>
      </c>
      <c r="B1329" t="s">
        <v>614</v>
      </c>
      <c r="C1329" t="s">
        <v>5182</v>
      </c>
      <c r="D1329" t="s">
        <v>19017</v>
      </c>
      <c r="E1329" t="s">
        <v>20314</v>
      </c>
      <c r="F1329" t="s">
        <v>32831</v>
      </c>
      <c r="G1329" t="s">
        <v>32838</v>
      </c>
      <c r="H1329" t="s">
        <v>32848</v>
      </c>
      <c r="I1329" t="s">
        <v>32864</v>
      </c>
      <c r="J1329" t="s">
        <v>33941</v>
      </c>
      <c r="K1329" t="s">
        <v>42727</v>
      </c>
      <c r="M1329" t="s">
        <v>43628</v>
      </c>
      <c r="N1329" t="s">
        <v>47424</v>
      </c>
      <c r="O1329" t="s">
        <v>47425</v>
      </c>
      <c r="P1329">
        <v>0</v>
      </c>
      <c r="Q1329">
        <v>9</v>
      </c>
      <c r="R1329" t="s">
        <v>47428</v>
      </c>
      <c r="S1329" t="s">
        <v>47541</v>
      </c>
      <c r="T1329" t="s">
        <v>49114</v>
      </c>
      <c r="U1329" t="s">
        <v>50828</v>
      </c>
      <c r="W1329" t="s">
        <v>43628</v>
      </c>
      <c r="X1329" t="s">
        <v>47430</v>
      </c>
    </row>
    <row r="1330" spans="1:24">
      <c r="A1330">
        <f>HYPERLINK("https://www.philgeps.gov.ph/GEPSNONPILOT/Tender/SplashBidNoticeAbstractUI.aspx?menuIndex=3&amp;refID=7161831&amp;Result=3","7161831")</f>
        <v>0</v>
      </c>
      <c r="B1330" t="s">
        <v>615</v>
      </c>
      <c r="C1330" t="s">
        <v>5183</v>
      </c>
      <c r="D1330" t="s">
        <v>19049</v>
      </c>
      <c r="E1330" t="s">
        <v>20315</v>
      </c>
      <c r="F1330" t="s">
        <v>32831</v>
      </c>
      <c r="G1330" t="s">
        <v>32840</v>
      </c>
      <c r="H1330" t="s">
        <v>32848</v>
      </c>
      <c r="I1330" t="s">
        <v>32860</v>
      </c>
      <c r="J1330" t="s">
        <v>33942</v>
      </c>
      <c r="K1330" t="s">
        <v>42760</v>
      </c>
      <c r="M1330" t="s">
        <v>43629</v>
      </c>
      <c r="N1330" t="s">
        <v>47424</v>
      </c>
      <c r="O1330" t="s">
        <v>47425</v>
      </c>
      <c r="P1330">
        <v>0</v>
      </c>
      <c r="Q1330">
        <v>0</v>
      </c>
      <c r="R1330" t="s">
        <v>47428</v>
      </c>
      <c r="S1330" t="s">
        <v>47541</v>
      </c>
      <c r="T1330" t="s">
        <v>49114</v>
      </c>
      <c r="U1330" t="s">
        <v>50829</v>
      </c>
      <c r="W1330" t="s">
        <v>43629</v>
      </c>
      <c r="X1330" t="s">
        <v>47430</v>
      </c>
    </row>
    <row r="1331" spans="1:24">
      <c r="A1331">
        <f>HYPERLINK("https://www.philgeps.gov.ph/GEPSNONPILOT/Tender/SplashBidNoticeAbstractUI.aspx?menuIndex=3&amp;refID=7161879&amp;Result=3","7161879")</f>
        <v>0</v>
      </c>
      <c r="B1331" t="s">
        <v>616</v>
      </c>
      <c r="C1331" t="s">
        <v>5184</v>
      </c>
      <c r="D1331" t="s">
        <v>19059</v>
      </c>
      <c r="E1331" t="s">
        <v>20316</v>
      </c>
      <c r="F1331" t="s">
        <v>32831</v>
      </c>
      <c r="G1331" t="s">
        <v>32840</v>
      </c>
      <c r="H1331" t="s">
        <v>32848</v>
      </c>
      <c r="I1331" t="s">
        <v>32860</v>
      </c>
      <c r="J1331" t="s">
        <v>33943</v>
      </c>
      <c r="K1331" t="s">
        <v>42747</v>
      </c>
      <c r="L1331" t="s">
        <v>616</v>
      </c>
      <c r="M1331" t="s">
        <v>43630</v>
      </c>
      <c r="N1331" t="s">
        <v>47424</v>
      </c>
      <c r="O1331" t="s">
        <v>47425</v>
      </c>
      <c r="P1331">
        <v>0</v>
      </c>
      <c r="Q1331">
        <v>4</v>
      </c>
      <c r="R1331" t="s">
        <v>47428</v>
      </c>
      <c r="S1331" t="s">
        <v>47541</v>
      </c>
      <c r="T1331" t="s">
        <v>49214</v>
      </c>
      <c r="U1331" t="s">
        <v>50830</v>
      </c>
      <c r="W1331" t="s">
        <v>43630</v>
      </c>
      <c r="X1331" t="s">
        <v>47430</v>
      </c>
    </row>
    <row r="1332" spans="1:24">
      <c r="A1332">
        <f>HYPERLINK("https://www.philgeps.gov.ph/GEPSNONPILOT/Tender/SplashBidNoticeAbstractUI.aspx?menuIndex=3&amp;refID=7161834&amp;Result=3","7161834")</f>
        <v>0</v>
      </c>
      <c r="B1332" t="s">
        <v>85</v>
      </c>
      <c r="C1332" t="s">
        <v>5185</v>
      </c>
      <c r="D1332" t="s">
        <v>19028</v>
      </c>
      <c r="E1332" t="s">
        <v>19418</v>
      </c>
      <c r="F1332" t="s">
        <v>32831</v>
      </c>
      <c r="G1332" t="s">
        <v>32839</v>
      </c>
      <c r="H1332" t="s">
        <v>32849</v>
      </c>
      <c r="I1332" t="s">
        <v>4177</v>
      </c>
      <c r="J1332" t="s">
        <v>33944</v>
      </c>
      <c r="K1332" t="s">
        <v>42726</v>
      </c>
      <c r="M1332" t="s">
        <v>43631</v>
      </c>
      <c r="N1332" t="s">
        <v>47424</v>
      </c>
      <c r="O1332" t="s">
        <v>47425</v>
      </c>
      <c r="P1332">
        <v>0</v>
      </c>
      <c r="Q1332">
        <v>0</v>
      </c>
      <c r="R1332" t="s">
        <v>47428</v>
      </c>
      <c r="S1332" t="s">
        <v>47541</v>
      </c>
      <c r="T1332" t="s">
        <v>49073</v>
      </c>
      <c r="U1332" t="s">
        <v>50831</v>
      </c>
      <c r="W1332" t="s">
        <v>43631</v>
      </c>
      <c r="X1332" t="s">
        <v>47430</v>
      </c>
    </row>
    <row r="1333" spans="1:24">
      <c r="A1333">
        <f>HYPERLINK("https://www.philgeps.gov.ph/GEPSNONPILOT/Tender/SplashBidNoticeAbstractUI.aspx?menuIndex=3&amp;refID=7161876&amp;Result=3","7161876")</f>
        <v>0</v>
      </c>
      <c r="B1333" t="s">
        <v>607</v>
      </c>
      <c r="C1333" t="s">
        <v>5186</v>
      </c>
      <c r="D1333" t="s">
        <v>19017</v>
      </c>
      <c r="E1333" t="s">
        <v>20317</v>
      </c>
      <c r="F1333" t="s">
        <v>32831</v>
      </c>
      <c r="G1333" t="s">
        <v>32838</v>
      </c>
      <c r="H1333" t="s">
        <v>32848</v>
      </c>
      <c r="I1333" t="s">
        <v>32881</v>
      </c>
      <c r="J1333" t="s">
        <v>33568</v>
      </c>
      <c r="K1333" t="s">
        <v>42731</v>
      </c>
      <c r="M1333" t="s">
        <v>43632</v>
      </c>
      <c r="N1333" t="s">
        <v>47424</v>
      </c>
      <c r="O1333" t="s">
        <v>47425</v>
      </c>
      <c r="P1333">
        <v>0</v>
      </c>
      <c r="Q1333">
        <v>0</v>
      </c>
      <c r="R1333" t="s">
        <v>47428</v>
      </c>
      <c r="S1333" t="s">
        <v>47541</v>
      </c>
      <c r="T1333" t="s">
        <v>49163</v>
      </c>
      <c r="U1333" t="s">
        <v>50832</v>
      </c>
      <c r="V1333" t="s">
        <v>62766</v>
      </c>
      <c r="W1333" t="s">
        <v>43632</v>
      </c>
      <c r="X1333" t="s">
        <v>47430</v>
      </c>
    </row>
    <row r="1334" spans="1:24">
      <c r="A1334">
        <f>HYPERLINK("https://www.philgeps.gov.ph/GEPSNONPILOT/Tender/SplashBidNoticeAbstractUI.aspx?menuIndex=3&amp;refID=7161824&amp;Result=3","7161824")</f>
        <v>0</v>
      </c>
      <c r="B1334" t="s">
        <v>605</v>
      </c>
      <c r="C1334" t="s">
        <v>5187</v>
      </c>
      <c r="D1334" t="s">
        <v>19027</v>
      </c>
      <c r="E1334" t="s">
        <v>19208</v>
      </c>
      <c r="F1334" t="s">
        <v>32831</v>
      </c>
      <c r="G1334" t="s">
        <v>32839</v>
      </c>
      <c r="H1334" t="s">
        <v>32848</v>
      </c>
      <c r="I1334" t="s">
        <v>7416</v>
      </c>
      <c r="J1334" t="s">
        <v>33945</v>
      </c>
      <c r="K1334" t="s">
        <v>42759</v>
      </c>
      <c r="M1334" t="s">
        <v>43619</v>
      </c>
      <c r="N1334" t="s">
        <v>47424</v>
      </c>
      <c r="O1334" t="s">
        <v>47425</v>
      </c>
      <c r="P1334">
        <v>0</v>
      </c>
      <c r="Q1334">
        <v>0</v>
      </c>
      <c r="R1334" t="s">
        <v>47428</v>
      </c>
      <c r="S1334" t="s">
        <v>47541</v>
      </c>
      <c r="T1334" t="s">
        <v>49073</v>
      </c>
      <c r="U1334" t="s">
        <v>50833</v>
      </c>
      <c r="W1334" t="s">
        <v>43619</v>
      </c>
      <c r="X1334" t="s">
        <v>47430</v>
      </c>
    </row>
    <row r="1335" spans="1:24">
      <c r="A1335">
        <f>HYPERLINK("https://www.philgeps.gov.ph/GEPSNONPILOT/Tender/SplashBidNoticeAbstractUI.aspx?menuIndex=3&amp;refID=7158284&amp;Result=3","7158284")</f>
        <v>0</v>
      </c>
      <c r="B1335" t="s">
        <v>563</v>
      </c>
      <c r="C1335" t="s">
        <v>5188</v>
      </c>
      <c r="D1335" t="s">
        <v>19060</v>
      </c>
      <c r="E1335" t="s">
        <v>20318</v>
      </c>
      <c r="F1335" t="s">
        <v>32831</v>
      </c>
      <c r="G1335" t="s">
        <v>32838</v>
      </c>
      <c r="H1335" t="s">
        <v>32848</v>
      </c>
      <c r="I1335" t="s">
        <v>4438</v>
      </c>
      <c r="J1335" t="s">
        <v>32985</v>
      </c>
      <c r="K1335" t="s">
        <v>42732</v>
      </c>
      <c r="M1335" t="s">
        <v>43572</v>
      </c>
      <c r="N1335" t="s">
        <v>47424</v>
      </c>
      <c r="O1335" t="s">
        <v>47425</v>
      </c>
      <c r="P1335">
        <v>0</v>
      </c>
      <c r="Q1335">
        <v>0</v>
      </c>
      <c r="R1335" t="s">
        <v>47428</v>
      </c>
      <c r="S1335" t="s">
        <v>47541</v>
      </c>
      <c r="T1335" t="s">
        <v>49212</v>
      </c>
      <c r="U1335" t="s">
        <v>50792</v>
      </c>
      <c r="W1335" t="s">
        <v>43572</v>
      </c>
      <c r="X1335" t="s">
        <v>47432</v>
      </c>
    </row>
    <row r="1336" spans="1:24">
      <c r="A1336">
        <f>HYPERLINK("https://www.philgeps.gov.ph/GEPSNONPILOT/Tender/SplashBidNoticeAbstractUI.aspx?menuIndex=3&amp;refID=7161826&amp;Result=3","7161826")</f>
        <v>0</v>
      </c>
      <c r="B1336" t="s">
        <v>617</v>
      </c>
      <c r="C1336" t="s">
        <v>5189</v>
      </c>
      <c r="D1336" t="s">
        <v>19085</v>
      </c>
      <c r="E1336" t="s">
        <v>20319</v>
      </c>
      <c r="F1336" t="s">
        <v>32831</v>
      </c>
      <c r="G1336" t="s">
        <v>32839</v>
      </c>
      <c r="H1336" t="s">
        <v>32849</v>
      </c>
      <c r="I1336" t="s">
        <v>4177</v>
      </c>
      <c r="J1336" t="s">
        <v>33118</v>
      </c>
      <c r="K1336" t="s">
        <v>42729</v>
      </c>
      <c r="M1336" t="s">
        <v>43633</v>
      </c>
      <c r="N1336" t="s">
        <v>47424</v>
      </c>
      <c r="O1336" t="s">
        <v>47425</v>
      </c>
      <c r="P1336">
        <v>0</v>
      </c>
      <c r="Q1336">
        <v>0</v>
      </c>
      <c r="R1336" t="s">
        <v>47428</v>
      </c>
      <c r="S1336" t="s">
        <v>47541</v>
      </c>
      <c r="T1336" t="s">
        <v>49250</v>
      </c>
      <c r="U1336" t="s">
        <v>50834</v>
      </c>
      <c r="W1336" t="s">
        <v>43633</v>
      </c>
      <c r="X1336" t="s">
        <v>47430</v>
      </c>
    </row>
    <row r="1337" spans="1:24">
      <c r="A1337">
        <f>HYPERLINK("https://www.philgeps.gov.ph/GEPSNONPILOT/Tender/SplashBidNoticeAbstractUI.aspx?menuIndex=3&amp;refID=7161875&amp;Result=3","7161875")</f>
        <v>0</v>
      </c>
      <c r="B1337" t="s">
        <v>618</v>
      </c>
      <c r="C1337" t="s">
        <v>5190</v>
      </c>
      <c r="D1337" t="s">
        <v>19084</v>
      </c>
      <c r="E1337" t="s">
        <v>20320</v>
      </c>
      <c r="F1337" t="s">
        <v>32831</v>
      </c>
      <c r="G1337" t="s">
        <v>32838</v>
      </c>
      <c r="H1337" t="s">
        <v>32848</v>
      </c>
      <c r="I1337" t="s">
        <v>32874</v>
      </c>
      <c r="J1337" t="s">
        <v>33946</v>
      </c>
      <c r="K1337" t="s">
        <v>42730</v>
      </c>
      <c r="M1337" t="s">
        <v>43634</v>
      </c>
      <c r="N1337" t="s">
        <v>47424</v>
      </c>
      <c r="O1337" t="s">
        <v>47425</v>
      </c>
      <c r="P1337">
        <v>0</v>
      </c>
      <c r="Q1337">
        <v>5</v>
      </c>
      <c r="R1337" t="s">
        <v>47428</v>
      </c>
      <c r="S1337" t="s">
        <v>47541</v>
      </c>
      <c r="T1337" t="s">
        <v>49237</v>
      </c>
      <c r="U1337" t="s">
        <v>50835</v>
      </c>
      <c r="V1337" t="s">
        <v>62767</v>
      </c>
      <c r="W1337" t="s">
        <v>43634</v>
      </c>
      <c r="X1337" t="s">
        <v>47430</v>
      </c>
    </row>
    <row r="1338" spans="1:24">
      <c r="A1338">
        <f>HYPERLINK("https://www.philgeps.gov.ph/GEPSNONPILOT/Tender/SplashBidNoticeAbstractUI.aspx?menuIndex=3&amp;refID=7161867&amp;Result=3","7161867")</f>
        <v>0</v>
      </c>
      <c r="B1338" t="s">
        <v>619</v>
      </c>
      <c r="C1338" t="s">
        <v>5191</v>
      </c>
      <c r="D1338" t="s">
        <v>19027</v>
      </c>
      <c r="E1338" t="s">
        <v>19861</v>
      </c>
      <c r="F1338" t="s">
        <v>32831</v>
      </c>
      <c r="G1338" t="s">
        <v>32840</v>
      </c>
      <c r="H1338" t="s">
        <v>32848</v>
      </c>
      <c r="I1338" t="s">
        <v>10643</v>
      </c>
      <c r="J1338" t="s">
        <v>33947</v>
      </c>
      <c r="K1338" t="s">
        <v>42758</v>
      </c>
      <c r="M1338" t="s">
        <v>43635</v>
      </c>
      <c r="N1338" t="s">
        <v>47424</v>
      </c>
      <c r="O1338" t="s">
        <v>47425</v>
      </c>
      <c r="P1338">
        <v>0</v>
      </c>
      <c r="Q1338">
        <v>0</v>
      </c>
      <c r="R1338" t="s">
        <v>47428</v>
      </c>
      <c r="S1338" t="s">
        <v>47541</v>
      </c>
      <c r="T1338" t="s">
        <v>49107</v>
      </c>
      <c r="U1338" t="s">
        <v>50836</v>
      </c>
      <c r="W1338" t="s">
        <v>43635</v>
      </c>
      <c r="X1338" t="s">
        <v>47430</v>
      </c>
    </row>
    <row r="1339" spans="1:24">
      <c r="A1339">
        <f>HYPERLINK("https://www.philgeps.gov.ph/GEPSNONPILOT/Tender/SplashBidNoticeAbstractUI.aspx?menuIndex=3&amp;refID=7161792&amp;Result=3","7161792")</f>
        <v>0</v>
      </c>
      <c r="B1339" t="s">
        <v>590</v>
      </c>
      <c r="C1339" t="s">
        <v>5192</v>
      </c>
      <c r="D1339" t="s">
        <v>19045</v>
      </c>
      <c r="E1339" t="s">
        <v>20321</v>
      </c>
      <c r="F1339" t="s">
        <v>32831</v>
      </c>
      <c r="G1339" t="s">
        <v>32839</v>
      </c>
      <c r="H1339" t="s">
        <v>14069</v>
      </c>
      <c r="I1339" t="s">
        <v>32908</v>
      </c>
      <c r="J1339" t="s">
        <v>32980</v>
      </c>
      <c r="K1339" t="s">
        <v>42730</v>
      </c>
      <c r="M1339" t="s">
        <v>43602</v>
      </c>
      <c r="N1339" t="s">
        <v>47424</v>
      </c>
      <c r="O1339" t="s">
        <v>47425</v>
      </c>
      <c r="P1339">
        <v>0</v>
      </c>
      <c r="Q1339">
        <v>0</v>
      </c>
      <c r="R1339" t="s">
        <v>47428</v>
      </c>
      <c r="S1339" t="s">
        <v>47541</v>
      </c>
      <c r="T1339" t="s">
        <v>49188</v>
      </c>
      <c r="U1339" t="s">
        <v>50837</v>
      </c>
      <c r="W1339" t="s">
        <v>43602</v>
      </c>
      <c r="X1339" t="s">
        <v>47430</v>
      </c>
    </row>
    <row r="1340" spans="1:24">
      <c r="A1340">
        <f>HYPERLINK("https://www.philgeps.gov.ph/GEPSNONPILOT/Tender/SplashBidNoticeAbstractUI.aspx?menuIndex=3&amp;refID=7161862&amp;Result=3","7161862")</f>
        <v>0</v>
      </c>
      <c r="B1340" t="s">
        <v>609</v>
      </c>
      <c r="C1340" t="s">
        <v>4859</v>
      </c>
      <c r="D1340" t="s">
        <v>19017</v>
      </c>
      <c r="E1340" t="s">
        <v>20322</v>
      </c>
      <c r="F1340" t="s">
        <v>32831</v>
      </c>
      <c r="G1340" t="s">
        <v>32840</v>
      </c>
      <c r="H1340" t="s">
        <v>32848</v>
      </c>
      <c r="I1340" t="s">
        <v>10805</v>
      </c>
      <c r="J1340" t="s">
        <v>33509</v>
      </c>
      <c r="K1340" t="s">
        <v>42732</v>
      </c>
      <c r="M1340" t="s">
        <v>43623</v>
      </c>
      <c r="N1340" t="s">
        <v>47424</v>
      </c>
      <c r="O1340" t="s">
        <v>47425</v>
      </c>
      <c r="P1340">
        <v>0</v>
      </c>
      <c r="Q1340">
        <v>3</v>
      </c>
      <c r="R1340" t="s">
        <v>47428</v>
      </c>
      <c r="S1340" t="s">
        <v>47541</v>
      </c>
      <c r="T1340" t="s">
        <v>49107</v>
      </c>
      <c r="U1340" t="s">
        <v>50838</v>
      </c>
      <c r="W1340" t="s">
        <v>43623</v>
      </c>
      <c r="X1340" t="s">
        <v>47430</v>
      </c>
    </row>
    <row r="1341" spans="1:24">
      <c r="A1341">
        <f>HYPERLINK("https://www.philgeps.gov.ph/GEPSNONPILOT/Tender/SplashBidNoticeAbstractUI.aspx?menuIndex=3&amp;refID=7161871&amp;Result=3","7161871")</f>
        <v>0</v>
      </c>
      <c r="B1341" t="s">
        <v>620</v>
      </c>
      <c r="C1341" t="s">
        <v>5193</v>
      </c>
      <c r="D1341" t="s">
        <v>19017</v>
      </c>
      <c r="E1341" t="s">
        <v>20323</v>
      </c>
      <c r="F1341" t="s">
        <v>32831</v>
      </c>
      <c r="G1341" t="s">
        <v>32838</v>
      </c>
      <c r="H1341" t="s">
        <v>32848</v>
      </c>
      <c r="I1341" t="s">
        <v>10643</v>
      </c>
      <c r="J1341" t="s">
        <v>33948</v>
      </c>
      <c r="K1341" t="s">
        <v>42730</v>
      </c>
      <c r="M1341" t="s">
        <v>43636</v>
      </c>
      <c r="N1341" t="s">
        <v>47424</v>
      </c>
      <c r="O1341" t="s">
        <v>47425</v>
      </c>
      <c r="P1341">
        <v>0</v>
      </c>
      <c r="Q1341">
        <v>2</v>
      </c>
      <c r="R1341" t="s">
        <v>47428</v>
      </c>
      <c r="S1341" t="s">
        <v>47541</v>
      </c>
      <c r="T1341" t="s">
        <v>49239</v>
      </c>
      <c r="U1341" t="s">
        <v>50839</v>
      </c>
      <c r="W1341" t="s">
        <v>43636</v>
      </c>
      <c r="X1341" t="s">
        <v>47430</v>
      </c>
    </row>
    <row r="1342" spans="1:24">
      <c r="A1342">
        <f>HYPERLINK("https://www.philgeps.gov.ph/GEPSNONPILOT/Tender/SplashBidNoticeAbstractUI.aspx?menuIndex=3&amp;refID=7161804&amp;Result=3","7161804")</f>
        <v>0</v>
      </c>
      <c r="B1342" t="s">
        <v>621</v>
      </c>
      <c r="C1342" t="s">
        <v>5194</v>
      </c>
      <c r="D1342" t="s">
        <v>19021</v>
      </c>
      <c r="E1342" t="s">
        <v>19838</v>
      </c>
      <c r="F1342" t="s">
        <v>32831</v>
      </c>
      <c r="G1342" t="s">
        <v>32839</v>
      </c>
      <c r="H1342" t="s">
        <v>32848</v>
      </c>
      <c r="I1342" t="s">
        <v>7416</v>
      </c>
      <c r="J1342" t="s">
        <v>33497</v>
      </c>
      <c r="K1342" t="s">
        <v>42726</v>
      </c>
      <c r="M1342" t="s">
        <v>43637</v>
      </c>
      <c r="N1342" t="s">
        <v>47424</v>
      </c>
      <c r="O1342" t="s">
        <v>47425</v>
      </c>
      <c r="P1342">
        <v>0</v>
      </c>
      <c r="Q1342">
        <v>0</v>
      </c>
      <c r="R1342" t="s">
        <v>47428</v>
      </c>
      <c r="S1342" t="s">
        <v>47541</v>
      </c>
      <c r="T1342" t="s">
        <v>49109</v>
      </c>
      <c r="U1342" t="s">
        <v>50840</v>
      </c>
      <c r="W1342" t="s">
        <v>43637</v>
      </c>
      <c r="X1342" t="s">
        <v>47430</v>
      </c>
    </row>
    <row r="1343" spans="1:24">
      <c r="A1343">
        <f>HYPERLINK("https://www.philgeps.gov.ph/GEPSNONPILOT/Tender/SplashBidNoticeAbstractUI.aspx?menuIndex=3&amp;refID=7161873&amp;Result=3","7161873")</f>
        <v>0</v>
      </c>
      <c r="B1343" t="s">
        <v>622</v>
      </c>
      <c r="C1343" t="s">
        <v>5195</v>
      </c>
      <c r="D1343" t="s">
        <v>19095</v>
      </c>
      <c r="E1343" t="s">
        <v>20324</v>
      </c>
      <c r="F1343" t="s">
        <v>32831</v>
      </c>
      <c r="G1343" t="s">
        <v>32838</v>
      </c>
      <c r="H1343" t="s">
        <v>32848</v>
      </c>
      <c r="I1343" t="s">
        <v>4438</v>
      </c>
      <c r="J1343" t="s">
        <v>33284</v>
      </c>
      <c r="K1343" t="s">
        <v>42727</v>
      </c>
      <c r="M1343" t="s">
        <v>43638</v>
      </c>
      <c r="N1343" t="s">
        <v>47424</v>
      </c>
      <c r="O1343" t="s">
        <v>47425</v>
      </c>
      <c r="P1343">
        <v>0</v>
      </c>
      <c r="Q1343">
        <v>1</v>
      </c>
      <c r="R1343" t="s">
        <v>47428</v>
      </c>
      <c r="S1343" t="s">
        <v>47541</v>
      </c>
      <c r="T1343" t="s">
        <v>49081</v>
      </c>
      <c r="U1343" t="s">
        <v>50841</v>
      </c>
      <c r="W1343" t="s">
        <v>43638</v>
      </c>
      <c r="X1343" t="s">
        <v>47430</v>
      </c>
    </row>
    <row r="1344" spans="1:24">
      <c r="A1344">
        <f>HYPERLINK("https://www.philgeps.gov.ph/GEPSNONPILOT/Tender/SplashBidNoticeAbstractUI.aspx?menuIndex=3&amp;refID=7161909&amp;Result=3","7161909")</f>
        <v>0</v>
      </c>
      <c r="B1344" t="s">
        <v>607</v>
      </c>
      <c r="C1344" t="s">
        <v>5196</v>
      </c>
      <c r="D1344" t="s">
        <v>19017</v>
      </c>
      <c r="E1344" t="s">
        <v>20325</v>
      </c>
      <c r="F1344" t="s">
        <v>32831</v>
      </c>
      <c r="G1344" t="s">
        <v>32838</v>
      </c>
      <c r="H1344" t="s">
        <v>32848</v>
      </c>
      <c r="I1344" t="s">
        <v>32856</v>
      </c>
      <c r="J1344" t="s">
        <v>33949</v>
      </c>
      <c r="K1344" t="s">
        <v>42731</v>
      </c>
      <c r="M1344" t="s">
        <v>43632</v>
      </c>
      <c r="N1344" t="s">
        <v>47424</v>
      </c>
      <c r="O1344" t="s">
        <v>47425</v>
      </c>
      <c r="P1344">
        <v>0</v>
      </c>
      <c r="Q1344">
        <v>0</v>
      </c>
      <c r="R1344" t="s">
        <v>47428</v>
      </c>
      <c r="S1344" t="s">
        <v>47541</v>
      </c>
      <c r="T1344" t="s">
        <v>49163</v>
      </c>
      <c r="U1344" t="s">
        <v>50842</v>
      </c>
      <c r="V1344" t="s">
        <v>62766</v>
      </c>
      <c r="W1344" t="s">
        <v>43632</v>
      </c>
      <c r="X1344" t="s">
        <v>47430</v>
      </c>
    </row>
    <row r="1345" spans="1:24">
      <c r="A1345">
        <f>HYPERLINK("https://www.philgeps.gov.ph/GEPSNONPILOT/Tender/SplashBidNoticeAbstractUI.aspx?menuIndex=3&amp;refID=7161859&amp;Result=3","7161859")</f>
        <v>0</v>
      </c>
      <c r="B1345" t="s">
        <v>608</v>
      </c>
      <c r="C1345" t="s">
        <v>5197</v>
      </c>
      <c r="D1345" t="s">
        <v>19083</v>
      </c>
      <c r="E1345" t="s">
        <v>20326</v>
      </c>
      <c r="F1345" t="s">
        <v>32831</v>
      </c>
      <c r="G1345" t="s">
        <v>32841</v>
      </c>
      <c r="H1345" t="s">
        <v>32848</v>
      </c>
      <c r="I1345" t="s">
        <v>32909</v>
      </c>
      <c r="J1345" t="s">
        <v>33706</v>
      </c>
      <c r="K1345" t="s">
        <v>42727</v>
      </c>
      <c r="M1345" t="s">
        <v>43622</v>
      </c>
      <c r="N1345" t="s">
        <v>47424</v>
      </c>
      <c r="O1345" t="s">
        <v>47425</v>
      </c>
      <c r="P1345">
        <v>0</v>
      </c>
      <c r="Q1345">
        <v>0</v>
      </c>
      <c r="R1345" t="s">
        <v>47428</v>
      </c>
      <c r="S1345" t="s">
        <v>47541</v>
      </c>
      <c r="T1345" t="s">
        <v>49251</v>
      </c>
      <c r="U1345" t="s">
        <v>50843</v>
      </c>
      <c r="W1345" t="s">
        <v>43622</v>
      </c>
      <c r="X1345" t="s">
        <v>47430</v>
      </c>
    </row>
    <row r="1346" spans="1:24">
      <c r="A1346">
        <f>HYPERLINK("https://www.philgeps.gov.ph/GEPSNONPILOT/Tender/SplashBidNoticeAbstractUI.aspx?menuIndex=3&amp;refID=7161908&amp;Result=3","7161908")</f>
        <v>0</v>
      </c>
      <c r="B1346" t="s">
        <v>609</v>
      </c>
      <c r="C1346" t="s">
        <v>5198</v>
      </c>
      <c r="D1346" t="s">
        <v>19017</v>
      </c>
      <c r="E1346" t="s">
        <v>20327</v>
      </c>
      <c r="F1346" t="s">
        <v>32831</v>
      </c>
      <c r="G1346" t="s">
        <v>32840</v>
      </c>
      <c r="H1346" t="s">
        <v>32848</v>
      </c>
      <c r="I1346" t="s">
        <v>9577</v>
      </c>
      <c r="J1346" t="s">
        <v>33950</v>
      </c>
      <c r="K1346" t="s">
        <v>42732</v>
      </c>
      <c r="M1346" t="s">
        <v>43623</v>
      </c>
      <c r="N1346" t="s">
        <v>47424</v>
      </c>
      <c r="O1346" t="s">
        <v>47425</v>
      </c>
      <c r="P1346">
        <v>0</v>
      </c>
      <c r="Q1346">
        <v>1</v>
      </c>
      <c r="R1346" t="s">
        <v>47428</v>
      </c>
      <c r="S1346" t="s">
        <v>47541</v>
      </c>
      <c r="T1346" t="s">
        <v>49107</v>
      </c>
      <c r="U1346" t="s">
        <v>50844</v>
      </c>
      <c r="W1346" t="s">
        <v>43623</v>
      </c>
      <c r="X1346" t="s">
        <v>47430</v>
      </c>
    </row>
    <row r="1347" spans="1:24">
      <c r="A1347">
        <f>HYPERLINK("https://www.philgeps.gov.ph/GEPSNONPILOT/Tender/SplashBidNoticeAbstractUI.aspx?menuIndex=3&amp;refID=7161856&amp;Result=3","7161856")</f>
        <v>0</v>
      </c>
      <c r="B1347" t="s">
        <v>609</v>
      </c>
      <c r="C1347" t="s">
        <v>5199</v>
      </c>
      <c r="D1347" t="s">
        <v>19017</v>
      </c>
      <c r="E1347" t="s">
        <v>20328</v>
      </c>
      <c r="F1347" t="s">
        <v>32831</v>
      </c>
      <c r="G1347" t="s">
        <v>32840</v>
      </c>
      <c r="H1347" t="s">
        <v>32848</v>
      </c>
      <c r="I1347" t="s">
        <v>10805</v>
      </c>
      <c r="J1347" t="s">
        <v>33951</v>
      </c>
      <c r="K1347" t="s">
        <v>42732</v>
      </c>
      <c r="M1347" t="s">
        <v>43623</v>
      </c>
      <c r="N1347" t="s">
        <v>47424</v>
      </c>
      <c r="O1347" t="s">
        <v>47425</v>
      </c>
      <c r="P1347">
        <v>0</v>
      </c>
      <c r="Q1347">
        <v>7</v>
      </c>
      <c r="R1347" t="s">
        <v>47428</v>
      </c>
      <c r="S1347" t="s">
        <v>47541</v>
      </c>
      <c r="T1347" t="s">
        <v>49107</v>
      </c>
      <c r="U1347" t="s">
        <v>50845</v>
      </c>
      <c r="W1347" t="s">
        <v>43623</v>
      </c>
      <c r="X1347" t="s">
        <v>47430</v>
      </c>
    </row>
    <row r="1348" spans="1:24">
      <c r="A1348">
        <f>HYPERLINK("https://www.philgeps.gov.ph/GEPSNONPILOT/Tender/SplashBidNoticeAbstractUI.aspx?menuIndex=3&amp;refID=7161907&amp;Result=3","7161907")</f>
        <v>0</v>
      </c>
      <c r="B1348" t="s">
        <v>619</v>
      </c>
      <c r="C1348" t="s">
        <v>5200</v>
      </c>
      <c r="D1348" t="s">
        <v>19027</v>
      </c>
      <c r="E1348" t="s">
        <v>19541</v>
      </c>
      <c r="F1348" t="s">
        <v>32831</v>
      </c>
      <c r="G1348" t="s">
        <v>32838</v>
      </c>
      <c r="H1348" t="s">
        <v>32848</v>
      </c>
      <c r="I1348" t="s">
        <v>10643</v>
      </c>
      <c r="J1348" t="s">
        <v>33952</v>
      </c>
      <c r="K1348" t="s">
        <v>42748</v>
      </c>
      <c r="M1348" t="s">
        <v>43635</v>
      </c>
      <c r="N1348" t="s">
        <v>47424</v>
      </c>
      <c r="O1348" t="s">
        <v>47425</v>
      </c>
      <c r="P1348">
        <v>0</v>
      </c>
      <c r="Q1348">
        <v>0</v>
      </c>
      <c r="R1348" t="s">
        <v>47428</v>
      </c>
      <c r="S1348" t="s">
        <v>47541</v>
      </c>
      <c r="T1348" t="s">
        <v>49089</v>
      </c>
      <c r="U1348" t="s">
        <v>50846</v>
      </c>
      <c r="W1348" t="s">
        <v>43635</v>
      </c>
      <c r="X1348" t="s">
        <v>47430</v>
      </c>
    </row>
    <row r="1349" spans="1:24">
      <c r="A1349">
        <f>HYPERLINK("https://www.philgeps.gov.ph/GEPSNONPILOT/Tender/SplashBidNoticeAbstractUI.aspx?menuIndex=3&amp;refID=7161868&amp;Result=3","7161868")</f>
        <v>0</v>
      </c>
      <c r="B1349" t="s">
        <v>609</v>
      </c>
      <c r="C1349" t="s">
        <v>4859</v>
      </c>
      <c r="D1349" t="s">
        <v>19017</v>
      </c>
      <c r="E1349" t="s">
        <v>20329</v>
      </c>
      <c r="F1349" t="s">
        <v>32831</v>
      </c>
      <c r="G1349" t="s">
        <v>32840</v>
      </c>
      <c r="H1349" t="s">
        <v>32848</v>
      </c>
      <c r="I1349" t="s">
        <v>9577</v>
      </c>
      <c r="J1349" t="s">
        <v>33953</v>
      </c>
      <c r="K1349" t="s">
        <v>42732</v>
      </c>
      <c r="M1349" t="s">
        <v>43623</v>
      </c>
      <c r="N1349" t="s">
        <v>47424</v>
      </c>
      <c r="O1349" t="s">
        <v>47425</v>
      </c>
      <c r="P1349">
        <v>0</v>
      </c>
      <c r="Q1349">
        <v>3</v>
      </c>
      <c r="R1349" t="s">
        <v>47428</v>
      </c>
      <c r="S1349" t="s">
        <v>47541</v>
      </c>
      <c r="T1349" t="s">
        <v>49107</v>
      </c>
      <c r="U1349" t="s">
        <v>50847</v>
      </c>
      <c r="W1349" t="s">
        <v>43623</v>
      </c>
      <c r="X1349" t="s">
        <v>47430</v>
      </c>
    </row>
    <row r="1350" spans="1:24">
      <c r="A1350">
        <f>HYPERLINK("https://www.philgeps.gov.ph/GEPSNONPILOT/Tender/SplashBidNoticeAbstractUI.aspx?menuIndex=3&amp;refID=7161905&amp;Result=3","7161905")</f>
        <v>0</v>
      </c>
      <c r="B1350" t="s">
        <v>623</v>
      </c>
      <c r="C1350" t="s">
        <v>5201</v>
      </c>
      <c r="D1350" t="s">
        <v>19042</v>
      </c>
      <c r="E1350" t="s">
        <v>20330</v>
      </c>
      <c r="F1350" t="s">
        <v>32831</v>
      </c>
      <c r="G1350" t="s">
        <v>32838</v>
      </c>
      <c r="H1350" t="s">
        <v>32848</v>
      </c>
      <c r="I1350" t="s">
        <v>4776</v>
      </c>
      <c r="J1350" t="s">
        <v>32980</v>
      </c>
      <c r="K1350" t="s">
        <v>42730</v>
      </c>
      <c r="M1350" t="s">
        <v>43639</v>
      </c>
      <c r="N1350" t="s">
        <v>47424</v>
      </c>
      <c r="O1350" t="s">
        <v>47425</v>
      </c>
      <c r="P1350">
        <v>0</v>
      </c>
      <c r="Q1350">
        <v>2</v>
      </c>
      <c r="R1350" t="s">
        <v>47428</v>
      </c>
      <c r="S1350" t="s">
        <v>47541</v>
      </c>
      <c r="T1350" t="s">
        <v>49212</v>
      </c>
      <c r="U1350" t="s">
        <v>50848</v>
      </c>
      <c r="W1350" t="s">
        <v>43639</v>
      </c>
      <c r="X1350" t="s">
        <v>47430</v>
      </c>
    </row>
    <row r="1351" spans="1:24">
      <c r="A1351">
        <f>HYPERLINK("https://www.philgeps.gov.ph/GEPSNONPILOT/Tender/SplashBidNoticeAbstractUI.aspx?menuIndex=3&amp;refID=7161899&amp;Result=3","7161899")</f>
        <v>0</v>
      </c>
      <c r="B1351" t="s">
        <v>624</v>
      </c>
      <c r="C1351" t="s">
        <v>5202</v>
      </c>
      <c r="D1351" t="s">
        <v>19064</v>
      </c>
      <c r="E1351" t="s">
        <v>20331</v>
      </c>
      <c r="F1351" t="s">
        <v>32831</v>
      </c>
      <c r="G1351" t="s">
        <v>32838</v>
      </c>
      <c r="H1351" t="s">
        <v>32848</v>
      </c>
      <c r="I1351" t="s">
        <v>4471</v>
      </c>
      <c r="J1351" t="s">
        <v>33133</v>
      </c>
      <c r="K1351" t="s">
        <v>42732</v>
      </c>
      <c r="M1351" t="s">
        <v>43640</v>
      </c>
      <c r="N1351" t="s">
        <v>47424</v>
      </c>
      <c r="O1351" t="s">
        <v>47425</v>
      </c>
      <c r="P1351">
        <v>0</v>
      </c>
      <c r="Q1351">
        <v>0</v>
      </c>
      <c r="R1351" t="s">
        <v>47428</v>
      </c>
      <c r="S1351" t="s">
        <v>47541</v>
      </c>
      <c r="T1351" t="s">
        <v>49108</v>
      </c>
      <c r="U1351" t="s">
        <v>50849</v>
      </c>
      <c r="W1351" t="s">
        <v>43640</v>
      </c>
      <c r="X1351" t="s">
        <v>47430</v>
      </c>
    </row>
    <row r="1352" spans="1:24">
      <c r="A1352">
        <f>HYPERLINK("https://www.philgeps.gov.ph/GEPSNONPILOT/Tender/SplashBidNoticeAbstractUI.aspx?menuIndex=3&amp;refID=7161910&amp;Result=3","7161910")</f>
        <v>0</v>
      </c>
      <c r="B1352" t="s">
        <v>625</v>
      </c>
      <c r="C1352" t="s">
        <v>5203</v>
      </c>
      <c r="D1352" t="s">
        <v>19054</v>
      </c>
      <c r="E1352" t="s">
        <v>19219</v>
      </c>
      <c r="F1352" t="s">
        <v>32831</v>
      </c>
      <c r="G1352" t="s">
        <v>32839</v>
      </c>
      <c r="H1352" t="s">
        <v>32848</v>
      </c>
      <c r="I1352" t="s">
        <v>32918</v>
      </c>
      <c r="J1352" t="s">
        <v>33023</v>
      </c>
      <c r="K1352" t="s">
        <v>42727</v>
      </c>
      <c r="M1352" t="s">
        <v>43641</v>
      </c>
      <c r="N1352" t="s">
        <v>47424</v>
      </c>
      <c r="O1352" t="s">
        <v>47425</v>
      </c>
      <c r="P1352">
        <v>0</v>
      </c>
      <c r="Q1352">
        <v>1</v>
      </c>
      <c r="R1352" t="s">
        <v>47428</v>
      </c>
      <c r="S1352" t="s">
        <v>47541</v>
      </c>
      <c r="T1352" t="s">
        <v>49155</v>
      </c>
      <c r="U1352" t="s">
        <v>50850</v>
      </c>
      <c r="V1352" t="s">
        <v>62768</v>
      </c>
      <c r="W1352" t="s">
        <v>43641</v>
      </c>
      <c r="X1352" t="s">
        <v>47430</v>
      </c>
    </row>
    <row r="1353" spans="1:24">
      <c r="A1353">
        <f>HYPERLINK("https://www.philgeps.gov.ph/GEPSNONPILOT/Tender/SplashBidNoticeAbstractUI.aspx?menuIndex=3&amp;refID=7161896&amp;Result=3","7161896")</f>
        <v>0</v>
      </c>
      <c r="B1353" t="s">
        <v>626</v>
      </c>
      <c r="C1353" t="s">
        <v>5204</v>
      </c>
      <c r="D1353" t="s">
        <v>19057</v>
      </c>
      <c r="E1353" t="s">
        <v>20332</v>
      </c>
      <c r="F1353" t="s">
        <v>32831</v>
      </c>
      <c r="G1353" t="s">
        <v>32839</v>
      </c>
      <c r="H1353" t="s">
        <v>32849</v>
      </c>
      <c r="I1353" t="s">
        <v>4177</v>
      </c>
      <c r="J1353" t="s">
        <v>33044</v>
      </c>
      <c r="K1353" t="s">
        <v>42727</v>
      </c>
      <c r="M1353" t="s">
        <v>43642</v>
      </c>
      <c r="N1353" t="s">
        <v>47424</v>
      </c>
      <c r="O1353" t="s">
        <v>47425</v>
      </c>
      <c r="P1353">
        <v>0</v>
      </c>
      <c r="Q1353">
        <v>2</v>
      </c>
      <c r="R1353" t="s">
        <v>47428</v>
      </c>
      <c r="S1353" t="s">
        <v>47541</v>
      </c>
      <c r="T1353" t="s">
        <v>49133</v>
      </c>
      <c r="U1353" t="s">
        <v>50851</v>
      </c>
      <c r="W1353" t="s">
        <v>43642</v>
      </c>
      <c r="X1353" t="s">
        <v>47430</v>
      </c>
    </row>
    <row r="1354" spans="1:24">
      <c r="A1354">
        <f>HYPERLINK("https://www.philgeps.gov.ph/GEPSNONPILOT/Tender/SplashBidNoticeAbstractUI.aspx?menuIndex=3&amp;refID=7161857&amp;Result=3","7161857")</f>
        <v>0</v>
      </c>
      <c r="B1354" t="s">
        <v>622</v>
      </c>
      <c r="C1354" t="s">
        <v>5195</v>
      </c>
      <c r="D1354" t="s">
        <v>19095</v>
      </c>
      <c r="E1354" t="s">
        <v>20333</v>
      </c>
      <c r="F1354" t="s">
        <v>32831</v>
      </c>
      <c r="G1354" t="s">
        <v>32838</v>
      </c>
      <c r="H1354" t="s">
        <v>32848</v>
      </c>
      <c r="I1354" t="s">
        <v>4438</v>
      </c>
      <c r="J1354" t="s">
        <v>33954</v>
      </c>
      <c r="K1354" t="s">
        <v>42727</v>
      </c>
      <c r="M1354" t="s">
        <v>43638</v>
      </c>
      <c r="N1354" t="s">
        <v>47424</v>
      </c>
      <c r="O1354" t="s">
        <v>47425</v>
      </c>
      <c r="P1354">
        <v>0</v>
      </c>
      <c r="Q1354">
        <v>1</v>
      </c>
      <c r="R1354" t="s">
        <v>47428</v>
      </c>
      <c r="S1354" t="s">
        <v>47541</v>
      </c>
      <c r="T1354" t="s">
        <v>49081</v>
      </c>
      <c r="U1354" t="s">
        <v>50841</v>
      </c>
      <c r="W1354" t="s">
        <v>43638</v>
      </c>
      <c r="X1354" t="s">
        <v>47430</v>
      </c>
    </row>
    <row r="1355" spans="1:24">
      <c r="A1355">
        <f>HYPERLINK("https://www.philgeps.gov.ph/GEPSNONPILOT/Tender/SplashBidNoticeAbstractUI.aspx?menuIndex=3&amp;refID=7161906&amp;Result=3","7161906")</f>
        <v>0</v>
      </c>
      <c r="B1355" t="s">
        <v>46</v>
      </c>
      <c r="C1355" t="s">
        <v>5205</v>
      </c>
      <c r="D1355" t="s">
        <v>19035</v>
      </c>
      <c r="E1355" t="s">
        <v>20334</v>
      </c>
      <c r="F1355" t="s">
        <v>32831</v>
      </c>
      <c r="G1355" t="s">
        <v>32840</v>
      </c>
      <c r="H1355" t="s">
        <v>32848</v>
      </c>
      <c r="I1355" t="s">
        <v>6526</v>
      </c>
      <c r="J1355" t="s">
        <v>33955</v>
      </c>
      <c r="K1355" t="s">
        <v>42759</v>
      </c>
      <c r="M1355" t="s">
        <v>43643</v>
      </c>
      <c r="N1355" t="s">
        <v>47424</v>
      </c>
      <c r="O1355" t="s">
        <v>47425</v>
      </c>
      <c r="P1355">
        <v>0</v>
      </c>
      <c r="Q1355">
        <v>0</v>
      </c>
      <c r="R1355" t="s">
        <v>47428</v>
      </c>
      <c r="S1355" t="s">
        <v>47541</v>
      </c>
      <c r="T1355" t="s">
        <v>49237</v>
      </c>
      <c r="U1355" t="s">
        <v>50852</v>
      </c>
      <c r="W1355" t="s">
        <v>43643</v>
      </c>
      <c r="X1355" t="s">
        <v>47430</v>
      </c>
    </row>
    <row r="1356" spans="1:24">
      <c r="A1356">
        <f>HYPERLINK("https://www.philgeps.gov.ph/GEPSNONPILOT/Tender/SplashBidNoticeAbstractUI.aspx?menuIndex=3&amp;refID=7161903&amp;Result=3","7161903")</f>
        <v>0</v>
      </c>
      <c r="B1356" t="s">
        <v>627</v>
      </c>
      <c r="C1356" t="s">
        <v>5206</v>
      </c>
      <c r="D1356" t="s">
        <v>19024</v>
      </c>
      <c r="E1356" t="s">
        <v>19299</v>
      </c>
      <c r="F1356" t="s">
        <v>32831</v>
      </c>
      <c r="G1356" t="s">
        <v>32839</v>
      </c>
      <c r="H1356" t="s">
        <v>32848</v>
      </c>
      <c r="I1356" t="s">
        <v>7416</v>
      </c>
      <c r="J1356" t="s">
        <v>33956</v>
      </c>
      <c r="K1356" t="s">
        <v>42727</v>
      </c>
      <c r="M1356" t="s">
        <v>43644</v>
      </c>
      <c r="N1356" t="s">
        <v>47424</v>
      </c>
      <c r="O1356" t="s">
        <v>47425</v>
      </c>
      <c r="P1356">
        <v>0</v>
      </c>
      <c r="Q1356">
        <v>0</v>
      </c>
      <c r="R1356" t="s">
        <v>47428</v>
      </c>
      <c r="S1356" t="s">
        <v>47541</v>
      </c>
      <c r="T1356" t="s">
        <v>49073</v>
      </c>
      <c r="U1356" t="s">
        <v>50853</v>
      </c>
      <c r="W1356" t="s">
        <v>43644</v>
      </c>
      <c r="X1356" t="s">
        <v>47430</v>
      </c>
    </row>
    <row r="1357" spans="1:24">
      <c r="A1357">
        <f>HYPERLINK("https://www.philgeps.gov.ph/GEPSNONPILOT/Tender/SplashBidNoticeAbstractUI.aspx?menuIndex=3&amp;refID=7161887&amp;Result=3","7161887")</f>
        <v>0</v>
      </c>
      <c r="B1357" t="s">
        <v>628</v>
      </c>
      <c r="C1357" t="s">
        <v>5207</v>
      </c>
      <c r="D1357" t="s">
        <v>19043</v>
      </c>
      <c r="E1357" t="s">
        <v>20335</v>
      </c>
      <c r="F1357" t="s">
        <v>32831</v>
      </c>
      <c r="G1357" t="s">
        <v>32838</v>
      </c>
      <c r="H1357" t="s">
        <v>32848</v>
      </c>
      <c r="I1357" t="s">
        <v>32851</v>
      </c>
      <c r="J1357" t="s">
        <v>33334</v>
      </c>
      <c r="K1357" t="s">
        <v>42727</v>
      </c>
      <c r="M1357" t="s">
        <v>43645</v>
      </c>
      <c r="N1357" t="s">
        <v>47424</v>
      </c>
      <c r="O1357" t="s">
        <v>47425</v>
      </c>
      <c r="P1357">
        <v>0</v>
      </c>
      <c r="Q1357">
        <v>2</v>
      </c>
      <c r="R1357" t="s">
        <v>47428</v>
      </c>
      <c r="S1357" t="s">
        <v>47541</v>
      </c>
      <c r="T1357" t="s">
        <v>49214</v>
      </c>
      <c r="U1357" t="s">
        <v>50854</v>
      </c>
      <c r="W1357" t="s">
        <v>43645</v>
      </c>
      <c r="X1357" t="s">
        <v>47430</v>
      </c>
    </row>
    <row r="1358" spans="1:24">
      <c r="A1358">
        <f>HYPERLINK("https://www.philgeps.gov.ph/GEPSNONPILOT/Tender/SplashBidNoticeAbstractUI.aspx?menuIndex=3&amp;refID=7161900&amp;Result=3","7161900")</f>
        <v>0</v>
      </c>
      <c r="B1358" t="s">
        <v>629</v>
      </c>
      <c r="C1358" t="s">
        <v>5208</v>
      </c>
      <c r="D1358" t="s">
        <v>19049</v>
      </c>
      <c r="E1358" t="s">
        <v>20336</v>
      </c>
      <c r="F1358" t="s">
        <v>32831</v>
      </c>
      <c r="G1358" t="s">
        <v>32840</v>
      </c>
      <c r="H1358" t="s">
        <v>32848</v>
      </c>
      <c r="I1358" t="s">
        <v>10888</v>
      </c>
      <c r="J1358" t="s">
        <v>33957</v>
      </c>
      <c r="K1358" t="s">
        <v>42731</v>
      </c>
      <c r="M1358" t="s">
        <v>43646</v>
      </c>
      <c r="N1358" t="s">
        <v>47424</v>
      </c>
      <c r="O1358" t="s">
        <v>47425</v>
      </c>
      <c r="P1358">
        <v>0</v>
      </c>
      <c r="Q1358">
        <v>0</v>
      </c>
      <c r="R1358" t="s">
        <v>47428</v>
      </c>
      <c r="S1358" t="s">
        <v>47541</v>
      </c>
      <c r="T1358" t="s">
        <v>49129</v>
      </c>
      <c r="U1358" t="s">
        <v>50855</v>
      </c>
      <c r="W1358" t="s">
        <v>43646</v>
      </c>
      <c r="X1358" t="s">
        <v>47430</v>
      </c>
    </row>
    <row r="1359" spans="1:24">
      <c r="A1359">
        <f>HYPERLINK("https://www.philgeps.gov.ph/GEPSNONPILOT/Tender/SplashBidNoticeAbstractUI.aspx?menuIndex=3&amp;refID=7161886&amp;Result=3","7161886")</f>
        <v>0</v>
      </c>
      <c r="B1359" t="s">
        <v>626</v>
      </c>
      <c r="C1359" t="s">
        <v>4591</v>
      </c>
      <c r="D1359" t="s">
        <v>19057</v>
      </c>
      <c r="E1359" t="s">
        <v>20337</v>
      </c>
      <c r="F1359" t="s">
        <v>32831</v>
      </c>
      <c r="G1359" t="s">
        <v>32839</v>
      </c>
      <c r="H1359" t="s">
        <v>32849</v>
      </c>
      <c r="I1359" t="s">
        <v>4177</v>
      </c>
      <c r="J1359" t="s">
        <v>33958</v>
      </c>
      <c r="K1359" t="s">
        <v>42727</v>
      </c>
      <c r="M1359" t="s">
        <v>43642</v>
      </c>
      <c r="N1359" t="s">
        <v>47424</v>
      </c>
      <c r="O1359" t="s">
        <v>47425</v>
      </c>
      <c r="P1359">
        <v>0</v>
      </c>
      <c r="Q1359">
        <v>2</v>
      </c>
      <c r="R1359" t="s">
        <v>47428</v>
      </c>
      <c r="S1359" t="s">
        <v>47541</v>
      </c>
      <c r="T1359" t="s">
        <v>49133</v>
      </c>
      <c r="U1359" t="s">
        <v>50856</v>
      </c>
      <c r="W1359" t="s">
        <v>43642</v>
      </c>
      <c r="X1359" t="s">
        <v>47430</v>
      </c>
    </row>
    <row r="1360" spans="1:24">
      <c r="A1360">
        <f>HYPERLINK("https://www.philgeps.gov.ph/GEPSNONPILOT/Tender/SplashBidNoticeAbstractUI.aspx?menuIndex=3&amp;refID=7161885&amp;Result=3","7161885")</f>
        <v>0</v>
      </c>
      <c r="B1360" t="s">
        <v>630</v>
      </c>
      <c r="C1360" t="s">
        <v>5209</v>
      </c>
      <c r="D1360" t="s">
        <v>19097</v>
      </c>
      <c r="E1360" t="s">
        <v>20338</v>
      </c>
      <c r="F1360" t="s">
        <v>32831</v>
      </c>
      <c r="G1360" t="s">
        <v>32838</v>
      </c>
      <c r="H1360" t="s">
        <v>32848</v>
      </c>
      <c r="I1360" t="s">
        <v>32899</v>
      </c>
      <c r="J1360" t="s">
        <v>32983</v>
      </c>
      <c r="K1360" t="s">
        <v>42730</v>
      </c>
      <c r="M1360" t="s">
        <v>43647</v>
      </c>
      <c r="N1360" t="s">
        <v>47424</v>
      </c>
      <c r="O1360" t="s">
        <v>47425</v>
      </c>
      <c r="P1360">
        <v>0</v>
      </c>
      <c r="Q1360">
        <v>1</v>
      </c>
      <c r="R1360" t="s">
        <v>47428</v>
      </c>
      <c r="S1360" t="s">
        <v>47541</v>
      </c>
      <c r="T1360" t="s">
        <v>49104</v>
      </c>
      <c r="U1360" t="s">
        <v>50857</v>
      </c>
      <c r="V1360" t="s">
        <v>62769</v>
      </c>
      <c r="W1360" t="s">
        <v>43647</v>
      </c>
      <c r="X1360" t="s">
        <v>47430</v>
      </c>
    </row>
    <row r="1361" spans="1:24">
      <c r="A1361">
        <f>HYPERLINK("https://www.philgeps.gov.ph/GEPSNONPILOT/Tender/SplashBidNoticeAbstractUI.aspx?menuIndex=3&amp;refID=7161884&amp;Result=3","7161884")</f>
        <v>0</v>
      </c>
      <c r="B1361" t="s">
        <v>631</v>
      </c>
      <c r="C1361" t="s">
        <v>5210</v>
      </c>
      <c r="D1361" t="s">
        <v>19024</v>
      </c>
      <c r="E1361" t="s">
        <v>20339</v>
      </c>
      <c r="F1361" t="s">
        <v>32831</v>
      </c>
      <c r="G1361" t="s">
        <v>32838</v>
      </c>
      <c r="H1361" t="s">
        <v>32848</v>
      </c>
      <c r="I1361" t="s">
        <v>7416</v>
      </c>
      <c r="J1361" t="s">
        <v>33959</v>
      </c>
      <c r="K1361" t="s">
        <v>42731</v>
      </c>
      <c r="M1361" t="s">
        <v>43648</v>
      </c>
      <c r="N1361" t="s">
        <v>47424</v>
      </c>
      <c r="O1361" t="s">
        <v>47425</v>
      </c>
      <c r="P1361">
        <v>0</v>
      </c>
      <c r="Q1361">
        <v>0</v>
      </c>
      <c r="R1361" t="s">
        <v>47428</v>
      </c>
      <c r="S1361" t="s">
        <v>47541</v>
      </c>
      <c r="T1361" t="s">
        <v>49073</v>
      </c>
      <c r="U1361" t="s">
        <v>50858</v>
      </c>
      <c r="W1361" t="s">
        <v>43648</v>
      </c>
      <c r="X1361" t="s">
        <v>47430</v>
      </c>
    </row>
    <row r="1362" spans="1:24">
      <c r="A1362">
        <f>HYPERLINK("https://www.philgeps.gov.ph/GEPSNONPILOT/Tender/SplashBidNoticeAbstractUI.aspx?menuIndex=3&amp;refID=7161883&amp;Result=3","7161883")</f>
        <v>0</v>
      </c>
      <c r="B1362" t="s">
        <v>632</v>
      </c>
      <c r="C1362" t="s">
        <v>5211</v>
      </c>
      <c r="D1362" t="s">
        <v>19058</v>
      </c>
      <c r="E1362" t="s">
        <v>20340</v>
      </c>
      <c r="F1362" t="s">
        <v>32831</v>
      </c>
      <c r="G1362" t="s">
        <v>32841</v>
      </c>
      <c r="H1362" t="s">
        <v>32848</v>
      </c>
      <c r="I1362" t="s">
        <v>7416</v>
      </c>
      <c r="J1362" t="s">
        <v>33960</v>
      </c>
      <c r="K1362" t="s">
        <v>42726</v>
      </c>
      <c r="M1362" t="s">
        <v>43649</v>
      </c>
      <c r="N1362" t="s">
        <v>47424</v>
      </c>
      <c r="O1362" t="s">
        <v>47425</v>
      </c>
      <c r="P1362">
        <v>0</v>
      </c>
      <c r="Q1362">
        <v>0</v>
      </c>
      <c r="R1362" t="s">
        <v>47428</v>
      </c>
      <c r="S1362" t="s">
        <v>47541</v>
      </c>
      <c r="T1362" t="s">
        <v>49175</v>
      </c>
      <c r="U1362" t="s">
        <v>50859</v>
      </c>
      <c r="W1362" t="s">
        <v>43649</v>
      </c>
      <c r="X1362" t="s">
        <v>47430</v>
      </c>
    </row>
    <row r="1363" spans="1:24">
      <c r="A1363">
        <f>HYPERLINK("https://www.philgeps.gov.ph/GEPSNONPILOT/Tender/SplashBidNoticeAbstractUI.aspx?menuIndex=3&amp;refID=7161882&amp;Result=3","7161882")</f>
        <v>0</v>
      </c>
      <c r="B1363" t="s">
        <v>633</v>
      </c>
      <c r="C1363" t="s">
        <v>5212</v>
      </c>
      <c r="D1363" t="s">
        <v>19062</v>
      </c>
      <c r="E1363" t="s">
        <v>20341</v>
      </c>
      <c r="F1363" t="s">
        <v>32831</v>
      </c>
      <c r="G1363" t="s">
        <v>32838</v>
      </c>
      <c r="H1363" t="s">
        <v>32848</v>
      </c>
      <c r="I1363" t="s">
        <v>4438</v>
      </c>
      <c r="J1363" t="s">
        <v>33714</v>
      </c>
      <c r="K1363" t="s">
        <v>42750</v>
      </c>
      <c r="M1363" t="s">
        <v>43650</v>
      </c>
      <c r="N1363" t="s">
        <v>47424</v>
      </c>
      <c r="O1363" t="s">
        <v>47425</v>
      </c>
      <c r="P1363">
        <v>0</v>
      </c>
      <c r="Q1363">
        <v>2</v>
      </c>
      <c r="R1363" t="s">
        <v>47428</v>
      </c>
      <c r="S1363" t="s">
        <v>47541</v>
      </c>
      <c r="T1363" t="s">
        <v>49123</v>
      </c>
      <c r="U1363" t="s">
        <v>50860</v>
      </c>
      <c r="W1363" t="s">
        <v>43650</v>
      </c>
      <c r="X1363" t="s">
        <v>47430</v>
      </c>
    </row>
    <row r="1364" spans="1:24">
      <c r="A1364">
        <f>HYPERLINK("https://www.philgeps.gov.ph/GEPSNONPILOT/Tender/SplashBidNoticeAbstractUI.aspx?menuIndex=3&amp;refID=7161852&amp;Result=3","7161852")</f>
        <v>0</v>
      </c>
      <c r="B1364" t="s">
        <v>609</v>
      </c>
      <c r="C1364" t="s">
        <v>5213</v>
      </c>
      <c r="D1364" t="s">
        <v>19017</v>
      </c>
      <c r="E1364" t="s">
        <v>20342</v>
      </c>
      <c r="F1364" t="s">
        <v>32831</v>
      </c>
      <c r="G1364" t="s">
        <v>32840</v>
      </c>
      <c r="H1364" t="s">
        <v>32848</v>
      </c>
      <c r="I1364" t="s">
        <v>10805</v>
      </c>
      <c r="J1364" t="s">
        <v>33961</v>
      </c>
      <c r="K1364" t="s">
        <v>42732</v>
      </c>
      <c r="M1364" t="s">
        <v>43623</v>
      </c>
      <c r="N1364" t="s">
        <v>47424</v>
      </c>
      <c r="O1364" t="s">
        <v>47425</v>
      </c>
      <c r="P1364">
        <v>0</v>
      </c>
      <c r="Q1364">
        <v>0</v>
      </c>
      <c r="R1364" t="s">
        <v>47428</v>
      </c>
      <c r="S1364" t="s">
        <v>47541</v>
      </c>
      <c r="T1364" t="s">
        <v>49107</v>
      </c>
      <c r="U1364" t="s">
        <v>50861</v>
      </c>
      <c r="W1364" t="s">
        <v>43623</v>
      </c>
      <c r="X1364" t="s">
        <v>47430</v>
      </c>
    </row>
    <row r="1365" spans="1:24">
      <c r="A1365">
        <f>HYPERLINK("https://www.philgeps.gov.ph/GEPSNONPILOT/Tender/SplashBidNoticeAbstractUI.aspx?menuIndex=3&amp;refID=7161890&amp;Result=3","7161890")</f>
        <v>0</v>
      </c>
      <c r="B1365" t="s">
        <v>210</v>
      </c>
      <c r="C1365" t="s">
        <v>5214</v>
      </c>
      <c r="D1365" t="s">
        <v>19022</v>
      </c>
      <c r="E1365" t="s">
        <v>20343</v>
      </c>
      <c r="F1365" t="s">
        <v>32831</v>
      </c>
      <c r="G1365" t="s">
        <v>32840</v>
      </c>
      <c r="H1365" t="s">
        <v>32848</v>
      </c>
      <c r="I1365" t="s">
        <v>9577</v>
      </c>
      <c r="J1365" t="s">
        <v>33162</v>
      </c>
      <c r="K1365" t="s">
        <v>42748</v>
      </c>
      <c r="M1365" t="s">
        <v>43208</v>
      </c>
      <c r="N1365" t="s">
        <v>47424</v>
      </c>
      <c r="O1365" t="s">
        <v>47425</v>
      </c>
      <c r="P1365">
        <v>0</v>
      </c>
      <c r="Q1365">
        <v>1</v>
      </c>
      <c r="R1365" t="s">
        <v>47428</v>
      </c>
      <c r="S1365" t="s">
        <v>47541</v>
      </c>
      <c r="T1365" t="s">
        <v>49252</v>
      </c>
      <c r="U1365" t="s">
        <v>50862</v>
      </c>
      <c r="W1365" t="s">
        <v>43208</v>
      </c>
      <c r="X1365" t="s">
        <v>47430</v>
      </c>
    </row>
    <row r="1366" spans="1:24">
      <c r="A1366">
        <f>HYPERLINK("https://www.philgeps.gov.ph/GEPSNONPILOT/Tender/SplashBidNoticeAbstractUI.aspx?menuIndex=3&amp;refID=7161851&amp;Result=3","7161851")</f>
        <v>0</v>
      </c>
      <c r="B1366" t="s">
        <v>609</v>
      </c>
      <c r="C1366" t="s">
        <v>5215</v>
      </c>
      <c r="D1366" t="s">
        <v>19017</v>
      </c>
      <c r="E1366" t="s">
        <v>20344</v>
      </c>
      <c r="F1366" t="s">
        <v>32831</v>
      </c>
      <c r="G1366" t="s">
        <v>32840</v>
      </c>
      <c r="H1366" t="s">
        <v>32848</v>
      </c>
      <c r="I1366" t="s">
        <v>32857</v>
      </c>
      <c r="J1366" t="s">
        <v>33962</v>
      </c>
      <c r="K1366" t="s">
        <v>42732</v>
      </c>
      <c r="M1366" t="s">
        <v>43623</v>
      </c>
      <c r="N1366" t="s">
        <v>47424</v>
      </c>
      <c r="O1366" t="s">
        <v>47425</v>
      </c>
      <c r="P1366">
        <v>0</v>
      </c>
      <c r="Q1366">
        <v>24</v>
      </c>
      <c r="R1366" t="s">
        <v>47428</v>
      </c>
      <c r="S1366" t="s">
        <v>47541</v>
      </c>
      <c r="T1366" t="s">
        <v>49107</v>
      </c>
      <c r="U1366" t="s">
        <v>50863</v>
      </c>
      <c r="W1366" t="s">
        <v>43623</v>
      </c>
      <c r="X1366" t="s">
        <v>47430</v>
      </c>
    </row>
    <row r="1367" spans="1:24">
      <c r="A1367">
        <f>HYPERLINK("https://www.philgeps.gov.ph/GEPSNONPILOT/Tender/SplashBidNoticeAbstractUI.aspx?menuIndex=3&amp;refID=7161895&amp;Result=3","7161895")</f>
        <v>0</v>
      </c>
      <c r="B1367" t="s">
        <v>607</v>
      </c>
      <c r="C1367" t="s">
        <v>5216</v>
      </c>
      <c r="D1367" t="s">
        <v>19017</v>
      </c>
      <c r="E1367" t="s">
        <v>20345</v>
      </c>
      <c r="F1367" t="s">
        <v>32831</v>
      </c>
      <c r="G1367" t="s">
        <v>32838</v>
      </c>
      <c r="H1367" t="s">
        <v>32848</v>
      </c>
      <c r="I1367" t="s">
        <v>32867</v>
      </c>
      <c r="J1367" t="s">
        <v>33568</v>
      </c>
      <c r="K1367" t="s">
        <v>42731</v>
      </c>
      <c r="M1367" t="s">
        <v>43632</v>
      </c>
      <c r="N1367" t="s">
        <v>47424</v>
      </c>
      <c r="O1367" t="s">
        <v>47425</v>
      </c>
      <c r="P1367">
        <v>0</v>
      </c>
      <c r="Q1367">
        <v>7</v>
      </c>
      <c r="R1367" t="s">
        <v>47428</v>
      </c>
      <c r="S1367" t="s">
        <v>47541</v>
      </c>
      <c r="T1367" t="s">
        <v>49163</v>
      </c>
      <c r="U1367" t="s">
        <v>50832</v>
      </c>
      <c r="V1367" t="s">
        <v>62766</v>
      </c>
      <c r="W1367" t="s">
        <v>43632</v>
      </c>
      <c r="X1367" t="s">
        <v>47430</v>
      </c>
    </row>
    <row r="1368" spans="1:24">
      <c r="A1368">
        <f>HYPERLINK("https://www.philgeps.gov.ph/GEPSNONPILOT/Tender/SplashBidNoticeAbstractUI.aspx?menuIndex=3&amp;refID=7161848&amp;Result=3","7161848")</f>
        <v>0</v>
      </c>
      <c r="B1368" t="s">
        <v>634</v>
      </c>
      <c r="C1368" t="s">
        <v>5217</v>
      </c>
      <c r="D1368" t="s">
        <v>19044</v>
      </c>
      <c r="E1368" t="s">
        <v>20346</v>
      </c>
      <c r="F1368" t="s">
        <v>32831</v>
      </c>
      <c r="G1368" t="s">
        <v>32838</v>
      </c>
      <c r="H1368" t="s">
        <v>32848</v>
      </c>
      <c r="I1368" t="s">
        <v>4435</v>
      </c>
      <c r="J1368" t="s">
        <v>33963</v>
      </c>
      <c r="K1368" t="s">
        <v>42727</v>
      </c>
      <c r="M1368" t="s">
        <v>43651</v>
      </c>
      <c r="N1368" t="s">
        <v>47424</v>
      </c>
      <c r="O1368" t="s">
        <v>47425</v>
      </c>
      <c r="P1368">
        <v>0</v>
      </c>
      <c r="Q1368">
        <v>1</v>
      </c>
      <c r="R1368" t="s">
        <v>47428</v>
      </c>
      <c r="S1368" t="s">
        <v>47541</v>
      </c>
      <c r="T1368" t="s">
        <v>49253</v>
      </c>
      <c r="U1368" t="s">
        <v>50864</v>
      </c>
      <c r="V1368" t="s">
        <v>62770</v>
      </c>
      <c r="W1368" t="s">
        <v>43651</v>
      </c>
      <c r="X1368" t="s">
        <v>47430</v>
      </c>
    </row>
    <row r="1369" spans="1:24">
      <c r="A1369">
        <f>HYPERLINK("https://www.philgeps.gov.ph/GEPSNONPILOT/Tender/SplashBidNoticeAbstractUI.aspx?menuIndex=3&amp;refID=7161892&amp;Result=3","7161892")</f>
        <v>0</v>
      </c>
      <c r="B1369" t="s">
        <v>635</v>
      </c>
      <c r="C1369" t="s">
        <v>5218</v>
      </c>
      <c r="D1369" t="s">
        <v>19035</v>
      </c>
      <c r="E1369" t="s">
        <v>20347</v>
      </c>
      <c r="F1369" t="s">
        <v>32831</v>
      </c>
      <c r="G1369" t="s">
        <v>32839</v>
      </c>
      <c r="H1369" t="s">
        <v>32848</v>
      </c>
      <c r="I1369" t="s">
        <v>4177</v>
      </c>
      <c r="J1369" t="s">
        <v>33964</v>
      </c>
      <c r="K1369" t="s">
        <v>42779</v>
      </c>
      <c r="L1369" t="s">
        <v>635</v>
      </c>
      <c r="M1369" t="s">
        <v>43652</v>
      </c>
      <c r="N1369" t="s">
        <v>47424</v>
      </c>
      <c r="O1369" t="s">
        <v>47425</v>
      </c>
      <c r="P1369">
        <v>0</v>
      </c>
      <c r="Q1369">
        <v>0</v>
      </c>
      <c r="R1369" t="s">
        <v>47428</v>
      </c>
      <c r="S1369" t="s">
        <v>47541</v>
      </c>
      <c r="T1369" t="s">
        <v>49073</v>
      </c>
      <c r="U1369" t="s">
        <v>50865</v>
      </c>
      <c r="V1369" t="s">
        <v>62771</v>
      </c>
      <c r="W1369" t="s">
        <v>43652</v>
      </c>
      <c r="X1369" t="s">
        <v>47430</v>
      </c>
    </row>
    <row r="1370" spans="1:24">
      <c r="A1370">
        <f>HYPERLINK("https://www.philgeps.gov.ph/GEPSNONPILOT/Tender/SplashBidNoticeAbstractUI.aspx?menuIndex=3&amp;refID=7161891&amp;Result=3","7161891")</f>
        <v>0</v>
      </c>
      <c r="B1370" t="s">
        <v>609</v>
      </c>
      <c r="C1370" t="s">
        <v>4716</v>
      </c>
      <c r="D1370" t="s">
        <v>19017</v>
      </c>
      <c r="E1370" t="s">
        <v>20348</v>
      </c>
      <c r="F1370" t="s">
        <v>32831</v>
      </c>
      <c r="G1370" t="s">
        <v>32840</v>
      </c>
      <c r="H1370" t="s">
        <v>32848</v>
      </c>
      <c r="I1370" t="s">
        <v>32857</v>
      </c>
      <c r="J1370" t="s">
        <v>33965</v>
      </c>
      <c r="K1370" t="s">
        <v>42732</v>
      </c>
      <c r="M1370" t="s">
        <v>43623</v>
      </c>
      <c r="N1370" t="s">
        <v>47424</v>
      </c>
      <c r="O1370" t="s">
        <v>47425</v>
      </c>
      <c r="P1370">
        <v>0</v>
      </c>
      <c r="Q1370">
        <v>11</v>
      </c>
      <c r="R1370" t="s">
        <v>47428</v>
      </c>
      <c r="S1370" t="s">
        <v>47541</v>
      </c>
      <c r="T1370" t="s">
        <v>49107</v>
      </c>
      <c r="U1370" t="s">
        <v>50866</v>
      </c>
      <c r="W1370" t="s">
        <v>43623</v>
      </c>
      <c r="X1370" t="s">
        <v>47430</v>
      </c>
    </row>
    <row r="1371" spans="1:24">
      <c r="A1371">
        <f>HYPERLINK("https://www.philgeps.gov.ph/GEPSNONPILOT/Tender/SplashBidNoticeAbstractUI.aspx?menuIndex=3&amp;refID=7161854&amp;Result=3","7161854")</f>
        <v>0</v>
      </c>
      <c r="B1371" t="s">
        <v>609</v>
      </c>
      <c r="C1371" t="s">
        <v>5219</v>
      </c>
      <c r="D1371" t="s">
        <v>19017</v>
      </c>
      <c r="E1371" t="s">
        <v>20349</v>
      </c>
      <c r="F1371" t="s">
        <v>32831</v>
      </c>
      <c r="G1371" t="s">
        <v>32840</v>
      </c>
      <c r="H1371" t="s">
        <v>32848</v>
      </c>
      <c r="I1371" t="s">
        <v>4487</v>
      </c>
      <c r="J1371" t="s">
        <v>33961</v>
      </c>
      <c r="K1371" t="s">
        <v>42732</v>
      </c>
      <c r="M1371" t="s">
        <v>43623</v>
      </c>
      <c r="N1371" t="s">
        <v>47424</v>
      </c>
      <c r="O1371" t="s">
        <v>47425</v>
      </c>
      <c r="P1371">
        <v>0</v>
      </c>
      <c r="Q1371">
        <v>10</v>
      </c>
      <c r="R1371" t="s">
        <v>47428</v>
      </c>
      <c r="S1371" t="s">
        <v>47541</v>
      </c>
      <c r="T1371" t="s">
        <v>49107</v>
      </c>
      <c r="U1371" t="s">
        <v>50867</v>
      </c>
      <c r="W1371" t="s">
        <v>43623</v>
      </c>
      <c r="X1371" t="s">
        <v>47430</v>
      </c>
    </row>
    <row r="1372" spans="1:24">
      <c r="A1372">
        <f>HYPERLINK("https://www.philgeps.gov.ph/GEPSNONPILOT/Tender/SplashBidNoticeAbstractUI.aspx?menuIndex=3&amp;refID=7161822&amp;Result=3","7161822")</f>
        <v>0</v>
      </c>
      <c r="B1372" t="s">
        <v>605</v>
      </c>
      <c r="C1372" t="s">
        <v>5220</v>
      </c>
      <c r="D1372" t="s">
        <v>19027</v>
      </c>
      <c r="E1372" t="s">
        <v>19937</v>
      </c>
      <c r="F1372" t="s">
        <v>32831</v>
      </c>
      <c r="G1372" t="s">
        <v>32839</v>
      </c>
      <c r="H1372" t="s">
        <v>32848</v>
      </c>
      <c r="I1372" t="s">
        <v>7416</v>
      </c>
      <c r="J1372" t="s">
        <v>33966</v>
      </c>
      <c r="K1372" t="s">
        <v>42759</v>
      </c>
      <c r="M1372" t="s">
        <v>43619</v>
      </c>
      <c r="N1372" t="s">
        <v>47424</v>
      </c>
      <c r="O1372" t="s">
        <v>47425</v>
      </c>
      <c r="P1372">
        <v>0</v>
      </c>
      <c r="Q1372">
        <v>0</v>
      </c>
      <c r="R1372" t="s">
        <v>47428</v>
      </c>
      <c r="S1372" t="s">
        <v>47541</v>
      </c>
      <c r="T1372" t="s">
        <v>49073</v>
      </c>
      <c r="U1372" t="s">
        <v>50868</v>
      </c>
      <c r="W1372" t="s">
        <v>43619</v>
      </c>
      <c r="X1372" t="s">
        <v>47430</v>
      </c>
    </row>
    <row r="1373" spans="1:24">
      <c r="A1373">
        <f>HYPERLINK("https://www.philgeps.gov.ph/GEPSNONPILOT/Tender/SplashBidNoticeAbstractUI.aspx?menuIndex=3&amp;refID=7161872&amp;Result=3","7161872")</f>
        <v>0</v>
      </c>
      <c r="B1373" t="s">
        <v>632</v>
      </c>
      <c r="C1373" t="s">
        <v>5221</v>
      </c>
      <c r="D1373" t="s">
        <v>19058</v>
      </c>
      <c r="E1373" t="s">
        <v>20350</v>
      </c>
      <c r="F1373" t="s">
        <v>32831</v>
      </c>
      <c r="G1373" t="s">
        <v>32841</v>
      </c>
      <c r="H1373" t="s">
        <v>32848</v>
      </c>
      <c r="I1373" t="s">
        <v>7416</v>
      </c>
      <c r="J1373" t="s">
        <v>33967</v>
      </c>
      <c r="K1373" t="s">
        <v>42726</v>
      </c>
      <c r="M1373" t="s">
        <v>43649</v>
      </c>
      <c r="N1373" t="s">
        <v>47424</v>
      </c>
      <c r="O1373" t="s">
        <v>47425</v>
      </c>
      <c r="P1373">
        <v>0</v>
      </c>
      <c r="Q1373">
        <v>0</v>
      </c>
      <c r="R1373" t="s">
        <v>47428</v>
      </c>
      <c r="S1373" t="s">
        <v>47541</v>
      </c>
      <c r="T1373" t="s">
        <v>49175</v>
      </c>
      <c r="U1373" t="s">
        <v>50859</v>
      </c>
      <c r="W1373" t="s">
        <v>43649</v>
      </c>
      <c r="X1373" t="s">
        <v>47430</v>
      </c>
    </row>
    <row r="1374" spans="1:24">
      <c r="A1374">
        <f>HYPERLINK("https://www.philgeps.gov.ph/GEPSNONPILOT/Tender/SplashBidNoticeAbstractUI.aspx?menuIndex=3&amp;refID=7161821&amp;Result=3","7161821")</f>
        <v>0</v>
      </c>
      <c r="B1374" t="s">
        <v>605</v>
      </c>
      <c r="C1374" t="s">
        <v>5222</v>
      </c>
      <c r="D1374" t="s">
        <v>19027</v>
      </c>
      <c r="E1374" t="s">
        <v>19130</v>
      </c>
      <c r="F1374" t="s">
        <v>32831</v>
      </c>
      <c r="G1374" t="s">
        <v>32839</v>
      </c>
      <c r="H1374" t="s">
        <v>32848</v>
      </c>
      <c r="I1374" t="s">
        <v>7416</v>
      </c>
      <c r="J1374" t="s">
        <v>33968</v>
      </c>
      <c r="K1374" t="s">
        <v>42759</v>
      </c>
      <c r="M1374" t="s">
        <v>43619</v>
      </c>
      <c r="N1374" t="s">
        <v>47424</v>
      </c>
      <c r="O1374" t="s">
        <v>47425</v>
      </c>
      <c r="P1374">
        <v>0</v>
      </c>
      <c r="Q1374">
        <v>0</v>
      </c>
      <c r="R1374" t="s">
        <v>47428</v>
      </c>
      <c r="S1374" t="s">
        <v>47541</v>
      </c>
      <c r="T1374" t="s">
        <v>49073</v>
      </c>
      <c r="U1374" t="s">
        <v>50833</v>
      </c>
      <c r="W1374" t="s">
        <v>43619</v>
      </c>
      <c r="X1374" t="s">
        <v>47430</v>
      </c>
    </row>
    <row r="1375" spans="1:24">
      <c r="A1375">
        <f>HYPERLINK("https://www.philgeps.gov.ph/GEPSNONPILOT/Tender/SplashBidNoticeAbstractUI.aspx?menuIndex=3&amp;refID=7161819&amp;Result=3","7161819")</f>
        <v>0</v>
      </c>
      <c r="B1375" t="s">
        <v>598</v>
      </c>
      <c r="C1375" t="s">
        <v>5223</v>
      </c>
      <c r="E1375" t="s">
        <v>20351</v>
      </c>
      <c r="F1375" t="s">
        <v>32831</v>
      </c>
      <c r="G1375" t="s">
        <v>32838</v>
      </c>
      <c r="H1375" t="s">
        <v>32848</v>
      </c>
      <c r="I1375" t="s">
        <v>4487</v>
      </c>
      <c r="J1375" t="s">
        <v>33090</v>
      </c>
      <c r="K1375" t="s">
        <v>42732</v>
      </c>
      <c r="M1375" t="s">
        <v>43612</v>
      </c>
      <c r="N1375" t="s">
        <v>47424</v>
      </c>
      <c r="O1375" t="s">
        <v>47425</v>
      </c>
      <c r="P1375">
        <v>0</v>
      </c>
      <c r="Q1375">
        <v>10</v>
      </c>
      <c r="R1375" t="s">
        <v>47428</v>
      </c>
      <c r="S1375" t="s">
        <v>47541</v>
      </c>
      <c r="T1375" t="s">
        <v>49056</v>
      </c>
      <c r="U1375" t="s">
        <v>50869</v>
      </c>
      <c r="W1375" t="s">
        <v>43612</v>
      </c>
      <c r="X1375" t="s">
        <v>47430</v>
      </c>
    </row>
    <row r="1376" spans="1:24">
      <c r="A1376">
        <f>HYPERLINK("https://www.philgeps.gov.ph/GEPSNONPILOT/Tender/SplashBidNoticeAbstractUI.aspx?menuIndex=3&amp;refID=7161817&amp;Result=3","7161817")</f>
        <v>0</v>
      </c>
      <c r="B1376" t="s">
        <v>598</v>
      </c>
      <c r="C1376" t="s">
        <v>5224</v>
      </c>
      <c r="E1376" t="s">
        <v>20352</v>
      </c>
      <c r="F1376" t="s">
        <v>32831</v>
      </c>
      <c r="G1376" t="s">
        <v>32838</v>
      </c>
      <c r="H1376" t="s">
        <v>32848</v>
      </c>
      <c r="I1376" t="s">
        <v>4487</v>
      </c>
      <c r="J1376" t="s">
        <v>33090</v>
      </c>
      <c r="K1376" t="s">
        <v>42732</v>
      </c>
      <c r="M1376" t="s">
        <v>43612</v>
      </c>
      <c r="N1376" t="s">
        <v>47424</v>
      </c>
      <c r="O1376" t="s">
        <v>47425</v>
      </c>
      <c r="P1376">
        <v>0</v>
      </c>
      <c r="Q1376">
        <v>10</v>
      </c>
      <c r="R1376" t="s">
        <v>47428</v>
      </c>
      <c r="S1376" t="s">
        <v>47541</v>
      </c>
      <c r="T1376" t="s">
        <v>49056</v>
      </c>
      <c r="U1376" t="s">
        <v>50870</v>
      </c>
      <c r="W1376" t="s">
        <v>43612</v>
      </c>
      <c r="X1376" t="s">
        <v>47430</v>
      </c>
    </row>
    <row r="1377" spans="1:24">
      <c r="A1377">
        <f>HYPERLINK("https://www.philgeps.gov.ph/GEPSNONPILOT/Tender/SplashBidNoticeAbstractUI.aspx?menuIndex=3&amp;refID=7164414&amp;Result=3","7164414")</f>
        <v>0</v>
      </c>
      <c r="B1377" t="s">
        <v>413</v>
      </c>
      <c r="C1377" t="s">
        <v>5225</v>
      </c>
      <c r="D1377" t="s">
        <v>19017</v>
      </c>
      <c r="E1377" t="s">
        <v>20353</v>
      </c>
      <c r="F1377" t="s">
        <v>32831</v>
      </c>
      <c r="G1377" t="s">
        <v>32840</v>
      </c>
      <c r="H1377" t="s">
        <v>32848</v>
      </c>
      <c r="I1377" t="s">
        <v>4487</v>
      </c>
      <c r="J1377" t="s">
        <v>32983</v>
      </c>
      <c r="K1377" t="s">
        <v>42727</v>
      </c>
      <c r="M1377" t="s">
        <v>43418</v>
      </c>
      <c r="N1377" t="s">
        <v>47424</v>
      </c>
      <c r="O1377" t="s">
        <v>47425</v>
      </c>
      <c r="P1377">
        <v>0</v>
      </c>
      <c r="Q1377">
        <v>3</v>
      </c>
      <c r="R1377" t="s">
        <v>47427</v>
      </c>
      <c r="S1377" t="s">
        <v>47540</v>
      </c>
      <c r="T1377" t="s">
        <v>49163</v>
      </c>
      <c r="U1377" t="s">
        <v>50871</v>
      </c>
      <c r="W1377" t="s">
        <v>43418</v>
      </c>
      <c r="X1377" t="s">
        <v>47428</v>
      </c>
    </row>
    <row r="1378" spans="1:24">
      <c r="A1378">
        <f>HYPERLINK("https://www.philgeps.gov.ph/GEPSNONPILOT/Tender/SplashBidNoticeAbstractUI.aspx?menuIndex=3&amp;refID=7164411&amp;Result=3","7164411")</f>
        <v>0</v>
      </c>
      <c r="B1378" t="s">
        <v>525</v>
      </c>
      <c r="C1378" t="s">
        <v>5226</v>
      </c>
      <c r="D1378" t="s">
        <v>19029</v>
      </c>
      <c r="E1378" t="s">
        <v>20354</v>
      </c>
      <c r="F1378" t="s">
        <v>32831</v>
      </c>
      <c r="G1378" t="s">
        <v>32839</v>
      </c>
      <c r="H1378" t="s">
        <v>32848</v>
      </c>
      <c r="I1378" t="s">
        <v>32871</v>
      </c>
      <c r="J1378" t="s">
        <v>33969</v>
      </c>
      <c r="K1378" t="s">
        <v>42727</v>
      </c>
      <c r="M1378" t="s">
        <v>43531</v>
      </c>
      <c r="N1378" t="s">
        <v>47424</v>
      </c>
      <c r="O1378" t="s">
        <v>47425</v>
      </c>
      <c r="P1378">
        <v>0</v>
      </c>
      <c r="Q1378">
        <v>15</v>
      </c>
      <c r="R1378" t="s">
        <v>47427</v>
      </c>
      <c r="S1378" t="s">
        <v>47540</v>
      </c>
      <c r="T1378" t="s">
        <v>49071</v>
      </c>
      <c r="U1378" t="s">
        <v>50872</v>
      </c>
      <c r="W1378" t="s">
        <v>43531</v>
      </c>
      <c r="X1378" t="s">
        <v>47428</v>
      </c>
    </row>
    <row r="1379" spans="1:24">
      <c r="A1379">
        <f>HYPERLINK("https://www.philgeps.gov.ph/GEPSNONPILOT/Tender/SplashBidNoticeAbstractUI.aspx?menuIndex=3&amp;refID=7164410&amp;Result=3","7164410")</f>
        <v>0</v>
      </c>
      <c r="B1379" t="s">
        <v>636</v>
      </c>
      <c r="C1379" t="s">
        <v>5227</v>
      </c>
      <c r="D1379" t="s">
        <v>19017</v>
      </c>
      <c r="E1379" t="s">
        <v>20355</v>
      </c>
      <c r="F1379" t="s">
        <v>32831</v>
      </c>
      <c r="G1379" t="s">
        <v>32838</v>
      </c>
      <c r="H1379" t="s">
        <v>32848</v>
      </c>
      <c r="I1379" t="s">
        <v>32858</v>
      </c>
      <c r="J1379" t="s">
        <v>32979</v>
      </c>
      <c r="K1379" t="s">
        <v>42801</v>
      </c>
      <c r="M1379" t="s">
        <v>43653</v>
      </c>
      <c r="N1379" t="s">
        <v>47424</v>
      </c>
      <c r="O1379" t="s">
        <v>47425</v>
      </c>
      <c r="P1379">
        <v>0</v>
      </c>
      <c r="Q1379">
        <v>0</v>
      </c>
      <c r="R1379" t="s">
        <v>47427</v>
      </c>
      <c r="S1379" t="s">
        <v>47540</v>
      </c>
      <c r="T1379" t="s">
        <v>49081</v>
      </c>
      <c r="U1379" t="s">
        <v>50873</v>
      </c>
      <c r="W1379" t="s">
        <v>43653</v>
      </c>
      <c r="X1379" t="s">
        <v>47428</v>
      </c>
    </row>
    <row r="1380" spans="1:24">
      <c r="A1380">
        <f>HYPERLINK("https://www.philgeps.gov.ph/GEPSNONPILOT/Tender/SplashBidNoticeAbstractUI.aspx?menuIndex=3&amp;refID=7164409&amp;Result=3","7164409")</f>
        <v>0</v>
      </c>
      <c r="B1380" t="s">
        <v>517</v>
      </c>
      <c r="C1380" t="s">
        <v>5228</v>
      </c>
      <c r="E1380" t="s">
        <v>20356</v>
      </c>
      <c r="F1380" t="s">
        <v>32831</v>
      </c>
      <c r="G1380" t="s">
        <v>32839</v>
      </c>
      <c r="H1380" t="s">
        <v>32848</v>
      </c>
      <c r="I1380" t="s">
        <v>7416</v>
      </c>
      <c r="J1380" t="s">
        <v>33970</v>
      </c>
      <c r="K1380" t="s">
        <v>42732</v>
      </c>
      <c r="M1380" t="s">
        <v>43522</v>
      </c>
      <c r="N1380" t="s">
        <v>47424</v>
      </c>
      <c r="O1380" t="s">
        <v>47425</v>
      </c>
      <c r="P1380">
        <v>0</v>
      </c>
      <c r="Q1380">
        <v>0</v>
      </c>
      <c r="R1380" t="s">
        <v>47427</v>
      </c>
      <c r="S1380" t="s">
        <v>47540</v>
      </c>
      <c r="T1380" t="s">
        <v>49155</v>
      </c>
      <c r="U1380" t="s">
        <v>50874</v>
      </c>
      <c r="W1380" t="s">
        <v>43522</v>
      </c>
      <c r="X1380" t="s">
        <v>47428</v>
      </c>
    </row>
    <row r="1381" spans="1:24">
      <c r="A1381">
        <f>HYPERLINK("https://www.philgeps.gov.ph/GEPSNONPILOT/Tender/SplashBidNoticeAbstractUI.aspx?menuIndex=3&amp;refID=7164382&amp;Result=3","7164382")</f>
        <v>0</v>
      </c>
      <c r="B1381" t="s">
        <v>637</v>
      </c>
      <c r="C1381" t="s">
        <v>5229</v>
      </c>
      <c r="D1381" t="s">
        <v>19031</v>
      </c>
      <c r="E1381" t="s">
        <v>20357</v>
      </c>
      <c r="F1381" t="s">
        <v>32831</v>
      </c>
      <c r="G1381" t="s">
        <v>32838</v>
      </c>
      <c r="H1381" t="s">
        <v>32848</v>
      </c>
      <c r="I1381" t="s">
        <v>32882</v>
      </c>
      <c r="J1381" t="s">
        <v>33971</v>
      </c>
      <c r="K1381" t="s">
        <v>42747</v>
      </c>
      <c r="M1381" t="s">
        <v>43654</v>
      </c>
      <c r="N1381" t="s">
        <v>47424</v>
      </c>
      <c r="O1381" t="s">
        <v>47425</v>
      </c>
      <c r="P1381">
        <v>0</v>
      </c>
      <c r="Q1381">
        <v>0</v>
      </c>
      <c r="R1381" t="s">
        <v>47427</v>
      </c>
      <c r="S1381" t="s">
        <v>47540</v>
      </c>
      <c r="T1381" t="s">
        <v>49177</v>
      </c>
      <c r="U1381" t="s">
        <v>50875</v>
      </c>
      <c r="W1381" t="s">
        <v>43654</v>
      </c>
      <c r="X1381" t="s">
        <v>47428</v>
      </c>
    </row>
    <row r="1382" spans="1:24">
      <c r="A1382">
        <f>HYPERLINK("https://www.philgeps.gov.ph/GEPSNONPILOT/Tender/SplashBidNoticeAbstractUI.aspx?menuIndex=3&amp;refID=7164381&amp;Result=3","7164381")</f>
        <v>0</v>
      </c>
      <c r="B1382" t="s">
        <v>638</v>
      </c>
      <c r="C1382" t="s">
        <v>5230</v>
      </c>
      <c r="D1382" t="s">
        <v>19017</v>
      </c>
      <c r="E1382" t="s">
        <v>20358</v>
      </c>
      <c r="F1382" t="s">
        <v>32831</v>
      </c>
      <c r="G1382" t="s">
        <v>32840</v>
      </c>
      <c r="H1382" t="s">
        <v>32848</v>
      </c>
      <c r="I1382" t="s">
        <v>4177</v>
      </c>
      <c r="J1382" t="s">
        <v>33087</v>
      </c>
      <c r="K1382" t="s">
        <v>42745</v>
      </c>
      <c r="M1382" t="s">
        <v>43655</v>
      </c>
      <c r="N1382" t="s">
        <v>47424</v>
      </c>
      <c r="O1382" t="s">
        <v>47425</v>
      </c>
      <c r="P1382">
        <v>0</v>
      </c>
      <c r="Q1382">
        <v>2</v>
      </c>
      <c r="R1382" t="s">
        <v>47427</v>
      </c>
      <c r="S1382" t="s">
        <v>47540</v>
      </c>
      <c r="T1382" t="s">
        <v>49145</v>
      </c>
      <c r="U1382" t="s">
        <v>50876</v>
      </c>
      <c r="W1382" t="s">
        <v>43655</v>
      </c>
      <c r="X1382" t="s">
        <v>47428</v>
      </c>
    </row>
    <row r="1383" spans="1:24">
      <c r="A1383">
        <f>HYPERLINK("https://www.philgeps.gov.ph/GEPSNONPILOT/Tender/SplashBidNoticeAbstractUI.aspx?menuIndex=3&amp;refID=7164376&amp;Result=3","7164376")</f>
        <v>0</v>
      </c>
      <c r="B1383" t="s">
        <v>513</v>
      </c>
      <c r="C1383" t="s">
        <v>4930</v>
      </c>
      <c r="D1383" t="s">
        <v>19018</v>
      </c>
      <c r="E1383" t="s">
        <v>20359</v>
      </c>
      <c r="F1383" t="s">
        <v>32831</v>
      </c>
      <c r="G1383" t="s">
        <v>32842</v>
      </c>
      <c r="H1383" t="s">
        <v>32848</v>
      </c>
      <c r="I1383" t="s">
        <v>9577</v>
      </c>
      <c r="J1383" t="s">
        <v>33972</v>
      </c>
      <c r="K1383" t="s">
        <v>42726</v>
      </c>
      <c r="M1383" t="s">
        <v>43518</v>
      </c>
      <c r="N1383" t="s">
        <v>47424</v>
      </c>
      <c r="O1383" t="s">
        <v>47425</v>
      </c>
      <c r="P1383">
        <v>0</v>
      </c>
      <c r="Q1383">
        <v>1</v>
      </c>
      <c r="R1383" t="s">
        <v>47427</v>
      </c>
      <c r="S1383" t="s">
        <v>47540</v>
      </c>
      <c r="T1383" t="s">
        <v>49214</v>
      </c>
      <c r="U1383" t="s">
        <v>50594</v>
      </c>
      <c r="W1383" t="s">
        <v>64441</v>
      </c>
      <c r="X1383" t="s">
        <v>47428</v>
      </c>
    </row>
    <row r="1384" spans="1:24">
      <c r="A1384">
        <f>HYPERLINK("https://www.philgeps.gov.ph/GEPSNONPILOT/Tender/SplashBidNoticeAbstractUI.aspx?menuIndex=3&amp;refID=7161844&amp;Result=3","7161844")</f>
        <v>0</v>
      </c>
      <c r="B1384" t="s">
        <v>639</v>
      </c>
      <c r="C1384" t="s">
        <v>5231</v>
      </c>
      <c r="D1384" t="s">
        <v>19017</v>
      </c>
      <c r="E1384" t="s">
        <v>5231</v>
      </c>
      <c r="F1384" t="s">
        <v>32831</v>
      </c>
      <c r="G1384" t="s">
        <v>32838</v>
      </c>
      <c r="H1384" t="s">
        <v>32848</v>
      </c>
      <c r="I1384" t="s">
        <v>9577</v>
      </c>
      <c r="J1384" t="s">
        <v>33087</v>
      </c>
      <c r="K1384" t="s">
        <v>42727</v>
      </c>
      <c r="M1384" t="s">
        <v>43656</v>
      </c>
      <c r="N1384" t="s">
        <v>47424</v>
      </c>
      <c r="O1384" t="s">
        <v>47425</v>
      </c>
      <c r="P1384">
        <v>0</v>
      </c>
      <c r="Q1384">
        <v>6</v>
      </c>
      <c r="R1384" t="s">
        <v>47428</v>
      </c>
      <c r="S1384" t="s">
        <v>47541</v>
      </c>
      <c r="T1384" t="s">
        <v>49235</v>
      </c>
      <c r="U1384" t="s">
        <v>50877</v>
      </c>
      <c r="W1384" t="s">
        <v>43656</v>
      </c>
      <c r="X1384" t="s">
        <v>47430</v>
      </c>
    </row>
    <row r="1385" spans="1:24">
      <c r="A1385">
        <f>HYPERLINK("https://www.philgeps.gov.ph/GEPSNONPILOT/Tender/SplashBidNoticeAbstractUI.aspx?menuIndex=3&amp;refID=7161850&amp;Result=3","7161850")</f>
        <v>0</v>
      </c>
      <c r="B1385" t="s">
        <v>640</v>
      </c>
      <c r="C1385" t="s">
        <v>5232</v>
      </c>
      <c r="E1385" t="s">
        <v>20360</v>
      </c>
      <c r="F1385" t="s">
        <v>32831</v>
      </c>
      <c r="G1385" t="s">
        <v>32839</v>
      </c>
      <c r="H1385" t="s">
        <v>32848</v>
      </c>
      <c r="I1385" t="s">
        <v>7751</v>
      </c>
      <c r="J1385" t="s">
        <v>33118</v>
      </c>
      <c r="K1385" t="s">
        <v>42727</v>
      </c>
      <c r="M1385" t="s">
        <v>43657</v>
      </c>
      <c r="N1385" t="s">
        <v>47424</v>
      </c>
      <c r="O1385" t="s">
        <v>47425</v>
      </c>
      <c r="P1385">
        <v>0</v>
      </c>
      <c r="Q1385">
        <v>2</v>
      </c>
      <c r="R1385" t="s">
        <v>47428</v>
      </c>
      <c r="S1385" t="s">
        <v>47541</v>
      </c>
      <c r="T1385" t="s">
        <v>49254</v>
      </c>
      <c r="U1385" t="s">
        <v>50878</v>
      </c>
      <c r="W1385" t="s">
        <v>43657</v>
      </c>
      <c r="X1385" t="s">
        <v>47430</v>
      </c>
    </row>
    <row r="1386" spans="1:24">
      <c r="A1386">
        <f>HYPERLINK("https://www.philgeps.gov.ph/GEPSNONPILOT/Tender/SplashBidNoticeAbstractUI.aspx?menuIndex=3&amp;refID=7161950&amp;Result=3","7161950")</f>
        <v>0</v>
      </c>
      <c r="B1386" t="s">
        <v>641</v>
      </c>
      <c r="C1386" t="s">
        <v>5233</v>
      </c>
      <c r="D1386" t="s">
        <v>19048</v>
      </c>
      <c r="E1386" t="s">
        <v>20361</v>
      </c>
      <c r="F1386" t="s">
        <v>32831</v>
      </c>
      <c r="G1386" t="s">
        <v>32838</v>
      </c>
      <c r="H1386" t="s">
        <v>32848</v>
      </c>
      <c r="I1386" t="s">
        <v>7819</v>
      </c>
      <c r="J1386" t="s">
        <v>33973</v>
      </c>
      <c r="K1386" t="s">
        <v>42727</v>
      </c>
      <c r="M1386" t="s">
        <v>43658</v>
      </c>
      <c r="N1386" t="s">
        <v>47424</v>
      </c>
      <c r="O1386" t="s">
        <v>47425</v>
      </c>
      <c r="P1386">
        <v>0</v>
      </c>
      <c r="Q1386">
        <v>2</v>
      </c>
      <c r="R1386" t="s">
        <v>47428</v>
      </c>
      <c r="S1386" t="s">
        <v>47541</v>
      </c>
      <c r="T1386" t="s">
        <v>49239</v>
      </c>
      <c r="U1386" t="s">
        <v>50879</v>
      </c>
      <c r="W1386" t="s">
        <v>43658</v>
      </c>
      <c r="X1386" t="s">
        <v>47430</v>
      </c>
    </row>
    <row r="1387" spans="1:24">
      <c r="A1387">
        <f>HYPERLINK("https://www.philgeps.gov.ph/GEPSNONPILOT/Tender/SplashBidNoticeAbstractUI.aspx?menuIndex=3&amp;refID=7161948&amp;Result=3","7161948")</f>
        <v>0</v>
      </c>
      <c r="B1387" t="s">
        <v>642</v>
      </c>
      <c r="C1387" t="s">
        <v>5234</v>
      </c>
      <c r="D1387" t="s">
        <v>19020</v>
      </c>
      <c r="E1387" t="s">
        <v>20362</v>
      </c>
      <c r="F1387" t="s">
        <v>32831</v>
      </c>
      <c r="G1387" t="s">
        <v>32839</v>
      </c>
      <c r="H1387" t="s">
        <v>32849</v>
      </c>
      <c r="I1387" t="s">
        <v>4177</v>
      </c>
      <c r="J1387" t="s">
        <v>33974</v>
      </c>
      <c r="K1387" t="s">
        <v>42802</v>
      </c>
      <c r="M1387" t="s">
        <v>43659</v>
      </c>
      <c r="N1387" t="s">
        <v>47424</v>
      </c>
      <c r="O1387" t="s">
        <v>47425</v>
      </c>
      <c r="P1387">
        <v>0</v>
      </c>
      <c r="Q1387">
        <v>0</v>
      </c>
      <c r="R1387" t="s">
        <v>47428</v>
      </c>
      <c r="S1387" t="s">
        <v>47541</v>
      </c>
      <c r="T1387" t="s">
        <v>49181</v>
      </c>
      <c r="U1387" t="s">
        <v>50880</v>
      </c>
      <c r="V1387" t="s">
        <v>62772</v>
      </c>
      <c r="W1387" t="s">
        <v>43659</v>
      </c>
      <c r="X1387" t="s">
        <v>47430</v>
      </c>
    </row>
    <row r="1388" spans="1:24">
      <c r="A1388">
        <f>HYPERLINK("https://www.philgeps.gov.ph/GEPSNONPILOT/Tender/SplashBidNoticeAbstractUI.aspx?menuIndex=3&amp;refID=7161820&amp;Result=3","7161820")</f>
        <v>0</v>
      </c>
      <c r="B1388" t="s">
        <v>605</v>
      </c>
      <c r="C1388" t="s">
        <v>5235</v>
      </c>
      <c r="D1388" t="s">
        <v>19027</v>
      </c>
      <c r="E1388" t="s">
        <v>19211</v>
      </c>
      <c r="F1388" t="s">
        <v>32831</v>
      </c>
      <c r="G1388" t="s">
        <v>32842</v>
      </c>
      <c r="H1388" t="s">
        <v>32848</v>
      </c>
      <c r="I1388" t="s">
        <v>32860</v>
      </c>
      <c r="J1388" t="s">
        <v>33975</v>
      </c>
      <c r="K1388" t="s">
        <v>42759</v>
      </c>
      <c r="M1388" t="s">
        <v>43619</v>
      </c>
      <c r="N1388" t="s">
        <v>47424</v>
      </c>
      <c r="O1388" t="s">
        <v>47425</v>
      </c>
      <c r="P1388">
        <v>0</v>
      </c>
      <c r="Q1388">
        <v>1</v>
      </c>
      <c r="R1388" t="s">
        <v>47428</v>
      </c>
      <c r="S1388" t="s">
        <v>47541</v>
      </c>
      <c r="T1388" t="s">
        <v>49129</v>
      </c>
      <c r="U1388" t="s">
        <v>50881</v>
      </c>
      <c r="W1388" t="s">
        <v>43619</v>
      </c>
      <c r="X1388" t="s">
        <v>47430</v>
      </c>
    </row>
    <row r="1389" spans="1:24">
      <c r="A1389">
        <f>HYPERLINK("https://www.philgeps.gov.ph/GEPSNONPILOT/Tender/SplashBidNoticeAbstractUI.aspx?menuIndex=3&amp;refID=7161941&amp;Result=3","7161941")</f>
        <v>0</v>
      </c>
      <c r="B1389" t="s">
        <v>643</v>
      </c>
      <c r="C1389" t="s">
        <v>5236</v>
      </c>
      <c r="E1389" t="s">
        <v>20363</v>
      </c>
      <c r="F1389" t="s">
        <v>32831</v>
      </c>
      <c r="G1389" t="s">
        <v>32838</v>
      </c>
      <c r="H1389" t="s">
        <v>32848</v>
      </c>
      <c r="I1389" t="s">
        <v>32862</v>
      </c>
      <c r="J1389" t="s">
        <v>33976</v>
      </c>
      <c r="K1389" t="s">
        <v>42726</v>
      </c>
      <c r="M1389" t="s">
        <v>43660</v>
      </c>
      <c r="N1389" t="s">
        <v>47424</v>
      </c>
      <c r="O1389" t="s">
        <v>47425</v>
      </c>
      <c r="P1389">
        <v>0</v>
      </c>
      <c r="Q1389">
        <v>0</v>
      </c>
      <c r="R1389" t="s">
        <v>47428</v>
      </c>
      <c r="S1389" t="s">
        <v>47541</v>
      </c>
      <c r="T1389" t="s">
        <v>49114</v>
      </c>
      <c r="U1389" t="s">
        <v>50882</v>
      </c>
      <c r="W1389" t="s">
        <v>43660</v>
      </c>
      <c r="X1389" t="s">
        <v>47430</v>
      </c>
    </row>
    <row r="1390" spans="1:24">
      <c r="A1390">
        <f>HYPERLINK("https://www.philgeps.gov.ph/GEPSNONPILOT/Tender/SplashBidNoticeAbstractUI.aspx?menuIndex=3&amp;refID=7161842&amp;Result=3","7161842")</f>
        <v>0</v>
      </c>
      <c r="B1390" t="s">
        <v>609</v>
      </c>
      <c r="C1390" t="s">
        <v>5237</v>
      </c>
      <c r="D1390" t="s">
        <v>19017</v>
      </c>
      <c r="E1390" t="s">
        <v>20364</v>
      </c>
      <c r="F1390" t="s">
        <v>32831</v>
      </c>
      <c r="G1390" t="s">
        <v>32840</v>
      </c>
      <c r="H1390" t="s">
        <v>32848</v>
      </c>
      <c r="I1390" t="s">
        <v>32860</v>
      </c>
      <c r="J1390" t="s">
        <v>33041</v>
      </c>
      <c r="K1390" t="s">
        <v>42732</v>
      </c>
      <c r="M1390" t="s">
        <v>43623</v>
      </c>
      <c r="N1390" t="s">
        <v>47424</v>
      </c>
      <c r="O1390" t="s">
        <v>47425</v>
      </c>
      <c r="P1390">
        <v>0</v>
      </c>
      <c r="Q1390">
        <v>3</v>
      </c>
      <c r="R1390" t="s">
        <v>47428</v>
      </c>
      <c r="S1390" t="s">
        <v>47541</v>
      </c>
      <c r="T1390" t="s">
        <v>49107</v>
      </c>
      <c r="U1390" t="s">
        <v>50883</v>
      </c>
      <c r="W1390" t="s">
        <v>43623</v>
      </c>
      <c r="X1390" t="s">
        <v>47430</v>
      </c>
    </row>
    <row r="1391" spans="1:24">
      <c r="A1391">
        <f>HYPERLINK("https://www.philgeps.gov.ph/GEPSNONPILOT/Tender/SplashBidNoticeAbstractUI.aspx?menuIndex=3&amp;refID=7161939&amp;Result=3","7161939")</f>
        <v>0</v>
      </c>
      <c r="B1391" t="s">
        <v>644</v>
      </c>
      <c r="C1391" t="s">
        <v>5238</v>
      </c>
      <c r="D1391" t="s">
        <v>19048</v>
      </c>
      <c r="E1391" t="s">
        <v>20365</v>
      </c>
      <c r="F1391" t="s">
        <v>32831</v>
      </c>
      <c r="G1391" t="s">
        <v>32838</v>
      </c>
      <c r="H1391" t="s">
        <v>32848</v>
      </c>
      <c r="I1391" t="s">
        <v>32879</v>
      </c>
      <c r="J1391" t="s">
        <v>33706</v>
      </c>
      <c r="K1391" t="s">
        <v>42730</v>
      </c>
      <c r="M1391" t="s">
        <v>43661</v>
      </c>
      <c r="N1391" t="s">
        <v>47424</v>
      </c>
      <c r="O1391" t="s">
        <v>47425</v>
      </c>
      <c r="P1391">
        <v>0</v>
      </c>
      <c r="Q1391">
        <v>3</v>
      </c>
      <c r="R1391" t="s">
        <v>47428</v>
      </c>
      <c r="S1391" t="s">
        <v>47541</v>
      </c>
      <c r="T1391" t="s">
        <v>49239</v>
      </c>
      <c r="U1391" t="s">
        <v>50884</v>
      </c>
      <c r="W1391" t="s">
        <v>43661</v>
      </c>
      <c r="X1391" t="s">
        <v>47430</v>
      </c>
    </row>
    <row r="1392" spans="1:24">
      <c r="A1392">
        <f>HYPERLINK("https://www.philgeps.gov.ph/GEPSNONPILOT/Tender/SplashBidNoticeAbstractUI.aspx?menuIndex=3&amp;refID=7161945&amp;Result=3","7161945")</f>
        <v>0</v>
      </c>
      <c r="B1392" t="s">
        <v>645</v>
      </c>
      <c r="C1392" t="s">
        <v>5239</v>
      </c>
      <c r="D1392" t="s">
        <v>19037</v>
      </c>
      <c r="E1392" t="s">
        <v>20366</v>
      </c>
      <c r="F1392" t="s">
        <v>32831</v>
      </c>
      <c r="G1392" t="s">
        <v>32838</v>
      </c>
      <c r="H1392" t="s">
        <v>32848</v>
      </c>
      <c r="I1392" t="s">
        <v>32886</v>
      </c>
      <c r="J1392" t="s">
        <v>33090</v>
      </c>
      <c r="K1392" t="s">
        <v>42732</v>
      </c>
      <c r="M1392" t="s">
        <v>43662</v>
      </c>
      <c r="N1392" t="s">
        <v>47424</v>
      </c>
      <c r="O1392" t="s">
        <v>47425</v>
      </c>
      <c r="P1392">
        <v>0</v>
      </c>
      <c r="Q1392">
        <v>0</v>
      </c>
      <c r="R1392" t="s">
        <v>47428</v>
      </c>
      <c r="S1392" t="s">
        <v>47541</v>
      </c>
      <c r="T1392" t="s">
        <v>49079</v>
      </c>
      <c r="U1392" t="s">
        <v>50885</v>
      </c>
      <c r="W1392" t="s">
        <v>43662</v>
      </c>
      <c r="X1392" t="s">
        <v>47430</v>
      </c>
    </row>
    <row r="1393" spans="1:24">
      <c r="A1393">
        <f>HYPERLINK("https://www.philgeps.gov.ph/GEPSNONPILOT/Tender/SplashBidNoticeAbstractUI.aspx?menuIndex=3&amp;refID=7161947&amp;Result=3","7161947")</f>
        <v>0</v>
      </c>
      <c r="B1393" t="s">
        <v>645</v>
      </c>
      <c r="C1393" t="s">
        <v>5240</v>
      </c>
      <c r="D1393" t="s">
        <v>19037</v>
      </c>
      <c r="E1393" t="s">
        <v>20367</v>
      </c>
      <c r="F1393" t="s">
        <v>32831</v>
      </c>
      <c r="G1393" t="s">
        <v>32838</v>
      </c>
      <c r="H1393" t="s">
        <v>32848</v>
      </c>
      <c r="I1393" t="s">
        <v>32919</v>
      </c>
      <c r="J1393" t="s">
        <v>33041</v>
      </c>
      <c r="K1393" t="s">
        <v>42732</v>
      </c>
      <c r="M1393" t="s">
        <v>43662</v>
      </c>
      <c r="N1393" t="s">
        <v>47424</v>
      </c>
      <c r="O1393" t="s">
        <v>47425</v>
      </c>
      <c r="P1393">
        <v>0</v>
      </c>
      <c r="Q1393">
        <v>1</v>
      </c>
      <c r="R1393" t="s">
        <v>47428</v>
      </c>
      <c r="S1393" t="s">
        <v>47541</v>
      </c>
      <c r="T1393" t="s">
        <v>49108</v>
      </c>
      <c r="U1393" t="s">
        <v>50885</v>
      </c>
      <c r="W1393" t="s">
        <v>43662</v>
      </c>
      <c r="X1393" t="s">
        <v>47430</v>
      </c>
    </row>
    <row r="1394" spans="1:24">
      <c r="A1394">
        <f>HYPERLINK("https://www.philgeps.gov.ph/GEPSNONPILOT/Tender/SplashBidNoticeAbstractUI.aspx?menuIndex=3&amp;refID=7161933&amp;Result=3","7161933")</f>
        <v>0</v>
      </c>
      <c r="B1394" t="s">
        <v>619</v>
      </c>
      <c r="C1394" t="s">
        <v>5191</v>
      </c>
      <c r="D1394" t="s">
        <v>19027</v>
      </c>
      <c r="E1394" t="s">
        <v>19529</v>
      </c>
      <c r="F1394" t="s">
        <v>32831</v>
      </c>
      <c r="G1394" t="s">
        <v>32838</v>
      </c>
      <c r="H1394" t="s">
        <v>32848</v>
      </c>
      <c r="I1394" t="s">
        <v>10643</v>
      </c>
      <c r="J1394" t="s">
        <v>33977</v>
      </c>
      <c r="K1394" t="s">
        <v>42748</v>
      </c>
      <c r="M1394" t="s">
        <v>43635</v>
      </c>
      <c r="N1394" t="s">
        <v>47424</v>
      </c>
      <c r="O1394" t="s">
        <v>47425</v>
      </c>
      <c r="P1394">
        <v>0</v>
      </c>
      <c r="Q1394">
        <v>0</v>
      </c>
      <c r="R1394" t="s">
        <v>47428</v>
      </c>
      <c r="S1394" t="s">
        <v>47541</v>
      </c>
      <c r="T1394" t="s">
        <v>49089</v>
      </c>
      <c r="U1394" t="s">
        <v>50886</v>
      </c>
      <c r="W1394" t="s">
        <v>43635</v>
      </c>
      <c r="X1394" t="s">
        <v>47430</v>
      </c>
    </row>
    <row r="1395" spans="1:24">
      <c r="A1395">
        <f>HYPERLINK("https://www.philgeps.gov.ph/GEPSNONPILOT/Tender/SplashBidNoticeAbstractUI.aspx?menuIndex=3&amp;refID=7161942&amp;Result=3","7161942")</f>
        <v>0</v>
      </c>
      <c r="B1395" t="s">
        <v>583</v>
      </c>
      <c r="C1395" t="s">
        <v>5241</v>
      </c>
      <c r="D1395" t="s">
        <v>19069</v>
      </c>
      <c r="E1395" t="s">
        <v>20368</v>
      </c>
      <c r="F1395" t="s">
        <v>32831</v>
      </c>
      <c r="G1395" t="s">
        <v>32839</v>
      </c>
      <c r="H1395" t="s">
        <v>32848</v>
      </c>
      <c r="I1395" t="s">
        <v>32863</v>
      </c>
      <c r="J1395" t="s">
        <v>33978</v>
      </c>
      <c r="K1395" t="s">
        <v>42730</v>
      </c>
      <c r="M1395" t="s">
        <v>43594</v>
      </c>
      <c r="N1395" t="s">
        <v>47424</v>
      </c>
      <c r="O1395" t="s">
        <v>47425</v>
      </c>
      <c r="P1395">
        <v>0</v>
      </c>
      <c r="Q1395">
        <v>0</v>
      </c>
      <c r="R1395" t="s">
        <v>47428</v>
      </c>
      <c r="S1395" t="s">
        <v>47541</v>
      </c>
      <c r="T1395" t="s">
        <v>49105</v>
      </c>
      <c r="U1395" t="s">
        <v>50887</v>
      </c>
      <c r="V1395" t="s">
        <v>62773</v>
      </c>
      <c r="W1395" t="s">
        <v>43594</v>
      </c>
      <c r="X1395" t="s">
        <v>47430</v>
      </c>
    </row>
    <row r="1396" spans="1:24">
      <c r="A1396">
        <f>HYPERLINK("https://www.philgeps.gov.ph/GEPSNONPILOT/Tender/SplashBidNoticeAbstractUI.aspx?menuIndex=3&amp;refID=7161938&amp;Result=3","7161938")</f>
        <v>0</v>
      </c>
      <c r="B1396" t="s">
        <v>575</v>
      </c>
      <c r="C1396" t="s">
        <v>5085</v>
      </c>
      <c r="D1396" t="s">
        <v>19041</v>
      </c>
      <c r="E1396" t="s">
        <v>20369</v>
      </c>
      <c r="F1396" t="s">
        <v>32831</v>
      </c>
      <c r="G1396" t="s">
        <v>32838</v>
      </c>
      <c r="H1396" t="s">
        <v>32848</v>
      </c>
      <c r="I1396" t="s">
        <v>5379</v>
      </c>
      <c r="J1396" t="s">
        <v>33979</v>
      </c>
      <c r="K1396" t="s">
        <v>42749</v>
      </c>
      <c r="M1396" t="s">
        <v>43585</v>
      </c>
      <c r="N1396" t="s">
        <v>47424</v>
      </c>
      <c r="O1396" t="s">
        <v>47425</v>
      </c>
      <c r="P1396">
        <v>0</v>
      </c>
      <c r="Q1396">
        <v>0</v>
      </c>
      <c r="R1396" t="s">
        <v>47428</v>
      </c>
      <c r="S1396" t="s">
        <v>47541</v>
      </c>
      <c r="T1396" t="s">
        <v>49166</v>
      </c>
      <c r="U1396" t="s">
        <v>50888</v>
      </c>
      <c r="W1396" t="s">
        <v>43585</v>
      </c>
      <c r="X1396" t="s">
        <v>47430</v>
      </c>
    </row>
    <row r="1397" spans="1:24">
      <c r="A1397">
        <f>HYPERLINK("https://www.philgeps.gov.ph/GEPSNONPILOT/Tender/SplashBidNoticeAbstractUI.aspx?menuIndex=3&amp;refID=7161936&amp;Result=3","7161936")</f>
        <v>0</v>
      </c>
      <c r="B1397" t="s">
        <v>646</v>
      </c>
      <c r="C1397" t="s">
        <v>5242</v>
      </c>
      <c r="D1397" t="s">
        <v>19059</v>
      </c>
      <c r="E1397" t="s">
        <v>20370</v>
      </c>
      <c r="F1397" t="s">
        <v>32831</v>
      </c>
      <c r="G1397" t="s">
        <v>32840</v>
      </c>
      <c r="H1397" t="s">
        <v>32848</v>
      </c>
      <c r="I1397" t="s">
        <v>32857</v>
      </c>
      <c r="J1397" t="s">
        <v>33416</v>
      </c>
      <c r="K1397" t="s">
        <v>42731</v>
      </c>
      <c r="M1397" t="s">
        <v>43663</v>
      </c>
      <c r="N1397" t="s">
        <v>47424</v>
      </c>
      <c r="O1397" t="s">
        <v>47425</v>
      </c>
      <c r="P1397">
        <v>0</v>
      </c>
      <c r="Q1397">
        <v>2</v>
      </c>
      <c r="R1397" t="s">
        <v>47428</v>
      </c>
      <c r="S1397" t="s">
        <v>47541</v>
      </c>
      <c r="T1397" t="s">
        <v>49115</v>
      </c>
      <c r="U1397" t="s">
        <v>50889</v>
      </c>
      <c r="W1397" t="s">
        <v>43663</v>
      </c>
      <c r="X1397" t="s">
        <v>47430</v>
      </c>
    </row>
    <row r="1398" spans="1:24">
      <c r="A1398">
        <f>HYPERLINK("https://www.philgeps.gov.ph/GEPSNONPILOT/Tender/SplashBidNoticeAbstractUI.aspx?menuIndex=3&amp;refID=7161823&amp;Result=3","7161823")</f>
        <v>0</v>
      </c>
      <c r="B1398" t="s">
        <v>647</v>
      </c>
      <c r="C1398" t="s">
        <v>5243</v>
      </c>
      <c r="D1398" t="s">
        <v>19062</v>
      </c>
      <c r="E1398" t="s">
        <v>19183</v>
      </c>
      <c r="F1398" t="s">
        <v>32832</v>
      </c>
      <c r="G1398" t="s">
        <v>32842</v>
      </c>
      <c r="H1398" t="s">
        <v>32848</v>
      </c>
      <c r="I1398" t="s">
        <v>32858</v>
      </c>
      <c r="J1398" t="s">
        <v>33980</v>
      </c>
      <c r="K1398" t="s">
        <v>42726</v>
      </c>
      <c r="M1398" t="s">
        <v>43664</v>
      </c>
      <c r="N1398" t="s">
        <v>47424</v>
      </c>
      <c r="O1398" t="s">
        <v>47425</v>
      </c>
      <c r="P1398">
        <v>0</v>
      </c>
      <c r="Q1398">
        <v>1</v>
      </c>
      <c r="R1398" t="s">
        <v>47428</v>
      </c>
      <c r="S1398" t="s">
        <v>47541</v>
      </c>
      <c r="T1398" t="s">
        <v>49091</v>
      </c>
      <c r="U1398" t="s">
        <v>50890</v>
      </c>
      <c r="W1398" t="s">
        <v>43664</v>
      </c>
      <c r="X1398" t="s">
        <v>47430</v>
      </c>
    </row>
    <row r="1399" spans="1:24">
      <c r="A1399">
        <f>HYPERLINK("https://www.philgeps.gov.ph/GEPSNONPILOT/Tender/SplashBidNoticeAbstractUI.aspx?menuIndex=3&amp;refID=7161991&amp;Result=3","7161991")</f>
        <v>0</v>
      </c>
      <c r="B1399" t="s">
        <v>646</v>
      </c>
      <c r="C1399" t="s">
        <v>5244</v>
      </c>
      <c r="D1399" t="s">
        <v>19059</v>
      </c>
      <c r="E1399" t="s">
        <v>20371</v>
      </c>
      <c r="F1399" t="s">
        <v>32831</v>
      </c>
      <c r="G1399" t="s">
        <v>32840</v>
      </c>
      <c r="H1399" t="s">
        <v>32848</v>
      </c>
      <c r="I1399" t="s">
        <v>4303</v>
      </c>
      <c r="J1399" t="s">
        <v>33981</v>
      </c>
      <c r="K1399" t="s">
        <v>42731</v>
      </c>
      <c r="M1399" t="s">
        <v>43663</v>
      </c>
      <c r="N1399" t="s">
        <v>47424</v>
      </c>
      <c r="O1399" t="s">
        <v>47425</v>
      </c>
      <c r="P1399">
        <v>0</v>
      </c>
      <c r="Q1399">
        <v>1</v>
      </c>
      <c r="R1399" t="s">
        <v>47428</v>
      </c>
      <c r="S1399" t="s">
        <v>47541</v>
      </c>
      <c r="T1399" t="s">
        <v>49115</v>
      </c>
      <c r="U1399" t="s">
        <v>50891</v>
      </c>
      <c r="W1399" t="s">
        <v>43663</v>
      </c>
      <c r="X1399" t="s">
        <v>47430</v>
      </c>
    </row>
    <row r="1400" spans="1:24">
      <c r="A1400">
        <f>HYPERLINK("https://www.philgeps.gov.ph/GEPSNONPILOT/Tender/SplashBidNoticeAbstractUI.aspx?menuIndex=3&amp;refID=7161990&amp;Result=3","7161990")</f>
        <v>0</v>
      </c>
      <c r="B1400" t="s">
        <v>648</v>
      </c>
      <c r="C1400" t="s">
        <v>5245</v>
      </c>
      <c r="D1400" t="s">
        <v>19044</v>
      </c>
      <c r="E1400" t="s">
        <v>20372</v>
      </c>
      <c r="F1400" t="s">
        <v>32831</v>
      </c>
      <c r="G1400" t="s">
        <v>32838</v>
      </c>
      <c r="H1400" t="s">
        <v>32850</v>
      </c>
      <c r="I1400" t="s">
        <v>32863</v>
      </c>
      <c r="J1400" t="s">
        <v>33007</v>
      </c>
      <c r="K1400" t="s">
        <v>42730</v>
      </c>
      <c r="M1400" t="s">
        <v>43665</v>
      </c>
      <c r="N1400" t="s">
        <v>47424</v>
      </c>
      <c r="O1400" t="s">
        <v>47425</v>
      </c>
      <c r="P1400">
        <v>0</v>
      </c>
      <c r="Q1400">
        <v>3</v>
      </c>
      <c r="R1400" t="s">
        <v>47428</v>
      </c>
      <c r="S1400" t="s">
        <v>47541</v>
      </c>
      <c r="T1400" t="s">
        <v>49103</v>
      </c>
      <c r="U1400" t="s">
        <v>50892</v>
      </c>
      <c r="W1400" t="s">
        <v>43665</v>
      </c>
      <c r="X1400" t="s">
        <v>47430</v>
      </c>
    </row>
    <row r="1401" spans="1:24">
      <c r="A1401">
        <f>HYPERLINK("https://www.philgeps.gov.ph/GEPSNONPILOT/Tender/SplashBidNoticeAbstractUI.aspx?menuIndex=3&amp;refID=7161987&amp;Result=3","7161987")</f>
        <v>0</v>
      </c>
      <c r="B1401" t="s">
        <v>649</v>
      </c>
      <c r="C1401" t="s">
        <v>5246</v>
      </c>
      <c r="D1401" t="s">
        <v>19082</v>
      </c>
      <c r="E1401" t="s">
        <v>20373</v>
      </c>
      <c r="F1401" t="s">
        <v>32831</v>
      </c>
      <c r="G1401" t="s">
        <v>32838</v>
      </c>
      <c r="H1401" t="s">
        <v>32848</v>
      </c>
      <c r="I1401" t="s">
        <v>7416</v>
      </c>
      <c r="J1401" t="s">
        <v>33982</v>
      </c>
      <c r="K1401" t="s">
        <v>42727</v>
      </c>
      <c r="M1401" t="s">
        <v>43666</v>
      </c>
      <c r="N1401" t="s">
        <v>47424</v>
      </c>
      <c r="O1401" t="s">
        <v>47425</v>
      </c>
      <c r="P1401">
        <v>0</v>
      </c>
      <c r="Q1401">
        <v>0</v>
      </c>
      <c r="R1401" t="s">
        <v>47428</v>
      </c>
      <c r="S1401" t="s">
        <v>47541</v>
      </c>
      <c r="T1401" t="s">
        <v>49073</v>
      </c>
      <c r="U1401" t="s">
        <v>50893</v>
      </c>
      <c r="W1401" t="s">
        <v>43666</v>
      </c>
      <c r="X1401" t="s">
        <v>47430</v>
      </c>
    </row>
    <row r="1402" spans="1:24">
      <c r="A1402">
        <f>HYPERLINK("https://www.philgeps.gov.ph/GEPSNONPILOT/Tender/SplashBidNoticeAbstractUI.aspx?menuIndex=3&amp;refID=7161849&amp;Result=3","7161849")</f>
        <v>0</v>
      </c>
      <c r="B1402" t="s">
        <v>620</v>
      </c>
      <c r="C1402" t="s">
        <v>5247</v>
      </c>
      <c r="D1402" t="s">
        <v>19017</v>
      </c>
      <c r="E1402" t="s">
        <v>20374</v>
      </c>
      <c r="F1402" t="s">
        <v>32831</v>
      </c>
      <c r="G1402" t="s">
        <v>32838</v>
      </c>
      <c r="H1402" t="s">
        <v>32848</v>
      </c>
      <c r="I1402" t="s">
        <v>32913</v>
      </c>
      <c r="J1402" t="s">
        <v>33983</v>
      </c>
      <c r="K1402" t="s">
        <v>42730</v>
      </c>
      <c r="M1402" t="s">
        <v>43667</v>
      </c>
      <c r="N1402" t="s">
        <v>47424</v>
      </c>
      <c r="O1402" t="s">
        <v>47425</v>
      </c>
      <c r="P1402">
        <v>0</v>
      </c>
      <c r="Q1402">
        <v>0</v>
      </c>
      <c r="R1402" t="s">
        <v>47428</v>
      </c>
      <c r="S1402" t="s">
        <v>47541</v>
      </c>
      <c r="T1402" t="s">
        <v>49239</v>
      </c>
      <c r="U1402" t="s">
        <v>50894</v>
      </c>
      <c r="W1402" t="s">
        <v>43667</v>
      </c>
      <c r="X1402" t="s">
        <v>47430</v>
      </c>
    </row>
    <row r="1403" spans="1:24">
      <c r="A1403">
        <f>HYPERLINK("https://www.philgeps.gov.ph/GEPSNONPILOT/Tender/SplashBidNoticeAbstractUI.aspx?menuIndex=3&amp;refID=7161981&amp;Result=3","7161981")</f>
        <v>0</v>
      </c>
      <c r="B1403" t="s">
        <v>650</v>
      </c>
      <c r="C1403" t="s">
        <v>5248</v>
      </c>
      <c r="D1403" t="s">
        <v>19017</v>
      </c>
      <c r="E1403" t="s">
        <v>20375</v>
      </c>
      <c r="F1403" t="s">
        <v>32831</v>
      </c>
      <c r="G1403" t="s">
        <v>32838</v>
      </c>
      <c r="H1403" t="s">
        <v>32848</v>
      </c>
      <c r="I1403" t="s">
        <v>4558</v>
      </c>
      <c r="J1403" t="s">
        <v>33984</v>
      </c>
      <c r="K1403" t="s">
        <v>42726</v>
      </c>
      <c r="M1403" t="s">
        <v>43668</v>
      </c>
      <c r="N1403" t="s">
        <v>47424</v>
      </c>
      <c r="O1403" t="s">
        <v>47425</v>
      </c>
      <c r="P1403">
        <v>0</v>
      </c>
      <c r="Q1403">
        <v>1</v>
      </c>
      <c r="R1403" t="s">
        <v>47428</v>
      </c>
      <c r="S1403" t="s">
        <v>47541</v>
      </c>
      <c r="T1403" t="s">
        <v>49119</v>
      </c>
      <c r="U1403" t="s">
        <v>50895</v>
      </c>
      <c r="V1403" t="s">
        <v>62774</v>
      </c>
      <c r="W1403" t="s">
        <v>43668</v>
      </c>
      <c r="X1403" t="s">
        <v>47430</v>
      </c>
    </row>
    <row r="1404" spans="1:24">
      <c r="A1404">
        <f>HYPERLINK("https://www.philgeps.gov.ph/GEPSNONPILOT/Tender/SplashBidNoticeAbstractUI.aspx?menuIndex=3&amp;refID=7161980&amp;Result=3","7161980")</f>
        <v>0</v>
      </c>
      <c r="B1404" t="s">
        <v>609</v>
      </c>
      <c r="C1404" t="s">
        <v>5249</v>
      </c>
      <c r="D1404" t="s">
        <v>19017</v>
      </c>
      <c r="E1404" t="s">
        <v>20376</v>
      </c>
      <c r="F1404" t="s">
        <v>32831</v>
      </c>
      <c r="G1404" t="s">
        <v>32840</v>
      </c>
      <c r="H1404" t="s">
        <v>32848</v>
      </c>
      <c r="I1404" t="s">
        <v>10805</v>
      </c>
      <c r="J1404" t="s">
        <v>33985</v>
      </c>
      <c r="K1404" t="s">
        <v>42732</v>
      </c>
      <c r="M1404" t="s">
        <v>43623</v>
      </c>
      <c r="N1404" t="s">
        <v>47424</v>
      </c>
      <c r="O1404" t="s">
        <v>47425</v>
      </c>
      <c r="P1404">
        <v>0</v>
      </c>
      <c r="Q1404">
        <v>1</v>
      </c>
      <c r="R1404" t="s">
        <v>47428</v>
      </c>
      <c r="S1404" t="s">
        <v>47541</v>
      </c>
      <c r="T1404" t="s">
        <v>49107</v>
      </c>
      <c r="U1404" t="s">
        <v>50896</v>
      </c>
      <c r="W1404" t="s">
        <v>43623</v>
      </c>
      <c r="X1404" t="s">
        <v>47430</v>
      </c>
    </row>
    <row r="1405" spans="1:24">
      <c r="A1405">
        <f>HYPERLINK("https://www.philgeps.gov.ph/GEPSNONPILOT/Tender/SplashBidNoticeAbstractUI.aspx?menuIndex=3&amp;refID=7161975&amp;Result=3","7161975")</f>
        <v>0</v>
      </c>
      <c r="B1405" t="s">
        <v>651</v>
      </c>
      <c r="C1405" t="s">
        <v>5250</v>
      </c>
      <c r="D1405" t="s">
        <v>19017</v>
      </c>
      <c r="E1405" t="s">
        <v>20377</v>
      </c>
      <c r="F1405" t="s">
        <v>32831</v>
      </c>
      <c r="G1405" t="s">
        <v>32838</v>
      </c>
      <c r="H1405" t="s">
        <v>32848</v>
      </c>
      <c r="I1405" t="s">
        <v>32920</v>
      </c>
      <c r="J1405" t="s">
        <v>33986</v>
      </c>
      <c r="K1405" t="s">
        <v>42775</v>
      </c>
      <c r="M1405" t="s">
        <v>43669</v>
      </c>
      <c r="N1405" t="s">
        <v>47424</v>
      </c>
      <c r="O1405" t="s">
        <v>47425</v>
      </c>
      <c r="P1405">
        <v>0</v>
      </c>
      <c r="Q1405">
        <v>5</v>
      </c>
      <c r="R1405" t="s">
        <v>47428</v>
      </c>
      <c r="S1405" t="s">
        <v>47541</v>
      </c>
      <c r="T1405" t="s">
        <v>49089</v>
      </c>
      <c r="U1405" t="s">
        <v>50897</v>
      </c>
      <c r="V1405" t="s">
        <v>62775</v>
      </c>
      <c r="W1405" t="s">
        <v>43669</v>
      </c>
      <c r="X1405" t="s">
        <v>47430</v>
      </c>
    </row>
    <row r="1406" spans="1:24">
      <c r="A1406">
        <f>HYPERLINK("https://www.philgeps.gov.ph/GEPSNONPILOT/Tender/SplashBidNoticeAbstractUI.aspx?menuIndex=3&amp;refID=7161934&amp;Result=3","7161934")</f>
        <v>0</v>
      </c>
      <c r="B1406" t="s">
        <v>650</v>
      </c>
      <c r="C1406" t="s">
        <v>5251</v>
      </c>
      <c r="D1406" t="s">
        <v>19017</v>
      </c>
      <c r="E1406" t="s">
        <v>20378</v>
      </c>
      <c r="F1406" t="s">
        <v>32831</v>
      </c>
      <c r="G1406" t="s">
        <v>32838</v>
      </c>
      <c r="H1406" t="s">
        <v>32848</v>
      </c>
      <c r="I1406" t="s">
        <v>32862</v>
      </c>
      <c r="J1406" t="s">
        <v>33987</v>
      </c>
      <c r="K1406" t="s">
        <v>42726</v>
      </c>
      <c r="M1406" t="s">
        <v>43668</v>
      </c>
      <c r="N1406" t="s">
        <v>47424</v>
      </c>
      <c r="O1406" t="s">
        <v>47425</v>
      </c>
      <c r="P1406">
        <v>0</v>
      </c>
      <c r="Q1406">
        <v>2</v>
      </c>
      <c r="R1406" t="s">
        <v>47428</v>
      </c>
      <c r="S1406" t="s">
        <v>47541</v>
      </c>
      <c r="T1406" t="s">
        <v>49119</v>
      </c>
      <c r="U1406" t="s">
        <v>50898</v>
      </c>
      <c r="V1406" t="s">
        <v>62774</v>
      </c>
      <c r="W1406" t="s">
        <v>43668</v>
      </c>
      <c r="X1406" t="s">
        <v>47430</v>
      </c>
    </row>
    <row r="1407" spans="1:24">
      <c r="A1407">
        <f>HYPERLINK("https://www.philgeps.gov.ph/GEPSNONPILOT/Tender/SplashBidNoticeAbstractUI.aspx?menuIndex=3&amp;refID=7161974&amp;Result=3","7161974")</f>
        <v>0</v>
      </c>
      <c r="B1407" t="s">
        <v>652</v>
      </c>
      <c r="C1407" t="s">
        <v>5252</v>
      </c>
      <c r="D1407" t="s">
        <v>19077</v>
      </c>
      <c r="E1407" t="s">
        <v>20379</v>
      </c>
      <c r="F1407" t="s">
        <v>32831</v>
      </c>
      <c r="G1407" t="s">
        <v>32839</v>
      </c>
      <c r="H1407" t="s">
        <v>32848</v>
      </c>
      <c r="I1407" t="s">
        <v>7751</v>
      </c>
      <c r="J1407" t="s">
        <v>32983</v>
      </c>
      <c r="K1407" t="s">
        <v>42732</v>
      </c>
      <c r="M1407" t="s">
        <v>43670</v>
      </c>
      <c r="N1407" t="s">
        <v>47424</v>
      </c>
      <c r="O1407" t="s">
        <v>47425</v>
      </c>
      <c r="P1407">
        <v>0</v>
      </c>
      <c r="Q1407">
        <v>0</v>
      </c>
      <c r="R1407" t="s">
        <v>47428</v>
      </c>
      <c r="S1407" t="s">
        <v>47541</v>
      </c>
      <c r="T1407" t="s">
        <v>49142</v>
      </c>
      <c r="U1407" t="s">
        <v>50899</v>
      </c>
      <c r="W1407" t="s">
        <v>43670</v>
      </c>
      <c r="X1407" t="s">
        <v>47430</v>
      </c>
    </row>
    <row r="1408" spans="1:24">
      <c r="A1408">
        <f>HYPERLINK("https://www.philgeps.gov.ph/GEPSNONPILOT/Tender/SplashBidNoticeAbstractUI.aspx?menuIndex=3&amp;refID=7161931&amp;Result=3","7161931")</f>
        <v>0</v>
      </c>
      <c r="B1408" t="s">
        <v>653</v>
      </c>
      <c r="C1408" t="s">
        <v>5253</v>
      </c>
      <c r="D1408" t="s">
        <v>19044</v>
      </c>
      <c r="E1408" t="s">
        <v>20380</v>
      </c>
      <c r="F1408" t="s">
        <v>32831</v>
      </c>
      <c r="G1408" t="s">
        <v>32839</v>
      </c>
      <c r="H1408" t="s">
        <v>32849</v>
      </c>
      <c r="I1408" t="s">
        <v>4177</v>
      </c>
      <c r="J1408" t="s">
        <v>33988</v>
      </c>
      <c r="K1408" t="s">
        <v>42730</v>
      </c>
      <c r="M1408" t="s">
        <v>43671</v>
      </c>
      <c r="N1408" t="s">
        <v>47424</v>
      </c>
      <c r="O1408" t="s">
        <v>47425</v>
      </c>
      <c r="P1408">
        <v>0</v>
      </c>
      <c r="Q1408">
        <v>0</v>
      </c>
      <c r="R1408" t="s">
        <v>47428</v>
      </c>
      <c r="S1408" t="s">
        <v>47541</v>
      </c>
      <c r="T1408" t="s">
        <v>49112</v>
      </c>
      <c r="U1408" t="s">
        <v>50900</v>
      </c>
      <c r="W1408" t="s">
        <v>43671</v>
      </c>
      <c r="X1408" t="s">
        <v>47430</v>
      </c>
    </row>
    <row r="1409" spans="1:24">
      <c r="A1409">
        <f>HYPERLINK("https://www.philgeps.gov.ph/GEPSNONPILOT/Tender/SplashBidNoticeAbstractUI.aspx?menuIndex=3&amp;refID=7161986&amp;Result=3","7161986")</f>
        <v>0</v>
      </c>
      <c r="B1409" t="s">
        <v>654</v>
      </c>
      <c r="C1409" t="s">
        <v>5254</v>
      </c>
      <c r="D1409" t="s">
        <v>19071</v>
      </c>
      <c r="E1409" t="s">
        <v>20381</v>
      </c>
      <c r="F1409" t="s">
        <v>32831</v>
      </c>
      <c r="G1409" t="s">
        <v>32839</v>
      </c>
      <c r="H1409" t="s">
        <v>32848</v>
      </c>
      <c r="I1409" t="s">
        <v>4776</v>
      </c>
      <c r="J1409" t="s">
        <v>33989</v>
      </c>
      <c r="K1409" t="s">
        <v>42731</v>
      </c>
      <c r="M1409" t="s">
        <v>43672</v>
      </c>
      <c r="N1409" t="s">
        <v>47424</v>
      </c>
      <c r="O1409" t="s">
        <v>47425</v>
      </c>
      <c r="P1409">
        <v>0</v>
      </c>
      <c r="Q1409">
        <v>0</v>
      </c>
      <c r="R1409" t="s">
        <v>47428</v>
      </c>
      <c r="S1409" t="s">
        <v>47541</v>
      </c>
      <c r="T1409" t="s">
        <v>49148</v>
      </c>
      <c r="U1409" t="s">
        <v>50901</v>
      </c>
      <c r="W1409" t="s">
        <v>43672</v>
      </c>
      <c r="X1409" t="s">
        <v>47430</v>
      </c>
    </row>
    <row r="1410" spans="1:24">
      <c r="A1410">
        <f>HYPERLINK("https://www.philgeps.gov.ph/GEPSNONPILOT/Tender/SplashBidNoticeAbstractUI.aspx?menuIndex=3&amp;refID=7161969&amp;Result=3","7161969")</f>
        <v>0</v>
      </c>
      <c r="B1410" t="s">
        <v>654</v>
      </c>
      <c r="C1410" t="s">
        <v>5255</v>
      </c>
      <c r="D1410" t="s">
        <v>19071</v>
      </c>
      <c r="E1410" t="s">
        <v>20382</v>
      </c>
      <c r="F1410" t="s">
        <v>32831</v>
      </c>
      <c r="G1410" t="s">
        <v>32839</v>
      </c>
      <c r="H1410" t="s">
        <v>32848</v>
      </c>
      <c r="I1410" t="s">
        <v>32921</v>
      </c>
      <c r="J1410" t="s">
        <v>33990</v>
      </c>
      <c r="K1410" t="s">
        <v>42731</v>
      </c>
      <c r="M1410" t="s">
        <v>43672</v>
      </c>
      <c r="N1410" t="s">
        <v>47424</v>
      </c>
      <c r="O1410" t="s">
        <v>47425</v>
      </c>
      <c r="P1410">
        <v>0</v>
      </c>
      <c r="Q1410">
        <v>0</v>
      </c>
      <c r="R1410" t="s">
        <v>47428</v>
      </c>
      <c r="S1410" t="s">
        <v>47541</v>
      </c>
      <c r="T1410" t="s">
        <v>49148</v>
      </c>
      <c r="U1410" t="s">
        <v>50902</v>
      </c>
      <c r="W1410" t="s">
        <v>43672</v>
      </c>
      <c r="X1410" t="s">
        <v>47430</v>
      </c>
    </row>
    <row r="1411" spans="1:24">
      <c r="A1411">
        <f>HYPERLINK("https://www.philgeps.gov.ph/GEPSNONPILOT/Tender/SplashBidNoticeAbstractUI.aspx?menuIndex=3&amp;refID=7161977&amp;Result=3","7161977")</f>
        <v>0</v>
      </c>
      <c r="B1411" t="s">
        <v>655</v>
      </c>
      <c r="C1411" t="s">
        <v>5256</v>
      </c>
      <c r="D1411" t="s">
        <v>19036</v>
      </c>
      <c r="E1411" t="s">
        <v>20383</v>
      </c>
      <c r="F1411" t="s">
        <v>32831</v>
      </c>
      <c r="G1411" t="s">
        <v>32839</v>
      </c>
      <c r="H1411" t="s">
        <v>32848</v>
      </c>
      <c r="I1411" t="s">
        <v>7416</v>
      </c>
      <c r="J1411" t="s">
        <v>33991</v>
      </c>
      <c r="K1411" t="s">
        <v>42727</v>
      </c>
      <c r="M1411" t="s">
        <v>43673</v>
      </c>
      <c r="N1411" t="s">
        <v>47424</v>
      </c>
      <c r="O1411" t="s">
        <v>47425</v>
      </c>
      <c r="P1411">
        <v>0</v>
      </c>
      <c r="Q1411">
        <v>0</v>
      </c>
      <c r="R1411" t="s">
        <v>47428</v>
      </c>
      <c r="S1411" t="s">
        <v>47541</v>
      </c>
      <c r="T1411" t="s">
        <v>49073</v>
      </c>
      <c r="U1411" t="s">
        <v>50903</v>
      </c>
      <c r="V1411" t="s">
        <v>62776</v>
      </c>
      <c r="W1411" t="s">
        <v>43673</v>
      </c>
      <c r="X1411" t="s">
        <v>47430</v>
      </c>
    </row>
    <row r="1412" spans="1:24">
      <c r="A1412">
        <f>HYPERLINK("https://www.philgeps.gov.ph/GEPSNONPILOT/Tender/SplashBidNoticeAbstractUI.aspx?menuIndex=3&amp;refID=7161972&amp;Result=3","7161972")</f>
        <v>0</v>
      </c>
      <c r="B1412" t="s">
        <v>656</v>
      </c>
      <c r="C1412" t="s">
        <v>5257</v>
      </c>
      <c r="D1412" t="s">
        <v>19062</v>
      </c>
      <c r="E1412" t="s">
        <v>20384</v>
      </c>
      <c r="F1412" t="s">
        <v>32831</v>
      </c>
      <c r="G1412" t="s">
        <v>32840</v>
      </c>
      <c r="H1412" t="s">
        <v>32848</v>
      </c>
      <c r="I1412" t="s">
        <v>32858</v>
      </c>
      <c r="J1412" t="s">
        <v>33992</v>
      </c>
      <c r="K1412" t="s">
        <v>42758</v>
      </c>
      <c r="M1412" t="s">
        <v>43674</v>
      </c>
      <c r="N1412" t="s">
        <v>47424</v>
      </c>
      <c r="O1412" t="s">
        <v>47425</v>
      </c>
      <c r="P1412">
        <v>0</v>
      </c>
      <c r="Q1412">
        <v>1</v>
      </c>
      <c r="R1412" t="s">
        <v>47428</v>
      </c>
      <c r="S1412" t="s">
        <v>47541</v>
      </c>
      <c r="T1412" t="s">
        <v>49145</v>
      </c>
      <c r="U1412" t="s">
        <v>50904</v>
      </c>
      <c r="V1412" t="s">
        <v>62777</v>
      </c>
      <c r="W1412" t="s">
        <v>43674</v>
      </c>
      <c r="X1412" t="s">
        <v>47430</v>
      </c>
    </row>
    <row r="1413" spans="1:24">
      <c r="A1413">
        <f>HYPERLINK("https://www.philgeps.gov.ph/GEPSNONPILOT/Tender/SplashBidNoticeAbstractUI.aspx?menuIndex=3&amp;refID=7162035&amp;Result=3","7162035")</f>
        <v>0</v>
      </c>
      <c r="B1413" t="s">
        <v>657</v>
      </c>
      <c r="C1413" t="s">
        <v>5258</v>
      </c>
      <c r="D1413" t="s">
        <v>19027</v>
      </c>
      <c r="E1413" t="s">
        <v>20385</v>
      </c>
      <c r="F1413" t="s">
        <v>32831</v>
      </c>
      <c r="G1413" t="s">
        <v>32838</v>
      </c>
      <c r="H1413" t="s">
        <v>32848</v>
      </c>
      <c r="I1413" t="s">
        <v>32858</v>
      </c>
      <c r="J1413" t="s">
        <v>33993</v>
      </c>
      <c r="K1413" t="s">
        <v>42732</v>
      </c>
      <c r="M1413" t="s">
        <v>43675</v>
      </c>
      <c r="N1413" t="s">
        <v>47424</v>
      </c>
      <c r="O1413" t="s">
        <v>47425</v>
      </c>
      <c r="P1413">
        <v>0</v>
      </c>
      <c r="Q1413">
        <v>0</v>
      </c>
      <c r="R1413" t="s">
        <v>47428</v>
      </c>
      <c r="S1413" t="s">
        <v>47541</v>
      </c>
      <c r="T1413" t="s">
        <v>49069</v>
      </c>
      <c r="U1413" t="s">
        <v>50905</v>
      </c>
      <c r="W1413" t="s">
        <v>43675</v>
      </c>
      <c r="X1413" t="s">
        <v>47430</v>
      </c>
    </row>
    <row r="1414" spans="1:24">
      <c r="A1414">
        <f>HYPERLINK("https://www.philgeps.gov.ph/GEPSNONPILOT/Tender/SplashBidNoticeAbstractUI.aspx?menuIndex=3&amp;refID=7162031&amp;Result=3","7162031")</f>
        <v>0</v>
      </c>
      <c r="B1414" t="s">
        <v>658</v>
      </c>
      <c r="C1414" t="s">
        <v>5259</v>
      </c>
      <c r="D1414" t="s">
        <v>19057</v>
      </c>
      <c r="E1414" t="s">
        <v>20386</v>
      </c>
      <c r="F1414" t="s">
        <v>32831</v>
      </c>
      <c r="G1414" t="s">
        <v>32838</v>
      </c>
      <c r="H1414" t="s">
        <v>32848</v>
      </c>
      <c r="I1414" t="s">
        <v>32922</v>
      </c>
      <c r="J1414" t="s">
        <v>33994</v>
      </c>
      <c r="K1414" t="s">
        <v>42759</v>
      </c>
      <c r="M1414" t="s">
        <v>43676</v>
      </c>
      <c r="N1414" t="s">
        <v>47424</v>
      </c>
      <c r="O1414" t="s">
        <v>47425</v>
      </c>
      <c r="P1414">
        <v>0</v>
      </c>
      <c r="Q1414">
        <v>0</v>
      </c>
      <c r="R1414" t="s">
        <v>47428</v>
      </c>
      <c r="S1414" t="s">
        <v>47541</v>
      </c>
      <c r="T1414" t="s">
        <v>49089</v>
      </c>
      <c r="U1414" t="s">
        <v>50906</v>
      </c>
      <c r="W1414" t="s">
        <v>43676</v>
      </c>
      <c r="X1414" t="s">
        <v>47430</v>
      </c>
    </row>
    <row r="1415" spans="1:24">
      <c r="A1415">
        <f>HYPERLINK("https://www.philgeps.gov.ph/GEPSNONPILOT/Tender/SplashBidNoticeAbstractUI.aspx?menuIndex=3&amp;refID=7161965&amp;Result=3","7161965")</f>
        <v>0</v>
      </c>
      <c r="B1415" t="s">
        <v>659</v>
      </c>
      <c r="C1415" t="s">
        <v>5260</v>
      </c>
      <c r="D1415" t="s">
        <v>19052</v>
      </c>
      <c r="E1415" t="s">
        <v>20387</v>
      </c>
      <c r="F1415" t="s">
        <v>32831</v>
      </c>
      <c r="G1415" t="s">
        <v>32839</v>
      </c>
      <c r="H1415" t="s">
        <v>32848</v>
      </c>
      <c r="I1415" t="s">
        <v>9577</v>
      </c>
      <c r="J1415" t="s">
        <v>33995</v>
      </c>
      <c r="K1415" t="s">
        <v>42731</v>
      </c>
      <c r="M1415" t="s">
        <v>43677</v>
      </c>
      <c r="N1415" t="s">
        <v>47424</v>
      </c>
      <c r="O1415" t="s">
        <v>47425</v>
      </c>
      <c r="P1415">
        <v>0</v>
      </c>
      <c r="Q1415">
        <v>0</v>
      </c>
      <c r="R1415" t="s">
        <v>47428</v>
      </c>
      <c r="S1415" t="s">
        <v>47541</v>
      </c>
      <c r="T1415" t="s">
        <v>49193</v>
      </c>
      <c r="U1415" t="s">
        <v>50907</v>
      </c>
      <c r="V1415" t="s">
        <v>62778</v>
      </c>
      <c r="W1415" t="s">
        <v>43677</v>
      </c>
      <c r="X1415" t="s">
        <v>47430</v>
      </c>
    </row>
    <row r="1416" spans="1:24">
      <c r="A1416">
        <f>HYPERLINK("https://www.philgeps.gov.ph/GEPSNONPILOT/Tender/SplashBidNoticeAbstractUI.aspx?menuIndex=3&amp;refID=7162028&amp;Result=3","7162028")</f>
        <v>0</v>
      </c>
      <c r="B1416" t="s">
        <v>650</v>
      </c>
      <c r="C1416" t="s">
        <v>5261</v>
      </c>
      <c r="D1416" t="s">
        <v>19017</v>
      </c>
      <c r="E1416" t="s">
        <v>20388</v>
      </c>
      <c r="F1416" t="s">
        <v>32831</v>
      </c>
      <c r="G1416" t="s">
        <v>32838</v>
      </c>
      <c r="H1416" t="s">
        <v>32848</v>
      </c>
      <c r="I1416" t="s">
        <v>4558</v>
      </c>
      <c r="J1416" t="s">
        <v>33996</v>
      </c>
      <c r="K1416" t="s">
        <v>42726</v>
      </c>
      <c r="M1416" t="s">
        <v>43668</v>
      </c>
      <c r="N1416" t="s">
        <v>47424</v>
      </c>
      <c r="O1416" t="s">
        <v>47425</v>
      </c>
      <c r="P1416">
        <v>0</v>
      </c>
      <c r="Q1416">
        <v>1</v>
      </c>
      <c r="R1416" t="s">
        <v>47428</v>
      </c>
      <c r="S1416" t="s">
        <v>47541</v>
      </c>
      <c r="T1416" t="s">
        <v>49119</v>
      </c>
      <c r="U1416" t="s">
        <v>50908</v>
      </c>
      <c r="V1416" t="s">
        <v>62774</v>
      </c>
      <c r="W1416" t="s">
        <v>43668</v>
      </c>
      <c r="X1416" t="s">
        <v>47430</v>
      </c>
    </row>
    <row r="1417" spans="1:24">
      <c r="A1417">
        <f>HYPERLINK("https://www.philgeps.gov.ph/GEPSNONPILOT/Tender/SplashBidNoticeAbstractUI.aspx?menuIndex=3&amp;refID=7162027&amp;Result=3","7162027")</f>
        <v>0</v>
      </c>
      <c r="B1417" t="s">
        <v>660</v>
      </c>
      <c r="C1417" t="s">
        <v>5262</v>
      </c>
      <c r="E1417" t="s">
        <v>20389</v>
      </c>
      <c r="F1417" t="s">
        <v>32831</v>
      </c>
      <c r="G1417" t="s">
        <v>32838</v>
      </c>
      <c r="H1417" t="s">
        <v>32848</v>
      </c>
      <c r="I1417" t="s">
        <v>9577</v>
      </c>
      <c r="J1417" t="s">
        <v>33508</v>
      </c>
      <c r="K1417" t="s">
        <v>42732</v>
      </c>
      <c r="M1417" t="s">
        <v>43678</v>
      </c>
      <c r="N1417" t="s">
        <v>47424</v>
      </c>
      <c r="O1417" t="s">
        <v>47425</v>
      </c>
      <c r="P1417">
        <v>0</v>
      </c>
      <c r="Q1417">
        <v>15</v>
      </c>
      <c r="R1417" t="s">
        <v>47428</v>
      </c>
      <c r="S1417" t="s">
        <v>47541</v>
      </c>
      <c r="T1417" t="s">
        <v>49177</v>
      </c>
      <c r="U1417" t="s">
        <v>50909</v>
      </c>
      <c r="W1417" t="s">
        <v>43678</v>
      </c>
      <c r="X1417" t="s">
        <v>47430</v>
      </c>
    </row>
    <row r="1418" spans="1:24">
      <c r="A1418">
        <f>HYPERLINK("https://www.philgeps.gov.ph/GEPSNONPILOT/Tender/SplashBidNoticeAbstractUI.aspx?menuIndex=3&amp;refID=7161971&amp;Result=3","7161971")</f>
        <v>0</v>
      </c>
      <c r="B1418" t="s">
        <v>607</v>
      </c>
      <c r="C1418" t="s">
        <v>5263</v>
      </c>
      <c r="D1418" t="s">
        <v>19017</v>
      </c>
      <c r="E1418" t="s">
        <v>20390</v>
      </c>
      <c r="F1418" t="s">
        <v>32831</v>
      </c>
      <c r="G1418" t="s">
        <v>32838</v>
      </c>
      <c r="H1418" t="s">
        <v>32848</v>
      </c>
      <c r="I1418" t="s">
        <v>32856</v>
      </c>
      <c r="J1418" t="s">
        <v>33087</v>
      </c>
      <c r="K1418" t="s">
        <v>42731</v>
      </c>
      <c r="M1418" t="s">
        <v>43632</v>
      </c>
      <c r="N1418" t="s">
        <v>47424</v>
      </c>
      <c r="O1418" t="s">
        <v>47425</v>
      </c>
      <c r="P1418">
        <v>0</v>
      </c>
      <c r="Q1418">
        <v>4</v>
      </c>
      <c r="R1418" t="s">
        <v>47428</v>
      </c>
      <c r="S1418" t="s">
        <v>47541</v>
      </c>
      <c r="T1418" t="s">
        <v>49163</v>
      </c>
      <c r="U1418" t="s">
        <v>50910</v>
      </c>
      <c r="V1418" t="s">
        <v>62779</v>
      </c>
      <c r="W1418" t="s">
        <v>43632</v>
      </c>
      <c r="X1418" t="s">
        <v>47430</v>
      </c>
    </row>
    <row r="1419" spans="1:24">
      <c r="A1419">
        <f>HYPERLINK("https://www.philgeps.gov.ph/GEPSNONPILOT/Tender/SplashBidNoticeAbstractUI.aspx?menuIndex=3&amp;refID=7162026&amp;Result=3","7162026")</f>
        <v>0</v>
      </c>
      <c r="B1419" t="s">
        <v>661</v>
      </c>
      <c r="C1419" t="s">
        <v>5264</v>
      </c>
      <c r="D1419" t="s">
        <v>19058</v>
      </c>
      <c r="E1419" t="s">
        <v>20391</v>
      </c>
      <c r="F1419" t="s">
        <v>32831</v>
      </c>
      <c r="G1419" t="s">
        <v>32838</v>
      </c>
      <c r="H1419" t="s">
        <v>32848</v>
      </c>
      <c r="I1419" t="s">
        <v>32870</v>
      </c>
      <c r="J1419" t="s">
        <v>33997</v>
      </c>
      <c r="K1419" t="s">
        <v>42726</v>
      </c>
      <c r="M1419" t="s">
        <v>43679</v>
      </c>
      <c r="N1419" t="s">
        <v>47424</v>
      </c>
      <c r="O1419" t="s">
        <v>47425</v>
      </c>
      <c r="P1419">
        <v>0</v>
      </c>
      <c r="Q1419">
        <v>0</v>
      </c>
      <c r="R1419" t="s">
        <v>47428</v>
      </c>
      <c r="S1419" t="s">
        <v>47541</v>
      </c>
      <c r="T1419" t="s">
        <v>49237</v>
      </c>
      <c r="U1419" t="s">
        <v>50911</v>
      </c>
      <c r="W1419" t="s">
        <v>43679</v>
      </c>
      <c r="X1419" t="s">
        <v>47430</v>
      </c>
    </row>
    <row r="1420" spans="1:24">
      <c r="A1420">
        <f>HYPERLINK("https://www.philgeps.gov.ph/GEPSNONPILOT/Tender/SplashBidNoticeAbstractUI.aspx?menuIndex=3&amp;refID=7162025&amp;Result=3","7162025")</f>
        <v>0</v>
      </c>
      <c r="B1420" t="s">
        <v>583</v>
      </c>
      <c r="C1420" t="s">
        <v>5265</v>
      </c>
      <c r="D1420" t="s">
        <v>19069</v>
      </c>
      <c r="E1420" t="s">
        <v>20392</v>
      </c>
      <c r="F1420" t="s">
        <v>32831</v>
      </c>
      <c r="G1420" t="s">
        <v>32839</v>
      </c>
      <c r="H1420" t="s">
        <v>32848</v>
      </c>
      <c r="I1420" t="s">
        <v>32863</v>
      </c>
      <c r="J1420" t="s">
        <v>33998</v>
      </c>
      <c r="K1420" t="s">
        <v>42730</v>
      </c>
      <c r="M1420" t="s">
        <v>43594</v>
      </c>
      <c r="N1420" t="s">
        <v>47424</v>
      </c>
      <c r="O1420" t="s">
        <v>47425</v>
      </c>
      <c r="P1420">
        <v>0</v>
      </c>
      <c r="Q1420">
        <v>0</v>
      </c>
      <c r="R1420" t="s">
        <v>47428</v>
      </c>
      <c r="S1420" t="s">
        <v>47541</v>
      </c>
      <c r="T1420" t="s">
        <v>49073</v>
      </c>
      <c r="U1420" t="s">
        <v>50912</v>
      </c>
      <c r="V1420" t="s">
        <v>62773</v>
      </c>
      <c r="W1420" t="s">
        <v>43594</v>
      </c>
      <c r="X1420" t="s">
        <v>47430</v>
      </c>
    </row>
    <row r="1421" spans="1:24">
      <c r="A1421">
        <f>HYPERLINK("https://www.philgeps.gov.ph/GEPSNONPILOT/Tender/SplashBidNoticeAbstractUI.aspx?menuIndex=3&amp;refID=7162016&amp;Result=3","7162016")</f>
        <v>0</v>
      </c>
      <c r="B1421" t="s">
        <v>593</v>
      </c>
      <c r="C1421" t="s">
        <v>5266</v>
      </c>
      <c r="D1421" t="s">
        <v>19031</v>
      </c>
      <c r="E1421" t="s">
        <v>20393</v>
      </c>
      <c r="F1421" t="s">
        <v>32831</v>
      </c>
      <c r="G1421" t="s">
        <v>32838</v>
      </c>
      <c r="H1421" t="s">
        <v>32848</v>
      </c>
      <c r="I1421" t="s">
        <v>7416</v>
      </c>
      <c r="J1421" t="s">
        <v>33999</v>
      </c>
      <c r="K1421" t="s">
        <v>42727</v>
      </c>
      <c r="M1421" t="s">
        <v>43605</v>
      </c>
      <c r="N1421" t="s">
        <v>47424</v>
      </c>
      <c r="O1421" t="s">
        <v>47425</v>
      </c>
      <c r="P1421">
        <v>0</v>
      </c>
      <c r="Q1421">
        <v>0</v>
      </c>
      <c r="R1421" t="s">
        <v>47428</v>
      </c>
      <c r="S1421" t="s">
        <v>47541</v>
      </c>
      <c r="T1421" t="s">
        <v>49237</v>
      </c>
      <c r="U1421" t="s">
        <v>50913</v>
      </c>
      <c r="W1421" t="s">
        <v>43605</v>
      </c>
      <c r="X1421" t="s">
        <v>47430</v>
      </c>
    </row>
    <row r="1422" spans="1:24">
      <c r="A1422">
        <f>HYPERLINK("https://www.philgeps.gov.ph/GEPSNONPILOT/Tender/SplashBidNoticeAbstractUI.aspx?menuIndex=3&amp;refID=7161929&amp;Result=3","7161929")</f>
        <v>0</v>
      </c>
      <c r="B1422" t="s">
        <v>525</v>
      </c>
      <c r="C1422" t="s">
        <v>5267</v>
      </c>
      <c r="D1422" t="s">
        <v>19029</v>
      </c>
      <c r="E1422" t="s">
        <v>20394</v>
      </c>
      <c r="F1422" t="s">
        <v>32831</v>
      </c>
      <c r="G1422" t="s">
        <v>32838</v>
      </c>
      <c r="H1422" t="s">
        <v>32848</v>
      </c>
      <c r="I1422" t="s">
        <v>32891</v>
      </c>
      <c r="J1422" t="s">
        <v>34000</v>
      </c>
      <c r="K1422" t="s">
        <v>42727</v>
      </c>
      <c r="M1422" t="s">
        <v>43531</v>
      </c>
      <c r="N1422" t="s">
        <v>47424</v>
      </c>
      <c r="O1422" t="s">
        <v>47425</v>
      </c>
      <c r="P1422">
        <v>0</v>
      </c>
      <c r="Q1422">
        <v>0</v>
      </c>
      <c r="R1422" t="s">
        <v>47428</v>
      </c>
      <c r="S1422" t="s">
        <v>47541</v>
      </c>
      <c r="T1422" t="s">
        <v>49255</v>
      </c>
      <c r="U1422" t="s">
        <v>50914</v>
      </c>
      <c r="W1422" t="s">
        <v>43531</v>
      </c>
      <c r="X1422" t="s">
        <v>47430</v>
      </c>
    </row>
    <row r="1423" spans="1:24">
      <c r="A1423">
        <f>HYPERLINK("https://www.philgeps.gov.ph/GEPSNONPILOT/Tender/SplashBidNoticeAbstractUI.aspx?menuIndex=3&amp;refID=7162009&amp;Result=3","7162009")</f>
        <v>0</v>
      </c>
      <c r="B1423" t="s">
        <v>662</v>
      </c>
      <c r="C1423" t="s">
        <v>5268</v>
      </c>
      <c r="D1423" t="s">
        <v>19095</v>
      </c>
      <c r="E1423" t="s">
        <v>20395</v>
      </c>
      <c r="F1423" t="s">
        <v>32831</v>
      </c>
      <c r="G1423" t="s">
        <v>32838</v>
      </c>
      <c r="H1423" t="s">
        <v>32848</v>
      </c>
      <c r="I1423" t="s">
        <v>32857</v>
      </c>
      <c r="J1423" t="s">
        <v>34001</v>
      </c>
      <c r="K1423" t="s">
        <v>42727</v>
      </c>
      <c r="M1423" t="s">
        <v>43680</v>
      </c>
      <c r="N1423" t="s">
        <v>47424</v>
      </c>
      <c r="O1423" t="s">
        <v>47425</v>
      </c>
      <c r="P1423">
        <v>0</v>
      </c>
      <c r="Q1423">
        <v>0</v>
      </c>
      <c r="R1423" t="s">
        <v>47428</v>
      </c>
      <c r="S1423" t="s">
        <v>47541</v>
      </c>
      <c r="T1423" t="s">
        <v>49123</v>
      </c>
      <c r="U1423" t="s">
        <v>50915</v>
      </c>
      <c r="W1423" t="s">
        <v>43680</v>
      </c>
      <c r="X1423" t="s">
        <v>47430</v>
      </c>
    </row>
    <row r="1424" spans="1:24">
      <c r="A1424">
        <f>HYPERLINK("https://www.philgeps.gov.ph/GEPSNONPILOT/Tender/SplashBidNoticeAbstractUI.aspx?menuIndex=3&amp;refID=7162006&amp;Result=3","7162006")</f>
        <v>0</v>
      </c>
      <c r="B1424" t="s">
        <v>663</v>
      </c>
      <c r="C1424" t="s">
        <v>5269</v>
      </c>
      <c r="D1424" t="s">
        <v>19026</v>
      </c>
      <c r="E1424" t="s">
        <v>20396</v>
      </c>
      <c r="F1424" t="s">
        <v>32831</v>
      </c>
      <c r="G1424" t="s">
        <v>32840</v>
      </c>
      <c r="H1424" t="s">
        <v>32848</v>
      </c>
      <c r="I1424" t="s">
        <v>32864</v>
      </c>
      <c r="J1424" t="s">
        <v>34002</v>
      </c>
      <c r="K1424" t="s">
        <v>42732</v>
      </c>
      <c r="M1424" t="s">
        <v>43681</v>
      </c>
      <c r="N1424" t="s">
        <v>47424</v>
      </c>
      <c r="O1424" t="s">
        <v>47425</v>
      </c>
      <c r="P1424">
        <v>0</v>
      </c>
      <c r="Q1424">
        <v>1</v>
      </c>
      <c r="R1424" t="s">
        <v>47428</v>
      </c>
      <c r="S1424" t="s">
        <v>47541</v>
      </c>
      <c r="T1424" t="s">
        <v>49177</v>
      </c>
      <c r="U1424" t="s">
        <v>49728</v>
      </c>
      <c r="W1424" t="s">
        <v>43681</v>
      </c>
      <c r="X1424" t="s">
        <v>47430</v>
      </c>
    </row>
    <row r="1425" spans="1:24">
      <c r="A1425">
        <f>HYPERLINK("https://www.philgeps.gov.ph/GEPSNONPILOT/Tender/SplashBidNoticeAbstractUI.aspx?menuIndex=3&amp;refID=7161998&amp;Result=3","7161998")</f>
        <v>0</v>
      </c>
      <c r="B1425" t="s">
        <v>664</v>
      </c>
      <c r="C1425" t="s">
        <v>5270</v>
      </c>
      <c r="D1425" t="s">
        <v>19077</v>
      </c>
      <c r="E1425" t="s">
        <v>20397</v>
      </c>
      <c r="F1425" t="s">
        <v>32831</v>
      </c>
      <c r="G1425" t="s">
        <v>32839</v>
      </c>
      <c r="H1425" t="s">
        <v>32848</v>
      </c>
      <c r="I1425" t="s">
        <v>7751</v>
      </c>
      <c r="J1425" t="s">
        <v>34003</v>
      </c>
      <c r="K1425" t="s">
        <v>42730</v>
      </c>
      <c r="M1425" t="s">
        <v>43682</v>
      </c>
      <c r="N1425" t="s">
        <v>47424</v>
      </c>
      <c r="O1425" t="s">
        <v>47425</v>
      </c>
      <c r="P1425">
        <v>0</v>
      </c>
      <c r="Q1425">
        <v>2</v>
      </c>
      <c r="R1425" t="s">
        <v>47428</v>
      </c>
      <c r="S1425" t="s">
        <v>47541</v>
      </c>
      <c r="T1425" t="s">
        <v>49256</v>
      </c>
      <c r="U1425" t="s">
        <v>50916</v>
      </c>
      <c r="W1425" t="s">
        <v>43682</v>
      </c>
      <c r="X1425" t="s">
        <v>47430</v>
      </c>
    </row>
    <row r="1426" spans="1:24">
      <c r="A1426">
        <f>HYPERLINK("https://www.philgeps.gov.ph/GEPSNONPILOT/Tender/SplashBidNoticeAbstractUI.aspx?menuIndex=3&amp;refID=7161970&amp;Result=3","7161970")</f>
        <v>0</v>
      </c>
      <c r="B1426" t="s">
        <v>665</v>
      </c>
      <c r="C1426" t="s">
        <v>5271</v>
      </c>
      <c r="D1426" t="s">
        <v>19020</v>
      </c>
      <c r="E1426" t="s">
        <v>20398</v>
      </c>
      <c r="F1426" t="s">
        <v>32831</v>
      </c>
      <c r="G1426" t="s">
        <v>32838</v>
      </c>
      <c r="H1426" t="s">
        <v>32848</v>
      </c>
      <c r="I1426" t="s">
        <v>32910</v>
      </c>
      <c r="J1426" t="s">
        <v>33279</v>
      </c>
      <c r="K1426" t="s">
        <v>42730</v>
      </c>
      <c r="M1426" t="s">
        <v>43683</v>
      </c>
      <c r="N1426" t="s">
        <v>47424</v>
      </c>
      <c r="O1426" t="s">
        <v>47425</v>
      </c>
      <c r="P1426">
        <v>0</v>
      </c>
      <c r="Q1426">
        <v>2</v>
      </c>
      <c r="R1426" t="s">
        <v>47428</v>
      </c>
      <c r="S1426" t="s">
        <v>47541</v>
      </c>
      <c r="T1426" t="s">
        <v>49129</v>
      </c>
      <c r="U1426" t="s">
        <v>50917</v>
      </c>
      <c r="W1426" t="s">
        <v>43683</v>
      </c>
      <c r="X1426" t="s">
        <v>47430</v>
      </c>
    </row>
    <row r="1427" spans="1:24">
      <c r="A1427">
        <f>HYPERLINK("https://www.philgeps.gov.ph/GEPSNONPILOT/Tender/SplashBidNoticeAbstractUI.aspx?menuIndex=3&amp;refID=7161996&amp;Result=3","7161996")</f>
        <v>0</v>
      </c>
      <c r="B1427" t="s">
        <v>650</v>
      </c>
      <c r="C1427" t="s">
        <v>5272</v>
      </c>
      <c r="D1427" t="s">
        <v>19017</v>
      </c>
      <c r="E1427" t="s">
        <v>20399</v>
      </c>
      <c r="F1427" t="s">
        <v>32831</v>
      </c>
      <c r="G1427" t="s">
        <v>32838</v>
      </c>
      <c r="H1427" t="s">
        <v>32848</v>
      </c>
      <c r="I1427" t="s">
        <v>4558</v>
      </c>
      <c r="J1427" t="s">
        <v>34004</v>
      </c>
      <c r="K1427" t="s">
        <v>42726</v>
      </c>
      <c r="M1427" t="s">
        <v>43668</v>
      </c>
      <c r="N1427" t="s">
        <v>47424</v>
      </c>
      <c r="O1427" t="s">
        <v>47425</v>
      </c>
      <c r="P1427">
        <v>0</v>
      </c>
      <c r="Q1427">
        <v>1</v>
      </c>
      <c r="R1427" t="s">
        <v>47428</v>
      </c>
      <c r="S1427" t="s">
        <v>47541</v>
      </c>
      <c r="T1427" t="s">
        <v>49119</v>
      </c>
      <c r="U1427" t="s">
        <v>50918</v>
      </c>
      <c r="V1427" t="s">
        <v>62774</v>
      </c>
      <c r="W1427" t="s">
        <v>43668</v>
      </c>
      <c r="X1427" t="s">
        <v>47430</v>
      </c>
    </row>
    <row r="1428" spans="1:24">
      <c r="A1428">
        <f>HYPERLINK("https://www.philgeps.gov.ph/GEPSNONPILOT/Tender/SplashBidNoticeAbstractUI.aspx?menuIndex=3&amp;refID=7162024&amp;Result=3","7162024")</f>
        <v>0</v>
      </c>
      <c r="B1428" t="s">
        <v>171</v>
      </c>
      <c r="C1428" t="s">
        <v>5273</v>
      </c>
      <c r="E1428" t="s">
        <v>20400</v>
      </c>
      <c r="F1428" t="s">
        <v>32831</v>
      </c>
      <c r="G1428" t="s">
        <v>32838</v>
      </c>
      <c r="H1428" t="s">
        <v>32848</v>
      </c>
      <c r="I1428" t="s">
        <v>32864</v>
      </c>
      <c r="J1428" t="s">
        <v>32980</v>
      </c>
      <c r="K1428" t="s">
        <v>42730</v>
      </c>
      <c r="M1428" t="s">
        <v>43684</v>
      </c>
      <c r="N1428" t="s">
        <v>47424</v>
      </c>
      <c r="O1428" t="s">
        <v>47425</v>
      </c>
      <c r="P1428">
        <v>0</v>
      </c>
      <c r="Q1428">
        <v>2</v>
      </c>
      <c r="R1428" t="s">
        <v>47428</v>
      </c>
      <c r="S1428" t="s">
        <v>47541</v>
      </c>
      <c r="T1428" t="s">
        <v>49109</v>
      </c>
      <c r="U1428" t="s">
        <v>50919</v>
      </c>
      <c r="W1428" t="s">
        <v>64443</v>
      </c>
      <c r="X1428" t="s">
        <v>47430</v>
      </c>
    </row>
    <row r="1429" spans="1:24">
      <c r="A1429">
        <f>HYPERLINK("https://www.philgeps.gov.ph/GEPSNONPILOT/Tender/SplashBidNoticeAbstractUI.aspx?menuIndex=3&amp;refID=7161994&amp;Result=3","7161994")</f>
        <v>0</v>
      </c>
      <c r="B1429" t="s">
        <v>609</v>
      </c>
      <c r="C1429" t="s">
        <v>5274</v>
      </c>
      <c r="D1429" t="s">
        <v>19017</v>
      </c>
      <c r="E1429" t="s">
        <v>20401</v>
      </c>
      <c r="F1429" t="s">
        <v>32831</v>
      </c>
      <c r="G1429" t="s">
        <v>32840</v>
      </c>
      <c r="H1429" t="s">
        <v>32848</v>
      </c>
      <c r="I1429" t="s">
        <v>32857</v>
      </c>
      <c r="J1429" t="s">
        <v>33031</v>
      </c>
      <c r="K1429" t="s">
        <v>42732</v>
      </c>
      <c r="M1429" t="s">
        <v>43623</v>
      </c>
      <c r="N1429" t="s">
        <v>47424</v>
      </c>
      <c r="O1429" t="s">
        <v>47425</v>
      </c>
      <c r="P1429">
        <v>0</v>
      </c>
      <c r="Q1429">
        <v>1</v>
      </c>
      <c r="R1429" t="s">
        <v>47428</v>
      </c>
      <c r="S1429" t="s">
        <v>47541</v>
      </c>
      <c r="T1429" t="s">
        <v>49107</v>
      </c>
      <c r="U1429" t="s">
        <v>50920</v>
      </c>
      <c r="W1429" t="s">
        <v>43623</v>
      </c>
      <c r="X1429" t="s">
        <v>47430</v>
      </c>
    </row>
    <row r="1430" spans="1:24">
      <c r="A1430">
        <f>HYPERLINK("https://www.philgeps.gov.ph/GEPSNONPILOT/Tender/SplashBidNoticeAbstractUI.aspx?menuIndex=3&amp;refID=7161993&amp;Result=3","7161993")</f>
        <v>0</v>
      </c>
      <c r="B1430" t="s">
        <v>666</v>
      </c>
      <c r="C1430" t="s">
        <v>5275</v>
      </c>
      <c r="D1430" t="s">
        <v>19034</v>
      </c>
      <c r="E1430" t="s">
        <v>20402</v>
      </c>
      <c r="F1430" t="s">
        <v>32831</v>
      </c>
      <c r="G1430" t="s">
        <v>32839</v>
      </c>
      <c r="H1430" t="s">
        <v>32848</v>
      </c>
      <c r="I1430" t="s">
        <v>32857</v>
      </c>
      <c r="J1430" t="s">
        <v>34005</v>
      </c>
      <c r="K1430" t="s">
        <v>42732</v>
      </c>
      <c r="M1430" t="s">
        <v>43685</v>
      </c>
      <c r="N1430" t="s">
        <v>47424</v>
      </c>
      <c r="O1430" t="s">
        <v>47425</v>
      </c>
      <c r="P1430">
        <v>0</v>
      </c>
      <c r="Q1430">
        <v>0</v>
      </c>
      <c r="R1430" t="s">
        <v>47428</v>
      </c>
      <c r="S1430" t="s">
        <v>47541</v>
      </c>
      <c r="T1430" t="s">
        <v>49069</v>
      </c>
      <c r="U1430" t="s">
        <v>50921</v>
      </c>
      <c r="W1430" t="s">
        <v>43685</v>
      </c>
      <c r="X1430" t="s">
        <v>47430</v>
      </c>
    </row>
    <row r="1431" spans="1:24">
      <c r="A1431">
        <f>HYPERLINK("https://www.philgeps.gov.ph/GEPSNONPILOT/Tender/SplashBidNoticeAbstractUI.aspx?menuIndex=3&amp;refID=7161963&amp;Result=3","7161963")</f>
        <v>0</v>
      </c>
      <c r="B1431" t="s">
        <v>650</v>
      </c>
      <c r="C1431" t="s">
        <v>5276</v>
      </c>
      <c r="D1431" t="s">
        <v>19017</v>
      </c>
      <c r="E1431" t="s">
        <v>20403</v>
      </c>
      <c r="F1431" t="s">
        <v>32831</v>
      </c>
      <c r="G1431" t="s">
        <v>32838</v>
      </c>
      <c r="H1431" t="s">
        <v>32848</v>
      </c>
      <c r="I1431" t="s">
        <v>32862</v>
      </c>
      <c r="J1431" t="s">
        <v>33987</v>
      </c>
      <c r="K1431" t="s">
        <v>42726</v>
      </c>
      <c r="M1431" t="s">
        <v>43668</v>
      </c>
      <c r="N1431" t="s">
        <v>47424</v>
      </c>
      <c r="O1431" t="s">
        <v>47425</v>
      </c>
      <c r="P1431">
        <v>0</v>
      </c>
      <c r="Q1431">
        <v>2</v>
      </c>
      <c r="R1431" t="s">
        <v>47428</v>
      </c>
      <c r="S1431" t="s">
        <v>47541</v>
      </c>
      <c r="T1431" t="s">
        <v>49119</v>
      </c>
      <c r="U1431" t="s">
        <v>50922</v>
      </c>
      <c r="V1431" t="s">
        <v>62774</v>
      </c>
      <c r="W1431" t="s">
        <v>43668</v>
      </c>
      <c r="X1431" t="s">
        <v>47430</v>
      </c>
    </row>
    <row r="1432" spans="1:24">
      <c r="A1432">
        <f>HYPERLINK("https://www.philgeps.gov.ph/GEPSNONPILOT/Tender/SplashBidNoticeAbstractUI.aspx?menuIndex=3&amp;refID=7162012&amp;Result=3","7162012")</f>
        <v>0</v>
      </c>
      <c r="B1432" t="s">
        <v>650</v>
      </c>
      <c r="C1432" t="s">
        <v>5277</v>
      </c>
      <c r="D1432" t="s">
        <v>19017</v>
      </c>
      <c r="E1432" t="s">
        <v>20378</v>
      </c>
      <c r="F1432" t="s">
        <v>32831</v>
      </c>
      <c r="G1432" t="s">
        <v>32838</v>
      </c>
      <c r="H1432" t="s">
        <v>32848</v>
      </c>
      <c r="I1432" t="s">
        <v>4558</v>
      </c>
      <c r="J1432" t="s">
        <v>34006</v>
      </c>
      <c r="K1432" t="s">
        <v>42726</v>
      </c>
      <c r="M1432" t="s">
        <v>43668</v>
      </c>
      <c r="N1432" t="s">
        <v>47424</v>
      </c>
      <c r="O1432" t="s">
        <v>47425</v>
      </c>
      <c r="P1432">
        <v>0</v>
      </c>
      <c r="Q1432">
        <v>1</v>
      </c>
      <c r="R1432" t="s">
        <v>47428</v>
      </c>
      <c r="S1432" t="s">
        <v>47541</v>
      </c>
      <c r="T1432" t="s">
        <v>49119</v>
      </c>
      <c r="U1432" t="s">
        <v>50923</v>
      </c>
      <c r="V1432" t="s">
        <v>62774</v>
      </c>
      <c r="W1432" t="s">
        <v>43668</v>
      </c>
      <c r="X1432" t="s">
        <v>47430</v>
      </c>
    </row>
    <row r="1433" spans="1:24">
      <c r="A1433">
        <f>HYPERLINK("https://www.philgeps.gov.ph/GEPSNONPILOT/Tender/SplashBidNoticeAbstractUI.aspx?menuIndex=3&amp;refID=7161962&amp;Result=3","7161962")</f>
        <v>0</v>
      </c>
      <c r="B1433" t="s">
        <v>171</v>
      </c>
      <c r="C1433" t="s">
        <v>5278</v>
      </c>
      <c r="E1433" t="s">
        <v>20404</v>
      </c>
      <c r="F1433" t="s">
        <v>32831</v>
      </c>
      <c r="G1433" t="s">
        <v>32838</v>
      </c>
      <c r="H1433" t="s">
        <v>32848</v>
      </c>
      <c r="I1433" t="s">
        <v>32883</v>
      </c>
      <c r="J1433" t="s">
        <v>33041</v>
      </c>
      <c r="K1433" t="s">
        <v>42730</v>
      </c>
      <c r="M1433" t="s">
        <v>43684</v>
      </c>
      <c r="N1433" t="s">
        <v>47424</v>
      </c>
      <c r="O1433" t="s">
        <v>47425</v>
      </c>
      <c r="P1433">
        <v>0</v>
      </c>
      <c r="Q1433">
        <v>0</v>
      </c>
      <c r="R1433" t="s">
        <v>47428</v>
      </c>
      <c r="S1433" t="s">
        <v>47541</v>
      </c>
      <c r="T1433" t="s">
        <v>49109</v>
      </c>
      <c r="U1433" t="s">
        <v>50924</v>
      </c>
      <c r="W1433" t="s">
        <v>64443</v>
      </c>
      <c r="X1433" t="s">
        <v>47430</v>
      </c>
    </row>
    <row r="1434" spans="1:24">
      <c r="A1434">
        <f>HYPERLINK("https://www.philgeps.gov.ph/GEPSNONPILOT/Tender/SplashBidNoticeAbstractUI.aspx?menuIndex=3&amp;refID=7161997&amp;Result=3","7161997")</f>
        <v>0</v>
      </c>
      <c r="B1434" t="s">
        <v>667</v>
      </c>
      <c r="C1434" t="s">
        <v>5279</v>
      </c>
      <c r="D1434" t="s">
        <v>19077</v>
      </c>
      <c r="E1434" t="s">
        <v>20405</v>
      </c>
      <c r="F1434" t="s">
        <v>32831</v>
      </c>
      <c r="G1434" t="s">
        <v>32838</v>
      </c>
      <c r="H1434" t="s">
        <v>32850</v>
      </c>
      <c r="I1434" t="s">
        <v>7416</v>
      </c>
      <c r="J1434" t="s">
        <v>34007</v>
      </c>
      <c r="K1434" t="s">
        <v>42747</v>
      </c>
      <c r="M1434" t="s">
        <v>43686</v>
      </c>
      <c r="N1434" t="s">
        <v>47424</v>
      </c>
      <c r="O1434" t="s">
        <v>47425</v>
      </c>
      <c r="P1434">
        <v>0</v>
      </c>
      <c r="Q1434">
        <v>1</v>
      </c>
      <c r="R1434" t="s">
        <v>47428</v>
      </c>
      <c r="S1434" t="s">
        <v>47541</v>
      </c>
      <c r="T1434" t="s">
        <v>49237</v>
      </c>
      <c r="U1434" t="s">
        <v>50925</v>
      </c>
      <c r="W1434" t="s">
        <v>43686</v>
      </c>
      <c r="X1434" t="s">
        <v>47430</v>
      </c>
    </row>
    <row r="1435" spans="1:24">
      <c r="A1435">
        <f>HYPERLINK("https://www.philgeps.gov.ph/GEPSNONPILOT/Tender/SplashBidNoticeAbstractUI.aspx?menuIndex=3&amp;refID=7162004&amp;Result=3","7162004")</f>
        <v>0</v>
      </c>
      <c r="B1435" t="s">
        <v>307</v>
      </c>
      <c r="C1435" t="s">
        <v>5280</v>
      </c>
      <c r="D1435" t="s">
        <v>19078</v>
      </c>
      <c r="E1435" t="s">
        <v>20406</v>
      </c>
      <c r="F1435" t="s">
        <v>32831</v>
      </c>
      <c r="G1435" t="s">
        <v>32838</v>
      </c>
      <c r="H1435" t="s">
        <v>32848</v>
      </c>
      <c r="I1435" t="s">
        <v>32857</v>
      </c>
      <c r="J1435" t="s">
        <v>34008</v>
      </c>
      <c r="K1435" t="s">
        <v>42759</v>
      </c>
      <c r="M1435" t="s">
        <v>43308</v>
      </c>
      <c r="N1435" t="s">
        <v>47424</v>
      </c>
      <c r="O1435" t="s">
        <v>47425</v>
      </c>
      <c r="P1435">
        <v>0</v>
      </c>
      <c r="Q1435">
        <v>5</v>
      </c>
      <c r="R1435" t="s">
        <v>47428</v>
      </c>
      <c r="S1435" t="s">
        <v>47541</v>
      </c>
      <c r="T1435" t="s">
        <v>49111</v>
      </c>
      <c r="U1435" t="s">
        <v>50926</v>
      </c>
      <c r="W1435" t="s">
        <v>43308</v>
      </c>
      <c r="X1435" t="s">
        <v>47430</v>
      </c>
    </row>
    <row r="1436" spans="1:24">
      <c r="A1436">
        <f>HYPERLINK("https://www.philgeps.gov.ph/GEPSNONPILOT/Tender/SplashBidNoticeAbstractUI.aspx?menuIndex=3&amp;refID=7161992&amp;Result=3","7161992")</f>
        <v>0</v>
      </c>
      <c r="B1436" t="s">
        <v>668</v>
      </c>
      <c r="C1436" t="s">
        <v>5281</v>
      </c>
      <c r="D1436" t="s">
        <v>19034</v>
      </c>
      <c r="E1436" t="s">
        <v>20407</v>
      </c>
      <c r="F1436" t="s">
        <v>32831</v>
      </c>
      <c r="G1436" t="s">
        <v>32841</v>
      </c>
      <c r="H1436" t="s">
        <v>32848</v>
      </c>
      <c r="I1436" t="s">
        <v>4487</v>
      </c>
      <c r="J1436" t="s">
        <v>33111</v>
      </c>
      <c r="K1436" t="s">
        <v>42732</v>
      </c>
      <c r="M1436" t="s">
        <v>43687</v>
      </c>
      <c r="N1436" t="s">
        <v>47424</v>
      </c>
      <c r="O1436" t="s">
        <v>47425</v>
      </c>
      <c r="P1436">
        <v>0</v>
      </c>
      <c r="Q1436">
        <v>2</v>
      </c>
      <c r="R1436" t="s">
        <v>47428</v>
      </c>
      <c r="S1436" t="s">
        <v>47541</v>
      </c>
      <c r="T1436" t="s">
        <v>49111</v>
      </c>
      <c r="U1436" t="s">
        <v>50927</v>
      </c>
      <c r="W1436" t="s">
        <v>43687</v>
      </c>
      <c r="X1436" t="s">
        <v>47430</v>
      </c>
    </row>
    <row r="1437" spans="1:24">
      <c r="A1437">
        <f>HYPERLINK("https://www.philgeps.gov.ph/GEPSNONPILOT/Tender/SplashBidNoticeAbstractUI.aspx?menuIndex=3&amp;refID=7162080&amp;Result=3","7162080")</f>
        <v>0</v>
      </c>
      <c r="B1437" t="s">
        <v>669</v>
      </c>
      <c r="C1437" t="s">
        <v>5282</v>
      </c>
      <c r="D1437" t="s">
        <v>19022</v>
      </c>
      <c r="E1437" t="s">
        <v>20408</v>
      </c>
      <c r="F1437" t="s">
        <v>32831</v>
      </c>
      <c r="G1437" t="s">
        <v>32838</v>
      </c>
      <c r="H1437" t="s">
        <v>32848</v>
      </c>
      <c r="I1437" t="s">
        <v>32868</v>
      </c>
      <c r="J1437" t="s">
        <v>34009</v>
      </c>
      <c r="K1437" t="s">
        <v>42726</v>
      </c>
      <c r="M1437" t="s">
        <v>43688</v>
      </c>
      <c r="N1437" t="s">
        <v>47424</v>
      </c>
      <c r="O1437" t="s">
        <v>47425</v>
      </c>
      <c r="P1437">
        <v>0</v>
      </c>
      <c r="Q1437">
        <v>6</v>
      </c>
      <c r="R1437" t="s">
        <v>47428</v>
      </c>
      <c r="S1437" t="s">
        <v>47541</v>
      </c>
      <c r="T1437" t="s">
        <v>49237</v>
      </c>
      <c r="U1437" t="s">
        <v>50928</v>
      </c>
      <c r="W1437" t="s">
        <v>43688</v>
      </c>
      <c r="X1437" t="s">
        <v>47430</v>
      </c>
    </row>
    <row r="1438" spans="1:24">
      <c r="A1438">
        <f>HYPERLINK("https://www.philgeps.gov.ph/GEPSNONPILOT/Tender/SplashBidNoticeAbstractUI.aspx?menuIndex=3&amp;refID=7162022&amp;Result=3","7162022")</f>
        <v>0</v>
      </c>
      <c r="B1438" t="s">
        <v>669</v>
      </c>
      <c r="C1438" t="s">
        <v>5283</v>
      </c>
      <c r="D1438" t="s">
        <v>19022</v>
      </c>
      <c r="E1438" t="s">
        <v>20409</v>
      </c>
      <c r="F1438" t="s">
        <v>32831</v>
      </c>
      <c r="G1438" t="s">
        <v>32838</v>
      </c>
      <c r="H1438" t="s">
        <v>32848</v>
      </c>
      <c r="I1438" t="s">
        <v>32857</v>
      </c>
      <c r="J1438" t="s">
        <v>34010</v>
      </c>
      <c r="K1438" t="s">
        <v>42726</v>
      </c>
      <c r="M1438" t="s">
        <v>43688</v>
      </c>
      <c r="N1438" t="s">
        <v>47424</v>
      </c>
      <c r="O1438" t="s">
        <v>47425</v>
      </c>
      <c r="P1438">
        <v>0</v>
      </c>
      <c r="Q1438">
        <v>1</v>
      </c>
      <c r="R1438" t="s">
        <v>47428</v>
      </c>
      <c r="S1438" t="s">
        <v>47541</v>
      </c>
      <c r="T1438" t="s">
        <v>49214</v>
      </c>
      <c r="U1438" t="s">
        <v>50929</v>
      </c>
      <c r="W1438" t="s">
        <v>43688</v>
      </c>
      <c r="X1438" t="s">
        <v>47430</v>
      </c>
    </row>
    <row r="1439" spans="1:24">
      <c r="A1439">
        <f>HYPERLINK("https://www.philgeps.gov.ph/GEPSNONPILOT/Tender/SplashBidNoticeAbstractUI.aspx?menuIndex=3&amp;refID=7162065&amp;Result=3","7162065")</f>
        <v>0</v>
      </c>
      <c r="B1439" t="s">
        <v>670</v>
      </c>
      <c r="C1439" t="s">
        <v>5284</v>
      </c>
      <c r="D1439" t="s">
        <v>19049</v>
      </c>
      <c r="E1439" t="s">
        <v>20410</v>
      </c>
      <c r="F1439" t="s">
        <v>32831</v>
      </c>
      <c r="G1439" t="s">
        <v>32839</v>
      </c>
      <c r="H1439" t="s">
        <v>32849</v>
      </c>
      <c r="I1439" t="s">
        <v>4177</v>
      </c>
      <c r="J1439" t="s">
        <v>34011</v>
      </c>
      <c r="K1439" t="s">
        <v>42763</v>
      </c>
      <c r="M1439" t="s">
        <v>43689</v>
      </c>
      <c r="N1439" t="s">
        <v>47424</v>
      </c>
      <c r="O1439" t="s">
        <v>47425</v>
      </c>
      <c r="P1439">
        <v>0</v>
      </c>
      <c r="Q1439">
        <v>2</v>
      </c>
      <c r="R1439" t="s">
        <v>47428</v>
      </c>
      <c r="S1439" t="s">
        <v>47541</v>
      </c>
      <c r="T1439" t="s">
        <v>49207</v>
      </c>
      <c r="U1439" t="s">
        <v>50930</v>
      </c>
      <c r="W1439" t="s">
        <v>43689</v>
      </c>
      <c r="X1439" t="s">
        <v>47430</v>
      </c>
    </row>
    <row r="1440" spans="1:24">
      <c r="A1440">
        <f>HYPERLINK("https://www.philgeps.gov.ph/GEPSNONPILOT/Tender/SplashBidNoticeAbstractUI.aspx?menuIndex=3&amp;refID=7162069&amp;Result=3","7162069")</f>
        <v>0</v>
      </c>
      <c r="B1440" t="s">
        <v>671</v>
      </c>
      <c r="C1440" t="s">
        <v>5285</v>
      </c>
      <c r="D1440" t="s">
        <v>19030</v>
      </c>
      <c r="E1440" t="s">
        <v>20411</v>
      </c>
      <c r="F1440" t="s">
        <v>32831</v>
      </c>
      <c r="G1440" t="s">
        <v>32840</v>
      </c>
      <c r="H1440" t="s">
        <v>32848</v>
      </c>
      <c r="I1440" t="s">
        <v>32923</v>
      </c>
      <c r="J1440" t="s">
        <v>33433</v>
      </c>
      <c r="K1440" t="s">
        <v>42727</v>
      </c>
      <c r="M1440" t="s">
        <v>43690</v>
      </c>
      <c r="N1440" t="s">
        <v>47424</v>
      </c>
      <c r="O1440" t="s">
        <v>47425</v>
      </c>
      <c r="P1440">
        <v>0</v>
      </c>
      <c r="Q1440">
        <v>4</v>
      </c>
      <c r="R1440" t="s">
        <v>47428</v>
      </c>
      <c r="S1440" t="s">
        <v>47541</v>
      </c>
      <c r="T1440" t="s">
        <v>49237</v>
      </c>
      <c r="U1440" t="s">
        <v>50931</v>
      </c>
      <c r="W1440" t="s">
        <v>64444</v>
      </c>
      <c r="X1440" t="s">
        <v>47430</v>
      </c>
    </row>
    <row r="1441" spans="1:24">
      <c r="A1441">
        <f>HYPERLINK("https://www.philgeps.gov.ph/GEPSNONPILOT/Tender/SplashBidNoticeAbstractUI.aspx?menuIndex=3&amp;refID=7162081&amp;Result=3","7162081")</f>
        <v>0</v>
      </c>
      <c r="B1441" t="s">
        <v>672</v>
      </c>
      <c r="C1441" t="s">
        <v>5286</v>
      </c>
      <c r="D1441" t="s">
        <v>19085</v>
      </c>
      <c r="E1441" t="s">
        <v>20412</v>
      </c>
      <c r="F1441" t="s">
        <v>32831</v>
      </c>
      <c r="G1441" t="s">
        <v>32839</v>
      </c>
      <c r="H1441" t="s">
        <v>32848</v>
      </c>
      <c r="I1441" t="s">
        <v>5379</v>
      </c>
      <c r="J1441" t="s">
        <v>32976</v>
      </c>
      <c r="K1441" t="s">
        <v>42726</v>
      </c>
      <c r="M1441" t="s">
        <v>43691</v>
      </c>
      <c r="N1441" t="s">
        <v>47424</v>
      </c>
      <c r="O1441" t="s">
        <v>47425</v>
      </c>
      <c r="P1441">
        <v>0</v>
      </c>
      <c r="Q1441">
        <v>0</v>
      </c>
      <c r="R1441" t="s">
        <v>47428</v>
      </c>
      <c r="S1441" t="s">
        <v>47541</v>
      </c>
      <c r="T1441" t="s">
        <v>49066</v>
      </c>
      <c r="U1441" t="s">
        <v>50932</v>
      </c>
      <c r="V1441" t="s">
        <v>62780</v>
      </c>
      <c r="W1441" t="s">
        <v>43691</v>
      </c>
      <c r="X1441" t="s">
        <v>47430</v>
      </c>
    </row>
    <row r="1442" spans="1:24">
      <c r="A1442">
        <f>HYPERLINK("https://www.philgeps.gov.ph/GEPSNONPILOT/Tender/SplashBidNoticeAbstractUI.aspx?menuIndex=3&amp;refID=7162078&amp;Result=3","7162078")</f>
        <v>0</v>
      </c>
      <c r="B1442" t="s">
        <v>660</v>
      </c>
      <c r="C1442" t="s">
        <v>5287</v>
      </c>
      <c r="E1442" t="s">
        <v>20413</v>
      </c>
      <c r="F1442" t="s">
        <v>32831</v>
      </c>
      <c r="G1442" t="s">
        <v>32838</v>
      </c>
      <c r="H1442" t="s">
        <v>32848</v>
      </c>
      <c r="I1442" t="s">
        <v>4558</v>
      </c>
      <c r="J1442" t="s">
        <v>34012</v>
      </c>
      <c r="K1442" t="s">
        <v>42732</v>
      </c>
      <c r="M1442" t="s">
        <v>43678</v>
      </c>
      <c r="N1442" t="s">
        <v>47424</v>
      </c>
      <c r="O1442" t="s">
        <v>47425</v>
      </c>
      <c r="P1442">
        <v>0</v>
      </c>
      <c r="Q1442">
        <v>10</v>
      </c>
      <c r="R1442" t="s">
        <v>47428</v>
      </c>
      <c r="S1442" t="s">
        <v>47541</v>
      </c>
      <c r="T1442" t="s">
        <v>49177</v>
      </c>
      <c r="U1442" t="s">
        <v>50933</v>
      </c>
      <c r="W1442" t="s">
        <v>43678</v>
      </c>
      <c r="X1442" t="s">
        <v>47430</v>
      </c>
    </row>
    <row r="1443" spans="1:24">
      <c r="A1443">
        <f>HYPERLINK("https://www.philgeps.gov.ph/GEPSNONPILOT/Tender/SplashBidNoticeAbstractUI.aspx?menuIndex=3&amp;refID=7162074&amp;Result=3","7162074")</f>
        <v>0</v>
      </c>
      <c r="B1443" t="s">
        <v>673</v>
      </c>
      <c r="C1443" t="s">
        <v>5288</v>
      </c>
      <c r="D1443" t="s">
        <v>19060</v>
      </c>
      <c r="E1443" t="s">
        <v>20414</v>
      </c>
      <c r="F1443" t="s">
        <v>32831</v>
      </c>
      <c r="G1443" t="s">
        <v>32839</v>
      </c>
      <c r="H1443" t="s">
        <v>32848</v>
      </c>
      <c r="I1443" t="s">
        <v>4177</v>
      </c>
      <c r="J1443" t="s">
        <v>34013</v>
      </c>
      <c r="K1443" t="s">
        <v>42773</v>
      </c>
      <c r="M1443" t="s">
        <v>43692</v>
      </c>
      <c r="N1443" t="s">
        <v>47424</v>
      </c>
      <c r="O1443" t="s">
        <v>47425</v>
      </c>
      <c r="P1443">
        <v>0</v>
      </c>
      <c r="Q1443">
        <v>0</v>
      </c>
      <c r="R1443" t="s">
        <v>47428</v>
      </c>
      <c r="S1443" t="s">
        <v>47541</v>
      </c>
      <c r="T1443" t="s">
        <v>49257</v>
      </c>
      <c r="U1443" t="s">
        <v>50934</v>
      </c>
      <c r="W1443" t="s">
        <v>43692</v>
      </c>
      <c r="X1443" t="s">
        <v>47430</v>
      </c>
    </row>
    <row r="1444" spans="1:24">
      <c r="A1444">
        <f>HYPERLINK("https://www.philgeps.gov.ph/GEPSNONPILOT/Tender/SplashBidNoticeAbstractUI.aspx?menuIndex=3&amp;refID=7162059&amp;Result=3","7162059")</f>
        <v>0</v>
      </c>
      <c r="B1444" t="s">
        <v>674</v>
      </c>
      <c r="C1444" t="s">
        <v>5289</v>
      </c>
      <c r="D1444" t="s">
        <v>19058</v>
      </c>
      <c r="E1444" t="s">
        <v>20415</v>
      </c>
      <c r="F1444" t="s">
        <v>32831</v>
      </c>
      <c r="G1444" t="s">
        <v>32838</v>
      </c>
      <c r="H1444" t="s">
        <v>32848</v>
      </c>
      <c r="I1444" t="s">
        <v>32870</v>
      </c>
      <c r="J1444" t="s">
        <v>34014</v>
      </c>
      <c r="K1444" t="s">
        <v>42732</v>
      </c>
      <c r="M1444" t="s">
        <v>43693</v>
      </c>
      <c r="N1444" t="s">
        <v>47424</v>
      </c>
      <c r="O1444" t="s">
        <v>47425</v>
      </c>
      <c r="P1444">
        <v>0</v>
      </c>
      <c r="Q1444">
        <v>0</v>
      </c>
      <c r="R1444" t="s">
        <v>47428</v>
      </c>
      <c r="S1444" t="s">
        <v>47541</v>
      </c>
      <c r="T1444" t="s">
        <v>49237</v>
      </c>
      <c r="U1444" t="s">
        <v>50935</v>
      </c>
      <c r="W1444" t="s">
        <v>43693</v>
      </c>
      <c r="X1444" t="s">
        <v>47430</v>
      </c>
    </row>
    <row r="1445" spans="1:24">
      <c r="A1445">
        <f>HYPERLINK("https://www.philgeps.gov.ph/GEPSNONPILOT/Tender/SplashBidNoticeAbstractUI.aspx?menuIndex=3&amp;refID=7162072&amp;Result=3","7162072")</f>
        <v>0</v>
      </c>
      <c r="B1445" t="s">
        <v>618</v>
      </c>
      <c r="C1445" t="s">
        <v>5290</v>
      </c>
      <c r="D1445" t="s">
        <v>19084</v>
      </c>
      <c r="E1445" t="s">
        <v>20416</v>
      </c>
      <c r="F1445" t="s">
        <v>32831</v>
      </c>
      <c r="G1445" t="s">
        <v>32838</v>
      </c>
      <c r="H1445" t="s">
        <v>32848</v>
      </c>
      <c r="I1445" t="s">
        <v>4558</v>
      </c>
      <c r="J1445" t="s">
        <v>34015</v>
      </c>
      <c r="K1445" t="s">
        <v>42730</v>
      </c>
      <c r="M1445" t="s">
        <v>43634</v>
      </c>
      <c r="N1445" t="s">
        <v>47424</v>
      </c>
      <c r="O1445" t="s">
        <v>47425</v>
      </c>
      <c r="P1445">
        <v>0</v>
      </c>
      <c r="Q1445">
        <v>1</v>
      </c>
      <c r="R1445" t="s">
        <v>47428</v>
      </c>
      <c r="S1445" t="s">
        <v>47541</v>
      </c>
      <c r="T1445" t="s">
        <v>49214</v>
      </c>
      <c r="U1445" t="s">
        <v>50936</v>
      </c>
      <c r="W1445" t="s">
        <v>43634</v>
      </c>
      <c r="X1445" t="s">
        <v>47430</v>
      </c>
    </row>
    <row r="1446" spans="1:24">
      <c r="A1446">
        <f>HYPERLINK("https://www.philgeps.gov.ph/GEPSNONPILOT/Tender/SplashBidNoticeAbstractUI.aspx?menuIndex=3&amp;refID=7162058&amp;Result=3","7162058")</f>
        <v>0</v>
      </c>
      <c r="B1446" t="s">
        <v>663</v>
      </c>
      <c r="C1446" t="s">
        <v>5291</v>
      </c>
      <c r="D1446" t="s">
        <v>19026</v>
      </c>
      <c r="E1446" t="s">
        <v>20417</v>
      </c>
      <c r="F1446" t="s">
        <v>32831</v>
      </c>
      <c r="G1446" t="s">
        <v>32840</v>
      </c>
      <c r="H1446" t="s">
        <v>32848</v>
      </c>
      <c r="I1446" t="s">
        <v>32864</v>
      </c>
      <c r="J1446" t="s">
        <v>34016</v>
      </c>
      <c r="K1446" t="s">
        <v>42732</v>
      </c>
      <c r="M1446" t="s">
        <v>43681</v>
      </c>
      <c r="N1446" t="s">
        <v>47424</v>
      </c>
      <c r="O1446" t="s">
        <v>47425</v>
      </c>
      <c r="P1446">
        <v>0</v>
      </c>
      <c r="Q1446">
        <v>2</v>
      </c>
      <c r="R1446" t="s">
        <v>47428</v>
      </c>
      <c r="S1446" t="s">
        <v>47541</v>
      </c>
      <c r="T1446" t="s">
        <v>49177</v>
      </c>
      <c r="U1446" t="s">
        <v>49728</v>
      </c>
      <c r="W1446" t="s">
        <v>43681</v>
      </c>
      <c r="X1446" t="s">
        <v>47430</v>
      </c>
    </row>
    <row r="1447" spans="1:24">
      <c r="A1447">
        <f>HYPERLINK("https://www.philgeps.gov.ph/GEPSNONPILOT/Tender/SplashBidNoticeAbstractUI.aspx?menuIndex=3&amp;refID=7162064&amp;Result=3","7162064")</f>
        <v>0</v>
      </c>
      <c r="B1447" t="s">
        <v>675</v>
      </c>
      <c r="C1447" t="s">
        <v>5292</v>
      </c>
      <c r="D1447" t="s">
        <v>19033</v>
      </c>
      <c r="E1447" t="s">
        <v>20418</v>
      </c>
      <c r="F1447" t="s">
        <v>32831</v>
      </c>
      <c r="G1447" t="s">
        <v>32840</v>
      </c>
      <c r="H1447" t="s">
        <v>32848</v>
      </c>
      <c r="I1447" t="s">
        <v>32867</v>
      </c>
      <c r="J1447" t="s">
        <v>34017</v>
      </c>
      <c r="K1447" t="s">
        <v>42730</v>
      </c>
      <c r="M1447" t="s">
        <v>43694</v>
      </c>
      <c r="N1447" t="s">
        <v>47424</v>
      </c>
      <c r="O1447" t="s">
        <v>47425</v>
      </c>
      <c r="P1447">
        <v>0</v>
      </c>
      <c r="Q1447">
        <v>4</v>
      </c>
      <c r="R1447" t="s">
        <v>47428</v>
      </c>
      <c r="S1447" t="s">
        <v>47541</v>
      </c>
      <c r="T1447" t="s">
        <v>49107</v>
      </c>
      <c r="U1447" t="s">
        <v>50937</v>
      </c>
      <c r="W1447" t="s">
        <v>43694</v>
      </c>
      <c r="X1447" t="s">
        <v>47430</v>
      </c>
    </row>
    <row r="1448" spans="1:24">
      <c r="A1448">
        <f>HYPERLINK("https://www.philgeps.gov.ph/GEPSNONPILOT/Tender/SplashBidNoticeAbstractUI.aspx?menuIndex=3&amp;refID=7162076&amp;Result=3","7162076")</f>
        <v>0</v>
      </c>
      <c r="B1448" t="s">
        <v>676</v>
      </c>
      <c r="C1448" t="s">
        <v>5293</v>
      </c>
      <c r="D1448" t="s">
        <v>19020</v>
      </c>
      <c r="E1448" t="s">
        <v>20419</v>
      </c>
      <c r="F1448" t="s">
        <v>32831</v>
      </c>
      <c r="G1448" t="s">
        <v>32839</v>
      </c>
      <c r="H1448" t="s">
        <v>32848</v>
      </c>
      <c r="I1448" t="s">
        <v>4177</v>
      </c>
      <c r="J1448" t="s">
        <v>33072</v>
      </c>
      <c r="K1448" t="s">
        <v>42735</v>
      </c>
      <c r="M1448" t="s">
        <v>43695</v>
      </c>
      <c r="N1448" t="s">
        <v>47424</v>
      </c>
      <c r="O1448" t="s">
        <v>47425</v>
      </c>
      <c r="P1448">
        <v>0</v>
      </c>
      <c r="Q1448">
        <v>0</v>
      </c>
      <c r="R1448" t="s">
        <v>47428</v>
      </c>
      <c r="S1448" t="s">
        <v>47541</v>
      </c>
      <c r="T1448" t="s">
        <v>49091</v>
      </c>
      <c r="U1448" t="s">
        <v>50938</v>
      </c>
      <c r="W1448" t="s">
        <v>43695</v>
      </c>
      <c r="X1448" t="s">
        <v>47430</v>
      </c>
    </row>
    <row r="1449" spans="1:24">
      <c r="A1449">
        <f>HYPERLINK("https://www.philgeps.gov.ph/GEPSNONPILOT/Tender/SplashBidNoticeAbstractUI.aspx?menuIndex=3&amp;refID=7162061&amp;Result=3","7162061")</f>
        <v>0</v>
      </c>
      <c r="B1449" t="s">
        <v>654</v>
      </c>
      <c r="C1449" t="s">
        <v>5294</v>
      </c>
      <c r="D1449" t="s">
        <v>19071</v>
      </c>
      <c r="E1449" t="s">
        <v>20420</v>
      </c>
      <c r="F1449" t="s">
        <v>32831</v>
      </c>
      <c r="G1449" t="s">
        <v>32839</v>
      </c>
      <c r="H1449" t="s">
        <v>32848</v>
      </c>
      <c r="I1449" t="s">
        <v>4776</v>
      </c>
      <c r="J1449" t="s">
        <v>34018</v>
      </c>
      <c r="K1449" t="s">
        <v>42731</v>
      </c>
      <c r="M1449" t="s">
        <v>43672</v>
      </c>
      <c r="N1449" t="s">
        <v>47424</v>
      </c>
      <c r="O1449" t="s">
        <v>47425</v>
      </c>
      <c r="P1449">
        <v>0</v>
      </c>
      <c r="Q1449">
        <v>0</v>
      </c>
      <c r="R1449" t="s">
        <v>47428</v>
      </c>
      <c r="S1449" t="s">
        <v>47541</v>
      </c>
      <c r="T1449" t="s">
        <v>49148</v>
      </c>
      <c r="U1449" t="s">
        <v>50939</v>
      </c>
      <c r="W1449" t="s">
        <v>43672</v>
      </c>
      <c r="X1449" t="s">
        <v>47430</v>
      </c>
    </row>
    <row r="1450" spans="1:24">
      <c r="A1450">
        <f>HYPERLINK("https://www.philgeps.gov.ph/GEPSNONPILOT/Tender/SplashBidNoticeAbstractUI.aspx?menuIndex=3&amp;refID=7162108&amp;Result=3","7162108")</f>
        <v>0</v>
      </c>
      <c r="B1450" t="s">
        <v>677</v>
      </c>
      <c r="C1450" t="s">
        <v>5295</v>
      </c>
      <c r="D1450" t="s">
        <v>19024</v>
      </c>
      <c r="E1450" t="s">
        <v>20421</v>
      </c>
      <c r="F1450" t="s">
        <v>32831</v>
      </c>
      <c r="G1450" t="s">
        <v>32839</v>
      </c>
      <c r="H1450" t="s">
        <v>32848</v>
      </c>
      <c r="I1450" t="s">
        <v>32862</v>
      </c>
      <c r="J1450" t="s">
        <v>34019</v>
      </c>
      <c r="K1450" t="s">
        <v>42730</v>
      </c>
      <c r="M1450" t="s">
        <v>43696</v>
      </c>
      <c r="N1450" t="s">
        <v>47424</v>
      </c>
      <c r="O1450" t="s">
        <v>47425</v>
      </c>
      <c r="P1450">
        <v>0</v>
      </c>
      <c r="Q1450">
        <v>0</v>
      </c>
      <c r="R1450" t="s">
        <v>47428</v>
      </c>
      <c r="S1450" t="s">
        <v>47541</v>
      </c>
      <c r="T1450" t="s">
        <v>49066</v>
      </c>
      <c r="U1450" t="s">
        <v>50940</v>
      </c>
      <c r="W1450" t="s">
        <v>43696</v>
      </c>
      <c r="X1450" t="s">
        <v>47430</v>
      </c>
    </row>
    <row r="1451" spans="1:24">
      <c r="A1451">
        <f>HYPERLINK("https://www.philgeps.gov.ph/GEPSNONPILOT/Tender/SplashBidNoticeAbstractUI.aspx?menuIndex=3&amp;refID=7162054&amp;Result=3","7162054")</f>
        <v>0</v>
      </c>
      <c r="B1451" t="s">
        <v>678</v>
      </c>
      <c r="C1451" t="s">
        <v>5296</v>
      </c>
      <c r="D1451" t="s">
        <v>19037</v>
      </c>
      <c r="E1451" t="s">
        <v>20422</v>
      </c>
      <c r="F1451" t="s">
        <v>32831</v>
      </c>
      <c r="G1451" t="s">
        <v>32838</v>
      </c>
      <c r="H1451" t="s">
        <v>32848</v>
      </c>
      <c r="I1451" t="s">
        <v>4487</v>
      </c>
      <c r="J1451" t="s">
        <v>34020</v>
      </c>
      <c r="K1451" t="s">
        <v>42748</v>
      </c>
      <c r="M1451" t="s">
        <v>43697</v>
      </c>
      <c r="N1451" t="s">
        <v>47424</v>
      </c>
      <c r="O1451" t="s">
        <v>47425</v>
      </c>
      <c r="P1451">
        <v>0</v>
      </c>
      <c r="Q1451">
        <v>0</v>
      </c>
      <c r="R1451" t="s">
        <v>47428</v>
      </c>
      <c r="S1451" t="s">
        <v>47541</v>
      </c>
      <c r="T1451" t="s">
        <v>49163</v>
      </c>
      <c r="U1451" t="s">
        <v>50941</v>
      </c>
      <c r="W1451" t="s">
        <v>43697</v>
      </c>
      <c r="X1451" t="s">
        <v>47430</v>
      </c>
    </row>
    <row r="1452" spans="1:24">
      <c r="A1452">
        <f>HYPERLINK("https://www.philgeps.gov.ph/GEPSNONPILOT/Tender/SplashBidNoticeAbstractUI.aspx?menuIndex=3&amp;refID=7162062&amp;Result=3","7162062")</f>
        <v>0</v>
      </c>
      <c r="B1452" t="s">
        <v>679</v>
      </c>
      <c r="C1452" t="s">
        <v>5297</v>
      </c>
      <c r="D1452" t="s">
        <v>19026</v>
      </c>
      <c r="E1452" t="s">
        <v>20423</v>
      </c>
      <c r="F1452" t="s">
        <v>32831</v>
      </c>
      <c r="G1452" t="s">
        <v>32838</v>
      </c>
      <c r="H1452" t="s">
        <v>32849</v>
      </c>
      <c r="I1452" t="s">
        <v>4177</v>
      </c>
      <c r="J1452" t="s">
        <v>34021</v>
      </c>
      <c r="K1452" t="s">
        <v>42732</v>
      </c>
      <c r="L1452" t="s">
        <v>679</v>
      </c>
      <c r="M1452" t="s">
        <v>43698</v>
      </c>
      <c r="N1452" t="s">
        <v>47424</v>
      </c>
      <c r="O1452" t="s">
        <v>47425</v>
      </c>
      <c r="P1452">
        <v>0</v>
      </c>
      <c r="Q1452">
        <v>4</v>
      </c>
      <c r="R1452" t="s">
        <v>47428</v>
      </c>
      <c r="S1452" t="s">
        <v>47541</v>
      </c>
      <c r="T1452" t="s">
        <v>49107</v>
      </c>
      <c r="U1452" t="s">
        <v>50942</v>
      </c>
      <c r="W1452" t="s">
        <v>43698</v>
      </c>
      <c r="X1452" t="s">
        <v>47430</v>
      </c>
    </row>
    <row r="1453" spans="1:24">
      <c r="A1453">
        <f>HYPERLINK("https://www.philgeps.gov.ph/GEPSNONPILOT/Tender/SplashBidNoticeAbstractUI.aspx?menuIndex=3&amp;refID=7162102&amp;Result=3","7162102")</f>
        <v>0</v>
      </c>
      <c r="B1453" t="s">
        <v>680</v>
      </c>
      <c r="C1453" t="s">
        <v>5298</v>
      </c>
      <c r="D1453" t="s">
        <v>19056</v>
      </c>
      <c r="E1453" t="s">
        <v>20424</v>
      </c>
      <c r="F1453" t="s">
        <v>32831</v>
      </c>
      <c r="G1453" t="s">
        <v>32842</v>
      </c>
      <c r="H1453" t="s">
        <v>32848</v>
      </c>
      <c r="I1453" t="s">
        <v>9577</v>
      </c>
      <c r="J1453" t="s">
        <v>33911</v>
      </c>
      <c r="K1453" t="s">
        <v>42726</v>
      </c>
      <c r="M1453" t="s">
        <v>43699</v>
      </c>
      <c r="N1453" t="s">
        <v>47424</v>
      </c>
      <c r="O1453" t="s">
        <v>47425</v>
      </c>
      <c r="P1453">
        <v>0</v>
      </c>
      <c r="Q1453">
        <v>2</v>
      </c>
      <c r="R1453" t="s">
        <v>47428</v>
      </c>
      <c r="S1453" t="s">
        <v>47541</v>
      </c>
      <c r="T1453" t="s">
        <v>49237</v>
      </c>
      <c r="U1453" t="s">
        <v>50943</v>
      </c>
      <c r="W1453" t="s">
        <v>43699</v>
      </c>
      <c r="X1453" t="s">
        <v>47430</v>
      </c>
    </row>
    <row r="1454" spans="1:24">
      <c r="A1454">
        <f>HYPERLINK("https://www.philgeps.gov.ph/GEPSNONPILOT/Tender/SplashBidNoticeAbstractUI.aspx?menuIndex=3&amp;refID=7162101&amp;Result=3","7162101")</f>
        <v>0</v>
      </c>
      <c r="B1454" t="s">
        <v>525</v>
      </c>
      <c r="C1454" t="s">
        <v>5299</v>
      </c>
      <c r="D1454" t="s">
        <v>19029</v>
      </c>
      <c r="E1454" t="s">
        <v>20425</v>
      </c>
      <c r="F1454" t="s">
        <v>32831</v>
      </c>
      <c r="G1454" t="s">
        <v>32838</v>
      </c>
      <c r="H1454" t="s">
        <v>32848</v>
      </c>
      <c r="I1454" t="s">
        <v>32859</v>
      </c>
      <c r="J1454" t="s">
        <v>34022</v>
      </c>
      <c r="K1454" t="s">
        <v>42727</v>
      </c>
      <c r="M1454" t="s">
        <v>43531</v>
      </c>
      <c r="N1454" t="s">
        <v>47424</v>
      </c>
      <c r="O1454" t="s">
        <v>47425</v>
      </c>
      <c r="P1454">
        <v>0</v>
      </c>
      <c r="Q1454">
        <v>3</v>
      </c>
      <c r="R1454" t="s">
        <v>47428</v>
      </c>
      <c r="S1454" t="s">
        <v>47541</v>
      </c>
      <c r="T1454" t="s">
        <v>49255</v>
      </c>
      <c r="U1454" t="s">
        <v>50944</v>
      </c>
      <c r="W1454" t="s">
        <v>43531</v>
      </c>
      <c r="X1454" t="s">
        <v>47430</v>
      </c>
    </row>
    <row r="1455" spans="1:24">
      <c r="A1455">
        <f>HYPERLINK("https://www.philgeps.gov.ph/GEPSNONPILOT/Tender/SplashBidNoticeAbstractUI.aspx?menuIndex=3&amp;refID=7162100&amp;Result=3","7162100")</f>
        <v>0</v>
      </c>
      <c r="B1455" t="s">
        <v>639</v>
      </c>
      <c r="C1455" t="s">
        <v>5300</v>
      </c>
      <c r="D1455" t="s">
        <v>19017</v>
      </c>
      <c r="E1455" t="s">
        <v>20426</v>
      </c>
      <c r="F1455" t="s">
        <v>32831</v>
      </c>
      <c r="G1455" t="s">
        <v>32838</v>
      </c>
      <c r="H1455" t="s">
        <v>32848</v>
      </c>
      <c r="I1455" t="s">
        <v>32861</v>
      </c>
      <c r="J1455" t="s">
        <v>33041</v>
      </c>
      <c r="K1455" t="s">
        <v>42730</v>
      </c>
      <c r="M1455" t="s">
        <v>43656</v>
      </c>
      <c r="N1455" t="s">
        <v>47424</v>
      </c>
      <c r="O1455" t="s">
        <v>47425</v>
      </c>
      <c r="P1455">
        <v>0</v>
      </c>
      <c r="Q1455">
        <v>2</v>
      </c>
      <c r="R1455" t="s">
        <v>47428</v>
      </c>
      <c r="S1455" t="s">
        <v>47541</v>
      </c>
      <c r="T1455" t="s">
        <v>49237</v>
      </c>
      <c r="U1455" t="s">
        <v>50945</v>
      </c>
      <c r="W1455" t="s">
        <v>43656</v>
      </c>
      <c r="X1455" t="s">
        <v>47430</v>
      </c>
    </row>
    <row r="1456" spans="1:24">
      <c r="A1456">
        <f>HYPERLINK("https://www.philgeps.gov.ph/GEPSNONPILOT/Tender/SplashBidNoticeAbstractUI.aspx?menuIndex=3&amp;refID=7162106&amp;Result=3","7162106")</f>
        <v>0</v>
      </c>
      <c r="B1456" t="s">
        <v>672</v>
      </c>
      <c r="C1456" t="s">
        <v>5301</v>
      </c>
      <c r="D1456" t="s">
        <v>19085</v>
      </c>
      <c r="E1456" t="s">
        <v>20427</v>
      </c>
      <c r="F1456" t="s">
        <v>32831</v>
      </c>
      <c r="G1456" t="s">
        <v>32839</v>
      </c>
      <c r="H1456" t="s">
        <v>32848</v>
      </c>
      <c r="I1456" t="s">
        <v>7751</v>
      </c>
      <c r="J1456" t="s">
        <v>34023</v>
      </c>
      <c r="K1456" t="s">
        <v>42726</v>
      </c>
      <c r="M1456" t="s">
        <v>43691</v>
      </c>
      <c r="N1456" t="s">
        <v>47424</v>
      </c>
      <c r="O1456" t="s">
        <v>47425</v>
      </c>
      <c r="P1456">
        <v>0</v>
      </c>
      <c r="Q1456">
        <v>1</v>
      </c>
      <c r="R1456" t="s">
        <v>47428</v>
      </c>
      <c r="S1456" t="s">
        <v>47541</v>
      </c>
      <c r="T1456" t="s">
        <v>49066</v>
      </c>
      <c r="U1456" t="s">
        <v>50946</v>
      </c>
      <c r="V1456" t="s">
        <v>62781</v>
      </c>
      <c r="W1456" t="s">
        <v>43691</v>
      </c>
      <c r="X1456" t="s">
        <v>47430</v>
      </c>
    </row>
    <row r="1457" spans="1:24">
      <c r="A1457">
        <f>HYPERLINK("https://www.philgeps.gov.ph/GEPSNONPILOT/Tender/SplashBidNoticeAbstractUI.aspx?menuIndex=3&amp;refID=7162096&amp;Result=3","7162096")</f>
        <v>0</v>
      </c>
      <c r="B1457" t="s">
        <v>681</v>
      </c>
      <c r="C1457" t="s">
        <v>5302</v>
      </c>
      <c r="D1457" t="s">
        <v>19018</v>
      </c>
      <c r="E1457" t="s">
        <v>20428</v>
      </c>
      <c r="F1457" t="s">
        <v>32831</v>
      </c>
      <c r="G1457" t="s">
        <v>32838</v>
      </c>
      <c r="H1457" t="s">
        <v>32848</v>
      </c>
      <c r="I1457" t="s">
        <v>7416</v>
      </c>
      <c r="J1457" t="s">
        <v>34024</v>
      </c>
      <c r="K1457" t="s">
        <v>42727</v>
      </c>
      <c r="M1457" t="s">
        <v>43700</v>
      </c>
      <c r="N1457" t="s">
        <v>47424</v>
      </c>
      <c r="O1457" t="s">
        <v>47425</v>
      </c>
      <c r="P1457">
        <v>0</v>
      </c>
      <c r="Q1457">
        <v>0</v>
      </c>
      <c r="R1457" t="s">
        <v>47428</v>
      </c>
      <c r="S1457" t="s">
        <v>47541</v>
      </c>
      <c r="T1457" t="s">
        <v>49129</v>
      </c>
      <c r="U1457" t="s">
        <v>50947</v>
      </c>
      <c r="V1457" t="s">
        <v>62782</v>
      </c>
      <c r="W1457" t="s">
        <v>43700</v>
      </c>
      <c r="X1457" t="s">
        <v>47430</v>
      </c>
    </row>
    <row r="1458" spans="1:24">
      <c r="A1458">
        <f>HYPERLINK("https://www.philgeps.gov.ph/GEPSNONPILOT/Tender/SplashBidNoticeAbstractUI.aspx?menuIndex=3&amp;refID=7162098&amp;Result=3","7162098")</f>
        <v>0</v>
      </c>
      <c r="B1458" t="s">
        <v>678</v>
      </c>
      <c r="C1458" t="s">
        <v>5303</v>
      </c>
      <c r="D1458" t="s">
        <v>19037</v>
      </c>
      <c r="E1458" t="s">
        <v>20429</v>
      </c>
      <c r="F1458" t="s">
        <v>32831</v>
      </c>
      <c r="G1458" t="s">
        <v>32842</v>
      </c>
      <c r="H1458" t="s">
        <v>32848</v>
      </c>
      <c r="I1458" t="s">
        <v>4487</v>
      </c>
      <c r="J1458" t="s">
        <v>34025</v>
      </c>
      <c r="K1458" t="s">
        <v>42748</v>
      </c>
      <c r="M1458" t="s">
        <v>43697</v>
      </c>
      <c r="N1458" t="s">
        <v>47424</v>
      </c>
      <c r="O1458" t="s">
        <v>47425</v>
      </c>
      <c r="P1458">
        <v>0</v>
      </c>
      <c r="Q1458">
        <v>1</v>
      </c>
      <c r="R1458" t="s">
        <v>47428</v>
      </c>
      <c r="S1458" t="s">
        <v>47541</v>
      </c>
      <c r="T1458" t="s">
        <v>49163</v>
      </c>
      <c r="U1458" t="s">
        <v>50948</v>
      </c>
      <c r="W1458" t="s">
        <v>43697</v>
      </c>
      <c r="X1458" t="s">
        <v>47430</v>
      </c>
    </row>
    <row r="1459" spans="1:24">
      <c r="A1459">
        <f>HYPERLINK("https://www.philgeps.gov.ph/GEPSNONPILOT/Tender/SplashBidNoticeAbstractUI.aspx?menuIndex=3&amp;refID=7162097&amp;Result=3","7162097")</f>
        <v>0</v>
      </c>
      <c r="B1459" t="s">
        <v>682</v>
      </c>
      <c r="C1459" t="s">
        <v>5304</v>
      </c>
      <c r="D1459" t="s">
        <v>19067</v>
      </c>
      <c r="E1459" t="s">
        <v>20430</v>
      </c>
      <c r="F1459" t="s">
        <v>32831</v>
      </c>
      <c r="G1459" t="s">
        <v>32838</v>
      </c>
      <c r="H1459" t="s">
        <v>32848</v>
      </c>
      <c r="I1459" t="s">
        <v>4487</v>
      </c>
      <c r="J1459" t="s">
        <v>33162</v>
      </c>
      <c r="K1459" t="s">
        <v>42730</v>
      </c>
      <c r="M1459" t="s">
        <v>43701</v>
      </c>
      <c r="N1459" t="s">
        <v>47424</v>
      </c>
      <c r="O1459" t="s">
        <v>47425</v>
      </c>
      <c r="P1459">
        <v>0</v>
      </c>
      <c r="Q1459">
        <v>3</v>
      </c>
      <c r="R1459" t="s">
        <v>47428</v>
      </c>
      <c r="S1459" t="s">
        <v>47541</v>
      </c>
      <c r="T1459" t="s">
        <v>49111</v>
      </c>
      <c r="U1459" t="s">
        <v>50949</v>
      </c>
      <c r="W1459" t="s">
        <v>43701</v>
      </c>
      <c r="X1459" t="s">
        <v>47430</v>
      </c>
    </row>
    <row r="1460" spans="1:24">
      <c r="A1460">
        <f>HYPERLINK("https://www.philgeps.gov.ph/GEPSNONPILOT/Tender/SplashBidNoticeAbstractUI.aspx?menuIndex=3&amp;refID=7162092&amp;Result=3","7162092")</f>
        <v>0</v>
      </c>
      <c r="B1460" t="s">
        <v>525</v>
      </c>
      <c r="C1460" t="s">
        <v>5305</v>
      </c>
      <c r="D1460" t="s">
        <v>19029</v>
      </c>
      <c r="E1460" t="s">
        <v>20431</v>
      </c>
      <c r="F1460" t="s">
        <v>32831</v>
      </c>
      <c r="G1460" t="s">
        <v>32838</v>
      </c>
      <c r="H1460" t="s">
        <v>32848</v>
      </c>
      <c r="I1460" t="s">
        <v>32859</v>
      </c>
      <c r="J1460" t="s">
        <v>34026</v>
      </c>
      <c r="K1460" t="s">
        <v>42727</v>
      </c>
      <c r="M1460" t="s">
        <v>43531</v>
      </c>
      <c r="N1460" t="s">
        <v>47424</v>
      </c>
      <c r="O1460" t="s">
        <v>47425</v>
      </c>
      <c r="P1460">
        <v>0</v>
      </c>
      <c r="Q1460">
        <v>4</v>
      </c>
      <c r="R1460" t="s">
        <v>47428</v>
      </c>
      <c r="S1460" t="s">
        <v>47541</v>
      </c>
      <c r="T1460" t="s">
        <v>49255</v>
      </c>
      <c r="U1460" t="s">
        <v>50950</v>
      </c>
      <c r="W1460" t="s">
        <v>43531</v>
      </c>
      <c r="X1460" t="s">
        <v>47430</v>
      </c>
    </row>
    <row r="1461" spans="1:24">
      <c r="A1461">
        <f>HYPERLINK("https://www.philgeps.gov.ph/GEPSNONPILOT/Tender/SplashBidNoticeAbstractUI.aspx?menuIndex=3&amp;refID=7162091&amp;Result=3","7162091")</f>
        <v>0</v>
      </c>
      <c r="B1461" t="s">
        <v>683</v>
      </c>
      <c r="C1461" t="s">
        <v>5306</v>
      </c>
      <c r="D1461" t="s">
        <v>19058</v>
      </c>
      <c r="E1461" t="s">
        <v>20432</v>
      </c>
      <c r="F1461" t="s">
        <v>32831</v>
      </c>
      <c r="G1461" t="s">
        <v>32839</v>
      </c>
      <c r="H1461" t="s">
        <v>32850</v>
      </c>
      <c r="I1461" t="s">
        <v>4471</v>
      </c>
      <c r="J1461" t="s">
        <v>33016</v>
      </c>
      <c r="K1461" t="s">
        <v>42730</v>
      </c>
      <c r="M1461" t="s">
        <v>43702</v>
      </c>
      <c r="N1461" t="s">
        <v>47424</v>
      </c>
      <c r="O1461" t="s">
        <v>47425</v>
      </c>
      <c r="P1461">
        <v>0</v>
      </c>
      <c r="Q1461">
        <v>1</v>
      </c>
      <c r="R1461" t="s">
        <v>47428</v>
      </c>
      <c r="S1461" t="s">
        <v>47541</v>
      </c>
      <c r="T1461" t="s">
        <v>49258</v>
      </c>
      <c r="U1461" t="s">
        <v>50951</v>
      </c>
      <c r="W1461" t="s">
        <v>43702</v>
      </c>
      <c r="X1461" t="s">
        <v>47430</v>
      </c>
    </row>
    <row r="1462" spans="1:24">
      <c r="A1462">
        <f>HYPERLINK("https://www.philgeps.gov.ph/GEPSNONPILOT/Tender/SplashBidNoticeAbstractUI.aspx?menuIndex=3&amp;refID=7162115&amp;Result=3","7162115")</f>
        <v>0</v>
      </c>
      <c r="B1462" t="s">
        <v>575</v>
      </c>
      <c r="C1462" t="s">
        <v>5307</v>
      </c>
      <c r="D1462" t="s">
        <v>19041</v>
      </c>
      <c r="E1462" t="s">
        <v>20433</v>
      </c>
      <c r="F1462" t="s">
        <v>32831</v>
      </c>
      <c r="G1462" t="s">
        <v>32838</v>
      </c>
      <c r="H1462" t="s">
        <v>32848</v>
      </c>
      <c r="I1462" t="s">
        <v>5379</v>
      </c>
      <c r="J1462" t="s">
        <v>34027</v>
      </c>
      <c r="K1462" t="s">
        <v>42749</v>
      </c>
      <c r="M1462" t="s">
        <v>43585</v>
      </c>
      <c r="N1462" t="s">
        <v>47424</v>
      </c>
      <c r="O1462" t="s">
        <v>47425</v>
      </c>
      <c r="P1462">
        <v>0</v>
      </c>
      <c r="Q1462">
        <v>0</v>
      </c>
      <c r="R1462" t="s">
        <v>47428</v>
      </c>
      <c r="S1462" t="s">
        <v>47541</v>
      </c>
      <c r="T1462" t="s">
        <v>49166</v>
      </c>
      <c r="U1462" t="s">
        <v>50952</v>
      </c>
      <c r="W1462" t="s">
        <v>43585</v>
      </c>
      <c r="X1462" t="s">
        <v>47430</v>
      </c>
    </row>
    <row r="1463" spans="1:24">
      <c r="A1463">
        <f>HYPERLINK("https://www.philgeps.gov.ph/GEPSNONPILOT/Tender/SplashBidNoticeAbstractUI.aspx?menuIndex=3&amp;refID=7162088&amp;Result=3","7162088")</f>
        <v>0</v>
      </c>
      <c r="B1463" t="s">
        <v>684</v>
      </c>
      <c r="C1463" t="s">
        <v>5308</v>
      </c>
      <c r="D1463" t="s">
        <v>19061</v>
      </c>
      <c r="E1463" t="s">
        <v>20434</v>
      </c>
      <c r="F1463" t="s">
        <v>32831</v>
      </c>
      <c r="G1463" t="s">
        <v>32839</v>
      </c>
      <c r="H1463" t="s">
        <v>32848</v>
      </c>
      <c r="I1463" t="s">
        <v>7416</v>
      </c>
      <c r="J1463" t="s">
        <v>34028</v>
      </c>
      <c r="K1463" t="s">
        <v>42726</v>
      </c>
      <c r="M1463" t="s">
        <v>43703</v>
      </c>
      <c r="N1463" t="s">
        <v>47424</v>
      </c>
      <c r="O1463" t="s">
        <v>47425</v>
      </c>
      <c r="P1463">
        <v>0</v>
      </c>
      <c r="Q1463">
        <v>0</v>
      </c>
      <c r="R1463" t="s">
        <v>47428</v>
      </c>
      <c r="S1463" t="s">
        <v>47541</v>
      </c>
      <c r="T1463" t="s">
        <v>49109</v>
      </c>
      <c r="U1463" t="s">
        <v>50953</v>
      </c>
      <c r="W1463" t="s">
        <v>43703</v>
      </c>
      <c r="X1463" t="s">
        <v>47430</v>
      </c>
    </row>
    <row r="1464" spans="1:24">
      <c r="A1464">
        <f>HYPERLINK("https://www.philgeps.gov.ph/GEPSNONPILOT/Tender/SplashBidNoticeAbstractUI.aspx?menuIndex=3&amp;refID=7162095&amp;Result=3","7162095")</f>
        <v>0</v>
      </c>
      <c r="B1464" t="s">
        <v>685</v>
      </c>
      <c r="C1464" t="s">
        <v>5309</v>
      </c>
      <c r="D1464" t="s">
        <v>19059</v>
      </c>
      <c r="E1464" t="s">
        <v>20435</v>
      </c>
      <c r="F1464" t="s">
        <v>32831</v>
      </c>
      <c r="G1464" t="s">
        <v>32838</v>
      </c>
      <c r="H1464" t="s">
        <v>32848</v>
      </c>
      <c r="I1464" t="s">
        <v>32924</v>
      </c>
      <c r="J1464" t="s">
        <v>34029</v>
      </c>
      <c r="K1464" t="s">
        <v>42758</v>
      </c>
      <c r="M1464" t="s">
        <v>43704</v>
      </c>
      <c r="N1464" t="s">
        <v>47424</v>
      </c>
      <c r="O1464" t="s">
        <v>47425</v>
      </c>
      <c r="P1464">
        <v>0</v>
      </c>
      <c r="Q1464">
        <v>1</v>
      </c>
      <c r="R1464" t="s">
        <v>47428</v>
      </c>
      <c r="S1464" t="s">
        <v>47541</v>
      </c>
      <c r="T1464" t="s">
        <v>49111</v>
      </c>
      <c r="U1464" t="s">
        <v>50954</v>
      </c>
      <c r="V1464" t="s">
        <v>62783</v>
      </c>
      <c r="W1464" t="s">
        <v>43704</v>
      </c>
      <c r="X1464" t="s">
        <v>47430</v>
      </c>
    </row>
    <row r="1465" spans="1:24">
      <c r="A1465">
        <f>HYPERLINK("https://www.philgeps.gov.ph/GEPSNONPILOT/Tender/SplashBidNoticeAbstractUI.aspx?menuIndex=3&amp;refID=7162103&amp;Result=3","7162103")</f>
        <v>0</v>
      </c>
      <c r="B1465" t="s">
        <v>686</v>
      </c>
      <c r="C1465" t="s">
        <v>5310</v>
      </c>
      <c r="E1465" t="s">
        <v>20436</v>
      </c>
      <c r="F1465" t="s">
        <v>32831</v>
      </c>
      <c r="G1465" t="s">
        <v>32838</v>
      </c>
      <c r="H1465" t="s">
        <v>32848</v>
      </c>
      <c r="I1465" t="s">
        <v>7416</v>
      </c>
      <c r="J1465" t="s">
        <v>34030</v>
      </c>
      <c r="K1465" t="s">
        <v>42732</v>
      </c>
      <c r="M1465" t="s">
        <v>43705</v>
      </c>
      <c r="N1465" t="s">
        <v>47424</v>
      </c>
      <c r="O1465" t="s">
        <v>47425</v>
      </c>
      <c r="P1465">
        <v>0</v>
      </c>
      <c r="Q1465">
        <v>0</v>
      </c>
      <c r="R1465" t="s">
        <v>47428</v>
      </c>
      <c r="S1465" t="s">
        <v>47541</v>
      </c>
      <c r="T1465" t="s">
        <v>49237</v>
      </c>
      <c r="U1465" t="s">
        <v>50955</v>
      </c>
      <c r="W1465" t="s">
        <v>43705</v>
      </c>
      <c r="X1465" t="s">
        <v>47430</v>
      </c>
    </row>
    <row r="1466" spans="1:24">
      <c r="A1466">
        <f>HYPERLINK("https://www.philgeps.gov.ph/GEPSNONPILOT/Tender/SplashBidNoticeAbstractUI.aspx?menuIndex=3&amp;refID=7162083&amp;Result=3","7162083")</f>
        <v>0</v>
      </c>
      <c r="B1466" t="s">
        <v>687</v>
      </c>
      <c r="C1466" t="s">
        <v>5311</v>
      </c>
      <c r="D1466" t="s">
        <v>19074</v>
      </c>
      <c r="E1466" t="s">
        <v>20437</v>
      </c>
      <c r="F1466" t="s">
        <v>32831</v>
      </c>
      <c r="G1466" t="s">
        <v>32838</v>
      </c>
      <c r="H1466" t="s">
        <v>32848</v>
      </c>
      <c r="I1466" t="s">
        <v>4558</v>
      </c>
      <c r="J1466" t="s">
        <v>34031</v>
      </c>
      <c r="K1466" t="s">
        <v>42750</v>
      </c>
      <c r="M1466" t="s">
        <v>43706</v>
      </c>
      <c r="N1466" t="s">
        <v>47424</v>
      </c>
      <c r="O1466" t="s">
        <v>47425</v>
      </c>
      <c r="P1466">
        <v>0</v>
      </c>
      <c r="Q1466">
        <v>1</v>
      </c>
      <c r="R1466" t="s">
        <v>47428</v>
      </c>
      <c r="S1466" t="s">
        <v>47541</v>
      </c>
      <c r="T1466" t="s">
        <v>49111</v>
      </c>
      <c r="U1466" t="s">
        <v>50956</v>
      </c>
      <c r="W1466" t="s">
        <v>43706</v>
      </c>
      <c r="X1466" t="s">
        <v>47430</v>
      </c>
    </row>
    <row r="1467" spans="1:24">
      <c r="A1467">
        <f>HYPERLINK("https://www.philgeps.gov.ph/GEPSNONPILOT/Tender/SplashBidNoticeAbstractUI.aspx?menuIndex=3&amp;refID=7162090&amp;Result=3","7162090")</f>
        <v>0</v>
      </c>
      <c r="B1467" t="s">
        <v>688</v>
      </c>
      <c r="C1467" t="s">
        <v>5085</v>
      </c>
      <c r="E1467" t="s">
        <v>20438</v>
      </c>
      <c r="F1467" t="s">
        <v>32831</v>
      </c>
      <c r="G1467" t="s">
        <v>32838</v>
      </c>
      <c r="H1467" t="s">
        <v>32848</v>
      </c>
      <c r="I1467" t="s">
        <v>4222</v>
      </c>
      <c r="J1467" t="s">
        <v>34032</v>
      </c>
      <c r="K1467" t="s">
        <v>42732</v>
      </c>
      <c r="M1467" t="s">
        <v>43707</v>
      </c>
      <c r="N1467" t="s">
        <v>47424</v>
      </c>
      <c r="O1467" t="s">
        <v>47425</v>
      </c>
      <c r="P1467">
        <v>0</v>
      </c>
      <c r="Q1467">
        <v>0</v>
      </c>
      <c r="R1467" t="s">
        <v>47428</v>
      </c>
      <c r="S1467" t="s">
        <v>47541</v>
      </c>
      <c r="T1467" t="s">
        <v>49259</v>
      </c>
      <c r="U1467" t="s">
        <v>50957</v>
      </c>
      <c r="W1467" t="s">
        <v>43707</v>
      </c>
      <c r="X1467" t="s">
        <v>47430</v>
      </c>
    </row>
    <row r="1468" spans="1:24">
      <c r="A1468">
        <f>HYPERLINK("https://www.philgeps.gov.ph/GEPSNONPILOT/Tender/SplashBidNoticeAbstractUI.aspx?menuIndex=3&amp;refID=7162051&amp;Result=3","7162051")</f>
        <v>0</v>
      </c>
      <c r="B1468" t="s">
        <v>689</v>
      </c>
      <c r="C1468" t="s">
        <v>5312</v>
      </c>
      <c r="E1468" t="s">
        <v>20439</v>
      </c>
      <c r="F1468" t="s">
        <v>32831</v>
      </c>
      <c r="G1468" t="s">
        <v>32838</v>
      </c>
      <c r="H1468" t="s">
        <v>32848</v>
      </c>
      <c r="I1468" t="s">
        <v>32909</v>
      </c>
      <c r="J1468" t="s">
        <v>34033</v>
      </c>
      <c r="K1468" t="s">
        <v>42732</v>
      </c>
      <c r="M1468" t="s">
        <v>43708</v>
      </c>
      <c r="N1468" t="s">
        <v>47424</v>
      </c>
      <c r="O1468" t="s">
        <v>47425</v>
      </c>
      <c r="P1468">
        <v>0</v>
      </c>
      <c r="Q1468">
        <v>4</v>
      </c>
      <c r="R1468" t="s">
        <v>47428</v>
      </c>
      <c r="S1468" t="s">
        <v>47541</v>
      </c>
      <c r="T1468" t="s">
        <v>49096</v>
      </c>
      <c r="U1468" t="s">
        <v>50958</v>
      </c>
      <c r="V1468" t="s">
        <v>62784</v>
      </c>
      <c r="W1468" t="s">
        <v>43708</v>
      </c>
      <c r="X1468" t="s">
        <v>47430</v>
      </c>
    </row>
    <row r="1469" spans="1:24">
      <c r="A1469">
        <f>HYPERLINK("https://www.philgeps.gov.ph/GEPSNONPILOT/Tender/SplashBidNoticeAbstractUI.aspx?menuIndex=3&amp;refID=7162087&amp;Result=3","7162087")</f>
        <v>0</v>
      </c>
      <c r="B1469" t="s">
        <v>690</v>
      </c>
      <c r="C1469" t="s">
        <v>5313</v>
      </c>
      <c r="D1469" t="s">
        <v>19022</v>
      </c>
      <c r="E1469" t="s">
        <v>19654</v>
      </c>
      <c r="F1469" t="s">
        <v>32831</v>
      </c>
      <c r="G1469" t="s">
        <v>32838</v>
      </c>
      <c r="H1469" t="s">
        <v>32848</v>
      </c>
      <c r="I1469" t="s">
        <v>4487</v>
      </c>
      <c r="J1469" t="s">
        <v>34034</v>
      </c>
      <c r="K1469" t="s">
        <v>42729</v>
      </c>
      <c r="M1469" t="s">
        <v>43709</v>
      </c>
      <c r="N1469" t="s">
        <v>47424</v>
      </c>
      <c r="O1469" t="s">
        <v>47425</v>
      </c>
      <c r="P1469">
        <v>0</v>
      </c>
      <c r="Q1469">
        <v>2</v>
      </c>
      <c r="R1469" t="s">
        <v>47428</v>
      </c>
      <c r="S1469" t="s">
        <v>47541</v>
      </c>
      <c r="T1469" t="s">
        <v>49166</v>
      </c>
      <c r="U1469" t="s">
        <v>50959</v>
      </c>
      <c r="W1469" t="s">
        <v>43709</v>
      </c>
      <c r="X1469" t="s">
        <v>47430</v>
      </c>
    </row>
    <row r="1470" spans="1:24">
      <c r="A1470">
        <f>HYPERLINK("https://www.philgeps.gov.ph/GEPSNONPILOT/Tender/SplashBidNoticeAbstractUI.aspx?menuIndex=3&amp;refID=7162145&amp;Result=3","7162145")</f>
        <v>0</v>
      </c>
      <c r="B1470" t="s">
        <v>691</v>
      </c>
      <c r="C1470" t="s">
        <v>5314</v>
      </c>
      <c r="D1470" t="s">
        <v>19026</v>
      </c>
      <c r="E1470" t="s">
        <v>20440</v>
      </c>
      <c r="F1470" t="s">
        <v>32831</v>
      </c>
      <c r="G1470" t="s">
        <v>32840</v>
      </c>
      <c r="H1470" t="s">
        <v>32848</v>
      </c>
      <c r="I1470" t="s">
        <v>11484</v>
      </c>
      <c r="J1470" t="s">
        <v>33087</v>
      </c>
      <c r="K1470" t="s">
        <v>42748</v>
      </c>
      <c r="M1470" t="s">
        <v>43710</v>
      </c>
      <c r="N1470" t="s">
        <v>47424</v>
      </c>
      <c r="O1470" t="s">
        <v>47425</v>
      </c>
      <c r="P1470">
        <v>0</v>
      </c>
      <c r="Q1470">
        <v>3</v>
      </c>
      <c r="R1470" t="s">
        <v>47428</v>
      </c>
      <c r="S1470" t="s">
        <v>47541</v>
      </c>
      <c r="T1470" t="s">
        <v>49237</v>
      </c>
      <c r="U1470" t="s">
        <v>50960</v>
      </c>
      <c r="W1470" t="s">
        <v>43710</v>
      </c>
      <c r="X1470" t="s">
        <v>47430</v>
      </c>
    </row>
    <row r="1471" spans="1:24">
      <c r="A1471">
        <f>HYPERLINK("https://www.philgeps.gov.ph/GEPSNONPILOT/Tender/SplashBidNoticeAbstractUI.aspx?menuIndex=3&amp;refID=7162086&amp;Result=3","7162086")</f>
        <v>0</v>
      </c>
      <c r="B1471" t="s">
        <v>556</v>
      </c>
      <c r="C1471" t="s">
        <v>5315</v>
      </c>
      <c r="D1471" t="s">
        <v>19037</v>
      </c>
      <c r="E1471" t="s">
        <v>20441</v>
      </c>
      <c r="F1471" t="s">
        <v>32831</v>
      </c>
      <c r="G1471" t="s">
        <v>32838</v>
      </c>
      <c r="H1471" t="s">
        <v>32848</v>
      </c>
      <c r="I1471" t="s">
        <v>6526</v>
      </c>
      <c r="J1471" t="s">
        <v>34035</v>
      </c>
      <c r="K1471" t="s">
        <v>42730</v>
      </c>
      <c r="M1471" t="s">
        <v>43564</v>
      </c>
      <c r="N1471" t="s">
        <v>47424</v>
      </c>
      <c r="O1471" t="s">
        <v>47425</v>
      </c>
      <c r="P1471">
        <v>0</v>
      </c>
      <c r="Q1471">
        <v>0</v>
      </c>
      <c r="R1471" t="s">
        <v>47428</v>
      </c>
      <c r="S1471" t="s">
        <v>47541</v>
      </c>
      <c r="T1471" t="s">
        <v>49108</v>
      </c>
      <c r="U1471" t="s">
        <v>50699</v>
      </c>
      <c r="V1471" t="s">
        <v>62785</v>
      </c>
      <c r="W1471" t="s">
        <v>43564</v>
      </c>
      <c r="X1471" t="s">
        <v>47430</v>
      </c>
    </row>
    <row r="1472" spans="1:24">
      <c r="A1472">
        <f>HYPERLINK("https://www.philgeps.gov.ph/GEPSNONPILOT/Tender/SplashBidNoticeAbstractUI.aspx?menuIndex=3&amp;refID=7162144&amp;Result=3","7162144")</f>
        <v>0</v>
      </c>
      <c r="B1472" t="s">
        <v>676</v>
      </c>
      <c r="C1472" t="s">
        <v>5316</v>
      </c>
      <c r="D1472" t="s">
        <v>19020</v>
      </c>
      <c r="E1472" t="s">
        <v>20442</v>
      </c>
      <c r="F1472" t="s">
        <v>32831</v>
      </c>
      <c r="G1472" t="s">
        <v>32838</v>
      </c>
      <c r="H1472" t="s">
        <v>32848</v>
      </c>
      <c r="I1472" t="s">
        <v>32860</v>
      </c>
      <c r="J1472" t="s">
        <v>34036</v>
      </c>
      <c r="K1472" t="s">
        <v>42759</v>
      </c>
      <c r="M1472" t="s">
        <v>43695</v>
      </c>
      <c r="N1472" t="s">
        <v>47424</v>
      </c>
      <c r="O1472" t="s">
        <v>47425</v>
      </c>
      <c r="P1472">
        <v>0</v>
      </c>
      <c r="Q1472">
        <v>0</v>
      </c>
      <c r="R1472" t="s">
        <v>47428</v>
      </c>
      <c r="S1472" t="s">
        <v>47541</v>
      </c>
      <c r="T1472" t="s">
        <v>49163</v>
      </c>
      <c r="U1472" t="s">
        <v>50961</v>
      </c>
      <c r="W1472" t="s">
        <v>43695</v>
      </c>
      <c r="X1472" t="s">
        <v>47430</v>
      </c>
    </row>
    <row r="1473" spans="1:24">
      <c r="A1473">
        <f>HYPERLINK("https://www.philgeps.gov.ph/GEPSNONPILOT/Tender/SplashBidNoticeAbstractUI.aspx?menuIndex=3&amp;refID=7162142&amp;Result=3","7162142")</f>
        <v>0</v>
      </c>
      <c r="B1473" t="s">
        <v>692</v>
      </c>
      <c r="C1473" t="s">
        <v>5317</v>
      </c>
      <c r="D1473" t="s">
        <v>19067</v>
      </c>
      <c r="E1473" t="s">
        <v>19829</v>
      </c>
      <c r="F1473" t="s">
        <v>32831</v>
      </c>
      <c r="G1473" t="s">
        <v>32839</v>
      </c>
      <c r="H1473" t="s">
        <v>32848</v>
      </c>
      <c r="I1473" t="s">
        <v>4303</v>
      </c>
      <c r="J1473" t="s">
        <v>33279</v>
      </c>
      <c r="K1473" t="s">
        <v>42727</v>
      </c>
      <c r="M1473" t="s">
        <v>43711</v>
      </c>
      <c r="N1473" t="s">
        <v>47424</v>
      </c>
      <c r="O1473" t="s">
        <v>47425</v>
      </c>
      <c r="P1473">
        <v>0</v>
      </c>
      <c r="Q1473">
        <v>0</v>
      </c>
      <c r="R1473" t="s">
        <v>47428</v>
      </c>
      <c r="S1473" t="s">
        <v>47541</v>
      </c>
      <c r="T1473" t="s">
        <v>49112</v>
      </c>
      <c r="U1473" t="s">
        <v>50962</v>
      </c>
      <c r="W1473" t="s">
        <v>43711</v>
      </c>
      <c r="X1473" t="s">
        <v>47430</v>
      </c>
    </row>
    <row r="1474" spans="1:24">
      <c r="A1474">
        <f>HYPERLINK("https://www.philgeps.gov.ph/GEPSNONPILOT/Tender/SplashBidNoticeAbstractUI.aspx?menuIndex=3&amp;refID=7162085&amp;Result=3","7162085")</f>
        <v>0</v>
      </c>
      <c r="B1474" t="s">
        <v>618</v>
      </c>
      <c r="C1474" t="s">
        <v>5318</v>
      </c>
      <c r="D1474" t="s">
        <v>19084</v>
      </c>
      <c r="E1474" t="s">
        <v>20443</v>
      </c>
      <c r="F1474" t="s">
        <v>32831</v>
      </c>
      <c r="G1474" t="s">
        <v>32838</v>
      </c>
      <c r="H1474" t="s">
        <v>32848</v>
      </c>
      <c r="I1474" t="s">
        <v>32880</v>
      </c>
      <c r="J1474" t="s">
        <v>34037</v>
      </c>
      <c r="K1474" t="s">
        <v>42730</v>
      </c>
      <c r="M1474" t="s">
        <v>43634</v>
      </c>
      <c r="N1474" t="s">
        <v>47424</v>
      </c>
      <c r="O1474" t="s">
        <v>47425</v>
      </c>
      <c r="P1474">
        <v>0</v>
      </c>
      <c r="Q1474">
        <v>1</v>
      </c>
      <c r="R1474" t="s">
        <v>47428</v>
      </c>
      <c r="S1474" t="s">
        <v>47541</v>
      </c>
      <c r="T1474" t="s">
        <v>49214</v>
      </c>
      <c r="U1474" t="s">
        <v>50963</v>
      </c>
      <c r="W1474" t="s">
        <v>43634</v>
      </c>
      <c r="X1474" t="s">
        <v>47430</v>
      </c>
    </row>
    <row r="1475" spans="1:24">
      <c r="A1475">
        <f>HYPERLINK("https://www.philgeps.gov.ph/GEPSNONPILOT/Tender/SplashBidNoticeAbstractUI.aspx?menuIndex=3&amp;refID=7162139&amp;Result=3","7162139")</f>
        <v>0</v>
      </c>
      <c r="B1475" t="s">
        <v>693</v>
      </c>
      <c r="C1475" t="s">
        <v>5319</v>
      </c>
      <c r="D1475" t="s">
        <v>19085</v>
      </c>
      <c r="E1475" t="s">
        <v>20444</v>
      </c>
      <c r="F1475" t="s">
        <v>32831</v>
      </c>
      <c r="G1475" t="s">
        <v>32838</v>
      </c>
      <c r="H1475" t="s">
        <v>32848</v>
      </c>
      <c r="I1475" t="s">
        <v>32884</v>
      </c>
      <c r="J1475" t="s">
        <v>34038</v>
      </c>
      <c r="K1475" t="s">
        <v>42731</v>
      </c>
      <c r="M1475" t="s">
        <v>43712</v>
      </c>
      <c r="N1475" t="s">
        <v>47424</v>
      </c>
      <c r="O1475" t="s">
        <v>47425</v>
      </c>
      <c r="P1475">
        <v>0</v>
      </c>
      <c r="Q1475">
        <v>3</v>
      </c>
      <c r="R1475" t="s">
        <v>47428</v>
      </c>
      <c r="S1475" t="s">
        <v>47541</v>
      </c>
      <c r="T1475" t="s">
        <v>49108</v>
      </c>
      <c r="U1475" t="s">
        <v>50964</v>
      </c>
      <c r="W1475" t="s">
        <v>43712</v>
      </c>
      <c r="X1475" t="s">
        <v>47430</v>
      </c>
    </row>
    <row r="1476" spans="1:24">
      <c r="A1476">
        <f>HYPERLINK("https://www.philgeps.gov.ph/GEPSNONPILOT/Tender/SplashBidNoticeAbstractUI.aspx?menuIndex=3&amp;refID=7162137&amp;Result=3","7162137")</f>
        <v>0</v>
      </c>
      <c r="B1476" t="s">
        <v>609</v>
      </c>
      <c r="C1476" t="s">
        <v>5320</v>
      </c>
      <c r="D1476" t="s">
        <v>19017</v>
      </c>
      <c r="E1476" t="s">
        <v>20445</v>
      </c>
      <c r="F1476" t="s">
        <v>32831</v>
      </c>
      <c r="G1476" t="s">
        <v>32840</v>
      </c>
      <c r="H1476" t="s">
        <v>32848</v>
      </c>
      <c r="I1476" t="s">
        <v>32857</v>
      </c>
      <c r="J1476" t="s">
        <v>34039</v>
      </c>
      <c r="K1476" t="s">
        <v>42732</v>
      </c>
      <c r="M1476" t="s">
        <v>43623</v>
      </c>
      <c r="N1476" t="s">
        <v>47424</v>
      </c>
      <c r="O1476" t="s">
        <v>47425</v>
      </c>
      <c r="P1476">
        <v>0</v>
      </c>
      <c r="Q1476">
        <v>1</v>
      </c>
      <c r="R1476" t="s">
        <v>47428</v>
      </c>
      <c r="S1476" t="s">
        <v>47541</v>
      </c>
      <c r="T1476" t="s">
        <v>49107</v>
      </c>
      <c r="U1476" t="s">
        <v>50965</v>
      </c>
      <c r="W1476" t="s">
        <v>43623</v>
      </c>
      <c r="X1476" t="s">
        <v>47430</v>
      </c>
    </row>
    <row r="1477" spans="1:24">
      <c r="A1477">
        <f>HYPERLINK("https://www.philgeps.gov.ph/GEPSNONPILOT/Tender/SplashBidNoticeAbstractUI.aspx?menuIndex=3&amp;refID=7162030&amp;Result=3","7162030")</f>
        <v>0</v>
      </c>
      <c r="B1477" t="s">
        <v>694</v>
      </c>
      <c r="C1477" t="s">
        <v>5321</v>
      </c>
      <c r="E1477" t="s">
        <v>20446</v>
      </c>
      <c r="F1477" t="s">
        <v>32831</v>
      </c>
      <c r="G1477" t="s">
        <v>32838</v>
      </c>
      <c r="H1477" t="s">
        <v>32848</v>
      </c>
      <c r="I1477" t="s">
        <v>4776</v>
      </c>
      <c r="J1477" t="s">
        <v>34040</v>
      </c>
      <c r="K1477" t="s">
        <v>42731</v>
      </c>
      <c r="M1477" t="s">
        <v>43713</v>
      </c>
      <c r="N1477" t="s">
        <v>47424</v>
      </c>
      <c r="O1477" t="s">
        <v>47425</v>
      </c>
      <c r="P1477">
        <v>0</v>
      </c>
      <c r="Q1477">
        <v>1</v>
      </c>
      <c r="R1477" t="s">
        <v>47428</v>
      </c>
      <c r="S1477" t="s">
        <v>47541</v>
      </c>
      <c r="T1477" t="s">
        <v>49212</v>
      </c>
      <c r="U1477" t="s">
        <v>50966</v>
      </c>
      <c r="V1477" t="s">
        <v>62786</v>
      </c>
      <c r="W1477" t="s">
        <v>43713</v>
      </c>
      <c r="X1477" t="s">
        <v>47430</v>
      </c>
    </row>
    <row r="1478" spans="1:24">
      <c r="A1478">
        <f>HYPERLINK("https://www.philgeps.gov.ph/GEPSNONPILOT/Tender/SplashBidNoticeAbstractUI.aspx?menuIndex=3&amp;refID=7162133&amp;Result=3","7162133")</f>
        <v>0</v>
      </c>
      <c r="B1478" t="s">
        <v>695</v>
      </c>
      <c r="C1478" t="s">
        <v>5322</v>
      </c>
      <c r="D1478" t="s">
        <v>19022</v>
      </c>
      <c r="E1478" t="s">
        <v>19311</v>
      </c>
      <c r="F1478" t="s">
        <v>32831</v>
      </c>
      <c r="G1478" t="s">
        <v>32839</v>
      </c>
      <c r="H1478" t="s">
        <v>32848</v>
      </c>
      <c r="I1478" t="s">
        <v>7751</v>
      </c>
      <c r="J1478" t="s">
        <v>33072</v>
      </c>
      <c r="K1478" t="s">
        <v>42732</v>
      </c>
      <c r="M1478" t="s">
        <v>43714</v>
      </c>
      <c r="N1478" t="s">
        <v>47424</v>
      </c>
      <c r="O1478" t="s">
        <v>47425</v>
      </c>
      <c r="P1478">
        <v>0</v>
      </c>
      <c r="Q1478">
        <v>0</v>
      </c>
      <c r="R1478" t="s">
        <v>47428</v>
      </c>
      <c r="S1478" t="s">
        <v>47541</v>
      </c>
      <c r="T1478" t="s">
        <v>49066</v>
      </c>
      <c r="U1478" t="s">
        <v>50967</v>
      </c>
      <c r="W1478" t="s">
        <v>43714</v>
      </c>
      <c r="X1478" t="s">
        <v>47430</v>
      </c>
    </row>
    <row r="1479" spans="1:24">
      <c r="A1479">
        <f>HYPERLINK("https://www.philgeps.gov.ph/GEPSNONPILOT/Tender/SplashBidNoticeAbstractUI.aspx?menuIndex=3&amp;refID=7162082&amp;Result=3","7162082")</f>
        <v>0</v>
      </c>
      <c r="B1479" t="s">
        <v>696</v>
      </c>
      <c r="C1479" t="s">
        <v>5323</v>
      </c>
      <c r="D1479" t="s">
        <v>19062</v>
      </c>
      <c r="E1479" t="s">
        <v>20447</v>
      </c>
      <c r="F1479" t="s">
        <v>32831</v>
      </c>
      <c r="G1479" t="s">
        <v>32840</v>
      </c>
      <c r="H1479" t="s">
        <v>32848</v>
      </c>
      <c r="I1479" t="s">
        <v>9577</v>
      </c>
      <c r="J1479" t="s">
        <v>34023</v>
      </c>
      <c r="K1479" t="s">
        <v>42726</v>
      </c>
      <c r="M1479" t="s">
        <v>43715</v>
      </c>
      <c r="N1479" t="s">
        <v>47424</v>
      </c>
      <c r="O1479" t="s">
        <v>47425</v>
      </c>
      <c r="P1479">
        <v>0</v>
      </c>
      <c r="Q1479">
        <v>0</v>
      </c>
      <c r="R1479" t="s">
        <v>47428</v>
      </c>
      <c r="S1479" t="s">
        <v>47541</v>
      </c>
      <c r="T1479" t="s">
        <v>49114</v>
      </c>
      <c r="U1479" t="s">
        <v>50968</v>
      </c>
      <c r="W1479" t="s">
        <v>43715</v>
      </c>
      <c r="X1479" t="s">
        <v>47430</v>
      </c>
    </row>
    <row r="1480" spans="1:24">
      <c r="A1480">
        <f>HYPERLINK("https://www.philgeps.gov.ph/GEPSNONPILOT/Tender/SplashBidNoticeAbstractUI.aspx?menuIndex=3&amp;refID=7162130&amp;Result=3","7162130")</f>
        <v>0</v>
      </c>
      <c r="B1480" t="s">
        <v>697</v>
      </c>
      <c r="C1480" t="s">
        <v>5324</v>
      </c>
      <c r="D1480" t="s">
        <v>19025</v>
      </c>
      <c r="E1480" t="s">
        <v>20448</v>
      </c>
      <c r="F1480" t="s">
        <v>32831</v>
      </c>
      <c r="G1480" t="s">
        <v>32838</v>
      </c>
      <c r="H1480" t="s">
        <v>32848</v>
      </c>
      <c r="I1480" t="s">
        <v>7416</v>
      </c>
      <c r="J1480" t="s">
        <v>34041</v>
      </c>
      <c r="K1480" t="s">
        <v>42803</v>
      </c>
      <c r="M1480" t="s">
        <v>43716</v>
      </c>
      <c r="N1480" t="s">
        <v>47424</v>
      </c>
      <c r="O1480" t="s">
        <v>47425</v>
      </c>
      <c r="P1480">
        <v>0</v>
      </c>
      <c r="Q1480">
        <v>1</v>
      </c>
      <c r="R1480" t="s">
        <v>47428</v>
      </c>
      <c r="S1480" t="s">
        <v>47541</v>
      </c>
      <c r="T1480" t="s">
        <v>49203</v>
      </c>
      <c r="U1480" t="s">
        <v>50969</v>
      </c>
      <c r="W1480" t="s">
        <v>43716</v>
      </c>
      <c r="X1480" t="s">
        <v>47430</v>
      </c>
    </row>
    <row r="1481" spans="1:24">
      <c r="A1481">
        <f>HYPERLINK("https://www.philgeps.gov.ph/GEPSNONPILOT/Tender/SplashBidNoticeAbstractUI.aspx?menuIndex=3&amp;refID=7162129&amp;Result=3","7162129")</f>
        <v>0</v>
      </c>
      <c r="B1481" t="s">
        <v>698</v>
      </c>
      <c r="C1481" t="s">
        <v>5325</v>
      </c>
      <c r="D1481" t="s">
        <v>19022</v>
      </c>
      <c r="E1481" t="s">
        <v>20449</v>
      </c>
      <c r="F1481" t="s">
        <v>32832</v>
      </c>
      <c r="G1481" t="s">
        <v>32840</v>
      </c>
      <c r="H1481" t="s">
        <v>32848</v>
      </c>
      <c r="I1481" t="s">
        <v>32858</v>
      </c>
      <c r="J1481" t="s">
        <v>34042</v>
      </c>
      <c r="K1481" t="s">
        <v>42758</v>
      </c>
      <c r="M1481" t="s">
        <v>43717</v>
      </c>
      <c r="N1481" t="s">
        <v>47424</v>
      </c>
      <c r="O1481" t="s">
        <v>47425</v>
      </c>
      <c r="P1481">
        <v>0</v>
      </c>
      <c r="Q1481">
        <v>1</v>
      </c>
      <c r="R1481" t="s">
        <v>47428</v>
      </c>
      <c r="S1481" t="s">
        <v>47541</v>
      </c>
      <c r="T1481" t="s">
        <v>49212</v>
      </c>
      <c r="U1481" t="s">
        <v>50970</v>
      </c>
      <c r="W1481" t="s">
        <v>43717</v>
      </c>
      <c r="X1481" t="s">
        <v>47430</v>
      </c>
    </row>
    <row r="1482" spans="1:24">
      <c r="A1482">
        <f>HYPERLINK("https://www.philgeps.gov.ph/GEPSNONPILOT/Tender/SplashBidNoticeAbstractUI.aspx?menuIndex=3&amp;refID=7162127&amp;Result=3","7162127")</f>
        <v>0</v>
      </c>
      <c r="B1482" t="s">
        <v>699</v>
      </c>
      <c r="C1482" t="s">
        <v>5326</v>
      </c>
      <c r="D1482" t="s">
        <v>19026</v>
      </c>
      <c r="E1482" t="s">
        <v>20450</v>
      </c>
      <c r="F1482" t="s">
        <v>32831</v>
      </c>
      <c r="G1482" t="s">
        <v>32840</v>
      </c>
      <c r="H1482" t="s">
        <v>32849</v>
      </c>
      <c r="I1482" t="s">
        <v>4177</v>
      </c>
      <c r="J1482" t="s">
        <v>34043</v>
      </c>
      <c r="K1482" t="s">
        <v>42731</v>
      </c>
      <c r="M1482" t="s">
        <v>43718</v>
      </c>
      <c r="N1482" t="s">
        <v>47424</v>
      </c>
      <c r="O1482" t="s">
        <v>47425</v>
      </c>
      <c r="P1482">
        <v>0</v>
      </c>
      <c r="Q1482">
        <v>2</v>
      </c>
      <c r="R1482" t="s">
        <v>47428</v>
      </c>
      <c r="S1482" t="s">
        <v>47541</v>
      </c>
      <c r="T1482" t="s">
        <v>49125</v>
      </c>
      <c r="U1482" t="s">
        <v>50971</v>
      </c>
      <c r="V1482" t="s">
        <v>62787</v>
      </c>
      <c r="W1482" t="s">
        <v>43718</v>
      </c>
      <c r="X1482" t="s">
        <v>47430</v>
      </c>
    </row>
    <row r="1483" spans="1:24">
      <c r="A1483">
        <f>HYPERLINK("https://www.philgeps.gov.ph/GEPSNONPILOT/Tender/SplashBidNoticeAbstractUI.aspx?menuIndex=3&amp;refID=7162141&amp;Result=3","7162141")</f>
        <v>0</v>
      </c>
      <c r="B1483" t="s">
        <v>171</v>
      </c>
      <c r="C1483" t="s">
        <v>5327</v>
      </c>
      <c r="E1483" t="s">
        <v>20451</v>
      </c>
      <c r="F1483" t="s">
        <v>32831</v>
      </c>
      <c r="G1483" t="s">
        <v>32838</v>
      </c>
      <c r="H1483" t="s">
        <v>32848</v>
      </c>
      <c r="I1483" t="s">
        <v>32883</v>
      </c>
      <c r="J1483" t="s">
        <v>33691</v>
      </c>
      <c r="K1483" t="s">
        <v>42730</v>
      </c>
      <c r="M1483" t="s">
        <v>43684</v>
      </c>
      <c r="N1483" t="s">
        <v>47424</v>
      </c>
      <c r="O1483" t="s">
        <v>47425</v>
      </c>
      <c r="P1483">
        <v>0</v>
      </c>
      <c r="Q1483">
        <v>0</v>
      </c>
      <c r="R1483" t="s">
        <v>47428</v>
      </c>
      <c r="S1483" t="s">
        <v>47541</v>
      </c>
      <c r="T1483" t="s">
        <v>49109</v>
      </c>
      <c r="U1483" t="s">
        <v>50972</v>
      </c>
      <c r="W1483" t="s">
        <v>64443</v>
      </c>
      <c r="X1483" t="s">
        <v>47430</v>
      </c>
    </row>
    <row r="1484" spans="1:24">
      <c r="A1484">
        <f>HYPERLINK("https://www.philgeps.gov.ph/GEPSNONPILOT/Tender/SplashBidNoticeAbstractUI.aspx?menuIndex=3&amp;refID=7162143&amp;Result=3","7162143")</f>
        <v>0</v>
      </c>
      <c r="B1484" t="s">
        <v>624</v>
      </c>
      <c r="C1484" t="s">
        <v>5328</v>
      </c>
      <c r="D1484" t="s">
        <v>19064</v>
      </c>
      <c r="E1484" t="s">
        <v>20452</v>
      </c>
      <c r="F1484" t="s">
        <v>32831</v>
      </c>
      <c r="G1484" t="s">
        <v>32838</v>
      </c>
      <c r="H1484" t="s">
        <v>32848</v>
      </c>
      <c r="I1484" t="s">
        <v>7416</v>
      </c>
      <c r="J1484" t="s">
        <v>34044</v>
      </c>
      <c r="K1484" t="s">
        <v>42732</v>
      </c>
      <c r="M1484" t="s">
        <v>43640</v>
      </c>
      <c r="N1484" t="s">
        <v>47424</v>
      </c>
      <c r="O1484" t="s">
        <v>47425</v>
      </c>
      <c r="P1484">
        <v>0</v>
      </c>
      <c r="Q1484">
        <v>0</v>
      </c>
      <c r="R1484" t="s">
        <v>47428</v>
      </c>
      <c r="S1484" t="s">
        <v>47541</v>
      </c>
      <c r="T1484" t="s">
        <v>49108</v>
      </c>
      <c r="U1484" t="s">
        <v>50973</v>
      </c>
      <c r="W1484" t="s">
        <v>43640</v>
      </c>
      <c r="X1484" t="s">
        <v>47430</v>
      </c>
    </row>
    <row r="1485" spans="1:24">
      <c r="A1485">
        <f>HYPERLINK("https://www.philgeps.gov.ph/GEPSNONPILOT/Tender/SplashBidNoticeAbstractUI.aspx?menuIndex=3&amp;refID=7162134&amp;Result=3","7162134")</f>
        <v>0</v>
      </c>
      <c r="B1485" t="s">
        <v>691</v>
      </c>
      <c r="C1485" t="s">
        <v>5314</v>
      </c>
      <c r="D1485" t="s">
        <v>19026</v>
      </c>
      <c r="E1485" t="s">
        <v>20453</v>
      </c>
      <c r="F1485" t="s">
        <v>32831</v>
      </c>
      <c r="G1485" t="s">
        <v>32840</v>
      </c>
      <c r="H1485" t="s">
        <v>32848</v>
      </c>
      <c r="I1485" t="s">
        <v>9577</v>
      </c>
      <c r="J1485" t="s">
        <v>33087</v>
      </c>
      <c r="K1485" t="s">
        <v>42748</v>
      </c>
      <c r="M1485" t="s">
        <v>43710</v>
      </c>
      <c r="N1485" t="s">
        <v>47424</v>
      </c>
      <c r="O1485" t="s">
        <v>47425</v>
      </c>
      <c r="P1485">
        <v>0</v>
      </c>
      <c r="Q1485">
        <v>2</v>
      </c>
      <c r="R1485" t="s">
        <v>47428</v>
      </c>
      <c r="S1485" t="s">
        <v>47541</v>
      </c>
      <c r="T1485" t="s">
        <v>49237</v>
      </c>
      <c r="U1485" t="s">
        <v>50974</v>
      </c>
      <c r="W1485" t="s">
        <v>43710</v>
      </c>
      <c r="X1485" t="s">
        <v>47430</v>
      </c>
    </row>
    <row r="1486" spans="1:24">
      <c r="A1486">
        <f>HYPERLINK("https://www.philgeps.gov.ph/GEPSNONPILOT/Tender/SplashBidNoticeAbstractUI.aspx?menuIndex=3&amp;refID=7162120&amp;Result=3","7162120")</f>
        <v>0</v>
      </c>
      <c r="B1486" t="s">
        <v>356</v>
      </c>
      <c r="C1486" t="s">
        <v>5329</v>
      </c>
      <c r="D1486" t="s">
        <v>19038</v>
      </c>
      <c r="E1486" t="s">
        <v>19803</v>
      </c>
      <c r="F1486" t="s">
        <v>32831</v>
      </c>
      <c r="G1486" t="s">
        <v>32840</v>
      </c>
      <c r="H1486" t="s">
        <v>32848</v>
      </c>
      <c r="I1486" t="s">
        <v>4776</v>
      </c>
      <c r="J1486" t="s">
        <v>33385</v>
      </c>
      <c r="K1486" t="s">
        <v>42726</v>
      </c>
      <c r="M1486" t="s">
        <v>43360</v>
      </c>
      <c r="N1486" t="s">
        <v>47424</v>
      </c>
      <c r="O1486" t="s">
        <v>47425</v>
      </c>
      <c r="P1486">
        <v>0</v>
      </c>
      <c r="Q1486">
        <v>0</v>
      </c>
      <c r="R1486" t="s">
        <v>47428</v>
      </c>
      <c r="S1486" t="s">
        <v>47541</v>
      </c>
      <c r="T1486" t="s">
        <v>49105</v>
      </c>
      <c r="U1486" t="s">
        <v>50975</v>
      </c>
      <c r="V1486" t="s">
        <v>62699</v>
      </c>
      <c r="W1486" t="s">
        <v>43360</v>
      </c>
      <c r="X1486" t="s">
        <v>47430</v>
      </c>
    </row>
    <row r="1487" spans="1:24">
      <c r="A1487">
        <f>HYPERLINK("https://www.philgeps.gov.ph/GEPSNONPILOT/Tender/SplashBidNoticeAbstractUI.aspx?menuIndex=3&amp;refID=7162119&amp;Result=3","7162119")</f>
        <v>0</v>
      </c>
      <c r="B1487" t="s">
        <v>700</v>
      </c>
      <c r="C1487" t="s">
        <v>5330</v>
      </c>
      <c r="D1487" t="s">
        <v>19046</v>
      </c>
      <c r="E1487" t="s">
        <v>20454</v>
      </c>
      <c r="F1487" t="s">
        <v>32831</v>
      </c>
      <c r="G1487" t="s">
        <v>32839</v>
      </c>
      <c r="H1487" t="s">
        <v>32848</v>
      </c>
      <c r="I1487" t="s">
        <v>32911</v>
      </c>
      <c r="J1487" t="s">
        <v>33016</v>
      </c>
      <c r="K1487" t="s">
        <v>42774</v>
      </c>
      <c r="M1487" t="s">
        <v>43719</v>
      </c>
      <c r="N1487" t="s">
        <v>47424</v>
      </c>
      <c r="O1487" t="s">
        <v>47425</v>
      </c>
      <c r="P1487">
        <v>0</v>
      </c>
      <c r="Q1487">
        <v>1</v>
      </c>
      <c r="R1487" t="s">
        <v>47428</v>
      </c>
      <c r="S1487" t="s">
        <v>47541</v>
      </c>
      <c r="T1487" t="s">
        <v>49126</v>
      </c>
      <c r="U1487" t="s">
        <v>50976</v>
      </c>
      <c r="W1487" t="s">
        <v>43719</v>
      </c>
      <c r="X1487" t="s">
        <v>47430</v>
      </c>
    </row>
    <row r="1488" spans="1:24">
      <c r="A1488">
        <f>HYPERLINK("https://www.philgeps.gov.ph/GEPSNONPILOT/Tender/SplashBidNoticeAbstractUI.aspx?menuIndex=3&amp;refID=7162118&amp;Result=3","7162118")</f>
        <v>0</v>
      </c>
      <c r="B1488" t="s">
        <v>583</v>
      </c>
      <c r="C1488" t="s">
        <v>5331</v>
      </c>
      <c r="D1488" t="s">
        <v>19069</v>
      </c>
      <c r="E1488" t="s">
        <v>20455</v>
      </c>
      <c r="F1488" t="s">
        <v>32831</v>
      </c>
      <c r="G1488" t="s">
        <v>32839</v>
      </c>
      <c r="H1488" t="s">
        <v>32848</v>
      </c>
      <c r="I1488" t="s">
        <v>32863</v>
      </c>
      <c r="J1488" t="s">
        <v>33072</v>
      </c>
      <c r="K1488" t="s">
        <v>42730</v>
      </c>
      <c r="M1488" t="s">
        <v>43594</v>
      </c>
      <c r="N1488" t="s">
        <v>47424</v>
      </c>
      <c r="O1488" t="s">
        <v>47425</v>
      </c>
      <c r="P1488">
        <v>0</v>
      </c>
      <c r="Q1488">
        <v>0</v>
      </c>
      <c r="R1488" t="s">
        <v>47428</v>
      </c>
      <c r="S1488" t="s">
        <v>47541</v>
      </c>
      <c r="T1488" t="s">
        <v>49148</v>
      </c>
      <c r="U1488" t="s">
        <v>50977</v>
      </c>
      <c r="V1488" t="s">
        <v>62773</v>
      </c>
      <c r="W1488" t="s">
        <v>43594</v>
      </c>
      <c r="X1488" t="s">
        <v>47430</v>
      </c>
    </row>
    <row r="1489" spans="1:24">
      <c r="A1489">
        <f>HYPERLINK("https://www.philgeps.gov.ph/GEPSNONPILOT/Tender/SplashBidNoticeAbstractUI.aspx?menuIndex=3&amp;refID=7162050&amp;Result=3","7162050")</f>
        <v>0</v>
      </c>
      <c r="B1489" t="s">
        <v>575</v>
      </c>
      <c r="C1489" t="s">
        <v>5307</v>
      </c>
      <c r="D1489" t="s">
        <v>19041</v>
      </c>
      <c r="E1489" t="s">
        <v>20456</v>
      </c>
      <c r="F1489" t="s">
        <v>32831</v>
      </c>
      <c r="G1489" t="s">
        <v>32838</v>
      </c>
      <c r="H1489" t="s">
        <v>32848</v>
      </c>
      <c r="I1489" t="s">
        <v>5379</v>
      </c>
      <c r="J1489" t="s">
        <v>34045</v>
      </c>
      <c r="K1489" t="s">
        <v>42749</v>
      </c>
      <c r="M1489" t="s">
        <v>43585</v>
      </c>
      <c r="N1489" t="s">
        <v>47424</v>
      </c>
      <c r="O1489" t="s">
        <v>47425</v>
      </c>
      <c r="P1489">
        <v>0</v>
      </c>
      <c r="Q1489">
        <v>0</v>
      </c>
      <c r="R1489" t="s">
        <v>47428</v>
      </c>
      <c r="S1489" t="s">
        <v>47541</v>
      </c>
      <c r="T1489" t="s">
        <v>49166</v>
      </c>
      <c r="U1489" t="s">
        <v>50978</v>
      </c>
      <c r="W1489" t="s">
        <v>43585</v>
      </c>
      <c r="X1489" t="s">
        <v>47430</v>
      </c>
    </row>
    <row r="1490" spans="1:24">
      <c r="A1490">
        <f>HYPERLINK("https://www.philgeps.gov.ph/GEPSNONPILOT/Tender/SplashBidNoticeAbstractUI.aspx?menuIndex=3&amp;refID=7162138&amp;Result=3","7162138")</f>
        <v>0</v>
      </c>
      <c r="B1490" t="s">
        <v>701</v>
      </c>
      <c r="C1490" t="s">
        <v>5332</v>
      </c>
      <c r="D1490" t="s">
        <v>19023</v>
      </c>
      <c r="E1490" t="s">
        <v>20457</v>
      </c>
      <c r="F1490" t="s">
        <v>32831</v>
      </c>
      <c r="G1490" t="s">
        <v>32839</v>
      </c>
      <c r="H1490" t="s">
        <v>32849</v>
      </c>
      <c r="I1490" t="s">
        <v>4177</v>
      </c>
      <c r="J1490" t="s">
        <v>34046</v>
      </c>
      <c r="K1490" t="s">
        <v>42757</v>
      </c>
      <c r="M1490" t="s">
        <v>43720</v>
      </c>
      <c r="N1490" t="s">
        <v>47424</v>
      </c>
      <c r="O1490" t="s">
        <v>47425</v>
      </c>
      <c r="P1490">
        <v>0</v>
      </c>
      <c r="Q1490">
        <v>3</v>
      </c>
      <c r="R1490" t="s">
        <v>47428</v>
      </c>
      <c r="S1490" t="s">
        <v>47541</v>
      </c>
      <c r="T1490" t="s">
        <v>49260</v>
      </c>
      <c r="U1490" t="s">
        <v>50979</v>
      </c>
      <c r="W1490" t="s">
        <v>43720</v>
      </c>
      <c r="X1490" t="s">
        <v>47430</v>
      </c>
    </row>
    <row r="1491" spans="1:24">
      <c r="A1491">
        <f>HYPERLINK("https://www.philgeps.gov.ph/GEPSNONPILOT/Tender/SplashBidNoticeAbstractUI.aspx?menuIndex=3&amp;refID=7162126&amp;Result=3","7162126")</f>
        <v>0</v>
      </c>
      <c r="B1491" t="s">
        <v>702</v>
      </c>
      <c r="C1491" t="s">
        <v>5333</v>
      </c>
      <c r="D1491" t="s">
        <v>19030</v>
      </c>
      <c r="E1491" t="s">
        <v>20458</v>
      </c>
      <c r="F1491" t="s">
        <v>32831</v>
      </c>
      <c r="G1491" t="s">
        <v>32838</v>
      </c>
      <c r="H1491" t="s">
        <v>32849</v>
      </c>
      <c r="I1491" t="s">
        <v>4177</v>
      </c>
      <c r="J1491" t="s">
        <v>34047</v>
      </c>
      <c r="K1491" t="s">
        <v>42745</v>
      </c>
      <c r="M1491" t="s">
        <v>43721</v>
      </c>
      <c r="N1491" t="s">
        <v>47424</v>
      </c>
      <c r="O1491" t="s">
        <v>47425</v>
      </c>
      <c r="P1491">
        <v>0</v>
      </c>
      <c r="Q1491">
        <v>0</v>
      </c>
      <c r="R1491" t="s">
        <v>47428</v>
      </c>
      <c r="S1491" t="s">
        <v>47541</v>
      </c>
      <c r="T1491" t="s">
        <v>49241</v>
      </c>
      <c r="U1491" t="s">
        <v>50980</v>
      </c>
      <c r="W1491" t="s">
        <v>43721</v>
      </c>
      <c r="X1491" t="s">
        <v>47430</v>
      </c>
    </row>
    <row r="1492" spans="1:24">
      <c r="A1492">
        <f>HYPERLINK("https://www.philgeps.gov.ph/GEPSNONPILOT/Tender/SplashBidNoticeAbstractUI.aspx?menuIndex=3&amp;refID=7162123&amp;Result=3","7162123")</f>
        <v>0</v>
      </c>
      <c r="B1492" t="s">
        <v>672</v>
      </c>
      <c r="C1492" t="s">
        <v>5334</v>
      </c>
      <c r="D1492" t="s">
        <v>19085</v>
      </c>
      <c r="E1492" t="s">
        <v>20459</v>
      </c>
      <c r="F1492" t="s">
        <v>32831</v>
      </c>
      <c r="G1492" t="s">
        <v>32839</v>
      </c>
      <c r="H1492" t="s">
        <v>32848</v>
      </c>
      <c r="I1492" t="s">
        <v>5379</v>
      </c>
      <c r="J1492" t="s">
        <v>33007</v>
      </c>
      <c r="K1492" t="s">
        <v>42726</v>
      </c>
      <c r="M1492" t="s">
        <v>43691</v>
      </c>
      <c r="N1492" t="s">
        <v>47424</v>
      </c>
      <c r="O1492" t="s">
        <v>47425</v>
      </c>
      <c r="P1492">
        <v>0</v>
      </c>
      <c r="Q1492">
        <v>0</v>
      </c>
      <c r="R1492" t="s">
        <v>47428</v>
      </c>
      <c r="S1492" t="s">
        <v>47541</v>
      </c>
      <c r="T1492" t="s">
        <v>49066</v>
      </c>
      <c r="U1492" t="s">
        <v>50981</v>
      </c>
      <c r="V1492" t="s">
        <v>62788</v>
      </c>
      <c r="W1492" t="s">
        <v>43691</v>
      </c>
      <c r="X1492" t="s">
        <v>47430</v>
      </c>
    </row>
    <row r="1493" spans="1:24">
      <c r="A1493">
        <f>HYPERLINK("https://www.philgeps.gov.ph/GEPSNONPILOT/Tender/SplashBidNoticeAbstractUI.aspx?menuIndex=3&amp;refID=7166566&amp;Result=3","7166566")</f>
        <v>0</v>
      </c>
      <c r="B1493" t="s">
        <v>217</v>
      </c>
      <c r="C1493" t="s">
        <v>5335</v>
      </c>
      <c r="D1493" t="s">
        <v>19037</v>
      </c>
      <c r="E1493" t="s">
        <v>20460</v>
      </c>
      <c r="F1493" t="s">
        <v>32831</v>
      </c>
      <c r="G1493" t="s">
        <v>32838</v>
      </c>
      <c r="H1493" t="s">
        <v>32848</v>
      </c>
      <c r="I1493" t="s">
        <v>7416</v>
      </c>
      <c r="J1493" t="s">
        <v>34048</v>
      </c>
      <c r="K1493" t="s">
        <v>42730</v>
      </c>
      <c r="M1493" t="s">
        <v>43392</v>
      </c>
      <c r="N1493" t="s">
        <v>47424</v>
      </c>
      <c r="O1493" t="s">
        <v>47425</v>
      </c>
      <c r="P1493">
        <v>0</v>
      </c>
      <c r="Q1493">
        <v>0</v>
      </c>
      <c r="R1493" t="s">
        <v>47429</v>
      </c>
      <c r="S1493" t="s">
        <v>47542</v>
      </c>
      <c r="T1493" t="s">
        <v>49123</v>
      </c>
      <c r="U1493" t="s">
        <v>50982</v>
      </c>
      <c r="W1493" t="s">
        <v>43392</v>
      </c>
      <c r="X1493" t="s">
        <v>47426</v>
      </c>
    </row>
    <row r="1494" spans="1:24">
      <c r="A1494">
        <f>HYPERLINK("https://www.philgeps.gov.ph/GEPSNONPILOT/Tender/SplashBidNoticeAbstractUI.aspx?menuIndex=3&amp;refID=7166564&amp;Result=3","7166564")</f>
        <v>0</v>
      </c>
      <c r="B1494" t="s">
        <v>703</v>
      </c>
      <c r="C1494" t="s">
        <v>5336</v>
      </c>
      <c r="D1494" t="s">
        <v>19077</v>
      </c>
      <c r="E1494" t="s">
        <v>20461</v>
      </c>
      <c r="F1494" t="s">
        <v>32831</v>
      </c>
      <c r="G1494" t="s">
        <v>32839</v>
      </c>
      <c r="H1494" t="s">
        <v>32848</v>
      </c>
      <c r="I1494" t="s">
        <v>32925</v>
      </c>
      <c r="J1494" t="s">
        <v>34049</v>
      </c>
      <c r="K1494" t="s">
        <v>42763</v>
      </c>
      <c r="M1494" t="s">
        <v>43722</v>
      </c>
      <c r="N1494" t="s">
        <v>47424</v>
      </c>
      <c r="O1494" t="s">
        <v>47425</v>
      </c>
      <c r="P1494">
        <v>0</v>
      </c>
      <c r="Q1494">
        <v>0</v>
      </c>
      <c r="R1494" t="s">
        <v>47429</v>
      </c>
      <c r="S1494" t="s">
        <v>47542</v>
      </c>
      <c r="T1494" t="s">
        <v>49189</v>
      </c>
      <c r="U1494" t="s">
        <v>50983</v>
      </c>
      <c r="W1494" t="s">
        <v>43722</v>
      </c>
      <c r="X1494" t="s">
        <v>47426</v>
      </c>
    </row>
    <row r="1495" spans="1:24">
      <c r="A1495">
        <f>HYPERLINK("https://www.philgeps.gov.ph/GEPSNONPILOT/Tender/SplashBidNoticeAbstractUI.aspx?menuIndex=3&amp;refID=7164373&amp;Result=3","7164373")</f>
        <v>0</v>
      </c>
      <c r="B1495" t="s">
        <v>513</v>
      </c>
      <c r="C1495" t="s">
        <v>4930</v>
      </c>
      <c r="D1495" t="s">
        <v>19018</v>
      </c>
      <c r="E1495" t="s">
        <v>20462</v>
      </c>
      <c r="F1495" t="s">
        <v>32831</v>
      </c>
      <c r="G1495" t="s">
        <v>32842</v>
      </c>
      <c r="H1495" t="s">
        <v>32848</v>
      </c>
      <c r="I1495" t="s">
        <v>9577</v>
      </c>
      <c r="J1495" t="s">
        <v>34050</v>
      </c>
      <c r="K1495" t="s">
        <v>42726</v>
      </c>
      <c r="M1495" t="s">
        <v>43518</v>
      </c>
      <c r="N1495" t="s">
        <v>47424</v>
      </c>
      <c r="O1495" t="s">
        <v>47425</v>
      </c>
      <c r="P1495">
        <v>0</v>
      </c>
      <c r="Q1495">
        <v>1</v>
      </c>
      <c r="R1495" t="s">
        <v>47427</v>
      </c>
      <c r="S1495" t="s">
        <v>47540</v>
      </c>
      <c r="T1495" t="s">
        <v>49214</v>
      </c>
      <c r="U1495" t="s">
        <v>50594</v>
      </c>
      <c r="W1495" t="s">
        <v>64441</v>
      </c>
      <c r="X1495" t="s">
        <v>47428</v>
      </c>
    </row>
    <row r="1496" spans="1:24">
      <c r="A1496">
        <f>HYPERLINK("https://www.philgeps.gov.ph/GEPSNONPILOT/Tender/SplashBidNoticeAbstractUI.aspx?menuIndex=3&amp;refID=7166569&amp;Result=3","7166569")</f>
        <v>0</v>
      </c>
      <c r="B1496" t="s">
        <v>200</v>
      </c>
      <c r="C1496" t="s">
        <v>5337</v>
      </c>
      <c r="D1496" t="s">
        <v>19042</v>
      </c>
      <c r="E1496" t="s">
        <v>20463</v>
      </c>
      <c r="F1496" t="s">
        <v>32831</v>
      </c>
      <c r="G1496" t="s">
        <v>32838</v>
      </c>
      <c r="H1496" t="s">
        <v>32848</v>
      </c>
      <c r="I1496" t="s">
        <v>32870</v>
      </c>
      <c r="J1496" t="s">
        <v>32976</v>
      </c>
      <c r="K1496" t="s">
        <v>42726</v>
      </c>
      <c r="M1496" t="s">
        <v>43198</v>
      </c>
      <c r="N1496" t="s">
        <v>47424</v>
      </c>
      <c r="O1496" t="s">
        <v>47425</v>
      </c>
      <c r="P1496">
        <v>0</v>
      </c>
      <c r="Q1496">
        <v>0</v>
      </c>
      <c r="R1496" t="s">
        <v>47429</v>
      </c>
      <c r="S1496" t="s">
        <v>47542</v>
      </c>
      <c r="T1496" t="s">
        <v>49124</v>
      </c>
      <c r="U1496" t="s">
        <v>50000</v>
      </c>
      <c r="W1496" t="s">
        <v>43198</v>
      </c>
      <c r="X1496" t="s">
        <v>47426</v>
      </c>
    </row>
    <row r="1497" spans="1:24">
      <c r="A1497">
        <f>HYPERLINK("https://www.philgeps.gov.ph/GEPSNONPILOT/Tender/SplashBidNoticeAbstractUI.aspx?menuIndex=3&amp;refID=7166561&amp;Result=3","7166561")</f>
        <v>0</v>
      </c>
      <c r="B1497" t="s">
        <v>704</v>
      </c>
      <c r="C1497" t="s">
        <v>5338</v>
      </c>
      <c r="D1497" t="s">
        <v>19052</v>
      </c>
      <c r="E1497" t="s">
        <v>20464</v>
      </c>
      <c r="F1497" t="s">
        <v>32831</v>
      </c>
      <c r="G1497" t="s">
        <v>32839</v>
      </c>
      <c r="H1497" t="s">
        <v>32848</v>
      </c>
      <c r="I1497" t="s">
        <v>7751</v>
      </c>
      <c r="J1497" t="s">
        <v>34051</v>
      </c>
      <c r="K1497" t="s">
        <v>42729</v>
      </c>
      <c r="M1497" t="s">
        <v>43723</v>
      </c>
      <c r="N1497" t="s">
        <v>47424</v>
      </c>
      <c r="O1497" t="s">
        <v>47425</v>
      </c>
      <c r="P1497">
        <v>0</v>
      </c>
      <c r="Q1497">
        <v>1</v>
      </c>
      <c r="R1497" t="s">
        <v>47429</v>
      </c>
      <c r="S1497" t="s">
        <v>47542</v>
      </c>
      <c r="T1497" t="s">
        <v>49102</v>
      </c>
      <c r="U1497" t="s">
        <v>50984</v>
      </c>
      <c r="W1497" t="s">
        <v>43723</v>
      </c>
      <c r="X1497" t="s">
        <v>47426</v>
      </c>
    </row>
    <row r="1498" spans="1:24">
      <c r="A1498">
        <f>HYPERLINK("https://www.philgeps.gov.ph/GEPSNONPILOT/Tender/SplashBidNoticeAbstractUI.aspx?menuIndex=3&amp;refID=7162116&amp;Result=3","7162116")</f>
        <v>0</v>
      </c>
      <c r="B1498" t="s">
        <v>705</v>
      </c>
      <c r="C1498" t="s">
        <v>5339</v>
      </c>
      <c r="D1498" t="s">
        <v>19027</v>
      </c>
      <c r="E1498" t="s">
        <v>20465</v>
      </c>
      <c r="F1498" t="s">
        <v>32831</v>
      </c>
      <c r="G1498" t="s">
        <v>32839</v>
      </c>
      <c r="H1498" t="s">
        <v>32848</v>
      </c>
      <c r="I1498" t="s">
        <v>32860</v>
      </c>
      <c r="J1498" t="s">
        <v>34052</v>
      </c>
      <c r="K1498" t="s">
        <v>42726</v>
      </c>
      <c r="M1498" t="s">
        <v>43724</v>
      </c>
      <c r="N1498" t="s">
        <v>47424</v>
      </c>
      <c r="O1498" t="s">
        <v>47425</v>
      </c>
      <c r="P1498">
        <v>0</v>
      </c>
      <c r="Q1498">
        <v>1</v>
      </c>
      <c r="R1498" t="s">
        <v>47428</v>
      </c>
      <c r="S1498" t="s">
        <v>47541</v>
      </c>
      <c r="T1498" t="s">
        <v>49073</v>
      </c>
      <c r="U1498" t="s">
        <v>50985</v>
      </c>
      <c r="W1498" t="s">
        <v>43724</v>
      </c>
      <c r="X1498" t="s">
        <v>47430</v>
      </c>
    </row>
    <row r="1499" spans="1:24">
      <c r="A1499">
        <f>HYPERLINK("https://www.philgeps.gov.ph/GEPSNONPILOT/Tender/SplashBidNoticeAbstractUI.aspx?menuIndex=3&amp;refID=7166560&amp;Result=3","7166560")</f>
        <v>0</v>
      </c>
      <c r="B1499" t="s">
        <v>706</v>
      </c>
      <c r="C1499" t="s">
        <v>5340</v>
      </c>
      <c r="D1499" t="s">
        <v>19026</v>
      </c>
      <c r="E1499" t="s">
        <v>20466</v>
      </c>
      <c r="F1499" t="s">
        <v>32831</v>
      </c>
      <c r="G1499" t="s">
        <v>32838</v>
      </c>
      <c r="H1499" t="s">
        <v>32848</v>
      </c>
      <c r="I1499" t="s">
        <v>4776</v>
      </c>
      <c r="J1499" t="s">
        <v>32980</v>
      </c>
      <c r="K1499" t="s">
        <v>42726</v>
      </c>
      <c r="M1499" t="s">
        <v>43725</v>
      </c>
      <c r="N1499" t="s">
        <v>47424</v>
      </c>
      <c r="O1499" t="s">
        <v>47425</v>
      </c>
      <c r="P1499">
        <v>0</v>
      </c>
      <c r="Q1499">
        <v>0</v>
      </c>
      <c r="R1499" t="s">
        <v>47429</v>
      </c>
      <c r="S1499" t="s">
        <v>47542</v>
      </c>
      <c r="T1499" t="s">
        <v>49096</v>
      </c>
      <c r="U1499" t="s">
        <v>50986</v>
      </c>
      <c r="W1499" t="s">
        <v>43725</v>
      </c>
      <c r="X1499" t="s">
        <v>47426</v>
      </c>
    </row>
    <row r="1500" spans="1:24">
      <c r="A1500">
        <f>HYPERLINK("https://www.philgeps.gov.ph/GEPSNONPILOT/Tender/SplashBidNoticeAbstractUI.aspx?menuIndex=3&amp;refID=7166563&amp;Result=3","7166563")</f>
        <v>0</v>
      </c>
      <c r="B1500" t="s">
        <v>707</v>
      </c>
      <c r="C1500" t="s">
        <v>5341</v>
      </c>
      <c r="D1500" t="s">
        <v>19038</v>
      </c>
      <c r="E1500" t="s">
        <v>20467</v>
      </c>
      <c r="F1500" t="s">
        <v>32831</v>
      </c>
      <c r="G1500" t="s">
        <v>32840</v>
      </c>
      <c r="H1500" t="s">
        <v>32848</v>
      </c>
      <c r="I1500" t="s">
        <v>9577</v>
      </c>
      <c r="J1500" t="s">
        <v>33268</v>
      </c>
      <c r="K1500" t="s">
        <v>42726</v>
      </c>
      <c r="M1500" t="s">
        <v>43726</v>
      </c>
      <c r="N1500" t="s">
        <v>47424</v>
      </c>
      <c r="O1500" t="s">
        <v>47425</v>
      </c>
      <c r="P1500">
        <v>0</v>
      </c>
      <c r="Q1500">
        <v>0</v>
      </c>
      <c r="R1500" t="s">
        <v>47429</v>
      </c>
      <c r="S1500" t="s">
        <v>47542</v>
      </c>
      <c r="T1500" t="s">
        <v>49127</v>
      </c>
      <c r="U1500" t="s">
        <v>50987</v>
      </c>
      <c r="W1500" t="s">
        <v>43726</v>
      </c>
      <c r="X1500" t="s">
        <v>47426</v>
      </c>
    </row>
    <row r="1501" spans="1:24">
      <c r="A1501">
        <f>HYPERLINK("https://www.philgeps.gov.ph/GEPSNONPILOT/Tender/SplashBidNoticeAbstractUI.aspx?menuIndex=3&amp;refID=7166562&amp;Result=3","7166562")</f>
        <v>0</v>
      </c>
      <c r="B1501" t="s">
        <v>663</v>
      </c>
      <c r="C1501" t="s">
        <v>5342</v>
      </c>
      <c r="D1501" t="s">
        <v>19026</v>
      </c>
      <c r="E1501" t="s">
        <v>20468</v>
      </c>
      <c r="F1501" t="s">
        <v>32831</v>
      </c>
      <c r="G1501" t="s">
        <v>32840</v>
      </c>
      <c r="H1501" t="s">
        <v>32848</v>
      </c>
      <c r="I1501" t="s">
        <v>32860</v>
      </c>
      <c r="J1501" t="s">
        <v>34053</v>
      </c>
      <c r="K1501" t="s">
        <v>42732</v>
      </c>
      <c r="M1501" t="s">
        <v>43681</v>
      </c>
      <c r="N1501" t="s">
        <v>47424</v>
      </c>
      <c r="O1501" t="s">
        <v>47425</v>
      </c>
      <c r="P1501">
        <v>0</v>
      </c>
      <c r="Q1501">
        <v>0</v>
      </c>
      <c r="R1501" t="s">
        <v>47429</v>
      </c>
      <c r="S1501" t="s">
        <v>47542</v>
      </c>
      <c r="T1501" t="s">
        <v>49125</v>
      </c>
      <c r="U1501" t="s">
        <v>49728</v>
      </c>
      <c r="W1501" t="s">
        <v>43681</v>
      </c>
      <c r="X1501" t="s">
        <v>47426</v>
      </c>
    </row>
    <row r="1502" spans="1:24">
      <c r="A1502">
        <f>HYPERLINK("https://www.philgeps.gov.ph/GEPSNONPILOT/Tender/SplashBidNoticeAbstractUI.aspx?menuIndex=3&amp;refID=7166556&amp;Result=3","7166556")</f>
        <v>0</v>
      </c>
      <c r="B1502" t="s">
        <v>708</v>
      </c>
      <c r="C1502" t="s">
        <v>5343</v>
      </c>
      <c r="D1502" t="s">
        <v>19023</v>
      </c>
      <c r="E1502" t="s">
        <v>20469</v>
      </c>
      <c r="F1502" t="s">
        <v>32831</v>
      </c>
      <c r="G1502" t="s">
        <v>32838</v>
      </c>
      <c r="H1502" t="s">
        <v>32848</v>
      </c>
      <c r="I1502" t="s">
        <v>6526</v>
      </c>
      <c r="J1502" t="s">
        <v>34054</v>
      </c>
      <c r="K1502" t="s">
        <v>42759</v>
      </c>
      <c r="M1502" t="s">
        <v>43727</v>
      </c>
      <c r="N1502" t="s">
        <v>47424</v>
      </c>
      <c r="O1502" t="s">
        <v>47425</v>
      </c>
      <c r="P1502">
        <v>0</v>
      </c>
      <c r="Q1502">
        <v>0</v>
      </c>
      <c r="R1502" t="s">
        <v>47429</v>
      </c>
      <c r="S1502" t="s">
        <v>47542</v>
      </c>
      <c r="T1502" t="s">
        <v>49119</v>
      </c>
      <c r="U1502" t="s">
        <v>50988</v>
      </c>
      <c r="W1502" t="s">
        <v>43727</v>
      </c>
      <c r="X1502" t="s">
        <v>47426</v>
      </c>
    </row>
    <row r="1503" spans="1:24">
      <c r="A1503">
        <f>HYPERLINK("https://www.philgeps.gov.ph/GEPSNONPILOT/Tender/SplashBidNoticeAbstractUI.aspx?menuIndex=3&amp;refID=7166555&amp;Result=3","7166555")</f>
        <v>0</v>
      </c>
      <c r="B1503" t="s">
        <v>27</v>
      </c>
      <c r="C1503" t="s">
        <v>5344</v>
      </c>
      <c r="D1503" t="s">
        <v>19020</v>
      </c>
      <c r="E1503" t="s">
        <v>20470</v>
      </c>
      <c r="F1503" t="s">
        <v>32831</v>
      </c>
      <c r="G1503" t="s">
        <v>32838</v>
      </c>
      <c r="H1503" t="s">
        <v>32848</v>
      </c>
      <c r="I1503" t="s">
        <v>4303</v>
      </c>
      <c r="J1503" t="s">
        <v>34055</v>
      </c>
      <c r="K1503" t="s">
        <v>42726</v>
      </c>
      <c r="M1503" t="s">
        <v>43728</v>
      </c>
      <c r="N1503" t="s">
        <v>47424</v>
      </c>
      <c r="O1503" t="s">
        <v>47425</v>
      </c>
      <c r="P1503">
        <v>0</v>
      </c>
      <c r="Q1503">
        <v>0</v>
      </c>
      <c r="R1503" t="s">
        <v>47429</v>
      </c>
      <c r="S1503" t="s">
        <v>47542</v>
      </c>
      <c r="T1503" t="s">
        <v>49123</v>
      </c>
      <c r="U1503" t="s">
        <v>50989</v>
      </c>
      <c r="W1503" t="s">
        <v>43728</v>
      </c>
      <c r="X1503" t="s">
        <v>47426</v>
      </c>
    </row>
    <row r="1504" spans="1:24">
      <c r="A1504">
        <f>HYPERLINK("https://www.philgeps.gov.ph/GEPSNONPILOT/Tender/SplashBidNoticeAbstractUI.aspx?menuIndex=3&amp;refID=7166590&amp;Result=3","7166590")</f>
        <v>0</v>
      </c>
      <c r="B1504" t="s">
        <v>92</v>
      </c>
      <c r="C1504" t="s">
        <v>5345</v>
      </c>
      <c r="D1504" t="s">
        <v>19051</v>
      </c>
      <c r="E1504" t="s">
        <v>19260</v>
      </c>
      <c r="F1504" t="s">
        <v>32831</v>
      </c>
      <c r="G1504" t="s">
        <v>32840</v>
      </c>
      <c r="H1504" t="s">
        <v>32848</v>
      </c>
      <c r="I1504" t="s">
        <v>9577</v>
      </c>
      <c r="J1504" t="s">
        <v>34056</v>
      </c>
      <c r="K1504" t="s">
        <v>42732</v>
      </c>
      <c r="M1504" t="s">
        <v>43089</v>
      </c>
      <c r="N1504" t="s">
        <v>47424</v>
      </c>
      <c r="O1504" t="s">
        <v>47425</v>
      </c>
      <c r="P1504">
        <v>0</v>
      </c>
      <c r="Q1504">
        <v>0</v>
      </c>
      <c r="R1504" t="s">
        <v>47429</v>
      </c>
      <c r="S1504" t="s">
        <v>47542</v>
      </c>
      <c r="T1504" t="s">
        <v>49081</v>
      </c>
      <c r="U1504" t="s">
        <v>50990</v>
      </c>
      <c r="V1504" t="s">
        <v>62789</v>
      </c>
      <c r="W1504" t="s">
        <v>43089</v>
      </c>
      <c r="X1504" t="s">
        <v>47426</v>
      </c>
    </row>
    <row r="1505" spans="1:24">
      <c r="A1505">
        <f>HYPERLINK("https://www.philgeps.gov.ph/GEPSNONPILOT/Tender/SplashBidNoticeAbstractUI.aspx?menuIndex=3&amp;refID=7166595&amp;Result=3","7166595")</f>
        <v>0</v>
      </c>
      <c r="B1505" t="s">
        <v>709</v>
      </c>
      <c r="C1505" t="s">
        <v>5346</v>
      </c>
      <c r="D1505" t="s">
        <v>19037</v>
      </c>
      <c r="E1505" t="s">
        <v>20471</v>
      </c>
      <c r="F1505" t="s">
        <v>32831</v>
      </c>
      <c r="G1505" t="s">
        <v>32838</v>
      </c>
      <c r="H1505" t="s">
        <v>32848</v>
      </c>
      <c r="I1505" t="s">
        <v>32864</v>
      </c>
      <c r="J1505" t="s">
        <v>33133</v>
      </c>
      <c r="K1505" t="s">
        <v>42732</v>
      </c>
      <c r="M1505" t="s">
        <v>43729</v>
      </c>
      <c r="N1505" t="s">
        <v>47424</v>
      </c>
      <c r="O1505" t="s">
        <v>47425</v>
      </c>
      <c r="P1505">
        <v>0</v>
      </c>
      <c r="Q1505">
        <v>0</v>
      </c>
      <c r="R1505" t="s">
        <v>47429</v>
      </c>
      <c r="S1505" t="s">
        <v>47542</v>
      </c>
      <c r="T1505" t="s">
        <v>49198</v>
      </c>
      <c r="U1505" t="s">
        <v>50991</v>
      </c>
      <c r="V1505" t="s">
        <v>62790</v>
      </c>
      <c r="W1505" t="s">
        <v>43729</v>
      </c>
      <c r="X1505" t="s">
        <v>47426</v>
      </c>
    </row>
    <row r="1506" spans="1:24">
      <c r="A1506">
        <f>HYPERLINK("https://www.philgeps.gov.ph/GEPSNONPILOT/Tender/SplashBidNoticeAbstractUI.aspx?menuIndex=3&amp;refID=7166558&amp;Result=3","7166558")</f>
        <v>0</v>
      </c>
      <c r="B1506" t="s">
        <v>710</v>
      </c>
      <c r="C1506" t="s">
        <v>5347</v>
      </c>
      <c r="D1506" t="s">
        <v>19047</v>
      </c>
      <c r="E1506" t="s">
        <v>20472</v>
      </c>
      <c r="F1506" t="s">
        <v>32831</v>
      </c>
      <c r="G1506" t="s">
        <v>32840</v>
      </c>
      <c r="H1506" t="s">
        <v>32848</v>
      </c>
      <c r="I1506" t="s">
        <v>32860</v>
      </c>
      <c r="J1506" t="s">
        <v>34057</v>
      </c>
      <c r="K1506" t="s">
        <v>42758</v>
      </c>
      <c r="M1506" t="s">
        <v>43730</v>
      </c>
      <c r="N1506" t="s">
        <v>47424</v>
      </c>
      <c r="O1506" t="s">
        <v>47425</v>
      </c>
      <c r="P1506">
        <v>0</v>
      </c>
      <c r="Q1506">
        <v>0</v>
      </c>
      <c r="R1506" t="s">
        <v>47429</v>
      </c>
      <c r="S1506" t="s">
        <v>47542</v>
      </c>
      <c r="T1506" t="s">
        <v>49119</v>
      </c>
      <c r="U1506" t="s">
        <v>50992</v>
      </c>
      <c r="W1506" t="s">
        <v>43730</v>
      </c>
      <c r="X1506" t="s">
        <v>47426</v>
      </c>
    </row>
    <row r="1507" spans="1:24">
      <c r="A1507">
        <f>HYPERLINK("https://www.philgeps.gov.ph/GEPSNONPILOT/Tender/SplashBidNoticeAbstractUI.aspx?menuIndex=3&amp;refID=7166593&amp;Result=3","7166593")</f>
        <v>0</v>
      </c>
      <c r="B1507" t="s">
        <v>711</v>
      </c>
      <c r="C1507" t="s">
        <v>5348</v>
      </c>
      <c r="D1507" t="s">
        <v>19060</v>
      </c>
      <c r="E1507" t="s">
        <v>20473</v>
      </c>
      <c r="F1507" t="s">
        <v>32831</v>
      </c>
      <c r="G1507" t="s">
        <v>32839</v>
      </c>
      <c r="H1507" t="s">
        <v>32848</v>
      </c>
      <c r="I1507" t="s">
        <v>7416</v>
      </c>
      <c r="J1507" t="s">
        <v>34058</v>
      </c>
      <c r="K1507" t="s">
        <v>42730</v>
      </c>
      <c r="M1507" t="s">
        <v>43731</v>
      </c>
      <c r="N1507" t="s">
        <v>47424</v>
      </c>
      <c r="O1507" t="s">
        <v>47425</v>
      </c>
      <c r="P1507">
        <v>0</v>
      </c>
      <c r="Q1507">
        <v>0</v>
      </c>
      <c r="R1507" t="s">
        <v>47429</v>
      </c>
      <c r="S1507" t="s">
        <v>47542</v>
      </c>
      <c r="T1507" t="s">
        <v>49215</v>
      </c>
      <c r="U1507" t="s">
        <v>50993</v>
      </c>
      <c r="W1507" t="s">
        <v>43731</v>
      </c>
      <c r="X1507" t="s">
        <v>47426</v>
      </c>
    </row>
    <row r="1508" spans="1:24">
      <c r="A1508">
        <f>HYPERLINK("https://www.philgeps.gov.ph/GEPSNONPILOT/Tender/SplashBidNoticeAbstractUI.aspx?menuIndex=3&amp;refID=7166567&amp;Result=3","7166567")</f>
        <v>0</v>
      </c>
      <c r="B1508" t="s">
        <v>712</v>
      </c>
      <c r="C1508" t="s">
        <v>5349</v>
      </c>
      <c r="D1508" t="s">
        <v>19047</v>
      </c>
      <c r="E1508" t="s">
        <v>20474</v>
      </c>
      <c r="F1508" t="s">
        <v>32831</v>
      </c>
      <c r="G1508" t="s">
        <v>32839</v>
      </c>
      <c r="H1508" t="s">
        <v>32848</v>
      </c>
      <c r="I1508" t="s">
        <v>4222</v>
      </c>
      <c r="J1508" t="s">
        <v>34059</v>
      </c>
      <c r="K1508" t="s">
        <v>42726</v>
      </c>
      <c r="M1508" t="s">
        <v>43732</v>
      </c>
      <c r="N1508" t="s">
        <v>47424</v>
      </c>
      <c r="O1508" t="s">
        <v>47425</v>
      </c>
      <c r="P1508">
        <v>0</v>
      </c>
      <c r="Q1508">
        <v>0</v>
      </c>
      <c r="R1508" t="s">
        <v>47429</v>
      </c>
      <c r="S1508" t="s">
        <v>47542</v>
      </c>
      <c r="T1508" t="s">
        <v>49065</v>
      </c>
      <c r="U1508" t="s">
        <v>50994</v>
      </c>
      <c r="W1508" t="s">
        <v>43732</v>
      </c>
      <c r="X1508" t="s">
        <v>47426</v>
      </c>
    </row>
    <row r="1509" spans="1:24">
      <c r="A1509">
        <f>HYPERLINK("https://www.philgeps.gov.ph/GEPSNONPILOT/Tender/SplashBidNoticeAbstractUI.aspx?menuIndex=3&amp;refID=7166594&amp;Result=3","7166594")</f>
        <v>0</v>
      </c>
      <c r="B1509" t="s">
        <v>713</v>
      </c>
      <c r="C1509" t="s">
        <v>5350</v>
      </c>
      <c r="D1509" t="s">
        <v>19023</v>
      </c>
      <c r="E1509" t="s">
        <v>20475</v>
      </c>
      <c r="F1509" t="s">
        <v>32831</v>
      </c>
      <c r="G1509" t="s">
        <v>32839</v>
      </c>
      <c r="H1509" t="s">
        <v>32849</v>
      </c>
      <c r="I1509" t="s">
        <v>4177</v>
      </c>
      <c r="J1509" t="s">
        <v>33044</v>
      </c>
      <c r="K1509" t="s">
        <v>42730</v>
      </c>
      <c r="M1509" t="s">
        <v>43733</v>
      </c>
      <c r="N1509" t="s">
        <v>47424</v>
      </c>
      <c r="O1509" t="s">
        <v>47425</v>
      </c>
      <c r="P1509">
        <v>0</v>
      </c>
      <c r="Q1509">
        <v>0</v>
      </c>
      <c r="R1509" t="s">
        <v>47429</v>
      </c>
      <c r="S1509" t="s">
        <v>47542</v>
      </c>
      <c r="T1509" t="s">
        <v>49186</v>
      </c>
      <c r="U1509" t="s">
        <v>50995</v>
      </c>
      <c r="W1509" t="s">
        <v>43733</v>
      </c>
      <c r="X1509" t="s">
        <v>47426</v>
      </c>
    </row>
    <row r="1510" spans="1:24">
      <c r="A1510">
        <f>HYPERLINK("https://www.philgeps.gov.ph/GEPSNONPILOT/Tender/SplashBidNoticeAbstractUI.aspx?menuIndex=3&amp;refID=7166589&amp;Result=3","7166589")</f>
        <v>0</v>
      </c>
      <c r="B1510" t="s">
        <v>27</v>
      </c>
      <c r="C1510" t="s">
        <v>5351</v>
      </c>
      <c r="D1510" t="s">
        <v>19020</v>
      </c>
      <c r="E1510" t="s">
        <v>20476</v>
      </c>
      <c r="F1510" t="s">
        <v>32831</v>
      </c>
      <c r="G1510" t="s">
        <v>32838</v>
      </c>
      <c r="H1510" t="s">
        <v>32848</v>
      </c>
      <c r="I1510" t="s">
        <v>4558</v>
      </c>
      <c r="J1510" t="s">
        <v>34060</v>
      </c>
      <c r="K1510" t="s">
        <v>42726</v>
      </c>
      <c r="M1510" t="s">
        <v>43728</v>
      </c>
      <c r="N1510" t="s">
        <v>47424</v>
      </c>
      <c r="O1510" t="s">
        <v>47425</v>
      </c>
      <c r="P1510">
        <v>0</v>
      </c>
      <c r="Q1510">
        <v>0</v>
      </c>
      <c r="R1510" t="s">
        <v>47429</v>
      </c>
      <c r="S1510" t="s">
        <v>47542</v>
      </c>
      <c r="T1510" t="s">
        <v>49123</v>
      </c>
      <c r="U1510" t="s">
        <v>50989</v>
      </c>
      <c r="W1510" t="s">
        <v>43728</v>
      </c>
      <c r="X1510" t="s">
        <v>47426</v>
      </c>
    </row>
    <row r="1511" spans="1:24">
      <c r="A1511">
        <f>HYPERLINK("https://www.philgeps.gov.ph/GEPSNONPILOT/Tender/SplashBidNoticeAbstractUI.aspx?menuIndex=3&amp;refID=7166588&amp;Result=3","7166588")</f>
        <v>0</v>
      </c>
      <c r="B1511" t="s">
        <v>714</v>
      </c>
      <c r="C1511" t="s">
        <v>5352</v>
      </c>
      <c r="D1511" t="s">
        <v>19038</v>
      </c>
      <c r="E1511" t="s">
        <v>20477</v>
      </c>
      <c r="F1511" t="s">
        <v>32831</v>
      </c>
      <c r="G1511" t="s">
        <v>32838</v>
      </c>
      <c r="H1511" t="s">
        <v>32848</v>
      </c>
      <c r="I1511" t="s">
        <v>4438</v>
      </c>
      <c r="J1511" t="s">
        <v>33519</v>
      </c>
      <c r="K1511" t="s">
        <v>42732</v>
      </c>
      <c r="M1511" t="s">
        <v>43734</v>
      </c>
      <c r="N1511" t="s">
        <v>47424</v>
      </c>
      <c r="O1511" t="s">
        <v>47425</v>
      </c>
      <c r="P1511">
        <v>0</v>
      </c>
      <c r="Q1511">
        <v>0</v>
      </c>
      <c r="R1511" t="s">
        <v>47429</v>
      </c>
      <c r="S1511" t="s">
        <v>47542</v>
      </c>
      <c r="T1511" t="s">
        <v>49105</v>
      </c>
      <c r="U1511" t="s">
        <v>50996</v>
      </c>
      <c r="W1511" t="s">
        <v>43734</v>
      </c>
      <c r="X1511" t="s">
        <v>47426</v>
      </c>
    </row>
    <row r="1512" spans="1:24">
      <c r="A1512">
        <f>HYPERLINK("https://www.philgeps.gov.ph/GEPSNONPILOT/Tender/SplashBidNoticeAbstractUI.aspx?menuIndex=3&amp;refID=7166584&amp;Result=3","7166584")</f>
        <v>0</v>
      </c>
      <c r="B1512" t="s">
        <v>715</v>
      </c>
      <c r="C1512" t="s">
        <v>5353</v>
      </c>
      <c r="D1512" t="s">
        <v>19038</v>
      </c>
      <c r="E1512" t="s">
        <v>20478</v>
      </c>
      <c r="F1512" t="s">
        <v>32831</v>
      </c>
      <c r="G1512" t="s">
        <v>32839</v>
      </c>
      <c r="H1512" t="s">
        <v>32848</v>
      </c>
      <c r="I1512" t="s">
        <v>32860</v>
      </c>
      <c r="J1512" t="s">
        <v>33017</v>
      </c>
      <c r="K1512" t="s">
        <v>42727</v>
      </c>
      <c r="M1512" t="s">
        <v>43735</v>
      </c>
      <c r="N1512" t="s">
        <v>47424</v>
      </c>
      <c r="O1512" t="s">
        <v>47425</v>
      </c>
      <c r="P1512">
        <v>0</v>
      </c>
      <c r="Q1512">
        <v>0</v>
      </c>
      <c r="R1512" t="s">
        <v>47429</v>
      </c>
      <c r="S1512" t="s">
        <v>47542</v>
      </c>
      <c r="T1512" t="s">
        <v>49060</v>
      </c>
      <c r="U1512" t="s">
        <v>50997</v>
      </c>
      <c r="W1512" t="s">
        <v>43735</v>
      </c>
      <c r="X1512" t="s">
        <v>47426</v>
      </c>
    </row>
    <row r="1513" spans="1:24">
      <c r="A1513">
        <f>HYPERLINK("https://www.philgeps.gov.ph/GEPSNONPILOT/Tender/SplashBidNoticeAbstractUI.aspx?menuIndex=3&amp;refID=7166583&amp;Result=3","7166583")</f>
        <v>0</v>
      </c>
      <c r="B1513" t="s">
        <v>716</v>
      </c>
      <c r="C1513" t="s">
        <v>5354</v>
      </c>
      <c r="D1513" t="s">
        <v>19026</v>
      </c>
      <c r="E1513" t="s">
        <v>20479</v>
      </c>
      <c r="F1513" t="s">
        <v>32831</v>
      </c>
      <c r="G1513" t="s">
        <v>32838</v>
      </c>
      <c r="H1513" t="s">
        <v>32848</v>
      </c>
      <c r="I1513" t="s">
        <v>32857</v>
      </c>
      <c r="J1513" t="s">
        <v>32976</v>
      </c>
      <c r="K1513" t="s">
        <v>42726</v>
      </c>
      <c r="M1513" t="s">
        <v>43736</v>
      </c>
      <c r="N1513" t="s">
        <v>47424</v>
      </c>
      <c r="O1513" t="s">
        <v>47425</v>
      </c>
      <c r="P1513">
        <v>0</v>
      </c>
      <c r="Q1513">
        <v>0</v>
      </c>
      <c r="R1513" t="s">
        <v>47429</v>
      </c>
      <c r="S1513" t="s">
        <v>47542</v>
      </c>
      <c r="T1513" t="s">
        <v>49124</v>
      </c>
      <c r="U1513" t="s">
        <v>50998</v>
      </c>
      <c r="W1513" t="s">
        <v>43736</v>
      </c>
      <c r="X1513" t="s">
        <v>47426</v>
      </c>
    </row>
    <row r="1514" spans="1:24">
      <c r="A1514">
        <f>HYPERLINK("https://www.philgeps.gov.ph/GEPSNONPILOT/Tender/SplashBidNoticeAbstractUI.aspx?menuIndex=3&amp;refID=7166582&amp;Result=3","7166582")</f>
        <v>0</v>
      </c>
      <c r="B1514" t="s">
        <v>717</v>
      </c>
      <c r="C1514" t="s">
        <v>5355</v>
      </c>
      <c r="D1514" t="s">
        <v>19050</v>
      </c>
      <c r="E1514" t="s">
        <v>20480</v>
      </c>
      <c r="F1514" t="s">
        <v>32831</v>
      </c>
      <c r="G1514" t="s">
        <v>32838</v>
      </c>
      <c r="H1514" t="s">
        <v>32848</v>
      </c>
      <c r="I1514" t="s">
        <v>32926</v>
      </c>
      <c r="J1514" t="s">
        <v>34061</v>
      </c>
      <c r="K1514" t="s">
        <v>42732</v>
      </c>
      <c r="M1514" t="s">
        <v>43737</v>
      </c>
      <c r="N1514" t="s">
        <v>47424</v>
      </c>
      <c r="O1514" t="s">
        <v>47425</v>
      </c>
      <c r="P1514">
        <v>0</v>
      </c>
      <c r="Q1514">
        <v>0</v>
      </c>
      <c r="R1514" t="s">
        <v>47429</v>
      </c>
      <c r="S1514" t="s">
        <v>47542</v>
      </c>
      <c r="T1514" t="s">
        <v>49129</v>
      </c>
      <c r="U1514" t="s">
        <v>50999</v>
      </c>
      <c r="V1514" t="s">
        <v>62791</v>
      </c>
      <c r="W1514" t="s">
        <v>43737</v>
      </c>
      <c r="X1514" t="s">
        <v>47426</v>
      </c>
    </row>
    <row r="1515" spans="1:24">
      <c r="A1515">
        <f>HYPERLINK("https://www.philgeps.gov.ph/GEPSNONPILOT/Tender/SplashBidNoticeAbstractUI.aspx?menuIndex=3&amp;refID=7166581&amp;Result=3","7166581")</f>
        <v>0</v>
      </c>
      <c r="B1515" t="s">
        <v>718</v>
      </c>
      <c r="C1515" t="s">
        <v>5356</v>
      </c>
      <c r="D1515" t="s">
        <v>19017</v>
      </c>
      <c r="E1515" t="s">
        <v>20481</v>
      </c>
      <c r="F1515" t="s">
        <v>32831</v>
      </c>
      <c r="G1515" t="s">
        <v>32840</v>
      </c>
      <c r="H1515" t="s">
        <v>32848</v>
      </c>
      <c r="I1515" t="s">
        <v>4303</v>
      </c>
      <c r="J1515" t="s">
        <v>34062</v>
      </c>
      <c r="K1515" t="s">
        <v>42727</v>
      </c>
      <c r="M1515" t="s">
        <v>43738</v>
      </c>
      <c r="N1515" t="s">
        <v>47424</v>
      </c>
      <c r="O1515" t="s">
        <v>47425</v>
      </c>
      <c r="P1515">
        <v>0</v>
      </c>
      <c r="Q1515">
        <v>0</v>
      </c>
      <c r="R1515" t="s">
        <v>47429</v>
      </c>
      <c r="S1515" t="s">
        <v>47542</v>
      </c>
      <c r="T1515" t="s">
        <v>49261</v>
      </c>
      <c r="U1515" t="s">
        <v>51000</v>
      </c>
      <c r="V1515" t="s">
        <v>62792</v>
      </c>
      <c r="W1515" t="s">
        <v>43738</v>
      </c>
      <c r="X1515" t="s">
        <v>47426</v>
      </c>
    </row>
    <row r="1516" spans="1:24">
      <c r="A1516">
        <f>HYPERLINK("https://www.philgeps.gov.ph/GEPSNONPILOT/Tender/SplashBidNoticeAbstractUI.aspx?menuIndex=3&amp;refID=7166580&amp;Result=3","7166580")</f>
        <v>0</v>
      </c>
      <c r="B1516" t="s">
        <v>719</v>
      </c>
      <c r="C1516" t="s">
        <v>5357</v>
      </c>
      <c r="D1516" t="s">
        <v>19098</v>
      </c>
      <c r="E1516" t="s">
        <v>20482</v>
      </c>
      <c r="F1516" t="s">
        <v>32831</v>
      </c>
      <c r="G1516" t="s">
        <v>32838</v>
      </c>
      <c r="H1516" t="s">
        <v>32848</v>
      </c>
      <c r="I1516" t="s">
        <v>4438</v>
      </c>
      <c r="J1516" t="s">
        <v>34063</v>
      </c>
      <c r="K1516" t="s">
        <v>42732</v>
      </c>
      <c r="M1516" t="s">
        <v>43739</v>
      </c>
      <c r="N1516" t="s">
        <v>47424</v>
      </c>
      <c r="O1516" t="s">
        <v>47425</v>
      </c>
      <c r="P1516">
        <v>0</v>
      </c>
      <c r="Q1516">
        <v>0</v>
      </c>
      <c r="R1516" t="s">
        <v>47429</v>
      </c>
      <c r="S1516" t="s">
        <v>47542</v>
      </c>
      <c r="T1516" t="s">
        <v>49069</v>
      </c>
      <c r="U1516" t="s">
        <v>51001</v>
      </c>
      <c r="W1516" t="s">
        <v>43739</v>
      </c>
      <c r="X1516" t="s">
        <v>47426</v>
      </c>
    </row>
    <row r="1517" spans="1:24">
      <c r="A1517">
        <f>HYPERLINK("https://www.philgeps.gov.ph/GEPSNONPILOT/Tender/SplashBidNoticeAbstractUI.aspx?menuIndex=3&amp;refID=7166591&amp;Result=3","7166591")</f>
        <v>0</v>
      </c>
      <c r="B1517" t="s">
        <v>526</v>
      </c>
      <c r="C1517" t="s">
        <v>5358</v>
      </c>
      <c r="D1517" t="s">
        <v>19034</v>
      </c>
      <c r="E1517" t="s">
        <v>20483</v>
      </c>
      <c r="F1517" t="s">
        <v>32831</v>
      </c>
      <c r="G1517" t="s">
        <v>32838</v>
      </c>
      <c r="H1517" t="s">
        <v>32848</v>
      </c>
      <c r="I1517" t="s">
        <v>32927</v>
      </c>
      <c r="J1517" t="s">
        <v>34064</v>
      </c>
      <c r="K1517" t="s">
        <v>42758</v>
      </c>
      <c r="M1517" t="s">
        <v>43532</v>
      </c>
      <c r="N1517" t="s">
        <v>47424</v>
      </c>
      <c r="O1517" t="s">
        <v>47425</v>
      </c>
      <c r="P1517">
        <v>0</v>
      </c>
      <c r="Q1517">
        <v>0</v>
      </c>
      <c r="R1517" t="s">
        <v>47429</v>
      </c>
      <c r="S1517" t="s">
        <v>47542</v>
      </c>
      <c r="T1517" t="s">
        <v>49123</v>
      </c>
      <c r="U1517" t="s">
        <v>51002</v>
      </c>
      <c r="W1517" t="s">
        <v>43532</v>
      </c>
      <c r="X1517" t="s">
        <v>47426</v>
      </c>
    </row>
    <row r="1518" spans="1:24">
      <c r="A1518">
        <f>HYPERLINK("https://www.philgeps.gov.ph/GEPSNONPILOT/Tender/SplashBidNoticeAbstractUI.aspx?menuIndex=3&amp;refID=7166579&amp;Result=3","7166579")</f>
        <v>0</v>
      </c>
      <c r="B1518" t="s">
        <v>60</v>
      </c>
      <c r="C1518" t="s">
        <v>5359</v>
      </c>
      <c r="D1518" t="s">
        <v>19042</v>
      </c>
      <c r="E1518" t="s">
        <v>20484</v>
      </c>
      <c r="F1518" t="s">
        <v>32831</v>
      </c>
      <c r="G1518" t="s">
        <v>32839</v>
      </c>
      <c r="H1518" t="s">
        <v>32849</v>
      </c>
      <c r="I1518" t="s">
        <v>4177</v>
      </c>
      <c r="J1518" t="s">
        <v>34065</v>
      </c>
      <c r="K1518" t="s">
        <v>42734</v>
      </c>
      <c r="M1518" t="s">
        <v>43740</v>
      </c>
      <c r="N1518" t="s">
        <v>47424</v>
      </c>
      <c r="O1518" t="s">
        <v>47425</v>
      </c>
      <c r="P1518">
        <v>0</v>
      </c>
      <c r="Q1518">
        <v>0</v>
      </c>
      <c r="R1518" t="s">
        <v>47429</v>
      </c>
      <c r="S1518" t="s">
        <v>47542</v>
      </c>
      <c r="T1518" t="s">
        <v>49262</v>
      </c>
      <c r="U1518" t="s">
        <v>51003</v>
      </c>
      <c r="W1518" t="s">
        <v>43740</v>
      </c>
      <c r="X1518" t="s">
        <v>47426</v>
      </c>
    </row>
    <row r="1519" spans="1:24">
      <c r="A1519">
        <f>HYPERLINK("https://www.philgeps.gov.ph/GEPSNONPILOT/Tender/SplashBidNoticeAbstractUI.aspx?menuIndex=3&amp;refID=7166578&amp;Result=3","7166578")</f>
        <v>0</v>
      </c>
      <c r="B1519" t="s">
        <v>720</v>
      </c>
      <c r="C1519" t="s">
        <v>5360</v>
      </c>
      <c r="D1519" t="s">
        <v>19090</v>
      </c>
      <c r="E1519" t="s">
        <v>20485</v>
      </c>
      <c r="F1519" t="s">
        <v>32831</v>
      </c>
      <c r="G1519" t="s">
        <v>32838</v>
      </c>
      <c r="H1519" t="s">
        <v>32848</v>
      </c>
      <c r="I1519" t="s">
        <v>4558</v>
      </c>
      <c r="J1519" t="s">
        <v>34066</v>
      </c>
      <c r="K1519" t="s">
        <v>42727</v>
      </c>
      <c r="M1519" t="s">
        <v>43741</v>
      </c>
      <c r="N1519" t="s">
        <v>47424</v>
      </c>
      <c r="O1519" t="s">
        <v>47425</v>
      </c>
      <c r="P1519">
        <v>0</v>
      </c>
      <c r="Q1519">
        <v>0</v>
      </c>
      <c r="R1519" t="s">
        <v>47429</v>
      </c>
      <c r="S1519" t="s">
        <v>47542</v>
      </c>
      <c r="T1519" t="s">
        <v>49089</v>
      </c>
      <c r="U1519" t="s">
        <v>51004</v>
      </c>
      <c r="W1519" t="s">
        <v>64445</v>
      </c>
      <c r="X1519" t="s">
        <v>47426</v>
      </c>
    </row>
    <row r="1520" spans="1:24">
      <c r="A1520">
        <f>HYPERLINK("https://www.philgeps.gov.ph/GEPSNONPILOT/Tender/SplashBidNoticeAbstractUI.aspx?menuIndex=3&amp;refID=7166621&amp;Result=3","7166621")</f>
        <v>0</v>
      </c>
      <c r="B1520" t="s">
        <v>721</v>
      </c>
      <c r="C1520" t="s">
        <v>5361</v>
      </c>
      <c r="D1520" t="s">
        <v>19018</v>
      </c>
      <c r="E1520" t="s">
        <v>20486</v>
      </c>
      <c r="F1520" t="s">
        <v>32831</v>
      </c>
      <c r="G1520" t="s">
        <v>32838</v>
      </c>
      <c r="H1520" t="s">
        <v>32848</v>
      </c>
      <c r="I1520" t="s">
        <v>32857</v>
      </c>
      <c r="J1520" t="s">
        <v>34067</v>
      </c>
      <c r="K1520" t="s">
        <v>42732</v>
      </c>
      <c r="M1520" t="s">
        <v>43742</v>
      </c>
      <c r="N1520" t="s">
        <v>47424</v>
      </c>
      <c r="O1520" t="s">
        <v>47425</v>
      </c>
      <c r="P1520">
        <v>0</v>
      </c>
      <c r="Q1520">
        <v>0</v>
      </c>
      <c r="R1520" t="s">
        <v>47429</v>
      </c>
      <c r="S1520" t="s">
        <v>47542</v>
      </c>
      <c r="T1520" t="s">
        <v>49087</v>
      </c>
      <c r="U1520" t="s">
        <v>51005</v>
      </c>
      <c r="W1520" t="s">
        <v>43742</v>
      </c>
      <c r="X1520" t="s">
        <v>47426</v>
      </c>
    </row>
    <row r="1521" spans="1:24">
      <c r="A1521">
        <f>HYPERLINK("https://www.philgeps.gov.ph/GEPSNONPILOT/Tender/SplashBidNoticeAbstractUI.aspx?menuIndex=3&amp;refID=7166619&amp;Result=3","7166619")</f>
        <v>0</v>
      </c>
      <c r="B1521" t="s">
        <v>722</v>
      </c>
      <c r="C1521" t="s">
        <v>5362</v>
      </c>
      <c r="D1521" t="s">
        <v>19022</v>
      </c>
      <c r="E1521" t="s">
        <v>19476</v>
      </c>
      <c r="F1521" t="s">
        <v>32831</v>
      </c>
      <c r="G1521" t="s">
        <v>32838</v>
      </c>
      <c r="H1521" t="s">
        <v>32848</v>
      </c>
      <c r="I1521" t="s">
        <v>4446</v>
      </c>
      <c r="J1521" t="s">
        <v>34068</v>
      </c>
      <c r="K1521" t="s">
        <v>42804</v>
      </c>
      <c r="M1521" t="s">
        <v>43743</v>
      </c>
      <c r="N1521" t="s">
        <v>47424</v>
      </c>
      <c r="O1521" t="s">
        <v>47425</v>
      </c>
      <c r="P1521">
        <v>0</v>
      </c>
      <c r="Q1521">
        <v>0</v>
      </c>
      <c r="R1521" t="s">
        <v>47429</v>
      </c>
      <c r="S1521" t="s">
        <v>47542</v>
      </c>
      <c r="T1521" t="s">
        <v>49091</v>
      </c>
      <c r="U1521" t="s">
        <v>51006</v>
      </c>
      <c r="W1521" t="s">
        <v>43743</v>
      </c>
      <c r="X1521" t="s">
        <v>47426</v>
      </c>
    </row>
    <row r="1522" spans="1:24">
      <c r="A1522">
        <f>HYPERLINK("https://www.philgeps.gov.ph/GEPSNONPILOT/Tender/SplashBidNoticeAbstractUI.aspx?menuIndex=3&amp;refID=7166613&amp;Result=3","7166613")</f>
        <v>0</v>
      </c>
      <c r="B1522" t="s">
        <v>723</v>
      </c>
      <c r="C1522" t="s">
        <v>5363</v>
      </c>
      <c r="E1522" t="s">
        <v>20487</v>
      </c>
      <c r="F1522" t="s">
        <v>32831</v>
      </c>
      <c r="G1522" t="s">
        <v>32838</v>
      </c>
      <c r="H1522" t="s">
        <v>32848</v>
      </c>
      <c r="I1522" t="s">
        <v>32872</v>
      </c>
      <c r="J1522" t="s">
        <v>34069</v>
      </c>
      <c r="K1522" t="s">
        <v>42732</v>
      </c>
      <c r="M1522" t="s">
        <v>43744</v>
      </c>
      <c r="N1522" t="s">
        <v>47424</v>
      </c>
      <c r="O1522" t="s">
        <v>47425</v>
      </c>
      <c r="P1522">
        <v>0</v>
      </c>
      <c r="Q1522">
        <v>0</v>
      </c>
      <c r="R1522" t="s">
        <v>47429</v>
      </c>
      <c r="S1522" t="s">
        <v>47542</v>
      </c>
      <c r="T1522" t="s">
        <v>49060</v>
      </c>
      <c r="U1522" t="s">
        <v>51007</v>
      </c>
      <c r="W1522" t="s">
        <v>43744</v>
      </c>
      <c r="X1522" t="s">
        <v>47426</v>
      </c>
    </row>
    <row r="1523" spans="1:24">
      <c r="A1523">
        <f>HYPERLINK("https://www.philgeps.gov.ph/GEPSNONPILOT/Tender/SplashBidNoticeAbstractUI.aspx?menuIndex=3&amp;refID=7166620&amp;Result=3","7166620")</f>
        <v>0</v>
      </c>
      <c r="B1523" t="s">
        <v>724</v>
      </c>
      <c r="C1523" t="s">
        <v>5029</v>
      </c>
      <c r="D1523" t="s">
        <v>19034</v>
      </c>
      <c r="E1523" t="s">
        <v>20488</v>
      </c>
      <c r="F1523" t="s">
        <v>32831</v>
      </c>
      <c r="G1523" t="s">
        <v>32840</v>
      </c>
      <c r="H1523" t="s">
        <v>32848</v>
      </c>
      <c r="I1523" t="s">
        <v>9577</v>
      </c>
      <c r="J1523" t="s">
        <v>34070</v>
      </c>
      <c r="K1523" t="s">
        <v>42726</v>
      </c>
      <c r="M1523" t="s">
        <v>43745</v>
      </c>
      <c r="N1523" t="s">
        <v>47424</v>
      </c>
      <c r="O1523" t="s">
        <v>47425</v>
      </c>
      <c r="P1523">
        <v>0</v>
      </c>
      <c r="Q1523">
        <v>0</v>
      </c>
      <c r="R1523" t="s">
        <v>47429</v>
      </c>
      <c r="S1523" t="s">
        <v>47542</v>
      </c>
      <c r="T1523" t="s">
        <v>49105</v>
      </c>
      <c r="U1523" t="s">
        <v>51008</v>
      </c>
      <c r="W1523" t="s">
        <v>43745</v>
      </c>
      <c r="X1523" t="s">
        <v>47426</v>
      </c>
    </row>
    <row r="1524" spans="1:24">
      <c r="A1524">
        <f>HYPERLINK("https://www.philgeps.gov.ph/GEPSNONPILOT/Tender/SplashBidNoticeAbstractUI.aspx?menuIndex=3&amp;refID=7166592&amp;Result=3","7166592")</f>
        <v>0</v>
      </c>
      <c r="B1524" t="s">
        <v>725</v>
      </c>
      <c r="C1524" t="s">
        <v>5364</v>
      </c>
      <c r="D1524" t="s">
        <v>19052</v>
      </c>
      <c r="E1524" t="s">
        <v>20489</v>
      </c>
      <c r="F1524" t="s">
        <v>32831</v>
      </c>
      <c r="G1524" t="s">
        <v>32839</v>
      </c>
      <c r="H1524" t="s">
        <v>32849</v>
      </c>
      <c r="I1524" t="s">
        <v>4177</v>
      </c>
      <c r="J1524" t="s">
        <v>34071</v>
      </c>
      <c r="K1524" t="s">
        <v>42729</v>
      </c>
      <c r="M1524" t="s">
        <v>43746</v>
      </c>
      <c r="N1524" t="s">
        <v>47424</v>
      </c>
      <c r="O1524" t="s">
        <v>47425</v>
      </c>
      <c r="P1524">
        <v>0</v>
      </c>
      <c r="Q1524">
        <v>0</v>
      </c>
      <c r="R1524" t="s">
        <v>47429</v>
      </c>
      <c r="S1524" t="s">
        <v>47542</v>
      </c>
      <c r="T1524" t="s">
        <v>49078</v>
      </c>
      <c r="U1524" t="s">
        <v>51009</v>
      </c>
      <c r="W1524" t="s">
        <v>43746</v>
      </c>
      <c r="X1524" t="s">
        <v>47426</v>
      </c>
    </row>
    <row r="1525" spans="1:24">
      <c r="A1525">
        <f>HYPERLINK("https://www.philgeps.gov.ph/GEPSNONPILOT/Tender/SplashBidNoticeAbstractUI.aspx?menuIndex=3&amp;refID=7166557&amp;Result=3","7166557")</f>
        <v>0</v>
      </c>
      <c r="B1525" t="s">
        <v>726</v>
      </c>
      <c r="C1525" t="s">
        <v>5365</v>
      </c>
      <c r="E1525" t="s">
        <v>20490</v>
      </c>
      <c r="F1525" t="s">
        <v>32831</v>
      </c>
      <c r="G1525" t="s">
        <v>32839</v>
      </c>
      <c r="H1525" t="s">
        <v>32849</v>
      </c>
      <c r="I1525" t="s">
        <v>4177</v>
      </c>
      <c r="J1525" t="s">
        <v>34072</v>
      </c>
      <c r="K1525" t="s">
        <v>42732</v>
      </c>
      <c r="M1525" t="s">
        <v>43747</v>
      </c>
      <c r="N1525" t="s">
        <v>47424</v>
      </c>
      <c r="O1525" t="s">
        <v>47425</v>
      </c>
      <c r="P1525">
        <v>0</v>
      </c>
      <c r="Q1525">
        <v>0</v>
      </c>
      <c r="R1525" t="s">
        <v>47429</v>
      </c>
      <c r="S1525" t="s">
        <v>47542</v>
      </c>
      <c r="T1525" t="s">
        <v>49158</v>
      </c>
      <c r="U1525" t="s">
        <v>51010</v>
      </c>
      <c r="W1525" t="s">
        <v>43747</v>
      </c>
      <c r="X1525" t="s">
        <v>47426</v>
      </c>
    </row>
    <row r="1526" spans="1:24">
      <c r="A1526">
        <f>HYPERLINK("https://www.philgeps.gov.ph/GEPSNONPILOT/Tender/SplashBidNoticeAbstractUI.aspx?menuIndex=3&amp;refID=7166609&amp;Result=3","7166609")</f>
        <v>0</v>
      </c>
      <c r="B1526" t="s">
        <v>200</v>
      </c>
      <c r="C1526" t="s">
        <v>5366</v>
      </c>
      <c r="D1526" t="s">
        <v>19042</v>
      </c>
      <c r="E1526" t="s">
        <v>20319</v>
      </c>
      <c r="F1526" t="s">
        <v>32831</v>
      </c>
      <c r="G1526" t="s">
        <v>32838</v>
      </c>
      <c r="H1526" t="s">
        <v>32848</v>
      </c>
      <c r="I1526" t="s">
        <v>32870</v>
      </c>
      <c r="J1526" t="s">
        <v>32976</v>
      </c>
      <c r="K1526" t="s">
        <v>42726</v>
      </c>
      <c r="M1526" t="s">
        <v>43198</v>
      </c>
      <c r="N1526" t="s">
        <v>47424</v>
      </c>
      <c r="O1526" t="s">
        <v>47425</v>
      </c>
      <c r="P1526">
        <v>0</v>
      </c>
      <c r="Q1526">
        <v>0</v>
      </c>
      <c r="R1526" t="s">
        <v>47429</v>
      </c>
      <c r="S1526" t="s">
        <v>47542</v>
      </c>
      <c r="T1526" t="s">
        <v>49263</v>
      </c>
      <c r="U1526" t="s">
        <v>50000</v>
      </c>
      <c r="W1526" t="s">
        <v>43198</v>
      </c>
      <c r="X1526" t="s">
        <v>47426</v>
      </c>
    </row>
    <row r="1527" spans="1:24">
      <c r="A1527">
        <f>HYPERLINK("https://www.philgeps.gov.ph/GEPSNONPILOT/Tender/SplashBidNoticeAbstractUI.aspx?menuIndex=3&amp;refID=7166611&amp;Result=3","7166611")</f>
        <v>0</v>
      </c>
      <c r="B1527" t="s">
        <v>727</v>
      </c>
      <c r="C1527" t="s">
        <v>5367</v>
      </c>
      <c r="D1527" t="s">
        <v>19075</v>
      </c>
      <c r="E1527" t="s">
        <v>19995</v>
      </c>
      <c r="F1527" t="s">
        <v>32831</v>
      </c>
      <c r="G1527" t="s">
        <v>32839</v>
      </c>
      <c r="H1527" t="s">
        <v>32848</v>
      </c>
      <c r="I1527" t="s">
        <v>7416</v>
      </c>
      <c r="J1527" t="s">
        <v>34073</v>
      </c>
      <c r="K1527" t="s">
        <v>42726</v>
      </c>
      <c r="M1527" t="s">
        <v>43748</v>
      </c>
      <c r="N1527" t="s">
        <v>47424</v>
      </c>
      <c r="O1527" t="s">
        <v>47425</v>
      </c>
      <c r="P1527">
        <v>0</v>
      </c>
      <c r="Q1527">
        <v>0</v>
      </c>
      <c r="R1527" t="s">
        <v>47429</v>
      </c>
      <c r="S1527" t="s">
        <v>47542</v>
      </c>
      <c r="T1527" t="s">
        <v>49099</v>
      </c>
      <c r="U1527" t="s">
        <v>51011</v>
      </c>
      <c r="W1527" t="s">
        <v>43748</v>
      </c>
      <c r="X1527" t="s">
        <v>47426</v>
      </c>
    </row>
    <row r="1528" spans="1:24">
      <c r="A1528">
        <f>HYPERLINK("https://www.philgeps.gov.ph/GEPSNONPILOT/Tender/SplashBidNoticeAbstractUI.aspx?menuIndex=3&amp;refID=7166608&amp;Result=3","7166608")</f>
        <v>0</v>
      </c>
      <c r="B1528" t="s">
        <v>192</v>
      </c>
      <c r="C1528" t="s">
        <v>5368</v>
      </c>
      <c r="D1528" t="s">
        <v>19057</v>
      </c>
      <c r="E1528" t="s">
        <v>20491</v>
      </c>
      <c r="F1528" t="s">
        <v>32831</v>
      </c>
      <c r="G1528" t="s">
        <v>32838</v>
      </c>
      <c r="H1528" t="s">
        <v>32848</v>
      </c>
      <c r="I1528" t="s">
        <v>32928</v>
      </c>
      <c r="J1528" t="s">
        <v>34026</v>
      </c>
      <c r="K1528" t="s">
        <v>42730</v>
      </c>
      <c r="M1528" t="s">
        <v>43190</v>
      </c>
      <c r="N1528" t="s">
        <v>47424</v>
      </c>
      <c r="O1528" t="s">
        <v>47425</v>
      </c>
      <c r="P1528">
        <v>0</v>
      </c>
      <c r="Q1528">
        <v>0</v>
      </c>
      <c r="R1528" t="s">
        <v>47429</v>
      </c>
      <c r="S1528" t="s">
        <v>47542</v>
      </c>
      <c r="T1528" t="s">
        <v>49169</v>
      </c>
      <c r="U1528" t="s">
        <v>51012</v>
      </c>
      <c r="W1528" t="s">
        <v>43190</v>
      </c>
      <c r="X1528" t="s">
        <v>47426</v>
      </c>
    </row>
    <row r="1529" spans="1:24">
      <c r="A1529">
        <f>HYPERLINK("https://www.philgeps.gov.ph/GEPSNONPILOT/Tender/SplashBidNoticeAbstractUI.aspx?menuIndex=3&amp;refID=7166612&amp;Result=3","7166612")</f>
        <v>0</v>
      </c>
      <c r="B1529" t="s">
        <v>67</v>
      </c>
      <c r="C1529" t="s">
        <v>5369</v>
      </c>
      <c r="D1529" t="s">
        <v>19099</v>
      </c>
      <c r="E1529" t="s">
        <v>20492</v>
      </c>
      <c r="F1529" t="s">
        <v>32831</v>
      </c>
      <c r="G1529" t="s">
        <v>32840</v>
      </c>
      <c r="H1529" t="s">
        <v>32848</v>
      </c>
      <c r="I1529" t="s">
        <v>4438</v>
      </c>
      <c r="J1529" t="s">
        <v>33184</v>
      </c>
      <c r="K1529" t="s">
        <v>42730</v>
      </c>
      <c r="M1529" t="s">
        <v>43749</v>
      </c>
      <c r="N1529" t="s">
        <v>47424</v>
      </c>
      <c r="O1529" t="s">
        <v>47425</v>
      </c>
      <c r="P1529">
        <v>0</v>
      </c>
      <c r="Q1529">
        <v>0</v>
      </c>
      <c r="R1529" t="s">
        <v>47429</v>
      </c>
      <c r="S1529" t="s">
        <v>47542</v>
      </c>
      <c r="T1529" t="s">
        <v>49092</v>
      </c>
      <c r="U1529" t="s">
        <v>51013</v>
      </c>
      <c r="W1529" t="s">
        <v>64446</v>
      </c>
      <c r="X1529" t="s">
        <v>47426</v>
      </c>
    </row>
    <row r="1530" spans="1:24">
      <c r="A1530">
        <f>HYPERLINK("https://www.philgeps.gov.ph/GEPSNONPILOT/Tender/SplashBidNoticeAbstractUI.aspx?menuIndex=3&amp;refID=7166604&amp;Result=3","7166604")</f>
        <v>0</v>
      </c>
      <c r="B1530" t="s">
        <v>728</v>
      </c>
      <c r="C1530" t="s">
        <v>5370</v>
      </c>
      <c r="D1530" t="s">
        <v>19047</v>
      </c>
      <c r="E1530" t="s">
        <v>19292</v>
      </c>
      <c r="F1530" t="s">
        <v>32831</v>
      </c>
      <c r="G1530" t="s">
        <v>32840</v>
      </c>
      <c r="H1530" t="s">
        <v>32848</v>
      </c>
      <c r="I1530" t="s">
        <v>32874</v>
      </c>
      <c r="J1530" t="s">
        <v>34074</v>
      </c>
      <c r="K1530" t="s">
        <v>42727</v>
      </c>
      <c r="M1530" t="s">
        <v>43750</v>
      </c>
      <c r="N1530" t="s">
        <v>47424</v>
      </c>
      <c r="O1530" t="s">
        <v>47425</v>
      </c>
      <c r="P1530">
        <v>0</v>
      </c>
      <c r="Q1530">
        <v>0</v>
      </c>
      <c r="R1530" t="s">
        <v>47429</v>
      </c>
      <c r="S1530" t="s">
        <v>47542</v>
      </c>
      <c r="T1530" t="s">
        <v>49119</v>
      </c>
      <c r="U1530" t="s">
        <v>51014</v>
      </c>
      <c r="W1530" t="s">
        <v>43750</v>
      </c>
      <c r="X1530" t="s">
        <v>47426</v>
      </c>
    </row>
    <row r="1531" spans="1:24">
      <c r="A1531">
        <f>HYPERLINK("https://www.philgeps.gov.ph/GEPSNONPILOT/Tender/SplashBidNoticeAbstractUI.aspx?menuIndex=3&amp;refID=7166607&amp;Result=3","7166607")</f>
        <v>0</v>
      </c>
      <c r="B1531" t="s">
        <v>729</v>
      </c>
      <c r="C1531" t="s">
        <v>5371</v>
      </c>
      <c r="D1531" t="s">
        <v>19043</v>
      </c>
      <c r="E1531" t="s">
        <v>20493</v>
      </c>
      <c r="F1531" t="s">
        <v>32831</v>
      </c>
      <c r="G1531" t="s">
        <v>32839</v>
      </c>
      <c r="H1531" t="s">
        <v>32849</v>
      </c>
      <c r="I1531" t="s">
        <v>4177</v>
      </c>
      <c r="J1531" t="s">
        <v>34075</v>
      </c>
      <c r="K1531" t="s">
        <v>42805</v>
      </c>
      <c r="M1531" t="s">
        <v>43751</v>
      </c>
      <c r="N1531" t="s">
        <v>47424</v>
      </c>
      <c r="O1531" t="s">
        <v>47425</v>
      </c>
      <c r="P1531">
        <v>0</v>
      </c>
      <c r="Q1531">
        <v>0</v>
      </c>
      <c r="R1531" t="s">
        <v>47429</v>
      </c>
      <c r="S1531" t="s">
        <v>47542</v>
      </c>
      <c r="T1531" t="s">
        <v>49169</v>
      </c>
      <c r="U1531" t="s">
        <v>51015</v>
      </c>
      <c r="V1531" t="s">
        <v>62793</v>
      </c>
      <c r="W1531" t="s">
        <v>43751</v>
      </c>
      <c r="X1531" t="s">
        <v>47426</v>
      </c>
    </row>
    <row r="1532" spans="1:24">
      <c r="A1532">
        <f>HYPERLINK("https://www.philgeps.gov.ph/GEPSNONPILOT/Tender/SplashBidNoticeAbstractUI.aspx?menuIndex=3&amp;refID=7166641&amp;Result=3","7166641")</f>
        <v>0</v>
      </c>
      <c r="B1532" t="s">
        <v>730</v>
      </c>
      <c r="C1532" t="s">
        <v>5372</v>
      </c>
      <c r="D1532" t="s">
        <v>19062</v>
      </c>
      <c r="E1532" t="s">
        <v>20494</v>
      </c>
      <c r="F1532" t="s">
        <v>32831</v>
      </c>
      <c r="G1532" t="s">
        <v>32839</v>
      </c>
      <c r="H1532" t="s">
        <v>32848</v>
      </c>
      <c r="I1532" t="s">
        <v>4776</v>
      </c>
      <c r="J1532" t="s">
        <v>32978</v>
      </c>
      <c r="K1532" t="s">
        <v>42727</v>
      </c>
      <c r="M1532" t="s">
        <v>43752</v>
      </c>
      <c r="N1532" t="s">
        <v>47424</v>
      </c>
      <c r="O1532" t="s">
        <v>47425</v>
      </c>
      <c r="P1532">
        <v>0</v>
      </c>
      <c r="Q1532">
        <v>0</v>
      </c>
      <c r="R1532" t="s">
        <v>47429</v>
      </c>
      <c r="S1532" t="s">
        <v>47542</v>
      </c>
      <c r="T1532" t="s">
        <v>49080</v>
      </c>
      <c r="U1532" t="s">
        <v>51016</v>
      </c>
      <c r="V1532" t="s">
        <v>62794</v>
      </c>
      <c r="W1532" t="s">
        <v>43752</v>
      </c>
      <c r="X1532" t="s">
        <v>47426</v>
      </c>
    </row>
    <row r="1533" spans="1:24">
      <c r="A1533">
        <f>HYPERLINK("https://www.philgeps.gov.ph/GEPSNONPILOT/Tender/SplashBidNoticeAbstractUI.aspx?menuIndex=3&amp;refID=7166649&amp;Result=3","7166649")</f>
        <v>0</v>
      </c>
      <c r="B1533" t="s">
        <v>33</v>
      </c>
      <c r="C1533" t="s">
        <v>5373</v>
      </c>
      <c r="D1533" t="s">
        <v>19024</v>
      </c>
      <c r="E1533" t="s">
        <v>20495</v>
      </c>
      <c r="F1533" t="s">
        <v>32831</v>
      </c>
      <c r="G1533" t="s">
        <v>32838</v>
      </c>
      <c r="H1533" t="s">
        <v>32848</v>
      </c>
      <c r="I1533" t="s">
        <v>5379</v>
      </c>
      <c r="J1533" t="s">
        <v>34076</v>
      </c>
      <c r="K1533" t="s">
        <v>42745</v>
      </c>
      <c r="M1533" t="s">
        <v>43030</v>
      </c>
      <c r="N1533" t="s">
        <v>47424</v>
      </c>
      <c r="O1533" t="s">
        <v>47425</v>
      </c>
      <c r="P1533">
        <v>0</v>
      </c>
      <c r="Q1533">
        <v>0</v>
      </c>
      <c r="R1533" t="s">
        <v>47429</v>
      </c>
      <c r="S1533" t="s">
        <v>47542</v>
      </c>
      <c r="T1533" t="s">
        <v>49129</v>
      </c>
      <c r="U1533" t="s">
        <v>51017</v>
      </c>
      <c r="W1533" t="s">
        <v>43030</v>
      </c>
      <c r="X1533" t="s">
        <v>47426</v>
      </c>
    </row>
    <row r="1534" spans="1:24">
      <c r="A1534">
        <f>HYPERLINK("https://www.philgeps.gov.ph/GEPSNONPILOT/Tender/SplashBidNoticeAbstractUI.aspx?menuIndex=3&amp;refID=7166605&amp;Result=3","7166605")</f>
        <v>0</v>
      </c>
      <c r="B1534" t="s">
        <v>731</v>
      </c>
      <c r="C1534" t="s">
        <v>5374</v>
      </c>
      <c r="D1534" t="s">
        <v>19086</v>
      </c>
      <c r="E1534" t="s">
        <v>20496</v>
      </c>
      <c r="F1534" t="s">
        <v>32831</v>
      </c>
      <c r="G1534" t="s">
        <v>32838</v>
      </c>
      <c r="H1534" t="s">
        <v>32850</v>
      </c>
      <c r="I1534" t="s">
        <v>4471</v>
      </c>
      <c r="J1534" t="s">
        <v>34077</v>
      </c>
      <c r="K1534" t="s">
        <v>42726</v>
      </c>
      <c r="M1534" t="s">
        <v>43753</v>
      </c>
      <c r="N1534" t="s">
        <v>47424</v>
      </c>
      <c r="O1534" t="s">
        <v>47425</v>
      </c>
      <c r="P1534">
        <v>0</v>
      </c>
      <c r="Q1534">
        <v>0</v>
      </c>
      <c r="R1534" t="s">
        <v>47429</v>
      </c>
      <c r="S1534" t="s">
        <v>47542</v>
      </c>
      <c r="T1534" t="s">
        <v>49073</v>
      </c>
      <c r="U1534" t="s">
        <v>51018</v>
      </c>
      <c r="W1534" t="s">
        <v>43753</v>
      </c>
      <c r="X1534" t="s">
        <v>47426</v>
      </c>
    </row>
    <row r="1535" spans="1:24">
      <c r="A1535">
        <f>HYPERLINK("https://www.philgeps.gov.ph/GEPSNONPILOT/Tender/SplashBidNoticeAbstractUI.aspx?menuIndex=3&amp;refID=7166647&amp;Result=3","7166647")</f>
        <v>0</v>
      </c>
      <c r="B1535" t="s">
        <v>711</v>
      </c>
      <c r="C1535" t="s">
        <v>5375</v>
      </c>
      <c r="D1535" t="s">
        <v>19060</v>
      </c>
      <c r="E1535" t="s">
        <v>20497</v>
      </c>
      <c r="F1535" t="s">
        <v>32831</v>
      </c>
      <c r="G1535" t="s">
        <v>32839</v>
      </c>
      <c r="H1535" t="s">
        <v>32848</v>
      </c>
      <c r="I1535" t="s">
        <v>7416</v>
      </c>
      <c r="J1535" t="s">
        <v>34078</v>
      </c>
      <c r="K1535" t="s">
        <v>42730</v>
      </c>
      <c r="M1535" t="s">
        <v>43731</v>
      </c>
      <c r="N1535" t="s">
        <v>47424</v>
      </c>
      <c r="O1535" t="s">
        <v>47425</v>
      </c>
      <c r="P1535">
        <v>0</v>
      </c>
      <c r="Q1535">
        <v>0</v>
      </c>
      <c r="R1535" t="s">
        <v>47429</v>
      </c>
      <c r="S1535" t="s">
        <v>47542</v>
      </c>
      <c r="T1535" t="s">
        <v>49063</v>
      </c>
      <c r="U1535" t="s">
        <v>51019</v>
      </c>
      <c r="W1535" t="s">
        <v>43731</v>
      </c>
      <c r="X1535" t="s">
        <v>47426</v>
      </c>
    </row>
    <row r="1536" spans="1:24">
      <c r="A1536">
        <f>HYPERLINK("https://www.philgeps.gov.ph/GEPSNONPILOT/Tender/SplashBidNoticeAbstractUI.aspx?menuIndex=3&amp;refID=7166646&amp;Result=3","7166646")</f>
        <v>0</v>
      </c>
      <c r="B1536" t="s">
        <v>648</v>
      </c>
      <c r="C1536" t="s">
        <v>5376</v>
      </c>
      <c r="D1536" t="s">
        <v>19044</v>
      </c>
      <c r="E1536" t="s">
        <v>20498</v>
      </c>
      <c r="F1536" t="s">
        <v>32831</v>
      </c>
      <c r="G1536" t="s">
        <v>32838</v>
      </c>
      <c r="H1536" t="s">
        <v>32848</v>
      </c>
      <c r="I1536" t="s">
        <v>32855</v>
      </c>
      <c r="J1536" t="s">
        <v>34079</v>
      </c>
      <c r="K1536" t="s">
        <v>42730</v>
      </c>
      <c r="M1536" t="s">
        <v>43665</v>
      </c>
      <c r="N1536" t="s">
        <v>47424</v>
      </c>
      <c r="O1536" t="s">
        <v>47425</v>
      </c>
      <c r="P1536">
        <v>0</v>
      </c>
      <c r="Q1536">
        <v>0</v>
      </c>
      <c r="R1536" t="s">
        <v>47429</v>
      </c>
      <c r="S1536" t="s">
        <v>47542</v>
      </c>
      <c r="T1536" t="s">
        <v>49096</v>
      </c>
      <c r="U1536" t="s">
        <v>51020</v>
      </c>
      <c r="W1536" t="s">
        <v>43665</v>
      </c>
      <c r="X1536" t="s">
        <v>47426</v>
      </c>
    </row>
    <row r="1537" spans="1:24">
      <c r="A1537">
        <f>HYPERLINK("https://www.philgeps.gov.ph/GEPSNONPILOT/Tender/SplashBidNoticeAbstractUI.aspx?menuIndex=3&amp;refID=7166644&amp;Result=3","7166644")</f>
        <v>0</v>
      </c>
      <c r="B1537" t="s">
        <v>263</v>
      </c>
      <c r="C1537" t="s">
        <v>5377</v>
      </c>
      <c r="D1537" t="s">
        <v>19083</v>
      </c>
      <c r="E1537" t="s">
        <v>20499</v>
      </c>
      <c r="F1537" t="s">
        <v>32831</v>
      </c>
      <c r="G1537" t="s">
        <v>32838</v>
      </c>
      <c r="H1537" t="s">
        <v>32848</v>
      </c>
      <c r="I1537" t="s">
        <v>32870</v>
      </c>
      <c r="J1537" t="s">
        <v>34080</v>
      </c>
      <c r="K1537" t="s">
        <v>42727</v>
      </c>
      <c r="M1537" t="s">
        <v>43262</v>
      </c>
      <c r="N1537" t="s">
        <v>47424</v>
      </c>
      <c r="O1537" t="s">
        <v>47425</v>
      </c>
      <c r="P1537">
        <v>0</v>
      </c>
      <c r="Q1537">
        <v>0</v>
      </c>
      <c r="R1537" t="s">
        <v>47429</v>
      </c>
      <c r="S1537" t="s">
        <v>47542</v>
      </c>
      <c r="T1537" t="s">
        <v>49170</v>
      </c>
      <c r="U1537" t="s">
        <v>51021</v>
      </c>
      <c r="W1537" t="s">
        <v>43262</v>
      </c>
      <c r="X1537" t="s">
        <v>47426</v>
      </c>
    </row>
    <row r="1538" spans="1:24">
      <c r="A1538">
        <f>HYPERLINK("https://www.philgeps.gov.ph/GEPSNONPILOT/Tender/SplashBidNoticeAbstractUI.aspx?menuIndex=3&amp;refID=7166643&amp;Result=3","7166643")</f>
        <v>0</v>
      </c>
      <c r="B1538" t="s">
        <v>732</v>
      </c>
      <c r="C1538" t="s">
        <v>5378</v>
      </c>
      <c r="D1538" t="s">
        <v>19035</v>
      </c>
      <c r="E1538" t="s">
        <v>19311</v>
      </c>
      <c r="F1538" t="s">
        <v>32831</v>
      </c>
      <c r="G1538" t="s">
        <v>32839</v>
      </c>
      <c r="H1538" t="s">
        <v>32849</v>
      </c>
      <c r="I1538" t="s">
        <v>4177</v>
      </c>
      <c r="J1538" t="s">
        <v>33087</v>
      </c>
      <c r="K1538" t="s">
        <v>42727</v>
      </c>
      <c r="M1538" t="s">
        <v>43754</v>
      </c>
      <c r="N1538" t="s">
        <v>47424</v>
      </c>
      <c r="O1538" t="s">
        <v>47425</v>
      </c>
      <c r="P1538">
        <v>0</v>
      </c>
      <c r="Q1538">
        <v>0</v>
      </c>
      <c r="R1538" t="s">
        <v>47429</v>
      </c>
      <c r="S1538" t="s">
        <v>47542</v>
      </c>
      <c r="T1538" t="s">
        <v>49151</v>
      </c>
      <c r="U1538" t="s">
        <v>51022</v>
      </c>
      <c r="W1538" t="s">
        <v>43754</v>
      </c>
      <c r="X1538" t="s">
        <v>47426</v>
      </c>
    </row>
    <row r="1539" spans="1:24">
      <c r="A1539">
        <f>HYPERLINK("https://www.philgeps.gov.ph/GEPSNONPILOT/Tender/SplashBidNoticeAbstractUI.aspx?menuIndex=3&amp;refID=7166640&amp;Result=3","7166640")</f>
        <v>0</v>
      </c>
      <c r="B1539" t="s">
        <v>273</v>
      </c>
      <c r="C1539" t="s">
        <v>5379</v>
      </c>
      <c r="D1539" t="s">
        <v>19060</v>
      </c>
      <c r="E1539" t="s">
        <v>20500</v>
      </c>
      <c r="F1539" t="s">
        <v>32831</v>
      </c>
      <c r="G1539" t="s">
        <v>32838</v>
      </c>
      <c r="H1539" t="s">
        <v>32848</v>
      </c>
      <c r="I1539" t="s">
        <v>5379</v>
      </c>
      <c r="J1539" t="s">
        <v>33660</v>
      </c>
      <c r="K1539" t="s">
        <v>42806</v>
      </c>
      <c r="M1539" t="s">
        <v>43272</v>
      </c>
      <c r="N1539" t="s">
        <v>47424</v>
      </c>
      <c r="O1539" t="s">
        <v>47425</v>
      </c>
      <c r="P1539">
        <v>0</v>
      </c>
      <c r="Q1539">
        <v>0</v>
      </c>
      <c r="R1539" t="s">
        <v>47429</v>
      </c>
      <c r="S1539" t="s">
        <v>47542</v>
      </c>
      <c r="T1539" t="s">
        <v>49104</v>
      </c>
      <c r="U1539" t="s">
        <v>51023</v>
      </c>
      <c r="V1539" t="s">
        <v>62674</v>
      </c>
      <c r="W1539" t="s">
        <v>43272</v>
      </c>
      <c r="X1539" t="s">
        <v>47426</v>
      </c>
    </row>
    <row r="1540" spans="1:24">
      <c r="A1540">
        <f>HYPERLINK("https://www.philgeps.gov.ph/GEPSNONPILOT/Tender/SplashBidNoticeAbstractUI.aspx?menuIndex=3&amp;refID=7166637&amp;Result=3","7166637")</f>
        <v>0</v>
      </c>
      <c r="B1540" t="s">
        <v>33</v>
      </c>
      <c r="C1540" t="s">
        <v>5380</v>
      </c>
      <c r="D1540" t="s">
        <v>19024</v>
      </c>
      <c r="E1540" t="s">
        <v>20501</v>
      </c>
      <c r="F1540" t="s">
        <v>32831</v>
      </c>
      <c r="G1540" t="s">
        <v>32839</v>
      </c>
      <c r="H1540" t="s">
        <v>32848</v>
      </c>
      <c r="I1540" t="s">
        <v>32929</v>
      </c>
      <c r="J1540" t="s">
        <v>33041</v>
      </c>
      <c r="K1540" t="s">
        <v>42730</v>
      </c>
      <c r="M1540" t="s">
        <v>43030</v>
      </c>
      <c r="N1540" t="s">
        <v>47424</v>
      </c>
      <c r="O1540" t="s">
        <v>47425</v>
      </c>
      <c r="P1540">
        <v>0</v>
      </c>
      <c r="Q1540">
        <v>0</v>
      </c>
      <c r="R1540" t="s">
        <v>47429</v>
      </c>
      <c r="S1540" t="s">
        <v>47542</v>
      </c>
      <c r="T1540" t="s">
        <v>49264</v>
      </c>
      <c r="U1540" t="s">
        <v>51024</v>
      </c>
      <c r="W1540" t="s">
        <v>43030</v>
      </c>
      <c r="X1540" t="s">
        <v>47426</v>
      </c>
    </row>
    <row r="1541" spans="1:24">
      <c r="A1541">
        <f>HYPERLINK("https://www.philgeps.gov.ph/GEPSNONPILOT/Tender/SplashBidNoticeAbstractUI.aspx?menuIndex=3&amp;refID=7166634&amp;Result=3","7166634")</f>
        <v>0</v>
      </c>
      <c r="B1541" t="s">
        <v>733</v>
      </c>
      <c r="C1541" t="s">
        <v>5381</v>
      </c>
      <c r="D1541" t="s">
        <v>19034</v>
      </c>
      <c r="E1541" t="s">
        <v>20502</v>
      </c>
      <c r="F1541" t="s">
        <v>32831</v>
      </c>
      <c r="G1541" t="s">
        <v>32838</v>
      </c>
      <c r="H1541" t="s">
        <v>32848</v>
      </c>
      <c r="I1541" t="s">
        <v>32853</v>
      </c>
      <c r="J1541" t="s">
        <v>33268</v>
      </c>
      <c r="K1541" t="s">
        <v>42758</v>
      </c>
      <c r="M1541" t="s">
        <v>43755</v>
      </c>
      <c r="N1541" t="s">
        <v>47424</v>
      </c>
      <c r="O1541" t="s">
        <v>47425</v>
      </c>
      <c r="P1541">
        <v>0</v>
      </c>
      <c r="Q1541">
        <v>0</v>
      </c>
      <c r="R1541" t="s">
        <v>47429</v>
      </c>
      <c r="S1541" t="s">
        <v>47542</v>
      </c>
      <c r="T1541" t="s">
        <v>49129</v>
      </c>
      <c r="U1541" t="s">
        <v>51025</v>
      </c>
      <c r="W1541" t="s">
        <v>43755</v>
      </c>
      <c r="X1541" t="s">
        <v>47426</v>
      </c>
    </row>
    <row r="1542" spans="1:24">
      <c r="A1542">
        <f>HYPERLINK("https://www.philgeps.gov.ph/GEPSNONPILOT/Tender/SplashBidNoticeAbstractUI.aspx?menuIndex=3&amp;refID=7166648&amp;Result=3","7166648")</f>
        <v>0</v>
      </c>
      <c r="B1542" t="s">
        <v>734</v>
      </c>
      <c r="C1542" t="s">
        <v>5382</v>
      </c>
      <c r="D1542" t="s">
        <v>19034</v>
      </c>
      <c r="E1542" t="s">
        <v>20503</v>
      </c>
      <c r="F1542" t="s">
        <v>32831</v>
      </c>
      <c r="G1542" t="s">
        <v>32839</v>
      </c>
      <c r="H1542" t="s">
        <v>32848</v>
      </c>
      <c r="I1542" t="s">
        <v>4303</v>
      </c>
      <c r="J1542" t="s">
        <v>34081</v>
      </c>
      <c r="K1542" t="s">
        <v>42731</v>
      </c>
      <c r="M1542" t="s">
        <v>43756</v>
      </c>
      <c r="N1542" t="s">
        <v>47424</v>
      </c>
      <c r="O1542" t="s">
        <v>47425</v>
      </c>
      <c r="P1542">
        <v>0</v>
      </c>
      <c r="Q1542">
        <v>0</v>
      </c>
      <c r="R1542" t="s">
        <v>47429</v>
      </c>
      <c r="S1542" t="s">
        <v>47542</v>
      </c>
      <c r="T1542" t="s">
        <v>49265</v>
      </c>
      <c r="U1542" t="s">
        <v>51026</v>
      </c>
      <c r="W1542" t="s">
        <v>44904</v>
      </c>
      <c r="X1542" t="s">
        <v>47426</v>
      </c>
    </row>
    <row r="1543" spans="1:24">
      <c r="A1543">
        <f>HYPERLINK("https://www.philgeps.gov.ph/GEPSNONPILOT/Tender/SplashBidNoticeAbstractUI.aspx?menuIndex=3&amp;refID=7166650&amp;Result=3","7166650")</f>
        <v>0</v>
      </c>
      <c r="B1543" t="s">
        <v>735</v>
      </c>
      <c r="C1543" t="s">
        <v>5383</v>
      </c>
      <c r="D1543" t="s">
        <v>19017</v>
      </c>
      <c r="E1543" t="s">
        <v>20504</v>
      </c>
      <c r="F1543" t="s">
        <v>32831</v>
      </c>
      <c r="G1543" t="s">
        <v>32840</v>
      </c>
      <c r="H1543" t="s">
        <v>32848</v>
      </c>
      <c r="I1543" t="s">
        <v>32918</v>
      </c>
      <c r="J1543" t="s">
        <v>33072</v>
      </c>
      <c r="K1543" t="s">
        <v>42727</v>
      </c>
      <c r="M1543" t="s">
        <v>43757</v>
      </c>
      <c r="N1543" t="s">
        <v>47424</v>
      </c>
      <c r="O1543" t="s">
        <v>47425</v>
      </c>
      <c r="P1543">
        <v>0</v>
      </c>
      <c r="Q1543">
        <v>0</v>
      </c>
      <c r="R1543" t="s">
        <v>47429</v>
      </c>
      <c r="S1543" t="s">
        <v>47542</v>
      </c>
      <c r="T1543" t="s">
        <v>49253</v>
      </c>
      <c r="U1543" t="s">
        <v>51027</v>
      </c>
      <c r="W1543" t="s">
        <v>43757</v>
      </c>
      <c r="X1543" t="s">
        <v>47426</v>
      </c>
    </row>
    <row r="1544" spans="1:24">
      <c r="A1544">
        <f>HYPERLINK("https://www.philgeps.gov.ph/GEPSNONPILOT/Tender/SplashBidNoticeAbstractUI.aspx?menuIndex=3&amp;refID=7166633&amp;Result=3","7166633")</f>
        <v>0</v>
      </c>
      <c r="B1544" t="s">
        <v>257</v>
      </c>
      <c r="C1544" t="s">
        <v>5384</v>
      </c>
      <c r="D1544" t="s">
        <v>19058</v>
      </c>
      <c r="E1544" t="s">
        <v>20505</v>
      </c>
      <c r="F1544" t="s">
        <v>32831</v>
      </c>
      <c r="G1544" t="s">
        <v>32839</v>
      </c>
      <c r="H1544" t="s">
        <v>32848</v>
      </c>
      <c r="I1544" t="s">
        <v>9577</v>
      </c>
      <c r="J1544" t="s">
        <v>34082</v>
      </c>
      <c r="K1544" t="s">
        <v>42732</v>
      </c>
      <c r="M1544" t="s">
        <v>43256</v>
      </c>
      <c r="N1544" t="s">
        <v>47424</v>
      </c>
      <c r="O1544" t="s">
        <v>47425</v>
      </c>
      <c r="P1544">
        <v>0</v>
      </c>
      <c r="Q1544">
        <v>0</v>
      </c>
      <c r="R1544" t="s">
        <v>47429</v>
      </c>
      <c r="S1544" t="s">
        <v>47542</v>
      </c>
      <c r="T1544" t="s">
        <v>49266</v>
      </c>
      <c r="U1544" t="s">
        <v>51028</v>
      </c>
      <c r="W1544" t="s">
        <v>43256</v>
      </c>
      <c r="X1544" t="s">
        <v>47426</v>
      </c>
    </row>
    <row r="1545" spans="1:24">
      <c r="A1545">
        <f>HYPERLINK("https://www.philgeps.gov.ph/GEPSNONPILOT/Tender/SplashBidNoticeAbstractUI.aspx?menuIndex=3&amp;refID=7166559&amp;Result=3","7166559")</f>
        <v>0</v>
      </c>
      <c r="B1545" t="s">
        <v>736</v>
      </c>
      <c r="C1545" t="s">
        <v>5385</v>
      </c>
      <c r="D1545" t="s">
        <v>19062</v>
      </c>
      <c r="E1545" t="s">
        <v>20506</v>
      </c>
      <c r="F1545" t="s">
        <v>32831</v>
      </c>
      <c r="G1545" t="s">
        <v>32838</v>
      </c>
      <c r="H1545" t="s">
        <v>32848</v>
      </c>
      <c r="I1545" t="s">
        <v>32909</v>
      </c>
      <c r="J1545" t="s">
        <v>34083</v>
      </c>
      <c r="K1545" t="s">
        <v>42731</v>
      </c>
      <c r="M1545" t="s">
        <v>43758</v>
      </c>
      <c r="N1545" t="s">
        <v>47424</v>
      </c>
      <c r="O1545" t="s">
        <v>47425</v>
      </c>
      <c r="P1545">
        <v>0</v>
      </c>
      <c r="Q1545">
        <v>0</v>
      </c>
      <c r="R1545" t="s">
        <v>47429</v>
      </c>
      <c r="S1545" t="s">
        <v>47542</v>
      </c>
      <c r="T1545" t="s">
        <v>49245</v>
      </c>
      <c r="U1545" t="s">
        <v>51029</v>
      </c>
      <c r="W1545" t="s">
        <v>43758</v>
      </c>
      <c r="X1545" t="s">
        <v>47426</v>
      </c>
    </row>
    <row r="1546" spans="1:24">
      <c r="A1546">
        <f>HYPERLINK("https://www.philgeps.gov.ph/GEPSNONPILOT/Tender/SplashBidNoticeAbstractUI.aspx?menuIndex=3&amp;refID=7166632&amp;Result=3","7166632")</f>
        <v>0</v>
      </c>
      <c r="B1546" t="s">
        <v>27</v>
      </c>
      <c r="C1546" t="s">
        <v>5386</v>
      </c>
      <c r="D1546" t="s">
        <v>19020</v>
      </c>
      <c r="E1546" t="s">
        <v>20507</v>
      </c>
      <c r="F1546" t="s">
        <v>32831</v>
      </c>
      <c r="G1546" t="s">
        <v>32838</v>
      </c>
      <c r="H1546" t="s">
        <v>32848</v>
      </c>
      <c r="I1546" t="s">
        <v>32857</v>
      </c>
      <c r="J1546" t="s">
        <v>34084</v>
      </c>
      <c r="K1546" t="s">
        <v>42726</v>
      </c>
      <c r="M1546" t="s">
        <v>43728</v>
      </c>
      <c r="N1546" t="s">
        <v>47424</v>
      </c>
      <c r="O1546" t="s">
        <v>47425</v>
      </c>
      <c r="P1546">
        <v>0</v>
      </c>
      <c r="Q1546">
        <v>0</v>
      </c>
      <c r="R1546" t="s">
        <v>47429</v>
      </c>
      <c r="S1546" t="s">
        <v>47542</v>
      </c>
      <c r="T1546" t="s">
        <v>49123</v>
      </c>
      <c r="U1546" t="s">
        <v>50989</v>
      </c>
      <c r="W1546" t="s">
        <v>43728</v>
      </c>
      <c r="X1546" t="s">
        <v>47426</v>
      </c>
    </row>
    <row r="1547" spans="1:24">
      <c r="A1547">
        <f>HYPERLINK("https://www.philgeps.gov.ph/GEPSNONPILOT/Tender/SplashBidNoticeAbstractUI.aspx?menuIndex=3&amp;refID=7166669&amp;Result=3","7166669")</f>
        <v>0</v>
      </c>
      <c r="B1547" t="s">
        <v>242</v>
      </c>
      <c r="C1547" t="s">
        <v>5387</v>
      </c>
      <c r="D1547" t="s">
        <v>19017</v>
      </c>
      <c r="E1547" t="s">
        <v>20508</v>
      </c>
      <c r="F1547" t="s">
        <v>32831</v>
      </c>
      <c r="G1547" t="s">
        <v>32838</v>
      </c>
      <c r="H1547" t="s">
        <v>32848</v>
      </c>
      <c r="I1547" t="s">
        <v>32864</v>
      </c>
      <c r="J1547" t="s">
        <v>33162</v>
      </c>
      <c r="K1547" t="s">
        <v>42726</v>
      </c>
      <c r="M1547" t="s">
        <v>43759</v>
      </c>
      <c r="N1547" t="s">
        <v>47424</v>
      </c>
      <c r="O1547" t="s">
        <v>47425</v>
      </c>
      <c r="P1547">
        <v>0</v>
      </c>
      <c r="Q1547">
        <v>1</v>
      </c>
      <c r="R1547" t="s">
        <v>47429</v>
      </c>
      <c r="S1547" t="s">
        <v>47542</v>
      </c>
      <c r="T1547" t="s">
        <v>49198</v>
      </c>
      <c r="U1547" t="s">
        <v>51030</v>
      </c>
      <c r="V1547" t="s">
        <v>62668</v>
      </c>
      <c r="W1547" t="s">
        <v>43759</v>
      </c>
      <c r="X1547" t="s">
        <v>47426</v>
      </c>
    </row>
    <row r="1548" spans="1:24">
      <c r="A1548">
        <f>HYPERLINK("https://www.philgeps.gov.ph/GEPSNONPILOT/Tender/SplashBidNoticeAbstractUI.aspx?menuIndex=3&amp;refID=7166668&amp;Result=3","7166668")</f>
        <v>0</v>
      </c>
      <c r="B1548" t="s">
        <v>55</v>
      </c>
      <c r="C1548" t="s">
        <v>5388</v>
      </c>
      <c r="D1548" t="s">
        <v>19039</v>
      </c>
      <c r="E1548" t="s">
        <v>20509</v>
      </c>
      <c r="F1548" t="s">
        <v>32831</v>
      </c>
      <c r="G1548" t="s">
        <v>32839</v>
      </c>
      <c r="H1548" t="s">
        <v>32849</v>
      </c>
      <c r="I1548" t="s">
        <v>4177</v>
      </c>
      <c r="J1548" t="s">
        <v>34085</v>
      </c>
      <c r="K1548" t="s">
        <v>42745</v>
      </c>
      <c r="M1548" t="s">
        <v>43052</v>
      </c>
      <c r="N1548" t="s">
        <v>47424</v>
      </c>
      <c r="O1548" t="s">
        <v>47425</v>
      </c>
      <c r="P1548">
        <v>0</v>
      </c>
      <c r="Q1548">
        <v>0</v>
      </c>
      <c r="R1548" t="s">
        <v>47429</v>
      </c>
      <c r="S1548" t="s">
        <v>47542</v>
      </c>
      <c r="T1548" t="s">
        <v>49090</v>
      </c>
      <c r="U1548" t="s">
        <v>51031</v>
      </c>
      <c r="V1548" t="s">
        <v>62631</v>
      </c>
      <c r="W1548" t="s">
        <v>43052</v>
      </c>
      <c r="X1548" t="s">
        <v>47426</v>
      </c>
    </row>
    <row r="1549" spans="1:24">
      <c r="A1549">
        <f>HYPERLINK("https://www.philgeps.gov.ph/GEPSNONPILOT/Tender/SplashBidNoticeAbstractUI.aspx?menuIndex=3&amp;refID=7166667&amp;Result=3","7166667")</f>
        <v>0</v>
      </c>
      <c r="B1549" t="s">
        <v>209</v>
      </c>
      <c r="C1549" t="s">
        <v>5389</v>
      </c>
      <c r="D1549" t="s">
        <v>19061</v>
      </c>
      <c r="E1549" t="s">
        <v>20510</v>
      </c>
      <c r="F1549" t="s">
        <v>32831</v>
      </c>
      <c r="G1549" t="s">
        <v>32838</v>
      </c>
      <c r="H1549" t="s">
        <v>14069</v>
      </c>
      <c r="I1549" t="s">
        <v>32908</v>
      </c>
      <c r="J1549" t="s">
        <v>32983</v>
      </c>
      <c r="K1549" t="s">
        <v>42732</v>
      </c>
      <c r="M1549" t="s">
        <v>43207</v>
      </c>
      <c r="N1549" t="s">
        <v>47424</v>
      </c>
      <c r="O1549" t="s">
        <v>47425</v>
      </c>
      <c r="P1549">
        <v>0</v>
      </c>
      <c r="Q1549">
        <v>0</v>
      </c>
      <c r="R1549" t="s">
        <v>47429</v>
      </c>
      <c r="S1549" t="s">
        <v>47542</v>
      </c>
      <c r="T1549" t="s">
        <v>49151</v>
      </c>
      <c r="U1549" t="s">
        <v>51032</v>
      </c>
      <c r="W1549" t="s">
        <v>43207</v>
      </c>
      <c r="X1549" t="s">
        <v>47426</v>
      </c>
    </row>
    <row r="1550" spans="1:24">
      <c r="A1550">
        <f>HYPERLINK("https://www.philgeps.gov.ph/GEPSNONPILOT/Tender/SplashBidNoticeAbstractUI.aspx?menuIndex=3&amp;refID=7166665&amp;Result=3","7166665")</f>
        <v>0</v>
      </c>
      <c r="B1550" t="s">
        <v>737</v>
      </c>
      <c r="C1550" t="s">
        <v>5390</v>
      </c>
      <c r="D1550" t="s">
        <v>19017</v>
      </c>
      <c r="E1550" t="s">
        <v>20511</v>
      </c>
      <c r="F1550" t="s">
        <v>32833</v>
      </c>
      <c r="G1550" t="s">
        <v>32839</v>
      </c>
      <c r="H1550" t="s">
        <v>32848</v>
      </c>
      <c r="I1550" t="s">
        <v>32857</v>
      </c>
      <c r="J1550" t="s">
        <v>34086</v>
      </c>
      <c r="K1550" t="s">
        <v>42730</v>
      </c>
      <c r="M1550" t="s">
        <v>43760</v>
      </c>
      <c r="N1550" t="s">
        <v>47424</v>
      </c>
      <c r="O1550" t="s">
        <v>47425</v>
      </c>
      <c r="P1550">
        <v>0</v>
      </c>
      <c r="Q1550">
        <v>0</v>
      </c>
      <c r="R1550" t="s">
        <v>47429</v>
      </c>
      <c r="S1550" t="s">
        <v>47542</v>
      </c>
      <c r="T1550" t="s">
        <v>49267</v>
      </c>
      <c r="U1550" t="s">
        <v>51033</v>
      </c>
      <c r="V1550" t="s">
        <v>62795</v>
      </c>
      <c r="W1550" t="s">
        <v>43760</v>
      </c>
      <c r="X1550" t="s">
        <v>47426</v>
      </c>
    </row>
    <row r="1551" spans="1:24">
      <c r="A1551">
        <f>HYPERLINK("https://www.philgeps.gov.ph/GEPSNONPILOT/Tender/SplashBidNoticeAbstractUI.aspx?menuIndex=3&amp;refID=7166664&amp;Result=3","7166664")</f>
        <v>0</v>
      </c>
      <c r="B1551" t="s">
        <v>738</v>
      </c>
      <c r="C1551" t="s">
        <v>5391</v>
      </c>
      <c r="D1551" t="s">
        <v>19017</v>
      </c>
      <c r="E1551" t="s">
        <v>19979</v>
      </c>
      <c r="F1551" t="s">
        <v>32831</v>
      </c>
      <c r="G1551" t="s">
        <v>32838</v>
      </c>
      <c r="H1551" t="s">
        <v>32848</v>
      </c>
      <c r="I1551" t="s">
        <v>9577</v>
      </c>
      <c r="J1551" t="s">
        <v>34087</v>
      </c>
      <c r="K1551" t="s">
        <v>42726</v>
      </c>
      <c r="M1551" t="s">
        <v>43761</v>
      </c>
      <c r="N1551" t="s">
        <v>47424</v>
      </c>
      <c r="O1551" t="s">
        <v>47425</v>
      </c>
      <c r="P1551">
        <v>0</v>
      </c>
      <c r="Q1551">
        <v>0</v>
      </c>
      <c r="R1551" t="s">
        <v>47429</v>
      </c>
      <c r="S1551" t="s">
        <v>47542</v>
      </c>
      <c r="T1551" t="s">
        <v>49119</v>
      </c>
      <c r="U1551" t="s">
        <v>51034</v>
      </c>
      <c r="W1551" t="s">
        <v>43761</v>
      </c>
      <c r="X1551" t="s">
        <v>47426</v>
      </c>
    </row>
    <row r="1552" spans="1:24">
      <c r="A1552">
        <f>HYPERLINK("https://www.philgeps.gov.ph/GEPSNONPILOT/Tender/SplashBidNoticeAbstractUI.aspx?menuIndex=3&amp;refID=7166663&amp;Result=3","7166663")</f>
        <v>0</v>
      </c>
      <c r="B1552" t="s">
        <v>739</v>
      </c>
      <c r="C1552" t="s">
        <v>5392</v>
      </c>
      <c r="D1552" t="s">
        <v>19034</v>
      </c>
      <c r="E1552" t="s">
        <v>20512</v>
      </c>
      <c r="F1552" t="s">
        <v>32831</v>
      </c>
      <c r="G1552" t="s">
        <v>32838</v>
      </c>
      <c r="H1552" t="s">
        <v>32848</v>
      </c>
      <c r="I1552" t="s">
        <v>4340</v>
      </c>
      <c r="J1552" t="s">
        <v>34088</v>
      </c>
      <c r="K1552" t="s">
        <v>42731</v>
      </c>
      <c r="L1552" t="s">
        <v>739</v>
      </c>
      <c r="M1552" t="s">
        <v>43762</v>
      </c>
      <c r="N1552" t="s">
        <v>47424</v>
      </c>
      <c r="O1552" t="s">
        <v>47425</v>
      </c>
      <c r="P1552">
        <v>0</v>
      </c>
      <c r="Q1552">
        <v>0</v>
      </c>
      <c r="R1552" t="s">
        <v>47429</v>
      </c>
      <c r="S1552" t="s">
        <v>47542</v>
      </c>
      <c r="T1552" t="s">
        <v>49123</v>
      </c>
      <c r="U1552" t="s">
        <v>51035</v>
      </c>
      <c r="W1552" t="s">
        <v>43762</v>
      </c>
      <c r="X1552" t="s">
        <v>47426</v>
      </c>
    </row>
    <row r="1553" spans="1:24">
      <c r="A1553">
        <f>HYPERLINK("https://www.philgeps.gov.ph/GEPSNONPILOT/Tender/SplashBidNoticeAbstractUI.aspx?menuIndex=3&amp;refID=7166606&amp;Result=3","7166606")</f>
        <v>0</v>
      </c>
      <c r="B1553" t="s">
        <v>740</v>
      </c>
      <c r="C1553" t="s">
        <v>5393</v>
      </c>
      <c r="D1553" t="s">
        <v>19064</v>
      </c>
      <c r="E1553" t="s">
        <v>20513</v>
      </c>
      <c r="F1553" t="s">
        <v>32831</v>
      </c>
      <c r="G1553" t="s">
        <v>32838</v>
      </c>
      <c r="H1553" t="s">
        <v>32848</v>
      </c>
      <c r="I1553" t="s">
        <v>4438</v>
      </c>
      <c r="J1553" t="s">
        <v>33025</v>
      </c>
      <c r="K1553" t="s">
        <v>42745</v>
      </c>
      <c r="M1553" t="s">
        <v>43763</v>
      </c>
      <c r="N1553" t="s">
        <v>47424</v>
      </c>
      <c r="O1553" t="s">
        <v>47425</v>
      </c>
      <c r="P1553">
        <v>0</v>
      </c>
      <c r="Q1553">
        <v>0</v>
      </c>
      <c r="R1553" t="s">
        <v>47429</v>
      </c>
      <c r="S1553" t="s">
        <v>47542</v>
      </c>
      <c r="T1553" t="s">
        <v>49073</v>
      </c>
      <c r="U1553" t="s">
        <v>51036</v>
      </c>
      <c r="W1553" t="s">
        <v>43763</v>
      </c>
      <c r="X1553" t="s">
        <v>47426</v>
      </c>
    </row>
    <row r="1554" spans="1:24">
      <c r="A1554">
        <f>HYPERLINK("https://www.philgeps.gov.ph/GEPSNONPILOT/Tender/SplashBidNoticeAbstractUI.aspx?menuIndex=3&amp;refID=7166661&amp;Result=3","7166661")</f>
        <v>0</v>
      </c>
      <c r="B1554" t="s">
        <v>741</v>
      </c>
      <c r="C1554" t="s">
        <v>5394</v>
      </c>
      <c r="D1554" t="s">
        <v>19023</v>
      </c>
      <c r="E1554" t="s">
        <v>20514</v>
      </c>
      <c r="F1554" t="s">
        <v>32831</v>
      </c>
      <c r="G1554" t="s">
        <v>32840</v>
      </c>
      <c r="H1554" t="s">
        <v>32848</v>
      </c>
      <c r="I1554" t="s">
        <v>32870</v>
      </c>
      <c r="J1554" t="s">
        <v>34089</v>
      </c>
      <c r="K1554" t="s">
        <v>42732</v>
      </c>
      <c r="M1554" t="s">
        <v>43764</v>
      </c>
      <c r="N1554" t="s">
        <v>47424</v>
      </c>
      <c r="O1554" t="s">
        <v>47425</v>
      </c>
      <c r="P1554">
        <v>0</v>
      </c>
      <c r="Q1554">
        <v>0</v>
      </c>
      <c r="R1554" t="s">
        <v>47429</v>
      </c>
      <c r="S1554" t="s">
        <v>47542</v>
      </c>
      <c r="T1554" t="s">
        <v>49127</v>
      </c>
      <c r="U1554" t="s">
        <v>51037</v>
      </c>
      <c r="W1554" t="s">
        <v>43764</v>
      </c>
      <c r="X1554" t="s">
        <v>47426</v>
      </c>
    </row>
    <row r="1555" spans="1:24">
      <c r="A1555">
        <f>HYPERLINK("https://www.philgeps.gov.ph/GEPSNONPILOT/Tender/SplashBidNoticeAbstractUI.aspx?menuIndex=3&amp;refID=7166670&amp;Result=3","7166670")</f>
        <v>0</v>
      </c>
      <c r="B1555" t="s">
        <v>742</v>
      </c>
      <c r="C1555" t="s">
        <v>5395</v>
      </c>
      <c r="E1555" t="s">
        <v>20515</v>
      </c>
      <c r="F1555" t="s">
        <v>32831</v>
      </c>
      <c r="G1555" t="s">
        <v>32842</v>
      </c>
      <c r="H1555" t="s">
        <v>32848</v>
      </c>
      <c r="I1555" t="s">
        <v>32858</v>
      </c>
      <c r="J1555" t="s">
        <v>33692</v>
      </c>
      <c r="K1555" t="s">
        <v>42732</v>
      </c>
      <c r="M1555" t="s">
        <v>43765</v>
      </c>
      <c r="N1555" t="s">
        <v>47424</v>
      </c>
      <c r="O1555" t="s">
        <v>47425</v>
      </c>
      <c r="P1555">
        <v>0</v>
      </c>
      <c r="Q1555">
        <v>0</v>
      </c>
      <c r="R1555" t="s">
        <v>47429</v>
      </c>
      <c r="S1555" t="s">
        <v>47542</v>
      </c>
      <c r="T1555" t="s">
        <v>49119</v>
      </c>
      <c r="U1555" t="s">
        <v>51038</v>
      </c>
      <c r="W1555" t="s">
        <v>43765</v>
      </c>
      <c r="X1555" t="s">
        <v>47426</v>
      </c>
    </row>
    <row r="1556" spans="1:24">
      <c r="A1556">
        <f>HYPERLINK("https://www.philgeps.gov.ph/GEPSNONPILOT/Tender/SplashBidNoticeAbstractUI.aspx?menuIndex=3&amp;refID=7166660&amp;Result=3","7166660")</f>
        <v>0</v>
      </c>
      <c r="B1556" t="s">
        <v>743</v>
      </c>
      <c r="C1556" t="s">
        <v>5396</v>
      </c>
      <c r="D1556" t="s">
        <v>19054</v>
      </c>
      <c r="E1556" t="s">
        <v>20516</v>
      </c>
      <c r="F1556" t="s">
        <v>32831</v>
      </c>
      <c r="G1556" t="s">
        <v>32839</v>
      </c>
      <c r="H1556" t="s">
        <v>32849</v>
      </c>
      <c r="I1556" t="s">
        <v>4177</v>
      </c>
      <c r="J1556" t="s">
        <v>32978</v>
      </c>
      <c r="K1556" t="s">
        <v>42779</v>
      </c>
      <c r="M1556" t="s">
        <v>43766</v>
      </c>
      <c r="N1556" t="s">
        <v>47424</v>
      </c>
      <c r="O1556" t="s">
        <v>47425</v>
      </c>
      <c r="P1556">
        <v>0</v>
      </c>
      <c r="Q1556">
        <v>0</v>
      </c>
      <c r="R1556" t="s">
        <v>47429</v>
      </c>
      <c r="S1556" t="s">
        <v>47542</v>
      </c>
      <c r="T1556" t="s">
        <v>49192</v>
      </c>
      <c r="U1556" t="s">
        <v>51039</v>
      </c>
      <c r="V1556" t="s">
        <v>62796</v>
      </c>
      <c r="W1556" t="s">
        <v>43766</v>
      </c>
      <c r="X1556" t="s">
        <v>47426</v>
      </c>
    </row>
    <row r="1557" spans="1:24">
      <c r="A1557">
        <f>HYPERLINK("https://www.philgeps.gov.ph/GEPSNONPILOT/Tender/SplashBidNoticeAbstractUI.aspx?menuIndex=3&amp;refID=7166657&amp;Result=3","7166657")</f>
        <v>0</v>
      </c>
      <c r="B1557" t="s">
        <v>67</v>
      </c>
      <c r="C1557" t="s">
        <v>5397</v>
      </c>
      <c r="D1557" t="s">
        <v>19099</v>
      </c>
      <c r="E1557" t="s">
        <v>20517</v>
      </c>
      <c r="F1557" t="s">
        <v>32831</v>
      </c>
      <c r="G1557" t="s">
        <v>32840</v>
      </c>
      <c r="H1557" t="s">
        <v>32848</v>
      </c>
      <c r="I1557" t="s">
        <v>4438</v>
      </c>
      <c r="J1557" t="s">
        <v>33338</v>
      </c>
      <c r="K1557" t="s">
        <v>42730</v>
      </c>
      <c r="M1557" t="s">
        <v>43749</v>
      </c>
      <c r="N1557" t="s">
        <v>47424</v>
      </c>
      <c r="O1557" t="s">
        <v>47425</v>
      </c>
      <c r="P1557">
        <v>0</v>
      </c>
      <c r="Q1557">
        <v>0</v>
      </c>
      <c r="R1557" t="s">
        <v>47429</v>
      </c>
      <c r="S1557" t="s">
        <v>47542</v>
      </c>
      <c r="T1557" t="s">
        <v>49092</v>
      </c>
      <c r="U1557" t="s">
        <v>51013</v>
      </c>
      <c r="W1557" t="s">
        <v>64446</v>
      </c>
      <c r="X1557" t="s">
        <v>47426</v>
      </c>
    </row>
    <row r="1558" spans="1:24">
      <c r="A1558">
        <f>HYPERLINK("https://www.philgeps.gov.ph/GEPSNONPILOT/Tender/SplashBidNoticeAbstractUI.aspx?menuIndex=3&amp;refID=7166666&amp;Result=3","7166666")</f>
        <v>0</v>
      </c>
      <c r="B1558" t="s">
        <v>263</v>
      </c>
      <c r="C1558" t="s">
        <v>5398</v>
      </c>
      <c r="D1558" t="s">
        <v>19083</v>
      </c>
      <c r="E1558" t="s">
        <v>20518</v>
      </c>
      <c r="F1558" t="s">
        <v>32831</v>
      </c>
      <c r="G1558" t="s">
        <v>32838</v>
      </c>
      <c r="H1558" t="s">
        <v>32848</v>
      </c>
      <c r="I1558" t="s">
        <v>32856</v>
      </c>
      <c r="J1558" t="s">
        <v>34090</v>
      </c>
      <c r="K1558" t="s">
        <v>42727</v>
      </c>
      <c r="M1558" t="s">
        <v>43262</v>
      </c>
      <c r="N1558" t="s">
        <v>47424</v>
      </c>
      <c r="O1558" t="s">
        <v>47425</v>
      </c>
      <c r="P1558">
        <v>0</v>
      </c>
      <c r="Q1558">
        <v>0</v>
      </c>
      <c r="R1558" t="s">
        <v>47429</v>
      </c>
      <c r="S1558" t="s">
        <v>47542</v>
      </c>
      <c r="T1558" t="s">
        <v>49170</v>
      </c>
      <c r="U1558" t="s">
        <v>51040</v>
      </c>
      <c r="W1558" t="s">
        <v>43262</v>
      </c>
      <c r="X1558" t="s">
        <v>47426</v>
      </c>
    </row>
    <row r="1559" spans="1:24">
      <c r="A1559">
        <f>HYPERLINK("https://www.philgeps.gov.ph/GEPSNONPILOT/Tender/SplashBidNoticeAbstractUI.aspx?menuIndex=3&amp;refID=7166565&amp;Result=3","7166565")</f>
        <v>0</v>
      </c>
      <c r="B1559" t="s">
        <v>744</v>
      </c>
      <c r="C1559" t="s">
        <v>5399</v>
      </c>
      <c r="D1559" t="s">
        <v>19017</v>
      </c>
      <c r="E1559" t="s">
        <v>20519</v>
      </c>
      <c r="F1559" t="s">
        <v>32831</v>
      </c>
      <c r="G1559" t="s">
        <v>32838</v>
      </c>
      <c r="H1559" t="s">
        <v>32848</v>
      </c>
      <c r="I1559" t="s">
        <v>4438</v>
      </c>
      <c r="J1559" t="s">
        <v>34091</v>
      </c>
      <c r="K1559" t="s">
        <v>42726</v>
      </c>
      <c r="M1559" t="s">
        <v>43767</v>
      </c>
      <c r="N1559" t="s">
        <v>47424</v>
      </c>
      <c r="O1559" t="s">
        <v>47425</v>
      </c>
      <c r="P1559">
        <v>0</v>
      </c>
      <c r="Q1559">
        <v>0</v>
      </c>
      <c r="R1559" t="s">
        <v>47429</v>
      </c>
      <c r="S1559" t="s">
        <v>47542</v>
      </c>
      <c r="T1559" t="s">
        <v>49129</v>
      </c>
      <c r="U1559" t="s">
        <v>51041</v>
      </c>
      <c r="W1559" t="s">
        <v>43767</v>
      </c>
      <c r="X1559" t="s">
        <v>47426</v>
      </c>
    </row>
    <row r="1560" spans="1:24">
      <c r="A1560">
        <f>HYPERLINK("https://www.philgeps.gov.ph/GEPSNONPILOT/Tender/SplashBidNoticeAbstractUI.aspx?menuIndex=3&amp;refID=7166662&amp;Result=3","7166662")</f>
        <v>0</v>
      </c>
      <c r="B1560" t="s">
        <v>745</v>
      </c>
      <c r="C1560" t="s">
        <v>5400</v>
      </c>
      <c r="D1560" t="s">
        <v>19077</v>
      </c>
      <c r="E1560" t="s">
        <v>20520</v>
      </c>
      <c r="F1560" t="s">
        <v>32831</v>
      </c>
      <c r="G1560" t="s">
        <v>32839</v>
      </c>
      <c r="H1560" t="s">
        <v>32848</v>
      </c>
      <c r="I1560" t="s">
        <v>32916</v>
      </c>
      <c r="J1560" t="s">
        <v>33528</v>
      </c>
      <c r="K1560" t="s">
        <v>42807</v>
      </c>
      <c r="M1560" t="s">
        <v>43768</v>
      </c>
      <c r="N1560" t="s">
        <v>47424</v>
      </c>
      <c r="O1560" t="s">
        <v>47425</v>
      </c>
      <c r="P1560">
        <v>0</v>
      </c>
      <c r="Q1560">
        <v>0</v>
      </c>
      <c r="R1560" t="s">
        <v>47429</v>
      </c>
      <c r="S1560" t="s">
        <v>47542</v>
      </c>
      <c r="T1560" t="s">
        <v>49189</v>
      </c>
      <c r="U1560" t="s">
        <v>51042</v>
      </c>
      <c r="W1560" t="s">
        <v>43768</v>
      </c>
      <c r="X1560" t="s">
        <v>47426</v>
      </c>
    </row>
    <row r="1561" spans="1:24">
      <c r="A1561">
        <f>HYPERLINK("https://www.philgeps.gov.ph/GEPSNONPILOT/Tender/SplashBidNoticeAbstractUI.aspx?menuIndex=3&amp;refID=7166610&amp;Result=3","7166610")</f>
        <v>0</v>
      </c>
      <c r="B1561" t="s">
        <v>666</v>
      </c>
      <c r="C1561" t="s">
        <v>5401</v>
      </c>
      <c r="D1561" t="s">
        <v>19034</v>
      </c>
      <c r="E1561" t="s">
        <v>20521</v>
      </c>
      <c r="F1561" t="s">
        <v>32831</v>
      </c>
      <c r="G1561" t="s">
        <v>32838</v>
      </c>
      <c r="H1561" t="s">
        <v>32848</v>
      </c>
      <c r="I1561" t="s">
        <v>4438</v>
      </c>
      <c r="J1561" t="s">
        <v>33040</v>
      </c>
      <c r="K1561" t="s">
        <v>42732</v>
      </c>
      <c r="M1561" t="s">
        <v>43685</v>
      </c>
      <c r="N1561" t="s">
        <v>47424</v>
      </c>
      <c r="O1561" t="s">
        <v>47425</v>
      </c>
      <c r="P1561">
        <v>0</v>
      </c>
      <c r="Q1561">
        <v>0</v>
      </c>
      <c r="R1561" t="s">
        <v>47429</v>
      </c>
      <c r="S1561" t="s">
        <v>47542</v>
      </c>
      <c r="T1561" t="s">
        <v>49069</v>
      </c>
      <c r="U1561" t="s">
        <v>51043</v>
      </c>
      <c r="W1561" t="s">
        <v>43685</v>
      </c>
      <c r="X1561" t="s">
        <v>47426</v>
      </c>
    </row>
    <row r="1562" spans="1:24">
      <c r="A1562">
        <f>HYPERLINK("https://www.philgeps.gov.ph/GEPSNONPILOT/Tender/SplashBidNoticeAbstractUI.aspx?menuIndex=3&amp;refID=7166697&amp;Result=3","7166697")</f>
        <v>0</v>
      </c>
      <c r="B1562" t="s">
        <v>746</v>
      </c>
      <c r="C1562" t="s">
        <v>5402</v>
      </c>
      <c r="D1562" t="s">
        <v>19078</v>
      </c>
      <c r="E1562" t="s">
        <v>20522</v>
      </c>
      <c r="F1562" t="s">
        <v>32831</v>
      </c>
      <c r="G1562" t="s">
        <v>32838</v>
      </c>
      <c r="H1562" t="s">
        <v>32848</v>
      </c>
      <c r="I1562" t="s">
        <v>4776</v>
      </c>
      <c r="J1562" t="s">
        <v>33007</v>
      </c>
      <c r="K1562" t="s">
        <v>42726</v>
      </c>
      <c r="M1562" t="s">
        <v>43769</v>
      </c>
      <c r="N1562" t="s">
        <v>47424</v>
      </c>
      <c r="O1562" t="s">
        <v>47425</v>
      </c>
      <c r="P1562">
        <v>0</v>
      </c>
      <c r="Q1562">
        <v>0</v>
      </c>
      <c r="R1562" t="s">
        <v>47429</v>
      </c>
      <c r="S1562" t="s">
        <v>47542</v>
      </c>
      <c r="T1562" t="s">
        <v>49268</v>
      </c>
      <c r="U1562" t="s">
        <v>50389</v>
      </c>
      <c r="W1562" t="s">
        <v>43769</v>
      </c>
      <c r="X1562" t="s">
        <v>47426</v>
      </c>
    </row>
    <row r="1563" spans="1:24">
      <c r="A1563">
        <f>HYPERLINK("https://www.philgeps.gov.ph/GEPSNONPILOT/Tender/SplashBidNoticeAbstractUI.aspx?menuIndex=3&amp;refID=7166695&amp;Result=3","7166695")</f>
        <v>0</v>
      </c>
      <c r="B1563" t="s">
        <v>709</v>
      </c>
      <c r="C1563" t="s">
        <v>5403</v>
      </c>
      <c r="D1563" t="s">
        <v>19037</v>
      </c>
      <c r="E1563" t="s">
        <v>20523</v>
      </c>
      <c r="F1563" t="s">
        <v>32831</v>
      </c>
      <c r="G1563" t="s">
        <v>32840</v>
      </c>
      <c r="H1563" t="s">
        <v>32848</v>
      </c>
      <c r="I1563" t="s">
        <v>32852</v>
      </c>
      <c r="J1563" t="s">
        <v>33424</v>
      </c>
      <c r="K1563" t="s">
        <v>42732</v>
      </c>
      <c r="M1563" t="s">
        <v>43729</v>
      </c>
      <c r="N1563" t="s">
        <v>47424</v>
      </c>
      <c r="O1563" t="s">
        <v>47425</v>
      </c>
      <c r="P1563">
        <v>0</v>
      </c>
      <c r="Q1563">
        <v>0</v>
      </c>
      <c r="R1563" t="s">
        <v>47429</v>
      </c>
      <c r="S1563" t="s">
        <v>47542</v>
      </c>
      <c r="T1563" t="s">
        <v>49198</v>
      </c>
      <c r="U1563" t="s">
        <v>51044</v>
      </c>
      <c r="V1563" t="s">
        <v>62797</v>
      </c>
      <c r="W1563" t="s">
        <v>43729</v>
      </c>
      <c r="X1563" t="s">
        <v>47426</v>
      </c>
    </row>
    <row r="1564" spans="1:24">
      <c r="A1564">
        <f>HYPERLINK("https://www.philgeps.gov.ph/GEPSNONPILOT/Tender/SplashBidNoticeAbstractUI.aspx?menuIndex=3&amp;refID=7166691&amp;Result=3","7166691")</f>
        <v>0</v>
      </c>
      <c r="B1564" t="s">
        <v>720</v>
      </c>
      <c r="C1564" t="s">
        <v>5404</v>
      </c>
      <c r="D1564" t="s">
        <v>19090</v>
      </c>
      <c r="E1564" t="s">
        <v>20524</v>
      </c>
      <c r="F1564" t="s">
        <v>32831</v>
      </c>
      <c r="G1564" t="s">
        <v>32840</v>
      </c>
      <c r="H1564" t="s">
        <v>32848</v>
      </c>
      <c r="I1564" t="s">
        <v>32860</v>
      </c>
      <c r="J1564" t="s">
        <v>34092</v>
      </c>
      <c r="K1564" t="s">
        <v>42727</v>
      </c>
      <c r="M1564" t="s">
        <v>43741</v>
      </c>
      <c r="N1564" t="s">
        <v>47424</v>
      </c>
      <c r="O1564" t="s">
        <v>47425</v>
      </c>
      <c r="P1564">
        <v>0</v>
      </c>
      <c r="Q1564">
        <v>0</v>
      </c>
      <c r="R1564" t="s">
        <v>47429</v>
      </c>
      <c r="S1564" t="s">
        <v>47542</v>
      </c>
      <c r="T1564" t="s">
        <v>49089</v>
      </c>
      <c r="U1564" t="s">
        <v>51045</v>
      </c>
      <c r="W1564" t="s">
        <v>64445</v>
      </c>
      <c r="X1564" t="s">
        <v>47426</v>
      </c>
    </row>
    <row r="1565" spans="1:24">
      <c r="A1565">
        <f>HYPERLINK("https://www.philgeps.gov.ph/GEPSNONPILOT/Tender/SplashBidNoticeAbstractUI.aspx?menuIndex=3&amp;refID=7166690&amp;Result=3","7166690")</f>
        <v>0</v>
      </c>
      <c r="B1565" t="s">
        <v>747</v>
      </c>
      <c r="C1565" t="s">
        <v>5405</v>
      </c>
      <c r="D1565" t="s">
        <v>19041</v>
      </c>
      <c r="E1565" t="s">
        <v>20525</v>
      </c>
      <c r="F1565" t="s">
        <v>32831</v>
      </c>
      <c r="G1565" t="s">
        <v>32838</v>
      </c>
      <c r="H1565" t="s">
        <v>32848</v>
      </c>
      <c r="I1565" t="s">
        <v>7416</v>
      </c>
      <c r="J1565" t="s">
        <v>34093</v>
      </c>
      <c r="K1565" t="s">
        <v>42727</v>
      </c>
      <c r="M1565" t="s">
        <v>43770</v>
      </c>
      <c r="N1565" t="s">
        <v>47424</v>
      </c>
      <c r="O1565" t="s">
        <v>47425</v>
      </c>
      <c r="P1565">
        <v>0</v>
      </c>
      <c r="Q1565">
        <v>0</v>
      </c>
      <c r="R1565" t="s">
        <v>47429</v>
      </c>
      <c r="S1565" t="s">
        <v>47542</v>
      </c>
      <c r="T1565" t="s">
        <v>49089</v>
      </c>
      <c r="U1565" t="s">
        <v>51046</v>
      </c>
      <c r="W1565" t="s">
        <v>43770</v>
      </c>
      <c r="X1565" t="s">
        <v>47426</v>
      </c>
    </row>
    <row r="1566" spans="1:24">
      <c r="A1566">
        <f>HYPERLINK("https://www.philgeps.gov.ph/GEPSNONPILOT/Tender/SplashBidNoticeAbstractUI.aspx?menuIndex=3&amp;refID=7166658&amp;Result=3","7166658")</f>
        <v>0</v>
      </c>
      <c r="B1566" t="s">
        <v>748</v>
      </c>
      <c r="C1566" t="s">
        <v>5406</v>
      </c>
      <c r="D1566" t="s">
        <v>19081</v>
      </c>
      <c r="E1566" t="s">
        <v>20526</v>
      </c>
      <c r="F1566" t="s">
        <v>32831</v>
      </c>
      <c r="G1566" t="s">
        <v>32839</v>
      </c>
      <c r="H1566" t="s">
        <v>32849</v>
      </c>
      <c r="I1566" t="s">
        <v>4177</v>
      </c>
      <c r="J1566" t="s">
        <v>32978</v>
      </c>
      <c r="K1566" t="s">
        <v>42747</v>
      </c>
      <c r="M1566" t="s">
        <v>43771</v>
      </c>
      <c r="N1566" t="s">
        <v>47424</v>
      </c>
      <c r="O1566" t="s">
        <v>47425</v>
      </c>
      <c r="P1566">
        <v>0</v>
      </c>
      <c r="Q1566">
        <v>0</v>
      </c>
      <c r="R1566" t="s">
        <v>47429</v>
      </c>
      <c r="S1566" t="s">
        <v>47542</v>
      </c>
      <c r="T1566" t="s">
        <v>49269</v>
      </c>
      <c r="U1566" t="s">
        <v>51047</v>
      </c>
      <c r="W1566" t="s">
        <v>43771</v>
      </c>
      <c r="X1566" t="s">
        <v>47426</v>
      </c>
    </row>
    <row r="1567" spans="1:24">
      <c r="A1567">
        <f>HYPERLINK("https://www.philgeps.gov.ph/GEPSNONPILOT/Tender/SplashBidNoticeAbstractUI.aspx?menuIndex=3&amp;refID=7166689&amp;Result=3","7166689")</f>
        <v>0</v>
      </c>
      <c r="B1567" t="s">
        <v>749</v>
      </c>
      <c r="C1567" t="s">
        <v>5407</v>
      </c>
      <c r="D1567" t="s">
        <v>19046</v>
      </c>
      <c r="E1567" t="s">
        <v>20527</v>
      </c>
      <c r="F1567" t="s">
        <v>32831</v>
      </c>
      <c r="G1567" t="s">
        <v>32838</v>
      </c>
      <c r="H1567" t="s">
        <v>32848</v>
      </c>
      <c r="I1567" t="s">
        <v>7416</v>
      </c>
      <c r="J1567" t="s">
        <v>33086</v>
      </c>
      <c r="K1567" t="s">
        <v>42758</v>
      </c>
      <c r="M1567" t="s">
        <v>43772</v>
      </c>
      <c r="N1567" t="s">
        <v>47424</v>
      </c>
      <c r="O1567" t="s">
        <v>47425</v>
      </c>
      <c r="P1567">
        <v>0</v>
      </c>
      <c r="Q1567">
        <v>0</v>
      </c>
      <c r="R1567" t="s">
        <v>47429</v>
      </c>
      <c r="S1567" t="s">
        <v>47542</v>
      </c>
      <c r="T1567" t="s">
        <v>49129</v>
      </c>
      <c r="U1567" t="s">
        <v>51048</v>
      </c>
      <c r="W1567" t="s">
        <v>43772</v>
      </c>
      <c r="X1567" t="s">
        <v>47426</v>
      </c>
    </row>
    <row r="1568" spans="1:24">
      <c r="A1568">
        <f>HYPERLINK("https://www.philgeps.gov.ph/GEPSNONPILOT/Tender/SplashBidNoticeAbstractUI.aspx?menuIndex=3&amp;refID=7162132&amp;Result=3","7162132")</f>
        <v>0</v>
      </c>
      <c r="B1568" t="s">
        <v>675</v>
      </c>
      <c r="C1568" t="s">
        <v>5408</v>
      </c>
      <c r="D1568" t="s">
        <v>19033</v>
      </c>
      <c r="E1568" t="s">
        <v>20136</v>
      </c>
      <c r="F1568" t="s">
        <v>32831</v>
      </c>
      <c r="G1568" t="s">
        <v>32840</v>
      </c>
      <c r="H1568" t="s">
        <v>32848</v>
      </c>
      <c r="I1568" t="s">
        <v>4487</v>
      </c>
      <c r="J1568" t="s">
        <v>33162</v>
      </c>
      <c r="K1568" t="s">
        <v>42730</v>
      </c>
      <c r="M1568" t="s">
        <v>43694</v>
      </c>
      <c r="N1568" t="s">
        <v>47424</v>
      </c>
      <c r="O1568" t="s">
        <v>47425</v>
      </c>
      <c r="P1568">
        <v>0</v>
      </c>
      <c r="Q1568">
        <v>3</v>
      </c>
      <c r="R1568" t="s">
        <v>47428</v>
      </c>
      <c r="S1568" t="s">
        <v>47541</v>
      </c>
      <c r="T1568" t="s">
        <v>49107</v>
      </c>
      <c r="U1568" t="s">
        <v>51049</v>
      </c>
      <c r="W1568" t="s">
        <v>43694</v>
      </c>
      <c r="X1568" t="s">
        <v>47430</v>
      </c>
    </row>
    <row r="1569" spans="1:24">
      <c r="A1569">
        <f>HYPERLINK("https://www.philgeps.gov.ph/GEPSNONPILOT/Tender/SplashBidNoticeAbstractUI.aspx?menuIndex=3&amp;refID=7166687&amp;Result=3","7166687")</f>
        <v>0</v>
      </c>
      <c r="B1569" t="s">
        <v>750</v>
      </c>
      <c r="C1569" t="s">
        <v>5409</v>
      </c>
      <c r="D1569" t="s">
        <v>19062</v>
      </c>
      <c r="E1569" t="s">
        <v>20528</v>
      </c>
      <c r="F1569" t="s">
        <v>32831</v>
      </c>
      <c r="G1569" t="s">
        <v>32838</v>
      </c>
      <c r="H1569" t="s">
        <v>32848</v>
      </c>
      <c r="I1569" t="s">
        <v>4438</v>
      </c>
      <c r="J1569" t="s">
        <v>34094</v>
      </c>
      <c r="K1569" t="s">
        <v>42732</v>
      </c>
      <c r="M1569" t="s">
        <v>43773</v>
      </c>
      <c r="N1569" t="s">
        <v>47424</v>
      </c>
      <c r="O1569" t="s">
        <v>47425</v>
      </c>
      <c r="P1569">
        <v>0</v>
      </c>
      <c r="Q1569">
        <v>0</v>
      </c>
      <c r="R1569" t="s">
        <v>47429</v>
      </c>
      <c r="S1569" t="s">
        <v>47542</v>
      </c>
      <c r="T1569" t="s">
        <v>49119</v>
      </c>
      <c r="U1569" t="s">
        <v>51050</v>
      </c>
      <c r="W1569" t="s">
        <v>43773</v>
      </c>
      <c r="X1569" t="s">
        <v>47426</v>
      </c>
    </row>
    <row r="1570" spans="1:24">
      <c r="A1570">
        <f>HYPERLINK("https://www.philgeps.gov.ph/GEPSNONPILOT/Tender/SplashBidNoticeAbstractUI.aspx?menuIndex=3&amp;refID=7166686&amp;Result=3","7166686")</f>
        <v>0</v>
      </c>
      <c r="B1570" t="s">
        <v>751</v>
      </c>
      <c r="C1570" t="s">
        <v>5410</v>
      </c>
      <c r="D1570" t="s">
        <v>19022</v>
      </c>
      <c r="E1570" t="s">
        <v>19555</v>
      </c>
      <c r="F1570" t="s">
        <v>32831</v>
      </c>
      <c r="G1570" t="s">
        <v>32839</v>
      </c>
      <c r="H1570" t="s">
        <v>32848</v>
      </c>
      <c r="I1570" t="s">
        <v>7416</v>
      </c>
      <c r="J1570" t="s">
        <v>34095</v>
      </c>
      <c r="K1570" t="s">
        <v>42726</v>
      </c>
      <c r="M1570" t="s">
        <v>43774</v>
      </c>
      <c r="N1570" t="s">
        <v>47424</v>
      </c>
      <c r="O1570" t="s">
        <v>47425</v>
      </c>
      <c r="P1570">
        <v>0</v>
      </c>
      <c r="Q1570">
        <v>0</v>
      </c>
      <c r="R1570" t="s">
        <v>47429</v>
      </c>
      <c r="S1570" t="s">
        <v>47542</v>
      </c>
      <c r="T1570" t="s">
        <v>49080</v>
      </c>
      <c r="U1570" t="s">
        <v>51051</v>
      </c>
      <c r="W1570" t="s">
        <v>43774</v>
      </c>
      <c r="X1570" t="s">
        <v>47426</v>
      </c>
    </row>
    <row r="1571" spans="1:24">
      <c r="A1571">
        <f>HYPERLINK("https://www.philgeps.gov.ph/GEPSNONPILOT/Tender/SplashBidNoticeAbstractUI.aspx?menuIndex=3&amp;refID=7166681&amp;Result=3","7166681")</f>
        <v>0</v>
      </c>
      <c r="B1571" t="s">
        <v>33</v>
      </c>
      <c r="C1571" t="s">
        <v>5373</v>
      </c>
      <c r="D1571" t="s">
        <v>19024</v>
      </c>
      <c r="E1571" t="s">
        <v>20529</v>
      </c>
      <c r="F1571" t="s">
        <v>32831</v>
      </c>
      <c r="G1571" t="s">
        <v>32838</v>
      </c>
      <c r="H1571" t="s">
        <v>32848</v>
      </c>
      <c r="I1571" t="s">
        <v>5379</v>
      </c>
      <c r="J1571" t="s">
        <v>34096</v>
      </c>
      <c r="K1571" t="s">
        <v>42745</v>
      </c>
      <c r="M1571" t="s">
        <v>43030</v>
      </c>
      <c r="N1571" t="s">
        <v>47424</v>
      </c>
      <c r="O1571" t="s">
        <v>47425</v>
      </c>
      <c r="P1571">
        <v>0</v>
      </c>
      <c r="Q1571">
        <v>0</v>
      </c>
      <c r="R1571" t="s">
        <v>47429</v>
      </c>
      <c r="S1571" t="s">
        <v>47542</v>
      </c>
      <c r="T1571" t="s">
        <v>49129</v>
      </c>
      <c r="U1571" t="s">
        <v>51052</v>
      </c>
      <c r="W1571" t="s">
        <v>43030</v>
      </c>
      <c r="X1571" t="s">
        <v>47426</v>
      </c>
    </row>
    <row r="1572" spans="1:24">
      <c r="A1572">
        <f>HYPERLINK("https://www.philgeps.gov.ph/GEPSNONPILOT/Tender/SplashBidNoticeAbstractUI.aspx?menuIndex=3&amp;refID=7166659&amp;Result=3","7166659")</f>
        <v>0</v>
      </c>
      <c r="B1572" t="s">
        <v>33</v>
      </c>
      <c r="C1572" t="s">
        <v>5411</v>
      </c>
      <c r="D1572" t="s">
        <v>19024</v>
      </c>
      <c r="E1572" t="s">
        <v>20530</v>
      </c>
      <c r="F1572" t="s">
        <v>32831</v>
      </c>
      <c r="G1572" t="s">
        <v>32838</v>
      </c>
      <c r="H1572" t="s">
        <v>32848</v>
      </c>
      <c r="I1572" t="s">
        <v>5379</v>
      </c>
      <c r="J1572" t="s">
        <v>34097</v>
      </c>
      <c r="K1572" t="s">
        <v>42745</v>
      </c>
      <c r="M1572" t="s">
        <v>43030</v>
      </c>
      <c r="N1572" t="s">
        <v>47424</v>
      </c>
      <c r="O1572" t="s">
        <v>47425</v>
      </c>
      <c r="P1572">
        <v>0</v>
      </c>
      <c r="Q1572">
        <v>0</v>
      </c>
      <c r="R1572" t="s">
        <v>47429</v>
      </c>
      <c r="S1572" t="s">
        <v>47542</v>
      </c>
      <c r="T1572" t="s">
        <v>49129</v>
      </c>
      <c r="U1572" t="s">
        <v>51053</v>
      </c>
      <c r="W1572" t="s">
        <v>43030</v>
      </c>
      <c r="X1572" t="s">
        <v>47426</v>
      </c>
    </row>
    <row r="1573" spans="1:24">
      <c r="A1573">
        <f>HYPERLINK("https://www.philgeps.gov.ph/GEPSNONPILOT/Tender/SplashBidNoticeAbstractUI.aspx?menuIndex=3&amp;refID=7166693&amp;Result=3","7166693")</f>
        <v>0</v>
      </c>
      <c r="B1573" t="s">
        <v>734</v>
      </c>
      <c r="C1573" t="s">
        <v>5412</v>
      </c>
      <c r="D1573" t="s">
        <v>19034</v>
      </c>
      <c r="E1573" t="s">
        <v>20531</v>
      </c>
      <c r="F1573" t="s">
        <v>32831</v>
      </c>
      <c r="G1573" t="s">
        <v>32840</v>
      </c>
      <c r="H1573" t="s">
        <v>32848</v>
      </c>
      <c r="I1573" t="s">
        <v>4303</v>
      </c>
      <c r="J1573" t="s">
        <v>34098</v>
      </c>
      <c r="K1573" t="s">
        <v>42731</v>
      </c>
      <c r="M1573" t="s">
        <v>43775</v>
      </c>
      <c r="N1573" t="s">
        <v>47424</v>
      </c>
      <c r="O1573" t="s">
        <v>47425</v>
      </c>
      <c r="P1573">
        <v>0</v>
      </c>
      <c r="Q1573">
        <v>0</v>
      </c>
      <c r="R1573" t="s">
        <v>47429</v>
      </c>
      <c r="S1573" t="s">
        <v>47542</v>
      </c>
      <c r="T1573" t="s">
        <v>49270</v>
      </c>
      <c r="U1573" t="s">
        <v>51054</v>
      </c>
      <c r="W1573" t="s">
        <v>44904</v>
      </c>
      <c r="X1573" t="s">
        <v>47426</v>
      </c>
    </row>
    <row r="1574" spans="1:24">
      <c r="A1574">
        <f>HYPERLINK("https://www.philgeps.gov.ph/GEPSNONPILOT/Tender/SplashBidNoticeAbstractUI.aspx?menuIndex=3&amp;refID=7166679&amp;Result=3","7166679")</f>
        <v>0</v>
      </c>
      <c r="B1574" t="s">
        <v>733</v>
      </c>
      <c r="C1574" t="s">
        <v>5413</v>
      </c>
      <c r="D1574" t="s">
        <v>19034</v>
      </c>
      <c r="E1574" t="s">
        <v>20502</v>
      </c>
      <c r="F1574" t="s">
        <v>32831</v>
      </c>
      <c r="G1574" t="s">
        <v>32838</v>
      </c>
      <c r="H1574" t="s">
        <v>32848</v>
      </c>
      <c r="I1574" t="s">
        <v>32862</v>
      </c>
      <c r="J1574" t="s">
        <v>34099</v>
      </c>
      <c r="K1574" t="s">
        <v>42758</v>
      </c>
      <c r="M1574" t="s">
        <v>43755</v>
      </c>
      <c r="N1574" t="s">
        <v>47424</v>
      </c>
      <c r="O1574" t="s">
        <v>47425</v>
      </c>
      <c r="P1574">
        <v>0</v>
      </c>
      <c r="Q1574">
        <v>0</v>
      </c>
      <c r="R1574" t="s">
        <v>47429</v>
      </c>
      <c r="S1574" t="s">
        <v>47542</v>
      </c>
      <c r="T1574" t="s">
        <v>49129</v>
      </c>
      <c r="U1574" t="s">
        <v>51055</v>
      </c>
      <c r="W1574" t="s">
        <v>43755</v>
      </c>
      <c r="X1574" t="s">
        <v>47426</v>
      </c>
    </row>
    <row r="1575" spans="1:24">
      <c r="A1575">
        <f>HYPERLINK("https://www.philgeps.gov.ph/GEPSNONPILOT/Tender/SplashBidNoticeAbstractUI.aspx?menuIndex=3&amp;refID=7166688&amp;Result=3","7166688")</f>
        <v>0</v>
      </c>
      <c r="B1575" t="s">
        <v>752</v>
      </c>
      <c r="C1575" t="s">
        <v>5414</v>
      </c>
      <c r="D1575" t="s">
        <v>19027</v>
      </c>
      <c r="E1575" t="s">
        <v>20532</v>
      </c>
      <c r="F1575" t="s">
        <v>32831</v>
      </c>
      <c r="G1575" t="s">
        <v>32839</v>
      </c>
      <c r="H1575" t="s">
        <v>32848</v>
      </c>
      <c r="I1575" t="s">
        <v>32860</v>
      </c>
      <c r="J1575" t="s">
        <v>33771</v>
      </c>
      <c r="K1575" t="s">
        <v>42759</v>
      </c>
      <c r="M1575" t="s">
        <v>43776</v>
      </c>
      <c r="N1575" t="s">
        <v>47424</v>
      </c>
      <c r="O1575" t="s">
        <v>47425</v>
      </c>
      <c r="P1575">
        <v>0</v>
      </c>
      <c r="Q1575">
        <v>0</v>
      </c>
      <c r="R1575" t="s">
        <v>47429</v>
      </c>
      <c r="S1575" t="s">
        <v>47542</v>
      </c>
      <c r="T1575" t="s">
        <v>49271</v>
      </c>
      <c r="U1575" t="s">
        <v>51056</v>
      </c>
      <c r="W1575" t="s">
        <v>43776</v>
      </c>
      <c r="X1575" t="s">
        <v>47426</v>
      </c>
    </row>
    <row r="1576" spans="1:24">
      <c r="A1576">
        <f>HYPERLINK("https://www.philgeps.gov.ph/GEPSNONPILOT/Tender/SplashBidNoticeAbstractUI.aspx?menuIndex=3&amp;refID=7166726&amp;Result=3","7166726")</f>
        <v>0</v>
      </c>
      <c r="B1576" t="s">
        <v>753</v>
      </c>
      <c r="C1576" t="s">
        <v>5415</v>
      </c>
      <c r="D1576" t="s">
        <v>19058</v>
      </c>
      <c r="E1576" t="s">
        <v>20533</v>
      </c>
      <c r="F1576" t="s">
        <v>32831</v>
      </c>
      <c r="G1576" t="s">
        <v>32838</v>
      </c>
      <c r="H1576" t="s">
        <v>32848</v>
      </c>
      <c r="I1576" t="s">
        <v>32855</v>
      </c>
      <c r="J1576" t="s">
        <v>34100</v>
      </c>
      <c r="K1576" t="s">
        <v>42732</v>
      </c>
      <c r="M1576" t="s">
        <v>43777</v>
      </c>
      <c r="N1576" t="s">
        <v>47424</v>
      </c>
      <c r="O1576" t="s">
        <v>47425</v>
      </c>
      <c r="P1576">
        <v>0</v>
      </c>
      <c r="Q1576">
        <v>0</v>
      </c>
      <c r="R1576" t="s">
        <v>47429</v>
      </c>
      <c r="S1576" t="s">
        <v>47542</v>
      </c>
      <c r="T1576" t="s">
        <v>49089</v>
      </c>
      <c r="U1576" t="s">
        <v>51057</v>
      </c>
      <c r="W1576" t="s">
        <v>43777</v>
      </c>
      <c r="X1576" t="s">
        <v>47426</v>
      </c>
    </row>
    <row r="1577" spans="1:24">
      <c r="A1577">
        <f>HYPERLINK("https://www.philgeps.gov.ph/GEPSNONPILOT/Tender/SplashBidNoticeAbstractUI.aspx?menuIndex=3&amp;refID=7166723&amp;Result=3","7166723")</f>
        <v>0</v>
      </c>
      <c r="B1577" t="s">
        <v>754</v>
      </c>
      <c r="C1577" t="s">
        <v>5416</v>
      </c>
      <c r="D1577" t="s">
        <v>19057</v>
      </c>
      <c r="E1577" t="s">
        <v>20534</v>
      </c>
      <c r="F1577" t="s">
        <v>32831</v>
      </c>
      <c r="G1577" t="s">
        <v>32839</v>
      </c>
      <c r="H1577" t="s">
        <v>32849</v>
      </c>
      <c r="I1577" t="s">
        <v>4177</v>
      </c>
      <c r="J1577" t="s">
        <v>33561</v>
      </c>
      <c r="K1577" t="s">
        <v>42763</v>
      </c>
      <c r="M1577" t="s">
        <v>43778</v>
      </c>
      <c r="N1577" t="s">
        <v>47424</v>
      </c>
      <c r="O1577" t="s">
        <v>47425</v>
      </c>
      <c r="P1577">
        <v>0</v>
      </c>
      <c r="Q1577">
        <v>0</v>
      </c>
      <c r="R1577" t="s">
        <v>47429</v>
      </c>
      <c r="S1577" t="s">
        <v>47542</v>
      </c>
      <c r="T1577" t="s">
        <v>49169</v>
      </c>
      <c r="U1577" t="s">
        <v>51058</v>
      </c>
      <c r="W1577" t="s">
        <v>43778</v>
      </c>
      <c r="X1577" t="s">
        <v>47426</v>
      </c>
    </row>
    <row r="1578" spans="1:24">
      <c r="A1578">
        <f>HYPERLINK("https://www.philgeps.gov.ph/GEPSNONPILOT/Tender/SplashBidNoticeAbstractUI.aspx?menuIndex=3&amp;refID=7166685&amp;Result=3","7166685")</f>
        <v>0</v>
      </c>
      <c r="B1578" t="s">
        <v>755</v>
      </c>
      <c r="C1578" t="s">
        <v>5417</v>
      </c>
      <c r="D1578" t="s">
        <v>19018</v>
      </c>
      <c r="E1578" t="s">
        <v>5417</v>
      </c>
      <c r="F1578" t="s">
        <v>32831</v>
      </c>
      <c r="G1578" t="s">
        <v>32839</v>
      </c>
      <c r="H1578" t="s">
        <v>32849</v>
      </c>
      <c r="I1578" t="s">
        <v>32899</v>
      </c>
      <c r="J1578" t="s">
        <v>34101</v>
      </c>
      <c r="K1578" t="s">
        <v>42732</v>
      </c>
      <c r="M1578" t="s">
        <v>43779</v>
      </c>
      <c r="N1578" t="s">
        <v>47424</v>
      </c>
      <c r="O1578" t="s">
        <v>47425</v>
      </c>
      <c r="P1578">
        <v>0</v>
      </c>
      <c r="Q1578">
        <v>0</v>
      </c>
      <c r="R1578" t="s">
        <v>47429</v>
      </c>
      <c r="S1578" t="s">
        <v>47542</v>
      </c>
      <c r="T1578" t="s">
        <v>49088</v>
      </c>
      <c r="U1578" t="s">
        <v>51059</v>
      </c>
      <c r="W1578" t="s">
        <v>43779</v>
      </c>
      <c r="X1578" t="s">
        <v>47426</v>
      </c>
    </row>
    <row r="1579" spans="1:24">
      <c r="A1579">
        <f>HYPERLINK("https://www.philgeps.gov.ph/GEPSNONPILOT/Tender/SplashBidNoticeAbstractUI.aspx?menuIndex=3&amp;refID=7166694&amp;Result=3","7166694")</f>
        <v>0</v>
      </c>
      <c r="B1579" t="s">
        <v>712</v>
      </c>
      <c r="C1579" t="s">
        <v>5418</v>
      </c>
      <c r="D1579" t="s">
        <v>19047</v>
      </c>
      <c r="E1579" t="s">
        <v>20535</v>
      </c>
      <c r="F1579" t="s">
        <v>32831</v>
      </c>
      <c r="G1579" t="s">
        <v>32838</v>
      </c>
      <c r="H1579" t="s">
        <v>32848</v>
      </c>
      <c r="I1579" t="s">
        <v>9577</v>
      </c>
      <c r="J1579" t="s">
        <v>34102</v>
      </c>
      <c r="K1579" t="s">
        <v>42758</v>
      </c>
      <c r="M1579" t="s">
        <v>43732</v>
      </c>
      <c r="N1579" t="s">
        <v>47424</v>
      </c>
      <c r="O1579" t="s">
        <v>47425</v>
      </c>
      <c r="P1579">
        <v>0</v>
      </c>
      <c r="Q1579">
        <v>0</v>
      </c>
      <c r="R1579" t="s">
        <v>47429</v>
      </c>
      <c r="S1579" t="s">
        <v>47542</v>
      </c>
      <c r="T1579" t="s">
        <v>49198</v>
      </c>
      <c r="U1579" t="s">
        <v>51060</v>
      </c>
      <c r="W1579" t="s">
        <v>43732</v>
      </c>
      <c r="X1579" t="s">
        <v>47426</v>
      </c>
    </row>
    <row r="1580" spans="1:24">
      <c r="A1580">
        <f>HYPERLINK("https://www.philgeps.gov.ph/GEPSNONPILOT/Tender/SplashBidNoticeAbstractUI.aspx?menuIndex=3&amp;refID=7166721&amp;Result=3","7166721")</f>
        <v>0</v>
      </c>
      <c r="B1580" t="s">
        <v>719</v>
      </c>
      <c r="C1580" t="s">
        <v>5419</v>
      </c>
      <c r="D1580" t="s">
        <v>19017</v>
      </c>
      <c r="E1580" t="s">
        <v>20536</v>
      </c>
      <c r="F1580" t="s">
        <v>32831</v>
      </c>
      <c r="G1580" t="s">
        <v>32838</v>
      </c>
      <c r="H1580" t="s">
        <v>32848</v>
      </c>
      <c r="I1580" t="s">
        <v>32884</v>
      </c>
      <c r="J1580" t="s">
        <v>34103</v>
      </c>
      <c r="K1580" t="s">
        <v>42732</v>
      </c>
      <c r="M1580" t="s">
        <v>43739</v>
      </c>
      <c r="N1580" t="s">
        <v>47424</v>
      </c>
      <c r="O1580" t="s">
        <v>47425</v>
      </c>
      <c r="P1580">
        <v>0</v>
      </c>
      <c r="Q1580">
        <v>2</v>
      </c>
      <c r="R1580" t="s">
        <v>47429</v>
      </c>
      <c r="S1580" t="s">
        <v>47542</v>
      </c>
      <c r="T1580" t="s">
        <v>49069</v>
      </c>
      <c r="U1580" t="s">
        <v>51061</v>
      </c>
      <c r="W1580" t="s">
        <v>43739</v>
      </c>
      <c r="X1580" t="s">
        <v>47426</v>
      </c>
    </row>
    <row r="1581" spans="1:24">
      <c r="A1581">
        <f>HYPERLINK("https://www.philgeps.gov.ph/GEPSNONPILOT/Tender/SplashBidNoticeAbstractUI.aspx?menuIndex=3&amp;refID=7166719&amp;Result=3","7166719")</f>
        <v>0</v>
      </c>
      <c r="B1581" t="s">
        <v>33</v>
      </c>
      <c r="C1581" t="s">
        <v>5420</v>
      </c>
      <c r="D1581" t="s">
        <v>19024</v>
      </c>
      <c r="E1581" t="s">
        <v>20537</v>
      </c>
      <c r="F1581" t="s">
        <v>32831</v>
      </c>
      <c r="G1581" t="s">
        <v>32842</v>
      </c>
      <c r="H1581" t="s">
        <v>32848</v>
      </c>
      <c r="I1581" t="s">
        <v>4487</v>
      </c>
      <c r="J1581" t="s">
        <v>33593</v>
      </c>
      <c r="K1581" t="s">
        <v>42745</v>
      </c>
      <c r="M1581" t="s">
        <v>43030</v>
      </c>
      <c r="N1581" t="s">
        <v>47424</v>
      </c>
      <c r="O1581" t="s">
        <v>47425</v>
      </c>
      <c r="P1581">
        <v>0</v>
      </c>
      <c r="Q1581">
        <v>0</v>
      </c>
      <c r="R1581" t="s">
        <v>47429</v>
      </c>
      <c r="S1581" t="s">
        <v>47542</v>
      </c>
      <c r="T1581" t="s">
        <v>49129</v>
      </c>
      <c r="U1581" t="s">
        <v>51062</v>
      </c>
      <c r="W1581" t="s">
        <v>43030</v>
      </c>
      <c r="X1581" t="s">
        <v>47426</v>
      </c>
    </row>
    <row r="1582" spans="1:24">
      <c r="A1582">
        <f>HYPERLINK("https://www.philgeps.gov.ph/GEPSNONPILOT/Tender/SplashBidNoticeAbstractUI.aspx?menuIndex=3&amp;refID=7166715&amp;Result=3","7166715")</f>
        <v>0</v>
      </c>
      <c r="B1582" t="s">
        <v>756</v>
      </c>
      <c r="C1582" t="s">
        <v>5421</v>
      </c>
      <c r="D1582" t="s">
        <v>19027</v>
      </c>
      <c r="E1582" t="s">
        <v>20538</v>
      </c>
      <c r="F1582" t="s">
        <v>32831</v>
      </c>
      <c r="G1582" t="s">
        <v>32839</v>
      </c>
      <c r="H1582" t="s">
        <v>32848</v>
      </c>
      <c r="I1582" t="s">
        <v>9577</v>
      </c>
      <c r="J1582" t="s">
        <v>34104</v>
      </c>
      <c r="K1582" t="s">
        <v>42730</v>
      </c>
      <c r="M1582" t="s">
        <v>43780</v>
      </c>
      <c r="N1582" t="s">
        <v>47424</v>
      </c>
      <c r="O1582" t="s">
        <v>47425</v>
      </c>
      <c r="P1582">
        <v>0</v>
      </c>
      <c r="Q1582">
        <v>0</v>
      </c>
      <c r="R1582" t="s">
        <v>47429</v>
      </c>
      <c r="S1582" t="s">
        <v>47542</v>
      </c>
      <c r="T1582" t="s">
        <v>49196</v>
      </c>
      <c r="U1582" t="s">
        <v>51063</v>
      </c>
      <c r="W1582" t="s">
        <v>43780</v>
      </c>
      <c r="X1582" t="s">
        <v>47426</v>
      </c>
    </row>
    <row r="1583" spans="1:24">
      <c r="A1583">
        <f>HYPERLINK("https://www.philgeps.gov.ph/GEPSNONPILOT/Tender/SplashBidNoticeAbstractUI.aspx?menuIndex=3&amp;refID=7166714&amp;Result=3","7166714")</f>
        <v>0</v>
      </c>
      <c r="B1583" t="s">
        <v>634</v>
      </c>
      <c r="C1583" t="s">
        <v>5422</v>
      </c>
      <c r="D1583" t="s">
        <v>19044</v>
      </c>
      <c r="E1583" t="s">
        <v>20539</v>
      </c>
      <c r="F1583" t="s">
        <v>32831</v>
      </c>
      <c r="G1583" t="s">
        <v>32838</v>
      </c>
      <c r="H1583" t="s">
        <v>32848</v>
      </c>
      <c r="I1583" t="s">
        <v>4435</v>
      </c>
      <c r="J1583" t="s">
        <v>32976</v>
      </c>
      <c r="K1583" t="s">
        <v>42727</v>
      </c>
      <c r="M1583" t="s">
        <v>43651</v>
      </c>
      <c r="N1583" t="s">
        <v>47424</v>
      </c>
      <c r="O1583" t="s">
        <v>47425</v>
      </c>
      <c r="P1583">
        <v>0</v>
      </c>
      <c r="Q1583">
        <v>0</v>
      </c>
      <c r="R1583" t="s">
        <v>47429</v>
      </c>
      <c r="S1583" t="s">
        <v>47542</v>
      </c>
      <c r="T1583" t="s">
        <v>49272</v>
      </c>
      <c r="U1583" t="s">
        <v>51064</v>
      </c>
      <c r="V1583" t="s">
        <v>62770</v>
      </c>
      <c r="W1583" t="s">
        <v>43651</v>
      </c>
      <c r="X1583" t="s">
        <v>47426</v>
      </c>
    </row>
    <row r="1584" spans="1:24">
      <c r="A1584">
        <f>HYPERLINK("https://www.philgeps.gov.ph/GEPSNONPILOT/Tender/SplashBidNoticeAbstractUI.aspx?menuIndex=3&amp;refID=7166682&amp;Result=3","7166682")</f>
        <v>0</v>
      </c>
      <c r="B1584" t="s">
        <v>757</v>
      </c>
      <c r="C1584" t="s">
        <v>5423</v>
      </c>
      <c r="D1584" t="s">
        <v>19017</v>
      </c>
      <c r="E1584" t="s">
        <v>20298</v>
      </c>
      <c r="F1584" t="s">
        <v>32832</v>
      </c>
      <c r="G1584" t="s">
        <v>32838</v>
      </c>
      <c r="H1584" t="s">
        <v>32848</v>
      </c>
      <c r="I1584" t="s">
        <v>32860</v>
      </c>
      <c r="J1584" t="s">
        <v>34105</v>
      </c>
      <c r="K1584" t="s">
        <v>42726</v>
      </c>
      <c r="M1584" t="s">
        <v>43781</v>
      </c>
      <c r="N1584" t="s">
        <v>47424</v>
      </c>
      <c r="O1584" t="s">
        <v>47425</v>
      </c>
      <c r="P1584">
        <v>0</v>
      </c>
      <c r="Q1584">
        <v>0</v>
      </c>
      <c r="R1584" t="s">
        <v>47429</v>
      </c>
      <c r="S1584" t="s">
        <v>47542</v>
      </c>
      <c r="T1584" t="s">
        <v>49172</v>
      </c>
      <c r="U1584" t="s">
        <v>51065</v>
      </c>
      <c r="W1584" t="s">
        <v>43781</v>
      </c>
      <c r="X1584" t="s">
        <v>47426</v>
      </c>
    </row>
    <row r="1585" spans="1:24">
      <c r="A1585">
        <f>HYPERLINK("https://www.philgeps.gov.ph/GEPSNONPILOT/Tender/SplashBidNoticeAbstractUI.aspx?menuIndex=3&amp;refID=7166711&amp;Result=3","7166711")</f>
        <v>0</v>
      </c>
      <c r="B1585" t="s">
        <v>758</v>
      </c>
      <c r="C1585" t="s">
        <v>5424</v>
      </c>
      <c r="D1585" t="s">
        <v>19019</v>
      </c>
      <c r="E1585" t="s">
        <v>20540</v>
      </c>
      <c r="F1585" t="s">
        <v>32831</v>
      </c>
      <c r="G1585" t="s">
        <v>32838</v>
      </c>
      <c r="H1585" t="s">
        <v>32848</v>
      </c>
      <c r="I1585" t="s">
        <v>32855</v>
      </c>
      <c r="J1585" t="s">
        <v>33771</v>
      </c>
      <c r="K1585" t="s">
        <v>42758</v>
      </c>
      <c r="M1585" t="s">
        <v>43782</v>
      </c>
      <c r="N1585" t="s">
        <v>47424</v>
      </c>
      <c r="O1585" t="s">
        <v>47425</v>
      </c>
      <c r="P1585">
        <v>0</v>
      </c>
      <c r="Q1585">
        <v>0</v>
      </c>
      <c r="R1585" t="s">
        <v>47429</v>
      </c>
      <c r="S1585" t="s">
        <v>47542</v>
      </c>
      <c r="T1585" t="s">
        <v>49124</v>
      </c>
      <c r="U1585" t="s">
        <v>51066</v>
      </c>
      <c r="W1585" t="s">
        <v>43782</v>
      </c>
      <c r="X1585" t="s">
        <v>47426</v>
      </c>
    </row>
    <row r="1586" spans="1:24">
      <c r="A1586">
        <f>HYPERLINK("https://www.philgeps.gov.ph/GEPSNONPILOT/Tender/SplashBidNoticeAbstractUI.aspx?menuIndex=3&amp;refID=7166709&amp;Result=3","7166709")</f>
        <v>0</v>
      </c>
      <c r="B1586" t="s">
        <v>263</v>
      </c>
      <c r="C1586" t="s">
        <v>5425</v>
      </c>
      <c r="D1586" t="s">
        <v>19083</v>
      </c>
      <c r="E1586" t="s">
        <v>20541</v>
      </c>
      <c r="F1586" t="s">
        <v>32831</v>
      </c>
      <c r="G1586" t="s">
        <v>32840</v>
      </c>
      <c r="H1586" t="s">
        <v>32848</v>
      </c>
      <c r="I1586" t="s">
        <v>4438</v>
      </c>
      <c r="J1586" t="s">
        <v>34106</v>
      </c>
      <c r="K1586" t="s">
        <v>42727</v>
      </c>
      <c r="M1586" t="s">
        <v>43262</v>
      </c>
      <c r="N1586" t="s">
        <v>47424</v>
      </c>
      <c r="O1586" t="s">
        <v>47425</v>
      </c>
      <c r="P1586">
        <v>0</v>
      </c>
      <c r="Q1586">
        <v>0</v>
      </c>
      <c r="R1586" t="s">
        <v>47429</v>
      </c>
      <c r="S1586" t="s">
        <v>47542</v>
      </c>
      <c r="T1586" t="s">
        <v>49170</v>
      </c>
      <c r="U1586" t="s">
        <v>51067</v>
      </c>
      <c r="W1586" t="s">
        <v>43262</v>
      </c>
      <c r="X1586" t="s">
        <v>47426</v>
      </c>
    </row>
    <row r="1587" spans="1:24">
      <c r="A1587">
        <f>HYPERLINK("https://www.philgeps.gov.ph/GEPSNONPILOT/Tender/SplashBidNoticeAbstractUI.aspx?menuIndex=3&amp;refID=7166718&amp;Result=3","7166718")</f>
        <v>0</v>
      </c>
      <c r="B1587" t="s">
        <v>759</v>
      </c>
      <c r="C1587" t="s">
        <v>5426</v>
      </c>
      <c r="E1587" t="s">
        <v>20542</v>
      </c>
      <c r="F1587" t="s">
        <v>32831</v>
      </c>
      <c r="G1587" t="s">
        <v>32838</v>
      </c>
      <c r="H1587" t="s">
        <v>32848</v>
      </c>
      <c r="I1587" t="s">
        <v>32866</v>
      </c>
      <c r="J1587" t="s">
        <v>33039</v>
      </c>
      <c r="K1587" t="s">
        <v>42732</v>
      </c>
      <c r="M1587" t="s">
        <v>43783</v>
      </c>
      <c r="N1587" t="s">
        <v>47424</v>
      </c>
      <c r="O1587" t="s">
        <v>47425</v>
      </c>
      <c r="P1587">
        <v>0</v>
      </c>
      <c r="Q1587">
        <v>0</v>
      </c>
      <c r="R1587" t="s">
        <v>47429</v>
      </c>
      <c r="S1587" t="s">
        <v>47542</v>
      </c>
      <c r="T1587" t="s">
        <v>49129</v>
      </c>
      <c r="U1587" t="s">
        <v>51068</v>
      </c>
      <c r="W1587" t="s">
        <v>43783</v>
      </c>
      <c r="X1587" t="s">
        <v>47426</v>
      </c>
    </row>
    <row r="1588" spans="1:24">
      <c r="A1588">
        <f>HYPERLINK("https://www.philgeps.gov.ph/GEPSNONPILOT/Tender/SplashBidNoticeAbstractUI.aspx?menuIndex=3&amp;refID=7166707&amp;Result=3","7166707")</f>
        <v>0</v>
      </c>
      <c r="B1588" t="s">
        <v>680</v>
      </c>
      <c r="C1588" t="s">
        <v>5427</v>
      </c>
      <c r="D1588" t="s">
        <v>19018</v>
      </c>
      <c r="E1588" t="s">
        <v>20543</v>
      </c>
      <c r="F1588" t="s">
        <v>32831</v>
      </c>
      <c r="G1588" t="s">
        <v>32838</v>
      </c>
      <c r="H1588" t="s">
        <v>32848</v>
      </c>
      <c r="I1588" t="s">
        <v>32867</v>
      </c>
      <c r="J1588" t="s">
        <v>34107</v>
      </c>
      <c r="K1588" t="s">
        <v>42732</v>
      </c>
      <c r="M1588" t="s">
        <v>43784</v>
      </c>
      <c r="N1588" t="s">
        <v>47424</v>
      </c>
      <c r="O1588" t="s">
        <v>47425</v>
      </c>
      <c r="P1588">
        <v>0</v>
      </c>
      <c r="Q1588">
        <v>0</v>
      </c>
      <c r="R1588" t="s">
        <v>47429</v>
      </c>
      <c r="S1588" t="s">
        <v>47542</v>
      </c>
      <c r="T1588" t="s">
        <v>49103</v>
      </c>
      <c r="U1588" t="s">
        <v>51069</v>
      </c>
      <c r="W1588" t="s">
        <v>43784</v>
      </c>
      <c r="X1588" t="s">
        <v>47426</v>
      </c>
    </row>
    <row r="1589" spans="1:24">
      <c r="A1589">
        <f>HYPERLINK("https://www.philgeps.gov.ph/GEPSNONPILOT/Tender/SplashBidNoticeAbstractUI.aspx?menuIndex=3&amp;refID=7166703&amp;Result=3","7166703")</f>
        <v>0</v>
      </c>
      <c r="B1589" t="s">
        <v>711</v>
      </c>
      <c r="C1589" t="s">
        <v>5428</v>
      </c>
      <c r="D1589" t="s">
        <v>19060</v>
      </c>
      <c r="E1589" t="s">
        <v>20544</v>
      </c>
      <c r="F1589" t="s">
        <v>32831</v>
      </c>
      <c r="G1589" t="s">
        <v>32839</v>
      </c>
      <c r="H1589" t="s">
        <v>32848</v>
      </c>
      <c r="I1589" t="s">
        <v>32870</v>
      </c>
      <c r="J1589" t="s">
        <v>33044</v>
      </c>
      <c r="K1589" t="s">
        <v>42730</v>
      </c>
      <c r="M1589" t="s">
        <v>43731</v>
      </c>
      <c r="N1589" t="s">
        <v>47424</v>
      </c>
      <c r="O1589" t="s">
        <v>47425</v>
      </c>
      <c r="P1589">
        <v>0</v>
      </c>
      <c r="Q1589">
        <v>0</v>
      </c>
      <c r="R1589" t="s">
        <v>47429</v>
      </c>
      <c r="S1589" t="s">
        <v>47542</v>
      </c>
      <c r="T1589" t="s">
        <v>49063</v>
      </c>
      <c r="U1589" t="s">
        <v>51070</v>
      </c>
      <c r="W1589" t="s">
        <v>43731</v>
      </c>
      <c r="X1589" t="s">
        <v>47426</v>
      </c>
    </row>
    <row r="1590" spans="1:24">
      <c r="A1590">
        <f>HYPERLINK("https://www.philgeps.gov.ph/GEPSNONPILOT/Tender/SplashBidNoticeAbstractUI.aspx?menuIndex=3&amp;refID=7166713&amp;Result=3","7166713")</f>
        <v>0</v>
      </c>
      <c r="B1590" t="s">
        <v>747</v>
      </c>
      <c r="C1590" t="s">
        <v>5429</v>
      </c>
      <c r="D1590" t="s">
        <v>19041</v>
      </c>
      <c r="E1590" t="s">
        <v>20545</v>
      </c>
      <c r="F1590" t="s">
        <v>32831</v>
      </c>
      <c r="G1590" t="s">
        <v>32838</v>
      </c>
      <c r="H1590" t="s">
        <v>32848</v>
      </c>
      <c r="I1590" t="s">
        <v>7416</v>
      </c>
      <c r="J1590" t="s">
        <v>34108</v>
      </c>
      <c r="K1590" t="s">
        <v>42727</v>
      </c>
      <c r="M1590" t="s">
        <v>43770</v>
      </c>
      <c r="N1590" t="s">
        <v>47424</v>
      </c>
      <c r="O1590" t="s">
        <v>47425</v>
      </c>
      <c r="P1590">
        <v>0</v>
      </c>
      <c r="Q1590">
        <v>0</v>
      </c>
      <c r="R1590" t="s">
        <v>47429</v>
      </c>
      <c r="S1590" t="s">
        <v>47542</v>
      </c>
      <c r="T1590" t="s">
        <v>49089</v>
      </c>
      <c r="U1590" t="s">
        <v>51071</v>
      </c>
      <c r="W1590" t="s">
        <v>43770</v>
      </c>
      <c r="X1590" t="s">
        <v>47426</v>
      </c>
    </row>
    <row r="1591" spans="1:24">
      <c r="A1591">
        <f>HYPERLINK("https://www.philgeps.gov.ph/GEPSNONPILOT/Tender/SplashBidNoticeAbstractUI.aspx?menuIndex=3&amp;refID=7166712&amp;Result=3","7166712")</f>
        <v>0</v>
      </c>
      <c r="B1591" t="s">
        <v>458</v>
      </c>
      <c r="C1591" t="s">
        <v>5430</v>
      </c>
      <c r="D1591" t="s">
        <v>19022</v>
      </c>
      <c r="E1591" t="s">
        <v>20546</v>
      </c>
      <c r="F1591" t="s">
        <v>32831</v>
      </c>
      <c r="G1591" t="s">
        <v>32838</v>
      </c>
      <c r="H1591" t="s">
        <v>32850</v>
      </c>
      <c r="I1591" t="s">
        <v>32864</v>
      </c>
      <c r="J1591" t="s">
        <v>34109</v>
      </c>
      <c r="K1591" t="s">
        <v>42726</v>
      </c>
      <c r="M1591" t="s">
        <v>43785</v>
      </c>
      <c r="N1591" t="s">
        <v>47424</v>
      </c>
      <c r="O1591" t="s">
        <v>47425</v>
      </c>
      <c r="P1591">
        <v>0</v>
      </c>
      <c r="Q1591">
        <v>0</v>
      </c>
      <c r="R1591" t="s">
        <v>47429</v>
      </c>
      <c r="S1591" t="s">
        <v>47542</v>
      </c>
      <c r="T1591" t="s">
        <v>49119</v>
      </c>
      <c r="U1591" t="s">
        <v>51072</v>
      </c>
      <c r="V1591" t="s">
        <v>62798</v>
      </c>
      <c r="W1591" t="s">
        <v>43785</v>
      </c>
      <c r="X1591" t="s">
        <v>47426</v>
      </c>
    </row>
    <row r="1592" spans="1:24">
      <c r="A1592">
        <f>HYPERLINK("https://www.philgeps.gov.ph/GEPSNONPILOT/Tender/SplashBidNoticeAbstractUI.aspx?menuIndex=3&amp;refID=7166701&amp;Result=3","7166701")</f>
        <v>0</v>
      </c>
      <c r="B1592" t="s">
        <v>33</v>
      </c>
      <c r="C1592" t="s">
        <v>5431</v>
      </c>
      <c r="D1592" t="s">
        <v>19024</v>
      </c>
      <c r="E1592" t="s">
        <v>20547</v>
      </c>
      <c r="F1592" t="s">
        <v>32831</v>
      </c>
      <c r="G1592" t="s">
        <v>32838</v>
      </c>
      <c r="H1592" t="s">
        <v>32848</v>
      </c>
      <c r="I1592" t="s">
        <v>32883</v>
      </c>
      <c r="J1592" t="s">
        <v>33241</v>
      </c>
      <c r="K1592" t="s">
        <v>42745</v>
      </c>
      <c r="M1592" t="s">
        <v>43030</v>
      </c>
      <c r="N1592" t="s">
        <v>47424</v>
      </c>
      <c r="O1592" t="s">
        <v>47425</v>
      </c>
      <c r="P1592">
        <v>0</v>
      </c>
      <c r="Q1592">
        <v>0</v>
      </c>
      <c r="R1592" t="s">
        <v>47429</v>
      </c>
      <c r="S1592" t="s">
        <v>47542</v>
      </c>
      <c r="T1592" t="s">
        <v>49129</v>
      </c>
      <c r="U1592" t="s">
        <v>51073</v>
      </c>
      <c r="W1592" t="s">
        <v>43030</v>
      </c>
      <c r="X1592" t="s">
        <v>47426</v>
      </c>
    </row>
    <row r="1593" spans="1:24">
      <c r="A1593">
        <f>HYPERLINK("https://www.philgeps.gov.ph/GEPSNONPILOT/Tender/SplashBidNoticeAbstractUI.aspx?menuIndex=3&amp;refID=7166698&amp;Result=3","7166698")</f>
        <v>0</v>
      </c>
      <c r="B1593" t="s">
        <v>760</v>
      </c>
      <c r="C1593" t="s">
        <v>5432</v>
      </c>
      <c r="D1593" t="s">
        <v>19021</v>
      </c>
      <c r="E1593" t="s">
        <v>20548</v>
      </c>
      <c r="F1593" t="s">
        <v>32831</v>
      </c>
      <c r="G1593" t="s">
        <v>32839</v>
      </c>
      <c r="H1593" t="s">
        <v>32848</v>
      </c>
      <c r="I1593" t="s">
        <v>8577</v>
      </c>
      <c r="J1593" t="s">
        <v>33018</v>
      </c>
      <c r="K1593" t="s">
        <v>42726</v>
      </c>
      <c r="M1593" t="s">
        <v>43786</v>
      </c>
      <c r="N1593" t="s">
        <v>47424</v>
      </c>
      <c r="O1593" t="s">
        <v>47425</v>
      </c>
      <c r="P1593">
        <v>0</v>
      </c>
      <c r="Q1593">
        <v>0</v>
      </c>
      <c r="R1593" t="s">
        <v>47429</v>
      </c>
      <c r="S1593" t="s">
        <v>47542</v>
      </c>
      <c r="T1593" t="s">
        <v>49151</v>
      </c>
      <c r="U1593" t="s">
        <v>51074</v>
      </c>
      <c r="W1593" t="s">
        <v>43786</v>
      </c>
      <c r="X1593" t="s">
        <v>47426</v>
      </c>
    </row>
    <row r="1594" spans="1:24">
      <c r="A1594">
        <f>HYPERLINK("https://www.philgeps.gov.ph/GEPSNONPILOT/Tender/SplashBidNoticeAbstractUI.aspx?menuIndex=3&amp;refID=7166704&amp;Result=3","7166704")</f>
        <v>0</v>
      </c>
      <c r="B1594" t="s">
        <v>761</v>
      </c>
      <c r="C1594" t="s">
        <v>5433</v>
      </c>
      <c r="D1594" t="s">
        <v>19022</v>
      </c>
      <c r="E1594" t="s">
        <v>20549</v>
      </c>
      <c r="F1594" t="s">
        <v>32831</v>
      </c>
      <c r="G1594" t="s">
        <v>32838</v>
      </c>
      <c r="H1594" t="s">
        <v>32848</v>
      </c>
      <c r="I1594" t="s">
        <v>10888</v>
      </c>
      <c r="J1594" t="s">
        <v>34110</v>
      </c>
      <c r="K1594" t="s">
        <v>42727</v>
      </c>
      <c r="M1594" t="s">
        <v>43787</v>
      </c>
      <c r="N1594" t="s">
        <v>47424</v>
      </c>
      <c r="O1594" t="s">
        <v>47425</v>
      </c>
      <c r="P1594">
        <v>0</v>
      </c>
      <c r="Q1594">
        <v>0</v>
      </c>
      <c r="R1594" t="s">
        <v>47429</v>
      </c>
      <c r="S1594" t="s">
        <v>47542</v>
      </c>
      <c r="T1594" t="s">
        <v>49123</v>
      </c>
      <c r="U1594" t="s">
        <v>51075</v>
      </c>
      <c r="W1594" t="s">
        <v>43787</v>
      </c>
      <c r="X1594" t="s">
        <v>47426</v>
      </c>
    </row>
    <row r="1595" spans="1:24">
      <c r="A1595">
        <f>HYPERLINK("https://www.philgeps.gov.ph/GEPSNONPILOT/Tender/SplashBidNoticeAbstractUI.aspx?menuIndex=3&amp;refID=7166722&amp;Result=3","7166722")</f>
        <v>0</v>
      </c>
      <c r="B1595" t="s">
        <v>726</v>
      </c>
      <c r="C1595" t="s">
        <v>5434</v>
      </c>
      <c r="E1595" t="s">
        <v>20550</v>
      </c>
      <c r="F1595" t="s">
        <v>32831</v>
      </c>
      <c r="G1595" t="s">
        <v>32839</v>
      </c>
      <c r="H1595" t="s">
        <v>32849</v>
      </c>
      <c r="I1595" t="s">
        <v>4177</v>
      </c>
      <c r="J1595" t="s">
        <v>34111</v>
      </c>
      <c r="K1595" t="s">
        <v>42732</v>
      </c>
      <c r="M1595" t="s">
        <v>43747</v>
      </c>
      <c r="N1595" t="s">
        <v>47424</v>
      </c>
      <c r="O1595" t="s">
        <v>47425</v>
      </c>
      <c r="P1595">
        <v>0</v>
      </c>
      <c r="Q1595">
        <v>0</v>
      </c>
      <c r="R1595" t="s">
        <v>47429</v>
      </c>
      <c r="S1595" t="s">
        <v>47542</v>
      </c>
      <c r="T1595" t="s">
        <v>49158</v>
      </c>
      <c r="U1595" t="s">
        <v>51076</v>
      </c>
      <c r="W1595" t="s">
        <v>43747</v>
      </c>
      <c r="X1595" t="s">
        <v>47426</v>
      </c>
    </row>
    <row r="1596" spans="1:24">
      <c r="A1596">
        <f>HYPERLINK("https://www.philgeps.gov.ph/GEPSNONPILOT/Tender/SplashBidNoticeAbstractUI.aspx?menuIndex=3&amp;refID=7166700&amp;Result=3","7166700")</f>
        <v>0</v>
      </c>
      <c r="B1596" t="s">
        <v>192</v>
      </c>
      <c r="C1596" t="s">
        <v>5435</v>
      </c>
      <c r="D1596" t="s">
        <v>19057</v>
      </c>
      <c r="E1596" t="s">
        <v>20551</v>
      </c>
      <c r="F1596" t="s">
        <v>32831</v>
      </c>
      <c r="G1596" t="s">
        <v>32838</v>
      </c>
      <c r="H1596" t="s">
        <v>32848</v>
      </c>
      <c r="I1596" t="s">
        <v>32863</v>
      </c>
      <c r="J1596" t="s">
        <v>34112</v>
      </c>
      <c r="K1596" t="s">
        <v>42732</v>
      </c>
      <c r="M1596" t="s">
        <v>43190</v>
      </c>
      <c r="N1596" t="s">
        <v>47424</v>
      </c>
      <c r="O1596" t="s">
        <v>47425</v>
      </c>
      <c r="P1596">
        <v>0</v>
      </c>
      <c r="Q1596">
        <v>0</v>
      </c>
      <c r="R1596" t="s">
        <v>47429</v>
      </c>
      <c r="S1596" t="s">
        <v>47542</v>
      </c>
      <c r="T1596" t="s">
        <v>49169</v>
      </c>
      <c r="U1596" t="s">
        <v>51077</v>
      </c>
      <c r="W1596" t="s">
        <v>43190</v>
      </c>
      <c r="X1596" t="s">
        <v>47426</v>
      </c>
    </row>
    <row r="1597" spans="1:24">
      <c r="A1597">
        <f>HYPERLINK("https://www.philgeps.gov.ph/GEPSNONPILOT/Tender/SplashBidNoticeAbstractUI.aspx?menuIndex=3&amp;refID=7166675&amp;Result=3","7166675")</f>
        <v>0</v>
      </c>
      <c r="B1597" t="s">
        <v>762</v>
      </c>
      <c r="C1597" t="s">
        <v>5436</v>
      </c>
      <c r="E1597" t="s">
        <v>20552</v>
      </c>
      <c r="F1597" t="s">
        <v>32831</v>
      </c>
      <c r="G1597" t="s">
        <v>32839</v>
      </c>
      <c r="H1597" t="s">
        <v>32848</v>
      </c>
      <c r="I1597" t="s">
        <v>4177</v>
      </c>
      <c r="J1597" t="s">
        <v>34113</v>
      </c>
      <c r="K1597" t="s">
        <v>42732</v>
      </c>
      <c r="M1597" t="s">
        <v>43788</v>
      </c>
      <c r="N1597" t="s">
        <v>47424</v>
      </c>
      <c r="O1597" t="s">
        <v>47425</v>
      </c>
      <c r="P1597">
        <v>0</v>
      </c>
      <c r="Q1597">
        <v>0</v>
      </c>
      <c r="R1597" t="s">
        <v>47429</v>
      </c>
      <c r="S1597" t="s">
        <v>47542</v>
      </c>
      <c r="T1597" t="s">
        <v>49071</v>
      </c>
      <c r="U1597" t="s">
        <v>51078</v>
      </c>
      <c r="W1597" t="s">
        <v>43788</v>
      </c>
      <c r="X1597" t="s">
        <v>47426</v>
      </c>
    </row>
    <row r="1598" spans="1:24">
      <c r="A1598">
        <f>HYPERLINK("https://www.philgeps.gov.ph/GEPSNONPILOT/Tender/SplashBidNoticeAbstractUI.aspx?menuIndex=3&amp;refID=7166677&amp;Result=3","7166677")</f>
        <v>0</v>
      </c>
      <c r="B1598" t="s">
        <v>460</v>
      </c>
      <c r="C1598" t="s">
        <v>5437</v>
      </c>
      <c r="D1598" t="s">
        <v>19086</v>
      </c>
      <c r="E1598" t="s">
        <v>20553</v>
      </c>
      <c r="F1598" t="s">
        <v>32831</v>
      </c>
      <c r="G1598" t="s">
        <v>32840</v>
      </c>
      <c r="H1598" t="s">
        <v>32848</v>
      </c>
      <c r="I1598" t="s">
        <v>32867</v>
      </c>
      <c r="J1598" t="s">
        <v>32980</v>
      </c>
      <c r="K1598" t="s">
        <v>42732</v>
      </c>
      <c r="M1598" t="s">
        <v>43465</v>
      </c>
      <c r="N1598" t="s">
        <v>47424</v>
      </c>
      <c r="O1598" t="s">
        <v>47425</v>
      </c>
      <c r="P1598">
        <v>0</v>
      </c>
      <c r="Q1598">
        <v>0</v>
      </c>
      <c r="R1598" t="s">
        <v>47429</v>
      </c>
      <c r="S1598" t="s">
        <v>47542</v>
      </c>
      <c r="T1598" t="s">
        <v>49089</v>
      </c>
      <c r="U1598" t="s">
        <v>51079</v>
      </c>
      <c r="V1598" t="s">
        <v>62728</v>
      </c>
      <c r="W1598" t="s">
        <v>43465</v>
      </c>
      <c r="X1598" t="s">
        <v>47426</v>
      </c>
    </row>
    <row r="1599" spans="1:24">
      <c r="A1599">
        <f>HYPERLINK("https://www.philgeps.gov.ph/GEPSNONPILOT/Tender/SplashBidNoticeAbstractUI.aspx?menuIndex=3&amp;refID=7166673&amp;Result=3","7166673")</f>
        <v>0</v>
      </c>
      <c r="B1599" t="s">
        <v>711</v>
      </c>
      <c r="C1599" t="s">
        <v>5438</v>
      </c>
      <c r="D1599" t="s">
        <v>19060</v>
      </c>
      <c r="E1599" t="s">
        <v>20554</v>
      </c>
      <c r="F1599" t="s">
        <v>32831</v>
      </c>
      <c r="G1599" t="s">
        <v>32839</v>
      </c>
      <c r="H1599" t="s">
        <v>32848</v>
      </c>
      <c r="I1599" t="s">
        <v>7416</v>
      </c>
      <c r="J1599" t="s">
        <v>34114</v>
      </c>
      <c r="K1599" t="s">
        <v>42730</v>
      </c>
      <c r="M1599" t="s">
        <v>43731</v>
      </c>
      <c r="N1599" t="s">
        <v>47424</v>
      </c>
      <c r="O1599" t="s">
        <v>47425</v>
      </c>
      <c r="P1599">
        <v>0</v>
      </c>
      <c r="Q1599">
        <v>0</v>
      </c>
      <c r="R1599" t="s">
        <v>47429</v>
      </c>
      <c r="S1599" t="s">
        <v>47542</v>
      </c>
      <c r="T1599" t="s">
        <v>49063</v>
      </c>
      <c r="U1599" t="s">
        <v>51080</v>
      </c>
      <c r="W1599" t="s">
        <v>43731</v>
      </c>
      <c r="X1599" t="s">
        <v>47426</v>
      </c>
    </row>
    <row r="1600" spans="1:24">
      <c r="A1600">
        <f>HYPERLINK("https://www.philgeps.gov.ph/GEPSNONPILOT/Tender/SplashBidNoticeAbstractUI.aspx?menuIndex=3&amp;refID=7166716&amp;Result=3","7166716")</f>
        <v>0</v>
      </c>
      <c r="B1600" t="s">
        <v>763</v>
      </c>
      <c r="C1600" t="s">
        <v>5439</v>
      </c>
      <c r="D1600" t="s">
        <v>19017</v>
      </c>
      <c r="E1600" t="s">
        <v>20555</v>
      </c>
      <c r="F1600" t="s">
        <v>32831</v>
      </c>
      <c r="G1600" t="s">
        <v>32838</v>
      </c>
      <c r="H1600" t="s">
        <v>32848</v>
      </c>
      <c r="I1600" t="s">
        <v>7416</v>
      </c>
      <c r="J1600" t="s">
        <v>34115</v>
      </c>
      <c r="K1600" t="s">
        <v>42730</v>
      </c>
      <c r="M1600" t="s">
        <v>43789</v>
      </c>
      <c r="N1600" t="s">
        <v>47424</v>
      </c>
      <c r="O1600" t="s">
        <v>47425</v>
      </c>
      <c r="P1600">
        <v>0</v>
      </c>
      <c r="Q1600">
        <v>0</v>
      </c>
      <c r="R1600" t="s">
        <v>47429</v>
      </c>
      <c r="S1600" t="s">
        <v>47542</v>
      </c>
      <c r="T1600" t="s">
        <v>49119</v>
      </c>
      <c r="U1600" t="s">
        <v>51081</v>
      </c>
      <c r="W1600" t="s">
        <v>43789</v>
      </c>
      <c r="X1600" t="s">
        <v>47426</v>
      </c>
    </row>
    <row r="1601" spans="1:24">
      <c r="A1601">
        <f>HYPERLINK("https://www.philgeps.gov.ph/GEPSNONPILOT/Tender/SplashBidNoticeAbstractUI.aspx?menuIndex=3&amp;refID=7166749&amp;Result=3","7166749")</f>
        <v>0</v>
      </c>
      <c r="B1601" t="s">
        <v>263</v>
      </c>
      <c r="C1601" t="s">
        <v>5440</v>
      </c>
      <c r="D1601" t="s">
        <v>19083</v>
      </c>
      <c r="E1601" t="s">
        <v>20556</v>
      </c>
      <c r="F1601" t="s">
        <v>32831</v>
      </c>
      <c r="G1601" t="s">
        <v>32838</v>
      </c>
      <c r="H1601" t="s">
        <v>32848</v>
      </c>
      <c r="I1601" t="s">
        <v>32870</v>
      </c>
      <c r="J1601" t="s">
        <v>34116</v>
      </c>
      <c r="K1601" t="s">
        <v>42727</v>
      </c>
      <c r="M1601" t="s">
        <v>43262</v>
      </c>
      <c r="N1601" t="s">
        <v>47424</v>
      </c>
      <c r="O1601" t="s">
        <v>47425</v>
      </c>
      <c r="P1601">
        <v>0</v>
      </c>
      <c r="Q1601">
        <v>0</v>
      </c>
      <c r="R1601" t="s">
        <v>47429</v>
      </c>
      <c r="S1601" t="s">
        <v>47542</v>
      </c>
      <c r="T1601" t="s">
        <v>49170</v>
      </c>
      <c r="U1601" t="s">
        <v>51082</v>
      </c>
      <c r="W1601" t="s">
        <v>43262</v>
      </c>
      <c r="X1601" t="s">
        <v>47426</v>
      </c>
    </row>
    <row r="1602" spans="1:24">
      <c r="A1602">
        <f>HYPERLINK("https://www.philgeps.gov.ph/GEPSNONPILOT/Tender/SplashBidNoticeAbstractUI.aspx?menuIndex=3&amp;refID=7166746&amp;Result=3","7166746")</f>
        <v>0</v>
      </c>
      <c r="B1602" t="s">
        <v>33</v>
      </c>
      <c r="C1602" t="s">
        <v>5441</v>
      </c>
      <c r="D1602" t="s">
        <v>19024</v>
      </c>
      <c r="E1602" t="s">
        <v>20557</v>
      </c>
      <c r="F1602" t="s">
        <v>32831</v>
      </c>
      <c r="G1602" t="s">
        <v>32842</v>
      </c>
      <c r="H1602" t="s">
        <v>32848</v>
      </c>
      <c r="I1602" t="s">
        <v>9577</v>
      </c>
      <c r="J1602" t="s">
        <v>34117</v>
      </c>
      <c r="K1602" t="s">
        <v>42745</v>
      </c>
      <c r="M1602" t="s">
        <v>43030</v>
      </c>
      <c r="N1602" t="s">
        <v>47424</v>
      </c>
      <c r="O1602" t="s">
        <v>47425</v>
      </c>
      <c r="P1602">
        <v>0</v>
      </c>
      <c r="Q1602">
        <v>0</v>
      </c>
      <c r="R1602" t="s">
        <v>47429</v>
      </c>
      <c r="S1602" t="s">
        <v>47542</v>
      </c>
      <c r="T1602" t="s">
        <v>49129</v>
      </c>
      <c r="U1602" t="s">
        <v>51083</v>
      </c>
      <c r="W1602" t="s">
        <v>43030</v>
      </c>
      <c r="X1602" t="s">
        <v>47426</v>
      </c>
    </row>
    <row r="1603" spans="1:24">
      <c r="A1603">
        <f>HYPERLINK("https://www.philgeps.gov.ph/GEPSNONPILOT/Tender/SplashBidNoticeAbstractUI.aspx?menuIndex=3&amp;refID=7166699&amp;Result=3","7166699")</f>
        <v>0</v>
      </c>
      <c r="B1603" t="s">
        <v>764</v>
      </c>
      <c r="C1603" t="s">
        <v>5283</v>
      </c>
      <c r="D1603" t="s">
        <v>19086</v>
      </c>
      <c r="E1603" t="s">
        <v>20558</v>
      </c>
      <c r="F1603" t="s">
        <v>32831</v>
      </c>
      <c r="G1603" t="s">
        <v>32838</v>
      </c>
      <c r="H1603" t="s">
        <v>32848</v>
      </c>
      <c r="I1603" t="s">
        <v>4438</v>
      </c>
      <c r="J1603" t="s">
        <v>33558</v>
      </c>
      <c r="K1603" t="s">
        <v>42727</v>
      </c>
      <c r="M1603" t="s">
        <v>43790</v>
      </c>
      <c r="N1603" t="s">
        <v>47424</v>
      </c>
      <c r="O1603" t="s">
        <v>47425</v>
      </c>
      <c r="P1603">
        <v>0</v>
      </c>
      <c r="Q1603">
        <v>0</v>
      </c>
      <c r="R1603" t="s">
        <v>47429</v>
      </c>
      <c r="S1603" t="s">
        <v>47542</v>
      </c>
      <c r="T1603" t="s">
        <v>49129</v>
      </c>
      <c r="U1603" t="s">
        <v>51084</v>
      </c>
      <c r="V1603" t="s">
        <v>62799</v>
      </c>
      <c r="W1603" t="s">
        <v>43790</v>
      </c>
      <c r="X1603" t="s">
        <v>47426</v>
      </c>
    </row>
    <row r="1604" spans="1:24">
      <c r="A1604">
        <f>HYPERLINK("https://www.philgeps.gov.ph/GEPSNONPILOT/Tender/SplashBidNoticeAbstractUI.aspx?menuIndex=3&amp;refID=7166745&amp;Result=3","7166745")</f>
        <v>0</v>
      </c>
      <c r="B1604" t="s">
        <v>720</v>
      </c>
      <c r="C1604" t="s">
        <v>5442</v>
      </c>
      <c r="D1604" t="s">
        <v>19090</v>
      </c>
      <c r="E1604" t="s">
        <v>20559</v>
      </c>
      <c r="F1604" t="s">
        <v>32831</v>
      </c>
      <c r="G1604" t="s">
        <v>32838</v>
      </c>
      <c r="H1604" t="s">
        <v>32848</v>
      </c>
      <c r="I1604" t="s">
        <v>32857</v>
      </c>
      <c r="J1604" t="s">
        <v>34118</v>
      </c>
      <c r="K1604" t="s">
        <v>42727</v>
      </c>
      <c r="M1604" t="s">
        <v>43741</v>
      </c>
      <c r="N1604" t="s">
        <v>47424</v>
      </c>
      <c r="O1604" t="s">
        <v>47425</v>
      </c>
      <c r="P1604">
        <v>0</v>
      </c>
      <c r="Q1604">
        <v>0</v>
      </c>
      <c r="R1604" t="s">
        <v>47429</v>
      </c>
      <c r="S1604" t="s">
        <v>47542</v>
      </c>
      <c r="T1604" t="s">
        <v>49089</v>
      </c>
      <c r="U1604" t="s">
        <v>51085</v>
      </c>
      <c r="W1604" t="s">
        <v>64445</v>
      </c>
      <c r="X1604" t="s">
        <v>47426</v>
      </c>
    </row>
    <row r="1605" spans="1:24">
      <c r="A1605">
        <f>HYPERLINK("https://www.philgeps.gov.ph/GEPSNONPILOT/Tender/SplashBidNoticeAbstractUI.aspx?menuIndex=3&amp;refID=7166742&amp;Result=3","7166742")</f>
        <v>0</v>
      </c>
      <c r="B1605" t="s">
        <v>228</v>
      </c>
      <c r="C1605" t="s">
        <v>5443</v>
      </c>
      <c r="D1605" t="s">
        <v>19033</v>
      </c>
      <c r="E1605" t="s">
        <v>20560</v>
      </c>
      <c r="F1605" t="s">
        <v>32831</v>
      </c>
      <c r="G1605" t="s">
        <v>32838</v>
      </c>
      <c r="H1605" t="s">
        <v>32848</v>
      </c>
      <c r="I1605" t="s">
        <v>4340</v>
      </c>
      <c r="J1605" t="s">
        <v>34119</v>
      </c>
      <c r="K1605" t="s">
        <v>42732</v>
      </c>
      <c r="M1605" t="s">
        <v>43791</v>
      </c>
      <c r="N1605" t="s">
        <v>47424</v>
      </c>
      <c r="O1605" t="s">
        <v>47425</v>
      </c>
      <c r="P1605">
        <v>0</v>
      </c>
      <c r="Q1605">
        <v>0</v>
      </c>
      <c r="R1605" t="s">
        <v>47429</v>
      </c>
      <c r="S1605" t="s">
        <v>47542</v>
      </c>
      <c r="T1605" t="s">
        <v>49089</v>
      </c>
      <c r="U1605" t="s">
        <v>51086</v>
      </c>
      <c r="V1605" t="s">
        <v>62800</v>
      </c>
      <c r="W1605" t="s">
        <v>43791</v>
      </c>
      <c r="X1605" t="s">
        <v>47426</v>
      </c>
    </row>
    <row r="1606" spans="1:24">
      <c r="A1606">
        <f>HYPERLINK("https://www.philgeps.gov.ph/GEPSNONPILOT/Tender/SplashBidNoticeAbstractUI.aspx?menuIndex=3&amp;refID=7166739&amp;Result=3","7166739")</f>
        <v>0</v>
      </c>
      <c r="B1606" t="s">
        <v>746</v>
      </c>
      <c r="C1606" t="s">
        <v>5444</v>
      </c>
      <c r="D1606" t="s">
        <v>19078</v>
      </c>
      <c r="E1606" t="s">
        <v>20561</v>
      </c>
      <c r="F1606" t="s">
        <v>32831</v>
      </c>
      <c r="G1606" t="s">
        <v>32838</v>
      </c>
      <c r="H1606" t="s">
        <v>32848</v>
      </c>
      <c r="I1606" t="s">
        <v>4776</v>
      </c>
      <c r="J1606" t="s">
        <v>34120</v>
      </c>
      <c r="K1606" t="s">
        <v>42726</v>
      </c>
      <c r="M1606" t="s">
        <v>43769</v>
      </c>
      <c r="N1606" t="s">
        <v>47424</v>
      </c>
      <c r="O1606" t="s">
        <v>47425</v>
      </c>
      <c r="P1606">
        <v>0</v>
      </c>
      <c r="Q1606">
        <v>0</v>
      </c>
      <c r="R1606" t="s">
        <v>47429</v>
      </c>
      <c r="S1606" t="s">
        <v>47542</v>
      </c>
      <c r="T1606" t="s">
        <v>49268</v>
      </c>
      <c r="U1606" t="s">
        <v>50389</v>
      </c>
      <c r="W1606" t="s">
        <v>43769</v>
      </c>
      <c r="X1606" t="s">
        <v>47426</v>
      </c>
    </row>
    <row r="1607" spans="1:24">
      <c r="A1607">
        <f>HYPERLINK("https://www.philgeps.gov.ph/GEPSNONPILOT/Tender/SplashBidNoticeAbstractUI.aspx?menuIndex=3&amp;refID=7166744&amp;Result=3","7166744")</f>
        <v>0</v>
      </c>
      <c r="B1607" t="s">
        <v>765</v>
      </c>
      <c r="C1607" t="s">
        <v>5445</v>
      </c>
      <c r="D1607" t="s">
        <v>19022</v>
      </c>
      <c r="E1607" t="s">
        <v>20562</v>
      </c>
      <c r="F1607" t="s">
        <v>32831</v>
      </c>
      <c r="G1607" t="s">
        <v>32838</v>
      </c>
      <c r="H1607" t="s">
        <v>32848</v>
      </c>
      <c r="I1607" t="s">
        <v>4776</v>
      </c>
      <c r="J1607" t="s">
        <v>34121</v>
      </c>
      <c r="K1607" t="s">
        <v>42731</v>
      </c>
      <c r="M1607" t="s">
        <v>43792</v>
      </c>
      <c r="N1607" t="s">
        <v>47424</v>
      </c>
      <c r="O1607" t="s">
        <v>47425</v>
      </c>
      <c r="P1607">
        <v>0</v>
      </c>
      <c r="Q1607">
        <v>0</v>
      </c>
      <c r="R1607" t="s">
        <v>47429</v>
      </c>
      <c r="S1607" t="s">
        <v>47542</v>
      </c>
      <c r="T1607" t="s">
        <v>49089</v>
      </c>
      <c r="U1607" t="s">
        <v>51087</v>
      </c>
      <c r="V1607" t="s">
        <v>62801</v>
      </c>
      <c r="W1607" t="s">
        <v>43792</v>
      </c>
      <c r="X1607" t="s">
        <v>47426</v>
      </c>
    </row>
    <row r="1608" spans="1:24">
      <c r="A1608">
        <f>HYPERLINK("https://www.philgeps.gov.ph/GEPSNONPILOT/Tender/SplashBidNoticeAbstractUI.aspx?menuIndex=3&amp;refID=7166740&amp;Result=3","7166740")</f>
        <v>0</v>
      </c>
      <c r="B1608" t="s">
        <v>725</v>
      </c>
      <c r="C1608" t="s">
        <v>5446</v>
      </c>
      <c r="D1608" t="s">
        <v>19052</v>
      </c>
      <c r="E1608" t="s">
        <v>20563</v>
      </c>
      <c r="F1608" t="s">
        <v>32831</v>
      </c>
      <c r="G1608" t="s">
        <v>32838</v>
      </c>
      <c r="H1608" t="s">
        <v>32848</v>
      </c>
      <c r="I1608" t="s">
        <v>32864</v>
      </c>
      <c r="J1608" t="s">
        <v>33118</v>
      </c>
      <c r="K1608" t="s">
        <v>42731</v>
      </c>
      <c r="M1608" t="s">
        <v>43793</v>
      </c>
      <c r="N1608" t="s">
        <v>47424</v>
      </c>
      <c r="O1608" t="s">
        <v>47425</v>
      </c>
      <c r="P1608">
        <v>0</v>
      </c>
      <c r="Q1608">
        <v>0</v>
      </c>
      <c r="R1608" t="s">
        <v>47429</v>
      </c>
      <c r="S1608" t="s">
        <v>47542</v>
      </c>
      <c r="T1608" t="s">
        <v>49129</v>
      </c>
      <c r="U1608" t="s">
        <v>51088</v>
      </c>
      <c r="W1608" t="s">
        <v>43793</v>
      </c>
      <c r="X1608" t="s">
        <v>47426</v>
      </c>
    </row>
    <row r="1609" spans="1:24">
      <c r="A1609">
        <f>HYPERLINK("https://www.philgeps.gov.ph/GEPSNONPILOT/Tender/SplashBidNoticeAbstractUI.aspx?menuIndex=3&amp;refID=7166702&amp;Result=3","7166702")</f>
        <v>0</v>
      </c>
      <c r="B1609" t="s">
        <v>766</v>
      </c>
      <c r="C1609" t="s">
        <v>5447</v>
      </c>
      <c r="E1609" t="s">
        <v>20564</v>
      </c>
      <c r="F1609" t="s">
        <v>32833</v>
      </c>
      <c r="G1609" t="s">
        <v>32838</v>
      </c>
      <c r="H1609" t="s">
        <v>32848</v>
      </c>
      <c r="I1609" t="s">
        <v>32866</v>
      </c>
      <c r="J1609" t="s">
        <v>34122</v>
      </c>
      <c r="K1609" t="s">
        <v>42763</v>
      </c>
      <c r="M1609" t="s">
        <v>43794</v>
      </c>
      <c r="N1609" t="s">
        <v>47424</v>
      </c>
      <c r="O1609" t="s">
        <v>47425</v>
      </c>
      <c r="P1609">
        <v>0</v>
      </c>
      <c r="Q1609">
        <v>0</v>
      </c>
      <c r="R1609" t="s">
        <v>47429</v>
      </c>
      <c r="S1609" t="s">
        <v>47542</v>
      </c>
      <c r="T1609" t="s">
        <v>49151</v>
      </c>
      <c r="U1609" t="s">
        <v>51089</v>
      </c>
      <c r="W1609" t="s">
        <v>43794</v>
      </c>
      <c r="X1609" t="s">
        <v>47426</v>
      </c>
    </row>
    <row r="1610" spans="1:24">
      <c r="A1610">
        <f>HYPERLINK("https://www.philgeps.gov.ph/GEPSNONPILOT/Tender/SplashBidNoticeAbstractUI.aspx?menuIndex=3&amp;refID=7166736&amp;Result=3","7166736")</f>
        <v>0</v>
      </c>
      <c r="B1610" t="s">
        <v>316</v>
      </c>
      <c r="C1610" t="s">
        <v>5448</v>
      </c>
      <c r="D1610" t="s">
        <v>19023</v>
      </c>
      <c r="E1610" t="s">
        <v>20565</v>
      </c>
      <c r="F1610" t="s">
        <v>32831</v>
      </c>
      <c r="G1610" t="s">
        <v>32838</v>
      </c>
      <c r="H1610" t="s">
        <v>32848</v>
      </c>
      <c r="I1610" t="s">
        <v>6526</v>
      </c>
      <c r="J1610" t="s">
        <v>34123</v>
      </c>
      <c r="K1610" t="s">
        <v>42730</v>
      </c>
      <c r="M1610" t="s">
        <v>43795</v>
      </c>
      <c r="N1610" t="s">
        <v>47424</v>
      </c>
      <c r="O1610" t="s">
        <v>47425</v>
      </c>
      <c r="P1610">
        <v>0</v>
      </c>
      <c r="Q1610">
        <v>0</v>
      </c>
      <c r="R1610" t="s">
        <v>47429</v>
      </c>
      <c r="S1610" t="s">
        <v>47542</v>
      </c>
      <c r="T1610" t="s">
        <v>49073</v>
      </c>
      <c r="U1610" t="s">
        <v>51090</v>
      </c>
      <c r="V1610" t="s">
        <v>62802</v>
      </c>
      <c r="W1610" t="s">
        <v>43795</v>
      </c>
      <c r="X1610" t="s">
        <v>47426</v>
      </c>
    </row>
    <row r="1611" spans="1:24">
      <c r="A1611">
        <f>HYPERLINK("https://www.philgeps.gov.ph/GEPSNONPILOT/Tender/SplashBidNoticeAbstractUI.aspx?menuIndex=3&amp;refID=7166734&amp;Result=3","7166734")</f>
        <v>0</v>
      </c>
      <c r="B1611" t="s">
        <v>709</v>
      </c>
      <c r="C1611" t="s">
        <v>5449</v>
      </c>
      <c r="D1611" t="s">
        <v>19037</v>
      </c>
      <c r="E1611" t="s">
        <v>20566</v>
      </c>
      <c r="F1611" t="s">
        <v>32831</v>
      </c>
      <c r="G1611" t="s">
        <v>32840</v>
      </c>
      <c r="H1611" t="s">
        <v>32848</v>
      </c>
      <c r="I1611" t="s">
        <v>10805</v>
      </c>
      <c r="J1611" t="s">
        <v>33041</v>
      </c>
      <c r="K1611" t="s">
        <v>42732</v>
      </c>
      <c r="M1611" t="s">
        <v>43729</v>
      </c>
      <c r="N1611" t="s">
        <v>47424</v>
      </c>
      <c r="O1611" t="s">
        <v>47425</v>
      </c>
      <c r="P1611">
        <v>0</v>
      </c>
      <c r="Q1611">
        <v>0</v>
      </c>
      <c r="R1611" t="s">
        <v>47429</v>
      </c>
      <c r="S1611" t="s">
        <v>47542</v>
      </c>
      <c r="T1611" t="s">
        <v>49198</v>
      </c>
      <c r="U1611" t="s">
        <v>51091</v>
      </c>
      <c r="V1611" t="s">
        <v>62803</v>
      </c>
      <c r="W1611" t="s">
        <v>43729</v>
      </c>
      <c r="X1611" t="s">
        <v>47426</v>
      </c>
    </row>
    <row r="1612" spans="1:24">
      <c r="A1612">
        <f>HYPERLINK("https://www.philgeps.gov.ph/GEPSNONPILOT/Tender/SplashBidNoticeAbstractUI.aspx?menuIndex=3&amp;refID=7166747&amp;Result=3","7166747")</f>
        <v>0</v>
      </c>
      <c r="B1612" t="s">
        <v>762</v>
      </c>
      <c r="C1612" t="s">
        <v>5450</v>
      </c>
      <c r="E1612" t="s">
        <v>20567</v>
      </c>
      <c r="F1612" t="s">
        <v>32831</v>
      </c>
      <c r="G1612" t="s">
        <v>32839</v>
      </c>
      <c r="H1612" t="s">
        <v>32849</v>
      </c>
      <c r="I1612" t="s">
        <v>4177</v>
      </c>
      <c r="J1612" t="s">
        <v>34124</v>
      </c>
      <c r="K1612" t="s">
        <v>42732</v>
      </c>
      <c r="M1612" t="s">
        <v>43788</v>
      </c>
      <c r="N1612" t="s">
        <v>47424</v>
      </c>
      <c r="O1612" t="s">
        <v>47425</v>
      </c>
      <c r="P1612">
        <v>0</v>
      </c>
      <c r="Q1612">
        <v>0</v>
      </c>
      <c r="R1612" t="s">
        <v>47429</v>
      </c>
      <c r="S1612" t="s">
        <v>47542</v>
      </c>
      <c r="T1612" t="s">
        <v>49071</v>
      </c>
      <c r="U1612" t="s">
        <v>51092</v>
      </c>
      <c r="W1612" t="s">
        <v>43788</v>
      </c>
      <c r="X1612" t="s">
        <v>47426</v>
      </c>
    </row>
    <row r="1613" spans="1:24">
      <c r="A1613">
        <f>HYPERLINK("https://www.philgeps.gov.ph/GEPSNONPILOT/Tender/SplashBidNoticeAbstractUI.aspx?menuIndex=3&amp;refID=7166737&amp;Result=3","7166737")</f>
        <v>0</v>
      </c>
      <c r="B1613" t="s">
        <v>726</v>
      </c>
      <c r="C1613" t="s">
        <v>5451</v>
      </c>
      <c r="E1613" t="s">
        <v>20568</v>
      </c>
      <c r="F1613" t="s">
        <v>32831</v>
      </c>
      <c r="G1613" t="s">
        <v>32839</v>
      </c>
      <c r="H1613" t="s">
        <v>32849</v>
      </c>
      <c r="I1613" t="s">
        <v>4177</v>
      </c>
      <c r="J1613" t="s">
        <v>34125</v>
      </c>
      <c r="K1613" t="s">
        <v>42732</v>
      </c>
      <c r="M1613" t="s">
        <v>43747</v>
      </c>
      <c r="N1613" t="s">
        <v>47424</v>
      </c>
      <c r="O1613" t="s">
        <v>47425</v>
      </c>
      <c r="P1613">
        <v>0</v>
      </c>
      <c r="Q1613">
        <v>0</v>
      </c>
      <c r="R1613" t="s">
        <v>47429</v>
      </c>
      <c r="S1613" t="s">
        <v>47542</v>
      </c>
      <c r="T1613" t="s">
        <v>49158</v>
      </c>
      <c r="U1613" t="s">
        <v>51093</v>
      </c>
      <c r="W1613" t="s">
        <v>43747</v>
      </c>
      <c r="X1613" t="s">
        <v>47426</v>
      </c>
    </row>
    <row r="1614" spans="1:24">
      <c r="A1614">
        <f>HYPERLINK("https://www.philgeps.gov.ph/GEPSNONPILOT/Tender/SplashBidNoticeAbstractUI.aspx?menuIndex=3&amp;refID=7166774&amp;Result=3","7166774")</f>
        <v>0</v>
      </c>
      <c r="B1614" t="s">
        <v>263</v>
      </c>
      <c r="C1614" t="s">
        <v>5452</v>
      </c>
      <c r="D1614" t="s">
        <v>19083</v>
      </c>
      <c r="E1614" t="s">
        <v>20569</v>
      </c>
      <c r="F1614" t="s">
        <v>32831</v>
      </c>
      <c r="G1614" t="s">
        <v>32840</v>
      </c>
      <c r="H1614" t="s">
        <v>32848</v>
      </c>
      <c r="I1614" t="s">
        <v>9577</v>
      </c>
      <c r="J1614" t="s">
        <v>34126</v>
      </c>
      <c r="K1614" t="s">
        <v>42727</v>
      </c>
      <c r="M1614" t="s">
        <v>43262</v>
      </c>
      <c r="N1614" t="s">
        <v>47424</v>
      </c>
      <c r="O1614" t="s">
        <v>47425</v>
      </c>
      <c r="P1614">
        <v>0</v>
      </c>
      <c r="Q1614">
        <v>0</v>
      </c>
      <c r="R1614" t="s">
        <v>47429</v>
      </c>
      <c r="S1614" t="s">
        <v>47542</v>
      </c>
      <c r="T1614" t="s">
        <v>49170</v>
      </c>
      <c r="U1614" t="s">
        <v>51094</v>
      </c>
      <c r="W1614" t="s">
        <v>43262</v>
      </c>
      <c r="X1614" t="s">
        <v>47426</v>
      </c>
    </row>
    <row r="1615" spans="1:24">
      <c r="A1615">
        <f>HYPERLINK("https://www.philgeps.gov.ph/GEPSNONPILOT/Tender/SplashBidNoticeAbstractUI.aspx?menuIndex=3&amp;refID=7166771&amp;Result=3","7166771")</f>
        <v>0</v>
      </c>
      <c r="B1615" t="s">
        <v>709</v>
      </c>
      <c r="C1615" t="s">
        <v>5453</v>
      </c>
      <c r="D1615" t="s">
        <v>19037</v>
      </c>
      <c r="E1615" t="s">
        <v>20570</v>
      </c>
      <c r="F1615" t="s">
        <v>32831</v>
      </c>
      <c r="G1615" t="s">
        <v>32838</v>
      </c>
      <c r="H1615" t="s">
        <v>32848</v>
      </c>
      <c r="I1615" t="s">
        <v>32910</v>
      </c>
      <c r="J1615" t="s">
        <v>33018</v>
      </c>
      <c r="K1615" t="s">
        <v>42732</v>
      </c>
      <c r="M1615" t="s">
        <v>43729</v>
      </c>
      <c r="N1615" t="s">
        <v>47424</v>
      </c>
      <c r="O1615" t="s">
        <v>47425</v>
      </c>
      <c r="P1615">
        <v>0</v>
      </c>
      <c r="Q1615">
        <v>0</v>
      </c>
      <c r="R1615" t="s">
        <v>47429</v>
      </c>
      <c r="S1615" t="s">
        <v>47542</v>
      </c>
      <c r="T1615" t="s">
        <v>49198</v>
      </c>
      <c r="U1615" t="s">
        <v>51095</v>
      </c>
      <c r="V1615" t="s">
        <v>62804</v>
      </c>
      <c r="W1615" t="s">
        <v>43729</v>
      </c>
      <c r="X1615" t="s">
        <v>47426</v>
      </c>
    </row>
    <row r="1616" spans="1:24">
      <c r="A1616">
        <f>HYPERLINK("https://www.philgeps.gov.ph/GEPSNONPILOT/Tender/SplashBidNoticeAbstractUI.aspx?menuIndex=3&amp;refID=7166770&amp;Result=3","7166770")</f>
        <v>0</v>
      </c>
      <c r="B1616" t="s">
        <v>747</v>
      </c>
      <c r="C1616" t="s">
        <v>5454</v>
      </c>
      <c r="D1616" t="s">
        <v>19041</v>
      </c>
      <c r="E1616" t="s">
        <v>20571</v>
      </c>
      <c r="F1616" t="s">
        <v>32831</v>
      </c>
      <c r="G1616" t="s">
        <v>32839</v>
      </c>
      <c r="H1616" t="s">
        <v>32848</v>
      </c>
      <c r="I1616" t="s">
        <v>7416</v>
      </c>
      <c r="J1616" t="s">
        <v>34127</v>
      </c>
      <c r="K1616" t="s">
        <v>42727</v>
      </c>
      <c r="M1616" t="s">
        <v>43770</v>
      </c>
      <c r="N1616" t="s">
        <v>47424</v>
      </c>
      <c r="O1616" t="s">
        <v>47425</v>
      </c>
      <c r="P1616">
        <v>0</v>
      </c>
      <c r="Q1616">
        <v>0</v>
      </c>
      <c r="R1616" t="s">
        <v>47429</v>
      </c>
      <c r="S1616" t="s">
        <v>47542</v>
      </c>
      <c r="T1616" t="s">
        <v>49169</v>
      </c>
      <c r="U1616" t="s">
        <v>51096</v>
      </c>
      <c r="W1616" t="s">
        <v>43770</v>
      </c>
      <c r="X1616" t="s">
        <v>47426</v>
      </c>
    </row>
    <row r="1617" spans="1:24">
      <c r="A1617">
        <f>HYPERLINK("https://www.philgeps.gov.ph/GEPSNONPILOT/Tender/SplashBidNoticeAbstractUI.aspx?menuIndex=3&amp;refID=7166769&amp;Result=3","7166769")</f>
        <v>0</v>
      </c>
      <c r="B1617" t="s">
        <v>726</v>
      </c>
      <c r="C1617" t="s">
        <v>5455</v>
      </c>
      <c r="E1617" t="s">
        <v>20572</v>
      </c>
      <c r="F1617" t="s">
        <v>32831</v>
      </c>
      <c r="G1617" t="s">
        <v>32839</v>
      </c>
      <c r="H1617" t="s">
        <v>32849</v>
      </c>
      <c r="I1617" t="s">
        <v>4177</v>
      </c>
      <c r="J1617" t="s">
        <v>34128</v>
      </c>
      <c r="K1617" t="s">
        <v>42732</v>
      </c>
      <c r="M1617" t="s">
        <v>43747</v>
      </c>
      <c r="N1617" t="s">
        <v>47424</v>
      </c>
      <c r="O1617" t="s">
        <v>47425</v>
      </c>
      <c r="P1617">
        <v>0</v>
      </c>
      <c r="Q1617">
        <v>0</v>
      </c>
      <c r="R1617" t="s">
        <v>47429</v>
      </c>
      <c r="S1617" t="s">
        <v>47542</v>
      </c>
      <c r="T1617" t="s">
        <v>49158</v>
      </c>
      <c r="U1617" t="s">
        <v>51097</v>
      </c>
      <c r="W1617" t="s">
        <v>43747</v>
      </c>
      <c r="X1617" t="s">
        <v>47426</v>
      </c>
    </row>
    <row r="1618" spans="1:24">
      <c r="A1618">
        <f>HYPERLINK("https://www.philgeps.gov.ph/GEPSNONPILOT/Tender/SplashBidNoticeAbstractUI.aspx?menuIndex=3&amp;refID=7166768&amp;Result=3","7166768")</f>
        <v>0</v>
      </c>
      <c r="B1618" t="s">
        <v>764</v>
      </c>
      <c r="C1618" t="s">
        <v>5283</v>
      </c>
      <c r="D1618" t="s">
        <v>19040</v>
      </c>
      <c r="E1618" t="s">
        <v>20573</v>
      </c>
      <c r="F1618" t="s">
        <v>32831</v>
      </c>
      <c r="G1618" t="s">
        <v>32838</v>
      </c>
      <c r="H1618" t="s">
        <v>32848</v>
      </c>
      <c r="I1618" t="s">
        <v>7416</v>
      </c>
      <c r="J1618" t="s">
        <v>34129</v>
      </c>
      <c r="K1618" t="s">
        <v>42727</v>
      </c>
      <c r="M1618" t="s">
        <v>43790</v>
      </c>
      <c r="N1618" t="s">
        <v>47424</v>
      </c>
      <c r="O1618" t="s">
        <v>47425</v>
      </c>
      <c r="P1618">
        <v>0</v>
      </c>
      <c r="Q1618">
        <v>0</v>
      </c>
      <c r="R1618" t="s">
        <v>47429</v>
      </c>
      <c r="S1618" t="s">
        <v>47542</v>
      </c>
      <c r="T1618" t="s">
        <v>49129</v>
      </c>
      <c r="U1618" t="s">
        <v>51098</v>
      </c>
      <c r="V1618" t="s">
        <v>62805</v>
      </c>
      <c r="W1618" t="s">
        <v>43790</v>
      </c>
      <c r="X1618" t="s">
        <v>47426</v>
      </c>
    </row>
    <row r="1619" spans="1:24">
      <c r="A1619">
        <f>HYPERLINK("https://www.philgeps.gov.ph/GEPSNONPILOT/Tender/SplashBidNoticeAbstractUI.aspx?menuIndex=3&amp;refID=7166733&amp;Result=3","7166733")</f>
        <v>0</v>
      </c>
      <c r="B1619" t="s">
        <v>767</v>
      </c>
      <c r="C1619" t="s">
        <v>5456</v>
      </c>
      <c r="D1619" t="s">
        <v>19077</v>
      </c>
      <c r="E1619" t="s">
        <v>20574</v>
      </c>
      <c r="F1619" t="s">
        <v>32831</v>
      </c>
      <c r="G1619" t="s">
        <v>32838</v>
      </c>
      <c r="H1619" t="s">
        <v>32848</v>
      </c>
      <c r="I1619" t="s">
        <v>32857</v>
      </c>
      <c r="J1619" t="s">
        <v>33841</v>
      </c>
      <c r="K1619" t="s">
        <v>42726</v>
      </c>
      <c r="M1619" t="s">
        <v>43796</v>
      </c>
      <c r="N1619" t="s">
        <v>47424</v>
      </c>
      <c r="O1619" t="s">
        <v>47425</v>
      </c>
      <c r="P1619">
        <v>0</v>
      </c>
      <c r="Q1619">
        <v>0</v>
      </c>
      <c r="R1619" t="s">
        <v>47429</v>
      </c>
      <c r="S1619" t="s">
        <v>47542</v>
      </c>
      <c r="T1619" t="s">
        <v>49151</v>
      </c>
      <c r="U1619" t="s">
        <v>51099</v>
      </c>
      <c r="W1619" t="s">
        <v>43796</v>
      </c>
      <c r="X1619" t="s">
        <v>47426</v>
      </c>
    </row>
    <row r="1620" spans="1:24">
      <c r="A1620">
        <f>HYPERLINK("https://www.philgeps.gov.ph/GEPSNONPILOT/Tender/SplashBidNoticeAbstractUI.aspx?menuIndex=3&amp;refID=7166748&amp;Result=3","7166748")</f>
        <v>0</v>
      </c>
      <c r="B1620" t="s">
        <v>768</v>
      </c>
      <c r="C1620" t="s">
        <v>5457</v>
      </c>
      <c r="D1620" t="s">
        <v>19091</v>
      </c>
      <c r="E1620" t="s">
        <v>20575</v>
      </c>
      <c r="F1620" t="s">
        <v>32831</v>
      </c>
      <c r="G1620" t="s">
        <v>32838</v>
      </c>
      <c r="H1620" t="s">
        <v>32848</v>
      </c>
      <c r="I1620" t="s">
        <v>5379</v>
      </c>
      <c r="J1620" t="s">
        <v>34130</v>
      </c>
      <c r="K1620" t="s">
        <v>42726</v>
      </c>
      <c r="M1620" t="s">
        <v>43797</v>
      </c>
      <c r="N1620" t="s">
        <v>47424</v>
      </c>
      <c r="O1620" t="s">
        <v>47425</v>
      </c>
      <c r="P1620">
        <v>0</v>
      </c>
      <c r="Q1620">
        <v>0</v>
      </c>
      <c r="R1620" t="s">
        <v>47429</v>
      </c>
      <c r="S1620" t="s">
        <v>47542</v>
      </c>
      <c r="T1620" t="s">
        <v>49070</v>
      </c>
      <c r="U1620" t="s">
        <v>51100</v>
      </c>
      <c r="W1620" t="s">
        <v>43797</v>
      </c>
      <c r="X1620" t="s">
        <v>47426</v>
      </c>
    </row>
    <row r="1621" spans="1:24">
      <c r="A1621">
        <f>HYPERLINK("https://www.philgeps.gov.ph/GEPSNONPILOT/Tender/SplashBidNoticeAbstractUI.aspx?menuIndex=3&amp;refID=7166766&amp;Result=3","7166766")</f>
        <v>0</v>
      </c>
      <c r="B1621" t="s">
        <v>718</v>
      </c>
      <c r="C1621" t="s">
        <v>5458</v>
      </c>
      <c r="D1621" t="s">
        <v>19017</v>
      </c>
      <c r="E1621" t="s">
        <v>20576</v>
      </c>
      <c r="F1621" t="s">
        <v>32831</v>
      </c>
      <c r="G1621" t="s">
        <v>32840</v>
      </c>
      <c r="H1621" t="s">
        <v>32848</v>
      </c>
      <c r="I1621" t="s">
        <v>7416</v>
      </c>
      <c r="J1621" t="s">
        <v>34131</v>
      </c>
      <c r="K1621" t="s">
        <v>42727</v>
      </c>
      <c r="M1621" t="s">
        <v>43738</v>
      </c>
      <c r="N1621" t="s">
        <v>47424</v>
      </c>
      <c r="O1621" t="s">
        <v>47425</v>
      </c>
      <c r="P1621">
        <v>0</v>
      </c>
      <c r="Q1621">
        <v>0</v>
      </c>
      <c r="R1621" t="s">
        <v>47429</v>
      </c>
      <c r="S1621" t="s">
        <v>47542</v>
      </c>
      <c r="T1621" t="s">
        <v>49261</v>
      </c>
      <c r="U1621" t="s">
        <v>51000</v>
      </c>
      <c r="V1621" t="s">
        <v>62792</v>
      </c>
      <c r="W1621" t="s">
        <v>43738</v>
      </c>
      <c r="X1621" t="s">
        <v>47426</v>
      </c>
    </row>
    <row r="1622" spans="1:24">
      <c r="A1622">
        <f>HYPERLINK("https://www.philgeps.gov.ph/GEPSNONPILOT/Tender/SplashBidNoticeAbstractUI.aspx?menuIndex=3&amp;refID=7166764&amp;Result=3","7166764")</f>
        <v>0</v>
      </c>
      <c r="B1622" t="s">
        <v>33</v>
      </c>
      <c r="C1622" t="s">
        <v>5459</v>
      </c>
      <c r="D1622" t="s">
        <v>19024</v>
      </c>
      <c r="E1622" t="s">
        <v>20577</v>
      </c>
      <c r="F1622" t="s">
        <v>32831</v>
      </c>
      <c r="G1622" t="s">
        <v>32838</v>
      </c>
      <c r="H1622" t="s">
        <v>32848</v>
      </c>
      <c r="I1622" t="s">
        <v>6526</v>
      </c>
      <c r="J1622" t="s">
        <v>34132</v>
      </c>
      <c r="K1622" t="s">
        <v>42745</v>
      </c>
      <c r="M1622" t="s">
        <v>43030</v>
      </c>
      <c r="N1622" t="s">
        <v>47424</v>
      </c>
      <c r="O1622" t="s">
        <v>47425</v>
      </c>
      <c r="P1622">
        <v>0</v>
      </c>
      <c r="Q1622">
        <v>0</v>
      </c>
      <c r="R1622" t="s">
        <v>47429</v>
      </c>
      <c r="S1622" t="s">
        <v>47542</v>
      </c>
      <c r="T1622" t="s">
        <v>49129</v>
      </c>
      <c r="U1622" t="s">
        <v>51101</v>
      </c>
      <c r="W1622" t="s">
        <v>43030</v>
      </c>
      <c r="X1622" t="s">
        <v>47426</v>
      </c>
    </row>
    <row r="1623" spans="1:24">
      <c r="A1623">
        <f>HYPERLINK("https://www.philgeps.gov.ph/GEPSNONPILOT/Tender/SplashBidNoticeAbstractUI.aspx?menuIndex=3&amp;refID=7166762&amp;Result=3","7166762")</f>
        <v>0</v>
      </c>
      <c r="B1623" t="s">
        <v>769</v>
      </c>
      <c r="C1623" t="s">
        <v>5460</v>
      </c>
      <c r="D1623" t="s">
        <v>19077</v>
      </c>
      <c r="E1623" t="s">
        <v>20578</v>
      </c>
      <c r="F1623" t="s">
        <v>32831</v>
      </c>
      <c r="G1623" t="s">
        <v>32840</v>
      </c>
      <c r="H1623" t="s">
        <v>32848</v>
      </c>
      <c r="I1623" t="s">
        <v>32862</v>
      </c>
      <c r="J1623" t="s">
        <v>34133</v>
      </c>
      <c r="K1623" t="s">
        <v>42732</v>
      </c>
      <c r="M1623" t="s">
        <v>43798</v>
      </c>
      <c r="N1623" t="s">
        <v>47424</v>
      </c>
      <c r="O1623" t="s">
        <v>47425</v>
      </c>
      <c r="P1623">
        <v>0</v>
      </c>
      <c r="Q1623">
        <v>0</v>
      </c>
      <c r="R1623" t="s">
        <v>47429</v>
      </c>
      <c r="S1623" t="s">
        <v>47542</v>
      </c>
      <c r="T1623" t="s">
        <v>49124</v>
      </c>
      <c r="U1623" t="s">
        <v>51102</v>
      </c>
      <c r="W1623" t="s">
        <v>43798</v>
      </c>
      <c r="X1623" t="s">
        <v>47426</v>
      </c>
    </row>
    <row r="1624" spans="1:24">
      <c r="A1624">
        <f>HYPERLINK("https://www.philgeps.gov.ph/GEPSNONPILOT/Tender/SplashBidNoticeAbstractUI.aspx?menuIndex=3&amp;refID=7166772&amp;Result=3","7166772")</f>
        <v>0</v>
      </c>
      <c r="B1624" t="s">
        <v>770</v>
      </c>
      <c r="C1624" t="s">
        <v>5461</v>
      </c>
      <c r="D1624" t="s">
        <v>19042</v>
      </c>
      <c r="E1624" t="s">
        <v>20579</v>
      </c>
      <c r="F1624" t="s">
        <v>32831</v>
      </c>
      <c r="G1624" t="s">
        <v>32839</v>
      </c>
      <c r="H1624" t="s">
        <v>32848</v>
      </c>
      <c r="I1624" t="s">
        <v>4303</v>
      </c>
      <c r="J1624" t="s">
        <v>34134</v>
      </c>
      <c r="K1624" t="s">
        <v>42747</v>
      </c>
      <c r="M1624" t="s">
        <v>43799</v>
      </c>
      <c r="N1624" t="s">
        <v>47424</v>
      </c>
      <c r="O1624" t="s">
        <v>47425</v>
      </c>
      <c r="P1624">
        <v>0</v>
      </c>
      <c r="Q1624">
        <v>0</v>
      </c>
      <c r="R1624" t="s">
        <v>47429</v>
      </c>
      <c r="S1624" t="s">
        <v>47542</v>
      </c>
      <c r="T1624" t="s">
        <v>49131</v>
      </c>
      <c r="U1624" t="s">
        <v>51103</v>
      </c>
      <c r="W1624" t="s">
        <v>43799</v>
      </c>
      <c r="X1624" t="s">
        <v>47426</v>
      </c>
    </row>
    <row r="1625" spans="1:24">
      <c r="A1625">
        <f>HYPERLINK("https://www.philgeps.gov.ph/GEPSNONPILOT/Tender/SplashBidNoticeAbstractUI.aspx?menuIndex=3&amp;refID=7166676&amp;Result=3","7166676")</f>
        <v>0</v>
      </c>
      <c r="B1625" t="s">
        <v>729</v>
      </c>
      <c r="C1625" t="s">
        <v>5462</v>
      </c>
      <c r="D1625" t="s">
        <v>19043</v>
      </c>
      <c r="E1625" t="s">
        <v>20580</v>
      </c>
      <c r="F1625" t="s">
        <v>32831</v>
      </c>
      <c r="G1625" t="s">
        <v>32839</v>
      </c>
      <c r="H1625" t="s">
        <v>32849</v>
      </c>
      <c r="I1625" t="s">
        <v>4177</v>
      </c>
      <c r="J1625" t="s">
        <v>34135</v>
      </c>
      <c r="K1625" t="s">
        <v>42808</v>
      </c>
      <c r="M1625" t="s">
        <v>43751</v>
      </c>
      <c r="N1625" t="s">
        <v>47424</v>
      </c>
      <c r="O1625" t="s">
        <v>47425</v>
      </c>
      <c r="P1625">
        <v>0</v>
      </c>
      <c r="Q1625">
        <v>0</v>
      </c>
      <c r="R1625" t="s">
        <v>47429</v>
      </c>
      <c r="S1625" t="s">
        <v>47542</v>
      </c>
      <c r="T1625" t="s">
        <v>49169</v>
      </c>
      <c r="U1625" t="s">
        <v>51104</v>
      </c>
      <c r="V1625" t="s">
        <v>62793</v>
      </c>
      <c r="W1625" t="s">
        <v>43751</v>
      </c>
      <c r="X1625" t="s">
        <v>47426</v>
      </c>
    </row>
    <row r="1626" spans="1:24">
      <c r="A1626">
        <f>HYPERLINK("https://www.philgeps.gov.ph/GEPSNONPILOT/Tender/SplashBidNoticeAbstractUI.aspx?menuIndex=3&amp;refID=7166795&amp;Result=3","7166795")</f>
        <v>0</v>
      </c>
      <c r="B1626" t="s">
        <v>771</v>
      </c>
      <c r="C1626" t="s">
        <v>5463</v>
      </c>
      <c r="D1626" t="s">
        <v>19073</v>
      </c>
      <c r="E1626" t="s">
        <v>20581</v>
      </c>
      <c r="F1626" t="s">
        <v>32831</v>
      </c>
      <c r="G1626" t="s">
        <v>32840</v>
      </c>
      <c r="H1626" t="s">
        <v>32848</v>
      </c>
      <c r="I1626" t="s">
        <v>4340</v>
      </c>
      <c r="J1626" t="s">
        <v>34136</v>
      </c>
      <c r="K1626" t="s">
        <v>42726</v>
      </c>
      <c r="M1626" t="s">
        <v>43800</v>
      </c>
      <c r="N1626" t="s">
        <v>47424</v>
      </c>
      <c r="O1626" t="s">
        <v>47425</v>
      </c>
      <c r="P1626">
        <v>0</v>
      </c>
      <c r="Q1626">
        <v>0</v>
      </c>
      <c r="R1626" t="s">
        <v>47429</v>
      </c>
      <c r="S1626" t="s">
        <v>47542</v>
      </c>
      <c r="T1626" t="s">
        <v>49129</v>
      </c>
      <c r="U1626" t="s">
        <v>51105</v>
      </c>
      <c r="W1626" t="s">
        <v>43800</v>
      </c>
      <c r="X1626" t="s">
        <v>47426</v>
      </c>
    </row>
    <row r="1627" spans="1:24">
      <c r="A1627">
        <f>HYPERLINK("https://www.philgeps.gov.ph/GEPSNONPILOT/Tender/SplashBidNoticeAbstractUI.aspx?menuIndex=3&amp;refID=7166794&amp;Result=3","7166794")</f>
        <v>0</v>
      </c>
      <c r="B1627" t="s">
        <v>533</v>
      </c>
      <c r="C1627" t="s">
        <v>5464</v>
      </c>
      <c r="D1627" t="s">
        <v>19054</v>
      </c>
      <c r="E1627" t="s">
        <v>20582</v>
      </c>
      <c r="F1627" t="s">
        <v>32831</v>
      </c>
      <c r="G1627" t="s">
        <v>32839</v>
      </c>
      <c r="H1627" t="s">
        <v>32848</v>
      </c>
      <c r="I1627" t="s">
        <v>4487</v>
      </c>
      <c r="J1627" t="s">
        <v>33226</v>
      </c>
      <c r="K1627" t="s">
        <v>42731</v>
      </c>
      <c r="M1627" t="s">
        <v>43539</v>
      </c>
      <c r="N1627" t="s">
        <v>47424</v>
      </c>
      <c r="O1627" t="s">
        <v>47425</v>
      </c>
      <c r="P1627">
        <v>0</v>
      </c>
      <c r="Q1627">
        <v>0</v>
      </c>
      <c r="R1627" t="s">
        <v>47429</v>
      </c>
      <c r="S1627" t="s">
        <v>47542</v>
      </c>
      <c r="T1627" t="s">
        <v>49172</v>
      </c>
      <c r="U1627" t="s">
        <v>51106</v>
      </c>
      <c r="V1627" t="s">
        <v>62806</v>
      </c>
      <c r="W1627" t="s">
        <v>43539</v>
      </c>
      <c r="X1627" t="s">
        <v>47426</v>
      </c>
    </row>
    <row r="1628" spans="1:24">
      <c r="A1628">
        <f>HYPERLINK("https://www.philgeps.gov.ph/GEPSNONPILOT/Tender/SplashBidNoticeAbstractUI.aspx?menuIndex=3&amp;refID=7166793&amp;Result=3","7166793")</f>
        <v>0</v>
      </c>
      <c r="B1628" t="s">
        <v>772</v>
      </c>
      <c r="C1628" t="s">
        <v>5465</v>
      </c>
      <c r="D1628" t="s">
        <v>19058</v>
      </c>
      <c r="E1628" t="s">
        <v>20583</v>
      </c>
      <c r="F1628" t="s">
        <v>32831</v>
      </c>
      <c r="G1628" t="s">
        <v>32838</v>
      </c>
      <c r="H1628" t="s">
        <v>32848</v>
      </c>
      <c r="I1628" t="s">
        <v>5379</v>
      </c>
      <c r="J1628" t="s">
        <v>33087</v>
      </c>
      <c r="K1628" t="s">
        <v>42730</v>
      </c>
      <c r="M1628" t="s">
        <v>43801</v>
      </c>
      <c r="N1628" t="s">
        <v>47424</v>
      </c>
      <c r="O1628" t="s">
        <v>47425</v>
      </c>
      <c r="P1628">
        <v>0</v>
      </c>
      <c r="Q1628">
        <v>0</v>
      </c>
      <c r="R1628" t="s">
        <v>47429</v>
      </c>
      <c r="S1628" t="s">
        <v>47542</v>
      </c>
      <c r="T1628" t="s">
        <v>49103</v>
      </c>
      <c r="U1628" t="s">
        <v>51107</v>
      </c>
      <c r="W1628" t="s">
        <v>43801</v>
      </c>
      <c r="X1628" t="s">
        <v>47426</v>
      </c>
    </row>
    <row r="1629" spans="1:24">
      <c r="A1629">
        <f>HYPERLINK("https://www.philgeps.gov.ph/GEPSNONPILOT/Tender/SplashBidNoticeAbstractUI.aspx?menuIndex=3&amp;refID=7166790&amp;Result=3","7166790")</f>
        <v>0</v>
      </c>
      <c r="B1629" t="s">
        <v>773</v>
      </c>
      <c r="C1629" t="s">
        <v>5466</v>
      </c>
      <c r="D1629" t="s">
        <v>19037</v>
      </c>
      <c r="E1629" t="s">
        <v>20584</v>
      </c>
      <c r="F1629" t="s">
        <v>32831</v>
      </c>
      <c r="G1629" t="s">
        <v>32840</v>
      </c>
      <c r="H1629" t="s">
        <v>32848</v>
      </c>
      <c r="I1629" t="s">
        <v>32860</v>
      </c>
      <c r="J1629" t="s">
        <v>34137</v>
      </c>
      <c r="K1629" t="s">
        <v>42726</v>
      </c>
      <c r="M1629" t="s">
        <v>43802</v>
      </c>
      <c r="N1629" t="s">
        <v>47424</v>
      </c>
      <c r="O1629" t="s">
        <v>47425</v>
      </c>
      <c r="P1629">
        <v>0</v>
      </c>
      <c r="Q1629">
        <v>0</v>
      </c>
      <c r="R1629" t="s">
        <v>47429</v>
      </c>
      <c r="S1629" t="s">
        <v>47542</v>
      </c>
      <c r="T1629" t="s">
        <v>49151</v>
      </c>
      <c r="U1629" t="s">
        <v>51108</v>
      </c>
      <c r="W1629" t="s">
        <v>43802</v>
      </c>
      <c r="X1629" t="s">
        <v>47426</v>
      </c>
    </row>
    <row r="1630" spans="1:24">
      <c r="A1630">
        <f>HYPERLINK("https://www.philgeps.gov.ph/GEPSNONPILOT/Tender/SplashBidNoticeAbstractUI.aspx?menuIndex=3&amp;refID=7166773&amp;Result=3","7166773")</f>
        <v>0</v>
      </c>
      <c r="B1630" t="s">
        <v>774</v>
      </c>
      <c r="C1630" t="s">
        <v>5467</v>
      </c>
      <c r="D1630" t="s">
        <v>19034</v>
      </c>
      <c r="E1630" t="s">
        <v>20585</v>
      </c>
      <c r="F1630" t="s">
        <v>32831</v>
      </c>
      <c r="G1630" t="s">
        <v>32839</v>
      </c>
      <c r="H1630" t="s">
        <v>32849</v>
      </c>
      <c r="I1630" t="s">
        <v>4177</v>
      </c>
      <c r="J1630" t="s">
        <v>32980</v>
      </c>
      <c r="K1630" t="s">
        <v>42730</v>
      </c>
      <c r="M1630" t="s">
        <v>43803</v>
      </c>
      <c r="N1630" t="s">
        <v>47424</v>
      </c>
      <c r="O1630" t="s">
        <v>47425</v>
      </c>
      <c r="P1630">
        <v>0</v>
      </c>
      <c r="Q1630">
        <v>0</v>
      </c>
      <c r="R1630" t="s">
        <v>47429</v>
      </c>
      <c r="S1630" t="s">
        <v>47542</v>
      </c>
      <c r="T1630" t="s">
        <v>49196</v>
      </c>
      <c r="U1630" t="s">
        <v>51109</v>
      </c>
      <c r="W1630" t="s">
        <v>43803</v>
      </c>
      <c r="X1630" t="s">
        <v>47426</v>
      </c>
    </row>
    <row r="1631" spans="1:24">
      <c r="A1631">
        <f>HYPERLINK("https://www.philgeps.gov.ph/GEPSNONPILOT/Tender/SplashBidNoticeAbstractUI.aspx?menuIndex=3&amp;refID=7166789&amp;Result=3","7166789")</f>
        <v>0</v>
      </c>
      <c r="B1631" t="s">
        <v>760</v>
      </c>
      <c r="C1631" t="s">
        <v>5468</v>
      </c>
      <c r="D1631" t="s">
        <v>19021</v>
      </c>
      <c r="E1631" t="s">
        <v>20586</v>
      </c>
      <c r="F1631" t="s">
        <v>32831</v>
      </c>
      <c r="G1631" t="s">
        <v>32838</v>
      </c>
      <c r="H1631" t="s">
        <v>32848</v>
      </c>
      <c r="I1631" t="s">
        <v>32867</v>
      </c>
      <c r="J1631" t="s">
        <v>34138</v>
      </c>
      <c r="K1631" t="s">
        <v>42726</v>
      </c>
      <c r="M1631" t="s">
        <v>43786</v>
      </c>
      <c r="N1631" t="s">
        <v>47424</v>
      </c>
      <c r="O1631" t="s">
        <v>47425</v>
      </c>
      <c r="P1631">
        <v>0</v>
      </c>
      <c r="Q1631">
        <v>0</v>
      </c>
      <c r="R1631" t="s">
        <v>47429</v>
      </c>
      <c r="S1631" t="s">
        <v>47542</v>
      </c>
      <c r="T1631" t="s">
        <v>49151</v>
      </c>
      <c r="U1631" t="s">
        <v>51110</v>
      </c>
      <c r="W1631" t="s">
        <v>43786</v>
      </c>
      <c r="X1631" t="s">
        <v>47426</v>
      </c>
    </row>
    <row r="1632" spans="1:24">
      <c r="A1632">
        <f>HYPERLINK("https://www.philgeps.gov.ph/GEPSNONPILOT/Tender/SplashBidNoticeAbstractUI.aspx?menuIndex=3&amp;refID=7166788&amp;Result=3","7166788")</f>
        <v>0</v>
      </c>
      <c r="B1632" t="s">
        <v>775</v>
      </c>
      <c r="C1632" t="s">
        <v>5469</v>
      </c>
      <c r="D1632" t="s">
        <v>19030</v>
      </c>
      <c r="E1632" t="s">
        <v>20587</v>
      </c>
      <c r="F1632" t="s">
        <v>32831</v>
      </c>
      <c r="G1632" t="s">
        <v>32838</v>
      </c>
      <c r="H1632" t="s">
        <v>32848</v>
      </c>
      <c r="I1632" t="s">
        <v>32857</v>
      </c>
      <c r="J1632" t="s">
        <v>34139</v>
      </c>
      <c r="K1632" t="s">
        <v>42730</v>
      </c>
      <c r="M1632" t="s">
        <v>43804</v>
      </c>
      <c r="N1632" t="s">
        <v>47424</v>
      </c>
      <c r="O1632" t="s">
        <v>47425</v>
      </c>
      <c r="P1632">
        <v>0</v>
      </c>
      <c r="Q1632">
        <v>0</v>
      </c>
      <c r="R1632" t="s">
        <v>47429</v>
      </c>
      <c r="S1632" t="s">
        <v>47542</v>
      </c>
      <c r="T1632" t="s">
        <v>49124</v>
      </c>
      <c r="U1632" t="s">
        <v>51111</v>
      </c>
      <c r="W1632" t="s">
        <v>43804</v>
      </c>
      <c r="X1632" t="s">
        <v>47426</v>
      </c>
    </row>
    <row r="1633" spans="1:24">
      <c r="A1633">
        <f>HYPERLINK("https://www.philgeps.gov.ph/GEPSNONPILOT/Tender/SplashBidNoticeAbstractUI.aspx?menuIndex=3&amp;refID=7166785&amp;Result=3","7166785")</f>
        <v>0</v>
      </c>
      <c r="B1633" t="s">
        <v>316</v>
      </c>
      <c r="C1633" t="s">
        <v>5470</v>
      </c>
      <c r="D1633" t="s">
        <v>19023</v>
      </c>
      <c r="E1633" t="s">
        <v>20588</v>
      </c>
      <c r="F1633" t="s">
        <v>32831</v>
      </c>
      <c r="G1633" t="s">
        <v>32838</v>
      </c>
      <c r="H1633" t="s">
        <v>32848</v>
      </c>
      <c r="I1633" t="s">
        <v>4487</v>
      </c>
      <c r="J1633" t="s">
        <v>34140</v>
      </c>
      <c r="K1633" t="s">
        <v>42730</v>
      </c>
      <c r="M1633" t="s">
        <v>43795</v>
      </c>
      <c r="N1633" t="s">
        <v>47424</v>
      </c>
      <c r="O1633" t="s">
        <v>47425</v>
      </c>
      <c r="P1633">
        <v>0</v>
      </c>
      <c r="Q1633">
        <v>0</v>
      </c>
      <c r="R1633" t="s">
        <v>47429</v>
      </c>
      <c r="S1633" t="s">
        <v>47542</v>
      </c>
      <c r="T1633" t="s">
        <v>49073</v>
      </c>
      <c r="U1633" t="s">
        <v>51090</v>
      </c>
      <c r="V1633" t="s">
        <v>62802</v>
      </c>
      <c r="W1633" t="s">
        <v>43795</v>
      </c>
      <c r="X1633" t="s">
        <v>47426</v>
      </c>
    </row>
    <row r="1634" spans="1:24">
      <c r="A1634">
        <f>HYPERLINK("https://www.philgeps.gov.ph/GEPSNONPILOT/Tender/SplashBidNoticeAbstractUI.aspx?menuIndex=3&amp;refID=7166792&amp;Result=3","7166792")</f>
        <v>0</v>
      </c>
      <c r="B1634" t="s">
        <v>776</v>
      </c>
      <c r="C1634" t="s">
        <v>5471</v>
      </c>
      <c r="D1634" t="s">
        <v>19027</v>
      </c>
      <c r="E1634" t="s">
        <v>20589</v>
      </c>
      <c r="F1634" t="s">
        <v>32831</v>
      </c>
      <c r="G1634" t="s">
        <v>32838</v>
      </c>
      <c r="H1634" t="s">
        <v>32848</v>
      </c>
      <c r="I1634" t="s">
        <v>4438</v>
      </c>
      <c r="J1634" t="s">
        <v>34141</v>
      </c>
      <c r="K1634" t="s">
        <v>42731</v>
      </c>
      <c r="L1634" t="s">
        <v>776</v>
      </c>
      <c r="M1634" t="s">
        <v>43805</v>
      </c>
      <c r="N1634" t="s">
        <v>47424</v>
      </c>
      <c r="O1634" t="s">
        <v>47425</v>
      </c>
      <c r="P1634">
        <v>0</v>
      </c>
      <c r="Q1634">
        <v>0</v>
      </c>
      <c r="R1634" t="s">
        <v>47429</v>
      </c>
      <c r="S1634" t="s">
        <v>47542</v>
      </c>
      <c r="T1634" t="s">
        <v>49273</v>
      </c>
      <c r="U1634" t="s">
        <v>51112</v>
      </c>
      <c r="W1634" t="s">
        <v>43805</v>
      </c>
      <c r="X1634" t="s">
        <v>47426</v>
      </c>
    </row>
    <row r="1635" spans="1:24">
      <c r="A1635">
        <f>HYPERLINK("https://www.philgeps.gov.ph/GEPSNONPILOT/Tender/SplashBidNoticeAbstractUI.aspx?menuIndex=3&amp;refID=7166791&amp;Result=3","7166791")</f>
        <v>0</v>
      </c>
      <c r="B1635" t="s">
        <v>751</v>
      </c>
      <c r="C1635" t="s">
        <v>5472</v>
      </c>
      <c r="D1635" t="s">
        <v>19022</v>
      </c>
      <c r="E1635" t="s">
        <v>19838</v>
      </c>
      <c r="F1635" t="s">
        <v>32831</v>
      </c>
      <c r="G1635" t="s">
        <v>32839</v>
      </c>
      <c r="H1635" t="s">
        <v>32848</v>
      </c>
      <c r="I1635" t="s">
        <v>4487</v>
      </c>
      <c r="J1635" t="s">
        <v>33133</v>
      </c>
      <c r="K1635" t="s">
        <v>42726</v>
      </c>
      <c r="M1635" t="s">
        <v>43774</v>
      </c>
      <c r="N1635" t="s">
        <v>47424</v>
      </c>
      <c r="O1635" t="s">
        <v>47425</v>
      </c>
      <c r="P1635">
        <v>0</v>
      </c>
      <c r="Q1635">
        <v>0</v>
      </c>
      <c r="R1635" t="s">
        <v>47429</v>
      </c>
      <c r="S1635" t="s">
        <v>47542</v>
      </c>
      <c r="T1635" t="s">
        <v>49080</v>
      </c>
      <c r="U1635" t="s">
        <v>51113</v>
      </c>
      <c r="W1635" t="s">
        <v>43774</v>
      </c>
      <c r="X1635" t="s">
        <v>47426</v>
      </c>
    </row>
    <row r="1636" spans="1:24">
      <c r="A1636">
        <f>HYPERLINK("https://www.philgeps.gov.ph/GEPSNONPILOT/Tender/SplashBidNoticeAbstractUI.aspx?menuIndex=3&amp;refID=7166782&amp;Result=3","7166782")</f>
        <v>0</v>
      </c>
      <c r="B1636" t="s">
        <v>777</v>
      </c>
      <c r="C1636" t="s">
        <v>5473</v>
      </c>
      <c r="D1636" t="s">
        <v>19045</v>
      </c>
      <c r="E1636" t="s">
        <v>20590</v>
      </c>
      <c r="F1636" t="s">
        <v>32831</v>
      </c>
      <c r="G1636" t="s">
        <v>32839</v>
      </c>
      <c r="H1636" t="s">
        <v>32849</v>
      </c>
      <c r="I1636" t="s">
        <v>4177</v>
      </c>
      <c r="J1636" t="s">
        <v>34142</v>
      </c>
      <c r="K1636" t="s">
        <v>42739</v>
      </c>
      <c r="M1636" t="s">
        <v>43806</v>
      </c>
      <c r="N1636" t="s">
        <v>47424</v>
      </c>
      <c r="O1636" t="s">
        <v>47425</v>
      </c>
      <c r="P1636">
        <v>0</v>
      </c>
      <c r="Q1636">
        <v>0</v>
      </c>
      <c r="R1636" t="s">
        <v>47429</v>
      </c>
      <c r="S1636" t="s">
        <v>47542</v>
      </c>
      <c r="T1636" t="s">
        <v>49172</v>
      </c>
      <c r="U1636" t="s">
        <v>51114</v>
      </c>
      <c r="W1636" t="s">
        <v>43806</v>
      </c>
      <c r="X1636" t="s">
        <v>47426</v>
      </c>
    </row>
    <row r="1637" spans="1:24">
      <c r="A1637">
        <f>HYPERLINK("https://www.philgeps.gov.ph/GEPSNONPILOT/Tender/SplashBidNoticeAbstractUI.aspx?menuIndex=3&amp;refID=7166810&amp;Result=3","7166810")</f>
        <v>0</v>
      </c>
      <c r="B1637" t="s">
        <v>726</v>
      </c>
      <c r="C1637" t="s">
        <v>5474</v>
      </c>
      <c r="E1637" t="s">
        <v>20591</v>
      </c>
      <c r="F1637" t="s">
        <v>32831</v>
      </c>
      <c r="G1637" t="s">
        <v>32839</v>
      </c>
      <c r="H1637" t="s">
        <v>32849</v>
      </c>
      <c r="I1637" t="s">
        <v>4177</v>
      </c>
      <c r="J1637" t="s">
        <v>34143</v>
      </c>
      <c r="K1637" t="s">
        <v>42732</v>
      </c>
      <c r="M1637" t="s">
        <v>43747</v>
      </c>
      <c r="N1637" t="s">
        <v>47424</v>
      </c>
      <c r="O1637" t="s">
        <v>47425</v>
      </c>
      <c r="P1637">
        <v>0</v>
      </c>
      <c r="Q1637">
        <v>0</v>
      </c>
      <c r="R1637" t="s">
        <v>47429</v>
      </c>
      <c r="S1637" t="s">
        <v>47542</v>
      </c>
      <c r="T1637" t="s">
        <v>49158</v>
      </c>
      <c r="U1637" t="s">
        <v>51115</v>
      </c>
      <c r="W1637" t="s">
        <v>43747</v>
      </c>
      <c r="X1637" t="s">
        <v>47426</v>
      </c>
    </row>
    <row r="1638" spans="1:24">
      <c r="A1638">
        <f>HYPERLINK("https://www.philgeps.gov.ph/GEPSNONPILOT/Tender/SplashBidNoticeAbstractUI.aspx?menuIndex=3&amp;refID=7166787&amp;Result=3","7166787")</f>
        <v>0</v>
      </c>
      <c r="B1638" t="s">
        <v>778</v>
      </c>
      <c r="C1638" t="s">
        <v>5475</v>
      </c>
      <c r="D1638" t="s">
        <v>19046</v>
      </c>
      <c r="E1638" t="s">
        <v>20592</v>
      </c>
      <c r="F1638" t="s">
        <v>32831</v>
      </c>
      <c r="G1638" t="s">
        <v>32839</v>
      </c>
      <c r="H1638" t="s">
        <v>32848</v>
      </c>
      <c r="I1638" t="s">
        <v>32883</v>
      </c>
      <c r="J1638" t="s">
        <v>33025</v>
      </c>
      <c r="K1638" t="s">
        <v>42726</v>
      </c>
      <c r="M1638" t="s">
        <v>43807</v>
      </c>
      <c r="N1638" t="s">
        <v>47424</v>
      </c>
      <c r="O1638" t="s">
        <v>47425</v>
      </c>
      <c r="P1638">
        <v>0</v>
      </c>
      <c r="Q1638">
        <v>0</v>
      </c>
      <c r="R1638" t="s">
        <v>47429</v>
      </c>
      <c r="S1638" t="s">
        <v>47542</v>
      </c>
      <c r="T1638" t="s">
        <v>49080</v>
      </c>
      <c r="U1638" t="s">
        <v>51116</v>
      </c>
      <c r="W1638" t="s">
        <v>43807</v>
      </c>
      <c r="X1638" t="s">
        <v>47426</v>
      </c>
    </row>
    <row r="1639" spans="1:24">
      <c r="A1639">
        <f>HYPERLINK("https://www.philgeps.gov.ph/GEPSNONPILOT/Tender/SplashBidNoticeAbstractUI.aspx?menuIndex=3&amp;refID=7166784&amp;Result=3","7166784")</f>
        <v>0</v>
      </c>
      <c r="B1639" t="s">
        <v>779</v>
      </c>
      <c r="C1639" t="s">
        <v>5476</v>
      </c>
      <c r="D1639" t="s">
        <v>19037</v>
      </c>
      <c r="E1639" t="s">
        <v>20593</v>
      </c>
      <c r="F1639" t="s">
        <v>32831</v>
      </c>
      <c r="G1639" t="s">
        <v>32839</v>
      </c>
      <c r="H1639" t="s">
        <v>32849</v>
      </c>
      <c r="I1639" t="s">
        <v>4177</v>
      </c>
      <c r="J1639" t="s">
        <v>33118</v>
      </c>
      <c r="K1639" t="s">
        <v>42751</v>
      </c>
      <c r="M1639" t="s">
        <v>43808</v>
      </c>
      <c r="N1639" t="s">
        <v>47424</v>
      </c>
      <c r="O1639" t="s">
        <v>47425</v>
      </c>
      <c r="P1639">
        <v>0</v>
      </c>
      <c r="Q1639">
        <v>0</v>
      </c>
      <c r="R1639" t="s">
        <v>47429</v>
      </c>
      <c r="S1639" t="s">
        <v>47542</v>
      </c>
      <c r="T1639" t="s">
        <v>49274</v>
      </c>
      <c r="U1639" t="s">
        <v>51117</v>
      </c>
      <c r="W1639" t="s">
        <v>43808</v>
      </c>
      <c r="X1639" t="s">
        <v>47426</v>
      </c>
    </row>
    <row r="1640" spans="1:24">
      <c r="A1640">
        <f>HYPERLINK("https://www.philgeps.gov.ph/GEPSNONPILOT/Tender/SplashBidNoticeAbstractUI.aspx?menuIndex=3&amp;refID=7166817&amp;Result=3","7166817")</f>
        <v>0</v>
      </c>
      <c r="B1640" t="s">
        <v>263</v>
      </c>
      <c r="C1640" t="s">
        <v>5477</v>
      </c>
      <c r="D1640" t="s">
        <v>19083</v>
      </c>
      <c r="E1640" t="s">
        <v>20594</v>
      </c>
      <c r="F1640" t="s">
        <v>32831</v>
      </c>
      <c r="G1640" t="s">
        <v>32840</v>
      </c>
      <c r="H1640" t="s">
        <v>32848</v>
      </c>
      <c r="I1640" t="s">
        <v>32870</v>
      </c>
      <c r="J1640" t="s">
        <v>33077</v>
      </c>
      <c r="K1640" t="s">
        <v>42727</v>
      </c>
      <c r="M1640" t="s">
        <v>43262</v>
      </c>
      <c r="N1640" t="s">
        <v>47424</v>
      </c>
      <c r="O1640" t="s">
        <v>47425</v>
      </c>
      <c r="P1640">
        <v>0</v>
      </c>
      <c r="Q1640">
        <v>0</v>
      </c>
      <c r="R1640" t="s">
        <v>47429</v>
      </c>
      <c r="S1640" t="s">
        <v>47542</v>
      </c>
      <c r="T1640" t="s">
        <v>49170</v>
      </c>
      <c r="U1640" t="s">
        <v>51118</v>
      </c>
      <c r="W1640" t="s">
        <v>43262</v>
      </c>
      <c r="X1640" t="s">
        <v>47426</v>
      </c>
    </row>
    <row r="1641" spans="1:24">
      <c r="A1641">
        <f>HYPERLINK("https://www.philgeps.gov.ph/GEPSNONPILOT/Tender/SplashBidNoticeAbstractUI.aspx?menuIndex=3&amp;refID=7166816&amp;Result=3","7166816")</f>
        <v>0</v>
      </c>
      <c r="B1641" t="s">
        <v>730</v>
      </c>
      <c r="C1641" t="s">
        <v>5478</v>
      </c>
      <c r="D1641" t="s">
        <v>19062</v>
      </c>
      <c r="E1641" t="s">
        <v>20595</v>
      </c>
      <c r="F1641" t="s">
        <v>32831</v>
      </c>
      <c r="G1641" t="s">
        <v>32839</v>
      </c>
      <c r="H1641" t="s">
        <v>32848</v>
      </c>
      <c r="I1641" t="s">
        <v>7416</v>
      </c>
      <c r="J1641" t="s">
        <v>34144</v>
      </c>
      <c r="K1641" t="s">
        <v>42727</v>
      </c>
      <c r="M1641" t="s">
        <v>43752</v>
      </c>
      <c r="N1641" t="s">
        <v>47424</v>
      </c>
      <c r="O1641" t="s">
        <v>47425</v>
      </c>
      <c r="P1641">
        <v>0</v>
      </c>
      <c r="Q1641">
        <v>0</v>
      </c>
      <c r="R1641" t="s">
        <v>47429</v>
      </c>
      <c r="S1641" t="s">
        <v>47542</v>
      </c>
      <c r="T1641" t="s">
        <v>49080</v>
      </c>
      <c r="U1641" t="s">
        <v>51119</v>
      </c>
      <c r="V1641" t="s">
        <v>62807</v>
      </c>
      <c r="W1641" t="s">
        <v>43752</v>
      </c>
      <c r="X1641" t="s">
        <v>47426</v>
      </c>
    </row>
    <row r="1642" spans="1:24">
      <c r="A1642">
        <f>HYPERLINK("https://www.philgeps.gov.ph/GEPSNONPILOT/Tender/SplashBidNoticeAbstractUI.aspx?menuIndex=3&amp;refID=7166765&amp;Result=3","7166765")</f>
        <v>0</v>
      </c>
      <c r="B1642" t="s">
        <v>729</v>
      </c>
      <c r="C1642" t="s">
        <v>5479</v>
      </c>
      <c r="D1642" t="s">
        <v>19043</v>
      </c>
      <c r="E1642" t="s">
        <v>20596</v>
      </c>
      <c r="F1642" t="s">
        <v>32831</v>
      </c>
      <c r="G1642" t="s">
        <v>32839</v>
      </c>
      <c r="H1642" t="s">
        <v>32849</v>
      </c>
      <c r="I1642" t="s">
        <v>4177</v>
      </c>
      <c r="J1642" t="s">
        <v>34145</v>
      </c>
      <c r="K1642" t="s">
        <v>42765</v>
      </c>
      <c r="M1642" t="s">
        <v>43751</v>
      </c>
      <c r="N1642" t="s">
        <v>47424</v>
      </c>
      <c r="O1642" t="s">
        <v>47425</v>
      </c>
      <c r="P1642">
        <v>0</v>
      </c>
      <c r="Q1642">
        <v>0</v>
      </c>
      <c r="R1642" t="s">
        <v>47429</v>
      </c>
      <c r="S1642" t="s">
        <v>47542</v>
      </c>
      <c r="T1642" t="s">
        <v>49169</v>
      </c>
      <c r="U1642" t="s">
        <v>51120</v>
      </c>
      <c r="V1642" t="s">
        <v>62793</v>
      </c>
      <c r="W1642" t="s">
        <v>43751</v>
      </c>
      <c r="X1642" t="s">
        <v>47426</v>
      </c>
    </row>
    <row r="1643" spans="1:24">
      <c r="A1643">
        <f>HYPERLINK("https://www.philgeps.gov.ph/GEPSNONPILOT/Tender/SplashBidNoticeAbstractUI.aspx?menuIndex=3&amp;refID=7166783&amp;Result=3","7166783")</f>
        <v>0</v>
      </c>
      <c r="B1643" t="s">
        <v>780</v>
      </c>
      <c r="C1643" t="s">
        <v>5480</v>
      </c>
      <c r="D1643" t="s">
        <v>19048</v>
      </c>
      <c r="E1643" t="s">
        <v>20597</v>
      </c>
      <c r="F1643" t="s">
        <v>32831</v>
      </c>
      <c r="G1643" t="s">
        <v>32838</v>
      </c>
      <c r="H1643" t="s">
        <v>32848</v>
      </c>
      <c r="I1643" t="s">
        <v>7416</v>
      </c>
      <c r="J1643" t="s">
        <v>33479</v>
      </c>
      <c r="K1643" t="s">
        <v>42748</v>
      </c>
      <c r="L1643" t="s">
        <v>780</v>
      </c>
      <c r="M1643" t="s">
        <v>43809</v>
      </c>
      <c r="N1643" t="s">
        <v>47424</v>
      </c>
      <c r="O1643" t="s">
        <v>47425</v>
      </c>
      <c r="P1643">
        <v>0</v>
      </c>
      <c r="Q1643">
        <v>0</v>
      </c>
      <c r="R1643" t="s">
        <v>47429</v>
      </c>
      <c r="S1643" t="s">
        <v>47542</v>
      </c>
      <c r="T1643" t="s">
        <v>49129</v>
      </c>
      <c r="U1643" t="s">
        <v>51121</v>
      </c>
      <c r="V1643" t="s">
        <v>62808</v>
      </c>
      <c r="W1643" t="s">
        <v>43809</v>
      </c>
      <c r="X1643" t="s">
        <v>47426</v>
      </c>
    </row>
    <row r="1644" spans="1:24">
      <c r="A1644">
        <f>HYPERLINK("https://www.philgeps.gov.ph/GEPSNONPILOT/Tender/SplashBidNoticeAbstractUI.aspx?menuIndex=3&amp;refID=7166781&amp;Result=3","7166781")</f>
        <v>0</v>
      </c>
      <c r="B1644" t="s">
        <v>781</v>
      </c>
      <c r="C1644" t="s">
        <v>5481</v>
      </c>
      <c r="D1644" t="s">
        <v>19040</v>
      </c>
      <c r="E1644" t="s">
        <v>20598</v>
      </c>
      <c r="F1644" t="s">
        <v>32831</v>
      </c>
      <c r="G1644" t="s">
        <v>32840</v>
      </c>
      <c r="H1644" t="s">
        <v>32848</v>
      </c>
      <c r="I1644" t="s">
        <v>4558</v>
      </c>
      <c r="J1644" t="s">
        <v>34146</v>
      </c>
      <c r="K1644" t="s">
        <v>42731</v>
      </c>
      <c r="M1644" t="s">
        <v>43810</v>
      </c>
      <c r="N1644" t="s">
        <v>47424</v>
      </c>
      <c r="O1644" t="s">
        <v>47425</v>
      </c>
      <c r="P1644">
        <v>0</v>
      </c>
      <c r="Q1644">
        <v>0</v>
      </c>
      <c r="R1644" t="s">
        <v>47429</v>
      </c>
      <c r="S1644" t="s">
        <v>47542</v>
      </c>
      <c r="T1644" t="s">
        <v>49123</v>
      </c>
      <c r="U1644" t="s">
        <v>51122</v>
      </c>
      <c r="W1644" t="s">
        <v>43810</v>
      </c>
      <c r="X1644" t="s">
        <v>47426</v>
      </c>
    </row>
    <row r="1645" spans="1:24">
      <c r="A1645">
        <f>HYPERLINK("https://www.philgeps.gov.ph/GEPSNONPILOT/Tender/SplashBidNoticeAbstractUI.aspx?menuIndex=3&amp;refID=7166814&amp;Result=3","7166814")</f>
        <v>0</v>
      </c>
      <c r="B1645" t="s">
        <v>782</v>
      </c>
      <c r="C1645" t="s">
        <v>5482</v>
      </c>
      <c r="D1645" t="s">
        <v>19023</v>
      </c>
      <c r="E1645" t="s">
        <v>20599</v>
      </c>
      <c r="F1645" t="s">
        <v>32831</v>
      </c>
      <c r="G1645" t="s">
        <v>32838</v>
      </c>
      <c r="H1645" t="s">
        <v>32848</v>
      </c>
      <c r="I1645" t="s">
        <v>4222</v>
      </c>
      <c r="J1645" t="s">
        <v>34110</v>
      </c>
      <c r="K1645" t="s">
        <v>42748</v>
      </c>
      <c r="M1645" t="s">
        <v>43811</v>
      </c>
      <c r="N1645" t="s">
        <v>47424</v>
      </c>
      <c r="O1645" t="s">
        <v>47425</v>
      </c>
      <c r="P1645">
        <v>0</v>
      </c>
      <c r="Q1645">
        <v>0</v>
      </c>
      <c r="R1645" t="s">
        <v>47429</v>
      </c>
      <c r="S1645" t="s">
        <v>47542</v>
      </c>
      <c r="T1645" t="s">
        <v>49129</v>
      </c>
      <c r="U1645" t="s">
        <v>51123</v>
      </c>
      <c r="W1645" t="s">
        <v>43811</v>
      </c>
      <c r="X1645" t="s">
        <v>47426</v>
      </c>
    </row>
    <row r="1646" spans="1:24">
      <c r="A1646">
        <f>HYPERLINK("https://www.philgeps.gov.ph/GEPSNONPILOT/Tender/SplashBidNoticeAbstractUI.aspx?menuIndex=3&amp;refID=7166808&amp;Result=3","7166808")</f>
        <v>0</v>
      </c>
      <c r="B1646" t="s">
        <v>783</v>
      </c>
      <c r="C1646" t="s">
        <v>5483</v>
      </c>
      <c r="D1646" t="s">
        <v>19034</v>
      </c>
      <c r="E1646" t="s">
        <v>20600</v>
      </c>
      <c r="F1646" t="s">
        <v>32831</v>
      </c>
      <c r="G1646" t="s">
        <v>32839</v>
      </c>
      <c r="H1646" t="s">
        <v>32848</v>
      </c>
      <c r="I1646" t="s">
        <v>32859</v>
      </c>
      <c r="J1646" t="s">
        <v>34147</v>
      </c>
      <c r="K1646" t="s">
        <v>42730</v>
      </c>
      <c r="M1646" t="s">
        <v>43812</v>
      </c>
      <c r="N1646" t="s">
        <v>47424</v>
      </c>
      <c r="O1646" t="s">
        <v>47425</v>
      </c>
      <c r="P1646">
        <v>0</v>
      </c>
      <c r="Q1646">
        <v>0</v>
      </c>
      <c r="R1646" t="s">
        <v>47429</v>
      </c>
      <c r="S1646" t="s">
        <v>47542</v>
      </c>
      <c r="T1646" t="s">
        <v>49059</v>
      </c>
      <c r="U1646" t="s">
        <v>51124</v>
      </c>
      <c r="W1646" t="s">
        <v>43812</v>
      </c>
      <c r="X1646" t="s">
        <v>47426</v>
      </c>
    </row>
    <row r="1647" spans="1:24">
      <c r="A1647">
        <f>HYPERLINK("https://www.philgeps.gov.ph/GEPSNONPILOT/Tender/SplashBidNoticeAbstractUI.aspx?menuIndex=3&amp;refID=7166807&amp;Result=3","7166807")</f>
        <v>0</v>
      </c>
      <c r="B1647" t="s">
        <v>784</v>
      </c>
      <c r="C1647" t="s">
        <v>5484</v>
      </c>
      <c r="D1647" t="s">
        <v>19019</v>
      </c>
      <c r="E1647" t="s">
        <v>20601</v>
      </c>
      <c r="F1647" t="s">
        <v>32831</v>
      </c>
      <c r="G1647" t="s">
        <v>32838</v>
      </c>
      <c r="H1647" t="s">
        <v>32849</v>
      </c>
      <c r="I1647" t="s">
        <v>32903</v>
      </c>
      <c r="J1647" t="s">
        <v>33721</v>
      </c>
      <c r="K1647" t="s">
        <v>42760</v>
      </c>
      <c r="M1647" t="s">
        <v>43813</v>
      </c>
      <c r="N1647" t="s">
        <v>47424</v>
      </c>
      <c r="O1647" t="s">
        <v>47425</v>
      </c>
      <c r="P1647">
        <v>0</v>
      </c>
      <c r="Q1647">
        <v>0</v>
      </c>
      <c r="R1647" t="s">
        <v>47429</v>
      </c>
      <c r="S1647" t="s">
        <v>47542</v>
      </c>
      <c r="T1647" t="s">
        <v>49232</v>
      </c>
      <c r="U1647" t="s">
        <v>51125</v>
      </c>
      <c r="W1647" t="s">
        <v>43813</v>
      </c>
      <c r="X1647" t="s">
        <v>47426</v>
      </c>
    </row>
    <row r="1648" spans="1:24">
      <c r="A1648">
        <f>HYPERLINK("https://www.philgeps.gov.ph/GEPSNONPILOT/Tender/SplashBidNoticeAbstractUI.aspx?menuIndex=3&amp;refID=7166811&amp;Result=3","7166811")</f>
        <v>0</v>
      </c>
      <c r="B1648" t="s">
        <v>785</v>
      </c>
      <c r="C1648" t="s">
        <v>5485</v>
      </c>
      <c r="D1648" t="s">
        <v>19057</v>
      </c>
      <c r="E1648" t="s">
        <v>20602</v>
      </c>
      <c r="F1648" t="s">
        <v>32831</v>
      </c>
      <c r="G1648" t="s">
        <v>32839</v>
      </c>
      <c r="H1648" t="s">
        <v>32848</v>
      </c>
      <c r="I1648" t="s">
        <v>32874</v>
      </c>
      <c r="J1648" t="s">
        <v>33118</v>
      </c>
      <c r="K1648" t="s">
        <v>42732</v>
      </c>
      <c r="M1648" t="s">
        <v>43814</v>
      </c>
      <c r="N1648" t="s">
        <v>47424</v>
      </c>
      <c r="O1648" t="s">
        <v>47425</v>
      </c>
      <c r="P1648">
        <v>0</v>
      </c>
      <c r="Q1648">
        <v>0</v>
      </c>
      <c r="R1648" t="s">
        <v>47429</v>
      </c>
      <c r="S1648" t="s">
        <v>47542</v>
      </c>
      <c r="T1648" t="s">
        <v>49151</v>
      </c>
      <c r="U1648" t="s">
        <v>51126</v>
      </c>
      <c r="W1648" t="s">
        <v>43814</v>
      </c>
      <c r="X1648" t="s">
        <v>47426</v>
      </c>
    </row>
    <row r="1649" spans="1:24">
      <c r="A1649">
        <f>HYPERLINK("https://www.philgeps.gov.ph/GEPSNONPILOT/Tender/SplashBidNoticeAbstractUI.aspx?menuIndex=3&amp;refID=7166806&amp;Result=3","7166806")</f>
        <v>0</v>
      </c>
      <c r="B1649" t="s">
        <v>786</v>
      </c>
      <c r="C1649" t="s">
        <v>5486</v>
      </c>
      <c r="D1649" t="s">
        <v>19056</v>
      </c>
      <c r="E1649" t="s">
        <v>20603</v>
      </c>
      <c r="F1649" t="s">
        <v>32831</v>
      </c>
      <c r="G1649" t="s">
        <v>32838</v>
      </c>
      <c r="H1649" t="s">
        <v>32848</v>
      </c>
      <c r="I1649" t="s">
        <v>32866</v>
      </c>
      <c r="J1649" t="s">
        <v>33673</v>
      </c>
      <c r="K1649" t="s">
        <v>42731</v>
      </c>
      <c r="M1649" t="s">
        <v>43815</v>
      </c>
      <c r="N1649" t="s">
        <v>47424</v>
      </c>
      <c r="O1649" t="s">
        <v>47425</v>
      </c>
      <c r="P1649">
        <v>0</v>
      </c>
      <c r="Q1649">
        <v>0</v>
      </c>
      <c r="R1649" t="s">
        <v>47429</v>
      </c>
      <c r="S1649" t="s">
        <v>47542</v>
      </c>
      <c r="T1649" t="s">
        <v>49253</v>
      </c>
      <c r="U1649" t="s">
        <v>51127</v>
      </c>
      <c r="W1649" t="s">
        <v>43815</v>
      </c>
      <c r="X1649" t="s">
        <v>47426</v>
      </c>
    </row>
    <row r="1650" spans="1:24">
      <c r="A1650">
        <f>HYPERLINK("https://www.philgeps.gov.ph/GEPSNONPILOT/Tender/SplashBidNoticeAbstractUI.aspx?menuIndex=3&amp;refID=7166809&amp;Result=3","7166809")</f>
        <v>0</v>
      </c>
      <c r="B1650" t="s">
        <v>743</v>
      </c>
      <c r="C1650" t="s">
        <v>5487</v>
      </c>
      <c r="D1650" t="s">
        <v>19054</v>
      </c>
      <c r="E1650" t="s">
        <v>20604</v>
      </c>
      <c r="F1650" t="s">
        <v>32831</v>
      </c>
      <c r="G1650" t="s">
        <v>32839</v>
      </c>
      <c r="H1650" t="s">
        <v>32849</v>
      </c>
      <c r="I1650" t="s">
        <v>11727</v>
      </c>
      <c r="J1650" t="s">
        <v>34148</v>
      </c>
      <c r="K1650" t="s">
        <v>42752</v>
      </c>
      <c r="M1650" t="s">
        <v>43766</v>
      </c>
      <c r="N1650" t="s">
        <v>47424</v>
      </c>
      <c r="O1650" t="s">
        <v>47425</v>
      </c>
      <c r="P1650">
        <v>0</v>
      </c>
      <c r="Q1650">
        <v>0</v>
      </c>
      <c r="R1650" t="s">
        <v>47429</v>
      </c>
      <c r="S1650" t="s">
        <v>47542</v>
      </c>
      <c r="T1650" t="s">
        <v>49192</v>
      </c>
      <c r="U1650" t="s">
        <v>51128</v>
      </c>
      <c r="V1650" t="s">
        <v>62796</v>
      </c>
      <c r="W1650" t="s">
        <v>43766</v>
      </c>
      <c r="X1650" t="s">
        <v>47426</v>
      </c>
    </row>
    <row r="1651" spans="1:24">
      <c r="A1651">
        <f>HYPERLINK("https://www.philgeps.gov.ph/GEPSNONPILOT/Tender/SplashBidNoticeAbstractUI.aspx?menuIndex=3&amp;refID=7166838&amp;Result=3","7166838")</f>
        <v>0</v>
      </c>
      <c r="B1651" t="s">
        <v>787</v>
      </c>
      <c r="C1651" t="s">
        <v>5488</v>
      </c>
      <c r="D1651" t="s">
        <v>19045</v>
      </c>
      <c r="E1651" t="s">
        <v>20605</v>
      </c>
      <c r="F1651" t="s">
        <v>32831</v>
      </c>
      <c r="G1651" t="s">
        <v>32838</v>
      </c>
      <c r="H1651" t="s">
        <v>32848</v>
      </c>
      <c r="I1651" t="s">
        <v>32870</v>
      </c>
      <c r="J1651" t="s">
        <v>34149</v>
      </c>
      <c r="K1651" t="s">
        <v>42758</v>
      </c>
      <c r="M1651" t="s">
        <v>43816</v>
      </c>
      <c r="N1651" t="s">
        <v>47424</v>
      </c>
      <c r="O1651" t="s">
        <v>47425</v>
      </c>
      <c r="P1651">
        <v>0</v>
      </c>
      <c r="Q1651">
        <v>0</v>
      </c>
      <c r="R1651" t="s">
        <v>47429</v>
      </c>
      <c r="S1651" t="s">
        <v>47542</v>
      </c>
      <c r="T1651" t="s">
        <v>49104</v>
      </c>
      <c r="U1651" t="s">
        <v>51129</v>
      </c>
      <c r="W1651" t="s">
        <v>43816</v>
      </c>
      <c r="X1651" t="s">
        <v>47426</v>
      </c>
    </row>
    <row r="1652" spans="1:24">
      <c r="A1652">
        <f>HYPERLINK("https://www.philgeps.gov.ph/GEPSNONPILOT/Tender/SplashBidNoticeAbstractUI.aspx?menuIndex=3&amp;refID=7166837&amp;Result=3","7166837")</f>
        <v>0</v>
      </c>
      <c r="B1652" t="s">
        <v>338</v>
      </c>
      <c r="C1652" t="s">
        <v>5489</v>
      </c>
      <c r="D1652" t="s">
        <v>19019</v>
      </c>
      <c r="E1652" t="s">
        <v>20606</v>
      </c>
      <c r="F1652" t="s">
        <v>32831</v>
      </c>
      <c r="G1652" t="s">
        <v>32840</v>
      </c>
      <c r="H1652" t="s">
        <v>32848</v>
      </c>
      <c r="I1652" t="s">
        <v>32860</v>
      </c>
      <c r="J1652" t="s">
        <v>33771</v>
      </c>
      <c r="K1652" t="s">
        <v>42758</v>
      </c>
      <c r="M1652" t="s">
        <v>43817</v>
      </c>
      <c r="N1652" t="s">
        <v>47424</v>
      </c>
      <c r="O1652" t="s">
        <v>47425</v>
      </c>
      <c r="P1652">
        <v>0</v>
      </c>
      <c r="Q1652">
        <v>0</v>
      </c>
      <c r="R1652" t="s">
        <v>47429</v>
      </c>
      <c r="S1652" t="s">
        <v>47542</v>
      </c>
      <c r="T1652" t="s">
        <v>49079</v>
      </c>
      <c r="U1652" t="s">
        <v>51130</v>
      </c>
      <c r="W1652" t="s">
        <v>43817</v>
      </c>
      <c r="X1652" t="s">
        <v>47426</v>
      </c>
    </row>
    <row r="1653" spans="1:24">
      <c r="A1653">
        <f>HYPERLINK("https://www.philgeps.gov.ph/GEPSNONPILOT/Tender/SplashBidNoticeAbstractUI.aspx?menuIndex=3&amp;refID=7166805&amp;Result=3","7166805")</f>
        <v>0</v>
      </c>
      <c r="B1653" t="s">
        <v>634</v>
      </c>
      <c r="C1653" t="s">
        <v>5490</v>
      </c>
      <c r="D1653" t="s">
        <v>19044</v>
      </c>
      <c r="E1653" t="s">
        <v>20607</v>
      </c>
      <c r="F1653" t="s">
        <v>32831</v>
      </c>
      <c r="G1653" t="s">
        <v>32838</v>
      </c>
      <c r="H1653" t="s">
        <v>32848</v>
      </c>
      <c r="I1653" t="s">
        <v>32857</v>
      </c>
      <c r="J1653" t="s">
        <v>34106</v>
      </c>
      <c r="K1653" t="s">
        <v>42727</v>
      </c>
      <c r="M1653" t="s">
        <v>43651</v>
      </c>
      <c r="N1653" t="s">
        <v>47424</v>
      </c>
      <c r="O1653" t="s">
        <v>47425</v>
      </c>
      <c r="P1653">
        <v>0</v>
      </c>
      <c r="Q1653">
        <v>0</v>
      </c>
      <c r="R1653" t="s">
        <v>47429</v>
      </c>
      <c r="S1653" t="s">
        <v>47542</v>
      </c>
      <c r="T1653" t="s">
        <v>49275</v>
      </c>
      <c r="U1653" t="s">
        <v>51131</v>
      </c>
      <c r="V1653" t="s">
        <v>62770</v>
      </c>
      <c r="W1653" t="s">
        <v>43651</v>
      </c>
      <c r="X1653" t="s">
        <v>47426</v>
      </c>
    </row>
    <row r="1654" spans="1:24">
      <c r="A1654">
        <f>HYPERLINK("https://www.philgeps.gov.ph/GEPSNONPILOT/Tender/SplashBidNoticeAbstractUI.aspx?menuIndex=3&amp;refID=7166835&amp;Result=3","7166835")</f>
        <v>0</v>
      </c>
      <c r="B1654" t="s">
        <v>781</v>
      </c>
      <c r="C1654" t="s">
        <v>5491</v>
      </c>
      <c r="D1654" t="s">
        <v>19040</v>
      </c>
      <c r="E1654" t="s">
        <v>20608</v>
      </c>
      <c r="F1654" t="s">
        <v>32831</v>
      </c>
      <c r="G1654" t="s">
        <v>32840</v>
      </c>
      <c r="H1654" t="s">
        <v>32848</v>
      </c>
      <c r="I1654" t="s">
        <v>32860</v>
      </c>
      <c r="J1654" t="s">
        <v>34150</v>
      </c>
      <c r="K1654" t="s">
        <v>42731</v>
      </c>
      <c r="M1654" t="s">
        <v>43810</v>
      </c>
      <c r="N1654" t="s">
        <v>47424</v>
      </c>
      <c r="O1654" t="s">
        <v>47425</v>
      </c>
      <c r="P1654">
        <v>0</v>
      </c>
      <c r="Q1654">
        <v>0</v>
      </c>
      <c r="R1654" t="s">
        <v>47429</v>
      </c>
      <c r="S1654" t="s">
        <v>47542</v>
      </c>
      <c r="T1654" t="s">
        <v>49123</v>
      </c>
      <c r="U1654" t="s">
        <v>51132</v>
      </c>
      <c r="W1654" t="s">
        <v>43810</v>
      </c>
      <c r="X1654" t="s">
        <v>47426</v>
      </c>
    </row>
    <row r="1655" spans="1:24">
      <c r="A1655">
        <f>HYPERLINK("https://www.philgeps.gov.ph/GEPSNONPILOT/Tender/SplashBidNoticeAbstractUI.aspx?menuIndex=3&amp;refID=7166834&amp;Result=3","7166834")</f>
        <v>0</v>
      </c>
      <c r="B1655" t="s">
        <v>788</v>
      </c>
      <c r="C1655" t="s">
        <v>5492</v>
      </c>
      <c r="D1655" t="s">
        <v>19045</v>
      </c>
      <c r="E1655" t="s">
        <v>20609</v>
      </c>
      <c r="F1655" t="s">
        <v>32831</v>
      </c>
      <c r="G1655" t="s">
        <v>32838</v>
      </c>
      <c r="H1655" t="s">
        <v>32848</v>
      </c>
      <c r="I1655" t="s">
        <v>32863</v>
      </c>
      <c r="J1655" t="s">
        <v>34151</v>
      </c>
      <c r="K1655" t="s">
        <v>42758</v>
      </c>
      <c r="M1655" t="s">
        <v>43818</v>
      </c>
      <c r="N1655" t="s">
        <v>47424</v>
      </c>
      <c r="O1655" t="s">
        <v>47425</v>
      </c>
      <c r="P1655">
        <v>0</v>
      </c>
      <c r="Q1655">
        <v>0</v>
      </c>
      <c r="R1655" t="s">
        <v>47429</v>
      </c>
      <c r="S1655" t="s">
        <v>47542</v>
      </c>
      <c r="T1655" t="s">
        <v>49089</v>
      </c>
      <c r="U1655" t="s">
        <v>50909</v>
      </c>
      <c r="W1655" t="s">
        <v>43818</v>
      </c>
      <c r="X1655" t="s">
        <v>47426</v>
      </c>
    </row>
    <row r="1656" spans="1:24">
      <c r="A1656">
        <f>HYPERLINK("https://www.philgeps.gov.ph/GEPSNONPILOT/Tender/SplashBidNoticeAbstractUI.aspx?menuIndex=3&amp;refID=7166832&amp;Result=3","7166832")</f>
        <v>0</v>
      </c>
      <c r="B1656" t="s">
        <v>789</v>
      </c>
      <c r="C1656" t="s">
        <v>5493</v>
      </c>
      <c r="D1656" t="s">
        <v>19031</v>
      </c>
      <c r="E1656" t="s">
        <v>20610</v>
      </c>
      <c r="F1656" t="s">
        <v>32831</v>
      </c>
      <c r="G1656" t="s">
        <v>32839</v>
      </c>
      <c r="H1656" t="s">
        <v>32848</v>
      </c>
      <c r="I1656" t="s">
        <v>32870</v>
      </c>
      <c r="J1656" t="s">
        <v>34152</v>
      </c>
      <c r="K1656" t="s">
        <v>42731</v>
      </c>
      <c r="M1656" t="s">
        <v>43819</v>
      </c>
      <c r="N1656" t="s">
        <v>47424</v>
      </c>
      <c r="O1656" t="s">
        <v>47425</v>
      </c>
      <c r="P1656">
        <v>0</v>
      </c>
      <c r="Q1656">
        <v>0</v>
      </c>
      <c r="R1656" t="s">
        <v>47429</v>
      </c>
      <c r="S1656" t="s">
        <v>47542</v>
      </c>
      <c r="T1656" t="s">
        <v>49142</v>
      </c>
      <c r="U1656" t="s">
        <v>51133</v>
      </c>
      <c r="W1656" t="s">
        <v>43819</v>
      </c>
      <c r="X1656" t="s">
        <v>47426</v>
      </c>
    </row>
    <row r="1657" spans="1:24">
      <c r="A1657">
        <f>HYPERLINK("https://www.philgeps.gov.ph/GEPSNONPILOT/Tender/SplashBidNoticeAbstractUI.aspx?menuIndex=3&amp;refID=7166804&amp;Result=3","7166804")</f>
        <v>0</v>
      </c>
      <c r="B1657" t="s">
        <v>172</v>
      </c>
      <c r="C1657" t="s">
        <v>5494</v>
      </c>
      <c r="D1657" t="s">
        <v>19022</v>
      </c>
      <c r="E1657" t="s">
        <v>20611</v>
      </c>
      <c r="F1657" t="s">
        <v>32831</v>
      </c>
      <c r="G1657" t="s">
        <v>32842</v>
      </c>
      <c r="H1657" t="s">
        <v>32848</v>
      </c>
      <c r="I1657" t="s">
        <v>32860</v>
      </c>
      <c r="J1657" t="s">
        <v>34153</v>
      </c>
      <c r="K1657" t="s">
        <v>42726</v>
      </c>
      <c r="M1657" t="s">
        <v>43169</v>
      </c>
      <c r="N1657" t="s">
        <v>47424</v>
      </c>
      <c r="O1657" t="s">
        <v>47425</v>
      </c>
      <c r="P1657">
        <v>0</v>
      </c>
      <c r="Q1657">
        <v>0</v>
      </c>
      <c r="R1657" t="s">
        <v>47429</v>
      </c>
      <c r="S1657" t="s">
        <v>47542</v>
      </c>
      <c r="T1657" t="s">
        <v>49198</v>
      </c>
      <c r="U1657" t="s">
        <v>51134</v>
      </c>
      <c r="V1657" t="s">
        <v>62809</v>
      </c>
      <c r="W1657" t="s">
        <v>43169</v>
      </c>
      <c r="X1657" t="s">
        <v>47426</v>
      </c>
    </row>
    <row r="1658" spans="1:24">
      <c r="A1658">
        <f>HYPERLINK("https://www.philgeps.gov.ph/GEPSNONPILOT/Tender/SplashBidNoticeAbstractUI.aspx?menuIndex=3&amp;refID=7166833&amp;Result=3","7166833")</f>
        <v>0</v>
      </c>
      <c r="B1658" t="s">
        <v>773</v>
      </c>
      <c r="C1658" t="s">
        <v>5495</v>
      </c>
      <c r="D1658" t="s">
        <v>19037</v>
      </c>
      <c r="E1658" t="s">
        <v>20612</v>
      </c>
      <c r="F1658" t="s">
        <v>32831</v>
      </c>
      <c r="G1658" t="s">
        <v>32840</v>
      </c>
      <c r="H1658" t="s">
        <v>32848</v>
      </c>
      <c r="I1658" t="s">
        <v>32860</v>
      </c>
      <c r="J1658" t="s">
        <v>34154</v>
      </c>
      <c r="K1658" t="s">
        <v>42726</v>
      </c>
      <c r="M1658" t="s">
        <v>43802</v>
      </c>
      <c r="N1658" t="s">
        <v>47424</v>
      </c>
      <c r="O1658" t="s">
        <v>47425</v>
      </c>
      <c r="P1658">
        <v>0</v>
      </c>
      <c r="Q1658">
        <v>0</v>
      </c>
      <c r="R1658" t="s">
        <v>47429</v>
      </c>
      <c r="S1658" t="s">
        <v>47542</v>
      </c>
      <c r="T1658" t="s">
        <v>49151</v>
      </c>
      <c r="U1658" t="s">
        <v>51135</v>
      </c>
      <c r="W1658" t="s">
        <v>43802</v>
      </c>
      <c r="X1658" t="s">
        <v>47426</v>
      </c>
    </row>
    <row r="1659" spans="1:24">
      <c r="A1659">
        <f>HYPERLINK("https://www.philgeps.gov.ph/GEPSNONPILOT/Tender/SplashBidNoticeAbstractUI.aspx?menuIndex=3&amp;refID=7166813&amp;Result=3","7166813")</f>
        <v>0</v>
      </c>
      <c r="B1659" t="s">
        <v>725</v>
      </c>
      <c r="C1659" t="s">
        <v>5496</v>
      </c>
      <c r="D1659" t="s">
        <v>19052</v>
      </c>
      <c r="E1659" t="s">
        <v>20613</v>
      </c>
      <c r="F1659" t="s">
        <v>32831</v>
      </c>
      <c r="G1659" t="s">
        <v>32838</v>
      </c>
      <c r="H1659" t="s">
        <v>32848</v>
      </c>
      <c r="I1659" t="s">
        <v>32864</v>
      </c>
      <c r="J1659" t="s">
        <v>34155</v>
      </c>
      <c r="K1659" t="s">
        <v>42731</v>
      </c>
      <c r="M1659" t="s">
        <v>43793</v>
      </c>
      <c r="N1659" t="s">
        <v>47424</v>
      </c>
      <c r="O1659" t="s">
        <v>47425</v>
      </c>
      <c r="P1659">
        <v>0</v>
      </c>
      <c r="Q1659">
        <v>0</v>
      </c>
      <c r="R1659" t="s">
        <v>47429</v>
      </c>
      <c r="S1659" t="s">
        <v>47542</v>
      </c>
      <c r="T1659" t="s">
        <v>49129</v>
      </c>
      <c r="U1659" t="s">
        <v>51136</v>
      </c>
      <c r="W1659" t="s">
        <v>43793</v>
      </c>
      <c r="X1659" t="s">
        <v>47426</v>
      </c>
    </row>
    <row r="1660" spans="1:24">
      <c r="A1660">
        <f>HYPERLINK("https://www.philgeps.gov.ph/GEPSNONPILOT/Tender/SplashBidNoticeAbstractUI.aspx?menuIndex=3&amp;refID=7166829&amp;Result=3","7166829")</f>
        <v>0</v>
      </c>
      <c r="B1660" t="s">
        <v>790</v>
      </c>
      <c r="C1660" t="s">
        <v>5497</v>
      </c>
      <c r="D1660" t="s">
        <v>19044</v>
      </c>
      <c r="E1660" t="s">
        <v>20614</v>
      </c>
      <c r="F1660" t="s">
        <v>32831</v>
      </c>
      <c r="G1660" t="s">
        <v>32839</v>
      </c>
      <c r="H1660" t="s">
        <v>32849</v>
      </c>
      <c r="I1660" t="s">
        <v>4177</v>
      </c>
      <c r="J1660" t="s">
        <v>34156</v>
      </c>
      <c r="K1660" t="s">
        <v>42763</v>
      </c>
      <c r="L1660" t="s">
        <v>790</v>
      </c>
      <c r="M1660" t="s">
        <v>43820</v>
      </c>
      <c r="N1660" t="s">
        <v>47424</v>
      </c>
      <c r="O1660" t="s">
        <v>47425</v>
      </c>
      <c r="P1660">
        <v>0</v>
      </c>
      <c r="Q1660">
        <v>0</v>
      </c>
      <c r="R1660" t="s">
        <v>47429</v>
      </c>
      <c r="S1660" t="s">
        <v>47542</v>
      </c>
      <c r="T1660" t="s">
        <v>49132</v>
      </c>
      <c r="U1660" t="s">
        <v>51137</v>
      </c>
      <c r="W1660" t="s">
        <v>43820</v>
      </c>
      <c r="X1660" t="s">
        <v>47426</v>
      </c>
    </row>
    <row r="1661" spans="1:24">
      <c r="A1661">
        <f>HYPERLINK("https://www.philgeps.gov.ph/GEPSNONPILOT/Tender/SplashBidNoticeAbstractUI.aspx?menuIndex=3&amp;refID=7166828&amp;Result=3","7166828")</f>
        <v>0</v>
      </c>
      <c r="B1661" t="s">
        <v>791</v>
      </c>
      <c r="C1661" t="s">
        <v>5498</v>
      </c>
      <c r="D1661" t="s">
        <v>19034</v>
      </c>
      <c r="E1661" t="s">
        <v>20615</v>
      </c>
      <c r="F1661" t="s">
        <v>32831</v>
      </c>
      <c r="G1661" t="s">
        <v>32840</v>
      </c>
      <c r="H1661" t="s">
        <v>32848</v>
      </c>
      <c r="I1661" t="s">
        <v>7416</v>
      </c>
      <c r="J1661" t="s">
        <v>34157</v>
      </c>
      <c r="K1661" t="s">
        <v>42731</v>
      </c>
      <c r="M1661" t="s">
        <v>43821</v>
      </c>
      <c r="N1661" t="s">
        <v>47424</v>
      </c>
      <c r="O1661" t="s">
        <v>47425</v>
      </c>
      <c r="P1661">
        <v>0</v>
      </c>
      <c r="Q1661">
        <v>0</v>
      </c>
      <c r="R1661" t="s">
        <v>47429</v>
      </c>
      <c r="S1661" t="s">
        <v>47542</v>
      </c>
      <c r="T1661" t="s">
        <v>49129</v>
      </c>
      <c r="U1661" t="s">
        <v>51138</v>
      </c>
      <c r="W1661" t="s">
        <v>43821</v>
      </c>
      <c r="X1661" t="s">
        <v>47426</v>
      </c>
    </row>
    <row r="1662" spans="1:24">
      <c r="A1662">
        <f>HYPERLINK("https://www.philgeps.gov.ph/GEPSNONPILOT/Tender/SplashBidNoticeAbstractUI.aspx?menuIndex=3&amp;refID=7166836&amp;Result=3","7166836")</f>
        <v>0</v>
      </c>
      <c r="B1662" t="s">
        <v>792</v>
      </c>
      <c r="C1662" t="s">
        <v>5499</v>
      </c>
      <c r="D1662" t="s">
        <v>19100</v>
      </c>
      <c r="E1662" t="s">
        <v>20616</v>
      </c>
      <c r="F1662" t="s">
        <v>32831</v>
      </c>
      <c r="G1662" t="s">
        <v>32840</v>
      </c>
      <c r="H1662" t="s">
        <v>32848</v>
      </c>
      <c r="I1662" t="s">
        <v>4776</v>
      </c>
      <c r="J1662" t="s">
        <v>33364</v>
      </c>
      <c r="K1662" t="s">
        <v>42731</v>
      </c>
      <c r="M1662" t="s">
        <v>43822</v>
      </c>
      <c r="N1662" t="s">
        <v>47424</v>
      </c>
      <c r="O1662" t="s">
        <v>47425</v>
      </c>
      <c r="P1662">
        <v>0</v>
      </c>
      <c r="Q1662">
        <v>0</v>
      </c>
      <c r="R1662" t="s">
        <v>47429</v>
      </c>
      <c r="S1662" t="s">
        <v>47542</v>
      </c>
      <c r="T1662" t="s">
        <v>49174</v>
      </c>
      <c r="U1662" t="s">
        <v>51139</v>
      </c>
      <c r="W1662" t="s">
        <v>43822</v>
      </c>
      <c r="X1662" t="s">
        <v>47426</v>
      </c>
    </row>
    <row r="1663" spans="1:24">
      <c r="A1663">
        <f>HYPERLINK("https://www.philgeps.gov.ph/GEPSNONPILOT/Tender/SplashBidNoticeAbstractUI.aspx?menuIndex=3&amp;refID=7166831&amp;Result=3","7166831")</f>
        <v>0</v>
      </c>
      <c r="B1663" t="s">
        <v>721</v>
      </c>
      <c r="C1663" t="s">
        <v>5500</v>
      </c>
      <c r="D1663" t="s">
        <v>19018</v>
      </c>
      <c r="E1663" t="s">
        <v>20617</v>
      </c>
      <c r="F1663" t="s">
        <v>32831</v>
      </c>
      <c r="G1663" t="s">
        <v>32838</v>
      </c>
      <c r="H1663" t="s">
        <v>32848</v>
      </c>
      <c r="I1663" t="s">
        <v>4303</v>
      </c>
      <c r="J1663" t="s">
        <v>34158</v>
      </c>
      <c r="K1663" t="s">
        <v>42732</v>
      </c>
      <c r="M1663" t="s">
        <v>43742</v>
      </c>
      <c r="N1663" t="s">
        <v>47424</v>
      </c>
      <c r="O1663" t="s">
        <v>47425</v>
      </c>
      <c r="P1663">
        <v>0</v>
      </c>
      <c r="Q1663">
        <v>0</v>
      </c>
      <c r="R1663" t="s">
        <v>47429</v>
      </c>
      <c r="S1663" t="s">
        <v>47542</v>
      </c>
      <c r="T1663" t="s">
        <v>49087</v>
      </c>
      <c r="U1663" t="s">
        <v>51005</v>
      </c>
      <c r="W1663" t="s">
        <v>43742</v>
      </c>
      <c r="X1663" t="s">
        <v>47426</v>
      </c>
    </row>
    <row r="1664" spans="1:24">
      <c r="A1664">
        <f>HYPERLINK("https://www.philgeps.gov.ph/GEPSNONPILOT/Tender/SplashBidNoticeAbstractUI.aspx?menuIndex=3&amp;refID=7166860&amp;Result=3","7166860")</f>
        <v>0</v>
      </c>
      <c r="B1664" t="s">
        <v>764</v>
      </c>
      <c r="C1664" t="s">
        <v>5283</v>
      </c>
      <c r="D1664" t="s">
        <v>19086</v>
      </c>
      <c r="E1664" t="s">
        <v>20618</v>
      </c>
      <c r="F1664" t="s">
        <v>32831</v>
      </c>
      <c r="G1664" t="s">
        <v>32838</v>
      </c>
      <c r="H1664" t="s">
        <v>32848</v>
      </c>
      <c r="I1664" t="s">
        <v>4438</v>
      </c>
      <c r="J1664" t="s">
        <v>34159</v>
      </c>
      <c r="K1664" t="s">
        <v>42727</v>
      </c>
      <c r="M1664" t="s">
        <v>43790</v>
      </c>
      <c r="N1664" t="s">
        <v>47424</v>
      </c>
      <c r="O1664" t="s">
        <v>47425</v>
      </c>
      <c r="P1664">
        <v>0</v>
      </c>
      <c r="Q1664">
        <v>0</v>
      </c>
      <c r="R1664" t="s">
        <v>47429</v>
      </c>
      <c r="S1664" t="s">
        <v>47542</v>
      </c>
      <c r="T1664" t="s">
        <v>49129</v>
      </c>
      <c r="U1664" t="s">
        <v>51140</v>
      </c>
      <c r="V1664" t="s">
        <v>62810</v>
      </c>
      <c r="W1664" t="s">
        <v>43790</v>
      </c>
      <c r="X1664" t="s">
        <v>47426</v>
      </c>
    </row>
    <row r="1665" spans="1:24">
      <c r="A1665">
        <f>HYPERLINK("https://www.philgeps.gov.ph/GEPSNONPILOT/Tender/SplashBidNoticeAbstractUI.aspx?menuIndex=3&amp;refID=7166830&amp;Result=3","7166830")</f>
        <v>0</v>
      </c>
      <c r="B1665" t="s">
        <v>60</v>
      </c>
      <c r="C1665" t="s">
        <v>5501</v>
      </c>
      <c r="D1665" t="s">
        <v>19042</v>
      </c>
      <c r="E1665" t="s">
        <v>20619</v>
      </c>
      <c r="F1665" t="s">
        <v>32831</v>
      </c>
      <c r="G1665" t="s">
        <v>32839</v>
      </c>
      <c r="H1665" t="s">
        <v>32849</v>
      </c>
      <c r="I1665" t="s">
        <v>4177</v>
      </c>
      <c r="J1665" t="s">
        <v>34160</v>
      </c>
      <c r="K1665" t="s">
        <v>42809</v>
      </c>
      <c r="M1665" t="s">
        <v>43740</v>
      </c>
      <c r="N1665" t="s">
        <v>47424</v>
      </c>
      <c r="O1665" t="s">
        <v>47425</v>
      </c>
      <c r="P1665">
        <v>0</v>
      </c>
      <c r="Q1665">
        <v>0</v>
      </c>
      <c r="R1665" t="s">
        <v>47429</v>
      </c>
      <c r="S1665" t="s">
        <v>47542</v>
      </c>
      <c r="T1665" t="s">
        <v>49262</v>
      </c>
      <c r="U1665" t="s">
        <v>51141</v>
      </c>
      <c r="W1665" t="s">
        <v>43740</v>
      </c>
      <c r="X1665" t="s">
        <v>47426</v>
      </c>
    </row>
    <row r="1666" spans="1:24">
      <c r="A1666">
        <f>HYPERLINK("https://www.philgeps.gov.ph/GEPSNONPILOT/Tender/SplashBidNoticeAbstractUI.aspx?menuIndex=3&amp;refID=7166854&amp;Result=3","7166854")</f>
        <v>0</v>
      </c>
      <c r="B1666" t="s">
        <v>793</v>
      </c>
      <c r="C1666" t="s">
        <v>5502</v>
      </c>
      <c r="D1666" t="s">
        <v>19048</v>
      </c>
      <c r="E1666" t="s">
        <v>20620</v>
      </c>
      <c r="F1666" t="s">
        <v>32831</v>
      </c>
      <c r="G1666" t="s">
        <v>32838</v>
      </c>
      <c r="H1666" t="s">
        <v>32848</v>
      </c>
      <c r="I1666" t="s">
        <v>6526</v>
      </c>
      <c r="J1666" t="s">
        <v>34161</v>
      </c>
      <c r="K1666" t="s">
        <v>42727</v>
      </c>
      <c r="M1666" t="s">
        <v>43823</v>
      </c>
      <c r="N1666" t="s">
        <v>47424</v>
      </c>
      <c r="O1666" t="s">
        <v>47425</v>
      </c>
      <c r="P1666">
        <v>0</v>
      </c>
      <c r="Q1666">
        <v>0</v>
      </c>
      <c r="R1666" t="s">
        <v>47429</v>
      </c>
      <c r="S1666" t="s">
        <v>47542</v>
      </c>
      <c r="T1666" t="s">
        <v>49143</v>
      </c>
      <c r="U1666" t="s">
        <v>51142</v>
      </c>
      <c r="W1666" t="s">
        <v>43823</v>
      </c>
      <c r="X1666" t="s">
        <v>47426</v>
      </c>
    </row>
    <row r="1667" spans="1:24">
      <c r="A1667">
        <f>HYPERLINK("https://www.philgeps.gov.ph/GEPSNONPILOT/Tender/SplashBidNoticeAbstractUI.aspx?menuIndex=3&amp;refID=7166857&amp;Result=3","7166857")</f>
        <v>0</v>
      </c>
      <c r="B1667" t="s">
        <v>746</v>
      </c>
      <c r="C1667" t="s">
        <v>5503</v>
      </c>
      <c r="D1667" t="s">
        <v>19078</v>
      </c>
      <c r="E1667" t="s">
        <v>20621</v>
      </c>
      <c r="F1667" t="s">
        <v>32831</v>
      </c>
      <c r="G1667" t="s">
        <v>32838</v>
      </c>
      <c r="H1667" t="s">
        <v>32848</v>
      </c>
      <c r="I1667" t="s">
        <v>7416</v>
      </c>
      <c r="J1667" t="s">
        <v>34162</v>
      </c>
      <c r="K1667" t="s">
        <v>42726</v>
      </c>
      <c r="M1667" t="s">
        <v>43769</v>
      </c>
      <c r="N1667" t="s">
        <v>47424</v>
      </c>
      <c r="O1667" t="s">
        <v>47425</v>
      </c>
      <c r="P1667">
        <v>0</v>
      </c>
      <c r="Q1667">
        <v>0</v>
      </c>
      <c r="R1667" t="s">
        <v>47429</v>
      </c>
      <c r="S1667" t="s">
        <v>47542</v>
      </c>
      <c r="T1667" t="s">
        <v>49268</v>
      </c>
      <c r="U1667" t="s">
        <v>50389</v>
      </c>
      <c r="W1667" t="s">
        <v>43769</v>
      </c>
      <c r="X1667" t="s">
        <v>47426</v>
      </c>
    </row>
    <row r="1668" spans="1:24">
      <c r="A1668">
        <f>HYPERLINK("https://www.philgeps.gov.ph/GEPSNONPILOT/Tender/SplashBidNoticeAbstractUI.aspx?menuIndex=3&amp;refID=7166852&amp;Result=3","7166852")</f>
        <v>0</v>
      </c>
      <c r="B1668" t="s">
        <v>794</v>
      </c>
      <c r="C1668" t="s">
        <v>4859</v>
      </c>
      <c r="D1668" t="s">
        <v>19088</v>
      </c>
      <c r="E1668" t="s">
        <v>20622</v>
      </c>
      <c r="F1668" t="s">
        <v>32831</v>
      </c>
      <c r="G1668" t="s">
        <v>32839</v>
      </c>
      <c r="H1668" t="s">
        <v>32848</v>
      </c>
      <c r="I1668" t="s">
        <v>9577</v>
      </c>
      <c r="J1668" t="s">
        <v>34163</v>
      </c>
      <c r="K1668" t="s">
        <v>42726</v>
      </c>
      <c r="M1668" t="s">
        <v>43824</v>
      </c>
      <c r="N1668" t="s">
        <v>47424</v>
      </c>
      <c r="O1668" t="s">
        <v>47425</v>
      </c>
      <c r="P1668">
        <v>0</v>
      </c>
      <c r="Q1668">
        <v>0</v>
      </c>
      <c r="R1668" t="s">
        <v>47429</v>
      </c>
      <c r="S1668" t="s">
        <v>47542</v>
      </c>
      <c r="T1668" t="s">
        <v>49077</v>
      </c>
      <c r="U1668" t="s">
        <v>51143</v>
      </c>
      <c r="W1668" t="s">
        <v>43824</v>
      </c>
      <c r="X1668" t="s">
        <v>47426</v>
      </c>
    </row>
    <row r="1669" spans="1:24">
      <c r="A1669">
        <f>HYPERLINK("https://www.philgeps.gov.ph/GEPSNONPILOT/Tender/SplashBidNoticeAbstractUI.aspx?menuIndex=3&amp;refID=7166853&amp;Result=3","7166853")</f>
        <v>0</v>
      </c>
      <c r="B1669" t="s">
        <v>533</v>
      </c>
      <c r="C1669" t="s">
        <v>5464</v>
      </c>
      <c r="D1669" t="s">
        <v>19054</v>
      </c>
      <c r="E1669" t="s">
        <v>20623</v>
      </c>
      <c r="F1669" t="s">
        <v>32831</v>
      </c>
      <c r="G1669" t="s">
        <v>32839</v>
      </c>
      <c r="H1669" t="s">
        <v>32848</v>
      </c>
      <c r="I1669" t="s">
        <v>4487</v>
      </c>
      <c r="J1669" t="s">
        <v>33226</v>
      </c>
      <c r="K1669" t="s">
        <v>42731</v>
      </c>
      <c r="M1669" t="s">
        <v>43539</v>
      </c>
      <c r="N1669" t="s">
        <v>47424</v>
      </c>
      <c r="O1669" t="s">
        <v>47425</v>
      </c>
      <c r="P1669">
        <v>0</v>
      </c>
      <c r="Q1669">
        <v>0</v>
      </c>
      <c r="R1669" t="s">
        <v>47429</v>
      </c>
      <c r="S1669" t="s">
        <v>47542</v>
      </c>
      <c r="T1669" t="s">
        <v>49172</v>
      </c>
      <c r="U1669" t="s">
        <v>51106</v>
      </c>
      <c r="V1669" t="s">
        <v>62806</v>
      </c>
      <c r="W1669" t="s">
        <v>43539</v>
      </c>
      <c r="X1669" t="s">
        <v>47426</v>
      </c>
    </row>
    <row r="1670" spans="1:24">
      <c r="A1670">
        <f>HYPERLINK("https://www.philgeps.gov.ph/GEPSNONPILOT/Tender/SplashBidNoticeAbstractUI.aspx?menuIndex=3&amp;refID=7166849&amp;Result=3","7166849")</f>
        <v>0</v>
      </c>
      <c r="B1670" t="s">
        <v>795</v>
      </c>
      <c r="C1670" t="s">
        <v>5504</v>
      </c>
      <c r="D1670" t="s">
        <v>19045</v>
      </c>
      <c r="E1670" t="s">
        <v>20624</v>
      </c>
      <c r="F1670" t="s">
        <v>32831</v>
      </c>
      <c r="G1670" t="s">
        <v>32838</v>
      </c>
      <c r="H1670" t="s">
        <v>32848</v>
      </c>
      <c r="I1670" t="s">
        <v>32862</v>
      </c>
      <c r="J1670" t="s">
        <v>33488</v>
      </c>
      <c r="K1670" t="s">
        <v>42727</v>
      </c>
      <c r="M1670" t="s">
        <v>43825</v>
      </c>
      <c r="N1670" t="s">
        <v>47424</v>
      </c>
      <c r="O1670" t="s">
        <v>47425</v>
      </c>
      <c r="P1670">
        <v>0</v>
      </c>
      <c r="Q1670">
        <v>0</v>
      </c>
      <c r="R1670" t="s">
        <v>47429</v>
      </c>
      <c r="S1670" t="s">
        <v>47542</v>
      </c>
      <c r="T1670" t="s">
        <v>49057</v>
      </c>
      <c r="U1670" t="s">
        <v>51144</v>
      </c>
      <c r="W1670" t="s">
        <v>43825</v>
      </c>
      <c r="X1670" t="s">
        <v>47426</v>
      </c>
    </row>
    <row r="1671" spans="1:24">
      <c r="A1671">
        <f>HYPERLINK("https://www.philgeps.gov.ph/GEPSNONPILOT/Tender/SplashBidNoticeAbstractUI.aspx?menuIndex=3&amp;refID=7166848&amp;Result=3","7166848")</f>
        <v>0</v>
      </c>
      <c r="B1671" t="s">
        <v>720</v>
      </c>
      <c r="C1671" t="s">
        <v>5505</v>
      </c>
      <c r="D1671" t="s">
        <v>19090</v>
      </c>
      <c r="E1671" t="s">
        <v>20625</v>
      </c>
      <c r="F1671" t="s">
        <v>32831</v>
      </c>
      <c r="G1671" t="s">
        <v>32838</v>
      </c>
      <c r="H1671" t="s">
        <v>32848</v>
      </c>
      <c r="I1671" t="s">
        <v>32857</v>
      </c>
      <c r="J1671" t="s">
        <v>34164</v>
      </c>
      <c r="K1671" t="s">
        <v>42727</v>
      </c>
      <c r="M1671" t="s">
        <v>43741</v>
      </c>
      <c r="N1671" t="s">
        <v>47424</v>
      </c>
      <c r="O1671" t="s">
        <v>47425</v>
      </c>
      <c r="P1671">
        <v>0</v>
      </c>
      <c r="Q1671">
        <v>0</v>
      </c>
      <c r="R1671" t="s">
        <v>47429</v>
      </c>
      <c r="S1671" t="s">
        <v>47542</v>
      </c>
      <c r="T1671" t="s">
        <v>49089</v>
      </c>
      <c r="U1671" t="s">
        <v>51145</v>
      </c>
      <c r="W1671" t="s">
        <v>64445</v>
      </c>
      <c r="X1671" t="s">
        <v>47426</v>
      </c>
    </row>
    <row r="1672" spans="1:24">
      <c r="A1672">
        <f>HYPERLINK("https://www.philgeps.gov.ph/GEPSNONPILOT/Tender/SplashBidNoticeAbstractUI.aspx?menuIndex=3&amp;refID=7166851&amp;Result=3","7166851")</f>
        <v>0</v>
      </c>
      <c r="B1672" t="s">
        <v>263</v>
      </c>
      <c r="C1672" t="s">
        <v>5506</v>
      </c>
      <c r="D1672" t="s">
        <v>19083</v>
      </c>
      <c r="E1672" t="s">
        <v>20626</v>
      </c>
      <c r="F1672" t="s">
        <v>32831</v>
      </c>
      <c r="G1672" t="s">
        <v>32840</v>
      </c>
      <c r="H1672" t="s">
        <v>32848</v>
      </c>
      <c r="I1672" t="s">
        <v>32870</v>
      </c>
      <c r="J1672" t="s">
        <v>33098</v>
      </c>
      <c r="K1672" t="s">
        <v>42727</v>
      </c>
      <c r="M1672" t="s">
        <v>43262</v>
      </c>
      <c r="N1672" t="s">
        <v>47424</v>
      </c>
      <c r="O1672" t="s">
        <v>47425</v>
      </c>
      <c r="P1672">
        <v>0</v>
      </c>
      <c r="Q1672">
        <v>0</v>
      </c>
      <c r="R1672" t="s">
        <v>47429</v>
      </c>
      <c r="S1672" t="s">
        <v>47542</v>
      </c>
      <c r="T1672" t="s">
        <v>49170</v>
      </c>
      <c r="U1672" t="s">
        <v>51146</v>
      </c>
      <c r="W1672" t="s">
        <v>43262</v>
      </c>
      <c r="X1672" t="s">
        <v>47426</v>
      </c>
    </row>
    <row r="1673" spans="1:24">
      <c r="A1673">
        <f>HYPERLINK("https://www.philgeps.gov.ph/GEPSNONPILOT/Tender/SplashBidNoticeAbstractUI.aspx?menuIndex=3&amp;refID=7166846&amp;Result=3","7166846")</f>
        <v>0</v>
      </c>
      <c r="B1673" t="s">
        <v>123</v>
      </c>
      <c r="C1673" t="s">
        <v>5507</v>
      </c>
      <c r="D1673" t="s">
        <v>19038</v>
      </c>
      <c r="E1673" t="s">
        <v>20627</v>
      </c>
      <c r="F1673" t="s">
        <v>32831</v>
      </c>
      <c r="G1673" t="s">
        <v>32838</v>
      </c>
      <c r="H1673" t="s">
        <v>32848</v>
      </c>
      <c r="I1673" t="s">
        <v>4303</v>
      </c>
      <c r="J1673" t="s">
        <v>34165</v>
      </c>
      <c r="K1673" t="s">
        <v>42726</v>
      </c>
      <c r="M1673" t="s">
        <v>43120</v>
      </c>
      <c r="N1673" t="s">
        <v>47424</v>
      </c>
      <c r="O1673" t="s">
        <v>47425</v>
      </c>
      <c r="P1673">
        <v>0</v>
      </c>
      <c r="Q1673">
        <v>0</v>
      </c>
      <c r="R1673" t="s">
        <v>47429</v>
      </c>
      <c r="S1673" t="s">
        <v>47542</v>
      </c>
      <c r="T1673" t="s">
        <v>49129</v>
      </c>
      <c r="U1673" t="s">
        <v>51147</v>
      </c>
      <c r="W1673" t="s">
        <v>43120</v>
      </c>
      <c r="X1673" t="s">
        <v>47426</v>
      </c>
    </row>
    <row r="1674" spans="1:24">
      <c r="A1674">
        <f>HYPERLINK("https://www.philgeps.gov.ph/GEPSNONPILOT/Tender/SplashBidNoticeAbstractUI.aspx?menuIndex=3&amp;refID=7166850&amp;Result=3","7166850")</f>
        <v>0</v>
      </c>
      <c r="B1674" t="s">
        <v>796</v>
      </c>
      <c r="C1674" t="s">
        <v>5508</v>
      </c>
      <c r="D1674" t="s">
        <v>19017</v>
      </c>
      <c r="E1674" t="s">
        <v>20628</v>
      </c>
      <c r="F1674" t="s">
        <v>32831</v>
      </c>
      <c r="G1674" t="s">
        <v>32838</v>
      </c>
      <c r="H1674" t="s">
        <v>32848</v>
      </c>
      <c r="I1674" t="s">
        <v>32930</v>
      </c>
      <c r="J1674" t="s">
        <v>34100</v>
      </c>
      <c r="K1674" t="s">
        <v>42732</v>
      </c>
      <c r="M1674" t="s">
        <v>43826</v>
      </c>
      <c r="N1674" t="s">
        <v>47424</v>
      </c>
      <c r="O1674" t="s">
        <v>47425</v>
      </c>
      <c r="P1674">
        <v>0</v>
      </c>
      <c r="Q1674">
        <v>0</v>
      </c>
      <c r="R1674" t="s">
        <v>47429</v>
      </c>
      <c r="S1674" t="s">
        <v>47542</v>
      </c>
      <c r="T1674" t="s">
        <v>49276</v>
      </c>
      <c r="U1674" t="s">
        <v>51148</v>
      </c>
      <c r="W1674" t="s">
        <v>43826</v>
      </c>
      <c r="X1674" t="s">
        <v>47426</v>
      </c>
    </row>
    <row r="1675" spans="1:24">
      <c r="A1675">
        <f>HYPERLINK("https://www.philgeps.gov.ph/GEPSNONPILOT/Tender/SplashBidNoticeAbstractUI.aspx?menuIndex=3&amp;refID=7166845&amp;Result=3","7166845")</f>
        <v>0</v>
      </c>
      <c r="B1675" t="s">
        <v>797</v>
      </c>
      <c r="C1675" t="s">
        <v>5509</v>
      </c>
      <c r="D1675" t="s">
        <v>19038</v>
      </c>
      <c r="E1675" t="s">
        <v>20629</v>
      </c>
      <c r="F1675" t="s">
        <v>32831</v>
      </c>
      <c r="G1675" t="s">
        <v>32840</v>
      </c>
      <c r="H1675" t="s">
        <v>32848</v>
      </c>
      <c r="I1675" t="s">
        <v>4776</v>
      </c>
      <c r="J1675" t="s">
        <v>33568</v>
      </c>
      <c r="K1675" t="s">
        <v>42726</v>
      </c>
      <c r="M1675" t="s">
        <v>43827</v>
      </c>
      <c r="N1675" t="s">
        <v>47424</v>
      </c>
      <c r="O1675" t="s">
        <v>47425</v>
      </c>
      <c r="P1675">
        <v>0</v>
      </c>
      <c r="Q1675">
        <v>0</v>
      </c>
      <c r="R1675" t="s">
        <v>47429</v>
      </c>
      <c r="S1675" t="s">
        <v>47542</v>
      </c>
      <c r="T1675" t="s">
        <v>49104</v>
      </c>
      <c r="U1675" t="s">
        <v>51149</v>
      </c>
      <c r="V1675" t="s">
        <v>62811</v>
      </c>
      <c r="W1675" t="s">
        <v>43827</v>
      </c>
      <c r="X1675" t="s">
        <v>47426</v>
      </c>
    </row>
    <row r="1676" spans="1:24">
      <c r="A1676">
        <f>HYPERLINK("https://www.philgeps.gov.ph/GEPSNONPILOT/Tender/SplashBidNoticeAbstractUI.aspx?menuIndex=3&amp;refID=7166862&amp;Result=3","7166862")</f>
        <v>0</v>
      </c>
      <c r="B1676" t="s">
        <v>798</v>
      </c>
      <c r="C1676" t="s">
        <v>5510</v>
      </c>
      <c r="D1676" t="s">
        <v>19080</v>
      </c>
      <c r="E1676" t="s">
        <v>20630</v>
      </c>
      <c r="F1676" t="s">
        <v>32831</v>
      </c>
      <c r="G1676" t="s">
        <v>32838</v>
      </c>
      <c r="H1676" t="s">
        <v>32848</v>
      </c>
      <c r="I1676" t="s">
        <v>4558</v>
      </c>
      <c r="J1676" t="s">
        <v>34166</v>
      </c>
      <c r="K1676" t="s">
        <v>42727</v>
      </c>
      <c r="M1676" t="s">
        <v>43828</v>
      </c>
      <c r="N1676" t="s">
        <v>47424</v>
      </c>
      <c r="O1676" t="s">
        <v>47425</v>
      </c>
      <c r="P1676">
        <v>0</v>
      </c>
      <c r="Q1676">
        <v>0</v>
      </c>
      <c r="R1676" t="s">
        <v>47429</v>
      </c>
      <c r="S1676" t="s">
        <v>47542</v>
      </c>
      <c r="T1676" t="s">
        <v>49208</v>
      </c>
      <c r="U1676" t="s">
        <v>51150</v>
      </c>
      <c r="W1676" t="s">
        <v>43828</v>
      </c>
      <c r="X1676" t="s">
        <v>47426</v>
      </c>
    </row>
    <row r="1677" spans="1:24">
      <c r="A1677">
        <f>HYPERLINK("https://www.philgeps.gov.ph/GEPSNONPILOT/Tender/SplashBidNoticeAbstractUI.aspx?menuIndex=3&amp;refID=7166858&amp;Result=3","7166858")</f>
        <v>0</v>
      </c>
      <c r="B1677" t="s">
        <v>700</v>
      </c>
      <c r="C1677" t="s">
        <v>5511</v>
      </c>
      <c r="D1677" t="s">
        <v>19046</v>
      </c>
      <c r="E1677" t="s">
        <v>20631</v>
      </c>
      <c r="F1677" t="s">
        <v>32831</v>
      </c>
      <c r="G1677" t="s">
        <v>32838</v>
      </c>
      <c r="H1677" t="s">
        <v>32848</v>
      </c>
      <c r="I1677" t="s">
        <v>7416</v>
      </c>
      <c r="J1677" t="s">
        <v>34167</v>
      </c>
      <c r="K1677" t="s">
        <v>42742</v>
      </c>
      <c r="M1677" t="s">
        <v>43719</v>
      </c>
      <c r="N1677" t="s">
        <v>47424</v>
      </c>
      <c r="O1677" t="s">
        <v>47425</v>
      </c>
      <c r="P1677">
        <v>0</v>
      </c>
      <c r="Q1677">
        <v>0</v>
      </c>
      <c r="R1677" t="s">
        <v>47429</v>
      </c>
      <c r="S1677" t="s">
        <v>47542</v>
      </c>
      <c r="T1677" t="s">
        <v>49104</v>
      </c>
      <c r="U1677" t="s">
        <v>51151</v>
      </c>
      <c r="W1677" t="s">
        <v>43719</v>
      </c>
      <c r="X1677" t="s">
        <v>47426</v>
      </c>
    </row>
    <row r="1678" spans="1:24">
      <c r="A1678">
        <f>HYPERLINK("https://www.philgeps.gov.ph/GEPSNONPILOT/Tender/SplashBidNoticeAbstractUI.aspx?menuIndex=3&amp;refID=7166847&amp;Result=3","7166847")</f>
        <v>0</v>
      </c>
      <c r="B1678" t="s">
        <v>266</v>
      </c>
      <c r="C1678" t="s">
        <v>5512</v>
      </c>
      <c r="E1678" t="s">
        <v>20632</v>
      </c>
      <c r="F1678" t="s">
        <v>32831</v>
      </c>
      <c r="G1678" t="s">
        <v>32838</v>
      </c>
      <c r="H1678" t="s">
        <v>32848</v>
      </c>
      <c r="I1678" t="s">
        <v>32892</v>
      </c>
      <c r="J1678" t="s">
        <v>34168</v>
      </c>
      <c r="K1678" t="s">
        <v>42727</v>
      </c>
      <c r="M1678" t="s">
        <v>43265</v>
      </c>
      <c r="N1678" t="s">
        <v>47424</v>
      </c>
      <c r="O1678" t="s">
        <v>47425</v>
      </c>
      <c r="P1678">
        <v>0</v>
      </c>
      <c r="Q1678">
        <v>0</v>
      </c>
      <c r="R1678" t="s">
        <v>47429</v>
      </c>
      <c r="S1678" t="s">
        <v>47542</v>
      </c>
      <c r="T1678" t="s">
        <v>49129</v>
      </c>
      <c r="U1678" t="s">
        <v>51152</v>
      </c>
      <c r="W1678" t="s">
        <v>43265</v>
      </c>
      <c r="X1678" t="s">
        <v>47426</v>
      </c>
    </row>
    <row r="1679" spans="1:24">
      <c r="A1679">
        <f>HYPERLINK("https://www.philgeps.gov.ph/GEPSNONPILOT/Tender/SplashBidNoticeAbstractUI.aspx?menuIndex=3&amp;refID=7166844&amp;Result=3","7166844")</f>
        <v>0</v>
      </c>
      <c r="B1679" t="s">
        <v>634</v>
      </c>
      <c r="C1679" t="s">
        <v>5513</v>
      </c>
      <c r="D1679" t="s">
        <v>19044</v>
      </c>
      <c r="E1679" t="s">
        <v>20633</v>
      </c>
      <c r="F1679" t="s">
        <v>32831</v>
      </c>
      <c r="G1679" t="s">
        <v>32838</v>
      </c>
      <c r="H1679" t="s">
        <v>32848</v>
      </c>
      <c r="I1679" t="s">
        <v>32861</v>
      </c>
      <c r="J1679" t="s">
        <v>34169</v>
      </c>
      <c r="K1679" t="s">
        <v>42727</v>
      </c>
      <c r="M1679" t="s">
        <v>43651</v>
      </c>
      <c r="N1679" t="s">
        <v>47424</v>
      </c>
      <c r="O1679" t="s">
        <v>47425</v>
      </c>
      <c r="P1679">
        <v>0</v>
      </c>
      <c r="Q1679">
        <v>0</v>
      </c>
      <c r="R1679" t="s">
        <v>47429</v>
      </c>
      <c r="S1679" t="s">
        <v>47542</v>
      </c>
      <c r="T1679" t="s">
        <v>49275</v>
      </c>
      <c r="U1679" t="s">
        <v>51153</v>
      </c>
      <c r="V1679" t="s">
        <v>62770</v>
      </c>
      <c r="W1679" t="s">
        <v>43651</v>
      </c>
      <c r="X1679" t="s">
        <v>47426</v>
      </c>
    </row>
    <row r="1680" spans="1:24">
      <c r="A1680">
        <f>HYPERLINK("https://www.philgeps.gov.ph/GEPSNONPILOT/Tender/SplashBidNoticeAbstractUI.aspx?menuIndex=3&amp;refID=7166883&amp;Result=3","7166883")</f>
        <v>0</v>
      </c>
      <c r="B1680" t="s">
        <v>799</v>
      </c>
      <c r="C1680" t="s">
        <v>5514</v>
      </c>
      <c r="D1680" t="s">
        <v>19042</v>
      </c>
      <c r="E1680" t="s">
        <v>20634</v>
      </c>
      <c r="F1680" t="s">
        <v>32831</v>
      </c>
      <c r="G1680" t="s">
        <v>32838</v>
      </c>
      <c r="H1680" t="s">
        <v>32848</v>
      </c>
      <c r="I1680" t="s">
        <v>9577</v>
      </c>
      <c r="J1680" t="s">
        <v>34170</v>
      </c>
      <c r="K1680" t="s">
        <v>42759</v>
      </c>
      <c r="M1680" t="s">
        <v>43829</v>
      </c>
      <c r="N1680" t="s">
        <v>47424</v>
      </c>
      <c r="O1680" t="s">
        <v>47425</v>
      </c>
      <c r="P1680">
        <v>0</v>
      </c>
      <c r="Q1680">
        <v>0</v>
      </c>
      <c r="R1680" t="s">
        <v>47429</v>
      </c>
      <c r="S1680" t="s">
        <v>47542</v>
      </c>
      <c r="T1680" t="s">
        <v>49129</v>
      </c>
      <c r="U1680" t="s">
        <v>51154</v>
      </c>
      <c r="W1680" t="s">
        <v>43829</v>
      </c>
      <c r="X1680" t="s">
        <v>47426</v>
      </c>
    </row>
    <row r="1681" spans="1:24">
      <c r="A1681">
        <f>HYPERLINK("https://www.philgeps.gov.ph/GEPSNONPILOT/Tender/SplashBidNoticeAbstractUI.aspx?menuIndex=3&amp;refID=7166882&amp;Result=3","7166882")</f>
        <v>0</v>
      </c>
      <c r="B1681" t="s">
        <v>634</v>
      </c>
      <c r="C1681" t="s">
        <v>5515</v>
      </c>
      <c r="D1681" t="s">
        <v>19044</v>
      </c>
      <c r="E1681" t="s">
        <v>20635</v>
      </c>
      <c r="F1681" t="s">
        <v>32831</v>
      </c>
      <c r="G1681" t="s">
        <v>32838</v>
      </c>
      <c r="H1681" t="s">
        <v>32848</v>
      </c>
      <c r="I1681" t="s">
        <v>4438</v>
      </c>
      <c r="J1681" t="s">
        <v>33133</v>
      </c>
      <c r="K1681" t="s">
        <v>42727</v>
      </c>
      <c r="M1681" t="s">
        <v>43651</v>
      </c>
      <c r="N1681" t="s">
        <v>47424</v>
      </c>
      <c r="O1681" t="s">
        <v>47425</v>
      </c>
      <c r="P1681">
        <v>0</v>
      </c>
      <c r="Q1681">
        <v>0</v>
      </c>
      <c r="R1681" t="s">
        <v>47429</v>
      </c>
      <c r="S1681" t="s">
        <v>47542</v>
      </c>
      <c r="T1681" t="s">
        <v>49275</v>
      </c>
      <c r="U1681" t="s">
        <v>51155</v>
      </c>
      <c r="V1681" t="s">
        <v>62770</v>
      </c>
      <c r="W1681" t="s">
        <v>43651</v>
      </c>
      <c r="X1681" t="s">
        <v>47426</v>
      </c>
    </row>
    <row r="1682" spans="1:24">
      <c r="A1682">
        <f>HYPERLINK("https://www.philgeps.gov.ph/GEPSNONPILOT/Tender/SplashBidNoticeAbstractUI.aspx?menuIndex=3&amp;refID=7166743&amp;Result=3","7166743")</f>
        <v>0</v>
      </c>
      <c r="B1682" t="s">
        <v>781</v>
      </c>
      <c r="C1682" t="s">
        <v>5516</v>
      </c>
      <c r="D1682" t="s">
        <v>19040</v>
      </c>
      <c r="E1682" t="s">
        <v>20636</v>
      </c>
      <c r="F1682" t="s">
        <v>32831</v>
      </c>
      <c r="G1682" t="s">
        <v>32840</v>
      </c>
      <c r="H1682" t="s">
        <v>32848</v>
      </c>
      <c r="I1682" t="s">
        <v>6526</v>
      </c>
      <c r="J1682" t="s">
        <v>34171</v>
      </c>
      <c r="K1682" t="s">
        <v>42731</v>
      </c>
      <c r="M1682" t="s">
        <v>43810</v>
      </c>
      <c r="N1682" t="s">
        <v>47424</v>
      </c>
      <c r="O1682" t="s">
        <v>47425</v>
      </c>
      <c r="P1682">
        <v>0</v>
      </c>
      <c r="Q1682">
        <v>0</v>
      </c>
      <c r="R1682" t="s">
        <v>47429</v>
      </c>
      <c r="S1682" t="s">
        <v>47542</v>
      </c>
      <c r="T1682" t="s">
        <v>49123</v>
      </c>
      <c r="U1682" t="s">
        <v>51156</v>
      </c>
      <c r="W1682" t="s">
        <v>43810</v>
      </c>
      <c r="X1682" t="s">
        <v>47426</v>
      </c>
    </row>
    <row r="1683" spans="1:24">
      <c r="A1683">
        <f>HYPERLINK("https://www.philgeps.gov.ph/GEPSNONPILOT/Tender/SplashBidNoticeAbstractUI.aspx?menuIndex=3&amp;refID=7166856&amp;Result=3","7166856")</f>
        <v>0</v>
      </c>
      <c r="B1683" t="s">
        <v>316</v>
      </c>
      <c r="C1683" t="s">
        <v>5517</v>
      </c>
      <c r="D1683" t="s">
        <v>19023</v>
      </c>
      <c r="E1683" t="s">
        <v>20637</v>
      </c>
      <c r="F1683" t="s">
        <v>32831</v>
      </c>
      <c r="G1683" t="s">
        <v>32838</v>
      </c>
      <c r="H1683" t="s">
        <v>32848</v>
      </c>
      <c r="I1683" t="s">
        <v>32931</v>
      </c>
      <c r="J1683" t="s">
        <v>33788</v>
      </c>
      <c r="K1683" t="s">
        <v>42730</v>
      </c>
      <c r="M1683" t="s">
        <v>43795</v>
      </c>
      <c r="N1683" t="s">
        <v>47424</v>
      </c>
      <c r="O1683" t="s">
        <v>47425</v>
      </c>
      <c r="P1683">
        <v>0</v>
      </c>
      <c r="Q1683">
        <v>0</v>
      </c>
      <c r="R1683" t="s">
        <v>47429</v>
      </c>
      <c r="S1683" t="s">
        <v>47542</v>
      </c>
      <c r="T1683" t="s">
        <v>49073</v>
      </c>
      <c r="U1683" t="s">
        <v>51090</v>
      </c>
      <c r="V1683" t="s">
        <v>62802</v>
      </c>
      <c r="W1683" t="s">
        <v>43795</v>
      </c>
      <c r="X1683" t="s">
        <v>47426</v>
      </c>
    </row>
    <row r="1684" spans="1:24">
      <c r="A1684">
        <f>HYPERLINK("https://www.philgeps.gov.ph/GEPSNONPILOT/Tender/SplashBidNoticeAbstractUI.aspx?menuIndex=3&amp;refID=7166886&amp;Result=3","7166886")</f>
        <v>0</v>
      </c>
      <c r="B1684" t="s">
        <v>798</v>
      </c>
      <c r="C1684" t="s">
        <v>5518</v>
      </c>
      <c r="D1684" t="s">
        <v>19080</v>
      </c>
      <c r="E1684" t="s">
        <v>20638</v>
      </c>
      <c r="F1684" t="s">
        <v>32831</v>
      </c>
      <c r="G1684" t="s">
        <v>32838</v>
      </c>
      <c r="H1684" t="s">
        <v>32848</v>
      </c>
      <c r="I1684" t="s">
        <v>4558</v>
      </c>
      <c r="J1684" t="s">
        <v>34172</v>
      </c>
      <c r="K1684" t="s">
        <v>42727</v>
      </c>
      <c r="M1684" t="s">
        <v>43828</v>
      </c>
      <c r="N1684" t="s">
        <v>47424</v>
      </c>
      <c r="O1684" t="s">
        <v>47425</v>
      </c>
      <c r="P1684">
        <v>0</v>
      </c>
      <c r="Q1684">
        <v>0</v>
      </c>
      <c r="R1684" t="s">
        <v>47429</v>
      </c>
      <c r="S1684" t="s">
        <v>47542</v>
      </c>
      <c r="T1684" t="s">
        <v>49129</v>
      </c>
      <c r="U1684" t="s">
        <v>51150</v>
      </c>
      <c r="W1684" t="s">
        <v>43828</v>
      </c>
      <c r="X1684" t="s">
        <v>47426</v>
      </c>
    </row>
    <row r="1685" spans="1:24">
      <c r="A1685">
        <f>HYPERLINK("https://www.philgeps.gov.ph/GEPSNONPILOT/Tender/SplashBidNoticeAbstractUI.aspx?menuIndex=3&amp;refID=7166874&amp;Result=3","7166874")</f>
        <v>0</v>
      </c>
      <c r="B1685" t="s">
        <v>726</v>
      </c>
      <c r="C1685" t="s">
        <v>5519</v>
      </c>
      <c r="E1685" t="s">
        <v>20639</v>
      </c>
      <c r="F1685" t="s">
        <v>32831</v>
      </c>
      <c r="G1685" t="s">
        <v>32839</v>
      </c>
      <c r="H1685" t="s">
        <v>32849</v>
      </c>
      <c r="I1685" t="s">
        <v>4177</v>
      </c>
      <c r="J1685" t="s">
        <v>34173</v>
      </c>
      <c r="K1685" t="s">
        <v>42732</v>
      </c>
      <c r="M1685" t="s">
        <v>43747</v>
      </c>
      <c r="N1685" t="s">
        <v>47424</v>
      </c>
      <c r="O1685" t="s">
        <v>47425</v>
      </c>
      <c r="P1685">
        <v>0</v>
      </c>
      <c r="Q1685">
        <v>0</v>
      </c>
      <c r="R1685" t="s">
        <v>47429</v>
      </c>
      <c r="S1685" t="s">
        <v>47542</v>
      </c>
      <c r="T1685" t="s">
        <v>49158</v>
      </c>
      <c r="U1685" t="s">
        <v>51157</v>
      </c>
      <c r="W1685" t="s">
        <v>43747</v>
      </c>
      <c r="X1685" t="s">
        <v>47426</v>
      </c>
    </row>
    <row r="1686" spans="1:24">
      <c r="A1686">
        <f>HYPERLINK("https://www.philgeps.gov.ph/GEPSNONPILOT/Tender/SplashBidNoticeAbstractUI.aspx?menuIndex=3&amp;refID=7166884&amp;Result=3","7166884")</f>
        <v>0</v>
      </c>
      <c r="B1686" t="s">
        <v>316</v>
      </c>
      <c r="C1686" t="s">
        <v>5470</v>
      </c>
      <c r="D1686" t="s">
        <v>19023</v>
      </c>
      <c r="E1686" t="s">
        <v>20640</v>
      </c>
      <c r="F1686" t="s">
        <v>32831</v>
      </c>
      <c r="G1686" t="s">
        <v>32838</v>
      </c>
      <c r="H1686" t="s">
        <v>32848</v>
      </c>
      <c r="I1686" t="s">
        <v>4487</v>
      </c>
      <c r="J1686" t="s">
        <v>34174</v>
      </c>
      <c r="K1686" t="s">
        <v>42730</v>
      </c>
      <c r="M1686" t="s">
        <v>43795</v>
      </c>
      <c r="N1686" t="s">
        <v>47424</v>
      </c>
      <c r="O1686" t="s">
        <v>47425</v>
      </c>
      <c r="P1686">
        <v>0</v>
      </c>
      <c r="Q1686">
        <v>0</v>
      </c>
      <c r="R1686" t="s">
        <v>47429</v>
      </c>
      <c r="S1686" t="s">
        <v>47542</v>
      </c>
      <c r="T1686" t="s">
        <v>49073</v>
      </c>
      <c r="U1686" t="s">
        <v>51090</v>
      </c>
      <c r="V1686" t="s">
        <v>62802</v>
      </c>
      <c r="W1686" t="s">
        <v>43795</v>
      </c>
      <c r="X1686" t="s">
        <v>47426</v>
      </c>
    </row>
    <row r="1687" spans="1:24">
      <c r="A1687">
        <f>HYPERLINK("https://www.philgeps.gov.ph/GEPSNONPILOT/Tender/SplashBidNoticeAbstractUI.aspx?menuIndex=3&amp;refID=7166871&amp;Result=3","7166871")</f>
        <v>0</v>
      </c>
      <c r="B1687" t="s">
        <v>800</v>
      </c>
      <c r="C1687" t="s">
        <v>5520</v>
      </c>
      <c r="D1687" t="s">
        <v>19040</v>
      </c>
      <c r="E1687" t="s">
        <v>20641</v>
      </c>
      <c r="F1687" t="s">
        <v>32831</v>
      </c>
      <c r="G1687" t="s">
        <v>32841</v>
      </c>
      <c r="H1687" t="s">
        <v>32848</v>
      </c>
      <c r="I1687" t="s">
        <v>7751</v>
      </c>
      <c r="J1687" t="s">
        <v>33528</v>
      </c>
      <c r="K1687" t="s">
        <v>42759</v>
      </c>
      <c r="M1687" t="s">
        <v>43830</v>
      </c>
      <c r="N1687" t="s">
        <v>47424</v>
      </c>
      <c r="O1687" t="s">
        <v>47425</v>
      </c>
      <c r="P1687">
        <v>0</v>
      </c>
      <c r="Q1687">
        <v>1</v>
      </c>
      <c r="R1687" t="s">
        <v>47429</v>
      </c>
      <c r="S1687" t="s">
        <v>47542</v>
      </c>
      <c r="T1687" t="s">
        <v>49105</v>
      </c>
      <c r="U1687" t="s">
        <v>51158</v>
      </c>
      <c r="W1687" t="s">
        <v>43830</v>
      </c>
      <c r="X1687" t="s">
        <v>47426</v>
      </c>
    </row>
    <row r="1688" spans="1:24">
      <c r="A1688">
        <f>HYPERLINK("https://www.philgeps.gov.ph/GEPSNONPILOT/Tender/SplashBidNoticeAbstractUI.aspx?menuIndex=3&amp;refID=7166880&amp;Result=3","7166880")</f>
        <v>0</v>
      </c>
      <c r="B1688" t="s">
        <v>663</v>
      </c>
      <c r="C1688" t="s">
        <v>5521</v>
      </c>
      <c r="D1688" t="s">
        <v>19026</v>
      </c>
      <c r="E1688" t="s">
        <v>20642</v>
      </c>
      <c r="F1688" t="s">
        <v>32831</v>
      </c>
      <c r="G1688" t="s">
        <v>32840</v>
      </c>
      <c r="H1688" t="s">
        <v>32848</v>
      </c>
      <c r="I1688" t="s">
        <v>32860</v>
      </c>
      <c r="J1688" t="s">
        <v>34175</v>
      </c>
      <c r="K1688" t="s">
        <v>42732</v>
      </c>
      <c r="M1688" t="s">
        <v>43681</v>
      </c>
      <c r="N1688" t="s">
        <v>47424</v>
      </c>
      <c r="O1688" t="s">
        <v>47425</v>
      </c>
      <c r="P1688">
        <v>0</v>
      </c>
      <c r="Q1688">
        <v>0</v>
      </c>
      <c r="R1688" t="s">
        <v>47429</v>
      </c>
      <c r="S1688" t="s">
        <v>47542</v>
      </c>
      <c r="T1688" t="s">
        <v>49125</v>
      </c>
      <c r="U1688" t="s">
        <v>49728</v>
      </c>
      <c r="W1688" t="s">
        <v>43681</v>
      </c>
      <c r="X1688" t="s">
        <v>47426</v>
      </c>
    </row>
    <row r="1689" spans="1:24">
      <c r="A1689">
        <f>HYPERLINK("https://www.philgeps.gov.ph/GEPSNONPILOT/Tender/SplashBidNoticeAbstractUI.aspx?menuIndex=3&amp;refID=7166869&amp;Result=3","7166869")</f>
        <v>0</v>
      </c>
      <c r="B1689" t="s">
        <v>730</v>
      </c>
      <c r="C1689" t="s">
        <v>5522</v>
      </c>
      <c r="D1689" t="s">
        <v>19062</v>
      </c>
      <c r="E1689" t="s">
        <v>20643</v>
      </c>
      <c r="F1689" t="s">
        <v>32831</v>
      </c>
      <c r="G1689" t="s">
        <v>32839</v>
      </c>
      <c r="H1689" t="s">
        <v>32849</v>
      </c>
      <c r="I1689" t="s">
        <v>4177</v>
      </c>
      <c r="J1689" t="s">
        <v>33046</v>
      </c>
      <c r="K1689" t="s">
        <v>42757</v>
      </c>
      <c r="M1689" t="s">
        <v>43752</v>
      </c>
      <c r="N1689" t="s">
        <v>47424</v>
      </c>
      <c r="O1689" t="s">
        <v>47425</v>
      </c>
      <c r="P1689">
        <v>0</v>
      </c>
      <c r="Q1689">
        <v>0</v>
      </c>
      <c r="R1689" t="s">
        <v>47429</v>
      </c>
      <c r="S1689" t="s">
        <v>47542</v>
      </c>
      <c r="T1689" t="s">
        <v>49065</v>
      </c>
      <c r="U1689" t="s">
        <v>51159</v>
      </c>
      <c r="V1689" t="s">
        <v>62812</v>
      </c>
      <c r="W1689" t="s">
        <v>43752</v>
      </c>
      <c r="X1689" t="s">
        <v>47426</v>
      </c>
    </row>
    <row r="1690" spans="1:24">
      <c r="A1690">
        <f>HYPERLINK("https://www.philgeps.gov.ph/GEPSNONPILOT/Tender/SplashBidNoticeAbstractUI.aspx?menuIndex=3&amp;refID=7166875&amp;Result=3","7166875")</f>
        <v>0</v>
      </c>
      <c r="B1690" t="s">
        <v>263</v>
      </c>
      <c r="C1690" t="s">
        <v>5523</v>
      </c>
      <c r="D1690" t="s">
        <v>19083</v>
      </c>
      <c r="E1690" t="s">
        <v>20644</v>
      </c>
      <c r="F1690" t="s">
        <v>32831</v>
      </c>
      <c r="G1690" t="s">
        <v>32840</v>
      </c>
      <c r="H1690" t="s">
        <v>32848</v>
      </c>
      <c r="I1690" t="s">
        <v>4438</v>
      </c>
      <c r="J1690" t="s">
        <v>34176</v>
      </c>
      <c r="K1690" t="s">
        <v>42727</v>
      </c>
      <c r="M1690" t="s">
        <v>43262</v>
      </c>
      <c r="N1690" t="s">
        <v>47424</v>
      </c>
      <c r="O1690" t="s">
        <v>47425</v>
      </c>
      <c r="P1690">
        <v>0</v>
      </c>
      <c r="Q1690">
        <v>0</v>
      </c>
      <c r="R1690" t="s">
        <v>47429</v>
      </c>
      <c r="S1690" t="s">
        <v>47542</v>
      </c>
      <c r="T1690" t="s">
        <v>49170</v>
      </c>
      <c r="U1690" t="s">
        <v>51160</v>
      </c>
      <c r="W1690" t="s">
        <v>43262</v>
      </c>
      <c r="X1690" t="s">
        <v>47426</v>
      </c>
    </row>
    <row r="1691" spans="1:24">
      <c r="A1691">
        <f>HYPERLINK("https://www.philgeps.gov.ph/GEPSNONPILOT/Tender/SplashBidNoticeAbstractUI.aspx?menuIndex=3&amp;refID=7166818&amp;Result=3","7166818")</f>
        <v>0</v>
      </c>
      <c r="B1691" t="s">
        <v>801</v>
      </c>
      <c r="C1691" t="s">
        <v>5524</v>
      </c>
      <c r="D1691" t="s">
        <v>19041</v>
      </c>
      <c r="E1691" t="s">
        <v>20645</v>
      </c>
      <c r="F1691" t="s">
        <v>32831</v>
      </c>
      <c r="G1691" t="s">
        <v>32839</v>
      </c>
      <c r="H1691" t="s">
        <v>32849</v>
      </c>
      <c r="I1691" t="s">
        <v>4177</v>
      </c>
      <c r="J1691" t="s">
        <v>34177</v>
      </c>
      <c r="K1691" t="s">
        <v>42810</v>
      </c>
      <c r="M1691" t="s">
        <v>43831</v>
      </c>
      <c r="N1691" t="s">
        <v>47424</v>
      </c>
      <c r="O1691" t="s">
        <v>47425</v>
      </c>
      <c r="P1691">
        <v>0</v>
      </c>
      <c r="Q1691">
        <v>0</v>
      </c>
      <c r="R1691" t="s">
        <v>47429</v>
      </c>
      <c r="S1691" t="s">
        <v>47542</v>
      </c>
      <c r="T1691" t="s">
        <v>49154</v>
      </c>
      <c r="U1691" t="s">
        <v>51161</v>
      </c>
      <c r="V1691" t="s">
        <v>62813</v>
      </c>
      <c r="W1691" t="s">
        <v>43831</v>
      </c>
      <c r="X1691" t="s">
        <v>47426</v>
      </c>
    </row>
    <row r="1692" spans="1:24">
      <c r="A1692">
        <f>HYPERLINK("https://www.philgeps.gov.ph/GEPSNONPILOT/Tender/SplashBidNoticeAbstractUI.aspx?menuIndex=3&amp;refID=7166907&amp;Result=3","7166907")</f>
        <v>0</v>
      </c>
      <c r="B1692" t="s">
        <v>213</v>
      </c>
      <c r="C1692" t="s">
        <v>5525</v>
      </c>
      <c r="D1692" t="s">
        <v>19052</v>
      </c>
      <c r="E1692" t="s">
        <v>20646</v>
      </c>
      <c r="F1692" t="s">
        <v>32831</v>
      </c>
      <c r="G1692" t="s">
        <v>32838</v>
      </c>
      <c r="H1692" t="s">
        <v>32848</v>
      </c>
      <c r="I1692" t="s">
        <v>5379</v>
      </c>
      <c r="J1692" t="s">
        <v>33041</v>
      </c>
      <c r="K1692" t="s">
        <v>42732</v>
      </c>
      <c r="M1692" t="s">
        <v>43832</v>
      </c>
      <c r="N1692" t="s">
        <v>47424</v>
      </c>
      <c r="O1692" t="s">
        <v>47425</v>
      </c>
      <c r="P1692">
        <v>0</v>
      </c>
      <c r="Q1692">
        <v>0</v>
      </c>
      <c r="R1692" t="s">
        <v>47429</v>
      </c>
      <c r="S1692" t="s">
        <v>47542</v>
      </c>
      <c r="T1692" t="s">
        <v>49089</v>
      </c>
      <c r="U1692" t="s">
        <v>51162</v>
      </c>
      <c r="V1692" t="s">
        <v>62662</v>
      </c>
      <c r="W1692" t="s">
        <v>43832</v>
      </c>
      <c r="X1692" t="s">
        <v>47426</v>
      </c>
    </row>
    <row r="1693" spans="1:24">
      <c r="A1693">
        <f>HYPERLINK("https://www.philgeps.gov.ph/GEPSNONPILOT/Tender/SplashBidNoticeAbstractUI.aspx?menuIndex=3&amp;refID=7166909&amp;Result=3","7166909")</f>
        <v>0</v>
      </c>
      <c r="B1693" t="s">
        <v>682</v>
      </c>
      <c r="C1693" t="s">
        <v>5526</v>
      </c>
      <c r="D1693" t="s">
        <v>19067</v>
      </c>
      <c r="E1693" t="s">
        <v>20647</v>
      </c>
      <c r="F1693" t="s">
        <v>32831</v>
      </c>
      <c r="G1693" t="s">
        <v>32838</v>
      </c>
      <c r="H1693" t="s">
        <v>32848</v>
      </c>
      <c r="I1693" t="s">
        <v>32862</v>
      </c>
      <c r="J1693" t="s">
        <v>32983</v>
      </c>
      <c r="K1693" t="s">
        <v>42730</v>
      </c>
      <c r="M1693" t="s">
        <v>43701</v>
      </c>
      <c r="N1693" t="s">
        <v>47424</v>
      </c>
      <c r="O1693" t="s">
        <v>47425</v>
      </c>
      <c r="P1693">
        <v>0</v>
      </c>
      <c r="Q1693">
        <v>0</v>
      </c>
      <c r="R1693" t="s">
        <v>47429</v>
      </c>
      <c r="S1693" t="s">
        <v>47542</v>
      </c>
      <c r="T1693" t="s">
        <v>49104</v>
      </c>
      <c r="U1693" t="s">
        <v>51163</v>
      </c>
      <c r="W1693" t="s">
        <v>43701</v>
      </c>
      <c r="X1693" t="s">
        <v>47426</v>
      </c>
    </row>
    <row r="1694" spans="1:24">
      <c r="A1694">
        <f>HYPERLINK("https://www.philgeps.gov.ph/GEPSNONPILOT/Tender/SplashBidNoticeAbstractUI.aspx?menuIndex=3&amp;refID=7166905&amp;Result=3","7166905")</f>
        <v>0</v>
      </c>
      <c r="B1694" t="s">
        <v>172</v>
      </c>
      <c r="C1694" t="s">
        <v>5527</v>
      </c>
      <c r="D1694" t="s">
        <v>19022</v>
      </c>
      <c r="E1694" t="s">
        <v>20648</v>
      </c>
      <c r="F1694" t="s">
        <v>32831</v>
      </c>
      <c r="G1694" t="s">
        <v>32842</v>
      </c>
      <c r="H1694" t="s">
        <v>32848</v>
      </c>
      <c r="I1694" t="s">
        <v>4776</v>
      </c>
      <c r="J1694" t="s">
        <v>33067</v>
      </c>
      <c r="K1694" t="s">
        <v>42726</v>
      </c>
      <c r="M1694" t="s">
        <v>43169</v>
      </c>
      <c r="N1694" t="s">
        <v>47424</v>
      </c>
      <c r="O1694" t="s">
        <v>47425</v>
      </c>
      <c r="P1694">
        <v>0</v>
      </c>
      <c r="Q1694">
        <v>0</v>
      </c>
      <c r="R1694" t="s">
        <v>47429</v>
      </c>
      <c r="S1694" t="s">
        <v>47542</v>
      </c>
      <c r="T1694" t="s">
        <v>49198</v>
      </c>
      <c r="U1694" t="s">
        <v>51134</v>
      </c>
      <c r="V1694" t="s">
        <v>62809</v>
      </c>
      <c r="W1694" t="s">
        <v>43169</v>
      </c>
      <c r="X1694" t="s">
        <v>47426</v>
      </c>
    </row>
    <row r="1695" spans="1:24">
      <c r="A1695">
        <f>HYPERLINK("https://www.philgeps.gov.ph/GEPSNONPILOT/Tender/SplashBidNoticeAbstractUI.aspx?menuIndex=3&amp;refID=7166738&amp;Result=3","7166738")</f>
        <v>0</v>
      </c>
      <c r="B1695" t="s">
        <v>760</v>
      </c>
      <c r="C1695" t="s">
        <v>5528</v>
      </c>
      <c r="D1695" t="s">
        <v>19021</v>
      </c>
      <c r="E1695" t="s">
        <v>20649</v>
      </c>
      <c r="F1695" t="s">
        <v>32831</v>
      </c>
      <c r="G1695" t="s">
        <v>32839</v>
      </c>
      <c r="H1695" t="s">
        <v>32848</v>
      </c>
      <c r="I1695" t="s">
        <v>6526</v>
      </c>
      <c r="J1695" t="s">
        <v>34178</v>
      </c>
      <c r="K1695" t="s">
        <v>42726</v>
      </c>
      <c r="M1695" t="s">
        <v>43786</v>
      </c>
      <c r="N1695" t="s">
        <v>47424</v>
      </c>
      <c r="O1695" t="s">
        <v>47425</v>
      </c>
      <c r="P1695">
        <v>0</v>
      </c>
      <c r="Q1695">
        <v>0</v>
      </c>
      <c r="R1695" t="s">
        <v>47429</v>
      </c>
      <c r="S1695" t="s">
        <v>47542</v>
      </c>
      <c r="T1695" t="s">
        <v>49151</v>
      </c>
      <c r="U1695" t="s">
        <v>51164</v>
      </c>
      <c r="W1695" t="s">
        <v>43786</v>
      </c>
      <c r="X1695" t="s">
        <v>47426</v>
      </c>
    </row>
    <row r="1696" spans="1:24">
      <c r="A1696">
        <f>HYPERLINK("https://www.philgeps.gov.ph/GEPSNONPILOT/Tender/SplashBidNoticeAbstractUI.aspx?menuIndex=3&amp;refID=7166902&amp;Result=3","7166902")</f>
        <v>0</v>
      </c>
      <c r="B1696" t="s">
        <v>781</v>
      </c>
      <c r="C1696" t="s">
        <v>5529</v>
      </c>
      <c r="D1696" t="s">
        <v>19040</v>
      </c>
      <c r="E1696" t="s">
        <v>20650</v>
      </c>
      <c r="F1696" t="s">
        <v>32831</v>
      </c>
      <c r="G1696" t="s">
        <v>32840</v>
      </c>
      <c r="H1696" t="s">
        <v>32848</v>
      </c>
      <c r="I1696" t="s">
        <v>32870</v>
      </c>
      <c r="J1696" t="s">
        <v>34179</v>
      </c>
      <c r="K1696" t="s">
        <v>42731</v>
      </c>
      <c r="M1696" t="s">
        <v>43810</v>
      </c>
      <c r="N1696" t="s">
        <v>47424</v>
      </c>
      <c r="O1696" t="s">
        <v>47425</v>
      </c>
      <c r="P1696">
        <v>0</v>
      </c>
      <c r="Q1696">
        <v>0</v>
      </c>
      <c r="R1696" t="s">
        <v>47429</v>
      </c>
      <c r="S1696" t="s">
        <v>47542</v>
      </c>
      <c r="T1696" t="s">
        <v>49123</v>
      </c>
      <c r="U1696" t="s">
        <v>51165</v>
      </c>
      <c r="W1696" t="s">
        <v>43810</v>
      </c>
      <c r="X1696" t="s">
        <v>47426</v>
      </c>
    </row>
    <row r="1697" spans="1:24">
      <c r="A1697">
        <f>HYPERLINK("https://www.philgeps.gov.ph/GEPSNONPILOT/Tender/SplashBidNoticeAbstractUI.aspx?menuIndex=3&amp;refID=7166872&amp;Result=3","7166872")</f>
        <v>0</v>
      </c>
      <c r="B1697" t="s">
        <v>802</v>
      </c>
      <c r="C1697" t="s">
        <v>5530</v>
      </c>
      <c r="D1697" t="s">
        <v>19022</v>
      </c>
      <c r="E1697" t="s">
        <v>19979</v>
      </c>
      <c r="F1697" t="s">
        <v>32831</v>
      </c>
      <c r="G1697" t="s">
        <v>32838</v>
      </c>
      <c r="H1697" t="s">
        <v>32848</v>
      </c>
      <c r="I1697" t="s">
        <v>32864</v>
      </c>
      <c r="J1697" t="s">
        <v>34180</v>
      </c>
      <c r="K1697" t="s">
        <v>42758</v>
      </c>
      <c r="M1697" t="s">
        <v>43833</v>
      </c>
      <c r="N1697" t="s">
        <v>47424</v>
      </c>
      <c r="O1697" t="s">
        <v>47425</v>
      </c>
      <c r="P1697">
        <v>0</v>
      </c>
      <c r="Q1697">
        <v>0</v>
      </c>
      <c r="R1697" t="s">
        <v>47429</v>
      </c>
      <c r="S1697" t="s">
        <v>47542</v>
      </c>
      <c r="T1697" t="s">
        <v>49104</v>
      </c>
      <c r="U1697" t="s">
        <v>51166</v>
      </c>
      <c r="W1697" t="s">
        <v>43833</v>
      </c>
      <c r="X1697" t="s">
        <v>47426</v>
      </c>
    </row>
    <row r="1698" spans="1:24">
      <c r="A1698">
        <f>HYPERLINK("https://www.philgeps.gov.ph/GEPSNONPILOT/Tender/SplashBidNoticeAbstractUI.aspx?menuIndex=3&amp;refID=7166870&amp;Result=3","7166870")</f>
        <v>0</v>
      </c>
      <c r="B1698" t="s">
        <v>803</v>
      </c>
      <c r="C1698" t="s">
        <v>5531</v>
      </c>
      <c r="D1698" t="s">
        <v>19090</v>
      </c>
      <c r="E1698" t="s">
        <v>20651</v>
      </c>
      <c r="F1698" t="s">
        <v>32831</v>
      </c>
      <c r="G1698" t="s">
        <v>32838</v>
      </c>
      <c r="H1698" t="s">
        <v>32849</v>
      </c>
      <c r="I1698" t="s">
        <v>4177</v>
      </c>
      <c r="J1698" t="s">
        <v>34181</v>
      </c>
      <c r="K1698" t="s">
        <v>42727</v>
      </c>
      <c r="M1698" t="s">
        <v>43834</v>
      </c>
      <c r="N1698" t="s">
        <v>47424</v>
      </c>
      <c r="O1698" t="s">
        <v>47425</v>
      </c>
      <c r="P1698">
        <v>0</v>
      </c>
      <c r="Q1698">
        <v>0</v>
      </c>
      <c r="R1698" t="s">
        <v>47429</v>
      </c>
      <c r="S1698" t="s">
        <v>47542</v>
      </c>
      <c r="T1698" t="s">
        <v>49096</v>
      </c>
      <c r="U1698" t="s">
        <v>51167</v>
      </c>
      <c r="W1698" t="s">
        <v>43834</v>
      </c>
      <c r="X1698" t="s">
        <v>47426</v>
      </c>
    </row>
    <row r="1699" spans="1:24">
      <c r="A1699">
        <f>HYPERLINK("https://www.philgeps.gov.ph/GEPSNONPILOT/Tender/SplashBidNoticeAbstractUI.aspx?menuIndex=3&amp;refID=7166899&amp;Result=3","7166899")</f>
        <v>0</v>
      </c>
      <c r="B1699" t="s">
        <v>721</v>
      </c>
      <c r="C1699" t="s">
        <v>5532</v>
      </c>
      <c r="D1699" t="s">
        <v>19018</v>
      </c>
      <c r="E1699" t="s">
        <v>20652</v>
      </c>
      <c r="F1699" t="s">
        <v>32831</v>
      </c>
      <c r="G1699" t="s">
        <v>32838</v>
      </c>
      <c r="H1699" t="s">
        <v>32848</v>
      </c>
      <c r="I1699" t="s">
        <v>32884</v>
      </c>
      <c r="J1699" t="s">
        <v>33031</v>
      </c>
      <c r="K1699" t="s">
        <v>42732</v>
      </c>
      <c r="M1699" t="s">
        <v>43742</v>
      </c>
      <c r="N1699" t="s">
        <v>47424</v>
      </c>
      <c r="O1699" t="s">
        <v>47425</v>
      </c>
      <c r="P1699">
        <v>0</v>
      </c>
      <c r="Q1699">
        <v>0</v>
      </c>
      <c r="R1699" t="s">
        <v>47429</v>
      </c>
      <c r="S1699" t="s">
        <v>47542</v>
      </c>
      <c r="T1699" t="s">
        <v>49087</v>
      </c>
      <c r="U1699" t="s">
        <v>51005</v>
      </c>
      <c r="W1699" t="s">
        <v>43742</v>
      </c>
      <c r="X1699" t="s">
        <v>47426</v>
      </c>
    </row>
    <row r="1700" spans="1:24">
      <c r="A1700">
        <f>HYPERLINK("https://www.philgeps.gov.ph/GEPSNONPILOT/Tender/SplashBidNoticeAbstractUI.aspx?menuIndex=3&amp;refID=7166897&amp;Result=3","7166897")</f>
        <v>0</v>
      </c>
      <c r="B1700" t="s">
        <v>804</v>
      </c>
      <c r="C1700" t="s">
        <v>5533</v>
      </c>
      <c r="D1700" t="s">
        <v>19036</v>
      </c>
      <c r="E1700" t="s">
        <v>20653</v>
      </c>
      <c r="F1700" t="s">
        <v>32831</v>
      </c>
      <c r="G1700" t="s">
        <v>32840</v>
      </c>
      <c r="H1700" t="s">
        <v>32848</v>
      </c>
      <c r="I1700" t="s">
        <v>4776</v>
      </c>
      <c r="J1700" t="s">
        <v>33562</v>
      </c>
      <c r="K1700" t="s">
        <v>42731</v>
      </c>
      <c r="M1700" t="s">
        <v>43835</v>
      </c>
      <c r="N1700" t="s">
        <v>47424</v>
      </c>
      <c r="O1700" t="s">
        <v>47425</v>
      </c>
      <c r="P1700">
        <v>0</v>
      </c>
      <c r="Q1700">
        <v>0</v>
      </c>
      <c r="R1700" t="s">
        <v>47429</v>
      </c>
      <c r="S1700" t="s">
        <v>47542</v>
      </c>
      <c r="T1700" t="s">
        <v>49159</v>
      </c>
      <c r="U1700" t="s">
        <v>51168</v>
      </c>
      <c r="W1700" t="s">
        <v>43835</v>
      </c>
      <c r="X1700" t="s">
        <v>47426</v>
      </c>
    </row>
    <row r="1701" spans="1:24">
      <c r="A1701">
        <f>HYPERLINK("https://www.philgeps.gov.ph/GEPSNONPILOT/Tender/SplashBidNoticeAbstractUI.aspx?menuIndex=3&amp;refID=7166895&amp;Result=3","7166895")</f>
        <v>0</v>
      </c>
      <c r="B1701" t="s">
        <v>714</v>
      </c>
      <c r="C1701" t="s">
        <v>5534</v>
      </c>
      <c r="D1701" t="s">
        <v>19038</v>
      </c>
      <c r="E1701" t="s">
        <v>20654</v>
      </c>
      <c r="F1701" t="s">
        <v>32831</v>
      </c>
      <c r="G1701" t="s">
        <v>32838</v>
      </c>
      <c r="H1701" t="s">
        <v>32848</v>
      </c>
      <c r="I1701" t="s">
        <v>7416</v>
      </c>
      <c r="J1701" t="s">
        <v>34182</v>
      </c>
      <c r="K1701" t="s">
        <v>42732</v>
      </c>
      <c r="M1701" t="s">
        <v>43734</v>
      </c>
      <c r="N1701" t="s">
        <v>47424</v>
      </c>
      <c r="O1701" t="s">
        <v>47425</v>
      </c>
      <c r="P1701">
        <v>0</v>
      </c>
      <c r="Q1701">
        <v>0</v>
      </c>
      <c r="R1701" t="s">
        <v>47429</v>
      </c>
      <c r="S1701" t="s">
        <v>47542</v>
      </c>
      <c r="T1701" t="s">
        <v>49105</v>
      </c>
      <c r="U1701" t="s">
        <v>50996</v>
      </c>
      <c r="W1701" t="s">
        <v>43734</v>
      </c>
      <c r="X1701" t="s">
        <v>47426</v>
      </c>
    </row>
    <row r="1702" spans="1:24">
      <c r="A1702">
        <f>HYPERLINK("https://www.philgeps.gov.ph/GEPSNONPILOT/Tender/SplashBidNoticeAbstractUI.aspx?menuIndex=3&amp;refID=7166877&amp;Result=3","7166877")</f>
        <v>0</v>
      </c>
      <c r="B1702" t="s">
        <v>805</v>
      </c>
      <c r="C1702" t="s">
        <v>5535</v>
      </c>
      <c r="D1702" t="s">
        <v>19019</v>
      </c>
      <c r="E1702" t="s">
        <v>19476</v>
      </c>
      <c r="F1702" t="s">
        <v>32831</v>
      </c>
      <c r="G1702" t="s">
        <v>32838</v>
      </c>
      <c r="H1702" t="s">
        <v>32850</v>
      </c>
      <c r="I1702" t="s">
        <v>32852</v>
      </c>
      <c r="J1702" t="s">
        <v>34183</v>
      </c>
      <c r="K1702" t="s">
        <v>42748</v>
      </c>
      <c r="M1702" t="s">
        <v>43836</v>
      </c>
      <c r="N1702" t="s">
        <v>47424</v>
      </c>
      <c r="O1702" t="s">
        <v>47425</v>
      </c>
      <c r="P1702">
        <v>0</v>
      </c>
      <c r="Q1702">
        <v>0</v>
      </c>
      <c r="R1702" t="s">
        <v>47429</v>
      </c>
      <c r="S1702" t="s">
        <v>47542</v>
      </c>
      <c r="T1702" t="s">
        <v>49119</v>
      </c>
      <c r="U1702" t="s">
        <v>51169</v>
      </c>
      <c r="W1702" t="s">
        <v>43836</v>
      </c>
      <c r="X1702" t="s">
        <v>47426</v>
      </c>
    </row>
    <row r="1703" spans="1:24">
      <c r="A1703">
        <f>HYPERLINK("https://www.philgeps.gov.ph/GEPSNONPILOT/Tender/SplashBidNoticeAbstractUI.aspx?menuIndex=3&amp;refID=7166904&amp;Result=3","7166904")</f>
        <v>0</v>
      </c>
      <c r="B1703" t="s">
        <v>801</v>
      </c>
      <c r="C1703" t="s">
        <v>5536</v>
      </c>
      <c r="D1703" t="s">
        <v>19041</v>
      </c>
      <c r="E1703" t="s">
        <v>20655</v>
      </c>
      <c r="F1703" t="s">
        <v>32831</v>
      </c>
      <c r="G1703" t="s">
        <v>32839</v>
      </c>
      <c r="H1703" t="s">
        <v>32849</v>
      </c>
      <c r="I1703" t="s">
        <v>4177</v>
      </c>
      <c r="J1703" t="s">
        <v>34184</v>
      </c>
      <c r="K1703" t="s">
        <v>42770</v>
      </c>
      <c r="M1703" t="s">
        <v>43831</v>
      </c>
      <c r="N1703" t="s">
        <v>47424</v>
      </c>
      <c r="O1703" t="s">
        <v>47425</v>
      </c>
      <c r="P1703">
        <v>0</v>
      </c>
      <c r="Q1703">
        <v>0</v>
      </c>
      <c r="R1703" t="s">
        <v>47429</v>
      </c>
      <c r="S1703" t="s">
        <v>47542</v>
      </c>
      <c r="T1703" t="s">
        <v>49154</v>
      </c>
      <c r="U1703" t="s">
        <v>51170</v>
      </c>
      <c r="V1703" t="s">
        <v>62814</v>
      </c>
      <c r="W1703" t="s">
        <v>43831</v>
      </c>
      <c r="X1703" t="s">
        <v>47426</v>
      </c>
    </row>
    <row r="1704" spans="1:24">
      <c r="A1704">
        <f>HYPERLINK("https://www.philgeps.gov.ph/GEPSNONPILOT/Tender/SplashBidNoticeAbstractUI.aspx?menuIndex=3&amp;refID=7166893&amp;Result=3","7166893")</f>
        <v>0</v>
      </c>
      <c r="B1704" t="s">
        <v>796</v>
      </c>
      <c r="C1704" t="s">
        <v>5537</v>
      </c>
      <c r="D1704" t="s">
        <v>19017</v>
      </c>
      <c r="E1704" t="s">
        <v>20656</v>
      </c>
      <c r="F1704" t="s">
        <v>32831</v>
      </c>
      <c r="G1704" t="s">
        <v>32842</v>
      </c>
      <c r="H1704" t="s">
        <v>32848</v>
      </c>
      <c r="I1704" t="s">
        <v>32860</v>
      </c>
      <c r="J1704" t="s">
        <v>33853</v>
      </c>
      <c r="K1704" t="s">
        <v>42732</v>
      </c>
      <c r="M1704" t="s">
        <v>43826</v>
      </c>
      <c r="N1704" t="s">
        <v>47424</v>
      </c>
      <c r="O1704" t="s">
        <v>47425</v>
      </c>
      <c r="P1704">
        <v>0</v>
      </c>
      <c r="Q1704">
        <v>0</v>
      </c>
      <c r="R1704" t="s">
        <v>47429</v>
      </c>
      <c r="S1704" t="s">
        <v>47542</v>
      </c>
      <c r="T1704" t="s">
        <v>49276</v>
      </c>
      <c r="U1704" t="s">
        <v>51148</v>
      </c>
      <c r="W1704" t="s">
        <v>43826</v>
      </c>
      <c r="X1704" t="s">
        <v>47426</v>
      </c>
    </row>
    <row r="1705" spans="1:24">
      <c r="A1705">
        <f>HYPERLINK("https://www.philgeps.gov.ph/GEPSNONPILOT/Tender/SplashBidNoticeAbstractUI.aspx?menuIndex=3&amp;refID=7166898&amp;Result=3","7166898")</f>
        <v>0</v>
      </c>
      <c r="B1705" t="s">
        <v>764</v>
      </c>
      <c r="C1705" t="s">
        <v>5283</v>
      </c>
      <c r="D1705" t="s">
        <v>19086</v>
      </c>
      <c r="E1705" t="s">
        <v>20657</v>
      </c>
      <c r="F1705" t="s">
        <v>32831</v>
      </c>
      <c r="G1705" t="s">
        <v>32838</v>
      </c>
      <c r="H1705" t="s">
        <v>32848</v>
      </c>
      <c r="I1705" t="s">
        <v>4438</v>
      </c>
      <c r="J1705" t="s">
        <v>34185</v>
      </c>
      <c r="K1705" t="s">
        <v>42727</v>
      </c>
      <c r="M1705" t="s">
        <v>43790</v>
      </c>
      <c r="N1705" t="s">
        <v>47424</v>
      </c>
      <c r="O1705" t="s">
        <v>47425</v>
      </c>
      <c r="P1705">
        <v>0</v>
      </c>
      <c r="Q1705">
        <v>0</v>
      </c>
      <c r="R1705" t="s">
        <v>47429</v>
      </c>
      <c r="S1705" t="s">
        <v>47542</v>
      </c>
      <c r="T1705" t="s">
        <v>49129</v>
      </c>
      <c r="U1705" t="s">
        <v>51171</v>
      </c>
      <c r="V1705" t="s">
        <v>62810</v>
      </c>
      <c r="W1705" t="s">
        <v>43790</v>
      </c>
      <c r="X1705" t="s">
        <v>47426</v>
      </c>
    </row>
    <row r="1706" spans="1:24">
      <c r="A1706">
        <f>HYPERLINK("https://www.philgeps.gov.ph/GEPSNONPILOT/Tender/SplashBidNoticeAbstractUI.aspx?menuIndex=3&amp;refID=7166892&amp;Result=3","7166892")</f>
        <v>0</v>
      </c>
      <c r="B1706" t="s">
        <v>806</v>
      </c>
      <c r="C1706" t="s">
        <v>5538</v>
      </c>
      <c r="E1706" t="s">
        <v>20658</v>
      </c>
      <c r="F1706" t="s">
        <v>32831</v>
      </c>
      <c r="G1706" t="s">
        <v>32838</v>
      </c>
      <c r="H1706" t="s">
        <v>32848</v>
      </c>
      <c r="I1706" t="s">
        <v>32864</v>
      </c>
      <c r="J1706" t="s">
        <v>34186</v>
      </c>
      <c r="K1706" t="s">
        <v>42732</v>
      </c>
      <c r="M1706" t="s">
        <v>43837</v>
      </c>
      <c r="N1706" t="s">
        <v>47424</v>
      </c>
      <c r="O1706" t="s">
        <v>47425</v>
      </c>
      <c r="P1706">
        <v>0</v>
      </c>
      <c r="Q1706">
        <v>0</v>
      </c>
      <c r="R1706" t="s">
        <v>47429</v>
      </c>
      <c r="S1706" t="s">
        <v>47542</v>
      </c>
      <c r="T1706" t="s">
        <v>49253</v>
      </c>
      <c r="U1706" t="s">
        <v>51172</v>
      </c>
      <c r="W1706" t="s">
        <v>43837</v>
      </c>
      <c r="X1706" t="s">
        <v>47426</v>
      </c>
    </row>
    <row r="1707" spans="1:24">
      <c r="A1707">
        <f>HYPERLINK("https://www.philgeps.gov.ph/GEPSNONPILOT/Tender/SplashBidNoticeAbstractUI.aspx?menuIndex=3&amp;refID=7166900&amp;Result=3","7166900")</f>
        <v>0</v>
      </c>
      <c r="B1707" t="s">
        <v>711</v>
      </c>
      <c r="C1707" t="s">
        <v>5539</v>
      </c>
      <c r="D1707" t="s">
        <v>19060</v>
      </c>
      <c r="E1707" t="s">
        <v>20659</v>
      </c>
      <c r="F1707" t="s">
        <v>32831</v>
      </c>
      <c r="G1707" t="s">
        <v>32839</v>
      </c>
      <c r="H1707" t="s">
        <v>32848</v>
      </c>
      <c r="I1707" t="s">
        <v>5379</v>
      </c>
      <c r="J1707" t="s">
        <v>34187</v>
      </c>
      <c r="K1707" t="s">
        <v>42759</v>
      </c>
      <c r="M1707" t="s">
        <v>43731</v>
      </c>
      <c r="N1707" t="s">
        <v>47424</v>
      </c>
      <c r="O1707" t="s">
        <v>47425</v>
      </c>
      <c r="P1707">
        <v>0</v>
      </c>
      <c r="Q1707">
        <v>0</v>
      </c>
      <c r="R1707" t="s">
        <v>47429</v>
      </c>
      <c r="S1707" t="s">
        <v>47542</v>
      </c>
      <c r="T1707" t="s">
        <v>49063</v>
      </c>
      <c r="U1707" t="s">
        <v>51173</v>
      </c>
      <c r="W1707" t="s">
        <v>43731</v>
      </c>
      <c r="X1707" t="s">
        <v>47426</v>
      </c>
    </row>
    <row r="1708" spans="1:24">
      <c r="A1708">
        <f>HYPERLINK("https://www.philgeps.gov.ph/GEPSNONPILOT/Tender/SplashBidNoticeAbstractUI.aspx?menuIndex=3&amp;refID=7166903&amp;Result=3","7166903")</f>
        <v>0</v>
      </c>
      <c r="B1708" t="s">
        <v>316</v>
      </c>
      <c r="C1708" t="s">
        <v>5540</v>
      </c>
      <c r="D1708" t="s">
        <v>19023</v>
      </c>
      <c r="E1708" t="s">
        <v>20660</v>
      </c>
      <c r="F1708" t="s">
        <v>32831</v>
      </c>
      <c r="G1708" t="s">
        <v>32838</v>
      </c>
      <c r="H1708" t="s">
        <v>32848</v>
      </c>
      <c r="I1708" t="s">
        <v>7751</v>
      </c>
      <c r="J1708" t="s">
        <v>33701</v>
      </c>
      <c r="K1708" t="s">
        <v>42730</v>
      </c>
      <c r="M1708" t="s">
        <v>43795</v>
      </c>
      <c r="N1708" t="s">
        <v>47424</v>
      </c>
      <c r="O1708" t="s">
        <v>47425</v>
      </c>
      <c r="P1708">
        <v>0</v>
      </c>
      <c r="Q1708">
        <v>0</v>
      </c>
      <c r="R1708" t="s">
        <v>47429</v>
      </c>
      <c r="S1708" t="s">
        <v>47542</v>
      </c>
      <c r="T1708" t="s">
        <v>49073</v>
      </c>
      <c r="U1708" t="s">
        <v>51090</v>
      </c>
      <c r="V1708" t="s">
        <v>62802</v>
      </c>
      <c r="W1708" t="s">
        <v>43795</v>
      </c>
      <c r="X1708" t="s">
        <v>47426</v>
      </c>
    </row>
    <row r="1709" spans="1:24">
      <c r="A1709">
        <f>HYPERLINK("https://www.philgeps.gov.ph/GEPSNONPILOT/Tender/SplashBidNoticeAbstractUI.aspx?menuIndex=3&amp;refID=7166887&amp;Result=3","7166887")</f>
        <v>0</v>
      </c>
      <c r="B1709" t="s">
        <v>800</v>
      </c>
      <c r="C1709" t="s">
        <v>5541</v>
      </c>
      <c r="D1709" t="s">
        <v>19040</v>
      </c>
      <c r="E1709" t="s">
        <v>20661</v>
      </c>
      <c r="F1709" t="s">
        <v>32831</v>
      </c>
      <c r="G1709" t="s">
        <v>32841</v>
      </c>
      <c r="H1709" t="s">
        <v>32848</v>
      </c>
      <c r="I1709" t="s">
        <v>7751</v>
      </c>
      <c r="J1709" t="s">
        <v>33032</v>
      </c>
      <c r="K1709" t="s">
        <v>42759</v>
      </c>
      <c r="M1709" t="s">
        <v>43830</v>
      </c>
      <c r="N1709" t="s">
        <v>47424</v>
      </c>
      <c r="O1709" t="s">
        <v>47425</v>
      </c>
      <c r="P1709">
        <v>0</v>
      </c>
      <c r="Q1709">
        <v>1</v>
      </c>
      <c r="R1709" t="s">
        <v>47429</v>
      </c>
      <c r="S1709" t="s">
        <v>47542</v>
      </c>
      <c r="T1709" t="s">
        <v>49105</v>
      </c>
      <c r="U1709" t="s">
        <v>51174</v>
      </c>
      <c r="W1709" t="s">
        <v>43830</v>
      </c>
      <c r="X1709" t="s">
        <v>47426</v>
      </c>
    </row>
    <row r="1710" spans="1:24">
      <c r="A1710">
        <f>HYPERLINK("https://www.philgeps.gov.ph/GEPSNONPILOT/Tender/SplashBidNoticeAbstractUI.aspx?menuIndex=3&amp;refID=7166891&amp;Result=3","7166891")</f>
        <v>0</v>
      </c>
      <c r="B1710" t="s">
        <v>533</v>
      </c>
      <c r="C1710" t="s">
        <v>5542</v>
      </c>
      <c r="D1710" t="s">
        <v>19054</v>
      </c>
      <c r="E1710" t="s">
        <v>20662</v>
      </c>
      <c r="F1710" t="s">
        <v>32831</v>
      </c>
      <c r="G1710" t="s">
        <v>32839</v>
      </c>
      <c r="H1710" t="s">
        <v>32848</v>
      </c>
      <c r="I1710" t="s">
        <v>10805</v>
      </c>
      <c r="J1710" t="s">
        <v>34188</v>
      </c>
      <c r="K1710" t="s">
        <v>42731</v>
      </c>
      <c r="M1710" t="s">
        <v>43539</v>
      </c>
      <c r="N1710" t="s">
        <v>47424</v>
      </c>
      <c r="O1710" t="s">
        <v>47425</v>
      </c>
      <c r="P1710">
        <v>0</v>
      </c>
      <c r="Q1710">
        <v>0</v>
      </c>
      <c r="R1710" t="s">
        <v>47429</v>
      </c>
      <c r="S1710" t="s">
        <v>47542</v>
      </c>
      <c r="T1710" t="s">
        <v>49172</v>
      </c>
      <c r="U1710" t="s">
        <v>51175</v>
      </c>
      <c r="V1710" t="s">
        <v>62815</v>
      </c>
      <c r="W1710" t="s">
        <v>43539</v>
      </c>
      <c r="X1710" t="s">
        <v>47426</v>
      </c>
    </row>
    <row r="1711" spans="1:24">
      <c r="A1711">
        <f>HYPERLINK("https://www.philgeps.gov.ph/GEPSNONPILOT/Tender/SplashBidNoticeAbstractUI.aspx?menuIndex=3&amp;refID=7166933&amp;Result=3","7166933")</f>
        <v>0</v>
      </c>
      <c r="B1711" t="s">
        <v>807</v>
      </c>
      <c r="C1711" t="s">
        <v>5543</v>
      </c>
      <c r="D1711" t="s">
        <v>19044</v>
      </c>
      <c r="E1711" t="s">
        <v>20663</v>
      </c>
      <c r="F1711" t="s">
        <v>32831</v>
      </c>
      <c r="G1711" t="s">
        <v>32839</v>
      </c>
      <c r="H1711" t="s">
        <v>32848</v>
      </c>
      <c r="I1711" t="s">
        <v>7416</v>
      </c>
      <c r="J1711" t="s">
        <v>34189</v>
      </c>
      <c r="K1711" t="s">
        <v>42727</v>
      </c>
      <c r="M1711" t="s">
        <v>43838</v>
      </c>
      <c r="N1711" t="s">
        <v>47424</v>
      </c>
      <c r="O1711" t="s">
        <v>47425</v>
      </c>
      <c r="P1711">
        <v>0</v>
      </c>
      <c r="Q1711">
        <v>0</v>
      </c>
      <c r="R1711" t="s">
        <v>47429</v>
      </c>
      <c r="S1711" t="s">
        <v>47542</v>
      </c>
      <c r="T1711" t="s">
        <v>49071</v>
      </c>
      <c r="U1711" t="s">
        <v>51176</v>
      </c>
      <c r="W1711" t="s">
        <v>43838</v>
      </c>
      <c r="X1711" t="s">
        <v>47426</v>
      </c>
    </row>
    <row r="1712" spans="1:24">
      <c r="A1712">
        <f>HYPERLINK("https://www.philgeps.gov.ph/GEPSNONPILOT/Tender/SplashBidNoticeAbstractUI.aspx?menuIndex=3&amp;refID=7166932&amp;Result=3","7166932")</f>
        <v>0</v>
      </c>
      <c r="B1712" t="s">
        <v>798</v>
      </c>
      <c r="C1712" t="s">
        <v>5544</v>
      </c>
      <c r="D1712" t="s">
        <v>19080</v>
      </c>
      <c r="E1712" t="s">
        <v>20664</v>
      </c>
      <c r="F1712" t="s">
        <v>32831</v>
      </c>
      <c r="G1712" t="s">
        <v>32838</v>
      </c>
      <c r="H1712" t="s">
        <v>32848</v>
      </c>
      <c r="I1712" t="s">
        <v>4558</v>
      </c>
      <c r="J1712" t="s">
        <v>34190</v>
      </c>
      <c r="K1712" t="s">
        <v>42727</v>
      </c>
      <c r="M1712" t="s">
        <v>43828</v>
      </c>
      <c r="N1712" t="s">
        <v>47424</v>
      </c>
      <c r="O1712" t="s">
        <v>47425</v>
      </c>
      <c r="P1712">
        <v>0</v>
      </c>
      <c r="Q1712">
        <v>0</v>
      </c>
      <c r="R1712" t="s">
        <v>47429</v>
      </c>
      <c r="S1712" t="s">
        <v>47542</v>
      </c>
      <c r="T1712" t="s">
        <v>49129</v>
      </c>
      <c r="U1712" t="s">
        <v>51150</v>
      </c>
      <c r="W1712" t="s">
        <v>43828</v>
      </c>
      <c r="X1712" t="s">
        <v>47426</v>
      </c>
    </row>
    <row r="1713" spans="1:24">
      <c r="A1713">
        <f>HYPERLINK("https://www.philgeps.gov.ph/GEPSNONPILOT/Tender/SplashBidNoticeAbstractUI.aspx?menuIndex=3&amp;refID=7166930&amp;Result=3","7166930")</f>
        <v>0</v>
      </c>
      <c r="B1713" t="s">
        <v>808</v>
      </c>
      <c r="C1713" t="s">
        <v>5545</v>
      </c>
      <c r="D1713" t="s">
        <v>19017</v>
      </c>
      <c r="E1713" t="s">
        <v>20665</v>
      </c>
      <c r="F1713" t="s">
        <v>32831</v>
      </c>
      <c r="G1713" t="s">
        <v>32839</v>
      </c>
      <c r="H1713" t="s">
        <v>32848</v>
      </c>
      <c r="I1713" t="s">
        <v>32874</v>
      </c>
      <c r="J1713" t="s">
        <v>34191</v>
      </c>
      <c r="K1713" t="s">
        <v>42763</v>
      </c>
      <c r="M1713" t="s">
        <v>43839</v>
      </c>
      <c r="N1713" t="s">
        <v>47424</v>
      </c>
      <c r="O1713" t="s">
        <v>47425</v>
      </c>
      <c r="P1713">
        <v>0</v>
      </c>
      <c r="Q1713">
        <v>0</v>
      </c>
      <c r="R1713" t="s">
        <v>47429</v>
      </c>
      <c r="S1713" t="s">
        <v>47542</v>
      </c>
      <c r="T1713" t="s">
        <v>49277</v>
      </c>
      <c r="U1713" t="s">
        <v>51177</v>
      </c>
      <c r="V1713" t="s">
        <v>62816</v>
      </c>
      <c r="W1713" t="s">
        <v>43839</v>
      </c>
      <c r="X1713" t="s">
        <v>47426</v>
      </c>
    </row>
    <row r="1714" spans="1:24">
      <c r="A1714">
        <f>HYPERLINK("https://www.philgeps.gov.ph/GEPSNONPILOT/Tender/SplashBidNoticeAbstractUI.aspx?menuIndex=3&amp;refID=7166929&amp;Result=3","7166929")</f>
        <v>0</v>
      </c>
      <c r="B1714" t="s">
        <v>809</v>
      </c>
      <c r="C1714" t="s">
        <v>5546</v>
      </c>
      <c r="D1714" t="s">
        <v>19057</v>
      </c>
      <c r="E1714" t="s">
        <v>20666</v>
      </c>
      <c r="F1714" t="s">
        <v>32831</v>
      </c>
      <c r="G1714" t="s">
        <v>32838</v>
      </c>
      <c r="H1714" t="s">
        <v>32848</v>
      </c>
      <c r="I1714" t="s">
        <v>6526</v>
      </c>
      <c r="J1714" t="s">
        <v>34192</v>
      </c>
      <c r="K1714" t="s">
        <v>42732</v>
      </c>
      <c r="M1714" t="s">
        <v>43840</v>
      </c>
      <c r="N1714" t="s">
        <v>47424</v>
      </c>
      <c r="O1714" t="s">
        <v>47425</v>
      </c>
      <c r="P1714">
        <v>0</v>
      </c>
      <c r="Q1714">
        <v>0</v>
      </c>
      <c r="R1714" t="s">
        <v>47429</v>
      </c>
      <c r="S1714" t="s">
        <v>47542</v>
      </c>
      <c r="T1714" t="s">
        <v>49119</v>
      </c>
      <c r="U1714" t="s">
        <v>51178</v>
      </c>
      <c r="W1714" t="s">
        <v>43840</v>
      </c>
      <c r="X1714" t="s">
        <v>47426</v>
      </c>
    </row>
    <row r="1715" spans="1:24">
      <c r="A1715">
        <f>HYPERLINK("https://www.philgeps.gov.ph/GEPSNONPILOT/Tender/SplashBidNoticeAbstractUI.aspx?menuIndex=3&amp;refID=7166931&amp;Result=3","7166931")</f>
        <v>0</v>
      </c>
      <c r="B1715" t="s">
        <v>703</v>
      </c>
      <c r="C1715" t="s">
        <v>5547</v>
      </c>
      <c r="D1715" t="s">
        <v>19077</v>
      </c>
      <c r="E1715" t="s">
        <v>20667</v>
      </c>
      <c r="F1715" t="s">
        <v>32831</v>
      </c>
      <c r="G1715" t="s">
        <v>32839</v>
      </c>
      <c r="H1715" t="s">
        <v>32848</v>
      </c>
      <c r="I1715" t="s">
        <v>32925</v>
      </c>
      <c r="J1715" t="s">
        <v>34193</v>
      </c>
      <c r="K1715" t="s">
        <v>42763</v>
      </c>
      <c r="M1715" t="s">
        <v>43722</v>
      </c>
      <c r="N1715" t="s">
        <v>47424</v>
      </c>
      <c r="O1715" t="s">
        <v>47425</v>
      </c>
      <c r="P1715">
        <v>0</v>
      </c>
      <c r="Q1715">
        <v>0</v>
      </c>
      <c r="R1715" t="s">
        <v>47429</v>
      </c>
      <c r="S1715" t="s">
        <v>47542</v>
      </c>
      <c r="T1715" t="s">
        <v>49189</v>
      </c>
      <c r="U1715" t="s">
        <v>50983</v>
      </c>
      <c r="W1715" t="s">
        <v>43722</v>
      </c>
      <c r="X1715" t="s">
        <v>47426</v>
      </c>
    </row>
    <row r="1716" spans="1:24">
      <c r="A1716">
        <f>HYPERLINK("https://www.philgeps.gov.ph/GEPSNONPILOT/Tender/SplashBidNoticeAbstractUI.aspx?menuIndex=3&amp;refID=7166896&amp;Result=3","7166896")</f>
        <v>0</v>
      </c>
      <c r="B1716" t="s">
        <v>743</v>
      </c>
      <c r="C1716" t="s">
        <v>5548</v>
      </c>
      <c r="D1716" t="s">
        <v>19054</v>
      </c>
      <c r="E1716" t="s">
        <v>20668</v>
      </c>
      <c r="F1716" t="s">
        <v>32831</v>
      </c>
      <c r="G1716" t="s">
        <v>32839</v>
      </c>
      <c r="H1716" t="s">
        <v>32848</v>
      </c>
      <c r="I1716" t="s">
        <v>32870</v>
      </c>
      <c r="J1716" t="s">
        <v>34194</v>
      </c>
      <c r="K1716" t="s">
        <v>42726</v>
      </c>
      <c r="M1716" t="s">
        <v>43766</v>
      </c>
      <c r="N1716" t="s">
        <v>47424</v>
      </c>
      <c r="O1716" t="s">
        <v>47425</v>
      </c>
      <c r="P1716">
        <v>0</v>
      </c>
      <c r="Q1716">
        <v>0</v>
      </c>
      <c r="R1716" t="s">
        <v>47429</v>
      </c>
      <c r="S1716" t="s">
        <v>47542</v>
      </c>
      <c r="T1716" t="s">
        <v>49192</v>
      </c>
      <c r="U1716" t="s">
        <v>51179</v>
      </c>
      <c r="V1716" t="s">
        <v>62796</v>
      </c>
      <c r="W1716" t="s">
        <v>43766</v>
      </c>
      <c r="X1716" t="s">
        <v>47426</v>
      </c>
    </row>
    <row r="1717" spans="1:24">
      <c r="A1717">
        <f>HYPERLINK("https://www.philgeps.gov.ph/GEPSNONPILOT/Tender/SplashBidNoticeAbstractUI.aspx?menuIndex=3&amp;refID=7166925&amp;Result=3","7166925")</f>
        <v>0</v>
      </c>
      <c r="B1717" t="s">
        <v>810</v>
      </c>
      <c r="C1717" t="s">
        <v>5549</v>
      </c>
      <c r="D1717" t="s">
        <v>19030</v>
      </c>
      <c r="E1717" t="s">
        <v>20669</v>
      </c>
      <c r="F1717" t="s">
        <v>32831</v>
      </c>
      <c r="G1717" t="s">
        <v>32840</v>
      </c>
      <c r="H1717" t="s">
        <v>32849</v>
      </c>
      <c r="I1717" t="s">
        <v>4177</v>
      </c>
      <c r="J1717" t="s">
        <v>34195</v>
      </c>
      <c r="K1717" t="s">
        <v>42726</v>
      </c>
      <c r="M1717" t="s">
        <v>43841</v>
      </c>
      <c r="N1717" t="s">
        <v>47424</v>
      </c>
      <c r="O1717" t="s">
        <v>47425</v>
      </c>
      <c r="P1717">
        <v>0</v>
      </c>
      <c r="Q1717">
        <v>0</v>
      </c>
      <c r="R1717" t="s">
        <v>47429</v>
      </c>
      <c r="S1717" t="s">
        <v>47542</v>
      </c>
      <c r="T1717" t="s">
        <v>49142</v>
      </c>
      <c r="U1717" t="s">
        <v>51180</v>
      </c>
      <c r="W1717" t="s">
        <v>43841</v>
      </c>
      <c r="X1717" t="s">
        <v>47426</v>
      </c>
    </row>
    <row r="1718" spans="1:24">
      <c r="A1718">
        <f>HYPERLINK("https://www.philgeps.gov.ph/GEPSNONPILOT/Tender/SplashBidNoticeAbstractUI.aspx?menuIndex=3&amp;refID=7166923&amp;Result=3","7166923")</f>
        <v>0</v>
      </c>
      <c r="B1718" t="s">
        <v>811</v>
      </c>
      <c r="C1718" t="s">
        <v>5550</v>
      </c>
      <c r="D1718" t="s">
        <v>19077</v>
      </c>
      <c r="E1718" t="s">
        <v>20670</v>
      </c>
      <c r="F1718" t="s">
        <v>32831</v>
      </c>
      <c r="G1718" t="s">
        <v>32838</v>
      </c>
      <c r="H1718" t="s">
        <v>32848</v>
      </c>
      <c r="I1718" t="s">
        <v>32931</v>
      </c>
      <c r="J1718" t="s">
        <v>34196</v>
      </c>
      <c r="K1718" t="s">
        <v>42726</v>
      </c>
      <c r="M1718" t="s">
        <v>43842</v>
      </c>
      <c r="N1718" t="s">
        <v>47424</v>
      </c>
      <c r="O1718" t="s">
        <v>47425</v>
      </c>
      <c r="P1718">
        <v>0</v>
      </c>
      <c r="Q1718">
        <v>0</v>
      </c>
      <c r="R1718" t="s">
        <v>47429</v>
      </c>
      <c r="S1718" t="s">
        <v>47542</v>
      </c>
      <c r="T1718" t="s">
        <v>49198</v>
      </c>
      <c r="U1718" t="s">
        <v>51181</v>
      </c>
      <c r="W1718" t="s">
        <v>43842</v>
      </c>
      <c r="X1718" t="s">
        <v>47426</v>
      </c>
    </row>
    <row r="1719" spans="1:24">
      <c r="A1719">
        <f>HYPERLINK("https://www.philgeps.gov.ph/GEPSNONPILOT/Tender/SplashBidNoticeAbstractUI.aspx?menuIndex=3&amp;refID=7166921&amp;Result=3","7166921")</f>
        <v>0</v>
      </c>
      <c r="B1719" t="s">
        <v>800</v>
      </c>
      <c r="C1719" t="s">
        <v>5551</v>
      </c>
      <c r="D1719" t="s">
        <v>19040</v>
      </c>
      <c r="E1719" t="s">
        <v>20671</v>
      </c>
      <c r="F1719" t="s">
        <v>32831</v>
      </c>
      <c r="G1719" t="s">
        <v>32841</v>
      </c>
      <c r="H1719" t="s">
        <v>32848</v>
      </c>
      <c r="I1719" t="s">
        <v>32860</v>
      </c>
      <c r="J1719" t="s">
        <v>34197</v>
      </c>
      <c r="K1719" t="s">
        <v>42759</v>
      </c>
      <c r="M1719" t="s">
        <v>43830</v>
      </c>
      <c r="N1719" t="s">
        <v>47424</v>
      </c>
      <c r="O1719" t="s">
        <v>47425</v>
      </c>
      <c r="P1719">
        <v>0</v>
      </c>
      <c r="Q1719">
        <v>0</v>
      </c>
      <c r="R1719" t="s">
        <v>47429</v>
      </c>
      <c r="S1719" t="s">
        <v>47542</v>
      </c>
      <c r="T1719" t="s">
        <v>49105</v>
      </c>
      <c r="U1719" t="s">
        <v>51182</v>
      </c>
      <c r="W1719" t="s">
        <v>43830</v>
      </c>
      <c r="X1719" t="s">
        <v>47426</v>
      </c>
    </row>
    <row r="1720" spans="1:24">
      <c r="A1720">
        <f>HYPERLINK("https://www.philgeps.gov.ph/GEPSNONPILOT/Tender/SplashBidNoticeAbstractUI.aspx?menuIndex=3&amp;refID=7166919&amp;Result=3","7166919")</f>
        <v>0</v>
      </c>
      <c r="B1720" t="s">
        <v>123</v>
      </c>
      <c r="C1720" t="s">
        <v>5552</v>
      </c>
      <c r="D1720" t="s">
        <v>19038</v>
      </c>
      <c r="E1720" t="s">
        <v>20672</v>
      </c>
      <c r="F1720" t="s">
        <v>32831</v>
      </c>
      <c r="G1720" t="s">
        <v>32839</v>
      </c>
      <c r="H1720" t="s">
        <v>32849</v>
      </c>
      <c r="I1720" t="s">
        <v>4177</v>
      </c>
      <c r="J1720" t="s">
        <v>34198</v>
      </c>
      <c r="K1720" t="s">
        <v>42729</v>
      </c>
      <c r="M1720" t="s">
        <v>43120</v>
      </c>
      <c r="N1720" t="s">
        <v>47424</v>
      </c>
      <c r="O1720" t="s">
        <v>47425</v>
      </c>
      <c r="P1720">
        <v>0</v>
      </c>
      <c r="Q1720">
        <v>0</v>
      </c>
      <c r="R1720" t="s">
        <v>47429</v>
      </c>
      <c r="S1720" t="s">
        <v>47542</v>
      </c>
      <c r="T1720" t="s">
        <v>49152</v>
      </c>
      <c r="U1720" t="s">
        <v>51183</v>
      </c>
      <c r="V1720" t="s">
        <v>62659</v>
      </c>
      <c r="W1720" t="s">
        <v>43120</v>
      </c>
      <c r="X1720" t="s">
        <v>47426</v>
      </c>
    </row>
    <row r="1721" spans="1:24">
      <c r="A1721">
        <f>HYPERLINK("https://www.philgeps.gov.ph/GEPSNONPILOT/Tender/SplashBidNoticeAbstractUI.aspx?menuIndex=3&amp;refID=7166927&amp;Result=3","7166927")</f>
        <v>0</v>
      </c>
      <c r="B1721" t="s">
        <v>812</v>
      </c>
      <c r="C1721" t="s">
        <v>5553</v>
      </c>
      <c r="D1721" t="s">
        <v>19050</v>
      </c>
      <c r="E1721" t="s">
        <v>20673</v>
      </c>
      <c r="F1721" t="s">
        <v>32831</v>
      </c>
      <c r="G1721" t="s">
        <v>32838</v>
      </c>
      <c r="H1721" t="s">
        <v>32848</v>
      </c>
      <c r="I1721" t="s">
        <v>9577</v>
      </c>
      <c r="J1721" t="s">
        <v>34199</v>
      </c>
      <c r="K1721" t="s">
        <v>42732</v>
      </c>
      <c r="M1721" t="s">
        <v>43843</v>
      </c>
      <c r="N1721" t="s">
        <v>47424</v>
      </c>
      <c r="O1721" t="s">
        <v>47425</v>
      </c>
      <c r="P1721">
        <v>0</v>
      </c>
      <c r="Q1721">
        <v>0</v>
      </c>
      <c r="R1721" t="s">
        <v>47429</v>
      </c>
      <c r="S1721" t="s">
        <v>47542</v>
      </c>
      <c r="T1721" t="s">
        <v>49104</v>
      </c>
      <c r="U1721" t="s">
        <v>51184</v>
      </c>
      <c r="V1721" t="s">
        <v>62817</v>
      </c>
      <c r="W1721" t="s">
        <v>43843</v>
      </c>
      <c r="X1721" t="s">
        <v>47426</v>
      </c>
    </row>
    <row r="1722" spans="1:24">
      <c r="A1722">
        <f>HYPERLINK("https://www.philgeps.gov.ph/GEPSNONPILOT/Tender/SplashBidNoticeAbstractUI.aspx?menuIndex=3&amp;refID=7166889&amp;Result=3","7166889")</f>
        <v>0</v>
      </c>
      <c r="B1722" t="s">
        <v>813</v>
      </c>
      <c r="C1722" t="s">
        <v>5554</v>
      </c>
      <c r="D1722" t="s">
        <v>19022</v>
      </c>
      <c r="E1722" t="s">
        <v>19219</v>
      </c>
      <c r="F1722" t="s">
        <v>32832</v>
      </c>
      <c r="G1722" t="s">
        <v>32839</v>
      </c>
      <c r="H1722" t="s">
        <v>32849</v>
      </c>
      <c r="I1722" t="s">
        <v>32864</v>
      </c>
      <c r="J1722" t="s">
        <v>34200</v>
      </c>
      <c r="K1722" t="s">
        <v>42776</v>
      </c>
      <c r="M1722" t="s">
        <v>43844</v>
      </c>
      <c r="N1722" t="s">
        <v>47424</v>
      </c>
      <c r="O1722" t="s">
        <v>47425</v>
      </c>
      <c r="P1722">
        <v>0</v>
      </c>
      <c r="Q1722">
        <v>0</v>
      </c>
      <c r="R1722" t="s">
        <v>47429</v>
      </c>
      <c r="S1722" t="s">
        <v>47542</v>
      </c>
      <c r="T1722" t="s">
        <v>49278</v>
      </c>
      <c r="U1722" t="s">
        <v>51185</v>
      </c>
      <c r="W1722" t="s">
        <v>43844</v>
      </c>
      <c r="X1722" t="s">
        <v>47426</v>
      </c>
    </row>
    <row r="1723" spans="1:24">
      <c r="A1723">
        <f>HYPERLINK("https://www.philgeps.gov.ph/GEPSNONPILOT/Tender/SplashBidNoticeAbstractUI.aspx?menuIndex=3&amp;refID=7166918&amp;Result=3","7166918")</f>
        <v>0</v>
      </c>
      <c r="B1723" t="s">
        <v>795</v>
      </c>
      <c r="C1723" t="s">
        <v>5555</v>
      </c>
      <c r="D1723" t="s">
        <v>19045</v>
      </c>
      <c r="E1723" t="s">
        <v>20674</v>
      </c>
      <c r="F1723" t="s">
        <v>32831</v>
      </c>
      <c r="G1723" t="s">
        <v>32839</v>
      </c>
      <c r="H1723" t="s">
        <v>32848</v>
      </c>
      <c r="I1723" t="s">
        <v>11484</v>
      </c>
      <c r="J1723" t="s">
        <v>34201</v>
      </c>
      <c r="K1723" t="s">
        <v>42727</v>
      </c>
      <c r="M1723" t="s">
        <v>43825</v>
      </c>
      <c r="N1723" t="s">
        <v>47424</v>
      </c>
      <c r="O1723" t="s">
        <v>47425</v>
      </c>
      <c r="P1723">
        <v>0</v>
      </c>
      <c r="Q1723">
        <v>0</v>
      </c>
      <c r="R1723" t="s">
        <v>47429</v>
      </c>
      <c r="S1723" t="s">
        <v>47542</v>
      </c>
      <c r="T1723" t="s">
        <v>49057</v>
      </c>
      <c r="U1723" t="s">
        <v>51186</v>
      </c>
      <c r="W1723" t="s">
        <v>43825</v>
      </c>
      <c r="X1723" t="s">
        <v>47426</v>
      </c>
    </row>
    <row r="1724" spans="1:24">
      <c r="A1724">
        <f>HYPERLINK("https://www.philgeps.gov.ph/GEPSNONPILOT/Tender/SplashBidNoticeAbstractUI.aspx?menuIndex=3&amp;refID=7166917&amp;Result=3","7166917")</f>
        <v>0</v>
      </c>
      <c r="B1724" t="s">
        <v>814</v>
      </c>
      <c r="C1724" t="s">
        <v>5556</v>
      </c>
      <c r="D1724" t="s">
        <v>19017</v>
      </c>
      <c r="E1724" t="s">
        <v>20675</v>
      </c>
      <c r="F1724" t="s">
        <v>32831</v>
      </c>
      <c r="G1724" t="s">
        <v>32838</v>
      </c>
      <c r="H1724" t="s">
        <v>32848</v>
      </c>
      <c r="I1724" t="s">
        <v>4303</v>
      </c>
      <c r="J1724" t="s">
        <v>33364</v>
      </c>
      <c r="K1724" t="s">
        <v>42758</v>
      </c>
      <c r="M1724" t="s">
        <v>43845</v>
      </c>
      <c r="N1724" t="s">
        <v>47424</v>
      </c>
      <c r="O1724" t="s">
        <v>47425</v>
      </c>
      <c r="P1724">
        <v>0</v>
      </c>
      <c r="Q1724">
        <v>0</v>
      </c>
      <c r="R1724" t="s">
        <v>47429</v>
      </c>
      <c r="S1724" t="s">
        <v>47542</v>
      </c>
      <c r="T1724" t="s">
        <v>49253</v>
      </c>
      <c r="U1724" t="s">
        <v>51187</v>
      </c>
      <c r="W1724" t="s">
        <v>43845</v>
      </c>
      <c r="X1724" t="s">
        <v>47426</v>
      </c>
    </row>
    <row r="1725" spans="1:24">
      <c r="A1725">
        <f>HYPERLINK("https://www.philgeps.gov.ph/GEPSNONPILOT/Tender/SplashBidNoticeAbstractUI.aspx?menuIndex=3&amp;refID=7166916&amp;Result=3","7166916")</f>
        <v>0</v>
      </c>
      <c r="B1725" t="s">
        <v>628</v>
      </c>
      <c r="C1725" t="s">
        <v>5557</v>
      </c>
      <c r="D1725" t="s">
        <v>19043</v>
      </c>
      <c r="E1725" t="s">
        <v>20676</v>
      </c>
      <c r="F1725" t="s">
        <v>32831</v>
      </c>
      <c r="G1725" t="s">
        <v>32839</v>
      </c>
      <c r="H1725" t="s">
        <v>32848</v>
      </c>
      <c r="I1725" t="s">
        <v>4487</v>
      </c>
      <c r="J1725" t="s">
        <v>33279</v>
      </c>
      <c r="K1725" t="s">
        <v>42727</v>
      </c>
      <c r="M1725" t="s">
        <v>43645</v>
      </c>
      <c r="N1725" t="s">
        <v>47424</v>
      </c>
      <c r="O1725" t="s">
        <v>47425</v>
      </c>
      <c r="P1725">
        <v>0</v>
      </c>
      <c r="Q1725">
        <v>0</v>
      </c>
      <c r="R1725" t="s">
        <v>47429</v>
      </c>
      <c r="S1725" t="s">
        <v>47542</v>
      </c>
      <c r="T1725" t="s">
        <v>49069</v>
      </c>
      <c r="U1725" t="s">
        <v>51188</v>
      </c>
      <c r="V1725" t="s">
        <v>62818</v>
      </c>
      <c r="W1725" t="s">
        <v>43645</v>
      </c>
      <c r="X1725" t="s">
        <v>47426</v>
      </c>
    </row>
    <row r="1726" spans="1:24">
      <c r="A1726">
        <f>HYPERLINK("https://www.philgeps.gov.ph/GEPSNONPILOT/Tender/SplashBidNoticeAbstractUI.aspx?menuIndex=3&amp;refID=7166934&amp;Result=3","7166934")</f>
        <v>0</v>
      </c>
      <c r="B1726" t="s">
        <v>721</v>
      </c>
      <c r="C1726" t="s">
        <v>5558</v>
      </c>
      <c r="D1726" t="s">
        <v>19018</v>
      </c>
      <c r="E1726" t="s">
        <v>20677</v>
      </c>
      <c r="F1726" t="s">
        <v>32831</v>
      </c>
      <c r="G1726" t="s">
        <v>32838</v>
      </c>
      <c r="H1726" t="s">
        <v>32848</v>
      </c>
      <c r="I1726" t="s">
        <v>4303</v>
      </c>
      <c r="J1726" t="s">
        <v>34202</v>
      </c>
      <c r="K1726" t="s">
        <v>42732</v>
      </c>
      <c r="M1726" t="s">
        <v>43742</v>
      </c>
      <c r="N1726" t="s">
        <v>47424</v>
      </c>
      <c r="O1726" t="s">
        <v>47425</v>
      </c>
      <c r="P1726">
        <v>0</v>
      </c>
      <c r="Q1726">
        <v>0</v>
      </c>
      <c r="R1726" t="s">
        <v>47429</v>
      </c>
      <c r="S1726" t="s">
        <v>47542</v>
      </c>
      <c r="T1726" t="s">
        <v>49087</v>
      </c>
      <c r="U1726" t="s">
        <v>51005</v>
      </c>
      <c r="W1726" t="s">
        <v>43742</v>
      </c>
      <c r="X1726" t="s">
        <v>47426</v>
      </c>
    </row>
    <row r="1727" spans="1:24">
      <c r="A1727">
        <f>HYPERLINK("https://www.philgeps.gov.ph/GEPSNONPILOT/Tender/SplashBidNoticeAbstractUI.aspx?menuIndex=3&amp;refID=7166890&amp;Result=3","7166890")</f>
        <v>0</v>
      </c>
      <c r="B1727" t="s">
        <v>815</v>
      </c>
      <c r="C1727" t="s">
        <v>5559</v>
      </c>
      <c r="D1727" t="s">
        <v>19033</v>
      </c>
      <c r="E1727" t="s">
        <v>20678</v>
      </c>
      <c r="F1727" t="s">
        <v>32831</v>
      </c>
      <c r="G1727" t="s">
        <v>32838</v>
      </c>
      <c r="H1727" t="s">
        <v>32848</v>
      </c>
      <c r="I1727" t="s">
        <v>32902</v>
      </c>
      <c r="J1727" t="s">
        <v>34203</v>
      </c>
      <c r="K1727" t="s">
        <v>42730</v>
      </c>
      <c r="M1727" t="s">
        <v>43846</v>
      </c>
      <c r="N1727" t="s">
        <v>47424</v>
      </c>
      <c r="O1727" t="s">
        <v>47425</v>
      </c>
      <c r="P1727">
        <v>0</v>
      </c>
      <c r="Q1727">
        <v>0</v>
      </c>
      <c r="R1727" t="s">
        <v>47429</v>
      </c>
      <c r="S1727" t="s">
        <v>47542</v>
      </c>
      <c r="T1727" t="s">
        <v>49089</v>
      </c>
      <c r="U1727" t="s">
        <v>51189</v>
      </c>
      <c r="W1727" t="s">
        <v>43846</v>
      </c>
      <c r="X1727" t="s">
        <v>47426</v>
      </c>
    </row>
    <row r="1728" spans="1:24">
      <c r="A1728">
        <f>HYPERLINK("https://www.philgeps.gov.ph/GEPSNONPILOT/Tender/SplashBidNoticeAbstractUI.aspx?menuIndex=3&amp;refID=7166922&amp;Result=3","7166922")</f>
        <v>0</v>
      </c>
      <c r="B1728" t="s">
        <v>816</v>
      </c>
      <c r="C1728" t="s">
        <v>5560</v>
      </c>
      <c r="D1728" t="s">
        <v>19045</v>
      </c>
      <c r="E1728" t="s">
        <v>20679</v>
      </c>
      <c r="F1728" t="s">
        <v>32831</v>
      </c>
      <c r="G1728" t="s">
        <v>32838</v>
      </c>
      <c r="H1728" t="s">
        <v>32848</v>
      </c>
      <c r="I1728" t="s">
        <v>11484</v>
      </c>
      <c r="J1728" t="s">
        <v>33090</v>
      </c>
      <c r="K1728" t="s">
        <v>42748</v>
      </c>
      <c r="M1728" t="s">
        <v>43847</v>
      </c>
      <c r="N1728" t="s">
        <v>47424</v>
      </c>
      <c r="O1728" t="s">
        <v>47425</v>
      </c>
      <c r="P1728">
        <v>0</v>
      </c>
      <c r="Q1728">
        <v>0</v>
      </c>
      <c r="R1728" t="s">
        <v>47429</v>
      </c>
      <c r="S1728" t="s">
        <v>47542</v>
      </c>
      <c r="T1728" t="s">
        <v>49104</v>
      </c>
      <c r="U1728" t="s">
        <v>51190</v>
      </c>
      <c r="W1728" t="s">
        <v>43847</v>
      </c>
      <c r="X1728" t="s">
        <v>47426</v>
      </c>
    </row>
    <row r="1729" spans="1:24">
      <c r="A1729">
        <f>HYPERLINK("https://www.philgeps.gov.ph/GEPSNONPILOT/Tender/SplashBidNoticeAbstractUI.aspx?menuIndex=3&amp;refID=7166915&amp;Result=3","7166915")</f>
        <v>0</v>
      </c>
      <c r="B1729" t="s">
        <v>263</v>
      </c>
      <c r="C1729" t="s">
        <v>5561</v>
      </c>
      <c r="D1729" t="s">
        <v>19083</v>
      </c>
      <c r="E1729" t="s">
        <v>20680</v>
      </c>
      <c r="F1729" t="s">
        <v>32831</v>
      </c>
      <c r="G1729" t="s">
        <v>32838</v>
      </c>
      <c r="H1729" t="s">
        <v>32848</v>
      </c>
      <c r="I1729" t="s">
        <v>7416</v>
      </c>
      <c r="J1729" t="s">
        <v>34204</v>
      </c>
      <c r="K1729" t="s">
        <v>42727</v>
      </c>
      <c r="M1729" t="s">
        <v>43262</v>
      </c>
      <c r="N1729" t="s">
        <v>47424</v>
      </c>
      <c r="O1729" t="s">
        <v>47425</v>
      </c>
      <c r="P1729">
        <v>0</v>
      </c>
      <c r="Q1729">
        <v>0</v>
      </c>
      <c r="R1729" t="s">
        <v>47429</v>
      </c>
      <c r="S1729" t="s">
        <v>47542</v>
      </c>
      <c r="T1729" t="s">
        <v>49170</v>
      </c>
      <c r="U1729" t="s">
        <v>51191</v>
      </c>
      <c r="W1729" t="s">
        <v>43262</v>
      </c>
      <c r="X1729" t="s">
        <v>47426</v>
      </c>
    </row>
    <row r="1730" spans="1:24">
      <c r="A1730">
        <f>HYPERLINK("https://www.philgeps.gov.ph/GEPSNONPILOT/Tender/SplashBidNoticeAbstractUI.aspx?menuIndex=3&amp;refID=7166955&amp;Result=3","7166955")</f>
        <v>0</v>
      </c>
      <c r="B1730" t="s">
        <v>796</v>
      </c>
      <c r="C1730" t="s">
        <v>5562</v>
      </c>
      <c r="D1730" t="s">
        <v>19017</v>
      </c>
      <c r="E1730" t="s">
        <v>20681</v>
      </c>
      <c r="F1730" t="s">
        <v>32831</v>
      </c>
      <c r="G1730" t="s">
        <v>32838</v>
      </c>
      <c r="H1730" t="s">
        <v>32848</v>
      </c>
      <c r="I1730" t="s">
        <v>32864</v>
      </c>
      <c r="J1730" t="s">
        <v>34100</v>
      </c>
      <c r="K1730" t="s">
        <v>42732</v>
      </c>
      <c r="M1730" t="s">
        <v>43826</v>
      </c>
      <c r="N1730" t="s">
        <v>47424</v>
      </c>
      <c r="O1730" t="s">
        <v>47425</v>
      </c>
      <c r="P1730">
        <v>0</v>
      </c>
      <c r="Q1730">
        <v>0</v>
      </c>
      <c r="R1730" t="s">
        <v>47429</v>
      </c>
      <c r="S1730" t="s">
        <v>47542</v>
      </c>
      <c r="T1730" t="s">
        <v>49276</v>
      </c>
      <c r="U1730" t="s">
        <v>51148</v>
      </c>
      <c r="W1730" t="s">
        <v>43826</v>
      </c>
      <c r="X1730" t="s">
        <v>47426</v>
      </c>
    </row>
    <row r="1731" spans="1:24">
      <c r="A1731">
        <f>HYPERLINK("https://www.philgeps.gov.ph/GEPSNONPILOT/Tender/SplashBidNoticeAbstractUI.aspx?menuIndex=3&amp;refID=7166959&amp;Result=3","7166959")</f>
        <v>0</v>
      </c>
      <c r="B1731" t="s">
        <v>817</v>
      </c>
      <c r="C1731" t="s">
        <v>5563</v>
      </c>
      <c r="D1731" t="s">
        <v>19077</v>
      </c>
      <c r="E1731" t="s">
        <v>20682</v>
      </c>
      <c r="F1731" t="s">
        <v>32831</v>
      </c>
      <c r="G1731" t="s">
        <v>32840</v>
      </c>
      <c r="H1731" t="s">
        <v>32848</v>
      </c>
      <c r="I1731" t="s">
        <v>32902</v>
      </c>
      <c r="J1731" t="s">
        <v>34205</v>
      </c>
      <c r="K1731" t="s">
        <v>42730</v>
      </c>
      <c r="M1731" t="s">
        <v>43848</v>
      </c>
      <c r="N1731" t="s">
        <v>47424</v>
      </c>
      <c r="O1731" t="s">
        <v>47425</v>
      </c>
      <c r="P1731">
        <v>0</v>
      </c>
      <c r="Q1731">
        <v>0</v>
      </c>
      <c r="R1731" t="s">
        <v>47429</v>
      </c>
      <c r="S1731" t="s">
        <v>47542</v>
      </c>
      <c r="T1731" t="s">
        <v>49073</v>
      </c>
      <c r="U1731" t="s">
        <v>51192</v>
      </c>
      <c r="W1731" t="s">
        <v>43848</v>
      </c>
      <c r="X1731" t="s">
        <v>47426</v>
      </c>
    </row>
    <row r="1732" spans="1:24">
      <c r="A1732">
        <f>HYPERLINK("https://www.philgeps.gov.ph/GEPSNONPILOT/Tender/SplashBidNoticeAbstractUI.aspx?menuIndex=3&amp;refID=7166957&amp;Result=3","7166957")</f>
        <v>0</v>
      </c>
      <c r="B1732" t="s">
        <v>811</v>
      </c>
      <c r="C1732" t="s">
        <v>5564</v>
      </c>
      <c r="D1732" t="s">
        <v>19077</v>
      </c>
      <c r="E1732" t="s">
        <v>20683</v>
      </c>
      <c r="F1732" t="s">
        <v>32831</v>
      </c>
      <c r="G1732" t="s">
        <v>32838</v>
      </c>
      <c r="H1732" t="s">
        <v>32848</v>
      </c>
      <c r="I1732" t="s">
        <v>6526</v>
      </c>
      <c r="J1732" t="s">
        <v>34206</v>
      </c>
      <c r="K1732" t="s">
        <v>42726</v>
      </c>
      <c r="M1732" t="s">
        <v>43842</v>
      </c>
      <c r="N1732" t="s">
        <v>47424</v>
      </c>
      <c r="O1732" t="s">
        <v>47425</v>
      </c>
      <c r="P1732">
        <v>0</v>
      </c>
      <c r="Q1732">
        <v>0</v>
      </c>
      <c r="R1732" t="s">
        <v>47429</v>
      </c>
      <c r="S1732" t="s">
        <v>47542</v>
      </c>
      <c r="T1732" t="s">
        <v>49123</v>
      </c>
      <c r="U1732" t="s">
        <v>51193</v>
      </c>
      <c r="W1732" t="s">
        <v>43842</v>
      </c>
      <c r="X1732" t="s">
        <v>47426</v>
      </c>
    </row>
    <row r="1733" spans="1:24">
      <c r="A1733">
        <f>HYPERLINK("https://www.philgeps.gov.ph/GEPSNONPILOT/Tender/SplashBidNoticeAbstractUI.aspx?menuIndex=3&amp;refID=7166928&amp;Result=3","7166928")</f>
        <v>0</v>
      </c>
      <c r="B1733" t="s">
        <v>818</v>
      </c>
      <c r="C1733" t="s">
        <v>5565</v>
      </c>
      <c r="D1733" t="s">
        <v>19017</v>
      </c>
      <c r="E1733" t="s">
        <v>20684</v>
      </c>
      <c r="F1733" t="s">
        <v>32831</v>
      </c>
      <c r="G1733" t="s">
        <v>32838</v>
      </c>
      <c r="H1733" t="s">
        <v>32848</v>
      </c>
      <c r="I1733" t="s">
        <v>32884</v>
      </c>
      <c r="J1733" t="s">
        <v>34207</v>
      </c>
      <c r="K1733" t="s">
        <v>42732</v>
      </c>
      <c r="M1733" t="s">
        <v>43849</v>
      </c>
      <c r="N1733" t="s">
        <v>47424</v>
      </c>
      <c r="O1733" t="s">
        <v>47425</v>
      </c>
      <c r="P1733">
        <v>0</v>
      </c>
      <c r="Q1733">
        <v>1</v>
      </c>
      <c r="R1733" t="s">
        <v>47429</v>
      </c>
      <c r="S1733" t="s">
        <v>47542</v>
      </c>
      <c r="T1733" t="s">
        <v>49279</v>
      </c>
      <c r="U1733" t="s">
        <v>51194</v>
      </c>
      <c r="V1733" t="s">
        <v>62819</v>
      </c>
      <c r="W1733" t="s">
        <v>43849</v>
      </c>
      <c r="X1733" t="s">
        <v>47426</v>
      </c>
    </row>
    <row r="1734" spans="1:24">
      <c r="A1734">
        <f>HYPERLINK("https://www.philgeps.gov.ph/GEPSNONPILOT/Tender/SplashBidNoticeAbstractUI.aspx?menuIndex=3&amp;refID=7166954&amp;Result=3","7166954")</f>
        <v>0</v>
      </c>
      <c r="B1734" t="s">
        <v>819</v>
      </c>
      <c r="C1734" t="s">
        <v>5566</v>
      </c>
      <c r="D1734" t="s">
        <v>19057</v>
      </c>
      <c r="E1734" t="s">
        <v>20685</v>
      </c>
      <c r="F1734" t="s">
        <v>32831</v>
      </c>
      <c r="G1734" t="s">
        <v>32838</v>
      </c>
      <c r="H1734" t="s">
        <v>32848</v>
      </c>
      <c r="I1734" t="s">
        <v>4776</v>
      </c>
      <c r="J1734" t="s">
        <v>33025</v>
      </c>
      <c r="K1734" t="s">
        <v>42745</v>
      </c>
      <c r="M1734" t="s">
        <v>43850</v>
      </c>
      <c r="N1734" t="s">
        <v>47424</v>
      </c>
      <c r="O1734" t="s">
        <v>47425</v>
      </c>
      <c r="P1734">
        <v>0</v>
      </c>
      <c r="Q1734">
        <v>0</v>
      </c>
      <c r="R1734" t="s">
        <v>47429</v>
      </c>
      <c r="S1734" t="s">
        <v>47542</v>
      </c>
      <c r="T1734" t="s">
        <v>49123</v>
      </c>
      <c r="U1734" t="s">
        <v>51195</v>
      </c>
      <c r="W1734" t="s">
        <v>43850</v>
      </c>
      <c r="X1734" t="s">
        <v>47426</v>
      </c>
    </row>
    <row r="1735" spans="1:24">
      <c r="A1735">
        <f>HYPERLINK("https://www.philgeps.gov.ph/GEPSNONPILOT/Tender/SplashBidNoticeAbstractUI.aspx?menuIndex=3&amp;refID=7166952&amp;Result=3","7166952")</f>
        <v>0</v>
      </c>
      <c r="B1735" t="s">
        <v>820</v>
      </c>
      <c r="C1735" t="s">
        <v>5567</v>
      </c>
      <c r="E1735" t="s">
        <v>20686</v>
      </c>
      <c r="F1735" t="s">
        <v>32831</v>
      </c>
      <c r="G1735" t="s">
        <v>32839</v>
      </c>
      <c r="H1735" t="s">
        <v>32848</v>
      </c>
      <c r="I1735" t="s">
        <v>5379</v>
      </c>
      <c r="J1735" t="s">
        <v>34208</v>
      </c>
      <c r="K1735" t="s">
        <v>42732</v>
      </c>
      <c r="M1735" t="s">
        <v>43851</v>
      </c>
      <c r="N1735" t="s">
        <v>47424</v>
      </c>
      <c r="O1735" t="s">
        <v>47425</v>
      </c>
      <c r="P1735">
        <v>0</v>
      </c>
      <c r="Q1735">
        <v>0</v>
      </c>
      <c r="R1735" t="s">
        <v>47429</v>
      </c>
      <c r="S1735" t="s">
        <v>47542</v>
      </c>
      <c r="T1735" t="s">
        <v>49071</v>
      </c>
      <c r="U1735" t="s">
        <v>51196</v>
      </c>
      <c r="W1735" t="s">
        <v>43851</v>
      </c>
      <c r="X1735" t="s">
        <v>47426</v>
      </c>
    </row>
    <row r="1736" spans="1:24">
      <c r="A1736">
        <f>HYPERLINK("https://www.philgeps.gov.ph/GEPSNONPILOT/Tender/SplashBidNoticeAbstractUI.aspx?menuIndex=3&amp;refID=7166894&amp;Result=3","7166894")</f>
        <v>0</v>
      </c>
      <c r="B1736" t="s">
        <v>821</v>
      </c>
      <c r="C1736" t="s">
        <v>5568</v>
      </c>
      <c r="D1736" t="s">
        <v>19054</v>
      </c>
      <c r="E1736" t="s">
        <v>20687</v>
      </c>
      <c r="F1736" t="s">
        <v>32833</v>
      </c>
      <c r="G1736" t="s">
        <v>32838</v>
      </c>
      <c r="H1736" t="s">
        <v>32848</v>
      </c>
      <c r="I1736" t="s">
        <v>6526</v>
      </c>
      <c r="J1736" t="s">
        <v>34209</v>
      </c>
      <c r="K1736" t="s">
        <v>42726</v>
      </c>
      <c r="M1736" t="s">
        <v>43852</v>
      </c>
      <c r="N1736" t="s">
        <v>47424</v>
      </c>
      <c r="O1736" t="s">
        <v>47425</v>
      </c>
      <c r="P1736">
        <v>0</v>
      </c>
      <c r="Q1736">
        <v>0</v>
      </c>
      <c r="R1736" t="s">
        <v>47429</v>
      </c>
      <c r="S1736" t="s">
        <v>47542</v>
      </c>
      <c r="T1736" t="s">
        <v>49057</v>
      </c>
      <c r="U1736" t="s">
        <v>51197</v>
      </c>
      <c r="V1736" t="s">
        <v>62820</v>
      </c>
      <c r="W1736" t="s">
        <v>64447</v>
      </c>
      <c r="X1736" t="s">
        <v>47426</v>
      </c>
    </row>
    <row r="1737" spans="1:24">
      <c r="A1737">
        <f>HYPERLINK("https://www.philgeps.gov.ph/GEPSNONPILOT/Tender/SplashBidNoticeAbstractUI.aspx?menuIndex=3&amp;refID=7166958&amp;Result=3","7166958")</f>
        <v>0</v>
      </c>
      <c r="B1737" t="s">
        <v>822</v>
      </c>
      <c r="C1737" t="s">
        <v>5569</v>
      </c>
      <c r="D1737" t="s">
        <v>19074</v>
      </c>
      <c r="E1737" t="s">
        <v>19948</v>
      </c>
      <c r="F1737" t="s">
        <v>32831</v>
      </c>
      <c r="G1737" t="s">
        <v>32840</v>
      </c>
      <c r="H1737" t="s">
        <v>32848</v>
      </c>
      <c r="I1737" t="s">
        <v>4438</v>
      </c>
      <c r="J1737" t="s">
        <v>34210</v>
      </c>
      <c r="K1737" t="s">
        <v>42759</v>
      </c>
      <c r="M1737" t="s">
        <v>43853</v>
      </c>
      <c r="N1737" t="s">
        <v>47424</v>
      </c>
      <c r="O1737" t="s">
        <v>47425</v>
      </c>
      <c r="P1737">
        <v>0</v>
      </c>
      <c r="Q1737">
        <v>0</v>
      </c>
      <c r="R1737" t="s">
        <v>47429</v>
      </c>
      <c r="S1737" t="s">
        <v>47542</v>
      </c>
      <c r="T1737" t="s">
        <v>49108</v>
      </c>
      <c r="U1737" t="s">
        <v>51198</v>
      </c>
      <c r="V1737" t="s">
        <v>62707</v>
      </c>
      <c r="W1737" t="s">
        <v>43853</v>
      </c>
      <c r="X1737" t="s">
        <v>47426</v>
      </c>
    </row>
    <row r="1738" spans="1:24">
      <c r="A1738">
        <f>HYPERLINK("https://www.philgeps.gov.ph/GEPSNONPILOT/Tender/SplashBidNoticeAbstractUI.aspx?menuIndex=3&amp;refID=7166946&amp;Result=3","7166946")</f>
        <v>0</v>
      </c>
      <c r="B1738" t="s">
        <v>810</v>
      </c>
      <c r="C1738" t="s">
        <v>5570</v>
      </c>
      <c r="D1738" t="s">
        <v>19030</v>
      </c>
      <c r="E1738" t="s">
        <v>20688</v>
      </c>
      <c r="F1738" t="s">
        <v>32831</v>
      </c>
      <c r="G1738" t="s">
        <v>32840</v>
      </c>
      <c r="H1738" t="s">
        <v>32849</v>
      </c>
      <c r="I1738" t="s">
        <v>4177</v>
      </c>
      <c r="J1738" t="s">
        <v>34211</v>
      </c>
      <c r="K1738" t="s">
        <v>42726</v>
      </c>
      <c r="M1738" t="s">
        <v>43841</v>
      </c>
      <c r="N1738" t="s">
        <v>47424</v>
      </c>
      <c r="O1738" t="s">
        <v>47425</v>
      </c>
      <c r="P1738">
        <v>0</v>
      </c>
      <c r="Q1738">
        <v>0</v>
      </c>
      <c r="R1738" t="s">
        <v>47429</v>
      </c>
      <c r="S1738" t="s">
        <v>47542</v>
      </c>
      <c r="T1738" t="s">
        <v>49142</v>
      </c>
      <c r="U1738" t="s">
        <v>51199</v>
      </c>
      <c r="W1738" t="s">
        <v>43841</v>
      </c>
      <c r="X1738" t="s">
        <v>47426</v>
      </c>
    </row>
    <row r="1739" spans="1:24">
      <c r="A1739">
        <f>HYPERLINK("https://www.philgeps.gov.ph/GEPSNONPILOT/Tender/SplashBidNoticeAbstractUI.aspx?menuIndex=3&amp;refID=7166944&amp;Result=3","7166944")</f>
        <v>0</v>
      </c>
      <c r="B1739" t="s">
        <v>263</v>
      </c>
      <c r="C1739" t="s">
        <v>5571</v>
      </c>
      <c r="D1739" t="s">
        <v>19083</v>
      </c>
      <c r="E1739" t="s">
        <v>20689</v>
      </c>
      <c r="F1739" t="s">
        <v>32831</v>
      </c>
      <c r="G1739" t="s">
        <v>32840</v>
      </c>
      <c r="H1739" t="s">
        <v>32848</v>
      </c>
      <c r="I1739" t="s">
        <v>9577</v>
      </c>
      <c r="J1739" t="s">
        <v>34212</v>
      </c>
      <c r="K1739" t="s">
        <v>42727</v>
      </c>
      <c r="M1739" t="s">
        <v>43262</v>
      </c>
      <c r="N1739" t="s">
        <v>47424</v>
      </c>
      <c r="O1739" t="s">
        <v>47425</v>
      </c>
      <c r="P1739">
        <v>0</v>
      </c>
      <c r="Q1739">
        <v>0</v>
      </c>
      <c r="R1739" t="s">
        <v>47429</v>
      </c>
      <c r="S1739" t="s">
        <v>47542</v>
      </c>
      <c r="T1739" t="s">
        <v>49170</v>
      </c>
      <c r="U1739" t="s">
        <v>51200</v>
      </c>
      <c r="W1739" t="s">
        <v>43262</v>
      </c>
      <c r="X1739" t="s">
        <v>47426</v>
      </c>
    </row>
    <row r="1740" spans="1:24">
      <c r="A1740">
        <f>HYPERLINK("https://www.philgeps.gov.ph/GEPSNONPILOT/Tender/SplashBidNoticeAbstractUI.aspx?menuIndex=3&amp;refID=7166908&amp;Result=3","7166908")</f>
        <v>0</v>
      </c>
      <c r="B1740" t="s">
        <v>786</v>
      </c>
      <c r="C1740" t="s">
        <v>5572</v>
      </c>
      <c r="D1740" t="s">
        <v>19056</v>
      </c>
      <c r="E1740" t="s">
        <v>20690</v>
      </c>
      <c r="F1740" t="s">
        <v>32831</v>
      </c>
      <c r="G1740" t="s">
        <v>32839</v>
      </c>
      <c r="H1740" t="s">
        <v>32849</v>
      </c>
      <c r="I1740" t="s">
        <v>4177</v>
      </c>
      <c r="J1740" t="s">
        <v>33118</v>
      </c>
      <c r="K1740" t="s">
        <v>42755</v>
      </c>
      <c r="M1740" t="s">
        <v>43815</v>
      </c>
      <c r="N1740" t="s">
        <v>47424</v>
      </c>
      <c r="O1740" t="s">
        <v>47425</v>
      </c>
      <c r="P1740">
        <v>0</v>
      </c>
      <c r="Q1740">
        <v>0</v>
      </c>
      <c r="R1740" t="s">
        <v>47429</v>
      </c>
      <c r="S1740" t="s">
        <v>47542</v>
      </c>
      <c r="T1740" t="s">
        <v>49280</v>
      </c>
      <c r="U1740" t="s">
        <v>51201</v>
      </c>
      <c r="W1740" t="s">
        <v>43815</v>
      </c>
      <c r="X1740" t="s">
        <v>47426</v>
      </c>
    </row>
    <row r="1741" spans="1:24">
      <c r="A1741">
        <f>HYPERLINK("https://www.philgeps.gov.ph/GEPSNONPILOT/Tender/SplashBidNoticeAbstractUI.aspx?menuIndex=3&amp;refID=7166947&amp;Result=3","7166947")</f>
        <v>0</v>
      </c>
      <c r="B1741" t="s">
        <v>823</v>
      </c>
      <c r="C1741" t="s">
        <v>5573</v>
      </c>
      <c r="D1741" t="s">
        <v>19062</v>
      </c>
      <c r="E1741" t="s">
        <v>20691</v>
      </c>
      <c r="F1741" t="s">
        <v>32831</v>
      </c>
      <c r="G1741" t="s">
        <v>32841</v>
      </c>
      <c r="H1741" t="s">
        <v>32848</v>
      </c>
      <c r="I1741" t="s">
        <v>4558</v>
      </c>
      <c r="J1741" t="s">
        <v>34213</v>
      </c>
      <c r="K1741" t="s">
        <v>42727</v>
      </c>
      <c r="M1741" t="s">
        <v>43854</v>
      </c>
      <c r="N1741" t="s">
        <v>47424</v>
      </c>
      <c r="O1741" t="s">
        <v>47425</v>
      </c>
      <c r="P1741">
        <v>0</v>
      </c>
      <c r="Q1741">
        <v>0</v>
      </c>
      <c r="R1741" t="s">
        <v>47429</v>
      </c>
      <c r="S1741" t="s">
        <v>47542</v>
      </c>
      <c r="T1741" t="s">
        <v>49151</v>
      </c>
      <c r="U1741" t="s">
        <v>51202</v>
      </c>
      <c r="W1741" t="s">
        <v>43854</v>
      </c>
      <c r="X1741" t="s">
        <v>47426</v>
      </c>
    </row>
    <row r="1742" spans="1:24">
      <c r="A1742">
        <f>HYPERLINK("https://www.philgeps.gov.ph/GEPSNONPILOT/Tender/SplashBidNoticeAbstractUI.aspx?menuIndex=3&amp;refID=7166951&amp;Result=3","7166951")</f>
        <v>0</v>
      </c>
      <c r="B1742" t="s">
        <v>824</v>
      </c>
      <c r="C1742" t="s">
        <v>5574</v>
      </c>
      <c r="D1742" t="s">
        <v>19029</v>
      </c>
      <c r="E1742" t="s">
        <v>20692</v>
      </c>
      <c r="F1742" t="s">
        <v>32831</v>
      </c>
      <c r="G1742" t="s">
        <v>32839</v>
      </c>
      <c r="H1742" t="s">
        <v>32849</v>
      </c>
      <c r="I1742" t="s">
        <v>4177</v>
      </c>
      <c r="J1742" t="s">
        <v>34214</v>
      </c>
      <c r="K1742" t="s">
        <v>42747</v>
      </c>
      <c r="M1742" t="s">
        <v>43855</v>
      </c>
      <c r="N1742" t="s">
        <v>47424</v>
      </c>
      <c r="O1742" t="s">
        <v>47425</v>
      </c>
      <c r="P1742">
        <v>0</v>
      </c>
      <c r="Q1742">
        <v>0</v>
      </c>
      <c r="R1742" t="s">
        <v>47429</v>
      </c>
      <c r="S1742" t="s">
        <v>47542</v>
      </c>
      <c r="T1742" t="s">
        <v>49118</v>
      </c>
      <c r="U1742" t="s">
        <v>51203</v>
      </c>
      <c r="W1742" t="s">
        <v>43855</v>
      </c>
      <c r="X1742" t="s">
        <v>47426</v>
      </c>
    </row>
    <row r="1743" spans="1:24">
      <c r="A1743">
        <f>HYPERLINK("https://www.philgeps.gov.ph/GEPSNONPILOT/Tender/SplashBidNoticeAbstractUI.aspx?menuIndex=3&amp;refID=7166945&amp;Result=3","7166945")</f>
        <v>0</v>
      </c>
      <c r="B1743" t="s">
        <v>825</v>
      </c>
      <c r="C1743" t="s">
        <v>5575</v>
      </c>
      <c r="D1743" t="s">
        <v>19046</v>
      </c>
      <c r="E1743" t="s">
        <v>20693</v>
      </c>
      <c r="F1743" t="s">
        <v>32831</v>
      </c>
      <c r="G1743" t="s">
        <v>32838</v>
      </c>
      <c r="H1743" t="s">
        <v>32848</v>
      </c>
      <c r="I1743" t="s">
        <v>32862</v>
      </c>
      <c r="J1743" t="s">
        <v>34215</v>
      </c>
      <c r="K1743" t="s">
        <v>42730</v>
      </c>
      <c r="M1743" t="s">
        <v>43856</v>
      </c>
      <c r="N1743" t="s">
        <v>47424</v>
      </c>
      <c r="O1743" t="s">
        <v>47425</v>
      </c>
      <c r="P1743">
        <v>0</v>
      </c>
      <c r="Q1743">
        <v>0</v>
      </c>
      <c r="R1743" t="s">
        <v>47429</v>
      </c>
      <c r="S1743" t="s">
        <v>47542</v>
      </c>
      <c r="T1743" t="s">
        <v>49104</v>
      </c>
      <c r="U1743" t="s">
        <v>51204</v>
      </c>
      <c r="W1743" t="s">
        <v>43856</v>
      </c>
      <c r="X1743" t="s">
        <v>47426</v>
      </c>
    </row>
    <row r="1744" spans="1:24">
      <c r="A1744">
        <f>HYPERLINK("https://www.philgeps.gov.ph/GEPSNONPILOT/Tender/SplashBidNoticeAbstractUI.aspx?menuIndex=3&amp;refID=7166979&amp;Result=3","7166979")</f>
        <v>0</v>
      </c>
      <c r="B1744" t="s">
        <v>826</v>
      </c>
      <c r="C1744" t="s">
        <v>5576</v>
      </c>
      <c r="D1744" t="s">
        <v>19019</v>
      </c>
      <c r="E1744" t="s">
        <v>20694</v>
      </c>
      <c r="F1744" t="s">
        <v>32831</v>
      </c>
      <c r="G1744" t="s">
        <v>32839</v>
      </c>
      <c r="H1744" t="s">
        <v>32848</v>
      </c>
      <c r="I1744" t="s">
        <v>4558</v>
      </c>
      <c r="J1744" t="s">
        <v>32983</v>
      </c>
      <c r="K1744" t="s">
        <v>42758</v>
      </c>
      <c r="M1744" t="s">
        <v>43857</v>
      </c>
      <c r="N1744" t="s">
        <v>47424</v>
      </c>
      <c r="O1744" t="s">
        <v>47425</v>
      </c>
      <c r="P1744">
        <v>0</v>
      </c>
      <c r="Q1744">
        <v>0</v>
      </c>
      <c r="R1744" t="s">
        <v>47429</v>
      </c>
      <c r="S1744" t="s">
        <v>47542</v>
      </c>
      <c r="T1744" t="s">
        <v>49151</v>
      </c>
      <c r="U1744" t="s">
        <v>51205</v>
      </c>
      <c r="W1744" t="s">
        <v>43857</v>
      </c>
      <c r="X1744" t="s">
        <v>47426</v>
      </c>
    </row>
    <row r="1745" spans="1:24">
      <c r="A1745">
        <f>HYPERLINK("https://www.philgeps.gov.ph/GEPSNONPILOT/Tender/SplashBidNoticeAbstractUI.aspx?menuIndex=3&amp;refID=7166950&amp;Result=3","7166950")</f>
        <v>0</v>
      </c>
      <c r="B1745" t="s">
        <v>172</v>
      </c>
      <c r="C1745" t="s">
        <v>5577</v>
      </c>
      <c r="D1745" t="s">
        <v>19022</v>
      </c>
      <c r="E1745" t="s">
        <v>20695</v>
      </c>
      <c r="F1745" t="s">
        <v>32831</v>
      </c>
      <c r="G1745" t="s">
        <v>32842</v>
      </c>
      <c r="H1745" t="s">
        <v>32848</v>
      </c>
      <c r="I1745" t="s">
        <v>4776</v>
      </c>
      <c r="J1745" t="s">
        <v>34026</v>
      </c>
      <c r="K1745" t="s">
        <v>42726</v>
      </c>
      <c r="M1745" t="s">
        <v>43169</v>
      </c>
      <c r="N1745" t="s">
        <v>47424</v>
      </c>
      <c r="O1745" t="s">
        <v>47425</v>
      </c>
      <c r="P1745">
        <v>0</v>
      </c>
      <c r="Q1745">
        <v>0</v>
      </c>
      <c r="R1745" t="s">
        <v>47429</v>
      </c>
      <c r="S1745" t="s">
        <v>47542</v>
      </c>
      <c r="T1745" t="s">
        <v>49198</v>
      </c>
      <c r="U1745" t="s">
        <v>51206</v>
      </c>
      <c r="V1745" t="s">
        <v>62655</v>
      </c>
      <c r="W1745" t="s">
        <v>43169</v>
      </c>
      <c r="X1745" t="s">
        <v>47426</v>
      </c>
    </row>
    <row r="1746" spans="1:24">
      <c r="A1746">
        <f>HYPERLINK("https://www.philgeps.gov.ph/GEPSNONPILOT/Tender/SplashBidNoticeAbstractUI.aspx?menuIndex=3&amp;refID=7166976&amp;Result=3","7166976")</f>
        <v>0</v>
      </c>
      <c r="B1746" t="s">
        <v>827</v>
      </c>
      <c r="C1746" t="s">
        <v>5578</v>
      </c>
      <c r="D1746" t="s">
        <v>19026</v>
      </c>
      <c r="E1746" t="s">
        <v>20696</v>
      </c>
      <c r="F1746" t="s">
        <v>32831</v>
      </c>
      <c r="G1746" t="s">
        <v>32838</v>
      </c>
      <c r="H1746" t="s">
        <v>32848</v>
      </c>
      <c r="I1746" t="s">
        <v>4487</v>
      </c>
      <c r="J1746" t="s">
        <v>33261</v>
      </c>
      <c r="K1746" t="s">
        <v>42750</v>
      </c>
      <c r="M1746" t="s">
        <v>43858</v>
      </c>
      <c r="N1746" t="s">
        <v>47424</v>
      </c>
      <c r="O1746" t="s">
        <v>47425</v>
      </c>
      <c r="P1746">
        <v>0</v>
      </c>
      <c r="Q1746">
        <v>0</v>
      </c>
      <c r="R1746" t="s">
        <v>47429</v>
      </c>
      <c r="S1746" t="s">
        <v>47542</v>
      </c>
      <c r="T1746" t="s">
        <v>49198</v>
      </c>
      <c r="U1746" t="s">
        <v>51207</v>
      </c>
      <c r="W1746" t="s">
        <v>43858</v>
      </c>
      <c r="X1746" t="s">
        <v>47426</v>
      </c>
    </row>
    <row r="1747" spans="1:24">
      <c r="A1747">
        <f>HYPERLINK("https://www.philgeps.gov.ph/GEPSNONPILOT/Tender/SplashBidNoticeAbstractUI.aspx?menuIndex=3&amp;refID=7166981&amp;Result=3","7166981")</f>
        <v>0</v>
      </c>
      <c r="B1747" t="s">
        <v>795</v>
      </c>
      <c r="C1747" t="s">
        <v>5579</v>
      </c>
      <c r="D1747" t="s">
        <v>19045</v>
      </c>
      <c r="E1747" t="s">
        <v>20697</v>
      </c>
      <c r="F1747" t="s">
        <v>32831</v>
      </c>
      <c r="G1747" t="s">
        <v>32839</v>
      </c>
      <c r="H1747" t="s">
        <v>32849</v>
      </c>
      <c r="I1747" t="s">
        <v>4177</v>
      </c>
      <c r="J1747" t="s">
        <v>34216</v>
      </c>
      <c r="K1747" t="s">
        <v>42811</v>
      </c>
      <c r="M1747" t="s">
        <v>43825</v>
      </c>
      <c r="N1747" t="s">
        <v>47424</v>
      </c>
      <c r="O1747" t="s">
        <v>47425</v>
      </c>
      <c r="P1747">
        <v>0</v>
      </c>
      <c r="Q1747">
        <v>0</v>
      </c>
      <c r="R1747" t="s">
        <v>47429</v>
      </c>
      <c r="S1747" t="s">
        <v>47542</v>
      </c>
      <c r="T1747" t="s">
        <v>49057</v>
      </c>
      <c r="U1747" t="s">
        <v>51208</v>
      </c>
      <c r="W1747" t="s">
        <v>43825</v>
      </c>
      <c r="X1747" t="s">
        <v>47426</v>
      </c>
    </row>
    <row r="1748" spans="1:24">
      <c r="A1748">
        <f>HYPERLINK("https://www.philgeps.gov.ph/GEPSNONPILOT/Tender/SplashBidNoticeAbstractUI.aspx?menuIndex=3&amp;refID=7166975&amp;Result=3","7166975")</f>
        <v>0</v>
      </c>
      <c r="B1748" t="s">
        <v>228</v>
      </c>
      <c r="C1748" t="s">
        <v>5580</v>
      </c>
      <c r="D1748" t="s">
        <v>19074</v>
      </c>
      <c r="E1748" t="s">
        <v>20698</v>
      </c>
      <c r="F1748" t="s">
        <v>32831</v>
      </c>
      <c r="G1748" t="s">
        <v>32838</v>
      </c>
      <c r="H1748" t="s">
        <v>32848</v>
      </c>
      <c r="I1748" t="s">
        <v>32908</v>
      </c>
      <c r="J1748" t="s">
        <v>34217</v>
      </c>
      <c r="K1748" t="s">
        <v>42727</v>
      </c>
      <c r="M1748" t="s">
        <v>43859</v>
      </c>
      <c r="N1748" t="s">
        <v>47424</v>
      </c>
      <c r="O1748" t="s">
        <v>47425</v>
      </c>
      <c r="P1748">
        <v>0</v>
      </c>
      <c r="Q1748">
        <v>0</v>
      </c>
      <c r="R1748" t="s">
        <v>47429</v>
      </c>
      <c r="S1748" t="s">
        <v>47542</v>
      </c>
      <c r="T1748" t="s">
        <v>49119</v>
      </c>
      <c r="U1748" t="s">
        <v>51209</v>
      </c>
      <c r="W1748" t="s">
        <v>43859</v>
      </c>
      <c r="X1748" t="s">
        <v>47426</v>
      </c>
    </row>
    <row r="1749" spans="1:24">
      <c r="A1749">
        <f>HYPERLINK("https://www.philgeps.gov.ph/GEPSNONPILOT/Tender/SplashBidNoticeAbstractUI.aspx?menuIndex=3&amp;refID=7166972&amp;Result=3","7166972")</f>
        <v>0</v>
      </c>
      <c r="B1749" t="s">
        <v>828</v>
      </c>
      <c r="C1749" t="s">
        <v>5581</v>
      </c>
      <c r="D1749" t="s">
        <v>19024</v>
      </c>
      <c r="E1749" t="s">
        <v>19494</v>
      </c>
      <c r="F1749" t="s">
        <v>32831</v>
      </c>
      <c r="G1749" t="s">
        <v>32838</v>
      </c>
      <c r="H1749" t="s">
        <v>32848</v>
      </c>
      <c r="I1749" t="s">
        <v>7416</v>
      </c>
      <c r="J1749" t="s">
        <v>34218</v>
      </c>
      <c r="K1749" t="s">
        <v>42732</v>
      </c>
      <c r="M1749" t="s">
        <v>43860</v>
      </c>
      <c r="N1749" t="s">
        <v>47424</v>
      </c>
      <c r="O1749" t="s">
        <v>47425</v>
      </c>
      <c r="P1749">
        <v>0</v>
      </c>
      <c r="Q1749">
        <v>0</v>
      </c>
      <c r="R1749" t="s">
        <v>47429</v>
      </c>
      <c r="S1749" t="s">
        <v>47542</v>
      </c>
      <c r="T1749" t="s">
        <v>49089</v>
      </c>
      <c r="U1749" t="s">
        <v>51210</v>
      </c>
      <c r="W1749" t="s">
        <v>43860</v>
      </c>
      <c r="X1749" t="s">
        <v>47426</v>
      </c>
    </row>
    <row r="1750" spans="1:24">
      <c r="A1750">
        <f>HYPERLINK("https://www.philgeps.gov.ph/GEPSNONPILOT/Tender/SplashBidNoticeAbstractUI.aspx?menuIndex=3&amp;refID=7166978&amp;Result=3","7166978")</f>
        <v>0</v>
      </c>
      <c r="B1750" t="s">
        <v>829</v>
      </c>
      <c r="C1750" t="s">
        <v>5582</v>
      </c>
      <c r="D1750" t="s">
        <v>19045</v>
      </c>
      <c r="E1750" t="s">
        <v>20699</v>
      </c>
      <c r="F1750" t="s">
        <v>32831</v>
      </c>
      <c r="G1750" t="s">
        <v>32838</v>
      </c>
      <c r="H1750" t="s">
        <v>32848</v>
      </c>
      <c r="I1750" t="s">
        <v>9577</v>
      </c>
      <c r="J1750" t="s">
        <v>34219</v>
      </c>
      <c r="K1750" t="s">
        <v>42758</v>
      </c>
      <c r="M1750" t="s">
        <v>43861</v>
      </c>
      <c r="N1750" t="s">
        <v>47424</v>
      </c>
      <c r="O1750" t="s">
        <v>47425</v>
      </c>
      <c r="P1750">
        <v>0</v>
      </c>
      <c r="Q1750">
        <v>0</v>
      </c>
      <c r="R1750" t="s">
        <v>47429</v>
      </c>
      <c r="S1750" t="s">
        <v>47542</v>
      </c>
      <c r="T1750" t="s">
        <v>49104</v>
      </c>
      <c r="U1750" t="s">
        <v>51211</v>
      </c>
      <c r="W1750" t="s">
        <v>43861</v>
      </c>
      <c r="X1750" t="s">
        <v>47426</v>
      </c>
    </row>
    <row r="1751" spans="1:24">
      <c r="A1751">
        <f>HYPERLINK("https://www.philgeps.gov.ph/GEPSNONPILOT/Tender/SplashBidNoticeAbstractUI.aspx?menuIndex=3&amp;refID=7166971&amp;Result=3","7166971")</f>
        <v>0</v>
      </c>
      <c r="B1751" t="s">
        <v>830</v>
      </c>
      <c r="C1751" t="s">
        <v>5583</v>
      </c>
      <c r="D1751" t="s">
        <v>19017</v>
      </c>
      <c r="E1751" t="s">
        <v>20700</v>
      </c>
      <c r="F1751" t="s">
        <v>32831</v>
      </c>
      <c r="G1751" t="s">
        <v>32838</v>
      </c>
      <c r="H1751" t="s">
        <v>32848</v>
      </c>
      <c r="I1751" t="s">
        <v>9577</v>
      </c>
      <c r="J1751" t="s">
        <v>34061</v>
      </c>
      <c r="K1751" t="s">
        <v>42730</v>
      </c>
      <c r="M1751" t="s">
        <v>43862</v>
      </c>
      <c r="N1751" t="s">
        <v>47424</v>
      </c>
      <c r="O1751" t="s">
        <v>47425</v>
      </c>
      <c r="P1751">
        <v>0</v>
      </c>
      <c r="Q1751">
        <v>0</v>
      </c>
      <c r="R1751" t="s">
        <v>47429</v>
      </c>
      <c r="S1751" t="s">
        <v>47542</v>
      </c>
      <c r="T1751" t="s">
        <v>49089</v>
      </c>
      <c r="U1751" t="s">
        <v>51212</v>
      </c>
      <c r="V1751" t="s">
        <v>62821</v>
      </c>
      <c r="W1751" t="s">
        <v>43862</v>
      </c>
      <c r="X1751" t="s">
        <v>47426</v>
      </c>
    </row>
    <row r="1752" spans="1:24">
      <c r="A1752">
        <f>HYPERLINK("https://www.philgeps.gov.ph/GEPSNONPILOT/Tender/SplashBidNoticeAbstractUI.aspx?menuIndex=3&amp;refID=7166968&amp;Result=3","7166968")</f>
        <v>0</v>
      </c>
      <c r="B1752" t="s">
        <v>825</v>
      </c>
      <c r="C1752" t="s">
        <v>5584</v>
      </c>
      <c r="D1752" t="s">
        <v>19046</v>
      </c>
      <c r="E1752" t="s">
        <v>20701</v>
      </c>
      <c r="F1752" t="s">
        <v>32831</v>
      </c>
      <c r="G1752" t="s">
        <v>32838</v>
      </c>
      <c r="H1752" t="s">
        <v>32848</v>
      </c>
      <c r="I1752" t="s">
        <v>6526</v>
      </c>
      <c r="J1752" t="s">
        <v>33595</v>
      </c>
      <c r="K1752" t="s">
        <v>42759</v>
      </c>
      <c r="M1752" t="s">
        <v>43856</v>
      </c>
      <c r="N1752" t="s">
        <v>47424</v>
      </c>
      <c r="O1752" t="s">
        <v>47425</v>
      </c>
      <c r="P1752">
        <v>0</v>
      </c>
      <c r="Q1752">
        <v>0</v>
      </c>
      <c r="R1752" t="s">
        <v>47429</v>
      </c>
      <c r="S1752" t="s">
        <v>47542</v>
      </c>
      <c r="T1752" t="s">
        <v>49104</v>
      </c>
      <c r="U1752" t="s">
        <v>51213</v>
      </c>
      <c r="W1752" t="s">
        <v>43856</v>
      </c>
      <c r="X1752" t="s">
        <v>47426</v>
      </c>
    </row>
    <row r="1753" spans="1:24">
      <c r="A1753">
        <f>HYPERLINK("https://www.philgeps.gov.ph/GEPSNONPILOT/Tender/SplashBidNoticeAbstractUI.aspx?menuIndex=3&amp;refID=7166977&amp;Result=3","7166977")</f>
        <v>0</v>
      </c>
      <c r="B1753" t="s">
        <v>831</v>
      </c>
      <c r="C1753" t="s">
        <v>5585</v>
      </c>
      <c r="E1753" t="s">
        <v>19130</v>
      </c>
      <c r="F1753" t="s">
        <v>32831</v>
      </c>
      <c r="G1753" t="s">
        <v>32839</v>
      </c>
      <c r="H1753" t="s">
        <v>32848</v>
      </c>
      <c r="I1753" t="s">
        <v>32932</v>
      </c>
      <c r="J1753" t="s">
        <v>33954</v>
      </c>
      <c r="K1753" t="s">
        <v>42732</v>
      </c>
      <c r="M1753" t="s">
        <v>43863</v>
      </c>
      <c r="N1753" t="s">
        <v>47424</v>
      </c>
      <c r="O1753" t="s">
        <v>47425</v>
      </c>
      <c r="P1753">
        <v>0</v>
      </c>
      <c r="Q1753">
        <v>0</v>
      </c>
      <c r="R1753" t="s">
        <v>47429</v>
      </c>
      <c r="S1753" t="s">
        <v>47542</v>
      </c>
      <c r="T1753" t="s">
        <v>49281</v>
      </c>
      <c r="U1753" t="s">
        <v>51214</v>
      </c>
      <c r="W1753" t="s">
        <v>43863</v>
      </c>
      <c r="X1753" t="s">
        <v>47426</v>
      </c>
    </row>
    <row r="1754" spans="1:24">
      <c r="A1754">
        <f>HYPERLINK("https://www.philgeps.gov.ph/GEPSNONPILOT/Tender/SplashBidNoticeAbstractUI.aspx?menuIndex=3&amp;refID=7166966&amp;Result=3","7166966")</f>
        <v>0</v>
      </c>
      <c r="B1754" t="s">
        <v>832</v>
      </c>
      <c r="C1754" t="s">
        <v>5586</v>
      </c>
      <c r="D1754" t="s">
        <v>19017</v>
      </c>
      <c r="E1754" t="s">
        <v>20702</v>
      </c>
      <c r="F1754" t="s">
        <v>32831</v>
      </c>
      <c r="G1754" t="s">
        <v>32842</v>
      </c>
      <c r="H1754" t="s">
        <v>32848</v>
      </c>
      <c r="I1754" t="s">
        <v>32862</v>
      </c>
      <c r="J1754" t="s">
        <v>33588</v>
      </c>
      <c r="K1754" t="s">
        <v>42727</v>
      </c>
      <c r="M1754" t="s">
        <v>43864</v>
      </c>
      <c r="N1754" t="s">
        <v>47424</v>
      </c>
      <c r="O1754" t="s">
        <v>47425</v>
      </c>
      <c r="P1754">
        <v>0</v>
      </c>
      <c r="Q1754">
        <v>0</v>
      </c>
      <c r="R1754" t="s">
        <v>47429</v>
      </c>
      <c r="S1754" t="s">
        <v>47542</v>
      </c>
      <c r="T1754" t="s">
        <v>49123</v>
      </c>
      <c r="U1754" t="s">
        <v>51215</v>
      </c>
      <c r="V1754" t="s">
        <v>62822</v>
      </c>
      <c r="W1754" t="s">
        <v>43864</v>
      </c>
      <c r="X1754" t="s">
        <v>47426</v>
      </c>
    </row>
    <row r="1755" spans="1:24">
      <c r="A1755">
        <f>HYPERLINK("https://www.philgeps.gov.ph/GEPSNONPILOT/Tender/SplashBidNoticeAbstractUI.aspx?menuIndex=3&amp;refID=7166969&amp;Result=3","7166969")</f>
        <v>0</v>
      </c>
      <c r="B1755" t="s">
        <v>803</v>
      </c>
      <c r="C1755" t="s">
        <v>5587</v>
      </c>
      <c r="D1755" t="s">
        <v>19090</v>
      </c>
      <c r="E1755" t="s">
        <v>20703</v>
      </c>
      <c r="F1755" t="s">
        <v>32831</v>
      </c>
      <c r="G1755" t="s">
        <v>32838</v>
      </c>
      <c r="H1755" t="s">
        <v>32849</v>
      </c>
      <c r="I1755" t="s">
        <v>4177</v>
      </c>
      <c r="J1755" t="s">
        <v>34220</v>
      </c>
      <c r="K1755" t="s">
        <v>42742</v>
      </c>
      <c r="M1755" t="s">
        <v>43834</v>
      </c>
      <c r="N1755" t="s">
        <v>47424</v>
      </c>
      <c r="O1755" t="s">
        <v>47425</v>
      </c>
      <c r="P1755">
        <v>0</v>
      </c>
      <c r="Q1755">
        <v>0</v>
      </c>
      <c r="R1755" t="s">
        <v>47429</v>
      </c>
      <c r="S1755" t="s">
        <v>47542</v>
      </c>
      <c r="T1755" t="s">
        <v>49091</v>
      </c>
      <c r="U1755" t="s">
        <v>51216</v>
      </c>
      <c r="W1755" t="s">
        <v>43834</v>
      </c>
      <c r="X1755" t="s">
        <v>47426</v>
      </c>
    </row>
    <row r="1756" spans="1:24">
      <c r="A1756">
        <f>HYPERLINK("https://www.philgeps.gov.ph/GEPSNONPILOT/Tender/SplashBidNoticeAbstractUI.aspx?menuIndex=3&amp;refID=7166974&amp;Result=3","7166974")</f>
        <v>0</v>
      </c>
      <c r="B1756" t="s">
        <v>833</v>
      </c>
      <c r="C1756" t="s">
        <v>5588</v>
      </c>
      <c r="D1756" t="s">
        <v>19045</v>
      </c>
      <c r="E1756" t="s">
        <v>20704</v>
      </c>
      <c r="F1756" t="s">
        <v>32831</v>
      </c>
      <c r="G1756" t="s">
        <v>32838</v>
      </c>
      <c r="H1756" t="s">
        <v>32849</v>
      </c>
      <c r="I1756" t="s">
        <v>4177</v>
      </c>
      <c r="J1756" t="s">
        <v>32980</v>
      </c>
      <c r="K1756" t="s">
        <v>42731</v>
      </c>
      <c r="M1756" t="s">
        <v>43865</v>
      </c>
      <c r="N1756" t="s">
        <v>47424</v>
      </c>
      <c r="O1756" t="s">
        <v>47425</v>
      </c>
      <c r="P1756">
        <v>0</v>
      </c>
      <c r="Q1756">
        <v>0</v>
      </c>
      <c r="R1756" t="s">
        <v>47429</v>
      </c>
      <c r="S1756" t="s">
        <v>47542</v>
      </c>
      <c r="T1756" t="s">
        <v>49123</v>
      </c>
      <c r="U1756" t="s">
        <v>51217</v>
      </c>
      <c r="W1756" t="s">
        <v>43865</v>
      </c>
      <c r="X1756" t="s">
        <v>47426</v>
      </c>
    </row>
    <row r="1757" spans="1:24">
      <c r="A1757">
        <f>HYPERLINK("https://www.philgeps.gov.ph/GEPSNONPILOT/Tender/SplashBidNoticeAbstractUI.aspx?menuIndex=3&amp;refID=7166967&amp;Result=3","7166967")</f>
        <v>0</v>
      </c>
      <c r="B1757" t="s">
        <v>834</v>
      </c>
      <c r="C1757" t="s">
        <v>5589</v>
      </c>
      <c r="D1757" t="s">
        <v>19046</v>
      </c>
      <c r="E1757" t="s">
        <v>20705</v>
      </c>
      <c r="F1757" t="s">
        <v>32831</v>
      </c>
      <c r="G1757" t="s">
        <v>32839</v>
      </c>
      <c r="H1757" t="s">
        <v>32849</v>
      </c>
      <c r="I1757" t="s">
        <v>4177</v>
      </c>
      <c r="J1757" t="s">
        <v>34221</v>
      </c>
      <c r="K1757" t="s">
        <v>42732</v>
      </c>
      <c r="M1757" t="s">
        <v>43866</v>
      </c>
      <c r="N1757" t="s">
        <v>47424</v>
      </c>
      <c r="O1757" t="s">
        <v>47425</v>
      </c>
      <c r="P1757">
        <v>0</v>
      </c>
      <c r="Q1757">
        <v>0</v>
      </c>
      <c r="R1757" t="s">
        <v>47429</v>
      </c>
      <c r="S1757" t="s">
        <v>47542</v>
      </c>
      <c r="T1757" t="s">
        <v>49078</v>
      </c>
      <c r="U1757" t="s">
        <v>51218</v>
      </c>
      <c r="W1757" t="s">
        <v>43866</v>
      </c>
      <c r="X1757" t="s">
        <v>47426</v>
      </c>
    </row>
    <row r="1758" spans="1:24">
      <c r="A1758">
        <f>HYPERLINK("https://www.philgeps.gov.ph/GEPSNONPILOT/Tender/SplashBidNoticeAbstractUI.aspx?menuIndex=3&amp;refID=7166963&amp;Result=3","7166963")</f>
        <v>0</v>
      </c>
      <c r="B1758" t="s">
        <v>786</v>
      </c>
      <c r="C1758" t="s">
        <v>5590</v>
      </c>
      <c r="D1758" t="s">
        <v>19056</v>
      </c>
      <c r="E1758" t="s">
        <v>20706</v>
      </c>
      <c r="F1758" t="s">
        <v>32831</v>
      </c>
      <c r="G1758" t="s">
        <v>32839</v>
      </c>
      <c r="H1758" t="s">
        <v>32849</v>
      </c>
      <c r="I1758" t="s">
        <v>4177</v>
      </c>
      <c r="J1758" t="s">
        <v>33118</v>
      </c>
      <c r="K1758" t="s">
        <v>42755</v>
      </c>
      <c r="M1758" t="s">
        <v>43815</v>
      </c>
      <c r="N1758" t="s">
        <v>47424</v>
      </c>
      <c r="O1758" t="s">
        <v>47425</v>
      </c>
      <c r="P1758">
        <v>0</v>
      </c>
      <c r="Q1758">
        <v>0</v>
      </c>
      <c r="R1758" t="s">
        <v>47429</v>
      </c>
      <c r="S1758" t="s">
        <v>47542</v>
      </c>
      <c r="T1758" t="s">
        <v>49280</v>
      </c>
      <c r="U1758" t="s">
        <v>51219</v>
      </c>
      <c r="W1758" t="s">
        <v>43815</v>
      </c>
      <c r="X1758" t="s">
        <v>47426</v>
      </c>
    </row>
    <row r="1759" spans="1:24">
      <c r="A1759">
        <f>HYPERLINK("https://www.philgeps.gov.ph/GEPSNONPILOT/Tender/SplashBidNoticeAbstractUI.aspx?menuIndex=3&amp;refID=7166980&amp;Result=3","7166980")</f>
        <v>0</v>
      </c>
      <c r="B1759" t="s">
        <v>835</v>
      </c>
      <c r="C1759" t="s">
        <v>5591</v>
      </c>
      <c r="D1759" t="s">
        <v>19034</v>
      </c>
      <c r="E1759" t="s">
        <v>20707</v>
      </c>
      <c r="F1759" t="s">
        <v>32831</v>
      </c>
      <c r="G1759" t="s">
        <v>32839</v>
      </c>
      <c r="H1759" t="s">
        <v>32849</v>
      </c>
      <c r="I1759" t="s">
        <v>4177</v>
      </c>
      <c r="J1759" t="s">
        <v>33428</v>
      </c>
      <c r="K1759" t="s">
        <v>42747</v>
      </c>
      <c r="M1759" t="s">
        <v>43867</v>
      </c>
      <c r="N1759" t="s">
        <v>47424</v>
      </c>
      <c r="O1759" t="s">
        <v>47425</v>
      </c>
      <c r="P1759">
        <v>0</v>
      </c>
      <c r="Q1759">
        <v>0</v>
      </c>
      <c r="R1759" t="s">
        <v>47429</v>
      </c>
      <c r="S1759" t="s">
        <v>47542</v>
      </c>
      <c r="T1759" t="s">
        <v>49118</v>
      </c>
      <c r="U1759" t="s">
        <v>51220</v>
      </c>
      <c r="W1759" t="s">
        <v>43867</v>
      </c>
      <c r="X1759" t="s">
        <v>47426</v>
      </c>
    </row>
    <row r="1760" spans="1:24">
      <c r="A1760">
        <f>HYPERLINK("https://www.philgeps.gov.ph/GEPSNONPILOT/Tender/SplashBidNoticeAbstractUI.aspx?menuIndex=3&amp;refID=7166965&amp;Result=3","7166965")</f>
        <v>0</v>
      </c>
      <c r="B1760" t="s">
        <v>836</v>
      </c>
      <c r="C1760" t="s">
        <v>5592</v>
      </c>
      <c r="D1760" t="s">
        <v>19027</v>
      </c>
      <c r="E1760" t="s">
        <v>20708</v>
      </c>
      <c r="F1760" t="s">
        <v>32831</v>
      </c>
      <c r="G1760" t="s">
        <v>32839</v>
      </c>
      <c r="H1760" t="s">
        <v>32848</v>
      </c>
      <c r="I1760" t="s">
        <v>32855</v>
      </c>
      <c r="J1760" t="s">
        <v>34222</v>
      </c>
      <c r="K1760" t="s">
        <v>42727</v>
      </c>
      <c r="M1760" t="s">
        <v>43868</v>
      </c>
      <c r="N1760" t="s">
        <v>47424</v>
      </c>
      <c r="O1760" t="s">
        <v>47425</v>
      </c>
      <c r="P1760">
        <v>0</v>
      </c>
      <c r="Q1760">
        <v>0</v>
      </c>
      <c r="R1760" t="s">
        <v>47429</v>
      </c>
      <c r="S1760" t="s">
        <v>47542</v>
      </c>
      <c r="T1760" t="s">
        <v>49282</v>
      </c>
      <c r="U1760" t="s">
        <v>51221</v>
      </c>
      <c r="W1760" t="s">
        <v>43868</v>
      </c>
      <c r="X1760" t="s">
        <v>47426</v>
      </c>
    </row>
    <row r="1761" spans="1:24">
      <c r="A1761">
        <f>HYPERLINK("https://www.philgeps.gov.ph/GEPSNONPILOT/Tender/SplashBidNoticeAbstractUI.aspx?menuIndex=3&amp;refID=7166943&amp;Result=3","7166943")</f>
        <v>0</v>
      </c>
      <c r="B1761" t="s">
        <v>837</v>
      </c>
      <c r="C1761" t="s">
        <v>5593</v>
      </c>
      <c r="D1761" t="s">
        <v>19037</v>
      </c>
      <c r="E1761" t="s">
        <v>20709</v>
      </c>
      <c r="F1761" t="s">
        <v>32831</v>
      </c>
      <c r="G1761" t="s">
        <v>32841</v>
      </c>
      <c r="H1761" t="s">
        <v>32848</v>
      </c>
      <c r="I1761" t="s">
        <v>7751</v>
      </c>
      <c r="J1761" t="s">
        <v>34223</v>
      </c>
      <c r="K1761" t="s">
        <v>42747</v>
      </c>
      <c r="M1761" t="s">
        <v>43869</v>
      </c>
      <c r="N1761" t="s">
        <v>47424</v>
      </c>
      <c r="O1761" t="s">
        <v>47425</v>
      </c>
      <c r="P1761">
        <v>0</v>
      </c>
      <c r="Q1761">
        <v>1</v>
      </c>
      <c r="R1761" t="s">
        <v>47429</v>
      </c>
      <c r="S1761" t="s">
        <v>47542</v>
      </c>
      <c r="T1761" t="s">
        <v>49283</v>
      </c>
      <c r="U1761" t="s">
        <v>51222</v>
      </c>
      <c r="W1761" t="s">
        <v>43869</v>
      </c>
      <c r="X1761" t="s">
        <v>47426</v>
      </c>
    </row>
    <row r="1762" spans="1:24">
      <c r="A1762">
        <f>HYPERLINK("https://www.philgeps.gov.ph/GEPSNONPILOT/Tender/SplashBidNoticeAbstractUI.aspx?menuIndex=3&amp;refID=7166964&amp;Result=3","7166964")</f>
        <v>0</v>
      </c>
      <c r="B1762" t="s">
        <v>838</v>
      </c>
      <c r="C1762" t="s">
        <v>5594</v>
      </c>
      <c r="D1762" t="s">
        <v>19042</v>
      </c>
      <c r="E1762" t="s">
        <v>20710</v>
      </c>
      <c r="F1762" t="s">
        <v>32831</v>
      </c>
      <c r="G1762" t="s">
        <v>32840</v>
      </c>
      <c r="H1762" t="s">
        <v>32848</v>
      </c>
      <c r="I1762" t="s">
        <v>32901</v>
      </c>
      <c r="J1762" t="s">
        <v>34224</v>
      </c>
      <c r="K1762" t="s">
        <v>42730</v>
      </c>
      <c r="M1762" t="s">
        <v>43870</v>
      </c>
      <c r="N1762" t="s">
        <v>47424</v>
      </c>
      <c r="O1762" t="s">
        <v>47425</v>
      </c>
      <c r="P1762">
        <v>0</v>
      </c>
      <c r="Q1762">
        <v>0</v>
      </c>
      <c r="R1762" t="s">
        <v>47429</v>
      </c>
      <c r="S1762" t="s">
        <v>47542</v>
      </c>
      <c r="T1762" t="s">
        <v>49066</v>
      </c>
      <c r="U1762" t="s">
        <v>51223</v>
      </c>
      <c r="W1762" t="s">
        <v>43870</v>
      </c>
      <c r="X1762" t="s">
        <v>47426</v>
      </c>
    </row>
    <row r="1763" spans="1:24">
      <c r="A1763">
        <f>HYPERLINK("https://www.philgeps.gov.ph/GEPSNONPILOT/Tender/SplashBidNoticeAbstractUI.aspx?menuIndex=3&amp;refID=7166941&amp;Result=3","7166941")</f>
        <v>0</v>
      </c>
      <c r="B1763" t="s">
        <v>804</v>
      </c>
      <c r="C1763" t="s">
        <v>5595</v>
      </c>
      <c r="D1763" t="s">
        <v>19020</v>
      </c>
      <c r="E1763" t="s">
        <v>20711</v>
      </c>
      <c r="F1763" t="s">
        <v>32831</v>
      </c>
      <c r="G1763" t="s">
        <v>32840</v>
      </c>
      <c r="H1763" t="s">
        <v>32848</v>
      </c>
      <c r="I1763" t="s">
        <v>4776</v>
      </c>
      <c r="J1763" t="s">
        <v>32980</v>
      </c>
      <c r="K1763" t="s">
        <v>42731</v>
      </c>
      <c r="M1763" t="s">
        <v>43835</v>
      </c>
      <c r="N1763" t="s">
        <v>47424</v>
      </c>
      <c r="O1763" t="s">
        <v>47425</v>
      </c>
      <c r="P1763">
        <v>0</v>
      </c>
      <c r="Q1763">
        <v>0</v>
      </c>
      <c r="R1763" t="s">
        <v>47429</v>
      </c>
      <c r="S1763" t="s">
        <v>47542</v>
      </c>
      <c r="T1763" t="s">
        <v>49159</v>
      </c>
      <c r="U1763" t="s">
        <v>51168</v>
      </c>
      <c r="W1763" t="s">
        <v>43835</v>
      </c>
      <c r="X1763" t="s">
        <v>47426</v>
      </c>
    </row>
    <row r="1764" spans="1:24">
      <c r="A1764">
        <f>HYPERLINK("https://www.philgeps.gov.ph/GEPSNONPILOT/Tender/SplashBidNoticeAbstractUI.aspx?menuIndex=3&amp;refID=7166939&amp;Result=3","7166939")</f>
        <v>0</v>
      </c>
      <c r="B1764" t="s">
        <v>352</v>
      </c>
      <c r="C1764" t="s">
        <v>5596</v>
      </c>
      <c r="D1764" t="s">
        <v>19101</v>
      </c>
      <c r="E1764" t="s">
        <v>20712</v>
      </c>
      <c r="F1764" t="s">
        <v>32831</v>
      </c>
      <c r="G1764" t="s">
        <v>32839</v>
      </c>
      <c r="H1764" t="s">
        <v>32848</v>
      </c>
      <c r="I1764" t="s">
        <v>32933</v>
      </c>
      <c r="J1764" t="s">
        <v>34225</v>
      </c>
      <c r="K1764" t="s">
        <v>42747</v>
      </c>
      <c r="M1764" t="s">
        <v>43871</v>
      </c>
      <c r="N1764" t="s">
        <v>47424</v>
      </c>
      <c r="O1764" t="s">
        <v>47425</v>
      </c>
      <c r="P1764">
        <v>0</v>
      </c>
      <c r="Q1764">
        <v>0</v>
      </c>
      <c r="R1764" t="s">
        <v>47429</v>
      </c>
      <c r="S1764" t="s">
        <v>47542</v>
      </c>
      <c r="T1764" t="s">
        <v>49284</v>
      </c>
      <c r="U1764" t="s">
        <v>51224</v>
      </c>
      <c r="W1764" t="s">
        <v>43871</v>
      </c>
      <c r="X1764" t="s">
        <v>47426</v>
      </c>
    </row>
    <row r="1765" spans="1:24">
      <c r="A1765">
        <f>HYPERLINK("https://www.philgeps.gov.ph/GEPSNONPILOT/Tender/SplashBidNoticeAbstractUI.aspx?menuIndex=3&amp;refID=7166935&amp;Result=3","7166935")</f>
        <v>0</v>
      </c>
      <c r="B1765" t="s">
        <v>711</v>
      </c>
      <c r="C1765" t="s">
        <v>5597</v>
      </c>
      <c r="D1765" t="s">
        <v>19060</v>
      </c>
      <c r="E1765" t="s">
        <v>20713</v>
      </c>
      <c r="F1765" t="s">
        <v>32831</v>
      </c>
      <c r="G1765" t="s">
        <v>32839</v>
      </c>
      <c r="H1765" t="s">
        <v>32848</v>
      </c>
      <c r="I1765" t="s">
        <v>4487</v>
      </c>
      <c r="J1765" t="s">
        <v>33044</v>
      </c>
      <c r="K1765" t="s">
        <v>42730</v>
      </c>
      <c r="M1765" t="s">
        <v>43731</v>
      </c>
      <c r="N1765" t="s">
        <v>47424</v>
      </c>
      <c r="O1765" t="s">
        <v>47425</v>
      </c>
      <c r="P1765">
        <v>0</v>
      </c>
      <c r="Q1765">
        <v>0</v>
      </c>
      <c r="R1765" t="s">
        <v>47429</v>
      </c>
      <c r="S1765" t="s">
        <v>47542</v>
      </c>
      <c r="T1765" t="s">
        <v>49063</v>
      </c>
      <c r="U1765" t="s">
        <v>51225</v>
      </c>
      <c r="W1765" t="s">
        <v>43731</v>
      </c>
      <c r="X1765" t="s">
        <v>47426</v>
      </c>
    </row>
    <row r="1766" spans="1:24">
      <c r="A1766">
        <f>HYPERLINK("https://www.philgeps.gov.ph/GEPSNONPILOT/Tender/SplashBidNoticeAbstractUI.aspx?menuIndex=3&amp;refID=7166942&amp;Result=3","7166942")</f>
        <v>0</v>
      </c>
      <c r="B1766" t="s">
        <v>781</v>
      </c>
      <c r="C1766" t="s">
        <v>5598</v>
      </c>
      <c r="D1766" t="s">
        <v>19040</v>
      </c>
      <c r="E1766" t="s">
        <v>20714</v>
      </c>
      <c r="F1766" t="s">
        <v>32831</v>
      </c>
      <c r="G1766" t="s">
        <v>32840</v>
      </c>
      <c r="H1766" t="s">
        <v>32848</v>
      </c>
      <c r="I1766" t="s">
        <v>6526</v>
      </c>
      <c r="J1766" t="s">
        <v>34106</v>
      </c>
      <c r="K1766" t="s">
        <v>42731</v>
      </c>
      <c r="M1766" t="s">
        <v>43810</v>
      </c>
      <c r="N1766" t="s">
        <v>47424</v>
      </c>
      <c r="O1766" t="s">
        <v>47425</v>
      </c>
      <c r="P1766">
        <v>0</v>
      </c>
      <c r="Q1766">
        <v>0</v>
      </c>
      <c r="R1766" t="s">
        <v>47429</v>
      </c>
      <c r="S1766" t="s">
        <v>47542</v>
      </c>
      <c r="T1766" t="s">
        <v>49123</v>
      </c>
      <c r="U1766" t="s">
        <v>51226</v>
      </c>
      <c r="W1766" t="s">
        <v>43810</v>
      </c>
      <c r="X1766" t="s">
        <v>47426</v>
      </c>
    </row>
    <row r="1767" spans="1:24">
      <c r="A1767">
        <f>HYPERLINK("https://www.philgeps.gov.ph/GEPSNONPILOT/Tender/SplashBidNoticeAbstractUI.aspx?menuIndex=3&amp;refID=7166961&amp;Result=3","7166961")</f>
        <v>0</v>
      </c>
      <c r="B1767" t="s">
        <v>213</v>
      </c>
      <c r="C1767" t="s">
        <v>5599</v>
      </c>
      <c r="D1767" t="s">
        <v>19065</v>
      </c>
      <c r="E1767" t="s">
        <v>20715</v>
      </c>
      <c r="F1767" t="s">
        <v>32831</v>
      </c>
      <c r="G1767" t="s">
        <v>32838</v>
      </c>
      <c r="H1767" t="s">
        <v>32848</v>
      </c>
      <c r="I1767" t="s">
        <v>4558</v>
      </c>
      <c r="J1767" t="s">
        <v>34226</v>
      </c>
      <c r="K1767" t="s">
        <v>42732</v>
      </c>
      <c r="M1767" t="s">
        <v>43832</v>
      </c>
      <c r="N1767" t="s">
        <v>47424</v>
      </c>
      <c r="O1767" t="s">
        <v>47425</v>
      </c>
      <c r="P1767">
        <v>0</v>
      </c>
      <c r="Q1767">
        <v>0</v>
      </c>
      <c r="R1767" t="s">
        <v>47429</v>
      </c>
      <c r="S1767" t="s">
        <v>47542</v>
      </c>
      <c r="T1767" t="s">
        <v>49089</v>
      </c>
      <c r="U1767" t="s">
        <v>51227</v>
      </c>
      <c r="V1767" t="s">
        <v>62662</v>
      </c>
      <c r="W1767" t="s">
        <v>43832</v>
      </c>
      <c r="X1767" t="s">
        <v>47426</v>
      </c>
    </row>
    <row r="1768" spans="1:24">
      <c r="A1768">
        <f>HYPERLINK("https://www.philgeps.gov.ph/GEPSNONPILOT/Tender/SplashBidNoticeAbstractUI.aspx?menuIndex=3&amp;refID=7166938&amp;Result=3","7166938")</f>
        <v>0</v>
      </c>
      <c r="B1768" t="s">
        <v>766</v>
      </c>
      <c r="C1768" t="s">
        <v>5600</v>
      </c>
      <c r="E1768" t="s">
        <v>20716</v>
      </c>
      <c r="F1768" t="s">
        <v>32833</v>
      </c>
      <c r="G1768" t="s">
        <v>32838</v>
      </c>
      <c r="H1768" t="s">
        <v>32848</v>
      </c>
      <c r="I1768" t="s">
        <v>32919</v>
      </c>
      <c r="J1768" t="s">
        <v>34227</v>
      </c>
      <c r="K1768" t="s">
        <v>42763</v>
      </c>
      <c r="M1768" t="s">
        <v>43794</v>
      </c>
      <c r="N1768" t="s">
        <v>47424</v>
      </c>
      <c r="O1768" t="s">
        <v>47425</v>
      </c>
      <c r="P1768">
        <v>0</v>
      </c>
      <c r="Q1768">
        <v>0</v>
      </c>
      <c r="R1768" t="s">
        <v>47429</v>
      </c>
      <c r="S1768" t="s">
        <v>47542</v>
      </c>
      <c r="T1768" t="s">
        <v>49151</v>
      </c>
      <c r="U1768" t="s">
        <v>51089</v>
      </c>
      <c r="W1768" t="s">
        <v>43794</v>
      </c>
      <c r="X1768" t="s">
        <v>47426</v>
      </c>
    </row>
    <row r="1769" spans="1:24">
      <c r="A1769">
        <f>HYPERLINK("https://www.philgeps.gov.ph/GEPSNONPILOT/Tender/SplashBidNoticeAbstractUI.aspx?menuIndex=3&amp;refID=7166912&amp;Result=3","7166912")</f>
        <v>0</v>
      </c>
      <c r="B1769" t="s">
        <v>754</v>
      </c>
      <c r="C1769" t="s">
        <v>5601</v>
      </c>
      <c r="D1769" t="s">
        <v>19057</v>
      </c>
      <c r="E1769" t="s">
        <v>20717</v>
      </c>
      <c r="F1769" t="s">
        <v>32831</v>
      </c>
      <c r="G1769" t="s">
        <v>32839</v>
      </c>
      <c r="H1769" t="s">
        <v>32848</v>
      </c>
      <c r="I1769" t="s">
        <v>8577</v>
      </c>
      <c r="J1769" t="s">
        <v>34228</v>
      </c>
      <c r="K1769" t="s">
        <v>42731</v>
      </c>
      <c r="M1769" t="s">
        <v>43778</v>
      </c>
      <c r="N1769" t="s">
        <v>47424</v>
      </c>
      <c r="O1769" t="s">
        <v>47425</v>
      </c>
      <c r="P1769">
        <v>0</v>
      </c>
      <c r="Q1769">
        <v>0</v>
      </c>
      <c r="R1769" t="s">
        <v>47429</v>
      </c>
      <c r="S1769" t="s">
        <v>47542</v>
      </c>
      <c r="T1769" t="s">
        <v>49169</v>
      </c>
      <c r="U1769" t="s">
        <v>51228</v>
      </c>
      <c r="W1769" t="s">
        <v>43778</v>
      </c>
      <c r="X1769" t="s">
        <v>47426</v>
      </c>
    </row>
    <row r="1770" spans="1:24">
      <c r="A1770">
        <f>HYPERLINK("https://www.philgeps.gov.ph/GEPSNONPILOT/Tender/SplashBidNoticeAbstractUI.aspx?menuIndex=3&amp;refID=7166911&amp;Result=3","7166911")</f>
        <v>0</v>
      </c>
      <c r="B1770" t="s">
        <v>839</v>
      </c>
      <c r="C1770" t="s">
        <v>5602</v>
      </c>
      <c r="D1770" t="s">
        <v>19077</v>
      </c>
      <c r="E1770" t="s">
        <v>20718</v>
      </c>
      <c r="F1770" t="s">
        <v>32831</v>
      </c>
      <c r="G1770" t="s">
        <v>32839</v>
      </c>
      <c r="H1770" t="s">
        <v>32849</v>
      </c>
      <c r="I1770" t="s">
        <v>4177</v>
      </c>
      <c r="J1770" t="s">
        <v>34229</v>
      </c>
      <c r="K1770" t="s">
        <v>42763</v>
      </c>
      <c r="M1770" t="s">
        <v>43872</v>
      </c>
      <c r="N1770" t="s">
        <v>47424</v>
      </c>
      <c r="O1770" t="s">
        <v>47425</v>
      </c>
      <c r="P1770">
        <v>0</v>
      </c>
      <c r="Q1770">
        <v>0</v>
      </c>
      <c r="R1770" t="s">
        <v>47429</v>
      </c>
      <c r="S1770" t="s">
        <v>47542</v>
      </c>
      <c r="T1770" t="s">
        <v>49187</v>
      </c>
      <c r="U1770" t="s">
        <v>51229</v>
      </c>
      <c r="W1770" t="s">
        <v>43872</v>
      </c>
      <c r="X1770" t="s">
        <v>47426</v>
      </c>
    </row>
    <row r="1771" spans="1:24">
      <c r="A1771">
        <f>HYPERLINK("https://www.philgeps.gov.ph/GEPSNONPILOT/Tender/SplashBidNoticeAbstractUI.aspx?menuIndex=3&amp;refID=7166867&amp;Result=3","7166867")</f>
        <v>0</v>
      </c>
      <c r="B1771" t="s">
        <v>711</v>
      </c>
      <c r="C1771" t="s">
        <v>5603</v>
      </c>
      <c r="D1771" t="s">
        <v>19060</v>
      </c>
      <c r="E1771" t="s">
        <v>20719</v>
      </c>
      <c r="F1771" t="s">
        <v>32831</v>
      </c>
      <c r="G1771" t="s">
        <v>32839</v>
      </c>
      <c r="H1771" t="s">
        <v>32848</v>
      </c>
      <c r="I1771" t="s">
        <v>32892</v>
      </c>
      <c r="J1771" t="s">
        <v>34230</v>
      </c>
      <c r="K1771" t="s">
        <v>42730</v>
      </c>
      <c r="M1771" t="s">
        <v>43731</v>
      </c>
      <c r="N1771" t="s">
        <v>47424</v>
      </c>
      <c r="O1771" t="s">
        <v>47425</v>
      </c>
      <c r="P1771">
        <v>0</v>
      </c>
      <c r="Q1771">
        <v>0</v>
      </c>
      <c r="R1771" t="s">
        <v>47429</v>
      </c>
      <c r="S1771" t="s">
        <v>47542</v>
      </c>
      <c r="T1771" t="s">
        <v>49063</v>
      </c>
      <c r="U1771" t="s">
        <v>51230</v>
      </c>
      <c r="W1771" t="s">
        <v>43731</v>
      </c>
      <c r="X1771" t="s">
        <v>47426</v>
      </c>
    </row>
    <row r="1772" spans="1:24">
      <c r="A1772">
        <f>HYPERLINK("https://www.philgeps.gov.ph/GEPSNONPILOT/Tender/SplashBidNoticeAbstractUI.aspx?menuIndex=3&amp;refID=7166866&amp;Result=3","7166866")</f>
        <v>0</v>
      </c>
      <c r="B1772" t="s">
        <v>725</v>
      </c>
      <c r="C1772" t="s">
        <v>5604</v>
      </c>
      <c r="D1772" t="s">
        <v>19052</v>
      </c>
      <c r="E1772" t="s">
        <v>20720</v>
      </c>
      <c r="F1772" t="s">
        <v>32831</v>
      </c>
      <c r="G1772" t="s">
        <v>32838</v>
      </c>
      <c r="H1772" t="s">
        <v>32848</v>
      </c>
      <c r="I1772" t="s">
        <v>4471</v>
      </c>
      <c r="J1772" t="s">
        <v>34231</v>
      </c>
      <c r="K1772" t="s">
        <v>42731</v>
      </c>
      <c r="M1772" t="s">
        <v>43793</v>
      </c>
      <c r="N1772" t="s">
        <v>47424</v>
      </c>
      <c r="O1772" t="s">
        <v>47425</v>
      </c>
      <c r="P1772">
        <v>0</v>
      </c>
      <c r="Q1772">
        <v>0</v>
      </c>
      <c r="R1772" t="s">
        <v>47429</v>
      </c>
      <c r="S1772" t="s">
        <v>47542</v>
      </c>
      <c r="T1772" t="s">
        <v>49129</v>
      </c>
      <c r="U1772" t="s">
        <v>51231</v>
      </c>
      <c r="W1772" t="s">
        <v>43793</v>
      </c>
      <c r="X1772" t="s">
        <v>47426</v>
      </c>
    </row>
    <row r="1773" spans="1:24">
      <c r="A1773">
        <f>HYPERLINK("https://www.philgeps.gov.ph/GEPSNONPILOT/Tender/SplashBidNoticeAbstractUI.aspx?menuIndex=3&amp;refID=7166865&amp;Result=3","7166865")</f>
        <v>0</v>
      </c>
      <c r="B1773" t="s">
        <v>840</v>
      </c>
      <c r="C1773" t="s">
        <v>5605</v>
      </c>
      <c r="D1773" t="s">
        <v>19021</v>
      </c>
      <c r="E1773" t="s">
        <v>20721</v>
      </c>
      <c r="F1773" t="s">
        <v>32831</v>
      </c>
      <c r="G1773" t="s">
        <v>32838</v>
      </c>
      <c r="H1773" t="s">
        <v>32848</v>
      </c>
      <c r="I1773" t="s">
        <v>32874</v>
      </c>
      <c r="J1773" t="s">
        <v>34232</v>
      </c>
      <c r="K1773" t="s">
        <v>42732</v>
      </c>
      <c r="M1773" t="s">
        <v>43873</v>
      </c>
      <c r="N1773" t="s">
        <v>47424</v>
      </c>
      <c r="O1773" t="s">
        <v>47425</v>
      </c>
      <c r="P1773">
        <v>0</v>
      </c>
      <c r="Q1773">
        <v>0</v>
      </c>
      <c r="R1773" t="s">
        <v>47429</v>
      </c>
      <c r="S1773" t="s">
        <v>47542</v>
      </c>
      <c r="T1773" t="s">
        <v>49089</v>
      </c>
      <c r="U1773" t="s">
        <v>51232</v>
      </c>
      <c r="W1773" t="s">
        <v>43873</v>
      </c>
      <c r="X1773" t="s">
        <v>47426</v>
      </c>
    </row>
    <row r="1774" spans="1:24">
      <c r="A1774">
        <f>HYPERLINK("https://www.philgeps.gov.ph/GEPSNONPILOT/Tender/SplashBidNoticeAbstractUI.aspx?menuIndex=3&amp;refID=7166982&amp;Result=3","7166982")</f>
        <v>0</v>
      </c>
      <c r="B1774" t="s">
        <v>841</v>
      </c>
      <c r="C1774" t="s">
        <v>5606</v>
      </c>
      <c r="D1774" t="s">
        <v>19038</v>
      </c>
      <c r="E1774" t="s">
        <v>20722</v>
      </c>
      <c r="F1774" t="s">
        <v>32831</v>
      </c>
      <c r="G1774" t="s">
        <v>32842</v>
      </c>
      <c r="H1774" t="s">
        <v>32848</v>
      </c>
      <c r="I1774" t="s">
        <v>32864</v>
      </c>
      <c r="J1774" t="s">
        <v>33241</v>
      </c>
      <c r="K1774" t="s">
        <v>42731</v>
      </c>
      <c r="M1774" t="s">
        <v>43874</v>
      </c>
      <c r="N1774" t="s">
        <v>47424</v>
      </c>
      <c r="O1774" t="s">
        <v>47425</v>
      </c>
      <c r="P1774">
        <v>0</v>
      </c>
      <c r="Q1774">
        <v>0</v>
      </c>
      <c r="R1774" t="s">
        <v>47429</v>
      </c>
      <c r="S1774" t="s">
        <v>47542</v>
      </c>
      <c r="T1774" t="s">
        <v>49119</v>
      </c>
      <c r="U1774" t="s">
        <v>51233</v>
      </c>
      <c r="W1774" t="s">
        <v>43874</v>
      </c>
      <c r="X1774" t="s">
        <v>47426</v>
      </c>
    </row>
    <row r="1775" spans="1:24">
      <c r="A1775">
        <f>HYPERLINK("https://www.philgeps.gov.ph/GEPSNONPILOT/Tender/SplashBidNoticeAbstractUI.aspx?menuIndex=3&amp;refID=7166863&amp;Result=3","7166863")</f>
        <v>0</v>
      </c>
      <c r="B1775" t="s">
        <v>228</v>
      </c>
      <c r="C1775" t="s">
        <v>5607</v>
      </c>
      <c r="D1775" t="s">
        <v>19033</v>
      </c>
      <c r="E1775" t="s">
        <v>20723</v>
      </c>
      <c r="F1775" t="s">
        <v>32831</v>
      </c>
      <c r="G1775" t="s">
        <v>32838</v>
      </c>
      <c r="H1775" t="s">
        <v>32848</v>
      </c>
      <c r="I1775" t="s">
        <v>9577</v>
      </c>
      <c r="J1775" t="s">
        <v>34233</v>
      </c>
      <c r="K1775" t="s">
        <v>42732</v>
      </c>
      <c r="M1775" t="s">
        <v>43791</v>
      </c>
      <c r="N1775" t="s">
        <v>47424</v>
      </c>
      <c r="O1775" t="s">
        <v>47425</v>
      </c>
      <c r="P1775">
        <v>0</v>
      </c>
      <c r="Q1775">
        <v>0</v>
      </c>
      <c r="R1775" t="s">
        <v>47429</v>
      </c>
      <c r="S1775" t="s">
        <v>47542</v>
      </c>
      <c r="T1775" t="s">
        <v>49089</v>
      </c>
      <c r="U1775" t="s">
        <v>51234</v>
      </c>
      <c r="V1775" t="s">
        <v>62800</v>
      </c>
      <c r="W1775" t="s">
        <v>43791</v>
      </c>
      <c r="X1775" t="s">
        <v>47426</v>
      </c>
    </row>
    <row r="1776" spans="1:24">
      <c r="A1776">
        <f>HYPERLINK("https://www.philgeps.gov.ph/GEPSNONPILOT/Tender/SplashBidNoticeAbstractUI.aspx?menuIndex=3&amp;refID=7166868&amp;Result=3","7166868")</f>
        <v>0</v>
      </c>
      <c r="B1776" t="s">
        <v>733</v>
      </c>
      <c r="C1776" t="s">
        <v>5608</v>
      </c>
      <c r="D1776" t="s">
        <v>19034</v>
      </c>
      <c r="E1776" t="s">
        <v>20502</v>
      </c>
      <c r="F1776" t="s">
        <v>32831</v>
      </c>
      <c r="G1776" t="s">
        <v>32838</v>
      </c>
      <c r="H1776" t="s">
        <v>32848</v>
      </c>
      <c r="I1776" t="s">
        <v>9577</v>
      </c>
      <c r="J1776" t="s">
        <v>34234</v>
      </c>
      <c r="K1776" t="s">
        <v>42758</v>
      </c>
      <c r="M1776" t="s">
        <v>43755</v>
      </c>
      <c r="N1776" t="s">
        <v>47424</v>
      </c>
      <c r="O1776" t="s">
        <v>47425</v>
      </c>
      <c r="P1776">
        <v>0</v>
      </c>
      <c r="Q1776">
        <v>0</v>
      </c>
      <c r="R1776" t="s">
        <v>47429</v>
      </c>
      <c r="S1776" t="s">
        <v>47542</v>
      </c>
      <c r="T1776" t="s">
        <v>49129</v>
      </c>
      <c r="U1776" t="s">
        <v>51235</v>
      </c>
      <c r="W1776" t="s">
        <v>43755</v>
      </c>
      <c r="X1776" t="s">
        <v>47426</v>
      </c>
    </row>
    <row r="1777" spans="1:24">
      <c r="A1777">
        <f>HYPERLINK("https://www.philgeps.gov.ph/GEPSNONPILOT/Tender/SplashBidNoticeAbstractUI.aspx?menuIndex=3&amp;refID=7166914&amp;Result=3","7166914")</f>
        <v>0</v>
      </c>
      <c r="B1777" t="s">
        <v>823</v>
      </c>
      <c r="C1777" t="s">
        <v>5609</v>
      </c>
      <c r="D1777" t="s">
        <v>19062</v>
      </c>
      <c r="E1777" t="s">
        <v>20724</v>
      </c>
      <c r="F1777" t="s">
        <v>32831</v>
      </c>
      <c r="G1777" t="s">
        <v>32841</v>
      </c>
      <c r="H1777" t="s">
        <v>32848</v>
      </c>
      <c r="I1777" t="s">
        <v>4558</v>
      </c>
      <c r="J1777" t="s">
        <v>34235</v>
      </c>
      <c r="K1777" t="s">
        <v>42727</v>
      </c>
      <c r="M1777" t="s">
        <v>43854</v>
      </c>
      <c r="N1777" t="s">
        <v>47424</v>
      </c>
      <c r="O1777" t="s">
        <v>47425</v>
      </c>
      <c r="P1777">
        <v>0</v>
      </c>
      <c r="Q1777">
        <v>0</v>
      </c>
      <c r="R1777" t="s">
        <v>47429</v>
      </c>
      <c r="S1777" t="s">
        <v>47542</v>
      </c>
      <c r="T1777" t="s">
        <v>49080</v>
      </c>
      <c r="U1777" t="s">
        <v>51202</v>
      </c>
      <c r="W1777" t="s">
        <v>43854</v>
      </c>
      <c r="X1777" t="s">
        <v>47426</v>
      </c>
    </row>
    <row r="1778" spans="1:24">
      <c r="A1778">
        <f>HYPERLINK("https://www.philgeps.gov.ph/GEPSNONPILOT/Tender/SplashBidNoticeAbstractUI.aspx?menuIndex=3&amp;refID=7167005&amp;Result=3","7167005")</f>
        <v>0</v>
      </c>
      <c r="B1778" t="s">
        <v>842</v>
      </c>
      <c r="C1778" t="s">
        <v>5610</v>
      </c>
      <c r="D1778" t="s">
        <v>19044</v>
      </c>
      <c r="E1778" t="s">
        <v>20725</v>
      </c>
      <c r="F1778" t="s">
        <v>32831</v>
      </c>
      <c r="G1778" t="s">
        <v>32839</v>
      </c>
      <c r="H1778" t="s">
        <v>32850</v>
      </c>
      <c r="I1778" t="s">
        <v>32866</v>
      </c>
      <c r="J1778" t="s">
        <v>33297</v>
      </c>
      <c r="K1778" t="s">
        <v>42729</v>
      </c>
      <c r="M1778" t="s">
        <v>43875</v>
      </c>
      <c r="N1778" t="s">
        <v>47424</v>
      </c>
      <c r="O1778" t="s">
        <v>47425</v>
      </c>
      <c r="P1778">
        <v>0</v>
      </c>
      <c r="Q1778">
        <v>0</v>
      </c>
      <c r="R1778" t="s">
        <v>47429</v>
      </c>
      <c r="S1778" t="s">
        <v>47542</v>
      </c>
      <c r="T1778" t="s">
        <v>49106</v>
      </c>
      <c r="U1778" t="s">
        <v>51236</v>
      </c>
      <c r="W1778" t="s">
        <v>43875</v>
      </c>
      <c r="X1778" t="s">
        <v>47426</v>
      </c>
    </row>
    <row r="1779" spans="1:24">
      <c r="A1779">
        <f>HYPERLINK("https://www.philgeps.gov.ph/GEPSNONPILOT/Tender/SplashBidNoticeAbstractUI.aspx?menuIndex=3&amp;refID=7166864&amp;Result=3","7166864")</f>
        <v>0</v>
      </c>
      <c r="B1779" t="s">
        <v>843</v>
      </c>
      <c r="C1779" t="s">
        <v>5611</v>
      </c>
      <c r="D1779" t="s">
        <v>19019</v>
      </c>
      <c r="E1779" t="s">
        <v>20726</v>
      </c>
      <c r="F1779" t="s">
        <v>32831</v>
      </c>
      <c r="G1779" t="s">
        <v>32838</v>
      </c>
      <c r="H1779" t="s">
        <v>32848</v>
      </c>
      <c r="I1779" t="s">
        <v>8577</v>
      </c>
      <c r="J1779" t="s">
        <v>33292</v>
      </c>
      <c r="K1779" t="s">
        <v>42758</v>
      </c>
      <c r="M1779" t="s">
        <v>43876</v>
      </c>
      <c r="N1779" t="s">
        <v>47424</v>
      </c>
      <c r="O1779" t="s">
        <v>47425</v>
      </c>
      <c r="P1779">
        <v>0</v>
      </c>
      <c r="Q1779">
        <v>0</v>
      </c>
      <c r="R1779" t="s">
        <v>47429</v>
      </c>
      <c r="S1779" t="s">
        <v>47542</v>
      </c>
      <c r="T1779" t="s">
        <v>49124</v>
      </c>
      <c r="U1779" t="s">
        <v>51237</v>
      </c>
      <c r="W1779" t="s">
        <v>43876</v>
      </c>
      <c r="X1779" t="s">
        <v>47426</v>
      </c>
    </row>
    <row r="1780" spans="1:24">
      <c r="A1780">
        <f>HYPERLINK("https://www.philgeps.gov.ph/GEPSNONPILOT/Tender/SplashBidNoticeAbstractUI.aspx?menuIndex=3&amp;refID=7167003&amp;Result=3","7167003")</f>
        <v>0</v>
      </c>
      <c r="B1780" t="s">
        <v>713</v>
      </c>
      <c r="C1780" t="s">
        <v>5612</v>
      </c>
      <c r="D1780" t="s">
        <v>19023</v>
      </c>
      <c r="E1780" t="s">
        <v>20727</v>
      </c>
      <c r="F1780" t="s">
        <v>32831</v>
      </c>
      <c r="G1780" t="s">
        <v>32839</v>
      </c>
      <c r="H1780" t="s">
        <v>32849</v>
      </c>
      <c r="I1780" t="s">
        <v>4177</v>
      </c>
      <c r="J1780" t="s">
        <v>33016</v>
      </c>
      <c r="K1780" t="s">
        <v>42730</v>
      </c>
      <c r="M1780" t="s">
        <v>43733</v>
      </c>
      <c r="N1780" t="s">
        <v>47424</v>
      </c>
      <c r="O1780" t="s">
        <v>47425</v>
      </c>
      <c r="P1780">
        <v>0</v>
      </c>
      <c r="Q1780">
        <v>0</v>
      </c>
      <c r="R1780" t="s">
        <v>47429</v>
      </c>
      <c r="S1780" t="s">
        <v>47542</v>
      </c>
      <c r="T1780" t="s">
        <v>49186</v>
      </c>
      <c r="U1780" t="s">
        <v>51238</v>
      </c>
      <c r="W1780" t="s">
        <v>43733</v>
      </c>
      <c r="X1780" t="s">
        <v>47426</v>
      </c>
    </row>
    <row r="1781" spans="1:24">
      <c r="A1781">
        <f>HYPERLINK("https://www.philgeps.gov.ph/GEPSNONPILOT/Tender/SplashBidNoticeAbstractUI.aspx?menuIndex=3&amp;refID=7167000&amp;Result=3","7167000")</f>
        <v>0</v>
      </c>
      <c r="B1781" t="s">
        <v>817</v>
      </c>
      <c r="C1781" t="s">
        <v>5613</v>
      </c>
      <c r="D1781" t="s">
        <v>19077</v>
      </c>
      <c r="E1781" t="s">
        <v>20728</v>
      </c>
      <c r="F1781" t="s">
        <v>32831</v>
      </c>
      <c r="G1781" t="s">
        <v>32840</v>
      </c>
      <c r="H1781" t="s">
        <v>32848</v>
      </c>
      <c r="I1781" t="s">
        <v>32860</v>
      </c>
      <c r="J1781" t="s">
        <v>34236</v>
      </c>
      <c r="K1781" t="s">
        <v>42730</v>
      </c>
      <c r="M1781" t="s">
        <v>43848</v>
      </c>
      <c r="N1781" t="s">
        <v>47424</v>
      </c>
      <c r="O1781" t="s">
        <v>47425</v>
      </c>
      <c r="P1781">
        <v>0</v>
      </c>
      <c r="Q1781">
        <v>0</v>
      </c>
      <c r="R1781" t="s">
        <v>47429</v>
      </c>
      <c r="S1781" t="s">
        <v>47542</v>
      </c>
      <c r="T1781" t="s">
        <v>49073</v>
      </c>
      <c r="U1781" t="s">
        <v>51192</v>
      </c>
      <c r="W1781" t="s">
        <v>43848</v>
      </c>
      <c r="X1781" t="s">
        <v>47426</v>
      </c>
    </row>
    <row r="1782" spans="1:24">
      <c r="A1782">
        <f>HYPERLINK("https://www.philgeps.gov.ph/GEPSNONPILOT/Tender/SplashBidNoticeAbstractUI.aspx?menuIndex=3&amp;refID=7166997&amp;Result=3","7166997")</f>
        <v>0</v>
      </c>
      <c r="B1782" t="s">
        <v>793</v>
      </c>
      <c r="C1782" t="s">
        <v>5614</v>
      </c>
      <c r="D1782" t="s">
        <v>19048</v>
      </c>
      <c r="E1782" t="s">
        <v>20729</v>
      </c>
      <c r="F1782" t="s">
        <v>32831</v>
      </c>
      <c r="G1782" t="s">
        <v>32838</v>
      </c>
      <c r="H1782" t="s">
        <v>32848</v>
      </c>
      <c r="I1782" t="s">
        <v>4438</v>
      </c>
      <c r="J1782" t="s">
        <v>33090</v>
      </c>
      <c r="K1782" t="s">
        <v>42730</v>
      </c>
      <c r="M1782" t="s">
        <v>43823</v>
      </c>
      <c r="N1782" t="s">
        <v>47424</v>
      </c>
      <c r="O1782" t="s">
        <v>47425</v>
      </c>
      <c r="P1782">
        <v>0</v>
      </c>
      <c r="Q1782">
        <v>0</v>
      </c>
      <c r="R1782" t="s">
        <v>47429</v>
      </c>
      <c r="S1782" t="s">
        <v>47542</v>
      </c>
      <c r="T1782" t="s">
        <v>49059</v>
      </c>
      <c r="U1782" t="s">
        <v>51239</v>
      </c>
      <c r="W1782" t="s">
        <v>43823</v>
      </c>
      <c r="X1782" t="s">
        <v>47426</v>
      </c>
    </row>
    <row r="1783" spans="1:24">
      <c r="A1783">
        <f>HYPERLINK("https://www.philgeps.gov.ph/GEPSNONPILOT/Tender/SplashBidNoticeAbstractUI.aspx?menuIndex=3&amp;refID=7166996&amp;Result=3","7166996")</f>
        <v>0</v>
      </c>
      <c r="B1783" t="s">
        <v>743</v>
      </c>
      <c r="C1783" t="s">
        <v>5615</v>
      </c>
      <c r="D1783" t="s">
        <v>19054</v>
      </c>
      <c r="E1783" t="s">
        <v>20730</v>
      </c>
      <c r="F1783" t="s">
        <v>32831</v>
      </c>
      <c r="G1783" t="s">
        <v>32839</v>
      </c>
      <c r="H1783" t="s">
        <v>32849</v>
      </c>
      <c r="I1783" t="s">
        <v>4177</v>
      </c>
      <c r="J1783" t="s">
        <v>33528</v>
      </c>
      <c r="K1783" t="s">
        <v>42780</v>
      </c>
      <c r="M1783" t="s">
        <v>43766</v>
      </c>
      <c r="N1783" t="s">
        <v>47424</v>
      </c>
      <c r="O1783" t="s">
        <v>47425</v>
      </c>
      <c r="P1783">
        <v>0</v>
      </c>
      <c r="Q1783">
        <v>0</v>
      </c>
      <c r="R1783" t="s">
        <v>47429</v>
      </c>
      <c r="S1783" t="s">
        <v>47542</v>
      </c>
      <c r="T1783" t="s">
        <v>49192</v>
      </c>
      <c r="U1783" t="s">
        <v>51240</v>
      </c>
      <c r="V1783" t="s">
        <v>62796</v>
      </c>
      <c r="W1783" t="s">
        <v>43766</v>
      </c>
      <c r="X1783" t="s">
        <v>47426</v>
      </c>
    </row>
    <row r="1784" spans="1:24">
      <c r="A1784">
        <f>HYPERLINK("https://www.philgeps.gov.ph/GEPSNONPILOT/Tender/SplashBidNoticeAbstractUI.aspx?menuIndex=3&amp;refID=7166993&amp;Result=3","7166993")</f>
        <v>0</v>
      </c>
      <c r="B1784" t="s">
        <v>711</v>
      </c>
      <c r="C1784" t="s">
        <v>5616</v>
      </c>
      <c r="D1784" t="s">
        <v>19060</v>
      </c>
      <c r="E1784" t="s">
        <v>20731</v>
      </c>
      <c r="F1784" t="s">
        <v>32831</v>
      </c>
      <c r="G1784" t="s">
        <v>32841</v>
      </c>
      <c r="H1784" t="s">
        <v>32848</v>
      </c>
      <c r="I1784" t="s">
        <v>4558</v>
      </c>
      <c r="J1784" t="s">
        <v>34237</v>
      </c>
      <c r="K1784" t="s">
        <v>42730</v>
      </c>
      <c r="M1784" t="s">
        <v>43731</v>
      </c>
      <c r="N1784" t="s">
        <v>47424</v>
      </c>
      <c r="O1784" t="s">
        <v>47425</v>
      </c>
      <c r="P1784">
        <v>0</v>
      </c>
      <c r="Q1784">
        <v>0</v>
      </c>
      <c r="R1784" t="s">
        <v>47429</v>
      </c>
      <c r="S1784" t="s">
        <v>47542</v>
      </c>
      <c r="T1784" t="s">
        <v>49063</v>
      </c>
      <c r="U1784" t="s">
        <v>51241</v>
      </c>
      <c r="W1784" t="s">
        <v>43731</v>
      </c>
      <c r="X1784" t="s">
        <v>47426</v>
      </c>
    </row>
    <row r="1785" spans="1:24">
      <c r="A1785">
        <f>HYPERLINK("https://www.philgeps.gov.ph/GEPSNONPILOT/Tender/SplashBidNoticeAbstractUI.aspx?menuIndex=3&amp;refID=7166992&amp;Result=3","7166992")</f>
        <v>0</v>
      </c>
      <c r="B1785" t="s">
        <v>844</v>
      </c>
      <c r="C1785" t="s">
        <v>5617</v>
      </c>
      <c r="D1785" t="s">
        <v>19081</v>
      </c>
      <c r="E1785" t="s">
        <v>20732</v>
      </c>
      <c r="F1785" t="s">
        <v>32831</v>
      </c>
      <c r="G1785" t="s">
        <v>32839</v>
      </c>
      <c r="H1785" t="s">
        <v>32849</v>
      </c>
      <c r="I1785" t="s">
        <v>4177</v>
      </c>
      <c r="J1785" t="s">
        <v>33111</v>
      </c>
      <c r="K1785" t="s">
        <v>42747</v>
      </c>
      <c r="M1785" t="s">
        <v>43877</v>
      </c>
      <c r="N1785" t="s">
        <v>47424</v>
      </c>
      <c r="O1785" t="s">
        <v>47425</v>
      </c>
      <c r="P1785">
        <v>0</v>
      </c>
      <c r="Q1785">
        <v>0</v>
      </c>
      <c r="R1785" t="s">
        <v>47429</v>
      </c>
      <c r="S1785" t="s">
        <v>47542</v>
      </c>
      <c r="T1785" t="s">
        <v>49078</v>
      </c>
      <c r="U1785" t="s">
        <v>51242</v>
      </c>
      <c r="V1785" t="s">
        <v>62823</v>
      </c>
      <c r="W1785" t="s">
        <v>43877</v>
      </c>
      <c r="X1785" t="s">
        <v>47426</v>
      </c>
    </row>
    <row r="1786" spans="1:24">
      <c r="A1786">
        <f>HYPERLINK("https://www.philgeps.gov.ph/GEPSNONPILOT/Tender/SplashBidNoticeAbstractUI.aspx?menuIndex=3&amp;refID=7166991&amp;Result=3","7166991")</f>
        <v>0</v>
      </c>
      <c r="B1786" t="s">
        <v>845</v>
      </c>
      <c r="C1786" t="s">
        <v>5618</v>
      </c>
      <c r="D1786" t="s">
        <v>19038</v>
      </c>
      <c r="E1786" t="s">
        <v>20733</v>
      </c>
      <c r="F1786" t="s">
        <v>32831</v>
      </c>
      <c r="G1786" t="s">
        <v>32838</v>
      </c>
      <c r="H1786" t="s">
        <v>32848</v>
      </c>
      <c r="I1786" t="s">
        <v>4776</v>
      </c>
      <c r="J1786" t="s">
        <v>32983</v>
      </c>
      <c r="K1786" t="s">
        <v>42730</v>
      </c>
      <c r="M1786" t="s">
        <v>43878</v>
      </c>
      <c r="N1786" t="s">
        <v>47424</v>
      </c>
      <c r="O1786" t="s">
        <v>47425</v>
      </c>
      <c r="P1786">
        <v>0</v>
      </c>
      <c r="Q1786">
        <v>0</v>
      </c>
      <c r="R1786" t="s">
        <v>47429</v>
      </c>
      <c r="S1786" t="s">
        <v>47542</v>
      </c>
      <c r="T1786" t="s">
        <v>49275</v>
      </c>
      <c r="U1786" t="s">
        <v>51243</v>
      </c>
      <c r="W1786" t="s">
        <v>43878</v>
      </c>
      <c r="X1786" t="s">
        <v>47426</v>
      </c>
    </row>
    <row r="1787" spans="1:24">
      <c r="A1787">
        <f>HYPERLINK("https://www.philgeps.gov.ph/GEPSNONPILOT/Tender/SplashBidNoticeAbstractUI.aspx?menuIndex=3&amp;refID=7166990&amp;Result=3","7166990")</f>
        <v>0</v>
      </c>
      <c r="B1787" t="s">
        <v>846</v>
      </c>
      <c r="C1787" t="s">
        <v>5619</v>
      </c>
      <c r="D1787" t="s">
        <v>19026</v>
      </c>
      <c r="E1787" t="s">
        <v>20734</v>
      </c>
      <c r="F1787" t="s">
        <v>32831</v>
      </c>
      <c r="G1787" t="s">
        <v>32840</v>
      </c>
      <c r="H1787" t="s">
        <v>32848</v>
      </c>
      <c r="I1787" t="s">
        <v>4487</v>
      </c>
      <c r="J1787" t="s">
        <v>34238</v>
      </c>
      <c r="K1787" t="s">
        <v>42727</v>
      </c>
      <c r="M1787" t="s">
        <v>43879</v>
      </c>
      <c r="N1787" t="s">
        <v>47424</v>
      </c>
      <c r="O1787" t="s">
        <v>47425</v>
      </c>
      <c r="P1787">
        <v>0</v>
      </c>
      <c r="Q1787">
        <v>0</v>
      </c>
      <c r="R1787" t="s">
        <v>47429</v>
      </c>
      <c r="S1787" t="s">
        <v>47542</v>
      </c>
      <c r="T1787" t="s">
        <v>49129</v>
      </c>
      <c r="U1787" t="s">
        <v>51244</v>
      </c>
      <c r="W1787" t="s">
        <v>43879</v>
      </c>
      <c r="X1787" t="s">
        <v>47426</v>
      </c>
    </row>
    <row r="1788" spans="1:24">
      <c r="A1788">
        <f>HYPERLINK("https://www.philgeps.gov.ph/GEPSNONPILOT/Tender/SplashBidNoticeAbstractUI.aspx?menuIndex=3&amp;refID=7166998&amp;Result=3","7166998")</f>
        <v>0</v>
      </c>
      <c r="B1788" t="s">
        <v>847</v>
      </c>
      <c r="C1788" t="s">
        <v>5620</v>
      </c>
      <c r="D1788" t="s">
        <v>19074</v>
      </c>
      <c r="E1788" t="s">
        <v>20735</v>
      </c>
      <c r="F1788" t="s">
        <v>32831</v>
      </c>
      <c r="G1788" t="s">
        <v>32838</v>
      </c>
      <c r="H1788" t="s">
        <v>32848</v>
      </c>
      <c r="I1788" t="s">
        <v>32902</v>
      </c>
      <c r="J1788" t="s">
        <v>34239</v>
      </c>
      <c r="K1788" t="s">
        <v>42730</v>
      </c>
      <c r="M1788" t="s">
        <v>43880</v>
      </c>
      <c r="N1788" t="s">
        <v>47424</v>
      </c>
      <c r="O1788" t="s">
        <v>47425</v>
      </c>
      <c r="P1788">
        <v>0</v>
      </c>
      <c r="Q1788">
        <v>0</v>
      </c>
      <c r="R1788" t="s">
        <v>47429</v>
      </c>
      <c r="S1788" t="s">
        <v>47542</v>
      </c>
      <c r="T1788" t="s">
        <v>49210</v>
      </c>
      <c r="U1788" t="s">
        <v>51245</v>
      </c>
      <c r="W1788" t="s">
        <v>43880</v>
      </c>
      <c r="X1788" t="s">
        <v>47426</v>
      </c>
    </row>
    <row r="1789" spans="1:24">
      <c r="A1789">
        <f>HYPERLINK("https://www.philgeps.gov.ph/GEPSNONPILOT/Tender/SplashBidNoticeAbstractUI.aspx?menuIndex=3&amp;refID=7166989&amp;Result=3","7166989")</f>
        <v>0</v>
      </c>
      <c r="B1789" t="s">
        <v>796</v>
      </c>
      <c r="C1789" t="s">
        <v>5621</v>
      </c>
      <c r="D1789" t="s">
        <v>19017</v>
      </c>
      <c r="E1789" t="s">
        <v>20736</v>
      </c>
      <c r="F1789" t="s">
        <v>32831</v>
      </c>
      <c r="G1789" t="s">
        <v>32838</v>
      </c>
      <c r="H1789" t="s">
        <v>32848</v>
      </c>
      <c r="I1789" t="s">
        <v>32864</v>
      </c>
      <c r="J1789" t="s">
        <v>33007</v>
      </c>
      <c r="K1789" t="s">
        <v>42732</v>
      </c>
      <c r="M1789" t="s">
        <v>43826</v>
      </c>
      <c r="N1789" t="s">
        <v>47424</v>
      </c>
      <c r="O1789" t="s">
        <v>47425</v>
      </c>
      <c r="P1789">
        <v>0</v>
      </c>
      <c r="Q1789">
        <v>0</v>
      </c>
      <c r="R1789" t="s">
        <v>47429</v>
      </c>
      <c r="S1789" t="s">
        <v>47542</v>
      </c>
      <c r="T1789" t="s">
        <v>49276</v>
      </c>
      <c r="U1789" t="s">
        <v>51148</v>
      </c>
      <c r="W1789" t="s">
        <v>43826</v>
      </c>
      <c r="X1789" t="s">
        <v>47426</v>
      </c>
    </row>
    <row r="1790" spans="1:24">
      <c r="A1790">
        <f>HYPERLINK("https://www.philgeps.gov.ph/GEPSNONPILOT/Tender/SplashBidNoticeAbstractUI.aspx?menuIndex=3&amp;refID=7166988&amp;Result=3","7166988")</f>
        <v>0</v>
      </c>
      <c r="B1790" t="s">
        <v>848</v>
      </c>
      <c r="C1790" t="s">
        <v>5622</v>
      </c>
      <c r="D1790" t="s">
        <v>19027</v>
      </c>
      <c r="E1790" t="s">
        <v>20737</v>
      </c>
      <c r="F1790" t="s">
        <v>32831</v>
      </c>
      <c r="G1790" t="s">
        <v>32839</v>
      </c>
      <c r="H1790" t="s">
        <v>32849</v>
      </c>
      <c r="I1790" t="s">
        <v>4177</v>
      </c>
      <c r="J1790" t="s">
        <v>34240</v>
      </c>
      <c r="K1790" t="s">
        <v>42763</v>
      </c>
      <c r="M1790" t="s">
        <v>43881</v>
      </c>
      <c r="N1790" t="s">
        <v>47424</v>
      </c>
      <c r="O1790" t="s">
        <v>47425</v>
      </c>
      <c r="P1790">
        <v>0</v>
      </c>
      <c r="Q1790">
        <v>0</v>
      </c>
      <c r="R1790" t="s">
        <v>47429</v>
      </c>
      <c r="S1790" t="s">
        <v>47542</v>
      </c>
      <c r="T1790" t="s">
        <v>49196</v>
      </c>
      <c r="U1790" t="s">
        <v>51246</v>
      </c>
      <c r="W1790" t="s">
        <v>43881</v>
      </c>
      <c r="X1790" t="s">
        <v>47426</v>
      </c>
    </row>
    <row r="1791" spans="1:24">
      <c r="A1791">
        <f>HYPERLINK("https://www.philgeps.gov.ph/GEPSNONPILOT/Tender/SplashBidNoticeAbstractUI.aspx?menuIndex=3&amp;refID=7166913&amp;Result=3","7166913")</f>
        <v>0</v>
      </c>
      <c r="B1791" t="s">
        <v>796</v>
      </c>
      <c r="C1791" t="s">
        <v>5623</v>
      </c>
      <c r="D1791" t="s">
        <v>19017</v>
      </c>
      <c r="E1791" t="s">
        <v>20738</v>
      </c>
      <c r="F1791" t="s">
        <v>32831</v>
      </c>
      <c r="G1791" t="s">
        <v>32842</v>
      </c>
      <c r="H1791" t="s">
        <v>32848</v>
      </c>
      <c r="I1791" t="s">
        <v>32860</v>
      </c>
      <c r="J1791" t="s">
        <v>34241</v>
      </c>
      <c r="K1791" t="s">
        <v>42732</v>
      </c>
      <c r="M1791" t="s">
        <v>43826</v>
      </c>
      <c r="N1791" t="s">
        <v>47424</v>
      </c>
      <c r="O1791" t="s">
        <v>47425</v>
      </c>
      <c r="P1791">
        <v>0</v>
      </c>
      <c r="Q1791">
        <v>0</v>
      </c>
      <c r="R1791" t="s">
        <v>47429</v>
      </c>
      <c r="S1791" t="s">
        <v>47542</v>
      </c>
      <c r="T1791" t="s">
        <v>49276</v>
      </c>
      <c r="U1791" t="s">
        <v>51148</v>
      </c>
      <c r="W1791" t="s">
        <v>43826</v>
      </c>
      <c r="X1791" t="s">
        <v>47426</v>
      </c>
    </row>
    <row r="1792" spans="1:24">
      <c r="A1792">
        <f>HYPERLINK("https://www.philgeps.gov.ph/GEPSNONPILOT/Tender/SplashBidNoticeAbstractUI.aspx?menuIndex=3&amp;refID=7167040&amp;Result=3","7167040")</f>
        <v>0</v>
      </c>
      <c r="B1792" t="s">
        <v>849</v>
      </c>
      <c r="C1792" t="s">
        <v>5624</v>
      </c>
      <c r="D1792" t="s">
        <v>19056</v>
      </c>
      <c r="E1792" t="s">
        <v>20739</v>
      </c>
      <c r="F1792" t="s">
        <v>32831</v>
      </c>
      <c r="G1792" t="s">
        <v>32838</v>
      </c>
      <c r="H1792" t="s">
        <v>32848</v>
      </c>
      <c r="I1792" t="s">
        <v>32909</v>
      </c>
      <c r="J1792" t="s">
        <v>34242</v>
      </c>
      <c r="K1792" t="s">
        <v>42794</v>
      </c>
      <c r="M1792" t="s">
        <v>43882</v>
      </c>
      <c r="N1792" t="s">
        <v>47424</v>
      </c>
      <c r="O1792" t="s">
        <v>47425</v>
      </c>
      <c r="P1792">
        <v>0</v>
      </c>
      <c r="Q1792">
        <v>0</v>
      </c>
      <c r="R1792" t="s">
        <v>47429</v>
      </c>
      <c r="S1792" t="s">
        <v>47542</v>
      </c>
      <c r="T1792" t="s">
        <v>49129</v>
      </c>
      <c r="U1792" t="s">
        <v>51247</v>
      </c>
      <c r="W1792" t="s">
        <v>43882</v>
      </c>
      <c r="X1792" t="s">
        <v>47426</v>
      </c>
    </row>
    <row r="1793" spans="1:24">
      <c r="A1793">
        <f>HYPERLINK("https://www.philgeps.gov.ph/GEPSNONPILOT/Tender/SplashBidNoticeAbstractUI.aspx?menuIndex=3&amp;refID=7167036&amp;Result=3","7167036")</f>
        <v>0</v>
      </c>
      <c r="B1793" t="s">
        <v>381</v>
      </c>
      <c r="C1793" t="s">
        <v>5625</v>
      </c>
      <c r="E1793" t="s">
        <v>20740</v>
      </c>
      <c r="F1793" t="s">
        <v>32831</v>
      </c>
      <c r="G1793" t="s">
        <v>32842</v>
      </c>
      <c r="H1793" t="s">
        <v>32848</v>
      </c>
      <c r="I1793" t="s">
        <v>32860</v>
      </c>
      <c r="J1793" t="s">
        <v>34243</v>
      </c>
      <c r="K1793" t="s">
        <v>42732</v>
      </c>
      <c r="M1793" t="s">
        <v>43385</v>
      </c>
      <c r="N1793" t="s">
        <v>47424</v>
      </c>
      <c r="O1793" t="s">
        <v>47425</v>
      </c>
      <c r="P1793">
        <v>0</v>
      </c>
      <c r="Q1793">
        <v>0</v>
      </c>
      <c r="R1793" t="s">
        <v>47429</v>
      </c>
      <c r="S1793" t="s">
        <v>47542</v>
      </c>
      <c r="T1793" t="s">
        <v>49104</v>
      </c>
      <c r="U1793" t="s">
        <v>51248</v>
      </c>
      <c r="W1793" t="s">
        <v>43385</v>
      </c>
      <c r="X1793" t="s">
        <v>47426</v>
      </c>
    </row>
    <row r="1794" spans="1:24">
      <c r="A1794">
        <f>HYPERLINK("https://www.philgeps.gov.ph/GEPSNONPILOT/Tender/SplashBidNoticeAbstractUI.aspx?menuIndex=3&amp;refID=7166999&amp;Result=3","7166999")</f>
        <v>0</v>
      </c>
      <c r="B1794" t="s">
        <v>672</v>
      </c>
      <c r="C1794" t="s">
        <v>5626</v>
      </c>
      <c r="D1794" t="s">
        <v>19085</v>
      </c>
      <c r="E1794" t="s">
        <v>20741</v>
      </c>
      <c r="F1794" t="s">
        <v>32831</v>
      </c>
      <c r="G1794" t="s">
        <v>32841</v>
      </c>
      <c r="H1794" t="s">
        <v>32848</v>
      </c>
      <c r="I1794" t="s">
        <v>4303</v>
      </c>
      <c r="J1794" t="s">
        <v>34244</v>
      </c>
      <c r="K1794" t="s">
        <v>42726</v>
      </c>
      <c r="M1794" t="s">
        <v>43691</v>
      </c>
      <c r="N1794" t="s">
        <v>47424</v>
      </c>
      <c r="O1794" t="s">
        <v>47425</v>
      </c>
      <c r="P1794">
        <v>0</v>
      </c>
      <c r="Q1794">
        <v>0</v>
      </c>
      <c r="R1794" t="s">
        <v>47429</v>
      </c>
      <c r="S1794" t="s">
        <v>47542</v>
      </c>
      <c r="T1794" t="s">
        <v>49104</v>
      </c>
      <c r="U1794" t="s">
        <v>51249</v>
      </c>
      <c r="W1794" t="s">
        <v>43691</v>
      </c>
      <c r="X1794" t="s">
        <v>47426</v>
      </c>
    </row>
    <row r="1795" spans="1:24">
      <c r="A1795">
        <f>HYPERLINK("https://www.philgeps.gov.ph/GEPSNONPILOT/Tender/SplashBidNoticeAbstractUI.aspx?menuIndex=3&amp;refID=7167033&amp;Result=3","7167033")</f>
        <v>0</v>
      </c>
      <c r="B1795" t="s">
        <v>834</v>
      </c>
      <c r="C1795" t="s">
        <v>5627</v>
      </c>
      <c r="D1795" t="s">
        <v>19046</v>
      </c>
      <c r="E1795" t="s">
        <v>20742</v>
      </c>
      <c r="F1795" t="s">
        <v>32831</v>
      </c>
      <c r="G1795" t="s">
        <v>32839</v>
      </c>
      <c r="H1795" t="s">
        <v>32849</v>
      </c>
      <c r="I1795" t="s">
        <v>4177</v>
      </c>
      <c r="J1795" t="s">
        <v>34245</v>
      </c>
      <c r="K1795" t="s">
        <v>42732</v>
      </c>
      <c r="M1795" t="s">
        <v>43866</v>
      </c>
      <c r="N1795" t="s">
        <v>47424</v>
      </c>
      <c r="O1795" t="s">
        <v>47425</v>
      </c>
      <c r="P1795">
        <v>0</v>
      </c>
      <c r="Q1795">
        <v>0</v>
      </c>
      <c r="R1795" t="s">
        <v>47429</v>
      </c>
      <c r="S1795" t="s">
        <v>47542</v>
      </c>
      <c r="T1795" t="s">
        <v>49078</v>
      </c>
      <c r="U1795" t="s">
        <v>51250</v>
      </c>
      <c r="W1795" t="s">
        <v>43866</v>
      </c>
      <c r="X1795" t="s">
        <v>47426</v>
      </c>
    </row>
    <row r="1796" spans="1:24">
      <c r="A1796">
        <f>HYPERLINK("https://www.philgeps.gov.ph/GEPSNONPILOT/Tender/SplashBidNoticeAbstractUI.aspx?menuIndex=3&amp;refID=7167002&amp;Result=3","7167002")</f>
        <v>0</v>
      </c>
      <c r="B1796" t="s">
        <v>832</v>
      </c>
      <c r="C1796" t="s">
        <v>5628</v>
      </c>
      <c r="D1796" t="s">
        <v>19017</v>
      </c>
      <c r="E1796" t="s">
        <v>20743</v>
      </c>
      <c r="F1796" t="s">
        <v>32831</v>
      </c>
      <c r="G1796" t="s">
        <v>32842</v>
      </c>
      <c r="H1796" t="s">
        <v>32848</v>
      </c>
      <c r="I1796" t="s">
        <v>32862</v>
      </c>
      <c r="J1796" t="s">
        <v>33771</v>
      </c>
      <c r="K1796" t="s">
        <v>42727</v>
      </c>
      <c r="M1796" t="s">
        <v>43864</v>
      </c>
      <c r="N1796" t="s">
        <v>47424</v>
      </c>
      <c r="O1796" t="s">
        <v>47425</v>
      </c>
      <c r="P1796">
        <v>0</v>
      </c>
      <c r="Q1796">
        <v>0</v>
      </c>
      <c r="R1796" t="s">
        <v>47429</v>
      </c>
      <c r="S1796" t="s">
        <v>47542</v>
      </c>
      <c r="T1796" t="s">
        <v>49059</v>
      </c>
      <c r="U1796" t="s">
        <v>51215</v>
      </c>
      <c r="V1796" t="s">
        <v>62822</v>
      </c>
      <c r="W1796" t="s">
        <v>43864</v>
      </c>
      <c r="X1796" t="s">
        <v>47426</v>
      </c>
    </row>
    <row r="1797" spans="1:24">
      <c r="A1797">
        <f>HYPERLINK("https://www.philgeps.gov.ph/GEPSNONPILOT/Tender/SplashBidNoticeAbstractUI.aspx?menuIndex=3&amp;refID=7167035&amp;Result=3","7167035")</f>
        <v>0</v>
      </c>
      <c r="B1797" t="s">
        <v>832</v>
      </c>
      <c r="C1797" t="s">
        <v>5629</v>
      </c>
      <c r="D1797" t="s">
        <v>19017</v>
      </c>
      <c r="E1797" t="s">
        <v>20744</v>
      </c>
      <c r="F1797" t="s">
        <v>32831</v>
      </c>
      <c r="G1797" t="s">
        <v>32842</v>
      </c>
      <c r="H1797" t="s">
        <v>32848</v>
      </c>
      <c r="I1797" t="s">
        <v>4438</v>
      </c>
      <c r="J1797" t="s">
        <v>34246</v>
      </c>
      <c r="K1797" t="s">
        <v>42727</v>
      </c>
      <c r="M1797" t="s">
        <v>43864</v>
      </c>
      <c r="N1797" t="s">
        <v>47424</v>
      </c>
      <c r="O1797" t="s">
        <v>47425</v>
      </c>
      <c r="P1797">
        <v>0</v>
      </c>
      <c r="Q1797">
        <v>0</v>
      </c>
      <c r="R1797" t="s">
        <v>47429</v>
      </c>
      <c r="S1797" t="s">
        <v>47542</v>
      </c>
      <c r="T1797" t="s">
        <v>49059</v>
      </c>
      <c r="U1797" t="s">
        <v>51215</v>
      </c>
      <c r="V1797" t="s">
        <v>62822</v>
      </c>
      <c r="W1797" t="s">
        <v>43864</v>
      </c>
      <c r="X1797" t="s">
        <v>47426</v>
      </c>
    </row>
    <row r="1798" spans="1:24">
      <c r="A1798">
        <f>HYPERLINK("https://www.philgeps.gov.ph/GEPSNONPILOT/Tender/SplashBidNoticeAbstractUI.aspx?menuIndex=3&amp;refID=7167006&amp;Result=3","7167006")</f>
        <v>0</v>
      </c>
      <c r="B1798" t="s">
        <v>798</v>
      </c>
      <c r="C1798" t="s">
        <v>5630</v>
      </c>
      <c r="D1798" t="s">
        <v>19080</v>
      </c>
      <c r="E1798" t="s">
        <v>20745</v>
      </c>
      <c r="F1798" t="s">
        <v>32831</v>
      </c>
      <c r="G1798" t="s">
        <v>32838</v>
      </c>
      <c r="H1798" t="s">
        <v>32848</v>
      </c>
      <c r="I1798" t="s">
        <v>4558</v>
      </c>
      <c r="J1798" t="s">
        <v>33380</v>
      </c>
      <c r="K1798" t="s">
        <v>42727</v>
      </c>
      <c r="M1798" t="s">
        <v>43828</v>
      </c>
      <c r="N1798" t="s">
        <v>47424</v>
      </c>
      <c r="O1798" t="s">
        <v>47425</v>
      </c>
      <c r="P1798">
        <v>0</v>
      </c>
      <c r="Q1798">
        <v>0</v>
      </c>
      <c r="R1798" t="s">
        <v>47429</v>
      </c>
      <c r="S1798" t="s">
        <v>47542</v>
      </c>
      <c r="T1798" t="s">
        <v>49129</v>
      </c>
      <c r="U1798" t="s">
        <v>51150</v>
      </c>
      <c r="W1798" t="s">
        <v>43828</v>
      </c>
      <c r="X1798" t="s">
        <v>47426</v>
      </c>
    </row>
    <row r="1799" spans="1:24">
      <c r="A1799">
        <f>HYPERLINK("https://www.philgeps.gov.ph/GEPSNONPILOT/Tender/SplashBidNoticeAbstractUI.aspx?menuIndex=3&amp;refID=7167038&amp;Result=3","7167038")</f>
        <v>0</v>
      </c>
      <c r="B1799" t="s">
        <v>799</v>
      </c>
      <c r="C1799" t="s">
        <v>5631</v>
      </c>
      <c r="D1799" t="s">
        <v>19042</v>
      </c>
      <c r="E1799" t="s">
        <v>20746</v>
      </c>
      <c r="F1799" t="s">
        <v>32831</v>
      </c>
      <c r="G1799" t="s">
        <v>32838</v>
      </c>
      <c r="H1799" t="s">
        <v>32848</v>
      </c>
      <c r="I1799" t="s">
        <v>4776</v>
      </c>
      <c r="J1799" t="s">
        <v>34247</v>
      </c>
      <c r="K1799" t="s">
        <v>42759</v>
      </c>
      <c r="M1799" t="s">
        <v>43829</v>
      </c>
      <c r="N1799" t="s">
        <v>47424</v>
      </c>
      <c r="O1799" t="s">
        <v>47425</v>
      </c>
      <c r="P1799">
        <v>0</v>
      </c>
      <c r="Q1799">
        <v>0</v>
      </c>
      <c r="R1799" t="s">
        <v>47429</v>
      </c>
      <c r="S1799" t="s">
        <v>47542</v>
      </c>
      <c r="T1799" t="s">
        <v>49073</v>
      </c>
      <c r="U1799" t="s">
        <v>51251</v>
      </c>
      <c r="W1799" t="s">
        <v>43829</v>
      </c>
      <c r="X1799" t="s">
        <v>47426</v>
      </c>
    </row>
    <row r="1800" spans="1:24">
      <c r="A1800">
        <f>HYPERLINK("https://www.philgeps.gov.ph/GEPSNONPILOT/Tender/SplashBidNoticeAbstractUI.aspx?menuIndex=3&amp;refID=7167029&amp;Result=3","7167029")</f>
        <v>0</v>
      </c>
      <c r="B1800" t="s">
        <v>850</v>
      </c>
      <c r="C1800" t="s">
        <v>5632</v>
      </c>
      <c r="D1800" t="s">
        <v>19080</v>
      </c>
      <c r="E1800" t="s">
        <v>20747</v>
      </c>
      <c r="F1800" t="s">
        <v>32831</v>
      </c>
      <c r="G1800" t="s">
        <v>32839</v>
      </c>
      <c r="H1800" t="s">
        <v>32848</v>
      </c>
      <c r="I1800" t="s">
        <v>4435</v>
      </c>
      <c r="J1800" t="s">
        <v>34248</v>
      </c>
      <c r="K1800" t="s">
        <v>42727</v>
      </c>
      <c r="M1800" t="s">
        <v>43883</v>
      </c>
      <c r="N1800" t="s">
        <v>47424</v>
      </c>
      <c r="O1800" t="s">
        <v>47425</v>
      </c>
      <c r="P1800">
        <v>0</v>
      </c>
      <c r="Q1800">
        <v>0</v>
      </c>
      <c r="R1800" t="s">
        <v>47429</v>
      </c>
      <c r="S1800" t="s">
        <v>47542</v>
      </c>
      <c r="T1800" t="s">
        <v>49236</v>
      </c>
      <c r="U1800" t="s">
        <v>51252</v>
      </c>
      <c r="W1800" t="s">
        <v>43883</v>
      </c>
      <c r="X1800" t="s">
        <v>47426</v>
      </c>
    </row>
    <row r="1801" spans="1:24">
      <c r="A1801">
        <f>HYPERLINK("https://www.philgeps.gov.ph/GEPSNONPILOT/Tender/SplashBidNoticeAbstractUI.aspx?menuIndex=3&amp;refID=7166962&amp;Result=3","7166962")</f>
        <v>0</v>
      </c>
      <c r="B1801" t="s">
        <v>851</v>
      </c>
      <c r="C1801" t="s">
        <v>5633</v>
      </c>
      <c r="D1801" t="s">
        <v>19017</v>
      </c>
      <c r="E1801" t="s">
        <v>20748</v>
      </c>
      <c r="F1801" t="s">
        <v>32831</v>
      </c>
      <c r="G1801" t="s">
        <v>32838</v>
      </c>
      <c r="H1801" t="s">
        <v>32848</v>
      </c>
      <c r="I1801" t="s">
        <v>32909</v>
      </c>
      <c r="J1801" t="s">
        <v>33935</v>
      </c>
      <c r="K1801" t="s">
        <v>42726</v>
      </c>
      <c r="M1801" t="s">
        <v>43884</v>
      </c>
      <c r="N1801" t="s">
        <v>47424</v>
      </c>
      <c r="O1801" t="s">
        <v>47425</v>
      </c>
      <c r="P1801">
        <v>0</v>
      </c>
      <c r="Q1801">
        <v>0</v>
      </c>
      <c r="R1801" t="s">
        <v>47429</v>
      </c>
      <c r="S1801" t="s">
        <v>47542</v>
      </c>
      <c r="T1801" t="s">
        <v>49103</v>
      </c>
      <c r="U1801" t="s">
        <v>51253</v>
      </c>
      <c r="W1801" t="s">
        <v>43884</v>
      </c>
      <c r="X1801" t="s">
        <v>47426</v>
      </c>
    </row>
    <row r="1802" spans="1:24">
      <c r="A1802">
        <f>HYPERLINK("https://www.philgeps.gov.ph/GEPSNONPILOT/Tender/SplashBidNoticeAbstractUI.aspx?menuIndex=3&amp;refID=7167028&amp;Result=3","7167028")</f>
        <v>0</v>
      </c>
      <c r="B1802" t="s">
        <v>852</v>
      </c>
      <c r="C1802" t="s">
        <v>5634</v>
      </c>
      <c r="D1802" t="s">
        <v>19027</v>
      </c>
      <c r="E1802" t="s">
        <v>20749</v>
      </c>
      <c r="F1802" t="s">
        <v>32831</v>
      </c>
      <c r="G1802" t="s">
        <v>32838</v>
      </c>
      <c r="H1802" t="s">
        <v>32848</v>
      </c>
      <c r="I1802" t="s">
        <v>32860</v>
      </c>
      <c r="J1802" t="s">
        <v>34249</v>
      </c>
      <c r="K1802" t="s">
        <v>42759</v>
      </c>
      <c r="M1802" t="s">
        <v>43885</v>
      </c>
      <c r="N1802" t="s">
        <v>47424</v>
      </c>
      <c r="O1802" t="s">
        <v>47425</v>
      </c>
      <c r="P1802">
        <v>0</v>
      </c>
      <c r="Q1802">
        <v>0</v>
      </c>
      <c r="R1802" t="s">
        <v>47429</v>
      </c>
      <c r="S1802" t="s">
        <v>47542</v>
      </c>
      <c r="T1802" t="s">
        <v>49103</v>
      </c>
      <c r="U1802" t="s">
        <v>50992</v>
      </c>
      <c r="V1802" t="s">
        <v>62824</v>
      </c>
      <c r="W1802" t="s">
        <v>43885</v>
      </c>
      <c r="X1802" t="s">
        <v>47426</v>
      </c>
    </row>
    <row r="1803" spans="1:24">
      <c r="A1803">
        <f>HYPERLINK("https://www.philgeps.gov.ph/GEPSNONPILOT/Tender/SplashBidNoticeAbstractUI.aspx?menuIndex=3&amp;refID=7167026&amp;Result=3","7167026")</f>
        <v>0</v>
      </c>
      <c r="B1803" t="s">
        <v>853</v>
      </c>
      <c r="C1803" t="s">
        <v>5635</v>
      </c>
      <c r="D1803" t="s">
        <v>19027</v>
      </c>
      <c r="E1803" t="s">
        <v>20750</v>
      </c>
      <c r="F1803" t="s">
        <v>32831</v>
      </c>
      <c r="G1803" t="s">
        <v>32838</v>
      </c>
      <c r="H1803" t="s">
        <v>32848</v>
      </c>
      <c r="I1803" t="s">
        <v>32862</v>
      </c>
      <c r="J1803" t="s">
        <v>34250</v>
      </c>
      <c r="K1803" t="s">
        <v>42732</v>
      </c>
      <c r="M1803" t="s">
        <v>43886</v>
      </c>
      <c r="N1803" t="s">
        <v>47424</v>
      </c>
      <c r="O1803" t="s">
        <v>47425</v>
      </c>
      <c r="P1803">
        <v>0</v>
      </c>
      <c r="Q1803">
        <v>0</v>
      </c>
      <c r="R1803" t="s">
        <v>47429</v>
      </c>
      <c r="S1803" t="s">
        <v>47542</v>
      </c>
      <c r="T1803" t="s">
        <v>49089</v>
      </c>
      <c r="U1803" t="s">
        <v>51254</v>
      </c>
      <c r="W1803" t="s">
        <v>43886</v>
      </c>
      <c r="X1803" t="s">
        <v>47426</v>
      </c>
    </row>
    <row r="1804" spans="1:24">
      <c r="A1804">
        <f>HYPERLINK("https://www.philgeps.gov.ph/GEPSNONPILOT/Tender/SplashBidNoticeAbstractUI.aspx?menuIndex=3&amp;refID=7167072&amp;Result=3","7167072")</f>
        <v>0</v>
      </c>
      <c r="B1804" t="s">
        <v>854</v>
      </c>
      <c r="C1804" t="s">
        <v>5636</v>
      </c>
      <c r="D1804" t="s">
        <v>19057</v>
      </c>
      <c r="E1804" t="s">
        <v>20751</v>
      </c>
      <c r="F1804" t="s">
        <v>32831</v>
      </c>
      <c r="G1804" t="s">
        <v>32838</v>
      </c>
      <c r="H1804" t="s">
        <v>32848</v>
      </c>
      <c r="I1804" t="s">
        <v>32857</v>
      </c>
      <c r="J1804" t="s">
        <v>34251</v>
      </c>
      <c r="K1804" t="s">
        <v>42727</v>
      </c>
      <c r="M1804" t="s">
        <v>43887</v>
      </c>
      <c r="N1804" t="s">
        <v>47424</v>
      </c>
      <c r="O1804" t="s">
        <v>47425</v>
      </c>
      <c r="P1804">
        <v>0</v>
      </c>
      <c r="Q1804">
        <v>0</v>
      </c>
      <c r="R1804" t="s">
        <v>47429</v>
      </c>
      <c r="S1804" t="s">
        <v>47542</v>
      </c>
      <c r="T1804" t="s">
        <v>49124</v>
      </c>
      <c r="U1804" t="s">
        <v>51255</v>
      </c>
      <c r="W1804" t="s">
        <v>43887</v>
      </c>
      <c r="X1804" t="s">
        <v>47426</v>
      </c>
    </row>
    <row r="1805" spans="1:24">
      <c r="A1805">
        <f>HYPERLINK("https://www.philgeps.gov.ph/GEPSNONPILOT/Tender/SplashBidNoticeAbstractUI.aspx?menuIndex=3&amp;refID=7167071&amp;Result=3","7167071")</f>
        <v>0</v>
      </c>
      <c r="B1805" t="s">
        <v>855</v>
      </c>
      <c r="C1805" t="s">
        <v>5637</v>
      </c>
      <c r="E1805" t="s">
        <v>20752</v>
      </c>
      <c r="F1805" t="s">
        <v>32831</v>
      </c>
      <c r="G1805" t="s">
        <v>32839</v>
      </c>
      <c r="H1805" t="s">
        <v>32848</v>
      </c>
      <c r="I1805" t="s">
        <v>4558</v>
      </c>
      <c r="J1805" t="s">
        <v>34252</v>
      </c>
      <c r="K1805" t="s">
        <v>42732</v>
      </c>
      <c r="M1805" t="s">
        <v>43888</v>
      </c>
      <c r="N1805" t="s">
        <v>47424</v>
      </c>
      <c r="O1805" t="s">
        <v>47425</v>
      </c>
      <c r="P1805">
        <v>0</v>
      </c>
      <c r="Q1805">
        <v>0</v>
      </c>
      <c r="R1805" t="s">
        <v>47429</v>
      </c>
      <c r="S1805" t="s">
        <v>47542</v>
      </c>
      <c r="T1805" t="s">
        <v>49065</v>
      </c>
      <c r="U1805" t="s">
        <v>51256</v>
      </c>
      <c r="W1805" t="s">
        <v>43888</v>
      </c>
      <c r="X1805" t="s">
        <v>47426</v>
      </c>
    </row>
    <row r="1806" spans="1:24">
      <c r="A1806">
        <f>HYPERLINK("https://www.philgeps.gov.ph/GEPSNONPILOT/Tender/SplashBidNoticeAbstractUI.aspx?menuIndex=3&amp;refID=7167067&amp;Result=3","7167067")</f>
        <v>0</v>
      </c>
      <c r="B1806" t="s">
        <v>809</v>
      </c>
      <c r="C1806" t="s">
        <v>5638</v>
      </c>
      <c r="D1806" t="s">
        <v>19057</v>
      </c>
      <c r="E1806" t="s">
        <v>20753</v>
      </c>
      <c r="F1806" t="s">
        <v>32831</v>
      </c>
      <c r="G1806" t="s">
        <v>32840</v>
      </c>
      <c r="H1806" t="s">
        <v>32848</v>
      </c>
      <c r="I1806" t="s">
        <v>4776</v>
      </c>
      <c r="J1806" t="s">
        <v>34253</v>
      </c>
      <c r="K1806" t="s">
        <v>42732</v>
      </c>
      <c r="M1806" t="s">
        <v>43840</v>
      </c>
      <c r="N1806" t="s">
        <v>47424</v>
      </c>
      <c r="O1806" t="s">
        <v>47425</v>
      </c>
      <c r="P1806">
        <v>0</v>
      </c>
      <c r="Q1806">
        <v>0</v>
      </c>
      <c r="R1806" t="s">
        <v>47429</v>
      </c>
      <c r="S1806" t="s">
        <v>47542</v>
      </c>
      <c r="T1806" t="s">
        <v>49119</v>
      </c>
      <c r="U1806" t="s">
        <v>51257</v>
      </c>
      <c r="W1806" t="s">
        <v>43840</v>
      </c>
      <c r="X1806" t="s">
        <v>47426</v>
      </c>
    </row>
    <row r="1807" spans="1:24">
      <c r="A1807">
        <f>HYPERLINK("https://www.philgeps.gov.ph/GEPSNONPILOT/Tender/SplashBidNoticeAbstractUI.aspx?menuIndex=3&amp;refID=7167065&amp;Result=3","7167065")</f>
        <v>0</v>
      </c>
      <c r="B1807" t="s">
        <v>381</v>
      </c>
      <c r="C1807" t="s">
        <v>5639</v>
      </c>
      <c r="E1807" t="s">
        <v>20754</v>
      </c>
      <c r="F1807" t="s">
        <v>32831</v>
      </c>
      <c r="G1807" t="s">
        <v>32842</v>
      </c>
      <c r="H1807" t="s">
        <v>32848</v>
      </c>
      <c r="I1807" t="s">
        <v>32860</v>
      </c>
      <c r="J1807" t="s">
        <v>34254</v>
      </c>
      <c r="K1807" t="s">
        <v>42732</v>
      </c>
      <c r="M1807" t="s">
        <v>43385</v>
      </c>
      <c r="N1807" t="s">
        <v>47424</v>
      </c>
      <c r="O1807" t="s">
        <v>47425</v>
      </c>
      <c r="P1807">
        <v>0</v>
      </c>
      <c r="Q1807">
        <v>0</v>
      </c>
      <c r="R1807" t="s">
        <v>47429</v>
      </c>
      <c r="S1807" t="s">
        <v>47542</v>
      </c>
      <c r="T1807" t="s">
        <v>49104</v>
      </c>
      <c r="U1807" t="s">
        <v>51258</v>
      </c>
      <c r="W1807" t="s">
        <v>43385</v>
      </c>
      <c r="X1807" t="s">
        <v>47426</v>
      </c>
    </row>
    <row r="1808" spans="1:24">
      <c r="A1808">
        <f>HYPERLINK("https://www.philgeps.gov.ph/GEPSNONPILOT/Tender/SplashBidNoticeAbstractUI.aspx?menuIndex=3&amp;refID=7167064&amp;Result=3","7167064")</f>
        <v>0</v>
      </c>
      <c r="B1808" t="s">
        <v>856</v>
      </c>
      <c r="C1808" t="s">
        <v>5640</v>
      </c>
      <c r="D1808" t="s">
        <v>19037</v>
      </c>
      <c r="E1808" t="s">
        <v>20755</v>
      </c>
      <c r="F1808" t="s">
        <v>32831</v>
      </c>
      <c r="G1808" t="s">
        <v>32838</v>
      </c>
      <c r="H1808" t="s">
        <v>32848</v>
      </c>
      <c r="I1808" t="s">
        <v>32857</v>
      </c>
      <c r="J1808" t="s">
        <v>34255</v>
      </c>
      <c r="K1808" t="s">
        <v>42732</v>
      </c>
      <c r="M1808" t="s">
        <v>43889</v>
      </c>
      <c r="N1808" t="s">
        <v>47424</v>
      </c>
      <c r="O1808" t="s">
        <v>47425</v>
      </c>
      <c r="P1808">
        <v>0</v>
      </c>
      <c r="Q1808">
        <v>0</v>
      </c>
      <c r="R1808" t="s">
        <v>47429</v>
      </c>
      <c r="S1808" t="s">
        <v>47542</v>
      </c>
      <c r="T1808" t="s">
        <v>49068</v>
      </c>
      <c r="U1808" t="s">
        <v>51259</v>
      </c>
      <c r="W1808" t="s">
        <v>43889</v>
      </c>
      <c r="X1808" t="s">
        <v>47426</v>
      </c>
    </row>
    <row r="1809" spans="1:24">
      <c r="A1809">
        <f>HYPERLINK("https://www.philgeps.gov.ph/GEPSNONPILOT/Tender/SplashBidNoticeAbstractUI.aspx?menuIndex=3&amp;refID=7167062&amp;Result=3","7167062")</f>
        <v>0</v>
      </c>
      <c r="B1809" t="s">
        <v>111</v>
      </c>
      <c r="C1809" t="s">
        <v>5641</v>
      </c>
      <c r="D1809" t="s">
        <v>19059</v>
      </c>
      <c r="E1809" t="s">
        <v>20756</v>
      </c>
      <c r="F1809" t="s">
        <v>32831</v>
      </c>
      <c r="G1809" t="s">
        <v>32838</v>
      </c>
      <c r="H1809" t="s">
        <v>32848</v>
      </c>
      <c r="I1809" t="s">
        <v>4558</v>
      </c>
      <c r="J1809" t="s">
        <v>34256</v>
      </c>
      <c r="K1809" t="s">
        <v>42726</v>
      </c>
      <c r="M1809" t="s">
        <v>43108</v>
      </c>
      <c r="N1809" t="s">
        <v>47424</v>
      </c>
      <c r="O1809" t="s">
        <v>47425</v>
      </c>
      <c r="P1809">
        <v>0</v>
      </c>
      <c r="Q1809">
        <v>0</v>
      </c>
      <c r="R1809" t="s">
        <v>47429</v>
      </c>
      <c r="S1809" t="s">
        <v>47542</v>
      </c>
      <c r="T1809" t="s">
        <v>49089</v>
      </c>
      <c r="U1809" t="s">
        <v>51260</v>
      </c>
      <c r="W1809" t="s">
        <v>43108</v>
      </c>
      <c r="X1809" t="s">
        <v>47426</v>
      </c>
    </row>
    <row r="1810" spans="1:24">
      <c r="A1810">
        <f>HYPERLINK("https://www.philgeps.gov.ph/GEPSNONPILOT/Tender/SplashBidNoticeAbstractUI.aspx?menuIndex=3&amp;refID=7167061&amp;Result=3","7167061")</f>
        <v>0</v>
      </c>
      <c r="B1810" t="s">
        <v>460</v>
      </c>
      <c r="C1810" t="s">
        <v>5642</v>
      </c>
      <c r="D1810" t="s">
        <v>19086</v>
      </c>
      <c r="E1810" t="s">
        <v>20757</v>
      </c>
      <c r="F1810" t="s">
        <v>32831</v>
      </c>
      <c r="G1810" t="s">
        <v>32840</v>
      </c>
      <c r="H1810" t="s">
        <v>32848</v>
      </c>
      <c r="I1810" t="s">
        <v>32854</v>
      </c>
      <c r="J1810" t="s">
        <v>34257</v>
      </c>
      <c r="K1810" t="s">
        <v>42732</v>
      </c>
      <c r="M1810" t="s">
        <v>43465</v>
      </c>
      <c r="N1810" t="s">
        <v>47424</v>
      </c>
      <c r="O1810" t="s">
        <v>47425</v>
      </c>
      <c r="P1810">
        <v>0</v>
      </c>
      <c r="Q1810">
        <v>0</v>
      </c>
      <c r="R1810" t="s">
        <v>47429</v>
      </c>
      <c r="S1810" t="s">
        <v>47542</v>
      </c>
      <c r="T1810" t="s">
        <v>49089</v>
      </c>
      <c r="U1810" t="s">
        <v>51261</v>
      </c>
      <c r="V1810" t="s">
        <v>62728</v>
      </c>
      <c r="W1810" t="s">
        <v>43465</v>
      </c>
      <c r="X1810" t="s">
        <v>47426</v>
      </c>
    </row>
    <row r="1811" spans="1:24">
      <c r="A1811">
        <f>HYPERLINK("https://www.philgeps.gov.ph/GEPSNONPILOT/Tender/SplashBidNoticeAbstractUI.aspx?menuIndex=3&amp;refID=7167027&amp;Result=3","7167027")</f>
        <v>0</v>
      </c>
      <c r="B1811" t="s">
        <v>214</v>
      </c>
      <c r="C1811" t="s">
        <v>5643</v>
      </c>
      <c r="D1811" t="s">
        <v>19047</v>
      </c>
      <c r="E1811" t="s">
        <v>20758</v>
      </c>
      <c r="F1811" t="s">
        <v>32831</v>
      </c>
      <c r="G1811" t="s">
        <v>32840</v>
      </c>
      <c r="H1811" t="s">
        <v>32848</v>
      </c>
      <c r="I1811" t="s">
        <v>9577</v>
      </c>
      <c r="J1811" t="s">
        <v>34258</v>
      </c>
      <c r="K1811" t="s">
        <v>42726</v>
      </c>
      <c r="M1811" t="s">
        <v>43890</v>
      </c>
      <c r="N1811" t="s">
        <v>47424</v>
      </c>
      <c r="O1811" t="s">
        <v>47425</v>
      </c>
      <c r="P1811">
        <v>0</v>
      </c>
      <c r="Q1811">
        <v>0</v>
      </c>
      <c r="R1811" t="s">
        <v>47429</v>
      </c>
      <c r="S1811" t="s">
        <v>47542</v>
      </c>
      <c r="T1811" t="s">
        <v>49218</v>
      </c>
      <c r="U1811" t="s">
        <v>51262</v>
      </c>
      <c r="W1811" t="s">
        <v>43890</v>
      </c>
      <c r="X1811" t="s">
        <v>47426</v>
      </c>
    </row>
    <row r="1812" spans="1:24">
      <c r="A1812">
        <f>HYPERLINK("https://www.philgeps.gov.ph/GEPSNONPILOT/Tender/SplashBidNoticeAbstractUI.aspx?menuIndex=3&amp;refID=7167060&amp;Result=3","7167060")</f>
        <v>0</v>
      </c>
      <c r="B1812" t="s">
        <v>817</v>
      </c>
      <c r="C1812" t="s">
        <v>5644</v>
      </c>
      <c r="D1812" t="s">
        <v>19077</v>
      </c>
      <c r="E1812" t="s">
        <v>20759</v>
      </c>
      <c r="F1812" t="s">
        <v>32831</v>
      </c>
      <c r="G1812" t="s">
        <v>32840</v>
      </c>
      <c r="H1812" t="s">
        <v>32848</v>
      </c>
      <c r="I1812" t="s">
        <v>32860</v>
      </c>
      <c r="J1812" t="s">
        <v>34259</v>
      </c>
      <c r="K1812" t="s">
        <v>42730</v>
      </c>
      <c r="M1812" t="s">
        <v>43848</v>
      </c>
      <c r="N1812" t="s">
        <v>47424</v>
      </c>
      <c r="O1812" t="s">
        <v>47425</v>
      </c>
      <c r="P1812">
        <v>0</v>
      </c>
      <c r="Q1812">
        <v>1</v>
      </c>
      <c r="R1812" t="s">
        <v>47429</v>
      </c>
      <c r="S1812" t="s">
        <v>47542</v>
      </c>
      <c r="T1812" t="s">
        <v>49073</v>
      </c>
      <c r="U1812" t="s">
        <v>51192</v>
      </c>
      <c r="W1812" t="s">
        <v>43848</v>
      </c>
      <c r="X1812" t="s">
        <v>47426</v>
      </c>
    </row>
    <row r="1813" spans="1:24">
      <c r="A1813">
        <f>HYPERLINK("https://www.philgeps.gov.ph/GEPSNONPILOT/Tender/SplashBidNoticeAbstractUI.aspx?menuIndex=3&amp;refID=7167057&amp;Result=3","7167057")</f>
        <v>0</v>
      </c>
      <c r="B1813" t="s">
        <v>857</v>
      </c>
      <c r="C1813" t="s">
        <v>5645</v>
      </c>
      <c r="D1813" t="s">
        <v>19024</v>
      </c>
      <c r="E1813" t="s">
        <v>19645</v>
      </c>
      <c r="F1813" t="s">
        <v>32831</v>
      </c>
      <c r="G1813" t="s">
        <v>32839</v>
      </c>
      <c r="H1813" t="s">
        <v>32849</v>
      </c>
      <c r="I1813" t="s">
        <v>4177</v>
      </c>
      <c r="J1813" t="s">
        <v>34260</v>
      </c>
      <c r="K1813" t="s">
        <v>42757</v>
      </c>
      <c r="M1813" t="s">
        <v>43891</v>
      </c>
      <c r="N1813" t="s">
        <v>47424</v>
      </c>
      <c r="O1813" t="s">
        <v>47425</v>
      </c>
      <c r="P1813">
        <v>0</v>
      </c>
      <c r="Q1813">
        <v>0</v>
      </c>
      <c r="R1813" t="s">
        <v>47429</v>
      </c>
      <c r="S1813" t="s">
        <v>47542</v>
      </c>
      <c r="T1813" t="s">
        <v>49078</v>
      </c>
      <c r="U1813" t="s">
        <v>51263</v>
      </c>
      <c r="W1813" t="s">
        <v>43891</v>
      </c>
      <c r="X1813" t="s">
        <v>47426</v>
      </c>
    </row>
    <row r="1814" spans="1:24">
      <c r="A1814">
        <f>HYPERLINK("https://www.philgeps.gov.ph/GEPSNONPILOT/Tender/SplashBidNoticeAbstractUI.aspx?menuIndex=3&amp;refID=7167030&amp;Result=3","7167030")</f>
        <v>0</v>
      </c>
      <c r="B1814" t="s">
        <v>858</v>
      </c>
      <c r="C1814" t="s">
        <v>5646</v>
      </c>
      <c r="D1814" t="s">
        <v>19017</v>
      </c>
      <c r="E1814" t="s">
        <v>20760</v>
      </c>
      <c r="F1814" t="s">
        <v>32831</v>
      </c>
      <c r="G1814" t="s">
        <v>32842</v>
      </c>
      <c r="H1814" t="s">
        <v>32848</v>
      </c>
      <c r="I1814" t="s">
        <v>32854</v>
      </c>
      <c r="J1814" t="s">
        <v>34261</v>
      </c>
      <c r="K1814" t="s">
        <v>42727</v>
      </c>
      <c r="M1814" t="s">
        <v>43892</v>
      </c>
      <c r="N1814" t="s">
        <v>47424</v>
      </c>
      <c r="O1814" t="s">
        <v>47425</v>
      </c>
      <c r="P1814">
        <v>0</v>
      </c>
      <c r="Q1814">
        <v>0</v>
      </c>
      <c r="R1814" t="s">
        <v>47429</v>
      </c>
      <c r="S1814" t="s">
        <v>47542</v>
      </c>
      <c r="T1814" t="s">
        <v>49129</v>
      </c>
      <c r="U1814" t="s">
        <v>51264</v>
      </c>
      <c r="W1814" t="s">
        <v>43892</v>
      </c>
      <c r="X1814" t="s">
        <v>47426</v>
      </c>
    </row>
    <row r="1815" spans="1:24">
      <c r="A1815">
        <f>HYPERLINK("https://www.philgeps.gov.ph/GEPSNONPILOT/Tender/SplashBidNoticeAbstractUI.aspx?menuIndex=3&amp;refID=7167053&amp;Result=3","7167053")</f>
        <v>0</v>
      </c>
      <c r="B1815" t="s">
        <v>807</v>
      </c>
      <c r="C1815" t="s">
        <v>5647</v>
      </c>
      <c r="D1815" t="s">
        <v>19044</v>
      </c>
      <c r="E1815" t="s">
        <v>20761</v>
      </c>
      <c r="F1815" t="s">
        <v>32831</v>
      </c>
      <c r="G1815" t="s">
        <v>32839</v>
      </c>
      <c r="H1815" t="s">
        <v>32848</v>
      </c>
      <c r="I1815" t="s">
        <v>32867</v>
      </c>
      <c r="J1815" t="s">
        <v>33087</v>
      </c>
      <c r="K1815" t="s">
        <v>42727</v>
      </c>
      <c r="M1815" t="s">
        <v>43838</v>
      </c>
      <c r="N1815" t="s">
        <v>47424</v>
      </c>
      <c r="O1815" t="s">
        <v>47425</v>
      </c>
      <c r="P1815">
        <v>0</v>
      </c>
      <c r="Q1815">
        <v>0</v>
      </c>
      <c r="R1815" t="s">
        <v>47429</v>
      </c>
      <c r="S1815" t="s">
        <v>47542</v>
      </c>
      <c r="T1815" t="s">
        <v>49065</v>
      </c>
      <c r="U1815" t="s">
        <v>51265</v>
      </c>
      <c r="W1815" t="s">
        <v>43838</v>
      </c>
      <c r="X1815" t="s">
        <v>47426</v>
      </c>
    </row>
    <row r="1816" spans="1:24">
      <c r="A1816">
        <f>HYPERLINK("https://www.philgeps.gov.ph/GEPSNONPILOT/Tender/SplashBidNoticeAbstractUI.aspx?menuIndex=3&amp;refID=7167023&amp;Result=3","7167023")</f>
        <v>0</v>
      </c>
      <c r="B1816" t="s">
        <v>832</v>
      </c>
      <c r="C1816" t="s">
        <v>5648</v>
      </c>
      <c r="D1816" t="s">
        <v>19017</v>
      </c>
      <c r="E1816" t="s">
        <v>20762</v>
      </c>
      <c r="F1816" t="s">
        <v>32831</v>
      </c>
      <c r="G1816" t="s">
        <v>32842</v>
      </c>
      <c r="H1816" t="s">
        <v>32848</v>
      </c>
      <c r="I1816" t="s">
        <v>4438</v>
      </c>
      <c r="J1816" t="s">
        <v>34262</v>
      </c>
      <c r="K1816" t="s">
        <v>42727</v>
      </c>
      <c r="M1816" t="s">
        <v>43864</v>
      </c>
      <c r="N1816" t="s">
        <v>47424</v>
      </c>
      <c r="O1816" t="s">
        <v>47425</v>
      </c>
      <c r="P1816">
        <v>0</v>
      </c>
      <c r="Q1816">
        <v>0</v>
      </c>
      <c r="R1816" t="s">
        <v>47429</v>
      </c>
      <c r="S1816" t="s">
        <v>47542</v>
      </c>
      <c r="T1816" t="s">
        <v>49059</v>
      </c>
      <c r="U1816" t="s">
        <v>51215</v>
      </c>
      <c r="V1816" t="s">
        <v>62822</v>
      </c>
      <c r="W1816" t="s">
        <v>43864</v>
      </c>
      <c r="X1816" t="s">
        <v>47426</v>
      </c>
    </row>
    <row r="1817" spans="1:24">
      <c r="A1817">
        <f>HYPERLINK("https://www.philgeps.gov.ph/GEPSNONPILOT/Tender/SplashBidNoticeAbstractUI.aspx?menuIndex=3&amp;refID=7167050&amp;Result=3","7167050")</f>
        <v>0</v>
      </c>
      <c r="B1817" t="s">
        <v>859</v>
      </c>
      <c r="C1817" t="s">
        <v>5649</v>
      </c>
      <c r="D1817" t="s">
        <v>19102</v>
      </c>
      <c r="E1817" t="s">
        <v>20763</v>
      </c>
      <c r="F1817" t="s">
        <v>32831</v>
      </c>
      <c r="G1817" t="s">
        <v>32838</v>
      </c>
      <c r="H1817" t="s">
        <v>32848</v>
      </c>
      <c r="I1817" t="s">
        <v>4303</v>
      </c>
      <c r="J1817" t="s">
        <v>34263</v>
      </c>
      <c r="K1817" t="s">
        <v>42745</v>
      </c>
      <c r="M1817" t="s">
        <v>43893</v>
      </c>
      <c r="N1817" t="s">
        <v>47424</v>
      </c>
      <c r="O1817" t="s">
        <v>47425</v>
      </c>
      <c r="P1817">
        <v>0</v>
      </c>
      <c r="Q1817">
        <v>0</v>
      </c>
      <c r="R1817" t="s">
        <v>47429</v>
      </c>
      <c r="S1817" t="s">
        <v>47542</v>
      </c>
      <c r="T1817" t="s">
        <v>49285</v>
      </c>
      <c r="U1817" t="s">
        <v>51266</v>
      </c>
      <c r="W1817" t="s">
        <v>64448</v>
      </c>
      <c r="X1817" t="s">
        <v>47426</v>
      </c>
    </row>
    <row r="1818" spans="1:24">
      <c r="A1818">
        <f>HYPERLINK("https://www.philgeps.gov.ph/GEPSNONPILOT/Tender/SplashBidNoticeAbstractUI.aspx?menuIndex=3&amp;refID=7167056&amp;Result=3","7167056")</f>
        <v>0</v>
      </c>
      <c r="B1818" t="s">
        <v>860</v>
      </c>
      <c r="C1818" t="s">
        <v>5650</v>
      </c>
      <c r="D1818" t="s">
        <v>19050</v>
      </c>
      <c r="E1818" t="s">
        <v>20764</v>
      </c>
      <c r="F1818" t="s">
        <v>32831</v>
      </c>
      <c r="G1818" t="s">
        <v>32840</v>
      </c>
      <c r="H1818" t="s">
        <v>32848</v>
      </c>
      <c r="I1818" t="s">
        <v>5379</v>
      </c>
      <c r="J1818" t="s">
        <v>34264</v>
      </c>
      <c r="K1818" t="s">
        <v>42730</v>
      </c>
      <c r="M1818" t="s">
        <v>43894</v>
      </c>
      <c r="N1818" t="s">
        <v>47424</v>
      </c>
      <c r="O1818" t="s">
        <v>47425</v>
      </c>
      <c r="P1818">
        <v>0</v>
      </c>
      <c r="Q1818">
        <v>0</v>
      </c>
      <c r="R1818" t="s">
        <v>47429</v>
      </c>
      <c r="S1818" t="s">
        <v>47542</v>
      </c>
      <c r="T1818" t="s">
        <v>49150</v>
      </c>
      <c r="U1818" t="s">
        <v>51267</v>
      </c>
      <c r="W1818" t="s">
        <v>43894</v>
      </c>
      <c r="X1818" t="s">
        <v>47426</v>
      </c>
    </row>
    <row r="1819" spans="1:24">
      <c r="A1819">
        <f>HYPERLINK("https://www.philgeps.gov.ph/GEPSNONPILOT/Tender/SplashBidNoticeAbstractUI.aspx?menuIndex=3&amp;refID=7166948&amp;Result=3","7166948")</f>
        <v>0</v>
      </c>
      <c r="B1819" t="s">
        <v>729</v>
      </c>
      <c r="C1819" t="s">
        <v>5651</v>
      </c>
      <c r="D1819" t="s">
        <v>19043</v>
      </c>
      <c r="E1819" t="s">
        <v>20765</v>
      </c>
      <c r="F1819" t="s">
        <v>32831</v>
      </c>
      <c r="G1819" t="s">
        <v>32839</v>
      </c>
      <c r="H1819" t="s">
        <v>32848</v>
      </c>
      <c r="I1819" t="s">
        <v>4776</v>
      </c>
      <c r="J1819" t="s">
        <v>34265</v>
      </c>
      <c r="K1819" t="s">
        <v>42727</v>
      </c>
      <c r="M1819" t="s">
        <v>43751</v>
      </c>
      <c r="N1819" t="s">
        <v>47424</v>
      </c>
      <c r="O1819" t="s">
        <v>47425</v>
      </c>
      <c r="P1819">
        <v>0</v>
      </c>
      <c r="Q1819">
        <v>0</v>
      </c>
      <c r="R1819" t="s">
        <v>47429</v>
      </c>
      <c r="S1819" t="s">
        <v>47542</v>
      </c>
      <c r="T1819" t="s">
        <v>49169</v>
      </c>
      <c r="U1819" t="s">
        <v>51268</v>
      </c>
      <c r="V1819" t="s">
        <v>62793</v>
      </c>
      <c r="W1819" t="s">
        <v>43751</v>
      </c>
      <c r="X1819" t="s">
        <v>47426</v>
      </c>
    </row>
    <row r="1820" spans="1:24">
      <c r="A1820">
        <f>HYPERLINK("https://www.philgeps.gov.ph/GEPSNONPILOT/Tender/SplashBidNoticeAbstractUI.aspx?menuIndex=3&amp;refID=7167051&amp;Result=3","7167051")</f>
        <v>0</v>
      </c>
      <c r="B1820" t="s">
        <v>861</v>
      </c>
      <c r="C1820" t="s">
        <v>5652</v>
      </c>
      <c r="D1820" t="s">
        <v>19041</v>
      </c>
      <c r="E1820" t="s">
        <v>20766</v>
      </c>
      <c r="F1820" t="s">
        <v>32831</v>
      </c>
      <c r="G1820" t="s">
        <v>32840</v>
      </c>
      <c r="H1820" t="s">
        <v>32848</v>
      </c>
      <c r="I1820" t="s">
        <v>8781</v>
      </c>
      <c r="J1820" t="s">
        <v>33007</v>
      </c>
      <c r="K1820" t="s">
        <v>42732</v>
      </c>
      <c r="M1820" t="s">
        <v>43895</v>
      </c>
      <c r="N1820" t="s">
        <v>47424</v>
      </c>
      <c r="O1820" t="s">
        <v>47425</v>
      </c>
      <c r="P1820">
        <v>0</v>
      </c>
      <c r="Q1820">
        <v>0</v>
      </c>
      <c r="R1820" t="s">
        <v>47429</v>
      </c>
      <c r="S1820" t="s">
        <v>47542</v>
      </c>
      <c r="T1820" t="s">
        <v>49129</v>
      </c>
      <c r="U1820" t="s">
        <v>51269</v>
      </c>
      <c r="W1820" t="s">
        <v>43895</v>
      </c>
      <c r="X1820" t="s">
        <v>47426</v>
      </c>
    </row>
    <row r="1821" spans="1:24">
      <c r="A1821">
        <f>HYPERLINK("https://www.philgeps.gov.ph/GEPSNONPILOT/Tender/SplashBidNoticeAbstractUI.aspx?menuIndex=3&amp;refID=7167034&amp;Result=3","7167034")</f>
        <v>0</v>
      </c>
      <c r="B1821" t="s">
        <v>862</v>
      </c>
      <c r="C1821" t="s">
        <v>5653</v>
      </c>
      <c r="D1821" t="s">
        <v>19074</v>
      </c>
      <c r="E1821" t="s">
        <v>20767</v>
      </c>
      <c r="F1821" t="s">
        <v>32831</v>
      </c>
      <c r="G1821" t="s">
        <v>32839</v>
      </c>
      <c r="H1821" t="s">
        <v>32849</v>
      </c>
      <c r="I1821" t="s">
        <v>4177</v>
      </c>
      <c r="J1821" t="s">
        <v>34266</v>
      </c>
      <c r="K1821" t="s">
        <v>42761</v>
      </c>
      <c r="M1821" t="s">
        <v>43896</v>
      </c>
      <c r="N1821" t="s">
        <v>47424</v>
      </c>
      <c r="O1821" t="s">
        <v>47425</v>
      </c>
      <c r="P1821">
        <v>0</v>
      </c>
      <c r="Q1821">
        <v>0</v>
      </c>
      <c r="R1821" t="s">
        <v>47429</v>
      </c>
      <c r="S1821" t="s">
        <v>47542</v>
      </c>
      <c r="T1821" t="s">
        <v>49078</v>
      </c>
      <c r="U1821" t="s">
        <v>51270</v>
      </c>
      <c r="W1821" t="s">
        <v>43896</v>
      </c>
      <c r="X1821" t="s">
        <v>47426</v>
      </c>
    </row>
    <row r="1822" spans="1:24">
      <c r="A1822">
        <f>HYPERLINK("https://www.philgeps.gov.ph/GEPSNONPILOT/Tender/SplashBidNoticeAbstractUI.aspx?menuIndex=3&amp;refID=7167059&amp;Result=3","7167059")</f>
        <v>0</v>
      </c>
      <c r="B1822" t="s">
        <v>863</v>
      </c>
      <c r="C1822" t="s">
        <v>5654</v>
      </c>
      <c r="D1822" t="s">
        <v>19074</v>
      </c>
      <c r="E1822" t="s">
        <v>19948</v>
      </c>
      <c r="F1822" t="s">
        <v>32831</v>
      </c>
      <c r="G1822" t="s">
        <v>32840</v>
      </c>
      <c r="H1822" t="s">
        <v>32848</v>
      </c>
      <c r="I1822" t="s">
        <v>4438</v>
      </c>
      <c r="J1822" t="s">
        <v>34267</v>
      </c>
      <c r="K1822" t="s">
        <v>42759</v>
      </c>
      <c r="M1822" t="s">
        <v>43897</v>
      </c>
      <c r="N1822" t="s">
        <v>47424</v>
      </c>
      <c r="O1822" t="s">
        <v>47425</v>
      </c>
      <c r="P1822">
        <v>0</v>
      </c>
      <c r="Q1822">
        <v>0</v>
      </c>
      <c r="R1822" t="s">
        <v>47429</v>
      </c>
      <c r="S1822" t="s">
        <v>47542</v>
      </c>
      <c r="T1822" t="s">
        <v>49108</v>
      </c>
      <c r="U1822" t="s">
        <v>51271</v>
      </c>
      <c r="V1822" t="s">
        <v>62711</v>
      </c>
      <c r="W1822" t="s">
        <v>43897</v>
      </c>
      <c r="X1822" t="s">
        <v>47426</v>
      </c>
    </row>
    <row r="1823" spans="1:24">
      <c r="A1823">
        <f>HYPERLINK("https://www.philgeps.gov.ph/GEPSNONPILOT/Tender/SplashBidNoticeAbstractUI.aspx?menuIndex=3&amp;refID=7167021&amp;Result=3","7167021")</f>
        <v>0</v>
      </c>
      <c r="B1823" t="s">
        <v>213</v>
      </c>
      <c r="C1823" t="s">
        <v>5655</v>
      </c>
      <c r="D1823" t="s">
        <v>19065</v>
      </c>
      <c r="E1823" t="s">
        <v>20768</v>
      </c>
      <c r="F1823" t="s">
        <v>32831</v>
      </c>
      <c r="G1823" t="s">
        <v>32838</v>
      </c>
      <c r="H1823" t="s">
        <v>32848</v>
      </c>
      <c r="I1823" t="s">
        <v>32860</v>
      </c>
      <c r="J1823" t="s">
        <v>34268</v>
      </c>
      <c r="K1823" t="s">
        <v>42732</v>
      </c>
      <c r="M1823" t="s">
        <v>43832</v>
      </c>
      <c r="N1823" t="s">
        <v>47424</v>
      </c>
      <c r="O1823" t="s">
        <v>47425</v>
      </c>
      <c r="P1823">
        <v>0</v>
      </c>
      <c r="Q1823">
        <v>0</v>
      </c>
      <c r="R1823" t="s">
        <v>47429</v>
      </c>
      <c r="S1823" t="s">
        <v>47542</v>
      </c>
      <c r="T1823" t="s">
        <v>49089</v>
      </c>
      <c r="U1823" t="s">
        <v>51272</v>
      </c>
      <c r="V1823" t="s">
        <v>62662</v>
      </c>
      <c r="W1823" t="s">
        <v>43832</v>
      </c>
      <c r="X1823" t="s">
        <v>47426</v>
      </c>
    </row>
    <row r="1824" spans="1:24">
      <c r="A1824">
        <f>HYPERLINK("https://www.philgeps.gov.ph/GEPSNONPILOT/Tender/SplashBidNoticeAbstractUI.aspx?menuIndex=3&amp;refID=7167049&amp;Result=3","7167049")</f>
        <v>0</v>
      </c>
      <c r="B1824" t="s">
        <v>774</v>
      </c>
      <c r="C1824" t="s">
        <v>5656</v>
      </c>
      <c r="D1824" t="s">
        <v>19034</v>
      </c>
      <c r="E1824" t="s">
        <v>20769</v>
      </c>
      <c r="F1824" t="s">
        <v>32831</v>
      </c>
      <c r="G1824" t="s">
        <v>32839</v>
      </c>
      <c r="H1824" t="s">
        <v>32849</v>
      </c>
      <c r="I1824" t="s">
        <v>4177</v>
      </c>
      <c r="J1824" t="s">
        <v>33241</v>
      </c>
      <c r="K1824" t="s">
        <v>42729</v>
      </c>
      <c r="M1824" t="s">
        <v>43803</v>
      </c>
      <c r="N1824" t="s">
        <v>47424</v>
      </c>
      <c r="O1824" t="s">
        <v>47425</v>
      </c>
      <c r="P1824">
        <v>0</v>
      </c>
      <c r="Q1824">
        <v>0</v>
      </c>
      <c r="R1824" t="s">
        <v>47429</v>
      </c>
      <c r="S1824" t="s">
        <v>47542</v>
      </c>
      <c r="T1824" t="s">
        <v>49106</v>
      </c>
      <c r="U1824" t="s">
        <v>51273</v>
      </c>
      <c r="W1824" t="s">
        <v>43803</v>
      </c>
      <c r="X1824" t="s">
        <v>47426</v>
      </c>
    </row>
    <row r="1825" spans="1:24">
      <c r="A1825">
        <f>HYPERLINK("https://www.philgeps.gov.ph/GEPSNONPILOT/Tender/SplashBidNoticeAbstractUI.aspx?menuIndex=3&amp;refID=7167045&amp;Result=3","7167045")</f>
        <v>0</v>
      </c>
      <c r="B1825" t="s">
        <v>864</v>
      </c>
      <c r="C1825" t="s">
        <v>5657</v>
      </c>
      <c r="D1825" t="s">
        <v>19021</v>
      </c>
      <c r="E1825" t="s">
        <v>20770</v>
      </c>
      <c r="F1825" t="s">
        <v>32831</v>
      </c>
      <c r="G1825" t="s">
        <v>32839</v>
      </c>
      <c r="H1825" t="s">
        <v>32849</v>
      </c>
      <c r="I1825" t="s">
        <v>4177</v>
      </c>
      <c r="J1825" t="s">
        <v>34269</v>
      </c>
      <c r="K1825" t="s">
        <v>42770</v>
      </c>
      <c r="M1825" t="s">
        <v>43898</v>
      </c>
      <c r="N1825" t="s">
        <v>47424</v>
      </c>
      <c r="O1825" t="s">
        <v>47425</v>
      </c>
      <c r="P1825">
        <v>0</v>
      </c>
      <c r="Q1825">
        <v>1</v>
      </c>
      <c r="R1825" t="s">
        <v>47429</v>
      </c>
      <c r="S1825" t="s">
        <v>47542</v>
      </c>
      <c r="T1825" t="s">
        <v>49060</v>
      </c>
      <c r="U1825" t="s">
        <v>51274</v>
      </c>
      <c r="W1825" t="s">
        <v>43898</v>
      </c>
      <c r="X1825" t="s">
        <v>47426</v>
      </c>
    </row>
    <row r="1826" spans="1:24">
      <c r="A1826">
        <f>HYPERLINK("https://www.philgeps.gov.ph/GEPSNONPILOT/Tender/SplashBidNoticeAbstractUI.aspx?menuIndex=3&amp;refID=7167018&amp;Result=3","7167018")</f>
        <v>0</v>
      </c>
      <c r="B1826" t="s">
        <v>825</v>
      </c>
      <c r="C1826" t="s">
        <v>5658</v>
      </c>
      <c r="D1826" t="s">
        <v>19046</v>
      </c>
      <c r="E1826" t="s">
        <v>20771</v>
      </c>
      <c r="F1826" t="s">
        <v>32831</v>
      </c>
      <c r="G1826" t="s">
        <v>32838</v>
      </c>
      <c r="H1826" t="s">
        <v>32848</v>
      </c>
      <c r="I1826" t="s">
        <v>9577</v>
      </c>
      <c r="J1826" t="s">
        <v>34270</v>
      </c>
      <c r="K1826" t="s">
        <v>42730</v>
      </c>
      <c r="M1826" t="s">
        <v>43856</v>
      </c>
      <c r="N1826" t="s">
        <v>47424</v>
      </c>
      <c r="O1826" t="s">
        <v>47425</v>
      </c>
      <c r="P1826">
        <v>0</v>
      </c>
      <c r="Q1826">
        <v>0</v>
      </c>
      <c r="R1826" t="s">
        <v>47429</v>
      </c>
      <c r="S1826" t="s">
        <v>47542</v>
      </c>
      <c r="T1826" t="s">
        <v>49104</v>
      </c>
      <c r="U1826" t="s">
        <v>51275</v>
      </c>
      <c r="W1826" t="s">
        <v>43856</v>
      </c>
      <c r="X1826" t="s">
        <v>47426</v>
      </c>
    </row>
    <row r="1827" spans="1:24">
      <c r="A1827">
        <f>HYPERLINK("https://www.philgeps.gov.ph/GEPSNONPILOT/Tender/SplashBidNoticeAbstractUI.aspx?menuIndex=3&amp;refID=7167044&amp;Result=3","7167044")</f>
        <v>0</v>
      </c>
      <c r="B1827" t="s">
        <v>580</v>
      </c>
      <c r="C1827" t="s">
        <v>5659</v>
      </c>
      <c r="D1827" t="s">
        <v>19045</v>
      </c>
      <c r="E1827" t="s">
        <v>20772</v>
      </c>
      <c r="F1827" t="s">
        <v>32831</v>
      </c>
      <c r="G1827" t="s">
        <v>32838</v>
      </c>
      <c r="H1827" t="s">
        <v>32848</v>
      </c>
      <c r="I1827" t="s">
        <v>4558</v>
      </c>
      <c r="J1827" t="s">
        <v>34271</v>
      </c>
      <c r="K1827" t="s">
        <v>42727</v>
      </c>
      <c r="M1827" t="s">
        <v>43591</v>
      </c>
      <c r="N1827" t="s">
        <v>47424</v>
      </c>
      <c r="O1827" t="s">
        <v>47425</v>
      </c>
      <c r="P1827">
        <v>0</v>
      </c>
      <c r="Q1827">
        <v>0</v>
      </c>
      <c r="R1827" t="s">
        <v>47429</v>
      </c>
      <c r="S1827" t="s">
        <v>47542</v>
      </c>
      <c r="T1827" t="s">
        <v>49129</v>
      </c>
      <c r="U1827" t="s">
        <v>51276</v>
      </c>
      <c r="W1827" t="s">
        <v>43591</v>
      </c>
      <c r="X1827" t="s">
        <v>47426</v>
      </c>
    </row>
    <row r="1828" spans="1:24">
      <c r="A1828">
        <f>HYPERLINK("https://www.philgeps.gov.ph/GEPSNONPILOT/Tender/SplashBidNoticeAbstractUI.aspx?menuIndex=3&amp;refID=7167012&amp;Result=3","7167012")</f>
        <v>0</v>
      </c>
      <c r="B1828" t="s">
        <v>808</v>
      </c>
      <c r="C1828" t="s">
        <v>5660</v>
      </c>
      <c r="D1828" t="s">
        <v>19017</v>
      </c>
      <c r="E1828" t="s">
        <v>19974</v>
      </c>
      <c r="F1828" t="s">
        <v>32831</v>
      </c>
      <c r="G1828" t="s">
        <v>32839</v>
      </c>
      <c r="H1828" t="s">
        <v>32848</v>
      </c>
      <c r="I1828" t="s">
        <v>8577</v>
      </c>
      <c r="J1828" t="s">
        <v>33111</v>
      </c>
      <c r="K1828" t="s">
        <v>42730</v>
      </c>
      <c r="M1828" t="s">
        <v>43839</v>
      </c>
      <c r="N1828" t="s">
        <v>47424</v>
      </c>
      <c r="O1828" t="s">
        <v>47425</v>
      </c>
      <c r="P1828">
        <v>0</v>
      </c>
      <c r="Q1828">
        <v>0</v>
      </c>
      <c r="R1828" t="s">
        <v>47429</v>
      </c>
      <c r="S1828" t="s">
        <v>47542</v>
      </c>
      <c r="T1828" t="s">
        <v>49277</v>
      </c>
      <c r="U1828" t="s">
        <v>51277</v>
      </c>
      <c r="V1828" t="s">
        <v>62816</v>
      </c>
      <c r="W1828" t="s">
        <v>43839</v>
      </c>
      <c r="X1828" t="s">
        <v>47426</v>
      </c>
    </row>
    <row r="1829" spans="1:24">
      <c r="A1829">
        <f>HYPERLINK("https://www.philgeps.gov.ph/GEPSNONPILOT/Tender/SplashBidNoticeAbstractUI.aspx?menuIndex=3&amp;refID=7167043&amp;Result=3","7167043")</f>
        <v>0</v>
      </c>
      <c r="B1829" t="s">
        <v>865</v>
      </c>
      <c r="C1829" t="s">
        <v>5661</v>
      </c>
      <c r="D1829" t="s">
        <v>19077</v>
      </c>
      <c r="E1829" t="s">
        <v>19202</v>
      </c>
      <c r="F1829" t="s">
        <v>32831</v>
      </c>
      <c r="G1829" t="s">
        <v>32840</v>
      </c>
      <c r="H1829" t="s">
        <v>32848</v>
      </c>
      <c r="I1829" t="s">
        <v>32878</v>
      </c>
      <c r="J1829" t="s">
        <v>34272</v>
      </c>
      <c r="K1829" t="s">
        <v>42758</v>
      </c>
      <c r="M1829" t="s">
        <v>43899</v>
      </c>
      <c r="N1829" t="s">
        <v>47424</v>
      </c>
      <c r="O1829" t="s">
        <v>47425</v>
      </c>
      <c r="P1829">
        <v>0</v>
      </c>
      <c r="Q1829">
        <v>0</v>
      </c>
      <c r="R1829" t="s">
        <v>47429</v>
      </c>
      <c r="S1829" t="s">
        <v>47542</v>
      </c>
      <c r="T1829" t="s">
        <v>49057</v>
      </c>
      <c r="U1829" t="s">
        <v>51278</v>
      </c>
      <c r="V1829" t="s">
        <v>62825</v>
      </c>
      <c r="W1829" t="s">
        <v>43899</v>
      </c>
      <c r="X1829" t="s">
        <v>47426</v>
      </c>
    </row>
    <row r="1830" spans="1:24">
      <c r="A1830">
        <f>HYPERLINK("https://www.philgeps.gov.ph/GEPSNONPILOT/Tender/SplashBidNoticeAbstractUI.aspx?menuIndex=3&amp;refID=7167009&amp;Result=3","7167009")</f>
        <v>0</v>
      </c>
      <c r="B1830" t="s">
        <v>866</v>
      </c>
      <c r="C1830" t="s">
        <v>5662</v>
      </c>
      <c r="E1830" t="s">
        <v>20773</v>
      </c>
      <c r="F1830" t="s">
        <v>32831</v>
      </c>
      <c r="G1830" t="s">
        <v>32839</v>
      </c>
      <c r="H1830" t="s">
        <v>32848</v>
      </c>
      <c r="I1830" t="s">
        <v>32934</v>
      </c>
      <c r="J1830" t="s">
        <v>34273</v>
      </c>
      <c r="K1830" t="s">
        <v>42732</v>
      </c>
      <c r="M1830" t="s">
        <v>43900</v>
      </c>
      <c r="N1830" t="s">
        <v>47424</v>
      </c>
      <c r="O1830" t="s">
        <v>47425</v>
      </c>
      <c r="P1830">
        <v>0</v>
      </c>
      <c r="Q1830">
        <v>0</v>
      </c>
      <c r="R1830" t="s">
        <v>47429</v>
      </c>
      <c r="S1830" t="s">
        <v>47542</v>
      </c>
      <c r="T1830" t="s">
        <v>49286</v>
      </c>
      <c r="U1830" t="s">
        <v>51279</v>
      </c>
      <c r="W1830" t="s">
        <v>43900</v>
      </c>
      <c r="X1830" t="s">
        <v>47426</v>
      </c>
    </row>
    <row r="1831" spans="1:24">
      <c r="A1831">
        <f>HYPERLINK("https://www.philgeps.gov.ph/GEPSNONPILOT/Tender/SplashBidNoticeAbstractUI.aspx?menuIndex=3&amp;refID=7167019&amp;Result=3","7167019")</f>
        <v>0</v>
      </c>
      <c r="B1831" t="s">
        <v>809</v>
      </c>
      <c r="C1831" t="s">
        <v>5663</v>
      </c>
      <c r="D1831" t="s">
        <v>19057</v>
      </c>
      <c r="E1831" t="s">
        <v>20774</v>
      </c>
      <c r="F1831" t="s">
        <v>32831</v>
      </c>
      <c r="G1831" t="s">
        <v>32838</v>
      </c>
      <c r="H1831" t="s">
        <v>32848</v>
      </c>
      <c r="I1831" t="s">
        <v>6526</v>
      </c>
      <c r="J1831" t="s">
        <v>33007</v>
      </c>
      <c r="K1831" t="s">
        <v>42732</v>
      </c>
      <c r="M1831" t="s">
        <v>43840</v>
      </c>
      <c r="N1831" t="s">
        <v>47424</v>
      </c>
      <c r="O1831" t="s">
        <v>47425</v>
      </c>
      <c r="P1831">
        <v>0</v>
      </c>
      <c r="Q1831">
        <v>0</v>
      </c>
      <c r="R1831" t="s">
        <v>47429</v>
      </c>
      <c r="S1831" t="s">
        <v>47542</v>
      </c>
      <c r="T1831" t="s">
        <v>49119</v>
      </c>
      <c r="U1831" t="s">
        <v>51280</v>
      </c>
      <c r="W1831" t="s">
        <v>43840</v>
      </c>
      <c r="X1831" t="s">
        <v>47426</v>
      </c>
    </row>
    <row r="1832" spans="1:24">
      <c r="A1832">
        <f>HYPERLINK("https://www.philgeps.gov.ph/GEPSNONPILOT/Tender/SplashBidNoticeAbstractUI.aspx?menuIndex=3&amp;refID=7167014&amp;Result=3","7167014")</f>
        <v>0</v>
      </c>
      <c r="B1832" t="s">
        <v>867</v>
      </c>
      <c r="C1832" t="s">
        <v>5664</v>
      </c>
      <c r="D1832" t="s">
        <v>19017</v>
      </c>
      <c r="E1832" t="s">
        <v>20775</v>
      </c>
      <c r="F1832" t="s">
        <v>32831</v>
      </c>
      <c r="G1832" t="s">
        <v>32839</v>
      </c>
      <c r="H1832" t="s">
        <v>32848</v>
      </c>
      <c r="I1832" t="s">
        <v>7819</v>
      </c>
      <c r="J1832" t="s">
        <v>32978</v>
      </c>
      <c r="K1832" t="s">
        <v>42726</v>
      </c>
      <c r="M1832" t="s">
        <v>43901</v>
      </c>
      <c r="N1832" t="s">
        <v>47424</v>
      </c>
      <c r="O1832" t="s">
        <v>47425</v>
      </c>
      <c r="P1832">
        <v>0</v>
      </c>
      <c r="Q1832">
        <v>0</v>
      </c>
      <c r="R1832" t="s">
        <v>47429</v>
      </c>
      <c r="S1832" t="s">
        <v>47542</v>
      </c>
      <c r="T1832" t="s">
        <v>49060</v>
      </c>
      <c r="U1832" t="s">
        <v>51281</v>
      </c>
      <c r="W1832" t="s">
        <v>43901</v>
      </c>
      <c r="X1832" t="s">
        <v>47426</v>
      </c>
    </row>
    <row r="1833" spans="1:24">
      <c r="A1833">
        <f>HYPERLINK("https://www.philgeps.gov.ph/GEPSNONPILOT/Tender/SplashBidNoticeAbstractUI.aspx?menuIndex=3&amp;refID=7166984&amp;Result=3","7166984")</f>
        <v>0</v>
      </c>
      <c r="B1833" t="s">
        <v>764</v>
      </c>
      <c r="C1833" t="s">
        <v>5283</v>
      </c>
      <c r="D1833" t="s">
        <v>19086</v>
      </c>
      <c r="E1833" t="s">
        <v>20776</v>
      </c>
      <c r="F1833" t="s">
        <v>32831</v>
      </c>
      <c r="G1833" t="s">
        <v>32838</v>
      </c>
      <c r="H1833" t="s">
        <v>32848</v>
      </c>
      <c r="I1833" t="s">
        <v>7416</v>
      </c>
      <c r="J1833" t="s">
        <v>33007</v>
      </c>
      <c r="K1833" t="s">
        <v>42727</v>
      </c>
      <c r="M1833" t="s">
        <v>43790</v>
      </c>
      <c r="N1833" t="s">
        <v>47424</v>
      </c>
      <c r="O1833" t="s">
        <v>47425</v>
      </c>
      <c r="P1833">
        <v>0</v>
      </c>
      <c r="Q1833">
        <v>0</v>
      </c>
      <c r="R1833" t="s">
        <v>47429</v>
      </c>
      <c r="S1833" t="s">
        <v>47542</v>
      </c>
      <c r="T1833" t="s">
        <v>49129</v>
      </c>
      <c r="U1833" t="s">
        <v>51282</v>
      </c>
      <c r="V1833" t="s">
        <v>62810</v>
      </c>
      <c r="W1833" t="s">
        <v>43790</v>
      </c>
      <c r="X1833" t="s">
        <v>47426</v>
      </c>
    </row>
    <row r="1834" spans="1:24">
      <c r="A1834">
        <f>HYPERLINK("https://www.philgeps.gov.ph/GEPSNONPILOT/Tender/SplashBidNoticeAbstractUI.aspx?menuIndex=3&amp;refID=7167011&amp;Result=3","7167011")</f>
        <v>0</v>
      </c>
      <c r="B1834" t="s">
        <v>796</v>
      </c>
      <c r="C1834" t="s">
        <v>5665</v>
      </c>
      <c r="D1834" t="s">
        <v>19017</v>
      </c>
      <c r="E1834" t="s">
        <v>20777</v>
      </c>
      <c r="F1834" t="s">
        <v>32831</v>
      </c>
      <c r="G1834" t="s">
        <v>32838</v>
      </c>
      <c r="H1834" t="s">
        <v>32848</v>
      </c>
      <c r="I1834" t="s">
        <v>32864</v>
      </c>
      <c r="J1834" t="s">
        <v>34274</v>
      </c>
      <c r="K1834" t="s">
        <v>42732</v>
      </c>
      <c r="M1834" t="s">
        <v>43826</v>
      </c>
      <c r="N1834" t="s">
        <v>47424</v>
      </c>
      <c r="O1834" t="s">
        <v>47425</v>
      </c>
      <c r="P1834">
        <v>0</v>
      </c>
      <c r="Q1834">
        <v>0</v>
      </c>
      <c r="R1834" t="s">
        <v>47429</v>
      </c>
      <c r="S1834" t="s">
        <v>47542</v>
      </c>
      <c r="T1834" t="s">
        <v>49276</v>
      </c>
      <c r="U1834" t="s">
        <v>51148</v>
      </c>
      <c r="W1834" t="s">
        <v>43826</v>
      </c>
      <c r="X1834" t="s">
        <v>47426</v>
      </c>
    </row>
    <row r="1835" spans="1:24">
      <c r="A1835">
        <f>HYPERLINK("https://www.philgeps.gov.ph/GEPSNONPILOT/Tender/SplashBidNoticeAbstractUI.aspx?menuIndex=3&amp;refID=7166987&amp;Result=3","7166987")</f>
        <v>0</v>
      </c>
      <c r="B1835" t="s">
        <v>868</v>
      </c>
      <c r="C1835" t="s">
        <v>5666</v>
      </c>
      <c r="D1835" t="s">
        <v>19073</v>
      </c>
      <c r="E1835" t="s">
        <v>20778</v>
      </c>
      <c r="F1835" t="s">
        <v>32831</v>
      </c>
      <c r="G1835" t="s">
        <v>32839</v>
      </c>
      <c r="H1835" t="s">
        <v>32848</v>
      </c>
      <c r="I1835" t="s">
        <v>32935</v>
      </c>
      <c r="J1835" t="s">
        <v>33083</v>
      </c>
      <c r="K1835" t="s">
        <v>42732</v>
      </c>
      <c r="M1835" t="s">
        <v>43902</v>
      </c>
      <c r="N1835" t="s">
        <v>47424</v>
      </c>
      <c r="O1835" t="s">
        <v>47425</v>
      </c>
      <c r="P1835">
        <v>0</v>
      </c>
      <c r="Q1835">
        <v>0</v>
      </c>
      <c r="R1835" t="s">
        <v>47429</v>
      </c>
      <c r="S1835" t="s">
        <v>47542</v>
      </c>
      <c r="T1835" t="s">
        <v>49078</v>
      </c>
      <c r="U1835" t="s">
        <v>51283</v>
      </c>
      <c r="W1835" t="s">
        <v>43902</v>
      </c>
      <c r="X1835" t="s">
        <v>47426</v>
      </c>
    </row>
    <row r="1836" spans="1:24">
      <c r="A1836">
        <f>HYPERLINK("https://www.philgeps.gov.ph/GEPSNONPILOT/Tender/SplashBidNoticeAbstractUI.aspx?menuIndex=3&amp;refID=7166983&amp;Result=3","7166983")</f>
        <v>0</v>
      </c>
      <c r="B1836" t="s">
        <v>869</v>
      </c>
      <c r="C1836" t="s">
        <v>5667</v>
      </c>
      <c r="D1836" t="s">
        <v>19018</v>
      </c>
      <c r="E1836" t="s">
        <v>20779</v>
      </c>
      <c r="F1836" t="s">
        <v>32831</v>
      </c>
      <c r="G1836" t="s">
        <v>32838</v>
      </c>
      <c r="H1836" t="s">
        <v>32850</v>
      </c>
      <c r="I1836" t="s">
        <v>5667</v>
      </c>
      <c r="J1836" t="s">
        <v>33072</v>
      </c>
      <c r="K1836" t="s">
        <v>42730</v>
      </c>
      <c r="M1836" t="s">
        <v>43903</v>
      </c>
      <c r="N1836" t="s">
        <v>47424</v>
      </c>
      <c r="O1836" t="s">
        <v>47425</v>
      </c>
      <c r="P1836">
        <v>0</v>
      </c>
      <c r="Q1836">
        <v>0</v>
      </c>
      <c r="R1836" t="s">
        <v>47429</v>
      </c>
      <c r="S1836" t="s">
        <v>47542</v>
      </c>
      <c r="T1836" t="s">
        <v>49089</v>
      </c>
      <c r="U1836" t="s">
        <v>51284</v>
      </c>
      <c r="W1836" t="s">
        <v>43903</v>
      </c>
      <c r="X1836" t="s">
        <v>47426</v>
      </c>
    </row>
    <row r="1837" spans="1:24">
      <c r="A1837">
        <f>HYPERLINK("https://www.philgeps.gov.ph/GEPSNONPILOT/Tender/SplashBidNoticeAbstractUI.aspx?menuIndex=3&amp;refID=7166843&amp;Result=3","7166843")</f>
        <v>0</v>
      </c>
      <c r="B1837" t="s">
        <v>733</v>
      </c>
      <c r="C1837" t="s">
        <v>5668</v>
      </c>
      <c r="D1837" t="s">
        <v>19034</v>
      </c>
      <c r="E1837" t="s">
        <v>20502</v>
      </c>
      <c r="F1837" t="s">
        <v>32831</v>
      </c>
      <c r="G1837" t="s">
        <v>32838</v>
      </c>
      <c r="H1837" t="s">
        <v>32848</v>
      </c>
      <c r="I1837" t="s">
        <v>32904</v>
      </c>
      <c r="J1837" t="s">
        <v>34275</v>
      </c>
      <c r="K1837" t="s">
        <v>42758</v>
      </c>
      <c r="M1837" t="s">
        <v>43755</v>
      </c>
      <c r="N1837" t="s">
        <v>47424</v>
      </c>
      <c r="O1837" t="s">
        <v>47425</v>
      </c>
      <c r="P1837">
        <v>0</v>
      </c>
      <c r="Q1837">
        <v>0</v>
      </c>
      <c r="R1837" t="s">
        <v>47429</v>
      </c>
      <c r="S1837" t="s">
        <v>47542</v>
      </c>
      <c r="T1837" t="s">
        <v>49119</v>
      </c>
      <c r="U1837" t="s">
        <v>51285</v>
      </c>
      <c r="W1837" t="s">
        <v>43755</v>
      </c>
      <c r="X1837" t="s">
        <v>47426</v>
      </c>
    </row>
    <row r="1838" spans="1:24">
      <c r="A1838">
        <f>HYPERLINK("https://www.philgeps.gov.ph/GEPSNONPILOT/Tender/SplashBidNoticeAbstractUI.aspx?menuIndex=3&amp;refID=7167046&amp;Result=3","7167046")</f>
        <v>0</v>
      </c>
      <c r="B1838" t="s">
        <v>870</v>
      </c>
      <c r="C1838" t="s">
        <v>5669</v>
      </c>
      <c r="D1838" t="s">
        <v>19062</v>
      </c>
      <c r="E1838" t="s">
        <v>20780</v>
      </c>
      <c r="F1838" t="s">
        <v>32831</v>
      </c>
      <c r="G1838" t="s">
        <v>32840</v>
      </c>
      <c r="H1838" t="s">
        <v>32848</v>
      </c>
      <c r="I1838" t="s">
        <v>32855</v>
      </c>
      <c r="J1838" t="s">
        <v>34276</v>
      </c>
      <c r="K1838" t="s">
        <v>42730</v>
      </c>
      <c r="M1838" t="s">
        <v>43904</v>
      </c>
      <c r="N1838" t="s">
        <v>47424</v>
      </c>
      <c r="O1838" t="s">
        <v>47425</v>
      </c>
      <c r="P1838">
        <v>0</v>
      </c>
      <c r="Q1838">
        <v>0</v>
      </c>
      <c r="R1838" t="s">
        <v>47429</v>
      </c>
      <c r="S1838" t="s">
        <v>47542</v>
      </c>
      <c r="T1838" t="s">
        <v>49199</v>
      </c>
      <c r="U1838" t="s">
        <v>51286</v>
      </c>
      <c r="W1838" t="s">
        <v>43904</v>
      </c>
      <c r="X1838" t="s">
        <v>47426</v>
      </c>
    </row>
    <row r="1839" spans="1:24">
      <c r="A1839">
        <f>HYPERLINK("https://www.philgeps.gov.ph/GEPSNONPILOT/Tender/SplashBidNoticeAbstractUI.aspx?menuIndex=3&amp;refID=7166841&amp;Result=3","7166841")</f>
        <v>0</v>
      </c>
      <c r="B1839" t="s">
        <v>871</v>
      </c>
      <c r="C1839" t="s">
        <v>5670</v>
      </c>
      <c r="D1839" t="s">
        <v>19020</v>
      </c>
      <c r="E1839" t="s">
        <v>20781</v>
      </c>
      <c r="F1839" t="s">
        <v>32831</v>
      </c>
      <c r="G1839" t="s">
        <v>32839</v>
      </c>
      <c r="H1839" t="s">
        <v>32849</v>
      </c>
      <c r="I1839" t="s">
        <v>4177</v>
      </c>
      <c r="J1839" t="s">
        <v>34277</v>
      </c>
      <c r="K1839" t="s">
        <v>42812</v>
      </c>
      <c r="M1839" t="s">
        <v>43905</v>
      </c>
      <c r="N1839" t="s">
        <v>47424</v>
      </c>
      <c r="O1839" t="s">
        <v>47425</v>
      </c>
      <c r="P1839">
        <v>0</v>
      </c>
      <c r="Q1839">
        <v>0</v>
      </c>
      <c r="R1839" t="s">
        <v>47429</v>
      </c>
      <c r="S1839" t="s">
        <v>47542</v>
      </c>
      <c r="T1839" t="s">
        <v>49118</v>
      </c>
      <c r="U1839" t="s">
        <v>51287</v>
      </c>
      <c r="V1839" t="s">
        <v>62826</v>
      </c>
      <c r="W1839" t="s">
        <v>43905</v>
      </c>
      <c r="X1839" t="s">
        <v>47426</v>
      </c>
    </row>
    <row r="1840" spans="1:24">
      <c r="A1840">
        <f>HYPERLINK("https://www.philgeps.gov.ph/GEPSNONPILOT/Tender/SplashBidNoticeAbstractUI.aspx?menuIndex=3&amp;refID=7166840&amp;Result=3","7166840")</f>
        <v>0</v>
      </c>
      <c r="B1840" t="s">
        <v>714</v>
      </c>
      <c r="C1840" t="s">
        <v>5671</v>
      </c>
      <c r="D1840" t="s">
        <v>19038</v>
      </c>
      <c r="E1840" t="s">
        <v>20782</v>
      </c>
      <c r="F1840" t="s">
        <v>32831</v>
      </c>
      <c r="G1840" t="s">
        <v>32838</v>
      </c>
      <c r="H1840" t="s">
        <v>32848</v>
      </c>
      <c r="I1840" t="s">
        <v>32867</v>
      </c>
      <c r="J1840" t="s">
        <v>33178</v>
      </c>
      <c r="K1840" t="s">
        <v>42732</v>
      </c>
      <c r="M1840" t="s">
        <v>43734</v>
      </c>
      <c r="N1840" t="s">
        <v>47424</v>
      </c>
      <c r="O1840" t="s">
        <v>47425</v>
      </c>
      <c r="P1840">
        <v>0</v>
      </c>
      <c r="Q1840">
        <v>0</v>
      </c>
      <c r="R1840" t="s">
        <v>47429</v>
      </c>
      <c r="S1840" t="s">
        <v>47542</v>
      </c>
      <c r="T1840" t="s">
        <v>49105</v>
      </c>
      <c r="U1840" t="s">
        <v>50996</v>
      </c>
      <c r="W1840" t="s">
        <v>43734</v>
      </c>
      <c r="X1840" t="s">
        <v>47426</v>
      </c>
    </row>
    <row r="1841" spans="1:24">
      <c r="A1841">
        <f>HYPERLINK("https://www.philgeps.gov.ph/GEPSNONPILOT/Tender/SplashBidNoticeAbstractUI.aspx?menuIndex=3&amp;refID=7167047&amp;Result=3","7167047")</f>
        <v>0</v>
      </c>
      <c r="B1841" t="s">
        <v>869</v>
      </c>
      <c r="C1841" t="s">
        <v>5672</v>
      </c>
      <c r="D1841" t="s">
        <v>19018</v>
      </c>
      <c r="E1841" t="s">
        <v>20783</v>
      </c>
      <c r="F1841" t="s">
        <v>32831</v>
      </c>
      <c r="G1841" t="s">
        <v>32838</v>
      </c>
      <c r="H1841" t="s">
        <v>32848</v>
      </c>
      <c r="I1841" t="s">
        <v>32868</v>
      </c>
      <c r="J1841" t="s">
        <v>33428</v>
      </c>
      <c r="K1841" t="s">
        <v>42730</v>
      </c>
      <c r="M1841" t="s">
        <v>43903</v>
      </c>
      <c r="N1841" t="s">
        <v>47424</v>
      </c>
      <c r="O1841" t="s">
        <v>47425</v>
      </c>
      <c r="P1841">
        <v>0</v>
      </c>
      <c r="Q1841">
        <v>0</v>
      </c>
      <c r="R1841" t="s">
        <v>47429</v>
      </c>
      <c r="S1841" t="s">
        <v>47542</v>
      </c>
      <c r="T1841" t="s">
        <v>49089</v>
      </c>
      <c r="U1841" t="s">
        <v>51288</v>
      </c>
      <c r="W1841" t="s">
        <v>43903</v>
      </c>
      <c r="X1841" t="s">
        <v>47426</v>
      </c>
    </row>
    <row r="1842" spans="1:24">
      <c r="A1842">
        <f>HYPERLINK("https://www.philgeps.gov.ph/GEPSNONPILOT/Tender/SplashBidNoticeAbstractUI.aspx?menuIndex=3&amp;refID=7166827&amp;Result=3","7166827")</f>
        <v>0</v>
      </c>
      <c r="B1842" t="s">
        <v>228</v>
      </c>
      <c r="C1842" t="s">
        <v>5673</v>
      </c>
      <c r="D1842" t="s">
        <v>19033</v>
      </c>
      <c r="E1842" t="s">
        <v>20784</v>
      </c>
      <c r="F1842" t="s">
        <v>32831</v>
      </c>
      <c r="G1842" t="s">
        <v>32838</v>
      </c>
      <c r="H1842" t="s">
        <v>32848</v>
      </c>
      <c r="I1842" t="s">
        <v>32887</v>
      </c>
      <c r="J1842" t="s">
        <v>34278</v>
      </c>
      <c r="K1842" t="s">
        <v>42732</v>
      </c>
      <c r="M1842" t="s">
        <v>43791</v>
      </c>
      <c r="N1842" t="s">
        <v>47424</v>
      </c>
      <c r="O1842" t="s">
        <v>47425</v>
      </c>
      <c r="P1842">
        <v>0</v>
      </c>
      <c r="Q1842">
        <v>0</v>
      </c>
      <c r="R1842" t="s">
        <v>47429</v>
      </c>
      <c r="S1842" t="s">
        <v>47542</v>
      </c>
      <c r="T1842" t="s">
        <v>49089</v>
      </c>
      <c r="U1842" t="s">
        <v>51289</v>
      </c>
      <c r="V1842" t="s">
        <v>62800</v>
      </c>
      <c r="W1842" t="s">
        <v>43791</v>
      </c>
      <c r="X1842" t="s">
        <v>47426</v>
      </c>
    </row>
    <row r="1843" spans="1:24">
      <c r="A1843">
        <f>HYPERLINK("https://www.philgeps.gov.ph/GEPSNONPILOT/Tender/SplashBidNoticeAbstractUI.aspx?menuIndex=3&amp;refID=7166985&amp;Result=3","7166985")</f>
        <v>0</v>
      </c>
      <c r="B1843" t="s">
        <v>766</v>
      </c>
      <c r="C1843" t="s">
        <v>5674</v>
      </c>
      <c r="E1843" t="s">
        <v>20785</v>
      </c>
      <c r="F1843" t="s">
        <v>32833</v>
      </c>
      <c r="G1843" t="s">
        <v>32838</v>
      </c>
      <c r="H1843" t="s">
        <v>32848</v>
      </c>
      <c r="I1843" t="s">
        <v>32866</v>
      </c>
      <c r="J1843" t="s">
        <v>34279</v>
      </c>
      <c r="K1843" t="s">
        <v>42763</v>
      </c>
      <c r="M1843" t="s">
        <v>43794</v>
      </c>
      <c r="N1843" t="s">
        <v>47424</v>
      </c>
      <c r="O1843" t="s">
        <v>47425</v>
      </c>
      <c r="P1843">
        <v>0</v>
      </c>
      <c r="Q1843">
        <v>0</v>
      </c>
      <c r="R1843" t="s">
        <v>47429</v>
      </c>
      <c r="S1843" t="s">
        <v>47542</v>
      </c>
      <c r="T1843" t="s">
        <v>49151</v>
      </c>
      <c r="U1843" t="s">
        <v>51089</v>
      </c>
      <c r="W1843" t="s">
        <v>43794</v>
      </c>
      <c r="X1843" t="s">
        <v>47426</v>
      </c>
    </row>
    <row r="1844" spans="1:24">
      <c r="A1844">
        <f>HYPERLINK("https://www.philgeps.gov.ph/GEPSNONPILOT/Tender/SplashBidNoticeAbstractUI.aspx?menuIndex=3&amp;refID=7166839&amp;Result=3","7166839")</f>
        <v>0</v>
      </c>
      <c r="B1844" t="s">
        <v>843</v>
      </c>
      <c r="C1844" t="s">
        <v>5675</v>
      </c>
      <c r="D1844" t="s">
        <v>19019</v>
      </c>
      <c r="E1844" t="s">
        <v>20540</v>
      </c>
      <c r="F1844" t="s">
        <v>32831</v>
      </c>
      <c r="G1844" t="s">
        <v>32838</v>
      </c>
      <c r="H1844" t="s">
        <v>32848</v>
      </c>
      <c r="I1844" t="s">
        <v>4471</v>
      </c>
      <c r="J1844" t="s">
        <v>34280</v>
      </c>
      <c r="K1844" t="s">
        <v>42758</v>
      </c>
      <c r="M1844" t="s">
        <v>43876</v>
      </c>
      <c r="N1844" t="s">
        <v>47424</v>
      </c>
      <c r="O1844" t="s">
        <v>47425</v>
      </c>
      <c r="P1844">
        <v>0</v>
      </c>
      <c r="Q1844">
        <v>0</v>
      </c>
      <c r="R1844" t="s">
        <v>47429</v>
      </c>
      <c r="S1844" t="s">
        <v>47542</v>
      </c>
      <c r="T1844" t="s">
        <v>49287</v>
      </c>
      <c r="U1844" t="s">
        <v>51290</v>
      </c>
      <c r="W1844" t="s">
        <v>43876</v>
      </c>
      <c r="X1844" t="s">
        <v>47426</v>
      </c>
    </row>
    <row r="1845" spans="1:24">
      <c r="A1845">
        <f>HYPERLINK("https://www.philgeps.gov.ph/GEPSNONPILOT/Tender/SplashBidNoticeAbstractUI.aspx?menuIndex=3&amp;refID=7167007&amp;Result=3","7167007")</f>
        <v>0</v>
      </c>
      <c r="B1845" t="s">
        <v>857</v>
      </c>
      <c r="C1845" t="s">
        <v>5676</v>
      </c>
      <c r="D1845" t="s">
        <v>19024</v>
      </c>
      <c r="E1845" t="s">
        <v>19606</v>
      </c>
      <c r="F1845" t="s">
        <v>32831</v>
      </c>
      <c r="G1845" t="s">
        <v>32839</v>
      </c>
      <c r="H1845" t="s">
        <v>32848</v>
      </c>
      <c r="I1845" t="s">
        <v>32890</v>
      </c>
      <c r="J1845" t="s">
        <v>34281</v>
      </c>
      <c r="K1845" t="s">
        <v>42730</v>
      </c>
      <c r="M1845" t="s">
        <v>43891</v>
      </c>
      <c r="N1845" t="s">
        <v>47424</v>
      </c>
      <c r="O1845" t="s">
        <v>47425</v>
      </c>
      <c r="P1845">
        <v>0</v>
      </c>
      <c r="Q1845">
        <v>0</v>
      </c>
      <c r="R1845" t="s">
        <v>47429</v>
      </c>
      <c r="S1845" t="s">
        <v>47542</v>
      </c>
      <c r="T1845" t="s">
        <v>49078</v>
      </c>
      <c r="U1845" t="s">
        <v>51291</v>
      </c>
      <c r="W1845" t="s">
        <v>43891</v>
      </c>
      <c r="X1845" t="s">
        <v>47426</v>
      </c>
    </row>
    <row r="1846" spans="1:24">
      <c r="A1846">
        <f>HYPERLINK("https://www.philgeps.gov.ph/GEPSNONPILOT/Tender/SplashBidNoticeAbstractUI.aspx?menuIndex=3&amp;refID=7166861&amp;Result=3","7166861")</f>
        <v>0</v>
      </c>
      <c r="B1846" t="s">
        <v>792</v>
      </c>
      <c r="C1846" t="s">
        <v>5677</v>
      </c>
      <c r="D1846" t="s">
        <v>19100</v>
      </c>
      <c r="E1846" t="s">
        <v>20786</v>
      </c>
      <c r="F1846" t="s">
        <v>32831</v>
      </c>
      <c r="G1846" t="s">
        <v>32838</v>
      </c>
      <c r="H1846" t="s">
        <v>32848</v>
      </c>
      <c r="I1846" t="s">
        <v>32860</v>
      </c>
      <c r="J1846" t="s">
        <v>34282</v>
      </c>
      <c r="K1846" t="s">
        <v>42731</v>
      </c>
      <c r="M1846" t="s">
        <v>43822</v>
      </c>
      <c r="N1846" t="s">
        <v>47424</v>
      </c>
      <c r="O1846" t="s">
        <v>47425</v>
      </c>
      <c r="P1846">
        <v>0</v>
      </c>
      <c r="Q1846">
        <v>0</v>
      </c>
      <c r="R1846" t="s">
        <v>47429</v>
      </c>
      <c r="S1846" t="s">
        <v>47542</v>
      </c>
      <c r="T1846" t="s">
        <v>49210</v>
      </c>
      <c r="U1846" t="s">
        <v>51292</v>
      </c>
      <c r="W1846" t="s">
        <v>43822</v>
      </c>
      <c r="X1846" t="s">
        <v>47426</v>
      </c>
    </row>
    <row r="1847" spans="1:24">
      <c r="A1847">
        <f>HYPERLINK("https://www.philgeps.gov.ph/GEPSNONPILOT/Tender/SplashBidNoticeAbstractUI.aspx?menuIndex=3&amp;refID=7167094&amp;Result=3","7167094")</f>
        <v>0</v>
      </c>
      <c r="B1847" t="s">
        <v>748</v>
      </c>
      <c r="C1847" t="s">
        <v>5678</v>
      </c>
      <c r="D1847" t="s">
        <v>19081</v>
      </c>
      <c r="E1847" t="s">
        <v>20787</v>
      </c>
      <c r="F1847" t="s">
        <v>32831</v>
      </c>
      <c r="G1847" t="s">
        <v>32838</v>
      </c>
      <c r="H1847" t="s">
        <v>32848</v>
      </c>
      <c r="I1847" t="s">
        <v>4438</v>
      </c>
      <c r="J1847" t="s">
        <v>33268</v>
      </c>
      <c r="K1847" t="s">
        <v>42759</v>
      </c>
      <c r="M1847" t="s">
        <v>43771</v>
      </c>
      <c r="N1847" t="s">
        <v>47424</v>
      </c>
      <c r="O1847" t="s">
        <v>47425</v>
      </c>
      <c r="P1847">
        <v>0</v>
      </c>
      <c r="Q1847">
        <v>0</v>
      </c>
      <c r="R1847" t="s">
        <v>47429</v>
      </c>
      <c r="S1847" t="s">
        <v>47542</v>
      </c>
      <c r="T1847" t="s">
        <v>49253</v>
      </c>
      <c r="U1847" t="s">
        <v>51293</v>
      </c>
      <c r="W1847" t="s">
        <v>43771</v>
      </c>
      <c r="X1847" t="s">
        <v>47426</v>
      </c>
    </row>
    <row r="1848" spans="1:24">
      <c r="A1848">
        <f>HYPERLINK("https://www.philgeps.gov.ph/GEPSNONPILOT/Tender/SplashBidNoticeAbstractUI.aspx?menuIndex=3&amp;refID=7166986&amp;Result=3","7166986")</f>
        <v>0</v>
      </c>
      <c r="B1848" t="s">
        <v>872</v>
      </c>
      <c r="C1848" t="s">
        <v>5679</v>
      </c>
      <c r="D1848" t="s">
        <v>19071</v>
      </c>
      <c r="E1848" t="s">
        <v>20788</v>
      </c>
      <c r="F1848" t="s">
        <v>32831</v>
      </c>
      <c r="G1848" t="s">
        <v>32839</v>
      </c>
      <c r="H1848" t="s">
        <v>32848</v>
      </c>
      <c r="I1848" t="s">
        <v>7416</v>
      </c>
      <c r="J1848" t="s">
        <v>34283</v>
      </c>
      <c r="K1848" t="s">
        <v>42731</v>
      </c>
      <c r="M1848" t="s">
        <v>43906</v>
      </c>
      <c r="N1848" t="s">
        <v>47424</v>
      </c>
      <c r="O1848" t="s">
        <v>47425</v>
      </c>
      <c r="P1848">
        <v>0</v>
      </c>
      <c r="Q1848">
        <v>0</v>
      </c>
      <c r="R1848" t="s">
        <v>47429</v>
      </c>
      <c r="S1848" t="s">
        <v>47542</v>
      </c>
      <c r="T1848" t="s">
        <v>49288</v>
      </c>
      <c r="U1848" t="s">
        <v>51294</v>
      </c>
      <c r="V1848" t="s">
        <v>62827</v>
      </c>
      <c r="W1848" t="s">
        <v>43906</v>
      </c>
      <c r="X1848" t="s">
        <v>47426</v>
      </c>
    </row>
    <row r="1849" spans="1:24">
      <c r="A1849">
        <f>HYPERLINK("https://www.philgeps.gov.ph/GEPSNONPILOT/Tender/SplashBidNoticeAbstractUI.aspx?menuIndex=3&amp;refID=7166842&amp;Result=3","7166842")</f>
        <v>0</v>
      </c>
      <c r="B1849" t="s">
        <v>754</v>
      </c>
      <c r="C1849" t="s">
        <v>5680</v>
      </c>
      <c r="D1849" t="s">
        <v>19057</v>
      </c>
      <c r="E1849" t="s">
        <v>20789</v>
      </c>
      <c r="F1849" t="s">
        <v>32831</v>
      </c>
      <c r="G1849" t="s">
        <v>32839</v>
      </c>
      <c r="H1849" t="s">
        <v>32848</v>
      </c>
      <c r="I1849" t="s">
        <v>4487</v>
      </c>
      <c r="J1849" t="s">
        <v>33118</v>
      </c>
      <c r="K1849" t="s">
        <v>42731</v>
      </c>
      <c r="M1849" t="s">
        <v>43778</v>
      </c>
      <c r="N1849" t="s">
        <v>47424</v>
      </c>
      <c r="O1849" t="s">
        <v>47425</v>
      </c>
      <c r="P1849">
        <v>0</v>
      </c>
      <c r="Q1849">
        <v>1</v>
      </c>
      <c r="R1849" t="s">
        <v>47429</v>
      </c>
      <c r="S1849" t="s">
        <v>47542</v>
      </c>
      <c r="T1849" t="s">
        <v>49169</v>
      </c>
      <c r="U1849" t="s">
        <v>51228</v>
      </c>
      <c r="W1849" t="s">
        <v>43778</v>
      </c>
      <c r="X1849" t="s">
        <v>47426</v>
      </c>
    </row>
    <row r="1850" spans="1:24">
      <c r="A1850">
        <f>HYPERLINK("https://www.philgeps.gov.ph/GEPSNONPILOT/Tender/SplashBidNoticeAbstractUI.aspx?menuIndex=3&amp;refID=7167092&amp;Result=3","7167092")</f>
        <v>0</v>
      </c>
      <c r="B1850" t="s">
        <v>873</v>
      </c>
      <c r="C1850" t="s">
        <v>5681</v>
      </c>
      <c r="D1850" t="s">
        <v>19040</v>
      </c>
      <c r="E1850" t="s">
        <v>20790</v>
      </c>
      <c r="F1850" t="s">
        <v>32831</v>
      </c>
      <c r="G1850" t="s">
        <v>32840</v>
      </c>
      <c r="H1850" t="s">
        <v>32848</v>
      </c>
      <c r="I1850" t="s">
        <v>32860</v>
      </c>
      <c r="J1850" t="s">
        <v>34284</v>
      </c>
      <c r="K1850" t="s">
        <v>42758</v>
      </c>
      <c r="M1850" t="s">
        <v>43907</v>
      </c>
      <c r="N1850" t="s">
        <v>47424</v>
      </c>
      <c r="O1850" t="s">
        <v>47425</v>
      </c>
      <c r="P1850">
        <v>0</v>
      </c>
      <c r="Q1850">
        <v>0</v>
      </c>
      <c r="R1850" t="s">
        <v>47429</v>
      </c>
      <c r="S1850" t="s">
        <v>47542</v>
      </c>
      <c r="T1850" t="s">
        <v>49069</v>
      </c>
      <c r="U1850" t="s">
        <v>51295</v>
      </c>
      <c r="W1850" t="s">
        <v>43907</v>
      </c>
      <c r="X1850" t="s">
        <v>47426</v>
      </c>
    </row>
    <row r="1851" spans="1:24">
      <c r="A1851">
        <f>HYPERLINK("https://www.philgeps.gov.ph/GEPSNONPILOT/Tender/SplashBidNoticeAbstractUI.aspx?menuIndex=3&amp;refID=7167099&amp;Result=3","7167099")</f>
        <v>0</v>
      </c>
      <c r="B1851" t="s">
        <v>713</v>
      </c>
      <c r="C1851" t="s">
        <v>5682</v>
      </c>
      <c r="D1851" t="s">
        <v>19023</v>
      </c>
      <c r="E1851" t="s">
        <v>20791</v>
      </c>
      <c r="F1851" t="s">
        <v>32831</v>
      </c>
      <c r="G1851" t="s">
        <v>32839</v>
      </c>
      <c r="H1851" t="s">
        <v>32849</v>
      </c>
      <c r="I1851" t="s">
        <v>4177</v>
      </c>
      <c r="J1851" t="s">
        <v>33118</v>
      </c>
      <c r="K1851" t="s">
        <v>42730</v>
      </c>
      <c r="M1851" t="s">
        <v>43733</v>
      </c>
      <c r="N1851" t="s">
        <v>47424</v>
      </c>
      <c r="O1851" t="s">
        <v>47425</v>
      </c>
      <c r="P1851">
        <v>0</v>
      </c>
      <c r="Q1851">
        <v>0</v>
      </c>
      <c r="R1851" t="s">
        <v>47429</v>
      </c>
      <c r="S1851" t="s">
        <v>47542</v>
      </c>
      <c r="T1851" t="s">
        <v>49186</v>
      </c>
      <c r="U1851" t="s">
        <v>51238</v>
      </c>
      <c r="W1851" t="s">
        <v>43733</v>
      </c>
      <c r="X1851" t="s">
        <v>47426</v>
      </c>
    </row>
    <row r="1852" spans="1:24">
      <c r="A1852">
        <f>HYPERLINK("https://www.philgeps.gov.ph/GEPSNONPILOT/Tender/SplashBidNoticeAbstractUI.aspx?menuIndex=3&amp;refID=7167098&amp;Result=3","7167098")</f>
        <v>0</v>
      </c>
      <c r="B1852" t="s">
        <v>460</v>
      </c>
      <c r="C1852" t="s">
        <v>4967</v>
      </c>
      <c r="D1852" t="s">
        <v>19086</v>
      </c>
      <c r="E1852" t="s">
        <v>20792</v>
      </c>
      <c r="F1852" t="s">
        <v>32831</v>
      </c>
      <c r="G1852" t="s">
        <v>32842</v>
      </c>
      <c r="H1852" t="s">
        <v>32848</v>
      </c>
      <c r="I1852" t="s">
        <v>4487</v>
      </c>
      <c r="J1852" t="s">
        <v>34285</v>
      </c>
      <c r="K1852" t="s">
        <v>42732</v>
      </c>
      <c r="M1852" t="s">
        <v>43465</v>
      </c>
      <c r="N1852" t="s">
        <v>47424</v>
      </c>
      <c r="O1852" t="s">
        <v>47425</v>
      </c>
      <c r="P1852">
        <v>0</v>
      </c>
      <c r="Q1852">
        <v>0</v>
      </c>
      <c r="R1852" t="s">
        <v>47429</v>
      </c>
      <c r="S1852" t="s">
        <v>47542</v>
      </c>
      <c r="T1852" t="s">
        <v>49089</v>
      </c>
      <c r="U1852" t="s">
        <v>51296</v>
      </c>
      <c r="V1852" t="s">
        <v>62728</v>
      </c>
      <c r="W1852" t="s">
        <v>43465</v>
      </c>
      <c r="X1852" t="s">
        <v>47426</v>
      </c>
    </row>
    <row r="1853" spans="1:24">
      <c r="A1853">
        <f>HYPERLINK("https://www.philgeps.gov.ph/GEPSNONPILOT/Tender/SplashBidNoticeAbstractUI.aspx?menuIndex=3&amp;refID=7167097&amp;Result=3","7167097")</f>
        <v>0</v>
      </c>
      <c r="B1853" t="s">
        <v>874</v>
      </c>
      <c r="C1853" t="s">
        <v>5683</v>
      </c>
      <c r="D1853" t="s">
        <v>19078</v>
      </c>
      <c r="E1853" t="s">
        <v>20793</v>
      </c>
      <c r="F1853" t="s">
        <v>32831</v>
      </c>
      <c r="G1853" t="s">
        <v>32842</v>
      </c>
      <c r="H1853" t="s">
        <v>32848</v>
      </c>
      <c r="I1853" t="s">
        <v>4776</v>
      </c>
      <c r="J1853" t="s">
        <v>34286</v>
      </c>
      <c r="K1853" t="s">
        <v>42727</v>
      </c>
      <c r="M1853" t="s">
        <v>43908</v>
      </c>
      <c r="N1853" t="s">
        <v>47424</v>
      </c>
      <c r="O1853" t="s">
        <v>47425</v>
      </c>
      <c r="P1853">
        <v>0</v>
      </c>
      <c r="Q1853">
        <v>0</v>
      </c>
      <c r="R1853" t="s">
        <v>47429</v>
      </c>
      <c r="S1853" t="s">
        <v>47542</v>
      </c>
      <c r="T1853" t="s">
        <v>49093</v>
      </c>
      <c r="U1853" t="s">
        <v>51297</v>
      </c>
      <c r="W1853" t="s">
        <v>43908</v>
      </c>
      <c r="X1853" t="s">
        <v>47426</v>
      </c>
    </row>
    <row r="1854" spans="1:24">
      <c r="A1854">
        <f>HYPERLINK("https://www.philgeps.gov.ph/GEPSNONPILOT/Tender/SplashBidNoticeAbstractUI.aspx?menuIndex=3&amp;refID=7167082&amp;Result=3","7167082")</f>
        <v>0</v>
      </c>
      <c r="B1854" t="s">
        <v>316</v>
      </c>
      <c r="C1854" t="s">
        <v>5684</v>
      </c>
      <c r="D1854" t="s">
        <v>19023</v>
      </c>
      <c r="E1854" t="s">
        <v>20794</v>
      </c>
      <c r="F1854" t="s">
        <v>32831</v>
      </c>
      <c r="G1854" t="s">
        <v>32838</v>
      </c>
      <c r="H1854" t="s">
        <v>32848</v>
      </c>
      <c r="I1854" t="s">
        <v>4438</v>
      </c>
      <c r="J1854" t="s">
        <v>34287</v>
      </c>
      <c r="K1854" t="s">
        <v>42730</v>
      </c>
      <c r="M1854" t="s">
        <v>43795</v>
      </c>
      <c r="N1854" t="s">
        <v>47424</v>
      </c>
      <c r="O1854" t="s">
        <v>47425</v>
      </c>
      <c r="P1854">
        <v>0</v>
      </c>
      <c r="Q1854">
        <v>0</v>
      </c>
      <c r="R1854" t="s">
        <v>47429</v>
      </c>
      <c r="S1854" t="s">
        <v>47542</v>
      </c>
      <c r="T1854" t="s">
        <v>49073</v>
      </c>
      <c r="U1854" t="s">
        <v>51090</v>
      </c>
      <c r="V1854" t="s">
        <v>62802</v>
      </c>
      <c r="W1854" t="s">
        <v>43795</v>
      </c>
      <c r="X1854" t="s">
        <v>47426</v>
      </c>
    </row>
    <row r="1855" spans="1:24">
      <c r="A1855">
        <f>HYPERLINK("https://www.philgeps.gov.ph/GEPSNONPILOT/Tender/SplashBidNoticeAbstractUI.aspx?menuIndex=3&amp;refID=7167081&amp;Result=3","7167081")</f>
        <v>0</v>
      </c>
      <c r="B1855" t="s">
        <v>875</v>
      </c>
      <c r="C1855" t="s">
        <v>5685</v>
      </c>
      <c r="D1855" t="s">
        <v>19057</v>
      </c>
      <c r="E1855" t="s">
        <v>20795</v>
      </c>
      <c r="F1855" t="s">
        <v>32831</v>
      </c>
      <c r="G1855" t="s">
        <v>32838</v>
      </c>
      <c r="H1855" t="s">
        <v>32848</v>
      </c>
      <c r="I1855" t="s">
        <v>32858</v>
      </c>
      <c r="J1855" t="s">
        <v>34288</v>
      </c>
      <c r="K1855" t="s">
        <v>42732</v>
      </c>
      <c r="M1855" t="s">
        <v>43909</v>
      </c>
      <c r="N1855" t="s">
        <v>47424</v>
      </c>
      <c r="O1855" t="s">
        <v>47425</v>
      </c>
      <c r="P1855">
        <v>0</v>
      </c>
      <c r="Q1855">
        <v>0</v>
      </c>
      <c r="R1855" t="s">
        <v>47429</v>
      </c>
      <c r="S1855" t="s">
        <v>47542</v>
      </c>
      <c r="T1855" t="s">
        <v>49129</v>
      </c>
      <c r="U1855" t="s">
        <v>51298</v>
      </c>
      <c r="V1855" t="s">
        <v>62828</v>
      </c>
      <c r="W1855" t="s">
        <v>43909</v>
      </c>
      <c r="X1855" t="s">
        <v>47426</v>
      </c>
    </row>
    <row r="1856" spans="1:24">
      <c r="A1856">
        <f>HYPERLINK("https://www.philgeps.gov.ph/GEPSNONPILOT/Tender/SplashBidNoticeAbstractUI.aspx?menuIndex=3&amp;refID=7167079&amp;Result=3","7167079")</f>
        <v>0</v>
      </c>
      <c r="B1856" t="s">
        <v>788</v>
      </c>
      <c r="C1856" t="s">
        <v>5686</v>
      </c>
      <c r="D1856" t="s">
        <v>19045</v>
      </c>
      <c r="E1856" t="s">
        <v>20796</v>
      </c>
      <c r="F1856" t="s">
        <v>32831</v>
      </c>
      <c r="G1856" t="s">
        <v>32838</v>
      </c>
      <c r="H1856" t="s">
        <v>32848</v>
      </c>
      <c r="I1856" t="s">
        <v>32851</v>
      </c>
      <c r="J1856" t="s">
        <v>33422</v>
      </c>
      <c r="K1856" t="s">
        <v>42758</v>
      </c>
      <c r="M1856" t="s">
        <v>43818</v>
      </c>
      <c r="N1856" t="s">
        <v>47424</v>
      </c>
      <c r="O1856" t="s">
        <v>47425</v>
      </c>
      <c r="P1856">
        <v>0</v>
      </c>
      <c r="Q1856">
        <v>0</v>
      </c>
      <c r="R1856" t="s">
        <v>47429</v>
      </c>
      <c r="S1856" t="s">
        <v>47542</v>
      </c>
      <c r="T1856" t="s">
        <v>49089</v>
      </c>
      <c r="U1856" t="s">
        <v>50909</v>
      </c>
      <c r="W1856" t="s">
        <v>43818</v>
      </c>
      <c r="X1856" t="s">
        <v>47426</v>
      </c>
    </row>
    <row r="1857" spans="1:24">
      <c r="A1857">
        <f>HYPERLINK("https://www.philgeps.gov.ph/GEPSNONPILOT/Tender/SplashBidNoticeAbstractUI.aspx?menuIndex=3&amp;refID=7167077&amp;Result=3","7167077")</f>
        <v>0</v>
      </c>
      <c r="B1857" t="s">
        <v>872</v>
      </c>
      <c r="C1857" t="s">
        <v>5687</v>
      </c>
      <c r="D1857" t="s">
        <v>19071</v>
      </c>
      <c r="E1857" t="s">
        <v>20797</v>
      </c>
      <c r="F1857" t="s">
        <v>32831</v>
      </c>
      <c r="G1857" t="s">
        <v>32839</v>
      </c>
      <c r="H1857" t="s">
        <v>32848</v>
      </c>
      <c r="I1857" t="s">
        <v>7416</v>
      </c>
      <c r="J1857" t="s">
        <v>32976</v>
      </c>
      <c r="K1857" t="s">
        <v>42731</v>
      </c>
      <c r="M1857" t="s">
        <v>43906</v>
      </c>
      <c r="N1857" t="s">
        <v>47424</v>
      </c>
      <c r="O1857" t="s">
        <v>47425</v>
      </c>
      <c r="P1857">
        <v>0</v>
      </c>
      <c r="Q1857">
        <v>0</v>
      </c>
      <c r="R1857" t="s">
        <v>47429</v>
      </c>
      <c r="S1857" t="s">
        <v>47542</v>
      </c>
      <c r="T1857" t="s">
        <v>49288</v>
      </c>
      <c r="U1857" t="s">
        <v>51299</v>
      </c>
      <c r="V1857" t="s">
        <v>62754</v>
      </c>
      <c r="W1857" t="s">
        <v>43906</v>
      </c>
      <c r="X1857" t="s">
        <v>47426</v>
      </c>
    </row>
    <row r="1858" spans="1:24">
      <c r="A1858">
        <f>HYPERLINK("https://www.philgeps.gov.ph/GEPSNONPILOT/Tender/SplashBidNoticeAbstractUI.aspx?menuIndex=3&amp;refID=7167085&amp;Result=3","7167085")</f>
        <v>0</v>
      </c>
      <c r="B1858" t="s">
        <v>876</v>
      </c>
      <c r="C1858" t="s">
        <v>5688</v>
      </c>
      <c r="D1858" t="s">
        <v>19033</v>
      </c>
      <c r="E1858" t="s">
        <v>20798</v>
      </c>
      <c r="F1858" t="s">
        <v>32831</v>
      </c>
      <c r="G1858" t="s">
        <v>32840</v>
      </c>
      <c r="H1858" t="s">
        <v>32848</v>
      </c>
      <c r="I1858" t="s">
        <v>7416</v>
      </c>
      <c r="J1858" t="s">
        <v>33993</v>
      </c>
      <c r="K1858" t="s">
        <v>42727</v>
      </c>
      <c r="M1858" t="s">
        <v>43910</v>
      </c>
      <c r="N1858" t="s">
        <v>47424</v>
      </c>
      <c r="O1858" t="s">
        <v>47425</v>
      </c>
      <c r="P1858">
        <v>0</v>
      </c>
      <c r="Q1858">
        <v>0</v>
      </c>
      <c r="R1858" t="s">
        <v>47429</v>
      </c>
      <c r="S1858" t="s">
        <v>47542</v>
      </c>
      <c r="T1858" t="s">
        <v>49104</v>
      </c>
      <c r="U1858" t="s">
        <v>51300</v>
      </c>
      <c r="W1858" t="s">
        <v>43910</v>
      </c>
      <c r="X1858" t="s">
        <v>47426</v>
      </c>
    </row>
    <row r="1859" spans="1:24">
      <c r="A1859">
        <f>HYPERLINK("https://www.philgeps.gov.ph/GEPSNONPILOT/Tender/SplashBidNoticeAbstractUI.aspx?menuIndex=3&amp;refID=7167076&amp;Result=3","7167076")</f>
        <v>0</v>
      </c>
      <c r="B1859" t="s">
        <v>877</v>
      </c>
      <c r="C1859" t="s">
        <v>5689</v>
      </c>
      <c r="D1859" t="s">
        <v>19018</v>
      </c>
      <c r="E1859" t="s">
        <v>20799</v>
      </c>
      <c r="F1859" t="s">
        <v>32831</v>
      </c>
      <c r="G1859" t="s">
        <v>32838</v>
      </c>
      <c r="H1859" t="s">
        <v>32848</v>
      </c>
      <c r="I1859" t="s">
        <v>10805</v>
      </c>
      <c r="J1859" t="s">
        <v>32976</v>
      </c>
      <c r="K1859" t="s">
        <v>42730</v>
      </c>
      <c r="M1859" t="s">
        <v>43911</v>
      </c>
      <c r="N1859" t="s">
        <v>47424</v>
      </c>
      <c r="O1859" t="s">
        <v>47425</v>
      </c>
      <c r="P1859">
        <v>0</v>
      </c>
      <c r="Q1859">
        <v>0</v>
      </c>
      <c r="R1859" t="s">
        <v>47429</v>
      </c>
      <c r="S1859" t="s">
        <v>47542</v>
      </c>
      <c r="T1859" t="s">
        <v>49289</v>
      </c>
      <c r="U1859" t="s">
        <v>51301</v>
      </c>
      <c r="W1859" t="s">
        <v>43911</v>
      </c>
      <c r="X1859" t="s">
        <v>47426</v>
      </c>
    </row>
    <row r="1860" spans="1:24">
      <c r="A1860">
        <f>HYPERLINK("https://www.philgeps.gov.ph/GEPSNONPILOT/Tender/SplashBidNoticeAbstractUI.aspx?menuIndex=3&amp;refID=7167074&amp;Result=3","7167074")</f>
        <v>0</v>
      </c>
      <c r="B1860" t="s">
        <v>764</v>
      </c>
      <c r="C1860" t="s">
        <v>5283</v>
      </c>
      <c r="D1860" t="s">
        <v>19047</v>
      </c>
      <c r="E1860" t="s">
        <v>20800</v>
      </c>
      <c r="F1860" t="s">
        <v>32831</v>
      </c>
      <c r="G1860" t="s">
        <v>32838</v>
      </c>
      <c r="H1860" t="s">
        <v>32848</v>
      </c>
      <c r="I1860" t="s">
        <v>4438</v>
      </c>
      <c r="J1860" t="s">
        <v>34289</v>
      </c>
      <c r="K1860" t="s">
        <v>42727</v>
      </c>
      <c r="M1860" t="s">
        <v>43790</v>
      </c>
      <c r="N1860" t="s">
        <v>47424</v>
      </c>
      <c r="O1860" t="s">
        <v>47425</v>
      </c>
      <c r="P1860">
        <v>0</v>
      </c>
      <c r="Q1860">
        <v>0</v>
      </c>
      <c r="R1860" t="s">
        <v>47429</v>
      </c>
      <c r="S1860" t="s">
        <v>47542</v>
      </c>
      <c r="T1860" t="s">
        <v>49129</v>
      </c>
      <c r="U1860" t="s">
        <v>51302</v>
      </c>
      <c r="V1860" t="s">
        <v>62829</v>
      </c>
      <c r="W1860" t="s">
        <v>43790</v>
      </c>
      <c r="X1860" t="s">
        <v>47426</v>
      </c>
    </row>
    <row r="1861" spans="1:24">
      <c r="A1861">
        <f>HYPERLINK("https://www.philgeps.gov.ph/GEPSNONPILOT/Tender/SplashBidNoticeAbstractUI.aspx?menuIndex=3&amp;refID=7167073&amp;Result=3","7167073")</f>
        <v>0</v>
      </c>
      <c r="B1861" t="s">
        <v>878</v>
      </c>
      <c r="C1861" t="s">
        <v>5690</v>
      </c>
      <c r="E1861" t="s">
        <v>20801</v>
      </c>
      <c r="F1861" t="s">
        <v>32831</v>
      </c>
      <c r="G1861" t="s">
        <v>32838</v>
      </c>
      <c r="H1861" t="s">
        <v>32848</v>
      </c>
      <c r="I1861" t="s">
        <v>32855</v>
      </c>
      <c r="J1861" t="s">
        <v>33660</v>
      </c>
      <c r="K1861" t="s">
        <v>42730</v>
      </c>
      <c r="M1861" t="s">
        <v>43912</v>
      </c>
      <c r="N1861" t="s">
        <v>47424</v>
      </c>
      <c r="O1861" t="s">
        <v>47425</v>
      </c>
      <c r="P1861">
        <v>0</v>
      </c>
      <c r="Q1861">
        <v>0</v>
      </c>
      <c r="R1861" t="s">
        <v>47429</v>
      </c>
      <c r="S1861" t="s">
        <v>47542</v>
      </c>
      <c r="T1861" t="s">
        <v>49169</v>
      </c>
      <c r="U1861" t="s">
        <v>51303</v>
      </c>
      <c r="W1861" t="s">
        <v>43912</v>
      </c>
      <c r="X1861" t="s">
        <v>47426</v>
      </c>
    </row>
    <row r="1862" spans="1:24">
      <c r="A1862">
        <f>HYPERLINK("https://www.philgeps.gov.ph/GEPSNONPILOT/Tender/SplashBidNoticeAbstractUI.aspx?menuIndex=3&amp;refID=7166826&amp;Result=3","7166826")</f>
        <v>0</v>
      </c>
      <c r="B1862" t="s">
        <v>123</v>
      </c>
      <c r="C1862" t="s">
        <v>5691</v>
      </c>
      <c r="D1862" t="s">
        <v>19038</v>
      </c>
      <c r="E1862" t="s">
        <v>20802</v>
      </c>
      <c r="F1862" t="s">
        <v>32831</v>
      </c>
      <c r="G1862" t="s">
        <v>32838</v>
      </c>
      <c r="H1862" t="s">
        <v>32848</v>
      </c>
      <c r="I1862" t="s">
        <v>4303</v>
      </c>
      <c r="J1862" t="s">
        <v>33041</v>
      </c>
      <c r="K1862" t="s">
        <v>42726</v>
      </c>
      <c r="M1862" t="s">
        <v>43120</v>
      </c>
      <c r="N1862" t="s">
        <v>47424</v>
      </c>
      <c r="O1862" t="s">
        <v>47425</v>
      </c>
      <c r="P1862">
        <v>0</v>
      </c>
      <c r="Q1862">
        <v>0</v>
      </c>
      <c r="R1862" t="s">
        <v>47429</v>
      </c>
      <c r="S1862" t="s">
        <v>47542</v>
      </c>
      <c r="T1862" t="s">
        <v>49129</v>
      </c>
      <c r="U1862" t="s">
        <v>51304</v>
      </c>
      <c r="W1862" t="s">
        <v>43120</v>
      </c>
      <c r="X1862" t="s">
        <v>47426</v>
      </c>
    </row>
    <row r="1863" spans="1:24">
      <c r="A1863">
        <f>HYPERLINK("https://www.philgeps.gov.ph/GEPSNONPILOT/Tender/SplashBidNoticeAbstractUI.aspx?menuIndex=3&amp;refID=7167075&amp;Result=3","7167075")</f>
        <v>0</v>
      </c>
      <c r="B1863" t="s">
        <v>879</v>
      </c>
      <c r="C1863" t="s">
        <v>5692</v>
      </c>
      <c r="D1863" t="s">
        <v>19043</v>
      </c>
      <c r="E1863" t="s">
        <v>20052</v>
      </c>
      <c r="F1863" t="s">
        <v>32831</v>
      </c>
      <c r="G1863" t="s">
        <v>32838</v>
      </c>
      <c r="H1863" t="s">
        <v>32848</v>
      </c>
      <c r="I1863" t="s">
        <v>32864</v>
      </c>
      <c r="J1863" t="s">
        <v>33950</v>
      </c>
      <c r="K1863" t="s">
        <v>42730</v>
      </c>
      <c r="M1863" t="s">
        <v>43913</v>
      </c>
      <c r="N1863" t="s">
        <v>47424</v>
      </c>
      <c r="O1863" t="s">
        <v>47425</v>
      </c>
      <c r="P1863">
        <v>0</v>
      </c>
      <c r="Q1863">
        <v>0</v>
      </c>
      <c r="R1863" t="s">
        <v>47429</v>
      </c>
      <c r="S1863" t="s">
        <v>47542</v>
      </c>
      <c r="T1863" t="s">
        <v>49119</v>
      </c>
      <c r="U1863" t="s">
        <v>51305</v>
      </c>
      <c r="W1863" t="s">
        <v>43913</v>
      </c>
      <c r="X1863" t="s">
        <v>47426</v>
      </c>
    </row>
    <row r="1864" spans="1:24">
      <c r="A1864">
        <f>HYPERLINK("https://www.philgeps.gov.ph/GEPSNONPILOT/Tender/SplashBidNoticeAbstractUI.aspx?menuIndex=3&amp;refID=7167090&amp;Result=3","7167090")</f>
        <v>0</v>
      </c>
      <c r="B1864" t="s">
        <v>628</v>
      </c>
      <c r="C1864" t="s">
        <v>5693</v>
      </c>
      <c r="D1864" t="s">
        <v>19043</v>
      </c>
      <c r="E1864" t="s">
        <v>20803</v>
      </c>
      <c r="F1864" t="s">
        <v>32831</v>
      </c>
      <c r="G1864" t="s">
        <v>32839</v>
      </c>
      <c r="H1864" t="s">
        <v>32848</v>
      </c>
      <c r="I1864" t="s">
        <v>7416</v>
      </c>
      <c r="J1864" t="s">
        <v>34290</v>
      </c>
      <c r="K1864" t="s">
        <v>42727</v>
      </c>
      <c r="M1864" t="s">
        <v>43645</v>
      </c>
      <c r="N1864" t="s">
        <v>47424</v>
      </c>
      <c r="O1864" t="s">
        <v>47425</v>
      </c>
      <c r="P1864">
        <v>0</v>
      </c>
      <c r="Q1864">
        <v>0</v>
      </c>
      <c r="R1864" t="s">
        <v>47429</v>
      </c>
      <c r="S1864" t="s">
        <v>47542</v>
      </c>
      <c r="T1864" t="s">
        <v>49178</v>
      </c>
      <c r="U1864" t="s">
        <v>51306</v>
      </c>
      <c r="V1864" t="s">
        <v>62818</v>
      </c>
      <c r="W1864" t="s">
        <v>43645</v>
      </c>
      <c r="X1864" t="s">
        <v>47426</v>
      </c>
    </row>
    <row r="1865" spans="1:24">
      <c r="A1865">
        <f>HYPERLINK("https://www.philgeps.gov.ph/GEPSNONPILOT/Tender/SplashBidNoticeAbstractUI.aspx?menuIndex=3&amp;refID=7167133&amp;Result=3","7167133")</f>
        <v>0</v>
      </c>
      <c r="B1865" t="s">
        <v>295</v>
      </c>
      <c r="C1865" t="s">
        <v>5694</v>
      </c>
      <c r="D1865" t="s">
        <v>19044</v>
      </c>
      <c r="E1865" t="s">
        <v>20804</v>
      </c>
      <c r="F1865" t="s">
        <v>32831</v>
      </c>
      <c r="G1865" t="s">
        <v>32842</v>
      </c>
      <c r="H1865" t="s">
        <v>32848</v>
      </c>
      <c r="I1865" t="s">
        <v>32860</v>
      </c>
      <c r="J1865" t="s">
        <v>34291</v>
      </c>
      <c r="K1865" t="s">
        <v>42727</v>
      </c>
      <c r="M1865" t="s">
        <v>43914</v>
      </c>
      <c r="N1865" t="s">
        <v>47424</v>
      </c>
      <c r="O1865" t="s">
        <v>47425</v>
      </c>
      <c r="P1865">
        <v>0</v>
      </c>
      <c r="Q1865">
        <v>0</v>
      </c>
      <c r="R1865" t="s">
        <v>47429</v>
      </c>
      <c r="S1865" t="s">
        <v>47542</v>
      </c>
      <c r="T1865" t="s">
        <v>49276</v>
      </c>
      <c r="U1865" t="s">
        <v>51307</v>
      </c>
      <c r="V1865" t="s">
        <v>51102</v>
      </c>
      <c r="W1865" t="s">
        <v>43914</v>
      </c>
      <c r="X1865" t="s">
        <v>47426</v>
      </c>
    </row>
    <row r="1866" spans="1:24">
      <c r="A1866">
        <f>HYPERLINK("https://www.philgeps.gov.ph/GEPSNONPILOT/Tender/SplashBidNoticeAbstractUI.aspx?menuIndex=3&amp;refID=7167078&amp;Result=3","7167078")</f>
        <v>0</v>
      </c>
      <c r="B1866" t="s">
        <v>880</v>
      </c>
      <c r="C1866" t="s">
        <v>5695</v>
      </c>
      <c r="D1866" t="s">
        <v>19023</v>
      </c>
      <c r="E1866" t="s">
        <v>20805</v>
      </c>
      <c r="F1866" t="s">
        <v>32831</v>
      </c>
      <c r="G1866" t="s">
        <v>32838</v>
      </c>
      <c r="H1866" t="s">
        <v>32848</v>
      </c>
      <c r="I1866" t="s">
        <v>32881</v>
      </c>
      <c r="J1866" t="s">
        <v>34292</v>
      </c>
      <c r="K1866" t="s">
        <v>42748</v>
      </c>
      <c r="M1866" t="s">
        <v>43915</v>
      </c>
      <c r="N1866" t="s">
        <v>47424</v>
      </c>
      <c r="O1866" t="s">
        <v>47425</v>
      </c>
      <c r="P1866">
        <v>0</v>
      </c>
      <c r="Q1866">
        <v>0</v>
      </c>
      <c r="R1866" t="s">
        <v>47429</v>
      </c>
      <c r="S1866" t="s">
        <v>47542</v>
      </c>
      <c r="T1866" t="s">
        <v>49104</v>
      </c>
      <c r="U1866" t="s">
        <v>51308</v>
      </c>
      <c r="W1866" t="s">
        <v>43915</v>
      </c>
      <c r="X1866" t="s">
        <v>47426</v>
      </c>
    </row>
    <row r="1867" spans="1:24">
      <c r="A1867">
        <f>HYPERLINK("https://www.philgeps.gov.ph/GEPSNONPILOT/Tender/SplashBidNoticeAbstractUI.aspx?menuIndex=3&amp;refID=7167132&amp;Result=3","7167132")</f>
        <v>0</v>
      </c>
      <c r="B1867" t="s">
        <v>878</v>
      </c>
      <c r="C1867" t="s">
        <v>5696</v>
      </c>
      <c r="D1867" t="s">
        <v>19067</v>
      </c>
      <c r="E1867" t="s">
        <v>20806</v>
      </c>
      <c r="F1867" t="s">
        <v>32831</v>
      </c>
      <c r="G1867" t="s">
        <v>32838</v>
      </c>
      <c r="H1867" t="s">
        <v>32848</v>
      </c>
      <c r="I1867" t="s">
        <v>32855</v>
      </c>
      <c r="J1867" t="s">
        <v>33673</v>
      </c>
      <c r="K1867" t="s">
        <v>42730</v>
      </c>
      <c r="M1867" t="s">
        <v>43912</v>
      </c>
      <c r="N1867" t="s">
        <v>47424</v>
      </c>
      <c r="O1867" t="s">
        <v>47425</v>
      </c>
      <c r="P1867">
        <v>0</v>
      </c>
      <c r="Q1867">
        <v>0</v>
      </c>
      <c r="R1867" t="s">
        <v>47429</v>
      </c>
      <c r="S1867" t="s">
        <v>47542</v>
      </c>
      <c r="T1867" t="s">
        <v>49169</v>
      </c>
      <c r="U1867" t="s">
        <v>51309</v>
      </c>
      <c r="W1867" t="s">
        <v>43912</v>
      </c>
      <c r="X1867" t="s">
        <v>47426</v>
      </c>
    </row>
    <row r="1868" spans="1:24">
      <c r="A1868">
        <f>HYPERLINK("https://www.philgeps.gov.ph/GEPSNONPILOT/Tender/SplashBidNoticeAbstractUI.aspx?menuIndex=3&amp;refID=7166825&amp;Result=3","7166825")</f>
        <v>0</v>
      </c>
      <c r="B1868" t="s">
        <v>682</v>
      </c>
      <c r="C1868" t="s">
        <v>5697</v>
      </c>
      <c r="D1868" t="s">
        <v>19067</v>
      </c>
      <c r="E1868" t="s">
        <v>20807</v>
      </c>
      <c r="F1868" t="s">
        <v>32831</v>
      </c>
      <c r="G1868" t="s">
        <v>32839</v>
      </c>
      <c r="H1868" t="s">
        <v>32848</v>
      </c>
      <c r="I1868" t="s">
        <v>32857</v>
      </c>
      <c r="J1868" t="s">
        <v>33044</v>
      </c>
      <c r="K1868" t="s">
        <v>42730</v>
      </c>
      <c r="M1868" t="s">
        <v>43701</v>
      </c>
      <c r="N1868" t="s">
        <v>47424</v>
      </c>
      <c r="O1868" t="s">
        <v>47425</v>
      </c>
      <c r="P1868">
        <v>0</v>
      </c>
      <c r="Q1868">
        <v>0</v>
      </c>
      <c r="R1868" t="s">
        <v>47429</v>
      </c>
      <c r="S1868" t="s">
        <v>47542</v>
      </c>
      <c r="T1868" t="s">
        <v>49069</v>
      </c>
      <c r="U1868" t="s">
        <v>51310</v>
      </c>
      <c r="W1868" t="s">
        <v>43701</v>
      </c>
      <c r="X1868" t="s">
        <v>47426</v>
      </c>
    </row>
    <row r="1869" spans="1:24">
      <c r="A1869">
        <f>HYPERLINK("https://www.philgeps.gov.ph/GEPSNONPILOT/Tender/SplashBidNoticeAbstractUI.aspx?menuIndex=3&amp;refID=7167130&amp;Result=3","7167130")</f>
        <v>0</v>
      </c>
      <c r="B1869" t="s">
        <v>881</v>
      </c>
      <c r="C1869" t="s">
        <v>5698</v>
      </c>
      <c r="D1869" t="s">
        <v>19095</v>
      </c>
      <c r="E1869" t="s">
        <v>20808</v>
      </c>
      <c r="F1869" t="s">
        <v>32831</v>
      </c>
      <c r="G1869" t="s">
        <v>32838</v>
      </c>
      <c r="H1869" t="s">
        <v>32848</v>
      </c>
      <c r="I1869" t="s">
        <v>32860</v>
      </c>
      <c r="J1869" t="s">
        <v>34293</v>
      </c>
      <c r="K1869" t="s">
        <v>42727</v>
      </c>
      <c r="M1869" t="s">
        <v>43916</v>
      </c>
      <c r="N1869" t="s">
        <v>47424</v>
      </c>
      <c r="O1869" t="s">
        <v>47425</v>
      </c>
      <c r="P1869">
        <v>0</v>
      </c>
      <c r="Q1869">
        <v>0</v>
      </c>
      <c r="R1869" t="s">
        <v>47429</v>
      </c>
      <c r="S1869" t="s">
        <v>47542</v>
      </c>
      <c r="T1869" t="s">
        <v>49129</v>
      </c>
      <c r="U1869" t="s">
        <v>51311</v>
      </c>
      <c r="W1869" t="s">
        <v>43916</v>
      </c>
      <c r="X1869" t="s">
        <v>47426</v>
      </c>
    </row>
    <row r="1870" spans="1:24">
      <c r="A1870">
        <f>HYPERLINK("https://www.philgeps.gov.ph/GEPSNONPILOT/Tender/SplashBidNoticeAbstractUI.aspx?menuIndex=3&amp;refID=7167129&amp;Result=3","7167129")</f>
        <v>0</v>
      </c>
      <c r="B1870" t="s">
        <v>268</v>
      </c>
      <c r="C1870" t="s">
        <v>5699</v>
      </c>
      <c r="D1870" t="s">
        <v>19081</v>
      </c>
      <c r="E1870" t="s">
        <v>20809</v>
      </c>
      <c r="F1870" t="s">
        <v>32831</v>
      </c>
      <c r="G1870" t="s">
        <v>32838</v>
      </c>
      <c r="H1870" t="s">
        <v>32848</v>
      </c>
      <c r="I1870" t="s">
        <v>32855</v>
      </c>
      <c r="J1870" t="s">
        <v>34294</v>
      </c>
      <c r="K1870" t="s">
        <v>42731</v>
      </c>
      <c r="M1870" t="s">
        <v>43267</v>
      </c>
      <c r="N1870" t="s">
        <v>47424</v>
      </c>
      <c r="O1870" t="s">
        <v>47425</v>
      </c>
      <c r="P1870">
        <v>0</v>
      </c>
      <c r="Q1870">
        <v>1</v>
      </c>
      <c r="R1870" t="s">
        <v>47429</v>
      </c>
      <c r="S1870" t="s">
        <v>47542</v>
      </c>
      <c r="T1870" t="s">
        <v>49124</v>
      </c>
      <c r="U1870" t="s">
        <v>51312</v>
      </c>
      <c r="W1870" t="s">
        <v>43267</v>
      </c>
      <c r="X1870" t="s">
        <v>47426</v>
      </c>
    </row>
    <row r="1871" spans="1:24">
      <c r="A1871">
        <f>HYPERLINK("https://www.philgeps.gov.ph/GEPSNONPILOT/Tender/SplashBidNoticeAbstractUI.aspx?menuIndex=3&amp;refID=7167083&amp;Result=3","7167083")</f>
        <v>0</v>
      </c>
      <c r="B1871" t="s">
        <v>834</v>
      </c>
      <c r="C1871" t="s">
        <v>5700</v>
      </c>
      <c r="D1871" t="s">
        <v>19046</v>
      </c>
      <c r="E1871" t="s">
        <v>20810</v>
      </c>
      <c r="F1871" t="s">
        <v>32831</v>
      </c>
      <c r="G1871" t="s">
        <v>32839</v>
      </c>
      <c r="H1871" t="s">
        <v>32849</v>
      </c>
      <c r="I1871" t="s">
        <v>4177</v>
      </c>
      <c r="J1871" t="s">
        <v>34295</v>
      </c>
      <c r="K1871" t="s">
        <v>42732</v>
      </c>
      <c r="M1871" t="s">
        <v>43866</v>
      </c>
      <c r="N1871" t="s">
        <v>47424</v>
      </c>
      <c r="O1871" t="s">
        <v>47425</v>
      </c>
      <c r="P1871">
        <v>0</v>
      </c>
      <c r="Q1871">
        <v>0</v>
      </c>
      <c r="R1871" t="s">
        <v>47429</v>
      </c>
      <c r="S1871" t="s">
        <v>47542</v>
      </c>
      <c r="T1871" t="s">
        <v>49078</v>
      </c>
      <c r="U1871" t="s">
        <v>51313</v>
      </c>
      <c r="W1871" t="s">
        <v>43866</v>
      </c>
      <c r="X1871" t="s">
        <v>47426</v>
      </c>
    </row>
    <row r="1872" spans="1:24">
      <c r="A1872">
        <f>HYPERLINK("https://www.philgeps.gov.ph/GEPSNONPILOT/Tender/SplashBidNoticeAbstractUI.aspx?menuIndex=3&amp;refID=7167126&amp;Result=3","7167126")</f>
        <v>0</v>
      </c>
      <c r="B1872" t="s">
        <v>807</v>
      </c>
      <c r="C1872" t="s">
        <v>5701</v>
      </c>
      <c r="D1872" t="s">
        <v>19044</v>
      </c>
      <c r="E1872" t="s">
        <v>20811</v>
      </c>
      <c r="F1872" t="s">
        <v>32831</v>
      </c>
      <c r="G1872" t="s">
        <v>32839</v>
      </c>
      <c r="H1872" t="s">
        <v>32848</v>
      </c>
      <c r="I1872" t="s">
        <v>32923</v>
      </c>
      <c r="J1872" t="s">
        <v>33026</v>
      </c>
      <c r="K1872" t="s">
        <v>42727</v>
      </c>
      <c r="M1872" t="s">
        <v>43838</v>
      </c>
      <c r="N1872" t="s">
        <v>47424</v>
      </c>
      <c r="O1872" t="s">
        <v>47425</v>
      </c>
      <c r="P1872">
        <v>0</v>
      </c>
      <c r="Q1872">
        <v>0</v>
      </c>
      <c r="R1872" t="s">
        <v>47429</v>
      </c>
      <c r="S1872" t="s">
        <v>47542</v>
      </c>
      <c r="T1872" t="s">
        <v>49126</v>
      </c>
      <c r="U1872" t="s">
        <v>51314</v>
      </c>
      <c r="W1872" t="s">
        <v>43838</v>
      </c>
      <c r="X1872" t="s">
        <v>47426</v>
      </c>
    </row>
    <row r="1873" spans="1:24">
      <c r="A1873">
        <f>HYPERLINK("https://www.philgeps.gov.ph/GEPSNONPILOT/Tender/SplashBidNoticeAbstractUI.aspx?menuIndex=3&amp;refID=7167125&amp;Result=3","7167125")</f>
        <v>0</v>
      </c>
      <c r="B1873" t="s">
        <v>882</v>
      </c>
      <c r="C1873" t="s">
        <v>5702</v>
      </c>
      <c r="D1873" t="s">
        <v>19017</v>
      </c>
      <c r="E1873" t="s">
        <v>20812</v>
      </c>
      <c r="F1873" t="s">
        <v>32831</v>
      </c>
      <c r="G1873" t="s">
        <v>32838</v>
      </c>
      <c r="H1873" t="s">
        <v>32850</v>
      </c>
      <c r="I1873" t="s">
        <v>32857</v>
      </c>
      <c r="J1873" t="s">
        <v>34296</v>
      </c>
      <c r="K1873" t="s">
        <v>42758</v>
      </c>
      <c r="M1873" t="s">
        <v>43917</v>
      </c>
      <c r="N1873" t="s">
        <v>47424</v>
      </c>
      <c r="O1873" t="s">
        <v>47425</v>
      </c>
      <c r="P1873">
        <v>0</v>
      </c>
      <c r="Q1873">
        <v>0</v>
      </c>
      <c r="R1873" t="s">
        <v>47429</v>
      </c>
      <c r="S1873" t="s">
        <v>47542</v>
      </c>
      <c r="T1873" t="s">
        <v>49129</v>
      </c>
      <c r="U1873" t="s">
        <v>51315</v>
      </c>
      <c r="W1873" t="s">
        <v>43917</v>
      </c>
      <c r="X1873" t="s">
        <v>47426</v>
      </c>
    </row>
    <row r="1874" spans="1:24">
      <c r="A1874">
        <f>HYPERLINK("https://www.philgeps.gov.ph/GEPSNONPILOT/Tender/SplashBidNoticeAbstractUI.aspx?menuIndex=3&amp;refID=7167131&amp;Result=3","7167131")</f>
        <v>0</v>
      </c>
      <c r="B1874" t="s">
        <v>873</v>
      </c>
      <c r="C1874" t="s">
        <v>5703</v>
      </c>
      <c r="D1874" t="s">
        <v>19040</v>
      </c>
      <c r="E1874" t="s">
        <v>20813</v>
      </c>
      <c r="F1874" t="s">
        <v>32831</v>
      </c>
      <c r="G1874" t="s">
        <v>32840</v>
      </c>
      <c r="H1874" t="s">
        <v>32848</v>
      </c>
      <c r="I1874" t="s">
        <v>32860</v>
      </c>
      <c r="J1874" t="s">
        <v>34297</v>
      </c>
      <c r="K1874" t="s">
        <v>42758</v>
      </c>
      <c r="M1874" t="s">
        <v>43907</v>
      </c>
      <c r="N1874" t="s">
        <v>47424</v>
      </c>
      <c r="O1874" t="s">
        <v>47425</v>
      </c>
      <c r="P1874">
        <v>0</v>
      </c>
      <c r="Q1874">
        <v>0</v>
      </c>
      <c r="R1874" t="s">
        <v>47429</v>
      </c>
      <c r="S1874" t="s">
        <v>47542</v>
      </c>
      <c r="T1874" t="s">
        <v>49080</v>
      </c>
      <c r="U1874" t="s">
        <v>51316</v>
      </c>
      <c r="W1874" t="s">
        <v>43907</v>
      </c>
      <c r="X1874" t="s">
        <v>47426</v>
      </c>
    </row>
    <row r="1875" spans="1:24">
      <c r="A1875">
        <f>HYPERLINK("https://www.philgeps.gov.ph/GEPSNONPILOT/Tender/SplashBidNoticeAbstractUI.aspx?menuIndex=3&amp;refID=7167080&amp;Result=3","7167080")</f>
        <v>0</v>
      </c>
      <c r="B1875" t="s">
        <v>883</v>
      </c>
      <c r="C1875" t="s">
        <v>5704</v>
      </c>
      <c r="D1875" t="s">
        <v>19080</v>
      </c>
      <c r="E1875" t="s">
        <v>20814</v>
      </c>
      <c r="F1875" t="s">
        <v>32831</v>
      </c>
      <c r="G1875" t="s">
        <v>32838</v>
      </c>
      <c r="H1875" t="s">
        <v>32848</v>
      </c>
      <c r="I1875" t="s">
        <v>7416</v>
      </c>
      <c r="J1875" t="s">
        <v>34298</v>
      </c>
      <c r="K1875" t="s">
        <v>42726</v>
      </c>
      <c r="M1875" t="s">
        <v>43918</v>
      </c>
      <c r="N1875" t="s">
        <v>47424</v>
      </c>
      <c r="O1875" t="s">
        <v>47425</v>
      </c>
      <c r="P1875">
        <v>0</v>
      </c>
      <c r="Q1875">
        <v>0</v>
      </c>
      <c r="R1875" t="s">
        <v>47429</v>
      </c>
      <c r="S1875" t="s">
        <v>47542</v>
      </c>
      <c r="T1875" t="s">
        <v>49119</v>
      </c>
      <c r="U1875" t="s">
        <v>51317</v>
      </c>
      <c r="W1875" t="s">
        <v>43918</v>
      </c>
      <c r="X1875" t="s">
        <v>47426</v>
      </c>
    </row>
    <row r="1876" spans="1:24">
      <c r="A1876">
        <f>HYPERLINK("https://www.philgeps.gov.ph/GEPSNONPILOT/Tender/SplashBidNoticeAbstractUI.aspx?menuIndex=3&amp;refID=7167122&amp;Result=3","7167122")</f>
        <v>0</v>
      </c>
      <c r="B1876" t="s">
        <v>884</v>
      </c>
      <c r="C1876" t="s">
        <v>5705</v>
      </c>
      <c r="E1876" t="s">
        <v>20815</v>
      </c>
      <c r="F1876" t="s">
        <v>32831</v>
      </c>
      <c r="G1876" t="s">
        <v>32838</v>
      </c>
      <c r="H1876" t="s">
        <v>32848</v>
      </c>
      <c r="I1876" t="s">
        <v>32857</v>
      </c>
      <c r="J1876" t="s">
        <v>34299</v>
      </c>
      <c r="K1876" t="s">
        <v>42732</v>
      </c>
      <c r="M1876" t="s">
        <v>43919</v>
      </c>
      <c r="N1876" t="s">
        <v>47424</v>
      </c>
      <c r="O1876" t="s">
        <v>47425</v>
      </c>
      <c r="P1876">
        <v>0</v>
      </c>
      <c r="Q1876">
        <v>0</v>
      </c>
      <c r="R1876" t="s">
        <v>47429</v>
      </c>
      <c r="S1876" t="s">
        <v>47542</v>
      </c>
      <c r="T1876" t="s">
        <v>49119</v>
      </c>
      <c r="U1876" t="s">
        <v>50989</v>
      </c>
      <c r="W1876" t="s">
        <v>43919</v>
      </c>
      <c r="X1876" t="s">
        <v>47426</v>
      </c>
    </row>
    <row r="1877" spans="1:24">
      <c r="A1877">
        <f>HYPERLINK("https://www.philgeps.gov.ph/GEPSNONPILOT/Tender/SplashBidNoticeAbstractUI.aspx?menuIndex=3&amp;refID=7167115&amp;Result=3","7167115")</f>
        <v>0</v>
      </c>
      <c r="B1877" t="s">
        <v>885</v>
      </c>
      <c r="C1877" t="s">
        <v>5706</v>
      </c>
      <c r="D1877" t="s">
        <v>19088</v>
      </c>
      <c r="E1877" t="s">
        <v>20816</v>
      </c>
      <c r="F1877" t="s">
        <v>32831</v>
      </c>
      <c r="G1877" t="s">
        <v>32838</v>
      </c>
      <c r="H1877" t="s">
        <v>32848</v>
      </c>
      <c r="I1877" t="s">
        <v>32857</v>
      </c>
      <c r="J1877" t="s">
        <v>33490</v>
      </c>
      <c r="K1877" t="s">
        <v>42731</v>
      </c>
      <c r="M1877" t="s">
        <v>43920</v>
      </c>
      <c r="N1877" t="s">
        <v>47424</v>
      </c>
      <c r="O1877" t="s">
        <v>47425</v>
      </c>
      <c r="P1877">
        <v>0</v>
      </c>
      <c r="Q1877">
        <v>0</v>
      </c>
      <c r="R1877" t="s">
        <v>47429</v>
      </c>
      <c r="S1877" t="s">
        <v>47542</v>
      </c>
      <c r="T1877" t="s">
        <v>49104</v>
      </c>
      <c r="U1877" t="s">
        <v>51318</v>
      </c>
      <c r="W1877" t="s">
        <v>64449</v>
      </c>
      <c r="X1877" t="s">
        <v>47426</v>
      </c>
    </row>
    <row r="1878" spans="1:24">
      <c r="A1878">
        <f>HYPERLINK("https://www.philgeps.gov.ph/GEPSNONPILOT/Tender/SplashBidNoticeAbstractUI.aspx?menuIndex=3&amp;refID=7167084&amp;Result=3","7167084")</f>
        <v>0</v>
      </c>
      <c r="B1878" t="s">
        <v>60</v>
      </c>
      <c r="C1878" t="s">
        <v>5707</v>
      </c>
      <c r="D1878" t="s">
        <v>19042</v>
      </c>
      <c r="E1878" t="s">
        <v>20817</v>
      </c>
      <c r="F1878" t="s">
        <v>32831</v>
      </c>
      <c r="G1878" t="s">
        <v>32839</v>
      </c>
      <c r="H1878" t="s">
        <v>32849</v>
      </c>
      <c r="I1878" t="s">
        <v>4177</v>
      </c>
      <c r="J1878" t="s">
        <v>34300</v>
      </c>
      <c r="K1878" t="s">
        <v>42756</v>
      </c>
      <c r="M1878" t="s">
        <v>43740</v>
      </c>
      <c r="N1878" t="s">
        <v>47424</v>
      </c>
      <c r="O1878" t="s">
        <v>47425</v>
      </c>
      <c r="P1878">
        <v>0</v>
      </c>
      <c r="Q1878">
        <v>0</v>
      </c>
      <c r="R1878" t="s">
        <v>47429</v>
      </c>
      <c r="S1878" t="s">
        <v>47542</v>
      </c>
      <c r="T1878" t="s">
        <v>49262</v>
      </c>
      <c r="U1878" t="s">
        <v>51319</v>
      </c>
      <c r="W1878" t="s">
        <v>43740</v>
      </c>
      <c r="X1878" t="s">
        <v>47426</v>
      </c>
    </row>
    <row r="1879" spans="1:24">
      <c r="A1879">
        <f>HYPERLINK("https://www.philgeps.gov.ph/GEPSNONPILOT/Tender/SplashBidNoticeAbstractUI.aspx?menuIndex=3&amp;refID=7167095&amp;Result=3","7167095")</f>
        <v>0</v>
      </c>
      <c r="B1879" t="s">
        <v>886</v>
      </c>
      <c r="C1879" t="s">
        <v>5708</v>
      </c>
      <c r="D1879" t="s">
        <v>19017</v>
      </c>
      <c r="E1879" t="s">
        <v>20818</v>
      </c>
      <c r="F1879" t="s">
        <v>32831</v>
      </c>
      <c r="G1879" t="s">
        <v>32838</v>
      </c>
      <c r="H1879" t="s">
        <v>32848</v>
      </c>
      <c r="I1879" t="s">
        <v>32871</v>
      </c>
      <c r="J1879" t="s">
        <v>33364</v>
      </c>
      <c r="K1879" t="s">
        <v>42732</v>
      </c>
      <c r="M1879" t="s">
        <v>43921</v>
      </c>
      <c r="N1879" t="s">
        <v>47424</v>
      </c>
      <c r="O1879" t="s">
        <v>47425</v>
      </c>
      <c r="P1879">
        <v>0</v>
      </c>
      <c r="Q1879">
        <v>0</v>
      </c>
      <c r="R1879" t="s">
        <v>47429</v>
      </c>
      <c r="S1879" t="s">
        <v>47542</v>
      </c>
      <c r="T1879" t="s">
        <v>49124</v>
      </c>
      <c r="U1879" t="s">
        <v>50288</v>
      </c>
      <c r="V1879" t="s">
        <v>62830</v>
      </c>
      <c r="W1879" t="s">
        <v>43921</v>
      </c>
      <c r="X1879" t="s">
        <v>47426</v>
      </c>
    </row>
    <row r="1880" spans="1:24">
      <c r="A1880">
        <f>HYPERLINK("https://www.philgeps.gov.ph/GEPSNONPILOT/Tender/SplashBidNoticeAbstractUI.aspx?menuIndex=3&amp;refID=7167124&amp;Result=3","7167124")</f>
        <v>0</v>
      </c>
      <c r="B1880" t="s">
        <v>739</v>
      </c>
      <c r="C1880" t="s">
        <v>5709</v>
      </c>
      <c r="D1880" t="s">
        <v>19034</v>
      </c>
      <c r="E1880" t="s">
        <v>20819</v>
      </c>
      <c r="F1880" t="s">
        <v>32831</v>
      </c>
      <c r="G1880" t="s">
        <v>32838</v>
      </c>
      <c r="H1880" t="s">
        <v>32848</v>
      </c>
      <c r="I1880" t="s">
        <v>7416</v>
      </c>
      <c r="J1880" t="s">
        <v>34301</v>
      </c>
      <c r="K1880" t="s">
        <v>42731</v>
      </c>
      <c r="L1880" t="s">
        <v>739</v>
      </c>
      <c r="M1880" t="s">
        <v>43762</v>
      </c>
      <c r="N1880" t="s">
        <v>47424</v>
      </c>
      <c r="O1880" t="s">
        <v>47425</v>
      </c>
      <c r="P1880">
        <v>0</v>
      </c>
      <c r="Q1880">
        <v>0</v>
      </c>
      <c r="R1880" t="s">
        <v>47429</v>
      </c>
      <c r="S1880" t="s">
        <v>47542</v>
      </c>
      <c r="T1880" t="s">
        <v>49123</v>
      </c>
      <c r="U1880" t="s">
        <v>51035</v>
      </c>
      <c r="W1880" t="s">
        <v>43762</v>
      </c>
      <c r="X1880" t="s">
        <v>47426</v>
      </c>
    </row>
    <row r="1881" spans="1:24">
      <c r="A1881">
        <f>HYPERLINK("https://www.philgeps.gov.ph/GEPSNONPILOT/Tender/SplashBidNoticeAbstractUI.aspx?menuIndex=3&amp;refID=7167118&amp;Result=3","7167118")</f>
        <v>0</v>
      </c>
      <c r="B1881" t="s">
        <v>887</v>
      </c>
      <c r="C1881" t="s">
        <v>5710</v>
      </c>
      <c r="D1881" t="s">
        <v>19019</v>
      </c>
      <c r="E1881" t="s">
        <v>20503</v>
      </c>
      <c r="F1881" t="s">
        <v>32831</v>
      </c>
      <c r="G1881" t="s">
        <v>32839</v>
      </c>
      <c r="H1881" t="s">
        <v>32848</v>
      </c>
      <c r="I1881" t="s">
        <v>4438</v>
      </c>
      <c r="J1881" t="s">
        <v>34302</v>
      </c>
      <c r="K1881" t="s">
        <v>42748</v>
      </c>
      <c r="M1881" t="s">
        <v>43922</v>
      </c>
      <c r="N1881" t="s">
        <v>47424</v>
      </c>
      <c r="O1881" t="s">
        <v>47425</v>
      </c>
      <c r="P1881">
        <v>0</v>
      </c>
      <c r="Q1881">
        <v>0</v>
      </c>
      <c r="R1881" t="s">
        <v>47429</v>
      </c>
      <c r="S1881" t="s">
        <v>47542</v>
      </c>
      <c r="T1881" t="s">
        <v>49060</v>
      </c>
      <c r="U1881" t="s">
        <v>51320</v>
      </c>
      <c r="W1881" t="s">
        <v>43922</v>
      </c>
      <c r="X1881" t="s">
        <v>47426</v>
      </c>
    </row>
    <row r="1882" spans="1:24">
      <c r="A1882">
        <f>HYPERLINK("https://www.philgeps.gov.ph/GEPSNONPILOT/Tender/SplashBidNoticeAbstractUI.aspx?menuIndex=3&amp;refID=7167127&amp;Result=3","7167127")</f>
        <v>0</v>
      </c>
      <c r="B1882" t="s">
        <v>764</v>
      </c>
      <c r="C1882" t="s">
        <v>5283</v>
      </c>
      <c r="D1882" t="s">
        <v>19047</v>
      </c>
      <c r="E1882" t="s">
        <v>20820</v>
      </c>
      <c r="F1882" t="s">
        <v>32831</v>
      </c>
      <c r="G1882" t="s">
        <v>32838</v>
      </c>
      <c r="H1882" t="s">
        <v>32848</v>
      </c>
      <c r="I1882" t="s">
        <v>4438</v>
      </c>
      <c r="J1882" t="s">
        <v>33853</v>
      </c>
      <c r="K1882" t="s">
        <v>42727</v>
      </c>
      <c r="M1882" t="s">
        <v>43790</v>
      </c>
      <c r="N1882" t="s">
        <v>47424</v>
      </c>
      <c r="O1882" t="s">
        <v>47425</v>
      </c>
      <c r="P1882">
        <v>0</v>
      </c>
      <c r="Q1882">
        <v>0</v>
      </c>
      <c r="R1882" t="s">
        <v>47429</v>
      </c>
      <c r="S1882" t="s">
        <v>47542</v>
      </c>
      <c r="T1882" t="s">
        <v>49129</v>
      </c>
      <c r="U1882" t="s">
        <v>51321</v>
      </c>
      <c r="V1882" t="s">
        <v>62829</v>
      </c>
      <c r="W1882" t="s">
        <v>43790</v>
      </c>
      <c r="X1882" t="s">
        <v>47426</v>
      </c>
    </row>
    <row r="1883" spans="1:24">
      <c r="A1883">
        <f>HYPERLINK("https://www.philgeps.gov.ph/GEPSNONPILOT/Tender/SplashBidNoticeAbstractUI.aspx?menuIndex=3&amp;refID=7167154&amp;Result=3","7167154")</f>
        <v>0</v>
      </c>
      <c r="B1883" t="s">
        <v>580</v>
      </c>
      <c r="C1883" t="s">
        <v>5711</v>
      </c>
      <c r="D1883" t="s">
        <v>19045</v>
      </c>
      <c r="E1883" t="s">
        <v>20821</v>
      </c>
      <c r="F1883" t="s">
        <v>32831</v>
      </c>
      <c r="G1883" t="s">
        <v>32839</v>
      </c>
      <c r="H1883" t="s">
        <v>32848</v>
      </c>
      <c r="I1883" t="s">
        <v>32857</v>
      </c>
      <c r="J1883" t="s">
        <v>34303</v>
      </c>
      <c r="K1883" t="s">
        <v>42727</v>
      </c>
      <c r="M1883" t="s">
        <v>43591</v>
      </c>
      <c r="N1883" t="s">
        <v>47424</v>
      </c>
      <c r="O1883" t="s">
        <v>47425</v>
      </c>
      <c r="P1883">
        <v>0</v>
      </c>
      <c r="Q1883">
        <v>0</v>
      </c>
      <c r="R1883" t="s">
        <v>47429</v>
      </c>
      <c r="S1883" t="s">
        <v>47542</v>
      </c>
      <c r="T1883" t="s">
        <v>49290</v>
      </c>
      <c r="U1883" t="s">
        <v>51322</v>
      </c>
      <c r="W1883" t="s">
        <v>43591</v>
      </c>
      <c r="X1883" t="s">
        <v>47426</v>
      </c>
    </row>
    <row r="1884" spans="1:24">
      <c r="A1884">
        <f>HYPERLINK("https://www.philgeps.gov.ph/GEPSNONPILOT/Tender/SplashBidNoticeAbstractUI.aspx?menuIndex=3&amp;refID=7167113&amp;Result=3","7167113")</f>
        <v>0</v>
      </c>
      <c r="B1884" t="s">
        <v>834</v>
      </c>
      <c r="C1884" t="s">
        <v>5712</v>
      </c>
      <c r="D1884" t="s">
        <v>19046</v>
      </c>
      <c r="E1884" t="s">
        <v>20822</v>
      </c>
      <c r="F1884" t="s">
        <v>32831</v>
      </c>
      <c r="G1884" t="s">
        <v>32839</v>
      </c>
      <c r="H1884" t="s">
        <v>32849</v>
      </c>
      <c r="I1884" t="s">
        <v>4177</v>
      </c>
      <c r="J1884" t="s">
        <v>34304</v>
      </c>
      <c r="K1884" t="s">
        <v>42732</v>
      </c>
      <c r="M1884" t="s">
        <v>43866</v>
      </c>
      <c r="N1884" t="s">
        <v>47424</v>
      </c>
      <c r="O1884" t="s">
        <v>47425</v>
      </c>
      <c r="P1884">
        <v>0</v>
      </c>
      <c r="Q1884">
        <v>0</v>
      </c>
      <c r="R1884" t="s">
        <v>47429</v>
      </c>
      <c r="S1884" t="s">
        <v>47542</v>
      </c>
      <c r="T1884" t="s">
        <v>49078</v>
      </c>
      <c r="U1884" t="s">
        <v>51323</v>
      </c>
      <c r="W1884" t="s">
        <v>43866</v>
      </c>
      <c r="X1884" t="s">
        <v>47426</v>
      </c>
    </row>
    <row r="1885" spans="1:24">
      <c r="A1885">
        <f>HYPERLINK("https://www.philgeps.gov.ph/GEPSNONPILOT/Tender/SplashBidNoticeAbstractUI.aspx?menuIndex=3&amp;refID=7167153&amp;Result=3","7167153")</f>
        <v>0</v>
      </c>
      <c r="B1885" t="s">
        <v>888</v>
      </c>
      <c r="C1885" t="s">
        <v>5713</v>
      </c>
      <c r="D1885" t="s">
        <v>19067</v>
      </c>
      <c r="E1885" t="s">
        <v>19471</v>
      </c>
      <c r="F1885" t="s">
        <v>32831</v>
      </c>
      <c r="G1885" t="s">
        <v>32840</v>
      </c>
      <c r="H1885" t="s">
        <v>32848</v>
      </c>
      <c r="I1885" t="s">
        <v>7416</v>
      </c>
      <c r="J1885" t="s">
        <v>34305</v>
      </c>
      <c r="K1885" t="s">
        <v>42759</v>
      </c>
      <c r="M1885" t="s">
        <v>43923</v>
      </c>
      <c r="N1885" t="s">
        <v>47424</v>
      </c>
      <c r="O1885" t="s">
        <v>47425</v>
      </c>
      <c r="P1885">
        <v>0</v>
      </c>
      <c r="Q1885">
        <v>0</v>
      </c>
      <c r="R1885" t="s">
        <v>47429</v>
      </c>
      <c r="S1885" t="s">
        <v>47542</v>
      </c>
      <c r="T1885" t="s">
        <v>49100</v>
      </c>
      <c r="U1885" t="s">
        <v>51324</v>
      </c>
      <c r="W1885" t="s">
        <v>43923</v>
      </c>
      <c r="X1885" t="s">
        <v>47426</v>
      </c>
    </row>
    <row r="1886" spans="1:24">
      <c r="A1886">
        <f>HYPERLINK("https://www.philgeps.gov.ph/GEPSNONPILOT/Tender/SplashBidNoticeAbstractUI.aspx?menuIndex=3&amp;refID=7167152&amp;Result=3","7167152")</f>
        <v>0</v>
      </c>
      <c r="B1886" t="s">
        <v>847</v>
      </c>
      <c r="C1886" t="s">
        <v>5714</v>
      </c>
      <c r="D1886" t="s">
        <v>19029</v>
      </c>
      <c r="E1886" t="s">
        <v>20823</v>
      </c>
      <c r="F1886" t="s">
        <v>32831</v>
      </c>
      <c r="G1886" t="s">
        <v>32838</v>
      </c>
      <c r="H1886" t="s">
        <v>32848</v>
      </c>
      <c r="I1886" t="s">
        <v>32902</v>
      </c>
      <c r="J1886" t="s">
        <v>34306</v>
      </c>
      <c r="K1886" t="s">
        <v>42730</v>
      </c>
      <c r="M1886" t="s">
        <v>43880</v>
      </c>
      <c r="N1886" t="s">
        <v>47424</v>
      </c>
      <c r="O1886" t="s">
        <v>47425</v>
      </c>
      <c r="P1886">
        <v>0</v>
      </c>
      <c r="Q1886">
        <v>0</v>
      </c>
      <c r="R1886" t="s">
        <v>47429</v>
      </c>
      <c r="S1886" t="s">
        <v>47542</v>
      </c>
      <c r="T1886" t="s">
        <v>49210</v>
      </c>
      <c r="U1886" t="s">
        <v>51325</v>
      </c>
      <c r="W1886" t="s">
        <v>43880</v>
      </c>
      <c r="X1886" t="s">
        <v>47426</v>
      </c>
    </row>
    <row r="1887" spans="1:24">
      <c r="A1887">
        <f>HYPERLINK("https://www.philgeps.gov.ph/GEPSNONPILOT/Tender/SplashBidNoticeAbstractUI.aspx?menuIndex=3&amp;refID=7167151&amp;Result=3","7167151")</f>
        <v>0</v>
      </c>
      <c r="B1887" t="s">
        <v>788</v>
      </c>
      <c r="C1887" t="s">
        <v>5715</v>
      </c>
      <c r="D1887" t="s">
        <v>19045</v>
      </c>
      <c r="E1887" t="s">
        <v>20824</v>
      </c>
      <c r="F1887" t="s">
        <v>32831</v>
      </c>
      <c r="G1887" t="s">
        <v>32838</v>
      </c>
      <c r="H1887" t="s">
        <v>32848</v>
      </c>
      <c r="I1887" t="s">
        <v>5379</v>
      </c>
      <c r="J1887" t="s">
        <v>34307</v>
      </c>
      <c r="K1887" t="s">
        <v>42758</v>
      </c>
      <c r="M1887" t="s">
        <v>43818</v>
      </c>
      <c r="N1887" t="s">
        <v>47424</v>
      </c>
      <c r="O1887" t="s">
        <v>47425</v>
      </c>
      <c r="P1887">
        <v>0</v>
      </c>
      <c r="Q1887">
        <v>0</v>
      </c>
      <c r="R1887" t="s">
        <v>47429</v>
      </c>
      <c r="S1887" t="s">
        <v>47542</v>
      </c>
      <c r="T1887" t="s">
        <v>49089</v>
      </c>
      <c r="U1887" t="s">
        <v>51326</v>
      </c>
      <c r="W1887" t="s">
        <v>43818</v>
      </c>
      <c r="X1887" t="s">
        <v>47426</v>
      </c>
    </row>
    <row r="1888" spans="1:24">
      <c r="A1888">
        <f>HYPERLINK("https://www.philgeps.gov.ph/GEPSNONPILOT/Tender/SplashBidNoticeAbstractUI.aspx?menuIndex=3&amp;refID=7167155&amp;Result=3","7167155")</f>
        <v>0</v>
      </c>
      <c r="B1888" t="s">
        <v>628</v>
      </c>
      <c r="C1888" t="s">
        <v>5716</v>
      </c>
      <c r="D1888" t="s">
        <v>19043</v>
      </c>
      <c r="E1888" t="s">
        <v>20825</v>
      </c>
      <c r="F1888" t="s">
        <v>32831</v>
      </c>
      <c r="G1888" t="s">
        <v>32838</v>
      </c>
      <c r="H1888" t="s">
        <v>32848</v>
      </c>
      <c r="I1888" t="s">
        <v>4776</v>
      </c>
      <c r="J1888" t="s">
        <v>33338</v>
      </c>
      <c r="K1888" t="s">
        <v>42727</v>
      </c>
      <c r="M1888" t="s">
        <v>43645</v>
      </c>
      <c r="N1888" t="s">
        <v>47424</v>
      </c>
      <c r="O1888" t="s">
        <v>47425</v>
      </c>
      <c r="P1888">
        <v>0</v>
      </c>
      <c r="Q1888">
        <v>0</v>
      </c>
      <c r="R1888" t="s">
        <v>47429</v>
      </c>
      <c r="S1888" t="s">
        <v>47542</v>
      </c>
      <c r="T1888" t="s">
        <v>49129</v>
      </c>
      <c r="U1888" t="s">
        <v>51327</v>
      </c>
      <c r="W1888" t="s">
        <v>43645</v>
      </c>
      <c r="X1888" t="s">
        <v>47426</v>
      </c>
    </row>
    <row r="1889" spans="1:24">
      <c r="A1889">
        <f>HYPERLINK("https://www.philgeps.gov.ph/GEPSNONPILOT/Tender/SplashBidNoticeAbstractUI.aspx?menuIndex=3&amp;refID=7167156&amp;Result=3","7167156")</f>
        <v>0</v>
      </c>
      <c r="B1889" t="s">
        <v>855</v>
      </c>
      <c r="C1889" t="s">
        <v>5717</v>
      </c>
      <c r="E1889" t="s">
        <v>20826</v>
      </c>
      <c r="F1889" t="s">
        <v>32831</v>
      </c>
      <c r="G1889" t="s">
        <v>32839</v>
      </c>
      <c r="H1889" t="s">
        <v>32848</v>
      </c>
      <c r="I1889" t="s">
        <v>4558</v>
      </c>
      <c r="J1889" t="s">
        <v>34308</v>
      </c>
      <c r="K1889" t="s">
        <v>42732</v>
      </c>
      <c r="M1889" t="s">
        <v>43888</v>
      </c>
      <c r="N1889" t="s">
        <v>47424</v>
      </c>
      <c r="O1889" t="s">
        <v>47425</v>
      </c>
      <c r="P1889">
        <v>0</v>
      </c>
      <c r="Q1889">
        <v>0</v>
      </c>
      <c r="R1889" t="s">
        <v>47429</v>
      </c>
      <c r="S1889" t="s">
        <v>47542</v>
      </c>
      <c r="T1889" t="s">
        <v>49065</v>
      </c>
      <c r="U1889" t="s">
        <v>51256</v>
      </c>
      <c r="W1889" t="s">
        <v>43888</v>
      </c>
      <c r="X1889" t="s">
        <v>47426</v>
      </c>
    </row>
    <row r="1890" spans="1:24">
      <c r="A1890">
        <f>HYPERLINK("https://www.philgeps.gov.ph/GEPSNONPILOT/Tender/SplashBidNoticeAbstractUI.aspx?menuIndex=3&amp;refID=7167146&amp;Result=3","7167146")</f>
        <v>0</v>
      </c>
      <c r="B1890" t="s">
        <v>889</v>
      </c>
      <c r="C1890" t="s">
        <v>5718</v>
      </c>
      <c r="D1890" t="s">
        <v>19047</v>
      </c>
      <c r="E1890" t="s">
        <v>20827</v>
      </c>
      <c r="F1890" t="s">
        <v>32831</v>
      </c>
      <c r="G1890" t="s">
        <v>32838</v>
      </c>
      <c r="H1890" t="s">
        <v>32848</v>
      </c>
      <c r="I1890" t="s">
        <v>4438</v>
      </c>
      <c r="J1890" t="s">
        <v>34309</v>
      </c>
      <c r="K1890" t="s">
        <v>42750</v>
      </c>
      <c r="M1890" t="s">
        <v>43924</v>
      </c>
      <c r="N1890" t="s">
        <v>47424</v>
      </c>
      <c r="O1890" t="s">
        <v>47425</v>
      </c>
      <c r="P1890">
        <v>0</v>
      </c>
      <c r="Q1890">
        <v>0</v>
      </c>
      <c r="R1890" t="s">
        <v>47429</v>
      </c>
      <c r="S1890" t="s">
        <v>47542</v>
      </c>
      <c r="T1890" t="s">
        <v>49129</v>
      </c>
      <c r="U1890" t="s">
        <v>51328</v>
      </c>
      <c r="V1890" t="s">
        <v>62831</v>
      </c>
      <c r="W1890" t="s">
        <v>43924</v>
      </c>
      <c r="X1890" t="s">
        <v>47426</v>
      </c>
    </row>
    <row r="1891" spans="1:24">
      <c r="A1891">
        <f>HYPERLINK("https://www.philgeps.gov.ph/GEPSNONPILOT/Tender/SplashBidNoticeAbstractUI.aspx?menuIndex=3&amp;refID=7167145&amp;Result=3","7167145")</f>
        <v>0</v>
      </c>
      <c r="B1891" t="s">
        <v>879</v>
      </c>
      <c r="C1891" t="s">
        <v>5719</v>
      </c>
      <c r="D1891" t="s">
        <v>19043</v>
      </c>
      <c r="E1891" t="s">
        <v>20828</v>
      </c>
      <c r="F1891" t="s">
        <v>32831</v>
      </c>
      <c r="G1891" t="s">
        <v>32838</v>
      </c>
      <c r="H1891" t="s">
        <v>32848</v>
      </c>
      <c r="I1891" t="s">
        <v>6526</v>
      </c>
      <c r="J1891" t="s">
        <v>34310</v>
      </c>
      <c r="K1891" t="s">
        <v>42730</v>
      </c>
      <c r="M1891" t="s">
        <v>43913</v>
      </c>
      <c r="N1891" t="s">
        <v>47424</v>
      </c>
      <c r="O1891" t="s">
        <v>47425</v>
      </c>
      <c r="P1891">
        <v>0</v>
      </c>
      <c r="Q1891">
        <v>0</v>
      </c>
      <c r="R1891" t="s">
        <v>47429</v>
      </c>
      <c r="S1891" t="s">
        <v>47542</v>
      </c>
      <c r="T1891" t="s">
        <v>49123</v>
      </c>
      <c r="U1891" t="s">
        <v>51329</v>
      </c>
      <c r="W1891" t="s">
        <v>43913</v>
      </c>
      <c r="X1891" t="s">
        <v>47426</v>
      </c>
    </row>
    <row r="1892" spans="1:24">
      <c r="A1892">
        <f>HYPERLINK("https://www.philgeps.gov.ph/GEPSNONPILOT/Tender/SplashBidNoticeAbstractUI.aspx?menuIndex=3&amp;refID=7167143&amp;Result=3","7167143")</f>
        <v>0</v>
      </c>
      <c r="B1892" t="s">
        <v>748</v>
      </c>
      <c r="C1892" t="s">
        <v>5720</v>
      </c>
      <c r="D1892" t="s">
        <v>19081</v>
      </c>
      <c r="E1892" t="s">
        <v>20829</v>
      </c>
      <c r="F1892" t="s">
        <v>32831</v>
      </c>
      <c r="G1892" t="s">
        <v>32838</v>
      </c>
      <c r="H1892" t="s">
        <v>32848</v>
      </c>
      <c r="I1892" t="s">
        <v>9577</v>
      </c>
      <c r="J1892" t="s">
        <v>33364</v>
      </c>
      <c r="K1892" t="s">
        <v>42759</v>
      </c>
      <c r="M1892" t="s">
        <v>43771</v>
      </c>
      <c r="N1892" t="s">
        <v>47424</v>
      </c>
      <c r="O1892" t="s">
        <v>47425</v>
      </c>
      <c r="P1892">
        <v>0</v>
      </c>
      <c r="Q1892">
        <v>0</v>
      </c>
      <c r="R1892" t="s">
        <v>47429</v>
      </c>
      <c r="S1892" t="s">
        <v>47542</v>
      </c>
      <c r="T1892" t="s">
        <v>49253</v>
      </c>
      <c r="U1892" t="s">
        <v>51293</v>
      </c>
      <c r="W1892" t="s">
        <v>43771</v>
      </c>
      <c r="X1892" t="s">
        <v>47426</v>
      </c>
    </row>
    <row r="1893" spans="1:24">
      <c r="A1893">
        <f>HYPERLINK("https://www.philgeps.gov.ph/GEPSNONPILOT/Tender/SplashBidNoticeAbstractUI.aspx?menuIndex=3&amp;refID=7167148&amp;Result=3","7167148")</f>
        <v>0</v>
      </c>
      <c r="B1893" t="s">
        <v>890</v>
      </c>
      <c r="C1893" t="s">
        <v>5721</v>
      </c>
      <c r="D1893" t="s">
        <v>19045</v>
      </c>
      <c r="E1893" t="s">
        <v>20830</v>
      </c>
      <c r="F1893" t="s">
        <v>32831</v>
      </c>
      <c r="G1893" t="s">
        <v>32839</v>
      </c>
      <c r="H1893" t="s">
        <v>32849</v>
      </c>
      <c r="I1893" t="s">
        <v>4177</v>
      </c>
      <c r="J1893" t="s">
        <v>32983</v>
      </c>
      <c r="K1893" t="s">
        <v>42739</v>
      </c>
      <c r="M1893" t="s">
        <v>43925</v>
      </c>
      <c r="N1893" t="s">
        <v>47424</v>
      </c>
      <c r="O1893" t="s">
        <v>47425</v>
      </c>
      <c r="P1893">
        <v>0</v>
      </c>
      <c r="Q1893">
        <v>0</v>
      </c>
      <c r="R1893" t="s">
        <v>47429</v>
      </c>
      <c r="S1893" t="s">
        <v>47542</v>
      </c>
      <c r="T1893" t="s">
        <v>49078</v>
      </c>
      <c r="U1893" t="s">
        <v>51330</v>
      </c>
      <c r="V1893" t="s">
        <v>62832</v>
      </c>
      <c r="W1893" t="s">
        <v>43925</v>
      </c>
      <c r="X1893" t="s">
        <v>47426</v>
      </c>
    </row>
    <row r="1894" spans="1:24">
      <c r="A1894">
        <f>HYPERLINK("https://www.philgeps.gov.ph/GEPSNONPILOT/Tender/SplashBidNoticeAbstractUI.aspx?menuIndex=3&amp;refID=7167147&amp;Result=3","7167147")</f>
        <v>0</v>
      </c>
      <c r="B1894" t="s">
        <v>316</v>
      </c>
      <c r="C1894" t="s">
        <v>5722</v>
      </c>
      <c r="D1894" t="s">
        <v>19023</v>
      </c>
      <c r="E1894" t="s">
        <v>20831</v>
      </c>
      <c r="F1894" t="s">
        <v>32831</v>
      </c>
      <c r="G1894" t="s">
        <v>32838</v>
      </c>
      <c r="H1894" t="s">
        <v>32848</v>
      </c>
      <c r="I1894" t="s">
        <v>4487</v>
      </c>
      <c r="J1894" t="s">
        <v>34311</v>
      </c>
      <c r="K1894" t="s">
        <v>42730</v>
      </c>
      <c r="M1894" t="s">
        <v>43795</v>
      </c>
      <c r="N1894" t="s">
        <v>47424</v>
      </c>
      <c r="O1894" t="s">
        <v>47425</v>
      </c>
      <c r="P1894">
        <v>0</v>
      </c>
      <c r="Q1894">
        <v>0</v>
      </c>
      <c r="R1894" t="s">
        <v>47429</v>
      </c>
      <c r="S1894" t="s">
        <v>47542</v>
      </c>
      <c r="T1894" t="s">
        <v>49073</v>
      </c>
      <c r="U1894" t="s">
        <v>51090</v>
      </c>
      <c r="V1894" t="s">
        <v>62802</v>
      </c>
      <c r="W1894" t="s">
        <v>43795</v>
      </c>
      <c r="X1894" t="s">
        <v>47426</v>
      </c>
    </row>
    <row r="1895" spans="1:24">
      <c r="A1895">
        <f>HYPERLINK("https://www.philgeps.gov.ph/GEPSNONPILOT/Tender/SplashBidNoticeAbstractUI.aspx?menuIndex=3&amp;refID=7167139&amp;Result=3","7167139")</f>
        <v>0</v>
      </c>
      <c r="B1895" t="s">
        <v>713</v>
      </c>
      <c r="C1895" t="s">
        <v>5723</v>
      </c>
      <c r="D1895" t="s">
        <v>19023</v>
      </c>
      <c r="E1895" t="s">
        <v>20832</v>
      </c>
      <c r="F1895" t="s">
        <v>32831</v>
      </c>
      <c r="G1895" t="s">
        <v>32839</v>
      </c>
      <c r="H1895" t="s">
        <v>32849</v>
      </c>
      <c r="I1895" t="s">
        <v>4177</v>
      </c>
      <c r="J1895" t="s">
        <v>33083</v>
      </c>
      <c r="K1895" t="s">
        <v>42730</v>
      </c>
      <c r="M1895" t="s">
        <v>43733</v>
      </c>
      <c r="N1895" t="s">
        <v>47424</v>
      </c>
      <c r="O1895" t="s">
        <v>47425</v>
      </c>
      <c r="P1895">
        <v>0</v>
      </c>
      <c r="Q1895">
        <v>0</v>
      </c>
      <c r="R1895" t="s">
        <v>47429</v>
      </c>
      <c r="S1895" t="s">
        <v>47542</v>
      </c>
      <c r="T1895" t="s">
        <v>49186</v>
      </c>
      <c r="U1895" t="s">
        <v>51238</v>
      </c>
      <c r="W1895" t="s">
        <v>43733</v>
      </c>
      <c r="X1895" t="s">
        <v>47426</v>
      </c>
    </row>
    <row r="1896" spans="1:24">
      <c r="A1896">
        <f>HYPERLINK("https://www.philgeps.gov.ph/GEPSNONPILOT/Tender/SplashBidNoticeAbstractUI.aspx?menuIndex=3&amp;refID=7167138&amp;Result=3","7167138")</f>
        <v>0</v>
      </c>
      <c r="B1896" t="s">
        <v>870</v>
      </c>
      <c r="C1896" t="s">
        <v>5724</v>
      </c>
      <c r="D1896" t="s">
        <v>19062</v>
      </c>
      <c r="E1896" t="s">
        <v>20833</v>
      </c>
      <c r="F1896" t="s">
        <v>32831</v>
      </c>
      <c r="G1896" t="s">
        <v>32840</v>
      </c>
      <c r="H1896" t="s">
        <v>32848</v>
      </c>
      <c r="I1896" t="s">
        <v>32855</v>
      </c>
      <c r="J1896" t="s">
        <v>34312</v>
      </c>
      <c r="K1896" t="s">
        <v>42730</v>
      </c>
      <c r="M1896" t="s">
        <v>43904</v>
      </c>
      <c r="N1896" t="s">
        <v>47424</v>
      </c>
      <c r="O1896" t="s">
        <v>47425</v>
      </c>
      <c r="P1896">
        <v>0</v>
      </c>
      <c r="Q1896">
        <v>0</v>
      </c>
      <c r="R1896" t="s">
        <v>47429</v>
      </c>
      <c r="S1896" t="s">
        <v>47542</v>
      </c>
      <c r="T1896" t="s">
        <v>49251</v>
      </c>
      <c r="U1896" t="s">
        <v>51331</v>
      </c>
      <c r="W1896" t="s">
        <v>43904</v>
      </c>
      <c r="X1896" t="s">
        <v>47426</v>
      </c>
    </row>
    <row r="1897" spans="1:24">
      <c r="A1897">
        <f>HYPERLINK("https://www.philgeps.gov.ph/GEPSNONPILOT/Tender/SplashBidNoticeAbstractUI.aspx?menuIndex=3&amp;refID=7167112&amp;Result=3","7167112")</f>
        <v>0</v>
      </c>
      <c r="B1897" t="s">
        <v>880</v>
      </c>
      <c r="C1897" t="s">
        <v>5725</v>
      </c>
      <c r="D1897" t="s">
        <v>19023</v>
      </c>
      <c r="E1897" t="s">
        <v>20834</v>
      </c>
      <c r="F1897" t="s">
        <v>32831</v>
      </c>
      <c r="G1897" t="s">
        <v>32838</v>
      </c>
      <c r="H1897" t="s">
        <v>32848</v>
      </c>
      <c r="I1897" t="s">
        <v>32902</v>
      </c>
      <c r="J1897" t="s">
        <v>34313</v>
      </c>
      <c r="K1897" t="s">
        <v>42726</v>
      </c>
      <c r="M1897" t="s">
        <v>43915</v>
      </c>
      <c r="N1897" t="s">
        <v>47424</v>
      </c>
      <c r="O1897" t="s">
        <v>47425</v>
      </c>
      <c r="P1897">
        <v>0</v>
      </c>
      <c r="Q1897">
        <v>0</v>
      </c>
      <c r="R1897" t="s">
        <v>47429</v>
      </c>
      <c r="S1897" t="s">
        <v>47542</v>
      </c>
      <c r="T1897" t="s">
        <v>49104</v>
      </c>
      <c r="U1897" t="s">
        <v>51332</v>
      </c>
      <c r="W1897" t="s">
        <v>43915</v>
      </c>
      <c r="X1897" t="s">
        <v>47426</v>
      </c>
    </row>
    <row r="1898" spans="1:24">
      <c r="A1898">
        <f>HYPERLINK("https://www.philgeps.gov.ph/GEPSNONPILOT/Tender/SplashBidNoticeAbstractUI.aspx?menuIndex=3&amp;refID=7167150&amp;Result=3","7167150")</f>
        <v>0</v>
      </c>
      <c r="B1898" t="s">
        <v>834</v>
      </c>
      <c r="C1898" t="s">
        <v>5726</v>
      </c>
      <c r="D1898" t="s">
        <v>19046</v>
      </c>
      <c r="E1898" t="s">
        <v>20835</v>
      </c>
      <c r="F1898" t="s">
        <v>32831</v>
      </c>
      <c r="G1898" t="s">
        <v>32839</v>
      </c>
      <c r="H1898" t="s">
        <v>32848</v>
      </c>
      <c r="I1898" t="s">
        <v>4177</v>
      </c>
      <c r="J1898" t="s">
        <v>34314</v>
      </c>
      <c r="K1898" t="s">
        <v>42732</v>
      </c>
      <c r="M1898" t="s">
        <v>43866</v>
      </c>
      <c r="N1898" t="s">
        <v>47424</v>
      </c>
      <c r="O1898" t="s">
        <v>47425</v>
      </c>
      <c r="P1898">
        <v>0</v>
      </c>
      <c r="Q1898">
        <v>0</v>
      </c>
      <c r="R1898" t="s">
        <v>47429</v>
      </c>
      <c r="S1898" t="s">
        <v>47542</v>
      </c>
      <c r="T1898" t="s">
        <v>49078</v>
      </c>
      <c r="U1898" t="s">
        <v>51333</v>
      </c>
      <c r="W1898" t="s">
        <v>43866</v>
      </c>
      <c r="X1898" t="s">
        <v>47426</v>
      </c>
    </row>
    <row r="1899" spans="1:24">
      <c r="A1899">
        <f>HYPERLINK("https://www.philgeps.gov.ph/GEPSNONPILOT/Tender/SplashBidNoticeAbstractUI.aspx?menuIndex=3&amp;refID=7167140&amp;Result=3","7167140")</f>
        <v>0</v>
      </c>
      <c r="B1899" t="s">
        <v>829</v>
      </c>
      <c r="C1899" t="s">
        <v>5727</v>
      </c>
      <c r="D1899" t="s">
        <v>19045</v>
      </c>
      <c r="E1899" t="s">
        <v>20699</v>
      </c>
      <c r="F1899" t="s">
        <v>32831</v>
      </c>
      <c r="G1899" t="s">
        <v>32838</v>
      </c>
      <c r="H1899" t="s">
        <v>32848</v>
      </c>
      <c r="I1899" t="s">
        <v>32857</v>
      </c>
      <c r="J1899" t="s">
        <v>34315</v>
      </c>
      <c r="K1899" t="s">
        <v>42758</v>
      </c>
      <c r="M1899" t="s">
        <v>43861</v>
      </c>
      <c r="N1899" t="s">
        <v>47424</v>
      </c>
      <c r="O1899" t="s">
        <v>47425</v>
      </c>
      <c r="P1899">
        <v>0</v>
      </c>
      <c r="Q1899">
        <v>0</v>
      </c>
      <c r="R1899" t="s">
        <v>47429</v>
      </c>
      <c r="S1899" t="s">
        <v>47542</v>
      </c>
      <c r="T1899" t="s">
        <v>49129</v>
      </c>
      <c r="U1899" t="s">
        <v>51334</v>
      </c>
      <c r="W1899" t="s">
        <v>43861</v>
      </c>
      <c r="X1899" t="s">
        <v>47426</v>
      </c>
    </row>
    <row r="1900" spans="1:24">
      <c r="A1900">
        <f>HYPERLINK("https://www.philgeps.gov.ph/GEPSNONPILOT/Tender/SplashBidNoticeAbstractUI.aspx?menuIndex=3&amp;refID=7167134&amp;Result=3","7167134")</f>
        <v>0</v>
      </c>
      <c r="B1900" t="s">
        <v>855</v>
      </c>
      <c r="C1900" t="s">
        <v>5728</v>
      </c>
      <c r="E1900" t="s">
        <v>20836</v>
      </c>
      <c r="F1900" t="s">
        <v>32831</v>
      </c>
      <c r="G1900" t="s">
        <v>32839</v>
      </c>
      <c r="H1900" t="s">
        <v>32848</v>
      </c>
      <c r="I1900" t="s">
        <v>4558</v>
      </c>
      <c r="J1900" t="s">
        <v>34316</v>
      </c>
      <c r="K1900" t="s">
        <v>42732</v>
      </c>
      <c r="M1900" t="s">
        <v>43888</v>
      </c>
      <c r="N1900" t="s">
        <v>47424</v>
      </c>
      <c r="O1900" t="s">
        <v>47425</v>
      </c>
      <c r="P1900">
        <v>0</v>
      </c>
      <c r="Q1900">
        <v>0</v>
      </c>
      <c r="R1900" t="s">
        <v>47429</v>
      </c>
      <c r="S1900" t="s">
        <v>47542</v>
      </c>
      <c r="T1900" t="s">
        <v>49065</v>
      </c>
      <c r="U1900" t="s">
        <v>51256</v>
      </c>
      <c r="W1900" t="s">
        <v>43888</v>
      </c>
      <c r="X1900" t="s">
        <v>47426</v>
      </c>
    </row>
    <row r="1901" spans="1:24">
      <c r="A1901">
        <f>HYPERLINK("https://www.philgeps.gov.ph/GEPSNONPILOT/Tender/SplashBidNoticeAbstractUI.aspx?menuIndex=3&amp;refID=7167111&amp;Result=3","7167111")</f>
        <v>0</v>
      </c>
      <c r="B1901" t="s">
        <v>891</v>
      </c>
      <c r="C1901" t="s">
        <v>5729</v>
      </c>
      <c r="D1901" t="s">
        <v>19058</v>
      </c>
      <c r="E1901" t="s">
        <v>20837</v>
      </c>
      <c r="F1901" t="s">
        <v>32831</v>
      </c>
      <c r="G1901" t="s">
        <v>32838</v>
      </c>
      <c r="H1901" t="s">
        <v>32848</v>
      </c>
      <c r="I1901" t="s">
        <v>8781</v>
      </c>
      <c r="J1901" t="s">
        <v>32983</v>
      </c>
      <c r="K1901" t="s">
        <v>42732</v>
      </c>
      <c r="M1901" t="s">
        <v>43926</v>
      </c>
      <c r="N1901" t="s">
        <v>47424</v>
      </c>
      <c r="O1901" t="s">
        <v>47425</v>
      </c>
      <c r="P1901">
        <v>0</v>
      </c>
      <c r="Q1901">
        <v>0</v>
      </c>
      <c r="R1901" t="s">
        <v>47429</v>
      </c>
      <c r="S1901" t="s">
        <v>47542</v>
      </c>
      <c r="T1901" t="s">
        <v>49104</v>
      </c>
      <c r="U1901" t="s">
        <v>51335</v>
      </c>
      <c r="W1901" t="s">
        <v>43926</v>
      </c>
      <c r="X1901" t="s">
        <v>47426</v>
      </c>
    </row>
    <row r="1902" spans="1:24">
      <c r="A1902">
        <f>HYPERLINK("https://www.philgeps.gov.ph/GEPSNONPILOT/Tender/SplashBidNoticeAbstractUI.aspx?menuIndex=3&amp;refID=7167142&amp;Result=3","7167142")</f>
        <v>0</v>
      </c>
      <c r="B1902" t="s">
        <v>892</v>
      </c>
      <c r="C1902" t="s">
        <v>5730</v>
      </c>
      <c r="D1902" t="s">
        <v>19083</v>
      </c>
      <c r="E1902" t="s">
        <v>20838</v>
      </c>
      <c r="F1902" t="s">
        <v>32831</v>
      </c>
      <c r="G1902" t="s">
        <v>32838</v>
      </c>
      <c r="H1902" t="s">
        <v>32848</v>
      </c>
      <c r="I1902" t="s">
        <v>32884</v>
      </c>
      <c r="J1902" t="s">
        <v>34317</v>
      </c>
      <c r="K1902" t="s">
        <v>42727</v>
      </c>
      <c r="M1902" t="s">
        <v>43927</v>
      </c>
      <c r="N1902" t="s">
        <v>47424</v>
      </c>
      <c r="O1902" t="s">
        <v>47425</v>
      </c>
      <c r="P1902">
        <v>0</v>
      </c>
      <c r="Q1902">
        <v>0</v>
      </c>
      <c r="R1902" t="s">
        <v>47429</v>
      </c>
      <c r="S1902" t="s">
        <v>47542</v>
      </c>
      <c r="T1902" t="s">
        <v>49105</v>
      </c>
      <c r="U1902" t="s">
        <v>51336</v>
      </c>
      <c r="W1902" t="s">
        <v>43927</v>
      </c>
      <c r="X1902" t="s">
        <v>47426</v>
      </c>
    </row>
    <row r="1903" spans="1:24">
      <c r="A1903">
        <f>HYPERLINK("https://www.philgeps.gov.ph/GEPSNONPILOT/Tender/SplashBidNoticeAbstractUI.aspx?menuIndex=3&amp;refID=7167135&amp;Result=3","7167135")</f>
        <v>0</v>
      </c>
      <c r="B1903" t="s">
        <v>737</v>
      </c>
      <c r="C1903" t="s">
        <v>5731</v>
      </c>
      <c r="D1903" t="s">
        <v>19017</v>
      </c>
      <c r="E1903" t="s">
        <v>20839</v>
      </c>
      <c r="F1903" t="s">
        <v>32833</v>
      </c>
      <c r="G1903" t="s">
        <v>32839</v>
      </c>
      <c r="H1903" t="s">
        <v>32848</v>
      </c>
      <c r="I1903" t="s">
        <v>32857</v>
      </c>
      <c r="J1903" t="s">
        <v>34318</v>
      </c>
      <c r="K1903" t="s">
        <v>42730</v>
      </c>
      <c r="M1903" t="s">
        <v>43760</v>
      </c>
      <c r="N1903" t="s">
        <v>47424</v>
      </c>
      <c r="O1903" t="s">
        <v>47425</v>
      </c>
      <c r="P1903">
        <v>0</v>
      </c>
      <c r="Q1903">
        <v>0</v>
      </c>
      <c r="R1903" t="s">
        <v>47429</v>
      </c>
      <c r="S1903" t="s">
        <v>47542</v>
      </c>
      <c r="T1903" t="s">
        <v>49291</v>
      </c>
      <c r="U1903" t="s">
        <v>51337</v>
      </c>
      <c r="V1903" t="s">
        <v>62795</v>
      </c>
      <c r="W1903" t="s">
        <v>43760</v>
      </c>
      <c r="X1903" t="s">
        <v>47426</v>
      </c>
    </row>
    <row r="1904" spans="1:24">
      <c r="A1904">
        <f>HYPERLINK("https://www.philgeps.gov.ph/GEPSNONPILOT/Tender/SplashBidNoticeAbstractUI.aspx?menuIndex=3&amp;refID=7167101&amp;Result=3","7167101")</f>
        <v>0</v>
      </c>
      <c r="B1904" t="s">
        <v>893</v>
      </c>
      <c r="C1904" t="s">
        <v>5732</v>
      </c>
      <c r="D1904" t="s">
        <v>19058</v>
      </c>
      <c r="E1904" t="s">
        <v>19211</v>
      </c>
      <c r="F1904" t="s">
        <v>32831</v>
      </c>
      <c r="G1904" t="s">
        <v>32839</v>
      </c>
      <c r="H1904" t="s">
        <v>32848</v>
      </c>
      <c r="I1904" t="s">
        <v>7416</v>
      </c>
      <c r="J1904" t="s">
        <v>34319</v>
      </c>
      <c r="K1904" t="s">
        <v>42727</v>
      </c>
      <c r="M1904" t="s">
        <v>43928</v>
      </c>
      <c r="N1904" t="s">
        <v>47424</v>
      </c>
      <c r="O1904" t="s">
        <v>47425</v>
      </c>
      <c r="P1904">
        <v>0</v>
      </c>
      <c r="Q1904">
        <v>0</v>
      </c>
      <c r="R1904" t="s">
        <v>47429</v>
      </c>
      <c r="S1904" t="s">
        <v>47542</v>
      </c>
      <c r="T1904" t="s">
        <v>49142</v>
      </c>
      <c r="U1904" t="s">
        <v>51338</v>
      </c>
      <c r="W1904" t="s">
        <v>43928</v>
      </c>
      <c r="X1904" t="s">
        <v>47426</v>
      </c>
    </row>
    <row r="1905" spans="1:24">
      <c r="A1905">
        <f>HYPERLINK("https://www.philgeps.gov.ph/GEPSNONPILOT/Tender/SplashBidNoticeAbstractUI.aspx?menuIndex=3&amp;refID=7166824&amp;Result=3","7166824")</f>
        <v>0</v>
      </c>
      <c r="B1905" t="s">
        <v>799</v>
      </c>
      <c r="C1905" t="s">
        <v>5514</v>
      </c>
      <c r="D1905" t="s">
        <v>19042</v>
      </c>
      <c r="E1905" t="s">
        <v>20840</v>
      </c>
      <c r="F1905" t="s">
        <v>32831</v>
      </c>
      <c r="G1905" t="s">
        <v>32838</v>
      </c>
      <c r="H1905" t="s">
        <v>32848</v>
      </c>
      <c r="I1905" t="s">
        <v>7878</v>
      </c>
      <c r="J1905" t="s">
        <v>33198</v>
      </c>
      <c r="K1905" t="s">
        <v>42759</v>
      </c>
      <c r="M1905" t="s">
        <v>43829</v>
      </c>
      <c r="N1905" t="s">
        <v>47424</v>
      </c>
      <c r="O1905" t="s">
        <v>47425</v>
      </c>
      <c r="P1905">
        <v>0</v>
      </c>
      <c r="Q1905">
        <v>0</v>
      </c>
      <c r="R1905" t="s">
        <v>47429</v>
      </c>
      <c r="S1905" t="s">
        <v>47542</v>
      </c>
      <c r="T1905" t="s">
        <v>49129</v>
      </c>
      <c r="U1905" t="s">
        <v>51154</v>
      </c>
      <c r="W1905" t="s">
        <v>43829</v>
      </c>
      <c r="X1905" t="s">
        <v>47426</v>
      </c>
    </row>
    <row r="1906" spans="1:24">
      <c r="A1906">
        <f>HYPERLINK("https://www.philgeps.gov.ph/GEPSNONPILOT/Tender/SplashBidNoticeAbstractUI.aspx?menuIndex=3&amp;refID=7166822&amp;Result=3","7166822")</f>
        <v>0</v>
      </c>
      <c r="B1906" t="s">
        <v>797</v>
      </c>
      <c r="C1906" t="s">
        <v>5733</v>
      </c>
      <c r="D1906" t="s">
        <v>19038</v>
      </c>
      <c r="E1906" t="s">
        <v>20841</v>
      </c>
      <c r="F1906" t="s">
        <v>32831</v>
      </c>
      <c r="G1906" t="s">
        <v>32840</v>
      </c>
      <c r="H1906" t="s">
        <v>32848</v>
      </c>
      <c r="I1906" t="s">
        <v>4776</v>
      </c>
      <c r="J1906" t="s">
        <v>33385</v>
      </c>
      <c r="K1906" t="s">
        <v>42726</v>
      </c>
      <c r="M1906" t="s">
        <v>43827</v>
      </c>
      <c r="N1906" t="s">
        <v>47424</v>
      </c>
      <c r="O1906" t="s">
        <v>47425</v>
      </c>
      <c r="P1906">
        <v>0</v>
      </c>
      <c r="Q1906">
        <v>0</v>
      </c>
      <c r="R1906" t="s">
        <v>47429</v>
      </c>
      <c r="S1906" t="s">
        <v>47542</v>
      </c>
      <c r="T1906" t="s">
        <v>49104</v>
      </c>
      <c r="U1906" t="s">
        <v>51339</v>
      </c>
      <c r="V1906" t="s">
        <v>62811</v>
      </c>
      <c r="W1906" t="s">
        <v>43827</v>
      </c>
      <c r="X1906" t="s">
        <v>47426</v>
      </c>
    </row>
    <row r="1907" spans="1:24">
      <c r="A1907">
        <f>HYPERLINK("https://www.philgeps.gov.ph/GEPSNONPILOT/Tender/SplashBidNoticeAbstractUI.aspx?menuIndex=3&amp;refID=7167137&amp;Result=3","7167137")</f>
        <v>0</v>
      </c>
      <c r="B1907" t="s">
        <v>894</v>
      </c>
      <c r="C1907" t="s">
        <v>5734</v>
      </c>
      <c r="D1907" t="s">
        <v>19027</v>
      </c>
      <c r="E1907" t="s">
        <v>20842</v>
      </c>
      <c r="F1907" t="s">
        <v>32831</v>
      </c>
      <c r="G1907" t="s">
        <v>32839</v>
      </c>
      <c r="H1907" t="s">
        <v>32848</v>
      </c>
      <c r="I1907" t="s">
        <v>7819</v>
      </c>
      <c r="J1907" t="s">
        <v>33086</v>
      </c>
      <c r="K1907" t="s">
        <v>42759</v>
      </c>
      <c r="M1907" t="s">
        <v>43929</v>
      </c>
      <c r="N1907" t="s">
        <v>47424</v>
      </c>
      <c r="O1907" t="s">
        <v>47425</v>
      </c>
      <c r="P1907">
        <v>0</v>
      </c>
      <c r="Q1907">
        <v>0</v>
      </c>
      <c r="R1907" t="s">
        <v>47429</v>
      </c>
      <c r="S1907" t="s">
        <v>47542</v>
      </c>
      <c r="T1907" t="s">
        <v>49225</v>
      </c>
      <c r="U1907" t="s">
        <v>51340</v>
      </c>
      <c r="W1907" t="s">
        <v>43929</v>
      </c>
      <c r="X1907" t="s">
        <v>47426</v>
      </c>
    </row>
    <row r="1908" spans="1:24">
      <c r="A1908">
        <f>HYPERLINK("https://www.philgeps.gov.ph/GEPSNONPILOT/Tender/SplashBidNoticeAbstractUI.aspx?menuIndex=3&amp;refID=7166820&amp;Result=3","7166820")</f>
        <v>0</v>
      </c>
      <c r="B1908" t="s">
        <v>895</v>
      </c>
      <c r="C1908" t="s">
        <v>5735</v>
      </c>
      <c r="D1908" t="s">
        <v>19036</v>
      </c>
      <c r="E1908" t="s">
        <v>20843</v>
      </c>
      <c r="F1908" t="s">
        <v>32831</v>
      </c>
      <c r="G1908" t="s">
        <v>32839</v>
      </c>
      <c r="H1908" t="s">
        <v>32848</v>
      </c>
      <c r="I1908" t="s">
        <v>32857</v>
      </c>
      <c r="J1908" t="s">
        <v>34320</v>
      </c>
      <c r="K1908" t="s">
        <v>42727</v>
      </c>
      <c r="M1908" t="s">
        <v>43930</v>
      </c>
      <c r="N1908" t="s">
        <v>47424</v>
      </c>
      <c r="O1908" t="s">
        <v>47425</v>
      </c>
      <c r="P1908">
        <v>0</v>
      </c>
      <c r="Q1908">
        <v>0</v>
      </c>
      <c r="R1908" t="s">
        <v>47429</v>
      </c>
      <c r="S1908" t="s">
        <v>47542</v>
      </c>
      <c r="T1908" t="s">
        <v>49292</v>
      </c>
      <c r="U1908" t="s">
        <v>51341</v>
      </c>
      <c r="V1908" t="s">
        <v>62833</v>
      </c>
      <c r="W1908" t="s">
        <v>43930</v>
      </c>
      <c r="X1908" t="s">
        <v>47426</v>
      </c>
    </row>
    <row r="1909" spans="1:24">
      <c r="A1909">
        <f>HYPERLINK("https://www.philgeps.gov.ph/GEPSNONPILOT/Tender/SplashBidNoticeAbstractUI.aspx?menuIndex=3&amp;refID=7167128&amp;Result=3","7167128")</f>
        <v>0</v>
      </c>
      <c r="B1909" t="s">
        <v>234</v>
      </c>
      <c r="C1909" t="s">
        <v>5736</v>
      </c>
      <c r="D1909" t="s">
        <v>19045</v>
      </c>
      <c r="E1909" t="s">
        <v>20844</v>
      </c>
      <c r="F1909" t="s">
        <v>32831</v>
      </c>
      <c r="G1909" t="s">
        <v>32838</v>
      </c>
      <c r="H1909" t="s">
        <v>32848</v>
      </c>
      <c r="I1909" t="s">
        <v>7416</v>
      </c>
      <c r="J1909" t="s">
        <v>34321</v>
      </c>
      <c r="K1909" t="s">
        <v>42731</v>
      </c>
      <c r="M1909" t="s">
        <v>43233</v>
      </c>
      <c r="N1909" t="s">
        <v>47424</v>
      </c>
      <c r="O1909" t="s">
        <v>47425</v>
      </c>
      <c r="P1909">
        <v>0</v>
      </c>
      <c r="Q1909">
        <v>0</v>
      </c>
      <c r="R1909" t="s">
        <v>47429</v>
      </c>
      <c r="S1909" t="s">
        <v>47542</v>
      </c>
      <c r="T1909" t="s">
        <v>49143</v>
      </c>
      <c r="U1909" t="s">
        <v>51342</v>
      </c>
      <c r="W1909" t="s">
        <v>43233</v>
      </c>
      <c r="X1909" t="s">
        <v>47426</v>
      </c>
    </row>
    <row r="1910" spans="1:24">
      <c r="A1910">
        <f>HYPERLINK("https://www.philgeps.gov.ph/GEPSNONPILOT/Tender/SplashBidNoticeAbstractUI.aspx?menuIndex=3&amp;refID=7167158&amp;Result=3","7167158")</f>
        <v>0</v>
      </c>
      <c r="B1910" t="s">
        <v>565</v>
      </c>
      <c r="C1910" t="s">
        <v>5737</v>
      </c>
      <c r="D1910" t="s">
        <v>19020</v>
      </c>
      <c r="E1910" t="s">
        <v>20845</v>
      </c>
      <c r="F1910" t="s">
        <v>32831</v>
      </c>
      <c r="G1910" t="s">
        <v>32838</v>
      </c>
      <c r="H1910" t="s">
        <v>32848</v>
      </c>
      <c r="I1910" t="s">
        <v>32883</v>
      </c>
      <c r="J1910" t="s">
        <v>34322</v>
      </c>
      <c r="K1910" t="s">
        <v>42727</v>
      </c>
      <c r="M1910" t="s">
        <v>43931</v>
      </c>
      <c r="N1910" t="s">
        <v>47424</v>
      </c>
      <c r="O1910" t="s">
        <v>47425</v>
      </c>
      <c r="P1910">
        <v>0</v>
      </c>
      <c r="Q1910">
        <v>0</v>
      </c>
      <c r="R1910" t="s">
        <v>47429</v>
      </c>
      <c r="S1910" t="s">
        <v>47542</v>
      </c>
      <c r="T1910" t="s">
        <v>49068</v>
      </c>
      <c r="U1910" t="s">
        <v>51343</v>
      </c>
      <c r="W1910" t="s">
        <v>43931</v>
      </c>
      <c r="X1910" t="s">
        <v>47426</v>
      </c>
    </row>
    <row r="1911" spans="1:24">
      <c r="A1911">
        <f>HYPERLINK("https://www.philgeps.gov.ph/GEPSNONPILOT/Tender/SplashBidNoticeAbstractUI.aspx?menuIndex=3&amp;refID=7167136&amp;Result=3","7167136")</f>
        <v>0</v>
      </c>
      <c r="B1911" t="s">
        <v>896</v>
      </c>
      <c r="C1911" t="s">
        <v>5738</v>
      </c>
      <c r="D1911" t="s">
        <v>19077</v>
      </c>
      <c r="E1911" t="s">
        <v>20846</v>
      </c>
      <c r="F1911" t="s">
        <v>32831</v>
      </c>
      <c r="G1911" t="s">
        <v>32838</v>
      </c>
      <c r="H1911" t="s">
        <v>32848</v>
      </c>
      <c r="I1911" t="s">
        <v>32936</v>
      </c>
      <c r="J1911" t="s">
        <v>33041</v>
      </c>
      <c r="K1911" t="s">
        <v>42726</v>
      </c>
      <c r="M1911" t="s">
        <v>43932</v>
      </c>
      <c r="N1911" t="s">
        <v>47424</v>
      </c>
      <c r="O1911" t="s">
        <v>47425</v>
      </c>
      <c r="P1911">
        <v>0</v>
      </c>
      <c r="Q1911">
        <v>0</v>
      </c>
      <c r="R1911" t="s">
        <v>47429</v>
      </c>
      <c r="S1911" t="s">
        <v>47542</v>
      </c>
      <c r="T1911" t="s">
        <v>49089</v>
      </c>
      <c r="U1911" t="s">
        <v>51344</v>
      </c>
      <c r="W1911" t="s">
        <v>43932</v>
      </c>
      <c r="X1911" t="s">
        <v>47426</v>
      </c>
    </row>
    <row r="1912" spans="1:24">
      <c r="A1912">
        <f>HYPERLINK("https://www.philgeps.gov.ph/GEPSNONPILOT/Tender/SplashBidNoticeAbstractUI.aspx?menuIndex=3&amp;refID=7167104&amp;Result=3","7167104")</f>
        <v>0</v>
      </c>
      <c r="B1912" t="s">
        <v>879</v>
      </c>
      <c r="C1912" t="s">
        <v>5739</v>
      </c>
      <c r="D1912" t="s">
        <v>19043</v>
      </c>
      <c r="E1912" t="s">
        <v>20847</v>
      </c>
      <c r="F1912" t="s">
        <v>32831</v>
      </c>
      <c r="G1912" t="s">
        <v>32838</v>
      </c>
      <c r="H1912" t="s">
        <v>32848</v>
      </c>
      <c r="I1912" t="s">
        <v>4303</v>
      </c>
      <c r="J1912" t="s">
        <v>34323</v>
      </c>
      <c r="K1912" t="s">
        <v>42730</v>
      </c>
      <c r="M1912" t="s">
        <v>43913</v>
      </c>
      <c r="N1912" t="s">
        <v>47424</v>
      </c>
      <c r="O1912" t="s">
        <v>47425</v>
      </c>
      <c r="P1912">
        <v>0</v>
      </c>
      <c r="Q1912">
        <v>0</v>
      </c>
      <c r="R1912" t="s">
        <v>47429</v>
      </c>
      <c r="S1912" t="s">
        <v>47542</v>
      </c>
      <c r="T1912" t="s">
        <v>49123</v>
      </c>
      <c r="U1912" t="s">
        <v>51345</v>
      </c>
      <c r="W1912" t="s">
        <v>43913</v>
      </c>
      <c r="X1912" t="s">
        <v>47426</v>
      </c>
    </row>
    <row r="1913" spans="1:24">
      <c r="A1913">
        <f>HYPERLINK("https://www.philgeps.gov.ph/GEPSNONPILOT/Tender/SplashBidNoticeAbstractUI.aspx?menuIndex=3&amp;refID=7167179&amp;Result=3","7167179")</f>
        <v>0</v>
      </c>
      <c r="B1913" t="s">
        <v>897</v>
      </c>
      <c r="C1913" t="s">
        <v>5740</v>
      </c>
      <c r="D1913" t="s">
        <v>19021</v>
      </c>
      <c r="E1913" t="s">
        <v>20848</v>
      </c>
      <c r="F1913" t="s">
        <v>32833</v>
      </c>
      <c r="G1913" t="s">
        <v>32839</v>
      </c>
      <c r="H1913" t="s">
        <v>32848</v>
      </c>
      <c r="I1913" t="s">
        <v>10643</v>
      </c>
      <c r="J1913" t="s">
        <v>34324</v>
      </c>
      <c r="K1913" t="s">
        <v>42726</v>
      </c>
      <c r="M1913" t="s">
        <v>43933</v>
      </c>
      <c r="N1913" t="s">
        <v>47424</v>
      </c>
      <c r="O1913" t="s">
        <v>47425</v>
      </c>
      <c r="P1913">
        <v>0</v>
      </c>
      <c r="Q1913">
        <v>0</v>
      </c>
      <c r="R1913" t="s">
        <v>47429</v>
      </c>
      <c r="S1913" t="s">
        <v>47542</v>
      </c>
      <c r="T1913" t="s">
        <v>49293</v>
      </c>
      <c r="U1913" t="s">
        <v>51346</v>
      </c>
      <c r="W1913" t="s">
        <v>43933</v>
      </c>
      <c r="X1913" t="s">
        <v>47426</v>
      </c>
    </row>
    <row r="1914" spans="1:24">
      <c r="A1914">
        <f>HYPERLINK("https://www.philgeps.gov.ph/GEPSNONPILOT/Tender/SplashBidNoticeAbstractUI.aspx?menuIndex=3&amp;refID=7167178&amp;Result=3","7167178")</f>
        <v>0</v>
      </c>
      <c r="B1914" t="s">
        <v>898</v>
      </c>
      <c r="C1914" t="s">
        <v>5741</v>
      </c>
      <c r="D1914" t="s">
        <v>19047</v>
      </c>
      <c r="E1914" t="s">
        <v>19501</v>
      </c>
      <c r="F1914" t="s">
        <v>32831</v>
      </c>
      <c r="G1914" t="s">
        <v>32840</v>
      </c>
      <c r="H1914" t="s">
        <v>32848</v>
      </c>
      <c r="I1914" t="s">
        <v>8577</v>
      </c>
      <c r="J1914" t="s">
        <v>34325</v>
      </c>
      <c r="K1914" t="s">
        <v>42759</v>
      </c>
      <c r="M1914" t="s">
        <v>43934</v>
      </c>
      <c r="N1914" t="s">
        <v>47424</v>
      </c>
      <c r="O1914" t="s">
        <v>47425</v>
      </c>
      <c r="P1914">
        <v>0</v>
      </c>
      <c r="Q1914">
        <v>0</v>
      </c>
      <c r="R1914" t="s">
        <v>47429</v>
      </c>
      <c r="S1914" t="s">
        <v>47542</v>
      </c>
      <c r="T1914" t="s">
        <v>49114</v>
      </c>
      <c r="U1914" t="s">
        <v>51347</v>
      </c>
      <c r="W1914" t="s">
        <v>43934</v>
      </c>
      <c r="X1914" t="s">
        <v>47426</v>
      </c>
    </row>
    <row r="1915" spans="1:24">
      <c r="A1915">
        <f>HYPERLINK("https://www.philgeps.gov.ph/GEPSNONPILOT/Tender/SplashBidNoticeAbstractUI.aspx?menuIndex=3&amp;refID=7167176&amp;Result=3","7167176")</f>
        <v>0</v>
      </c>
      <c r="B1915" t="s">
        <v>899</v>
      </c>
      <c r="C1915" t="s">
        <v>5742</v>
      </c>
      <c r="E1915" t="s">
        <v>20849</v>
      </c>
      <c r="F1915" t="s">
        <v>32831</v>
      </c>
      <c r="G1915" t="s">
        <v>32838</v>
      </c>
      <c r="H1915" t="s">
        <v>32848</v>
      </c>
      <c r="I1915" t="s">
        <v>7416</v>
      </c>
      <c r="J1915" t="s">
        <v>34326</v>
      </c>
      <c r="K1915" t="s">
        <v>42732</v>
      </c>
      <c r="M1915" t="s">
        <v>43935</v>
      </c>
      <c r="N1915" t="s">
        <v>47424</v>
      </c>
      <c r="O1915" t="s">
        <v>47425</v>
      </c>
      <c r="P1915">
        <v>0</v>
      </c>
      <c r="Q1915">
        <v>0</v>
      </c>
      <c r="R1915" t="s">
        <v>47429</v>
      </c>
      <c r="S1915" t="s">
        <v>47542</v>
      </c>
      <c r="T1915" t="s">
        <v>49089</v>
      </c>
      <c r="U1915" t="s">
        <v>49728</v>
      </c>
      <c r="W1915" t="s">
        <v>43935</v>
      </c>
      <c r="X1915" t="s">
        <v>47426</v>
      </c>
    </row>
    <row r="1916" spans="1:24">
      <c r="A1916">
        <f>HYPERLINK("https://www.philgeps.gov.ph/GEPSNONPILOT/Tender/SplashBidNoticeAbstractUI.aspx?menuIndex=3&amp;refID=7167175&amp;Result=3","7167175")</f>
        <v>0</v>
      </c>
      <c r="B1916" t="s">
        <v>855</v>
      </c>
      <c r="C1916" t="s">
        <v>5743</v>
      </c>
      <c r="E1916" t="s">
        <v>20850</v>
      </c>
      <c r="F1916" t="s">
        <v>32831</v>
      </c>
      <c r="G1916" t="s">
        <v>32839</v>
      </c>
      <c r="H1916" t="s">
        <v>32848</v>
      </c>
      <c r="I1916" t="s">
        <v>4558</v>
      </c>
      <c r="J1916" t="s">
        <v>34327</v>
      </c>
      <c r="K1916" t="s">
        <v>42732</v>
      </c>
      <c r="M1916" t="s">
        <v>43888</v>
      </c>
      <c r="N1916" t="s">
        <v>47424</v>
      </c>
      <c r="O1916" t="s">
        <v>47425</v>
      </c>
      <c r="P1916">
        <v>0</v>
      </c>
      <c r="Q1916">
        <v>0</v>
      </c>
      <c r="R1916" t="s">
        <v>47429</v>
      </c>
      <c r="S1916" t="s">
        <v>47542</v>
      </c>
      <c r="T1916" t="s">
        <v>49065</v>
      </c>
      <c r="U1916" t="s">
        <v>51256</v>
      </c>
      <c r="W1916" t="s">
        <v>43888</v>
      </c>
      <c r="X1916" t="s">
        <v>47426</v>
      </c>
    </row>
    <row r="1917" spans="1:24">
      <c r="A1917">
        <f>HYPERLINK("https://www.philgeps.gov.ph/GEPSNONPILOT/Tender/SplashBidNoticeAbstractUI.aspx?menuIndex=3&amp;refID=7167172&amp;Result=3","7167172")</f>
        <v>0</v>
      </c>
      <c r="B1917" t="s">
        <v>900</v>
      </c>
      <c r="C1917" t="s">
        <v>5744</v>
      </c>
      <c r="E1917" t="s">
        <v>20851</v>
      </c>
      <c r="F1917" t="s">
        <v>32831</v>
      </c>
      <c r="G1917" t="s">
        <v>32838</v>
      </c>
      <c r="H1917" t="s">
        <v>32848</v>
      </c>
      <c r="I1917" t="s">
        <v>4487</v>
      </c>
      <c r="J1917" t="s">
        <v>34328</v>
      </c>
      <c r="K1917" t="s">
        <v>42732</v>
      </c>
      <c r="M1917" t="s">
        <v>43936</v>
      </c>
      <c r="N1917" t="s">
        <v>47424</v>
      </c>
      <c r="O1917" t="s">
        <v>47425</v>
      </c>
      <c r="P1917">
        <v>0</v>
      </c>
      <c r="Q1917">
        <v>0</v>
      </c>
      <c r="R1917" t="s">
        <v>47429</v>
      </c>
      <c r="S1917" t="s">
        <v>47542</v>
      </c>
      <c r="T1917" t="s">
        <v>49123</v>
      </c>
      <c r="U1917" t="s">
        <v>51348</v>
      </c>
      <c r="W1917" t="s">
        <v>43936</v>
      </c>
      <c r="X1917" t="s">
        <v>47426</v>
      </c>
    </row>
    <row r="1918" spans="1:24">
      <c r="A1918">
        <f>HYPERLINK("https://www.philgeps.gov.ph/GEPSNONPILOT/Tender/SplashBidNoticeAbstractUI.aspx?menuIndex=3&amp;refID=7166821&amp;Result=3","7166821")</f>
        <v>0</v>
      </c>
      <c r="B1918" t="s">
        <v>901</v>
      </c>
      <c r="C1918" t="s">
        <v>5745</v>
      </c>
      <c r="D1918" t="s">
        <v>19090</v>
      </c>
      <c r="E1918" t="s">
        <v>20852</v>
      </c>
      <c r="F1918" t="s">
        <v>32831</v>
      </c>
      <c r="G1918" t="s">
        <v>32838</v>
      </c>
      <c r="H1918" t="s">
        <v>32848</v>
      </c>
      <c r="I1918" t="s">
        <v>4438</v>
      </c>
      <c r="J1918" t="s">
        <v>34329</v>
      </c>
      <c r="K1918" t="s">
        <v>42726</v>
      </c>
      <c r="M1918" t="s">
        <v>43937</v>
      </c>
      <c r="N1918" t="s">
        <v>47424</v>
      </c>
      <c r="O1918" t="s">
        <v>47425</v>
      </c>
      <c r="P1918">
        <v>0</v>
      </c>
      <c r="Q1918">
        <v>0</v>
      </c>
      <c r="R1918" t="s">
        <v>47429</v>
      </c>
      <c r="S1918" t="s">
        <v>47542</v>
      </c>
      <c r="T1918" t="s">
        <v>49129</v>
      </c>
      <c r="U1918" t="s">
        <v>51349</v>
      </c>
      <c r="V1918" t="s">
        <v>62834</v>
      </c>
      <c r="W1918" t="s">
        <v>43937</v>
      </c>
      <c r="X1918" t="s">
        <v>47426</v>
      </c>
    </row>
    <row r="1919" spans="1:24">
      <c r="A1919">
        <f>HYPERLINK("https://www.philgeps.gov.ph/GEPSNONPILOT/Tender/SplashBidNoticeAbstractUI.aspx?menuIndex=3&amp;refID=7166819&amp;Result=3","7166819")</f>
        <v>0</v>
      </c>
      <c r="B1919" t="s">
        <v>709</v>
      </c>
      <c r="C1919" t="s">
        <v>5746</v>
      </c>
      <c r="D1919" t="s">
        <v>19037</v>
      </c>
      <c r="E1919" t="s">
        <v>20853</v>
      </c>
      <c r="F1919" t="s">
        <v>32831</v>
      </c>
      <c r="G1919" t="s">
        <v>32840</v>
      </c>
      <c r="H1919" t="s">
        <v>32848</v>
      </c>
      <c r="I1919" t="s">
        <v>6526</v>
      </c>
      <c r="J1919" t="s">
        <v>34330</v>
      </c>
      <c r="K1919" t="s">
        <v>42732</v>
      </c>
      <c r="M1919" t="s">
        <v>43729</v>
      </c>
      <c r="N1919" t="s">
        <v>47424</v>
      </c>
      <c r="O1919" t="s">
        <v>47425</v>
      </c>
      <c r="P1919">
        <v>0</v>
      </c>
      <c r="Q1919">
        <v>0</v>
      </c>
      <c r="R1919" t="s">
        <v>47429</v>
      </c>
      <c r="S1919" t="s">
        <v>47542</v>
      </c>
      <c r="T1919" t="s">
        <v>49198</v>
      </c>
      <c r="U1919" t="s">
        <v>51350</v>
      </c>
      <c r="V1919" t="s">
        <v>62835</v>
      </c>
      <c r="W1919" t="s">
        <v>43729</v>
      </c>
      <c r="X1919" t="s">
        <v>47426</v>
      </c>
    </row>
    <row r="1920" spans="1:24">
      <c r="A1920">
        <f>HYPERLINK("https://www.philgeps.gov.ph/GEPSNONPILOT/Tender/SplashBidNoticeAbstractUI.aspx?menuIndex=3&amp;refID=7167171&amp;Result=3","7167171")</f>
        <v>0</v>
      </c>
      <c r="B1920" t="s">
        <v>858</v>
      </c>
      <c r="C1920" t="s">
        <v>5747</v>
      </c>
      <c r="D1920" t="s">
        <v>19017</v>
      </c>
      <c r="E1920" t="s">
        <v>20854</v>
      </c>
      <c r="F1920" t="s">
        <v>32831</v>
      </c>
      <c r="G1920" t="s">
        <v>32842</v>
      </c>
      <c r="H1920" t="s">
        <v>32848</v>
      </c>
      <c r="I1920" t="s">
        <v>4776</v>
      </c>
      <c r="J1920" t="s">
        <v>33422</v>
      </c>
      <c r="K1920" t="s">
        <v>42727</v>
      </c>
      <c r="M1920" t="s">
        <v>43938</v>
      </c>
      <c r="N1920" t="s">
        <v>47424</v>
      </c>
      <c r="O1920" t="s">
        <v>47425</v>
      </c>
      <c r="P1920">
        <v>0</v>
      </c>
      <c r="Q1920">
        <v>0</v>
      </c>
      <c r="R1920" t="s">
        <v>47429</v>
      </c>
      <c r="S1920" t="s">
        <v>47542</v>
      </c>
      <c r="T1920" t="s">
        <v>49129</v>
      </c>
      <c r="U1920" t="s">
        <v>51264</v>
      </c>
      <c r="W1920" t="s">
        <v>43938</v>
      </c>
      <c r="X1920" t="s">
        <v>47426</v>
      </c>
    </row>
    <row r="1921" spans="1:24">
      <c r="A1921">
        <f>HYPERLINK("https://www.philgeps.gov.ph/GEPSNONPILOT/Tender/SplashBidNoticeAbstractUI.aspx?menuIndex=3&amp;refID=7167168&amp;Result=3","7167168")</f>
        <v>0</v>
      </c>
      <c r="B1921" t="s">
        <v>879</v>
      </c>
      <c r="C1921" t="s">
        <v>5748</v>
      </c>
      <c r="D1921" t="s">
        <v>19043</v>
      </c>
      <c r="E1921" t="s">
        <v>20855</v>
      </c>
      <c r="F1921" t="s">
        <v>32831</v>
      </c>
      <c r="G1921" t="s">
        <v>32838</v>
      </c>
      <c r="H1921" t="s">
        <v>32848</v>
      </c>
      <c r="I1921" t="s">
        <v>6526</v>
      </c>
      <c r="J1921" t="s">
        <v>34331</v>
      </c>
      <c r="K1921" t="s">
        <v>42730</v>
      </c>
      <c r="M1921" t="s">
        <v>43913</v>
      </c>
      <c r="N1921" t="s">
        <v>47424</v>
      </c>
      <c r="O1921" t="s">
        <v>47425</v>
      </c>
      <c r="P1921">
        <v>0</v>
      </c>
      <c r="Q1921">
        <v>0</v>
      </c>
      <c r="R1921" t="s">
        <v>47429</v>
      </c>
      <c r="S1921" t="s">
        <v>47542</v>
      </c>
      <c r="T1921" t="s">
        <v>49123</v>
      </c>
      <c r="U1921" t="s">
        <v>51351</v>
      </c>
      <c r="W1921" t="s">
        <v>43913</v>
      </c>
      <c r="X1921" t="s">
        <v>47426</v>
      </c>
    </row>
    <row r="1922" spans="1:24">
      <c r="A1922">
        <f>HYPERLINK("https://www.philgeps.gov.ph/GEPSNONPILOT/Tender/SplashBidNoticeAbstractUI.aspx?menuIndex=3&amp;refID=7167166&amp;Result=3","7167166")</f>
        <v>0</v>
      </c>
      <c r="B1922" t="s">
        <v>902</v>
      </c>
      <c r="C1922" t="s">
        <v>4726</v>
      </c>
      <c r="D1922" t="s">
        <v>19074</v>
      </c>
      <c r="E1922" t="s">
        <v>19948</v>
      </c>
      <c r="F1922" t="s">
        <v>32831</v>
      </c>
      <c r="G1922" t="s">
        <v>32840</v>
      </c>
      <c r="H1922" t="s">
        <v>32848</v>
      </c>
      <c r="I1922" t="s">
        <v>4438</v>
      </c>
      <c r="J1922" t="s">
        <v>34332</v>
      </c>
      <c r="K1922" t="s">
        <v>42759</v>
      </c>
      <c r="M1922" t="s">
        <v>43939</v>
      </c>
      <c r="N1922" t="s">
        <v>47424</v>
      </c>
      <c r="O1922" t="s">
        <v>47425</v>
      </c>
      <c r="P1922">
        <v>0</v>
      </c>
      <c r="Q1922">
        <v>0</v>
      </c>
      <c r="R1922" t="s">
        <v>47429</v>
      </c>
      <c r="S1922" t="s">
        <v>47542</v>
      </c>
      <c r="T1922" t="s">
        <v>49108</v>
      </c>
      <c r="U1922" t="s">
        <v>51352</v>
      </c>
      <c r="V1922" t="s">
        <v>55507</v>
      </c>
      <c r="W1922" t="s">
        <v>43939</v>
      </c>
      <c r="X1922" t="s">
        <v>47426</v>
      </c>
    </row>
    <row r="1923" spans="1:24">
      <c r="A1923">
        <f>HYPERLINK("https://www.philgeps.gov.ph/GEPSNONPILOT/Tender/SplashBidNoticeAbstractUI.aspx?menuIndex=3&amp;refID=7167102&amp;Result=3","7167102")</f>
        <v>0</v>
      </c>
      <c r="B1923" t="s">
        <v>257</v>
      </c>
      <c r="C1923" t="s">
        <v>5749</v>
      </c>
      <c r="D1923" t="s">
        <v>19058</v>
      </c>
      <c r="E1923" t="s">
        <v>20856</v>
      </c>
      <c r="F1923" t="s">
        <v>32831</v>
      </c>
      <c r="G1923" t="s">
        <v>32838</v>
      </c>
      <c r="H1923" t="s">
        <v>32848</v>
      </c>
      <c r="I1923" t="s">
        <v>4776</v>
      </c>
      <c r="J1923" t="s">
        <v>34280</v>
      </c>
      <c r="K1923" t="s">
        <v>42732</v>
      </c>
      <c r="M1923" t="s">
        <v>43256</v>
      </c>
      <c r="N1923" t="s">
        <v>47424</v>
      </c>
      <c r="O1923" t="s">
        <v>47425</v>
      </c>
      <c r="P1923">
        <v>0</v>
      </c>
      <c r="Q1923">
        <v>0</v>
      </c>
      <c r="R1923" t="s">
        <v>47429</v>
      </c>
      <c r="S1923" t="s">
        <v>47542</v>
      </c>
      <c r="T1923" t="s">
        <v>49294</v>
      </c>
      <c r="U1923" t="s">
        <v>51353</v>
      </c>
      <c r="W1923" t="s">
        <v>43256</v>
      </c>
      <c r="X1923" t="s">
        <v>47426</v>
      </c>
    </row>
    <row r="1924" spans="1:24">
      <c r="A1924">
        <f>HYPERLINK("https://www.philgeps.gov.ph/GEPSNONPILOT/Tender/SplashBidNoticeAbstractUI.aspx?menuIndex=3&amp;refID=7167164&amp;Result=3","7167164")</f>
        <v>0</v>
      </c>
      <c r="B1924" t="s">
        <v>324</v>
      </c>
      <c r="C1924" t="s">
        <v>5750</v>
      </c>
      <c r="D1924" t="s">
        <v>19049</v>
      </c>
      <c r="E1924" t="s">
        <v>20857</v>
      </c>
      <c r="F1924" t="s">
        <v>32831</v>
      </c>
      <c r="G1924" t="s">
        <v>32838</v>
      </c>
      <c r="H1924" t="s">
        <v>32848</v>
      </c>
      <c r="I1924" t="s">
        <v>32883</v>
      </c>
      <c r="J1924" t="s">
        <v>33241</v>
      </c>
      <c r="K1924" t="s">
        <v>42730</v>
      </c>
      <c r="M1924" t="s">
        <v>43940</v>
      </c>
      <c r="N1924" t="s">
        <v>47424</v>
      </c>
      <c r="O1924" t="s">
        <v>47425</v>
      </c>
      <c r="P1924">
        <v>0</v>
      </c>
      <c r="Q1924">
        <v>0</v>
      </c>
      <c r="R1924" t="s">
        <v>47429</v>
      </c>
      <c r="S1924" t="s">
        <v>47542</v>
      </c>
      <c r="T1924" t="s">
        <v>49171</v>
      </c>
      <c r="U1924" t="s">
        <v>51354</v>
      </c>
      <c r="W1924" t="s">
        <v>43940</v>
      </c>
      <c r="X1924" t="s">
        <v>47426</v>
      </c>
    </row>
    <row r="1925" spans="1:24">
      <c r="A1925">
        <f>HYPERLINK("https://www.philgeps.gov.ph/GEPSNONPILOT/Tender/SplashBidNoticeAbstractUI.aspx?menuIndex=3&amp;refID=7167163&amp;Result=3","7167163")</f>
        <v>0</v>
      </c>
      <c r="B1925" t="s">
        <v>316</v>
      </c>
      <c r="C1925" t="s">
        <v>5751</v>
      </c>
      <c r="D1925" t="s">
        <v>19023</v>
      </c>
      <c r="E1925" t="s">
        <v>20858</v>
      </c>
      <c r="F1925" t="s">
        <v>32831</v>
      </c>
      <c r="G1925" t="s">
        <v>32838</v>
      </c>
      <c r="H1925" t="s">
        <v>32848</v>
      </c>
      <c r="I1925" t="s">
        <v>32862</v>
      </c>
      <c r="J1925" t="s">
        <v>34333</v>
      </c>
      <c r="K1925" t="s">
        <v>42730</v>
      </c>
      <c r="M1925" t="s">
        <v>43795</v>
      </c>
      <c r="N1925" t="s">
        <v>47424</v>
      </c>
      <c r="O1925" t="s">
        <v>47425</v>
      </c>
      <c r="P1925">
        <v>0</v>
      </c>
      <c r="Q1925">
        <v>0</v>
      </c>
      <c r="R1925" t="s">
        <v>47429</v>
      </c>
      <c r="S1925" t="s">
        <v>47542</v>
      </c>
      <c r="T1925" t="s">
        <v>49073</v>
      </c>
      <c r="U1925" t="s">
        <v>51090</v>
      </c>
      <c r="V1925" t="s">
        <v>62802</v>
      </c>
      <c r="W1925" t="s">
        <v>43795</v>
      </c>
      <c r="X1925" t="s">
        <v>47426</v>
      </c>
    </row>
    <row r="1926" spans="1:24">
      <c r="A1926">
        <f>HYPERLINK("https://www.philgeps.gov.ph/GEPSNONPILOT/Tender/SplashBidNoticeAbstractUI.aspx?menuIndex=3&amp;refID=7166823&amp;Result=3","7166823")</f>
        <v>0</v>
      </c>
      <c r="B1926" t="s">
        <v>903</v>
      </c>
      <c r="C1926" t="s">
        <v>5752</v>
      </c>
      <c r="D1926" t="s">
        <v>19043</v>
      </c>
      <c r="E1926" t="s">
        <v>20859</v>
      </c>
      <c r="F1926" t="s">
        <v>32831</v>
      </c>
      <c r="G1926" t="s">
        <v>32839</v>
      </c>
      <c r="H1926" t="s">
        <v>32848</v>
      </c>
      <c r="I1926" t="s">
        <v>4177</v>
      </c>
      <c r="J1926" t="s">
        <v>33553</v>
      </c>
      <c r="K1926" t="s">
        <v>42770</v>
      </c>
      <c r="M1926" t="s">
        <v>43941</v>
      </c>
      <c r="N1926" t="s">
        <v>47424</v>
      </c>
      <c r="O1926" t="s">
        <v>47425</v>
      </c>
      <c r="P1926">
        <v>0</v>
      </c>
      <c r="Q1926">
        <v>0</v>
      </c>
      <c r="R1926" t="s">
        <v>47429</v>
      </c>
      <c r="S1926" t="s">
        <v>47542</v>
      </c>
      <c r="T1926" t="s">
        <v>49189</v>
      </c>
      <c r="U1926" t="s">
        <v>51355</v>
      </c>
      <c r="W1926" t="s">
        <v>43941</v>
      </c>
      <c r="X1926" t="s">
        <v>47426</v>
      </c>
    </row>
    <row r="1927" spans="1:24">
      <c r="A1927">
        <f>HYPERLINK("https://www.philgeps.gov.ph/GEPSNONPILOT/Tender/SplashBidNoticeAbstractUI.aspx?menuIndex=3&amp;refID=7167167&amp;Result=3","7167167")</f>
        <v>0</v>
      </c>
      <c r="B1927" t="s">
        <v>904</v>
      </c>
      <c r="C1927" t="s">
        <v>5753</v>
      </c>
      <c r="D1927" t="s">
        <v>19047</v>
      </c>
      <c r="E1927" t="s">
        <v>20860</v>
      </c>
      <c r="F1927" t="s">
        <v>32831</v>
      </c>
      <c r="G1927" t="s">
        <v>32839</v>
      </c>
      <c r="H1927" t="s">
        <v>32848</v>
      </c>
      <c r="I1927" t="s">
        <v>4487</v>
      </c>
      <c r="J1927" t="s">
        <v>34334</v>
      </c>
      <c r="K1927" t="s">
        <v>42763</v>
      </c>
      <c r="M1927" t="s">
        <v>43942</v>
      </c>
      <c r="N1927" t="s">
        <v>47424</v>
      </c>
      <c r="O1927" t="s">
        <v>47425</v>
      </c>
      <c r="P1927">
        <v>0</v>
      </c>
      <c r="Q1927">
        <v>0</v>
      </c>
      <c r="R1927" t="s">
        <v>47429</v>
      </c>
      <c r="S1927" t="s">
        <v>47542</v>
      </c>
      <c r="T1927" t="s">
        <v>49065</v>
      </c>
      <c r="U1927" t="s">
        <v>51356</v>
      </c>
      <c r="V1927" t="s">
        <v>62836</v>
      </c>
      <c r="W1927" t="s">
        <v>43942</v>
      </c>
      <c r="X1927" t="s">
        <v>47426</v>
      </c>
    </row>
    <row r="1928" spans="1:24">
      <c r="A1928">
        <f>HYPERLINK("https://www.philgeps.gov.ph/GEPSNONPILOT/Tender/SplashBidNoticeAbstractUI.aspx?menuIndex=3&amp;refID=7167202&amp;Result=3","7167202")</f>
        <v>0</v>
      </c>
      <c r="B1928" t="s">
        <v>905</v>
      </c>
      <c r="C1928" t="s">
        <v>5754</v>
      </c>
      <c r="D1928" t="s">
        <v>19062</v>
      </c>
      <c r="E1928" t="s">
        <v>20861</v>
      </c>
      <c r="F1928" t="s">
        <v>32831</v>
      </c>
      <c r="G1928" t="s">
        <v>32838</v>
      </c>
      <c r="H1928" t="s">
        <v>32848</v>
      </c>
      <c r="I1928" t="s">
        <v>32863</v>
      </c>
      <c r="J1928" t="s">
        <v>33268</v>
      </c>
      <c r="K1928" t="s">
        <v>42730</v>
      </c>
      <c r="M1928" t="s">
        <v>43943</v>
      </c>
      <c r="N1928" t="s">
        <v>47424</v>
      </c>
      <c r="O1928" t="s">
        <v>47425</v>
      </c>
      <c r="P1928">
        <v>0</v>
      </c>
      <c r="Q1928">
        <v>0</v>
      </c>
      <c r="R1928" t="s">
        <v>47429</v>
      </c>
      <c r="S1928" t="s">
        <v>47542</v>
      </c>
      <c r="T1928" t="s">
        <v>49241</v>
      </c>
      <c r="U1928" t="s">
        <v>51357</v>
      </c>
      <c r="W1928" t="s">
        <v>43943</v>
      </c>
      <c r="X1928" t="s">
        <v>47426</v>
      </c>
    </row>
    <row r="1929" spans="1:24">
      <c r="A1929">
        <f>HYPERLINK("https://www.philgeps.gov.ph/GEPSNONPILOT/Tender/SplashBidNoticeAbstractUI.aspx?menuIndex=3&amp;refID=7167200&amp;Result=3","7167200")</f>
        <v>0</v>
      </c>
      <c r="B1929" t="s">
        <v>838</v>
      </c>
      <c r="C1929" t="s">
        <v>5755</v>
      </c>
      <c r="D1929" t="s">
        <v>19042</v>
      </c>
      <c r="E1929" t="s">
        <v>20862</v>
      </c>
      <c r="F1929" t="s">
        <v>32831</v>
      </c>
      <c r="G1929" t="s">
        <v>32840</v>
      </c>
      <c r="H1929" t="s">
        <v>32848</v>
      </c>
      <c r="I1929" t="s">
        <v>4487</v>
      </c>
      <c r="J1929" t="s">
        <v>34095</v>
      </c>
      <c r="K1929" t="s">
        <v>42730</v>
      </c>
      <c r="M1929" t="s">
        <v>43870</v>
      </c>
      <c r="N1929" t="s">
        <v>47424</v>
      </c>
      <c r="O1929" t="s">
        <v>47425</v>
      </c>
      <c r="P1929">
        <v>0</v>
      </c>
      <c r="Q1929">
        <v>0</v>
      </c>
      <c r="R1929" t="s">
        <v>47429</v>
      </c>
      <c r="S1929" t="s">
        <v>47542</v>
      </c>
      <c r="T1929" t="s">
        <v>49066</v>
      </c>
      <c r="U1929" t="s">
        <v>51358</v>
      </c>
      <c r="W1929" t="s">
        <v>43870</v>
      </c>
      <c r="X1929" t="s">
        <v>47426</v>
      </c>
    </row>
    <row r="1930" spans="1:24">
      <c r="A1930">
        <f>HYPERLINK("https://www.philgeps.gov.ph/GEPSNONPILOT/Tender/SplashBidNoticeAbstractUI.aspx?menuIndex=3&amp;refID=7167199&amp;Result=3","7167199")</f>
        <v>0</v>
      </c>
      <c r="B1930" t="s">
        <v>855</v>
      </c>
      <c r="C1930" t="s">
        <v>5756</v>
      </c>
      <c r="E1930" t="s">
        <v>20863</v>
      </c>
      <c r="F1930" t="s">
        <v>32831</v>
      </c>
      <c r="G1930" t="s">
        <v>32839</v>
      </c>
      <c r="H1930" t="s">
        <v>32848</v>
      </c>
      <c r="I1930" t="s">
        <v>4558</v>
      </c>
      <c r="J1930" t="s">
        <v>34335</v>
      </c>
      <c r="K1930" t="s">
        <v>42732</v>
      </c>
      <c r="M1930" t="s">
        <v>43888</v>
      </c>
      <c r="N1930" t="s">
        <v>47424</v>
      </c>
      <c r="O1930" t="s">
        <v>47425</v>
      </c>
      <c r="P1930">
        <v>0</v>
      </c>
      <c r="Q1930">
        <v>0</v>
      </c>
      <c r="R1930" t="s">
        <v>47429</v>
      </c>
      <c r="S1930" t="s">
        <v>47542</v>
      </c>
      <c r="T1930" t="s">
        <v>49065</v>
      </c>
      <c r="U1930" t="s">
        <v>51256</v>
      </c>
      <c r="W1930" t="s">
        <v>43888</v>
      </c>
      <c r="X1930" t="s">
        <v>47426</v>
      </c>
    </row>
    <row r="1931" spans="1:24">
      <c r="A1931">
        <f>HYPERLINK("https://www.philgeps.gov.ph/GEPSNONPILOT/Tender/SplashBidNoticeAbstractUI.aspx?menuIndex=3&amp;refID=7167201&amp;Result=3","7167201")</f>
        <v>0</v>
      </c>
      <c r="B1931" t="s">
        <v>858</v>
      </c>
      <c r="C1931" t="s">
        <v>5757</v>
      </c>
      <c r="D1931" t="s">
        <v>19017</v>
      </c>
      <c r="E1931" t="s">
        <v>20864</v>
      </c>
      <c r="F1931" t="s">
        <v>32831</v>
      </c>
      <c r="G1931" t="s">
        <v>32842</v>
      </c>
      <c r="H1931" t="s">
        <v>32848</v>
      </c>
      <c r="I1931" t="s">
        <v>4776</v>
      </c>
      <c r="J1931" t="s">
        <v>34336</v>
      </c>
      <c r="K1931" t="s">
        <v>42730</v>
      </c>
      <c r="M1931" t="s">
        <v>43944</v>
      </c>
      <c r="N1931" t="s">
        <v>47424</v>
      </c>
      <c r="O1931" t="s">
        <v>47425</v>
      </c>
      <c r="P1931">
        <v>0</v>
      </c>
      <c r="Q1931">
        <v>1</v>
      </c>
      <c r="R1931" t="s">
        <v>47429</v>
      </c>
      <c r="S1931" t="s">
        <v>47542</v>
      </c>
      <c r="T1931" t="s">
        <v>49129</v>
      </c>
      <c r="U1931" t="s">
        <v>51264</v>
      </c>
      <c r="W1931" t="s">
        <v>43944</v>
      </c>
      <c r="X1931" t="s">
        <v>47426</v>
      </c>
    </row>
    <row r="1932" spans="1:24">
      <c r="A1932">
        <f>HYPERLINK("https://www.philgeps.gov.ph/GEPSNONPILOT/Tender/SplashBidNoticeAbstractUI.aspx?menuIndex=3&amp;refID=7167197&amp;Result=3","7167197")</f>
        <v>0</v>
      </c>
      <c r="B1932" t="s">
        <v>745</v>
      </c>
      <c r="C1932" t="s">
        <v>5758</v>
      </c>
      <c r="D1932" t="s">
        <v>19077</v>
      </c>
      <c r="E1932" t="s">
        <v>20865</v>
      </c>
      <c r="F1932" t="s">
        <v>32831</v>
      </c>
      <c r="G1932" t="s">
        <v>32838</v>
      </c>
      <c r="H1932" t="s">
        <v>32848</v>
      </c>
      <c r="I1932" t="s">
        <v>10805</v>
      </c>
      <c r="J1932" t="s">
        <v>34337</v>
      </c>
      <c r="K1932" t="s">
        <v>42726</v>
      </c>
      <c r="M1932" t="s">
        <v>43768</v>
      </c>
      <c r="N1932" t="s">
        <v>47424</v>
      </c>
      <c r="O1932" t="s">
        <v>47425</v>
      </c>
      <c r="P1932">
        <v>0</v>
      </c>
      <c r="Q1932">
        <v>0</v>
      </c>
      <c r="R1932" t="s">
        <v>47429</v>
      </c>
      <c r="S1932" t="s">
        <v>47542</v>
      </c>
      <c r="T1932" t="s">
        <v>49124</v>
      </c>
      <c r="U1932" t="s">
        <v>51359</v>
      </c>
      <c r="W1932" t="s">
        <v>43768</v>
      </c>
      <c r="X1932" t="s">
        <v>47426</v>
      </c>
    </row>
    <row r="1933" spans="1:24">
      <c r="A1933">
        <f>HYPERLINK("https://www.philgeps.gov.ph/GEPSNONPILOT/Tender/SplashBidNoticeAbstractUI.aspx?menuIndex=3&amp;refID=7167196&amp;Result=3","7167196")</f>
        <v>0</v>
      </c>
      <c r="B1933" t="s">
        <v>906</v>
      </c>
      <c r="C1933" t="s">
        <v>5759</v>
      </c>
      <c r="D1933" t="s">
        <v>19074</v>
      </c>
      <c r="E1933" t="s">
        <v>19948</v>
      </c>
      <c r="F1933" t="s">
        <v>32831</v>
      </c>
      <c r="G1933" t="s">
        <v>32840</v>
      </c>
      <c r="H1933" t="s">
        <v>32848</v>
      </c>
      <c r="I1933" t="s">
        <v>4438</v>
      </c>
      <c r="J1933" t="s">
        <v>34338</v>
      </c>
      <c r="K1933" t="s">
        <v>42759</v>
      </c>
      <c r="M1933" t="s">
        <v>43945</v>
      </c>
      <c r="N1933" t="s">
        <v>47424</v>
      </c>
      <c r="O1933" t="s">
        <v>47425</v>
      </c>
      <c r="P1933">
        <v>0</v>
      </c>
      <c r="Q1933">
        <v>0</v>
      </c>
      <c r="R1933" t="s">
        <v>47429</v>
      </c>
      <c r="S1933" t="s">
        <v>47542</v>
      </c>
      <c r="T1933" t="s">
        <v>49103</v>
      </c>
      <c r="U1933" t="s">
        <v>51360</v>
      </c>
      <c r="V1933" t="s">
        <v>62707</v>
      </c>
      <c r="W1933" t="s">
        <v>43945</v>
      </c>
      <c r="X1933" t="s">
        <v>47426</v>
      </c>
    </row>
    <row r="1934" spans="1:24">
      <c r="A1934">
        <f>HYPERLINK("https://www.philgeps.gov.ph/GEPSNONPILOT/Tender/SplashBidNoticeAbstractUI.aspx?menuIndex=3&amp;refID=7167195&amp;Result=3","7167195")</f>
        <v>0</v>
      </c>
      <c r="B1934" t="s">
        <v>881</v>
      </c>
      <c r="C1934" t="s">
        <v>5760</v>
      </c>
      <c r="D1934" t="s">
        <v>19095</v>
      </c>
      <c r="E1934" t="s">
        <v>20866</v>
      </c>
      <c r="F1934" t="s">
        <v>32831</v>
      </c>
      <c r="G1934" t="s">
        <v>32838</v>
      </c>
      <c r="H1934" t="s">
        <v>32848</v>
      </c>
      <c r="I1934" t="s">
        <v>32860</v>
      </c>
      <c r="J1934" t="s">
        <v>34339</v>
      </c>
      <c r="K1934" t="s">
        <v>42727</v>
      </c>
      <c r="M1934" t="s">
        <v>43916</v>
      </c>
      <c r="N1934" t="s">
        <v>47424</v>
      </c>
      <c r="O1934" t="s">
        <v>47425</v>
      </c>
      <c r="P1934">
        <v>0</v>
      </c>
      <c r="Q1934">
        <v>0</v>
      </c>
      <c r="R1934" t="s">
        <v>47429</v>
      </c>
      <c r="S1934" t="s">
        <v>47542</v>
      </c>
      <c r="T1934" t="s">
        <v>49129</v>
      </c>
      <c r="U1934" t="s">
        <v>51361</v>
      </c>
      <c r="W1934" t="s">
        <v>43916</v>
      </c>
      <c r="X1934" t="s">
        <v>47426</v>
      </c>
    </row>
    <row r="1935" spans="1:24">
      <c r="A1935">
        <f>HYPERLINK("https://www.philgeps.gov.ph/GEPSNONPILOT/Tender/SplashBidNoticeAbstractUI.aspx?menuIndex=3&amp;refID=7167203&amp;Result=3","7167203")</f>
        <v>0</v>
      </c>
      <c r="B1935" t="s">
        <v>798</v>
      </c>
      <c r="C1935" t="s">
        <v>5761</v>
      </c>
      <c r="D1935" t="s">
        <v>19080</v>
      </c>
      <c r="E1935" t="s">
        <v>20867</v>
      </c>
      <c r="F1935" t="s">
        <v>32831</v>
      </c>
      <c r="G1935" t="s">
        <v>32838</v>
      </c>
      <c r="H1935" t="s">
        <v>32848</v>
      </c>
      <c r="I1935" t="s">
        <v>4487</v>
      </c>
      <c r="J1935" t="s">
        <v>34340</v>
      </c>
      <c r="K1935" t="s">
        <v>42727</v>
      </c>
      <c r="M1935" t="s">
        <v>43828</v>
      </c>
      <c r="N1935" t="s">
        <v>47424</v>
      </c>
      <c r="O1935" t="s">
        <v>47425</v>
      </c>
      <c r="P1935">
        <v>0</v>
      </c>
      <c r="Q1935">
        <v>0</v>
      </c>
      <c r="R1935" t="s">
        <v>47429</v>
      </c>
      <c r="S1935" t="s">
        <v>47542</v>
      </c>
      <c r="T1935" t="s">
        <v>49208</v>
      </c>
      <c r="U1935" t="s">
        <v>51150</v>
      </c>
      <c r="W1935" t="s">
        <v>43828</v>
      </c>
      <c r="X1935" t="s">
        <v>47426</v>
      </c>
    </row>
    <row r="1936" spans="1:24">
      <c r="A1936">
        <f>HYPERLINK("https://www.philgeps.gov.ph/GEPSNONPILOT/Tender/SplashBidNoticeAbstractUI.aspx?menuIndex=3&amp;refID=7167105&amp;Result=3","7167105")</f>
        <v>0</v>
      </c>
      <c r="B1936" t="s">
        <v>907</v>
      </c>
      <c r="C1936" t="s">
        <v>5762</v>
      </c>
      <c r="D1936" t="s">
        <v>19017</v>
      </c>
      <c r="E1936" t="s">
        <v>20868</v>
      </c>
      <c r="F1936" t="s">
        <v>32831</v>
      </c>
      <c r="G1936" t="s">
        <v>32840</v>
      </c>
      <c r="H1936" t="s">
        <v>32848</v>
      </c>
      <c r="I1936" t="s">
        <v>32856</v>
      </c>
      <c r="J1936" t="s">
        <v>33018</v>
      </c>
      <c r="K1936" t="s">
        <v>42726</v>
      </c>
      <c r="M1936" t="s">
        <v>43946</v>
      </c>
      <c r="N1936" t="s">
        <v>47424</v>
      </c>
      <c r="O1936" t="s">
        <v>47425</v>
      </c>
      <c r="P1936">
        <v>0</v>
      </c>
      <c r="Q1936">
        <v>0</v>
      </c>
      <c r="R1936" t="s">
        <v>47429</v>
      </c>
      <c r="S1936" t="s">
        <v>47542</v>
      </c>
      <c r="T1936" t="s">
        <v>49089</v>
      </c>
      <c r="U1936" t="s">
        <v>51362</v>
      </c>
      <c r="W1936" t="s">
        <v>43946</v>
      </c>
      <c r="X1936" t="s">
        <v>47426</v>
      </c>
    </row>
    <row r="1937" spans="1:24">
      <c r="A1937">
        <f>HYPERLINK("https://www.philgeps.gov.ph/GEPSNONPILOT/Tender/SplashBidNoticeAbstractUI.aspx?menuIndex=3&amp;refID=7167198&amp;Result=3","7167198")</f>
        <v>0</v>
      </c>
      <c r="B1937" t="s">
        <v>888</v>
      </c>
      <c r="C1937" t="s">
        <v>5763</v>
      </c>
      <c r="D1937" t="s">
        <v>19067</v>
      </c>
      <c r="E1937" t="s">
        <v>19161</v>
      </c>
      <c r="F1937" t="s">
        <v>32831</v>
      </c>
      <c r="G1937" t="s">
        <v>32840</v>
      </c>
      <c r="H1937" t="s">
        <v>32848</v>
      </c>
      <c r="I1937" t="s">
        <v>9577</v>
      </c>
      <c r="J1937" t="s">
        <v>34341</v>
      </c>
      <c r="K1937" t="s">
        <v>42759</v>
      </c>
      <c r="M1937" t="s">
        <v>43923</v>
      </c>
      <c r="N1937" t="s">
        <v>47424</v>
      </c>
      <c r="O1937" t="s">
        <v>47425</v>
      </c>
      <c r="P1937">
        <v>0</v>
      </c>
      <c r="Q1937">
        <v>0</v>
      </c>
      <c r="R1937" t="s">
        <v>47429</v>
      </c>
      <c r="S1937" t="s">
        <v>47542</v>
      </c>
      <c r="T1937" t="s">
        <v>49100</v>
      </c>
      <c r="U1937" t="s">
        <v>51363</v>
      </c>
      <c r="W1937" t="s">
        <v>43923</v>
      </c>
      <c r="X1937" t="s">
        <v>47426</v>
      </c>
    </row>
    <row r="1938" spans="1:24">
      <c r="A1938">
        <f>HYPERLINK("https://www.philgeps.gov.ph/GEPSNONPILOT/Tender/SplashBidNoticeAbstractUI.aspx?menuIndex=3&amp;refID=7167194&amp;Result=3","7167194")</f>
        <v>0</v>
      </c>
      <c r="B1938" t="s">
        <v>900</v>
      </c>
      <c r="C1938" t="s">
        <v>5764</v>
      </c>
      <c r="D1938" t="s">
        <v>19017</v>
      </c>
      <c r="E1938" t="s">
        <v>20141</v>
      </c>
      <c r="F1938" t="s">
        <v>32831</v>
      </c>
      <c r="G1938" t="s">
        <v>32839</v>
      </c>
      <c r="H1938" t="s">
        <v>32848</v>
      </c>
      <c r="I1938" t="s">
        <v>4177</v>
      </c>
      <c r="J1938" t="s">
        <v>34342</v>
      </c>
      <c r="K1938" t="s">
        <v>42813</v>
      </c>
      <c r="M1938" t="s">
        <v>43947</v>
      </c>
      <c r="N1938" t="s">
        <v>47424</v>
      </c>
      <c r="O1938" t="s">
        <v>47425</v>
      </c>
      <c r="P1938">
        <v>0</v>
      </c>
      <c r="Q1938">
        <v>1</v>
      </c>
      <c r="R1938" t="s">
        <v>47429</v>
      </c>
      <c r="S1938" t="s">
        <v>47542</v>
      </c>
      <c r="T1938" t="s">
        <v>49065</v>
      </c>
      <c r="U1938" t="s">
        <v>51364</v>
      </c>
      <c r="W1938" t="s">
        <v>43947</v>
      </c>
      <c r="X1938" t="s">
        <v>47426</v>
      </c>
    </row>
    <row r="1939" spans="1:24">
      <c r="A1939">
        <f>HYPERLINK("https://www.philgeps.gov.ph/GEPSNONPILOT/Tender/SplashBidNoticeAbstractUI.aspx?menuIndex=3&amp;refID=7167190&amp;Result=3","7167190")</f>
        <v>0</v>
      </c>
      <c r="B1939" t="s">
        <v>908</v>
      </c>
      <c r="C1939" t="s">
        <v>5765</v>
      </c>
      <c r="D1939" t="s">
        <v>19033</v>
      </c>
      <c r="E1939" t="s">
        <v>20869</v>
      </c>
      <c r="F1939" t="s">
        <v>32831</v>
      </c>
      <c r="G1939" t="s">
        <v>32838</v>
      </c>
      <c r="H1939" t="s">
        <v>32848</v>
      </c>
      <c r="I1939" t="s">
        <v>9281</v>
      </c>
      <c r="J1939" t="s">
        <v>33490</v>
      </c>
      <c r="K1939" t="s">
        <v>42730</v>
      </c>
      <c r="M1939" t="s">
        <v>43948</v>
      </c>
      <c r="N1939" t="s">
        <v>47424</v>
      </c>
      <c r="O1939" t="s">
        <v>47425</v>
      </c>
      <c r="P1939">
        <v>0</v>
      </c>
      <c r="Q1939">
        <v>0</v>
      </c>
      <c r="R1939" t="s">
        <v>47429</v>
      </c>
      <c r="S1939" t="s">
        <v>47542</v>
      </c>
      <c r="T1939" t="s">
        <v>49089</v>
      </c>
      <c r="U1939" t="s">
        <v>51365</v>
      </c>
      <c r="W1939" t="s">
        <v>43948</v>
      </c>
      <c r="X1939" t="s">
        <v>47426</v>
      </c>
    </row>
    <row r="1940" spans="1:24">
      <c r="A1940">
        <f>HYPERLINK("https://www.philgeps.gov.ph/GEPSNONPILOT/Tender/SplashBidNoticeAbstractUI.aspx?menuIndex=3&amp;refID=7167165&amp;Result=3","7167165")</f>
        <v>0</v>
      </c>
      <c r="B1940" t="s">
        <v>794</v>
      </c>
      <c r="C1940" t="s">
        <v>5766</v>
      </c>
      <c r="D1940" t="s">
        <v>19088</v>
      </c>
      <c r="E1940" t="s">
        <v>20870</v>
      </c>
      <c r="F1940" t="s">
        <v>32831</v>
      </c>
      <c r="G1940" t="s">
        <v>32838</v>
      </c>
      <c r="H1940" t="s">
        <v>32848</v>
      </c>
      <c r="I1940" t="s">
        <v>32869</v>
      </c>
      <c r="J1940" t="s">
        <v>34343</v>
      </c>
      <c r="K1940" t="s">
        <v>42726</v>
      </c>
      <c r="M1940" t="s">
        <v>43824</v>
      </c>
      <c r="N1940" t="s">
        <v>47424</v>
      </c>
      <c r="O1940" t="s">
        <v>47425</v>
      </c>
      <c r="P1940">
        <v>0</v>
      </c>
      <c r="Q1940">
        <v>0</v>
      </c>
      <c r="R1940" t="s">
        <v>47429</v>
      </c>
      <c r="S1940" t="s">
        <v>47542</v>
      </c>
      <c r="T1940" t="s">
        <v>49080</v>
      </c>
      <c r="U1940" t="s">
        <v>51143</v>
      </c>
      <c r="W1940" t="s">
        <v>43824</v>
      </c>
      <c r="X1940" t="s">
        <v>47426</v>
      </c>
    </row>
    <row r="1941" spans="1:24">
      <c r="A1941">
        <f>HYPERLINK("https://www.philgeps.gov.ph/GEPSNONPILOT/Tender/SplashBidNoticeAbstractUI.aspx?menuIndex=3&amp;refID=7167192&amp;Result=3","7167192")</f>
        <v>0</v>
      </c>
      <c r="B1941" t="s">
        <v>807</v>
      </c>
      <c r="C1941" t="s">
        <v>5767</v>
      </c>
      <c r="D1941" t="s">
        <v>19044</v>
      </c>
      <c r="E1941" t="s">
        <v>20871</v>
      </c>
      <c r="F1941" t="s">
        <v>32831</v>
      </c>
      <c r="G1941" t="s">
        <v>32839</v>
      </c>
      <c r="H1941" t="s">
        <v>32848</v>
      </c>
      <c r="I1941" t="s">
        <v>7416</v>
      </c>
      <c r="J1941" t="s">
        <v>33044</v>
      </c>
      <c r="K1941" t="s">
        <v>42727</v>
      </c>
      <c r="M1941" t="s">
        <v>43838</v>
      </c>
      <c r="N1941" t="s">
        <v>47424</v>
      </c>
      <c r="O1941" t="s">
        <v>47425</v>
      </c>
      <c r="P1941">
        <v>0</v>
      </c>
      <c r="Q1941">
        <v>0</v>
      </c>
      <c r="R1941" t="s">
        <v>47429</v>
      </c>
      <c r="S1941" t="s">
        <v>47542</v>
      </c>
      <c r="T1941" t="s">
        <v>49118</v>
      </c>
      <c r="U1941" t="s">
        <v>51366</v>
      </c>
      <c r="W1941" t="s">
        <v>43838</v>
      </c>
      <c r="X1941" t="s">
        <v>47426</v>
      </c>
    </row>
    <row r="1942" spans="1:24">
      <c r="A1942">
        <f>HYPERLINK("https://www.philgeps.gov.ph/GEPSNONPILOT/Tender/SplashBidNoticeAbstractUI.aspx?menuIndex=3&amp;refID=7167185&amp;Result=3","7167185")</f>
        <v>0</v>
      </c>
      <c r="B1942" t="s">
        <v>909</v>
      </c>
      <c r="C1942" t="s">
        <v>5768</v>
      </c>
      <c r="D1942" t="s">
        <v>19067</v>
      </c>
      <c r="E1942" t="s">
        <v>20872</v>
      </c>
      <c r="F1942" t="s">
        <v>32831</v>
      </c>
      <c r="G1942" t="s">
        <v>32838</v>
      </c>
      <c r="H1942" t="s">
        <v>32848</v>
      </c>
      <c r="I1942" t="s">
        <v>5379</v>
      </c>
      <c r="J1942" t="s">
        <v>34344</v>
      </c>
      <c r="K1942" t="s">
        <v>42730</v>
      </c>
      <c r="M1942" t="s">
        <v>43949</v>
      </c>
      <c r="N1942" t="s">
        <v>47424</v>
      </c>
      <c r="O1942" t="s">
        <v>47425</v>
      </c>
      <c r="P1942">
        <v>0</v>
      </c>
      <c r="Q1942">
        <v>0</v>
      </c>
      <c r="R1942" t="s">
        <v>47429</v>
      </c>
      <c r="S1942" t="s">
        <v>47542</v>
      </c>
      <c r="T1942" t="s">
        <v>49129</v>
      </c>
      <c r="U1942" t="s">
        <v>51367</v>
      </c>
      <c r="W1942" t="s">
        <v>43949</v>
      </c>
      <c r="X1942" t="s">
        <v>47426</v>
      </c>
    </row>
    <row r="1943" spans="1:24">
      <c r="A1943">
        <f>HYPERLINK("https://www.philgeps.gov.ph/GEPSNONPILOT/Tender/SplashBidNoticeAbstractUI.aspx?menuIndex=3&amp;refID=7167193&amp;Result=3","7167193")</f>
        <v>0</v>
      </c>
      <c r="B1943" t="s">
        <v>885</v>
      </c>
      <c r="C1943" t="s">
        <v>5769</v>
      </c>
      <c r="D1943" t="s">
        <v>19088</v>
      </c>
      <c r="E1943" t="s">
        <v>20873</v>
      </c>
      <c r="F1943" t="s">
        <v>32831</v>
      </c>
      <c r="G1943" t="s">
        <v>32838</v>
      </c>
      <c r="H1943" t="s">
        <v>32849</v>
      </c>
      <c r="I1943" t="s">
        <v>4177</v>
      </c>
      <c r="J1943" t="s">
        <v>34345</v>
      </c>
      <c r="K1943" t="s">
        <v>42727</v>
      </c>
      <c r="M1943" t="s">
        <v>43920</v>
      </c>
      <c r="N1943" t="s">
        <v>47424</v>
      </c>
      <c r="O1943" t="s">
        <v>47425</v>
      </c>
      <c r="P1943">
        <v>0</v>
      </c>
      <c r="Q1943">
        <v>0</v>
      </c>
      <c r="R1943" t="s">
        <v>47429</v>
      </c>
      <c r="S1943" t="s">
        <v>47542</v>
      </c>
      <c r="T1943" t="s">
        <v>49104</v>
      </c>
      <c r="U1943" t="s">
        <v>51368</v>
      </c>
      <c r="V1943" t="s">
        <v>62837</v>
      </c>
      <c r="W1943" t="s">
        <v>64449</v>
      </c>
      <c r="X1943" t="s">
        <v>47426</v>
      </c>
    </row>
    <row r="1944" spans="1:24">
      <c r="A1944">
        <f>HYPERLINK("https://www.philgeps.gov.ph/GEPSNONPILOT/Tender/SplashBidNoticeAbstractUI.aspx?menuIndex=3&amp;refID=7167225&amp;Result=3","7167225")</f>
        <v>0</v>
      </c>
      <c r="B1944" t="s">
        <v>910</v>
      </c>
      <c r="C1944" t="s">
        <v>5770</v>
      </c>
      <c r="E1944" t="s">
        <v>20874</v>
      </c>
      <c r="F1944" t="s">
        <v>32831</v>
      </c>
      <c r="G1944" t="s">
        <v>32839</v>
      </c>
      <c r="H1944" t="s">
        <v>32848</v>
      </c>
      <c r="I1944" t="s">
        <v>32937</v>
      </c>
      <c r="J1944" t="s">
        <v>34346</v>
      </c>
      <c r="K1944" t="s">
        <v>42763</v>
      </c>
      <c r="M1944" t="s">
        <v>43950</v>
      </c>
      <c r="N1944" t="s">
        <v>47424</v>
      </c>
      <c r="O1944" t="s">
        <v>47425</v>
      </c>
      <c r="P1944">
        <v>0</v>
      </c>
      <c r="Q1944">
        <v>0</v>
      </c>
      <c r="R1944" t="s">
        <v>47429</v>
      </c>
      <c r="S1944" t="s">
        <v>47542</v>
      </c>
      <c r="T1944" t="s">
        <v>49219</v>
      </c>
      <c r="U1944" t="s">
        <v>51369</v>
      </c>
      <c r="W1944" t="s">
        <v>43950</v>
      </c>
      <c r="X1944" t="s">
        <v>47426</v>
      </c>
    </row>
    <row r="1945" spans="1:24">
      <c r="A1945">
        <f>HYPERLINK("https://www.philgeps.gov.ph/GEPSNONPILOT/Tender/SplashBidNoticeAbstractUI.aspx?menuIndex=3&amp;refID=7167187&amp;Result=3","7167187")</f>
        <v>0</v>
      </c>
      <c r="B1945" t="s">
        <v>911</v>
      </c>
      <c r="C1945" t="s">
        <v>5771</v>
      </c>
      <c r="D1945" t="s">
        <v>19049</v>
      </c>
      <c r="E1945" t="s">
        <v>20875</v>
      </c>
      <c r="F1945" t="s">
        <v>32831</v>
      </c>
      <c r="G1945" t="s">
        <v>32838</v>
      </c>
      <c r="H1945" t="s">
        <v>32848</v>
      </c>
      <c r="I1945" t="s">
        <v>5379</v>
      </c>
      <c r="J1945" t="s">
        <v>34347</v>
      </c>
      <c r="K1945" t="s">
        <v>42727</v>
      </c>
      <c r="M1945" t="s">
        <v>43951</v>
      </c>
      <c r="N1945" t="s">
        <v>47424</v>
      </c>
      <c r="O1945" t="s">
        <v>47425</v>
      </c>
      <c r="P1945">
        <v>0</v>
      </c>
      <c r="Q1945">
        <v>0</v>
      </c>
      <c r="R1945" t="s">
        <v>47429</v>
      </c>
      <c r="S1945" t="s">
        <v>47542</v>
      </c>
      <c r="T1945" t="s">
        <v>49129</v>
      </c>
      <c r="U1945" t="s">
        <v>51370</v>
      </c>
      <c r="W1945" t="s">
        <v>43951</v>
      </c>
      <c r="X1945" t="s">
        <v>47426</v>
      </c>
    </row>
    <row r="1946" spans="1:24">
      <c r="A1946">
        <f>HYPERLINK("https://www.philgeps.gov.ph/GEPSNONPILOT/Tender/SplashBidNoticeAbstractUI.aspx?menuIndex=3&amp;refID=7167177&amp;Result=3","7167177")</f>
        <v>0</v>
      </c>
      <c r="B1946" t="s">
        <v>889</v>
      </c>
      <c r="C1946" t="s">
        <v>5772</v>
      </c>
      <c r="D1946" t="s">
        <v>19047</v>
      </c>
      <c r="E1946" t="s">
        <v>20876</v>
      </c>
      <c r="F1946" t="s">
        <v>32831</v>
      </c>
      <c r="G1946" t="s">
        <v>32838</v>
      </c>
      <c r="H1946" t="s">
        <v>32848</v>
      </c>
      <c r="I1946" t="s">
        <v>32861</v>
      </c>
      <c r="J1946" t="s">
        <v>34348</v>
      </c>
      <c r="K1946" t="s">
        <v>42726</v>
      </c>
      <c r="M1946" t="s">
        <v>43924</v>
      </c>
      <c r="N1946" t="s">
        <v>47424</v>
      </c>
      <c r="O1946" t="s">
        <v>47425</v>
      </c>
      <c r="P1946">
        <v>0</v>
      </c>
      <c r="Q1946">
        <v>0</v>
      </c>
      <c r="R1946" t="s">
        <v>47429</v>
      </c>
      <c r="S1946" t="s">
        <v>47542</v>
      </c>
      <c r="T1946" t="s">
        <v>49129</v>
      </c>
      <c r="U1946" t="s">
        <v>51371</v>
      </c>
      <c r="V1946" t="s">
        <v>62831</v>
      </c>
      <c r="W1946" t="s">
        <v>43924</v>
      </c>
      <c r="X1946" t="s">
        <v>47426</v>
      </c>
    </row>
    <row r="1947" spans="1:24">
      <c r="A1947">
        <f>HYPERLINK("https://www.philgeps.gov.ph/GEPSNONPILOT/Tender/SplashBidNoticeAbstractUI.aspx?menuIndex=3&amp;refID=7167186&amp;Result=3","7167186")</f>
        <v>0</v>
      </c>
      <c r="B1947" t="s">
        <v>316</v>
      </c>
      <c r="C1947" t="s">
        <v>5773</v>
      </c>
      <c r="D1947" t="s">
        <v>19023</v>
      </c>
      <c r="E1947" t="s">
        <v>20877</v>
      </c>
      <c r="F1947" t="s">
        <v>32831</v>
      </c>
      <c r="G1947" t="s">
        <v>32838</v>
      </c>
      <c r="H1947" t="s">
        <v>32848</v>
      </c>
      <c r="I1947" t="s">
        <v>32862</v>
      </c>
      <c r="J1947" t="s">
        <v>34349</v>
      </c>
      <c r="K1947" t="s">
        <v>42730</v>
      </c>
      <c r="M1947" t="s">
        <v>43795</v>
      </c>
      <c r="N1947" t="s">
        <v>47424</v>
      </c>
      <c r="O1947" t="s">
        <v>47425</v>
      </c>
      <c r="P1947">
        <v>0</v>
      </c>
      <c r="Q1947">
        <v>0</v>
      </c>
      <c r="R1947" t="s">
        <v>47429</v>
      </c>
      <c r="S1947" t="s">
        <v>47542</v>
      </c>
      <c r="T1947" t="s">
        <v>49073</v>
      </c>
      <c r="U1947" t="s">
        <v>51090</v>
      </c>
      <c r="V1947" t="s">
        <v>62802</v>
      </c>
      <c r="W1947" t="s">
        <v>43795</v>
      </c>
      <c r="X1947" t="s">
        <v>47426</v>
      </c>
    </row>
    <row r="1948" spans="1:24">
      <c r="A1948">
        <f>HYPERLINK("https://www.philgeps.gov.ph/GEPSNONPILOT/Tender/SplashBidNoticeAbstractUI.aspx?menuIndex=3&amp;refID=7167222&amp;Result=3","7167222")</f>
        <v>0</v>
      </c>
      <c r="B1948" t="s">
        <v>909</v>
      </c>
      <c r="C1948" t="s">
        <v>5774</v>
      </c>
      <c r="D1948" t="s">
        <v>19067</v>
      </c>
      <c r="E1948" t="s">
        <v>20878</v>
      </c>
      <c r="F1948" t="s">
        <v>32831</v>
      </c>
      <c r="G1948" t="s">
        <v>32838</v>
      </c>
      <c r="H1948" t="s">
        <v>32848</v>
      </c>
      <c r="I1948" t="s">
        <v>4222</v>
      </c>
      <c r="J1948" t="s">
        <v>34350</v>
      </c>
      <c r="K1948" t="s">
        <v>42730</v>
      </c>
      <c r="M1948" t="s">
        <v>43949</v>
      </c>
      <c r="N1948" t="s">
        <v>47424</v>
      </c>
      <c r="O1948" t="s">
        <v>47425</v>
      </c>
      <c r="P1948">
        <v>0</v>
      </c>
      <c r="Q1948">
        <v>0</v>
      </c>
      <c r="R1948" t="s">
        <v>47429</v>
      </c>
      <c r="S1948" t="s">
        <v>47542</v>
      </c>
      <c r="T1948" t="s">
        <v>49129</v>
      </c>
      <c r="U1948" t="s">
        <v>51372</v>
      </c>
      <c r="W1948" t="s">
        <v>43949</v>
      </c>
      <c r="X1948" t="s">
        <v>47426</v>
      </c>
    </row>
    <row r="1949" spans="1:24">
      <c r="A1949">
        <f>HYPERLINK("https://www.philgeps.gov.ph/GEPSNONPILOT/Tender/SplashBidNoticeAbstractUI.aspx?menuIndex=3&amp;refID=7167221&amp;Result=3","7167221")</f>
        <v>0</v>
      </c>
      <c r="B1949" t="s">
        <v>855</v>
      </c>
      <c r="C1949" t="s">
        <v>5775</v>
      </c>
      <c r="E1949" t="s">
        <v>20879</v>
      </c>
      <c r="F1949" t="s">
        <v>32831</v>
      </c>
      <c r="G1949" t="s">
        <v>32839</v>
      </c>
      <c r="H1949" t="s">
        <v>32848</v>
      </c>
      <c r="I1949" t="s">
        <v>4558</v>
      </c>
      <c r="J1949" t="s">
        <v>34351</v>
      </c>
      <c r="K1949" t="s">
        <v>42732</v>
      </c>
      <c r="M1949" t="s">
        <v>43888</v>
      </c>
      <c r="N1949" t="s">
        <v>47424</v>
      </c>
      <c r="O1949" t="s">
        <v>47425</v>
      </c>
      <c r="P1949">
        <v>0</v>
      </c>
      <c r="Q1949">
        <v>0</v>
      </c>
      <c r="R1949" t="s">
        <v>47429</v>
      </c>
      <c r="S1949" t="s">
        <v>47542</v>
      </c>
      <c r="T1949" t="s">
        <v>49065</v>
      </c>
      <c r="U1949" t="s">
        <v>51256</v>
      </c>
      <c r="W1949" t="s">
        <v>43888</v>
      </c>
      <c r="X1949" t="s">
        <v>47426</v>
      </c>
    </row>
    <row r="1950" spans="1:24">
      <c r="A1950">
        <f>HYPERLINK("https://www.philgeps.gov.ph/GEPSNONPILOT/Tender/SplashBidNoticeAbstractUI.aspx?menuIndex=3&amp;refID=7167220&amp;Result=3","7167220")</f>
        <v>0</v>
      </c>
      <c r="B1950" t="s">
        <v>912</v>
      </c>
      <c r="C1950" t="s">
        <v>5776</v>
      </c>
      <c r="D1950" t="s">
        <v>19070</v>
      </c>
      <c r="E1950" t="s">
        <v>20880</v>
      </c>
      <c r="F1950" t="s">
        <v>32831</v>
      </c>
      <c r="G1950" t="s">
        <v>32840</v>
      </c>
      <c r="H1950" t="s">
        <v>32848</v>
      </c>
      <c r="I1950" t="s">
        <v>32867</v>
      </c>
      <c r="J1950" t="s">
        <v>34352</v>
      </c>
      <c r="K1950" t="s">
        <v>42759</v>
      </c>
      <c r="M1950" t="s">
        <v>43952</v>
      </c>
      <c r="N1950" t="s">
        <v>47424</v>
      </c>
      <c r="O1950" t="s">
        <v>47425</v>
      </c>
      <c r="P1950">
        <v>0</v>
      </c>
      <c r="Q1950">
        <v>0</v>
      </c>
      <c r="R1950" t="s">
        <v>47429</v>
      </c>
      <c r="S1950" t="s">
        <v>47542</v>
      </c>
      <c r="T1950" t="s">
        <v>49089</v>
      </c>
      <c r="U1950" t="s">
        <v>51373</v>
      </c>
      <c r="W1950" t="s">
        <v>43952</v>
      </c>
      <c r="X1950" t="s">
        <v>47426</v>
      </c>
    </row>
    <row r="1951" spans="1:24">
      <c r="A1951">
        <f>HYPERLINK("https://www.philgeps.gov.ph/GEPSNONPILOT/Tender/SplashBidNoticeAbstractUI.aspx?menuIndex=3&amp;refID=7167219&amp;Result=3","7167219")</f>
        <v>0</v>
      </c>
      <c r="B1951" t="s">
        <v>913</v>
      </c>
      <c r="C1951" t="s">
        <v>5777</v>
      </c>
      <c r="D1951" t="s">
        <v>19022</v>
      </c>
      <c r="E1951" t="s">
        <v>20881</v>
      </c>
      <c r="F1951" t="s">
        <v>32831</v>
      </c>
      <c r="G1951" t="s">
        <v>32840</v>
      </c>
      <c r="H1951" t="s">
        <v>32848</v>
      </c>
      <c r="I1951" t="s">
        <v>10888</v>
      </c>
      <c r="J1951" t="s">
        <v>33812</v>
      </c>
      <c r="K1951" t="s">
        <v>42729</v>
      </c>
      <c r="M1951" t="s">
        <v>43953</v>
      </c>
      <c r="N1951" t="s">
        <v>47424</v>
      </c>
      <c r="O1951" t="s">
        <v>47425</v>
      </c>
      <c r="P1951">
        <v>0</v>
      </c>
      <c r="Q1951">
        <v>0</v>
      </c>
      <c r="R1951" t="s">
        <v>47429</v>
      </c>
      <c r="S1951" t="s">
        <v>47542</v>
      </c>
      <c r="T1951" t="s">
        <v>49068</v>
      </c>
      <c r="U1951" t="s">
        <v>51374</v>
      </c>
      <c r="W1951" t="s">
        <v>43953</v>
      </c>
      <c r="X1951" t="s">
        <v>47426</v>
      </c>
    </row>
    <row r="1952" spans="1:24">
      <c r="A1952">
        <f>HYPERLINK("https://www.philgeps.gov.ph/GEPSNONPILOT/Tender/SplashBidNoticeAbstractUI.aspx?menuIndex=3&amp;refID=7167218&amp;Result=3","7167218")</f>
        <v>0</v>
      </c>
      <c r="B1952" t="s">
        <v>772</v>
      </c>
      <c r="C1952" t="s">
        <v>5778</v>
      </c>
      <c r="D1952" t="s">
        <v>19058</v>
      </c>
      <c r="E1952" t="s">
        <v>20882</v>
      </c>
      <c r="F1952" t="s">
        <v>32831</v>
      </c>
      <c r="G1952" t="s">
        <v>32838</v>
      </c>
      <c r="H1952" t="s">
        <v>32848</v>
      </c>
      <c r="I1952" t="s">
        <v>32870</v>
      </c>
      <c r="J1952" t="s">
        <v>33634</v>
      </c>
      <c r="K1952" t="s">
        <v>42730</v>
      </c>
      <c r="M1952" t="s">
        <v>43801</v>
      </c>
      <c r="N1952" t="s">
        <v>47424</v>
      </c>
      <c r="O1952" t="s">
        <v>47425</v>
      </c>
      <c r="P1952">
        <v>0</v>
      </c>
      <c r="Q1952">
        <v>0</v>
      </c>
      <c r="R1952" t="s">
        <v>47429</v>
      </c>
      <c r="S1952" t="s">
        <v>47542</v>
      </c>
      <c r="T1952" t="s">
        <v>49103</v>
      </c>
      <c r="U1952" t="s">
        <v>51375</v>
      </c>
      <c r="W1952" t="s">
        <v>43801</v>
      </c>
      <c r="X1952" t="s">
        <v>47426</v>
      </c>
    </row>
    <row r="1953" spans="1:24">
      <c r="A1953">
        <f>HYPERLINK("https://www.philgeps.gov.ph/GEPSNONPILOT/Tender/SplashBidNoticeAbstractUI.aspx?menuIndex=3&amp;refID=7167217&amp;Result=3","7167217")</f>
        <v>0</v>
      </c>
      <c r="B1953" t="s">
        <v>764</v>
      </c>
      <c r="C1953" t="s">
        <v>5283</v>
      </c>
      <c r="D1953" t="s">
        <v>19047</v>
      </c>
      <c r="E1953" t="s">
        <v>20883</v>
      </c>
      <c r="F1953" t="s">
        <v>32831</v>
      </c>
      <c r="G1953" t="s">
        <v>32838</v>
      </c>
      <c r="H1953" t="s">
        <v>32848</v>
      </c>
      <c r="I1953" t="s">
        <v>4438</v>
      </c>
      <c r="J1953" t="s">
        <v>34353</v>
      </c>
      <c r="K1953" t="s">
        <v>42727</v>
      </c>
      <c r="M1953" t="s">
        <v>43790</v>
      </c>
      <c r="N1953" t="s">
        <v>47424</v>
      </c>
      <c r="O1953" t="s">
        <v>47425</v>
      </c>
      <c r="P1953">
        <v>0</v>
      </c>
      <c r="Q1953">
        <v>0</v>
      </c>
      <c r="R1953" t="s">
        <v>47429</v>
      </c>
      <c r="S1953" t="s">
        <v>47542</v>
      </c>
      <c r="T1953" t="s">
        <v>49129</v>
      </c>
      <c r="U1953" t="s">
        <v>51376</v>
      </c>
      <c r="V1953" t="s">
        <v>62829</v>
      </c>
      <c r="W1953" t="s">
        <v>43790</v>
      </c>
      <c r="X1953" t="s">
        <v>47426</v>
      </c>
    </row>
    <row r="1954" spans="1:24">
      <c r="A1954">
        <f>HYPERLINK("https://www.philgeps.gov.ph/GEPSNONPILOT/Tender/SplashBidNoticeAbstractUI.aspx?menuIndex=3&amp;refID=7167215&amp;Result=3","7167215")</f>
        <v>0</v>
      </c>
      <c r="B1954" t="s">
        <v>858</v>
      </c>
      <c r="C1954" t="s">
        <v>5779</v>
      </c>
      <c r="D1954" t="s">
        <v>19017</v>
      </c>
      <c r="E1954" t="s">
        <v>20884</v>
      </c>
      <c r="F1954" t="s">
        <v>32831</v>
      </c>
      <c r="G1954" t="s">
        <v>32840</v>
      </c>
      <c r="H1954" t="s">
        <v>32848</v>
      </c>
      <c r="I1954" t="s">
        <v>10805</v>
      </c>
      <c r="J1954" t="s">
        <v>34354</v>
      </c>
      <c r="K1954" t="s">
        <v>42727</v>
      </c>
      <c r="M1954" t="s">
        <v>43954</v>
      </c>
      <c r="N1954" t="s">
        <v>47424</v>
      </c>
      <c r="O1954" t="s">
        <v>47425</v>
      </c>
      <c r="P1954">
        <v>0</v>
      </c>
      <c r="Q1954">
        <v>0</v>
      </c>
      <c r="R1954" t="s">
        <v>47429</v>
      </c>
      <c r="S1954" t="s">
        <v>47542</v>
      </c>
      <c r="T1954" t="s">
        <v>49129</v>
      </c>
      <c r="U1954" t="s">
        <v>51377</v>
      </c>
      <c r="W1954" t="s">
        <v>43954</v>
      </c>
      <c r="X1954" t="s">
        <v>47426</v>
      </c>
    </row>
    <row r="1955" spans="1:24">
      <c r="A1955">
        <f>HYPERLINK("https://www.philgeps.gov.ph/GEPSNONPILOT/Tender/SplashBidNoticeAbstractUI.aspx?menuIndex=3&amp;refID=7167212&amp;Result=3","7167212")</f>
        <v>0</v>
      </c>
      <c r="B1955" t="s">
        <v>748</v>
      </c>
      <c r="C1955" t="s">
        <v>5780</v>
      </c>
      <c r="D1955" t="s">
        <v>19081</v>
      </c>
      <c r="E1955" t="s">
        <v>20885</v>
      </c>
      <c r="F1955" t="s">
        <v>32831</v>
      </c>
      <c r="G1955" t="s">
        <v>32838</v>
      </c>
      <c r="H1955" t="s">
        <v>32848</v>
      </c>
      <c r="I1955" t="s">
        <v>5379</v>
      </c>
      <c r="J1955" t="s">
        <v>34355</v>
      </c>
      <c r="K1955" t="s">
        <v>42759</v>
      </c>
      <c r="M1955" t="s">
        <v>43771</v>
      </c>
      <c r="N1955" t="s">
        <v>47424</v>
      </c>
      <c r="O1955" t="s">
        <v>47425</v>
      </c>
      <c r="P1955">
        <v>0</v>
      </c>
      <c r="Q1955">
        <v>0</v>
      </c>
      <c r="R1955" t="s">
        <v>47429</v>
      </c>
      <c r="S1955" t="s">
        <v>47542</v>
      </c>
      <c r="T1955" t="s">
        <v>49253</v>
      </c>
      <c r="U1955" t="s">
        <v>51378</v>
      </c>
      <c r="W1955" t="s">
        <v>43771</v>
      </c>
      <c r="X1955" t="s">
        <v>47426</v>
      </c>
    </row>
    <row r="1956" spans="1:24">
      <c r="A1956">
        <f>HYPERLINK("https://www.philgeps.gov.ph/GEPSNONPILOT/Tender/SplashBidNoticeAbstractUI.aspx?menuIndex=3&amp;refID=7167174&amp;Result=3","7167174")</f>
        <v>0</v>
      </c>
      <c r="B1956" t="s">
        <v>819</v>
      </c>
      <c r="C1956" t="s">
        <v>5781</v>
      </c>
      <c r="D1956" t="s">
        <v>19057</v>
      </c>
      <c r="E1956" t="s">
        <v>20886</v>
      </c>
      <c r="F1956" t="s">
        <v>32831</v>
      </c>
      <c r="G1956" t="s">
        <v>32838</v>
      </c>
      <c r="H1956" t="s">
        <v>32848</v>
      </c>
      <c r="I1956" t="s">
        <v>32868</v>
      </c>
      <c r="J1956" t="s">
        <v>33313</v>
      </c>
      <c r="K1956" t="s">
        <v>42726</v>
      </c>
      <c r="M1956" t="s">
        <v>43850</v>
      </c>
      <c r="N1956" t="s">
        <v>47424</v>
      </c>
      <c r="O1956" t="s">
        <v>47425</v>
      </c>
      <c r="P1956">
        <v>0</v>
      </c>
      <c r="Q1956">
        <v>0</v>
      </c>
      <c r="R1956" t="s">
        <v>47429</v>
      </c>
      <c r="S1956" t="s">
        <v>47542</v>
      </c>
      <c r="T1956" t="s">
        <v>49123</v>
      </c>
      <c r="U1956" t="s">
        <v>51379</v>
      </c>
      <c r="W1956" t="s">
        <v>43850</v>
      </c>
      <c r="X1956" t="s">
        <v>47426</v>
      </c>
    </row>
    <row r="1957" spans="1:24">
      <c r="A1957">
        <f>HYPERLINK("https://www.philgeps.gov.ph/GEPSNONPILOT/Tender/SplashBidNoticeAbstractUI.aspx?menuIndex=3&amp;refID=7167211&amp;Result=3","7167211")</f>
        <v>0</v>
      </c>
      <c r="B1957" t="s">
        <v>879</v>
      </c>
      <c r="C1957" t="s">
        <v>5782</v>
      </c>
      <c r="D1957" t="s">
        <v>19043</v>
      </c>
      <c r="E1957" t="s">
        <v>20887</v>
      </c>
      <c r="F1957" t="s">
        <v>32831</v>
      </c>
      <c r="G1957" t="s">
        <v>32838</v>
      </c>
      <c r="H1957" t="s">
        <v>32848</v>
      </c>
      <c r="I1957" t="s">
        <v>4303</v>
      </c>
      <c r="J1957" t="s">
        <v>33771</v>
      </c>
      <c r="K1957" t="s">
        <v>42730</v>
      </c>
      <c r="M1957" t="s">
        <v>43913</v>
      </c>
      <c r="N1957" t="s">
        <v>47424</v>
      </c>
      <c r="O1957" t="s">
        <v>47425</v>
      </c>
      <c r="P1957">
        <v>0</v>
      </c>
      <c r="Q1957">
        <v>0</v>
      </c>
      <c r="R1957" t="s">
        <v>47429</v>
      </c>
      <c r="S1957" t="s">
        <v>47542</v>
      </c>
      <c r="T1957" t="s">
        <v>49123</v>
      </c>
      <c r="U1957" t="s">
        <v>51380</v>
      </c>
      <c r="W1957" t="s">
        <v>43913</v>
      </c>
      <c r="X1957" t="s">
        <v>47426</v>
      </c>
    </row>
    <row r="1958" spans="1:24">
      <c r="A1958">
        <f>HYPERLINK("https://www.philgeps.gov.ph/GEPSNONPILOT/Tender/SplashBidNoticeAbstractUI.aspx?menuIndex=3&amp;refID=7167191&amp;Result=3","7167191")</f>
        <v>0</v>
      </c>
      <c r="B1958" t="s">
        <v>914</v>
      </c>
      <c r="C1958" t="s">
        <v>5783</v>
      </c>
      <c r="D1958" t="s">
        <v>19050</v>
      </c>
      <c r="E1958" t="s">
        <v>20888</v>
      </c>
      <c r="F1958" t="s">
        <v>32831</v>
      </c>
      <c r="G1958" t="s">
        <v>32838</v>
      </c>
      <c r="H1958" t="s">
        <v>32848</v>
      </c>
      <c r="I1958" t="s">
        <v>32926</v>
      </c>
      <c r="J1958" t="s">
        <v>34356</v>
      </c>
      <c r="K1958" t="s">
        <v>42732</v>
      </c>
      <c r="M1958" t="s">
        <v>43955</v>
      </c>
      <c r="N1958" t="s">
        <v>47424</v>
      </c>
      <c r="O1958" t="s">
        <v>47425</v>
      </c>
      <c r="P1958">
        <v>0</v>
      </c>
      <c r="Q1958">
        <v>0</v>
      </c>
      <c r="R1958" t="s">
        <v>47429</v>
      </c>
      <c r="S1958" t="s">
        <v>47542</v>
      </c>
      <c r="T1958" t="s">
        <v>49080</v>
      </c>
      <c r="U1958" t="s">
        <v>51381</v>
      </c>
      <c r="W1958" t="s">
        <v>43955</v>
      </c>
      <c r="X1958" t="s">
        <v>47426</v>
      </c>
    </row>
    <row r="1959" spans="1:24">
      <c r="A1959">
        <f>HYPERLINK("https://www.philgeps.gov.ph/GEPSNONPILOT/Tender/SplashBidNoticeAbstractUI.aspx?menuIndex=3&amp;refID=7167246&amp;Result=3","7167246")</f>
        <v>0</v>
      </c>
      <c r="B1959" t="s">
        <v>880</v>
      </c>
      <c r="C1959" t="s">
        <v>5784</v>
      </c>
      <c r="D1959" t="s">
        <v>19023</v>
      </c>
      <c r="E1959" t="s">
        <v>20834</v>
      </c>
      <c r="F1959" t="s">
        <v>32831</v>
      </c>
      <c r="G1959" t="s">
        <v>32838</v>
      </c>
      <c r="H1959" t="s">
        <v>32848</v>
      </c>
      <c r="I1959" t="s">
        <v>32938</v>
      </c>
      <c r="J1959" t="s">
        <v>34357</v>
      </c>
      <c r="K1959" t="s">
        <v>42727</v>
      </c>
      <c r="M1959" t="s">
        <v>43915</v>
      </c>
      <c r="N1959" t="s">
        <v>47424</v>
      </c>
      <c r="O1959" t="s">
        <v>47425</v>
      </c>
      <c r="P1959">
        <v>0</v>
      </c>
      <c r="Q1959">
        <v>0</v>
      </c>
      <c r="R1959" t="s">
        <v>47429</v>
      </c>
      <c r="S1959" t="s">
        <v>47542</v>
      </c>
      <c r="T1959" t="s">
        <v>49104</v>
      </c>
      <c r="U1959" t="s">
        <v>51382</v>
      </c>
      <c r="W1959" t="s">
        <v>43915</v>
      </c>
      <c r="X1959" t="s">
        <v>47426</v>
      </c>
    </row>
    <row r="1960" spans="1:24">
      <c r="A1960">
        <f>HYPERLINK("https://www.philgeps.gov.ph/GEPSNONPILOT/Tender/SplashBidNoticeAbstractUI.aspx?menuIndex=3&amp;refID=7167251&amp;Result=3","7167251")</f>
        <v>0</v>
      </c>
      <c r="B1960" t="s">
        <v>748</v>
      </c>
      <c r="C1960" t="s">
        <v>5785</v>
      </c>
      <c r="D1960" t="s">
        <v>19081</v>
      </c>
      <c r="E1960" t="s">
        <v>20889</v>
      </c>
      <c r="F1960" t="s">
        <v>32831</v>
      </c>
      <c r="G1960" t="s">
        <v>32838</v>
      </c>
      <c r="H1960" t="s">
        <v>32848</v>
      </c>
      <c r="I1960" t="s">
        <v>32885</v>
      </c>
      <c r="J1960" t="s">
        <v>34358</v>
      </c>
      <c r="K1960" t="s">
        <v>42759</v>
      </c>
      <c r="M1960" t="s">
        <v>43771</v>
      </c>
      <c r="N1960" t="s">
        <v>47424</v>
      </c>
      <c r="O1960" t="s">
        <v>47425</v>
      </c>
      <c r="P1960">
        <v>0</v>
      </c>
      <c r="Q1960">
        <v>0</v>
      </c>
      <c r="R1960" t="s">
        <v>47429</v>
      </c>
      <c r="S1960" t="s">
        <v>47542</v>
      </c>
      <c r="T1960" t="s">
        <v>49253</v>
      </c>
      <c r="U1960" t="s">
        <v>51383</v>
      </c>
      <c r="W1960" t="s">
        <v>43771</v>
      </c>
      <c r="X1960" t="s">
        <v>47426</v>
      </c>
    </row>
    <row r="1961" spans="1:24">
      <c r="A1961">
        <f>HYPERLINK("https://www.philgeps.gov.ph/GEPSNONPILOT/Tender/SplashBidNoticeAbstractUI.aspx?menuIndex=3&amp;refID=7167213&amp;Result=3","7167213")</f>
        <v>0</v>
      </c>
      <c r="B1961" t="s">
        <v>915</v>
      </c>
      <c r="C1961" t="s">
        <v>5786</v>
      </c>
      <c r="D1961" t="s">
        <v>19048</v>
      </c>
      <c r="E1961" t="s">
        <v>20890</v>
      </c>
      <c r="F1961" t="s">
        <v>32831</v>
      </c>
      <c r="G1961" t="s">
        <v>32838</v>
      </c>
      <c r="H1961" t="s">
        <v>32848</v>
      </c>
      <c r="I1961" t="s">
        <v>32890</v>
      </c>
      <c r="J1961" t="s">
        <v>33850</v>
      </c>
      <c r="K1961" t="s">
        <v>42732</v>
      </c>
      <c r="M1961" t="s">
        <v>43956</v>
      </c>
      <c r="N1961" t="s">
        <v>47424</v>
      </c>
      <c r="O1961" t="s">
        <v>47425</v>
      </c>
      <c r="P1961">
        <v>0</v>
      </c>
      <c r="Q1961">
        <v>0</v>
      </c>
      <c r="R1961" t="s">
        <v>47429</v>
      </c>
      <c r="S1961" t="s">
        <v>47542</v>
      </c>
      <c r="T1961" t="s">
        <v>49295</v>
      </c>
      <c r="U1961" t="s">
        <v>51384</v>
      </c>
      <c r="W1961" t="s">
        <v>43956</v>
      </c>
      <c r="X1961" t="s">
        <v>47426</v>
      </c>
    </row>
    <row r="1962" spans="1:24">
      <c r="A1962">
        <f>HYPERLINK("https://www.philgeps.gov.ph/GEPSNONPILOT/Tender/SplashBidNoticeAbstractUI.aspx?menuIndex=3&amp;refID=7167189&amp;Result=3","7167189")</f>
        <v>0</v>
      </c>
      <c r="B1962" t="s">
        <v>845</v>
      </c>
      <c r="C1962" t="s">
        <v>5787</v>
      </c>
      <c r="D1962" t="s">
        <v>19038</v>
      </c>
      <c r="E1962" t="s">
        <v>20891</v>
      </c>
      <c r="F1962" t="s">
        <v>32831</v>
      </c>
      <c r="G1962" t="s">
        <v>32838</v>
      </c>
      <c r="H1962" t="s">
        <v>32848</v>
      </c>
      <c r="I1962" t="s">
        <v>4776</v>
      </c>
      <c r="J1962" t="s">
        <v>33041</v>
      </c>
      <c r="K1962" t="s">
        <v>42730</v>
      </c>
      <c r="M1962" t="s">
        <v>43878</v>
      </c>
      <c r="N1962" t="s">
        <v>47424</v>
      </c>
      <c r="O1962" t="s">
        <v>47425</v>
      </c>
      <c r="P1962">
        <v>0</v>
      </c>
      <c r="Q1962">
        <v>0</v>
      </c>
      <c r="R1962" t="s">
        <v>47429</v>
      </c>
      <c r="S1962" t="s">
        <v>47542</v>
      </c>
      <c r="T1962" t="s">
        <v>49296</v>
      </c>
      <c r="U1962" t="s">
        <v>51385</v>
      </c>
      <c r="W1962" t="s">
        <v>43878</v>
      </c>
      <c r="X1962" t="s">
        <v>47426</v>
      </c>
    </row>
    <row r="1963" spans="1:24">
      <c r="A1963">
        <f>HYPERLINK("https://www.philgeps.gov.ph/GEPSNONPILOT/Tender/SplashBidNoticeAbstractUI.aspx?menuIndex=3&amp;refID=7167250&amp;Result=3","7167250")</f>
        <v>0</v>
      </c>
      <c r="B1963" t="s">
        <v>889</v>
      </c>
      <c r="C1963" t="s">
        <v>5788</v>
      </c>
      <c r="D1963" t="s">
        <v>19047</v>
      </c>
      <c r="E1963" t="s">
        <v>20892</v>
      </c>
      <c r="F1963" t="s">
        <v>32831</v>
      </c>
      <c r="G1963" t="s">
        <v>32842</v>
      </c>
      <c r="H1963" t="s">
        <v>32848</v>
      </c>
      <c r="I1963" t="s">
        <v>4340</v>
      </c>
      <c r="J1963" t="s">
        <v>34359</v>
      </c>
      <c r="K1963" t="s">
        <v>42726</v>
      </c>
      <c r="M1963" t="s">
        <v>43924</v>
      </c>
      <c r="N1963" t="s">
        <v>47424</v>
      </c>
      <c r="O1963" t="s">
        <v>47425</v>
      </c>
      <c r="P1963">
        <v>0</v>
      </c>
      <c r="Q1963">
        <v>0</v>
      </c>
      <c r="R1963" t="s">
        <v>47429</v>
      </c>
      <c r="S1963" t="s">
        <v>47542</v>
      </c>
      <c r="T1963" t="s">
        <v>49129</v>
      </c>
      <c r="U1963" t="s">
        <v>51386</v>
      </c>
      <c r="V1963" t="s">
        <v>62831</v>
      </c>
      <c r="W1963" t="s">
        <v>43924</v>
      </c>
      <c r="X1963" t="s">
        <v>47426</v>
      </c>
    </row>
    <row r="1964" spans="1:24">
      <c r="A1964">
        <f>HYPERLINK("https://www.philgeps.gov.ph/GEPSNONPILOT/Tender/SplashBidNoticeAbstractUI.aspx?menuIndex=3&amp;refID=7167248&amp;Result=3","7167248")</f>
        <v>0</v>
      </c>
      <c r="B1964" t="s">
        <v>324</v>
      </c>
      <c r="C1964" t="s">
        <v>5789</v>
      </c>
      <c r="D1964" t="s">
        <v>19049</v>
      </c>
      <c r="E1964" t="s">
        <v>20893</v>
      </c>
      <c r="F1964" t="s">
        <v>32831</v>
      </c>
      <c r="G1964" t="s">
        <v>32838</v>
      </c>
      <c r="H1964" t="s">
        <v>32848</v>
      </c>
      <c r="I1964" t="s">
        <v>32883</v>
      </c>
      <c r="J1964" t="s">
        <v>32980</v>
      </c>
      <c r="K1964" t="s">
        <v>42730</v>
      </c>
      <c r="M1964" t="s">
        <v>43940</v>
      </c>
      <c r="N1964" t="s">
        <v>47424</v>
      </c>
      <c r="O1964" t="s">
        <v>47425</v>
      </c>
      <c r="P1964">
        <v>0</v>
      </c>
      <c r="Q1964">
        <v>0</v>
      </c>
      <c r="R1964" t="s">
        <v>47429</v>
      </c>
      <c r="S1964" t="s">
        <v>47542</v>
      </c>
      <c r="T1964" t="s">
        <v>49171</v>
      </c>
      <c r="U1964" t="s">
        <v>51387</v>
      </c>
      <c r="W1964" t="s">
        <v>43940</v>
      </c>
      <c r="X1964" t="s">
        <v>47426</v>
      </c>
    </row>
    <row r="1965" spans="1:24">
      <c r="A1965">
        <f>HYPERLINK("https://www.philgeps.gov.ph/GEPSNONPILOT/Tender/SplashBidNoticeAbstractUI.aspx?menuIndex=3&amp;refID=7167210&amp;Result=3","7167210")</f>
        <v>0</v>
      </c>
      <c r="B1965" t="s">
        <v>316</v>
      </c>
      <c r="C1965" t="s">
        <v>5790</v>
      </c>
      <c r="D1965" t="s">
        <v>19023</v>
      </c>
      <c r="E1965" t="s">
        <v>20894</v>
      </c>
      <c r="F1965" t="s">
        <v>32831</v>
      </c>
      <c r="G1965" t="s">
        <v>32838</v>
      </c>
      <c r="H1965" t="s">
        <v>32848</v>
      </c>
      <c r="I1965" t="s">
        <v>4438</v>
      </c>
      <c r="J1965" t="s">
        <v>34360</v>
      </c>
      <c r="K1965" t="s">
        <v>42730</v>
      </c>
      <c r="M1965" t="s">
        <v>43795</v>
      </c>
      <c r="N1965" t="s">
        <v>47424</v>
      </c>
      <c r="O1965" t="s">
        <v>47425</v>
      </c>
      <c r="P1965">
        <v>0</v>
      </c>
      <c r="Q1965">
        <v>0</v>
      </c>
      <c r="R1965" t="s">
        <v>47429</v>
      </c>
      <c r="S1965" t="s">
        <v>47542</v>
      </c>
      <c r="T1965" t="s">
        <v>49073</v>
      </c>
      <c r="U1965" t="s">
        <v>51090</v>
      </c>
      <c r="V1965" t="s">
        <v>62802</v>
      </c>
      <c r="W1965" t="s">
        <v>43795</v>
      </c>
      <c r="X1965" t="s">
        <v>47426</v>
      </c>
    </row>
    <row r="1966" spans="1:24">
      <c r="A1966">
        <f>HYPERLINK("https://www.philgeps.gov.ph/GEPSNONPILOT/Tender/SplashBidNoticeAbstractUI.aspx?menuIndex=3&amp;refID=7167244&amp;Result=3","7167244")</f>
        <v>0</v>
      </c>
      <c r="B1966" t="s">
        <v>855</v>
      </c>
      <c r="C1966" t="s">
        <v>5791</v>
      </c>
      <c r="E1966" t="s">
        <v>20895</v>
      </c>
      <c r="F1966" t="s">
        <v>32831</v>
      </c>
      <c r="G1966" t="s">
        <v>32839</v>
      </c>
      <c r="H1966" t="s">
        <v>32848</v>
      </c>
      <c r="I1966" t="s">
        <v>4558</v>
      </c>
      <c r="J1966" t="s">
        <v>34361</v>
      </c>
      <c r="K1966" t="s">
        <v>42732</v>
      </c>
      <c r="M1966" t="s">
        <v>43888</v>
      </c>
      <c r="N1966" t="s">
        <v>47424</v>
      </c>
      <c r="O1966" t="s">
        <v>47425</v>
      </c>
      <c r="P1966">
        <v>0</v>
      </c>
      <c r="Q1966">
        <v>0</v>
      </c>
      <c r="R1966" t="s">
        <v>47429</v>
      </c>
      <c r="S1966" t="s">
        <v>47542</v>
      </c>
      <c r="T1966" t="s">
        <v>49065</v>
      </c>
      <c r="U1966" t="s">
        <v>51256</v>
      </c>
      <c r="W1966" t="s">
        <v>43888</v>
      </c>
      <c r="X1966" t="s">
        <v>47426</v>
      </c>
    </row>
    <row r="1967" spans="1:24">
      <c r="A1967">
        <f>HYPERLINK("https://www.philgeps.gov.ph/GEPSNONPILOT/Tender/SplashBidNoticeAbstractUI.aspx?menuIndex=3&amp;refID=7167242&amp;Result=3","7167242")</f>
        <v>0</v>
      </c>
      <c r="B1967" t="s">
        <v>916</v>
      </c>
      <c r="C1967" t="s">
        <v>5792</v>
      </c>
      <c r="E1967" t="s">
        <v>20896</v>
      </c>
      <c r="F1967" t="s">
        <v>32831</v>
      </c>
      <c r="G1967" t="s">
        <v>32838</v>
      </c>
      <c r="H1967" t="s">
        <v>32848</v>
      </c>
      <c r="I1967" t="s">
        <v>32854</v>
      </c>
      <c r="J1967" t="s">
        <v>34362</v>
      </c>
      <c r="K1967" t="s">
        <v>42732</v>
      </c>
      <c r="M1967" t="s">
        <v>43957</v>
      </c>
      <c r="N1967" t="s">
        <v>47424</v>
      </c>
      <c r="O1967" t="s">
        <v>47425</v>
      </c>
      <c r="P1967">
        <v>0</v>
      </c>
      <c r="Q1967">
        <v>0</v>
      </c>
      <c r="R1967" t="s">
        <v>47429</v>
      </c>
      <c r="S1967" t="s">
        <v>47542</v>
      </c>
      <c r="T1967" t="s">
        <v>49089</v>
      </c>
      <c r="U1967" t="s">
        <v>51388</v>
      </c>
      <c r="W1967" t="s">
        <v>43957</v>
      </c>
      <c r="X1967" t="s">
        <v>47426</v>
      </c>
    </row>
    <row r="1968" spans="1:24">
      <c r="A1968">
        <f>HYPERLINK("https://www.philgeps.gov.ph/GEPSNONPILOT/Tender/SplashBidNoticeAbstractUI.aspx?menuIndex=3&amp;refID=7167240&amp;Result=3","7167240")</f>
        <v>0</v>
      </c>
      <c r="B1968" t="s">
        <v>908</v>
      </c>
      <c r="C1968" t="s">
        <v>5793</v>
      </c>
      <c r="D1968" t="s">
        <v>19033</v>
      </c>
      <c r="E1968" t="s">
        <v>20897</v>
      </c>
      <c r="F1968" t="s">
        <v>32831</v>
      </c>
      <c r="G1968" t="s">
        <v>32838</v>
      </c>
      <c r="H1968" t="s">
        <v>32848</v>
      </c>
      <c r="I1968" t="s">
        <v>32883</v>
      </c>
      <c r="J1968" t="s">
        <v>33706</v>
      </c>
      <c r="K1968" t="s">
        <v>42730</v>
      </c>
      <c r="M1968" t="s">
        <v>43948</v>
      </c>
      <c r="N1968" t="s">
        <v>47424</v>
      </c>
      <c r="O1968" t="s">
        <v>47425</v>
      </c>
      <c r="P1968">
        <v>0</v>
      </c>
      <c r="Q1968">
        <v>0</v>
      </c>
      <c r="R1968" t="s">
        <v>47429</v>
      </c>
      <c r="S1968" t="s">
        <v>47542</v>
      </c>
      <c r="T1968" t="s">
        <v>49089</v>
      </c>
      <c r="U1968" t="s">
        <v>51365</v>
      </c>
      <c r="W1968" t="s">
        <v>43948</v>
      </c>
      <c r="X1968" t="s">
        <v>47426</v>
      </c>
    </row>
    <row r="1969" spans="1:24">
      <c r="A1969">
        <f>HYPERLINK("https://www.philgeps.gov.ph/GEPSNONPILOT/Tender/SplashBidNoticeAbstractUI.aspx?menuIndex=3&amp;refID=7167239&amp;Result=3","7167239")</f>
        <v>0</v>
      </c>
      <c r="B1969" t="s">
        <v>917</v>
      </c>
      <c r="C1969" t="s">
        <v>5794</v>
      </c>
      <c r="D1969" t="s">
        <v>19043</v>
      </c>
      <c r="E1969" t="s">
        <v>20898</v>
      </c>
      <c r="F1969" t="s">
        <v>32831</v>
      </c>
      <c r="G1969" t="s">
        <v>32839</v>
      </c>
      <c r="H1969" t="s">
        <v>32849</v>
      </c>
      <c r="I1969" t="s">
        <v>4177</v>
      </c>
      <c r="J1969" t="s">
        <v>34363</v>
      </c>
      <c r="K1969" t="s">
        <v>42770</v>
      </c>
      <c r="M1969" t="s">
        <v>43958</v>
      </c>
      <c r="N1969" t="s">
        <v>47424</v>
      </c>
      <c r="O1969" t="s">
        <v>47425</v>
      </c>
      <c r="P1969">
        <v>0</v>
      </c>
      <c r="Q1969">
        <v>0</v>
      </c>
      <c r="R1969" t="s">
        <v>47429</v>
      </c>
      <c r="S1969" t="s">
        <v>47542</v>
      </c>
      <c r="T1969" t="s">
        <v>49102</v>
      </c>
      <c r="U1969" t="s">
        <v>51389</v>
      </c>
      <c r="V1969" t="s">
        <v>62838</v>
      </c>
      <c r="W1969" t="s">
        <v>43958</v>
      </c>
      <c r="X1969" t="s">
        <v>47426</v>
      </c>
    </row>
    <row r="1970" spans="1:24">
      <c r="A1970">
        <f>HYPERLINK("https://www.philgeps.gov.ph/GEPSNONPILOT/Tender/SplashBidNoticeAbstractUI.aspx?menuIndex=3&amp;refID=7167216&amp;Result=3","7167216")</f>
        <v>0</v>
      </c>
      <c r="B1970" t="s">
        <v>834</v>
      </c>
      <c r="C1970" t="s">
        <v>5795</v>
      </c>
      <c r="D1970" t="s">
        <v>19046</v>
      </c>
      <c r="E1970" t="s">
        <v>20899</v>
      </c>
      <c r="F1970" t="s">
        <v>32831</v>
      </c>
      <c r="G1970" t="s">
        <v>32839</v>
      </c>
      <c r="H1970" t="s">
        <v>32848</v>
      </c>
      <c r="I1970" t="s">
        <v>9577</v>
      </c>
      <c r="J1970" t="s">
        <v>34364</v>
      </c>
      <c r="K1970" t="s">
        <v>42732</v>
      </c>
      <c r="M1970" t="s">
        <v>43866</v>
      </c>
      <c r="N1970" t="s">
        <v>47424</v>
      </c>
      <c r="O1970" t="s">
        <v>47425</v>
      </c>
      <c r="P1970">
        <v>0</v>
      </c>
      <c r="Q1970">
        <v>0</v>
      </c>
      <c r="R1970" t="s">
        <v>47429</v>
      </c>
      <c r="S1970" t="s">
        <v>47542</v>
      </c>
      <c r="T1970" t="s">
        <v>49078</v>
      </c>
      <c r="U1970" t="s">
        <v>51390</v>
      </c>
      <c r="W1970" t="s">
        <v>43866</v>
      </c>
      <c r="X1970" t="s">
        <v>47426</v>
      </c>
    </row>
    <row r="1971" spans="1:24">
      <c r="A1971">
        <f>HYPERLINK("https://www.philgeps.gov.ph/GEPSNONPILOT/Tender/SplashBidNoticeAbstractUI.aspx?menuIndex=3&amp;refID=7167238&amp;Result=3","7167238")</f>
        <v>0</v>
      </c>
      <c r="B1971" t="s">
        <v>885</v>
      </c>
      <c r="C1971" t="s">
        <v>5796</v>
      </c>
      <c r="D1971" t="s">
        <v>19088</v>
      </c>
      <c r="E1971" t="s">
        <v>20900</v>
      </c>
      <c r="F1971" t="s">
        <v>32831</v>
      </c>
      <c r="G1971" t="s">
        <v>32838</v>
      </c>
      <c r="H1971" t="s">
        <v>32848</v>
      </c>
      <c r="I1971" t="s">
        <v>4177</v>
      </c>
      <c r="J1971" t="s">
        <v>34365</v>
      </c>
      <c r="K1971" t="s">
        <v>42727</v>
      </c>
      <c r="M1971" t="s">
        <v>43920</v>
      </c>
      <c r="N1971" t="s">
        <v>47424</v>
      </c>
      <c r="O1971" t="s">
        <v>47425</v>
      </c>
      <c r="P1971">
        <v>0</v>
      </c>
      <c r="Q1971">
        <v>0</v>
      </c>
      <c r="R1971" t="s">
        <v>47429</v>
      </c>
      <c r="S1971" t="s">
        <v>47542</v>
      </c>
      <c r="T1971" t="s">
        <v>49104</v>
      </c>
      <c r="U1971" t="s">
        <v>51391</v>
      </c>
      <c r="V1971" t="s">
        <v>62837</v>
      </c>
      <c r="W1971" t="s">
        <v>64449</v>
      </c>
      <c r="X1971" t="s">
        <v>47426</v>
      </c>
    </row>
    <row r="1972" spans="1:24">
      <c r="A1972">
        <f>HYPERLINK("https://www.philgeps.gov.ph/GEPSNONPILOT/Tender/SplashBidNoticeAbstractUI.aspx?menuIndex=3&amp;refID=7167241&amp;Result=3","7167241")</f>
        <v>0</v>
      </c>
      <c r="B1972" t="s">
        <v>914</v>
      </c>
      <c r="C1972" t="s">
        <v>5797</v>
      </c>
      <c r="D1972" t="s">
        <v>19050</v>
      </c>
      <c r="E1972" t="s">
        <v>20901</v>
      </c>
      <c r="F1972" t="s">
        <v>32831</v>
      </c>
      <c r="G1972" t="s">
        <v>32838</v>
      </c>
      <c r="H1972" t="s">
        <v>32848</v>
      </c>
      <c r="I1972" t="s">
        <v>32926</v>
      </c>
      <c r="J1972" t="s">
        <v>34356</v>
      </c>
      <c r="K1972" t="s">
        <v>42732</v>
      </c>
      <c r="M1972" t="s">
        <v>43955</v>
      </c>
      <c r="N1972" t="s">
        <v>47424</v>
      </c>
      <c r="O1972" t="s">
        <v>47425</v>
      </c>
      <c r="P1972">
        <v>0</v>
      </c>
      <c r="Q1972">
        <v>0</v>
      </c>
      <c r="R1972" t="s">
        <v>47429</v>
      </c>
      <c r="S1972" t="s">
        <v>47542</v>
      </c>
      <c r="T1972" t="s">
        <v>49080</v>
      </c>
      <c r="U1972" t="s">
        <v>51381</v>
      </c>
      <c r="W1972" t="s">
        <v>43955</v>
      </c>
      <c r="X1972" t="s">
        <v>47426</v>
      </c>
    </row>
    <row r="1973" spans="1:24">
      <c r="A1973">
        <f>HYPERLINK("https://www.philgeps.gov.ph/GEPSNONPILOT/Tender/SplashBidNoticeAbstractUI.aspx?menuIndex=3&amp;refID=7167249&amp;Result=3","7167249")</f>
        <v>0</v>
      </c>
      <c r="B1973" t="s">
        <v>539</v>
      </c>
      <c r="C1973" t="s">
        <v>5798</v>
      </c>
      <c r="D1973" t="s">
        <v>19057</v>
      </c>
      <c r="E1973" t="s">
        <v>20902</v>
      </c>
      <c r="F1973" t="s">
        <v>32831</v>
      </c>
      <c r="G1973" t="s">
        <v>32838</v>
      </c>
      <c r="H1973" t="s">
        <v>32848</v>
      </c>
      <c r="I1973" t="s">
        <v>6526</v>
      </c>
      <c r="J1973" t="s">
        <v>34366</v>
      </c>
      <c r="K1973" t="s">
        <v>42726</v>
      </c>
      <c r="M1973" t="s">
        <v>43545</v>
      </c>
      <c r="N1973" t="s">
        <v>47424</v>
      </c>
      <c r="O1973" t="s">
        <v>47425</v>
      </c>
      <c r="P1973">
        <v>0</v>
      </c>
      <c r="Q1973">
        <v>0</v>
      </c>
      <c r="R1973" t="s">
        <v>47429</v>
      </c>
      <c r="S1973" t="s">
        <v>47542</v>
      </c>
      <c r="T1973" t="s">
        <v>49129</v>
      </c>
      <c r="U1973" t="s">
        <v>51392</v>
      </c>
      <c r="W1973" t="s">
        <v>43545</v>
      </c>
      <c r="X1973" t="s">
        <v>47426</v>
      </c>
    </row>
    <row r="1974" spans="1:24">
      <c r="A1974">
        <f>HYPERLINK("https://www.philgeps.gov.ph/GEPSNONPILOT/Tender/SplashBidNoticeAbstractUI.aspx?menuIndex=3&amp;refID=7167234&amp;Result=3","7167234")</f>
        <v>0</v>
      </c>
      <c r="B1974" t="s">
        <v>918</v>
      </c>
      <c r="C1974" t="s">
        <v>5029</v>
      </c>
      <c r="D1974" t="s">
        <v>19027</v>
      </c>
      <c r="E1974" t="s">
        <v>20903</v>
      </c>
      <c r="F1974" t="s">
        <v>32831</v>
      </c>
      <c r="G1974" t="s">
        <v>32838</v>
      </c>
      <c r="H1974" t="s">
        <v>32848</v>
      </c>
      <c r="I1974" t="s">
        <v>9577</v>
      </c>
      <c r="J1974" t="s">
        <v>34367</v>
      </c>
      <c r="K1974" t="s">
        <v>42759</v>
      </c>
      <c r="M1974" t="s">
        <v>43959</v>
      </c>
      <c r="N1974" t="s">
        <v>47424</v>
      </c>
      <c r="O1974" t="s">
        <v>47425</v>
      </c>
      <c r="P1974">
        <v>0</v>
      </c>
      <c r="Q1974">
        <v>0</v>
      </c>
      <c r="R1974" t="s">
        <v>47429</v>
      </c>
      <c r="S1974" t="s">
        <v>47542</v>
      </c>
      <c r="T1974" t="s">
        <v>49123</v>
      </c>
      <c r="U1974" t="s">
        <v>51393</v>
      </c>
      <c r="W1974" t="s">
        <v>43959</v>
      </c>
      <c r="X1974" t="s">
        <v>47426</v>
      </c>
    </row>
    <row r="1975" spans="1:24">
      <c r="A1975">
        <f>HYPERLINK("https://www.philgeps.gov.ph/GEPSNONPILOT/Tender/SplashBidNoticeAbstractUI.aspx?menuIndex=3&amp;refID=7167233&amp;Result=3","7167233")</f>
        <v>0</v>
      </c>
      <c r="B1975" t="s">
        <v>874</v>
      </c>
      <c r="C1975" t="s">
        <v>5799</v>
      </c>
      <c r="D1975" t="s">
        <v>19078</v>
      </c>
      <c r="E1975" t="s">
        <v>20904</v>
      </c>
      <c r="F1975" t="s">
        <v>32831</v>
      </c>
      <c r="G1975" t="s">
        <v>32842</v>
      </c>
      <c r="H1975" t="s">
        <v>32848</v>
      </c>
      <c r="I1975" t="s">
        <v>4776</v>
      </c>
      <c r="J1975" t="s">
        <v>33384</v>
      </c>
      <c r="K1975" t="s">
        <v>42727</v>
      </c>
      <c r="M1975" t="s">
        <v>43908</v>
      </c>
      <c r="N1975" t="s">
        <v>47424</v>
      </c>
      <c r="O1975" t="s">
        <v>47425</v>
      </c>
      <c r="P1975">
        <v>0</v>
      </c>
      <c r="Q1975">
        <v>0</v>
      </c>
      <c r="R1975" t="s">
        <v>47429</v>
      </c>
      <c r="S1975" t="s">
        <v>47542</v>
      </c>
      <c r="T1975" t="s">
        <v>49093</v>
      </c>
      <c r="U1975" t="s">
        <v>51394</v>
      </c>
      <c r="W1975" t="s">
        <v>43908</v>
      </c>
      <c r="X1975" t="s">
        <v>47426</v>
      </c>
    </row>
    <row r="1976" spans="1:24">
      <c r="A1976">
        <f>HYPERLINK("https://www.philgeps.gov.ph/GEPSNONPILOT/Tender/SplashBidNoticeAbstractUI.aspx?menuIndex=3&amp;refID=7167247&amp;Result=3","7167247")</f>
        <v>0</v>
      </c>
      <c r="B1976" t="s">
        <v>919</v>
      </c>
      <c r="C1976" t="s">
        <v>5800</v>
      </c>
      <c r="D1976" t="s">
        <v>19074</v>
      </c>
      <c r="E1976" t="s">
        <v>20905</v>
      </c>
      <c r="F1976" t="s">
        <v>32831</v>
      </c>
      <c r="G1976" t="s">
        <v>32838</v>
      </c>
      <c r="H1976" t="s">
        <v>32848</v>
      </c>
      <c r="I1976" t="s">
        <v>7416</v>
      </c>
      <c r="J1976" t="s">
        <v>34040</v>
      </c>
      <c r="K1976" t="s">
        <v>42727</v>
      </c>
      <c r="M1976" t="s">
        <v>43960</v>
      </c>
      <c r="N1976" t="s">
        <v>47424</v>
      </c>
      <c r="O1976" t="s">
        <v>47425</v>
      </c>
      <c r="P1976">
        <v>0</v>
      </c>
      <c r="Q1976">
        <v>0</v>
      </c>
      <c r="R1976" t="s">
        <v>47429</v>
      </c>
      <c r="S1976" t="s">
        <v>47542</v>
      </c>
      <c r="T1976" t="s">
        <v>49089</v>
      </c>
      <c r="U1976" t="s">
        <v>51395</v>
      </c>
      <c r="V1976" t="s">
        <v>62839</v>
      </c>
      <c r="W1976" t="s">
        <v>43960</v>
      </c>
      <c r="X1976" t="s">
        <v>47426</v>
      </c>
    </row>
    <row r="1977" spans="1:24">
      <c r="A1977">
        <f>HYPERLINK("https://www.philgeps.gov.ph/GEPSNONPILOT/Tender/SplashBidNoticeAbstractUI.aspx?menuIndex=3&amp;refID=7167231&amp;Result=3","7167231")</f>
        <v>0</v>
      </c>
      <c r="B1977" t="s">
        <v>920</v>
      </c>
      <c r="C1977" t="s">
        <v>5801</v>
      </c>
      <c r="E1977" t="s">
        <v>20906</v>
      </c>
      <c r="F1977" t="s">
        <v>32831</v>
      </c>
      <c r="G1977" t="s">
        <v>32838</v>
      </c>
      <c r="H1977" t="s">
        <v>32848</v>
      </c>
      <c r="I1977" t="s">
        <v>32855</v>
      </c>
      <c r="J1977" t="s">
        <v>34368</v>
      </c>
      <c r="K1977" t="s">
        <v>42732</v>
      </c>
      <c r="M1977" t="s">
        <v>43961</v>
      </c>
      <c r="N1977" t="s">
        <v>47424</v>
      </c>
      <c r="O1977" t="s">
        <v>47425</v>
      </c>
      <c r="P1977">
        <v>0</v>
      </c>
      <c r="Q1977">
        <v>0</v>
      </c>
      <c r="R1977" t="s">
        <v>47429</v>
      </c>
      <c r="S1977" t="s">
        <v>47542</v>
      </c>
      <c r="T1977" t="s">
        <v>49104</v>
      </c>
      <c r="U1977" t="s">
        <v>51396</v>
      </c>
      <c r="W1977" t="s">
        <v>43961</v>
      </c>
      <c r="X1977" t="s">
        <v>47426</v>
      </c>
    </row>
    <row r="1978" spans="1:24">
      <c r="A1978">
        <f>HYPERLINK("https://www.philgeps.gov.ph/GEPSNONPILOT/Tender/SplashBidNoticeAbstractUI.aspx?menuIndex=3&amp;refID=7167229&amp;Result=3","7167229")</f>
        <v>0</v>
      </c>
      <c r="B1978" t="s">
        <v>889</v>
      </c>
      <c r="C1978" t="s">
        <v>5802</v>
      </c>
      <c r="D1978" t="s">
        <v>19047</v>
      </c>
      <c r="E1978" t="s">
        <v>20907</v>
      </c>
      <c r="F1978" t="s">
        <v>32831</v>
      </c>
      <c r="G1978" t="s">
        <v>32838</v>
      </c>
      <c r="H1978" t="s">
        <v>32848</v>
      </c>
      <c r="I1978" t="s">
        <v>4438</v>
      </c>
      <c r="J1978" t="s">
        <v>34369</v>
      </c>
      <c r="K1978" t="s">
        <v>42726</v>
      </c>
      <c r="M1978" t="s">
        <v>43924</v>
      </c>
      <c r="N1978" t="s">
        <v>47424</v>
      </c>
      <c r="O1978" t="s">
        <v>47425</v>
      </c>
      <c r="P1978">
        <v>0</v>
      </c>
      <c r="Q1978">
        <v>0</v>
      </c>
      <c r="R1978" t="s">
        <v>47429</v>
      </c>
      <c r="S1978" t="s">
        <v>47542</v>
      </c>
      <c r="T1978" t="s">
        <v>49129</v>
      </c>
      <c r="U1978" t="s">
        <v>51397</v>
      </c>
      <c r="V1978" t="s">
        <v>62831</v>
      </c>
      <c r="W1978" t="s">
        <v>43924</v>
      </c>
      <c r="X1978" t="s">
        <v>47426</v>
      </c>
    </row>
    <row r="1979" spans="1:24">
      <c r="A1979">
        <f>HYPERLINK("https://www.philgeps.gov.ph/GEPSNONPILOT/Tender/SplashBidNoticeAbstractUI.aspx?menuIndex=3&amp;refID=7167227&amp;Result=3","7167227")</f>
        <v>0</v>
      </c>
      <c r="B1979" t="s">
        <v>921</v>
      </c>
      <c r="C1979" t="s">
        <v>5803</v>
      </c>
      <c r="D1979" t="s">
        <v>19045</v>
      </c>
      <c r="E1979" t="s">
        <v>20908</v>
      </c>
      <c r="F1979" t="s">
        <v>32831</v>
      </c>
      <c r="G1979" t="s">
        <v>32838</v>
      </c>
      <c r="H1979" t="s">
        <v>32849</v>
      </c>
      <c r="I1979" t="s">
        <v>7751</v>
      </c>
      <c r="J1979" t="s">
        <v>33509</v>
      </c>
      <c r="K1979" t="s">
        <v>42731</v>
      </c>
      <c r="M1979" t="s">
        <v>43962</v>
      </c>
      <c r="N1979" t="s">
        <v>47424</v>
      </c>
      <c r="O1979" t="s">
        <v>47425</v>
      </c>
      <c r="P1979">
        <v>0</v>
      </c>
      <c r="Q1979">
        <v>0</v>
      </c>
      <c r="R1979" t="s">
        <v>47429</v>
      </c>
      <c r="S1979" t="s">
        <v>47542</v>
      </c>
      <c r="T1979" t="s">
        <v>49123</v>
      </c>
      <c r="U1979" t="s">
        <v>51398</v>
      </c>
      <c r="W1979" t="s">
        <v>43962</v>
      </c>
      <c r="X1979" t="s">
        <v>47426</v>
      </c>
    </row>
    <row r="1980" spans="1:24">
      <c r="A1980">
        <f>HYPERLINK("https://www.philgeps.gov.ph/GEPSNONPILOT/Tender/SplashBidNoticeAbstractUI.aspx?menuIndex=3&amp;refID=7167263&amp;Result=3","7167263")</f>
        <v>0</v>
      </c>
      <c r="B1980" t="s">
        <v>855</v>
      </c>
      <c r="C1980" t="s">
        <v>5804</v>
      </c>
      <c r="E1980" t="s">
        <v>20909</v>
      </c>
      <c r="F1980" t="s">
        <v>32831</v>
      </c>
      <c r="G1980" t="s">
        <v>32839</v>
      </c>
      <c r="H1980" t="s">
        <v>32848</v>
      </c>
      <c r="I1980" t="s">
        <v>4558</v>
      </c>
      <c r="J1980" t="s">
        <v>34370</v>
      </c>
      <c r="K1980" t="s">
        <v>42732</v>
      </c>
      <c r="M1980" t="s">
        <v>43888</v>
      </c>
      <c r="N1980" t="s">
        <v>47424</v>
      </c>
      <c r="O1980" t="s">
        <v>47425</v>
      </c>
      <c r="P1980">
        <v>0</v>
      </c>
      <c r="Q1980">
        <v>0</v>
      </c>
      <c r="R1980" t="s">
        <v>47429</v>
      </c>
      <c r="S1980" t="s">
        <v>47542</v>
      </c>
      <c r="T1980" t="s">
        <v>49065</v>
      </c>
      <c r="U1980" t="s">
        <v>51256</v>
      </c>
      <c r="W1980" t="s">
        <v>43888</v>
      </c>
      <c r="X1980" t="s">
        <v>47426</v>
      </c>
    </row>
    <row r="1981" spans="1:24">
      <c r="A1981">
        <f>HYPERLINK("https://www.philgeps.gov.ph/GEPSNONPILOT/Tender/SplashBidNoticeAbstractUI.aspx?menuIndex=3&amp;refID=7167236&amp;Result=3","7167236")</f>
        <v>0</v>
      </c>
      <c r="B1981" t="s">
        <v>242</v>
      </c>
      <c r="C1981" t="s">
        <v>5805</v>
      </c>
      <c r="D1981" t="s">
        <v>19017</v>
      </c>
      <c r="E1981" t="s">
        <v>20910</v>
      </c>
      <c r="F1981" t="s">
        <v>32831</v>
      </c>
      <c r="G1981" t="s">
        <v>32838</v>
      </c>
      <c r="H1981" t="s">
        <v>32848</v>
      </c>
      <c r="I1981" t="s">
        <v>4438</v>
      </c>
      <c r="J1981" t="s">
        <v>34371</v>
      </c>
      <c r="K1981" t="s">
        <v>42726</v>
      </c>
      <c r="M1981" t="s">
        <v>43759</v>
      </c>
      <c r="N1981" t="s">
        <v>47424</v>
      </c>
      <c r="O1981" t="s">
        <v>47425</v>
      </c>
      <c r="P1981">
        <v>0</v>
      </c>
      <c r="Q1981">
        <v>0</v>
      </c>
      <c r="R1981" t="s">
        <v>47429</v>
      </c>
      <c r="S1981" t="s">
        <v>47542</v>
      </c>
      <c r="T1981" t="s">
        <v>49159</v>
      </c>
      <c r="U1981" t="s">
        <v>51399</v>
      </c>
      <c r="V1981" t="s">
        <v>62668</v>
      </c>
      <c r="W1981" t="s">
        <v>43759</v>
      </c>
      <c r="X1981" t="s">
        <v>47426</v>
      </c>
    </row>
    <row r="1982" spans="1:24">
      <c r="A1982">
        <f>HYPERLINK("https://www.philgeps.gov.ph/GEPSNONPILOT/Tender/SplashBidNoticeAbstractUI.aspx?menuIndex=3&amp;refID=7167223&amp;Result=3","7167223")</f>
        <v>0</v>
      </c>
      <c r="B1982" t="s">
        <v>914</v>
      </c>
      <c r="C1982" t="s">
        <v>5806</v>
      </c>
      <c r="D1982" t="s">
        <v>19050</v>
      </c>
      <c r="E1982" t="s">
        <v>20911</v>
      </c>
      <c r="F1982" t="s">
        <v>32831</v>
      </c>
      <c r="G1982" t="s">
        <v>32838</v>
      </c>
      <c r="H1982" t="s">
        <v>32848</v>
      </c>
      <c r="I1982" t="s">
        <v>32926</v>
      </c>
      <c r="J1982" t="s">
        <v>34356</v>
      </c>
      <c r="K1982" t="s">
        <v>42732</v>
      </c>
      <c r="M1982" t="s">
        <v>43955</v>
      </c>
      <c r="N1982" t="s">
        <v>47424</v>
      </c>
      <c r="O1982" t="s">
        <v>47425</v>
      </c>
      <c r="P1982">
        <v>0</v>
      </c>
      <c r="Q1982">
        <v>0</v>
      </c>
      <c r="R1982" t="s">
        <v>47429</v>
      </c>
      <c r="S1982" t="s">
        <v>47542</v>
      </c>
      <c r="T1982" t="s">
        <v>49080</v>
      </c>
      <c r="U1982" t="s">
        <v>51381</v>
      </c>
      <c r="W1982" t="s">
        <v>43955</v>
      </c>
      <c r="X1982" t="s">
        <v>47426</v>
      </c>
    </row>
    <row r="1983" spans="1:24">
      <c r="A1983">
        <f>HYPERLINK("https://www.philgeps.gov.ph/GEPSNONPILOT/Tender/SplashBidNoticeAbstractUI.aspx?menuIndex=3&amp;refID=7167275&amp;Result=3","7167275")</f>
        <v>0</v>
      </c>
      <c r="B1983" t="s">
        <v>915</v>
      </c>
      <c r="C1983" t="s">
        <v>5807</v>
      </c>
      <c r="D1983" t="s">
        <v>19048</v>
      </c>
      <c r="E1983" t="s">
        <v>20912</v>
      </c>
      <c r="F1983" t="s">
        <v>32831</v>
      </c>
      <c r="G1983" t="s">
        <v>32838</v>
      </c>
      <c r="H1983" t="s">
        <v>32848</v>
      </c>
      <c r="I1983" t="s">
        <v>32864</v>
      </c>
      <c r="J1983" t="s">
        <v>34372</v>
      </c>
      <c r="K1983" t="s">
        <v>42732</v>
      </c>
      <c r="M1983" t="s">
        <v>43956</v>
      </c>
      <c r="N1983" t="s">
        <v>47424</v>
      </c>
      <c r="O1983" t="s">
        <v>47425</v>
      </c>
      <c r="P1983">
        <v>0</v>
      </c>
      <c r="Q1983">
        <v>0</v>
      </c>
      <c r="R1983" t="s">
        <v>47429</v>
      </c>
      <c r="S1983" t="s">
        <v>47542</v>
      </c>
      <c r="T1983" t="s">
        <v>49295</v>
      </c>
      <c r="U1983" t="s">
        <v>51400</v>
      </c>
      <c r="W1983" t="s">
        <v>43956</v>
      </c>
      <c r="X1983" t="s">
        <v>47426</v>
      </c>
    </row>
    <row r="1984" spans="1:24">
      <c r="A1984">
        <f>HYPERLINK("https://www.philgeps.gov.ph/GEPSNONPILOT/Tender/SplashBidNoticeAbstractUI.aspx?menuIndex=3&amp;refID=7167272&amp;Result=3","7167272")</f>
        <v>0</v>
      </c>
      <c r="B1984" t="s">
        <v>922</v>
      </c>
      <c r="C1984" t="s">
        <v>5808</v>
      </c>
      <c r="D1984" t="s">
        <v>19080</v>
      </c>
      <c r="E1984" t="s">
        <v>20913</v>
      </c>
      <c r="F1984" t="s">
        <v>32831</v>
      </c>
      <c r="G1984" t="s">
        <v>32840</v>
      </c>
      <c r="H1984" t="s">
        <v>32848</v>
      </c>
      <c r="I1984" t="s">
        <v>4177</v>
      </c>
      <c r="J1984" t="s">
        <v>33087</v>
      </c>
      <c r="K1984" t="s">
        <v>42732</v>
      </c>
      <c r="M1984" t="s">
        <v>43963</v>
      </c>
      <c r="N1984" t="s">
        <v>47424</v>
      </c>
      <c r="O1984" t="s">
        <v>47425</v>
      </c>
      <c r="P1984">
        <v>0</v>
      </c>
      <c r="Q1984">
        <v>0</v>
      </c>
      <c r="R1984" t="s">
        <v>47429</v>
      </c>
      <c r="S1984" t="s">
        <v>47542</v>
      </c>
      <c r="T1984" t="s">
        <v>49079</v>
      </c>
      <c r="U1984" t="s">
        <v>51401</v>
      </c>
      <c r="W1984" t="s">
        <v>43963</v>
      </c>
      <c r="X1984" t="s">
        <v>47426</v>
      </c>
    </row>
    <row r="1985" spans="1:24">
      <c r="A1985">
        <f>HYPERLINK("https://www.philgeps.gov.ph/GEPSNONPILOT/Tender/SplashBidNoticeAbstractUI.aspx?menuIndex=3&amp;refID=7167237&amp;Result=3","7167237")</f>
        <v>0</v>
      </c>
      <c r="B1985" t="s">
        <v>294</v>
      </c>
      <c r="C1985" t="s">
        <v>5809</v>
      </c>
      <c r="D1985" t="s">
        <v>19077</v>
      </c>
      <c r="E1985" t="s">
        <v>20914</v>
      </c>
      <c r="F1985" t="s">
        <v>32831</v>
      </c>
      <c r="G1985" t="s">
        <v>32842</v>
      </c>
      <c r="H1985" t="s">
        <v>32848</v>
      </c>
      <c r="I1985" t="s">
        <v>32860</v>
      </c>
      <c r="J1985" t="s">
        <v>34373</v>
      </c>
      <c r="K1985" t="s">
        <v>42726</v>
      </c>
      <c r="M1985" t="s">
        <v>43295</v>
      </c>
      <c r="N1985" t="s">
        <v>47424</v>
      </c>
      <c r="O1985" t="s">
        <v>47425</v>
      </c>
      <c r="P1985">
        <v>0</v>
      </c>
      <c r="Q1985">
        <v>1</v>
      </c>
      <c r="R1985" t="s">
        <v>47429</v>
      </c>
      <c r="S1985" t="s">
        <v>47542</v>
      </c>
      <c r="T1985" t="s">
        <v>49119</v>
      </c>
      <c r="U1985" t="s">
        <v>50181</v>
      </c>
      <c r="V1985" t="s">
        <v>62840</v>
      </c>
      <c r="W1985" t="s">
        <v>43295</v>
      </c>
      <c r="X1985" t="s">
        <v>47426</v>
      </c>
    </row>
    <row r="1986" spans="1:24">
      <c r="A1986">
        <f>HYPERLINK("https://www.philgeps.gov.ph/GEPSNONPILOT/Tender/SplashBidNoticeAbstractUI.aspx?menuIndex=3&amp;refID=7167270&amp;Result=3","7167270")</f>
        <v>0</v>
      </c>
      <c r="B1986" t="s">
        <v>923</v>
      </c>
      <c r="C1986" t="s">
        <v>5810</v>
      </c>
      <c r="D1986" t="s">
        <v>19088</v>
      </c>
      <c r="E1986" t="s">
        <v>20915</v>
      </c>
      <c r="F1986" t="s">
        <v>32831</v>
      </c>
      <c r="G1986" t="s">
        <v>32838</v>
      </c>
      <c r="H1986" t="s">
        <v>14069</v>
      </c>
      <c r="I1986" t="s">
        <v>14069</v>
      </c>
      <c r="J1986" t="s">
        <v>33334</v>
      </c>
      <c r="K1986" t="s">
        <v>42732</v>
      </c>
      <c r="M1986" t="s">
        <v>43964</v>
      </c>
      <c r="N1986" t="s">
        <v>47424</v>
      </c>
      <c r="O1986" t="s">
        <v>47425</v>
      </c>
      <c r="P1986">
        <v>0</v>
      </c>
      <c r="Q1986">
        <v>0</v>
      </c>
      <c r="R1986" t="s">
        <v>47429</v>
      </c>
      <c r="S1986" t="s">
        <v>47542</v>
      </c>
      <c r="T1986" t="s">
        <v>49198</v>
      </c>
      <c r="U1986" t="s">
        <v>51402</v>
      </c>
      <c r="W1986" t="s">
        <v>43964</v>
      </c>
      <c r="X1986" t="s">
        <v>47426</v>
      </c>
    </row>
    <row r="1987" spans="1:24">
      <c r="A1987">
        <f>HYPERLINK("https://www.philgeps.gov.ph/GEPSNONPILOT/Tender/SplashBidNoticeAbstractUI.aspx?menuIndex=3&amp;refID=7167208&amp;Result=3","7167208")</f>
        <v>0</v>
      </c>
      <c r="B1987" t="s">
        <v>924</v>
      </c>
      <c r="C1987" t="s">
        <v>5811</v>
      </c>
      <c r="D1987" t="s">
        <v>19059</v>
      </c>
      <c r="E1987" t="s">
        <v>20916</v>
      </c>
      <c r="F1987" t="s">
        <v>32831</v>
      </c>
      <c r="G1987" t="s">
        <v>32839</v>
      </c>
      <c r="H1987" t="s">
        <v>32848</v>
      </c>
      <c r="I1987" t="s">
        <v>7751</v>
      </c>
      <c r="J1987" t="s">
        <v>33334</v>
      </c>
      <c r="K1987" t="s">
        <v>42727</v>
      </c>
      <c r="M1987" t="s">
        <v>43965</v>
      </c>
      <c r="N1987" t="s">
        <v>47424</v>
      </c>
      <c r="O1987" t="s">
        <v>47425</v>
      </c>
      <c r="P1987">
        <v>0</v>
      </c>
      <c r="Q1987">
        <v>0</v>
      </c>
      <c r="R1987" t="s">
        <v>47429</v>
      </c>
      <c r="S1987" t="s">
        <v>47542</v>
      </c>
      <c r="T1987" t="s">
        <v>49236</v>
      </c>
      <c r="U1987" t="s">
        <v>51403</v>
      </c>
      <c r="V1987" t="s">
        <v>62841</v>
      </c>
      <c r="W1987" t="s">
        <v>43965</v>
      </c>
      <c r="X1987" t="s">
        <v>47426</v>
      </c>
    </row>
    <row r="1988" spans="1:24">
      <c r="A1988">
        <f>HYPERLINK("https://www.philgeps.gov.ph/GEPSNONPILOT/Tender/SplashBidNoticeAbstractUI.aspx?menuIndex=3&amp;refID=7167224&amp;Result=3","7167224")</f>
        <v>0</v>
      </c>
      <c r="B1988" t="s">
        <v>832</v>
      </c>
      <c r="C1988" t="s">
        <v>5812</v>
      </c>
      <c r="D1988" t="s">
        <v>19088</v>
      </c>
      <c r="E1988" t="s">
        <v>20917</v>
      </c>
      <c r="F1988" t="s">
        <v>32831</v>
      </c>
      <c r="G1988" t="s">
        <v>32842</v>
      </c>
      <c r="H1988" t="s">
        <v>32848</v>
      </c>
      <c r="I1988" t="s">
        <v>4776</v>
      </c>
      <c r="J1988" t="s">
        <v>34374</v>
      </c>
      <c r="K1988" t="s">
        <v>42745</v>
      </c>
      <c r="M1988" t="s">
        <v>43864</v>
      </c>
      <c r="N1988" t="s">
        <v>47424</v>
      </c>
      <c r="O1988" t="s">
        <v>47425</v>
      </c>
      <c r="P1988">
        <v>0</v>
      </c>
      <c r="Q1988">
        <v>0</v>
      </c>
      <c r="R1988" t="s">
        <v>47429</v>
      </c>
      <c r="S1988" t="s">
        <v>47542</v>
      </c>
      <c r="T1988" t="s">
        <v>49066</v>
      </c>
      <c r="U1988" t="s">
        <v>51215</v>
      </c>
      <c r="V1988" t="s">
        <v>62842</v>
      </c>
      <c r="W1988" t="s">
        <v>43864</v>
      </c>
      <c r="X1988" t="s">
        <v>47426</v>
      </c>
    </row>
    <row r="1989" spans="1:24">
      <c r="A1989">
        <f>HYPERLINK("https://www.philgeps.gov.ph/GEPSNONPILOT/Tender/SplashBidNoticeAbstractUI.aspx?menuIndex=3&amp;refID=7167268&amp;Result=3","7167268")</f>
        <v>0</v>
      </c>
      <c r="B1989" t="s">
        <v>925</v>
      </c>
      <c r="C1989" t="s">
        <v>5813</v>
      </c>
      <c r="D1989" t="s">
        <v>19040</v>
      </c>
      <c r="E1989" t="s">
        <v>20918</v>
      </c>
      <c r="F1989" t="s">
        <v>32831</v>
      </c>
      <c r="G1989" t="s">
        <v>32838</v>
      </c>
      <c r="H1989" t="s">
        <v>32848</v>
      </c>
      <c r="I1989" t="s">
        <v>4776</v>
      </c>
      <c r="J1989" t="s">
        <v>34375</v>
      </c>
      <c r="K1989" t="s">
        <v>42727</v>
      </c>
      <c r="L1989" t="s">
        <v>925</v>
      </c>
      <c r="M1989" t="s">
        <v>43966</v>
      </c>
      <c r="N1989" t="s">
        <v>47424</v>
      </c>
      <c r="O1989" t="s">
        <v>47425</v>
      </c>
      <c r="P1989">
        <v>0</v>
      </c>
      <c r="Q1989">
        <v>0</v>
      </c>
      <c r="R1989" t="s">
        <v>47429</v>
      </c>
      <c r="S1989" t="s">
        <v>47542</v>
      </c>
      <c r="T1989" t="s">
        <v>49089</v>
      </c>
      <c r="U1989" t="s">
        <v>51404</v>
      </c>
      <c r="W1989" t="s">
        <v>43966</v>
      </c>
      <c r="X1989" t="s">
        <v>47426</v>
      </c>
    </row>
    <row r="1990" spans="1:24">
      <c r="A1990">
        <f>HYPERLINK("https://www.philgeps.gov.ph/GEPSNONPILOT/Tender/SplashBidNoticeAbstractUI.aspx?menuIndex=3&amp;refID=7167264&amp;Result=3","7167264")</f>
        <v>0</v>
      </c>
      <c r="B1990" t="s">
        <v>926</v>
      </c>
      <c r="C1990" t="s">
        <v>5814</v>
      </c>
      <c r="D1990" t="s">
        <v>19057</v>
      </c>
      <c r="E1990" t="s">
        <v>20919</v>
      </c>
      <c r="F1990" t="s">
        <v>32831</v>
      </c>
      <c r="G1990" t="s">
        <v>32838</v>
      </c>
      <c r="H1990" t="s">
        <v>32848</v>
      </c>
      <c r="I1990" t="s">
        <v>4438</v>
      </c>
      <c r="J1990" t="s">
        <v>33018</v>
      </c>
      <c r="K1990" t="s">
        <v>42727</v>
      </c>
      <c r="M1990" t="s">
        <v>43967</v>
      </c>
      <c r="N1990" t="s">
        <v>47424</v>
      </c>
      <c r="O1990" t="s">
        <v>47425</v>
      </c>
      <c r="P1990">
        <v>0</v>
      </c>
      <c r="Q1990">
        <v>0</v>
      </c>
      <c r="R1990" t="s">
        <v>47429</v>
      </c>
      <c r="S1990" t="s">
        <v>47542</v>
      </c>
      <c r="T1990" t="s">
        <v>49104</v>
      </c>
      <c r="U1990" t="s">
        <v>50323</v>
      </c>
      <c r="W1990" t="s">
        <v>43967</v>
      </c>
      <c r="X1990" t="s">
        <v>47426</v>
      </c>
    </row>
    <row r="1991" spans="1:24">
      <c r="A1991">
        <f>HYPERLINK("https://www.philgeps.gov.ph/GEPSNONPILOT/Tender/SplashBidNoticeAbstractUI.aspx?menuIndex=3&amp;refID=7167209&amp;Result=3","7167209")</f>
        <v>0</v>
      </c>
      <c r="B1991" t="s">
        <v>847</v>
      </c>
      <c r="C1991" t="s">
        <v>5815</v>
      </c>
      <c r="D1991" t="s">
        <v>19032</v>
      </c>
      <c r="E1991" t="s">
        <v>20920</v>
      </c>
      <c r="F1991" t="s">
        <v>32831</v>
      </c>
      <c r="G1991" t="s">
        <v>32838</v>
      </c>
      <c r="H1991" t="s">
        <v>32848</v>
      </c>
      <c r="I1991" t="s">
        <v>32902</v>
      </c>
      <c r="J1991" t="s">
        <v>34306</v>
      </c>
      <c r="K1991" t="s">
        <v>42730</v>
      </c>
      <c r="M1991" t="s">
        <v>43880</v>
      </c>
      <c r="N1991" t="s">
        <v>47424</v>
      </c>
      <c r="O1991" t="s">
        <v>47425</v>
      </c>
      <c r="P1991">
        <v>0</v>
      </c>
      <c r="Q1991">
        <v>0</v>
      </c>
      <c r="R1991" t="s">
        <v>47429</v>
      </c>
      <c r="S1991" t="s">
        <v>47542</v>
      </c>
      <c r="T1991" t="s">
        <v>49210</v>
      </c>
      <c r="U1991" t="s">
        <v>51405</v>
      </c>
      <c r="W1991" t="s">
        <v>43880</v>
      </c>
      <c r="X1991" t="s">
        <v>47426</v>
      </c>
    </row>
    <row r="1992" spans="1:24">
      <c r="A1992">
        <f>HYPERLINK("https://www.philgeps.gov.ph/GEPSNONPILOT/Tender/SplashBidNoticeAbstractUI.aspx?menuIndex=3&amp;refID=7167235&amp;Result=3","7167235")</f>
        <v>0</v>
      </c>
      <c r="B1992" t="s">
        <v>858</v>
      </c>
      <c r="C1992" t="s">
        <v>5816</v>
      </c>
      <c r="D1992" t="s">
        <v>19017</v>
      </c>
      <c r="E1992" t="s">
        <v>20921</v>
      </c>
      <c r="F1992" t="s">
        <v>32831</v>
      </c>
      <c r="G1992" t="s">
        <v>32842</v>
      </c>
      <c r="H1992" t="s">
        <v>32848</v>
      </c>
      <c r="I1992" t="s">
        <v>32860</v>
      </c>
      <c r="J1992" t="s">
        <v>34376</v>
      </c>
      <c r="K1992" t="s">
        <v>42730</v>
      </c>
      <c r="M1992" t="s">
        <v>43938</v>
      </c>
      <c r="N1992" t="s">
        <v>47424</v>
      </c>
      <c r="O1992" t="s">
        <v>47425</v>
      </c>
      <c r="P1992">
        <v>0</v>
      </c>
      <c r="Q1992">
        <v>0</v>
      </c>
      <c r="R1992" t="s">
        <v>47429</v>
      </c>
      <c r="S1992" t="s">
        <v>47542</v>
      </c>
      <c r="T1992" t="s">
        <v>49129</v>
      </c>
      <c r="U1992" t="s">
        <v>51264</v>
      </c>
      <c r="W1992" t="s">
        <v>43938</v>
      </c>
      <c r="X1992" t="s">
        <v>47426</v>
      </c>
    </row>
    <row r="1993" spans="1:24">
      <c r="A1993">
        <f>HYPERLINK("https://www.philgeps.gov.ph/GEPSNONPILOT/Tender/SplashBidNoticeAbstractUI.aspx?menuIndex=3&amp;refID=7167260&amp;Result=3","7167260")</f>
        <v>0</v>
      </c>
      <c r="B1993" t="s">
        <v>927</v>
      </c>
      <c r="C1993" t="s">
        <v>5817</v>
      </c>
      <c r="D1993" t="s">
        <v>19031</v>
      </c>
      <c r="E1993" t="s">
        <v>20922</v>
      </c>
      <c r="F1993" t="s">
        <v>32831</v>
      </c>
      <c r="G1993" t="s">
        <v>32839</v>
      </c>
      <c r="H1993" t="s">
        <v>32848</v>
      </c>
      <c r="I1993" t="s">
        <v>32860</v>
      </c>
      <c r="J1993" t="s">
        <v>34377</v>
      </c>
      <c r="K1993" t="s">
        <v>42729</v>
      </c>
      <c r="M1993" t="s">
        <v>43968</v>
      </c>
      <c r="N1993" t="s">
        <v>47424</v>
      </c>
      <c r="O1993" t="s">
        <v>47425</v>
      </c>
      <c r="P1993">
        <v>0</v>
      </c>
      <c r="Q1993">
        <v>0</v>
      </c>
      <c r="R1993" t="s">
        <v>47429</v>
      </c>
      <c r="S1993" t="s">
        <v>47542</v>
      </c>
      <c r="T1993" t="s">
        <v>49065</v>
      </c>
      <c r="U1993" t="s">
        <v>51406</v>
      </c>
      <c r="W1993" t="s">
        <v>43968</v>
      </c>
      <c r="X1993" t="s">
        <v>47426</v>
      </c>
    </row>
    <row r="1994" spans="1:24">
      <c r="A1994">
        <f>HYPERLINK("https://www.philgeps.gov.ph/GEPSNONPILOT/Tender/SplashBidNoticeAbstractUI.aspx?menuIndex=3&amp;refID=7167266&amp;Result=3","7167266")</f>
        <v>0</v>
      </c>
      <c r="B1994" t="s">
        <v>928</v>
      </c>
      <c r="C1994" t="s">
        <v>5818</v>
      </c>
      <c r="D1994" t="s">
        <v>19045</v>
      </c>
      <c r="E1994" t="s">
        <v>20923</v>
      </c>
      <c r="F1994" t="s">
        <v>32831</v>
      </c>
      <c r="G1994" t="s">
        <v>32838</v>
      </c>
      <c r="H1994" t="s">
        <v>32850</v>
      </c>
      <c r="I1994" t="s">
        <v>14069</v>
      </c>
      <c r="J1994" t="s">
        <v>33090</v>
      </c>
      <c r="K1994" t="s">
        <v>42804</v>
      </c>
      <c r="M1994" t="s">
        <v>43969</v>
      </c>
      <c r="N1994" t="s">
        <v>47424</v>
      </c>
      <c r="O1994" t="s">
        <v>47425</v>
      </c>
      <c r="P1994">
        <v>0</v>
      </c>
      <c r="Q1994">
        <v>0</v>
      </c>
      <c r="R1994" t="s">
        <v>47429</v>
      </c>
      <c r="S1994" t="s">
        <v>47542</v>
      </c>
      <c r="T1994" t="s">
        <v>49104</v>
      </c>
      <c r="U1994" t="s">
        <v>51407</v>
      </c>
      <c r="W1994" t="s">
        <v>43969</v>
      </c>
      <c r="X1994" t="s">
        <v>47426</v>
      </c>
    </row>
    <row r="1995" spans="1:24">
      <c r="A1995">
        <f>HYPERLINK("https://www.philgeps.gov.ph/GEPSNONPILOT/Tender/SplashBidNoticeAbstractUI.aspx?menuIndex=3&amp;refID=7167259&amp;Result=3","7167259")</f>
        <v>0</v>
      </c>
      <c r="B1995" t="s">
        <v>914</v>
      </c>
      <c r="C1995" t="s">
        <v>5819</v>
      </c>
      <c r="D1995" t="s">
        <v>19050</v>
      </c>
      <c r="E1995" t="s">
        <v>20924</v>
      </c>
      <c r="F1995" t="s">
        <v>32831</v>
      </c>
      <c r="G1995" t="s">
        <v>32838</v>
      </c>
      <c r="H1995" t="s">
        <v>32848</v>
      </c>
      <c r="I1995" t="s">
        <v>32926</v>
      </c>
      <c r="J1995" t="s">
        <v>34356</v>
      </c>
      <c r="K1995" t="s">
        <v>42732</v>
      </c>
      <c r="M1995" t="s">
        <v>43955</v>
      </c>
      <c r="N1995" t="s">
        <v>47424</v>
      </c>
      <c r="O1995" t="s">
        <v>47425</v>
      </c>
      <c r="P1995">
        <v>0</v>
      </c>
      <c r="Q1995">
        <v>0</v>
      </c>
      <c r="R1995" t="s">
        <v>47429</v>
      </c>
      <c r="S1995" t="s">
        <v>47542</v>
      </c>
      <c r="T1995" t="s">
        <v>49080</v>
      </c>
      <c r="U1995" t="s">
        <v>51381</v>
      </c>
      <c r="W1995" t="s">
        <v>43955</v>
      </c>
      <c r="X1995" t="s">
        <v>47426</v>
      </c>
    </row>
    <row r="1996" spans="1:24">
      <c r="A1996">
        <f>HYPERLINK("https://www.philgeps.gov.ph/GEPSNONPILOT/Tender/SplashBidNoticeAbstractUI.aspx?menuIndex=3&amp;refID=7167257&amp;Result=3","7167257")</f>
        <v>0</v>
      </c>
      <c r="B1996" t="s">
        <v>912</v>
      </c>
      <c r="C1996" t="s">
        <v>5820</v>
      </c>
      <c r="D1996" t="s">
        <v>19070</v>
      </c>
      <c r="E1996" t="s">
        <v>20925</v>
      </c>
      <c r="F1996" t="s">
        <v>32831</v>
      </c>
      <c r="G1996" t="s">
        <v>32840</v>
      </c>
      <c r="H1996" t="s">
        <v>32848</v>
      </c>
      <c r="I1996" t="s">
        <v>7416</v>
      </c>
      <c r="J1996" t="s">
        <v>34378</v>
      </c>
      <c r="K1996" t="s">
        <v>42759</v>
      </c>
      <c r="M1996" t="s">
        <v>43952</v>
      </c>
      <c r="N1996" t="s">
        <v>47424</v>
      </c>
      <c r="O1996" t="s">
        <v>47425</v>
      </c>
      <c r="P1996">
        <v>0</v>
      </c>
      <c r="Q1996">
        <v>0</v>
      </c>
      <c r="R1996" t="s">
        <v>47429</v>
      </c>
      <c r="S1996" t="s">
        <v>47542</v>
      </c>
      <c r="T1996" t="s">
        <v>49089</v>
      </c>
      <c r="U1996" t="s">
        <v>51408</v>
      </c>
      <c r="W1996" t="s">
        <v>43952</v>
      </c>
      <c r="X1996" t="s">
        <v>47426</v>
      </c>
    </row>
    <row r="1997" spans="1:24">
      <c r="A1997">
        <f>HYPERLINK("https://www.philgeps.gov.ph/GEPSNONPILOT/Tender/SplashBidNoticeAbstractUI.aspx?menuIndex=3&amp;refID=7167262&amp;Result=3","7167262")</f>
        <v>0</v>
      </c>
      <c r="B1997" t="s">
        <v>808</v>
      </c>
      <c r="C1997" t="s">
        <v>5821</v>
      </c>
      <c r="D1997" t="s">
        <v>19017</v>
      </c>
      <c r="E1997" t="s">
        <v>20926</v>
      </c>
      <c r="F1997" t="s">
        <v>32831</v>
      </c>
      <c r="G1997" t="s">
        <v>32838</v>
      </c>
      <c r="H1997" t="s">
        <v>32848</v>
      </c>
      <c r="I1997" t="s">
        <v>4776</v>
      </c>
      <c r="J1997" t="s">
        <v>34379</v>
      </c>
      <c r="K1997" t="s">
        <v>42763</v>
      </c>
      <c r="M1997" t="s">
        <v>43839</v>
      </c>
      <c r="N1997" t="s">
        <v>47424</v>
      </c>
      <c r="O1997" t="s">
        <v>47425</v>
      </c>
      <c r="P1997">
        <v>0</v>
      </c>
      <c r="Q1997">
        <v>0</v>
      </c>
      <c r="R1997" t="s">
        <v>47429</v>
      </c>
      <c r="S1997" t="s">
        <v>47542</v>
      </c>
      <c r="T1997" t="s">
        <v>49297</v>
      </c>
      <c r="U1997" t="s">
        <v>51409</v>
      </c>
      <c r="V1997" t="s">
        <v>62843</v>
      </c>
      <c r="W1997" t="s">
        <v>43839</v>
      </c>
      <c r="X1997" t="s">
        <v>47426</v>
      </c>
    </row>
    <row r="1998" spans="1:24">
      <c r="A1998">
        <f>HYPERLINK("https://www.philgeps.gov.ph/GEPSNONPILOT/Tender/SplashBidNoticeAbstractUI.aspx?menuIndex=3&amp;refID=7167255&amp;Result=3","7167255")</f>
        <v>0</v>
      </c>
      <c r="B1998" t="s">
        <v>667</v>
      </c>
      <c r="C1998" t="s">
        <v>5822</v>
      </c>
      <c r="D1998" t="s">
        <v>19077</v>
      </c>
      <c r="E1998" t="s">
        <v>20927</v>
      </c>
      <c r="F1998" t="s">
        <v>32831</v>
      </c>
      <c r="G1998" t="s">
        <v>32838</v>
      </c>
      <c r="H1998" t="s">
        <v>32850</v>
      </c>
      <c r="I1998" t="s">
        <v>7751</v>
      </c>
      <c r="J1998" t="s">
        <v>33261</v>
      </c>
      <c r="K1998" t="s">
        <v>42747</v>
      </c>
      <c r="M1998" t="s">
        <v>43686</v>
      </c>
      <c r="N1998" t="s">
        <v>47424</v>
      </c>
      <c r="O1998" t="s">
        <v>47425</v>
      </c>
      <c r="P1998">
        <v>0</v>
      </c>
      <c r="Q1998">
        <v>0</v>
      </c>
      <c r="R1998" t="s">
        <v>47429</v>
      </c>
      <c r="S1998" t="s">
        <v>47542</v>
      </c>
      <c r="T1998" t="s">
        <v>49129</v>
      </c>
      <c r="U1998" t="s">
        <v>51410</v>
      </c>
      <c r="W1998" t="s">
        <v>43686</v>
      </c>
      <c r="X1998" t="s">
        <v>47426</v>
      </c>
    </row>
    <row r="1999" spans="1:24">
      <c r="A1999">
        <f>HYPERLINK("https://www.philgeps.gov.ph/GEPSNONPILOT/Tender/SplashBidNoticeAbstractUI.aspx?menuIndex=3&amp;refID=7167261&amp;Result=3","7167261")</f>
        <v>0</v>
      </c>
      <c r="B1999" t="s">
        <v>929</v>
      </c>
      <c r="C1999" t="s">
        <v>5823</v>
      </c>
      <c r="D1999" t="s">
        <v>19017</v>
      </c>
      <c r="E1999" t="s">
        <v>20928</v>
      </c>
      <c r="F1999" t="s">
        <v>32831</v>
      </c>
      <c r="G1999" t="s">
        <v>32840</v>
      </c>
      <c r="H1999" t="s">
        <v>32848</v>
      </c>
      <c r="I1999" t="s">
        <v>7819</v>
      </c>
      <c r="J1999" t="s">
        <v>33384</v>
      </c>
      <c r="K1999" t="s">
        <v>42748</v>
      </c>
      <c r="L1999" t="s">
        <v>929</v>
      </c>
      <c r="M1999" t="s">
        <v>43970</v>
      </c>
      <c r="N1999" t="s">
        <v>47424</v>
      </c>
      <c r="O1999" t="s">
        <v>47425</v>
      </c>
      <c r="P1999">
        <v>0</v>
      </c>
      <c r="Q1999">
        <v>0</v>
      </c>
      <c r="R1999" t="s">
        <v>47429</v>
      </c>
      <c r="S1999" t="s">
        <v>47542</v>
      </c>
      <c r="T1999" t="s">
        <v>49279</v>
      </c>
      <c r="U1999" t="s">
        <v>51411</v>
      </c>
      <c r="W1999" t="s">
        <v>43970</v>
      </c>
      <c r="X1999" t="s">
        <v>47426</v>
      </c>
    </row>
    <row r="2000" spans="1:24">
      <c r="A2000">
        <f>HYPERLINK("https://www.philgeps.gov.ph/GEPSNONPILOT/Tender/SplashBidNoticeAbstractUI.aspx?menuIndex=3&amp;refID=7167254&amp;Result=3","7167254")</f>
        <v>0</v>
      </c>
      <c r="B2000" t="s">
        <v>909</v>
      </c>
      <c r="C2000" t="s">
        <v>5768</v>
      </c>
      <c r="D2000" t="s">
        <v>19067</v>
      </c>
      <c r="E2000" t="s">
        <v>20929</v>
      </c>
      <c r="F2000" t="s">
        <v>32831</v>
      </c>
      <c r="G2000" t="s">
        <v>32838</v>
      </c>
      <c r="H2000" t="s">
        <v>32848</v>
      </c>
      <c r="I2000" t="s">
        <v>5379</v>
      </c>
      <c r="J2000" t="s">
        <v>34380</v>
      </c>
      <c r="K2000" t="s">
        <v>42730</v>
      </c>
      <c r="M2000" t="s">
        <v>43949</v>
      </c>
      <c r="N2000" t="s">
        <v>47424</v>
      </c>
      <c r="O2000" t="s">
        <v>47425</v>
      </c>
      <c r="P2000">
        <v>0</v>
      </c>
      <c r="Q2000">
        <v>0</v>
      </c>
      <c r="R2000" t="s">
        <v>47429</v>
      </c>
      <c r="S2000" t="s">
        <v>47542</v>
      </c>
      <c r="T2000" t="s">
        <v>49129</v>
      </c>
      <c r="U2000" t="s">
        <v>51367</v>
      </c>
      <c r="W2000" t="s">
        <v>43949</v>
      </c>
      <c r="X2000" t="s">
        <v>47426</v>
      </c>
    </row>
    <row r="2001" spans="1:24">
      <c r="A2001">
        <f>HYPERLINK("https://www.philgeps.gov.ph/GEPSNONPILOT/Tender/SplashBidNoticeAbstractUI.aspx?menuIndex=3&amp;refID=7167252&amp;Result=3","7167252")</f>
        <v>0</v>
      </c>
      <c r="B2001" t="s">
        <v>930</v>
      </c>
      <c r="C2001" t="s">
        <v>5824</v>
      </c>
      <c r="D2001" t="s">
        <v>19065</v>
      </c>
      <c r="E2001" t="s">
        <v>20930</v>
      </c>
      <c r="F2001" t="s">
        <v>32831</v>
      </c>
      <c r="G2001" t="s">
        <v>32838</v>
      </c>
      <c r="H2001" t="s">
        <v>32848</v>
      </c>
      <c r="I2001" t="s">
        <v>4487</v>
      </c>
      <c r="J2001" t="s">
        <v>34381</v>
      </c>
      <c r="K2001" t="s">
        <v>42726</v>
      </c>
      <c r="M2001" t="s">
        <v>43971</v>
      </c>
      <c r="N2001" t="s">
        <v>47424</v>
      </c>
      <c r="O2001" t="s">
        <v>47425</v>
      </c>
      <c r="P2001">
        <v>0</v>
      </c>
      <c r="Q2001">
        <v>0</v>
      </c>
      <c r="R2001" t="s">
        <v>47429</v>
      </c>
      <c r="S2001" t="s">
        <v>47542</v>
      </c>
      <c r="T2001" t="s">
        <v>49119</v>
      </c>
      <c r="U2001" t="s">
        <v>51412</v>
      </c>
      <c r="W2001" t="s">
        <v>43971</v>
      </c>
      <c r="X2001" t="s">
        <v>47426</v>
      </c>
    </row>
    <row r="2002" spans="1:24">
      <c r="A2002">
        <f>HYPERLINK("https://www.philgeps.gov.ph/GEPSNONPILOT/Tender/SplashBidNoticeAbstractUI.aspx?menuIndex=3&amp;refID=7167206&amp;Result=3","7167206")</f>
        <v>0</v>
      </c>
      <c r="B2002" t="s">
        <v>711</v>
      </c>
      <c r="C2002" t="s">
        <v>5825</v>
      </c>
      <c r="D2002" t="s">
        <v>19060</v>
      </c>
      <c r="E2002" t="s">
        <v>20931</v>
      </c>
      <c r="F2002" t="s">
        <v>32831</v>
      </c>
      <c r="G2002" t="s">
        <v>32838</v>
      </c>
      <c r="H2002" t="s">
        <v>32848</v>
      </c>
      <c r="I2002" t="s">
        <v>5379</v>
      </c>
      <c r="J2002" t="s">
        <v>34032</v>
      </c>
      <c r="K2002" t="s">
        <v>42730</v>
      </c>
      <c r="M2002" t="s">
        <v>43731</v>
      </c>
      <c r="N2002" t="s">
        <v>47424</v>
      </c>
      <c r="O2002" t="s">
        <v>47425</v>
      </c>
      <c r="P2002">
        <v>0</v>
      </c>
      <c r="Q2002">
        <v>0</v>
      </c>
      <c r="R2002" t="s">
        <v>47429</v>
      </c>
      <c r="S2002" t="s">
        <v>47542</v>
      </c>
      <c r="T2002" t="s">
        <v>49104</v>
      </c>
      <c r="U2002" t="s">
        <v>51413</v>
      </c>
      <c r="W2002" t="s">
        <v>43731</v>
      </c>
      <c r="X2002" t="s">
        <v>47426</v>
      </c>
    </row>
    <row r="2003" spans="1:24">
      <c r="A2003">
        <f>HYPERLINK("https://www.philgeps.gov.ph/GEPSNONPILOT/Tender/SplashBidNoticeAbstractUI.aspx?menuIndex=3&amp;refID=7167258&amp;Result=3","7167258")</f>
        <v>0</v>
      </c>
      <c r="B2003" t="s">
        <v>316</v>
      </c>
      <c r="C2003" t="s">
        <v>5826</v>
      </c>
      <c r="D2003" t="s">
        <v>19023</v>
      </c>
      <c r="E2003" t="s">
        <v>20932</v>
      </c>
      <c r="F2003" t="s">
        <v>32831</v>
      </c>
      <c r="G2003" t="s">
        <v>32838</v>
      </c>
      <c r="H2003" t="s">
        <v>32848</v>
      </c>
      <c r="I2003" t="s">
        <v>32864</v>
      </c>
      <c r="J2003" t="s">
        <v>34382</v>
      </c>
      <c r="K2003" t="s">
        <v>42730</v>
      </c>
      <c r="M2003" t="s">
        <v>43795</v>
      </c>
      <c r="N2003" t="s">
        <v>47424</v>
      </c>
      <c r="O2003" t="s">
        <v>47425</v>
      </c>
      <c r="P2003">
        <v>0</v>
      </c>
      <c r="Q2003">
        <v>0</v>
      </c>
      <c r="R2003" t="s">
        <v>47429</v>
      </c>
      <c r="S2003" t="s">
        <v>47542</v>
      </c>
      <c r="T2003" t="s">
        <v>49073</v>
      </c>
      <c r="U2003" t="s">
        <v>51090</v>
      </c>
      <c r="V2003" t="s">
        <v>62802</v>
      </c>
      <c r="W2003" t="s">
        <v>43795</v>
      </c>
      <c r="X2003" t="s">
        <v>47426</v>
      </c>
    </row>
    <row r="2004" spans="1:24">
      <c r="A2004">
        <f>HYPERLINK("https://www.philgeps.gov.ph/GEPSNONPILOT/Tender/SplashBidNoticeAbstractUI.aspx?menuIndex=3&amp;refID=7167204&amp;Result=3","7167204")</f>
        <v>0</v>
      </c>
      <c r="B2004" t="s">
        <v>889</v>
      </c>
      <c r="C2004" t="s">
        <v>5827</v>
      </c>
      <c r="D2004" t="s">
        <v>19047</v>
      </c>
      <c r="E2004" t="s">
        <v>20933</v>
      </c>
      <c r="F2004" t="s">
        <v>32831</v>
      </c>
      <c r="G2004" t="s">
        <v>32838</v>
      </c>
      <c r="H2004" t="s">
        <v>32848</v>
      </c>
      <c r="I2004" t="s">
        <v>32864</v>
      </c>
      <c r="J2004" t="s">
        <v>34383</v>
      </c>
      <c r="K2004" t="s">
        <v>42726</v>
      </c>
      <c r="M2004" t="s">
        <v>43924</v>
      </c>
      <c r="N2004" t="s">
        <v>47424</v>
      </c>
      <c r="O2004" t="s">
        <v>47425</v>
      </c>
      <c r="P2004">
        <v>0</v>
      </c>
      <c r="Q2004">
        <v>0</v>
      </c>
      <c r="R2004" t="s">
        <v>47429</v>
      </c>
      <c r="S2004" t="s">
        <v>47542</v>
      </c>
      <c r="T2004" t="s">
        <v>49129</v>
      </c>
      <c r="U2004" t="s">
        <v>51414</v>
      </c>
      <c r="V2004" t="s">
        <v>62831</v>
      </c>
      <c r="W2004" t="s">
        <v>43924</v>
      </c>
      <c r="X2004" t="s">
        <v>47426</v>
      </c>
    </row>
    <row r="2005" spans="1:24">
      <c r="A2005">
        <f>HYPERLINK("https://www.philgeps.gov.ph/GEPSNONPILOT/Tender/SplashBidNoticeAbstractUI.aspx?menuIndex=3&amp;refID=7167256&amp;Result=3","7167256")</f>
        <v>0</v>
      </c>
      <c r="B2005" t="s">
        <v>931</v>
      </c>
      <c r="C2005" t="s">
        <v>5828</v>
      </c>
      <c r="D2005" t="s">
        <v>19030</v>
      </c>
      <c r="E2005" t="s">
        <v>20934</v>
      </c>
      <c r="F2005" t="s">
        <v>32831</v>
      </c>
      <c r="G2005" t="s">
        <v>32838</v>
      </c>
      <c r="H2005" t="s">
        <v>32848</v>
      </c>
      <c r="I2005" t="s">
        <v>32894</v>
      </c>
      <c r="J2005" t="s">
        <v>34384</v>
      </c>
      <c r="K2005" t="s">
        <v>42730</v>
      </c>
      <c r="M2005" t="s">
        <v>43972</v>
      </c>
      <c r="N2005" t="s">
        <v>47424</v>
      </c>
      <c r="O2005" t="s">
        <v>47425</v>
      </c>
      <c r="P2005">
        <v>0</v>
      </c>
      <c r="Q2005">
        <v>0</v>
      </c>
      <c r="R2005" t="s">
        <v>47429</v>
      </c>
      <c r="S2005" t="s">
        <v>47542</v>
      </c>
      <c r="T2005" t="s">
        <v>49129</v>
      </c>
      <c r="U2005" t="s">
        <v>51415</v>
      </c>
      <c r="V2005" t="s">
        <v>62844</v>
      </c>
      <c r="W2005" t="s">
        <v>43972</v>
      </c>
      <c r="X2005" t="s">
        <v>47426</v>
      </c>
    </row>
    <row r="2006" spans="1:24">
      <c r="A2006">
        <f>HYPERLINK("https://www.philgeps.gov.ph/GEPSNONPILOT/Tender/SplashBidNoticeAbstractUI.aspx?menuIndex=3&amp;refID=7167180&amp;Result=3","7167180")</f>
        <v>0</v>
      </c>
      <c r="B2006" t="s">
        <v>844</v>
      </c>
      <c r="C2006" t="s">
        <v>5829</v>
      </c>
      <c r="D2006" t="s">
        <v>19081</v>
      </c>
      <c r="E2006" t="s">
        <v>20935</v>
      </c>
      <c r="F2006" t="s">
        <v>32831</v>
      </c>
      <c r="G2006" t="s">
        <v>32839</v>
      </c>
      <c r="H2006" t="s">
        <v>32849</v>
      </c>
      <c r="I2006" t="s">
        <v>4177</v>
      </c>
      <c r="J2006" t="s">
        <v>33644</v>
      </c>
      <c r="K2006" t="s">
        <v>42750</v>
      </c>
      <c r="M2006" t="s">
        <v>43877</v>
      </c>
      <c r="N2006" t="s">
        <v>47424</v>
      </c>
      <c r="O2006" t="s">
        <v>47425</v>
      </c>
      <c r="P2006">
        <v>0</v>
      </c>
      <c r="Q2006">
        <v>0</v>
      </c>
      <c r="R2006" t="s">
        <v>47429</v>
      </c>
      <c r="S2006" t="s">
        <v>47542</v>
      </c>
      <c r="T2006" t="s">
        <v>49057</v>
      </c>
      <c r="U2006" t="s">
        <v>51416</v>
      </c>
      <c r="V2006" t="s">
        <v>62845</v>
      </c>
      <c r="W2006" t="s">
        <v>43877</v>
      </c>
      <c r="X2006" t="s">
        <v>47426</v>
      </c>
    </row>
    <row r="2007" spans="1:24">
      <c r="A2007">
        <f>HYPERLINK("https://www.philgeps.gov.ph/GEPSNONPILOT/Tender/SplashBidNoticeAbstractUI.aspx?menuIndex=3&amp;refID=7167253&amp;Result=3","7167253")</f>
        <v>0</v>
      </c>
      <c r="B2007" t="s">
        <v>807</v>
      </c>
      <c r="C2007" t="s">
        <v>5830</v>
      </c>
      <c r="D2007" t="s">
        <v>19044</v>
      </c>
      <c r="E2007" t="s">
        <v>20936</v>
      </c>
      <c r="F2007" t="s">
        <v>32831</v>
      </c>
      <c r="G2007" t="s">
        <v>32839</v>
      </c>
      <c r="H2007" t="s">
        <v>32848</v>
      </c>
      <c r="I2007" t="s">
        <v>32857</v>
      </c>
      <c r="J2007" t="s">
        <v>34385</v>
      </c>
      <c r="K2007" t="s">
        <v>42727</v>
      </c>
      <c r="M2007" t="s">
        <v>43838</v>
      </c>
      <c r="N2007" t="s">
        <v>47424</v>
      </c>
      <c r="O2007" t="s">
        <v>47425</v>
      </c>
      <c r="P2007">
        <v>0</v>
      </c>
      <c r="Q2007">
        <v>0</v>
      </c>
      <c r="R2007" t="s">
        <v>47429</v>
      </c>
      <c r="S2007" t="s">
        <v>47542</v>
      </c>
      <c r="T2007" t="s">
        <v>49078</v>
      </c>
      <c r="U2007" t="s">
        <v>51417</v>
      </c>
      <c r="W2007" t="s">
        <v>43838</v>
      </c>
      <c r="X2007" t="s">
        <v>47426</v>
      </c>
    </row>
    <row r="2008" spans="1:24">
      <c r="A2008">
        <f>HYPERLINK("https://www.philgeps.gov.ph/GEPSNONPILOT/Tender/SplashBidNoticeAbstractUI.aspx?menuIndex=3&amp;refID=7167161&amp;Result=3","7167161")</f>
        <v>0</v>
      </c>
      <c r="B2008" t="s">
        <v>712</v>
      </c>
      <c r="C2008" t="s">
        <v>5831</v>
      </c>
      <c r="D2008" t="s">
        <v>19047</v>
      </c>
      <c r="E2008" t="s">
        <v>20535</v>
      </c>
      <c r="F2008" t="s">
        <v>32831</v>
      </c>
      <c r="G2008" t="s">
        <v>32838</v>
      </c>
      <c r="H2008" t="s">
        <v>32848</v>
      </c>
      <c r="I2008" t="s">
        <v>4222</v>
      </c>
      <c r="J2008" t="s">
        <v>34059</v>
      </c>
      <c r="K2008" t="s">
        <v>42726</v>
      </c>
      <c r="M2008" t="s">
        <v>43732</v>
      </c>
      <c r="N2008" t="s">
        <v>47424</v>
      </c>
      <c r="O2008" t="s">
        <v>47425</v>
      </c>
      <c r="P2008">
        <v>0</v>
      </c>
      <c r="Q2008">
        <v>0</v>
      </c>
      <c r="R2008" t="s">
        <v>47429</v>
      </c>
      <c r="S2008" t="s">
        <v>47542</v>
      </c>
      <c r="T2008" t="s">
        <v>49159</v>
      </c>
      <c r="U2008" t="s">
        <v>50994</v>
      </c>
      <c r="W2008" t="s">
        <v>43732</v>
      </c>
      <c r="X2008" t="s">
        <v>47426</v>
      </c>
    </row>
    <row r="2009" spans="1:24">
      <c r="A2009">
        <f>HYPERLINK("https://www.philgeps.gov.ph/GEPSNONPILOT/Tender/SplashBidNoticeAbstractUI.aspx?menuIndex=3&amp;refID=7167160&amp;Result=3","7167160")</f>
        <v>0</v>
      </c>
      <c r="B2009" t="s">
        <v>920</v>
      </c>
      <c r="C2009" t="s">
        <v>5832</v>
      </c>
      <c r="E2009" t="s">
        <v>20937</v>
      </c>
      <c r="F2009" t="s">
        <v>32831</v>
      </c>
      <c r="G2009" t="s">
        <v>32838</v>
      </c>
      <c r="H2009" t="s">
        <v>32848</v>
      </c>
      <c r="I2009" t="s">
        <v>32855</v>
      </c>
      <c r="J2009" t="s">
        <v>34386</v>
      </c>
      <c r="K2009" t="s">
        <v>42732</v>
      </c>
      <c r="M2009" t="s">
        <v>43961</v>
      </c>
      <c r="N2009" t="s">
        <v>47424</v>
      </c>
      <c r="O2009" t="s">
        <v>47425</v>
      </c>
      <c r="P2009">
        <v>0</v>
      </c>
      <c r="Q2009">
        <v>0</v>
      </c>
      <c r="R2009" t="s">
        <v>47429</v>
      </c>
      <c r="S2009" t="s">
        <v>47542</v>
      </c>
      <c r="T2009" t="s">
        <v>49104</v>
      </c>
      <c r="U2009" t="s">
        <v>51396</v>
      </c>
      <c r="W2009" t="s">
        <v>43961</v>
      </c>
      <c r="X2009" t="s">
        <v>47426</v>
      </c>
    </row>
    <row r="2010" spans="1:24">
      <c r="A2010">
        <f>HYPERLINK("https://www.philgeps.gov.ph/GEPSNONPILOT/Tender/SplashBidNoticeAbstractUI.aspx?menuIndex=3&amp;refID=7167157&amp;Result=3","7167157")</f>
        <v>0</v>
      </c>
      <c r="B2010" t="s">
        <v>932</v>
      </c>
      <c r="C2010" t="s">
        <v>5833</v>
      </c>
      <c r="E2010" t="s">
        <v>20938</v>
      </c>
      <c r="F2010" t="s">
        <v>32831</v>
      </c>
      <c r="G2010" t="s">
        <v>32838</v>
      </c>
      <c r="H2010" t="s">
        <v>32848</v>
      </c>
      <c r="I2010" t="s">
        <v>32857</v>
      </c>
      <c r="J2010" t="s">
        <v>34387</v>
      </c>
      <c r="K2010" t="s">
        <v>42732</v>
      </c>
      <c r="M2010" t="s">
        <v>43973</v>
      </c>
      <c r="N2010" t="s">
        <v>47424</v>
      </c>
      <c r="O2010" t="s">
        <v>47425</v>
      </c>
      <c r="P2010">
        <v>0</v>
      </c>
      <c r="Q2010">
        <v>0</v>
      </c>
      <c r="R2010" t="s">
        <v>47429</v>
      </c>
      <c r="S2010" t="s">
        <v>47542</v>
      </c>
      <c r="T2010" t="s">
        <v>49104</v>
      </c>
      <c r="U2010" t="s">
        <v>51418</v>
      </c>
      <c r="W2010" t="s">
        <v>43973</v>
      </c>
      <c r="X2010" t="s">
        <v>47426</v>
      </c>
    </row>
    <row r="2011" spans="1:24">
      <c r="A2011">
        <f>HYPERLINK("https://www.philgeps.gov.ph/GEPSNONPILOT/Tender/SplashBidNoticeAbstractUI.aspx?menuIndex=3&amp;refID=7167182&amp;Result=3","7167182")</f>
        <v>0</v>
      </c>
      <c r="B2011" t="s">
        <v>878</v>
      </c>
      <c r="C2011" t="s">
        <v>5834</v>
      </c>
      <c r="D2011" t="s">
        <v>19067</v>
      </c>
      <c r="E2011" t="s">
        <v>20939</v>
      </c>
      <c r="F2011" t="s">
        <v>32831</v>
      </c>
      <c r="G2011" t="s">
        <v>32838</v>
      </c>
      <c r="H2011" t="s">
        <v>32848</v>
      </c>
      <c r="I2011" t="s">
        <v>32855</v>
      </c>
      <c r="J2011" t="s">
        <v>34388</v>
      </c>
      <c r="K2011" t="s">
        <v>42730</v>
      </c>
      <c r="M2011" t="s">
        <v>43912</v>
      </c>
      <c r="N2011" t="s">
        <v>47424</v>
      </c>
      <c r="O2011" t="s">
        <v>47425</v>
      </c>
      <c r="P2011">
        <v>0</v>
      </c>
      <c r="Q2011">
        <v>0</v>
      </c>
      <c r="R2011" t="s">
        <v>47429</v>
      </c>
      <c r="S2011" t="s">
        <v>47542</v>
      </c>
      <c r="T2011" t="s">
        <v>49169</v>
      </c>
      <c r="U2011" t="s">
        <v>51419</v>
      </c>
      <c r="W2011" t="s">
        <v>43912</v>
      </c>
      <c r="X2011" t="s">
        <v>47426</v>
      </c>
    </row>
    <row r="2012" spans="1:24">
      <c r="A2012">
        <f>HYPERLINK("https://www.philgeps.gov.ph/GEPSNONPILOT/Tender/SplashBidNoticeAbstractUI.aspx?menuIndex=3&amp;refID=7166802&amp;Result=3","7166802")</f>
        <v>0</v>
      </c>
      <c r="B2012" t="s">
        <v>719</v>
      </c>
      <c r="C2012" t="s">
        <v>5835</v>
      </c>
      <c r="D2012" t="s">
        <v>19017</v>
      </c>
      <c r="E2012" t="s">
        <v>20940</v>
      </c>
      <c r="F2012" t="s">
        <v>32831</v>
      </c>
      <c r="G2012" t="s">
        <v>32838</v>
      </c>
      <c r="H2012" t="s">
        <v>32848</v>
      </c>
      <c r="I2012" t="s">
        <v>4340</v>
      </c>
      <c r="J2012" t="s">
        <v>34389</v>
      </c>
      <c r="K2012" t="s">
        <v>42732</v>
      </c>
      <c r="M2012" t="s">
        <v>43974</v>
      </c>
      <c r="N2012" t="s">
        <v>47424</v>
      </c>
      <c r="O2012" t="s">
        <v>47425</v>
      </c>
      <c r="P2012">
        <v>0</v>
      </c>
      <c r="Q2012">
        <v>0</v>
      </c>
      <c r="R2012" t="s">
        <v>47429</v>
      </c>
      <c r="S2012" t="s">
        <v>47542</v>
      </c>
      <c r="T2012" t="s">
        <v>49069</v>
      </c>
      <c r="U2012" t="s">
        <v>51420</v>
      </c>
      <c r="W2012" t="s">
        <v>43974</v>
      </c>
      <c r="X2012" t="s">
        <v>47426</v>
      </c>
    </row>
    <row r="2013" spans="1:24">
      <c r="A2013">
        <f>HYPERLINK("https://www.philgeps.gov.ph/GEPSNONPILOT/Tender/SplashBidNoticeAbstractUI.aspx?menuIndex=3&amp;refID=7167162&amp;Result=3","7167162")</f>
        <v>0</v>
      </c>
      <c r="B2013" t="s">
        <v>912</v>
      </c>
      <c r="C2013" t="s">
        <v>5836</v>
      </c>
      <c r="D2013" t="s">
        <v>19070</v>
      </c>
      <c r="E2013" t="s">
        <v>20941</v>
      </c>
      <c r="F2013" t="s">
        <v>32831</v>
      </c>
      <c r="G2013" t="s">
        <v>32840</v>
      </c>
      <c r="H2013" t="s">
        <v>32848</v>
      </c>
      <c r="I2013" t="s">
        <v>32854</v>
      </c>
      <c r="J2013" t="s">
        <v>34390</v>
      </c>
      <c r="K2013" t="s">
        <v>42759</v>
      </c>
      <c r="M2013" t="s">
        <v>43952</v>
      </c>
      <c r="N2013" t="s">
        <v>47424</v>
      </c>
      <c r="O2013" t="s">
        <v>47425</v>
      </c>
      <c r="P2013">
        <v>0</v>
      </c>
      <c r="Q2013">
        <v>0</v>
      </c>
      <c r="R2013" t="s">
        <v>47429</v>
      </c>
      <c r="S2013" t="s">
        <v>47542</v>
      </c>
      <c r="T2013" t="s">
        <v>49089</v>
      </c>
      <c r="U2013" t="s">
        <v>51421</v>
      </c>
      <c r="W2013" t="s">
        <v>43952</v>
      </c>
      <c r="X2013" t="s">
        <v>47426</v>
      </c>
    </row>
    <row r="2014" spans="1:24">
      <c r="A2014">
        <f>HYPERLINK("https://www.philgeps.gov.ph/GEPSNONPILOT/Tender/SplashBidNoticeAbstractUI.aspx?menuIndex=3&amp;refID=7166800&amp;Result=3","7166800")</f>
        <v>0</v>
      </c>
      <c r="B2014" t="s">
        <v>933</v>
      </c>
      <c r="C2014" t="s">
        <v>5837</v>
      </c>
      <c r="D2014" t="s">
        <v>19045</v>
      </c>
      <c r="E2014" t="s">
        <v>20942</v>
      </c>
      <c r="F2014" t="s">
        <v>32831</v>
      </c>
      <c r="G2014" t="s">
        <v>32838</v>
      </c>
      <c r="H2014" t="s">
        <v>32848</v>
      </c>
      <c r="I2014" t="s">
        <v>7416</v>
      </c>
      <c r="J2014" t="s">
        <v>33044</v>
      </c>
      <c r="K2014" t="s">
        <v>42730</v>
      </c>
      <c r="M2014" t="s">
        <v>43975</v>
      </c>
      <c r="N2014" t="s">
        <v>47424</v>
      </c>
      <c r="O2014" t="s">
        <v>47425</v>
      </c>
      <c r="P2014">
        <v>0</v>
      </c>
      <c r="Q2014">
        <v>0</v>
      </c>
      <c r="R2014" t="s">
        <v>47429</v>
      </c>
      <c r="S2014" t="s">
        <v>47542</v>
      </c>
      <c r="T2014" t="s">
        <v>49298</v>
      </c>
      <c r="U2014" t="s">
        <v>51422</v>
      </c>
      <c r="V2014" t="s">
        <v>62846</v>
      </c>
      <c r="W2014" t="s">
        <v>43975</v>
      </c>
      <c r="X2014" t="s">
        <v>47426</v>
      </c>
    </row>
    <row r="2015" spans="1:24">
      <c r="A2015">
        <f>HYPERLINK("https://www.philgeps.gov.ph/GEPSNONPILOT/Tender/SplashBidNoticeAbstractUI.aspx?menuIndex=3&amp;refID=7167207&amp;Result=3","7167207")</f>
        <v>0</v>
      </c>
      <c r="B2015" t="s">
        <v>934</v>
      </c>
      <c r="C2015" t="s">
        <v>5838</v>
      </c>
      <c r="D2015" t="s">
        <v>19048</v>
      </c>
      <c r="E2015" t="s">
        <v>20943</v>
      </c>
      <c r="F2015" t="s">
        <v>32831</v>
      </c>
      <c r="G2015" t="s">
        <v>32838</v>
      </c>
      <c r="H2015" t="s">
        <v>32848</v>
      </c>
      <c r="I2015" t="s">
        <v>32860</v>
      </c>
      <c r="J2015" t="s">
        <v>34390</v>
      </c>
      <c r="K2015" t="s">
        <v>42730</v>
      </c>
      <c r="M2015" t="s">
        <v>43976</v>
      </c>
      <c r="N2015" t="s">
        <v>47424</v>
      </c>
      <c r="O2015" t="s">
        <v>47425</v>
      </c>
      <c r="P2015">
        <v>0</v>
      </c>
      <c r="Q2015">
        <v>0</v>
      </c>
      <c r="R2015" t="s">
        <v>47429</v>
      </c>
      <c r="S2015" t="s">
        <v>47542</v>
      </c>
      <c r="T2015" t="s">
        <v>49091</v>
      </c>
      <c r="U2015" t="s">
        <v>51423</v>
      </c>
      <c r="W2015" t="s">
        <v>43976</v>
      </c>
      <c r="X2015" t="s">
        <v>47426</v>
      </c>
    </row>
    <row r="2016" spans="1:24">
      <c r="A2016">
        <f>HYPERLINK("https://www.philgeps.gov.ph/GEPSNONPILOT/Tender/SplashBidNoticeAbstractUI.aspx?menuIndex=3&amp;refID=7167274&amp;Result=3","7167274")</f>
        <v>0</v>
      </c>
      <c r="B2016" t="s">
        <v>771</v>
      </c>
      <c r="C2016" t="s">
        <v>5839</v>
      </c>
      <c r="D2016" t="s">
        <v>19073</v>
      </c>
      <c r="E2016" t="s">
        <v>20944</v>
      </c>
      <c r="F2016" t="s">
        <v>32831</v>
      </c>
      <c r="G2016" t="s">
        <v>32840</v>
      </c>
      <c r="H2016" t="s">
        <v>32848</v>
      </c>
      <c r="I2016" t="s">
        <v>4487</v>
      </c>
      <c r="J2016" t="s">
        <v>33029</v>
      </c>
      <c r="K2016" t="s">
        <v>42726</v>
      </c>
      <c r="M2016" t="s">
        <v>43800</v>
      </c>
      <c r="N2016" t="s">
        <v>47424</v>
      </c>
      <c r="O2016" t="s">
        <v>47425</v>
      </c>
      <c r="P2016">
        <v>0</v>
      </c>
      <c r="Q2016">
        <v>0</v>
      </c>
      <c r="R2016" t="s">
        <v>47429</v>
      </c>
      <c r="S2016" t="s">
        <v>47542</v>
      </c>
      <c r="T2016" t="s">
        <v>49129</v>
      </c>
      <c r="U2016" t="s">
        <v>51424</v>
      </c>
      <c r="W2016" t="s">
        <v>43800</v>
      </c>
      <c r="X2016" t="s">
        <v>47426</v>
      </c>
    </row>
    <row r="2017" spans="1:24">
      <c r="A2017">
        <f>HYPERLINK("https://www.philgeps.gov.ph/GEPSNONPILOT/Tender/SplashBidNoticeAbstractUI.aspx?menuIndex=3&amp;refID=7166798&amp;Result=3","7166798")</f>
        <v>0</v>
      </c>
      <c r="B2017" t="s">
        <v>935</v>
      </c>
      <c r="C2017" t="s">
        <v>5840</v>
      </c>
      <c r="D2017" t="s">
        <v>19044</v>
      </c>
      <c r="E2017" t="s">
        <v>20945</v>
      </c>
      <c r="F2017" t="s">
        <v>32831</v>
      </c>
      <c r="G2017" t="s">
        <v>32838</v>
      </c>
      <c r="H2017" t="s">
        <v>32848</v>
      </c>
      <c r="I2017" t="s">
        <v>32864</v>
      </c>
      <c r="J2017" t="s">
        <v>33078</v>
      </c>
      <c r="K2017" t="s">
        <v>42732</v>
      </c>
      <c r="M2017" t="s">
        <v>43977</v>
      </c>
      <c r="N2017" t="s">
        <v>47424</v>
      </c>
      <c r="O2017" t="s">
        <v>47425</v>
      </c>
      <c r="P2017">
        <v>0</v>
      </c>
      <c r="Q2017">
        <v>0</v>
      </c>
      <c r="R2017" t="s">
        <v>47429</v>
      </c>
      <c r="S2017" t="s">
        <v>47542</v>
      </c>
      <c r="T2017" t="s">
        <v>49129</v>
      </c>
      <c r="U2017" t="s">
        <v>51425</v>
      </c>
      <c r="W2017" t="s">
        <v>43977</v>
      </c>
      <c r="X2017" t="s">
        <v>47426</v>
      </c>
    </row>
    <row r="2018" spans="1:24">
      <c r="A2018">
        <f>HYPERLINK("https://www.philgeps.gov.ph/GEPSNONPILOT/Tender/SplashBidNoticeAbstractUI.aspx?menuIndex=3&amp;refID=7166780&amp;Result=3","7166780")</f>
        <v>0</v>
      </c>
      <c r="B2018" t="s">
        <v>228</v>
      </c>
      <c r="C2018" t="s">
        <v>5841</v>
      </c>
      <c r="D2018" t="s">
        <v>19033</v>
      </c>
      <c r="E2018" t="s">
        <v>20946</v>
      </c>
      <c r="F2018" t="s">
        <v>32831</v>
      </c>
      <c r="G2018" t="s">
        <v>32838</v>
      </c>
      <c r="H2018" t="s">
        <v>32848</v>
      </c>
      <c r="I2018" t="s">
        <v>32938</v>
      </c>
      <c r="J2018" t="s">
        <v>34391</v>
      </c>
      <c r="K2018" t="s">
        <v>42732</v>
      </c>
      <c r="M2018" t="s">
        <v>43791</v>
      </c>
      <c r="N2018" t="s">
        <v>47424</v>
      </c>
      <c r="O2018" t="s">
        <v>47425</v>
      </c>
      <c r="P2018">
        <v>0</v>
      </c>
      <c r="Q2018">
        <v>0</v>
      </c>
      <c r="R2018" t="s">
        <v>47429</v>
      </c>
      <c r="S2018" t="s">
        <v>47542</v>
      </c>
      <c r="T2018" t="s">
        <v>49089</v>
      </c>
      <c r="U2018" t="s">
        <v>51426</v>
      </c>
      <c r="V2018" t="s">
        <v>62800</v>
      </c>
      <c r="W2018" t="s">
        <v>43791</v>
      </c>
      <c r="X2018" t="s">
        <v>47426</v>
      </c>
    </row>
    <row r="2019" spans="1:24">
      <c r="A2019">
        <f>HYPERLINK("https://www.philgeps.gov.ph/GEPSNONPILOT/Tender/SplashBidNoticeAbstractUI.aspx?menuIndex=3&amp;refID=7167159&amp;Result=3","7167159")</f>
        <v>0</v>
      </c>
      <c r="B2019" t="s">
        <v>936</v>
      </c>
      <c r="C2019" t="s">
        <v>5842</v>
      </c>
      <c r="D2019" t="s">
        <v>19088</v>
      </c>
      <c r="E2019" t="s">
        <v>20947</v>
      </c>
      <c r="F2019" t="s">
        <v>32831</v>
      </c>
      <c r="G2019" t="s">
        <v>32839</v>
      </c>
      <c r="H2019" t="s">
        <v>32849</v>
      </c>
      <c r="I2019" t="s">
        <v>4177</v>
      </c>
      <c r="J2019" t="s">
        <v>34392</v>
      </c>
      <c r="K2019" t="s">
        <v>42732</v>
      </c>
      <c r="M2019" t="s">
        <v>43978</v>
      </c>
      <c r="N2019" t="s">
        <v>47424</v>
      </c>
      <c r="O2019" t="s">
        <v>47425</v>
      </c>
      <c r="P2019">
        <v>0</v>
      </c>
      <c r="Q2019">
        <v>0</v>
      </c>
      <c r="R2019" t="s">
        <v>47429</v>
      </c>
      <c r="S2019" t="s">
        <v>47542</v>
      </c>
      <c r="T2019" t="s">
        <v>49169</v>
      </c>
      <c r="U2019" t="s">
        <v>51427</v>
      </c>
      <c r="W2019" t="s">
        <v>43978</v>
      </c>
      <c r="X2019" t="s">
        <v>47426</v>
      </c>
    </row>
    <row r="2020" spans="1:24">
      <c r="A2020">
        <f>HYPERLINK("https://www.philgeps.gov.ph/GEPSNONPILOT/Tender/SplashBidNoticeAbstractUI.aspx?menuIndex=3&amp;refID=7166797&amp;Result=3","7166797")</f>
        <v>0</v>
      </c>
      <c r="B2020" t="s">
        <v>937</v>
      </c>
      <c r="C2020" t="s">
        <v>5843</v>
      </c>
      <c r="D2020" t="s">
        <v>19090</v>
      </c>
      <c r="E2020" t="s">
        <v>19529</v>
      </c>
      <c r="F2020" t="s">
        <v>32831</v>
      </c>
      <c r="G2020" t="s">
        <v>32838</v>
      </c>
      <c r="H2020" t="s">
        <v>32848</v>
      </c>
      <c r="I2020" t="s">
        <v>32860</v>
      </c>
      <c r="J2020" t="s">
        <v>33226</v>
      </c>
      <c r="K2020" t="s">
        <v>42759</v>
      </c>
      <c r="M2020" t="s">
        <v>43979</v>
      </c>
      <c r="N2020" t="s">
        <v>47424</v>
      </c>
      <c r="O2020" t="s">
        <v>47425</v>
      </c>
      <c r="P2020">
        <v>0</v>
      </c>
      <c r="Q2020">
        <v>0</v>
      </c>
      <c r="R2020" t="s">
        <v>47429</v>
      </c>
      <c r="S2020" t="s">
        <v>47542</v>
      </c>
      <c r="T2020" t="s">
        <v>49119</v>
      </c>
      <c r="U2020" t="s">
        <v>51428</v>
      </c>
      <c r="W2020" t="s">
        <v>43979</v>
      </c>
      <c r="X2020" t="s">
        <v>47426</v>
      </c>
    </row>
    <row r="2021" spans="1:24">
      <c r="A2021">
        <f>HYPERLINK("https://www.philgeps.gov.ph/GEPSNONPILOT/Tender/SplashBidNoticeAbstractUI.aspx?menuIndex=3&amp;refID=7166803&amp;Result=3","7166803")</f>
        <v>0</v>
      </c>
      <c r="B2021" t="s">
        <v>733</v>
      </c>
      <c r="C2021" t="s">
        <v>5844</v>
      </c>
      <c r="D2021" t="s">
        <v>19034</v>
      </c>
      <c r="E2021" t="s">
        <v>20502</v>
      </c>
      <c r="F2021" t="s">
        <v>32831</v>
      </c>
      <c r="G2021" t="s">
        <v>32838</v>
      </c>
      <c r="H2021" t="s">
        <v>32848</v>
      </c>
      <c r="I2021" t="s">
        <v>32917</v>
      </c>
      <c r="J2021" t="s">
        <v>34393</v>
      </c>
      <c r="K2021" t="s">
        <v>42758</v>
      </c>
      <c r="M2021" t="s">
        <v>43755</v>
      </c>
      <c r="N2021" t="s">
        <v>47424</v>
      </c>
      <c r="O2021" t="s">
        <v>47425</v>
      </c>
      <c r="P2021">
        <v>0</v>
      </c>
      <c r="Q2021">
        <v>0</v>
      </c>
      <c r="R2021" t="s">
        <v>47429</v>
      </c>
      <c r="S2021" t="s">
        <v>47542</v>
      </c>
      <c r="T2021" t="s">
        <v>49129</v>
      </c>
      <c r="U2021" t="s">
        <v>51429</v>
      </c>
      <c r="W2021" t="s">
        <v>43755</v>
      </c>
      <c r="X2021" t="s">
        <v>47426</v>
      </c>
    </row>
    <row r="2022" spans="1:24">
      <c r="A2022">
        <f>HYPERLINK("https://www.philgeps.gov.ph/GEPSNONPILOT/Tender/SplashBidNoticeAbstractUI.aspx?menuIndex=3&amp;refID=7166779&amp;Result=3","7166779")</f>
        <v>0</v>
      </c>
      <c r="B2022" t="s">
        <v>767</v>
      </c>
      <c r="C2022" t="s">
        <v>5845</v>
      </c>
      <c r="D2022" t="s">
        <v>19077</v>
      </c>
      <c r="E2022" t="s">
        <v>20948</v>
      </c>
      <c r="F2022" t="s">
        <v>32831</v>
      </c>
      <c r="G2022" t="s">
        <v>32838</v>
      </c>
      <c r="H2022" t="s">
        <v>32848</v>
      </c>
      <c r="I2022" t="s">
        <v>32857</v>
      </c>
      <c r="J2022" t="s">
        <v>33044</v>
      </c>
      <c r="K2022" t="s">
        <v>42726</v>
      </c>
      <c r="M2022" t="s">
        <v>43796</v>
      </c>
      <c r="N2022" t="s">
        <v>47424</v>
      </c>
      <c r="O2022" t="s">
        <v>47425</v>
      </c>
      <c r="P2022">
        <v>0</v>
      </c>
      <c r="Q2022">
        <v>0</v>
      </c>
      <c r="R2022" t="s">
        <v>47429</v>
      </c>
      <c r="S2022" t="s">
        <v>47542</v>
      </c>
      <c r="T2022" t="s">
        <v>49060</v>
      </c>
      <c r="U2022" t="s">
        <v>51099</v>
      </c>
      <c r="W2022" t="s">
        <v>43796</v>
      </c>
      <c r="X2022" t="s">
        <v>47426</v>
      </c>
    </row>
    <row r="2023" spans="1:24">
      <c r="A2023">
        <f>HYPERLINK("https://www.philgeps.gov.ph/GEPSNONPILOT/Tender/SplashBidNoticeAbstractUI.aspx?menuIndex=3&amp;refID=7167276&amp;Result=3","7167276")</f>
        <v>0</v>
      </c>
      <c r="B2023" t="s">
        <v>885</v>
      </c>
      <c r="C2023" t="s">
        <v>5846</v>
      </c>
      <c r="D2023" t="s">
        <v>19088</v>
      </c>
      <c r="E2023" t="s">
        <v>20949</v>
      </c>
      <c r="F2023" t="s">
        <v>32831</v>
      </c>
      <c r="G2023" t="s">
        <v>32838</v>
      </c>
      <c r="H2023" t="s">
        <v>32848</v>
      </c>
      <c r="I2023" t="s">
        <v>7416</v>
      </c>
      <c r="J2023" t="s">
        <v>34394</v>
      </c>
      <c r="K2023" t="s">
        <v>42758</v>
      </c>
      <c r="M2023" t="s">
        <v>43920</v>
      </c>
      <c r="N2023" t="s">
        <v>47424</v>
      </c>
      <c r="O2023" t="s">
        <v>47425</v>
      </c>
      <c r="P2023">
        <v>0</v>
      </c>
      <c r="Q2023">
        <v>0</v>
      </c>
      <c r="R2023" t="s">
        <v>47429</v>
      </c>
      <c r="S2023" t="s">
        <v>47542</v>
      </c>
      <c r="T2023" t="s">
        <v>49104</v>
      </c>
      <c r="U2023" t="s">
        <v>51430</v>
      </c>
      <c r="W2023" t="s">
        <v>64449</v>
      </c>
      <c r="X2023" t="s">
        <v>47426</v>
      </c>
    </row>
    <row r="2024" spans="1:24">
      <c r="A2024">
        <f>HYPERLINK("https://www.philgeps.gov.ph/GEPSNONPILOT/Tender/SplashBidNoticeAbstractUI.aspx?menuIndex=3&amp;refID=7166799&amp;Result=3","7166799")</f>
        <v>0</v>
      </c>
      <c r="B2024" t="s">
        <v>703</v>
      </c>
      <c r="C2024" t="s">
        <v>5847</v>
      </c>
      <c r="D2024" t="s">
        <v>19077</v>
      </c>
      <c r="E2024" t="s">
        <v>20950</v>
      </c>
      <c r="F2024" t="s">
        <v>32831</v>
      </c>
      <c r="G2024" t="s">
        <v>32839</v>
      </c>
      <c r="H2024" t="s">
        <v>32848</v>
      </c>
      <c r="I2024" t="s">
        <v>32925</v>
      </c>
      <c r="J2024" t="s">
        <v>33017</v>
      </c>
      <c r="K2024" t="s">
        <v>42763</v>
      </c>
      <c r="M2024" t="s">
        <v>43722</v>
      </c>
      <c r="N2024" t="s">
        <v>47424</v>
      </c>
      <c r="O2024" t="s">
        <v>47425</v>
      </c>
      <c r="P2024">
        <v>0</v>
      </c>
      <c r="Q2024">
        <v>0</v>
      </c>
      <c r="R2024" t="s">
        <v>47429</v>
      </c>
      <c r="S2024" t="s">
        <v>47542</v>
      </c>
      <c r="T2024" t="s">
        <v>49189</v>
      </c>
      <c r="U2024" t="s">
        <v>50983</v>
      </c>
      <c r="W2024" t="s">
        <v>43722</v>
      </c>
      <c r="X2024" t="s">
        <v>47426</v>
      </c>
    </row>
    <row r="2025" spans="1:24">
      <c r="A2025">
        <f>HYPERLINK("https://www.philgeps.gov.ph/GEPSNONPILOT/Tender/SplashBidNoticeAbstractUI.aspx?menuIndex=3&amp;refID=7167296&amp;Result=3","7167296")</f>
        <v>0</v>
      </c>
      <c r="B2025" t="s">
        <v>938</v>
      </c>
      <c r="C2025" t="s">
        <v>5848</v>
      </c>
      <c r="D2025" t="s">
        <v>19023</v>
      </c>
      <c r="E2025" t="s">
        <v>20951</v>
      </c>
      <c r="F2025" t="s">
        <v>32831</v>
      </c>
      <c r="G2025" t="s">
        <v>32838</v>
      </c>
      <c r="H2025" t="s">
        <v>32849</v>
      </c>
      <c r="I2025" t="s">
        <v>4177</v>
      </c>
      <c r="J2025" t="s">
        <v>34395</v>
      </c>
      <c r="K2025" t="s">
        <v>42726</v>
      </c>
      <c r="M2025" t="s">
        <v>43980</v>
      </c>
      <c r="N2025" t="s">
        <v>47424</v>
      </c>
      <c r="O2025" t="s">
        <v>47425</v>
      </c>
      <c r="P2025">
        <v>0</v>
      </c>
      <c r="Q2025">
        <v>0</v>
      </c>
      <c r="R2025" t="s">
        <v>47429</v>
      </c>
      <c r="S2025" t="s">
        <v>47542</v>
      </c>
      <c r="T2025" t="s">
        <v>49089</v>
      </c>
      <c r="U2025" t="s">
        <v>51431</v>
      </c>
      <c r="W2025" t="s">
        <v>43980</v>
      </c>
      <c r="X2025" t="s">
        <v>47426</v>
      </c>
    </row>
    <row r="2026" spans="1:24">
      <c r="A2026">
        <f>HYPERLINK("https://www.philgeps.gov.ph/GEPSNONPILOT/Tender/SplashBidNoticeAbstractUI.aspx?menuIndex=3&amp;refID=7167271&amp;Result=3","7167271")</f>
        <v>0</v>
      </c>
      <c r="B2026" t="s">
        <v>939</v>
      </c>
      <c r="C2026" t="s">
        <v>4726</v>
      </c>
      <c r="D2026" t="s">
        <v>19074</v>
      </c>
      <c r="E2026" t="s">
        <v>19948</v>
      </c>
      <c r="F2026" t="s">
        <v>32831</v>
      </c>
      <c r="G2026" t="s">
        <v>32840</v>
      </c>
      <c r="H2026" t="s">
        <v>32848</v>
      </c>
      <c r="I2026" t="s">
        <v>4438</v>
      </c>
      <c r="J2026" t="s">
        <v>34396</v>
      </c>
      <c r="K2026" t="s">
        <v>42759</v>
      </c>
      <c r="M2026" t="s">
        <v>43981</v>
      </c>
      <c r="N2026" t="s">
        <v>47424</v>
      </c>
      <c r="O2026" t="s">
        <v>47425</v>
      </c>
      <c r="P2026">
        <v>0</v>
      </c>
      <c r="Q2026">
        <v>0</v>
      </c>
      <c r="R2026" t="s">
        <v>47429</v>
      </c>
      <c r="S2026" t="s">
        <v>47542</v>
      </c>
      <c r="T2026" t="s">
        <v>49119</v>
      </c>
      <c r="U2026" t="s">
        <v>51432</v>
      </c>
      <c r="V2026" t="s">
        <v>62707</v>
      </c>
      <c r="W2026" t="s">
        <v>43981</v>
      </c>
      <c r="X2026" t="s">
        <v>47426</v>
      </c>
    </row>
    <row r="2027" spans="1:24">
      <c r="A2027">
        <f>HYPERLINK("https://www.philgeps.gov.ph/GEPSNONPILOT/Tender/SplashBidNoticeAbstractUI.aspx?menuIndex=3&amp;refID=7167294&amp;Result=3","7167294")</f>
        <v>0</v>
      </c>
      <c r="B2027" t="s">
        <v>940</v>
      </c>
      <c r="C2027" t="s">
        <v>5849</v>
      </c>
      <c r="D2027" t="s">
        <v>19017</v>
      </c>
      <c r="E2027" t="s">
        <v>19790</v>
      </c>
      <c r="F2027" t="s">
        <v>32831</v>
      </c>
      <c r="G2027" t="s">
        <v>32838</v>
      </c>
      <c r="H2027" t="s">
        <v>32848</v>
      </c>
      <c r="I2027" t="s">
        <v>7416</v>
      </c>
      <c r="J2027" t="s">
        <v>33364</v>
      </c>
      <c r="K2027" t="s">
        <v>42730</v>
      </c>
      <c r="M2027" t="s">
        <v>43982</v>
      </c>
      <c r="N2027" t="s">
        <v>47424</v>
      </c>
      <c r="O2027" t="s">
        <v>47425</v>
      </c>
      <c r="P2027">
        <v>0</v>
      </c>
      <c r="Q2027">
        <v>0</v>
      </c>
      <c r="R2027" t="s">
        <v>47429</v>
      </c>
      <c r="S2027" t="s">
        <v>47542</v>
      </c>
      <c r="T2027" t="s">
        <v>49119</v>
      </c>
      <c r="U2027" t="s">
        <v>51433</v>
      </c>
      <c r="W2027" t="s">
        <v>43982</v>
      </c>
      <c r="X2027" t="s">
        <v>47426</v>
      </c>
    </row>
    <row r="2028" spans="1:24">
      <c r="A2028">
        <f>HYPERLINK("https://www.philgeps.gov.ph/GEPSNONPILOT/Tender/SplashBidNoticeAbstractUI.aspx?menuIndex=3&amp;refID=7167292&amp;Result=3","7167292")</f>
        <v>0</v>
      </c>
      <c r="B2028" t="s">
        <v>834</v>
      </c>
      <c r="C2028" t="s">
        <v>5850</v>
      </c>
      <c r="D2028" t="s">
        <v>19046</v>
      </c>
      <c r="E2028" t="s">
        <v>20952</v>
      </c>
      <c r="F2028" t="s">
        <v>32831</v>
      </c>
      <c r="G2028" t="s">
        <v>32839</v>
      </c>
      <c r="H2028" t="s">
        <v>32848</v>
      </c>
      <c r="I2028" t="s">
        <v>4776</v>
      </c>
      <c r="J2028" t="s">
        <v>34397</v>
      </c>
      <c r="K2028" t="s">
        <v>42732</v>
      </c>
      <c r="M2028" t="s">
        <v>43983</v>
      </c>
      <c r="N2028" t="s">
        <v>47424</v>
      </c>
      <c r="O2028" t="s">
        <v>47425</v>
      </c>
      <c r="P2028">
        <v>0</v>
      </c>
      <c r="Q2028">
        <v>0</v>
      </c>
      <c r="R2028" t="s">
        <v>47429</v>
      </c>
      <c r="S2028" t="s">
        <v>47542</v>
      </c>
      <c r="T2028" t="s">
        <v>49078</v>
      </c>
      <c r="U2028" t="s">
        <v>51434</v>
      </c>
      <c r="W2028" t="s">
        <v>43983</v>
      </c>
      <c r="X2028" t="s">
        <v>47426</v>
      </c>
    </row>
    <row r="2029" spans="1:24">
      <c r="A2029">
        <f>HYPERLINK("https://www.philgeps.gov.ph/GEPSNONPILOT/Tender/SplashBidNoticeAbstractUI.aspx?menuIndex=3&amp;refID=7166776&amp;Result=3","7166776")</f>
        <v>0</v>
      </c>
      <c r="B2029" t="s">
        <v>792</v>
      </c>
      <c r="C2029" t="s">
        <v>5851</v>
      </c>
      <c r="D2029" t="s">
        <v>19100</v>
      </c>
      <c r="E2029" t="s">
        <v>20953</v>
      </c>
      <c r="F2029" t="s">
        <v>32831</v>
      </c>
      <c r="G2029" t="s">
        <v>32838</v>
      </c>
      <c r="H2029" t="s">
        <v>32848</v>
      </c>
      <c r="I2029" t="s">
        <v>4776</v>
      </c>
      <c r="J2029" t="s">
        <v>34398</v>
      </c>
      <c r="K2029" t="s">
        <v>42731</v>
      </c>
      <c r="M2029" t="s">
        <v>43822</v>
      </c>
      <c r="N2029" t="s">
        <v>47424</v>
      </c>
      <c r="O2029" t="s">
        <v>47425</v>
      </c>
      <c r="P2029">
        <v>0</v>
      </c>
      <c r="Q2029">
        <v>0</v>
      </c>
      <c r="R2029" t="s">
        <v>47429</v>
      </c>
      <c r="S2029" t="s">
        <v>47542</v>
      </c>
      <c r="T2029" t="s">
        <v>49122</v>
      </c>
      <c r="U2029" t="s">
        <v>51435</v>
      </c>
      <c r="W2029" t="s">
        <v>43822</v>
      </c>
      <c r="X2029" t="s">
        <v>47426</v>
      </c>
    </row>
    <row r="2030" spans="1:24">
      <c r="A2030">
        <f>HYPERLINK("https://www.philgeps.gov.ph/GEPSNONPILOT/Tender/SplashBidNoticeAbstractUI.aspx?menuIndex=3&amp;refID=7167291&amp;Result=3","7167291")</f>
        <v>0</v>
      </c>
      <c r="B2030" t="s">
        <v>882</v>
      </c>
      <c r="C2030" t="s">
        <v>5852</v>
      </c>
      <c r="D2030" t="s">
        <v>19017</v>
      </c>
      <c r="E2030" t="s">
        <v>20954</v>
      </c>
      <c r="F2030" t="s">
        <v>32831</v>
      </c>
      <c r="G2030" t="s">
        <v>32838</v>
      </c>
      <c r="H2030" t="s">
        <v>32850</v>
      </c>
      <c r="I2030" t="s">
        <v>32857</v>
      </c>
      <c r="J2030" t="s">
        <v>34399</v>
      </c>
      <c r="K2030" t="s">
        <v>42758</v>
      </c>
      <c r="M2030" t="s">
        <v>43917</v>
      </c>
      <c r="N2030" t="s">
        <v>47424</v>
      </c>
      <c r="O2030" t="s">
        <v>47425</v>
      </c>
      <c r="P2030">
        <v>0</v>
      </c>
      <c r="Q2030">
        <v>0</v>
      </c>
      <c r="R2030" t="s">
        <v>47429</v>
      </c>
      <c r="S2030" t="s">
        <v>47542</v>
      </c>
      <c r="T2030" t="s">
        <v>49129</v>
      </c>
      <c r="U2030" t="s">
        <v>51436</v>
      </c>
      <c r="W2030" t="s">
        <v>43917</v>
      </c>
      <c r="X2030" t="s">
        <v>47426</v>
      </c>
    </row>
    <row r="2031" spans="1:24">
      <c r="A2031">
        <f>HYPERLINK("https://www.philgeps.gov.ph/GEPSNONPILOT/Tender/SplashBidNoticeAbstractUI.aspx?menuIndex=3&amp;refID=7167289&amp;Result=3","7167289")</f>
        <v>0</v>
      </c>
      <c r="B2031" t="s">
        <v>855</v>
      </c>
      <c r="C2031" t="s">
        <v>5853</v>
      </c>
      <c r="E2031" t="s">
        <v>20955</v>
      </c>
      <c r="F2031" t="s">
        <v>32831</v>
      </c>
      <c r="G2031" t="s">
        <v>32839</v>
      </c>
      <c r="H2031" t="s">
        <v>32848</v>
      </c>
      <c r="I2031" t="s">
        <v>4558</v>
      </c>
      <c r="J2031" t="s">
        <v>34400</v>
      </c>
      <c r="K2031" t="s">
        <v>42732</v>
      </c>
      <c r="M2031" t="s">
        <v>43888</v>
      </c>
      <c r="N2031" t="s">
        <v>47424</v>
      </c>
      <c r="O2031" t="s">
        <v>47425</v>
      </c>
      <c r="P2031">
        <v>0</v>
      </c>
      <c r="Q2031">
        <v>0</v>
      </c>
      <c r="R2031" t="s">
        <v>47429</v>
      </c>
      <c r="S2031" t="s">
        <v>47542</v>
      </c>
      <c r="T2031" t="s">
        <v>49065</v>
      </c>
      <c r="U2031" t="s">
        <v>51256</v>
      </c>
      <c r="W2031" t="s">
        <v>43888</v>
      </c>
      <c r="X2031" t="s">
        <v>47426</v>
      </c>
    </row>
    <row r="2032" spans="1:24">
      <c r="A2032">
        <f>HYPERLINK("https://www.philgeps.gov.ph/GEPSNONPILOT/Tender/SplashBidNoticeAbstractUI.aspx?menuIndex=3&amp;refID=7167297&amp;Result=3","7167297")</f>
        <v>0</v>
      </c>
      <c r="B2032" t="s">
        <v>796</v>
      </c>
      <c r="C2032" t="s">
        <v>5854</v>
      </c>
      <c r="D2032" t="s">
        <v>19017</v>
      </c>
      <c r="E2032" t="s">
        <v>20956</v>
      </c>
      <c r="F2032" t="s">
        <v>32831</v>
      </c>
      <c r="G2032" t="s">
        <v>32842</v>
      </c>
      <c r="H2032" t="s">
        <v>32848</v>
      </c>
      <c r="I2032" t="s">
        <v>32860</v>
      </c>
      <c r="J2032" t="s">
        <v>33401</v>
      </c>
      <c r="K2032" t="s">
        <v>42732</v>
      </c>
      <c r="M2032" t="s">
        <v>43826</v>
      </c>
      <c r="N2032" t="s">
        <v>47424</v>
      </c>
      <c r="O2032" t="s">
        <v>47425</v>
      </c>
      <c r="P2032">
        <v>0</v>
      </c>
      <c r="Q2032">
        <v>0</v>
      </c>
      <c r="R2032" t="s">
        <v>47429</v>
      </c>
      <c r="S2032" t="s">
        <v>47542</v>
      </c>
      <c r="T2032" t="s">
        <v>49276</v>
      </c>
      <c r="U2032" t="s">
        <v>51148</v>
      </c>
      <c r="W2032" t="s">
        <v>43826</v>
      </c>
      <c r="X2032" t="s">
        <v>47426</v>
      </c>
    </row>
    <row r="2033" spans="1:24">
      <c r="A2033">
        <f>HYPERLINK("https://www.philgeps.gov.ph/GEPSNONPILOT/Tender/SplashBidNoticeAbstractUI.aspx?menuIndex=3&amp;refID=7167293&amp;Result=3","7167293")</f>
        <v>0</v>
      </c>
      <c r="B2033" t="s">
        <v>228</v>
      </c>
      <c r="C2033" t="s">
        <v>5855</v>
      </c>
      <c r="D2033" t="s">
        <v>19033</v>
      </c>
      <c r="E2033" t="s">
        <v>20957</v>
      </c>
      <c r="F2033" t="s">
        <v>32831</v>
      </c>
      <c r="G2033" t="s">
        <v>32838</v>
      </c>
      <c r="H2033" t="s">
        <v>32848</v>
      </c>
      <c r="I2033" t="s">
        <v>32874</v>
      </c>
      <c r="J2033" t="s">
        <v>34401</v>
      </c>
      <c r="K2033" t="s">
        <v>42730</v>
      </c>
      <c r="M2033" t="s">
        <v>43791</v>
      </c>
      <c r="N2033" t="s">
        <v>47424</v>
      </c>
      <c r="O2033" t="s">
        <v>47425</v>
      </c>
      <c r="P2033">
        <v>0</v>
      </c>
      <c r="Q2033">
        <v>0</v>
      </c>
      <c r="R2033" t="s">
        <v>47429</v>
      </c>
      <c r="S2033" t="s">
        <v>47542</v>
      </c>
      <c r="T2033" t="s">
        <v>49124</v>
      </c>
      <c r="U2033" t="s">
        <v>51437</v>
      </c>
      <c r="W2033" t="s">
        <v>43791</v>
      </c>
      <c r="X2033" t="s">
        <v>47426</v>
      </c>
    </row>
    <row r="2034" spans="1:24">
      <c r="A2034">
        <f>HYPERLINK("https://www.philgeps.gov.ph/GEPSNONPILOT/Tender/SplashBidNoticeAbstractUI.aspx?menuIndex=3&amp;refID=7167286&amp;Result=3","7167286")</f>
        <v>0</v>
      </c>
      <c r="B2034" t="s">
        <v>888</v>
      </c>
      <c r="C2034" t="s">
        <v>5856</v>
      </c>
      <c r="D2034" t="s">
        <v>19067</v>
      </c>
      <c r="E2034" t="s">
        <v>20958</v>
      </c>
      <c r="F2034" t="s">
        <v>32831</v>
      </c>
      <c r="G2034" t="s">
        <v>32840</v>
      </c>
      <c r="H2034" t="s">
        <v>32848</v>
      </c>
      <c r="I2034" t="s">
        <v>9577</v>
      </c>
      <c r="J2034" t="s">
        <v>34402</v>
      </c>
      <c r="K2034" t="s">
        <v>42759</v>
      </c>
      <c r="M2034" t="s">
        <v>43923</v>
      </c>
      <c r="N2034" t="s">
        <v>47424</v>
      </c>
      <c r="O2034" t="s">
        <v>47425</v>
      </c>
      <c r="P2034">
        <v>0</v>
      </c>
      <c r="Q2034">
        <v>0</v>
      </c>
      <c r="R2034" t="s">
        <v>47429</v>
      </c>
      <c r="S2034" t="s">
        <v>47542</v>
      </c>
      <c r="T2034" t="s">
        <v>49100</v>
      </c>
      <c r="U2034" t="s">
        <v>51438</v>
      </c>
      <c r="W2034" t="s">
        <v>43923</v>
      </c>
      <c r="X2034" t="s">
        <v>47426</v>
      </c>
    </row>
    <row r="2035" spans="1:24">
      <c r="A2035">
        <f>HYPERLINK("https://www.philgeps.gov.ph/GEPSNONPILOT/Tender/SplashBidNoticeAbstractUI.aspx?menuIndex=3&amp;refID=7166777&amp;Result=3","7166777")</f>
        <v>0</v>
      </c>
      <c r="B2035" t="s">
        <v>184</v>
      </c>
      <c r="C2035" t="s">
        <v>5857</v>
      </c>
      <c r="D2035" t="s">
        <v>19049</v>
      </c>
      <c r="E2035" t="s">
        <v>20959</v>
      </c>
      <c r="F2035" t="s">
        <v>32831</v>
      </c>
      <c r="G2035" t="s">
        <v>32838</v>
      </c>
      <c r="H2035" t="s">
        <v>32848</v>
      </c>
      <c r="I2035" t="s">
        <v>4222</v>
      </c>
      <c r="J2035" t="s">
        <v>34403</v>
      </c>
      <c r="K2035" t="s">
        <v>42732</v>
      </c>
      <c r="M2035" t="s">
        <v>43182</v>
      </c>
      <c r="N2035" t="s">
        <v>47424</v>
      </c>
      <c r="O2035" t="s">
        <v>47425</v>
      </c>
      <c r="P2035">
        <v>0</v>
      </c>
      <c r="Q2035">
        <v>0</v>
      </c>
      <c r="R2035" t="s">
        <v>47429</v>
      </c>
      <c r="S2035" t="s">
        <v>47542</v>
      </c>
      <c r="T2035" t="s">
        <v>49129</v>
      </c>
      <c r="U2035" t="s">
        <v>51439</v>
      </c>
      <c r="W2035" t="s">
        <v>43182</v>
      </c>
      <c r="X2035" t="s">
        <v>47426</v>
      </c>
    </row>
    <row r="2036" spans="1:24">
      <c r="A2036">
        <f>HYPERLINK("https://www.philgeps.gov.ph/GEPSNONPILOT/Tender/SplashBidNoticeAbstractUI.aspx?menuIndex=3&amp;refID=7167285&amp;Result=3","7167285")</f>
        <v>0</v>
      </c>
      <c r="B2036" t="s">
        <v>881</v>
      </c>
      <c r="C2036" t="s">
        <v>5698</v>
      </c>
      <c r="D2036" t="s">
        <v>19095</v>
      </c>
      <c r="E2036" t="s">
        <v>20960</v>
      </c>
      <c r="F2036" t="s">
        <v>32831</v>
      </c>
      <c r="G2036" t="s">
        <v>32838</v>
      </c>
      <c r="H2036" t="s">
        <v>32848</v>
      </c>
      <c r="I2036" t="s">
        <v>9577</v>
      </c>
      <c r="J2036" t="s">
        <v>34404</v>
      </c>
      <c r="K2036" t="s">
        <v>42727</v>
      </c>
      <c r="M2036" t="s">
        <v>43916</v>
      </c>
      <c r="N2036" t="s">
        <v>47424</v>
      </c>
      <c r="O2036" t="s">
        <v>47425</v>
      </c>
      <c r="P2036">
        <v>0</v>
      </c>
      <c r="Q2036">
        <v>0</v>
      </c>
      <c r="R2036" t="s">
        <v>47429</v>
      </c>
      <c r="S2036" t="s">
        <v>47542</v>
      </c>
      <c r="T2036" t="s">
        <v>49129</v>
      </c>
      <c r="U2036" t="s">
        <v>51311</v>
      </c>
      <c r="W2036" t="s">
        <v>43916</v>
      </c>
      <c r="X2036" t="s">
        <v>47426</v>
      </c>
    </row>
    <row r="2037" spans="1:24">
      <c r="A2037">
        <f>HYPERLINK("https://www.philgeps.gov.ph/GEPSNONPILOT/Tender/SplashBidNoticeAbstractUI.aspx?menuIndex=3&amp;refID=7167290&amp;Result=3","7167290")</f>
        <v>0</v>
      </c>
      <c r="B2037" t="s">
        <v>341</v>
      </c>
      <c r="C2037" t="s">
        <v>5858</v>
      </c>
      <c r="D2037" t="s">
        <v>19035</v>
      </c>
      <c r="E2037" t="s">
        <v>20961</v>
      </c>
      <c r="F2037" t="s">
        <v>32831</v>
      </c>
      <c r="G2037" t="s">
        <v>32838</v>
      </c>
      <c r="H2037" t="s">
        <v>32848</v>
      </c>
      <c r="I2037" t="s">
        <v>4438</v>
      </c>
      <c r="J2037" t="s">
        <v>33691</v>
      </c>
      <c r="K2037" t="s">
        <v>42731</v>
      </c>
      <c r="M2037" t="s">
        <v>43344</v>
      </c>
      <c r="N2037" t="s">
        <v>47424</v>
      </c>
      <c r="O2037" t="s">
        <v>47425</v>
      </c>
      <c r="P2037">
        <v>0</v>
      </c>
      <c r="Q2037">
        <v>0</v>
      </c>
      <c r="R2037" t="s">
        <v>47429</v>
      </c>
      <c r="S2037" t="s">
        <v>47542</v>
      </c>
      <c r="T2037" t="s">
        <v>49089</v>
      </c>
      <c r="U2037" t="s">
        <v>51440</v>
      </c>
      <c r="W2037" t="s">
        <v>43344</v>
      </c>
      <c r="X2037" t="s">
        <v>47426</v>
      </c>
    </row>
    <row r="2038" spans="1:24">
      <c r="A2038">
        <f>HYPERLINK("https://www.philgeps.gov.ph/GEPSNONPILOT/Tender/SplashBidNoticeAbstractUI.aspx?menuIndex=3&amp;refID=7167281&amp;Result=3","7167281")</f>
        <v>0</v>
      </c>
      <c r="B2038" t="s">
        <v>941</v>
      </c>
      <c r="C2038" t="s">
        <v>5859</v>
      </c>
      <c r="D2038" t="s">
        <v>19057</v>
      </c>
      <c r="E2038" t="s">
        <v>20962</v>
      </c>
      <c r="F2038" t="s">
        <v>32833</v>
      </c>
      <c r="G2038" t="s">
        <v>32840</v>
      </c>
      <c r="H2038" t="s">
        <v>32848</v>
      </c>
      <c r="I2038" t="s">
        <v>9577</v>
      </c>
      <c r="J2038" t="s">
        <v>34405</v>
      </c>
      <c r="K2038" t="s">
        <v>42759</v>
      </c>
      <c r="M2038" t="s">
        <v>43984</v>
      </c>
      <c r="N2038" t="s">
        <v>47424</v>
      </c>
      <c r="O2038" t="s">
        <v>47425</v>
      </c>
      <c r="P2038">
        <v>0</v>
      </c>
      <c r="Q2038">
        <v>0</v>
      </c>
      <c r="R2038" t="s">
        <v>47429</v>
      </c>
      <c r="S2038" t="s">
        <v>47542</v>
      </c>
      <c r="T2038" t="s">
        <v>49079</v>
      </c>
      <c r="U2038" t="s">
        <v>51441</v>
      </c>
      <c r="W2038" t="s">
        <v>43984</v>
      </c>
      <c r="X2038" t="s">
        <v>47426</v>
      </c>
    </row>
    <row r="2039" spans="1:24">
      <c r="A2039">
        <f>HYPERLINK("https://www.philgeps.gov.ph/GEPSNONPILOT/Tender/SplashBidNoticeAbstractUI.aspx?menuIndex=3&amp;refID=7167288&amp;Result=3","7167288")</f>
        <v>0</v>
      </c>
      <c r="B2039" t="s">
        <v>909</v>
      </c>
      <c r="C2039" t="s">
        <v>5774</v>
      </c>
      <c r="D2039" t="s">
        <v>19067</v>
      </c>
      <c r="E2039" t="s">
        <v>20963</v>
      </c>
      <c r="F2039" t="s">
        <v>32831</v>
      </c>
      <c r="G2039" t="s">
        <v>32838</v>
      </c>
      <c r="H2039" t="s">
        <v>32848</v>
      </c>
      <c r="I2039" t="s">
        <v>4222</v>
      </c>
      <c r="J2039" t="s">
        <v>33338</v>
      </c>
      <c r="K2039" t="s">
        <v>42730</v>
      </c>
      <c r="M2039" t="s">
        <v>43949</v>
      </c>
      <c r="N2039" t="s">
        <v>47424</v>
      </c>
      <c r="O2039" t="s">
        <v>47425</v>
      </c>
      <c r="P2039">
        <v>0</v>
      </c>
      <c r="Q2039">
        <v>0</v>
      </c>
      <c r="R2039" t="s">
        <v>47429</v>
      </c>
      <c r="S2039" t="s">
        <v>47542</v>
      </c>
      <c r="T2039" t="s">
        <v>49129</v>
      </c>
      <c r="U2039" t="s">
        <v>51372</v>
      </c>
      <c r="W2039" t="s">
        <v>43949</v>
      </c>
      <c r="X2039" t="s">
        <v>47426</v>
      </c>
    </row>
    <row r="2040" spans="1:24">
      <c r="A2040">
        <f>HYPERLINK("https://www.philgeps.gov.ph/GEPSNONPILOT/Tender/SplashBidNoticeAbstractUI.aspx?menuIndex=3&amp;refID=7167280&amp;Result=3","7167280")</f>
        <v>0</v>
      </c>
      <c r="B2040" t="s">
        <v>787</v>
      </c>
      <c r="C2040" t="s">
        <v>5860</v>
      </c>
      <c r="D2040" t="s">
        <v>19045</v>
      </c>
      <c r="E2040" t="s">
        <v>20964</v>
      </c>
      <c r="F2040" t="s">
        <v>32831</v>
      </c>
      <c r="G2040" t="s">
        <v>32838</v>
      </c>
      <c r="H2040" t="s">
        <v>32848</v>
      </c>
      <c r="I2040" t="s">
        <v>32870</v>
      </c>
      <c r="J2040" t="s">
        <v>34406</v>
      </c>
      <c r="K2040" t="s">
        <v>42758</v>
      </c>
      <c r="M2040" t="s">
        <v>43816</v>
      </c>
      <c r="N2040" t="s">
        <v>47424</v>
      </c>
      <c r="O2040" t="s">
        <v>47425</v>
      </c>
      <c r="P2040">
        <v>0</v>
      </c>
      <c r="Q2040">
        <v>0</v>
      </c>
      <c r="R2040" t="s">
        <v>47429</v>
      </c>
      <c r="S2040" t="s">
        <v>47542</v>
      </c>
      <c r="T2040" t="s">
        <v>49104</v>
      </c>
      <c r="U2040" t="s">
        <v>51442</v>
      </c>
      <c r="W2040" t="s">
        <v>43816</v>
      </c>
      <c r="X2040" t="s">
        <v>47426</v>
      </c>
    </row>
    <row r="2041" spans="1:24">
      <c r="A2041">
        <f>HYPERLINK("https://www.philgeps.gov.ph/GEPSNONPILOT/Tender/SplashBidNoticeAbstractUI.aspx?menuIndex=3&amp;refID=7167279&amp;Result=3","7167279")</f>
        <v>0</v>
      </c>
      <c r="B2041" t="s">
        <v>942</v>
      </c>
      <c r="C2041" t="s">
        <v>4726</v>
      </c>
      <c r="D2041" t="s">
        <v>19074</v>
      </c>
      <c r="E2041" t="s">
        <v>19948</v>
      </c>
      <c r="F2041" t="s">
        <v>32831</v>
      </c>
      <c r="G2041" t="s">
        <v>32840</v>
      </c>
      <c r="H2041" t="s">
        <v>32848</v>
      </c>
      <c r="I2041" t="s">
        <v>4438</v>
      </c>
      <c r="J2041" t="s">
        <v>34407</v>
      </c>
      <c r="K2041" t="s">
        <v>42759</v>
      </c>
      <c r="M2041" t="s">
        <v>43985</v>
      </c>
      <c r="N2041" t="s">
        <v>47424</v>
      </c>
      <c r="O2041" t="s">
        <v>47425</v>
      </c>
      <c r="P2041">
        <v>0</v>
      </c>
      <c r="Q2041">
        <v>0</v>
      </c>
      <c r="R2041" t="s">
        <v>47429</v>
      </c>
      <c r="S2041" t="s">
        <v>47542</v>
      </c>
      <c r="T2041" t="s">
        <v>49108</v>
      </c>
      <c r="U2041" t="s">
        <v>51443</v>
      </c>
      <c r="V2041" t="s">
        <v>62707</v>
      </c>
      <c r="W2041" t="s">
        <v>43985</v>
      </c>
      <c r="X2041" t="s">
        <v>47426</v>
      </c>
    </row>
    <row r="2042" spans="1:24">
      <c r="A2042">
        <f>HYPERLINK("https://www.philgeps.gov.ph/GEPSNONPILOT/Tender/SplashBidNoticeAbstractUI.aspx?menuIndex=3&amp;refID=7167277&amp;Result=3","7167277")</f>
        <v>0</v>
      </c>
      <c r="B2042" t="s">
        <v>539</v>
      </c>
      <c r="C2042" t="s">
        <v>5861</v>
      </c>
      <c r="D2042" t="s">
        <v>19057</v>
      </c>
      <c r="E2042" t="s">
        <v>20965</v>
      </c>
      <c r="F2042" t="s">
        <v>32831</v>
      </c>
      <c r="G2042" t="s">
        <v>32838</v>
      </c>
      <c r="H2042" t="s">
        <v>32848</v>
      </c>
      <c r="I2042" t="s">
        <v>32939</v>
      </c>
      <c r="J2042" t="s">
        <v>33133</v>
      </c>
      <c r="K2042" t="s">
        <v>42760</v>
      </c>
      <c r="M2042" t="s">
        <v>43545</v>
      </c>
      <c r="N2042" t="s">
        <v>47424</v>
      </c>
      <c r="O2042" t="s">
        <v>47425</v>
      </c>
      <c r="P2042">
        <v>0</v>
      </c>
      <c r="Q2042">
        <v>0</v>
      </c>
      <c r="R2042" t="s">
        <v>47429</v>
      </c>
      <c r="S2042" t="s">
        <v>47542</v>
      </c>
      <c r="T2042" t="s">
        <v>49129</v>
      </c>
      <c r="U2042" t="s">
        <v>51444</v>
      </c>
      <c r="W2042" t="s">
        <v>43545</v>
      </c>
      <c r="X2042" t="s">
        <v>47426</v>
      </c>
    </row>
    <row r="2043" spans="1:24">
      <c r="A2043">
        <f>HYPERLINK("https://www.philgeps.gov.ph/GEPSNONPILOT/Tender/SplashBidNoticeAbstractUI.aspx?menuIndex=3&amp;refID=7166775&amp;Result=3","7166775")</f>
        <v>0</v>
      </c>
      <c r="B2043" t="s">
        <v>725</v>
      </c>
      <c r="C2043" t="s">
        <v>5862</v>
      </c>
      <c r="D2043" t="s">
        <v>19052</v>
      </c>
      <c r="E2043" t="s">
        <v>20966</v>
      </c>
      <c r="F2043" t="s">
        <v>32831</v>
      </c>
      <c r="G2043" t="s">
        <v>32839</v>
      </c>
      <c r="H2043" t="s">
        <v>32849</v>
      </c>
      <c r="I2043" t="s">
        <v>4177</v>
      </c>
      <c r="J2043" t="s">
        <v>34408</v>
      </c>
      <c r="K2043" t="s">
        <v>42729</v>
      </c>
      <c r="M2043" t="s">
        <v>43746</v>
      </c>
      <c r="N2043" t="s">
        <v>47424</v>
      </c>
      <c r="O2043" t="s">
        <v>47425</v>
      </c>
      <c r="P2043">
        <v>0</v>
      </c>
      <c r="Q2043">
        <v>0</v>
      </c>
      <c r="R2043" t="s">
        <v>47429</v>
      </c>
      <c r="S2043" t="s">
        <v>47542</v>
      </c>
      <c r="T2043" t="s">
        <v>49078</v>
      </c>
      <c r="U2043" t="s">
        <v>51445</v>
      </c>
      <c r="W2043" t="s">
        <v>43746</v>
      </c>
      <c r="X2043" t="s">
        <v>47426</v>
      </c>
    </row>
    <row r="2044" spans="1:24">
      <c r="A2044">
        <f>HYPERLINK("https://www.philgeps.gov.ph/GEPSNONPILOT/Tender/SplashBidNoticeAbstractUI.aspx?menuIndex=3&amp;refID=7167282&amp;Result=3","7167282")</f>
        <v>0</v>
      </c>
      <c r="B2044" t="s">
        <v>581</v>
      </c>
      <c r="C2044" t="s">
        <v>5863</v>
      </c>
      <c r="D2044" t="s">
        <v>19044</v>
      </c>
      <c r="E2044" t="s">
        <v>20967</v>
      </c>
      <c r="F2044" t="s">
        <v>32831</v>
      </c>
      <c r="G2044" t="s">
        <v>32838</v>
      </c>
      <c r="H2044" t="s">
        <v>32848</v>
      </c>
      <c r="I2044" t="s">
        <v>32884</v>
      </c>
      <c r="J2044" t="s">
        <v>34409</v>
      </c>
      <c r="K2044" t="s">
        <v>42726</v>
      </c>
      <c r="M2044" t="s">
        <v>43986</v>
      </c>
      <c r="N2044" t="s">
        <v>47424</v>
      </c>
      <c r="O2044" t="s">
        <v>47425</v>
      </c>
      <c r="P2044">
        <v>0</v>
      </c>
      <c r="Q2044">
        <v>0</v>
      </c>
      <c r="R2044" t="s">
        <v>47429</v>
      </c>
      <c r="S2044" t="s">
        <v>47542</v>
      </c>
      <c r="T2044" t="s">
        <v>49089</v>
      </c>
      <c r="U2044" t="s">
        <v>50752</v>
      </c>
      <c r="W2044" t="s">
        <v>43986</v>
      </c>
      <c r="X2044" t="s">
        <v>47426</v>
      </c>
    </row>
    <row r="2045" spans="1:24">
      <c r="A2045">
        <f>HYPERLINK("https://www.philgeps.gov.ph/GEPSNONPILOT/Tender/SplashBidNoticeAbstractUI.aspx?menuIndex=3&amp;refID=7167283&amp;Result=3","7167283")</f>
        <v>0</v>
      </c>
      <c r="B2045" t="s">
        <v>316</v>
      </c>
      <c r="C2045" t="s">
        <v>5864</v>
      </c>
      <c r="D2045" t="s">
        <v>19023</v>
      </c>
      <c r="E2045" t="s">
        <v>20968</v>
      </c>
      <c r="F2045" t="s">
        <v>32831</v>
      </c>
      <c r="G2045" t="s">
        <v>32838</v>
      </c>
      <c r="H2045" t="s">
        <v>32848</v>
      </c>
      <c r="I2045" t="s">
        <v>4438</v>
      </c>
      <c r="J2045" t="s">
        <v>34410</v>
      </c>
      <c r="K2045" t="s">
        <v>42730</v>
      </c>
      <c r="M2045" t="s">
        <v>43795</v>
      </c>
      <c r="N2045" t="s">
        <v>47424</v>
      </c>
      <c r="O2045" t="s">
        <v>47425</v>
      </c>
      <c r="P2045">
        <v>0</v>
      </c>
      <c r="Q2045">
        <v>0</v>
      </c>
      <c r="R2045" t="s">
        <v>47429</v>
      </c>
      <c r="S2045" t="s">
        <v>47542</v>
      </c>
      <c r="T2045" t="s">
        <v>49073</v>
      </c>
      <c r="U2045" t="s">
        <v>51090</v>
      </c>
      <c r="V2045" t="s">
        <v>62802</v>
      </c>
      <c r="W2045" t="s">
        <v>43795</v>
      </c>
      <c r="X2045" t="s">
        <v>47426</v>
      </c>
    </row>
    <row r="2046" spans="1:24">
      <c r="A2046">
        <f>HYPERLINK("https://www.philgeps.gov.ph/GEPSNONPILOT/Tender/SplashBidNoticeAbstractUI.aspx?menuIndex=3&amp;refID=7166761&amp;Result=3","7166761")</f>
        <v>0</v>
      </c>
      <c r="B2046" t="s">
        <v>704</v>
      </c>
      <c r="C2046" t="s">
        <v>5865</v>
      </c>
      <c r="D2046" t="s">
        <v>19052</v>
      </c>
      <c r="E2046" t="s">
        <v>20969</v>
      </c>
      <c r="F2046" t="s">
        <v>32831</v>
      </c>
      <c r="G2046" t="s">
        <v>32838</v>
      </c>
      <c r="H2046" t="s">
        <v>32848</v>
      </c>
      <c r="I2046" t="s">
        <v>4438</v>
      </c>
      <c r="J2046" t="s">
        <v>33087</v>
      </c>
      <c r="K2046" t="s">
        <v>42730</v>
      </c>
      <c r="M2046" t="s">
        <v>43723</v>
      </c>
      <c r="N2046" t="s">
        <v>47424</v>
      </c>
      <c r="O2046" t="s">
        <v>47425</v>
      </c>
      <c r="P2046">
        <v>0</v>
      </c>
      <c r="Q2046">
        <v>0</v>
      </c>
      <c r="R2046" t="s">
        <v>47429</v>
      </c>
      <c r="S2046" t="s">
        <v>47542</v>
      </c>
      <c r="T2046" t="s">
        <v>49124</v>
      </c>
      <c r="U2046" t="s">
        <v>51446</v>
      </c>
      <c r="W2046" t="s">
        <v>43723</v>
      </c>
      <c r="X2046" t="s">
        <v>47426</v>
      </c>
    </row>
    <row r="2047" spans="1:24">
      <c r="A2047">
        <f>HYPERLINK("https://www.philgeps.gov.ph/GEPSNONPILOT/Tender/SplashBidNoticeAbstractUI.aspx?menuIndex=3&amp;refID=7166758&amp;Result=3","7166758")</f>
        <v>0</v>
      </c>
      <c r="B2047" t="s">
        <v>711</v>
      </c>
      <c r="C2047" t="s">
        <v>5866</v>
      </c>
      <c r="D2047" t="s">
        <v>19060</v>
      </c>
      <c r="E2047" t="s">
        <v>20970</v>
      </c>
      <c r="F2047" t="s">
        <v>32831</v>
      </c>
      <c r="G2047" t="s">
        <v>32839</v>
      </c>
      <c r="H2047" t="s">
        <v>32848</v>
      </c>
      <c r="I2047" t="s">
        <v>32870</v>
      </c>
      <c r="J2047" t="s">
        <v>34411</v>
      </c>
      <c r="K2047" t="s">
        <v>42730</v>
      </c>
      <c r="M2047" t="s">
        <v>43731</v>
      </c>
      <c r="N2047" t="s">
        <v>47424</v>
      </c>
      <c r="O2047" t="s">
        <v>47425</v>
      </c>
      <c r="P2047">
        <v>0</v>
      </c>
      <c r="Q2047">
        <v>0</v>
      </c>
      <c r="R2047" t="s">
        <v>47429</v>
      </c>
      <c r="S2047" t="s">
        <v>47542</v>
      </c>
      <c r="T2047" t="s">
        <v>49063</v>
      </c>
      <c r="U2047" t="s">
        <v>51447</v>
      </c>
      <c r="W2047" t="s">
        <v>43731</v>
      </c>
      <c r="X2047" t="s">
        <v>47426</v>
      </c>
    </row>
    <row r="2048" spans="1:24">
      <c r="A2048">
        <f>HYPERLINK("https://www.philgeps.gov.ph/GEPSNONPILOT/Tender/SplashBidNoticeAbstractUI.aspx?menuIndex=3&amp;refID=7166757&amp;Result=3","7166757")</f>
        <v>0</v>
      </c>
      <c r="B2048" t="s">
        <v>828</v>
      </c>
      <c r="C2048" t="s">
        <v>4699</v>
      </c>
      <c r="D2048" t="s">
        <v>19024</v>
      </c>
      <c r="E2048" t="s">
        <v>19835</v>
      </c>
      <c r="F2048" t="s">
        <v>32831</v>
      </c>
      <c r="G2048" t="s">
        <v>32842</v>
      </c>
      <c r="H2048" t="s">
        <v>32848</v>
      </c>
      <c r="I2048" t="s">
        <v>32860</v>
      </c>
      <c r="J2048" t="s">
        <v>34412</v>
      </c>
      <c r="K2048" t="s">
        <v>42732</v>
      </c>
      <c r="M2048" t="s">
        <v>43860</v>
      </c>
      <c r="N2048" t="s">
        <v>47424</v>
      </c>
      <c r="O2048" t="s">
        <v>47425</v>
      </c>
      <c r="P2048">
        <v>0</v>
      </c>
      <c r="Q2048">
        <v>0</v>
      </c>
      <c r="R2048" t="s">
        <v>47429</v>
      </c>
      <c r="S2048" t="s">
        <v>47542</v>
      </c>
      <c r="T2048" t="s">
        <v>49089</v>
      </c>
      <c r="U2048" t="s">
        <v>51210</v>
      </c>
      <c r="W2048" t="s">
        <v>43860</v>
      </c>
      <c r="X2048" t="s">
        <v>47426</v>
      </c>
    </row>
    <row r="2049" spans="1:24">
      <c r="A2049">
        <f>HYPERLINK("https://www.philgeps.gov.ph/GEPSNONPILOT/Tender/SplashBidNoticeAbstractUI.aspx?menuIndex=3&amp;refID=7166756&amp;Result=3","7166756")</f>
        <v>0</v>
      </c>
      <c r="B2049" t="s">
        <v>888</v>
      </c>
      <c r="C2049" t="s">
        <v>5867</v>
      </c>
      <c r="D2049" t="s">
        <v>19067</v>
      </c>
      <c r="E2049" t="s">
        <v>19434</v>
      </c>
      <c r="F2049" t="s">
        <v>32831</v>
      </c>
      <c r="G2049" t="s">
        <v>32840</v>
      </c>
      <c r="H2049" t="s">
        <v>32848</v>
      </c>
      <c r="I2049" t="s">
        <v>9577</v>
      </c>
      <c r="J2049" t="s">
        <v>34413</v>
      </c>
      <c r="K2049" t="s">
        <v>42759</v>
      </c>
      <c r="M2049" t="s">
        <v>43923</v>
      </c>
      <c r="N2049" t="s">
        <v>47424</v>
      </c>
      <c r="O2049" t="s">
        <v>47425</v>
      </c>
      <c r="P2049">
        <v>0</v>
      </c>
      <c r="Q2049">
        <v>0</v>
      </c>
      <c r="R2049" t="s">
        <v>47429</v>
      </c>
      <c r="S2049" t="s">
        <v>47542</v>
      </c>
      <c r="T2049" t="s">
        <v>49100</v>
      </c>
      <c r="U2049" t="s">
        <v>51448</v>
      </c>
      <c r="W2049" t="s">
        <v>43923</v>
      </c>
      <c r="X2049" t="s">
        <v>47426</v>
      </c>
    </row>
    <row r="2050" spans="1:24">
      <c r="A2050">
        <f>HYPERLINK("https://www.philgeps.gov.ph/GEPSNONPILOT/Tender/SplashBidNoticeAbstractUI.aspx?menuIndex=3&amp;refID=7166755&amp;Result=3","7166755")</f>
        <v>0</v>
      </c>
      <c r="B2050" t="s">
        <v>757</v>
      </c>
      <c r="C2050" t="s">
        <v>5868</v>
      </c>
      <c r="D2050" t="s">
        <v>19017</v>
      </c>
      <c r="E2050" t="s">
        <v>20298</v>
      </c>
      <c r="F2050" t="s">
        <v>32832</v>
      </c>
      <c r="G2050" t="s">
        <v>32840</v>
      </c>
      <c r="H2050" t="s">
        <v>32848</v>
      </c>
      <c r="I2050" t="s">
        <v>32860</v>
      </c>
      <c r="J2050" t="s">
        <v>34414</v>
      </c>
      <c r="K2050" t="s">
        <v>42726</v>
      </c>
      <c r="M2050" t="s">
        <v>43781</v>
      </c>
      <c r="N2050" t="s">
        <v>47424</v>
      </c>
      <c r="O2050" t="s">
        <v>47425</v>
      </c>
      <c r="P2050">
        <v>0</v>
      </c>
      <c r="Q2050">
        <v>0</v>
      </c>
      <c r="R2050" t="s">
        <v>47429</v>
      </c>
      <c r="S2050" t="s">
        <v>47542</v>
      </c>
      <c r="T2050" t="s">
        <v>49063</v>
      </c>
      <c r="U2050" t="s">
        <v>51449</v>
      </c>
      <c r="W2050" t="s">
        <v>43781</v>
      </c>
      <c r="X2050" t="s">
        <v>47426</v>
      </c>
    </row>
    <row r="2051" spans="1:24">
      <c r="A2051">
        <f>HYPERLINK("https://www.philgeps.gov.ph/GEPSNONPILOT/Tender/SplashBidNoticeAbstractUI.aspx?menuIndex=3&amp;refID=7166754&amp;Result=3","7166754")</f>
        <v>0</v>
      </c>
      <c r="B2051" t="s">
        <v>943</v>
      </c>
      <c r="C2051" t="s">
        <v>5869</v>
      </c>
      <c r="D2051" t="s">
        <v>19073</v>
      </c>
      <c r="E2051" t="s">
        <v>20971</v>
      </c>
      <c r="F2051" t="s">
        <v>32834</v>
      </c>
      <c r="G2051" t="s">
        <v>32839</v>
      </c>
      <c r="H2051" t="s">
        <v>32848</v>
      </c>
      <c r="I2051" t="s">
        <v>32896</v>
      </c>
      <c r="J2051" t="s">
        <v>33090</v>
      </c>
      <c r="K2051" t="s">
        <v>42727</v>
      </c>
      <c r="M2051" t="s">
        <v>43987</v>
      </c>
      <c r="N2051" t="s">
        <v>47424</v>
      </c>
      <c r="O2051" t="s">
        <v>47425</v>
      </c>
      <c r="P2051">
        <v>0</v>
      </c>
      <c r="Q2051">
        <v>0</v>
      </c>
      <c r="R2051" t="s">
        <v>47429</v>
      </c>
      <c r="S2051" t="s">
        <v>47542</v>
      </c>
      <c r="T2051" t="s">
        <v>49139</v>
      </c>
      <c r="U2051" t="s">
        <v>51450</v>
      </c>
      <c r="W2051" t="s">
        <v>43987</v>
      </c>
      <c r="X2051" t="s">
        <v>47426</v>
      </c>
    </row>
    <row r="2052" spans="1:24">
      <c r="A2052">
        <f>HYPERLINK("https://www.philgeps.gov.ph/GEPSNONPILOT/Tender/SplashBidNoticeAbstractUI.aspx?menuIndex=3&amp;refID=7166752&amp;Result=3","7166752")</f>
        <v>0</v>
      </c>
      <c r="B2052" t="s">
        <v>792</v>
      </c>
      <c r="C2052" t="s">
        <v>5870</v>
      </c>
      <c r="D2052" t="s">
        <v>19100</v>
      </c>
      <c r="E2052" t="s">
        <v>20972</v>
      </c>
      <c r="F2052" t="s">
        <v>32831</v>
      </c>
      <c r="G2052" t="s">
        <v>32840</v>
      </c>
      <c r="H2052" t="s">
        <v>32848</v>
      </c>
      <c r="I2052" t="s">
        <v>32851</v>
      </c>
      <c r="J2052" t="s">
        <v>34415</v>
      </c>
      <c r="K2052" t="s">
        <v>42731</v>
      </c>
      <c r="M2052" t="s">
        <v>43822</v>
      </c>
      <c r="N2052" t="s">
        <v>47424</v>
      </c>
      <c r="O2052" t="s">
        <v>47425</v>
      </c>
      <c r="P2052">
        <v>0</v>
      </c>
      <c r="Q2052">
        <v>0</v>
      </c>
      <c r="R2052" t="s">
        <v>47429</v>
      </c>
      <c r="S2052" t="s">
        <v>47542</v>
      </c>
      <c r="T2052" t="s">
        <v>49174</v>
      </c>
      <c r="U2052" t="s">
        <v>51451</v>
      </c>
      <c r="W2052" t="s">
        <v>43822</v>
      </c>
      <c r="X2052" t="s">
        <v>47426</v>
      </c>
    </row>
    <row r="2053" spans="1:24">
      <c r="A2053">
        <f>HYPERLINK("https://www.philgeps.gov.ph/GEPSNONPILOT/Tender/SplashBidNoticeAbstractUI.aspx?menuIndex=3&amp;refID=7166751&amp;Result=3","7166751")</f>
        <v>0</v>
      </c>
      <c r="B2053" t="s">
        <v>726</v>
      </c>
      <c r="C2053" t="s">
        <v>5871</v>
      </c>
      <c r="E2053" t="s">
        <v>20973</v>
      </c>
      <c r="F2053" t="s">
        <v>32831</v>
      </c>
      <c r="G2053" t="s">
        <v>32839</v>
      </c>
      <c r="H2053" t="s">
        <v>32849</v>
      </c>
      <c r="I2053" t="s">
        <v>4177</v>
      </c>
      <c r="J2053" t="s">
        <v>34416</v>
      </c>
      <c r="K2053" t="s">
        <v>42732</v>
      </c>
      <c r="M2053" t="s">
        <v>43747</v>
      </c>
      <c r="N2053" t="s">
        <v>47424</v>
      </c>
      <c r="O2053" t="s">
        <v>47425</v>
      </c>
      <c r="P2053">
        <v>0</v>
      </c>
      <c r="Q2053">
        <v>0</v>
      </c>
      <c r="R2053" t="s">
        <v>47429</v>
      </c>
      <c r="S2053" t="s">
        <v>47542</v>
      </c>
      <c r="T2053" t="s">
        <v>49158</v>
      </c>
      <c r="U2053" t="s">
        <v>51452</v>
      </c>
      <c r="W2053" t="s">
        <v>43747</v>
      </c>
      <c r="X2053" t="s">
        <v>47426</v>
      </c>
    </row>
    <row r="2054" spans="1:24">
      <c r="A2054">
        <f>HYPERLINK("https://www.philgeps.gov.ph/GEPSNONPILOT/Tender/SplashBidNoticeAbstractUI.aspx?menuIndex=3&amp;refID=7166732&amp;Result=3","7166732")</f>
        <v>0</v>
      </c>
      <c r="B2054" t="s">
        <v>733</v>
      </c>
      <c r="C2054" t="s">
        <v>5872</v>
      </c>
      <c r="D2054" t="s">
        <v>19034</v>
      </c>
      <c r="E2054" t="s">
        <v>20502</v>
      </c>
      <c r="F2054" t="s">
        <v>32831</v>
      </c>
      <c r="G2054" t="s">
        <v>32838</v>
      </c>
      <c r="H2054" t="s">
        <v>32848</v>
      </c>
      <c r="I2054" t="s">
        <v>32940</v>
      </c>
      <c r="J2054" t="s">
        <v>34417</v>
      </c>
      <c r="K2054" t="s">
        <v>42758</v>
      </c>
      <c r="M2054" t="s">
        <v>43755</v>
      </c>
      <c r="N2054" t="s">
        <v>47424</v>
      </c>
      <c r="O2054" t="s">
        <v>47425</v>
      </c>
      <c r="P2054">
        <v>0</v>
      </c>
      <c r="Q2054">
        <v>0</v>
      </c>
      <c r="R2054" t="s">
        <v>47429</v>
      </c>
      <c r="S2054" t="s">
        <v>47542</v>
      </c>
      <c r="T2054" t="s">
        <v>49129</v>
      </c>
      <c r="U2054" t="s">
        <v>51453</v>
      </c>
      <c r="W2054" t="s">
        <v>43755</v>
      </c>
      <c r="X2054" t="s">
        <v>47426</v>
      </c>
    </row>
    <row r="2055" spans="1:24">
      <c r="A2055">
        <f>HYPERLINK("https://www.philgeps.gov.ph/GEPSNONPILOT/Tender/SplashBidNoticeAbstractUI.aspx?menuIndex=3&amp;refID=7166801&amp;Result=3","7166801")</f>
        <v>0</v>
      </c>
      <c r="B2055" t="s">
        <v>944</v>
      </c>
      <c r="C2055" t="s">
        <v>5873</v>
      </c>
      <c r="D2055" t="s">
        <v>19080</v>
      </c>
      <c r="E2055" t="s">
        <v>20974</v>
      </c>
      <c r="F2055" t="s">
        <v>32831</v>
      </c>
      <c r="G2055" t="s">
        <v>32839</v>
      </c>
      <c r="H2055" t="s">
        <v>32848</v>
      </c>
      <c r="I2055" t="s">
        <v>11484</v>
      </c>
      <c r="J2055" t="s">
        <v>33279</v>
      </c>
      <c r="K2055" t="s">
        <v>42726</v>
      </c>
      <c r="M2055" t="s">
        <v>43988</v>
      </c>
      <c r="N2055" t="s">
        <v>47424</v>
      </c>
      <c r="O2055" t="s">
        <v>47425</v>
      </c>
      <c r="P2055">
        <v>0</v>
      </c>
      <c r="Q2055">
        <v>0</v>
      </c>
      <c r="R2055" t="s">
        <v>47429</v>
      </c>
      <c r="S2055" t="s">
        <v>47542</v>
      </c>
      <c r="T2055" t="s">
        <v>49059</v>
      </c>
      <c r="U2055" t="s">
        <v>51454</v>
      </c>
      <c r="V2055" t="s">
        <v>62847</v>
      </c>
      <c r="W2055" t="s">
        <v>43988</v>
      </c>
      <c r="X2055" t="s">
        <v>47426</v>
      </c>
    </row>
    <row r="2056" spans="1:24">
      <c r="A2056">
        <f>HYPERLINK("https://www.philgeps.gov.ph/GEPSNONPILOT/Tender/SplashBidNoticeAbstractUI.aspx?menuIndex=3&amp;refID=7166730&amp;Result=3","7166730")</f>
        <v>0</v>
      </c>
      <c r="B2056" t="s">
        <v>743</v>
      </c>
      <c r="C2056" t="s">
        <v>5874</v>
      </c>
      <c r="D2056" t="s">
        <v>19054</v>
      </c>
      <c r="E2056" t="s">
        <v>20975</v>
      </c>
      <c r="F2056" t="s">
        <v>32831</v>
      </c>
      <c r="G2056" t="s">
        <v>32839</v>
      </c>
      <c r="H2056" t="s">
        <v>32848</v>
      </c>
      <c r="I2056" t="s">
        <v>7416</v>
      </c>
      <c r="J2056" t="s">
        <v>34418</v>
      </c>
      <c r="K2056" t="s">
        <v>42726</v>
      </c>
      <c r="M2056" t="s">
        <v>43766</v>
      </c>
      <c r="N2056" t="s">
        <v>47424</v>
      </c>
      <c r="O2056" t="s">
        <v>47425</v>
      </c>
      <c r="P2056">
        <v>0</v>
      </c>
      <c r="Q2056">
        <v>0</v>
      </c>
      <c r="R2056" t="s">
        <v>47429</v>
      </c>
      <c r="S2056" t="s">
        <v>47542</v>
      </c>
      <c r="T2056" t="s">
        <v>49192</v>
      </c>
      <c r="U2056" t="s">
        <v>51455</v>
      </c>
      <c r="V2056" t="s">
        <v>62796</v>
      </c>
      <c r="W2056" t="s">
        <v>43766</v>
      </c>
      <c r="X2056" t="s">
        <v>47426</v>
      </c>
    </row>
    <row r="2057" spans="1:24">
      <c r="A2057">
        <f>HYPERLINK("https://www.philgeps.gov.ph/GEPSNONPILOT/Tender/SplashBidNoticeAbstractUI.aspx?menuIndex=3&amp;refID=7166753&amp;Result=3","7166753")</f>
        <v>0</v>
      </c>
      <c r="B2057" t="s">
        <v>725</v>
      </c>
      <c r="C2057" t="s">
        <v>5875</v>
      </c>
      <c r="D2057" t="s">
        <v>19052</v>
      </c>
      <c r="E2057" t="s">
        <v>20976</v>
      </c>
      <c r="F2057" t="s">
        <v>32831</v>
      </c>
      <c r="G2057" t="s">
        <v>32839</v>
      </c>
      <c r="H2057" t="s">
        <v>32849</v>
      </c>
      <c r="I2057" t="s">
        <v>4177</v>
      </c>
      <c r="J2057" t="s">
        <v>34419</v>
      </c>
      <c r="K2057" t="s">
        <v>42729</v>
      </c>
      <c r="M2057" t="s">
        <v>43746</v>
      </c>
      <c r="N2057" t="s">
        <v>47424</v>
      </c>
      <c r="O2057" t="s">
        <v>47425</v>
      </c>
      <c r="P2057">
        <v>0</v>
      </c>
      <c r="Q2057">
        <v>0</v>
      </c>
      <c r="R2057" t="s">
        <v>47429</v>
      </c>
      <c r="S2057" t="s">
        <v>47542</v>
      </c>
      <c r="T2057" t="s">
        <v>49078</v>
      </c>
      <c r="U2057" t="s">
        <v>51456</v>
      </c>
      <c r="W2057" t="s">
        <v>43746</v>
      </c>
      <c r="X2057" t="s">
        <v>47426</v>
      </c>
    </row>
    <row r="2058" spans="1:24">
      <c r="A2058">
        <f>HYPERLINK("https://www.philgeps.gov.ph/GEPSNONPILOT/Tender/SplashBidNoticeAbstractUI.aspx?menuIndex=3&amp;refID=7167278&amp;Result=3","7167278")</f>
        <v>0</v>
      </c>
      <c r="B2058" t="s">
        <v>889</v>
      </c>
      <c r="C2058" t="s">
        <v>5876</v>
      </c>
      <c r="D2058" t="s">
        <v>19047</v>
      </c>
      <c r="E2058" t="s">
        <v>20977</v>
      </c>
      <c r="F2058" t="s">
        <v>32831</v>
      </c>
      <c r="G2058" t="s">
        <v>32838</v>
      </c>
      <c r="H2058" t="s">
        <v>32848</v>
      </c>
      <c r="I2058" t="s">
        <v>4438</v>
      </c>
      <c r="J2058" t="s">
        <v>34420</v>
      </c>
      <c r="K2058" t="s">
        <v>42726</v>
      </c>
      <c r="M2058" t="s">
        <v>43924</v>
      </c>
      <c r="N2058" t="s">
        <v>47424</v>
      </c>
      <c r="O2058" t="s">
        <v>47425</v>
      </c>
      <c r="P2058">
        <v>0</v>
      </c>
      <c r="Q2058">
        <v>0</v>
      </c>
      <c r="R2058" t="s">
        <v>47429</v>
      </c>
      <c r="S2058" t="s">
        <v>47542</v>
      </c>
      <c r="T2058" t="s">
        <v>49129</v>
      </c>
      <c r="U2058" t="s">
        <v>51457</v>
      </c>
      <c r="V2058" t="s">
        <v>62831</v>
      </c>
      <c r="W2058" t="s">
        <v>43924</v>
      </c>
      <c r="X2058" t="s">
        <v>47426</v>
      </c>
    </row>
    <row r="2059" spans="1:24">
      <c r="A2059">
        <f>HYPERLINK("https://www.philgeps.gov.ph/GEPSNONPILOT/Tender/SplashBidNoticeAbstractUI.aspx?menuIndex=3&amp;refID=7166672&amp;Result=3","7166672")</f>
        <v>0</v>
      </c>
      <c r="B2059" t="s">
        <v>713</v>
      </c>
      <c r="C2059" t="s">
        <v>5877</v>
      </c>
      <c r="D2059" t="s">
        <v>19023</v>
      </c>
      <c r="E2059" t="s">
        <v>20978</v>
      </c>
      <c r="F2059" t="s">
        <v>32831</v>
      </c>
      <c r="G2059" t="s">
        <v>32839</v>
      </c>
      <c r="H2059" t="s">
        <v>32849</v>
      </c>
      <c r="I2059" t="s">
        <v>4177</v>
      </c>
      <c r="J2059" t="s">
        <v>33257</v>
      </c>
      <c r="K2059" t="s">
        <v>42730</v>
      </c>
      <c r="M2059" t="s">
        <v>43733</v>
      </c>
      <c r="N2059" t="s">
        <v>47424</v>
      </c>
      <c r="O2059" t="s">
        <v>47425</v>
      </c>
      <c r="P2059">
        <v>0</v>
      </c>
      <c r="Q2059">
        <v>0</v>
      </c>
      <c r="R2059" t="s">
        <v>47429</v>
      </c>
      <c r="S2059" t="s">
        <v>47542</v>
      </c>
      <c r="T2059" t="s">
        <v>49186</v>
      </c>
      <c r="U2059" t="s">
        <v>51238</v>
      </c>
      <c r="W2059" t="s">
        <v>43733</v>
      </c>
      <c r="X2059" t="s">
        <v>47426</v>
      </c>
    </row>
    <row r="2060" spans="1:24">
      <c r="A2060">
        <f>HYPERLINK("https://www.philgeps.gov.ph/GEPSNONPILOT/Tender/SplashBidNoticeAbstractUI.aspx?menuIndex=3&amp;refID=7166655&amp;Result=3","7166655")</f>
        <v>0</v>
      </c>
      <c r="B2060" t="s">
        <v>945</v>
      </c>
      <c r="C2060" t="s">
        <v>5878</v>
      </c>
      <c r="D2060" t="s">
        <v>19043</v>
      </c>
      <c r="E2060" t="s">
        <v>20979</v>
      </c>
      <c r="F2060" t="s">
        <v>32831</v>
      </c>
      <c r="G2060" t="s">
        <v>32838</v>
      </c>
      <c r="H2060" t="s">
        <v>32848</v>
      </c>
      <c r="I2060" t="s">
        <v>7751</v>
      </c>
      <c r="J2060" t="s">
        <v>33007</v>
      </c>
      <c r="K2060" t="s">
        <v>42804</v>
      </c>
      <c r="M2060" t="s">
        <v>43989</v>
      </c>
      <c r="N2060" t="s">
        <v>47424</v>
      </c>
      <c r="O2060" t="s">
        <v>47425</v>
      </c>
      <c r="P2060">
        <v>0</v>
      </c>
      <c r="Q2060">
        <v>0</v>
      </c>
      <c r="R2060" t="s">
        <v>47429</v>
      </c>
      <c r="S2060" t="s">
        <v>47542</v>
      </c>
      <c r="T2060" t="s">
        <v>49129</v>
      </c>
      <c r="U2060" t="s">
        <v>51458</v>
      </c>
      <c r="W2060" t="s">
        <v>43989</v>
      </c>
      <c r="X2060" t="s">
        <v>47426</v>
      </c>
    </row>
    <row r="2061" spans="1:24">
      <c r="A2061">
        <f>HYPERLINK("https://www.philgeps.gov.ph/GEPSNONPILOT/Tender/SplashBidNoticeAbstractUI.aspx?menuIndex=3&amp;refID=7167287&amp;Result=3","7167287")</f>
        <v>0</v>
      </c>
      <c r="B2061" t="s">
        <v>847</v>
      </c>
      <c r="C2061" t="s">
        <v>5879</v>
      </c>
      <c r="D2061" t="s">
        <v>19036</v>
      </c>
      <c r="E2061" t="s">
        <v>20980</v>
      </c>
      <c r="F2061" t="s">
        <v>32831</v>
      </c>
      <c r="G2061" t="s">
        <v>32838</v>
      </c>
      <c r="H2061" t="s">
        <v>32848</v>
      </c>
      <c r="I2061" t="s">
        <v>32902</v>
      </c>
      <c r="J2061" t="s">
        <v>34421</v>
      </c>
      <c r="K2061" t="s">
        <v>42730</v>
      </c>
      <c r="M2061" t="s">
        <v>43880</v>
      </c>
      <c r="N2061" t="s">
        <v>47424</v>
      </c>
      <c r="O2061" t="s">
        <v>47425</v>
      </c>
      <c r="P2061">
        <v>0</v>
      </c>
      <c r="Q2061">
        <v>0</v>
      </c>
      <c r="R2061" t="s">
        <v>47429</v>
      </c>
      <c r="S2061" t="s">
        <v>47542</v>
      </c>
      <c r="T2061" t="s">
        <v>49210</v>
      </c>
      <c r="U2061" t="s">
        <v>51459</v>
      </c>
      <c r="W2061" t="s">
        <v>43880</v>
      </c>
      <c r="X2061" t="s">
        <v>47426</v>
      </c>
    </row>
    <row r="2062" spans="1:24">
      <c r="A2062">
        <f>HYPERLINK("https://www.philgeps.gov.ph/GEPSNONPILOT/Tender/SplashBidNoticeAbstractUI.aspx?menuIndex=3&amp;refID=7166731&amp;Result=3","7166731")</f>
        <v>0</v>
      </c>
      <c r="B2062" t="s">
        <v>533</v>
      </c>
      <c r="C2062" t="s">
        <v>5542</v>
      </c>
      <c r="D2062" t="s">
        <v>19054</v>
      </c>
      <c r="E2062" t="s">
        <v>20981</v>
      </c>
      <c r="F2062" t="s">
        <v>32831</v>
      </c>
      <c r="G2062" t="s">
        <v>32839</v>
      </c>
      <c r="H2062" t="s">
        <v>32848</v>
      </c>
      <c r="I2062" t="s">
        <v>10805</v>
      </c>
      <c r="J2062" t="s">
        <v>34188</v>
      </c>
      <c r="K2062" t="s">
        <v>42731</v>
      </c>
      <c r="M2062" t="s">
        <v>43539</v>
      </c>
      <c r="N2062" t="s">
        <v>47424</v>
      </c>
      <c r="O2062" t="s">
        <v>47425</v>
      </c>
      <c r="P2062">
        <v>0</v>
      </c>
      <c r="Q2062">
        <v>0</v>
      </c>
      <c r="R2062" t="s">
        <v>47429</v>
      </c>
      <c r="S2062" t="s">
        <v>47542</v>
      </c>
      <c r="T2062" t="s">
        <v>49172</v>
      </c>
      <c r="U2062" t="s">
        <v>51175</v>
      </c>
      <c r="V2062" t="s">
        <v>62815</v>
      </c>
      <c r="W2062" t="s">
        <v>43539</v>
      </c>
      <c r="X2062" t="s">
        <v>47426</v>
      </c>
    </row>
    <row r="2063" spans="1:24">
      <c r="A2063">
        <f>HYPERLINK("https://www.philgeps.gov.ph/GEPSNONPILOT/Tender/SplashBidNoticeAbstractUI.aspx?menuIndex=3&amp;refID=7166653&amp;Result=3","7166653")</f>
        <v>0</v>
      </c>
      <c r="B2063" t="s">
        <v>733</v>
      </c>
      <c r="C2063" t="s">
        <v>5880</v>
      </c>
      <c r="D2063" t="s">
        <v>19034</v>
      </c>
      <c r="E2063" t="s">
        <v>20502</v>
      </c>
      <c r="F2063" t="s">
        <v>32831</v>
      </c>
      <c r="G2063" t="s">
        <v>32838</v>
      </c>
      <c r="H2063" t="s">
        <v>32848</v>
      </c>
      <c r="I2063" t="s">
        <v>32934</v>
      </c>
      <c r="J2063" t="s">
        <v>34422</v>
      </c>
      <c r="K2063" t="s">
        <v>42758</v>
      </c>
      <c r="M2063" t="s">
        <v>43755</v>
      </c>
      <c r="N2063" t="s">
        <v>47424</v>
      </c>
      <c r="O2063" t="s">
        <v>47425</v>
      </c>
      <c r="P2063">
        <v>0</v>
      </c>
      <c r="Q2063">
        <v>0</v>
      </c>
      <c r="R2063" t="s">
        <v>47429</v>
      </c>
      <c r="S2063" t="s">
        <v>47542</v>
      </c>
      <c r="T2063" t="s">
        <v>49129</v>
      </c>
      <c r="U2063" t="s">
        <v>51460</v>
      </c>
      <c r="W2063" t="s">
        <v>43755</v>
      </c>
      <c r="X2063" t="s">
        <v>47426</v>
      </c>
    </row>
    <row r="2064" spans="1:24">
      <c r="A2064">
        <f>HYPERLINK("https://www.philgeps.gov.ph/GEPSNONPILOT/Tender/SplashBidNoticeAbstractUI.aspx?menuIndex=3&amp;refID=7166728&amp;Result=3","7166728")</f>
        <v>0</v>
      </c>
      <c r="B2064" t="s">
        <v>33</v>
      </c>
      <c r="C2064" t="s">
        <v>5881</v>
      </c>
      <c r="D2064" t="s">
        <v>19024</v>
      </c>
      <c r="E2064" t="s">
        <v>20982</v>
      </c>
      <c r="F2064" t="s">
        <v>32831</v>
      </c>
      <c r="G2064" t="s">
        <v>32842</v>
      </c>
      <c r="H2064" t="s">
        <v>32848</v>
      </c>
      <c r="I2064" t="s">
        <v>4776</v>
      </c>
      <c r="J2064" t="s">
        <v>34423</v>
      </c>
      <c r="K2064" t="s">
        <v>42745</v>
      </c>
      <c r="M2064" t="s">
        <v>43030</v>
      </c>
      <c r="N2064" t="s">
        <v>47424</v>
      </c>
      <c r="O2064" t="s">
        <v>47425</v>
      </c>
      <c r="P2064">
        <v>0</v>
      </c>
      <c r="Q2064">
        <v>0</v>
      </c>
      <c r="R2064" t="s">
        <v>47429</v>
      </c>
      <c r="S2064" t="s">
        <v>47542</v>
      </c>
      <c r="T2064" t="s">
        <v>49129</v>
      </c>
      <c r="U2064" t="s">
        <v>51461</v>
      </c>
      <c r="W2064" t="s">
        <v>43030</v>
      </c>
      <c r="X2064" t="s">
        <v>47426</v>
      </c>
    </row>
    <row r="2065" spans="1:24">
      <c r="A2065">
        <f>HYPERLINK("https://www.philgeps.gov.ph/GEPSNONPILOT/Tender/SplashBidNoticeAbstractUI.aspx?menuIndex=3&amp;refID=7166631&amp;Result=3","7166631")</f>
        <v>0</v>
      </c>
      <c r="B2065" t="s">
        <v>845</v>
      </c>
      <c r="C2065" t="s">
        <v>5882</v>
      </c>
      <c r="D2065" t="s">
        <v>19038</v>
      </c>
      <c r="E2065" t="s">
        <v>20983</v>
      </c>
      <c r="F2065" t="s">
        <v>32831</v>
      </c>
      <c r="G2065" t="s">
        <v>32838</v>
      </c>
      <c r="H2065" t="s">
        <v>32848</v>
      </c>
      <c r="I2065" t="s">
        <v>4776</v>
      </c>
      <c r="J2065" t="s">
        <v>33041</v>
      </c>
      <c r="K2065" t="s">
        <v>42730</v>
      </c>
      <c r="M2065" t="s">
        <v>43878</v>
      </c>
      <c r="N2065" t="s">
        <v>47424</v>
      </c>
      <c r="O2065" t="s">
        <v>47425</v>
      </c>
      <c r="P2065">
        <v>0</v>
      </c>
      <c r="Q2065">
        <v>1</v>
      </c>
      <c r="R2065" t="s">
        <v>47429</v>
      </c>
      <c r="S2065" t="s">
        <v>47542</v>
      </c>
      <c r="T2065" t="s">
        <v>49064</v>
      </c>
      <c r="U2065" t="s">
        <v>51462</v>
      </c>
      <c r="W2065" t="s">
        <v>43878</v>
      </c>
      <c r="X2065" t="s">
        <v>47426</v>
      </c>
    </row>
    <row r="2066" spans="1:24">
      <c r="A2066">
        <f>HYPERLINK("https://www.philgeps.gov.ph/GEPSNONPILOT/Tender/SplashBidNoticeAbstractUI.aspx?menuIndex=3&amp;refID=7166628&amp;Result=3","7166628")</f>
        <v>0</v>
      </c>
      <c r="B2066" t="s">
        <v>946</v>
      </c>
      <c r="C2066" t="s">
        <v>5883</v>
      </c>
      <c r="D2066" t="s">
        <v>19021</v>
      </c>
      <c r="E2066" t="s">
        <v>20984</v>
      </c>
      <c r="F2066" t="s">
        <v>32831</v>
      </c>
      <c r="G2066" t="s">
        <v>32838</v>
      </c>
      <c r="H2066" t="s">
        <v>32848</v>
      </c>
      <c r="I2066" t="s">
        <v>32864</v>
      </c>
      <c r="J2066" t="s">
        <v>33007</v>
      </c>
      <c r="K2066" t="s">
        <v>42726</v>
      </c>
      <c r="M2066" t="s">
        <v>43990</v>
      </c>
      <c r="N2066" t="s">
        <v>47424</v>
      </c>
      <c r="O2066" t="s">
        <v>47425</v>
      </c>
      <c r="P2066">
        <v>0</v>
      </c>
      <c r="Q2066">
        <v>0</v>
      </c>
      <c r="R2066" t="s">
        <v>47429</v>
      </c>
      <c r="S2066" t="s">
        <v>47542</v>
      </c>
      <c r="T2066" t="s">
        <v>49091</v>
      </c>
      <c r="U2066" t="s">
        <v>51463</v>
      </c>
      <c r="W2066" t="s">
        <v>43990</v>
      </c>
      <c r="X2066" t="s">
        <v>47426</v>
      </c>
    </row>
    <row r="2067" spans="1:24">
      <c r="A2067">
        <f>HYPERLINK("https://www.philgeps.gov.ph/GEPSNONPILOT/Tender/SplashBidNoticeAbstractUI.aspx?menuIndex=3&amp;refID=7166656&amp;Result=3","7166656")</f>
        <v>0</v>
      </c>
      <c r="B2067" t="s">
        <v>898</v>
      </c>
      <c r="C2067" t="s">
        <v>5884</v>
      </c>
      <c r="D2067" t="s">
        <v>19047</v>
      </c>
      <c r="E2067" t="s">
        <v>19501</v>
      </c>
      <c r="F2067" t="s">
        <v>32831</v>
      </c>
      <c r="G2067" t="s">
        <v>32840</v>
      </c>
      <c r="H2067" t="s">
        <v>32848</v>
      </c>
      <c r="I2067" t="s">
        <v>32858</v>
      </c>
      <c r="J2067" t="s">
        <v>33086</v>
      </c>
      <c r="K2067" t="s">
        <v>42759</v>
      </c>
      <c r="M2067" t="s">
        <v>43934</v>
      </c>
      <c r="N2067" t="s">
        <v>47424</v>
      </c>
      <c r="O2067" t="s">
        <v>47425</v>
      </c>
      <c r="P2067">
        <v>0</v>
      </c>
      <c r="Q2067">
        <v>0</v>
      </c>
      <c r="R2067" t="s">
        <v>47429</v>
      </c>
      <c r="S2067" t="s">
        <v>47542</v>
      </c>
      <c r="T2067" t="s">
        <v>49114</v>
      </c>
      <c r="U2067" t="s">
        <v>51464</v>
      </c>
      <c r="W2067" t="s">
        <v>43934</v>
      </c>
      <c r="X2067" t="s">
        <v>47426</v>
      </c>
    </row>
    <row r="2068" spans="1:24">
      <c r="A2068">
        <f>HYPERLINK("https://www.philgeps.gov.ph/GEPSNONPILOT/Tender/SplashBidNoticeAbstractUI.aspx?menuIndex=3&amp;refID=7166627&amp;Result=3","7166627")</f>
        <v>0</v>
      </c>
      <c r="B2068" t="s">
        <v>711</v>
      </c>
      <c r="C2068" t="s">
        <v>5885</v>
      </c>
      <c r="D2068" t="s">
        <v>19060</v>
      </c>
      <c r="E2068" t="s">
        <v>20985</v>
      </c>
      <c r="F2068" t="s">
        <v>32831</v>
      </c>
      <c r="G2068" t="s">
        <v>32839</v>
      </c>
      <c r="H2068" t="s">
        <v>32849</v>
      </c>
      <c r="I2068" t="s">
        <v>4177</v>
      </c>
      <c r="J2068" t="s">
        <v>32978</v>
      </c>
      <c r="K2068" t="s">
        <v>42787</v>
      </c>
      <c r="M2068" t="s">
        <v>43731</v>
      </c>
      <c r="N2068" t="s">
        <v>47424</v>
      </c>
      <c r="O2068" t="s">
        <v>47425</v>
      </c>
      <c r="P2068">
        <v>0</v>
      </c>
      <c r="Q2068">
        <v>0</v>
      </c>
      <c r="R2068" t="s">
        <v>47429</v>
      </c>
      <c r="S2068" t="s">
        <v>47542</v>
      </c>
      <c r="T2068" t="s">
        <v>49063</v>
      </c>
      <c r="U2068" t="s">
        <v>51465</v>
      </c>
      <c r="W2068" t="s">
        <v>43731</v>
      </c>
      <c r="X2068" t="s">
        <v>47426</v>
      </c>
    </row>
    <row r="2069" spans="1:24">
      <c r="A2069">
        <f>HYPERLINK("https://www.philgeps.gov.ph/GEPSNONPILOT/Tender/SplashBidNoticeAbstractUI.aspx?menuIndex=3&amp;refID=7166652&amp;Result=3","7166652")</f>
        <v>0</v>
      </c>
      <c r="B2069" t="s">
        <v>598</v>
      </c>
      <c r="C2069" t="s">
        <v>5886</v>
      </c>
      <c r="E2069" t="s">
        <v>20986</v>
      </c>
      <c r="F2069" t="s">
        <v>32831</v>
      </c>
      <c r="G2069" t="s">
        <v>32838</v>
      </c>
      <c r="H2069" t="s">
        <v>32848</v>
      </c>
      <c r="I2069" t="s">
        <v>32852</v>
      </c>
      <c r="J2069" t="s">
        <v>34424</v>
      </c>
      <c r="K2069" t="s">
        <v>42732</v>
      </c>
      <c r="M2069" t="s">
        <v>43991</v>
      </c>
      <c r="N2069" t="s">
        <v>47424</v>
      </c>
      <c r="O2069" t="s">
        <v>47425</v>
      </c>
      <c r="P2069">
        <v>0</v>
      </c>
      <c r="Q2069">
        <v>0</v>
      </c>
      <c r="R2069" t="s">
        <v>47429</v>
      </c>
      <c r="S2069" t="s">
        <v>47542</v>
      </c>
      <c r="T2069" t="s">
        <v>49073</v>
      </c>
      <c r="U2069" t="s">
        <v>50909</v>
      </c>
      <c r="W2069" t="s">
        <v>43991</v>
      </c>
      <c r="X2069" t="s">
        <v>47426</v>
      </c>
    </row>
    <row r="2070" spans="1:24">
      <c r="A2070">
        <f>HYPERLINK("https://www.philgeps.gov.ph/GEPSNONPILOT/Tender/SplashBidNoticeAbstractUI.aspx?menuIndex=3&amp;refID=7166624&amp;Result=3","7166624")</f>
        <v>0</v>
      </c>
      <c r="B2070" t="s">
        <v>802</v>
      </c>
      <c r="C2070" t="s">
        <v>5530</v>
      </c>
      <c r="D2070" t="s">
        <v>19022</v>
      </c>
      <c r="E2070" t="s">
        <v>19144</v>
      </c>
      <c r="F2070" t="s">
        <v>32831</v>
      </c>
      <c r="G2070" t="s">
        <v>32838</v>
      </c>
      <c r="H2070" t="s">
        <v>32848</v>
      </c>
      <c r="I2070" t="s">
        <v>32864</v>
      </c>
      <c r="J2070" t="s">
        <v>34425</v>
      </c>
      <c r="K2070" t="s">
        <v>42758</v>
      </c>
      <c r="M2070" t="s">
        <v>43833</v>
      </c>
      <c r="N2070" t="s">
        <v>47424</v>
      </c>
      <c r="O2070" t="s">
        <v>47425</v>
      </c>
      <c r="P2070">
        <v>0</v>
      </c>
      <c r="Q2070">
        <v>0</v>
      </c>
      <c r="R2070" t="s">
        <v>47429</v>
      </c>
      <c r="S2070" t="s">
        <v>47542</v>
      </c>
      <c r="T2070" t="s">
        <v>49104</v>
      </c>
      <c r="U2070" t="s">
        <v>51466</v>
      </c>
      <c r="W2070" t="s">
        <v>43833</v>
      </c>
      <c r="X2070" t="s">
        <v>47426</v>
      </c>
    </row>
    <row r="2071" spans="1:24">
      <c r="A2071">
        <f>HYPERLINK("https://www.philgeps.gov.ph/GEPSNONPILOT/Tender/SplashBidNoticeAbstractUI.aspx?menuIndex=3&amp;refID=7166630&amp;Result=3","7166630")</f>
        <v>0</v>
      </c>
      <c r="B2071" t="s">
        <v>779</v>
      </c>
      <c r="C2071" t="s">
        <v>5887</v>
      </c>
      <c r="D2071" t="s">
        <v>19037</v>
      </c>
      <c r="E2071" t="s">
        <v>20987</v>
      </c>
      <c r="F2071" t="s">
        <v>32831</v>
      </c>
      <c r="G2071" t="s">
        <v>32839</v>
      </c>
      <c r="H2071" t="s">
        <v>32849</v>
      </c>
      <c r="I2071" t="s">
        <v>4177</v>
      </c>
      <c r="J2071" t="s">
        <v>32978</v>
      </c>
      <c r="K2071" t="s">
        <v>42730</v>
      </c>
      <c r="M2071" t="s">
        <v>43808</v>
      </c>
      <c r="N2071" t="s">
        <v>47424</v>
      </c>
      <c r="O2071" t="s">
        <v>47425</v>
      </c>
      <c r="P2071">
        <v>0</v>
      </c>
      <c r="Q2071">
        <v>0</v>
      </c>
      <c r="R2071" t="s">
        <v>47429</v>
      </c>
      <c r="S2071" t="s">
        <v>47542</v>
      </c>
      <c r="T2071" t="s">
        <v>49274</v>
      </c>
      <c r="U2071" t="s">
        <v>51467</v>
      </c>
      <c r="W2071" t="s">
        <v>43808</v>
      </c>
      <c r="X2071" t="s">
        <v>47426</v>
      </c>
    </row>
    <row r="2072" spans="1:24">
      <c r="A2072">
        <f>HYPERLINK("https://www.philgeps.gov.ph/GEPSNONPILOT/Tender/SplashBidNoticeAbstractUI.aspx?menuIndex=3&amp;refID=7166778&amp;Result=3","7166778")</f>
        <v>0</v>
      </c>
      <c r="B2072" t="s">
        <v>870</v>
      </c>
      <c r="C2072" t="s">
        <v>5888</v>
      </c>
      <c r="D2072" t="s">
        <v>19062</v>
      </c>
      <c r="E2072" t="s">
        <v>20988</v>
      </c>
      <c r="F2072" t="s">
        <v>32831</v>
      </c>
      <c r="G2072" t="s">
        <v>32838</v>
      </c>
      <c r="H2072" t="s">
        <v>32849</v>
      </c>
      <c r="I2072" t="s">
        <v>4177</v>
      </c>
      <c r="J2072" t="s">
        <v>34426</v>
      </c>
      <c r="K2072" t="s">
        <v>42730</v>
      </c>
      <c r="M2072" t="s">
        <v>43904</v>
      </c>
      <c r="N2072" t="s">
        <v>47424</v>
      </c>
      <c r="O2072" t="s">
        <v>47425</v>
      </c>
      <c r="P2072">
        <v>0</v>
      </c>
      <c r="Q2072">
        <v>0</v>
      </c>
      <c r="R2072" t="s">
        <v>47429</v>
      </c>
      <c r="S2072" t="s">
        <v>47542</v>
      </c>
      <c r="T2072" t="s">
        <v>49251</v>
      </c>
      <c r="U2072" t="s">
        <v>51468</v>
      </c>
      <c r="W2072" t="s">
        <v>43904</v>
      </c>
      <c r="X2072" t="s">
        <v>47426</v>
      </c>
    </row>
    <row r="2073" spans="1:24">
      <c r="A2073">
        <f>HYPERLINK("https://www.philgeps.gov.ph/GEPSNONPILOT/Tender/SplashBidNoticeAbstractUI.aspx?menuIndex=3&amp;refID=7166629&amp;Result=3","7166629")</f>
        <v>0</v>
      </c>
      <c r="B2073" t="s">
        <v>895</v>
      </c>
      <c r="C2073" t="s">
        <v>5889</v>
      </c>
      <c r="D2073" t="s">
        <v>19036</v>
      </c>
      <c r="E2073" t="s">
        <v>20989</v>
      </c>
      <c r="F2073" t="s">
        <v>32831</v>
      </c>
      <c r="G2073" t="s">
        <v>32839</v>
      </c>
      <c r="H2073" t="s">
        <v>32848</v>
      </c>
      <c r="I2073" t="s">
        <v>4558</v>
      </c>
      <c r="J2073" t="s">
        <v>34427</v>
      </c>
      <c r="K2073" t="s">
        <v>42727</v>
      </c>
      <c r="M2073" t="s">
        <v>43930</v>
      </c>
      <c r="N2073" t="s">
        <v>47424</v>
      </c>
      <c r="O2073" t="s">
        <v>47425</v>
      </c>
      <c r="P2073">
        <v>0</v>
      </c>
      <c r="Q2073">
        <v>0</v>
      </c>
      <c r="R2073" t="s">
        <v>47429</v>
      </c>
      <c r="S2073" t="s">
        <v>47542</v>
      </c>
      <c r="T2073" t="s">
        <v>49292</v>
      </c>
      <c r="U2073" t="s">
        <v>51469</v>
      </c>
      <c r="V2073" t="s">
        <v>62833</v>
      </c>
      <c r="W2073" t="s">
        <v>43930</v>
      </c>
      <c r="X2073" t="s">
        <v>47426</v>
      </c>
    </row>
    <row r="2074" spans="1:24">
      <c r="A2074">
        <f>HYPERLINK("https://www.philgeps.gov.ph/GEPSNONPILOT/Tender/SplashBidNoticeAbstractUI.aspx?menuIndex=3&amp;refID=7166651&amp;Result=3","7166651")</f>
        <v>0</v>
      </c>
      <c r="B2074" t="s">
        <v>749</v>
      </c>
      <c r="C2074" t="s">
        <v>5890</v>
      </c>
      <c r="D2074" t="s">
        <v>19046</v>
      </c>
      <c r="E2074" t="s">
        <v>20990</v>
      </c>
      <c r="F2074" t="s">
        <v>32831</v>
      </c>
      <c r="G2074" t="s">
        <v>32838</v>
      </c>
      <c r="H2074" t="s">
        <v>32848</v>
      </c>
      <c r="I2074" t="s">
        <v>7416</v>
      </c>
      <c r="J2074" t="s">
        <v>33086</v>
      </c>
      <c r="K2074" t="s">
        <v>42758</v>
      </c>
      <c r="M2074" t="s">
        <v>43772</v>
      </c>
      <c r="N2074" t="s">
        <v>47424</v>
      </c>
      <c r="O2074" t="s">
        <v>47425</v>
      </c>
      <c r="P2074">
        <v>0</v>
      </c>
      <c r="Q2074">
        <v>0</v>
      </c>
      <c r="R2074" t="s">
        <v>47429</v>
      </c>
      <c r="S2074" t="s">
        <v>47542</v>
      </c>
      <c r="T2074" t="s">
        <v>49129</v>
      </c>
      <c r="U2074" t="s">
        <v>51470</v>
      </c>
      <c r="W2074" t="s">
        <v>43772</v>
      </c>
      <c r="X2074" t="s">
        <v>47426</v>
      </c>
    </row>
    <row r="2075" spans="1:24">
      <c r="A2075">
        <f>HYPERLINK("https://www.philgeps.gov.ph/GEPSNONPILOT/Tender/SplashBidNoticeAbstractUI.aspx?menuIndex=3&amp;refID=7167319&amp;Result=3","7167319")</f>
        <v>0</v>
      </c>
      <c r="B2075" t="s">
        <v>834</v>
      </c>
      <c r="C2075" t="s">
        <v>5891</v>
      </c>
      <c r="D2075" t="s">
        <v>19046</v>
      </c>
      <c r="E2075" t="s">
        <v>20991</v>
      </c>
      <c r="F2075" t="s">
        <v>32831</v>
      </c>
      <c r="G2075" t="s">
        <v>32839</v>
      </c>
      <c r="H2075" t="s">
        <v>32848</v>
      </c>
      <c r="I2075" t="s">
        <v>10805</v>
      </c>
      <c r="J2075" t="s">
        <v>34428</v>
      </c>
      <c r="K2075" t="s">
        <v>42732</v>
      </c>
      <c r="M2075" t="s">
        <v>43983</v>
      </c>
      <c r="N2075" t="s">
        <v>47424</v>
      </c>
      <c r="O2075" t="s">
        <v>47425</v>
      </c>
      <c r="P2075">
        <v>0</v>
      </c>
      <c r="Q2075">
        <v>0</v>
      </c>
      <c r="R2075" t="s">
        <v>47429</v>
      </c>
      <c r="S2075" t="s">
        <v>47542</v>
      </c>
      <c r="T2075" t="s">
        <v>49078</v>
      </c>
      <c r="U2075" t="s">
        <v>51434</v>
      </c>
      <c r="W2075" t="s">
        <v>43983</v>
      </c>
      <c r="X2075" t="s">
        <v>47426</v>
      </c>
    </row>
    <row r="2076" spans="1:24">
      <c r="A2076">
        <f>HYPERLINK("https://www.philgeps.gov.ph/GEPSNONPILOT/Tender/SplashBidNoticeAbstractUI.aspx?menuIndex=3&amp;refID=7166626&amp;Result=3","7166626")</f>
        <v>0</v>
      </c>
      <c r="B2076" t="s">
        <v>947</v>
      </c>
      <c r="C2076" t="s">
        <v>5892</v>
      </c>
      <c r="D2076" t="s">
        <v>19073</v>
      </c>
      <c r="E2076" t="s">
        <v>20992</v>
      </c>
      <c r="F2076" t="s">
        <v>32831</v>
      </c>
      <c r="G2076" t="s">
        <v>32839</v>
      </c>
      <c r="H2076" t="s">
        <v>32848</v>
      </c>
      <c r="I2076" t="s">
        <v>32858</v>
      </c>
      <c r="J2076" t="s">
        <v>34429</v>
      </c>
      <c r="K2076" t="s">
        <v>42748</v>
      </c>
      <c r="M2076" t="s">
        <v>43992</v>
      </c>
      <c r="N2076" t="s">
        <v>47424</v>
      </c>
      <c r="O2076" t="s">
        <v>47425</v>
      </c>
      <c r="P2076">
        <v>0</v>
      </c>
      <c r="Q2076">
        <v>0</v>
      </c>
      <c r="R2076" t="s">
        <v>47429</v>
      </c>
      <c r="S2076" t="s">
        <v>47542</v>
      </c>
      <c r="T2076" t="s">
        <v>49211</v>
      </c>
      <c r="U2076" t="s">
        <v>51471</v>
      </c>
      <c r="W2076" t="s">
        <v>64450</v>
      </c>
      <c r="X2076" t="s">
        <v>47426</v>
      </c>
    </row>
    <row r="2077" spans="1:24">
      <c r="A2077">
        <f>HYPERLINK("https://www.philgeps.gov.ph/GEPSNONPILOT/Tender/SplashBidNoticeAbstractUI.aspx?menuIndex=3&amp;refID=7167318&amp;Result=3","7167318")</f>
        <v>0</v>
      </c>
      <c r="B2077" t="s">
        <v>858</v>
      </c>
      <c r="C2077" t="s">
        <v>5893</v>
      </c>
      <c r="D2077" t="s">
        <v>19017</v>
      </c>
      <c r="E2077" t="s">
        <v>20993</v>
      </c>
      <c r="F2077" t="s">
        <v>32831</v>
      </c>
      <c r="G2077" t="s">
        <v>32842</v>
      </c>
      <c r="H2077" t="s">
        <v>32848</v>
      </c>
      <c r="I2077" t="s">
        <v>32862</v>
      </c>
      <c r="J2077" t="s">
        <v>34430</v>
      </c>
      <c r="K2077" t="s">
        <v>42730</v>
      </c>
      <c r="M2077" t="s">
        <v>43993</v>
      </c>
      <c r="N2077" t="s">
        <v>47424</v>
      </c>
      <c r="O2077" t="s">
        <v>47425</v>
      </c>
      <c r="P2077">
        <v>0</v>
      </c>
      <c r="Q2077">
        <v>0</v>
      </c>
      <c r="R2077" t="s">
        <v>47429</v>
      </c>
      <c r="S2077" t="s">
        <v>47542</v>
      </c>
      <c r="T2077" t="s">
        <v>49129</v>
      </c>
      <c r="U2077" t="s">
        <v>51264</v>
      </c>
      <c r="W2077" t="s">
        <v>43993</v>
      </c>
      <c r="X2077" t="s">
        <v>47426</v>
      </c>
    </row>
    <row r="2078" spans="1:24">
      <c r="A2078">
        <f>HYPERLINK("https://www.philgeps.gov.ph/GEPSNONPILOT/Tender/SplashBidNoticeAbstractUI.aspx?menuIndex=3&amp;refID=7167316&amp;Result=3","7167316")</f>
        <v>0</v>
      </c>
      <c r="B2078" t="s">
        <v>858</v>
      </c>
      <c r="C2078" t="s">
        <v>5894</v>
      </c>
      <c r="D2078" t="s">
        <v>19017</v>
      </c>
      <c r="E2078" t="s">
        <v>20994</v>
      </c>
      <c r="F2078" t="s">
        <v>32831</v>
      </c>
      <c r="G2078" t="s">
        <v>32840</v>
      </c>
      <c r="H2078" t="s">
        <v>32848</v>
      </c>
      <c r="I2078" t="s">
        <v>4435</v>
      </c>
      <c r="J2078" t="s">
        <v>34431</v>
      </c>
      <c r="K2078" t="s">
        <v>42730</v>
      </c>
      <c r="M2078" t="s">
        <v>43954</v>
      </c>
      <c r="N2078" t="s">
        <v>47424</v>
      </c>
      <c r="O2078" t="s">
        <v>47425</v>
      </c>
      <c r="P2078">
        <v>0</v>
      </c>
      <c r="Q2078">
        <v>0</v>
      </c>
      <c r="R2078" t="s">
        <v>47429</v>
      </c>
      <c r="S2078" t="s">
        <v>47542</v>
      </c>
      <c r="T2078" t="s">
        <v>49129</v>
      </c>
      <c r="U2078" t="s">
        <v>51472</v>
      </c>
      <c r="W2078" t="s">
        <v>43954</v>
      </c>
      <c r="X2078" t="s">
        <v>47426</v>
      </c>
    </row>
    <row r="2079" spans="1:24">
      <c r="A2079">
        <f>HYPERLINK("https://www.philgeps.gov.ph/GEPSNONPILOT/Tender/SplashBidNoticeAbstractUI.aspx?menuIndex=3&amp;refID=7167315&amp;Result=3","7167315")</f>
        <v>0</v>
      </c>
      <c r="B2079" t="s">
        <v>948</v>
      </c>
      <c r="C2079" t="s">
        <v>5895</v>
      </c>
      <c r="D2079" t="s">
        <v>19017</v>
      </c>
      <c r="E2079" t="s">
        <v>20995</v>
      </c>
      <c r="F2079" t="s">
        <v>32831</v>
      </c>
      <c r="G2079" t="s">
        <v>32838</v>
      </c>
      <c r="H2079" t="s">
        <v>32848</v>
      </c>
      <c r="I2079" t="s">
        <v>9577</v>
      </c>
      <c r="J2079" t="s">
        <v>33241</v>
      </c>
      <c r="K2079" t="s">
        <v>42731</v>
      </c>
      <c r="M2079" t="s">
        <v>43994</v>
      </c>
      <c r="N2079" t="s">
        <v>47424</v>
      </c>
      <c r="O2079" t="s">
        <v>47425</v>
      </c>
      <c r="P2079">
        <v>0</v>
      </c>
      <c r="Q2079">
        <v>0</v>
      </c>
      <c r="R2079" t="s">
        <v>47429</v>
      </c>
      <c r="S2079" t="s">
        <v>47542</v>
      </c>
      <c r="T2079" t="s">
        <v>49105</v>
      </c>
      <c r="U2079" t="s">
        <v>51473</v>
      </c>
      <c r="W2079" t="s">
        <v>43994</v>
      </c>
      <c r="X2079" t="s">
        <v>47426</v>
      </c>
    </row>
    <row r="2080" spans="1:24">
      <c r="A2080">
        <f>HYPERLINK("https://www.philgeps.gov.ph/GEPSNONPILOT/Tender/SplashBidNoticeAbstractUI.aspx?menuIndex=3&amp;refID=7167312&amp;Result=3","7167312")</f>
        <v>0</v>
      </c>
      <c r="B2080" t="s">
        <v>949</v>
      </c>
      <c r="C2080" t="s">
        <v>5896</v>
      </c>
      <c r="D2080" t="s">
        <v>19067</v>
      </c>
      <c r="E2080" t="s">
        <v>20503</v>
      </c>
      <c r="F2080" t="s">
        <v>32831</v>
      </c>
      <c r="G2080" t="s">
        <v>32839</v>
      </c>
      <c r="H2080" t="s">
        <v>32848</v>
      </c>
      <c r="I2080" t="s">
        <v>4303</v>
      </c>
      <c r="J2080" t="s">
        <v>34432</v>
      </c>
      <c r="K2080" t="s">
        <v>42727</v>
      </c>
      <c r="M2080" t="s">
        <v>43995</v>
      </c>
      <c r="N2080" t="s">
        <v>47424</v>
      </c>
      <c r="O2080" t="s">
        <v>47425</v>
      </c>
      <c r="P2080">
        <v>0</v>
      </c>
      <c r="Q2080">
        <v>0</v>
      </c>
      <c r="R2080" t="s">
        <v>47429</v>
      </c>
      <c r="S2080" t="s">
        <v>47542</v>
      </c>
      <c r="T2080" t="s">
        <v>49112</v>
      </c>
      <c r="U2080" t="s">
        <v>51474</v>
      </c>
      <c r="W2080" t="s">
        <v>43995</v>
      </c>
      <c r="X2080" t="s">
        <v>47426</v>
      </c>
    </row>
    <row r="2081" spans="1:24">
      <c r="A2081">
        <f>HYPERLINK("https://www.philgeps.gov.ph/GEPSNONPILOT/Tender/SplashBidNoticeAbstractUI.aspx?menuIndex=3&amp;refID=7167320&amp;Result=3","7167320")</f>
        <v>0</v>
      </c>
      <c r="B2081" t="s">
        <v>889</v>
      </c>
      <c r="C2081" t="s">
        <v>5897</v>
      </c>
      <c r="D2081" t="s">
        <v>19047</v>
      </c>
      <c r="E2081" t="s">
        <v>20996</v>
      </c>
      <c r="F2081" t="s">
        <v>32831</v>
      </c>
      <c r="G2081" t="s">
        <v>32838</v>
      </c>
      <c r="H2081" t="s">
        <v>32848</v>
      </c>
      <c r="I2081" t="s">
        <v>32941</v>
      </c>
      <c r="J2081" t="s">
        <v>34433</v>
      </c>
      <c r="K2081" t="s">
        <v>42726</v>
      </c>
      <c r="M2081" t="s">
        <v>43924</v>
      </c>
      <c r="N2081" t="s">
        <v>47424</v>
      </c>
      <c r="O2081" t="s">
        <v>47425</v>
      </c>
      <c r="P2081">
        <v>0</v>
      </c>
      <c r="Q2081">
        <v>0</v>
      </c>
      <c r="R2081" t="s">
        <v>47429</v>
      </c>
      <c r="S2081" t="s">
        <v>47542</v>
      </c>
      <c r="T2081" t="s">
        <v>49129</v>
      </c>
      <c r="U2081" t="s">
        <v>51475</v>
      </c>
      <c r="V2081" t="s">
        <v>62831</v>
      </c>
      <c r="W2081" t="s">
        <v>43924</v>
      </c>
      <c r="X2081" t="s">
        <v>47426</v>
      </c>
    </row>
    <row r="2082" spans="1:24">
      <c r="A2082">
        <f>HYPERLINK("https://www.philgeps.gov.ph/GEPSNONPILOT/Tender/SplashBidNoticeAbstractUI.aspx?menuIndex=3&amp;refID=7166729&amp;Result=3","7166729")</f>
        <v>0</v>
      </c>
      <c r="B2082" t="s">
        <v>730</v>
      </c>
      <c r="C2082" t="s">
        <v>5898</v>
      </c>
      <c r="D2082" t="s">
        <v>19062</v>
      </c>
      <c r="E2082" t="s">
        <v>20997</v>
      </c>
      <c r="F2082" t="s">
        <v>32831</v>
      </c>
      <c r="G2082" t="s">
        <v>32839</v>
      </c>
      <c r="H2082" t="s">
        <v>32848</v>
      </c>
      <c r="I2082" t="s">
        <v>32860</v>
      </c>
      <c r="J2082" t="s">
        <v>34434</v>
      </c>
      <c r="K2082" t="s">
        <v>42727</v>
      </c>
      <c r="M2082" t="s">
        <v>43752</v>
      </c>
      <c r="N2082" t="s">
        <v>47424</v>
      </c>
      <c r="O2082" t="s">
        <v>47425</v>
      </c>
      <c r="P2082">
        <v>0</v>
      </c>
      <c r="Q2082">
        <v>0</v>
      </c>
      <c r="R2082" t="s">
        <v>47429</v>
      </c>
      <c r="S2082" t="s">
        <v>47542</v>
      </c>
      <c r="T2082" t="s">
        <v>49080</v>
      </c>
      <c r="U2082" t="s">
        <v>51476</v>
      </c>
      <c r="V2082" t="s">
        <v>62848</v>
      </c>
      <c r="W2082" t="s">
        <v>43752</v>
      </c>
      <c r="X2082" t="s">
        <v>47426</v>
      </c>
    </row>
    <row r="2083" spans="1:24">
      <c r="A2083">
        <f>HYPERLINK("https://www.philgeps.gov.ph/GEPSNONPILOT/Tender/SplashBidNoticeAbstractUI.aspx?menuIndex=3&amp;refID=7167306&amp;Result=3","7167306")</f>
        <v>0</v>
      </c>
      <c r="B2083" t="s">
        <v>950</v>
      </c>
      <c r="C2083" t="s">
        <v>5899</v>
      </c>
      <c r="D2083" t="s">
        <v>19100</v>
      </c>
      <c r="E2083" t="s">
        <v>20998</v>
      </c>
      <c r="F2083" t="s">
        <v>32831</v>
      </c>
      <c r="G2083" t="s">
        <v>32838</v>
      </c>
      <c r="H2083" t="s">
        <v>32848</v>
      </c>
      <c r="I2083" t="s">
        <v>7751</v>
      </c>
      <c r="J2083" t="s">
        <v>34435</v>
      </c>
      <c r="K2083" t="s">
        <v>42731</v>
      </c>
      <c r="M2083" t="s">
        <v>43996</v>
      </c>
      <c r="N2083" t="s">
        <v>47424</v>
      </c>
      <c r="O2083" t="s">
        <v>47425</v>
      </c>
      <c r="P2083">
        <v>0</v>
      </c>
      <c r="Q2083">
        <v>0</v>
      </c>
      <c r="R2083" t="s">
        <v>47429</v>
      </c>
      <c r="S2083" t="s">
        <v>47542</v>
      </c>
      <c r="T2083" t="s">
        <v>49123</v>
      </c>
      <c r="U2083" t="s">
        <v>51477</v>
      </c>
      <c r="W2083" t="s">
        <v>43996</v>
      </c>
      <c r="X2083" t="s">
        <v>47426</v>
      </c>
    </row>
    <row r="2084" spans="1:24">
      <c r="A2084">
        <f>HYPERLINK("https://www.philgeps.gov.ph/GEPSNONPILOT/Tender/SplashBidNoticeAbstractUI.aspx?menuIndex=3&amp;refID=7167313&amp;Result=3","7167313")</f>
        <v>0</v>
      </c>
      <c r="B2084" t="s">
        <v>920</v>
      </c>
      <c r="C2084" t="s">
        <v>5900</v>
      </c>
      <c r="E2084" t="s">
        <v>20999</v>
      </c>
      <c r="F2084" t="s">
        <v>32831</v>
      </c>
      <c r="G2084" t="s">
        <v>32838</v>
      </c>
      <c r="H2084" t="s">
        <v>32849</v>
      </c>
      <c r="I2084" t="s">
        <v>32855</v>
      </c>
      <c r="J2084" t="s">
        <v>34436</v>
      </c>
      <c r="K2084" t="s">
        <v>42732</v>
      </c>
      <c r="M2084" t="s">
        <v>43961</v>
      </c>
      <c r="N2084" t="s">
        <v>47424</v>
      </c>
      <c r="O2084" t="s">
        <v>47425</v>
      </c>
      <c r="P2084">
        <v>0</v>
      </c>
      <c r="Q2084">
        <v>0</v>
      </c>
      <c r="R2084" t="s">
        <v>47429</v>
      </c>
      <c r="S2084" t="s">
        <v>47542</v>
      </c>
      <c r="T2084" t="s">
        <v>49104</v>
      </c>
      <c r="U2084" t="s">
        <v>51478</v>
      </c>
      <c r="W2084" t="s">
        <v>43961</v>
      </c>
      <c r="X2084" t="s">
        <v>47426</v>
      </c>
    </row>
    <row r="2085" spans="1:24">
      <c r="A2085">
        <f>HYPERLINK("https://www.philgeps.gov.ph/GEPSNONPILOT/Tender/SplashBidNoticeAbstractUI.aspx?menuIndex=3&amp;refID=7167317&amp;Result=3","7167317")</f>
        <v>0</v>
      </c>
      <c r="B2085" t="s">
        <v>951</v>
      </c>
      <c r="C2085" t="s">
        <v>5901</v>
      </c>
      <c r="D2085" t="s">
        <v>19043</v>
      </c>
      <c r="E2085" t="s">
        <v>21000</v>
      </c>
      <c r="F2085" t="s">
        <v>32831</v>
      </c>
      <c r="G2085" t="s">
        <v>32838</v>
      </c>
      <c r="H2085" t="s">
        <v>32848</v>
      </c>
      <c r="I2085" t="s">
        <v>32857</v>
      </c>
      <c r="J2085" t="s">
        <v>33087</v>
      </c>
      <c r="K2085" t="s">
        <v>42758</v>
      </c>
      <c r="M2085" t="s">
        <v>43997</v>
      </c>
      <c r="N2085" t="s">
        <v>47424</v>
      </c>
      <c r="O2085" t="s">
        <v>47425</v>
      </c>
      <c r="P2085">
        <v>0</v>
      </c>
      <c r="Q2085">
        <v>0</v>
      </c>
      <c r="R2085" t="s">
        <v>47429</v>
      </c>
      <c r="S2085" t="s">
        <v>47542</v>
      </c>
      <c r="T2085" t="s">
        <v>49089</v>
      </c>
      <c r="U2085" t="s">
        <v>51479</v>
      </c>
      <c r="W2085" t="s">
        <v>43997</v>
      </c>
      <c r="X2085" t="s">
        <v>47426</v>
      </c>
    </row>
    <row r="2086" spans="1:24">
      <c r="A2086">
        <f>HYPERLINK("https://www.philgeps.gov.ph/GEPSNONPILOT/Tender/SplashBidNoticeAbstractUI.aspx?menuIndex=3&amp;refID=7167314&amp;Result=3","7167314")</f>
        <v>0</v>
      </c>
      <c r="B2086" t="s">
        <v>952</v>
      </c>
      <c r="C2086" t="s">
        <v>5902</v>
      </c>
      <c r="D2086" t="s">
        <v>19022</v>
      </c>
      <c r="E2086" t="s">
        <v>21001</v>
      </c>
      <c r="F2086" t="s">
        <v>32831</v>
      </c>
      <c r="G2086" t="s">
        <v>32839</v>
      </c>
      <c r="H2086" t="s">
        <v>32849</v>
      </c>
      <c r="I2086" t="s">
        <v>4177</v>
      </c>
      <c r="J2086" t="s">
        <v>34437</v>
      </c>
      <c r="K2086" t="s">
        <v>42770</v>
      </c>
      <c r="M2086" t="s">
        <v>43998</v>
      </c>
      <c r="N2086" t="s">
        <v>47424</v>
      </c>
      <c r="O2086" t="s">
        <v>47425</v>
      </c>
      <c r="P2086">
        <v>0</v>
      </c>
      <c r="Q2086">
        <v>0</v>
      </c>
      <c r="R2086" t="s">
        <v>47429</v>
      </c>
      <c r="S2086" t="s">
        <v>47542</v>
      </c>
      <c r="T2086" t="s">
        <v>49299</v>
      </c>
      <c r="U2086" t="s">
        <v>51480</v>
      </c>
      <c r="W2086" t="s">
        <v>43998</v>
      </c>
      <c r="X2086" t="s">
        <v>47426</v>
      </c>
    </row>
    <row r="2087" spans="1:24">
      <c r="A2087">
        <f>HYPERLINK("https://www.philgeps.gov.ph/GEPSNONPILOT/Tender/SplashBidNoticeAbstractUI.aspx?menuIndex=3&amp;refID=7167305&amp;Result=3","7167305")</f>
        <v>0</v>
      </c>
      <c r="B2087" t="s">
        <v>842</v>
      </c>
      <c r="C2087" t="s">
        <v>5903</v>
      </c>
      <c r="D2087" t="s">
        <v>19044</v>
      </c>
      <c r="E2087" t="s">
        <v>21002</v>
      </c>
      <c r="F2087" t="s">
        <v>32831</v>
      </c>
      <c r="G2087" t="s">
        <v>32840</v>
      </c>
      <c r="H2087" t="s">
        <v>32848</v>
      </c>
      <c r="I2087" t="s">
        <v>32854</v>
      </c>
      <c r="J2087" t="s">
        <v>33007</v>
      </c>
      <c r="K2087" t="s">
        <v>42758</v>
      </c>
      <c r="M2087" t="s">
        <v>43875</v>
      </c>
      <c r="N2087" t="s">
        <v>47424</v>
      </c>
      <c r="O2087" t="s">
        <v>47425</v>
      </c>
      <c r="P2087">
        <v>0</v>
      </c>
      <c r="Q2087">
        <v>0</v>
      </c>
      <c r="R2087" t="s">
        <v>47429</v>
      </c>
      <c r="S2087" t="s">
        <v>47542</v>
      </c>
      <c r="T2087" t="s">
        <v>49079</v>
      </c>
      <c r="U2087" t="s">
        <v>51481</v>
      </c>
      <c r="W2087" t="s">
        <v>43875</v>
      </c>
      <c r="X2087" t="s">
        <v>47426</v>
      </c>
    </row>
    <row r="2088" spans="1:24">
      <c r="A2088">
        <f>HYPERLINK("https://www.philgeps.gov.ph/GEPSNONPILOT/Tender/SplashBidNoticeAbstractUI.aspx?menuIndex=3&amp;refID=7167340&amp;Result=3","7167340")</f>
        <v>0</v>
      </c>
      <c r="B2088" t="s">
        <v>847</v>
      </c>
      <c r="C2088" t="s">
        <v>5904</v>
      </c>
      <c r="D2088" t="s">
        <v>19074</v>
      </c>
      <c r="E2088" t="s">
        <v>21003</v>
      </c>
      <c r="F2088" t="s">
        <v>32831</v>
      </c>
      <c r="G2088" t="s">
        <v>32838</v>
      </c>
      <c r="H2088" t="s">
        <v>32848</v>
      </c>
      <c r="I2088" t="s">
        <v>32902</v>
      </c>
      <c r="J2088" t="s">
        <v>34438</v>
      </c>
      <c r="K2088" t="s">
        <v>42730</v>
      </c>
      <c r="M2088" t="s">
        <v>43880</v>
      </c>
      <c r="N2088" t="s">
        <v>47424</v>
      </c>
      <c r="O2088" t="s">
        <v>47425</v>
      </c>
      <c r="P2088">
        <v>0</v>
      </c>
      <c r="Q2088">
        <v>0</v>
      </c>
      <c r="R2088" t="s">
        <v>47429</v>
      </c>
      <c r="S2088" t="s">
        <v>47542</v>
      </c>
      <c r="T2088" t="s">
        <v>49210</v>
      </c>
      <c r="U2088" t="s">
        <v>51482</v>
      </c>
      <c r="W2088" t="s">
        <v>43880</v>
      </c>
      <c r="X2088" t="s">
        <v>47426</v>
      </c>
    </row>
    <row r="2089" spans="1:24">
      <c r="A2089">
        <f>HYPERLINK("https://www.philgeps.gov.ph/GEPSNONPILOT/Tender/SplashBidNoticeAbstractUI.aspx?menuIndex=3&amp;refID=7167308&amp;Result=3","7167308")</f>
        <v>0</v>
      </c>
      <c r="B2089" t="s">
        <v>836</v>
      </c>
      <c r="C2089" t="s">
        <v>5905</v>
      </c>
      <c r="D2089" t="s">
        <v>19027</v>
      </c>
      <c r="E2089" t="s">
        <v>21004</v>
      </c>
      <c r="F2089" t="s">
        <v>32831</v>
      </c>
      <c r="G2089" t="s">
        <v>32839</v>
      </c>
      <c r="H2089" t="s">
        <v>32848</v>
      </c>
      <c r="I2089" t="s">
        <v>4776</v>
      </c>
      <c r="J2089" t="s">
        <v>34439</v>
      </c>
      <c r="K2089" t="s">
        <v>42727</v>
      </c>
      <c r="M2089" t="s">
        <v>43868</v>
      </c>
      <c r="N2089" t="s">
        <v>47424</v>
      </c>
      <c r="O2089" t="s">
        <v>47425</v>
      </c>
      <c r="P2089">
        <v>0</v>
      </c>
      <c r="Q2089">
        <v>0</v>
      </c>
      <c r="R2089" t="s">
        <v>47429</v>
      </c>
      <c r="S2089" t="s">
        <v>47542</v>
      </c>
      <c r="T2089" t="s">
        <v>49300</v>
      </c>
      <c r="U2089" t="s">
        <v>51483</v>
      </c>
      <c r="W2089" t="s">
        <v>43868</v>
      </c>
      <c r="X2089" t="s">
        <v>47426</v>
      </c>
    </row>
    <row r="2090" spans="1:24">
      <c r="A2090">
        <f>HYPERLINK("https://www.philgeps.gov.ph/GEPSNONPILOT/Tender/SplashBidNoticeAbstractUI.aspx?menuIndex=3&amp;refID=7166622&amp;Result=3","7166622")</f>
        <v>0</v>
      </c>
      <c r="B2090" t="s">
        <v>27</v>
      </c>
      <c r="C2090" t="s">
        <v>5906</v>
      </c>
      <c r="D2090" t="s">
        <v>19020</v>
      </c>
      <c r="E2090" t="s">
        <v>21005</v>
      </c>
      <c r="F2090" t="s">
        <v>32831</v>
      </c>
      <c r="G2090" t="s">
        <v>32838</v>
      </c>
      <c r="H2090" t="s">
        <v>32848</v>
      </c>
      <c r="I2090" t="s">
        <v>4558</v>
      </c>
      <c r="J2090" t="s">
        <v>34440</v>
      </c>
      <c r="K2090" t="s">
        <v>42726</v>
      </c>
      <c r="M2090" t="s">
        <v>43728</v>
      </c>
      <c r="N2090" t="s">
        <v>47424</v>
      </c>
      <c r="O2090" t="s">
        <v>47425</v>
      </c>
      <c r="P2090">
        <v>0</v>
      </c>
      <c r="Q2090">
        <v>0</v>
      </c>
      <c r="R2090" t="s">
        <v>47429</v>
      </c>
      <c r="S2090" t="s">
        <v>47542</v>
      </c>
      <c r="T2090" t="s">
        <v>49123</v>
      </c>
      <c r="U2090" t="s">
        <v>50989</v>
      </c>
      <c r="W2090" t="s">
        <v>43728</v>
      </c>
      <c r="X2090" t="s">
        <v>47426</v>
      </c>
    </row>
    <row r="2091" spans="1:24">
      <c r="A2091">
        <f>HYPERLINK("https://www.philgeps.gov.ph/GEPSNONPILOT/Tender/SplashBidNoticeAbstractUI.aspx?menuIndex=3&amp;refID=7167307&amp;Result=3","7167307")</f>
        <v>0</v>
      </c>
      <c r="B2091" t="s">
        <v>889</v>
      </c>
      <c r="C2091" t="s">
        <v>5907</v>
      </c>
      <c r="D2091" t="s">
        <v>19047</v>
      </c>
      <c r="E2091" t="s">
        <v>21006</v>
      </c>
      <c r="F2091" t="s">
        <v>32831</v>
      </c>
      <c r="G2091" t="s">
        <v>32838</v>
      </c>
      <c r="H2091" t="s">
        <v>32848</v>
      </c>
      <c r="I2091" t="s">
        <v>4438</v>
      </c>
      <c r="J2091" t="s">
        <v>33920</v>
      </c>
      <c r="K2091" t="s">
        <v>42730</v>
      </c>
      <c r="M2091" t="s">
        <v>43924</v>
      </c>
      <c r="N2091" t="s">
        <v>47424</v>
      </c>
      <c r="O2091" t="s">
        <v>47425</v>
      </c>
      <c r="P2091">
        <v>0</v>
      </c>
      <c r="Q2091">
        <v>0</v>
      </c>
      <c r="R2091" t="s">
        <v>47429</v>
      </c>
      <c r="S2091" t="s">
        <v>47542</v>
      </c>
      <c r="T2091" t="s">
        <v>49129</v>
      </c>
      <c r="U2091" t="s">
        <v>51484</v>
      </c>
      <c r="V2091" t="s">
        <v>62831</v>
      </c>
      <c r="W2091" t="s">
        <v>43924</v>
      </c>
      <c r="X2091" t="s">
        <v>47426</v>
      </c>
    </row>
    <row r="2092" spans="1:24">
      <c r="A2092">
        <f>HYPERLINK("https://www.philgeps.gov.ph/GEPSNONPILOT/Tender/SplashBidNoticeAbstractUI.aspx?menuIndex=3&amp;refID=7167345&amp;Result=3","7167345")</f>
        <v>0</v>
      </c>
      <c r="B2092" t="s">
        <v>953</v>
      </c>
      <c r="C2092" t="s">
        <v>5908</v>
      </c>
      <c r="D2092" t="s">
        <v>19088</v>
      </c>
      <c r="E2092" t="s">
        <v>21007</v>
      </c>
      <c r="F2092" t="s">
        <v>32831</v>
      </c>
      <c r="G2092" t="s">
        <v>32838</v>
      </c>
      <c r="H2092" t="s">
        <v>32848</v>
      </c>
      <c r="I2092" t="s">
        <v>4558</v>
      </c>
      <c r="J2092" t="s">
        <v>34441</v>
      </c>
      <c r="K2092" t="s">
        <v>42726</v>
      </c>
      <c r="M2092" t="s">
        <v>43999</v>
      </c>
      <c r="N2092" t="s">
        <v>47424</v>
      </c>
      <c r="O2092" t="s">
        <v>47425</v>
      </c>
      <c r="P2092">
        <v>0</v>
      </c>
      <c r="Q2092">
        <v>0</v>
      </c>
      <c r="R2092" t="s">
        <v>47429</v>
      </c>
      <c r="S2092" t="s">
        <v>47542</v>
      </c>
      <c r="T2092" t="s">
        <v>49089</v>
      </c>
      <c r="U2092" t="s">
        <v>51131</v>
      </c>
      <c r="W2092" t="s">
        <v>43999</v>
      </c>
      <c r="X2092" t="s">
        <v>47426</v>
      </c>
    </row>
    <row r="2093" spans="1:24">
      <c r="A2093">
        <f>HYPERLINK("https://www.philgeps.gov.ph/GEPSNONPILOT/Tender/SplashBidNoticeAbstractUI.aspx?menuIndex=3&amp;refID=7167343&amp;Result=3","7167343")</f>
        <v>0</v>
      </c>
      <c r="B2093" t="s">
        <v>324</v>
      </c>
      <c r="C2093" t="s">
        <v>5909</v>
      </c>
      <c r="D2093" t="s">
        <v>19049</v>
      </c>
      <c r="E2093" t="s">
        <v>21008</v>
      </c>
      <c r="F2093" t="s">
        <v>32831</v>
      </c>
      <c r="G2093" t="s">
        <v>32838</v>
      </c>
      <c r="H2093" t="s">
        <v>32848</v>
      </c>
      <c r="I2093" t="s">
        <v>7416</v>
      </c>
      <c r="J2093" t="s">
        <v>34442</v>
      </c>
      <c r="K2093" t="s">
        <v>42797</v>
      </c>
      <c r="M2093" t="s">
        <v>43940</v>
      </c>
      <c r="N2093" t="s">
        <v>47424</v>
      </c>
      <c r="O2093" t="s">
        <v>47425</v>
      </c>
      <c r="P2093">
        <v>0</v>
      </c>
      <c r="Q2093">
        <v>0</v>
      </c>
      <c r="R2093" t="s">
        <v>47429</v>
      </c>
      <c r="S2093" t="s">
        <v>47542</v>
      </c>
      <c r="T2093" t="s">
        <v>49171</v>
      </c>
      <c r="U2093" t="s">
        <v>51485</v>
      </c>
      <c r="W2093" t="s">
        <v>43940</v>
      </c>
      <c r="X2093" t="s">
        <v>47426</v>
      </c>
    </row>
    <row r="2094" spans="1:24">
      <c r="A2094">
        <f>HYPERLINK("https://www.philgeps.gov.ph/GEPSNONPILOT/Tender/SplashBidNoticeAbstractUI.aspx?menuIndex=3&amp;refID=7167311&amp;Result=3","7167311")</f>
        <v>0</v>
      </c>
      <c r="B2094" t="s">
        <v>954</v>
      </c>
      <c r="C2094" t="s">
        <v>5910</v>
      </c>
      <c r="D2094" t="s">
        <v>19043</v>
      </c>
      <c r="E2094" t="s">
        <v>21009</v>
      </c>
      <c r="F2094" t="s">
        <v>32831</v>
      </c>
      <c r="G2094" t="s">
        <v>32840</v>
      </c>
      <c r="H2094" t="s">
        <v>32849</v>
      </c>
      <c r="I2094" t="s">
        <v>4177</v>
      </c>
      <c r="J2094" t="s">
        <v>34443</v>
      </c>
      <c r="K2094" t="s">
        <v>42731</v>
      </c>
      <c r="M2094" t="s">
        <v>44000</v>
      </c>
      <c r="N2094" t="s">
        <v>47424</v>
      </c>
      <c r="O2094" t="s">
        <v>47425</v>
      </c>
      <c r="P2094">
        <v>0</v>
      </c>
      <c r="Q2094">
        <v>0</v>
      </c>
      <c r="R2094" t="s">
        <v>47429</v>
      </c>
      <c r="S2094" t="s">
        <v>47542</v>
      </c>
      <c r="T2094" t="s">
        <v>49056</v>
      </c>
      <c r="U2094" t="s">
        <v>51486</v>
      </c>
      <c r="V2094" t="s">
        <v>62849</v>
      </c>
      <c r="W2094" t="s">
        <v>44000</v>
      </c>
      <c r="X2094" t="s">
        <v>47426</v>
      </c>
    </row>
    <row r="2095" spans="1:24">
      <c r="A2095">
        <f>HYPERLINK("https://www.philgeps.gov.ph/GEPSNONPILOT/Tender/SplashBidNoticeAbstractUI.aspx?menuIndex=3&amp;refID=7167339&amp;Result=3","7167339")</f>
        <v>0</v>
      </c>
      <c r="B2095" t="s">
        <v>955</v>
      </c>
      <c r="C2095" t="s">
        <v>5911</v>
      </c>
      <c r="D2095" t="s">
        <v>19017</v>
      </c>
      <c r="E2095" t="s">
        <v>21010</v>
      </c>
      <c r="F2095" t="s">
        <v>32831</v>
      </c>
      <c r="G2095" t="s">
        <v>32841</v>
      </c>
      <c r="H2095" t="s">
        <v>32848</v>
      </c>
      <c r="I2095" t="s">
        <v>7751</v>
      </c>
      <c r="J2095" t="s">
        <v>33024</v>
      </c>
      <c r="K2095" t="s">
        <v>42730</v>
      </c>
      <c r="M2095" t="s">
        <v>44001</v>
      </c>
      <c r="N2095" t="s">
        <v>47424</v>
      </c>
      <c r="O2095" t="s">
        <v>47425</v>
      </c>
      <c r="P2095">
        <v>0</v>
      </c>
      <c r="Q2095">
        <v>2</v>
      </c>
      <c r="R2095" t="s">
        <v>47429</v>
      </c>
      <c r="S2095" t="s">
        <v>47542</v>
      </c>
      <c r="T2095" t="s">
        <v>49301</v>
      </c>
      <c r="U2095" t="s">
        <v>51487</v>
      </c>
      <c r="V2095" t="s">
        <v>62850</v>
      </c>
      <c r="W2095" t="s">
        <v>44001</v>
      </c>
      <c r="X2095" t="s">
        <v>47426</v>
      </c>
    </row>
    <row r="2096" spans="1:24">
      <c r="A2096">
        <f>HYPERLINK("https://www.philgeps.gov.ph/GEPSNONPILOT/Tender/SplashBidNoticeAbstractUI.aspx?menuIndex=3&amp;refID=7167335&amp;Result=3","7167335")</f>
        <v>0</v>
      </c>
      <c r="B2096" t="s">
        <v>956</v>
      </c>
      <c r="C2096" t="s">
        <v>5912</v>
      </c>
      <c r="D2096" t="s">
        <v>19038</v>
      </c>
      <c r="E2096" t="s">
        <v>21011</v>
      </c>
      <c r="F2096" t="s">
        <v>32831</v>
      </c>
      <c r="G2096" t="s">
        <v>32838</v>
      </c>
      <c r="H2096" t="s">
        <v>32848</v>
      </c>
      <c r="I2096" t="s">
        <v>4776</v>
      </c>
      <c r="J2096" t="s">
        <v>33087</v>
      </c>
      <c r="K2096" t="s">
        <v>42732</v>
      </c>
      <c r="M2096" t="s">
        <v>44002</v>
      </c>
      <c r="N2096" t="s">
        <v>47424</v>
      </c>
      <c r="O2096" t="s">
        <v>47425</v>
      </c>
      <c r="P2096">
        <v>0</v>
      </c>
      <c r="Q2096">
        <v>0</v>
      </c>
      <c r="R2096" t="s">
        <v>47429</v>
      </c>
      <c r="S2096" t="s">
        <v>47542</v>
      </c>
      <c r="T2096" t="s">
        <v>49104</v>
      </c>
      <c r="U2096" t="s">
        <v>51488</v>
      </c>
      <c r="W2096" t="s">
        <v>44002</v>
      </c>
      <c r="X2096" t="s">
        <v>47426</v>
      </c>
    </row>
    <row r="2097" spans="1:24">
      <c r="A2097">
        <f>HYPERLINK("https://www.philgeps.gov.ph/GEPSNONPILOT/Tender/SplashBidNoticeAbstractUI.aspx?menuIndex=3&amp;refID=7167303&amp;Result=3","7167303")</f>
        <v>0</v>
      </c>
      <c r="B2097" t="s">
        <v>957</v>
      </c>
      <c r="C2097" t="s">
        <v>5913</v>
      </c>
      <c r="D2097" t="s">
        <v>19057</v>
      </c>
      <c r="E2097" t="s">
        <v>21012</v>
      </c>
      <c r="F2097" t="s">
        <v>32831</v>
      </c>
      <c r="G2097" t="s">
        <v>32839</v>
      </c>
      <c r="H2097" t="s">
        <v>32849</v>
      </c>
      <c r="I2097" t="s">
        <v>4177</v>
      </c>
      <c r="J2097" t="s">
        <v>33178</v>
      </c>
      <c r="K2097" t="s">
        <v>42727</v>
      </c>
      <c r="M2097" t="s">
        <v>44003</v>
      </c>
      <c r="N2097" t="s">
        <v>47424</v>
      </c>
      <c r="O2097" t="s">
        <v>47425</v>
      </c>
      <c r="P2097">
        <v>0</v>
      </c>
      <c r="Q2097">
        <v>0</v>
      </c>
      <c r="R2097" t="s">
        <v>47429</v>
      </c>
      <c r="S2097" t="s">
        <v>47542</v>
      </c>
      <c r="T2097" t="s">
        <v>49078</v>
      </c>
      <c r="U2097" t="s">
        <v>51489</v>
      </c>
      <c r="W2097" t="s">
        <v>44003</v>
      </c>
      <c r="X2097" t="s">
        <v>47426</v>
      </c>
    </row>
    <row r="2098" spans="1:24">
      <c r="A2098">
        <f>HYPERLINK("https://www.philgeps.gov.ph/GEPSNONPILOT/Tender/SplashBidNoticeAbstractUI.aspx?menuIndex=3&amp;refID=7167334&amp;Result=3","7167334")</f>
        <v>0</v>
      </c>
      <c r="B2098" t="s">
        <v>817</v>
      </c>
      <c r="C2098" t="s">
        <v>5914</v>
      </c>
      <c r="D2098" t="s">
        <v>19077</v>
      </c>
      <c r="E2098" t="s">
        <v>21013</v>
      </c>
      <c r="F2098" t="s">
        <v>32831</v>
      </c>
      <c r="G2098" t="s">
        <v>32838</v>
      </c>
      <c r="H2098" t="s">
        <v>32848</v>
      </c>
      <c r="I2098" t="s">
        <v>4776</v>
      </c>
      <c r="J2098" t="s">
        <v>34444</v>
      </c>
      <c r="K2098" t="s">
        <v>42730</v>
      </c>
      <c r="M2098" t="s">
        <v>43848</v>
      </c>
      <c r="N2098" t="s">
        <v>47424</v>
      </c>
      <c r="O2098" t="s">
        <v>47425</v>
      </c>
      <c r="P2098">
        <v>0</v>
      </c>
      <c r="Q2098">
        <v>0</v>
      </c>
      <c r="R2098" t="s">
        <v>47429</v>
      </c>
      <c r="S2098" t="s">
        <v>47542</v>
      </c>
      <c r="T2098" t="s">
        <v>49073</v>
      </c>
      <c r="U2098" t="s">
        <v>51192</v>
      </c>
      <c r="W2098" t="s">
        <v>43848</v>
      </c>
      <c r="X2098" t="s">
        <v>47426</v>
      </c>
    </row>
    <row r="2099" spans="1:24">
      <c r="A2099">
        <f>HYPERLINK("https://www.philgeps.gov.ph/GEPSNONPILOT/Tender/SplashBidNoticeAbstractUI.aspx?menuIndex=3&amp;refID=7167333&amp;Result=3","7167333")</f>
        <v>0</v>
      </c>
      <c r="B2099" t="s">
        <v>958</v>
      </c>
      <c r="C2099" t="s">
        <v>5915</v>
      </c>
      <c r="D2099" t="s">
        <v>19049</v>
      </c>
      <c r="E2099" t="s">
        <v>21014</v>
      </c>
      <c r="F2099" t="s">
        <v>32831</v>
      </c>
      <c r="G2099" t="s">
        <v>32838</v>
      </c>
      <c r="H2099" t="s">
        <v>32848</v>
      </c>
      <c r="I2099" t="s">
        <v>32863</v>
      </c>
      <c r="J2099" t="s">
        <v>34445</v>
      </c>
      <c r="K2099" t="s">
        <v>42732</v>
      </c>
      <c r="M2099" t="s">
        <v>44004</v>
      </c>
      <c r="N2099" t="s">
        <v>47424</v>
      </c>
      <c r="O2099" t="s">
        <v>47425</v>
      </c>
      <c r="P2099">
        <v>0</v>
      </c>
      <c r="Q2099">
        <v>0</v>
      </c>
      <c r="R2099" t="s">
        <v>47429</v>
      </c>
      <c r="S2099" t="s">
        <v>47542</v>
      </c>
      <c r="T2099" t="s">
        <v>49070</v>
      </c>
      <c r="U2099" t="s">
        <v>51490</v>
      </c>
      <c r="W2099" t="s">
        <v>44004</v>
      </c>
      <c r="X2099" t="s">
        <v>47426</v>
      </c>
    </row>
    <row r="2100" spans="1:24">
      <c r="A2100">
        <f>HYPERLINK("https://www.philgeps.gov.ph/GEPSNONPILOT/Tender/SplashBidNoticeAbstractUI.aspx?menuIndex=3&amp;refID=7167341&amp;Result=3","7167341")</f>
        <v>0</v>
      </c>
      <c r="B2100" t="s">
        <v>959</v>
      </c>
      <c r="C2100" t="s">
        <v>5916</v>
      </c>
      <c r="D2100" t="s">
        <v>19078</v>
      </c>
      <c r="E2100" t="s">
        <v>19434</v>
      </c>
      <c r="F2100" t="s">
        <v>32831</v>
      </c>
      <c r="G2100" t="s">
        <v>32839</v>
      </c>
      <c r="H2100" t="s">
        <v>32849</v>
      </c>
      <c r="I2100" t="s">
        <v>4177</v>
      </c>
      <c r="J2100" t="s">
        <v>34446</v>
      </c>
      <c r="K2100" t="s">
        <v>42814</v>
      </c>
      <c r="M2100" t="s">
        <v>44005</v>
      </c>
      <c r="N2100" t="s">
        <v>47424</v>
      </c>
      <c r="O2100" t="s">
        <v>47425</v>
      </c>
      <c r="P2100">
        <v>0</v>
      </c>
      <c r="Q2100">
        <v>0</v>
      </c>
      <c r="R2100" t="s">
        <v>47429</v>
      </c>
      <c r="S2100" t="s">
        <v>47542</v>
      </c>
      <c r="T2100" t="s">
        <v>49078</v>
      </c>
      <c r="U2100" t="s">
        <v>51491</v>
      </c>
      <c r="W2100" t="s">
        <v>44005</v>
      </c>
      <c r="X2100" t="s">
        <v>47426</v>
      </c>
    </row>
    <row r="2101" spans="1:24">
      <c r="A2101">
        <f>HYPERLINK("https://www.philgeps.gov.ph/GEPSNONPILOT/Tender/SplashBidNoticeAbstractUI.aspx?menuIndex=3&amp;refID=7167330&amp;Result=3","7167330")</f>
        <v>0</v>
      </c>
      <c r="B2101" t="s">
        <v>960</v>
      </c>
      <c r="C2101" t="s">
        <v>5917</v>
      </c>
      <c r="D2101" t="s">
        <v>19017</v>
      </c>
      <c r="E2101" t="s">
        <v>21015</v>
      </c>
      <c r="F2101" t="s">
        <v>32831</v>
      </c>
      <c r="G2101" t="s">
        <v>32839</v>
      </c>
      <c r="H2101" t="s">
        <v>32848</v>
      </c>
      <c r="I2101" t="s">
        <v>32898</v>
      </c>
      <c r="J2101" t="s">
        <v>34447</v>
      </c>
      <c r="K2101" t="s">
        <v>42757</v>
      </c>
      <c r="M2101" t="s">
        <v>44006</v>
      </c>
      <c r="N2101" t="s">
        <v>47424</v>
      </c>
      <c r="O2101" t="s">
        <v>47425</v>
      </c>
      <c r="P2101">
        <v>0</v>
      </c>
      <c r="Q2101">
        <v>0</v>
      </c>
      <c r="R2101" t="s">
        <v>47429</v>
      </c>
      <c r="S2101" t="s">
        <v>47542</v>
      </c>
      <c r="T2101" t="s">
        <v>49195</v>
      </c>
      <c r="U2101" t="s">
        <v>51492</v>
      </c>
      <c r="W2101" t="s">
        <v>44006</v>
      </c>
      <c r="X2101" t="s">
        <v>47426</v>
      </c>
    </row>
    <row r="2102" spans="1:24">
      <c r="A2102">
        <f>HYPERLINK("https://www.philgeps.gov.ph/GEPSNONPILOT/Tender/SplashBidNoticeAbstractUI.aspx?menuIndex=3&amp;refID=7167337&amp;Result=3","7167337")</f>
        <v>0</v>
      </c>
      <c r="B2102" t="s">
        <v>834</v>
      </c>
      <c r="C2102" t="s">
        <v>5918</v>
      </c>
      <c r="D2102" t="s">
        <v>19046</v>
      </c>
      <c r="E2102" t="s">
        <v>21016</v>
      </c>
      <c r="F2102" t="s">
        <v>32831</v>
      </c>
      <c r="G2102" t="s">
        <v>32838</v>
      </c>
      <c r="H2102" t="s">
        <v>32848</v>
      </c>
      <c r="I2102" t="s">
        <v>5379</v>
      </c>
      <c r="J2102" t="s">
        <v>33977</v>
      </c>
      <c r="K2102" t="s">
        <v>42732</v>
      </c>
      <c r="M2102" t="s">
        <v>43983</v>
      </c>
      <c r="N2102" t="s">
        <v>47424</v>
      </c>
      <c r="O2102" t="s">
        <v>47425</v>
      </c>
      <c r="P2102">
        <v>0</v>
      </c>
      <c r="Q2102">
        <v>0</v>
      </c>
      <c r="R2102" t="s">
        <v>47429</v>
      </c>
      <c r="S2102" t="s">
        <v>47542</v>
      </c>
      <c r="T2102" t="s">
        <v>49059</v>
      </c>
      <c r="U2102" t="s">
        <v>51434</v>
      </c>
      <c r="W2102" t="s">
        <v>43983</v>
      </c>
      <c r="X2102" t="s">
        <v>47426</v>
      </c>
    </row>
    <row r="2103" spans="1:24">
      <c r="A2103">
        <f>HYPERLINK("https://www.philgeps.gov.ph/GEPSNONPILOT/Tender/SplashBidNoticeAbstractUI.aspx?menuIndex=3&amp;refID=7167366&amp;Result=3","7167366")</f>
        <v>0</v>
      </c>
      <c r="B2103" t="s">
        <v>961</v>
      </c>
      <c r="C2103" t="s">
        <v>5919</v>
      </c>
      <c r="D2103" t="s">
        <v>19021</v>
      </c>
      <c r="E2103" t="s">
        <v>21017</v>
      </c>
      <c r="F2103" t="s">
        <v>32831</v>
      </c>
      <c r="G2103" t="s">
        <v>32838</v>
      </c>
      <c r="H2103" t="s">
        <v>32848</v>
      </c>
      <c r="I2103" t="s">
        <v>4438</v>
      </c>
      <c r="J2103" t="s">
        <v>34448</v>
      </c>
      <c r="K2103" t="s">
        <v>42726</v>
      </c>
      <c r="M2103" t="s">
        <v>44007</v>
      </c>
      <c r="N2103" t="s">
        <v>47424</v>
      </c>
      <c r="O2103" t="s">
        <v>47425</v>
      </c>
      <c r="P2103">
        <v>0</v>
      </c>
      <c r="Q2103">
        <v>0</v>
      </c>
      <c r="R2103" t="s">
        <v>47429</v>
      </c>
      <c r="S2103" t="s">
        <v>47542</v>
      </c>
      <c r="T2103" t="s">
        <v>49119</v>
      </c>
      <c r="U2103" t="s">
        <v>51493</v>
      </c>
      <c r="W2103" t="s">
        <v>44007</v>
      </c>
      <c r="X2103" t="s">
        <v>47426</v>
      </c>
    </row>
    <row r="2104" spans="1:24">
      <c r="A2104">
        <f>HYPERLINK("https://www.philgeps.gov.ph/GEPSNONPILOT/Tender/SplashBidNoticeAbstractUI.aspx?menuIndex=3&amp;refID=7167344&amp;Result=3","7167344")</f>
        <v>0</v>
      </c>
      <c r="B2104" t="s">
        <v>962</v>
      </c>
      <c r="C2104" t="s">
        <v>5920</v>
      </c>
      <c r="E2104" t="s">
        <v>21018</v>
      </c>
      <c r="F2104" t="s">
        <v>32831</v>
      </c>
      <c r="G2104" t="s">
        <v>32838</v>
      </c>
      <c r="H2104" t="s">
        <v>32849</v>
      </c>
      <c r="I2104" t="s">
        <v>7416</v>
      </c>
      <c r="J2104" t="s">
        <v>33031</v>
      </c>
      <c r="K2104" t="s">
        <v>42732</v>
      </c>
      <c r="M2104" t="s">
        <v>44008</v>
      </c>
      <c r="N2104" t="s">
        <v>47424</v>
      </c>
      <c r="O2104" t="s">
        <v>47425</v>
      </c>
      <c r="P2104">
        <v>0</v>
      </c>
      <c r="Q2104">
        <v>0</v>
      </c>
      <c r="R2104" t="s">
        <v>47429</v>
      </c>
      <c r="S2104" t="s">
        <v>47542</v>
      </c>
      <c r="T2104" t="s">
        <v>49080</v>
      </c>
      <c r="U2104" t="s">
        <v>51494</v>
      </c>
      <c r="W2104" t="s">
        <v>44008</v>
      </c>
      <c r="X2104" t="s">
        <v>47426</v>
      </c>
    </row>
    <row r="2105" spans="1:24">
      <c r="A2105">
        <f>HYPERLINK("https://www.philgeps.gov.ph/GEPSNONPILOT/Tender/SplashBidNoticeAbstractUI.aspx?menuIndex=3&amp;refID=7167331&amp;Result=3","7167331")</f>
        <v>0</v>
      </c>
      <c r="B2105" t="s">
        <v>963</v>
      </c>
      <c r="C2105" t="s">
        <v>5921</v>
      </c>
      <c r="D2105" t="s">
        <v>19074</v>
      </c>
      <c r="E2105" t="s">
        <v>21019</v>
      </c>
      <c r="F2105" t="s">
        <v>32831</v>
      </c>
      <c r="G2105" t="s">
        <v>32838</v>
      </c>
      <c r="H2105" t="s">
        <v>32848</v>
      </c>
      <c r="I2105" t="s">
        <v>5379</v>
      </c>
      <c r="J2105" t="s">
        <v>34344</v>
      </c>
      <c r="K2105" t="s">
        <v>42726</v>
      </c>
      <c r="M2105" t="s">
        <v>44009</v>
      </c>
      <c r="N2105" t="s">
        <v>47424</v>
      </c>
      <c r="O2105" t="s">
        <v>47425</v>
      </c>
      <c r="P2105">
        <v>0</v>
      </c>
      <c r="Q2105">
        <v>0</v>
      </c>
      <c r="R2105" t="s">
        <v>47429</v>
      </c>
      <c r="S2105" t="s">
        <v>47542</v>
      </c>
      <c r="T2105" t="s">
        <v>49104</v>
      </c>
      <c r="U2105" t="s">
        <v>51495</v>
      </c>
      <c r="W2105" t="s">
        <v>44009</v>
      </c>
      <c r="X2105" t="s">
        <v>47426</v>
      </c>
    </row>
    <row r="2106" spans="1:24">
      <c r="A2106">
        <f>HYPERLINK("https://www.philgeps.gov.ph/GEPSNONPILOT/Tender/SplashBidNoticeAbstractUI.aspx?menuIndex=3&amp;refID=7167302&amp;Result=3","7167302")</f>
        <v>0</v>
      </c>
      <c r="B2106" t="s">
        <v>748</v>
      </c>
      <c r="C2106" t="s">
        <v>5922</v>
      </c>
      <c r="D2106" t="s">
        <v>19081</v>
      </c>
      <c r="E2106" t="s">
        <v>21020</v>
      </c>
      <c r="F2106" t="s">
        <v>32831</v>
      </c>
      <c r="G2106" t="s">
        <v>32838</v>
      </c>
      <c r="H2106" t="s">
        <v>32848</v>
      </c>
      <c r="I2106" t="s">
        <v>9577</v>
      </c>
      <c r="J2106" t="s">
        <v>33578</v>
      </c>
      <c r="K2106" t="s">
        <v>42759</v>
      </c>
      <c r="M2106" t="s">
        <v>43771</v>
      </c>
      <c r="N2106" t="s">
        <v>47424</v>
      </c>
      <c r="O2106" t="s">
        <v>47425</v>
      </c>
      <c r="P2106">
        <v>0</v>
      </c>
      <c r="Q2106">
        <v>0</v>
      </c>
      <c r="R2106" t="s">
        <v>47429</v>
      </c>
      <c r="S2106" t="s">
        <v>47542</v>
      </c>
      <c r="T2106" t="s">
        <v>49253</v>
      </c>
      <c r="U2106" t="s">
        <v>51293</v>
      </c>
      <c r="W2106" t="s">
        <v>43771</v>
      </c>
      <c r="X2106" t="s">
        <v>47426</v>
      </c>
    </row>
    <row r="2107" spans="1:24">
      <c r="A2107">
        <f>HYPERLINK("https://www.philgeps.gov.ph/GEPSNONPILOT/Tender/SplashBidNoticeAbstractUI.aspx?menuIndex=3&amp;refID=7167346&amp;Result=3","7167346")</f>
        <v>0</v>
      </c>
      <c r="B2107" t="s">
        <v>964</v>
      </c>
      <c r="C2107" t="s">
        <v>5923</v>
      </c>
      <c r="D2107" t="s">
        <v>19027</v>
      </c>
      <c r="E2107" t="s">
        <v>21021</v>
      </c>
      <c r="F2107" t="s">
        <v>32831</v>
      </c>
      <c r="G2107" t="s">
        <v>32838</v>
      </c>
      <c r="H2107" t="s">
        <v>32848</v>
      </c>
      <c r="I2107" t="s">
        <v>9577</v>
      </c>
      <c r="J2107" t="s">
        <v>34449</v>
      </c>
      <c r="K2107" t="s">
        <v>42732</v>
      </c>
      <c r="M2107" t="s">
        <v>44010</v>
      </c>
      <c r="N2107" t="s">
        <v>47424</v>
      </c>
      <c r="O2107" t="s">
        <v>47425</v>
      </c>
      <c r="P2107">
        <v>0</v>
      </c>
      <c r="Q2107">
        <v>0</v>
      </c>
      <c r="R2107" t="s">
        <v>47429</v>
      </c>
      <c r="S2107" t="s">
        <v>47542</v>
      </c>
      <c r="T2107" t="s">
        <v>49124</v>
      </c>
      <c r="U2107" t="s">
        <v>51496</v>
      </c>
      <c r="W2107" t="s">
        <v>44010</v>
      </c>
      <c r="X2107" t="s">
        <v>47426</v>
      </c>
    </row>
    <row r="2108" spans="1:24">
      <c r="A2108">
        <f>HYPERLINK("https://www.philgeps.gov.ph/GEPSNONPILOT/Tender/SplashBidNoticeAbstractUI.aspx?menuIndex=3&amp;refID=7167370&amp;Result=3","7167370")</f>
        <v>0</v>
      </c>
      <c r="B2108" t="s">
        <v>948</v>
      </c>
      <c r="C2108" t="s">
        <v>5924</v>
      </c>
      <c r="D2108" t="s">
        <v>19017</v>
      </c>
      <c r="E2108" t="s">
        <v>20995</v>
      </c>
      <c r="F2108" t="s">
        <v>32831</v>
      </c>
      <c r="G2108" t="s">
        <v>32838</v>
      </c>
      <c r="H2108" t="s">
        <v>32848</v>
      </c>
      <c r="I2108" t="s">
        <v>32853</v>
      </c>
      <c r="J2108" t="s">
        <v>34450</v>
      </c>
      <c r="K2108" t="s">
        <v>42731</v>
      </c>
      <c r="M2108" t="s">
        <v>43994</v>
      </c>
      <c r="N2108" t="s">
        <v>47424</v>
      </c>
      <c r="O2108" t="s">
        <v>47425</v>
      </c>
      <c r="P2108">
        <v>0</v>
      </c>
      <c r="Q2108">
        <v>0</v>
      </c>
      <c r="R2108" t="s">
        <v>47429</v>
      </c>
      <c r="S2108" t="s">
        <v>47542</v>
      </c>
      <c r="T2108" t="s">
        <v>49105</v>
      </c>
      <c r="U2108" t="s">
        <v>51473</v>
      </c>
      <c r="W2108" t="s">
        <v>43994</v>
      </c>
      <c r="X2108" t="s">
        <v>47426</v>
      </c>
    </row>
    <row r="2109" spans="1:24">
      <c r="A2109">
        <f>HYPERLINK("https://www.philgeps.gov.ph/GEPSNONPILOT/Tender/SplashBidNoticeAbstractUI.aspx?menuIndex=3&amp;refID=7167329&amp;Result=3","7167329")</f>
        <v>0</v>
      </c>
      <c r="B2109" t="s">
        <v>913</v>
      </c>
      <c r="C2109" t="s">
        <v>5925</v>
      </c>
      <c r="D2109" t="s">
        <v>19022</v>
      </c>
      <c r="E2109" t="s">
        <v>21022</v>
      </c>
      <c r="F2109" t="s">
        <v>32831</v>
      </c>
      <c r="G2109" t="s">
        <v>32840</v>
      </c>
      <c r="H2109" t="s">
        <v>32848</v>
      </c>
      <c r="I2109" t="s">
        <v>7416</v>
      </c>
      <c r="J2109" t="s">
        <v>34451</v>
      </c>
      <c r="K2109" t="s">
        <v>42729</v>
      </c>
      <c r="M2109" t="s">
        <v>43953</v>
      </c>
      <c r="N2109" t="s">
        <v>47424</v>
      </c>
      <c r="O2109" t="s">
        <v>47425</v>
      </c>
      <c r="P2109">
        <v>0</v>
      </c>
      <c r="Q2109">
        <v>0</v>
      </c>
      <c r="R2109" t="s">
        <v>47429</v>
      </c>
      <c r="S2109" t="s">
        <v>47542</v>
      </c>
      <c r="T2109" t="s">
        <v>49068</v>
      </c>
      <c r="U2109" t="s">
        <v>51374</v>
      </c>
      <c r="W2109" t="s">
        <v>43953</v>
      </c>
      <c r="X2109" t="s">
        <v>47426</v>
      </c>
    </row>
    <row r="2110" spans="1:24">
      <c r="A2110">
        <f>HYPERLINK("https://www.philgeps.gov.ph/GEPSNONPILOT/Tender/SplashBidNoticeAbstractUI.aspx?menuIndex=3&amp;refID=7167365&amp;Result=3","7167365")</f>
        <v>0</v>
      </c>
      <c r="B2110" t="s">
        <v>965</v>
      </c>
      <c r="C2110" t="s">
        <v>5926</v>
      </c>
      <c r="D2110" t="s">
        <v>19074</v>
      </c>
      <c r="E2110" t="s">
        <v>19948</v>
      </c>
      <c r="F2110" t="s">
        <v>32831</v>
      </c>
      <c r="G2110" t="s">
        <v>32840</v>
      </c>
      <c r="H2110" t="s">
        <v>32848</v>
      </c>
      <c r="I2110" t="s">
        <v>4438</v>
      </c>
      <c r="J2110" t="s">
        <v>33744</v>
      </c>
      <c r="K2110" t="s">
        <v>42759</v>
      </c>
      <c r="M2110" t="s">
        <v>44011</v>
      </c>
      <c r="N2110" t="s">
        <v>47424</v>
      </c>
      <c r="O2110" t="s">
        <v>47425</v>
      </c>
      <c r="P2110">
        <v>0</v>
      </c>
      <c r="Q2110">
        <v>0</v>
      </c>
      <c r="R2110" t="s">
        <v>47429</v>
      </c>
      <c r="S2110" t="s">
        <v>47542</v>
      </c>
      <c r="T2110" t="s">
        <v>49108</v>
      </c>
      <c r="U2110" t="s">
        <v>51497</v>
      </c>
      <c r="V2110" t="s">
        <v>62707</v>
      </c>
      <c r="W2110" t="s">
        <v>44011</v>
      </c>
      <c r="X2110" t="s">
        <v>47426</v>
      </c>
    </row>
    <row r="2111" spans="1:24">
      <c r="A2111">
        <f>HYPERLINK("https://www.philgeps.gov.ph/GEPSNONPILOT/Tender/SplashBidNoticeAbstractUI.aspx?menuIndex=3&amp;refID=7167304&amp;Result=3","7167304")</f>
        <v>0</v>
      </c>
      <c r="B2111" t="s">
        <v>316</v>
      </c>
      <c r="C2111" t="s">
        <v>5790</v>
      </c>
      <c r="D2111" t="s">
        <v>19023</v>
      </c>
      <c r="E2111" t="s">
        <v>21023</v>
      </c>
      <c r="F2111" t="s">
        <v>32831</v>
      </c>
      <c r="G2111" t="s">
        <v>32838</v>
      </c>
      <c r="H2111" t="s">
        <v>32848</v>
      </c>
      <c r="I2111" t="s">
        <v>4438</v>
      </c>
      <c r="J2111" t="s">
        <v>34452</v>
      </c>
      <c r="K2111" t="s">
        <v>42730</v>
      </c>
      <c r="M2111" t="s">
        <v>43795</v>
      </c>
      <c r="N2111" t="s">
        <v>47424</v>
      </c>
      <c r="O2111" t="s">
        <v>47425</v>
      </c>
      <c r="P2111">
        <v>0</v>
      </c>
      <c r="Q2111">
        <v>0</v>
      </c>
      <c r="R2111" t="s">
        <v>47429</v>
      </c>
      <c r="S2111" t="s">
        <v>47542</v>
      </c>
      <c r="T2111" t="s">
        <v>49073</v>
      </c>
      <c r="U2111" t="s">
        <v>51090</v>
      </c>
      <c r="V2111" t="s">
        <v>62802</v>
      </c>
      <c r="W2111" t="s">
        <v>43795</v>
      </c>
      <c r="X2111" t="s">
        <v>47426</v>
      </c>
    </row>
    <row r="2112" spans="1:24">
      <c r="A2112">
        <f>HYPERLINK("https://www.philgeps.gov.ph/GEPSNONPILOT/Tender/SplashBidNoticeAbstractUI.aspx?menuIndex=3&amp;refID=7167362&amp;Result=3","7167362")</f>
        <v>0</v>
      </c>
      <c r="B2112" t="s">
        <v>949</v>
      </c>
      <c r="C2112" t="s">
        <v>5927</v>
      </c>
      <c r="D2112" t="s">
        <v>19067</v>
      </c>
      <c r="E2112" t="s">
        <v>21024</v>
      </c>
      <c r="F2112" t="s">
        <v>32831</v>
      </c>
      <c r="G2112" t="s">
        <v>32839</v>
      </c>
      <c r="H2112" t="s">
        <v>32849</v>
      </c>
      <c r="I2112" t="s">
        <v>14069</v>
      </c>
      <c r="J2112" t="s">
        <v>34453</v>
      </c>
      <c r="K2112" t="s">
        <v>42730</v>
      </c>
      <c r="M2112" t="s">
        <v>43995</v>
      </c>
      <c r="N2112" t="s">
        <v>47424</v>
      </c>
      <c r="O2112" t="s">
        <v>47425</v>
      </c>
      <c r="P2112">
        <v>0</v>
      </c>
      <c r="Q2112">
        <v>0</v>
      </c>
      <c r="R2112" t="s">
        <v>47429</v>
      </c>
      <c r="S2112" t="s">
        <v>47542</v>
      </c>
      <c r="T2112" t="s">
        <v>49112</v>
      </c>
      <c r="U2112" t="s">
        <v>51498</v>
      </c>
      <c r="W2112" t="s">
        <v>43995</v>
      </c>
      <c r="X2112" t="s">
        <v>47426</v>
      </c>
    </row>
    <row r="2113" spans="1:24">
      <c r="A2113">
        <f>HYPERLINK("https://www.philgeps.gov.ph/GEPSNONPILOT/Tender/SplashBidNoticeAbstractUI.aspx?menuIndex=3&amp;refID=7167359&amp;Result=3","7167359")</f>
        <v>0</v>
      </c>
      <c r="B2113" t="s">
        <v>842</v>
      </c>
      <c r="C2113" t="s">
        <v>5903</v>
      </c>
      <c r="D2113" t="s">
        <v>19044</v>
      </c>
      <c r="E2113" t="s">
        <v>21025</v>
      </c>
      <c r="F2113" t="s">
        <v>32831</v>
      </c>
      <c r="G2113" t="s">
        <v>32840</v>
      </c>
      <c r="H2113" t="s">
        <v>32848</v>
      </c>
      <c r="I2113" t="s">
        <v>32854</v>
      </c>
      <c r="J2113" t="s">
        <v>34454</v>
      </c>
      <c r="K2113" t="s">
        <v>42758</v>
      </c>
      <c r="M2113" t="s">
        <v>43875</v>
      </c>
      <c r="N2113" t="s">
        <v>47424</v>
      </c>
      <c r="O2113" t="s">
        <v>47425</v>
      </c>
      <c r="P2113">
        <v>0</v>
      </c>
      <c r="Q2113">
        <v>0</v>
      </c>
      <c r="R2113" t="s">
        <v>47429</v>
      </c>
      <c r="S2113" t="s">
        <v>47542</v>
      </c>
      <c r="T2113" t="s">
        <v>49079</v>
      </c>
      <c r="U2113" t="s">
        <v>51481</v>
      </c>
      <c r="W2113" t="s">
        <v>43875</v>
      </c>
      <c r="X2113" t="s">
        <v>47426</v>
      </c>
    </row>
    <row r="2114" spans="1:24">
      <c r="A2114">
        <f>HYPERLINK("https://www.philgeps.gov.ph/GEPSNONPILOT/Tender/SplashBidNoticeAbstractUI.aspx?menuIndex=3&amp;refID=7167371&amp;Result=3","7167371")</f>
        <v>0</v>
      </c>
      <c r="B2114" t="s">
        <v>152</v>
      </c>
      <c r="C2114" t="s">
        <v>5928</v>
      </c>
      <c r="D2114" t="s">
        <v>19068</v>
      </c>
      <c r="E2114" t="s">
        <v>21026</v>
      </c>
      <c r="F2114" t="s">
        <v>32831</v>
      </c>
      <c r="G2114" t="s">
        <v>32839</v>
      </c>
      <c r="H2114" t="s">
        <v>14069</v>
      </c>
      <c r="I2114" t="s">
        <v>14069</v>
      </c>
      <c r="J2114" t="s">
        <v>33066</v>
      </c>
      <c r="K2114" t="s">
        <v>42815</v>
      </c>
      <c r="M2114" t="s">
        <v>43149</v>
      </c>
      <c r="N2114" t="s">
        <v>47424</v>
      </c>
      <c r="O2114" t="s">
        <v>47425</v>
      </c>
      <c r="P2114">
        <v>0</v>
      </c>
      <c r="Q2114">
        <v>0</v>
      </c>
      <c r="R2114" t="s">
        <v>47429</v>
      </c>
      <c r="S2114" t="s">
        <v>47542</v>
      </c>
      <c r="T2114" t="s">
        <v>49184</v>
      </c>
      <c r="U2114" t="s">
        <v>51499</v>
      </c>
      <c r="W2114" t="s">
        <v>43149</v>
      </c>
      <c r="X2114" t="s">
        <v>47426</v>
      </c>
    </row>
    <row r="2115" spans="1:24">
      <c r="A2115">
        <f>HYPERLINK("https://www.philgeps.gov.ph/GEPSNONPILOT/Tender/SplashBidNoticeAbstractUI.aspx?menuIndex=3&amp;refID=7167354&amp;Result=3","7167354")</f>
        <v>0</v>
      </c>
      <c r="B2115" t="s">
        <v>966</v>
      </c>
      <c r="C2115" t="s">
        <v>5929</v>
      </c>
      <c r="D2115" t="s">
        <v>19033</v>
      </c>
      <c r="E2115" t="s">
        <v>21027</v>
      </c>
      <c r="F2115" t="s">
        <v>32831</v>
      </c>
      <c r="G2115" t="s">
        <v>32839</v>
      </c>
      <c r="H2115" t="s">
        <v>32849</v>
      </c>
      <c r="I2115" t="s">
        <v>4177</v>
      </c>
      <c r="J2115" t="s">
        <v>33118</v>
      </c>
      <c r="K2115" t="s">
        <v>42729</v>
      </c>
      <c r="M2115" t="s">
        <v>44012</v>
      </c>
      <c r="N2115" t="s">
        <v>47424</v>
      </c>
      <c r="O2115" t="s">
        <v>47425</v>
      </c>
      <c r="P2115">
        <v>0</v>
      </c>
      <c r="Q2115">
        <v>0</v>
      </c>
      <c r="R2115" t="s">
        <v>47429</v>
      </c>
      <c r="S2115" t="s">
        <v>47542</v>
      </c>
      <c r="T2115" t="s">
        <v>49202</v>
      </c>
      <c r="U2115" t="s">
        <v>51500</v>
      </c>
      <c r="W2115" t="s">
        <v>44012</v>
      </c>
      <c r="X2115" t="s">
        <v>47426</v>
      </c>
    </row>
    <row r="2116" spans="1:24">
      <c r="A2116">
        <f>HYPERLINK("https://www.philgeps.gov.ph/GEPSNONPILOT/Tender/SplashBidNoticeAbstractUI.aspx?menuIndex=3&amp;refID=7167353&amp;Result=3","7167353")</f>
        <v>0</v>
      </c>
      <c r="B2116" t="s">
        <v>844</v>
      </c>
      <c r="C2116" t="s">
        <v>5930</v>
      </c>
      <c r="D2116" t="s">
        <v>19081</v>
      </c>
      <c r="E2116" t="s">
        <v>21028</v>
      </c>
      <c r="F2116" t="s">
        <v>32831</v>
      </c>
      <c r="G2116" t="s">
        <v>32839</v>
      </c>
      <c r="H2116" t="s">
        <v>32849</v>
      </c>
      <c r="I2116" t="s">
        <v>4177</v>
      </c>
      <c r="J2116" t="s">
        <v>32978</v>
      </c>
      <c r="K2116" t="s">
        <v>42730</v>
      </c>
      <c r="M2116" t="s">
        <v>43877</v>
      </c>
      <c r="N2116" t="s">
        <v>47424</v>
      </c>
      <c r="O2116" t="s">
        <v>47425</v>
      </c>
      <c r="P2116">
        <v>0</v>
      </c>
      <c r="Q2116">
        <v>0</v>
      </c>
      <c r="R2116" t="s">
        <v>47429</v>
      </c>
      <c r="S2116" t="s">
        <v>47542</v>
      </c>
      <c r="T2116" t="s">
        <v>49059</v>
      </c>
      <c r="U2116" t="s">
        <v>51501</v>
      </c>
      <c r="V2116" t="s">
        <v>62851</v>
      </c>
      <c r="W2116" t="s">
        <v>43877</v>
      </c>
      <c r="X2116" t="s">
        <v>47426</v>
      </c>
    </row>
    <row r="2117" spans="1:24">
      <c r="A2117">
        <f>HYPERLINK("https://www.philgeps.gov.ph/GEPSNONPILOT/Tender/SplashBidNoticeAbstractUI.aspx?menuIndex=3&amp;refID=7167352&amp;Result=3","7167352")</f>
        <v>0</v>
      </c>
      <c r="B2117" t="s">
        <v>263</v>
      </c>
      <c r="C2117" t="s">
        <v>5931</v>
      </c>
      <c r="D2117" t="s">
        <v>19083</v>
      </c>
      <c r="E2117" t="s">
        <v>21029</v>
      </c>
      <c r="F2117" t="s">
        <v>32831</v>
      </c>
      <c r="G2117" t="s">
        <v>32838</v>
      </c>
      <c r="H2117" t="s">
        <v>32848</v>
      </c>
      <c r="I2117" t="s">
        <v>4438</v>
      </c>
      <c r="J2117" t="s">
        <v>34455</v>
      </c>
      <c r="K2117" t="s">
        <v>42727</v>
      </c>
      <c r="M2117" t="s">
        <v>43262</v>
      </c>
      <c r="N2117" t="s">
        <v>47424</v>
      </c>
      <c r="O2117" t="s">
        <v>47425</v>
      </c>
      <c r="P2117">
        <v>0</v>
      </c>
      <c r="Q2117">
        <v>0</v>
      </c>
      <c r="R2117" t="s">
        <v>47429</v>
      </c>
      <c r="S2117" t="s">
        <v>47542</v>
      </c>
      <c r="T2117" t="s">
        <v>49170</v>
      </c>
      <c r="U2117" t="s">
        <v>51502</v>
      </c>
      <c r="W2117" t="s">
        <v>43262</v>
      </c>
      <c r="X2117" t="s">
        <v>47426</v>
      </c>
    </row>
    <row r="2118" spans="1:24">
      <c r="A2118">
        <f>HYPERLINK("https://www.philgeps.gov.ph/GEPSNONPILOT/Tender/SplashBidNoticeAbstractUI.aspx?menuIndex=3&amp;refID=7167361&amp;Result=3","7167361")</f>
        <v>0</v>
      </c>
      <c r="B2118" t="s">
        <v>748</v>
      </c>
      <c r="C2118" t="s">
        <v>5932</v>
      </c>
      <c r="D2118" t="s">
        <v>19081</v>
      </c>
      <c r="E2118" t="s">
        <v>21030</v>
      </c>
      <c r="F2118" t="s">
        <v>32831</v>
      </c>
      <c r="G2118" t="s">
        <v>32838</v>
      </c>
      <c r="H2118" t="s">
        <v>32848</v>
      </c>
      <c r="I2118" t="s">
        <v>5379</v>
      </c>
      <c r="J2118" t="s">
        <v>34456</v>
      </c>
      <c r="K2118" t="s">
        <v>42759</v>
      </c>
      <c r="M2118" t="s">
        <v>43771</v>
      </c>
      <c r="N2118" t="s">
        <v>47424</v>
      </c>
      <c r="O2118" t="s">
        <v>47425</v>
      </c>
      <c r="P2118">
        <v>0</v>
      </c>
      <c r="Q2118">
        <v>0</v>
      </c>
      <c r="R2118" t="s">
        <v>47429</v>
      </c>
      <c r="S2118" t="s">
        <v>47542</v>
      </c>
      <c r="T2118" t="s">
        <v>49253</v>
      </c>
      <c r="U2118" t="s">
        <v>51378</v>
      </c>
      <c r="W2118" t="s">
        <v>43771</v>
      </c>
      <c r="X2118" t="s">
        <v>47426</v>
      </c>
    </row>
    <row r="2119" spans="1:24">
      <c r="A2119">
        <f>HYPERLINK("https://www.philgeps.gov.ph/GEPSNONPILOT/Tender/SplashBidNoticeAbstractUI.aspx?menuIndex=3&amp;refID=7167349&amp;Result=3","7167349")</f>
        <v>0</v>
      </c>
      <c r="B2119" t="s">
        <v>967</v>
      </c>
      <c r="C2119" t="s">
        <v>5933</v>
      </c>
      <c r="D2119" t="s">
        <v>19049</v>
      </c>
      <c r="E2119" t="s">
        <v>21031</v>
      </c>
      <c r="F2119" t="s">
        <v>32831</v>
      </c>
      <c r="G2119" t="s">
        <v>32839</v>
      </c>
      <c r="H2119" t="s">
        <v>32849</v>
      </c>
      <c r="I2119" t="s">
        <v>32866</v>
      </c>
      <c r="J2119" t="s">
        <v>34457</v>
      </c>
      <c r="K2119" t="s">
        <v>42816</v>
      </c>
      <c r="M2119" t="s">
        <v>44013</v>
      </c>
      <c r="N2119" t="s">
        <v>47424</v>
      </c>
      <c r="O2119" t="s">
        <v>47425</v>
      </c>
      <c r="P2119">
        <v>0</v>
      </c>
      <c r="Q2119">
        <v>0</v>
      </c>
      <c r="R2119" t="s">
        <v>47429</v>
      </c>
      <c r="S2119" t="s">
        <v>47542</v>
      </c>
      <c r="T2119" t="s">
        <v>49132</v>
      </c>
      <c r="U2119" t="s">
        <v>51503</v>
      </c>
      <c r="W2119" t="s">
        <v>64451</v>
      </c>
      <c r="X2119" t="s">
        <v>47426</v>
      </c>
    </row>
    <row r="2120" spans="1:24">
      <c r="A2120">
        <f>HYPERLINK("https://www.philgeps.gov.ph/GEPSNONPILOT/Tender/SplashBidNoticeAbstractUI.aspx?menuIndex=3&amp;refID=7167369&amp;Result=3","7167369")</f>
        <v>0</v>
      </c>
      <c r="B2120" t="s">
        <v>968</v>
      </c>
      <c r="C2120" t="s">
        <v>5934</v>
      </c>
      <c r="D2120" t="s">
        <v>19045</v>
      </c>
      <c r="E2120" t="s">
        <v>21032</v>
      </c>
      <c r="F2120" t="s">
        <v>32831</v>
      </c>
      <c r="G2120" t="s">
        <v>32839</v>
      </c>
      <c r="H2120" t="s">
        <v>32848</v>
      </c>
      <c r="I2120" t="s">
        <v>32852</v>
      </c>
      <c r="J2120" t="s">
        <v>34458</v>
      </c>
      <c r="K2120" t="s">
        <v>42730</v>
      </c>
      <c r="M2120" t="s">
        <v>44014</v>
      </c>
      <c r="N2120" t="s">
        <v>47424</v>
      </c>
      <c r="O2120" t="s">
        <v>47425</v>
      </c>
      <c r="P2120">
        <v>0</v>
      </c>
      <c r="Q2120">
        <v>0</v>
      </c>
      <c r="R2120" t="s">
        <v>47429</v>
      </c>
      <c r="S2120" t="s">
        <v>47542</v>
      </c>
      <c r="T2120" t="s">
        <v>49078</v>
      </c>
      <c r="U2120" t="s">
        <v>51504</v>
      </c>
      <c r="W2120" t="s">
        <v>44014</v>
      </c>
      <c r="X2120" t="s">
        <v>47426</v>
      </c>
    </row>
    <row r="2121" spans="1:24">
      <c r="A2121">
        <f>HYPERLINK("https://www.philgeps.gov.ph/GEPSNONPILOT/Tender/SplashBidNoticeAbstractUI.aspx?menuIndex=3&amp;refID=7167348&amp;Result=3","7167348")</f>
        <v>0</v>
      </c>
      <c r="B2121" t="s">
        <v>889</v>
      </c>
      <c r="C2121" t="s">
        <v>5935</v>
      </c>
      <c r="D2121" t="s">
        <v>19047</v>
      </c>
      <c r="E2121" t="s">
        <v>21033</v>
      </c>
      <c r="F2121" t="s">
        <v>32831</v>
      </c>
      <c r="G2121" t="s">
        <v>32838</v>
      </c>
      <c r="H2121" t="s">
        <v>32848</v>
      </c>
      <c r="I2121" t="s">
        <v>32866</v>
      </c>
      <c r="J2121" t="s">
        <v>34459</v>
      </c>
      <c r="K2121" t="s">
        <v>42779</v>
      </c>
      <c r="M2121" t="s">
        <v>43924</v>
      </c>
      <c r="N2121" t="s">
        <v>47424</v>
      </c>
      <c r="O2121" t="s">
        <v>47425</v>
      </c>
      <c r="P2121">
        <v>0</v>
      </c>
      <c r="Q2121">
        <v>0</v>
      </c>
      <c r="R2121" t="s">
        <v>47429</v>
      </c>
      <c r="S2121" t="s">
        <v>47542</v>
      </c>
      <c r="T2121" t="s">
        <v>49129</v>
      </c>
      <c r="U2121" t="s">
        <v>51505</v>
      </c>
      <c r="V2121" t="s">
        <v>62831</v>
      </c>
      <c r="W2121" t="s">
        <v>43924</v>
      </c>
      <c r="X2121" t="s">
        <v>47426</v>
      </c>
    </row>
    <row r="2122" spans="1:24">
      <c r="A2122">
        <f>HYPERLINK("https://www.philgeps.gov.ph/GEPSNONPILOT/Tender/SplashBidNoticeAbstractUI.aspx?menuIndex=3&amp;refID=7167374&amp;Result=3","7167374")</f>
        <v>0</v>
      </c>
      <c r="B2122" t="s">
        <v>908</v>
      </c>
      <c r="C2122" t="s">
        <v>5936</v>
      </c>
      <c r="D2122" t="s">
        <v>19033</v>
      </c>
      <c r="E2122" t="s">
        <v>21034</v>
      </c>
      <c r="F2122" t="s">
        <v>32831</v>
      </c>
      <c r="G2122" t="s">
        <v>32838</v>
      </c>
      <c r="H2122" t="s">
        <v>32848</v>
      </c>
      <c r="I2122" t="s">
        <v>8781</v>
      </c>
      <c r="J2122" t="s">
        <v>34460</v>
      </c>
      <c r="K2122" t="s">
        <v>42763</v>
      </c>
      <c r="M2122" t="s">
        <v>43948</v>
      </c>
      <c r="N2122" t="s">
        <v>47424</v>
      </c>
      <c r="O2122" t="s">
        <v>47425</v>
      </c>
      <c r="P2122">
        <v>0</v>
      </c>
      <c r="Q2122">
        <v>0</v>
      </c>
      <c r="R2122" t="s">
        <v>47429</v>
      </c>
      <c r="S2122" t="s">
        <v>47542</v>
      </c>
      <c r="T2122" t="s">
        <v>49089</v>
      </c>
      <c r="U2122" t="s">
        <v>51365</v>
      </c>
      <c r="W2122" t="s">
        <v>43948</v>
      </c>
      <c r="X2122" t="s">
        <v>47426</v>
      </c>
    </row>
    <row r="2123" spans="1:24">
      <c r="A2123">
        <f>HYPERLINK("https://www.philgeps.gov.ph/GEPSNONPILOT/Tender/SplashBidNoticeAbstractUI.aspx?menuIndex=3&amp;refID=7167347&amp;Result=3","7167347")</f>
        <v>0</v>
      </c>
      <c r="B2123" t="s">
        <v>954</v>
      </c>
      <c r="C2123" t="s">
        <v>5937</v>
      </c>
      <c r="D2123" t="s">
        <v>19043</v>
      </c>
      <c r="E2123" t="s">
        <v>21035</v>
      </c>
      <c r="F2123" t="s">
        <v>32831</v>
      </c>
      <c r="G2123" t="s">
        <v>32840</v>
      </c>
      <c r="H2123" t="s">
        <v>32848</v>
      </c>
      <c r="I2123" t="s">
        <v>4776</v>
      </c>
      <c r="J2123" t="s">
        <v>33198</v>
      </c>
      <c r="K2123" t="s">
        <v>42726</v>
      </c>
      <c r="M2123" t="s">
        <v>44000</v>
      </c>
      <c r="N2123" t="s">
        <v>47424</v>
      </c>
      <c r="O2123" t="s">
        <v>47425</v>
      </c>
      <c r="P2123">
        <v>0</v>
      </c>
      <c r="Q2123">
        <v>0</v>
      </c>
      <c r="R2123" t="s">
        <v>47429</v>
      </c>
      <c r="S2123" t="s">
        <v>47542</v>
      </c>
      <c r="T2123" t="s">
        <v>49056</v>
      </c>
      <c r="U2123" t="s">
        <v>51506</v>
      </c>
      <c r="V2123" t="s">
        <v>62849</v>
      </c>
      <c r="W2123" t="s">
        <v>44000</v>
      </c>
      <c r="X2123" t="s">
        <v>47426</v>
      </c>
    </row>
    <row r="2124" spans="1:24">
      <c r="A2124">
        <f>HYPERLINK("https://www.philgeps.gov.ph/GEPSNONPILOT/Tender/SplashBidNoticeAbstractUI.aspx?menuIndex=3&amp;refID=7167328&amp;Result=3","7167328")</f>
        <v>0</v>
      </c>
      <c r="B2124" t="s">
        <v>807</v>
      </c>
      <c r="C2124" t="s">
        <v>5938</v>
      </c>
      <c r="D2124" t="s">
        <v>19044</v>
      </c>
      <c r="E2124" t="s">
        <v>21036</v>
      </c>
      <c r="F2124" t="s">
        <v>32831</v>
      </c>
      <c r="G2124" t="s">
        <v>32839</v>
      </c>
      <c r="H2124" t="s">
        <v>32848</v>
      </c>
      <c r="I2124" t="s">
        <v>32857</v>
      </c>
      <c r="J2124" t="s">
        <v>34362</v>
      </c>
      <c r="K2124" t="s">
        <v>42727</v>
      </c>
      <c r="M2124" t="s">
        <v>43838</v>
      </c>
      <c r="N2124" t="s">
        <v>47424</v>
      </c>
      <c r="O2124" t="s">
        <v>47425</v>
      </c>
      <c r="P2124">
        <v>0</v>
      </c>
      <c r="Q2124">
        <v>0</v>
      </c>
      <c r="R2124" t="s">
        <v>47429</v>
      </c>
      <c r="S2124" t="s">
        <v>47542</v>
      </c>
      <c r="T2124" t="s">
        <v>49072</v>
      </c>
      <c r="U2124" t="s">
        <v>51507</v>
      </c>
      <c r="W2124" t="s">
        <v>43838</v>
      </c>
      <c r="X2124" t="s">
        <v>47426</v>
      </c>
    </row>
    <row r="2125" spans="1:24">
      <c r="A2125">
        <f>HYPERLINK("https://www.philgeps.gov.ph/GEPSNONPILOT/Tender/SplashBidNoticeAbstractUI.aspx?menuIndex=3&amp;refID=7167327&amp;Result=3","7167327")</f>
        <v>0</v>
      </c>
      <c r="B2125" t="s">
        <v>969</v>
      </c>
      <c r="C2125" t="s">
        <v>5062</v>
      </c>
      <c r="D2125" t="s">
        <v>19021</v>
      </c>
      <c r="E2125" t="s">
        <v>21037</v>
      </c>
      <c r="F2125" t="s">
        <v>32831</v>
      </c>
      <c r="G2125" t="s">
        <v>32838</v>
      </c>
      <c r="H2125" t="s">
        <v>32848</v>
      </c>
      <c r="I2125" t="s">
        <v>5379</v>
      </c>
      <c r="J2125" t="s">
        <v>33087</v>
      </c>
      <c r="K2125" t="s">
        <v>42730</v>
      </c>
      <c r="M2125" t="s">
        <v>44015</v>
      </c>
      <c r="N2125" t="s">
        <v>47424</v>
      </c>
      <c r="O2125" t="s">
        <v>47425</v>
      </c>
      <c r="P2125">
        <v>0</v>
      </c>
      <c r="Q2125">
        <v>0</v>
      </c>
      <c r="R2125" t="s">
        <v>47429</v>
      </c>
      <c r="S2125" t="s">
        <v>47542</v>
      </c>
      <c r="T2125" t="s">
        <v>49279</v>
      </c>
      <c r="U2125" t="s">
        <v>51508</v>
      </c>
      <c r="V2125" t="s">
        <v>62852</v>
      </c>
      <c r="W2125" t="s">
        <v>44015</v>
      </c>
      <c r="X2125" t="s">
        <v>47426</v>
      </c>
    </row>
    <row r="2126" spans="1:24">
      <c r="A2126">
        <f>HYPERLINK("https://www.philgeps.gov.ph/GEPSNONPILOT/Tender/SplashBidNoticeAbstractUI.aspx?menuIndex=3&amp;refID=7167398&amp;Result=3","7167398")</f>
        <v>0</v>
      </c>
      <c r="B2126" t="s">
        <v>832</v>
      </c>
      <c r="C2126" t="s">
        <v>5939</v>
      </c>
      <c r="D2126" t="s">
        <v>19026</v>
      </c>
      <c r="E2126" t="s">
        <v>21038</v>
      </c>
      <c r="F2126" t="s">
        <v>32831</v>
      </c>
      <c r="G2126" t="s">
        <v>32842</v>
      </c>
      <c r="H2126" t="s">
        <v>32848</v>
      </c>
      <c r="I2126" t="s">
        <v>4438</v>
      </c>
      <c r="J2126" t="s">
        <v>34310</v>
      </c>
      <c r="K2126" t="s">
        <v>42745</v>
      </c>
      <c r="M2126" t="s">
        <v>43864</v>
      </c>
      <c r="N2126" t="s">
        <v>47424</v>
      </c>
      <c r="O2126" t="s">
        <v>47425</v>
      </c>
      <c r="P2126">
        <v>0</v>
      </c>
      <c r="Q2126">
        <v>0</v>
      </c>
      <c r="R2126" t="s">
        <v>47429</v>
      </c>
      <c r="S2126" t="s">
        <v>47542</v>
      </c>
      <c r="T2126" t="s">
        <v>49171</v>
      </c>
      <c r="U2126" t="s">
        <v>51215</v>
      </c>
      <c r="V2126" t="s">
        <v>62842</v>
      </c>
      <c r="W2126" t="s">
        <v>43864</v>
      </c>
      <c r="X2126" t="s">
        <v>47426</v>
      </c>
    </row>
    <row r="2127" spans="1:24">
      <c r="A2127">
        <f>HYPERLINK("https://www.philgeps.gov.ph/GEPSNONPILOT/Tender/SplashBidNoticeAbstractUI.aspx?menuIndex=3&amp;refID=7167397&amp;Result=3","7167397")</f>
        <v>0</v>
      </c>
      <c r="B2127" t="s">
        <v>834</v>
      </c>
      <c r="C2127" t="s">
        <v>5940</v>
      </c>
      <c r="D2127" t="s">
        <v>19046</v>
      </c>
      <c r="E2127" t="s">
        <v>21039</v>
      </c>
      <c r="F2127" t="s">
        <v>32831</v>
      </c>
      <c r="G2127" t="s">
        <v>32839</v>
      </c>
      <c r="H2127" t="s">
        <v>32848</v>
      </c>
      <c r="I2127" t="s">
        <v>32883</v>
      </c>
      <c r="J2127" t="s">
        <v>34461</v>
      </c>
      <c r="K2127" t="s">
        <v>42732</v>
      </c>
      <c r="M2127" t="s">
        <v>43983</v>
      </c>
      <c r="N2127" t="s">
        <v>47424</v>
      </c>
      <c r="O2127" t="s">
        <v>47425</v>
      </c>
      <c r="P2127">
        <v>0</v>
      </c>
      <c r="Q2127">
        <v>0</v>
      </c>
      <c r="R2127" t="s">
        <v>47429</v>
      </c>
      <c r="S2127" t="s">
        <v>47542</v>
      </c>
      <c r="T2127" t="s">
        <v>49059</v>
      </c>
      <c r="U2127" t="s">
        <v>51434</v>
      </c>
      <c r="W2127" t="s">
        <v>43983</v>
      </c>
      <c r="X2127" t="s">
        <v>47426</v>
      </c>
    </row>
    <row r="2128" spans="1:24">
      <c r="A2128">
        <f>HYPERLINK("https://www.philgeps.gov.ph/GEPSNONPILOT/Tender/SplashBidNoticeAbstractUI.aspx?menuIndex=3&amp;refID=7167364&amp;Result=3","7167364")</f>
        <v>0</v>
      </c>
      <c r="B2128" t="s">
        <v>909</v>
      </c>
      <c r="C2128" t="s">
        <v>5029</v>
      </c>
      <c r="D2128" t="s">
        <v>19067</v>
      </c>
      <c r="E2128" t="s">
        <v>21040</v>
      </c>
      <c r="F2128" t="s">
        <v>32831</v>
      </c>
      <c r="G2128" t="s">
        <v>32838</v>
      </c>
      <c r="H2128" t="s">
        <v>32848</v>
      </c>
      <c r="I2128" t="s">
        <v>9577</v>
      </c>
      <c r="J2128" t="s">
        <v>34462</v>
      </c>
      <c r="K2128" t="s">
        <v>42730</v>
      </c>
      <c r="M2128" t="s">
        <v>43949</v>
      </c>
      <c r="N2128" t="s">
        <v>47424</v>
      </c>
      <c r="O2128" t="s">
        <v>47425</v>
      </c>
      <c r="P2128">
        <v>0</v>
      </c>
      <c r="Q2128">
        <v>0</v>
      </c>
      <c r="R2128" t="s">
        <v>47429</v>
      </c>
      <c r="S2128" t="s">
        <v>47542</v>
      </c>
      <c r="T2128" t="s">
        <v>49119</v>
      </c>
      <c r="U2128" t="s">
        <v>51393</v>
      </c>
      <c r="W2128" t="s">
        <v>43949</v>
      </c>
      <c r="X2128" t="s">
        <v>47426</v>
      </c>
    </row>
    <row r="2129" spans="1:24">
      <c r="A2129">
        <f>HYPERLINK("https://www.philgeps.gov.ph/GEPSNONPILOT/Tender/SplashBidNoticeAbstractUI.aspx?menuIndex=3&amp;refID=7167392&amp;Result=3","7167392")</f>
        <v>0</v>
      </c>
      <c r="B2129" t="s">
        <v>970</v>
      </c>
      <c r="C2129" t="s">
        <v>5941</v>
      </c>
      <c r="D2129" t="s">
        <v>19060</v>
      </c>
      <c r="E2129" t="s">
        <v>19979</v>
      </c>
      <c r="F2129" t="s">
        <v>32831</v>
      </c>
      <c r="G2129" t="s">
        <v>32840</v>
      </c>
      <c r="H2129" t="s">
        <v>32848</v>
      </c>
      <c r="I2129" t="s">
        <v>32867</v>
      </c>
      <c r="J2129" t="s">
        <v>32980</v>
      </c>
      <c r="K2129" t="s">
        <v>42748</v>
      </c>
      <c r="M2129" t="s">
        <v>44016</v>
      </c>
      <c r="N2129" t="s">
        <v>47424</v>
      </c>
      <c r="O2129" t="s">
        <v>47425</v>
      </c>
      <c r="P2129">
        <v>0</v>
      </c>
      <c r="Q2129">
        <v>0</v>
      </c>
      <c r="R2129" t="s">
        <v>47429</v>
      </c>
      <c r="S2129" t="s">
        <v>47542</v>
      </c>
      <c r="T2129" t="s">
        <v>49150</v>
      </c>
      <c r="U2129" t="s">
        <v>51509</v>
      </c>
      <c r="W2129" t="s">
        <v>44016</v>
      </c>
      <c r="X2129" t="s">
        <v>47426</v>
      </c>
    </row>
    <row r="2130" spans="1:24">
      <c r="A2130">
        <f>HYPERLINK("https://www.philgeps.gov.ph/GEPSNONPILOT/Tender/SplashBidNoticeAbstractUI.aspx?menuIndex=3&amp;refID=7167351&amp;Result=3","7167351")</f>
        <v>0</v>
      </c>
      <c r="B2130" t="s">
        <v>920</v>
      </c>
      <c r="C2130" t="s">
        <v>5942</v>
      </c>
      <c r="E2130" t="s">
        <v>21041</v>
      </c>
      <c r="F2130" t="s">
        <v>32831</v>
      </c>
      <c r="G2130" t="s">
        <v>32838</v>
      </c>
      <c r="H2130" t="s">
        <v>32849</v>
      </c>
      <c r="I2130" t="s">
        <v>4177</v>
      </c>
      <c r="J2130" t="s">
        <v>34033</v>
      </c>
      <c r="K2130" t="s">
        <v>42732</v>
      </c>
      <c r="M2130" t="s">
        <v>43961</v>
      </c>
      <c r="N2130" t="s">
        <v>47424</v>
      </c>
      <c r="O2130" t="s">
        <v>47425</v>
      </c>
      <c r="P2130">
        <v>0</v>
      </c>
      <c r="Q2130">
        <v>0</v>
      </c>
      <c r="R2130" t="s">
        <v>47429</v>
      </c>
      <c r="S2130" t="s">
        <v>47542</v>
      </c>
      <c r="T2130" t="s">
        <v>49104</v>
      </c>
      <c r="U2130" t="s">
        <v>51478</v>
      </c>
      <c r="W2130" t="s">
        <v>43961</v>
      </c>
      <c r="X2130" t="s">
        <v>47426</v>
      </c>
    </row>
    <row r="2131" spans="1:24">
      <c r="A2131">
        <f>HYPERLINK("https://www.philgeps.gov.ph/GEPSNONPILOT/Tender/SplashBidNoticeAbstractUI.aspx?menuIndex=3&amp;refID=7167390&amp;Result=3","7167390")</f>
        <v>0</v>
      </c>
      <c r="B2131" t="s">
        <v>920</v>
      </c>
      <c r="C2131" t="s">
        <v>5943</v>
      </c>
      <c r="E2131" t="s">
        <v>21042</v>
      </c>
      <c r="F2131" t="s">
        <v>32831</v>
      </c>
      <c r="G2131" t="s">
        <v>32838</v>
      </c>
      <c r="H2131" t="s">
        <v>32849</v>
      </c>
      <c r="I2131" t="s">
        <v>4177</v>
      </c>
      <c r="J2131" t="s">
        <v>34463</v>
      </c>
      <c r="K2131" t="s">
        <v>42732</v>
      </c>
      <c r="M2131" t="s">
        <v>43961</v>
      </c>
      <c r="N2131" t="s">
        <v>47424</v>
      </c>
      <c r="O2131" t="s">
        <v>47425</v>
      </c>
      <c r="P2131">
        <v>0</v>
      </c>
      <c r="Q2131">
        <v>0</v>
      </c>
      <c r="R2131" t="s">
        <v>47429</v>
      </c>
      <c r="S2131" t="s">
        <v>47542</v>
      </c>
      <c r="T2131" t="s">
        <v>49104</v>
      </c>
      <c r="U2131" t="s">
        <v>51478</v>
      </c>
      <c r="W2131" t="s">
        <v>43961</v>
      </c>
      <c r="X2131" t="s">
        <v>47426</v>
      </c>
    </row>
    <row r="2132" spans="1:24">
      <c r="A2132">
        <f>HYPERLINK("https://www.philgeps.gov.ph/GEPSNONPILOT/Tender/SplashBidNoticeAbstractUI.aspx?menuIndex=3&amp;refID=7167358&amp;Result=3","7167358")</f>
        <v>0</v>
      </c>
      <c r="B2132" t="s">
        <v>834</v>
      </c>
      <c r="C2132" t="s">
        <v>5944</v>
      </c>
      <c r="D2132" t="s">
        <v>19046</v>
      </c>
      <c r="E2132" t="s">
        <v>21043</v>
      </c>
      <c r="F2132" t="s">
        <v>32831</v>
      </c>
      <c r="G2132" t="s">
        <v>32838</v>
      </c>
      <c r="H2132" t="s">
        <v>32848</v>
      </c>
      <c r="I2132" t="s">
        <v>32862</v>
      </c>
      <c r="J2132" t="s">
        <v>34464</v>
      </c>
      <c r="K2132" t="s">
        <v>42732</v>
      </c>
      <c r="M2132" t="s">
        <v>43983</v>
      </c>
      <c r="N2132" t="s">
        <v>47424</v>
      </c>
      <c r="O2132" t="s">
        <v>47425</v>
      </c>
      <c r="P2132">
        <v>0</v>
      </c>
      <c r="Q2132">
        <v>0</v>
      </c>
      <c r="R2132" t="s">
        <v>47429</v>
      </c>
      <c r="S2132" t="s">
        <v>47542</v>
      </c>
      <c r="T2132" t="s">
        <v>49059</v>
      </c>
      <c r="U2132" t="s">
        <v>51434</v>
      </c>
      <c r="W2132" t="s">
        <v>43983</v>
      </c>
      <c r="X2132" t="s">
        <v>47426</v>
      </c>
    </row>
    <row r="2133" spans="1:24">
      <c r="A2133">
        <f>HYPERLINK("https://www.philgeps.gov.ph/GEPSNONPILOT/Tender/SplashBidNoticeAbstractUI.aspx?menuIndex=3&amp;refID=7167388&amp;Result=3","7167388")</f>
        <v>0</v>
      </c>
      <c r="B2133" t="s">
        <v>909</v>
      </c>
      <c r="C2133" t="s">
        <v>5029</v>
      </c>
      <c r="D2133" t="s">
        <v>19067</v>
      </c>
      <c r="E2133" t="s">
        <v>21044</v>
      </c>
      <c r="F2133" t="s">
        <v>32831</v>
      </c>
      <c r="G2133" t="s">
        <v>32838</v>
      </c>
      <c r="H2133" t="s">
        <v>32848</v>
      </c>
      <c r="I2133" t="s">
        <v>9577</v>
      </c>
      <c r="J2133" t="s">
        <v>34465</v>
      </c>
      <c r="K2133" t="s">
        <v>42730</v>
      </c>
      <c r="M2133" t="s">
        <v>43949</v>
      </c>
      <c r="N2133" t="s">
        <v>47424</v>
      </c>
      <c r="O2133" t="s">
        <v>47425</v>
      </c>
      <c r="P2133">
        <v>0</v>
      </c>
      <c r="Q2133">
        <v>0</v>
      </c>
      <c r="R2133" t="s">
        <v>47429</v>
      </c>
      <c r="S2133" t="s">
        <v>47542</v>
      </c>
      <c r="T2133" t="s">
        <v>49129</v>
      </c>
      <c r="U2133" t="s">
        <v>51393</v>
      </c>
      <c r="W2133" t="s">
        <v>43949</v>
      </c>
      <c r="X2133" t="s">
        <v>47426</v>
      </c>
    </row>
    <row r="2134" spans="1:24">
      <c r="A2134">
        <f>HYPERLINK("https://www.philgeps.gov.ph/GEPSNONPILOT/Tender/SplashBidNoticeAbstractUI.aspx?menuIndex=3&amp;refID=7167395&amp;Result=3","7167395")</f>
        <v>0</v>
      </c>
      <c r="B2134" t="s">
        <v>910</v>
      </c>
      <c r="C2134" t="s">
        <v>5945</v>
      </c>
      <c r="E2134" t="s">
        <v>21045</v>
      </c>
      <c r="F2134" t="s">
        <v>32831</v>
      </c>
      <c r="G2134" t="s">
        <v>32839</v>
      </c>
      <c r="H2134" t="s">
        <v>32848</v>
      </c>
      <c r="I2134" t="s">
        <v>32904</v>
      </c>
      <c r="J2134" t="s">
        <v>34466</v>
      </c>
      <c r="K2134" t="s">
        <v>42770</v>
      </c>
      <c r="M2134" t="s">
        <v>43950</v>
      </c>
      <c r="N2134" t="s">
        <v>47424</v>
      </c>
      <c r="O2134" t="s">
        <v>47425</v>
      </c>
      <c r="P2134">
        <v>0</v>
      </c>
      <c r="Q2134">
        <v>0</v>
      </c>
      <c r="R2134" t="s">
        <v>47429</v>
      </c>
      <c r="S2134" t="s">
        <v>47542</v>
      </c>
      <c r="T2134" t="s">
        <v>49189</v>
      </c>
      <c r="U2134" t="s">
        <v>51369</v>
      </c>
      <c r="W2134" t="s">
        <v>43950</v>
      </c>
      <c r="X2134" t="s">
        <v>47426</v>
      </c>
    </row>
    <row r="2135" spans="1:24">
      <c r="A2135">
        <f>HYPERLINK("https://www.philgeps.gov.ph/GEPSNONPILOT/Tender/SplashBidNoticeAbstractUI.aspx?menuIndex=3&amp;refID=7167393&amp;Result=3","7167393")</f>
        <v>0</v>
      </c>
      <c r="B2135" t="s">
        <v>807</v>
      </c>
      <c r="C2135" t="s">
        <v>5946</v>
      </c>
      <c r="D2135" t="s">
        <v>19044</v>
      </c>
      <c r="E2135" t="s">
        <v>21046</v>
      </c>
      <c r="F2135" t="s">
        <v>32831</v>
      </c>
      <c r="G2135" t="s">
        <v>32838</v>
      </c>
      <c r="H2135" t="s">
        <v>32848</v>
      </c>
      <c r="I2135" t="s">
        <v>7416</v>
      </c>
      <c r="J2135" t="s">
        <v>34467</v>
      </c>
      <c r="K2135" t="s">
        <v>42727</v>
      </c>
      <c r="M2135" t="s">
        <v>43838</v>
      </c>
      <c r="N2135" t="s">
        <v>47424</v>
      </c>
      <c r="O2135" t="s">
        <v>47425</v>
      </c>
      <c r="P2135">
        <v>0</v>
      </c>
      <c r="Q2135">
        <v>0</v>
      </c>
      <c r="R2135" t="s">
        <v>47429</v>
      </c>
      <c r="S2135" t="s">
        <v>47542</v>
      </c>
      <c r="T2135" t="s">
        <v>49261</v>
      </c>
      <c r="U2135" t="s">
        <v>51510</v>
      </c>
      <c r="W2135" t="s">
        <v>43838</v>
      </c>
      <c r="X2135" t="s">
        <v>47426</v>
      </c>
    </row>
    <row r="2136" spans="1:24">
      <c r="A2136">
        <f>HYPERLINK("https://www.philgeps.gov.ph/GEPSNONPILOT/Tender/SplashBidNoticeAbstractUI.aspx?menuIndex=3&amp;refID=7167350&amp;Result=3","7167350")</f>
        <v>0</v>
      </c>
      <c r="B2136" t="s">
        <v>938</v>
      </c>
      <c r="C2136" t="s">
        <v>5947</v>
      </c>
      <c r="D2136" t="s">
        <v>19023</v>
      </c>
      <c r="E2136" t="s">
        <v>21047</v>
      </c>
      <c r="F2136" t="s">
        <v>32831</v>
      </c>
      <c r="G2136" t="s">
        <v>32838</v>
      </c>
      <c r="H2136" t="s">
        <v>32848</v>
      </c>
      <c r="I2136" t="s">
        <v>4487</v>
      </c>
      <c r="J2136" t="s">
        <v>33415</v>
      </c>
      <c r="K2136" t="s">
        <v>42748</v>
      </c>
      <c r="M2136" t="s">
        <v>43980</v>
      </c>
      <c r="N2136" t="s">
        <v>47424</v>
      </c>
      <c r="O2136" t="s">
        <v>47425</v>
      </c>
      <c r="P2136">
        <v>0</v>
      </c>
      <c r="Q2136">
        <v>0</v>
      </c>
      <c r="R2136" t="s">
        <v>47429</v>
      </c>
      <c r="S2136" t="s">
        <v>47542</v>
      </c>
      <c r="T2136" t="s">
        <v>49089</v>
      </c>
      <c r="U2136" t="s">
        <v>51511</v>
      </c>
      <c r="W2136" t="s">
        <v>43980</v>
      </c>
      <c r="X2136" t="s">
        <v>47426</v>
      </c>
    </row>
    <row r="2137" spans="1:24">
      <c r="A2137">
        <f>HYPERLINK("https://www.philgeps.gov.ph/GEPSNONPILOT/Tender/SplashBidNoticeAbstractUI.aspx?menuIndex=3&amp;refID=7167382&amp;Result=3","7167382")</f>
        <v>0</v>
      </c>
      <c r="B2137" t="s">
        <v>950</v>
      </c>
      <c r="C2137" t="s">
        <v>5948</v>
      </c>
      <c r="D2137" t="s">
        <v>19100</v>
      </c>
      <c r="E2137" t="s">
        <v>21048</v>
      </c>
      <c r="F2137" t="s">
        <v>32831</v>
      </c>
      <c r="G2137" t="s">
        <v>32838</v>
      </c>
      <c r="H2137" t="s">
        <v>32848</v>
      </c>
      <c r="I2137" t="s">
        <v>32870</v>
      </c>
      <c r="J2137" t="s">
        <v>33007</v>
      </c>
      <c r="K2137" t="s">
        <v>42748</v>
      </c>
      <c r="M2137" t="s">
        <v>43996</v>
      </c>
      <c r="N2137" t="s">
        <v>47424</v>
      </c>
      <c r="O2137" t="s">
        <v>47425</v>
      </c>
      <c r="P2137">
        <v>0</v>
      </c>
      <c r="Q2137">
        <v>0</v>
      </c>
      <c r="R2137" t="s">
        <v>47429</v>
      </c>
      <c r="S2137" t="s">
        <v>47542</v>
      </c>
      <c r="T2137" t="s">
        <v>49123</v>
      </c>
      <c r="U2137" t="s">
        <v>51512</v>
      </c>
      <c r="W2137" t="s">
        <v>43996</v>
      </c>
      <c r="X2137" t="s">
        <v>47426</v>
      </c>
    </row>
    <row r="2138" spans="1:24">
      <c r="A2138">
        <f>HYPERLINK("https://www.philgeps.gov.ph/GEPSNONPILOT/Tender/SplashBidNoticeAbstractUI.aspx?menuIndex=3&amp;refID=7167368&amp;Result=3","7167368")</f>
        <v>0</v>
      </c>
      <c r="B2138" t="s">
        <v>953</v>
      </c>
      <c r="C2138" t="s">
        <v>5949</v>
      </c>
      <c r="D2138" t="s">
        <v>19088</v>
      </c>
      <c r="E2138" t="s">
        <v>21049</v>
      </c>
      <c r="F2138" t="s">
        <v>32831</v>
      </c>
      <c r="G2138" t="s">
        <v>32838</v>
      </c>
      <c r="H2138" t="s">
        <v>32848</v>
      </c>
      <c r="I2138" t="s">
        <v>32857</v>
      </c>
      <c r="J2138" t="s">
        <v>33162</v>
      </c>
      <c r="K2138" t="s">
        <v>42726</v>
      </c>
      <c r="M2138" t="s">
        <v>43999</v>
      </c>
      <c r="N2138" t="s">
        <v>47424</v>
      </c>
      <c r="O2138" t="s">
        <v>47425</v>
      </c>
      <c r="P2138">
        <v>0</v>
      </c>
      <c r="Q2138">
        <v>0</v>
      </c>
      <c r="R2138" t="s">
        <v>47429</v>
      </c>
      <c r="S2138" t="s">
        <v>47542</v>
      </c>
      <c r="T2138" t="s">
        <v>49089</v>
      </c>
      <c r="U2138" t="s">
        <v>51131</v>
      </c>
      <c r="W2138" t="s">
        <v>43999</v>
      </c>
      <c r="X2138" t="s">
        <v>47426</v>
      </c>
    </row>
    <row r="2139" spans="1:24">
      <c r="A2139">
        <f>HYPERLINK("https://www.philgeps.gov.ph/GEPSNONPILOT/Tender/SplashBidNoticeAbstractUI.aspx?menuIndex=3&amp;refID=7167386&amp;Result=3","7167386")</f>
        <v>0</v>
      </c>
      <c r="B2139" t="s">
        <v>971</v>
      </c>
      <c r="C2139" t="s">
        <v>5950</v>
      </c>
      <c r="D2139" t="s">
        <v>19022</v>
      </c>
      <c r="E2139" t="s">
        <v>21050</v>
      </c>
      <c r="F2139" t="s">
        <v>32831</v>
      </c>
      <c r="G2139" t="s">
        <v>32838</v>
      </c>
      <c r="H2139" t="s">
        <v>32848</v>
      </c>
      <c r="I2139" t="s">
        <v>32862</v>
      </c>
      <c r="J2139" t="s">
        <v>34095</v>
      </c>
      <c r="K2139" t="s">
        <v>42727</v>
      </c>
      <c r="M2139" t="s">
        <v>44017</v>
      </c>
      <c r="N2139" t="s">
        <v>47424</v>
      </c>
      <c r="O2139" t="s">
        <v>47425</v>
      </c>
      <c r="P2139">
        <v>0</v>
      </c>
      <c r="Q2139">
        <v>0</v>
      </c>
      <c r="R2139" t="s">
        <v>47429</v>
      </c>
      <c r="S2139" t="s">
        <v>47542</v>
      </c>
      <c r="T2139" t="s">
        <v>49123</v>
      </c>
      <c r="U2139" t="s">
        <v>51513</v>
      </c>
      <c r="W2139" t="s">
        <v>44017</v>
      </c>
      <c r="X2139" t="s">
        <v>47426</v>
      </c>
    </row>
    <row r="2140" spans="1:24">
      <c r="A2140">
        <f>HYPERLINK("https://www.philgeps.gov.ph/GEPSNONPILOT/Tender/SplashBidNoticeAbstractUI.aspx?menuIndex=3&amp;refID=7167381&amp;Result=3","7167381")</f>
        <v>0</v>
      </c>
      <c r="B2140" t="s">
        <v>972</v>
      </c>
      <c r="C2140" t="s">
        <v>5951</v>
      </c>
      <c r="E2140" t="s">
        <v>21051</v>
      </c>
      <c r="F2140" t="s">
        <v>32831</v>
      </c>
      <c r="G2140" t="s">
        <v>32838</v>
      </c>
      <c r="H2140" t="s">
        <v>32848</v>
      </c>
      <c r="I2140" t="s">
        <v>32860</v>
      </c>
      <c r="J2140" t="s">
        <v>34468</v>
      </c>
      <c r="K2140" t="s">
        <v>42726</v>
      </c>
      <c r="M2140" t="s">
        <v>44018</v>
      </c>
      <c r="N2140" t="s">
        <v>47424</v>
      </c>
      <c r="O2140" t="s">
        <v>47425</v>
      </c>
      <c r="P2140">
        <v>0</v>
      </c>
      <c r="Q2140">
        <v>0</v>
      </c>
      <c r="R2140" t="s">
        <v>47429</v>
      </c>
      <c r="S2140" t="s">
        <v>47542</v>
      </c>
      <c r="T2140" t="s">
        <v>49089</v>
      </c>
      <c r="U2140" t="s">
        <v>51514</v>
      </c>
      <c r="W2140" t="s">
        <v>44018</v>
      </c>
      <c r="X2140" t="s">
        <v>47426</v>
      </c>
    </row>
    <row r="2141" spans="1:24">
      <c r="A2141">
        <f>HYPERLINK("https://www.philgeps.gov.ph/GEPSNONPILOT/Tender/SplashBidNoticeAbstractUI.aspx?menuIndex=3&amp;refID=7167389&amp;Result=3","7167389")</f>
        <v>0</v>
      </c>
      <c r="B2141" t="s">
        <v>973</v>
      </c>
      <c r="C2141" t="s">
        <v>5952</v>
      </c>
      <c r="D2141" t="s">
        <v>19023</v>
      </c>
      <c r="E2141" t="s">
        <v>21052</v>
      </c>
      <c r="F2141" t="s">
        <v>32831</v>
      </c>
      <c r="G2141" t="s">
        <v>32838</v>
      </c>
      <c r="H2141" t="s">
        <v>32848</v>
      </c>
      <c r="I2141" t="s">
        <v>32867</v>
      </c>
      <c r="J2141" t="s">
        <v>33162</v>
      </c>
      <c r="K2141" t="s">
        <v>42745</v>
      </c>
      <c r="M2141" t="s">
        <v>44019</v>
      </c>
      <c r="N2141" t="s">
        <v>47424</v>
      </c>
      <c r="O2141" t="s">
        <v>47425</v>
      </c>
      <c r="P2141">
        <v>0</v>
      </c>
      <c r="Q2141">
        <v>0</v>
      </c>
      <c r="R2141" t="s">
        <v>47429</v>
      </c>
      <c r="S2141" t="s">
        <v>47542</v>
      </c>
      <c r="T2141" t="s">
        <v>49175</v>
      </c>
      <c r="U2141" t="s">
        <v>51515</v>
      </c>
      <c r="W2141" t="s">
        <v>44019</v>
      </c>
      <c r="X2141" t="s">
        <v>47426</v>
      </c>
    </row>
    <row r="2142" spans="1:24">
      <c r="A2142">
        <f>HYPERLINK("https://www.philgeps.gov.ph/GEPSNONPILOT/Tender/SplashBidNoticeAbstractUI.aspx?menuIndex=3&amp;refID=7167394&amp;Result=3","7167394")</f>
        <v>0</v>
      </c>
      <c r="B2142" t="s">
        <v>974</v>
      </c>
      <c r="C2142" t="s">
        <v>5953</v>
      </c>
      <c r="D2142" t="s">
        <v>19029</v>
      </c>
      <c r="E2142" t="s">
        <v>20862</v>
      </c>
      <c r="F2142" t="s">
        <v>32831</v>
      </c>
      <c r="G2142" t="s">
        <v>32838</v>
      </c>
      <c r="H2142" t="s">
        <v>32850</v>
      </c>
      <c r="I2142" t="s">
        <v>5379</v>
      </c>
      <c r="J2142" t="s">
        <v>34469</v>
      </c>
      <c r="K2142" t="s">
        <v>42804</v>
      </c>
      <c r="M2142" t="s">
        <v>44020</v>
      </c>
      <c r="N2142" t="s">
        <v>47424</v>
      </c>
      <c r="O2142" t="s">
        <v>47425</v>
      </c>
      <c r="P2142">
        <v>0</v>
      </c>
      <c r="Q2142">
        <v>0</v>
      </c>
      <c r="R2142" t="s">
        <v>47429</v>
      </c>
      <c r="S2142" t="s">
        <v>47542</v>
      </c>
      <c r="T2142" t="s">
        <v>49119</v>
      </c>
      <c r="U2142" t="s">
        <v>51516</v>
      </c>
      <c r="V2142" t="s">
        <v>62853</v>
      </c>
      <c r="W2142" t="s">
        <v>44020</v>
      </c>
      <c r="X2142" t="s">
        <v>47426</v>
      </c>
    </row>
    <row r="2143" spans="1:24">
      <c r="A2143">
        <f>HYPERLINK("https://www.philgeps.gov.ph/GEPSNONPILOT/Tender/SplashBidNoticeAbstractUI.aspx?menuIndex=3&amp;refID=7167419&amp;Result=3","7167419")</f>
        <v>0</v>
      </c>
      <c r="B2143" t="s">
        <v>832</v>
      </c>
      <c r="C2143" t="s">
        <v>5954</v>
      </c>
      <c r="D2143" t="s">
        <v>19026</v>
      </c>
      <c r="E2143" t="s">
        <v>21053</v>
      </c>
      <c r="F2143" t="s">
        <v>32831</v>
      </c>
      <c r="G2143" t="s">
        <v>32842</v>
      </c>
      <c r="H2143" t="s">
        <v>32848</v>
      </c>
      <c r="I2143" t="s">
        <v>32860</v>
      </c>
      <c r="J2143" t="s">
        <v>34470</v>
      </c>
      <c r="K2143" t="s">
        <v>42745</v>
      </c>
      <c r="M2143" t="s">
        <v>43864</v>
      </c>
      <c r="N2143" t="s">
        <v>47424</v>
      </c>
      <c r="O2143" t="s">
        <v>47425</v>
      </c>
      <c r="P2143">
        <v>0</v>
      </c>
      <c r="Q2143">
        <v>0</v>
      </c>
      <c r="R2143" t="s">
        <v>47429</v>
      </c>
      <c r="S2143" t="s">
        <v>47542</v>
      </c>
      <c r="T2143" t="s">
        <v>49171</v>
      </c>
      <c r="U2143" t="s">
        <v>51215</v>
      </c>
      <c r="V2143" t="s">
        <v>62842</v>
      </c>
      <c r="W2143" t="s">
        <v>43864</v>
      </c>
      <c r="X2143" t="s">
        <v>47426</v>
      </c>
    </row>
    <row r="2144" spans="1:24">
      <c r="A2144">
        <f>HYPERLINK("https://www.philgeps.gov.ph/GEPSNONPILOT/Tender/SplashBidNoticeAbstractUI.aspx?menuIndex=3&amp;refID=7167418&amp;Result=3","7167418")</f>
        <v>0</v>
      </c>
      <c r="B2144" t="s">
        <v>100</v>
      </c>
      <c r="C2144" t="s">
        <v>5955</v>
      </c>
      <c r="D2144" t="s">
        <v>19017</v>
      </c>
      <c r="E2144" t="s">
        <v>21054</v>
      </c>
      <c r="F2144" t="s">
        <v>32831</v>
      </c>
      <c r="G2144" t="s">
        <v>32840</v>
      </c>
      <c r="H2144" t="s">
        <v>32848</v>
      </c>
      <c r="I2144" t="s">
        <v>32857</v>
      </c>
      <c r="J2144" t="s">
        <v>33090</v>
      </c>
      <c r="K2144" t="s">
        <v>42731</v>
      </c>
      <c r="M2144" t="s">
        <v>44021</v>
      </c>
      <c r="N2144" t="s">
        <v>47424</v>
      </c>
      <c r="O2144" t="s">
        <v>47425</v>
      </c>
      <c r="P2144">
        <v>0</v>
      </c>
      <c r="Q2144">
        <v>0</v>
      </c>
      <c r="R2144" t="s">
        <v>47429</v>
      </c>
      <c r="S2144" t="s">
        <v>47542</v>
      </c>
      <c r="T2144" t="s">
        <v>49100</v>
      </c>
      <c r="U2144" t="s">
        <v>51517</v>
      </c>
      <c r="W2144" t="s">
        <v>44021</v>
      </c>
      <c r="X2144" t="s">
        <v>47426</v>
      </c>
    </row>
    <row r="2145" spans="1:24">
      <c r="A2145">
        <f>HYPERLINK("https://www.philgeps.gov.ph/GEPSNONPILOT/Tender/SplashBidNoticeAbstractUI.aspx?menuIndex=3&amp;refID=7167411&amp;Result=3","7167411")</f>
        <v>0</v>
      </c>
      <c r="B2145" t="s">
        <v>834</v>
      </c>
      <c r="C2145" t="s">
        <v>5956</v>
      </c>
      <c r="D2145" t="s">
        <v>19046</v>
      </c>
      <c r="E2145" t="s">
        <v>21055</v>
      </c>
      <c r="F2145" t="s">
        <v>32831</v>
      </c>
      <c r="G2145" t="s">
        <v>32839</v>
      </c>
      <c r="H2145" t="s">
        <v>32848</v>
      </c>
      <c r="I2145" t="s">
        <v>32857</v>
      </c>
      <c r="J2145" t="s">
        <v>34471</v>
      </c>
      <c r="K2145" t="s">
        <v>42732</v>
      </c>
      <c r="M2145" t="s">
        <v>43983</v>
      </c>
      <c r="N2145" t="s">
        <v>47424</v>
      </c>
      <c r="O2145" t="s">
        <v>47425</v>
      </c>
      <c r="P2145">
        <v>0</v>
      </c>
      <c r="Q2145">
        <v>0</v>
      </c>
      <c r="R2145" t="s">
        <v>47429</v>
      </c>
      <c r="S2145" t="s">
        <v>47542</v>
      </c>
      <c r="T2145" t="s">
        <v>49059</v>
      </c>
      <c r="U2145" t="s">
        <v>51434</v>
      </c>
      <c r="W2145" t="s">
        <v>43983</v>
      </c>
      <c r="X2145" t="s">
        <v>47426</v>
      </c>
    </row>
    <row r="2146" spans="1:24">
      <c r="A2146">
        <f>HYPERLINK("https://www.philgeps.gov.ph/GEPSNONPILOT/Tender/SplashBidNoticeAbstractUI.aspx?menuIndex=3&amp;refID=7167410&amp;Result=3","7167410")</f>
        <v>0</v>
      </c>
      <c r="B2146" t="s">
        <v>842</v>
      </c>
      <c r="C2146" t="s">
        <v>5957</v>
      </c>
      <c r="D2146" t="s">
        <v>19044</v>
      </c>
      <c r="E2146" t="s">
        <v>21056</v>
      </c>
      <c r="F2146" t="s">
        <v>32831</v>
      </c>
      <c r="G2146" t="s">
        <v>32840</v>
      </c>
      <c r="H2146" t="s">
        <v>32848</v>
      </c>
      <c r="I2146" t="s">
        <v>32870</v>
      </c>
      <c r="J2146" t="s">
        <v>34472</v>
      </c>
      <c r="K2146" t="s">
        <v>42758</v>
      </c>
      <c r="M2146" t="s">
        <v>43875</v>
      </c>
      <c r="N2146" t="s">
        <v>47424</v>
      </c>
      <c r="O2146" t="s">
        <v>47425</v>
      </c>
      <c r="P2146">
        <v>0</v>
      </c>
      <c r="Q2146">
        <v>0</v>
      </c>
      <c r="R2146" t="s">
        <v>47429</v>
      </c>
      <c r="S2146" t="s">
        <v>47542</v>
      </c>
      <c r="T2146" t="s">
        <v>49079</v>
      </c>
      <c r="U2146" t="s">
        <v>51518</v>
      </c>
      <c r="W2146" t="s">
        <v>43875</v>
      </c>
      <c r="X2146" t="s">
        <v>47426</v>
      </c>
    </row>
    <row r="2147" spans="1:24">
      <c r="A2147">
        <f>HYPERLINK("https://www.philgeps.gov.ph/GEPSNONPILOT/Tender/SplashBidNoticeAbstractUI.aspx?menuIndex=3&amp;refID=7167415&amp;Result=3","7167415")</f>
        <v>0</v>
      </c>
      <c r="B2147" t="s">
        <v>952</v>
      </c>
      <c r="C2147" t="s">
        <v>5958</v>
      </c>
      <c r="D2147" t="s">
        <v>19022</v>
      </c>
      <c r="E2147" t="s">
        <v>21057</v>
      </c>
      <c r="F2147" t="s">
        <v>32831</v>
      </c>
      <c r="G2147" t="s">
        <v>32839</v>
      </c>
      <c r="H2147" t="s">
        <v>32849</v>
      </c>
      <c r="I2147" t="s">
        <v>4177</v>
      </c>
      <c r="J2147" t="s">
        <v>34473</v>
      </c>
      <c r="K2147" t="s">
        <v>42770</v>
      </c>
      <c r="M2147" t="s">
        <v>43998</v>
      </c>
      <c r="N2147" t="s">
        <v>47424</v>
      </c>
      <c r="O2147" t="s">
        <v>47425</v>
      </c>
      <c r="P2147">
        <v>0</v>
      </c>
      <c r="Q2147">
        <v>0</v>
      </c>
      <c r="R2147" t="s">
        <v>47429</v>
      </c>
      <c r="S2147" t="s">
        <v>47542</v>
      </c>
      <c r="T2147" t="s">
        <v>49260</v>
      </c>
      <c r="U2147" t="s">
        <v>51519</v>
      </c>
      <c r="W2147" t="s">
        <v>43998</v>
      </c>
      <c r="X2147" t="s">
        <v>47426</v>
      </c>
    </row>
    <row r="2148" spans="1:24">
      <c r="A2148">
        <f>HYPERLINK("https://www.philgeps.gov.ph/GEPSNONPILOT/Tender/SplashBidNoticeAbstractUI.aspx?menuIndex=3&amp;refID=7167412&amp;Result=3","7167412")</f>
        <v>0</v>
      </c>
      <c r="B2148" t="s">
        <v>78</v>
      </c>
      <c r="C2148" t="s">
        <v>5959</v>
      </c>
      <c r="D2148" t="s">
        <v>19023</v>
      </c>
      <c r="E2148" t="s">
        <v>21058</v>
      </c>
      <c r="F2148" t="s">
        <v>32831</v>
      </c>
      <c r="G2148" t="s">
        <v>32838</v>
      </c>
      <c r="H2148" t="s">
        <v>32848</v>
      </c>
      <c r="I2148" t="s">
        <v>6526</v>
      </c>
      <c r="J2148" t="s">
        <v>34474</v>
      </c>
      <c r="K2148" t="s">
        <v>42748</v>
      </c>
      <c r="M2148" t="s">
        <v>44022</v>
      </c>
      <c r="N2148" t="s">
        <v>47424</v>
      </c>
      <c r="O2148" t="s">
        <v>47425</v>
      </c>
      <c r="P2148">
        <v>0</v>
      </c>
      <c r="Q2148">
        <v>0</v>
      </c>
      <c r="R2148" t="s">
        <v>47429</v>
      </c>
      <c r="S2148" t="s">
        <v>47542</v>
      </c>
      <c r="T2148" t="s">
        <v>49208</v>
      </c>
      <c r="U2148" t="s">
        <v>51520</v>
      </c>
      <c r="W2148" t="s">
        <v>44022</v>
      </c>
      <c r="X2148" t="s">
        <v>47426</v>
      </c>
    </row>
    <row r="2149" spans="1:24">
      <c r="A2149">
        <f>HYPERLINK("https://www.philgeps.gov.ph/GEPSNONPILOT/Tender/SplashBidNoticeAbstractUI.aspx?menuIndex=3&amp;refID=7167409&amp;Result=3","7167409")</f>
        <v>0</v>
      </c>
      <c r="B2149" t="s">
        <v>324</v>
      </c>
      <c r="C2149" t="s">
        <v>5960</v>
      </c>
      <c r="D2149" t="s">
        <v>19097</v>
      </c>
      <c r="E2149" t="s">
        <v>21059</v>
      </c>
      <c r="F2149" t="s">
        <v>32831</v>
      </c>
      <c r="G2149" t="s">
        <v>32838</v>
      </c>
      <c r="H2149" t="s">
        <v>32848</v>
      </c>
      <c r="I2149" t="s">
        <v>32883</v>
      </c>
      <c r="J2149" t="s">
        <v>32983</v>
      </c>
      <c r="K2149" t="s">
        <v>42730</v>
      </c>
      <c r="M2149" t="s">
        <v>43940</v>
      </c>
      <c r="N2149" t="s">
        <v>47424</v>
      </c>
      <c r="O2149" t="s">
        <v>47425</v>
      </c>
      <c r="P2149">
        <v>0</v>
      </c>
      <c r="Q2149">
        <v>0</v>
      </c>
      <c r="R2149" t="s">
        <v>47429</v>
      </c>
      <c r="S2149" t="s">
        <v>47542</v>
      </c>
      <c r="T2149" t="s">
        <v>49171</v>
      </c>
      <c r="U2149" t="s">
        <v>51521</v>
      </c>
      <c r="W2149" t="s">
        <v>43940</v>
      </c>
      <c r="X2149" t="s">
        <v>47426</v>
      </c>
    </row>
    <row r="2150" spans="1:24">
      <c r="A2150">
        <f>HYPERLINK("https://www.philgeps.gov.ph/GEPSNONPILOT/Tender/SplashBidNoticeAbstractUI.aspx?menuIndex=3&amp;refID=7167417&amp;Result=3","7167417")</f>
        <v>0</v>
      </c>
      <c r="B2150" t="s">
        <v>961</v>
      </c>
      <c r="C2150" t="s">
        <v>5961</v>
      </c>
      <c r="D2150" t="s">
        <v>19021</v>
      </c>
      <c r="E2150" t="s">
        <v>21060</v>
      </c>
      <c r="F2150" t="s">
        <v>32831</v>
      </c>
      <c r="G2150" t="s">
        <v>32838</v>
      </c>
      <c r="H2150" t="s">
        <v>32848</v>
      </c>
      <c r="I2150" t="s">
        <v>7416</v>
      </c>
      <c r="J2150" t="s">
        <v>34475</v>
      </c>
      <c r="K2150" t="s">
        <v>42726</v>
      </c>
      <c r="M2150" t="s">
        <v>44007</v>
      </c>
      <c r="N2150" t="s">
        <v>47424</v>
      </c>
      <c r="O2150" t="s">
        <v>47425</v>
      </c>
      <c r="P2150">
        <v>0</v>
      </c>
      <c r="Q2150">
        <v>0</v>
      </c>
      <c r="R2150" t="s">
        <v>47429</v>
      </c>
      <c r="S2150" t="s">
        <v>47542</v>
      </c>
      <c r="T2150" t="s">
        <v>49119</v>
      </c>
      <c r="U2150" t="s">
        <v>51522</v>
      </c>
      <c r="W2150" t="s">
        <v>44007</v>
      </c>
      <c r="X2150" t="s">
        <v>47426</v>
      </c>
    </row>
    <row r="2151" spans="1:24">
      <c r="A2151">
        <f>HYPERLINK("https://www.philgeps.gov.ph/GEPSNONPILOT/Tender/SplashBidNoticeAbstractUI.aspx?menuIndex=3&amp;refID=7167405&amp;Result=3","7167405")</f>
        <v>0</v>
      </c>
      <c r="B2151" t="s">
        <v>312</v>
      </c>
      <c r="C2151" t="s">
        <v>5962</v>
      </c>
      <c r="D2151" t="s">
        <v>19018</v>
      </c>
      <c r="E2151" t="s">
        <v>21061</v>
      </c>
      <c r="F2151" t="s">
        <v>32831</v>
      </c>
      <c r="G2151" t="s">
        <v>32839</v>
      </c>
      <c r="H2151" t="s">
        <v>32849</v>
      </c>
      <c r="I2151" t="s">
        <v>4177</v>
      </c>
      <c r="J2151" t="s">
        <v>33083</v>
      </c>
      <c r="K2151" t="s">
        <v>42730</v>
      </c>
      <c r="M2151" t="s">
        <v>43314</v>
      </c>
      <c r="N2151" t="s">
        <v>47424</v>
      </c>
      <c r="O2151" t="s">
        <v>47425</v>
      </c>
      <c r="P2151">
        <v>0</v>
      </c>
      <c r="Q2151">
        <v>0</v>
      </c>
      <c r="R2151" t="s">
        <v>47429</v>
      </c>
      <c r="S2151" t="s">
        <v>47542</v>
      </c>
      <c r="T2151" t="s">
        <v>49219</v>
      </c>
      <c r="U2151" t="s">
        <v>51523</v>
      </c>
      <c r="W2151" t="s">
        <v>43314</v>
      </c>
      <c r="X2151" t="s">
        <v>47426</v>
      </c>
    </row>
    <row r="2152" spans="1:24">
      <c r="A2152">
        <f>HYPERLINK("https://www.philgeps.gov.ph/GEPSNONPILOT/Tender/SplashBidNoticeAbstractUI.aspx?menuIndex=3&amp;refID=7167404&amp;Result=3","7167404")</f>
        <v>0</v>
      </c>
      <c r="B2152" t="s">
        <v>913</v>
      </c>
      <c r="C2152" t="s">
        <v>5963</v>
      </c>
      <c r="D2152" t="s">
        <v>19022</v>
      </c>
      <c r="E2152" t="s">
        <v>21062</v>
      </c>
      <c r="F2152" t="s">
        <v>32831</v>
      </c>
      <c r="G2152" t="s">
        <v>32840</v>
      </c>
      <c r="H2152" t="s">
        <v>32848</v>
      </c>
      <c r="I2152" t="s">
        <v>8781</v>
      </c>
      <c r="J2152" t="s">
        <v>34476</v>
      </c>
      <c r="K2152" t="s">
        <v>42729</v>
      </c>
      <c r="M2152" t="s">
        <v>43953</v>
      </c>
      <c r="N2152" t="s">
        <v>47424</v>
      </c>
      <c r="O2152" t="s">
        <v>47425</v>
      </c>
      <c r="P2152">
        <v>0</v>
      </c>
      <c r="Q2152">
        <v>0</v>
      </c>
      <c r="R2152" t="s">
        <v>47429</v>
      </c>
      <c r="S2152" t="s">
        <v>47542</v>
      </c>
      <c r="T2152" t="s">
        <v>49068</v>
      </c>
      <c r="U2152" t="s">
        <v>51374</v>
      </c>
      <c r="W2152" t="s">
        <v>43953</v>
      </c>
      <c r="X2152" t="s">
        <v>47426</v>
      </c>
    </row>
    <row r="2153" spans="1:24">
      <c r="A2153">
        <f>HYPERLINK("https://www.philgeps.gov.ph/GEPSNONPILOT/Tender/SplashBidNoticeAbstractUI.aspx?menuIndex=3&amp;refID=7167408&amp;Result=3","7167408")</f>
        <v>0</v>
      </c>
      <c r="B2153" t="s">
        <v>187</v>
      </c>
      <c r="C2153" t="s">
        <v>5964</v>
      </c>
      <c r="D2153" t="s">
        <v>19041</v>
      </c>
      <c r="E2153" t="s">
        <v>21063</v>
      </c>
      <c r="F2153" t="s">
        <v>32831</v>
      </c>
      <c r="G2153" t="s">
        <v>32838</v>
      </c>
      <c r="H2153" t="s">
        <v>32849</v>
      </c>
      <c r="I2153" t="s">
        <v>4177</v>
      </c>
      <c r="J2153" t="s">
        <v>34477</v>
      </c>
      <c r="K2153" t="s">
        <v>42817</v>
      </c>
      <c r="M2153" t="s">
        <v>44023</v>
      </c>
      <c r="N2153" t="s">
        <v>47424</v>
      </c>
      <c r="O2153" t="s">
        <v>47425</v>
      </c>
      <c r="P2153">
        <v>0</v>
      </c>
      <c r="Q2153">
        <v>0</v>
      </c>
      <c r="R2153" t="s">
        <v>47429</v>
      </c>
      <c r="S2153" t="s">
        <v>47542</v>
      </c>
      <c r="T2153" t="s">
        <v>49159</v>
      </c>
      <c r="U2153" t="s">
        <v>51524</v>
      </c>
      <c r="W2153" t="s">
        <v>44023</v>
      </c>
      <c r="X2153" t="s">
        <v>47426</v>
      </c>
    </row>
    <row r="2154" spans="1:24">
      <c r="A2154">
        <f>HYPERLINK("https://www.philgeps.gov.ph/GEPSNONPILOT/Tender/SplashBidNoticeAbstractUI.aspx?menuIndex=3&amp;refID=7167443&amp;Result=3","7167443")</f>
        <v>0</v>
      </c>
      <c r="B2154" t="s">
        <v>100</v>
      </c>
      <c r="C2154" t="s">
        <v>5965</v>
      </c>
      <c r="D2154" t="s">
        <v>19017</v>
      </c>
      <c r="E2154" t="s">
        <v>21064</v>
      </c>
      <c r="F2154" t="s">
        <v>32831</v>
      </c>
      <c r="G2154" t="s">
        <v>32840</v>
      </c>
      <c r="H2154" t="s">
        <v>32848</v>
      </c>
      <c r="I2154" t="s">
        <v>32857</v>
      </c>
      <c r="J2154" t="s">
        <v>34478</v>
      </c>
      <c r="K2154" t="s">
        <v>42731</v>
      </c>
      <c r="M2154" t="s">
        <v>44021</v>
      </c>
      <c r="N2154" t="s">
        <v>47424</v>
      </c>
      <c r="O2154" t="s">
        <v>47425</v>
      </c>
      <c r="P2154">
        <v>0</v>
      </c>
      <c r="Q2154">
        <v>0</v>
      </c>
      <c r="R2154" t="s">
        <v>47429</v>
      </c>
      <c r="S2154" t="s">
        <v>47542</v>
      </c>
      <c r="T2154" t="s">
        <v>49100</v>
      </c>
      <c r="U2154" t="s">
        <v>51525</v>
      </c>
      <c r="W2154" t="s">
        <v>44021</v>
      </c>
      <c r="X2154" t="s">
        <v>47426</v>
      </c>
    </row>
    <row r="2155" spans="1:24">
      <c r="A2155">
        <f>HYPERLINK("https://www.philgeps.gov.ph/GEPSNONPILOT/Tender/SplashBidNoticeAbstractUI.aspx?menuIndex=3&amp;refID=7167416&amp;Result=3","7167416")</f>
        <v>0</v>
      </c>
      <c r="B2155" t="s">
        <v>959</v>
      </c>
      <c r="C2155" t="s">
        <v>5966</v>
      </c>
      <c r="D2155" t="s">
        <v>19078</v>
      </c>
      <c r="E2155" t="s">
        <v>19161</v>
      </c>
      <c r="F2155" t="s">
        <v>32831</v>
      </c>
      <c r="G2155" t="s">
        <v>32839</v>
      </c>
      <c r="H2155" t="s">
        <v>32849</v>
      </c>
      <c r="I2155" t="s">
        <v>4177</v>
      </c>
      <c r="J2155" t="s">
        <v>34479</v>
      </c>
      <c r="K2155" t="s">
        <v>42743</v>
      </c>
      <c r="M2155" t="s">
        <v>44005</v>
      </c>
      <c r="N2155" t="s">
        <v>47424</v>
      </c>
      <c r="O2155" t="s">
        <v>47425</v>
      </c>
      <c r="P2155">
        <v>0</v>
      </c>
      <c r="Q2155">
        <v>0</v>
      </c>
      <c r="R2155" t="s">
        <v>47429</v>
      </c>
      <c r="S2155" t="s">
        <v>47542</v>
      </c>
      <c r="T2155" t="s">
        <v>49078</v>
      </c>
      <c r="U2155" t="s">
        <v>51526</v>
      </c>
      <c r="W2155" t="s">
        <v>44005</v>
      </c>
      <c r="X2155" t="s">
        <v>47426</v>
      </c>
    </row>
    <row r="2156" spans="1:24">
      <c r="A2156">
        <f>HYPERLINK("https://www.philgeps.gov.ph/GEPSNONPILOT/Tender/SplashBidNoticeAbstractUI.aspx?menuIndex=3&amp;refID=7167414&amp;Result=3","7167414")</f>
        <v>0</v>
      </c>
      <c r="B2156" t="s">
        <v>748</v>
      </c>
      <c r="C2156" t="s">
        <v>5967</v>
      </c>
      <c r="D2156" t="s">
        <v>19081</v>
      </c>
      <c r="E2156" t="s">
        <v>21065</v>
      </c>
      <c r="F2156" t="s">
        <v>32831</v>
      </c>
      <c r="G2156" t="s">
        <v>32838</v>
      </c>
      <c r="H2156" t="s">
        <v>32848</v>
      </c>
      <c r="I2156" t="s">
        <v>9577</v>
      </c>
      <c r="J2156" t="s">
        <v>34480</v>
      </c>
      <c r="K2156" t="s">
        <v>42759</v>
      </c>
      <c r="M2156" t="s">
        <v>43771</v>
      </c>
      <c r="N2156" t="s">
        <v>47424</v>
      </c>
      <c r="O2156" t="s">
        <v>47425</v>
      </c>
      <c r="P2156">
        <v>0</v>
      </c>
      <c r="Q2156">
        <v>0</v>
      </c>
      <c r="R2156" t="s">
        <v>47429</v>
      </c>
      <c r="S2156" t="s">
        <v>47542</v>
      </c>
      <c r="T2156" t="s">
        <v>49253</v>
      </c>
      <c r="U2156" t="s">
        <v>51527</v>
      </c>
      <c r="W2156" t="s">
        <v>43771</v>
      </c>
      <c r="X2156" t="s">
        <v>47426</v>
      </c>
    </row>
    <row r="2157" spans="1:24">
      <c r="A2157">
        <f>HYPERLINK("https://www.philgeps.gov.ph/GEPSNONPILOT/Tender/SplashBidNoticeAbstractUI.aspx?menuIndex=3&amp;refID=7167407&amp;Result=3","7167407")</f>
        <v>0</v>
      </c>
      <c r="B2157" t="s">
        <v>198</v>
      </c>
      <c r="C2157" t="s">
        <v>5968</v>
      </c>
      <c r="D2157" t="s">
        <v>19045</v>
      </c>
      <c r="E2157" t="s">
        <v>21066</v>
      </c>
      <c r="F2157" t="s">
        <v>32831</v>
      </c>
      <c r="G2157" t="s">
        <v>32838</v>
      </c>
      <c r="H2157" t="s">
        <v>32848</v>
      </c>
      <c r="I2157" t="s">
        <v>32852</v>
      </c>
      <c r="J2157" t="s">
        <v>34481</v>
      </c>
      <c r="K2157" t="s">
        <v>42758</v>
      </c>
      <c r="M2157" t="s">
        <v>43196</v>
      </c>
      <c r="N2157" t="s">
        <v>47424</v>
      </c>
      <c r="O2157" t="s">
        <v>47425</v>
      </c>
      <c r="P2157">
        <v>0</v>
      </c>
      <c r="Q2157">
        <v>0</v>
      </c>
      <c r="R2157" t="s">
        <v>47429</v>
      </c>
      <c r="S2157" t="s">
        <v>47542</v>
      </c>
      <c r="T2157" t="s">
        <v>49089</v>
      </c>
      <c r="U2157" t="s">
        <v>51528</v>
      </c>
      <c r="W2157" t="s">
        <v>43196</v>
      </c>
      <c r="X2157" t="s">
        <v>47426</v>
      </c>
    </row>
    <row r="2158" spans="1:24">
      <c r="A2158">
        <f>HYPERLINK("https://www.philgeps.gov.ph/GEPSNONPILOT/Tender/SplashBidNoticeAbstractUI.aspx?menuIndex=3&amp;refID=7167440&amp;Result=3","7167440")</f>
        <v>0</v>
      </c>
      <c r="B2158" t="s">
        <v>704</v>
      </c>
      <c r="C2158" t="s">
        <v>5969</v>
      </c>
      <c r="D2158" t="s">
        <v>19052</v>
      </c>
      <c r="E2158" t="s">
        <v>21067</v>
      </c>
      <c r="F2158" t="s">
        <v>32831</v>
      </c>
      <c r="G2158" t="s">
        <v>32838</v>
      </c>
      <c r="H2158" t="s">
        <v>32848</v>
      </c>
      <c r="I2158" t="s">
        <v>32868</v>
      </c>
      <c r="J2158" t="s">
        <v>34355</v>
      </c>
      <c r="K2158" t="s">
        <v>42730</v>
      </c>
      <c r="M2158" t="s">
        <v>43723</v>
      </c>
      <c r="N2158" t="s">
        <v>47424</v>
      </c>
      <c r="O2158" t="s">
        <v>47425</v>
      </c>
      <c r="P2158">
        <v>0</v>
      </c>
      <c r="Q2158">
        <v>0</v>
      </c>
      <c r="R2158" t="s">
        <v>47429</v>
      </c>
      <c r="S2158" t="s">
        <v>47542</v>
      </c>
      <c r="T2158" t="s">
        <v>49124</v>
      </c>
      <c r="U2158" t="s">
        <v>51529</v>
      </c>
      <c r="W2158" t="s">
        <v>43723</v>
      </c>
      <c r="X2158" t="s">
        <v>47426</v>
      </c>
    </row>
    <row r="2159" spans="1:24">
      <c r="A2159">
        <f>HYPERLINK("https://www.philgeps.gov.ph/GEPSNONPILOT/Tender/SplashBidNoticeAbstractUI.aspx?menuIndex=3&amp;refID=7167406&amp;Result=3","7167406")</f>
        <v>0</v>
      </c>
      <c r="B2159" t="s">
        <v>961</v>
      </c>
      <c r="C2159" t="s">
        <v>5970</v>
      </c>
      <c r="D2159" t="s">
        <v>19021</v>
      </c>
      <c r="E2159" t="s">
        <v>21068</v>
      </c>
      <c r="F2159" t="s">
        <v>32831</v>
      </c>
      <c r="G2159" t="s">
        <v>32838</v>
      </c>
      <c r="H2159" t="s">
        <v>32848</v>
      </c>
      <c r="I2159" t="s">
        <v>32892</v>
      </c>
      <c r="J2159" t="s">
        <v>34482</v>
      </c>
      <c r="K2159" t="s">
        <v>42726</v>
      </c>
      <c r="M2159" t="s">
        <v>44007</v>
      </c>
      <c r="N2159" t="s">
        <v>47424</v>
      </c>
      <c r="O2159" t="s">
        <v>47425</v>
      </c>
      <c r="P2159">
        <v>0</v>
      </c>
      <c r="Q2159">
        <v>0</v>
      </c>
      <c r="R2159" t="s">
        <v>47429</v>
      </c>
      <c r="S2159" t="s">
        <v>47542</v>
      </c>
      <c r="T2159" t="s">
        <v>49119</v>
      </c>
      <c r="U2159" t="s">
        <v>51530</v>
      </c>
      <c r="W2159" t="s">
        <v>44007</v>
      </c>
      <c r="X2159" t="s">
        <v>47426</v>
      </c>
    </row>
    <row r="2160" spans="1:24">
      <c r="A2160">
        <f>HYPERLINK("https://www.philgeps.gov.ph/GEPSNONPILOT/Tender/SplashBidNoticeAbstractUI.aspx?menuIndex=3&amp;refID=7167438&amp;Result=3","7167438")</f>
        <v>0</v>
      </c>
      <c r="B2160" t="s">
        <v>842</v>
      </c>
      <c r="C2160" t="s">
        <v>5957</v>
      </c>
      <c r="D2160" t="s">
        <v>19044</v>
      </c>
      <c r="E2160" t="s">
        <v>21069</v>
      </c>
      <c r="F2160" t="s">
        <v>32831</v>
      </c>
      <c r="G2160" t="s">
        <v>32840</v>
      </c>
      <c r="H2160" t="s">
        <v>32848</v>
      </c>
      <c r="I2160" t="s">
        <v>32870</v>
      </c>
      <c r="J2160" t="s">
        <v>34483</v>
      </c>
      <c r="K2160" t="s">
        <v>42758</v>
      </c>
      <c r="M2160" t="s">
        <v>43875</v>
      </c>
      <c r="N2160" t="s">
        <v>47424</v>
      </c>
      <c r="O2160" t="s">
        <v>47425</v>
      </c>
      <c r="P2160">
        <v>0</v>
      </c>
      <c r="Q2160">
        <v>0</v>
      </c>
      <c r="R2160" t="s">
        <v>47429</v>
      </c>
      <c r="S2160" t="s">
        <v>47542</v>
      </c>
      <c r="T2160" t="s">
        <v>49079</v>
      </c>
      <c r="U2160" t="s">
        <v>51518</v>
      </c>
      <c r="W2160" t="s">
        <v>43875</v>
      </c>
      <c r="X2160" t="s">
        <v>47426</v>
      </c>
    </row>
    <row r="2161" spans="1:24">
      <c r="A2161">
        <f>HYPERLINK("https://www.philgeps.gov.ph/GEPSNONPILOT/Tender/SplashBidNoticeAbstractUI.aspx?menuIndex=3&amp;refID=7167435&amp;Result=3","7167435")</f>
        <v>0</v>
      </c>
      <c r="B2161" t="s">
        <v>975</v>
      </c>
      <c r="C2161" t="s">
        <v>5971</v>
      </c>
      <c r="D2161" t="s">
        <v>19044</v>
      </c>
      <c r="E2161" t="s">
        <v>21070</v>
      </c>
      <c r="F2161" t="s">
        <v>32831</v>
      </c>
      <c r="G2161" t="s">
        <v>32838</v>
      </c>
      <c r="H2161" t="s">
        <v>32848</v>
      </c>
      <c r="I2161" t="s">
        <v>4303</v>
      </c>
      <c r="J2161" t="s">
        <v>34484</v>
      </c>
      <c r="K2161" t="s">
        <v>42748</v>
      </c>
      <c r="M2161" t="s">
        <v>44024</v>
      </c>
      <c r="N2161" t="s">
        <v>47424</v>
      </c>
      <c r="O2161" t="s">
        <v>47425</v>
      </c>
      <c r="P2161">
        <v>0</v>
      </c>
      <c r="Q2161">
        <v>0</v>
      </c>
      <c r="R2161" t="s">
        <v>47429</v>
      </c>
      <c r="S2161" t="s">
        <v>47542</v>
      </c>
      <c r="T2161" t="s">
        <v>49124</v>
      </c>
      <c r="U2161" t="s">
        <v>51531</v>
      </c>
      <c r="W2161" t="s">
        <v>44024</v>
      </c>
      <c r="X2161" t="s">
        <v>47426</v>
      </c>
    </row>
    <row r="2162" spans="1:24">
      <c r="A2162">
        <f>HYPERLINK("https://www.philgeps.gov.ph/GEPSNONPILOT/Tender/SplashBidNoticeAbstractUI.aspx?menuIndex=3&amp;refID=7167433&amp;Result=3","7167433")</f>
        <v>0</v>
      </c>
      <c r="B2162" t="s">
        <v>832</v>
      </c>
      <c r="C2162" t="s">
        <v>5972</v>
      </c>
      <c r="D2162" t="s">
        <v>19026</v>
      </c>
      <c r="E2162" t="s">
        <v>21071</v>
      </c>
      <c r="F2162" t="s">
        <v>32831</v>
      </c>
      <c r="G2162" t="s">
        <v>32842</v>
      </c>
      <c r="H2162" t="s">
        <v>32848</v>
      </c>
      <c r="I2162" t="s">
        <v>32860</v>
      </c>
      <c r="J2162" t="s">
        <v>34485</v>
      </c>
      <c r="K2162" t="s">
        <v>42745</v>
      </c>
      <c r="M2162" t="s">
        <v>43864</v>
      </c>
      <c r="N2162" t="s">
        <v>47424</v>
      </c>
      <c r="O2162" t="s">
        <v>47425</v>
      </c>
      <c r="P2162">
        <v>0</v>
      </c>
      <c r="Q2162">
        <v>1</v>
      </c>
      <c r="R2162" t="s">
        <v>47429</v>
      </c>
      <c r="S2162" t="s">
        <v>47542</v>
      </c>
      <c r="T2162" t="s">
        <v>49066</v>
      </c>
      <c r="U2162" t="s">
        <v>51215</v>
      </c>
      <c r="V2162" t="s">
        <v>62842</v>
      </c>
      <c r="W2162" t="s">
        <v>43864</v>
      </c>
      <c r="X2162" t="s">
        <v>47426</v>
      </c>
    </row>
    <row r="2163" spans="1:24">
      <c r="A2163">
        <f>HYPERLINK("https://www.philgeps.gov.ph/GEPSNONPILOT/Tender/SplashBidNoticeAbstractUI.aspx?menuIndex=3&amp;refID=7167383&amp;Result=3","7167383")</f>
        <v>0</v>
      </c>
      <c r="B2163" t="s">
        <v>976</v>
      </c>
      <c r="C2163" t="s">
        <v>5973</v>
      </c>
      <c r="E2163" t="s">
        <v>21072</v>
      </c>
      <c r="F2163" t="s">
        <v>32831</v>
      </c>
      <c r="G2163" t="s">
        <v>32839</v>
      </c>
      <c r="H2163" t="s">
        <v>32848</v>
      </c>
      <c r="I2163" t="s">
        <v>7416</v>
      </c>
      <c r="J2163" t="s">
        <v>34486</v>
      </c>
      <c r="K2163" t="s">
        <v>42732</v>
      </c>
      <c r="M2163" t="s">
        <v>44025</v>
      </c>
      <c r="N2163" t="s">
        <v>47424</v>
      </c>
      <c r="O2163" t="s">
        <v>47425</v>
      </c>
      <c r="P2163">
        <v>0</v>
      </c>
      <c r="Q2163">
        <v>0</v>
      </c>
      <c r="R2163" t="s">
        <v>47429</v>
      </c>
      <c r="S2163" t="s">
        <v>47542</v>
      </c>
      <c r="T2163" t="s">
        <v>49151</v>
      </c>
      <c r="U2163" t="s">
        <v>51532</v>
      </c>
      <c r="W2163" t="s">
        <v>44025</v>
      </c>
      <c r="X2163" t="s">
        <v>47426</v>
      </c>
    </row>
    <row r="2164" spans="1:24">
      <c r="A2164">
        <f>HYPERLINK("https://www.philgeps.gov.ph/GEPSNONPILOT/Tender/SplashBidNoticeAbstractUI.aspx?menuIndex=3&amp;refID=7167436&amp;Result=3","7167436")</f>
        <v>0</v>
      </c>
      <c r="B2164" t="s">
        <v>910</v>
      </c>
      <c r="C2164" t="s">
        <v>5974</v>
      </c>
      <c r="E2164" t="s">
        <v>21073</v>
      </c>
      <c r="F2164" t="s">
        <v>32831</v>
      </c>
      <c r="G2164" t="s">
        <v>32839</v>
      </c>
      <c r="H2164" t="s">
        <v>32848</v>
      </c>
      <c r="I2164" t="s">
        <v>32904</v>
      </c>
      <c r="J2164" t="s">
        <v>34487</v>
      </c>
      <c r="K2164" t="s">
        <v>42770</v>
      </c>
      <c r="M2164" t="s">
        <v>43950</v>
      </c>
      <c r="N2164" t="s">
        <v>47424</v>
      </c>
      <c r="O2164" t="s">
        <v>47425</v>
      </c>
      <c r="P2164">
        <v>0</v>
      </c>
      <c r="Q2164">
        <v>0</v>
      </c>
      <c r="R2164" t="s">
        <v>47429</v>
      </c>
      <c r="S2164" t="s">
        <v>47542</v>
      </c>
      <c r="T2164" t="s">
        <v>49189</v>
      </c>
      <c r="U2164" t="s">
        <v>51369</v>
      </c>
      <c r="W2164" t="s">
        <v>43950</v>
      </c>
      <c r="X2164" t="s">
        <v>47426</v>
      </c>
    </row>
    <row r="2165" spans="1:24">
      <c r="A2165">
        <f>HYPERLINK("https://www.philgeps.gov.ph/GEPSNONPILOT/Tender/SplashBidNoticeAbstractUI.aspx?menuIndex=3&amp;refID=7167439&amp;Result=3","7167439")</f>
        <v>0</v>
      </c>
      <c r="B2165" t="s">
        <v>748</v>
      </c>
      <c r="C2165" t="s">
        <v>5975</v>
      </c>
      <c r="D2165" t="s">
        <v>19081</v>
      </c>
      <c r="E2165" t="s">
        <v>21074</v>
      </c>
      <c r="F2165" t="s">
        <v>32831</v>
      </c>
      <c r="G2165" t="s">
        <v>32838</v>
      </c>
      <c r="H2165" t="s">
        <v>32848</v>
      </c>
      <c r="I2165" t="s">
        <v>5379</v>
      </c>
      <c r="J2165" t="s">
        <v>34488</v>
      </c>
      <c r="K2165" t="s">
        <v>42759</v>
      </c>
      <c r="M2165" t="s">
        <v>43771</v>
      </c>
      <c r="N2165" t="s">
        <v>47424</v>
      </c>
      <c r="O2165" t="s">
        <v>47425</v>
      </c>
      <c r="P2165">
        <v>0</v>
      </c>
      <c r="Q2165">
        <v>0</v>
      </c>
      <c r="R2165" t="s">
        <v>47429</v>
      </c>
      <c r="S2165" t="s">
        <v>47542</v>
      </c>
      <c r="T2165" t="s">
        <v>49253</v>
      </c>
      <c r="U2165" t="s">
        <v>51378</v>
      </c>
      <c r="W2165" t="s">
        <v>43771</v>
      </c>
      <c r="X2165" t="s">
        <v>47426</v>
      </c>
    </row>
    <row r="2166" spans="1:24">
      <c r="A2166">
        <f>HYPERLINK("https://www.philgeps.gov.ph/GEPSNONPILOT/Tender/SplashBidNoticeAbstractUI.aspx?menuIndex=3&amp;refID=7167385&amp;Result=3","7167385")</f>
        <v>0</v>
      </c>
      <c r="B2166" t="s">
        <v>961</v>
      </c>
      <c r="C2166" t="s">
        <v>5976</v>
      </c>
      <c r="D2166" t="s">
        <v>19021</v>
      </c>
      <c r="E2166" t="s">
        <v>21075</v>
      </c>
      <c r="F2166" t="s">
        <v>32831</v>
      </c>
      <c r="G2166" t="s">
        <v>32838</v>
      </c>
      <c r="H2166" t="s">
        <v>32848</v>
      </c>
      <c r="I2166" t="s">
        <v>4438</v>
      </c>
      <c r="J2166" t="s">
        <v>33226</v>
      </c>
      <c r="K2166" t="s">
        <v>42726</v>
      </c>
      <c r="M2166" t="s">
        <v>44007</v>
      </c>
      <c r="N2166" t="s">
        <v>47424</v>
      </c>
      <c r="O2166" t="s">
        <v>47425</v>
      </c>
      <c r="P2166">
        <v>0</v>
      </c>
      <c r="Q2166">
        <v>0</v>
      </c>
      <c r="R2166" t="s">
        <v>47429</v>
      </c>
      <c r="S2166" t="s">
        <v>47542</v>
      </c>
      <c r="T2166" t="s">
        <v>49119</v>
      </c>
      <c r="U2166" t="s">
        <v>51533</v>
      </c>
      <c r="W2166" t="s">
        <v>44007</v>
      </c>
      <c r="X2166" t="s">
        <v>47426</v>
      </c>
    </row>
    <row r="2167" spans="1:24">
      <c r="A2167">
        <f>HYPERLINK("https://www.philgeps.gov.ph/GEPSNONPILOT/Tender/SplashBidNoticeAbstractUI.aspx?menuIndex=3&amp;refID=7167434&amp;Result=3","7167434")</f>
        <v>0</v>
      </c>
      <c r="B2167" t="s">
        <v>950</v>
      </c>
      <c r="C2167" t="s">
        <v>5977</v>
      </c>
      <c r="D2167" t="s">
        <v>19100</v>
      </c>
      <c r="E2167" t="s">
        <v>21076</v>
      </c>
      <c r="F2167" t="s">
        <v>32831</v>
      </c>
      <c r="G2167" t="s">
        <v>32838</v>
      </c>
      <c r="H2167" t="s">
        <v>32848</v>
      </c>
      <c r="I2167" t="s">
        <v>32861</v>
      </c>
      <c r="J2167" t="s">
        <v>34489</v>
      </c>
      <c r="K2167" t="s">
        <v>42758</v>
      </c>
      <c r="M2167" t="s">
        <v>43996</v>
      </c>
      <c r="N2167" t="s">
        <v>47424</v>
      </c>
      <c r="O2167" t="s">
        <v>47425</v>
      </c>
      <c r="P2167">
        <v>0</v>
      </c>
      <c r="Q2167">
        <v>0</v>
      </c>
      <c r="R2167" t="s">
        <v>47429</v>
      </c>
      <c r="S2167" t="s">
        <v>47542</v>
      </c>
      <c r="T2167" t="s">
        <v>49123</v>
      </c>
      <c r="U2167" t="s">
        <v>51534</v>
      </c>
      <c r="W2167" t="s">
        <v>43996</v>
      </c>
      <c r="X2167" t="s">
        <v>47426</v>
      </c>
    </row>
    <row r="2168" spans="1:24">
      <c r="A2168">
        <f>HYPERLINK("https://www.philgeps.gov.ph/GEPSNONPILOT/Tender/SplashBidNoticeAbstractUI.aspx?menuIndex=3&amp;refID=7167429&amp;Result=3","7167429")</f>
        <v>0</v>
      </c>
      <c r="B2168" t="s">
        <v>793</v>
      </c>
      <c r="C2168" t="s">
        <v>5978</v>
      </c>
      <c r="D2168" t="s">
        <v>19048</v>
      </c>
      <c r="E2168" t="s">
        <v>20729</v>
      </c>
      <c r="F2168" t="s">
        <v>32831</v>
      </c>
      <c r="G2168" t="s">
        <v>32838</v>
      </c>
      <c r="H2168" t="s">
        <v>32848</v>
      </c>
      <c r="I2168" t="s">
        <v>6526</v>
      </c>
      <c r="J2168" t="s">
        <v>34490</v>
      </c>
      <c r="K2168" t="s">
        <v>42727</v>
      </c>
      <c r="M2168" t="s">
        <v>43823</v>
      </c>
      <c r="N2168" t="s">
        <v>47424</v>
      </c>
      <c r="O2168" t="s">
        <v>47425</v>
      </c>
      <c r="P2168">
        <v>0</v>
      </c>
      <c r="Q2168">
        <v>0</v>
      </c>
      <c r="R2168" t="s">
        <v>47429</v>
      </c>
      <c r="S2168" t="s">
        <v>47542</v>
      </c>
      <c r="T2168" t="s">
        <v>49059</v>
      </c>
      <c r="U2168" t="s">
        <v>51535</v>
      </c>
      <c r="W2168" t="s">
        <v>43823</v>
      </c>
      <c r="X2168" t="s">
        <v>47426</v>
      </c>
    </row>
    <row r="2169" spans="1:24">
      <c r="A2169">
        <f>HYPERLINK("https://www.philgeps.gov.ph/GEPSNONPILOT/Tender/SplashBidNoticeAbstractUI.aspx?menuIndex=3&amp;refID=7167428&amp;Result=3","7167428")</f>
        <v>0</v>
      </c>
      <c r="B2169" t="s">
        <v>939</v>
      </c>
      <c r="C2169" t="s">
        <v>4718</v>
      </c>
      <c r="D2169" t="s">
        <v>19074</v>
      </c>
      <c r="E2169" t="s">
        <v>21077</v>
      </c>
      <c r="F2169" t="s">
        <v>32831</v>
      </c>
      <c r="G2169" t="s">
        <v>32840</v>
      </c>
      <c r="H2169" t="s">
        <v>32848</v>
      </c>
      <c r="I2169" t="s">
        <v>4438</v>
      </c>
      <c r="J2169" t="s">
        <v>32976</v>
      </c>
      <c r="K2169" t="s">
        <v>42759</v>
      </c>
      <c r="M2169" t="s">
        <v>43981</v>
      </c>
      <c r="N2169" t="s">
        <v>47424</v>
      </c>
      <c r="O2169" t="s">
        <v>47425</v>
      </c>
      <c r="P2169">
        <v>0</v>
      </c>
      <c r="Q2169">
        <v>0</v>
      </c>
      <c r="R2169" t="s">
        <v>47429</v>
      </c>
      <c r="S2169" t="s">
        <v>47542</v>
      </c>
      <c r="T2169" t="s">
        <v>49119</v>
      </c>
      <c r="U2169" t="s">
        <v>51536</v>
      </c>
      <c r="V2169" t="s">
        <v>62707</v>
      </c>
      <c r="W2169" t="s">
        <v>43981</v>
      </c>
      <c r="X2169" t="s">
        <v>47426</v>
      </c>
    </row>
    <row r="2170" spans="1:24">
      <c r="A2170">
        <f>HYPERLINK("https://www.philgeps.gov.ph/GEPSNONPILOT/Tender/SplashBidNoticeAbstractUI.aspx?menuIndex=3&amp;refID=7167424&amp;Result=3","7167424")</f>
        <v>0</v>
      </c>
      <c r="B2170" t="s">
        <v>913</v>
      </c>
      <c r="C2170" t="s">
        <v>5979</v>
      </c>
      <c r="D2170" t="s">
        <v>19022</v>
      </c>
      <c r="E2170" t="s">
        <v>21078</v>
      </c>
      <c r="F2170" t="s">
        <v>32831</v>
      </c>
      <c r="G2170" t="s">
        <v>32840</v>
      </c>
      <c r="H2170" t="s">
        <v>32848</v>
      </c>
      <c r="I2170" t="s">
        <v>4776</v>
      </c>
      <c r="J2170" t="s">
        <v>33430</v>
      </c>
      <c r="K2170" t="s">
        <v>42729</v>
      </c>
      <c r="M2170" t="s">
        <v>43953</v>
      </c>
      <c r="N2170" t="s">
        <v>47424</v>
      </c>
      <c r="O2170" t="s">
        <v>47425</v>
      </c>
      <c r="P2170">
        <v>0</v>
      </c>
      <c r="Q2170">
        <v>0</v>
      </c>
      <c r="R2170" t="s">
        <v>47429</v>
      </c>
      <c r="S2170" t="s">
        <v>47542</v>
      </c>
      <c r="T2170" t="s">
        <v>49068</v>
      </c>
      <c r="U2170" t="s">
        <v>51374</v>
      </c>
      <c r="W2170" t="s">
        <v>43953</v>
      </c>
      <c r="X2170" t="s">
        <v>47426</v>
      </c>
    </row>
    <row r="2171" spans="1:24">
      <c r="A2171">
        <f>HYPERLINK("https://www.philgeps.gov.ph/GEPSNONPILOT/Tender/SplashBidNoticeAbstractUI.aspx?menuIndex=3&amp;refID=7167431&amp;Result=3","7167431")</f>
        <v>0</v>
      </c>
      <c r="B2171" t="s">
        <v>977</v>
      </c>
      <c r="C2171" t="s">
        <v>5980</v>
      </c>
      <c r="D2171" t="s">
        <v>19100</v>
      </c>
      <c r="E2171" t="s">
        <v>21079</v>
      </c>
      <c r="F2171" t="s">
        <v>32831</v>
      </c>
      <c r="G2171" t="s">
        <v>32839</v>
      </c>
      <c r="H2171" t="s">
        <v>32849</v>
      </c>
      <c r="I2171" t="s">
        <v>4177</v>
      </c>
      <c r="J2171" t="s">
        <v>34491</v>
      </c>
      <c r="K2171" t="s">
        <v>42781</v>
      </c>
      <c r="M2171" t="s">
        <v>44026</v>
      </c>
      <c r="N2171" t="s">
        <v>47424</v>
      </c>
      <c r="O2171" t="s">
        <v>47425</v>
      </c>
      <c r="P2171">
        <v>0</v>
      </c>
      <c r="Q2171">
        <v>0</v>
      </c>
      <c r="R2171" t="s">
        <v>47429</v>
      </c>
      <c r="S2171" t="s">
        <v>47542</v>
      </c>
      <c r="T2171" t="s">
        <v>49219</v>
      </c>
      <c r="U2171" t="s">
        <v>51537</v>
      </c>
      <c r="W2171" t="s">
        <v>44026</v>
      </c>
      <c r="X2171" t="s">
        <v>47426</v>
      </c>
    </row>
    <row r="2172" spans="1:24">
      <c r="A2172">
        <f>HYPERLINK("https://www.philgeps.gov.ph/GEPSNONPILOT/Tender/SplashBidNoticeAbstractUI.aspx?menuIndex=3&amp;refID=7167432&amp;Result=3","7167432")</f>
        <v>0</v>
      </c>
      <c r="B2172" t="s">
        <v>978</v>
      </c>
      <c r="C2172" t="s">
        <v>5981</v>
      </c>
      <c r="D2172" t="s">
        <v>19057</v>
      </c>
      <c r="E2172" t="s">
        <v>21080</v>
      </c>
      <c r="F2172" t="s">
        <v>32831</v>
      </c>
      <c r="G2172" t="s">
        <v>32838</v>
      </c>
      <c r="H2172" t="s">
        <v>32848</v>
      </c>
      <c r="I2172" t="s">
        <v>7416</v>
      </c>
      <c r="J2172" t="s">
        <v>34492</v>
      </c>
      <c r="K2172" t="s">
        <v>42758</v>
      </c>
      <c r="M2172" t="s">
        <v>44027</v>
      </c>
      <c r="N2172" t="s">
        <v>47424</v>
      </c>
      <c r="O2172" t="s">
        <v>47425</v>
      </c>
      <c r="P2172">
        <v>0</v>
      </c>
      <c r="Q2172">
        <v>0</v>
      </c>
      <c r="R2172" t="s">
        <v>47429</v>
      </c>
      <c r="S2172" t="s">
        <v>47542</v>
      </c>
      <c r="T2172" t="s">
        <v>49129</v>
      </c>
      <c r="U2172" t="s">
        <v>51538</v>
      </c>
      <c r="W2172" t="s">
        <v>44027</v>
      </c>
      <c r="X2172" t="s">
        <v>47426</v>
      </c>
    </row>
    <row r="2173" spans="1:24">
      <c r="A2173">
        <f>HYPERLINK("https://www.philgeps.gov.ph/GEPSNONPILOT/Tender/SplashBidNoticeAbstractUI.aspx?menuIndex=3&amp;refID=7167466&amp;Result=3","7167466")</f>
        <v>0</v>
      </c>
      <c r="B2173" t="s">
        <v>341</v>
      </c>
      <c r="C2173" t="s">
        <v>5982</v>
      </c>
      <c r="D2173" t="s">
        <v>19035</v>
      </c>
      <c r="E2173" t="s">
        <v>21081</v>
      </c>
      <c r="F2173" t="s">
        <v>32831</v>
      </c>
      <c r="G2173" t="s">
        <v>32840</v>
      </c>
      <c r="H2173" t="s">
        <v>32848</v>
      </c>
      <c r="I2173" t="s">
        <v>4487</v>
      </c>
      <c r="J2173" t="s">
        <v>33007</v>
      </c>
      <c r="K2173" t="s">
        <v>42731</v>
      </c>
      <c r="M2173" t="s">
        <v>43344</v>
      </c>
      <c r="N2173" t="s">
        <v>47424</v>
      </c>
      <c r="O2173" t="s">
        <v>47425</v>
      </c>
      <c r="P2173">
        <v>0</v>
      </c>
      <c r="Q2173">
        <v>0</v>
      </c>
      <c r="R2173" t="s">
        <v>47429</v>
      </c>
      <c r="S2173" t="s">
        <v>47542</v>
      </c>
      <c r="T2173" t="s">
        <v>49089</v>
      </c>
      <c r="U2173" t="s">
        <v>51539</v>
      </c>
      <c r="W2173" t="s">
        <v>43344</v>
      </c>
      <c r="X2173" t="s">
        <v>47426</v>
      </c>
    </row>
    <row r="2174" spans="1:24">
      <c r="A2174">
        <f>HYPERLINK("https://www.philgeps.gov.ph/GEPSNONPILOT/Tender/SplashBidNoticeAbstractUI.aspx?menuIndex=3&amp;refID=7167465&amp;Result=3","7167465")</f>
        <v>0</v>
      </c>
      <c r="B2174" t="s">
        <v>911</v>
      </c>
      <c r="C2174" t="s">
        <v>5983</v>
      </c>
      <c r="D2174" t="s">
        <v>19049</v>
      </c>
      <c r="E2174" t="s">
        <v>21082</v>
      </c>
      <c r="F2174" t="s">
        <v>32831</v>
      </c>
      <c r="G2174" t="s">
        <v>32838</v>
      </c>
      <c r="H2174" t="s">
        <v>32848</v>
      </c>
      <c r="I2174" t="s">
        <v>5379</v>
      </c>
      <c r="J2174" t="s">
        <v>34493</v>
      </c>
      <c r="K2174" t="s">
        <v>42727</v>
      </c>
      <c r="M2174" t="s">
        <v>43951</v>
      </c>
      <c r="N2174" t="s">
        <v>47424</v>
      </c>
      <c r="O2174" t="s">
        <v>47425</v>
      </c>
      <c r="P2174">
        <v>0</v>
      </c>
      <c r="Q2174">
        <v>0</v>
      </c>
      <c r="R2174" t="s">
        <v>47429</v>
      </c>
      <c r="S2174" t="s">
        <v>47542</v>
      </c>
      <c r="T2174" t="s">
        <v>49073</v>
      </c>
      <c r="U2174" t="s">
        <v>51540</v>
      </c>
      <c r="W2174" t="s">
        <v>43951</v>
      </c>
      <c r="X2174" t="s">
        <v>47426</v>
      </c>
    </row>
    <row r="2175" spans="1:24">
      <c r="A2175">
        <f>HYPERLINK("https://www.philgeps.gov.ph/GEPSNONPILOT/Tender/SplashBidNoticeAbstractUI.aspx?menuIndex=3&amp;refID=7167463&amp;Result=3","7167463")</f>
        <v>0</v>
      </c>
      <c r="B2175" t="s">
        <v>910</v>
      </c>
      <c r="C2175" t="s">
        <v>5984</v>
      </c>
      <c r="E2175" t="s">
        <v>21083</v>
      </c>
      <c r="F2175" t="s">
        <v>32831</v>
      </c>
      <c r="G2175" t="s">
        <v>32839</v>
      </c>
      <c r="H2175" t="s">
        <v>32848</v>
      </c>
      <c r="I2175" t="s">
        <v>32904</v>
      </c>
      <c r="J2175" t="s">
        <v>34494</v>
      </c>
      <c r="K2175" t="s">
        <v>42770</v>
      </c>
      <c r="M2175" t="s">
        <v>43950</v>
      </c>
      <c r="N2175" t="s">
        <v>47424</v>
      </c>
      <c r="O2175" t="s">
        <v>47425</v>
      </c>
      <c r="P2175">
        <v>0</v>
      </c>
      <c r="Q2175">
        <v>0</v>
      </c>
      <c r="R2175" t="s">
        <v>47429</v>
      </c>
      <c r="S2175" t="s">
        <v>47542</v>
      </c>
      <c r="T2175" t="s">
        <v>49189</v>
      </c>
      <c r="U2175" t="s">
        <v>51369</v>
      </c>
      <c r="W2175" t="s">
        <v>43950</v>
      </c>
      <c r="X2175" t="s">
        <v>47426</v>
      </c>
    </row>
    <row r="2176" spans="1:24">
      <c r="A2176">
        <f>HYPERLINK("https://www.philgeps.gov.ph/GEPSNONPILOT/Tender/SplashBidNoticeAbstractUI.aspx?menuIndex=3&amp;refID=7167458&amp;Result=3","7167458")</f>
        <v>0</v>
      </c>
      <c r="B2176" t="s">
        <v>978</v>
      </c>
      <c r="C2176" t="s">
        <v>5985</v>
      </c>
      <c r="D2176" t="s">
        <v>19057</v>
      </c>
      <c r="E2176" t="s">
        <v>21084</v>
      </c>
      <c r="F2176" t="s">
        <v>32831</v>
      </c>
      <c r="G2176" t="s">
        <v>32838</v>
      </c>
      <c r="H2176" t="s">
        <v>32848</v>
      </c>
      <c r="I2176" t="s">
        <v>7416</v>
      </c>
      <c r="J2176" t="s">
        <v>34495</v>
      </c>
      <c r="K2176" t="s">
        <v>42748</v>
      </c>
      <c r="M2176" t="s">
        <v>44027</v>
      </c>
      <c r="N2176" t="s">
        <v>47424</v>
      </c>
      <c r="O2176" t="s">
        <v>47425</v>
      </c>
      <c r="P2176">
        <v>0</v>
      </c>
      <c r="Q2176">
        <v>0</v>
      </c>
      <c r="R2176" t="s">
        <v>47429</v>
      </c>
      <c r="S2176" t="s">
        <v>47542</v>
      </c>
      <c r="T2176" t="s">
        <v>49129</v>
      </c>
      <c r="U2176" t="s">
        <v>51541</v>
      </c>
      <c r="W2176" t="s">
        <v>44027</v>
      </c>
      <c r="X2176" t="s">
        <v>47426</v>
      </c>
    </row>
    <row r="2177" spans="1:24">
      <c r="A2177">
        <f>HYPERLINK("https://www.philgeps.gov.ph/GEPSNONPILOT/Tender/SplashBidNoticeAbstractUI.aspx?menuIndex=3&amp;refID=7167426&amp;Result=3","7167426")</f>
        <v>0</v>
      </c>
      <c r="B2177" t="s">
        <v>979</v>
      </c>
      <c r="C2177" t="s">
        <v>5986</v>
      </c>
      <c r="D2177" t="s">
        <v>19049</v>
      </c>
      <c r="E2177" t="s">
        <v>19555</v>
      </c>
      <c r="F2177" t="s">
        <v>32831</v>
      </c>
      <c r="G2177" t="s">
        <v>32840</v>
      </c>
      <c r="H2177" t="s">
        <v>32848</v>
      </c>
      <c r="I2177" t="s">
        <v>32858</v>
      </c>
      <c r="J2177" t="s">
        <v>34496</v>
      </c>
      <c r="K2177" t="s">
        <v>42758</v>
      </c>
      <c r="M2177" t="s">
        <v>44028</v>
      </c>
      <c r="N2177" t="s">
        <v>47424</v>
      </c>
      <c r="O2177" t="s">
        <v>47425</v>
      </c>
      <c r="P2177">
        <v>0</v>
      </c>
      <c r="Q2177">
        <v>0</v>
      </c>
      <c r="R2177" t="s">
        <v>47429</v>
      </c>
      <c r="S2177" t="s">
        <v>47542</v>
      </c>
      <c r="T2177" t="s">
        <v>49125</v>
      </c>
      <c r="U2177" t="s">
        <v>51542</v>
      </c>
      <c r="V2177" t="s">
        <v>62854</v>
      </c>
      <c r="W2177" t="s">
        <v>44028</v>
      </c>
      <c r="X2177" t="s">
        <v>47426</v>
      </c>
    </row>
    <row r="2178" spans="1:24">
      <c r="A2178">
        <f>HYPERLINK("https://www.philgeps.gov.ph/GEPSNONPILOT/Tender/SplashBidNoticeAbstractUI.aspx?menuIndex=3&amp;refID=7167430&amp;Result=3","7167430")</f>
        <v>0</v>
      </c>
      <c r="B2178" t="s">
        <v>980</v>
      </c>
      <c r="C2178" t="s">
        <v>5987</v>
      </c>
      <c r="D2178" t="s">
        <v>19022</v>
      </c>
      <c r="E2178" t="s">
        <v>21085</v>
      </c>
      <c r="F2178" t="s">
        <v>32831</v>
      </c>
      <c r="G2178" t="s">
        <v>32838</v>
      </c>
      <c r="H2178" t="s">
        <v>32848</v>
      </c>
      <c r="I2178" t="s">
        <v>32862</v>
      </c>
      <c r="J2178" t="s">
        <v>34497</v>
      </c>
      <c r="K2178" t="s">
        <v>42730</v>
      </c>
      <c r="M2178" t="s">
        <v>44029</v>
      </c>
      <c r="N2178" t="s">
        <v>47424</v>
      </c>
      <c r="O2178" t="s">
        <v>47425</v>
      </c>
      <c r="P2178">
        <v>0</v>
      </c>
      <c r="Q2178">
        <v>0</v>
      </c>
      <c r="R2178" t="s">
        <v>47429</v>
      </c>
      <c r="S2178" t="s">
        <v>47542</v>
      </c>
      <c r="T2178" t="s">
        <v>49123</v>
      </c>
      <c r="U2178" t="s">
        <v>51543</v>
      </c>
      <c r="W2178" t="s">
        <v>44029</v>
      </c>
      <c r="X2178" t="s">
        <v>47426</v>
      </c>
    </row>
    <row r="2179" spans="1:24">
      <c r="A2179">
        <f>HYPERLINK("https://www.philgeps.gov.ph/GEPSNONPILOT/Tender/SplashBidNoticeAbstractUI.aspx?menuIndex=3&amp;refID=7167461&amp;Result=3","7167461")</f>
        <v>0</v>
      </c>
      <c r="B2179" t="s">
        <v>981</v>
      </c>
      <c r="C2179" t="s">
        <v>5988</v>
      </c>
      <c r="D2179" t="s">
        <v>19082</v>
      </c>
      <c r="E2179" t="s">
        <v>21086</v>
      </c>
      <c r="F2179" t="s">
        <v>32831</v>
      </c>
      <c r="G2179" t="s">
        <v>32842</v>
      </c>
      <c r="H2179" t="s">
        <v>32848</v>
      </c>
      <c r="I2179" t="s">
        <v>9577</v>
      </c>
      <c r="J2179" t="s">
        <v>34498</v>
      </c>
      <c r="K2179" t="s">
        <v>42731</v>
      </c>
      <c r="M2179" t="s">
        <v>44030</v>
      </c>
      <c r="N2179" t="s">
        <v>47424</v>
      </c>
      <c r="O2179" t="s">
        <v>47425</v>
      </c>
      <c r="P2179">
        <v>0</v>
      </c>
      <c r="Q2179">
        <v>0</v>
      </c>
      <c r="R2179" t="s">
        <v>47429</v>
      </c>
      <c r="S2179" t="s">
        <v>47542</v>
      </c>
      <c r="T2179" t="s">
        <v>49129</v>
      </c>
      <c r="U2179" t="s">
        <v>51544</v>
      </c>
      <c r="W2179" t="s">
        <v>44030</v>
      </c>
      <c r="X2179" t="s">
        <v>47426</v>
      </c>
    </row>
    <row r="2180" spans="1:24">
      <c r="A2180">
        <f>HYPERLINK("https://www.philgeps.gov.ph/GEPSNONPILOT/Tender/SplashBidNoticeAbstractUI.aspx?menuIndex=3&amp;refID=7167455&amp;Result=3","7167455")</f>
        <v>0</v>
      </c>
      <c r="B2180" t="s">
        <v>982</v>
      </c>
      <c r="C2180" t="s">
        <v>5989</v>
      </c>
      <c r="D2180" t="s">
        <v>19050</v>
      </c>
      <c r="E2180" t="s">
        <v>21087</v>
      </c>
      <c r="F2180" t="s">
        <v>32831</v>
      </c>
      <c r="G2180" t="s">
        <v>32838</v>
      </c>
      <c r="H2180" t="s">
        <v>32848</v>
      </c>
      <c r="I2180" t="s">
        <v>32911</v>
      </c>
      <c r="J2180" t="s">
        <v>34499</v>
      </c>
      <c r="K2180" t="s">
        <v>42730</v>
      </c>
      <c r="M2180" t="s">
        <v>44031</v>
      </c>
      <c r="N2180" t="s">
        <v>47424</v>
      </c>
      <c r="O2180" t="s">
        <v>47425</v>
      </c>
      <c r="P2180">
        <v>0</v>
      </c>
      <c r="Q2180">
        <v>0</v>
      </c>
      <c r="R2180" t="s">
        <v>47429</v>
      </c>
      <c r="S2180" t="s">
        <v>47542</v>
      </c>
      <c r="T2180" t="s">
        <v>49103</v>
      </c>
      <c r="U2180" t="s">
        <v>51545</v>
      </c>
      <c r="W2180" t="s">
        <v>44031</v>
      </c>
      <c r="X2180" t="s">
        <v>47426</v>
      </c>
    </row>
    <row r="2181" spans="1:24">
      <c r="A2181">
        <f>HYPERLINK("https://www.philgeps.gov.ph/GEPSNONPILOT/Tender/SplashBidNoticeAbstractUI.aspx?menuIndex=3&amp;refID=7167454&amp;Result=3","7167454")</f>
        <v>0</v>
      </c>
      <c r="B2181" t="s">
        <v>983</v>
      </c>
      <c r="C2181" t="s">
        <v>5990</v>
      </c>
      <c r="D2181" t="s">
        <v>19028</v>
      </c>
      <c r="E2181" t="s">
        <v>21088</v>
      </c>
      <c r="F2181" t="s">
        <v>32831</v>
      </c>
      <c r="G2181" t="s">
        <v>32838</v>
      </c>
      <c r="H2181" t="s">
        <v>32848</v>
      </c>
      <c r="I2181" t="s">
        <v>11484</v>
      </c>
      <c r="J2181" t="s">
        <v>34500</v>
      </c>
      <c r="K2181" t="s">
        <v>42759</v>
      </c>
      <c r="M2181" t="s">
        <v>44032</v>
      </c>
      <c r="N2181" t="s">
        <v>47424</v>
      </c>
      <c r="O2181" t="s">
        <v>47425</v>
      </c>
      <c r="P2181">
        <v>0</v>
      </c>
      <c r="Q2181">
        <v>0</v>
      </c>
      <c r="R2181" t="s">
        <v>47429</v>
      </c>
      <c r="S2181" t="s">
        <v>47542</v>
      </c>
      <c r="T2181" t="s">
        <v>49129</v>
      </c>
      <c r="U2181" t="s">
        <v>51546</v>
      </c>
      <c r="W2181" t="s">
        <v>44032</v>
      </c>
      <c r="X2181" t="s">
        <v>47426</v>
      </c>
    </row>
    <row r="2182" spans="1:24">
      <c r="A2182">
        <f>HYPERLINK("https://www.philgeps.gov.ph/GEPSNONPILOT/Tender/SplashBidNoticeAbstractUI.aspx?menuIndex=3&amp;refID=7167462&amp;Result=3","7167462")</f>
        <v>0</v>
      </c>
      <c r="B2182" t="s">
        <v>920</v>
      </c>
      <c r="C2182" t="s">
        <v>5991</v>
      </c>
      <c r="E2182" t="s">
        <v>21089</v>
      </c>
      <c r="F2182" t="s">
        <v>32831</v>
      </c>
      <c r="G2182" t="s">
        <v>32842</v>
      </c>
      <c r="H2182" t="s">
        <v>32848</v>
      </c>
      <c r="I2182" t="s">
        <v>9577</v>
      </c>
      <c r="J2182" t="s">
        <v>34501</v>
      </c>
      <c r="K2182" t="s">
        <v>42732</v>
      </c>
      <c r="M2182" t="s">
        <v>43961</v>
      </c>
      <c r="N2182" t="s">
        <v>47424</v>
      </c>
      <c r="O2182" t="s">
        <v>47425</v>
      </c>
      <c r="P2182">
        <v>0</v>
      </c>
      <c r="Q2182">
        <v>0</v>
      </c>
      <c r="R2182" t="s">
        <v>47429</v>
      </c>
      <c r="S2182" t="s">
        <v>47542</v>
      </c>
      <c r="T2182" t="s">
        <v>49104</v>
      </c>
      <c r="U2182" t="s">
        <v>51396</v>
      </c>
      <c r="W2182" t="s">
        <v>43961</v>
      </c>
      <c r="X2182" t="s">
        <v>47426</v>
      </c>
    </row>
    <row r="2183" spans="1:24">
      <c r="A2183">
        <f>HYPERLINK("https://www.philgeps.gov.ph/GEPSNONPILOT/Tender/SplashBidNoticeAbstractUI.aspx?menuIndex=3&amp;refID=7167457&amp;Result=3","7167457")</f>
        <v>0</v>
      </c>
      <c r="B2183" t="s">
        <v>881</v>
      </c>
      <c r="C2183" t="s">
        <v>5992</v>
      </c>
      <c r="D2183" t="s">
        <v>19095</v>
      </c>
      <c r="E2183" t="s">
        <v>21090</v>
      </c>
      <c r="F2183" t="s">
        <v>32831</v>
      </c>
      <c r="G2183" t="s">
        <v>32838</v>
      </c>
      <c r="H2183" t="s">
        <v>32848</v>
      </c>
      <c r="I2183" t="s">
        <v>4776</v>
      </c>
      <c r="J2183" t="s">
        <v>33090</v>
      </c>
      <c r="K2183" t="s">
        <v>42727</v>
      </c>
      <c r="M2183" t="s">
        <v>43916</v>
      </c>
      <c r="N2183" t="s">
        <v>47424</v>
      </c>
      <c r="O2183" t="s">
        <v>47425</v>
      </c>
      <c r="P2183">
        <v>0</v>
      </c>
      <c r="Q2183">
        <v>0</v>
      </c>
      <c r="R2183" t="s">
        <v>47429</v>
      </c>
      <c r="S2183" t="s">
        <v>47542</v>
      </c>
      <c r="T2183" t="s">
        <v>49129</v>
      </c>
      <c r="U2183" t="s">
        <v>51547</v>
      </c>
      <c r="W2183" t="s">
        <v>43916</v>
      </c>
      <c r="X2183" t="s">
        <v>47426</v>
      </c>
    </row>
    <row r="2184" spans="1:24">
      <c r="A2184">
        <f>HYPERLINK("https://www.philgeps.gov.ph/GEPSNONPILOT/Tender/SplashBidNoticeAbstractUI.aspx?menuIndex=3&amp;refID=7167456&amp;Result=3","7167456")</f>
        <v>0</v>
      </c>
      <c r="B2184" t="s">
        <v>920</v>
      </c>
      <c r="C2184" t="s">
        <v>5991</v>
      </c>
      <c r="E2184" t="s">
        <v>21091</v>
      </c>
      <c r="F2184" t="s">
        <v>32831</v>
      </c>
      <c r="G2184" t="s">
        <v>32842</v>
      </c>
      <c r="H2184" t="s">
        <v>32848</v>
      </c>
      <c r="I2184" t="s">
        <v>9577</v>
      </c>
      <c r="J2184" t="s">
        <v>34502</v>
      </c>
      <c r="K2184" t="s">
        <v>42732</v>
      </c>
      <c r="M2184" t="s">
        <v>43961</v>
      </c>
      <c r="N2184" t="s">
        <v>47424</v>
      </c>
      <c r="O2184" t="s">
        <v>47425</v>
      </c>
      <c r="P2184">
        <v>0</v>
      </c>
      <c r="Q2184">
        <v>0</v>
      </c>
      <c r="R2184" t="s">
        <v>47429</v>
      </c>
      <c r="S2184" t="s">
        <v>47542</v>
      </c>
      <c r="T2184" t="s">
        <v>49119</v>
      </c>
      <c r="U2184" t="s">
        <v>51396</v>
      </c>
      <c r="W2184" t="s">
        <v>43961</v>
      </c>
      <c r="X2184" t="s">
        <v>47426</v>
      </c>
    </row>
    <row r="2185" spans="1:24">
      <c r="A2185">
        <f>HYPERLINK("https://www.philgeps.gov.ph/GEPSNONPILOT/Tender/SplashBidNoticeAbstractUI.aspx?menuIndex=3&amp;refID=7167464&amp;Result=3","7167464")</f>
        <v>0</v>
      </c>
      <c r="B2185" t="s">
        <v>968</v>
      </c>
      <c r="C2185" t="s">
        <v>5993</v>
      </c>
      <c r="D2185" t="s">
        <v>19045</v>
      </c>
      <c r="E2185" t="s">
        <v>21092</v>
      </c>
      <c r="F2185" t="s">
        <v>32831</v>
      </c>
      <c r="G2185" t="s">
        <v>32839</v>
      </c>
      <c r="H2185" t="s">
        <v>32848</v>
      </c>
      <c r="I2185" t="s">
        <v>4776</v>
      </c>
      <c r="J2185" t="s">
        <v>34503</v>
      </c>
      <c r="K2185" t="s">
        <v>42730</v>
      </c>
      <c r="M2185" t="s">
        <v>44014</v>
      </c>
      <c r="N2185" t="s">
        <v>47424</v>
      </c>
      <c r="O2185" t="s">
        <v>47425</v>
      </c>
      <c r="P2185">
        <v>0</v>
      </c>
      <c r="Q2185">
        <v>0</v>
      </c>
      <c r="R2185" t="s">
        <v>47429</v>
      </c>
      <c r="S2185" t="s">
        <v>47542</v>
      </c>
      <c r="T2185" t="s">
        <v>49078</v>
      </c>
      <c r="U2185" t="s">
        <v>51548</v>
      </c>
      <c r="W2185" t="s">
        <v>44014</v>
      </c>
      <c r="X2185" t="s">
        <v>47426</v>
      </c>
    </row>
    <row r="2186" spans="1:24">
      <c r="A2186">
        <f>HYPERLINK("https://www.philgeps.gov.ph/GEPSNONPILOT/Tender/SplashBidNoticeAbstractUI.aspx?menuIndex=3&amp;refID=7167484&amp;Result=3","7167484")</f>
        <v>0</v>
      </c>
      <c r="B2186" t="s">
        <v>984</v>
      </c>
      <c r="C2186" t="s">
        <v>5994</v>
      </c>
      <c r="D2186" t="s">
        <v>19036</v>
      </c>
      <c r="E2186" t="s">
        <v>21093</v>
      </c>
      <c r="F2186" t="s">
        <v>32831</v>
      </c>
      <c r="G2186" t="s">
        <v>32838</v>
      </c>
      <c r="H2186" t="s">
        <v>32848</v>
      </c>
      <c r="I2186" t="s">
        <v>4558</v>
      </c>
      <c r="J2186" t="s">
        <v>34504</v>
      </c>
      <c r="K2186" t="s">
        <v>42731</v>
      </c>
      <c r="M2186" t="s">
        <v>44033</v>
      </c>
      <c r="N2186" t="s">
        <v>47424</v>
      </c>
      <c r="O2186" t="s">
        <v>47425</v>
      </c>
      <c r="P2186">
        <v>0</v>
      </c>
      <c r="Q2186">
        <v>0</v>
      </c>
      <c r="R2186" t="s">
        <v>47429</v>
      </c>
      <c r="S2186" t="s">
        <v>47542</v>
      </c>
      <c r="T2186" t="s">
        <v>49129</v>
      </c>
      <c r="U2186" t="s">
        <v>51549</v>
      </c>
      <c r="V2186" t="s">
        <v>62855</v>
      </c>
      <c r="W2186" t="s">
        <v>44033</v>
      </c>
      <c r="X2186" t="s">
        <v>47426</v>
      </c>
    </row>
    <row r="2187" spans="1:24">
      <c r="A2187">
        <f>HYPERLINK("https://www.philgeps.gov.ph/GEPSNONPILOT/Tender/SplashBidNoticeAbstractUI.aspx?menuIndex=3&amp;refID=7167490&amp;Result=3","7167490")</f>
        <v>0</v>
      </c>
      <c r="B2187" t="s">
        <v>985</v>
      </c>
      <c r="C2187" t="s">
        <v>5995</v>
      </c>
      <c r="D2187" t="s">
        <v>19018</v>
      </c>
      <c r="E2187" t="s">
        <v>21094</v>
      </c>
      <c r="F2187" t="s">
        <v>32831</v>
      </c>
      <c r="G2187" t="s">
        <v>32840</v>
      </c>
      <c r="H2187" t="s">
        <v>32848</v>
      </c>
      <c r="I2187" t="s">
        <v>4438</v>
      </c>
      <c r="J2187" t="s">
        <v>34505</v>
      </c>
      <c r="K2187" t="s">
        <v>42726</v>
      </c>
      <c r="M2187" t="s">
        <v>44034</v>
      </c>
      <c r="N2187" t="s">
        <v>47424</v>
      </c>
      <c r="O2187" t="s">
        <v>47425</v>
      </c>
      <c r="P2187">
        <v>0</v>
      </c>
      <c r="Q2187">
        <v>0</v>
      </c>
      <c r="R2187" t="s">
        <v>47429</v>
      </c>
      <c r="S2187" t="s">
        <v>47542</v>
      </c>
      <c r="T2187" t="s">
        <v>49107</v>
      </c>
      <c r="U2187" t="s">
        <v>51550</v>
      </c>
      <c r="W2187" t="s">
        <v>44034</v>
      </c>
      <c r="X2187" t="s">
        <v>47426</v>
      </c>
    </row>
    <row r="2188" spans="1:24">
      <c r="A2188">
        <f>HYPERLINK("https://www.philgeps.gov.ph/GEPSNONPILOT/Tender/SplashBidNoticeAbstractUI.aspx?menuIndex=3&amp;refID=7167489&amp;Result=3","7167489")</f>
        <v>0</v>
      </c>
      <c r="B2188" t="s">
        <v>592</v>
      </c>
      <c r="C2188" t="s">
        <v>5996</v>
      </c>
      <c r="D2188" t="s">
        <v>19045</v>
      </c>
      <c r="E2188" t="s">
        <v>21095</v>
      </c>
      <c r="F2188" t="s">
        <v>32831</v>
      </c>
      <c r="G2188" t="s">
        <v>32838</v>
      </c>
      <c r="H2188" t="s">
        <v>32848</v>
      </c>
      <c r="I2188" t="s">
        <v>32862</v>
      </c>
      <c r="J2188" t="s">
        <v>33175</v>
      </c>
      <c r="K2188" t="s">
        <v>42731</v>
      </c>
      <c r="M2188" t="s">
        <v>43604</v>
      </c>
      <c r="N2188" t="s">
        <v>47424</v>
      </c>
      <c r="O2188" t="s">
        <v>47425</v>
      </c>
      <c r="P2188">
        <v>0</v>
      </c>
      <c r="Q2188">
        <v>0</v>
      </c>
      <c r="R2188" t="s">
        <v>47429</v>
      </c>
      <c r="S2188" t="s">
        <v>47542</v>
      </c>
      <c r="T2188" t="s">
        <v>49123</v>
      </c>
      <c r="U2188" t="s">
        <v>51551</v>
      </c>
      <c r="W2188" t="s">
        <v>43604</v>
      </c>
      <c r="X2188" t="s">
        <v>47426</v>
      </c>
    </row>
    <row r="2189" spans="1:24">
      <c r="A2189">
        <f>HYPERLINK("https://www.philgeps.gov.ph/GEPSNONPILOT/Tender/SplashBidNoticeAbstractUI.aspx?menuIndex=3&amp;refID=7167486&amp;Result=3","7167486")</f>
        <v>0</v>
      </c>
      <c r="B2189" t="s">
        <v>28</v>
      </c>
      <c r="C2189" t="s">
        <v>5997</v>
      </c>
      <c r="D2189" t="s">
        <v>19021</v>
      </c>
      <c r="E2189" t="s">
        <v>21096</v>
      </c>
      <c r="F2189" t="s">
        <v>32831</v>
      </c>
      <c r="G2189" t="s">
        <v>32838</v>
      </c>
      <c r="H2189" t="s">
        <v>32850</v>
      </c>
      <c r="I2189" t="s">
        <v>32854</v>
      </c>
      <c r="J2189" t="s">
        <v>34506</v>
      </c>
      <c r="K2189" t="s">
        <v>42730</v>
      </c>
      <c r="M2189" t="s">
        <v>43025</v>
      </c>
      <c r="N2189" t="s">
        <v>47424</v>
      </c>
      <c r="O2189" t="s">
        <v>47425</v>
      </c>
      <c r="P2189">
        <v>0</v>
      </c>
      <c r="Q2189">
        <v>0</v>
      </c>
      <c r="R2189" t="s">
        <v>47429</v>
      </c>
      <c r="S2189" t="s">
        <v>47542</v>
      </c>
      <c r="T2189" t="s">
        <v>49302</v>
      </c>
      <c r="U2189" t="s">
        <v>51552</v>
      </c>
      <c r="W2189" t="s">
        <v>43025</v>
      </c>
      <c r="X2189" t="s">
        <v>47426</v>
      </c>
    </row>
    <row r="2190" spans="1:24">
      <c r="A2190">
        <f>HYPERLINK("https://www.philgeps.gov.ph/GEPSNONPILOT/Tender/SplashBidNoticeAbstractUI.aspx?menuIndex=3&amp;refID=7167483&amp;Result=3","7167483")</f>
        <v>0</v>
      </c>
      <c r="B2190" t="s">
        <v>986</v>
      </c>
      <c r="C2190" t="s">
        <v>5998</v>
      </c>
      <c r="D2190" t="s">
        <v>19044</v>
      </c>
      <c r="E2190" t="s">
        <v>21097</v>
      </c>
      <c r="F2190" t="s">
        <v>32831</v>
      </c>
      <c r="G2190" t="s">
        <v>32839</v>
      </c>
      <c r="H2190" t="s">
        <v>32849</v>
      </c>
      <c r="I2190" t="s">
        <v>4177</v>
      </c>
      <c r="J2190" t="s">
        <v>34507</v>
      </c>
      <c r="K2190" t="s">
        <v>42729</v>
      </c>
      <c r="M2190" t="s">
        <v>44035</v>
      </c>
      <c r="N2190" t="s">
        <v>47424</v>
      </c>
      <c r="O2190" t="s">
        <v>47425</v>
      </c>
      <c r="P2190">
        <v>0</v>
      </c>
      <c r="Q2190">
        <v>0</v>
      </c>
      <c r="R2190" t="s">
        <v>47429</v>
      </c>
      <c r="S2190" t="s">
        <v>47542</v>
      </c>
      <c r="T2190" t="s">
        <v>49080</v>
      </c>
      <c r="U2190" t="s">
        <v>51553</v>
      </c>
      <c r="W2190" t="s">
        <v>44035</v>
      </c>
      <c r="X2190" t="s">
        <v>47426</v>
      </c>
    </row>
    <row r="2191" spans="1:24">
      <c r="A2191">
        <f>HYPERLINK("https://www.philgeps.gov.ph/GEPSNONPILOT/Tender/SplashBidNoticeAbstractUI.aspx?menuIndex=3&amp;refID=7167487&amp;Result=3","7167487")</f>
        <v>0</v>
      </c>
      <c r="B2191" t="s">
        <v>581</v>
      </c>
      <c r="C2191" t="s">
        <v>5999</v>
      </c>
      <c r="D2191" t="s">
        <v>19044</v>
      </c>
      <c r="E2191" t="s">
        <v>21098</v>
      </c>
      <c r="F2191" t="s">
        <v>32831</v>
      </c>
      <c r="G2191" t="s">
        <v>32838</v>
      </c>
      <c r="H2191" t="s">
        <v>32848</v>
      </c>
      <c r="I2191" t="s">
        <v>6526</v>
      </c>
      <c r="J2191" t="s">
        <v>34508</v>
      </c>
      <c r="K2191" t="s">
        <v>42732</v>
      </c>
      <c r="M2191" t="s">
        <v>43986</v>
      </c>
      <c r="N2191" t="s">
        <v>47424</v>
      </c>
      <c r="O2191" t="s">
        <v>47425</v>
      </c>
      <c r="P2191">
        <v>0</v>
      </c>
      <c r="Q2191">
        <v>0</v>
      </c>
      <c r="R2191" t="s">
        <v>47429</v>
      </c>
      <c r="S2191" t="s">
        <v>47542</v>
      </c>
      <c r="T2191" t="s">
        <v>49089</v>
      </c>
      <c r="U2191" t="s">
        <v>50752</v>
      </c>
      <c r="W2191" t="s">
        <v>43986</v>
      </c>
      <c r="X2191" t="s">
        <v>47426</v>
      </c>
    </row>
    <row r="2192" spans="1:24">
      <c r="A2192">
        <f>HYPERLINK("https://www.philgeps.gov.ph/GEPSNONPILOT/Tender/SplashBidNoticeAbstractUI.aspx?menuIndex=3&amp;refID=7167452&amp;Result=3","7167452")</f>
        <v>0</v>
      </c>
      <c r="B2192" t="s">
        <v>341</v>
      </c>
      <c r="C2192" t="s">
        <v>6000</v>
      </c>
      <c r="D2192" t="s">
        <v>19035</v>
      </c>
      <c r="E2192" t="s">
        <v>21099</v>
      </c>
      <c r="F2192" t="s">
        <v>32831</v>
      </c>
      <c r="G2192" t="s">
        <v>32838</v>
      </c>
      <c r="H2192" t="s">
        <v>32848</v>
      </c>
      <c r="I2192" t="s">
        <v>4438</v>
      </c>
      <c r="J2192" t="s">
        <v>34509</v>
      </c>
      <c r="K2192" t="s">
        <v>42731</v>
      </c>
      <c r="M2192" t="s">
        <v>43344</v>
      </c>
      <c r="N2192" t="s">
        <v>47424</v>
      </c>
      <c r="O2192" t="s">
        <v>47425</v>
      </c>
      <c r="P2192">
        <v>0</v>
      </c>
      <c r="Q2192">
        <v>0</v>
      </c>
      <c r="R2192" t="s">
        <v>47429</v>
      </c>
      <c r="S2192" t="s">
        <v>47542</v>
      </c>
      <c r="T2192" t="s">
        <v>49089</v>
      </c>
      <c r="U2192" t="s">
        <v>51554</v>
      </c>
      <c r="W2192" t="s">
        <v>43344</v>
      </c>
      <c r="X2192" t="s">
        <v>47426</v>
      </c>
    </row>
    <row r="2193" spans="1:24">
      <c r="A2193">
        <f>HYPERLINK("https://www.philgeps.gov.ph/GEPSNONPILOT/Tender/SplashBidNoticeAbstractUI.aspx?menuIndex=3&amp;refID=7167481&amp;Result=3","7167481")</f>
        <v>0</v>
      </c>
      <c r="B2193" t="s">
        <v>968</v>
      </c>
      <c r="C2193" t="s">
        <v>6001</v>
      </c>
      <c r="D2193" t="s">
        <v>19045</v>
      </c>
      <c r="E2193" t="s">
        <v>21100</v>
      </c>
      <c r="F2193" t="s">
        <v>32831</v>
      </c>
      <c r="G2193" t="s">
        <v>32839</v>
      </c>
      <c r="H2193" t="s">
        <v>32849</v>
      </c>
      <c r="I2193" t="s">
        <v>32852</v>
      </c>
      <c r="J2193" t="s">
        <v>34510</v>
      </c>
      <c r="K2193" t="s">
        <v>42763</v>
      </c>
      <c r="M2193" t="s">
        <v>44014</v>
      </c>
      <c r="N2193" t="s">
        <v>47424</v>
      </c>
      <c r="O2193" t="s">
        <v>47425</v>
      </c>
      <c r="P2193">
        <v>0</v>
      </c>
      <c r="Q2193">
        <v>0</v>
      </c>
      <c r="R2193" t="s">
        <v>47429</v>
      </c>
      <c r="S2193" t="s">
        <v>47542</v>
      </c>
      <c r="T2193" t="s">
        <v>49078</v>
      </c>
      <c r="U2193" t="s">
        <v>51555</v>
      </c>
      <c r="W2193" t="s">
        <v>44014</v>
      </c>
      <c r="X2193" t="s">
        <v>47426</v>
      </c>
    </row>
    <row r="2194" spans="1:24">
      <c r="A2194">
        <f>HYPERLINK("https://www.philgeps.gov.ph/GEPSNONPILOT/Tender/SplashBidNoticeAbstractUI.aspx?menuIndex=3&amp;refID=7167453&amp;Result=3","7167453")</f>
        <v>0</v>
      </c>
      <c r="B2194" t="s">
        <v>978</v>
      </c>
      <c r="C2194" t="s">
        <v>6002</v>
      </c>
      <c r="D2194" t="s">
        <v>19057</v>
      </c>
      <c r="E2194" t="s">
        <v>21101</v>
      </c>
      <c r="F2194" t="s">
        <v>32831</v>
      </c>
      <c r="G2194" t="s">
        <v>32838</v>
      </c>
      <c r="H2194" t="s">
        <v>32848</v>
      </c>
      <c r="I2194" t="s">
        <v>7416</v>
      </c>
      <c r="J2194" t="s">
        <v>34511</v>
      </c>
      <c r="K2194" t="s">
        <v>42758</v>
      </c>
      <c r="M2194" t="s">
        <v>44027</v>
      </c>
      <c r="N2194" t="s">
        <v>47424</v>
      </c>
      <c r="O2194" t="s">
        <v>47425</v>
      </c>
      <c r="P2194">
        <v>0</v>
      </c>
      <c r="Q2194">
        <v>0</v>
      </c>
      <c r="R2194" t="s">
        <v>47429</v>
      </c>
      <c r="S2194" t="s">
        <v>47542</v>
      </c>
      <c r="T2194" t="s">
        <v>49129</v>
      </c>
      <c r="U2194" t="s">
        <v>51556</v>
      </c>
      <c r="W2194" t="s">
        <v>44027</v>
      </c>
      <c r="X2194" t="s">
        <v>47426</v>
      </c>
    </row>
    <row r="2195" spans="1:24">
      <c r="A2195">
        <f>HYPERLINK("https://www.philgeps.gov.ph/GEPSNONPILOT/Tender/SplashBidNoticeAbstractUI.aspx?menuIndex=3&amp;refID=7167478&amp;Result=3","7167478")</f>
        <v>0</v>
      </c>
      <c r="B2195" t="s">
        <v>987</v>
      </c>
      <c r="C2195" t="s">
        <v>6003</v>
      </c>
      <c r="D2195" t="s">
        <v>19047</v>
      </c>
      <c r="E2195" t="s">
        <v>21102</v>
      </c>
      <c r="F2195" t="s">
        <v>32831</v>
      </c>
      <c r="G2195" t="s">
        <v>32838</v>
      </c>
      <c r="H2195" t="s">
        <v>32848</v>
      </c>
      <c r="I2195" t="s">
        <v>5379</v>
      </c>
      <c r="J2195" t="s">
        <v>33424</v>
      </c>
      <c r="K2195" t="s">
        <v>42726</v>
      </c>
      <c r="M2195" t="s">
        <v>44036</v>
      </c>
      <c r="N2195" t="s">
        <v>47424</v>
      </c>
      <c r="O2195" t="s">
        <v>47425</v>
      </c>
      <c r="P2195">
        <v>0</v>
      </c>
      <c r="Q2195">
        <v>0</v>
      </c>
      <c r="R2195" t="s">
        <v>47429</v>
      </c>
      <c r="S2195" t="s">
        <v>47542</v>
      </c>
      <c r="T2195" t="s">
        <v>49303</v>
      </c>
      <c r="U2195" t="s">
        <v>51557</v>
      </c>
      <c r="V2195" t="s">
        <v>62856</v>
      </c>
      <c r="W2195" t="s">
        <v>44036</v>
      </c>
      <c r="X2195" t="s">
        <v>47426</v>
      </c>
    </row>
    <row r="2196" spans="1:24">
      <c r="A2196">
        <f>HYPERLINK("https://www.philgeps.gov.ph/GEPSNONPILOT/Tender/SplashBidNoticeAbstractUI.aspx?menuIndex=3&amp;refID=7167477&amp;Result=3","7167477")</f>
        <v>0</v>
      </c>
      <c r="B2196" t="s">
        <v>988</v>
      </c>
      <c r="C2196" t="s">
        <v>6004</v>
      </c>
      <c r="D2196" t="s">
        <v>19017</v>
      </c>
      <c r="E2196" t="s">
        <v>21103</v>
      </c>
      <c r="F2196" t="s">
        <v>32831</v>
      </c>
      <c r="G2196" t="s">
        <v>32838</v>
      </c>
      <c r="H2196" t="s">
        <v>32848</v>
      </c>
      <c r="I2196" t="s">
        <v>10805</v>
      </c>
      <c r="J2196" t="s">
        <v>32983</v>
      </c>
      <c r="K2196" t="s">
        <v>42732</v>
      </c>
      <c r="M2196" t="s">
        <v>44037</v>
      </c>
      <c r="N2196" t="s">
        <v>47424</v>
      </c>
      <c r="O2196" t="s">
        <v>47425</v>
      </c>
      <c r="P2196">
        <v>0</v>
      </c>
      <c r="Q2196">
        <v>0</v>
      </c>
      <c r="R2196" t="s">
        <v>47429</v>
      </c>
      <c r="S2196" t="s">
        <v>47542</v>
      </c>
      <c r="T2196" t="s">
        <v>49119</v>
      </c>
      <c r="U2196" t="s">
        <v>51558</v>
      </c>
      <c r="W2196" t="s">
        <v>44037</v>
      </c>
      <c r="X2196" t="s">
        <v>47426</v>
      </c>
    </row>
    <row r="2197" spans="1:24">
      <c r="A2197">
        <f>HYPERLINK("https://www.philgeps.gov.ph/GEPSNONPILOT/Tender/SplashBidNoticeAbstractUI.aspx?menuIndex=3&amp;refID=7167482&amp;Result=3","7167482")</f>
        <v>0</v>
      </c>
      <c r="B2197" t="s">
        <v>989</v>
      </c>
      <c r="C2197" t="s">
        <v>6005</v>
      </c>
      <c r="D2197" t="s">
        <v>19021</v>
      </c>
      <c r="E2197" t="s">
        <v>21104</v>
      </c>
      <c r="F2197" t="s">
        <v>32831</v>
      </c>
      <c r="G2197" t="s">
        <v>32839</v>
      </c>
      <c r="H2197" t="s">
        <v>32849</v>
      </c>
      <c r="I2197" t="s">
        <v>4177</v>
      </c>
      <c r="J2197" t="s">
        <v>32978</v>
      </c>
      <c r="K2197" t="s">
        <v>42743</v>
      </c>
      <c r="L2197" t="s">
        <v>989</v>
      </c>
      <c r="M2197" t="s">
        <v>44038</v>
      </c>
      <c r="N2197" t="s">
        <v>47424</v>
      </c>
      <c r="O2197" t="s">
        <v>47425</v>
      </c>
      <c r="P2197">
        <v>0</v>
      </c>
      <c r="Q2197">
        <v>1</v>
      </c>
      <c r="R2197" t="s">
        <v>47429</v>
      </c>
      <c r="S2197" t="s">
        <v>47542</v>
      </c>
      <c r="T2197" t="s">
        <v>49069</v>
      </c>
      <c r="U2197" t="s">
        <v>51559</v>
      </c>
      <c r="W2197" t="s">
        <v>44038</v>
      </c>
      <c r="X2197" t="s">
        <v>47426</v>
      </c>
    </row>
    <row r="2198" spans="1:24">
      <c r="A2198">
        <f>HYPERLINK("https://www.philgeps.gov.ph/GEPSNONPILOT/Tender/SplashBidNoticeAbstractUI.aspx?menuIndex=3&amp;refID=7167488&amp;Result=3","7167488")</f>
        <v>0</v>
      </c>
      <c r="B2198" t="s">
        <v>187</v>
      </c>
      <c r="C2198" t="s">
        <v>6006</v>
      </c>
      <c r="D2198" t="s">
        <v>19041</v>
      </c>
      <c r="E2198" t="s">
        <v>21105</v>
      </c>
      <c r="F2198" t="s">
        <v>32831</v>
      </c>
      <c r="G2198" t="s">
        <v>32839</v>
      </c>
      <c r="H2198" t="s">
        <v>32849</v>
      </c>
      <c r="I2198" t="s">
        <v>4177</v>
      </c>
      <c r="J2198" t="s">
        <v>34512</v>
      </c>
      <c r="K2198" t="s">
        <v>42818</v>
      </c>
      <c r="M2198" t="s">
        <v>44023</v>
      </c>
      <c r="N2198" t="s">
        <v>47424</v>
      </c>
      <c r="O2198" t="s">
        <v>47425</v>
      </c>
      <c r="P2198">
        <v>0</v>
      </c>
      <c r="Q2198">
        <v>0</v>
      </c>
      <c r="R2198" t="s">
        <v>47429</v>
      </c>
      <c r="S2198" t="s">
        <v>47542</v>
      </c>
      <c r="T2198" t="s">
        <v>49118</v>
      </c>
      <c r="U2198" t="s">
        <v>51560</v>
      </c>
      <c r="W2198" t="s">
        <v>44023</v>
      </c>
      <c r="X2198" t="s">
        <v>47426</v>
      </c>
    </row>
    <row r="2199" spans="1:24">
      <c r="A2199">
        <f>HYPERLINK("https://www.philgeps.gov.ph/GEPSNONPILOT/Tender/SplashBidNoticeAbstractUI.aspx?menuIndex=3&amp;refID=7167512&amp;Result=3","7167512")</f>
        <v>0</v>
      </c>
      <c r="B2199" t="s">
        <v>990</v>
      </c>
      <c r="C2199" t="s">
        <v>6007</v>
      </c>
      <c r="D2199" t="s">
        <v>19035</v>
      </c>
      <c r="E2199" t="s">
        <v>21106</v>
      </c>
      <c r="F2199" t="s">
        <v>32831</v>
      </c>
      <c r="G2199" t="s">
        <v>32838</v>
      </c>
      <c r="H2199" t="s">
        <v>32848</v>
      </c>
      <c r="I2199" t="s">
        <v>9577</v>
      </c>
      <c r="J2199" t="s">
        <v>34513</v>
      </c>
      <c r="K2199" t="s">
        <v>42758</v>
      </c>
      <c r="M2199" t="s">
        <v>44039</v>
      </c>
      <c r="N2199" t="s">
        <v>47424</v>
      </c>
      <c r="O2199" t="s">
        <v>47425</v>
      </c>
      <c r="P2199">
        <v>0</v>
      </c>
      <c r="Q2199">
        <v>0</v>
      </c>
      <c r="R2199" t="s">
        <v>47429</v>
      </c>
      <c r="S2199" t="s">
        <v>47542</v>
      </c>
      <c r="T2199" t="s">
        <v>49089</v>
      </c>
      <c r="U2199" t="s">
        <v>51561</v>
      </c>
      <c r="W2199" t="s">
        <v>44039</v>
      </c>
      <c r="X2199" t="s">
        <v>47426</v>
      </c>
    </row>
    <row r="2200" spans="1:24">
      <c r="A2200">
        <f>HYPERLINK("https://www.philgeps.gov.ph/GEPSNONPILOT/Tender/SplashBidNoticeAbstractUI.aspx?menuIndex=3&amp;refID=7167479&amp;Result=3","7167479")</f>
        <v>0</v>
      </c>
      <c r="B2200" t="s">
        <v>793</v>
      </c>
      <c r="C2200" t="s">
        <v>6008</v>
      </c>
      <c r="D2200" t="s">
        <v>19048</v>
      </c>
      <c r="E2200" t="s">
        <v>21107</v>
      </c>
      <c r="F2200" t="s">
        <v>32831</v>
      </c>
      <c r="G2200" t="s">
        <v>32838</v>
      </c>
      <c r="H2200" t="s">
        <v>32848</v>
      </c>
      <c r="I2200" t="s">
        <v>32863</v>
      </c>
      <c r="J2200" t="s">
        <v>33220</v>
      </c>
      <c r="K2200" t="s">
        <v>42738</v>
      </c>
      <c r="M2200" t="s">
        <v>43823</v>
      </c>
      <c r="N2200" t="s">
        <v>47424</v>
      </c>
      <c r="O2200" t="s">
        <v>47425</v>
      </c>
      <c r="P2200">
        <v>0</v>
      </c>
      <c r="Q2200">
        <v>0</v>
      </c>
      <c r="R2200" t="s">
        <v>47429</v>
      </c>
      <c r="S2200" t="s">
        <v>47542</v>
      </c>
      <c r="T2200" t="s">
        <v>49059</v>
      </c>
      <c r="U2200" t="s">
        <v>51562</v>
      </c>
      <c r="W2200" t="s">
        <v>43823</v>
      </c>
      <c r="X2200" t="s">
        <v>47426</v>
      </c>
    </row>
    <row r="2201" spans="1:24">
      <c r="A2201">
        <f>HYPERLINK("https://www.philgeps.gov.ph/GEPSNONPILOT/Tender/SplashBidNoticeAbstractUI.aspx?menuIndex=3&amp;refID=7167510&amp;Result=3","7167510")</f>
        <v>0</v>
      </c>
      <c r="B2201" t="s">
        <v>991</v>
      </c>
      <c r="C2201" t="s">
        <v>6009</v>
      </c>
      <c r="D2201" t="s">
        <v>19021</v>
      </c>
      <c r="E2201" t="s">
        <v>19203</v>
      </c>
      <c r="F2201" t="s">
        <v>32831</v>
      </c>
      <c r="G2201" t="s">
        <v>32839</v>
      </c>
      <c r="H2201" t="s">
        <v>32848</v>
      </c>
      <c r="I2201" t="s">
        <v>7416</v>
      </c>
      <c r="J2201" t="s">
        <v>34514</v>
      </c>
      <c r="K2201" t="s">
        <v>42727</v>
      </c>
      <c r="M2201" t="s">
        <v>44040</v>
      </c>
      <c r="N2201" t="s">
        <v>47424</v>
      </c>
      <c r="O2201" t="s">
        <v>47425</v>
      </c>
      <c r="P2201">
        <v>0</v>
      </c>
      <c r="Q2201">
        <v>0</v>
      </c>
      <c r="R2201" t="s">
        <v>47429</v>
      </c>
      <c r="S2201" t="s">
        <v>47542</v>
      </c>
      <c r="T2201" t="s">
        <v>49304</v>
      </c>
      <c r="U2201" t="s">
        <v>51563</v>
      </c>
      <c r="W2201" t="s">
        <v>44040</v>
      </c>
      <c r="X2201" t="s">
        <v>47426</v>
      </c>
    </row>
    <row r="2202" spans="1:24">
      <c r="A2202">
        <f>HYPERLINK("https://www.philgeps.gov.ph/GEPSNONPILOT/Tender/SplashBidNoticeAbstractUI.aspx?menuIndex=3&amp;refID=7167476&amp;Result=3","7167476")</f>
        <v>0</v>
      </c>
      <c r="B2202" t="s">
        <v>992</v>
      </c>
      <c r="C2202" t="s">
        <v>6010</v>
      </c>
      <c r="D2202" t="s">
        <v>19030</v>
      </c>
      <c r="E2202" t="s">
        <v>21108</v>
      </c>
      <c r="F2202" t="s">
        <v>32831</v>
      </c>
      <c r="G2202" t="s">
        <v>32840</v>
      </c>
      <c r="H2202" t="s">
        <v>32848</v>
      </c>
      <c r="I2202" t="s">
        <v>9577</v>
      </c>
      <c r="J2202" t="s">
        <v>34515</v>
      </c>
      <c r="K2202" t="s">
        <v>42758</v>
      </c>
      <c r="M2202" t="s">
        <v>44041</v>
      </c>
      <c r="N2202" t="s">
        <v>47424</v>
      </c>
      <c r="O2202" t="s">
        <v>47425</v>
      </c>
      <c r="P2202">
        <v>0</v>
      </c>
      <c r="Q2202">
        <v>0</v>
      </c>
      <c r="R2202" t="s">
        <v>47429</v>
      </c>
      <c r="S2202" t="s">
        <v>47542</v>
      </c>
      <c r="T2202" t="s">
        <v>49108</v>
      </c>
      <c r="U2202" t="s">
        <v>51564</v>
      </c>
      <c r="W2202" t="s">
        <v>44041</v>
      </c>
      <c r="X2202" t="s">
        <v>47426</v>
      </c>
    </row>
    <row r="2203" spans="1:24">
      <c r="A2203">
        <f>HYPERLINK("https://www.philgeps.gov.ph/GEPSNONPILOT/Tender/SplashBidNoticeAbstractUI.aspx?menuIndex=3&amp;refID=7167427&amp;Result=3","7167427")</f>
        <v>0</v>
      </c>
      <c r="B2203" t="s">
        <v>324</v>
      </c>
      <c r="C2203" t="s">
        <v>6011</v>
      </c>
      <c r="D2203" t="s">
        <v>19097</v>
      </c>
      <c r="E2203" t="s">
        <v>21109</v>
      </c>
      <c r="F2203" t="s">
        <v>32831</v>
      </c>
      <c r="G2203" t="s">
        <v>32838</v>
      </c>
      <c r="H2203" t="s">
        <v>32848</v>
      </c>
      <c r="I2203" t="s">
        <v>32883</v>
      </c>
      <c r="J2203" t="s">
        <v>33044</v>
      </c>
      <c r="K2203" t="s">
        <v>42730</v>
      </c>
      <c r="M2203" t="s">
        <v>43940</v>
      </c>
      <c r="N2203" t="s">
        <v>47424</v>
      </c>
      <c r="O2203" t="s">
        <v>47425</v>
      </c>
      <c r="P2203">
        <v>0</v>
      </c>
      <c r="Q2203">
        <v>0</v>
      </c>
      <c r="R2203" t="s">
        <v>47429</v>
      </c>
      <c r="S2203" t="s">
        <v>47542</v>
      </c>
      <c r="T2203" t="s">
        <v>49171</v>
      </c>
      <c r="U2203" t="s">
        <v>51565</v>
      </c>
      <c r="W2203" t="s">
        <v>43940</v>
      </c>
      <c r="X2203" t="s">
        <v>47426</v>
      </c>
    </row>
    <row r="2204" spans="1:24">
      <c r="A2204">
        <f>HYPERLINK("https://www.philgeps.gov.ph/GEPSNONPILOT/Tender/SplashBidNoticeAbstractUI.aspx?menuIndex=3&amp;refID=7167509&amp;Result=3","7167509")</f>
        <v>0</v>
      </c>
      <c r="B2204" t="s">
        <v>975</v>
      </c>
      <c r="C2204" t="s">
        <v>6012</v>
      </c>
      <c r="D2204" t="s">
        <v>19044</v>
      </c>
      <c r="E2204" t="s">
        <v>21110</v>
      </c>
      <c r="F2204" t="s">
        <v>32831</v>
      </c>
      <c r="G2204" t="s">
        <v>32838</v>
      </c>
      <c r="H2204" t="s">
        <v>32848</v>
      </c>
      <c r="I2204" t="s">
        <v>32870</v>
      </c>
      <c r="J2204" t="s">
        <v>34516</v>
      </c>
      <c r="K2204" t="s">
        <v>42748</v>
      </c>
      <c r="M2204" t="s">
        <v>44024</v>
      </c>
      <c r="N2204" t="s">
        <v>47424</v>
      </c>
      <c r="O2204" t="s">
        <v>47425</v>
      </c>
      <c r="P2204">
        <v>0</v>
      </c>
      <c r="Q2204">
        <v>0</v>
      </c>
      <c r="R2204" t="s">
        <v>47429</v>
      </c>
      <c r="S2204" t="s">
        <v>47542</v>
      </c>
      <c r="T2204" t="s">
        <v>49124</v>
      </c>
      <c r="U2204" t="s">
        <v>51531</v>
      </c>
      <c r="W2204" t="s">
        <v>44024</v>
      </c>
      <c r="X2204" t="s">
        <v>47426</v>
      </c>
    </row>
    <row r="2205" spans="1:24">
      <c r="A2205">
        <f>HYPERLINK("https://www.philgeps.gov.ph/GEPSNONPILOT/Tender/SplashBidNoticeAbstractUI.aspx?menuIndex=3&amp;refID=7167506&amp;Result=3","7167506")</f>
        <v>0</v>
      </c>
      <c r="B2205" t="s">
        <v>993</v>
      </c>
      <c r="C2205" t="s">
        <v>6013</v>
      </c>
      <c r="D2205" t="s">
        <v>19023</v>
      </c>
      <c r="E2205" t="s">
        <v>21111</v>
      </c>
      <c r="F2205" t="s">
        <v>32831</v>
      </c>
      <c r="G2205" t="s">
        <v>32842</v>
      </c>
      <c r="H2205" t="s">
        <v>32848</v>
      </c>
      <c r="I2205" t="s">
        <v>4776</v>
      </c>
      <c r="J2205" t="s">
        <v>33018</v>
      </c>
      <c r="K2205" t="s">
        <v>42758</v>
      </c>
      <c r="M2205" t="s">
        <v>44042</v>
      </c>
      <c r="N2205" t="s">
        <v>47424</v>
      </c>
      <c r="O2205" t="s">
        <v>47425</v>
      </c>
      <c r="P2205">
        <v>0</v>
      </c>
      <c r="Q2205">
        <v>0</v>
      </c>
      <c r="R2205" t="s">
        <v>47429</v>
      </c>
      <c r="S2205" t="s">
        <v>47542</v>
      </c>
      <c r="T2205" t="s">
        <v>49124</v>
      </c>
      <c r="U2205" t="s">
        <v>51566</v>
      </c>
      <c r="W2205" t="s">
        <v>44042</v>
      </c>
      <c r="X2205" t="s">
        <v>47426</v>
      </c>
    </row>
    <row r="2206" spans="1:24">
      <c r="A2206">
        <f>HYPERLINK("https://www.philgeps.gov.ph/GEPSNONPILOT/Tender/SplashBidNoticeAbstractUI.aspx?menuIndex=3&amp;refID=7167504&amp;Result=3","7167504")</f>
        <v>0</v>
      </c>
      <c r="B2206" t="s">
        <v>994</v>
      </c>
      <c r="C2206" t="s">
        <v>6014</v>
      </c>
      <c r="D2206" t="s">
        <v>19031</v>
      </c>
      <c r="E2206" t="s">
        <v>21112</v>
      </c>
      <c r="F2206" t="s">
        <v>32831</v>
      </c>
      <c r="G2206" t="s">
        <v>32840</v>
      </c>
      <c r="H2206" t="s">
        <v>32848</v>
      </c>
      <c r="I2206" t="s">
        <v>32932</v>
      </c>
      <c r="J2206" t="s">
        <v>33133</v>
      </c>
      <c r="K2206" t="s">
        <v>42745</v>
      </c>
      <c r="M2206" t="s">
        <v>44043</v>
      </c>
      <c r="N2206" t="s">
        <v>47424</v>
      </c>
      <c r="O2206" t="s">
        <v>47425</v>
      </c>
      <c r="P2206">
        <v>0</v>
      </c>
      <c r="Q2206">
        <v>0</v>
      </c>
      <c r="R2206" t="s">
        <v>47429</v>
      </c>
      <c r="S2206" t="s">
        <v>47542</v>
      </c>
      <c r="T2206" t="s">
        <v>49263</v>
      </c>
      <c r="U2206" t="s">
        <v>51567</v>
      </c>
      <c r="V2206" t="s">
        <v>62857</v>
      </c>
      <c r="W2206" t="s">
        <v>44043</v>
      </c>
      <c r="X2206" t="s">
        <v>47426</v>
      </c>
    </row>
    <row r="2207" spans="1:24">
      <c r="A2207">
        <f>HYPERLINK("https://www.philgeps.gov.ph/GEPSNONPILOT/Tender/SplashBidNoticeAbstractUI.aspx?menuIndex=3&amp;refID=7167441&amp;Result=3","7167441")</f>
        <v>0</v>
      </c>
      <c r="B2207" t="s">
        <v>961</v>
      </c>
      <c r="C2207" t="s">
        <v>6015</v>
      </c>
      <c r="D2207" t="s">
        <v>19021</v>
      </c>
      <c r="E2207" t="s">
        <v>21113</v>
      </c>
      <c r="F2207" t="s">
        <v>32831</v>
      </c>
      <c r="G2207" t="s">
        <v>32838</v>
      </c>
      <c r="H2207" t="s">
        <v>32848</v>
      </c>
      <c r="I2207" t="s">
        <v>4776</v>
      </c>
      <c r="J2207" t="s">
        <v>34070</v>
      </c>
      <c r="K2207" t="s">
        <v>42726</v>
      </c>
      <c r="M2207" t="s">
        <v>44007</v>
      </c>
      <c r="N2207" t="s">
        <v>47424</v>
      </c>
      <c r="O2207" t="s">
        <v>47425</v>
      </c>
      <c r="P2207">
        <v>0</v>
      </c>
      <c r="Q2207">
        <v>0</v>
      </c>
      <c r="R2207" t="s">
        <v>47429</v>
      </c>
      <c r="S2207" t="s">
        <v>47542</v>
      </c>
      <c r="T2207" t="s">
        <v>49119</v>
      </c>
      <c r="U2207" t="s">
        <v>51568</v>
      </c>
      <c r="W2207" t="s">
        <v>44007</v>
      </c>
      <c r="X2207" t="s">
        <v>47426</v>
      </c>
    </row>
    <row r="2208" spans="1:24">
      <c r="A2208">
        <f>HYPERLINK("https://www.philgeps.gov.ph/GEPSNONPILOT/Tender/SplashBidNoticeAbstractUI.aspx?menuIndex=3&amp;refID=7167502&amp;Result=3","7167502")</f>
        <v>0</v>
      </c>
      <c r="B2208" t="s">
        <v>995</v>
      </c>
      <c r="C2208" t="s">
        <v>6016</v>
      </c>
      <c r="D2208" t="s">
        <v>19040</v>
      </c>
      <c r="E2208" t="s">
        <v>21114</v>
      </c>
      <c r="F2208" t="s">
        <v>32831</v>
      </c>
      <c r="G2208" t="s">
        <v>32839</v>
      </c>
      <c r="H2208" t="s">
        <v>32849</v>
      </c>
      <c r="I2208" t="s">
        <v>11727</v>
      </c>
      <c r="J2208" t="s">
        <v>33055</v>
      </c>
      <c r="K2208" t="s">
        <v>42729</v>
      </c>
      <c r="M2208" t="s">
        <v>44044</v>
      </c>
      <c r="N2208" t="s">
        <v>47424</v>
      </c>
      <c r="O2208" t="s">
        <v>47425</v>
      </c>
      <c r="P2208">
        <v>0</v>
      </c>
      <c r="Q2208">
        <v>0</v>
      </c>
      <c r="R2208" t="s">
        <v>47429</v>
      </c>
      <c r="S2208" t="s">
        <v>47542</v>
      </c>
      <c r="T2208" t="s">
        <v>49102</v>
      </c>
      <c r="U2208" t="s">
        <v>51569</v>
      </c>
      <c r="V2208" t="s">
        <v>62858</v>
      </c>
      <c r="W2208" t="s">
        <v>44044</v>
      </c>
      <c r="X2208" t="s">
        <v>47426</v>
      </c>
    </row>
    <row r="2209" spans="1:24">
      <c r="A2209">
        <f>HYPERLINK("https://www.philgeps.gov.ph/GEPSNONPILOT/Tender/SplashBidNoticeAbstractUI.aspx?menuIndex=3&amp;refID=7167507&amp;Result=3","7167507")</f>
        <v>0</v>
      </c>
      <c r="B2209" t="s">
        <v>996</v>
      </c>
      <c r="C2209" t="s">
        <v>6017</v>
      </c>
      <c r="E2209" t="s">
        <v>21115</v>
      </c>
      <c r="F2209" t="s">
        <v>32831</v>
      </c>
      <c r="G2209" t="s">
        <v>32839</v>
      </c>
      <c r="H2209" t="s">
        <v>32848</v>
      </c>
      <c r="I2209" t="s">
        <v>10805</v>
      </c>
      <c r="J2209" t="s">
        <v>34517</v>
      </c>
      <c r="K2209" t="s">
        <v>42732</v>
      </c>
      <c r="M2209" t="s">
        <v>44045</v>
      </c>
      <c r="N2209" t="s">
        <v>47424</v>
      </c>
      <c r="O2209" t="s">
        <v>47425</v>
      </c>
      <c r="P2209">
        <v>0</v>
      </c>
      <c r="Q2209">
        <v>1</v>
      </c>
      <c r="R2209" t="s">
        <v>47429</v>
      </c>
      <c r="S2209" t="s">
        <v>47542</v>
      </c>
      <c r="T2209" t="s">
        <v>49065</v>
      </c>
      <c r="U2209" t="s">
        <v>51570</v>
      </c>
      <c r="V2209" t="s">
        <v>62859</v>
      </c>
      <c r="W2209" t="s">
        <v>44045</v>
      </c>
      <c r="X2209" t="s">
        <v>47426</v>
      </c>
    </row>
    <row r="2210" spans="1:24">
      <c r="A2210">
        <f>HYPERLINK("https://www.philgeps.gov.ph/GEPSNONPILOT/Tender/SplashBidNoticeAbstractUI.aspx?menuIndex=3&amp;refID=7167501&amp;Result=3","7167501")</f>
        <v>0</v>
      </c>
      <c r="B2210" t="s">
        <v>921</v>
      </c>
      <c r="C2210" t="s">
        <v>6018</v>
      </c>
      <c r="D2210" t="s">
        <v>19045</v>
      </c>
      <c r="E2210" t="s">
        <v>21116</v>
      </c>
      <c r="F2210" t="s">
        <v>32831</v>
      </c>
      <c r="G2210" t="s">
        <v>32838</v>
      </c>
      <c r="H2210" t="s">
        <v>32848</v>
      </c>
      <c r="I2210" t="s">
        <v>7416</v>
      </c>
      <c r="J2210" t="s">
        <v>34518</v>
      </c>
      <c r="K2210" t="s">
        <v>42731</v>
      </c>
      <c r="M2210" t="s">
        <v>43962</v>
      </c>
      <c r="N2210" t="s">
        <v>47424</v>
      </c>
      <c r="O2210" t="s">
        <v>47425</v>
      </c>
      <c r="P2210">
        <v>0</v>
      </c>
      <c r="Q2210">
        <v>0</v>
      </c>
      <c r="R2210" t="s">
        <v>47429</v>
      </c>
      <c r="S2210" t="s">
        <v>47542</v>
      </c>
      <c r="T2210" t="s">
        <v>49123</v>
      </c>
      <c r="U2210" t="s">
        <v>51571</v>
      </c>
      <c r="W2210" t="s">
        <v>43962</v>
      </c>
      <c r="X2210" t="s">
        <v>47426</v>
      </c>
    </row>
    <row r="2211" spans="1:24">
      <c r="A2211">
        <f>HYPERLINK("https://www.philgeps.gov.ph/GEPSNONPILOT/Tender/SplashBidNoticeAbstractUI.aspx?menuIndex=3&amp;refID=7167508&amp;Result=3","7167508")</f>
        <v>0</v>
      </c>
      <c r="B2211" t="s">
        <v>997</v>
      </c>
      <c r="C2211" t="s">
        <v>6019</v>
      </c>
      <c r="D2211" t="s">
        <v>19017</v>
      </c>
      <c r="E2211" t="s">
        <v>21117</v>
      </c>
      <c r="F2211" t="s">
        <v>32831</v>
      </c>
      <c r="G2211" t="s">
        <v>32838</v>
      </c>
      <c r="H2211" t="s">
        <v>32848</v>
      </c>
      <c r="I2211" t="s">
        <v>4487</v>
      </c>
      <c r="J2211" t="s">
        <v>33039</v>
      </c>
      <c r="K2211" t="s">
        <v>42730</v>
      </c>
      <c r="M2211" t="s">
        <v>44046</v>
      </c>
      <c r="N2211" t="s">
        <v>47424</v>
      </c>
      <c r="O2211" t="s">
        <v>47425</v>
      </c>
      <c r="P2211">
        <v>0</v>
      </c>
      <c r="Q2211">
        <v>0</v>
      </c>
      <c r="R2211" t="s">
        <v>47429</v>
      </c>
      <c r="S2211" t="s">
        <v>47542</v>
      </c>
      <c r="T2211" t="s">
        <v>49089</v>
      </c>
      <c r="U2211" t="s">
        <v>51572</v>
      </c>
      <c r="W2211" t="s">
        <v>44046</v>
      </c>
      <c r="X2211" t="s">
        <v>47426</v>
      </c>
    </row>
    <row r="2212" spans="1:24">
      <c r="A2212">
        <f>HYPERLINK("https://www.philgeps.gov.ph/GEPSNONPILOT/Tender/SplashBidNoticeAbstractUI.aspx?menuIndex=3&amp;refID=7167497&amp;Result=3","7167497")</f>
        <v>0</v>
      </c>
      <c r="B2212" t="s">
        <v>975</v>
      </c>
      <c r="C2212" t="s">
        <v>6012</v>
      </c>
      <c r="D2212" t="s">
        <v>19044</v>
      </c>
      <c r="E2212" t="s">
        <v>21118</v>
      </c>
      <c r="F2212" t="s">
        <v>32831</v>
      </c>
      <c r="G2212" t="s">
        <v>32838</v>
      </c>
      <c r="H2212" t="s">
        <v>32848</v>
      </c>
      <c r="I2212" t="s">
        <v>32870</v>
      </c>
      <c r="J2212" t="s">
        <v>34519</v>
      </c>
      <c r="K2212" t="s">
        <v>42748</v>
      </c>
      <c r="M2212" t="s">
        <v>44024</v>
      </c>
      <c r="N2212" t="s">
        <v>47424</v>
      </c>
      <c r="O2212" t="s">
        <v>47425</v>
      </c>
      <c r="P2212">
        <v>0</v>
      </c>
      <c r="Q2212">
        <v>0</v>
      </c>
      <c r="R2212" t="s">
        <v>47429</v>
      </c>
      <c r="S2212" t="s">
        <v>47542</v>
      </c>
      <c r="T2212" t="s">
        <v>49124</v>
      </c>
      <c r="U2212" t="s">
        <v>51531</v>
      </c>
      <c r="W2212" t="s">
        <v>44024</v>
      </c>
      <c r="X2212" t="s">
        <v>47426</v>
      </c>
    </row>
    <row r="2213" spans="1:24">
      <c r="A2213">
        <f>HYPERLINK("https://www.philgeps.gov.ph/GEPSNONPILOT/Tender/SplashBidNoticeAbstractUI.aspx?menuIndex=3&amp;refID=7167496&amp;Result=3","7167496")</f>
        <v>0</v>
      </c>
      <c r="B2213" t="s">
        <v>998</v>
      </c>
      <c r="C2213" t="s">
        <v>6020</v>
      </c>
      <c r="D2213" t="s">
        <v>19049</v>
      </c>
      <c r="E2213" t="s">
        <v>21119</v>
      </c>
      <c r="F2213" t="s">
        <v>32831</v>
      </c>
      <c r="G2213" t="s">
        <v>32838</v>
      </c>
      <c r="H2213" t="s">
        <v>32850</v>
      </c>
      <c r="I2213" t="s">
        <v>32929</v>
      </c>
      <c r="J2213" t="s">
        <v>33041</v>
      </c>
      <c r="K2213" t="s">
        <v>42786</v>
      </c>
      <c r="M2213" t="s">
        <v>44047</v>
      </c>
      <c r="N2213" t="s">
        <v>47424</v>
      </c>
      <c r="O2213" t="s">
        <v>47425</v>
      </c>
      <c r="P2213">
        <v>0</v>
      </c>
      <c r="Q2213">
        <v>0</v>
      </c>
      <c r="R2213" t="s">
        <v>47429</v>
      </c>
      <c r="S2213" t="s">
        <v>47542</v>
      </c>
      <c r="T2213" t="s">
        <v>49073</v>
      </c>
      <c r="U2213" t="s">
        <v>51573</v>
      </c>
      <c r="W2213" t="s">
        <v>44047</v>
      </c>
      <c r="X2213" t="s">
        <v>47426</v>
      </c>
    </row>
    <row r="2214" spans="1:24">
      <c r="A2214">
        <f>HYPERLINK("https://www.philgeps.gov.ph/GEPSNONPILOT/Tender/SplashBidNoticeAbstractUI.aspx?menuIndex=3&amp;refID=7167511&amp;Result=3","7167511")</f>
        <v>0</v>
      </c>
      <c r="B2214" t="s">
        <v>999</v>
      </c>
      <c r="C2214" t="s">
        <v>6021</v>
      </c>
      <c r="D2214" t="s">
        <v>19017</v>
      </c>
      <c r="E2214" t="s">
        <v>21120</v>
      </c>
      <c r="F2214" t="s">
        <v>32831</v>
      </c>
      <c r="G2214" t="s">
        <v>32839</v>
      </c>
      <c r="H2214" t="s">
        <v>32848</v>
      </c>
      <c r="I2214" t="s">
        <v>32864</v>
      </c>
      <c r="J2214" t="s">
        <v>34520</v>
      </c>
      <c r="K2214" t="s">
        <v>42727</v>
      </c>
      <c r="M2214" t="s">
        <v>44048</v>
      </c>
      <c r="N2214" t="s">
        <v>47424</v>
      </c>
      <c r="O2214" t="s">
        <v>47425</v>
      </c>
      <c r="P2214">
        <v>0</v>
      </c>
      <c r="Q2214">
        <v>0</v>
      </c>
      <c r="R2214" t="s">
        <v>47429</v>
      </c>
      <c r="S2214" t="s">
        <v>47542</v>
      </c>
      <c r="T2214" t="s">
        <v>49187</v>
      </c>
      <c r="U2214" t="s">
        <v>51574</v>
      </c>
      <c r="V2214" t="s">
        <v>62860</v>
      </c>
      <c r="W2214" t="s">
        <v>44048</v>
      </c>
      <c r="X2214" t="s">
        <v>47426</v>
      </c>
    </row>
    <row r="2215" spans="1:24">
      <c r="A2215">
        <f>HYPERLINK("https://www.philgeps.gov.ph/GEPSNONPILOT/Tender/SplashBidNoticeAbstractUI.aspx?menuIndex=3&amp;refID=7167494&amp;Result=3","7167494")</f>
        <v>0</v>
      </c>
      <c r="B2215" t="s">
        <v>808</v>
      </c>
      <c r="C2215" t="s">
        <v>6022</v>
      </c>
      <c r="D2215" t="s">
        <v>19017</v>
      </c>
      <c r="E2215" t="s">
        <v>21121</v>
      </c>
      <c r="F2215" t="s">
        <v>32831</v>
      </c>
      <c r="G2215" t="s">
        <v>32839</v>
      </c>
      <c r="H2215" t="s">
        <v>32848</v>
      </c>
      <c r="I2215" t="s">
        <v>7751</v>
      </c>
      <c r="J2215" t="s">
        <v>33032</v>
      </c>
      <c r="K2215" t="s">
        <v>42729</v>
      </c>
      <c r="M2215" t="s">
        <v>43839</v>
      </c>
      <c r="N2215" t="s">
        <v>47424</v>
      </c>
      <c r="O2215" t="s">
        <v>47425</v>
      </c>
      <c r="P2215">
        <v>0</v>
      </c>
      <c r="Q2215">
        <v>3</v>
      </c>
      <c r="R2215" t="s">
        <v>47429</v>
      </c>
      <c r="S2215" t="s">
        <v>47542</v>
      </c>
      <c r="T2215" t="s">
        <v>49277</v>
      </c>
      <c r="U2215" t="s">
        <v>51575</v>
      </c>
      <c r="V2215" t="s">
        <v>62816</v>
      </c>
      <c r="W2215" t="s">
        <v>43839</v>
      </c>
      <c r="X2215" t="s">
        <v>47426</v>
      </c>
    </row>
    <row r="2216" spans="1:24">
      <c r="A2216">
        <f>HYPERLINK("https://www.philgeps.gov.ph/GEPSNONPILOT/Tender/SplashBidNoticeAbstractUI.aspx?menuIndex=3&amp;refID=7167492&amp;Result=3","7167492")</f>
        <v>0</v>
      </c>
      <c r="B2216" t="s">
        <v>920</v>
      </c>
      <c r="C2216" t="s">
        <v>5991</v>
      </c>
      <c r="E2216" t="s">
        <v>21122</v>
      </c>
      <c r="F2216" t="s">
        <v>32831</v>
      </c>
      <c r="G2216" t="s">
        <v>32842</v>
      </c>
      <c r="H2216" t="s">
        <v>32848</v>
      </c>
      <c r="I2216" t="s">
        <v>9577</v>
      </c>
      <c r="J2216" t="s">
        <v>34521</v>
      </c>
      <c r="K2216" t="s">
        <v>42732</v>
      </c>
      <c r="M2216" t="s">
        <v>43961</v>
      </c>
      <c r="N2216" t="s">
        <v>47424</v>
      </c>
      <c r="O2216" t="s">
        <v>47425</v>
      </c>
      <c r="P2216">
        <v>0</v>
      </c>
      <c r="Q2216">
        <v>0</v>
      </c>
      <c r="R2216" t="s">
        <v>47429</v>
      </c>
      <c r="S2216" t="s">
        <v>47542</v>
      </c>
      <c r="T2216" t="s">
        <v>49104</v>
      </c>
      <c r="U2216" t="s">
        <v>51396</v>
      </c>
      <c r="W2216" t="s">
        <v>43961</v>
      </c>
      <c r="X2216" t="s">
        <v>47426</v>
      </c>
    </row>
    <row r="2217" spans="1:24">
      <c r="A2217">
        <f>HYPERLINK("https://www.philgeps.gov.ph/GEPSNONPILOT/Tender/SplashBidNoticeAbstractUI.aspx?menuIndex=3&amp;refID=7167491&amp;Result=3","7167491")</f>
        <v>0</v>
      </c>
      <c r="B2217" t="s">
        <v>858</v>
      </c>
      <c r="C2217" t="s">
        <v>6023</v>
      </c>
      <c r="D2217" t="s">
        <v>19017</v>
      </c>
      <c r="E2217" t="s">
        <v>21123</v>
      </c>
      <c r="F2217" t="s">
        <v>32831</v>
      </c>
      <c r="G2217" t="s">
        <v>32840</v>
      </c>
      <c r="H2217" t="s">
        <v>32848</v>
      </c>
      <c r="I2217" t="s">
        <v>32860</v>
      </c>
      <c r="J2217" t="s">
        <v>34522</v>
      </c>
      <c r="K2217" t="s">
        <v>42727</v>
      </c>
      <c r="M2217" t="s">
        <v>43954</v>
      </c>
      <c r="N2217" t="s">
        <v>47424</v>
      </c>
      <c r="O2217" t="s">
        <v>47425</v>
      </c>
      <c r="P2217">
        <v>0</v>
      </c>
      <c r="Q2217">
        <v>1</v>
      </c>
      <c r="R2217" t="s">
        <v>47429</v>
      </c>
      <c r="S2217" t="s">
        <v>47542</v>
      </c>
      <c r="T2217" t="s">
        <v>49129</v>
      </c>
      <c r="U2217" t="s">
        <v>51576</v>
      </c>
      <c r="W2217" t="s">
        <v>43954</v>
      </c>
      <c r="X2217" t="s">
        <v>47426</v>
      </c>
    </row>
    <row r="2218" spans="1:24">
      <c r="A2218">
        <f>HYPERLINK("https://www.philgeps.gov.ph/GEPSNONPILOT/Tender/SplashBidNoticeAbstractUI.aspx?menuIndex=3&amp;refID=7167473&amp;Result=3","7167473")</f>
        <v>0</v>
      </c>
      <c r="B2218" t="s">
        <v>851</v>
      </c>
      <c r="C2218" t="s">
        <v>6024</v>
      </c>
      <c r="D2218" t="s">
        <v>19017</v>
      </c>
      <c r="E2218" t="s">
        <v>21124</v>
      </c>
      <c r="F2218" t="s">
        <v>32831</v>
      </c>
      <c r="G2218" t="s">
        <v>32838</v>
      </c>
      <c r="H2218" t="s">
        <v>32848</v>
      </c>
      <c r="I2218" t="s">
        <v>32859</v>
      </c>
      <c r="J2218" t="s">
        <v>34523</v>
      </c>
      <c r="K2218" t="s">
        <v>42726</v>
      </c>
      <c r="M2218" t="s">
        <v>43884</v>
      </c>
      <c r="N2218" t="s">
        <v>47424</v>
      </c>
      <c r="O2218" t="s">
        <v>47425</v>
      </c>
      <c r="P2218">
        <v>0</v>
      </c>
      <c r="Q2218">
        <v>0</v>
      </c>
      <c r="R2218" t="s">
        <v>47429</v>
      </c>
      <c r="S2218" t="s">
        <v>47542</v>
      </c>
      <c r="T2218" t="s">
        <v>49119</v>
      </c>
      <c r="U2218" t="s">
        <v>51577</v>
      </c>
      <c r="W2218" t="s">
        <v>43884</v>
      </c>
      <c r="X2218" t="s">
        <v>47426</v>
      </c>
    </row>
    <row r="2219" spans="1:24">
      <c r="A2219">
        <f>HYPERLINK("https://www.philgeps.gov.ph/GEPSNONPILOT/Tender/SplashBidNoticeAbstractUI.aspx?menuIndex=3&amp;refID=7167498&amp;Result=3","7167498")</f>
        <v>0</v>
      </c>
      <c r="B2219" t="s">
        <v>1000</v>
      </c>
      <c r="C2219" t="s">
        <v>6025</v>
      </c>
      <c r="D2219" t="s">
        <v>19021</v>
      </c>
      <c r="E2219" t="s">
        <v>21125</v>
      </c>
      <c r="F2219" t="s">
        <v>32831</v>
      </c>
      <c r="G2219" t="s">
        <v>32838</v>
      </c>
      <c r="H2219" t="s">
        <v>32850</v>
      </c>
      <c r="I2219" t="s">
        <v>32918</v>
      </c>
      <c r="J2219" t="s">
        <v>32976</v>
      </c>
      <c r="K2219" t="s">
        <v>42727</v>
      </c>
      <c r="M2219" t="s">
        <v>44049</v>
      </c>
      <c r="N2219" t="s">
        <v>47424</v>
      </c>
      <c r="O2219" t="s">
        <v>47425</v>
      </c>
      <c r="P2219">
        <v>0</v>
      </c>
      <c r="Q2219">
        <v>0</v>
      </c>
      <c r="R2219" t="s">
        <v>47429</v>
      </c>
      <c r="S2219" t="s">
        <v>47542</v>
      </c>
      <c r="T2219" t="s">
        <v>49089</v>
      </c>
      <c r="U2219" t="s">
        <v>51578</v>
      </c>
      <c r="W2219" t="s">
        <v>44049</v>
      </c>
      <c r="X2219" t="s">
        <v>47426</v>
      </c>
    </row>
    <row r="2220" spans="1:24">
      <c r="A2220">
        <f>HYPERLINK("https://www.philgeps.gov.ph/GEPSNONPILOT/Tender/SplashBidNoticeAbstractUI.aspx?menuIndex=3&amp;refID=7167493&amp;Result=3","7167493")</f>
        <v>0</v>
      </c>
      <c r="B2220" t="s">
        <v>986</v>
      </c>
      <c r="C2220" t="s">
        <v>6026</v>
      </c>
      <c r="D2220" t="s">
        <v>19044</v>
      </c>
      <c r="E2220" t="s">
        <v>21126</v>
      </c>
      <c r="F2220" t="s">
        <v>32831</v>
      </c>
      <c r="G2220" t="s">
        <v>32839</v>
      </c>
      <c r="H2220" t="s">
        <v>32849</v>
      </c>
      <c r="I2220" t="s">
        <v>4177</v>
      </c>
      <c r="J2220" t="s">
        <v>34524</v>
      </c>
      <c r="K2220" t="s">
        <v>42729</v>
      </c>
      <c r="M2220" t="s">
        <v>44035</v>
      </c>
      <c r="N2220" t="s">
        <v>47424</v>
      </c>
      <c r="O2220" t="s">
        <v>47425</v>
      </c>
      <c r="P2220">
        <v>0</v>
      </c>
      <c r="Q2220">
        <v>0</v>
      </c>
      <c r="R2220" t="s">
        <v>47429</v>
      </c>
      <c r="S2220" t="s">
        <v>47542</v>
      </c>
      <c r="T2220" t="s">
        <v>49080</v>
      </c>
      <c r="U2220" t="s">
        <v>51553</v>
      </c>
      <c r="V2220" t="s">
        <v>62861</v>
      </c>
      <c r="W2220" t="s">
        <v>44035</v>
      </c>
      <c r="X2220" t="s">
        <v>47426</v>
      </c>
    </row>
    <row r="2221" spans="1:24">
      <c r="A2221">
        <f>HYPERLINK("https://www.philgeps.gov.ph/GEPSNONPILOT/Tender/SplashBidNoticeAbstractUI.aspx?menuIndex=3&amp;refID=7167472&amp;Result=3","7167472")</f>
        <v>0</v>
      </c>
      <c r="B2221" t="s">
        <v>592</v>
      </c>
      <c r="C2221" t="s">
        <v>6027</v>
      </c>
      <c r="D2221" t="s">
        <v>19045</v>
      </c>
      <c r="E2221" t="s">
        <v>21127</v>
      </c>
      <c r="F2221" t="s">
        <v>32831</v>
      </c>
      <c r="G2221" t="s">
        <v>32838</v>
      </c>
      <c r="H2221" t="s">
        <v>32848</v>
      </c>
      <c r="I2221" t="s">
        <v>10643</v>
      </c>
      <c r="J2221" t="s">
        <v>33595</v>
      </c>
      <c r="K2221" t="s">
        <v>42731</v>
      </c>
      <c r="M2221" t="s">
        <v>43604</v>
      </c>
      <c r="N2221" t="s">
        <v>47424</v>
      </c>
      <c r="O2221" t="s">
        <v>47425</v>
      </c>
      <c r="P2221">
        <v>0</v>
      </c>
      <c r="Q2221">
        <v>0</v>
      </c>
      <c r="R2221" t="s">
        <v>47429</v>
      </c>
      <c r="S2221" t="s">
        <v>47542</v>
      </c>
      <c r="T2221" t="s">
        <v>49123</v>
      </c>
      <c r="U2221" t="s">
        <v>51579</v>
      </c>
      <c r="W2221" t="s">
        <v>43604</v>
      </c>
      <c r="X2221" t="s">
        <v>47426</v>
      </c>
    </row>
    <row r="2222" spans="1:24">
      <c r="A2222">
        <f>HYPERLINK("https://www.philgeps.gov.ph/GEPSNONPILOT/Tender/SplashBidNoticeAbstractUI.aspx?menuIndex=3&amp;refID=7167503&amp;Result=3","7167503")</f>
        <v>0</v>
      </c>
      <c r="B2222" t="s">
        <v>989</v>
      </c>
      <c r="C2222" t="s">
        <v>6028</v>
      </c>
      <c r="D2222" t="s">
        <v>19021</v>
      </c>
      <c r="E2222" t="s">
        <v>21128</v>
      </c>
      <c r="F2222" t="s">
        <v>32831</v>
      </c>
      <c r="G2222" t="s">
        <v>32839</v>
      </c>
      <c r="H2222" t="s">
        <v>32849</v>
      </c>
      <c r="I2222" t="s">
        <v>4177</v>
      </c>
      <c r="J2222" t="s">
        <v>32978</v>
      </c>
      <c r="K2222" t="s">
        <v>42730</v>
      </c>
      <c r="L2222" t="s">
        <v>989</v>
      </c>
      <c r="M2222" t="s">
        <v>44038</v>
      </c>
      <c r="N2222" t="s">
        <v>47424</v>
      </c>
      <c r="O2222" t="s">
        <v>47425</v>
      </c>
      <c r="P2222">
        <v>0</v>
      </c>
      <c r="Q2222">
        <v>1</v>
      </c>
      <c r="R2222" t="s">
        <v>47429</v>
      </c>
      <c r="S2222" t="s">
        <v>47542</v>
      </c>
      <c r="T2222" t="s">
        <v>49080</v>
      </c>
      <c r="U2222" t="s">
        <v>51580</v>
      </c>
      <c r="W2222" t="s">
        <v>44038</v>
      </c>
      <c r="X2222" t="s">
        <v>47426</v>
      </c>
    </row>
    <row r="2223" spans="1:24">
      <c r="A2223">
        <f>HYPERLINK("https://www.philgeps.gov.ph/GEPSNONPILOT/Tender/SplashBidNoticeAbstractUI.aspx?menuIndex=3&amp;refID=7167470&amp;Result=3","7167470")</f>
        <v>0</v>
      </c>
      <c r="B2223" t="s">
        <v>1001</v>
      </c>
      <c r="C2223" t="s">
        <v>6029</v>
      </c>
      <c r="D2223" t="s">
        <v>19086</v>
      </c>
      <c r="E2223" t="s">
        <v>21129</v>
      </c>
      <c r="F2223" t="s">
        <v>32831</v>
      </c>
      <c r="G2223" t="s">
        <v>32838</v>
      </c>
      <c r="H2223" t="s">
        <v>32850</v>
      </c>
      <c r="I2223" t="s">
        <v>4487</v>
      </c>
      <c r="J2223" t="s">
        <v>33334</v>
      </c>
      <c r="K2223" t="s">
        <v>42731</v>
      </c>
      <c r="M2223" t="s">
        <v>44050</v>
      </c>
      <c r="N2223" t="s">
        <v>47424</v>
      </c>
      <c r="O2223" t="s">
        <v>47425</v>
      </c>
      <c r="P2223">
        <v>0</v>
      </c>
      <c r="Q2223">
        <v>0</v>
      </c>
      <c r="R2223" t="s">
        <v>47429</v>
      </c>
      <c r="S2223" t="s">
        <v>47542</v>
      </c>
      <c r="T2223" t="s">
        <v>49104</v>
      </c>
      <c r="U2223" t="s">
        <v>51581</v>
      </c>
      <c r="W2223" t="s">
        <v>44050</v>
      </c>
      <c r="X2223" t="s">
        <v>47426</v>
      </c>
    </row>
    <row r="2224" spans="1:24">
      <c r="A2224">
        <f>HYPERLINK("https://www.philgeps.gov.ph/GEPSNONPILOT/Tender/SplashBidNoticeAbstractUI.aspx?menuIndex=3&amp;refID=7167469&amp;Result=3","7167469")</f>
        <v>0</v>
      </c>
      <c r="B2224" t="s">
        <v>975</v>
      </c>
      <c r="C2224" t="s">
        <v>6030</v>
      </c>
      <c r="D2224" t="s">
        <v>19044</v>
      </c>
      <c r="E2224" t="s">
        <v>21130</v>
      </c>
      <c r="F2224" t="s">
        <v>32831</v>
      </c>
      <c r="G2224" t="s">
        <v>32838</v>
      </c>
      <c r="H2224" t="s">
        <v>32848</v>
      </c>
      <c r="I2224" t="s">
        <v>7416</v>
      </c>
      <c r="J2224" t="s">
        <v>34525</v>
      </c>
      <c r="K2224" t="s">
        <v>42748</v>
      </c>
      <c r="M2224" t="s">
        <v>44024</v>
      </c>
      <c r="N2224" t="s">
        <v>47424</v>
      </c>
      <c r="O2224" t="s">
        <v>47425</v>
      </c>
      <c r="P2224">
        <v>0</v>
      </c>
      <c r="Q2224">
        <v>0</v>
      </c>
      <c r="R2224" t="s">
        <v>47429</v>
      </c>
      <c r="S2224" t="s">
        <v>47542</v>
      </c>
      <c r="T2224" t="s">
        <v>49124</v>
      </c>
      <c r="U2224" t="s">
        <v>51531</v>
      </c>
      <c r="W2224" t="s">
        <v>44024</v>
      </c>
      <c r="X2224" t="s">
        <v>47426</v>
      </c>
    </row>
    <row r="2225" spans="1:24">
      <c r="A2225">
        <f>HYPERLINK("https://www.philgeps.gov.ph/GEPSNONPILOT/Tender/SplashBidNoticeAbstractUI.aspx?menuIndex=3&amp;refID=7167451&amp;Result=3","7167451")</f>
        <v>0</v>
      </c>
      <c r="B2225" t="s">
        <v>847</v>
      </c>
      <c r="C2225" t="s">
        <v>6031</v>
      </c>
      <c r="D2225" t="s">
        <v>19044</v>
      </c>
      <c r="E2225" t="s">
        <v>21131</v>
      </c>
      <c r="F2225" t="s">
        <v>32831</v>
      </c>
      <c r="G2225" t="s">
        <v>32838</v>
      </c>
      <c r="H2225" t="s">
        <v>32848</v>
      </c>
      <c r="I2225" t="s">
        <v>32902</v>
      </c>
      <c r="J2225" t="s">
        <v>34526</v>
      </c>
      <c r="K2225" t="s">
        <v>42730</v>
      </c>
      <c r="M2225" t="s">
        <v>43880</v>
      </c>
      <c r="N2225" t="s">
        <v>47424</v>
      </c>
      <c r="O2225" t="s">
        <v>47425</v>
      </c>
      <c r="P2225">
        <v>0</v>
      </c>
      <c r="Q2225">
        <v>0</v>
      </c>
      <c r="R2225" t="s">
        <v>47429</v>
      </c>
      <c r="S2225" t="s">
        <v>47542</v>
      </c>
      <c r="T2225" t="s">
        <v>49210</v>
      </c>
      <c r="U2225" t="s">
        <v>51582</v>
      </c>
      <c r="W2225" t="s">
        <v>43880</v>
      </c>
      <c r="X2225" t="s">
        <v>47426</v>
      </c>
    </row>
    <row r="2226" spans="1:24">
      <c r="A2226">
        <f>HYPERLINK("https://www.philgeps.gov.ph/GEPSNONPILOT/Tender/SplashBidNoticeAbstractUI.aspx?menuIndex=3&amp;refID=7167471&amp;Result=3","7167471")</f>
        <v>0</v>
      </c>
      <c r="B2226" t="s">
        <v>324</v>
      </c>
      <c r="C2226" t="s">
        <v>6032</v>
      </c>
      <c r="D2226" t="s">
        <v>19064</v>
      </c>
      <c r="E2226" t="s">
        <v>21132</v>
      </c>
      <c r="F2226" t="s">
        <v>32831</v>
      </c>
      <c r="G2226" t="s">
        <v>32838</v>
      </c>
      <c r="H2226" t="s">
        <v>32848</v>
      </c>
      <c r="I2226" t="s">
        <v>32883</v>
      </c>
      <c r="J2226" t="s">
        <v>34527</v>
      </c>
      <c r="K2226" t="s">
        <v>42727</v>
      </c>
      <c r="M2226" t="s">
        <v>43940</v>
      </c>
      <c r="N2226" t="s">
        <v>47424</v>
      </c>
      <c r="O2226" t="s">
        <v>47425</v>
      </c>
      <c r="P2226">
        <v>0</v>
      </c>
      <c r="Q2226">
        <v>0</v>
      </c>
      <c r="R2226" t="s">
        <v>47429</v>
      </c>
      <c r="S2226" t="s">
        <v>47542</v>
      </c>
      <c r="T2226" t="s">
        <v>49171</v>
      </c>
      <c r="U2226" t="s">
        <v>51583</v>
      </c>
      <c r="W2226" t="s">
        <v>43940</v>
      </c>
      <c r="X2226" t="s">
        <v>47426</v>
      </c>
    </row>
    <row r="2227" spans="1:24">
      <c r="A2227">
        <f>HYPERLINK("https://www.philgeps.gov.ph/GEPSNONPILOT/Tender/SplashBidNoticeAbstractUI.aspx?menuIndex=3&amp;refID=7167442&amp;Result=3","7167442")</f>
        <v>0</v>
      </c>
      <c r="B2227" t="s">
        <v>1002</v>
      </c>
      <c r="C2227" t="s">
        <v>6033</v>
      </c>
      <c r="D2227" t="s">
        <v>19027</v>
      </c>
      <c r="E2227" t="s">
        <v>21133</v>
      </c>
      <c r="F2227" t="s">
        <v>32831</v>
      </c>
      <c r="G2227" t="s">
        <v>32838</v>
      </c>
      <c r="H2227" t="s">
        <v>32848</v>
      </c>
      <c r="I2227" t="s">
        <v>9577</v>
      </c>
      <c r="J2227" t="s">
        <v>34528</v>
      </c>
      <c r="K2227" t="s">
        <v>42759</v>
      </c>
      <c r="M2227" t="s">
        <v>44051</v>
      </c>
      <c r="N2227" t="s">
        <v>47424</v>
      </c>
      <c r="O2227" t="s">
        <v>47425</v>
      </c>
      <c r="P2227">
        <v>0</v>
      </c>
      <c r="Q2227">
        <v>0</v>
      </c>
      <c r="R2227" t="s">
        <v>47429</v>
      </c>
      <c r="S2227" t="s">
        <v>47542</v>
      </c>
      <c r="T2227" t="s">
        <v>49119</v>
      </c>
      <c r="U2227" t="s">
        <v>51584</v>
      </c>
      <c r="W2227" t="s">
        <v>44051</v>
      </c>
      <c r="X2227" t="s">
        <v>47426</v>
      </c>
    </row>
    <row r="2228" spans="1:24">
      <c r="A2228">
        <f>HYPERLINK("https://www.philgeps.gov.ph/GEPSNONPILOT/Tender/SplashBidNoticeAbstractUI.aspx?menuIndex=3&amp;refID=7167447&amp;Result=3","7167447")</f>
        <v>0</v>
      </c>
      <c r="B2228" t="s">
        <v>995</v>
      </c>
      <c r="C2228" t="s">
        <v>6034</v>
      </c>
      <c r="D2228" t="s">
        <v>19040</v>
      </c>
      <c r="E2228" t="s">
        <v>21134</v>
      </c>
      <c r="F2228" t="s">
        <v>32831</v>
      </c>
      <c r="G2228" t="s">
        <v>32839</v>
      </c>
      <c r="H2228" t="s">
        <v>32848</v>
      </c>
      <c r="I2228" t="s">
        <v>4487</v>
      </c>
      <c r="J2228" t="s">
        <v>33845</v>
      </c>
      <c r="K2228" t="s">
        <v>42730</v>
      </c>
      <c r="M2228" t="s">
        <v>44044</v>
      </c>
      <c r="N2228" t="s">
        <v>47424</v>
      </c>
      <c r="O2228" t="s">
        <v>47425</v>
      </c>
      <c r="P2228">
        <v>0</v>
      </c>
      <c r="Q2228">
        <v>0</v>
      </c>
      <c r="R2228" t="s">
        <v>47429</v>
      </c>
      <c r="S2228" t="s">
        <v>47542</v>
      </c>
      <c r="T2228" t="s">
        <v>49102</v>
      </c>
      <c r="U2228" t="s">
        <v>51585</v>
      </c>
      <c r="V2228" t="s">
        <v>62858</v>
      </c>
      <c r="W2228" t="s">
        <v>44044</v>
      </c>
      <c r="X2228" t="s">
        <v>47426</v>
      </c>
    </row>
    <row r="2229" spans="1:24">
      <c r="A2229">
        <f>HYPERLINK("https://www.philgeps.gov.ph/GEPSNONPILOT/Tender/SplashBidNoticeAbstractUI.aspx?menuIndex=3&amp;refID=7167468&amp;Result=3","7167468")</f>
        <v>0</v>
      </c>
      <c r="B2229" t="s">
        <v>920</v>
      </c>
      <c r="C2229" t="s">
        <v>5991</v>
      </c>
      <c r="E2229" t="s">
        <v>21135</v>
      </c>
      <c r="F2229" t="s">
        <v>32831</v>
      </c>
      <c r="G2229" t="s">
        <v>32842</v>
      </c>
      <c r="H2229" t="s">
        <v>32848</v>
      </c>
      <c r="I2229" t="s">
        <v>9577</v>
      </c>
      <c r="J2229" t="s">
        <v>34529</v>
      </c>
      <c r="K2229" t="s">
        <v>42732</v>
      </c>
      <c r="M2229" t="s">
        <v>43961</v>
      </c>
      <c r="N2229" t="s">
        <v>47424</v>
      </c>
      <c r="O2229" t="s">
        <v>47425</v>
      </c>
      <c r="P2229">
        <v>0</v>
      </c>
      <c r="Q2229">
        <v>0</v>
      </c>
      <c r="R2229" t="s">
        <v>47429</v>
      </c>
      <c r="S2229" t="s">
        <v>47542</v>
      </c>
      <c r="T2229" t="s">
        <v>49104</v>
      </c>
      <c r="U2229" t="s">
        <v>51396</v>
      </c>
      <c r="W2229" t="s">
        <v>43961</v>
      </c>
      <c r="X2229" t="s">
        <v>47426</v>
      </c>
    </row>
    <row r="2230" spans="1:24">
      <c r="A2230">
        <f>HYPERLINK("https://www.philgeps.gov.ph/GEPSNONPILOT/Tender/SplashBidNoticeAbstractUI.aspx?menuIndex=3&amp;refID=7167467&amp;Result=3","7167467")</f>
        <v>0</v>
      </c>
      <c r="B2230" t="s">
        <v>980</v>
      </c>
      <c r="C2230" t="s">
        <v>6035</v>
      </c>
      <c r="D2230" t="s">
        <v>19022</v>
      </c>
      <c r="E2230" t="s">
        <v>21136</v>
      </c>
      <c r="F2230" t="s">
        <v>32831</v>
      </c>
      <c r="G2230" t="s">
        <v>32839</v>
      </c>
      <c r="H2230" t="s">
        <v>32848</v>
      </c>
      <c r="I2230" t="s">
        <v>32867</v>
      </c>
      <c r="J2230" t="s">
        <v>34530</v>
      </c>
      <c r="K2230" t="s">
        <v>42729</v>
      </c>
      <c r="M2230" t="s">
        <v>44029</v>
      </c>
      <c r="N2230" t="s">
        <v>47424</v>
      </c>
      <c r="O2230" t="s">
        <v>47425</v>
      </c>
      <c r="P2230">
        <v>0</v>
      </c>
      <c r="Q2230">
        <v>0</v>
      </c>
      <c r="R2230" t="s">
        <v>47429</v>
      </c>
      <c r="S2230" t="s">
        <v>47542</v>
      </c>
      <c r="T2230" t="s">
        <v>49078</v>
      </c>
      <c r="U2230" t="s">
        <v>51586</v>
      </c>
      <c r="W2230" t="s">
        <v>44029</v>
      </c>
      <c r="X2230" t="s">
        <v>47426</v>
      </c>
    </row>
    <row r="2231" spans="1:24">
      <c r="A2231">
        <f>HYPERLINK("https://www.philgeps.gov.ph/GEPSNONPILOT/Tender/SplashBidNoticeAbstractUI.aspx?menuIndex=3&amp;refID=7167449&amp;Result=3","7167449")</f>
        <v>0</v>
      </c>
      <c r="B2231" t="s">
        <v>1003</v>
      </c>
      <c r="C2231" t="s">
        <v>6036</v>
      </c>
      <c r="D2231" t="s">
        <v>19060</v>
      </c>
      <c r="E2231" t="s">
        <v>21137</v>
      </c>
      <c r="F2231" t="s">
        <v>32831</v>
      </c>
      <c r="G2231" t="s">
        <v>32840</v>
      </c>
      <c r="H2231" t="s">
        <v>32848</v>
      </c>
      <c r="I2231" t="s">
        <v>32906</v>
      </c>
      <c r="J2231" t="s">
        <v>34531</v>
      </c>
      <c r="K2231" t="s">
        <v>42804</v>
      </c>
      <c r="L2231" t="s">
        <v>1003</v>
      </c>
      <c r="M2231" t="s">
        <v>44052</v>
      </c>
      <c r="N2231" t="s">
        <v>47424</v>
      </c>
      <c r="O2231" t="s">
        <v>47425</v>
      </c>
      <c r="P2231">
        <v>0</v>
      </c>
      <c r="Q2231">
        <v>0</v>
      </c>
      <c r="R2231" t="s">
        <v>47429</v>
      </c>
      <c r="S2231" t="s">
        <v>47542</v>
      </c>
      <c r="T2231" t="s">
        <v>49150</v>
      </c>
      <c r="U2231" t="s">
        <v>51587</v>
      </c>
      <c r="W2231" t="s">
        <v>44052</v>
      </c>
      <c r="X2231" t="s">
        <v>47426</v>
      </c>
    </row>
    <row r="2232" spans="1:24">
      <c r="A2232">
        <f>HYPERLINK("https://www.philgeps.gov.ph/GEPSNONPILOT/Tender/SplashBidNoticeAbstractUI.aspx?menuIndex=3&amp;refID=7167495&amp;Result=3","7167495")</f>
        <v>0</v>
      </c>
      <c r="B2232" t="s">
        <v>1004</v>
      </c>
      <c r="C2232" t="s">
        <v>6037</v>
      </c>
      <c r="D2232" t="s">
        <v>19050</v>
      </c>
      <c r="E2232" t="s">
        <v>21138</v>
      </c>
      <c r="F2232" t="s">
        <v>32831</v>
      </c>
      <c r="G2232" t="s">
        <v>32838</v>
      </c>
      <c r="H2232" t="s">
        <v>32848</v>
      </c>
      <c r="I2232" t="s">
        <v>32931</v>
      </c>
      <c r="J2232" t="s">
        <v>34532</v>
      </c>
      <c r="K2232" t="s">
        <v>42745</v>
      </c>
      <c r="M2232" t="s">
        <v>44053</v>
      </c>
      <c r="N2232" t="s">
        <v>47424</v>
      </c>
      <c r="O2232" t="s">
        <v>47425</v>
      </c>
      <c r="P2232">
        <v>0</v>
      </c>
      <c r="Q2232">
        <v>0</v>
      </c>
      <c r="R2232" t="s">
        <v>47429</v>
      </c>
      <c r="S2232" t="s">
        <v>47542</v>
      </c>
      <c r="T2232" t="s">
        <v>49171</v>
      </c>
      <c r="U2232" t="s">
        <v>51588</v>
      </c>
      <c r="W2232" t="s">
        <v>44053</v>
      </c>
      <c r="X2232" t="s">
        <v>47426</v>
      </c>
    </row>
    <row r="2233" spans="1:24">
      <c r="A2233">
        <f>HYPERLINK("https://www.philgeps.gov.ph/GEPSNONPILOT/Tender/SplashBidNoticeAbstractUI.aspx?menuIndex=3&amp;refID=7167535&amp;Result=3","7167535")</f>
        <v>0</v>
      </c>
      <c r="B2233" t="s">
        <v>986</v>
      </c>
      <c r="C2233" t="s">
        <v>6038</v>
      </c>
      <c r="D2233" t="s">
        <v>19044</v>
      </c>
      <c r="E2233" t="s">
        <v>21139</v>
      </c>
      <c r="F2233" t="s">
        <v>32831</v>
      </c>
      <c r="G2233" t="s">
        <v>32839</v>
      </c>
      <c r="H2233" t="s">
        <v>32849</v>
      </c>
      <c r="I2233" t="s">
        <v>4177</v>
      </c>
      <c r="J2233" t="s">
        <v>33017</v>
      </c>
      <c r="K2233" t="s">
        <v>42730</v>
      </c>
      <c r="M2233" t="s">
        <v>44035</v>
      </c>
      <c r="N2233" t="s">
        <v>47424</v>
      </c>
      <c r="O2233" t="s">
        <v>47425</v>
      </c>
      <c r="P2233">
        <v>0</v>
      </c>
      <c r="Q2233">
        <v>0</v>
      </c>
      <c r="R2233" t="s">
        <v>47429</v>
      </c>
      <c r="S2233" t="s">
        <v>47542</v>
      </c>
      <c r="T2233" t="s">
        <v>49080</v>
      </c>
      <c r="U2233" t="s">
        <v>51589</v>
      </c>
      <c r="V2233" t="s">
        <v>62862</v>
      </c>
      <c r="W2233" t="s">
        <v>44035</v>
      </c>
      <c r="X2233" t="s">
        <v>47426</v>
      </c>
    </row>
    <row r="2234" spans="1:24">
      <c r="A2234">
        <f>HYPERLINK("https://www.philgeps.gov.ph/GEPSNONPILOT/Tender/SplashBidNoticeAbstractUI.aspx?menuIndex=3&amp;refID=7167534&amp;Result=3","7167534")</f>
        <v>0</v>
      </c>
      <c r="B2234" t="s">
        <v>1005</v>
      </c>
      <c r="C2234" t="s">
        <v>6039</v>
      </c>
      <c r="D2234" t="s">
        <v>19019</v>
      </c>
      <c r="E2234" t="s">
        <v>21140</v>
      </c>
      <c r="F2234" t="s">
        <v>32831</v>
      </c>
      <c r="G2234" t="s">
        <v>32838</v>
      </c>
      <c r="H2234" t="s">
        <v>32848</v>
      </c>
      <c r="I2234" t="s">
        <v>32930</v>
      </c>
      <c r="J2234" t="s">
        <v>34533</v>
      </c>
      <c r="K2234" t="s">
        <v>42748</v>
      </c>
      <c r="M2234" t="s">
        <v>44054</v>
      </c>
      <c r="N2234" t="s">
        <v>47424</v>
      </c>
      <c r="O2234" t="s">
        <v>47425</v>
      </c>
      <c r="P2234">
        <v>0</v>
      </c>
      <c r="Q2234">
        <v>0</v>
      </c>
      <c r="R2234" t="s">
        <v>47429</v>
      </c>
      <c r="S2234" t="s">
        <v>47542</v>
      </c>
      <c r="T2234" t="s">
        <v>49129</v>
      </c>
      <c r="U2234" t="s">
        <v>51590</v>
      </c>
      <c r="W2234" t="s">
        <v>44054</v>
      </c>
      <c r="X2234" t="s">
        <v>47426</v>
      </c>
    </row>
    <row r="2235" spans="1:24">
      <c r="A2235">
        <f>HYPERLINK("https://www.philgeps.gov.ph/GEPSNONPILOT/Tender/SplashBidNoticeAbstractUI.aspx?menuIndex=3&amp;refID=7167533&amp;Result=3","7167533")</f>
        <v>0</v>
      </c>
      <c r="B2235" t="s">
        <v>1006</v>
      </c>
      <c r="C2235" t="s">
        <v>6040</v>
      </c>
      <c r="E2235" t="s">
        <v>21141</v>
      </c>
      <c r="F2235" t="s">
        <v>32831</v>
      </c>
      <c r="G2235" t="s">
        <v>32838</v>
      </c>
      <c r="H2235" t="s">
        <v>32848</v>
      </c>
      <c r="I2235" t="s">
        <v>32863</v>
      </c>
      <c r="J2235" t="s">
        <v>33254</v>
      </c>
      <c r="K2235" t="s">
        <v>42732</v>
      </c>
      <c r="M2235" t="s">
        <v>44055</v>
      </c>
      <c r="N2235" t="s">
        <v>47424</v>
      </c>
      <c r="O2235" t="s">
        <v>47425</v>
      </c>
      <c r="P2235">
        <v>0</v>
      </c>
      <c r="Q2235">
        <v>0</v>
      </c>
      <c r="R2235" t="s">
        <v>47429</v>
      </c>
      <c r="S2235" t="s">
        <v>47542</v>
      </c>
      <c r="T2235" t="s">
        <v>49129</v>
      </c>
      <c r="U2235" t="s">
        <v>51591</v>
      </c>
      <c r="W2235" t="s">
        <v>44055</v>
      </c>
      <c r="X2235" t="s">
        <v>47426</v>
      </c>
    </row>
    <row r="2236" spans="1:24">
      <c r="A2236">
        <f>HYPERLINK("https://www.philgeps.gov.ph/GEPSNONPILOT/Tender/SplashBidNoticeAbstractUI.aspx?menuIndex=3&amp;refID=7167537&amp;Result=3","7167537")</f>
        <v>0</v>
      </c>
      <c r="B2236" t="s">
        <v>1007</v>
      </c>
      <c r="C2236" t="s">
        <v>6041</v>
      </c>
      <c r="E2236" t="s">
        <v>21142</v>
      </c>
      <c r="F2236" t="s">
        <v>32831</v>
      </c>
      <c r="G2236" t="s">
        <v>32838</v>
      </c>
      <c r="H2236" t="s">
        <v>32848</v>
      </c>
      <c r="I2236" t="s">
        <v>32874</v>
      </c>
      <c r="J2236" t="s">
        <v>33072</v>
      </c>
      <c r="K2236" t="s">
        <v>42732</v>
      </c>
      <c r="M2236" t="s">
        <v>44056</v>
      </c>
      <c r="N2236" t="s">
        <v>47424</v>
      </c>
      <c r="O2236" t="s">
        <v>47425</v>
      </c>
      <c r="P2236">
        <v>0</v>
      </c>
      <c r="Q2236">
        <v>0</v>
      </c>
      <c r="R2236" t="s">
        <v>47429</v>
      </c>
      <c r="S2236" t="s">
        <v>47542</v>
      </c>
      <c r="T2236" t="s">
        <v>49170</v>
      </c>
      <c r="U2236" t="s">
        <v>51592</v>
      </c>
      <c r="W2236" t="s">
        <v>44056</v>
      </c>
      <c r="X2236" t="s">
        <v>47426</v>
      </c>
    </row>
    <row r="2237" spans="1:24">
      <c r="A2237">
        <f>HYPERLINK("https://www.philgeps.gov.ph/GEPSNONPILOT/Tender/SplashBidNoticeAbstractUI.aspx?menuIndex=3&amp;refID=7167524&amp;Result=3","7167524")</f>
        <v>0</v>
      </c>
      <c r="B2237" t="s">
        <v>958</v>
      </c>
      <c r="C2237" t="s">
        <v>6042</v>
      </c>
      <c r="D2237" t="s">
        <v>19049</v>
      </c>
      <c r="E2237" t="s">
        <v>21143</v>
      </c>
      <c r="F2237" t="s">
        <v>32831</v>
      </c>
      <c r="G2237" t="s">
        <v>32838</v>
      </c>
      <c r="H2237" t="s">
        <v>32848</v>
      </c>
      <c r="I2237" t="s">
        <v>5379</v>
      </c>
      <c r="J2237" t="s">
        <v>33029</v>
      </c>
      <c r="K2237" t="s">
        <v>42732</v>
      </c>
      <c r="M2237" t="s">
        <v>44004</v>
      </c>
      <c r="N2237" t="s">
        <v>47424</v>
      </c>
      <c r="O2237" t="s">
        <v>47425</v>
      </c>
      <c r="P2237">
        <v>0</v>
      </c>
      <c r="Q2237">
        <v>0</v>
      </c>
      <c r="R2237" t="s">
        <v>47429</v>
      </c>
      <c r="S2237" t="s">
        <v>47542</v>
      </c>
      <c r="T2237" t="s">
        <v>49251</v>
      </c>
      <c r="U2237" t="s">
        <v>51593</v>
      </c>
      <c r="W2237" t="s">
        <v>44004</v>
      </c>
      <c r="X2237" t="s">
        <v>47426</v>
      </c>
    </row>
    <row r="2238" spans="1:24">
      <c r="A2238">
        <f>HYPERLINK("https://www.philgeps.gov.ph/GEPSNONPILOT/Tender/SplashBidNoticeAbstractUI.aspx?menuIndex=3&amp;refID=7167530&amp;Result=3","7167530")</f>
        <v>0</v>
      </c>
      <c r="B2238" t="s">
        <v>1008</v>
      </c>
      <c r="C2238" t="s">
        <v>6043</v>
      </c>
      <c r="D2238" t="s">
        <v>19030</v>
      </c>
      <c r="E2238" t="s">
        <v>21144</v>
      </c>
      <c r="F2238" t="s">
        <v>32831</v>
      </c>
      <c r="G2238" t="s">
        <v>32838</v>
      </c>
      <c r="H2238" t="s">
        <v>32850</v>
      </c>
      <c r="I2238" t="s">
        <v>32872</v>
      </c>
      <c r="J2238" t="s">
        <v>34534</v>
      </c>
      <c r="K2238" t="s">
        <v>42730</v>
      </c>
      <c r="M2238" t="s">
        <v>44057</v>
      </c>
      <c r="N2238" t="s">
        <v>47424</v>
      </c>
      <c r="O2238" t="s">
        <v>47425</v>
      </c>
      <c r="P2238">
        <v>0</v>
      </c>
      <c r="Q2238">
        <v>0</v>
      </c>
      <c r="R2238" t="s">
        <v>47429</v>
      </c>
      <c r="S2238" t="s">
        <v>47542</v>
      </c>
      <c r="T2238" t="s">
        <v>49123</v>
      </c>
      <c r="U2238" t="s">
        <v>51594</v>
      </c>
      <c r="V2238" t="s">
        <v>62863</v>
      </c>
      <c r="W2238" t="s">
        <v>44057</v>
      </c>
      <c r="X2238" t="s">
        <v>47426</v>
      </c>
    </row>
    <row r="2239" spans="1:24">
      <c r="A2239">
        <f>HYPERLINK("https://www.philgeps.gov.ph/GEPSNONPILOT/Tender/SplashBidNoticeAbstractUI.aspx?menuIndex=3&amp;refID=7167528&amp;Result=3","7167528")</f>
        <v>0</v>
      </c>
      <c r="B2239" t="s">
        <v>920</v>
      </c>
      <c r="C2239" t="s">
        <v>5991</v>
      </c>
      <c r="E2239" t="s">
        <v>21145</v>
      </c>
      <c r="F2239" t="s">
        <v>32831</v>
      </c>
      <c r="G2239" t="s">
        <v>32842</v>
      </c>
      <c r="H2239" t="s">
        <v>32848</v>
      </c>
      <c r="I2239" t="s">
        <v>9577</v>
      </c>
      <c r="J2239" t="s">
        <v>34535</v>
      </c>
      <c r="K2239" t="s">
        <v>42732</v>
      </c>
      <c r="M2239" t="s">
        <v>43961</v>
      </c>
      <c r="N2239" t="s">
        <v>47424</v>
      </c>
      <c r="O2239" t="s">
        <v>47425</v>
      </c>
      <c r="P2239">
        <v>0</v>
      </c>
      <c r="Q2239">
        <v>0</v>
      </c>
      <c r="R2239" t="s">
        <v>47429</v>
      </c>
      <c r="S2239" t="s">
        <v>47542</v>
      </c>
      <c r="T2239" t="s">
        <v>49104</v>
      </c>
      <c r="U2239" t="s">
        <v>51396</v>
      </c>
      <c r="W2239" t="s">
        <v>43961</v>
      </c>
      <c r="X2239" t="s">
        <v>47426</v>
      </c>
    </row>
    <row r="2240" spans="1:24">
      <c r="A2240">
        <f>HYPERLINK("https://www.philgeps.gov.ph/GEPSNONPILOT/Tender/SplashBidNoticeAbstractUI.aspx?menuIndex=3&amp;refID=7167513&amp;Result=3","7167513")</f>
        <v>0</v>
      </c>
      <c r="B2240" t="s">
        <v>187</v>
      </c>
      <c r="C2240" t="s">
        <v>6044</v>
      </c>
      <c r="D2240" t="s">
        <v>19041</v>
      </c>
      <c r="E2240" t="s">
        <v>21146</v>
      </c>
      <c r="F2240" t="s">
        <v>32831</v>
      </c>
      <c r="G2240" t="s">
        <v>32839</v>
      </c>
      <c r="H2240" t="s">
        <v>32849</v>
      </c>
      <c r="I2240" t="s">
        <v>4177</v>
      </c>
      <c r="J2240" t="s">
        <v>34536</v>
      </c>
      <c r="K2240" t="s">
        <v>42819</v>
      </c>
      <c r="M2240" t="s">
        <v>44023</v>
      </c>
      <c r="N2240" t="s">
        <v>47424</v>
      </c>
      <c r="O2240" t="s">
        <v>47425</v>
      </c>
      <c r="P2240">
        <v>0</v>
      </c>
      <c r="Q2240">
        <v>0</v>
      </c>
      <c r="R2240" t="s">
        <v>47429</v>
      </c>
      <c r="S2240" t="s">
        <v>47542</v>
      </c>
      <c r="T2240" t="s">
        <v>49118</v>
      </c>
      <c r="U2240" t="s">
        <v>51595</v>
      </c>
      <c r="W2240" t="s">
        <v>44023</v>
      </c>
      <c r="X2240" t="s">
        <v>47426</v>
      </c>
    </row>
    <row r="2241" spans="1:24">
      <c r="A2241">
        <f>HYPERLINK("https://www.philgeps.gov.ph/GEPSNONPILOT/Tender/SplashBidNoticeAbstractUI.aspx?menuIndex=3&amp;refID=7167522&amp;Result=3","7167522")</f>
        <v>0</v>
      </c>
      <c r="B2241" t="s">
        <v>1004</v>
      </c>
      <c r="C2241" t="s">
        <v>6045</v>
      </c>
      <c r="D2241" t="s">
        <v>19050</v>
      </c>
      <c r="E2241" t="s">
        <v>21147</v>
      </c>
      <c r="F2241" t="s">
        <v>32831</v>
      </c>
      <c r="G2241" t="s">
        <v>32838</v>
      </c>
      <c r="H2241" t="s">
        <v>32848</v>
      </c>
      <c r="I2241" t="s">
        <v>32860</v>
      </c>
      <c r="J2241" t="s">
        <v>34537</v>
      </c>
      <c r="K2241" t="s">
        <v>42745</v>
      </c>
      <c r="M2241" t="s">
        <v>44053</v>
      </c>
      <c r="N2241" t="s">
        <v>47424</v>
      </c>
      <c r="O2241" t="s">
        <v>47425</v>
      </c>
      <c r="P2241">
        <v>0</v>
      </c>
      <c r="Q2241">
        <v>0</v>
      </c>
      <c r="R2241" t="s">
        <v>47429</v>
      </c>
      <c r="S2241" t="s">
        <v>47542</v>
      </c>
      <c r="T2241" t="s">
        <v>49171</v>
      </c>
      <c r="U2241" t="s">
        <v>51596</v>
      </c>
      <c r="W2241" t="s">
        <v>44053</v>
      </c>
      <c r="X2241" t="s">
        <v>47426</v>
      </c>
    </row>
    <row r="2242" spans="1:24">
      <c r="A2242">
        <f>HYPERLINK("https://www.philgeps.gov.ph/GEPSNONPILOT/Tender/SplashBidNoticeAbstractUI.aspx?menuIndex=3&amp;refID=7167529&amp;Result=3","7167529")</f>
        <v>0</v>
      </c>
      <c r="B2242" t="s">
        <v>796</v>
      </c>
      <c r="C2242" t="s">
        <v>6046</v>
      </c>
      <c r="D2242" t="s">
        <v>19017</v>
      </c>
      <c r="E2242" t="s">
        <v>21148</v>
      </c>
      <c r="F2242" t="s">
        <v>32831</v>
      </c>
      <c r="G2242" t="s">
        <v>32838</v>
      </c>
      <c r="H2242" t="s">
        <v>32848</v>
      </c>
      <c r="I2242" t="s">
        <v>7416</v>
      </c>
      <c r="J2242" t="s">
        <v>34538</v>
      </c>
      <c r="K2242" t="s">
        <v>42732</v>
      </c>
      <c r="M2242" t="s">
        <v>43826</v>
      </c>
      <c r="N2242" t="s">
        <v>47424</v>
      </c>
      <c r="O2242" t="s">
        <v>47425</v>
      </c>
      <c r="P2242">
        <v>0</v>
      </c>
      <c r="Q2242">
        <v>0</v>
      </c>
      <c r="R2242" t="s">
        <v>47429</v>
      </c>
      <c r="S2242" t="s">
        <v>47542</v>
      </c>
      <c r="T2242" t="s">
        <v>49276</v>
      </c>
      <c r="U2242" t="s">
        <v>51148</v>
      </c>
      <c r="W2242" t="s">
        <v>43826</v>
      </c>
      <c r="X2242" t="s">
        <v>47426</v>
      </c>
    </row>
    <row r="2243" spans="1:24">
      <c r="A2243">
        <f>HYPERLINK("https://www.philgeps.gov.ph/GEPSNONPILOT/Tender/SplashBidNoticeAbstractUI.aspx?menuIndex=3&amp;refID=7167532&amp;Result=3","7167532")</f>
        <v>0</v>
      </c>
      <c r="B2243" t="s">
        <v>920</v>
      </c>
      <c r="C2243" t="s">
        <v>5991</v>
      </c>
      <c r="E2243" t="s">
        <v>21149</v>
      </c>
      <c r="F2243" t="s">
        <v>32831</v>
      </c>
      <c r="G2243" t="s">
        <v>32842</v>
      </c>
      <c r="H2243" t="s">
        <v>32848</v>
      </c>
      <c r="I2243" t="s">
        <v>9577</v>
      </c>
      <c r="J2243" t="s">
        <v>34539</v>
      </c>
      <c r="K2243" t="s">
        <v>42732</v>
      </c>
      <c r="M2243" t="s">
        <v>43961</v>
      </c>
      <c r="N2243" t="s">
        <v>47424</v>
      </c>
      <c r="O2243" t="s">
        <v>47425</v>
      </c>
      <c r="P2243">
        <v>0</v>
      </c>
      <c r="Q2243">
        <v>0</v>
      </c>
      <c r="R2243" t="s">
        <v>47429</v>
      </c>
      <c r="S2243" t="s">
        <v>47542</v>
      </c>
      <c r="T2243" t="s">
        <v>49104</v>
      </c>
      <c r="U2243" t="s">
        <v>51396</v>
      </c>
      <c r="W2243" t="s">
        <v>43961</v>
      </c>
      <c r="X2243" t="s">
        <v>47426</v>
      </c>
    </row>
    <row r="2244" spans="1:24">
      <c r="A2244">
        <f>HYPERLINK("https://www.philgeps.gov.ph/GEPSNONPILOT/Tender/SplashBidNoticeAbstractUI.aspx?menuIndex=3&amp;refID=7167531&amp;Result=3","7167531")</f>
        <v>0</v>
      </c>
      <c r="B2244" t="s">
        <v>1009</v>
      </c>
      <c r="C2244" t="s">
        <v>6047</v>
      </c>
      <c r="D2244" t="s">
        <v>19039</v>
      </c>
      <c r="E2244" t="s">
        <v>21150</v>
      </c>
      <c r="F2244" t="s">
        <v>32831</v>
      </c>
      <c r="G2244" t="s">
        <v>32840</v>
      </c>
      <c r="H2244" t="s">
        <v>32848</v>
      </c>
      <c r="I2244" t="s">
        <v>7416</v>
      </c>
      <c r="J2244" t="s">
        <v>34540</v>
      </c>
      <c r="K2244" t="s">
        <v>42726</v>
      </c>
      <c r="M2244" t="s">
        <v>44058</v>
      </c>
      <c r="N2244" t="s">
        <v>47424</v>
      </c>
      <c r="O2244" t="s">
        <v>47425</v>
      </c>
      <c r="P2244">
        <v>0</v>
      </c>
      <c r="Q2244">
        <v>0</v>
      </c>
      <c r="R2244" t="s">
        <v>47429</v>
      </c>
      <c r="S2244" t="s">
        <v>47542</v>
      </c>
      <c r="T2244" t="s">
        <v>49127</v>
      </c>
      <c r="U2244" t="s">
        <v>51597</v>
      </c>
      <c r="W2244" t="s">
        <v>44058</v>
      </c>
      <c r="X2244" t="s">
        <v>47426</v>
      </c>
    </row>
    <row r="2245" spans="1:24">
      <c r="A2245">
        <f>HYPERLINK("https://www.philgeps.gov.ph/GEPSNONPILOT/Tender/SplashBidNoticeAbstractUI.aspx?menuIndex=3&amp;refID=7167523&amp;Result=3","7167523")</f>
        <v>0</v>
      </c>
      <c r="B2245" t="s">
        <v>993</v>
      </c>
      <c r="C2245" t="s">
        <v>6048</v>
      </c>
      <c r="D2245" t="s">
        <v>19023</v>
      </c>
      <c r="E2245" t="s">
        <v>21151</v>
      </c>
      <c r="F2245" t="s">
        <v>32831</v>
      </c>
      <c r="G2245" t="s">
        <v>32838</v>
      </c>
      <c r="H2245" t="s">
        <v>32848</v>
      </c>
      <c r="I2245" t="s">
        <v>32868</v>
      </c>
      <c r="J2245" t="s">
        <v>33087</v>
      </c>
      <c r="K2245" t="s">
        <v>42758</v>
      </c>
      <c r="M2245" t="s">
        <v>44042</v>
      </c>
      <c r="N2245" t="s">
        <v>47424</v>
      </c>
      <c r="O2245" t="s">
        <v>47425</v>
      </c>
      <c r="P2245">
        <v>0</v>
      </c>
      <c r="Q2245">
        <v>0</v>
      </c>
      <c r="R2245" t="s">
        <v>47429</v>
      </c>
      <c r="S2245" t="s">
        <v>47542</v>
      </c>
      <c r="T2245" t="s">
        <v>49124</v>
      </c>
      <c r="U2245" t="s">
        <v>51598</v>
      </c>
      <c r="W2245" t="s">
        <v>44042</v>
      </c>
      <c r="X2245" t="s">
        <v>47426</v>
      </c>
    </row>
    <row r="2246" spans="1:24">
      <c r="A2246">
        <f>HYPERLINK("https://www.philgeps.gov.ph/GEPSNONPILOT/Tender/SplashBidNoticeAbstractUI.aspx?menuIndex=3&amp;refID=7167526&amp;Result=3","7167526")</f>
        <v>0</v>
      </c>
      <c r="B2246" t="s">
        <v>987</v>
      </c>
      <c r="C2246" t="s">
        <v>6049</v>
      </c>
      <c r="D2246" t="s">
        <v>19047</v>
      </c>
      <c r="E2246" t="s">
        <v>21152</v>
      </c>
      <c r="F2246" t="s">
        <v>32831</v>
      </c>
      <c r="G2246" t="s">
        <v>32838</v>
      </c>
      <c r="H2246" t="s">
        <v>32848</v>
      </c>
      <c r="I2246" t="s">
        <v>4438</v>
      </c>
      <c r="J2246" t="s">
        <v>34541</v>
      </c>
      <c r="K2246" t="s">
        <v>42726</v>
      </c>
      <c r="M2246" t="s">
        <v>44036</v>
      </c>
      <c r="N2246" t="s">
        <v>47424</v>
      </c>
      <c r="O2246" t="s">
        <v>47425</v>
      </c>
      <c r="P2246">
        <v>0</v>
      </c>
      <c r="Q2246">
        <v>0</v>
      </c>
      <c r="R2246" t="s">
        <v>47429</v>
      </c>
      <c r="S2246" t="s">
        <v>47542</v>
      </c>
      <c r="T2246" t="s">
        <v>49303</v>
      </c>
      <c r="U2246" t="s">
        <v>51599</v>
      </c>
      <c r="V2246" t="s">
        <v>62856</v>
      </c>
      <c r="W2246" t="s">
        <v>44036</v>
      </c>
      <c r="X2246" t="s">
        <v>47426</v>
      </c>
    </row>
    <row r="2247" spans="1:24">
      <c r="A2247">
        <f>HYPERLINK("https://www.philgeps.gov.ph/GEPSNONPILOT/Tender/SplashBidNoticeAbstractUI.aspx?menuIndex=3&amp;refID=7167555&amp;Result=3","7167555")</f>
        <v>0</v>
      </c>
      <c r="B2247" t="s">
        <v>1010</v>
      </c>
      <c r="C2247" t="s">
        <v>6050</v>
      </c>
      <c r="D2247" t="s">
        <v>19057</v>
      </c>
      <c r="E2247" t="s">
        <v>20722</v>
      </c>
      <c r="F2247" t="s">
        <v>32831</v>
      </c>
      <c r="G2247" t="s">
        <v>32838</v>
      </c>
      <c r="H2247" t="s">
        <v>32848</v>
      </c>
      <c r="I2247" t="s">
        <v>32864</v>
      </c>
      <c r="J2247" t="s">
        <v>33978</v>
      </c>
      <c r="K2247" t="s">
        <v>42731</v>
      </c>
      <c r="L2247" t="s">
        <v>1010</v>
      </c>
      <c r="M2247" t="s">
        <v>44059</v>
      </c>
      <c r="N2247" t="s">
        <v>47424</v>
      </c>
      <c r="O2247" t="s">
        <v>47425</v>
      </c>
      <c r="P2247">
        <v>0</v>
      </c>
      <c r="Q2247">
        <v>0</v>
      </c>
      <c r="R2247" t="s">
        <v>47429</v>
      </c>
      <c r="S2247" t="s">
        <v>47542</v>
      </c>
      <c r="T2247" t="s">
        <v>49124</v>
      </c>
      <c r="U2247" t="s">
        <v>51600</v>
      </c>
      <c r="W2247" t="s">
        <v>44059</v>
      </c>
      <c r="X2247" t="s">
        <v>47426</v>
      </c>
    </row>
    <row r="2248" spans="1:24">
      <c r="A2248">
        <f>HYPERLINK("https://www.philgeps.gov.ph/GEPSNONPILOT/Tender/SplashBidNoticeAbstractUI.aspx?menuIndex=3&amp;refID=7167560&amp;Result=3","7167560")</f>
        <v>0</v>
      </c>
      <c r="B2248" t="s">
        <v>1011</v>
      </c>
      <c r="C2248" t="s">
        <v>6051</v>
      </c>
      <c r="D2248" t="s">
        <v>19017</v>
      </c>
      <c r="E2248" t="s">
        <v>21153</v>
      </c>
      <c r="F2248" t="s">
        <v>32831</v>
      </c>
      <c r="G2248" t="s">
        <v>32840</v>
      </c>
      <c r="H2248" t="s">
        <v>32848</v>
      </c>
      <c r="I2248" t="s">
        <v>7819</v>
      </c>
      <c r="J2248" t="s">
        <v>34542</v>
      </c>
      <c r="K2248" t="s">
        <v>42730</v>
      </c>
      <c r="M2248" t="s">
        <v>44060</v>
      </c>
      <c r="N2248" t="s">
        <v>47424</v>
      </c>
      <c r="O2248" t="s">
        <v>47425</v>
      </c>
      <c r="P2248">
        <v>0</v>
      </c>
      <c r="Q2248">
        <v>0</v>
      </c>
      <c r="R2248" t="s">
        <v>47429</v>
      </c>
      <c r="S2248" t="s">
        <v>47542</v>
      </c>
      <c r="T2248" t="s">
        <v>49129</v>
      </c>
      <c r="U2248" t="s">
        <v>51601</v>
      </c>
      <c r="W2248" t="s">
        <v>44060</v>
      </c>
      <c r="X2248" t="s">
        <v>47426</v>
      </c>
    </row>
    <row r="2249" spans="1:24">
      <c r="A2249">
        <f>HYPERLINK("https://www.philgeps.gov.ph/GEPSNONPILOT/Tender/SplashBidNoticeAbstractUI.aspx?menuIndex=3&amp;refID=7167559&amp;Result=3","7167559")</f>
        <v>0</v>
      </c>
      <c r="B2249" t="s">
        <v>1012</v>
      </c>
      <c r="C2249" t="s">
        <v>6052</v>
      </c>
      <c r="D2249" t="s">
        <v>19077</v>
      </c>
      <c r="E2249" t="s">
        <v>21154</v>
      </c>
      <c r="F2249" t="s">
        <v>32831</v>
      </c>
      <c r="G2249" t="s">
        <v>32840</v>
      </c>
      <c r="H2249" t="s">
        <v>32848</v>
      </c>
      <c r="I2249" t="s">
        <v>4438</v>
      </c>
      <c r="J2249" t="s">
        <v>34543</v>
      </c>
      <c r="K2249" t="s">
        <v>42732</v>
      </c>
      <c r="M2249" t="s">
        <v>44061</v>
      </c>
      <c r="N2249" t="s">
        <v>47424</v>
      </c>
      <c r="O2249" t="s">
        <v>47425</v>
      </c>
      <c r="P2249">
        <v>0</v>
      </c>
      <c r="Q2249">
        <v>0</v>
      </c>
      <c r="R2249" t="s">
        <v>47429</v>
      </c>
      <c r="S2249" t="s">
        <v>47542</v>
      </c>
      <c r="T2249" t="s">
        <v>49123</v>
      </c>
      <c r="U2249" t="s">
        <v>51602</v>
      </c>
      <c r="W2249" t="s">
        <v>44061</v>
      </c>
      <c r="X2249" t="s">
        <v>47426</v>
      </c>
    </row>
    <row r="2250" spans="1:24">
      <c r="A2250">
        <f>HYPERLINK("https://www.philgeps.gov.ph/GEPSNONPILOT/Tender/SplashBidNoticeAbstractUI.aspx?menuIndex=3&amp;refID=7167557&amp;Result=3","7167557")</f>
        <v>0</v>
      </c>
      <c r="B2250" t="s">
        <v>1013</v>
      </c>
      <c r="C2250" t="s">
        <v>6053</v>
      </c>
      <c r="E2250" t="s">
        <v>21155</v>
      </c>
      <c r="F2250" t="s">
        <v>32831</v>
      </c>
      <c r="G2250" t="s">
        <v>32838</v>
      </c>
      <c r="H2250" t="s">
        <v>32848</v>
      </c>
      <c r="I2250" t="s">
        <v>7878</v>
      </c>
      <c r="J2250" t="s">
        <v>32980</v>
      </c>
      <c r="K2250" t="s">
        <v>42732</v>
      </c>
      <c r="M2250" t="s">
        <v>44062</v>
      </c>
      <c r="N2250" t="s">
        <v>47424</v>
      </c>
      <c r="O2250" t="s">
        <v>47425</v>
      </c>
      <c r="P2250">
        <v>0</v>
      </c>
      <c r="Q2250">
        <v>0</v>
      </c>
      <c r="R2250" t="s">
        <v>47429</v>
      </c>
      <c r="S2250" t="s">
        <v>47542</v>
      </c>
      <c r="T2250" t="s">
        <v>49104</v>
      </c>
      <c r="U2250" t="s">
        <v>51603</v>
      </c>
      <c r="W2250" t="s">
        <v>44062</v>
      </c>
      <c r="X2250" t="s">
        <v>47426</v>
      </c>
    </row>
    <row r="2251" spans="1:24">
      <c r="A2251">
        <f>HYPERLINK("https://www.philgeps.gov.ph/GEPSNONPILOT/Tender/SplashBidNoticeAbstractUI.aspx?menuIndex=3&amp;refID=7167520&amp;Result=3","7167520")</f>
        <v>0</v>
      </c>
      <c r="B2251" t="s">
        <v>994</v>
      </c>
      <c r="C2251" t="s">
        <v>6054</v>
      </c>
      <c r="D2251" t="s">
        <v>19031</v>
      </c>
      <c r="E2251" t="s">
        <v>7792</v>
      </c>
      <c r="F2251" t="s">
        <v>32831</v>
      </c>
      <c r="G2251" t="s">
        <v>32840</v>
      </c>
      <c r="H2251" t="s">
        <v>32848</v>
      </c>
      <c r="I2251" t="s">
        <v>32870</v>
      </c>
      <c r="J2251" t="s">
        <v>33133</v>
      </c>
      <c r="K2251" t="s">
        <v>42745</v>
      </c>
      <c r="M2251" t="s">
        <v>44043</v>
      </c>
      <c r="N2251" t="s">
        <v>47424</v>
      </c>
      <c r="O2251" t="s">
        <v>47425</v>
      </c>
      <c r="P2251">
        <v>0</v>
      </c>
      <c r="Q2251">
        <v>0</v>
      </c>
      <c r="R2251" t="s">
        <v>47429</v>
      </c>
      <c r="S2251" t="s">
        <v>47542</v>
      </c>
      <c r="T2251" t="s">
        <v>49119</v>
      </c>
      <c r="U2251" t="s">
        <v>51604</v>
      </c>
      <c r="V2251" t="s">
        <v>62864</v>
      </c>
      <c r="W2251" t="s">
        <v>44043</v>
      </c>
      <c r="X2251" t="s">
        <v>47426</v>
      </c>
    </row>
    <row r="2252" spans="1:24">
      <c r="A2252">
        <f>HYPERLINK("https://www.philgeps.gov.ph/GEPSNONPILOT/Tender/SplashBidNoticeAbstractUI.aspx?menuIndex=3&amp;refID=7167556&amp;Result=3","7167556")</f>
        <v>0</v>
      </c>
      <c r="B2252" t="s">
        <v>1007</v>
      </c>
      <c r="C2252" t="s">
        <v>6055</v>
      </c>
      <c r="E2252" t="s">
        <v>21156</v>
      </c>
      <c r="F2252" t="s">
        <v>32831</v>
      </c>
      <c r="G2252" t="s">
        <v>32838</v>
      </c>
      <c r="H2252" t="s">
        <v>32848</v>
      </c>
      <c r="I2252" t="s">
        <v>32874</v>
      </c>
      <c r="J2252" t="s">
        <v>33568</v>
      </c>
      <c r="K2252" t="s">
        <v>42732</v>
      </c>
      <c r="M2252" t="s">
        <v>44056</v>
      </c>
      <c r="N2252" t="s">
        <v>47424</v>
      </c>
      <c r="O2252" t="s">
        <v>47425</v>
      </c>
      <c r="P2252">
        <v>0</v>
      </c>
      <c r="Q2252">
        <v>0</v>
      </c>
      <c r="R2252" t="s">
        <v>47429</v>
      </c>
      <c r="S2252" t="s">
        <v>47542</v>
      </c>
      <c r="T2252" t="s">
        <v>49170</v>
      </c>
      <c r="U2252" t="s">
        <v>51592</v>
      </c>
      <c r="W2252" t="s">
        <v>44056</v>
      </c>
      <c r="X2252" t="s">
        <v>47426</v>
      </c>
    </row>
    <row r="2253" spans="1:24">
      <c r="A2253">
        <f>HYPERLINK("https://www.philgeps.gov.ph/GEPSNONPILOT/Tender/SplashBidNoticeAbstractUI.aspx?menuIndex=3&amp;refID=7167554&amp;Result=3","7167554")</f>
        <v>0</v>
      </c>
      <c r="B2253" t="s">
        <v>1014</v>
      </c>
      <c r="C2253" t="s">
        <v>6056</v>
      </c>
      <c r="D2253" t="s">
        <v>19100</v>
      </c>
      <c r="E2253" t="s">
        <v>21157</v>
      </c>
      <c r="F2253" t="s">
        <v>32831</v>
      </c>
      <c r="G2253" t="s">
        <v>32839</v>
      </c>
      <c r="H2253" t="s">
        <v>32849</v>
      </c>
      <c r="I2253" t="s">
        <v>4177</v>
      </c>
      <c r="J2253" t="s">
        <v>34544</v>
      </c>
      <c r="K2253" t="s">
        <v>42820</v>
      </c>
      <c r="M2253" t="s">
        <v>44063</v>
      </c>
      <c r="N2253" t="s">
        <v>47424</v>
      </c>
      <c r="O2253" t="s">
        <v>47425</v>
      </c>
      <c r="P2253">
        <v>0</v>
      </c>
      <c r="Q2253">
        <v>0</v>
      </c>
      <c r="R2253" t="s">
        <v>47429</v>
      </c>
      <c r="S2253" t="s">
        <v>47542</v>
      </c>
      <c r="T2253" t="s">
        <v>49188</v>
      </c>
      <c r="U2253" t="s">
        <v>51605</v>
      </c>
      <c r="W2253" t="s">
        <v>44063</v>
      </c>
      <c r="X2253" t="s">
        <v>47426</v>
      </c>
    </row>
    <row r="2254" spans="1:24">
      <c r="A2254">
        <f>HYPERLINK("https://www.philgeps.gov.ph/GEPSNONPILOT/Tender/SplashBidNoticeAbstractUI.aspx?menuIndex=3&amp;refID=7167551&amp;Result=3","7167551")</f>
        <v>0</v>
      </c>
      <c r="B2254" t="s">
        <v>438</v>
      </c>
      <c r="C2254" t="s">
        <v>4770</v>
      </c>
      <c r="D2254" t="s">
        <v>19083</v>
      </c>
      <c r="E2254" t="s">
        <v>21158</v>
      </c>
      <c r="F2254" t="s">
        <v>32831</v>
      </c>
      <c r="G2254" t="s">
        <v>32839</v>
      </c>
      <c r="H2254" t="s">
        <v>32848</v>
      </c>
      <c r="I2254" t="s">
        <v>32870</v>
      </c>
      <c r="J2254" t="s">
        <v>33095</v>
      </c>
      <c r="K2254" t="s">
        <v>42727</v>
      </c>
      <c r="M2254" t="s">
        <v>43443</v>
      </c>
      <c r="N2254" t="s">
        <v>47424</v>
      </c>
      <c r="O2254" t="s">
        <v>47425</v>
      </c>
      <c r="P2254">
        <v>0</v>
      </c>
      <c r="Q2254">
        <v>0</v>
      </c>
      <c r="R2254" t="s">
        <v>47429</v>
      </c>
      <c r="S2254" t="s">
        <v>47542</v>
      </c>
      <c r="T2254" t="s">
        <v>49122</v>
      </c>
      <c r="U2254" t="s">
        <v>51606</v>
      </c>
      <c r="W2254" t="s">
        <v>43443</v>
      </c>
      <c r="X2254" t="s">
        <v>47426</v>
      </c>
    </row>
    <row r="2255" spans="1:24">
      <c r="A2255">
        <f>HYPERLINK("https://www.philgeps.gov.ph/GEPSNONPILOT/Tender/SplashBidNoticeAbstractUI.aspx?menuIndex=3&amp;refID=7167550&amp;Result=3","7167550")</f>
        <v>0</v>
      </c>
      <c r="B2255" t="s">
        <v>868</v>
      </c>
      <c r="C2255" t="s">
        <v>6057</v>
      </c>
      <c r="D2255" t="s">
        <v>19073</v>
      </c>
      <c r="E2255" t="s">
        <v>21159</v>
      </c>
      <c r="F2255" t="s">
        <v>32831</v>
      </c>
      <c r="G2255" t="s">
        <v>32838</v>
      </c>
      <c r="H2255" t="s">
        <v>32848</v>
      </c>
      <c r="I2255" t="s">
        <v>32857</v>
      </c>
      <c r="J2255" t="s">
        <v>34545</v>
      </c>
      <c r="K2255" t="s">
        <v>42726</v>
      </c>
      <c r="M2255" t="s">
        <v>44064</v>
      </c>
      <c r="N2255" t="s">
        <v>47424</v>
      </c>
      <c r="O2255" t="s">
        <v>47425</v>
      </c>
      <c r="P2255">
        <v>0</v>
      </c>
      <c r="Q2255">
        <v>0</v>
      </c>
      <c r="R2255" t="s">
        <v>47429</v>
      </c>
      <c r="S2255" t="s">
        <v>47542</v>
      </c>
      <c r="T2255" t="s">
        <v>49129</v>
      </c>
      <c r="U2255" t="s">
        <v>51607</v>
      </c>
      <c r="W2255" t="s">
        <v>44064</v>
      </c>
      <c r="X2255" t="s">
        <v>47426</v>
      </c>
    </row>
    <row r="2256" spans="1:24">
      <c r="A2256">
        <f>HYPERLINK("https://www.philgeps.gov.ph/GEPSNONPILOT/Tender/SplashBidNoticeAbstractUI.aspx?menuIndex=3&amp;refID=7167549&amp;Result=3","7167549")</f>
        <v>0</v>
      </c>
      <c r="B2256" t="s">
        <v>1015</v>
      </c>
      <c r="C2256" t="s">
        <v>6058</v>
      </c>
      <c r="D2256" t="s">
        <v>19017</v>
      </c>
      <c r="E2256" t="s">
        <v>21160</v>
      </c>
      <c r="F2256" t="s">
        <v>32831</v>
      </c>
      <c r="G2256" t="s">
        <v>32839</v>
      </c>
      <c r="H2256" t="s">
        <v>32848</v>
      </c>
      <c r="I2256" t="s">
        <v>32864</v>
      </c>
      <c r="J2256" t="s">
        <v>32983</v>
      </c>
      <c r="K2256" t="s">
        <v>42731</v>
      </c>
      <c r="M2256" t="s">
        <v>44065</v>
      </c>
      <c r="N2256" t="s">
        <v>47424</v>
      </c>
      <c r="O2256" t="s">
        <v>47425</v>
      </c>
      <c r="P2256">
        <v>0</v>
      </c>
      <c r="Q2256">
        <v>0</v>
      </c>
      <c r="R2256" t="s">
        <v>47429</v>
      </c>
      <c r="S2256" t="s">
        <v>47542</v>
      </c>
      <c r="T2256" t="s">
        <v>49069</v>
      </c>
      <c r="U2256" t="s">
        <v>51608</v>
      </c>
      <c r="W2256" t="s">
        <v>44065</v>
      </c>
      <c r="X2256" t="s">
        <v>47426</v>
      </c>
    </row>
    <row r="2257" spans="1:24">
      <c r="A2257">
        <f>HYPERLINK("https://www.philgeps.gov.ph/GEPSNONPILOT/Tender/SplashBidNoticeAbstractUI.aspx?menuIndex=3&amp;refID=7167558&amp;Result=3","7167558")</f>
        <v>0</v>
      </c>
      <c r="B2257" t="s">
        <v>1016</v>
      </c>
      <c r="C2257" t="s">
        <v>6059</v>
      </c>
      <c r="D2257" t="s">
        <v>19062</v>
      </c>
      <c r="E2257" t="s">
        <v>21161</v>
      </c>
      <c r="F2257" t="s">
        <v>32831</v>
      </c>
      <c r="G2257" t="s">
        <v>32839</v>
      </c>
      <c r="H2257" t="s">
        <v>32848</v>
      </c>
      <c r="I2257" t="s">
        <v>4776</v>
      </c>
      <c r="J2257" t="s">
        <v>34546</v>
      </c>
      <c r="K2257" t="s">
        <v>42727</v>
      </c>
      <c r="M2257" t="s">
        <v>44066</v>
      </c>
      <c r="N2257" t="s">
        <v>47424</v>
      </c>
      <c r="O2257" t="s">
        <v>47425</v>
      </c>
      <c r="P2257">
        <v>0</v>
      </c>
      <c r="Q2257">
        <v>0</v>
      </c>
      <c r="R2257" t="s">
        <v>47429</v>
      </c>
      <c r="S2257" t="s">
        <v>47542</v>
      </c>
      <c r="T2257" t="s">
        <v>49242</v>
      </c>
      <c r="U2257" t="s">
        <v>51609</v>
      </c>
      <c r="V2257" t="s">
        <v>62865</v>
      </c>
      <c r="W2257" t="s">
        <v>44066</v>
      </c>
      <c r="X2257" t="s">
        <v>47426</v>
      </c>
    </row>
    <row r="2258" spans="1:24">
      <c r="A2258">
        <f>HYPERLINK("https://www.philgeps.gov.ph/GEPSNONPILOT/Tender/SplashBidNoticeAbstractUI.aspx?menuIndex=3&amp;refID=7167548&amp;Result=3","7167548")</f>
        <v>0</v>
      </c>
      <c r="B2258" t="s">
        <v>958</v>
      </c>
      <c r="C2258" t="s">
        <v>6060</v>
      </c>
      <c r="D2258" t="s">
        <v>19049</v>
      </c>
      <c r="E2258" t="s">
        <v>21162</v>
      </c>
      <c r="F2258" t="s">
        <v>32831</v>
      </c>
      <c r="G2258" t="s">
        <v>32840</v>
      </c>
      <c r="H2258" t="s">
        <v>32848</v>
      </c>
      <c r="I2258" t="s">
        <v>32857</v>
      </c>
      <c r="J2258" t="s">
        <v>34547</v>
      </c>
      <c r="K2258" t="s">
        <v>42732</v>
      </c>
      <c r="M2258" t="s">
        <v>44004</v>
      </c>
      <c r="N2258" t="s">
        <v>47424</v>
      </c>
      <c r="O2258" t="s">
        <v>47425</v>
      </c>
      <c r="P2258">
        <v>0</v>
      </c>
      <c r="Q2258">
        <v>0</v>
      </c>
      <c r="R2258" t="s">
        <v>47429</v>
      </c>
      <c r="S2258" t="s">
        <v>47542</v>
      </c>
      <c r="T2258" t="s">
        <v>49159</v>
      </c>
      <c r="U2258" t="s">
        <v>51610</v>
      </c>
      <c r="W2258" t="s">
        <v>44004</v>
      </c>
      <c r="X2258" t="s">
        <v>47426</v>
      </c>
    </row>
    <row r="2259" spans="1:24">
      <c r="A2259">
        <f>HYPERLINK("https://www.philgeps.gov.ph/GEPSNONPILOT/Tender/SplashBidNoticeAbstractUI.aspx?menuIndex=3&amp;refID=7167547&amp;Result=3","7167547")</f>
        <v>0</v>
      </c>
      <c r="B2259" t="s">
        <v>1017</v>
      </c>
      <c r="C2259" t="s">
        <v>6061</v>
      </c>
      <c r="D2259" t="s">
        <v>19083</v>
      </c>
      <c r="E2259" t="s">
        <v>21163</v>
      </c>
      <c r="F2259" t="s">
        <v>32831</v>
      </c>
      <c r="G2259" t="s">
        <v>32839</v>
      </c>
      <c r="H2259" t="s">
        <v>32849</v>
      </c>
      <c r="I2259" t="s">
        <v>4177</v>
      </c>
      <c r="J2259" t="s">
        <v>33118</v>
      </c>
      <c r="K2259" t="s">
        <v>42770</v>
      </c>
      <c r="M2259" t="s">
        <v>44067</v>
      </c>
      <c r="N2259" t="s">
        <v>47424</v>
      </c>
      <c r="O2259" t="s">
        <v>47425</v>
      </c>
      <c r="P2259">
        <v>0</v>
      </c>
      <c r="Q2259">
        <v>0</v>
      </c>
      <c r="R2259" t="s">
        <v>47429</v>
      </c>
      <c r="S2259" t="s">
        <v>47542</v>
      </c>
      <c r="T2259" t="s">
        <v>49215</v>
      </c>
      <c r="U2259" t="s">
        <v>51611</v>
      </c>
      <c r="W2259" t="s">
        <v>44067</v>
      </c>
      <c r="X2259" t="s">
        <v>47426</v>
      </c>
    </row>
    <row r="2260" spans="1:24">
      <c r="A2260">
        <f>HYPERLINK("https://www.philgeps.gov.ph/GEPSNONPILOT/Tender/SplashBidNoticeAbstractUI.aspx?menuIndex=3&amp;refID=7167546&amp;Result=3","7167546")</f>
        <v>0</v>
      </c>
      <c r="B2260" t="s">
        <v>1013</v>
      </c>
      <c r="C2260" t="s">
        <v>6062</v>
      </c>
      <c r="E2260" t="s">
        <v>21164</v>
      </c>
      <c r="F2260" t="s">
        <v>32831</v>
      </c>
      <c r="G2260" t="s">
        <v>32838</v>
      </c>
      <c r="H2260" t="s">
        <v>32848</v>
      </c>
      <c r="I2260" t="s">
        <v>7878</v>
      </c>
      <c r="J2260" t="s">
        <v>34095</v>
      </c>
      <c r="K2260" t="s">
        <v>42732</v>
      </c>
      <c r="M2260" t="s">
        <v>44062</v>
      </c>
      <c r="N2260" t="s">
        <v>47424</v>
      </c>
      <c r="O2260" t="s">
        <v>47425</v>
      </c>
      <c r="P2260">
        <v>0</v>
      </c>
      <c r="Q2260">
        <v>0</v>
      </c>
      <c r="R2260" t="s">
        <v>47429</v>
      </c>
      <c r="S2260" t="s">
        <v>47542</v>
      </c>
      <c r="T2260" t="s">
        <v>49104</v>
      </c>
      <c r="U2260" t="s">
        <v>51612</v>
      </c>
      <c r="W2260" t="s">
        <v>44062</v>
      </c>
      <c r="X2260" t="s">
        <v>47426</v>
      </c>
    </row>
    <row r="2261" spans="1:24">
      <c r="A2261">
        <f>HYPERLINK("https://www.philgeps.gov.ph/GEPSNONPILOT/Tender/SplashBidNoticeAbstractUI.aspx?menuIndex=3&amp;refID=7167519&amp;Result=3","7167519")</f>
        <v>0</v>
      </c>
      <c r="B2261" t="s">
        <v>581</v>
      </c>
      <c r="C2261" t="s">
        <v>6063</v>
      </c>
      <c r="D2261" t="s">
        <v>19044</v>
      </c>
      <c r="E2261" t="s">
        <v>21165</v>
      </c>
      <c r="F2261" t="s">
        <v>32831</v>
      </c>
      <c r="G2261" t="s">
        <v>32838</v>
      </c>
      <c r="H2261" t="s">
        <v>32848</v>
      </c>
      <c r="I2261" t="s">
        <v>32942</v>
      </c>
      <c r="J2261" t="s">
        <v>34548</v>
      </c>
      <c r="K2261" t="s">
        <v>42732</v>
      </c>
      <c r="M2261" t="s">
        <v>43592</v>
      </c>
      <c r="N2261" t="s">
        <v>47424</v>
      </c>
      <c r="O2261" t="s">
        <v>47425</v>
      </c>
      <c r="P2261">
        <v>0</v>
      </c>
      <c r="Q2261">
        <v>0</v>
      </c>
      <c r="R2261" t="s">
        <v>47429</v>
      </c>
      <c r="S2261" t="s">
        <v>47542</v>
      </c>
      <c r="T2261" t="s">
        <v>49104</v>
      </c>
      <c r="U2261" t="s">
        <v>51613</v>
      </c>
      <c r="W2261" t="s">
        <v>43592</v>
      </c>
      <c r="X2261" t="s">
        <v>47426</v>
      </c>
    </row>
    <row r="2262" spans="1:24">
      <c r="A2262">
        <f>HYPERLINK("https://www.philgeps.gov.ph/GEPSNONPILOT/Tender/SplashBidNoticeAbstractUI.aspx?menuIndex=3&amp;refID=7167544&amp;Result=3","7167544")</f>
        <v>0</v>
      </c>
      <c r="B2262" t="s">
        <v>1009</v>
      </c>
      <c r="C2262" t="s">
        <v>6064</v>
      </c>
      <c r="D2262" t="s">
        <v>19039</v>
      </c>
      <c r="E2262" t="s">
        <v>21166</v>
      </c>
      <c r="F2262" t="s">
        <v>32831</v>
      </c>
      <c r="G2262" t="s">
        <v>32840</v>
      </c>
      <c r="H2262" t="s">
        <v>32848</v>
      </c>
      <c r="I2262" t="s">
        <v>7416</v>
      </c>
      <c r="J2262" t="s">
        <v>34549</v>
      </c>
      <c r="K2262" t="s">
        <v>42726</v>
      </c>
      <c r="M2262" t="s">
        <v>44058</v>
      </c>
      <c r="N2262" t="s">
        <v>47424</v>
      </c>
      <c r="O2262" t="s">
        <v>47425</v>
      </c>
      <c r="P2262">
        <v>0</v>
      </c>
      <c r="Q2262">
        <v>0</v>
      </c>
      <c r="R2262" t="s">
        <v>47429</v>
      </c>
      <c r="S2262" t="s">
        <v>47542</v>
      </c>
      <c r="T2262" t="s">
        <v>49127</v>
      </c>
      <c r="U2262" t="s">
        <v>51614</v>
      </c>
      <c r="W2262" t="s">
        <v>44058</v>
      </c>
      <c r="X2262" t="s">
        <v>47426</v>
      </c>
    </row>
    <row r="2263" spans="1:24">
      <c r="A2263">
        <f>HYPERLINK("https://www.philgeps.gov.ph/GEPSNONPILOT/Tender/SplashBidNoticeAbstractUI.aspx?menuIndex=3&amp;refID=7167561&amp;Result=3","7167561")</f>
        <v>0</v>
      </c>
      <c r="B2263" t="s">
        <v>1009</v>
      </c>
      <c r="C2263" t="s">
        <v>6065</v>
      </c>
      <c r="D2263" t="s">
        <v>19039</v>
      </c>
      <c r="E2263" t="s">
        <v>21167</v>
      </c>
      <c r="F2263" t="s">
        <v>32831</v>
      </c>
      <c r="G2263" t="s">
        <v>32840</v>
      </c>
      <c r="H2263" t="s">
        <v>32848</v>
      </c>
      <c r="I2263" t="s">
        <v>4558</v>
      </c>
      <c r="J2263" t="s">
        <v>34550</v>
      </c>
      <c r="K2263" t="s">
        <v>42726</v>
      </c>
      <c r="M2263" t="s">
        <v>44058</v>
      </c>
      <c r="N2263" t="s">
        <v>47424</v>
      </c>
      <c r="O2263" t="s">
        <v>47425</v>
      </c>
      <c r="P2263">
        <v>0</v>
      </c>
      <c r="Q2263">
        <v>0</v>
      </c>
      <c r="R2263" t="s">
        <v>47429</v>
      </c>
      <c r="S2263" t="s">
        <v>47542</v>
      </c>
      <c r="T2263" t="s">
        <v>49127</v>
      </c>
      <c r="U2263" t="s">
        <v>51615</v>
      </c>
      <c r="W2263" t="s">
        <v>44058</v>
      </c>
      <c r="X2263" t="s">
        <v>47426</v>
      </c>
    </row>
    <row r="2264" spans="1:24">
      <c r="A2264">
        <f>HYPERLINK("https://www.philgeps.gov.ph/GEPSNONPILOT/Tender/SplashBidNoticeAbstractUI.aspx?menuIndex=3&amp;refID=7167540&amp;Result=3","7167540")</f>
        <v>0</v>
      </c>
      <c r="B2264" t="s">
        <v>1003</v>
      </c>
      <c r="C2264" t="s">
        <v>6066</v>
      </c>
      <c r="D2264" t="s">
        <v>19075</v>
      </c>
      <c r="E2264" t="s">
        <v>21168</v>
      </c>
      <c r="F2264" t="s">
        <v>32831</v>
      </c>
      <c r="G2264" t="s">
        <v>32840</v>
      </c>
      <c r="H2264" t="s">
        <v>32848</v>
      </c>
      <c r="I2264" t="s">
        <v>32906</v>
      </c>
      <c r="J2264" t="s">
        <v>34551</v>
      </c>
      <c r="K2264" t="s">
        <v>42804</v>
      </c>
      <c r="L2264" t="s">
        <v>1003</v>
      </c>
      <c r="M2264" t="s">
        <v>44052</v>
      </c>
      <c r="N2264" t="s">
        <v>47424</v>
      </c>
      <c r="O2264" t="s">
        <v>47425</v>
      </c>
      <c r="P2264">
        <v>0</v>
      </c>
      <c r="Q2264">
        <v>0</v>
      </c>
      <c r="R2264" t="s">
        <v>47429</v>
      </c>
      <c r="S2264" t="s">
        <v>47542</v>
      </c>
      <c r="T2264" t="s">
        <v>49150</v>
      </c>
      <c r="U2264" t="s">
        <v>51616</v>
      </c>
      <c r="W2264" t="s">
        <v>44052</v>
      </c>
      <c r="X2264" t="s">
        <v>47426</v>
      </c>
    </row>
    <row r="2265" spans="1:24">
      <c r="A2265">
        <f>HYPERLINK("https://www.philgeps.gov.ph/GEPSNONPILOT/Tender/SplashBidNoticeAbstractUI.aspx?menuIndex=3&amp;refID=7167538&amp;Result=3","7167538")</f>
        <v>0</v>
      </c>
      <c r="B2265" t="s">
        <v>1004</v>
      </c>
      <c r="C2265" t="s">
        <v>6067</v>
      </c>
      <c r="D2265" t="s">
        <v>19050</v>
      </c>
      <c r="E2265" t="s">
        <v>21169</v>
      </c>
      <c r="F2265" t="s">
        <v>32831</v>
      </c>
      <c r="G2265" t="s">
        <v>32838</v>
      </c>
      <c r="H2265" t="s">
        <v>32848</v>
      </c>
      <c r="I2265" t="s">
        <v>32857</v>
      </c>
      <c r="J2265" t="s">
        <v>34552</v>
      </c>
      <c r="K2265" t="s">
        <v>42745</v>
      </c>
      <c r="M2265" t="s">
        <v>44053</v>
      </c>
      <c r="N2265" t="s">
        <v>47424</v>
      </c>
      <c r="O2265" t="s">
        <v>47425</v>
      </c>
      <c r="P2265">
        <v>0</v>
      </c>
      <c r="Q2265">
        <v>0</v>
      </c>
      <c r="R2265" t="s">
        <v>47429</v>
      </c>
      <c r="S2265" t="s">
        <v>47542</v>
      </c>
      <c r="T2265" t="s">
        <v>49171</v>
      </c>
      <c r="U2265" t="s">
        <v>51617</v>
      </c>
      <c r="W2265" t="s">
        <v>44053</v>
      </c>
      <c r="X2265" t="s">
        <v>47426</v>
      </c>
    </row>
    <row r="2266" spans="1:24">
      <c r="A2266">
        <f>HYPERLINK("https://www.philgeps.gov.ph/GEPSNONPILOT/Tender/SplashBidNoticeAbstractUI.aspx?menuIndex=3&amp;refID=7167500&amp;Result=3","7167500")</f>
        <v>0</v>
      </c>
      <c r="B2266" t="s">
        <v>989</v>
      </c>
      <c r="C2266" t="s">
        <v>6068</v>
      </c>
      <c r="D2266" t="s">
        <v>19021</v>
      </c>
      <c r="E2266" t="s">
        <v>21170</v>
      </c>
      <c r="F2266" t="s">
        <v>32831</v>
      </c>
      <c r="G2266" t="s">
        <v>32839</v>
      </c>
      <c r="H2266" t="s">
        <v>32849</v>
      </c>
      <c r="I2266" t="s">
        <v>4177</v>
      </c>
      <c r="J2266" t="s">
        <v>33118</v>
      </c>
      <c r="K2266" t="s">
        <v>42747</v>
      </c>
      <c r="L2266" t="s">
        <v>989</v>
      </c>
      <c r="M2266" t="s">
        <v>44038</v>
      </c>
      <c r="N2266" t="s">
        <v>47424</v>
      </c>
      <c r="O2266" t="s">
        <v>47425</v>
      </c>
      <c r="P2266">
        <v>0</v>
      </c>
      <c r="Q2266">
        <v>1</v>
      </c>
      <c r="R2266" t="s">
        <v>47429</v>
      </c>
      <c r="S2266" t="s">
        <v>47542</v>
      </c>
      <c r="T2266" t="s">
        <v>49112</v>
      </c>
      <c r="U2266" t="s">
        <v>51618</v>
      </c>
      <c r="W2266" t="s">
        <v>44038</v>
      </c>
      <c r="X2266" t="s">
        <v>47426</v>
      </c>
    </row>
    <row r="2267" spans="1:24">
      <c r="A2267">
        <f>HYPERLINK("https://www.philgeps.gov.ph/GEPSNONPILOT/Tender/SplashBidNoticeAbstractUI.aspx?menuIndex=3&amp;refID=7167450&amp;Result=3","7167450")</f>
        <v>0</v>
      </c>
      <c r="B2267" t="s">
        <v>807</v>
      </c>
      <c r="C2267" t="s">
        <v>6069</v>
      </c>
      <c r="D2267" t="s">
        <v>19044</v>
      </c>
      <c r="E2267" t="s">
        <v>21171</v>
      </c>
      <c r="F2267" t="s">
        <v>32831</v>
      </c>
      <c r="G2267" t="s">
        <v>32838</v>
      </c>
      <c r="H2267" t="s">
        <v>32848</v>
      </c>
      <c r="I2267" t="s">
        <v>4487</v>
      </c>
      <c r="J2267" t="s">
        <v>33133</v>
      </c>
      <c r="K2267" t="s">
        <v>42727</v>
      </c>
      <c r="M2267" t="s">
        <v>43838</v>
      </c>
      <c r="N2267" t="s">
        <v>47424</v>
      </c>
      <c r="O2267" t="s">
        <v>47425</v>
      </c>
      <c r="P2267">
        <v>0</v>
      </c>
      <c r="Q2267">
        <v>0</v>
      </c>
      <c r="R2267" t="s">
        <v>47429</v>
      </c>
      <c r="S2267" t="s">
        <v>47542</v>
      </c>
      <c r="T2267" t="s">
        <v>49305</v>
      </c>
      <c r="U2267" t="s">
        <v>51619</v>
      </c>
      <c r="W2267" t="s">
        <v>43838</v>
      </c>
      <c r="X2267" t="s">
        <v>47426</v>
      </c>
    </row>
    <row r="2268" spans="1:24">
      <c r="A2268">
        <f>HYPERLINK("https://www.philgeps.gov.ph/GEPSNONPILOT/Tender/SplashBidNoticeAbstractUI.aspx?menuIndex=3&amp;refID=7167545&amp;Result=3","7167545")</f>
        <v>0</v>
      </c>
      <c r="B2268" t="s">
        <v>1018</v>
      </c>
      <c r="C2268" t="s">
        <v>6070</v>
      </c>
      <c r="E2268" t="s">
        <v>21172</v>
      </c>
      <c r="F2268" t="s">
        <v>32831</v>
      </c>
      <c r="G2268" t="s">
        <v>32841</v>
      </c>
      <c r="H2268" t="s">
        <v>32848</v>
      </c>
      <c r="I2268" t="s">
        <v>5379</v>
      </c>
      <c r="J2268" t="s">
        <v>34553</v>
      </c>
      <c r="K2268" t="s">
        <v>42732</v>
      </c>
      <c r="M2268" t="s">
        <v>44068</v>
      </c>
      <c r="N2268" t="s">
        <v>47424</v>
      </c>
      <c r="O2268" t="s">
        <v>47425</v>
      </c>
      <c r="P2268">
        <v>0</v>
      </c>
      <c r="Q2268">
        <v>0</v>
      </c>
      <c r="R2268" t="s">
        <v>47429</v>
      </c>
      <c r="S2268" t="s">
        <v>47542</v>
      </c>
      <c r="T2268" t="s">
        <v>49129</v>
      </c>
      <c r="U2268" t="s">
        <v>51620</v>
      </c>
      <c r="V2268" t="s">
        <v>62866</v>
      </c>
      <c r="W2268" t="s">
        <v>44068</v>
      </c>
      <c r="X2268" t="s">
        <v>47426</v>
      </c>
    </row>
    <row r="2269" spans="1:24">
      <c r="A2269">
        <f>HYPERLINK("https://www.philgeps.gov.ph/GEPSNONPILOT/Tender/SplashBidNoticeAbstractUI.aspx?menuIndex=3&amp;refID=7167516&amp;Result=3","7167516")</f>
        <v>0</v>
      </c>
      <c r="B2269" t="s">
        <v>199</v>
      </c>
      <c r="C2269" t="s">
        <v>4307</v>
      </c>
      <c r="D2269" t="s">
        <v>19017</v>
      </c>
      <c r="E2269" t="s">
        <v>21173</v>
      </c>
      <c r="F2269" t="s">
        <v>32831</v>
      </c>
      <c r="G2269" t="s">
        <v>32842</v>
      </c>
      <c r="H2269" t="s">
        <v>32848</v>
      </c>
      <c r="I2269" t="s">
        <v>32857</v>
      </c>
      <c r="J2269" t="s">
        <v>34188</v>
      </c>
      <c r="K2269" t="s">
        <v>42731</v>
      </c>
      <c r="M2269" t="s">
        <v>43197</v>
      </c>
      <c r="N2269" t="s">
        <v>47424</v>
      </c>
      <c r="O2269" t="s">
        <v>47425</v>
      </c>
      <c r="P2269">
        <v>0</v>
      </c>
      <c r="Q2269">
        <v>0</v>
      </c>
      <c r="R2269" t="s">
        <v>47429</v>
      </c>
      <c r="S2269" t="s">
        <v>47542</v>
      </c>
      <c r="T2269" t="s">
        <v>49066</v>
      </c>
      <c r="U2269" t="s">
        <v>51621</v>
      </c>
      <c r="W2269" t="s">
        <v>43197</v>
      </c>
      <c r="X2269" t="s">
        <v>47426</v>
      </c>
    </row>
    <row r="2270" spans="1:24">
      <c r="A2270">
        <f>HYPERLINK("https://www.philgeps.gov.ph/GEPSNONPILOT/Tender/SplashBidNoticeAbstractUI.aspx?menuIndex=3&amp;refID=7167446&amp;Result=3","7167446")</f>
        <v>0</v>
      </c>
      <c r="B2270" t="s">
        <v>978</v>
      </c>
      <c r="C2270" t="s">
        <v>6071</v>
      </c>
      <c r="D2270" t="s">
        <v>19057</v>
      </c>
      <c r="E2270" t="s">
        <v>21174</v>
      </c>
      <c r="F2270" t="s">
        <v>32831</v>
      </c>
      <c r="G2270" t="s">
        <v>32838</v>
      </c>
      <c r="H2270" t="s">
        <v>32848</v>
      </c>
      <c r="I2270" t="s">
        <v>7416</v>
      </c>
      <c r="J2270" t="s">
        <v>34554</v>
      </c>
      <c r="K2270" t="s">
        <v>42758</v>
      </c>
      <c r="M2270" t="s">
        <v>44027</v>
      </c>
      <c r="N2270" t="s">
        <v>47424</v>
      </c>
      <c r="O2270" t="s">
        <v>47425</v>
      </c>
      <c r="P2270">
        <v>0</v>
      </c>
      <c r="Q2270">
        <v>0</v>
      </c>
      <c r="R2270" t="s">
        <v>47429</v>
      </c>
      <c r="S2270" t="s">
        <v>47542</v>
      </c>
      <c r="T2270" t="s">
        <v>49129</v>
      </c>
      <c r="U2270" t="s">
        <v>51622</v>
      </c>
      <c r="W2270" t="s">
        <v>44027</v>
      </c>
      <c r="X2270" t="s">
        <v>47426</v>
      </c>
    </row>
    <row r="2271" spans="1:24">
      <c r="A2271">
        <f>HYPERLINK("https://www.philgeps.gov.ph/GEPSNONPILOT/Tender/SplashBidNoticeAbstractUI.aspx?menuIndex=3&amp;refID=7167444&amp;Result=3","7167444")</f>
        <v>0</v>
      </c>
      <c r="B2271" t="s">
        <v>951</v>
      </c>
      <c r="C2271" t="s">
        <v>6072</v>
      </c>
      <c r="D2271" t="s">
        <v>19043</v>
      </c>
      <c r="E2271" t="s">
        <v>21175</v>
      </c>
      <c r="F2271" t="s">
        <v>32831</v>
      </c>
      <c r="G2271" t="s">
        <v>32838</v>
      </c>
      <c r="H2271" t="s">
        <v>32848</v>
      </c>
      <c r="I2271" t="s">
        <v>32857</v>
      </c>
      <c r="J2271" t="s">
        <v>33424</v>
      </c>
      <c r="K2271" t="s">
        <v>42758</v>
      </c>
      <c r="M2271" t="s">
        <v>43997</v>
      </c>
      <c r="N2271" t="s">
        <v>47424</v>
      </c>
      <c r="O2271" t="s">
        <v>47425</v>
      </c>
      <c r="P2271">
        <v>0</v>
      </c>
      <c r="Q2271">
        <v>0</v>
      </c>
      <c r="R2271" t="s">
        <v>47429</v>
      </c>
      <c r="S2271" t="s">
        <v>47542</v>
      </c>
      <c r="T2271" t="s">
        <v>49089</v>
      </c>
      <c r="U2271" t="s">
        <v>51623</v>
      </c>
      <c r="W2271" t="s">
        <v>43997</v>
      </c>
      <c r="X2271" t="s">
        <v>47426</v>
      </c>
    </row>
    <row r="2272" spans="1:24">
      <c r="A2272">
        <f>HYPERLINK("https://www.philgeps.gov.ph/GEPSNONPILOT/Tender/SplashBidNoticeAbstractUI.aspx?menuIndex=3&amp;refID=7167539&amp;Result=3","7167539")</f>
        <v>0</v>
      </c>
      <c r="B2272" t="s">
        <v>1019</v>
      </c>
      <c r="C2272" t="s">
        <v>6073</v>
      </c>
      <c r="D2272" t="s">
        <v>19017</v>
      </c>
      <c r="E2272" t="s">
        <v>21176</v>
      </c>
      <c r="F2272" t="s">
        <v>32831</v>
      </c>
      <c r="G2272" t="s">
        <v>32840</v>
      </c>
      <c r="H2272" t="s">
        <v>32848</v>
      </c>
      <c r="I2272" t="s">
        <v>7416</v>
      </c>
      <c r="J2272" t="s">
        <v>32980</v>
      </c>
      <c r="K2272" t="s">
        <v>42748</v>
      </c>
      <c r="M2272" t="s">
        <v>44069</v>
      </c>
      <c r="N2272" t="s">
        <v>47424</v>
      </c>
      <c r="O2272" t="s">
        <v>47425</v>
      </c>
      <c r="P2272">
        <v>0</v>
      </c>
      <c r="Q2272">
        <v>0</v>
      </c>
      <c r="R2272" t="s">
        <v>47429</v>
      </c>
      <c r="S2272" t="s">
        <v>47542</v>
      </c>
      <c r="T2272" t="s">
        <v>49061</v>
      </c>
      <c r="U2272" t="s">
        <v>51624</v>
      </c>
      <c r="W2272" t="s">
        <v>44069</v>
      </c>
      <c r="X2272" t="s">
        <v>47426</v>
      </c>
    </row>
    <row r="2273" spans="1:24">
      <c r="A2273">
        <f>HYPERLINK("https://www.philgeps.gov.ph/GEPSNONPILOT/Tender/SplashBidNoticeAbstractUI.aspx?menuIndex=3&amp;refID=7167518&amp;Result=3","7167518")</f>
        <v>0</v>
      </c>
      <c r="B2273" t="s">
        <v>989</v>
      </c>
      <c r="C2273" t="s">
        <v>6074</v>
      </c>
      <c r="D2273" t="s">
        <v>19021</v>
      </c>
      <c r="E2273" t="s">
        <v>21177</v>
      </c>
      <c r="F2273" t="s">
        <v>32831</v>
      </c>
      <c r="G2273" t="s">
        <v>32839</v>
      </c>
      <c r="H2273" t="s">
        <v>32849</v>
      </c>
      <c r="I2273" t="s">
        <v>4177</v>
      </c>
      <c r="J2273" t="s">
        <v>33118</v>
      </c>
      <c r="K2273" t="s">
        <v>42819</v>
      </c>
      <c r="L2273" t="s">
        <v>989</v>
      </c>
      <c r="M2273" t="s">
        <v>44038</v>
      </c>
      <c r="N2273" t="s">
        <v>47424</v>
      </c>
      <c r="O2273" t="s">
        <v>47425</v>
      </c>
      <c r="P2273">
        <v>0</v>
      </c>
      <c r="Q2273">
        <v>1</v>
      </c>
      <c r="R2273" t="s">
        <v>47429</v>
      </c>
      <c r="S2273" t="s">
        <v>47542</v>
      </c>
      <c r="T2273" t="s">
        <v>49192</v>
      </c>
      <c r="U2273" t="s">
        <v>51625</v>
      </c>
      <c r="W2273" t="s">
        <v>44038</v>
      </c>
      <c r="X2273" t="s">
        <v>47426</v>
      </c>
    </row>
    <row r="2274" spans="1:24">
      <c r="A2274">
        <f>HYPERLINK("https://www.philgeps.gov.ph/GEPSNONPILOT/Tender/SplashBidNoticeAbstractUI.aspx?menuIndex=3&amp;refID=7167421&amp;Result=3","7167421")</f>
        <v>0</v>
      </c>
      <c r="B2274" t="s">
        <v>1020</v>
      </c>
      <c r="C2274" t="s">
        <v>6075</v>
      </c>
      <c r="D2274" t="s">
        <v>19045</v>
      </c>
      <c r="E2274" t="s">
        <v>21178</v>
      </c>
      <c r="F2274" t="s">
        <v>32831</v>
      </c>
      <c r="G2274" t="s">
        <v>32839</v>
      </c>
      <c r="H2274" t="s">
        <v>32848</v>
      </c>
      <c r="I2274" t="s">
        <v>4487</v>
      </c>
      <c r="J2274" t="s">
        <v>33468</v>
      </c>
      <c r="K2274" t="s">
        <v>42729</v>
      </c>
      <c r="M2274" t="s">
        <v>44070</v>
      </c>
      <c r="N2274" t="s">
        <v>47424</v>
      </c>
      <c r="O2274" t="s">
        <v>47425</v>
      </c>
      <c r="P2274">
        <v>0</v>
      </c>
      <c r="Q2274">
        <v>0</v>
      </c>
      <c r="R2274" t="s">
        <v>47429</v>
      </c>
      <c r="S2274" t="s">
        <v>47542</v>
      </c>
      <c r="T2274" t="s">
        <v>49065</v>
      </c>
      <c r="U2274" t="s">
        <v>51626</v>
      </c>
      <c r="W2274" t="s">
        <v>44070</v>
      </c>
      <c r="X2274" t="s">
        <v>47426</v>
      </c>
    </row>
    <row r="2275" spans="1:24">
      <c r="A2275">
        <f>HYPERLINK("https://www.philgeps.gov.ph/GEPSNONPILOT/Tender/SplashBidNoticeAbstractUI.aspx?menuIndex=3&amp;refID=7167517&amp;Result=3","7167517")</f>
        <v>0</v>
      </c>
      <c r="B2275" t="s">
        <v>998</v>
      </c>
      <c r="C2275" t="s">
        <v>4819</v>
      </c>
      <c r="D2275" t="s">
        <v>19049</v>
      </c>
      <c r="E2275" t="s">
        <v>21179</v>
      </c>
      <c r="F2275" t="s">
        <v>32831</v>
      </c>
      <c r="G2275" t="s">
        <v>32840</v>
      </c>
      <c r="H2275" t="s">
        <v>32848</v>
      </c>
      <c r="I2275" t="s">
        <v>32857</v>
      </c>
      <c r="J2275" t="s">
        <v>34555</v>
      </c>
      <c r="K2275" t="s">
        <v>42732</v>
      </c>
      <c r="M2275" t="s">
        <v>44047</v>
      </c>
      <c r="N2275" t="s">
        <v>47424</v>
      </c>
      <c r="O2275" t="s">
        <v>47425</v>
      </c>
      <c r="P2275">
        <v>0</v>
      </c>
      <c r="Q2275">
        <v>0</v>
      </c>
      <c r="R2275" t="s">
        <v>47429</v>
      </c>
      <c r="S2275" t="s">
        <v>47542</v>
      </c>
      <c r="T2275" t="s">
        <v>49073</v>
      </c>
      <c r="U2275" t="s">
        <v>50613</v>
      </c>
      <c r="W2275" t="s">
        <v>44047</v>
      </c>
      <c r="X2275" t="s">
        <v>47426</v>
      </c>
    </row>
    <row r="2276" spans="1:24">
      <c r="A2276">
        <f>HYPERLINK("https://www.philgeps.gov.ph/GEPSNONPILOT/Tender/SplashBidNoticeAbstractUI.aspx?menuIndex=3&amp;refID=7167401&amp;Result=3","7167401")</f>
        <v>0</v>
      </c>
      <c r="B2276" t="s">
        <v>748</v>
      </c>
      <c r="C2276" t="s">
        <v>6076</v>
      </c>
      <c r="D2276" t="s">
        <v>19081</v>
      </c>
      <c r="E2276" t="s">
        <v>21180</v>
      </c>
      <c r="F2276" t="s">
        <v>32831</v>
      </c>
      <c r="G2276" t="s">
        <v>32838</v>
      </c>
      <c r="H2276" t="s">
        <v>32848</v>
      </c>
      <c r="I2276" t="s">
        <v>32863</v>
      </c>
      <c r="J2276" t="s">
        <v>33366</v>
      </c>
      <c r="K2276" t="s">
        <v>42759</v>
      </c>
      <c r="M2276" t="s">
        <v>43771</v>
      </c>
      <c r="N2276" t="s">
        <v>47424</v>
      </c>
      <c r="O2276" t="s">
        <v>47425</v>
      </c>
      <c r="P2276">
        <v>0</v>
      </c>
      <c r="Q2276">
        <v>0</v>
      </c>
      <c r="R2276" t="s">
        <v>47429</v>
      </c>
      <c r="S2276" t="s">
        <v>47542</v>
      </c>
      <c r="T2276" t="s">
        <v>49253</v>
      </c>
      <c r="U2276" t="s">
        <v>51627</v>
      </c>
      <c r="W2276" t="s">
        <v>43771</v>
      </c>
      <c r="X2276" t="s">
        <v>47426</v>
      </c>
    </row>
    <row r="2277" spans="1:24">
      <c r="A2277">
        <f>HYPERLINK("https://www.philgeps.gov.ph/GEPSNONPILOT/Tender/SplashBidNoticeAbstractUI.aspx?menuIndex=3&amp;refID=7167399&amp;Result=3","7167399")</f>
        <v>0</v>
      </c>
      <c r="B2277" t="s">
        <v>192</v>
      </c>
      <c r="C2277" t="s">
        <v>6077</v>
      </c>
      <c r="D2277" t="s">
        <v>19057</v>
      </c>
      <c r="E2277" t="s">
        <v>21181</v>
      </c>
      <c r="F2277" t="s">
        <v>32831</v>
      </c>
      <c r="G2277" t="s">
        <v>32838</v>
      </c>
      <c r="H2277" t="s">
        <v>32848</v>
      </c>
      <c r="I2277" t="s">
        <v>4303</v>
      </c>
      <c r="J2277" t="s">
        <v>34556</v>
      </c>
      <c r="K2277" t="s">
        <v>42730</v>
      </c>
      <c r="M2277" t="s">
        <v>43190</v>
      </c>
      <c r="N2277" t="s">
        <v>47424</v>
      </c>
      <c r="O2277" t="s">
        <v>47425</v>
      </c>
      <c r="P2277">
        <v>0</v>
      </c>
      <c r="Q2277">
        <v>0</v>
      </c>
      <c r="R2277" t="s">
        <v>47429</v>
      </c>
      <c r="S2277" t="s">
        <v>47542</v>
      </c>
      <c r="T2277" t="s">
        <v>49089</v>
      </c>
      <c r="U2277" t="s">
        <v>51628</v>
      </c>
      <c r="W2277" t="s">
        <v>43190</v>
      </c>
      <c r="X2277" t="s">
        <v>47426</v>
      </c>
    </row>
    <row r="2278" spans="1:24">
      <c r="A2278">
        <f>HYPERLINK("https://www.philgeps.gov.ph/GEPSNONPILOT/Tender/SplashBidNoticeAbstractUI.aspx?menuIndex=3&amp;refID=7167514&amp;Result=3","7167514")</f>
        <v>0</v>
      </c>
      <c r="B2278" t="s">
        <v>920</v>
      </c>
      <c r="C2278" t="s">
        <v>5991</v>
      </c>
      <c r="E2278" t="s">
        <v>21182</v>
      </c>
      <c r="F2278" t="s">
        <v>32831</v>
      </c>
      <c r="G2278" t="s">
        <v>32842</v>
      </c>
      <c r="H2278" t="s">
        <v>32848</v>
      </c>
      <c r="I2278" t="s">
        <v>9577</v>
      </c>
      <c r="J2278" t="s">
        <v>34557</v>
      </c>
      <c r="K2278" t="s">
        <v>42732</v>
      </c>
      <c r="M2278" t="s">
        <v>43961</v>
      </c>
      <c r="N2278" t="s">
        <v>47424</v>
      </c>
      <c r="O2278" t="s">
        <v>47425</v>
      </c>
      <c r="P2278">
        <v>0</v>
      </c>
      <c r="Q2278">
        <v>0</v>
      </c>
      <c r="R2278" t="s">
        <v>47429</v>
      </c>
      <c r="S2278" t="s">
        <v>47542</v>
      </c>
      <c r="T2278" t="s">
        <v>49104</v>
      </c>
      <c r="U2278" t="s">
        <v>51396</v>
      </c>
      <c r="W2278" t="s">
        <v>43961</v>
      </c>
      <c r="X2278" t="s">
        <v>47426</v>
      </c>
    </row>
    <row r="2279" spans="1:24">
      <c r="A2279">
        <f>HYPERLINK("https://www.philgeps.gov.ph/GEPSNONPILOT/Tender/SplashBidNoticeAbstractUI.aspx?menuIndex=3&amp;refID=7167445&amp;Result=3","7167445")</f>
        <v>0</v>
      </c>
      <c r="B2279" t="s">
        <v>959</v>
      </c>
      <c r="C2279" t="s">
        <v>6078</v>
      </c>
      <c r="D2279" t="s">
        <v>19078</v>
      </c>
      <c r="E2279" t="s">
        <v>19471</v>
      </c>
      <c r="F2279" t="s">
        <v>32831</v>
      </c>
      <c r="G2279" t="s">
        <v>32839</v>
      </c>
      <c r="H2279" t="s">
        <v>32849</v>
      </c>
      <c r="I2279" t="s">
        <v>4177</v>
      </c>
      <c r="J2279" t="s">
        <v>34558</v>
      </c>
      <c r="K2279" t="s">
        <v>42735</v>
      </c>
      <c r="M2279" t="s">
        <v>44005</v>
      </c>
      <c r="N2279" t="s">
        <v>47424</v>
      </c>
      <c r="O2279" t="s">
        <v>47425</v>
      </c>
      <c r="P2279">
        <v>0</v>
      </c>
      <c r="Q2279">
        <v>0</v>
      </c>
      <c r="R2279" t="s">
        <v>47429</v>
      </c>
      <c r="S2279" t="s">
        <v>47542</v>
      </c>
      <c r="T2279" t="s">
        <v>49078</v>
      </c>
      <c r="U2279" t="s">
        <v>51629</v>
      </c>
      <c r="W2279" t="s">
        <v>44005</v>
      </c>
      <c r="X2279" t="s">
        <v>47426</v>
      </c>
    </row>
    <row r="2280" spans="1:24">
      <c r="A2280">
        <f>HYPERLINK("https://www.philgeps.gov.ph/GEPSNONPILOT/Tender/SplashBidNoticeAbstractUI.aspx?menuIndex=3&amp;refID=7167563&amp;Result=3","7167563")</f>
        <v>0</v>
      </c>
      <c r="B2280" t="s">
        <v>1021</v>
      </c>
      <c r="C2280" t="s">
        <v>6079</v>
      </c>
      <c r="D2280" t="s">
        <v>19038</v>
      </c>
      <c r="E2280" t="s">
        <v>19351</v>
      </c>
      <c r="F2280" t="s">
        <v>32831</v>
      </c>
      <c r="G2280" t="s">
        <v>32838</v>
      </c>
      <c r="H2280" t="s">
        <v>32848</v>
      </c>
      <c r="I2280" t="s">
        <v>32858</v>
      </c>
      <c r="J2280" t="s">
        <v>34559</v>
      </c>
      <c r="K2280" t="s">
        <v>42760</v>
      </c>
      <c r="M2280" t="s">
        <v>44071</v>
      </c>
      <c r="N2280" t="s">
        <v>47424</v>
      </c>
      <c r="O2280" t="s">
        <v>47425</v>
      </c>
      <c r="P2280">
        <v>0</v>
      </c>
      <c r="Q2280">
        <v>0</v>
      </c>
      <c r="R2280" t="s">
        <v>47429</v>
      </c>
      <c r="S2280" t="s">
        <v>47542</v>
      </c>
      <c r="T2280" t="s">
        <v>49276</v>
      </c>
      <c r="U2280" t="s">
        <v>51630</v>
      </c>
      <c r="W2280" t="s">
        <v>44071</v>
      </c>
      <c r="X2280" t="s">
        <v>47426</v>
      </c>
    </row>
    <row r="2281" spans="1:24">
      <c r="A2281">
        <f>HYPERLINK("https://www.philgeps.gov.ph/GEPSNONPILOT/Tender/SplashBidNoticeAbstractUI.aspx?menuIndex=3&amp;refID=7167577&amp;Result=3","7167577")</f>
        <v>0</v>
      </c>
      <c r="B2281" t="s">
        <v>171</v>
      </c>
      <c r="C2281" t="s">
        <v>6080</v>
      </c>
      <c r="D2281" t="s">
        <v>19034</v>
      </c>
      <c r="E2281" t="s">
        <v>21183</v>
      </c>
      <c r="F2281" t="s">
        <v>32831</v>
      </c>
      <c r="G2281" t="s">
        <v>32841</v>
      </c>
      <c r="H2281" t="s">
        <v>32848</v>
      </c>
      <c r="I2281" t="s">
        <v>8781</v>
      </c>
      <c r="J2281" t="s">
        <v>34560</v>
      </c>
      <c r="K2281" t="s">
        <v>42730</v>
      </c>
      <c r="M2281" t="s">
        <v>43168</v>
      </c>
      <c r="N2281" t="s">
        <v>47424</v>
      </c>
      <c r="O2281" t="s">
        <v>47425</v>
      </c>
      <c r="P2281">
        <v>0</v>
      </c>
      <c r="Q2281">
        <v>0</v>
      </c>
      <c r="R2281" t="s">
        <v>47429</v>
      </c>
      <c r="S2281" t="s">
        <v>47542</v>
      </c>
      <c r="T2281" t="s">
        <v>49132</v>
      </c>
      <c r="U2281" t="s">
        <v>51631</v>
      </c>
      <c r="W2281" t="s">
        <v>64452</v>
      </c>
      <c r="X2281" t="s">
        <v>47426</v>
      </c>
    </row>
    <row r="2282" spans="1:24">
      <c r="A2282">
        <f>HYPERLINK("https://www.philgeps.gov.ph/GEPSNONPILOT/Tender/SplashBidNoticeAbstractUI.aspx?menuIndex=3&amp;refID=7167422&amp;Result=3","7167422")</f>
        <v>0</v>
      </c>
      <c r="B2282" t="s">
        <v>834</v>
      </c>
      <c r="C2282" t="s">
        <v>6081</v>
      </c>
      <c r="D2282" t="s">
        <v>19046</v>
      </c>
      <c r="E2282" t="s">
        <v>21184</v>
      </c>
      <c r="F2282" t="s">
        <v>32831</v>
      </c>
      <c r="G2282" t="s">
        <v>32839</v>
      </c>
      <c r="H2282" t="s">
        <v>32848</v>
      </c>
      <c r="I2282" t="s">
        <v>32857</v>
      </c>
      <c r="J2282" t="s">
        <v>34561</v>
      </c>
      <c r="K2282" t="s">
        <v>42732</v>
      </c>
      <c r="M2282" t="s">
        <v>43983</v>
      </c>
      <c r="N2282" t="s">
        <v>47424</v>
      </c>
      <c r="O2282" t="s">
        <v>47425</v>
      </c>
      <c r="P2282">
        <v>0</v>
      </c>
      <c r="Q2282">
        <v>0</v>
      </c>
      <c r="R2282" t="s">
        <v>47429</v>
      </c>
      <c r="S2282" t="s">
        <v>47542</v>
      </c>
      <c r="T2282" t="s">
        <v>49059</v>
      </c>
      <c r="U2282" t="s">
        <v>51434</v>
      </c>
      <c r="W2282" t="s">
        <v>43983</v>
      </c>
      <c r="X2282" t="s">
        <v>47426</v>
      </c>
    </row>
    <row r="2283" spans="1:24">
      <c r="A2283">
        <f>HYPERLINK("https://www.philgeps.gov.ph/GEPSNONPILOT/Tender/SplashBidNoticeAbstractUI.aspx?menuIndex=3&amp;refID=7167584&amp;Result=3","7167584")</f>
        <v>0</v>
      </c>
      <c r="B2283" t="s">
        <v>1007</v>
      </c>
      <c r="C2283" t="s">
        <v>6082</v>
      </c>
      <c r="E2283" t="s">
        <v>21185</v>
      </c>
      <c r="F2283" t="s">
        <v>32831</v>
      </c>
      <c r="G2283" t="s">
        <v>32838</v>
      </c>
      <c r="H2283" t="s">
        <v>32848</v>
      </c>
      <c r="I2283" t="s">
        <v>32874</v>
      </c>
      <c r="J2283" t="s">
        <v>33578</v>
      </c>
      <c r="K2283" t="s">
        <v>42732</v>
      </c>
      <c r="M2283" t="s">
        <v>44056</v>
      </c>
      <c r="N2283" t="s">
        <v>47424</v>
      </c>
      <c r="O2283" t="s">
        <v>47425</v>
      </c>
      <c r="P2283">
        <v>0</v>
      </c>
      <c r="Q2283">
        <v>0</v>
      </c>
      <c r="R2283" t="s">
        <v>47429</v>
      </c>
      <c r="S2283" t="s">
        <v>47542</v>
      </c>
      <c r="T2283" t="s">
        <v>49170</v>
      </c>
      <c r="U2283" t="s">
        <v>51592</v>
      </c>
      <c r="W2283" t="s">
        <v>44056</v>
      </c>
      <c r="X2283" t="s">
        <v>47426</v>
      </c>
    </row>
    <row r="2284" spans="1:24">
      <c r="A2284">
        <f>HYPERLINK("https://www.philgeps.gov.ph/GEPSNONPILOT/Tender/SplashBidNoticeAbstractUI.aspx?menuIndex=3&amp;refID=7167583&amp;Result=3","7167583")</f>
        <v>0</v>
      </c>
      <c r="B2284" t="s">
        <v>600</v>
      </c>
      <c r="C2284" t="s">
        <v>6083</v>
      </c>
      <c r="E2284" t="s">
        <v>21186</v>
      </c>
      <c r="F2284" t="s">
        <v>32831</v>
      </c>
      <c r="G2284" t="s">
        <v>32838</v>
      </c>
      <c r="H2284" t="s">
        <v>32848</v>
      </c>
      <c r="I2284" t="s">
        <v>32863</v>
      </c>
      <c r="J2284" t="s">
        <v>33433</v>
      </c>
      <c r="K2284" t="s">
        <v>42732</v>
      </c>
      <c r="M2284" t="s">
        <v>43614</v>
      </c>
      <c r="N2284" t="s">
        <v>47424</v>
      </c>
      <c r="O2284" t="s">
        <v>47425</v>
      </c>
      <c r="P2284">
        <v>0</v>
      </c>
      <c r="Q2284">
        <v>0</v>
      </c>
      <c r="R2284" t="s">
        <v>47429</v>
      </c>
      <c r="S2284" t="s">
        <v>47542</v>
      </c>
      <c r="T2284" t="s">
        <v>49129</v>
      </c>
      <c r="U2284" t="s">
        <v>50909</v>
      </c>
      <c r="W2284" t="s">
        <v>43614</v>
      </c>
      <c r="X2284" t="s">
        <v>47426</v>
      </c>
    </row>
    <row r="2285" spans="1:24">
      <c r="A2285">
        <f>HYPERLINK("https://www.philgeps.gov.ph/GEPSNONPILOT/Tender/SplashBidNoticeAbstractUI.aspx?menuIndex=3&amp;refID=7167581&amp;Result=3","7167581")</f>
        <v>0</v>
      </c>
      <c r="B2285" t="s">
        <v>1017</v>
      </c>
      <c r="C2285" t="s">
        <v>6084</v>
      </c>
      <c r="D2285" t="s">
        <v>19083</v>
      </c>
      <c r="E2285" t="s">
        <v>21187</v>
      </c>
      <c r="F2285" t="s">
        <v>32831</v>
      </c>
      <c r="G2285" t="s">
        <v>32839</v>
      </c>
      <c r="H2285" t="s">
        <v>32849</v>
      </c>
      <c r="I2285" t="s">
        <v>4177</v>
      </c>
      <c r="J2285" t="s">
        <v>33118</v>
      </c>
      <c r="K2285" t="s">
        <v>42770</v>
      </c>
      <c r="M2285" t="s">
        <v>44067</v>
      </c>
      <c r="N2285" t="s">
        <v>47424</v>
      </c>
      <c r="O2285" t="s">
        <v>47425</v>
      </c>
      <c r="P2285">
        <v>0</v>
      </c>
      <c r="Q2285">
        <v>0</v>
      </c>
      <c r="R2285" t="s">
        <v>47429</v>
      </c>
      <c r="S2285" t="s">
        <v>47542</v>
      </c>
      <c r="T2285" t="s">
        <v>49306</v>
      </c>
      <c r="U2285" t="s">
        <v>51632</v>
      </c>
      <c r="W2285" t="s">
        <v>44067</v>
      </c>
      <c r="X2285" t="s">
        <v>47426</v>
      </c>
    </row>
    <row r="2286" spans="1:24">
      <c r="A2286">
        <f>HYPERLINK("https://www.philgeps.gov.ph/GEPSNONPILOT/Tender/SplashBidNoticeAbstractUI.aspx?menuIndex=3&amp;refID=7167402&amp;Result=3","7167402")</f>
        <v>0</v>
      </c>
      <c r="B2286" t="s">
        <v>975</v>
      </c>
      <c r="C2286" t="s">
        <v>4438</v>
      </c>
      <c r="D2286" t="s">
        <v>19044</v>
      </c>
      <c r="E2286" t="s">
        <v>21188</v>
      </c>
      <c r="F2286" t="s">
        <v>32831</v>
      </c>
      <c r="G2286" t="s">
        <v>32838</v>
      </c>
      <c r="H2286" t="s">
        <v>32848</v>
      </c>
      <c r="I2286" t="s">
        <v>4438</v>
      </c>
      <c r="J2286" t="s">
        <v>34562</v>
      </c>
      <c r="K2286" t="s">
        <v>42748</v>
      </c>
      <c r="M2286" t="s">
        <v>44024</v>
      </c>
      <c r="N2286" t="s">
        <v>47424</v>
      </c>
      <c r="O2286" t="s">
        <v>47425</v>
      </c>
      <c r="P2286">
        <v>0</v>
      </c>
      <c r="Q2286">
        <v>0</v>
      </c>
      <c r="R2286" t="s">
        <v>47429</v>
      </c>
      <c r="S2286" t="s">
        <v>47542</v>
      </c>
      <c r="T2286" t="s">
        <v>49124</v>
      </c>
      <c r="U2286" t="s">
        <v>51531</v>
      </c>
      <c r="W2286" t="s">
        <v>44024</v>
      </c>
      <c r="X2286" t="s">
        <v>47426</v>
      </c>
    </row>
    <row r="2287" spans="1:24">
      <c r="A2287">
        <f>HYPERLINK("https://www.philgeps.gov.ph/GEPSNONPILOT/Tender/SplashBidNoticeAbstractUI.aspx?menuIndex=3&amp;refID=7167578&amp;Result=3","7167578")</f>
        <v>0</v>
      </c>
      <c r="B2287" t="s">
        <v>1022</v>
      </c>
      <c r="C2287" t="s">
        <v>6085</v>
      </c>
      <c r="E2287" t="s">
        <v>21189</v>
      </c>
      <c r="F2287" t="s">
        <v>32831</v>
      </c>
      <c r="G2287" t="s">
        <v>32838</v>
      </c>
      <c r="H2287" t="s">
        <v>32848</v>
      </c>
      <c r="I2287" t="s">
        <v>32934</v>
      </c>
      <c r="J2287" t="s">
        <v>33241</v>
      </c>
      <c r="K2287" t="s">
        <v>42732</v>
      </c>
      <c r="M2287" t="s">
        <v>44072</v>
      </c>
      <c r="N2287" t="s">
        <v>47424</v>
      </c>
      <c r="O2287" t="s">
        <v>47425</v>
      </c>
      <c r="P2287">
        <v>0</v>
      </c>
      <c r="Q2287">
        <v>0</v>
      </c>
      <c r="R2287" t="s">
        <v>47429</v>
      </c>
      <c r="S2287" t="s">
        <v>47542</v>
      </c>
      <c r="T2287" t="s">
        <v>49089</v>
      </c>
      <c r="U2287" t="s">
        <v>51633</v>
      </c>
      <c r="W2287" t="s">
        <v>64453</v>
      </c>
      <c r="X2287" t="s">
        <v>47426</v>
      </c>
    </row>
    <row r="2288" spans="1:24">
      <c r="A2288">
        <f>HYPERLINK("https://www.philgeps.gov.ph/GEPSNONPILOT/Tender/SplashBidNoticeAbstractUI.aspx?menuIndex=3&amp;refID=7167400&amp;Result=3","7167400")</f>
        <v>0</v>
      </c>
      <c r="B2288" t="s">
        <v>980</v>
      </c>
      <c r="C2288" t="s">
        <v>6086</v>
      </c>
      <c r="D2288" t="s">
        <v>19022</v>
      </c>
      <c r="E2288" t="s">
        <v>21190</v>
      </c>
      <c r="F2288" t="s">
        <v>32831</v>
      </c>
      <c r="G2288" t="s">
        <v>32838</v>
      </c>
      <c r="H2288" t="s">
        <v>32848</v>
      </c>
      <c r="I2288" t="s">
        <v>32870</v>
      </c>
      <c r="J2288" t="s">
        <v>34563</v>
      </c>
      <c r="K2288" t="s">
        <v>42730</v>
      </c>
      <c r="M2288" t="s">
        <v>44029</v>
      </c>
      <c r="N2288" t="s">
        <v>47424</v>
      </c>
      <c r="O2288" t="s">
        <v>47425</v>
      </c>
      <c r="P2288">
        <v>0</v>
      </c>
      <c r="Q2288">
        <v>0</v>
      </c>
      <c r="R2288" t="s">
        <v>47429</v>
      </c>
      <c r="S2288" t="s">
        <v>47542</v>
      </c>
      <c r="T2288" t="s">
        <v>49123</v>
      </c>
      <c r="U2288" t="s">
        <v>51634</v>
      </c>
      <c r="W2288" t="s">
        <v>44029</v>
      </c>
      <c r="X2288" t="s">
        <v>47426</v>
      </c>
    </row>
    <row r="2289" spans="1:24">
      <c r="A2289">
        <f>HYPERLINK("https://www.philgeps.gov.ph/GEPSNONPILOT/Tender/SplashBidNoticeAbstractUI.aspx?menuIndex=3&amp;refID=7167576&amp;Result=3","7167576")</f>
        <v>0</v>
      </c>
      <c r="B2289" t="s">
        <v>1023</v>
      </c>
      <c r="C2289" t="s">
        <v>6087</v>
      </c>
      <c r="D2289" t="s">
        <v>19020</v>
      </c>
      <c r="E2289" t="s">
        <v>21191</v>
      </c>
      <c r="F2289" t="s">
        <v>32831</v>
      </c>
      <c r="G2289" t="s">
        <v>32839</v>
      </c>
      <c r="H2289" t="s">
        <v>32848</v>
      </c>
      <c r="I2289" t="s">
        <v>32874</v>
      </c>
      <c r="J2289" t="s">
        <v>34342</v>
      </c>
      <c r="K2289" t="s">
        <v>42763</v>
      </c>
      <c r="M2289" t="s">
        <v>44073</v>
      </c>
      <c r="N2289" t="s">
        <v>47424</v>
      </c>
      <c r="O2289" t="s">
        <v>47425</v>
      </c>
      <c r="P2289">
        <v>0</v>
      </c>
      <c r="Q2289">
        <v>0</v>
      </c>
      <c r="R2289" t="s">
        <v>47429</v>
      </c>
      <c r="S2289" t="s">
        <v>47542</v>
      </c>
      <c r="T2289" t="s">
        <v>49078</v>
      </c>
      <c r="U2289" t="s">
        <v>51635</v>
      </c>
      <c r="W2289" t="s">
        <v>44073</v>
      </c>
      <c r="X2289" t="s">
        <v>47426</v>
      </c>
    </row>
    <row r="2290" spans="1:24">
      <c r="A2290">
        <f>HYPERLINK("https://www.philgeps.gov.ph/GEPSNONPILOT/Tender/SplashBidNoticeAbstractUI.aspx?menuIndex=3&amp;refID=7167574&amp;Result=3","7167574")</f>
        <v>0</v>
      </c>
      <c r="B2290" t="s">
        <v>1013</v>
      </c>
      <c r="C2290" t="s">
        <v>6088</v>
      </c>
      <c r="E2290" t="s">
        <v>21192</v>
      </c>
      <c r="F2290" t="s">
        <v>32831</v>
      </c>
      <c r="G2290" t="s">
        <v>32838</v>
      </c>
      <c r="H2290" t="s">
        <v>32848</v>
      </c>
      <c r="I2290" t="s">
        <v>7878</v>
      </c>
      <c r="J2290" t="s">
        <v>32980</v>
      </c>
      <c r="K2290" t="s">
        <v>42732</v>
      </c>
      <c r="M2290" t="s">
        <v>44062</v>
      </c>
      <c r="N2290" t="s">
        <v>47424</v>
      </c>
      <c r="O2290" t="s">
        <v>47425</v>
      </c>
      <c r="P2290">
        <v>0</v>
      </c>
      <c r="Q2290">
        <v>0</v>
      </c>
      <c r="R2290" t="s">
        <v>47429</v>
      </c>
      <c r="S2290" t="s">
        <v>47542</v>
      </c>
      <c r="T2290" t="s">
        <v>49104</v>
      </c>
      <c r="U2290" t="s">
        <v>51603</v>
      </c>
      <c r="W2290" t="s">
        <v>44062</v>
      </c>
      <c r="X2290" t="s">
        <v>47426</v>
      </c>
    </row>
    <row r="2291" spans="1:24">
      <c r="A2291">
        <f>HYPERLINK("https://www.philgeps.gov.ph/GEPSNONPILOT/Tender/SplashBidNoticeAbstractUI.aspx?menuIndex=3&amp;refID=7167403&amp;Result=3","7167403")</f>
        <v>0</v>
      </c>
      <c r="B2291" t="s">
        <v>1009</v>
      </c>
      <c r="C2291" t="s">
        <v>6089</v>
      </c>
      <c r="D2291" t="s">
        <v>19039</v>
      </c>
      <c r="E2291" t="s">
        <v>21193</v>
      </c>
      <c r="F2291" t="s">
        <v>32831</v>
      </c>
      <c r="G2291" t="s">
        <v>32840</v>
      </c>
      <c r="H2291" t="s">
        <v>32848</v>
      </c>
      <c r="I2291" t="s">
        <v>7416</v>
      </c>
      <c r="J2291" t="s">
        <v>34564</v>
      </c>
      <c r="K2291" t="s">
        <v>42726</v>
      </c>
      <c r="M2291" t="s">
        <v>44058</v>
      </c>
      <c r="N2291" t="s">
        <v>47424</v>
      </c>
      <c r="O2291" t="s">
        <v>47425</v>
      </c>
      <c r="P2291">
        <v>0</v>
      </c>
      <c r="Q2291">
        <v>0</v>
      </c>
      <c r="R2291" t="s">
        <v>47429</v>
      </c>
      <c r="S2291" t="s">
        <v>47542</v>
      </c>
      <c r="T2291" t="s">
        <v>49127</v>
      </c>
      <c r="U2291" t="s">
        <v>51636</v>
      </c>
      <c r="W2291" t="s">
        <v>44058</v>
      </c>
      <c r="X2291" t="s">
        <v>47426</v>
      </c>
    </row>
    <row r="2292" spans="1:24">
      <c r="A2292">
        <f>HYPERLINK("https://www.philgeps.gov.ph/GEPSNONPILOT/Tender/SplashBidNoticeAbstractUI.aspx?menuIndex=3&amp;refID=7167572&amp;Result=3","7167572")</f>
        <v>0</v>
      </c>
      <c r="B2292" t="s">
        <v>952</v>
      </c>
      <c r="C2292" t="s">
        <v>6090</v>
      </c>
      <c r="D2292" t="s">
        <v>19022</v>
      </c>
      <c r="E2292" t="s">
        <v>21194</v>
      </c>
      <c r="F2292" t="s">
        <v>32831</v>
      </c>
      <c r="G2292" t="s">
        <v>32839</v>
      </c>
      <c r="H2292" t="s">
        <v>32849</v>
      </c>
      <c r="I2292" t="s">
        <v>4177</v>
      </c>
      <c r="J2292" t="s">
        <v>34565</v>
      </c>
      <c r="K2292" t="s">
        <v>42770</v>
      </c>
      <c r="M2292" t="s">
        <v>43998</v>
      </c>
      <c r="N2292" t="s">
        <v>47424</v>
      </c>
      <c r="O2292" t="s">
        <v>47425</v>
      </c>
      <c r="P2292">
        <v>0</v>
      </c>
      <c r="Q2292">
        <v>0</v>
      </c>
      <c r="R2292" t="s">
        <v>47429</v>
      </c>
      <c r="S2292" t="s">
        <v>47542</v>
      </c>
      <c r="T2292" t="s">
        <v>49260</v>
      </c>
      <c r="U2292" t="s">
        <v>51637</v>
      </c>
      <c r="W2292" t="s">
        <v>43998</v>
      </c>
      <c r="X2292" t="s">
        <v>47426</v>
      </c>
    </row>
    <row r="2293" spans="1:24">
      <c r="A2293">
        <f>HYPERLINK("https://www.philgeps.gov.ph/GEPSNONPILOT/Tender/SplashBidNoticeAbstractUI.aspx?menuIndex=3&amp;refID=7167582&amp;Result=3","7167582")</f>
        <v>0</v>
      </c>
      <c r="B2293" t="s">
        <v>510</v>
      </c>
      <c r="C2293" t="s">
        <v>6091</v>
      </c>
      <c r="D2293" t="s">
        <v>19093</v>
      </c>
      <c r="E2293" t="s">
        <v>20847</v>
      </c>
      <c r="F2293" t="s">
        <v>32831</v>
      </c>
      <c r="G2293" t="s">
        <v>32842</v>
      </c>
      <c r="H2293" t="s">
        <v>32848</v>
      </c>
      <c r="I2293" t="s">
        <v>9577</v>
      </c>
      <c r="J2293" t="s">
        <v>34566</v>
      </c>
      <c r="K2293" t="s">
        <v>42748</v>
      </c>
      <c r="M2293" t="s">
        <v>43515</v>
      </c>
      <c r="N2293" t="s">
        <v>47424</v>
      </c>
      <c r="O2293" t="s">
        <v>47425</v>
      </c>
      <c r="P2293">
        <v>0</v>
      </c>
      <c r="Q2293">
        <v>0</v>
      </c>
      <c r="R2293" t="s">
        <v>47429</v>
      </c>
      <c r="S2293" t="s">
        <v>47542</v>
      </c>
      <c r="T2293" t="s">
        <v>49129</v>
      </c>
      <c r="U2293" t="s">
        <v>51638</v>
      </c>
      <c r="W2293" t="s">
        <v>43515</v>
      </c>
      <c r="X2293" t="s">
        <v>47426</v>
      </c>
    </row>
    <row r="2294" spans="1:24">
      <c r="A2294">
        <f>HYPERLINK("https://www.philgeps.gov.ph/GEPSNONPILOT/Tender/SplashBidNoticeAbstractUI.aspx?menuIndex=3&amp;refID=7167580&amp;Result=3","7167580")</f>
        <v>0</v>
      </c>
      <c r="B2294" t="s">
        <v>1014</v>
      </c>
      <c r="C2294" t="s">
        <v>6092</v>
      </c>
      <c r="D2294" t="s">
        <v>19100</v>
      </c>
      <c r="E2294" t="s">
        <v>21195</v>
      </c>
      <c r="F2294" t="s">
        <v>32831</v>
      </c>
      <c r="G2294" t="s">
        <v>32839</v>
      </c>
      <c r="H2294" t="s">
        <v>32849</v>
      </c>
      <c r="I2294" t="s">
        <v>4177</v>
      </c>
      <c r="J2294" t="s">
        <v>34567</v>
      </c>
      <c r="K2294" t="s">
        <v>42729</v>
      </c>
      <c r="M2294" t="s">
        <v>44063</v>
      </c>
      <c r="N2294" t="s">
        <v>47424</v>
      </c>
      <c r="O2294" t="s">
        <v>47425</v>
      </c>
      <c r="P2294">
        <v>0</v>
      </c>
      <c r="Q2294">
        <v>0</v>
      </c>
      <c r="R2294" t="s">
        <v>47429</v>
      </c>
      <c r="S2294" t="s">
        <v>47542</v>
      </c>
      <c r="T2294" t="s">
        <v>49188</v>
      </c>
      <c r="U2294" t="s">
        <v>51605</v>
      </c>
      <c r="W2294" t="s">
        <v>44063</v>
      </c>
      <c r="X2294" t="s">
        <v>47426</v>
      </c>
    </row>
    <row r="2295" spans="1:24">
      <c r="A2295">
        <f>HYPERLINK("https://www.philgeps.gov.ph/GEPSNONPILOT/Tender/SplashBidNoticeAbstractUI.aspx?menuIndex=3&amp;refID=7167568&amp;Result=3","7167568")</f>
        <v>0</v>
      </c>
      <c r="B2295" t="s">
        <v>1016</v>
      </c>
      <c r="C2295" t="s">
        <v>6093</v>
      </c>
      <c r="D2295" t="s">
        <v>19062</v>
      </c>
      <c r="E2295" t="s">
        <v>21196</v>
      </c>
      <c r="F2295" t="s">
        <v>32831</v>
      </c>
      <c r="G2295" t="s">
        <v>32839</v>
      </c>
      <c r="H2295" t="s">
        <v>32848</v>
      </c>
      <c r="I2295" t="s">
        <v>4776</v>
      </c>
      <c r="J2295" t="s">
        <v>34568</v>
      </c>
      <c r="K2295" t="s">
        <v>42727</v>
      </c>
      <c r="M2295" t="s">
        <v>44066</v>
      </c>
      <c r="N2295" t="s">
        <v>47424</v>
      </c>
      <c r="O2295" t="s">
        <v>47425</v>
      </c>
      <c r="P2295">
        <v>0</v>
      </c>
      <c r="Q2295">
        <v>0</v>
      </c>
      <c r="R2295" t="s">
        <v>47429</v>
      </c>
      <c r="S2295" t="s">
        <v>47542</v>
      </c>
      <c r="T2295" t="s">
        <v>49242</v>
      </c>
      <c r="U2295" t="s">
        <v>51639</v>
      </c>
      <c r="V2295" t="s">
        <v>62865</v>
      </c>
      <c r="W2295" t="s">
        <v>44066</v>
      </c>
      <c r="X2295" t="s">
        <v>47426</v>
      </c>
    </row>
    <row r="2296" spans="1:24">
      <c r="A2296">
        <f>HYPERLINK("https://www.philgeps.gov.ph/GEPSNONPILOT/Tender/SplashBidNoticeAbstractUI.aspx?menuIndex=3&amp;refID=7167567&amp;Result=3","7167567")</f>
        <v>0</v>
      </c>
      <c r="B2296" t="s">
        <v>1011</v>
      </c>
      <c r="C2296" t="s">
        <v>6094</v>
      </c>
      <c r="D2296" t="s">
        <v>19017</v>
      </c>
      <c r="E2296" t="s">
        <v>21197</v>
      </c>
      <c r="F2296" t="s">
        <v>32831</v>
      </c>
      <c r="G2296" t="s">
        <v>32840</v>
      </c>
      <c r="H2296" t="s">
        <v>32848</v>
      </c>
      <c r="I2296" t="s">
        <v>10805</v>
      </c>
      <c r="J2296" t="s">
        <v>33041</v>
      </c>
      <c r="K2296" t="s">
        <v>42730</v>
      </c>
      <c r="M2296" t="s">
        <v>44060</v>
      </c>
      <c r="N2296" t="s">
        <v>47424</v>
      </c>
      <c r="O2296" t="s">
        <v>47425</v>
      </c>
      <c r="P2296">
        <v>0</v>
      </c>
      <c r="Q2296">
        <v>0</v>
      </c>
      <c r="R2296" t="s">
        <v>47429</v>
      </c>
      <c r="S2296" t="s">
        <v>47542</v>
      </c>
      <c r="T2296" t="s">
        <v>49119</v>
      </c>
      <c r="U2296" t="s">
        <v>51640</v>
      </c>
      <c r="W2296" t="s">
        <v>44060</v>
      </c>
      <c r="X2296" t="s">
        <v>47426</v>
      </c>
    </row>
    <row r="2297" spans="1:24">
      <c r="A2297">
        <f>HYPERLINK("https://www.philgeps.gov.ph/GEPSNONPILOT/Tender/SplashBidNoticeAbstractUI.aspx?menuIndex=3&amp;refID=7167565&amp;Result=3","7167565")</f>
        <v>0</v>
      </c>
      <c r="B2297" t="s">
        <v>1014</v>
      </c>
      <c r="C2297" t="s">
        <v>6095</v>
      </c>
      <c r="D2297" t="s">
        <v>19100</v>
      </c>
      <c r="E2297" t="s">
        <v>21198</v>
      </c>
      <c r="F2297" t="s">
        <v>32831</v>
      </c>
      <c r="G2297" t="s">
        <v>32839</v>
      </c>
      <c r="H2297" t="s">
        <v>32849</v>
      </c>
      <c r="I2297" t="s">
        <v>4177</v>
      </c>
      <c r="J2297" t="s">
        <v>34569</v>
      </c>
      <c r="K2297" t="s">
        <v>42821</v>
      </c>
      <c r="M2297" t="s">
        <v>44063</v>
      </c>
      <c r="N2297" t="s">
        <v>47424</v>
      </c>
      <c r="O2297" t="s">
        <v>47425</v>
      </c>
      <c r="P2297">
        <v>0</v>
      </c>
      <c r="Q2297">
        <v>0</v>
      </c>
      <c r="R2297" t="s">
        <v>47429</v>
      </c>
      <c r="S2297" t="s">
        <v>47542</v>
      </c>
      <c r="T2297" t="s">
        <v>49188</v>
      </c>
      <c r="U2297" t="s">
        <v>51605</v>
      </c>
      <c r="W2297" t="s">
        <v>44063</v>
      </c>
      <c r="X2297" t="s">
        <v>47426</v>
      </c>
    </row>
    <row r="2298" spans="1:24">
      <c r="A2298">
        <f>HYPERLINK("https://www.philgeps.gov.ph/GEPSNONPILOT/Tender/SplashBidNoticeAbstractUI.aspx?menuIndex=3&amp;refID=7167564&amp;Result=3","7167564")</f>
        <v>0</v>
      </c>
      <c r="B2298" t="s">
        <v>851</v>
      </c>
      <c r="C2298" t="s">
        <v>6096</v>
      </c>
      <c r="D2298" t="s">
        <v>19017</v>
      </c>
      <c r="E2298" t="s">
        <v>21199</v>
      </c>
      <c r="F2298" t="s">
        <v>32831</v>
      </c>
      <c r="G2298" t="s">
        <v>32838</v>
      </c>
      <c r="H2298" t="s">
        <v>32848</v>
      </c>
      <c r="I2298" t="s">
        <v>32859</v>
      </c>
      <c r="J2298" t="s">
        <v>34082</v>
      </c>
      <c r="K2298" t="s">
        <v>42726</v>
      </c>
      <c r="M2298" t="s">
        <v>43884</v>
      </c>
      <c r="N2298" t="s">
        <v>47424</v>
      </c>
      <c r="O2298" t="s">
        <v>47425</v>
      </c>
      <c r="P2298">
        <v>0</v>
      </c>
      <c r="Q2298">
        <v>0</v>
      </c>
      <c r="R2298" t="s">
        <v>47429</v>
      </c>
      <c r="S2298" t="s">
        <v>47542</v>
      </c>
      <c r="T2298" t="s">
        <v>49307</v>
      </c>
      <c r="U2298" t="s">
        <v>51641</v>
      </c>
      <c r="W2298" t="s">
        <v>43884</v>
      </c>
      <c r="X2298" t="s">
        <v>47426</v>
      </c>
    </row>
    <row r="2299" spans="1:24">
      <c r="A2299">
        <f>HYPERLINK("https://www.philgeps.gov.ph/GEPSNONPILOT/Tender/SplashBidNoticeAbstractUI.aspx?menuIndex=3&amp;refID=7167571&amp;Result=3","7167571")</f>
        <v>0</v>
      </c>
      <c r="B2299" t="s">
        <v>1024</v>
      </c>
      <c r="C2299" t="s">
        <v>6097</v>
      </c>
      <c r="D2299" t="s">
        <v>19017</v>
      </c>
      <c r="E2299" t="s">
        <v>21200</v>
      </c>
      <c r="F2299" t="s">
        <v>32831</v>
      </c>
      <c r="G2299" t="s">
        <v>32838</v>
      </c>
      <c r="H2299" t="s">
        <v>32848</v>
      </c>
      <c r="I2299" t="s">
        <v>32861</v>
      </c>
      <c r="J2299" t="s">
        <v>34570</v>
      </c>
      <c r="K2299" t="s">
        <v>42730</v>
      </c>
      <c r="M2299" t="s">
        <v>44074</v>
      </c>
      <c r="N2299" t="s">
        <v>47424</v>
      </c>
      <c r="O2299" t="s">
        <v>47425</v>
      </c>
      <c r="P2299">
        <v>0</v>
      </c>
      <c r="Q2299">
        <v>0</v>
      </c>
      <c r="R2299" t="s">
        <v>47429</v>
      </c>
      <c r="S2299" t="s">
        <v>47542</v>
      </c>
      <c r="T2299" t="s">
        <v>49073</v>
      </c>
      <c r="U2299" t="s">
        <v>51642</v>
      </c>
      <c r="W2299" t="s">
        <v>44074</v>
      </c>
      <c r="X2299" t="s">
        <v>47426</v>
      </c>
    </row>
    <row r="2300" spans="1:24">
      <c r="A2300">
        <f>HYPERLINK("https://www.philgeps.gov.ph/GEPSNONPILOT/Tender/SplashBidNoticeAbstractUI.aspx?menuIndex=3&amp;refID=7167570&amp;Result=3","7167570")</f>
        <v>0</v>
      </c>
      <c r="B2300" t="s">
        <v>1011</v>
      </c>
      <c r="C2300" t="s">
        <v>6098</v>
      </c>
      <c r="D2300" t="s">
        <v>19017</v>
      </c>
      <c r="E2300" t="s">
        <v>21201</v>
      </c>
      <c r="F2300" t="s">
        <v>32831</v>
      </c>
      <c r="G2300" t="s">
        <v>32840</v>
      </c>
      <c r="H2300" t="s">
        <v>32848</v>
      </c>
      <c r="I2300" t="s">
        <v>32860</v>
      </c>
      <c r="J2300" t="s">
        <v>34571</v>
      </c>
      <c r="K2300" t="s">
        <v>42730</v>
      </c>
      <c r="M2300" t="s">
        <v>44060</v>
      </c>
      <c r="N2300" t="s">
        <v>47424</v>
      </c>
      <c r="O2300" t="s">
        <v>47425</v>
      </c>
      <c r="P2300">
        <v>0</v>
      </c>
      <c r="Q2300">
        <v>0</v>
      </c>
      <c r="R2300" t="s">
        <v>47429</v>
      </c>
      <c r="S2300" t="s">
        <v>47542</v>
      </c>
      <c r="T2300" t="s">
        <v>49129</v>
      </c>
      <c r="U2300" t="s">
        <v>51643</v>
      </c>
      <c r="W2300" t="s">
        <v>44060</v>
      </c>
      <c r="X2300" t="s">
        <v>47426</v>
      </c>
    </row>
    <row r="2301" spans="1:24">
      <c r="A2301">
        <f>HYPERLINK("https://www.philgeps.gov.ph/GEPSNONPILOT/Tender/SplashBidNoticeAbstractUI.aspx?menuIndex=3&amp;refID=7167378&amp;Result=3","7167378")</f>
        <v>0</v>
      </c>
      <c r="B2301" t="s">
        <v>938</v>
      </c>
      <c r="C2301" t="s">
        <v>6099</v>
      </c>
      <c r="D2301" t="s">
        <v>19023</v>
      </c>
      <c r="E2301" t="s">
        <v>21202</v>
      </c>
      <c r="F2301" t="s">
        <v>32831</v>
      </c>
      <c r="G2301" t="s">
        <v>32838</v>
      </c>
      <c r="H2301" t="s">
        <v>32848</v>
      </c>
      <c r="I2301" t="s">
        <v>4438</v>
      </c>
      <c r="J2301" t="s">
        <v>34572</v>
      </c>
      <c r="K2301" t="s">
        <v>42748</v>
      </c>
      <c r="M2301" t="s">
        <v>43980</v>
      </c>
      <c r="N2301" t="s">
        <v>47424</v>
      </c>
      <c r="O2301" t="s">
        <v>47425</v>
      </c>
      <c r="P2301">
        <v>0</v>
      </c>
      <c r="Q2301">
        <v>1</v>
      </c>
      <c r="R2301" t="s">
        <v>47429</v>
      </c>
      <c r="S2301" t="s">
        <v>47542</v>
      </c>
      <c r="T2301" t="s">
        <v>49089</v>
      </c>
      <c r="U2301" t="s">
        <v>51644</v>
      </c>
      <c r="W2301" t="s">
        <v>43980</v>
      </c>
      <c r="X2301" t="s">
        <v>47426</v>
      </c>
    </row>
    <row r="2302" spans="1:24">
      <c r="A2302">
        <f>HYPERLINK("https://www.philgeps.gov.ph/GEPSNONPILOT/Tender/SplashBidNoticeAbstractUI.aspx?menuIndex=3&amp;refID=7167377&amp;Result=3","7167377")</f>
        <v>0</v>
      </c>
      <c r="B2302" t="s">
        <v>1025</v>
      </c>
      <c r="C2302" t="s">
        <v>6100</v>
      </c>
      <c r="D2302" t="s">
        <v>19031</v>
      </c>
      <c r="E2302" t="s">
        <v>21203</v>
      </c>
      <c r="F2302" t="s">
        <v>32831</v>
      </c>
      <c r="G2302" t="s">
        <v>32838</v>
      </c>
      <c r="H2302" t="s">
        <v>32849</v>
      </c>
      <c r="I2302" t="s">
        <v>32943</v>
      </c>
      <c r="J2302" t="s">
        <v>33067</v>
      </c>
      <c r="K2302" t="s">
        <v>42730</v>
      </c>
      <c r="M2302" t="s">
        <v>44075</v>
      </c>
      <c r="N2302" t="s">
        <v>47424</v>
      </c>
      <c r="O2302" t="s">
        <v>47425</v>
      </c>
      <c r="P2302">
        <v>0</v>
      </c>
      <c r="Q2302">
        <v>0</v>
      </c>
      <c r="R2302" t="s">
        <v>47429</v>
      </c>
      <c r="S2302" t="s">
        <v>47542</v>
      </c>
      <c r="T2302" t="s">
        <v>49080</v>
      </c>
      <c r="U2302" t="s">
        <v>51645</v>
      </c>
      <c r="W2302" t="s">
        <v>44075</v>
      </c>
      <c r="X2302" t="s">
        <v>47426</v>
      </c>
    </row>
    <row r="2303" spans="1:24">
      <c r="A2303">
        <f>HYPERLINK("https://www.philgeps.gov.ph/GEPSNONPILOT/Tender/SplashBidNoticeAbstractUI.aspx?menuIndex=3&amp;refID=7167375&amp;Result=3","7167375")</f>
        <v>0</v>
      </c>
      <c r="B2303" t="s">
        <v>1026</v>
      </c>
      <c r="C2303" t="s">
        <v>6101</v>
      </c>
      <c r="D2303" t="s">
        <v>19062</v>
      </c>
      <c r="E2303" t="s">
        <v>21204</v>
      </c>
      <c r="F2303" t="s">
        <v>32831</v>
      </c>
      <c r="G2303" t="s">
        <v>32839</v>
      </c>
      <c r="H2303" t="s">
        <v>32848</v>
      </c>
      <c r="I2303" t="s">
        <v>4776</v>
      </c>
      <c r="J2303" t="s">
        <v>33055</v>
      </c>
      <c r="K2303" t="s">
        <v>42747</v>
      </c>
      <c r="M2303" t="s">
        <v>44076</v>
      </c>
      <c r="N2303" t="s">
        <v>47424</v>
      </c>
      <c r="O2303" t="s">
        <v>47425</v>
      </c>
      <c r="P2303">
        <v>0</v>
      </c>
      <c r="Q2303">
        <v>0</v>
      </c>
      <c r="R2303" t="s">
        <v>47429</v>
      </c>
      <c r="S2303" t="s">
        <v>47542</v>
      </c>
      <c r="T2303" t="s">
        <v>49202</v>
      </c>
      <c r="U2303" t="s">
        <v>51646</v>
      </c>
      <c r="W2303" t="s">
        <v>44076</v>
      </c>
      <c r="X2303" t="s">
        <v>47426</v>
      </c>
    </row>
    <row r="2304" spans="1:24">
      <c r="A2304">
        <f>HYPERLINK("https://www.philgeps.gov.ph/GEPSNONPILOT/Tender/SplashBidNoticeAbstractUI.aspx?menuIndex=3&amp;refID=7167573&amp;Result=3","7167573")</f>
        <v>0</v>
      </c>
      <c r="B2304" t="s">
        <v>1016</v>
      </c>
      <c r="C2304" t="s">
        <v>6102</v>
      </c>
      <c r="D2304" t="s">
        <v>19062</v>
      </c>
      <c r="E2304" t="s">
        <v>21205</v>
      </c>
      <c r="F2304" t="s">
        <v>32831</v>
      </c>
      <c r="G2304" t="s">
        <v>32839</v>
      </c>
      <c r="H2304" t="s">
        <v>32848</v>
      </c>
      <c r="I2304" t="s">
        <v>7416</v>
      </c>
      <c r="J2304" t="s">
        <v>34573</v>
      </c>
      <c r="K2304" t="s">
        <v>42727</v>
      </c>
      <c r="M2304" t="s">
        <v>44066</v>
      </c>
      <c r="N2304" t="s">
        <v>47424</v>
      </c>
      <c r="O2304" t="s">
        <v>47425</v>
      </c>
      <c r="P2304">
        <v>0</v>
      </c>
      <c r="Q2304">
        <v>0</v>
      </c>
      <c r="R2304" t="s">
        <v>47429</v>
      </c>
      <c r="S2304" t="s">
        <v>47542</v>
      </c>
      <c r="T2304" t="s">
        <v>49242</v>
      </c>
      <c r="U2304" t="s">
        <v>51647</v>
      </c>
      <c r="V2304" t="s">
        <v>62865</v>
      </c>
      <c r="W2304" t="s">
        <v>44066</v>
      </c>
      <c r="X2304" t="s">
        <v>47426</v>
      </c>
    </row>
    <row r="2305" spans="1:24">
      <c r="A2305">
        <f>HYPERLINK("https://www.philgeps.gov.ph/GEPSNONPILOT/Tender/SplashBidNoticeAbstractUI.aspx?menuIndex=3&amp;refID=7167562&amp;Result=3","7167562")</f>
        <v>0</v>
      </c>
      <c r="B2305" t="s">
        <v>1007</v>
      </c>
      <c r="C2305" t="s">
        <v>6103</v>
      </c>
      <c r="E2305" t="s">
        <v>21206</v>
      </c>
      <c r="F2305" t="s">
        <v>32831</v>
      </c>
      <c r="G2305" t="s">
        <v>32838</v>
      </c>
      <c r="H2305" t="s">
        <v>32848</v>
      </c>
      <c r="I2305" t="s">
        <v>32874</v>
      </c>
      <c r="J2305" t="s">
        <v>33509</v>
      </c>
      <c r="K2305" t="s">
        <v>42732</v>
      </c>
      <c r="M2305" t="s">
        <v>44056</v>
      </c>
      <c r="N2305" t="s">
        <v>47424</v>
      </c>
      <c r="O2305" t="s">
        <v>47425</v>
      </c>
      <c r="P2305">
        <v>0</v>
      </c>
      <c r="Q2305">
        <v>0</v>
      </c>
      <c r="R2305" t="s">
        <v>47429</v>
      </c>
      <c r="S2305" t="s">
        <v>47542</v>
      </c>
      <c r="T2305" t="s">
        <v>49170</v>
      </c>
      <c r="U2305" t="s">
        <v>51592</v>
      </c>
      <c r="W2305" t="s">
        <v>44056</v>
      </c>
      <c r="X2305" t="s">
        <v>47426</v>
      </c>
    </row>
    <row r="2306" spans="1:24">
      <c r="A2306">
        <f>HYPERLINK("https://www.philgeps.gov.ph/GEPSNONPILOT/Tender/SplashBidNoticeAbstractUI.aspx?menuIndex=3&amp;refID=7167323&amp;Result=3","7167323")</f>
        <v>0</v>
      </c>
      <c r="B2306" t="s">
        <v>976</v>
      </c>
      <c r="C2306" t="s">
        <v>6104</v>
      </c>
      <c r="E2306" t="s">
        <v>21207</v>
      </c>
      <c r="F2306" t="s">
        <v>32831</v>
      </c>
      <c r="G2306" t="s">
        <v>32839</v>
      </c>
      <c r="H2306" t="s">
        <v>32848</v>
      </c>
      <c r="I2306" t="s">
        <v>7416</v>
      </c>
      <c r="J2306" t="s">
        <v>34574</v>
      </c>
      <c r="K2306" t="s">
        <v>42732</v>
      </c>
      <c r="M2306" t="s">
        <v>44025</v>
      </c>
      <c r="N2306" t="s">
        <v>47424</v>
      </c>
      <c r="O2306" t="s">
        <v>47425</v>
      </c>
      <c r="P2306">
        <v>0</v>
      </c>
      <c r="Q2306">
        <v>0</v>
      </c>
      <c r="R2306" t="s">
        <v>47429</v>
      </c>
      <c r="S2306" t="s">
        <v>47542</v>
      </c>
      <c r="T2306" t="s">
        <v>49151</v>
      </c>
      <c r="U2306" t="s">
        <v>51648</v>
      </c>
      <c r="W2306" t="s">
        <v>44025</v>
      </c>
      <c r="X2306" t="s">
        <v>47426</v>
      </c>
    </row>
    <row r="2307" spans="1:24">
      <c r="A2307">
        <f>HYPERLINK("https://www.philgeps.gov.ph/GEPSNONPILOT/Tender/SplashBidNoticeAbstractUI.aspx?menuIndex=3&amp;refID=7167569&amp;Result=3","7167569")</f>
        <v>0</v>
      </c>
      <c r="B2307" t="s">
        <v>1007</v>
      </c>
      <c r="C2307" t="s">
        <v>6105</v>
      </c>
      <c r="E2307" t="s">
        <v>21208</v>
      </c>
      <c r="F2307" t="s">
        <v>32831</v>
      </c>
      <c r="G2307" t="s">
        <v>32838</v>
      </c>
      <c r="H2307" t="s">
        <v>32848</v>
      </c>
      <c r="I2307" t="s">
        <v>32874</v>
      </c>
      <c r="J2307" t="s">
        <v>34575</v>
      </c>
      <c r="K2307" t="s">
        <v>42732</v>
      </c>
      <c r="M2307" t="s">
        <v>44056</v>
      </c>
      <c r="N2307" t="s">
        <v>47424</v>
      </c>
      <c r="O2307" t="s">
        <v>47425</v>
      </c>
      <c r="P2307">
        <v>0</v>
      </c>
      <c r="Q2307">
        <v>0</v>
      </c>
      <c r="R2307" t="s">
        <v>47429</v>
      </c>
      <c r="S2307" t="s">
        <v>47542</v>
      </c>
      <c r="T2307" t="s">
        <v>49170</v>
      </c>
      <c r="U2307" t="s">
        <v>51592</v>
      </c>
      <c r="W2307" t="s">
        <v>44056</v>
      </c>
      <c r="X2307" t="s">
        <v>47426</v>
      </c>
    </row>
    <row r="2308" spans="1:24">
      <c r="A2308">
        <f>HYPERLINK("https://www.philgeps.gov.ph/GEPSNONPILOT/Tender/SplashBidNoticeAbstractUI.aspx?menuIndex=3&amp;refID=7167322&amp;Result=3","7167322")</f>
        <v>0</v>
      </c>
      <c r="B2308" t="s">
        <v>938</v>
      </c>
      <c r="C2308" t="s">
        <v>6106</v>
      </c>
      <c r="D2308" t="s">
        <v>19023</v>
      </c>
      <c r="E2308" t="s">
        <v>21209</v>
      </c>
      <c r="F2308" t="s">
        <v>32831</v>
      </c>
      <c r="G2308" t="s">
        <v>32838</v>
      </c>
      <c r="H2308" t="s">
        <v>32848</v>
      </c>
      <c r="I2308" t="s">
        <v>32857</v>
      </c>
      <c r="J2308" t="s">
        <v>33657</v>
      </c>
      <c r="K2308" t="s">
        <v>42758</v>
      </c>
      <c r="M2308" t="s">
        <v>43980</v>
      </c>
      <c r="N2308" t="s">
        <v>47424</v>
      </c>
      <c r="O2308" t="s">
        <v>47425</v>
      </c>
      <c r="P2308">
        <v>0</v>
      </c>
      <c r="Q2308">
        <v>0</v>
      </c>
      <c r="R2308" t="s">
        <v>47429</v>
      </c>
      <c r="S2308" t="s">
        <v>47542</v>
      </c>
      <c r="T2308" t="s">
        <v>49089</v>
      </c>
      <c r="U2308" t="s">
        <v>51649</v>
      </c>
      <c r="W2308" t="s">
        <v>43980</v>
      </c>
      <c r="X2308" t="s">
        <v>47426</v>
      </c>
    </row>
    <row r="2309" spans="1:24">
      <c r="A2309">
        <f>HYPERLINK("https://www.philgeps.gov.ph/GEPSNONPILOT/Tender/SplashBidNoticeAbstractUI.aspx?menuIndex=3&amp;refID=7167379&amp;Result=3","7167379")</f>
        <v>0</v>
      </c>
      <c r="B2309" t="s">
        <v>324</v>
      </c>
      <c r="C2309" t="s">
        <v>6107</v>
      </c>
      <c r="D2309" t="s">
        <v>19049</v>
      </c>
      <c r="E2309" t="s">
        <v>21210</v>
      </c>
      <c r="F2309" t="s">
        <v>32831</v>
      </c>
      <c r="G2309" t="s">
        <v>32838</v>
      </c>
      <c r="H2309" t="s">
        <v>32848</v>
      </c>
      <c r="I2309" t="s">
        <v>32883</v>
      </c>
      <c r="J2309" t="s">
        <v>34576</v>
      </c>
      <c r="K2309" t="s">
        <v>42747</v>
      </c>
      <c r="M2309" t="s">
        <v>43940</v>
      </c>
      <c r="N2309" t="s">
        <v>47424</v>
      </c>
      <c r="O2309" t="s">
        <v>47425</v>
      </c>
      <c r="P2309">
        <v>0</v>
      </c>
      <c r="Q2309">
        <v>0</v>
      </c>
      <c r="R2309" t="s">
        <v>47429</v>
      </c>
      <c r="S2309" t="s">
        <v>47542</v>
      </c>
      <c r="T2309" t="s">
        <v>49171</v>
      </c>
      <c r="U2309" t="s">
        <v>51650</v>
      </c>
      <c r="W2309" t="s">
        <v>43940</v>
      </c>
      <c r="X2309" t="s">
        <v>47426</v>
      </c>
    </row>
    <row r="2310" spans="1:24">
      <c r="A2310">
        <f>HYPERLINK("https://www.philgeps.gov.ph/GEPSNONPILOT/Tender/SplashBidNoticeAbstractUI.aspx?menuIndex=3&amp;refID=7167608&amp;Result=3","7167608")</f>
        <v>0</v>
      </c>
      <c r="B2310" t="s">
        <v>1027</v>
      </c>
      <c r="C2310" t="s">
        <v>6108</v>
      </c>
      <c r="D2310" t="s">
        <v>19038</v>
      </c>
      <c r="E2310" t="s">
        <v>21211</v>
      </c>
      <c r="F2310" t="s">
        <v>32831</v>
      </c>
      <c r="G2310" t="s">
        <v>32841</v>
      </c>
      <c r="H2310" t="s">
        <v>32848</v>
      </c>
      <c r="I2310" t="s">
        <v>4471</v>
      </c>
      <c r="J2310" t="s">
        <v>33836</v>
      </c>
      <c r="K2310" t="s">
        <v>42732</v>
      </c>
      <c r="M2310" t="s">
        <v>44077</v>
      </c>
      <c r="N2310" t="s">
        <v>47424</v>
      </c>
      <c r="O2310" t="s">
        <v>47425</v>
      </c>
      <c r="P2310">
        <v>0</v>
      </c>
      <c r="Q2310">
        <v>0</v>
      </c>
      <c r="R2310" t="s">
        <v>47429</v>
      </c>
      <c r="S2310" t="s">
        <v>47542</v>
      </c>
      <c r="T2310" t="s">
        <v>49119</v>
      </c>
      <c r="U2310" t="s">
        <v>50909</v>
      </c>
      <c r="W2310" t="s">
        <v>44077</v>
      </c>
      <c r="X2310" t="s">
        <v>47426</v>
      </c>
    </row>
    <row r="2311" spans="1:24">
      <c r="A2311">
        <f>HYPERLINK("https://www.philgeps.gov.ph/GEPSNONPILOT/Tender/SplashBidNoticeAbstractUI.aspx?menuIndex=3&amp;refID=7167376&amp;Result=3","7167376")</f>
        <v>0</v>
      </c>
      <c r="B2311" t="s">
        <v>966</v>
      </c>
      <c r="C2311" t="s">
        <v>6109</v>
      </c>
      <c r="D2311" t="s">
        <v>19033</v>
      </c>
      <c r="E2311" t="s">
        <v>21212</v>
      </c>
      <c r="F2311" t="s">
        <v>32831</v>
      </c>
      <c r="G2311" t="s">
        <v>32839</v>
      </c>
      <c r="H2311" t="s">
        <v>14069</v>
      </c>
      <c r="I2311" t="s">
        <v>4177</v>
      </c>
      <c r="J2311" t="s">
        <v>33083</v>
      </c>
      <c r="K2311" t="s">
        <v>42729</v>
      </c>
      <c r="M2311" t="s">
        <v>44012</v>
      </c>
      <c r="N2311" t="s">
        <v>47424</v>
      </c>
      <c r="O2311" t="s">
        <v>47425</v>
      </c>
      <c r="P2311">
        <v>0</v>
      </c>
      <c r="Q2311">
        <v>0</v>
      </c>
      <c r="R2311" t="s">
        <v>47429</v>
      </c>
      <c r="S2311" t="s">
        <v>47542</v>
      </c>
      <c r="T2311" t="s">
        <v>49202</v>
      </c>
      <c r="U2311" t="s">
        <v>51651</v>
      </c>
      <c r="W2311" t="s">
        <v>44012</v>
      </c>
      <c r="X2311" t="s">
        <v>47426</v>
      </c>
    </row>
    <row r="2312" spans="1:24">
      <c r="A2312">
        <f>HYPERLINK("https://www.philgeps.gov.ph/GEPSNONPILOT/Tender/SplashBidNoticeAbstractUI.aspx?menuIndex=3&amp;refID=7167607&amp;Result=3","7167607")</f>
        <v>0</v>
      </c>
      <c r="B2312" t="s">
        <v>67</v>
      </c>
      <c r="C2312" t="s">
        <v>6110</v>
      </c>
      <c r="D2312" t="s">
        <v>19099</v>
      </c>
      <c r="E2312" t="s">
        <v>21213</v>
      </c>
      <c r="F2312" t="s">
        <v>32831</v>
      </c>
      <c r="G2312" t="s">
        <v>32840</v>
      </c>
      <c r="H2312" t="s">
        <v>32848</v>
      </c>
      <c r="I2312" t="s">
        <v>4438</v>
      </c>
      <c r="J2312" t="s">
        <v>33709</v>
      </c>
      <c r="K2312" t="s">
        <v>42747</v>
      </c>
      <c r="M2312" t="s">
        <v>43749</v>
      </c>
      <c r="N2312" t="s">
        <v>47424</v>
      </c>
      <c r="O2312" t="s">
        <v>47425</v>
      </c>
      <c r="P2312">
        <v>0</v>
      </c>
      <c r="Q2312">
        <v>0</v>
      </c>
      <c r="R2312" t="s">
        <v>47429</v>
      </c>
      <c r="S2312" t="s">
        <v>47542</v>
      </c>
      <c r="T2312" t="s">
        <v>49092</v>
      </c>
      <c r="U2312" t="s">
        <v>51013</v>
      </c>
      <c r="W2312" t="s">
        <v>64446</v>
      </c>
      <c r="X2312" t="s">
        <v>47426</v>
      </c>
    </row>
    <row r="2313" spans="1:24">
      <c r="A2313">
        <f>HYPERLINK("https://www.philgeps.gov.ph/GEPSNONPILOT/Tender/SplashBidNoticeAbstractUI.aspx?menuIndex=3&amp;refID=7167326&amp;Result=3","7167326")</f>
        <v>0</v>
      </c>
      <c r="B2313" t="s">
        <v>868</v>
      </c>
      <c r="C2313" t="s">
        <v>6111</v>
      </c>
      <c r="D2313" t="s">
        <v>19073</v>
      </c>
      <c r="E2313" t="s">
        <v>21214</v>
      </c>
      <c r="F2313" t="s">
        <v>32831</v>
      </c>
      <c r="G2313" t="s">
        <v>32838</v>
      </c>
      <c r="H2313" t="s">
        <v>32848</v>
      </c>
      <c r="I2313" t="s">
        <v>32923</v>
      </c>
      <c r="J2313" t="s">
        <v>32985</v>
      </c>
      <c r="K2313" t="s">
        <v>42726</v>
      </c>
      <c r="M2313" t="s">
        <v>44078</v>
      </c>
      <c r="N2313" t="s">
        <v>47424</v>
      </c>
      <c r="O2313" t="s">
        <v>47425</v>
      </c>
      <c r="P2313">
        <v>0</v>
      </c>
      <c r="Q2313">
        <v>0</v>
      </c>
      <c r="R2313" t="s">
        <v>47429</v>
      </c>
      <c r="S2313" t="s">
        <v>47542</v>
      </c>
      <c r="T2313" t="s">
        <v>49089</v>
      </c>
      <c r="U2313" t="s">
        <v>51652</v>
      </c>
      <c r="W2313" t="s">
        <v>44078</v>
      </c>
      <c r="X2313" t="s">
        <v>47426</v>
      </c>
    </row>
    <row r="2314" spans="1:24">
      <c r="A2314">
        <f>HYPERLINK("https://www.philgeps.gov.ph/GEPSNONPILOT/Tender/SplashBidNoticeAbstractUI.aspx?menuIndex=3&amp;refID=7167543&amp;Result=3","7167543")</f>
        <v>0</v>
      </c>
      <c r="B2314" t="s">
        <v>1015</v>
      </c>
      <c r="C2314" t="s">
        <v>6112</v>
      </c>
      <c r="D2314" t="s">
        <v>19017</v>
      </c>
      <c r="E2314" t="s">
        <v>21215</v>
      </c>
      <c r="F2314" t="s">
        <v>32831</v>
      </c>
      <c r="G2314" t="s">
        <v>32839</v>
      </c>
      <c r="H2314" t="s">
        <v>32848</v>
      </c>
      <c r="I2314" t="s">
        <v>32857</v>
      </c>
      <c r="J2314" t="s">
        <v>32985</v>
      </c>
      <c r="K2314" t="s">
        <v>42731</v>
      </c>
      <c r="M2314" t="s">
        <v>44065</v>
      </c>
      <c r="N2314" t="s">
        <v>47424</v>
      </c>
      <c r="O2314" t="s">
        <v>47425</v>
      </c>
      <c r="P2314">
        <v>0</v>
      </c>
      <c r="Q2314">
        <v>0</v>
      </c>
      <c r="R2314" t="s">
        <v>47429</v>
      </c>
      <c r="S2314" t="s">
        <v>47542</v>
      </c>
      <c r="T2314" t="s">
        <v>49069</v>
      </c>
      <c r="U2314" t="s">
        <v>51653</v>
      </c>
      <c r="W2314" t="s">
        <v>44065</v>
      </c>
      <c r="X2314" t="s">
        <v>47426</v>
      </c>
    </row>
    <row r="2315" spans="1:24">
      <c r="A2315">
        <f>HYPERLINK("https://www.philgeps.gov.ph/GEPSNONPILOT/Tender/SplashBidNoticeAbstractUI.aspx?menuIndex=3&amp;refID=7167602&amp;Result=3","7167602")</f>
        <v>0</v>
      </c>
      <c r="B2315" t="s">
        <v>510</v>
      </c>
      <c r="C2315" t="s">
        <v>6113</v>
      </c>
      <c r="D2315" t="s">
        <v>19093</v>
      </c>
      <c r="E2315" t="s">
        <v>21216</v>
      </c>
      <c r="F2315" t="s">
        <v>32831</v>
      </c>
      <c r="G2315" t="s">
        <v>32842</v>
      </c>
      <c r="H2315" t="s">
        <v>32848</v>
      </c>
      <c r="I2315" t="s">
        <v>9577</v>
      </c>
      <c r="J2315" t="s">
        <v>34577</v>
      </c>
      <c r="K2315" t="s">
        <v>42748</v>
      </c>
      <c r="M2315" t="s">
        <v>43515</v>
      </c>
      <c r="N2315" t="s">
        <v>47424</v>
      </c>
      <c r="O2315" t="s">
        <v>47425</v>
      </c>
      <c r="P2315">
        <v>0</v>
      </c>
      <c r="Q2315">
        <v>0</v>
      </c>
      <c r="R2315" t="s">
        <v>47429</v>
      </c>
      <c r="S2315" t="s">
        <v>47542</v>
      </c>
      <c r="T2315" t="s">
        <v>49276</v>
      </c>
      <c r="U2315" t="s">
        <v>51654</v>
      </c>
      <c r="W2315" t="s">
        <v>43515</v>
      </c>
      <c r="X2315" t="s">
        <v>47426</v>
      </c>
    </row>
    <row r="2316" spans="1:24">
      <c r="A2316">
        <f>HYPERLINK("https://www.philgeps.gov.ph/GEPSNONPILOT/Tender/SplashBidNoticeAbstractUI.aspx?menuIndex=3&amp;refID=7167601&amp;Result=3","7167601")</f>
        <v>0</v>
      </c>
      <c r="B2316" t="s">
        <v>345</v>
      </c>
      <c r="C2316" t="s">
        <v>6114</v>
      </c>
      <c r="D2316" t="s">
        <v>19074</v>
      </c>
      <c r="E2316" t="s">
        <v>21217</v>
      </c>
      <c r="F2316" t="s">
        <v>32831</v>
      </c>
      <c r="G2316" t="s">
        <v>32838</v>
      </c>
      <c r="H2316" t="s">
        <v>32850</v>
      </c>
      <c r="I2316" t="s">
        <v>14069</v>
      </c>
      <c r="J2316" t="s">
        <v>33437</v>
      </c>
      <c r="K2316" t="s">
        <v>42731</v>
      </c>
      <c r="M2316" t="s">
        <v>44079</v>
      </c>
      <c r="N2316" t="s">
        <v>47424</v>
      </c>
      <c r="O2316" t="s">
        <v>47425</v>
      </c>
      <c r="P2316">
        <v>0</v>
      </c>
      <c r="Q2316">
        <v>0</v>
      </c>
      <c r="R2316" t="s">
        <v>47429</v>
      </c>
      <c r="S2316" t="s">
        <v>47542</v>
      </c>
      <c r="T2316" t="s">
        <v>49089</v>
      </c>
      <c r="U2316" t="s">
        <v>51655</v>
      </c>
      <c r="W2316" t="s">
        <v>44079</v>
      </c>
      <c r="X2316" t="s">
        <v>47426</v>
      </c>
    </row>
    <row r="2317" spans="1:24">
      <c r="A2317">
        <f>HYPERLINK("https://www.philgeps.gov.ph/GEPSNONPILOT/Tender/SplashBidNoticeAbstractUI.aspx?menuIndex=3&amp;refID=7167600&amp;Result=3","7167600")</f>
        <v>0</v>
      </c>
      <c r="B2317" t="s">
        <v>1013</v>
      </c>
      <c r="C2317" t="s">
        <v>6115</v>
      </c>
      <c r="E2317" t="s">
        <v>21218</v>
      </c>
      <c r="F2317" t="s">
        <v>32831</v>
      </c>
      <c r="G2317" t="s">
        <v>32838</v>
      </c>
      <c r="H2317" t="s">
        <v>32848</v>
      </c>
      <c r="I2317" t="s">
        <v>7878</v>
      </c>
      <c r="J2317" t="s">
        <v>32980</v>
      </c>
      <c r="K2317" t="s">
        <v>42732</v>
      </c>
      <c r="M2317" t="s">
        <v>44062</v>
      </c>
      <c r="N2317" t="s">
        <v>47424</v>
      </c>
      <c r="O2317" t="s">
        <v>47425</v>
      </c>
      <c r="P2317">
        <v>0</v>
      </c>
      <c r="Q2317">
        <v>0</v>
      </c>
      <c r="R2317" t="s">
        <v>47429</v>
      </c>
      <c r="S2317" t="s">
        <v>47542</v>
      </c>
      <c r="T2317" t="s">
        <v>49104</v>
      </c>
      <c r="U2317" t="s">
        <v>51603</v>
      </c>
      <c r="W2317" t="s">
        <v>44062</v>
      </c>
      <c r="X2317" t="s">
        <v>47426</v>
      </c>
    </row>
    <row r="2318" spans="1:24">
      <c r="A2318">
        <f>HYPERLINK("https://www.philgeps.gov.ph/GEPSNONPILOT/Tender/SplashBidNoticeAbstractUI.aspx?menuIndex=3&amp;refID=7167598&amp;Result=3","7167598")</f>
        <v>0</v>
      </c>
      <c r="B2318" t="s">
        <v>1027</v>
      </c>
      <c r="C2318" t="s">
        <v>6116</v>
      </c>
      <c r="D2318" t="s">
        <v>19038</v>
      </c>
      <c r="E2318" t="s">
        <v>21219</v>
      </c>
      <c r="F2318" t="s">
        <v>32831</v>
      </c>
      <c r="G2318" t="s">
        <v>32839</v>
      </c>
      <c r="H2318" t="s">
        <v>32848</v>
      </c>
      <c r="I2318" t="s">
        <v>7751</v>
      </c>
      <c r="J2318" t="s">
        <v>34578</v>
      </c>
      <c r="K2318" t="s">
        <v>42732</v>
      </c>
      <c r="M2318" t="s">
        <v>44077</v>
      </c>
      <c r="N2318" t="s">
        <v>47424</v>
      </c>
      <c r="O2318" t="s">
        <v>47425</v>
      </c>
      <c r="P2318">
        <v>0</v>
      </c>
      <c r="Q2318">
        <v>1</v>
      </c>
      <c r="R2318" t="s">
        <v>47429</v>
      </c>
      <c r="S2318" t="s">
        <v>47542</v>
      </c>
      <c r="T2318" t="s">
        <v>49215</v>
      </c>
      <c r="U2318" t="s">
        <v>51656</v>
      </c>
      <c r="W2318" t="s">
        <v>44077</v>
      </c>
      <c r="X2318" t="s">
        <v>47426</v>
      </c>
    </row>
    <row r="2319" spans="1:24">
      <c r="A2319">
        <f>HYPERLINK("https://www.philgeps.gov.ph/GEPSNONPILOT/Tender/SplashBidNoticeAbstractUI.aspx?menuIndex=3&amp;refID=7167597&amp;Result=3","7167597")</f>
        <v>0</v>
      </c>
      <c r="B2319" t="s">
        <v>1028</v>
      </c>
      <c r="C2319" t="s">
        <v>6117</v>
      </c>
      <c r="D2319" t="s">
        <v>19044</v>
      </c>
      <c r="E2319" t="s">
        <v>21220</v>
      </c>
      <c r="F2319" t="s">
        <v>32831</v>
      </c>
      <c r="G2319" t="s">
        <v>32838</v>
      </c>
      <c r="H2319" t="s">
        <v>32848</v>
      </c>
      <c r="I2319" t="s">
        <v>32862</v>
      </c>
      <c r="J2319" t="s">
        <v>34579</v>
      </c>
      <c r="K2319" t="s">
        <v>42732</v>
      </c>
      <c r="M2319" t="s">
        <v>44080</v>
      </c>
      <c r="N2319" t="s">
        <v>47424</v>
      </c>
      <c r="O2319" t="s">
        <v>47425</v>
      </c>
      <c r="P2319">
        <v>0</v>
      </c>
      <c r="Q2319">
        <v>0</v>
      </c>
      <c r="R2319" t="s">
        <v>47429</v>
      </c>
      <c r="S2319" t="s">
        <v>47542</v>
      </c>
      <c r="T2319" t="s">
        <v>49124</v>
      </c>
      <c r="U2319" t="s">
        <v>51657</v>
      </c>
      <c r="V2319" t="s">
        <v>62867</v>
      </c>
      <c r="W2319" t="s">
        <v>44080</v>
      </c>
      <c r="X2319" t="s">
        <v>47426</v>
      </c>
    </row>
    <row r="2320" spans="1:24">
      <c r="A2320">
        <f>HYPERLINK("https://www.philgeps.gov.ph/GEPSNONPILOT/Tender/SplashBidNoticeAbstractUI.aspx?menuIndex=3&amp;refID=7167596&amp;Result=3","7167596")</f>
        <v>0</v>
      </c>
      <c r="B2320" t="s">
        <v>1029</v>
      </c>
      <c r="C2320" t="s">
        <v>6118</v>
      </c>
      <c r="D2320" t="s">
        <v>19040</v>
      </c>
      <c r="E2320" t="s">
        <v>21221</v>
      </c>
      <c r="F2320" t="s">
        <v>32831</v>
      </c>
      <c r="G2320" t="s">
        <v>32840</v>
      </c>
      <c r="H2320" t="s">
        <v>32848</v>
      </c>
      <c r="I2320" t="s">
        <v>4438</v>
      </c>
      <c r="J2320" t="s">
        <v>34580</v>
      </c>
      <c r="K2320" t="s">
        <v>42732</v>
      </c>
      <c r="M2320" t="s">
        <v>44081</v>
      </c>
      <c r="N2320" t="s">
        <v>47424</v>
      </c>
      <c r="O2320" t="s">
        <v>47425</v>
      </c>
      <c r="P2320">
        <v>0</v>
      </c>
      <c r="Q2320">
        <v>0</v>
      </c>
      <c r="R2320" t="s">
        <v>47429</v>
      </c>
      <c r="S2320" t="s">
        <v>47542</v>
      </c>
      <c r="T2320" t="s">
        <v>49119</v>
      </c>
      <c r="U2320" t="s">
        <v>51658</v>
      </c>
      <c r="W2320" t="s">
        <v>44081</v>
      </c>
      <c r="X2320" t="s">
        <v>47426</v>
      </c>
    </row>
    <row r="2321" spans="1:24">
      <c r="A2321">
        <f>HYPERLINK("https://www.philgeps.gov.ph/GEPSNONPILOT/Tender/SplashBidNoticeAbstractUI.aspx?menuIndex=3&amp;refID=7167606&amp;Result=3","7167606")</f>
        <v>0</v>
      </c>
      <c r="B2321" t="s">
        <v>1007</v>
      </c>
      <c r="C2321" t="s">
        <v>6119</v>
      </c>
      <c r="E2321" t="s">
        <v>21222</v>
      </c>
      <c r="F2321" t="s">
        <v>32831</v>
      </c>
      <c r="G2321" t="s">
        <v>32838</v>
      </c>
      <c r="H2321" t="s">
        <v>32848</v>
      </c>
      <c r="I2321" t="s">
        <v>4471</v>
      </c>
      <c r="J2321" t="s">
        <v>33072</v>
      </c>
      <c r="K2321" t="s">
        <v>42732</v>
      </c>
      <c r="M2321" t="s">
        <v>44056</v>
      </c>
      <c r="N2321" t="s">
        <v>47424</v>
      </c>
      <c r="O2321" t="s">
        <v>47425</v>
      </c>
      <c r="P2321">
        <v>0</v>
      </c>
      <c r="Q2321">
        <v>0</v>
      </c>
      <c r="R2321" t="s">
        <v>47429</v>
      </c>
      <c r="S2321" t="s">
        <v>47542</v>
      </c>
      <c r="T2321" t="s">
        <v>49170</v>
      </c>
      <c r="U2321" t="s">
        <v>51592</v>
      </c>
      <c r="W2321" t="s">
        <v>44056</v>
      </c>
      <c r="X2321" t="s">
        <v>47426</v>
      </c>
    </row>
    <row r="2322" spans="1:24">
      <c r="A2322">
        <f>HYPERLINK("https://www.philgeps.gov.ph/GEPSNONPILOT/Tender/SplashBidNoticeAbstractUI.aspx?menuIndex=3&amp;refID=7167595&amp;Result=3","7167595")</f>
        <v>0</v>
      </c>
      <c r="B2322" t="s">
        <v>851</v>
      </c>
      <c r="C2322" t="s">
        <v>6120</v>
      </c>
      <c r="D2322" t="s">
        <v>19017</v>
      </c>
      <c r="E2322" t="s">
        <v>21223</v>
      </c>
      <c r="F2322" t="s">
        <v>32831</v>
      </c>
      <c r="G2322" t="s">
        <v>32838</v>
      </c>
      <c r="H2322" t="s">
        <v>32848</v>
      </c>
      <c r="I2322" t="s">
        <v>32883</v>
      </c>
      <c r="J2322" t="s">
        <v>34581</v>
      </c>
      <c r="K2322" t="s">
        <v>42726</v>
      </c>
      <c r="M2322" t="s">
        <v>43884</v>
      </c>
      <c r="N2322" t="s">
        <v>47424</v>
      </c>
      <c r="O2322" t="s">
        <v>47425</v>
      </c>
      <c r="P2322">
        <v>0</v>
      </c>
      <c r="Q2322">
        <v>0</v>
      </c>
      <c r="R2322" t="s">
        <v>47429</v>
      </c>
      <c r="S2322" t="s">
        <v>47542</v>
      </c>
      <c r="T2322" t="s">
        <v>49103</v>
      </c>
      <c r="U2322" t="s">
        <v>51659</v>
      </c>
      <c r="W2322" t="s">
        <v>43884</v>
      </c>
      <c r="X2322" t="s">
        <v>47426</v>
      </c>
    </row>
    <row r="2323" spans="1:24">
      <c r="A2323">
        <f>HYPERLINK("https://www.philgeps.gov.ph/GEPSNONPILOT/Tender/SplashBidNoticeAbstractUI.aspx?menuIndex=3&amp;refID=7167594&amp;Result=3","7167594")</f>
        <v>0</v>
      </c>
      <c r="B2323" t="s">
        <v>345</v>
      </c>
      <c r="C2323" t="s">
        <v>6121</v>
      </c>
      <c r="D2323" t="s">
        <v>19074</v>
      </c>
      <c r="E2323" t="s">
        <v>21224</v>
      </c>
      <c r="F2323" t="s">
        <v>32831</v>
      </c>
      <c r="G2323" t="s">
        <v>32838</v>
      </c>
      <c r="H2323" t="s">
        <v>32850</v>
      </c>
      <c r="I2323" t="s">
        <v>32857</v>
      </c>
      <c r="J2323" t="s">
        <v>33184</v>
      </c>
      <c r="K2323" t="s">
        <v>42731</v>
      </c>
      <c r="M2323" t="s">
        <v>44082</v>
      </c>
      <c r="N2323" t="s">
        <v>47424</v>
      </c>
      <c r="O2323" t="s">
        <v>47425</v>
      </c>
      <c r="P2323">
        <v>0</v>
      </c>
      <c r="Q2323">
        <v>0</v>
      </c>
      <c r="R2323" t="s">
        <v>47429</v>
      </c>
      <c r="S2323" t="s">
        <v>47542</v>
      </c>
      <c r="T2323" t="s">
        <v>49169</v>
      </c>
      <c r="U2323" t="s">
        <v>51660</v>
      </c>
      <c r="W2323" t="s">
        <v>44082</v>
      </c>
      <c r="X2323" t="s">
        <v>47426</v>
      </c>
    </row>
    <row r="2324" spans="1:24">
      <c r="A2324">
        <f>HYPERLINK("https://www.philgeps.gov.ph/GEPSNONPILOT/Tender/SplashBidNoticeAbstractUI.aspx?menuIndex=3&amp;refID=7167603&amp;Result=3","7167603")</f>
        <v>0</v>
      </c>
      <c r="B2324" t="s">
        <v>1029</v>
      </c>
      <c r="C2324" t="s">
        <v>6122</v>
      </c>
      <c r="D2324" t="s">
        <v>19040</v>
      </c>
      <c r="E2324" t="s">
        <v>21225</v>
      </c>
      <c r="F2324" t="s">
        <v>32831</v>
      </c>
      <c r="G2324" t="s">
        <v>32840</v>
      </c>
      <c r="H2324" t="s">
        <v>32848</v>
      </c>
      <c r="I2324" t="s">
        <v>4438</v>
      </c>
      <c r="J2324" t="s">
        <v>33775</v>
      </c>
      <c r="K2324" t="s">
        <v>42732</v>
      </c>
      <c r="M2324" t="s">
        <v>44081</v>
      </c>
      <c r="N2324" t="s">
        <v>47424</v>
      </c>
      <c r="O2324" t="s">
        <v>47425</v>
      </c>
      <c r="P2324">
        <v>0</v>
      </c>
      <c r="Q2324">
        <v>0</v>
      </c>
      <c r="R2324" t="s">
        <v>47429</v>
      </c>
      <c r="S2324" t="s">
        <v>47542</v>
      </c>
      <c r="T2324" t="s">
        <v>49198</v>
      </c>
      <c r="U2324" t="s">
        <v>51661</v>
      </c>
      <c r="W2324" t="s">
        <v>44081</v>
      </c>
      <c r="X2324" t="s">
        <v>47426</v>
      </c>
    </row>
    <row r="2325" spans="1:24">
      <c r="A2325">
        <f>HYPERLINK("https://www.philgeps.gov.ph/GEPSNONPILOT/Tender/SplashBidNoticeAbstractUI.aspx?menuIndex=3&amp;refID=7167592&amp;Result=3","7167592")</f>
        <v>0</v>
      </c>
      <c r="B2325" t="s">
        <v>851</v>
      </c>
      <c r="C2325" t="s">
        <v>6123</v>
      </c>
      <c r="D2325" t="s">
        <v>19017</v>
      </c>
      <c r="E2325" t="s">
        <v>21226</v>
      </c>
      <c r="F2325" t="s">
        <v>32831</v>
      </c>
      <c r="G2325" t="s">
        <v>32842</v>
      </c>
      <c r="H2325" t="s">
        <v>32848</v>
      </c>
      <c r="I2325" t="s">
        <v>32860</v>
      </c>
      <c r="J2325" t="s">
        <v>34582</v>
      </c>
      <c r="K2325" t="s">
        <v>42726</v>
      </c>
      <c r="M2325" t="s">
        <v>44083</v>
      </c>
      <c r="N2325" t="s">
        <v>47424</v>
      </c>
      <c r="O2325" t="s">
        <v>47425</v>
      </c>
      <c r="P2325">
        <v>0</v>
      </c>
      <c r="Q2325">
        <v>0</v>
      </c>
      <c r="R2325" t="s">
        <v>47429</v>
      </c>
      <c r="S2325" t="s">
        <v>47542</v>
      </c>
      <c r="T2325" t="s">
        <v>49089</v>
      </c>
      <c r="U2325" t="s">
        <v>51662</v>
      </c>
      <c r="W2325" t="s">
        <v>44083</v>
      </c>
      <c r="X2325" t="s">
        <v>47426</v>
      </c>
    </row>
    <row r="2326" spans="1:24">
      <c r="A2326">
        <f>HYPERLINK("https://www.philgeps.gov.ph/GEPSNONPILOT/Tender/SplashBidNoticeAbstractUI.aspx?menuIndex=3&amp;refID=7167590&amp;Result=3","7167590")</f>
        <v>0</v>
      </c>
      <c r="B2326" t="s">
        <v>1030</v>
      </c>
      <c r="C2326" t="s">
        <v>6124</v>
      </c>
      <c r="D2326" t="s">
        <v>19062</v>
      </c>
      <c r="E2326" t="s">
        <v>21227</v>
      </c>
      <c r="F2326" t="s">
        <v>32831</v>
      </c>
      <c r="G2326" t="s">
        <v>32839</v>
      </c>
      <c r="H2326" t="s">
        <v>32848</v>
      </c>
      <c r="I2326" t="s">
        <v>7416</v>
      </c>
      <c r="J2326" t="s">
        <v>34583</v>
      </c>
      <c r="K2326" t="s">
        <v>42727</v>
      </c>
      <c r="M2326" t="s">
        <v>44084</v>
      </c>
      <c r="N2326" t="s">
        <v>47424</v>
      </c>
      <c r="O2326" t="s">
        <v>47425</v>
      </c>
      <c r="P2326">
        <v>0</v>
      </c>
      <c r="Q2326">
        <v>0</v>
      </c>
      <c r="R2326" t="s">
        <v>47429</v>
      </c>
      <c r="S2326" t="s">
        <v>47542</v>
      </c>
      <c r="T2326" t="s">
        <v>49308</v>
      </c>
      <c r="U2326" t="s">
        <v>51663</v>
      </c>
      <c r="W2326" t="s">
        <v>44084</v>
      </c>
      <c r="X2326" t="s">
        <v>47426</v>
      </c>
    </row>
    <row r="2327" spans="1:24">
      <c r="A2327">
        <f>HYPERLINK("https://www.philgeps.gov.ph/GEPSNONPILOT/Tender/SplashBidNoticeAbstractUI.aspx?menuIndex=3&amp;refID=7167588&amp;Result=3","7167588")</f>
        <v>0</v>
      </c>
      <c r="B2327" t="s">
        <v>958</v>
      </c>
      <c r="C2327" t="s">
        <v>6125</v>
      </c>
      <c r="D2327" t="s">
        <v>19049</v>
      </c>
      <c r="E2327" t="s">
        <v>21228</v>
      </c>
      <c r="F2327" t="s">
        <v>32831</v>
      </c>
      <c r="G2327" t="s">
        <v>32840</v>
      </c>
      <c r="H2327" t="s">
        <v>32848</v>
      </c>
      <c r="I2327" t="s">
        <v>4222</v>
      </c>
      <c r="J2327" t="s">
        <v>33384</v>
      </c>
      <c r="K2327" t="s">
        <v>42732</v>
      </c>
      <c r="M2327" t="s">
        <v>44004</v>
      </c>
      <c r="N2327" t="s">
        <v>47424</v>
      </c>
      <c r="O2327" t="s">
        <v>47425</v>
      </c>
      <c r="P2327">
        <v>0</v>
      </c>
      <c r="Q2327">
        <v>0</v>
      </c>
      <c r="R2327" t="s">
        <v>47429</v>
      </c>
      <c r="S2327" t="s">
        <v>47542</v>
      </c>
      <c r="T2327" t="s">
        <v>49159</v>
      </c>
      <c r="U2327" t="s">
        <v>51664</v>
      </c>
      <c r="W2327" t="s">
        <v>44004</v>
      </c>
      <c r="X2327" t="s">
        <v>47426</v>
      </c>
    </row>
    <row r="2328" spans="1:24">
      <c r="A2328">
        <f>HYPERLINK("https://www.philgeps.gov.ph/GEPSNONPILOT/Tender/SplashBidNoticeAbstractUI.aspx?menuIndex=3&amp;refID=7167321&amp;Result=3","7167321")</f>
        <v>0</v>
      </c>
      <c r="B2328" t="s">
        <v>909</v>
      </c>
      <c r="C2328" t="s">
        <v>6126</v>
      </c>
      <c r="D2328" t="s">
        <v>19067</v>
      </c>
      <c r="E2328" t="s">
        <v>21229</v>
      </c>
      <c r="F2328" t="s">
        <v>32831</v>
      </c>
      <c r="G2328" t="s">
        <v>32838</v>
      </c>
      <c r="H2328" t="s">
        <v>32848</v>
      </c>
      <c r="I2328" t="s">
        <v>32870</v>
      </c>
      <c r="J2328" t="s">
        <v>33549</v>
      </c>
      <c r="K2328" t="s">
        <v>42730</v>
      </c>
      <c r="M2328" t="s">
        <v>43949</v>
      </c>
      <c r="N2328" t="s">
        <v>47424</v>
      </c>
      <c r="O2328" t="s">
        <v>47425</v>
      </c>
      <c r="P2328">
        <v>0</v>
      </c>
      <c r="Q2328">
        <v>0</v>
      </c>
      <c r="R2328" t="s">
        <v>47429</v>
      </c>
      <c r="S2328" t="s">
        <v>47542</v>
      </c>
      <c r="T2328" t="s">
        <v>49129</v>
      </c>
      <c r="U2328" t="s">
        <v>51665</v>
      </c>
      <c r="W2328" t="s">
        <v>43949</v>
      </c>
      <c r="X2328" t="s">
        <v>47426</v>
      </c>
    </row>
    <row r="2329" spans="1:24">
      <c r="A2329">
        <f>HYPERLINK("https://www.philgeps.gov.ph/GEPSNONPILOT/Tender/SplashBidNoticeAbstractUI.aspx?menuIndex=3&amp;refID=7167380&amp;Result=3","7167380")</f>
        <v>0</v>
      </c>
      <c r="B2329" t="s">
        <v>1031</v>
      </c>
      <c r="C2329" t="s">
        <v>6127</v>
      </c>
      <c r="D2329" t="s">
        <v>19051</v>
      </c>
      <c r="E2329" t="s">
        <v>21230</v>
      </c>
      <c r="F2329" t="s">
        <v>32831</v>
      </c>
      <c r="G2329" t="s">
        <v>32839</v>
      </c>
      <c r="H2329" t="s">
        <v>32849</v>
      </c>
      <c r="I2329" t="s">
        <v>4177</v>
      </c>
      <c r="J2329" t="s">
        <v>34584</v>
      </c>
      <c r="K2329" t="s">
        <v>42763</v>
      </c>
      <c r="M2329" t="s">
        <v>44085</v>
      </c>
      <c r="N2329" t="s">
        <v>47424</v>
      </c>
      <c r="O2329" t="s">
        <v>47425</v>
      </c>
      <c r="P2329">
        <v>0</v>
      </c>
      <c r="Q2329">
        <v>0</v>
      </c>
      <c r="R2329" t="s">
        <v>47429</v>
      </c>
      <c r="S2329" t="s">
        <v>47542</v>
      </c>
      <c r="T2329" t="s">
        <v>49309</v>
      </c>
      <c r="U2329" t="s">
        <v>51666</v>
      </c>
      <c r="W2329" t="s">
        <v>44085</v>
      </c>
      <c r="X2329" t="s">
        <v>47426</v>
      </c>
    </row>
    <row r="2330" spans="1:24">
      <c r="A2330">
        <f>HYPERLINK("https://www.philgeps.gov.ph/GEPSNONPILOT/Tender/SplashBidNoticeAbstractUI.aspx?menuIndex=3&amp;refID=7167300&amp;Result=3","7167300")</f>
        <v>0</v>
      </c>
      <c r="B2330" t="s">
        <v>910</v>
      </c>
      <c r="C2330" t="s">
        <v>6128</v>
      </c>
      <c r="E2330" t="s">
        <v>21231</v>
      </c>
      <c r="F2330" t="s">
        <v>32831</v>
      </c>
      <c r="G2330" t="s">
        <v>32839</v>
      </c>
      <c r="H2330" t="s">
        <v>32848</v>
      </c>
      <c r="I2330" t="s">
        <v>32937</v>
      </c>
      <c r="J2330" t="s">
        <v>34585</v>
      </c>
      <c r="K2330" t="s">
        <v>42763</v>
      </c>
      <c r="M2330" t="s">
        <v>43950</v>
      </c>
      <c r="N2330" t="s">
        <v>47424</v>
      </c>
      <c r="O2330" t="s">
        <v>47425</v>
      </c>
      <c r="P2330">
        <v>0</v>
      </c>
      <c r="Q2330">
        <v>0</v>
      </c>
      <c r="R2330" t="s">
        <v>47429</v>
      </c>
      <c r="S2330" t="s">
        <v>47542</v>
      </c>
      <c r="T2330" t="s">
        <v>49219</v>
      </c>
      <c r="U2330" t="s">
        <v>51369</v>
      </c>
      <c r="W2330" t="s">
        <v>43950</v>
      </c>
      <c r="X2330" t="s">
        <v>47426</v>
      </c>
    </row>
    <row r="2331" spans="1:24">
      <c r="A2331">
        <f>HYPERLINK("https://www.philgeps.gov.ph/GEPSNONPILOT/Tender/SplashBidNoticeAbstractUI.aspx?menuIndex=3&amp;refID=7167605&amp;Result=3","7167605")</f>
        <v>0</v>
      </c>
      <c r="B2331" t="s">
        <v>345</v>
      </c>
      <c r="C2331" t="s">
        <v>6129</v>
      </c>
      <c r="D2331" t="s">
        <v>19074</v>
      </c>
      <c r="E2331" t="s">
        <v>21232</v>
      </c>
      <c r="F2331" t="s">
        <v>32831</v>
      </c>
      <c r="G2331" t="s">
        <v>32838</v>
      </c>
      <c r="H2331" t="s">
        <v>32850</v>
      </c>
      <c r="I2331" t="s">
        <v>32857</v>
      </c>
      <c r="J2331" t="s">
        <v>33029</v>
      </c>
      <c r="K2331" t="s">
        <v>42731</v>
      </c>
      <c r="M2331" t="s">
        <v>44082</v>
      </c>
      <c r="N2331" t="s">
        <v>47424</v>
      </c>
      <c r="O2331" t="s">
        <v>47425</v>
      </c>
      <c r="P2331">
        <v>0</v>
      </c>
      <c r="Q2331">
        <v>0</v>
      </c>
      <c r="R2331" t="s">
        <v>47429</v>
      </c>
      <c r="S2331" t="s">
        <v>47542</v>
      </c>
      <c r="T2331" t="s">
        <v>49169</v>
      </c>
      <c r="U2331" t="s">
        <v>51667</v>
      </c>
      <c r="W2331" t="s">
        <v>44082</v>
      </c>
      <c r="X2331" t="s">
        <v>47426</v>
      </c>
    </row>
    <row r="2332" spans="1:24">
      <c r="A2332">
        <f>HYPERLINK("https://www.philgeps.gov.ph/GEPSNONPILOT/Tender/SplashBidNoticeAbstractUI.aspx?menuIndex=3&amp;refID=7167299&amp;Result=3","7167299")</f>
        <v>0</v>
      </c>
      <c r="B2332" t="s">
        <v>1032</v>
      </c>
      <c r="C2332" t="s">
        <v>6130</v>
      </c>
      <c r="D2332" t="s">
        <v>19036</v>
      </c>
      <c r="E2332" t="s">
        <v>21233</v>
      </c>
      <c r="F2332" t="s">
        <v>32831</v>
      </c>
      <c r="G2332" t="s">
        <v>32838</v>
      </c>
      <c r="H2332" t="s">
        <v>32848</v>
      </c>
      <c r="I2332" t="s">
        <v>4776</v>
      </c>
      <c r="J2332" t="s">
        <v>33207</v>
      </c>
      <c r="K2332" t="s">
        <v>42758</v>
      </c>
      <c r="M2332" t="s">
        <v>44086</v>
      </c>
      <c r="N2332" t="s">
        <v>47424</v>
      </c>
      <c r="O2332" t="s">
        <v>47425</v>
      </c>
      <c r="P2332">
        <v>0</v>
      </c>
      <c r="Q2332">
        <v>0</v>
      </c>
      <c r="R2332" t="s">
        <v>47429</v>
      </c>
      <c r="S2332" t="s">
        <v>47542</v>
      </c>
      <c r="T2332" t="s">
        <v>49198</v>
      </c>
      <c r="U2332" t="s">
        <v>51668</v>
      </c>
      <c r="V2332" t="s">
        <v>62868</v>
      </c>
      <c r="W2332" t="s">
        <v>44086</v>
      </c>
      <c r="X2332" t="s">
        <v>47426</v>
      </c>
    </row>
    <row r="2333" spans="1:24">
      <c r="A2333">
        <f>HYPERLINK("https://www.philgeps.gov.ph/GEPSNONPILOT/Tender/SplashBidNoticeAbstractUI.aspx?menuIndex=3&amp;refID=7167298&amp;Result=3","7167298")</f>
        <v>0</v>
      </c>
      <c r="B2333" t="s">
        <v>324</v>
      </c>
      <c r="C2333" t="s">
        <v>6131</v>
      </c>
      <c r="D2333" t="s">
        <v>19049</v>
      </c>
      <c r="E2333" t="s">
        <v>21234</v>
      </c>
      <c r="F2333" t="s">
        <v>32831</v>
      </c>
      <c r="G2333" t="s">
        <v>32838</v>
      </c>
      <c r="H2333" t="s">
        <v>32848</v>
      </c>
      <c r="I2333" t="s">
        <v>32883</v>
      </c>
      <c r="J2333" t="s">
        <v>34329</v>
      </c>
      <c r="K2333" t="s">
        <v>42729</v>
      </c>
      <c r="M2333" t="s">
        <v>43940</v>
      </c>
      <c r="N2333" t="s">
        <v>47424</v>
      </c>
      <c r="O2333" t="s">
        <v>47425</v>
      </c>
      <c r="P2333">
        <v>0</v>
      </c>
      <c r="Q2333">
        <v>0</v>
      </c>
      <c r="R2333" t="s">
        <v>47429</v>
      </c>
      <c r="S2333" t="s">
        <v>47542</v>
      </c>
      <c r="T2333" t="s">
        <v>49171</v>
      </c>
      <c r="U2333" t="s">
        <v>51485</v>
      </c>
      <c r="W2333" t="s">
        <v>43940</v>
      </c>
      <c r="X2333" t="s">
        <v>47426</v>
      </c>
    </row>
    <row r="2334" spans="1:24">
      <c r="A2334">
        <f>HYPERLINK("https://www.philgeps.gov.ph/GEPSNONPILOT/Tender/SplashBidNoticeAbstractUI.aspx?menuIndex=3&amp;refID=7167591&amp;Result=3","7167591")</f>
        <v>0</v>
      </c>
      <c r="B2334" t="s">
        <v>1007</v>
      </c>
      <c r="C2334" t="s">
        <v>6132</v>
      </c>
      <c r="E2334" t="s">
        <v>21235</v>
      </c>
      <c r="F2334" t="s">
        <v>32831</v>
      </c>
      <c r="G2334" t="s">
        <v>32838</v>
      </c>
      <c r="H2334" t="s">
        <v>32848</v>
      </c>
      <c r="I2334" t="s">
        <v>32874</v>
      </c>
      <c r="J2334" t="s">
        <v>33509</v>
      </c>
      <c r="K2334" t="s">
        <v>42732</v>
      </c>
      <c r="M2334" t="s">
        <v>44056</v>
      </c>
      <c r="N2334" t="s">
        <v>47424</v>
      </c>
      <c r="O2334" t="s">
        <v>47425</v>
      </c>
      <c r="P2334">
        <v>0</v>
      </c>
      <c r="Q2334">
        <v>0</v>
      </c>
      <c r="R2334" t="s">
        <v>47429</v>
      </c>
      <c r="S2334" t="s">
        <v>47542</v>
      </c>
      <c r="T2334" t="s">
        <v>49170</v>
      </c>
      <c r="U2334" t="s">
        <v>51592</v>
      </c>
      <c r="W2334" t="s">
        <v>44056</v>
      </c>
      <c r="X2334" t="s">
        <v>47426</v>
      </c>
    </row>
    <row r="2335" spans="1:24">
      <c r="A2335">
        <f>HYPERLINK("https://www.philgeps.gov.ph/GEPSNONPILOT/Tender/SplashBidNoticeAbstractUI.aspx?menuIndex=3&amp;refID=7166602&amp;Result=3","7166602")</f>
        <v>0</v>
      </c>
      <c r="B2335" t="s">
        <v>27</v>
      </c>
      <c r="C2335" t="s">
        <v>6133</v>
      </c>
      <c r="D2335" t="s">
        <v>19020</v>
      </c>
      <c r="E2335" t="s">
        <v>21236</v>
      </c>
      <c r="F2335" t="s">
        <v>32831</v>
      </c>
      <c r="G2335" t="s">
        <v>32838</v>
      </c>
      <c r="H2335" t="s">
        <v>32848</v>
      </c>
      <c r="I2335" t="s">
        <v>4558</v>
      </c>
      <c r="J2335" t="s">
        <v>34586</v>
      </c>
      <c r="K2335" t="s">
        <v>42726</v>
      </c>
      <c r="M2335" t="s">
        <v>43728</v>
      </c>
      <c r="N2335" t="s">
        <v>47424</v>
      </c>
      <c r="O2335" t="s">
        <v>47425</v>
      </c>
      <c r="P2335">
        <v>0</v>
      </c>
      <c r="Q2335">
        <v>0</v>
      </c>
      <c r="R2335" t="s">
        <v>47429</v>
      </c>
      <c r="S2335" t="s">
        <v>47542</v>
      </c>
      <c r="T2335" t="s">
        <v>49123</v>
      </c>
      <c r="U2335" t="s">
        <v>50989</v>
      </c>
      <c r="W2335" t="s">
        <v>43728</v>
      </c>
      <c r="X2335" t="s">
        <v>47426</v>
      </c>
    </row>
    <row r="2336" spans="1:24">
      <c r="A2336">
        <f>HYPERLINK("https://www.philgeps.gov.ph/GEPSNONPILOT/Tender/SplashBidNoticeAbstractUI.aspx?menuIndex=3&amp;refID=7166600&amp;Result=3","7166600")</f>
        <v>0</v>
      </c>
      <c r="B2336" t="s">
        <v>1033</v>
      </c>
      <c r="C2336" t="s">
        <v>4694</v>
      </c>
      <c r="D2336" t="s">
        <v>19026</v>
      </c>
      <c r="E2336" t="s">
        <v>21237</v>
      </c>
      <c r="F2336" t="s">
        <v>32831</v>
      </c>
      <c r="G2336" t="s">
        <v>32838</v>
      </c>
      <c r="H2336" t="s">
        <v>32849</v>
      </c>
      <c r="I2336" t="s">
        <v>4177</v>
      </c>
      <c r="J2336" t="s">
        <v>34587</v>
      </c>
      <c r="K2336" t="s">
        <v>42745</v>
      </c>
      <c r="M2336" t="s">
        <v>44087</v>
      </c>
      <c r="N2336" t="s">
        <v>47424</v>
      </c>
      <c r="O2336" t="s">
        <v>47425</v>
      </c>
      <c r="P2336">
        <v>0</v>
      </c>
      <c r="Q2336">
        <v>0</v>
      </c>
      <c r="R2336" t="s">
        <v>47429</v>
      </c>
      <c r="S2336" t="s">
        <v>47542</v>
      </c>
      <c r="T2336" t="s">
        <v>49151</v>
      </c>
      <c r="U2336" t="s">
        <v>51669</v>
      </c>
      <c r="W2336" t="s">
        <v>44087</v>
      </c>
      <c r="X2336" t="s">
        <v>47426</v>
      </c>
    </row>
    <row r="2337" spans="1:24">
      <c r="A2337">
        <f>HYPERLINK("https://www.philgeps.gov.ph/GEPSNONPILOT/Tender/SplashBidNoticeAbstractUI.aspx?menuIndex=3&amp;refID=7166598&amp;Result=3","7166598")</f>
        <v>0</v>
      </c>
      <c r="B2337" t="s">
        <v>1034</v>
      </c>
      <c r="C2337" t="s">
        <v>6134</v>
      </c>
      <c r="D2337" t="s">
        <v>19023</v>
      </c>
      <c r="E2337" t="s">
        <v>21238</v>
      </c>
      <c r="F2337" t="s">
        <v>32831</v>
      </c>
      <c r="G2337" t="s">
        <v>32838</v>
      </c>
      <c r="H2337" t="s">
        <v>32848</v>
      </c>
      <c r="I2337" t="s">
        <v>4776</v>
      </c>
      <c r="J2337" t="s">
        <v>33437</v>
      </c>
      <c r="K2337" t="s">
        <v>42758</v>
      </c>
      <c r="M2337" t="s">
        <v>44088</v>
      </c>
      <c r="N2337" t="s">
        <v>47424</v>
      </c>
      <c r="O2337" t="s">
        <v>47425</v>
      </c>
      <c r="P2337">
        <v>0</v>
      </c>
      <c r="Q2337">
        <v>0</v>
      </c>
      <c r="R2337" t="s">
        <v>47429</v>
      </c>
      <c r="S2337" t="s">
        <v>47542</v>
      </c>
      <c r="T2337" t="s">
        <v>49129</v>
      </c>
      <c r="U2337" t="s">
        <v>51670</v>
      </c>
      <c r="W2337" t="s">
        <v>44088</v>
      </c>
      <c r="X2337" t="s">
        <v>47426</v>
      </c>
    </row>
    <row r="2338" spans="1:24">
      <c r="A2338">
        <f>HYPERLINK("https://www.philgeps.gov.ph/GEPSNONPILOT/Tender/SplashBidNoticeAbstractUI.aspx?menuIndex=3&amp;refID=7167585&amp;Result=3","7167585")</f>
        <v>0</v>
      </c>
      <c r="B2338" t="s">
        <v>345</v>
      </c>
      <c r="C2338" t="s">
        <v>6135</v>
      </c>
      <c r="D2338" t="s">
        <v>19074</v>
      </c>
      <c r="E2338" t="s">
        <v>21239</v>
      </c>
      <c r="F2338" t="s">
        <v>32831</v>
      </c>
      <c r="G2338" t="s">
        <v>32838</v>
      </c>
      <c r="H2338" t="s">
        <v>32850</v>
      </c>
      <c r="I2338" t="s">
        <v>32857</v>
      </c>
      <c r="J2338" t="s">
        <v>33479</v>
      </c>
      <c r="K2338" t="s">
        <v>42731</v>
      </c>
      <c r="M2338" t="s">
        <v>44082</v>
      </c>
      <c r="N2338" t="s">
        <v>47424</v>
      </c>
      <c r="O2338" t="s">
        <v>47425</v>
      </c>
      <c r="P2338">
        <v>0</v>
      </c>
      <c r="Q2338">
        <v>0</v>
      </c>
      <c r="R2338" t="s">
        <v>47429</v>
      </c>
      <c r="S2338" t="s">
        <v>47542</v>
      </c>
      <c r="T2338" t="s">
        <v>49169</v>
      </c>
      <c r="U2338" t="s">
        <v>51671</v>
      </c>
      <c r="W2338" t="s">
        <v>44082</v>
      </c>
      <c r="X2338" t="s">
        <v>47426</v>
      </c>
    </row>
    <row r="2339" spans="1:24">
      <c r="A2339">
        <f>HYPERLINK("https://www.philgeps.gov.ph/GEPSNONPILOT/Tender/SplashBidNoticeAbstractUI.aspx?menuIndex=3&amp;refID=7166597&amp;Result=3","7166597")</f>
        <v>0</v>
      </c>
      <c r="B2339" t="s">
        <v>1035</v>
      </c>
      <c r="C2339" t="s">
        <v>6136</v>
      </c>
      <c r="D2339" t="s">
        <v>19017</v>
      </c>
      <c r="E2339" t="s">
        <v>21240</v>
      </c>
      <c r="F2339" t="s">
        <v>32831</v>
      </c>
      <c r="G2339" t="s">
        <v>32838</v>
      </c>
      <c r="H2339" t="s">
        <v>14069</v>
      </c>
      <c r="I2339" t="s">
        <v>14069</v>
      </c>
      <c r="J2339" t="s">
        <v>33072</v>
      </c>
      <c r="K2339" t="s">
        <v>42732</v>
      </c>
      <c r="M2339" t="s">
        <v>44089</v>
      </c>
      <c r="N2339" t="s">
        <v>47424</v>
      </c>
      <c r="O2339" t="s">
        <v>47425</v>
      </c>
      <c r="P2339">
        <v>0</v>
      </c>
      <c r="Q2339">
        <v>0</v>
      </c>
      <c r="R2339" t="s">
        <v>47429</v>
      </c>
      <c r="S2339" t="s">
        <v>47542</v>
      </c>
      <c r="T2339" t="s">
        <v>49103</v>
      </c>
      <c r="U2339" t="s">
        <v>51672</v>
      </c>
      <c r="V2339" t="s">
        <v>62869</v>
      </c>
      <c r="W2339" t="s">
        <v>44089</v>
      </c>
      <c r="X2339" t="s">
        <v>47426</v>
      </c>
    </row>
    <row r="2340" spans="1:24">
      <c r="A2340">
        <f>HYPERLINK("https://www.philgeps.gov.ph/GEPSNONPILOT/Tender/SplashBidNoticeAbstractUI.aspx?menuIndex=3&amp;refID=7166577&amp;Result=3","7166577")</f>
        <v>0</v>
      </c>
      <c r="B2340" t="s">
        <v>1036</v>
      </c>
      <c r="C2340" t="s">
        <v>6137</v>
      </c>
      <c r="D2340" t="s">
        <v>19081</v>
      </c>
      <c r="E2340" t="s">
        <v>21241</v>
      </c>
      <c r="F2340" t="s">
        <v>32831</v>
      </c>
      <c r="G2340" t="s">
        <v>32839</v>
      </c>
      <c r="H2340" t="s">
        <v>32849</v>
      </c>
      <c r="I2340" t="s">
        <v>4177</v>
      </c>
      <c r="J2340" t="s">
        <v>34588</v>
      </c>
      <c r="K2340" t="s">
        <v>42763</v>
      </c>
      <c r="M2340" t="s">
        <v>44090</v>
      </c>
      <c r="N2340" t="s">
        <v>47424</v>
      </c>
      <c r="O2340" t="s">
        <v>47425</v>
      </c>
      <c r="P2340">
        <v>0</v>
      </c>
      <c r="Q2340">
        <v>0</v>
      </c>
      <c r="R2340" t="s">
        <v>47429</v>
      </c>
      <c r="S2340" t="s">
        <v>47542</v>
      </c>
      <c r="T2340" t="s">
        <v>49071</v>
      </c>
      <c r="U2340" t="s">
        <v>51673</v>
      </c>
      <c r="W2340" t="s">
        <v>44090</v>
      </c>
      <c r="X2340" t="s">
        <v>47426</v>
      </c>
    </row>
    <row r="2341" spans="1:24">
      <c r="A2341">
        <f>HYPERLINK("https://www.philgeps.gov.ph/GEPSNONPILOT/Tender/SplashBidNoticeAbstractUI.aspx?menuIndex=3&amp;refID=7166575&amp;Result=3","7166575")</f>
        <v>0</v>
      </c>
      <c r="B2341" t="s">
        <v>1037</v>
      </c>
      <c r="C2341" t="s">
        <v>6138</v>
      </c>
      <c r="D2341" t="s">
        <v>19100</v>
      </c>
      <c r="E2341" t="s">
        <v>21242</v>
      </c>
      <c r="F2341" t="s">
        <v>32831</v>
      </c>
      <c r="G2341" t="s">
        <v>32839</v>
      </c>
      <c r="H2341" t="s">
        <v>32848</v>
      </c>
      <c r="I2341" t="s">
        <v>7416</v>
      </c>
      <c r="J2341" t="s">
        <v>34589</v>
      </c>
      <c r="K2341" t="s">
        <v>42750</v>
      </c>
      <c r="M2341" t="s">
        <v>44091</v>
      </c>
      <c r="N2341" t="s">
        <v>47424</v>
      </c>
      <c r="O2341" t="s">
        <v>47425</v>
      </c>
      <c r="P2341">
        <v>0</v>
      </c>
      <c r="Q2341">
        <v>0</v>
      </c>
      <c r="R2341" t="s">
        <v>47429</v>
      </c>
      <c r="S2341" t="s">
        <v>47542</v>
      </c>
      <c r="T2341" t="s">
        <v>49059</v>
      </c>
      <c r="U2341" t="s">
        <v>51674</v>
      </c>
      <c r="W2341" t="s">
        <v>44091</v>
      </c>
      <c r="X2341" t="s">
        <v>47426</v>
      </c>
    </row>
    <row r="2342" spans="1:24">
      <c r="A2342">
        <f>HYPERLINK("https://www.philgeps.gov.ph/GEPSNONPILOT/Tender/SplashBidNoticeAbstractUI.aspx?menuIndex=3&amp;refID=7167604&amp;Result=3","7167604")</f>
        <v>0</v>
      </c>
      <c r="B2342" t="s">
        <v>1038</v>
      </c>
      <c r="C2342" t="s">
        <v>6139</v>
      </c>
      <c r="D2342" t="s">
        <v>19080</v>
      </c>
      <c r="E2342" t="s">
        <v>19311</v>
      </c>
      <c r="F2342" t="s">
        <v>32831</v>
      </c>
      <c r="G2342" t="s">
        <v>32839</v>
      </c>
      <c r="H2342" t="s">
        <v>32848</v>
      </c>
      <c r="I2342" t="s">
        <v>7416</v>
      </c>
      <c r="J2342" t="s">
        <v>34590</v>
      </c>
      <c r="K2342" t="s">
        <v>42731</v>
      </c>
      <c r="M2342" t="s">
        <v>44092</v>
      </c>
      <c r="N2342" t="s">
        <v>47424</v>
      </c>
      <c r="O2342" t="s">
        <v>47425</v>
      </c>
      <c r="P2342">
        <v>0</v>
      </c>
      <c r="Q2342">
        <v>0</v>
      </c>
      <c r="R2342" t="s">
        <v>47429</v>
      </c>
      <c r="S2342" t="s">
        <v>47542</v>
      </c>
      <c r="T2342" t="s">
        <v>49196</v>
      </c>
      <c r="U2342" t="s">
        <v>51675</v>
      </c>
      <c r="W2342" t="s">
        <v>44092</v>
      </c>
      <c r="X2342" t="s">
        <v>47426</v>
      </c>
    </row>
    <row r="2343" spans="1:24">
      <c r="A2343">
        <f>HYPERLINK("https://www.philgeps.gov.ph/GEPSNONPILOT/Tender/SplashBidNoticeAbstractUI.aspx?menuIndex=3&amp;refID=7167622&amp;Result=3","7167622")</f>
        <v>0</v>
      </c>
      <c r="B2343" t="s">
        <v>1029</v>
      </c>
      <c r="C2343" t="s">
        <v>6140</v>
      </c>
      <c r="D2343" t="s">
        <v>19040</v>
      </c>
      <c r="E2343" t="s">
        <v>21243</v>
      </c>
      <c r="F2343" t="s">
        <v>32831</v>
      </c>
      <c r="G2343" t="s">
        <v>32840</v>
      </c>
      <c r="H2343" t="s">
        <v>32848</v>
      </c>
      <c r="I2343" t="s">
        <v>4438</v>
      </c>
      <c r="J2343" t="s">
        <v>34591</v>
      </c>
      <c r="K2343" t="s">
        <v>42732</v>
      </c>
      <c r="M2343" t="s">
        <v>44081</v>
      </c>
      <c r="N2343" t="s">
        <v>47424</v>
      </c>
      <c r="O2343" t="s">
        <v>47425</v>
      </c>
      <c r="P2343">
        <v>0</v>
      </c>
      <c r="Q2343">
        <v>0</v>
      </c>
      <c r="R2343" t="s">
        <v>47429</v>
      </c>
      <c r="S2343" t="s">
        <v>47542</v>
      </c>
      <c r="T2343" t="s">
        <v>49198</v>
      </c>
      <c r="U2343" t="s">
        <v>51676</v>
      </c>
      <c r="W2343" t="s">
        <v>44081</v>
      </c>
      <c r="X2343" t="s">
        <v>47426</v>
      </c>
    </row>
    <row r="2344" spans="1:24">
      <c r="A2344">
        <f>HYPERLINK("https://www.philgeps.gov.ph/GEPSNONPILOT/Tender/SplashBidNoticeAbstractUI.aspx?menuIndex=3&amp;refID=7166603&amp;Result=3","7166603")</f>
        <v>0</v>
      </c>
      <c r="B2344" t="s">
        <v>217</v>
      </c>
      <c r="C2344" t="s">
        <v>6141</v>
      </c>
      <c r="D2344" t="s">
        <v>19037</v>
      </c>
      <c r="E2344" t="s">
        <v>21244</v>
      </c>
      <c r="F2344" t="s">
        <v>32831</v>
      </c>
      <c r="G2344" t="s">
        <v>32838</v>
      </c>
      <c r="H2344" t="s">
        <v>32848</v>
      </c>
      <c r="I2344" t="s">
        <v>7416</v>
      </c>
      <c r="J2344" t="s">
        <v>34592</v>
      </c>
      <c r="K2344" t="s">
        <v>42730</v>
      </c>
      <c r="M2344" t="s">
        <v>43392</v>
      </c>
      <c r="N2344" t="s">
        <v>47424</v>
      </c>
      <c r="O2344" t="s">
        <v>47425</v>
      </c>
      <c r="P2344">
        <v>0</v>
      </c>
      <c r="Q2344">
        <v>0</v>
      </c>
      <c r="R2344" t="s">
        <v>47429</v>
      </c>
      <c r="S2344" t="s">
        <v>47542</v>
      </c>
      <c r="T2344" t="s">
        <v>49123</v>
      </c>
      <c r="U2344" t="s">
        <v>51677</v>
      </c>
      <c r="W2344" t="s">
        <v>43392</v>
      </c>
      <c r="X2344" t="s">
        <v>47426</v>
      </c>
    </row>
    <row r="2345" spans="1:24">
      <c r="A2345">
        <f>HYPERLINK("https://www.philgeps.gov.ph/GEPSNONPILOT/Tender/SplashBidNoticeAbstractUI.aspx?menuIndex=3&amp;refID=7167589&amp;Result=3","7167589")</f>
        <v>0</v>
      </c>
      <c r="B2345" t="s">
        <v>952</v>
      </c>
      <c r="C2345" t="s">
        <v>6142</v>
      </c>
      <c r="D2345" t="s">
        <v>19022</v>
      </c>
      <c r="E2345" t="s">
        <v>21245</v>
      </c>
      <c r="F2345" t="s">
        <v>32831</v>
      </c>
      <c r="G2345" t="s">
        <v>32839</v>
      </c>
      <c r="H2345" t="s">
        <v>32849</v>
      </c>
      <c r="I2345" t="s">
        <v>4177</v>
      </c>
      <c r="J2345" t="s">
        <v>33083</v>
      </c>
      <c r="K2345" t="s">
        <v>42763</v>
      </c>
      <c r="M2345" t="s">
        <v>43998</v>
      </c>
      <c r="N2345" t="s">
        <v>47424</v>
      </c>
      <c r="O2345" t="s">
        <v>47425</v>
      </c>
      <c r="P2345">
        <v>0</v>
      </c>
      <c r="Q2345">
        <v>0</v>
      </c>
      <c r="R2345" t="s">
        <v>47429</v>
      </c>
      <c r="S2345" t="s">
        <v>47542</v>
      </c>
      <c r="T2345" t="s">
        <v>49260</v>
      </c>
      <c r="U2345" t="s">
        <v>51678</v>
      </c>
      <c r="W2345" t="s">
        <v>43998</v>
      </c>
      <c r="X2345" t="s">
        <v>47426</v>
      </c>
    </row>
    <row r="2346" spans="1:24">
      <c r="A2346">
        <f>HYPERLINK("https://www.philgeps.gov.ph/GEPSNONPILOT/Tender/SplashBidNoticeAbstractUI.aspx?menuIndex=3&amp;refID=7167629&amp;Result=3","7167629")</f>
        <v>0</v>
      </c>
      <c r="B2346" t="s">
        <v>1039</v>
      </c>
      <c r="C2346" t="s">
        <v>6143</v>
      </c>
      <c r="D2346" t="s">
        <v>19062</v>
      </c>
      <c r="E2346" t="s">
        <v>21246</v>
      </c>
      <c r="F2346" t="s">
        <v>32833</v>
      </c>
      <c r="G2346" t="s">
        <v>32840</v>
      </c>
      <c r="H2346" t="s">
        <v>32848</v>
      </c>
      <c r="I2346" t="s">
        <v>32858</v>
      </c>
      <c r="J2346" t="s">
        <v>34593</v>
      </c>
      <c r="K2346" t="s">
        <v>42732</v>
      </c>
      <c r="M2346" t="s">
        <v>44093</v>
      </c>
      <c r="N2346" t="s">
        <v>47424</v>
      </c>
      <c r="O2346" t="s">
        <v>47425</v>
      </c>
      <c r="P2346">
        <v>0</v>
      </c>
      <c r="Q2346">
        <v>0</v>
      </c>
      <c r="R2346" t="s">
        <v>47429</v>
      </c>
      <c r="S2346" t="s">
        <v>47542</v>
      </c>
      <c r="T2346" t="s">
        <v>49079</v>
      </c>
      <c r="U2346" t="s">
        <v>51679</v>
      </c>
      <c r="W2346" t="s">
        <v>44093</v>
      </c>
      <c r="X2346" t="s">
        <v>47426</v>
      </c>
    </row>
    <row r="2347" spans="1:24">
      <c r="A2347">
        <f>HYPERLINK("https://www.philgeps.gov.ph/GEPSNONPILOT/Tender/SplashBidNoticeAbstractUI.aspx?menuIndex=3&amp;refID=7166599&amp;Result=3","7166599")</f>
        <v>0</v>
      </c>
      <c r="B2347" t="s">
        <v>1040</v>
      </c>
      <c r="C2347" t="s">
        <v>6144</v>
      </c>
      <c r="D2347" t="s">
        <v>19046</v>
      </c>
      <c r="E2347" t="s">
        <v>20527</v>
      </c>
      <c r="F2347" t="s">
        <v>32831</v>
      </c>
      <c r="G2347" t="s">
        <v>32838</v>
      </c>
      <c r="H2347" t="s">
        <v>32848</v>
      </c>
      <c r="I2347" t="s">
        <v>4438</v>
      </c>
      <c r="J2347" t="s">
        <v>34594</v>
      </c>
      <c r="K2347" t="s">
        <v>42758</v>
      </c>
      <c r="M2347" t="s">
        <v>44094</v>
      </c>
      <c r="N2347" t="s">
        <v>47424</v>
      </c>
      <c r="O2347" t="s">
        <v>47425</v>
      </c>
      <c r="P2347">
        <v>0</v>
      </c>
      <c r="Q2347">
        <v>0</v>
      </c>
      <c r="R2347" t="s">
        <v>47429</v>
      </c>
      <c r="S2347" t="s">
        <v>47542</v>
      </c>
      <c r="T2347" t="s">
        <v>49129</v>
      </c>
      <c r="U2347" t="s">
        <v>51680</v>
      </c>
      <c r="W2347" t="s">
        <v>44094</v>
      </c>
      <c r="X2347" t="s">
        <v>47426</v>
      </c>
    </row>
    <row r="2348" spans="1:24">
      <c r="A2348">
        <f>HYPERLINK("https://www.philgeps.gov.ph/GEPSNONPILOT/Tender/SplashBidNoticeAbstractUI.aspx?menuIndex=3&amp;refID=7166596&amp;Result=3","7166596")</f>
        <v>0</v>
      </c>
      <c r="B2348" t="s">
        <v>1041</v>
      </c>
      <c r="C2348" t="s">
        <v>6145</v>
      </c>
      <c r="D2348" t="s">
        <v>19027</v>
      </c>
      <c r="E2348" t="s">
        <v>21247</v>
      </c>
      <c r="F2348" t="s">
        <v>32831</v>
      </c>
      <c r="G2348" t="s">
        <v>32839</v>
      </c>
      <c r="H2348" t="s">
        <v>32849</v>
      </c>
      <c r="I2348" t="s">
        <v>4177</v>
      </c>
      <c r="J2348" t="s">
        <v>32978</v>
      </c>
      <c r="K2348" t="s">
        <v>42822</v>
      </c>
      <c r="M2348" t="s">
        <v>44095</v>
      </c>
      <c r="N2348" t="s">
        <v>47424</v>
      </c>
      <c r="O2348" t="s">
        <v>47425</v>
      </c>
      <c r="P2348">
        <v>0</v>
      </c>
      <c r="Q2348">
        <v>0</v>
      </c>
      <c r="R2348" t="s">
        <v>47429</v>
      </c>
      <c r="S2348" t="s">
        <v>47542</v>
      </c>
      <c r="T2348" t="s">
        <v>49288</v>
      </c>
      <c r="U2348" t="s">
        <v>51681</v>
      </c>
      <c r="W2348" t="s">
        <v>44095</v>
      </c>
      <c r="X2348" t="s">
        <v>47426</v>
      </c>
    </row>
    <row r="2349" spans="1:24">
      <c r="A2349">
        <f>HYPERLINK("https://www.philgeps.gov.ph/GEPSNONPILOT/Tender/SplashBidNoticeAbstractUI.aspx?menuIndex=3&amp;refID=7167626&amp;Result=3","7167626")</f>
        <v>0</v>
      </c>
      <c r="B2349" t="s">
        <v>1042</v>
      </c>
      <c r="C2349" t="s">
        <v>6146</v>
      </c>
      <c r="D2349" t="s">
        <v>19022</v>
      </c>
      <c r="E2349" t="s">
        <v>21248</v>
      </c>
      <c r="F2349" t="s">
        <v>32831</v>
      </c>
      <c r="G2349" t="s">
        <v>32839</v>
      </c>
      <c r="H2349" t="s">
        <v>32848</v>
      </c>
      <c r="I2349" t="s">
        <v>9577</v>
      </c>
      <c r="J2349" t="s">
        <v>34595</v>
      </c>
      <c r="K2349" t="s">
        <v>42758</v>
      </c>
      <c r="M2349" t="s">
        <v>44096</v>
      </c>
      <c r="N2349" t="s">
        <v>47424</v>
      </c>
      <c r="O2349" t="s">
        <v>47425</v>
      </c>
      <c r="P2349">
        <v>0</v>
      </c>
      <c r="Q2349">
        <v>0</v>
      </c>
      <c r="R2349" t="s">
        <v>47429</v>
      </c>
      <c r="S2349" t="s">
        <v>47542</v>
      </c>
      <c r="T2349" t="s">
        <v>49060</v>
      </c>
      <c r="U2349" t="s">
        <v>51682</v>
      </c>
      <c r="W2349" t="s">
        <v>44096</v>
      </c>
      <c r="X2349" t="s">
        <v>47426</v>
      </c>
    </row>
    <row r="2350" spans="1:24">
      <c r="A2350">
        <f>HYPERLINK("https://www.philgeps.gov.ph/GEPSNONPILOT/Tender/SplashBidNoticeAbstractUI.aspx?menuIndex=3&amp;refID=7166572&amp;Result=3","7166572")</f>
        <v>0</v>
      </c>
      <c r="B2350" t="s">
        <v>1043</v>
      </c>
      <c r="C2350" t="s">
        <v>6147</v>
      </c>
      <c r="D2350" t="s">
        <v>19103</v>
      </c>
      <c r="E2350" t="s">
        <v>21249</v>
      </c>
      <c r="F2350" t="s">
        <v>32831</v>
      </c>
      <c r="G2350" t="s">
        <v>32838</v>
      </c>
      <c r="H2350" t="s">
        <v>32848</v>
      </c>
      <c r="I2350" t="s">
        <v>32862</v>
      </c>
      <c r="J2350" t="s">
        <v>33029</v>
      </c>
      <c r="K2350" t="s">
        <v>42732</v>
      </c>
      <c r="M2350" t="s">
        <v>44097</v>
      </c>
      <c r="N2350" t="s">
        <v>47424</v>
      </c>
      <c r="O2350" t="s">
        <v>47425</v>
      </c>
      <c r="P2350">
        <v>0</v>
      </c>
      <c r="Q2350">
        <v>0</v>
      </c>
      <c r="R2350" t="s">
        <v>47429</v>
      </c>
      <c r="S2350" t="s">
        <v>47542</v>
      </c>
      <c r="T2350" t="s">
        <v>49073</v>
      </c>
      <c r="U2350" t="s">
        <v>51683</v>
      </c>
      <c r="V2350" t="s">
        <v>62870</v>
      </c>
      <c r="W2350" t="s">
        <v>44097</v>
      </c>
      <c r="X2350" t="s">
        <v>47426</v>
      </c>
    </row>
    <row r="2351" spans="1:24">
      <c r="A2351">
        <f>HYPERLINK("https://www.philgeps.gov.ph/GEPSNONPILOT/Tender/SplashBidNoticeAbstractUI.aspx?menuIndex=3&amp;refID=7167625&amp;Result=3","7167625")</f>
        <v>0</v>
      </c>
      <c r="B2351" t="s">
        <v>345</v>
      </c>
      <c r="C2351" t="s">
        <v>6148</v>
      </c>
      <c r="D2351" t="s">
        <v>19074</v>
      </c>
      <c r="E2351" t="s">
        <v>21250</v>
      </c>
      <c r="F2351" t="s">
        <v>32831</v>
      </c>
      <c r="G2351" t="s">
        <v>32838</v>
      </c>
      <c r="H2351" t="s">
        <v>32850</v>
      </c>
      <c r="I2351" t="s">
        <v>32857</v>
      </c>
      <c r="J2351" t="s">
        <v>33162</v>
      </c>
      <c r="K2351" t="s">
        <v>42731</v>
      </c>
      <c r="M2351" t="s">
        <v>44082</v>
      </c>
      <c r="N2351" t="s">
        <v>47424</v>
      </c>
      <c r="O2351" t="s">
        <v>47425</v>
      </c>
      <c r="P2351">
        <v>0</v>
      </c>
      <c r="Q2351">
        <v>0</v>
      </c>
      <c r="R2351" t="s">
        <v>47429</v>
      </c>
      <c r="S2351" t="s">
        <v>47542</v>
      </c>
      <c r="T2351" t="s">
        <v>49169</v>
      </c>
      <c r="U2351" t="s">
        <v>51684</v>
      </c>
      <c r="W2351" t="s">
        <v>44082</v>
      </c>
      <c r="X2351" t="s">
        <v>47426</v>
      </c>
    </row>
    <row r="2352" spans="1:24">
      <c r="A2352">
        <f>HYPERLINK("https://www.philgeps.gov.ph/GEPSNONPILOT/Tender/SplashBidNoticeAbstractUI.aspx?menuIndex=3&amp;refID=7167621&amp;Result=3","7167621")</f>
        <v>0</v>
      </c>
      <c r="B2352" t="s">
        <v>67</v>
      </c>
      <c r="C2352" t="s">
        <v>6149</v>
      </c>
      <c r="D2352" t="s">
        <v>19099</v>
      </c>
      <c r="E2352" t="s">
        <v>21251</v>
      </c>
      <c r="F2352" t="s">
        <v>32831</v>
      </c>
      <c r="G2352" t="s">
        <v>32838</v>
      </c>
      <c r="H2352" t="s">
        <v>32850</v>
      </c>
      <c r="I2352" t="s">
        <v>32863</v>
      </c>
      <c r="J2352" t="s">
        <v>33364</v>
      </c>
      <c r="K2352" t="s">
        <v>42727</v>
      </c>
      <c r="M2352" t="s">
        <v>43749</v>
      </c>
      <c r="N2352" t="s">
        <v>47424</v>
      </c>
      <c r="O2352" t="s">
        <v>47425</v>
      </c>
      <c r="P2352">
        <v>0</v>
      </c>
      <c r="Q2352">
        <v>0</v>
      </c>
      <c r="R2352" t="s">
        <v>47429</v>
      </c>
      <c r="S2352" t="s">
        <v>47542</v>
      </c>
      <c r="T2352" t="s">
        <v>49092</v>
      </c>
      <c r="U2352" t="s">
        <v>51013</v>
      </c>
      <c r="W2352" t="s">
        <v>64446</v>
      </c>
      <c r="X2352" t="s">
        <v>47426</v>
      </c>
    </row>
    <row r="2353" spans="1:24">
      <c r="A2353">
        <f>HYPERLINK("https://www.philgeps.gov.ph/GEPSNONPILOT/Tender/SplashBidNoticeAbstractUI.aspx?menuIndex=3&amp;refID=7167619&amp;Result=3","7167619")</f>
        <v>0</v>
      </c>
      <c r="B2353" t="s">
        <v>1027</v>
      </c>
      <c r="C2353" t="s">
        <v>6150</v>
      </c>
      <c r="D2353" t="s">
        <v>19038</v>
      </c>
      <c r="E2353" t="s">
        <v>21252</v>
      </c>
      <c r="F2353" t="s">
        <v>32831</v>
      </c>
      <c r="G2353" t="s">
        <v>32838</v>
      </c>
      <c r="H2353" t="s">
        <v>32848</v>
      </c>
      <c r="I2353" t="s">
        <v>4487</v>
      </c>
      <c r="J2353" t="s">
        <v>34596</v>
      </c>
      <c r="K2353" t="s">
        <v>42732</v>
      </c>
      <c r="M2353" t="s">
        <v>44077</v>
      </c>
      <c r="N2353" t="s">
        <v>47424</v>
      </c>
      <c r="O2353" t="s">
        <v>47425</v>
      </c>
      <c r="P2353">
        <v>0</v>
      </c>
      <c r="Q2353">
        <v>0</v>
      </c>
      <c r="R2353" t="s">
        <v>47429</v>
      </c>
      <c r="S2353" t="s">
        <v>47542</v>
      </c>
      <c r="T2353" t="s">
        <v>49119</v>
      </c>
      <c r="U2353" t="s">
        <v>50909</v>
      </c>
      <c r="W2353" t="s">
        <v>44077</v>
      </c>
      <c r="X2353" t="s">
        <v>47426</v>
      </c>
    </row>
    <row r="2354" spans="1:24">
      <c r="A2354">
        <f>HYPERLINK("https://www.philgeps.gov.ph/GEPSNONPILOT/Tender/SplashBidNoticeAbstractUI.aspx?menuIndex=3&amp;refID=7167631&amp;Result=3","7167631")</f>
        <v>0</v>
      </c>
      <c r="B2354" t="s">
        <v>1023</v>
      </c>
      <c r="C2354" t="s">
        <v>6151</v>
      </c>
      <c r="D2354" t="s">
        <v>19020</v>
      </c>
      <c r="E2354" t="s">
        <v>21253</v>
      </c>
      <c r="F2354" t="s">
        <v>32831</v>
      </c>
      <c r="G2354" t="s">
        <v>32839</v>
      </c>
      <c r="H2354" t="s">
        <v>32848</v>
      </c>
      <c r="I2354" t="s">
        <v>10805</v>
      </c>
      <c r="J2354" t="s">
        <v>34597</v>
      </c>
      <c r="K2354" t="s">
        <v>42730</v>
      </c>
      <c r="M2354" t="s">
        <v>44098</v>
      </c>
      <c r="N2354" t="s">
        <v>47424</v>
      </c>
      <c r="O2354" t="s">
        <v>47425</v>
      </c>
      <c r="P2354">
        <v>0</v>
      </c>
      <c r="Q2354">
        <v>0</v>
      </c>
      <c r="R2354" t="s">
        <v>47429</v>
      </c>
      <c r="S2354" t="s">
        <v>47542</v>
      </c>
      <c r="T2354" t="s">
        <v>49196</v>
      </c>
      <c r="U2354" t="s">
        <v>51685</v>
      </c>
      <c r="W2354" t="s">
        <v>44098</v>
      </c>
      <c r="X2354" t="s">
        <v>47426</v>
      </c>
    </row>
    <row r="2355" spans="1:24">
      <c r="A2355">
        <f>HYPERLINK("https://www.philgeps.gov.ph/GEPSNONPILOT/Tender/SplashBidNoticeAbstractUI.aspx?menuIndex=3&amp;refID=7167616&amp;Result=3","7167616")</f>
        <v>0</v>
      </c>
      <c r="B2355" t="s">
        <v>338</v>
      </c>
      <c r="C2355" t="s">
        <v>6152</v>
      </c>
      <c r="D2355" t="s">
        <v>19019</v>
      </c>
      <c r="E2355" t="s">
        <v>21254</v>
      </c>
      <c r="F2355" t="s">
        <v>32833</v>
      </c>
      <c r="G2355" t="s">
        <v>32838</v>
      </c>
      <c r="H2355" t="s">
        <v>32848</v>
      </c>
      <c r="I2355" t="s">
        <v>4438</v>
      </c>
      <c r="J2355" t="s">
        <v>34598</v>
      </c>
      <c r="K2355" t="s">
        <v>42759</v>
      </c>
      <c r="M2355" t="s">
        <v>44099</v>
      </c>
      <c r="N2355" t="s">
        <v>47424</v>
      </c>
      <c r="O2355" t="s">
        <v>47425</v>
      </c>
      <c r="P2355">
        <v>0</v>
      </c>
      <c r="Q2355">
        <v>0</v>
      </c>
      <c r="R2355" t="s">
        <v>47429</v>
      </c>
      <c r="S2355" t="s">
        <v>47542</v>
      </c>
      <c r="T2355" t="s">
        <v>49151</v>
      </c>
      <c r="U2355" t="s">
        <v>51686</v>
      </c>
      <c r="V2355" t="s">
        <v>50084</v>
      </c>
      <c r="W2355" t="s">
        <v>44099</v>
      </c>
      <c r="X2355" t="s">
        <v>47426</v>
      </c>
    </row>
    <row r="2356" spans="1:24">
      <c r="A2356">
        <f>HYPERLINK("https://www.philgeps.gov.ph/GEPSNONPILOT/Tender/SplashBidNoticeAbstractUI.aspx?menuIndex=3&amp;refID=7167627&amp;Result=3","7167627")</f>
        <v>0</v>
      </c>
      <c r="B2356" t="s">
        <v>67</v>
      </c>
      <c r="C2356" t="s">
        <v>6153</v>
      </c>
      <c r="D2356" t="s">
        <v>19099</v>
      </c>
      <c r="E2356" t="s">
        <v>21255</v>
      </c>
      <c r="F2356" t="s">
        <v>32831</v>
      </c>
      <c r="G2356" t="s">
        <v>32840</v>
      </c>
      <c r="H2356" t="s">
        <v>32848</v>
      </c>
      <c r="I2356" t="s">
        <v>4471</v>
      </c>
      <c r="J2356" t="s">
        <v>32976</v>
      </c>
      <c r="K2356" t="s">
        <v>42730</v>
      </c>
      <c r="M2356" t="s">
        <v>43749</v>
      </c>
      <c r="N2356" t="s">
        <v>47424</v>
      </c>
      <c r="O2356" t="s">
        <v>47425</v>
      </c>
      <c r="P2356">
        <v>0</v>
      </c>
      <c r="Q2356">
        <v>0</v>
      </c>
      <c r="R2356" t="s">
        <v>47429</v>
      </c>
      <c r="S2356" t="s">
        <v>47542</v>
      </c>
      <c r="T2356" t="s">
        <v>49092</v>
      </c>
      <c r="U2356" t="s">
        <v>51687</v>
      </c>
      <c r="W2356" t="s">
        <v>64446</v>
      </c>
      <c r="X2356" t="s">
        <v>47426</v>
      </c>
    </row>
    <row r="2357" spans="1:24">
      <c r="A2357">
        <f>HYPERLINK("https://www.philgeps.gov.ph/GEPSNONPILOT/Tender/SplashBidNoticeAbstractUI.aspx?menuIndex=3&amp;refID=7167614&amp;Result=3","7167614")</f>
        <v>0</v>
      </c>
      <c r="B2357" t="s">
        <v>67</v>
      </c>
      <c r="C2357" t="s">
        <v>6154</v>
      </c>
      <c r="D2357" t="s">
        <v>19099</v>
      </c>
      <c r="E2357" t="s">
        <v>21256</v>
      </c>
      <c r="F2357" t="s">
        <v>32831</v>
      </c>
      <c r="G2357" t="s">
        <v>32840</v>
      </c>
      <c r="H2357" t="s">
        <v>32848</v>
      </c>
      <c r="I2357" t="s">
        <v>4438</v>
      </c>
      <c r="J2357" t="s">
        <v>34599</v>
      </c>
      <c r="K2357" t="s">
        <v>42730</v>
      </c>
      <c r="M2357" t="s">
        <v>43749</v>
      </c>
      <c r="N2357" t="s">
        <v>47424</v>
      </c>
      <c r="O2357" t="s">
        <v>47425</v>
      </c>
      <c r="P2357">
        <v>0</v>
      </c>
      <c r="Q2357">
        <v>0</v>
      </c>
      <c r="R2357" t="s">
        <v>47429</v>
      </c>
      <c r="S2357" t="s">
        <v>47542</v>
      </c>
      <c r="T2357" t="s">
        <v>49092</v>
      </c>
      <c r="U2357" t="s">
        <v>51013</v>
      </c>
      <c r="W2357" t="s">
        <v>64446</v>
      </c>
      <c r="X2357" t="s">
        <v>47426</v>
      </c>
    </row>
    <row r="2358" spans="1:24">
      <c r="A2358">
        <f>HYPERLINK("https://www.philgeps.gov.ph/GEPSNONPILOT/Tender/SplashBidNoticeAbstractUI.aspx?menuIndex=3&amp;refID=7167623&amp;Result=3","7167623")</f>
        <v>0</v>
      </c>
      <c r="B2358" t="s">
        <v>1013</v>
      </c>
      <c r="C2358" t="s">
        <v>6155</v>
      </c>
      <c r="E2358" t="s">
        <v>21257</v>
      </c>
      <c r="F2358" t="s">
        <v>32831</v>
      </c>
      <c r="G2358" t="s">
        <v>32838</v>
      </c>
      <c r="H2358" t="s">
        <v>32848</v>
      </c>
      <c r="I2358" t="s">
        <v>5379</v>
      </c>
      <c r="J2358" t="s">
        <v>33140</v>
      </c>
      <c r="K2358" t="s">
        <v>42732</v>
      </c>
      <c r="M2358" t="s">
        <v>44062</v>
      </c>
      <c r="N2358" t="s">
        <v>47424</v>
      </c>
      <c r="O2358" t="s">
        <v>47425</v>
      </c>
      <c r="P2358">
        <v>0</v>
      </c>
      <c r="Q2358">
        <v>0</v>
      </c>
      <c r="R2358" t="s">
        <v>47429</v>
      </c>
      <c r="S2358" t="s">
        <v>47542</v>
      </c>
      <c r="T2358" t="s">
        <v>49104</v>
      </c>
      <c r="U2358" t="s">
        <v>51688</v>
      </c>
      <c r="W2358" t="s">
        <v>44062</v>
      </c>
      <c r="X2358" t="s">
        <v>47426</v>
      </c>
    </row>
    <row r="2359" spans="1:24">
      <c r="A2359">
        <f>HYPERLINK("https://www.philgeps.gov.ph/GEPSNONPILOT/Tender/SplashBidNoticeAbstractUI.aspx?menuIndex=3&amp;refID=7167613&amp;Result=3","7167613")</f>
        <v>0</v>
      </c>
      <c r="B2359" t="s">
        <v>1044</v>
      </c>
      <c r="C2359" t="s">
        <v>6156</v>
      </c>
      <c r="D2359" t="s">
        <v>19070</v>
      </c>
      <c r="E2359" t="s">
        <v>21258</v>
      </c>
      <c r="F2359" t="s">
        <v>32831</v>
      </c>
      <c r="G2359" t="s">
        <v>32842</v>
      </c>
      <c r="H2359" t="s">
        <v>32848</v>
      </c>
      <c r="I2359" t="s">
        <v>4776</v>
      </c>
      <c r="J2359" t="s">
        <v>34600</v>
      </c>
      <c r="K2359" t="s">
        <v>42730</v>
      </c>
      <c r="M2359" t="s">
        <v>44100</v>
      </c>
      <c r="N2359" t="s">
        <v>47424</v>
      </c>
      <c r="O2359" t="s">
        <v>47425</v>
      </c>
      <c r="P2359">
        <v>0</v>
      </c>
      <c r="Q2359">
        <v>0</v>
      </c>
      <c r="R2359" t="s">
        <v>47429</v>
      </c>
      <c r="S2359" t="s">
        <v>47542</v>
      </c>
      <c r="T2359" t="s">
        <v>49198</v>
      </c>
      <c r="U2359" t="s">
        <v>51689</v>
      </c>
      <c r="W2359" t="s">
        <v>44100</v>
      </c>
      <c r="X2359" t="s">
        <v>47426</v>
      </c>
    </row>
    <row r="2360" spans="1:24">
      <c r="A2360">
        <f>HYPERLINK("https://www.philgeps.gov.ph/GEPSNONPILOT/Tender/SplashBidNoticeAbstractUI.aspx?menuIndex=3&amp;refID=7167611&amp;Result=3","7167611")</f>
        <v>0</v>
      </c>
      <c r="B2360" t="s">
        <v>1029</v>
      </c>
      <c r="C2360" t="s">
        <v>6140</v>
      </c>
      <c r="D2360" t="s">
        <v>19040</v>
      </c>
      <c r="E2360" t="s">
        <v>21259</v>
      </c>
      <c r="F2360" t="s">
        <v>32831</v>
      </c>
      <c r="G2360" t="s">
        <v>32840</v>
      </c>
      <c r="H2360" t="s">
        <v>32848</v>
      </c>
      <c r="I2360" t="s">
        <v>4438</v>
      </c>
      <c r="J2360" t="s">
        <v>34601</v>
      </c>
      <c r="K2360" t="s">
        <v>42732</v>
      </c>
      <c r="M2360" t="s">
        <v>44081</v>
      </c>
      <c r="N2360" t="s">
        <v>47424</v>
      </c>
      <c r="O2360" t="s">
        <v>47425</v>
      </c>
      <c r="P2360">
        <v>0</v>
      </c>
      <c r="Q2360">
        <v>0</v>
      </c>
      <c r="R2360" t="s">
        <v>47429</v>
      </c>
      <c r="S2360" t="s">
        <v>47542</v>
      </c>
      <c r="T2360" t="s">
        <v>49119</v>
      </c>
      <c r="U2360" t="s">
        <v>51690</v>
      </c>
      <c r="W2360" t="s">
        <v>44081</v>
      </c>
      <c r="X2360" t="s">
        <v>47426</v>
      </c>
    </row>
    <row r="2361" spans="1:24">
      <c r="A2361">
        <f>HYPERLINK("https://www.philgeps.gov.ph/GEPSNONPILOT/Tender/SplashBidNoticeAbstractUI.aspx?menuIndex=3&amp;refID=7167620&amp;Result=3","7167620")</f>
        <v>0</v>
      </c>
      <c r="B2361" t="s">
        <v>1045</v>
      </c>
      <c r="C2361" t="s">
        <v>6157</v>
      </c>
      <c r="D2361" t="s">
        <v>19040</v>
      </c>
      <c r="E2361" t="s">
        <v>21260</v>
      </c>
      <c r="F2361" t="s">
        <v>32831</v>
      </c>
      <c r="G2361" t="s">
        <v>32839</v>
      </c>
      <c r="H2361" t="s">
        <v>32849</v>
      </c>
      <c r="I2361" t="s">
        <v>7416</v>
      </c>
      <c r="J2361" t="s">
        <v>33067</v>
      </c>
      <c r="K2361" t="s">
        <v>42727</v>
      </c>
      <c r="M2361" t="s">
        <v>44101</v>
      </c>
      <c r="N2361" t="s">
        <v>47424</v>
      </c>
      <c r="O2361" t="s">
        <v>47425</v>
      </c>
      <c r="P2361">
        <v>0</v>
      </c>
      <c r="Q2361">
        <v>0</v>
      </c>
      <c r="R2361" t="s">
        <v>47429</v>
      </c>
      <c r="S2361" t="s">
        <v>47542</v>
      </c>
      <c r="T2361" t="s">
        <v>49092</v>
      </c>
      <c r="U2361" t="s">
        <v>51691</v>
      </c>
      <c r="V2361" t="s">
        <v>62871</v>
      </c>
      <c r="W2361" t="s">
        <v>44101</v>
      </c>
      <c r="X2361" t="s">
        <v>47426</v>
      </c>
    </row>
    <row r="2362" spans="1:24">
      <c r="A2362">
        <f>HYPERLINK("https://www.philgeps.gov.ph/GEPSNONPILOT/Tender/SplashBidNoticeAbstractUI.aspx?menuIndex=3&amp;refID=7167618&amp;Result=3","7167618")</f>
        <v>0</v>
      </c>
      <c r="B2362" t="s">
        <v>1046</v>
      </c>
      <c r="C2362" t="s">
        <v>6158</v>
      </c>
      <c r="D2362" t="s">
        <v>19036</v>
      </c>
      <c r="E2362" t="s">
        <v>21261</v>
      </c>
      <c r="F2362" t="s">
        <v>32831</v>
      </c>
      <c r="G2362" t="s">
        <v>32838</v>
      </c>
      <c r="H2362" t="s">
        <v>32848</v>
      </c>
      <c r="I2362" t="s">
        <v>7437</v>
      </c>
      <c r="J2362" t="s">
        <v>34602</v>
      </c>
      <c r="K2362" t="s">
        <v>42726</v>
      </c>
      <c r="M2362" t="s">
        <v>44102</v>
      </c>
      <c r="N2362" t="s">
        <v>47424</v>
      </c>
      <c r="O2362" t="s">
        <v>47425</v>
      </c>
      <c r="P2362">
        <v>0</v>
      </c>
      <c r="Q2362">
        <v>0</v>
      </c>
      <c r="R2362" t="s">
        <v>47429</v>
      </c>
      <c r="S2362" t="s">
        <v>47542</v>
      </c>
      <c r="T2362" t="s">
        <v>49103</v>
      </c>
      <c r="U2362" t="s">
        <v>51692</v>
      </c>
      <c r="W2362" t="s">
        <v>44102</v>
      </c>
      <c r="X2362" t="s">
        <v>47426</v>
      </c>
    </row>
    <row r="2363" spans="1:24">
      <c r="A2363">
        <f>HYPERLINK("https://www.philgeps.gov.ph/GEPSNONPILOT/Tender/SplashBidNoticeAbstractUI.aspx?menuIndex=3&amp;refID=7167658&amp;Result=3","7167658")</f>
        <v>0</v>
      </c>
      <c r="B2363" t="s">
        <v>1047</v>
      </c>
      <c r="C2363" t="s">
        <v>6159</v>
      </c>
      <c r="D2363" t="s">
        <v>19077</v>
      </c>
      <c r="E2363" t="s">
        <v>21262</v>
      </c>
      <c r="F2363" t="s">
        <v>32831</v>
      </c>
      <c r="G2363" t="s">
        <v>32838</v>
      </c>
      <c r="H2363" t="s">
        <v>32848</v>
      </c>
      <c r="I2363" t="s">
        <v>9577</v>
      </c>
      <c r="J2363" t="s">
        <v>34603</v>
      </c>
      <c r="K2363" t="s">
        <v>42730</v>
      </c>
      <c r="M2363" t="s">
        <v>44103</v>
      </c>
      <c r="N2363" t="s">
        <v>47424</v>
      </c>
      <c r="O2363" t="s">
        <v>47425</v>
      </c>
      <c r="P2363">
        <v>0</v>
      </c>
      <c r="Q2363">
        <v>0</v>
      </c>
      <c r="R2363" t="s">
        <v>47429</v>
      </c>
      <c r="S2363" t="s">
        <v>47542</v>
      </c>
      <c r="T2363" t="s">
        <v>49089</v>
      </c>
      <c r="U2363" t="s">
        <v>51693</v>
      </c>
      <c r="W2363" t="s">
        <v>44103</v>
      </c>
      <c r="X2363" t="s">
        <v>47426</v>
      </c>
    </row>
    <row r="2364" spans="1:24">
      <c r="A2364">
        <f>HYPERLINK("https://www.philgeps.gov.ph/GEPSNONPILOT/Tender/SplashBidNoticeAbstractUI.aspx?menuIndex=3&amp;refID=7167657&amp;Result=3","7167657")</f>
        <v>0</v>
      </c>
      <c r="B2364" t="s">
        <v>1048</v>
      </c>
      <c r="C2364" t="s">
        <v>6160</v>
      </c>
      <c r="D2364" t="s">
        <v>19017</v>
      </c>
      <c r="E2364" t="s">
        <v>21263</v>
      </c>
      <c r="F2364" t="s">
        <v>32831</v>
      </c>
      <c r="G2364" t="s">
        <v>32839</v>
      </c>
      <c r="H2364" t="s">
        <v>32849</v>
      </c>
      <c r="I2364" t="s">
        <v>4177</v>
      </c>
      <c r="J2364" t="s">
        <v>33118</v>
      </c>
      <c r="K2364" t="s">
        <v>42729</v>
      </c>
      <c r="M2364" t="s">
        <v>44104</v>
      </c>
      <c r="N2364" t="s">
        <v>47424</v>
      </c>
      <c r="O2364" t="s">
        <v>47425</v>
      </c>
      <c r="P2364">
        <v>0</v>
      </c>
      <c r="Q2364">
        <v>0</v>
      </c>
      <c r="R2364" t="s">
        <v>47429</v>
      </c>
      <c r="S2364" t="s">
        <v>47542</v>
      </c>
      <c r="T2364" t="s">
        <v>49071</v>
      </c>
      <c r="U2364" t="s">
        <v>51694</v>
      </c>
      <c r="W2364" t="s">
        <v>44104</v>
      </c>
      <c r="X2364" t="s">
        <v>47426</v>
      </c>
    </row>
    <row r="2365" spans="1:24">
      <c r="A2365">
        <f>HYPERLINK("https://www.philgeps.gov.ph/GEPSNONPILOT/Tender/SplashBidNoticeAbstractUI.aspx?menuIndex=3&amp;refID=7167652&amp;Result=3","7167652")</f>
        <v>0</v>
      </c>
      <c r="B2365" t="s">
        <v>1023</v>
      </c>
      <c r="C2365" t="s">
        <v>6161</v>
      </c>
      <c r="D2365" t="s">
        <v>19020</v>
      </c>
      <c r="E2365" t="s">
        <v>21264</v>
      </c>
      <c r="F2365" t="s">
        <v>32831</v>
      </c>
      <c r="G2365" t="s">
        <v>32839</v>
      </c>
      <c r="H2365" t="s">
        <v>32848</v>
      </c>
      <c r="I2365" t="s">
        <v>4487</v>
      </c>
      <c r="J2365" t="s">
        <v>34604</v>
      </c>
      <c r="K2365" t="s">
        <v>42730</v>
      </c>
      <c r="M2365" t="s">
        <v>44098</v>
      </c>
      <c r="N2365" t="s">
        <v>47424</v>
      </c>
      <c r="O2365" t="s">
        <v>47425</v>
      </c>
      <c r="P2365">
        <v>0</v>
      </c>
      <c r="Q2365">
        <v>0</v>
      </c>
      <c r="R2365" t="s">
        <v>47429</v>
      </c>
      <c r="S2365" t="s">
        <v>47542</v>
      </c>
      <c r="T2365" t="s">
        <v>49196</v>
      </c>
      <c r="U2365" t="s">
        <v>51695</v>
      </c>
      <c r="W2365" t="s">
        <v>44098</v>
      </c>
      <c r="X2365" t="s">
        <v>47426</v>
      </c>
    </row>
    <row r="2366" spans="1:24">
      <c r="A2366">
        <f>HYPERLINK("https://www.philgeps.gov.ph/GEPSNONPILOT/Tender/SplashBidNoticeAbstractUI.aspx?menuIndex=3&amp;refID=7167655&amp;Result=3","7167655")</f>
        <v>0</v>
      </c>
      <c r="B2366" t="s">
        <v>413</v>
      </c>
      <c r="C2366" t="s">
        <v>6162</v>
      </c>
      <c r="D2366" t="s">
        <v>19017</v>
      </c>
      <c r="E2366" t="s">
        <v>21265</v>
      </c>
      <c r="F2366" t="s">
        <v>32831</v>
      </c>
      <c r="G2366" t="s">
        <v>32840</v>
      </c>
      <c r="H2366" t="s">
        <v>32848</v>
      </c>
      <c r="I2366" t="s">
        <v>32874</v>
      </c>
      <c r="J2366" t="s">
        <v>32980</v>
      </c>
      <c r="K2366" t="s">
        <v>42727</v>
      </c>
      <c r="M2366" t="s">
        <v>43418</v>
      </c>
      <c r="N2366" t="s">
        <v>47424</v>
      </c>
      <c r="O2366" t="s">
        <v>47425</v>
      </c>
      <c r="P2366">
        <v>0</v>
      </c>
      <c r="Q2366">
        <v>0</v>
      </c>
      <c r="R2366" t="s">
        <v>47429</v>
      </c>
      <c r="S2366" t="s">
        <v>47542</v>
      </c>
      <c r="T2366" t="s">
        <v>49127</v>
      </c>
      <c r="U2366" t="s">
        <v>51696</v>
      </c>
      <c r="V2366" t="s">
        <v>62872</v>
      </c>
      <c r="W2366" t="s">
        <v>64454</v>
      </c>
      <c r="X2366" t="s">
        <v>47426</v>
      </c>
    </row>
    <row r="2367" spans="1:24">
      <c r="A2367">
        <f>HYPERLINK("https://www.philgeps.gov.ph/GEPSNONPILOT/Tender/SplashBidNoticeAbstractUI.aspx?menuIndex=3&amp;refID=7167651&amp;Result=3","7167651")</f>
        <v>0</v>
      </c>
      <c r="B2367" t="s">
        <v>1045</v>
      </c>
      <c r="C2367" t="s">
        <v>6163</v>
      </c>
      <c r="D2367" t="s">
        <v>19040</v>
      </c>
      <c r="E2367" t="s">
        <v>21266</v>
      </c>
      <c r="F2367" t="s">
        <v>32831</v>
      </c>
      <c r="G2367" t="s">
        <v>32839</v>
      </c>
      <c r="H2367" t="s">
        <v>32848</v>
      </c>
      <c r="I2367" t="s">
        <v>32858</v>
      </c>
      <c r="J2367" t="s">
        <v>33072</v>
      </c>
      <c r="K2367" t="s">
        <v>42745</v>
      </c>
      <c r="M2367" t="s">
        <v>44101</v>
      </c>
      <c r="N2367" t="s">
        <v>47424</v>
      </c>
      <c r="O2367" t="s">
        <v>47425</v>
      </c>
      <c r="P2367">
        <v>0</v>
      </c>
      <c r="Q2367">
        <v>0</v>
      </c>
      <c r="R2367" t="s">
        <v>47429</v>
      </c>
      <c r="S2367" t="s">
        <v>47542</v>
      </c>
      <c r="T2367" t="s">
        <v>49092</v>
      </c>
      <c r="U2367" t="s">
        <v>51697</v>
      </c>
      <c r="V2367" t="s">
        <v>62871</v>
      </c>
      <c r="W2367" t="s">
        <v>44101</v>
      </c>
      <c r="X2367" t="s">
        <v>47426</v>
      </c>
    </row>
    <row r="2368" spans="1:24">
      <c r="A2368">
        <f>HYPERLINK("https://www.philgeps.gov.ph/GEPSNONPILOT/Tender/SplashBidNoticeAbstractUI.aspx?menuIndex=3&amp;refID=7167650&amp;Result=3","7167650")</f>
        <v>0</v>
      </c>
      <c r="B2368" t="s">
        <v>1049</v>
      </c>
      <c r="C2368" t="s">
        <v>6164</v>
      </c>
      <c r="D2368" t="s">
        <v>19021</v>
      </c>
      <c r="E2368" t="s">
        <v>20958</v>
      </c>
      <c r="F2368" t="s">
        <v>32831</v>
      </c>
      <c r="G2368" t="s">
        <v>32838</v>
      </c>
      <c r="H2368" t="s">
        <v>32848</v>
      </c>
      <c r="I2368" t="s">
        <v>9577</v>
      </c>
      <c r="J2368" t="s">
        <v>34605</v>
      </c>
      <c r="K2368" t="s">
        <v>42726</v>
      </c>
      <c r="M2368" t="s">
        <v>44105</v>
      </c>
      <c r="N2368" t="s">
        <v>47424</v>
      </c>
      <c r="O2368" t="s">
        <v>47425</v>
      </c>
      <c r="P2368">
        <v>0</v>
      </c>
      <c r="Q2368">
        <v>0</v>
      </c>
      <c r="R2368" t="s">
        <v>47429</v>
      </c>
      <c r="S2368" t="s">
        <v>47542</v>
      </c>
      <c r="T2368" t="s">
        <v>49129</v>
      </c>
      <c r="U2368" t="s">
        <v>51698</v>
      </c>
      <c r="W2368" t="s">
        <v>64455</v>
      </c>
      <c r="X2368" t="s">
        <v>47426</v>
      </c>
    </row>
    <row r="2369" spans="1:24">
      <c r="A2369">
        <f>HYPERLINK("https://www.philgeps.gov.ph/GEPSNONPILOT/Tender/SplashBidNoticeAbstractUI.aspx?menuIndex=3&amp;refID=7167648&amp;Result=3","7167648")</f>
        <v>0</v>
      </c>
      <c r="B2369" t="s">
        <v>1050</v>
      </c>
      <c r="C2369" t="s">
        <v>6098</v>
      </c>
      <c r="D2369" t="s">
        <v>19030</v>
      </c>
      <c r="E2369" t="s">
        <v>21267</v>
      </c>
      <c r="F2369" t="s">
        <v>32831</v>
      </c>
      <c r="G2369" t="s">
        <v>32838</v>
      </c>
      <c r="H2369" t="s">
        <v>32848</v>
      </c>
      <c r="I2369" t="s">
        <v>32860</v>
      </c>
      <c r="J2369" t="s">
        <v>33087</v>
      </c>
      <c r="K2369" t="s">
        <v>42758</v>
      </c>
      <c r="M2369" t="s">
        <v>44106</v>
      </c>
      <c r="N2369" t="s">
        <v>47424</v>
      </c>
      <c r="O2369" t="s">
        <v>47425</v>
      </c>
      <c r="P2369">
        <v>0</v>
      </c>
      <c r="Q2369">
        <v>0</v>
      </c>
      <c r="R2369" t="s">
        <v>47429</v>
      </c>
      <c r="S2369" t="s">
        <v>47542</v>
      </c>
      <c r="T2369" t="s">
        <v>49119</v>
      </c>
      <c r="U2369" t="s">
        <v>51699</v>
      </c>
      <c r="W2369" t="s">
        <v>44106</v>
      </c>
      <c r="X2369" t="s">
        <v>47426</v>
      </c>
    </row>
    <row r="2370" spans="1:24">
      <c r="A2370">
        <f>HYPERLINK("https://www.philgeps.gov.ph/GEPSNONPILOT/Tender/SplashBidNoticeAbstractUI.aspx?menuIndex=3&amp;refID=7167647&amp;Result=3","7167647")</f>
        <v>0</v>
      </c>
      <c r="B2370" t="s">
        <v>1029</v>
      </c>
      <c r="C2370" t="s">
        <v>5171</v>
      </c>
      <c r="D2370" t="s">
        <v>19040</v>
      </c>
      <c r="E2370" t="s">
        <v>21268</v>
      </c>
      <c r="F2370" t="s">
        <v>32831</v>
      </c>
      <c r="G2370" t="s">
        <v>32840</v>
      </c>
      <c r="H2370" t="s">
        <v>32848</v>
      </c>
      <c r="I2370" t="s">
        <v>32860</v>
      </c>
      <c r="J2370" t="s">
        <v>34606</v>
      </c>
      <c r="K2370" t="s">
        <v>42732</v>
      </c>
      <c r="M2370" t="s">
        <v>44081</v>
      </c>
      <c r="N2370" t="s">
        <v>47424</v>
      </c>
      <c r="O2370" t="s">
        <v>47425</v>
      </c>
      <c r="P2370">
        <v>0</v>
      </c>
      <c r="Q2370">
        <v>0</v>
      </c>
      <c r="R2370" t="s">
        <v>47429</v>
      </c>
      <c r="S2370" t="s">
        <v>47542</v>
      </c>
      <c r="T2370" t="s">
        <v>49198</v>
      </c>
      <c r="U2370" t="s">
        <v>51700</v>
      </c>
      <c r="W2370" t="s">
        <v>44081</v>
      </c>
      <c r="X2370" t="s">
        <v>47426</v>
      </c>
    </row>
    <row r="2371" spans="1:24">
      <c r="A2371">
        <f>HYPERLINK("https://www.philgeps.gov.ph/GEPSNONPILOT/Tender/SplashBidNoticeAbstractUI.aspx?menuIndex=3&amp;refID=7167646&amp;Result=3","7167646")</f>
        <v>0</v>
      </c>
      <c r="B2371" t="s">
        <v>910</v>
      </c>
      <c r="C2371" t="s">
        <v>6165</v>
      </c>
      <c r="D2371" t="s">
        <v>19017</v>
      </c>
      <c r="E2371" t="s">
        <v>21269</v>
      </c>
      <c r="F2371" t="s">
        <v>32831</v>
      </c>
      <c r="G2371" t="s">
        <v>32838</v>
      </c>
      <c r="H2371" t="s">
        <v>32848</v>
      </c>
      <c r="I2371" t="s">
        <v>10805</v>
      </c>
      <c r="J2371" t="s">
        <v>34607</v>
      </c>
      <c r="K2371" t="s">
        <v>42727</v>
      </c>
      <c r="M2371" t="s">
        <v>44107</v>
      </c>
      <c r="N2371" t="s">
        <v>47424</v>
      </c>
      <c r="O2371" t="s">
        <v>47425</v>
      </c>
      <c r="P2371">
        <v>0</v>
      </c>
      <c r="Q2371">
        <v>0</v>
      </c>
      <c r="R2371" t="s">
        <v>47429</v>
      </c>
      <c r="S2371" t="s">
        <v>47542</v>
      </c>
      <c r="T2371" t="s">
        <v>49104</v>
      </c>
      <c r="U2371" t="s">
        <v>51701</v>
      </c>
      <c r="V2371" t="s">
        <v>62873</v>
      </c>
      <c r="W2371" t="s">
        <v>44107</v>
      </c>
      <c r="X2371" t="s">
        <v>47426</v>
      </c>
    </row>
    <row r="2372" spans="1:24">
      <c r="A2372">
        <f>HYPERLINK("https://www.philgeps.gov.ph/GEPSNONPILOT/Tender/SplashBidNoticeAbstractUI.aspx?menuIndex=3&amp;refID=7167617&amp;Result=3","7167617")</f>
        <v>0</v>
      </c>
      <c r="B2372" t="s">
        <v>345</v>
      </c>
      <c r="C2372" t="s">
        <v>6166</v>
      </c>
      <c r="D2372" t="s">
        <v>19074</v>
      </c>
      <c r="E2372" t="s">
        <v>21270</v>
      </c>
      <c r="F2372" t="s">
        <v>32831</v>
      </c>
      <c r="G2372" t="s">
        <v>32838</v>
      </c>
      <c r="H2372" t="s">
        <v>32850</v>
      </c>
      <c r="I2372" t="s">
        <v>32857</v>
      </c>
      <c r="J2372" t="s">
        <v>32976</v>
      </c>
      <c r="K2372" t="s">
        <v>42731</v>
      </c>
      <c r="M2372" t="s">
        <v>44082</v>
      </c>
      <c r="N2372" t="s">
        <v>47424</v>
      </c>
      <c r="O2372" t="s">
        <v>47425</v>
      </c>
      <c r="P2372">
        <v>0</v>
      </c>
      <c r="Q2372">
        <v>0</v>
      </c>
      <c r="R2372" t="s">
        <v>47429</v>
      </c>
      <c r="S2372" t="s">
        <v>47542</v>
      </c>
      <c r="T2372" t="s">
        <v>49169</v>
      </c>
      <c r="U2372" t="s">
        <v>51702</v>
      </c>
      <c r="W2372" t="s">
        <v>44082</v>
      </c>
      <c r="X2372" t="s">
        <v>47426</v>
      </c>
    </row>
    <row r="2373" spans="1:24">
      <c r="A2373">
        <f>HYPERLINK("https://www.philgeps.gov.ph/GEPSNONPILOT/Tender/SplashBidNoticeAbstractUI.aspx?menuIndex=3&amp;refID=7167628&amp;Result=3","7167628")</f>
        <v>0</v>
      </c>
      <c r="B2373" t="s">
        <v>1045</v>
      </c>
      <c r="C2373" t="s">
        <v>6167</v>
      </c>
      <c r="D2373" t="s">
        <v>19040</v>
      </c>
      <c r="E2373" t="s">
        <v>21271</v>
      </c>
      <c r="F2373" t="s">
        <v>32831</v>
      </c>
      <c r="G2373" t="s">
        <v>32839</v>
      </c>
      <c r="H2373" t="s">
        <v>32849</v>
      </c>
      <c r="I2373" t="s">
        <v>7416</v>
      </c>
      <c r="J2373" t="s">
        <v>33140</v>
      </c>
      <c r="K2373" t="s">
        <v>42731</v>
      </c>
      <c r="M2373" t="s">
        <v>44101</v>
      </c>
      <c r="N2373" t="s">
        <v>47424</v>
      </c>
      <c r="O2373" t="s">
        <v>47425</v>
      </c>
      <c r="P2373">
        <v>0</v>
      </c>
      <c r="Q2373">
        <v>0</v>
      </c>
      <c r="R2373" t="s">
        <v>47429</v>
      </c>
      <c r="S2373" t="s">
        <v>47542</v>
      </c>
      <c r="T2373" t="s">
        <v>49092</v>
      </c>
      <c r="U2373" t="s">
        <v>51703</v>
      </c>
      <c r="V2373" t="s">
        <v>62871</v>
      </c>
      <c r="W2373" t="s">
        <v>44101</v>
      </c>
      <c r="X2373" t="s">
        <v>47426</v>
      </c>
    </row>
    <row r="2374" spans="1:24">
      <c r="A2374">
        <f>HYPERLINK("https://www.philgeps.gov.ph/GEPSNONPILOT/Tender/SplashBidNoticeAbstractUI.aspx?menuIndex=3&amp;refID=7167642&amp;Result=3","7167642")</f>
        <v>0</v>
      </c>
      <c r="B2374" t="s">
        <v>1029</v>
      </c>
      <c r="C2374" t="s">
        <v>6168</v>
      </c>
      <c r="D2374" t="s">
        <v>19040</v>
      </c>
      <c r="E2374" t="s">
        <v>21268</v>
      </c>
      <c r="F2374" t="s">
        <v>32831</v>
      </c>
      <c r="G2374" t="s">
        <v>32840</v>
      </c>
      <c r="H2374" t="s">
        <v>32848</v>
      </c>
      <c r="I2374" t="s">
        <v>32858</v>
      </c>
      <c r="J2374" t="s">
        <v>34608</v>
      </c>
      <c r="K2374" t="s">
        <v>42732</v>
      </c>
      <c r="M2374" t="s">
        <v>44081</v>
      </c>
      <c r="N2374" t="s">
        <v>47424</v>
      </c>
      <c r="O2374" t="s">
        <v>47425</v>
      </c>
      <c r="P2374">
        <v>0</v>
      </c>
      <c r="Q2374">
        <v>0</v>
      </c>
      <c r="R2374" t="s">
        <v>47429</v>
      </c>
      <c r="S2374" t="s">
        <v>47542</v>
      </c>
      <c r="T2374" t="s">
        <v>49198</v>
      </c>
      <c r="U2374" t="s">
        <v>51704</v>
      </c>
      <c r="W2374" t="s">
        <v>44081</v>
      </c>
      <c r="X2374" t="s">
        <v>47426</v>
      </c>
    </row>
    <row r="2375" spans="1:24">
      <c r="A2375">
        <f>HYPERLINK("https://www.philgeps.gov.ph/GEPSNONPILOT/Tender/SplashBidNoticeAbstractUI.aspx?menuIndex=3&amp;refID=7167615&amp;Result=3","7167615")</f>
        <v>0</v>
      </c>
      <c r="B2375" t="s">
        <v>963</v>
      </c>
      <c r="C2375" t="s">
        <v>6169</v>
      </c>
      <c r="D2375" t="s">
        <v>19074</v>
      </c>
      <c r="E2375" t="s">
        <v>21272</v>
      </c>
      <c r="F2375" t="s">
        <v>32831</v>
      </c>
      <c r="G2375" t="s">
        <v>32838</v>
      </c>
      <c r="H2375" t="s">
        <v>32848</v>
      </c>
      <c r="I2375" t="s">
        <v>5379</v>
      </c>
      <c r="J2375" t="s">
        <v>33133</v>
      </c>
      <c r="K2375" t="s">
        <v>42726</v>
      </c>
      <c r="M2375" t="s">
        <v>44009</v>
      </c>
      <c r="N2375" t="s">
        <v>47424</v>
      </c>
      <c r="O2375" t="s">
        <v>47425</v>
      </c>
      <c r="P2375">
        <v>0</v>
      </c>
      <c r="Q2375">
        <v>0</v>
      </c>
      <c r="R2375" t="s">
        <v>47429</v>
      </c>
      <c r="S2375" t="s">
        <v>47542</v>
      </c>
      <c r="T2375" t="s">
        <v>49104</v>
      </c>
      <c r="U2375" t="s">
        <v>51705</v>
      </c>
      <c r="W2375" t="s">
        <v>44009</v>
      </c>
      <c r="X2375" t="s">
        <v>47426</v>
      </c>
    </row>
    <row r="2376" spans="1:24">
      <c r="A2376">
        <f>HYPERLINK("https://www.philgeps.gov.ph/GEPSNONPILOT/Tender/SplashBidNoticeAbstractUI.aspx?menuIndex=3&amp;refID=7167640&amp;Result=3","7167640")</f>
        <v>0</v>
      </c>
      <c r="B2376" t="s">
        <v>1049</v>
      </c>
      <c r="C2376" t="s">
        <v>6170</v>
      </c>
      <c r="D2376" t="s">
        <v>19021</v>
      </c>
      <c r="E2376" t="s">
        <v>19161</v>
      </c>
      <c r="F2376" t="s">
        <v>32831</v>
      </c>
      <c r="G2376" t="s">
        <v>32838</v>
      </c>
      <c r="H2376" t="s">
        <v>32848</v>
      </c>
      <c r="I2376" t="s">
        <v>9577</v>
      </c>
      <c r="J2376" t="s">
        <v>34609</v>
      </c>
      <c r="K2376" t="s">
        <v>42726</v>
      </c>
      <c r="M2376" t="s">
        <v>44105</v>
      </c>
      <c r="N2376" t="s">
        <v>47424</v>
      </c>
      <c r="O2376" t="s">
        <v>47425</v>
      </c>
      <c r="P2376">
        <v>0</v>
      </c>
      <c r="Q2376">
        <v>0</v>
      </c>
      <c r="R2376" t="s">
        <v>47429</v>
      </c>
      <c r="S2376" t="s">
        <v>47542</v>
      </c>
      <c r="T2376" t="s">
        <v>49129</v>
      </c>
      <c r="U2376" t="s">
        <v>51706</v>
      </c>
      <c r="W2376" t="s">
        <v>64455</v>
      </c>
      <c r="X2376" t="s">
        <v>47426</v>
      </c>
    </row>
    <row r="2377" spans="1:24">
      <c r="A2377">
        <f>HYPERLINK("https://www.philgeps.gov.ph/GEPSNONPILOT/Tender/SplashBidNoticeAbstractUI.aspx?menuIndex=3&amp;refID=7167636&amp;Result=3","7167636")</f>
        <v>0</v>
      </c>
      <c r="B2377" t="s">
        <v>1045</v>
      </c>
      <c r="C2377" t="s">
        <v>6171</v>
      </c>
      <c r="D2377" t="s">
        <v>19040</v>
      </c>
      <c r="E2377" t="s">
        <v>21273</v>
      </c>
      <c r="F2377" t="s">
        <v>32831</v>
      </c>
      <c r="G2377" t="s">
        <v>32839</v>
      </c>
      <c r="H2377" t="s">
        <v>32849</v>
      </c>
      <c r="I2377" t="s">
        <v>7416</v>
      </c>
      <c r="J2377" t="s">
        <v>33087</v>
      </c>
      <c r="K2377" t="s">
        <v>42727</v>
      </c>
      <c r="M2377" t="s">
        <v>44101</v>
      </c>
      <c r="N2377" t="s">
        <v>47424</v>
      </c>
      <c r="O2377" t="s">
        <v>47425</v>
      </c>
      <c r="P2377">
        <v>0</v>
      </c>
      <c r="Q2377">
        <v>0</v>
      </c>
      <c r="R2377" t="s">
        <v>47429</v>
      </c>
      <c r="S2377" t="s">
        <v>47542</v>
      </c>
      <c r="T2377" t="s">
        <v>49092</v>
      </c>
      <c r="U2377" t="s">
        <v>51707</v>
      </c>
      <c r="V2377" t="s">
        <v>62871</v>
      </c>
      <c r="W2377" t="s">
        <v>44101</v>
      </c>
      <c r="X2377" t="s">
        <v>47426</v>
      </c>
    </row>
    <row r="2378" spans="1:24">
      <c r="A2378">
        <f>HYPERLINK("https://www.philgeps.gov.ph/GEPSNONPILOT/Tender/SplashBidNoticeAbstractUI.aspx?menuIndex=3&amp;refID=7167634&amp;Result=3","7167634")</f>
        <v>0</v>
      </c>
      <c r="B2378" t="s">
        <v>1029</v>
      </c>
      <c r="C2378" t="s">
        <v>6172</v>
      </c>
      <c r="D2378" t="s">
        <v>19040</v>
      </c>
      <c r="E2378" t="s">
        <v>21274</v>
      </c>
      <c r="F2378" t="s">
        <v>32831</v>
      </c>
      <c r="G2378" t="s">
        <v>32840</v>
      </c>
      <c r="H2378" t="s">
        <v>32848</v>
      </c>
      <c r="I2378" t="s">
        <v>4438</v>
      </c>
      <c r="J2378" t="s">
        <v>33985</v>
      </c>
      <c r="K2378" t="s">
        <v>42732</v>
      </c>
      <c r="M2378" t="s">
        <v>44081</v>
      </c>
      <c r="N2378" t="s">
        <v>47424</v>
      </c>
      <c r="O2378" t="s">
        <v>47425</v>
      </c>
      <c r="P2378">
        <v>0</v>
      </c>
      <c r="Q2378">
        <v>0</v>
      </c>
      <c r="R2378" t="s">
        <v>47429</v>
      </c>
      <c r="S2378" t="s">
        <v>47542</v>
      </c>
      <c r="T2378" t="s">
        <v>49198</v>
      </c>
      <c r="U2378" t="s">
        <v>51708</v>
      </c>
      <c r="W2378" t="s">
        <v>44081</v>
      </c>
      <c r="X2378" t="s">
        <v>47426</v>
      </c>
    </row>
    <row r="2379" spans="1:24">
      <c r="A2379">
        <f>HYPERLINK("https://www.philgeps.gov.ph/GEPSNONPILOT/Tender/SplashBidNoticeAbstractUI.aspx?menuIndex=3&amp;refID=7166574&amp;Result=3","7166574")</f>
        <v>0</v>
      </c>
      <c r="B2379" t="s">
        <v>709</v>
      </c>
      <c r="C2379" t="s">
        <v>6173</v>
      </c>
      <c r="D2379" t="s">
        <v>19037</v>
      </c>
      <c r="E2379" t="s">
        <v>21275</v>
      </c>
      <c r="F2379" t="s">
        <v>32831</v>
      </c>
      <c r="G2379" t="s">
        <v>32838</v>
      </c>
      <c r="H2379" t="s">
        <v>32848</v>
      </c>
      <c r="I2379" t="s">
        <v>5379</v>
      </c>
      <c r="J2379" t="s">
        <v>33077</v>
      </c>
      <c r="K2379" t="s">
        <v>42732</v>
      </c>
      <c r="M2379" t="s">
        <v>43729</v>
      </c>
      <c r="N2379" t="s">
        <v>47424</v>
      </c>
      <c r="O2379" t="s">
        <v>47425</v>
      </c>
      <c r="P2379">
        <v>0</v>
      </c>
      <c r="Q2379">
        <v>0</v>
      </c>
      <c r="R2379" t="s">
        <v>47429</v>
      </c>
      <c r="S2379" t="s">
        <v>47542</v>
      </c>
      <c r="T2379" t="s">
        <v>49198</v>
      </c>
      <c r="U2379" t="s">
        <v>51709</v>
      </c>
      <c r="V2379" t="s">
        <v>62874</v>
      </c>
      <c r="W2379" t="s">
        <v>43729</v>
      </c>
      <c r="X2379" t="s">
        <v>47426</v>
      </c>
    </row>
    <row r="2380" spans="1:24">
      <c r="A2380">
        <f>HYPERLINK("https://www.philgeps.gov.ph/GEPSNONPILOT/Tender/SplashBidNoticeAbstractUI.aspx?menuIndex=3&amp;refID=7167645&amp;Result=3","7167645")</f>
        <v>0</v>
      </c>
      <c r="B2380" t="s">
        <v>1051</v>
      </c>
      <c r="C2380" t="s">
        <v>6174</v>
      </c>
      <c r="D2380" t="s">
        <v>19022</v>
      </c>
      <c r="E2380" t="s">
        <v>19208</v>
      </c>
      <c r="F2380" t="s">
        <v>32831</v>
      </c>
      <c r="G2380" t="s">
        <v>32838</v>
      </c>
      <c r="H2380" t="s">
        <v>32848</v>
      </c>
      <c r="I2380" t="s">
        <v>32864</v>
      </c>
      <c r="J2380" t="s">
        <v>34610</v>
      </c>
      <c r="K2380" t="s">
        <v>42776</v>
      </c>
      <c r="M2380" t="s">
        <v>44108</v>
      </c>
      <c r="N2380" t="s">
        <v>47424</v>
      </c>
      <c r="O2380" t="s">
        <v>47425</v>
      </c>
      <c r="P2380">
        <v>0</v>
      </c>
      <c r="Q2380">
        <v>0</v>
      </c>
      <c r="R2380" t="s">
        <v>47429</v>
      </c>
      <c r="S2380" t="s">
        <v>47542</v>
      </c>
      <c r="T2380" t="s">
        <v>49119</v>
      </c>
      <c r="U2380" t="s">
        <v>51710</v>
      </c>
      <c r="W2380" t="s">
        <v>44108</v>
      </c>
      <c r="X2380" t="s">
        <v>47426</v>
      </c>
    </row>
    <row r="2381" spans="1:24">
      <c r="A2381">
        <f>HYPERLINK("https://www.philgeps.gov.ph/GEPSNONPILOT/Tender/SplashBidNoticeAbstractUI.aspx?menuIndex=3&amp;refID=7167639&amp;Result=3","7167639")</f>
        <v>0</v>
      </c>
      <c r="B2381" t="s">
        <v>1029</v>
      </c>
      <c r="C2381" t="s">
        <v>6175</v>
      </c>
      <c r="D2381" t="s">
        <v>19040</v>
      </c>
      <c r="E2381" t="s">
        <v>21276</v>
      </c>
      <c r="F2381" t="s">
        <v>32831</v>
      </c>
      <c r="G2381" t="s">
        <v>32840</v>
      </c>
      <c r="H2381" t="s">
        <v>32848</v>
      </c>
      <c r="I2381" t="s">
        <v>4438</v>
      </c>
      <c r="J2381" t="s">
        <v>33704</v>
      </c>
      <c r="K2381" t="s">
        <v>42732</v>
      </c>
      <c r="M2381" t="s">
        <v>44081</v>
      </c>
      <c r="N2381" t="s">
        <v>47424</v>
      </c>
      <c r="O2381" t="s">
        <v>47425</v>
      </c>
      <c r="P2381">
        <v>0</v>
      </c>
      <c r="Q2381">
        <v>0</v>
      </c>
      <c r="R2381" t="s">
        <v>47429</v>
      </c>
      <c r="S2381" t="s">
        <v>47542</v>
      </c>
      <c r="T2381" t="s">
        <v>49119</v>
      </c>
      <c r="U2381" t="s">
        <v>51711</v>
      </c>
      <c r="W2381" t="s">
        <v>44081</v>
      </c>
      <c r="X2381" t="s">
        <v>47426</v>
      </c>
    </row>
    <row r="2382" spans="1:24">
      <c r="A2382">
        <f>HYPERLINK("https://www.philgeps.gov.ph/GEPSNONPILOT/Tender/SplashBidNoticeAbstractUI.aspx?menuIndex=3&amp;refID=7167643&amp;Result=3","7167643")</f>
        <v>0</v>
      </c>
      <c r="B2382" t="s">
        <v>1045</v>
      </c>
      <c r="C2382" t="s">
        <v>6176</v>
      </c>
      <c r="D2382" t="s">
        <v>19040</v>
      </c>
      <c r="E2382" t="s">
        <v>21277</v>
      </c>
      <c r="F2382" t="s">
        <v>32831</v>
      </c>
      <c r="G2382" t="s">
        <v>32839</v>
      </c>
      <c r="H2382" t="s">
        <v>32848</v>
      </c>
      <c r="I2382" t="s">
        <v>32903</v>
      </c>
      <c r="J2382" t="s">
        <v>34155</v>
      </c>
      <c r="K2382" t="s">
        <v>42730</v>
      </c>
      <c r="M2382" t="s">
        <v>44101</v>
      </c>
      <c r="N2382" t="s">
        <v>47424</v>
      </c>
      <c r="O2382" t="s">
        <v>47425</v>
      </c>
      <c r="P2382">
        <v>0</v>
      </c>
      <c r="Q2382">
        <v>0</v>
      </c>
      <c r="R2382" t="s">
        <v>47429</v>
      </c>
      <c r="S2382" t="s">
        <v>47542</v>
      </c>
      <c r="T2382" t="s">
        <v>49092</v>
      </c>
      <c r="U2382" t="s">
        <v>51712</v>
      </c>
      <c r="V2382" t="s">
        <v>62871</v>
      </c>
      <c r="W2382" t="s">
        <v>44101</v>
      </c>
      <c r="X2382" t="s">
        <v>47426</v>
      </c>
    </row>
    <row r="2383" spans="1:24">
      <c r="A2383">
        <f>HYPERLINK("https://www.philgeps.gov.ph/GEPSNONPILOT/Tender/SplashBidNoticeAbstractUI.aspx?menuIndex=3&amp;refID=7167609&amp;Result=3","7167609")</f>
        <v>0</v>
      </c>
      <c r="B2383" t="s">
        <v>1013</v>
      </c>
      <c r="C2383" t="s">
        <v>6177</v>
      </c>
      <c r="E2383" t="s">
        <v>21278</v>
      </c>
      <c r="F2383" t="s">
        <v>32831</v>
      </c>
      <c r="G2383" t="s">
        <v>32838</v>
      </c>
      <c r="H2383" t="s">
        <v>32848</v>
      </c>
      <c r="I2383" t="s">
        <v>7878</v>
      </c>
      <c r="J2383" t="s">
        <v>32980</v>
      </c>
      <c r="K2383" t="s">
        <v>42732</v>
      </c>
      <c r="M2383" t="s">
        <v>44062</v>
      </c>
      <c r="N2383" t="s">
        <v>47424</v>
      </c>
      <c r="O2383" t="s">
        <v>47425</v>
      </c>
      <c r="P2383">
        <v>0</v>
      </c>
      <c r="Q2383">
        <v>0</v>
      </c>
      <c r="R2383" t="s">
        <v>47429</v>
      </c>
      <c r="S2383" t="s">
        <v>47542</v>
      </c>
      <c r="T2383" t="s">
        <v>49104</v>
      </c>
      <c r="U2383" t="s">
        <v>51603</v>
      </c>
      <c r="W2383" t="s">
        <v>44062</v>
      </c>
      <c r="X2383" t="s">
        <v>47426</v>
      </c>
    </row>
    <row r="2384" spans="1:24">
      <c r="A2384">
        <f>HYPERLINK("https://www.philgeps.gov.ph/GEPSNONPILOT/Tender/SplashBidNoticeAbstractUI.aspx?menuIndex=3&amp;refID=7166571&amp;Result=3","7166571")</f>
        <v>0</v>
      </c>
      <c r="B2384" t="s">
        <v>731</v>
      </c>
      <c r="C2384" t="s">
        <v>6178</v>
      </c>
      <c r="D2384" t="s">
        <v>19086</v>
      </c>
      <c r="E2384" t="s">
        <v>21279</v>
      </c>
      <c r="F2384" t="s">
        <v>32831</v>
      </c>
      <c r="G2384" t="s">
        <v>32840</v>
      </c>
      <c r="H2384" t="s">
        <v>32848</v>
      </c>
      <c r="I2384" t="s">
        <v>7416</v>
      </c>
      <c r="J2384" t="s">
        <v>34611</v>
      </c>
      <c r="K2384" t="s">
        <v>42726</v>
      </c>
      <c r="M2384" t="s">
        <v>43753</v>
      </c>
      <c r="N2384" t="s">
        <v>47424</v>
      </c>
      <c r="O2384" t="s">
        <v>47425</v>
      </c>
      <c r="P2384">
        <v>0</v>
      </c>
      <c r="Q2384">
        <v>0</v>
      </c>
      <c r="R2384" t="s">
        <v>47429</v>
      </c>
      <c r="S2384" t="s">
        <v>47542</v>
      </c>
      <c r="T2384" t="s">
        <v>49073</v>
      </c>
      <c r="U2384" t="s">
        <v>51018</v>
      </c>
      <c r="W2384" t="s">
        <v>43753</v>
      </c>
      <c r="X2384" t="s">
        <v>47426</v>
      </c>
    </row>
    <row r="2385" spans="1:24">
      <c r="A2385">
        <f>HYPERLINK("https://www.philgeps.gov.ph/GEPSNONPILOT/Tender/SplashBidNoticeAbstractUI.aspx?menuIndex=3&amp;refID=7167638&amp;Result=3","7167638")</f>
        <v>0</v>
      </c>
      <c r="B2385" t="s">
        <v>1052</v>
      </c>
      <c r="C2385" t="s">
        <v>6179</v>
      </c>
      <c r="D2385" t="s">
        <v>19056</v>
      </c>
      <c r="E2385" t="s">
        <v>21280</v>
      </c>
      <c r="F2385" t="s">
        <v>32831</v>
      </c>
      <c r="G2385" t="s">
        <v>32839</v>
      </c>
      <c r="H2385" t="s">
        <v>32848</v>
      </c>
      <c r="I2385" t="s">
        <v>32864</v>
      </c>
      <c r="J2385" t="s">
        <v>34612</v>
      </c>
      <c r="K2385" t="s">
        <v>42732</v>
      </c>
      <c r="M2385" t="s">
        <v>44109</v>
      </c>
      <c r="N2385" t="s">
        <v>47424</v>
      </c>
      <c r="O2385" t="s">
        <v>47425</v>
      </c>
      <c r="P2385">
        <v>0</v>
      </c>
      <c r="Q2385">
        <v>0</v>
      </c>
      <c r="R2385" t="s">
        <v>47429</v>
      </c>
      <c r="S2385" t="s">
        <v>47542</v>
      </c>
      <c r="T2385" t="s">
        <v>49143</v>
      </c>
      <c r="U2385" t="s">
        <v>51713</v>
      </c>
      <c r="W2385" t="s">
        <v>44109</v>
      </c>
      <c r="X2385" t="s">
        <v>47426</v>
      </c>
    </row>
    <row r="2386" spans="1:24">
      <c r="A2386">
        <f>HYPERLINK("https://www.philgeps.gov.ph/GEPSNONPILOT/Tender/SplashBidNoticeAbstractUI.aspx?menuIndex=3&amp;refID=7166551&amp;Result=3","7166551")</f>
        <v>0</v>
      </c>
      <c r="B2386" t="s">
        <v>1053</v>
      </c>
      <c r="C2386" t="s">
        <v>6180</v>
      </c>
      <c r="D2386" t="s">
        <v>19040</v>
      </c>
      <c r="E2386" t="s">
        <v>21281</v>
      </c>
      <c r="F2386" t="s">
        <v>32831</v>
      </c>
      <c r="G2386" t="s">
        <v>32840</v>
      </c>
      <c r="H2386" t="s">
        <v>32848</v>
      </c>
      <c r="I2386" t="s">
        <v>32857</v>
      </c>
      <c r="J2386" t="s">
        <v>34613</v>
      </c>
      <c r="K2386" t="s">
        <v>42726</v>
      </c>
      <c r="M2386" t="s">
        <v>44110</v>
      </c>
      <c r="N2386" t="s">
        <v>47424</v>
      </c>
      <c r="O2386" t="s">
        <v>47425</v>
      </c>
      <c r="P2386">
        <v>0</v>
      </c>
      <c r="Q2386">
        <v>0</v>
      </c>
      <c r="R2386" t="s">
        <v>47429</v>
      </c>
      <c r="S2386" t="s">
        <v>47542</v>
      </c>
      <c r="T2386" t="s">
        <v>49151</v>
      </c>
      <c r="U2386" t="s">
        <v>51714</v>
      </c>
      <c r="V2386" t="s">
        <v>62875</v>
      </c>
      <c r="W2386" t="s">
        <v>44110</v>
      </c>
      <c r="X2386" t="s">
        <v>47426</v>
      </c>
    </row>
    <row r="2387" spans="1:24">
      <c r="A2387">
        <f>HYPERLINK("https://www.philgeps.gov.ph/GEPSNONPILOT/Tender/SplashBidNoticeAbstractUI.aspx?menuIndex=3&amp;refID=7167635&amp;Result=3","7167635")</f>
        <v>0</v>
      </c>
      <c r="B2387" t="s">
        <v>1054</v>
      </c>
      <c r="C2387" t="s">
        <v>6181</v>
      </c>
      <c r="E2387" t="s">
        <v>21282</v>
      </c>
      <c r="F2387" t="s">
        <v>32831</v>
      </c>
      <c r="G2387" t="s">
        <v>32841</v>
      </c>
      <c r="H2387" t="s">
        <v>32850</v>
      </c>
      <c r="I2387" t="s">
        <v>5667</v>
      </c>
      <c r="J2387" t="s">
        <v>34614</v>
      </c>
      <c r="K2387" t="s">
        <v>42807</v>
      </c>
      <c r="M2387" t="s">
        <v>44111</v>
      </c>
      <c r="N2387" t="s">
        <v>47424</v>
      </c>
      <c r="O2387" t="s">
        <v>47425</v>
      </c>
      <c r="P2387">
        <v>0</v>
      </c>
      <c r="Q2387">
        <v>0</v>
      </c>
      <c r="R2387" t="s">
        <v>47429</v>
      </c>
      <c r="S2387" t="s">
        <v>47542</v>
      </c>
      <c r="T2387" t="s">
        <v>49310</v>
      </c>
      <c r="U2387" t="s">
        <v>51715</v>
      </c>
      <c r="W2387" t="s">
        <v>44111</v>
      </c>
      <c r="X2387" t="s">
        <v>47426</v>
      </c>
    </row>
    <row r="2388" spans="1:24">
      <c r="A2388">
        <f>HYPERLINK("https://www.philgeps.gov.ph/GEPSNONPILOT/Tender/SplashBidNoticeAbstractUI.aspx?menuIndex=3&amp;refID=7167653&amp;Result=3","7167653")</f>
        <v>0</v>
      </c>
      <c r="B2388" t="s">
        <v>1055</v>
      </c>
      <c r="C2388" t="s">
        <v>6182</v>
      </c>
      <c r="D2388" t="s">
        <v>19017</v>
      </c>
      <c r="E2388" t="s">
        <v>21283</v>
      </c>
      <c r="F2388" t="s">
        <v>32831</v>
      </c>
      <c r="G2388" t="s">
        <v>32838</v>
      </c>
      <c r="H2388" t="s">
        <v>32848</v>
      </c>
      <c r="I2388" t="s">
        <v>32874</v>
      </c>
      <c r="J2388" t="s">
        <v>33148</v>
      </c>
      <c r="K2388" t="s">
        <v>42732</v>
      </c>
      <c r="M2388" t="s">
        <v>44112</v>
      </c>
      <c r="N2388" t="s">
        <v>47424</v>
      </c>
      <c r="O2388" t="s">
        <v>47425</v>
      </c>
      <c r="P2388">
        <v>0</v>
      </c>
      <c r="Q2388">
        <v>0</v>
      </c>
      <c r="R2388" t="s">
        <v>47429</v>
      </c>
      <c r="S2388" t="s">
        <v>47542</v>
      </c>
      <c r="T2388" t="s">
        <v>49129</v>
      </c>
      <c r="U2388" t="s">
        <v>51716</v>
      </c>
      <c r="W2388" t="s">
        <v>44112</v>
      </c>
      <c r="X2388" t="s">
        <v>47426</v>
      </c>
    </row>
    <row r="2389" spans="1:24">
      <c r="A2389">
        <f>HYPERLINK("https://www.philgeps.gov.ph/GEPSNONPILOT/Tender/SplashBidNoticeAbstractUI.aspx?menuIndex=3&amp;refID=7167685&amp;Result=3","7167685")</f>
        <v>0</v>
      </c>
      <c r="B2389" t="s">
        <v>1056</v>
      </c>
      <c r="C2389" t="s">
        <v>6183</v>
      </c>
      <c r="D2389" t="s">
        <v>19086</v>
      </c>
      <c r="E2389" t="s">
        <v>21284</v>
      </c>
      <c r="F2389" t="s">
        <v>32831</v>
      </c>
      <c r="G2389" t="s">
        <v>32839</v>
      </c>
      <c r="H2389" t="s">
        <v>32848</v>
      </c>
      <c r="I2389" t="s">
        <v>4776</v>
      </c>
      <c r="J2389" t="s">
        <v>34447</v>
      </c>
      <c r="K2389" t="s">
        <v>42745</v>
      </c>
      <c r="M2389" t="s">
        <v>44113</v>
      </c>
      <c r="N2389" t="s">
        <v>47424</v>
      </c>
      <c r="O2389" t="s">
        <v>47425</v>
      </c>
      <c r="P2389">
        <v>0</v>
      </c>
      <c r="Q2389">
        <v>0</v>
      </c>
      <c r="R2389" t="s">
        <v>47429</v>
      </c>
      <c r="S2389" t="s">
        <v>47542</v>
      </c>
      <c r="T2389" t="s">
        <v>49256</v>
      </c>
      <c r="U2389" t="s">
        <v>51717</v>
      </c>
      <c r="V2389" t="s">
        <v>62876</v>
      </c>
      <c r="W2389" t="s">
        <v>44113</v>
      </c>
      <c r="X2389" t="s">
        <v>47426</v>
      </c>
    </row>
    <row r="2390" spans="1:24">
      <c r="A2390">
        <f>HYPERLINK("https://www.philgeps.gov.ph/GEPSNONPILOT/Tender/SplashBidNoticeAbstractUI.aspx?menuIndex=3&amp;refID=7167610&amp;Result=3","7167610")</f>
        <v>0</v>
      </c>
      <c r="B2390" t="s">
        <v>1054</v>
      </c>
      <c r="C2390" t="s">
        <v>6184</v>
      </c>
      <c r="E2390" t="s">
        <v>21285</v>
      </c>
      <c r="F2390" t="s">
        <v>32831</v>
      </c>
      <c r="G2390" t="s">
        <v>32841</v>
      </c>
      <c r="H2390" t="s">
        <v>32848</v>
      </c>
      <c r="I2390" t="s">
        <v>11484</v>
      </c>
      <c r="J2390" t="s">
        <v>34615</v>
      </c>
      <c r="K2390" t="s">
        <v>42732</v>
      </c>
      <c r="M2390" t="s">
        <v>44111</v>
      </c>
      <c r="N2390" t="s">
        <v>47424</v>
      </c>
      <c r="O2390" t="s">
        <v>47425</v>
      </c>
      <c r="P2390">
        <v>0</v>
      </c>
      <c r="Q2390">
        <v>1</v>
      </c>
      <c r="R2390" t="s">
        <v>47429</v>
      </c>
      <c r="S2390" t="s">
        <v>47542</v>
      </c>
      <c r="T2390" t="s">
        <v>49310</v>
      </c>
      <c r="U2390" t="s">
        <v>51715</v>
      </c>
      <c r="W2390" t="s">
        <v>44111</v>
      </c>
      <c r="X2390" t="s">
        <v>47426</v>
      </c>
    </row>
    <row r="2391" spans="1:24">
      <c r="A2391">
        <f>HYPERLINK("https://www.philgeps.gov.ph/GEPSNONPILOT/Tender/SplashBidNoticeAbstractUI.aspx?menuIndex=3&amp;refID=7167683&amp;Result=3","7167683")</f>
        <v>0</v>
      </c>
      <c r="B2391" t="s">
        <v>1057</v>
      </c>
      <c r="C2391" t="s">
        <v>6185</v>
      </c>
      <c r="D2391" t="s">
        <v>19045</v>
      </c>
      <c r="E2391" t="s">
        <v>19888</v>
      </c>
      <c r="F2391" t="s">
        <v>32831</v>
      </c>
      <c r="G2391" t="s">
        <v>32839</v>
      </c>
      <c r="H2391" t="s">
        <v>32849</v>
      </c>
      <c r="I2391" t="s">
        <v>4177</v>
      </c>
      <c r="J2391" t="s">
        <v>34616</v>
      </c>
      <c r="K2391" t="s">
        <v>42780</v>
      </c>
      <c r="M2391" t="s">
        <v>44114</v>
      </c>
      <c r="N2391" t="s">
        <v>47424</v>
      </c>
      <c r="O2391" t="s">
        <v>47425</v>
      </c>
      <c r="P2391">
        <v>0</v>
      </c>
      <c r="Q2391">
        <v>0</v>
      </c>
      <c r="R2391" t="s">
        <v>47429</v>
      </c>
      <c r="S2391" t="s">
        <v>47542</v>
      </c>
      <c r="T2391" t="s">
        <v>49311</v>
      </c>
      <c r="U2391" t="s">
        <v>51718</v>
      </c>
      <c r="W2391" t="s">
        <v>44114</v>
      </c>
      <c r="X2391" t="s">
        <v>47426</v>
      </c>
    </row>
    <row r="2392" spans="1:24">
      <c r="A2392">
        <f>HYPERLINK("https://www.philgeps.gov.ph/GEPSNONPILOT/Tender/SplashBidNoticeAbstractUI.aspx?menuIndex=3&amp;refID=7167682&amp;Result=3","7167682")</f>
        <v>0</v>
      </c>
      <c r="B2392" t="s">
        <v>1058</v>
      </c>
      <c r="C2392" t="s">
        <v>6186</v>
      </c>
      <c r="D2392" t="s">
        <v>19060</v>
      </c>
      <c r="E2392" t="s">
        <v>21242</v>
      </c>
      <c r="F2392" t="s">
        <v>32831</v>
      </c>
      <c r="G2392" t="s">
        <v>32838</v>
      </c>
      <c r="H2392" t="s">
        <v>32848</v>
      </c>
      <c r="I2392" t="s">
        <v>32872</v>
      </c>
      <c r="J2392" t="s">
        <v>34617</v>
      </c>
      <c r="K2392" t="s">
        <v>42745</v>
      </c>
      <c r="M2392" t="s">
        <v>44115</v>
      </c>
      <c r="N2392" t="s">
        <v>47424</v>
      </c>
      <c r="O2392" t="s">
        <v>47425</v>
      </c>
      <c r="P2392">
        <v>0</v>
      </c>
      <c r="Q2392">
        <v>0</v>
      </c>
      <c r="R2392" t="s">
        <v>47429</v>
      </c>
      <c r="S2392" t="s">
        <v>47542</v>
      </c>
      <c r="T2392" t="s">
        <v>49103</v>
      </c>
      <c r="U2392" t="s">
        <v>51719</v>
      </c>
      <c r="V2392" t="s">
        <v>62877</v>
      </c>
      <c r="W2392" t="s">
        <v>44115</v>
      </c>
      <c r="X2392" t="s">
        <v>47426</v>
      </c>
    </row>
    <row r="2393" spans="1:24">
      <c r="A2393">
        <f>HYPERLINK("https://www.philgeps.gov.ph/GEPSNONPILOT/Tender/SplashBidNoticeAbstractUI.aspx?menuIndex=3&amp;refID=7167680&amp;Result=3","7167680")</f>
        <v>0</v>
      </c>
      <c r="B2393" t="s">
        <v>1059</v>
      </c>
      <c r="C2393" t="s">
        <v>6187</v>
      </c>
      <c r="D2393" t="s">
        <v>19017</v>
      </c>
      <c r="E2393" t="s">
        <v>19211</v>
      </c>
      <c r="F2393" t="s">
        <v>32831</v>
      </c>
      <c r="G2393" t="s">
        <v>32842</v>
      </c>
      <c r="H2393" t="s">
        <v>32848</v>
      </c>
      <c r="I2393" t="s">
        <v>32858</v>
      </c>
      <c r="J2393" t="s">
        <v>34203</v>
      </c>
      <c r="K2393" t="s">
        <v>42726</v>
      </c>
      <c r="M2393" t="s">
        <v>44116</v>
      </c>
      <c r="N2393" t="s">
        <v>47424</v>
      </c>
      <c r="O2393" t="s">
        <v>47425</v>
      </c>
      <c r="P2393">
        <v>0</v>
      </c>
      <c r="Q2393">
        <v>0</v>
      </c>
      <c r="R2393" t="s">
        <v>47429</v>
      </c>
      <c r="S2393" t="s">
        <v>47542</v>
      </c>
      <c r="T2393" t="s">
        <v>49070</v>
      </c>
      <c r="U2393" t="s">
        <v>51720</v>
      </c>
      <c r="W2393" t="s">
        <v>44116</v>
      </c>
      <c r="X2393" t="s">
        <v>47426</v>
      </c>
    </row>
    <row r="2394" spans="1:24">
      <c r="A2394">
        <f>HYPERLINK("https://www.philgeps.gov.ph/GEPSNONPILOT/Tender/SplashBidNoticeAbstractUI.aspx?menuIndex=3&amp;refID=7166553&amp;Result=3","7166553")</f>
        <v>0</v>
      </c>
      <c r="B2394" t="s">
        <v>1060</v>
      </c>
      <c r="C2394" t="s">
        <v>6188</v>
      </c>
      <c r="D2394" t="s">
        <v>19036</v>
      </c>
      <c r="E2394" t="s">
        <v>21286</v>
      </c>
      <c r="F2394" t="s">
        <v>32831</v>
      </c>
      <c r="G2394" t="s">
        <v>32839</v>
      </c>
      <c r="H2394" t="s">
        <v>32848</v>
      </c>
      <c r="I2394" t="s">
        <v>4438</v>
      </c>
      <c r="J2394" t="s">
        <v>34095</v>
      </c>
      <c r="K2394" t="s">
        <v>42727</v>
      </c>
      <c r="M2394" t="s">
        <v>44117</v>
      </c>
      <c r="N2394" t="s">
        <v>47424</v>
      </c>
      <c r="O2394" t="s">
        <v>47425</v>
      </c>
      <c r="P2394">
        <v>0</v>
      </c>
      <c r="Q2394">
        <v>0</v>
      </c>
      <c r="R2394" t="s">
        <v>47429</v>
      </c>
      <c r="S2394" t="s">
        <v>47542</v>
      </c>
      <c r="T2394" t="s">
        <v>49132</v>
      </c>
      <c r="U2394" t="s">
        <v>51721</v>
      </c>
      <c r="W2394" t="s">
        <v>44117</v>
      </c>
      <c r="X2394" t="s">
        <v>47426</v>
      </c>
    </row>
    <row r="2395" spans="1:24">
      <c r="A2395">
        <f>HYPERLINK("https://www.philgeps.gov.ph/GEPSNONPILOT/Tender/SplashBidNoticeAbstractUI.aspx?menuIndex=3&amp;refID=7167679&amp;Result=3","7167679")</f>
        <v>0</v>
      </c>
      <c r="B2395" t="s">
        <v>1061</v>
      </c>
      <c r="C2395" t="s">
        <v>6189</v>
      </c>
      <c r="D2395" t="s">
        <v>19027</v>
      </c>
      <c r="E2395" t="s">
        <v>21287</v>
      </c>
      <c r="F2395" t="s">
        <v>32831</v>
      </c>
      <c r="G2395" t="s">
        <v>32842</v>
      </c>
      <c r="H2395" t="s">
        <v>32848</v>
      </c>
      <c r="I2395" t="s">
        <v>32860</v>
      </c>
      <c r="J2395" t="s">
        <v>34618</v>
      </c>
      <c r="K2395" t="s">
        <v>42759</v>
      </c>
      <c r="M2395" t="s">
        <v>44118</v>
      </c>
      <c r="N2395" t="s">
        <v>47424</v>
      </c>
      <c r="O2395" t="s">
        <v>47425</v>
      </c>
      <c r="P2395">
        <v>0</v>
      </c>
      <c r="Q2395">
        <v>0</v>
      </c>
      <c r="R2395" t="s">
        <v>47429</v>
      </c>
      <c r="S2395" t="s">
        <v>47542</v>
      </c>
      <c r="T2395" t="s">
        <v>49119</v>
      </c>
      <c r="U2395" t="s">
        <v>50992</v>
      </c>
      <c r="W2395" t="s">
        <v>44118</v>
      </c>
      <c r="X2395" t="s">
        <v>47426</v>
      </c>
    </row>
    <row r="2396" spans="1:24">
      <c r="A2396">
        <f>HYPERLINK("https://www.philgeps.gov.ph/GEPSNONPILOT/Tender/SplashBidNoticeAbstractUI.aspx?menuIndex=3&amp;refID=7167677&amp;Result=3","7167677")</f>
        <v>0</v>
      </c>
      <c r="B2396" t="s">
        <v>1062</v>
      </c>
      <c r="C2396" t="s">
        <v>6190</v>
      </c>
      <c r="D2396" t="s">
        <v>19017</v>
      </c>
      <c r="E2396" t="s">
        <v>21288</v>
      </c>
      <c r="F2396" t="s">
        <v>32831</v>
      </c>
      <c r="G2396" t="s">
        <v>32839</v>
      </c>
      <c r="H2396" t="s">
        <v>32848</v>
      </c>
      <c r="I2396" t="s">
        <v>32941</v>
      </c>
      <c r="J2396" t="s">
        <v>34619</v>
      </c>
      <c r="K2396" t="s">
        <v>42770</v>
      </c>
      <c r="M2396" t="s">
        <v>44119</v>
      </c>
      <c r="N2396" t="s">
        <v>47424</v>
      </c>
      <c r="O2396" t="s">
        <v>47425</v>
      </c>
      <c r="P2396">
        <v>0</v>
      </c>
      <c r="Q2396">
        <v>0</v>
      </c>
      <c r="R2396" t="s">
        <v>47429</v>
      </c>
      <c r="S2396" t="s">
        <v>47542</v>
      </c>
      <c r="T2396" t="s">
        <v>49071</v>
      </c>
      <c r="U2396" t="s">
        <v>51722</v>
      </c>
      <c r="W2396" t="s">
        <v>44119</v>
      </c>
      <c r="X2396" t="s">
        <v>47426</v>
      </c>
    </row>
    <row r="2397" spans="1:24">
      <c r="A2397">
        <f>HYPERLINK("https://www.philgeps.gov.ph/GEPSNONPILOT/Tender/SplashBidNoticeAbstractUI.aspx?menuIndex=3&amp;refID=7167672&amp;Result=3","7167672")</f>
        <v>0</v>
      </c>
      <c r="B2397" t="s">
        <v>1063</v>
      </c>
      <c r="C2397" t="s">
        <v>6191</v>
      </c>
      <c r="D2397" t="s">
        <v>19057</v>
      </c>
      <c r="E2397" t="s">
        <v>19351</v>
      </c>
      <c r="F2397" t="s">
        <v>32831</v>
      </c>
      <c r="G2397" t="s">
        <v>32839</v>
      </c>
      <c r="H2397" t="s">
        <v>32849</v>
      </c>
      <c r="I2397" t="s">
        <v>4177</v>
      </c>
      <c r="J2397" t="s">
        <v>34620</v>
      </c>
      <c r="K2397" t="s">
        <v>42730</v>
      </c>
      <c r="M2397" t="s">
        <v>44120</v>
      </c>
      <c r="N2397" t="s">
        <v>47424</v>
      </c>
      <c r="O2397" t="s">
        <v>47425</v>
      </c>
      <c r="P2397">
        <v>0</v>
      </c>
      <c r="Q2397">
        <v>0</v>
      </c>
      <c r="R2397" t="s">
        <v>47429</v>
      </c>
      <c r="S2397" t="s">
        <v>47542</v>
      </c>
      <c r="T2397" t="s">
        <v>49151</v>
      </c>
      <c r="U2397" t="s">
        <v>51723</v>
      </c>
      <c r="W2397" t="s">
        <v>44120</v>
      </c>
      <c r="X2397" t="s">
        <v>47426</v>
      </c>
    </row>
    <row r="2398" spans="1:24">
      <c r="A2398">
        <f>HYPERLINK("https://www.philgeps.gov.ph/GEPSNONPILOT/Tender/SplashBidNoticeAbstractUI.aspx?menuIndex=3&amp;refID=7167633&amp;Result=3","7167633")</f>
        <v>0</v>
      </c>
      <c r="B2398" t="s">
        <v>67</v>
      </c>
      <c r="C2398" t="s">
        <v>6192</v>
      </c>
      <c r="D2398" t="s">
        <v>19099</v>
      </c>
      <c r="E2398" t="s">
        <v>21289</v>
      </c>
      <c r="F2398" t="s">
        <v>32831</v>
      </c>
      <c r="G2398" t="s">
        <v>32840</v>
      </c>
      <c r="H2398" t="s">
        <v>32848</v>
      </c>
      <c r="I2398" t="s">
        <v>4471</v>
      </c>
      <c r="J2398" t="s">
        <v>33913</v>
      </c>
      <c r="K2398" t="s">
        <v>42730</v>
      </c>
      <c r="M2398" t="s">
        <v>43749</v>
      </c>
      <c r="N2398" t="s">
        <v>47424</v>
      </c>
      <c r="O2398" t="s">
        <v>47425</v>
      </c>
      <c r="P2398">
        <v>0</v>
      </c>
      <c r="Q2398">
        <v>0</v>
      </c>
      <c r="R2398" t="s">
        <v>47429</v>
      </c>
      <c r="S2398" t="s">
        <v>47542</v>
      </c>
      <c r="T2398" t="s">
        <v>49092</v>
      </c>
      <c r="U2398" t="s">
        <v>51687</v>
      </c>
      <c r="W2398" t="s">
        <v>64446</v>
      </c>
      <c r="X2398" t="s">
        <v>47426</v>
      </c>
    </row>
    <row r="2399" spans="1:24">
      <c r="A2399">
        <f>HYPERLINK("https://www.philgeps.gov.ph/GEPSNONPILOT/Tender/SplashBidNoticeAbstractUI.aspx?menuIndex=3&amp;refID=7166554&amp;Result=3","7166554")</f>
        <v>0</v>
      </c>
      <c r="B2399" t="s">
        <v>67</v>
      </c>
      <c r="C2399" t="s">
        <v>6193</v>
      </c>
      <c r="D2399" t="s">
        <v>19099</v>
      </c>
      <c r="E2399" t="s">
        <v>21290</v>
      </c>
      <c r="F2399" t="s">
        <v>32831</v>
      </c>
      <c r="G2399" t="s">
        <v>32840</v>
      </c>
      <c r="H2399" t="s">
        <v>32848</v>
      </c>
      <c r="I2399" t="s">
        <v>32857</v>
      </c>
      <c r="J2399" t="s">
        <v>34621</v>
      </c>
      <c r="K2399" t="s">
        <v>42730</v>
      </c>
      <c r="M2399" t="s">
        <v>43749</v>
      </c>
      <c r="N2399" t="s">
        <v>47424</v>
      </c>
      <c r="O2399" t="s">
        <v>47425</v>
      </c>
      <c r="P2399">
        <v>0</v>
      </c>
      <c r="Q2399">
        <v>0</v>
      </c>
      <c r="R2399" t="s">
        <v>47429</v>
      </c>
      <c r="S2399" t="s">
        <v>47542</v>
      </c>
      <c r="T2399" t="s">
        <v>49092</v>
      </c>
      <c r="U2399" t="s">
        <v>51013</v>
      </c>
      <c r="W2399" t="s">
        <v>64446</v>
      </c>
      <c r="X2399" t="s">
        <v>47426</v>
      </c>
    </row>
    <row r="2400" spans="1:24">
      <c r="A2400">
        <f>HYPERLINK("https://www.philgeps.gov.ph/GEPSNONPILOT/Tender/SplashBidNoticeAbstractUI.aspx?menuIndex=3&amp;refID=7167666&amp;Result=3","7167666")</f>
        <v>0</v>
      </c>
      <c r="B2400" t="s">
        <v>413</v>
      </c>
      <c r="C2400" t="s">
        <v>6194</v>
      </c>
      <c r="D2400" t="s">
        <v>19017</v>
      </c>
      <c r="E2400" t="s">
        <v>21291</v>
      </c>
      <c r="F2400" t="s">
        <v>32831</v>
      </c>
      <c r="G2400" t="s">
        <v>32838</v>
      </c>
      <c r="H2400" t="s">
        <v>32850</v>
      </c>
      <c r="I2400" t="s">
        <v>32874</v>
      </c>
      <c r="J2400" t="s">
        <v>34622</v>
      </c>
      <c r="K2400" t="s">
        <v>42727</v>
      </c>
      <c r="M2400" t="s">
        <v>43418</v>
      </c>
      <c r="N2400" t="s">
        <v>47424</v>
      </c>
      <c r="O2400" t="s">
        <v>47425</v>
      </c>
      <c r="P2400">
        <v>0</v>
      </c>
      <c r="Q2400">
        <v>0</v>
      </c>
      <c r="R2400" t="s">
        <v>47429</v>
      </c>
      <c r="S2400" t="s">
        <v>47542</v>
      </c>
      <c r="T2400" t="s">
        <v>49123</v>
      </c>
      <c r="U2400" t="s">
        <v>51724</v>
      </c>
      <c r="V2400" t="s">
        <v>62872</v>
      </c>
      <c r="W2400" t="s">
        <v>64454</v>
      </c>
      <c r="X2400" t="s">
        <v>47426</v>
      </c>
    </row>
    <row r="2401" spans="1:24">
      <c r="A2401">
        <f>HYPERLINK("https://www.philgeps.gov.ph/GEPSNONPILOT/Tender/SplashBidNoticeAbstractUI.aspx?menuIndex=3&amp;refID=7167675&amp;Result=3","7167675")</f>
        <v>0</v>
      </c>
      <c r="B2401" t="s">
        <v>1064</v>
      </c>
      <c r="C2401" t="s">
        <v>6195</v>
      </c>
      <c r="D2401" t="s">
        <v>19074</v>
      </c>
      <c r="E2401" t="s">
        <v>20722</v>
      </c>
      <c r="F2401" t="s">
        <v>32831</v>
      </c>
      <c r="G2401" t="s">
        <v>32840</v>
      </c>
      <c r="H2401" t="s">
        <v>32848</v>
      </c>
      <c r="I2401" t="s">
        <v>4438</v>
      </c>
      <c r="J2401" t="s">
        <v>34623</v>
      </c>
      <c r="K2401" t="s">
        <v>42759</v>
      </c>
      <c r="M2401" t="s">
        <v>44121</v>
      </c>
      <c r="N2401" t="s">
        <v>47424</v>
      </c>
      <c r="O2401" t="s">
        <v>47425</v>
      </c>
      <c r="P2401">
        <v>0</v>
      </c>
      <c r="Q2401">
        <v>0</v>
      </c>
      <c r="R2401" t="s">
        <v>47429</v>
      </c>
      <c r="S2401" t="s">
        <v>47542</v>
      </c>
      <c r="T2401" t="s">
        <v>49312</v>
      </c>
      <c r="U2401" t="s">
        <v>51725</v>
      </c>
      <c r="V2401" t="s">
        <v>62712</v>
      </c>
      <c r="W2401" t="s">
        <v>44121</v>
      </c>
      <c r="X2401" t="s">
        <v>47426</v>
      </c>
    </row>
    <row r="2402" spans="1:24">
      <c r="A2402">
        <f>HYPERLINK("https://www.philgeps.gov.ph/GEPSNONPILOT/Tender/SplashBidNoticeAbstractUI.aspx?menuIndex=3&amp;refID=7167665&amp;Result=3","7167665")</f>
        <v>0</v>
      </c>
      <c r="B2402" t="s">
        <v>1055</v>
      </c>
      <c r="C2402" t="s">
        <v>6182</v>
      </c>
      <c r="D2402" t="s">
        <v>19017</v>
      </c>
      <c r="E2402" t="s">
        <v>21188</v>
      </c>
      <c r="F2402" t="s">
        <v>32831</v>
      </c>
      <c r="G2402" t="s">
        <v>32838</v>
      </c>
      <c r="H2402" t="s">
        <v>32848</v>
      </c>
      <c r="I2402" t="s">
        <v>32874</v>
      </c>
      <c r="J2402" t="s">
        <v>34155</v>
      </c>
      <c r="K2402" t="s">
        <v>42732</v>
      </c>
      <c r="M2402" t="s">
        <v>44112</v>
      </c>
      <c r="N2402" t="s">
        <v>47424</v>
      </c>
      <c r="O2402" t="s">
        <v>47425</v>
      </c>
      <c r="P2402">
        <v>0</v>
      </c>
      <c r="Q2402">
        <v>0</v>
      </c>
      <c r="R2402" t="s">
        <v>47429</v>
      </c>
      <c r="S2402" t="s">
        <v>47542</v>
      </c>
      <c r="T2402" t="s">
        <v>49129</v>
      </c>
      <c r="U2402" t="s">
        <v>51716</v>
      </c>
      <c r="W2402" t="s">
        <v>44112</v>
      </c>
      <c r="X2402" t="s">
        <v>47426</v>
      </c>
    </row>
    <row r="2403" spans="1:24">
      <c r="A2403">
        <f>HYPERLINK("https://www.philgeps.gov.ph/GEPSNONPILOT/Tender/SplashBidNoticeAbstractUI.aspx?menuIndex=3&amp;refID=7167671&amp;Result=3","7167671")</f>
        <v>0</v>
      </c>
      <c r="B2403" t="s">
        <v>1058</v>
      </c>
      <c r="C2403" t="s">
        <v>6196</v>
      </c>
      <c r="D2403" t="s">
        <v>19060</v>
      </c>
      <c r="E2403" t="s">
        <v>21292</v>
      </c>
      <c r="F2403" t="s">
        <v>32831</v>
      </c>
      <c r="G2403" t="s">
        <v>32838</v>
      </c>
      <c r="H2403" t="s">
        <v>32848</v>
      </c>
      <c r="I2403" t="s">
        <v>32858</v>
      </c>
      <c r="J2403" t="s">
        <v>34624</v>
      </c>
      <c r="K2403" t="s">
        <v>42745</v>
      </c>
      <c r="M2403" t="s">
        <v>44115</v>
      </c>
      <c r="N2403" t="s">
        <v>47424</v>
      </c>
      <c r="O2403" t="s">
        <v>47425</v>
      </c>
      <c r="P2403">
        <v>0</v>
      </c>
      <c r="Q2403">
        <v>0</v>
      </c>
      <c r="R2403" t="s">
        <v>47429</v>
      </c>
      <c r="S2403" t="s">
        <v>47542</v>
      </c>
      <c r="T2403" t="s">
        <v>49103</v>
      </c>
      <c r="U2403" t="s">
        <v>51726</v>
      </c>
      <c r="V2403" t="s">
        <v>62878</v>
      </c>
      <c r="W2403" t="s">
        <v>44115</v>
      </c>
      <c r="X2403" t="s">
        <v>47426</v>
      </c>
    </row>
    <row r="2404" spans="1:24">
      <c r="A2404">
        <f>HYPERLINK("https://www.philgeps.gov.ph/GEPSNONPILOT/Tender/SplashBidNoticeAbstractUI.aspx?menuIndex=3&amp;refID=7167661&amp;Result=3","7167661")</f>
        <v>0</v>
      </c>
      <c r="B2404" t="s">
        <v>1055</v>
      </c>
      <c r="C2404" t="s">
        <v>6197</v>
      </c>
      <c r="D2404" t="s">
        <v>19017</v>
      </c>
      <c r="E2404" t="s">
        <v>21293</v>
      </c>
      <c r="F2404" t="s">
        <v>32831</v>
      </c>
      <c r="G2404" t="s">
        <v>32838</v>
      </c>
      <c r="H2404" t="s">
        <v>32848</v>
      </c>
      <c r="I2404" t="s">
        <v>32874</v>
      </c>
      <c r="J2404" t="s">
        <v>33025</v>
      </c>
      <c r="K2404" t="s">
        <v>42732</v>
      </c>
      <c r="M2404" t="s">
        <v>44112</v>
      </c>
      <c r="N2404" t="s">
        <v>47424</v>
      </c>
      <c r="O2404" t="s">
        <v>47425</v>
      </c>
      <c r="P2404">
        <v>0</v>
      </c>
      <c r="Q2404">
        <v>0</v>
      </c>
      <c r="R2404" t="s">
        <v>47429</v>
      </c>
      <c r="S2404" t="s">
        <v>47542</v>
      </c>
      <c r="T2404" t="s">
        <v>49129</v>
      </c>
      <c r="U2404" t="s">
        <v>51716</v>
      </c>
      <c r="W2404" t="s">
        <v>44112</v>
      </c>
      <c r="X2404" t="s">
        <v>47426</v>
      </c>
    </row>
    <row r="2405" spans="1:24">
      <c r="A2405">
        <f>HYPERLINK("https://www.philgeps.gov.ph/GEPSNONPILOT/Tender/SplashBidNoticeAbstractUI.aspx?menuIndex=3&amp;refID=7167669&amp;Result=3","7167669")</f>
        <v>0</v>
      </c>
      <c r="B2405" t="s">
        <v>1065</v>
      </c>
      <c r="C2405" t="s">
        <v>6198</v>
      </c>
      <c r="D2405" t="s">
        <v>19017</v>
      </c>
      <c r="E2405" t="s">
        <v>21294</v>
      </c>
      <c r="F2405" t="s">
        <v>32831</v>
      </c>
      <c r="G2405" t="s">
        <v>32838</v>
      </c>
      <c r="H2405" t="s">
        <v>32848</v>
      </c>
      <c r="I2405" t="s">
        <v>32924</v>
      </c>
      <c r="J2405" t="s">
        <v>33193</v>
      </c>
      <c r="K2405" t="s">
        <v>42738</v>
      </c>
      <c r="M2405" t="s">
        <v>44122</v>
      </c>
      <c r="N2405" t="s">
        <v>47424</v>
      </c>
      <c r="O2405" t="s">
        <v>47425</v>
      </c>
      <c r="P2405">
        <v>0</v>
      </c>
      <c r="Q2405">
        <v>0</v>
      </c>
      <c r="R2405" t="s">
        <v>47429</v>
      </c>
      <c r="S2405" t="s">
        <v>47542</v>
      </c>
      <c r="T2405" t="s">
        <v>49089</v>
      </c>
      <c r="U2405" t="s">
        <v>51727</v>
      </c>
      <c r="V2405" t="s">
        <v>62879</v>
      </c>
      <c r="W2405" t="s">
        <v>44122</v>
      </c>
      <c r="X2405" t="s">
        <v>47426</v>
      </c>
    </row>
    <row r="2406" spans="1:24">
      <c r="A2406">
        <f>HYPERLINK("https://www.philgeps.gov.ph/GEPSNONPILOT/Tender/SplashBidNoticeAbstractUI.aspx?menuIndex=3&amp;refID=7167660&amp;Result=3","7167660")</f>
        <v>0</v>
      </c>
      <c r="B2406" t="s">
        <v>1066</v>
      </c>
      <c r="C2406" t="s">
        <v>6199</v>
      </c>
      <c r="D2406" t="s">
        <v>19021</v>
      </c>
      <c r="E2406" t="s">
        <v>21295</v>
      </c>
      <c r="F2406" t="s">
        <v>32831</v>
      </c>
      <c r="G2406" t="s">
        <v>32839</v>
      </c>
      <c r="H2406" t="s">
        <v>32848</v>
      </c>
      <c r="I2406" t="s">
        <v>7416</v>
      </c>
      <c r="J2406" t="s">
        <v>34625</v>
      </c>
      <c r="K2406" t="s">
        <v>42732</v>
      </c>
      <c r="M2406" t="s">
        <v>44123</v>
      </c>
      <c r="N2406" t="s">
        <v>47424</v>
      </c>
      <c r="O2406" t="s">
        <v>47425</v>
      </c>
      <c r="P2406">
        <v>0</v>
      </c>
      <c r="Q2406">
        <v>0</v>
      </c>
      <c r="R2406" t="s">
        <v>47429</v>
      </c>
      <c r="S2406" t="s">
        <v>47542</v>
      </c>
      <c r="T2406" t="s">
        <v>49059</v>
      </c>
      <c r="U2406" t="s">
        <v>51728</v>
      </c>
      <c r="W2406" t="s">
        <v>44123</v>
      </c>
      <c r="X2406" t="s">
        <v>47426</v>
      </c>
    </row>
    <row r="2407" spans="1:24">
      <c r="A2407">
        <f>HYPERLINK("https://www.philgeps.gov.ph/GEPSNONPILOT/Tender/SplashBidNoticeAbstractUI.aspx?menuIndex=3&amp;refID=7167688&amp;Result=3","7167688")</f>
        <v>0</v>
      </c>
      <c r="B2407" t="s">
        <v>1067</v>
      </c>
      <c r="C2407" t="s">
        <v>6200</v>
      </c>
      <c r="D2407" t="s">
        <v>19017</v>
      </c>
      <c r="E2407" t="s">
        <v>21296</v>
      </c>
      <c r="F2407" t="s">
        <v>32831</v>
      </c>
      <c r="G2407" t="s">
        <v>32839</v>
      </c>
      <c r="H2407" t="s">
        <v>32848</v>
      </c>
      <c r="I2407" t="s">
        <v>32914</v>
      </c>
      <c r="J2407" t="s">
        <v>34447</v>
      </c>
      <c r="K2407" t="s">
        <v>42729</v>
      </c>
      <c r="M2407" t="s">
        <v>44124</v>
      </c>
      <c r="N2407" t="s">
        <v>47424</v>
      </c>
      <c r="O2407" t="s">
        <v>47425</v>
      </c>
      <c r="P2407">
        <v>0</v>
      </c>
      <c r="Q2407">
        <v>0</v>
      </c>
      <c r="R2407" t="s">
        <v>47429</v>
      </c>
      <c r="S2407" t="s">
        <v>47542</v>
      </c>
      <c r="T2407" t="s">
        <v>49313</v>
      </c>
      <c r="U2407" t="s">
        <v>51729</v>
      </c>
      <c r="V2407" t="s">
        <v>62714</v>
      </c>
      <c r="W2407" t="s">
        <v>44124</v>
      </c>
      <c r="X2407" t="s">
        <v>47426</v>
      </c>
    </row>
    <row r="2408" spans="1:24">
      <c r="A2408">
        <f>HYPERLINK("https://www.philgeps.gov.ph/GEPSNONPILOT/Tender/SplashBidNoticeAbstractUI.aspx?menuIndex=3&amp;refID=7167706&amp;Result=3","7167706")</f>
        <v>0</v>
      </c>
      <c r="B2408" t="s">
        <v>801</v>
      </c>
      <c r="C2408" t="s">
        <v>6201</v>
      </c>
      <c r="D2408" t="s">
        <v>19041</v>
      </c>
      <c r="E2408" t="s">
        <v>21297</v>
      </c>
      <c r="F2408" t="s">
        <v>32831</v>
      </c>
      <c r="G2408" t="s">
        <v>32839</v>
      </c>
      <c r="H2408" t="s">
        <v>32849</v>
      </c>
      <c r="I2408" t="s">
        <v>4177</v>
      </c>
      <c r="J2408" t="s">
        <v>34626</v>
      </c>
      <c r="K2408" t="s">
        <v>42742</v>
      </c>
      <c r="M2408" t="s">
        <v>43831</v>
      </c>
      <c r="N2408" t="s">
        <v>47424</v>
      </c>
      <c r="O2408" t="s">
        <v>47425</v>
      </c>
      <c r="P2408">
        <v>0</v>
      </c>
      <c r="Q2408">
        <v>0</v>
      </c>
      <c r="R2408" t="s">
        <v>47429</v>
      </c>
      <c r="S2408" t="s">
        <v>47542</v>
      </c>
      <c r="T2408" t="s">
        <v>49069</v>
      </c>
      <c r="U2408" t="s">
        <v>51730</v>
      </c>
      <c r="W2408" t="s">
        <v>43831</v>
      </c>
      <c r="X2408" t="s">
        <v>47426</v>
      </c>
    </row>
    <row r="2409" spans="1:24">
      <c r="A2409">
        <f>HYPERLINK("https://www.philgeps.gov.ph/GEPSNONPILOT/Tender/SplashBidNoticeAbstractUI.aspx?menuIndex=3&amp;refID=7167676&amp;Result=3","7167676")</f>
        <v>0</v>
      </c>
      <c r="B2409" t="s">
        <v>1007</v>
      </c>
      <c r="C2409" t="s">
        <v>6202</v>
      </c>
      <c r="E2409" t="s">
        <v>21298</v>
      </c>
      <c r="F2409" t="s">
        <v>32831</v>
      </c>
      <c r="G2409" t="s">
        <v>32838</v>
      </c>
      <c r="H2409" t="s">
        <v>32848</v>
      </c>
      <c r="I2409" t="s">
        <v>32874</v>
      </c>
      <c r="J2409" t="s">
        <v>34627</v>
      </c>
      <c r="K2409" t="s">
        <v>42732</v>
      </c>
      <c r="M2409" t="s">
        <v>44056</v>
      </c>
      <c r="N2409" t="s">
        <v>47424</v>
      </c>
      <c r="O2409" t="s">
        <v>47425</v>
      </c>
      <c r="P2409">
        <v>0</v>
      </c>
      <c r="Q2409">
        <v>0</v>
      </c>
      <c r="R2409" t="s">
        <v>47429</v>
      </c>
      <c r="S2409" t="s">
        <v>47542</v>
      </c>
      <c r="T2409" t="s">
        <v>49170</v>
      </c>
      <c r="U2409" t="s">
        <v>51592</v>
      </c>
      <c r="W2409" t="s">
        <v>44056</v>
      </c>
      <c r="X2409" t="s">
        <v>47426</v>
      </c>
    </row>
    <row r="2410" spans="1:24">
      <c r="A2410">
        <f>HYPERLINK("https://www.philgeps.gov.ph/GEPSNONPILOT/Tender/SplashBidNoticeAbstractUI.aspx?menuIndex=3&amp;refID=7167705&amp;Result=3","7167705")</f>
        <v>0</v>
      </c>
      <c r="B2410" t="s">
        <v>1068</v>
      </c>
      <c r="C2410" t="s">
        <v>6203</v>
      </c>
      <c r="D2410" t="s">
        <v>19021</v>
      </c>
      <c r="E2410" t="s">
        <v>21299</v>
      </c>
      <c r="F2410" t="s">
        <v>32831</v>
      </c>
      <c r="G2410" t="s">
        <v>32840</v>
      </c>
      <c r="H2410" t="s">
        <v>32848</v>
      </c>
      <c r="I2410" t="s">
        <v>9577</v>
      </c>
      <c r="J2410" t="s">
        <v>32980</v>
      </c>
      <c r="K2410" t="s">
        <v>42727</v>
      </c>
      <c r="M2410" t="s">
        <v>44125</v>
      </c>
      <c r="N2410" t="s">
        <v>47424</v>
      </c>
      <c r="O2410" t="s">
        <v>47425</v>
      </c>
      <c r="P2410">
        <v>0</v>
      </c>
      <c r="Q2410">
        <v>0</v>
      </c>
      <c r="R2410" t="s">
        <v>47429</v>
      </c>
      <c r="S2410" t="s">
        <v>47542</v>
      </c>
      <c r="T2410" t="s">
        <v>49104</v>
      </c>
      <c r="U2410" t="s">
        <v>50216</v>
      </c>
      <c r="V2410" t="s">
        <v>62880</v>
      </c>
      <c r="W2410" t="s">
        <v>44125</v>
      </c>
      <c r="X2410" t="s">
        <v>47426</v>
      </c>
    </row>
    <row r="2411" spans="1:24">
      <c r="A2411">
        <f>HYPERLINK("https://www.philgeps.gov.ph/GEPSNONPILOT/Tender/SplashBidNoticeAbstractUI.aspx?menuIndex=3&amp;refID=7167684&amp;Result=3","7167684")</f>
        <v>0</v>
      </c>
      <c r="B2411" t="s">
        <v>1069</v>
      </c>
      <c r="C2411" t="s">
        <v>4726</v>
      </c>
      <c r="D2411" t="s">
        <v>19074</v>
      </c>
      <c r="E2411" t="s">
        <v>19880</v>
      </c>
      <c r="F2411" t="s">
        <v>32831</v>
      </c>
      <c r="G2411" t="s">
        <v>32840</v>
      </c>
      <c r="H2411" t="s">
        <v>32850</v>
      </c>
      <c r="I2411" t="s">
        <v>4438</v>
      </c>
      <c r="J2411" t="s">
        <v>34628</v>
      </c>
      <c r="K2411" t="s">
        <v>42759</v>
      </c>
      <c r="M2411" t="s">
        <v>44126</v>
      </c>
      <c r="N2411" t="s">
        <v>47424</v>
      </c>
      <c r="O2411" t="s">
        <v>47425</v>
      </c>
      <c r="P2411">
        <v>0</v>
      </c>
      <c r="Q2411">
        <v>0</v>
      </c>
      <c r="R2411" t="s">
        <v>47429</v>
      </c>
      <c r="S2411" t="s">
        <v>47542</v>
      </c>
      <c r="T2411" t="s">
        <v>49108</v>
      </c>
      <c r="U2411" t="s">
        <v>51731</v>
      </c>
      <c r="V2411" t="s">
        <v>62881</v>
      </c>
      <c r="W2411" t="s">
        <v>44126</v>
      </c>
      <c r="X2411" t="s">
        <v>47426</v>
      </c>
    </row>
    <row r="2412" spans="1:24">
      <c r="A2412">
        <f>HYPERLINK("https://www.philgeps.gov.ph/GEPSNONPILOT/Tender/SplashBidNoticeAbstractUI.aspx?menuIndex=3&amp;refID=7167702&amp;Result=3","7167702")</f>
        <v>0</v>
      </c>
      <c r="B2412" t="s">
        <v>1070</v>
      </c>
      <c r="C2412" t="s">
        <v>6204</v>
      </c>
      <c r="D2412" t="s">
        <v>19021</v>
      </c>
      <c r="E2412" t="s">
        <v>21300</v>
      </c>
      <c r="F2412" t="s">
        <v>32831</v>
      </c>
      <c r="G2412" t="s">
        <v>32845</v>
      </c>
      <c r="H2412" t="s">
        <v>32848</v>
      </c>
      <c r="I2412" t="s">
        <v>32870</v>
      </c>
      <c r="J2412" t="s">
        <v>34629</v>
      </c>
      <c r="K2412" t="s">
        <v>42770</v>
      </c>
      <c r="M2412" t="s">
        <v>44127</v>
      </c>
      <c r="N2412" t="s">
        <v>47424</v>
      </c>
      <c r="O2412" t="s">
        <v>47425</v>
      </c>
      <c r="P2412">
        <v>0</v>
      </c>
      <c r="Q2412">
        <v>0</v>
      </c>
      <c r="R2412" t="s">
        <v>47429</v>
      </c>
      <c r="S2412" t="s">
        <v>47542</v>
      </c>
      <c r="T2412" t="s">
        <v>49065</v>
      </c>
      <c r="U2412" t="s">
        <v>51732</v>
      </c>
      <c r="W2412" t="s">
        <v>44127</v>
      </c>
      <c r="X2412" t="s">
        <v>47426</v>
      </c>
    </row>
    <row r="2413" spans="1:24">
      <c r="A2413">
        <f>HYPERLINK("https://www.philgeps.gov.ph/GEPSNONPILOT/Tender/SplashBidNoticeAbstractUI.aspx?menuIndex=3&amp;refID=7167701&amp;Result=3","7167701")</f>
        <v>0</v>
      </c>
      <c r="B2413" t="s">
        <v>1071</v>
      </c>
      <c r="C2413" t="s">
        <v>6205</v>
      </c>
      <c r="D2413" t="s">
        <v>19062</v>
      </c>
      <c r="E2413" t="s">
        <v>19555</v>
      </c>
      <c r="F2413" t="s">
        <v>32831</v>
      </c>
      <c r="G2413" t="s">
        <v>32838</v>
      </c>
      <c r="H2413" t="s">
        <v>32848</v>
      </c>
      <c r="I2413" t="s">
        <v>32858</v>
      </c>
      <c r="J2413" t="s">
        <v>34630</v>
      </c>
      <c r="K2413" t="s">
        <v>42758</v>
      </c>
      <c r="M2413" t="s">
        <v>44128</v>
      </c>
      <c r="N2413" t="s">
        <v>47424</v>
      </c>
      <c r="O2413" t="s">
        <v>47425</v>
      </c>
      <c r="P2413">
        <v>0</v>
      </c>
      <c r="Q2413">
        <v>0</v>
      </c>
      <c r="R2413" t="s">
        <v>47429</v>
      </c>
      <c r="S2413" t="s">
        <v>47542</v>
      </c>
      <c r="T2413" t="s">
        <v>49119</v>
      </c>
      <c r="U2413" t="s">
        <v>51733</v>
      </c>
      <c r="W2413" t="s">
        <v>44128</v>
      </c>
      <c r="X2413" t="s">
        <v>47426</v>
      </c>
    </row>
    <row r="2414" spans="1:24">
      <c r="A2414">
        <f>HYPERLINK("https://www.philgeps.gov.ph/GEPSNONPILOT/Tender/SplashBidNoticeAbstractUI.aspx?menuIndex=3&amp;refID=7167664&amp;Result=3","7167664")</f>
        <v>0</v>
      </c>
      <c r="B2414" t="s">
        <v>459</v>
      </c>
      <c r="C2414" t="s">
        <v>6206</v>
      </c>
      <c r="D2414" t="s">
        <v>19030</v>
      </c>
      <c r="E2414" t="s">
        <v>21301</v>
      </c>
      <c r="F2414" t="s">
        <v>32831</v>
      </c>
      <c r="G2414" t="s">
        <v>32839</v>
      </c>
      <c r="H2414" t="s">
        <v>32848</v>
      </c>
      <c r="I2414" t="s">
        <v>7878</v>
      </c>
      <c r="J2414" t="s">
        <v>33644</v>
      </c>
      <c r="K2414" t="s">
        <v>42730</v>
      </c>
      <c r="M2414" t="s">
        <v>43464</v>
      </c>
      <c r="N2414" t="s">
        <v>47424</v>
      </c>
      <c r="O2414" t="s">
        <v>47425</v>
      </c>
      <c r="P2414">
        <v>0</v>
      </c>
      <c r="Q2414">
        <v>0</v>
      </c>
      <c r="R2414" t="s">
        <v>47429</v>
      </c>
      <c r="S2414" t="s">
        <v>47542</v>
      </c>
      <c r="T2414" t="s">
        <v>49059</v>
      </c>
      <c r="U2414" t="s">
        <v>51734</v>
      </c>
      <c r="V2414" t="s">
        <v>62882</v>
      </c>
      <c r="W2414" t="s">
        <v>43464</v>
      </c>
      <c r="X2414" t="s">
        <v>47426</v>
      </c>
    </row>
    <row r="2415" spans="1:24">
      <c r="A2415">
        <f>HYPERLINK("https://www.philgeps.gov.ph/GEPSNONPILOT/Tender/SplashBidNoticeAbstractUI.aspx?menuIndex=3&amp;refID=7167700&amp;Result=3","7167700")</f>
        <v>0</v>
      </c>
      <c r="B2415" t="s">
        <v>62</v>
      </c>
      <c r="C2415" t="s">
        <v>6207</v>
      </c>
      <c r="D2415" t="s">
        <v>19043</v>
      </c>
      <c r="E2415" t="s">
        <v>21302</v>
      </c>
      <c r="F2415" t="s">
        <v>32831</v>
      </c>
      <c r="G2415" t="s">
        <v>32838</v>
      </c>
      <c r="H2415" t="s">
        <v>32848</v>
      </c>
      <c r="I2415" t="s">
        <v>7416</v>
      </c>
      <c r="J2415" t="s">
        <v>34631</v>
      </c>
      <c r="K2415" t="s">
        <v>42726</v>
      </c>
      <c r="M2415" t="s">
        <v>43059</v>
      </c>
      <c r="N2415" t="s">
        <v>47424</v>
      </c>
      <c r="O2415" t="s">
        <v>47425</v>
      </c>
      <c r="P2415">
        <v>0</v>
      </c>
      <c r="Q2415">
        <v>1</v>
      </c>
      <c r="R2415" t="s">
        <v>47429</v>
      </c>
      <c r="S2415" t="s">
        <v>47542</v>
      </c>
      <c r="T2415" t="s">
        <v>49129</v>
      </c>
      <c r="U2415" t="s">
        <v>51735</v>
      </c>
      <c r="W2415" t="s">
        <v>43059</v>
      </c>
      <c r="X2415" t="s">
        <v>47426</v>
      </c>
    </row>
    <row r="2416" spans="1:24">
      <c r="A2416">
        <f>HYPERLINK("https://www.philgeps.gov.ph/GEPSNONPILOT/Tender/SplashBidNoticeAbstractUI.aspx?menuIndex=3&amp;refID=7167699&amp;Result=3","7167699")</f>
        <v>0</v>
      </c>
      <c r="B2416" t="s">
        <v>963</v>
      </c>
      <c r="C2416" t="s">
        <v>6208</v>
      </c>
      <c r="D2416" t="s">
        <v>19074</v>
      </c>
      <c r="E2416" t="s">
        <v>21303</v>
      </c>
      <c r="F2416" t="s">
        <v>32831</v>
      </c>
      <c r="G2416" t="s">
        <v>32838</v>
      </c>
      <c r="H2416" t="s">
        <v>32848</v>
      </c>
      <c r="I2416" t="s">
        <v>5379</v>
      </c>
      <c r="J2416" t="s">
        <v>34632</v>
      </c>
      <c r="K2416" t="s">
        <v>42726</v>
      </c>
      <c r="M2416" t="s">
        <v>44009</v>
      </c>
      <c r="N2416" t="s">
        <v>47424</v>
      </c>
      <c r="O2416" t="s">
        <v>47425</v>
      </c>
      <c r="P2416">
        <v>0</v>
      </c>
      <c r="Q2416">
        <v>0</v>
      </c>
      <c r="R2416" t="s">
        <v>47429</v>
      </c>
      <c r="S2416" t="s">
        <v>47542</v>
      </c>
      <c r="T2416" t="s">
        <v>49104</v>
      </c>
      <c r="U2416" t="s">
        <v>51736</v>
      </c>
      <c r="W2416" t="s">
        <v>44009</v>
      </c>
      <c r="X2416" t="s">
        <v>47426</v>
      </c>
    </row>
    <row r="2417" spans="1:24">
      <c r="A2417">
        <f>HYPERLINK("https://www.philgeps.gov.ph/GEPSNONPILOT/Tender/SplashBidNoticeAbstractUI.aspx?menuIndex=3&amp;refID=7167697&amp;Result=3","7167697")</f>
        <v>0</v>
      </c>
      <c r="B2417" t="s">
        <v>1068</v>
      </c>
      <c r="C2417" t="s">
        <v>6209</v>
      </c>
      <c r="D2417" t="s">
        <v>19021</v>
      </c>
      <c r="E2417" t="s">
        <v>21304</v>
      </c>
      <c r="F2417" t="s">
        <v>32831</v>
      </c>
      <c r="G2417" t="s">
        <v>32838</v>
      </c>
      <c r="H2417" t="s">
        <v>32848</v>
      </c>
      <c r="I2417" t="s">
        <v>10805</v>
      </c>
      <c r="J2417" t="s">
        <v>33041</v>
      </c>
      <c r="K2417" t="s">
        <v>42727</v>
      </c>
      <c r="M2417" t="s">
        <v>44125</v>
      </c>
      <c r="N2417" t="s">
        <v>47424</v>
      </c>
      <c r="O2417" t="s">
        <v>47425</v>
      </c>
      <c r="P2417">
        <v>0</v>
      </c>
      <c r="Q2417">
        <v>0</v>
      </c>
      <c r="R2417" t="s">
        <v>47429</v>
      </c>
      <c r="S2417" t="s">
        <v>47542</v>
      </c>
      <c r="T2417" t="s">
        <v>49104</v>
      </c>
      <c r="U2417" t="s">
        <v>51737</v>
      </c>
      <c r="V2417" t="s">
        <v>62880</v>
      </c>
      <c r="W2417" t="s">
        <v>44125</v>
      </c>
      <c r="X2417" t="s">
        <v>47426</v>
      </c>
    </row>
    <row r="2418" spans="1:24">
      <c r="A2418">
        <f>HYPERLINK("https://www.philgeps.gov.ph/GEPSNONPILOT/Tender/SplashBidNoticeAbstractUI.aspx?menuIndex=3&amp;refID=7167696&amp;Result=3","7167696")</f>
        <v>0</v>
      </c>
      <c r="B2418" t="s">
        <v>1072</v>
      </c>
      <c r="C2418" t="s">
        <v>6210</v>
      </c>
      <c r="D2418" t="s">
        <v>19078</v>
      </c>
      <c r="E2418" t="s">
        <v>21305</v>
      </c>
      <c r="F2418" t="s">
        <v>32831</v>
      </c>
      <c r="G2418" t="s">
        <v>32839</v>
      </c>
      <c r="H2418" t="s">
        <v>32848</v>
      </c>
      <c r="I2418" t="s">
        <v>32883</v>
      </c>
      <c r="J2418" t="s">
        <v>34633</v>
      </c>
      <c r="K2418" t="s">
        <v>42730</v>
      </c>
      <c r="M2418" t="s">
        <v>44129</v>
      </c>
      <c r="N2418" t="s">
        <v>47424</v>
      </c>
      <c r="O2418" t="s">
        <v>47425</v>
      </c>
      <c r="P2418">
        <v>0</v>
      </c>
      <c r="Q2418">
        <v>0</v>
      </c>
      <c r="R2418" t="s">
        <v>47429</v>
      </c>
      <c r="S2418" t="s">
        <v>47542</v>
      </c>
      <c r="T2418" t="s">
        <v>49078</v>
      </c>
      <c r="U2418" t="s">
        <v>51738</v>
      </c>
      <c r="W2418" t="s">
        <v>64456</v>
      </c>
      <c r="X2418" t="s">
        <v>47426</v>
      </c>
    </row>
    <row r="2419" spans="1:24">
      <c r="A2419">
        <f>HYPERLINK("https://www.philgeps.gov.ph/GEPSNONPILOT/Tender/SplashBidNoticeAbstractUI.aspx?menuIndex=3&amp;refID=7167707&amp;Result=3","7167707")</f>
        <v>0</v>
      </c>
      <c r="B2419" t="s">
        <v>1073</v>
      </c>
      <c r="C2419" t="s">
        <v>6211</v>
      </c>
      <c r="D2419" t="s">
        <v>19091</v>
      </c>
      <c r="E2419" t="s">
        <v>21306</v>
      </c>
      <c r="F2419" t="s">
        <v>32831</v>
      </c>
      <c r="G2419" t="s">
        <v>32839</v>
      </c>
      <c r="H2419" t="s">
        <v>32848</v>
      </c>
      <c r="I2419" t="s">
        <v>32883</v>
      </c>
      <c r="J2419" t="s">
        <v>33257</v>
      </c>
      <c r="K2419" t="s">
        <v>42730</v>
      </c>
      <c r="M2419" t="s">
        <v>44130</v>
      </c>
      <c r="N2419" t="s">
        <v>47424</v>
      </c>
      <c r="O2419" t="s">
        <v>47425</v>
      </c>
      <c r="P2419">
        <v>0</v>
      </c>
      <c r="Q2419">
        <v>0</v>
      </c>
      <c r="R2419" t="s">
        <v>47429</v>
      </c>
      <c r="S2419" t="s">
        <v>47542</v>
      </c>
      <c r="T2419" t="s">
        <v>49131</v>
      </c>
      <c r="U2419" t="s">
        <v>51739</v>
      </c>
      <c r="W2419" t="s">
        <v>44130</v>
      </c>
      <c r="X2419" t="s">
        <v>47426</v>
      </c>
    </row>
    <row r="2420" spans="1:24">
      <c r="A2420">
        <f>HYPERLINK("https://www.philgeps.gov.ph/GEPSNONPILOT/Tender/SplashBidNoticeAbstractUI.aspx?menuIndex=3&amp;refID=7167695&amp;Result=3","7167695")</f>
        <v>0</v>
      </c>
      <c r="B2420" t="s">
        <v>801</v>
      </c>
      <c r="C2420" t="s">
        <v>6212</v>
      </c>
      <c r="D2420" t="s">
        <v>19041</v>
      </c>
      <c r="E2420" t="s">
        <v>21307</v>
      </c>
      <c r="F2420" t="s">
        <v>32831</v>
      </c>
      <c r="G2420" t="s">
        <v>32839</v>
      </c>
      <c r="H2420" t="s">
        <v>32848</v>
      </c>
      <c r="I2420" t="s">
        <v>32857</v>
      </c>
      <c r="J2420" t="s">
        <v>34634</v>
      </c>
      <c r="K2420" t="s">
        <v>42731</v>
      </c>
      <c r="M2420" t="s">
        <v>43831</v>
      </c>
      <c r="N2420" t="s">
        <v>47424</v>
      </c>
      <c r="O2420" t="s">
        <v>47425</v>
      </c>
      <c r="P2420">
        <v>0</v>
      </c>
      <c r="Q2420">
        <v>0</v>
      </c>
      <c r="R2420" t="s">
        <v>47429</v>
      </c>
      <c r="S2420" t="s">
        <v>47542</v>
      </c>
      <c r="T2420" t="s">
        <v>49069</v>
      </c>
      <c r="U2420" t="s">
        <v>51740</v>
      </c>
      <c r="W2420" t="s">
        <v>43831</v>
      </c>
      <c r="X2420" t="s">
        <v>47426</v>
      </c>
    </row>
    <row r="2421" spans="1:24">
      <c r="A2421">
        <f>HYPERLINK("https://www.philgeps.gov.ph/GEPSNONPILOT/Tender/SplashBidNoticeAbstractUI.aspx?menuIndex=3&amp;refID=7167694&amp;Result=3","7167694")</f>
        <v>0</v>
      </c>
      <c r="B2421" t="s">
        <v>62</v>
      </c>
      <c r="C2421" t="s">
        <v>6213</v>
      </c>
      <c r="D2421" t="s">
        <v>19043</v>
      </c>
      <c r="E2421" t="s">
        <v>21308</v>
      </c>
      <c r="F2421" t="s">
        <v>32831</v>
      </c>
      <c r="G2421" t="s">
        <v>32838</v>
      </c>
      <c r="H2421" t="s">
        <v>32848</v>
      </c>
      <c r="I2421" t="s">
        <v>7416</v>
      </c>
      <c r="J2421" t="s">
        <v>34635</v>
      </c>
      <c r="K2421" t="s">
        <v>42726</v>
      </c>
      <c r="M2421" t="s">
        <v>43059</v>
      </c>
      <c r="N2421" t="s">
        <v>47424</v>
      </c>
      <c r="O2421" t="s">
        <v>47425</v>
      </c>
      <c r="P2421">
        <v>0</v>
      </c>
      <c r="Q2421">
        <v>0</v>
      </c>
      <c r="R2421" t="s">
        <v>47429</v>
      </c>
      <c r="S2421" t="s">
        <v>47542</v>
      </c>
      <c r="T2421" t="s">
        <v>49129</v>
      </c>
      <c r="U2421" t="s">
        <v>51735</v>
      </c>
      <c r="W2421" t="s">
        <v>43059</v>
      </c>
      <c r="X2421" t="s">
        <v>47426</v>
      </c>
    </row>
    <row r="2422" spans="1:24">
      <c r="A2422">
        <f>HYPERLINK("https://www.philgeps.gov.ph/GEPSNONPILOT/Tender/SplashBidNoticeAbstractUI.aspx?menuIndex=3&amp;refID=7167693&amp;Result=3","7167693")</f>
        <v>0</v>
      </c>
      <c r="B2422" t="s">
        <v>413</v>
      </c>
      <c r="C2422" t="s">
        <v>6214</v>
      </c>
      <c r="D2422" t="s">
        <v>19017</v>
      </c>
      <c r="E2422" t="s">
        <v>21309</v>
      </c>
      <c r="F2422" t="s">
        <v>32831</v>
      </c>
      <c r="G2422" t="s">
        <v>32840</v>
      </c>
      <c r="H2422" t="s">
        <v>32848</v>
      </c>
      <c r="I2422" t="s">
        <v>32874</v>
      </c>
      <c r="J2422" t="s">
        <v>33613</v>
      </c>
      <c r="K2422" t="s">
        <v>42727</v>
      </c>
      <c r="M2422" t="s">
        <v>43418</v>
      </c>
      <c r="N2422" t="s">
        <v>47424</v>
      </c>
      <c r="O2422" t="s">
        <v>47425</v>
      </c>
      <c r="P2422">
        <v>0</v>
      </c>
      <c r="Q2422">
        <v>0</v>
      </c>
      <c r="R2422" t="s">
        <v>47429</v>
      </c>
      <c r="S2422" t="s">
        <v>47542</v>
      </c>
      <c r="T2422" t="s">
        <v>49127</v>
      </c>
      <c r="U2422" t="s">
        <v>51741</v>
      </c>
      <c r="V2422" t="s">
        <v>62872</v>
      </c>
      <c r="W2422" t="s">
        <v>64454</v>
      </c>
      <c r="X2422" t="s">
        <v>47426</v>
      </c>
    </row>
    <row r="2423" spans="1:24">
      <c r="A2423">
        <f>HYPERLINK("https://www.philgeps.gov.ph/GEPSNONPILOT/Tender/SplashBidNoticeAbstractUI.aspx?menuIndex=3&amp;refID=7167692&amp;Result=3","7167692")</f>
        <v>0</v>
      </c>
      <c r="B2423" t="s">
        <v>62</v>
      </c>
      <c r="C2423" t="s">
        <v>6215</v>
      </c>
      <c r="D2423" t="s">
        <v>19043</v>
      </c>
      <c r="E2423" t="s">
        <v>21310</v>
      </c>
      <c r="F2423" t="s">
        <v>32831</v>
      </c>
      <c r="G2423" t="s">
        <v>32838</v>
      </c>
      <c r="H2423" t="s">
        <v>32848</v>
      </c>
      <c r="I2423" t="s">
        <v>7416</v>
      </c>
      <c r="J2423" t="s">
        <v>34636</v>
      </c>
      <c r="K2423" t="s">
        <v>42726</v>
      </c>
      <c r="M2423" t="s">
        <v>43059</v>
      </c>
      <c r="N2423" t="s">
        <v>47424</v>
      </c>
      <c r="O2423" t="s">
        <v>47425</v>
      </c>
      <c r="P2423">
        <v>0</v>
      </c>
      <c r="Q2423">
        <v>1</v>
      </c>
      <c r="R2423" t="s">
        <v>47429</v>
      </c>
      <c r="S2423" t="s">
        <v>47542</v>
      </c>
      <c r="T2423" t="s">
        <v>49129</v>
      </c>
      <c r="U2423" t="s">
        <v>51735</v>
      </c>
      <c r="W2423" t="s">
        <v>43059</v>
      </c>
      <c r="X2423" t="s">
        <v>47426</v>
      </c>
    </row>
    <row r="2424" spans="1:24">
      <c r="A2424">
        <f>HYPERLINK("https://www.philgeps.gov.ph/GEPSNONPILOT/Tender/SplashBidNoticeAbstractUI.aspx?menuIndex=3&amp;refID=7167691&amp;Result=3","7167691")</f>
        <v>0</v>
      </c>
      <c r="B2424" t="s">
        <v>1074</v>
      </c>
      <c r="C2424" t="s">
        <v>6216</v>
      </c>
      <c r="D2424" t="s">
        <v>19045</v>
      </c>
      <c r="E2424" t="s">
        <v>21311</v>
      </c>
      <c r="F2424" t="s">
        <v>32831</v>
      </c>
      <c r="G2424" t="s">
        <v>32839</v>
      </c>
      <c r="H2424" t="s">
        <v>32848</v>
      </c>
      <c r="I2424" t="s">
        <v>8577</v>
      </c>
      <c r="J2424" t="s">
        <v>34637</v>
      </c>
      <c r="K2424" t="s">
        <v>42730</v>
      </c>
      <c r="M2424" t="s">
        <v>44131</v>
      </c>
      <c r="N2424" t="s">
        <v>47424</v>
      </c>
      <c r="O2424" t="s">
        <v>47425</v>
      </c>
      <c r="P2424">
        <v>0</v>
      </c>
      <c r="Q2424">
        <v>0</v>
      </c>
      <c r="R2424" t="s">
        <v>47429</v>
      </c>
      <c r="S2424" t="s">
        <v>47542</v>
      </c>
      <c r="T2424" t="s">
        <v>49245</v>
      </c>
      <c r="U2424" t="s">
        <v>51742</v>
      </c>
      <c r="W2424" t="s">
        <v>44131</v>
      </c>
      <c r="X2424" t="s">
        <v>47426</v>
      </c>
    </row>
    <row r="2425" spans="1:24">
      <c r="A2425">
        <f>HYPERLINK("https://www.philgeps.gov.ph/GEPSNONPILOT/Tender/SplashBidNoticeAbstractUI.aspx?menuIndex=3&amp;refID=7167690&amp;Result=3","7167690")</f>
        <v>0</v>
      </c>
      <c r="B2425" t="s">
        <v>1075</v>
      </c>
      <c r="C2425" t="s">
        <v>6189</v>
      </c>
      <c r="D2425" t="s">
        <v>19027</v>
      </c>
      <c r="E2425" t="s">
        <v>21312</v>
      </c>
      <c r="F2425" t="s">
        <v>32831</v>
      </c>
      <c r="G2425" t="s">
        <v>32842</v>
      </c>
      <c r="H2425" t="s">
        <v>32848</v>
      </c>
      <c r="I2425" t="s">
        <v>32860</v>
      </c>
      <c r="J2425" t="s">
        <v>33148</v>
      </c>
      <c r="K2425" t="s">
        <v>42759</v>
      </c>
      <c r="M2425" t="s">
        <v>44132</v>
      </c>
      <c r="N2425" t="s">
        <v>47424</v>
      </c>
      <c r="O2425" t="s">
        <v>47425</v>
      </c>
      <c r="P2425">
        <v>0</v>
      </c>
      <c r="Q2425">
        <v>0</v>
      </c>
      <c r="R2425" t="s">
        <v>47429</v>
      </c>
      <c r="S2425" t="s">
        <v>47542</v>
      </c>
      <c r="T2425" t="s">
        <v>49119</v>
      </c>
      <c r="U2425" t="s">
        <v>50992</v>
      </c>
      <c r="W2425" t="s">
        <v>44132</v>
      </c>
      <c r="X2425" t="s">
        <v>47426</v>
      </c>
    </row>
    <row r="2426" spans="1:24">
      <c r="A2426">
        <f>HYPERLINK("https://www.philgeps.gov.ph/GEPSNONPILOT/Tender/SplashBidNoticeAbstractUI.aspx?menuIndex=3&amp;refID=7167689&amp;Result=3","7167689")</f>
        <v>0</v>
      </c>
      <c r="B2426" t="s">
        <v>62</v>
      </c>
      <c r="C2426" t="s">
        <v>6217</v>
      </c>
      <c r="D2426" t="s">
        <v>19043</v>
      </c>
      <c r="E2426" t="s">
        <v>21313</v>
      </c>
      <c r="F2426" t="s">
        <v>32831</v>
      </c>
      <c r="G2426" t="s">
        <v>32838</v>
      </c>
      <c r="H2426" t="s">
        <v>32848</v>
      </c>
      <c r="I2426" t="s">
        <v>7416</v>
      </c>
      <c r="J2426" t="s">
        <v>34638</v>
      </c>
      <c r="K2426" t="s">
        <v>42726</v>
      </c>
      <c r="M2426" t="s">
        <v>43059</v>
      </c>
      <c r="N2426" t="s">
        <v>47424</v>
      </c>
      <c r="O2426" t="s">
        <v>47425</v>
      </c>
      <c r="P2426">
        <v>0</v>
      </c>
      <c r="Q2426">
        <v>0</v>
      </c>
      <c r="R2426" t="s">
        <v>47429</v>
      </c>
      <c r="S2426" t="s">
        <v>47542</v>
      </c>
      <c r="T2426" t="s">
        <v>49129</v>
      </c>
      <c r="U2426" t="s">
        <v>51735</v>
      </c>
      <c r="W2426" t="s">
        <v>43059</v>
      </c>
      <c r="X2426" t="s">
        <v>47426</v>
      </c>
    </row>
    <row r="2427" spans="1:24">
      <c r="A2427">
        <f>HYPERLINK("https://www.philgeps.gov.ph/GEPSNONPILOT/Tender/SplashBidNoticeAbstractUI.aspx?menuIndex=3&amp;refID=7167678&amp;Result=3","7167678")</f>
        <v>0</v>
      </c>
      <c r="B2427" t="s">
        <v>1058</v>
      </c>
      <c r="C2427" t="s">
        <v>6218</v>
      </c>
      <c r="D2427" t="s">
        <v>19060</v>
      </c>
      <c r="E2427" t="s">
        <v>21314</v>
      </c>
      <c r="F2427" t="s">
        <v>32831</v>
      </c>
      <c r="G2427" t="s">
        <v>32838</v>
      </c>
      <c r="H2427" t="s">
        <v>32848</v>
      </c>
      <c r="I2427" t="s">
        <v>4222</v>
      </c>
      <c r="J2427" t="s">
        <v>34639</v>
      </c>
      <c r="K2427" t="s">
        <v>42745</v>
      </c>
      <c r="M2427" t="s">
        <v>44115</v>
      </c>
      <c r="N2427" t="s">
        <v>47424</v>
      </c>
      <c r="O2427" t="s">
        <v>47425</v>
      </c>
      <c r="P2427">
        <v>0</v>
      </c>
      <c r="Q2427">
        <v>0</v>
      </c>
      <c r="R2427" t="s">
        <v>47429</v>
      </c>
      <c r="S2427" t="s">
        <v>47542</v>
      </c>
      <c r="T2427" t="s">
        <v>49103</v>
      </c>
      <c r="U2427" t="s">
        <v>51743</v>
      </c>
      <c r="V2427" t="s">
        <v>62877</v>
      </c>
      <c r="W2427" t="s">
        <v>44115</v>
      </c>
      <c r="X2427" t="s">
        <v>47426</v>
      </c>
    </row>
    <row r="2428" spans="1:24">
      <c r="A2428">
        <f>HYPERLINK("https://www.philgeps.gov.ph/GEPSNONPILOT/Tender/SplashBidNoticeAbstractUI.aspx?menuIndex=3&amp;refID=7166549&amp;Result=3","7166549")</f>
        <v>0</v>
      </c>
      <c r="B2428" t="s">
        <v>1076</v>
      </c>
      <c r="C2428" t="s">
        <v>6219</v>
      </c>
      <c r="D2428" t="s">
        <v>19023</v>
      </c>
      <c r="E2428" t="s">
        <v>21315</v>
      </c>
      <c r="F2428" t="s">
        <v>32831</v>
      </c>
      <c r="G2428" t="s">
        <v>32842</v>
      </c>
      <c r="H2428" t="s">
        <v>32848</v>
      </c>
      <c r="I2428" t="s">
        <v>9577</v>
      </c>
      <c r="J2428" t="s">
        <v>33372</v>
      </c>
      <c r="K2428" t="s">
        <v>42758</v>
      </c>
      <c r="M2428" t="s">
        <v>44133</v>
      </c>
      <c r="N2428" t="s">
        <v>47424</v>
      </c>
      <c r="O2428" t="s">
        <v>47425</v>
      </c>
      <c r="P2428">
        <v>0</v>
      </c>
      <c r="Q2428">
        <v>0</v>
      </c>
      <c r="R2428" t="s">
        <v>47429</v>
      </c>
      <c r="S2428" t="s">
        <v>47542</v>
      </c>
      <c r="T2428" t="s">
        <v>49119</v>
      </c>
      <c r="U2428" t="s">
        <v>51744</v>
      </c>
      <c r="W2428" t="s">
        <v>44133</v>
      </c>
      <c r="X2428" t="s">
        <v>47426</v>
      </c>
    </row>
    <row r="2429" spans="1:24">
      <c r="A2429">
        <f>HYPERLINK("https://www.philgeps.gov.ph/GEPSNONPILOT/Tender/SplashBidNoticeAbstractUI.aspx?menuIndex=3&amp;refID=7167698&amp;Result=3","7167698")</f>
        <v>0</v>
      </c>
      <c r="B2429" t="s">
        <v>62</v>
      </c>
      <c r="C2429" t="s">
        <v>6220</v>
      </c>
      <c r="D2429" t="s">
        <v>19043</v>
      </c>
      <c r="E2429" t="s">
        <v>21316</v>
      </c>
      <c r="F2429" t="s">
        <v>32831</v>
      </c>
      <c r="G2429" t="s">
        <v>32838</v>
      </c>
      <c r="H2429" t="s">
        <v>32848</v>
      </c>
      <c r="I2429" t="s">
        <v>7416</v>
      </c>
      <c r="J2429" t="s">
        <v>34640</v>
      </c>
      <c r="K2429" t="s">
        <v>42726</v>
      </c>
      <c r="M2429" t="s">
        <v>43059</v>
      </c>
      <c r="N2429" t="s">
        <v>47424</v>
      </c>
      <c r="O2429" t="s">
        <v>47425</v>
      </c>
      <c r="P2429">
        <v>0</v>
      </c>
      <c r="Q2429">
        <v>0</v>
      </c>
      <c r="R2429" t="s">
        <v>47429</v>
      </c>
      <c r="S2429" t="s">
        <v>47542</v>
      </c>
      <c r="T2429" t="s">
        <v>49129</v>
      </c>
      <c r="U2429" t="s">
        <v>51735</v>
      </c>
      <c r="W2429" t="s">
        <v>43059</v>
      </c>
      <c r="X2429" t="s">
        <v>47426</v>
      </c>
    </row>
    <row r="2430" spans="1:24">
      <c r="A2430">
        <f>HYPERLINK("https://www.philgeps.gov.ph/GEPSNONPILOT/Tender/SplashBidNoticeAbstractUI.aspx?menuIndex=3&amp;refID=7166548&amp;Result=3","7166548")</f>
        <v>0</v>
      </c>
      <c r="B2430" t="s">
        <v>680</v>
      </c>
      <c r="C2430" t="s">
        <v>6221</v>
      </c>
      <c r="E2430" t="s">
        <v>21317</v>
      </c>
      <c r="F2430" t="s">
        <v>32831</v>
      </c>
      <c r="G2430" t="s">
        <v>32838</v>
      </c>
      <c r="H2430" t="s">
        <v>32848</v>
      </c>
      <c r="I2430" t="s">
        <v>9577</v>
      </c>
      <c r="J2430" t="s">
        <v>33025</v>
      </c>
      <c r="K2430" t="s">
        <v>42732</v>
      </c>
      <c r="M2430" t="s">
        <v>44134</v>
      </c>
      <c r="N2430" t="s">
        <v>47424</v>
      </c>
      <c r="O2430" t="s">
        <v>47425</v>
      </c>
      <c r="P2430">
        <v>0</v>
      </c>
      <c r="Q2430">
        <v>0</v>
      </c>
      <c r="R2430" t="s">
        <v>47429</v>
      </c>
      <c r="S2430" t="s">
        <v>47542</v>
      </c>
      <c r="T2430" t="s">
        <v>49091</v>
      </c>
      <c r="U2430" t="s">
        <v>51745</v>
      </c>
      <c r="W2430" t="s">
        <v>44134</v>
      </c>
      <c r="X2430" t="s">
        <v>47426</v>
      </c>
    </row>
    <row r="2431" spans="1:24">
      <c r="A2431">
        <f>HYPERLINK("https://www.philgeps.gov.ph/GEPSNONPILOT/Tender/SplashBidNoticeAbstractUI.aspx?menuIndex=3&amp;refID=7162044&amp;Result=3","7162044")</f>
        <v>0</v>
      </c>
      <c r="B2431" t="s">
        <v>295</v>
      </c>
      <c r="C2431" t="s">
        <v>6222</v>
      </c>
      <c r="D2431" t="s">
        <v>19044</v>
      </c>
      <c r="E2431" t="s">
        <v>21318</v>
      </c>
      <c r="F2431" t="s">
        <v>32834</v>
      </c>
      <c r="G2431" t="s">
        <v>32838</v>
      </c>
      <c r="H2431" t="s">
        <v>32850</v>
      </c>
      <c r="I2431" t="s">
        <v>5379</v>
      </c>
      <c r="J2431" t="s">
        <v>34641</v>
      </c>
      <c r="K2431" t="s">
        <v>42726</v>
      </c>
      <c r="M2431" t="s">
        <v>43914</v>
      </c>
      <c r="N2431" t="s">
        <v>47424</v>
      </c>
      <c r="O2431" t="s">
        <v>47425</v>
      </c>
      <c r="P2431">
        <v>0</v>
      </c>
      <c r="Q2431">
        <v>0</v>
      </c>
      <c r="R2431" t="s">
        <v>47428</v>
      </c>
      <c r="S2431" t="s">
        <v>47541</v>
      </c>
      <c r="T2431" t="s">
        <v>49105</v>
      </c>
      <c r="U2431" t="s">
        <v>51746</v>
      </c>
      <c r="V2431" t="s">
        <v>51102</v>
      </c>
      <c r="W2431" t="s">
        <v>43914</v>
      </c>
      <c r="X2431" t="s">
        <v>47430</v>
      </c>
    </row>
    <row r="2432" spans="1:24">
      <c r="A2432">
        <f>HYPERLINK("https://www.philgeps.gov.ph/GEPSNONPILOT/Tender/SplashBidNoticeAbstractUI.aspx?menuIndex=3&amp;refID=7167668&amp;Result=3","7167668")</f>
        <v>0</v>
      </c>
      <c r="B2432" t="s">
        <v>1058</v>
      </c>
      <c r="C2432" t="s">
        <v>6223</v>
      </c>
      <c r="D2432" t="s">
        <v>19060</v>
      </c>
      <c r="E2432" t="s">
        <v>21319</v>
      </c>
      <c r="F2432" t="s">
        <v>32831</v>
      </c>
      <c r="G2432" t="s">
        <v>32838</v>
      </c>
      <c r="H2432" t="s">
        <v>32848</v>
      </c>
      <c r="I2432" t="s">
        <v>4776</v>
      </c>
      <c r="J2432" t="s">
        <v>33677</v>
      </c>
      <c r="K2432" t="s">
        <v>42745</v>
      </c>
      <c r="M2432" t="s">
        <v>44115</v>
      </c>
      <c r="N2432" t="s">
        <v>47424</v>
      </c>
      <c r="O2432" t="s">
        <v>47425</v>
      </c>
      <c r="P2432">
        <v>0</v>
      </c>
      <c r="Q2432">
        <v>0</v>
      </c>
      <c r="R2432" t="s">
        <v>47429</v>
      </c>
      <c r="S2432" t="s">
        <v>47542</v>
      </c>
      <c r="T2432" t="s">
        <v>49103</v>
      </c>
      <c r="U2432" t="s">
        <v>51747</v>
      </c>
      <c r="V2432" t="s">
        <v>62878</v>
      </c>
      <c r="W2432" t="s">
        <v>44115</v>
      </c>
      <c r="X2432" t="s">
        <v>47426</v>
      </c>
    </row>
    <row r="2433" spans="1:24">
      <c r="A2433">
        <f>HYPERLINK("https://www.philgeps.gov.ph/GEPSNONPILOT/Tender/SplashBidNoticeAbstractUI.aspx?menuIndex=3&amp;refID=7162038&amp;Result=3","7162038")</f>
        <v>0</v>
      </c>
      <c r="B2433" t="s">
        <v>1077</v>
      </c>
      <c r="C2433" t="s">
        <v>6224</v>
      </c>
      <c r="D2433" t="s">
        <v>19067</v>
      </c>
      <c r="E2433" t="s">
        <v>21320</v>
      </c>
      <c r="F2433" t="s">
        <v>32831</v>
      </c>
      <c r="G2433" t="s">
        <v>32838</v>
      </c>
      <c r="H2433" t="s">
        <v>32848</v>
      </c>
      <c r="I2433" t="s">
        <v>32874</v>
      </c>
      <c r="J2433" t="s">
        <v>34642</v>
      </c>
      <c r="K2433" t="s">
        <v>42763</v>
      </c>
      <c r="M2433" t="s">
        <v>44135</v>
      </c>
      <c r="N2433" t="s">
        <v>47424</v>
      </c>
      <c r="O2433" t="s">
        <v>47425</v>
      </c>
      <c r="P2433">
        <v>0</v>
      </c>
      <c r="Q2433">
        <v>5</v>
      </c>
      <c r="R2433" t="s">
        <v>47428</v>
      </c>
      <c r="S2433" t="s">
        <v>47541</v>
      </c>
      <c r="T2433" t="s">
        <v>49145</v>
      </c>
      <c r="U2433" t="s">
        <v>51748</v>
      </c>
      <c r="W2433" t="s">
        <v>44135</v>
      </c>
      <c r="X2433" t="s">
        <v>47430</v>
      </c>
    </row>
    <row r="2434" spans="1:24">
      <c r="A2434">
        <f>HYPERLINK("https://www.philgeps.gov.ph/GEPSNONPILOT/Tender/SplashBidNoticeAbstractUI.aspx?menuIndex=3&amp;refID=7161956&amp;Result=3","7161956")</f>
        <v>0</v>
      </c>
      <c r="B2434" t="s">
        <v>624</v>
      </c>
      <c r="C2434" t="s">
        <v>6225</v>
      </c>
      <c r="D2434" t="s">
        <v>19064</v>
      </c>
      <c r="E2434" t="s">
        <v>21321</v>
      </c>
      <c r="F2434" t="s">
        <v>32831</v>
      </c>
      <c r="G2434" t="s">
        <v>32838</v>
      </c>
      <c r="H2434" t="s">
        <v>32848</v>
      </c>
      <c r="I2434" t="s">
        <v>7416</v>
      </c>
      <c r="J2434" t="s">
        <v>34044</v>
      </c>
      <c r="K2434" t="s">
        <v>42732</v>
      </c>
      <c r="M2434" t="s">
        <v>43640</v>
      </c>
      <c r="N2434" t="s">
        <v>47424</v>
      </c>
      <c r="O2434" t="s">
        <v>47425</v>
      </c>
      <c r="P2434">
        <v>0</v>
      </c>
      <c r="Q2434">
        <v>0</v>
      </c>
      <c r="R2434" t="s">
        <v>47428</v>
      </c>
      <c r="S2434" t="s">
        <v>47541</v>
      </c>
      <c r="T2434" t="s">
        <v>49108</v>
      </c>
      <c r="U2434" t="s">
        <v>50973</v>
      </c>
      <c r="W2434" t="s">
        <v>43640</v>
      </c>
      <c r="X2434" t="s">
        <v>47430</v>
      </c>
    </row>
    <row r="2435" spans="1:24">
      <c r="A2435">
        <f>HYPERLINK("https://www.philgeps.gov.ph/GEPSNONPILOT/Tender/SplashBidNoticeAbstractUI.aspx?menuIndex=3&amp;refID=7167687&amp;Result=3","7167687")</f>
        <v>0</v>
      </c>
      <c r="B2435" t="s">
        <v>62</v>
      </c>
      <c r="C2435" t="s">
        <v>6226</v>
      </c>
      <c r="D2435" t="s">
        <v>19043</v>
      </c>
      <c r="E2435" t="s">
        <v>21322</v>
      </c>
      <c r="F2435" t="s">
        <v>32831</v>
      </c>
      <c r="G2435" t="s">
        <v>32838</v>
      </c>
      <c r="H2435" t="s">
        <v>32848</v>
      </c>
      <c r="I2435" t="s">
        <v>7416</v>
      </c>
      <c r="J2435" t="s">
        <v>33510</v>
      </c>
      <c r="K2435" t="s">
        <v>42726</v>
      </c>
      <c r="M2435" t="s">
        <v>43059</v>
      </c>
      <c r="N2435" t="s">
        <v>47424</v>
      </c>
      <c r="O2435" t="s">
        <v>47425</v>
      </c>
      <c r="P2435">
        <v>0</v>
      </c>
      <c r="Q2435">
        <v>0</v>
      </c>
      <c r="R2435" t="s">
        <v>47429</v>
      </c>
      <c r="S2435" t="s">
        <v>47542</v>
      </c>
      <c r="T2435" t="s">
        <v>49129</v>
      </c>
      <c r="U2435" t="s">
        <v>51735</v>
      </c>
      <c r="W2435" t="s">
        <v>43059</v>
      </c>
      <c r="X2435" t="s">
        <v>47426</v>
      </c>
    </row>
    <row r="2436" spans="1:24">
      <c r="A2436">
        <f>HYPERLINK("https://www.philgeps.gov.ph/GEPSNONPILOT/Tender/SplashBidNoticeAbstractUI.aspx?menuIndex=3&amp;refID=7166550&amp;Result=3","7166550")</f>
        <v>0</v>
      </c>
      <c r="B2436" t="s">
        <v>1078</v>
      </c>
      <c r="C2436" t="s">
        <v>6227</v>
      </c>
      <c r="D2436" t="s">
        <v>19017</v>
      </c>
      <c r="E2436" t="s">
        <v>21323</v>
      </c>
      <c r="F2436" t="s">
        <v>32831</v>
      </c>
      <c r="G2436" t="s">
        <v>32838</v>
      </c>
      <c r="H2436" t="s">
        <v>32848</v>
      </c>
      <c r="I2436" t="s">
        <v>10643</v>
      </c>
      <c r="J2436" t="s">
        <v>34643</v>
      </c>
      <c r="K2436" t="s">
        <v>42727</v>
      </c>
      <c r="M2436" t="s">
        <v>44136</v>
      </c>
      <c r="N2436" t="s">
        <v>47424</v>
      </c>
      <c r="O2436" t="s">
        <v>47425</v>
      </c>
      <c r="P2436">
        <v>0</v>
      </c>
      <c r="Q2436">
        <v>0</v>
      </c>
      <c r="R2436" t="s">
        <v>47429</v>
      </c>
      <c r="S2436" t="s">
        <v>47542</v>
      </c>
      <c r="T2436" t="s">
        <v>49060</v>
      </c>
      <c r="U2436" t="s">
        <v>51749</v>
      </c>
      <c r="W2436" t="s">
        <v>44136</v>
      </c>
      <c r="X2436" t="s">
        <v>47426</v>
      </c>
    </row>
    <row r="2437" spans="1:24">
      <c r="A2437">
        <f>HYPERLINK("https://www.philgeps.gov.ph/GEPSNONPILOT/Tender/SplashBidNoticeAbstractUI.aspx?menuIndex=3&amp;refID=7167709&amp;Result=3","7167709")</f>
        <v>0</v>
      </c>
      <c r="B2437" t="s">
        <v>851</v>
      </c>
      <c r="C2437" t="s">
        <v>6228</v>
      </c>
      <c r="D2437" t="s">
        <v>19017</v>
      </c>
      <c r="E2437" t="s">
        <v>21324</v>
      </c>
      <c r="F2437" t="s">
        <v>32831</v>
      </c>
      <c r="G2437" t="s">
        <v>32838</v>
      </c>
      <c r="H2437" t="s">
        <v>32848</v>
      </c>
      <c r="I2437" t="s">
        <v>4776</v>
      </c>
      <c r="J2437" t="s">
        <v>34644</v>
      </c>
      <c r="K2437" t="s">
        <v>42726</v>
      </c>
      <c r="M2437" t="s">
        <v>44083</v>
      </c>
      <c r="N2437" t="s">
        <v>47424</v>
      </c>
      <c r="O2437" t="s">
        <v>47425</v>
      </c>
      <c r="P2437">
        <v>0</v>
      </c>
      <c r="Q2437">
        <v>0</v>
      </c>
      <c r="R2437" t="s">
        <v>47429</v>
      </c>
      <c r="S2437" t="s">
        <v>47542</v>
      </c>
      <c r="T2437" t="s">
        <v>49089</v>
      </c>
      <c r="U2437" t="s">
        <v>51750</v>
      </c>
      <c r="W2437" t="s">
        <v>44083</v>
      </c>
      <c r="X2437" t="s">
        <v>47426</v>
      </c>
    </row>
    <row r="2438" spans="1:24">
      <c r="A2438">
        <f>HYPERLINK("https://www.philgeps.gov.ph/GEPSNONPILOT/Tender/SplashBidNoticeAbstractUI.aspx?menuIndex=3&amp;refID=7162046&amp;Result=3","7162046")</f>
        <v>0</v>
      </c>
      <c r="B2438" t="s">
        <v>624</v>
      </c>
      <c r="C2438" t="s">
        <v>6229</v>
      </c>
      <c r="D2438" t="s">
        <v>19064</v>
      </c>
      <c r="E2438" t="s">
        <v>21325</v>
      </c>
      <c r="F2438" t="s">
        <v>32831</v>
      </c>
      <c r="G2438" t="s">
        <v>32838</v>
      </c>
      <c r="H2438" t="s">
        <v>32848</v>
      </c>
      <c r="I2438" t="s">
        <v>7416</v>
      </c>
      <c r="J2438" t="s">
        <v>34044</v>
      </c>
      <c r="K2438" t="s">
        <v>42732</v>
      </c>
      <c r="M2438" t="s">
        <v>43640</v>
      </c>
      <c r="N2438" t="s">
        <v>47424</v>
      </c>
      <c r="O2438" t="s">
        <v>47425</v>
      </c>
      <c r="P2438">
        <v>0</v>
      </c>
      <c r="Q2438">
        <v>0</v>
      </c>
      <c r="R2438" t="s">
        <v>47428</v>
      </c>
      <c r="S2438" t="s">
        <v>47541</v>
      </c>
      <c r="T2438" t="s">
        <v>49108</v>
      </c>
      <c r="U2438" t="s">
        <v>50973</v>
      </c>
      <c r="W2438" t="s">
        <v>43640</v>
      </c>
      <c r="X2438" t="s">
        <v>47430</v>
      </c>
    </row>
    <row r="2439" spans="1:24">
      <c r="A2439">
        <f>HYPERLINK("https://www.philgeps.gov.ph/GEPSNONPILOT/Tender/SplashBidNoticeAbstractUI.aspx?menuIndex=3&amp;refID=7167727&amp;Result=3","7167727")</f>
        <v>0</v>
      </c>
      <c r="B2439" t="s">
        <v>1068</v>
      </c>
      <c r="C2439" t="s">
        <v>6230</v>
      </c>
      <c r="D2439" t="s">
        <v>19021</v>
      </c>
      <c r="E2439" t="s">
        <v>21326</v>
      </c>
      <c r="F2439" t="s">
        <v>32831</v>
      </c>
      <c r="G2439" t="s">
        <v>32839</v>
      </c>
      <c r="H2439" t="s">
        <v>32848</v>
      </c>
      <c r="I2439" t="s">
        <v>32912</v>
      </c>
      <c r="J2439" t="s">
        <v>33841</v>
      </c>
      <c r="K2439" t="s">
        <v>42727</v>
      </c>
      <c r="M2439" t="s">
        <v>44125</v>
      </c>
      <c r="N2439" t="s">
        <v>47424</v>
      </c>
      <c r="O2439" t="s">
        <v>47425</v>
      </c>
      <c r="P2439">
        <v>0</v>
      </c>
      <c r="Q2439">
        <v>0</v>
      </c>
      <c r="R2439" t="s">
        <v>47429</v>
      </c>
      <c r="S2439" t="s">
        <v>47542</v>
      </c>
      <c r="T2439" t="s">
        <v>49069</v>
      </c>
      <c r="U2439" t="s">
        <v>51751</v>
      </c>
      <c r="V2439" t="s">
        <v>62883</v>
      </c>
      <c r="W2439" t="s">
        <v>44125</v>
      </c>
      <c r="X2439" t="s">
        <v>47426</v>
      </c>
    </row>
    <row r="2440" spans="1:24">
      <c r="A2440">
        <f>HYPERLINK("https://www.philgeps.gov.ph/GEPSNONPILOT/Tender/SplashBidNoticeAbstractUI.aspx?menuIndex=3&amp;refID=7167704&amp;Result=3","7167704")</f>
        <v>0</v>
      </c>
      <c r="B2440" t="s">
        <v>62</v>
      </c>
      <c r="C2440" t="s">
        <v>6231</v>
      </c>
      <c r="D2440" t="s">
        <v>19043</v>
      </c>
      <c r="E2440" t="s">
        <v>21327</v>
      </c>
      <c r="F2440" t="s">
        <v>32831</v>
      </c>
      <c r="G2440" t="s">
        <v>32838</v>
      </c>
      <c r="H2440" t="s">
        <v>32848</v>
      </c>
      <c r="I2440" t="s">
        <v>7416</v>
      </c>
      <c r="J2440" t="s">
        <v>34645</v>
      </c>
      <c r="K2440" t="s">
        <v>42726</v>
      </c>
      <c r="M2440" t="s">
        <v>43059</v>
      </c>
      <c r="N2440" t="s">
        <v>47424</v>
      </c>
      <c r="O2440" t="s">
        <v>47425</v>
      </c>
      <c r="P2440">
        <v>0</v>
      </c>
      <c r="Q2440">
        <v>0</v>
      </c>
      <c r="R2440" t="s">
        <v>47429</v>
      </c>
      <c r="S2440" t="s">
        <v>47542</v>
      </c>
      <c r="T2440" t="s">
        <v>49129</v>
      </c>
      <c r="U2440" t="s">
        <v>51735</v>
      </c>
      <c r="W2440" t="s">
        <v>43059</v>
      </c>
      <c r="X2440" t="s">
        <v>47426</v>
      </c>
    </row>
    <row r="2441" spans="1:24">
      <c r="A2441">
        <f>HYPERLINK("https://www.philgeps.gov.ph/GEPSNONPILOT/Tender/SplashBidNoticeAbstractUI.aspx?menuIndex=3&amp;refID=7161958&amp;Result=3","7161958")</f>
        <v>0</v>
      </c>
      <c r="B2441" t="s">
        <v>645</v>
      </c>
      <c r="C2441" t="s">
        <v>6232</v>
      </c>
      <c r="D2441" t="s">
        <v>19037</v>
      </c>
      <c r="E2441" t="s">
        <v>21328</v>
      </c>
      <c r="F2441" t="s">
        <v>32831</v>
      </c>
      <c r="G2441" t="s">
        <v>32838</v>
      </c>
      <c r="H2441" t="s">
        <v>32848</v>
      </c>
      <c r="I2441" t="s">
        <v>4222</v>
      </c>
      <c r="J2441" t="s">
        <v>33198</v>
      </c>
      <c r="K2441" t="s">
        <v>42732</v>
      </c>
      <c r="M2441" t="s">
        <v>43662</v>
      </c>
      <c r="N2441" t="s">
        <v>47424</v>
      </c>
      <c r="O2441" t="s">
        <v>47425</v>
      </c>
      <c r="P2441">
        <v>0</v>
      </c>
      <c r="Q2441">
        <v>2</v>
      </c>
      <c r="R2441" t="s">
        <v>47428</v>
      </c>
      <c r="S2441" t="s">
        <v>47541</v>
      </c>
      <c r="T2441" t="s">
        <v>49108</v>
      </c>
      <c r="U2441" t="s">
        <v>50885</v>
      </c>
      <c r="W2441" t="s">
        <v>43662</v>
      </c>
      <c r="X2441" t="s">
        <v>47430</v>
      </c>
    </row>
    <row r="2442" spans="1:24">
      <c r="A2442">
        <f>HYPERLINK("https://www.philgeps.gov.ph/GEPSNONPILOT/Tender/SplashBidNoticeAbstractUI.aspx?menuIndex=3&amp;refID=7167726&amp;Result=3","7167726")</f>
        <v>0</v>
      </c>
      <c r="B2442" t="s">
        <v>1007</v>
      </c>
      <c r="C2442" t="s">
        <v>6233</v>
      </c>
      <c r="E2442" t="s">
        <v>21329</v>
      </c>
      <c r="F2442" t="s">
        <v>32831</v>
      </c>
      <c r="G2442" t="s">
        <v>32838</v>
      </c>
      <c r="H2442" t="s">
        <v>32848</v>
      </c>
      <c r="I2442" t="s">
        <v>32874</v>
      </c>
      <c r="J2442" t="s">
        <v>33087</v>
      </c>
      <c r="K2442" t="s">
        <v>42732</v>
      </c>
      <c r="M2442" t="s">
        <v>44056</v>
      </c>
      <c r="N2442" t="s">
        <v>47424</v>
      </c>
      <c r="O2442" t="s">
        <v>47425</v>
      </c>
      <c r="P2442">
        <v>0</v>
      </c>
      <c r="Q2442">
        <v>0</v>
      </c>
      <c r="R2442" t="s">
        <v>47429</v>
      </c>
      <c r="S2442" t="s">
        <v>47542</v>
      </c>
      <c r="T2442" t="s">
        <v>49170</v>
      </c>
      <c r="U2442" t="s">
        <v>51592</v>
      </c>
      <c r="W2442" t="s">
        <v>44056</v>
      </c>
      <c r="X2442" t="s">
        <v>47426</v>
      </c>
    </row>
    <row r="2443" spans="1:24">
      <c r="A2443">
        <f>HYPERLINK("https://www.philgeps.gov.ph/GEPSNONPILOT/Tender/SplashBidNoticeAbstractUI.aspx?menuIndex=3&amp;refID=7167659&amp;Result=3","7167659")</f>
        <v>0</v>
      </c>
      <c r="B2443" t="s">
        <v>1079</v>
      </c>
      <c r="C2443" t="s">
        <v>6234</v>
      </c>
      <c r="D2443" t="s">
        <v>19022</v>
      </c>
      <c r="E2443" t="s">
        <v>21330</v>
      </c>
      <c r="F2443" t="s">
        <v>32831</v>
      </c>
      <c r="G2443" t="s">
        <v>32838</v>
      </c>
      <c r="H2443" t="s">
        <v>32848</v>
      </c>
      <c r="I2443" t="s">
        <v>32860</v>
      </c>
      <c r="J2443" t="s">
        <v>34646</v>
      </c>
      <c r="K2443" t="s">
        <v>42748</v>
      </c>
      <c r="M2443" t="s">
        <v>44137</v>
      </c>
      <c r="N2443" t="s">
        <v>47424</v>
      </c>
      <c r="O2443" t="s">
        <v>47425</v>
      </c>
      <c r="P2443">
        <v>0</v>
      </c>
      <c r="Q2443">
        <v>0</v>
      </c>
      <c r="R2443" t="s">
        <v>47429</v>
      </c>
      <c r="S2443" t="s">
        <v>47542</v>
      </c>
      <c r="T2443" t="s">
        <v>49105</v>
      </c>
      <c r="U2443" t="s">
        <v>51752</v>
      </c>
      <c r="V2443" t="s">
        <v>62884</v>
      </c>
      <c r="W2443" t="s">
        <v>44137</v>
      </c>
      <c r="X2443" t="s">
        <v>47426</v>
      </c>
    </row>
    <row r="2444" spans="1:24">
      <c r="A2444">
        <f>HYPERLINK("https://www.philgeps.gov.ph/GEPSNONPILOT/Tender/SplashBidNoticeAbstractUI.aspx?menuIndex=3&amp;refID=7167724&amp;Result=3","7167724")</f>
        <v>0</v>
      </c>
      <c r="B2444" t="s">
        <v>1068</v>
      </c>
      <c r="C2444" t="s">
        <v>6235</v>
      </c>
      <c r="D2444" t="s">
        <v>19021</v>
      </c>
      <c r="E2444" t="s">
        <v>21331</v>
      </c>
      <c r="F2444" t="s">
        <v>32831</v>
      </c>
      <c r="G2444" t="s">
        <v>32839</v>
      </c>
      <c r="H2444" t="s">
        <v>32848</v>
      </c>
      <c r="I2444" t="s">
        <v>4776</v>
      </c>
      <c r="J2444" t="s">
        <v>33241</v>
      </c>
      <c r="K2444" t="s">
        <v>42727</v>
      </c>
      <c r="M2444" t="s">
        <v>44125</v>
      </c>
      <c r="N2444" t="s">
        <v>47424</v>
      </c>
      <c r="O2444" t="s">
        <v>47425</v>
      </c>
      <c r="P2444">
        <v>0</v>
      </c>
      <c r="Q2444">
        <v>0</v>
      </c>
      <c r="R2444" t="s">
        <v>47429</v>
      </c>
      <c r="S2444" t="s">
        <v>47542</v>
      </c>
      <c r="T2444" t="s">
        <v>49069</v>
      </c>
      <c r="U2444" t="s">
        <v>51753</v>
      </c>
      <c r="V2444" t="s">
        <v>62883</v>
      </c>
      <c r="W2444" t="s">
        <v>44125</v>
      </c>
      <c r="X2444" t="s">
        <v>47426</v>
      </c>
    </row>
    <row r="2445" spans="1:24">
      <c r="A2445">
        <f>HYPERLINK("https://www.philgeps.gov.ph/GEPSNONPILOT/Tender/SplashBidNoticeAbstractUI.aspx?menuIndex=3&amp;refID=7167720&amp;Result=3","7167720")</f>
        <v>0</v>
      </c>
      <c r="B2445" t="s">
        <v>1007</v>
      </c>
      <c r="C2445" t="s">
        <v>6236</v>
      </c>
      <c r="E2445" t="s">
        <v>21332</v>
      </c>
      <c r="F2445" t="s">
        <v>32831</v>
      </c>
      <c r="G2445" t="s">
        <v>32838</v>
      </c>
      <c r="H2445" t="s">
        <v>32848</v>
      </c>
      <c r="I2445" t="s">
        <v>32874</v>
      </c>
      <c r="J2445" t="s">
        <v>33133</v>
      </c>
      <c r="K2445" t="s">
        <v>42732</v>
      </c>
      <c r="M2445" t="s">
        <v>44056</v>
      </c>
      <c r="N2445" t="s">
        <v>47424</v>
      </c>
      <c r="O2445" t="s">
        <v>47425</v>
      </c>
      <c r="P2445">
        <v>0</v>
      </c>
      <c r="Q2445">
        <v>0</v>
      </c>
      <c r="R2445" t="s">
        <v>47429</v>
      </c>
      <c r="S2445" t="s">
        <v>47542</v>
      </c>
      <c r="T2445" t="s">
        <v>49170</v>
      </c>
      <c r="U2445" t="s">
        <v>51592</v>
      </c>
      <c r="W2445" t="s">
        <v>44056</v>
      </c>
      <c r="X2445" t="s">
        <v>47426</v>
      </c>
    </row>
    <row r="2446" spans="1:24">
      <c r="A2446">
        <f>HYPERLINK("https://www.philgeps.gov.ph/GEPSNONPILOT/Tender/SplashBidNoticeAbstractUI.aspx?menuIndex=3&amp;refID=7167728&amp;Result=3","7167728")</f>
        <v>0</v>
      </c>
      <c r="B2446" t="s">
        <v>851</v>
      </c>
      <c r="C2446" t="s">
        <v>6237</v>
      </c>
      <c r="D2446" t="s">
        <v>19017</v>
      </c>
      <c r="E2446" t="s">
        <v>21333</v>
      </c>
      <c r="F2446" t="s">
        <v>32831</v>
      </c>
      <c r="G2446" t="s">
        <v>32838</v>
      </c>
      <c r="H2446" t="s">
        <v>32848</v>
      </c>
      <c r="I2446" t="s">
        <v>32857</v>
      </c>
      <c r="J2446" t="s">
        <v>34647</v>
      </c>
      <c r="K2446" t="s">
        <v>42726</v>
      </c>
      <c r="M2446" t="s">
        <v>43884</v>
      </c>
      <c r="N2446" t="s">
        <v>47424</v>
      </c>
      <c r="O2446" t="s">
        <v>47425</v>
      </c>
      <c r="P2446">
        <v>0</v>
      </c>
      <c r="Q2446">
        <v>0</v>
      </c>
      <c r="R2446" t="s">
        <v>47429</v>
      </c>
      <c r="S2446" t="s">
        <v>47542</v>
      </c>
      <c r="T2446" t="s">
        <v>49103</v>
      </c>
      <c r="U2446" t="s">
        <v>51754</v>
      </c>
      <c r="W2446" t="s">
        <v>43884</v>
      </c>
      <c r="X2446" t="s">
        <v>47426</v>
      </c>
    </row>
    <row r="2447" spans="1:24">
      <c r="A2447">
        <f>HYPERLINK("https://www.philgeps.gov.ph/GEPSNONPILOT/Tender/SplashBidNoticeAbstractUI.aspx?menuIndex=3&amp;refID=7167719&amp;Result=3","7167719")</f>
        <v>0</v>
      </c>
      <c r="B2447" t="s">
        <v>1080</v>
      </c>
      <c r="C2447" t="s">
        <v>6238</v>
      </c>
      <c r="D2447" t="s">
        <v>19017</v>
      </c>
      <c r="E2447" t="s">
        <v>21334</v>
      </c>
      <c r="F2447" t="s">
        <v>32831</v>
      </c>
      <c r="G2447" t="s">
        <v>32839</v>
      </c>
      <c r="H2447" t="s">
        <v>32848</v>
      </c>
      <c r="I2447" t="s">
        <v>32864</v>
      </c>
      <c r="J2447" t="s">
        <v>34648</v>
      </c>
      <c r="K2447" t="s">
        <v>42742</v>
      </c>
      <c r="M2447" t="s">
        <v>44138</v>
      </c>
      <c r="N2447" t="s">
        <v>47424</v>
      </c>
      <c r="O2447" t="s">
        <v>47425</v>
      </c>
      <c r="P2447">
        <v>0</v>
      </c>
      <c r="Q2447">
        <v>0</v>
      </c>
      <c r="R2447" t="s">
        <v>47429</v>
      </c>
      <c r="S2447" t="s">
        <v>47542</v>
      </c>
      <c r="T2447" t="s">
        <v>49152</v>
      </c>
      <c r="U2447" t="s">
        <v>51755</v>
      </c>
      <c r="W2447" t="s">
        <v>44138</v>
      </c>
      <c r="X2447" t="s">
        <v>47426</v>
      </c>
    </row>
    <row r="2448" spans="1:24">
      <c r="A2448">
        <f>HYPERLINK("https://www.philgeps.gov.ph/GEPSNONPILOT/Tender/SplashBidNoticeAbstractUI.aspx?menuIndex=3&amp;refID=7167718&amp;Result=3","7167718")</f>
        <v>0</v>
      </c>
      <c r="B2448" t="s">
        <v>1081</v>
      </c>
      <c r="C2448" t="s">
        <v>6239</v>
      </c>
      <c r="D2448" t="s">
        <v>19074</v>
      </c>
      <c r="E2448" t="s">
        <v>19880</v>
      </c>
      <c r="F2448" t="s">
        <v>32831</v>
      </c>
      <c r="G2448" t="s">
        <v>32840</v>
      </c>
      <c r="H2448" t="s">
        <v>32848</v>
      </c>
      <c r="I2448" t="s">
        <v>4438</v>
      </c>
      <c r="J2448" t="s">
        <v>34649</v>
      </c>
      <c r="K2448" t="s">
        <v>42759</v>
      </c>
      <c r="M2448" t="s">
        <v>44139</v>
      </c>
      <c r="N2448" t="s">
        <v>47424</v>
      </c>
      <c r="O2448" t="s">
        <v>47425</v>
      </c>
      <c r="P2448">
        <v>0</v>
      </c>
      <c r="Q2448">
        <v>0</v>
      </c>
      <c r="R2448" t="s">
        <v>47429</v>
      </c>
      <c r="S2448" t="s">
        <v>47542</v>
      </c>
      <c r="T2448" t="s">
        <v>49108</v>
      </c>
      <c r="U2448" t="s">
        <v>51756</v>
      </c>
      <c r="V2448" t="s">
        <v>62707</v>
      </c>
      <c r="W2448" t="s">
        <v>44139</v>
      </c>
      <c r="X2448" t="s">
        <v>47426</v>
      </c>
    </row>
    <row r="2449" spans="1:24">
      <c r="A2449">
        <f>HYPERLINK("https://www.philgeps.gov.ph/GEPSNONPILOT/Tender/SplashBidNoticeAbstractUI.aspx?menuIndex=3&amp;refID=7162036&amp;Result=3","7162036")</f>
        <v>0</v>
      </c>
      <c r="B2449" t="s">
        <v>984</v>
      </c>
      <c r="C2449" t="s">
        <v>6240</v>
      </c>
      <c r="D2449" t="s">
        <v>19036</v>
      </c>
      <c r="E2449" t="s">
        <v>21335</v>
      </c>
      <c r="F2449" t="s">
        <v>32831</v>
      </c>
      <c r="G2449" t="s">
        <v>32838</v>
      </c>
      <c r="H2449" t="s">
        <v>32848</v>
      </c>
      <c r="I2449" t="s">
        <v>9577</v>
      </c>
      <c r="J2449" t="s">
        <v>34650</v>
      </c>
      <c r="K2449" t="s">
        <v>42731</v>
      </c>
      <c r="M2449" t="s">
        <v>44033</v>
      </c>
      <c r="N2449" t="s">
        <v>47424</v>
      </c>
      <c r="O2449" t="s">
        <v>47425</v>
      </c>
      <c r="P2449">
        <v>0</v>
      </c>
      <c r="Q2449">
        <v>2</v>
      </c>
      <c r="R2449" t="s">
        <v>47428</v>
      </c>
      <c r="S2449" t="s">
        <v>47541</v>
      </c>
      <c r="T2449" t="s">
        <v>49237</v>
      </c>
      <c r="U2449" t="s">
        <v>51549</v>
      </c>
      <c r="V2449" t="s">
        <v>62855</v>
      </c>
      <c r="W2449" t="s">
        <v>44033</v>
      </c>
      <c r="X2449" t="s">
        <v>47430</v>
      </c>
    </row>
    <row r="2450" spans="1:24">
      <c r="A2450">
        <f>HYPERLINK("https://www.philgeps.gov.ph/GEPSNONPILOT/Tender/SplashBidNoticeAbstractUI.aspx?menuIndex=3&amp;refID=7167717&amp;Result=3","7167717")</f>
        <v>0</v>
      </c>
      <c r="B2450" t="s">
        <v>851</v>
      </c>
      <c r="C2450" t="s">
        <v>6241</v>
      </c>
      <c r="D2450" t="s">
        <v>19017</v>
      </c>
      <c r="E2450" t="s">
        <v>21336</v>
      </c>
      <c r="F2450" t="s">
        <v>32831</v>
      </c>
      <c r="G2450" t="s">
        <v>32842</v>
      </c>
      <c r="H2450" t="s">
        <v>32848</v>
      </c>
      <c r="I2450" t="s">
        <v>32860</v>
      </c>
      <c r="J2450" t="s">
        <v>34651</v>
      </c>
      <c r="K2450" t="s">
        <v>42726</v>
      </c>
      <c r="M2450" t="s">
        <v>44083</v>
      </c>
      <c r="N2450" t="s">
        <v>47424</v>
      </c>
      <c r="O2450" t="s">
        <v>47425</v>
      </c>
      <c r="P2450">
        <v>0</v>
      </c>
      <c r="Q2450">
        <v>0</v>
      </c>
      <c r="R2450" t="s">
        <v>47429</v>
      </c>
      <c r="S2450" t="s">
        <v>47542</v>
      </c>
      <c r="T2450" t="s">
        <v>49089</v>
      </c>
      <c r="U2450" t="s">
        <v>51757</v>
      </c>
      <c r="W2450" t="s">
        <v>44083</v>
      </c>
      <c r="X2450" t="s">
        <v>47426</v>
      </c>
    </row>
    <row r="2451" spans="1:24">
      <c r="A2451">
        <f>HYPERLINK("https://www.philgeps.gov.ph/GEPSNONPILOT/Tender/SplashBidNoticeAbstractUI.aspx?menuIndex=3&amp;refID=7167716&amp;Result=3","7167716")</f>
        <v>0</v>
      </c>
      <c r="B2451" t="s">
        <v>1068</v>
      </c>
      <c r="C2451" t="s">
        <v>6242</v>
      </c>
      <c r="D2451" t="s">
        <v>19021</v>
      </c>
      <c r="E2451" t="s">
        <v>21337</v>
      </c>
      <c r="F2451" t="s">
        <v>32831</v>
      </c>
      <c r="G2451" t="s">
        <v>32839</v>
      </c>
      <c r="H2451" t="s">
        <v>32848</v>
      </c>
      <c r="I2451" t="s">
        <v>10805</v>
      </c>
      <c r="J2451" t="s">
        <v>34652</v>
      </c>
      <c r="K2451" t="s">
        <v>42727</v>
      </c>
      <c r="M2451" t="s">
        <v>44125</v>
      </c>
      <c r="N2451" t="s">
        <v>47424</v>
      </c>
      <c r="O2451" t="s">
        <v>47425</v>
      </c>
      <c r="P2451">
        <v>0</v>
      </c>
      <c r="Q2451">
        <v>0</v>
      </c>
      <c r="R2451" t="s">
        <v>47429</v>
      </c>
      <c r="S2451" t="s">
        <v>47542</v>
      </c>
      <c r="T2451" t="s">
        <v>49069</v>
      </c>
      <c r="U2451" t="s">
        <v>51758</v>
      </c>
      <c r="V2451" t="s">
        <v>62883</v>
      </c>
      <c r="W2451" t="s">
        <v>44125</v>
      </c>
      <c r="X2451" t="s">
        <v>47426</v>
      </c>
    </row>
    <row r="2452" spans="1:24">
      <c r="A2452">
        <f>HYPERLINK("https://www.philgeps.gov.ph/GEPSNONPILOT/Tender/SplashBidNoticeAbstractUI.aspx?menuIndex=3&amp;refID=7167714&amp;Result=3","7167714")</f>
        <v>0</v>
      </c>
      <c r="B2452" t="s">
        <v>1082</v>
      </c>
      <c r="C2452" t="s">
        <v>6243</v>
      </c>
      <c r="D2452" t="s">
        <v>19045</v>
      </c>
      <c r="E2452" t="s">
        <v>21338</v>
      </c>
      <c r="F2452" t="s">
        <v>32831</v>
      </c>
      <c r="G2452" t="s">
        <v>32839</v>
      </c>
      <c r="H2452" t="s">
        <v>32848</v>
      </c>
      <c r="I2452" t="s">
        <v>7416</v>
      </c>
      <c r="J2452" t="s">
        <v>34653</v>
      </c>
      <c r="K2452" t="s">
        <v>42770</v>
      </c>
      <c r="M2452" t="s">
        <v>44140</v>
      </c>
      <c r="N2452" t="s">
        <v>47424</v>
      </c>
      <c r="O2452" t="s">
        <v>47425</v>
      </c>
      <c r="P2452">
        <v>0</v>
      </c>
      <c r="Q2452">
        <v>0</v>
      </c>
      <c r="R2452" t="s">
        <v>47429</v>
      </c>
      <c r="S2452" t="s">
        <v>47542</v>
      </c>
      <c r="T2452" t="s">
        <v>49080</v>
      </c>
      <c r="U2452" t="s">
        <v>51759</v>
      </c>
      <c r="W2452" t="s">
        <v>44140</v>
      </c>
      <c r="X2452" t="s">
        <v>47426</v>
      </c>
    </row>
    <row r="2453" spans="1:24">
      <c r="A2453">
        <f>HYPERLINK("https://www.philgeps.gov.ph/GEPSNONPILOT/Tender/SplashBidNoticeAbstractUI.aspx?menuIndex=3&amp;refID=7167729&amp;Result=3","7167729")</f>
        <v>0</v>
      </c>
      <c r="B2453" t="s">
        <v>1083</v>
      </c>
      <c r="C2453" t="s">
        <v>6244</v>
      </c>
      <c r="D2453" t="s">
        <v>19030</v>
      </c>
      <c r="E2453" t="s">
        <v>21339</v>
      </c>
      <c r="F2453" t="s">
        <v>32831</v>
      </c>
      <c r="G2453" t="s">
        <v>32838</v>
      </c>
      <c r="H2453" t="s">
        <v>32848</v>
      </c>
      <c r="I2453" t="s">
        <v>32902</v>
      </c>
      <c r="J2453" t="s">
        <v>34654</v>
      </c>
      <c r="K2453" t="s">
        <v>42758</v>
      </c>
      <c r="M2453" t="s">
        <v>44141</v>
      </c>
      <c r="N2453" t="s">
        <v>47424</v>
      </c>
      <c r="O2453" t="s">
        <v>47425</v>
      </c>
      <c r="P2453">
        <v>0</v>
      </c>
      <c r="Q2453">
        <v>0</v>
      </c>
      <c r="R2453" t="s">
        <v>47429</v>
      </c>
      <c r="S2453" t="s">
        <v>47542</v>
      </c>
      <c r="T2453" t="s">
        <v>49119</v>
      </c>
      <c r="U2453" t="s">
        <v>51760</v>
      </c>
      <c r="V2453" t="s">
        <v>62885</v>
      </c>
      <c r="W2453" t="s">
        <v>44141</v>
      </c>
      <c r="X2453" t="s">
        <v>47426</v>
      </c>
    </row>
    <row r="2454" spans="1:24">
      <c r="A2454">
        <f>HYPERLINK("https://www.philgeps.gov.ph/GEPSNONPILOT/Tender/SplashBidNoticeAbstractUI.aspx?menuIndex=3&amp;refID=7167712&amp;Result=3","7167712")</f>
        <v>0</v>
      </c>
      <c r="B2454" t="s">
        <v>1007</v>
      </c>
      <c r="C2454" t="s">
        <v>6245</v>
      </c>
      <c r="E2454" t="s">
        <v>21340</v>
      </c>
      <c r="F2454" t="s">
        <v>32831</v>
      </c>
      <c r="G2454" t="s">
        <v>32842</v>
      </c>
      <c r="H2454" t="s">
        <v>32848</v>
      </c>
      <c r="I2454" t="s">
        <v>9577</v>
      </c>
      <c r="J2454" t="s">
        <v>33364</v>
      </c>
      <c r="K2454" t="s">
        <v>42732</v>
      </c>
      <c r="M2454" t="s">
        <v>44056</v>
      </c>
      <c r="N2454" t="s">
        <v>47424</v>
      </c>
      <c r="O2454" t="s">
        <v>47425</v>
      </c>
      <c r="P2454">
        <v>0</v>
      </c>
      <c r="Q2454">
        <v>0</v>
      </c>
      <c r="R2454" t="s">
        <v>47429</v>
      </c>
      <c r="S2454" t="s">
        <v>47542</v>
      </c>
      <c r="T2454" t="s">
        <v>49170</v>
      </c>
      <c r="U2454" t="s">
        <v>51592</v>
      </c>
      <c r="W2454" t="s">
        <v>44056</v>
      </c>
      <c r="X2454" t="s">
        <v>47426</v>
      </c>
    </row>
    <row r="2455" spans="1:24">
      <c r="A2455">
        <f>HYPERLINK("https://www.philgeps.gov.ph/GEPSNONPILOT/Tender/SplashBidNoticeAbstractUI.aspx?menuIndex=3&amp;refID=7167710&amp;Result=3","7167710")</f>
        <v>0</v>
      </c>
      <c r="B2455" t="s">
        <v>1083</v>
      </c>
      <c r="C2455" t="s">
        <v>6246</v>
      </c>
      <c r="D2455" t="s">
        <v>19030</v>
      </c>
      <c r="E2455" t="s">
        <v>21341</v>
      </c>
      <c r="F2455" t="s">
        <v>32831</v>
      </c>
      <c r="G2455" t="s">
        <v>32838</v>
      </c>
      <c r="H2455" t="s">
        <v>32848</v>
      </c>
      <c r="I2455" t="s">
        <v>4558</v>
      </c>
      <c r="J2455" t="s">
        <v>34655</v>
      </c>
      <c r="K2455" t="s">
        <v>42758</v>
      </c>
      <c r="M2455" t="s">
        <v>44141</v>
      </c>
      <c r="N2455" t="s">
        <v>47424</v>
      </c>
      <c r="O2455" t="s">
        <v>47425</v>
      </c>
      <c r="P2455">
        <v>0</v>
      </c>
      <c r="Q2455">
        <v>0</v>
      </c>
      <c r="R2455" t="s">
        <v>47429</v>
      </c>
      <c r="S2455" t="s">
        <v>47542</v>
      </c>
      <c r="T2455" t="s">
        <v>49119</v>
      </c>
      <c r="U2455" t="s">
        <v>51761</v>
      </c>
      <c r="V2455" t="s">
        <v>62885</v>
      </c>
      <c r="W2455" t="s">
        <v>44141</v>
      </c>
      <c r="X2455" t="s">
        <v>47426</v>
      </c>
    </row>
    <row r="2456" spans="1:24">
      <c r="A2456">
        <f>HYPERLINK("https://www.philgeps.gov.ph/GEPSNONPILOT/Tender/SplashBidNoticeAbstractUI.aspx?menuIndex=3&amp;refID=7167725&amp;Result=3","7167725")</f>
        <v>0</v>
      </c>
      <c r="B2456" t="s">
        <v>1084</v>
      </c>
      <c r="C2456" t="s">
        <v>6247</v>
      </c>
      <c r="D2456" t="s">
        <v>19017</v>
      </c>
      <c r="E2456" t="s">
        <v>19937</v>
      </c>
      <c r="F2456" t="s">
        <v>32831</v>
      </c>
      <c r="G2456" t="s">
        <v>32838</v>
      </c>
      <c r="H2456" t="s">
        <v>32850</v>
      </c>
      <c r="I2456" t="s">
        <v>10888</v>
      </c>
      <c r="J2456" t="s">
        <v>34656</v>
      </c>
      <c r="K2456" t="s">
        <v>42730</v>
      </c>
      <c r="M2456" t="s">
        <v>44142</v>
      </c>
      <c r="N2456" t="s">
        <v>47424</v>
      </c>
      <c r="O2456" t="s">
        <v>47425</v>
      </c>
      <c r="P2456">
        <v>0</v>
      </c>
      <c r="Q2456">
        <v>0</v>
      </c>
      <c r="R2456" t="s">
        <v>47429</v>
      </c>
      <c r="S2456" t="s">
        <v>47542</v>
      </c>
      <c r="T2456" t="s">
        <v>49089</v>
      </c>
      <c r="U2456" t="s">
        <v>51762</v>
      </c>
      <c r="W2456" t="s">
        <v>44142</v>
      </c>
      <c r="X2456" t="s">
        <v>47426</v>
      </c>
    </row>
    <row r="2457" spans="1:24">
      <c r="A2457">
        <f>HYPERLINK("https://www.philgeps.gov.ph/GEPSNONPILOT/Tender/SplashBidNoticeAbstractUI.aspx?menuIndex=3&amp;refID=7161953&amp;Result=3","7161953")</f>
        <v>0</v>
      </c>
      <c r="B2457" t="s">
        <v>616</v>
      </c>
      <c r="C2457" t="s">
        <v>6248</v>
      </c>
      <c r="D2457" t="s">
        <v>19059</v>
      </c>
      <c r="E2457" t="s">
        <v>21342</v>
      </c>
      <c r="F2457" t="s">
        <v>32831</v>
      </c>
      <c r="G2457" t="s">
        <v>32839</v>
      </c>
      <c r="H2457" t="s">
        <v>32848</v>
      </c>
      <c r="I2457" t="s">
        <v>9577</v>
      </c>
      <c r="J2457" t="s">
        <v>34657</v>
      </c>
      <c r="K2457" t="s">
        <v>42730</v>
      </c>
      <c r="L2457" t="s">
        <v>616</v>
      </c>
      <c r="M2457" t="s">
        <v>43630</v>
      </c>
      <c r="N2457" t="s">
        <v>47424</v>
      </c>
      <c r="O2457" t="s">
        <v>47425</v>
      </c>
      <c r="P2457">
        <v>0</v>
      </c>
      <c r="Q2457">
        <v>6</v>
      </c>
      <c r="R2457" t="s">
        <v>47428</v>
      </c>
      <c r="S2457" t="s">
        <v>47541</v>
      </c>
      <c r="T2457" t="s">
        <v>49181</v>
      </c>
      <c r="U2457" t="s">
        <v>51763</v>
      </c>
      <c r="W2457" t="s">
        <v>43630</v>
      </c>
      <c r="X2457" t="s">
        <v>47430</v>
      </c>
    </row>
    <row r="2458" spans="1:24">
      <c r="A2458">
        <f>HYPERLINK("https://www.philgeps.gov.ph/GEPSNONPILOT/Tender/SplashBidNoticeAbstractUI.aspx?menuIndex=3&amp;refID=7167723&amp;Result=3","7167723")</f>
        <v>0</v>
      </c>
      <c r="B2458" t="s">
        <v>1083</v>
      </c>
      <c r="C2458" t="s">
        <v>6249</v>
      </c>
      <c r="D2458" t="s">
        <v>19030</v>
      </c>
      <c r="E2458" t="s">
        <v>21343</v>
      </c>
      <c r="F2458" t="s">
        <v>32831</v>
      </c>
      <c r="G2458" t="s">
        <v>32838</v>
      </c>
      <c r="H2458" t="s">
        <v>32848</v>
      </c>
      <c r="I2458" t="s">
        <v>32925</v>
      </c>
      <c r="J2458" t="s">
        <v>33626</v>
      </c>
      <c r="K2458" t="s">
        <v>42758</v>
      </c>
      <c r="M2458" t="s">
        <v>44141</v>
      </c>
      <c r="N2458" t="s">
        <v>47424</v>
      </c>
      <c r="O2458" t="s">
        <v>47425</v>
      </c>
      <c r="P2458">
        <v>0</v>
      </c>
      <c r="Q2458">
        <v>0</v>
      </c>
      <c r="R2458" t="s">
        <v>47429</v>
      </c>
      <c r="S2458" t="s">
        <v>47542</v>
      </c>
      <c r="T2458" t="s">
        <v>49119</v>
      </c>
      <c r="U2458" t="s">
        <v>51764</v>
      </c>
      <c r="V2458" t="s">
        <v>62885</v>
      </c>
      <c r="W2458" t="s">
        <v>44141</v>
      </c>
      <c r="X2458" t="s">
        <v>47426</v>
      </c>
    </row>
    <row r="2459" spans="1:24">
      <c r="A2459">
        <f>HYPERLINK("https://www.philgeps.gov.ph/GEPSNONPILOT/Tender/SplashBidNoticeAbstractUI.aspx?menuIndex=3&amp;refID=7161925&amp;Result=3","7161925")</f>
        <v>0</v>
      </c>
      <c r="B2459" t="s">
        <v>655</v>
      </c>
      <c r="C2459" t="s">
        <v>6250</v>
      </c>
      <c r="D2459" t="s">
        <v>19036</v>
      </c>
      <c r="E2459" t="s">
        <v>21344</v>
      </c>
      <c r="F2459" t="s">
        <v>32831</v>
      </c>
      <c r="G2459" t="s">
        <v>32839</v>
      </c>
      <c r="H2459" t="s">
        <v>32848</v>
      </c>
      <c r="I2459" t="s">
        <v>7416</v>
      </c>
      <c r="J2459" t="s">
        <v>34658</v>
      </c>
      <c r="K2459" t="s">
        <v>42727</v>
      </c>
      <c r="M2459" t="s">
        <v>43673</v>
      </c>
      <c r="N2459" t="s">
        <v>47424</v>
      </c>
      <c r="O2459" t="s">
        <v>47425</v>
      </c>
      <c r="P2459">
        <v>0</v>
      </c>
      <c r="Q2459">
        <v>0</v>
      </c>
      <c r="R2459" t="s">
        <v>47428</v>
      </c>
      <c r="S2459" t="s">
        <v>47541</v>
      </c>
      <c r="T2459" t="s">
        <v>49073</v>
      </c>
      <c r="U2459" t="s">
        <v>51765</v>
      </c>
      <c r="V2459" t="s">
        <v>62776</v>
      </c>
      <c r="W2459" t="s">
        <v>43673</v>
      </c>
      <c r="X2459" t="s">
        <v>47430</v>
      </c>
    </row>
    <row r="2460" spans="1:24">
      <c r="A2460">
        <f>HYPERLINK("https://www.philgeps.gov.ph/GEPSNONPILOT/Tender/SplashBidNoticeAbstractUI.aspx?menuIndex=3&amp;refID=7167713&amp;Result=3","7167713")</f>
        <v>0</v>
      </c>
      <c r="B2460" t="s">
        <v>62</v>
      </c>
      <c r="C2460" t="s">
        <v>6251</v>
      </c>
      <c r="D2460" t="s">
        <v>19043</v>
      </c>
      <c r="E2460" t="s">
        <v>21345</v>
      </c>
      <c r="F2460" t="s">
        <v>32831</v>
      </c>
      <c r="G2460" t="s">
        <v>32838</v>
      </c>
      <c r="H2460" t="s">
        <v>32848</v>
      </c>
      <c r="I2460" t="s">
        <v>32862</v>
      </c>
      <c r="J2460" t="s">
        <v>34659</v>
      </c>
      <c r="K2460" t="s">
        <v>42726</v>
      </c>
      <c r="M2460" t="s">
        <v>43059</v>
      </c>
      <c r="N2460" t="s">
        <v>47424</v>
      </c>
      <c r="O2460" t="s">
        <v>47425</v>
      </c>
      <c r="P2460">
        <v>0</v>
      </c>
      <c r="Q2460">
        <v>0</v>
      </c>
      <c r="R2460" t="s">
        <v>47429</v>
      </c>
      <c r="S2460" t="s">
        <v>47542</v>
      </c>
      <c r="T2460" t="s">
        <v>49129</v>
      </c>
      <c r="U2460" t="s">
        <v>51735</v>
      </c>
      <c r="W2460" t="s">
        <v>43059</v>
      </c>
      <c r="X2460" t="s">
        <v>47426</v>
      </c>
    </row>
    <row r="2461" spans="1:24">
      <c r="A2461">
        <f>HYPERLINK("https://www.philgeps.gov.ph/GEPSNONPILOT/Tender/SplashBidNoticeAbstractUI.aspx?menuIndex=3&amp;refID=7161919&amp;Result=3","7161919")</f>
        <v>0</v>
      </c>
      <c r="B2461" t="s">
        <v>653</v>
      </c>
      <c r="C2461" t="s">
        <v>6252</v>
      </c>
      <c r="D2461" t="s">
        <v>19044</v>
      </c>
      <c r="E2461" t="s">
        <v>21346</v>
      </c>
      <c r="F2461" t="s">
        <v>32831</v>
      </c>
      <c r="G2461" t="s">
        <v>32839</v>
      </c>
      <c r="H2461" t="s">
        <v>32849</v>
      </c>
      <c r="I2461" t="s">
        <v>4177</v>
      </c>
      <c r="J2461" t="s">
        <v>34660</v>
      </c>
      <c r="K2461" t="s">
        <v>42745</v>
      </c>
      <c r="M2461" t="s">
        <v>43671</v>
      </c>
      <c r="N2461" t="s">
        <v>47424</v>
      </c>
      <c r="O2461" t="s">
        <v>47425</v>
      </c>
      <c r="P2461">
        <v>0</v>
      </c>
      <c r="Q2461">
        <v>0</v>
      </c>
      <c r="R2461" t="s">
        <v>47428</v>
      </c>
      <c r="S2461" t="s">
        <v>47541</v>
      </c>
      <c r="T2461" t="s">
        <v>49112</v>
      </c>
      <c r="U2461" t="s">
        <v>51766</v>
      </c>
      <c r="W2461" t="s">
        <v>43671</v>
      </c>
      <c r="X2461" t="s">
        <v>47430</v>
      </c>
    </row>
    <row r="2462" spans="1:24">
      <c r="A2462">
        <f>HYPERLINK("https://www.philgeps.gov.ph/GEPSNONPILOT/Tender/SplashBidNoticeAbstractUI.aspx?menuIndex=3&amp;refID=7167711&amp;Result=3","7167711")</f>
        <v>0</v>
      </c>
      <c r="B2462" t="s">
        <v>1085</v>
      </c>
      <c r="C2462" t="s">
        <v>6253</v>
      </c>
      <c r="D2462" t="s">
        <v>19026</v>
      </c>
      <c r="E2462" t="s">
        <v>19189</v>
      </c>
      <c r="F2462" t="s">
        <v>32831</v>
      </c>
      <c r="G2462" t="s">
        <v>32840</v>
      </c>
      <c r="H2462" t="s">
        <v>32848</v>
      </c>
      <c r="I2462" t="s">
        <v>9577</v>
      </c>
      <c r="J2462" t="s">
        <v>33090</v>
      </c>
      <c r="K2462" t="s">
        <v>42726</v>
      </c>
      <c r="M2462" t="s">
        <v>44143</v>
      </c>
      <c r="N2462" t="s">
        <v>47424</v>
      </c>
      <c r="O2462" t="s">
        <v>47425</v>
      </c>
      <c r="P2462">
        <v>0</v>
      </c>
      <c r="Q2462">
        <v>0</v>
      </c>
      <c r="R2462" t="s">
        <v>47429</v>
      </c>
      <c r="S2462" t="s">
        <v>47542</v>
      </c>
      <c r="T2462" t="s">
        <v>49108</v>
      </c>
      <c r="U2462" t="s">
        <v>51543</v>
      </c>
      <c r="W2462" t="s">
        <v>44143</v>
      </c>
      <c r="X2462" t="s">
        <v>47426</v>
      </c>
    </row>
    <row r="2463" spans="1:24">
      <c r="A2463">
        <f>HYPERLINK("https://www.philgeps.gov.ph/GEPSNONPILOT/Tender/SplashBidNoticeAbstractUI.aspx?menuIndex=3&amp;refID=7161911&amp;Result=3","7161911")</f>
        <v>0</v>
      </c>
      <c r="B2463" t="s">
        <v>650</v>
      </c>
      <c r="C2463" t="s">
        <v>6254</v>
      </c>
      <c r="D2463" t="s">
        <v>19017</v>
      </c>
      <c r="E2463" t="s">
        <v>21347</v>
      </c>
      <c r="F2463" t="s">
        <v>32831</v>
      </c>
      <c r="G2463" t="s">
        <v>32838</v>
      </c>
      <c r="H2463" t="s">
        <v>32848</v>
      </c>
      <c r="I2463" t="s">
        <v>32866</v>
      </c>
      <c r="J2463" t="s">
        <v>33018</v>
      </c>
      <c r="K2463" t="s">
        <v>42726</v>
      </c>
      <c r="M2463" t="s">
        <v>43668</v>
      </c>
      <c r="N2463" t="s">
        <v>47424</v>
      </c>
      <c r="O2463" t="s">
        <v>47425</v>
      </c>
      <c r="P2463">
        <v>0</v>
      </c>
      <c r="Q2463">
        <v>0</v>
      </c>
      <c r="R2463" t="s">
        <v>47428</v>
      </c>
      <c r="S2463" t="s">
        <v>47541</v>
      </c>
      <c r="T2463" t="s">
        <v>49114</v>
      </c>
      <c r="U2463" t="s">
        <v>51767</v>
      </c>
      <c r="V2463" t="s">
        <v>62774</v>
      </c>
      <c r="W2463" t="s">
        <v>43668</v>
      </c>
      <c r="X2463" t="s">
        <v>47430</v>
      </c>
    </row>
    <row r="2464" spans="1:24">
      <c r="A2464">
        <f>HYPERLINK("https://www.philgeps.gov.ph/GEPSNONPILOT/Tender/SplashBidNoticeAbstractUI.aspx?menuIndex=3&amp;refID=7167708&amp;Result=3","7167708")</f>
        <v>0</v>
      </c>
      <c r="B2464" t="s">
        <v>62</v>
      </c>
      <c r="C2464" t="s">
        <v>6255</v>
      </c>
      <c r="D2464" t="s">
        <v>19043</v>
      </c>
      <c r="E2464" t="s">
        <v>21348</v>
      </c>
      <c r="F2464" t="s">
        <v>32831</v>
      </c>
      <c r="G2464" t="s">
        <v>32838</v>
      </c>
      <c r="H2464" t="s">
        <v>32848</v>
      </c>
      <c r="I2464" t="s">
        <v>7416</v>
      </c>
      <c r="J2464" t="s">
        <v>34661</v>
      </c>
      <c r="K2464" t="s">
        <v>42726</v>
      </c>
      <c r="M2464" t="s">
        <v>43059</v>
      </c>
      <c r="N2464" t="s">
        <v>47424</v>
      </c>
      <c r="O2464" t="s">
        <v>47425</v>
      </c>
      <c r="P2464">
        <v>0</v>
      </c>
      <c r="Q2464">
        <v>1</v>
      </c>
      <c r="R2464" t="s">
        <v>47429</v>
      </c>
      <c r="S2464" t="s">
        <v>47542</v>
      </c>
      <c r="T2464" t="s">
        <v>49129</v>
      </c>
      <c r="U2464" t="s">
        <v>51735</v>
      </c>
      <c r="W2464" t="s">
        <v>43059</v>
      </c>
      <c r="X2464" t="s">
        <v>47426</v>
      </c>
    </row>
    <row r="2465" spans="1:24">
      <c r="A2465">
        <f>HYPERLINK("https://www.philgeps.gov.ph/GEPSNONPILOT/Tender/SplashBidNoticeAbstractUI.aspx?menuIndex=3&amp;refID=7161951&amp;Result=3","7161951")</f>
        <v>0</v>
      </c>
      <c r="B2465" t="s">
        <v>607</v>
      </c>
      <c r="C2465" t="s">
        <v>6256</v>
      </c>
      <c r="D2465" t="s">
        <v>19017</v>
      </c>
      <c r="E2465" t="s">
        <v>21349</v>
      </c>
      <c r="F2465" t="s">
        <v>32831</v>
      </c>
      <c r="G2465" t="s">
        <v>32838</v>
      </c>
      <c r="H2465" t="s">
        <v>32848</v>
      </c>
      <c r="I2465" t="s">
        <v>32857</v>
      </c>
      <c r="J2465" t="s">
        <v>34662</v>
      </c>
      <c r="K2465" t="s">
        <v>42732</v>
      </c>
      <c r="M2465" t="s">
        <v>43621</v>
      </c>
      <c r="N2465" t="s">
        <v>47424</v>
      </c>
      <c r="O2465" t="s">
        <v>47425</v>
      </c>
      <c r="P2465">
        <v>0</v>
      </c>
      <c r="Q2465">
        <v>3</v>
      </c>
      <c r="R2465" t="s">
        <v>47428</v>
      </c>
      <c r="S2465" t="s">
        <v>47541</v>
      </c>
      <c r="T2465" t="s">
        <v>49163</v>
      </c>
      <c r="U2465" t="s">
        <v>51768</v>
      </c>
      <c r="V2465" t="s">
        <v>62766</v>
      </c>
      <c r="W2465" t="s">
        <v>43621</v>
      </c>
      <c r="X2465" t="s">
        <v>47430</v>
      </c>
    </row>
    <row r="2466" spans="1:24">
      <c r="A2466">
        <f>HYPERLINK("https://www.philgeps.gov.ph/GEPSNONPILOT/Tender/SplashBidNoticeAbstractUI.aspx?menuIndex=3&amp;refID=7164371&amp;Result=3","7164371")</f>
        <v>0</v>
      </c>
      <c r="B2466" t="s">
        <v>1086</v>
      </c>
      <c r="C2466" t="s">
        <v>6257</v>
      </c>
      <c r="D2466" t="s">
        <v>19044</v>
      </c>
      <c r="E2466" t="s">
        <v>21350</v>
      </c>
      <c r="F2466" t="s">
        <v>32831</v>
      </c>
      <c r="G2466" t="s">
        <v>32839</v>
      </c>
      <c r="H2466" t="s">
        <v>32848</v>
      </c>
      <c r="I2466" t="s">
        <v>7751</v>
      </c>
      <c r="J2466" t="s">
        <v>33978</v>
      </c>
      <c r="K2466" t="s">
        <v>42730</v>
      </c>
      <c r="M2466" t="s">
        <v>44144</v>
      </c>
      <c r="N2466" t="s">
        <v>47424</v>
      </c>
      <c r="O2466" t="s">
        <v>47425</v>
      </c>
      <c r="P2466">
        <v>0</v>
      </c>
      <c r="Q2466">
        <v>0</v>
      </c>
      <c r="R2466" t="s">
        <v>47427</v>
      </c>
      <c r="S2466" t="s">
        <v>47540</v>
      </c>
      <c r="T2466" t="s">
        <v>49071</v>
      </c>
      <c r="U2466" t="s">
        <v>51769</v>
      </c>
      <c r="V2466" t="s">
        <v>62886</v>
      </c>
      <c r="W2466" t="s">
        <v>44144</v>
      </c>
      <c r="X2466" t="s">
        <v>47428</v>
      </c>
    </row>
    <row r="2467" spans="1:24">
      <c r="A2467">
        <f>HYPERLINK("https://www.philgeps.gov.ph/GEPSNONPILOT/Tender/SplashBidNoticeAbstractUI.aspx?menuIndex=3&amp;refID=7167721&amp;Result=3","7167721")</f>
        <v>0</v>
      </c>
      <c r="B2467" t="s">
        <v>1074</v>
      </c>
      <c r="C2467" t="s">
        <v>6258</v>
      </c>
      <c r="D2467" t="s">
        <v>19045</v>
      </c>
      <c r="E2467" t="s">
        <v>21311</v>
      </c>
      <c r="F2467" t="s">
        <v>32831</v>
      </c>
      <c r="G2467" t="s">
        <v>32839</v>
      </c>
      <c r="H2467" t="s">
        <v>32849</v>
      </c>
      <c r="I2467" t="s">
        <v>4177</v>
      </c>
      <c r="J2467" t="s">
        <v>33072</v>
      </c>
      <c r="K2467" t="s">
        <v>42730</v>
      </c>
      <c r="M2467" t="s">
        <v>44131</v>
      </c>
      <c r="N2467" t="s">
        <v>47424</v>
      </c>
      <c r="O2467" t="s">
        <v>47425</v>
      </c>
      <c r="P2467">
        <v>0</v>
      </c>
      <c r="Q2467">
        <v>0</v>
      </c>
      <c r="R2467" t="s">
        <v>47429</v>
      </c>
      <c r="S2467" t="s">
        <v>47542</v>
      </c>
      <c r="T2467" t="s">
        <v>49160</v>
      </c>
      <c r="U2467" t="s">
        <v>51770</v>
      </c>
      <c r="W2467" t="s">
        <v>44131</v>
      </c>
      <c r="X2467" t="s">
        <v>47426</v>
      </c>
    </row>
    <row r="2468" spans="1:24">
      <c r="A2468">
        <f>HYPERLINK("https://www.philgeps.gov.ph/GEPSNONPILOT/Tender/SplashBidNoticeAbstractUI.aspx?menuIndex=3&amp;refID=7164369&amp;Result=3","7164369")</f>
        <v>0</v>
      </c>
      <c r="B2468" t="s">
        <v>217</v>
      </c>
      <c r="C2468" t="s">
        <v>6259</v>
      </c>
      <c r="D2468" t="s">
        <v>19037</v>
      </c>
      <c r="E2468" t="s">
        <v>21351</v>
      </c>
      <c r="F2468" t="s">
        <v>32831</v>
      </c>
      <c r="G2468" t="s">
        <v>32839</v>
      </c>
      <c r="H2468" t="s">
        <v>32848</v>
      </c>
      <c r="I2468" t="s">
        <v>7416</v>
      </c>
      <c r="J2468" t="s">
        <v>34663</v>
      </c>
      <c r="K2468" t="s">
        <v>42730</v>
      </c>
      <c r="M2468" t="s">
        <v>43392</v>
      </c>
      <c r="N2468" t="s">
        <v>47424</v>
      </c>
      <c r="O2468" t="s">
        <v>47425</v>
      </c>
      <c r="P2468">
        <v>0</v>
      </c>
      <c r="Q2468">
        <v>0</v>
      </c>
      <c r="R2468" t="s">
        <v>47427</v>
      </c>
      <c r="S2468" t="s">
        <v>47540</v>
      </c>
      <c r="T2468" t="s">
        <v>49057</v>
      </c>
      <c r="U2468" t="s">
        <v>51771</v>
      </c>
      <c r="W2468" t="s">
        <v>43392</v>
      </c>
      <c r="X2468" t="s">
        <v>47428</v>
      </c>
    </row>
    <row r="2469" spans="1:24">
      <c r="A2469">
        <f>HYPERLINK("https://www.philgeps.gov.ph/GEPSNONPILOT/Tender/SplashBidNoticeAbstractUI.aspx?menuIndex=3&amp;refID=7161917&amp;Result=3","7161917")</f>
        <v>0</v>
      </c>
      <c r="B2469" t="s">
        <v>693</v>
      </c>
      <c r="C2469" t="s">
        <v>6260</v>
      </c>
      <c r="D2469" t="s">
        <v>19073</v>
      </c>
      <c r="E2469" t="s">
        <v>21352</v>
      </c>
      <c r="F2469" t="s">
        <v>32831</v>
      </c>
      <c r="G2469" t="s">
        <v>32841</v>
      </c>
      <c r="H2469" t="s">
        <v>32848</v>
      </c>
      <c r="I2469" t="s">
        <v>7751</v>
      </c>
      <c r="J2469" t="s">
        <v>33083</v>
      </c>
      <c r="K2469" t="s">
        <v>42731</v>
      </c>
      <c r="M2469" t="s">
        <v>44145</v>
      </c>
      <c r="N2469" t="s">
        <v>47424</v>
      </c>
      <c r="O2469" t="s">
        <v>47425</v>
      </c>
      <c r="P2469">
        <v>0</v>
      </c>
      <c r="Q2469">
        <v>3</v>
      </c>
      <c r="R2469" t="s">
        <v>47428</v>
      </c>
      <c r="S2469" t="s">
        <v>47541</v>
      </c>
      <c r="T2469" t="s">
        <v>49056</v>
      </c>
      <c r="U2469" t="s">
        <v>51772</v>
      </c>
      <c r="W2469" t="s">
        <v>64457</v>
      </c>
      <c r="X2469" t="s">
        <v>47430</v>
      </c>
    </row>
    <row r="2470" spans="1:24">
      <c r="A2470">
        <f>HYPERLINK("https://www.philgeps.gov.ph/GEPSNONPILOT/Tender/SplashBidNoticeAbstractUI.aspx?menuIndex=3&amp;refID=7167750&amp;Result=3","7167750")</f>
        <v>0</v>
      </c>
      <c r="B2470" t="s">
        <v>1087</v>
      </c>
      <c r="C2470" t="s">
        <v>6261</v>
      </c>
      <c r="D2470" t="s">
        <v>19054</v>
      </c>
      <c r="E2470" t="s">
        <v>21353</v>
      </c>
      <c r="F2470" t="s">
        <v>32831</v>
      </c>
      <c r="G2470" t="s">
        <v>32838</v>
      </c>
      <c r="H2470" t="s">
        <v>32848</v>
      </c>
      <c r="I2470" t="s">
        <v>4487</v>
      </c>
      <c r="J2470" t="s">
        <v>33090</v>
      </c>
      <c r="K2470" t="s">
        <v>42732</v>
      </c>
      <c r="M2470" t="s">
        <v>44146</v>
      </c>
      <c r="N2470" t="s">
        <v>47424</v>
      </c>
      <c r="O2470" t="s">
        <v>47425</v>
      </c>
      <c r="P2470">
        <v>0</v>
      </c>
      <c r="Q2470">
        <v>0</v>
      </c>
      <c r="R2470" t="s">
        <v>47429</v>
      </c>
      <c r="S2470" t="s">
        <v>47542</v>
      </c>
      <c r="T2470" t="s">
        <v>49129</v>
      </c>
      <c r="U2470" t="s">
        <v>51773</v>
      </c>
      <c r="W2470" t="s">
        <v>44146</v>
      </c>
      <c r="X2470" t="s">
        <v>47426</v>
      </c>
    </row>
    <row r="2471" spans="1:24">
      <c r="A2471">
        <f>HYPERLINK("https://www.philgeps.gov.ph/GEPSNONPILOT/Tender/SplashBidNoticeAbstractUI.aspx?menuIndex=3&amp;refID=7167749&amp;Result=3","7167749")</f>
        <v>0</v>
      </c>
      <c r="B2471" t="s">
        <v>1088</v>
      </c>
      <c r="C2471" t="s">
        <v>6262</v>
      </c>
      <c r="D2471" t="s">
        <v>19028</v>
      </c>
      <c r="E2471" t="s">
        <v>21354</v>
      </c>
      <c r="F2471" t="s">
        <v>32831</v>
      </c>
      <c r="G2471" t="s">
        <v>32839</v>
      </c>
      <c r="H2471" t="s">
        <v>32848</v>
      </c>
      <c r="I2471" t="s">
        <v>32856</v>
      </c>
      <c r="J2471" t="s">
        <v>34664</v>
      </c>
      <c r="K2471" t="s">
        <v>42745</v>
      </c>
      <c r="M2471" t="s">
        <v>44147</v>
      </c>
      <c r="N2471" t="s">
        <v>47424</v>
      </c>
      <c r="O2471" t="s">
        <v>47425</v>
      </c>
      <c r="P2471">
        <v>0</v>
      </c>
      <c r="Q2471">
        <v>0</v>
      </c>
      <c r="R2471" t="s">
        <v>47429</v>
      </c>
      <c r="S2471" t="s">
        <v>47542</v>
      </c>
      <c r="T2471" t="s">
        <v>49102</v>
      </c>
      <c r="U2471" t="s">
        <v>51774</v>
      </c>
      <c r="V2471" t="s">
        <v>62887</v>
      </c>
      <c r="W2471" t="s">
        <v>44147</v>
      </c>
      <c r="X2471" t="s">
        <v>47426</v>
      </c>
    </row>
    <row r="2472" spans="1:24">
      <c r="A2472">
        <f>HYPERLINK("https://www.philgeps.gov.ph/GEPSNONPILOT/Tender/SplashBidNoticeAbstractUI.aspx?menuIndex=3&amp;refID=7167747&amp;Result=3","7167747")</f>
        <v>0</v>
      </c>
      <c r="B2472" t="s">
        <v>992</v>
      </c>
      <c r="C2472" t="s">
        <v>6263</v>
      </c>
      <c r="D2472" t="s">
        <v>19030</v>
      </c>
      <c r="E2472" t="s">
        <v>21355</v>
      </c>
      <c r="F2472" t="s">
        <v>32831</v>
      </c>
      <c r="G2472" t="s">
        <v>32840</v>
      </c>
      <c r="H2472" t="s">
        <v>32848</v>
      </c>
      <c r="I2472" t="s">
        <v>7416</v>
      </c>
      <c r="J2472" t="s">
        <v>34665</v>
      </c>
      <c r="K2472" t="s">
        <v>42758</v>
      </c>
      <c r="M2472" t="s">
        <v>44041</v>
      </c>
      <c r="N2472" t="s">
        <v>47424</v>
      </c>
      <c r="O2472" t="s">
        <v>47425</v>
      </c>
      <c r="P2472">
        <v>0</v>
      </c>
      <c r="Q2472">
        <v>0</v>
      </c>
      <c r="R2472" t="s">
        <v>47429</v>
      </c>
      <c r="S2472" t="s">
        <v>47542</v>
      </c>
      <c r="T2472" t="s">
        <v>49108</v>
      </c>
      <c r="U2472" t="s">
        <v>51775</v>
      </c>
      <c r="W2472" t="s">
        <v>44041</v>
      </c>
      <c r="X2472" t="s">
        <v>47426</v>
      </c>
    </row>
    <row r="2473" spans="1:24">
      <c r="A2473">
        <f>HYPERLINK("https://www.philgeps.gov.ph/GEPSNONPILOT/Tender/SplashBidNoticeAbstractUI.aspx?menuIndex=3&amp;refID=7164370&amp;Result=3","7164370")</f>
        <v>0</v>
      </c>
      <c r="B2473" t="s">
        <v>513</v>
      </c>
      <c r="C2473" t="s">
        <v>4930</v>
      </c>
      <c r="D2473" t="s">
        <v>19018</v>
      </c>
      <c r="E2473" t="s">
        <v>21356</v>
      </c>
      <c r="F2473" t="s">
        <v>32831</v>
      </c>
      <c r="G2473" t="s">
        <v>32842</v>
      </c>
      <c r="H2473" t="s">
        <v>32848</v>
      </c>
      <c r="I2473" t="s">
        <v>9577</v>
      </c>
      <c r="J2473" t="s">
        <v>34666</v>
      </c>
      <c r="K2473" t="s">
        <v>42726</v>
      </c>
      <c r="M2473" t="s">
        <v>43518</v>
      </c>
      <c r="N2473" t="s">
        <v>47424</v>
      </c>
      <c r="O2473" t="s">
        <v>47425</v>
      </c>
      <c r="P2473">
        <v>0</v>
      </c>
      <c r="Q2473">
        <v>2</v>
      </c>
      <c r="R2473" t="s">
        <v>47427</v>
      </c>
      <c r="S2473" t="s">
        <v>47540</v>
      </c>
      <c r="T2473" t="s">
        <v>49214</v>
      </c>
      <c r="U2473" t="s">
        <v>50594</v>
      </c>
      <c r="W2473" t="s">
        <v>64441</v>
      </c>
      <c r="X2473" t="s">
        <v>47428</v>
      </c>
    </row>
    <row r="2474" spans="1:24">
      <c r="A2474">
        <f>HYPERLINK("https://www.philgeps.gov.ph/GEPSNONPILOT/Tender/SplashBidNoticeAbstractUI.aspx?menuIndex=3&amp;refID=7167745&amp;Result=3","7167745")</f>
        <v>0</v>
      </c>
      <c r="B2474" t="s">
        <v>1089</v>
      </c>
      <c r="C2474" t="s">
        <v>6264</v>
      </c>
      <c r="D2474" t="s">
        <v>19073</v>
      </c>
      <c r="E2474" t="s">
        <v>21357</v>
      </c>
      <c r="F2474" t="s">
        <v>32831</v>
      </c>
      <c r="G2474" t="s">
        <v>32840</v>
      </c>
      <c r="H2474" t="s">
        <v>32848</v>
      </c>
      <c r="I2474" t="s">
        <v>32910</v>
      </c>
      <c r="J2474" t="s">
        <v>34667</v>
      </c>
      <c r="K2474" t="s">
        <v>42727</v>
      </c>
      <c r="M2474" t="s">
        <v>44148</v>
      </c>
      <c r="N2474" t="s">
        <v>47424</v>
      </c>
      <c r="O2474" t="s">
        <v>47425</v>
      </c>
      <c r="P2474">
        <v>0</v>
      </c>
      <c r="Q2474">
        <v>0</v>
      </c>
      <c r="R2474" t="s">
        <v>47429</v>
      </c>
      <c r="S2474" t="s">
        <v>47542</v>
      </c>
      <c r="T2474" t="s">
        <v>49129</v>
      </c>
      <c r="U2474" t="s">
        <v>51776</v>
      </c>
      <c r="W2474" t="s">
        <v>44148</v>
      </c>
      <c r="X2474" t="s">
        <v>47426</v>
      </c>
    </row>
    <row r="2475" spans="1:24">
      <c r="A2475">
        <f>HYPERLINK("https://www.philgeps.gov.ph/GEPSNONPILOT/Tender/SplashBidNoticeAbstractUI.aspx?menuIndex=3&amp;refID=7167752&amp;Result=3","7167752")</f>
        <v>0</v>
      </c>
      <c r="B2475" t="s">
        <v>1090</v>
      </c>
      <c r="C2475" t="s">
        <v>6265</v>
      </c>
      <c r="D2475" t="s">
        <v>19078</v>
      </c>
      <c r="E2475" t="s">
        <v>21358</v>
      </c>
      <c r="F2475" t="s">
        <v>32831</v>
      </c>
      <c r="G2475" t="s">
        <v>32839</v>
      </c>
      <c r="H2475" t="s">
        <v>32849</v>
      </c>
      <c r="I2475" t="s">
        <v>4177</v>
      </c>
      <c r="J2475" t="s">
        <v>34668</v>
      </c>
      <c r="K2475" t="s">
        <v>42777</v>
      </c>
      <c r="M2475" t="s">
        <v>44149</v>
      </c>
      <c r="N2475" t="s">
        <v>47424</v>
      </c>
      <c r="O2475" t="s">
        <v>47425</v>
      </c>
      <c r="P2475">
        <v>0</v>
      </c>
      <c r="Q2475">
        <v>0</v>
      </c>
      <c r="R2475" t="s">
        <v>47429</v>
      </c>
      <c r="S2475" t="s">
        <v>47542</v>
      </c>
      <c r="T2475" t="s">
        <v>49078</v>
      </c>
      <c r="U2475" t="s">
        <v>51777</v>
      </c>
      <c r="W2475" t="s">
        <v>44149</v>
      </c>
      <c r="X2475" t="s">
        <v>47426</v>
      </c>
    </row>
    <row r="2476" spans="1:24">
      <c r="A2476">
        <f>HYPERLINK("https://www.philgeps.gov.ph/GEPSNONPILOT/Tender/SplashBidNoticeAbstractUI.aspx?menuIndex=3&amp;refID=7161913&amp;Result=3","7161913")</f>
        <v>0</v>
      </c>
      <c r="B2476" t="s">
        <v>630</v>
      </c>
      <c r="C2476" t="s">
        <v>6266</v>
      </c>
      <c r="D2476" t="s">
        <v>19102</v>
      </c>
      <c r="E2476" t="s">
        <v>21359</v>
      </c>
      <c r="F2476" t="s">
        <v>32831</v>
      </c>
      <c r="G2476" t="s">
        <v>32838</v>
      </c>
      <c r="H2476" t="s">
        <v>32848</v>
      </c>
      <c r="I2476" t="s">
        <v>32899</v>
      </c>
      <c r="J2476" t="s">
        <v>33072</v>
      </c>
      <c r="K2476" t="s">
        <v>42730</v>
      </c>
      <c r="M2476" t="s">
        <v>43647</v>
      </c>
      <c r="N2476" t="s">
        <v>47424</v>
      </c>
      <c r="O2476" t="s">
        <v>47425</v>
      </c>
      <c r="P2476">
        <v>0</v>
      </c>
      <c r="Q2476">
        <v>0</v>
      </c>
      <c r="R2476" t="s">
        <v>47428</v>
      </c>
      <c r="S2476" t="s">
        <v>47541</v>
      </c>
      <c r="T2476" t="s">
        <v>49104</v>
      </c>
      <c r="U2476" t="s">
        <v>50857</v>
      </c>
      <c r="V2476" t="s">
        <v>62888</v>
      </c>
      <c r="W2476" t="s">
        <v>43647</v>
      </c>
      <c r="X2476" t="s">
        <v>47430</v>
      </c>
    </row>
    <row r="2477" spans="1:24">
      <c r="A2477">
        <f>HYPERLINK("https://www.philgeps.gov.ph/GEPSNONPILOT/Tender/SplashBidNoticeAbstractUI.aspx?menuIndex=3&amp;refID=7167748&amp;Result=3","7167748")</f>
        <v>0</v>
      </c>
      <c r="B2477" t="s">
        <v>1083</v>
      </c>
      <c r="C2477" t="s">
        <v>6267</v>
      </c>
      <c r="D2477" t="s">
        <v>19030</v>
      </c>
      <c r="E2477" t="s">
        <v>21360</v>
      </c>
      <c r="F2477" t="s">
        <v>32831</v>
      </c>
      <c r="G2477" t="s">
        <v>32838</v>
      </c>
      <c r="H2477" t="s">
        <v>32848</v>
      </c>
      <c r="I2477" t="s">
        <v>32879</v>
      </c>
      <c r="J2477" t="s">
        <v>34669</v>
      </c>
      <c r="K2477" t="s">
        <v>42758</v>
      </c>
      <c r="M2477" t="s">
        <v>44141</v>
      </c>
      <c r="N2477" t="s">
        <v>47424</v>
      </c>
      <c r="O2477" t="s">
        <v>47425</v>
      </c>
      <c r="P2477">
        <v>0</v>
      </c>
      <c r="Q2477">
        <v>0</v>
      </c>
      <c r="R2477" t="s">
        <v>47429</v>
      </c>
      <c r="S2477" t="s">
        <v>47542</v>
      </c>
      <c r="T2477" t="s">
        <v>49119</v>
      </c>
      <c r="U2477" t="s">
        <v>51778</v>
      </c>
      <c r="V2477" t="s">
        <v>62885</v>
      </c>
      <c r="W2477" t="s">
        <v>44141</v>
      </c>
      <c r="X2477" t="s">
        <v>47426</v>
      </c>
    </row>
    <row r="2478" spans="1:24">
      <c r="A2478">
        <f>HYPERLINK("https://www.philgeps.gov.ph/GEPSNONPILOT/Tender/SplashBidNoticeAbstractUI.aspx?menuIndex=3&amp;refID=7167741&amp;Result=3","7167741")</f>
        <v>0</v>
      </c>
      <c r="B2478" t="s">
        <v>1090</v>
      </c>
      <c r="C2478" t="s">
        <v>6268</v>
      </c>
      <c r="D2478" t="s">
        <v>19078</v>
      </c>
      <c r="E2478" t="s">
        <v>21361</v>
      </c>
      <c r="F2478" t="s">
        <v>32831</v>
      </c>
      <c r="G2478" t="s">
        <v>32839</v>
      </c>
      <c r="H2478" t="s">
        <v>32849</v>
      </c>
      <c r="I2478" t="s">
        <v>4177</v>
      </c>
      <c r="J2478" t="s">
        <v>34670</v>
      </c>
      <c r="K2478" t="s">
        <v>42790</v>
      </c>
      <c r="M2478" t="s">
        <v>44149</v>
      </c>
      <c r="N2478" t="s">
        <v>47424</v>
      </c>
      <c r="O2478" t="s">
        <v>47425</v>
      </c>
      <c r="P2478">
        <v>0</v>
      </c>
      <c r="Q2478">
        <v>0</v>
      </c>
      <c r="R2478" t="s">
        <v>47429</v>
      </c>
      <c r="S2478" t="s">
        <v>47542</v>
      </c>
      <c r="T2478" t="s">
        <v>49078</v>
      </c>
      <c r="U2478" t="s">
        <v>51779</v>
      </c>
      <c r="W2478" t="s">
        <v>44149</v>
      </c>
      <c r="X2478" t="s">
        <v>47426</v>
      </c>
    </row>
    <row r="2479" spans="1:24">
      <c r="A2479">
        <f>HYPERLINK("https://www.philgeps.gov.ph/GEPSNONPILOT/Tender/SplashBidNoticeAbstractUI.aspx?menuIndex=3&amp;refID=7161927&amp;Result=3","7161927")</f>
        <v>0</v>
      </c>
      <c r="B2479" t="s">
        <v>914</v>
      </c>
      <c r="C2479" t="s">
        <v>6269</v>
      </c>
      <c r="D2479" t="s">
        <v>19050</v>
      </c>
      <c r="E2479" t="s">
        <v>21362</v>
      </c>
      <c r="F2479" t="s">
        <v>32831</v>
      </c>
      <c r="G2479" t="s">
        <v>32840</v>
      </c>
      <c r="H2479" t="s">
        <v>32848</v>
      </c>
      <c r="I2479" t="s">
        <v>6526</v>
      </c>
      <c r="J2479" t="s">
        <v>33041</v>
      </c>
      <c r="K2479" t="s">
        <v>42732</v>
      </c>
      <c r="M2479" t="s">
        <v>43955</v>
      </c>
      <c r="N2479" t="s">
        <v>47424</v>
      </c>
      <c r="O2479" t="s">
        <v>47425</v>
      </c>
      <c r="P2479">
        <v>0</v>
      </c>
      <c r="Q2479">
        <v>0</v>
      </c>
      <c r="R2479" t="s">
        <v>47428</v>
      </c>
      <c r="S2479" t="s">
        <v>47541</v>
      </c>
      <c r="T2479" t="s">
        <v>49129</v>
      </c>
      <c r="U2479" t="s">
        <v>51780</v>
      </c>
      <c r="W2479" t="s">
        <v>43955</v>
      </c>
      <c r="X2479" t="s">
        <v>47430</v>
      </c>
    </row>
    <row r="2480" spans="1:24">
      <c r="A2480">
        <f>HYPERLINK("https://www.philgeps.gov.ph/GEPSNONPILOT/Tender/SplashBidNoticeAbstractUI.aspx?menuIndex=3&amp;refID=7167739&amp;Result=3","7167739")</f>
        <v>0</v>
      </c>
      <c r="B2480" t="s">
        <v>1091</v>
      </c>
      <c r="C2480" t="s">
        <v>6270</v>
      </c>
      <c r="D2480" t="s">
        <v>19035</v>
      </c>
      <c r="E2480" t="s">
        <v>21363</v>
      </c>
      <c r="F2480" t="s">
        <v>32831</v>
      </c>
      <c r="G2480" t="s">
        <v>32840</v>
      </c>
      <c r="H2480" t="s">
        <v>32848</v>
      </c>
      <c r="I2480" t="s">
        <v>32902</v>
      </c>
      <c r="J2480" t="s">
        <v>34431</v>
      </c>
      <c r="K2480" t="s">
        <v>42759</v>
      </c>
      <c r="M2480" t="s">
        <v>44150</v>
      </c>
      <c r="N2480" t="s">
        <v>47424</v>
      </c>
      <c r="O2480" t="s">
        <v>47425</v>
      </c>
      <c r="P2480">
        <v>0</v>
      </c>
      <c r="Q2480">
        <v>0</v>
      </c>
      <c r="R2480" t="s">
        <v>47429</v>
      </c>
      <c r="S2480" t="s">
        <v>47542</v>
      </c>
      <c r="T2480" t="s">
        <v>49068</v>
      </c>
      <c r="U2480" t="s">
        <v>51781</v>
      </c>
      <c r="W2480" t="s">
        <v>44150</v>
      </c>
      <c r="X2480" t="s">
        <v>47426</v>
      </c>
    </row>
    <row r="2481" spans="1:24">
      <c r="A2481">
        <f>HYPERLINK("https://www.philgeps.gov.ph/GEPSNONPILOT/Tender/SplashBidNoticeAbstractUI.aspx?menuIndex=3&amp;refID=7161922&amp;Result=3","7161922")</f>
        <v>0</v>
      </c>
      <c r="B2481" t="s">
        <v>629</v>
      </c>
      <c r="C2481" t="s">
        <v>6271</v>
      </c>
      <c r="D2481" t="s">
        <v>19049</v>
      </c>
      <c r="E2481" t="s">
        <v>21364</v>
      </c>
      <c r="F2481" t="s">
        <v>32831</v>
      </c>
      <c r="G2481" t="s">
        <v>32840</v>
      </c>
      <c r="H2481" t="s">
        <v>32848</v>
      </c>
      <c r="I2481" t="s">
        <v>32860</v>
      </c>
      <c r="J2481" t="s">
        <v>34671</v>
      </c>
      <c r="K2481" t="s">
        <v>42731</v>
      </c>
      <c r="M2481" t="s">
        <v>43646</v>
      </c>
      <c r="N2481" t="s">
        <v>47424</v>
      </c>
      <c r="O2481" t="s">
        <v>47425</v>
      </c>
      <c r="P2481">
        <v>0</v>
      </c>
      <c r="Q2481">
        <v>0</v>
      </c>
      <c r="R2481" t="s">
        <v>47428</v>
      </c>
      <c r="S2481" t="s">
        <v>47541</v>
      </c>
      <c r="T2481" t="s">
        <v>49129</v>
      </c>
      <c r="U2481" t="s">
        <v>51782</v>
      </c>
      <c r="W2481" t="s">
        <v>43646</v>
      </c>
      <c r="X2481" t="s">
        <v>47430</v>
      </c>
    </row>
    <row r="2482" spans="1:24">
      <c r="A2482">
        <f>HYPERLINK("https://www.philgeps.gov.ph/GEPSNONPILOT/Tender/SplashBidNoticeAbstractUI.aspx?menuIndex=3&amp;refID=7167736&amp;Result=3","7167736")</f>
        <v>0</v>
      </c>
      <c r="B2482" t="s">
        <v>1092</v>
      </c>
      <c r="C2482" t="s">
        <v>6272</v>
      </c>
      <c r="D2482" t="s">
        <v>19067</v>
      </c>
      <c r="E2482" t="s">
        <v>21365</v>
      </c>
      <c r="F2482" t="s">
        <v>32831</v>
      </c>
      <c r="G2482" t="s">
        <v>32838</v>
      </c>
      <c r="H2482" t="s">
        <v>32848</v>
      </c>
      <c r="I2482" t="s">
        <v>32862</v>
      </c>
      <c r="J2482" t="s">
        <v>33795</v>
      </c>
      <c r="K2482" t="s">
        <v>42732</v>
      </c>
      <c r="M2482" t="s">
        <v>44151</v>
      </c>
      <c r="N2482" t="s">
        <v>47424</v>
      </c>
      <c r="O2482" t="s">
        <v>47425</v>
      </c>
      <c r="P2482">
        <v>0</v>
      </c>
      <c r="Q2482">
        <v>0</v>
      </c>
      <c r="R2482" t="s">
        <v>47429</v>
      </c>
      <c r="S2482" t="s">
        <v>47542</v>
      </c>
      <c r="T2482" t="s">
        <v>49104</v>
      </c>
      <c r="U2482" t="s">
        <v>51783</v>
      </c>
      <c r="W2482" t="s">
        <v>44151</v>
      </c>
      <c r="X2482" t="s">
        <v>47426</v>
      </c>
    </row>
    <row r="2483" spans="1:24">
      <c r="A2483">
        <f>HYPERLINK("https://www.philgeps.gov.ph/GEPSNONPILOT/Tender/SplashBidNoticeAbstractUI.aspx?menuIndex=3&amp;refID=7167733&amp;Result=3","7167733")</f>
        <v>0</v>
      </c>
      <c r="B2483" t="s">
        <v>1093</v>
      </c>
      <c r="C2483" t="s">
        <v>6273</v>
      </c>
      <c r="D2483" t="s">
        <v>19017</v>
      </c>
      <c r="E2483" t="s">
        <v>21366</v>
      </c>
      <c r="F2483" t="s">
        <v>32831</v>
      </c>
      <c r="G2483" t="s">
        <v>32839</v>
      </c>
      <c r="H2483" t="s">
        <v>32848</v>
      </c>
      <c r="I2483" t="s">
        <v>4487</v>
      </c>
      <c r="J2483" t="s">
        <v>34672</v>
      </c>
      <c r="K2483" t="s">
        <v>42730</v>
      </c>
      <c r="M2483" t="s">
        <v>44152</v>
      </c>
      <c r="N2483" t="s">
        <v>47424</v>
      </c>
      <c r="O2483" t="s">
        <v>47425</v>
      </c>
      <c r="P2483">
        <v>0</v>
      </c>
      <c r="Q2483">
        <v>0</v>
      </c>
      <c r="R2483" t="s">
        <v>47429</v>
      </c>
      <c r="S2483" t="s">
        <v>47542</v>
      </c>
      <c r="T2483" t="s">
        <v>49271</v>
      </c>
      <c r="U2483" t="s">
        <v>51784</v>
      </c>
      <c r="W2483" t="s">
        <v>44152</v>
      </c>
      <c r="X2483" t="s">
        <v>47426</v>
      </c>
    </row>
    <row r="2484" spans="1:24">
      <c r="A2484">
        <f>HYPERLINK("https://www.philgeps.gov.ph/GEPSNONPILOT/Tender/SplashBidNoticeAbstractUI.aspx?menuIndex=3&amp;refID=7167743&amp;Result=3","7167743")</f>
        <v>0</v>
      </c>
      <c r="B2484" t="s">
        <v>1092</v>
      </c>
      <c r="C2484" t="s">
        <v>6274</v>
      </c>
      <c r="D2484" t="s">
        <v>19067</v>
      </c>
      <c r="E2484" t="s">
        <v>21367</v>
      </c>
      <c r="F2484" t="s">
        <v>32831</v>
      </c>
      <c r="G2484" t="s">
        <v>32838</v>
      </c>
      <c r="H2484" t="s">
        <v>32848</v>
      </c>
      <c r="I2484" t="s">
        <v>7416</v>
      </c>
      <c r="J2484" t="s">
        <v>34673</v>
      </c>
      <c r="K2484" t="s">
        <v>42732</v>
      </c>
      <c r="M2484" t="s">
        <v>44151</v>
      </c>
      <c r="N2484" t="s">
        <v>47424</v>
      </c>
      <c r="O2484" t="s">
        <v>47425</v>
      </c>
      <c r="P2484">
        <v>0</v>
      </c>
      <c r="Q2484">
        <v>0</v>
      </c>
      <c r="R2484" t="s">
        <v>47429</v>
      </c>
      <c r="S2484" t="s">
        <v>47542</v>
      </c>
      <c r="T2484" t="s">
        <v>49104</v>
      </c>
      <c r="U2484" t="s">
        <v>51783</v>
      </c>
      <c r="W2484" t="s">
        <v>44151</v>
      </c>
      <c r="X2484" t="s">
        <v>47426</v>
      </c>
    </row>
    <row r="2485" spans="1:24">
      <c r="A2485">
        <f>HYPERLINK("https://www.philgeps.gov.ph/GEPSNONPILOT/Tender/SplashBidNoticeAbstractUI.aspx?menuIndex=3&amp;refID=7167732&amp;Result=3","7167732")</f>
        <v>0</v>
      </c>
      <c r="B2485" t="s">
        <v>851</v>
      </c>
      <c r="C2485" t="s">
        <v>6275</v>
      </c>
      <c r="D2485" t="s">
        <v>19017</v>
      </c>
      <c r="E2485" t="s">
        <v>21368</v>
      </c>
      <c r="F2485" t="s">
        <v>32831</v>
      </c>
      <c r="G2485" t="s">
        <v>32838</v>
      </c>
      <c r="H2485" t="s">
        <v>32848</v>
      </c>
      <c r="I2485" t="s">
        <v>10888</v>
      </c>
      <c r="J2485" t="s">
        <v>33133</v>
      </c>
      <c r="K2485" t="s">
        <v>42727</v>
      </c>
      <c r="M2485" t="s">
        <v>44083</v>
      </c>
      <c r="N2485" t="s">
        <v>47424</v>
      </c>
      <c r="O2485" t="s">
        <v>47425</v>
      </c>
      <c r="P2485">
        <v>0</v>
      </c>
      <c r="Q2485">
        <v>0</v>
      </c>
      <c r="R2485" t="s">
        <v>47429</v>
      </c>
      <c r="S2485" t="s">
        <v>47542</v>
      </c>
      <c r="T2485" t="s">
        <v>49089</v>
      </c>
      <c r="U2485" t="s">
        <v>51785</v>
      </c>
      <c r="W2485" t="s">
        <v>44083</v>
      </c>
      <c r="X2485" t="s">
        <v>47426</v>
      </c>
    </row>
    <row r="2486" spans="1:24">
      <c r="A2486">
        <f>HYPERLINK("https://www.philgeps.gov.ph/GEPSNONPILOT/Tender/SplashBidNoticeAbstractUI.aspx?menuIndex=3&amp;refID=7167737&amp;Result=3","7167737")</f>
        <v>0</v>
      </c>
      <c r="B2486" t="s">
        <v>1073</v>
      </c>
      <c r="C2486" t="s">
        <v>6276</v>
      </c>
      <c r="D2486" t="s">
        <v>19091</v>
      </c>
      <c r="E2486" t="s">
        <v>21369</v>
      </c>
      <c r="F2486" t="s">
        <v>32831</v>
      </c>
      <c r="G2486" t="s">
        <v>32838</v>
      </c>
      <c r="H2486" t="s">
        <v>32848</v>
      </c>
      <c r="I2486" t="s">
        <v>7819</v>
      </c>
      <c r="J2486" t="s">
        <v>34674</v>
      </c>
      <c r="K2486" t="s">
        <v>42727</v>
      </c>
      <c r="M2486" t="s">
        <v>44130</v>
      </c>
      <c r="N2486" t="s">
        <v>47424</v>
      </c>
      <c r="O2486" t="s">
        <v>47425</v>
      </c>
      <c r="P2486">
        <v>0</v>
      </c>
      <c r="Q2486">
        <v>0</v>
      </c>
      <c r="R2486" t="s">
        <v>47429</v>
      </c>
      <c r="S2486" t="s">
        <v>47542</v>
      </c>
      <c r="T2486" t="s">
        <v>49089</v>
      </c>
      <c r="U2486" t="s">
        <v>51786</v>
      </c>
      <c r="W2486" t="s">
        <v>44130</v>
      </c>
      <c r="X2486" t="s">
        <v>47426</v>
      </c>
    </row>
    <row r="2487" spans="1:24">
      <c r="A2487">
        <f>HYPERLINK("https://www.philgeps.gov.ph/GEPSNONPILOT/Tender/SplashBidNoticeAbstractUI.aspx?menuIndex=3&amp;refID=7167755&amp;Result=3","7167755")</f>
        <v>0</v>
      </c>
      <c r="B2487" t="s">
        <v>1094</v>
      </c>
      <c r="C2487" t="s">
        <v>6277</v>
      </c>
      <c r="D2487" t="s">
        <v>19056</v>
      </c>
      <c r="E2487" t="s">
        <v>19203</v>
      </c>
      <c r="F2487" t="s">
        <v>32831</v>
      </c>
      <c r="G2487" t="s">
        <v>32839</v>
      </c>
      <c r="H2487" t="s">
        <v>32849</v>
      </c>
      <c r="I2487" t="s">
        <v>4177</v>
      </c>
      <c r="J2487" t="s">
        <v>34675</v>
      </c>
      <c r="K2487" t="s">
        <v>42727</v>
      </c>
      <c r="M2487" t="s">
        <v>44153</v>
      </c>
      <c r="N2487" t="s">
        <v>47424</v>
      </c>
      <c r="O2487" t="s">
        <v>47425</v>
      </c>
      <c r="P2487">
        <v>0</v>
      </c>
      <c r="Q2487">
        <v>0</v>
      </c>
      <c r="R2487" t="s">
        <v>47429</v>
      </c>
      <c r="S2487" t="s">
        <v>47542</v>
      </c>
      <c r="T2487" t="s">
        <v>49151</v>
      </c>
      <c r="U2487" t="s">
        <v>51787</v>
      </c>
      <c r="W2487" t="s">
        <v>44153</v>
      </c>
      <c r="X2487" t="s">
        <v>47426</v>
      </c>
    </row>
    <row r="2488" spans="1:24">
      <c r="A2488">
        <f>HYPERLINK("https://www.philgeps.gov.ph/GEPSNONPILOT/Tender/SplashBidNoticeAbstractUI.aspx?menuIndex=3&amp;refID=7167742&amp;Result=3","7167742")</f>
        <v>0</v>
      </c>
      <c r="B2488" t="s">
        <v>1095</v>
      </c>
      <c r="C2488" t="s">
        <v>6278</v>
      </c>
      <c r="D2488" t="s">
        <v>19045</v>
      </c>
      <c r="E2488" t="s">
        <v>21370</v>
      </c>
      <c r="F2488" t="s">
        <v>32831</v>
      </c>
      <c r="G2488" t="s">
        <v>32838</v>
      </c>
      <c r="H2488" t="s">
        <v>32848</v>
      </c>
      <c r="I2488" t="s">
        <v>7416</v>
      </c>
      <c r="J2488" t="s">
        <v>34676</v>
      </c>
      <c r="K2488" t="s">
        <v>42727</v>
      </c>
      <c r="M2488" t="s">
        <v>44154</v>
      </c>
      <c r="N2488" t="s">
        <v>47424</v>
      </c>
      <c r="O2488" t="s">
        <v>47425</v>
      </c>
      <c r="P2488">
        <v>0</v>
      </c>
      <c r="Q2488">
        <v>0</v>
      </c>
      <c r="R2488" t="s">
        <v>47429</v>
      </c>
      <c r="S2488" t="s">
        <v>47542</v>
      </c>
      <c r="T2488" t="s">
        <v>49129</v>
      </c>
      <c r="U2488" t="s">
        <v>51788</v>
      </c>
      <c r="W2488" t="s">
        <v>44154</v>
      </c>
      <c r="X2488" t="s">
        <v>47426</v>
      </c>
    </row>
    <row r="2489" spans="1:24">
      <c r="A2489">
        <f>HYPERLINK("https://www.philgeps.gov.ph/GEPSNONPILOT/Tender/SplashBidNoticeAbstractUI.aspx?menuIndex=3&amp;refID=7167769&amp;Result=3","7167769")</f>
        <v>0</v>
      </c>
      <c r="B2489" t="s">
        <v>992</v>
      </c>
      <c r="C2489" t="s">
        <v>6279</v>
      </c>
      <c r="D2489" t="s">
        <v>19030</v>
      </c>
      <c r="E2489" t="s">
        <v>21371</v>
      </c>
      <c r="F2489" t="s">
        <v>32831</v>
      </c>
      <c r="G2489" t="s">
        <v>32840</v>
      </c>
      <c r="H2489" t="s">
        <v>32848</v>
      </c>
      <c r="I2489" t="s">
        <v>4471</v>
      </c>
      <c r="J2489" t="s">
        <v>34677</v>
      </c>
      <c r="K2489" t="s">
        <v>42758</v>
      </c>
      <c r="M2489" t="s">
        <v>44041</v>
      </c>
      <c r="N2489" t="s">
        <v>47424</v>
      </c>
      <c r="O2489" t="s">
        <v>47425</v>
      </c>
      <c r="P2489">
        <v>0</v>
      </c>
      <c r="Q2489">
        <v>0</v>
      </c>
      <c r="R2489" t="s">
        <v>47429</v>
      </c>
      <c r="S2489" t="s">
        <v>47542</v>
      </c>
      <c r="T2489" t="s">
        <v>49108</v>
      </c>
      <c r="U2489" t="s">
        <v>51789</v>
      </c>
      <c r="W2489" t="s">
        <v>44041</v>
      </c>
      <c r="X2489" t="s">
        <v>47426</v>
      </c>
    </row>
    <row r="2490" spans="1:24">
      <c r="A2490">
        <f>HYPERLINK("https://www.philgeps.gov.ph/GEPSNONPILOT/Tender/SplashBidNoticeAbstractUI.aspx?menuIndex=3&amp;refID=7167776&amp;Result=3","7167776")</f>
        <v>0</v>
      </c>
      <c r="B2490" t="s">
        <v>1096</v>
      </c>
      <c r="C2490" t="s">
        <v>6280</v>
      </c>
      <c r="D2490" t="s">
        <v>19077</v>
      </c>
      <c r="E2490" t="s">
        <v>21372</v>
      </c>
      <c r="F2490" t="s">
        <v>32831</v>
      </c>
      <c r="G2490" t="s">
        <v>32838</v>
      </c>
      <c r="H2490" t="s">
        <v>32848</v>
      </c>
      <c r="I2490" t="s">
        <v>32905</v>
      </c>
      <c r="J2490" t="s">
        <v>33041</v>
      </c>
      <c r="K2490" t="s">
        <v>42732</v>
      </c>
      <c r="M2490" t="s">
        <v>44155</v>
      </c>
      <c r="N2490" t="s">
        <v>47424</v>
      </c>
      <c r="O2490" t="s">
        <v>47425</v>
      </c>
      <c r="P2490">
        <v>0</v>
      </c>
      <c r="Q2490">
        <v>0</v>
      </c>
      <c r="R2490" t="s">
        <v>47429</v>
      </c>
      <c r="S2490" t="s">
        <v>47542</v>
      </c>
      <c r="T2490" t="s">
        <v>49103</v>
      </c>
      <c r="U2490" t="s">
        <v>51790</v>
      </c>
      <c r="W2490" t="s">
        <v>44155</v>
      </c>
      <c r="X2490" t="s">
        <v>47426</v>
      </c>
    </row>
    <row r="2491" spans="1:24">
      <c r="A2491">
        <f>HYPERLINK("https://www.philgeps.gov.ph/GEPSNONPILOT/Tender/SplashBidNoticeAbstractUI.aspx?menuIndex=3&amp;refID=7167730&amp;Result=3","7167730")</f>
        <v>0</v>
      </c>
      <c r="B2491" t="s">
        <v>1007</v>
      </c>
      <c r="C2491" t="s">
        <v>6281</v>
      </c>
      <c r="E2491" t="s">
        <v>21373</v>
      </c>
      <c r="F2491" t="s">
        <v>32831</v>
      </c>
      <c r="G2491" t="s">
        <v>32838</v>
      </c>
      <c r="H2491" t="s">
        <v>32848</v>
      </c>
      <c r="I2491" t="s">
        <v>32874</v>
      </c>
      <c r="J2491" t="s">
        <v>32976</v>
      </c>
      <c r="K2491" t="s">
        <v>42732</v>
      </c>
      <c r="M2491" t="s">
        <v>44056</v>
      </c>
      <c r="N2491" t="s">
        <v>47424</v>
      </c>
      <c r="O2491" t="s">
        <v>47425</v>
      </c>
      <c r="P2491">
        <v>0</v>
      </c>
      <c r="Q2491">
        <v>0</v>
      </c>
      <c r="R2491" t="s">
        <v>47429</v>
      </c>
      <c r="S2491" t="s">
        <v>47542</v>
      </c>
      <c r="T2491" t="s">
        <v>49170</v>
      </c>
      <c r="U2491" t="s">
        <v>51592</v>
      </c>
      <c r="W2491" t="s">
        <v>44056</v>
      </c>
      <c r="X2491" t="s">
        <v>47426</v>
      </c>
    </row>
    <row r="2492" spans="1:24">
      <c r="A2492">
        <f>HYPERLINK("https://www.philgeps.gov.ph/GEPSNONPILOT/Tender/SplashBidNoticeAbstractUI.aspx?menuIndex=3&amp;refID=7167775&amp;Result=3","7167775")</f>
        <v>0</v>
      </c>
      <c r="B2492" t="s">
        <v>1097</v>
      </c>
      <c r="C2492" t="s">
        <v>6282</v>
      </c>
      <c r="D2492" t="s">
        <v>19077</v>
      </c>
      <c r="E2492" t="s">
        <v>21374</v>
      </c>
      <c r="F2492" t="s">
        <v>32831</v>
      </c>
      <c r="G2492" t="s">
        <v>32838</v>
      </c>
      <c r="H2492" t="s">
        <v>32848</v>
      </c>
      <c r="I2492" t="s">
        <v>7416</v>
      </c>
      <c r="J2492" t="s">
        <v>34678</v>
      </c>
      <c r="K2492" t="s">
        <v>42731</v>
      </c>
      <c r="M2492" t="s">
        <v>44156</v>
      </c>
      <c r="N2492" t="s">
        <v>47424</v>
      </c>
      <c r="O2492" t="s">
        <v>47425</v>
      </c>
      <c r="P2492">
        <v>0</v>
      </c>
      <c r="Q2492">
        <v>0</v>
      </c>
      <c r="R2492" t="s">
        <v>47429</v>
      </c>
      <c r="S2492" t="s">
        <v>47542</v>
      </c>
      <c r="T2492" t="s">
        <v>49091</v>
      </c>
      <c r="U2492" t="s">
        <v>51791</v>
      </c>
      <c r="W2492" t="s">
        <v>44156</v>
      </c>
      <c r="X2492" t="s">
        <v>47426</v>
      </c>
    </row>
    <row r="2493" spans="1:24">
      <c r="A2493">
        <f>HYPERLINK("https://www.philgeps.gov.ph/GEPSNONPILOT/Tender/SplashBidNoticeAbstractUI.aspx?menuIndex=3&amp;refID=7167774&amp;Result=3","7167774")</f>
        <v>0</v>
      </c>
      <c r="B2493" t="s">
        <v>1090</v>
      </c>
      <c r="C2493" t="s">
        <v>6283</v>
      </c>
      <c r="D2493" t="s">
        <v>19078</v>
      </c>
      <c r="E2493" t="s">
        <v>21375</v>
      </c>
      <c r="F2493" t="s">
        <v>32831</v>
      </c>
      <c r="G2493" t="s">
        <v>32839</v>
      </c>
      <c r="H2493" t="s">
        <v>32849</v>
      </c>
      <c r="I2493" t="s">
        <v>4177</v>
      </c>
      <c r="J2493" t="s">
        <v>34679</v>
      </c>
      <c r="K2493" t="s">
        <v>42787</v>
      </c>
      <c r="M2493" t="s">
        <v>44149</v>
      </c>
      <c r="N2493" t="s">
        <v>47424</v>
      </c>
      <c r="O2493" t="s">
        <v>47425</v>
      </c>
      <c r="P2493">
        <v>0</v>
      </c>
      <c r="Q2493">
        <v>0</v>
      </c>
      <c r="R2493" t="s">
        <v>47429</v>
      </c>
      <c r="S2493" t="s">
        <v>47542</v>
      </c>
      <c r="T2493" t="s">
        <v>49078</v>
      </c>
      <c r="U2493" t="s">
        <v>51792</v>
      </c>
      <c r="W2493" t="s">
        <v>44149</v>
      </c>
      <c r="X2493" t="s">
        <v>47426</v>
      </c>
    </row>
    <row r="2494" spans="1:24">
      <c r="A2494">
        <f>HYPERLINK("https://www.philgeps.gov.ph/GEPSNONPILOT/Tender/SplashBidNoticeAbstractUI.aspx?menuIndex=3&amp;refID=7167735&amp;Result=3","7167735")</f>
        <v>0</v>
      </c>
      <c r="B2494" t="s">
        <v>1007</v>
      </c>
      <c r="C2494" t="s">
        <v>6284</v>
      </c>
      <c r="E2494" t="s">
        <v>21376</v>
      </c>
      <c r="F2494" t="s">
        <v>32831</v>
      </c>
      <c r="G2494" t="s">
        <v>32838</v>
      </c>
      <c r="H2494" t="s">
        <v>32848</v>
      </c>
      <c r="I2494" t="s">
        <v>4435</v>
      </c>
      <c r="J2494" t="s">
        <v>33175</v>
      </c>
      <c r="K2494" t="s">
        <v>42732</v>
      </c>
      <c r="M2494" t="s">
        <v>44056</v>
      </c>
      <c r="N2494" t="s">
        <v>47424</v>
      </c>
      <c r="O2494" t="s">
        <v>47425</v>
      </c>
      <c r="P2494">
        <v>0</v>
      </c>
      <c r="Q2494">
        <v>0</v>
      </c>
      <c r="R2494" t="s">
        <v>47429</v>
      </c>
      <c r="S2494" t="s">
        <v>47542</v>
      </c>
      <c r="T2494" t="s">
        <v>49170</v>
      </c>
      <c r="U2494" t="s">
        <v>51592</v>
      </c>
      <c r="W2494" t="s">
        <v>44056</v>
      </c>
      <c r="X2494" t="s">
        <v>47426</v>
      </c>
    </row>
    <row r="2495" spans="1:24">
      <c r="A2495">
        <f>HYPERLINK("https://www.philgeps.gov.ph/GEPSNONPILOT/Tender/SplashBidNoticeAbstractUI.aspx?menuIndex=3&amp;refID=7167767&amp;Result=3","7167767")</f>
        <v>0</v>
      </c>
      <c r="B2495" t="s">
        <v>1090</v>
      </c>
      <c r="C2495" t="s">
        <v>6285</v>
      </c>
      <c r="D2495" t="s">
        <v>19078</v>
      </c>
      <c r="E2495" t="s">
        <v>21377</v>
      </c>
      <c r="F2495" t="s">
        <v>32831</v>
      </c>
      <c r="G2495" t="s">
        <v>32839</v>
      </c>
      <c r="H2495" t="s">
        <v>32849</v>
      </c>
      <c r="I2495" t="s">
        <v>4177</v>
      </c>
      <c r="J2495" t="s">
        <v>34680</v>
      </c>
      <c r="K2495" t="s">
        <v>42733</v>
      </c>
      <c r="M2495" t="s">
        <v>44149</v>
      </c>
      <c r="N2495" t="s">
        <v>47424</v>
      </c>
      <c r="O2495" t="s">
        <v>47425</v>
      </c>
      <c r="P2495">
        <v>0</v>
      </c>
      <c r="Q2495">
        <v>0</v>
      </c>
      <c r="R2495" t="s">
        <v>47429</v>
      </c>
      <c r="S2495" t="s">
        <v>47542</v>
      </c>
      <c r="T2495" t="s">
        <v>49078</v>
      </c>
      <c r="U2495" t="s">
        <v>51793</v>
      </c>
      <c r="W2495" t="s">
        <v>44149</v>
      </c>
      <c r="X2495" t="s">
        <v>47426</v>
      </c>
    </row>
    <row r="2496" spans="1:24">
      <c r="A2496">
        <f>HYPERLINK("https://www.philgeps.gov.ph/GEPSNONPILOT/Tender/SplashBidNoticeAbstractUI.aspx?menuIndex=3&amp;refID=7167731&amp;Result=3","7167731")</f>
        <v>0</v>
      </c>
      <c r="B2496" t="s">
        <v>1098</v>
      </c>
      <c r="C2496" t="s">
        <v>6286</v>
      </c>
      <c r="D2496" t="s">
        <v>19017</v>
      </c>
      <c r="E2496" t="s">
        <v>6286</v>
      </c>
      <c r="F2496" t="s">
        <v>32831</v>
      </c>
      <c r="G2496" t="s">
        <v>32839</v>
      </c>
      <c r="H2496" t="s">
        <v>32848</v>
      </c>
      <c r="I2496" t="s">
        <v>32867</v>
      </c>
      <c r="J2496" t="s">
        <v>34681</v>
      </c>
      <c r="K2496" t="s">
        <v>42730</v>
      </c>
      <c r="M2496" t="s">
        <v>44157</v>
      </c>
      <c r="N2496" t="s">
        <v>47424</v>
      </c>
      <c r="O2496" t="s">
        <v>47425</v>
      </c>
      <c r="P2496">
        <v>0</v>
      </c>
      <c r="Q2496">
        <v>1</v>
      </c>
      <c r="R2496" t="s">
        <v>47429</v>
      </c>
      <c r="S2496" t="s">
        <v>47542</v>
      </c>
      <c r="T2496" t="s">
        <v>49195</v>
      </c>
      <c r="U2496" t="s">
        <v>51794</v>
      </c>
      <c r="V2496" t="s">
        <v>62889</v>
      </c>
      <c r="W2496" t="s">
        <v>44157</v>
      </c>
      <c r="X2496" t="s">
        <v>47426</v>
      </c>
    </row>
    <row r="2497" spans="1:24">
      <c r="A2497">
        <f>HYPERLINK("https://www.philgeps.gov.ph/GEPSNONPILOT/Tender/SplashBidNoticeAbstractUI.aspx?menuIndex=3&amp;refID=7167766&amp;Result=3","7167766")</f>
        <v>0</v>
      </c>
      <c r="B2497" t="s">
        <v>1095</v>
      </c>
      <c r="C2497" t="s">
        <v>6287</v>
      </c>
      <c r="D2497" t="s">
        <v>19045</v>
      </c>
      <c r="E2497" t="s">
        <v>21378</v>
      </c>
      <c r="F2497" t="s">
        <v>32831</v>
      </c>
      <c r="G2497" t="s">
        <v>32838</v>
      </c>
      <c r="H2497" t="s">
        <v>32848</v>
      </c>
      <c r="I2497" t="s">
        <v>7416</v>
      </c>
      <c r="J2497" t="s">
        <v>34682</v>
      </c>
      <c r="K2497" t="s">
        <v>42727</v>
      </c>
      <c r="M2497" t="s">
        <v>44154</v>
      </c>
      <c r="N2497" t="s">
        <v>47424</v>
      </c>
      <c r="O2497" t="s">
        <v>47425</v>
      </c>
      <c r="P2497">
        <v>0</v>
      </c>
      <c r="Q2497">
        <v>0</v>
      </c>
      <c r="R2497" t="s">
        <v>47429</v>
      </c>
      <c r="S2497" t="s">
        <v>47542</v>
      </c>
      <c r="T2497" t="s">
        <v>49129</v>
      </c>
      <c r="U2497" t="s">
        <v>51788</v>
      </c>
      <c r="W2497" t="s">
        <v>44154</v>
      </c>
      <c r="X2497" t="s">
        <v>47426</v>
      </c>
    </row>
    <row r="2498" spans="1:24">
      <c r="A2498">
        <f>HYPERLINK("https://www.philgeps.gov.ph/GEPSNONPILOT/Tender/SplashBidNoticeAbstractUI.aspx?menuIndex=3&amp;refID=7167773&amp;Result=3","7167773")</f>
        <v>0</v>
      </c>
      <c r="B2498" t="s">
        <v>398</v>
      </c>
      <c r="C2498" t="s">
        <v>6288</v>
      </c>
      <c r="D2498" t="s">
        <v>19017</v>
      </c>
      <c r="E2498" t="s">
        <v>21379</v>
      </c>
      <c r="F2498" t="s">
        <v>32831</v>
      </c>
      <c r="G2498" t="s">
        <v>32839</v>
      </c>
      <c r="H2498" t="s">
        <v>32848</v>
      </c>
      <c r="I2498" t="s">
        <v>32874</v>
      </c>
      <c r="J2498" t="s">
        <v>34683</v>
      </c>
      <c r="K2498" t="s">
        <v>42747</v>
      </c>
      <c r="M2498" t="s">
        <v>44158</v>
      </c>
      <c r="N2498" t="s">
        <v>47424</v>
      </c>
      <c r="O2498" t="s">
        <v>47425</v>
      </c>
      <c r="P2498">
        <v>0</v>
      </c>
      <c r="Q2498">
        <v>0</v>
      </c>
      <c r="R2498" t="s">
        <v>47429</v>
      </c>
      <c r="S2498" t="s">
        <v>47542</v>
      </c>
      <c r="T2498" t="s">
        <v>49131</v>
      </c>
      <c r="U2498" t="s">
        <v>51795</v>
      </c>
      <c r="W2498" t="s">
        <v>44158</v>
      </c>
      <c r="X2498" t="s">
        <v>47426</v>
      </c>
    </row>
    <row r="2499" spans="1:24">
      <c r="A2499">
        <f>HYPERLINK("https://www.philgeps.gov.ph/GEPSNONPILOT/Tender/SplashBidNoticeAbstractUI.aspx?menuIndex=3&amp;refID=7167740&amp;Result=3","7167740")</f>
        <v>0</v>
      </c>
      <c r="B2499" t="s">
        <v>851</v>
      </c>
      <c r="C2499" t="s">
        <v>6289</v>
      </c>
      <c r="D2499" t="s">
        <v>19017</v>
      </c>
      <c r="E2499" t="s">
        <v>21380</v>
      </c>
      <c r="F2499" t="s">
        <v>32831</v>
      </c>
      <c r="G2499" t="s">
        <v>32842</v>
      </c>
      <c r="H2499" t="s">
        <v>32848</v>
      </c>
      <c r="I2499" t="s">
        <v>32860</v>
      </c>
      <c r="J2499" t="s">
        <v>34684</v>
      </c>
      <c r="K2499" t="s">
        <v>42726</v>
      </c>
      <c r="M2499" t="s">
        <v>44083</v>
      </c>
      <c r="N2499" t="s">
        <v>47424</v>
      </c>
      <c r="O2499" t="s">
        <v>47425</v>
      </c>
      <c r="P2499">
        <v>0</v>
      </c>
      <c r="Q2499">
        <v>0</v>
      </c>
      <c r="R2499" t="s">
        <v>47429</v>
      </c>
      <c r="S2499" t="s">
        <v>47542</v>
      </c>
      <c r="T2499" t="s">
        <v>49089</v>
      </c>
      <c r="U2499" t="s">
        <v>51796</v>
      </c>
      <c r="W2499" t="s">
        <v>44083</v>
      </c>
      <c r="X2499" t="s">
        <v>47426</v>
      </c>
    </row>
    <row r="2500" spans="1:24">
      <c r="A2500">
        <f>HYPERLINK("https://www.philgeps.gov.ph/GEPSNONPILOT/Tender/SplashBidNoticeAbstractUI.aspx?menuIndex=3&amp;refID=7167763&amp;Result=3","7167763")</f>
        <v>0</v>
      </c>
      <c r="B2500" t="s">
        <v>1099</v>
      </c>
      <c r="C2500" t="s">
        <v>6290</v>
      </c>
      <c r="D2500" t="s">
        <v>19020</v>
      </c>
      <c r="E2500" t="s">
        <v>19835</v>
      </c>
      <c r="F2500" t="s">
        <v>32831</v>
      </c>
      <c r="G2500" t="s">
        <v>32838</v>
      </c>
      <c r="H2500" t="s">
        <v>32848</v>
      </c>
      <c r="I2500" t="s">
        <v>10805</v>
      </c>
      <c r="J2500" t="s">
        <v>34685</v>
      </c>
      <c r="K2500" t="s">
        <v>42730</v>
      </c>
      <c r="M2500" t="s">
        <v>44159</v>
      </c>
      <c r="N2500" t="s">
        <v>47424</v>
      </c>
      <c r="O2500" t="s">
        <v>47425</v>
      </c>
      <c r="P2500">
        <v>0</v>
      </c>
      <c r="Q2500">
        <v>0</v>
      </c>
      <c r="R2500" t="s">
        <v>47429</v>
      </c>
      <c r="S2500" t="s">
        <v>47542</v>
      </c>
      <c r="T2500" t="s">
        <v>49119</v>
      </c>
      <c r="U2500" t="s">
        <v>51797</v>
      </c>
      <c r="W2500" t="s">
        <v>44159</v>
      </c>
      <c r="X2500" t="s">
        <v>47426</v>
      </c>
    </row>
    <row r="2501" spans="1:24">
      <c r="A2501">
        <f>HYPERLINK("https://www.philgeps.gov.ph/GEPSNONPILOT/Tender/SplashBidNoticeAbstractUI.aspx?menuIndex=3&amp;refID=7167762&amp;Result=3","7167762")</f>
        <v>0</v>
      </c>
      <c r="B2501" t="s">
        <v>1100</v>
      </c>
      <c r="C2501" t="s">
        <v>6291</v>
      </c>
      <c r="D2501" t="s">
        <v>19062</v>
      </c>
      <c r="E2501" t="s">
        <v>21381</v>
      </c>
      <c r="F2501" t="s">
        <v>32831</v>
      </c>
      <c r="G2501" t="s">
        <v>32841</v>
      </c>
      <c r="H2501" t="s">
        <v>32848</v>
      </c>
      <c r="I2501" t="s">
        <v>32938</v>
      </c>
      <c r="J2501" t="s">
        <v>33561</v>
      </c>
      <c r="K2501" t="s">
        <v>42730</v>
      </c>
      <c r="M2501" t="s">
        <v>44160</v>
      </c>
      <c r="N2501" t="s">
        <v>47424</v>
      </c>
      <c r="O2501" t="s">
        <v>47425</v>
      </c>
      <c r="P2501">
        <v>0</v>
      </c>
      <c r="Q2501">
        <v>0</v>
      </c>
      <c r="R2501" t="s">
        <v>47429</v>
      </c>
      <c r="S2501" t="s">
        <v>47542</v>
      </c>
      <c r="T2501" t="s">
        <v>49089</v>
      </c>
      <c r="U2501" t="s">
        <v>51798</v>
      </c>
      <c r="V2501" t="s">
        <v>62890</v>
      </c>
      <c r="W2501" t="s">
        <v>44160</v>
      </c>
      <c r="X2501" t="s">
        <v>47426</v>
      </c>
    </row>
    <row r="2502" spans="1:24">
      <c r="A2502">
        <f>HYPERLINK("https://www.philgeps.gov.ph/GEPSNONPILOT/Tender/SplashBidNoticeAbstractUI.aspx?menuIndex=3&amp;refID=7167760&amp;Result=3","7167760")</f>
        <v>0</v>
      </c>
      <c r="B2502" t="s">
        <v>1101</v>
      </c>
      <c r="C2502" t="s">
        <v>6292</v>
      </c>
      <c r="D2502" t="s">
        <v>19047</v>
      </c>
      <c r="E2502" t="s">
        <v>21382</v>
      </c>
      <c r="F2502" t="s">
        <v>32831</v>
      </c>
      <c r="G2502" t="s">
        <v>32838</v>
      </c>
      <c r="H2502" t="s">
        <v>32848</v>
      </c>
      <c r="I2502" t="s">
        <v>10805</v>
      </c>
      <c r="J2502" t="s">
        <v>34686</v>
      </c>
      <c r="K2502" t="s">
        <v>42727</v>
      </c>
      <c r="M2502" t="s">
        <v>44161</v>
      </c>
      <c r="N2502" t="s">
        <v>47424</v>
      </c>
      <c r="O2502" t="s">
        <v>47425</v>
      </c>
      <c r="P2502">
        <v>0</v>
      </c>
      <c r="Q2502">
        <v>0</v>
      </c>
      <c r="R2502" t="s">
        <v>47429</v>
      </c>
      <c r="S2502" t="s">
        <v>47542</v>
      </c>
      <c r="T2502" t="s">
        <v>49091</v>
      </c>
      <c r="U2502" t="s">
        <v>51799</v>
      </c>
      <c r="W2502" t="s">
        <v>44161</v>
      </c>
      <c r="X2502" t="s">
        <v>47426</v>
      </c>
    </row>
    <row r="2503" spans="1:24">
      <c r="A2503">
        <f>HYPERLINK("https://www.philgeps.gov.ph/GEPSNONPILOT/Tender/SplashBidNoticeAbstractUI.aspx?menuIndex=3&amp;refID=7167764&amp;Result=3","7167764")</f>
        <v>0</v>
      </c>
      <c r="B2503" t="s">
        <v>1102</v>
      </c>
      <c r="C2503" t="s">
        <v>6293</v>
      </c>
      <c r="D2503" t="s">
        <v>19045</v>
      </c>
      <c r="E2503" t="s">
        <v>21383</v>
      </c>
      <c r="F2503" t="s">
        <v>32831</v>
      </c>
      <c r="G2503" t="s">
        <v>32839</v>
      </c>
      <c r="H2503" t="s">
        <v>32848</v>
      </c>
      <c r="I2503" t="s">
        <v>7416</v>
      </c>
      <c r="J2503" t="s">
        <v>34687</v>
      </c>
      <c r="K2503" t="s">
        <v>42770</v>
      </c>
      <c r="M2503" t="s">
        <v>44162</v>
      </c>
      <c r="N2503" t="s">
        <v>47424</v>
      </c>
      <c r="O2503" t="s">
        <v>47425</v>
      </c>
      <c r="P2503">
        <v>0</v>
      </c>
      <c r="Q2503">
        <v>0</v>
      </c>
      <c r="R2503" t="s">
        <v>47429</v>
      </c>
      <c r="S2503" t="s">
        <v>47542</v>
      </c>
      <c r="T2503" t="s">
        <v>49080</v>
      </c>
      <c r="U2503" t="s">
        <v>51800</v>
      </c>
      <c r="W2503" t="s">
        <v>44162</v>
      </c>
      <c r="X2503" t="s">
        <v>47426</v>
      </c>
    </row>
    <row r="2504" spans="1:24">
      <c r="A2504">
        <f>HYPERLINK("https://www.philgeps.gov.ph/GEPSNONPILOT/Tender/SplashBidNoticeAbstractUI.aspx?menuIndex=3&amp;refID=7167758&amp;Result=3","7167758")</f>
        <v>0</v>
      </c>
      <c r="B2504" t="s">
        <v>1103</v>
      </c>
      <c r="C2504" t="s">
        <v>6294</v>
      </c>
      <c r="D2504" t="s">
        <v>19034</v>
      </c>
      <c r="E2504" t="s">
        <v>19606</v>
      </c>
      <c r="F2504" t="s">
        <v>32831</v>
      </c>
      <c r="G2504" t="s">
        <v>32839</v>
      </c>
      <c r="H2504" t="s">
        <v>32848</v>
      </c>
      <c r="I2504" t="s">
        <v>7416</v>
      </c>
      <c r="J2504" t="s">
        <v>34688</v>
      </c>
      <c r="K2504" t="s">
        <v>42748</v>
      </c>
      <c r="M2504" t="s">
        <v>44163</v>
      </c>
      <c r="N2504" t="s">
        <v>47424</v>
      </c>
      <c r="O2504" t="s">
        <v>47425</v>
      </c>
      <c r="P2504">
        <v>0</v>
      </c>
      <c r="Q2504">
        <v>0</v>
      </c>
      <c r="R2504" t="s">
        <v>47429</v>
      </c>
      <c r="S2504" t="s">
        <v>47542</v>
      </c>
      <c r="T2504" t="s">
        <v>49196</v>
      </c>
      <c r="U2504" t="s">
        <v>51801</v>
      </c>
      <c r="W2504" t="s">
        <v>44163</v>
      </c>
      <c r="X2504" t="s">
        <v>47426</v>
      </c>
    </row>
    <row r="2505" spans="1:24">
      <c r="A2505">
        <f>HYPERLINK("https://www.philgeps.gov.ph/GEPSNONPILOT/Tender/SplashBidNoticeAbstractUI.aspx?menuIndex=3&amp;refID=7167756&amp;Result=3","7167756")</f>
        <v>0</v>
      </c>
      <c r="B2505" t="s">
        <v>801</v>
      </c>
      <c r="C2505" t="s">
        <v>6295</v>
      </c>
      <c r="D2505" t="s">
        <v>19041</v>
      </c>
      <c r="E2505" t="s">
        <v>21384</v>
      </c>
      <c r="F2505" t="s">
        <v>32831</v>
      </c>
      <c r="G2505" t="s">
        <v>32841</v>
      </c>
      <c r="H2505" t="s">
        <v>32849</v>
      </c>
      <c r="I2505" t="s">
        <v>4177</v>
      </c>
      <c r="J2505" t="s">
        <v>34689</v>
      </c>
      <c r="K2505" t="s">
        <v>42743</v>
      </c>
      <c r="M2505" t="s">
        <v>43831</v>
      </c>
      <c r="N2505" t="s">
        <v>47424</v>
      </c>
      <c r="O2505" t="s">
        <v>47425</v>
      </c>
      <c r="P2505">
        <v>0</v>
      </c>
      <c r="Q2505">
        <v>0</v>
      </c>
      <c r="R2505" t="s">
        <v>47429</v>
      </c>
      <c r="S2505" t="s">
        <v>47542</v>
      </c>
      <c r="T2505" t="s">
        <v>49069</v>
      </c>
      <c r="U2505" t="s">
        <v>51802</v>
      </c>
      <c r="W2505" t="s">
        <v>43831</v>
      </c>
      <c r="X2505" t="s">
        <v>47426</v>
      </c>
    </row>
    <row r="2506" spans="1:24">
      <c r="A2506">
        <f>HYPERLINK("https://www.philgeps.gov.ph/GEPSNONPILOT/Tender/SplashBidNoticeAbstractUI.aspx?menuIndex=3&amp;refID=7167757&amp;Result=3","7167757")</f>
        <v>0</v>
      </c>
      <c r="B2506" t="s">
        <v>992</v>
      </c>
      <c r="C2506" t="s">
        <v>6296</v>
      </c>
      <c r="D2506" t="s">
        <v>19030</v>
      </c>
      <c r="E2506" t="s">
        <v>21385</v>
      </c>
      <c r="F2506" t="s">
        <v>32831</v>
      </c>
      <c r="G2506" t="s">
        <v>32840</v>
      </c>
      <c r="H2506" t="s">
        <v>32848</v>
      </c>
      <c r="I2506" t="s">
        <v>7416</v>
      </c>
      <c r="J2506" t="s">
        <v>34690</v>
      </c>
      <c r="K2506" t="s">
        <v>42758</v>
      </c>
      <c r="M2506" t="s">
        <v>44041</v>
      </c>
      <c r="N2506" t="s">
        <v>47424</v>
      </c>
      <c r="O2506" t="s">
        <v>47425</v>
      </c>
      <c r="P2506">
        <v>0</v>
      </c>
      <c r="Q2506">
        <v>0</v>
      </c>
      <c r="R2506" t="s">
        <v>47429</v>
      </c>
      <c r="S2506" t="s">
        <v>47542</v>
      </c>
      <c r="T2506" t="s">
        <v>49108</v>
      </c>
      <c r="U2506" t="s">
        <v>51803</v>
      </c>
      <c r="W2506" t="s">
        <v>44041</v>
      </c>
      <c r="X2506" t="s">
        <v>47426</v>
      </c>
    </row>
    <row r="2507" spans="1:24">
      <c r="A2507">
        <f>HYPERLINK("https://www.philgeps.gov.ph/GEPSNONPILOT/Tender/SplashBidNoticeAbstractUI.aspx?menuIndex=3&amp;refID=7167761&amp;Result=3","7167761")</f>
        <v>0</v>
      </c>
      <c r="B2507" t="s">
        <v>992</v>
      </c>
      <c r="C2507" t="s">
        <v>6297</v>
      </c>
      <c r="D2507" t="s">
        <v>19030</v>
      </c>
      <c r="E2507" t="s">
        <v>21386</v>
      </c>
      <c r="F2507" t="s">
        <v>32831</v>
      </c>
      <c r="G2507" t="s">
        <v>32840</v>
      </c>
      <c r="H2507" t="s">
        <v>32848</v>
      </c>
      <c r="I2507" t="s">
        <v>7416</v>
      </c>
      <c r="J2507" t="s">
        <v>34691</v>
      </c>
      <c r="K2507" t="s">
        <v>42758</v>
      </c>
      <c r="M2507" t="s">
        <v>44041</v>
      </c>
      <c r="N2507" t="s">
        <v>47424</v>
      </c>
      <c r="O2507" t="s">
        <v>47425</v>
      </c>
      <c r="P2507">
        <v>0</v>
      </c>
      <c r="Q2507">
        <v>0</v>
      </c>
      <c r="R2507" t="s">
        <v>47429</v>
      </c>
      <c r="S2507" t="s">
        <v>47542</v>
      </c>
      <c r="T2507" t="s">
        <v>49108</v>
      </c>
      <c r="U2507" t="s">
        <v>51804</v>
      </c>
      <c r="W2507" t="s">
        <v>44041</v>
      </c>
      <c r="X2507" t="s">
        <v>47426</v>
      </c>
    </row>
    <row r="2508" spans="1:24">
      <c r="A2508">
        <f>HYPERLINK("https://www.philgeps.gov.ph/GEPSNONPILOT/Tender/SplashBidNoticeAbstractUI.aspx?menuIndex=3&amp;refID=7164365&amp;Result=3","7164365")</f>
        <v>0</v>
      </c>
      <c r="B2508" t="s">
        <v>1104</v>
      </c>
      <c r="C2508" t="s">
        <v>6298</v>
      </c>
      <c r="D2508" t="s">
        <v>19044</v>
      </c>
      <c r="E2508" t="s">
        <v>21387</v>
      </c>
      <c r="F2508" t="s">
        <v>32831</v>
      </c>
      <c r="G2508" t="s">
        <v>32839</v>
      </c>
      <c r="H2508" t="s">
        <v>32849</v>
      </c>
      <c r="I2508" t="s">
        <v>4177</v>
      </c>
      <c r="J2508" t="s">
        <v>32983</v>
      </c>
      <c r="K2508" t="s">
        <v>42730</v>
      </c>
      <c r="M2508" t="s">
        <v>44164</v>
      </c>
      <c r="N2508" t="s">
        <v>47424</v>
      </c>
      <c r="O2508" t="s">
        <v>47425</v>
      </c>
      <c r="P2508">
        <v>0</v>
      </c>
      <c r="Q2508">
        <v>0</v>
      </c>
      <c r="R2508" t="s">
        <v>47427</v>
      </c>
      <c r="S2508" t="s">
        <v>47540</v>
      </c>
      <c r="T2508" t="s">
        <v>49071</v>
      </c>
      <c r="U2508" t="s">
        <v>51805</v>
      </c>
      <c r="V2508" t="s">
        <v>62886</v>
      </c>
      <c r="W2508" t="s">
        <v>44164</v>
      </c>
      <c r="X2508" t="s">
        <v>47428</v>
      </c>
    </row>
    <row r="2509" spans="1:24">
      <c r="A2509">
        <f>HYPERLINK("https://www.philgeps.gov.ph/GEPSNONPILOT/Tender/SplashBidNoticeAbstractUI.aspx?menuIndex=3&amp;refID=7167765&amp;Result=3","7167765")</f>
        <v>0</v>
      </c>
      <c r="B2509" t="s">
        <v>992</v>
      </c>
      <c r="C2509" t="s">
        <v>6299</v>
      </c>
      <c r="D2509" t="s">
        <v>19030</v>
      </c>
      <c r="E2509" t="s">
        <v>21388</v>
      </c>
      <c r="F2509" t="s">
        <v>32831</v>
      </c>
      <c r="G2509" t="s">
        <v>32840</v>
      </c>
      <c r="H2509" t="s">
        <v>32848</v>
      </c>
      <c r="I2509" t="s">
        <v>7416</v>
      </c>
      <c r="J2509" t="s">
        <v>34692</v>
      </c>
      <c r="K2509" t="s">
        <v>42758</v>
      </c>
      <c r="M2509" t="s">
        <v>44041</v>
      </c>
      <c r="N2509" t="s">
        <v>47424</v>
      </c>
      <c r="O2509" t="s">
        <v>47425</v>
      </c>
      <c r="P2509">
        <v>0</v>
      </c>
      <c r="Q2509">
        <v>0</v>
      </c>
      <c r="R2509" t="s">
        <v>47429</v>
      </c>
      <c r="S2509" t="s">
        <v>47542</v>
      </c>
      <c r="T2509" t="s">
        <v>49108</v>
      </c>
      <c r="U2509" t="s">
        <v>51806</v>
      </c>
      <c r="W2509" t="s">
        <v>44041</v>
      </c>
      <c r="X2509" t="s">
        <v>47426</v>
      </c>
    </row>
    <row r="2510" spans="1:24">
      <c r="A2510">
        <f>HYPERLINK("https://www.philgeps.gov.ph/GEPSNONPILOT/Tender/SplashBidNoticeAbstractUI.aspx?menuIndex=3&amp;refID=7164053&amp;Result=3","7164053")</f>
        <v>0</v>
      </c>
      <c r="B2510" t="s">
        <v>315</v>
      </c>
      <c r="C2510" t="s">
        <v>6300</v>
      </c>
      <c r="D2510" t="s">
        <v>19086</v>
      </c>
      <c r="E2510" t="s">
        <v>21389</v>
      </c>
      <c r="F2510" t="s">
        <v>32835</v>
      </c>
      <c r="G2510" t="s">
        <v>32839</v>
      </c>
      <c r="H2510" t="s">
        <v>32849</v>
      </c>
      <c r="I2510" t="s">
        <v>4177</v>
      </c>
      <c r="J2510" t="s">
        <v>34693</v>
      </c>
      <c r="K2510" t="s">
        <v>42730</v>
      </c>
      <c r="M2510" t="s">
        <v>43317</v>
      </c>
      <c r="N2510" t="s">
        <v>47424</v>
      </c>
      <c r="O2510" t="s">
        <v>47425</v>
      </c>
      <c r="P2510">
        <v>0</v>
      </c>
      <c r="Q2510">
        <v>0</v>
      </c>
      <c r="R2510" t="s">
        <v>47426</v>
      </c>
      <c r="S2510" t="s">
        <v>47531</v>
      </c>
      <c r="T2510" t="s">
        <v>49078</v>
      </c>
      <c r="U2510" t="s">
        <v>51807</v>
      </c>
      <c r="W2510" t="s">
        <v>43317</v>
      </c>
      <c r="X2510" t="s">
        <v>47430</v>
      </c>
    </row>
    <row r="2511" spans="1:24">
      <c r="A2511">
        <f>HYPERLINK("https://www.philgeps.gov.ph/GEPSNONPILOT/Tender/SplashBidNoticeAbstractUI.aspx?menuIndex=3&amp;refID=7164056&amp;Result=3","7164056")</f>
        <v>0</v>
      </c>
      <c r="B2511" t="s">
        <v>315</v>
      </c>
      <c r="C2511" t="s">
        <v>6301</v>
      </c>
      <c r="D2511" t="s">
        <v>19086</v>
      </c>
      <c r="E2511" t="s">
        <v>21390</v>
      </c>
      <c r="F2511" t="s">
        <v>32831</v>
      </c>
      <c r="G2511" t="s">
        <v>32839</v>
      </c>
      <c r="H2511" t="s">
        <v>32849</v>
      </c>
      <c r="I2511" t="s">
        <v>4177</v>
      </c>
      <c r="J2511" t="s">
        <v>34694</v>
      </c>
      <c r="K2511" t="s">
        <v>42746</v>
      </c>
      <c r="M2511" t="s">
        <v>43317</v>
      </c>
      <c r="N2511" t="s">
        <v>47424</v>
      </c>
      <c r="O2511" t="s">
        <v>47425</v>
      </c>
      <c r="P2511">
        <v>0</v>
      </c>
      <c r="Q2511">
        <v>0</v>
      </c>
      <c r="R2511" t="s">
        <v>47426</v>
      </c>
      <c r="S2511" t="s">
        <v>47531</v>
      </c>
      <c r="T2511" t="s">
        <v>49059</v>
      </c>
      <c r="U2511" t="s">
        <v>51808</v>
      </c>
      <c r="W2511" t="s">
        <v>43317</v>
      </c>
      <c r="X2511" t="s">
        <v>47430</v>
      </c>
    </row>
    <row r="2512" spans="1:24">
      <c r="A2512">
        <f>HYPERLINK("https://www.philgeps.gov.ph/GEPSNONPILOT/Tender/SplashBidNoticeAbstractUI.aspx?menuIndex=3&amp;refID=7163109&amp;Result=3","7163109")</f>
        <v>0</v>
      </c>
      <c r="B2512" t="s">
        <v>199</v>
      </c>
      <c r="C2512" t="s">
        <v>6302</v>
      </c>
      <c r="D2512" t="s">
        <v>19017</v>
      </c>
      <c r="E2512" t="s">
        <v>21391</v>
      </c>
      <c r="F2512" t="s">
        <v>32831</v>
      </c>
      <c r="G2512" t="s">
        <v>32838</v>
      </c>
      <c r="H2512" t="s">
        <v>32848</v>
      </c>
      <c r="I2512" t="s">
        <v>4558</v>
      </c>
      <c r="J2512" t="s">
        <v>34695</v>
      </c>
      <c r="K2512" t="s">
        <v>42731</v>
      </c>
      <c r="M2512" t="s">
        <v>43197</v>
      </c>
      <c r="N2512" t="s">
        <v>47424</v>
      </c>
      <c r="O2512" t="s">
        <v>47425</v>
      </c>
      <c r="P2512">
        <v>0</v>
      </c>
      <c r="Q2512">
        <v>2</v>
      </c>
      <c r="R2512" t="s">
        <v>47426</v>
      </c>
      <c r="S2512" t="s">
        <v>47531</v>
      </c>
      <c r="T2512" t="s">
        <v>49123</v>
      </c>
      <c r="U2512" t="s">
        <v>51809</v>
      </c>
      <c r="W2512" t="s">
        <v>43197</v>
      </c>
      <c r="X2512" t="s">
        <v>47430</v>
      </c>
    </row>
    <row r="2513" spans="1:24">
      <c r="A2513">
        <f>HYPERLINK("https://www.philgeps.gov.ph/GEPSNONPILOT/Tender/SplashBidNoticeAbstractUI.aspx?menuIndex=3&amp;refID=7163108&amp;Result=3","7163108")</f>
        <v>0</v>
      </c>
      <c r="B2513" t="s">
        <v>266</v>
      </c>
      <c r="C2513" t="s">
        <v>6303</v>
      </c>
      <c r="E2513" t="s">
        <v>21392</v>
      </c>
      <c r="F2513" t="s">
        <v>32831</v>
      </c>
      <c r="G2513" t="s">
        <v>32838</v>
      </c>
      <c r="H2513" t="s">
        <v>32850</v>
      </c>
      <c r="I2513" t="s">
        <v>32863</v>
      </c>
      <c r="J2513" t="s">
        <v>34696</v>
      </c>
      <c r="K2513" t="s">
        <v>42730</v>
      </c>
      <c r="M2513" t="s">
        <v>43265</v>
      </c>
      <c r="N2513" t="s">
        <v>47424</v>
      </c>
      <c r="O2513" t="s">
        <v>47425</v>
      </c>
      <c r="Q2513">
        <v>0</v>
      </c>
      <c r="R2513" t="s">
        <v>47426</v>
      </c>
      <c r="S2513" t="s">
        <v>47543</v>
      </c>
      <c r="T2513" t="s">
        <v>49073</v>
      </c>
      <c r="U2513" t="s">
        <v>51810</v>
      </c>
      <c r="W2513" t="s">
        <v>43265</v>
      </c>
      <c r="X2513" t="s">
        <v>47430</v>
      </c>
    </row>
    <row r="2514" spans="1:24">
      <c r="A2514">
        <f>HYPERLINK("https://www.philgeps.gov.ph/GEPSNONPILOT/Tender/SplashBidNoticeAbstractUI.aspx?menuIndex=3&amp;refID=7167777&amp;Result=3","7167777")</f>
        <v>0</v>
      </c>
      <c r="B2514" t="s">
        <v>995</v>
      </c>
      <c r="C2514" t="s">
        <v>6304</v>
      </c>
      <c r="D2514" t="s">
        <v>19040</v>
      </c>
      <c r="E2514" t="s">
        <v>21393</v>
      </c>
      <c r="F2514" t="s">
        <v>32831</v>
      </c>
      <c r="G2514" t="s">
        <v>32840</v>
      </c>
      <c r="H2514" t="s">
        <v>32848</v>
      </c>
      <c r="I2514" t="s">
        <v>4222</v>
      </c>
      <c r="J2514" t="s">
        <v>34697</v>
      </c>
      <c r="K2514" t="s">
        <v>42727</v>
      </c>
      <c r="M2514" t="s">
        <v>44044</v>
      </c>
      <c r="N2514" t="s">
        <v>47424</v>
      </c>
      <c r="O2514" t="s">
        <v>47425</v>
      </c>
      <c r="P2514">
        <v>0</v>
      </c>
      <c r="Q2514">
        <v>0</v>
      </c>
      <c r="R2514" t="s">
        <v>47429</v>
      </c>
      <c r="S2514" t="s">
        <v>47542</v>
      </c>
      <c r="T2514" t="s">
        <v>49066</v>
      </c>
      <c r="U2514" t="s">
        <v>51811</v>
      </c>
      <c r="V2514" t="s">
        <v>62891</v>
      </c>
      <c r="W2514" t="s">
        <v>44044</v>
      </c>
      <c r="X2514" t="s">
        <v>47426</v>
      </c>
    </row>
    <row r="2515" spans="1:24">
      <c r="A2515">
        <f>HYPERLINK("https://www.philgeps.gov.ph/GEPSNONPILOT/Tender/SplashBidNoticeAbstractUI.aspx?menuIndex=3&amp;refID=7167797&amp;Result=3","7167797")</f>
        <v>0</v>
      </c>
      <c r="B2515" t="s">
        <v>992</v>
      </c>
      <c r="C2515" t="s">
        <v>6305</v>
      </c>
      <c r="D2515" t="s">
        <v>19030</v>
      </c>
      <c r="E2515" t="s">
        <v>21394</v>
      </c>
      <c r="F2515" t="s">
        <v>32831</v>
      </c>
      <c r="G2515" t="s">
        <v>32840</v>
      </c>
      <c r="H2515" t="s">
        <v>32848</v>
      </c>
      <c r="I2515" t="s">
        <v>4471</v>
      </c>
      <c r="J2515" t="s">
        <v>34698</v>
      </c>
      <c r="K2515" t="s">
        <v>42758</v>
      </c>
      <c r="M2515" t="s">
        <v>44041</v>
      </c>
      <c r="N2515" t="s">
        <v>47424</v>
      </c>
      <c r="O2515" t="s">
        <v>47425</v>
      </c>
      <c r="P2515">
        <v>0</v>
      </c>
      <c r="Q2515">
        <v>0</v>
      </c>
      <c r="R2515" t="s">
        <v>47429</v>
      </c>
      <c r="S2515" t="s">
        <v>47542</v>
      </c>
      <c r="T2515" t="s">
        <v>49108</v>
      </c>
      <c r="U2515" t="s">
        <v>51812</v>
      </c>
      <c r="W2515" t="s">
        <v>44041</v>
      </c>
      <c r="X2515" t="s">
        <v>47426</v>
      </c>
    </row>
    <row r="2516" spans="1:24">
      <c r="A2516">
        <f>HYPERLINK("https://www.philgeps.gov.ph/GEPSNONPILOT/Tender/SplashBidNoticeAbstractUI.aspx?menuIndex=3&amp;refID=7167759&amp;Result=3","7167759")</f>
        <v>0</v>
      </c>
      <c r="B2516" t="s">
        <v>1105</v>
      </c>
      <c r="C2516" t="s">
        <v>6306</v>
      </c>
      <c r="D2516" t="s">
        <v>19030</v>
      </c>
      <c r="E2516" t="s">
        <v>21395</v>
      </c>
      <c r="F2516" t="s">
        <v>32831</v>
      </c>
      <c r="G2516" t="s">
        <v>32839</v>
      </c>
      <c r="H2516" t="s">
        <v>32849</v>
      </c>
      <c r="I2516" t="s">
        <v>4177</v>
      </c>
      <c r="J2516" t="s">
        <v>33083</v>
      </c>
      <c r="K2516" t="s">
        <v>42729</v>
      </c>
      <c r="M2516" t="s">
        <v>44165</v>
      </c>
      <c r="N2516" t="s">
        <v>47424</v>
      </c>
      <c r="O2516" t="s">
        <v>47425</v>
      </c>
      <c r="P2516">
        <v>0</v>
      </c>
      <c r="Q2516">
        <v>0</v>
      </c>
      <c r="R2516" t="s">
        <v>47429</v>
      </c>
      <c r="S2516" t="s">
        <v>47542</v>
      </c>
      <c r="T2516" t="s">
        <v>49077</v>
      </c>
      <c r="U2516" t="s">
        <v>51813</v>
      </c>
      <c r="W2516" t="s">
        <v>44165</v>
      </c>
      <c r="X2516" t="s">
        <v>47426</v>
      </c>
    </row>
    <row r="2517" spans="1:24">
      <c r="A2517">
        <f>HYPERLINK("https://www.philgeps.gov.ph/GEPSNONPILOT/Tender/SplashBidNoticeAbstractUI.aspx?menuIndex=3&amp;refID=7167795&amp;Result=3","7167795")</f>
        <v>0</v>
      </c>
      <c r="B2517" t="s">
        <v>471</v>
      </c>
      <c r="C2517" t="s">
        <v>6307</v>
      </c>
      <c r="D2517" t="s">
        <v>19027</v>
      </c>
      <c r="E2517" t="s">
        <v>21396</v>
      </c>
      <c r="F2517" t="s">
        <v>32831</v>
      </c>
      <c r="G2517" t="s">
        <v>32838</v>
      </c>
      <c r="H2517" t="s">
        <v>32848</v>
      </c>
      <c r="I2517" t="s">
        <v>32881</v>
      </c>
      <c r="J2517" t="s">
        <v>32980</v>
      </c>
      <c r="K2517" t="s">
        <v>42727</v>
      </c>
      <c r="M2517" t="s">
        <v>43476</v>
      </c>
      <c r="N2517" t="s">
        <v>47424</v>
      </c>
      <c r="O2517" t="s">
        <v>47425</v>
      </c>
      <c r="P2517">
        <v>0</v>
      </c>
      <c r="Q2517">
        <v>0</v>
      </c>
      <c r="R2517" t="s">
        <v>47429</v>
      </c>
      <c r="S2517" t="s">
        <v>47542</v>
      </c>
      <c r="T2517" t="s">
        <v>49091</v>
      </c>
      <c r="U2517" t="s">
        <v>51814</v>
      </c>
      <c r="W2517" t="s">
        <v>43476</v>
      </c>
      <c r="X2517" t="s">
        <v>47426</v>
      </c>
    </row>
    <row r="2518" spans="1:24">
      <c r="A2518">
        <f>HYPERLINK("https://www.philgeps.gov.ph/GEPSNONPILOT/Tender/SplashBidNoticeAbstractUI.aspx?menuIndex=3&amp;refID=7167794&amp;Result=3","7167794")</f>
        <v>0</v>
      </c>
      <c r="B2518" t="s">
        <v>1106</v>
      </c>
      <c r="C2518" t="s">
        <v>6308</v>
      </c>
      <c r="D2518" t="s">
        <v>19045</v>
      </c>
      <c r="E2518" t="s">
        <v>21397</v>
      </c>
      <c r="F2518" t="s">
        <v>32831</v>
      </c>
      <c r="G2518" t="s">
        <v>32838</v>
      </c>
      <c r="H2518" t="s">
        <v>32848</v>
      </c>
      <c r="I2518" t="s">
        <v>11484</v>
      </c>
      <c r="J2518" t="s">
        <v>34699</v>
      </c>
      <c r="K2518" t="s">
        <v>42730</v>
      </c>
      <c r="M2518" t="s">
        <v>44166</v>
      </c>
      <c r="N2518" t="s">
        <v>47424</v>
      </c>
      <c r="O2518" t="s">
        <v>47425</v>
      </c>
      <c r="P2518">
        <v>0</v>
      </c>
      <c r="Q2518">
        <v>0</v>
      </c>
      <c r="R2518" t="s">
        <v>47429</v>
      </c>
      <c r="S2518" t="s">
        <v>47542</v>
      </c>
      <c r="T2518" t="s">
        <v>49105</v>
      </c>
      <c r="U2518" t="s">
        <v>51815</v>
      </c>
      <c r="W2518" t="s">
        <v>44166</v>
      </c>
      <c r="X2518" t="s">
        <v>47426</v>
      </c>
    </row>
    <row r="2519" spans="1:24">
      <c r="A2519">
        <f>HYPERLINK("https://www.philgeps.gov.ph/GEPSNONPILOT/Tender/SplashBidNoticeAbstractUI.aspx?menuIndex=3&amp;refID=7167738&amp;Result=3","7167738")</f>
        <v>0</v>
      </c>
      <c r="B2519" t="s">
        <v>1092</v>
      </c>
      <c r="C2519" t="s">
        <v>6309</v>
      </c>
      <c r="D2519" t="s">
        <v>19067</v>
      </c>
      <c r="E2519" t="s">
        <v>21398</v>
      </c>
      <c r="F2519" t="s">
        <v>32831</v>
      </c>
      <c r="G2519" t="s">
        <v>32838</v>
      </c>
      <c r="H2519" t="s">
        <v>32848</v>
      </c>
      <c r="I2519" t="s">
        <v>7416</v>
      </c>
      <c r="J2519" t="s">
        <v>34700</v>
      </c>
      <c r="K2519" t="s">
        <v>42732</v>
      </c>
      <c r="M2519" t="s">
        <v>44151</v>
      </c>
      <c r="N2519" t="s">
        <v>47424</v>
      </c>
      <c r="O2519" t="s">
        <v>47425</v>
      </c>
      <c r="P2519">
        <v>0</v>
      </c>
      <c r="Q2519">
        <v>0</v>
      </c>
      <c r="R2519" t="s">
        <v>47429</v>
      </c>
      <c r="S2519" t="s">
        <v>47542</v>
      </c>
      <c r="T2519" t="s">
        <v>49104</v>
      </c>
      <c r="U2519" t="s">
        <v>51783</v>
      </c>
      <c r="W2519" t="s">
        <v>44151</v>
      </c>
      <c r="X2519" t="s">
        <v>47426</v>
      </c>
    </row>
    <row r="2520" spans="1:24">
      <c r="A2520">
        <f>HYPERLINK("https://www.philgeps.gov.ph/GEPSNONPILOT/Tender/SplashBidNoticeAbstractUI.aspx?menuIndex=3&amp;refID=7167793&amp;Result=3","7167793")</f>
        <v>0</v>
      </c>
      <c r="B2520" t="s">
        <v>1079</v>
      </c>
      <c r="C2520" t="s">
        <v>4067</v>
      </c>
      <c r="D2520" t="s">
        <v>19022</v>
      </c>
      <c r="E2520" t="s">
        <v>21399</v>
      </c>
      <c r="F2520" t="s">
        <v>32831</v>
      </c>
      <c r="G2520" t="s">
        <v>32838</v>
      </c>
      <c r="H2520" t="s">
        <v>32848</v>
      </c>
      <c r="I2520" t="s">
        <v>32860</v>
      </c>
      <c r="J2520" t="s">
        <v>34701</v>
      </c>
      <c r="K2520" t="s">
        <v>42748</v>
      </c>
      <c r="M2520" t="s">
        <v>44137</v>
      </c>
      <c r="N2520" t="s">
        <v>47424</v>
      </c>
      <c r="O2520" t="s">
        <v>47425</v>
      </c>
      <c r="P2520">
        <v>0</v>
      </c>
      <c r="Q2520">
        <v>0</v>
      </c>
      <c r="R2520" t="s">
        <v>47429</v>
      </c>
      <c r="S2520" t="s">
        <v>47542</v>
      </c>
      <c r="T2520" t="s">
        <v>49104</v>
      </c>
      <c r="U2520" t="s">
        <v>51816</v>
      </c>
      <c r="V2520" t="s">
        <v>62892</v>
      </c>
      <c r="W2520" t="s">
        <v>44137</v>
      </c>
      <c r="X2520" t="s">
        <v>47426</v>
      </c>
    </row>
    <row r="2521" spans="1:24">
      <c r="A2521">
        <f>HYPERLINK("https://www.philgeps.gov.ph/GEPSNONPILOT/Tender/SplashBidNoticeAbstractUI.aspx?menuIndex=3&amp;refID=7167791&amp;Result=3","7167791")</f>
        <v>0</v>
      </c>
      <c r="B2521" t="s">
        <v>1107</v>
      </c>
      <c r="C2521" t="s">
        <v>6310</v>
      </c>
      <c r="D2521" t="s">
        <v>19034</v>
      </c>
      <c r="E2521" t="s">
        <v>21400</v>
      </c>
      <c r="F2521" t="s">
        <v>32831</v>
      </c>
      <c r="G2521" t="s">
        <v>32839</v>
      </c>
      <c r="H2521" t="s">
        <v>32848</v>
      </c>
      <c r="I2521" t="s">
        <v>7416</v>
      </c>
      <c r="J2521" t="s">
        <v>34702</v>
      </c>
      <c r="K2521" t="s">
        <v>42748</v>
      </c>
      <c r="M2521" t="s">
        <v>44167</v>
      </c>
      <c r="N2521" t="s">
        <v>47424</v>
      </c>
      <c r="O2521" t="s">
        <v>47425</v>
      </c>
      <c r="P2521">
        <v>0</v>
      </c>
      <c r="Q2521">
        <v>0</v>
      </c>
      <c r="R2521" t="s">
        <v>47429</v>
      </c>
      <c r="S2521" t="s">
        <v>47542</v>
      </c>
      <c r="T2521" t="s">
        <v>49196</v>
      </c>
      <c r="U2521" t="s">
        <v>51817</v>
      </c>
      <c r="W2521" t="s">
        <v>44167</v>
      </c>
      <c r="X2521" t="s">
        <v>47426</v>
      </c>
    </row>
    <row r="2522" spans="1:24">
      <c r="A2522">
        <f>HYPERLINK("https://www.philgeps.gov.ph/GEPSNONPILOT/Tender/SplashBidNoticeAbstractUI.aspx?menuIndex=3&amp;refID=7167790&amp;Result=3","7167790")</f>
        <v>0</v>
      </c>
      <c r="B2522" t="s">
        <v>992</v>
      </c>
      <c r="C2522" t="s">
        <v>6311</v>
      </c>
      <c r="D2522" t="s">
        <v>19030</v>
      </c>
      <c r="E2522" t="s">
        <v>21401</v>
      </c>
      <c r="F2522" t="s">
        <v>32831</v>
      </c>
      <c r="G2522" t="s">
        <v>32840</v>
      </c>
      <c r="H2522" t="s">
        <v>32848</v>
      </c>
      <c r="I2522" t="s">
        <v>7416</v>
      </c>
      <c r="J2522" t="s">
        <v>34703</v>
      </c>
      <c r="K2522" t="s">
        <v>42758</v>
      </c>
      <c r="M2522" t="s">
        <v>44041</v>
      </c>
      <c r="N2522" t="s">
        <v>47424</v>
      </c>
      <c r="O2522" t="s">
        <v>47425</v>
      </c>
      <c r="P2522">
        <v>0</v>
      </c>
      <c r="Q2522">
        <v>0</v>
      </c>
      <c r="R2522" t="s">
        <v>47429</v>
      </c>
      <c r="S2522" t="s">
        <v>47542</v>
      </c>
      <c r="T2522" t="s">
        <v>49108</v>
      </c>
      <c r="U2522" t="s">
        <v>51818</v>
      </c>
      <c r="W2522" t="s">
        <v>44041</v>
      </c>
      <c r="X2522" t="s">
        <v>47426</v>
      </c>
    </row>
    <row r="2523" spans="1:24">
      <c r="A2523">
        <f>HYPERLINK("https://www.philgeps.gov.ph/GEPSNONPILOT/Tender/SplashBidNoticeAbstractUI.aspx?menuIndex=3&amp;refID=7167789&amp;Result=3","7167789")</f>
        <v>0</v>
      </c>
      <c r="B2523" t="s">
        <v>1108</v>
      </c>
      <c r="C2523" t="s">
        <v>6312</v>
      </c>
      <c r="D2523" t="s">
        <v>19030</v>
      </c>
      <c r="E2523" t="s">
        <v>21402</v>
      </c>
      <c r="F2523" t="s">
        <v>32831</v>
      </c>
      <c r="G2523" t="s">
        <v>32840</v>
      </c>
      <c r="H2523" t="s">
        <v>32848</v>
      </c>
      <c r="I2523" t="s">
        <v>32864</v>
      </c>
      <c r="J2523" t="s">
        <v>32983</v>
      </c>
      <c r="K2523" t="s">
        <v>42730</v>
      </c>
      <c r="M2523" t="s">
        <v>44168</v>
      </c>
      <c r="N2523" t="s">
        <v>47424</v>
      </c>
      <c r="O2523" t="s">
        <v>47425</v>
      </c>
      <c r="P2523">
        <v>0</v>
      </c>
      <c r="Q2523">
        <v>0</v>
      </c>
      <c r="R2523" t="s">
        <v>47429</v>
      </c>
      <c r="S2523" t="s">
        <v>47542</v>
      </c>
      <c r="T2523" t="s">
        <v>49119</v>
      </c>
      <c r="U2523" t="s">
        <v>51819</v>
      </c>
      <c r="W2523" t="s">
        <v>44168</v>
      </c>
      <c r="X2523" t="s">
        <v>47426</v>
      </c>
    </row>
    <row r="2524" spans="1:24">
      <c r="A2524">
        <f>HYPERLINK("https://www.philgeps.gov.ph/GEPSNONPILOT/Tender/SplashBidNoticeAbstractUI.aspx?menuIndex=3&amp;refID=7167796&amp;Result=3","7167796")</f>
        <v>0</v>
      </c>
      <c r="B2524" t="s">
        <v>1109</v>
      </c>
      <c r="C2524" t="s">
        <v>6313</v>
      </c>
      <c r="D2524" t="s">
        <v>19031</v>
      </c>
      <c r="E2524" t="s">
        <v>21403</v>
      </c>
      <c r="F2524" t="s">
        <v>32831</v>
      </c>
      <c r="G2524" t="s">
        <v>32839</v>
      </c>
      <c r="H2524" t="s">
        <v>32848</v>
      </c>
      <c r="I2524" t="s">
        <v>11727</v>
      </c>
      <c r="J2524" t="s">
        <v>34704</v>
      </c>
      <c r="K2524" t="s">
        <v>42750</v>
      </c>
      <c r="L2524" t="s">
        <v>1109</v>
      </c>
      <c r="M2524" t="s">
        <v>44169</v>
      </c>
      <c r="N2524" t="s">
        <v>47424</v>
      </c>
      <c r="O2524" t="s">
        <v>47425</v>
      </c>
      <c r="P2524">
        <v>0</v>
      </c>
      <c r="Q2524">
        <v>0</v>
      </c>
      <c r="R2524" t="s">
        <v>47429</v>
      </c>
      <c r="S2524" t="s">
        <v>47542</v>
      </c>
      <c r="T2524" t="s">
        <v>49080</v>
      </c>
      <c r="U2524" t="s">
        <v>51820</v>
      </c>
      <c r="W2524" t="s">
        <v>44169</v>
      </c>
      <c r="X2524" t="s">
        <v>47426</v>
      </c>
    </row>
    <row r="2525" spans="1:24">
      <c r="A2525">
        <f>HYPERLINK("https://www.philgeps.gov.ph/GEPSNONPILOT/Tender/SplashBidNoticeAbstractUI.aspx?menuIndex=3&amp;refID=7167787&amp;Result=3","7167787")</f>
        <v>0</v>
      </c>
      <c r="B2525" t="s">
        <v>1105</v>
      </c>
      <c r="C2525" t="s">
        <v>6314</v>
      </c>
      <c r="D2525" t="s">
        <v>19030</v>
      </c>
      <c r="E2525" t="s">
        <v>21404</v>
      </c>
      <c r="F2525" t="s">
        <v>32831</v>
      </c>
      <c r="G2525" t="s">
        <v>32838</v>
      </c>
      <c r="H2525" t="s">
        <v>32848</v>
      </c>
      <c r="I2525" t="s">
        <v>11484</v>
      </c>
      <c r="J2525" t="s">
        <v>32980</v>
      </c>
      <c r="K2525" t="s">
        <v>42727</v>
      </c>
      <c r="M2525" t="s">
        <v>44165</v>
      </c>
      <c r="N2525" t="s">
        <v>47424</v>
      </c>
      <c r="O2525" t="s">
        <v>47425</v>
      </c>
      <c r="P2525">
        <v>0</v>
      </c>
      <c r="Q2525">
        <v>0</v>
      </c>
      <c r="R2525" t="s">
        <v>47429</v>
      </c>
      <c r="S2525" t="s">
        <v>47542</v>
      </c>
      <c r="T2525" t="s">
        <v>49129</v>
      </c>
      <c r="U2525" t="s">
        <v>51821</v>
      </c>
      <c r="W2525" t="s">
        <v>44165</v>
      </c>
      <c r="X2525" t="s">
        <v>47426</v>
      </c>
    </row>
    <row r="2526" spans="1:24">
      <c r="A2526">
        <f>HYPERLINK("https://www.philgeps.gov.ph/GEPSNONPILOT/Tender/SplashBidNoticeAbstractUI.aspx?menuIndex=3&amp;refID=7167744&amp;Result=3","7167744")</f>
        <v>0</v>
      </c>
      <c r="B2526" t="s">
        <v>992</v>
      </c>
      <c r="C2526" t="s">
        <v>6315</v>
      </c>
      <c r="D2526" t="s">
        <v>19030</v>
      </c>
      <c r="E2526" t="s">
        <v>21405</v>
      </c>
      <c r="F2526" t="s">
        <v>32831</v>
      </c>
      <c r="G2526" t="s">
        <v>32840</v>
      </c>
      <c r="H2526" t="s">
        <v>32848</v>
      </c>
      <c r="I2526" t="s">
        <v>7416</v>
      </c>
      <c r="J2526" t="s">
        <v>34705</v>
      </c>
      <c r="K2526" t="s">
        <v>42758</v>
      </c>
      <c r="M2526" t="s">
        <v>44041</v>
      </c>
      <c r="N2526" t="s">
        <v>47424</v>
      </c>
      <c r="O2526" t="s">
        <v>47425</v>
      </c>
      <c r="P2526">
        <v>0</v>
      </c>
      <c r="Q2526">
        <v>0</v>
      </c>
      <c r="R2526" t="s">
        <v>47429</v>
      </c>
      <c r="S2526" t="s">
        <v>47542</v>
      </c>
      <c r="T2526" t="s">
        <v>49108</v>
      </c>
      <c r="U2526" t="s">
        <v>51822</v>
      </c>
      <c r="W2526" t="s">
        <v>44041</v>
      </c>
      <c r="X2526" t="s">
        <v>47426</v>
      </c>
    </row>
    <row r="2527" spans="1:24">
      <c r="A2527">
        <f>HYPERLINK("https://www.philgeps.gov.ph/GEPSNONPILOT/Tender/SplashBidNoticeAbstractUI.aspx?menuIndex=3&amp;refID=7167753&amp;Result=3","7167753")</f>
        <v>0</v>
      </c>
      <c r="B2527" t="s">
        <v>992</v>
      </c>
      <c r="C2527" t="s">
        <v>6316</v>
      </c>
      <c r="D2527" t="s">
        <v>19030</v>
      </c>
      <c r="E2527" t="s">
        <v>21406</v>
      </c>
      <c r="F2527" t="s">
        <v>32831</v>
      </c>
      <c r="G2527" t="s">
        <v>32840</v>
      </c>
      <c r="H2527" t="s">
        <v>32848</v>
      </c>
      <c r="I2527" t="s">
        <v>7416</v>
      </c>
      <c r="J2527" t="s">
        <v>34706</v>
      </c>
      <c r="K2527" t="s">
        <v>42758</v>
      </c>
      <c r="M2527" t="s">
        <v>44041</v>
      </c>
      <c r="N2527" t="s">
        <v>47424</v>
      </c>
      <c r="O2527" t="s">
        <v>47425</v>
      </c>
      <c r="P2527">
        <v>0</v>
      </c>
      <c r="Q2527">
        <v>0</v>
      </c>
      <c r="R2527" t="s">
        <v>47429</v>
      </c>
      <c r="S2527" t="s">
        <v>47542</v>
      </c>
      <c r="T2527" t="s">
        <v>49108</v>
      </c>
      <c r="U2527" t="s">
        <v>51823</v>
      </c>
      <c r="W2527" t="s">
        <v>44041</v>
      </c>
      <c r="X2527" t="s">
        <v>47426</v>
      </c>
    </row>
    <row r="2528" spans="1:24">
      <c r="A2528">
        <f>HYPERLINK("https://www.philgeps.gov.ph/GEPSNONPILOT/Tender/SplashBidNoticeAbstractUI.aspx?menuIndex=3&amp;refID=7167784&amp;Result=3","7167784")</f>
        <v>0</v>
      </c>
      <c r="B2528" t="s">
        <v>471</v>
      </c>
      <c r="C2528" t="s">
        <v>6317</v>
      </c>
      <c r="D2528" t="s">
        <v>19027</v>
      </c>
      <c r="E2528" t="s">
        <v>19988</v>
      </c>
      <c r="F2528" t="s">
        <v>32831</v>
      </c>
      <c r="G2528" t="s">
        <v>32842</v>
      </c>
      <c r="H2528" t="s">
        <v>32848</v>
      </c>
      <c r="I2528" t="s">
        <v>10805</v>
      </c>
      <c r="J2528" t="s">
        <v>32976</v>
      </c>
      <c r="K2528" t="s">
        <v>42727</v>
      </c>
      <c r="M2528" t="s">
        <v>43476</v>
      </c>
      <c r="N2528" t="s">
        <v>47424</v>
      </c>
      <c r="O2528" t="s">
        <v>47425</v>
      </c>
      <c r="P2528">
        <v>0</v>
      </c>
      <c r="Q2528">
        <v>0</v>
      </c>
      <c r="R2528" t="s">
        <v>47429</v>
      </c>
      <c r="S2528" t="s">
        <v>47542</v>
      </c>
      <c r="T2528" t="s">
        <v>49091</v>
      </c>
      <c r="U2528" t="s">
        <v>51824</v>
      </c>
      <c r="W2528" t="s">
        <v>43476</v>
      </c>
      <c r="X2528" t="s">
        <v>47426</v>
      </c>
    </row>
    <row r="2529" spans="1:24">
      <c r="A2529">
        <f>HYPERLINK("https://www.philgeps.gov.ph/GEPSNONPILOT/Tender/SplashBidNoticeAbstractUI.aspx?menuIndex=3&amp;refID=7167792&amp;Result=3","7167792")</f>
        <v>0</v>
      </c>
      <c r="B2529" t="s">
        <v>1110</v>
      </c>
      <c r="C2529" t="s">
        <v>6318</v>
      </c>
      <c r="D2529" t="s">
        <v>19022</v>
      </c>
      <c r="E2529" t="s">
        <v>20297</v>
      </c>
      <c r="F2529" t="s">
        <v>32831</v>
      </c>
      <c r="G2529" t="s">
        <v>32838</v>
      </c>
      <c r="H2529" t="s">
        <v>32848</v>
      </c>
      <c r="I2529" t="s">
        <v>32864</v>
      </c>
      <c r="J2529" t="s">
        <v>34707</v>
      </c>
      <c r="K2529" t="s">
        <v>42759</v>
      </c>
      <c r="M2529" t="s">
        <v>44170</v>
      </c>
      <c r="N2529" t="s">
        <v>47424</v>
      </c>
      <c r="O2529" t="s">
        <v>47425</v>
      </c>
      <c r="P2529">
        <v>0</v>
      </c>
      <c r="Q2529">
        <v>0</v>
      </c>
      <c r="R2529" t="s">
        <v>47429</v>
      </c>
      <c r="S2529" t="s">
        <v>47542</v>
      </c>
      <c r="T2529" t="s">
        <v>49060</v>
      </c>
      <c r="U2529" t="s">
        <v>51825</v>
      </c>
      <c r="V2529" t="s">
        <v>62893</v>
      </c>
      <c r="W2529" t="s">
        <v>44170</v>
      </c>
      <c r="X2529" t="s">
        <v>47426</v>
      </c>
    </row>
    <row r="2530" spans="1:24">
      <c r="A2530">
        <f>HYPERLINK("https://www.philgeps.gov.ph/GEPSNONPILOT/Tender/SplashBidNoticeAbstractUI.aspx?menuIndex=3&amp;refID=7167823&amp;Result=3","7167823")</f>
        <v>0</v>
      </c>
      <c r="B2530" t="s">
        <v>707</v>
      </c>
      <c r="C2530" t="s">
        <v>6319</v>
      </c>
      <c r="D2530" t="s">
        <v>19038</v>
      </c>
      <c r="E2530" t="s">
        <v>21407</v>
      </c>
      <c r="F2530" t="s">
        <v>32831</v>
      </c>
      <c r="G2530" t="s">
        <v>32839</v>
      </c>
      <c r="H2530" t="s">
        <v>32849</v>
      </c>
      <c r="I2530" t="s">
        <v>4177</v>
      </c>
      <c r="J2530" t="s">
        <v>34708</v>
      </c>
      <c r="K2530" t="s">
        <v>42823</v>
      </c>
      <c r="M2530" t="s">
        <v>43726</v>
      </c>
      <c r="N2530" t="s">
        <v>47424</v>
      </c>
      <c r="O2530" t="s">
        <v>47425</v>
      </c>
      <c r="P2530">
        <v>0</v>
      </c>
      <c r="Q2530">
        <v>0</v>
      </c>
      <c r="R2530" t="s">
        <v>47429</v>
      </c>
      <c r="S2530" t="s">
        <v>47542</v>
      </c>
      <c r="T2530" t="s">
        <v>49080</v>
      </c>
      <c r="U2530" t="s">
        <v>51826</v>
      </c>
      <c r="W2530" t="s">
        <v>43726</v>
      </c>
      <c r="X2530" t="s">
        <v>47426</v>
      </c>
    </row>
    <row r="2531" spans="1:24">
      <c r="A2531">
        <f>HYPERLINK("https://www.philgeps.gov.ph/GEPSNONPILOT/Tender/SplashBidNoticeAbstractUI.aspx?menuIndex=3&amp;refID=7167822&amp;Result=3","7167822")</f>
        <v>0</v>
      </c>
      <c r="B2531" t="s">
        <v>1105</v>
      </c>
      <c r="C2531" t="s">
        <v>6320</v>
      </c>
      <c r="D2531" t="s">
        <v>19030</v>
      </c>
      <c r="E2531" t="s">
        <v>21408</v>
      </c>
      <c r="F2531" t="s">
        <v>32831</v>
      </c>
      <c r="G2531" t="s">
        <v>32838</v>
      </c>
      <c r="H2531" t="s">
        <v>32848</v>
      </c>
      <c r="I2531" t="s">
        <v>32859</v>
      </c>
      <c r="J2531" t="s">
        <v>34709</v>
      </c>
      <c r="K2531" t="s">
        <v>42727</v>
      </c>
      <c r="M2531" t="s">
        <v>44165</v>
      </c>
      <c r="N2531" t="s">
        <v>47424</v>
      </c>
      <c r="O2531" t="s">
        <v>47425</v>
      </c>
      <c r="P2531">
        <v>0</v>
      </c>
      <c r="Q2531">
        <v>0</v>
      </c>
      <c r="R2531" t="s">
        <v>47429</v>
      </c>
      <c r="S2531" t="s">
        <v>47542</v>
      </c>
      <c r="T2531" t="s">
        <v>49129</v>
      </c>
      <c r="U2531" t="s">
        <v>51827</v>
      </c>
      <c r="W2531" t="s">
        <v>44165</v>
      </c>
      <c r="X2531" t="s">
        <v>47426</v>
      </c>
    </row>
    <row r="2532" spans="1:24">
      <c r="A2532">
        <f>HYPERLINK("https://www.philgeps.gov.ph/GEPSNONPILOT/Tender/SplashBidNoticeAbstractUI.aspx?menuIndex=3&amp;refID=7167821&amp;Result=3","7167821")</f>
        <v>0</v>
      </c>
      <c r="B2532" t="s">
        <v>1109</v>
      </c>
      <c r="C2532" t="s">
        <v>6321</v>
      </c>
      <c r="D2532" t="s">
        <v>19031</v>
      </c>
      <c r="E2532" t="s">
        <v>21409</v>
      </c>
      <c r="F2532" t="s">
        <v>32831</v>
      </c>
      <c r="G2532" t="s">
        <v>32839</v>
      </c>
      <c r="H2532" t="s">
        <v>32848</v>
      </c>
      <c r="I2532" t="s">
        <v>32919</v>
      </c>
      <c r="J2532" t="s">
        <v>34710</v>
      </c>
      <c r="K2532" t="s">
        <v>42750</v>
      </c>
      <c r="L2532" t="s">
        <v>1109</v>
      </c>
      <c r="M2532" t="s">
        <v>44169</v>
      </c>
      <c r="N2532" t="s">
        <v>47424</v>
      </c>
      <c r="O2532" t="s">
        <v>47425</v>
      </c>
      <c r="P2532">
        <v>0</v>
      </c>
      <c r="Q2532">
        <v>0</v>
      </c>
      <c r="R2532" t="s">
        <v>47429</v>
      </c>
      <c r="S2532" t="s">
        <v>47542</v>
      </c>
      <c r="T2532" t="s">
        <v>49080</v>
      </c>
      <c r="U2532" t="s">
        <v>51828</v>
      </c>
      <c r="W2532" t="s">
        <v>44169</v>
      </c>
      <c r="X2532" t="s">
        <v>47426</v>
      </c>
    </row>
    <row r="2533" spans="1:24">
      <c r="A2533">
        <f>HYPERLINK("https://www.philgeps.gov.ph/GEPSNONPILOT/Tender/SplashBidNoticeAbstractUI.aspx?menuIndex=3&amp;refID=7167820&amp;Result=3","7167820")</f>
        <v>0</v>
      </c>
      <c r="B2533" t="s">
        <v>1111</v>
      </c>
      <c r="C2533" t="s">
        <v>6322</v>
      </c>
      <c r="D2533" t="s">
        <v>19041</v>
      </c>
      <c r="E2533" t="s">
        <v>21410</v>
      </c>
      <c r="F2533" t="s">
        <v>32831</v>
      </c>
      <c r="G2533" t="s">
        <v>32838</v>
      </c>
      <c r="H2533" t="s">
        <v>32848</v>
      </c>
      <c r="I2533" t="s">
        <v>4438</v>
      </c>
      <c r="J2533" t="s">
        <v>34711</v>
      </c>
      <c r="K2533" t="s">
        <v>42727</v>
      </c>
      <c r="M2533" t="s">
        <v>44171</v>
      </c>
      <c r="N2533" t="s">
        <v>47424</v>
      </c>
      <c r="O2533" t="s">
        <v>47425</v>
      </c>
      <c r="P2533">
        <v>0</v>
      </c>
      <c r="Q2533">
        <v>0</v>
      </c>
      <c r="R2533" t="s">
        <v>47429</v>
      </c>
      <c r="S2533" t="s">
        <v>47542</v>
      </c>
      <c r="T2533" t="s">
        <v>49129</v>
      </c>
      <c r="U2533" t="s">
        <v>51829</v>
      </c>
      <c r="W2533" t="s">
        <v>44171</v>
      </c>
      <c r="X2533" t="s">
        <v>47426</v>
      </c>
    </row>
    <row r="2534" spans="1:24">
      <c r="A2534">
        <f>HYPERLINK("https://www.philgeps.gov.ph/GEPSNONPILOT/Tender/SplashBidNoticeAbstractUI.aspx?menuIndex=3&amp;refID=7167818&amp;Result=3","7167818")</f>
        <v>0</v>
      </c>
      <c r="B2534" t="s">
        <v>1079</v>
      </c>
      <c r="C2534" t="s">
        <v>6323</v>
      </c>
      <c r="D2534" t="s">
        <v>19022</v>
      </c>
      <c r="E2534" t="s">
        <v>21411</v>
      </c>
      <c r="F2534" t="s">
        <v>32831</v>
      </c>
      <c r="G2534" t="s">
        <v>32838</v>
      </c>
      <c r="H2534" t="s">
        <v>32848</v>
      </c>
      <c r="I2534" t="s">
        <v>32860</v>
      </c>
      <c r="J2534" t="s">
        <v>34712</v>
      </c>
      <c r="K2534" t="s">
        <v>42748</v>
      </c>
      <c r="M2534" t="s">
        <v>44137</v>
      </c>
      <c r="N2534" t="s">
        <v>47424</v>
      </c>
      <c r="O2534" t="s">
        <v>47425</v>
      </c>
      <c r="P2534">
        <v>0</v>
      </c>
      <c r="Q2534">
        <v>0</v>
      </c>
      <c r="R2534" t="s">
        <v>47429</v>
      </c>
      <c r="S2534" t="s">
        <v>47542</v>
      </c>
      <c r="T2534" t="s">
        <v>49104</v>
      </c>
      <c r="U2534" t="s">
        <v>51830</v>
      </c>
      <c r="V2534" t="s">
        <v>62894</v>
      </c>
      <c r="W2534" t="s">
        <v>44137</v>
      </c>
      <c r="X2534" t="s">
        <v>47426</v>
      </c>
    </row>
    <row r="2535" spans="1:24">
      <c r="A2535">
        <f>HYPERLINK("https://www.philgeps.gov.ph/GEPSNONPILOT/Tender/SplashBidNoticeAbstractUI.aspx?menuIndex=3&amp;refID=7167786&amp;Result=3","7167786")</f>
        <v>0</v>
      </c>
      <c r="B2535" t="s">
        <v>801</v>
      </c>
      <c r="C2535" t="s">
        <v>6324</v>
      </c>
      <c r="D2535" t="s">
        <v>19041</v>
      </c>
      <c r="E2535" t="s">
        <v>21412</v>
      </c>
      <c r="F2535" t="s">
        <v>32831</v>
      </c>
      <c r="G2535" t="s">
        <v>32841</v>
      </c>
      <c r="H2535" t="s">
        <v>32849</v>
      </c>
      <c r="I2535" t="s">
        <v>4177</v>
      </c>
      <c r="J2535" t="s">
        <v>34713</v>
      </c>
      <c r="K2535" t="s">
        <v>42729</v>
      </c>
      <c r="M2535" t="s">
        <v>43831</v>
      </c>
      <c r="N2535" t="s">
        <v>47424</v>
      </c>
      <c r="O2535" t="s">
        <v>47425</v>
      </c>
      <c r="P2535">
        <v>0</v>
      </c>
      <c r="Q2535">
        <v>0</v>
      </c>
      <c r="R2535" t="s">
        <v>47429</v>
      </c>
      <c r="S2535" t="s">
        <v>47542</v>
      </c>
      <c r="T2535" t="s">
        <v>49069</v>
      </c>
      <c r="U2535" t="s">
        <v>51831</v>
      </c>
      <c r="W2535" t="s">
        <v>43831</v>
      </c>
      <c r="X2535" t="s">
        <v>47426</v>
      </c>
    </row>
    <row r="2536" spans="1:24">
      <c r="A2536">
        <f>HYPERLINK("https://www.philgeps.gov.ph/GEPSNONPILOT/Tender/SplashBidNoticeAbstractUI.aspx?menuIndex=3&amp;refID=7167816&amp;Result=3","7167816")</f>
        <v>0</v>
      </c>
      <c r="B2536" t="s">
        <v>1112</v>
      </c>
      <c r="C2536" t="s">
        <v>6325</v>
      </c>
      <c r="D2536" t="s">
        <v>19017</v>
      </c>
      <c r="E2536" t="s">
        <v>21413</v>
      </c>
      <c r="F2536" t="s">
        <v>32831</v>
      </c>
      <c r="G2536" t="s">
        <v>32838</v>
      </c>
      <c r="H2536" t="s">
        <v>32850</v>
      </c>
      <c r="I2536" t="s">
        <v>32863</v>
      </c>
      <c r="J2536" t="s">
        <v>33279</v>
      </c>
      <c r="K2536" t="s">
        <v>42774</v>
      </c>
      <c r="M2536" t="s">
        <v>44172</v>
      </c>
      <c r="N2536" t="s">
        <v>47424</v>
      </c>
      <c r="O2536" t="s">
        <v>47425</v>
      </c>
      <c r="P2536">
        <v>0</v>
      </c>
      <c r="Q2536">
        <v>0</v>
      </c>
      <c r="R2536" t="s">
        <v>47429</v>
      </c>
      <c r="S2536" t="s">
        <v>47542</v>
      </c>
      <c r="T2536" t="s">
        <v>49129</v>
      </c>
      <c r="U2536" t="s">
        <v>51832</v>
      </c>
      <c r="W2536" t="s">
        <v>44172</v>
      </c>
      <c r="X2536" t="s">
        <v>47426</v>
      </c>
    </row>
    <row r="2537" spans="1:24">
      <c r="A2537">
        <f>HYPERLINK("https://www.philgeps.gov.ph/GEPSNONPILOT/Tender/SplashBidNoticeAbstractUI.aspx?menuIndex=3&amp;refID=7167815&amp;Result=3","7167815")</f>
        <v>0</v>
      </c>
      <c r="B2537" t="s">
        <v>1109</v>
      </c>
      <c r="C2537" t="s">
        <v>6326</v>
      </c>
      <c r="D2537" t="s">
        <v>19031</v>
      </c>
      <c r="E2537" t="s">
        <v>21414</v>
      </c>
      <c r="F2537" t="s">
        <v>32831</v>
      </c>
      <c r="G2537" t="s">
        <v>32839</v>
      </c>
      <c r="H2537" t="s">
        <v>32848</v>
      </c>
      <c r="I2537" t="s">
        <v>11727</v>
      </c>
      <c r="J2537" t="s">
        <v>34714</v>
      </c>
      <c r="K2537" t="s">
        <v>42798</v>
      </c>
      <c r="L2537" t="s">
        <v>1109</v>
      </c>
      <c r="M2537" t="s">
        <v>44169</v>
      </c>
      <c r="N2537" t="s">
        <v>47424</v>
      </c>
      <c r="O2537" t="s">
        <v>47425</v>
      </c>
      <c r="P2537">
        <v>0</v>
      </c>
      <c r="Q2537">
        <v>0</v>
      </c>
      <c r="R2537" t="s">
        <v>47429</v>
      </c>
      <c r="S2537" t="s">
        <v>47542</v>
      </c>
      <c r="T2537" t="s">
        <v>49080</v>
      </c>
      <c r="U2537" t="s">
        <v>51833</v>
      </c>
      <c r="W2537" t="s">
        <v>44169</v>
      </c>
      <c r="X2537" t="s">
        <v>47426</v>
      </c>
    </row>
    <row r="2538" spans="1:24">
      <c r="A2538">
        <f>HYPERLINK("https://www.philgeps.gov.ph/GEPSNONPILOT/Tender/SplashBidNoticeAbstractUI.aspx?menuIndex=3&amp;refID=7167813&amp;Result=3","7167813")</f>
        <v>0</v>
      </c>
      <c r="B2538" t="s">
        <v>1105</v>
      </c>
      <c r="C2538" t="s">
        <v>6327</v>
      </c>
      <c r="D2538" t="s">
        <v>19030</v>
      </c>
      <c r="E2538" t="s">
        <v>21415</v>
      </c>
      <c r="F2538" t="s">
        <v>32831</v>
      </c>
      <c r="G2538" t="s">
        <v>32838</v>
      </c>
      <c r="H2538" t="s">
        <v>32848</v>
      </c>
      <c r="I2538" t="s">
        <v>11484</v>
      </c>
      <c r="J2538" t="s">
        <v>33087</v>
      </c>
      <c r="K2538" t="s">
        <v>42727</v>
      </c>
      <c r="M2538" t="s">
        <v>44165</v>
      </c>
      <c r="N2538" t="s">
        <v>47424</v>
      </c>
      <c r="O2538" t="s">
        <v>47425</v>
      </c>
      <c r="P2538">
        <v>0</v>
      </c>
      <c r="Q2538">
        <v>0</v>
      </c>
      <c r="R2538" t="s">
        <v>47429</v>
      </c>
      <c r="S2538" t="s">
        <v>47542</v>
      </c>
      <c r="T2538" t="s">
        <v>49129</v>
      </c>
      <c r="U2538" t="s">
        <v>51834</v>
      </c>
      <c r="W2538" t="s">
        <v>44165</v>
      </c>
      <c r="X2538" t="s">
        <v>47426</v>
      </c>
    </row>
    <row r="2539" spans="1:24">
      <c r="A2539">
        <f>HYPERLINK("https://www.philgeps.gov.ph/GEPSNONPILOT/Tender/SplashBidNoticeAbstractUI.aspx?menuIndex=3&amp;refID=7167772&amp;Result=3","7167772")</f>
        <v>0</v>
      </c>
      <c r="B2539" t="s">
        <v>1090</v>
      </c>
      <c r="C2539" t="s">
        <v>6328</v>
      </c>
      <c r="D2539" t="s">
        <v>19078</v>
      </c>
      <c r="E2539" t="s">
        <v>21416</v>
      </c>
      <c r="F2539" t="s">
        <v>32831</v>
      </c>
      <c r="G2539" t="s">
        <v>32839</v>
      </c>
      <c r="H2539" t="s">
        <v>32849</v>
      </c>
      <c r="I2539" t="s">
        <v>4177</v>
      </c>
      <c r="J2539" t="s">
        <v>34715</v>
      </c>
      <c r="K2539" t="s">
        <v>42824</v>
      </c>
      <c r="M2539" t="s">
        <v>44149</v>
      </c>
      <c r="N2539" t="s">
        <v>47424</v>
      </c>
      <c r="O2539" t="s">
        <v>47425</v>
      </c>
      <c r="P2539">
        <v>0</v>
      </c>
      <c r="Q2539">
        <v>0</v>
      </c>
      <c r="R2539" t="s">
        <v>47429</v>
      </c>
      <c r="S2539" t="s">
        <v>47542</v>
      </c>
      <c r="T2539" t="s">
        <v>49078</v>
      </c>
      <c r="U2539" t="s">
        <v>51835</v>
      </c>
      <c r="W2539" t="s">
        <v>44149</v>
      </c>
      <c r="X2539" t="s">
        <v>47426</v>
      </c>
    </row>
    <row r="2540" spans="1:24">
      <c r="A2540">
        <f>HYPERLINK("https://www.philgeps.gov.ph/GEPSNONPILOT/Tender/SplashBidNoticeAbstractUI.aspx?menuIndex=3&amp;refID=7167808&amp;Result=3","7167808")</f>
        <v>0</v>
      </c>
      <c r="B2540" t="s">
        <v>471</v>
      </c>
      <c r="C2540" t="s">
        <v>6329</v>
      </c>
      <c r="D2540" t="s">
        <v>19027</v>
      </c>
      <c r="E2540" t="s">
        <v>21417</v>
      </c>
      <c r="F2540" t="s">
        <v>32831</v>
      </c>
      <c r="G2540" t="s">
        <v>32842</v>
      </c>
      <c r="H2540" t="s">
        <v>32848</v>
      </c>
      <c r="I2540" t="s">
        <v>10805</v>
      </c>
      <c r="J2540" t="s">
        <v>34716</v>
      </c>
      <c r="K2540" t="s">
        <v>42727</v>
      </c>
      <c r="M2540" t="s">
        <v>43476</v>
      </c>
      <c r="N2540" t="s">
        <v>47424</v>
      </c>
      <c r="O2540" t="s">
        <v>47425</v>
      </c>
      <c r="P2540">
        <v>0</v>
      </c>
      <c r="Q2540">
        <v>0</v>
      </c>
      <c r="R2540" t="s">
        <v>47429</v>
      </c>
      <c r="S2540" t="s">
        <v>47542</v>
      </c>
      <c r="T2540" t="s">
        <v>49091</v>
      </c>
      <c r="U2540" t="s">
        <v>51836</v>
      </c>
      <c r="W2540" t="s">
        <v>43476</v>
      </c>
      <c r="X2540" t="s">
        <v>47426</v>
      </c>
    </row>
    <row r="2541" spans="1:24">
      <c r="A2541">
        <f>HYPERLINK("https://www.philgeps.gov.ph/GEPSNONPILOT/Tender/SplashBidNoticeAbstractUI.aspx?menuIndex=3&amp;refID=7167788&amp;Result=3","7167788")</f>
        <v>0</v>
      </c>
      <c r="B2541" t="s">
        <v>1113</v>
      </c>
      <c r="C2541" t="s">
        <v>6330</v>
      </c>
      <c r="D2541" t="s">
        <v>19062</v>
      </c>
      <c r="E2541" t="s">
        <v>21418</v>
      </c>
      <c r="F2541" t="s">
        <v>32831</v>
      </c>
      <c r="G2541" t="s">
        <v>32839</v>
      </c>
      <c r="H2541" t="s">
        <v>32848</v>
      </c>
      <c r="I2541" t="s">
        <v>7416</v>
      </c>
      <c r="J2541" t="s">
        <v>34717</v>
      </c>
      <c r="K2541" t="s">
        <v>42726</v>
      </c>
      <c r="M2541" t="s">
        <v>44173</v>
      </c>
      <c r="N2541" t="s">
        <v>47424</v>
      </c>
      <c r="O2541" t="s">
        <v>47425</v>
      </c>
      <c r="P2541">
        <v>0</v>
      </c>
      <c r="Q2541">
        <v>0</v>
      </c>
      <c r="R2541" t="s">
        <v>47429</v>
      </c>
      <c r="S2541" t="s">
        <v>47542</v>
      </c>
      <c r="T2541" t="s">
        <v>49196</v>
      </c>
      <c r="U2541" t="s">
        <v>51837</v>
      </c>
      <c r="W2541" t="s">
        <v>44173</v>
      </c>
      <c r="X2541" t="s">
        <v>47426</v>
      </c>
    </row>
    <row r="2542" spans="1:24">
      <c r="A2542">
        <f>HYPERLINK("https://www.philgeps.gov.ph/GEPSNONPILOT/Tender/SplashBidNoticeAbstractUI.aspx?menuIndex=3&amp;refID=7167812&amp;Result=3","7167812")</f>
        <v>0</v>
      </c>
      <c r="B2542" t="s">
        <v>995</v>
      </c>
      <c r="C2542" t="s">
        <v>6331</v>
      </c>
      <c r="D2542" t="s">
        <v>19040</v>
      </c>
      <c r="E2542" t="s">
        <v>21419</v>
      </c>
      <c r="F2542" t="s">
        <v>32831</v>
      </c>
      <c r="G2542" t="s">
        <v>32840</v>
      </c>
      <c r="H2542" t="s">
        <v>32848</v>
      </c>
      <c r="I2542" t="s">
        <v>7416</v>
      </c>
      <c r="J2542" t="s">
        <v>32980</v>
      </c>
      <c r="K2542" t="s">
        <v>42727</v>
      </c>
      <c r="M2542" t="s">
        <v>44044</v>
      </c>
      <c r="N2542" t="s">
        <v>47424</v>
      </c>
      <c r="O2542" t="s">
        <v>47425</v>
      </c>
      <c r="P2542">
        <v>0</v>
      </c>
      <c r="Q2542">
        <v>0</v>
      </c>
      <c r="R2542" t="s">
        <v>47429</v>
      </c>
      <c r="S2542" t="s">
        <v>47542</v>
      </c>
      <c r="T2542" t="s">
        <v>49066</v>
      </c>
      <c r="U2542" t="s">
        <v>51838</v>
      </c>
      <c r="V2542" t="s">
        <v>62895</v>
      </c>
      <c r="W2542" t="s">
        <v>44044</v>
      </c>
      <c r="X2542" t="s">
        <v>47426</v>
      </c>
    </row>
    <row r="2543" spans="1:24">
      <c r="A2543">
        <f>HYPERLINK("https://www.philgeps.gov.ph/GEPSNONPILOT/Tender/SplashBidNoticeAbstractUI.aspx?menuIndex=3&amp;refID=7167804&amp;Result=3","7167804")</f>
        <v>0</v>
      </c>
      <c r="B2543" t="s">
        <v>1105</v>
      </c>
      <c r="C2543" t="s">
        <v>6332</v>
      </c>
      <c r="D2543" t="s">
        <v>19030</v>
      </c>
      <c r="E2543" t="s">
        <v>21420</v>
      </c>
      <c r="F2543" t="s">
        <v>32831</v>
      </c>
      <c r="G2543" t="s">
        <v>32838</v>
      </c>
      <c r="H2543" t="s">
        <v>32848</v>
      </c>
      <c r="I2543" t="s">
        <v>11484</v>
      </c>
      <c r="J2543" t="s">
        <v>32983</v>
      </c>
      <c r="K2543" t="s">
        <v>42727</v>
      </c>
      <c r="M2543" t="s">
        <v>44165</v>
      </c>
      <c r="N2543" t="s">
        <v>47424</v>
      </c>
      <c r="O2543" t="s">
        <v>47425</v>
      </c>
      <c r="P2543">
        <v>0</v>
      </c>
      <c r="Q2543">
        <v>0</v>
      </c>
      <c r="R2543" t="s">
        <v>47429</v>
      </c>
      <c r="S2543" t="s">
        <v>47542</v>
      </c>
      <c r="T2543" t="s">
        <v>49073</v>
      </c>
      <c r="U2543" t="s">
        <v>51839</v>
      </c>
      <c r="W2543" t="s">
        <v>44165</v>
      </c>
      <c r="X2543" t="s">
        <v>47426</v>
      </c>
    </row>
    <row r="2544" spans="1:24">
      <c r="A2544">
        <f>HYPERLINK("https://www.philgeps.gov.ph/GEPSNONPILOT/Tender/SplashBidNoticeAbstractUI.aspx?menuIndex=3&amp;refID=7167811&amp;Result=3","7167811")</f>
        <v>0</v>
      </c>
      <c r="B2544" t="s">
        <v>1109</v>
      </c>
      <c r="C2544" t="s">
        <v>6333</v>
      </c>
      <c r="D2544" t="s">
        <v>19031</v>
      </c>
      <c r="E2544" t="s">
        <v>21421</v>
      </c>
      <c r="F2544" t="s">
        <v>32831</v>
      </c>
      <c r="G2544" t="s">
        <v>32839</v>
      </c>
      <c r="H2544" t="s">
        <v>32848</v>
      </c>
      <c r="I2544" t="s">
        <v>11727</v>
      </c>
      <c r="J2544" t="s">
        <v>34704</v>
      </c>
      <c r="K2544" t="s">
        <v>42750</v>
      </c>
      <c r="L2544" t="s">
        <v>1109</v>
      </c>
      <c r="M2544" t="s">
        <v>44169</v>
      </c>
      <c r="N2544" t="s">
        <v>47424</v>
      </c>
      <c r="O2544" t="s">
        <v>47425</v>
      </c>
      <c r="P2544">
        <v>0</v>
      </c>
      <c r="Q2544">
        <v>0</v>
      </c>
      <c r="R2544" t="s">
        <v>47429</v>
      </c>
      <c r="S2544" t="s">
        <v>47542</v>
      </c>
      <c r="T2544" t="s">
        <v>49080</v>
      </c>
      <c r="U2544" t="s">
        <v>51840</v>
      </c>
      <c r="W2544" t="s">
        <v>44169</v>
      </c>
      <c r="X2544" t="s">
        <v>47426</v>
      </c>
    </row>
    <row r="2545" spans="1:24">
      <c r="A2545">
        <f>HYPERLINK("https://www.philgeps.gov.ph/GEPSNONPILOT/Tender/SplashBidNoticeAbstractUI.aspx?menuIndex=3&amp;refID=7167809&amp;Result=3","7167809")</f>
        <v>0</v>
      </c>
      <c r="B2545" t="s">
        <v>992</v>
      </c>
      <c r="C2545" t="s">
        <v>6334</v>
      </c>
      <c r="D2545" t="s">
        <v>19030</v>
      </c>
      <c r="E2545" t="s">
        <v>21422</v>
      </c>
      <c r="F2545" t="s">
        <v>32831</v>
      </c>
      <c r="G2545" t="s">
        <v>32840</v>
      </c>
      <c r="H2545" t="s">
        <v>32848</v>
      </c>
      <c r="I2545" t="s">
        <v>7416</v>
      </c>
      <c r="J2545" t="s">
        <v>34718</v>
      </c>
      <c r="K2545" t="s">
        <v>42758</v>
      </c>
      <c r="M2545" t="s">
        <v>44041</v>
      </c>
      <c r="N2545" t="s">
        <v>47424</v>
      </c>
      <c r="O2545" t="s">
        <v>47425</v>
      </c>
      <c r="P2545">
        <v>0</v>
      </c>
      <c r="Q2545">
        <v>0</v>
      </c>
      <c r="R2545" t="s">
        <v>47429</v>
      </c>
      <c r="S2545" t="s">
        <v>47542</v>
      </c>
      <c r="T2545" t="s">
        <v>49108</v>
      </c>
      <c r="U2545" t="s">
        <v>51841</v>
      </c>
      <c r="W2545" t="s">
        <v>44041</v>
      </c>
      <c r="X2545" t="s">
        <v>47426</v>
      </c>
    </row>
    <row r="2546" spans="1:24">
      <c r="A2546">
        <f>HYPERLINK("https://www.philgeps.gov.ph/GEPSNONPILOT/Tender/SplashBidNoticeAbstractUI.aspx?menuIndex=3&amp;refID=7167801&amp;Result=3","7167801")</f>
        <v>0</v>
      </c>
      <c r="B2546" t="s">
        <v>1109</v>
      </c>
      <c r="C2546" t="s">
        <v>6335</v>
      </c>
      <c r="D2546" t="s">
        <v>19031</v>
      </c>
      <c r="E2546" t="s">
        <v>21423</v>
      </c>
      <c r="F2546" t="s">
        <v>32831</v>
      </c>
      <c r="G2546" t="s">
        <v>32839</v>
      </c>
      <c r="H2546" t="s">
        <v>32848</v>
      </c>
      <c r="I2546" t="s">
        <v>11727</v>
      </c>
      <c r="J2546" t="s">
        <v>34714</v>
      </c>
      <c r="K2546" t="s">
        <v>42798</v>
      </c>
      <c r="L2546" t="s">
        <v>1109</v>
      </c>
      <c r="M2546" t="s">
        <v>44169</v>
      </c>
      <c r="N2546" t="s">
        <v>47424</v>
      </c>
      <c r="O2546" t="s">
        <v>47425</v>
      </c>
      <c r="P2546">
        <v>0</v>
      </c>
      <c r="Q2546">
        <v>0</v>
      </c>
      <c r="R2546" t="s">
        <v>47429</v>
      </c>
      <c r="S2546" t="s">
        <v>47542</v>
      </c>
      <c r="T2546" t="s">
        <v>49080</v>
      </c>
      <c r="U2546" t="s">
        <v>51842</v>
      </c>
      <c r="W2546" t="s">
        <v>44169</v>
      </c>
      <c r="X2546" t="s">
        <v>47426</v>
      </c>
    </row>
    <row r="2547" spans="1:24">
      <c r="A2547">
        <f>HYPERLINK("https://www.philgeps.gov.ph/GEPSNONPILOT/Tender/SplashBidNoticeAbstractUI.aspx?menuIndex=3&amp;refID=7167798&amp;Result=3","7167798")</f>
        <v>0</v>
      </c>
      <c r="B2547" t="s">
        <v>1106</v>
      </c>
      <c r="C2547" t="s">
        <v>6336</v>
      </c>
      <c r="D2547" t="s">
        <v>19045</v>
      </c>
      <c r="E2547" t="s">
        <v>21424</v>
      </c>
      <c r="F2547" t="s">
        <v>32831</v>
      </c>
      <c r="G2547" t="s">
        <v>32838</v>
      </c>
      <c r="H2547" t="s">
        <v>32850</v>
      </c>
      <c r="I2547" t="s">
        <v>32860</v>
      </c>
      <c r="J2547" t="s">
        <v>34719</v>
      </c>
      <c r="K2547" t="s">
        <v>42727</v>
      </c>
      <c r="M2547" t="s">
        <v>44166</v>
      </c>
      <c r="N2547" t="s">
        <v>47424</v>
      </c>
      <c r="O2547" t="s">
        <v>47425</v>
      </c>
      <c r="P2547">
        <v>0</v>
      </c>
      <c r="Q2547">
        <v>0</v>
      </c>
      <c r="R2547" t="s">
        <v>47429</v>
      </c>
      <c r="S2547" t="s">
        <v>47542</v>
      </c>
      <c r="T2547" t="s">
        <v>49105</v>
      </c>
      <c r="U2547" t="s">
        <v>51843</v>
      </c>
      <c r="W2547" t="s">
        <v>44166</v>
      </c>
      <c r="X2547" t="s">
        <v>47426</v>
      </c>
    </row>
    <row r="2548" spans="1:24">
      <c r="A2548">
        <f>HYPERLINK("https://www.philgeps.gov.ph/GEPSNONPILOT/Tender/SplashBidNoticeAbstractUI.aspx?menuIndex=3&amp;refID=7167782&amp;Result=3","7167782")</f>
        <v>0</v>
      </c>
      <c r="B2548" t="s">
        <v>1090</v>
      </c>
      <c r="C2548" t="s">
        <v>6337</v>
      </c>
      <c r="D2548" t="s">
        <v>19078</v>
      </c>
      <c r="E2548" t="s">
        <v>21425</v>
      </c>
      <c r="F2548" t="s">
        <v>32831</v>
      </c>
      <c r="G2548" t="s">
        <v>32839</v>
      </c>
      <c r="H2548" t="s">
        <v>32849</v>
      </c>
      <c r="I2548" t="s">
        <v>4177</v>
      </c>
      <c r="J2548" t="s">
        <v>34720</v>
      </c>
      <c r="K2548" t="s">
        <v>42779</v>
      </c>
      <c r="M2548" t="s">
        <v>44149</v>
      </c>
      <c r="N2548" t="s">
        <v>47424</v>
      </c>
      <c r="O2548" t="s">
        <v>47425</v>
      </c>
      <c r="P2548">
        <v>0</v>
      </c>
      <c r="Q2548">
        <v>0</v>
      </c>
      <c r="R2548" t="s">
        <v>47429</v>
      </c>
      <c r="S2548" t="s">
        <v>47542</v>
      </c>
      <c r="T2548" t="s">
        <v>49078</v>
      </c>
      <c r="U2548" t="s">
        <v>51844</v>
      </c>
      <c r="W2548" t="s">
        <v>44149</v>
      </c>
      <c r="X2548" t="s">
        <v>47426</v>
      </c>
    </row>
    <row r="2549" spans="1:24">
      <c r="A2549">
        <f>HYPERLINK("https://www.philgeps.gov.ph/GEPSNONPILOT/Tender/SplashBidNoticeAbstractUI.aspx?menuIndex=3&amp;refID=7167803&amp;Result=3","7167803")</f>
        <v>0</v>
      </c>
      <c r="B2549" t="s">
        <v>1107</v>
      </c>
      <c r="C2549" t="s">
        <v>6338</v>
      </c>
      <c r="D2549" t="s">
        <v>19034</v>
      </c>
      <c r="E2549" t="s">
        <v>21426</v>
      </c>
      <c r="F2549" t="s">
        <v>32831</v>
      </c>
      <c r="G2549" t="s">
        <v>32839</v>
      </c>
      <c r="H2549" t="s">
        <v>32849</v>
      </c>
      <c r="I2549" t="s">
        <v>11727</v>
      </c>
      <c r="J2549" t="s">
        <v>34721</v>
      </c>
      <c r="K2549" t="s">
        <v>42748</v>
      </c>
      <c r="M2549" t="s">
        <v>44167</v>
      </c>
      <c r="N2549" t="s">
        <v>47424</v>
      </c>
      <c r="O2549" t="s">
        <v>47425</v>
      </c>
      <c r="P2549">
        <v>0</v>
      </c>
      <c r="Q2549">
        <v>0</v>
      </c>
      <c r="R2549" t="s">
        <v>47429</v>
      </c>
      <c r="S2549" t="s">
        <v>47542</v>
      </c>
      <c r="T2549" t="s">
        <v>49196</v>
      </c>
      <c r="U2549" t="s">
        <v>51845</v>
      </c>
      <c r="W2549" t="s">
        <v>44167</v>
      </c>
      <c r="X2549" t="s">
        <v>47426</v>
      </c>
    </row>
    <row r="2550" spans="1:24">
      <c r="A2550">
        <f>HYPERLINK("https://www.philgeps.gov.ph/GEPSNONPILOT/Tender/SplashBidNoticeAbstractUI.aspx?menuIndex=3&amp;refID=7164052&amp;Result=3","7164052")</f>
        <v>0</v>
      </c>
      <c r="B2550" t="s">
        <v>1114</v>
      </c>
      <c r="C2550" t="s">
        <v>6339</v>
      </c>
      <c r="D2550" t="s">
        <v>19074</v>
      </c>
      <c r="E2550" t="s">
        <v>21427</v>
      </c>
      <c r="F2550" t="s">
        <v>32831</v>
      </c>
      <c r="G2550" t="s">
        <v>32840</v>
      </c>
      <c r="H2550" t="s">
        <v>32848</v>
      </c>
      <c r="I2550" t="s">
        <v>32855</v>
      </c>
      <c r="J2550" t="s">
        <v>34722</v>
      </c>
      <c r="K2550" t="s">
        <v>42730</v>
      </c>
      <c r="M2550" t="s">
        <v>44174</v>
      </c>
      <c r="N2550" t="s">
        <v>47424</v>
      </c>
      <c r="O2550" t="s">
        <v>47425</v>
      </c>
      <c r="P2550">
        <v>0</v>
      </c>
      <c r="Q2550">
        <v>7</v>
      </c>
      <c r="R2550" t="s">
        <v>47426</v>
      </c>
      <c r="S2550" t="s">
        <v>47531</v>
      </c>
      <c r="T2550" t="s">
        <v>49107</v>
      </c>
      <c r="U2550" t="s">
        <v>51846</v>
      </c>
      <c r="W2550" t="s">
        <v>44174</v>
      </c>
      <c r="X2550" t="s">
        <v>47430</v>
      </c>
    </row>
    <row r="2551" spans="1:24">
      <c r="A2551">
        <f>HYPERLINK("https://www.philgeps.gov.ph/GEPSNONPILOT/Tender/SplashBidNoticeAbstractUI.aspx?menuIndex=3&amp;refID=7167781&amp;Result=3","7167781")</f>
        <v>0</v>
      </c>
      <c r="B2551" t="s">
        <v>1084</v>
      </c>
      <c r="C2551" t="s">
        <v>6340</v>
      </c>
      <c r="D2551" t="s">
        <v>19017</v>
      </c>
      <c r="E2551" t="s">
        <v>19208</v>
      </c>
      <c r="F2551" t="s">
        <v>32831</v>
      </c>
      <c r="G2551" t="s">
        <v>32838</v>
      </c>
      <c r="H2551" t="s">
        <v>32850</v>
      </c>
      <c r="I2551" t="s">
        <v>10888</v>
      </c>
      <c r="J2551" t="s">
        <v>34723</v>
      </c>
      <c r="K2551" t="s">
        <v>42727</v>
      </c>
      <c r="M2551" t="s">
        <v>44142</v>
      </c>
      <c r="N2551" t="s">
        <v>47424</v>
      </c>
      <c r="O2551" t="s">
        <v>47425</v>
      </c>
      <c r="P2551">
        <v>0</v>
      </c>
      <c r="Q2551">
        <v>0</v>
      </c>
      <c r="R2551" t="s">
        <v>47429</v>
      </c>
      <c r="S2551" t="s">
        <v>47542</v>
      </c>
      <c r="T2551" t="s">
        <v>49089</v>
      </c>
      <c r="U2551" t="s">
        <v>51847</v>
      </c>
      <c r="W2551" t="s">
        <v>44142</v>
      </c>
      <c r="X2551" t="s">
        <v>47426</v>
      </c>
    </row>
    <row r="2552" spans="1:24">
      <c r="A2552">
        <f>HYPERLINK("https://www.philgeps.gov.ph/GEPSNONPILOT/Tender/SplashBidNoticeAbstractUI.aspx?menuIndex=3&amp;refID=7167810&amp;Result=3","7167810")</f>
        <v>0</v>
      </c>
      <c r="B2552" t="s">
        <v>1113</v>
      </c>
      <c r="C2552" t="s">
        <v>6341</v>
      </c>
      <c r="D2552" t="s">
        <v>19062</v>
      </c>
      <c r="E2552" t="s">
        <v>21428</v>
      </c>
      <c r="F2552" t="s">
        <v>32831</v>
      </c>
      <c r="G2552" t="s">
        <v>32840</v>
      </c>
      <c r="H2552" t="s">
        <v>32848</v>
      </c>
      <c r="I2552" t="s">
        <v>7416</v>
      </c>
      <c r="J2552" t="s">
        <v>34724</v>
      </c>
      <c r="K2552" t="s">
        <v>42726</v>
      </c>
      <c r="M2552" t="s">
        <v>44173</v>
      </c>
      <c r="N2552" t="s">
        <v>47424</v>
      </c>
      <c r="O2552" t="s">
        <v>47425</v>
      </c>
      <c r="P2552">
        <v>0</v>
      </c>
      <c r="Q2552">
        <v>0</v>
      </c>
      <c r="R2552" t="s">
        <v>47429</v>
      </c>
      <c r="S2552" t="s">
        <v>47542</v>
      </c>
      <c r="T2552" t="s">
        <v>49129</v>
      </c>
      <c r="U2552" t="s">
        <v>51848</v>
      </c>
      <c r="W2552" t="s">
        <v>44173</v>
      </c>
      <c r="X2552" t="s">
        <v>47426</v>
      </c>
    </row>
    <row r="2553" spans="1:24">
      <c r="A2553">
        <f>HYPERLINK("https://www.philgeps.gov.ph/GEPSNONPILOT/Tender/SplashBidNoticeAbstractUI.aspx?menuIndex=3&amp;refID=7167780&amp;Result=3","7167780")</f>
        <v>0</v>
      </c>
      <c r="B2553" t="s">
        <v>1115</v>
      </c>
      <c r="C2553" t="s">
        <v>6342</v>
      </c>
      <c r="E2553" t="s">
        <v>21429</v>
      </c>
      <c r="F2553" t="s">
        <v>32831</v>
      </c>
      <c r="G2553" t="s">
        <v>32838</v>
      </c>
      <c r="H2553" t="s">
        <v>32848</v>
      </c>
      <c r="I2553" t="s">
        <v>32857</v>
      </c>
      <c r="J2553" t="s">
        <v>34725</v>
      </c>
      <c r="K2553" t="s">
        <v>42732</v>
      </c>
      <c r="M2553" t="s">
        <v>44175</v>
      </c>
      <c r="N2553" t="s">
        <v>47424</v>
      </c>
      <c r="O2553" t="s">
        <v>47425</v>
      </c>
      <c r="P2553">
        <v>0</v>
      </c>
      <c r="Q2553">
        <v>0</v>
      </c>
      <c r="R2553" t="s">
        <v>47429</v>
      </c>
      <c r="S2553" t="s">
        <v>47542</v>
      </c>
      <c r="T2553" t="s">
        <v>49279</v>
      </c>
      <c r="U2553" t="s">
        <v>51849</v>
      </c>
      <c r="W2553" t="s">
        <v>44175</v>
      </c>
      <c r="X2553" t="s">
        <v>47426</v>
      </c>
    </row>
    <row r="2554" spans="1:24">
      <c r="A2554">
        <f>HYPERLINK("https://www.philgeps.gov.ph/GEPSNONPILOT/Tender/SplashBidNoticeAbstractUI.aspx?menuIndex=3&amp;refID=7167800&amp;Result=3","7167800")</f>
        <v>0</v>
      </c>
      <c r="B2554" t="s">
        <v>1116</v>
      </c>
      <c r="C2554" t="s">
        <v>6343</v>
      </c>
      <c r="E2554" t="s">
        <v>21430</v>
      </c>
      <c r="F2554" t="s">
        <v>32831</v>
      </c>
      <c r="G2554" t="s">
        <v>32839</v>
      </c>
      <c r="H2554" t="s">
        <v>32848</v>
      </c>
      <c r="I2554" t="s">
        <v>32931</v>
      </c>
      <c r="J2554" t="s">
        <v>33072</v>
      </c>
      <c r="K2554" t="s">
        <v>42727</v>
      </c>
      <c r="M2554" t="s">
        <v>44176</v>
      </c>
      <c r="N2554" t="s">
        <v>47424</v>
      </c>
      <c r="O2554" t="s">
        <v>47425</v>
      </c>
      <c r="P2554">
        <v>0</v>
      </c>
      <c r="Q2554">
        <v>0</v>
      </c>
      <c r="R2554" t="s">
        <v>47429</v>
      </c>
      <c r="S2554" t="s">
        <v>47542</v>
      </c>
      <c r="T2554" t="s">
        <v>49106</v>
      </c>
      <c r="U2554" t="s">
        <v>51850</v>
      </c>
      <c r="W2554" t="s">
        <v>44176</v>
      </c>
      <c r="X2554" t="s">
        <v>47426</v>
      </c>
    </row>
    <row r="2555" spans="1:24">
      <c r="A2555">
        <f>HYPERLINK("https://www.philgeps.gov.ph/GEPSNONPILOT/Tender/SplashBidNoticeAbstractUI.aspx?menuIndex=3&amp;refID=7167851&amp;Result=3","7167851")</f>
        <v>0</v>
      </c>
      <c r="B2555" t="s">
        <v>1117</v>
      </c>
      <c r="C2555" t="s">
        <v>6344</v>
      </c>
      <c r="D2555" t="s">
        <v>19077</v>
      </c>
      <c r="E2555" t="s">
        <v>21431</v>
      </c>
      <c r="F2555" t="s">
        <v>32831</v>
      </c>
      <c r="G2555" t="s">
        <v>32839</v>
      </c>
      <c r="H2555" t="s">
        <v>32848</v>
      </c>
      <c r="I2555" t="s">
        <v>9577</v>
      </c>
      <c r="J2555" t="s">
        <v>34726</v>
      </c>
      <c r="K2555" t="s">
        <v>42730</v>
      </c>
      <c r="M2555" t="s">
        <v>44177</v>
      </c>
      <c r="N2555" t="s">
        <v>47424</v>
      </c>
      <c r="O2555" t="s">
        <v>47425</v>
      </c>
      <c r="P2555">
        <v>0</v>
      </c>
      <c r="Q2555">
        <v>0</v>
      </c>
      <c r="R2555" t="s">
        <v>47429</v>
      </c>
      <c r="S2555" t="s">
        <v>47542</v>
      </c>
      <c r="T2555" t="s">
        <v>49118</v>
      </c>
      <c r="U2555" t="s">
        <v>51851</v>
      </c>
      <c r="W2555" t="s">
        <v>44177</v>
      </c>
      <c r="X2555" t="s">
        <v>47426</v>
      </c>
    </row>
    <row r="2556" spans="1:24">
      <c r="A2556">
        <f>HYPERLINK("https://www.philgeps.gov.ph/GEPSNONPILOT/Tender/SplashBidNoticeAbstractUI.aspx?menuIndex=3&amp;refID=7167783&amp;Result=3","7167783")</f>
        <v>0</v>
      </c>
      <c r="B2556" t="s">
        <v>1105</v>
      </c>
      <c r="C2556" t="s">
        <v>6345</v>
      </c>
      <c r="D2556" t="s">
        <v>19030</v>
      </c>
      <c r="E2556" t="s">
        <v>21432</v>
      </c>
      <c r="F2556" t="s">
        <v>32831</v>
      </c>
      <c r="G2556" t="s">
        <v>32839</v>
      </c>
      <c r="H2556" t="s">
        <v>32848</v>
      </c>
      <c r="I2556" t="s">
        <v>11484</v>
      </c>
      <c r="J2556" t="s">
        <v>33044</v>
      </c>
      <c r="K2556" t="s">
        <v>42727</v>
      </c>
      <c r="M2556" t="s">
        <v>44165</v>
      </c>
      <c r="N2556" t="s">
        <v>47424</v>
      </c>
      <c r="O2556" t="s">
        <v>47425</v>
      </c>
      <c r="P2556">
        <v>0</v>
      </c>
      <c r="Q2556">
        <v>0</v>
      </c>
      <c r="R2556" t="s">
        <v>47429</v>
      </c>
      <c r="S2556" t="s">
        <v>47542</v>
      </c>
      <c r="T2556" t="s">
        <v>49236</v>
      </c>
      <c r="U2556" t="s">
        <v>51852</v>
      </c>
      <c r="W2556" t="s">
        <v>44165</v>
      </c>
      <c r="X2556" t="s">
        <v>47426</v>
      </c>
    </row>
    <row r="2557" spans="1:24">
      <c r="A2557">
        <f>HYPERLINK("https://www.philgeps.gov.ph/GEPSNONPILOT/Tender/SplashBidNoticeAbstractUI.aspx?menuIndex=3&amp;refID=7167845&amp;Result=3","7167845")</f>
        <v>0</v>
      </c>
      <c r="B2557" t="s">
        <v>1118</v>
      </c>
      <c r="C2557" t="s">
        <v>6346</v>
      </c>
      <c r="D2557" t="s">
        <v>19060</v>
      </c>
      <c r="E2557" t="s">
        <v>21433</v>
      </c>
      <c r="F2557" t="s">
        <v>32831</v>
      </c>
      <c r="G2557" t="s">
        <v>32841</v>
      </c>
      <c r="H2557" t="s">
        <v>32848</v>
      </c>
      <c r="I2557" t="s">
        <v>4340</v>
      </c>
      <c r="J2557" t="s">
        <v>34727</v>
      </c>
      <c r="K2557" t="s">
        <v>42726</v>
      </c>
      <c r="M2557" t="s">
        <v>44178</v>
      </c>
      <c r="N2557" t="s">
        <v>47424</v>
      </c>
      <c r="O2557" t="s">
        <v>47425</v>
      </c>
      <c r="P2557">
        <v>0</v>
      </c>
      <c r="Q2557">
        <v>0</v>
      </c>
      <c r="R2557" t="s">
        <v>47429</v>
      </c>
      <c r="S2557" t="s">
        <v>47542</v>
      </c>
      <c r="T2557" t="s">
        <v>49063</v>
      </c>
      <c r="U2557" t="s">
        <v>51853</v>
      </c>
      <c r="W2557" t="s">
        <v>44178</v>
      </c>
      <c r="X2557" t="s">
        <v>47426</v>
      </c>
    </row>
    <row r="2558" spans="1:24">
      <c r="A2558">
        <f>HYPERLINK("https://www.philgeps.gov.ph/GEPSNONPILOT/Tender/SplashBidNoticeAbstractUI.aspx?menuIndex=3&amp;refID=7167844&amp;Result=3","7167844")</f>
        <v>0</v>
      </c>
      <c r="B2558" t="s">
        <v>1119</v>
      </c>
      <c r="C2558" t="s">
        <v>6347</v>
      </c>
      <c r="E2558" t="s">
        <v>21434</v>
      </c>
      <c r="F2558" t="s">
        <v>32831</v>
      </c>
      <c r="G2558" t="s">
        <v>32840</v>
      </c>
      <c r="H2558" t="s">
        <v>32848</v>
      </c>
      <c r="I2558" t="s">
        <v>4438</v>
      </c>
      <c r="J2558" t="s">
        <v>34728</v>
      </c>
      <c r="K2558" t="s">
        <v>42759</v>
      </c>
      <c r="M2558" t="s">
        <v>44179</v>
      </c>
      <c r="N2558" t="s">
        <v>47424</v>
      </c>
      <c r="O2558" t="s">
        <v>47425</v>
      </c>
      <c r="P2558">
        <v>0</v>
      </c>
      <c r="Q2558">
        <v>0</v>
      </c>
      <c r="R2558" t="s">
        <v>47429</v>
      </c>
      <c r="S2558" t="s">
        <v>47542</v>
      </c>
      <c r="T2558" t="s">
        <v>49108</v>
      </c>
      <c r="U2558" t="s">
        <v>51854</v>
      </c>
      <c r="V2558" t="s">
        <v>62707</v>
      </c>
      <c r="W2558" t="s">
        <v>44179</v>
      </c>
      <c r="X2558" t="s">
        <v>47426</v>
      </c>
    </row>
    <row r="2559" spans="1:24">
      <c r="A2559">
        <f>HYPERLINK("https://www.philgeps.gov.ph/GEPSNONPILOT/Tender/SplashBidNoticeAbstractUI.aspx?menuIndex=3&amp;refID=7167842&amp;Result=3","7167842")</f>
        <v>0</v>
      </c>
      <c r="B2559" t="s">
        <v>1120</v>
      </c>
      <c r="C2559" t="s">
        <v>6348</v>
      </c>
      <c r="E2559" t="s">
        <v>21435</v>
      </c>
      <c r="F2559" t="s">
        <v>32831</v>
      </c>
      <c r="G2559" t="s">
        <v>32839</v>
      </c>
      <c r="H2559" t="s">
        <v>32848</v>
      </c>
      <c r="I2559" t="s">
        <v>32869</v>
      </c>
      <c r="J2559" t="s">
        <v>34729</v>
      </c>
      <c r="K2559" t="s">
        <v>42764</v>
      </c>
      <c r="M2559" t="s">
        <v>44180</v>
      </c>
      <c r="N2559" t="s">
        <v>47424</v>
      </c>
      <c r="O2559" t="s">
        <v>47425</v>
      </c>
      <c r="P2559">
        <v>0</v>
      </c>
      <c r="Q2559">
        <v>0</v>
      </c>
      <c r="R2559" t="s">
        <v>47429</v>
      </c>
      <c r="S2559" t="s">
        <v>47542</v>
      </c>
      <c r="T2559" t="s">
        <v>49071</v>
      </c>
      <c r="U2559" t="s">
        <v>51855</v>
      </c>
      <c r="W2559" t="s">
        <v>44180</v>
      </c>
      <c r="X2559" t="s">
        <v>47426</v>
      </c>
    </row>
    <row r="2560" spans="1:24">
      <c r="A2560">
        <f>HYPERLINK("https://www.philgeps.gov.ph/GEPSNONPILOT/Tender/SplashBidNoticeAbstractUI.aspx?menuIndex=3&amp;refID=7167840&amp;Result=3","7167840")</f>
        <v>0</v>
      </c>
      <c r="B2560" t="s">
        <v>1121</v>
      </c>
      <c r="C2560" t="s">
        <v>5187</v>
      </c>
      <c r="D2560" t="s">
        <v>19062</v>
      </c>
      <c r="E2560" t="s">
        <v>21436</v>
      </c>
      <c r="F2560" t="s">
        <v>32831</v>
      </c>
      <c r="G2560" t="s">
        <v>32839</v>
      </c>
      <c r="H2560" t="s">
        <v>32848</v>
      </c>
      <c r="I2560" t="s">
        <v>32855</v>
      </c>
      <c r="J2560" t="s">
        <v>34292</v>
      </c>
      <c r="K2560" t="s">
        <v>42726</v>
      </c>
      <c r="M2560" t="s">
        <v>44181</v>
      </c>
      <c r="N2560" t="s">
        <v>47424</v>
      </c>
      <c r="O2560" t="s">
        <v>47425</v>
      </c>
      <c r="P2560">
        <v>0</v>
      </c>
      <c r="Q2560">
        <v>0</v>
      </c>
      <c r="R2560" t="s">
        <v>47429</v>
      </c>
      <c r="S2560" t="s">
        <v>47542</v>
      </c>
      <c r="T2560" t="s">
        <v>49057</v>
      </c>
      <c r="U2560" t="s">
        <v>51856</v>
      </c>
      <c r="W2560" t="s">
        <v>44181</v>
      </c>
      <c r="X2560" t="s">
        <v>47426</v>
      </c>
    </row>
    <row r="2561" spans="1:24">
      <c r="A2561">
        <f>HYPERLINK("https://www.philgeps.gov.ph/GEPSNONPILOT/Tender/SplashBidNoticeAbstractUI.aspx?menuIndex=3&amp;refID=7167836&amp;Result=3","7167836")</f>
        <v>0</v>
      </c>
      <c r="B2561" t="s">
        <v>1122</v>
      </c>
      <c r="C2561" t="s">
        <v>6349</v>
      </c>
      <c r="D2561" t="s">
        <v>19044</v>
      </c>
      <c r="E2561" t="s">
        <v>19979</v>
      </c>
      <c r="F2561" t="s">
        <v>32831</v>
      </c>
      <c r="G2561" t="s">
        <v>32839</v>
      </c>
      <c r="H2561" t="s">
        <v>32848</v>
      </c>
      <c r="I2561" t="s">
        <v>7416</v>
      </c>
      <c r="J2561" t="s">
        <v>34730</v>
      </c>
      <c r="K2561" t="s">
        <v>42730</v>
      </c>
      <c r="M2561" t="s">
        <v>44182</v>
      </c>
      <c r="N2561" t="s">
        <v>47424</v>
      </c>
      <c r="O2561" t="s">
        <v>47425</v>
      </c>
      <c r="P2561">
        <v>0</v>
      </c>
      <c r="Q2561">
        <v>0</v>
      </c>
      <c r="R2561" t="s">
        <v>47429</v>
      </c>
      <c r="S2561" t="s">
        <v>47542</v>
      </c>
      <c r="T2561" t="s">
        <v>49314</v>
      </c>
      <c r="U2561" t="s">
        <v>51857</v>
      </c>
      <c r="V2561" t="s">
        <v>62896</v>
      </c>
      <c r="W2561" t="s">
        <v>44182</v>
      </c>
      <c r="X2561" t="s">
        <v>47426</v>
      </c>
    </row>
    <row r="2562" spans="1:24">
      <c r="A2562">
        <f>HYPERLINK("https://www.philgeps.gov.ph/GEPSNONPILOT/Tender/SplashBidNoticeAbstractUI.aspx?menuIndex=3&amp;refID=7167834&amp;Result=3","7167834")</f>
        <v>0</v>
      </c>
      <c r="B2562" t="s">
        <v>1123</v>
      </c>
      <c r="C2562" t="s">
        <v>6350</v>
      </c>
      <c r="D2562" t="s">
        <v>19086</v>
      </c>
      <c r="E2562" t="s">
        <v>21437</v>
      </c>
      <c r="F2562" t="s">
        <v>32831</v>
      </c>
      <c r="G2562" t="s">
        <v>32840</v>
      </c>
      <c r="H2562" t="s">
        <v>32848</v>
      </c>
      <c r="I2562" t="s">
        <v>4438</v>
      </c>
      <c r="J2562" t="s">
        <v>33430</v>
      </c>
      <c r="K2562" t="s">
        <v>42732</v>
      </c>
      <c r="M2562" t="s">
        <v>44183</v>
      </c>
      <c r="N2562" t="s">
        <v>47424</v>
      </c>
      <c r="O2562" t="s">
        <v>47425</v>
      </c>
      <c r="P2562">
        <v>0</v>
      </c>
      <c r="Q2562">
        <v>0</v>
      </c>
      <c r="R2562" t="s">
        <v>47429</v>
      </c>
      <c r="S2562" t="s">
        <v>47542</v>
      </c>
      <c r="T2562" t="s">
        <v>49119</v>
      </c>
      <c r="U2562" t="s">
        <v>51858</v>
      </c>
      <c r="W2562" t="s">
        <v>44183</v>
      </c>
      <c r="X2562" t="s">
        <v>47426</v>
      </c>
    </row>
    <row r="2563" spans="1:24">
      <c r="A2563">
        <f>HYPERLINK("https://www.philgeps.gov.ph/GEPSNONPILOT/Tender/SplashBidNoticeAbstractUI.aspx?menuIndex=3&amp;refID=7167833&amp;Result=3","7167833")</f>
        <v>0</v>
      </c>
      <c r="B2563" t="s">
        <v>1122</v>
      </c>
      <c r="C2563" t="s">
        <v>6351</v>
      </c>
      <c r="D2563" t="s">
        <v>19044</v>
      </c>
      <c r="E2563" t="s">
        <v>19144</v>
      </c>
      <c r="F2563" t="s">
        <v>32831</v>
      </c>
      <c r="G2563" t="s">
        <v>32839</v>
      </c>
      <c r="H2563" t="s">
        <v>32848</v>
      </c>
      <c r="I2563" t="s">
        <v>7416</v>
      </c>
      <c r="J2563" t="s">
        <v>33476</v>
      </c>
      <c r="K2563" t="s">
        <v>42730</v>
      </c>
      <c r="M2563" t="s">
        <v>44182</v>
      </c>
      <c r="N2563" t="s">
        <v>47424</v>
      </c>
      <c r="O2563" t="s">
        <v>47425</v>
      </c>
      <c r="P2563">
        <v>0</v>
      </c>
      <c r="Q2563">
        <v>0</v>
      </c>
      <c r="R2563" t="s">
        <v>47429</v>
      </c>
      <c r="S2563" t="s">
        <v>47542</v>
      </c>
      <c r="T2563" t="s">
        <v>49080</v>
      </c>
      <c r="U2563" t="s">
        <v>51857</v>
      </c>
      <c r="V2563" t="s">
        <v>62896</v>
      </c>
      <c r="W2563" t="s">
        <v>44182</v>
      </c>
      <c r="X2563" t="s">
        <v>47426</v>
      </c>
    </row>
    <row r="2564" spans="1:24">
      <c r="A2564">
        <f>HYPERLINK("https://www.philgeps.gov.ph/GEPSNONPILOT/Tender/SplashBidNoticeAbstractUI.aspx?menuIndex=3&amp;refID=7167806&amp;Result=3","7167806")</f>
        <v>0</v>
      </c>
      <c r="B2564" t="s">
        <v>1116</v>
      </c>
      <c r="C2564" t="s">
        <v>6352</v>
      </c>
      <c r="E2564" t="s">
        <v>21438</v>
      </c>
      <c r="F2564" t="s">
        <v>32831</v>
      </c>
      <c r="G2564" t="s">
        <v>32839</v>
      </c>
      <c r="H2564" t="s">
        <v>32848</v>
      </c>
      <c r="I2564" t="s">
        <v>4558</v>
      </c>
      <c r="J2564" t="s">
        <v>33118</v>
      </c>
      <c r="K2564" t="s">
        <v>42727</v>
      </c>
      <c r="M2564" t="s">
        <v>44176</v>
      </c>
      <c r="N2564" t="s">
        <v>47424</v>
      </c>
      <c r="O2564" t="s">
        <v>47425</v>
      </c>
      <c r="P2564">
        <v>0</v>
      </c>
      <c r="Q2564">
        <v>0</v>
      </c>
      <c r="R2564" t="s">
        <v>47429</v>
      </c>
      <c r="S2564" t="s">
        <v>47542</v>
      </c>
      <c r="T2564" t="s">
        <v>49106</v>
      </c>
      <c r="U2564" t="s">
        <v>51859</v>
      </c>
      <c r="W2564" t="s">
        <v>44176</v>
      </c>
      <c r="X2564" t="s">
        <v>47426</v>
      </c>
    </row>
    <row r="2565" spans="1:24">
      <c r="A2565">
        <f>HYPERLINK("https://www.philgeps.gov.ph/GEPSNONPILOT/Tender/SplashBidNoticeAbstractUI.aspx?menuIndex=3&amp;refID=7167832&amp;Result=3","7167832")</f>
        <v>0</v>
      </c>
      <c r="B2565" t="s">
        <v>1122</v>
      </c>
      <c r="C2565" t="s">
        <v>6353</v>
      </c>
      <c r="D2565" t="s">
        <v>19044</v>
      </c>
      <c r="E2565" t="s">
        <v>19219</v>
      </c>
      <c r="F2565" t="s">
        <v>32831</v>
      </c>
      <c r="G2565" t="s">
        <v>32839</v>
      </c>
      <c r="H2565" t="s">
        <v>32848</v>
      </c>
      <c r="I2565" t="s">
        <v>7416</v>
      </c>
      <c r="J2565" t="s">
        <v>34731</v>
      </c>
      <c r="K2565" t="s">
        <v>42730</v>
      </c>
      <c r="M2565" t="s">
        <v>44182</v>
      </c>
      <c r="N2565" t="s">
        <v>47424</v>
      </c>
      <c r="O2565" t="s">
        <v>47425</v>
      </c>
      <c r="P2565">
        <v>0</v>
      </c>
      <c r="Q2565">
        <v>0</v>
      </c>
      <c r="R2565" t="s">
        <v>47429</v>
      </c>
      <c r="S2565" t="s">
        <v>47542</v>
      </c>
      <c r="T2565" t="s">
        <v>49069</v>
      </c>
      <c r="U2565" t="s">
        <v>51857</v>
      </c>
      <c r="V2565" t="s">
        <v>62896</v>
      </c>
      <c r="W2565" t="s">
        <v>44182</v>
      </c>
      <c r="X2565" t="s">
        <v>47426</v>
      </c>
    </row>
    <row r="2566" spans="1:24">
      <c r="A2566">
        <f>HYPERLINK("https://www.philgeps.gov.ph/GEPSNONPILOT/Tender/SplashBidNoticeAbstractUI.aspx?menuIndex=3&amp;refID=7167831&amp;Result=3","7167831")</f>
        <v>0</v>
      </c>
      <c r="B2566" t="s">
        <v>1124</v>
      </c>
      <c r="C2566" t="s">
        <v>6354</v>
      </c>
      <c r="D2566" t="s">
        <v>19038</v>
      </c>
      <c r="E2566" t="s">
        <v>21407</v>
      </c>
      <c r="F2566" t="s">
        <v>32831</v>
      </c>
      <c r="G2566" t="s">
        <v>32839</v>
      </c>
      <c r="H2566" t="s">
        <v>32849</v>
      </c>
      <c r="I2566" t="s">
        <v>4177</v>
      </c>
      <c r="J2566" t="s">
        <v>34732</v>
      </c>
      <c r="K2566" t="s">
        <v>42824</v>
      </c>
      <c r="M2566" t="s">
        <v>44184</v>
      </c>
      <c r="N2566" t="s">
        <v>47424</v>
      </c>
      <c r="O2566" t="s">
        <v>47425</v>
      </c>
      <c r="P2566">
        <v>0</v>
      </c>
      <c r="Q2566">
        <v>0</v>
      </c>
      <c r="R2566" t="s">
        <v>47429</v>
      </c>
      <c r="S2566" t="s">
        <v>47542</v>
      </c>
      <c r="T2566" t="s">
        <v>49080</v>
      </c>
      <c r="U2566" t="s">
        <v>51860</v>
      </c>
      <c r="W2566" t="s">
        <v>44184</v>
      </c>
      <c r="X2566" t="s">
        <v>47426</v>
      </c>
    </row>
    <row r="2567" spans="1:24">
      <c r="A2567">
        <f>HYPERLINK("https://www.philgeps.gov.ph/GEPSNONPILOT/Tender/SplashBidNoticeAbstractUI.aspx?menuIndex=3&amp;refID=7167830&amp;Result=3","7167830")</f>
        <v>0</v>
      </c>
      <c r="B2567" t="s">
        <v>1057</v>
      </c>
      <c r="C2567" t="s">
        <v>6355</v>
      </c>
      <c r="D2567" t="s">
        <v>19045</v>
      </c>
      <c r="E2567" t="s">
        <v>20779</v>
      </c>
      <c r="F2567" t="s">
        <v>32831</v>
      </c>
      <c r="G2567" t="s">
        <v>32839</v>
      </c>
      <c r="H2567" t="s">
        <v>32849</v>
      </c>
      <c r="I2567" t="s">
        <v>4177</v>
      </c>
      <c r="J2567" t="s">
        <v>33118</v>
      </c>
      <c r="K2567" t="s">
        <v>42729</v>
      </c>
      <c r="M2567" t="s">
        <v>44114</v>
      </c>
      <c r="N2567" t="s">
        <v>47424</v>
      </c>
      <c r="O2567" t="s">
        <v>47425</v>
      </c>
      <c r="P2567">
        <v>0</v>
      </c>
      <c r="Q2567">
        <v>0</v>
      </c>
      <c r="R2567" t="s">
        <v>47429</v>
      </c>
      <c r="S2567" t="s">
        <v>47542</v>
      </c>
      <c r="T2567" t="s">
        <v>49311</v>
      </c>
      <c r="U2567" t="s">
        <v>51861</v>
      </c>
      <c r="W2567" t="s">
        <v>44114</v>
      </c>
      <c r="X2567" t="s">
        <v>47426</v>
      </c>
    </row>
    <row r="2568" spans="1:24">
      <c r="A2568">
        <f>HYPERLINK("https://www.philgeps.gov.ph/GEPSNONPILOT/Tender/SplashBidNoticeAbstractUI.aspx?menuIndex=3&amp;refID=7167828&amp;Result=3","7167828")</f>
        <v>0</v>
      </c>
      <c r="B2568" t="s">
        <v>1105</v>
      </c>
      <c r="C2568" t="s">
        <v>6356</v>
      </c>
      <c r="D2568" t="s">
        <v>19030</v>
      </c>
      <c r="E2568" t="s">
        <v>21439</v>
      </c>
      <c r="F2568" t="s">
        <v>32831</v>
      </c>
      <c r="G2568" t="s">
        <v>32838</v>
      </c>
      <c r="H2568" t="s">
        <v>32848</v>
      </c>
      <c r="I2568" t="s">
        <v>32881</v>
      </c>
      <c r="J2568" t="s">
        <v>33364</v>
      </c>
      <c r="K2568" t="s">
        <v>42727</v>
      </c>
      <c r="M2568" t="s">
        <v>44165</v>
      </c>
      <c r="N2568" t="s">
        <v>47424</v>
      </c>
      <c r="O2568" t="s">
        <v>47425</v>
      </c>
      <c r="P2568">
        <v>0</v>
      </c>
      <c r="Q2568">
        <v>0</v>
      </c>
      <c r="R2568" t="s">
        <v>47429</v>
      </c>
      <c r="S2568" t="s">
        <v>47542</v>
      </c>
      <c r="T2568" t="s">
        <v>49073</v>
      </c>
      <c r="U2568" t="s">
        <v>51862</v>
      </c>
      <c r="W2568" t="s">
        <v>44165</v>
      </c>
      <c r="X2568" t="s">
        <v>47426</v>
      </c>
    </row>
    <row r="2569" spans="1:24">
      <c r="A2569">
        <f>HYPERLINK("https://www.philgeps.gov.ph/GEPSNONPILOT/Tender/SplashBidNoticeAbstractUI.aspx?menuIndex=3&amp;refID=7167839&amp;Result=3","7167839")</f>
        <v>0</v>
      </c>
      <c r="B2569" t="s">
        <v>1125</v>
      </c>
      <c r="C2569" t="s">
        <v>6357</v>
      </c>
      <c r="D2569" t="s">
        <v>19017</v>
      </c>
      <c r="E2569" t="s">
        <v>21440</v>
      </c>
      <c r="F2569" t="s">
        <v>32831</v>
      </c>
      <c r="G2569" t="s">
        <v>32838</v>
      </c>
      <c r="H2569" t="s">
        <v>32848</v>
      </c>
      <c r="I2569" t="s">
        <v>10805</v>
      </c>
      <c r="J2569" t="s">
        <v>33041</v>
      </c>
      <c r="K2569" t="s">
        <v>42727</v>
      </c>
      <c r="M2569" t="s">
        <v>44185</v>
      </c>
      <c r="N2569" t="s">
        <v>47424</v>
      </c>
      <c r="O2569" t="s">
        <v>47425</v>
      </c>
      <c r="P2569">
        <v>0</v>
      </c>
      <c r="Q2569">
        <v>0</v>
      </c>
      <c r="R2569" t="s">
        <v>47429</v>
      </c>
      <c r="S2569" t="s">
        <v>47542</v>
      </c>
      <c r="T2569" t="s">
        <v>49089</v>
      </c>
      <c r="U2569" t="s">
        <v>51863</v>
      </c>
      <c r="W2569" t="s">
        <v>44185</v>
      </c>
      <c r="X2569" t="s">
        <v>47426</v>
      </c>
    </row>
    <row r="2570" spans="1:24">
      <c r="A2570">
        <f>HYPERLINK("https://www.philgeps.gov.ph/GEPSNONPILOT/Tender/SplashBidNoticeAbstractUI.aspx?menuIndex=3&amp;refID=7167853&amp;Result=3","7167853")</f>
        <v>0</v>
      </c>
      <c r="B2570" t="s">
        <v>1126</v>
      </c>
      <c r="C2570" t="s">
        <v>6358</v>
      </c>
      <c r="D2570" t="s">
        <v>19056</v>
      </c>
      <c r="E2570" t="s">
        <v>21441</v>
      </c>
      <c r="F2570" t="s">
        <v>32831</v>
      </c>
      <c r="G2570" t="s">
        <v>32838</v>
      </c>
      <c r="H2570" t="s">
        <v>32848</v>
      </c>
      <c r="I2570" t="s">
        <v>4438</v>
      </c>
      <c r="J2570" t="s">
        <v>33175</v>
      </c>
      <c r="K2570" t="s">
        <v>42758</v>
      </c>
      <c r="M2570" t="s">
        <v>44186</v>
      </c>
      <c r="N2570" t="s">
        <v>47424</v>
      </c>
      <c r="O2570" t="s">
        <v>47425</v>
      </c>
      <c r="P2570">
        <v>0</v>
      </c>
      <c r="Q2570">
        <v>0</v>
      </c>
      <c r="R2570" t="s">
        <v>47429</v>
      </c>
      <c r="S2570" t="s">
        <v>47542</v>
      </c>
      <c r="T2570" t="s">
        <v>49151</v>
      </c>
      <c r="U2570" t="s">
        <v>51864</v>
      </c>
      <c r="W2570" t="s">
        <v>44186</v>
      </c>
      <c r="X2570" t="s">
        <v>47426</v>
      </c>
    </row>
    <row r="2571" spans="1:24">
      <c r="A2571">
        <f>HYPERLINK("https://www.philgeps.gov.ph/GEPSNONPILOT/Tender/SplashBidNoticeAbstractUI.aspx?menuIndex=3&amp;refID=7167867&amp;Result=3","7167867")</f>
        <v>0</v>
      </c>
      <c r="B2571" t="s">
        <v>1120</v>
      </c>
      <c r="C2571" t="s">
        <v>6359</v>
      </c>
      <c r="E2571" t="s">
        <v>21442</v>
      </c>
      <c r="F2571" t="s">
        <v>32831</v>
      </c>
      <c r="G2571" t="s">
        <v>32839</v>
      </c>
      <c r="H2571" t="s">
        <v>32850</v>
      </c>
      <c r="I2571" t="s">
        <v>32864</v>
      </c>
      <c r="J2571" t="s">
        <v>34733</v>
      </c>
      <c r="K2571" t="s">
        <v>42774</v>
      </c>
      <c r="M2571" t="s">
        <v>44180</v>
      </c>
      <c r="N2571" t="s">
        <v>47424</v>
      </c>
      <c r="O2571" t="s">
        <v>47425</v>
      </c>
      <c r="P2571">
        <v>0</v>
      </c>
      <c r="Q2571">
        <v>0</v>
      </c>
      <c r="R2571" t="s">
        <v>47429</v>
      </c>
      <c r="S2571" t="s">
        <v>47542</v>
      </c>
      <c r="T2571" t="s">
        <v>49071</v>
      </c>
      <c r="U2571" t="s">
        <v>51865</v>
      </c>
      <c r="W2571" t="s">
        <v>44180</v>
      </c>
      <c r="X2571" t="s">
        <v>47426</v>
      </c>
    </row>
    <row r="2572" spans="1:24">
      <c r="A2572">
        <f>HYPERLINK("https://www.philgeps.gov.ph/GEPSNONPILOT/Tender/SplashBidNoticeAbstractUI.aspx?menuIndex=3&amp;refID=7167807&amp;Result=3","7167807")</f>
        <v>0</v>
      </c>
      <c r="B2572" t="s">
        <v>1109</v>
      </c>
      <c r="C2572" t="s">
        <v>6360</v>
      </c>
      <c r="D2572" t="s">
        <v>19031</v>
      </c>
      <c r="E2572" t="s">
        <v>21443</v>
      </c>
      <c r="F2572" t="s">
        <v>32831</v>
      </c>
      <c r="G2572" t="s">
        <v>32839</v>
      </c>
      <c r="H2572" t="s">
        <v>32848</v>
      </c>
      <c r="I2572" t="s">
        <v>11727</v>
      </c>
      <c r="J2572" t="s">
        <v>34734</v>
      </c>
      <c r="K2572" t="s">
        <v>42750</v>
      </c>
      <c r="L2572" t="s">
        <v>1109</v>
      </c>
      <c r="M2572" t="s">
        <v>44169</v>
      </c>
      <c r="N2572" t="s">
        <v>47424</v>
      </c>
      <c r="O2572" t="s">
        <v>47425</v>
      </c>
      <c r="P2572">
        <v>0</v>
      </c>
      <c r="Q2572">
        <v>0</v>
      </c>
      <c r="R2572" t="s">
        <v>47429</v>
      </c>
      <c r="S2572" t="s">
        <v>47542</v>
      </c>
      <c r="T2572" t="s">
        <v>49080</v>
      </c>
      <c r="U2572" t="s">
        <v>51866</v>
      </c>
      <c r="W2572" t="s">
        <v>44169</v>
      </c>
      <c r="X2572" t="s">
        <v>47426</v>
      </c>
    </row>
    <row r="2573" spans="1:24">
      <c r="A2573">
        <f>HYPERLINK("https://www.philgeps.gov.ph/GEPSNONPILOT/Tender/SplashBidNoticeAbstractUI.aspx?menuIndex=3&amp;refID=7167864&amp;Result=3","7167864")</f>
        <v>0</v>
      </c>
      <c r="B2573" t="s">
        <v>1127</v>
      </c>
      <c r="C2573" t="s">
        <v>6361</v>
      </c>
      <c r="D2573" t="s">
        <v>19044</v>
      </c>
      <c r="E2573" t="s">
        <v>21444</v>
      </c>
      <c r="F2573" t="s">
        <v>32833</v>
      </c>
      <c r="G2573" t="s">
        <v>32838</v>
      </c>
      <c r="H2573" t="s">
        <v>32848</v>
      </c>
      <c r="I2573" t="s">
        <v>32862</v>
      </c>
      <c r="J2573" t="s">
        <v>34735</v>
      </c>
      <c r="K2573" t="s">
        <v>42748</v>
      </c>
      <c r="M2573" t="s">
        <v>44187</v>
      </c>
      <c r="N2573" t="s">
        <v>47424</v>
      </c>
      <c r="O2573" t="s">
        <v>47425</v>
      </c>
      <c r="P2573">
        <v>0</v>
      </c>
      <c r="Q2573">
        <v>0</v>
      </c>
      <c r="R2573" t="s">
        <v>47429</v>
      </c>
      <c r="S2573" t="s">
        <v>47542</v>
      </c>
      <c r="T2573" t="s">
        <v>49151</v>
      </c>
      <c r="U2573" t="s">
        <v>51867</v>
      </c>
      <c r="W2573" t="s">
        <v>44187</v>
      </c>
      <c r="X2573" t="s">
        <v>47426</v>
      </c>
    </row>
    <row r="2574" spans="1:24">
      <c r="A2574">
        <f>HYPERLINK("https://www.philgeps.gov.ph/GEPSNONPILOT/Tender/SplashBidNoticeAbstractUI.aspx?menuIndex=3&amp;refID=7167862&amp;Result=3","7167862")</f>
        <v>0</v>
      </c>
      <c r="B2574" t="s">
        <v>1118</v>
      </c>
      <c r="C2574" t="s">
        <v>6362</v>
      </c>
      <c r="D2574" t="s">
        <v>19060</v>
      </c>
      <c r="E2574" t="s">
        <v>21445</v>
      </c>
      <c r="F2574" t="s">
        <v>32831</v>
      </c>
      <c r="G2574" t="s">
        <v>32838</v>
      </c>
      <c r="H2574" t="s">
        <v>32848</v>
      </c>
      <c r="I2574" t="s">
        <v>4438</v>
      </c>
      <c r="J2574" t="s">
        <v>34736</v>
      </c>
      <c r="K2574" t="s">
        <v>42726</v>
      </c>
      <c r="M2574" t="s">
        <v>44178</v>
      </c>
      <c r="N2574" t="s">
        <v>47424</v>
      </c>
      <c r="O2574" t="s">
        <v>47425</v>
      </c>
      <c r="P2574">
        <v>0</v>
      </c>
      <c r="Q2574">
        <v>0</v>
      </c>
      <c r="R2574" t="s">
        <v>47429</v>
      </c>
      <c r="S2574" t="s">
        <v>47542</v>
      </c>
      <c r="T2574" t="s">
        <v>49063</v>
      </c>
      <c r="U2574" t="s">
        <v>51868</v>
      </c>
      <c r="W2574" t="s">
        <v>44178</v>
      </c>
      <c r="X2574" t="s">
        <v>47426</v>
      </c>
    </row>
    <row r="2575" spans="1:24">
      <c r="A2575">
        <f>HYPERLINK("https://www.philgeps.gov.ph/GEPSNONPILOT/Tender/SplashBidNoticeAbstractUI.aspx?menuIndex=3&amp;refID=7167861&amp;Result=3","7167861")</f>
        <v>0</v>
      </c>
      <c r="B2575" t="s">
        <v>1127</v>
      </c>
      <c r="C2575" t="s">
        <v>6363</v>
      </c>
      <c r="D2575" t="s">
        <v>19044</v>
      </c>
      <c r="E2575" t="s">
        <v>21446</v>
      </c>
      <c r="F2575" t="s">
        <v>32833</v>
      </c>
      <c r="G2575" t="s">
        <v>32838</v>
      </c>
      <c r="H2575" t="s">
        <v>32848</v>
      </c>
      <c r="I2575" t="s">
        <v>11484</v>
      </c>
      <c r="J2575" t="s">
        <v>33775</v>
      </c>
      <c r="K2575" t="s">
        <v>42748</v>
      </c>
      <c r="M2575" t="s">
        <v>44187</v>
      </c>
      <c r="N2575" t="s">
        <v>47424</v>
      </c>
      <c r="O2575" t="s">
        <v>47425</v>
      </c>
      <c r="P2575">
        <v>0</v>
      </c>
      <c r="Q2575">
        <v>0</v>
      </c>
      <c r="R2575" t="s">
        <v>47429</v>
      </c>
      <c r="S2575" t="s">
        <v>47542</v>
      </c>
      <c r="T2575" t="s">
        <v>49151</v>
      </c>
      <c r="U2575" t="s">
        <v>51869</v>
      </c>
      <c r="W2575" t="s">
        <v>44187</v>
      </c>
      <c r="X2575" t="s">
        <v>47426</v>
      </c>
    </row>
    <row r="2576" spans="1:24">
      <c r="A2576">
        <f>HYPERLINK("https://www.philgeps.gov.ph/GEPSNONPILOT/Tender/SplashBidNoticeAbstractUI.aspx?menuIndex=3&amp;refID=7167848&amp;Result=3","7167848")</f>
        <v>0</v>
      </c>
      <c r="B2576" t="s">
        <v>1128</v>
      </c>
      <c r="C2576" t="s">
        <v>6364</v>
      </c>
      <c r="D2576" t="s">
        <v>19057</v>
      </c>
      <c r="E2576" t="s">
        <v>21447</v>
      </c>
      <c r="F2576" t="s">
        <v>32831</v>
      </c>
      <c r="G2576" t="s">
        <v>32840</v>
      </c>
      <c r="H2576" t="s">
        <v>32848</v>
      </c>
      <c r="I2576" t="s">
        <v>9577</v>
      </c>
      <c r="J2576" t="s">
        <v>34737</v>
      </c>
      <c r="K2576" t="s">
        <v>42748</v>
      </c>
      <c r="M2576" t="s">
        <v>44188</v>
      </c>
      <c r="N2576" t="s">
        <v>47424</v>
      </c>
      <c r="O2576" t="s">
        <v>47425</v>
      </c>
      <c r="P2576">
        <v>0</v>
      </c>
      <c r="Q2576">
        <v>0</v>
      </c>
      <c r="R2576" t="s">
        <v>47429</v>
      </c>
      <c r="S2576" t="s">
        <v>47542</v>
      </c>
      <c r="T2576" t="s">
        <v>49056</v>
      </c>
      <c r="U2576" t="s">
        <v>51870</v>
      </c>
      <c r="V2576" t="s">
        <v>62897</v>
      </c>
      <c r="W2576" t="s">
        <v>44188</v>
      </c>
      <c r="X2576" t="s">
        <v>47426</v>
      </c>
    </row>
    <row r="2577" spans="1:24">
      <c r="A2577">
        <f>HYPERLINK("https://www.philgeps.gov.ph/GEPSNONPILOT/Tender/SplashBidNoticeAbstractUI.aspx?menuIndex=3&amp;refID=7167859&amp;Result=3","7167859")</f>
        <v>0</v>
      </c>
      <c r="B2577" t="s">
        <v>1118</v>
      </c>
      <c r="C2577" t="s">
        <v>6365</v>
      </c>
      <c r="D2577" t="s">
        <v>19060</v>
      </c>
      <c r="E2577" t="s">
        <v>21448</v>
      </c>
      <c r="F2577" t="s">
        <v>32831</v>
      </c>
      <c r="G2577" t="s">
        <v>32838</v>
      </c>
      <c r="H2577" t="s">
        <v>32848</v>
      </c>
      <c r="I2577" t="s">
        <v>32870</v>
      </c>
      <c r="J2577" t="s">
        <v>34738</v>
      </c>
      <c r="K2577" t="s">
        <v>42726</v>
      </c>
      <c r="M2577" t="s">
        <v>44178</v>
      </c>
      <c r="N2577" t="s">
        <v>47424</v>
      </c>
      <c r="O2577" t="s">
        <v>47425</v>
      </c>
      <c r="P2577">
        <v>0</v>
      </c>
      <c r="Q2577">
        <v>0</v>
      </c>
      <c r="R2577" t="s">
        <v>47429</v>
      </c>
      <c r="S2577" t="s">
        <v>47542</v>
      </c>
      <c r="T2577" t="s">
        <v>49063</v>
      </c>
      <c r="U2577" t="s">
        <v>51871</v>
      </c>
      <c r="W2577" t="s">
        <v>44178</v>
      </c>
      <c r="X2577" t="s">
        <v>47426</v>
      </c>
    </row>
    <row r="2578" spans="1:24">
      <c r="A2578">
        <f>HYPERLINK("https://www.philgeps.gov.ph/GEPSNONPILOT/Tender/SplashBidNoticeAbstractUI.aspx?menuIndex=3&amp;refID=7167858&amp;Result=3","7167858")</f>
        <v>0</v>
      </c>
      <c r="B2578" t="s">
        <v>1127</v>
      </c>
      <c r="C2578" t="s">
        <v>6366</v>
      </c>
      <c r="D2578" t="s">
        <v>19044</v>
      </c>
      <c r="E2578" t="s">
        <v>21449</v>
      </c>
      <c r="F2578" t="s">
        <v>32833</v>
      </c>
      <c r="G2578" t="s">
        <v>32838</v>
      </c>
      <c r="H2578" t="s">
        <v>32848</v>
      </c>
      <c r="I2578" t="s">
        <v>8577</v>
      </c>
      <c r="J2578" t="s">
        <v>34739</v>
      </c>
      <c r="K2578" t="s">
        <v>42748</v>
      </c>
      <c r="M2578" t="s">
        <v>44187</v>
      </c>
      <c r="N2578" t="s">
        <v>47424</v>
      </c>
      <c r="O2578" t="s">
        <v>47425</v>
      </c>
      <c r="P2578">
        <v>0</v>
      </c>
      <c r="Q2578">
        <v>0</v>
      </c>
      <c r="R2578" t="s">
        <v>47429</v>
      </c>
      <c r="S2578" t="s">
        <v>47542</v>
      </c>
      <c r="T2578" t="s">
        <v>49151</v>
      </c>
      <c r="U2578" t="s">
        <v>51872</v>
      </c>
      <c r="W2578" t="s">
        <v>44187</v>
      </c>
      <c r="X2578" t="s">
        <v>47426</v>
      </c>
    </row>
    <row r="2579" spans="1:24">
      <c r="A2579">
        <f>HYPERLINK("https://www.philgeps.gov.ph/GEPSNONPILOT/Tender/SplashBidNoticeAbstractUI.aspx?menuIndex=3&amp;refID=7167827&amp;Result=3","7167827")</f>
        <v>0</v>
      </c>
      <c r="B2579" t="s">
        <v>338</v>
      </c>
      <c r="C2579" t="s">
        <v>6367</v>
      </c>
      <c r="D2579" t="s">
        <v>19019</v>
      </c>
      <c r="E2579" t="s">
        <v>21450</v>
      </c>
      <c r="F2579" t="s">
        <v>32831</v>
      </c>
      <c r="G2579" t="s">
        <v>32838</v>
      </c>
      <c r="H2579" t="s">
        <v>32848</v>
      </c>
      <c r="I2579" t="s">
        <v>32864</v>
      </c>
      <c r="J2579" t="s">
        <v>34032</v>
      </c>
      <c r="K2579" t="s">
        <v>42731</v>
      </c>
      <c r="M2579" t="s">
        <v>44189</v>
      </c>
      <c r="N2579" t="s">
        <v>47424</v>
      </c>
      <c r="O2579" t="s">
        <v>47425</v>
      </c>
      <c r="P2579">
        <v>0</v>
      </c>
      <c r="Q2579">
        <v>0</v>
      </c>
      <c r="R2579" t="s">
        <v>47429</v>
      </c>
      <c r="S2579" t="s">
        <v>47542</v>
      </c>
      <c r="T2579" t="s">
        <v>49119</v>
      </c>
      <c r="U2579" t="s">
        <v>51873</v>
      </c>
      <c r="W2579" t="s">
        <v>44189</v>
      </c>
      <c r="X2579" t="s">
        <v>47426</v>
      </c>
    </row>
    <row r="2580" spans="1:24">
      <c r="A2580">
        <f>HYPERLINK("https://www.philgeps.gov.ph/GEPSNONPILOT/Tender/SplashBidNoticeAbstractUI.aspx?menuIndex=3&amp;refID=7167857&amp;Result=3","7167857")</f>
        <v>0</v>
      </c>
      <c r="B2580" t="s">
        <v>1118</v>
      </c>
      <c r="C2580" t="s">
        <v>6368</v>
      </c>
      <c r="D2580" t="s">
        <v>19060</v>
      </c>
      <c r="E2580" t="s">
        <v>21451</v>
      </c>
      <c r="F2580" t="s">
        <v>32831</v>
      </c>
      <c r="G2580" t="s">
        <v>32838</v>
      </c>
      <c r="H2580" t="s">
        <v>32848</v>
      </c>
      <c r="I2580" t="s">
        <v>32870</v>
      </c>
      <c r="J2580" t="s">
        <v>34740</v>
      </c>
      <c r="K2580" t="s">
        <v>42726</v>
      </c>
      <c r="M2580" t="s">
        <v>44178</v>
      </c>
      <c r="N2580" t="s">
        <v>47424</v>
      </c>
      <c r="O2580" t="s">
        <v>47425</v>
      </c>
      <c r="P2580">
        <v>0</v>
      </c>
      <c r="Q2580">
        <v>0</v>
      </c>
      <c r="R2580" t="s">
        <v>47429</v>
      </c>
      <c r="S2580" t="s">
        <v>47542</v>
      </c>
      <c r="T2580" t="s">
        <v>49063</v>
      </c>
      <c r="U2580" t="s">
        <v>51874</v>
      </c>
      <c r="W2580" t="s">
        <v>44178</v>
      </c>
      <c r="X2580" t="s">
        <v>47426</v>
      </c>
    </row>
    <row r="2581" spans="1:24">
      <c r="A2581">
        <f>HYPERLINK("https://www.philgeps.gov.ph/GEPSNONPILOT/Tender/SplashBidNoticeAbstractUI.aspx?menuIndex=3&amp;refID=7167854&amp;Result=3","7167854")</f>
        <v>0</v>
      </c>
      <c r="B2581" t="s">
        <v>1129</v>
      </c>
      <c r="C2581" t="s">
        <v>6369</v>
      </c>
      <c r="E2581" t="s">
        <v>19689</v>
      </c>
      <c r="F2581" t="s">
        <v>32831</v>
      </c>
      <c r="G2581" t="s">
        <v>32840</v>
      </c>
      <c r="H2581" t="s">
        <v>32848</v>
      </c>
      <c r="I2581" t="s">
        <v>32858</v>
      </c>
      <c r="J2581" t="s">
        <v>34741</v>
      </c>
      <c r="K2581" t="s">
        <v>42732</v>
      </c>
      <c r="M2581" t="s">
        <v>44190</v>
      </c>
      <c r="N2581" t="s">
        <v>47424</v>
      </c>
      <c r="O2581" t="s">
        <v>47425</v>
      </c>
      <c r="P2581">
        <v>0</v>
      </c>
      <c r="Q2581">
        <v>0</v>
      </c>
      <c r="R2581" t="s">
        <v>47429</v>
      </c>
      <c r="S2581" t="s">
        <v>47542</v>
      </c>
      <c r="T2581" t="s">
        <v>49061</v>
      </c>
      <c r="U2581" t="s">
        <v>51875</v>
      </c>
      <c r="W2581" t="s">
        <v>44190</v>
      </c>
      <c r="X2581" t="s">
        <v>47426</v>
      </c>
    </row>
    <row r="2582" spans="1:24">
      <c r="A2582">
        <f>HYPERLINK("https://www.philgeps.gov.ph/GEPSNONPILOT/Tender/SplashBidNoticeAbstractUI.aspx?menuIndex=3&amp;refID=7167860&amp;Result=3","7167860")</f>
        <v>0</v>
      </c>
      <c r="B2582" t="s">
        <v>1130</v>
      </c>
      <c r="C2582" t="s">
        <v>6370</v>
      </c>
      <c r="D2582" t="s">
        <v>19045</v>
      </c>
      <c r="E2582" t="s">
        <v>21452</v>
      </c>
      <c r="F2582" t="s">
        <v>32831</v>
      </c>
      <c r="G2582" t="s">
        <v>32838</v>
      </c>
      <c r="H2582" t="s">
        <v>32850</v>
      </c>
      <c r="I2582" t="s">
        <v>5379</v>
      </c>
      <c r="J2582" t="s">
        <v>33029</v>
      </c>
      <c r="K2582" t="s">
        <v>42804</v>
      </c>
      <c r="M2582" t="s">
        <v>44191</v>
      </c>
      <c r="N2582" t="s">
        <v>47424</v>
      </c>
      <c r="O2582" t="s">
        <v>47425</v>
      </c>
      <c r="P2582">
        <v>0</v>
      </c>
      <c r="Q2582">
        <v>0</v>
      </c>
      <c r="R2582" t="s">
        <v>47429</v>
      </c>
      <c r="S2582" t="s">
        <v>47542</v>
      </c>
      <c r="T2582" t="s">
        <v>49080</v>
      </c>
      <c r="U2582" t="s">
        <v>51876</v>
      </c>
      <c r="W2582" t="s">
        <v>44191</v>
      </c>
      <c r="X2582" t="s">
        <v>47426</v>
      </c>
    </row>
    <row r="2583" spans="1:24">
      <c r="A2583">
        <f>HYPERLINK("https://www.philgeps.gov.ph/GEPSNONPILOT/Tender/SplashBidNoticeAbstractUI.aspx?menuIndex=3&amp;refID=7167863&amp;Result=3","7167863")</f>
        <v>0</v>
      </c>
      <c r="B2583" t="s">
        <v>1131</v>
      </c>
      <c r="C2583" t="s">
        <v>6371</v>
      </c>
      <c r="D2583" t="s">
        <v>19049</v>
      </c>
      <c r="E2583" t="s">
        <v>21453</v>
      </c>
      <c r="F2583" t="s">
        <v>32831</v>
      </c>
      <c r="G2583" t="s">
        <v>32838</v>
      </c>
      <c r="H2583" t="s">
        <v>32848</v>
      </c>
      <c r="I2583" t="s">
        <v>32871</v>
      </c>
      <c r="J2583" t="s">
        <v>32980</v>
      </c>
      <c r="K2583" t="s">
        <v>42732</v>
      </c>
      <c r="M2583" t="s">
        <v>44192</v>
      </c>
      <c r="N2583" t="s">
        <v>47424</v>
      </c>
      <c r="O2583" t="s">
        <v>47425</v>
      </c>
      <c r="P2583">
        <v>0</v>
      </c>
      <c r="Q2583">
        <v>0</v>
      </c>
      <c r="R2583" t="s">
        <v>47429</v>
      </c>
      <c r="S2583" t="s">
        <v>47542</v>
      </c>
      <c r="T2583" t="s">
        <v>49315</v>
      </c>
      <c r="U2583" t="s">
        <v>51877</v>
      </c>
      <c r="W2583" t="s">
        <v>44192</v>
      </c>
      <c r="X2583" t="s">
        <v>47426</v>
      </c>
    </row>
    <row r="2584" spans="1:24">
      <c r="A2584">
        <f>HYPERLINK("https://www.philgeps.gov.ph/GEPSNONPILOT/Tender/SplashBidNoticeAbstractUI.aspx?menuIndex=3&amp;refID=7167829&amp;Result=3","7167829")</f>
        <v>0</v>
      </c>
      <c r="B2584" t="s">
        <v>1123</v>
      </c>
      <c r="C2584" t="s">
        <v>6372</v>
      </c>
      <c r="D2584" t="s">
        <v>19086</v>
      </c>
      <c r="E2584" t="s">
        <v>21454</v>
      </c>
      <c r="F2584" t="s">
        <v>32831</v>
      </c>
      <c r="G2584" t="s">
        <v>32840</v>
      </c>
      <c r="H2584" t="s">
        <v>32848</v>
      </c>
      <c r="I2584" t="s">
        <v>9577</v>
      </c>
      <c r="J2584" t="s">
        <v>33011</v>
      </c>
      <c r="K2584" t="s">
        <v>42732</v>
      </c>
      <c r="M2584" t="s">
        <v>44183</v>
      </c>
      <c r="N2584" t="s">
        <v>47424</v>
      </c>
      <c r="O2584" t="s">
        <v>47425</v>
      </c>
      <c r="P2584">
        <v>0</v>
      </c>
      <c r="Q2584">
        <v>0</v>
      </c>
      <c r="R2584" t="s">
        <v>47429</v>
      </c>
      <c r="S2584" t="s">
        <v>47542</v>
      </c>
      <c r="T2584" t="s">
        <v>49119</v>
      </c>
      <c r="U2584" t="s">
        <v>51878</v>
      </c>
      <c r="W2584" t="s">
        <v>44183</v>
      </c>
      <c r="X2584" t="s">
        <v>47426</v>
      </c>
    </row>
    <row r="2585" spans="1:24">
      <c r="A2585">
        <f>HYPERLINK("https://www.philgeps.gov.ph/GEPSNONPILOT/Tender/SplashBidNoticeAbstractUI.aspx?menuIndex=3&amp;refID=7167826&amp;Result=3","7167826")</f>
        <v>0</v>
      </c>
      <c r="B2585" t="s">
        <v>1111</v>
      </c>
      <c r="C2585" t="s">
        <v>6373</v>
      </c>
      <c r="D2585" t="s">
        <v>19041</v>
      </c>
      <c r="E2585" t="s">
        <v>21455</v>
      </c>
      <c r="F2585" t="s">
        <v>32831</v>
      </c>
      <c r="G2585" t="s">
        <v>32838</v>
      </c>
      <c r="H2585" t="s">
        <v>32848</v>
      </c>
      <c r="I2585" t="s">
        <v>9577</v>
      </c>
      <c r="J2585" t="s">
        <v>34742</v>
      </c>
      <c r="K2585" t="s">
        <v>42727</v>
      </c>
      <c r="M2585" t="s">
        <v>44171</v>
      </c>
      <c r="N2585" t="s">
        <v>47424</v>
      </c>
      <c r="O2585" t="s">
        <v>47425</v>
      </c>
      <c r="P2585">
        <v>0</v>
      </c>
      <c r="Q2585">
        <v>0</v>
      </c>
      <c r="R2585" t="s">
        <v>47429</v>
      </c>
      <c r="S2585" t="s">
        <v>47542</v>
      </c>
      <c r="T2585" t="s">
        <v>49129</v>
      </c>
      <c r="U2585" t="s">
        <v>51879</v>
      </c>
      <c r="W2585" t="s">
        <v>44171</v>
      </c>
      <c r="X2585" t="s">
        <v>47426</v>
      </c>
    </row>
    <row r="2586" spans="1:24">
      <c r="A2586">
        <f>HYPERLINK("https://www.philgeps.gov.ph/GEPSNONPILOT/Tender/SplashBidNoticeAbstractUI.aspx?menuIndex=3&amp;refID=7163107&amp;Result=3","7163107")</f>
        <v>0</v>
      </c>
      <c r="B2586" t="s">
        <v>93</v>
      </c>
      <c r="C2586" t="s">
        <v>6374</v>
      </c>
      <c r="D2586" t="s">
        <v>19035</v>
      </c>
      <c r="E2586" t="s">
        <v>21456</v>
      </c>
      <c r="F2586" t="s">
        <v>32831</v>
      </c>
      <c r="G2586" t="s">
        <v>32840</v>
      </c>
      <c r="H2586" t="s">
        <v>32848</v>
      </c>
      <c r="I2586" t="s">
        <v>32874</v>
      </c>
      <c r="J2586" t="s">
        <v>33087</v>
      </c>
      <c r="K2586" t="s">
        <v>42732</v>
      </c>
      <c r="M2586" t="s">
        <v>43090</v>
      </c>
      <c r="N2586" t="s">
        <v>47424</v>
      </c>
      <c r="O2586" t="s">
        <v>47425</v>
      </c>
      <c r="P2586">
        <v>0</v>
      </c>
      <c r="Q2586">
        <v>5</v>
      </c>
      <c r="R2586" t="s">
        <v>47426</v>
      </c>
      <c r="S2586" t="s">
        <v>47531</v>
      </c>
      <c r="T2586" t="s">
        <v>49162</v>
      </c>
      <c r="U2586" t="s">
        <v>51880</v>
      </c>
      <c r="W2586" t="s">
        <v>43090</v>
      </c>
      <c r="X2586" t="s">
        <v>47430</v>
      </c>
    </row>
    <row r="2587" spans="1:24">
      <c r="A2587">
        <f>HYPERLINK("https://www.philgeps.gov.ph/GEPSNONPILOT/Tender/SplashBidNoticeAbstractUI.aspx?menuIndex=3&amp;refID=7167855&amp;Result=3","7167855")</f>
        <v>0</v>
      </c>
      <c r="B2587" t="s">
        <v>1126</v>
      </c>
      <c r="C2587" t="s">
        <v>6375</v>
      </c>
      <c r="D2587" t="s">
        <v>19056</v>
      </c>
      <c r="E2587" t="s">
        <v>21441</v>
      </c>
      <c r="F2587" t="s">
        <v>32831</v>
      </c>
      <c r="G2587" t="s">
        <v>32838</v>
      </c>
      <c r="H2587" t="s">
        <v>32848</v>
      </c>
      <c r="I2587" t="s">
        <v>4438</v>
      </c>
      <c r="J2587" t="s">
        <v>34331</v>
      </c>
      <c r="K2587" t="s">
        <v>42758</v>
      </c>
      <c r="M2587" t="s">
        <v>44186</v>
      </c>
      <c r="N2587" t="s">
        <v>47424</v>
      </c>
      <c r="O2587" t="s">
        <v>47425</v>
      </c>
      <c r="P2587">
        <v>0</v>
      </c>
      <c r="Q2587">
        <v>0</v>
      </c>
      <c r="R2587" t="s">
        <v>47429</v>
      </c>
      <c r="S2587" t="s">
        <v>47542</v>
      </c>
      <c r="T2587" t="s">
        <v>49151</v>
      </c>
      <c r="U2587" t="s">
        <v>51881</v>
      </c>
      <c r="W2587" t="s">
        <v>44186</v>
      </c>
      <c r="X2587" t="s">
        <v>47426</v>
      </c>
    </row>
    <row r="2588" spans="1:24">
      <c r="A2588">
        <f>HYPERLINK("https://www.philgeps.gov.ph/GEPSNONPILOT/Tender/SplashBidNoticeAbstractUI.aspx?menuIndex=3&amp;refID=7167824&amp;Result=3","7167824")</f>
        <v>0</v>
      </c>
      <c r="B2588" t="s">
        <v>471</v>
      </c>
      <c r="C2588" t="s">
        <v>6376</v>
      </c>
      <c r="D2588" t="s">
        <v>19027</v>
      </c>
      <c r="E2588" t="s">
        <v>21457</v>
      </c>
      <c r="F2588" t="s">
        <v>32831</v>
      </c>
      <c r="G2588" t="s">
        <v>32838</v>
      </c>
      <c r="H2588" t="s">
        <v>32848</v>
      </c>
      <c r="I2588" t="s">
        <v>32881</v>
      </c>
      <c r="J2588" t="s">
        <v>34743</v>
      </c>
      <c r="K2588" t="s">
        <v>42727</v>
      </c>
      <c r="M2588" t="s">
        <v>43476</v>
      </c>
      <c r="N2588" t="s">
        <v>47424</v>
      </c>
      <c r="O2588" t="s">
        <v>47425</v>
      </c>
      <c r="P2588">
        <v>0</v>
      </c>
      <c r="Q2588">
        <v>0</v>
      </c>
      <c r="R2588" t="s">
        <v>47429</v>
      </c>
      <c r="S2588" t="s">
        <v>47542</v>
      </c>
      <c r="T2588" t="s">
        <v>49091</v>
      </c>
      <c r="U2588" t="s">
        <v>51882</v>
      </c>
      <c r="W2588" t="s">
        <v>43476</v>
      </c>
      <c r="X2588" t="s">
        <v>47426</v>
      </c>
    </row>
    <row r="2589" spans="1:24">
      <c r="A2589">
        <f>HYPERLINK("https://www.philgeps.gov.ph/GEPSNONPILOT/Tender/SplashBidNoticeAbstractUI.aspx?menuIndex=3&amp;refID=7167825&amp;Result=3","7167825")</f>
        <v>0</v>
      </c>
      <c r="B2589" t="s">
        <v>1132</v>
      </c>
      <c r="C2589" t="s">
        <v>6377</v>
      </c>
      <c r="D2589" t="s">
        <v>19047</v>
      </c>
      <c r="E2589" t="s">
        <v>21458</v>
      </c>
      <c r="F2589" t="s">
        <v>32831</v>
      </c>
      <c r="G2589" t="s">
        <v>32838</v>
      </c>
      <c r="H2589" t="s">
        <v>32848</v>
      </c>
      <c r="I2589" t="s">
        <v>4438</v>
      </c>
      <c r="J2589" t="s">
        <v>34744</v>
      </c>
      <c r="K2589" t="s">
        <v>42726</v>
      </c>
      <c r="M2589" t="s">
        <v>44193</v>
      </c>
      <c r="N2589" t="s">
        <v>47424</v>
      </c>
      <c r="O2589" t="s">
        <v>47425</v>
      </c>
      <c r="P2589">
        <v>0</v>
      </c>
      <c r="Q2589">
        <v>0</v>
      </c>
      <c r="R2589" t="s">
        <v>47429</v>
      </c>
      <c r="S2589" t="s">
        <v>47542</v>
      </c>
      <c r="T2589" t="s">
        <v>49119</v>
      </c>
      <c r="U2589" t="s">
        <v>51883</v>
      </c>
      <c r="W2589" t="s">
        <v>64458</v>
      </c>
      <c r="X2589" t="s">
        <v>47426</v>
      </c>
    </row>
    <row r="2590" spans="1:24">
      <c r="A2590">
        <f>HYPERLINK("https://www.philgeps.gov.ph/GEPSNONPILOT/Tender/SplashBidNoticeAbstractUI.aspx?menuIndex=3&amp;refID=7162914&amp;Result=3","7162914")</f>
        <v>0</v>
      </c>
      <c r="B2590" t="s">
        <v>1133</v>
      </c>
      <c r="C2590" t="s">
        <v>6378</v>
      </c>
      <c r="D2590" t="s">
        <v>19052</v>
      </c>
      <c r="E2590" t="s">
        <v>21459</v>
      </c>
      <c r="F2590" t="s">
        <v>32831</v>
      </c>
      <c r="G2590" t="s">
        <v>32840</v>
      </c>
      <c r="H2590" t="s">
        <v>32848</v>
      </c>
      <c r="I2590" t="s">
        <v>32857</v>
      </c>
      <c r="J2590" t="s">
        <v>34745</v>
      </c>
      <c r="K2590" t="s">
        <v>42731</v>
      </c>
      <c r="M2590" t="s">
        <v>44194</v>
      </c>
      <c r="N2590" t="s">
        <v>47424</v>
      </c>
      <c r="O2590" t="s">
        <v>47425</v>
      </c>
      <c r="P2590">
        <v>0</v>
      </c>
      <c r="Q2590">
        <v>3</v>
      </c>
      <c r="R2590" t="s">
        <v>47426</v>
      </c>
      <c r="S2590" t="s">
        <v>47531</v>
      </c>
      <c r="T2590" t="s">
        <v>49060</v>
      </c>
      <c r="U2590" t="s">
        <v>51884</v>
      </c>
      <c r="W2590" t="s">
        <v>44194</v>
      </c>
      <c r="X2590" t="s">
        <v>47430</v>
      </c>
    </row>
    <row r="2591" spans="1:24">
      <c r="A2591">
        <f>HYPERLINK("https://www.philgeps.gov.ph/GEPSNONPILOT/Tender/SplashBidNoticeAbstractUI.aspx?menuIndex=3&amp;refID=7167852&amp;Result=3","7167852")</f>
        <v>0</v>
      </c>
      <c r="B2591" t="s">
        <v>1118</v>
      </c>
      <c r="C2591" t="s">
        <v>6346</v>
      </c>
      <c r="D2591" t="s">
        <v>19060</v>
      </c>
      <c r="E2591" t="s">
        <v>21460</v>
      </c>
      <c r="F2591" t="s">
        <v>32831</v>
      </c>
      <c r="G2591" t="s">
        <v>32841</v>
      </c>
      <c r="H2591" t="s">
        <v>32848</v>
      </c>
      <c r="I2591" t="s">
        <v>32883</v>
      </c>
      <c r="J2591" t="s">
        <v>34746</v>
      </c>
      <c r="K2591" t="s">
        <v>42726</v>
      </c>
      <c r="M2591" t="s">
        <v>44178</v>
      </c>
      <c r="N2591" t="s">
        <v>47424</v>
      </c>
      <c r="O2591" t="s">
        <v>47425</v>
      </c>
      <c r="P2591">
        <v>0</v>
      </c>
      <c r="Q2591">
        <v>0</v>
      </c>
      <c r="R2591" t="s">
        <v>47429</v>
      </c>
      <c r="S2591" t="s">
        <v>47542</v>
      </c>
      <c r="T2591" t="s">
        <v>49063</v>
      </c>
      <c r="U2591" t="s">
        <v>51885</v>
      </c>
      <c r="W2591" t="s">
        <v>44178</v>
      </c>
      <c r="X2591" t="s">
        <v>47426</v>
      </c>
    </row>
    <row r="2592" spans="1:24">
      <c r="A2592">
        <f>HYPERLINK("https://www.philgeps.gov.ph/GEPSNONPILOT/Tender/SplashBidNoticeAbstractUI.aspx?menuIndex=3&amp;refID=7167779&amp;Result=3","7167779")</f>
        <v>0</v>
      </c>
      <c r="B2592" t="s">
        <v>801</v>
      </c>
      <c r="C2592" t="s">
        <v>6379</v>
      </c>
      <c r="D2592" t="s">
        <v>19041</v>
      </c>
      <c r="E2592" t="s">
        <v>21461</v>
      </c>
      <c r="F2592" t="s">
        <v>32831</v>
      </c>
      <c r="G2592" t="s">
        <v>32841</v>
      </c>
      <c r="H2592" t="s">
        <v>32849</v>
      </c>
      <c r="I2592" t="s">
        <v>4177</v>
      </c>
      <c r="J2592" t="s">
        <v>34747</v>
      </c>
      <c r="K2592" t="s">
        <v>42730</v>
      </c>
      <c r="M2592" t="s">
        <v>43831</v>
      </c>
      <c r="N2592" t="s">
        <v>47424</v>
      </c>
      <c r="O2592" t="s">
        <v>47425</v>
      </c>
      <c r="P2592">
        <v>0</v>
      </c>
      <c r="Q2592">
        <v>0</v>
      </c>
      <c r="R2592" t="s">
        <v>47429</v>
      </c>
      <c r="S2592" t="s">
        <v>47542</v>
      </c>
      <c r="T2592" t="s">
        <v>49069</v>
      </c>
      <c r="U2592" t="s">
        <v>51886</v>
      </c>
      <c r="W2592" t="s">
        <v>43831</v>
      </c>
      <c r="X2592" t="s">
        <v>47426</v>
      </c>
    </row>
    <row r="2593" spans="1:24">
      <c r="A2593">
        <f>HYPERLINK("https://www.philgeps.gov.ph/GEPSNONPILOT/Tender/SplashBidNoticeAbstractUI.aspx?menuIndex=3&amp;refID=7167778&amp;Result=3","7167778")</f>
        <v>0</v>
      </c>
      <c r="B2593" t="s">
        <v>1134</v>
      </c>
      <c r="C2593" t="s">
        <v>6380</v>
      </c>
      <c r="D2593" t="s">
        <v>19034</v>
      </c>
      <c r="E2593" t="s">
        <v>19606</v>
      </c>
      <c r="F2593" t="s">
        <v>32831</v>
      </c>
      <c r="G2593" t="s">
        <v>32839</v>
      </c>
      <c r="H2593" t="s">
        <v>32848</v>
      </c>
      <c r="I2593" t="s">
        <v>7416</v>
      </c>
      <c r="J2593" t="s">
        <v>34748</v>
      </c>
      <c r="K2593" t="s">
        <v>42748</v>
      </c>
      <c r="M2593" t="s">
        <v>44195</v>
      </c>
      <c r="N2593" t="s">
        <v>47424</v>
      </c>
      <c r="O2593" t="s">
        <v>47425</v>
      </c>
      <c r="P2593">
        <v>0</v>
      </c>
      <c r="Q2593">
        <v>0</v>
      </c>
      <c r="R2593" t="s">
        <v>47429</v>
      </c>
      <c r="S2593" t="s">
        <v>47542</v>
      </c>
      <c r="T2593" t="s">
        <v>49196</v>
      </c>
      <c r="U2593" t="s">
        <v>51887</v>
      </c>
      <c r="W2593" t="s">
        <v>44195</v>
      </c>
      <c r="X2593" t="s">
        <v>47426</v>
      </c>
    </row>
    <row r="2594" spans="1:24">
      <c r="A2594">
        <f>HYPERLINK("https://www.philgeps.gov.ph/GEPSNONPILOT/Tender/SplashBidNoticeAbstractUI.aspx?menuIndex=3&amp;refID=7167837&amp;Result=3","7167837")</f>
        <v>0</v>
      </c>
      <c r="B2594" t="s">
        <v>1115</v>
      </c>
      <c r="C2594" t="s">
        <v>6381</v>
      </c>
      <c r="D2594" t="s">
        <v>19017</v>
      </c>
      <c r="E2594" t="s">
        <v>21462</v>
      </c>
      <c r="F2594" t="s">
        <v>32831</v>
      </c>
      <c r="G2594" t="s">
        <v>32839</v>
      </c>
      <c r="H2594" t="s">
        <v>32848</v>
      </c>
      <c r="I2594" t="s">
        <v>4487</v>
      </c>
      <c r="J2594" t="s">
        <v>34749</v>
      </c>
      <c r="K2594" t="s">
        <v>42732</v>
      </c>
      <c r="M2594" t="s">
        <v>44196</v>
      </c>
      <c r="N2594" t="s">
        <v>47424</v>
      </c>
      <c r="O2594" t="s">
        <v>47425</v>
      </c>
      <c r="P2594">
        <v>0</v>
      </c>
      <c r="Q2594">
        <v>1</v>
      </c>
      <c r="R2594" t="s">
        <v>47429</v>
      </c>
      <c r="S2594" t="s">
        <v>47542</v>
      </c>
      <c r="T2594" t="s">
        <v>49301</v>
      </c>
      <c r="U2594" t="s">
        <v>51888</v>
      </c>
      <c r="V2594" t="s">
        <v>62898</v>
      </c>
      <c r="W2594" t="s">
        <v>44196</v>
      </c>
      <c r="X2594" t="s">
        <v>47426</v>
      </c>
    </row>
    <row r="2595" spans="1:24">
      <c r="A2595">
        <f>HYPERLINK("https://www.philgeps.gov.ph/GEPSNONPILOT/Tender/SplashBidNoticeAbstractUI.aspx?menuIndex=3&amp;refID=7162146&amp;Result=3","7162146")</f>
        <v>0</v>
      </c>
      <c r="B2595" t="s">
        <v>689</v>
      </c>
      <c r="C2595" t="s">
        <v>6382</v>
      </c>
      <c r="E2595" t="s">
        <v>21463</v>
      </c>
      <c r="F2595" t="s">
        <v>32831</v>
      </c>
      <c r="G2595" t="s">
        <v>32838</v>
      </c>
      <c r="H2595" t="s">
        <v>32848</v>
      </c>
      <c r="I2595" t="s">
        <v>4776</v>
      </c>
      <c r="J2595" t="s">
        <v>34750</v>
      </c>
      <c r="K2595" t="s">
        <v>42732</v>
      </c>
      <c r="M2595" t="s">
        <v>43708</v>
      </c>
      <c r="N2595" t="s">
        <v>47424</v>
      </c>
      <c r="O2595" t="s">
        <v>47425</v>
      </c>
      <c r="P2595">
        <v>0</v>
      </c>
      <c r="Q2595">
        <v>4</v>
      </c>
      <c r="R2595" t="s">
        <v>47428</v>
      </c>
      <c r="S2595" t="s">
        <v>47541</v>
      </c>
      <c r="T2595" t="s">
        <v>49096</v>
      </c>
      <c r="U2595" t="s">
        <v>51889</v>
      </c>
      <c r="V2595" t="s">
        <v>62784</v>
      </c>
      <c r="W2595" t="s">
        <v>43708</v>
      </c>
      <c r="X2595" t="s">
        <v>47430</v>
      </c>
    </row>
    <row r="2596" spans="1:24">
      <c r="A2596">
        <f>HYPERLINK("https://www.philgeps.gov.ph/GEPSNONPILOT/Tender/SplashBidNoticeAbstractUI.aspx?menuIndex=3&amp;refID=7162151&amp;Result=3","7162151")</f>
        <v>0</v>
      </c>
      <c r="B2596" t="s">
        <v>693</v>
      </c>
      <c r="C2596" t="s">
        <v>6383</v>
      </c>
      <c r="D2596" t="s">
        <v>19073</v>
      </c>
      <c r="E2596" t="s">
        <v>20444</v>
      </c>
      <c r="F2596" t="s">
        <v>32831</v>
      </c>
      <c r="G2596" t="s">
        <v>32838</v>
      </c>
      <c r="H2596" t="s">
        <v>32848</v>
      </c>
      <c r="I2596" t="s">
        <v>32884</v>
      </c>
      <c r="J2596" t="s">
        <v>34548</v>
      </c>
      <c r="K2596" t="s">
        <v>42731</v>
      </c>
      <c r="M2596" t="s">
        <v>43712</v>
      </c>
      <c r="N2596" t="s">
        <v>47424</v>
      </c>
      <c r="O2596" t="s">
        <v>47425</v>
      </c>
      <c r="P2596">
        <v>0</v>
      </c>
      <c r="Q2596">
        <v>3</v>
      </c>
      <c r="R2596" t="s">
        <v>47428</v>
      </c>
      <c r="S2596" t="s">
        <v>47541</v>
      </c>
      <c r="T2596" t="s">
        <v>49108</v>
      </c>
      <c r="U2596" t="s">
        <v>51890</v>
      </c>
      <c r="W2596" t="s">
        <v>43712</v>
      </c>
      <c r="X2596" t="s">
        <v>47430</v>
      </c>
    </row>
    <row r="2597" spans="1:24">
      <c r="A2597">
        <f>HYPERLINK("https://www.philgeps.gov.ph/GEPSNONPILOT/Tender/SplashBidNoticeAbstractUI.aspx?menuIndex=3&amp;refID=7162148&amp;Result=3","7162148")</f>
        <v>0</v>
      </c>
      <c r="B2597" t="s">
        <v>669</v>
      </c>
      <c r="C2597" t="s">
        <v>5282</v>
      </c>
      <c r="D2597" t="s">
        <v>19022</v>
      </c>
      <c r="E2597" t="s">
        <v>21464</v>
      </c>
      <c r="F2597" t="s">
        <v>32831</v>
      </c>
      <c r="G2597" t="s">
        <v>32838</v>
      </c>
      <c r="H2597" t="s">
        <v>32848</v>
      </c>
      <c r="I2597" t="s">
        <v>32868</v>
      </c>
      <c r="J2597" t="s">
        <v>34751</v>
      </c>
      <c r="K2597" t="s">
        <v>42726</v>
      </c>
      <c r="M2597" t="s">
        <v>43688</v>
      </c>
      <c r="N2597" t="s">
        <v>47424</v>
      </c>
      <c r="O2597" t="s">
        <v>47425</v>
      </c>
      <c r="P2597">
        <v>0</v>
      </c>
      <c r="Q2597">
        <v>5</v>
      </c>
      <c r="R2597" t="s">
        <v>47428</v>
      </c>
      <c r="S2597" t="s">
        <v>47541</v>
      </c>
      <c r="T2597" t="s">
        <v>49237</v>
      </c>
      <c r="U2597" t="s">
        <v>51891</v>
      </c>
      <c r="W2597" t="s">
        <v>43688</v>
      </c>
      <c r="X2597" t="s">
        <v>47430</v>
      </c>
    </row>
    <row r="2598" spans="1:24">
      <c r="A2598">
        <f>HYPERLINK("https://www.philgeps.gov.ph/GEPSNONPILOT/Tender/SplashBidNoticeAbstractUI.aspx?menuIndex=3&amp;refID=7162152&amp;Result=3","7162152")</f>
        <v>0</v>
      </c>
      <c r="B2598" t="s">
        <v>672</v>
      </c>
      <c r="C2598" t="s">
        <v>6384</v>
      </c>
      <c r="D2598" t="s">
        <v>19085</v>
      </c>
      <c r="E2598" t="s">
        <v>21465</v>
      </c>
      <c r="F2598" t="s">
        <v>32831</v>
      </c>
      <c r="G2598" t="s">
        <v>32839</v>
      </c>
      <c r="H2598" t="s">
        <v>32848</v>
      </c>
      <c r="I2598" t="s">
        <v>4303</v>
      </c>
      <c r="J2598" t="s">
        <v>34752</v>
      </c>
      <c r="K2598" t="s">
        <v>42726</v>
      </c>
      <c r="M2598" t="s">
        <v>43691</v>
      </c>
      <c r="N2598" t="s">
        <v>47424</v>
      </c>
      <c r="O2598" t="s">
        <v>47425</v>
      </c>
      <c r="P2598">
        <v>0</v>
      </c>
      <c r="Q2598">
        <v>0</v>
      </c>
      <c r="R2598" t="s">
        <v>47428</v>
      </c>
      <c r="S2598" t="s">
        <v>47541</v>
      </c>
      <c r="T2598" t="s">
        <v>49066</v>
      </c>
      <c r="U2598" t="s">
        <v>51892</v>
      </c>
      <c r="V2598" t="s">
        <v>62899</v>
      </c>
      <c r="W2598" t="s">
        <v>43691</v>
      </c>
      <c r="X2598" t="s">
        <v>47430</v>
      </c>
    </row>
    <row r="2599" spans="1:24">
      <c r="A2599">
        <f>HYPERLINK("https://www.philgeps.gov.ph/GEPSNONPILOT/Tender/SplashBidNoticeAbstractUI.aspx?menuIndex=3&amp;refID=7162155&amp;Result=3","7162155")</f>
        <v>0</v>
      </c>
      <c r="B2599" t="s">
        <v>1135</v>
      </c>
      <c r="C2599" t="s">
        <v>6385</v>
      </c>
      <c r="D2599" t="s">
        <v>19064</v>
      </c>
      <c r="E2599" t="s">
        <v>21466</v>
      </c>
      <c r="F2599" t="s">
        <v>32831</v>
      </c>
      <c r="G2599" t="s">
        <v>32838</v>
      </c>
      <c r="H2599" t="s">
        <v>32848</v>
      </c>
      <c r="I2599" t="s">
        <v>7751</v>
      </c>
      <c r="J2599" t="s">
        <v>33108</v>
      </c>
      <c r="K2599" t="s">
        <v>42726</v>
      </c>
      <c r="M2599" t="s">
        <v>44197</v>
      </c>
      <c r="N2599" t="s">
        <v>47424</v>
      </c>
      <c r="O2599" t="s">
        <v>47425</v>
      </c>
      <c r="P2599">
        <v>0</v>
      </c>
      <c r="Q2599">
        <v>0</v>
      </c>
      <c r="R2599" t="s">
        <v>47428</v>
      </c>
      <c r="S2599" t="s">
        <v>47541</v>
      </c>
      <c r="T2599" t="s">
        <v>49210</v>
      </c>
      <c r="U2599" t="s">
        <v>51893</v>
      </c>
      <c r="W2599" t="s">
        <v>44197</v>
      </c>
      <c r="X2599" t="s">
        <v>47430</v>
      </c>
    </row>
    <row r="2600" spans="1:24">
      <c r="A2600">
        <f>HYPERLINK("https://www.philgeps.gov.ph/GEPSNONPILOT/Tender/SplashBidNoticeAbstractUI.aspx?menuIndex=3&amp;refID=7162167&amp;Result=3","7162167")</f>
        <v>0</v>
      </c>
      <c r="B2600" t="s">
        <v>691</v>
      </c>
      <c r="C2600" t="s">
        <v>5314</v>
      </c>
      <c r="D2600" t="s">
        <v>19026</v>
      </c>
      <c r="E2600" t="s">
        <v>21467</v>
      </c>
      <c r="F2600" t="s">
        <v>32831</v>
      </c>
      <c r="G2600" t="s">
        <v>32838</v>
      </c>
      <c r="H2600" t="s">
        <v>32848</v>
      </c>
      <c r="I2600" t="s">
        <v>10805</v>
      </c>
      <c r="J2600" t="s">
        <v>33087</v>
      </c>
      <c r="K2600" t="s">
        <v>42748</v>
      </c>
      <c r="M2600" t="s">
        <v>43710</v>
      </c>
      <c r="N2600" t="s">
        <v>47424</v>
      </c>
      <c r="O2600" t="s">
        <v>47425</v>
      </c>
      <c r="P2600">
        <v>0</v>
      </c>
      <c r="Q2600">
        <v>0</v>
      </c>
      <c r="R2600" t="s">
        <v>47428</v>
      </c>
      <c r="S2600" t="s">
        <v>47541</v>
      </c>
      <c r="T2600" t="s">
        <v>49237</v>
      </c>
      <c r="U2600" t="s">
        <v>51894</v>
      </c>
      <c r="W2600" t="s">
        <v>43710</v>
      </c>
      <c r="X2600" t="s">
        <v>47430</v>
      </c>
    </row>
    <row r="2601" spans="1:24">
      <c r="A2601">
        <f>HYPERLINK("https://www.philgeps.gov.ph/GEPSNONPILOT/Tender/SplashBidNoticeAbstractUI.aspx?menuIndex=3&amp;refID=7162166&amp;Result=3","7162166")</f>
        <v>0</v>
      </c>
      <c r="B2601" t="s">
        <v>82</v>
      </c>
      <c r="C2601" t="s">
        <v>6386</v>
      </c>
      <c r="D2601" t="s">
        <v>19043</v>
      </c>
      <c r="E2601" t="s">
        <v>21468</v>
      </c>
      <c r="F2601" t="s">
        <v>32831</v>
      </c>
      <c r="G2601" t="s">
        <v>32838</v>
      </c>
      <c r="H2601" t="s">
        <v>32848</v>
      </c>
      <c r="I2601" t="s">
        <v>8781</v>
      </c>
      <c r="J2601" t="s">
        <v>34087</v>
      </c>
      <c r="K2601" t="s">
        <v>42774</v>
      </c>
      <c r="M2601" t="s">
        <v>44198</v>
      </c>
      <c r="N2601" t="s">
        <v>47424</v>
      </c>
      <c r="O2601" t="s">
        <v>47425</v>
      </c>
      <c r="P2601">
        <v>0</v>
      </c>
      <c r="Q2601">
        <v>1</v>
      </c>
      <c r="R2601" t="s">
        <v>47428</v>
      </c>
      <c r="S2601" t="s">
        <v>47541</v>
      </c>
      <c r="T2601" t="s">
        <v>49239</v>
      </c>
      <c r="U2601" t="s">
        <v>51895</v>
      </c>
      <c r="W2601" t="s">
        <v>44198</v>
      </c>
      <c r="X2601" t="s">
        <v>47430</v>
      </c>
    </row>
    <row r="2602" spans="1:24">
      <c r="A2602">
        <f>HYPERLINK("https://www.philgeps.gov.ph/GEPSNONPILOT/Tender/SplashBidNoticeAbstractUI.aspx?menuIndex=3&amp;refID=7162164&amp;Result=3","7162164")</f>
        <v>0</v>
      </c>
      <c r="B2602" t="s">
        <v>609</v>
      </c>
      <c r="C2602" t="s">
        <v>6387</v>
      </c>
      <c r="D2602" t="s">
        <v>19017</v>
      </c>
      <c r="E2602" t="s">
        <v>21469</v>
      </c>
      <c r="F2602" t="s">
        <v>32831</v>
      </c>
      <c r="G2602" t="s">
        <v>32840</v>
      </c>
      <c r="H2602" t="s">
        <v>32848</v>
      </c>
      <c r="I2602" t="s">
        <v>32864</v>
      </c>
      <c r="J2602" t="s">
        <v>33704</v>
      </c>
      <c r="K2602" t="s">
        <v>42732</v>
      </c>
      <c r="M2602" t="s">
        <v>43623</v>
      </c>
      <c r="N2602" t="s">
        <v>47424</v>
      </c>
      <c r="O2602" t="s">
        <v>47425</v>
      </c>
      <c r="Q2602">
        <v>8</v>
      </c>
      <c r="R2602" t="s">
        <v>47428</v>
      </c>
      <c r="S2602" t="s">
        <v>47544</v>
      </c>
      <c r="T2602" t="s">
        <v>49107</v>
      </c>
      <c r="U2602" t="s">
        <v>51896</v>
      </c>
      <c r="W2602" t="s">
        <v>43623</v>
      </c>
      <c r="X2602" t="s">
        <v>47430</v>
      </c>
    </row>
    <row r="2603" spans="1:24">
      <c r="A2603">
        <f>HYPERLINK("https://www.philgeps.gov.ph/GEPSNONPILOT/Tender/SplashBidNoticeAbstractUI.aspx?menuIndex=3&amp;refID=7162154&amp;Result=3","7162154")</f>
        <v>0</v>
      </c>
      <c r="B2603" t="s">
        <v>691</v>
      </c>
      <c r="C2603" t="s">
        <v>5314</v>
      </c>
      <c r="D2603" t="s">
        <v>19026</v>
      </c>
      <c r="E2603" t="s">
        <v>21470</v>
      </c>
      <c r="F2603" t="s">
        <v>32831</v>
      </c>
      <c r="G2603" t="s">
        <v>32838</v>
      </c>
      <c r="H2603" t="s">
        <v>32848</v>
      </c>
      <c r="I2603" t="s">
        <v>7416</v>
      </c>
      <c r="J2603" t="s">
        <v>33087</v>
      </c>
      <c r="K2603" t="s">
        <v>42748</v>
      </c>
      <c r="M2603" t="s">
        <v>43710</v>
      </c>
      <c r="N2603" t="s">
        <v>47424</v>
      </c>
      <c r="O2603" t="s">
        <v>47425</v>
      </c>
      <c r="P2603">
        <v>0</v>
      </c>
      <c r="Q2603">
        <v>0</v>
      </c>
      <c r="R2603" t="s">
        <v>47428</v>
      </c>
      <c r="S2603" t="s">
        <v>47541</v>
      </c>
      <c r="T2603" t="s">
        <v>49237</v>
      </c>
      <c r="U2603" t="s">
        <v>51897</v>
      </c>
      <c r="W2603" t="s">
        <v>43710</v>
      </c>
      <c r="X2603" t="s">
        <v>47430</v>
      </c>
    </row>
    <row r="2604" spans="1:24">
      <c r="A2604">
        <f>HYPERLINK("https://www.philgeps.gov.ph/GEPSNONPILOT/Tender/SplashBidNoticeAbstractUI.aspx?menuIndex=3&amp;refID=7162163&amp;Result=3","7162163")</f>
        <v>0</v>
      </c>
      <c r="B2604" t="s">
        <v>1136</v>
      </c>
      <c r="C2604" t="s">
        <v>6388</v>
      </c>
      <c r="D2604" t="s">
        <v>19090</v>
      </c>
      <c r="E2604" t="s">
        <v>21471</v>
      </c>
      <c r="F2604" t="s">
        <v>32831</v>
      </c>
      <c r="G2604" t="s">
        <v>32839</v>
      </c>
      <c r="H2604" t="s">
        <v>32848</v>
      </c>
      <c r="I2604" t="s">
        <v>9577</v>
      </c>
      <c r="J2604" t="s">
        <v>34753</v>
      </c>
      <c r="K2604" t="s">
        <v>42748</v>
      </c>
      <c r="M2604" t="s">
        <v>44199</v>
      </c>
      <c r="N2604" t="s">
        <v>47424</v>
      </c>
      <c r="O2604" t="s">
        <v>47425</v>
      </c>
      <c r="P2604">
        <v>0</v>
      </c>
      <c r="Q2604">
        <v>0</v>
      </c>
      <c r="R2604" t="s">
        <v>47428</v>
      </c>
      <c r="S2604" t="s">
        <v>47541</v>
      </c>
      <c r="T2604" t="s">
        <v>49073</v>
      </c>
      <c r="U2604" t="s">
        <v>51898</v>
      </c>
      <c r="W2604" t="s">
        <v>44199</v>
      </c>
      <c r="X2604" t="s">
        <v>47430</v>
      </c>
    </row>
    <row r="2605" spans="1:24">
      <c r="A2605">
        <f>HYPERLINK("https://www.philgeps.gov.ph/GEPSNONPILOT/Tender/SplashBidNoticeAbstractUI.aspx?menuIndex=3&amp;refID=7162174&amp;Result=3","7162174")</f>
        <v>0</v>
      </c>
      <c r="B2605" t="s">
        <v>672</v>
      </c>
      <c r="C2605" t="s">
        <v>6389</v>
      </c>
      <c r="D2605" t="s">
        <v>19085</v>
      </c>
      <c r="E2605" t="s">
        <v>21472</v>
      </c>
      <c r="F2605" t="s">
        <v>32831</v>
      </c>
      <c r="G2605" t="s">
        <v>32839</v>
      </c>
      <c r="H2605" t="s">
        <v>32848</v>
      </c>
      <c r="I2605" t="s">
        <v>32853</v>
      </c>
      <c r="J2605" t="s">
        <v>34754</v>
      </c>
      <c r="K2605" t="s">
        <v>42726</v>
      </c>
      <c r="M2605" t="s">
        <v>43691</v>
      </c>
      <c r="N2605" t="s">
        <v>47424</v>
      </c>
      <c r="O2605" t="s">
        <v>47425</v>
      </c>
      <c r="P2605">
        <v>0</v>
      </c>
      <c r="Q2605">
        <v>0</v>
      </c>
      <c r="R2605" t="s">
        <v>47428</v>
      </c>
      <c r="S2605" t="s">
        <v>47541</v>
      </c>
      <c r="T2605" t="s">
        <v>49102</v>
      </c>
      <c r="U2605" t="s">
        <v>51899</v>
      </c>
      <c r="V2605" t="s">
        <v>62900</v>
      </c>
      <c r="W2605" t="s">
        <v>43691</v>
      </c>
      <c r="X2605" t="s">
        <v>47430</v>
      </c>
    </row>
    <row r="2606" spans="1:24">
      <c r="A2606">
        <f>HYPERLINK("https://www.philgeps.gov.ph/GEPSNONPILOT/Tender/SplashBidNoticeAbstractUI.aspx?menuIndex=3&amp;refID=7162150&amp;Result=3","7162150")</f>
        <v>0</v>
      </c>
      <c r="B2606" t="s">
        <v>978</v>
      </c>
      <c r="C2606" t="s">
        <v>6390</v>
      </c>
      <c r="D2606" t="s">
        <v>19057</v>
      </c>
      <c r="E2606" t="s">
        <v>21473</v>
      </c>
      <c r="F2606" t="s">
        <v>32831</v>
      </c>
      <c r="G2606" t="s">
        <v>32839</v>
      </c>
      <c r="H2606" t="s">
        <v>32848</v>
      </c>
      <c r="I2606" t="s">
        <v>4776</v>
      </c>
      <c r="J2606" t="s">
        <v>34755</v>
      </c>
      <c r="K2606" t="s">
        <v>42748</v>
      </c>
      <c r="M2606" t="s">
        <v>44027</v>
      </c>
      <c r="N2606" t="s">
        <v>47424</v>
      </c>
      <c r="O2606" t="s">
        <v>47425</v>
      </c>
      <c r="P2606">
        <v>0</v>
      </c>
      <c r="Q2606">
        <v>4</v>
      </c>
      <c r="R2606" t="s">
        <v>47428</v>
      </c>
      <c r="S2606" t="s">
        <v>47541</v>
      </c>
      <c r="T2606" t="s">
        <v>49316</v>
      </c>
      <c r="U2606" t="s">
        <v>51900</v>
      </c>
      <c r="W2606" t="s">
        <v>44027</v>
      </c>
      <c r="X2606" t="s">
        <v>47430</v>
      </c>
    </row>
    <row r="2607" spans="1:24">
      <c r="A2607">
        <f>HYPERLINK("https://www.philgeps.gov.ph/GEPSNONPILOT/Tender/SplashBidNoticeAbstractUI.aspx?menuIndex=3&amp;refID=7162160&amp;Result=3","7162160")</f>
        <v>0</v>
      </c>
      <c r="B2607" t="s">
        <v>771</v>
      </c>
      <c r="C2607" t="s">
        <v>6391</v>
      </c>
      <c r="D2607" t="s">
        <v>19073</v>
      </c>
      <c r="E2607" t="s">
        <v>21474</v>
      </c>
      <c r="F2607" t="s">
        <v>32831</v>
      </c>
      <c r="G2607" t="s">
        <v>32840</v>
      </c>
      <c r="H2607" t="s">
        <v>32848</v>
      </c>
      <c r="I2607" t="s">
        <v>32944</v>
      </c>
      <c r="J2607" t="s">
        <v>33044</v>
      </c>
      <c r="K2607" t="s">
        <v>42726</v>
      </c>
      <c r="M2607" t="s">
        <v>43800</v>
      </c>
      <c r="N2607" t="s">
        <v>47424</v>
      </c>
      <c r="O2607" t="s">
        <v>47425</v>
      </c>
      <c r="P2607">
        <v>0</v>
      </c>
      <c r="Q2607">
        <v>1</v>
      </c>
      <c r="R2607" t="s">
        <v>47428</v>
      </c>
      <c r="S2607" t="s">
        <v>47541</v>
      </c>
      <c r="T2607" t="s">
        <v>49237</v>
      </c>
      <c r="U2607" t="s">
        <v>51901</v>
      </c>
      <c r="W2607" t="s">
        <v>43800</v>
      </c>
      <c r="X2607" t="s">
        <v>47430</v>
      </c>
    </row>
    <row r="2608" spans="1:24">
      <c r="A2608">
        <f>HYPERLINK("https://www.philgeps.gov.ph/GEPSNONPILOT/Tender/SplashBidNoticeAbstractUI.aspx?menuIndex=3&amp;refID=7162191&amp;Result=3","7162191")</f>
        <v>0</v>
      </c>
      <c r="B2608" t="s">
        <v>1137</v>
      </c>
      <c r="C2608" t="s">
        <v>6392</v>
      </c>
      <c r="D2608" t="s">
        <v>19020</v>
      </c>
      <c r="E2608" t="s">
        <v>21475</v>
      </c>
      <c r="F2608" t="s">
        <v>32831</v>
      </c>
      <c r="G2608" t="s">
        <v>32839</v>
      </c>
      <c r="H2608" t="s">
        <v>32849</v>
      </c>
      <c r="I2608" t="s">
        <v>4177</v>
      </c>
      <c r="J2608" t="s">
        <v>34756</v>
      </c>
      <c r="K2608" t="s">
        <v>42732</v>
      </c>
      <c r="M2608" t="s">
        <v>44200</v>
      </c>
      <c r="N2608" t="s">
        <v>47424</v>
      </c>
      <c r="O2608" t="s">
        <v>47425</v>
      </c>
      <c r="P2608">
        <v>0</v>
      </c>
      <c r="Q2608">
        <v>0</v>
      </c>
      <c r="R2608" t="s">
        <v>47428</v>
      </c>
      <c r="S2608" t="s">
        <v>47541</v>
      </c>
      <c r="T2608" t="s">
        <v>49301</v>
      </c>
      <c r="U2608" t="s">
        <v>51902</v>
      </c>
      <c r="W2608" t="s">
        <v>44200</v>
      </c>
      <c r="X2608" t="s">
        <v>47430</v>
      </c>
    </row>
    <row r="2609" spans="1:24">
      <c r="A2609">
        <f>HYPERLINK("https://www.philgeps.gov.ph/GEPSNONPILOT/Tender/SplashBidNoticeAbstractUI.aspx?menuIndex=3&amp;refID=7162157&amp;Result=3","7162157")</f>
        <v>0</v>
      </c>
      <c r="B2609" t="s">
        <v>649</v>
      </c>
      <c r="C2609" t="s">
        <v>6393</v>
      </c>
      <c r="D2609" t="s">
        <v>19082</v>
      </c>
      <c r="E2609" t="s">
        <v>21476</v>
      </c>
      <c r="F2609" t="s">
        <v>32831</v>
      </c>
      <c r="G2609" t="s">
        <v>32838</v>
      </c>
      <c r="H2609" t="s">
        <v>32848</v>
      </c>
      <c r="I2609" t="s">
        <v>32860</v>
      </c>
      <c r="J2609" t="s">
        <v>34757</v>
      </c>
      <c r="K2609" t="s">
        <v>42727</v>
      </c>
      <c r="M2609" t="s">
        <v>43666</v>
      </c>
      <c r="N2609" t="s">
        <v>47424</v>
      </c>
      <c r="O2609" t="s">
        <v>47425</v>
      </c>
      <c r="P2609">
        <v>0</v>
      </c>
      <c r="Q2609">
        <v>0</v>
      </c>
      <c r="R2609" t="s">
        <v>47428</v>
      </c>
      <c r="S2609" t="s">
        <v>47541</v>
      </c>
      <c r="T2609" t="s">
        <v>49073</v>
      </c>
      <c r="U2609" t="s">
        <v>51903</v>
      </c>
      <c r="W2609" t="s">
        <v>43666</v>
      </c>
      <c r="X2609" t="s">
        <v>47430</v>
      </c>
    </row>
    <row r="2610" spans="1:24">
      <c r="A2610">
        <f>HYPERLINK("https://www.philgeps.gov.ph/GEPSNONPILOT/Tender/SplashBidNoticeAbstractUI.aspx?menuIndex=3&amp;refID=7162161&amp;Result=3","7162161")</f>
        <v>0</v>
      </c>
      <c r="B2610" t="s">
        <v>1138</v>
      </c>
      <c r="C2610" t="s">
        <v>6394</v>
      </c>
      <c r="D2610" t="s">
        <v>19060</v>
      </c>
      <c r="E2610" t="s">
        <v>21477</v>
      </c>
      <c r="F2610" t="s">
        <v>32831</v>
      </c>
      <c r="G2610" t="s">
        <v>32840</v>
      </c>
      <c r="H2610" t="s">
        <v>32848</v>
      </c>
      <c r="I2610" t="s">
        <v>32870</v>
      </c>
      <c r="J2610" t="s">
        <v>34758</v>
      </c>
      <c r="K2610" t="s">
        <v>42727</v>
      </c>
      <c r="M2610" t="s">
        <v>44201</v>
      </c>
      <c r="N2610" t="s">
        <v>47424</v>
      </c>
      <c r="O2610" t="s">
        <v>47425</v>
      </c>
      <c r="P2610">
        <v>0</v>
      </c>
      <c r="Q2610">
        <v>1</v>
      </c>
      <c r="R2610" t="s">
        <v>47428</v>
      </c>
      <c r="S2610" t="s">
        <v>47541</v>
      </c>
      <c r="T2610" t="s">
        <v>49166</v>
      </c>
      <c r="U2610" t="s">
        <v>51904</v>
      </c>
      <c r="W2610" t="s">
        <v>44201</v>
      </c>
      <c r="X2610" t="s">
        <v>47430</v>
      </c>
    </row>
    <row r="2611" spans="1:24">
      <c r="A2611">
        <f>HYPERLINK("https://www.philgeps.gov.ph/GEPSNONPILOT/Tender/SplashBidNoticeAbstractUI.aspx?menuIndex=3&amp;refID=7162158&amp;Result=3","7162158")</f>
        <v>0</v>
      </c>
      <c r="B2611" t="s">
        <v>700</v>
      </c>
      <c r="C2611" t="s">
        <v>6395</v>
      </c>
      <c r="D2611" t="s">
        <v>19046</v>
      </c>
      <c r="E2611" t="s">
        <v>21478</v>
      </c>
      <c r="F2611" t="s">
        <v>32831</v>
      </c>
      <c r="G2611" t="s">
        <v>32839</v>
      </c>
      <c r="H2611" t="s">
        <v>32848</v>
      </c>
      <c r="I2611" t="s">
        <v>32914</v>
      </c>
      <c r="J2611" t="s">
        <v>34759</v>
      </c>
      <c r="K2611" t="s">
        <v>42757</v>
      </c>
      <c r="M2611" t="s">
        <v>43719</v>
      </c>
      <c r="N2611" t="s">
        <v>47424</v>
      </c>
      <c r="O2611" t="s">
        <v>47425</v>
      </c>
      <c r="P2611">
        <v>0</v>
      </c>
      <c r="Q2611">
        <v>11</v>
      </c>
      <c r="R2611" t="s">
        <v>47428</v>
      </c>
      <c r="S2611" t="s">
        <v>47541</v>
      </c>
      <c r="T2611" t="s">
        <v>49317</v>
      </c>
      <c r="U2611" t="s">
        <v>51905</v>
      </c>
      <c r="W2611" t="s">
        <v>43719</v>
      </c>
      <c r="X2611" t="s">
        <v>47430</v>
      </c>
    </row>
    <row r="2612" spans="1:24">
      <c r="A2612">
        <f>HYPERLINK("https://www.philgeps.gov.ph/GEPSNONPILOT/Tender/SplashBidNoticeAbstractUI.aspx?menuIndex=3&amp;refID=7162186&amp;Result=3","7162186")</f>
        <v>0</v>
      </c>
      <c r="B2612" t="s">
        <v>1139</v>
      </c>
      <c r="C2612" t="s">
        <v>6396</v>
      </c>
      <c r="D2612" t="s">
        <v>19077</v>
      </c>
      <c r="E2612" t="s">
        <v>21479</v>
      </c>
      <c r="F2612" t="s">
        <v>32831</v>
      </c>
      <c r="G2612" t="s">
        <v>32838</v>
      </c>
      <c r="H2612" t="s">
        <v>32848</v>
      </c>
      <c r="I2612" t="s">
        <v>32872</v>
      </c>
      <c r="J2612" t="s">
        <v>32980</v>
      </c>
      <c r="K2612" t="s">
        <v>42727</v>
      </c>
      <c r="M2612" t="s">
        <v>44202</v>
      </c>
      <c r="N2612" t="s">
        <v>47424</v>
      </c>
      <c r="O2612" t="s">
        <v>47425</v>
      </c>
      <c r="P2612">
        <v>0</v>
      </c>
      <c r="Q2612">
        <v>0</v>
      </c>
      <c r="R2612" t="s">
        <v>47428</v>
      </c>
      <c r="S2612" t="s">
        <v>47541</v>
      </c>
      <c r="T2612" t="s">
        <v>49111</v>
      </c>
      <c r="U2612" t="s">
        <v>51906</v>
      </c>
      <c r="V2612" t="s">
        <v>62901</v>
      </c>
      <c r="W2612" t="s">
        <v>44202</v>
      </c>
      <c r="X2612" t="s">
        <v>47430</v>
      </c>
    </row>
    <row r="2613" spans="1:24">
      <c r="A2613">
        <f>HYPERLINK("https://www.philgeps.gov.ph/GEPSNONPILOT/Tender/SplashBidNoticeAbstractUI.aspx?menuIndex=3&amp;refID=7162185&amp;Result=3","7162185")</f>
        <v>0</v>
      </c>
      <c r="B2613" t="s">
        <v>689</v>
      </c>
      <c r="C2613" t="s">
        <v>6397</v>
      </c>
      <c r="E2613" t="s">
        <v>21480</v>
      </c>
      <c r="F2613" t="s">
        <v>32831</v>
      </c>
      <c r="G2613" t="s">
        <v>32838</v>
      </c>
      <c r="H2613" t="s">
        <v>32848</v>
      </c>
      <c r="I2613" t="s">
        <v>32867</v>
      </c>
      <c r="J2613" t="s">
        <v>34760</v>
      </c>
      <c r="K2613" t="s">
        <v>42732</v>
      </c>
      <c r="M2613" t="s">
        <v>43708</v>
      </c>
      <c r="N2613" t="s">
        <v>47424</v>
      </c>
      <c r="O2613" t="s">
        <v>47425</v>
      </c>
      <c r="P2613">
        <v>0</v>
      </c>
      <c r="Q2613">
        <v>11</v>
      </c>
      <c r="R2613" t="s">
        <v>47428</v>
      </c>
      <c r="S2613" t="s">
        <v>47541</v>
      </c>
      <c r="T2613" t="s">
        <v>49096</v>
      </c>
      <c r="U2613" t="s">
        <v>51907</v>
      </c>
      <c r="V2613" t="s">
        <v>62902</v>
      </c>
      <c r="W2613" t="s">
        <v>43708</v>
      </c>
      <c r="X2613" t="s">
        <v>47430</v>
      </c>
    </row>
    <row r="2614" spans="1:24">
      <c r="A2614">
        <f>HYPERLINK("https://www.philgeps.gov.ph/GEPSNONPILOT/Tender/SplashBidNoticeAbstractUI.aspx?menuIndex=3&amp;refID=7162178&amp;Result=3","7162178")</f>
        <v>0</v>
      </c>
      <c r="B2614" t="s">
        <v>1060</v>
      </c>
      <c r="C2614" t="s">
        <v>6398</v>
      </c>
      <c r="D2614" t="s">
        <v>19036</v>
      </c>
      <c r="E2614" t="s">
        <v>21481</v>
      </c>
      <c r="F2614" t="s">
        <v>32831</v>
      </c>
      <c r="G2614" t="s">
        <v>32838</v>
      </c>
      <c r="H2614" t="s">
        <v>32848</v>
      </c>
      <c r="I2614" t="s">
        <v>8577</v>
      </c>
      <c r="J2614" t="s">
        <v>34761</v>
      </c>
      <c r="K2614" t="s">
        <v>42731</v>
      </c>
      <c r="M2614" t="s">
        <v>44117</v>
      </c>
      <c r="N2614" t="s">
        <v>47424</v>
      </c>
      <c r="O2614" t="s">
        <v>47425</v>
      </c>
      <c r="P2614">
        <v>0</v>
      </c>
      <c r="Q2614">
        <v>1</v>
      </c>
      <c r="R2614" t="s">
        <v>47428</v>
      </c>
      <c r="S2614" t="s">
        <v>47541</v>
      </c>
      <c r="T2614" t="s">
        <v>49166</v>
      </c>
      <c r="U2614" t="s">
        <v>51908</v>
      </c>
      <c r="W2614" t="s">
        <v>44117</v>
      </c>
      <c r="X2614" t="s">
        <v>47430</v>
      </c>
    </row>
    <row r="2615" spans="1:24">
      <c r="A2615">
        <f>HYPERLINK("https://www.philgeps.gov.ph/GEPSNONPILOT/Tender/SplashBidNoticeAbstractUI.aspx?menuIndex=3&amp;refID=7162156&amp;Result=3","7162156")</f>
        <v>0</v>
      </c>
      <c r="B2615" t="s">
        <v>593</v>
      </c>
      <c r="C2615" t="s">
        <v>6399</v>
      </c>
      <c r="D2615" t="s">
        <v>19031</v>
      </c>
      <c r="E2615" t="s">
        <v>21482</v>
      </c>
      <c r="F2615" t="s">
        <v>32831</v>
      </c>
      <c r="G2615" t="s">
        <v>32838</v>
      </c>
      <c r="H2615" t="s">
        <v>32848</v>
      </c>
      <c r="I2615" t="s">
        <v>7416</v>
      </c>
      <c r="J2615" t="s">
        <v>34762</v>
      </c>
      <c r="K2615" t="s">
        <v>42731</v>
      </c>
      <c r="M2615" t="s">
        <v>43605</v>
      </c>
      <c r="N2615" t="s">
        <v>47424</v>
      </c>
      <c r="O2615" t="s">
        <v>47425</v>
      </c>
      <c r="P2615">
        <v>0</v>
      </c>
      <c r="Q2615">
        <v>0</v>
      </c>
      <c r="R2615" t="s">
        <v>47428</v>
      </c>
      <c r="S2615" t="s">
        <v>47541</v>
      </c>
      <c r="T2615" t="s">
        <v>49237</v>
      </c>
      <c r="U2615" t="s">
        <v>51909</v>
      </c>
      <c r="W2615" t="s">
        <v>43605</v>
      </c>
      <c r="X2615" t="s">
        <v>47430</v>
      </c>
    </row>
    <row r="2616" spans="1:24">
      <c r="A2616">
        <f>HYPERLINK("https://www.philgeps.gov.ph/GEPSNONPILOT/Tender/SplashBidNoticeAbstractUI.aspx?menuIndex=3&amp;refID=7162219&amp;Result=3","7162219")</f>
        <v>0</v>
      </c>
      <c r="B2616" t="s">
        <v>934</v>
      </c>
      <c r="C2616" t="s">
        <v>6400</v>
      </c>
      <c r="D2616" t="s">
        <v>19048</v>
      </c>
      <c r="E2616" t="s">
        <v>21483</v>
      </c>
      <c r="F2616" t="s">
        <v>32831</v>
      </c>
      <c r="G2616" t="s">
        <v>32838</v>
      </c>
      <c r="H2616" t="s">
        <v>32848</v>
      </c>
      <c r="I2616" t="s">
        <v>32918</v>
      </c>
      <c r="J2616" t="s">
        <v>33133</v>
      </c>
      <c r="K2616" t="s">
        <v>42730</v>
      </c>
      <c r="M2616" t="s">
        <v>43976</v>
      </c>
      <c r="N2616" t="s">
        <v>47424</v>
      </c>
      <c r="O2616" t="s">
        <v>47425</v>
      </c>
      <c r="P2616">
        <v>0</v>
      </c>
      <c r="Q2616">
        <v>1</v>
      </c>
      <c r="R2616" t="s">
        <v>47428</v>
      </c>
      <c r="S2616" t="s">
        <v>47541</v>
      </c>
      <c r="T2616" t="s">
        <v>49125</v>
      </c>
      <c r="U2616" t="s">
        <v>51423</v>
      </c>
      <c r="W2616" t="s">
        <v>43976</v>
      </c>
      <c r="X2616" t="s">
        <v>47430</v>
      </c>
    </row>
    <row r="2617" spans="1:24">
      <c r="A2617">
        <f>HYPERLINK("https://www.philgeps.gov.ph/GEPSNONPILOT/Tender/SplashBidNoticeAbstractUI.aspx?menuIndex=3&amp;refID=7162182&amp;Result=3","7162182")</f>
        <v>0</v>
      </c>
      <c r="B2617" t="s">
        <v>934</v>
      </c>
      <c r="C2617" t="s">
        <v>6401</v>
      </c>
      <c r="D2617" t="s">
        <v>19048</v>
      </c>
      <c r="E2617" t="s">
        <v>21484</v>
      </c>
      <c r="F2617" t="s">
        <v>32831</v>
      </c>
      <c r="G2617" t="s">
        <v>32838</v>
      </c>
      <c r="H2617" t="s">
        <v>32848</v>
      </c>
      <c r="I2617" t="s">
        <v>32886</v>
      </c>
      <c r="J2617" t="s">
        <v>33098</v>
      </c>
      <c r="K2617" t="s">
        <v>42730</v>
      </c>
      <c r="M2617" t="s">
        <v>43976</v>
      </c>
      <c r="N2617" t="s">
        <v>47424</v>
      </c>
      <c r="O2617" t="s">
        <v>47425</v>
      </c>
      <c r="P2617">
        <v>0</v>
      </c>
      <c r="Q2617">
        <v>1</v>
      </c>
      <c r="R2617" t="s">
        <v>47428</v>
      </c>
      <c r="S2617" t="s">
        <v>47541</v>
      </c>
      <c r="T2617" t="s">
        <v>49125</v>
      </c>
      <c r="U2617" t="s">
        <v>51423</v>
      </c>
      <c r="W2617" t="s">
        <v>43976</v>
      </c>
      <c r="X2617" t="s">
        <v>47430</v>
      </c>
    </row>
    <row r="2618" spans="1:24">
      <c r="A2618">
        <f>HYPERLINK("https://www.philgeps.gov.ph/GEPSNONPILOT/Tender/SplashBidNoticeAbstractUI.aspx?menuIndex=3&amp;refID=7162218&amp;Result=3","7162218")</f>
        <v>0</v>
      </c>
      <c r="B2618" t="s">
        <v>82</v>
      </c>
      <c r="C2618" t="s">
        <v>6402</v>
      </c>
      <c r="E2618" t="s">
        <v>21485</v>
      </c>
      <c r="F2618" t="s">
        <v>32831</v>
      </c>
      <c r="G2618" t="s">
        <v>32838</v>
      </c>
      <c r="H2618" t="s">
        <v>32849</v>
      </c>
      <c r="I2618" t="s">
        <v>4177</v>
      </c>
      <c r="J2618" t="s">
        <v>34763</v>
      </c>
      <c r="K2618" t="s">
        <v>42746</v>
      </c>
      <c r="M2618" t="s">
        <v>43079</v>
      </c>
      <c r="N2618" t="s">
        <v>47424</v>
      </c>
      <c r="O2618" t="s">
        <v>47425</v>
      </c>
      <c r="P2618">
        <v>0</v>
      </c>
      <c r="Q2618">
        <v>2</v>
      </c>
      <c r="R2618" t="s">
        <v>47428</v>
      </c>
      <c r="S2618" t="s">
        <v>47541</v>
      </c>
      <c r="T2618" t="s">
        <v>49239</v>
      </c>
      <c r="U2618" t="s">
        <v>51910</v>
      </c>
      <c r="W2618" t="s">
        <v>43079</v>
      </c>
      <c r="X2618" t="s">
        <v>47430</v>
      </c>
    </row>
    <row r="2619" spans="1:24">
      <c r="A2619">
        <f>HYPERLINK("https://www.philgeps.gov.ph/GEPSNONPILOT/Tender/SplashBidNoticeAbstractUI.aspx?menuIndex=3&amp;refID=7162189&amp;Result=3","7162189")</f>
        <v>0</v>
      </c>
      <c r="B2619" t="s">
        <v>1100</v>
      </c>
      <c r="C2619" t="s">
        <v>6403</v>
      </c>
      <c r="D2619" t="s">
        <v>19062</v>
      </c>
      <c r="E2619" t="s">
        <v>21486</v>
      </c>
      <c r="F2619" t="s">
        <v>32831</v>
      </c>
      <c r="G2619" t="s">
        <v>32841</v>
      </c>
      <c r="H2619" t="s">
        <v>32848</v>
      </c>
      <c r="I2619" t="s">
        <v>4222</v>
      </c>
      <c r="J2619" t="s">
        <v>33055</v>
      </c>
      <c r="K2619" t="s">
        <v>42731</v>
      </c>
      <c r="M2619" t="s">
        <v>44160</v>
      </c>
      <c r="N2619" t="s">
        <v>47424</v>
      </c>
      <c r="O2619" t="s">
        <v>47425</v>
      </c>
      <c r="P2619">
        <v>0</v>
      </c>
      <c r="Q2619">
        <v>0</v>
      </c>
      <c r="R2619" t="s">
        <v>47428</v>
      </c>
      <c r="S2619" t="s">
        <v>47541</v>
      </c>
      <c r="T2619" t="s">
        <v>49163</v>
      </c>
      <c r="U2619" t="s">
        <v>51911</v>
      </c>
      <c r="V2619" t="s">
        <v>62890</v>
      </c>
      <c r="W2619" t="s">
        <v>44160</v>
      </c>
      <c r="X2619" t="s">
        <v>47430</v>
      </c>
    </row>
    <row r="2620" spans="1:24">
      <c r="A2620">
        <f>HYPERLINK("https://www.philgeps.gov.ph/GEPSNONPILOT/Tender/SplashBidNoticeAbstractUI.aspx?menuIndex=3&amp;refID=7162169&amp;Result=3","7162169")</f>
        <v>0</v>
      </c>
      <c r="B2620" t="s">
        <v>1137</v>
      </c>
      <c r="C2620" t="s">
        <v>6404</v>
      </c>
      <c r="D2620" t="s">
        <v>19020</v>
      </c>
      <c r="E2620" t="s">
        <v>21487</v>
      </c>
      <c r="F2620" t="s">
        <v>32831</v>
      </c>
      <c r="G2620" t="s">
        <v>32839</v>
      </c>
      <c r="H2620" t="s">
        <v>32849</v>
      </c>
      <c r="I2620" t="s">
        <v>4177</v>
      </c>
      <c r="J2620" t="s">
        <v>34764</v>
      </c>
      <c r="K2620" t="s">
        <v>42732</v>
      </c>
      <c r="M2620" t="s">
        <v>44200</v>
      </c>
      <c r="N2620" t="s">
        <v>47424</v>
      </c>
      <c r="O2620" t="s">
        <v>47425</v>
      </c>
      <c r="P2620">
        <v>0</v>
      </c>
      <c r="Q2620">
        <v>0</v>
      </c>
      <c r="R2620" t="s">
        <v>47428</v>
      </c>
      <c r="S2620" t="s">
        <v>47541</v>
      </c>
      <c r="T2620" t="s">
        <v>49301</v>
      </c>
      <c r="U2620" t="s">
        <v>51912</v>
      </c>
      <c r="W2620" t="s">
        <v>44200</v>
      </c>
      <c r="X2620" t="s">
        <v>47430</v>
      </c>
    </row>
    <row r="2621" spans="1:24">
      <c r="A2621">
        <f>HYPERLINK("https://www.philgeps.gov.ph/GEPSNONPILOT/Tender/SplashBidNoticeAbstractUI.aspx?menuIndex=3&amp;refID=7162216&amp;Result=3","7162216")</f>
        <v>0</v>
      </c>
      <c r="B2621" t="s">
        <v>657</v>
      </c>
      <c r="C2621" t="s">
        <v>6405</v>
      </c>
      <c r="D2621" t="s">
        <v>19027</v>
      </c>
      <c r="E2621" t="s">
        <v>21488</v>
      </c>
      <c r="F2621" t="s">
        <v>32831</v>
      </c>
      <c r="G2621" t="s">
        <v>32838</v>
      </c>
      <c r="H2621" t="s">
        <v>32848</v>
      </c>
      <c r="I2621" t="s">
        <v>6526</v>
      </c>
      <c r="J2621" t="s">
        <v>34765</v>
      </c>
      <c r="K2621" t="s">
        <v>42732</v>
      </c>
      <c r="M2621" t="s">
        <v>43675</v>
      </c>
      <c r="N2621" t="s">
        <v>47424</v>
      </c>
      <c r="O2621" t="s">
        <v>47425</v>
      </c>
      <c r="P2621">
        <v>0</v>
      </c>
      <c r="Q2621">
        <v>0</v>
      </c>
      <c r="R2621" t="s">
        <v>47428</v>
      </c>
      <c r="S2621" t="s">
        <v>47541</v>
      </c>
      <c r="T2621" t="s">
        <v>49080</v>
      </c>
      <c r="U2621" t="s">
        <v>50905</v>
      </c>
      <c r="W2621" t="s">
        <v>43675</v>
      </c>
      <c r="X2621" t="s">
        <v>47430</v>
      </c>
    </row>
    <row r="2622" spans="1:24">
      <c r="A2622">
        <f>HYPERLINK("https://www.philgeps.gov.ph/GEPSNONPILOT/Tender/SplashBidNoticeAbstractUI.aspx?menuIndex=3&amp;refID=7162210&amp;Result=3","7162210")</f>
        <v>0</v>
      </c>
      <c r="B2622" t="s">
        <v>1138</v>
      </c>
      <c r="C2622" t="s">
        <v>6406</v>
      </c>
      <c r="D2622" t="s">
        <v>19060</v>
      </c>
      <c r="E2622" t="s">
        <v>21216</v>
      </c>
      <c r="F2622" t="s">
        <v>32831</v>
      </c>
      <c r="G2622" t="s">
        <v>32840</v>
      </c>
      <c r="H2622" t="s">
        <v>32848</v>
      </c>
      <c r="I2622" t="s">
        <v>32870</v>
      </c>
      <c r="J2622" t="s">
        <v>33090</v>
      </c>
      <c r="K2622" t="s">
        <v>42727</v>
      </c>
      <c r="M2622" t="s">
        <v>44201</v>
      </c>
      <c r="N2622" t="s">
        <v>47424</v>
      </c>
      <c r="O2622" t="s">
        <v>47425</v>
      </c>
      <c r="P2622">
        <v>0</v>
      </c>
      <c r="Q2622">
        <v>1</v>
      </c>
      <c r="R2622" t="s">
        <v>47428</v>
      </c>
      <c r="S2622" t="s">
        <v>47541</v>
      </c>
      <c r="T2622" t="s">
        <v>49318</v>
      </c>
      <c r="U2622" t="s">
        <v>51913</v>
      </c>
      <c r="W2622" t="s">
        <v>44201</v>
      </c>
      <c r="X2622" t="s">
        <v>47430</v>
      </c>
    </row>
    <row r="2623" spans="1:24">
      <c r="A2623">
        <f>HYPERLINK("https://www.philgeps.gov.ph/GEPSNONPILOT/Tender/SplashBidNoticeAbstractUI.aspx?menuIndex=3&amp;refID=7162205&amp;Result=3","7162205")</f>
        <v>0</v>
      </c>
      <c r="B2623" t="s">
        <v>868</v>
      </c>
      <c r="C2623" t="s">
        <v>6407</v>
      </c>
      <c r="D2623" t="s">
        <v>19073</v>
      </c>
      <c r="E2623" t="s">
        <v>21489</v>
      </c>
      <c r="F2623" t="s">
        <v>32831</v>
      </c>
      <c r="G2623" t="s">
        <v>32838</v>
      </c>
      <c r="H2623" t="s">
        <v>32850</v>
      </c>
      <c r="I2623" t="s">
        <v>4222</v>
      </c>
      <c r="J2623" t="s">
        <v>34766</v>
      </c>
      <c r="K2623" t="s">
        <v>42748</v>
      </c>
      <c r="M2623" t="s">
        <v>44203</v>
      </c>
      <c r="N2623" t="s">
        <v>47424</v>
      </c>
      <c r="O2623" t="s">
        <v>47425</v>
      </c>
      <c r="P2623">
        <v>0</v>
      </c>
      <c r="Q2623">
        <v>1</v>
      </c>
      <c r="R2623" t="s">
        <v>47428</v>
      </c>
      <c r="S2623" t="s">
        <v>47541</v>
      </c>
      <c r="T2623" t="s">
        <v>49166</v>
      </c>
      <c r="U2623" t="s">
        <v>51914</v>
      </c>
      <c r="W2623" t="s">
        <v>44203</v>
      </c>
      <c r="X2623" t="s">
        <v>47430</v>
      </c>
    </row>
    <row r="2624" spans="1:24">
      <c r="A2624">
        <f>HYPERLINK("https://www.philgeps.gov.ph/GEPSNONPILOT/Tender/SplashBidNoticeAbstractUI.aspx?menuIndex=3&amp;refID=7162170&amp;Result=3","7162170")</f>
        <v>0</v>
      </c>
      <c r="B2624" t="s">
        <v>936</v>
      </c>
      <c r="C2624" t="s">
        <v>6408</v>
      </c>
      <c r="D2624" t="s">
        <v>19088</v>
      </c>
      <c r="E2624" t="s">
        <v>21490</v>
      </c>
      <c r="F2624" t="s">
        <v>32831</v>
      </c>
      <c r="G2624" t="s">
        <v>32838</v>
      </c>
      <c r="H2624" t="s">
        <v>32848</v>
      </c>
      <c r="I2624" t="s">
        <v>7416</v>
      </c>
      <c r="J2624" t="s">
        <v>34767</v>
      </c>
      <c r="K2624" t="s">
        <v>42732</v>
      </c>
      <c r="M2624" t="s">
        <v>43978</v>
      </c>
      <c r="N2624" t="s">
        <v>47424</v>
      </c>
      <c r="O2624" t="s">
        <v>47425</v>
      </c>
      <c r="P2624">
        <v>0</v>
      </c>
      <c r="Q2624">
        <v>2</v>
      </c>
      <c r="R2624" t="s">
        <v>47428</v>
      </c>
      <c r="S2624" t="s">
        <v>47541</v>
      </c>
      <c r="T2624" t="s">
        <v>49163</v>
      </c>
      <c r="U2624" t="s">
        <v>51915</v>
      </c>
      <c r="W2624" t="s">
        <v>43978</v>
      </c>
      <c r="X2624" t="s">
        <v>47430</v>
      </c>
    </row>
    <row r="2625" spans="1:24">
      <c r="A2625">
        <f>HYPERLINK("https://www.philgeps.gov.ph/GEPSNONPILOT/Tender/SplashBidNoticeAbstractUI.aspx?menuIndex=3&amp;refID=7162213&amp;Result=3","7162213")</f>
        <v>0</v>
      </c>
      <c r="B2625" t="s">
        <v>1140</v>
      </c>
      <c r="C2625" t="s">
        <v>6409</v>
      </c>
      <c r="D2625" t="s">
        <v>19078</v>
      </c>
      <c r="E2625" t="s">
        <v>21491</v>
      </c>
      <c r="F2625" t="s">
        <v>32831</v>
      </c>
      <c r="G2625" t="s">
        <v>32839</v>
      </c>
      <c r="H2625" t="s">
        <v>32848</v>
      </c>
      <c r="I2625" t="s">
        <v>32931</v>
      </c>
      <c r="J2625" t="s">
        <v>34768</v>
      </c>
      <c r="K2625" t="s">
        <v>42730</v>
      </c>
      <c r="M2625" t="s">
        <v>44204</v>
      </c>
      <c r="N2625" t="s">
        <v>47424</v>
      </c>
      <c r="O2625" t="s">
        <v>47425</v>
      </c>
      <c r="P2625">
        <v>0</v>
      </c>
      <c r="Q2625">
        <v>5</v>
      </c>
      <c r="R2625" t="s">
        <v>47428</v>
      </c>
      <c r="S2625" t="s">
        <v>47541</v>
      </c>
      <c r="T2625" t="s">
        <v>49140</v>
      </c>
      <c r="U2625" t="s">
        <v>51916</v>
      </c>
      <c r="W2625" t="s">
        <v>44204</v>
      </c>
      <c r="X2625" t="s">
        <v>47430</v>
      </c>
    </row>
    <row r="2626" spans="1:24">
      <c r="A2626">
        <f>HYPERLINK("https://www.philgeps.gov.ph/GEPSNONPILOT/Tender/SplashBidNoticeAbstractUI.aspx?menuIndex=3&amp;refID=7162207&amp;Result=3","7162207")</f>
        <v>0</v>
      </c>
      <c r="B2626" t="s">
        <v>660</v>
      </c>
      <c r="C2626" t="s">
        <v>6410</v>
      </c>
      <c r="E2626" t="s">
        <v>20413</v>
      </c>
      <c r="F2626" t="s">
        <v>32831</v>
      </c>
      <c r="G2626" t="s">
        <v>32838</v>
      </c>
      <c r="H2626" t="s">
        <v>32848</v>
      </c>
      <c r="I2626" t="s">
        <v>4558</v>
      </c>
      <c r="J2626" t="s">
        <v>34769</v>
      </c>
      <c r="K2626" t="s">
        <v>42732</v>
      </c>
      <c r="M2626" t="s">
        <v>43678</v>
      </c>
      <c r="N2626" t="s">
        <v>47424</v>
      </c>
      <c r="O2626" t="s">
        <v>47425</v>
      </c>
      <c r="P2626">
        <v>0</v>
      </c>
      <c r="Q2626">
        <v>2</v>
      </c>
      <c r="R2626" t="s">
        <v>47428</v>
      </c>
      <c r="S2626" t="s">
        <v>47541</v>
      </c>
      <c r="T2626" t="s">
        <v>49177</v>
      </c>
      <c r="U2626" t="s">
        <v>50909</v>
      </c>
      <c r="W2626" t="s">
        <v>43678</v>
      </c>
      <c r="X2626" t="s">
        <v>47430</v>
      </c>
    </row>
    <row r="2627" spans="1:24">
      <c r="A2627">
        <f>HYPERLINK("https://www.philgeps.gov.ph/GEPSNONPILOT/Tender/SplashBidNoticeAbstractUI.aspx?menuIndex=3&amp;refID=7162153&amp;Result=3","7162153")</f>
        <v>0</v>
      </c>
      <c r="B2627" t="s">
        <v>936</v>
      </c>
      <c r="C2627" t="s">
        <v>6411</v>
      </c>
      <c r="D2627" t="s">
        <v>19088</v>
      </c>
      <c r="E2627" t="s">
        <v>21492</v>
      </c>
      <c r="F2627" t="s">
        <v>32831</v>
      </c>
      <c r="G2627" t="s">
        <v>32841</v>
      </c>
      <c r="H2627" t="s">
        <v>32848</v>
      </c>
      <c r="I2627" t="s">
        <v>7416</v>
      </c>
      <c r="J2627" t="s">
        <v>34770</v>
      </c>
      <c r="K2627" t="s">
        <v>42732</v>
      </c>
      <c r="M2627" t="s">
        <v>43978</v>
      </c>
      <c r="N2627" t="s">
        <v>47424</v>
      </c>
      <c r="O2627" t="s">
        <v>47425</v>
      </c>
      <c r="P2627">
        <v>0</v>
      </c>
      <c r="Q2627">
        <v>0</v>
      </c>
      <c r="R2627" t="s">
        <v>47428</v>
      </c>
      <c r="S2627" t="s">
        <v>47541</v>
      </c>
      <c r="T2627" t="s">
        <v>49163</v>
      </c>
      <c r="U2627" t="s">
        <v>51917</v>
      </c>
      <c r="W2627" t="s">
        <v>43978</v>
      </c>
      <c r="X2627" t="s">
        <v>47430</v>
      </c>
    </row>
    <row r="2628" spans="1:24">
      <c r="A2628">
        <f>HYPERLINK("https://www.philgeps.gov.ph/GEPSNONPILOT/Tender/SplashBidNoticeAbstractUI.aspx?menuIndex=3&amp;refID=7162226&amp;Result=3","7162226")</f>
        <v>0</v>
      </c>
      <c r="B2628" t="s">
        <v>687</v>
      </c>
      <c r="C2628" t="s">
        <v>6412</v>
      </c>
      <c r="D2628" t="s">
        <v>19074</v>
      </c>
      <c r="E2628" t="s">
        <v>21493</v>
      </c>
      <c r="F2628" t="s">
        <v>32831</v>
      </c>
      <c r="G2628" t="s">
        <v>32838</v>
      </c>
      <c r="H2628" t="s">
        <v>32848</v>
      </c>
      <c r="I2628" t="s">
        <v>4438</v>
      </c>
      <c r="J2628" t="s">
        <v>33789</v>
      </c>
      <c r="K2628" t="s">
        <v>42750</v>
      </c>
      <c r="M2628" t="s">
        <v>43706</v>
      </c>
      <c r="N2628" t="s">
        <v>47424</v>
      </c>
      <c r="O2628" t="s">
        <v>47425</v>
      </c>
      <c r="P2628">
        <v>0</v>
      </c>
      <c r="Q2628">
        <v>0</v>
      </c>
      <c r="R2628" t="s">
        <v>47428</v>
      </c>
      <c r="S2628" t="s">
        <v>47541</v>
      </c>
      <c r="T2628" t="s">
        <v>49111</v>
      </c>
      <c r="U2628" t="s">
        <v>51918</v>
      </c>
      <c r="W2628" t="s">
        <v>43706</v>
      </c>
      <c r="X2628" t="s">
        <v>47430</v>
      </c>
    </row>
    <row r="2629" spans="1:24">
      <c r="A2629">
        <f>HYPERLINK("https://www.philgeps.gov.ph/GEPSNONPILOT/Tender/SplashBidNoticeAbstractUI.aspx?menuIndex=3&amp;refID=7162222&amp;Result=3","7162222")</f>
        <v>0</v>
      </c>
      <c r="B2629" t="s">
        <v>1141</v>
      </c>
      <c r="C2629" t="s">
        <v>6413</v>
      </c>
      <c r="E2629" t="s">
        <v>21494</v>
      </c>
      <c r="F2629" t="s">
        <v>32831</v>
      </c>
      <c r="G2629" t="s">
        <v>32839</v>
      </c>
      <c r="H2629" t="s">
        <v>32848</v>
      </c>
      <c r="I2629" t="s">
        <v>32945</v>
      </c>
      <c r="J2629" t="s">
        <v>34771</v>
      </c>
      <c r="K2629" t="s">
        <v>42747</v>
      </c>
      <c r="M2629" t="s">
        <v>44205</v>
      </c>
      <c r="N2629" t="s">
        <v>47424</v>
      </c>
      <c r="O2629" t="s">
        <v>47425</v>
      </c>
      <c r="P2629">
        <v>0</v>
      </c>
      <c r="Q2629">
        <v>1</v>
      </c>
      <c r="R2629" t="s">
        <v>47428</v>
      </c>
      <c r="S2629" t="s">
        <v>47541</v>
      </c>
      <c r="T2629" t="s">
        <v>49077</v>
      </c>
      <c r="U2629" t="s">
        <v>51919</v>
      </c>
      <c r="W2629" t="s">
        <v>64459</v>
      </c>
      <c r="X2629" t="s">
        <v>47430</v>
      </c>
    </row>
    <row r="2630" spans="1:24">
      <c r="A2630">
        <f>HYPERLINK("https://www.philgeps.gov.ph/GEPSNONPILOT/Tender/SplashBidNoticeAbstractUI.aspx?menuIndex=3&amp;refID=7162202&amp;Result=3","7162202")</f>
        <v>0</v>
      </c>
      <c r="B2630" t="s">
        <v>691</v>
      </c>
      <c r="C2630" t="s">
        <v>5379</v>
      </c>
      <c r="D2630" t="s">
        <v>19026</v>
      </c>
      <c r="E2630" t="s">
        <v>21495</v>
      </c>
      <c r="F2630" t="s">
        <v>32831</v>
      </c>
      <c r="G2630" t="s">
        <v>32838</v>
      </c>
      <c r="H2630" t="s">
        <v>32848</v>
      </c>
      <c r="I2630" t="s">
        <v>5379</v>
      </c>
      <c r="J2630" t="s">
        <v>33087</v>
      </c>
      <c r="K2630" t="s">
        <v>42748</v>
      </c>
      <c r="M2630" t="s">
        <v>43710</v>
      </c>
      <c r="N2630" t="s">
        <v>47424</v>
      </c>
      <c r="O2630" t="s">
        <v>47425</v>
      </c>
      <c r="P2630">
        <v>0</v>
      </c>
      <c r="Q2630">
        <v>0</v>
      </c>
      <c r="R2630" t="s">
        <v>47428</v>
      </c>
      <c r="S2630" t="s">
        <v>47541</v>
      </c>
      <c r="T2630" t="s">
        <v>49237</v>
      </c>
      <c r="U2630" t="s">
        <v>51920</v>
      </c>
      <c r="W2630" t="s">
        <v>43710</v>
      </c>
      <c r="X2630" t="s">
        <v>47430</v>
      </c>
    </row>
    <row r="2631" spans="1:24">
      <c r="A2631">
        <f>HYPERLINK("https://www.philgeps.gov.ph/GEPSNONPILOT/Tender/SplashBidNoticeAbstractUI.aspx?menuIndex=3&amp;refID=7162208&amp;Result=3","7162208")</f>
        <v>0</v>
      </c>
      <c r="B2631" t="s">
        <v>1142</v>
      </c>
      <c r="C2631" t="s">
        <v>6414</v>
      </c>
      <c r="D2631" t="s">
        <v>19035</v>
      </c>
      <c r="E2631" t="s">
        <v>21496</v>
      </c>
      <c r="F2631" t="s">
        <v>32831</v>
      </c>
      <c r="G2631" t="s">
        <v>32838</v>
      </c>
      <c r="H2631" t="s">
        <v>32848</v>
      </c>
      <c r="I2631" t="s">
        <v>32909</v>
      </c>
      <c r="J2631" t="s">
        <v>33226</v>
      </c>
      <c r="K2631" t="s">
        <v>42732</v>
      </c>
      <c r="M2631" t="s">
        <v>44206</v>
      </c>
      <c r="N2631" t="s">
        <v>47424</v>
      </c>
      <c r="O2631" t="s">
        <v>47425</v>
      </c>
      <c r="P2631">
        <v>0</v>
      </c>
      <c r="Q2631">
        <v>7</v>
      </c>
      <c r="R2631" t="s">
        <v>47428</v>
      </c>
      <c r="S2631" t="s">
        <v>47541</v>
      </c>
      <c r="T2631" t="s">
        <v>49235</v>
      </c>
      <c r="U2631" t="s">
        <v>51921</v>
      </c>
      <c r="V2631" t="s">
        <v>62903</v>
      </c>
      <c r="W2631" t="s">
        <v>44206</v>
      </c>
      <c r="X2631" t="s">
        <v>47430</v>
      </c>
    </row>
    <row r="2632" spans="1:24">
      <c r="A2632">
        <f>HYPERLINK("https://www.philgeps.gov.ph/GEPSNONPILOT/Tender/SplashBidNoticeAbstractUI.aspx?menuIndex=3&amp;refID=7162199&amp;Result=3","7162199")</f>
        <v>0</v>
      </c>
      <c r="B2632" t="s">
        <v>1143</v>
      </c>
      <c r="C2632" t="s">
        <v>6415</v>
      </c>
      <c r="D2632" t="s">
        <v>19032</v>
      </c>
      <c r="E2632" t="s">
        <v>21497</v>
      </c>
      <c r="F2632" t="s">
        <v>32831</v>
      </c>
      <c r="G2632" t="s">
        <v>32838</v>
      </c>
      <c r="H2632" t="s">
        <v>32848</v>
      </c>
      <c r="I2632" t="s">
        <v>32867</v>
      </c>
      <c r="J2632" t="s">
        <v>33424</v>
      </c>
      <c r="K2632" t="s">
        <v>42732</v>
      </c>
      <c r="M2632" t="s">
        <v>44207</v>
      </c>
      <c r="N2632" t="s">
        <v>47424</v>
      </c>
      <c r="O2632" t="s">
        <v>47425</v>
      </c>
      <c r="P2632">
        <v>0</v>
      </c>
      <c r="Q2632">
        <v>3</v>
      </c>
      <c r="R2632" t="s">
        <v>47428</v>
      </c>
      <c r="S2632" t="s">
        <v>47541</v>
      </c>
      <c r="T2632" t="s">
        <v>49124</v>
      </c>
      <c r="U2632" t="s">
        <v>51922</v>
      </c>
      <c r="W2632" t="s">
        <v>44207</v>
      </c>
      <c r="X2632" t="s">
        <v>47430</v>
      </c>
    </row>
    <row r="2633" spans="1:24">
      <c r="A2633">
        <f>HYPERLINK("https://www.philgeps.gov.ph/GEPSNONPILOT/Tender/SplashBidNoticeAbstractUI.aspx?menuIndex=3&amp;refID=7162221&amp;Result=3","7162221")</f>
        <v>0</v>
      </c>
      <c r="B2633" t="s">
        <v>496</v>
      </c>
      <c r="C2633" t="s">
        <v>6416</v>
      </c>
      <c r="D2633" t="s">
        <v>19023</v>
      </c>
      <c r="E2633" t="s">
        <v>20463</v>
      </c>
      <c r="F2633" t="s">
        <v>32831</v>
      </c>
      <c r="G2633" t="s">
        <v>32838</v>
      </c>
      <c r="H2633" t="s">
        <v>32848</v>
      </c>
      <c r="I2633" t="s">
        <v>32864</v>
      </c>
      <c r="J2633" t="s">
        <v>34772</v>
      </c>
      <c r="K2633" t="s">
        <v>42732</v>
      </c>
      <c r="M2633" t="s">
        <v>43501</v>
      </c>
      <c r="N2633" t="s">
        <v>47424</v>
      </c>
      <c r="O2633" t="s">
        <v>47425</v>
      </c>
      <c r="P2633">
        <v>0</v>
      </c>
      <c r="Q2633">
        <v>5</v>
      </c>
      <c r="R2633" t="s">
        <v>47428</v>
      </c>
      <c r="S2633" t="s">
        <v>47541</v>
      </c>
      <c r="T2633" t="s">
        <v>49163</v>
      </c>
      <c r="U2633" t="s">
        <v>51923</v>
      </c>
      <c r="W2633" t="s">
        <v>43501</v>
      </c>
      <c r="X2633" t="s">
        <v>47430</v>
      </c>
    </row>
    <row r="2634" spans="1:24">
      <c r="A2634">
        <f>HYPERLINK("https://www.philgeps.gov.ph/GEPSNONPILOT/Tender/SplashBidNoticeAbstractUI.aspx?menuIndex=3&amp;refID=7162179&amp;Result=3","7162179")</f>
        <v>0</v>
      </c>
      <c r="B2634" t="s">
        <v>691</v>
      </c>
      <c r="C2634" t="s">
        <v>5314</v>
      </c>
      <c r="D2634" t="s">
        <v>19026</v>
      </c>
      <c r="E2634" t="s">
        <v>21498</v>
      </c>
      <c r="F2634" t="s">
        <v>32831</v>
      </c>
      <c r="G2634" t="s">
        <v>32838</v>
      </c>
      <c r="H2634" t="s">
        <v>32848</v>
      </c>
      <c r="I2634" t="s">
        <v>32862</v>
      </c>
      <c r="J2634" t="s">
        <v>33087</v>
      </c>
      <c r="K2634" t="s">
        <v>42748</v>
      </c>
      <c r="M2634" t="s">
        <v>43710</v>
      </c>
      <c r="N2634" t="s">
        <v>47424</v>
      </c>
      <c r="O2634" t="s">
        <v>47425</v>
      </c>
      <c r="P2634">
        <v>0</v>
      </c>
      <c r="Q2634">
        <v>0</v>
      </c>
      <c r="R2634" t="s">
        <v>47428</v>
      </c>
      <c r="S2634" t="s">
        <v>47541</v>
      </c>
      <c r="T2634" t="s">
        <v>49237</v>
      </c>
      <c r="U2634" t="s">
        <v>51924</v>
      </c>
      <c r="W2634" t="s">
        <v>43710</v>
      </c>
      <c r="X2634" t="s">
        <v>47430</v>
      </c>
    </row>
    <row r="2635" spans="1:24">
      <c r="A2635">
        <f>HYPERLINK("https://www.philgeps.gov.ph/GEPSNONPILOT/Tender/SplashBidNoticeAbstractUI.aspx?menuIndex=3&amp;refID=7162230&amp;Result=3","7162230")</f>
        <v>0</v>
      </c>
      <c r="B2635" t="s">
        <v>1144</v>
      </c>
      <c r="C2635" t="s">
        <v>6417</v>
      </c>
      <c r="D2635" t="s">
        <v>19038</v>
      </c>
      <c r="E2635" t="s">
        <v>21499</v>
      </c>
      <c r="F2635" t="s">
        <v>32831</v>
      </c>
      <c r="G2635" t="s">
        <v>32839</v>
      </c>
      <c r="H2635" t="s">
        <v>32848</v>
      </c>
      <c r="I2635" t="s">
        <v>32935</v>
      </c>
      <c r="J2635" t="s">
        <v>33083</v>
      </c>
      <c r="K2635" t="s">
        <v>42730</v>
      </c>
      <c r="M2635" t="s">
        <v>44208</v>
      </c>
      <c r="N2635" t="s">
        <v>47424</v>
      </c>
      <c r="O2635" t="s">
        <v>47425</v>
      </c>
      <c r="P2635">
        <v>0</v>
      </c>
      <c r="Q2635">
        <v>0</v>
      </c>
      <c r="R2635" t="s">
        <v>47428</v>
      </c>
      <c r="S2635" t="s">
        <v>47541</v>
      </c>
      <c r="T2635" t="s">
        <v>49319</v>
      </c>
      <c r="U2635" t="s">
        <v>51925</v>
      </c>
      <c r="V2635" t="s">
        <v>62904</v>
      </c>
      <c r="W2635" t="s">
        <v>44208</v>
      </c>
      <c r="X2635" t="s">
        <v>47430</v>
      </c>
    </row>
    <row r="2636" spans="1:24">
      <c r="A2636">
        <f>HYPERLINK("https://www.philgeps.gov.ph/GEPSNONPILOT/Tender/SplashBidNoticeAbstractUI.aspx?menuIndex=3&amp;refID=7162259&amp;Result=3","7162259")</f>
        <v>0</v>
      </c>
      <c r="B2636" t="s">
        <v>1145</v>
      </c>
      <c r="C2636" t="s">
        <v>6418</v>
      </c>
      <c r="D2636" t="s">
        <v>19021</v>
      </c>
      <c r="E2636" t="s">
        <v>20737</v>
      </c>
      <c r="F2636" t="s">
        <v>32831</v>
      </c>
      <c r="G2636" t="s">
        <v>32840</v>
      </c>
      <c r="H2636" t="s">
        <v>32848</v>
      </c>
      <c r="I2636" t="s">
        <v>32860</v>
      </c>
      <c r="J2636" t="s">
        <v>34773</v>
      </c>
      <c r="K2636" t="s">
        <v>42726</v>
      </c>
      <c r="M2636" t="s">
        <v>44209</v>
      </c>
      <c r="N2636" t="s">
        <v>47424</v>
      </c>
      <c r="O2636" t="s">
        <v>47425</v>
      </c>
      <c r="P2636">
        <v>0</v>
      </c>
      <c r="Q2636">
        <v>1</v>
      </c>
      <c r="R2636" t="s">
        <v>47428</v>
      </c>
      <c r="S2636" t="s">
        <v>47541</v>
      </c>
      <c r="T2636" t="s">
        <v>49145</v>
      </c>
      <c r="U2636" t="s">
        <v>51926</v>
      </c>
      <c r="W2636" t="s">
        <v>44209</v>
      </c>
      <c r="X2636" t="s">
        <v>47430</v>
      </c>
    </row>
    <row r="2637" spans="1:24">
      <c r="A2637">
        <f>HYPERLINK("https://www.philgeps.gov.ph/GEPSNONPILOT/Tender/SplashBidNoticeAbstractUI.aspx?menuIndex=3&amp;refID=7162258&amp;Result=3","7162258")</f>
        <v>0</v>
      </c>
      <c r="B2637" t="s">
        <v>1146</v>
      </c>
      <c r="C2637" t="s">
        <v>6419</v>
      </c>
      <c r="D2637" t="s">
        <v>19095</v>
      </c>
      <c r="E2637" t="s">
        <v>21500</v>
      </c>
      <c r="F2637" t="s">
        <v>32831</v>
      </c>
      <c r="G2637" t="s">
        <v>32838</v>
      </c>
      <c r="H2637" t="s">
        <v>32848</v>
      </c>
      <c r="I2637" t="s">
        <v>4776</v>
      </c>
      <c r="J2637" t="s">
        <v>34774</v>
      </c>
      <c r="K2637" t="s">
        <v>42726</v>
      </c>
      <c r="L2637" t="s">
        <v>1146</v>
      </c>
      <c r="M2637" t="s">
        <v>44210</v>
      </c>
      <c r="N2637" t="s">
        <v>47424</v>
      </c>
      <c r="O2637" t="s">
        <v>47425</v>
      </c>
      <c r="P2637">
        <v>0</v>
      </c>
      <c r="Q2637">
        <v>2</v>
      </c>
      <c r="R2637" t="s">
        <v>47428</v>
      </c>
      <c r="S2637" t="s">
        <v>47541</v>
      </c>
      <c r="T2637" t="s">
        <v>49243</v>
      </c>
      <c r="U2637" t="s">
        <v>51927</v>
      </c>
      <c r="V2637" t="s">
        <v>62905</v>
      </c>
      <c r="W2637" t="s">
        <v>44210</v>
      </c>
      <c r="X2637" t="s">
        <v>47430</v>
      </c>
    </row>
    <row r="2638" spans="1:24">
      <c r="A2638">
        <f>HYPERLINK("https://www.philgeps.gov.ph/GEPSNONPILOT/Tender/SplashBidNoticeAbstractUI.aspx?menuIndex=3&amp;refID=7162228&amp;Result=3","7162228")</f>
        <v>0</v>
      </c>
      <c r="B2638" t="s">
        <v>1147</v>
      </c>
      <c r="C2638" t="s">
        <v>6420</v>
      </c>
      <c r="D2638" t="s">
        <v>19086</v>
      </c>
      <c r="E2638" t="s">
        <v>21501</v>
      </c>
      <c r="F2638" t="s">
        <v>32831</v>
      </c>
      <c r="G2638" t="s">
        <v>32838</v>
      </c>
      <c r="H2638" t="s">
        <v>32848</v>
      </c>
      <c r="I2638" t="s">
        <v>4438</v>
      </c>
      <c r="J2638" t="s">
        <v>33226</v>
      </c>
      <c r="K2638" t="s">
        <v>42727</v>
      </c>
      <c r="M2638" t="s">
        <v>44211</v>
      </c>
      <c r="N2638" t="s">
        <v>47424</v>
      </c>
      <c r="O2638" t="s">
        <v>47425</v>
      </c>
      <c r="P2638">
        <v>0</v>
      </c>
      <c r="Q2638">
        <v>3</v>
      </c>
      <c r="R2638" t="s">
        <v>47428</v>
      </c>
      <c r="S2638" t="s">
        <v>47541</v>
      </c>
      <c r="T2638" t="s">
        <v>49235</v>
      </c>
      <c r="U2638" t="s">
        <v>51928</v>
      </c>
      <c r="W2638" t="s">
        <v>44211</v>
      </c>
      <c r="X2638" t="s">
        <v>47430</v>
      </c>
    </row>
    <row r="2639" spans="1:24">
      <c r="A2639">
        <f>HYPERLINK("https://www.philgeps.gov.ph/GEPSNONPILOT/Tender/SplashBidNoticeAbstractUI.aspx?menuIndex=3&amp;refID=7162269&amp;Result=3","7162269")</f>
        <v>0</v>
      </c>
      <c r="B2639" t="s">
        <v>1138</v>
      </c>
      <c r="C2639" t="s">
        <v>6421</v>
      </c>
      <c r="D2639" t="s">
        <v>19060</v>
      </c>
      <c r="E2639" t="s">
        <v>20052</v>
      </c>
      <c r="F2639" t="s">
        <v>32831</v>
      </c>
      <c r="G2639" t="s">
        <v>32840</v>
      </c>
      <c r="H2639" t="s">
        <v>32848</v>
      </c>
      <c r="I2639" t="s">
        <v>32870</v>
      </c>
      <c r="J2639" t="s">
        <v>33283</v>
      </c>
      <c r="K2639" t="s">
        <v>42727</v>
      </c>
      <c r="M2639" t="s">
        <v>44201</v>
      </c>
      <c r="N2639" t="s">
        <v>47424</v>
      </c>
      <c r="O2639" t="s">
        <v>47425</v>
      </c>
      <c r="P2639">
        <v>0</v>
      </c>
      <c r="Q2639">
        <v>1</v>
      </c>
      <c r="R2639" t="s">
        <v>47428</v>
      </c>
      <c r="S2639" t="s">
        <v>47541</v>
      </c>
      <c r="T2639" t="s">
        <v>49214</v>
      </c>
      <c r="U2639" t="s">
        <v>51929</v>
      </c>
      <c r="W2639" t="s">
        <v>44201</v>
      </c>
      <c r="X2639" t="s">
        <v>47430</v>
      </c>
    </row>
    <row r="2640" spans="1:24">
      <c r="A2640">
        <f>HYPERLINK("https://www.philgeps.gov.ph/GEPSNONPILOT/Tender/SplashBidNoticeAbstractUI.aspx?menuIndex=3&amp;refID=7162195&amp;Result=3","7162195")</f>
        <v>0</v>
      </c>
      <c r="B2640" t="s">
        <v>228</v>
      </c>
      <c r="C2640" t="s">
        <v>6422</v>
      </c>
      <c r="D2640" t="s">
        <v>19031</v>
      </c>
      <c r="E2640" t="s">
        <v>21502</v>
      </c>
      <c r="F2640" t="s">
        <v>32831</v>
      </c>
      <c r="G2640" t="s">
        <v>32838</v>
      </c>
      <c r="H2640" t="s">
        <v>32848</v>
      </c>
      <c r="I2640" t="s">
        <v>32860</v>
      </c>
      <c r="J2640" t="s">
        <v>34775</v>
      </c>
      <c r="K2640" t="s">
        <v>42727</v>
      </c>
      <c r="M2640" t="s">
        <v>43598</v>
      </c>
      <c r="N2640" t="s">
        <v>47424</v>
      </c>
      <c r="O2640" t="s">
        <v>47425</v>
      </c>
      <c r="P2640">
        <v>0</v>
      </c>
      <c r="Q2640">
        <v>1</v>
      </c>
      <c r="R2640" t="s">
        <v>47428</v>
      </c>
      <c r="S2640" t="s">
        <v>47541</v>
      </c>
      <c r="T2640" t="s">
        <v>49235</v>
      </c>
      <c r="U2640" t="s">
        <v>51930</v>
      </c>
      <c r="W2640" t="s">
        <v>43598</v>
      </c>
      <c r="X2640" t="s">
        <v>47430</v>
      </c>
    </row>
    <row r="2641" spans="1:24">
      <c r="A2641">
        <f>HYPERLINK("https://www.philgeps.gov.ph/GEPSNONPILOT/Tender/SplashBidNoticeAbstractUI.aspx?menuIndex=3&amp;refID=7162193&amp;Result=3","7162193")</f>
        <v>0</v>
      </c>
      <c r="B2641" t="s">
        <v>624</v>
      </c>
      <c r="C2641" t="s">
        <v>6423</v>
      </c>
      <c r="D2641" t="s">
        <v>19064</v>
      </c>
      <c r="E2641" t="s">
        <v>21503</v>
      </c>
      <c r="F2641" t="s">
        <v>32831</v>
      </c>
      <c r="G2641" t="s">
        <v>32838</v>
      </c>
      <c r="H2641" t="s">
        <v>32848</v>
      </c>
      <c r="I2641" t="s">
        <v>7416</v>
      </c>
      <c r="J2641" t="s">
        <v>34044</v>
      </c>
      <c r="K2641" t="s">
        <v>42732</v>
      </c>
      <c r="M2641" t="s">
        <v>43640</v>
      </c>
      <c r="N2641" t="s">
        <v>47424</v>
      </c>
      <c r="O2641" t="s">
        <v>47425</v>
      </c>
      <c r="P2641">
        <v>0</v>
      </c>
      <c r="Q2641">
        <v>0</v>
      </c>
      <c r="R2641" t="s">
        <v>47428</v>
      </c>
      <c r="S2641" t="s">
        <v>47541</v>
      </c>
      <c r="T2641" t="s">
        <v>49108</v>
      </c>
      <c r="U2641" t="s">
        <v>50973</v>
      </c>
      <c r="W2641" t="s">
        <v>43640</v>
      </c>
      <c r="X2641" t="s">
        <v>47430</v>
      </c>
    </row>
    <row r="2642" spans="1:24">
      <c r="A2642">
        <f>HYPERLINK("https://www.philgeps.gov.ph/GEPSNONPILOT/Tender/SplashBidNoticeAbstractUI.aspx?menuIndex=3&amp;refID=7162265&amp;Result=3","7162265")</f>
        <v>0</v>
      </c>
      <c r="B2642" t="s">
        <v>1148</v>
      </c>
      <c r="C2642" t="s">
        <v>5892</v>
      </c>
      <c r="D2642" t="s">
        <v>19062</v>
      </c>
      <c r="E2642" t="s">
        <v>21504</v>
      </c>
      <c r="F2642" t="s">
        <v>32834</v>
      </c>
      <c r="G2642" t="s">
        <v>32842</v>
      </c>
      <c r="H2642" t="s">
        <v>32848</v>
      </c>
      <c r="I2642" t="s">
        <v>32860</v>
      </c>
      <c r="J2642" t="s">
        <v>34776</v>
      </c>
      <c r="K2642" t="s">
        <v>42748</v>
      </c>
      <c r="M2642" t="s">
        <v>44212</v>
      </c>
      <c r="N2642" t="s">
        <v>47424</v>
      </c>
      <c r="O2642" t="s">
        <v>47425</v>
      </c>
      <c r="P2642">
        <v>0</v>
      </c>
      <c r="Q2642">
        <v>3</v>
      </c>
      <c r="R2642" t="s">
        <v>47428</v>
      </c>
      <c r="S2642" t="s">
        <v>47541</v>
      </c>
      <c r="T2642" t="s">
        <v>49096</v>
      </c>
      <c r="U2642" t="s">
        <v>51931</v>
      </c>
      <c r="W2642" t="s">
        <v>44212</v>
      </c>
      <c r="X2642" t="s">
        <v>47430</v>
      </c>
    </row>
    <row r="2643" spans="1:24">
      <c r="A2643">
        <f>HYPERLINK("https://www.philgeps.gov.ph/GEPSNONPILOT/Tender/SplashBidNoticeAbstractUI.aspx?menuIndex=3&amp;refID=7162224&amp;Result=3","7162224")</f>
        <v>0</v>
      </c>
      <c r="B2643" t="s">
        <v>723</v>
      </c>
      <c r="C2643" t="s">
        <v>6424</v>
      </c>
      <c r="E2643" t="s">
        <v>21505</v>
      </c>
      <c r="F2643" t="s">
        <v>32831</v>
      </c>
      <c r="G2643" t="s">
        <v>32838</v>
      </c>
      <c r="H2643" t="s">
        <v>32848</v>
      </c>
      <c r="I2643" t="s">
        <v>7878</v>
      </c>
      <c r="J2643" t="s">
        <v>34017</v>
      </c>
      <c r="K2643" t="s">
        <v>42732</v>
      </c>
      <c r="M2643" t="s">
        <v>43744</v>
      </c>
      <c r="N2643" t="s">
        <v>47424</v>
      </c>
      <c r="O2643" t="s">
        <v>47425</v>
      </c>
      <c r="P2643">
        <v>0</v>
      </c>
      <c r="Q2643">
        <v>0</v>
      </c>
      <c r="R2643" t="s">
        <v>47428</v>
      </c>
      <c r="S2643" t="s">
        <v>47541</v>
      </c>
      <c r="T2643" t="s">
        <v>49111</v>
      </c>
      <c r="U2643" t="s">
        <v>51932</v>
      </c>
      <c r="V2643" t="s">
        <v>62906</v>
      </c>
      <c r="W2643" t="s">
        <v>43744</v>
      </c>
      <c r="X2643" t="s">
        <v>47430</v>
      </c>
    </row>
    <row r="2644" spans="1:24">
      <c r="A2644">
        <f>HYPERLINK("https://www.philgeps.gov.ph/GEPSNONPILOT/Tender/SplashBidNoticeAbstractUI.aspx?menuIndex=3&amp;refID=7162267&amp;Result=3","7162267")</f>
        <v>0</v>
      </c>
      <c r="B2644" t="s">
        <v>1149</v>
      </c>
      <c r="C2644" t="s">
        <v>6425</v>
      </c>
      <c r="D2644" t="s">
        <v>19079</v>
      </c>
      <c r="E2644" t="s">
        <v>21506</v>
      </c>
      <c r="F2644" t="s">
        <v>32831</v>
      </c>
      <c r="G2644" t="s">
        <v>32842</v>
      </c>
      <c r="H2644" t="s">
        <v>32848</v>
      </c>
      <c r="I2644" t="s">
        <v>4487</v>
      </c>
      <c r="J2644" t="s">
        <v>34777</v>
      </c>
      <c r="K2644" t="s">
        <v>42732</v>
      </c>
      <c r="M2644" t="s">
        <v>44213</v>
      </c>
      <c r="N2644" t="s">
        <v>47424</v>
      </c>
      <c r="O2644" t="s">
        <v>47425</v>
      </c>
      <c r="P2644">
        <v>0</v>
      </c>
      <c r="Q2644">
        <v>3</v>
      </c>
      <c r="R2644" t="s">
        <v>47428</v>
      </c>
      <c r="S2644" t="s">
        <v>47541</v>
      </c>
      <c r="T2644" t="s">
        <v>49198</v>
      </c>
      <c r="U2644" t="s">
        <v>51933</v>
      </c>
      <c r="W2644" t="s">
        <v>44213</v>
      </c>
      <c r="X2644" t="s">
        <v>47430</v>
      </c>
    </row>
    <row r="2645" spans="1:24">
      <c r="A2645">
        <f>HYPERLINK("https://www.philgeps.gov.ph/GEPSNONPILOT/Tender/SplashBidNoticeAbstractUI.aspx?menuIndex=3&amp;refID=7162256&amp;Result=3","7162256")</f>
        <v>0</v>
      </c>
      <c r="B2645" t="s">
        <v>910</v>
      </c>
      <c r="C2645" t="s">
        <v>6426</v>
      </c>
      <c r="D2645" t="s">
        <v>19017</v>
      </c>
      <c r="E2645" t="s">
        <v>21507</v>
      </c>
      <c r="F2645" t="s">
        <v>32831</v>
      </c>
      <c r="G2645" t="s">
        <v>32838</v>
      </c>
      <c r="H2645" t="s">
        <v>32848</v>
      </c>
      <c r="I2645" t="s">
        <v>4438</v>
      </c>
      <c r="J2645" t="s">
        <v>33490</v>
      </c>
      <c r="K2645" t="s">
        <v>42727</v>
      </c>
      <c r="M2645" t="s">
        <v>44107</v>
      </c>
      <c r="N2645" t="s">
        <v>47424</v>
      </c>
      <c r="O2645" t="s">
        <v>47425</v>
      </c>
      <c r="P2645">
        <v>0</v>
      </c>
      <c r="Q2645">
        <v>0</v>
      </c>
      <c r="R2645" t="s">
        <v>47428</v>
      </c>
      <c r="S2645" t="s">
        <v>47541</v>
      </c>
      <c r="T2645" t="s">
        <v>49111</v>
      </c>
      <c r="U2645" t="s">
        <v>51934</v>
      </c>
      <c r="V2645" t="s">
        <v>62873</v>
      </c>
      <c r="W2645" t="s">
        <v>44107</v>
      </c>
      <c r="X2645" t="s">
        <v>47430</v>
      </c>
    </row>
    <row r="2646" spans="1:24">
      <c r="A2646">
        <f>HYPERLINK("https://www.philgeps.gov.ph/GEPSNONPILOT/Tender/SplashBidNoticeAbstractUI.aspx?menuIndex=3&amp;refID=7162253&amp;Result=3","7162253")</f>
        <v>0</v>
      </c>
      <c r="B2646" t="s">
        <v>1141</v>
      </c>
      <c r="C2646" t="s">
        <v>6427</v>
      </c>
      <c r="D2646" t="s">
        <v>19017</v>
      </c>
      <c r="E2646" t="s">
        <v>21508</v>
      </c>
      <c r="F2646" t="s">
        <v>32831</v>
      </c>
      <c r="G2646" t="s">
        <v>32839</v>
      </c>
      <c r="H2646" t="s">
        <v>32849</v>
      </c>
      <c r="I2646" t="s">
        <v>4177</v>
      </c>
      <c r="J2646" t="s">
        <v>34778</v>
      </c>
      <c r="K2646" t="s">
        <v>42761</v>
      </c>
      <c r="M2646" t="s">
        <v>44205</v>
      </c>
      <c r="N2646" t="s">
        <v>47424</v>
      </c>
      <c r="O2646" t="s">
        <v>47425</v>
      </c>
      <c r="P2646">
        <v>0</v>
      </c>
      <c r="Q2646">
        <v>8</v>
      </c>
      <c r="R2646" t="s">
        <v>47428</v>
      </c>
      <c r="S2646" t="s">
        <v>47541</v>
      </c>
      <c r="T2646" t="s">
        <v>49077</v>
      </c>
      <c r="U2646" t="s">
        <v>51935</v>
      </c>
      <c r="W2646" t="s">
        <v>64459</v>
      </c>
      <c r="X2646" t="s">
        <v>47430</v>
      </c>
    </row>
    <row r="2647" spans="1:24">
      <c r="A2647">
        <f>HYPERLINK("https://www.philgeps.gov.ph/GEPSNONPILOT/Tender/SplashBidNoticeAbstractUI.aspx?menuIndex=3&amp;refID=7162192&amp;Result=3","7162192")</f>
        <v>0</v>
      </c>
      <c r="B2647" t="s">
        <v>685</v>
      </c>
      <c r="C2647" t="s">
        <v>6428</v>
      </c>
      <c r="D2647" t="s">
        <v>19059</v>
      </c>
      <c r="E2647" t="s">
        <v>21509</v>
      </c>
      <c r="F2647" t="s">
        <v>32831</v>
      </c>
      <c r="G2647" t="s">
        <v>32838</v>
      </c>
      <c r="H2647" t="s">
        <v>32848</v>
      </c>
      <c r="I2647" t="s">
        <v>5379</v>
      </c>
      <c r="J2647" t="s">
        <v>34779</v>
      </c>
      <c r="K2647" t="s">
        <v>42726</v>
      </c>
      <c r="M2647" t="s">
        <v>43704</v>
      </c>
      <c r="N2647" t="s">
        <v>47424</v>
      </c>
      <c r="O2647" t="s">
        <v>47425</v>
      </c>
      <c r="P2647">
        <v>0</v>
      </c>
      <c r="Q2647">
        <v>1</v>
      </c>
      <c r="R2647" t="s">
        <v>47428</v>
      </c>
      <c r="S2647" t="s">
        <v>47541</v>
      </c>
      <c r="T2647" t="s">
        <v>49111</v>
      </c>
      <c r="U2647" t="s">
        <v>51936</v>
      </c>
      <c r="V2647" t="s">
        <v>62783</v>
      </c>
      <c r="W2647" t="s">
        <v>43704</v>
      </c>
      <c r="X2647" t="s">
        <v>47430</v>
      </c>
    </row>
    <row r="2648" spans="1:24">
      <c r="A2648">
        <f>HYPERLINK("https://www.philgeps.gov.ph/GEPSNONPILOT/Tender/SplashBidNoticeAbstractUI.aspx?menuIndex=3&amp;refID=7162263&amp;Result=3","7162263")</f>
        <v>0</v>
      </c>
      <c r="B2648" t="s">
        <v>687</v>
      </c>
      <c r="C2648" t="s">
        <v>6429</v>
      </c>
      <c r="D2648" t="s">
        <v>19074</v>
      </c>
      <c r="E2648" t="s">
        <v>21510</v>
      </c>
      <c r="F2648" t="s">
        <v>32831</v>
      </c>
      <c r="G2648" t="s">
        <v>32838</v>
      </c>
      <c r="H2648" t="s">
        <v>32848</v>
      </c>
      <c r="I2648" t="s">
        <v>7416</v>
      </c>
      <c r="J2648" t="s">
        <v>34780</v>
      </c>
      <c r="K2648" t="s">
        <v>42750</v>
      </c>
      <c r="M2648" t="s">
        <v>43706</v>
      </c>
      <c r="N2648" t="s">
        <v>47424</v>
      </c>
      <c r="O2648" t="s">
        <v>47425</v>
      </c>
      <c r="P2648">
        <v>0</v>
      </c>
      <c r="Q2648">
        <v>1</v>
      </c>
      <c r="R2648" t="s">
        <v>47428</v>
      </c>
      <c r="S2648" t="s">
        <v>47541</v>
      </c>
      <c r="T2648" t="s">
        <v>49111</v>
      </c>
      <c r="U2648" t="s">
        <v>51937</v>
      </c>
      <c r="W2648" t="s">
        <v>43706</v>
      </c>
      <c r="X2648" t="s">
        <v>47430</v>
      </c>
    </row>
    <row r="2649" spans="1:24">
      <c r="A2649">
        <f>HYPERLINK("https://www.philgeps.gov.ph/GEPSNONPILOT/Tender/SplashBidNoticeAbstractUI.aspx?menuIndex=3&amp;refID=7162260&amp;Result=3","7162260")</f>
        <v>0</v>
      </c>
      <c r="B2649" t="s">
        <v>1150</v>
      </c>
      <c r="C2649" t="s">
        <v>6430</v>
      </c>
      <c r="D2649" t="s">
        <v>19095</v>
      </c>
      <c r="E2649" t="s">
        <v>21511</v>
      </c>
      <c r="F2649" t="s">
        <v>32831</v>
      </c>
      <c r="G2649" t="s">
        <v>32838</v>
      </c>
      <c r="H2649" t="s">
        <v>32848</v>
      </c>
      <c r="I2649" t="s">
        <v>32870</v>
      </c>
      <c r="J2649" t="s">
        <v>33490</v>
      </c>
      <c r="K2649" t="s">
        <v>42730</v>
      </c>
      <c r="M2649" t="s">
        <v>44214</v>
      </c>
      <c r="N2649" t="s">
        <v>47424</v>
      </c>
      <c r="O2649" t="s">
        <v>47425</v>
      </c>
      <c r="P2649">
        <v>0</v>
      </c>
      <c r="Q2649">
        <v>0</v>
      </c>
      <c r="R2649" t="s">
        <v>47428</v>
      </c>
      <c r="S2649" t="s">
        <v>47541</v>
      </c>
      <c r="T2649" t="s">
        <v>49162</v>
      </c>
      <c r="U2649" t="s">
        <v>51938</v>
      </c>
      <c r="V2649" t="s">
        <v>51543</v>
      </c>
      <c r="W2649" t="s">
        <v>44214</v>
      </c>
      <c r="X2649" t="s">
        <v>47430</v>
      </c>
    </row>
    <row r="2650" spans="1:24">
      <c r="A2650">
        <f>HYPERLINK("https://www.philgeps.gov.ph/GEPSNONPILOT/Tender/SplashBidNoticeAbstractUI.aspx?menuIndex=3&amp;refID=7162247&amp;Result=3","7162247")</f>
        <v>0</v>
      </c>
      <c r="B2650" t="s">
        <v>1151</v>
      </c>
      <c r="C2650" t="s">
        <v>6431</v>
      </c>
      <c r="D2650" t="s">
        <v>19091</v>
      </c>
      <c r="E2650" t="s">
        <v>21512</v>
      </c>
      <c r="F2650" t="s">
        <v>32831</v>
      </c>
      <c r="G2650" t="s">
        <v>32839</v>
      </c>
      <c r="H2650" t="s">
        <v>32849</v>
      </c>
      <c r="I2650" t="s">
        <v>4177</v>
      </c>
      <c r="J2650" t="s">
        <v>34781</v>
      </c>
      <c r="K2650" t="s">
        <v>42794</v>
      </c>
      <c r="M2650" t="s">
        <v>44215</v>
      </c>
      <c r="N2650" t="s">
        <v>47424</v>
      </c>
      <c r="O2650" t="s">
        <v>47425</v>
      </c>
      <c r="P2650">
        <v>0</v>
      </c>
      <c r="Q2650">
        <v>0</v>
      </c>
      <c r="R2650" t="s">
        <v>47428</v>
      </c>
      <c r="S2650" t="s">
        <v>47541</v>
      </c>
      <c r="T2650" t="s">
        <v>49320</v>
      </c>
      <c r="U2650" t="s">
        <v>51939</v>
      </c>
      <c r="W2650" t="s">
        <v>44215</v>
      </c>
      <c r="X2650" t="s">
        <v>47430</v>
      </c>
    </row>
    <row r="2651" spans="1:24">
      <c r="A2651">
        <f>HYPERLINK("https://www.philgeps.gov.ph/GEPSNONPILOT/Tender/SplashBidNoticeAbstractUI.aspx?menuIndex=3&amp;refID=7162251&amp;Result=3","7162251")</f>
        <v>0</v>
      </c>
      <c r="B2651" t="s">
        <v>1135</v>
      </c>
      <c r="C2651" t="s">
        <v>6432</v>
      </c>
      <c r="D2651" t="s">
        <v>19064</v>
      </c>
      <c r="E2651" t="s">
        <v>21513</v>
      </c>
      <c r="F2651" t="s">
        <v>32831</v>
      </c>
      <c r="G2651" t="s">
        <v>32838</v>
      </c>
      <c r="H2651" t="s">
        <v>32848</v>
      </c>
      <c r="I2651" t="s">
        <v>4776</v>
      </c>
      <c r="J2651" t="s">
        <v>34782</v>
      </c>
      <c r="K2651" t="s">
        <v>42726</v>
      </c>
      <c r="M2651" t="s">
        <v>44197</v>
      </c>
      <c r="N2651" t="s">
        <v>47424</v>
      </c>
      <c r="O2651" t="s">
        <v>47425</v>
      </c>
      <c r="P2651">
        <v>0</v>
      </c>
      <c r="Q2651">
        <v>0</v>
      </c>
      <c r="R2651" t="s">
        <v>47428</v>
      </c>
      <c r="S2651" t="s">
        <v>47541</v>
      </c>
      <c r="T2651" t="s">
        <v>49174</v>
      </c>
      <c r="U2651" t="s">
        <v>51940</v>
      </c>
      <c r="W2651" t="s">
        <v>44197</v>
      </c>
      <c r="X2651" t="s">
        <v>47430</v>
      </c>
    </row>
    <row r="2652" spans="1:24">
      <c r="A2652">
        <f>HYPERLINK("https://www.philgeps.gov.ph/GEPSNONPILOT/Tender/SplashBidNoticeAbstractUI.aspx?menuIndex=3&amp;refID=7162264&amp;Result=3","7162264")</f>
        <v>0</v>
      </c>
      <c r="B2652" t="s">
        <v>934</v>
      </c>
      <c r="C2652" t="s">
        <v>6433</v>
      </c>
      <c r="D2652" t="s">
        <v>19048</v>
      </c>
      <c r="E2652" t="s">
        <v>21514</v>
      </c>
      <c r="F2652" t="s">
        <v>32831</v>
      </c>
      <c r="G2652" t="s">
        <v>32838</v>
      </c>
      <c r="H2652" t="s">
        <v>32848</v>
      </c>
      <c r="I2652" t="s">
        <v>9577</v>
      </c>
      <c r="J2652" t="s">
        <v>34783</v>
      </c>
      <c r="K2652" t="s">
        <v>42730</v>
      </c>
      <c r="M2652" t="s">
        <v>43976</v>
      </c>
      <c r="N2652" t="s">
        <v>47424</v>
      </c>
      <c r="O2652" t="s">
        <v>47425</v>
      </c>
      <c r="P2652">
        <v>0</v>
      </c>
      <c r="Q2652">
        <v>2</v>
      </c>
      <c r="R2652" t="s">
        <v>47428</v>
      </c>
      <c r="S2652" t="s">
        <v>47541</v>
      </c>
      <c r="T2652" t="s">
        <v>49125</v>
      </c>
      <c r="U2652" t="s">
        <v>51423</v>
      </c>
      <c r="W2652" t="s">
        <v>43976</v>
      </c>
      <c r="X2652" t="s">
        <v>47430</v>
      </c>
    </row>
    <row r="2653" spans="1:24">
      <c r="A2653">
        <f>HYPERLINK("https://www.philgeps.gov.ph/GEPSNONPILOT/Tender/SplashBidNoticeAbstractUI.aspx?menuIndex=3&amp;refID=7162321&amp;Result=3","7162321")</f>
        <v>0</v>
      </c>
      <c r="B2653" t="s">
        <v>1141</v>
      </c>
      <c r="C2653" t="s">
        <v>6434</v>
      </c>
      <c r="D2653" t="s">
        <v>19017</v>
      </c>
      <c r="E2653" t="s">
        <v>21515</v>
      </c>
      <c r="F2653" t="s">
        <v>32831</v>
      </c>
      <c r="G2653" t="s">
        <v>32839</v>
      </c>
      <c r="H2653" t="s">
        <v>32849</v>
      </c>
      <c r="I2653" t="s">
        <v>4177</v>
      </c>
      <c r="J2653" t="s">
        <v>34784</v>
      </c>
      <c r="K2653" t="s">
        <v>42784</v>
      </c>
      <c r="M2653" t="s">
        <v>44205</v>
      </c>
      <c r="N2653" t="s">
        <v>47424</v>
      </c>
      <c r="O2653" t="s">
        <v>47425</v>
      </c>
      <c r="P2653">
        <v>0</v>
      </c>
      <c r="Q2653">
        <v>7</v>
      </c>
      <c r="R2653" t="s">
        <v>47428</v>
      </c>
      <c r="S2653" t="s">
        <v>47541</v>
      </c>
      <c r="T2653" t="s">
        <v>49077</v>
      </c>
      <c r="U2653" t="s">
        <v>51941</v>
      </c>
      <c r="W2653" t="s">
        <v>64459</v>
      </c>
      <c r="X2653" t="s">
        <v>47430</v>
      </c>
    </row>
    <row r="2654" spans="1:24">
      <c r="A2654">
        <f>HYPERLINK("https://www.philgeps.gov.ph/GEPSNONPILOT/Tender/SplashBidNoticeAbstractUI.aspx?menuIndex=3&amp;refID=7162248&amp;Result=3","7162248")</f>
        <v>0</v>
      </c>
      <c r="B2654" t="s">
        <v>1152</v>
      </c>
      <c r="C2654" t="s">
        <v>6435</v>
      </c>
      <c r="D2654" t="s">
        <v>19038</v>
      </c>
      <c r="E2654" t="s">
        <v>21516</v>
      </c>
      <c r="F2654" t="s">
        <v>32831</v>
      </c>
      <c r="G2654" t="s">
        <v>32839</v>
      </c>
      <c r="H2654" t="s">
        <v>32848</v>
      </c>
      <c r="I2654" t="s">
        <v>10805</v>
      </c>
      <c r="J2654" t="s">
        <v>34785</v>
      </c>
      <c r="K2654" t="s">
        <v>42732</v>
      </c>
      <c r="M2654" t="s">
        <v>44216</v>
      </c>
      <c r="N2654" t="s">
        <v>47424</v>
      </c>
      <c r="O2654" t="s">
        <v>47425</v>
      </c>
      <c r="P2654">
        <v>0</v>
      </c>
      <c r="Q2654">
        <v>2</v>
      </c>
      <c r="R2654" t="s">
        <v>47428</v>
      </c>
      <c r="S2654" t="s">
        <v>47541</v>
      </c>
      <c r="T2654" t="s">
        <v>49059</v>
      </c>
      <c r="U2654" t="s">
        <v>51942</v>
      </c>
      <c r="V2654" t="s">
        <v>62907</v>
      </c>
      <c r="W2654" t="s">
        <v>44216</v>
      </c>
      <c r="X2654" t="s">
        <v>47430</v>
      </c>
    </row>
    <row r="2655" spans="1:24">
      <c r="A2655">
        <f>HYPERLINK("https://www.philgeps.gov.ph/GEPSNONPILOT/Tender/SplashBidNoticeAbstractUI.aspx?menuIndex=3&amp;refID=7162317&amp;Result=3","7162317")</f>
        <v>0</v>
      </c>
      <c r="B2655" t="s">
        <v>1153</v>
      </c>
      <c r="C2655" t="s">
        <v>6436</v>
      </c>
      <c r="D2655" t="s">
        <v>19045</v>
      </c>
      <c r="E2655" t="s">
        <v>21517</v>
      </c>
      <c r="F2655" t="s">
        <v>32831</v>
      </c>
      <c r="G2655" t="s">
        <v>32839</v>
      </c>
      <c r="H2655" t="s">
        <v>32848</v>
      </c>
      <c r="I2655" t="s">
        <v>10805</v>
      </c>
      <c r="J2655" t="s">
        <v>33156</v>
      </c>
      <c r="K2655" t="s">
        <v>42732</v>
      </c>
      <c r="M2655" t="s">
        <v>44217</v>
      </c>
      <c r="N2655" t="s">
        <v>47424</v>
      </c>
      <c r="O2655" t="s">
        <v>47425</v>
      </c>
      <c r="P2655">
        <v>0</v>
      </c>
      <c r="Q2655">
        <v>0</v>
      </c>
      <c r="R2655" t="s">
        <v>47428</v>
      </c>
      <c r="S2655" t="s">
        <v>47541</v>
      </c>
      <c r="T2655" t="s">
        <v>49105</v>
      </c>
      <c r="U2655" t="s">
        <v>51943</v>
      </c>
      <c r="W2655" t="s">
        <v>44217</v>
      </c>
      <c r="X2655" t="s">
        <v>47430</v>
      </c>
    </row>
    <row r="2656" spans="1:24">
      <c r="A2656">
        <f>HYPERLINK("https://www.philgeps.gov.ph/GEPSNONPILOT/Tender/SplashBidNoticeAbstractUI.aspx?menuIndex=3&amp;refID=7162325&amp;Result=3","7162325")</f>
        <v>0</v>
      </c>
      <c r="B2656" t="s">
        <v>1154</v>
      </c>
      <c r="C2656" t="s">
        <v>6437</v>
      </c>
      <c r="D2656" t="s">
        <v>19042</v>
      </c>
      <c r="E2656" t="s">
        <v>21518</v>
      </c>
      <c r="F2656" t="s">
        <v>32831</v>
      </c>
      <c r="G2656" t="s">
        <v>32838</v>
      </c>
      <c r="H2656" t="s">
        <v>32848</v>
      </c>
      <c r="I2656" t="s">
        <v>9577</v>
      </c>
      <c r="J2656" t="s">
        <v>34786</v>
      </c>
      <c r="K2656" t="s">
        <v>42758</v>
      </c>
      <c r="M2656" t="s">
        <v>44218</v>
      </c>
      <c r="N2656" t="s">
        <v>47424</v>
      </c>
      <c r="O2656" t="s">
        <v>47425</v>
      </c>
      <c r="P2656">
        <v>0</v>
      </c>
      <c r="Q2656">
        <v>2</v>
      </c>
      <c r="R2656" t="s">
        <v>47428</v>
      </c>
      <c r="S2656" t="s">
        <v>47541</v>
      </c>
      <c r="T2656" t="s">
        <v>49163</v>
      </c>
      <c r="U2656" t="s">
        <v>51944</v>
      </c>
      <c r="W2656" t="s">
        <v>44218</v>
      </c>
      <c r="X2656" t="s">
        <v>47430</v>
      </c>
    </row>
    <row r="2657" spans="1:24">
      <c r="A2657">
        <f>HYPERLINK("https://www.philgeps.gov.ph/GEPSNONPILOT/Tender/SplashBidNoticeAbstractUI.aspx?menuIndex=3&amp;refID=7162309&amp;Result=3","7162309")</f>
        <v>0</v>
      </c>
      <c r="B2657" t="s">
        <v>744</v>
      </c>
      <c r="C2657" t="s">
        <v>6438</v>
      </c>
      <c r="D2657" t="s">
        <v>19017</v>
      </c>
      <c r="E2657" t="s">
        <v>21519</v>
      </c>
      <c r="F2657" t="s">
        <v>32831</v>
      </c>
      <c r="G2657" t="s">
        <v>32842</v>
      </c>
      <c r="H2657" t="s">
        <v>32848</v>
      </c>
      <c r="I2657" t="s">
        <v>9577</v>
      </c>
      <c r="J2657" t="s">
        <v>34787</v>
      </c>
      <c r="K2657" t="s">
        <v>42726</v>
      </c>
      <c r="M2657" t="s">
        <v>44219</v>
      </c>
      <c r="N2657" t="s">
        <v>47424</v>
      </c>
      <c r="O2657" t="s">
        <v>47425</v>
      </c>
      <c r="P2657">
        <v>0</v>
      </c>
      <c r="Q2657">
        <v>1</v>
      </c>
      <c r="R2657" t="s">
        <v>47428</v>
      </c>
      <c r="S2657" t="s">
        <v>47541</v>
      </c>
      <c r="T2657" t="s">
        <v>49237</v>
      </c>
      <c r="U2657" t="s">
        <v>51945</v>
      </c>
      <c r="W2657" t="s">
        <v>44219</v>
      </c>
      <c r="X2657" t="s">
        <v>47430</v>
      </c>
    </row>
    <row r="2658" spans="1:24">
      <c r="A2658">
        <f>HYPERLINK("https://www.philgeps.gov.ph/GEPSNONPILOT/Tender/SplashBidNoticeAbstractUI.aspx?menuIndex=3&amp;refID=7162308&amp;Result=3","7162308")</f>
        <v>0</v>
      </c>
      <c r="B2658" t="s">
        <v>632</v>
      </c>
      <c r="C2658" t="s">
        <v>4859</v>
      </c>
      <c r="D2658" t="s">
        <v>19058</v>
      </c>
      <c r="E2658" t="s">
        <v>21520</v>
      </c>
      <c r="F2658" t="s">
        <v>32831</v>
      </c>
      <c r="G2658" t="s">
        <v>32838</v>
      </c>
      <c r="H2658" t="s">
        <v>32848</v>
      </c>
      <c r="I2658" t="s">
        <v>32860</v>
      </c>
      <c r="J2658" t="s">
        <v>34788</v>
      </c>
      <c r="K2658" t="s">
        <v>42726</v>
      </c>
      <c r="M2658" t="s">
        <v>43649</v>
      </c>
      <c r="N2658" t="s">
        <v>47424</v>
      </c>
      <c r="O2658" t="s">
        <v>47425</v>
      </c>
      <c r="P2658">
        <v>0</v>
      </c>
      <c r="Q2658">
        <v>0</v>
      </c>
      <c r="R2658" t="s">
        <v>47428</v>
      </c>
      <c r="S2658" t="s">
        <v>47541</v>
      </c>
      <c r="T2658" t="s">
        <v>49243</v>
      </c>
      <c r="U2658" t="s">
        <v>51946</v>
      </c>
      <c r="W2658" t="s">
        <v>43649</v>
      </c>
      <c r="X2658" t="s">
        <v>47430</v>
      </c>
    </row>
    <row r="2659" spans="1:24">
      <c r="A2659">
        <f>HYPERLINK("https://www.philgeps.gov.ph/GEPSNONPILOT/Tender/SplashBidNoticeAbstractUI.aspx?menuIndex=3&amp;refID=7162323&amp;Result=3","7162323")</f>
        <v>0</v>
      </c>
      <c r="B2659" t="s">
        <v>881</v>
      </c>
      <c r="C2659" t="s">
        <v>6439</v>
      </c>
      <c r="D2659" t="s">
        <v>19095</v>
      </c>
      <c r="E2659" t="s">
        <v>21521</v>
      </c>
      <c r="F2659" t="s">
        <v>32831</v>
      </c>
      <c r="G2659" t="s">
        <v>32838</v>
      </c>
      <c r="H2659" t="s">
        <v>32848</v>
      </c>
      <c r="I2659" t="s">
        <v>4776</v>
      </c>
      <c r="J2659" t="s">
        <v>34789</v>
      </c>
      <c r="K2659" t="s">
        <v>42727</v>
      </c>
      <c r="M2659" t="s">
        <v>43916</v>
      </c>
      <c r="N2659" t="s">
        <v>47424</v>
      </c>
      <c r="O2659" t="s">
        <v>47425</v>
      </c>
      <c r="P2659">
        <v>0</v>
      </c>
      <c r="Q2659">
        <v>7</v>
      </c>
      <c r="R2659" t="s">
        <v>47428</v>
      </c>
      <c r="S2659" t="s">
        <v>47541</v>
      </c>
      <c r="T2659" t="s">
        <v>49214</v>
      </c>
      <c r="U2659" t="s">
        <v>51947</v>
      </c>
      <c r="W2659" t="s">
        <v>43916</v>
      </c>
      <c r="X2659" t="s">
        <v>47430</v>
      </c>
    </row>
    <row r="2660" spans="1:24">
      <c r="A2660">
        <f>HYPERLINK("https://www.philgeps.gov.ph/GEPSNONPILOT/Tender/SplashBidNoticeAbstractUI.aspx?menuIndex=3&amp;refID=7162318&amp;Result=3","7162318")</f>
        <v>0</v>
      </c>
      <c r="B2660" t="s">
        <v>575</v>
      </c>
      <c r="C2660" t="s">
        <v>5307</v>
      </c>
      <c r="D2660" t="s">
        <v>19041</v>
      </c>
      <c r="E2660" t="s">
        <v>21522</v>
      </c>
      <c r="F2660" t="s">
        <v>32831</v>
      </c>
      <c r="G2660" t="s">
        <v>32838</v>
      </c>
      <c r="H2660" t="s">
        <v>32848</v>
      </c>
      <c r="I2660" t="s">
        <v>5379</v>
      </c>
      <c r="J2660" t="s">
        <v>34790</v>
      </c>
      <c r="K2660" t="s">
        <v>42749</v>
      </c>
      <c r="M2660" t="s">
        <v>43585</v>
      </c>
      <c r="N2660" t="s">
        <v>47424</v>
      </c>
      <c r="O2660" t="s">
        <v>47425</v>
      </c>
      <c r="P2660">
        <v>0</v>
      </c>
      <c r="Q2660">
        <v>0</v>
      </c>
      <c r="R2660" t="s">
        <v>47428</v>
      </c>
      <c r="S2660" t="s">
        <v>47541</v>
      </c>
      <c r="T2660" t="s">
        <v>49166</v>
      </c>
      <c r="U2660" t="s">
        <v>51948</v>
      </c>
      <c r="W2660" t="s">
        <v>43585</v>
      </c>
      <c r="X2660" t="s">
        <v>47430</v>
      </c>
    </row>
    <row r="2661" spans="1:24">
      <c r="A2661">
        <f>HYPERLINK("https://www.philgeps.gov.ph/GEPSNONPILOT/Tender/SplashBidNoticeAbstractUI.aspx?menuIndex=3&amp;refID=7162298&amp;Result=3","7162298")</f>
        <v>0</v>
      </c>
      <c r="B2661" t="s">
        <v>1155</v>
      </c>
      <c r="C2661" t="s">
        <v>6440</v>
      </c>
      <c r="D2661" t="s">
        <v>19034</v>
      </c>
      <c r="E2661" t="s">
        <v>21523</v>
      </c>
      <c r="F2661" t="s">
        <v>32831</v>
      </c>
      <c r="G2661" t="s">
        <v>32838</v>
      </c>
      <c r="H2661" t="s">
        <v>32848</v>
      </c>
      <c r="I2661" t="s">
        <v>32856</v>
      </c>
      <c r="J2661" t="s">
        <v>33133</v>
      </c>
      <c r="K2661" t="s">
        <v>42730</v>
      </c>
      <c r="M2661" t="s">
        <v>44220</v>
      </c>
      <c r="N2661" t="s">
        <v>47424</v>
      </c>
      <c r="O2661" t="s">
        <v>47425</v>
      </c>
      <c r="P2661">
        <v>0</v>
      </c>
      <c r="Q2661">
        <v>1</v>
      </c>
      <c r="R2661" t="s">
        <v>47428</v>
      </c>
      <c r="S2661" t="s">
        <v>47541</v>
      </c>
      <c r="T2661" t="s">
        <v>49255</v>
      </c>
      <c r="U2661" t="s">
        <v>51949</v>
      </c>
      <c r="W2661" t="s">
        <v>44220</v>
      </c>
      <c r="X2661" t="s">
        <v>47430</v>
      </c>
    </row>
    <row r="2662" spans="1:24">
      <c r="A2662">
        <f>HYPERLINK("https://www.philgeps.gov.ph/GEPSNONPILOT/Tender/SplashBidNoticeAbstractUI.aspx?menuIndex=3&amp;refID=7162295&amp;Result=3","7162295")</f>
        <v>0</v>
      </c>
      <c r="B2662" t="s">
        <v>513</v>
      </c>
      <c r="C2662" t="s">
        <v>6441</v>
      </c>
      <c r="D2662" t="s">
        <v>19018</v>
      </c>
      <c r="E2662" t="s">
        <v>21524</v>
      </c>
      <c r="F2662" t="s">
        <v>32831</v>
      </c>
      <c r="G2662" t="s">
        <v>32839</v>
      </c>
      <c r="H2662" t="s">
        <v>32848</v>
      </c>
      <c r="I2662" t="s">
        <v>4558</v>
      </c>
      <c r="J2662" t="s">
        <v>34791</v>
      </c>
      <c r="K2662" t="s">
        <v>42726</v>
      </c>
      <c r="M2662" t="s">
        <v>43518</v>
      </c>
      <c r="N2662" t="s">
        <v>47424</v>
      </c>
      <c r="O2662" t="s">
        <v>47425</v>
      </c>
      <c r="P2662">
        <v>0</v>
      </c>
      <c r="Q2662">
        <v>6</v>
      </c>
      <c r="R2662" t="s">
        <v>47428</v>
      </c>
      <c r="S2662" t="s">
        <v>47541</v>
      </c>
      <c r="T2662" t="s">
        <v>49196</v>
      </c>
      <c r="U2662" t="s">
        <v>51950</v>
      </c>
      <c r="W2662" t="s">
        <v>64441</v>
      </c>
      <c r="X2662" t="s">
        <v>47430</v>
      </c>
    </row>
    <row r="2663" spans="1:24">
      <c r="A2663">
        <f>HYPERLINK("https://www.philgeps.gov.ph/GEPSNONPILOT/Tender/SplashBidNoticeAbstractUI.aspx?menuIndex=3&amp;refID=7162293&amp;Result=3","7162293")</f>
        <v>0</v>
      </c>
      <c r="B2663" t="s">
        <v>1141</v>
      </c>
      <c r="C2663" t="s">
        <v>6442</v>
      </c>
      <c r="D2663" t="s">
        <v>19017</v>
      </c>
      <c r="E2663" t="s">
        <v>21525</v>
      </c>
      <c r="F2663" t="s">
        <v>32831</v>
      </c>
      <c r="G2663" t="s">
        <v>32839</v>
      </c>
      <c r="H2663" t="s">
        <v>32849</v>
      </c>
      <c r="I2663" t="s">
        <v>4177</v>
      </c>
      <c r="J2663" t="s">
        <v>34792</v>
      </c>
      <c r="K2663" t="s">
        <v>42770</v>
      </c>
      <c r="M2663" t="s">
        <v>44205</v>
      </c>
      <c r="N2663" t="s">
        <v>47424</v>
      </c>
      <c r="O2663" t="s">
        <v>47425</v>
      </c>
      <c r="P2663">
        <v>0</v>
      </c>
      <c r="Q2663">
        <v>9</v>
      </c>
      <c r="R2663" t="s">
        <v>47428</v>
      </c>
      <c r="S2663" t="s">
        <v>47541</v>
      </c>
      <c r="T2663" t="s">
        <v>49077</v>
      </c>
      <c r="U2663" t="s">
        <v>51951</v>
      </c>
      <c r="W2663" t="s">
        <v>64459</v>
      </c>
      <c r="X2663" t="s">
        <v>47430</v>
      </c>
    </row>
    <row r="2664" spans="1:24">
      <c r="A2664">
        <f>HYPERLINK("https://www.philgeps.gov.ph/GEPSNONPILOT/Tender/SplashBidNoticeAbstractUI.aspx?menuIndex=3&amp;refID=7162330&amp;Result=3","7162330")</f>
        <v>0</v>
      </c>
      <c r="B2664" t="s">
        <v>1156</v>
      </c>
      <c r="C2664" t="s">
        <v>6443</v>
      </c>
      <c r="D2664" t="s">
        <v>19017</v>
      </c>
      <c r="E2664" t="s">
        <v>21526</v>
      </c>
      <c r="F2664" t="s">
        <v>32831</v>
      </c>
      <c r="G2664" t="s">
        <v>32838</v>
      </c>
      <c r="H2664" t="s">
        <v>32848</v>
      </c>
      <c r="I2664" t="s">
        <v>32905</v>
      </c>
      <c r="J2664" t="s">
        <v>33232</v>
      </c>
      <c r="K2664" t="s">
        <v>42732</v>
      </c>
      <c r="M2664" t="s">
        <v>44221</v>
      </c>
      <c r="N2664" t="s">
        <v>47424</v>
      </c>
      <c r="O2664" t="s">
        <v>47425</v>
      </c>
      <c r="P2664">
        <v>0</v>
      </c>
      <c r="Q2664">
        <v>4</v>
      </c>
      <c r="R2664" t="s">
        <v>47428</v>
      </c>
      <c r="S2664" t="s">
        <v>47541</v>
      </c>
      <c r="T2664" t="s">
        <v>49255</v>
      </c>
      <c r="U2664" t="s">
        <v>51952</v>
      </c>
      <c r="V2664" t="s">
        <v>62908</v>
      </c>
      <c r="W2664" t="s">
        <v>44221</v>
      </c>
      <c r="X2664" t="s">
        <v>47430</v>
      </c>
    </row>
    <row r="2665" spans="1:24">
      <c r="A2665">
        <f>HYPERLINK("https://www.philgeps.gov.ph/GEPSNONPILOT/Tender/SplashBidNoticeAbstractUI.aspx?menuIndex=3&amp;refID=7162359&amp;Result=3","7162359")</f>
        <v>0</v>
      </c>
      <c r="B2665" t="s">
        <v>243</v>
      </c>
      <c r="C2665" t="s">
        <v>6444</v>
      </c>
      <c r="D2665" t="s">
        <v>19074</v>
      </c>
      <c r="E2665" t="s">
        <v>21527</v>
      </c>
      <c r="F2665" t="s">
        <v>32831</v>
      </c>
      <c r="G2665" t="s">
        <v>32838</v>
      </c>
      <c r="H2665" t="s">
        <v>32848</v>
      </c>
      <c r="I2665" t="s">
        <v>32902</v>
      </c>
      <c r="J2665" t="s">
        <v>34793</v>
      </c>
      <c r="K2665" t="s">
        <v>42758</v>
      </c>
      <c r="M2665" t="s">
        <v>43242</v>
      </c>
      <c r="N2665" t="s">
        <v>47424</v>
      </c>
      <c r="O2665" t="s">
        <v>47425</v>
      </c>
      <c r="P2665">
        <v>0</v>
      </c>
      <c r="Q2665">
        <v>2</v>
      </c>
      <c r="R2665" t="s">
        <v>47428</v>
      </c>
      <c r="S2665" t="s">
        <v>47541</v>
      </c>
      <c r="T2665" t="s">
        <v>49239</v>
      </c>
      <c r="U2665" t="s">
        <v>51953</v>
      </c>
      <c r="W2665" t="s">
        <v>43242</v>
      </c>
      <c r="X2665" t="s">
        <v>47430</v>
      </c>
    </row>
    <row r="2666" spans="1:24">
      <c r="A2666">
        <f>HYPERLINK("https://www.philgeps.gov.ph/GEPSNONPILOT/Tender/SplashBidNoticeAbstractUI.aspx?menuIndex=3&amp;refID=7162196&amp;Result=3","7162196")</f>
        <v>0</v>
      </c>
      <c r="B2666" t="s">
        <v>687</v>
      </c>
      <c r="C2666" t="s">
        <v>6445</v>
      </c>
      <c r="D2666" t="s">
        <v>19074</v>
      </c>
      <c r="E2666" t="s">
        <v>21528</v>
      </c>
      <c r="F2666" t="s">
        <v>32831</v>
      </c>
      <c r="G2666" t="s">
        <v>32838</v>
      </c>
      <c r="H2666" t="s">
        <v>32848</v>
      </c>
      <c r="I2666" t="s">
        <v>4438</v>
      </c>
      <c r="J2666" t="s">
        <v>34794</v>
      </c>
      <c r="K2666" t="s">
        <v>42750</v>
      </c>
      <c r="M2666" t="s">
        <v>43706</v>
      </c>
      <c r="N2666" t="s">
        <v>47424</v>
      </c>
      <c r="O2666" t="s">
        <v>47425</v>
      </c>
      <c r="P2666">
        <v>0</v>
      </c>
      <c r="Q2666">
        <v>0</v>
      </c>
      <c r="R2666" t="s">
        <v>47428</v>
      </c>
      <c r="S2666" t="s">
        <v>47541</v>
      </c>
      <c r="T2666" t="s">
        <v>49111</v>
      </c>
      <c r="U2666" t="s">
        <v>51954</v>
      </c>
      <c r="W2666" t="s">
        <v>43706</v>
      </c>
      <c r="X2666" t="s">
        <v>47430</v>
      </c>
    </row>
    <row r="2667" spans="1:24">
      <c r="A2667">
        <f>HYPERLINK("https://www.philgeps.gov.ph/GEPSNONPILOT/Tender/SplashBidNoticeAbstractUI.aspx?menuIndex=3&amp;refID=7162354&amp;Result=3","7162354")</f>
        <v>0</v>
      </c>
      <c r="B2667" t="s">
        <v>1141</v>
      </c>
      <c r="C2667" t="s">
        <v>6446</v>
      </c>
      <c r="D2667" t="s">
        <v>19017</v>
      </c>
      <c r="E2667" t="s">
        <v>21529</v>
      </c>
      <c r="F2667" t="s">
        <v>32831</v>
      </c>
      <c r="G2667" t="s">
        <v>32839</v>
      </c>
      <c r="H2667" t="s">
        <v>32849</v>
      </c>
      <c r="I2667" t="s">
        <v>4177</v>
      </c>
      <c r="J2667" t="s">
        <v>34784</v>
      </c>
      <c r="K2667" t="s">
        <v>42784</v>
      </c>
      <c r="M2667" t="s">
        <v>44205</v>
      </c>
      <c r="N2667" t="s">
        <v>47424</v>
      </c>
      <c r="O2667" t="s">
        <v>47425</v>
      </c>
      <c r="P2667">
        <v>0</v>
      </c>
      <c r="Q2667">
        <v>7</v>
      </c>
      <c r="R2667" t="s">
        <v>47428</v>
      </c>
      <c r="S2667" t="s">
        <v>47541</v>
      </c>
      <c r="T2667" t="s">
        <v>49077</v>
      </c>
      <c r="U2667" t="s">
        <v>51955</v>
      </c>
      <c r="W2667" t="s">
        <v>64459</v>
      </c>
      <c r="X2667" t="s">
        <v>47430</v>
      </c>
    </row>
    <row r="2668" spans="1:24">
      <c r="A2668">
        <f>HYPERLINK("https://www.philgeps.gov.ph/GEPSNONPILOT/Tender/SplashBidNoticeAbstractUI.aspx?menuIndex=3&amp;refID=7162349&amp;Result=3","7162349")</f>
        <v>0</v>
      </c>
      <c r="B2668" t="s">
        <v>649</v>
      </c>
      <c r="C2668" t="s">
        <v>6447</v>
      </c>
      <c r="D2668" t="s">
        <v>19082</v>
      </c>
      <c r="E2668" t="s">
        <v>21530</v>
      </c>
      <c r="F2668" t="s">
        <v>32831</v>
      </c>
      <c r="G2668" t="s">
        <v>32838</v>
      </c>
      <c r="H2668" t="s">
        <v>32848</v>
      </c>
      <c r="I2668" t="s">
        <v>32870</v>
      </c>
      <c r="J2668" t="s">
        <v>34795</v>
      </c>
      <c r="K2668" t="s">
        <v>42727</v>
      </c>
      <c r="M2668" t="s">
        <v>43666</v>
      </c>
      <c r="N2668" t="s">
        <v>47424</v>
      </c>
      <c r="O2668" t="s">
        <v>47425</v>
      </c>
      <c r="P2668">
        <v>0</v>
      </c>
      <c r="Q2668">
        <v>0</v>
      </c>
      <c r="R2668" t="s">
        <v>47428</v>
      </c>
      <c r="S2668" t="s">
        <v>47541</v>
      </c>
      <c r="T2668" t="s">
        <v>49073</v>
      </c>
      <c r="U2668" t="s">
        <v>51956</v>
      </c>
      <c r="W2668" t="s">
        <v>43666</v>
      </c>
      <c r="X2668" t="s">
        <v>47430</v>
      </c>
    </row>
    <row r="2669" spans="1:24">
      <c r="A2669">
        <f>HYPERLINK("https://www.philgeps.gov.ph/GEPSNONPILOT/Tender/SplashBidNoticeAbstractUI.aspx?menuIndex=3&amp;refID=7162310&amp;Result=3","7162310")</f>
        <v>0</v>
      </c>
      <c r="B2669" t="s">
        <v>1157</v>
      </c>
      <c r="C2669" t="s">
        <v>6448</v>
      </c>
      <c r="D2669" t="s">
        <v>19077</v>
      </c>
      <c r="E2669" t="s">
        <v>21531</v>
      </c>
      <c r="F2669" t="s">
        <v>32831</v>
      </c>
      <c r="G2669" t="s">
        <v>32838</v>
      </c>
      <c r="H2669" t="s">
        <v>32848</v>
      </c>
      <c r="I2669" t="s">
        <v>32885</v>
      </c>
      <c r="J2669" t="s">
        <v>34358</v>
      </c>
      <c r="K2669" t="s">
        <v>42758</v>
      </c>
      <c r="M2669" t="s">
        <v>44222</v>
      </c>
      <c r="N2669" t="s">
        <v>47424</v>
      </c>
      <c r="O2669" t="s">
        <v>47425</v>
      </c>
      <c r="P2669">
        <v>0</v>
      </c>
      <c r="Q2669">
        <v>0</v>
      </c>
      <c r="R2669" t="s">
        <v>47428</v>
      </c>
      <c r="S2669" t="s">
        <v>47541</v>
      </c>
      <c r="T2669" t="s">
        <v>49235</v>
      </c>
      <c r="U2669" t="s">
        <v>51957</v>
      </c>
      <c r="W2669" t="s">
        <v>44222</v>
      </c>
      <c r="X2669" t="s">
        <v>47430</v>
      </c>
    </row>
    <row r="2670" spans="1:24">
      <c r="A2670">
        <f>HYPERLINK("https://www.philgeps.gov.ph/GEPSNONPILOT/Tender/SplashBidNoticeAbstractUI.aspx?menuIndex=3&amp;refID=7162345&amp;Result=3","7162345")</f>
        <v>0</v>
      </c>
      <c r="B2670" t="s">
        <v>677</v>
      </c>
      <c r="C2670" t="s">
        <v>6449</v>
      </c>
      <c r="D2670" t="s">
        <v>19024</v>
      </c>
      <c r="E2670" t="s">
        <v>21532</v>
      </c>
      <c r="F2670" t="s">
        <v>32831</v>
      </c>
      <c r="G2670" t="s">
        <v>32839</v>
      </c>
      <c r="H2670" t="s">
        <v>32848</v>
      </c>
      <c r="I2670" t="s">
        <v>7416</v>
      </c>
      <c r="J2670" t="s">
        <v>34796</v>
      </c>
      <c r="K2670" t="s">
        <v>42730</v>
      </c>
      <c r="M2670" t="s">
        <v>43696</v>
      </c>
      <c r="N2670" t="s">
        <v>47424</v>
      </c>
      <c r="O2670" t="s">
        <v>47425</v>
      </c>
      <c r="P2670">
        <v>0</v>
      </c>
      <c r="Q2670">
        <v>0</v>
      </c>
      <c r="R2670" t="s">
        <v>47428</v>
      </c>
      <c r="S2670" t="s">
        <v>47541</v>
      </c>
      <c r="T2670" t="s">
        <v>49066</v>
      </c>
      <c r="U2670" t="s">
        <v>51958</v>
      </c>
      <c r="W2670" t="s">
        <v>43696</v>
      </c>
      <c r="X2670" t="s">
        <v>47430</v>
      </c>
    </row>
    <row r="2671" spans="1:24">
      <c r="A2671">
        <f>HYPERLINK("https://www.philgeps.gov.ph/GEPSNONPILOT/Tender/SplashBidNoticeAbstractUI.aspx?menuIndex=3&amp;refID=7162250&amp;Result=3","7162250")</f>
        <v>0</v>
      </c>
      <c r="B2671" t="s">
        <v>1158</v>
      </c>
      <c r="C2671" t="s">
        <v>6450</v>
      </c>
      <c r="D2671" t="s">
        <v>19021</v>
      </c>
      <c r="E2671" t="s">
        <v>21533</v>
      </c>
      <c r="F2671" t="s">
        <v>32831</v>
      </c>
      <c r="G2671" t="s">
        <v>32839</v>
      </c>
      <c r="H2671" t="s">
        <v>32848</v>
      </c>
      <c r="I2671" t="s">
        <v>4558</v>
      </c>
      <c r="J2671" t="s">
        <v>34797</v>
      </c>
      <c r="K2671" t="s">
        <v>42731</v>
      </c>
      <c r="M2671" t="s">
        <v>44223</v>
      </c>
      <c r="N2671" t="s">
        <v>47424</v>
      </c>
      <c r="O2671" t="s">
        <v>47425</v>
      </c>
      <c r="P2671">
        <v>0</v>
      </c>
      <c r="Q2671">
        <v>7</v>
      </c>
      <c r="R2671" t="s">
        <v>47428</v>
      </c>
      <c r="S2671" t="s">
        <v>47541</v>
      </c>
      <c r="T2671" t="s">
        <v>49105</v>
      </c>
      <c r="U2671" t="s">
        <v>51959</v>
      </c>
      <c r="V2671" t="s">
        <v>62909</v>
      </c>
      <c r="W2671" t="s">
        <v>44223</v>
      </c>
      <c r="X2671" t="s">
        <v>47430</v>
      </c>
    </row>
    <row r="2672" spans="1:24">
      <c r="A2672">
        <f>HYPERLINK("https://www.philgeps.gov.ph/GEPSNONPILOT/Tender/SplashBidNoticeAbstractUI.aspx?menuIndex=3&amp;refID=7162304&amp;Result=3","7162304")</f>
        <v>0</v>
      </c>
      <c r="B2672" t="s">
        <v>1159</v>
      </c>
      <c r="C2672" t="s">
        <v>6451</v>
      </c>
      <c r="D2672" t="s">
        <v>19044</v>
      </c>
      <c r="E2672" t="s">
        <v>21534</v>
      </c>
      <c r="F2672" t="s">
        <v>32831</v>
      </c>
      <c r="G2672" t="s">
        <v>32840</v>
      </c>
      <c r="H2672" t="s">
        <v>32848</v>
      </c>
      <c r="I2672" t="s">
        <v>9577</v>
      </c>
      <c r="J2672" t="s">
        <v>33098</v>
      </c>
      <c r="K2672" t="s">
        <v>42727</v>
      </c>
      <c r="M2672" t="s">
        <v>44224</v>
      </c>
      <c r="N2672" t="s">
        <v>47424</v>
      </c>
      <c r="O2672" t="s">
        <v>47425</v>
      </c>
      <c r="P2672">
        <v>0</v>
      </c>
      <c r="Q2672">
        <v>4</v>
      </c>
      <c r="R2672" t="s">
        <v>47428</v>
      </c>
      <c r="S2672" t="s">
        <v>47541</v>
      </c>
      <c r="T2672" t="s">
        <v>49115</v>
      </c>
      <c r="U2672" t="s">
        <v>51960</v>
      </c>
      <c r="W2672" t="s">
        <v>44224</v>
      </c>
      <c r="X2672" t="s">
        <v>47430</v>
      </c>
    </row>
    <row r="2673" spans="1:24">
      <c r="A2673">
        <f>HYPERLINK("https://www.philgeps.gov.ph/GEPSNONPILOT/Tender/SplashBidNoticeAbstractUI.aspx?menuIndex=3&amp;refID=7162357&amp;Result=3","7162357")</f>
        <v>0</v>
      </c>
      <c r="B2673" t="s">
        <v>1160</v>
      </c>
      <c r="C2673" t="s">
        <v>6452</v>
      </c>
      <c r="D2673" t="s">
        <v>19022</v>
      </c>
      <c r="E2673" t="s">
        <v>21535</v>
      </c>
      <c r="F2673" t="s">
        <v>32831</v>
      </c>
      <c r="G2673" t="s">
        <v>32839</v>
      </c>
      <c r="H2673" t="s">
        <v>32848</v>
      </c>
      <c r="I2673" t="s">
        <v>7416</v>
      </c>
      <c r="J2673" t="s">
        <v>34798</v>
      </c>
      <c r="K2673" t="s">
        <v>42750</v>
      </c>
      <c r="M2673" t="s">
        <v>44225</v>
      </c>
      <c r="N2673" t="s">
        <v>47424</v>
      </c>
      <c r="O2673" t="s">
        <v>47425</v>
      </c>
      <c r="P2673">
        <v>0</v>
      </c>
      <c r="Q2673">
        <v>0</v>
      </c>
      <c r="R2673" t="s">
        <v>47428</v>
      </c>
      <c r="S2673" t="s">
        <v>47541</v>
      </c>
      <c r="T2673" t="s">
        <v>49291</v>
      </c>
      <c r="U2673" t="s">
        <v>51961</v>
      </c>
      <c r="V2673" t="s">
        <v>62910</v>
      </c>
      <c r="W2673" t="s">
        <v>44225</v>
      </c>
      <c r="X2673" t="s">
        <v>47430</v>
      </c>
    </row>
    <row r="2674" spans="1:24">
      <c r="A2674">
        <f>HYPERLINK("https://www.philgeps.gov.ph/GEPSNONPILOT/Tender/SplashBidNoticeAbstractUI.aspx?menuIndex=3&amp;refID=7162343&amp;Result=3","7162343")</f>
        <v>0</v>
      </c>
      <c r="B2674" t="s">
        <v>1161</v>
      </c>
      <c r="C2674" t="s">
        <v>6453</v>
      </c>
      <c r="D2674" t="s">
        <v>19079</v>
      </c>
      <c r="E2674" t="s">
        <v>19219</v>
      </c>
      <c r="F2674" t="s">
        <v>32831</v>
      </c>
      <c r="G2674" t="s">
        <v>32838</v>
      </c>
      <c r="H2674" t="s">
        <v>32848</v>
      </c>
      <c r="I2674" t="s">
        <v>4776</v>
      </c>
      <c r="J2674" t="s">
        <v>32983</v>
      </c>
      <c r="K2674" t="s">
        <v>42732</v>
      </c>
      <c r="M2674" t="s">
        <v>44226</v>
      </c>
      <c r="N2674" t="s">
        <v>47424</v>
      </c>
      <c r="O2674" t="s">
        <v>47425</v>
      </c>
      <c r="P2674">
        <v>0</v>
      </c>
      <c r="Q2674">
        <v>4</v>
      </c>
      <c r="R2674" t="s">
        <v>47428</v>
      </c>
      <c r="S2674" t="s">
        <v>47541</v>
      </c>
      <c r="T2674" t="s">
        <v>49244</v>
      </c>
      <c r="U2674" t="s">
        <v>51962</v>
      </c>
      <c r="W2674" t="s">
        <v>44226</v>
      </c>
      <c r="X2674" t="s">
        <v>47430</v>
      </c>
    </row>
    <row r="2675" spans="1:24">
      <c r="A2675">
        <f>HYPERLINK("https://www.philgeps.gov.ph/GEPSNONPILOT/Tender/SplashBidNoticeAbstractUI.aspx?menuIndex=3&amp;refID=7162296&amp;Result=3","7162296")</f>
        <v>0</v>
      </c>
      <c r="B2675" t="s">
        <v>1162</v>
      </c>
      <c r="C2675" t="s">
        <v>6454</v>
      </c>
      <c r="D2675" t="s">
        <v>19050</v>
      </c>
      <c r="E2675" t="s">
        <v>6454</v>
      </c>
      <c r="F2675" t="s">
        <v>32831</v>
      </c>
      <c r="G2675" t="s">
        <v>32841</v>
      </c>
      <c r="H2675" t="s">
        <v>32848</v>
      </c>
      <c r="I2675" t="s">
        <v>32883</v>
      </c>
      <c r="J2675" t="s">
        <v>33029</v>
      </c>
      <c r="K2675" t="s">
        <v>42730</v>
      </c>
      <c r="M2675" t="s">
        <v>44227</v>
      </c>
      <c r="N2675" t="s">
        <v>47424</v>
      </c>
      <c r="O2675" t="s">
        <v>47425</v>
      </c>
      <c r="P2675">
        <v>0</v>
      </c>
      <c r="Q2675">
        <v>2</v>
      </c>
      <c r="R2675" t="s">
        <v>47428</v>
      </c>
      <c r="S2675" t="s">
        <v>47541</v>
      </c>
      <c r="T2675" t="s">
        <v>49229</v>
      </c>
      <c r="U2675" t="s">
        <v>51963</v>
      </c>
      <c r="W2675" t="s">
        <v>44227</v>
      </c>
      <c r="X2675" t="s">
        <v>47430</v>
      </c>
    </row>
    <row r="2676" spans="1:24">
      <c r="A2676">
        <f>HYPERLINK("https://www.philgeps.gov.ph/GEPSNONPILOT/Tender/SplashBidNoticeAbstractUI.aspx?menuIndex=3&amp;refID=7162341&amp;Result=3","7162341")</f>
        <v>0</v>
      </c>
      <c r="B2676" t="s">
        <v>1163</v>
      </c>
      <c r="C2676" t="s">
        <v>6455</v>
      </c>
      <c r="D2676" t="s">
        <v>19043</v>
      </c>
      <c r="E2676" t="s">
        <v>21536</v>
      </c>
      <c r="F2676" t="s">
        <v>32831</v>
      </c>
      <c r="G2676" t="s">
        <v>32838</v>
      </c>
      <c r="H2676" t="s">
        <v>32848</v>
      </c>
      <c r="I2676" t="s">
        <v>10643</v>
      </c>
      <c r="J2676" t="s">
        <v>33041</v>
      </c>
      <c r="K2676" t="s">
        <v>42759</v>
      </c>
      <c r="M2676" t="s">
        <v>44228</v>
      </c>
      <c r="N2676" t="s">
        <v>47424</v>
      </c>
      <c r="O2676" t="s">
        <v>47425</v>
      </c>
      <c r="P2676">
        <v>0</v>
      </c>
      <c r="Q2676">
        <v>1</v>
      </c>
      <c r="R2676" t="s">
        <v>47428</v>
      </c>
      <c r="S2676" t="s">
        <v>47541</v>
      </c>
      <c r="T2676" t="s">
        <v>49239</v>
      </c>
      <c r="U2676" t="s">
        <v>51964</v>
      </c>
      <c r="W2676" t="s">
        <v>44228</v>
      </c>
      <c r="X2676" t="s">
        <v>47430</v>
      </c>
    </row>
    <row r="2677" spans="1:24">
      <c r="A2677">
        <f>HYPERLINK("https://www.philgeps.gov.ph/GEPSNONPILOT/Tender/SplashBidNoticeAbstractUI.aspx?menuIndex=3&amp;refID=7162351&amp;Result=3","7162351")</f>
        <v>0</v>
      </c>
      <c r="B2677" t="s">
        <v>624</v>
      </c>
      <c r="C2677" t="s">
        <v>6456</v>
      </c>
      <c r="D2677" t="s">
        <v>19064</v>
      </c>
      <c r="E2677" t="s">
        <v>21537</v>
      </c>
      <c r="F2677" t="s">
        <v>32831</v>
      </c>
      <c r="G2677" t="s">
        <v>32838</v>
      </c>
      <c r="H2677" t="s">
        <v>32848</v>
      </c>
      <c r="I2677" t="s">
        <v>7416</v>
      </c>
      <c r="J2677" t="s">
        <v>34044</v>
      </c>
      <c r="K2677" t="s">
        <v>42732</v>
      </c>
      <c r="M2677" t="s">
        <v>43640</v>
      </c>
      <c r="N2677" t="s">
        <v>47424</v>
      </c>
      <c r="O2677" t="s">
        <v>47425</v>
      </c>
      <c r="P2677">
        <v>0</v>
      </c>
      <c r="Q2677">
        <v>0</v>
      </c>
      <c r="R2677" t="s">
        <v>47428</v>
      </c>
      <c r="S2677" t="s">
        <v>47541</v>
      </c>
      <c r="T2677" t="s">
        <v>49108</v>
      </c>
      <c r="U2677" t="s">
        <v>50973</v>
      </c>
      <c r="W2677" t="s">
        <v>43640</v>
      </c>
      <c r="X2677" t="s">
        <v>47430</v>
      </c>
    </row>
    <row r="2678" spans="1:24">
      <c r="A2678">
        <f>HYPERLINK("https://www.philgeps.gov.ph/GEPSNONPILOT/Tender/SplashBidNoticeAbstractUI.aspx?menuIndex=3&amp;refID=7162346&amp;Result=3","7162346")</f>
        <v>0</v>
      </c>
      <c r="B2678" t="s">
        <v>1162</v>
      </c>
      <c r="C2678" t="s">
        <v>6457</v>
      </c>
      <c r="D2678" t="s">
        <v>19050</v>
      </c>
      <c r="E2678" t="s">
        <v>21538</v>
      </c>
      <c r="F2678" t="s">
        <v>32831</v>
      </c>
      <c r="G2678" t="s">
        <v>32841</v>
      </c>
      <c r="H2678" t="s">
        <v>32848</v>
      </c>
      <c r="I2678" t="s">
        <v>4776</v>
      </c>
      <c r="J2678" t="s">
        <v>34799</v>
      </c>
      <c r="K2678" t="s">
        <v>42730</v>
      </c>
      <c r="M2678" t="s">
        <v>44227</v>
      </c>
      <c r="N2678" t="s">
        <v>47424</v>
      </c>
      <c r="O2678" t="s">
        <v>47425</v>
      </c>
      <c r="P2678">
        <v>0</v>
      </c>
      <c r="Q2678">
        <v>1</v>
      </c>
      <c r="R2678" t="s">
        <v>47428</v>
      </c>
      <c r="S2678" t="s">
        <v>47541</v>
      </c>
      <c r="T2678" t="s">
        <v>49229</v>
      </c>
      <c r="U2678" t="s">
        <v>51965</v>
      </c>
      <c r="W2678" t="s">
        <v>44227</v>
      </c>
      <c r="X2678" t="s">
        <v>47430</v>
      </c>
    </row>
    <row r="2679" spans="1:24">
      <c r="A2679">
        <f>HYPERLINK("https://www.philgeps.gov.ph/GEPSNONPILOT/Tender/SplashBidNoticeAbstractUI.aspx?menuIndex=3&amp;refID=7162382&amp;Result=3","7162382")</f>
        <v>0</v>
      </c>
      <c r="B2679" t="s">
        <v>243</v>
      </c>
      <c r="C2679" t="s">
        <v>6458</v>
      </c>
      <c r="D2679" t="s">
        <v>19074</v>
      </c>
      <c r="E2679" t="s">
        <v>21539</v>
      </c>
      <c r="F2679" t="s">
        <v>32831</v>
      </c>
      <c r="G2679" t="s">
        <v>32838</v>
      </c>
      <c r="H2679" t="s">
        <v>32848</v>
      </c>
      <c r="I2679" t="s">
        <v>32855</v>
      </c>
      <c r="J2679" t="s">
        <v>34800</v>
      </c>
      <c r="K2679" t="s">
        <v>42758</v>
      </c>
      <c r="M2679" t="s">
        <v>43242</v>
      </c>
      <c r="N2679" t="s">
        <v>47424</v>
      </c>
      <c r="O2679" t="s">
        <v>47425</v>
      </c>
      <c r="P2679">
        <v>0</v>
      </c>
      <c r="Q2679">
        <v>1</v>
      </c>
      <c r="R2679" t="s">
        <v>47428</v>
      </c>
      <c r="S2679" t="s">
        <v>47541</v>
      </c>
      <c r="T2679" t="s">
        <v>49239</v>
      </c>
      <c r="U2679" t="s">
        <v>51966</v>
      </c>
      <c r="W2679" t="s">
        <v>43242</v>
      </c>
      <c r="X2679" t="s">
        <v>47430</v>
      </c>
    </row>
    <row r="2680" spans="1:24">
      <c r="A2680">
        <f>HYPERLINK("https://www.philgeps.gov.ph/GEPSNONPILOT/Tender/SplashBidNoticeAbstractUI.aspx?menuIndex=3&amp;refID=7162389&amp;Result=3","7162389")</f>
        <v>0</v>
      </c>
      <c r="B2680" t="s">
        <v>1164</v>
      </c>
      <c r="C2680" t="s">
        <v>6459</v>
      </c>
      <c r="D2680" t="s">
        <v>19057</v>
      </c>
      <c r="E2680" t="s">
        <v>21540</v>
      </c>
      <c r="F2680" t="s">
        <v>32831</v>
      </c>
      <c r="G2680" t="s">
        <v>32838</v>
      </c>
      <c r="H2680" t="s">
        <v>32848</v>
      </c>
      <c r="I2680" t="s">
        <v>32946</v>
      </c>
      <c r="J2680" t="s">
        <v>33624</v>
      </c>
      <c r="K2680" t="s">
        <v>42730</v>
      </c>
      <c r="M2680" t="s">
        <v>44229</v>
      </c>
      <c r="N2680" t="s">
        <v>47424</v>
      </c>
      <c r="O2680" t="s">
        <v>47425</v>
      </c>
      <c r="P2680">
        <v>0</v>
      </c>
      <c r="Q2680">
        <v>1</v>
      </c>
      <c r="R2680" t="s">
        <v>47428</v>
      </c>
      <c r="S2680" t="s">
        <v>47541</v>
      </c>
      <c r="T2680" t="s">
        <v>49237</v>
      </c>
      <c r="U2680" t="s">
        <v>51967</v>
      </c>
      <c r="V2680" t="s">
        <v>62911</v>
      </c>
      <c r="W2680" t="s">
        <v>44229</v>
      </c>
      <c r="X2680" t="s">
        <v>47430</v>
      </c>
    </row>
    <row r="2681" spans="1:24">
      <c r="A2681">
        <f>HYPERLINK("https://www.philgeps.gov.ph/GEPSNONPILOT/Tender/SplashBidNoticeAbstractUI.aspx?menuIndex=3&amp;refID=7162388&amp;Result=3","7162388")</f>
        <v>0</v>
      </c>
      <c r="B2681" t="s">
        <v>1141</v>
      </c>
      <c r="C2681" t="s">
        <v>6460</v>
      </c>
      <c r="D2681" t="s">
        <v>19017</v>
      </c>
      <c r="E2681" t="s">
        <v>21541</v>
      </c>
      <c r="F2681" t="s">
        <v>32831</v>
      </c>
      <c r="G2681" t="s">
        <v>32839</v>
      </c>
      <c r="H2681" t="s">
        <v>32849</v>
      </c>
      <c r="I2681" t="s">
        <v>4177</v>
      </c>
      <c r="J2681" t="s">
        <v>34801</v>
      </c>
      <c r="K2681" t="s">
        <v>42780</v>
      </c>
      <c r="M2681" t="s">
        <v>44205</v>
      </c>
      <c r="N2681" t="s">
        <v>47424</v>
      </c>
      <c r="O2681" t="s">
        <v>47425</v>
      </c>
      <c r="P2681">
        <v>0</v>
      </c>
      <c r="Q2681">
        <v>7</v>
      </c>
      <c r="R2681" t="s">
        <v>47428</v>
      </c>
      <c r="S2681" t="s">
        <v>47541</v>
      </c>
      <c r="T2681" t="s">
        <v>49077</v>
      </c>
      <c r="U2681" t="s">
        <v>51968</v>
      </c>
      <c r="W2681" t="s">
        <v>64459</v>
      </c>
      <c r="X2681" t="s">
        <v>47430</v>
      </c>
    </row>
    <row r="2682" spans="1:24">
      <c r="A2682">
        <f>HYPERLINK("https://www.philgeps.gov.ph/GEPSNONPILOT/Tender/SplashBidNoticeAbstractUI.aspx?menuIndex=3&amp;refID=7162344&amp;Result=3","7162344")</f>
        <v>0</v>
      </c>
      <c r="B2682" t="s">
        <v>1165</v>
      </c>
      <c r="C2682" t="s">
        <v>4090</v>
      </c>
      <c r="D2682" t="s">
        <v>19024</v>
      </c>
      <c r="E2682" t="s">
        <v>19219</v>
      </c>
      <c r="F2682" t="s">
        <v>32831</v>
      </c>
      <c r="G2682" t="s">
        <v>32840</v>
      </c>
      <c r="H2682" t="s">
        <v>32848</v>
      </c>
      <c r="I2682" t="s">
        <v>4776</v>
      </c>
      <c r="J2682" t="s">
        <v>34802</v>
      </c>
      <c r="K2682" t="s">
        <v>42748</v>
      </c>
      <c r="M2682" t="s">
        <v>44230</v>
      </c>
      <c r="N2682" t="s">
        <v>47424</v>
      </c>
      <c r="O2682" t="s">
        <v>47425</v>
      </c>
      <c r="P2682">
        <v>0</v>
      </c>
      <c r="Q2682">
        <v>0</v>
      </c>
      <c r="R2682" t="s">
        <v>47428</v>
      </c>
      <c r="S2682" t="s">
        <v>47541</v>
      </c>
      <c r="T2682" t="s">
        <v>49166</v>
      </c>
      <c r="U2682" t="s">
        <v>51969</v>
      </c>
      <c r="W2682" t="s">
        <v>44230</v>
      </c>
      <c r="X2682" t="s">
        <v>47430</v>
      </c>
    </row>
    <row r="2683" spans="1:24">
      <c r="A2683">
        <f>HYPERLINK("https://www.philgeps.gov.ph/GEPSNONPILOT/Tender/SplashBidNoticeAbstractUI.aspx?menuIndex=3&amp;refID=7162385&amp;Result=3","7162385")</f>
        <v>0</v>
      </c>
      <c r="B2683" t="s">
        <v>1166</v>
      </c>
      <c r="C2683" t="s">
        <v>6461</v>
      </c>
      <c r="D2683" t="s">
        <v>19057</v>
      </c>
      <c r="E2683" t="s">
        <v>19351</v>
      </c>
      <c r="F2683" t="s">
        <v>32831</v>
      </c>
      <c r="G2683" t="s">
        <v>32839</v>
      </c>
      <c r="H2683" t="s">
        <v>32848</v>
      </c>
      <c r="I2683" t="s">
        <v>10888</v>
      </c>
      <c r="J2683" t="s">
        <v>34803</v>
      </c>
      <c r="K2683" t="s">
        <v>42732</v>
      </c>
      <c r="M2683" t="s">
        <v>44231</v>
      </c>
      <c r="N2683" t="s">
        <v>47424</v>
      </c>
      <c r="O2683" t="s">
        <v>47425</v>
      </c>
      <c r="P2683">
        <v>0</v>
      </c>
      <c r="Q2683">
        <v>1</v>
      </c>
      <c r="R2683" t="s">
        <v>47428</v>
      </c>
      <c r="S2683" t="s">
        <v>47541</v>
      </c>
      <c r="T2683" t="s">
        <v>49064</v>
      </c>
      <c r="U2683" t="s">
        <v>51970</v>
      </c>
      <c r="W2683" t="s">
        <v>44231</v>
      </c>
      <c r="X2683" t="s">
        <v>47430</v>
      </c>
    </row>
    <row r="2684" spans="1:24">
      <c r="A2684">
        <f>HYPERLINK("https://www.philgeps.gov.ph/GEPSNONPILOT/Tender/SplashBidNoticeAbstractUI.aspx?menuIndex=3&amp;refID=7162380&amp;Result=3","7162380")</f>
        <v>0</v>
      </c>
      <c r="B2684" t="s">
        <v>639</v>
      </c>
      <c r="C2684" t="s">
        <v>6462</v>
      </c>
      <c r="D2684" t="s">
        <v>19017</v>
      </c>
      <c r="E2684" t="s">
        <v>6462</v>
      </c>
      <c r="F2684" t="s">
        <v>32831</v>
      </c>
      <c r="G2684" t="s">
        <v>32838</v>
      </c>
      <c r="H2684" t="s">
        <v>32848</v>
      </c>
      <c r="I2684" t="s">
        <v>7416</v>
      </c>
      <c r="J2684" t="s">
        <v>33458</v>
      </c>
      <c r="K2684" t="s">
        <v>42727</v>
      </c>
      <c r="M2684" t="s">
        <v>43656</v>
      </c>
      <c r="N2684" t="s">
        <v>47424</v>
      </c>
      <c r="O2684" t="s">
        <v>47425</v>
      </c>
      <c r="P2684">
        <v>0</v>
      </c>
      <c r="Q2684">
        <v>1</v>
      </c>
      <c r="R2684" t="s">
        <v>47428</v>
      </c>
      <c r="S2684" t="s">
        <v>47541</v>
      </c>
      <c r="T2684" t="s">
        <v>49237</v>
      </c>
      <c r="U2684" t="s">
        <v>51971</v>
      </c>
      <c r="W2684" t="s">
        <v>43656</v>
      </c>
      <c r="X2684" t="s">
        <v>47430</v>
      </c>
    </row>
    <row r="2685" spans="1:24">
      <c r="A2685">
        <f>HYPERLINK("https://www.philgeps.gov.ph/GEPSNONPILOT/Tender/SplashBidNoticeAbstractUI.aspx?menuIndex=3&amp;refID=7162339&amp;Result=3","7162339")</f>
        <v>0</v>
      </c>
      <c r="B2685" t="s">
        <v>526</v>
      </c>
      <c r="C2685" t="s">
        <v>6463</v>
      </c>
      <c r="D2685" t="s">
        <v>19034</v>
      </c>
      <c r="E2685" t="s">
        <v>21542</v>
      </c>
      <c r="F2685" t="s">
        <v>32831</v>
      </c>
      <c r="G2685" t="s">
        <v>32838</v>
      </c>
      <c r="H2685" t="s">
        <v>32848</v>
      </c>
      <c r="I2685" t="s">
        <v>32855</v>
      </c>
      <c r="J2685" t="s">
        <v>34804</v>
      </c>
      <c r="K2685" t="s">
        <v>42727</v>
      </c>
      <c r="M2685" t="s">
        <v>43532</v>
      </c>
      <c r="N2685" t="s">
        <v>47424</v>
      </c>
      <c r="O2685" t="s">
        <v>47425</v>
      </c>
      <c r="P2685">
        <v>0</v>
      </c>
      <c r="Q2685">
        <v>0</v>
      </c>
      <c r="R2685" t="s">
        <v>47428</v>
      </c>
      <c r="S2685" t="s">
        <v>47541</v>
      </c>
      <c r="T2685" t="s">
        <v>49127</v>
      </c>
      <c r="U2685" t="s">
        <v>51972</v>
      </c>
      <c r="W2685" t="s">
        <v>43532</v>
      </c>
      <c r="X2685" t="s">
        <v>47430</v>
      </c>
    </row>
    <row r="2686" spans="1:24">
      <c r="A2686">
        <f>HYPERLINK("https://www.philgeps.gov.ph/GEPSNONPILOT/Tender/SplashBidNoticeAbstractUI.aspx?menuIndex=3&amp;refID=7162379&amp;Result=3","7162379")</f>
        <v>0</v>
      </c>
      <c r="B2686" t="s">
        <v>1167</v>
      </c>
      <c r="C2686" t="s">
        <v>6464</v>
      </c>
      <c r="D2686" t="s">
        <v>19021</v>
      </c>
      <c r="E2686" t="s">
        <v>21543</v>
      </c>
      <c r="F2686" t="s">
        <v>32831</v>
      </c>
      <c r="G2686" t="s">
        <v>32838</v>
      </c>
      <c r="H2686" t="s">
        <v>32848</v>
      </c>
      <c r="I2686" t="s">
        <v>32853</v>
      </c>
      <c r="J2686" t="s">
        <v>34805</v>
      </c>
      <c r="K2686" t="s">
        <v>42730</v>
      </c>
      <c r="M2686" t="s">
        <v>44232</v>
      </c>
      <c r="N2686" t="s">
        <v>47424</v>
      </c>
      <c r="O2686" t="s">
        <v>47425</v>
      </c>
      <c r="P2686">
        <v>0</v>
      </c>
      <c r="Q2686">
        <v>1</v>
      </c>
      <c r="R2686" t="s">
        <v>47428</v>
      </c>
      <c r="S2686" t="s">
        <v>47541</v>
      </c>
      <c r="T2686" t="s">
        <v>49104</v>
      </c>
      <c r="U2686" t="s">
        <v>51973</v>
      </c>
      <c r="W2686" t="s">
        <v>44232</v>
      </c>
      <c r="X2686" t="s">
        <v>47430</v>
      </c>
    </row>
    <row r="2687" spans="1:24">
      <c r="A2687">
        <f>HYPERLINK("https://www.philgeps.gov.ph/GEPSNONPILOT/Tender/SplashBidNoticeAbstractUI.aspx?menuIndex=3&amp;refID=7162378&amp;Result=3","7162378")</f>
        <v>0</v>
      </c>
      <c r="B2687" t="s">
        <v>1168</v>
      </c>
      <c r="C2687" t="s">
        <v>6465</v>
      </c>
      <c r="D2687" t="s">
        <v>19026</v>
      </c>
      <c r="E2687" t="s">
        <v>21544</v>
      </c>
      <c r="F2687" t="s">
        <v>32831</v>
      </c>
      <c r="G2687" t="s">
        <v>32838</v>
      </c>
      <c r="H2687" t="s">
        <v>32848</v>
      </c>
      <c r="I2687" t="s">
        <v>4303</v>
      </c>
      <c r="J2687" t="s">
        <v>34806</v>
      </c>
      <c r="K2687" t="s">
        <v>42731</v>
      </c>
      <c r="M2687" t="s">
        <v>44233</v>
      </c>
      <c r="N2687" t="s">
        <v>47424</v>
      </c>
      <c r="O2687" t="s">
        <v>47425</v>
      </c>
      <c r="P2687">
        <v>0</v>
      </c>
      <c r="Q2687">
        <v>0</v>
      </c>
      <c r="R2687" t="s">
        <v>47428</v>
      </c>
      <c r="S2687" t="s">
        <v>47541</v>
      </c>
      <c r="T2687" t="s">
        <v>49237</v>
      </c>
      <c r="U2687" t="s">
        <v>51974</v>
      </c>
      <c r="W2687" t="s">
        <v>44233</v>
      </c>
      <c r="X2687" t="s">
        <v>47430</v>
      </c>
    </row>
    <row r="2688" spans="1:24">
      <c r="A2688">
        <f>HYPERLINK("https://www.philgeps.gov.ph/GEPSNONPILOT/Tender/SplashBidNoticeAbstractUI.aspx?menuIndex=3&amp;refID=7162387&amp;Result=3","7162387")</f>
        <v>0</v>
      </c>
      <c r="B2688" t="s">
        <v>1169</v>
      </c>
      <c r="C2688" t="s">
        <v>6466</v>
      </c>
      <c r="D2688" t="s">
        <v>19045</v>
      </c>
      <c r="E2688" t="s">
        <v>21545</v>
      </c>
      <c r="F2688" t="s">
        <v>32831</v>
      </c>
      <c r="G2688" t="s">
        <v>32840</v>
      </c>
      <c r="H2688" t="s">
        <v>32848</v>
      </c>
      <c r="I2688" t="s">
        <v>7416</v>
      </c>
      <c r="J2688" t="s">
        <v>34807</v>
      </c>
      <c r="K2688" t="s">
        <v>42727</v>
      </c>
      <c r="M2688" t="s">
        <v>44234</v>
      </c>
      <c r="N2688" t="s">
        <v>47424</v>
      </c>
      <c r="O2688" t="s">
        <v>47425</v>
      </c>
      <c r="P2688">
        <v>0</v>
      </c>
      <c r="Q2688">
        <v>0</v>
      </c>
      <c r="R2688" t="s">
        <v>47428</v>
      </c>
      <c r="S2688" t="s">
        <v>47541</v>
      </c>
      <c r="T2688" t="s">
        <v>49056</v>
      </c>
      <c r="U2688" t="s">
        <v>51975</v>
      </c>
      <c r="W2688" t="s">
        <v>44234</v>
      </c>
      <c r="X2688" t="s">
        <v>47430</v>
      </c>
    </row>
    <row r="2689" spans="1:24">
      <c r="A2689">
        <f>HYPERLINK("https://www.philgeps.gov.ph/GEPSNONPILOT/Tender/SplashBidNoticeAbstractUI.aspx?menuIndex=3&amp;refID=7162342&amp;Result=3","7162342")</f>
        <v>0</v>
      </c>
      <c r="B2689" t="s">
        <v>654</v>
      </c>
      <c r="C2689" t="s">
        <v>6467</v>
      </c>
      <c r="D2689" t="s">
        <v>19071</v>
      </c>
      <c r="E2689" t="s">
        <v>21546</v>
      </c>
      <c r="F2689" t="s">
        <v>32831</v>
      </c>
      <c r="G2689" t="s">
        <v>32839</v>
      </c>
      <c r="H2689" t="s">
        <v>32848</v>
      </c>
      <c r="I2689" t="s">
        <v>4776</v>
      </c>
      <c r="J2689" t="s">
        <v>33771</v>
      </c>
      <c r="K2689" t="s">
        <v>42731</v>
      </c>
      <c r="M2689" t="s">
        <v>44235</v>
      </c>
      <c r="N2689" t="s">
        <v>47424</v>
      </c>
      <c r="O2689" t="s">
        <v>47425</v>
      </c>
      <c r="P2689">
        <v>0</v>
      </c>
      <c r="Q2689">
        <v>0</v>
      </c>
      <c r="R2689" t="s">
        <v>47428</v>
      </c>
      <c r="S2689" t="s">
        <v>47541</v>
      </c>
      <c r="T2689" t="s">
        <v>49148</v>
      </c>
      <c r="U2689" t="s">
        <v>51976</v>
      </c>
      <c r="W2689" t="s">
        <v>44235</v>
      </c>
      <c r="X2689" t="s">
        <v>47430</v>
      </c>
    </row>
    <row r="2690" spans="1:24">
      <c r="A2690">
        <f>HYPERLINK("https://www.philgeps.gov.ph/GEPSNONPILOT/Tender/SplashBidNoticeAbstractUI.aspx?menuIndex=3&amp;refID=7162371&amp;Result=3","7162371")</f>
        <v>0</v>
      </c>
      <c r="B2690" t="s">
        <v>1170</v>
      </c>
      <c r="C2690" t="s">
        <v>6468</v>
      </c>
      <c r="D2690" t="s">
        <v>19095</v>
      </c>
      <c r="E2690" t="s">
        <v>21547</v>
      </c>
      <c r="F2690" t="s">
        <v>32831</v>
      </c>
      <c r="G2690" t="s">
        <v>32839</v>
      </c>
      <c r="H2690" t="s">
        <v>32849</v>
      </c>
      <c r="I2690" t="s">
        <v>4177</v>
      </c>
      <c r="J2690" t="s">
        <v>32978</v>
      </c>
      <c r="K2690" t="s">
        <v>42732</v>
      </c>
      <c r="M2690" t="s">
        <v>44236</v>
      </c>
      <c r="N2690" t="s">
        <v>47424</v>
      </c>
      <c r="O2690" t="s">
        <v>47425</v>
      </c>
      <c r="P2690">
        <v>0</v>
      </c>
      <c r="Q2690">
        <v>0</v>
      </c>
      <c r="R2690" t="s">
        <v>47428</v>
      </c>
      <c r="S2690" t="s">
        <v>47541</v>
      </c>
      <c r="T2690" t="s">
        <v>49078</v>
      </c>
      <c r="U2690" t="s">
        <v>51977</v>
      </c>
      <c r="V2690" t="s">
        <v>62912</v>
      </c>
      <c r="W2690" t="s">
        <v>44236</v>
      </c>
      <c r="X2690" t="s">
        <v>47430</v>
      </c>
    </row>
    <row r="2691" spans="1:24">
      <c r="A2691">
        <f>HYPERLINK("https://www.philgeps.gov.ph/GEPSNONPILOT/Tender/SplashBidNoticeAbstractUI.aspx?menuIndex=3&amp;refID=7162338&amp;Result=3","7162338")</f>
        <v>0</v>
      </c>
      <c r="B2691" t="s">
        <v>1167</v>
      </c>
      <c r="C2691" t="s">
        <v>6469</v>
      </c>
      <c r="D2691" t="s">
        <v>19021</v>
      </c>
      <c r="E2691" t="s">
        <v>21548</v>
      </c>
      <c r="F2691" t="s">
        <v>32831</v>
      </c>
      <c r="G2691" t="s">
        <v>32838</v>
      </c>
      <c r="H2691" t="s">
        <v>32848</v>
      </c>
      <c r="I2691" t="s">
        <v>4222</v>
      </c>
      <c r="J2691" t="s">
        <v>34808</v>
      </c>
      <c r="K2691" t="s">
        <v>42730</v>
      </c>
      <c r="M2691" t="s">
        <v>44232</v>
      </c>
      <c r="N2691" t="s">
        <v>47424</v>
      </c>
      <c r="O2691" t="s">
        <v>47425</v>
      </c>
      <c r="P2691">
        <v>0</v>
      </c>
      <c r="Q2691">
        <v>1</v>
      </c>
      <c r="R2691" t="s">
        <v>47428</v>
      </c>
      <c r="S2691" t="s">
        <v>47541</v>
      </c>
      <c r="T2691" t="s">
        <v>49104</v>
      </c>
      <c r="U2691" t="s">
        <v>51973</v>
      </c>
      <c r="W2691" t="s">
        <v>44232</v>
      </c>
      <c r="X2691" t="s">
        <v>47430</v>
      </c>
    </row>
    <row r="2692" spans="1:24">
      <c r="A2692">
        <f>HYPERLINK("https://www.philgeps.gov.ph/GEPSNONPILOT/Tender/SplashBidNoticeAbstractUI.aspx?menuIndex=3&amp;refID=7162368&amp;Result=3","7162368")</f>
        <v>0</v>
      </c>
      <c r="B2692" t="s">
        <v>1153</v>
      </c>
      <c r="C2692" t="s">
        <v>6470</v>
      </c>
      <c r="D2692" t="s">
        <v>19045</v>
      </c>
      <c r="E2692" t="s">
        <v>21549</v>
      </c>
      <c r="F2692" t="s">
        <v>32831</v>
      </c>
      <c r="G2692" t="s">
        <v>32839</v>
      </c>
      <c r="H2692" t="s">
        <v>32848</v>
      </c>
      <c r="I2692" t="s">
        <v>7416</v>
      </c>
      <c r="J2692" t="s">
        <v>34809</v>
      </c>
      <c r="K2692" t="s">
        <v>42732</v>
      </c>
      <c r="M2692" t="s">
        <v>44217</v>
      </c>
      <c r="N2692" t="s">
        <v>47424</v>
      </c>
      <c r="O2692" t="s">
        <v>47425</v>
      </c>
      <c r="P2692">
        <v>0</v>
      </c>
      <c r="Q2692">
        <v>0</v>
      </c>
      <c r="R2692" t="s">
        <v>47428</v>
      </c>
      <c r="S2692" t="s">
        <v>47541</v>
      </c>
      <c r="T2692" t="s">
        <v>49105</v>
      </c>
      <c r="U2692" t="s">
        <v>51978</v>
      </c>
      <c r="W2692" t="s">
        <v>44217</v>
      </c>
      <c r="X2692" t="s">
        <v>47430</v>
      </c>
    </row>
    <row r="2693" spans="1:24">
      <c r="A2693">
        <f>HYPERLINK("https://www.philgeps.gov.ph/GEPSNONPILOT/Tender/SplashBidNoticeAbstractUI.aspx?menuIndex=3&amp;refID=7162366&amp;Result=3","7162366")</f>
        <v>0</v>
      </c>
      <c r="B2693" t="s">
        <v>1171</v>
      </c>
      <c r="C2693" t="s">
        <v>6471</v>
      </c>
      <c r="D2693" t="s">
        <v>19033</v>
      </c>
      <c r="E2693" t="s">
        <v>21296</v>
      </c>
      <c r="F2693" t="s">
        <v>32831</v>
      </c>
      <c r="G2693" t="s">
        <v>32839</v>
      </c>
      <c r="H2693" t="s">
        <v>32849</v>
      </c>
      <c r="I2693" t="s">
        <v>4177</v>
      </c>
      <c r="J2693" t="s">
        <v>33087</v>
      </c>
      <c r="K2693" t="s">
        <v>42825</v>
      </c>
      <c r="M2693" t="s">
        <v>44237</v>
      </c>
      <c r="N2693" t="s">
        <v>47424</v>
      </c>
      <c r="O2693" t="s">
        <v>47425</v>
      </c>
      <c r="P2693">
        <v>0</v>
      </c>
      <c r="Q2693">
        <v>0</v>
      </c>
      <c r="R2693" t="s">
        <v>47428</v>
      </c>
      <c r="S2693" t="s">
        <v>47541</v>
      </c>
      <c r="T2693" t="s">
        <v>49148</v>
      </c>
      <c r="U2693" t="s">
        <v>51979</v>
      </c>
      <c r="W2693" t="s">
        <v>44237</v>
      </c>
      <c r="X2693" t="s">
        <v>47430</v>
      </c>
    </row>
    <row r="2694" spans="1:24">
      <c r="A2694">
        <f>HYPERLINK("https://www.philgeps.gov.ph/GEPSNONPILOT/Tender/SplashBidNoticeAbstractUI.aspx?menuIndex=3&amp;refID=7162364&amp;Result=3","7162364")</f>
        <v>0</v>
      </c>
      <c r="B2694" t="s">
        <v>654</v>
      </c>
      <c r="C2694" t="s">
        <v>6472</v>
      </c>
      <c r="D2694" t="s">
        <v>19071</v>
      </c>
      <c r="E2694" t="s">
        <v>21550</v>
      </c>
      <c r="F2694" t="s">
        <v>32831</v>
      </c>
      <c r="G2694" t="s">
        <v>32839</v>
      </c>
      <c r="H2694" t="s">
        <v>32848</v>
      </c>
      <c r="I2694" t="s">
        <v>4776</v>
      </c>
      <c r="J2694" t="s">
        <v>33292</v>
      </c>
      <c r="K2694" t="s">
        <v>42731</v>
      </c>
      <c r="M2694" t="s">
        <v>44235</v>
      </c>
      <c r="N2694" t="s">
        <v>47424</v>
      </c>
      <c r="O2694" t="s">
        <v>47425</v>
      </c>
      <c r="P2694">
        <v>0</v>
      </c>
      <c r="Q2694">
        <v>0</v>
      </c>
      <c r="R2694" t="s">
        <v>47428</v>
      </c>
      <c r="S2694" t="s">
        <v>47541</v>
      </c>
      <c r="T2694" t="s">
        <v>49148</v>
      </c>
      <c r="U2694" t="s">
        <v>51980</v>
      </c>
      <c r="W2694" t="s">
        <v>44235</v>
      </c>
      <c r="X2694" t="s">
        <v>47430</v>
      </c>
    </row>
    <row r="2695" spans="1:24">
      <c r="A2695">
        <f>HYPERLINK("https://www.philgeps.gov.ph/GEPSNONPILOT/Tender/SplashBidNoticeAbstractUI.aspx?menuIndex=3&amp;refID=7162361&amp;Result=3","7162361")</f>
        <v>0</v>
      </c>
      <c r="B2695" t="s">
        <v>1162</v>
      </c>
      <c r="C2695" t="s">
        <v>6473</v>
      </c>
      <c r="D2695" t="s">
        <v>19050</v>
      </c>
      <c r="E2695" t="s">
        <v>6473</v>
      </c>
      <c r="F2695" t="s">
        <v>32831</v>
      </c>
      <c r="G2695" t="s">
        <v>32841</v>
      </c>
      <c r="H2695" t="s">
        <v>32848</v>
      </c>
      <c r="I2695" t="s">
        <v>4776</v>
      </c>
      <c r="J2695" t="s">
        <v>34810</v>
      </c>
      <c r="K2695" t="s">
        <v>42730</v>
      </c>
      <c r="M2695" t="s">
        <v>44227</v>
      </c>
      <c r="N2695" t="s">
        <v>47424</v>
      </c>
      <c r="O2695" t="s">
        <v>47425</v>
      </c>
      <c r="P2695">
        <v>0</v>
      </c>
      <c r="Q2695">
        <v>2</v>
      </c>
      <c r="R2695" t="s">
        <v>47428</v>
      </c>
      <c r="S2695" t="s">
        <v>47541</v>
      </c>
      <c r="T2695" t="s">
        <v>49229</v>
      </c>
      <c r="U2695" t="s">
        <v>51981</v>
      </c>
      <c r="W2695" t="s">
        <v>44227</v>
      </c>
      <c r="X2695" t="s">
        <v>47430</v>
      </c>
    </row>
    <row r="2696" spans="1:24">
      <c r="A2696">
        <f>HYPERLINK("https://www.philgeps.gov.ph/GEPSNONPILOT/Tender/SplashBidNoticeAbstractUI.aspx?menuIndex=3&amp;refID=7162374&amp;Result=3","7162374")</f>
        <v>0</v>
      </c>
      <c r="B2696" t="s">
        <v>609</v>
      </c>
      <c r="C2696" t="s">
        <v>6474</v>
      </c>
      <c r="D2696" t="s">
        <v>19017</v>
      </c>
      <c r="E2696" t="s">
        <v>21551</v>
      </c>
      <c r="F2696" t="s">
        <v>32831</v>
      </c>
      <c r="G2696" t="s">
        <v>32840</v>
      </c>
      <c r="H2696" t="s">
        <v>32848</v>
      </c>
      <c r="I2696" t="s">
        <v>10805</v>
      </c>
      <c r="J2696" t="s">
        <v>34811</v>
      </c>
      <c r="K2696" t="s">
        <v>42732</v>
      </c>
      <c r="M2696" t="s">
        <v>43623</v>
      </c>
      <c r="N2696" t="s">
        <v>47424</v>
      </c>
      <c r="O2696" t="s">
        <v>47425</v>
      </c>
      <c r="P2696">
        <v>0</v>
      </c>
      <c r="Q2696">
        <v>2</v>
      </c>
      <c r="R2696" t="s">
        <v>47428</v>
      </c>
      <c r="S2696" t="s">
        <v>47541</v>
      </c>
      <c r="T2696" t="s">
        <v>49107</v>
      </c>
      <c r="U2696" t="s">
        <v>51982</v>
      </c>
      <c r="W2696" t="s">
        <v>43623</v>
      </c>
      <c r="X2696" t="s">
        <v>47430</v>
      </c>
    </row>
    <row r="2697" spans="1:24">
      <c r="A2697">
        <f>HYPERLINK("https://www.philgeps.gov.ph/GEPSNONPILOT/Tender/SplashBidNoticeAbstractUI.aspx?menuIndex=3&amp;refID=7162383&amp;Result=3","7162383")</f>
        <v>0</v>
      </c>
      <c r="B2697" t="s">
        <v>624</v>
      </c>
      <c r="C2697" t="s">
        <v>6475</v>
      </c>
      <c r="D2697" t="s">
        <v>19064</v>
      </c>
      <c r="E2697" t="s">
        <v>21552</v>
      </c>
      <c r="F2697" t="s">
        <v>32831</v>
      </c>
      <c r="G2697" t="s">
        <v>32838</v>
      </c>
      <c r="H2697" t="s">
        <v>32848</v>
      </c>
      <c r="I2697" t="s">
        <v>7416</v>
      </c>
      <c r="J2697" t="s">
        <v>34044</v>
      </c>
      <c r="K2697" t="s">
        <v>42732</v>
      </c>
      <c r="M2697" t="s">
        <v>43640</v>
      </c>
      <c r="N2697" t="s">
        <v>47424</v>
      </c>
      <c r="O2697" t="s">
        <v>47425</v>
      </c>
      <c r="P2697">
        <v>0</v>
      </c>
      <c r="Q2697">
        <v>0</v>
      </c>
      <c r="R2697" t="s">
        <v>47428</v>
      </c>
      <c r="S2697" t="s">
        <v>47541</v>
      </c>
      <c r="T2697" t="s">
        <v>49108</v>
      </c>
      <c r="U2697" t="s">
        <v>50973</v>
      </c>
      <c r="W2697" t="s">
        <v>43640</v>
      </c>
      <c r="X2697" t="s">
        <v>47430</v>
      </c>
    </row>
    <row r="2698" spans="1:24">
      <c r="A2698">
        <f>HYPERLINK("https://www.philgeps.gov.ph/GEPSNONPILOT/Tender/SplashBidNoticeAbstractUI.aspx?menuIndex=3&amp;refID=7162367&amp;Result=3","7162367")</f>
        <v>0</v>
      </c>
      <c r="B2698" t="s">
        <v>700</v>
      </c>
      <c r="C2698" t="s">
        <v>6476</v>
      </c>
      <c r="D2698" t="s">
        <v>19046</v>
      </c>
      <c r="E2698" t="s">
        <v>21553</v>
      </c>
      <c r="F2698" t="s">
        <v>32831</v>
      </c>
      <c r="G2698" t="s">
        <v>32838</v>
      </c>
      <c r="H2698" t="s">
        <v>32848</v>
      </c>
      <c r="I2698" t="s">
        <v>32867</v>
      </c>
      <c r="J2698" t="s">
        <v>33031</v>
      </c>
      <c r="K2698" t="s">
        <v>42730</v>
      </c>
      <c r="M2698" t="s">
        <v>43719</v>
      </c>
      <c r="N2698" t="s">
        <v>47424</v>
      </c>
      <c r="O2698" t="s">
        <v>47425</v>
      </c>
      <c r="P2698">
        <v>0</v>
      </c>
      <c r="Q2698">
        <v>5</v>
      </c>
      <c r="R2698" t="s">
        <v>47428</v>
      </c>
      <c r="S2698" t="s">
        <v>47541</v>
      </c>
      <c r="T2698" t="s">
        <v>49321</v>
      </c>
      <c r="U2698" t="s">
        <v>51983</v>
      </c>
      <c r="W2698" t="s">
        <v>43719</v>
      </c>
      <c r="X2698" t="s">
        <v>47430</v>
      </c>
    </row>
    <row r="2699" spans="1:24">
      <c r="A2699">
        <f>HYPERLINK("https://www.philgeps.gov.ph/GEPSNONPILOT/Tender/SplashBidNoticeAbstractUI.aspx?menuIndex=3&amp;refID=7162334&amp;Result=3","7162334")</f>
        <v>0</v>
      </c>
      <c r="B2699" t="s">
        <v>1172</v>
      </c>
      <c r="C2699" t="s">
        <v>6477</v>
      </c>
      <c r="D2699" t="s">
        <v>19060</v>
      </c>
      <c r="E2699" t="s">
        <v>19311</v>
      </c>
      <c r="F2699" t="s">
        <v>32831</v>
      </c>
      <c r="G2699" t="s">
        <v>32842</v>
      </c>
      <c r="H2699" t="s">
        <v>32848</v>
      </c>
      <c r="I2699" t="s">
        <v>32858</v>
      </c>
      <c r="J2699" t="s">
        <v>34812</v>
      </c>
      <c r="K2699" t="s">
        <v>42758</v>
      </c>
      <c r="M2699" t="s">
        <v>44238</v>
      </c>
      <c r="N2699" t="s">
        <v>47424</v>
      </c>
      <c r="O2699" t="s">
        <v>47425</v>
      </c>
      <c r="P2699">
        <v>0</v>
      </c>
      <c r="Q2699">
        <v>2</v>
      </c>
      <c r="R2699" t="s">
        <v>47428</v>
      </c>
      <c r="S2699" t="s">
        <v>47541</v>
      </c>
      <c r="T2699" t="s">
        <v>49237</v>
      </c>
      <c r="U2699" t="s">
        <v>51984</v>
      </c>
      <c r="W2699" t="s">
        <v>44238</v>
      </c>
      <c r="X2699" t="s">
        <v>47430</v>
      </c>
    </row>
    <row r="2700" spans="1:24">
      <c r="A2700">
        <f>HYPERLINK("https://www.philgeps.gov.ph/GEPSNONPILOT/Tender/SplashBidNoticeAbstractUI.aspx?menuIndex=3&amp;refID=7162333&amp;Result=3","7162333")</f>
        <v>0</v>
      </c>
      <c r="B2700" t="s">
        <v>1173</v>
      </c>
      <c r="C2700" t="s">
        <v>6478</v>
      </c>
      <c r="D2700" t="s">
        <v>19021</v>
      </c>
      <c r="E2700" t="s">
        <v>21554</v>
      </c>
      <c r="F2700" t="s">
        <v>32831</v>
      </c>
      <c r="G2700" t="s">
        <v>32839</v>
      </c>
      <c r="H2700" t="s">
        <v>32848</v>
      </c>
      <c r="I2700" t="s">
        <v>7416</v>
      </c>
      <c r="J2700" t="s">
        <v>34813</v>
      </c>
      <c r="K2700" t="s">
        <v>42726</v>
      </c>
      <c r="M2700" t="s">
        <v>44239</v>
      </c>
      <c r="N2700" t="s">
        <v>47424</v>
      </c>
      <c r="O2700" t="s">
        <v>47425</v>
      </c>
      <c r="P2700">
        <v>0</v>
      </c>
      <c r="Q2700">
        <v>1</v>
      </c>
      <c r="R2700" t="s">
        <v>47428</v>
      </c>
      <c r="S2700" t="s">
        <v>47541</v>
      </c>
      <c r="T2700" t="s">
        <v>49241</v>
      </c>
      <c r="U2700" t="s">
        <v>51985</v>
      </c>
      <c r="V2700" t="s">
        <v>62913</v>
      </c>
      <c r="W2700" t="s">
        <v>44239</v>
      </c>
      <c r="X2700" t="s">
        <v>47430</v>
      </c>
    </row>
    <row r="2701" spans="1:24">
      <c r="A2701">
        <f>HYPERLINK("https://www.philgeps.gov.ph/GEPSNONPILOT/Tender/SplashBidNoticeAbstractUI.aspx?menuIndex=3&amp;refID=7162363&amp;Result=3","7162363")</f>
        <v>0</v>
      </c>
      <c r="B2701" t="s">
        <v>1174</v>
      </c>
      <c r="C2701" t="s">
        <v>6479</v>
      </c>
      <c r="D2701" t="s">
        <v>19033</v>
      </c>
      <c r="E2701" t="s">
        <v>21555</v>
      </c>
      <c r="F2701" t="s">
        <v>32831</v>
      </c>
      <c r="G2701" t="s">
        <v>32838</v>
      </c>
      <c r="H2701" t="s">
        <v>32849</v>
      </c>
      <c r="I2701" t="s">
        <v>4177</v>
      </c>
      <c r="J2701" t="s">
        <v>34814</v>
      </c>
      <c r="K2701" t="s">
        <v>42745</v>
      </c>
      <c r="M2701" t="s">
        <v>44240</v>
      </c>
      <c r="N2701" t="s">
        <v>47424</v>
      </c>
      <c r="O2701" t="s">
        <v>47425</v>
      </c>
      <c r="P2701">
        <v>0</v>
      </c>
      <c r="Q2701">
        <v>0</v>
      </c>
      <c r="R2701" t="s">
        <v>47428</v>
      </c>
      <c r="S2701" t="s">
        <v>47541</v>
      </c>
      <c r="T2701" t="s">
        <v>49163</v>
      </c>
      <c r="U2701" t="s">
        <v>51986</v>
      </c>
      <c r="W2701" t="s">
        <v>64460</v>
      </c>
      <c r="X2701" t="s">
        <v>47430</v>
      </c>
    </row>
    <row r="2702" spans="1:24">
      <c r="A2702">
        <f>HYPERLINK("https://www.philgeps.gov.ph/GEPSNONPILOT/Tender/SplashBidNoticeAbstractUI.aspx?menuIndex=3&amp;refID=7162328&amp;Result=3","7162328")</f>
        <v>0</v>
      </c>
      <c r="B2702" t="s">
        <v>1152</v>
      </c>
      <c r="C2702" t="s">
        <v>6480</v>
      </c>
      <c r="D2702" t="s">
        <v>19038</v>
      </c>
      <c r="E2702" t="s">
        <v>21556</v>
      </c>
      <c r="F2702" t="s">
        <v>32831</v>
      </c>
      <c r="G2702" t="s">
        <v>32839</v>
      </c>
      <c r="H2702" t="s">
        <v>32848</v>
      </c>
      <c r="I2702" t="s">
        <v>9577</v>
      </c>
      <c r="J2702" t="s">
        <v>34815</v>
      </c>
      <c r="K2702" t="s">
        <v>42732</v>
      </c>
      <c r="M2702" t="s">
        <v>44216</v>
      </c>
      <c r="N2702" t="s">
        <v>47424</v>
      </c>
      <c r="O2702" t="s">
        <v>47425</v>
      </c>
      <c r="P2702">
        <v>0</v>
      </c>
      <c r="Q2702">
        <v>1</v>
      </c>
      <c r="R2702" t="s">
        <v>47428</v>
      </c>
      <c r="S2702" t="s">
        <v>47541</v>
      </c>
      <c r="T2702" t="s">
        <v>49059</v>
      </c>
      <c r="U2702" t="s">
        <v>51942</v>
      </c>
      <c r="V2702" t="s">
        <v>62907</v>
      </c>
      <c r="W2702" t="s">
        <v>44216</v>
      </c>
      <c r="X2702" t="s">
        <v>47430</v>
      </c>
    </row>
    <row r="2703" spans="1:24">
      <c r="A2703">
        <f>HYPERLINK("https://www.philgeps.gov.ph/GEPSNONPILOT/Tender/SplashBidNoticeAbstractUI.aspx?menuIndex=3&amp;refID=7162438&amp;Result=3","7162438")</f>
        <v>0</v>
      </c>
      <c r="B2703" t="s">
        <v>1164</v>
      </c>
      <c r="C2703" t="s">
        <v>6459</v>
      </c>
      <c r="D2703" t="s">
        <v>19057</v>
      </c>
      <c r="E2703" t="s">
        <v>21557</v>
      </c>
      <c r="F2703" t="s">
        <v>32831</v>
      </c>
      <c r="G2703" t="s">
        <v>32838</v>
      </c>
      <c r="H2703" t="s">
        <v>32848</v>
      </c>
      <c r="I2703" t="s">
        <v>32946</v>
      </c>
      <c r="J2703" t="s">
        <v>34816</v>
      </c>
      <c r="K2703" t="s">
        <v>42730</v>
      </c>
      <c r="M2703" t="s">
        <v>44229</v>
      </c>
      <c r="N2703" t="s">
        <v>47424</v>
      </c>
      <c r="O2703" t="s">
        <v>47425</v>
      </c>
      <c r="P2703">
        <v>0</v>
      </c>
      <c r="Q2703">
        <v>2</v>
      </c>
      <c r="R2703" t="s">
        <v>47428</v>
      </c>
      <c r="S2703" t="s">
        <v>47541</v>
      </c>
      <c r="T2703" t="s">
        <v>49237</v>
      </c>
      <c r="U2703" t="s">
        <v>51987</v>
      </c>
      <c r="V2703" t="s">
        <v>62914</v>
      </c>
      <c r="W2703" t="s">
        <v>44229</v>
      </c>
      <c r="X2703" t="s">
        <v>47430</v>
      </c>
    </row>
    <row r="2704" spans="1:24">
      <c r="A2704">
        <f>HYPERLINK("https://www.philgeps.gov.ph/GEPSNONPILOT/Tender/SplashBidNoticeAbstractUI.aspx?menuIndex=3&amp;refID=7162203&amp;Result=3","7162203")</f>
        <v>0</v>
      </c>
      <c r="B2704" t="s">
        <v>1175</v>
      </c>
      <c r="C2704" t="s">
        <v>6481</v>
      </c>
      <c r="D2704" t="s">
        <v>19054</v>
      </c>
      <c r="E2704" t="s">
        <v>21558</v>
      </c>
      <c r="F2704" t="s">
        <v>32831</v>
      </c>
      <c r="G2704" t="s">
        <v>32840</v>
      </c>
      <c r="H2704" t="s">
        <v>32848</v>
      </c>
      <c r="I2704" t="s">
        <v>32862</v>
      </c>
      <c r="J2704" t="s">
        <v>33859</v>
      </c>
      <c r="K2704" t="s">
        <v>42731</v>
      </c>
      <c r="M2704" t="s">
        <v>44241</v>
      </c>
      <c r="N2704" t="s">
        <v>47424</v>
      </c>
      <c r="O2704" t="s">
        <v>47425</v>
      </c>
      <c r="P2704">
        <v>0</v>
      </c>
      <c r="Q2704">
        <v>0</v>
      </c>
      <c r="R2704" t="s">
        <v>47428</v>
      </c>
      <c r="S2704" t="s">
        <v>47541</v>
      </c>
      <c r="T2704" t="s">
        <v>49129</v>
      </c>
      <c r="U2704" t="s">
        <v>51988</v>
      </c>
      <c r="V2704" t="s">
        <v>62915</v>
      </c>
      <c r="W2704" t="s">
        <v>44241</v>
      </c>
      <c r="X2704" t="s">
        <v>47430</v>
      </c>
    </row>
    <row r="2705" spans="1:24">
      <c r="A2705">
        <f>HYPERLINK("https://www.philgeps.gov.ph/GEPSNONPILOT/Tender/SplashBidNoticeAbstractUI.aspx?menuIndex=3&amp;refID=7162376&amp;Result=3","7162376")</f>
        <v>0</v>
      </c>
      <c r="B2705" t="s">
        <v>1176</v>
      </c>
      <c r="C2705" t="s">
        <v>6482</v>
      </c>
      <c r="D2705" t="s">
        <v>19078</v>
      </c>
      <c r="E2705" t="s">
        <v>21559</v>
      </c>
      <c r="F2705" t="s">
        <v>32831</v>
      </c>
      <c r="G2705" t="s">
        <v>32838</v>
      </c>
      <c r="H2705" t="s">
        <v>32849</v>
      </c>
      <c r="I2705" t="s">
        <v>4177</v>
      </c>
      <c r="J2705" t="s">
        <v>33044</v>
      </c>
      <c r="K2705" t="s">
        <v>42746</v>
      </c>
      <c r="M2705" t="s">
        <v>44242</v>
      </c>
      <c r="N2705" t="s">
        <v>47424</v>
      </c>
      <c r="O2705" t="s">
        <v>47425</v>
      </c>
      <c r="P2705">
        <v>0</v>
      </c>
      <c r="Q2705">
        <v>0</v>
      </c>
      <c r="R2705" t="s">
        <v>47428</v>
      </c>
      <c r="S2705" t="s">
        <v>47541</v>
      </c>
      <c r="T2705" t="s">
        <v>49145</v>
      </c>
      <c r="U2705" t="s">
        <v>51989</v>
      </c>
      <c r="W2705" t="s">
        <v>44242</v>
      </c>
      <c r="X2705" t="s">
        <v>47430</v>
      </c>
    </row>
    <row r="2706" spans="1:24">
      <c r="A2706">
        <f>HYPERLINK("https://www.philgeps.gov.ph/GEPSNONPILOT/Tender/SplashBidNoticeAbstractUI.aspx?menuIndex=3&amp;refID=7162331&amp;Result=3","7162331")</f>
        <v>0</v>
      </c>
      <c r="B2706" t="s">
        <v>609</v>
      </c>
      <c r="C2706" t="s">
        <v>6483</v>
      </c>
      <c r="D2706" t="s">
        <v>19017</v>
      </c>
      <c r="E2706" t="s">
        <v>21560</v>
      </c>
      <c r="F2706" t="s">
        <v>32831</v>
      </c>
      <c r="G2706" t="s">
        <v>32840</v>
      </c>
      <c r="H2706" t="s">
        <v>32848</v>
      </c>
      <c r="I2706" t="s">
        <v>32864</v>
      </c>
      <c r="J2706" t="s">
        <v>33380</v>
      </c>
      <c r="K2706" t="s">
        <v>42732</v>
      </c>
      <c r="M2706" t="s">
        <v>43623</v>
      </c>
      <c r="N2706" t="s">
        <v>47424</v>
      </c>
      <c r="O2706" t="s">
        <v>47425</v>
      </c>
      <c r="Q2706">
        <v>15</v>
      </c>
      <c r="R2706" t="s">
        <v>47428</v>
      </c>
      <c r="S2706" t="s">
        <v>47545</v>
      </c>
      <c r="T2706" t="s">
        <v>49107</v>
      </c>
      <c r="U2706" t="s">
        <v>51990</v>
      </c>
      <c r="W2706" t="s">
        <v>43623</v>
      </c>
      <c r="X2706" t="s">
        <v>47430</v>
      </c>
    </row>
    <row r="2707" spans="1:24">
      <c r="A2707">
        <f>HYPERLINK("https://www.philgeps.gov.ph/GEPSNONPILOT/Tender/SplashBidNoticeAbstractUI.aspx?menuIndex=3&amp;refID=7162433&amp;Result=3","7162433")</f>
        <v>0</v>
      </c>
      <c r="B2707" t="s">
        <v>1177</v>
      </c>
      <c r="C2707" t="s">
        <v>6484</v>
      </c>
      <c r="E2707" t="s">
        <v>20902</v>
      </c>
      <c r="F2707" t="s">
        <v>32831</v>
      </c>
      <c r="G2707" t="s">
        <v>32839</v>
      </c>
      <c r="H2707" t="s">
        <v>32848</v>
      </c>
      <c r="I2707" t="s">
        <v>4776</v>
      </c>
      <c r="J2707" t="s">
        <v>34817</v>
      </c>
      <c r="K2707" t="s">
        <v>42726</v>
      </c>
      <c r="M2707" t="s">
        <v>44243</v>
      </c>
      <c r="N2707" t="s">
        <v>47424</v>
      </c>
      <c r="O2707" t="s">
        <v>47425</v>
      </c>
      <c r="P2707">
        <v>0</v>
      </c>
      <c r="Q2707">
        <v>0</v>
      </c>
      <c r="R2707" t="s">
        <v>47428</v>
      </c>
      <c r="S2707" t="s">
        <v>47541</v>
      </c>
      <c r="T2707" t="s">
        <v>49073</v>
      </c>
      <c r="U2707" t="s">
        <v>51991</v>
      </c>
      <c r="W2707" t="s">
        <v>44243</v>
      </c>
      <c r="X2707" t="s">
        <v>47430</v>
      </c>
    </row>
    <row r="2708" spans="1:24">
      <c r="A2708">
        <f>HYPERLINK("https://www.philgeps.gov.ph/GEPSNONPILOT/Tender/SplashBidNoticeAbstractUI.aspx?menuIndex=3&amp;refID=7162432&amp;Result=3","7162432")</f>
        <v>0</v>
      </c>
      <c r="B2708" t="s">
        <v>694</v>
      </c>
      <c r="C2708" t="s">
        <v>6485</v>
      </c>
      <c r="E2708" t="s">
        <v>21561</v>
      </c>
      <c r="F2708" t="s">
        <v>32831</v>
      </c>
      <c r="G2708" t="s">
        <v>32838</v>
      </c>
      <c r="H2708" t="s">
        <v>32848</v>
      </c>
      <c r="I2708" t="s">
        <v>4340</v>
      </c>
      <c r="J2708" t="s">
        <v>33040</v>
      </c>
      <c r="K2708" t="s">
        <v>42731</v>
      </c>
      <c r="M2708" t="s">
        <v>43713</v>
      </c>
      <c r="N2708" t="s">
        <v>47424</v>
      </c>
      <c r="O2708" t="s">
        <v>47425</v>
      </c>
      <c r="P2708">
        <v>0</v>
      </c>
      <c r="Q2708">
        <v>0</v>
      </c>
      <c r="R2708" t="s">
        <v>47428</v>
      </c>
      <c r="S2708" t="s">
        <v>47541</v>
      </c>
      <c r="T2708" t="s">
        <v>49061</v>
      </c>
      <c r="U2708" t="s">
        <v>51992</v>
      </c>
      <c r="V2708" t="s">
        <v>62786</v>
      </c>
      <c r="W2708" t="s">
        <v>43713</v>
      </c>
      <c r="X2708" t="s">
        <v>47430</v>
      </c>
    </row>
    <row r="2709" spans="1:24">
      <c r="A2709">
        <f>HYPERLINK("https://www.philgeps.gov.ph/GEPSNONPILOT/Tender/SplashBidNoticeAbstractUI.aspx?menuIndex=3&amp;refID=7162336&amp;Result=3","7162336")</f>
        <v>0</v>
      </c>
      <c r="B2709" t="s">
        <v>295</v>
      </c>
      <c r="C2709" t="s">
        <v>6486</v>
      </c>
      <c r="D2709" t="s">
        <v>19036</v>
      </c>
      <c r="E2709" t="s">
        <v>21562</v>
      </c>
      <c r="F2709" t="s">
        <v>32831</v>
      </c>
      <c r="G2709" t="s">
        <v>32838</v>
      </c>
      <c r="H2709" t="s">
        <v>32848</v>
      </c>
      <c r="I2709" t="s">
        <v>5379</v>
      </c>
      <c r="J2709" t="s">
        <v>34818</v>
      </c>
      <c r="K2709" t="s">
        <v>42758</v>
      </c>
      <c r="M2709" t="s">
        <v>43914</v>
      </c>
      <c r="N2709" t="s">
        <v>47424</v>
      </c>
      <c r="O2709" t="s">
        <v>47425</v>
      </c>
      <c r="P2709">
        <v>0</v>
      </c>
      <c r="Q2709">
        <v>0</v>
      </c>
      <c r="R2709" t="s">
        <v>47428</v>
      </c>
      <c r="S2709" t="s">
        <v>47541</v>
      </c>
      <c r="T2709" t="s">
        <v>49214</v>
      </c>
      <c r="U2709" t="s">
        <v>51993</v>
      </c>
      <c r="V2709" t="s">
        <v>51102</v>
      </c>
      <c r="W2709" t="s">
        <v>43914</v>
      </c>
      <c r="X2709" t="s">
        <v>47430</v>
      </c>
    </row>
    <row r="2710" spans="1:24">
      <c r="A2710">
        <f>HYPERLINK("https://www.philgeps.gov.ph/GEPSNONPILOT/Tender/SplashBidNoticeAbstractUI.aspx?menuIndex=3&amp;refID=7162431&amp;Result=3","7162431")</f>
        <v>0</v>
      </c>
      <c r="B2710" t="s">
        <v>1178</v>
      </c>
      <c r="C2710" t="s">
        <v>6487</v>
      </c>
      <c r="D2710" t="s">
        <v>19049</v>
      </c>
      <c r="E2710" t="s">
        <v>8439</v>
      </c>
      <c r="F2710" t="s">
        <v>32831</v>
      </c>
      <c r="G2710" t="s">
        <v>32838</v>
      </c>
      <c r="H2710" t="s">
        <v>32848</v>
      </c>
      <c r="I2710" t="s">
        <v>7416</v>
      </c>
      <c r="J2710" t="s">
        <v>34819</v>
      </c>
      <c r="K2710" t="s">
        <v>42727</v>
      </c>
      <c r="M2710" t="s">
        <v>44244</v>
      </c>
      <c r="N2710" t="s">
        <v>47424</v>
      </c>
      <c r="O2710" t="s">
        <v>47425</v>
      </c>
      <c r="P2710">
        <v>0</v>
      </c>
      <c r="Q2710">
        <v>2</v>
      </c>
      <c r="R2710" t="s">
        <v>47428</v>
      </c>
      <c r="S2710" t="s">
        <v>47541</v>
      </c>
      <c r="T2710" t="s">
        <v>49111</v>
      </c>
      <c r="U2710" t="s">
        <v>51543</v>
      </c>
      <c r="W2710" t="s">
        <v>44244</v>
      </c>
      <c r="X2710" t="s">
        <v>47430</v>
      </c>
    </row>
    <row r="2711" spans="1:24">
      <c r="A2711">
        <f>HYPERLINK("https://www.philgeps.gov.ph/GEPSNONPILOT/Tender/SplashBidNoticeAbstractUI.aspx?menuIndex=3&amp;refID=7162427&amp;Result=3","7162427")</f>
        <v>0</v>
      </c>
      <c r="B2711" t="s">
        <v>624</v>
      </c>
      <c r="C2711" t="s">
        <v>6488</v>
      </c>
      <c r="D2711" t="s">
        <v>19064</v>
      </c>
      <c r="E2711" t="s">
        <v>21563</v>
      </c>
      <c r="F2711" t="s">
        <v>32831</v>
      </c>
      <c r="G2711" t="s">
        <v>32838</v>
      </c>
      <c r="H2711" t="s">
        <v>32848</v>
      </c>
      <c r="I2711" t="s">
        <v>7416</v>
      </c>
      <c r="J2711" t="s">
        <v>34044</v>
      </c>
      <c r="K2711" t="s">
        <v>42732</v>
      </c>
      <c r="M2711" t="s">
        <v>43640</v>
      </c>
      <c r="N2711" t="s">
        <v>47424</v>
      </c>
      <c r="O2711" t="s">
        <v>47425</v>
      </c>
      <c r="P2711">
        <v>0</v>
      </c>
      <c r="Q2711">
        <v>0</v>
      </c>
      <c r="R2711" t="s">
        <v>47428</v>
      </c>
      <c r="S2711" t="s">
        <v>47541</v>
      </c>
      <c r="T2711" t="s">
        <v>49108</v>
      </c>
      <c r="U2711" t="s">
        <v>50973</v>
      </c>
      <c r="W2711" t="s">
        <v>43640</v>
      </c>
      <c r="X2711" t="s">
        <v>47430</v>
      </c>
    </row>
    <row r="2712" spans="1:24">
      <c r="A2712">
        <f>HYPERLINK("https://www.philgeps.gov.ph/GEPSNONPILOT/Tender/SplashBidNoticeAbstractUI.aspx?menuIndex=3&amp;refID=7162435&amp;Result=3","7162435")</f>
        <v>0</v>
      </c>
      <c r="B2712" t="s">
        <v>1179</v>
      </c>
      <c r="C2712" t="s">
        <v>4067</v>
      </c>
      <c r="D2712" t="s">
        <v>19081</v>
      </c>
      <c r="E2712" t="s">
        <v>21564</v>
      </c>
      <c r="F2712" t="s">
        <v>32831</v>
      </c>
      <c r="G2712" t="s">
        <v>32842</v>
      </c>
      <c r="H2712" t="s">
        <v>32848</v>
      </c>
      <c r="I2712" t="s">
        <v>32860</v>
      </c>
      <c r="J2712" t="s">
        <v>34820</v>
      </c>
      <c r="K2712" t="s">
        <v>42726</v>
      </c>
      <c r="M2712" t="s">
        <v>44245</v>
      </c>
      <c r="N2712" t="s">
        <v>47424</v>
      </c>
      <c r="O2712" t="s">
        <v>47425</v>
      </c>
      <c r="P2712">
        <v>0</v>
      </c>
      <c r="Q2712">
        <v>1</v>
      </c>
      <c r="R2712" t="s">
        <v>47428</v>
      </c>
      <c r="S2712" t="s">
        <v>47541</v>
      </c>
      <c r="T2712" t="s">
        <v>49104</v>
      </c>
      <c r="U2712" t="s">
        <v>51994</v>
      </c>
      <c r="W2712" t="s">
        <v>44245</v>
      </c>
      <c r="X2712" t="s">
        <v>47430</v>
      </c>
    </row>
    <row r="2713" spans="1:24">
      <c r="A2713">
        <f>HYPERLINK("https://www.philgeps.gov.ph/GEPSNONPILOT/Tender/SplashBidNoticeAbstractUI.aspx?menuIndex=3&amp;refID=7162421&amp;Result=3","7162421")</f>
        <v>0</v>
      </c>
      <c r="B2713" t="s">
        <v>1168</v>
      </c>
      <c r="C2713" t="s">
        <v>5029</v>
      </c>
      <c r="D2713" t="s">
        <v>19026</v>
      </c>
      <c r="E2713" t="s">
        <v>21565</v>
      </c>
      <c r="F2713" t="s">
        <v>32831</v>
      </c>
      <c r="G2713" t="s">
        <v>32838</v>
      </c>
      <c r="H2713" t="s">
        <v>32848</v>
      </c>
      <c r="I2713" t="s">
        <v>9577</v>
      </c>
      <c r="J2713" t="s">
        <v>34821</v>
      </c>
      <c r="K2713" t="s">
        <v>42731</v>
      </c>
      <c r="M2713" t="s">
        <v>44233</v>
      </c>
      <c r="N2713" t="s">
        <v>47424</v>
      </c>
      <c r="O2713" t="s">
        <v>47425</v>
      </c>
      <c r="P2713">
        <v>0</v>
      </c>
      <c r="Q2713">
        <v>0</v>
      </c>
      <c r="R2713" t="s">
        <v>47428</v>
      </c>
      <c r="S2713" t="s">
        <v>47541</v>
      </c>
      <c r="T2713" t="s">
        <v>49237</v>
      </c>
      <c r="U2713" t="s">
        <v>51995</v>
      </c>
      <c r="W2713" t="s">
        <v>44233</v>
      </c>
      <c r="X2713" t="s">
        <v>47430</v>
      </c>
    </row>
    <row r="2714" spans="1:24">
      <c r="A2714">
        <f>HYPERLINK("https://www.philgeps.gov.ph/GEPSNONPILOT/Tender/SplashBidNoticeAbstractUI.aspx?menuIndex=3&amp;refID=7162417&amp;Result=3","7162417")</f>
        <v>0</v>
      </c>
      <c r="B2714" t="s">
        <v>1141</v>
      </c>
      <c r="C2714" t="s">
        <v>6489</v>
      </c>
      <c r="D2714" t="s">
        <v>19017</v>
      </c>
      <c r="E2714" t="s">
        <v>21566</v>
      </c>
      <c r="F2714" t="s">
        <v>32831</v>
      </c>
      <c r="G2714" t="s">
        <v>32839</v>
      </c>
      <c r="H2714" t="s">
        <v>32849</v>
      </c>
      <c r="I2714" t="s">
        <v>4177</v>
      </c>
      <c r="J2714" t="s">
        <v>34822</v>
      </c>
      <c r="K2714" t="s">
        <v>42757</v>
      </c>
      <c r="M2714" t="s">
        <v>44205</v>
      </c>
      <c r="N2714" t="s">
        <v>47424</v>
      </c>
      <c r="O2714" t="s">
        <v>47425</v>
      </c>
      <c r="P2714">
        <v>0</v>
      </c>
      <c r="Q2714">
        <v>9</v>
      </c>
      <c r="R2714" t="s">
        <v>47428</v>
      </c>
      <c r="S2714" t="s">
        <v>47541</v>
      </c>
      <c r="T2714" t="s">
        <v>49077</v>
      </c>
      <c r="U2714" t="s">
        <v>51951</v>
      </c>
      <c r="W2714" t="s">
        <v>64459</v>
      </c>
      <c r="X2714" t="s">
        <v>47430</v>
      </c>
    </row>
    <row r="2715" spans="1:24">
      <c r="A2715">
        <f>HYPERLINK("https://www.philgeps.gov.ph/GEPSNONPILOT/Tender/SplashBidNoticeAbstractUI.aspx?menuIndex=3&amp;refID=7162407&amp;Result=3","7162407")</f>
        <v>0</v>
      </c>
      <c r="B2715" t="s">
        <v>1180</v>
      </c>
      <c r="C2715" t="s">
        <v>6490</v>
      </c>
      <c r="D2715" t="s">
        <v>19035</v>
      </c>
      <c r="E2715" t="s">
        <v>21567</v>
      </c>
      <c r="F2715" t="s">
        <v>32831</v>
      </c>
      <c r="G2715" t="s">
        <v>32838</v>
      </c>
      <c r="H2715" t="s">
        <v>32848</v>
      </c>
      <c r="I2715" t="s">
        <v>4303</v>
      </c>
      <c r="J2715" t="s">
        <v>34823</v>
      </c>
      <c r="K2715" t="s">
        <v>42730</v>
      </c>
      <c r="M2715" t="s">
        <v>44246</v>
      </c>
      <c r="N2715" t="s">
        <v>47424</v>
      </c>
      <c r="O2715" t="s">
        <v>47425</v>
      </c>
      <c r="P2715">
        <v>0</v>
      </c>
      <c r="Q2715">
        <v>4</v>
      </c>
      <c r="R2715" t="s">
        <v>47428</v>
      </c>
      <c r="S2715" t="s">
        <v>47541</v>
      </c>
      <c r="T2715" t="s">
        <v>49210</v>
      </c>
      <c r="U2715" t="s">
        <v>51996</v>
      </c>
      <c r="W2715" t="s">
        <v>44246</v>
      </c>
      <c r="X2715" t="s">
        <v>47430</v>
      </c>
    </row>
    <row r="2716" spans="1:24">
      <c r="A2716">
        <f>HYPERLINK("https://www.philgeps.gov.ph/GEPSNONPILOT/Tender/SplashBidNoticeAbstractUI.aspx?menuIndex=3&amp;refID=7162403&amp;Result=3","7162403")</f>
        <v>0</v>
      </c>
      <c r="B2716" t="s">
        <v>609</v>
      </c>
      <c r="C2716" t="s">
        <v>6491</v>
      </c>
      <c r="D2716" t="s">
        <v>19017</v>
      </c>
      <c r="E2716" t="s">
        <v>21568</v>
      </c>
      <c r="F2716" t="s">
        <v>32831</v>
      </c>
      <c r="G2716" t="s">
        <v>32840</v>
      </c>
      <c r="H2716" t="s">
        <v>32848</v>
      </c>
      <c r="I2716" t="s">
        <v>32864</v>
      </c>
      <c r="J2716" t="s">
        <v>32978</v>
      </c>
      <c r="K2716" t="s">
        <v>42732</v>
      </c>
      <c r="M2716" t="s">
        <v>43623</v>
      </c>
      <c r="N2716" t="s">
        <v>47424</v>
      </c>
      <c r="O2716" t="s">
        <v>47425</v>
      </c>
      <c r="P2716">
        <v>0</v>
      </c>
      <c r="Q2716">
        <v>16</v>
      </c>
      <c r="R2716" t="s">
        <v>47428</v>
      </c>
      <c r="S2716" t="s">
        <v>47541</v>
      </c>
      <c r="T2716" t="s">
        <v>49107</v>
      </c>
      <c r="U2716" t="s">
        <v>51997</v>
      </c>
      <c r="W2716" t="s">
        <v>43623</v>
      </c>
      <c r="X2716" t="s">
        <v>47430</v>
      </c>
    </row>
    <row r="2717" spans="1:24">
      <c r="A2717">
        <f>HYPERLINK("https://www.philgeps.gov.ph/GEPSNONPILOT/Tender/SplashBidNoticeAbstractUI.aspx?menuIndex=3&amp;refID=7162434&amp;Result=3","7162434")</f>
        <v>0</v>
      </c>
      <c r="B2717" t="s">
        <v>676</v>
      </c>
      <c r="C2717" t="s">
        <v>6492</v>
      </c>
      <c r="D2717" t="s">
        <v>19020</v>
      </c>
      <c r="E2717" t="s">
        <v>21569</v>
      </c>
      <c r="F2717" t="s">
        <v>32831</v>
      </c>
      <c r="G2717" t="s">
        <v>32838</v>
      </c>
      <c r="H2717" t="s">
        <v>32848</v>
      </c>
      <c r="I2717" t="s">
        <v>32860</v>
      </c>
      <c r="J2717" t="s">
        <v>34824</v>
      </c>
      <c r="K2717" t="s">
        <v>42759</v>
      </c>
      <c r="M2717" t="s">
        <v>43695</v>
      </c>
      <c r="N2717" t="s">
        <v>47424</v>
      </c>
      <c r="O2717" t="s">
        <v>47425</v>
      </c>
      <c r="P2717">
        <v>0</v>
      </c>
      <c r="Q2717">
        <v>0</v>
      </c>
      <c r="R2717" t="s">
        <v>47428</v>
      </c>
      <c r="S2717" t="s">
        <v>47541</v>
      </c>
      <c r="T2717" t="s">
        <v>49163</v>
      </c>
      <c r="U2717" t="s">
        <v>51998</v>
      </c>
      <c r="W2717" t="s">
        <v>43695</v>
      </c>
      <c r="X2717" t="s">
        <v>47430</v>
      </c>
    </row>
    <row r="2718" spans="1:24">
      <c r="A2718">
        <f>HYPERLINK("https://www.philgeps.gov.ph/GEPSNONPILOT/Tender/SplashBidNoticeAbstractUI.aspx?menuIndex=3&amp;refID=7162401&amp;Result=3","7162401")</f>
        <v>0</v>
      </c>
      <c r="B2718" t="s">
        <v>1181</v>
      </c>
      <c r="C2718" t="s">
        <v>6493</v>
      </c>
      <c r="D2718" t="s">
        <v>19035</v>
      </c>
      <c r="E2718" t="s">
        <v>21570</v>
      </c>
      <c r="F2718" t="s">
        <v>32831</v>
      </c>
      <c r="G2718" t="s">
        <v>32839</v>
      </c>
      <c r="H2718" t="s">
        <v>32849</v>
      </c>
      <c r="I2718" t="s">
        <v>4177</v>
      </c>
      <c r="J2718" t="s">
        <v>34825</v>
      </c>
      <c r="K2718" t="s">
        <v>42726</v>
      </c>
      <c r="L2718" t="s">
        <v>1181</v>
      </c>
      <c r="M2718" t="s">
        <v>44247</v>
      </c>
      <c r="N2718" t="s">
        <v>47424</v>
      </c>
      <c r="O2718" t="s">
        <v>47425</v>
      </c>
      <c r="P2718">
        <v>0</v>
      </c>
      <c r="Q2718">
        <v>0</v>
      </c>
      <c r="R2718" t="s">
        <v>47428</v>
      </c>
      <c r="S2718" t="s">
        <v>47541</v>
      </c>
      <c r="T2718" t="s">
        <v>49066</v>
      </c>
      <c r="U2718" t="s">
        <v>51999</v>
      </c>
      <c r="V2718" t="s">
        <v>62916</v>
      </c>
      <c r="W2718" t="s">
        <v>44247</v>
      </c>
      <c r="X2718" t="s">
        <v>47430</v>
      </c>
    </row>
    <row r="2719" spans="1:24">
      <c r="A2719">
        <f>HYPERLINK("https://www.philgeps.gov.ph/GEPSNONPILOT/Tender/SplashBidNoticeAbstractUI.aspx?menuIndex=3&amp;refID=7162430&amp;Result=3","7162430")</f>
        <v>0</v>
      </c>
      <c r="B2719" t="s">
        <v>648</v>
      </c>
      <c r="C2719" t="s">
        <v>6494</v>
      </c>
      <c r="D2719" t="s">
        <v>19044</v>
      </c>
      <c r="E2719" t="s">
        <v>21571</v>
      </c>
      <c r="F2719" t="s">
        <v>32831</v>
      </c>
      <c r="G2719" t="s">
        <v>32838</v>
      </c>
      <c r="H2719" t="s">
        <v>32848</v>
      </c>
      <c r="I2719" t="s">
        <v>4471</v>
      </c>
      <c r="J2719" t="s">
        <v>34826</v>
      </c>
      <c r="K2719" t="s">
        <v>42730</v>
      </c>
      <c r="M2719" t="s">
        <v>43665</v>
      </c>
      <c r="N2719" t="s">
        <v>47424</v>
      </c>
      <c r="O2719" t="s">
        <v>47425</v>
      </c>
      <c r="P2719">
        <v>0</v>
      </c>
      <c r="Q2719">
        <v>2</v>
      </c>
      <c r="R2719" t="s">
        <v>47428</v>
      </c>
      <c r="S2719" t="s">
        <v>47541</v>
      </c>
      <c r="T2719" t="s">
        <v>49103</v>
      </c>
      <c r="U2719" t="s">
        <v>52000</v>
      </c>
      <c r="W2719" t="s">
        <v>43665</v>
      </c>
      <c r="X2719" t="s">
        <v>47430</v>
      </c>
    </row>
    <row r="2720" spans="1:24">
      <c r="A2720">
        <f>HYPERLINK("https://www.philgeps.gov.ph/GEPSNONPILOT/Tender/SplashBidNoticeAbstractUI.aspx?menuIndex=3&amp;refID=7162400&amp;Result=3","7162400")</f>
        <v>0</v>
      </c>
      <c r="B2720" t="s">
        <v>1182</v>
      </c>
      <c r="C2720" t="s">
        <v>6495</v>
      </c>
      <c r="D2720" t="s">
        <v>19047</v>
      </c>
      <c r="E2720" t="s">
        <v>21572</v>
      </c>
      <c r="F2720" t="s">
        <v>32831</v>
      </c>
      <c r="G2720" t="s">
        <v>32840</v>
      </c>
      <c r="H2720" t="s">
        <v>32848</v>
      </c>
      <c r="I2720" t="s">
        <v>9577</v>
      </c>
      <c r="J2720" t="s">
        <v>34827</v>
      </c>
      <c r="K2720" t="s">
        <v>42730</v>
      </c>
      <c r="M2720" t="s">
        <v>44248</v>
      </c>
      <c r="N2720" t="s">
        <v>47424</v>
      </c>
      <c r="O2720" t="s">
        <v>47425</v>
      </c>
      <c r="P2720">
        <v>0</v>
      </c>
      <c r="Q2720">
        <v>1</v>
      </c>
      <c r="R2720" t="s">
        <v>47428</v>
      </c>
      <c r="S2720" t="s">
        <v>47541</v>
      </c>
      <c r="T2720" t="s">
        <v>49163</v>
      </c>
      <c r="U2720" t="s">
        <v>52001</v>
      </c>
      <c r="W2720" t="s">
        <v>64461</v>
      </c>
      <c r="X2720" t="s">
        <v>47430</v>
      </c>
    </row>
    <row r="2721" spans="1:24">
      <c r="A2721">
        <f>HYPERLINK("https://www.philgeps.gov.ph/GEPSNONPILOT/Tender/SplashBidNoticeAbstractUI.aspx?menuIndex=3&amp;refID=7162398&amp;Result=3","7162398")</f>
        <v>0</v>
      </c>
      <c r="B2721" t="s">
        <v>1183</v>
      </c>
      <c r="C2721" t="s">
        <v>6496</v>
      </c>
      <c r="D2721" t="s">
        <v>19023</v>
      </c>
      <c r="E2721" t="s">
        <v>21573</v>
      </c>
      <c r="F2721" t="s">
        <v>32831</v>
      </c>
      <c r="G2721" t="s">
        <v>32839</v>
      </c>
      <c r="H2721" t="s">
        <v>32848</v>
      </c>
      <c r="I2721" t="s">
        <v>32855</v>
      </c>
      <c r="J2721" t="s">
        <v>33978</v>
      </c>
      <c r="K2721" t="s">
        <v>42731</v>
      </c>
      <c r="M2721" t="s">
        <v>44249</v>
      </c>
      <c r="N2721" t="s">
        <v>47424</v>
      </c>
      <c r="O2721" t="s">
        <v>47425</v>
      </c>
      <c r="P2721">
        <v>0</v>
      </c>
      <c r="Q2721">
        <v>0</v>
      </c>
      <c r="R2721" t="s">
        <v>47428</v>
      </c>
      <c r="S2721" t="s">
        <v>47541</v>
      </c>
      <c r="T2721" t="s">
        <v>49091</v>
      </c>
      <c r="U2721" t="s">
        <v>52002</v>
      </c>
      <c r="W2721" t="s">
        <v>44249</v>
      </c>
      <c r="X2721" t="s">
        <v>47430</v>
      </c>
    </row>
    <row r="2722" spans="1:24">
      <c r="A2722">
        <f>HYPERLINK("https://www.philgeps.gov.ph/GEPSNONPILOT/Tender/SplashBidNoticeAbstractUI.aspx?menuIndex=3&amp;refID=7162393&amp;Result=3","7162393")</f>
        <v>0</v>
      </c>
      <c r="B2722" t="s">
        <v>1184</v>
      </c>
      <c r="C2722" t="s">
        <v>6497</v>
      </c>
      <c r="D2722" t="s">
        <v>19078</v>
      </c>
      <c r="E2722" t="s">
        <v>21574</v>
      </c>
      <c r="F2722" t="s">
        <v>32831</v>
      </c>
      <c r="G2722" t="s">
        <v>32839</v>
      </c>
      <c r="H2722" t="s">
        <v>32848</v>
      </c>
      <c r="I2722" t="s">
        <v>7751</v>
      </c>
      <c r="J2722" t="s">
        <v>34828</v>
      </c>
      <c r="K2722" t="s">
        <v>42729</v>
      </c>
      <c r="M2722" t="s">
        <v>44250</v>
      </c>
      <c r="N2722" t="s">
        <v>47424</v>
      </c>
      <c r="O2722" t="s">
        <v>47425</v>
      </c>
      <c r="P2722">
        <v>0</v>
      </c>
      <c r="Q2722">
        <v>2</v>
      </c>
      <c r="R2722" t="s">
        <v>47428</v>
      </c>
      <c r="S2722" t="s">
        <v>47541</v>
      </c>
      <c r="T2722" t="s">
        <v>49187</v>
      </c>
      <c r="U2722" t="s">
        <v>52003</v>
      </c>
      <c r="W2722" t="s">
        <v>44250</v>
      </c>
      <c r="X2722" t="s">
        <v>47430</v>
      </c>
    </row>
    <row r="2723" spans="1:24">
      <c r="A2723">
        <f>HYPERLINK("https://www.philgeps.gov.ph/GEPSNONPILOT/Tender/SplashBidNoticeAbstractUI.aspx?menuIndex=3&amp;refID=7162409&amp;Result=3","7162409")</f>
        <v>0</v>
      </c>
      <c r="B2723" t="s">
        <v>624</v>
      </c>
      <c r="C2723" t="s">
        <v>6498</v>
      </c>
      <c r="D2723" t="s">
        <v>19064</v>
      </c>
      <c r="E2723" t="s">
        <v>21575</v>
      </c>
      <c r="F2723" t="s">
        <v>32831</v>
      </c>
      <c r="G2723" t="s">
        <v>32838</v>
      </c>
      <c r="H2723" t="s">
        <v>32848</v>
      </c>
      <c r="I2723" t="s">
        <v>7416</v>
      </c>
      <c r="J2723" t="s">
        <v>34044</v>
      </c>
      <c r="K2723" t="s">
        <v>42732</v>
      </c>
      <c r="M2723" t="s">
        <v>43640</v>
      </c>
      <c r="N2723" t="s">
        <v>47424</v>
      </c>
      <c r="O2723" t="s">
        <v>47425</v>
      </c>
      <c r="P2723">
        <v>0</v>
      </c>
      <c r="Q2723">
        <v>0</v>
      </c>
      <c r="R2723" t="s">
        <v>47428</v>
      </c>
      <c r="S2723" t="s">
        <v>47541</v>
      </c>
      <c r="T2723" t="s">
        <v>49108</v>
      </c>
      <c r="U2723" t="s">
        <v>50973</v>
      </c>
      <c r="W2723" t="s">
        <v>43640</v>
      </c>
      <c r="X2723" t="s">
        <v>47430</v>
      </c>
    </row>
    <row r="2724" spans="1:24">
      <c r="A2724">
        <f>HYPERLINK("https://www.philgeps.gov.ph/GEPSNONPILOT/Tender/SplashBidNoticeAbstractUI.aspx?menuIndex=3&amp;refID=7162327&amp;Result=3","7162327")</f>
        <v>0</v>
      </c>
      <c r="B2724" t="s">
        <v>618</v>
      </c>
      <c r="C2724" t="s">
        <v>6499</v>
      </c>
      <c r="D2724" t="s">
        <v>19084</v>
      </c>
      <c r="E2724" t="s">
        <v>21576</v>
      </c>
      <c r="F2724" t="s">
        <v>32831</v>
      </c>
      <c r="G2724" t="s">
        <v>32838</v>
      </c>
      <c r="H2724" t="s">
        <v>32848</v>
      </c>
      <c r="I2724" t="s">
        <v>32923</v>
      </c>
      <c r="J2724" t="s">
        <v>34829</v>
      </c>
      <c r="K2724" t="s">
        <v>42730</v>
      </c>
      <c r="M2724" t="s">
        <v>43634</v>
      </c>
      <c r="N2724" t="s">
        <v>47424</v>
      </c>
      <c r="O2724" t="s">
        <v>47425</v>
      </c>
      <c r="P2724">
        <v>0</v>
      </c>
      <c r="Q2724">
        <v>2</v>
      </c>
      <c r="R2724" t="s">
        <v>47428</v>
      </c>
      <c r="S2724" t="s">
        <v>47541</v>
      </c>
      <c r="T2724" t="s">
        <v>49214</v>
      </c>
      <c r="U2724" t="s">
        <v>52004</v>
      </c>
      <c r="W2724" t="s">
        <v>43634</v>
      </c>
      <c r="X2724" t="s">
        <v>47430</v>
      </c>
    </row>
    <row r="2725" spans="1:24">
      <c r="A2725">
        <f>HYPERLINK("https://www.philgeps.gov.ph/GEPSNONPILOT/Tender/SplashBidNoticeAbstractUI.aspx?menuIndex=3&amp;refID=7162360&amp;Result=3","7162360")</f>
        <v>0</v>
      </c>
      <c r="B2725" t="s">
        <v>744</v>
      </c>
      <c r="C2725" t="s">
        <v>6500</v>
      </c>
      <c r="D2725" t="s">
        <v>19017</v>
      </c>
      <c r="E2725" t="s">
        <v>21577</v>
      </c>
      <c r="F2725" t="s">
        <v>32831</v>
      </c>
      <c r="G2725" t="s">
        <v>32838</v>
      </c>
      <c r="H2725" t="s">
        <v>32848</v>
      </c>
      <c r="I2725" t="s">
        <v>4177</v>
      </c>
      <c r="J2725" t="s">
        <v>34830</v>
      </c>
      <c r="K2725" t="s">
        <v>42791</v>
      </c>
      <c r="M2725" t="s">
        <v>44219</v>
      </c>
      <c r="N2725" t="s">
        <v>47424</v>
      </c>
      <c r="O2725" t="s">
        <v>47425</v>
      </c>
      <c r="P2725">
        <v>0</v>
      </c>
      <c r="Q2725">
        <v>0</v>
      </c>
      <c r="R2725" t="s">
        <v>47428</v>
      </c>
      <c r="S2725" t="s">
        <v>47541</v>
      </c>
      <c r="T2725" t="s">
        <v>49237</v>
      </c>
      <c r="U2725" t="s">
        <v>52005</v>
      </c>
      <c r="W2725" t="s">
        <v>44219</v>
      </c>
      <c r="X2725" t="s">
        <v>47430</v>
      </c>
    </row>
    <row r="2726" spans="1:24">
      <c r="A2726">
        <f>HYPERLINK("https://www.philgeps.gov.ph/GEPSNONPILOT/Tender/SplashBidNoticeAbstractUI.aspx?menuIndex=3&amp;refID=7162405&amp;Result=3","7162405")</f>
        <v>0</v>
      </c>
      <c r="B2726" t="s">
        <v>1167</v>
      </c>
      <c r="C2726" t="s">
        <v>6501</v>
      </c>
      <c r="D2726" t="s">
        <v>19021</v>
      </c>
      <c r="E2726" t="s">
        <v>21578</v>
      </c>
      <c r="F2726" t="s">
        <v>32831</v>
      </c>
      <c r="G2726" t="s">
        <v>32838</v>
      </c>
      <c r="H2726" t="s">
        <v>32848</v>
      </c>
      <c r="I2726" t="s">
        <v>4222</v>
      </c>
      <c r="J2726" t="s">
        <v>34831</v>
      </c>
      <c r="K2726" t="s">
        <v>42730</v>
      </c>
      <c r="M2726" t="s">
        <v>44232</v>
      </c>
      <c r="N2726" t="s">
        <v>47424</v>
      </c>
      <c r="O2726" t="s">
        <v>47425</v>
      </c>
      <c r="P2726">
        <v>0</v>
      </c>
      <c r="Q2726">
        <v>1</v>
      </c>
      <c r="R2726" t="s">
        <v>47428</v>
      </c>
      <c r="S2726" t="s">
        <v>47541</v>
      </c>
      <c r="T2726" t="s">
        <v>49104</v>
      </c>
      <c r="U2726" t="s">
        <v>51973</v>
      </c>
      <c r="W2726" t="s">
        <v>44232</v>
      </c>
      <c r="X2726" t="s">
        <v>47430</v>
      </c>
    </row>
    <row r="2727" spans="1:24">
      <c r="A2727">
        <f>HYPERLINK("https://www.philgeps.gov.ph/GEPSNONPILOT/Tender/SplashBidNoticeAbstractUI.aspx?menuIndex=3&amp;refID=7162475&amp;Result=3","7162475")</f>
        <v>0</v>
      </c>
      <c r="B2727" t="s">
        <v>563</v>
      </c>
      <c r="C2727" t="s">
        <v>6502</v>
      </c>
      <c r="D2727" t="s">
        <v>19060</v>
      </c>
      <c r="E2727" t="s">
        <v>21579</v>
      </c>
      <c r="F2727" t="s">
        <v>32831</v>
      </c>
      <c r="G2727" t="s">
        <v>32838</v>
      </c>
      <c r="H2727" t="s">
        <v>32848</v>
      </c>
      <c r="I2727" t="s">
        <v>4438</v>
      </c>
      <c r="J2727" t="s">
        <v>32983</v>
      </c>
      <c r="K2727" t="s">
        <v>42732</v>
      </c>
      <c r="M2727" t="s">
        <v>43572</v>
      </c>
      <c r="N2727" t="s">
        <v>47424</v>
      </c>
      <c r="O2727" t="s">
        <v>47425</v>
      </c>
      <c r="P2727">
        <v>0</v>
      </c>
      <c r="Q2727">
        <v>0</v>
      </c>
      <c r="R2727" t="s">
        <v>47428</v>
      </c>
      <c r="S2727" t="s">
        <v>47541</v>
      </c>
      <c r="T2727" t="s">
        <v>49212</v>
      </c>
      <c r="U2727" t="s">
        <v>52006</v>
      </c>
      <c r="W2727" t="s">
        <v>43572</v>
      </c>
      <c r="X2727" t="s">
        <v>47430</v>
      </c>
    </row>
    <row r="2728" spans="1:24">
      <c r="A2728">
        <f>HYPERLINK("https://www.philgeps.gov.ph/GEPSNONPILOT/Tender/SplashBidNoticeAbstractUI.aspx?menuIndex=3&amp;refID=7162365&amp;Result=3","7162365")</f>
        <v>0</v>
      </c>
      <c r="B2728" t="s">
        <v>1185</v>
      </c>
      <c r="C2728" t="s">
        <v>6503</v>
      </c>
      <c r="D2728" t="s">
        <v>19080</v>
      </c>
      <c r="E2728" t="s">
        <v>21580</v>
      </c>
      <c r="F2728" t="s">
        <v>32831</v>
      </c>
      <c r="G2728" t="s">
        <v>32839</v>
      </c>
      <c r="H2728" t="s">
        <v>32849</v>
      </c>
      <c r="I2728" t="s">
        <v>7416</v>
      </c>
      <c r="J2728" t="s">
        <v>33017</v>
      </c>
      <c r="K2728" t="s">
        <v>42728</v>
      </c>
      <c r="M2728" t="s">
        <v>44251</v>
      </c>
      <c r="N2728" t="s">
        <v>47424</v>
      </c>
      <c r="O2728" t="s">
        <v>47425</v>
      </c>
      <c r="P2728">
        <v>0</v>
      </c>
      <c r="Q2728">
        <v>0</v>
      </c>
      <c r="R2728" t="s">
        <v>47428</v>
      </c>
      <c r="S2728" t="s">
        <v>47541</v>
      </c>
      <c r="T2728" t="s">
        <v>49322</v>
      </c>
      <c r="U2728" t="s">
        <v>52007</v>
      </c>
      <c r="V2728" t="s">
        <v>62917</v>
      </c>
      <c r="W2728" t="s">
        <v>44251</v>
      </c>
      <c r="X2728" t="s">
        <v>47430</v>
      </c>
    </row>
    <row r="2729" spans="1:24">
      <c r="A2729">
        <f>HYPERLINK("https://www.philgeps.gov.ph/GEPSNONPILOT/Tender/SplashBidNoticeAbstractUI.aspx?menuIndex=3&amp;refID=7162474&amp;Result=3","7162474")</f>
        <v>0</v>
      </c>
      <c r="B2729" t="s">
        <v>1186</v>
      </c>
      <c r="C2729" t="s">
        <v>6504</v>
      </c>
      <c r="D2729" t="s">
        <v>19088</v>
      </c>
      <c r="E2729" t="s">
        <v>21581</v>
      </c>
      <c r="F2729" t="s">
        <v>32831</v>
      </c>
      <c r="G2729" t="s">
        <v>32839</v>
      </c>
      <c r="H2729" t="s">
        <v>32850</v>
      </c>
      <c r="I2729" t="s">
        <v>4446</v>
      </c>
      <c r="J2729" t="s">
        <v>34832</v>
      </c>
      <c r="K2729" t="s">
        <v>42730</v>
      </c>
      <c r="M2729" t="s">
        <v>44252</v>
      </c>
      <c r="N2729" t="s">
        <v>47424</v>
      </c>
      <c r="O2729" t="s">
        <v>47425</v>
      </c>
      <c r="P2729">
        <v>0</v>
      </c>
      <c r="Q2729">
        <v>1</v>
      </c>
      <c r="R2729" t="s">
        <v>47428</v>
      </c>
      <c r="S2729" t="s">
        <v>47541</v>
      </c>
      <c r="T2729" t="s">
        <v>49071</v>
      </c>
      <c r="U2729" t="s">
        <v>52008</v>
      </c>
      <c r="W2729" t="s">
        <v>46161</v>
      </c>
      <c r="X2729" t="s">
        <v>47430</v>
      </c>
    </row>
    <row r="2730" spans="1:24">
      <c r="A2730">
        <f>HYPERLINK("https://www.philgeps.gov.ph/GEPSNONPILOT/Tender/SplashBidNoticeAbstractUI.aspx?menuIndex=3&amp;refID=7162471&amp;Result=3","7162471")</f>
        <v>0</v>
      </c>
      <c r="B2730" t="s">
        <v>1187</v>
      </c>
      <c r="C2730" t="s">
        <v>6505</v>
      </c>
      <c r="D2730" t="s">
        <v>19077</v>
      </c>
      <c r="E2730" t="s">
        <v>21582</v>
      </c>
      <c r="F2730" t="s">
        <v>32831</v>
      </c>
      <c r="G2730" t="s">
        <v>32839</v>
      </c>
      <c r="H2730" t="s">
        <v>32849</v>
      </c>
      <c r="I2730" t="s">
        <v>4177</v>
      </c>
      <c r="J2730" t="s">
        <v>32983</v>
      </c>
      <c r="K2730" t="s">
        <v>42727</v>
      </c>
      <c r="M2730" t="s">
        <v>44253</v>
      </c>
      <c r="N2730" t="s">
        <v>47424</v>
      </c>
      <c r="O2730" t="s">
        <v>47425</v>
      </c>
      <c r="P2730">
        <v>0</v>
      </c>
      <c r="Q2730">
        <v>0</v>
      </c>
      <c r="R2730" t="s">
        <v>47428</v>
      </c>
      <c r="S2730" t="s">
        <v>47541</v>
      </c>
      <c r="T2730" t="s">
        <v>49066</v>
      </c>
      <c r="U2730" t="s">
        <v>52009</v>
      </c>
      <c r="W2730" t="s">
        <v>44253</v>
      </c>
      <c r="X2730" t="s">
        <v>47430</v>
      </c>
    </row>
    <row r="2731" spans="1:24">
      <c r="A2731">
        <f>HYPERLINK("https://www.philgeps.gov.ph/GEPSNONPILOT/Tender/SplashBidNoticeAbstractUI.aspx?menuIndex=3&amp;refID=7162397&amp;Result=3","7162397")</f>
        <v>0</v>
      </c>
      <c r="B2731" t="s">
        <v>593</v>
      </c>
      <c r="C2731" t="s">
        <v>6506</v>
      </c>
      <c r="D2731" t="s">
        <v>19031</v>
      </c>
      <c r="E2731" t="s">
        <v>21583</v>
      </c>
      <c r="F2731" t="s">
        <v>32831</v>
      </c>
      <c r="G2731" t="s">
        <v>32838</v>
      </c>
      <c r="H2731" t="s">
        <v>32848</v>
      </c>
      <c r="I2731" t="s">
        <v>32863</v>
      </c>
      <c r="J2731" t="s">
        <v>33087</v>
      </c>
      <c r="K2731" t="s">
        <v>42776</v>
      </c>
      <c r="M2731" t="s">
        <v>43605</v>
      </c>
      <c r="N2731" t="s">
        <v>47424</v>
      </c>
      <c r="O2731" t="s">
        <v>47425</v>
      </c>
      <c r="P2731">
        <v>0</v>
      </c>
      <c r="Q2731">
        <v>4</v>
      </c>
      <c r="R2731" t="s">
        <v>47428</v>
      </c>
      <c r="S2731" t="s">
        <v>47541</v>
      </c>
      <c r="T2731" t="s">
        <v>49145</v>
      </c>
      <c r="U2731" t="s">
        <v>52010</v>
      </c>
      <c r="W2731" t="s">
        <v>43605</v>
      </c>
      <c r="X2731" t="s">
        <v>47430</v>
      </c>
    </row>
    <row r="2732" spans="1:24">
      <c r="A2732">
        <f>HYPERLINK("https://www.philgeps.gov.ph/GEPSNONPILOT/Tender/SplashBidNoticeAbstractUI.aspx?menuIndex=3&amp;refID=7162467&amp;Result=3","7162467")</f>
        <v>0</v>
      </c>
      <c r="B2732" t="s">
        <v>1188</v>
      </c>
      <c r="C2732" t="s">
        <v>6507</v>
      </c>
      <c r="D2732" t="s">
        <v>19081</v>
      </c>
      <c r="E2732" t="s">
        <v>21584</v>
      </c>
      <c r="F2732" t="s">
        <v>32831</v>
      </c>
      <c r="G2732" t="s">
        <v>32838</v>
      </c>
      <c r="H2732" t="s">
        <v>32848</v>
      </c>
      <c r="I2732" t="s">
        <v>7416</v>
      </c>
      <c r="J2732" t="s">
        <v>34833</v>
      </c>
      <c r="K2732" t="s">
        <v>42758</v>
      </c>
      <c r="M2732" t="s">
        <v>44254</v>
      </c>
      <c r="N2732" t="s">
        <v>47424</v>
      </c>
      <c r="O2732" t="s">
        <v>47425</v>
      </c>
      <c r="P2732">
        <v>0</v>
      </c>
      <c r="Q2732">
        <v>0</v>
      </c>
      <c r="R2732" t="s">
        <v>47428</v>
      </c>
      <c r="S2732" t="s">
        <v>47541</v>
      </c>
      <c r="T2732" t="s">
        <v>49237</v>
      </c>
      <c r="U2732" t="s">
        <v>52011</v>
      </c>
      <c r="W2732" t="s">
        <v>44254</v>
      </c>
      <c r="X2732" t="s">
        <v>47430</v>
      </c>
    </row>
    <row r="2733" spans="1:24">
      <c r="A2733">
        <f>HYPERLINK("https://www.philgeps.gov.ph/GEPSNONPILOT/Tender/SplashBidNoticeAbstractUI.aspx?menuIndex=3&amp;refID=7162292&amp;Result=3","7162292")</f>
        <v>0</v>
      </c>
      <c r="B2733" t="s">
        <v>1152</v>
      </c>
      <c r="C2733" t="s">
        <v>6508</v>
      </c>
      <c r="D2733" t="s">
        <v>19038</v>
      </c>
      <c r="E2733" t="s">
        <v>21585</v>
      </c>
      <c r="F2733" t="s">
        <v>32831</v>
      </c>
      <c r="G2733" t="s">
        <v>32839</v>
      </c>
      <c r="H2733" t="s">
        <v>32848</v>
      </c>
      <c r="I2733" t="s">
        <v>9577</v>
      </c>
      <c r="J2733" t="s">
        <v>33241</v>
      </c>
      <c r="K2733" t="s">
        <v>42732</v>
      </c>
      <c r="M2733" t="s">
        <v>44216</v>
      </c>
      <c r="N2733" t="s">
        <v>47424</v>
      </c>
      <c r="O2733" t="s">
        <v>47425</v>
      </c>
      <c r="P2733">
        <v>0</v>
      </c>
      <c r="Q2733">
        <v>3</v>
      </c>
      <c r="R2733" t="s">
        <v>47428</v>
      </c>
      <c r="S2733" t="s">
        <v>47541</v>
      </c>
      <c r="T2733" t="s">
        <v>49059</v>
      </c>
      <c r="U2733" t="s">
        <v>51942</v>
      </c>
      <c r="V2733" t="s">
        <v>62907</v>
      </c>
      <c r="W2733" t="s">
        <v>44216</v>
      </c>
      <c r="X2733" t="s">
        <v>47430</v>
      </c>
    </row>
    <row r="2734" spans="1:24">
      <c r="A2734">
        <f>HYPERLINK("https://www.philgeps.gov.ph/GEPSNONPILOT/Tender/SplashBidNoticeAbstractUI.aspx?menuIndex=3&amp;refID=7162463&amp;Result=3","7162463")</f>
        <v>0</v>
      </c>
      <c r="B2734" t="s">
        <v>649</v>
      </c>
      <c r="C2734" t="s">
        <v>6509</v>
      </c>
      <c r="D2734" t="s">
        <v>19082</v>
      </c>
      <c r="E2734" t="s">
        <v>21586</v>
      </c>
      <c r="F2734" t="s">
        <v>32831</v>
      </c>
      <c r="G2734" t="s">
        <v>32838</v>
      </c>
      <c r="H2734" t="s">
        <v>32848</v>
      </c>
      <c r="I2734" t="s">
        <v>4776</v>
      </c>
      <c r="J2734" t="s">
        <v>34834</v>
      </c>
      <c r="K2734" t="s">
        <v>42727</v>
      </c>
      <c r="M2734" t="s">
        <v>43666</v>
      </c>
      <c r="N2734" t="s">
        <v>47424</v>
      </c>
      <c r="O2734" t="s">
        <v>47425</v>
      </c>
      <c r="P2734">
        <v>0</v>
      </c>
      <c r="Q2734">
        <v>0</v>
      </c>
      <c r="R2734" t="s">
        <v>47428</v>
      </c>
      <c r="S2734" t="s">
        <v>47541</v>
      </c>
      <c r="T2734" t="s">
        <v>49073</v>
      </c>
      <c r="U2734" t="s">
        <v>52012</v>
      </c>
      <c r="W2734" t="s">
        <v>43666</v>
      </c>
      <c r="X2734" t="s">
        <v>47430</v>
      </c>
    </row>
    <row r="2735" spans="1:24">
      <c r="A2735">
        <f>HYPERLINK("https://www.philgeps.gov.ph/GEPSNONPILOT/Tender/SplashBidNoticeAbstractUI.aspx?menuIndex=3&amp;refID=7162441&amp;Result=3","7162441")</f>
        <v>0</v>
      </c>
      <c r="B2735" t="s">
        <v>624</v>
      </c>
      <c r="C2735" t="s">
        <v>6510</v>
      </c>
      <c r="D2735" t="s">
        <v>19064</v>
      </c>
      <c r="E2735" t="s">
        <v>21587</v>
      </c>
      <c r="F2735" t="s">
        <v>32831</v>
      </c>
      <c r="G2735" t="s">
        <v>32838</v>
      </c>
      <c r="H2735" t="s">
        <v>32848</v>
      </c>
      <c r="I2735" t="s">
        <v>7416</v>
      </c>
      <c r="J2735" t="s">
        <v>34044</v>
      </c>
      <c r="K2735" t="s">
        <v>42732</v>
      </c>
      <c r="M2735" t="s">
        <v>43640</v>
      </c>
      <c r="N2735" t="s">
        <v>47424</v>
      </c>
      <c r="O2735" t="s">
        <v>47425</v>
      </c>
      <c r="P2735">
        <v>0</v>
      </c>
      <c r="Q2735">
        <v>0</v>
      </c>
      <c r="R2735" t="s">
        <v>47428</v>
      </c>
      <c r="S2735" t="s">
        <v>47541</v>
      </c>
      <c r="T2735" t="s">
        <v>49108</v>
      </c>
      <c r="U2735" t="s">
        <v>50973</v>
      </c>
      <c r="W2735" t="s">
        <v>43640</v>
      </c>
      <c r="X2735" t="s">
        <v>47430</v>
      </c>
    </row>
    <row r="2736" spans="1:24">
      <c r="A2736">
        <f>HYPERLINK("https://www.philgeps.gov.ph/GEPSNONPILOT/Tender/SplashBidNoticeAbstractUI.aspx?menuIndex=3&amp;refID=7162458&amp;Result=3","7162458")</f>
        <v>0</v>
      </c>
      <c r="B2736" t="s">
        <v>1141</v>
      </c>
      <c r="C2736" t="s">
        <v>6511</v>
      </c>
      <c r="D2736" t="s">
        <v>19017</v>
      </c>
      <c r="E2736" t="s">
        <v>21588</v>
      </c>
      <c r="F2736" t="s">
        <v>32831</v>
      </c>
      <c r="G2736" t="s">
        <v>32839</v>
      </c>
      <c r="H2736" t="s">
        <v>32849</v>
      </c>
      <c r="I2736" t="s">
        <v>4177</v>
      </c>
      <c r="J2736" t="s">
        <v>34835</v>
      </c>
      <c r="K2736" t="s">
        <v>42763</v>
      </c>
      <c r="M2736" t="s">
        <v>44205</v>
      </c>
      <c r="N2736" t="s">
        <v>47424</v>
      </c>
      <c r="O2736" t="s">
        <v>47425</v>
      </c>
      <c r="P2736">
        <v>0</v>
      </c>
      <c r="Q2736">
        <v>7</v>
      </c>
      <c r="R2736" t="s">
        <v>47428</v>
      </c>
      <c r="S2736" t="s">
        <v>47541</v>
      </c>
      <c r="T2736" t="s">
        <v>49077</v>
      </c>
      <c r="U2736" t="s">
        <v>52013</v>
      </c>
      <c r="W2736" t="s">
        <v>64459</v>
      </c>
      <c r="X2736" t="s">
        <v>47430</v>
      </c>
    </row>
    <row r="2737" spans="1:24">
      <c r="A2737">
        <f>HYPERLINK("https://www.philgeps.gov.ph/GEPSNONPILOT/Tender/SplashBidNoticeAbstractUI.aspx?menuIndex=3&amp;refID=7162473&amp;Result=3","7162473")</f>
        <v>0</v>
      </c>
      <c r="B2737" t="s">
        <v>1164</v>
      </c>
      <c r="C2737" t="s">
        <v>6459</v>
      </c>
      <c r="D2737" t="s">
        <v>19057</v>
      </c>
      <c r="E2737" t="s">
        <v>21589</v>
      </c>
      <c r="F2737" t="s">
        <v>32831</v>
      </c>
      <c r="G2737" t="s">
        <v>32838</v>
      </c>
      <c r="H2737" t="s">
        <v>32848</v>
      </c>
      <c r="I2737" t="s">
        <v>32946</v>
      </c>
      <c r="J2737" t="s">
        <v>34836</v>
      </c>
      <c r="K2737" t="s">
        <v>42730</v>
      </c>
      <c r="M2737" t="s">
        <v>44229</v>
      </c>
      <c r="N2737" t="s">
        <v>47424</v>
      </c>
      <c r="O2737" t="s">
        <v>47425</v>
      </c>
      <c r="P2737">
        <v>0</v>
      </c>
      <c r="Q2737">
        <v>2</v>
      </c>
      <c r="R2737" t="s">
        <v>47428</v>
      </c>
      <c r="S2737" t="s">
        <v>47541</v>
      </c>
      <c r="T2737" t="s">
        <v>49237</v>
      </c>
      <c r="U2737" t="s">
        <v>52014</v>
      </c>
      <c r="V2737" t="s">
        <v>62914</v>
      </c>
      <c r="W2737" t="s">
        <v>44229</v>
      </c>
      <c r="X2737" t="s">
        <v>47430</v>
      </c>
    </row>
    <row r="2738" spans="1:24">
      <c r="A2738">
        <f>HYPERLINK("https://www.philgeps.gov.ph/GEPSNONPILOT/Tender/SplashBidNoticeAbstractUI.aspx?menuIndex=3&amp;refID=7162457&amp;Result=3","7162457")</f>
        <v>0</v>
      </c>
      <c r="B2738" t="s">
        <v>1189</v>
      </c>
      <c r="C2738" t="s">
        <v>6512</v>
      </c>
      <c r="D2738" t="s">
        <v>19034</v>
      </c>
      <c r="E2738" t="s">
        <v>21590</v>
      </c>
      <c r="F2738" t="s">
        <v>32831</v>
      </c>
      <c r="G2738" t="s">
        <v>32838</v>
      </c>
      <c r="H2738" t="s">
        <v>32848</v>
      </c>
      <c r="I2738" t="s">
        <v>10805</v>
      </c>
      <c r="J2738" t="s">
        <v>32980</v>
      </c>
      <c r="K2738" t="s">
        <v>42732</v>
      </c>
      <c r="M2738" t="s">
        <v>44255</v>
      </c>
      <c r="N2738" t="s">
        <v>47424</v>
      </c>
      <c r="O2738" t="s">
        <v>47425</v>
      </c>
      <c r="P2738">
        <v>0</v>
      </c>
      <c r="Q2738">
        <v>0</v>
      </c>
      <c r="R2738" t="s">
        <v>47428</v>
      </c>
      <c r="S2738" t="s">
        <v>47541</v>
      </c>
      <c r="T2738" t="s">
        <v>49237</v>
      </c>
      <c r="U2738" t="s">
        <v>52015</v>
      </c>
      <c r="W2738" t="s">
        <v>44255</v>
      </c>
      <c r="X2738" t="s">
        <v>47430</v>
      </c>
    </row>
    <row r="2739" spans="1:24">
      <c r="A2739">
        <f>HYPERLINK("https://www.philgeps.gov.ph/GEPSNONPILOT/Tender/SplashBidNoticeAbstractUI.aspx?menuIndex=3&amp;refID=7162425&amp;Result=3","7162425")</f>
        <v>0</v>
      </c>
      <c r="B2739" t="s">
        <v>1190</v>
      </c>
      <c r="C2739" t="s">
        <v>6513</v>
      </c>
      <c r="D2739" t="s">
        <v>19021</v>
      </c>
      <c r="E2739" t="s">
        <v>21591</v>
      </c>
      <c r="F2739" t="s">
        <v>32831</v>
      </c>
      <c r="G2739" t="s">
        <v>32840</v>
      </c>
      <c r="H2739" t="s">
        <v>32848</v>
      </c>
      <c r="I2739" t="s">
        <v>32851</v>
      </c>
      <c r="J2739" t="s">
        <v>33162</v>
      </c>
      <c r="K2739" t="s">
        <v>42727</v>
      </c>
      <c r="M2739" t="s">
        <v>44256</v>
      </c>
      <c r="N2739" t="s">
        <v>47424</v>
      </c>
      <c r="O2739" t="s">
        <v>47425</v>
      </c>
      <c r="P2739">
        <v>0</v>
      </c>
      <c r="Q2739">
        <v>0</v>
      </c>
      <c r="R2739" t="s">
        <v>47428</v>
      </c>
      <c r="S2739" t="s">
        <v>47541</v>
      </c>
      <c r="T2739" t="s">
        <v>49089</v>
      </c>
      <c r="U2739" t="s">
        <v>52016</v>
      </c>
      <c r="W2739" t="s">
        <v>44256</v>
      </c>
      <c r="X2739" t="s">
        <v>47430</v>
      </c>
    </row>
    <row r="2740" spans="1:24">
      <c r="A2740">
        <f>HYPERLINK("https://www.philgeps.gov.ph/GEPSNONPILOT/Tender/SplashBidNoticeAbstractUI.aspx?menuIndex=3&amp;refID=7162470&amp;Result=3","7162470")</f>
        <v>0</v>
      </c>
      <c r="B2740" t="s">
        <v>1191</v>
      </c>
      <c r="C2740" t="s">
        <v>6514</v>
      </c>
      <c r="D2740" t="s">
        <v>19033</v>
      </c>
      <c r="E2740" t="s">
        <v>21592</v>
      </c>
      <c r="F2740" t="s">
        <v>32831</v>
      </c>
      <c r="G2740" t="s">
        <v>32839</v>
      </c>
      <c r="H2740" t="s">
        <v>32848</v>
      </c>
      <c r="I2740" t="s">
        <v>7416</v>
      </c>
      <c r="J2740" t="s">
        <v>34837</v>
      </c>
      <c r="K2740" t="s">
        <v>42726</v>
      </c>
      <c r="M2740" t="s">
        <v>44257</v>
      </c>
      <c r="N2740" t="s">
        <v>47424</v>
      </c>
      <c r="O2740" t="s">
        <v>47425</v>
      </c>
      <c r="P2740">
        <v>0</v>
      </c>
      <c r="Q2740">
        <v>2</v>
      </c>
      <c r="R2740" t="s">
        <v>47428</v>
      </c>
      <c r="S2740" t="s">
        <v>47541</v>
      </c>
      <c r="T2740" t="s">
        <v>49323</v>
      </c>
      <c r="U2740" t="s">
        <v>52017</v>
      </c>
      <c r="W2740" t="s">
        <v>44257</v>
      </c>
      <c r="X2740" t="s">
        <v>47430</v>
      </c>
    </row>
    <row r="2741" spans="1:24">
      <c r="A2741">
        <f>HYPERLINK("https://www.philgeps.gov.ph/GEPSNONPILOT/Tender/SplashBidNoticeAbstractUI.aspx?menuIndex=3&amp;refID=7162465&amp;Result=3","7162465")</f>
        <v>0</v>
      </c>
      <c r="B2741" t="s">
        <v>1162</v>
      </c>
      <c r="C2741" t="s">
        <v>6515</v>
      </c>
      <c r="D2741" t="s">
        <v>19050</v>
      </c>
      <c r="E2741" t="s">
        <v>6515</v>
      </c>
      <c r="F2741" t="s">
        <v>32831</v>
      </c>
      <c r="G2741" t="s">
        <v>32841</v>
      </c>
      <c r="H2741" t="s">
        <v>32848</v>
      </c>
      <c r="I2741" t="s">
        <v>5379</v>
      </c>
      <c r="J2741" t="s">
        <v>34838</v>
      </c>
      <c r="K2741" t="s">
        <v>42759</v>
      </c>
      <c r="M2741" t="s">
        <v>44227</v>
      </c>
      <c r="N2741" t="s">
        <v>47424</v>
      </c>
      <c r="O2741" t="s">
        <v>47425</v>
      </c>
      <c r="P2741">
        <v>0</v>
      </c>
      <c r="Q2741">
        <v>1</v>
      </c>
      <c r="R2741" t="s">
        <v>47428</v>
      </c>
      <c r="S2741" t="s">
        <v>47541</v>
      </c>
      <c r="T2741" t="s">
        <v>49229</v>
      </c>
      <c r="U2741" t="s">
        <v>52018</v>
      </c>
      <c r="W2741" t="s">
        <v>44227</v>
      </c>
      <c r="X2741" t="s">
        <v>47430</v>
      </c>
    </row>
    <row r="2742" spans="1:24">
      <c r="A2742">
        <f>HYPERLINK("https://www.philgeps.gov.ph/GEPSNONPILOT/Tender/SplashBidNoticeAbstractUI.aspx?menuIndex=3&amp;refID=7162452&amp;Result=3","7162452")</f>
        <v>0</v>
      </c>
      <c r="B2742" t="s">
        <v>1162</v>
      </c>
      <c r="C2742" t="s">
        <v>6516</v>
      </c>
      <c r="D2742" t="s">
        <v>19050</v>
      </c>
      <c r="E2742" t="s">
        <v>21593</v>
      </c>
      <c r="F2742" t="s">
        <v>32831</v>
      </c>
      <c r="G2742" t="s">
        <v>32841</v>
      </c>
      <c r="H2742" t="s">
        <v>32848</v>
      </c>
      <c r="I2742" t="s">
        <v>32857</v>
      </c>
      <c r="J2742" t="s">
        <v>34839</v>
      </c>
      <c r="K2742" t="s">
        <v>42730</v>
      </c>
      <c r="M2742" t="s">
        <v>44227</v>
      </c>
      <c r="N2742" t="s">
        <v>47424</v>
      </c>
      <c r="O2742" t="s">
        <v>47425</v>
      </c>
      <c r="P2742">
        <v>0</v>
      </c>
      <c r="Q2742">
        <v>12</v>
      </c>
      <c r="R2742" t="s">
        <v>47428</v>
      </c>
      <c r="S2742" t="s">
        <v>47541</v>
      </c>
      <c r="T2742" t="s">
        <v>49229</v>
      </c>
      <c r="U2742" t="s">
        <v>52019</v>
      </c>
      <c r="W2742" t="s">
        <v>44227</v>
      </c>
      <c r="X2742" t="s">
        <v>47430</v>
      </c>
    </row>
    <row r="2743" spans="1:24">
      <c r="A2743">
        <f>HYPERLINK("https://www.philgeps.gov.ph/GEPSNONPILOT/Tender/SplashBidNoticeAbstractUI.aspx?menuIndex=3&amp;refID=7162449&amp;Result=3","7162449")</f>
        <v>0</v>
      </c>
      <c r="B2743" t="s">
        <v>1168</v>
      </c>
      <c r="C2743" t="s">
        <v>5029</v>
      </c>
      <c r="D2743" t="s">
        <v>19026</v>
      </c>
      <c r="E2743" t="s">
        <v>21594</v>
      </c>
      <c r="F2743" t="s">
        <v>32831</v>
      </c>
      <c r="G2743" t="s">
        <v>32838</v>
      </c>
      <c r="H2743" t="s">
        <v>32848</v>
      </c>
      <c r="I2743" t="s">
        <v>9577</v>
      </c>
      <c r="J2743" t="s">
        <v>34840</v>
      </c>
      <c r="K2743" t="s">
        <v>42731</v>
      </c>
      <c r="M2743" t="s">
        <v>44233</v>
      </c>
      <c r="N2743" t="s">
        <v>47424</v>
      </c>
      <c r="O2743" t="s">
        <v>47425</v>
      </c>
      <c r="P2743">
        <v>0</v>
      </c>
      <c r="Q2743">
        <v>0</v>
      </c>
      <c r="R2743" t="s">
        <v>47428</v>
      </c>
      <c r="S2743" t="s">
        <v>47541</v>
      </c>
      <c r="T2743" t="s">
        <v>49237</v>
      </c>
      <c r="U2743" t="s">
        <v>52020</v>
      </c>
      <c r="W2743" t="s">
        <v>44233</v>
      </c>
      <c r="X2743" t="s">
        <v>47430</v>
      </c>
    </row>
    <row r="2744" spans="1:24">
      <c r="A2744">
        <f>HYPERLINK("https://www.philgeps.gov.ph/GEPSNONPILOT/Tender/SplashBidNoticeAbstractUI.aspx?menuIndex=3&amp;refID=7162464&amp;Result=3","7162464")</f>
        <v>0</v>
      </c>
      <c r="B2744" t="s">
        <v>1192</v>
      </c>
      <c r="C2744" t="s">
        <v>6517</v>
      </c>
      <c r="E2744" t="s">
        <v>19829</v>
      </c>
      <c r="F2744" t="s">
        <v>32831</v>
      </c>
      <c r="G2744" t="s">
        <v>32838</v>
      </c>
      <c r="H2744" t="s">
        <v>32850</v>
      </c>
      <c r="I2744" t="s">
        <v>32864</v>
      </c>
      <c r="J2744" t="s">
        <v>34841</v>
      </c>
      <c r="K2744" t="s">
        <v>42727</v>
      </c>
      <c r="M2744" t="s">
        <v>44258</v>
      </c>
      <c r="N2744" t="s">
        <v>47424</v>
      </c>
      <c r="O2744" t="s">
        <v>47425</v>
      </c>
      <c r="P2744">
        <v>0</v>
      </c>
      <c r="Q2744">
        <v>6</v>
      </c>
      <c r="R2744" t="s">
        <v>47428</v>
      </c>
      <c r="S2744" t="s">
        <v>47541</v>
      </c>
      <c r="T2744" t="s">
        <v>49114</v>
      </c>
      <c r="U2744" t="s">
        <v>52021</v>
      </c>
      <c r="W2744" t="s">
        <v>44258</v>
      </c>
      <c r="X2744" t="s">
        <v>47430</v>
      </c>
    </row>
    <row r="2745" spans="1:24">
      <c r="A2745">
        <f>HYPERLINK("https://www.philgeps.gov.ph/GEPSNONPILOT/Tender/SplashBidNoticeAbstractUI.aspx?menuIndex=3&amp;refID=7162444&amp;Result=3","7162444")</f>
        <v>0</v>
      </c>
      <c r="B2745" t="s">
        <v>1193</v>
      </c>
      <c r="C2745" t="s">
        <v>6518</v>
      </c>
      <c r="D2745" t="s">
        <v>19046</v>
      </c>
      <c r="E2745" t="s">
        <v>21595</v>
      </c>
      <c r="F2745" t="s">
        <v>32833</v>
      </c>
      <c r="G2745" t="s">
        <v>32838</v>
      </c>
      <c r="H2745" t="s">
        <v>32848</v>
      </c>
      <c r="I2745" t="s">
        <v>4487</v>
      </c>
      <c r="J2745" t="s">
        <v>32980</v>
      </c>
      <c r="K2745" t="s">
        <v>42726</v>
      </c>
      <c r="M2745" t="s">
        <v>44259</v>
      </c>
      <c r="N2745" t="s">
        <v>47424</v>
      </c>
      <c r="O2745" t="s">
        <v>47425</v>
      </c>
      <c r="P2745">
        <v>0</v>
      </c>
      <c r="Q2745">
        <v>0</v>
      </c>
      <c r="R2745" t="s">
        <v>47428</v>
      </c>
      <c r="S2745" t="s">
        <v>47541</v>
      </c>
      <c r="T2745" t="s">
        <v>49109</v>
      </c>
      <c r="U2745" t="s">
        <v>52022</v>
      </c>
      <c r="V2745" t="s">
        <v>62918</v>
      </c>
      <c r="W2745" t="s">
        <v>44259</v>
      </c>
      <c r="X2745" t="s">
        <v>47430</v>
      </c>
    </row>
    <row r="2746" spans="1:24">
      <c r="A2746">
        <f>HYPERLINK("https://www.philgeps.gov.ph/GEPSNONPILOT/Tender/SplashBidNoticeAbstractUI.aspx?menuIndex=3&amp;refID=7162291&amp;Result=3","7162291")</f>
        <v>0</v>
      </c>
      <c r="B2746" t="s">
        <v>1135</v>
      </c>
      <c r="C2746" t="s">
        <v>6519</v>
      </c>
      <c r="D2746" t="s">
        <v>19064</v>
      </c>
      <c r="E2746" t="s">
        <v>21466</v>
      </c>
      <c r="F2746" t="s">
        <v>32831</v>
      </c>
      <c r="G2746" t="s">
        <v>32838</v>
      </c>
      <c r="H2746" t="s">
        <v>32848</v>
      </c>
      <c r="I2746" t="s">
        <v>4776</v>
      </c>
      <c r="J2746" t="s">
        <v>34782</v>
      </c>
      <c r="K2746" t="s">
        <v>42726</v>
      </c>
      <c r="M2746" t="s">
        <v>44197</v>
      </c>
      <c r="N2746" t="s">
        <v>47424</v>
      </c>
      <c r="O2746" t="s">
        <v>47425</v>
      </c>
      <c r="P2746">
        <v>0</v>
      </c>
      <c r="Q2746">
        <v>0</v>
      </c>
      <c r="R2746" t="s">
        <v>47428</v>
      </c>
      <c r="S2746" t="s">
        <v>47541</v>
      </c>
      <c r="T2746" t="s">
        <v>49174</v>
      </c>
      <c r="U2746" t="s">
        <v>51940</v>
      </c>
      <c r="W2746" t="s">
        <v>44197</v>
      </c>
      <c r="X2746" t="s">
        <v>47430</v>
      </c>
    </row>
    <row r="2747" spans="1:24">
      <c r="A2747">
        <f>HYPERLINK("https://www.philgeps.gov.ph/GEPSNONPILOT/Tender/SplashBidNoticeAbstractUI.aspx?menuIndex=3&amp;refID=7162462&amp;Result=3","7162462")</f>
        <v>0</v>
      </c>
      <c r="B2747" t="s">
        <v>624</v>
      </c>
      <c r="C2747" t="s">
        <v>6520</v>
      </c>
      <c r="D2747" t="s">
        <v>19064</v>
      </c>
      <c r="E2747" t="s">
        <v>21596</v>
      </c>
      <c r="F2747" t="s">
        <v>32831</v>
      </c>
      <c r="G2747" t="s">
        <v>32838</v>
      </c>
      <c r="H2747" t="s">
        <v>32848</v>
      </c>
      <c r="I2747" t="s">
        <v>7416</v>
      </c>
      <c r="J2747" t="s">
        <v>34044</v>
      </c>
      <c r="K2747" t="s">
        <v>42732</v>
      </c>
      <c r="M2747" t="s">
        <v>43640</v>
      </c>
      <c r="N2747" t="s">
        <v>47424</v>
      </c>
      <c r="O2747" t="s">
        <v>47425</v>
      </c>
      <c r="P2747">
        <v>0</v>
      </c>
      <c r="Q2747">
        <v>0</v>
      </c>
      <c r="R2747" t="s">
        <v>47428</v>
      </c>
      <c r="S2747" t="s">
        <v>47541</v>
      </c>
      <c r="T2747" t="s">
        <v>49108</v>
      </c>
      <c r="U2747" t="s">
        <v>50973</v>
      </c>
      <c r="W2747" t="s">
        <v>43640</v>
      </c>
      <c r="X2747" t="s">
        <v>47430</v>
      </c>
    </row>
    <row r="2748" spans="1:24">
      <c r="A2748">
        <f>HYPERLINK("https://www.philgeps.gov.ph/GEPSNONPILOT/Tender/SplashBidNoticeAbstractUI.aspx?menuIndex=3&amp;refID=7162455&amp;Result=3","7162455")</f>
        <v>0</v>
      </c>
      <c r="B2748" t="s">
        <v>1194</v>
      </c>
      <c r="C2748" t="s">
        <v>6521</v>
      </c>
      <c r="D2748" t="s">
        <v>19034</v>
      </c>
      <c r="E2748" t="s">
        <v>21597</v>
      </c>
      <c r="F2748" t="s">
        <v>32831</v>
      </c>
      <c r="G2748" t="s">
        <v>32838</v>
      </c>
      <c r="H2748" t="s">
        <v>32848</v>
      </c>
      <c r="I2748" t="s">
        <v>32851</v>
      </c>
      <c r="J2748" t="s">
        <v>34842</v>
      </c>
      <c r="K2748" t="s">
        <v>42758</v>
      </c>
      <c r="M2748" t="s">
        <v>44260</v>
      </c>
      <c r="N2748" t="s">
        <v>47424</v>
      </c>
      <c r="O2748" t="s">
        <v>47425</v>
      </c>
      <c r="P2748">
        <v>0</v>
      </c>
      <c r="Q2748">
        <v>0</v>
      </c>
      <c r="R2748" t="s">
        <v>47428</v>
      </c>
      <c r="S2748" t="s">
        <v>47541</v>
      </c>
      <c r="T2748" t="s">
        <v>49214</v>
      </c>
      <c r="U2748" t="s">
        <v>52023</v>
      </c>
      <c r="W2748" t="s">
        <v>44260</v>
      </c>
      <c r="X2748" t="s">
        <v>47430</v>
      </c>
    </row>
    <row r="2749" spans="1:24">
      <c r="A2749">
        <f>HYPERLINK("https://www.philgeps.gov.ph/GEPSNONPILOT/Tender/SplashBidNoticeAbstractUI.aspx?menuIndex=3&amp;refID=7162276&amp;Result=3","7162276")</f>
        <v>0</v>
      </c>
      <c r="B2749" t="s">
        <v>624</v>
      </c>
      <c r="C2749" t="s">
        <v>6522</v>
      </c>
      <c r="D2749" t="s">
        <v>19064</v>
      </c>
      <c r="E2749" t="s">
        <v>21598</v>
      </c>
      <c r="F2749" t="s">
        <v>32831</v>
      </c>
      <c r="G2749" t="s">
        <v>32838</v>
      </c>
      <c r="H2749" t="s">
        <v>32848</v>
      </c>
      <c r="I2749" t="s">
        <v>7416</v>
      </c>
      <c r="J2749" t="s">
        <v>34044</v>
      </c>
      <c r="K2749" t="s">
        <v>42732</v>
      </c>
      <c r="M2749" t="s">
        <v>43640</v>
      </c>
      <c r="N2749" t="s">
        <v>47424</v>
      </c>
      <c r="O2749" t="s">
        <v>47425</v>
      </c>
      <c r="P2749">
        <v>0</v>
      </c>
      <c r="Q2749">
        <v>0</v>
      </c>
      <c r="R2749" t="s">
        <v>47428</v>
      </c>
      <c r="S2749" t="s">
        <v>47541</v>
      </c>
      <c r="T2749" t="s">
        <v>49108</v>
      </c>
      <c r="U2749" t="s">
        <v>50973</v>
      </c>
      <c r="W2749" t="s">
        <v>43640</v>
      </c>
      <c r="X2749" t="s">
        <v>47430</v>
      </c>
    </row>
    <row r="2750" spans="1:24">
      <c r="A2750">
        <f>HYPERLINK("https://www.philgeps.gov.ph/GEPSNONPILOT/Tender/SplashBidNoticeAbstractUI.aspx?menuIndex=3&amp;refID=7162451&amp;Result=3","7162451")</f>
        <v>0</v>
      </c>
      <c r="B2750" t="s">
        <v>350</v>
      </c>
      <c r="C2750" t="s">
        <v>6523</v>
      </c>
      <c r="D2750" t="s">
        <v>19038</v>
      </c>
      <c r="E2750" t="s">
        <v>19795</v>
      </c>
      <c r="F2750" t="s">
        <v>32831</v>
      </c>
      <c r="G2750" t="s">
        <v>32840</v>
      </c>
      <c r="H2750" t="s">
        <v>32848</v>
      </c>
      <c r="I2750" t="s">
        <v>32884</v>
      </c>
      <c r="J2750" t="s">
        <v>34057</v>
      </c>
      <c r="K2750" t="s">
        <v>42726</v>
      </c>
      <c r="M2750" t="s">
        <v>43354</v>
      </c>
      <c r="N2750" t="s">
        <v>47424</v>
      </c>
      <c r="O2750" t="s">
        <v>47425</v>
      </c>
      <c r="P2750">
        <v>0</v>
      </c>
      <c r="Q2750">
        <v>1</v>
      </c>
      <c r="R2750" t="s">
        <v>47428</v>
      </c>
      <c r="S2750" t="s">
        <v>47541</v>
      </c>
      <c r="T2750" t="s">
        <v>49105</v>
      </c>
      <c r="U2750" t="s">
        <v>52024</v>
      </c>
      <c r="V2750" t="s">
        <v>62698</v>
      </c>
      <c r="W2750" t="s">
        <v>43354</v>
      </c>
      <c r="X2750" t="s">
        <v>47430</v>
      </c>
    </row>
    <row r="2751" spans="1:24">
      <c r="A2751">
        <f>HYPERLINK("https://www.philgeps.gov.ph/GEPSNONPILOT/Tender/SplashBidNoticeAbstractUI.aspx?menuIndex=3&amp;refID=7162271&amp;Result=3","7162271")</f>
        <v>0</v>
      </c>
      <c r="B2751" t="s">
        <v>1195</v>
      </c>
      <c r="C2751" t="s">
        <v>6524</v>
      </c>
      <c r="D2751" t="s">
        <v>19019</v>
      </c>
      <c r="E2751" t="s">
        <v>21599</v>
      </c>
      <c r="F2751" t="s">
        <v>32831</v>
      </c>
      <c r="G2751" t="s">
        <v>32838</v>
      </c>
      <c r="H2751" t="s">
        <v>32848</v>
      </c>
      <c r="I2751" t="s">
        <v>6526</v>
      </c>
      <c r="J2751" t="s">
        <v>34843</v>
      </c>
      <c r="K2751" t="s">
        <v>42732</v>
      </c>
      <c r="M2751" t="s">
        <v>44261</v>
      </c>
      <c r="N2751" t="s">
        <v>47424</v>
      </c>
      <c r="O2751" t="s">
        <v>47425</v>
      </c>
      <c r="P2751">
        <v>0</v>
      </c>
      <c r="Q2751">
        <v>0</v>
      </c>
      <c r="R2751" t="s">
        <v>47428</v>
      </c>
      <c r="S2751" t="s">
        <v>47541</v>
      </c>
      <c r="T2751" t="s">
        <v>49114</v>
      </c>
      <c r="U2751" t="s">
        <v>52025</v>
      </c>
      <c r="W2751" t="s">
        <v>44261</v>
      </c>
      <c r="X2751" t="s">
        <v>47430</v>
      </c>
    </row>
    <row r="2752" spans="1:24">
      <c r="A2752">
        <f>HYPERLINK("https://www.philgeps.gov.ph/GEPSNONPILOT/Tender/SplashBidNoticeAbstractUI.aspx?menuIndex=3&amp;refID=7162447&amp;Result=3","7162447")</f>
        <v>0</v>
      </c>
      <c r="B2752" t="s">
        <v>563</v>
      </c>
      <c r="C2752" t="s">
        <v>6525</v>
      </c>
      <c r="D2752" t="s">
        <v>19060</v>
      </c>
      <c r="E2752" t="s">
        <v>20214</v>
      </c>
      <c r="F2752" t="s">
        <v>32831</v>
      </c>
      <c r="G2752" t="s">
        <v>32838</v>
      </c>
      <c r="H2752" t="s">
        <v>32848</v>
      </c>
      <c r="I2752" t="s">
        <v>4438</v>
      </c>
      <c r="J2752" t="s">
        <v>33874</v>
      </c>
      <c r="K2752" t="s">
        <v>42732</v>
      </c>
      <c r="M2752" t="s">
        <v>43572</v>
      </c>
      <c r="N2752" t="s">
        <v>47424</v>
      </c>
      <c r="O2752" t="s">
        <v>47425</v>
      </c>
      <c r="P2752">
        <v>0</v>
      </c>
      <c r="Q2752">
        <v>0</v>
      </c>
      <c r="R2752" t="s">
        <v>47428</v>
      </c>
      <c r="S2752" t="s">
        <v>47541</v>
      </c>
      <c r="T2752" t="s">
        <v>49212</v>
      </c>
      <c r="U2752" t="s">
        <v>50735</v>
      </c>
      <c r="W2752" t="s">
        <v>43572</v>
      </c>
      <c r="X2752" t="s">
        <v>47430</v>
      </c>
    </row>
    <row r="2753" spans="1:24">
      <c r="A2753">
        <f>HYPERLINK("https://www.philgeps.gov.ph/GEPSNONPILOT/Tender/SplashBidNoticeAbstractUI.aspx?menuIndex=3&amp;refID=7162241&amp;Result=3","7162241")</f>
        <v>0</v>
      </c>
      <c r="B2753" t="s">
        <v>691</v>
      </c>
      <c r="C2753" t="s">
        <v>6526</v>
      </c>
      <c r="D2753" t="s">
        <v>19026</v>
      </c>
      <c r="E2753" t="s">
        <v>21600</v>
      </c>
      <c r="F2753" t="s">
        <v>32831</v>
      </c>
      <c r="G2753" t="s">
        <v>32838</v>
      </c>
      <c r="H2753" t="s">
        <v>32848</v>
      </c>
      <c r="I2753" t="s">
        <v>6526</v>
      </c>
      <c r="J2753" t="s">
        <v>33087</v>
      </c>
      <c r="K2753" t="s">
        <v>42748</v>
      </c>
      <c r="M2753" t="s">
        <v>43710</v>
      </c>
      <c r="N2753" t="s">
        <v>47424</v>
      </c>
      <c r="O2753" t="s">
        <v>47425</v>
      </c>
      <c r="P2753">
        <v>0</v>
      </c>
      <c r="Q2753">
        <v>0</v>
      </c>
      <c r="R2753" t="s">
        <v>47428</v>
      </c>
      <c r="S2753" t="s">
        <v>47541</v>
      </c>
      <c r="T2753" t="s">
        <v>49237</v>
      </c>
      <c r="U2753" t="s">
        <v>52026</v>
      </c>
      <c r="W2753" t="s">
        <v>43710</v>
      </c>
      <c r="X2753" t="s">
        <v>47430</v>
      </c>
    </row>
    <row r="2754" spans="1:24">
      <c r="A2754">
        <f>HYPERLINK("https://www.philgeps.gov.ph/GEPSNONPILOT/Tender/SplashBidNoticeAbstractUI.aspx?menuIndex=3&amp;refID=7162239&amp;Result=3","7162239")</f>
        <v>0</v>
      </c>
      <c r="B2754" t="s">
        <v>624</v>
      </c>
      <c r="C2754" t="s">
        <v>6527</v>
      </c>
      <c r="D2754" t="s">
        <v>19064</v>
      </c>
      <c r="E2754" t="s">
        <v>21601</v>
      </c>
      <c r="F2754" t="s">
        <v>32831</v>
      </c>
      <c r="G2754" t="s">
        <v>32838</v>
      </c>
      <c r="H2754" t="s">
        <v>32848</v>
      </c>
      <c r="I2754" t="s">
        <v>7416</v>
      </c>
      <c r="J2754" t="s">
        <v>34044</v>
      </c>
      <c r="K2754" t="s">
        <v>42732</v>
      </c>
      <c r="M2754" t="s">
        <v>43640</v>
      </c>
      <c r="N2754" t="s">
        <v>47424</v>
      </c>
      <c r="O2754" t="s">
        <v>47425</v>
      </c>
      <c r="P2754">
        <v>0</v>
      </c>
      <c r="Q2754">
        <v>0</v>
      </c>
      <c r="R2754" t="s">
        <v>47428</v>
      </c>
      <c r="S2754" t="s">
        <v>47541</v>
      </c>
      <c r="T2754" t="s">
        <v>49108</v>
      </c>
      <c r="U2754" t="s">
        <v>50973</v>
      </c>
      <c r="W2754" t="s">
        <v>43640</v>
      </c>
      <c r="X2754" t="s">
        <v>47430</v>
      </c>
    </row>
    <row r="2755" spans="1:24">
      <c r="A2755">
        <f>HYPERLINK("https://www.philgeps.gov.ph/GEPSNONPILOT/Tender/SplashBidNoticeAbstractUI.aspx?menuIndex=3&amp;refID=7162273&amp;Result=3","7162273")</f>
        <v>0</v>
      </c>
      <c r="B2755" t="s">
        <v>1196</v>
      </c>
      <c r="C2755" t="s">
        <v>6528</v>
      </c>
      <c r="D2755" t="s">
        <v>19043</v>
      </c>
      <c r="E2755" t="s">
        <v>21602</v>
      </c>
      <c r="F2755" t="s">
        <v>32831</v>
      </c>
      <c r="G2755" t="s">
        <v>32838</v>
      </c>
      <c r="H2755" t="s">
        <v>32848</v>
      </c>
      <c r="I2755" t="s">
        <v>6526</v>
      </c>
      <c r="J2755" t="s">
        <v>34844</v>
      </c>
      <c r="K2755" t="s">
        <v>42732</v>
      </c>
      <c r="M2755" t="s">
        <v>44262</v>
      </c>
      <c r="N2755" t="s">
        <v>47424</v>
      </c>
      <c r="O2755" t="s">
        <v>47425</v>
      </c>
      <c r="P2755">
        <v>0</v>
      </c>
      <c r="Q2755">
        <v>0</v>
      </c>
      <c r="R2755" t="s">
        <v>47428</v>
      </c>
      <c r="S2755" t="s">
        <v>47541</v>
      </c>
      <c r="T2755" t="s">
        <v>49239</v>
      </c>
      <c r="U2755" t="s">
        <v>52027</v>
      </c>
      <c r="W2755" t="s">
        <v>44262</v>
      </c>
      <c r="X2755" t="s">
        <v>47430</v>
      </c>
    </row>
    <row r="2756" spans="1:24">
      <c r="A2756">
        <f>HYPERLINK("https://www.philgeps.gov.ph/GEPSNONPILOT/Tender/SplashBidNoticeAbstractUI.aspx?menuIndex=3&amp;refID=7162279&amp;Result=3","7162279")</f>
        <v>0</v>
      </c>
      <c r="B2756" t="s">
        <v>671</v>
      </c>
      <c r="C2756" t="s">
        <v>6529</v>
      </c>
      <c r="D2756" t="s">
        <v>19030</v>
      </c>
      <c r="E2756" t="s">
        <v>21603</v>
      </c>
      <c r="F2756" t="s">
        <v>32831</v>
      </c>
      <c r="G2756" t="s">
        <v>32838</v>
      </c>
      <c r="H2756" t="s">
        <v>32848</v>
      </c>
      <c r="I2756" t="s">
        <v>32885</v>
      </c>
      <c r="J2756" t="s">
        <v>34845</v>
      </c>
      <c r="K2756" t="s">
        <v>42727</v>
      </c>
      <c r="M2756" t="s">
        <v>44263</v>
      </c>
      <c r="N2756" t="s">
        <v>47424</v>
      </c>
      <c r="O2756" t="s">
        <v>47425</v>
      </c>
      <c r="P2756">
        <v>0</v>
      </c>
      <c r="Q2756">
        <v>2</v>
      </c>
      <c r="R2756" t="s">
        <v>47428</v>
      </c>
      <c r="S2756" t="s">
        <v>47541</v>
      </c>
      <c r="T2756" t="s">
        <v>49237</v>
      </c>
      <c r="U2756" t="s">
        <v>52028</v>
      </c>
      <c r="V2756" t="s">
        <v>62919</v>
      </c>
      <c r="W2756" t="s">
        <v>64462</v>
      </c>
      <c r="X2756" t="s">
        <v>47430</v>
      </c>
    </row>
    <row r="2757" spans="1:24">
      <c r="A2757">
        <f>HYPERLINK("https://www.philgeps.gov.ph/GEPSNONPILOT/Tender/SplashBidNoticeAbstractUI.aspx?menuIndex=3&amp;refID=7162244&amp;Result=3","7162244")</f>
        <v>0</v>
      </c>
      <c r="B2757" t="s">
        <v>750</v>
      </c>
      <c r="C2757" t="s">
        <v>6530</v>
      </c>
      <c r="D2757" t="s">
        <v>19062</v>
      </c>
      <c r="E2757" t="s">
        <v>21604</v>
      </c>
      <c r="F2757" t="s">
        <v>32831</v>
      </c>
      <c r="G2757" t="s">
        <v>32838</v>
      </c>
      <c r="H2757" t="s">
        <v>32848</v>
      </c>
      <c r="I2757" t="s">
        <v>5379</v>
      </c>
      <c r="J2757" t="s">
        <v>34846</v>
      </c>
      <c r="K2757" t="s">
        <v>42732</v>
      </c>
      <c r="M2757" t="s">
        <v>43773</v>
      </c>
      <c r="N2757" t="s">
        <v>47424</v>
      </c>
      <c r="O2757" t="s">
        <v>47425</v>
      </c>
      <c r="P2757">
        <v>0</v>
      </c>
      <c r="Q2757">
        <v>0</v>
      </c>
      <c r="R2757" t="s">
        <v>47428</v>
      </c>
      <c r="S2757" t="s">
        <v>47541</v>
      </c>
      <c r="T2757" t="s">
        <v>49145</v>
      </c>
      <c r="U2757" t="s">
        <v>52029</v>
      </c>
      <c r="W2757" t="s">
        <v>43773</v>
      </c>
      <c r="X2757" t="s">
        <v>47430</v>
      </c>
    </row>
    <row r="2758" spans="1:24">
      <c r="A2758">
        <f>HYPERLINK("https://www.philgeps.gov.ph/GEPSNONPILOT/Tender/SplashBidNoticeAbstractUI.aspx?menuIndex=3&amp;refID=7162510&amp;Result=3","7162510")</f>
        <v>0</v>
      </c>
      <c r="B2758" t="s">
        <v>748</v>
      </c>
      <c r="C2758" t="s">
        <v>6531</v>
      </c>
      <c r="D2758" t="s">
        <v>19081</v>
      </c>
      <c r="E2758" t="s">
        <v>21197</v>
      </c>
      <c r="F2758" t="s">
        <v>32831</v>
      </c>
      <c r="G2758" t="s">
        <v>32839</v>
      </c>
      <c r="H2758" t="s">
        <v>32849</v>
      </c>
      <c r="I2758" t="s">
        <v>4177</v>
      </c>
      <c r="J2758" t="s">
        <v>32978</v>
      </c>
      <c r="K2758" t="s">
        <v>42747</v>
      </c>
      <c r="M2758" t="s">
        <v>43771</v>
      </c>
      <c r="N2758" t="s">
        <v>47424</v>
      </c>
      <c r="O2758" t="s">
        <v>47425</v>
      </c>
      <c r="P2758">
        <v>0</v>
      </c>
      <c r="Q2758">
        <v>0</v>
      </c>
      <c r="R2758" t="s">
        <v>47428</v>
      </c>
      <c r="S2758" t="s">
        <v>47541</v>
      </c>
      <c r="T2758" t="s">
        <v>49324</v>
      </c>
      <c r="U2758" t="s">
        <v>51047</v>
      </c>
      <c r="W2758" t="s">
        <v>43771</v>
      </c>
      <c r="X2758" t="s">
        <v>47430</v>
      </c>
    </row>
    <row r="2759" spans="1:24">
      <c r="A2759">
        <f>HYPERLINK("https://www.philgeps.gov.ph/GEPSNONPILOT/Tender/SplashBidNoticeAbstractUI.aspx?menuIndex=3&amp;refID=7162509&amp;Result=3","7162509")</f>
        <v>0</v>
      </c>
      <c r="B2759" t="s">
        <v>1197</v>
      </c>
      <c r="C2759" t="s">
        <v>6532</v>
      </c>
      <c r="D2759" t="s">
        <v>19054</v>
      </c>
      <c r="E2759" t="s">
        <v>21605</v>
      </c>
      <c r="F2759" t="s">
        <v>32831</v>
      </c>
      <c r="G2759" t="s">
        <v>32838</v>
      </c>
      <c r="H2759" t="s">
        <v>32848</v>
      </c>
      <c r="I2759" t="s">
        <v>14069</v>
      </c>
      <c r="J2759" t="s">
        <v>34847</v>
      </c>
      <c r="K2759" t="s">
        <v>42732</v>
      </c>
      <c r="M2759" t="s">
        <v>44264</v>
      </c>
      <c r="N2759" t="s">
        <v>47424</v>
      </c>
      <c r="O2759" t="s">
        <v>47425</v>
      </c>
      <c r="P2759">
        <v>0</v>
      </c>
      <c r="Q2759">
        <v>0</v>
      </c>
      <c r="R2759" t="s">
        <v>47428</v>
      </c>
      <c r="S2759" t="s">
        <v>47541</v>
      </c>
      <c r="T2759" t="s">
        <v>49145</v>
      </c>
      <c r="U2759" t="s">
        <v>52030</v>
      </c>
      <c r="W2759" t="s">
        <v>44264</v>
      </c>
      <c r="X2759" t="s">
        <v>47430</v>
      </c>
    </row>
    <row r="2760" spans="1:24">
      <c r="A2760">
        <f>HYPERLINK("https://www.philgeps.gov.ph/GEPSNONPILOT/Tender/SplashBidNoticeAbstractUI.aspx?menuIndex=3&amp;refID=7162502&amp;Result=3","7162502")</f>
        <v>0</v>
      </c>
      <c r="B2760" t="s">
        <v>676</v>
      </c>
      <c r="C2760" t="s">
        <v>6533</v>
      </c>
      <c r="D2760" t="s">
        <v>19020</v>
      </c>
      <c r="E2760" t="s">
        <v>21606</v>
      </c>
      <c r="F2760" t="s">
        <v>32831</v>
      </c>
      <c r="G2760" t="s">
        <v>32838</v>
      </c>
      <c r="H2760" t="s">
        <v>32848</v>
      </c>
      <c r="I2760" t="s">
        <v>32860</v>
      </c>
      <c r="J2760" t="s">
        <v>34848</v>
      </c>
      <c r="K2760" t="s">
        <v>42759</v>
      </c>
      <c r="M2760" t="s">
        <v>43695</v>
      </c>
      <c r="N2760" t="s">
        <v>47424</v>
      </c>
      <c r="O2760" t="s">
        <v>47425</v>
      </c>
      <c r="P2760">
        <v>0</v>
      </c>
      <c r="Q2760">
        <v>1</v>
      </c>
      <c r="R2760" t="s">
        <v>47428</v>
      </c>
      <c r="S2760" t="s">
        <v>47541</v>
      </c>
      <c r="T2760" t="s">
        <v>49163</v>
      </c>
      <c r="U2760" t="s">
        <v>52031</v>
      </c>
      <c r="W2760" t="s">
        <v>43695</v>
      </c>
      <c r="X2760" t="s">
        <v>47430</v>
      </c>
    </row>
    <row r="2761" spans="1:24">
      <c r="A2761">
        <f>HYPERLINK("https://www.philgeps.gov.ph/GEPSNONPILOT/Tender/SplashBidNoticeAbstractUI.aspx?menuIndex=3&amp;refID=7162233&amp;Result=3","7162233")</f>
        <v>0</v>
      </c>
      <c r="B2761" t="s">
        <v>1153</v>
      </c>
      <c r="C2761" t="s">
        <v>6534</v>
      </c>
      <c r="D2761" t="s">
        <v>19045</v>
      </c>
      <c r="E2761" t="s">
        <v>21607</v>
      </c>
      <c r="F2761" t="s">
        <v>32831</v>
      </c>
      <c r="G2761" t="s">
        <v>32839</v>
      </c>
      <c r="H2761" t="s">
        <v>32848</v>
      </c>
      <c r="I2761" t="s">
        <v>4487</v>
      </c>
      <c r="J2761" t="s">
        <v>32985</v>
      </c>
      <c r="K2761" t="s">
        <v>42732</v>
      </c>
      <c r="M2761" t="s">
        <v>44217</v>
      </c>
      <c r="N2761" t="s">
        <v>47424</v>
      </c>
      <c r="O2761" t="s">
        <v>47425</v>
      </c>
      <c r="P2761">
        <v>0</v>
      </c>
      <c r="Q2761">
        <v>1</v>
      </c>
      <c r="R2761" t="s">
        <v>47428</v>
      </c>
      <c r="S2761" t="s">
        <v>47541</v>
      </c>
      <c r="T2761" t="s">
        <v>49105</v>
      </c>
      <c r="U2761" t="s">
        <v>52032</v>
      </c>
      <c r="W2761" t="s">
        <v>44217</v>
      </c>
      <c r="X2761" t="s">
        <v>47430</v>
      </c>
    </row>
    <row r="2762" spans="1:24">
      <c r="A2762">
        <f>HYPERLINK("https://www.philgeps.gov.ph/GEPSNONPILOT/Tender/SplashBidNoticeAbstractUI.aspx?menuIndex=3&amp;refID=7162478&amp;Result=3","7162478")</f>
        <v>0</v>
      </c>
      <c r="B2762" t="s">
        <v>1198</v>
      </c>
      <c r="C2762" t="s">
        <v>6535</v>
      </c>
      <c r="D2762" t="s">
        <v>19019</v>
      </c>
      <c r="E2762" t="s">
        <v>21608</v>
      </c>
      <c r="F2762" t="s">
        <v>32831</v>
      </c>
      <c r="G2762" t="s">
        <v>32838</v>
      </c>
      <c r="H2762" t="s">
        <v>32848</v>
      </c>
      <c r="I2762" t="s">
        <v>32858</v>
      </c>
      <c r="J2762" t="s">
        <v>33476</v>
      </c>
      <c r="K2762" t="s">
        <v>42759</v>
      </c>
      <c r="M2762" t="s">
        <v>44265</v>
      </c>
      <c r="N2762" t="s">
        <v>47424</v>
      </c>
      <c r="O2762" t="s">
        <v>47425</v>
      </c>
      <c r="P2762">
        <v>0</v>
      </c>
      <c r="Q2762">
        <v>4</v>
      </c>
      <c r="R2762" t="s">
        <v>47428</v>
      </c>
      <c r="S2762" t="s">
        <v>47541</v>
      </c>
      <c r="T2762" t="s">
        <v>49096</v>
      </c>
      <c r="U2762" t="s">
        <v>52033</v>
      </c>
      <c r="W2762" t="s">
        <v>44265</v>
      </c>
      <c r="X2762" t="s">
        <v>47430</v>
      </c>
    </row>
    <row r="2763" spans="1:24">
      <c r="A2763">
        <f>HYPERLINK("https://www.philgeps.gov.ph/GEPSNONPILOT/Tender/SplashBidNoticeAbstractUI.aspx?menuIndex=3&amp;refID=7162476&amp;Result=3","7162476")</f>
        <v>0</v>
      </c>
      <c r="B2763" t="s">
        <v>1162</v>
      </c>
      <c r="C2763" t="s">
        <v>6536</v>
      </c>
      <c r="D2763" t="s">
        <v>19050</v>
      </c>
      <c r="E2763" t="s">
        <v>6536</v>
      </c>
      <c r="F2763" t="s">
        <v>32831</v>
      </c>
      <c r="G2763" t="s">
        <v>32841</v>
      </c>
      <c r="H2763" t="s">
        <v>32848</v>
      </c>
      <c r="I2763" t="s">
        <v>32870</v>
      </c>
      <c r="J2763" t="s">
        <v>34849</v>
      </c>
      <c r="K2763" t="s">
        <v>42759</v>
      </c>
      <c r="M2763" t="s">
        <v>44227</v>
      </c>
      <c r="N2763" t="s">
        <v>47424</v>
      </c>
      <c r="O2763" t="s">
        <v>47425</v>
      </c>
      <c r="P2763">
        <v>0</v>
      </c>
      <c r="Q2763">
        <v>0</v>
      </c>
      <c r="R2763" t="s">
        <v>47428</v>
      </c>
      <c r="S2763" t="s">
        <v>47541</v>
      </c>
      <c r="T2763" t="s">
        <v>49229</v>
      </c>
      <c r="U2763" t="s">
        <v>52034</v>
      </c>
      <c r="W2763" t="s">
        <v>44227</v>
      </c>
      <c r="X2763" t="s">
        <v>47430</v>
      </c>
    </row>
    <row r="2764" spans="1:24">
      <c r="A2764">
        <f>HYPERLINK("https://www.philgeps.gov.ph/GEPSNONPILOT/Tender/SplashBidNoticeAbstractUI.aspx?menuIndex=3&amp;refID=7162498&amp;Result=3","7162498")</f>
        <v>0</v>
      </c>
      <c r="B2764" t="s">
        <v>1199</v>
      </c>
      <c r="C2764" t="s">
        <v>6537</v>
      </c>
      <c r="D2764" t="s">
        <v>19048</v>
      </c>
      <c r="E2764" t="s">
        <v>21609</v>
      </c>
      <c r="F2764" t="s">
        <v>32831</v>
      </c>
      <c r="G2764" t="s">
        <v>32838</v>
      </c>
      <c r="H2764" t="s">
        <v>32848</v>
      </c>
      <c r="I2764" t="s">
        <v>10805</v>
      </c>
      <c r="J2764" t="s">
        <v>33041</v>
      </c>
      <c r="K2764" t="s">
        <v>42748</v>
      </c>
      <c r="M2764" t="s">
        <v>44266</v>
      </c>
      <c r="N2764" t="s">
        <v>47424</v>
      </c>
      <c r="O2764" t="s">
        <v>47425</v>
      </c>
      <c r="P2764">
        <v>0</v>
      </c>
      <c r="Q2764">
        <v>0</v>
      </c>
      <c r="R2764" t="s">
        <v>47428</v>
      </c>
      <c r="S2764" t="s">
        <v>47541</v>
      </c>
      <c r="T2764" t="s">
        <v>49141</v>
      </c>
      <c r="U2764" t="s">
        <v>52035</v>
      </c>
      <c r="W2764" t="s">
        <v>44266</v>
      </c>
      <c r="X2764" t="s">
        <v>47430</v>
      </c>
    </row>
    <row r="2765" spans="1:24">
      <c r="A2765">
        <f>HYPERLINK("https://www.philgeps.gov.ph/GEPSNONPILOT/Tender/SplashBidNoticeAbstractUI.aspx?menuIndex=3&amp;refID=7162507&amp;Result=3","7162507")</f>
        <v>0</v>
      </c>
      <c r="B2765" t="s">
        <v>1184</v>
      </c>
      <c r="C2765" t="s">
        <v>6538</v>
      </c>
      <c r="D2765" t="s">
        <v>19078</v>
      </c>
      <c r="E2765" t="s">
        <v>21610</v>
      </c>
      <c r="F2765" t="s">
        <v>32831</v>
      </c>
      <c r="G2765" t="s">
        <v>32839</v>
      </c>
      <c r="H2765" t="s">
        <v>32849</v>
      </c>
      <c r="I2765" t="s">
        <v>4177</v>
      </c>
      <c r="J2765" t="s">
        <v>34850</v>
      </c>
      <c r="K2765" t="s">
        <v>42826</v>
      </c>
      <c r="M2765" t="s">
        <v>44250</v>
      </c>
      <c r="N2765" t="s">
        <v>47424</v>
      </c>
      <c r="O2765" t="s">
        <v>47425</v>
      </c>
      <c r="P2765">
        <v>0</v>
      </c>
      <c r="Q2765">
        <v>0</v>
      </c>
      <c r="R2765" t="s">
        <v>47428</v>
      </c>
      <c r="S2765" t="s">
        <v>47541</v>
      </c>
      <c r="T2765" t="s">
        <v>49187</v>
      </c>
      <c r="U2765" t="s">
        <v>52036</v>
      </c>
      <c r="W2765" t="s">
        <v>44250</v>
      </c>
      <c r="X2765" t="s">
        <v>47430</v>
      </c>
    </row>
    <row r="2766" spans="1:24">
      <c r="A2766">
        <f>HYPERLINK("https://www.philgeps.gov.ph/GEPSNONPILOT/Tender/SplashBidNoticeAbstractUI.aspx?menuIndex=3&amp;refID=7162439&amp;Result=3","7162439")</f>
        <v>0</v>
      </c>
      <c r="B2766" t="s">
        <v>661</v>
      </c>
      <c r="C2766" t="s">
        <v>6539</v>
      </c>
      <c r="D2766" t="s">
        <v>19058</v>
      </c>
      <c r="E2766" t="s">
        <v>21611</v>
      </c>
      <c r="F2766" t="s">
        <v>32831</v>
      </c>
      <c r="G2766" t="s">
        <v>32838</v>
      </c>
      <c r="H2766" t="s">
        <v>32848</v>
      </c>
      <c r="I2766" t="s">
        <v>32870</v>
      </c>
      <c r="J2766" t="s">
        <v>33026</v>
      </c>
      <c r="K2766" t="s">
        <v>42726</v>
      </c>
      <c r="M2766" t="s">
        <v>43679</v>
      </c>
      <c r="N2766" t="s">
        <v>47424</v>
      </c>
      <c r="O2766" t="s">
        <v>47425</v>
      </c>
      <c r="P2766">
        <v>0</v>
      </c>
      <c r="Q2766">
        <v>0</v>
      </c>
      <c r="R2766" t="s">
        <v>47428</v>
      </c>
      <c r="S2766" t="s">
        <v>47541</v>
      </c>
      <c r="T2766" t="s">
        <v>49237</v>
      </c>
      <c r="U2766" t="s">
        <v>52037</v>
      </c>
      <c r="W2766" t="s">
        <v>43679</v>
      </c>
      <c r="X2766" t="s">
        <v>47430</v>
      </c>
    </row>
    <row r="2767" spans="1:24">
      <c r="A2767">
        <f>HYPERLINK("https://www.philgeps.gov.ph/GEPSNONPILOT/Tender/SplashBidNoticeAbstractUI.aspx?menuIndex=3&amp;refID=7162499&amp;Result=3","7162499")</f>
        <v>0</v>
      </c>
      <c r="B2767" t="s">
        <v>1191</v>
      </c>
      <c r="C2767" t="s">
        <v>6540</v>
      </c>
      <c r="D2767" t="s">
        <v>19033</v>
      </c>
      <c r="E2767" t="s">
        <v>21612</v>
      </c>
      <c r="F2767" t="s">
        <v>32831</v>
      </c>
      <c r="G2767" t="s">
        <v>32839</v>
      </c>
      <c r="H2767" t="s">
        <v>32848</v>
      </c>
      <c r="I2767" t="s">
        <v>7416</v>
      </c>
      <c r="J2767" t="s">
        <v>34600</v>
      </c>
      <c r="K2767" t="s">
        <v>42726</v>
      </c>
      <c r="M2767" t="s">
        <v>44257</v>
      </c>
      <c r="N2767" t="s">
        <v>47424</v>
      </c>
      <c r="O2767" t="s">
        <v>47425</v>
      </c>
      <c r="P2767">
        <v>0</v>
      </c>
      <c r="Q2767">
        <v>2</v>
      </c>
      <c r="R2767" t="s">
        <v>47428</v>
      </c>
      <c r="S2767" t="s">
        <v>47541</v>
      </c>
      <c r="T2767" t="s">
        <v>49323</v>
      </c>
      <c r="U2767" t="s">
        <v>52017</v>
      </c>
      <c r="W2767" t="s">
        <v>44257</v>
      </c>
      <c r="X2767" t="s">
        <v>47430</v>
      </c>
    </row>
    <row r="2768" spans="1:24">
      <c r="A2768">
        <f>HYPERLINK("https://www.philgeps.gov.ph/GEPSNONPILOT/Tender/SplashBidNoticeAbstractUI.aspx?menuIndex=3&amp;refID=7162514&amp;Result=3","7162514")</f>
        <v>0</v>
      </c>
      <c r="B2768" t="s">
        <v>935</v>
      </c>
      <c r="C2768" t="s">
        <v>6541</v>
      </c>
      <c r="D2768" t="s">
        <v>19044</v>
      </c>
      <c r="E2768" t="s">
        <v>21613</v>
      </c>
      <c r="F2768" t="s">
        <v>32831</v>
      </c>
      <c r="G2768" t="s">
        <v>32838</v>
      </c>
      <c r="H2768" t="s">
        <v>32848</v>
      </c>
      <c r="I2768" t="s">
        <v>32883</v>
      </c>
      <c r="J2768" t="s">
        <v>34851</v>
      </c>
      <c r="K2768" t="s">
        <v>42731</v>
      </c>
      <c r="M2768" t="s">
        <v>43977</v>
      </c>
      <c r="N2768" t="s">
        <v>47424</v>
      </c>
      <c r="O2768" t="s">
        <v>47425</v>
      </c>
      <c r="P2768">
        <v>0</v>
      </c>
      <c r="Q2768">
        <v>0</v>
      </c>
      <c r="R2768" t="s">
        <v>47428</v>
      </c>
      <c r="S2768" t="s">
        <v>47541</v>
      </c>
      <c r="T2768" t="s">
        <v>49214</v>
      </c>
      <c r="U2768" t="s">
        <v>52038</v>
      </c>
      <c r="W2768" t="s">
        <v>43977</v>
      </c>
      <c r="X2768" t="s">
        <v>47430</v>
      </c>
    </row>
    <row r="2769" spans="1:24">
      <c r="A2769">
        <f>HYPERLINK("https://www.philgeps.gov.ph/GEPSNONPILOT/Tender/SplashBidNoticeAbstractUI.aspx?menuIndex=3&amp;refID=7162511&amp;Result=3","7162511")</f>
        <v>0</v>
      </c>
      <c r="B2769" t="s">
        <v>1200</v>
      </c>
      <c r="C2769" t="s">
        <v>6542</v>
      </c>
      <c r="D2769" t="s">
        <v>19077</v>
      </c>
      <c r="E2769" t="s">
        <v>21614</v>
      </c>
      <c r="F2769" t="s">
        <v>32831</v>
      </c>
      <c r="G2769" t="s">
        <v>32838</v>
      </c>
      <c r="H2769" t="s">
        <v>32848</v>
      </c>
      <c r="I2769" t="s">
        <v>32870</v>
      </c>
      <c r="J2769" t="s">
        <v>34852</v>
      </c>
      <c r="K2769" t="s">
        <v>42730</v>
      </c>
      <c r="M2769" t="s">
        <v>44267</v>
      </c>
      <c r="N2769" t="s">
        <v>47424</v>
      </c>
      <c r="O2769" t="s">
        <v>47425</v>
      </c>
      <c r="P2769">
        <v>0</v>
      </c>
      <c r="Q2769">
        <v>0</v>
      </c>
      <c r="R2769" t="s">
        <v>47428</v>
      </c>
      <c r="S2769" t="s">
        <v>47541</v>
      </c>
      <c r="T2769" t="s">
        <v>49145</v>
      </c>
      <c r="U2769" t="s">
        <v>52039</v>
      </c>
      <c r="V2769" t="s">
        <v>62920</v>
      </c>
      <c r="W2769" t="s">
        <v>44267</v>
      </c>
      <c r="X2769" t="s">
        <v>47430</v>
      </c>
    </row>
    <row r="2770" spans="1:24">
      <c r="A2770">
        <f>HYPERLINK("https://www.philgeps.gov.ph/GEPSNONPILOT/Tender/SplashBidNoticeAbstractUI.aspx?menuIndex=3&amp;refID=7162497&amp;Result=3","7162497")</f>
        <v>0</v>
      </c>
      <c r="B2770" t="s">
        <v>1201</v>
      </c>
      <c r="C2770" t="s">
        <v>6543</v>
      </c>
      <c r="D2770" t="s">
        <v>19088</v>
      </c>
      <c r="E2770" t="s">
        <v>21615</v>
      </c>
      <c r="F2770" t="s">
        <v>32831</v>
      </c>
      <c r="G2770" t="s">
        <v>32845</v>
      </c>
      <c r="H2770" t="s">
        <v>32849</v>
      </c>
      <c r="I2770" t="s">
        <v>4177</v>
      </c>
      <c r="J2770" t="s">
        <v>34853</v>
      </c>
      <c r="K2770" t="s">
        <v>42757</v>
      </c>
      <c r="M2770" t="s">
        <v>44268</v>
      </c>
      <c r="N2770" t="s">
        <v>47424</v>
      </c>
      <c r="O2770" t="s">
        <v>47425</v>
      </c>
      <c r="P2770">
        <v>0</v>
      </c>
      <c r="Q2770">
        <v>5</v>
      </c>
      <c r="R2770" t="s">
        <v>47428</v>
      </c>
      <c r="S2770" t="s">
        <v>47541</v>
      </c>
      <c r="T2770" t="s">
        <v>49188</v>
      </c>
      <c r="U2770" t="s">
        <v>52040</v>
      </c>
      <c r="V2770" t="s">
        <v>62921</v>
      </c>
      <c r="W2770" t="s">
        <v>44268</v>
      </c>
      <c r="X2770" t="s">
        <v>47430</v>
      </c>
    </row>
    <row r="2771" spans="1:24">
      <c r="A2771">
        <f>HYPERLINK("https://www.philgeps.gov.ph/GEPSNONPILOT/Tender/SplashBidNoticeAbstractUI.aspx?menuIndex=3&amp;refID=7162517&amp;Result=3","7162517")</f>
        <v>0</v>
      </c>
      <c r="B2771" t="s">
        <v>684</v>
      </c>
      <c r="C2771" t="s">
        <v>6544</v>
      </c>
      <c r="D2771" t="s">
        <v>19061</v>
      </c>
      <c r="E2771" t="s">
        <v>21616</v>
      </c>
      <c r="F2771" t="s">
        <v>32831</v>
      </c>
      <c r="G2771" t="s">
        <v>32839</v>
      </c>
      <c r="H2771" t="s">
        <v>32848</v>
      </c>
      <c r="I2771" t="s">
        <v>4776</v>
      </c>
      <c r="J2771" t="s">
        <v>33175</v>
      </c>
      <c r="K2771" t="s">
        <v>42726</v>
      </c>
      <c r="M2771" t="s">
        <v>43703</v>
      </c>
      <c r="N2771" t="s">
        <v>47424</v>
      </c>
      <c r="O2771" t="s">
        <v>47425</v>
      </c>
      <c r="P2771">
        <v>0</v>
      </c>
      <c r="Q2771">
        <v>0</v>
      </c>
      <c r="R2771" t="s">
        <v>47428</v>
      </c>
      <c r="S2771" t="s">
        <v>47541</v>
      </c>
      <c r="T2771" t="s">
        <v>49073</v>
      </c>
      <c r="U2771" t="s">
        <v>52041</v>
      </c>
      <c r="W2771" t="s">
        <v>43703</v>
      </c>
      <c r="X2771" t="s">
        <v>47430</v>
      </c>
    </row>
    <row r="2772" spans="1:24">
      <c r="A2772">
        <f>HYPERLINK("https://www.philgeps.gov.ph/GEPSNONPILOT/Tender/SplashBidNoticeAbstractUI.aspx?menuIndex=3&amp;refID=7162515&amp;Result=3","7162515")</f>
        <v>0</v>
      </c>
      <c r="B2772" t="s">
        <v>1202</v>
      </c>
      <c r="C2772" t="s">
        <v>6545</v>
      </c>
      <c r="D2772" t="s">
        <v>19029</v>
      </c>
      <c r="E2772" t="s">
        <v>21617</v>
      </c>
      <c r="F2772" t="s">
        <v>32831</v>
      </c>
      <c r="G2772" t="s">
        <v>32838</v>
      </c>
      <c r="H2772" t="s">
        <v>32848</v>
      </c>
      <c r="I2772" t="s">
        <v>32896</v>
      </c>
      <c r="J2772" t="s">
        <v>33987</v>
      </c>
      <c r="K2772" t="s">
        <v>42745</v>
      </c>
      <c r="M2772" t="s">
        <v>44269</v>
      </c>
      <c r="N2772" t="s">
        <v>47424</v>
      </c>
      <c r="O2772" t="s">
        <v>47425</v>
      </c>
      <c r="P2772">
        <v>0</v>
      </c>
      <c r="Q2772">
        <v>1</v>
      </c>
      <c r="R2772" t="s">
        <v>47428</v>
      </c>
      <c r="S2772" t="s">
        <v>47541</v>
      </c>
      <c r="T2772" t="s">
        <v>49111</v>
      </c>
      <c r="U2772" t="s">
        <v>52042</v>
      </c>
      <c r="V2772" t="s">
        <v>62922</v>
      </c>
      <c r="W2772" t="s">
        <v>44269</v>
      </c>
      <c r="X2772" t="s">
        <v>47430</v>
      </c>
    </row>
    <row r="2773" spans="1:24">
      <c r="A2773">
        <f>HYPERLINK("https://www.philgeps.gov.ph/GEPSNONPILOT/Tender/SplashBidNoticeAbstractUI.aspx?menuIndex=3&amp;refID=7162513&amp;Result=3","7162513")</f>
        <v>0</v>
      </c>
      <c r="B2773" t="s">
        <v>1203</v>
      </c>
      <c r="C2773" t="s">
        <v>6546</v>
      </c>
      <c r="D2773" t="s">
        <v>19029</v>
      </c>
      <c r="E2773" t="s">
        <v>6546</v>
      </c>
      <c r="F2773" t="s">
        <v>32831</v>
      </c>
      <c r="G2773" t="s">
        <v>32838</v>
      </c>
      <c r="H2773" t="s">
        <v>32849</v>
      </c>
      <c r="I2773" t="s">
        <v>4177</v>
      </c>
      <c r="J2773" t="s">
        <v>34854</v>
      </c>
      <c r="K2773" t="s">
        <v>42729</v>
      </c>
      <c r="L2773" t="s">
        <v>1203</v>
      </c>
      <c r="M2773" t="s">
        <v>44270</v>
      </c>
      <c r="N2773" t="s">
        <v>47424</v>
      </c>
      <c r="O2773" t="s">
        <v>47425</v>
      </c>
      <c r="P2773">
        <v>0</v>
      </c>
      <c r="Q2773">
        <v>0</v>
      </c>
      <c r="R2773" t="s">
        <v>47428</v>
      </c>
      <c r="S2773" t="s">
        <v>47541</v>
      </c>
      <c r="T2773" t="s">
        <v>49124</v>
      </c>
      <c r="U2773" t="s">
        <v>52043</v>
      </c>
      <c r="W2773" t="s">
        <v>44270</v>
      </c>
      <c r="X2773" t="s">
        <v>47430</v>
      </c>
    </row>
    <row r="2774" spans="1:24">
      <c r="A2774">
        <f>HYPERLINK("https://www.philgeps.gov.ph/GEPSNONPILOT/Tender/SplashBidNoticeAbstractUI.aspx?menuIndex=3&amp;refID=7162495&amp;Result=3","7162495")</f>
        <v>0</v>
      </c>
      <c r="B2774" t="s">
        <v>661</v>
      </c>
      <c r="C2774" t="s">
        <v>6547</v>
      </c>
      <c r="D2774" t="s">
        <v>19058</v>
      </c>
      <c r="E2774" t="s">
        <v>21618</v>
      </c>
      <c r="F2774" t="s">
        <v>32831</v>
      </c>
      <c r="G2774" t="s">
        <v>32839</v>
      </c>
      <c r="H2774" t="s">
        <v>32848</v>
      </c>
      <c r="I2774" t="s">
        <v>32890</v>
      </c>
      <c r="J2774" t="s">
        <v>34855</v>
      </c>
      <c r="K2774" t="s">
        <v>42731</v>
      </c>
      <c r="M2774" t="s">
        <v>43679</v>
      </c>
      <c r="N2774" t="s">
        <v>47424</v>
      </c>
      <c r="O2774" t="s">
        <v>47425</v>
      </c>
      <c r="P2774">
        <v>0</v>
      </c>
      <c r="Q2774">
        <v>0</v>
      </c>
      <c r="R2774" t="s">
        <v>47428</v>
      </c>
      <c r="S2774" t="s">
        <v>47541</v>
      </c>
      <c r="T2774" t="s">
        <v>49080</v>
      </c>
      <c r="U2774" t="s">
        <v>52044</v>
      </c>
      <c r="W2774" t="s">
        <v>43679</v>
      </c>
      <c r="X2774" t="s">
        <v>47430</v>
      </c>
    </row>
    <row r="2775" spans="1:24">
      <c r="A2775">
        <f>HYPERLINK("https://www.philgeps.gov.ph/GEPSNONPILOT/Tender/SplashBidNoticeAbstractUI.aspx?menuIndex=3&amp;refID=7162494&amp;Result=3","7162494")</f>
        <v>0</v>
      </c>
      <c r="B2775" t="s">
        <v>609</v>
      </c>
      <c r="C2775" t="s">
        <v>6548</v>
      </c>
      <c r="D2775" t="s">
        <v>19017</v>
      </c>
      <c r="E2775" t="s">
        <v>21619</v>
      </c>
      <c r="F2775" t="s">
        <v>32831</v>
      </c>
      <c r="G2775" t="s">
        <v>32840</v>
      </c>
      <c r="H2775" t="s">
        <v>32848</v>
      </c>
      <c r="I2775" t="s">
        <v>10805</v>
      </c>
      <c r="J2775" t="s">
        <v>33821</v>
      </c>
      <c r="K2775" t="s">
        <v>42732</v>
      </c>
      <c r="M2775" t="s">
        <v>43623</v>
      </c>
      <c r="N2775" t="s">
        <v>47424</v>
      </c>
      <c r="O2775" t="s">
        <v>47425</v>
      </c>
      <c r="P2775">
        <v>0</v>
      </c>
      <c r="Q2775">
        <v>3</v>
      </c>
      <c r="R2775" t="s">
        <v>47428</v>
      </c>
      <c r="S2775" t="s">
        <v>47541</v>
      </c>
      <c r="T2775" t="s">
        <v>49107</v>
      </c>
      <c r="U2775" t="s">
        <v>52045</v>
      </c>
      <c r="W2775" t="s">
        <v>43623</v>
      </c>
      <c r="X2775" t="s">
        <v>47430</v>
      </c>
    </row>
    <row r="2776" spans="1:24">
      <c r="A2776">
        <f>HYPERLINK("https://www.philgeps.gov.ph/GEPSNONPILOT/Tender/SplashBidNoticeAbstractUI.aspx?menuIndex=3&amp;refID=7162522&amp;Result=3","7162522")</f>
        <v>0</v>
      </c>
      <c r="B2776" t="s">
        <v>661</v>
      </c>
      <c r="C2776" t="s">
        <v>6549</v>
      </c>
      <c r="D2776" t="s">
        <v>19058</v>
      </c>
      <c r="E2776" t="s">
        <v>21620</v>
      </c>
      <c r="F2776" t="s">
        <v>32831</v>
      </c>
      <c r="G2776" t="s">
        <v>32839</v>
      </c>
      <c r="H2776" t="s">
        <v>32848</v>
      </c>
      <c r="I2776" t="s">
        <v>9577</v>
      </c>
      <c r="J2776" t="s">
        <v>34856</v>
      </c>
      <c r="K2776" t="s">
        <v>42731</v>
      </c>
      <c r="M2776" t="s">
        <v>43679</v>
      </c>
      <c r="N2776" t="s">
        <v>47424</v>
      </c>
      <c r="O2776" t="s">
        <v>47425</v>
      </c>
      <c r="P2776">
        <v>0</v>
      </c>
      <c r="Q2776">
        <v>0</v>
      </c>
      <c r="R2776" t="s">
        <v>47428</v>
      </c>
      <c r="S2776" t="s">
        <v>47541</v>
      </c>
      <c r="T2776" t="s">
        <v>49080</v>
      </c>
      <c r="U2776" t="s">
        <v>52046</v>
      </c>
      <c r="W2776" t="s">
        <v>43679</v>
      </c>
      <c r="X2776" t="s">
        <v>47430</v>
      </c>
    </row>
    <row r="2777" spans="1:24">
      <c r="A2777">
        <f>HYPERLINK("https://www.philgeps.gov.ph/GEPSNONPILOT/Tender/SplashBidNoticeAbstractUI.aspx?menuIndex=3&amp;refID=7162238&amp;Result=3","7162238")</f>
        <v>0</v>
      </c>
      <c r="B2777" t="s">
        <v>1138</v>
      </c>
      <c r="C2777" t="s">
        <v>6550</v>
      </c>
      <c r="D2777" t="s">
        <v>19060</v>
      </c>
      <c r="E2777" t="s">
        <v>20065</v>
      </c>
      <c r="F2777" t="s">
        <v>32831</v>
      </c>
      <c r="G2777" t="s">
        <v>32840</v>
      </c>
      <c r="H2777" t="s">
        <v>32848</v>
      </c>
      <c r="I2777" t="s">
        <v>32870</v>
      </c>
      <c r="J2777" t="s">
        <v>33090</v>
      </c>
      <c r="K2777" t="s">
        <v>42727</v>
      </c>
      <c r="M2777" t="s">
        <v>44201</v>
      </c>
      <c r="N2777" t="s">
        <v>47424</v>
      </c>
      <c r="O2777" t="s">
        <v>47425</v>
      </c>
      <c r="P2777">
        <v>0</v>
      </c>
      <c r="Q2777">
        <v>1</v>
      </c>
      <c r="R2777" t="s">
        <v>47428</v>
      </c>
      <c r="S2777" t="s">
        <v>47541</v>
      </c>
      <c r="T2777" t="s">
        <v>49318</v>
      </c>
      <c r="U2777" t="s">
        <v>52047</v>
      </c>
      <c r="W2777" t="s">
        <v>44201</v>
      </c>
      <c r="X2777" t="s">
        <v>47430</v>
      </c>
    </row>
    <row r="2778" spans="1:24">
      <c r="A2778">
        <f>HYPERLINK("https://www.philgeps.gov.ph/GEPSNONPILOT/Tender/SplashBidNoticeAbstractUI.aspx?menuIndex=3&amp;refID=7162483&amp;Result=3","7162483")</f>
        <v>0</v>
      </c>
      <c r="B2778" t="s">
        <v>1204</v>
      </c>
      <c r="C2778" t="s">
        <v>6551</v>
      </c>
      <c r="E2778" t="s">
        <v>21621</v>
      </c>
      <c r="F2778" t="s">
        <v>32831</v>
      </c>
      <c r="G2778" t="s">
        <v>32840</v>
      </c>
      <c r="H2778" t="s">
        <v>32848</v>
      </c>
      <c r="I2778" t="s">
        <v>32860</v>
      </c>
      <c r="J2778" t="s">
        <v>34857</v>
      </c>
      <c r="K2778" t="s">
        <v>42732</v>
      </c>
      <c r="M2778" t="s">
        <v>44271</v>
      </c>
      <c r="N2778" t="s">
        <v>47424</v>
      </c>
      <c r="O2778" t="s">
        <v>47425</v>
      </c>
      <c r="P2778">
        <v>0</v>
      </c>
      <c r="Q2778">
        <v>2</v>
      </c>
      <c r="R2778" t="s">
        <v>47428</v>
      </c>
      <c r="S2778" t="s">
        <v>47541</v>
      </c>
      <c r="T2778" t="s">
        <v>49125</v>
      </c>
      <c r="U2778" t="s">
        <v>52048</v>
      </c>
      <c r="W2778" t="s">
        <v>44271</v>
      </c>
      <c r="X2778" t="s">
        <v>47430</v>
      </c>
    </row>
    <row r="2779" spans="1:24">
      <c r="A2779">
        <f>HYPERLINK("https://www.philgeps.gov.ph/GEPSNONPILOT/Tender/SplashBidNoticeAbstractUI.aspx?menuIndex=3&amp;refID=7162500&amp;Result=3","7162500")</f>
        <v>0</v>
      </c>
      <c r="B2779" t="s">
        <v>1205</v>
      </c>
      <c r="C2779" t="s">
        <v>6552</v>
      </c>
      <c r="D2779" t="s">
        <v>19060</v>
      </c>
      <c r="E2779" t="s">
        <v>21622</v>
      </c>
      <c r="F2779" t="s">
        <v>32831</v>
      </c>
      <c r="G2779" t="s">
        <v>32839</v>
      </c>
      <c r="H2779" t="s">
        <v>32848</v>
      </c>
      <c r="I2779" t="s">
        <v>7416</v>
      </c>
      <c r="J2779" t="s">
        <v>34858</v>
      </c>
      <c r="K2779" t="s">
        <v>42748</v>
      </c>
      <c r="M2779" t="s">
        <v>44272</v>
      </c>
      <c r="N2779" t="s">
        <v>47424</v>
      </c>
      <c r="O2779" t="s">
        <v>47425</v>
      </c>
      <c r="P2779">
        <v>0</v>
      </c>
      <c r="Q2779">
        <v>0</v>
      </c>
      <c r="R2779" t="s">
        <v>47428</v>
      </c>
      <c r="S2779" t="s">
        <v>47541</v>
      </c>
      <c r="T2779" t="s">
        <v>49073</v>
      </c>
      <c r="U2779" t="s">
        <v>52049</v>
      </c>
      <c r="W2779" t="s">
        <v>44272</v>
      </c>
      <c r="X2779" t="s">
        <v>47430</v>
      </c>
    </row>
    <row r="2780" spans="1:24">
      <c r="A2780">
        <f>HYPERLINK("https://www.philgeps.gov.ph/GEPSNONPILOT/Tender/SplashBidNoticeAbstractUI.aspx?menuIndex=3&amp;refID=7162558&amp;Result=3","7162558")</f>
        <v>0</v>
      </c>
      <c r="B2780" t="s">
        <v>1206</v>
      </c>
      <c r="C2780" t="s">
        <v>6553</v>
      </c>
      <c r="D2780" t="s">
        <v>19082</v>
      </c>
      <c r="E2780" t="s">
        <v>21623</v>
      </c>
      <c r="F2780" t="s">
        <v>32831</v>
      </c>
      <c r="G2780" t="s">
        <v>32838</v>
      </c>
      <c r="H2780" t="s">
        <v>32848</v>
      </c>
      <c r="I2780" t="s">
        <v>32874</v>
      </c>
      <c r="J2780" t="s">
        <v>34859</v>
      </c>
      <c r="K2780" t="s">
        <v>42732</v>
      </c>
      <c r="M2780" t="s">
        <v>44273</v>
      </c>
      <c r="N2780" t="s">
        <v>47424</v>
      </c>
      <c r="O2780" t="s">
        <v>47425</v>
      </c>
      <c r="P2780">
        <v>0</v>
      </c>
      <c r="Q2780">
        <v>5</v>
      </c>
      <c r="R2780" t="s">
        <v>47428</v>
      </c>
      <c r="S2780" t="s">
        <v>47541</v>
      </c>
      <c r="T2780" t="s">
        <v>49166</v>
      </c>
      <c r="U2780" t="s">
        <v>52050</v>
      </c>
      <c r="W2780" t="s">
        <v>44273</v>
      </c>
      <c r="X2780" t="s">
        <v>47430</v>
      </c>
    </row>
    <row r="2781" spans="1:24">
      <c r="A2781">
        <f>HYPERLINK("https://www.philgeps.gov.ph/GEPSNONPILOT/Tender/SplashBidNoticeAbstractUI.aspx?menuIndex=3&amp;refID=7162554&amp;Result=3","7162554")</f>
        <v>0</v>
      </c>
      <c r="B2781" t="s">
        <v>1207</v>
      </c>
      <c r="C2781" t="s">
        <v>6554</v>
      </c>
      <c r="D2781" t="s">
        <v>19049</v>
      </c>
      <c r="E2781" t="s">
        <v>21624</v>
      </c>
      <c r="F2781" t="s">
        <v>32833</v>
      </c>
      <c r="G2781" t="s">
        <v>32839</v>
      </c>
      <c r="H2781" t="s">
        <v>32849</v>
      </c>
      <c r="I2781" t="s">
        <v>4177</v>
      </c>
      <c r="J2781" t="s">
        <v>34860</v>
      </c>
      <c r="K2781" t="s">
        <v>42780</v>
      </c>
      <c r="M2781" t="s">
        <v>44274</v>
      </c>
      <c r="N2781" t="s">
        <v>47424</v>
      </c>
      <c r="O2781" t="s">
        <v>47425</v>
      </c>
      <c r="P2781">
        <v>0</v>
      </c>
      <c r="Q2781">
        <v>7</v>
      </c>
      <c r="R2781" t="s">
        <v>47428</v>
      </c>
      <c r="S2781" t="s">
        <v>47541</v>
      </c>
      <c r="T2781" t="s">
        <v>49217</v>
      </c>
      <c r="U2781" t="s">
        <v>52051</v>
      </c>
      <c r="V2781" t="s">
        <v>62923</v>
      </c>
      <c r="W2781" t="s">
        <v>44274</v>
      </c>
      <c r="X2781" t="s">
        <v>47430</v>
      </c>
    </row>
    <row r="2782" spans="1:24">
      <c r="A2782">
        <f>HYPERLINK("https://www.philgeps.gov.ph/GEPSNONPILOT/Tender/SplashBidNoticeAbstractUI.aspx?menuIndex=3&amp;refID=7162549&amp;Result=3","7162549")</f>
        <v>0</v>
      </c>
      <c r="B2782" t="s">
        <v>563</v>
      </c>
      <c r="C2782" t="s">
        <v>6555</v>
      </c>
      <c r="D2782" t="s">
        <v>19060</v>
      </c>
      <c r="E2782" t="s">
        <v>21625</v>
      </c>
      <c r="F2782" t="s">
        <v>32831</v>
      </c>
      <c r="G2782" t="s">
        <v>32842</v>
      </c>
      <c r="H2782" t="s">
        <v>32848</v>
      </c>
      <c r="I2782" t="s">
        <v>32860</v>
      </c>
      <c r="J2782" t="s">
        <v>34861</v>
      </c>
      <c r="K2782" t="s">
        <v>42732</v>
      </c>
      <c r="M2782" t="s">
        <v>43572</v>
      </c>
      <c r="N2782" t="s">
        <v>47424</v>
      </c>
      <c r="O2782" t="s">
        <v>47425</v>
      </c>
      <c r="P2782">
        <v>0</v>
      </c>
      <c r="Q2782">
        <v>0</v>
      </c>
      <c r="R2782" t="s">
        <v>47428</v>
      </c>
      <c r="S2782" t="s">
        <v>47541</v>
      </c>
      <c r="T2782" t="s">
        <v>49212</v>
      </c>
      <c r="U2782" t="s">
        <v>52052</v>
      </c>
      <c r="W2782" t="s">
        <v>43572</v>
      </c>
      <c r="X2782" t="s">
        <v>47430</v>
      </c>
    </row>
    <row r="2783" spans="1:24">
      <c r="A2783">
        <f>HYPERLINK("https://www.philgeps.gov.ph/GEPSNONPILOT/Tender/SplashBidNoticeAbstractUI.aspx?menuIndex=3&amp;refID=7162553&amp;Result=3","7162553")</f>
        <v>0</v>
      </c>
      <c r="B2783" t="s">
        <v>1197</v>
      </c>
      <c r="C2783" t="s">
        <v>6532</v>
      </c>
      <c r="D2783" t="s">
        <v>19049</v>
      </c>
      <c r="E2783" t="s">
        <v>21626</v>
      </c>
      <c r="F2783" t="s">
        <v>32831</v>
      </c>
      <c r="G2783" t="s">
        <v>32838</v>
      </c>
      <c r="H2783" t="s">
        <v>32848</v>
      </c>
      <c r="I2783" t="s">
        <v>14069</v>
      </c>
      <c r="J2783" t="s">
        <v>34862</v>
      </c>
      <c r="K2783" t="s">
        <v>42732</v>
      </c>
      <c r="M2783" t="s">
        <v>44264</v>
      </c>
      <c r="N2783" t="s">
        <v>47424</v>
      </c>
      <c r="O2783" t="s">
        <v>47425</v>
      </c>
      <c r="P2783">
        <v>0</v>
      </c>
      <c r="Q2783">
        <v>0</v>
      </c>
      <c r="R2783" t="s">
        <v>47428</v>
      </c>
      <c r="S2783" t="s">
        <v>47541</v>
      </c>
      <c r="T2783" t="s">
        <v>49145</v>
      </c>
      <c r="U2783" t="s">
        <v>52053</v>
      </c>
      <c r="W2783" t="s">
        <v>44264</v>
      </c>
      <c r="X2783" t="s">
        <v>47430</v>
      </c>
    </row>
    <row r="2784" spans="1:24">
      <c r="A2784">
        <f>HYPERLINK("https://www.philgeps.gov.ph/GEPSNONPILOT/Tender/SplashBidNoticeAbstractUI.aspx?menuIndex=3&amp;refID=7162552&amp;Result=3","7162552")</f>
        <v>0</v>
      </c>
      <c r="B2784" t="s">
        <v>1178</v>
      </c>
      <c r="C2784" t="s">
        <v>6556</v>
      </c>
      <c r="D2784" t="s">
        <v>19049</v>
      </c>
      <c r="E2784" t="s">
        <v>21112</v>
      </c>
      <c r="F2784" t="s">
        <v>32831</v>
      </c>
      <c r="G2784" t="s">
        <v>32838</v>
      </c>
      <c r="H2784" t="s">
        <v>32848</v>
      </c>
      <c r="I2784" t="s">
        <v>4438</v>
      </c>
      <c r="J2784" t="s">
        <v>34863</v>
      </c>
      <c r="K2784" t="s">
        <v>42727</v>
      </c>
      <c r="M2784" t="s">
        <v>44244</v>
      </c>
      <c r="N2784" t="s">
        <v>47424</v>
      </c>
      <c r="O2784" t="s">
        <v>47425</v>
      </c>
      <c r="P2784">
        <v>0</v>
      </c>
      <c r="Q2784">
        <v>0</v>
      </c>
      <c r="R2784" t="s">
        <v>47428</v>
      </c>
      <c r="S2784" t="s">
        <v>47541</v>
      </c>
      <c r="T2784" t="s">
        <v>49111</v>
      </c>
      <c r="U2784" t="s">
        <v>51543</v>
      </c>
      <c r="W2784" t="s">
        <v>44244</v>
      </c>
      <c r="X2784" t="s">
        <v>47430</v>
      </c>
    </row>
    <row r="2785" spans="1:24">
      <c r="A2785">
        <f>HYPERLINK("https://www.philgeps.gov.ph/GEPSNONPILOT/Tender/SplashBidNoticeAbstractUI.aspx?menuIndex=3&amp;refID=7162547&amp;Result=3","7162547")</f>
        <v>0</v>
      </c>
      <c r="B2785" t="s">
        <v>1205</v>
      </c>
      <c r="C2785" t="s">
        <v>6557</v>
      </c>
      <c r="D2785" t="s">
        <v>19060</v>
      </c>
      <c r="E2785" t="s">
        <v>21627</v>
      </c>
      <c r="F2785" t="s">
        <v>32831</v>
      </c>
      <c r="G2785" t="s">
        <v>32839</v>
      </c>
      <c r="H2785" t="s">
        <v>32848</v>
      </c>
      <c r="I2785" t="s">
        <v>7416</v>
      </c>
      <c r="J2785" t="s">
        <v>33133</v>
      </c>
      <c r="K2785" t="s">
        <v>42748</v>
      </c>
      <c r="M2785" t="s">
        <v>44272</v>
      </c>
      <c r="N2785" t="s">
        <v>47424</v>
      </c>
      <c r="O2785" t="s">
        <v>47425</v>
      </c>
      <c r="P2785">
        <v>0</v>
      </c>
      <c r="Q2785">
        <v>0</v>
      </c>
      <c r="R2785" t="s">
        <v>47428</v>
      </c>
      <c r="S2785" t="s">
        <v>47541</v>
      </c>
      <c r="T2785" t="s">
        <v>49073</v>
      </c>
      <c r="U2785" t="s">
        <v>52054</v>
      </c>
      <c r="W2785" t="s">
        <v>44272</v>
      </c>
      <c r="X2785" t="s">
        <v>47430</v>
      </c>
    </row>
    <row r="2786" spans="1:24">
      <c r="A2786">
        <f>HYPERLINK("https://www.philgeps.gov.ph/GEPSNONPILOT/Tender/SplashBidNoticeAbstractUI.aspx?menuIndex=3&amp;refID=7162545&amp;Result=3","7162545")</f>
        <v>0</v>
      </c>
      <c r="B2786" t="s">
        <v>1208</v>
      </c>
      <c r="C2786" t="s">
        <v>6558</v>
      </c>
      <c r="D2786" t="s">
        <v>19093</v>
      </c>
      <c r="E2786" t="s">
        <v>19665</v>
      </c>
      <c r="F2786" t="s">
        <v>32831</v>
      </c>
      <c r="G2786" t="s">
        <v>32839</v>
      </c>
      <c r="H2786" t="s">
        <v>32848</v>
      </c>
      <c r="I2786" t="s">
        <v>10643</v>
      </c>
      <c r="J2786" t="s">
        <v>33087</v>
      </c>
      <c r="K2786" t="s">
        <v>42730</v>
      </c>
      <c r="M2786" t="s">
        <v>44275</v>
      </c>
      <c r="N2786" t="s">
        <v>47424</v>
      </c>
      <c r="O2786" t="s">
        <v>47425</v>
      </c>
      <c r="P2786">
        <v>0</v>
      </c>
      <c r="Q2786">
        <v>3</v>
      </c>
      <c r="R2786" t="s">
        <v>47428</v>
      </c>
      <c r="S2786" t="s">
        <v>47541</v>
      </c>
      <c r="T2786" t="s">
        <v>49267</v>
      </c>
      <c r="U2786" t="s">
        <v>52055</v>
      </c>
      <c r="W2786" t="s">
        <v>44275</v>
      </c>
      <c r="X2786" t="s">
        <v>47430</v>
      </c>
    </row>
    <row r="2787" spans="1:24">
      <c r="A2787">
        <f>HYPERLINK("https://www.philgeps.gov.ph/GEPSNONPILOT/Tender/SplashBidNoticeAbstractUI.aspx?menuIndex=3&amp;refID=7162518&amp;Result=3","7162518")</f>
        <v>0</v>
      </c>
      <c r="B2787" t="s">
        <v>563</v>
      </c>
      <c r="C2787" t="s">
        <v>6559</v>
      </c>
      <c r="D2787" t="s">
        <v>19060</v>
      </c>
      <c r="E2787" t="s">
        <v>21628</v>
      </c>
      <c r="F2787" t="s">
        <v>32831</v>
      </c>
      <c r="G2787" t="s">
        <v>32838</v>
      </c>
      <c r="H2787" t="s">
        <v>32848</v>
      </c>
      <c r="I2787" t="s">
        <v>4438</v>
      </c>
      <c r="J2787" t="s">
        <v>34864</v>
      </c>
      <c r="K2787" t="s">
        <v>42732</v>
      </c>
      <c r="M2787" t="s">
        <v>43572</v>
      </c>
      <c r="N2787" t="s">
        <v>47424</v>
      </c>
      <c r="O2787" t="s">
        <v>47425</v>
      </c>
      <c r="P2787">
        <v>0</v>
      </c>
      <c r="Q2787">
        <v>0</v>
      </c>
      <c r="R2787" t="s">
        <v>47428</v>
      </c>
      <c r="S2787" t="s">
        <v>47541</v>
      </c>
      <c r="T2787" t="s">
        <v>49212</v>
      </c>
      <c r="U2787" t="s">
        <v>52052</v>
      </c>
      <c r="W2787" t="s">
        <v>43572</v>
      </c>
      <c r="X2787" t="s">
        <v>47430</v>
      </c>
    </row>
    <row r="2788" spans="1:24">
      <c r="A2788">
        <f>HYPERLINK("https://www.philgeps.gov.ph/GEPSNONPILOT/Tender/SplashBidNoticeAbstractUI.aspx?menuIndex=3&amp;refID=7162542&amp;Result=3","7162542")</f>
        <v>0</v>
      </c>
      <c r="B2788" t="s">
        <v>684</v>
      </c>
      <c r="C2788" t="s">
        <v>6560</v>
      </c>
      <c r="D2788" t="s">
        <v>19061</v>
      </c>
      <c r="E2788" t="s">
        <v>21629</v>
      </c>
      <c r="F2788" t="s">
        <v>32831</v>
      </c>
      <c r="G2788" t="s">
        <v>32839</v>
      </c>
      <c r="H2788" t="s">
        <v>32848</v>
      </c>
      <c r="I2788" t="s">
        <v>7416</v>
      </c>
      <c r="J2788" t="s">
        <v>34865</v>
      </c>
      <c r="K2788" t="s">
        <v>42726</v>
      </c>
      <c r="M2788" t="s">
        <v>43703</v>
      </c>
      <c r="N2788" t="s">
        <v>47424</v>
      </c>
      <c r="O2788" t="s">
        <v>47425</v>
      </c>
      <c r="P2788">
        <v>0</v>
      </c>
      <c r="Q2788">
        <v>0</v>
      </c>
      <c r="R2788" t="s">
        <v>47428</v>
      </c>
      <c r="S2788" t="s">
        <v>47541</v>
      </c>
      <c r="T2788" t="s">
        <v>49148</v>
      </c>
      <c r="U2788" t="s">
        <v>52056</v>
      </c>
      <c r="W2788" t="s">
        <v>43703</v>
      </c>
      <c r="X2788" t="s">
        <v>47430</v>
      </c>
    </row>
    <row r="2789" spans="1:24">
      <c r="A2789">
        <f>HYPERLINK("https://www.philgeps.gov.ph/GEPSNONPILOT/Tender/SplashBidNoticeAbstractUI.aspx?menuIndex=3&amp;refID=7162536&amp;Result=3","7162536")</f>
        <v>0</v>
      </c>
      <c r="B2789" t="s">
        <v>910</v>
      </c>
      <c r="C2789" t="s">
        <v>6561</v>
      </c>
      <c r="D2789" t="s">
        <v>19017</v>
      </c>
      <c r="E2789" t="s">
        <v>21630</v>
      </c>
      <c r="F2789" t="s">
        <v>32831</v>
      </c>
      <c r="G2789" t="s">
        <v>32838</v>
      </c>
      <c r="H2789" t="s">
        <v>32848</v>
      </c>
      <c r="I2789" t="s">
        <v>5379</v>
      </c>
      <c r="J2789" t="s">
        <v>34866</v>
      </c>
      <c r="K2789" t="s">
        <v>42770</v>
      </c>
      <c r="M2789" t="s">
        <v>44107</v>
      </c>
      <c r="N2789" t="s">
        <v>47424</v>
      </c>
      <c r="O2789" t="s">
        <v>47425</v>
      </c>
      <c r="P2789">
        <v>0</v>
      </c>
      <c r="Q2789">
        <v>0</v>
      </c>
      <c r="R2789" t="s">
        <v>47428</v>
      </c>
      <c r="S2789" t="s">
        <v>47541</v>
      </c>
      <c r="T2789" t="s">
        <v>49111</v>
      </c>
      <c r="U2789" t="s">
        <v>52057</v>
      </c>
      <c r="V2789" t="s">
        <v>62873</v>
      </c>
      <c r="W2789" t="s">
        <v>44107</v>
      </c>
      <c r="X2789" t="s">
        <v>47430</v>
      </c>
    </row>
    <row r="2790" spans="1:24">
      <c r="A2790">
        <f>HYPERLINK("https://www.philgeps.gov.ph/GEPSNONPILOT/Tender/SplashBidNoticeAbstractUI.aspx?menuIndex=3&amp;refID=7162492&amp;Result=3","7162492")</f>
        <v>0</v>
      </c>
      <c r="B2790" t="s">
        <v>563</v>
      </c>
      <c r="C2790" t="s">
        <v>6562</v>
      </c>
      <c r="D2790" t="s">
        <v>19060</v>
      </c>
      <c r="E2790" t="s">
        <v>21631</v>
      </c>
      <c r="F2790" t="s">
        <v>32831</v>
      </c>
      <c r="G2790" t="s">
        <v>32838</v>
      </c>
      <c r="H2790" t="s">
        <v>32848</v>
      </c>
      <c r="I2790" t="s">
        <v>32862</v>
      </c>
      <c r="J2790" t="s">
        <v>34867</v>
      </c>
      <c r="K2790" t="s">
        <v>42732</v>
      </c>
      <c r="M2790" t="s">
        <v>43572</v>
      </c>
      <c r="N2790" t="s">
        <v>47424</v>
      </c>
      <c r="O2790" t="s">
        <v>47425</v>
      </c>
      <c r="P2790">
        <v>0</v>
      </c>
      <c r="Q2790">
        <v>0</v>
      </c>
      <c r="R2790" t="s">
        <v>47428</v>
      </c>
      <c r="S2790" t="s">
        <v>47541</v>
      </c>
      <c r="T2790" t="s">
        <v>49212</v>
      </c>
      <c r="U2790" t="s">
        <v>52058</v>
      </c>
      <c r="W2790" t="s">
        <v>43572</v>
      </c>
      <c r="X2790" t="s">
        <v>47430</v>
      </c>
    </row>
    <row r="2791" spans="1:24">
      <c r="A2791">
        <f>HYPERLINK("https://www.philgeps.gov.ph/GEPSNONPILOT/Tender/SplashBidNoticeAbstractUI.aspx?menuIndex=3&amp;refID=7162543&amp;Result=3","7162543")</f>
        <v>0</v>
      </c>
      <c r="B2791" t="s">
        <v>726</v>
      </c>
      <c r="C2791" t="s">
        <v>6563</v>
      </c>
      <c r="E2791" t="s">
        <v>21632</v>
      </c>
      <c r="F2791" t="s">
        <v>32831</v>
      </c>
      <c r="G2791" t="s">
        <v>32838</v>
      </c>
      <c r="H2791" t="s">
        <v>32848</v>
      </c>
      <c r="I2791" t="s">
        <v>4438</v>
      </c>
      <c r="J2791" t="s">
        <v>33395</v>
      </c>
      <c r="K2791" t="s">
        <v>42732</v>
      </c>
      <c r="M2791" t="s">
        <v>44276</v>
      </c>
      <c r="N2791" t="s">
        <v>47424</v>
      </c>
      <c r="O2791" t="s">
        <v>47425</v>
      </c>
      <c r="P2791">
        <v>0</v>
      </c>
      <c r="Q2791">
        <v>2</v>
      </c>
      <c r="R2791" t="s">
        <v>47428</v>
      </c>
      <c r="S2791" t="s">
        <v>47541</v>
      </c>
      <c r="T2791" t="s">
        <v>49056</v>
      </c>
      <c r="U2791" t="s">
        <v>52059</v>
      </c>
      <c r="W2791" t="s">
        <v>44276</v>
      </c>
      <c r="X2791" t="s">
        <v>47430</v>
      </c>
    </row>
    <row r="2792" spans="1:24">
      <c r="A2792">
        <f>HYPERLINK("https://www.philgeps.gov.ph/GEPSNONPILOT/Tender/SplashBidNoticeAbstractUI.aspx?menuIndex=3&amp;refID=7162535&amp;Result=3","7162535")</f>
        <v>0</v>
      </c>
      <c r="B2792" t="s">
        <v>1209</v>
      </c>
      <c r="C2792" t="s">
        <v>6564</v>
      </c>
      <c r="D2792" t="s">
        <v>19028</v>
      </c>
      <c r="E2792" t="s">
        <v>21633</v>
      </c>
      <c r="F2792" t="s">
        <v>32831</v>
      </c>
      <c r="G2792" t="s">
        <v>32838</v>
      </c>
      <c r="H2792" t="s">
        <v>32848</v>
      </c>
      <c r="I2792" t="s">
        <v>5379</v>
      </c>
      <c r="J2792" t="s">
        <v>34868</v>
      </c>
      <c r="K2792" t="s">
        <v>42804</v>
      </c>
      <c r="M2792" t="s">
        <v>44277</v>
      </c>
      <c r="N2792" t="s">
        <v>47424</v>
      </c>
      <c r="O2792" t="s">
        <v>47425</v>
      </c>
      <c r="P2792">
        <v>0</v>
      </c>
      <c r="Q2792">
        <v>0</v>
      </c>
      <c r="R2792" t="s">
        <v>47428</v>
      </c>
      <c r="S2792" t="s">
        <v>47541</v>
      </c>
      <c r="T2792" t="s">
        <v>49235</v>
      </c>
      <c r="U2792" t="s">
        <v>52060</v>
      </c>
      <c r="W2792" t="s">
        <v>44277</v>
      </c>
      <c r="X2792" t="s">
        <v>47430</v>
      </c>
    </row>
    <row r="2793" spans="1:24">
      <c r="A2793">
        <f>HYPERLINK("https://www.philgeps.gov.ph/GEPSNONPILOT/Tender/SplashBidNoticeAbstractUI.aspx?menuIndex=3&amp;refID=7162491&amp;Result=3","7162491")</f>
        <v>0</v>
      </c>
      <c r="B2793" t="s">
        <v>684</v>
      </c>
      <c r="C2793" t="s">
        <v>6565</v>
      </c>
      <c r="D2793" t="s">
        <v>19061</v>
      </c>
      <c r="E2793" t="s">
        <v>21634</v>
      </c>
      <c r="F2793" t="s">
        <v>32831</v>
      </c>
      <c r="G2793" t="s">
        <v>32839</v>
      </c>
      <c r="H2793" t="s">
        <v>32848</v>
      </c>
      <c r="I2793" t="s">
        <v>4776</v>
      </c>
      <c r="J2793" t="s">
        <v>33268</v>
      </c>
      <c r="K2793" t="s">
        <v>42726</v>
      </c>
      <c r="M2793" t="s">
        <v>43703</v>
      </c>
      <c r="N2793" t="s">
        <v>47424</v>
      </c>
      <c r="O2793" t="s">
        <v>47425</v>
      </c>
      <c r="P2793">
        <v>0</v>
      </c>
      <c r="Q2793">
        <v>0</v>
      </c>
      <c r="R2793" t="s">
        <v>47428</v>
      </c>
      <c r="S2793" t="s">
        <v>47541</v>
      </c>
      <c r="T2793" t="s">
        <v>49105</v>
      </c>
      <c r="U2793" t="s">
        <v>52061</v>
      </c>
      <c r="W2793" t="s">
        <v>43703</v>
      </c>
      <c r="X2793" t="s">
        <v>47430</v>
      </c>
    </row>
    <row r="2794" spans="1:24">
      <c r="A2794">
        <f>HYPERLINK("https://www.philgeps.gov.ph/GEPSNONPILOT/Tender/SplashBidNoticeAbstractUI.aspx?menuIndex=3&amp;refID=7162527&amp;Result=3","7162527")</f>
        <v>0</v>
      </c>
      <c r="B2794" t="s">
        <v>1205</v>
      </c>
      <c r="C2794" t="s">
        <v>6566</v>
      </c>
      <c r="D2794" t="s">
        <v>19060</v>
      </c>
      <c r="E2794" t="s">
        <v>21635</v>
      </c>
      <c r="F2794" t="s">
        <v>32831</v>
      </c>
      <c r="G2794" t="s">
        <v>32839</v>
      </c>
      <c r="H2794" t="s">
        <v>32848</v>
      </c>
      <c r="I2794" t="s">
        <v>7416</v>
      </c>
      <c r="J2794" t="s">
        <v>34869</v>
      </c>
      <c r="K2794" t="s">
        <v>42748</v>
      </c>
      <c r="M2794" t="s">
        <v>44272</v>
      </c>
      <c r="N2794" t="s">
        <v>47424</v>
      </c>
      <c r="O2794" t="s">
        <v>47425</v>
      </c>
      <c r="P2794">
        <v>0</v>
      </c>
      <c r="Q2794">
        <v>0</v>
      </c>
      <c r="R2794" t="s">
        <v>47428</v>
      </c>
      <c r="S2794" t="s">
        <v>47541</v>
      </c>
      <c r="T2794" t="s">
        <v>49073</v>
      </c>
      <c r="U2794" t="s">
        <v>52062</v>
      </c>
      <c r="W2794" t="s">
        <v>44272</v>
      </c>
      <c r="X2794" t="s">
        <v>47430</v>
      </c>
    </row>
    <row r="2795" spans="1:24">
      <c r="A2795">
        <f>HYPERLINK("https://www.philgeps.gov.ph/GEPSNONPILOT/Tender/SplashBidNoticeAbstractUI.aspx?menuIndex=3&amp;refID=7162541&amp;Result=3","7162541")</f>
        <v>0</v>
      </c>
      <c r="B2795" t="s">
        <v>1193</v>
      </c>
      <c r="C2795" t="s">
        <v>6518</v>
      </c>
      <c r="D2795" t="s">
        <v>19046</v>
      </c>
      <c r="E2795" t="s">
        <v>21636</v>
      </c>
      <c r="F2795" t="s">
        <v>32833</v>
      </c>
      <c r="G2795" t="s">
        <v>32838</v>
      </c>
      <c r="H2795" t="s">
        <v>32848</v>
      </c>
      <c r="I2795" t="s">
        <v>4487</v>
      </c>
      <c r="J2795" t="s">
        <v>32980</v>
      </c>
      <c r="K2795" t="s">
        <v>42726</v>
      </c>
      <c r="M2795" t="s">
        <v>44259</v>
      </c>
      <c r="N2795" t="s">
        <v>47424</v>
      </c>
      <c r="O2795" t="s">
        <v>47425</v>
      </c>
      <c r="P2795">
        <v>0</v>
      </c>
      <c r="Q2795">
        <v>0</v>
      </c>
      <c r="R2795" t="s">
        <v>47428</v>
      </c>
      <c r="S2795" t="s">
        <v>47541</v>
      </c>
      <c r="T2795" t="s">
        <v>49109</v>
      </c>
      <c r="U2795" t="s">
        <v>52063</v>
      </c>
      <c r="V2795" t="s">
        <v>62924</v>
      </c>
      <c r="W2795" t="s">
        <v>44259</v>
      </c>
      <c r="X2795" t="s">
        <v>47430</v>
      </c>
    </row>
    <row r="2796" spans="1:24">
      <c r="A2796">
        <f>HYPERLINK("https://www.philgeps.gov.ph/GEPSNONPILOT/Tender/SplashBidNoticeAbstractUI.aspx?menuIndex=3&amp;refID=7162544&amp;Result=3","7162544")</f>
        <v>0</v>
      </c>
      <c r="B2796" t="s">
        <v>1164</v>
      </c>
      <c r="C2796" t="s">
        <v>6459</v>
      </c>
      <c r="D2796" t="s">
        <v>19057</v>
      </c>
      <c r="E2796" t="s">
        <v>21637</v>
      </c>
      <c r="F2796" t="s">
        <v>32831</v>
      </c>
      <c r="G2796" t="s">
        <v>32838</v>
      </c>
      <c r="H2796" t="s">
        <v>32848</v>
      </c>
      <c r="I2796" t="s">
        <v>32946</v>
      </c>
      <c r="J2796" t="s">
        <v>34870</v>
      </c>
      <c r="K2796" t="s">
        <v>42730</v>
      </c>
      <c r="M2796" t="s">
        <v>44229</v>
      </c>
      <c r="N2796" t="s">
        <v>47424</v>
      </c>
      <c r="O2796" t="s">
        <v>47425</v>
      </c>
      <c r="P2796">
        <v>0</v>
      </c>
      <c r="Q2796">
        <v>2</v>
      </c>
      <c r="R2796" t="s">
        <v>47428</v>
      </c>
      <c r="S2796" t="s">
        <v>47541</v>
      </c>
      <c r="T2796" t="s">
        <v>49237</v>
      </c>
      <c r="U2796" t="s">
        <v>52064</v>
      </c>
      <c r="V2796" t="s">
        <v>62914</v>
      </c>
      <c r="W2796" t="s">
        <v>44229</v>
      </c>
      <c r="X2796" t="s">
        <v>47430</v>
      </c>
    </row>
    <row r="2797" spans="1:24">
      <c r="A2797">
        <f>HYPERLINK("https://www.philgeps.gov.ph/GEPSNONPILOT/Tender/SplashBidNoticeAbstractUI.aspx?menuIndex=3&amp;refID=7162557&amp;Result=3","7162557")</f>
        <v>0</v>
      </c>
      <c r="B2797" t="s">
        <v>1210</v>
      </c>
      <c r="C2797" t="s">
        <v>6567</v>
      </c>
      <c r="D2797" t="s">
        <v>19017</v>
      </c>
      <c r="E2797" t="s">
        <v>21638</v>
      </c>
      <c r="F2797" t="s">
        <v>32831</v>
      </c>
      <c r="G2797" t="s">
        <v>32838</v>
      </c>
      <c r="H2797" t="s">
        <v>32848</v>
      </c>
      <c r="I2797" t="s">
        <v>32910</v>
      </c>
      <c r="J2797" t="s">
        <v>34871</v>
      </c>
      <c r="K2797" t="s">
        <v>42726</v>
      </c>
      <c r="M2797" t="s">
        <v>44278</v>
      </c>
      <c r="N2797" t="s">
        <v>47424</v>
      </c>
      <c r="O2797" t="s">
        <v>47425</v>
      </c>
      <c r="P2797">
        <v>0</v>
      </c>
      <c r="Q2797">
        <v>4</v>
      </c>
      <c r="R2797" t="s">
        <v>47428</v>
      </c>
      <c r="S2797" t="s">
        <v>47541</v>
      </c>
      <c r="T2797" t="s">
        <v>49119</v>
      </c>
      <c r="U2797" t="s">
        <v>52065</v>
      </c>
      <c r="W2797" t="s">
        <v>44278</v>
      </c>
      <c r="X2797" t="s">
        <v>47430</v>
      </c>
    </row>
    <row r="2798" spans="1:24">
      <c r="A2798">
        <f>HYPERLINK("https://www.philgeps.gov.ph/GEPSNONPILOT/Tender/SplashBidNoticeAbstractUI.aspx?menuIndex=3&amp;refID=7162531&amp;Result=3","7162531")</f>
        <v>0</v>
      </c>
      <c r="B2798" t="s">
        <v>1203</v>
      </c>
      <c r="C2798" t="s">
        <v>6568</v>
      </c>
      <c r="E2798" t="s">
        <v>6568</v>
      </c>
      <c r="F2798" t="s">
        <v>32831</v>
      </c>
      <c r="G2798" t="s">
        <v>32838</v>
      </c>
      <c r="H2798" t="s">
        <v>32849</v>
      </c>
      <c r="I2798" t="s">
        <v>4177</v>
      </c>
      <c r="J2798" t="s">
        <v>34872</v>
      </c>
      <c r="K2798" t="s">
        <v>42729</v>
      </c>
      <c r="L2798" t="s">
        <v>1203</v>
      </c>
      <c r="M2798" t="s">
        <v>44270</v>
      </c>
      <c r="N2798" t="s">
        <v>47424</v>
      </c>
      <c r="O2798" t="s">
        <v>47425</v>
      </c>
      <c r="P2798">
        <v>0</v>
      </c>
      <c r="Q2798">
        <v>0</v>
      </c>
      <c r="R2798" t="s">
        <v>47428</v>
      </c>
      <c r="S2798" t="s">
        <v>47541</v>
      </c>
      <c r="T2798" t="s">
        <v>49124</v>
      </c>
      <c r="U2798" t="s">
        <v>52066</v>
      </c>
      <c r="W2798" t="s">
        <v>44270</v>
      </c>
      <c r="X2798" t="s">
        <v>47430</v>
      </c>
    </row>
    <row r="2799" spans="1:24">
      <c r="A2799">
        <f>HYPERLINK("https://www.philgeps.gov.ph/GEPSNONPILOT/Tender/SplashBidNoticeAbstractUI.aspx?menuIndex=3&amp;refID=7162569&amp;Result=3","7162569")</f>
        <v>0</v>
      </c>
      <c r="B2799" t="s">
        <v>1191</v>
      </c>
      <c r="C2799" t="s">
        <v>6569</v>
      </c>
      <c r="D2799" t="s">
        <v>19033</v>
      </c>
      <c r="E2799" t="s">
        <v>21639</v>
      </c>
      <c r="F2799" t="s">
        <v>32831</v>
      </c>
      <c r="G2799" t="s">
        <v>32839</v>
      </c>
      <c r="H2799" t="s">
        <v>32848</v>
      </c>
      <c r="I2799" t="s">
        <v>4776</v>
      </c>
      <c r="J2799" t="s">
        <v>34873</v>
      </c>
      <c r="K2799" t="s">
        <v>42726</v>
      </c>
      <c r="M2799" t="s">
        <v>44257</v>
      </c>
      <c r="N2799" t="s">
        <v>47424</v>
      </c>
      <c r="O2799" t="s">
        <v>47425</v>
      </c>
      <c r="P2799">
        <v>0</v>
      </c>
      <c r="Q2799">
        <v>6</v>
      </c>
      <c r="R2799" t="s">
        <v>47428</v>
      </c>
      <c r="S2799" t="s">
        <v>47541</v>
      </c>
      <c r="T2799" t="s">
        <v>49323</v>
      </c>
      <c r="U2799" t="s">
        <v>52067</v>
      </c>
      <c r="W2799" t="s">
        <v>44257</v>
      </c>
      <c r="X2799" t="s">
        <v>47430</v>
      </c>
    </row>
    <row r="2800" spans="1:24">
      <c r="A2800">
        <f>HYPERLINK("https://www.philgeps.gov.ph/GEPSNONPILOT/Tender/SplashBidNoticeAbstractUI.aspx?menuIndex=3&amp;refID=7162568&amp;Result=3","7162568")</f>
        <v>0</v>
      </c>
      <c r="B2800" t="s">
        <v>1205</v>
      </c>
      <c r="C2800" t="s">
        <v>6570</v>
      </c>
      <c r="D2800" t="s">
        <v>19060</v>
      </c>
      <c r="E2800" t="s">
        <v>21640</v>
      </c>
      <c r="F2800" t="s">
        <v>32831</v>
      </c>
      <c r="G2800" t="s">
        <v>32839</v>
      </c>
      <c r="H2800" t="s">
        <v>32848</v>
      </c>
      <c r="I2800" t="s">
        <v>7416</v>
      </c>
      <c r="J2800" t="s">
        <v>33007</v>
      </c>
      <c r="K2800" t="s">
        <v>42726</v>
      </c>
      <c r="M2800" t="s">
        <v>44272</v>
      </c>
      <c r="N2800" t="s">
        <v>47424</v>
      </c>
      <c r="O2800" t="s">
        <v>47425</v>
      </c>
      <c r="P2800">
        <v>0</v>
      </c>
      <c r="Q2800">
        <v>0</v>
      </c>
      <c r="R2800" t="s">
        <v>47428</v>
      </c>
      <c r="S2800" t="s">
        <v>47541</v>
      </c>
      <c r="T2800" t="s">
        <v>49073</v>
      </c>
      <c r="U2800" t="s">
        <v>52068</v>
      </c>
      <c r="W2800" t="s">
        <v>44272</v>
      </c>
      <c r="X2800" t="s">
        <v>47430</v>
      </c>
    </row>
    <row r="2801" spans="1:24">
      <c r="A2801">
        <f>HYPERLINK("https://www.philgeps.gov.ph/GEPSNONPILOT/Tender/SplashBidNoticeAbstractUI.aspx?menuIndex=3&amp;refID=7162287&amp;Result=3","7162287")</f>
        <v>0</v>
      </c>
      <c r="B2801" t="s">
        <v>676</v>
      </c>
      <c r="C2801" t="s">
        <v>6571</v>
      </c>
      <c r="D2801" t="s">
        <v>19020</v>
      </c>
      <c r="E2801" t="s">
        <v>21641</v>
      </c>
      <c r="F2801" t="s">
        <v>32831</v>
      </c>
      <c r="G2801" t="s">
        <v>32838</v>
      </c>
      <c r="H2801" t="s">
        <v>32848</v>
      </c>
      <c r="I2801" t="s">
        <v>7416</v>
      </c>
      <c r="J2801" t="s">
        <v>34874</v>
      </c>
      <c r="K2801" t="s">
        <v>42759</v>
      </c>
      <c r="M2801" t="s">
        <v>43695</v>
      </c>
      <c r="N2801" t="s">
        <v>47424</v>
      </c>
      <c r="O2801" t="s">
        <v>47425</v>
      </c>
      <c r="P2801">
        <v>0</v>
      </c>
      <c r="Q2801">
        <v>0</v>
      </c>
      <c r="R2801" t="s">
        <v>47428</v>
      </c>
      <c r="S2801" t="s">
        <v>47541</v>
      </c>
      <c r="T2801" t="s">
        <v>49163</v>
      </c>
      <c r="U2801" t="s">
        <v>52069</v>
      </c>
      <c r="W2801" t="s">
        <v>43695</v>
      </c>
      <c r="X2801" t="s">
        <v>47430</v>
      </c>
    </row>
    <row r="2802" spans="1:24">
      <c r="A2802">
        <f>HYPERLINK("https://www.philgeps.gov.ph/GEPSNONPILOT/Tender/SplashBidNoticeAbstractUI.aspx?menuIndex=3&amp;refID=7162591&amp;Result=3","7162591")</f>
        <v>0</v>
      </c>
      <c r="B2802" t="s">
        <v>726</v>
      </c>
      <c r="C2802" t="s">
        <v>6572</v>
      </c>
      <c r="E2802" t="s">
        <v>21642</v>
      </c>
      <c r="F2802" t="s">
        <v>32831</v>
      </c>
      <c r="G2802" t="s">
        <v>32838</v>
      </c>
      <c r="H2802" t="s">
        <v>32848</v>
      </c>
      <c r="I2802" t="s">
        <v>32880</v>
      </c>
      <c r="J2802" t="s">
        <v>33040</v>
      </c>
      <c r="K2802" t="s">
        <v>42732</v>
      </c>
      <c r="M2802" t="s">
        <v>44276</v>
      </c>
      <c r="N2802" t="s">
        <v>47424</v>
      </c>
      <c r="O2802" t="s">
        <v>47425</v>
      </c>
      <c r="P2802">
        <v>0</v>
      </c>
      <c r="Q2802">
        <v>0</v>
      </c>
      <c r="R2802" t="s">
        <v>47428</v>
      </c>
      <c r="S2802" t="s">
        <v>47541</v>
      </c>
      <c r="T2802" t="s">
        <v>49056</v>
      </c>
      <c r="U2802" t="s">
        <v>52070</v>
      </c>
      <c r="W2802" t="s">
        <v>44276</v>
      </c>
      <c r="X2802" t="s">
        <v>47430</v>
      </c>
    </row>
    <row r="2803" spans="1:24">
      <c r="A2803">
        <f>HYPERLINK("https://www.philgeps.gov.ph/GEPSNONPILOT/Tender/SplashBidNoticeAbstractUI.aspx?menuIndex=3&amp;refID=7162570&amp;Result=3","7162570")</f>
        <v>0</v>
      </c>
      <c r="B2803" t="s">
        <v>664</v>
      </c>
      <c r="C2803" t="s">
        <v>6573</v>
      </c>
      <c r="D2803" t="s">
        <v>19077</v>
      </c>
      <c r="E2803" t="s">
        <v>19311</v>
      </c>
      <c r="F2803" t="s">
        <v>32831</v>
      </c>
      <c r="G2803" t="s">
        <v>32839</v>
      </c>
      <c r="H2803" t="s">
        <v>32850</v>
      </c>
      <c r="I2803" t="s">
        <v>32931</v>
      </c>
      <c r="J2803" t="s">
        <v>34875</v>
      </c>
      <c r="K2803" t="s">
        <v>42730</v>
      </c>
      <c r="M2803" t="s">
        <v>43682</v>
      </c>
      <c r="N2803" t="s">
        <v>47424</v>
      </c>
      <c r="O2803" t="s">
        <v>47425</v>
      </c>
      <c r="P2803">
        <v>0</v>
      </c>
      <c r="Q2803">
        <v>2</v>
      </c>
      <c r="R2803" t="s">
        <v>47428</v>
      </c>
      <c r="S2803" t="s">
        <v>47541</v>
      </c>
      <c r="T2803" t="s">
        <v>49256</v>
      </c>
      <c r="U2803" t="s">
        <v>52071</v>
      </c>
      <c r="W2803" t="s">
        <v>43682</v>
      </c>
      <c r="X2803" t="s">
        <v>47430</v>
      </c>
    </row>
    <row r="2804" spans="1:24">
      <c r="A2804">
        <f>HYPERLINK("https://www.philgeps.gov.ph/GEPSNONPILOT/Tender/SplashBidNoticeAbstractUI.aspx?menuIndex=3&amp;refID=7162581&amp;Result=3","7162581")</f>
        <v>0</v>
      </c>
      <c r="B2804" t="s">
        <v>1211</v>
      </c>
      <c r="C2804" t="s">
        <v>6574</v>
      </c>
      <c r="D2804" t="s">
        <v>19037</v>
      </c>
      <c r="E2804" t="s">
        <v>21643</v>
      </c>
      <c r="F2804" t="s">
        <v>32831</v>
      </c>
      <c r="G2804" t="s">
        <v>32838</v>
      </c>
      <c r="H2804" t="s">
        <v>32848</v>
      </c>
      <c r="I2804" t="s">
        <v>32885</v>
      </c>
      <c r="J2804" t="s">
        <v>34876</v>
      </c>
      <c r="K2804" t="s">
        <v>42732</v>
      </c>
      <c r="M2804" t="s">
        <v>44279</v>
      </c>
      <c r="N2804" t="s">
        <v>47424</v>
      </c>
      <c r="O2804" t="s">
        <v>47425</v>
      </c>
      <c r="P2804">
        <v>0</v>
      </c>
      <c r="Q2804">
        <v>0</v>
      </c>
      <c r="R2804" t="s">
        <v>47428</v>
      </c>
      <c r="S2804" t="s">
        <v>47541</v>
      </c>
      <c r="T2804" t="s">
        <v>49237</v>
      </c>
      <c r="U2804" t="s">
        <v>52072</v>
      </c>
      <c r="W2804" t="s">
        <v>44279</v>
      </c>
      <c r="X2804" t="s">
        <v>47430</v>
      </c>
    </row>
    <row r="2805" spans="1:24">
      <c r="A2805">
        <f>HYPERLINK("https://www.philgeps.gov.ph/GEPSNONPILOT/Tender/SplashBidNoticeAbstractUI.aspx?menuIndex=3&amp;refID=7162526&amp;Result=3","7162526")</f>
        <v>0</v>
      </c>
      <c r="B2805" t="s">
        <v>1191</v>
      </c>
      <c r="C2805" t="s">
        <v>6575</v>
      </c>
      <c r="D2805" t="s">
        <v>19033</v>
      </c>
      <c r="E2805" t="s">
        <v>21644</v>
      </c>
      <c r="F2805" t="s">
        <v>32831</v>
      </c>
      <c r="G2805" t="s">
        <v>32839</v>
      </c>
      <c r="H2805" t="s">
        <v>32848</v>
      </c>
      <c r="I2805" t="s">
        <v>7416</v>
      </c>
      <c r="J2805" t="s">
        <v>34877</v>
      </c>
      <c r="K2805" t="s">
        <v>42726</v>
      </c>
      <c r="M2805" t="s">
        <v>44257</v>
      </c>
      <c r="N2805" t="s">
        <v>47424</v>
      </c>
      <c r="O2805" t="s">
        <v>47425</v>
      </c>
      <c r="P2805">
        <v>0</v>
      </c>
      <c r="Q2805">
        <v>2</v>
      </c>
      <c r="R2805" t="s">
        <v>47428</v>
      </c>
      <c r="S2805" t="s">
        <v>47541</v>
      </c>
      <c r="T2805" t="s">
        <v>49323</v>
      </c>
      <c r="U2805" t="s">
        <v>52017</v>
      </c>
      <c r="W2805" t="s">
        <v>44257</v>
      </c>
      <c r="X2805" t="s">
        <v>47430</v>
      </c>
    </row>
    <row r="2806" spans="1:24">
      <c r="A2806">
        <f>HYPERLINK("https://www.philgeps.gov.ph/GEPSNONPILOT/Tender/SplashBidNoticeAbstractUI.aspx?menuIndex=3&amp;refID=7162583&amp;Result=3","7162583")</f>
        <v>0</v>
      </c>
      <c r="B2806" t="s">
        <v>654</v>
      </c>
      <c r="C2806" t="s">
        <v>6576</v>
      </c>
      <c r="D2806" t="s">
        <v>19071</v>
      </c>
      <c r="E2806" t="s">
        <v>21645</v>
      </c>
      <c r="F2806" t="s">
        <v>32831</v>
      </c>
      <c r="G2806" t="s">
        <v>32841</v>
      </c>
      <c r="H2806" t="s">
        <v>32848</v>
      </c>
      <c r="I2806" t="s">
        <v>9577</v>
      </c>
      <c r="J2806" t="s">
        <v>33086</v>
      </c>
      <c r="K2806" t="s">
        <v>42731</v>
      </c>
      <c r="M2806" t="s">
        <v>43672</v>
      </c>
      <c r="N2806" t="s">
        <v>47424</v>
      </c>
      <c r="O2806" t="s">
        <v>47425</v>
      </c>
      <c r="P2806">
        <v>0</v>
      </c>
      <c r="Q2806">
        <v>0</v>
      </c>
      <c r="R2806" t="s">
        <v>47428</v>
      </c>
      <c r="S2806" t="s">
        <v>47541</v>
      </c>
      <c r="T2806" t="s">
        <v>49055</v>
      </c>
      <c r="U2806" t="s">
        <v>52073</v>
      </c>
      <c r="W2806" t="s">
        <v>43672</v>
      </c>
      <c r="X2806" t="s">
        <v>47430</v>
      </c>
    </row>
    <row r="2807" spans="1:24">
      <c r="A2807">
        <f>HYPERLINK("https://www.philgeps.gov.ph/GEPSNONPILOT/Tender/SplashBidNoticeAbstractUI.aspx?menuIndex=3&amp;refID=7162578&amp;Result=3","7162578")</f>
        <v>0</v>
      </c>
      <c r="B2807" t="s">
        <v>1168</v>
      </c>
      <c r="C2807" t="s">
        <v>6577</v>
      </c>
      <c r="D2807" t="s">
        <v>19026</v>
      </c>
      <c r="E2807" t="s">
        <v>21646</v>
      </c>
      <c r="F2807" t="s">
        <v>32831</v>
      </c>
      <c r="G2807" t="s">
        <v>32838</v>
      </c>
      <c r="H2807" t="s">
        <v>32848</v>
      </c>
      <c r="I2807" t="s">
        <v>32864</v>
      </c>
      <c r="J2807" t="s">
        <v>34878</v>
      </c>
      <c r="K2807" t="s">
        <v>42731</v>
      </c>
      <c r="M2807" t="s">
        <v>44233</v>
      </c>
      <c r="N2807" t="s">
        <v>47424</v>
      </c>
      <c r="O2807" t="s">
        <v>47425</v>
      </c>
      <c r="P2807">
        <v>0</v>
      </c>
      <c r="Q2807">
        <v>0</v>
      </c>
      <c r="R2807" t="s">
        <v>47428</v>
      </c>
      <c r="S2807" t="s">
        <v>47541</v>
      </c>
      <c r="T2807" t="s">
        <v>49237</v>
      </c>
      <c r="U2807" t="s">
        <v>52074</v>
      </c>
      <c r="W2807" t="s">
        <v>44233</v>
      </c>
      <c r="X2807" t="s">
        <v>47430</v>
      </c>
    </row>
    <row r="2808" spans="1:24">
      <c r="A2808">
        <f>HYPERLINK("https://www.philgeps.gov.ph/GEPSNONPILOT/Tender/SplashBidNoticeAbstractUI.aspx?menuIndex=3&amp;refID=7162559&amp;Result=3","7162559")</f>
        <v>0</v>
      </c>
      <c r="B2808" t="s">
        <v>654</v>
      </c>
      <c r="C2808" t="s">
        <v>6578</v>
      </c>
      <c r="D2808" t="s">
        <v>19071</v>
      </c>
      <c r="E2808" t="s">
        <v>21647</v>
      </c>
      <c r="F2808" t="s">
        <v>32831</v>
      </c>
      <c r="G2808" t="s">
        <v>32841</v>
      </c>
      <c r="H2808" t="s">
        <v>32848</v>
      </c>
      <c r="I2808" t="s">
        <v>9577</v>
      </c>
      <c r="J2808" t="s">
        <v>34879</v>
      </c>
      <c r="K2808" t="s">
        <v>42731</v>
      </c>
      <c r="M2808" t="s">
        <v>43672</v>
      </c>
      <c r="N2808" t="s">
        <v>47424</v>
      </c>
      <c r="O2808" t="s">
        <v>47425</v>
      </c>
      <c r="P2808">
        <v>0</v>
      </c>
      <c r="Q2808">
        <v>0</v>
      </c>
      <c r="R2808" t="s">
        <v>47428</v>
      </c>
      <c r="S2808" t="s">
        <v>47541</v>
      </c>
      <c r="T2808" t="s">
        <v>49055</v>
      </c>
      <c r="U2808" t="s">
        <v>52075</v>
      </c>
      <c r="W2808" t="s">
        <v>43672</v>
      </c>
      <c r="X2808" t="s">
        <v>47430</v>
      </c>
    </row>
    <row r="2809" spans="1:24">
      <c r="A2809">
        <f>HYPERLINK("https://www.philgeps.gov.ph/GEPSNONPILOT/Tender/SplashBidNoticeAbstractUI.aspx?menuIndex=3&amp;refID=7162577&amp;Result=3","7162577")</f>
        <v>0</v>
      </c>
      <c r="B2809" t="s">
        <v>1212</v>
      </c>
      <c r="C2809" t="s">
        <v>6579</v>
      </c>
      <c r="D2809" t="s">
        <v>19073</v>
      </c>
      <c r="E2809" t="s">
        <v>21648</v>
      </c>
      <c r="F2809" t="s">
        <v>32831</v>
      </c>
      <c r="G2809" t="s">
        <v>32838</v>
      </c>
      <c r="H2809" t="s">
        <v>32848</v>
      </c>
      <c r="I2809" t="s">
        <v>32947</v>
      </c>
      <c r="J2809" t="s">
        <v>33812</v>
      </c>
      <c r="K2809" t="s">
        <v>42759</v>
      </c>
      <c r="M2809" t="s">
        <v>44280</v>
      </c>
      <c r="N2809" t="s">
        <v>47424</v>
      </c>
      <c r="O2809" t="s">
        <v>47425</v>
      </c>
      <c r="P2809">
        <v>0</v>
      </c>
      <c r="Q2809">
        <v>0</v>
      </c>
      <c r="R2809" t="s">
        <v>47428</v>
      </c>
      <c r="S2809" t="s">
        <v>47541</v>
      </c>
      <c r="T2809" t="s">
        <v>49145</v>
      </c>
      <c r="U2809" t="s">
        <v>52076</v>
      </c>
      <c r="W2809" t="s">
        <v>44280</v>
      </c>
      <c r="X2809" t="s">
        <v>47430</v>
      </c>
    </row>
    <row r="2810" spans="1:24">
      <c r="A2810">
        <f>HYPERLINK("https://www.philgeps.gov.ph/GEPSNONPILOT/Tender/SplashBidNoticeAbstractUI.aspx?menuIndex=3&amp;refID=7162572&amp;Result=3","7162572")</f>
        <v>0</v>
      </c>
      <c r="B2810" t="s">
        <v>1213</v>
      </c>
      <c r="C2810" t="s">
        <v>6580</v>
      </c>
      <c r="D2810" t="s">
        <v>19027</v>
      </c>
      <c r="E2810" t="s">
        <v>20789</v>
      </c>
      <c r="F2810" t="s">
        <v>32831</v>
      </c>
      <c r="G2810" t="s">
        <v>32839</v>
      </c>
      <c r="H2810" t="s">
        <v>32848</v>
      </c>
      <c r="I2810" t="s">
        <v>9577</v>
      </c>
      <c r="J2810" t="s">
        <v>34880</v>
      </c>
      <c r="K2810" t="s">
        <v>42727</v>
      </c>
      <c r="M2810" t="s">
        <v>44281</v>
      </c>
      <c r="N2810" t="s">
        <v>47424</v>
      </c>
      <c r="O2810" t="s">
        <v>47425</v>
      </c>
      <c r="P2810">
        <v>0</v>
      </c>
      <c r="Q2810">
        <v>3</v>
      </c>
      <c r="R2810" t="s">
        <v>47428</v>
      </c>
      <c r="S2810" t="s">
        <v>47541</v>
      </c>
      <c r="T2810" t="s">
        <v>49325</v>
      </c>
      <c r="U2810" t="s">
        <v>52077</v>
      </c>
      <c r="V2810" t="s">
        <v>62925</v>
      </c>
      <c r="W2810" t="s">
        <v>44281</v>
      </c>
      <c r="X2810" t="s">
        <v>47430</v>
      </c>
    </row>
    <row r="2811" spans="1:24">
      <c r="A2811">
        <f>HYPERLINK("https://www.philgeps.gov.ph/GEPSNONPILOT/Tender/SplashBidNoticeAbstractUI.aspx?menuIndex=3&amp;refID=7162571&amp;Result=3","7162571")</f>
        <v>0</v>
      </c>
      <c r="B2811" t="s">
        <v>1214</v>
      </c>
      <c r="C2811" t="s">
        <v>6581</v>
      </c>
      <c r="D2811" t="s">
        <v>19038</v>
      </c>
      <c r="E2811" t="s">
        <v>21227</v>
      </c>
      <c r="F2811" t="s">
        <v>32831</v>
      </c>
      <c r="G2811" t="s">
        <v>32840</v>
      </c>
      <c r="H2811" t="s">
        <v>32850</v>
      </c>
      <c r="I2811" t="s">
        <v>4776</v>
      </c>
      <c r="J2811" t="s">
        <v>32980</v>
      </c>
      <c r="K2811" t="s">
        <v>42731</v>
      </c>
      <c r="M2811" t="s">
        <v>44282</v>
      </c>
      <c r="N2811" t="s">
        <v>47424</v>
      </c>
      <c r="O2811" t="s">
        <v>47425</v>
      </c>
      <c r="P2811">
        <v>0</v>
      </c>
      <c r="Q2811">
        <v>1</v>
      </c>
      <c r="R2811" t="s">
        <v>47428</v>
      </c>
      <c r="S2811" t="s">
        <v>47541</v>
      </c>
      <c r="T2811" t="s">
        <v>49129</v>
      </c>
      <c r="U2811" t="s">
        <v>52078</v>
      </c>
      <c r="W2811" t="s">
        <v>44282</v>
      </c>
      <c r="X2811" t="s">
        <v>47430</v>
      </c>
    </row>
    <row r="2812" spans="1:24">
      <c r="A2812">
        <f>HYPERLINK("https://www.philgeps.gov.ph/GEPSNONPILOT/Tender/SplashBidNoticeAbstractUI.aspx?menuIndex=3&amp;refID=7162566&amp;Result=3","7162566")</f>
        <v>0</v>
      </c>
      <c r="B2812" t="s">
        <v>295</v>
      </c>
      <c r="C2812" t="s">
        <v>6582</v>
      </c>
      <c r="D2812" t="s">
        <v>19044</v>
      </c>
      <c r="E2812" t="s">
        <v>21649</v>
      </c>
      <c r="F2812" t="s">
        <v>32831</v>
      </c>
      <c r="G2812" t="s">
        <v>32838</v>
      </c>
      <c r="H2812" t="s">
        <v>32848</v>
      </c>
      <c r="I2812" t="s">
        <v>32874</v>
      </c>
      <c r="J2812" t="s">
        <v>34881</v>
      </c>
      <c r="K2812" t="s">
        <v>42727</v>
      </c>
      <c r="M2812" t="s">
        <v>43914</v>
      </c>
      <c r="N2812" t="s">
        <v>47424</v>
      </c>
      <c r="O2812" t="s">
        <v>47425</v>
      </c>
      <c r="P2812">
        <v>0</v>
      </c>
      <c r="Q2812">
        <v>13</v>
      </c>
      <c r="R2812" t="s">
        <v>47428</v>
      </c>
      <c r="S2812" t="s">
        <v>47541</v>
      </c>
      <c r="T2812" t="s">
        <v>49166</v>
      </c>
      <c r="U2812" t="s">
        <v>52079</v>
      </c>
      <c r="V2812" t="s">
        <v>51102</v>
      </c>
      <c r="W2812" t="s">
        <v>43914</v>
      </c>
      <c r="X2812" t="s">
        <v>47430</v>
      </c>
    </row>
    <row r="2813" spans="1:24">
      <c r="A2813">
        <f>HYPERLINK("https://www.philgeps.gov.ph/GEPSNONPILOT/Tender/SplashBidNoticeAbstractUI.aspx?menuIndex=3&amp;refID=7162565&amp;Result=3","7162565")</f>
        <v>0</v>
      </c>
      <c r="B2813" t="s">
        <v>1215</v>
      </c>
      <c r="C2813" t="s">
        <v>6583</v>
      </c>
      <c r="D2813" t="s">
        <v>19074</v>
      </c>
      <c r="E2813" t="s">
        <v>21650</v>
      </c>
      <c r="F2813" t="s">
        <v>32831</v>
      </c>
      <c r="G2813" t="s">
        <v>32838</v>
      </c>
      <c r="H2813" t="s">
        <v>32848</v>
      </c>
      <c r="I2813" t="s">
        <v>4438</v>
      </c>
      <c r="J2813" t="s">
        <v>33090</v>
      </c>
      <c r="K2813" t="s">
        <v>42748</v>
      </c>
      <c r="M2813" t="s">
        <v>44283</v>
      </c>
      <c r="N2813" t="s">
        <v>47424</v>
      </c>
      <c r="O2813" t="s">
        <v>47425</v>
      </c>
      <c r="P2813">
        <v>0</v>
      </c>
      <c r="Q2813">
        <v>2</v>
      </c>
      <c r="R2813" t="s">
        <v>47428</v>
      </c>
      <c r="S2813" t="s">
        <v>47541</v>
      </c>
      <c r="T2813" t="s">
        <v>49213</v>
      </c>
      <c r="U2813" t="s">
        <v>52080</v>
      </c>
      <c r="W2813" t="s">
        <v>44283</v>
      </c>
      <c r="X2813" t="s">
        <v>47430</v>
      </c>
    </row>
    <row r="2814" spans="1:24">
      <c r="A2814">
        <f>HYPERLINK("https://www.philgeps.gov.ph/GEPSNONPILOT/Tender/SplashBidNoticeAbstractUI.aspx?menuIndex=3&amp;refID=7162579&amp;Result=3","7162579")</f>
        <v>0</v>
      </c>
      <c r="B2814" t="s">
        <v>726</v>
      </c>
      <c r="C2814" t="s">
        <v>6584</v>
      </c>
      <c r="E2814" t="s">
        <v>21651</v>
      </c>
      <c r="F2814" t="s">
        <v>32831</v>
      </c>
      <c r="G2814" t="s">
        <v>32838</v>
      </c>
      <c r="H2814" t="s">
        <v>32848</v>
      </c>
      <c r="I2814" t="s">
        <v>32870</v>
      </c>
      <c r="J2814" t="s">
        <v>34882</v>
      </c>
      <c r="K2814" t="s">
        <v>42732</v>
      </c>
      <c r="M2814" t="s">
        <v>44276</v>
      </c>
      <c r="N2814" t="s">
        <v>47424</v>
      </c>
      <c r="O2814" t="s">
        <v>47425</v>
      </c>
      <c r="P2814">
        <v>0</v>
      </c>
      <c r="Q2814">
        <v>0</v>
      </c>
      <c r="R2814" t="s">
        <v>47428</v>
      </c>
      <c r="S2814" t="s">
        <v>47541</v>
      </c>
      <c r="T2814" t="s">
        <v>49056</v>
      </c>
      <c r="U2814" t="s">
        <v>52081</v>
      </c>
      <c r="W2814" t="s">
        <v>44276</v>
      </c>
      <c r="X2814" t="s">
        <v>47430</v>
      </c>
    </row>
    <row r="2815" spans="1:24">
      <c r="A2815">
        <f>HYPERLINK("https://www.philgeps.gov.ph/GEPSNONPILOT/Tender/SplashBidNoticeAbstractUI.aspx?menuIndex=3&amp;refID=7162562&amp;Result=3","7162562")</f>
        <v>0</v>
      </c>
      <c r="B2815" t="s">
        <v>1216</v>
      </c>
      <c r="C2815" t="s">
        <v>6585</v>
      </c>
      <c r="D2815" t="s">
        <v>19057</v>
      </c>
      <c r="E2815" t="s">
        <v>21652</v>
      </c>
      <c r="F2815" t="s">
        <v>32831</v>
      </c>
      <c r="G2815" t="s">
        <v>32838</v>
      </c>
      <c r="H2815" t="s">
        <v>32848</v>
      </c>
      <c r="I2815" t="s">
        <v>32858</v>
      </c>
      <c r="J2815" t="s">
        <v>33644</v>
      </c>
      <c r="K2815" t="s">
        <v>42727</v>
      </c>
      <c r="M2815" t="s">
        <v>44284</v>
      </c>
      <c r="N2815" t="s">
        <v>47424</v>
      </c>
      <c r="O2815" t="s">
        <v>47425</v>
      </c>
      <c r="P2815">
        <v>0</v>
      </c>
      <c r="Q2815">
        <v>1</v>
      </c>
      <c r="R2815" t="s">
        <v>47428</v>
      </c>
      <c r="S2815" t="s">
        <v>47541</v>
      </c>
      <c r="T2815" t="s">
        <v>49326</v>
      </c>
      <c r="U2815" t="s">
        <v>49964</v>
      </c>
      <c r="W2815" t="s">
        <v>44284</v>
      </c>
      <c r="X2815" t="s">
        <v>47430</v>
      </c>
    </row>
    <row r="2816" spans="1:24">
      <c r="A2816">
        <f>HYPERLINK("https://www.philgeps.gov.ph/GEPSNONPILOT/Tender/SplashBidNoticeAbstractUI.aspx?menuIndex=3&amp;refID=7162576&amp;Result=3","7162576")</f>
        <v>0</v>
      </c>
      <c r="B2816" t="s">
        <v>1217</v>
      </c>
      <c r="C2816" t="s">
        <v>6586</v>
      </c>
      <c r="E2816" t="s">
        <v>21653</v>
      </c>
      <c r="F2816" t="s">
        <v>32831</v>
      </c>
      <c r="G2816" t="s">
        <v>32838</v>
      </c>
      <c r="H2816" t="s">
        <v>32848</v>
      </c>
      <c r="I2816" t="s">
        <v>10805</v>
      </c>
      <c r="J2816" t="s">
        <v>33087</v>
      </c>
      <c r="K2816" t="s">
        <v>42732</v>
      </c>
      <c r="M2816" t="s">
        <v>44285</v>
      </c>
      <c r="N2816" t="s">
        <v>47424</v>
      </c>
      <c r="O2816" t="s">
        <v>47425</v>
      </c>
      <c r="P2816">
        <v>0</v>
      </c>
      <c r="Q2816">
        <v>2</v>
      </c>
      <c r="R2816" t="s">
        <v>47428</v>
      </c>
      <c r="S2816" t="s">
        <v>47541</v>
      </c>
      <c r="T2816" t="s">
        <v>49229</v>
      </c>
      <c r="U2816" t="s">
        <v>52082</v>
      </c>
      <c r="W2816" t="s">
        <v>44285</v>
      </c>
      <c r="X2816" t="s">
        <v>47430</v>
      </c>
    </row>
    <row r="2817" spans="1:24">
      <c r="A2817">
        <f>HYPERLINK("https://www.philgeps.gov.ph/GEPSNONPILOT/Tender/SplashBidNoticeAbstractUI.aspx?menuIndex=3&amp;refID=7162592&amp;Result=3","7162592")</f>
        <v>0</v>
      </c>
      <c r="B2817" t="s">
        <v>1218</v>
      </c>
      <c r="C2817" t="s">
        <v>6587</v>
      </c>
      <c r="D2817" t="s">
        <v>19030</v>
      </c>
      <c r="E2817" t="s">
        <v>21654</v>
      </c>
      <c r="F2817" t="s">
        <v>32831</v>
      </c>
      <c r="G2817" t="s">
        <v>32840</v>
      </c>
      <c r="H2817" t="s">
        <v>32848</v>
      </c>
      <c r="I2817" t="s">
        <v>32857</v>
      </c>
      <c r="J2817" t="s">
        <v>34883</v>
      </c>
      <c r="K2817" t="s">
        <v>42732</v>
      </c>
      <c r="M2817" t="s">
        <v>44286</v>
      </c>
      <c r="N2817" t="s">
        <v>47424</v>
      </c>
      <c r="O2817" t="s">
        <v>47425</v>
      </c>
      <c r="P2817">
        <v>0</v>
      </c>
      <c r="Q2817">
        <v>4</v>
      </c>
      <c r="R2817" t="s">
        <v>47428</v>
      </c>
      <c r="S2817" t="s">
        <v>47541</v>
      </c>
      <c r="T2817" t="s">
        <v>49109</v>
      </c>
      <c r="U2817" t="s">
        <v>52083</v>
      </c>
      <c r="V2817" t="s">
        <v>62926</v>
      </c>
      <c r="W2817" t="s">
        <v>44286</v>
      </c>
      <c r="X2817" t="s">
        <v>47430</v>
      </c>
    </row>
    <row r="2818" spans="1:24">
      <c r="A2818">
        <f>HYPERLINK("https://www.philgeps.gov.ph/GEPSNONPILOT/Tender/SplashBidNoticeAbstractUI.aspx?menuIndex=3&amp;refID=7162606&amp;Result=3","7162606")</f>
        <v>0</v>
      </c>
      <c r="B2818" t="s">
        <v>654</v>
      </c>
      <c r="C2818" t="s">
        <v>6588</v>
      </c>
      <c r="D2818" t="s">
        <v>19071</v>
      </c>
      <c r="E2818" t="s">
        <v>21655</v>
      </c>
      <c r="F2818" t="s">
        <v>32831</v>
      </c>
      <c r="G2818" t="s">
        <v>32841</v>
      </c>
      <c r="H2818" t="s">
        <v>32848</v>
      </c>
      <c r="I2818" t="s">
        <v>7751</v>
      </c>
      <c r="J2818" t="s">
        <v>33561</v>
      </c>
      <c r="K2818" t="s">
        <v>42731</v>
      </c>
      <c r="M2818" t="s">
        <v>43672</v>
      </c>
      <c r="N2818" t="s">
        <v>47424</v>
      </c>
      <c r="O2818" t="s">
        <v>47425</v>
      </c>
      <c r="P2818">
        <v>0</v>
      </c>
      <c r="Q2818">
        <v>2</v>
      </c>
      <c r="R2818" t="s">
        <v>47428</v>
      </c>
      <c r="S2818" t="s">
        <v>47541</v>
      </c>
      <c r="T2818" t="s">
        <v>49055</v>
      </c>
      <c r="U2818" t="s">
        <v>52084</v>
      </c>
      <c r="W2818" t="s">
        <v>43672</v>
      </c>
      <c r="X2818" t="s">
        <v>47430</v>
      </c>
    </row>
    <row r="2819" spans="1:24">
      <c r="A2819">
        <f>HYPERLINK("https://www.philgeps.gov.ph/GEPSNONPILOT/Tender/SplashBidNoticeAbstractUI.aspx?menuIndex=3&amp;refID=7162567&amp;Result=3","7162567")</f>
        <v>0</v>
      </c>
      <c r="B2819" t="s">
        <v>1203</v>
      </c>
      <c r="C2819" t="s">
        <v>6589</v>
      </c>
      <c r="D2819" t="s">
        <v>19029</v>
      </c>
      <c r="E2819" t="s">
        <v>6589</v>
      </c>
      <c r="F2819" t="s">
        <v>32831</v>
      </c>
      <c r="G2819" t="s">
        <v>32838</v>
      </c>
      <c r="H2819" t="s">
        <v>32849</v>
      </c>
      <c r="I2819" t="s">
        <v>4177</v>
      </c>
      <c r="J2819" t="s">
        <v>34884</v>
      </c>
      <c r="K2819" t="s">
        <v>42729</v>
      </c>
      <c r="L2819" t="s">
        <v>1203</v>
      </c>
      <c r="M2819" t="s">
        <v>44270</v>
      </c>
      <c r="N2819" t="s">
        <v>47424</v>
      </c>
      <c r="O2819" t="s">
        <v>47425</v>
      </c>
      <c r="P2819">
        <v>0</v>
      </c>
      <c r="Q2819">
        <v>0</v>
      </c>
      <c r="R2819" t="s">
        <v>47428</v>
      </c>
      <c r="S2819" t="s">
        <v>47541</v>
      </c>
      <c r="T2819" t="s">
        <v>49124</v>
      </c>
      <c r="U2819" t="s">
        <v>52085</v>
      </c>
      <c r="W2819" t="s">
        <v>44270</v>
      </c>
      <c r="X2819" t="s">
        <v>47430</v>
      </c>
    </row>
    <row r="2820" spans="1:24">
      <c r="A2820">
        <f>HYPERLINK("https://www.philgeps.gov.ph/GEPSNONPILOT/Tender/SplashBidNoticeAbstractUI.aspx?menuIndex=3&amp;refID=7162523&amp;Result=3","7162523")</f>
        <v>0</v>
      </c>
      <c r="B2820" t="s">
        <v>694</v>
      </c>
      <c r="C2820" t="s">
        <v>6590</v>
      </c>
      <c r="E2820" t="s">
        <v>21656</v>
      </c>
      <c r="F2820" t="s">
        <v>32831</v>
      </c>
      <c r="G2820" t="s">
        <v>32838</v>
      </c>
      <c r="H2820" t="s">
        <v>32848</v>
      </c>
      <c r="I2820" t="s">
        <v>4340</v>
      </c>
      <c r="J2820" t="s">
        <v>33067</v>
      </c>
      <c r="K2820" t="s">
        <v>42731</v>
      </c>
      <c r="M2820" t="s">
        <v>43713</v>
      </c>
      <c r="N2820" t="s">
        <v>47424</v>
      </c>
      <c r="O2820" t="s">
        <v>47425</v>
      </c>
      <c r="P2820">
        <v>0</v>
      </c>
      <c r="Q2820">
        <v>0</v>
      </c>
      <c r="R2820" t="s">
        <v>47428</v>
      </c>
      <c r="S2820" t="s">
        <v>47541</v>
      </c>
      <c r="T2820" t="s">
        <v>49061</v>
      </c>
      <c r="U2820" t="s">
        <v>52086</v>
      </c>
      <c r="V2820" t="s">
        <v>62786</v>
      </c>
      <c r="W2820" t="s">
        <v>43713</v>
      </c>
      <c r="X2820" t="s">
        <v>47430</v>
      </c>
    </row>
    <row r="2821" spans="1:24">
      <c r="A2821">
        <f>HYPERLINK("https://www.philgeps.gov.ph/GEPSNONPILOT/Tender/SplashBidNoticeAbstractUI.aspx?menuIndex=3&amp;refID=7162601&amp;Result=3","7162601")</f>
        <v>0</v>
      </c>
      <c r="B2821" t="s">
        <v>1219</v>
      </c>
      <c r="C2821" t="s">
        <v>6591</v>
      </c>
      <c r="D2821" t="s">
        <v>19021</v>
      </c>
      <c r="E2821" t="s">
        <v>21657</v>
      </c>
      <c r="F2821" t="s">
        <v>32831</v>
      </c>
      <c r="G2821" t="s">
        <v>32838</v>
      </c>
      <c r="H2821" t="s">
        <v>32848</v>
      </c>
      <c r="I2821" t="s">
        <v>7416</v>
      </c>
      <c r="J2821" t="s">
        <v>33706</v>
      </c>
      <c r="K2821" t="s">
        <v>42726</v>
      </c>
      <c r="M2821" t="s">
        <v>44287</v>
      </c>
      <c r="N2821" t="s">
        <v>47424</v>
      </c>
      <c r="O2821" t="s">
        <v>47425</v>
      </c>
      <c r="P2821">
        <v>0</v>
      </c>
      <c r="Q2821">
        <v>0</v>
      </c>
      <c r="R2821" t="s">
        <v>47428</v>
      </c>
      <c r="S2821" t="s">
        <v>47541</v>
      </c>
      <c r="T2821" t="s">
        <v>49111</v>
      </c>
      <c r="U2821" t="s">
        <v>52087</v>
      </c>
      <c r="V2821" t="s">
        <v>62927</v>
      </c>
      <c r="W2821" t="s">
        <v>44287</v>
      </c>
      <c r="X2821" t="s">
        <v>47430</v>
      </c>
    </row>
    <row r="2822" spans="1:24">
      <c r="A2822">
        <f>HYPERLINK("https://www.philgeps.gov.ph/GEPSNONPILOT/Tender/SplashBidNoticeAbstractUI.aspx?menuIndex=3&amp;refID=7162623&amp;Result=3","7162623")</f>
        <v>0</v>
      </c>
      <c r="B2822" t="s">
        <v>654</v>
      </c>
      <c r="C2822" t="s">
        <v>6592</v>
      </c>
      <c r="D2822" t="s">
        <v>19071</v>
      </c>
      <c r="E2822" t="s">
        <v>21658</v>
      </c>
      <c r="F2822" t="s">
        <v>32831</v>
      </c>
      <c r="G2822" t="s">
        <v>32841</v>
      </c>
      <c r="H2822" t="s">
        <v>32848</v>
      </c>
      <c r="I2822" t="s">
        <v>9577</v>
      </c>
      <c r="J2822" t="s">
        <v>33086</v>
      </c>
      <c r="K2822" t="s">
        <v>42731</v>
      </c>
      <c r="M2822" t="s">
        <v>43672</v>
      </c>
      <c r="N2822" t="s">
        <v>47424</v>
      </c>
      <c r="O2822" t="s">
        <v>47425</v>
      </c>
      <c r="P2822">
        <v>0</v>
      </c>
      <c r="Q2822">
        <v>0</v>
      </c>
      <c r="R2822" t="s">
        <v>47428</v>
      </c>
      <c r="S2822" t="s">
        <v>47541</v>
      </c>
      <c r="T2822" t="s">
        <v>49055</v>
      </c>
      <c r="U2822" t="s">
        <v>52088</v>
      </c>
      <c r="W2822" t="s">
        <v>43672</v>
      </c>
      <c r="X2822" t="s">
        <v>47430</v>
      </c>
    </row>
    <row r="2823" spans="1:24">
      <c r="A2823">
        <f>HYPERLINK("https://www.philgeps.gov.ph/GEPSNONPILOT/Tender/SplashBidNoticeAbstractUI.aspx?menuIndex=3&amp;refID=7162560&amp;Result=3","7162560")</f>
        <v>0</v>
      </c>
      <c r="B2823" t="s">
        <v>1168</v>
      </c>
      <c r="C2823" t="s">
        <v>5029</v>
      </c>
      <c r="D2823" t="s">
        <v>19026</v>
      </c>
      <c r="E2823" t="s">
        <v>21659</v>
      </c>
      <c r="F2823" t="s">
        <v>32831</v>
      </c>
      <c r="G2823" t="s">
        <v>32838</v>
      </c>
      <c r="H2823" t="s">
        <v>32848</v>
      </c>
      <c r="I2823" t="s">
        <v>9577</v>
      </c>
      <c r="J2823" t="s">
        <v>34885</v>
      </c>
      <c r="K2823" t="s">
        <v>42731</v>
      </c>
      <c r="M2823" t="s">
        <v>44233</v>
      </c>
      <c r="N2823" t="s">
        <v>47424</v>
      </c>
      <c r="O2823" t="s">
        <v>47425</v>
      </c>
      <c r="P2823">
        <v>0</v>
      </c>
      <c r="Q2823">
        <v>0</v>
      </c>
      <c r="R2823" t="s">
        <v>47428</v>
      </c>
      <c r="S2823" t="s">
        <v>47541</v>
      </c>
      <c r="T2823" t="s">
        <v>49237</v>
      </c>
      <c r="U2823" t="s">
        <v>52089</v>
      </c>
      <c r="W2823" t="s">
        <v>44233</v>
      </c>
      <c r="X2823" t="s">
        <v>47430</v>
      </c>
    </row>
    <row r="2824" spans="1:24">
      <c r="A2824">
        <f>HYPERLINK("https://www.philgeps.gov.ph/GEPSNONPILOT/Tender/SplashBidNoticeAbstractUI.aspx?menuIndex=3&amp;refID=7162620&amp;Result=3","7162620")</f>
        <v>0</v>
      </c>
      <c r="B2824" t="s">
        <v>1149</v>
      </c>
      <c r="C2824" t="s">
        <v>6593</v>
      </c>
      <c r="D2824" t="s">
        <v>19079</v>
      </c>
      <c r="E2824" t="s">
        <v>21660</v>
      </c>
      <c r="F2824" t="s">
        <v>32831</v>
      </c>
      <c r="G2824" t="s">
        <v>32838</v>
      </c>
      <c r="H2824" t="s">
        <v>32848</v>
      </c>
      <c r="I2824" t="s">
        <v>32862</v>
      </c>
      <c r="J2824" t="s">
        <v>33226</v>
      </c>
      <c r="K2824" t="s">
        <v>42732</v>
      </c>
      <c r="M2824" t="s">
        <v>44213</v>
      </c>
      <c r="N2824" t="s">
        <v>47424</v>
      </c>
      <c r="O2824" t="s">
        <v>47425</v>
      </c>
      <c r="P2824">
        <v>0</v>
      </c>
      <c r="Q2824">
        <v>1</v>
      </c>
      <c r="R2824" t="s">
        <v>47428</v>
      </c>
      <c r="S2824" t="s">
        <v>47541</v>
      </c>
      <c r="T2824" t="s">
        <v>49198</v>
      </c>
      <c r="U2824" t="s">
        <v>52090</v>
      </c>
      <c r="W2824" t="s">
        <v>44213</v>
      </c>
      <c r="X2824" t="s">
        <v>47430</v>
      </c>
    </row>
    <row r="2825" spans="1:24">
      <c r="A2825">
        <f>HYPERLINK("https://www.philgeps.gov.ph/GEPSNONPILOT/Tender/SplashBidNoticeAbstractUI.aspx?menuIndex=3&amp;refID=7162593&amp;Result=3","7162593")</f>
        <v>0</v>
      </c>
      <c r="B2825" t="s">
        <v>1220</v>
      </c>
      <c r="C2825" t="s">
        <v>6594</v>
      </c>
      <c r="D2825" t="s">
        <v>19021</v>
      </c>
      <c r="E2825" t="s">
        <v>21554</v>
      </c>
      <c r="F2825" t="s">
        <v>32831</v>
      </c>
      <c r="G2825" t="s">
        <v>32839</v>
      </c>
      <c r="H2825" t="s">
        <v>32848</v>
      </c>
      <c r="I2825" t="s">
        <v>7416</v>
      </c>
      <c r="J2825" t="s">
        <v>34886</v>
      </c>
      <c r="K2825" t="s">
        <v>42726</v>
      </c>
      <c r="M2825" t="s">
        <v>44288</v>
      </c>
      <c r="N2825" t="s">
        <v>47424</v>
      </c>
      <c r="O2825" t="s">
        <v>47425</v>
      </c>
      <c r="P2825">
        <v>0</v>
      </c>
      <c r="Q2825">
        <v>0</v>
      </c>
      <c r="R2825" t="s">
        <v>47428</v>
      </c>
      <c r="S2825" t="s">
        <v>47541</v>
      </c>
      <c r="T2825" t="s">
        <v>49241</v>
      </c>
      <c r="U2825" t="s">
        <v>52091</v>
      </c>
      <c r="V2825" t="s">
        <v>62928</v>
      </c>
      <c r="W2825" t="s">
        <v>44288</v>
      </c>
      <c r="X2825" t="s">
        <v>47430</v>
      </c>
    </row>
    <row r="2826" spans="1:24">
      <c r="A2826">
        <f>HYPERLINK("https://www.philgeps.gov.ph/GEPSNONPILOT/Tender/SplashBidNoticeAbstractUI.aspx?menuIndex=3&amp;refID=7162607&amp;Result=3","7162607")</f>
        <v>0</v>
      </c>
      <c r="B2826" t="s">
        <v>1164</v>
      </c>
      <c r="C2826" t="s">
        <v>6595</v>
      </c>
      <c r="D2826" t="s">
        <v>19057</v>
      </c>
      <c r="E2826" t="s">
        <v>21661</v>
      </c>
      <c r="F2826" t="s">
        <v>32831</v>
      </c>
      <c r="G2826" t="s">
        <v>32838</v>
      </c>
      <c r="H2826" t="s">
        <v>32848</v>
      </c>
      <c r="I2826" t="s">
        <v>6595</v>
      </c>
      <c r="J2826" t="s">
        <v>34887</v>
      </c>
      <c r="K2826" t="s">
        <v>42747</v>
      </c>
      <c r="M2826" t="s">
        <v>44229</v>
      </c>
      <c r="N2826" t="s">
        <v>47424</v>
      </c>
      <c r="O2826" t="s">
        <v>47425</v>
      </c>
      <c r="P2826">
        <v>0</v>
      </c>
      <c r="Q2826">
        <v>1</v>
      </c>
      <c r="R2826" t="s">
        <v>47428</v>
      </c>
      <c r="S2826" t="s">
        <v>47541</v>
      </c>
      <c r="T2826" t="s">
        <v>49237</v>
      </c>
      <c r="U2826" t="s">
        <v>52092</v>
      </c>
      <c r="V2826" t="s">
        <v>62914</v>
      </c>
      <c r="W2826" t="s">
        <v>44229</v>
      </c>
      <c r="X2826" t="s">
        <v>47430</v>
      </c>
    </row>
    <row r="2827" spans="1:24">
      <c r="A2827">
        <f>HYPERLINK("https://www.philgeps.gov.ph/GEPSNONPILOT/Tender/SplashBidNoticeAbstractUI.aspx?menuIndex=3&amp;refID=7162616&amp;Result=3","7162616")</f>
        <v>0</v>
      </c>
      <c r="B2827" t="s">
        <v>1221</v>
      </c>
      <c r="C2827" t="s">
        <v>6596</v>
      </c>
      <c r="E2827" t="s">
        <v>21662</v>
      </c>
      <c r="F2827" t="s">
        <v>32831</v>
      </c>
      <c r="G2827" t="s">
        <v>32838</v>
      </c>
      <c r="H2827" t="s">
        <v>32848</v>
      </c>
      <c r="I2827" t="s">
        <v>4438</v>
      </c>
      <c r="J2827" t="s">
        <v>32980</v>
      </c>
      <c r="K2827" t="s">
        <v>42726</v>
      </c>
      <c r="M2827" t="s">
        <v>44289</v>
      </c>
      <c r="N2827" t="s">
        <v>47424</v>
      </c>
      <c r="O2827" t="s">
        <v>47425</v>
      </c>
      <c r="P2827">
        <v>0</v>
      </c>
      <c r="Q2827">
        <v>0</v>
      </c>
      <c r="R2827" t="s">
        <v>47428</v>
      </c>
      <c r="S2827" t="s">
        <v>47541</v>
      </c>
      <c r="T2827" t="s">
        <v>49237</v>
      </c>
      <c r="U2827" t="s">
        <v>52093</v>
      </c>
      <c r="V2827" t="s">
        <v>62929</v>
      </c>
      <c r="W2827" t="s">
        <v>44289</v>
      </c>
      <c r="X2827" t="s">
        <v>47430</v>
      </c>
    </row>
    <row r="2828" spans="1:24">
      <c r="A2828">
        <f>HYPERLINK("https://www.philgeps.gov.ph/GEPSNONPILOT/Tender/SplashBidNoticeAbstractUI.aspx?menuIndex=3&amp;refID=7162615&amp;Result=3","7162615")</f>
        <v>0</v>
      </c>
      <c r="B2828" t="s">
        <v>648</v>
      </c>
      <c r="C2828" t="s">
        <v>6597</v>
      </c>
      <c r="D2828" t="s">
        <v>19044</v>
      </c>
      <c r="E2828" t="s">
        <v>21663</v>
      </c>
      <c r="F2828" t="s">
        <v>32831</v>
      </c>
      <c r="G2828" t="s">
        <v>32838</v>
      </c>
      <c r="H2828" t="s">
        <v>32848</v>
      </c>
      <c r="I2828" t="s">
        <v>32948</v>
      </c>
      <c r="J2828" t="s">
        <v>33430</v>
      </c>
      <c r="K2828" t="s">
        <v>42730</v>
      </c>
      <c r="M2828" t="s">
        <v>43665</v>
      </c>
      <c r="N2828" t="s">
        <v>47424</v>
      </c>
      <c r="O2828" t="s">
        <v>47425</v>
      </c>
      <c r="P2828">
        <v>0</v>
      </c>
      <c r="Q2828">
        <v>0</v>
      </c>
      <c r="R2828" t="s">
        <v>47428</v>
      </c>
      <c r="S2828" t="s">
        <v>47541</v>
      </c>
      <c r="T2828" t="s">
        <v>49103</v>
      </c>
      <c r="U2828" t="s">
        <v>52094</v>
      </c>
      <c r="W2828" t="s">
        <v>43665</v>
      </c>
      <c r="X2828" t="s">
        <v>47430</v>
      </c>
    </row>
    <row r="2829" spans="1:24">
      <c r="A2829">
        <f>HYPERLINK("https://www.philgeps.gov.ph/GEPSNONPILOT/Tender/SplashBidNoticeAbstractUI.aspx?menuIndex=3&amp;refID=7162613&amp;Result=3","7162613")</f>
        <v>0</v>
      </c>
      <c r="B2829" t="s">
        <v>1222</v>
      </c>
      <c r="C2829" t="s">
        <v>6598</v>
      </c>
      <c r="D2829" t="s">
        <v>19088</v>
      </c>
      <c r="E2829" t="s">
        <v>21664</v>
      </c>
      <c r="F2829" t="s">
        <v>32831</v>
      </c>
      <c r="G2829" t="s">
        <v>32840</v>
      </c>
      <c r="H2829" t="s">
        <v>32848</v>
      </c>
      <c r="I2829" t="s">
        <v>32887</v>
      </c>
      <c r="J2829" t="s">
        <v>34888</v>
      </c>
      <c r="K2829" t="s">
        <v>42748</v>
      </c>
      <c r="M2829" t="s">
        <v>44290</v>
      </c>
      <c r="N2829" t="s">
        <v>47424</v>
      </c>
      <c r="O2829" t="s">
        <v>47425</v>
      </c>
      <c r="P2829">
        <v>0</v>
      </c>
      <c r="Q2829">
        <v>5</v>
      </c>
      <c r="R2829" t="s">
        <v>47428</v>
      </c>
      <c r="S2829" t="s">
        <v>47541</v>
      </c>
      <c r="T2829" t="s">
        <v>49145</v>
      </c>
      <c r="U2829" t="s">
        <v>52095</v>
      </c>
      <c r="W2829" t="s">
        <v>44290</v>
      </c>
      <c r="X2829" t="s">
        <v>47430</v>
      </c>
    </row>
    <row r="2830" spans="1:24">
      <c r="A2830">
        <f>HYPERLINK("https://www.philgeps.gov.ph/GEPSNONPILOT/Tender/SplashBidNoticeAbstractUI.aspx?menuIndex=3&amp;refID=7162610&amp;Result=3","7162610")</f>
        <v>0</v>
      </c>
      <c r="B2830" t="s">
        <v>1223</v>
      </c>
      <c r="C2830" t="s">
        <v>6599</v>
      </c>
      <c r="D2830" t="s">
        <v>19020</v>
      </c>
      <c r="E2830" t="s">
        <v>21665</v>
      </c>
      <c r="F2830" t="s">
        <v>32831</v>
      </c>
      <c r="G2830" t="s">
        <v>32838</v>
      </c>
      <c r="H2830" t="s">
        <v>32848</v>
      </c>
      <c r="I2830" t="s">
        <v>9577</v>
      </c>
      <c r="J2830" t="s">
        <v>33841</v>
      </c>
      <c r="K2830" t="s">
        <v>42726</v>
      </c>
      <c r="M2830" t="s">
        <v>44291</v>
      </c>
      <c r="N2830" t="s">
        <v>47424</v>
      </c>
      <c r="O2830" t="s">
        <v>47425</v>
      </c>
      <c r="P2830">
        <v>0</v>
      </c>
      <c r="Q2830">
        <v>0</v>
      </c>
      <c r="R2830" t="s">
        <v>47428</v>
      </c>
      <c r="S2830" t="s">
        <v>47541</v>
      </c>
      <c r="T2830" t="s">
        <v>49237</v>
      </c>
      <c r="U2830" t="s">
        <v>52096</v>
      </c>
      <c r="W2830" t="s">
        <v>44291</v>
      </c>
      <c r="X2830" t="s">
        <v>47430</v>
      </c>
    </row>
    <row r="2831" spans="1:24">
      <c r="A2831">
        <f>HYPERLINK("https://www.philgeps.gov.ph/GEPSNONPILOT/Tender/SplashBidNoticeAbstractUI.aspx?menuIndex=3&amp;refID=7162608&amp;Result=3","7162608")</f>
        <v>0</v>
      </c>
      <c r="B2831" t="s">
        <v>639</v>
      </c>
      <c r="C2831" t="s">
        <v>6600</v>
      </c>
      <c r="D2831" t="s">
        <v>19017</v>
      </c>
      <c r="E2831" t="s">
        <v>6600</v>
      </c>
      <c r="F2831" t="s">
        <v>32831</v>
      </c>
      <c r="G2831" t="s">
        <v>32838</v>
      </c>
      <c r="H2831" t="s">
        <v>32848</v>
      </c>
      <c r="I2831" t="s">
        <v>4776</v>
      </c>
      <c r="J2831" t="s">
        <v>34889</v>
      </c>
      <c r="K2831" t="s">
        <v>42730</v>
      </c>
      <c r="M2831" t="s">
        <v>43656</v>
      </c>
      <c r="N2831" t="s">
        <v>47424</v>
      </c>
      <c r="O2831" t="s">
        <v>47425</v>
      </c>
      <c r="P2831">
        <v>0</v>
      </c>
      <c r="Q2831">
        <v>1</v>
      </c>
      <c r="R2831" t="s">
        <v>47428</v>
      </c>
      <c r="S2831" t="s">
        <v>47541</v>
      </c>
      <c r="T2831" t="s">
        <v>49235</v>
      </c>
      <c r="U2831" t="s">
        <v>52097</v>
      </c>
      <c r="W2831" t="s">
        <v>43656</v>
      </c>
      <c r="X2831" t="s">
        <v>47430</v>
      </c>
    </row>
    <row r="2832" spans="1:24">
      <c r="A2832">
        <f>HYPERLINK("https://www.philgeps.gov.ph/GEPSNONPILOT/Tender/SplashBidNoticeAbstractUI.aspx?menuIndex=3&amp;refID=7162599&amp;Result=3","7162599")</f>
        <v>0</v>
      </c>
      <c r="B2832" t="s">
        <v>1162</v>
      </c>
      <c r="C2832" t="s">
        <v>6601</v>
      </c>
      <c r="D2832" t="s">
        <v>19050</v>
      </c>
      <c r="E2832" t="s">
        <v>6601</v>
      </c>
      <c r="F2832" t="s">
        <v>32831</v>
      </c>
      <c r="G2832" t="s">
        <v>32841</v>
      </c>
      <c r="H2832" t="s">
        <v>32848</v>
      </c>
      <c r="I2832" t="s">
        <v>4487</v>
      </c>
      <c r="J2832" t="s">
        <v>34890</v>
      </c>
      <c r="K2832" t="s">
        <v>42730</v>
      </c>
      <c r="M2832" t="s">
        <v>44227</v>
      </c>
      <c r="N2832" t="s">
        <v>47424</v>
      </c>
      <c r="O2832" t="s">
        <v>47425</v>
      </c>
      <c r="P2832">
        <v>0</v>
      </c>
      <c r="Q2832">
        <v>3</v>
      </c>
      <c r="R2832" t="s">
        <v>47428</v>
      </c>
      <c r="S2832" t="s">
        <v>47541</v>
      </c>
      <c r="T2832" t="s">
        <v>49150</v>
      </c>
      <c r="U2832" t="s">
        <v>52098</v>
      </c>
      <c r="W2832" t="s">
        <v>44227</v>
      </c>
      <c r="X2832" t="s">
        <v>47430</v>
      </c>
    </row>
    <row r="2833" spans="1:24">
      <c r="A2833">
        <f>HYPERLINK("https://www.philgeps.gov.ph/GEPSNONPILOT/Tender/SplashBidNoticeAbstractUI.aspx?menuIndex=3&amp;refID=7162611&amp;Result=3","7162611")</f>
        <v>0</v>
      </c>
      <c r="B2833" t="s">
        <v>1162</v>
      </c>
      <c r="C2833" t="s">
        <v>6602</v>
      </c>
      <c r="D2833" t="s">
        <v>19050</v>
      </c>
      <c r="E2833" t="s">
        <v>6602</v>
      </c>
      <c r="F2833" t="s">
        <v>32831</v>
      </c>
      <c r="G2833" t="s">
        <v>32841</v>
      </c>
      <c r="H2833" t="s">
        <v>32848</v>
      </c>
      <c r="I2833" t="s">
        <v>32867</v>
      </c>
      <c r="J2833" t="s">
        <v>33714</v>
      </c>
      <c r="K2833" t="s">
        <v>42730</v>
      </c>
      <c r="M2833" t="s">
        <v>44227</v>
      </c>
      <c r="N2833" t="s">
        <v>47424</v>
      </c>
      <c r="O2833" t="s">
        <v>47425</v>
      </c>
      <c r="P2833">
        <v>0</v>
      </c>
      <c r="Q2833">
        <v>4</v>
      </c>
      <c r="R2833" t="s">
        <v>47428</v>
      </c>
      <c r="S2833" t="s">
        <v>47541</v>
      </c>
      <c r="T2833" t="s">
        <v>49150</v>
      </c>
      <c r="U2833" t="s">
        <v>52099</v>
      </c>
      <c r="W2833" t="s">
        <v>44227</v>
      </c>
      <c r="X2833" t="s">
        <v>47430</v>
      </c>
    </row>
    <row r="2834" spans="1:24">
      <c r="A2834">
        <f>HYPERLINK("https://www.philgeps.gov.ph/GEPSNONPILOT/Tender/SplashBidNoticeAbstractUI.aspx?menuIndex=3&amp;refID=7162600&amp;Result=3","7162600")</f>
        <v>0</v>
      </c>
      <c r="B2834" t="s">
        <v>1206</v>
      </c>
      <c r="C2834" t="s">
        <v>6603</v>
      </c>
      <c r="D2834" t="s">
        <v>19082</v>
      </c>
      <c r="E2834" t="s">
        <v>21666</v>
      </c>
      <c r="F2834" t="s">
        <v>32831</v>
      </c>
      <c r="G2834" t="s">
        <v>32838</v>
      </c>
      <c r="H2834" t="s">
        <v>32848</v>
      </c>
      <c r="I2834" t="s">
        <v>4487</v>
      </c>
      <c r="J2834" t="s">
        <v>33184</v>
      </c>
      <c r="K2834" t="s">
        <v>42732</v>
      </c>
      <c r="M2834" t="s">
        <v>44273</v>
      </c>
      <c r="N2834" t="s">
        <v>47424</v>
      </c>
      <c r="O2834" t="s">
        <v>47425</v>
      </c>
      <c r="P2834">
        <v>0</v>
      </c>
      <c r="Q2834">
        <v>1</v>
      </c>
      <c r="R2834" t="s">
        <v>47428</v>
      </c>
      <c r="S2834" t="s">
        <v>47541</v>
      </c>
      <c r="T2834" t="s">
        <v>49166</v>
      </c>
      <c r="U2834" t="s">
        <v>52100</v>
      </c>
      <c r="W2834" t="s">
        <v>44273</v>
      </c>
      <c r="X2834" t="s">
        <v>47430</v>
      </c>
    </row>
    <row r="2835" spans="1:24">
      <c r="A2835">
        <f>HYPERLINK("https://www.philgeps.gov.ph/GEPSNONPILOT/Tender/SplashBidNoticeAbstractUI.aspx?menuIndex=3&amp;refID=7162594&amp;Result=3","7162594")</f>
        <v>0</v>
      </c>
      <c r="B2835" t="s">
        <v>1224</v>
      </c>
      <c r="C2835" t="s">
        <v>6604</v>
      </c>
      <c r="D2835" t="s">
        <v>19039</v>
      </c>
      <c r="E2835" t="s">
        <v>21667</v>
      </c>
      <c r="F2835" t="s">
        <v>32831</v>
      </c>
      <c r="G2835" t="s">
        <v>32839</v>
      </c>
      <c r="H2835" t="s">
        <v>32848</v>
      </c>
      <c r="I2835" t="s">
        <v>7416</v>
      </c>
      <c r="J2835" t="s">
        <v>34891</v>
      </c>
      <c r="K2835" t="s">
        <v>42729</v>
      </c>
      <c r="M2835" t="s">
        <v>44292</v>
      </c>
      <c r="N2835" t="s">
        <v>47424</v>
      </c>
      <c r="O2835" t="s">
        <v>47425</v>
      </c>
      <c r="P2835">
        <v>0</v>
      </c>
      <c r="Q2835">
        <v>0</v>
      </c>
      <c r="R2835" t="s">
        <v>47428</v>
      </c>
      <c r="S2835" t="s">
        <v>47541</v>
      </c>
      <c r="T2835" t="s">
        <v>49327</v>
      </c>
      <c r="U2835" t="s">
        <v>52101</v>
      </c>
      <c r="V2835" t="s">
        <v>62930</v>
      </c>
      <c r="W2835" t="s">
        <v>44292</v>
      </c>
      <c r="X2835" t="s">
        <v>47430</v>
      </c>
    </row>
    <row r="2836" spans="1:24">
      <c r="A2836">
        <f>HYPERLINK("https://www.philgeps.gov.ph/GEPSNONPILOT/Tender/SplashBidNoticeAbstractUI.aspx?menuIndex=3&amp;refID=7162582&amp;Result=3","7162582")</f>
        <v>0</v>
      </c>
      <c r="B2836" t="s">
        <v>1225</v>
      </c>
      <c r="C2836" t="s">
        <v>6605</v>
      </c>
      <c r="D2836" t="s">
        <v>19023</v>
      </c>
      <c r="E2836" t="s">
        <v>21668</v>
      </c>
      <c r="F2836" t="s">
        <v>32831</v>
      </c>
      <c r="G2836" t="s">
        <v>32838</v>
      </c>
      <c r="H2836" t="s">
        <v>32848</v>
      </c>
      <c r="I2836" t="s">
        <v>7416</v>
      </c>
      <c r="J2836" t="s">
        <v>34892</v>
      </c>
      <c r="K2836" t="s">
        <v>42726</v>
      </c>
      <c r="M2836" t="s">
        <v>44293</v>
      </c>
      <c r="N2836" t="s">
        <v>47424</v>
      </c>
      <c r="O2836" t="s">
        <v>47425</v>
      </c>
      <c r="P2836">
        <v>0</v>
      </c>
      <c r="Q2836">
        <v>2</v>
      </c>
      <c r="R2836" t="s">
        <v>47428</v>
      </c>
      <c r="S2836" t="s">
        <v>47541</v>
      </c>
      <c r="T2836" t="s">
        <v>49328</v>
      </c>
      <c r="U2836" t="s">
        <v>52102</v>
      </c>
      <c r="W2836" t="s">
        <v>44293</v>
      </c>
      <c r="X2836" t="s">
        <v>47430</v>
      </c>
    </row>
    <row r="2837" spans="1:24">
      <c r="A2837">
        <f>HYPERLINK("https://www.philgeps.gov.ph/GEPSNONPILOT/Tender/SplashBidNoticeAbstractUI.aspx?menuIndex=3&amp;refID=7162653&amp;Result=3","7162653")</f>
        <v>0</v>
      </c>
      <c r="B2837" t="s">
        <v>733</v>
      </c>
      <c r="C2837" t="s">
        <v>6606</v>
      </c>
      <c r="D2837" t="s">
        <v>19034</v>
      </c>
      <c r="E2837" t="s">
        <v>21669</v>
      </c>
      <c r="F2837" t="s">
        <v>32831</v>
      </c>
      <c r="G2837" t="s">
        <v>32838</v>
      </c>
      <c r="H2837" t="s">
        <v>32848</v>
      </c>
      <c r="I2837" t="s">
        <v>32870</v>
      </c>
      <c r="J2837" t="s">
        <v>34893</v>
      </c>
      <c r="K2837" t="s">
        <v>42758</v>
      </c>
      <c r="M2837" t="s">
        <v>43755</v>
      </c>
      <c r="N2837" t="s">
        <v>47424</v>
      </c>
      <c r="O2837" t="s">
        <v>47425</v>
      </c>
      <c r="P2837">
        <v>0</v>
      </c>
      <c r="Q2837">
        <v>0</v>
      </c>
      <c r="R2837" t="s">
        <v>47428</v>
      </c>
      <c r="S2837" t="s">
        <v>47541</v>
      </c>
      <c r="T2837" t="s">
        <v>49237</v>
      </c>
      <c r="U2837" t="s">
        <v>52103</v>
      </c>
      <c r="W2837" t="s">
        <v>43755</v>
      </c>
      <c r="X2837" t="s">
        <v>47430</v>
      </c>
    </row>
    <row r="2838" spans="1:24">
      <c r="A2838">
        <f>HYPERLINK("https://www.philgeps.gov.ph/GEPSNONPILOT/Tender/SplashBidNoticeAbstractUI.aspx?menuIndex=3&amp;refID=7162648&amp;Result=3","7162648")</f>
        <v>0</v>
      </c>
      <c r="B2838" t="s">
        <v>82</v>
      </c>
      <c r="C2838" t="s">
        <v>6607</v>
      </c>
      <c r="D2838" t="s">
        <v>19043</v>
      </c>
      <c r="E2838" t="s">
        <v>21670</v>
      </c>
      <c r="F2838" t="s">
        <v>32831</v>
      </c>
      <c r="G2838" t="s">
        <v>32838</v>
      </c>
      <c r="H2838" t="s">
        <v>32848</v>
      </c>
      <c r="I2838" t="s">
        <v>32856</v>
      </c>
      <c r="J2838" t="s">
        <v>33223</v>
      </c>
      <c r="K2838" t="s">
        <v>42730</v>
      </c>
      <c r="M2838" t="s">
        <v>44198</v>
      </c>
      <c r="N2838" t="s">
        <v>47424</v>
      </c>
      <c r="O2838" t="s">
        <v>47425</v>
      </c>
      <c r="P2838">
        <v>0</v>
      </c>
      <c r="Q2838">
        <v>1</v>
      </c>
      <c r="R2838" t="s">
        <v>47428</v>
      </c>
      <c r="S2838" t="s">
        <v>47541</v>
      </c>
      <c r="T2838" t="s">
        <v>49239</v>
      </c>
      <c r="U2838" t="s">
        <v>51895</v>
      </c>
      <c r="W2838" t="s">
        <v>44198</v>
      </c>
      <c r="X2838" t="s">
        <v>47430</v>
      </c>
    </row>
    <row r="2839" spans="1:24">
      <c r="A2839">
        <f>HYPERLINK("https://www.philgeps.gov.ph/GEPSNONPILOT/Tender/SplashBidNoticeAbstractUI.aspx?menuIndex=3&amp;refID=7162595&amp;Result=3","7162595")</f>
        <v>0</v>
      </c>
      <c r="B2839" t="s">
        <v>1154</v>
      </c>
      <c r="C2839" t="s">
        <v>6608</v>
      </c>
      <c r="D2839" t="s">
        <v>19042</v>
      </c>
      <c r="E2839" t="s">
        <v>21671</v>
      </c>
      <c r="F2839" t="s">
        <v>32831</v>
      </c>
      <c r="G2839" t="s">
        <v>32838</v>
      </c>
      <c r="H2839" t="s">
        <v>32848</v>
      </c>
      <c r="I2839" t="s">
        <v>4177</v>
      </c>
      <c r="J2839" t="s">
        <v>34894</v>
      </c>
      <c r="K2839" t="s">
        <v>42764</v>
      </c>
      <c r="M2839" t="s">
        <v>44218</v>
      </c>
      <c r="N2839" t="s">
        <v>47424</v>
      </c>
      <c r="O2839" t="s">
        <v>47425</v>
      </c>
      <c r="P2839">
        <v>0</v>
      </c>
      <c r="Q2839">
        <v>1</v>
      </c>
      <c r="R2839" t="s">
        <v>47428</v>
      </c>
      <c r="S2839" t="s">
        <v>47541</v>
      </c>
      <c r="T2839" t="s">
        <v>49100</v>
      </c>
      <c r="U2839" t="s">
        <v>52104</v>
      </c>
      <c r="W2839" t="s">
        <v>44218</v>
      </c>
      <c r="X2839" t="s">
        <v>47430</v>
      </c>
    </row>
    <row r="2840" spans="1:24">
      <c r="A2840">
        <f>HYPERLINK("https://www.philgeps.gov.ph/GEPSNONPILOT/Tender/SplashBidNoticeAbstractUI.aspx?menuIndex=3&amp;refID=7162590&amp;Result=3","7162590")</f>
        <v>0</v>
      </c>
      <c r="B2840" t="s">
        <v>293</v>
      </c>
      <c r="C2840" t="s">
        <v>6609</v>
      </c>
      <c r="D2840" t="s">
        <v>19074</v>
      </c>
      <c r="E2840" t="s">
        <v>6609</v>
      </c>
      <c r="F2840" t="s">
        <v>32831</v>
      </c>
      <c r="G2840" t="s">
        <v>32838</v>
      </c>
      <c r="H2840" t="s">
        <v>32849</v>
      </c>
      <c r="I2840" t="s">
        <v>4177</v>
      </c>
      <c r="J2840" t="s">
        <v>33087</v>
      </c>
      <c r="K2840" t="s">
        <v>42747</v>
      </c>
      <c r="M2840" t="s">
        <v>44294</v>
      </c>
      <c r="N2840" t="s">
        <v>47424</v>
      </c>
      <c r="O2840" t="s">
        <v>47425</v>
      </c>
      <c r="P2840">
        <v>0</v>
      </c>
      <c r="Q2840">
        <v>0</v>
      </c>
      <c r="R2840" t="s">
        <v>47428</v>
      </c>
      <c r="S2840" t="s">
        <v>47541</v>
      </c>
      <c r="T2840" t="s">
        <v>49119</v>
      </c>
      <c r="U2840" t="s">
        <v>52105</v>
      </c>
      <c r="W2840" t="s">
        <v>44294</v>
      </c>
      <c r="X2840" t="s">
        <v>47430</v>
      </c>
    </row>
    <row r="2841" spans="1:24">
      <c r="A2841">
        <f>HYPERLINK("https://www.philgeps.gov.ph/GEPSNONPILOT/Tender/SplashBidNoticeAbstractUI.aspx?menuIndex=3&amp;refID=7162647&amp;Result=3","7162647")</f>
        <v>0</v>
      </c>
      <c r="B2841" t="s">
        <v>1226</v>
      </c>
      <c r="C2841" t="s">
        <v>6610</v>
      </c>
      <c r="D2841" t="s">
        <v>19022</v>
      </c>
      <c r="E2841" t="s">
        <v>21672</v>
      </c>
      <c r="F2841" t="s">
        <v>32831</v>
      </c>
      <c r="G2841" t="s">
        <v>32838</v>
      </c>
      <c r="H2841" t="s">
        <v>32850</v>
      </c>
      <c r="I2841" t="s">
        <v>32864</v>
      </c>
      <c r="J2841" t="s">
        <v>34895</v>
      </c>
      <c r="K2841" t="s">
        <v>42726</v>
      </c>
      <c r="M2841" t="s">
        <v>44295</v>
      </c>
      <c r="N2841" t="s">
        <v>47424</v>
      </c>
      <c r="O2841" t="s">
        <v>47425</v>
      </c>
      <c r="P2841">
        <v>0</v>
      </c>
      <c r="Q2841">
        <v>2</v>
      </c>
      <c r="R2841" t="s">
        <v>47428</v>
      </c>
      <c r="S2841" t="s">
        <v>47541</v>
      </c>
      <c r="T2841" t="s">
        <v>49263</v>
      </c>
      <c r="U2841" t="s">
        <v>52106</v>
      </c>
      <c r="V2841" t="s">
        <v>62931</v>
      </c>
      <c r="W2841" t="s">
        <v>44295</v>
      </c>
      <c r="X2841" t="s">
        <v>47430</v>
      </c>
    </row>
    <row r="2842" spans="1:24">
      <c r="A2842">
        <f>HYPERLINK("https://www.philgeps.gov.ph/GEPSNONPILOT/Tender/SplashBidNoticeAbstractUI.aspx?menuIndex=3&amp;refID=7162643&amp;Result=3","7162643")</f>
        <v>0</v>
      </c>
      <c r="B2842" t="s">
        <v>1227</v>
      </c>
      <c r="C2842" t="s">
        <v>6611</v>
      </c>
      <c r="E2842" t="s">
        <v>21673</v>
      </c>
      <c r="F2842" t="s">
        <v>32831</v>
      </c>
      <c r="G2842" t="s">
        <v>32838</v>
      </c>
      <c r="H2842" t="s">
        <v>32848</v>
      </c>
      <c r="I2842" t="s">
        <v>32875</v>
      </c>
      <c r="J2842" t="s">
        <v>34896</v>
      </c>
      <c r="K2842" t="s">
        <v>42730</v>
      </c>
      <c r="M2842" t="s">
        <v>44296</v>
      </c>
      <c r="N2842" t="s">
        <v>47424</v>
      </c>
      <c r="O2842" t="s">
        <v>47425</v>
      </c>
      <c r="P2842">
        <v>0</v>
      </c>
      <c r="Q2842">
        <v>0</v>
      </c>
      <c r="R2842" t="s">
        <v>47428</v>
      </c>
      <c r="S2842" t="s">
        <v>47541</v>
      </c>
      <c r="T2842" t="s">
        <v>49329</v>
      </c>
      <c r="U2842" t="s">
        <v>52107</v>
      </c>
      <c r="V2842" t="s">
        <v>62932</v>
      </c>
      <c r="W2842" t="s">
        <v>44296</v>
      </c>
      <c r="X2842" t="s">
        <v>47430</v>
      </c>
    </row>
    <row r="2843" spans="1:24">
      <c r="A2843">
        <f>HYPERLINK("https://www.philgeps.gov.ph/GEPSNONPILOT/Tender/SplashBidNoticeAbstractUI.aspx?menuIndex=3&amp;refID=7162669&amp;Result=3","7162669")</f>
        <v>0</v>
      </c>
      <c r="B2843" t="s">
        <v>1228</v>
      </c>
      <c r="C2843" t="s">
        <v>6612</v>
      </c>
      <c r="D2843" t="s">
        <v>19019</v>
      </c>
      <c r="E2843" t="s">
        <v>21674</v>
      </c>
      <c r="F2843" t="s">
        <v>32831</v>
      </c>
      <c r="G2843" t="s">
        <v>32838</v>
      </c>
      <c r="H2843" t="s">
        <v>32848</v>
      </c>
      <c r="I2843" t="s">
        <v>7416</v>
      </c>
      <c r="J2843" t="s">
        <v>34897</v>
      </c>
      <c r="K2843" t="s">
        <v>42748</v>
      </c>
      <c r="M2843" t="s">
        <v>44297</v>
      </c>
      <c r="N2843" t="s">
        <v>47424</v>
      </c>
      <c r="O2843" t="s">
        <v>47425</v>
      </c>
      <c r="P2843">
        <v>0</v>
      </c>
      <c r="Q2843">
        <v>3</v>
      </c>
      <c r="R2843" t="s">
        <v>47428</v>
      </c>
      <c r="S2843" t="s">
        <v>47541</v>
      </c>
      <c r="T2843" t="s">
        <v>49081</v>
      </c>
      <c r="U2843" t="s">
        <v>52108</v>
      </c>
      <c r="W2843" t="s">
        <v>44297</v>
      </c>
      <c r="X2843" t="s">
        <v>47430</v>
      </c>
    </row>
    <row r="2844" spans="1:24">
      <c r="A2844">
        <f>HYPERLINK("https://www.philgeps.gov.ph/GEPSNONPILOT/Tender/SplashBidNoticeAbstractUI.aspx?menuIndex=3&amp;refID=7162668&amp;Result=3","7162668")</f>
        <v>0</v>
      </c>
      <c r="B2844" t="s">
        <v>1194</v>
      </c>
      <c r="C2844" t="s">
        <v>6613</v>
      </c>
      <c r="D2844" t="s">
        <v>19034</v>
      </c>
      <c r="E2844" t="s">
        <v>21675</v>
      </c>
      <c r="F2844" t="s">
        <v>32831</v>
      </c>
      <c r="G2844" t="s">
        <v>32838</v>
      </c>
      <c r="H2844" t="s">
        <v>32848</v>
      </c>
      <c r="I2844" t="s">
        <v>9577</v>
      </c>
      <c r="J2844" t="s">
        <v>33119</v>
      </c>
      <c r="K2844" t="s">
        <v>42758</v>
      </c>
      <c r="M2844" t="s">
        <v>44260</v>
      </c>
      <c r="N2844" t="s">
        <v>47424</v>
      </c>
      <c r="O2844" t="s">
        <v>47425</v>
      </c>
      <c r="P2844">
        <v>0</v>
      </c>
      <c r="Q2844">
        <v>0</v>
      </c>
      <c r="R2844" t="s">
        <v>47428</v>
      </c>
      <c r="S2844" t="s">
        <v>47541</v>
      </c>
      <c r="T2844" t="s">
        <v>49214</v>
      </c>
      <c r="U2844" t="s">
        <v>52109</v>
      </c>
      <c r="W2844" t="s">
        <v>44260</v>
      </c>
      <c r="X2844" t="s">
        <v>47430</v>
      </c>
    </row>
    <row r="2845" spans="1:24">
      <c r="A2845">
        <f>HYPERLINK("https://www.philgeps.gov.ph/GEPSNONPILOT/Tender/SplashBidNoticeAbstractUI.aspx?menuIndex=3&amp;refID=7162609&amp;Result=3","7162609")</f>
        <v>0</v>
      </c>
      <c r="B2845" t="s">
        <v>768</v>
      </c>
      <c r="C2845" t="s">
        <v>6614</v>
      </c>
      <c r="D2845" t="s">
        <v>19091</v>
      </c>
      <c r="E2845" t="s">
        <v>21676</v>
      </c>
      <c r="F2845" t="s">
        <v>32831</v>
      </c>
      <c r="G2845" t="s">
        <v>32838</v>
      </c>
      <c r="H2845" t="s">
        <v>32848</v>
      </c>
      <c r="I2845" t="s">
        <v>32935</v>
      </c>
      <c r="J2845" t="s">
        <v>34898</v>
      </c>
      <c r="K2845" t="s">
        <v>42726</v>
      </c>
      <c r="M2845" t="s">
        <v>43797</v>
      </c>
      <c r="N2845" t="s">
        <v>47424</v>
      </c>
      <c r="O2845" t="s">
        <v>47425</v>
      </c>
      <c r="P2845">
        <v>0</v>
      </c>
      <c r="Q2845">
        <v>0</v>
      </c>
      <c r="R2845" t="s">
        <v>47428</v>
      </c>
      <c r="S2845" t="s">
        <v>47541</v>
      </c>
      <c r="T2845" t="s">
        <v>49061</v>
      </c>
      <c r="U2845" t="s">
        <v>52110</v>
      </c>
      <c r="W2845" t="s">
        <v>43797</v>
      </c>
      <c r="X2845" t="s">
        <v>47430</v>
      </c>
    </row>
    <row r="2846" spans="1:24">
      <c r="A2846">
        <f>HYPERLINK("https://www.philgeps.gov.ph/GEPSNONPILOT/Tender/SplashBidNoticeAbstractUI.aspx?menuIndex=3&amp;refID=7162644&amp;Result=3","7162644")</f>
        <v>0</v>
      </c>
      <c r="B2846" t="s">
        <v>654</v>
      </c>
      <c r="C2846" t="s">
        <v>6615</v>
      </c>
      <c r="D2846" t="s">
        <v>19071</v>
      </c>
      <c r="E2846" t="s">
        <v>21677</v>
      </c>
      <c r="F2846" t="s">
        <v>32831</v>
      </c>
      <c r="G2846" t="s">
        <v>32841</v>
      </c>
      <c r="H2846" t="s">
        <v>32848</v>
      </c>
      <c r="I2846" t="s">
        <v>9577</v>
      </c>
      <c r="J2846" t="s">
        <v>33086</v>
      </c>
      <c r="K2846" t="s">
        <v>42731</v>
      </c>
      <c r="M2846" t="s">
        <v>43672</v>
      </c>
      <c r="N2846" t="s">
        <v>47424</v>
      </c>
      <c r="O2846" t="s">
        <v>47425</v>
      </c>
      <c r="P2846">
        <v>0</v>
      </c>
      <c r="Q2846">
        <v>0</v>
      </c>
      <c r="R2846" t="s">
        <v>47428</v>
      </c>
      <c r="S2846" t="s">
        <v>47541</v>
      </c>
      <c r="T2846" t="s">
        <v>49055</v>
      </c>
      <c r="U2846" t="s">
        <v>52111</v>
      </c>
      <c r="W2846" t="s">
        <v>43672</v>
      </c>
      <c r="X2846" t="s">
        <v>47430</v>
      </c>
    </row>
    <row r="2847" spans="1:24">
      <c r="A2847">
        <f>HYPERLINK("https://www.philgeps.gov.ph/GEPSNONPILOT/Tender/SplashBidNoticeAbstractUI.aspx?menuIndex=3&amp;refID=7162625&amp;Result=3","7162625")</f>
        <v>0</v>
      </c>
      <c r="B2847" t="s">
        <v>1229</v>
      </c>
      <c r="C2847" t="s">
        <v>6616</v>
      </c>
      <c r="D2847" t="s">
        <v>19077</v>
      </c>
      <c r="E2847" t="s">
        <v>21678</v>
      </c>
      <c r="F2847" t="s">
        <v>32831</v>
      </c>
      <c r="G2847" t="s">
        <v>32841</v>
      </c>
      <c r="H2847" t="s">
        <v>32848</v>
      </c>
      <c r="I2847" t="s">
        <v>7751</v>
      </c>
      <c r="J2847" t="s">
        <v>33017</v>
      </c>
      <c r="K2847" t="s">
        <v>42730</v>
      </c>
      <c r="M2847" t="s">
        <v>44298</v>
      </c>
      <c r="N2847" t="s">
        <v>47424</v>
      </c>
      <c r="O2847" t="s">
        <v>47425</v>
      </c>
      <c r="P2847">
        <v>0</v>
      </c>
      <c r="Q2847">
        <v>0</v>
      </c>
      <c r="R2847" t="s">
        <v>47428</v>
      </c>
      <c r="S2847" t="s">
        <v>47541</v>
      </c>
      <c r="T2847" t="s">
        <v>49123</v>
      </c>
      <c r="U2847" t="s">
        <v>52112</v>
      </c>
      <c r="W2847" t="s">
        <v>44298</v>
      </c>
      <c r="X2847" t="s">
        <v>47430</v>
      </c>
    </row>
    <row r="2848" spans="1:24">
      <c r="A2848">
        <f>HYPERLINK("https://www.philgeps.gov.ph/GEPSNONPILOT/Tender/SplashBidNoticeAbstractUI.aspx?menuIndex=3&amp;refID=7162663&amp;Result=3","7162663")</f>
        <v>0</v>
      </c>
      <c r="B2848" t="s">
        <v>1230</v>
      </c>
      <c r="C2848" t="s">
        <v>6617</v>
      </c>
      <c r="D2848" t="s">
        <v>19035</v>
      </c>
      <c r="E2848" t="s">
        <v>21679</v>
      </c>
      <c r="F2848" t="s">
        <v>32831</v>
      </c>
      <c r="G2848" t="s">
        <v>32839</v>
      </c>
      <c r="H2848" t="s">
        <v>32848</v>
      </c>
      <c r="I2848" t="s">
        <v>32949</v>
      </c>
      <c r="J2848" t="s">
        <v>33524</v>
      </c>
      <c r="K2848" t="s">
        <v>42738</v>
      </c>
      <c r="M2848" t="s">
        <v>44299</v>
      </c>
      <c r="N2848" t="s">
        <v>47424</v>
      </c>
      <c r="O2848" t="s">
        <v>47425</v>
      </c>
      <c r="P2848">
        <v>0</v>
      </c>
      <c r="Q2848">
        <v>1</v>
      </c>
      <c r="R2848" t="s">
        <v>47428</v>
      </c>
      <c r="S2848" t="s">
        <v>47541</v>
      </c>
      <c r="T2848" t="s">
        <v>49068</v>
      </c>
      <c r="U2848" t="s">
        <v>52113</v>
      </c>
      <c r="W2848" t="s">
        <v>44299</v>
      </c>
      <c r="X2848" t="s">
        <v>47430</v>
      </c>
    </row>
    <row r="2849" spans="1:24">
      <c r="A2849">
        <f>HYPERLINK("https://www.philgeps.gov.ph/GEPSNONPILOT/Tender/SplashBidNoticeAbstractUI.aspx?menuIndex=3&amp;refID=7162659&amp;Result=3","7162659")</f>
        <v>0</v>
      </c>
      <c r="B2849" t="s">
        <v>513</v>
      </c>
      <c r="C2849" t="s">
        <v>6618</v>
      </c>
      <c r="D2849" t="s">
        <v>19018</v>
      </c>
      <c r="E2849" t="s">
        <v>21680</v>
      </c>
      <c r="F2849" t="s">
        <v>32831</v>
      </c>
      <c r="G2849" t="s">
        <v>32839</v>
      </c>
      <c r="H2849" t="s">
        <v>32848</v>
      </c>
      <c r="I2849" t="s">
        <v>32870</v>
      </c>
      <c r="J2849" t="s">
        <v>34899</v>
      </c>
      <c r="K2849" t="s">
        <v>42726</v>
      </c>
      <c r="M2849" t="s">
        <v>43518</v>
      </c>
      <c r="N2849" t="s">
        <v>47424</v>
      </c>
      <c r="O2849" t="s">
        <v>47425</v>
      </c>
      <c r="P2849">
        <v>0</v>
      </c>
      <c r="Q2849">
        <v>0</v>
      </c>
      <c r="R2849" t="s">
        <v>47428</v>
      </c>
      <c r="S2849" t="s">
        <v>47541</v>
      </c>
      <c r="T2849" t="s">
        <v>49196</v>
      </c>
      <c r="U2849" t="s">
        <v>51950</v>
      </c>
      <c r="W2849" t="s">
        <v>64441</v>
      </c>
      <c r="X2849" t="s">
        <v>47430</v>
      </c>
    </row>
    <row r="2850" spans="1:24">
      <c r="A2850">
        <f>HYPERLINK("https://www.philgeps.gov.ph/GEPSNONPILOT/Tender/SplashBidNoticeAbstractUI.aspx?menuIndex=3&amp;refID=7162641&amp;Result=3","7162641")</f>
        <v>0</v>
      </c>
      <c r="B2850" t="s">
        <v>1231</v>
      </c>
      <c r="C2850" t="s">
        <v>6619</v>
      </c>
      <c r="D2850" t="s">
        <v>19027</v>
      </c>
      <c r="E2850" t="s">
        <v>21681</v>
      </c>
      <c r="F2850" t="s">
        <v>32831</v>
      </c>
      <c r="G2850" t="s">
        <v>32839</v>
      </c>
      <c r="H2850" t="s">
        <v>32848</v>
      </c>
      <c r="I2850" t="s">
        <v>32860</v>
      </c>
      <c r="J2850" t="s">
        <v>33771</v>
      </c>
      <c r="K2850" t="s">
        <v>42760</v>
      </c>
      <c r="M2850" t="s">
        <v>44300</v>
      </c>
      <c r="N2850" t="s">
        <v>47424</v>
      </c>
      <c r="O2850" t="s">
        <v>47425</v>
      </c>
      <c r="P2850">
        <v>0</v>
      </c>
      <c r="Q2850">
        <v>1</v>
      </c>
      <c r="R2850" t="s">
        <v>47428</v>
      </c>
      <c r="S2850" t="s">
        <v>47541</v>
      </c>
      <c r="T2850" t="s">
        <v>49140</v>
      </c>
      <c r="U2850" t="s">
        <v>52114</v>
      </c>
      <c r="V2850" t="s">
        <v>52114</v>
      </c>
      <c r="W2850" t="s">
        <v>44300</v>
      </c>
      <c r="X2850" t="s">
        <v>47430</v>
      </c>
    </row>
    <row r="2851" spans="1:24">
      <c r="A2851">
        <f>HYPERLINK("https://www.philgeps.gov.ph/GEPSNONPILOT/Tender/SplashBidNoticeAbstractUI.aspx?menuIndex=3&amp;refID=7162635&amp;Result=3","7162635")</f>
        <v>0</v>
      </c>
      <c r="B2851" t="s">
        <v>1206</v>
      </c>
      <c r="C2851" t="s">
        <v>6620</v>
      </c>
      <c r="D2851" t="s">
        <v>19082</v>
      </c>
      <c r="E2851" t="s">
        <v>21682</v>
      </c>
      <c r="F2851" t="s">
        <v>32831</v>
      </c>
      <c r="G2851" t="s">
        <v>32838</v>
      </c>
      <c r="H2851" t="s">
        <v>32848</v>
      </c>
      <c r="I2851" t="s">
        <v>32874</v>
      </c>
      <c r="J2851" t="s">
        <v>33207</v>
      </c>
      <c r="K2851" t="s">
        <v>42732</v>
      </c>
      <c r="M2851" t="s">
        <v>44273</v>
      </c>
      <c r="N2851" t="s">
        <v>47424</v>
      </c>
      <c r="O2851" t="s">
        <v>47425</v>
      </c>
      <c r="P2851">
        <v>0</v>
      </c>
      <c r="Q2851">
        <v>3</v>
      </c>
      <c r="R2851" t="s">
        <v>47428</v>
      </c>
      <c r="S2851" t="s">
        <v>47541</v>
      </c>
      <c r="T2851" t="s">
        <v>49166</v>
      </c>
      <c r="U2851" t="s">
        <v>52115</v>
      </c>
      <c r="W2851" t="s">
        <v>44273</v>
      </c>
      <c r="X2851" t="s">
        <v>47430</v>
      </c>
    </row>
    <row r="2852" spans="1:24">
      <c r="A2852">
        <f>HYPERLINK("https://www.philgeps.gov.ph/GEPSNONPILOT/Tender/SplashBidNoticeAbstractUI.aspx?menuIndex=3&amp;refID=7162654&amp;Result=3","7162654")</f>
        <v>0</v>
      </c>
      <c r="B2852" t="s">
        <v>1232</v>
      </c>
      <c r="C2852" t="s">
        <v>6621</v>
      </c>
      <c r="D2852" t="s">
        <v>19073</v>
      </c>
      <c r="E2852" t="s">
        <v>21683</v>
      </c>
      <c r="F2852" t="s">
        <v>32831</v>
      </c>
      <c r="G2852" t="s">
        <v>32840</v>
      </c>
      <c r="H2852" t="s">
        <v>32848</v>
      </c>
      <c r="I2852" t="s">
        <v>7416</v>
      </c>
      <c r="J2852" t="s">
        <v>34070</v>
      </c>
      <c r="K2852" t="s">
        <v>42726</v>
      </c>
      <c r="M2852" t="s">
        <v>44301</v>
      </c>
      <c r="N2852" t="s">
        <v>47424</v>
      </c>
      <c r="O2852" t="s">
        <v>47425</v>
      </c>
      <c r="P2852">
        <v>0</v>
      </c>
      <c r="Q2852">
        <v>0</v>
      </c>
      <c r="R2852" t="s">
        <v>47428</v>
      </c>
      <c r="S2852" t="s">
        <v>47541</v>
      </c>
      <c r="T2852" t="s">
        <v>49163</v>
      </c>
      <c r="U2852" t="s">
        <v>52116</v>
      </c>
      <c r="W2852" t="s">
        <v>44301</v>
      </c>
      <c r="X2852" t="s">
        <v>47430</v>
      </c>
    </row>
    <row r="2853" spans="1:24">
      <c r="A2853">
        <f>HYPERLINK("https://www.philgeps.gov.ph/GEPSNONPILOT/Tender/SplashBidNoticeAbstractUI.aspx?menuIndex=3&amp;refID=7162631&amp;Result=3","7162631")</f>
        <v>0</v>
      </c>
      <c r="B2853" t="s">
        <v>1218</v>
      </c>
      <c r="C2853" t="s">
        <v>6622</v>
      </c>
      <c r="D2853" t="s">
        <v>19030</v>
      </c>
      <c r="E2853" t="s">
        <v>21684</v>
      </c>
      <c r="F2853" t="s">
        <v>32831</v>
      </c>
      <c r="G2853" t="s">
        <v>32838</v>
      </c>
      <c r="H2853" t="s">
        <v>32848</v>
      </c>
      <c r="I2853" t="s">
        <v>32871</v>
      </c>
      <c r="J2853" t="s">
        <v>34900</v>
      </c>
      <c r="K2853" t="s">
        <v>42732</v>
      </c>
      <c r="M2853" t="s">
        <v>44286</v>
      </c>
      <c r="N2853" t="s">
        <v>47424</v>
      </c>
      <c r="O2853" t="s">
        <v>47425</v>
      </c>
      <c r="P2853">
        <v>0</v>
      </c>
      <c r="Q2853">
        <v>4</v>
      </c>
      <c r="R2853" t="s">
        <v>47428</v>
      </c>
      <c r="S2853" t="s">
        <v>47541</v>
      </c>
      <c r="T2853" t="s">
        <v>49235</v>
      </c>
      <c r="U2853" t="s">
        <v>52117</v>
      </c>
      <c r="V2853" t="s">
        <v>62933</v>
      </c>
      <c r="W2853" t="s">
        <v>44286</v>
      </c>
      <c r="X2853" t="s">
        <v>47430</v>
      </c>
    </row>
    <row r="2854" spans="1:24">
      <c r="A2854">
        <f>HYPERLINK("https://www.philgeps.gov.ph/GEPSNONPILOT/Tender/SplashBidNoticeAbstractUI.aspx?menuIndex=3&amp;refID=7162629&amp;Result=3","7162629")</f>
        <v>0</v>
      </c>
      <c r="B2854" t="s">
        <v>1233</v>
      </c>
      <c r="C2854" t="s">
        <v>6623</v>
      </c>
      <c r="D2854" t="s">
        <v>19036</v>
      </c>
      <c r="E2854" t="s">
        <v>21685</v>
      </c>
      <c r="F2854" t="s">
        <v>32831</v>
      </c>
      <c r="G2854" t="s">
        <v>32839</v>
      </c>
      <c r="H2854" t="s">
        <v>32849</v>
      </c>
      <c r="I2854" t="s">
        <v>4177</v>
      </c>
      <c r="J2854" t="s">
        <v>34901</v>
      </c>
      <c r="K2854" t="s">
        <v>42827</v>
      </c>
      <c r="M2854" t="s">
        <v>44302</v>
      </c>
      <c r="N2854" t="s">
        <v>47424</v>
      </c>
      <c r="O2854" t="s">
        <v>47425</v>
      </c>
      <c r="P2854">
        <v>0</v>
      </c>
      <c r="Q2854">
        <v>0</v>
      </c>
      <c r="R2854" t="s">
        <v>47428</v>
      </c>
      <c r="S2854" t="s">
        <v>47541</v>
      </c>
      <c r="T2854" t="s">
        <v>49291</v>
      </c>
      <c r="U2854" t="s">
        <v>52118</v>
      </c>
      <c r="W2854" t="s">
        <v>44302</v>
      </c>
      <c r="X2854" t="s">
        <v>47430</v>
      </c>
    </row>
    <row r="2855" spans="1:24">
      <c r="A2855">
        <f>HYPERLINK("https://www.philgeps.gov.ph/GEPSNONPILOT/Tender/SplashBidNoticeAbstractUI.aspx?menuIndex=3&amp;refID=7162639&amp;Result=3","7162639")</f>
        <v>0</v>
      </c>
      <c r="B2855" t="s">
        <v>1234</v>
      </c>
      <c r="C2855" t="s">
        <v>6624</v>
      </c>
      <c r="D2855" t="s">
        <v>19077</v>
      </c>
      <c r="E2855" t="s">
        <v>21686</v>
      </c>
      <c r="F2855" t="s">
        <v>32831</v>
      </c>
      <c r="G2855" t="s">
        <v>32839</v>
      </c>
      <c r="H2855" t="s">
        <v>32849</v>
      </c>
      <c r="I2855" t="s">
        <v>32899</v>
      </c>
      <c r="J2855" t="s">
        <v>34902</v>
      </c>
      <c r="K2855" t="s">
        <v>42763</v>
      </c>
      <c r="M2855" t="s">
        <v>44303</v>
      </c>
      <c r="N2855" t="s">
        <v>47424</v>
      </c>
      <c r="O2855" t="s">
        <v>47425</v>
      </c>
      <c r="P2855">
        <v>0</v>
      </c>
      <c r="Q2855">
        <v>0</v>
      </c>
      <c r="R2855" t="s">
        <v>47428</v>
      </c>
      <c r="S2855" t="s">
        <v>47541</v>
      </c>
      <c r="T2855" t="s">
        <v>49160</v>
      </c>
      <c r="U2855" t="s">
        <v>52119</v>
      </c>
      <c r="V2855" t="s">
        <v>62934</v>
      </c>
      <c r="W2855" t="s">
        <v>44303</v>
      </c>
      <c r="X2855" t="s">
        <v>47430</v>
      </c>
    </row>
    <row r="2856" spans="1:24">
      <c r="A2856">
        <f>HYPERLINK("https://www.philgeps.gov.ph/GEPSNONPILOT/Tender/SplashBidNoticeAbstractUI.aspx?menuIndex=3&amp;refID=7162627&amp;Result=3","7162627")</f>
        <v>0</v>
      </c>
      <c r="B2856" t="s">
        <v>821</v>
      </c>
      <c r="C2856" t="s">
        <v>6625</v>
      </c>
      <c r="D2856" t="s">
        <v>19054</v>
      </c>
      <c r="E2856" t="s">
        <v>21687</v>
      </c>
      <c r="F2856" t="s">
        <v>32833</v>
      </c>
      <c r="G2856" t="s">
        <v>32838</v>
      </c>
      <c r="H2856" t="s">
        <v>32848</v>
      </c>
      <c r="I2856" t="s">
        <v>7416</v>
      </c>
      <c r="J2856" t="s">
        <v>34903</v>
      </c>
      <c r="K2856" t="s">
        <v>42726</v>
      </c>
      <c r="M2856" t="s">
        <v>43852</v>
      </c>
      <c r="N2856" t="s">
        <v>47424</v>
      </c>
      <c r="O2856" t="s">
        <v>47425</v>
      </c>
      <c r="P2856">
        <v>0</v>
      </c>
      <c r="Q2856">
        <v>1</v>
      </c>
      <c r="R2856" t="s">
        <v>47428</v>
      </c>
      <c r="S2856" t="s">
        <v>47541</v>
      </c>
      <c r="T2856" t="s">
        <v>49059</v>
      </c>
      <c r="U2856" t="s">
        <v>51197</v>
      </c>
      <c r="V2856" t="s">
        <v>62820</v>
      </c>
      <c r="W2856" t="s">
        <v>64447</v>
      </c>
      <c r="X2856" t="s">
        <v>47430</v>
      </c>
    </row>
    <row r="2857" spans="1:24">
      <c r="A2857">
        <f>HYPERLINK("https://www.philgeps.gov.ph/GEPSNONPILOT/Tender/SplashBidNoticeAbstractUI.aspx?menuIndex=3&amp;refID=7162664&amp;Result=3","7162664")</f>
        <v>0</v>
      </c>
      <c r="B2857" t="s">
        <v>1235</v>
      </c>
      <c r="C2857" t="s">
        <v>6626</v>
      </c>
      <c r="D2857" t="s">
        <v>19027</v>
      </c>
      <c r="E2857" t="s">
        <v>21688</v>
      </c>
      <c r="F2857" t="s">
        <v>32831</v>
      </c>
      <c r="G2857" t="s">
        <v>32838</v>
      </c>
      <c r="H2857" t="s">
        <v>32848</v>
      </c>
      <c r="I2857" t="s">
        <v>32896</v>
      </c>
      <c r="J2857" t="s">
        <v>34904</v>
      </c>
      <c r="K2857" t="s">
        <v>42732</v>
      </c>
      <c r="M2857" t="s">
        <v>44304</v>
      </c>
      <c r="N2857" t="s">
        <v>47424</v>
      </c>
      <c r="O2857" t="s">
        <v>47425</v>
      </c>
      <c r="P2857">
        <v>0</v>
      </c>
      <c r="Q2857">
        <v>1</v>
      </c>
      <c r="R2857" t="s">
        <v>47428</v>
      </c>
      <c r="S2857" t="s">
        <v>47541</v>
      </c>
      <c r="T2857" t="s">
        <v>49145</v>
      </c>
      <c r="U2857" t="s">
        <v>52120</v>
      </c>
      <c r="W2857" t="s">
        <v>44304</v>
      </c>
      <c r="X2857" t="s">
        <v>47430</v>
      </c>
    </row>
    <row r="2858" spans="1:24">
      <c r="A2858">
        <f>HYPERLINK("https://www.philgeps.gov.ph/GEPSNONPILOT/Tender/SplashBidNoticeAbstractUI.aspx?menuIndex=3&amp;refID=7162632&amp;Result=3","7162632")</f>
        <v>0</v>
      </c>
      <c r="B2858" t="s">
        <v>563</v>
      </c>
      <c r="C2858" t="s">
        <v>6627</v>
      </c>
      <c r="D2858" t="s">
        <v>19060</v>
      </c>
      <c r="E2858" t="s">
        <v>21689</v>
      </c>
      <c r="F2858" t="s">
        <v>32831</v>
      </c>
      <c r="G2858" t="s">
        <v>32838</v>
      </c>
      <c r="H2858" t="s">
        <v>32848</v>
      </c>
      <c r="I2858" t="s">
        <v>4438</v>
      </c>
      <c r="J2858" t="s">
        <v>34905</v>
      </c>
      <c r="K2858" t="s">
        <v>42732</v>
      </c>
      <c r="M2858" t="s">
        <v>43572</v>
      </c>
      <c r="N2858" t="s">
        <v>47424</v>
      </c>
      <c r="O2858" t="s">
        <v>47425</v>
      </c>
      <c r="P2858">
        <v>0</v>
      </c>
      <c r="Q2858">
        <v>2</v>
      </c>
      <c r="R2858" t="s">
        <v>47428</v>
      </c>
      <c r="S2858" t="s">
        <v>47541</v>
      </c>
      <c r="T2858" t="s">
        <v>49212</v>
      </c>
      <c r="U2858" t="s">
        <v>52121</v>
      </c>
      <c r="W2858" t="s">
        <v>43572</v>
      </c>
      <c r="X2858" t="s">
        <v>47430</v>
      </c>
    </row>
    <row r="2859" spans="1:24">
      <c r="A2859">
        <f>HYPERLINK("https://www.philgeps.gov.ph/GEPSNONPILOT/Tender/SplashBidNoticeAbstractUI.aspx?menuIndex=3&amp;refID=7162690&amp;Result=3","7162690")</f>
        <v>0</v>
      </c>
      <c r="B2859" t="s">
        <v>270</v>
      </c>
      <c r="C2859" t="s">
        <v>6628</v>
      </c>
      <c r="D2859" t="s">
        <v>19017</v>
      </c>
      <c r="E2859" t="s">
        <v>21690</v>
      </c>
      <c r="F2859" t="s">
        <v>32831</v>
      </c>
      <c r="G2859" t="s">
        <v>32838</v>
      </c>
      <c r="H2859" t="s">
        <v>32848</v>
      </c>
      <c r="I2859" t="s">
        <v>6526</v>
      </c>
      <c r="J2859" t="s">
        <v>34906</v>
      </c>
      <c r="K2859" t="s">
        <v>42732</v>
      </c>
      <c r="M2859" t="s">
        <v>44305</v>
      </c>
      <c r="N2859" t="s">
        <v>47424</v>
      </c>
      <c r="O2859" t="s">
        <v>47425</v>
      </c>
      <c r="P2859">
        <v>0</v>
      </c>
      <c r="Q2859">
        <v>1</v>
      </c>
      <c r="R2859" t="s">
        <v>47428</v>
      </c>
      <c r="S2859" t="s">
        <v>47541</v>
      </c>
      <c r="T2859" t="s">
        <v>49141</v>
      </c>
      <c r="U2859" t="s">
        <v>52122</v>
      </c>
      <c r="W2859" t="s">
        <v>44305</v>
      </c>
      <c r="X2859" t="s">
        <v>47430</v>
      </c>
    </row>
    <row r="2860" spans="1:24">
      <c r="A2860">
        <f>HYPERLINK("https://www.philgeps.gov.ph/GEPSNONPILOT/Tender/SplashBidNoticeAbstractUI.aspx?menuIndex=3&amp;refID=7162671&amp;Result=3","7162671")</f>
        <v>0</v>
      </c>
      <c r="B2860" t="s">
        <v>1149</v>
      </c>
      <c r="C2860" t="s">
        <v>6593</v>
      </c>
      <c r="D2860" t="s">
        <v>19079</v>
      </c>
      <c r="E2860" t="s">
        <v>21691</v>
      </c>
      <c r="F2860" t="s">
        <v>32831</v>
      </c>
      <c r="G2860" t="s">
        <v>32838</v>
      </c>
      <c r="H2860" t="s">
        <v>32848</v>
      </c>
      <c r="I2860" t="s">
        <v>32862</v>
      </c>
      <c r="J2860" t="s">
        <v>34907</v>
      </c>
      <c r="K2860" t="s">
        <v>42732</v>
      </c>
      <c r="M2860" t="s">
        <v>44213</v>
      </c>
      <c r="N2860" t="s">
        <v>47424</v>
      </c>
      <c r="O2860" t="s">
        <v>47425</v>
      </c>
      <c r="P2860">
        <v>0</v>
      </c>
      <c r="Q2860">
        <v>1</v>
      </c>
      <c r="R2860" t="s">
        <v>47428</v>
      </c>
      <c r="S2860" t="s">
        <v>47541</v>
      </c>
      <c r="T2860" t="s">
        <v>49198</v>
      </c>
      <c r="U2860" t="s">
        <v>52123</v>
      </c>
      <c r="W2860" t="s">
        <v>44213</v>
      </c>
      <c r="X2860" t="s">
        <v>47430</v>
      </c>
    </row>
    <row r="2861" spans="1:24">
      <c r="A2861">
        <f>HYPERLINK("https://www.philgeps.gov.ph/GEPSNONPILOT/Tender/SplashBidNoticeAbstractUI.aspx?menuIndex=3&amp;refID=7162689&amp;Result=3","7162689")</f>
        <v>0</v>
      </c>
      <c r="B2861" t="s">
        <v>1236</v>
      </c>
      <c r="C2861" t="s">
        <v>6629</v>
      </c>
      <c r="D2861" t="s">
        <v>19045</v>
      </c>
      <c r="E2861" t="s">
        <v>21692</v>
      </c>
      <c r="F2861" t="s">
        <v>32831</v>
      </c>
      <c r="G2861" t="s">
        <v>32841</v>
      </c>
      <c r="H2861" t="s">
        <v>32848</v>
      </c>
      <c r="I2861" t="s">
        <v>6526</v>
      </c>
      <c r="J2861" t="s">
        <v>34908</v>
      </c>
      <c r="K2861" t="s">
        <v>42726</v>
      </c>
      <c r="M2861" t="s">
        <v>44306</v>
      </c>
      <c r="N2861" t="s">
        <v>47424</v>
      </c>
      <c r="O2861" t="s">
        <v>47425</v>
      </c>
      <c r="P2861">
        <v>0</v>
      </c>
      <c r="Q2861">
        <v>1</v>
      </c>
      <c r="R2861" t="s">
        <v>47428</v>
      </c>
      <c r="S2861" t="s">
        <v>47541</v>
      </c>
      <c r="T2861" t="s">
        <v>49111</v>
      </c>
      <c r="U2861" t="s">
        <v>52124</v>
      </c>
      <c r="W2861" t="s">
        <v>44306</v>
      </c>
      <c r="X2861" t="s">
        <v>47430</v>
      </c>
    </row>
    <row r="2862" spans="1:24">
      <c r="A2862">
        <f>HYPERLINK("https://www.philgeps.gov.ph/GEPSNONPILOT/Tender/SplashBidNoticeAbstractUI.aspx?menuIndex=3&amp;refID=7162687&amp;Result=3","7162687")</f>
        <v>0</v>
      </c>
      <c r="B2862" t="s">
        <v>1206</v>
      </c>
      <c r="C2862" t="s">
        <v>6630</v>
      </c>
      <c r="D2862" t="s">
        <v>19082</v>
      </c>
      <c r="E2862" t="s">
        <v>21693</v>
      </c>
      <c r="F2862" t="s">
        <v>32831</v>
      </c>
      <c r="G2862" t="s">
        <v>32838</v>
      </c>
      <c r="H2862" t="s">
        <v>32848</v>
      </c>
      <c r="I2862" t="s">
        <v>32874</v>
      </c>
      <c r="J2862" t="s">
        <v>33402</v>
      </c>
      <c r="K2862" t="s">
        <v>42732</v>
      </c>
      <c r="M2862" t="s">
        <v>44273</v>
      </c>
      <c r="N2862" t="s">
        <v>47424</v>
      </c>
      <c r="O2862" t="s">
        <v>47425</v>
      </c>
      <c r="P2862">
        <v>0</v>
      </c>
      <c r="Q2862">
        <v>4</v>
      </c>
      <c r="R2862" t="s">
        <v>47428</v>
      </c>
      <c r="S2862" t="s">
        <v>47541</v>
      </c>
      <c r="T2862" t="s">
        <v>49166</v>
      </c>
      <c r="U2862" t="s">
        <v>52125</v>
      </c>
      <c r="W2862" t="s">
        <v>44273</v>
      </c>
      <c r="X2862" t="s">
        <v>47430</v>
      </c>
    </row>
    <row r="2863" spans="1:24">
      <c r="A2863">
        <f>HYPERLINK("https://www.philgeps.gov.ph/GEPSNONPILOT/Tender/SplashBidNoticeAbstractUI.aspx?menuIndex=3&amp;refID=7162682&amp;Result=3","7162682")</f>
        <v>0</v>
      </c>
      <c r="B2863" t="s">
        <v>1230</v>
      </c>
      <c r="C2863" t="s">
        <v>6631</v>
      </c>
      <c r="D2863" t="s">
        <v>19035</v>
      </c>
      <c r="E2863" t="s">
        <v>21694</v>
      </c>
      <c r="F2863" t="s">
        <v>32831</v>
      </c>
      <c r="G2863" t="s">
        <v>32839</v>
      </c>
      <c r="H2863" t="s">
        <v>32848</v>
      </c>
      <c r="I2863" t="s">
        <v>32870</v>
      </c>
      <c r="J2863" t="s">
        <v>34909</v>
      </c>
      <c r="K2863" t="s">
        <v>42738</v>
      </c>
      <c r="M2863" t="s">
        <v>44299</v>
      </c>
      <c r="N2863" t="s">
        <v>47424</v>
      </c>
      <c r="O2863" t="s">
        <v>47425</v>
      </c>
      <c r="P2863">
        <v>0</v>
      </c>
      <c r="Q2863">
        <v>0</v>
      </c>
      <c r="R2863" t="s">
        <v>47428</v>
      </c>
      <c r="S2863" t="s">
        <v>47541</v>
      </c>
      <c r="T2863" t="s">
        <v>49068</v>
      </c>
      <c r="U2863" t="s">
        <v>52126</v>
      </c>
      <c r="W2863" t="s">
        <v>44299</v>
      </c>
      <c r="X2863" t="s">
        <v>47430</v>
      </c>
    </row>
    <row r="2864" spans="1:24">
      <c r="A2864">
        <f>HYPERLINK("https://www.philgeps.gov.ph/GEPSNONPILOT/Tender/SplashBidNoticeAbstractUI.aspx?menuIndex=3&amp;refID=7162617&amp;Result=3","7162617")</f>
        <v>0</v>
      </c>
      <c r="B2864" t="s">
        <v>1237</v>
      </c>
      <c r="C2864" t="s">
        <v>6632</v>
      </c>
      <c r="D2864" t="s">
        <v>19081</v>
      </c>
      <c r="E2864" t="s">
        <v>21695</v>
      </c>
      <c r="F2864" t="s">
        <v>32831</v>
      </c>
      <c r="G2864" t="s">
        <v>32839</v>
      </c>
      <c r="H2864" t="s">
        <v>32849</v>
      </c>
      <c r="I2864" t="s">
        <v>4177</v>
      </c>
      <c r="J2864" t="s">
        <v>33083</v>
      </c>
      <c r="K2864" t="s">
        <v>42828</v>
      </c>
      <c r="M2864" t="s">
        <v>44307</v>
      </c>
      <c r="N2864" t="s">
        <v>47424</v>
      </c>
      <c r="O2864" t="s">
        <v>47425</v>
      </c>
      <c r="P2864">
        <v>0</v>
      </c>
      <c r="Q2864">
        <v>0</v>
      </c>
      <c r="R2864" t="s">
        <v>47428</v>
      </c>
      <c r="S2864" t="s">
        <v>47541</v>
      </c>
      <c r="T2864" t="s">
        <v>49219</v>
      </c>
      <c r="U2864" t="s">
        <v>52127</v>
      </c>
      <c r="W2864" t="s">
        <v>44307</v>
      </c>
      <c r="X2864" t="s">
        <v>47430</v>
      </c>
    </row>
    <row r="2865" spans="1:24">
      <c r="A2865">
        <f>HYPERLINK("https://www.philgeps.gov.ph/GEPSNONPILOT/Tender/SplashBidNoticeAbstractUI.aspx?menuIndex=3&amp;refID=7162661&amp;Result=3","7162661")</f>
        <v>0</v>
      </c>
      <c r="B2865" t="s">
        <v>1238</v>
      </c>
      <c r="C2865" t="s">
        <v>6633</v>
      </c>
      <c r="D2865" t="s">
        <v>19059</v>
      </c>
      <c r="E2865" t="s">
        <v>21696</v>
      </c>
      <c r="F2865" t="s">
        <v>32831</v>
      </c>
      <c r="G2865" t="s">
        <v>32838</v>
      </c>
      <c r="H2865" t="s">
        <v>32848</v>
      </c>
      <c r="I2865" t="s">
        <v>7416</v>
      </c>
      <c r="J2865" t="s">
        <v>32980</v>
      </c>
      <c r="K2865" t="s">
        <v>42731</v>
      </c>
      <c r="M2865" t="s">
        <v>44308</v>
      </c>
      <c r="N2865" t="s">
        <v>47424</v>
      </c>
      <c r="O2865" t="s">
        <v>47425</v>
      </c>
      <c r="P2865">
        <v>0</v>
      </c>
      <c r="Q2865">
        <v>0</v>
      </c>
      <c r="R2865" t="s">
        <v>47428</v>
      </c>
      <c r="S2865" t="s">
        <v>47541</v>
      </c>
      <c r="T2865" t="s">
        <v>49235</v>
      </c>
      <c r="U2865" t="s">
        <v>52128</v>
      </c>
      <c r="W2865" t="s">
        <v>44308</v>
      </c>
      <c r="X2865" t="s">
        <v>47430</v>
      </c>
    </row>
    <row r="2866" spans="1:24">
      <c r="A2866">
        <f>HYPERLINK("https://www.philgeps.gov.ph/GEPSNONPILOT/Tender/SplashBidNoticeAbstractUI.aspx?menuIndex=3&amp;refID=7162596&amp;Result=3","7162596")</f>
        <v>0</v>
      </c>
      <c r="B2866" t="s">
        <v>1225</v>
      </c>
      <c r="C2866" t="s">
        <v>6634</v>
      </c>
      <c r="D2866" t="s">
        <v>19023</v>
      </c>
      <c r="E2866" t="s">
        <v>21697</v>
      </c>
      <c r="F2866" t="s">
        <v>32831</v>
      </c>
      <c r="G2866" t="s">
        <v>32838</v>
      </c>
      <c r="H2866" t="s">
        <v>32848</v>
      </c>
      <c r="I2866" t="s">
        <v>32856</v>
      </c>
      <c r="J2866" t="s">
        <v>34910</v>
      </c>
      <c r="K2866" t="s">
        <v>42726</v>
      </c>
      <c r="M2866" t="s">
        <v>44293</v>
      </c>
      <c r="N2866" t="s">
        <v>47424</v>
      </c>
      <c r="O2866" t="s">
        <v>47425</v>
      </c>
      <c r="P2866">
        <v>0</v>
      </c>
      <c r="Q2866">
        <v>2</v>
      </c>
      <c r="R2866" t="s">
        <v>47428</v>
      </c>
      <c r="S2866" t="s">
        <v>47541</v>
      </c>
      <c r="T2866" t="s">
        <v>49330</v>
      </c>
      <c r="U2866" t="s">
        <v>52129</v>
      </c>
      <c r="W2866" t="s">
        <v>44293</v>
      </c>
      <c r="X2866" t="s">
        <v>47430</v>
      </c>
    </row>
    <row r="2867" spans="1:24">
      <c r="A2867">
        <f>HYPERLINK("https://www.philgeps.gov.ph/GEPSNONPILOT/Tender/SplashBidNoticeAbstractUI.aspx?menuIndex=3&amp;refID=7162691&amp;Result=3","7162691")</f>
        <v>0</v>
      </c>
      <c r="B2867" t="s">
        <v>1228</v>
      </c>
      <c r="C2867" t="s">
        <v>6635</v>
      </c>
      <c r="D2867" t="s">
        <v>19019</v>
      </c>
      <c r="E2867" t="s">
        <v>21698</v>
      </c>
      <c r="F2867" t="s">
        <v>32831</v>
      </c>
      <c r="G2867" t="s">
        <v>32838</v>
      </c>
      <c r="H2867" t="s">
        <v>32848</v>
      </c>
      <c r="I2867" t="s">
        <v>32886</v>
      </c>
      <c r="J2867" t="s">
        <v>33023</v>
      </c>
      <c r="K2867" t="s">
        <v>42748</v>
      </c>
      <c r="M2867" t="s">
        <v>44297</v>
      </c>
      <c r="N2867" t="s">
        <v>47424</v>
      </c>
      <c r="O2867" t="s">
        <v>47425</v>
      </c>
      <c r="P2867">
        <v>0</v>
      </c>
      <c r="Q2867">
        <v>2</v>
      </c>
      <c r="R2867" t="s">
        <v>47428</v>
      </c>
      <c r="S2867" t="s">
        <v>47541</v>
      </c>
      <c r="T2867" t="s">
        <v>49081</v>
      </c>
      <c r="U2867" t="s">
        <v>52108</v>
      </c>
      <c r="W2867" t="s">
        <v>44297</v>
      </c>
      <c r="X2867" t="s">
        <v>47430</v>
      </c>
    </row>
    <row r="2868" spans="1:24">
      <c r="A2868">
        <f>HYPERLINK("https://www.philgeps.gov.ph/GEPSNONPILOT/Tender/SplashBidNoticeAbstractUI.aspx?menuIndex=3&amp;refID=7162684&amp;Result=3","7162684")</f>
        <v>0</v>
      </c>
      <c r="B2868" t="s">
        <v>1239</v>
      </c>
      <c r="C2868" t="s">
        <v>6636</v>
      </c>
      <c r="D2868" t="s">
        <v>19037</v>
      </c>
      <c r="E2868" t="s">
        <v>21699</v>
      </c>
      <c r="F2868" t="s">
        <v>32831</v>
      </c>
      <c r="G2868" t="s">
        <v>32838</v>
      </c>
      <c r="H2868" t="s">
        <v>32848</v>
      </c>
      <c r="I2868" t="s">
        <v>9577</v>
      </c>
      <c r="J2868" t="s">
        <v>33078</v>
      </c>
      <c r="K2868" t="s">
        <v>42730</v>
      </c>
      <c r="M2868" t="s">
        <v>44309</v>
      </c>
      <c r="N2868" t="s">
        <v>47424</v>
      </c>
      <c r="O2868" t="s">
        <v>47425</v>
      </c>
      <c r="P2868">
        <v>0</v>
      </c>
      <c r="Q2868">
        <v>6</v>
      </c>
      <c r="R2868" t="s">
        <v>47428</v>
      </c>
      <c r="S2868" t="s">
        <v>47541</v>
      </c>
      <c r="T2868" t="s">
        <v>49111</v>
      </c>
      <c r="U2868" t="s">
        <v>52130</v>
      </c>
      <c r="V2868" t="s">
        <v>62935</v>
      </c>
      <c r="W2868" t="s">
        <v>44309</v>
      </c>
      <c r="X2868" t="s">
        <v>47430</v>
      </c>
    </row>
    <row r="2869" spans="1:24">
      <c r="A2869">
        <f>HYPERLINK("https://www.philgeps.gov.ph/GEPSNONPILOT/Tender/SplashBidNoticeAbstractUI.aspx?menuIndex=3&amp;refID=7162707&amp;Result=3","7162707")</f>
        <v>0</v>
      </c>
      <c r="B2869" t="s">
        <v>1240</v>
      </c>
      <c r="C2869" t="s">
        <v>6637</v>
      </c>
      <c r="D2869" t="s">
        <v>19017</v>
      </c>
      <c r="E2869" t="s">
        <v>21700</v>
      </c>
      <c r="F2869" t="s">
        <v>32831</v>
      </c>
      <c r="G2869" t="s">
        <v>32839</v>
      </c>
      <c r="H2869" t="s">
        <v>32848</v>
      </c>
      <c r="I2869" t="s">
        <v>32874</v>
      </c>
      <c r="J2869" t="s">
        <v>34911</v>
      </c>
      <c r="K2869" t="s">
        <v>42732</v>
      </c>
      <c r="M2869" t="s">
        <v>44310</v>
      </c>
      <c r="N2869" t="s">
        <v>47424</v>
      </c>
      <c r="O2869" t="s">
        <v>47425</v>
      </c>
      <c r="P2869">
        <v>0</v>
      </c>
      <c r="Q2869">
        <v>5</v>
      </c>
      <c r="R2869" t="s">
        <v>47428</v>
      </c>
      <c r="S2869" t="s">
        <v>47541</v>
      </c>
      <c r="T2869" t="s">
        <v>49331</v>
      </c>
      <c r="U2869" t="s">
        <v>52131</v>
      </c>
      <c r="W2869" t="s">
        <v>44310</v>
      </c>
      <c r="X2869" t="s">
        <v>47430</v>
      </c>
    </row>
    <row r="2870" spans="1:24">
      <c r="A2870">
        <f>HYPERLINK("https://www.philgeps.gov.ph/GEPSNONPILOT/Tender/SplashBidNoticeAbstractUI.aspx?menuIndex=3&amp;refID=7162706&amp;Result=3","7162706")</f>
        <v>0</v>
      </c>
      <c r="B2870" t="s">
        <v>1241</v>
      </c>
      <c r="C2870" t="s">
        <v>6638</v>
      </c>
      <c r="D2870" t="s">
        <v>19037</v>
      </c>
      <c r="E2870" t="s">
        <v>21701</v>
      </c>
      <c r="F2870" t="s">
        <v>32831</v>
      </c>
      <c r="G2870" t="s">
        <v>32839</v>
      </c>
      <c r="H2870" t="s">
        <v>32849</v>
      </c>
      <c r="I2870" t="s">
        <v>4177</v>
      </c>
      <c r="J2870" t="s">
        <v>34778</v>
      </c>
      <c r="K2870" t="s">
        <v>42829</v>
      </c>
      <c r="M2870" t="s">
        <v>44311</v>
      </c>
      <c r="N2870" t="s">
        <v>47424</v>
      </c>
      <c r="O2870" t="s">
        <v>47425</v>
      </c>
      <c r="P2870">
        <v>0</v>
      </c>
      <c r="Q2870">
        <v>2</v>
      </c>
      <c r="R2870" t="s">
        <v>47428</v>
      </c>
      <c r="S2870" t="s">
        <v>47541</v>
      </c>
      <c r="T2870" t="s">
        <v>49192</v>
      </c>
      <c r="U2870" t="s">
        <v>52132</v>
      </c>
      <c r="W2870" t="s">
        <v>44311</v>
      </c>
      <c r="X2870" t="s">
        <v>47430</v>
      </c>
    </row>
    <row r="2871" spans="1:24">
      <c r="A2871">
        <f>HYPERLINK("https://www.philgeps.gov.ph/GEPSNONPILOT/Tender/SplashBidNoticeAbstractUI.aspx?menuIndex=3&amp;refID=7162704&amp;Result=3","7162704")</f>
        <v>0</v>
      </c>
      <c r="B2871" t="s">
        <v>1202</v>
      </c>
      <c r="C2871" t="s">
        <v>6639</v>
      </c>
      <c r="D2871" t="s">
        <v>19029</v>
      </c>
      <c r="E2871" t="s">
        <v>21702</v>
      </c>
      <c r="F2871" t="s">
        <v>32831</v>
      </c>
      <c r="G2871" t="s">
        <v>32838</v>
      </c>
      <c r="H2871" t="s">
        <v>32848</v>
      </c>
      <c r="I2871" t="s">
        <v>4487</v>
      </c>
      <c r="J2871" t="s">
        <v>34469</v>
      </c>
      <c r="K2871" t="s">
        <v>42745</v>
      </c>
      <c r="M2871" t="s">
        <v>44269</v>
      </c>
      <c r="N2871" t="s">
        <v>47424</v>
      </c>
      <c r="O2871" t="s">
        <v>47425</v>
      </c>
      <c r="P2871">
        <v>0</v>
      </c>
      <c r="Q2871">
        <v>1</v>
      </c>
      <c r="R2871" t="s">
        <v>47428</v>
      </c>
      <c r="S2871" t="s">
        <v>47541</v>
      </c>
      <c r="T2871" t="s">
        <v>49111</v>
      </c>
      <c r="U2871" t="s">
        <v>52133</v>
      </c>
      <c r="V2871" t="s">
        <v>62936</v>
      </c>
      <c r="W2871" t="s">
        <v>44269</v>
      </c>
      <c r="X2871" t="s">
        <v>47430</v>
      </c>
    </row>
    <row r="2872" spans="1:24">
      <c r="A2872">
        <f>HYPERLINK("https://www.philgeps.gov.ph/GEPSNONPILOT/Tender/SplashBidNoticeAbstractUI.aspx?menuIndex=3&amp;refID=7162703&amp;Result=3","7162703")</f>
        <v>0</v>
      </c>
      <c r="B2872" t="s">
        <v>1242</v>
      </c>
      <c r="C2872" t="s">
        <v>6640</v>
      </c>
      <c r="D2872" t="s">
        <v>19052</v>
      </c>
      <c r="E2872" t="s">
        <v>21703</v>
      </c>
      <c r="F2872" t="s">
        <v>32831</v>
      </c>
      <c r="G2872" t="s">
        <v>32838</v>
      </c>
      <c r="H2872" t="s">
        <v>32848</v>
      </c>
      <c r="I2872" t="s">
        <v>7416</v>
      </c>
      <c r="J2872" t="s">
        <v>32983</v>
      </c>
      <c r="K2872" t="s">
        <v>42727</v>
      </c>
      <c r="M2872" t="s">
        <v>44312</v>
      </c>
      <c r="N2872" t="s">
        <v>47424</v>
      </c>
      <c r="O2872" t="s">
        <v>47425</v>
      </c>
      <c r="P2872">
        <v>0</v>
      </c>
      <c r="Q2872">
        <v>0</v>
      </c>
      <c r="R2872" t="s">
        <v>47428</v>
      </c>
      <c r="S2872" t="s">
        <v>47541</v>
      </c>
      <c r="T2872" t="s">
        <v>49237</v>
      </c>
      <c r="U2872" t="s">
        <v>52134</v>
      </c>
      <c r="V2872" t="s">
        <v>62937</v>
      </c>
      <c r="W2872" t="s">
        <v>44312</v>
      </c>
      <c r="X2872" t="s">
        <v>47430</v>
      </c>
    </row>
    <row r="2873" spans="1:24">
      <c r="A2873">
        <f>HYPERLINK("https://www.philgeps.gov.ph/GEPSNONPILOT/Tender/SplashBidNoticeAbstractUI.aspx?menuIndex=3&amp;refID=7162676&amp;Result=3","7162676")</f>
        <v>0</v>
      </c>
      <c r="B2873" t="s">
        <v>1243</v>
      </c>
      <c r="C2873" t="s">
        <v>6641</v>
      </c>
      <c r="D2873" t="s">
        <v>19017</v>
      </c>
      <c r="E2873" t="s">
        <v>21704</v>
      </c>
      <c r="F2873" t="s">
        <v>32831</v>
      </c>
      <c r="G2873" t="s">
        <v>32839</v>
      </c>
      <c r="H2873" t="s">
        <v>32849</v>
      </c>
      <c r="I2873" t="s">
        <v>4177</v>
      </c>
      <c r="J2873" t="s">
        <v>34912</v>
      </c>
      <c r="K2873" t="s">
        <v>42830</v>
      </c>
      <c r="M2873" t="s">
        <v>44313</v>
      </c>
      <c r="N2873" t="s">
        <v>47424</v>
      </c>
      <c r="O2873" t="s">
        <v>47425</v>
      </c>
      <c r="P2873">
        <v>0</v>
      </c>
      <c r="Q2873">
        <v>8</v>
      </c>
      <c r="R2873" t="s">
        <v>47428</v>
      </c>
      <c r="S2873" t="s">
        <v>47541</v>
      </c>
      <c r="T2873" t="s">
        <v>49181</v>
      </c>
      <c r="U2873" t="s">
        <v>52135</v>
      </c>
      <c r="W2873" t="s">
        <v>44313</v>
      </c>
      <c r="X2873" t="s">
        <v>47430</v>
      </c>
    </row>
    <row r="2874" spans="1:24">
      <c r="A2874">
        <f>HYPERLINK("https://www.philgeps.gov.ph/GEPSNONPILOT/Tender/SplashBidNoticeAbstractUI.aspx?menuIndex=3&amp;refID=7162674&amp;Result=3","7162674")</f>
        <v>0</v>
      </c>
      <c r="B2874" t="s">
        <v>1244</v>
      </c>
      <c r="C2874" t="s">
        <v>6642</v>
      </c>
      <c r="D2874" t="s">
        <v>19095</v>
      </c>
      <c r="E2874" t="s">
        <v>21705</v>
      </c>
      <c r="F2874" t="s">
        <v>32831</v>
      </c>
      <c r="G2874" t="s">
        <v>32838</v>
      </c>
      <c r="H2874" t="s">
        <v>32848</v>
      </c>
      <c r="I2874" t="s">
        <v>4487</v>
      </c>
      <c r="J2874" t="s">
        <v>34129</v>
      </c>
      <c r="K2874" t="s">
        <v>42748</v>
      </c>
      <c r="M2874" t="s">
        <v>44314</v>
      </c>
      <c r="N2874" t="s">
        <v>47424</v>
      </c>
      <c r="O2874" t="s">
        <v>47425</v>
      </c>
      <c r="P2874">
        <v>0</v>
      </c>
      <c r="Q2874">
        <v>1</v>
      </c>
      <c r="R2874" t="s">
        <v>47428</v>
      </c>
      <c r="S2874" t="s">
        <v>47541</v>
      </c>
      <c r="T2874" t="s">
        <v>49321</v>
      </c>
      <c r="U2874" t="s">
        <v>52136</v>
      </c>
      <c r="V2874" t="s">
        <v>62938</v>
      </c>
      <c r="W2874" t="s">
        <v>44314</v>
      </c>
      <c r="X2874" t="s">
        <v>47430</v>
      </c>
    </row>
    <row r="2875" spans="1:24">
      <c r="A2875">
        <f>HYPERLINK("https://www.philgeps.gov.ph/GEPSNONPILOT/Tender/SplashBidNoticeAbstractUI.aspx?menuIndex=3&amp;refID=7162700&amp;Result=3","7162700")</f>
        <v>0</v>
      </c>
      <c r="B2875" t="s">
        <v>502</v>
      </c>
      <c r="C2875" t="s">
        <v>6643</v>
      </c>
      <c r="D2875" t="s">
        <v>19026</v>
      </c>
      <c r="E2875" t="s">
        <v>21706</v>
      </c>
      <c r="F2875" t="s">
        <v>32831</v>
      </c>
      <c r="G2875" t="s">
        <v>32838</v>
      </c>
      <c r="H2875" t="s">
        <v>32848</v>
      </c>
      <c r="I2875" t="s">
        <v>32892</v>
      </c>
      <c r="J2875" t="s">
        <v>34913</v>
      </c>
      <c r="K2875" t="s">
        <v>42726</v>
      </c>
      <c r="M2875" t="s">
        <v>43507</v>
      </c>
      <c r="N2875" t="s">
        <v>47424</v>
      </c>
      <c r="O2875" t="s">
        <v>47425</v>
      </c>
      <c r="P2875">
        <v>0</v>
      </c>
      <c r="Q2875">
        <v>2</v>
      </c>
      <c r="R2875" t="s">
        <v>47428</v>
      </c>
      <c r="S2875" t="s">
        <v>47541</v>
      </c>
      <c r="T2875" t="s">
        <v>49145</v>
      </c>
      <c r="U2875" t="s">
        <v>52137</v>
      </c>
      <c r="W2875" t="s">
        <v>43507</v>
      </c>
      <c r="X2875" t="s">
        <v>47430</v>
      </c>
    </row>
    <row r="2876" spans="1:24">
      <c r="A2876">
        <f>HYPERLINK("https://www.philgeps.gov.ph/GEPSNONPILOT/Tender/SplashBidNoticeAbstractUI.aspx?menuIndex=3&amp;refID=7162683&amp;Result=3","7162683")</f>
        <v>0</v>
      </c>
      <c r="B2876" t="s">
        <v>1245</v>
      </c>
      <c r="C2876" t="s">
        <v>6644</v>
      </c>
      <c r="D2876" t="s">
        <v>19083</v>
      </c>
      <c r="E2876" t="s">
        <v>19870</v>
      </c>
      <c r="F2876" t="s">
        <v>32831</v>
      </c>
      <c r="G2876" t="s">
        <v>32839</v>
      </c>
      <c r="H2876" t="s">
        <v>32848</v>
      </c>
      <c r="I2876" t="s">
        <v>32860</v>
      </c>
      <c r="J2876" t="s">
        <v>34914</v>
      </c>
      <c r="K2876" t="s">
        <v>42730</v>
      </c>
      <c r="M2876" t="s">
        <v>44315</v>
      </c>
      <c r="N2876" t="s">
        <v>47424</v>
      </c>
      <c r="O2876" t="s">
        <v>47425</v>
      </c>
      <c r="P2876">
        <v>0</v>
      </c>
      <c r="Q2876">
        <v>3</v>
      </c>
      <c r="R2876" t="s">
        <v>47428</v>
      </c>
      <c r="S2876" t="s">
        <v>47541</v>
      </c>
      <c r="T2876" t="s">
        <v>49084</v>
      </c>
      <c r="U2876" t="s">
        <v>52138</v>
      </c>
      <c r="W2876" t="s">
        <v>44315</v>
      </c>
      <c r="X2876" t="s">
        <v>47430</v>
      </c>
    </row>
    <row r="2877" spans="1:24">
      <c r="A2877">
        <f>HYPERLINK("https://www.philgeps.gov.ph/GEPSNONPILOT/Tender/SplashBidNoticeAbstractUI.aspx?menuIndex=3&amp;refID=7162713&amp;Result=3","7162713")</f>
        <v>0</v>
      </c>
      <c r="B2877" t="s">
        <v>1206</v>
      </c>
      <c r="C2877" t="s">
        <v>6603</v>
      </c>
      <c r="D2877" t="s">
        <v>19082</v>
      </c>
      <c r="E2877" t="s">
        <v>21707</v>
      </c>
      <c r="F2877" t="s">
        <v>32831</v>
      </c>
      <c r="G2877" t="s">
        <v>32838</v>
      </c>
      <c r="H2877" t="s">
        <v>32848</v>
      </c>
      <c r="I2877" t="s">
        <v>4487</v>
      </c>
      <c r="J2877" t="s">
        <v>34915</v>
      </c>
      <c r="K2877" t="s">
        <v>42732</v>
      </c>
      <c r="M2877" t="s">
        <v>44273</v>
      </c>
      <c r="N2877" t="s">
        <v>47424</v>
      </c>
      <c r="O2877" t="s">
        <v>47425</v>
      </c>
      <c r="P2877">
        <v>0</v>
      </c>
      <c r="Q2877">
        <v>0</v>
      </c>
      <c r="R2877" t="s">
        <v>47428</v>
      </c>
      <c r="S2877" t="s">
        <v>47541</v>
      </c>
      <c r="T2877" t="s">
        <v>49166</v>
      </c>
      <c r="U2877" t="s">
        <v>52139</v>
      </c>
      <c r="W2877" t="s">
        <v>44273</v>
      </c>
      <c r="X2877" t="s">
        <v>47430</v>
      </c>
    </row>
    <row r="2878" spans="1:24">
      <c r="A2878">
        <f>HYPERLINK("https://www.philgeps.gov.ph/GEPSNONPILOT/Tender/SplashBidNoticeAbstractUI.aspx?menuIndex=3&amp;refID=7162737&amp;Result=3","7162737")</f>
        <v>0</v>
      </c>
      <c r="B2878" t="s">
        <v>1246</v>
      </c>
      <c r="C2878" t="s">
        <v>4694</v>
      </c>
      <c r="D2878" t="s">
        <v>19037</v>
      </c>
      <c r="E2878" t="s">
        <v>21708</v>
      </c>
      <c r="F2878" t="s">
        <v>32831</v>
      </c>
      <c r="G2878" t="s">
        <v>32839</v>
      </c>
      <c r="H2878" t="s">
        <v>32848</v>
      </c>
      <c r="I2878" t="s">
        <v>7416</v>
      </c>
      <c r="J2878" t="s">
        <v>34916</v>
      </c>
      <c r="K2878" t="s">
        <v>42732</v>
      </c>
      <c r="M2878" t="s">
        <v>44316</v>
      </c>
      <c r="N2878" t="s">
        <v>47424</v>
      </c>
      <c r="O2878" t="s">
        <v>47425</v>
      </c>
      <c r="P2878">
        <v>0</v>
      </c>
      <c r="Q2878">
        <v>0</v>
      </c>
      <c r="R2878" t="s">
        <v>47428</v>
      </c>
      <c r="S2878" t="s">
        <v>47541</v>
      </c>
      <c r="T2878" t="s">
        <v>49140</v>
      </c>
      <c r="U2878" t="s">
        <v>52140</v>
      </c>
      <c r="W2878" t="s">
        <v>44316</v>
      </c>
      <c r="X2878" t="s">
        <v>47430</v>
      </c>
    </row>
    <row r="2879" spans="1:24">
      <c r="A2879">
        <f>HYPERLINK("https://www.philgeps.gov.ph/GEPSNONPILOT/Tender/SplashBidNoticeAbstractUI.aspx?menuIndex=3&amp;refID=7162733&amp;Result=3","7162733")</f>
        <v>0</v>
      </c>
      <c r="B2879" t="s">
        <v>1247</v>
      </c>
      <c r="C2879" t="s">
        <v>6645</v>
      </c>
      <c r="D2879" t="s">
        <v>19048</v>
      </c>
      <c r="E2879" t="s">
        <v>21709</v>
      </c>
      <c r="F2879" t="s">
        <v>32831</v>
      </c>
      <c r="G2879" t="s">
        <v>32838</v>
      </c>
      <c r="H2879" t="s">
        <v>32848</v>
      </c>
      <c r="I2879" t="s">
        <v>32862</v>
      </c>
      <c r="J2879" t="s">
        <v>34433</v>
      </c>
      <c r="K2879" t="s">
        <v>42742</v>
      </c>
      <c r="M2879" t="s">
        <v>44317</v>
      </c>
      <c r="N2879" t="s">
        <v>47424</v>
      </c>
      <c r="O2879" t="s">
        <v>47425</v>
      </c>
      <c r="P2879">
        <v>0</v>
      </c>
      <c r="Q2879">
        <v>0</v>
      </c>
      <c r="R2879" t="s">
        <v>47428</v>
      </c>
      <c r="S2879" t="s">
        <v>47541</v>
      </c>
      <c r="T2879" t="s">
        <v>49145</v>
      </c>
      <c r="U2879" t="s">
        <v>52141</v>
      </c>
      <c r="W2879" t="s">
        <v>44317</v>
      </c>
      <c r="X2879" t="s">
        <v>47430</v>
      </c>
    </row>
    <row r="2880" spans="1:24">
      <c r="A2880">
        <f>HYPERLINK("https://www.philgeps.gov.ph/GEPSNONPILOT/Tender/SplashBidNoticeAbstractUI.aspx?menuIndex=3&amp;refID=7162694&amp;Result=3","7162694")</f>
        <v>0</v>
      </c>
      <c r="B2880" t="s">
        <v>391</v>
      </c>
      <c r="C2880" t="s">
        <v>6646</v>
      </c>
      <c r="D2880" t="s">
        <v>19090</v>
      </c>
      <c r="E2880" t="s">
        <v>21710</v>
      </c>
      <c r="F2880" t="s">
        <v>32831</v>
      </c>
      <c r="G2880" t="s">
        <v>32838</v>
      </c>
      <c r="H2880" t="s">
        <v>32848</v>
      </c>
      <c r="I2880" t="s">
        <v>32884</v>
      </c>
      <c r="J2880" t="s">
        <v>34917</v>
      </c>
      <c r="K2880" t="s">
        <v>42758</v>
      </c>
      <c r="M2880" t="s">
        <v>43396</v>
      </c>
      <c r="N2880" t="s">
        <v>47424</v>
      </c>
      <c r="O2880" t="s">
        <v>47425</v>
      </c>
      <c r="P2880">
        <v>0</v>
      </c>
      <c r="Q2880">
        <v>1</v>
      </c>
      <c r="R2880" t="s">
        <v>47428</v>
      </c>
      <c r="S2880" t="s">
        <v>47541</v>
      </c>
      <c r="T2880" t="s">
        <v>49214</v>
      </c>
      <c r="U2880" t="s">
        <v>52142</v>
      </c>
      <c r="W2880" t="s">
        <v>43396</v>
      </c>
      <c r="X2880" t="s">
        <v>47430</v>
      </c>
    </row>
    <row r="2881" spans="1:24">
      <c r="A2881">
        <f>HYPERLINK("https://www.philgeps.gov.ph/GEPSNONPILOT/Tender/SplashBidNoticeAbstractUI.aspx?menuIndex=3&amp;refID=7162732&amp;Result=3","7162732")</f>
        <v>0</v>
      </c>
      <c r="B2881" t="s">
        <v>1248</v>
      </c>
      <c r="C2881" t="s">
        <v>6647</v>
      </c>
      <c r="D2881" t="s">
        <v>19017</v>
      </c>
      <c r="E2881" t="s">
        <v>21711</v>
      </c>
      <c r="F2881" t="s">
        <v>32831</v>
      </c>
      <c r="G2881" t="s">
        <v>32838</v>
      </c>
      <c r="H2881" t="s">
        <v>32850</v>
      </c>
      <c r="I2881" t="s">
        <v>32863</v>
      </c>
      <c r="J2881" t="s">
        <v>33031</v>
      </c>
      <c r="K2881" t="s">
        <v>42831</v>
      </c>
      <c r="M2881" t="s">
        <v>44318</v>
      </c>
      <c r="N2881" t="s">
        <v>47424</v>
      </c>
      <c r="O2881" t="s">
        <v>47425</v>
      </c>
      <c r="P2881">
        <v>0</v>
      </c>
      <c r="Q2881">
        <v>3</v>
      </c>
      <c r="R2881" t="s">
        <v>47428</v>
      </c>
      <c r="S2881" t="s">
        <v>47541</v>
      </c>
      <c r="T2881" t="s">
        <v>49239</v>
      </c>
      <c r="U2881" t="s">
        <v>52143</v>
      </c>
      <c r="V2881" t="s">
        <v>62939</v>
      </c>
      <c r="W2881" t="s">
        <v>44318</v>
      </c>
      <c r="X2881" t="s">
        <v>47430</v>
      </c>
    </row>
    <row r="2882" spans="1:24">
      <c r="A2882">
        <f>HYPERLINK("https://www.philgeps.gov.ph/GEPSNONPILOT/Tender/SplashBidNoticeAbstractUI.aspx?menuIndex=3&amp;refID=7162701&amp;Result=3","7162701")</f>
        <v>0</v>
      </c>
      <c r="B2882" t="s">
        <v>1249</v>
      </c>
      <c r="C2882" t="s">
        <v>6648</v>
      </c>
      <c r="D2882" t="s">
        <v>19077</v>
      </c>
      <c r="E2882" t="s">
        <v>21712</v>
      </c>
      <c r="F2882" t="s">
        <v>32831</v>
      </c>
      <c r="G2882" t="s">
        <v>32839</v>
      </c>
      <c r="H2882" t="s">
        <v>32848</v>
      </c>
      <c r="I2882" t="s">
        <v>7416</v>
      </c>
      <c r="J2882" t="s">
        <v>34918</v>
      </c>
      <c r="K2882" t="s">
        <v>42727</v>
      </c>
      <c r="M2882" t="s">
        <v>44319</v>
      </c>
      <c r="N2882" t="s">
        <v>47424</v>
      </c>
      <c r="O2882" t="s">
        <v>47425</v>
      </c>
      <c r="P2882">
        <v>0</v>
      </c>
      <c r="Q2882">
        <v>0</v>
      </c>
      <c r="R2882" t="s">
        <v>47428</v>
      </c>
      <c r="S2882" t="s">
        <v>47541</v>
      </c>
      <c r="T2882" t="s">
        <v>49057</v>
      </c>
      <c r="U2882" t="s">
        <v>52144</v>
      </c>
      <c r="W2882" t="s">
        <v>44319</v>
      </c>
      <c r="X2882" t="s">
        <v>47430</v>
      </c>
    </row>
    <row r="2883" spans="1:24">
      <c r="A2883">
        <f>HYPERLINK("https://www.philgeps.gov.ph/GEPSNONPILOT/Tender/SplashBidNoticeAbstractUI.aspx?menuIndex=3&amp;refID=7162754&amp;Result=3","7162754")</f>
        <v>0</v>
      </c>
      <c r="B2883" t="s">
        <v>1250</v>
      </c>
      <c r="C2883" t="s">
        <v>6649</v>
      </c>
      <c r="E2883" t="s">
        <v>21713</v>
      </c>
      <c r="F2883" t="s">
        <v>32831</v>
      </c>
      <c r="G2883" t="s">
        <v>32838</v>
      </c>
      <c r="H2883" t="s">
        <v>32848</v>
      </c>
      <c r="I2883" t="s">
        <v>4177</v>
      </c>
      <c r="J2883" t="s">
        <v>33771</v>
      </c>
      <c r="K2883" t="s">
        <v>42732</v>
      </c>
      <c r="M2883" t="s">
        <v>44320</v>
      </c>
      <c r="N2883" t="s">
        <v>47424</v>
      </c>
      <c r="O2883" t="s">
        <v>47425</v>
      </c>
      <c r="P2883">
        <v>0</v>
      </c>
      <c r="Q2883">
        <v>2</v>
      </c>
      <c r="R2883" t="s">
        <v>47428</v>
      </c>
      <c r="S2883" t="s">
        <v>47541</v>
      </c>
      <c r="T2883" t="s">
        <v>49212</v>
      </c>
      <c r="U2883" t="s">
        <v>52145</v>
      </c>
      <c r="V2883" t="s">
        <v>62940</v>
      </c>
      <c r="W2883" t="s">
        <v>44320</v>
      </c>
      <c r="X2883" t="s">
        <v>47430</v>
      </c>
    </row>
    <row r="2884" spans="1:24">
      <c r="A2884">
        <f>HYPERLINK("https://www.philgeps.gov.ph/GEPSNONPILOT/Tender/SplashBidNoticeAbstractUI.aspx?menuIndex=3&amp;refID=7162673&amp;Result=3","7162673")</f>
        <v>0</v>
      </c>
      <c r="B2884" t="s">
        <v>1206</v>
      </c>
      <c r="C2884" t="s">
        <v>5404</v>
      </c>
      <c r="D2884" t="s">
        <v>19082</v>
      </c>
      <c r="E2884" t="s">
        <v>21714</v>
      </c>
      <c r="F2884" t="s">
        <v>32831</v>
      </c>
      <c r="G2884" t="s">
        <v>32840</v>
      </c>
      <c r="H2884" t="s">
        <v>32848</v>
      </c>
      <c r="I2884" t="s">
        <v>9577</v>
      </c>
      <c r="J2884" t="s">
        <v>34919</v>
      </c>
      <c r="K2884" t="s">
        <v>42732</v>
      </c>
      <c r="M2884" t="s">
        <v>44273</v>
      </c>
      <c r="N2884" t="s">
        <v>47424</v>
      </c>
      <c r="O2884" t="s">
        <v>47425</v>
      </c>
      <c r="P2884">
        <v>0</v>
      </c>
      <c r="Q2884">
        <v>0</v>
      </c>
      <c r="R2884" t="s">
        <v>47428</v>
      </c>
      <c r="S2884" t="s">
        <v>47541</v>
      </c>
      <c r="T2884" t="s">
        <v>49166</v>
      </c>
      <c r="U2884" t="s">
        <v>52146</v>
      </c>
      <c r="W2884" t="s">
        <v>44273</v>
      </c>
      <c r="X2884" t="s">
        <v>47430</v>
      </c>
    </row>
    <row r="2885" spans="1:24">
      <c r="A2885">
        <f>HYPERLINK("https://www.philgeps.gov.ph/GEPSNONPILOT/Tender/SplashBidNoticeAbstractUI.aspx?menuIndex=3&amp;refID=7162711&amp;Result=3","7162711")</f>
        <v>0</v>
      </c>
      <c r="B2885" t="s">
        <v>1251</v>
      </c>
      <c r="C2885" t="s">
        <v>6650</v>
      </c>
      <c r="D2885" t="s">
        <v>19027</v>
      </c>
      <c r="E2885" t="s">
        <v>21715</v>
      </c>
      <c r="F2885" t="s">
        <v>32834</v>
      </c>
      <c r="G2885" t="s">
        <v>32842</v>
      </c>
      <c r="H2885" t="s">
        <v>32848</v>
      </c>
      <c r="I2885" t="s">
        <v>32860</v>
      </c>
      <c r="J2885" t="s">
        <v>33578</v>
      </c>
      <c r="K2885" t="s">
        <v>42758</v>
      </c>
      <c r="M2885" t="s">
        <v>44321</v>
      </c>
      <c r="N2885" t="s">
        <v>47424</v>
      </c>
      <c r="O2885" t="s">
        <v>47425</v>
      </c>
      <c r="P2885">
        <v>0</v>
      </c>
      <c r="Q2885">
        <v>1</v>
      </c>
      <c r="R2885" t="s">
        <v>47428</v>
      </c>
      <c r="S2885" t="s">
        <v>47541</v>
      </c>
      <c r="T2885" t="s">
        <v>49091</v>
      </c>
      <c r="U2885" t="s">
        <v>52147</v>
      </c>
      <c r="W2885" t="s">
        <v>44321</v>
      </c>
      <c r="X2885" t="s">
        <v>47430</v>
      </c>
    </row>
    <row r="2886" spans="1:24">
      <c r="A2886">
        <f>HYPERLINK("https://www.philgeps.gov.ph/GEPSNONPILOT/Tender/SplashBidNoticeAbstractUI.aspx?menuIndex=3&amp;refID=7162752&amp;Result=3","7162752")</f>
        <v>0</v>
      </c>
      <c r="B2886" t="s">
        <v>1252</v>
      </c>
      <c r="C2886" t="s">
        <v>6651</v>
      </c>
      <c r="D2886" t="s">
        <v>19077</v>
      </c>
      <c r="E2886" t="s">
        <v>21716</v>
      </c>
      <c r="F2886" t="s">
        <v>32831</v>
      </c>
      <c r="G2886" t="s">
        <v>32839</v>
      </c>
      <c r="H2886" t="s">
        <v>32849</v>
      </c>
      <c r="I2886" t="s">
        <v>4177</v>
      </c>
      <c r="J2886" t="s">
        <v>32983</v>
      </c>
      <c r="K2886" t="s">
        <v>42731</v>
      </c>
      <c r="M2886" t="s">
        <v>44322</v>
      </c>
      <c r="N2886" t="s">
        <v>47424</v>
      </c>
      <c r="O2886" t="s">
        <v>47425</v>
      </c>
      <c r="P2886">
        <v>0</v>
      </c>
      <c r="Q2886">
        <v>0</v>
      </c>
      <c r="R2886" t="s">
        <v>47428</v>
      </c>
      <c r="S2886" t="s">
        <v>47541</v>
      </c>
      <c r="T2886" t="s">
        <v>49142</v>
      </c>
      <c r="U2886" t="s">
        <v>52148</v>
      </c>
      <c r="W2886" t="s">
        <v>44322</v>
      </c>
      <c r="X2886" t="s">
        <v>47430</v>
      </c>
    </row>
    <row r="2887" spans="1:24">
      <c r="A2887">
        <f>HYPERLINK("https://www.philgeps.gov.ph/GEPSNONPILOT/Tender/SplashBidNoticeAbstractUI.aspx?menuIndex=3&amp;refID=7162746&amp;Result=3","7162746")</f>
        <v>0</v>
      </c>
      <c r="B2887" t="s">
        <v>1253</v>
      </c>
      <c r="C2887" t="s">
        <v>6652</v>
      </c>
      <c r="D2887" t="s">
        <v>19020</v>
      </c>
      <c r="E2887" t="s">
        <v>21717</v>
      </c>
      <c r="F2887" t="s">
        <v>32831</v>
      </c>
      <c r="G2887" t="s">
        <v>32842</v>
      </c>
      <c r="H2887" t="s">
        <v>32848</v>
      </c>
      <c r="I2887" t="s">
        <v>32860</v>
      </c>
      <c r="J2887" t="s">
        <v>34920</v>
      </c>
      <c r="K2887" t="s">
        <v>42726</v>
      </c>
      <c r="M2887" t="s">
        <v>44323</v>
      </c>
      <c r="N2887" t="s">
        <v>47424</v>
      </c>
      <c r="O2887" t="s">
        <v>47425</v>
      </c>
      <c r="P2887">
        <v>0</v>
      </c>
      <c r="Q2887">
        <v>2</v>
      </c>
      <c r="R2887" t="s">
        <v>47428</v>
      </c>
      <c r="S2887" t="s">
        <v>47541</v>
      </c>
      <c r="T2887" t="s">
        <v>49330</v>
      </c>
      <c r="U2887" t="s">
        <v>52149</v>
      </c>
      <c r="W2887" t="s">
        <v>44323</v>
      </c>
      <c r="X2887" t="s">
        <v>47430</v>
      </c>
    </row>
    <row r="2888" spans="1:24">
      <c r="A2888">
        <f>HYPERLINK("https://www.philgeps.gov.ph/GEPSNONPILOT/Tender/SplashBidNoticeAbstractUI.aspx?menuIndex=3&amp;refID=7162744&amp;Result=3","7162744")</f>
        <v>0</v>
      </c>
      <c r="B2888" t="s">
        <v>1254</v>
      </c>
      <c r="C2888" t="s">
        <v>6653</v>
      </c>
      <c r="D2888" t="s">
        <v>19041</v>
      </c>
      <c r="E2888" t="s">
        <v>19987</v>
      </c>
      <c r="F2888" t="s">
        <v>32831</v>
      </c>
      <c r="G2888" t="s">
        <v>32839</v>
      </c>
      <c r="H2888" t="s">
        <v>32849</v>
      </c>
      <c r="I2888" t="s">
        <v>4177</v>
      </c>
      <c r="J2888" t="s">
        <v>34921</v>
      </c>
      <c r="K2888" t="s">
        <v>42770</v>
      </c>
      <c r="M2888" t="s">
        <v>44324</v>
      </c>
      <c r="N2888" t="s">
        <v>47424</v>
      </c>
      <c r="O2888" t="s">
        <v>47425</v>
      </c>
      <c r="P2888">
        <v>0</v>
      </c>
      <c r="Q2888">
        <v>0</v>
      </c>
      <c r="R2888" t="s">
        <v>47428</v>
      </c>
      <c r="S2888" t="s">
        <v>47541</v>
      </c>
      <c r="T2888" t="s">
        <v>49319</v>
      </c>
      <c r="U2888" t="s">
        <v>52150</v>
      </c>
      <c r="V2888" t="s">
        <v>62941</v>
      </c>
      <c r="W2888" t="s">
        <v>44324</v>
      </c>
      <c r="X2888" t="s">
        <v>47430</v>
      </c>
    </row>
    <row r="2889" spans="1:24">
      <c r="A2889">
        <f>HYPERLINK("https://www.philgeps.gov.ph/GEPSNONPILOT/Tender/SplashBidNoticeAbstractUI.aspx?menuIndex=3&amp;refID=7162739&amp;Result=3","7162739")</f>
        <v>0</v>
      </c>
      <c r="B2889" t="s">
        <v>1255</v>
      </c>
      <c r="C2889" t="s">
        <v>6654</v>
      </c>
      <c r="D2889" t="s">
        <v>19030</v>
      </c>
      <c r="E2889" t="s">
        <v>21718</v>
      </c>
      <c r="F2889" t="s">
        <v>32831</v>
      </c>
      <c r="G2889" t="s">
        <v>32839</v>
      </c>
      <c r="H2889" t="s">
        <v>32849</v>
      </c>
      <c r="I2889" t="s">
        <v>4177</v>
      </c>
      <c r="J2889" t="s">
        <v>33118</v>
      </c>
      <c r="K2889" t="s">
        <v>42770</v>
      </c>
      <c r="M2889" t="s">
        <v>44325</v>
      </c>
      <c r="N2889" t="s">
        <v>47424</v>
      </c>
      <c r="O2889" t="s">
        <v>47425</v>
      </c>
      <c r="P2889">
        <v>0</v>
      </c>
      <c r="Q2889">
        <v>7</v>
      </c>
      <c r="R2889" t="s">
        <v>47428</v>
      </c>
      <c r="S2889" t="s">
        <v>47541</v>
      </c>
      <c r="T2889" t="s">
        <v>49132</v>
      </c>
      <c r="U2889" t="s">
        <v>52151</v>
      </c>
      <c r="V2889" t="s">
        <v>62942</v>
      </c>
      <c r="W2889" t="s">
        <v>44325</v>
      </c>
      <c r="X2889" t="s">
        <v>47430</v>
      </c>
    </row>
    <row r="2890" spans="1:24">
      <c r="A2890">
        <f>HYPERLINK("https://www.philgeps.gov.ph/GEPSNONPILOT/Tender/SplashBidNoticeAbstractUI.aspx?menuIndex=3&amp;refID=7162731&amp;Result=3","7162731")</f>
        <v>0</v>
      </c>
      <c r="B2890" t="s">
        <v>1250</v>
      </c>
      <c r="C2890" t="s">
        <v>6655</v>
      </c>
      <c r="E2890" t="s">
        <v>21719</v>
      </c>
      <c r="F2890" t="s">
        <v>32831</v>
      </c>
      <c r="G2890" t="s">
        <v>32838</v>
      </c>
      <c r="H2890" t="s">
        <v>32848</v>
      </c>
      <c r="I2890" t="s">
        <v>32881</v>
      </c>
      <c r="J2890" t="s">
        <v>34922</v>
      </c>
      <c r="K2890" t="s">
        <v>42732</v>
      </c>
      <c r="M2890" t="s">
        <v>44320</v>
      </c>
      <c r="N2890" t="s">
        <v>47424</v>
      </c>
      <c r="O2890" t="s">
        <v>47425</v>
      </c>
      <c r="P2890">
        <v>0</v>
      </c>
      <c r="Q2890">
        <v>6</v>
      </c>
      <c r="R2890" t="s">
        <v>47428</v>
      </c>
      <c r="S2890" t="s">
        <v>47541</v>
      </c>
      <c r="T2890" t="s">
        <v>49239</v>
      </c>
      <c r="U2890" t="s">
        <v>52152</v>
      </c>
      <c r="V2890" t="s">
        <v>62940</v>
      </c>
      <c r="W2890" t="s">
        <v>44320</v>
      </c>
      <c r="X2890" t="s">
        <v>47430</v>
      </c>
    </row>
    <row r="2891" spans="1:24">
      <c r="A2891">
        <f>HYPERLINK("https://www.philgeps.gov.ph/GEPSNONPILOT/Tender/SplashBidNoticeAbstractUI.aspx?menuIndex=3&amp;refID=7162723&amp;Result=3","7162723")</f>
        <v>0</v>
      </c>
      <c r="B2891" t="s">
        <v>639</v>
      </c>
      <c r="C2891" t="s">
        <v>6656</v>
      </c>
      <c r="D2891" t="s">
        <v>19017</v>
      </c>
      <c r="E2891" t="s">
        <v>21720</v>
      </c>
      <c r="F2891" t="s">
        <v>32831</v>
      </c>
      <c r="G2891" t="s">
        <v>32838</v>
      </c>
      <c r="H2891" t="s">
        <v>32848</v>
      </c>
      <c r="I2891" t="s">
        <v>4776</v>
      </c>
      <c r="J2891" t="s">
        <v>34923</v>
      </c>
      <c r="K2891" t="s">
        <v>42730</v>
      </c>
      <c r="M2891" t="s">
        <v>43656</v>
      </c>
      <c r="N2891" t="s">
        <v>47424</v>
      </c>
      <c r="O2891" t="s">
        <v>47425</v>
      </c>
      <c r="P2891">
        <v>0</v>
      </c>
      <c r="Q2891">
        <v>2</v>
      </c>
      <c r="R2891" t="s">
        <v>47428</v>
      </c>
      <c r="S2891" t="s">
        <v>47541</v>
      </c>
      <c r="T2891" t="s">
        <v>49235</v>
      </c>
      <c r="U2891" t="s">
        <v>52153</v>
      </c>
      <c r="W2891" t="s">
        <v>43656</v>
      </c>
      <c r="X2891" t="s">
        <v>47430</v>
      </c>
    </row>
    <row r="2892" spans="1:24">
      <c r="A2892">
        <f>HYPERLINK("https://www.philgeps.gov.ph/GEPSNONPILOT/Tender/SplashBidNoticeAbstractUI.aspx?menuIndex=3&amp;refID=7162722&amp;Result=3","7162722")</f>
        <v>0</v>
      </c>
      <c r="B2892" t="s">
        <v>1211</v>
      </c>
      <c r="C2892" t="s">
        <v>6657</v>
      </c>
      <c r="D2892" t="s">
        <v>19037</v>
      </c>
      <c r="E2892" t="s">
        <v>21721</v>
      </c>
      <c r="F2892" t="s">
        <v>32831</v>
      </c>
      <c r="G2892" t="s">
        <v>32838</v>
      </c>
      <c r="H2892" t="s">
        <v>32848</v>
      </c>
      <c r="I2892" t="s">
        <v>4471</v>
      </c>
      <c r="J2892" t="s">
        <v>34924</v>
      </c>
      <c r="K2892" t="s">
        <v>42732</v>
      </c>
      <c r="M2892" t="s">
        <v>44279</v>
      </c>
      <c r="N2892" t="s">
        <v>47424</v>
      </c>
      <c r="O2892" t="s">
        <v>47425</v>
      </c>
      <c r="P2892">
        <v>0</v>
      </c>
      <c r="Q2892">
        <v>3</v>
      </c>
      <c r="R2892" t="s">
        <v>47428</v>
      </c>
      <c r="S2892" t="s">
        <v>47541</v>
      </c>
      <c r="T2892" t="s">
        <v>49237</v>
      </c>
      <c r="U2892" t="s">
        <v>52154</v>
      </c>
      <c r="W2892" t="s">
        <v>44279</v>
      </c>
      <c r="X2892" t="s">
        <v>47430</v>
      </c>
    </row>
    <row r="2893" spans="1:24">
      <c r="A2893">
        <f>HYPERLINK("https://www.philgeps.gov.ph/GEPSNONPILOT/Tender/SplashBidNoticeAbstractUI.aspx?menuIndex=3&amp;refID=7162719&amp;Result=3","7162719")</f>
        <v>0</v>
      </c>
      <c r="B2893" t="s">
        <v>1256</v>
      </c>
      <c r="C2893" t="s">
        <v>6658</v>
      </c>
      <c r="D2893" t="s">
        <v>19033</v>
      </c>
      <c r="E2893" t="s">
        <v>21722</v>
      </c>
      <c r="F2893" t="s">
        <v>32831</v>
      </c>
      <c r="G2893" t="s">
        <v>32838</v>
      </c>
      <c r="H2893" t="s">
        <v>32850</v>
      </c>
      <c r="I2893" t="s">
        <v>32863</v>
      </c>
      <c r="J2893" t="s">
        <v>32980</v>
      </c>
      <c r="K2893" t="s">
        <v>42730</v>
      </c>
      <c r="M2893" t="s">
        <v>44326</v>
      </c>
      <c r="N2893" t="s">
        <v>47424</v>
      </c>
      <c r="O2893" t="s">
        <v>47425</v>
      </c>
      <c r="P2893">
        <v>0</v>
      </c>
      <c r="Q2893">
        <v>3</v>
      </c>
      <c r="R2893" t="s">
        <v>47428</v>
      </c>
      <c r="S2893" t="s">
        <v>47541</v>
      </c>
      <c r="T2893" t="s">
        <v>49129</v>
      </c>
      <c r="U2893" t="s">
        <v>52155</v>
      </c>
      <c r="W2893" t="s">
        <v>44326</v>
      </c>
      <c r="X2893" t="s">
        <v>47430</v>
      </c>
    </row>
    <row r="2894" spans="1:24">
      <c r="A2894">
        <f>HYPERLINK("https://www.philgeps.gov.ph/GEPSNONPILOT/Tender/SplashBidNoticeAbstractUI.aspx?menuIndex=3&amp;refID=7162741&amp;Result=3","7162741")</f>
        <v>0</v>
      </c>
      <c r="B2894" t="s">
        <v>1257</v>
      </c>
      <c r="C2894" t="s">
        <v>6659</v>
      </c>
      <c r="D2894" t="s">
        <v>19022</v>
      </c>
      <c r="E2894" t="s">
        <v>19829</v>
      </c>
      <c r="F2894" t="s">
        <v>32831</v>
      </c>
      <c r="G2894" t="s">
        <v>32839</v>
      </c>
      <c r="H2894" t="s">
        <v>32848</v>
      </c>
      <c r="I2894" t="s">
        <v>10643</v>
      </c>
      <c r="J2894" t="s">
        <v>34925</v>
      </c>
      <c r="K2894" t="s">
        <v>42726</v>
      </c>
      <c r="M2894" t="s">
        <v>44327</v>
      </c>
      <c r="N2894" t="s">
        <v>47424</v>
      </c>
      <c r="O2894" t="s">
        <v>47425</v>
      </c>
      <c r="P2894">
        <v>0</v>
      </c>
      <c r="Q2894">
        <v>1</v>
      </c>
      <c r="R2894" t="s">
        <v>47428</v>
      </c>
      <c r="S2894" t="s">
        <v>47541</v>
      </c>
      <c r="T2894" t="s">
        <v>49091</v>
      </c>
      <c r="U2894" t="s">
        <v>52156</v>
      </c>
      <c r="W2894" t="s">
        <v>44327</v>
      </c>
      <c r="X2894" t="s">
        <v>47430</v>
      </c>
    </row>
    <row r="2895" spans="1:24">
      <c r="A2895">
        <f>HYPERLINK("https://www.philgeps.gov.ph/GEPSNONPILOT/Tender/SplashBidNoticeAbstractUI.aspx?menuIndex=3&amp;refID=7162716&amp;Result=3","7162716")</f>
        <v>0</v>
      </c>
      <c r="B2895" t="s">
        <v>1258</v>
      </c>
      <c r="C2895" t="s">
        <v>6660</v>
      </c>
      <c r="D2895" t="s">
        <v>19017</v>
      </c>
      <c r="E2895" t="s">
        <v>21723</v>
      </c>
      <c r="F2895" t="s">
        <v>32831</v>
      </c>
      <c r="G2895" t="s">
        <v>32839</v>
      </c>
      <c r="H2895" t="s">
        <v>32848</v>
      </c>
      <c r="I2895" t="s">
        <v>32863</v>
      </c>
      <c r="J2895" t="s">
        <v>34926</v>
      </c>
      <c r="K2895" t="s">
        <v>42780</v>
      </c>
      <c r="M2895" t="s">
        <v>44328</v>
      </c>
      <c r="N2895" t="s">
        <v>47424</v>
      </c>
      <c r="O2895" t="s">
        <v>47425</v>
      </c>
      <c r="P2895">
        <v>0</v>
      </c>
      <c r="Q2895">
        <v>4</v>
      </c>
      <c r="R2895" t="s">
        <v>47428</v>
      </c>
      <c r="S2895" t="s">
        <v>47541</v>
      </c>
      <c r="T2895" t="s">
        <v>49071</v>
      </c>
      <c r="U2895" t="s">
        <v>52157</v>
      </c>
      <c r="W2895" t="s">
        <v>44328</v>
      </c>
      <c r="X2895" t="s">
        <v>47430</v>
      </c>
    </row>
    <row r="2896" spans="1:24">
      <c r="A2896">
        <f>HYPERLINK("https://www.philgeps.gov.ph/GEPSNONPILOT/Tender/SplashBidNoticeAbstractUI.aspx?menuIndex=3&amp;refID=7162715&amp;Result=3","7162715")</f>
        <v>0</v>
      </c>
      <c r="B2896" t="s">
        <v>861</v>
      </c>
      <c r="C2896" t="s">
        <v>6661</v>
      </c>
      <c r="D2896" t="s">
        <v>19041</v>
      </c>
      <c r="E2896" t="s">
        <v>21724</v>
      </c>
      <c r="F2896" t="s">
        <v>32831</v>
      </c>
      <c r="G2896" t="s">
        <v>32839</v>
      </c>
      <c r="H2896" t="s">
        <v>32848</v>
      </c>
      <c r="I2896" t="s">
        <v>10805</v>
      </c>
      <c r="J2896" t="s">
        <v>34927</v>
      </c>
      <c r="K2896" t="s">
        <v>42763</v>
      </c>
      <c r="M2896" t="s">
        <v>43895</v>
      </c>
      <c r="N2896" t="s">
        <v>47424</v>
      </c>
      <c r="O2896" t="s">
        <v>47425</v>
      </c>
      <c r="P2896">
        <v>0</v>
      </c>
      <c r="Q2896">
        <v>4</v>
      </c>
      <c r="R2896" t="s">
        <v>47428</v>
      </c>
      <c r="S2896" t="s">
        <v>47541</v>
      </c>
      <c r="T2896" t="s">
        <v>49077</v>
      </c>
      <c r="U2896" t="s">
        <v>52158</v>
      </c>
      <c r="W2896" t="s">
        <v>43895</v>
      </c>
      <c r="X2896" t="s">
        <v>47430</v>
      </c>
    </row>
    <row r="2897" spans="1:24">
      <c r="A2897">
        <f>HYPERLINK("https://www.philgeps.gov.ph/GEPSNONPILOT/Tender/SplashBidNoticeAbstractUI.aspx?menuIndex=3&amp;refID=7162724&amp;Result=3","7162724")</f>
        <v>0</v>
      </c>
      <c r="B2897" t="s">
        <v>1243</v>
      </c>
      <c r="C2897" t="s">
        <v>6662</v>
      </c>
      <c r="D2897" t="s">
        <v>19017</v>
      </c>
      <c r="E2897" t="s">
        <v>21725</v>
      </c>
      <c r="F2897" t="s">
        <v>32831</v>
      </c>
      <c r="G2897" t="s">
        <v>32839</v>
      </c>
      <c r="H2897" t="s">
        <v>32849</v>
      </c>
      <c r="I2897" t="s">
        <v>4177</v>
      </c>
      <c r="J2897" t="s">
        <v>34928</v>
      </c>
      <c r="K2897" t="s">
        <v>42761</v>
      </c>
      <c r="M2897" t="s">
        <v>44313</v>
      </c>
      <c r="N2897" t="s">
        <v>47424</v>
      </c>
      <c r="O2897" t="s">
        <v>47425</v>
      </c>
      <c r="P2897">
        <v>0</v>
      </c>
      <c r="Q2897">
        <v>8</v>
      </c>
      <c r="R2897" t="s">
        <v>47428</v>
      </c>
      <c r="S2897" t="s">
        <v>47541</v>
      </c>
      <c r="T2897" t="s">
        <v>49181</v>
      </c>
      <c r="U2897" t="s">
        <v>52135</v>
      </c>
      <c r="W2897" t="s">
        <v>44313</v>
      </c>
      <c r="X2897" t="s">
        <v>47430</v>
      </c>
    </row>
    <row r="2898" spans="1:24">
      <c r="A2898">
        <f>HYPERLINK("https://www.philgeps.gov.ph/GEPSNONPILOT/Tender/SplashBidNoticeAbstractUI.aspx?menuIndex=3&amp;refID=7162755&amp;Result=3","7162755")</f>
        <v>0</v>
      </c>
      <c r="B2898" t="s">
        <v>1228</v>
      </c>
      <c r="C2898" t="s">
        <v>6663</v>
      </c>
      <c r="D2898" t="s">
        <v>19019</v>
      </c>
      <c r="E2898" t="s">
        <v>21726</v>
      </c>
      <c r="F2898" t="s">
        <v>32831</v>
      </c>
      <c r="G2898" t="s">
        <v>32838</v>
      </c>
      <c r="H2898" t="s">
        <v>32849</v>
      </c>
      <c r="I2898" t="s">
        <v>32866</v>
      </c>
      <c r="J2898" t="s">
        <v>33162</v>
      </c>
      <c r="K2898" t="s">
        <v>42726</v>
      </c>
      <c r="M2898" t="s">
        <v>44297</v>
      </c>
      <c r="N2898" t="s">
        <v>47424</v>
      </c>
      <c r="O2898" t="s">
        <v>47425</v>
      </c>
      <c r="P2898">
        <v>0</v>
      </c>
      <c r="Q2898">
        <v>1</v>
      </c>
      <c r="R2898" t="s">
        <v>47428</v>
      </c>
      <c r="S2898" t="s">
        <v>47541</v>
      </c>
      <c r="T2898" t="s">
        <v>49081</v>
      </c>
      <c r="U2898" t="s">
        <v>52108</v>
      </c>
      <c r="W2898" t="s">
        <v>44297</v>
      </c>
      <c r="X2898" t="s">
        <v>47430</v>
      </c>
    </row>
    <row r="2899" spans="1:24">
      <c r="A2899">
        <f>HYPERLINK("https://www.philgeps.gov.ph/GEPSNONPILOT/Tender/SplashBidNoticeAbstractUI.aspx?menuIndex=3&amp;refID=7162780&amp;Result=3","7162780")</f>
        <v>0</v>
      </c>
      <c r="B2899" t="s">
        <v>1259</v>
      </c>
      <c r="C2899" t="s">
        <v>6664</v>
      </c>
      <c r="D2899" t="s">
        <v>19048</v>
      </c>
      <c r="E2899" t="s">
        <v>20432</v>
      </c>
      <c r="F2899" t="s">
        <v>32831</v>
      </c>
      <c r="G2899" t="s">
        <v>32839</v>
      </c>
      <c r="H2899" t="s">
        <v>32848</v>
      </c>
      <c r="I2899" t="s">
        <v>7751</v>
      </c>
      <c r="J2899" t="s">
        <v>33044</v>
      </c>
      <c r="K2899" t="s">
        <v>42726</v>
      </c>
      <c r="M2899" t="s">
        <v>44329</v>
      </c>
      <c r="N2899" t="s">
        <v>47424</v>
      </c>
      <c r="O2899" t="s">
        <v>47425</v>
      </c>
      <c r="P2899">
        <v>0</v>
      </c>
      <c r="Q2899">
        <v>0</v>
      </c>
      <c r="R2899" t="s">
        <v>47428</v>
      </c>
      <c r="S2899" t="s">
        <v>47541</v>
      </c>
      <c r="T2899" t="s">
        <v>49151</v>
      </c>
      <c r="U2899" t="s">
        <v>52159</v>
      </c>
      <c r="W2899" t="s">
        <v>44329</v>
      </c>
      <c r="X2899" t="s">
        <v>47430</v>
      </c>
    </row>
    <row r="2900" spans="1:24">
      <c r="A2900">
        <f>HYPERLINK("https://www.philgeps.gov.ph/GEPSNONPILOT/Tender/SplashBidNoticeAbstractUI.aspx?menuIndex=3&amp;refID=7162705&amp;Result=3","7162705")</f>
        <v>0</v>
      </c>
      <c r="B2900" t="s">
        <v>1243</v>
      </c>
      <c r="C2900" t="s">
        <v>6665</v>
      </c>
      <c r="D2900" t="s">
        <v>19017</v>
      </c>
      <c r="E2900" t="s">
        <v>21727</v>
      </c>
      <c r="F2900" t="s">
        <v>32831</v>
      </c>
      <c r="G2900" t="s">
        <v>32839</v>
      </c>
      <c r="H2900" t="s">
        <v>32849</v>
      </c>
      <c r="I2900" t="s">
        <v>4177</v>
      </c>
      <c r="J2900" t="s">
        <v>34929</v>
      </c>
      <c r="K2900" t="s">
        <v>42763</v>
      </c>
      <c r="M2900" t="s">
        <v>44313</v>
      </c>
      <c r="N2900" t="s">
        <v>47424</v>
      </c>
      <c r="O2900" t="s">
        <v>47425</v>
      </c>
      <c r="P2900">
        <v>0</v>
      </c>
      <c r="Q2900">
        <v>7</v>
      </c>
      <c r="R2900" t="s">
        <v>47428</v>
      </c>
      <c r="S2900" t="s">
        <v>47541</v>
      </c>
      <c r="T2900" t="s">
        <v>49181</v>
      </c>
      <c r="U2900" t="s">
        <v>52135</v>
      </c>
      <c r="W2900" t="s">
        <v>44313</v>
      </c>
      <c r="X2900" t="s">
        <v>47430</v>
      </c>
    </row>
    <row r="2901" spans="1:24">
      <c r="A2901">
        <f>HYPERLINK("https://www.philgeps.gov.ph/GEPSNONPILOT/Tender/SplashBidNoticeAbstractUI.aspx?menuIndex=3&amp;refID=7162779&amp;Result=3","7162779")</f>
        <v>0</v>
      </c>
      <c r="B2901" t="s">
        <v>1256</v>
      </c>
      <c r="C2901" t="s">
        <v>6666</v>
      </c>
      <c r="D2901" t="s">
        <v>19033</v>
      </c>
      <c r="E2901" t="s">
        <v>21728</v>
      </c>
      <c r="F2901" t="s">
        <v>32831</v>
      </c>
      <c r="G2901" t="s">
        <v>32838</v>
      </c>
      <c r="H2901" t="s">
        <v>32850</v>
      </c>
      <c r="I2901" t="s">
        <v>32863</v>
      </c>
      <c r="J2901" t="s">
        <v>34930</v>
      </c>
      <c r="K2901" t="s">
        <v>42730</v>
      </c>
      <c r="M2901" t="s">
        <v>44326</v>
      </c>
      <c r="N2901" t="s">
        <v>47424</v>
      </c>
      <c r="O2901" t="s">
        <v>47425</v>
      </c>
      <c r="P2901">
        <v>0</v>
      </c>
      <c r="Q2901">
        <v>1</v>
      </c>
      <c r="R2901" t="s">
        <v>47428</v>
      </c>
      <c r="S2901" t="s">
        <v>47541</v>
      </c>
      <c r="T2901" t="s">
        <v>49129</v>
      </c>
      <c r="U2901" t="s">
        <v>52155</v>
      </c>
      <c r="W2901" t="s">
        <v>44326</v>
      </c>
      <c r="X2901" t="s">
        <v>47430</v>
      </c>
    </row>
    <row r="2902" spans="1:24">
      <c r="A2902">
        <f>HYPERLINK("https://www.philgeps.gov.ph/GEPSNONPILOT/Tender/SplashBidNoticeAbstractUI.aspx?menuIndex=3&amp;refID=7162776&amp;Result=3","7162776")</f>
        <v>0</v>
      </c>
      <c r="B2902" t="s">
        <v>1260</v>
      </c>
      <c r="C2902" t="s">
        <v>6667</v>
      </c>
      <c r="D2902" t="s">
        <v>19017</v>
      </c>
      <c r="E2902" t="s">
        <v>21729</v>
      </c>
      <c r="F2902" t="s">
        <v>32831</v>
      </c>
      <c r="G2902" t="s">
        <v>32838</v>
      </c>
      <c r="H2902" t="s">
        <v>32848</v>
      </c>
      <c r="I2902" t="s">
        <v>32860</v>
      </c>
      <c r="J2902" t="s">
        <v>34931</v>
      </c>
      <c r="K2902" t="s">
        <v>42727</v>
      </c>
      <c r="M2902" t="s">
        <v>44330</v>
      </c>
      <c r="N2902" t="s">
        <v>47424</v>
      </c>
      <c r="O2902" t="s">
        <v>47425</v>
      </c>
      <c r="P2902">
        <v>0</v>
      </c>
      <c r="Q2902">
        <v>3</v>
      </c>
      <c r="R2902" t="s">
        <v>47428</v>
      </c>
      <c r="S2902" t="s">
        <v>47541</v>
      </c>
      <c r="T2902" t="s">
        <v>49111</v>
      </c>
      <c r="U2902" t="s">
        <v>52160</v>
      </c>
      <c r="W2902" t="s">
        <v>64463</v>
      </c>
      <c r="X2902" t="s">
        <v>47430</v>
      </c>
    </row>
    <row r="2903" spans="1:24">
      <c r="A2903">
        <f>HYPERLINK("https://www.philgeps.gov.ph/GEPSNONPILOT/Tender/SplashBidNoticeAbstractUI.aspx?menuIndex=3&amp;refID=7162774&amp;Result=3","7162774")</f>
        <v>0</v>
      </c>
      <c r="B2903" t="s">
        <v>1261</v>
      </c>
      <c r="C2903" t="s">
        <v>6668</v>
      </c>
      <c r="D2903" t="s">
        <v>19040</v>
      </c>
      <c r="E2903" t="s">
        <v>21730</v>
      </c>
      <c r="F2903" t="s">
        <v>32831</v>
      </c>
      <c r="G2903" t="s">
        <v>32839</v>
      </c>
      <c r="H2903" t="s">
        <v>32848</v>
      </c>
      <c r="I2903" t="s">
        <v>9577</v>
      </c>
      <c r="J2903" t="s">
        <v>34932</v>
      </c>
      <c r="K2903" t="s">
        <v>42730</v>
      </c>
      <c r="M2903" t="s">
        <v>44331</v>
      </c>
      <c r="N2903" t="s">
        <v>47424</v>
      </c>
      <c r="O2903" t="s">
        <v>47425</v>
      </c>
      <c r="P2903">
        <v>0</v>
      </c>
      <c r="Q2903">
        <v>0</v>
      </c>
      <c r="R2903" t="s">
        <v>47428</v>
      </c>
      <c r="S2903" t="s">
        <v>47541</v>
      </c>
      <c r="T2903" t="s">
        <v>49118</v>
      </c>
      <c r="U2903" t="s">
        <v>52161</v>
      </c>
      <c r="W2903" t="s">
        <v>44331</v>
      </c>
      <c r="X2903" t="s">
        <v>47430</v>
      </c>
    </row>
    <row r="2904" spans="1:24">
      <c r="A2904">
        <f>HYPERLINK("https://www.philgeps.gov.ph/GEPSNONPILOT/Tender/SplashBidNoticeAbstractUI.aspx?menuIndex=3&amp;refID=7162771&amp;Result=3","7162771")</f>
        <v>0</v>
      </c>
      <c r="B2904" t="s">
        <v>1262</v>
      </c>
      <c r="C2904" t="s">
        <v>6669</v>
      </c>
      <c r="D2904" t="s">
        <v>19064</v>
      </c>
      <c r="E2904" t="s">
        <v>21731</v>
      </c>
      <c r="F2904" t="s">
        <v>32833</v>
      </c>
      <c r="G2904" t="s">
        <v>32841</v>
      </c>
      <c r="H2904" t="s">
        <v>32848</v>
      </c>
      <c r="I2904" t="s">
        <v>7416</v>
      </c>
      <c r="J2904" t="s">
        <v>32983</v>
      </c>
      <c r="K2904" t="s">
        <v>42730</v>
      </c>
      <c r="M2904" t="s">
        <v>44332</v>
      </c>
      <c r="N2904" t="s">
        <v>47424</v>
      </c>
      <c r="O2904" t="s">
        <v>47425</v>
      </c>
      <c r="P2904">
        <v>0</v>
      </c>
      <c r="Q2904">
        <v>0</v>
      </c>
      <c r="R2904" t="s">
        <v>47428</v>
      </c>
      <c r="S2904" t="s">
        <v>47541</v>
      </c>
      <c r="T2904" t="s">
        <v>49068</v>
      </c>
      <c r="U2904" t="s">
        <v>52162</v>
      </c>
      <c r="V2904" t="s">
        <v>62943</v>
      </c>
      <c r="W2904" t="s">
        <v>44332</v>
      </c>
      <c r="X2904" t="s">
        <v>47430</v>
      </c>
    </row>
    <row r="2905" spans="1:24">
      <c r="A2905">
        <f>HYPERLINK("https://www.philgeps.gov.ph/GEPSNONPILOT/Tender/SplashBidNoticeAbstractUI.aspx?menuIndex=3&amp;refID=7162679&amp;Result=3","7162679")</f>
        <v>0</v>
      </c>
      <c r="B2905" t="s">
        <v>1228</v>
      </c>
      <c r="C2905" t="s">
        <v>6670</v>
      </c>
      <c r="D2905" t="s">
        <v>19019</v>
      </c>
      <c r="E2905" t="s">
        <v>21732</v>
      </c>
      <c r="F2905" t="s">
        <v>32831</v>
      </c>
      <c r="G2905" t="s">
        <v>32838</v>
      </c>
      <c r="H2905" t="s">
        <v>32848</v>
      </c>
      <c r="I2905" t="s">
        <v>32855</v>
      </c>
      <c r="J2905" t="s">
        <v>34933</v>
      </c>
      <c r="K2905" t="s">
        <v>42748</v>
      </c>
      <c r="M2905" t="s">
        <v>44297</v>
      </c>
      <c r="N2905" t="s">
        <v>47424</v>
      </c>
      <c r="O2905" t="s">
        <v>47425</v>
      </c>
      <c r="P2905">
        <v>0</v>
      </c>
      <c r="Q2905">
        <v>12</v>
      </c>
      <c r="R2905" t="s">
        <v>47428</v>
      </c>
      <c r="S2905" t="s">
        <v>47541</v>
      </c>
      <c r="T2905" t="s">
        <v>49081</v>
      </c>
      <c r="U2905" t="s">
        <v>52108</v>
      </c>
      <c r="W2905" t="s">
        <v>44297</v>
      </c>
      <c r="X2905" t="s">
        <v>47430</v>
      </c>
    </row>
    <row r="2906" spans="1:24">
      <c r="A2906">
        <f>HYPERLINK("https://www.philgeps.gov.ph/GEPSNONPILOT/Tender/SplashBidNoticeAbstractUI.aspx?menuIndex=3&amp;refID=7162762&amp;Result=3","7162762")</f>
        <v>0</v>
      </c>
      <c r="B2906" t="s">
        <v>581</v>
      </c>
      <c r="C2906" t="s">
        <v>6671</v>
      </c>
      <c r="D2906" t="s">
        <v>19044</v>
      </c>
      <c r="E2906" t="s">
        <v>21733</v>
      </c>
      <c r="F2906" t="s">
        <v>32831</v>
      </c>
      <c r="G2906" t="s">
        <v>32838</v>
      </c>
      <c r="H2906" t="s">
        <v>32848</v>
      </c>
      <c r="I2906" t="s">
        <v>4487</v>
      </c>
      <c r="J2906" t="s">
        <v>34934</v>
      </c>
      <c r="K2906" t="s">
        <v>42726</v>
      </c>
      <c r="M2906" t="s">
        <v>43592</v>
      </c>
      <c r="N2906" t="s">
        <v>47424</v>
      </c>
      <c r="O2906" t="s">
        <v>47425</v>
      </c>
      <c r="P2906">
        <v>0</v>
      </c>
      <c r="Q2906">
        <v>3</v>
      </c>
      <c r="R2906" t="s">
        <v>47428</v>
      </c>
      <c r="S2906" t="s">
        <v>47541</v>
      </c>
      <c r="T2906" t="s">
        <v>49107</v>
      </c>
      <c r="U2906" t="s">
        <v>50752</v>
      </c>
      <c r="W2906" t="s">
        <v>43592</v>
      </c>
      <c r="X2906" t="s">
        <v>47430</v>
      </c>
    </row>
    <row r="2907" spans="1:24">
      <c r="A2907">
        <f>HYPERLINK("https://www.philgeps.gov.ph/GEPSNONPILOT/Tender/SplashBidNoticeAbstractUI.aspx?menuIndex=3&amp;refID=7162781&amp;Result=3","7162781")</f>
        <v>0</v>
      </c>
      <c r="B2907" t="s">
        <v>1261</v>
      </c>
      <c r="C2907" t="s">
        <v>6672</v>
      </c>
      <c r="D2907" t="s">
        <v>19040</v>
      </c>
      <c r="E2907" t="s">
        <v>21734</v>
      </c>
      <c r="F2907" t="s">
        <v>32831</v>
      </c>
      <c r="G2907" t="s">
        <v>32839</v>
      </c>
      <c r="H2907" t="s">
        <v>32848</v>
      </c>
      <c r="I2907" t="s">
        <v>9577</v>
      </c>
      <c r="J2907" t="s">
        <v>34935</v>
      </c>
      <c r="K2907" t="s">
        <v>42730</v>
      </c>
      <c r="M2907" t="s">
        <v>44331</v>
      </c>
      <c r="N2907" t="s">
        <v>47424</v>
      </c>
      <c r="O2907" t="s">
        <v>47425</v>
      </c>
      <c r="P2907">
        <v>0</v>
      </c>
      <c r="Q2907">
        <v>0</v>
      </c>
      <c r="R2907" t="s">
        <v>47428</v>
      </c>
      <c r="S2907" t="s">
        <v>47541</v>
      </c>
      <c r="T2907" t="s">
        <v>49118</v>
      </c>
      <c r="U2907" t="s">
        <v>52163</v>
      </c>
      <c r="W2907" t="s">
        <v>44331</v>
      </c>
      <c r="X2907" t="s">
        <v>47430</v>
      </c>
    </row>
    <row r="2908" spans="1:24">
      <c r="A2908">
        <f>HYPERLINK("https://www.philgeps.gov.ph/GEPSNONPILOT/Tender/SplashBidNoticeAbstractUI.aspx?menuIndex=3&amp;refID=7162761&amp;Result=3","7162761")</f>
        <v>0</v>
      </c>
      <c r="B2908" t="s">
        <v>1263</v>
      </c>
      <c r="C2908" t="s">
        <v>6673</v>
      </c>
      <c r="D2908" t="s">
        <v>19060</v>
      </c>
      <c r="E2908" t="s">
        <v>21735</v>
      </c>
      <c r="F2908" t="s">
        <v>32831</v>
      </c>
      <c r="G2908" t="s">
        <v>32839</v>
      </c>
      <c r="H2908" t="s">
        <v>32848</v>
      </c>
      <c r="I2908" t="s">
        <v>7416</v>
      </c>
      <c r="J2908" t="s">
        <v>34936</v>
      </c>
      <c r="K2908" t="s">
        <v>42758</v>
      </c>
      <c r="M2908" t="s">
        <v>44333</v>
      </c>
      <c r="N2908" t="s">
        <v>47424</v>
      </c>
      <c r="O2908" t="s">
        <v>47425</v>
      </c>
      <c r="P2908">
        <v>0</v>
      </c>
      <c r="Q2908">
        <v>0</v>
      </c>
      <c r="R2908" t="s">
        <v>47428</v>
      </c>
      <c r="S2908" t="s">
        <v>47541</v>
      </c>
      <c r="T2908" t="s">
        <v>49073</v>
      </c>
      <c r="U2908" t="s">
        <v>52164</v>
      </c>
      <c r="W2908" t="s">
        <v>44333</v>
      </c>
      <c r="X2908" t="s">
        <v>47430</v>
      </c>
    </row>
    <row r="2909" spans="1:24">
      <c r="A2909">
        <f>HYPERLINK("https://www.philgeps.gov.ph/GEPSNONPILOT/Tender/SplashBidNoticeAbstractUI.aspx?menuIndex=3&amp;refID=7162791&amp;Result=3","7162791")</f>
        <v>0</v>
      </c>
      <c r="B2909" t="s">
        <v>1256</v>
      </c>
      <c r="C2909" t="s">
        <v>6674</v>
      </c>
      <c r="D2909" t="s">
        <v>19033</v>
      </c>
      <c r="E2909" t="s">
        <v>21736</v>
      </c>
      <c r="F2909" t="s">
        <v>32831</v>
      </c>
      <c r="G2909" t="s">
        <v>32838</v>
      </c>
      <c r="H2909" t="s">
        <v>32848</v>
      </c>
      <c r="I2909" t="s">
        <v>4222</v>
      </c>
      <c r="J2909" t="s">
        <v>34937</v>
      </c>
      <c r="K2909" t="s">
        <v>42730</v>
      </c>
      <c r="M2909" t="s">
        <v>44326</v>
      </c>
      <c r="N2909" t="s">
        <v>47424</v>
      </c>
      <c r="O2909" t="s">
        <v>47425</v>
      </c>
      <c r="P2909">
        <v>0</v>
      </c>
      <c r="Q2909">
        <v>2</v>
      </c>
      <c r="R2909" t="s">
        <v>47428</v>
      </c>
      <c r="S2909" t="s">
        <v>47541</v>
      </c>
      <c r="T2909" t="s">
        <v>49129</v>
      </c>
      <c r="U2909" t="s">
        <v>52165</v>
      </c>
      <c r="W2909" t="s">
        <v>44326</v>
      </c>
      <c r="X2909" t="s">
        <v>47430</v>
      </c>
    </row>
    <row r="2910" spans="1:24">
      <c r="A2910">
        <f>HYPERLINK("https://www.philgeps.gov.ph/GEPSNONPILOT/Tender/SplashBidNoticeAbstractUI.aspx?menuIndex=3&amp;refID=7162789&amp;Result=3","7162789")</f>
        <v>0</v>
      </c>
      <c r="B2910" t="s">
        <v>1264</v>
      </c>
      <c r="C2910" t="s">
        <v>6675</v>
      </c>
      <c r="D2910" t="s">
        <v>19047</v>
      </c>
      <c r="E2910" t="s">
        <v>21737</v>
      </c>
      <c r="F2910" t="s">
        <v>32831</v>
      </c>
      <c r="G2910" t="s">
        <v>32838</v>
      </c>
      <c r="H2910" t="s">
        <v>32848</v>
      </c>
      <c r="I2910" t="s">
        <v>32883</v>
      </c>
      <c r="J2910" t="s">
        <v>33433</v>
      </c>
      <c r="K2910" t="s">
        <v>42726</v>
      </c>
      <c r="M2910" t="s">
        <v>44334</v>
      </c>
      <c r="N2910" t="s">
        <v>47424</v>
      </c>
      <c r="O2910" t="s">
        <v>47425</v>
      </c>
      <c r="P2910">
        <v>0</v>
      </c>
      <c r="Q2910">
        <v>2</v>
      </c>
      <c r="R2910" t="s">
        <v>47428</v>
      </c>
      <c r="S2910" t="s">
        <v>47541</v>
      </c>
      <c r="T2910" t="s">
        <v>49129</v>
      </c>
      <c r="U2910" t="s">
        <v>52166</v>
      </c>
      <c r="W2910" t="s">
        <v>44334</v>
      </c>
      <c r="X2910" t="s">
        <v>47430</v>
      </c>
    </row>
    <row r="2911" spans="1:24">
      <c r="A2911">
        <f>HYPERLINK("https://www.philgeps.gov.ph/GEPSNONPILOT/Tender/SplashBidNoticeAbstractUI.aspx?menuIndex=3&amp;refID=7162787&amp;Result=3","7162787")</f>
        <v>0</v>
      </c>
      <c r="B2911" t="s">
        <v>1265</v>
      </c>
      <c r="C2911" t="s">
        <v>6676</v>
      </c>
      <c r="D2911" t="s">
        <v>19024</v>
      </c>
      <c r="E2911" t="s">
        <v>21738</v>
      </c>
      <c r="F2911" t="s">
        <v>32831</v>
      </c>
      <c r="G2911" t="s">
        <v>32839</v>
      </c>
      <c r="H2911" t="s">
        <v>32848</v>
      </c>
      <c r="I2911" t="s">
        <v>7751</v>
      </c>
      <c r="J2911" t="s">
        <v>33046</v>
      </c>
      <c r="K2911" t="s">
        <v>42726</v>
      </c>
      <c r="M2911" t="s">
        <v>44335</v>
      </c>
      <c r="N2911" t="s">
        <v>47424</v>
      </c>
      <c r="O2911" t="s">
        <v>47425</v>
      </c>
      <c r="P2911">
        <v>0</v>
      </c>
      <c r="Q2911">
        <v>5</v>
      </c>
      <c r="R2911" t="s">
        <v>47428</v>
      </c>
      <c r="S2911" t="s">
        <v>47541</v>
      </c>
      <c r="T2911" t="s">
        <v>49065</v>
      </c>
      <c r="U2911" t="s">
        <v>52167</v>
      </c>
      <c r="W2911" t="s">
        <v>44335</v>
      </c>
      <c r="X2911" t="s">
        <v>47430</v>
      </c>
    </row>
    <row r="2912" spans="1:24">
      <c r="A2912">
        <f>HYPERLINK("https://www.philgeps.gov.ph/GEPSNONPILOT/Tender/SplashBidNoticeAbstractUI.aspx?menuIndex=3&amp;refID=7162786&amp;Result=3","7162786")</f>
        <v>0</v>
      </c>
      <c r="B2912" t="s">
        <v>1266</v>
      </c>
      <c r="C2912" t="s">
        <v>6677</v>
      </c>
      <c r="D2912" t="s">
        <v>19065</v>
      </c>
      <c r="E2912" t="s">
        <v>21739</v>
      </c>
      <c r="F2912" t="s">
        <v>32831</v>
      </c>
      <c r="G2912" t="s">
        <v>32839</v>
      </c>
      <c r="H2912" t="s">
        <v>32848</v>
      </c>
      <c r="I2912" t="s">
        <v>4487</v>
      </c>
      <c r="J2912" t="s">
        <v>34938</v>
      </c>
      <c r="K2912" t="s">
        <v>42750</v>
      </c>
      <c r="M2912" t="s">
        <v>44336</v>
      </c>
      <c r="N2912" t="s">
        <v>47424</v>
      </c>
      <c r="O2912" t="s">
        <v>47425</v>
      </c>
      <c r="P2912">
        <v>0</v>
      </c>
      <c r="Q2912">
        <v>3</v>
      </c>
      <c r="R2912" t="s">
        <v>47428</v>
      </c>
      <c r="S2912" t="s">
        <v>47541</v>
      </c>
      <c r="T2912" t="s">
        <v>49155</v>
      </c>
      <c r="U2912" t="s">
        <v>52168</v>
      </c>
      <c r="V2912" t="s">
        <v>62944</v>
      </c>
      <c r="W2912" t="s">
        <v>44336</v>
      </c>
      <c r="X2912" t="s">
        <v>47430</v>
      </c>
    </row>
    <row r="2913" spans="1:24">
      <c r="A2913">
        <f>HYPERLINK("https://www.philgeps.gov.ph/GEPSNONPILOT/Tender/SplashBidNoticeAbstractUI.aspx?menuIndex=3&amp;refID=7162760&amp;Result=3","7162760")</f>
        <v>0</v>
      </c>
      <c r="B2913" t="s">
        <v>1267</v>
      </c>
      <c r="C2913" t="s">
        <v>6678</v>
      </c>
      <c r="D2913" t="s">
        <v>19019</v>
      </c>
      <c r="E2913" t="s">
        <v>20779</v>
      </c>
      <c r="F2913" t="s">
        <v>32831</v>
      </c>
      <c r="G2913" t="s">
        <v>32838</v>
      </c>
      <c r="H2913" t="s">
        <v>32848</v>
      </c>
      <c r="I2913" t="s">
        <v>32867</v>
      </c>
      <c r="J2913" t="s">
        <v>34939</v>
      </c>
      <c r="K2913" t="s">
        <v>42758</v>
      </c>
      <c r="M2913" t="s">
        <v>44337</v>
      </c>
      <c r="N2913" t="s">
        <v>47424</v>
      </c>
      <c r="O2913" t="s">
        <v>47425</v>
      </c>
      <c r="P2913">
        <v>0</v>
      </c>
      <c r="Q2913">
        <v>1</v>
      </c>
      <c r="R2913" t="s">
        <v>47428</v>
      </c>
      <c r="S2913" t="s">
        <v>47541</v>
      </c>
      <c r="T2913" t="s">
        <v>49079</v>
      </c>
      <c r="U2913" t="s">
        <v>52169</v>
      </c>
      <c r="W2913" t="s">
        <v>44337</v>
      </c>
      <c r="X2913" t="s">
        <v>47430</v>
      </c>
    </row>
    <row r="2914" spans="1:24">
      <c r="A2914">
        <f>HYPERLINK("https://www.philgeps.gov.ph/GEPSNONPILOT/Tender/SplashBidNoticeAbstractUI.aspx?menuIndex=3&amp;refID=7162756&amp;Result=3","7162756")</f>
        <v>0</v>
      </c>
      <c r="B2914" t="s">
        <v>1268</v>
      </c>
      <c r="C2914" t="s">
        <v>6679</v>
      </c>
      <c r="E2914" t="s">
        <v>21740</v>
      </c>
      <c r="F2914" t="s">
        <v>32831</v>
      </c>
      <c r="G2914" t="s">
        <v>32838</v>
      </c>
      <c r="H2914" t="s">
        <v>32850</v>
      </c>
      <c r="I2914" t="s">
        <v>32911</v>
      </c>
      <c r="J2914" t="s">
        <v>33519</v>
      </c>
      <c r="K2914" t="s">
        <v>42730</v>
      </c>
      <c r="M2914" t="s">
        <v>44338</v>
      </c>
      <c r="N2914" t="s">
        <v>47424</v>
      </c>
      <c r="O2914" t="s">
        <v>47425</v>
      </c>
      <c r="P2914">
        <v>0</v>
      </c>
      <c r="Q2914">
        <v>0</v>
      </c>
      <c r="R2914" t="s">
        <v>47428</v>
      </c>
      <c r="S2914" t="s">
        <v>47541</v>
      </c>
      <c r="T2914" t="s">
        <v>49101</v>
      </c>
      <c r="U2914" t="s">
        <v>52170</v>
      </c>
      <c r="W2914" t="s">
        <v>44338</v>
      </c>
      <c r="X2914" t="s">
        <v>47430</v>
      </c>
    </row>
    <row r="2915" spans="1:24">
      <c r="A2915">
        <f>HYPERLINK("https://www.philgeps.gov.ph/GEPSNONPILOT/Tender/SplashBidNoticeAbstractUI.aspx?menuIndex=3&amp;refID=7162759&amp;Result=3","7162759")</f>
        <v>0</v>
      </c>
      <c r="B2915" t="s">
        <v>1269</v>
      </c>
      <c r="C2915" t="s">
        <v>6680</v>
      </c>
      <c r="D2915" t="s">
        <v>19020</v>
      </c>
      <c r="E2915" t="s">
        <v>21741</v>
      </c>
      <c r="F2915" t="s">
        <v>32831</v>
      </c>
      <c r="G2915" t="s">
        <v>32838</v>
      </c>
      <c r="H2915" t="s">
        <v>32848</v>
      </c>
      <c r="I2915" t="s">
        <v>32921</v>
      </c>
      <c r="J2915" t="s">
        <v>34940</v>
      </c>
      <c r="K2915" t="s">
        <v>42731</v>
      </c>
      <c r="M2915" t="s">
        <v>44339</v>
      </c>
      <c r="N2915" t="s">
        <v>47424</v>
      </c>
      <c r="O2915" t="s">
        <v>47425</v>
      </c>
      <c r="P2915">
        <v>0</v>
      </c>
      <c r="Q2915">
        <v>1</v>
      </c>
      <c r="R2915" t="s">
        <v>47428</v>
      </c>
      <c r="S2915" t="s">
        <v>47541</v>
      </c>
      <c r="T2915" t="s">
        <v>49089</v>
      </c>
      <c r="U2915" t="s">
        <v>52171</v>
      </c>
      <c r="W2915" t="s">
        <v>44339</v>
      </c>
      <c r="X2915" t="s">
        <v>47430</v>
      </c>
    </row>
    <row r="2916" spans="1:24">
      <c r="A2916">
        <f>HYPERLINK("https://www.philgeps.gov.ph/GEPSNONPILOT/Tender/SplashBidNoticeAbstractUI.aspx?menuIndex=3&amp;refID=7162778&amp;Result=3","7162778")</f>
        <v>0</v>
      </c>
      <c r="B2916" t="s">
        <v>1250</v>
      </c>
      <c r="C2916" t="s">
        <v>6681</v>
      </c>
      <c r="E2916" t="s">
        <v>21742</v>
      </c>
      <c r="F2916" t="s">
        <v>32831</v>
      </c>
      <c r="G2916" t="s">
        <v>32838</v>
      </c>
      <c r="H2916" t="s">
        <v>32848</v>
      </c>
      <c r="I2916" t="s">
        <v>32921</v>
      </c>
      <c r="J2916" t="s">
        <v>34941</v>
      </c>
      <c r="K2916" t="s">
        <v>42732</v>
      </c>
      <c r="M2916" t="s">
        <v>44320</v>
      </c>
      <c r="N2916" t="s">
        <v>47424</v>
      </c>
      <c r="O2916" t="s">
        <v>47425</v>
      </c>
      <c r="P2916">
        <v>0</v>
      </c>
      <c r="Q2916">
        <v>4</v>
      </c>
      <c r="R2916" t="s">
        <v>47428</v>
      </c>
      <c r="S2916" t="s">
        <v>47541</v>
      </c>
      <c r="T2916" t="s">
        <v>49212</v>
      </c>
      <c r="U2916" t="s">
        <v>52172</v>
      </c>
      <c r="V2916" t="s">
        <v>62940</v>
      </c>
      <c r="W2916" t="s">
        <v>44320</v>
      </c>
      <c r="X2916" t="s">
        <v>47430</v>
      </c>
    </row>
    <row r="2917" spans="1:24">
      <c r="A2917">
        <f>HYPERLINK("https://www.philgeps.gov.ph/GEPSNONPILOT/Tender/SplashBidNoticeAbstractUI.aspx?menuIndex=3&amp;refID=7162772&amp;Result=3","7162772")</f>
        <v>0</v>
      </c>
      <c r="B2917" t="s">
        <v>1270</v>
      </c>
      <c r="C2917" t="s">
        <v>6682</v>
      </c>
      <c r="D2917" t="s">
        <v>19104</v>
      </c>
      <c r="E2917" t="s">
        <v>21743</v>
      </c>
      <c r="F2917" t="s">
        <v>32831</v>
      </c>
      <c r="G2917" t="s">
        <v>32838</v>
      </c>
      <c r="H2917" t="s">
        <v>32848</v>
      </c>
      <c r="I2917" t="s">
        <v>6526</v>
      </c>
      <c r="J2917" t="s">
        <v>34942</v>
      </c>
      <c r="K2917" t="s">
        <v>42745</v>
      </c>
      <c r="M2917" t="s">
        <v>44340</v>
      </c>
      <c r="N2917" t="s">
        <v>47424</v>
      </c>
      <c r="O2917" t="s">
        <v>47425</v>
      </c>
      <c r="P2917">
        <v>0</v>
      </c>
      <c r="Q2917">
        <v>0</v>
      </c>
      <c r="R2917" t="s">
        <v>47428</v>
      </c>
      <c r="S2917" t="s">
        <v>47541</v>
      </c>
      <c r="T2917" t="s">
        <v>49243</v>
      </c>
      <c r="U2917" t="s">
        <v>52173</v>
      </c>
      <c r="W2917" t="s">
        <v>44340</v>
      </c>
      <c r="X2917" t="s">
        <v>47430</v>
      </c>
    </row>
    <row r="2918" spans="1:24">
      <c r="A2918">
        <f>HYPERLINK("https://www.philgeps.gov.ph/GEPSNONPILOT/Tender/SplashBidNoticeAbstractUI.aspx?menuIndex=3&amp;refID=7162782&amp;Result=3","7162782")</f>
        <v>0</v>
      </c>
      <c r="B2918" t="s">
        <v>733</v>
      </c>
      <c r="C2918" t="s">
        <v>6683</v>
      </c>
      <c r="D2918" t="s">
        <v>19034</v>
      </c>
      <c r="E2918" t="s">
        <v>21669</v>
      </c>
      <c r="F2918" t="s">
        <v>32831</v>
      </c>
      <c r="G2918" t="s">
        <v>32838</v>
      </c>
      <c r="H2918" t="s">
        <v>32848</v>
      </c>
      <c r="I2918" t="s">
        <v>32860</v>
      </c>
      <c r="J2918" t="s">
        <v>34943</v>
      </c>
      <c r="K2918" t="s">
        <v>42758</v>
      </c>
      <c r="M2918" t="s">
        <v>43755</v>
      </c>
      <c r="N2918" t="s">
        <v>47424</v>
      </c>
      <c r="O2918" t="s">
        <v>47425</v>
      </c>
      <c r="P2918">
        <v>0</v>
      </c>
      <c r="Q2918">
        <v>0</v>
      </c>
      <c r="R2918" t="s">
        <v>47428</v>
      </c>
      <c r="S2918" t="s">
        <v>47541</v>
      </c>
      <c r="T2918" t="s">
        <v>49237</v>
      </c>
      <c r="U2918" t="s">
        <v>52174</v>
      </c>
      <c r="W2918" t="s">
        <v>43755</v>
      </c>
      <c r="X2918" t="s">
        <v>47430</v>
      </c>
    </row>
    <row r="2919" spans="1:24">
      <c r="A2919">
        <f>HYPERLINK("https://www.philgeps.gov.ph/GEPSNONPILOT/Tender/SplashBidNoticeAbstractUI.aspx?menuIndex=3&amp;refID=7162758&amp;Result=3","7162758")</f>
        <v>0</v>
      </c>
      <c r="B2919" t="s">
        <v>1271</v>
      </c>
      <c r="C2919" t="s">
        <v>6684</v>
      </c>
      <c r="D2919" t="s">
        <v>19038</v>
      </c>
      <c r="E2919" t="s">
        <v>21744</v>
      </c>
      <c r="F2919" t="s">
        <v>32831</v>
      </c>
      <c r="G2919" t="s">
        <v>32840</v>
      </c>
      <c r="H2919" t="s">
        <v>32848</v>
      </c>
      <c r="I2919" t="s">
        <v>4438</v>
      </c>
      <c r="J2919" t="s">
        <v>34944</v>
      </c>
      <c r="K2919" t="s">
        <v>42732</v>
      </c>
      <c r="M2919" t="s">
        <v>44341</v>
      </c>
      <c r="N2919" t="s">
        <v>47424</v>
      </c>
      <c r="O2919" t="s">
        <v>47425</v>
      </c>
      <c r="P2919">
        <v>0</v>
      </c>
      <c r="Q2919">
        <v>0</v>
      </c>
      <c r="R2919" t="s">
        <v>47428</v>
      </c>
      <c r="S2919" t="s">
        <v>47541</v>
      </c>
      <c r="T2919" t="s">
        <v>49111</v>
      </c>
      <c r="U2919" t="s">
        <v>52175</v>
      </c>
      <c r="V2919" t="s">
        <v>62945</v>
      </c>
      <c r="W2919" t="s">
        <v>44341</v>
      </c>
      <c r="X2919" t="s">
        <v>47430</v>
      </c>
    </row>
    <row r="2920" spans="1:24">
      <c r="A2920">
        <f>HYPERLINK("https://www.philgeps.gov.ph/GEPSNONPILOT/Tender/SplashBidNoticeAbstractUI.aspx?menuIndex=3&amp;refID=7162794&amp;Result=3","7162794")</f>
        <v>0</v>
      </c>
      <c r="B2920" t="s">
        <v>1258</v>
      </c>
      <c r="C2920" t="s">
        <v>6685</v>
      </c>
      <c r="D2920" t="s">
        <v>19017</v>
      </c>
      <c r="E2920" t="s">
        <v>21745</v>
      </c>
      <c r="F2920" t="s">
        <v>32831</v>
      </c>
      <c r="G2920" t="s">
        <v>32839</v>
      </c>
      <c r="H2920" t="s">
        <v>32848</v>
      </c>
      <c r="I2920" t="s">
        <v>8577</v>
      </c>
      <c r="J2920" t="s">
        <v>34945</v>
      </c>
      <c r="K2920" t="s">
        <v>42770</v>
      </c>
      <c r="M2920" t="s">
        <v>44328</v>
      </c>
      <c r="N2920" t="s">
        <v>47424</v>
      </c>
      <c r="O2920" t="s">
        <v>47425</v>
      </c>
      <c r="P2920">
        <v>0</v>
      </c>
      <c r="Q2920">
        <v>7</v>
      </c>
      <c r="R2920" t="s">
        <v>47428</v>
      </c>
      <c r="S2920" t="s">
        <v>47541</v>
      </c>
      <c r="T2920" t="s">
        <v>49118</v>
      </c>
      <c r="U2920" t="s">
        <v>52157</v>
      </c>
      <c r="W2920" t="s">
        <v>44328</v>
      </c>
      <c r="X2920" t="s">
        <v>47430</v>
      </c>
    </row>
    <row r="2921" spans="1:24">
      <c r="A2921">
        <f>HYPERLINK("https://www.philgeps.gov.ph/GEPSNONPILOT/Tender/SplashBidNoticeAbstractUI.aspx?menuIndex=3&amp;refID=7162818&amp;Result=3","7162818")</f>
        <v>0</v>
      </c>
      <c r="B2921" t="s">
        <v>616</v>
      </c>
      <c r="C2921" t="s">
        <v>6686</v>
      </c>
      <c r="D2921" t="s">
        <v>19059</v>
      </c>
      <c r="E2921" t="s">
        <v>21746</v>
      </c>
      <c r="F2921" t="s">
        <v>32831</v>
      </c>
      <c r="G2921" t="s">
        <v>32838</v>
      </c>
      <c r="H2921" t="s">
        <v>32848</v>
      </c>
      <c r="I2921" t="s">
        <v>7819</v>
      </c>
      <c r="J2921" t="s">
        <v>34946</v>
      </c>
      <c r="K2921" t="s">
        <v>42730</v>
      </c>
      <c r="L2921" t="s">
        <v>616</v>
      </c>
      <c r="M2921" t="s">
        <v>43630</v>
      </c>
      <c r="N2921" t="s">
        <v>47424</v>
      </c>
      <c r="O2921" t="s">
        <v>47425</v>
      </c>
      <c r="P2921">
        <v>0</v>
      </c>
      <c r="Q2921">
        <v>4</v>
      </c>
      <c r="R2921" t="s">
        <v>47428</v>
      </c>
      <c r="S2921" t="s">
        <v>47541</v>
      </c>
      <c r="T2921" t="s">
        <v>49129</v>
      </c>
      <c r="U2921" t="s">
        <v>50830</v>
      </c>
      <c r="W2921" t="s">
        <v>43630</v>
      </c>
      <c r="X2921" t="s">
        <v>47430</v>
      </c>
    </row>
    <row r="2922" spans="1:24">
      <c r="A2922">
        <f>HYPERLINK("https://www.philgeps.gov.ph/GEPSNONPILOT/Tender/SplashBidNoticeAbstractUI.aspx?menuIndex=3&amp;refID=7162819&amp;Result=3","7162819")</f>
        <v>0</v>
      </c>
      <c r="B2922" t="s">
        <v>413</v>
      </c>
      <c r="C2922" t="s">
        <v>6687</v>
      </c>
      <c r="D2922" t="s">
        <v>19017</v>
      </c>
      <c r="E2922" t="s">
        <v>21747</v>
      </c>
      <c r="F2922" t="s">
        <v>32831</v>
      </c>
      <c r="G2922" t="s">
        <v>32838</v>
      </c>
      <c r="H2922" t="s">
        <v>32848</v>
      </c>
      <c r="I2922" t="s">
        <v>32863</v>
      </c>
      <c r="J2922" t="s">
        <v>34947</v>
      </c>
      <c r="K2922" t="s">
        <v>42727</v>
      </c>
      <c r="M2922" t="s">
        <v>43418</v>
      </c>
      <c r="N2922" t="s">
        <v>47424</v>
      </c>
      <c r="O2922" t="s">
        <v>47425</v>
      </c>
      <c r="P2922">
        <v>0</v>
      </c>
      <c r="Q2922">
        <v>1</v>
      </c>
      <c r="R2922" t="s">
        <v>47428</v>
      </c>
      <c r="S2922" t="s">
        <v>47541</v>
      </c>
      <c r="T2922" t="s">
        <v>49239</v>
      </c>
      <c r="U2922" t="s">
        <v>52176</v>
      </c>
      <c r="W2922" t="s">
        <v>43418</v>
      </c>
      <c r="X2922" t="s">
        <v>47430</v>
      </c>
    </row>
    <row r="2923" spans="1:24">
      <c r="A2923">
        <f>HYPERLINK("https://www.philgeps.gov.ph/GEPSNONPILOT/Tender/SplashBidNoticeAbstractUI.aspx?menuIndex=3&amp;refID=7162815&amp;Result=3","7162815")</f>
        <v>0</v>
      </c>
      <c r="B2923" t="s">
        <v>788</v>
      </c>
      <c r="C2923" t="s">
        <v>6688</v>
      </c>
      <c r="D2923" t="s">
        <v>19045</v>
      </c>
      <c r="E2923" t="s">
        <v>21748</v>
      </c>
      <c r="F2923" t="s">
        <v>32831</v>
      </c>
      <c r="G2923" t="s">
        <v>32838</v>
      </c>
      <c r="H2923" t="s">
        <v>32848</v>
      </c>
      <c r="I2923" t="s">
        <v>4471</v>
      </c>
      <c r="J2923" t="s">
        <v>34329</v>
      </c>
      <c r="K2923" t="s">
        <v>42758</v>
      </c>
      <c r="M2923" t="s">
        <v>43818</v>
      </c>
      <c r="N2923" t="s">
        <v>47424</v>
      </c>
      <c r="O2923" t="s">
        <v>47425</v>
      </c>
      <c r="P2923">
        <v>0</v>
      </c>
      <c r="Q2923">
        <v>2</v>
      </c>
      <c r="R2923" t="s">
        <v>47428</v>
      </c>
      <c r="S2923" t="s">
        <v>47541</v>
      </c>
      <c r="T2923" t="s">
        <v>49107</v>
      </c>
      <c r="U2923" t="s">
        <v>50909</v>
      </c>
      <c r="W2923" t="s">
        <v>43818</v>
      </c>
      <c r="X2923" t="s">
        <v>47430</v>
      </c>
    </row>
    <row r="2924" spans="1:24">
      <c r="A2924">
        <f>HYPERLINK("https://www.philgeps.gov.ph/GEPSNONPILOT/Tender/SplashBidNoticeAbstractUI.aspx?menuIndex=3&amp;refID=7162813&amp;Result=3","7162813")</f>
        <v>0</v>
      </c>
      <c r="B2924" t="s">
        <v>1272</v>
      </c>
      <c r="C2924" t="s">
        <v>6689</v>
      </c>
      <c r="D2924" t="s">
        <v>19057</v>
      </c>
      <c r="E2924" t="s">
        <v>21749</v>
      </c>
      <c r="F2924" t="s">
        <v>32831</v>
      </c>
      <c r="G2924" t="s">
        <v>32839</v>
      </c>
      <c r="H2924" t="s">
        <v>32849</v>
      </c>
      <c r="I2924" t="s">
        <v>4177</v>
      </c>
      <c r="J2924" t="s">
        <v>34948</v>
      </c>
      <c r="K2924" t="s">
        <v>42832</v>
      </c>
      <c r="M2924" t="s">
        <v>44342</v>
      </c>
      <c r="N2924" t="s">
        <v>47424</v>
      </c>
      <c r="O2924" t="s">
        <v>47425</v>
      </c>
      <c r="P2924">
        <v>0</v>
      </c>
      <c r="Q2924">
        <v>0</v>
      </c>
      <c r="R2924" t="s">
        <v>47428</v>
      </c>
      <c r="S2924" t="s">
        <v>47541</v>
      </c>
      <c r="T2924" t="s">
        <v>49070</v>
      </c>
      <c r="U2924" t="s">
        <v>52177</v>
      </c>
      <c r="W2924" t="s">
        <v>44342</v>
      </c>
      <c r="X2924" t="s">
        <v>47430</v>
      </c>
    </row>
    <row r="2925" spans="1:24">
      <c r="A2925">
        <f>HYPERLINK("https://www.philgeps.gov.ph/GEPSNONPILOT/Tender/SplashBidNoticeAbstractUI.aspx?menuIndex=3&amp;refID=7162811&amp;Result=3","7162811")</f>
        <v>0</v>
      </c>
      <c r="B2925" t="s">
        <v>1256</v>
      </c>
      <c r="C2925" t="s">
        <v>6690</v>
      </c>
      <c r="E2925" t="s">
        <v>21750</v>
      </c>
      <c r="F2925" t="s">
        <v>32831</v>
      </c>
      <c r="G2925" t="s">
        <v>32838</v>
      </c>
      <c r="H2925" t="s">
        <v>32848</v>
      </c>
      <c r="I2925" t="s">
        <v>7416</v>
      </c>
      <c r="J2925" t="s">
        <v>34949</v>
      </c>
      <c r="K2925" t="s">
        <v>42730</v>
      </c>
      <c r="M2925" t="s">
        <v>44326</v>
      </c>
      <c r="N2925" t="s">
        <v>47424</v>
      </c>
      <c r="O2925" t="s">
        <v>47425</v>
      </c>
      <c r="P2925">
        <v>0</v>
      </c>
      <c r="Q2925">
        <v>2</v>
      </c>
      <c r="R2925" t="s">
        <v>47428</v>
      </c>
      <c r="S2925" t="s">
        <v>47541</v>
      </c>
      <c r="T2925" t="s">
        <v>49129</v>
      </c>
      <c r="U2925" t="s">
        <v>52165</v>
      </c>
      <c r="W2925" t="s">
        <v>44326</v>
      </c>
      <c r="X2925" t="s">
        <v>47430</v>
      </c>
    </row>
    <row r="2926" spans="1:24">
      <c r="A2926">
        <f>HYPERLINK("https://www.philgeps.gov.ph/GEPSNONPILOT/Tender/SplashBidNoticeAbstractUI.aspx?menuIndex=3&amp;refID=7162810&amp;Result=3","7162810")</f>
        <v>0</v>
      </c>
      <c r="B2926" t="s">
        <v>771</v>
      </c>
      <c r="C2926" t="s">
        <v>6691</v>
      </c>
      <c r="D2926" t="s">
        <v>19073</v>
      </c>
      <c r="E2926" t="s">
        <v>21751</v>
      </c>
      <c r="F2926" t="s">
        <v>32831</v>
      </c>
      <c r="G2926" t="s">
        <v>32840</v>
      </c>
      <c r="H2926" t="s">
        <v>32848</v>
      </c>
      <c r="I2926" t="s">
        <v>32912</v>
      </c>
      <c r="J2926" t="s">
        <v>34950</v>
      </c>
      <c r="K2926" t="s">
        <v>42726</v>
      </c>
      <c r="M2926" t="s">
        <v>43800</v>
      </c>
      <c r="N2926" t="s">
        <v>47424</v>
      </c>
      <c r="O2926" t="s">
        <v>47425</v>
      </c>
      <c r="P2926">
        <v>0</v>
      </c>
      <c r="Q2926">
        <v>1</v>
      </c>
      <c r="R2926" t="s">
        <v>47428</v>
      </c>
      <c r="S2926" t="s">
        <v>47541</v>
      </c>
      <c r="T2926" t="s">
        <v>49237</v>
      </c>
      <c r="U2926" t="s">
        <v>52178</v>
      </c>
      <c r="W2926" t="s">
        <v>43800</v>
      </c>
      <c r="X2926" t="s">
        <v>47430</v>
      </c>
    </row>
    <row r="2927" spans="1:24">
      <c r="A2927">
        <f>HYPERLINK("https://www.philgeps.gov.ph/GEPSNONPILOT/Tender/SplashBidNoticeAbstractUI.aspx?menuIndex=3&amp;refID=7162809&amp;Result=3","7162809")</f>
        <v>0</v>
      </c>
      <c r="B2927" t="s">
        <v>733</v>
      </c>
      <c r="C2927" t="s">
        <v>6692</v>
      </c>
      <c r="D2927" t="s">
        <v>19034</v>
      </c>
      <c r="E2927" t="s">
        <v>21669</v>
      </c>
      <c r="F2927" t="s">
        <v>32831</v>
      </c>
      <c r="G2927" t="s">
        <v>32838</v>
      </c>
      <c r="H2927" t="s">
        <v>32848</v>
      </c>
      <c r="I2927" t="s">
        <v>32870</v>
      </c>
      <c r="J2927" t="s">
        <v>34951</v>
      </c>
      <c r="K2927" t="s">
        <v>42758</v>
      </c>
      <c r="M2927" t="s">
        <v>43755</v>
      </c>
      <c r="N2927" t="s">
        <v>47424</v>
      </c>
      <c r="O2927" t="s">
        <v>47425</v>
      </c>
      <c r="P2927">
        <v>0</v>
      </c>
      <c r="Q2927">
        <v>0</v>
      </c>
      <c r="R2927" t="s">
        <v>47428</v>
      </c>
      <c r="S2927" t="s">
        <v>47541</v>
      </c>
      <c r="T2927" t="s">
        <v>49237</v>
      </c>
      <c r="U2927" t="s">
        <v>52179</v>
      </c>
      <c r="W2927" t="s">
        <v>43755</v>
      </c>
      <c r="X2927" t="s">
        <v>47430</v>
      </c>
    </row>
    <row r="2928" spans="1:24">
      <c r="A2928">
        <f>HYPERLINK("https://www.philgeps.gov.ph/GEPSNONPILOT/Tender/SplashBidNoticeAbstractUI.aspx?menuIndex=3&amp;refID=7162799&amp;Result=3","7162799")</f>
        <v>0</v>
      </c>
      <c r="B2928" t="s">
        <v>1273</v>
      </c>
      <c r="C2928" t="s">
        <v>6693</v>
      </c>
      <c r="D2928" t="s">
        <v>19022</v>
      </c>
      <c r="E2928" t="s">
        <v>20298</v>
      </c>
      <c r="F2928" t="s">
        <v>32831</v>
      </c>
      <c r="G2928" t="s">
        <v>32838</v>
      </c>
      <c r="H2928" t="s">
        <v>32848</v>
      </c>
      <c r="I2928" t="s">
        <v>32858</v>
      </c>
      <c r="J2928" t="s">
        <v>34952</v>
      </c>
      <c r="K2928" t="s">
        <v>42750</v>
      </c>
      <c r="M2928" t="s">
        <v>44343</v>
      </c>
      <c r="N2928" t="s">
        <v>47424</v>
      </c>
      <c r="O2928" t="s">
        <v>47425</v>
      </c>
      <c r="P2928">
        <v>0</v>
      </c>
      <c r="Q2928">
        <v>1</v>
      </c>
      <c r="R2928" t="s">
        <v>47428</v>
      </c>
      <c r="S2928" t="s">
        <v>47541</v>
      </c>
      <c r="T2928" t="s">
        <v>49125</v>
      </c>
      <c r="U2928" t="s">
        <v>52180</v>
      </c>
      <c r="V2928" t="s">
        <v>62946</v>
      </c>
      <c r="W2928" t="s">
        <v>44343</v>
      </c>
      <c r="X2928" t="s">
        <v>47430</v>
      </c>
    </row>
    <row r="2929" spans="1:24">
      <c r="A2929">
        <f>HYPERLINK("https://www.philgeps.gov.ph/GEPSNONPILOT/Tender/SplashBidNoticeAbstractUI.aspx?menuIndex=3&amp;refID=7162836&amp;Result=3","7162836")</f>
        <v>0</v>
      </c>
      <c r="B2929" t="s">
        <v>1178</v>
      </c>
      <c r="C2929" t="s">
        <v>6694</v>
      </c>
      <c r="D2929" t="s">
        <v>19049</v>
      </c>
      <c r="E2929" t="s">
        <v>20794</v>
      </c>
      <c r="F2929" t="s">
        <v>32831</v>
      </c>
      <c r="G2929" t="s">
        <v>32838</v>
      </c>
      <c r="H2929" t="s">
        <v>32848</v>
      </c>
      <c r="I2929" t="s">
        <v>4340</v>
      </c>
      <c r="J2929" t="s">
        <v>34543</v>
      </c>
      <c r="K2929" t="s">
        <v>42727</v>
      </c>
      <c r="M2929" t="s">
        <v>44244</v>
      </c>
      <c r="N2929" t="s">
        <v>47424</v>
      </c>
      <c r="O2929" t="s">
        <v>47425</v>
      </c>
      <c r="P2929">
        <v>0</v>
      </c>
      <c r="Q2929">
        <v>2</v>
      </c>
      <c r="R2929" t="s">
        <v>47428</v>
      </c>
      <c r="S2929" t="s">
        <v>47541</v>
      </c>
      <c r="T2929" t="s">
        <v>49111</v>
      </c>
      <c r="U2929" t="s">
        <v>51543</v>
      </c>
      <c r="W2929" t="s">
        <v>44244</v>
      </c>
      <c r="X2929" t="s">
        <v>47430</v>
      </c>
    </row>
    <row r="2930" spans="1:24">
      <c r="A2930">
        <f>HYPERLINK("https://www.philgeps.gov.ph/GEPSNONPILOT/Tender/SplashBidNoticeAbstractUI.aspx?menuIndex=3&amp;refID=7162721&amp;Result=3","7162721")</f>
        <v>0</v>
      </c>
      <c r="B2930" t="s">
        <v>1274</v>
      </c>
      <c r="C2930" t="s">
        <v>6695</v>
      </c>
      <c r="E2930" t="s">
        <v>21752</v>
      </c>
      <c r="F2930" t="s">
        <v>32831</v>
      </c>
      <c r="G2930" t="s">
        <v>32838</v>
      </c>
      <c r="H2930" t="s">
        <v>14069</v>
      </c>
      <c r="I2930" t="s">
        <v>14069</v>
      </c>
      <c r="J2930" t="s">
        <v>33044</v>
      </c>
      <c r="K2930" t="s">
        <v>42747</v>
      </c>
      <c r="M2930" t="s">
        <v>44344</v>
      </c>
      <c r="N2930" t="s">
        <v>47424</v>
      </c>
      <c r="O2930" t="s">
        <v>47425</v>
      </c>
      <c r="P2930">
        <v>0</v>
      </c>
      <c r="Q2930">
        <v>4</v>
      </c>
      <c r="R2930" t="s">
        <v>47428</v>
      </c>
      <c r="S2930" t="s">
        <v>47541</v>
      </c>
      <c r="T2930" t="s">
        <v>49229</v>
      </c>
      <c r="U2930" t="s">
        <v>52181</v>
      </c>
      <c r="V2930" t="s">
        <v>62947</v>
      </c>
      <c r="W2930" t="s">
        <v>44344</v>
      </c>
      <c r="X2930" t="s">
        <v>47430</v>
      </c>
    </row>
    <row r="2931" spans="1:24">
      <c r="A2931">
        <f>HYPERLINK("https://www.philgeps.gov.ph/GEPSNONPILOT/Tender/SplashBidNoticeAbstractUI.aspx?menuIndex=3&amp;refID=7162834&amp;Result=3","7162834")</f>
        <v>0</v>
      </c>
      <c r="B2931" t="s">
        <v>1275</v>
      </c>
      <c r="C2931" t="s">
        <v>6696</v>
      </c>
      <c r="D2931" t="s">
        <v>19045</v>
      </c>
      <c r="E2931" t="s">
        <v>21753</v>
      </c>
      <c r="F2931" t="s">
        <v>32831</v>
      </c>
      <c r="G2931" t="s">
        <v>32838</v>
      </c>
      <c r="H2931" t="s">
        <v>32848</v>
      </c>
      <c r="I2931" t="s">
        <v>4471</v>
      </c>
      <c r="J2931" t="s">
        <v>34953</v>
      </c>
      <c r="K2931" t="s">
        <v>42745</v>
      </c>
      <c r="M2931" t="s">
        <v>44345</v>
      </c>
      <c r="N2931" t="s">
        <v>47424</v>
      </c>
      <c r="O2931" t="s">
        <v>47425</v>
      </c>
      <c r="P2931">
        <v>0</v>
      </c>
      <c r="Q2931">
        <v>3</v>
      </c>
      <c r="R2931" t="s">
        <v>47428</v>
      </c>
      <c r="S2931" t="s">
        <v>47541</v>
      </c>
      <c r="T2931" t="s">
        <v>49205</v>
      </c>
      <c r="U2931" t="s">
        <v>52182</v>
      </c>
      <c r="W2931" t="s">
        <v>44345</v>
      </c>
      <c r="X2931" t="s">
        <v>47430</v>
      </c>
    </row>
    <row r="2932" spans="1:24">
      <c r="A2932">
        <f>HYPERLINK("https://www.philgeps.gov.ph/GEPSNONPILOT/Tender/SplashBidNoticeAbstractUI.aspx?menuIndex=3&amp;refID=7162829&amp;Result=3","7162829")</f>
        <v>0</v>
      </c>
      <c r="B2932" t="s">
        <v>1256</v>
      </c>
      <c r="C2932" t="s">
        <v>6697</v>
      </c>
      <c r="E2932" t="s">
        <v>21754</v>
      </c>
      <c r="F2932" t="s">
        <v>32831</v>
      </c>
      <c r="G2932" t="s">
        <v>32838</v>
      </c>
      <c r="H2932" t="s">
        <v>32848</v>
      </c>
      <c r="I2932" t="s">
        <v>32917</v>
      </c>
      <c r="J2932" t="s">
        <v>34845</v>
      </c>
      <c r="K2932" t="s">
        <v>42730</v>
      </c>
      <c r="M2932" t="s">
        <v>44326</v>
      </c>
      <c r="N2932" t="s">
        <v>47424</v>
      </c>
      <c r="O2932" t="s">
        <v>47425</v>
      </c>
      <c r="P2932">
        <v>0</v>
      </c>
      <c r="Q2932">
        <v>6</v>
      </c>
      <c r="R2932" t="s">
        <v>47428</v>
      </c>
      <c r="S2932" t="s">
        <v>47541</v>
      </c>
      <c r="T2932" t="s">
        <v>49129</v>
      </c>
      <c r="U2932" t="s">
        <v>52165</v>
      </c>
      <c r="W2932" t="s">
        <v>44326</v>
      </c>
      <c r="X2932" t="s">
        <v>47430</v>
      </c>
    </row>
    <row r="2933" spans="1:24">
      <c r="A2933">
        <f>HYPERLINK("https://www.philgeps.gov.ph/GEPSNONPILOT/Tender/SplashBidNoticeAbstractUI.aspx?menuIndex=3&amp;refID=7162831&amp;Result=3","7162831")</f>
        <v>0</v>
      </c>
      <c r="B2933" t="s">
        <v>1229</v>
      </c>
      <c r="C2933" t="s">
        <v>6698</v>
      </c>
      <c r="D2933" t="s">
        <v>19077</v>
      </c>
      <c r="E2933" t="s">
        <v>21755</v>
      </c>
      <c r="F2933" t="s">
        <v>32831</v>
      </c>
      <c r="G2933" t="s">
        <v>32839</v>
      </c>
      <c r="H2933" t="s">
        <v>32848</v>
      </c>
      <c r="I2933" t="s">
        <v>32855</v>
      </c>
      <c r="J2933" t="s">
        <v>32983</v>
      </c>
      <c r="K2933" t="s">
        <v>42727</v>
      </c>
      <c r="M2933" t="s">
        <v>44298</v>
      </c>
      <c r="N2933" t="s">
        <v>47424</v>
      </c>
      <c r="O2933" t="s">
        <v>47425</v>
      </c>
      <c r="P2933">
        <v>0</v>
      </c>
      <c r="Q2933">
        <v>2</v>
      </c>
      <c r="R2933" t="s">
        <v>47428</v>
      </c>
      <c r="S2933" t="s">
        <v>47541</v>
      </c>
      <c r="T2933" t="s">
        <v>49149</v>
      </c>
      <c r="U2933" t="s">
        <v>52183</v>
      </c>
      <c r="V2933" t="s">
        <v>62948</v>
      </c>
      <c r="W2933" t="s">
        <v>44298</v>
      </c>
      <c r="X2933" t="s">
        <v>47430</v>
      </c>
    </row>
    <row r="2934" spans="1:24">
      <c r="A2934">
        <f>HYPERLINK("https://www.philgeps.gov.ph/GEPSNONPILOT/Tender/SplashBidNoticeAbstractUI.aspx?menuIndex=3&amp;refID=7162830&amp;Result=3","7162830")</f>
        <v>0</v>
      </c>
      <c r="B2934" t="s">
        <v>1276</v>
      </c>
      <c r="C2934" t="s">
        <v>6699</v>
      </c>
      <c r="D2934" t="s">
        <v>19080</v>
      </c>
      <c r="E2934" t="s">
        <v>21756</v>
      </c>
      <c r="F2934" t="s">
        <v>32831</v>
      </c>
      <c r="G2934" t="s">
        <v>32838</v>
      </c>
      <c r="H2934" t="s">
        <v>32848</v>
      </c>
      <c r="I2934" t="s">
        <v>4340</v>
      </c>
      <c r="J2934" t="s">
        <v>34954</v>
      </c>
      <c r="K2934" t="s">
        <v>42727</v>
      </c>
      <c r="M2934" t="s">
        <v>44346</v>
      </c>
      <c r="N2934" t="s">
        <v>47424</v>
      </c>
      <c r="O2934" t="s">
        <v>47425</v>
      </c>
      <c r="P2934">
        <v>0</v>
      </c>
      <c r="Q2934">
        <v>0</v>
      </c>
      <c r="R2934" t="s">
        <v>47428</v>
      </c>
      <c r="S2934" t="s">
        <v>47541</v>
      </c>
      <c r="T2934" t="s">
        <v>49163</v>
      </c>
      <c r="U2934" t="s">
        <v>52184</v>
      </c>
      <c r="W2934" t="s">
        <v>44346</v>
      </c>
      <c r="X2934" t="s">
        <v>47430</v>
      </c>
    </row>
    <row r="2935" spans="1:24">
      <c r="A2935">
        <f>HYPERLINK("https://www.philgeps.gov.ph/GEPSNONPILOT/Tender/SplashBidNoticeAbstractUI.aspx?menuIndex=3&amp;refID=7162838&amp;Result=3","7162838")</f>
        <v>0</v>
      </c>
      <c r="B2935" t="s">
        <v>1277</v>
      </c>
      <c r="C2935" t="s">
        <v>6700</v>
      </c>
      <c r="D2935" t="s">
        <v>19067</v>
      </c>
      <c r="E2935" t="s">
        <v>21757</v>
      </c>
      <c r="F2935" t="s">
        <v>32831</v>
      </c>
      <c r="G2935" t="s">
        <v>32839</v>
      </c>
      <c r="H2935" t="s">
        <v>32848</v>
      </c>
      <c r="I2935" t="s">
        <v>4487</v>
      </c>
      <c r="J2935" t="s">
        <v>34955</v>
      </c>
      <c r="K2935" t="s">
        <v>42730</v>
      </c>
      <c r="M2935" t="s">
        <v>44347</v>
      </c>
      <c r="N2935" t="s">
        <v>47424</v>
      </c>
      <c r="O2935" t="s">
        <v>47425</v>
      </c>
      <c r="P2935">
        <v>0</v>
      </c>
      <c r="Q2935">
        <v>2</v>
      </c>
      <c r="R2935" t="s">
        <v>47428</v>
      </c>
      <c r="S2935" t="s">
        <v>47541</v>
      </c>
      <c r="T2935" t="s">
        <v>49078</v>
      </c>
      <c r="U2935" t="s">
        <v>52185</v>
      </c>
      <c r="W2935" t="s">
        <v>44347</v>
      </c>
      <c r="X2935" t="s">
        <v>47430</v>
      </c>
    </row>
    <row r="2936" spans="1:24">
      <c r="A2936">
        <f>HYPERLINK("https://www.philgeps.gov.ph/GEPSNONPILOT/Tender/SplashBidNoticeAbstractUI.aspx?menuIndex=3&amp;refID=7162820&amp;Result=3","7162820")</f>
        <v>0</v>
      </c>
      <c r="B2936" t="s">
        <v>771</v>
      </c>
      <c r="C2936" t="s">
        <v>6701</v>
      </c>
      <c r="D2936" t="s">
        <v>19073</v>
      </c>
      <c r="E2936" t="s">
        <v>21758</v>
      </c>
      <c r="F2936" t="s">
        <v>32831</v>
      </c>
      <c r="G2936" t="s">
        <v>32840</v>
      </c>
      <c r="H2936" t="s">
        <v>32848</v>
      </c>
      <c r="I2936" t="s">
        <v>32856</v>
      </c>
      <c r="J2936" t="s">
        <v>34956</v>
      </c>
      <c r="K2936" t="s">
        <v>42726</v>
      </c>
      <c r="M2936" t="s">
        <v>43800</v>
      </c>
      <c r="N2936" t="s">
        <v>47424</v>
      </c>
      <c r="O2936" t="s">
        <v>47425</v>
      </c>
      <c r="P2936">
        <v>0</v>
      </c>
      <c r="Q2936">
        <v>0</v>
      </c>
      <c r="R2936" t="s">
        <v>47428</v>
      </c>
      <c r="S2936" t="s">
        <v>47541</v>
      </c>
      <c r="T2936" t="s">
        <v>49237</v>
      </c>
      <c r="U2936" t="s">
        <v>52186</v>
      </c>
      <c r="W2936" t="s">
        <v>43800</v>
      </c>
      <c r="X2936" t="s">
        <v>47430</v>
      </c>
    </row>
    <row r="2937" spans="1:24">
      <c r="A2937">
        <f>HYPERLINK("https://www.philgeps.gov.ph/GEPSNONPILOT/Tender/SplashBidNoticeAbstractUI.aspx?menuIndex=3&amp;refID=7162859&amp;Result=3","7162859")</f>
        <v>0</v>
      </c>
      <c r="B2937" t="s">
        <v>1256</v>
      </c>
      <c r="C2937" t="s">
        <v>6702</v>
      </c>
      <c r="D2937" t="s">
        <v>19033</v>
      </c>
      <c r="E2937" t="s">
        <v>21759</v>
      </c>
      <c r="F2937" t="s">
        <v>32831</v>
      </c>
      <c r="G2937" t="s">
        <v>32838</v>
      </c>
      <c r="H2937" t="s">
        <v>32850</v>
      </c>
      <c r="I2937" t="s">
        <v>32872</v>
      </c>
      <c r="J2937" t="s">
        <v>33279</v>
      </c>
      <c r="K2937" t="s">
        <v>42730</v>
      </c>
      <c r="M2937" t="s">
        <v>44326</v>
      </c>
      <c r="N2937" t="s">
        <v>47424</v>
      </c>
      <c r="O2937" t="s">
        <v>47425</v>
      </c>
      <c r="P2937">
        <v>0</v>
      </c>
      <c r="Q2937">
        <v>3</v>
      </c>
      <c r="R2937" t="s">
        <v>47428</v>
      </c>
      <c r="S2937" t="s">
        <v>47541</v>
      </c>
      <c r="T2937" t="s">
        <v>49129</v>
      </c>
      <c r="U2937" t="s">
        <v>52165</v>
      </c>
      <c r="W2937" t="s">
        <v>44326</v>
      </c>
      <c r="X2937" t="s">
        <v>47430</v>
      </c>
    </row>
    <row r="2938" spans="1:24">
      <c r="A2938">
        <f>HYPERLINK("https://www.philgeps.gov.ph/GEPSNONPILOT/Tender/SplashBidNoticeAbstractUI.aspx?menuIndex=3&amp;refID=7162734&amp;Result=3","7162734")</f>
        <v>0</v>
      </c>
      <c r="B2938" t="s">
        <v>1023</v>
      </c>
      <c r="C2938" t="s">
        <v>6703</v>
      </c>
      <c r="D2938" t="s">
        <v>19020</v>
      </c>
      <c r="E2938" t="s">
        <v>21760</v>
      </c>
      <c r="F2938" t="s">
        <v>32831</v>
      </c>
      <c r="G2938" t="s">
        <v>32838</v>
      </c>
      <c r="H2938" t="s">
        <v>32848</v>
      </c>
      <c r="I2938" t="s">
        <v>32860</v>
      </c>
      <c r="J2938" t="s">
        <v>34957</v>
      </c>
      <c r="K2938" t="s">
        <v>42727</v>
      </c>
      <c r="M2938" t="s">
        <v>44073</v>
      </c>
      <c r="N2938" t="s">
        <v>47424</v>
      </c>
      <c r="O2938" t="s">
        <v>47425</v>
      </c>
      <c r="P2938">
        <v>0</v>
      </c>
      <c r="Q2938">
        <v>1</v>
      </c>
      <c r="R2938" t="s">
        <v>47428</v>
      </c>
      <c r="S2938" t="s">
        <v>47541</v>
      </c>
      <c r="T2938" t="s">
        <v>49107</v>
      </c>
      <c r="U2938" t="s">
        <v>52187</v>
      </c>
      <c r="W2938" t="s">
        <v>44073</v>
      </c>
      <c r="X2938" t="s">
        <v>47430</v>
      </c>
    </row>
    <row r="2939" spans="1:24">
      <c r="A2939">
        <f>HYPERLINK("https://www.philgeps.gov.ph/GEPSNONPILOT/Tender/SplashBidNoticeAbstractUI.aspx?menuIndex=3&amp;refID=7162858&amp;Result=3","7162858")</f>
        <v>0</v>
      </c>
      <c r="B2939" t="s">
        <v>145</v>
      </c>
      <c r="C2939" t="s">
        <v>6704</v>
      </c>
      <c r="D2939" t="s">
        <v>19048</v>
      </c>
      <c r="E2939" t="s">
        <v>21761</v>
      </c>
      <c r="F2939" t="s">
        <v>32831</v>
      </c>
      <c r="G2939" t="s">
        <v>32838</v>
      </c>
      <c r="H2939" t="s">
        <v>32848</v>
      </c>
      <c r="I2939" t="s">
        <v>32864</v>
      </c>
      <c r="J2939" t="s">
        <v>34095</v>
      </c>
      <c r="K2939" t="s">
        <v>42731</v>
      </c>
      <c r="L2939" t="s">
        <v>145</v>
      </c>
      <c r="M2939" t="s">
        <v>43142</v>
      </c>
      <c r="N2939" t="s">
        <v>47424</v>
      </c>
      <c r="O2939" t="s">
        <v>47425</v>
      </c>
      <c r="P2939">
        <v>0</v>
      </c>
      <c r="Q2939">
        <v>1</v>
      </c>
      <c r="R2939" t="s">
        <v>47428</v>
      </c>
      <c r="S2939" t="s">
        <v>47541</v>
      </c>
      <c r="T2939" t="s">
        <v>49235</v>
      </c>
      <c r="U2939" t="s">
        <v>52188</v>
      </c>
      <c r="V2939" t="s">
        <v>62949</v>
      </c>
      <c r="W2939" t="s">
        <v>43142</v>
      </c>
      <c r="X2939" t="s">
        <v>47430</v>
      </c>
    </row>
    <row r="2940" spans="1:24">
      <c r="A2940">
        <f>HYPERLINK("https://www.philgeps.gov.ph/GEPSNONPILOT/Tender/SplashBidNoticeAbstractUI.aspx?menuIndex=3&amp;refID=7162854&amp;Result=3","7162854")</f>
        <v>0</v>
      </c>
      <c r="B2940" t="s">
        <v>346</v>
      </c>
      <c r="C2940" t="s">
        <v>6705</v>
      </c>
      <c r="D2940" t="s">
        <v>19020</v>
      </c>
      <c r="E2940" t="s">
        <v>21762</v>
      </c>
      <c r="F2940" t="s">
        <v>32831</v>
      </c>
      <c r="G2940" t="s">
        <v>32838</v>
      </c>
      <c r="H2940" t="s">
        <v>32848</v>
      </c>
      <c r="I2940" t="s">
        <v>4487</v>
      </c>
      <c r="J2940" t="s">
        <v>33626</v>
      </c>
      <c r="K2940" t="s">
        <v>42729</v>
      </c>
      <c r="M2940" t="s">
        <v>43350</v>
      </c>
      <c r="N2940" t="s">
        <v>47424</v>
      </c>
      <c r="O2940" t="s">
        <v>47425</v>
      </c>
      <c r="P2940">
        <v>0</v>
      </c>
      <c r="Q2940">
        <v>4</v>
      </c>
      <c r="R2940" t="s">
        <v>47428</v>
      </c>
      <c r="S2940" t="s">
        <v>47541</v>
      </c>
      <c r="T2940" t="s">
        <v>49108</v>
      </c>
      <c r="U2940" t="s">
        <v>52189</v>
      </c>
      <c r="W2940" t="s">
        <v>43350</v>
      </c>
      <c r="X2940" t="s">
        <v>47430</v>
      </c>
    </row>
    <row r="2941" spans="1:24">
      <c r="A2941">
        <f>HYPERLINK("https://www.philgeps.gov.ph/GEPSNONPILOT/Tender/SplashBidNoticeAbstractUI.aspx?menuIndex=3&amp;refID=7162832&amp;Result=3","7162832")</f>
        <v>0</v>
      </c>
      <c r="B2941" t="s">
        <v>1278</v>
      </c>
      <c r="C2941" t="s">
        <v>6706</v>
      </c>
      <c r="D2941" t="s">
        <v>19028</v>
      </c>
      <c r="E2941" t="s">
        <v>21763</v>
      </c>
      <c r="F2941" t="s">
        <v>32831</v>
      </c>
      <c r="G2941" t="s">
        <v>32838</v>
      </c>
      <c r="H2941" t="s">
        <v>32848</v>
      </c>
      <c r="I2941" t="s">
        <v>32853</v>
      </c>
      <c r="J2941" t="s">
        <v>33031</v>
      </c>
      <c r="K2941" t="s">
        <v>42748</v>
      </c>
      <c r="M2941" t="s">
        <v>44348</v>
      </c>
      <c r="N2941" t="s">
        <v>47424</v>
      </c>
      <c r="O2941" t="s">
        <v>47425</v>
      </c>
      <c r="P2941">
        <v>0</v>
      </c>
      <c r="Q2941">
        <v>2</v>
      </c>
      <c r="R2941" t="s">
        <v>47428</v>
      </c>
      <c r="S2941" t="s">
        <v>47541</v>
      </c>
      <c r="T2941" t="s">
        <v>49145</v>
      </c>
      <c r="U2941" t="s">
        <v>52190</v>
      </c>
      <c r="W2941" t="s">
        <v>44348</v>
      </c>
      <c r="X2941" t="s">
        <v>47430</v>
      </c>
    </row>
    <row r="2942" spans="1:24">
      <c r="A2942">
        <f>HYPERLINK("https://www.philgeps.gov.ph/GEPSNONPILOT/Tender/SplashBidNoticeAbstractUI.aspx?menuIndex=3&amp;refID=7162869&amp;Result=3","7162869")</f>
        <v>0</v>
      </c>
      <c r="B2942" t="s">
        <v>145</v>
      </c>
      <c r="C2942" t="s">
        <v>6707</v>
      </c>
      <c r="D2942" t="s">
        <v>19048</v>
      </c>
      <c r="E2942" t="s">
        <v>21764</v>
      </c>
      <c r="F2942" t="s">
        <v>32831</v>
      </c>
      <c r="G2942" t="s">
        <v>32838</v>
      </c>
      <c r="H2942" t="s">
        <v>32848</v>
      </c>
      <c r="I2942" t="s">
        <v>32860</v>
      </c>
      <c r="J2942" t="s">
        <v>33402</v>
      </c>
      <c r="K2942" t="s">
        <v>42731</v>
      </c>
      <c r="L2942" t="s">
        <v>145</v>
      </c>
      <c r="M2942" t="s">
        <v>43142</v>
      </c>
      <c r="N2942" t="s">
        <v>47424</v>
      </c>
      <c r="O2942" t="s">
        <v>47425</v>
      </c>
      <c r="P2942">
        <v>0</v>
      </c>
      <c r="Q2942">
        <v>2</v>
      </c>
      <c r="R2942" t="s">
        <v>47428</v>
      </c>
      <c r="S2942" t="s">
        <v>47541</v>
      </c>
      <c r="T2942" t="s">
        <v>49235</v>
      </c>
      <c r="U2942" t="s">
        <v>49903</v>
      </c>
      <c r="V2942" t="s">
        <v>62949</v>
      </c>
      <c r="W2942" t="s">
        <v>43142</v>
      </c>
      <c r="X2942" t="s">
        <v>47430</v>
      </c>
    </row>
    <row r="2943" spans="1:24">
      <c r="A2943">
        <f>HYPERLINK("https://www.philgeps.gov.ph/GEPSNONPILOT/Tender/SplashBidNoticeAbstractUI.aspx?menuIndex=3&amp;refID=7162868&amp;Result=3","7162868")</f>
        <v>0</v>
      </c>
      <c r="B2943" t="s">
        <v>1279</v>
      </c>
      <c r="C2943" t="s">
        <v>6708</v>
      </c>
      <c r="D2943" t="s">
        <v>19052</v>
      </c>
      <c r="E2943" t="s">
        <v>21765</v>
      </c>
      <c r="F2943" t="s">
        <v>32831</v>
      </c>
      <c r="G2943" t="s">
        <v>32839</v>
      </c>
      <c r="H2943" t="s">
        <v>32848</v>
      </c>
      <c r="I2943" t="s">
        <v>4776</v>
      </c>
      <c r="J2943" t="s">
        <v>33193</v>
      </c>
      <c r="K2943" t="s">
        <v>42750</v>
      </c>
      <c r="M2943" t="s">
        <v>44349</v>
      </c>
      <c r="N2943" t="s">
        <v>47424</v>
      </c>
      <c r="O2943" t="s">
        <v>47425</v>
      </c>
      <c r="P2943">
        <v>0</v>
      </c>
      <c r="Q2943">
        <v>2</v>
      </c>
      <c r="R2943" t="s">
        <v>47428</v>
      </c>
      <c r="S2943" t="s">
        <v>47541</v>
      </c>
      <c r="T2943" t="s">
        <v>49058</v>
      </c>
      <c r="U2943" t="s">
        <v>52191</v>
      </c>
      <c r="W2943" t="s">
        <v>64464</v>
      </c>
      <c r="X2943" t="s">
        <v>47430</v>
      </c>
    </row>
    <row r="2944" spans="1:24">
      <c r="A2944">
        <f>HYPERLINK("https://www.philgeps.gov.ph/GEPSNONPILOT/Tender/SplashBidNoticeAbstractUI.aspx?menuIndex=3&amp;refID=7162795&amp;Result=3","7162795")</f>
        <v>0</v>
      </c>
      <c r="B2944" t="s">
        <v>788</v>
      </c>
      <c r="C2944" t="s">
        <v>6709</v>
      </c>
      <c r="D2944" t="s">
        <v>19045</v>
      </c>
      <c r="E2944" t="s">
        <v>21748</v>
      </c>
      <c r="F2944" t="s">
        <v>32831</v>
      </c>
      <c r="G2944" t="s">
        <v>32838</v>
      </c>
      <c r="H2944" t="s">
        <v>32848</v>
      </c>
      <c r="I2944" t="s">
        <v>32883</v>
      </c>
      <c r="J2944" t="s">
        <v>33017</v>
      </c>
      <c r="K2944" t="s">
        <v>42758</v>
      </c>
      <c r="M2944" t="s">
        <v>43818</v>
      </c>
      <c r="N2944" t="s">
        <v>47424</v>
      </c>
      <c r="O2944" t="s">
        <v>47425</v>
      </c>
      <c r="P2944">
        <v>0</v>
      </c>
      <c r="Q2944">
        <v>2</v>
      </c>
      <c r="R2944" t="s">
        <v>47428</v>
      </c>
      <c r="S2944" t="s">
        <v>47541</v>
      </c>
      <c r="T2944" t="s">
        <v>49107</v>
      </c>
      <c r="U2944" t="s">
        <v>50909</v>
      </c>
      <c r="W2944" t="s">
        <v>43818</v>
      </c>
      <c r="X2944" t="s">
        <v>47430</v>
      </c>
    </row>
    <row r="2945" spans="1:24">
      <c r="A2945">
        <f>HYPERLINK("https://www.philgeps.gov.ph/GEPSNONPILOT/Tender/SplashBidNoticeAbstractUI.aspx?menuIndex=3&amp;refID=7162835&amp;Result=3","7162835")</f>
        <v>0</v>
      </c>
      <c r="B2945" t="s">
        <v>1280</v>
      </c>
      <c r="C2945" t="s">
        <v>6710</v>
      </c>
      <c r="D2945" t="s">
        <v>19019</v>
      </c>
      <c r="E2945" t="s">
        <v>21766</v>
      </c>
      <c r="F2945" t="s">
        <v>32831</v>
      </c>
      <c r="G2945" t="s">
        <v>32838</v>
      </c>
      <c r="H2945" t="s">
        <v>32848</v>
      </c>
      <c r="I2945" t="s">
        <v>7819</v>
      </c>
      <c r="J2945" t="s">
        <v>34033</v>
      </c>
      <c r="K2945" t="s">
        <v>42732</v>
      </c>
      <c r="M2945" t="s">
        <v>44350</v>
      </c>
      <c r="N2945" t="s">
        <v>47424</v>
      </c>
      <c r="O2945" t="s">
        <v>47425</v>
      </c>
      <c r="P2945">
        <v>0</v>
      </c>
      <c r="Q2945">
        <v>1</v>
      </c>
      <c r="R2945" t="s">
        <v>47428</v>
      </c>
      <c r="S2945" t="s">
        <v>47541</v>
      </c>
      <c r="T2945" t="s">
        <v>49163</v>
      </c>
      <c r="U2945" t="s">
        <v>52192</v>
      </c>
      <c r="V2945" t="s">
        <v>62950</v>
      </c>
      <c r="W2945" t="s">
        <v>44350</v>
      </c>
      <c r="X2945" t="s">
        <v>47430</v>
      </c>
    </row>
    <row r="2946" spans="1:24">
      <c r="A2946">
        <f>HYPERLINK("https://www.philgeps.gov.ph/GEPSNONPILOT/Tender/SplashBidNoticeAbstractUI.aspx?menuIndex=3&amp;refID=7162823&amp;Result=3","7162823")</f>
        <v>0</v>
      </c>
      <c r="B2946" t="s">
        <v>1281</v>
      </c>
      <c r="C2946" t="s">
        <v>6711</v>
      </c>
      <c r="D2946" t="s">
        <v>19062</v>
      </c>
      <c r="E2946" t="s">
        <v>19861</v>
      </c>
      <c r="F2946" t="s">
        <v>32831</v>
      </c>
      <c r="G2946" t="s">
        <v>32840</v>
      </c>
      <c r="H2946" t="s">
        <v>32848</v>
      </c>
      <c r="I2946" t="s">
        <v>9577</v>
      </c>
      <c r="J2946" t="s">
        <v>34958</v>
      </c>
      <c r="K2946" t="s">
        <v>42731</v>
      </c>
      <c r="M2946" t="s">
        <v>44351</v>
      </c>
      <c r="N2946" t="s">
        <v>47424</v>
      </c>
      <c r="O2946" t="s">
        <v>47425</v>
      </c>
      <c r="P2946">
        <v>0</v>
      </c>
      <c r="Q2946">
        <v>2</v>
      </c>
      <c r="R2946" t="s">
        <v>47428</v>
      </c>
      <c r="S2946" t="s">
        <v>47541</v>
      </c>
      <c r="T2946" t="s">
        <v>49235</v>
      </c>
      <c r="U2946" t="s">
        <v>52193</v>
      </c>
      <c r="W2946" t="s">
        <v>44351</v>
      </c>
      <c r="X2946" t="s">
        <v>47430</v>
      </c>
    </row>
    <row r="2947" spans="1:24">
      <c r="A2947">
        <f>HYPERLINK("https://www.philgeps.gov.ph/GEPSNONPILOT/Tender/SplashBidNoticeAbstractUI.aspx?menuIndex=3&amp;refID=7162857&amp;Result=3","7162857")</f>
        <v>0</v>
      </c>
      <c r="B2947" t="s">
        <v>1282</v>
      </c>
      <c r="C2947" t="s">
        <v>6712</v>
      </c>
      <c r="D2947" t="s">
        <v>19071</v>
      </c>
      <c r="E2947" t="s">
        <v>19183</v>
      </c>
      <c r="F2947" t="s">
        <v>32831</v>
      </c>
      <c r="G2947" t="s">
        <v>32841</v>
      </c>
      <c r="H2947" t="s">
        <v>32849</v>
      </c>
      <c r="I2947" t="s">
        <v>32919</v>
      </c>
      <c r="J2947" t="s">
        <v>34959</v>
      </c>
      <c r="K2947" t="s">
        <v>42763</v>
      </c>
      <c r="M2947" t="s">
        <v>44352</v>
      </c>
      <c r="N2947" t="s">
        <v>47424</v>
      </c>
      <c r="O2947" t="s">
        <v>47425</v>
      </c>
      <c r="P2947">
        <v>0</v>
      </c>
      <c r="Q2947">
        <v>1</v>
      </c>
      <c r="R2947" t="s">
        <v>47428</v>
      </c>
      <c r="S2947" t="s">
        <v>47541</v>
      </c>
      <c r="T2947" t="s">
        <v>49288</v>
      </c>
      <c r="U2947" t="s">
        <v>52194</v>
      </c>
      <c r="W2947" t="s">
        <v>44352</v>
      </c>
      <c r="X2947" t="s">
        <v>47430</v>
      </c>
    </row>
    <row r="2948" spans="1:24">
      <c r="A2948">
        <f>HYPERLINK("https://www.philgeps.gov.ph/GEPSNONPILOT/Tender/SplashBidNoticeAbstractUI.aspx?menuIndex=3&amp;refID=7162862&amp;Result=3","7162862")</f>
        <v>0</v>
      </c>
      <c r="B2948" t="s">
        <v>1283</v>
      </c>
      <c r="C2948" t="s">
        <v>6713</v>
      </c>
      <c r="D2948" t="s">
        <v>19086</v>
      </c>
      <c r="E2948" t="s">
        <v>21767</v>
      </c>
      <c r="F2948" t="s">
        <v>32831</v>
      </c>
      <c r="G2948" t="s">
        <v>32838</v>
      </c>
      <c r="H2948" t="s">
        <v>32848</v>
      </c>
      <c r="I2948" t="s">
        <v>7416</v>
      </c>
      <c r="J2948" t="s">
        <v>33673</v>
      </c>
      <c r="K2948" t="s">
        <v>42748</v>
      </c>
      <c r="M2948" t="s">
        <v>44353</v>
      </c>
      <c r="N2948" t="s">
        <v>47424</v>
      </c>
      <c r="O2948" t="s">
        <v>47425</v>
      </c>
      <c r="P2948">
        <v>0</v>
      </c>
      <c r="Q2948">
        <v>3</v>
      </c>
      <c r="R2948" t="s">
        <v>47428</v>
      </c>
      <c r="S2948" t="s">
        <v>47541</v>
      </c>
      <c r="T2948" t="s">
        <v>49070</v>
      </c>
      <c r="U2948" t="s">
        <v>52195</v>
      </c>
      <c r="W2948" t="s">
        <v>44353</v>
      </c>
      <c r="X2948" t="s">
        <v>47430</v>
      </c>
    </row>
    <row r="2949" spans="1:24">
      <c r="A2949">
        <f>HYPERLINK("https://www.philgeps.gov.ph/GEPSNONPILOT/Tender/SplashBidNoticeAbstractUI.aspx?menuIndex=3&amp;refID=7162853&amp;Result=3","7162853")</f>
        <v>0</v>
      </c>
      <c r="B2949" t="s">
        <v>145</v>
      </c>
      <c r="C2949" t="s">
        <v>6714</v>
      </c>
      <c r="D2949" t="s">
        <v>19048</v>
      </c>
      <c r="E2949" t="s">
        <v>21768</v>
      </c>
      <c r="F2949" t="s">
        <v>32831</v>
      </c>
      <c r="G2949" t="s">
        <v>32838</v>
      </c>
      <c r="H2949" t="s">
        <v>32848</v>
      </c>
      <c r="I2949" t="s">
        <v>32861</v>
      </c>
      <c r="J2949" t="s">
        <v>32976</v>
      </c>
      <c r="K2949" t="s">
        <v>42731</v>
      </c>
      <c r="L2949" t="s">
        <v>145</v>
      </c>
      <c r="M2949" t="s">
        <v>43142</v>
      </c>
      <c r="N2949" t="s">
        <v>47424</v>
      </c>
      <c r="O2949" t="s">
        <v>47425</v>
      </c>
      <c r="P2949">
        <v>0</v>
      </c>
      <c r="Q2949">
        <v>2</v>
      </c>
      <c r="R2949" t="s">
        <v>47428</v>
      </c>
      <c r="S2949" t="s">
        <v>47541</v>
      </c>
      <c r="T2949" t="s">
        <v>49235</v>
      </c>
      <c r="U2949" t="s">
        <v>49945</v>
      </c>
      <c r="V2949" t="s">
        <v>62949</v>
      </c>
      <c r="W2949" t="s">
        <v>43142</v>
      </c>
      <c r="X2949" t="s">
        <v>47430</v>
      </c>
    </row>
    <row r="2950" spans="1:24">
      <c r="A2950">
        <f>HYPERLINK("https://www.philgeps.gov.ph/GEPSNONPILOT/Tender/SplashBidNoticeAbstractUI.aspx?menuIndex=3&amp;refID=7162865&amp;Result=3","7162865")</f>
        <v>0</v>
      </c>
      <c r="B2950" t="s">
        <v>1245</v>
      </c>
      <c r="C2950" t="s">
        <v>6715</v>
      </c>
      <c r="D2950" t="s">
        <v>19083</v>
      </c>
      <c r="E2950" t="s">
        <v>19962</v>
      </c>
      <c r="F2950" t="s">
        <v>32831</v>
      </c>
      <c r="G2950" t="s">
        <v>32839</v>
      </c>
      <c r="H2950" t="s">
        <v>32848</v>
      </c>
      <c r="I2950" t="s">
        <v>10805</v>
      </c>
      <c r="J2950" t="s">
        <v>34960</v>
      </c>
      <c r="K2950" t="s">
        <v>42730</v>
      </c>
      <c r="M2950" t="s">
        <v>44315</v>
      </c>
      <c r="N2950" t="s">
        <v>47424</v>
      </c>
      <c r="O2950" t="s">
        <v>47425</v>
      </c>
      <c r="P2950">
        <v>0</v>
      </c>
      <c r="Q2950">
        <v>6</v>
      </c>
      <c r="R2950" t="s">
        <v>47428</v>
      </c>
      <c r="S2950" t="s">
        <v>47541</v>
      </c>
      <c r="T2950" t="s">
        <v>49073</v>
      </c>
      <c r="U2950" t="s">
        <v>52196</v>
      </c>
      <c r="W2950" t="s">
        <v>44315</v>
      </c>
      <c r="X2950" t="s">
        <v>47430</v>
      </c>
    </row>
    <row r="2951" spans="1:24">
      <c r="A2951">
        <f>HYPERLINK("https://www.philgeps.gov.ph/GEPSNONPILOT/Tender/SplashBidNoticeAbstractUI.aspx?menuIndex=3&amp;refID=7162860&amp;Result=3","7162860")</f>
        <v>0</v>
      </c>
      <c r="B2951" t="s">
        <v>1284</v>
      </c>
      <c r="C2951" t="s">
        <v>6716</v>
      </c>
      <c r="D2951" t="s">
        <v>19023</v>
      </c>
      <c r="E2951" t="s">
        <v>21769</v>
      </c>
      <c r="F2951" t="s">
        <v>32831</v>
      </c>
      <c r="G2951" t="s">
        <v>32838</v>
      </c>
      <c r="H2951" t="s">
        <v>32848</v>
      </c>
      <c r="I2951" t="s">
        <v>4303</v>
      </c>
      <c r="J2951" t="s">
        <v>34961</v>
      </c>
      <c r="K2951" t="s">
        <v>42730</v>
      </c>
      <c r="M2951" t="s">
        <v>44354</v>
      </c>
      <c r="N2951" t="s">
        <v>47424</v>
      </c>
      <c r="O2951" t="s">
        <v>47425</v>
      </c>
      <c r="P2951">
        <v>0</v>
      </c>
      <c r="Q2951">
        <v>0</v>
      </c>
      <c r="R2951" t="s">
        <v>47428</v>
      </c>
      <c r="S2951" t="s">
        <v>47541</v>
      </c>
      <c r="T2951" t="s">
        <v>49163</v>
      </c>
      <c r="U2951" t="s">
        <v>52197</v>
      </c>
      <c r="W2951" t="s">
        <v>44354</v>
      </c>
      <c r="X2951" t="s">
        <v>47430</v>
      </c>
    </row>
    <row r="2952" spans="1:24">
      <c r="A2952">
        <f>HYPERLINK("https://www.philgeps.gov.ph/GEPSNONPILOT/Tender/SplashBidNoticeAbstractUI.aspx?menuIndex=3&amp;refID=7162847&amp;Result=3","7162847")</f>
        <v>0</v>
      </c>
      <c r="B2952" t="s">
        <v>1285</v>
      </c>
      <c r="C2952" t="s">
        <v>6717</v>
      </c>
      <c r="D2952" t="s">
        <v>19017</v>
      </c>
      <c r="E2952" t="s">
        <v>21770</v>
      </c>
      <c r="F2952" t="s">
        <v>32831</v>
      </c>
      <c r="G2952" t="s">
        <v>32838</v>
      </c>
      <c r="H2952" t="s">
        <v>32848</v>
      </c>
      <c r="I2952" t="s">
        <v>32938</v>
      </c>
      <c r="J2952" t="s">
        <v>33175</v>
      </c>
      <c r="K2952" t="s">
        <v>42727</v>
      </c>
      <c r="M2952" t="s">
        <v>44355</v>
      </c>
      <c r="N2952" t="s">
        <v>47424</v>
      </c>
      <c r="O2952" t="s">
        <v>47425</v>
      </c>
      <c r="P2952">
        <v>0</v>
      </c>
      <c r="Q2952">
        <v>0</v>
      </c>
      <c r="R2952" t="s">
        <v>47428</v>
      </c>
      <c r="S2952" t="s">
        <v>47541</v>
      </c>
      <c r="T2952" t="s">
        <v>49109</v>
      </c>
      <c r="U2952" t="s">
        <v>52198</v>
      </c>
      <c r="W2952" t="s">
        <v>44355</v>
      </c>
      <c r="X2952" t="s">
        <v>47430</v>
      </c>
    </row>
    <row r="2953" spans="1:24">
      <c r="A2953">
        <f>HYPERLINK("https://www.philgeps.gov.ph/GEPSNONPILOT/Tender/SplashBidNoticeAbstractUI.aspx?menuIndex=3&amp;refID=7162845&amp;Result=3","7162845")</f>
        <v>0</v>
      </c>
      <c r="B2953" t="s">
        <v>1286</v>
      </c>
      <c r="C2953" t="s">
        <v>6718</v>
      </c>
      <c r="D2953" t="s">
        <v>19104</v>
      </c>
      <c r="E2953" t="s">
        <v>21771</v>
      </c>
      <c r="F2953" t="s">
        <v>32831</v>
      </c>
      <c r="G2953" t="s">
        <v>32839</v>
      </c>
      <c r="H2953" t="s">
        <v>32848</v>
      </c>
      <c r="I2953" t="s">
        <v>4487</v>
      </c>
      <c r="J2953" t="s">
        <v>34104</v>
      </c>
      <c r="K2953" t="s">
        <v>42727</v>
      </c>
      <c r="M2953" t="s">
        <v>44356</v>
      </c>
      <c r="N2953" t="s">
        <v>47424</v>
      </c>
      <c r="O2953" t="s">
        <v>47425</v>
      </c>
      <c r="P2953">
        <v>0</v>
      </c>
      <c r="Q2953">
        <v>1</v>
      </c>
      <c r="R2953" t="s">
        <v>47428</v>
      </c>
      <c r="S2953" t="s">
        <v>47541</v>
      </c>
      <c r="T2953" t="s">
        <v>49068</v>
      </c>
      <c r="U2953" t="s">
        <v>51102</v>
      </c>
      <c r="W2953" t="s">
        <v>44356</v>
      </c>
      <c r="X2953" t="s">
        <v>47430</v>
      </c>
    </row>
    <row r="2954" spans="1:24">
      <c r="A2954">
        <f>HYPERLINK("https://www.philgeps.gov.ph/GEPSNONPILOT/Tender/SplashBidNoticeAbstractUI.aspx?menuIndex=3&amp;refID=7162841&amp;Result=3","7162841")</f>
        <v>0</v>
      </c>
      <c r="B2954" t="s">
        <v>1234</v>
      </c>
      <c r="C2954" t="s">
        <v>6719</v>
      </c>
      <c r="E2954" t="s">
        <v>21772</v>
      </c>
      <c r="F2954" t="s">
        <v>32831</v>
      </c>
      <c r="G2954" t="s">
        <v>32838</v>
      </c>
      <c r="H2954" t="s">
        <v>32849</v>
      </c>
      <c r="I2954" t="s">
        <v>32899</v>
      </c>
      <c r="J2954" t="s">
        <v>34962</v>
      </c>
      <c r="K2954" t="s">
        <v>42730</v>
      </c>
      <c r="M2954" t="s">
        <v>44303</v>
      </c>
      <c r="N2954" t="s">
        <v>47424</v>
      </c>
      <c r="O2954" t="s">
        <v>47425</v>
      </c>
      <c r="P2954">
        <v>0</v>
      </c>
      <c r="Q2954">
        <v>0</v>
      </c>
      <c r="R2954" t="s">
        <v>47428</v>
      </c>
      <c r="S2954" t="s">
        <v>47541</v>
      </c>
      <c r="T2954" t="s">
        <v>49160</v>
      </c>
      <c r="U2954" t="s">
        <v>52199</v>
      </c>
      <c r="V2954" t="s">
        <v>62951</v>
      </c>
      <c r="W2954" t="s">
        <v>44303</v>
      </c>
      <c r="X2954" t="s">
        <v>47430</v>
      </c>
    </row>
    <row r="2955" spans="1:24">
      <c r="A2955">
        <f>HYPERLINK("https://www.philgeps.gov.ph/GEPSNONPILOT/Tender/SplashBidNoticeAbstractUI.aspx?menuIndex=3&amp;refID=7162870&amp;Result=3","7162870")</f>
        <v>0</v>
      </c>
      <c r="B2955" t="s">
        <v>1287</v>
      </c>
      <c r="C2955" t="s">
        <v>6720</v>
      </c>
      <c r="D2955" t="s">
        <v>19017</v>
      </c>
      <c r="E2955" t="s">
        <v>21773</v>
      </c>
      <c r="F2955" t="s">
        <v>32831</v>
      </c>
      <c r="G2955" t="s">
        <v>32838</v>
      </c>
      <c r="H2955" t="s">
        <v>14069</v>
      </c>
      <c r="I2955" t="s">
        <v>14069</v>
      </c>
      <c r="J2955" t="s">
        <v>32980</v>
      </c>
      <c r="K2955" t="s">
        <v>42732</v>
      </c>
      <c r="M2955" t="s">
        <v>44357</v>
      </c>
      <c r="N2955" t="s">
        <v>47424</v>
      </c>
      <c r="O2955" t="s">
        <v>47425</v>
      </c>
      <c r="P2955">
        <v>0</v>
      </c>
      <c r="Q2955">
        <v>2</v>
      </c>
      <c r="R2955" t="s">
        <v>47428</v>
      </c>
      <c r="S2955" t="s">
        <v>47541</v>
      </c>
      <c r="T2955" t="s">
        <v>49177</v>
      </c>
      <c r="U2955" t="s">
        <v>52200</v>
      </c>
      <c r="W2955" t="s">
        <v>44357</v>
      </c>
      <c r="X2955" t="s">
        <v>47430</v>
      </c>
    </row>
    <row r="2956" spans="1:24">
      <c r="A2956">
        <f>HYPERLINK("https://www.philgeps.gov.ph/GEPSNONPILOT/Tender/SplashBidNoticeAbstractUI.aspx?menuIndex=3&amp;refID=7162864&amp;Result=3","7162864")</f>
        <v>0</v>
      </c>
      <c r="B2956" t="s">
        <v>1178</v>
      </c>
      <c r="C2956" t="s">
        <v>6721</v>
      </c>
      <c r="D2956" t="s">
        <v>19049</v>
      </c>
      <c r="E2956" t="s">
        <v>21774</v>
      </c>
      <c r="F2956" t="s">
        <v>32831</v>
      </c>
      <c r="G2956" t="s">
        <v>32838</v>
      </c>
      <c r="H2956" t="s">
        <v>32848</v>
      </c>
      <c r="I2956" t="s">
        <v>4438</v>
      </c>
      <c r="J2956" t="s">
        <v>33568</v>
      </c>
      <c r="K2956" t="s">
        <v>42727</v>
      </c>
      <c r="M2956" t="s">
        <v>44244</v>
      </c>
      <c r="N2956" t="s">
        <v>47424</v>
      </c>
      <c r="O2956" t="s">
        <v>47425</v>
      </c>
      <c r="P2956">
        <v>0</v>
      </c>
      <c r="Q2956">
        <v>1</v>
      </c>
      <c r="R2956" t="s">
        <v>47428</v>
      </c>
      <c r="S2956" t="s">
        <v>47541</v>
      </c>
      <c r="T2956" t="s">
        <v>49111</v>
      </c>
      <c r="U2956" t="s">
        <v>51543</v>
      </c>
      <c r="W2956" t="s">
        <v>44244</v>
      </c>
      <c r="X2956" t="s">
        <v>47430</v>
      </c>
    </row>
    <row r="2957" spans="1:24">
      <c r="A2957">
        <f>HYPERLINK("https://www.philgeps.gov.ph/GEPSNONPILOT/Tender/SplashBidNoticeAbstractUI.aspx?menuIndex=3&amp;refID=7162885&amp;Result=3","7162885")</f>
        <v>0</v>
      </c>
      <c r="B2957" t="s">
        <v>1288</v>
      </c>
      <c r="C2957" t="s">
        <v>6722</v>
      </c>
      <c r="D2957" t="s">
        <v>19026</v>
      </c>
      <c r="E2957" t="s">
        <v>21775</v>
      </c>
      <c r="F2957" t="s">
        <v>32831</v>
      </c>
      <c r="G2957" t="s">
        <v>32838</v>
      </c>
      <c r="H2957" t="s">
        <v>32848</v>
      </c>
      <c r="I2957" t="s">
        <v>7819</v>
      </c>
      <c r="J2957" t="s">
        <v>32979</v>
      </c>
      <c r="K2957" t="s">
        <v>42732</v>
      </c>
      <c r="M2957" t="s">
        <v>44358</v>
      </c>
      <c r="N2957" t="s">
        <v>47424</v>
      </c>
      <c r="O2957" t="s">
        <v>47425</v>
      </c>
      <c r="P2957">
        <v>0</v>
      </c>
      <c r="Q2957">
        <v>0</v>
      </c>
      <c r="R2957" t="s">
        <v>47428</v>
      </c>
      <c r="S2957" t="s">
        <v>47541</v>
      </c>
      <c r="T2957" t="s">
        <v>49166</v>
      </c>
      <c r="U2957" t="s">
        <v>52201</v>
      </c>
      <c r="W2957" t="s">
        <v>44358</v>
      </c>
      <c r="X2957" t="s">
        <v>47430</v>
      </c>
    </row>
    <row r="2958" spans="1:24">
      <c r="A2958">
        <f>HYPERLINK("https://www.philgeps.gov.ph/GEPSNONPILOT/Tender/SplashBidNoticeAbstractUI.aspx?menuIndex=3&amp;refID=7162861&amp;Result=3","7162861")</f>
        <v>0</v>
      </c>
      <c r="B2958" t="s">
        <v>1289</v>
      </c>
      <c r="C2958" t="s">
        <v>6723</v>
      </c>
      <c r="D2958" t="s">
        <v>19048</v>
      </c>
      <c r="E2958" t="s">
        <v>21776</v>
      </c>
      <c r="F2958" t="s">
        <v>32834</v>
      </c>
      <c r="G2958" t="s">
        <v>32840</v>
      </c>
      <c r="H2958" t="s">
        <v>32848</v>
      </c>
      <c r="I2958" t="s">
        <v>32870</v>
      </c>
      <c r="J2958" t="s">
        <v>33133</v>
      </c>
      <c r="K2958" t="s">
        <v>42727</v>
      </c>
      <c r="M2958" t="s">
        <v>44359</v>
      </c>
      <c r="N2958" t="s">
        <v>47424</v>
      </c>
      <c r="O2958" t="s">
        <v>47425</v>
      </c>
      <c r="P2958">
        <v>0</v>
      </c>
      <c r="Q2958">
        <v>0</v>
      </c>
      <c r="R2958" t="s">
        <v>47428</v>
      </c>
      <c r="S2958" t="s">
        <v>47541</v>
      </c>
      <c r="T2958" t="s">
        <v>49089</v>
      </c>
      <c r="U2958" t="s">
        <v>52202</v>
      </c>
      <c r="W2958" t="s">
        <v>44359</v>
      </c>
      <c r="X2958" t="s">
        <v>47430</v>
      </c>
    </row>
    <row r="2959" spans="1:24">
      <c r="A2959">
        <f>HYPERLINK("https://www.philgeps.gov.ph/GEPSNONPILOT/Tender/SplashBidNoticeAbstractUI.aspx?menuIndex=3&amp;refID=7162840&amp;Result=3","7162840")</f>
        <v>0</v>
      </c>
      <c r="B2959" t="s">
        <v>1270</v>
      </c>
      <c r="C2959" t="s">
        <v>6724</v>
      </c>
      <c r="D2959" t="s">
        <v>19104</v>
      </c>
      <c r="E2959" t="s">
        <v>21777</v>
      </c>
      <c r="F2959" t="s">
        <v>32831</v>
      </c>
      <c r="G2959" t="s">
        <v>32838</v>
      </c>
      <c r="H2959" t="s">
        <v>32848</v>
      </c>
      <c r="I2959" t="s">
        <v>7416</v>
      </c>
      <c r="J2959" t="s">
        <v>34963</v>
      </c>
      <c r="K2959" t="s">
        <v>42745</v>
      </c>
      <c r="M2959" t="s">
        <v>44340</v>
      </c>
      <c r="N2959" t="s">
        <v>47424</v>
      </c>
      <c r="O2959" t="s">
        <v>47425</v>
      </c>
      <c r="P2959">
        <v>0</v>
      </c>
      <c r="Q2959">
        <v>0</v>
      </c>
      <c r="R2959" t="s">
        <v>47428</v>
      </c>
      <c r="S2959" t="s">
        <v>47541</v>
      </c>
      <c r="T2959" t="s">
        <v>49243</v>
      </c>
      <c r="U2959" t="s">
        <v>52203</v>
      </c>
      <c r="W2959" t="s">
        <v>44340</v>
      </c>
      <c r="X2959" t="s">
        <v>47430</v>
      </c>
    </row>
    <row r="2960" spans="1:24">
      <c r="A2960">
        <f>HYPERLINK("https://www.philgeps.gov.ph/GEPSNONPILOT/Tender/SplashBidNoticeAbstractUI.aspx?menuIndex=3&amp;refID=7162879&amp;Result=3","7162879")</f>
        <v>0</v>
      </c>
      <c r="B2960" t="s">
        <v>228</v>
      </c>
      <c r="C2960" t="s">
        <v>6725</v>
      </c>
      <c r="D2960" t="s">
        <v>19033</v>
      </c>
      <c r="E2960" t="s">
        <v>21778</v>
      </c>
      <c r="F2960" t="s">
        <v>32831</v>
      </c>
      <c r="G2960" t="s">
        <v>32838</v>
      </c>
      <c r="H2960" t="s">
        <v>32848</v>
      </c>
      <c r="I2960" t="s">
        <v>4303</v>
      </c>
      <c r="J2960" t="s">
        <v>34964</v>
      </c>
      <c r="K2960" t="s">
        <v>42727</v>
      </c>
      <c r="M2960" t="s">
        <v>43227</v>
      </c>
      <c r="N2960" t="s">
        <v>47424</v>
      </c>
      <c r="O2960" t="s">
        <v>47425</v>
      </c>
      <c r="P2960">
        <v>0</v>
      </c>
      <c r="Q2960">
        <v>3</v>
      </c>
      <c r="R2960" t="s">
        <v>47428</v>
      </c>
      <c r="S2960" t="s">
        <v>47541</v>
      </c>
      <c r="T2960" t="s">
        <v>49091</v>
      </c>
      <c r="U2960" t="s">
        <v>52204</v>
      </c>
      <c r="W2960" t="s">
        <v>43227</v>
      </c>
      <c r="X2960" t="s">
        <v>47430</v>
      </c>
    </row>
    <row r="2961" spans="1:24">
      <c r="A2961">
        <f>HYPERLINK("https://www.philgeps.gov.ph/GEPSNONPILOT/Tender/SplashBidNoticeAbstractUI.aspx?menuIndex=3&amp;refID=7162878&amp;Result=3","7162878")</f>
        <v>0</v>
      </c>
      <c r="B2961" t="s">
        <v>649</v>
      </c>
      <c r="C2961" t="s">
        <v>6726</v>
      </c>
      <c r="D2961" t="s">
        <v>19082</v>
      </c>
      <c r="E2961" t="s">
        <v>21779</v>
      </c>
      <c r="F2961" t="s">
        <v>32831</v>
      </c>
      <c r="G2961" t="s">
        <v>32838</v>
      </c>
      <c r="H2961" t="s">
        <v>32848</v>
      </c>
      <c r="I2961" t="s">
        <v>32860</v>
      </c>
      <c r="J2961" t="s">
        <v>34965</v>
      </c>
      <c r="K2961" t="s">
        <v>42727</v>
      </c>
      <c r="M2961" t="s">
        <v>43666</v>
      </c>
      <c r="N2961" t="s">
        <v>47424</v>
      </c>
      <c r="O2961" t="s">
        <v>47425</v>
      </c>
      <c r="P2961">
        <v>0</v>
      </c>
      <c r="Q2961">
        <v>0</v>
      </c>
      <c r="R2961" t="s">
        <v>47428</v>
      </c>
      <c r="S2961" t="s">
        <v>47541</v>
      </c>
      <c r="T2961" t="s">
        <v>49073</v>
      </c>
      <c r="U2961" t="s">
        <v>52205</v>
      </c>
      <c r="W2961" t="s">
        <v>43666</v>
      </c>
      <c r="X2961" t="s">
        <v>47430</v>
      </c>
    </row>
    <row r="2962" spans="1:24">
      <c r="A2962">
        <f>HYPERLINK("https://www.philgeps.gov.ph/GEPSNONPILOT/Tender/SplashBidNoticeAbstractUI.aspx?menuIndex=3&amp;refID=7162846&amp;Result=3","7162846")</f>
        <v>0</v>
      </c>
      <c r="B2962" t="s">
        <v>145</v>
      </c>
      <c r="C2962" t="s">
        <v>6727</v>
      </c>
      <c r="D2962" t="s">
        <v>19048</v>
      </c>
      <c r="E2962" t="s">
        <v>21780</v>
      </c>
      <c r="F2962" t="s">
        <v>32831</v>
      </c>
      <c r="G2962" t="s">
        <v>32838</v>
      </c>
      <c r="H2962" t="s">
        <v>32848</v>
      </c>
      <c r="I2962" t="s">
        <v>10805</v>
      </c>
      <c r="J2962" t="s">
        <v>33422</v>
      </c>
      <c r="K2962" t="s">
        <v>42731</v>
      </c>
      <c r="L2962" t="s">
        <v>145</v>
      </c>
      <c r="M2962" t="s">
        <v>43142</v>
      </c>
      <c r="N2962" t="s">
        <v>47424</v>
      </c>
      <c r="O2962" t="s">
        <v>47425</v>
      </c>
      <c r="P2962">
        <v>0</v>
      </c>
      <c r="Q2962">
        <v>4</v>
      </c>
      <c r="R2962" t="s">
        <v>47428</v>
      </c>
      <c r="S2962" t="s">
        <v>47541</v>
      </c>
      <c r="T2962" t="s">
        <v>49235</v>
      </c>
      <c r="U2962" t="s">
        <v>49909</v>
      </c>
      <c r="V2962" t="s">
        <v>62949</v>
      </c>
      <c r="W2962" t="s">
        <v>43142</v>
      </c>
      <c r="X2962" t="s">
        <v>47430</v>
      </c>
    </row>
    <row r="2963" spans="1:24">
      <c r="A2963">
        <f>HYPERLINK("https://www.philgeps.gov.ph/GEPSNONPILOT/Tender/SplashBidNoticeAbstractUI.aspx?menuIndex=3&amp;refID=7162812&amp;Result=3","7162812")</f>
        <v>0</v>
      </c>
      <c r="B2963" t="s">
        <v>1234</v>
      </c>
      <c r="C2963" t="s">
        <v>6728</v>
      </c>
      <c r="D2963" t="s">
        <v>19077</v>
      </c>
      <c r="E2963" t="s">
        <v>21781</v>
      </c>
      <c r="F2963" t="s">
        <v>32831</v>
      </c>
      <c r="G2963" t="s">
        <v>32839</v>
      </c>
      <c r="H2963" t="s">
        <v>32849</v>
      </c>
      <c r="I2963" t="s">
        <v>32899</v>
      </c>
      <c r="J2963" t="s">
        <v>34966</v>
      </c>
      <c r="K2963" t="s">
        <v>42747</v>
      </c>
      <c r="M2963" t="s">
        <v>44303</v>
      </c>
      <c r="N2963" t="s">
        <v>47424</v>
      </c>
      <c r="O2963" t="s">
        <v>47425</v>
      </c>
      <c r="P2963">
        <v>0</v>
      </c>
      <c r="Q2963">
        <v>0</v>
      </c>
      <c r="R2963" t="s">
        <v>47428</v>
      </c>
      <c r="S2963" t="s">
        <v>47541</v>
      </c>
      <c r="T2963" t="s">
        <v>49160</v>
      </c>
      <c r="U2963" t="s">
        <v>52206</v>
      </c>
      <c r="V2963" t="s">
        <v>62951</v>
      </c>
      <c r="W2963" t="s">
        <v>44303</v>
      </c>
      <c r="X2963" t="s">
        <v>47430</v>
      </c>
    </row>
    <row r="2964" spans="1:24">
      <c r="A2964">
        <f>HYPERLINK("https://www.philgeps.gov.ph/GEPSNONPILOT/Tender/SplashBidNoticeAbstractUI.aspx?menuIndex=3&amp;refID=7162902&amp;Result=3","7162902")</f>
        <v>0</v>
      </c>
      <c r="B2964" t="s">
        <v>663</v>
      </c>
      <c r="C2964" t="s">
        <v>6729</v>
      </c>
      <c r="D2964" t="s">
        <v>19026</v>
      </c>
      <c r="E2964" t="s">
        <v>21782</v>
      </c>
      <c r="F2964" t="s">
        <v>32831</v>
      </c>
      <c r="G2964" t="s">
        <v>32840</v>
      </c>
      <c r="H2964" t="s">
        <v>32848</v>
      </c>
      <c r="I2964" t="s">
        <v>32860</v>
      </c>
      <c r="J2964" t="s">
        <v>34967</v>
      </c>
      <c r="K2964" t="s">
        <v>42732</v>
      </c>
      <c r="M2964" t="s">
        <v>43681</v>
      </c>
      <c r="N2964" t="s">
        <v>47424</v>
      </c>
      <c r="O2964" t="s">
        <v>47425</v>
      </c>
      <c r="P2964">
        <v>0</v>
      </c>
      <c r="Q2964">
        <v>5</v>
      </c>
      <c r="R2964" t="s">
        <v>47428</v>
      </c>
      <c r="S2964" t="s">
        <v>47541</v>
      </c>
      <c r="T2964" t="s">
        <v>49177</v>
      </c>
      <c r="U2964" t="s">
        <v>49728</v>
      </c>
      <c r="W2964" t="s">
        <v>43681</v>
      </c>
      <c r="X2964" t="s">
        <v>47430</v>
      </c>
    </row>
    <row r="2965" spans="1:24">
      <c r="A2965">
        <f>HYPERLINK("https://www.philgeps.gov.ph/GEPSNONPILOT/Tender/SplashBidNoticeAbstractUI.aspx?menuIndex=3&amp;refID=7162876&amp;Result=3","7162876")</f>
        <v>0</v>
      </c>
      <c r="B2965" t="s">
        <v>1284</v>
      </c>
      <c r="C2965" t="s">
        <v>6730</v>
      </c>
      <c r="D2965" t="s">
        <v>19023</v>
      </c>
      <c r="E2965" t="s">
        <v>21783</v>
      </c>
      <c r="F2965" t="s">
        <v>32831</v>
      </c>
      <c r="G2965" t="s">
        <v>32838</v>
      </c>
      <c r="H2965" t="s">
        <v>32848</v>
      </c>
      <c r="I2965" t="s">
        <v>4303</v>
      </c>
      <c r="J2965" t="s">
        <v>34968</v>
      </c>
      <c r="K2965" t="s">
        <v>42730</v>
      </c>
      <c r="M2965" t="s">
        <v>44354</v>
      </c>
      <c r="N2965" t="s">
        <v>47424</v>
      </c>
      <c r="O2965" t="s">
        <v>47425</v>
      </c>
      <c r="P2965">
        <v>0</v>
      </c>
      <c r="Q2965">
        <v>0</v>
      </c>
      <c r="R2965" t="s">
        <v>47428</v>
      </c>
      <c r="S2965" t="s">
        <v>47541</v>
      </c>
      <c r="T2965" t="s">
        <v>49163</v>
      </c>
      <c r="U2965" t="s">
        <v>52207</v>
      </c>
      <c r="W2965" t="s">
        <v>44354</v>
      </c>
      <c r="X2965" t="s">
        <v>47430</v>
      </c>
    </row>
    <row r="2966" spans="1:24">
      <c r="A2966">
        <f>HYPERLINK("https://www.philgeps.gov.ph/GEPSNONPILOT/Tender/SplashBidNoticeAbstractUI.aspx?menuIndex=3&amp;refID=7162898&amp;Result=3","7162898")</f>
        <v>0</v>
      </c>
      <c r="B2966" t="s">
        <v>1290</v>
      </c>
      <c r="C2966" t="s">
        <v>6731</v>
      </c>
      <c r="D2966" t="s">
        <v>19023</v>
      </c>
      <c r="E2966" t="s">
        <v>21784</v>
      </c>
      <c r="F2966" t="s">
        <v>32831</v>
      </c>
      <c r="G2966" t="s">
        <v>32840</v>
      </c>
      <c r="H2966" t="s">
        <v>32848</v>
      </c>
      <c r="I2966" t="s">
        <v>7416</v>
      </c>
      <c r="J2966" t="s">
        <v>33162</v>
      </c>
      <c r="K2966" t="s">
        <v>42758</v>
      </c>
      <c r="M2966" t="s">
        <v>44360</v>
      </c>
      <c r="N2966" t="s">
        <v>47424</v>
      </c>
      <c r="O2966" t="s">
        <v>47425</v>
      </c>
      <c r="P2966">
        <v>0</v>
      </c>
      <c r="Q2966">
        <v>1</v>
      </c>
      <c r="R2966" t="s">
        <v>47428</v>
      </c>
      <c r="S2966" t="s">
        <v>47541</v>
      </c>
      <c r="T2966" t="s">
        <v>49237</v>
      </c>
      <c r="U2966" t="s">
        <v>52208</v>
      </c>
      <c r="W2966" t="s">
        <v>44360</v>
      </c>
      <c r="X2966" t="s">
        <v>47430</v>
      </c>
    </row>
    <row r="2967" spans="1:24">
      <c r="A2967">
        <f>HYPERLINK("https://www.philgeps.gov.ph/GEPSNONPILOT/Tender/SplashBidNoticeAbstractUI.aspx?menuIndex=3&amp;refID=7162895&amp;Result=3","7162895")</f>
        <v>0</v>
      </c>
      <c r="B2967" t="s">
        <v>1289</v>
      </c>
      <c r="C2967" t="s">
        <v>6723</v>
      </c>
      <c r="D2967" t="s">
        <v>19048</v>
      </c>
      <c r="E2967" t="s">
        <v>21785</v>
      </c>
      <c r="F2967" t="s">
        <v>32834</v>
      </c>
      <c r="G2967" t="s">
        <v>32840</v>
      </c>
      <c r="H2967" t="s">
        <v>32848</v>
      </c>
      <c r="I2967" t="s">
        <v>32870</v>
      </c>
      <c r="J2967" t="s">
        <v>33087</v>
      </c>
      <c r="K2967" t="s">
        <v>42727</v>
      </c>
      <c r="M2967" t="s">
        <v>44359</v>
      </c>
      <c r="N2967" t="s">
        <v>47424</v>
      </c>
      <c r="O2967" t="s">
        <v>47425</v>
      </c>
      <c r="P2967">
        <v>0</v>
      </c>
      <c r="Q2967">
        <v>0</v>
      </c>
      <c r="R2967" t="s">
        <v>47428</v>
      </c>
      <c r="S2967" t="s">
        <v>47541</v>
      </c>
      <c r="T2967" t="s">
        <v>49089</v>
      </c>
      <c r="U2967" t="s">
        <v>52202</v>
      </c>
      <c r="W2967" t="s">
        <v>44359</v>
      </c>
      <c r="X2967" t="s">
        <v>47430</v>
      </c>
    </row>
    <row r="2968" spans="1:24">
      <c r="A2968">
        <f>HYPERLINK("https://www.philgeps.gov.ph/GEPSNONPILOT/Tender/SplashBidNoticeAbstractUI.aspx?menuIndex=3&amp;refID=7162894&amp;Result=3","7162894")</f>
        <v>0</v>
      </c>
      <c r="B2968" t="s">
        <v>669</v>
      </c>
      <c r="C2968" t="s">
        <v>6732</v>
      </c>
      <c r="D2968" t="s">
        <v>19022</v>
      </c>
      <c r="E2968" t="s">
        <v>21786</v>
      </c>
      <c r="F2968" t="s">
        <v>32831</v>
      </c>
      <c r="G2968" t="s">
        <v>32838</v>
      </c>
      <c r="H2968" t="s">
        <v>32848</v>
      </c>
      <c r="I2968" t="s">
        <v>32867</v>
      </c>
      <c r="J2968" t="s">
        <v>33133</v>
      </c>
      <c r="K2968" t="s">
        <v>42726</v>
      </c>
      <c r="M2968" t="s">
        <v>43688</v>
      </c>
      <c r="N2968" t="s">
        <v>47424</v>
      </c>
      <c r="O2968" t="s">
        <v>47425</v>
      </c>
      <c r="P2968">
        <v>0</v>
      </c>
      <c r="Q2968">
        <v>1</v>
      </c>
      <c r="R2968" t="s">
        <v>47428</v>
      </c>
      <c r="S2968" t="s">
        <v>47541</v>
      </c>
      <c r="T2968" t="s">
        <v>49237</v>
      </c>
      <c r="U2968" t="s">
        <v>52209</v>
      </c>
      <c r="W2968" t="s">
        <v>43688</v>
      </c>
      <c r="X2968" t="s">
        <v>47430</v>
      </c>
    </row>
    <row r="2969" spans="1:24">
      <c r="A2969">
        <f>HYPERLINK("https://www.philgeps.gov.ph/GEPSNONPILOT/Tender/SplashBidNoticeAbstractUI.aspx?menuIndex=3&amp;refID=7162892&amp;Result=3","7162892")</f>
        <v>0</v>
      </c>
      <c r="B2969" t="s">
        <v>1284</v>
      </c>
      <c r="C2969" t="s">
        <v>6733</v>
      </c>
      <c r="D2969" t="s">
        <v>19023</v>
      </c>
      <c r="E2969" t="s">
        <v>21787</v>
      </c>
      <c r="F2969" t="s">
        <v>32831</v>
      </c>
      <c r="G2969" t="s">
        <v>32838</v>
      </c>
      <c r="H2969" t="s">
        <v>32848</v>
      </c>
      <c r="I2969" t="s">
        <v>4303</v>
      </c>
      <c r="J2969" t="s">
        <v>34961</v>
      </c>
      <c r="K2969" t="s">
        <v>42730</v>
      </c>
      <c r="M2969" t="s">
        <v>44354</v>
      </c>
      <c r="N2969" t="s">
        <v>47424</v>
      </c>
      <c r="O2969" t="s">
        <v>47425</v>
      </c>
      <c r="P2969">
        <v>0</v>
      </c>
      <c r="Q2969">
        <v>0</v>
      </c>
      <c r="R2969" t="s">
        <v>47428</v>
      </c>
      <c r="S2969" t="s">
        <v>47541</v>
      </c>
      <c r="T2969" t="s">
        <v>49163</v>
      </c>
      <c r="U2969" t="s">
        <v>52197</v>
      </c>
      <c r="W2969" t="s">
        <v>44354</v>
      </c>
      <c r="X2969" t="s">
        <v>47430</v>
      </c>
    </row>
    <row r="2970" spans="1:24">
      <c r="A2970">
        <f>HYPERLINK("https://www.philgeps.gov.ph/GEPSNONPILOT/Tender/SplashBidNoticeAbstractUI.aspx?menuIndex=3&amp;refID=7162900&amp;Result=3","7162900")</f>
        <v>0</v>
      </c>
      <c r="B2970" t="s">
        <v>1291</v>
      </c>
      <c r="C2970" t="s">
        <v>6734</v>
      </c>
      <c r="D2970" t="s">
        <v>19023</v>
      </c>
      <c r="E2970" t="s">
        <v>21788</v>
      </c>
      <c r="F2970" t="s">
        <v>32831</v>
      </c>
      <c r="G2970" t="s">
        <v>32838</v>
      </c>
      <c r="H2970" t="s">
        <v>32848</v>
      </c>
      <c r="I2970" t="s">
        <v>32932</v>
      </c>
      <c r="J2970" t="s">
        <v>33226</v>
      </c>
      <c r="K2970" t="s">
        <v>42758</v>
      </c>
      <c r="M2970" t="s">
        <v>44361</v>
      </c>
      <c r="N2970" t="s">
        <v>47424</v>
      </c>
      <c r="O2970" t="s">
        <v>47425</v>
      </c>
      <c r="P2970">
        <v>0</v>
      </c>
      <c r="Q2970">
        <v>0</v>
      </c>
      <c r="R2970" t="s">
        <v>47428</v>
      </c>
      <c r="S2970" t="s">
        <v>47541</v>
      </c>
      <c r="T2970" t="s">
        <v>49237</v>
      </c>
      <c r="U2970" t="s">
        <v>52210</v>
      </c>
      <c r="W2970" t="s">
        <v>44361</v>
      </c>
      <c r="X2970" t="s">
        <v>47430</v>
      </c>
    </row>
    <row r="2971" spans="1:24">
      <c r="A2971">
        <f>HYPERLINK("https://www.philgeps.gov.ph/GEPSNONPILOT/Tender/SplashBidNoticeAbstractUI.aspx?menuIndex=3&amp;refID=7162883&amp;Result=3","7162883")</f>
        <v>0</v>
      </c>
      <c r="B2971" t="s">
        <v>1292</v>
      </c>
      <c r="C2971" t="s">
        <v>6735</v>
      </c>
      <c r="D2971" t="s">
        <v>19017</v>
      </c>
      <c r="E2971" t="s">
        <v>21789</v>
      </c>
      <c r="F2971" t="s">
        <v>32831</v>
      </c>
      <c r="G2971" t="s">
        <v>32838</v>
      </c>
      <c r="H2971" t="s">
        <v>32848</v>
      </c>
      <c r="I2971" t="s">
        <v>32864</v>
      </c>
      <c r="J2971" t="s">
        <v>34969</v>
      </c>
      <c r="K2971" t="s">
        <v>42726</v>
      </c>
      <c r="M2971" t="s">
        <v>44362</v>
      </c>
      <c r="N2971" t="s">
        <v>47424</v>
      </c>
      <c r="O2971" t="s">
        <v>47425</v>
      </c>
      <c r="P2971">
        <v>0</v>
      </c>
      <c r="Q2971">
        <v>3</v>
      </c>
      <c r="R2971" t="s">
        <v>47428</v>
      </c>
      <c r="S2971" t="s">
        <v>47541</v>
      </c>
      <c r="T2971" t="s">
        <v>49332</v>
      </c>
      <c r="U2971" t="s">
        <v>52211</v>
      </c>
      <c r="W2971" t="s">
        <v>44362</v>
      </c>
      <c r="X2971" t="s">
        <v>47430</v>
      </c>
    </row>
    <row r="2972" spans="1:24">
      <c r="A2972">
        <f>HYPERLINK("https://www.philgeps.gov.ph/GEPSNONPILOT/Tender/SplashBidNoticeAbstractUI.aspx?menuIndex=3&amp;refID=7162888&amp;Result=3","7162888")</f>
        <v>0</v>
      </c>
      <c r="B2972" t="s">
        <v>1293</v>
      </c>
      <c r="C2972" t="s">
        <v>6736</v>
      </c>
      <c r="D2972" t="s">
        <v>19088</v>
      </c>
      <c r="E2972" t="s">
        <v>21790</v>
      </c>
      <c r="F2972" t="s">
        <v>32831</v>
      </c>
      <c r="G2972" t="s">
        <v>32838</v>
      </c>
      <c r="H2972" t="s">
        <v>32848</v>
      </c>
      <c r="I2972" t="s">
        <v>10805</v>
      </c>
      <c r="J2972" t="s">
        <v>33018</v>
      </c>
      <c r="K2972" t="s">
        <v>42730</v>
      </c>
      <c r="M2972" t="s">
        <v>44363</v>
      </c>
      <c r="N2972" t="s">
        <v>47424</v>
      </c>
      <c r="O2972" t="s">
        <v>47425</v>
      </c>
      <c r="P2972">
        <v>0</v>
      </c>
      <c r="Q2972">
        <v>3</v>
      </c>
      <c r="R2972" t="s">
        <v>47428</v>
      </c>
      <c r="S2972" t="s">
        <v>47541</v>
      </c>
      <c r="T2972" t="s">
        <v>49103</v>
      </c>
      <c r="U2972" t="s">
        <v>52212</v>
      </c>
      <c r="W2972" t="s">
        <v>44363</v>
      </c>
      <c r="X2972" t="s">
        <v>47430</v>
      </c>
    </row>
    <row r="2973" spans="1:24">
      <c r="A2973">
        <f>HYPERLINK("https://www.philgeps.gov.ph/GEPSNONPILOT/Tender/SplashBidNoticeAbstractUI.aspx?menuIndex=3&amp;refID=7162872&amp;Result=3","7162872")</f>
        <v>0</v>
      </c>
      <c r="B2973" t="s">
        <v>595</v>
      </c>
      <c r="C2973" t="s">
        <v>6737</v>
      </c>
      <c r="D2973" t="s">
        <v>19043</v>
      </c>
      <c r="E2973" t="s">
        <v>21791</v>
      </c>
      <c r="F2973" t="s">
        <v>32831</v>
      </c>
      <c r="G2973" t="s">
        <v>32839</v>
      </c>
      <c r="H2973" t="s">
        <v>32848</v>
      </c>
      <c r="I2973" t="s">
        <v>4487</v>
      </c>
      <c r="J2973" t="s">
        <v>34970</v>
      </c>
      <c r="K2973" t="s">
        <v>42731</v>
      </c>
      <c r="M2973" t="s">
        <v>43608</v>
      </c>
      <c r="N2973" t="s">
        <v>47424</v>
      </c>
      <c r="O2973" t="s">
        <v>47425</v>
      </c>
      <c r="P2973">
        <v>0</v>
      </c>
      <c r="Q2973">
        <v>3</v>
      </c>
      <c r="R2973" t="s">
        <v>47428</v>
      </c>
      <c r="S2973" t="s">
        <v>47541</v>
      </c>
      <c r="T2973" t="s">
        <v>49209</v>
      </c>
      <c r="U2973" t="s">
        <v>52213</v>
      </c>
      <c r="V2973" t="s">
        <v>62765</v>
      </c>
      <c r="W2973" t="s">
        <v>43608</v>
      </c>
      <c r="X2973" t="s">
        <v>47430</v>
      </c>
    </row>
    <row r="2974" spans="1:24">
      <c r="A2974">
        <f>HYPERLINK("https://www.philgeps.gov.ph/GEPSNONPILOT/Tender/SplashBidNoticeAbstractUI.aspx?menuIndex=3&amp;refID=7162893&amp;Result=3","7162893")</f>
        <v>0</v>
      </c>
      <c r="B2974" t="s">
        <v>145</v>
      </c>
      <c r="C2974" t="s">
        <v>6738</v>
      </c>
      <c r="D2974" t="s">
        <v>19048</v>
      </c>
      <c r="E2974" t="s">
        <v>21792</v>
      </c>
      <c r="F2974" t="s">
        <v>32831</v>
      </c>
      <c r="G2974" t="s">
        <v>32838</v>
      </c>
      <c r="H2974" t="s">
        <v>32848</v>
      </c>
      <c r="I2974" t="s">
        <v>32860</v>
      </c>
      <c r="J2974" t="s">
        <v>34971</v>
      </c>
      <c r="K2974" t="s">
        <v>42731</v>
      </c>
      <c r="L2974" t="s">
        <v>145</v>
      </c>
      <c r="M2974" t="s">
        <v>43142</v>
      </c>
      <c r="N2974" t="s">
        <v>47424</v>
      </c>
      <c r="O2974" t="s">
        <v>47425</v>
      </c>
      <c r="P2974">
        <v>0</v>
      </c>
      <c r="Q2974">
        <v>2</v>
      </c>
      <c r="R2974" t="s">
        <v>47428</v>
      </c>
      <c r="S2974" t="s">
        <v>47541</v>
      </c>
      <c r="T2974" t="s">
        <v>49235</v>
      </c>
      <c r="U2974" t="s">
        <v>52214</v>
      </c>
      <c r="V2974" t="s">
        <v>62949</v>
      </c>
      <c r="W2974" t="s">
        <v>43142</v>
      </c>
      <c r="X2974" t="s">
        <v>47430</v>
      </c>
    </row>
    <row r="2975" spans="1:24">
      <c r="A2975">
        <f>HYPERLINK("https://www.philgeps.gov.ph/GEPSNONPILOT/Tender/SplashBidNoticeAbstractUI.aspx?menuIndex=3&amp;refID=7162871&amp;Result=3","7162871")</f>
        <v>0</v>
      </c>
      <c r="B2975" t="s">
        <v>1294</v>
      </c>
      <c r="C2975" t="s">
        <v>6739</v>
      </c>
      <c r="D2975" t="s">
        <v>19033</v>
      </c>
      <c r="E2975" t="s">
        <v>21793</v>
      </c>
      <c r="F2975" t="s">
        <v>32831</v>
      </c>
      <c r="G2975" t="s">
        <v>32838</v>
      </c>
      <c r="H2975" t="s">
        <v>32848</v>
      </c>
      <c r="I2975" t="s">
        <v>4438</v>
      </c>
      <c r="J2975" t="s">
        <v>33430</v>
      </c>
      <c r="K2975" t="s">
        <v>42732</v>
      </c>
      <c r="M2975" t="s">
        <v>44364</v>
      </c>
      <c r="N2975" t="s">
        <v>47424</v>
      </c>
      <c r="O2975" t="s">
        <v>47425</v>
      </c>
      <c r="P2975">
        <v>0</v>
      </c>
      <c r="Q2975">
        <v>2</v>
      </c>
      <c r="R2975" t="s">
        <v>47428</v>
      </c>
      <c r="S2975" t="s">
        <v>47541</v>
      </c>
      <c r="T2975" t="s">
        <v>49205</v>
      </c>
      <c r="U2975" t="s">
        <v>52215</v>
      </c>
      <c r="W2975" t="s">
        <v>44364</v>
      </c>
      <c r="X2975" t="s">
        <v>47430</v>
      </c>
    </row>
    <row r="2976" spans="1:24">
      <c r="A2976">
        <f>HYPERLINK("https://www.philgeps.gov.ph/GEPSNONPILOT/Tender/SplashBidNoticeAbstractUI.aspx?menuIndex=3&amp;refID=7162927&amp;Result=3","7162927")</f>
        <v>0</v>
      </c>
      <c r="B2976" t="s">
        <v>1295</v>
      </c>
      <c r="C2976" t="s">
        <v>6740</v>
      </c>
      <c r="D2976" t="s">
        <v>19054</v>
      </c>
      <c r="E2976" t="s">
        <v>21794</v>
      </c>
      <c r="F2976" t="s">
        <v>32831</v>
      </c>
      <c r="G2976" t="s">
        <v>32838</v>
      </c>
      <c r="H2976" t="s">
        <v>32848</v>
      </c>
      <c r="I2976" t="s">
        <v>32862</v>
      </c>
      <c r="J2976" t="s">
        <v>34972</v>
      </c>
      <c r="K2976" t="s">
        <v>42758</v>
      </c>
      <c r="M2976" t="s">
        <v>44365</v>
      </c>
      <c r="N2976" t="s">
        <v>47424</v>
      </c>
      <c r="O2976" t="s">
        <v>47425</v>
      </c>
      <c r="P2976">
        <v>0</v>
      </c>
      <c r="Q2976">
        <v>0</v>
      </c>
      <c r="R2976" t="s">
        <v>47428</v>
      </c>
      <c r="S2976" t="s">
        <v>47541</v>
      </c>
      <c r="T2976" t="s">
        <v>49214</v>
      </c>
      <c r="U2976" t="s">
        <v>52216</v>
      </c>
      <c r="W2976" t="s">
        <v>44365</v>
      </c>
      <c r="X2976" t="s">
        <v>47430</v>
      </c>
    </row>
    <row r="2977" spans="1:24">
      <c r="A2977">
        <f>HYPERLINK("https://www.philgeps.gov.ph/GEPSNONPILOT/Tender/SplashBidNoticeAbstractUI.aspx?menuIndex=3&amp;refID=7162934&amp;Result=3","7162934")</f>
        <v>0</v>
      </c>
      <c r="B2977" t="s">
        <v>1296</v>
      </c>
      <c r="C2977" t="s">
        <v>6741</v>
      </c>
      <c r="D2977" t="s">
        <v>19034</v>
      </c>
      <c r="E2977" t="s">
        <v>21795</v>
      </c>
      <c r="F2977" t="s">
        <v>32831</v>
      </c>
      <c r="G2977" t="s">
        <v>32838</v>
      </c>
      <c r="H2977" t="s">
        <v>32848</v>
      </c>
      <c r="I2977" t="s">
        <v>4435</v>
      </c>
      <c r="J2977" t="s">
        <v>33041</v>
      </c>
      <c r="K2977" t="s">
        <v>42731</v>
      </c>
      <c r="M2977" t="s">
        <v>44366</v>
      </c>
      <c r="N2977" t="s">
        <v>47424</v>
      </c>
      <c r="O2977" t="s">
        <v>47425</v>
      </c>
      <c r="P2977">
        <v>0</v>
      </c>
      <c r="Q2977">
        <v>0</v>
      </c>
      <c r="R2977" t="s">
        <v>47428</v>
      </c>
      <c r="S2977" t="s">
        <v>47541</v>
      </c>
      <c r="T2977" t="s">
        <v>49177</v>
      </c>
      <c r="U2977" t="s">
        <v>52217</v>
      </c>
      <c r="W2977" t="s">
        <v>44366</v>
      </c>
      <c r="X2977" t="s">
        <v>47430</v>
      </c>
    </row>
    <row r="2978" spans="1:24">
      <c r="A2978">
        <f>HYPERLINK("https://www.philgeps.gov.ph/GEPSNONPILOT/Tender/SplashBidNoticeAbstractUI.aspx?menuIndex=3&amp;refID=7162880&amp;Result=3","7162880")</f>
        <v>0</v>
      </c>
      <c r="B2978" t="s">
        <v>145</v>
      </c>
      <c r="C2978" t="s">
        <v>6742</v>
      </c>
      <c r="D2978" t="s">
        <v>19048</v>
      </c>
      <c r="E2978" t="s">
        <v>21796</v>
      </c>
      <c r="F2978" t="s">
        <v>32831</v>
      </c>
      <c r="G2978" t="s">
        <v>32838</v>
      </c>
      <c r="H2978" t="s">
        <v>32848</v>
      </c>
      <c r="I2978" t="s">
        <v>32931</v>
      </c>
      <c r="J2978" t="s">
        <v>34355</v>
      </c>
      <c r="K2978" t="s">
        <v>42731</v>
      </c>
      <c r="L2978" t="s">
        <v>145</v>
      </c>
      <c r="M2978" t="s">
        <v>43142</v>
      </c>
      <c r="N2978" t="s">
        <v>47424</v>
      </c>
      <c r="O2978" t="s">
        <v>47425</v>
      </c>
      <c r="P2978">
        <v>0</v>
      </c>
      <c r="Q2978">
        <v>1</v>
      </c>
      <c r="R2978" t="s">
        <v>47428</v>
      </c>
      <c r="S2978" t="s">
        <v>47541</v>
      </c>
      <c r="T2978" t="s">
        <v>49235</v>
      </c>
      <c r="U2978" t="s">
        <v>49909</v>
      </c>
      <c r="V2978" t="s">
        <v>62949</v>
      </c>
      <c r="W2978" t="s">
        <v>43142</v>
      </c>
      <c r="X2978" t="s">
        <v>47430</v>
      </c>
    </row>
    <row r="2979" spans="1:24">
      <c r="A2979">
        <f>HYPERLINK("https://www.philgeps.gov.ph/GEPSNONPILOT/Tender/SplashBidNoticeAbstractUI.aspx?menuIndex=3&amp;refID=7162932&amp;Result=3","7162932")</f>
        <v>0</v>
      </c>
      <c r="B2979" t="s">
        <v>1297</v>
      </c>
      <c r="C2979" t="s">
        <v>6743</v>
      </c>
      <c r="D2979" t="s">
        <v>19033</v>
      </c>
      <c r="E2979" t="s">
        <v>21797</v>
      </c>
      <c r="F2979" t="s">
        <v>32831</v>
      </c>
      <c r="G2979" t="s">
        <v>32839</v>
      </c>
      <c r="H2979" t="s">
        <v>32849</v>
      </c>
      <c r="I2979" t="s">
        <v>4177</v>
      </c>
      <c r="J2979" t="s">
        <v>32978</v>
      </c>
      <c r="K2979" t="s">
        <v>42729</v>
      </c>
      <c r="M2979" t="s">
        <v>44367</v>
      </c>
      <c r="N2979" t="s">
        <v>47424</v>
      </c>
      <c r="O2979" t="s">
        <v>47425</v>
      </c>
      <c r="P2979">
        <v>0</v>
      </c>
      <c r="Q2979">
        <v>2</v>
      </c>
      <c r="R2979" t="s">
        <v>47428</v>
      </c>
      <c r="S2979" t="s">
        <v>47541</v>
      </c>
      <c r="T2979" t="s">
        <v>49231</v>
      </c>
      <c r="U2979" t="s">
        <v>52218</v>
      </c>
      <c r="V2979" t="s">
        <v>62952</v>
      </c>
      <c r="W2979" t="s">
        <v>44367</v>
      </c>
      <c r="X2979" t="s">
        <v>47430</v>
      </c>
    </row>
    <row r="2980" spans="1:24">
      <c r="A2980">
        <f>HYPERLINK("https://www.philgeps.gov.ph/GEPSNONPILOT/Tender/SplashBidNoticeAbstractUI.aspx?menuIndex=3&amp;refID=7162929&amp;Result=3","7162929")</f>
        <v>0</v>
      </c>
      <c r="B2980" t="s">
        <v>1298</v>
      </c>
      <c r="C2980" t="s">
        <v>5029</v>
      </c>
      <c r="D2980" t="s">
        <v>19047</v>
      </c>
      <c r="E2980" t="s">
        <v>19211</v>
      </c>
      <c r="F2980" t="s">
        <v>32831</v>
      </c>
      <c r="G2980" t="s">
        <v>32838</v>
      </c>
      <c r="H2980" t="s">
        <v>32848</v>
      </c>
      <c r="I2980" t="s">
        <v>32860</v>
      </c>
      <c r="J2980" t="s">
        <v>33430</v>
      </c>
      <c r="K2980" t="s">
        <v>42727</v>
      </c>
      <c r="M2980" t="s">
        <v>44368</v>
      </c>
      <c r="N2980" t="s">
        <v>47424</v>
      </c>
      <c r="O2980" t="s">
        <v>47425</v>
      </c>
      <c r="P2980">
        <v>0</v>
      </c>
      <c r="Q2980">
        <v>2</v>
      </c>
      <c r="R2980" t="s">
        <v>47428</v>
      </c>
      <c r="S2980" t="s">
        <v>47541</v>
      </c>
      <c r="T2980" t="s">
        <v>49166</v>
      </c>
      <c r="U2980" t="s">
        <v>52219</v>
      </c>
      <c r="W2980" t="s">
        <v>44368</v>
      </c>
      <c r="X2980" t="s">
        <v>47430</v>
      </c>
    </row>
    <row r="2981" spans="1:24">
      <c r="A2981">
        <f>HYPERLINK("https://www.philgeps.gov.ph/GEPSNONPILOT/Tender/SplashBidNoticeAbstractUI.aspx?menuIndex=3&amp;refID=7162928&amp;Result=3","7162928")</f>
        <v>0</v>
      </c>
      <c r="B2981" t="s">
        <v>1299</v>
      </c>
      <c r="C2981" t="s">
        <v>6744</v>
      </c>
      <c r="D2981" t="s">
        <v>19095</v>
      </c>
      <c r="E2981" t="s">
        <v>21798</v>
      </c>
      <c r="F2981" t="s">
        <v>32831</v>
      </c>
      <c r="G2981" t="s">
        <v>32839</v>
      </c>
      <c r="H2981" t="s">
        <v>32848</v>
      </c>
      <c r="I2981" t="s">
        <v>7416</v>
      </c>
      <c r="J2981" t="s">
        <v>34973</v>
      </c>
      <c r="K2981" t="s">
        <v>42748</v>
      </c>
      <c r="M2981" t="s">
        <v>44369</v>
      </c>
      <c r="N2981" t="s">
        <v>47424</v>
      </c>
      <c r="O2981" t="s">
        <v>47425</v>
      </c>
      <c r="P2981">
        <v>0</v>
      </c>
      <c r="Q2981">
        <v>0</v>
      </c>
      <c r="R2981" t="s">
        <v>47428</v>
      </c>
      <c r="S2981" t="s">
        <v>47541</v>
      </c>
      <c r="T2981" t="s">
        <v>49068</v>
      </c>
      <c r="U2981" t="s">
        <v>52220</v>
      </c>
      <c r="V2981" t="s">
        <v>62953</v>
      </c>
      <c r="W2981" t="s">
        <v>44369</v>
      </c>
      <c r="X2981" t="s">
        <v>47430</v>
      </c>
    </row>
    <row r="2982" spans="1:24">
      <c r="A2982">
        <f>HYPERLINK("https://www.philgeps.gov.ph/GEPSNONPILOT/Tender/SplashBidNoticeAbstractUI.aspx?menuIndex=3&amp;refID=7162926&amp;Result=3","7162926")</f>
        <v>0</v>
      </c>
      <c r="B2982" t="s">
        <v>1182</v>
      </c>
      <c r="C2982" t="s">
        <v>6745</v>
      </c>
      <c r="D2982" t="s">
        <v>19047</v>
      </c>
      <c r="E2982" t="s">
        <v>21799</v>
      </c>
      <c r="F2982" t="s">
        <v>32831</v>
      </c>
      <c r="G2982" t="s">
        <v>32840</v>
      </c>
      <c r="H2982" t="s">
        <v>32848</v>
      </c>
      <c r="I2982" t="s">
        <v>4776</v>
      </c>
      <c r="J2982" t="s">
        <v>34974</v>
      </c>
      <c r="K2982" t="s">
        <v>42763</v>
      </c>
      <c r="M2982" t="s">
        <v>44248</v>
      </c>
      <c r="N2982" t="s">
        <v>47424</v>
      </c>
      <c r="O2982" t="s">
        <v>47425</v>
      </c>
      <c r="P2982">
        <v>0</v>
      </c>
      <c r="Q2982">
        <v>0</v>
      </c>
      <c r="R2982" t="s">
        <v>47428</v>
      </c>
      <c r="S2982" t="s">
        <v>47541</v>
      </c>
      <c r="T2982" t="s">
        <v>49163</v>
      </c>
      <c r="U2982" t="s">
        <v>52221</v>
      </c>
      <c r="W2982" t="s">
        <v>64461</v>
      </c>
      <c r="X2982" t="s">
        <v>47430</v>
      </c>
    </row>
    <row r="2983" spans="1:24">
      <c r="A2983">
        <f>HYPERLINK("https://www.philgeps.gov.ph/GEPSNONPILOT/Tender/SplashBidNoticeAbstractUI.aspx?menuIndex=3&amp;refID=7162925&amp;Result=3","7162925")</f>
        <v>0</v>
      </c>
      <c r="B2983" t="s">
        <v>1245</v>
      </c>
      <c r="C2983" t="s">
        <v>6746</v>
      </c>
      <c r="D2983" t="s">
        <v>19083</v>
      </c>
      <c r="E2983" t="s">
        <v>19292</v>
      </c>
      <c r="F2983" t="s">
        <v>32831</v>
      </c>
      <c r="G2983" t="s">
        <v>32839</v>
      </c>
      <c r="H2983" t="s">
        <v>32849</v>
      </c>
      <c r="I2983" t="s">
        <v>4177</v>
      </c>
      <c r="J2983" t="s">
        <v>34975</v>
      </c>
      <c r="K2983" t="s">
        <v>42730</v>
      </c>
      <c r="M2983" t="s">
        <v>44315</v>
      </c>
      <c r="N2983" t="s">
        <v>47424</v>
      </c>
      <c r="O2983" t="s">
        <v>47425</v>
      </c>
      <c r="P2983">
        <v>0</v>
      </c>
      <c r="Q2983">
        <v>0</v>
      </c>
      <c r="R2983" t="s">
        <v>47428</v>
      </c>
      <c r="S2983" t="s">
        <v>47541</v>
      </c>
      <c r="T2983" t="s">
        <v>49073</v>
      </c>
      <c r="U2983" t="s">
        <v>52222</v>
      </c>
      <c r="W2983" t="s">
        <v>44315</v>
      </c>
      <c r="X2983" t="s">
        <v>47430</v>
      </c>
    </row>
    <row r="2984" spans="1:24">
      <c r="A2984">
        <f>HYPERLINK("https://www.philgeps.gov.ph/GEPSNONPILOT/Tender/SplashBidNoticeAbstractUI.aspx?menuIndex=3&amp;refID=7162924&amp;Result=3","7162924")</f>
        <v>0</v>
      </c>
      <c r="B2984" t="s">
        <v>1178</v>
      </c>
      <c r="C2984" t="s">
        <v>6747</v>
      </c>
      <c r="D2984" t="s">
        <v>19049</v>
      </c>
      <c r="E2984" t="s">
        <v>21800</v>
      </c>
      <c r="F2984" t="s">
        <v>32831</v>
      </c>
      <c r="G2984" t="s">
        <v>32838</v>
      </c>
      <c r="H2984" t="s">
        <v>32848</v>
      </c>
      <c r="I2984" t="s">
        <v>32861</v>
      </c>
      <c r="J2984" t="s">
        <v>34976</v>
      </c>
      <c r="K2984" t="s">
        <v>42730</v>
      </c>
      <c r="M2984" t="s">
        <v>44244</v>
      </c>
      <c r="N2984" t="s">
        <v>47424</v>
      </c>
      <c r="O2984" t="s">
        <v>47425</v>
      </c>
      <c r="P2984">
        <v>0</v>
      </c>
      <c r="Q2984">
        <v>6</v>
      </c>
      <c r="R2984" t="s">
        <v>47428</v>
      </c>
      <c r="S2984" t="s">
        <v>47541</v>
      </c>
      <c r="T2984" t="s">
        <v>49111</v>
      </c>
      <c r="U2984" t="s">
        <v>52223</v>
      </c>
      <c r="W2984" t="s">
        <v>44244</v>
      </c>
      <c r="X2984" t="s">
        <v>47430</v>
      </c>
    </row>
    <row r="2985" spans="1:24">
      <c r="A2985">
        <f>HYPERLINK("https://www.philgeps.gov.ph/GEPSNONPILOT/Tender/SplashBidNoticeAbstractUI.aspx?menuIndex=3&amp;refID=7162923&amp;Result=3","7162923")</f>
        <v>0</v>
      </c>
      <c r="B2985" t="s">
        <v>1284</v>
      </c>
      <c r="C2985" t="s">
        <v>6748</v>
      </c>
      <c r="D2985" t="s">
        <v>19023</v>
      </c>
      <c r="E2985" t="s">
        <v>21801</v>
      </c>
      <c r="F2985" t="s">
        <v>32831</v>
      </c>
      <c r="G2985" t="s">
        <v>32838</v>
      </c>
      <c r="H2985" t="s">
        <v>32848</v>
      </c>
      <c r="I2985" t="s">
        <v>4303</v>
      </c>
      <c r="J2985" t="s">
        <v>34968</v>
      </c>
      <c r="K2985" t="s">
        <v>42730</v>
      </c>
      <c r="M2985" t="s">
        <v>44354</v>
      </c>
      <c r="N2985" t="s">
        <v>47424</v>
      </c>
      <c r="O2985" t="s">
        <v>47425</v>
      </c>
      <c r="P2985">
        <v>0</v>
      </c>
      <c r="Q2985">
        <v>0</v>
      </c>
      <c r="R2985" t="s">
        <v>47428</v>
      </c>
      <c r="S2985" t="s">
        <v>47541</v>
      </c>
      <c r="T2985" t="s">
        <v>49163</v>
      </c>
      <c r="U2985" t="s">
        <v>52224</v>
      </c>
      <c r="W2985" t="s">
        <v>44354</v>
      </c>
      <c r="X2985" t="s">
        <v>47430</v>
      </c>
    </row>
    <row r="2986" spans="1:24">
      <c r="A2986">
        <f>HYPERLINK("https://www.philgeps.gov.ph/GEPSNONPILOT/Tender/SplashBidNoticeAbstractUI.aspx?menuIndex=3&amp;refID=7162922&amp;Result=3","7162922")</f>
        <v>0</v>
      </c>
      <c r="B2986" t="s">
        <v>1300</v>
      </c>
      <c r="C2986" t="s">
        <v>6749</v>
      </c>
      <c r="D2986" t="s">
        <v>19057</v>
      </c>
      <c r="E2986" t="s">
        <v>21802</v>
      </c>
      <c r="F2986" t="s">
        <v>32833</v>
      </c>
      <c r="G2986" t="s">
        <v>32840</v>
      </c>
      <c r="H2986" t="s">
        <v>32848</v>
      </c>
      <c r="I2986" t="s">
        <v>9577</v>
      </c>
      <c r="J2986" t="s">
        <v>33086</v>
      </c>
      <c r="K2986" t="s">
        <v>42759</v>
      </c>
      <c r="M2986" t="s">
        <v>44370</v>
      </c>
      <c r="N2986" t="s">
        <v>47424</v>
      </c>
      <c r="O2986" t="s">
        <v>47425</v>
      </c>
      <c r="P2986">
        <v>0</v>
      </c>
      <c r="Q2986">
        <v>0</v>
      </c>
      <c r="R2986" t="s">
        <v>47428</v>
      </c>
      <c r="S2986" t="s">
        <v>47541</v>
      </c>
      <c r="T2986" t="s">
        <v>49145</v>
      </c>
      <c r="U2986" t="s">
        <v>52225</v>
      </c>
      <c r="W2986" t="s">
        <v>44370</v>
      </c>
      <c r="X2986" t="s">
        <v>47430</v>
      </c>
    </row>
    <row r="2987" spans="1:24">
      <c r="A2987">
        <f>HYPERLINK("https://www.philgeps.gov.ph/GEPSNONPILOT/Tender/SplashBidNoticeAbstractUI.aspx?menuIndex=3&amp;refID=7162921&amp;Result=3","7162921")</f>
        <v>0</v>
      </c>
      <c r="B2987" t="s">
        <v>1301</v>
      </c>
      <c r="C2987" t="s">
        <v>6750</v>
      </c>
      <c r="D2987" t="s">
        <v>19052</v>
      </c>
      <c r="E2987" t="s">
        <v>21803</v>
      </c>
      <c r="F2987" t="s">
        <v>32831</v>
      </c>
      <c r="G2987" t="s">
        <v>32838</v>
      </c>
      <c r="H2987" t="s">
        <v>32848</v>
      </c>
      <c r="I2987" t="s">
        <v>32871</v>
      </c>
      <c r="J2987" t="s">
        <v>33087</v>
      </c>
      <c r="K2987" t="s">
        <v>42726</v>
      </c>
      <c r="M2987" t="s">
        <v>44371</v>
      </c>
      <c r="N2987" t="s">
        <v>47424</v>
      </c>
      <c r="O2987" t="s">
        <v>47425</v>
      </c>
      <c r="P2987">
        <v>0</v>
      </c>
      <c r="Q2987">
        <v>9</v>
      </c>
      <c r="R2987" t="s">
        <v>47428</v>
      </c>
      <c r="S2987" t="s">
        <v>47541</v>
      </c>
      <c r="T2987" t="s">
        <v>49237</v>
      </c>
      <c r="U2987" t="s">
        <v>52226</v>
      </c>
      <c r="V2987" t="s">
        <v>62954</v>
      </c>
      <c r="W2987" t="s">
        <v>44371</v>
      </c>
      <c r="X2987" t="s">
        <v>47430</v>
      </c>
    </row>
    <row r="2988" spans="1:24">
      <c r="A2988">
        <f>HYPERLINK("https://www.philgeps.gov.ph/GEPSNONPILOT/Tender/SplashBidNoticeAbstractUI.aspx?menuIndex=3&amp;refID=7162920&amp;Result=3","7162920")</f>
        <v>0</v>
      </c>
      <c r="B2988" t="s">
        <v>1291</v>
      </c>
      <c r="C2988" t="s">
        <v>6751</v>
      </c>
      <c r="D2988" t="s">
        <v>19023</v>
      </c>
      <c r="E2988" t="s">
        <v>21804</v>
      </c>
      <c r="F2988" t="s">
        <v>32831</v>
      </c>
      <c r="G2988" t="s">
        <v>32838</v>
      </c>
      <c r="H2988" t="s">
        <v>32848</v>
      </c>
      <c r="I2988" t="s">
        <v>32932</v>
      </c>
      <c r="J2988" t="s">
        <v>34977</v>
      </c>
      <c r="K2988" t="s">
        <v>42758</v>
      </c>
      <c r="M2988" t="s">
        <v>44361</v>
      </c>
      <c r="N2988" t="s">
        <v>47424</v>
      </c>
      <c r="O2988" t="s">
        <v>47425</v>
      </c>
      <c r="P2988">
        <v>0</v>
      </c>
      <c r="Q2988">
        <v>0</v>
      </c>
      <c r="R2988" t="s">
        <v>47428</v>
      </c>
      <c r="S2988" t="s">
        <v>47541</v>
      </c>
      <c r="T2988" t="s">
        <v>49145</v>
      </c>
      <c r="U2988" t="s">
        <v>52227</v>
      </c>
      <c r="W2988" t="s">
        <v>44361</v>
      </c>
      <c r="X2988" t="s">
        <v>47430</v>
      </c>
    </row>
    <row r="2989" spans="1:24">
      <c r="A2989">
        <f>HYPERLINK("https://www.philgeps.gov.ph/GEPSNONPILOT/Tender/SplashBidNoticeAbstractUI.aspx?menuIndex=3&amp;refID=7162916&amp;Result=3","7162916")</f>
        <v>0</v>
      </c>
      <c r="B2989" t="s">
        <v>1288</v>
      </c>
      <c r="C2989" t="s">
        <v>6752</v>
      </c>
      <c r="D2989" t="s">
        <v>19026</v>
      </c>
      <c r="E2989" t="s">
        <v>21805</v>
      </c>
      <c r="F2989" t="s">
        <v>32831</v>
      </c>
      <c r="G2989" t="s">
        <v>32838</v>
      </c>
      <c r="H2989" t="s">
        <v>32848</v>
      </c>
      <c r="I2989" t="s">
        <v>4446</v>
      </c>
      <c r="J2989" t="s">
        <v>34978</v>
      </c>
      <c r="K2989" t="s">
        <v>42732</v>
      </c>
      <c r="M2989" t="s">
        <v>44358</v>
      </c>
      <c r="N2989" t="s">
        <v>47424</v>
      </c>
      <c r="O2989" t="s">
        <v>47425</v>
      </c>
      <c r="P2989">
        <v>0</v>
      </c>
      <c r="Q2989">
        <v>1</v>
      </c>
      <c r="R2989" t="s">
        <v>47428</v>
      </c>
      <c r="S2989" t="s">
        <v>47541</v>
      </c>
      <c r="T2989" t="s">
        <v>49166</v>
      </c>
      <c r="U2989" t="s">
        <v>52228</v>
      </c>
      <c r="W2989" t="s">
        <v>44358</v>
      </c>
      <c r="X2989" t="s">
        <v>47430</v>
      </c>
    </row>
    <row r="2990" spans="1:24">
      <c r="A2990">
        <f>HYPERLINK("https://www.philgeps.gov.ph/GEPSNONPILOT/Tender/SplashBidNoticeAbstractUI.aspx?menuIndex=3&amp;refID=7162945&amp;Result=3","7162945")</f>
        <v>0</v>
      </c>
      <c r="B2990" t="s">
        <v>1302</v>
      </c>
      <c r="C2990" t="s">
        <v>6753</v>
      </c>
      <c r="D2990" t="s">
        <v>19017</v>
      </c>
      <c r="E2990" t="s">
        <v>21806</v>
      </c>
      <c r="F2990" t="s">
        <v>32831</v>
      </c>
      <c r="G2990" t="s">
        <v>32840</v>
      </c>
      <c r="H2990" t="s">
        <v>32848</v>
      </c>
      <c r="I2990" t="s">
        <v>9577</v>
      </c>
      <c r="J2990" t="s">
        <v>34979</v>
      </c>
      <c r="K2990" t="s">
        <v>42730</v>
      </c>
      <c r="M2990" t="s">
        <v>44372</v>
      </c>
      <c r="N2990" t="s">
        <v>47424</v>
      </c>
      <c r="O2990" t="s">
        <v>47425</v>
      </c>
      <c r="P2990">
        <v>0</v>
      </c>
      <c r="Q2990">
        <v>9</v>
      </c>
      <c r="R2990" t="s">
        <v>47428</v>
      </c>
      <c r="S2990" t="s">
        <v>47541</v>
      </c>
      <c r="T2990" t="s">
        <v>49056</v>
      </c>
      <c r="U2990" t="s">
        <v>52229</v>
      </c>
      <c r="W2990" t="s">
        <v>44372</v>
      </c>
      <c r="X2990" t="s">
        <v>47430</v>
      </c>
    </row>
    <row r="2991" spans="1:24">
      <c r="A2991">
        <f>HYPERLINK("https://www.philgeps.gov.ph/GEPSNONPILOT/Tender/SplashBidNoticeAbstractUI.aspx?menuIndex=3&amp;refID=7162977&amp;Result=3","7162977")</f>
        <v>0</v>
      </c>
      <c r="B2991" t="s">
        <v>1303</v>
      </c>
      <c r="C2991" t="s">
        <v>6754</v>
      </c>
      <c r="D2991" t="s">
        <v>19045</v>
      </c>
      <c r="E2991" t="s">
        <v>21318</v>
      </c>
      <c r="F2991" t="s">
        <v>32831</v>
      </c>
      <c r="G2991" t="s">
        <v>32838</v>
      </c>
      <c r="H2991" t="s">
        <v>32848</v>
      </c>
      <c r="I2991" t="s">
        <v>6526</v>
      </c>
      <c r="J2991" t="s">
        <v>34980</v>
      </c>
      <c r="K2991" t="s">
        <v>42726</v>
      </c>
      <c r="M2991" t="s">
        <v>44373</v>
      </c>
      <c r="N2991" t="s">
        <v>47424</v>
      </c>
      <c r="O2991" t="s">
        <v>47425</v>
      </c>
      <c r="P2991">
        <v>0</v>
      </c>
      <c r="Q2991">
        <v>0</v>
      </c>
      <c r="R2991" t="s">
        <v>47428</v>
      </c>
      <c r="S2991" t="s">
        <v>47541</v>
      </c>
      <c r="T2991" t="s">
        <v>49068</v>
      </c>
      <c r="U2991" t="s">
        <v>52230</v>
      </c>
      <c r="W2991" t="s">
        <v>44373</v>
      </c>
      <c r="X2991" t="s">
        <v>47430</v>
      </c>
    </row>
    <row r="2992" spans="1:24">
      <c r="A2992">
        <f>HYPERLINK("https://www.philgeps.gov.ph/GEPSNONPILOT/Tender/SplashBidNoticeAbstractUI.aspx?menuIndex=3&amp;refID=7162933&amp;Result=3","7162933")</f>
        <v>0</v>
      </c>
      <c r="B2992" t="s">
        <v>525</v>
      </c>
      <c r="C2992" t="s">
        <v>6755</v>
      </c>
      <c r="D2992" t="s">
        <v>19029</v>
      </c>
      <c r="E2992" t="s">
        <v>21807</v>
      </c>
      <c r="F2992" t="s">
        <v>32831</v>
      </c>
      <c r="G2992" t="s">
        <v>32842</v>
      </c>
      <c r="H2992" t="s">
        <v>32848</v>
      </c>
      <c r="I2992" t="s">
        <v>4776</v>
      </c>
      <c r="J2992" t="s">
        <v>34981</v>
      </c>
      <c r="K2992" t="s">
        <v>42727</v>
      </c>
      <c r="M2992" t="s">
        <v>43531</v>
      </c>
      <c r="N2992" t="s">
        <v>47424</v>
      </c>
      <c r="O2992" t="s">
        <v>47425</v>
      </c>
      <c r="P2992">
        <v>0</v>
      </c>
      <c r="Q2992">
        <v>0</v>
      </c>
      <c r="R2992" t="s">
        <v>47428</v>
      </c>
      <c r="S2992" t="s">
        <v>47541</v>
      </c>
      <c r="T2992" t="s">
        <v>49255</v>
      </c>
      <c r="U2992" t="s">
        <v>52231</v>
      </c>
      <c r="W2992" t="s">
        <v>43531</v>
      </c>
      <c r="X2992" t="s">
        <v>47430</v>
      </c>
    </row>
    <row r="2993" spans="1:24">
      <c r="A2993">
        <f>HYPERLINK("https://www.philgeps.gov.ph/GEPSNONPILOT/Tender/SplashBidNoticeAbstractUI.aspx?menuIndex=3&amp;refID=7162976&amp;Result=3","7162976")</f>
        <v>0</v>
      </c>
      <c r="B2993" t="s">
        <v>1304</v>
      </c>
      <c r="C2993" t="s">
        <v>6756</v>
      </c>
      <c r="D2993" t="s">
        <v>19059</v>
      </c>
      <c r="E2993" t="s">
        <v>21808</v>
      </c>
      <c r="F2993" t="s">
        <v>32831</v>
      </c>
      <c r="G2993" t="s">
        <v>32838</v>
      </c>
      <c r="H2993" t="s">
        <v>32848</v>
      </c>
      <c r="I2993" t="s">
        <v>32853</v>
      </c>
      <c r="J2993" t="s">
        <v>33087</v>
      </c>
      <c r="K2993" t="s">
        <v>42726</v>
      </c>
      <c r="M2993" t="s">
        <v>44374</v>
      </c>
      <c r="N2993" t="s">
        <v>47424</v>
      </c>
      <c r="O2993" t="s">
        <v>47425</v>
      </c>
      <c r="P2993">
        <v>0</v>
      </c>
      <c r="Q2993">
        <v>0</v>
      </c>
      <c r="R2993" t="s">
        <v>47428</v>
      </c>
      <c r="S2993" t="s">
        <v>47541</v>
      </c>
      <c r="T2993" t="s">
        <v>49129</v>
      </c>
      <c r="U2993" t="s">
        <v>52232</v>
      </c>
      <c r="W2993" t="s">
        <v>44374</v>
      </c>
      <c r="X2993" t="s">
        <v>47430</v>
      </c>
    </row>
    <row r="2994" spans="1:24">
      <c r="A2994">
        <f>HYPERLINK("https://www.philgeps.gov.ph/GEPSNONPILOT/Tender/SplashBidNoticeAbstractUI.aspx?menuIndex=3&amp;refID=7162970&amp;Result=3","7162970")</f>
        <v>0</v>
      </c>
      <c r="B2994" t="s">
        <v>1300</v>
      </c>
      <c r="C2994" t="s">
        <v>6757</v>
      </c>
      <c r="E2994" t="s">
        <v>21809</v>
      </c>
      <c r="F2994" t="s">
        <v>32833</v>
      </c>
      <c r="G2994" t="s">
        <v>32840</v>
      </c>
      <c r="H2994" t="s">
        <v>32848</v>
      </c>
      <c r="I2994" t="s">
        <v>9577</v>
      </c>
      <c r="J2994" t="s">
        <v>33086</v>
      </c>
      <c r="K2994" t="s">
        <v>42759</v>
      </c>
      <c r="M2994" t="s">
        <v>44370</v>
      </c>
      <c r="N2994" t="s">
        <v>47424</v>
      </c>
      <c r="O2994" t="s">
        <v>47425</v>
      </c>
      <c r="P2994">
        <v>0</v>
      </c>
      <c r="Q2994">
        <v>0</v>
      </c>
      <c r="R2994" t="s">
        <v>47428</v>
      </c>
      <c r="S2994" t="s">
        <v>47541</v>
      </c>
      <c r="T2994" t="s">
        <v>49145</v>
      </c>
      <c r="U2994" t="s">
        <v>52233</v>
      </c>
      <c r="W2994" t="s">
        <v>44370</v>
      </c>
      <c r="X2994" t="s">
        <v>47430</v>
      </c>
    </row>
    <row r="2995" spans="1:24">
      <c r="A2995">
        <f>HYPERLINK("https://www.philgeps.gov.ph/GEPSNONPILOT/Tender/SplashBidNoticeAbstractUI.aspx?menuIndex=3&amp;refID=7162969&amp;Result=3","7162969")</f>
        <v>0</v>
      </c>
      <c r="B2995" t="s">
        <v>1305</v>
      </c>
      <c r="C2995" t="s">
        <v>6758</v>
      </c>
      <c r="D2995" t="s">
        <v>19093</v>
      </c>
      <c r="E2995" t="s">
        <v>21810</v>
      </c>
      <c r="F2995" t="s">
        <v>32831</v>
      </c>
      <c r="G2995" t="s">
        <v>32838</v>
      </c>
      <c r="H2995" t="s">
        <v>32848</v>
      </c>
      <c r="I2995" t="s">
        <v>4222</v>
      </c>
      <c r="J2995" t="s">
        <v>34982</v>
      </c>
      <c r="K2995" t="s">
        <v>42727</v>
      </c>
      <c r="M2995" t="s">
        <v>44375</v>
      </c>
      <c r="N2995" t="s">
        <v>47424</v>
      </c>
      <c r="O2995" t="s">
        <v>47425</v>
      </c>
      <c r="P2995">
        <v>0</v>
      </c>
      <c r="Q2995">
        <v>0</v>
      </c>
      <c r="R2995" t="s">
        <v>47428</v>
      </c>
      <c r="S2995" t="s">
        <v>47541</v>
      </c>
      <c r="T2995" t="s">
        <v>49237</v>
      </c>
      <c r="U2995" t="s">
        <v>52234</v>
      </c>
      <c r="W2995" t="s">
        <v>44375</v>
      </c>
      <c r="X2995" t="s">
        <v>47430</v>
      </c>
    </row>
    <row r="2996" spans="1:24">
      <c r="A2996">
        <f>HYPERLINK("https://www.philgeps.gov.ph/GEPSNONPILOT/Tender/SplashBidNoticeAbstractUI.aspx?menuIndex=3&amp;refID=7162959&amp;Result=3","7162959")</f>
        <v>0</v>
      </c>
      <c r="B2996" t="s">
        <v>721</v>
      </c>
      <c r="C2996" t="s">
        <v>6759</v>
      </c>
      <c r="D2996" t="s">
        <v>19018</v>
      </c>
      <c r="E2996" t="s">
        <v>21811</v>
      </c>
      <c r="F2996" t="s">
        <v>32831</v>
      </c>
      <c r="G2996" t="s">
        <v>32838</v>
      </c>
      <c r="H2996" t="s">
        <v>32848</v>
      </c>
      <c r="I2996" t="s">
        <v>32857</v>
      </c>
      <c r="J2996" t="s">
        <v>33041</v>
      </c>
      <c r="K2996" t="s">
        <v>42732</v>
      </c>
      <c r="M2996" t="s">
        <v>43742</v>
      </c>
      <c r="N2996" t="s">
        <v>47424</v>
      </c>
      <c r="O2996" t="s">
        <v>47425</v>
      </c>
      <c r="P2996">
        <v>0</v>
      </c>
      <c r="Q2996">
        <v>1</v>
      </c>
      <c r="R2996" t="s">
        <v>47428</v>
      </c>
      <c r="S2996" t="s">
        <v>47541</v>
      </c>
      <c r="T2996" t="s">
        <v>49087</v>
      </c>
      <c r="U2996" t="s">
        <v>51005</v>
      </c>
      <c r="W2996" t="s">
        <v>43742</v>
      </c>
      <c r="X2996" t="s">
        <v>47430</v>
      </c>
    </row>
    <row r="2997" spans="1:24">
      <c r="A2997">
        <f>HYPERLINK("https://www.philgeps.gov.ph/GEPSNONPILOT/Tender/SplashBidNoticeAbstractUI.aspx?menuIndex=3&amp;refID=7162955&amp;Result=3","7162955")</f>
        <v>0</v>
      </c>
      <c r="B2997" t="s">
        <v>1306</v>
      </c>
      <c r="C2997" t="s">
        <v>6760</v>
      </c>
      <c r="D2997" t="s">
        <v>19017</v>
      </c>
      <c r="E2997" t="s">
        <v>21812</v>
      </c>
      <c r="F2997" t="s">
        <v>32831</v>
      </c>
      <c r="G2997" t="s">
        <v>32838</v>
      </c>
      <c r="H2997" t="s">
        <v>32848</v>
      </c>
      <c r="I2997" t="s">
        <v>32950</v>
      </c>
      <c r="J2997" t="s">
        <v>34983</v>
      </c>
      <c r="K2997" t="s">
        <v>42775</v>
      </c>
      <c r="M2997" t="s">
        <v>44376</v>
      </c>
      <c r="N2997" t="s">
        <v>47424</v>
      </c>
      <c r="O2997" t="s">
        <v>47425</v>
      </c>
      <c r="P2997">
        <v>0</v>
      </c>
      <c r="Q2997">
        <v>2</v>
      </c>
      <c r="R2997" t="s">
        <v>47428</v>
      </c>
      <c r="S2997" t="s">
        <v>47541</v>
      </c>
      <c r="T2997" t="s">
        <v>49123</v>
      </c>
      <c r="U2997" t="s">
        <v>52235</v>
      </c>
      <c r="W2997" t="s">
        <v>44376</v>
      </c>
      <c r="X2997" t="s">
        <v>47430</v>
      </c>
    </row>
    <row r="2998" spans="1:24">
      <c r="A2998">
        <f>HYPERLINK("https://www.philgeps.gov.ph/GEPSNONPILOT/Tender/SplashBidNoticeAbstractUI.aspx?menuIndex=3&amp;refID=7162851&amp;Result=3","7162851")</f>
        <v>0</v>
      </c>
      <c r="B2998" t="s">
        <v>1115</v>
      </c>
      <c r="C2998" t="s">
        <v>6761</v>
      </c>
      <c r="D2998" t="s">
        <v>19017</v>
      </c>
      <c r="E2998" t="s">
        <v>21813</v>
      </c>
      <c r="F2998" t="s">
        <v>32831</v>
      </c>
      <c r="G2998" t="s">
        <v>32839</v>
      </c>
      <c r="H2998" t="s">
        <v>32848</v>
      </c>
      <c r="I2998" t="s">
        <v>4487</v>
      </c>
      <c r="J2998" t="s">
        <v>34984</v>
      </c>
      <c r="K2998" t="s">
        <v>42732</v>
      </c>
      <c r="M2998" t="s">
        <v>44377</v>
      </c>
      <c r="N2998" t="s">
        <v>47424</v>
      </c>
      <c r="O2998" t="s">
        <v>47425</v>
      </c>
      <c r="P2998">
        <v>0</v>
      </c>
      <c r="Q2998">
        <v>5</v>
      </c>
      <c r="R2998" t="s">
        <v>47428</v>
      </c>
      <c r="S2998" t="s">
        <v>47541</v>
      </c>
      <c r="T2998" t="s">
        <v>49301</v>
      </c>
      <c r="U2998" t="s">
        <v>52236</v>
      </c>
      <c r="W2998" t="s">
        <v>44377</v>
      </c>
      <c r="X2998" t="s">
        <v>47430</v>
      </c>
    </row>
    <row r="2999" spans="1:24">
      <c r="A2999">
        <f>HYPERLINK("https://www.philgeps.gov.ph/GEPSNONPILOT/Tender/SplashBidNoticeAbstractUI.aspx?menuIndex=3&amp;refID=7162952&amp;Result=3","7162952")</f>
        <v>0</v>
      </c>
      <c r="B2999" t="s">
        <v>1307</v>
      </c>
      <c r="C2999" t="s">
        <v>6762</v>
      </c>
      <c r="D2999" t="s">
        <v>19027</v>
      </c>
      <c r="E2999" t="s">
        <v>19645</v>
      </c>
      <c r="F2999" t="s">
        <v>32831</v>
      </c>
      <c r="G2999" t="s">
        <v>32838</v>
      </c>
      <c r="H2999" t="s">
        <v>32848</v>
      </c>
      <c r="I2999" t="s">
        <v>32860</v>
      </c>
      <c r="J2999" t="s">
        <v>34985</v>
      </c>
      <c r="K2999" t="s">
        <v>42748</v>
      </c>
      <c r="M2999" t="s">
        <v>44378</v>
      </c>
      <c r="N2999" t="s">
        <v>47424</v>
      </c>
      <c r="O2999" t="s">
        <v>47425</v>
      </c>
      <c r="P2999">
        <v>0</v>
      </c>
      <c r="Q2999">
        <v>1</v>
      </c>
      <c r="R2999" t="s">
        <v>47428</v>
      </c>
      <c r="S2999" t="s">
        <v>47541</v>
      </c>
      <c r="T2999" t="s">
        <v>49166</v>
      </c>
      <c r="U2999" t="s">
        <v>52237</v>
      </c>
      <c r="W2999" t="s">
        <v>44378</v>
      </c>
      <c r="X2999" t="s">
        <v>47430</v>
      </c>
    </row>
    <row r="3000" spans="1:24">
      <c r="A3000">
        <f>HYPERLINK("https://www.philgeps.gov.ph/GEPSNONPILOT/Tender/SplashBidNoticeAbstractUI.aspx?menuIndex=3&amp;refID=7162948&amp;Result=3","7162948")</f>
        <v>0</v>
      </c>
      <c r="B3000" t="s">
        <v>1293</v>
      </c>
      <c r="C3000" t="s">
        <v>6763</v>
      </c>
      <c r="D3000" t="s">
        <v>19088</v>
      </c>
      <c r="E3000" t="s">
        <v>21814</v>
      </c>
      <c r="F3000" t="s">
        <v>32831</v>
      </c>
      <c r="G3000" t="s">
        <v>32838</v>
      </c>
      <c r="H3000" t="s">
        <v>32848</v>
      </c>
      <c r="I3000" t="s">
        <v>4303</v>
      </c>
      <c r="J3000" t="s">
        <v>34986</v>
      </c>
      <c r="K3000" t="s">
        <v>42730</v>
      </c>
      <c r="M3000" t="s">
        <v>44363</v>
      </c>
      <c r="N3000" t="s">
        <v>47424</v>
      </c>
      <c r="O3000" t="s">
        <v>47425</v>
      </c>
      <c r="P3000">
        <v>0</v>
      </c>
      <c r="Q3000">
        <v>1</v>
      </c>
      <c r="R3000" t="s">
        <v>47428</v>
      </c>
      <c r="S3000" t="s">
        <v>47541</v>
      </c>
      <c r="T3000" t="s">
        <v>49103</v>
      </c>
      <c r="U3000" t="s">
        <v>52238</v>
      </c>
      <c r="W3000" t="s">
        <v>44363</v>
      </c>
      <c r="X3000" t="s">
        <v>47430</v>
      </c>
    </row>
    <row r="3001" spans="1:24">
      <c r="A3001">
        <f>HYPERLINK("https://www.philgeps.gov.ph/GEPSNONPILOT/Tender/SplashBidNoticeAbstractUI.aspx?menuIndex=3&amp;refID=7162889&amp;Result=3","7162889")</f>
        <v>0</v>
      </c>
      <c r="B3001" t="s">
        <v>1178</v>
      </c>
      <c r="C3001" t="s">
        <v>6764</v>
      </c>
      <c r="D3001" t="s">
        <v>19049</v>
      </c>
      <c r="E3001" t="s">
        <v>20766</v>
      </c>
      <c r="F3001" t="s">
        <v>32831</v>
      </c>
      <c r="G3001" t="s">
        <v>32838</v>
      </c>
      <c r="H3001" t="s">
        <v>32848</v>
      </c>
      <c r="I3001" t="s">
        <v>4435</v>
      </c>
      <c r="J3001" t="s">
        <v>33588</v>
      </c>
      <c r="K3001" t="s">
        <v>42727</v>
      </c>
      <c r="M3001" t="s">
        <v>44244</v>
      </c>
      <c r="N3001" t="s">
        <v>47424</v>
      </c>
      <c r="O3001" t="s">
        <v>47425</v>
      </c>
      <c r="P3001">
        <v>0</v>
      </c>
      <c r="Q3001">
        <v>2</v>
      </c>
      <c r="R3001" t="s">
        <v>47428</v>
      </c>
      <c r="S3001" t="s">
        <v>47541</v>
      </c>
      <c r="T3001" t="s">
        <v>49111</v>
      </c>
      <c r="U3001" t="s">
        <v>51543</v>
      </c>
      <c r="W3001" t="s">
        <v>44244</v>
      </c>
      <c r="X3001" t="s">
        <v>47430</v>
      </c>
    </row>
    <row r="3002" spans="1:24">
      <c r="A3002">
        <f>HYPERLINK("https://www.philgeps.gov.ph/GEPSNONPILOT/Tender/SplashBidNoticeAbstractUI.aspx?menuIndex=3&amp;refID=7162963&amp;Result=3","7162963")</f>
        <v>0</v>
      </c>
      <c r="B3002" t="s">
        <v>669</v>
      </c>
      <c r="C3002" t="s">
        <v>5283</v>
      </c>
      <c r="D3002" t="s">
        <v>19022</v>
      </c>
      <c r="E3002" t="s">
        <v>21815</v>
      </c>
      <c r="F3002" t="s">
        <v>32831</v>
      </c>
      <c r="G3002" t="s">
        <v>32838</v>
      </c>
      <c r="H3002" t="s">
        <v>32848</v>
      </c>
      <c r="I3002" t="s">
        <v>5379</v>
      </c>
      <c r="J3002" t="s">
        <v>34987</v>
      </c>
      <c r="K3002" t="s">
        <v>42726</v>
      </c>
      <c r="M3002" t="s">
        <v>43688</v>
      </c>
      <c r="N3002" t="s">
        <v>47424</v>
      </c>
      <c r="O3002" t="s">
        <v>47425</v>
      </c>
      <c r="P3002">
        <v>0</v>
      </c>
      <c r="Q3002">
        <v>1</v>
      </c>
      <c r="R3002" t="s">
        <v>47428</v>
      </c>
      <c r="S3002" t="s">
        <v>47541</v>
      </c>
      <c r="T3002" t="s">
        <v>49111</v>
      </c>
      <c r="U3002" t="s">
        <v>52239</v>
      </c>
      <c r="W3002" t="s">
        <v>43688</v>
      </c>
      <c r="X3002" t="s">
        <v>47430</v>
      </c>
    </row>
    <row r="3003" spans="1:24">
      <c r="A3003">
        <f>HYPERLINK("https://www.philgeps.gov.ph/GEPSNONPILOT/Tender/SplashBidNoticeAbstractUI.aspx?menuIndex=3&amp;refID=7162957&amp;Result=3","7162957")</f>
        <v>0</v>
      </c>
      <c r="B3003" t="s">
        <v>1308</v>
      </c>
      <c r="C3003" t="s">
        <v>6765</v>
      </c>
      <c r="D3003" t="s">
        <v>19020</v>
      </c>
      <c r="E3003" t="s">
        <v>21816</v>
      </c>
      <c r="F3003" t="s">
        <v>32831</v>
      </c>
      <c r="G3003" t="s">
        <v>32839</v>
      </c>
      <c r="H3003" t="s">
        <v>32848</v>
      </c>
      <c r="I3003" t="s">
        <v>32904</v>
      </c>
      <c r="J3003" t="s">
        <v>33108</v>
      </c>
      <c r="K3003" t="s">
        <v>42727</v>
      </c>
      <c r="M3003" t="s">
        <v>44379</v>
      </c>
      <c r="N3003" t="s">
        <v>47424</v>
      </c>
      <c r="O3003" t="s">
        <v>47425</v>
      </c>
      <c r="P3003">
        <v>0</v>
      </c>
      <c r="Q3003">
        <v>0</v>
      </c>
      <c r="R3003" t="s">
        <v>47428</v>
      </c>
      <c r="S3003" t="s">
        <v>47541</v>
      </c>
      <c r="T3003" t="s">
        <v>49148</v>
      </c>
      <c r="U3003" t="s">
        <v>52240</v>
      </c>
      <c r="W3003" t="s">
        <v>44379</v>
      </c>
      <c r="X3003" t="s">
        <v>47430</v>
      </c>
    </row>
    <row r="3004" spans="1:24">
      <c r="A3004">
        <f>HYPERLINK("https://www.philgeps.gov.ph/GEPSNONPILOT/Tender/SplashBidNoticeAbstractUI.aspx?menuIndex=3&amp;refID=7162941&amp;Result=3","7162941")</f>
        <v>0</v>
      </c>
      <c r="B3004" t="s">
        <v>1300</v>
      </c>
      <c r="C3004" t="s">
        <v>6766</v>
      </c>
      <c r="D3004" t="s">
        <v>19057</v>
      </c>
      <c r="E3004" t="s">
        <v>21817</v>
      </c>
      <c r="F3004" t="s">
        <v>32833</v>
      </c>
      <c r="G3004" t="s">
        <v>32840</v>
      </c>
      <c r="H3004" t="s">
        <v>32848</v>
      </c>
      <c r="I3004" t="s">
        <v>9577</v>
      </c>
      <c r="J3004" t="s">
        <v>33086</v>
      </c>
      <c r="K3004" t="s">
        <v>42759</v>
      </c>
      <c r="M3004" t="s">
        <v>44370</v>
      </c>
      <c r="N3004" t="s">
        <v>47424</v>
      </c>
      <c r="O3004" t="s">
        <v>47425</v>
      </c>
      <c r="P3004">
        <v>0</v>
      </c>
      <c r="Q3004">
        <v>0</v>
      </c>
      <c r="R3004" t="s">
        <v>47428</v>
      </c>
      <c r="S3004" t="s">
        <v>47541</v>
      </c>
      <c r="T3004" t="s">
        <v>49145</v>
      </c>
      <c r="U3004" t="s">
        <v>52233</v>
      </c>
      <c r="W3004" t="s">
        <v>44370</v>
      </c>
      <c r="X3004" t="s">
        <v>47430</v>
      </c>
    </row>
    <row r="3005" spans="1:24">
      <c r="A3005">
        <f>HYPERLINK("https://www.philgeps.gov.ph/GEPSNONPILOT/Tender/SplashBidNoticeAbstractUI.aspx?menuIndex=3&amp;refID=7162950&amp;Result=3","7162950")</f>
        <v>0</v>
      </c>
      <c r="B3005" t="s">
        <v>1309</v>
      </c>
      <c r="C3005" t="s">
        <v>6767</v>
      </c>
      <c r="D3005" t="s">
        <v>19077</v>
      </c>
      <c r="E3005" t="s">
        <v>21818</v>
      </c>
      <c r="F3005" t="s">
        <v>32831</v>
      </c>
      <c r="G3005" t="s">
        <v>32839</v>
      </c>
      <c r="H3005" t="s">
        <v>32849</v>
      </c>
      <c r="I3005" t="s">
        <v>4177</v>
      </c>
      <c r="J3005" t="s">
        <v>34988</v>
      </c>
      <c r="K3005" t="s">
        <v>42763</v>
      </c>
      <c r="M3005" t="s">
        <v>44380</v>
      </c>
      <c r="N3005" t="s">
        <v>47424</v>
      </c>
      <c r="O3005" t="s">
        <v>47425</v>
      </c>
      <c r="P3005">
        <v>0</v>
      </c>
      <c r="Q3005">
        <v>0</v>
      </c>
      <c r="R3005" t="s">
        <v>47428</v>
      </c>
      <c r="S3005" t="s">
        <v>47541</v>
      </c>
      <c r="T3005" t="s">
        <v>49073</v>
      </c>
      <c r="U3005" t="s">
        <v>52241</v>
      </c>
      <c r="W3005" t="s">
        <v>44380</v>
      </c>
      <c r="X3005" t="s">
        <v>47430</v>
      </c>
    </row>
    <row r="3006" spans="1:24">
      <c r="A3006">
        <f>HYPERLINK("https://www.philgeps.gov.ph/GEPSNONPILOT/Tender/SplashBidNoticeAbstractUI.aspx?menuIndex=3&amp;refID=7163005&amp;Result=3","7163005")</f>
        <v>0</v>
      </c>
      <c r="B3006" t="s">
        <v>1310</v>
      </c>
      <c r="C3006" t="s">
        <v>5892</v>
      </c>
      <c r="D3006" t="s">
        <v>19027</v>
      </c>
      <c r="E3006" t="s">
        <v>21819</v>
      </c>
      <c r="F3006" t="s">
        <v>32831</v>
      </c>
      <c r="G3006" t="s">
        <v>32838</v>
      </c>
      <c r="H3006" t="s">
        <v>32848</v>
      </c>
      <c r="I3006" t="s">
        <v>9577</v>
      </c>
      <c r="J3006" t="s">
        <v>34989</v>
      </c>
      <c r="K3006" t="s">
        <v>42748</v>
      </c>
      <c r="M3006" t="s">
        <v>44381</v>
      </c>
      <c r="N3006" t="s">
        <v>47424</v>
      </c>
      <c r="O3006" t="s">
        <v>47425</v>
      </c>
      <c r="P3006">
        <v>0</v>
      </c>
      <c r="Q3006">
        <v>2</v>
      </c>
      <c r="R3006" t="s">
        <v>47428</v>
      </c>
      <c r="S3006" t="s">
        <v>47541</v>
      </c>
      <c r="T3006" t="s">
        <v>49145</v>
      </c>
      <c r="U3006" t="s">
        <v>50974</v>
      </c>
      <c r="W3006" t="s">
        <v>44381</v>
      </c>
      <c r="X3006" t="s">
        <v>47430</v>
      </c>
    </row>
    <row r="3007" spans="1:24">
      <c r="A3007">
        <f>HYPERLINK("https://www.philgeps.gov.ph/GEPSNONPILOT/Tender/SplashBidNoticeAbstractUI.aspx?menuIndex=3&amp;refID=7163003&amp;Result=3","7163003")</f>
        <v>0</v>
      </c>
      <c r="B3007" t="s">
        <v>1300</v>
      </c>
      <c r="C3007" t="s">
        <v>6768</v>
      </c>
      <c r="D3007" t="s">
        <v>19057</v>
      </c>
      <c r="E3007" t="s">
        <v>21820</v>
      </c>
      <c r="F3007" t="s">
        <v>32833</v>
      </c>
      <c r="G3007" t="s">
        <v>32840</v>
      </c>
      <c r="H3007" t="s">
        <v>32848</v>
      </c>
      <c r="I3007" t="s">
        <v>9577</v>
      </c>
      <c r="J3007" t="s">
        <v>33086</v>
      </c>
      <c r="K3007" t="s">
        <v>42759</v>
      </c>
      <c r="M3007" t="s">
        <v>44370</v>
      </c>
      <c r="N3007" t="s">
        <v>47424</v>
      </c>
      <c r="O3007" t="s">
        <v>47425</v>
      </c>
      <c r="P3007">
        <v>0</v>
      </c>
      <c r="Q3007">
        <v>0</v>
      </c>
      <c r="R3007" t="s">
        <v>47428</v>
      </c>
      <c r="S3007" t="s">
        <v>47541</v>
      </c>
      <c r="T3007" t="s">
        <v>49145</v>
      </c>
      <c r="U3007" t="s">
        <v>52233</v>
      </c>
      <c r="W3007" t="s">
        <v>44370</v>
      </c>
      <c r="X3007" t="s">
        <v>47430</v>
      </c>
    </row>
    <row r="3008" spans="1:24">
      <c r="A3008">
        <f>HYPERLINK("https://www.philgeps.gov.ph/GEPSNONPILOT/Tender/SplashBidNoticeAbstractUI.aspx?menuIndex=3&amp;refID=7162890&amp;Result=3","7162890")</f>
        <v>0</v>
      </c>
      <c r="B3008" t="s">
        <v>1311</v>
      </c>
      <c r="C3008" t="s">
        <v>6769</v>
      </c>
      <c r="D3008" t="s">
        <v>19047</v>
      </c>
      <c r="E3008" t="s">
        <v>21821</v>
      </c>
      <c r="F3008" t="s">
        <v>32831</v>
      </c>
      <c r="G3008" t="s">
        <v>32838</v>
      </c>
      <c r="H3008" t="s">
        <v>32848</v>
      </c>
      <c r="I3008" t="s">
        <v>32864</v>
      </c>
      <c r="J3008" t="s">
        <v>33162</v>
      </c>
      <c r="K3008" t="s">
        <v>42726</v>
      </c>
      <c r="M3008" t="s">
        <v>44382</v>
      </c>
      <c r="N3008" t="s">
        <v>47424</v>
      </c>
      <c r="O3008" t="s">
        <v>47425</v>
      </c>
      <c r="P3008">
        <v>0</v>
      </c>
      <c r="Q3008">
        <v>1</v>
      </c>
      <c r="R3008" t="s">
        <v>47428</v>
      </c>
      <c r="S3008" t="s">
        <v>47541</v>
      </c>
      <c r="T3008" t="s">
        <v>49237</v>
      </c>
      <c r="U3008" t="s">
        <v>50909</v>
      </c>
      <c r="W3008" t="s">
        <v>44382</v>
      </c>
      <c r="X3008" t="s">
        <v>47430</v>
      </c>
    </row>
    <row r="3009" spans="1:24">
      <c r="A3009">
        <f>HYPERLINK("https://www.philgeps.gov.ph/GEPSNONPILOT/Tender/SplashBidNoticeAbstractUI.aspx?menuIndex=3&amp;refID=7163000&amp;Result=3","7163000")</f>
        <v>0</v>
      </c>
      <c r="B3009" t="s">
        <v>525</v>
      </c>
      <c r="C3009" t="s">
        <v>6770</v>
      </c>
      <c r="D3009" t="s">
        <v>19029</v>
      </c>
      <c r="E3009" t="s">
        <v>21822</v>
      </c>
      <c r="F3009" t="s">
        <v>32831</v>
      </c>
      <c r="G3009" t="s">
        <v>32838</v>
      </c>
      <c r="H3009" t="s">
        <v>32848</v>
      </c>
      <c r="I3009" t="s">
        <v>4438</v>
      </c>
      <c r="J3009" t="s">
        <v>33025</v>
      </c>
      <c r="K3009" t="s">
        <v>42727</v>
      </c>
      <c r="M3009" t="s">
        <v>43531</v>
      </c>
      <c r="N3009" t="s">
        <v>47424</v>
      </c>
      <c r="O3009" t="s">
        <v>47425</v>
      </c>
      <c r="P3009">
        <v>0</v>
      </c>
      <c r="Q3009">
        <v>0</v>
      </c>
      <c r="R3009" t="s">
        <v>47428</v>
      </c>
      <c r="S3009" t="s">
        <v>47541</v>
      </c>
      <c r="T3009" t="s">
        <v>49255</v>
      </c>
      <c r="U3009" t="s">
        <v>52242</v>
      </c>
      <c r="W3009" t="s">
        <v>43531</v>
      </c>
      <c r="X3009" t="s">
        <v>47430</v>
      </c>
    </row>
    <row r="3010" spans="1:24">
      <c r="A3010">
        <f>HYPERLINK("https://www.philgeps.gov.ph/GEPSNONPILOT/Tender/SplashBidNoticeAbstractUI.aspx?menuIndex=3&amp;refID=7162996&amp;Result=3","7162996")</f>
        <v>0</v>
      </c>
      <c r="B3010" t="s">
        <v>674</v>
      </c>
      <c r="C3010" t="s">
        <v>6771</v>
      </c>
      <c r="D3010" t="s">
        <v>19058</v>
      </c>
      <c r="E3010" t="s">
        <v>21823</v>
      </c>
      <c r="F3010" t="s">
        <v>32831</v>
      </c>
      <c r="G3010" t="s">
        <v>32838</v>
      </c>
      <c r="H3010" t="s">
        <v>32848</v>
      </c>
      <c r="I3010" t="s">
        <v>32870</v>
      </c>
      <c r="J3010" t="s">
        <v>34542</v>
      </c>
      <c r="K3010" t="s">
        <v>42732</v>
      </c>
      <c r="M3010" t="s">
        <v>43693</v>
      </c>
      <c r="N3010" t="s">
        <v>47424</v>
      </c>
      <c r="O3010" t="s">
        <v>47425</v>
      </c>
      <c r="P3010">
        <v>0</v>
      </c>
      <c r="Q3010">
        <v>0</v>
      </c>
      <c r="R3010" t="s">
        <v>47428</v>
      </c>
      <c r="S3010" t="s">
        <v>47541</v>
      </c>
      <c r="T3010" t="s">
        <v>49237</v>
      </c>
      <c r="U3010" t="s">
        <v>52243</v>
      </c>
      <c r="W3010" t="s">
        <v>43693</v>
      </c>
      <c r="X3010" t="s">
        <v>47430</v>
      </c>
    </row>
    <row r="3011" spans="1:24">
      <c r="A3011">
        <f>HYPERLINK("https://www.philgeps.gov.ph/GEPSNONPILOT/Tender/SplashBidNoticeAbstractUI.aspx?menuIndex=3&amp;refID=7162995&amp;Result=3","7162995")</f>
        <v>0</v>
      </c>
      <c r="B3011" t="s">
        <v>1312</v>
      </c>
      <c r="C3011" t="s">
        <v>6772</v>
      </c>
      <c r="D3011" t="s">
        <v>19054</v>
      </c>
      <c r="E3011" t="s">
        <v>21824</v>
      </c>
      <c r="F3011" t="s">
        <v>32831</v>
      </c>
      <c r="G3011" t="s">
        <v>32839</v>
      </c>
      <c r="H3011" t="s">
        <v>32848</v>
      </c>
      <c r="I3011" t="s">
        <v>4487</v>
      </c>
      <c r="J3011" t="s">
        <v>33254</v>
      </c>
      <c r="K3011" t="s">
        <v>42732</v>
      </c>
      <c r="M3011" t="s">
        <v>44383</v>
      </c>
      <c r="N3011" t="s">
        <v>47424</v>
      </c>
      <c r="O3011" t="s">
        <v>47425</v>
      </c>
      <c r="P3011">
        <v>0</v>
      </c>
      <c r="Q3011">
        <v>0</v>
      </c>
      <c r="R3011" t="s">
        <v>47428</v>
      </c>
      <c r="S3011" t="s">
        <v>47541</v>
      </c>
      <c r="T3011" t="s">
        <v>49122</v>
      </c>
      <c r="U3011" t="s">
        <v>52244</v>
      </c>
      <c r="W3011" t="s">
        <v>44383</v>
      </c>
      <c r="X3011" t="s">
        <v>47430</v>
      </c>
    </row>
    <row r="3012" spans="1:24">
      <c r="A3012">
        <f>HYPERLINK("https://www.philgeps.gov.ph/GEPSNONPILOT/Tender/SplashBidNoticeAbstractUI.aspx?menuIndex=3&amp;refID=7162994&amp;Result=3","7162994")</f>
        <v>0</v>
      </c>
      <c r="B3012" t="s">
        <v>1313</v>
      </c>
      <c r="C3012" t="s">
        <v>6773</v>
      </c>
      <c r="D3012" t="s">
        <v>19087</v>
      </c>
      <c r="E3012" t="s">
        <v>21825</v>
      </c>
      <c r="F3012" t="s">
        <v>32831</v>
      </c>
      <c r="G3012" t="s">
        <v>32839</v>
      </c>
      <c r="H3012" t="s">
        <v>32848</v>
      </c>
      <c r="I3012" t="s">
        <v>7416</v>
      </c>
      <c r="J3012" t="s">
        <v>34990</v>
      </c>
      <c r="K3012" t="s">
        <v>42727</v>
      </c>
      <c r="M3012" t="s">
        <v>44384</v>
      </c>
      <c r="N3012" t="s">
        <v>47424</v>
      </c>
      <c r="O3012" t="s">
        <v>47425</v>
      </c>
      <c r="P3012">
        <v>0</v>
      </c>
      <c r="Q3012">
        <v>0</v>
      </c>
      <c r="R3012" t="s">
        <v>47428</v>
      </c>
      <c r="S3012" t="s">
        <v>47541</v>
      </c>
      <c r="T3012" t="s">
        <v>49322</v>
      </c>
      <c r="U3012" t="s">
        <v>52245</v>
      </c>
      <c r="V3012" t="s">
        <v>62955</v>
      </c>
      <c r="W3012" t="s">
        <v>44384</v>
      </c>
      <c r="X3012" t="s">
        <v>47430</v>
      </c>
    </row>
    <row r="3013" spans="1:24">
      <c r="A3013">
        <f>HYPERLINK("https://www.philgeps.gov.ph/GEPSNONPILOT/Tender/SplashBidNoticeAbstractUI.aspx?menuIndex=3&amp;refID=7162991&amp;Result=3","7162991")</f>
        <v>0</v>
      </c>
      <c r="B3013" t="s">
        <v>1314</v>
      </c>
      <c r="C3013" t="s">
        <v>6774</v>
      </c>
      <c r="D3013" t="s">
        <v>19085</v>
      </c>
      <c r="E3013" t="s">
        <v>21826</v>
      </c>
      <c r="F3013" t="s">
        <v>32831</v>
      </c>
      <c r="G3013" t="s">
        <v>32838</v>
      </c>
      <c r="H3013" t="s">
        <v>32848</v>
      </c>
      <c r="I3013" t="s">
        <v>7437</v>
      </c>
      <c r="J3013" t="s">
        <v>34991</v>
      </c>
      <c r="K3013" t="s">
        <v>42726</v>
      </c>
      <c r="M3013" t="s">
        <v>44385</v>
      </c>
      <c r="N3013" t="s">
        <v>47424</v>
      </c>
      <c r="O3013" t="s">
        <v>47425</v>
      </c>
      <c r="P3013">
        <v>0</v>
      </c>
      <c r="Q3013">
        <v>2</v>
      </c>
      <c r="R3013" t="s">
        <v>47428</v>
      </c>
      <c r="S3013" t="s">
        <v>47541</v>
      </c>
      <c r="T3013" t="s">
        <v>49145</v>
      </c>
      <c r="U3013" t="s">
        <v>52246</v>
      </c>
      <c r="W3013" t="s">
        <v>44385</v>
      </c>
      <c r="X3013" t="s">
        <v>47430</v>
      </c>
    </row>
    <row r="3014" spans="1:24">
      <c r="A3014">
        <f>HYPERLINK("https://www.philgeps.gov.ph/GEPSNONPILOT/Tender/SplashBidNoticeAbstractUI.aspx?menuIndex=3&amp;refID=7163006&amp;Result=3","7163006")</f>
        <v>0</v>
      </c>
      <c r="B3014" t="s">
        <v>1156</v>
      </c>
      <c r="C3014" t="s">
        <v>6775</v>
      </c>
      <c r="D3014" t="s">
        <v>19017</v>
      </c>
      <c r="E3014" t="s">
        <v>21827</v>
      </c>
      <c r="F3014" t="s">
        <v>32831</v>
      </c>
      <c r="G3014" t="s">
        <v>32838</v>
      </c>
      <c r="H3014" t="s">
        <v>32848</v>
      </c>
      <c r="I3014" t="s">
        <v>32905</v>
      </c>
      <c r="J3014" t="s">
        <v>33232</v>
      </c>
      <c r="K3014" t="s">
        <v>42732</v>
      </c>
      <c r="M3014" t="s">
        <v>44221</v>
      </c>
      <c r="N3014" t="s">
        <v>47424</v>
      </c>
      <c r="O3014" t="s">
        <v>47425</v>
      </c>
      <c r="P3014">
        <v>0</v>
      </c>
      <c r="Q3014">
        <v>3</v>
      </c>
      <c r="R3014" t="s">
        <v>47428</v>
      </c>
      <c r="S3014" t="s">
        <v>47541</v>
      </c>
      <c r="T3014" t="s">
        <v>49255</v>
      </c>
      <c r="U3014" t="s">
        <v>51952</v>
      </c>
      <c r="V3014" t="s">
        <v>62908</v>
      </c>
      <c r="W3014" t="s">
        <v>44221</v>
      </c>
      <c r="X3014" t="s">
        <v>47430</v>
      </c>
    </row>
    <row r="3015" spans="1:24">
      <c r="A3015">
        <f>HYPERLINK("https://www.philgeps.gov.ph/GEPSNONPILOT/Tender/SplashBidNoticeAbstractUI.aspx?menuIndex=3&amp;refID=7162990&amp;Result=3","7162990")</f>
        <v>0</v>
      </c>
      <c r="B3015" t="s">
        <v>1270</v>
      </c>
      <c r="C3015" t="s">
        <v>6776</v>
      </c>
      <c r="D3015" t="s">
        <v>19104</v>
      </c>
      <c r="E3015" t="s">
        <v>21828</v>
      </c>
      <c r="F3015" t="s">
        <v>32831</v>
      </c>
      <c r="G3015" t="s">
        <v>32838</v>
      </c>
      <c r="H3015" t="s">
        <v>32848</v>
      </c>
      <c r="I3015" t="s">
        <v>4776</v>
      </c>
      <c r="J3015" t="s">
        <v>32980</v>
      </c>
      <c r="K3015" t="s">
        <v>42745</v>
      </c>
      <c r="M3015" t="s">
        <v>44340</v>
      </c>
      <c r="N3015" t="s">
        <v>47424</v>
      </c>
      <c r="O3015" t="s">
        <v>47425</v>
      </c>
      <c r="P3015">
        <v>0</v>
      </c>
      <c r="Q3015">
        <v>1</v>
      </c>
      <c r="R3015" t="s">
        <v>47428</v>
      </c>
      <c r="S3015" t="s">
        <v>47541</v>
      </c>
      <c r="T3015" t="s">
        <v>49243</v>
      </c>
      <c r="U3015" t="s">
        <v>52247</v>
      </c>
      <c r="W3015" t="s">
        <v>44340</v>
      </c>
      <c r="X3015" t="s">
        <v>47430</v>
      </c>
    </row>
    <row r="3016" spans="1:24">
      <c r="A3016">
        <f>HYPERLINK("https://www.philgeps.gov.ph/GEPSNONPILOT/Tender/SplashBidNoticeAbstractUI.aspx?menuIndex=3&amp;refID=7162881&amp;Result=3","7162881")</f>
        <v>0</v>
      </c>
      <c r="B3016" t="s">
        <v>516</v>
      </c>
      <c r="C3016" t="s">
        <v>6777</v>
      </c>
      <c r="D3016" t="s">
        <v>19021</v>
      </c>
      <c r="E3016" t="s">
        <v>21829</v>
      </c>
      <c r="F3016" t="s">
        <v>32831</v>
      </c>
      <c r="G3016" t="s">
        <v>32839</v>
      </c>
      <c r="H3016" t="s">
        <v>32848</v>
      </c>
      <c r="I3016" t="s">
        <v>4776</v>
      </c>
      <c r="J3016" t="s">
        <v>33078</v>
      </c>
      <c r="K3016" t="s">
        <v>42758</v>
      </c>
      <c r="M3016" t="s">
        <v>43521</v>
      </c>
      <c r="N3016" t="s">
        <v>47424</v>
      </c>
      <c r="O3016" t="s">
        <v>47425</v>
      </c>
      <c r="P3016">
        <v>0</v>
      </c>
      <c r="Q3016">
        <v>3</v>
      </c>
      <c r="R3016" t="s">
        <v>47428</v>
      </c>
      <c r="S3016" t="s">
        <v>47541</v>
      </c>
      <c r="T3016" t="s">
        <v>49077</v>
      </c>
      <c r="U3016" t="s">
        <v>52248</v>
      </c>
      <c r="V3016" t="s">
        <v>62956</v>
      </c>
      <c r="W3016" t="s">
        <v>43521</v>
      </c>
      <c r="X3016" t="s">
        <v>47430</v>
      </c>
    </row>
    <row r="3017" spans="1:24">
      <c r="A3017">
        <f>HYPERLINK("https://www.philgeps.gov.ph/GEPSNONPILOT/Tender/SplashBidNoticeAbstractUI.aspx?menuIndex=3&amp;refID=7162997&amp;Result=3","7162997")</f>
        <v>0</v>
      </c>
      <c r="B3017" t="s">
        <v>1315</v>
      </c>
      <c r="C3017" t="s">
        <v>6778</v>
      </c>
      <c r="D3017" t="s">
        <v>19023</v>
      </c>
      <c r="E3017" t="s">
        <v>21830</v>
      </c>
      <c r="F3017" t="s">
        <v>32831</v>
      </c>
      <c r="G3017" t="s">
        <v>32838</v>
      </c>
      <c r="H3017" t="s">
        <v>32849</v>
      </c>
      <c r="I3017" t="s">
        <v>4177</v>
      </c>
      <c r="J3017" t="s">
        <v>34203</v>
      </c>
      <c r="K3017" t="s">
        <v>42727</v>
      </c>
      <c r="M3017" t="s">
        <v>44386</v>
      </c>
      <c r="N3017" t="s">
        <v>47424</v>
      </c>
      <c r="O3017" t="s">
        <v>47425</v>
      </c>
      <c r="P3017">
        <v>0</v>
      </c>
      <c r="Q3017">
        <v>1</v>
      </c>
      <c r="R3017" t="s">
        <v>47428</v>
      </c>
      <c r="S3017" t="s">
        <v>47541</v>
      </c>
      <c r="T3017" t="s">
        <v>49237</v>
      </c>
      <c r="U3017" t="s">
        <v>52249</v>
      </c>
      <c r="W3017" t="s">
        <v>44386</v>
      </c>
      <c r="X3017" t="s">
        <v>47430</v>
      </c>
    </row>
    <row r="3018" spans="1:24">
      <c r="A3018">
        <f>HYPERLINK("https://www.philgeps.gov.ph/GEPSNONPILOT/Tender/SplashBidNoticeAbstractUI.aspx?menuIndex=3&amp;refID=7163041&amp;Result=3","7163041")</f>
        <v>0</v>
      </c>
      <c r="B3018" t="s">
        <v>295</v>
      </c>
      <c r="C3018" t="s">
        <v>6779</v>
      </c>
      <c r="D3018" t="s">
        <v>19044</v>
      </c>
      <c r="E3018" t="s">
        <v>21831</v>
      </c>
      <c r="F3018" t="s">
        <v>32831</v>
      </c>
      <c r="G3018" t="s">
        <v>32838</v>
      </c>
      <c r="H3018" t="s">
        <v>32848</v>
      </c>
      <c r="I3018" t="s">
        <v>32874</v>
      </c>
      <c r="J3018" t="s">
        <v>33324</v>
      </c>
      <c r="K3018" t="s">
        <v>42729</v>
      </c>
      <c r="M3018" t="s">
        <v>43914</v>
      </c>
      <c r="N3018" t="s">
        <v>47424</v>
      </c>
      <c r="O3018" t="s">
        <v>47425</v>
      </c>
      <c r="P3018">
        <v>0</v>
      </c>
      <c r="Q3018">
        <v>17</v>
      </c>
      <c r="R3018" t="s">
        <v>47428</v>
      </c>
      <c r="S3018" t="s">
        <v>47541</v>
      </c>
      <c r="T3018" t="s">
        <v>49214</v>
      </c>
      <c r="U3018" t="s">
        <v>52250</v>
      </c>
      <c r="V3018" t="s">
        <v>51102</v>
      </c>
      <c r="W3018" t="s">
        <v>43914</v>
      </c>
      <c r="X3018" t="s">
        <v>47430</v>
      </c>
    </row>
    <row r="3019" spans="1:24">
      <c r="A3019">
        <f>HYPERLINK("https://www.philgeps.gov.ph/GEPSNONPILOT/Tender/SplashBidNoticeAbstractUI.aspx?menuIndex=3&amp;refID=7163036&amp;Result=3","7163036")</f>
        <v>0</v>
      </c>
      <c r="B3019" t="s">
        <v>1316</v>
      </c>
      <c r="C3019" t="s">
        <v>6780</v>
      </c>
      <c r="D3019" t="s">
        <v>19035</v>
      </c>
      <c r="E3019" t="s">
        <v>21832</v>
      </c>
      <c r="F3019" t="s">
        <v>32831</v>
      </c>
      <c r="G3019" t="s">
        <v>32839</v>
      </c>
      <c r="H3019" t="s">
        <v>32849</v>
      </c>
      <c r="I3019" t="s">
        <v>4177</v>
      </c>
      <c r="J3019" t="s">
        <v>34992</v>
      </c>
      <c r="K3019" t="s">
        <v>42747</v>
      </c>
      <c r="M3019" t="s">
        <v>44387</v>
      </c>
      <c r="N3019" t="s">
        <v>47424</v>
      </c>
      <c r="O3019" t="s">
        <v>47425</v>
      </c>
      <c r="P3019">
        <v>0</v>
      </c>
      <c r="Q3019">
        <v>0</v>
      </c>
      <c r="R3019" t="s">
        <v>47428</v>
      </c>
      <c r="S3019" t="s">
        <v>47541</v>
      </c>
      <c r="T3019" t="s">
        <v>49159</v>
      </c>
      <c r="U3019" t="s">
        <v>52251</v>
      </c>
      <c r="W3019" t="s">
        <v>44387</v>
      </c>
      <c r="X3019" t="s">
        <v>47430</v>
      </c>
    </row>
    <row r="3020" spans="1:24">
      <c r="A3020">
        <f>HYPERLINK("https://www.philgeps.gov.ph/GEPSNONPILOT/Tender/SplashBidNoticeAbstractUI.aspx?menuIndex=3&amp;refID=7163043&amp;Result=3","7163043")</f>
        <v>0</v>
      </c>
      <c r="B3020" t="s">
        <v>1317</v>
      </c>
      <c r="C3020" t="s">
        <v>6781</v>
      </c>
      <c r="D3020" t="s">
        <v>19074</v>
      </c>
      <c r="E3020" t="s">
        <v>21833</v>
      </c>
      <c r="F3020" t="s">
        <v>32831</v>
      </c>
      <c r="G3020" t="s">
        <v>32839</v>
      </c>
      <c r="H3020" t="s">
        <v>32849</v>
      </c>
      <c r="I3020" t="s">
        <v>4177</v>
      </c>
      <c r="J3020" t="s">
        <v>33032</v>
      </c>
      <c r="K3020" t="s">
        <v>42757</v>
      </c>
      <c r="M3020" t="s">
        <v>44388</v>
      </c>
      <c r="N3020" t="s">
        <v>47424</v>
      </c>
      <c r="O3020" t="s">
        <v>47425</v>
      </c>
      <c r="P3020">
        <v>0</v>
      </c>
      <c r="Q3020">
        <v>0</v>
      </c>
      <c r="R3020" t="s">
        <v>47428</v>
      </c>
      <c r="S3020" t="s">
        <v>47541</v>
      </c>
      <c r="T3020" t="s">
        <v>49181</v>
      </c>
      <c r="U3020" t="s">
        <v>52252</v>
      </c>
      <c r="V3020" t="s">
        <v>62957</v>
      </c>
      <c r="W3020" t="s">
        <v>44388</v>
      </c>
      <c r="X3020" t="s">
        <v>47430</v>
      </c>
    </row>
    <row r="3021" spans="1:24">
      <c r="A3021">
        <f>HYPERLINK("https://www.philgeps.gov.ph/GEPSNONPILOT/Tender/SplashBidNoticeAbstractUI.aspx?menuIndex=3&amp;refID=7163034&amp;Result=3","7163034")</f>
        <v>0</v>
      </c>
      <c r="B3021" t="s">
        <v>1296</v>
      </c>
      <c r="C3021" t="s">
        <v>6782</v>
      </c>
      <c r="D3021" t="s">
        <v>19034</v>
      </c>
      <c r="E3021" t="s">
        <v>21834</v>
      </c>
      <c r="F3021" t="s">
        <v>32831</v>
      </c>
      <c r="G3021" t="s">
        <v>32838</v>
      </c>
      <c r="H3021" t="s">
        <v>32848</v>
      </c>
      <c r="I3021" t="s">
        <v>4776</v>
      </c>
      <c r="J3021" t="s">
        <v>32980</v>
      </c>
      <c r="K3021" t="s">
        <v>42731</v>
      </c>
      <c r="M3021" t="s">
        <v>44366</v>
      </c>
      <c r="N3021" t="s">
        <v>47424</v>
      </c>
      <c r="O3021" t="s">
        <v>47425</v>
      </c>
      <c r="P3021">
        <v>0</v>
      </c>
      <c r="Q3021">
        <v>0</v>
      </c>
      <c r="R3021" t="s">
        <v>47428</v>
      </c>
      <c r="S3021" t="s">
        <v>47541</v>
      </c>
      <c r="T3021" t="s">
        <v>49177</v>
      </c>
      <c r="U3021" t="s">
        <v>52253</v>
      </c>
      <c r="W3021" t="s">
        <v>44366</v>
      </c>
      <c r="X3021" t="s">
        <v>47430</v>
      </c>
    </row>
    <row r="3022" spans="1:24">
      <c r="A3022">
        <f>HYPERLINK("https://www.philgeps.gov.ph/GEPSNONPILOT/Tender/SplashBidNoticeAbstractUI.aspx?menuIndex=3&amp;refID=7163029&amp;Result=3","7163029")</f>
        <v>0</v>
      </c>
      <c r="B3022" t="s">
        <v>750</v>
      </c>
      <c r="C3022" t="s">
        <v>6783</v>
      </c>
      <c r="D3022" t="s">
        <v>19022</v>
      </c>
      <c r="E3022" t="s">
        <v>21835</v>
      </c>
      <c r="F3022" t="s">
        <v>32831</v>
      </c>
      <c r="G3022" t="s">
        <v>32838</v>
      </c>
      <c r="H3022" t="s">
        <v>32848</v>
      </c>
      <c r="I3022" t="s">
        <v>32864</v>
      </c>
      <c r="J3022" t="s">
        <v>33178</v>
      </c>
      <c r="K3022" t="s">
        <v>42732</v>
      </c>
      <c r="M3022" t="s">
        <v>43773</v>
      </c>
      <c r="N3022" t="s">
        <v>47424</v>
      </c>
      <c r="O3022" t="s">
        <v>47425</v>
      </c>
      <c r="P3022">
        <v>0</v>
      </c>
      <c r="Q3022">
        <v>5</v>
      </c>
      <c r="R3022" t="s">
        <v>47428</v>
      </c>
      <c r="S3022" t="s">
        <v>47541</v>
      </c>
      <c r="T3022" t="s">
        <v>49145</v>
      </c>
      <c r="U3022" t="s">
        <v>52254</v>
      </c>
      <c r="W3022" t="s">
        <v>43773</v>
      </c>
      <c r="X3022" t="s">
        <v>47430</v>
      </c>
    </row>
    <row r="3023" spans="1:24">
      <c r="A3023">
        <f>HYPERLINK("https://www.philgeps.gov.ph/GEPSNONPILOT/Tender/SplashBidNoticeAbstractUI.aspx?menuIndex=3&amp;refID=7162942&amp;Result=3","7162942")</f>
        <v>0</v>
      </c>
      <c r="B3023" t="s">
        <v>1318</v>
      </c>
      <c r="C3023" t="s">
        <v>6784</v>
      </c>
      <c r="E3023" t="s">
        <v>21836</v>
      </c>
      <c r="F3023" t="s">
        <v>32831</v>
      </c>
      <c r="G3023" t="s">
        <v>32839</v>
      </c>
      <c r="H3023" t="s">
        <v>32848</v>
      </c>
      <c r="I3023" t="s">
        <v>32883</v>
      </c>
      <c r="J3023" t="s">
        <v>32985</v>
      </c>
      <c r="K3023" t="s">
        <v>42732</v>
      </c>
      <c r="M3023" t="s">
        <v>44389</v>
      </c>
      <c r="N3023" t="s">
        <v>47424</v>
      </c>
      <c r="O3023" t="s">
        <v>47425</v>
      </c>
      <c r="P3023">
        <v>0</v>
      </c>
      <c r="Q3023">
        <v>1</v>
      </c>
      <c r="R3023" t="s">
        <v>47428</v>
      </c>
      <c r="S3023" t="s">
        <v>47541</v>
      </c>
      <c r="T3023" t="s">
        <v>49066</v>
      </c>
      <c r="U3023" t="s">
        <v>52255</v>
      </c>
      <c r="W3023" t="s">
        <v>44389</v>
      </c>
      <c r="X3023" t="s">
        <v>47430</v>
      </c>
    </row>
    <row r="3024" spans="1:24">
      <c r="A3024">
        <f>HYPERLINK("https://www.philgeps.gov.ph/GEPSNONPILOT/Tender/SplashBidNoticeAbstractUI.aspx?menuIndex=3&amp;refID=7163027&amp;Result=3","7163027")</f>
        <v>0</v>
      </c>
      <c r="B3024" t="s">
        <v>616</v>
      </c>
      <c r="C3024" t="s">
        <v>6785</v>
      </c>
      <c r="D3024" t="s">
        <v>19059</v>
      </c>
      <c r="E3024" t="s">
        <v>21837</v>
      </c>
      <c r="F3024" t="s">
        <v>32831</v>
      </c>
      <c r="G3024" t="s">
        <v>32838</v>
      </c>
      <c r="H3024" t="s">
        <v>32848</v>
      </c>
      <c r="I3024" t="s">
        <v>11484</v>
      </c>
      <c r="J3024" t="s">
        <v>33078</v>
      </c>
      <c r="K3024" t="s">
        <v>42730</v>
      </c>
      <c r="L3024" t="s">
        <v>616</v>
      </c>
      <c r="M3024" t="s">
        <v>43630</v>
      </c>
      <c r="N3024" t="s">
        <v>47424</v>
      </c>
      <c r="O3024" t="s">
        <v>47425</v>
      </c>
      <c r="P3024">
        <v>0</v>
      </c>
      <c r="Q3024">
        <v>4</v>
      </c>
      <c r="R3024" t="s">
        <v>47428</v>
      </c>
      <c r="S3024" t="s">
        <v>47541</v>
      </c>
      <c r="T3024" t="s">
        <v>49129</v>
      </c>
      <c r="U3024" t="s">
        <v>50830</v>
      </c>
      <c r="W3024" t="s">
        <v>43630</v>
      </c>
      <c r="X3024" t="s">
        <v>47430</v>
      </c>
    </row>
    <row r="3025" spans="1:24">
      <c r="A3025">
        <f>HYPERLINK("https://www.philgeps.gov.ph/GEPSNONPILOT/Tender/SplashBidNoticeAbstractUI.aspx?menuIndex=3&amp;refID=7163040&amp;Result=3","7163040")</f>
        <v>0</v>
      </c>
      <c r="B3025" t="s">
        <v>525</v>
      </c>
      <c r="C3025" t="s">
        <v>6786</v>
      </c>
      <c r="D3025" t="s">
        <v>19029</v>
      </c>
      <c r="E3025" t="s">
        <v>21838</v>
      </c>
      <c r="F3025" t="s">
        <v>32831</v>
      </c>
      <c r="G3025" t="s">
        <v>32838</v>
      </c>
      <c r="H3025" t="s">
        <v>32848</v>
      </c>
      <c r="I3025" t="s">
        <v>32857</v>
      </c>
      <c r="J3025" t="s">
        <v>34993</v>
      </c>
      <c r="K3025" t="s">
        <v>42727</v>
      </c>
      <c r="M3025" t="s">
        <v>43531</v>
      </c>
      <c r="N3025" t="s">
        <v>47424</v>
      </c>
      <c r="O3025" t="s">
        <v>47425</v>
      </c>
      <c r="P3025">
        <v>0</v>
      </c>
      <c r="Q3025">
        <v>3</v>
      </c>
      <c r="R3025" t="s">
        <v>47428</v>
      </c>
      <c r="S3025" t="s">
        <v>47541</v>
      </c>
      <c r="T3025" t="s">
        <v>49255</v>
      </c>
      <c r="U3025" t="s">
        <v>52256</v>
      </c>
      <c r="W3025" t="s">
        <v>43531</v>
      </c>
      <c r="X3025" t="s">
        <v>47430</v>
      </c>
    </row>
    <row r="3026" spans="1:24">
      <c r="A3026">
        <f>HYPERLINK("https://www.philgeps.gov.ph/GEPSNONPILOT/Tender/SplashBidNoticeAbstractUI.aspx?menuIndex=3&amp;refID=7163025&amp;Result=3","7163025")</f>
        <v>0</v>
      </c>
      <c r="B3026" t="s">
        <v>215</v>
      </c>
      <c r="C3026" t="s">
        <v>6787</v>
      </c>
      <c r="D3026" t="s">
        <v>19080</v>
      </c>
      <c r="E3026" t="s">
        <v>21839</v>
      </c>
      <c r="F3026" t="s">
        <v>32831</v>
      </c>
      <c r="G3026" t="s">
        <v>32840</v>
      </c>
      <c r="H3026" t="s">
        <v>32848</v>
      </c>
      <c r="I3026" t="s">
        <v>4776</v>
      </c>
      <c r="J3026" t="s">
        <v>33184</v>
      </c>
      <c r="K3026" t="s">
        <v>42759</v>
      </c>
      <c r="L3026" t="s">
        <v>215</v>
      </c>
      <c r="M3026" t="s">
        <v>43213</v>
      </c>
      <c r="N3026" t="s">
        <v>47424</v>
      </c>
      <c r="O3026" t="s">
        <v>47425</v>
      </c>
      <c r="P3026">
        <v>0</v>
      </c>
      <c r="Q3026">
        <v>3</v>
      </c>
      <c r="R3026" t="s">
        <v>47428</v>
      </c>
      <c r="S3026" t="s">
        <v>47541</v>
      </c>
      <c r="T3026" t="s">
        <v>49237</v>
      </c>
      <c r="U3026" t="s">
        <v>52257</v>
      </c>
      <c r="W3026" t="s">
        <v>43213</v>
      </c>
      <c r="X3026" t="s">
        <v>47430</v>
      </c>
    </row>
    <row r="3027" spans="1:24">
      <c r="A3027">
        <f>HYPERLINK("https://www.philgeps.gov.ph/GEPSNONPILOT/Tender/SplashBidNoticeAbstractUI.aspx?menuIndex=3&amp;refID=7163022&amp;Result=3","7163022")</f>
        <v>0</v>
      </c>
      <c r="B3027" t="s">
        <v>525</v>
      </c>
      <c r="C3027" t="s">
        <v>6788</v>
      </c>
      <c r="D3027" t="s">
        <v>19029</v>
      </c>
      <c r="E3027" t="s">
        <v>21840</v>
      </c>
      <c r="F3027" t="s">
        <v>32831</v>
      </c>
      <c r="G3027" t="s">
        <v>32838</v>
      </c>
      <c r="H3027" t="s">
        <v>32848</v>
      </c>
      <c r="I3027" t="s">
        <v>32857</v>
      </c>
      <c r="J3027" t="s">
        <v>34994</v>
      </c>
      <c r="K3027" t="s">
        <v>42727</v>
      </c>
      <c r="M3027" t="s">
        <v>43531</v>
      </c>
      <c r="N3027" t="s">
        <v>47424</v>
      </c>
      <c r="O3027" t="s">
        <v>47425</v>
      </c>
      <c r="P3027">
        <v>0</v>
      </c>
      <c r="Q3027">
        <v>0</v>
      </c>
      <c r="R3027" t="s">
        <v>47428</v>
      </c>
      <c r="S3027" t="s">
        <v>47541</v>
      </c>
      <c r="T3027" t="s">
        <v>49255</v>
      </c>
      <c r="U3027" t="s">
        <v>52258</v>
      </c>
      <c r="W3027" t="s">
        <v>43531</v>
      </c>
      <c r="X3027" t="s">
        <v>47430</v>
      </c>
    </row>
    <row r="3028" spans="1:24">
      <c r="A3028">
        <f>HYPERLINK("https://www.philgeps.gov.ph/GEPSNONPILOT/Tender/SplashBidNoticeAbstractUI.aspx?menuIndex=3&amp;refID=7163032&amp;Result=3","7163032")</f>
        <v>0</v>
      </c>
      <c r="B3028" t="s">
        <v>1256</v>
      </c>
      <c r="C3028" t="s">
        <v>6789</v>
      </c>
      <c r="D3028" t="s">
        <v>19033</v>
      </c>
      <c r="E3028" t="s">
        <v>21841</v>
      </c>
      <c r="F3028" t="s">
        <v>32831</v>
      </c>
      <c r="G3028" t="s">
        <v>32838</v>
      </c>
      <c r="H3028" t="s">
        <v>32848</v>
      </c>
      <c r="I3028" t="s">
        <v>32874</v>
      </c>
      <c r="J3028" t="s">
        <v>34995</v>
      </c>
      <c r="K3028" t="s">
        <v>42730</v>
      </c>
      <c r="M3028" t="s">
        <v>44326</v>
      </c>
      <c r="N3028" t="s">
        <v>47424</v>
      </c>
      <c r="O3028" t="s">
        <v>47425</v>
      </c>
      <c r="P3028">
        <v>0</v>
      </c>
      <c r="Q3028">
        <v>12</v>
      </c>
      <c r="R3028" t="s">
        <v>47428</v>
      </c>
      <c r="S3028" t="s">
        <v>47541</v>
      </c>
      <c r="T3028" t="s">
        <v>49129</v>
      </c>
      <c r="U3028" t="s">
        <v>52155</v>
      </c>
      <c r="W3028" t="s">
        <v>44326</v>
      </c>
      <c r="X3028" t="s">
        <v>47430</v>
      </c>
    </row>
    <row r="3029" spans="1:24">
      <c r="A3029">
        <f>HYPERLINK("https://www.philgeps.gov.ph/GEPSNONPILOT/Tender/SplashBidNoticeAbstractUI.aspx?menuIndex=3&amp;refID=7163073&amp;Result=3","7163073")</f>
        <v>0</v>
      </c>
      <c r="B3029" t="s">
        <v>1319</v>
      </c>
      <c r="C3029" t="s">
        <v>6790</v>
      </c>
      <c r="D3029" t="s">
        <v>19083</v>
      </c>
      <c r="E3029" t="s">
        <v>21842</v>
      </c>
      <c r="F3029" t="s">
        <v>32831</v>
      </c>
      <c r="G3029" t="s">
        <v>32841</v>
      </c>
      <c r="H3029" t="s">
        <v>32848</v>
      </c>
      <c r="I3029" t="s">
        <v>32857</v>
      </c>
      <c r="J3029" t="s">
        <v>34996</v>
      </c>
      <c r="K3029" t="s">
        <v>42730</v>
      </c>
      <c r="M3029" t="s">
        <v>44390</v>
      </c>
      <c r="N3029" t="s">
        <v>47424</v>
      </c>
      <c r="O3029" t="s">
        <v>47425</v>
      </c>
      <c r="P3029">
        <v>0</v>
      </c>
      <c r="Q3029">
        <v>4</v>
      </c>
      <c r="R3029" t="s">
        <v>47428</v>
      </c>
      <c r="S3029" t="s">
        <v>47541</v>
      </c>
      <c r="T3029" t="s">
        <v>49151</v>
      </c>
      <c r="U3029" t="s">
        <v>52259</v>
      </c>
      <c r="W3029" t="s">
        <v>44390</v>
      </c>
      <c r="X3029" t="s">
        <v>47430</v>
      </c>
    </row>
    <row r="3030" spans="1:24">
      <c r="A3030">
        <f>HYPERLINK("https://www.philgeps.gov.ph/GEPSNONPILOT/Tender/SplashBidNoticeAbstractUI.aspx?menuIndex=3&amp;refID=7163026&amp;Result=3","7163026")</f>
        <v>0</v>
      </c>
      <c r="B3030" t="s">
        <v>1320</v>
      </c>
      <c r="C3030" t="s">
        <v>6791</v>
      </c>
      <c r="D3030" t="s">
        <v>19085</v>
      </c>
      <c r="E3030" t="s">
        <v>21843</v>
      </c>
      <c r="F3030" t="s">
        <v>32831</v>
      </c>
      <c r="G3030" t="s">
        <v>32838</v>
      </c>
      <c r="H3030" t="s">
        <v>32848</v>
      </c>
      <c r="I3030" t="s">
        <v>32860</v>
      </c>
      <c r="J3030" t="s">
        <v>34997</v>
      </c>
      <c r="K3030" t="s">
        <v>42731</v>
      </c>
      <c r="M3030" t="s">
        <v>44391</v>
      </c>
      <c r="N3030" t="s">
        <v>47424</v>
      </c>
      <c r="O3030" t="s">
        <v>47425</v>
      </c>
      <c r="P3030">
        <v>0</v>
      </c>
      <c r="Q3030">
        <v>1</v>
      </c>
      <c r="R3030" t="s">
        <v>47428</v>
      </c>
      <c r="S3030" t="s">
        <v>47541</v>
      </c>
      <c r="T3030" t="s">
        <v>49073</v>
      </c>
      <c r="U3030" t="s">
        <v>52260</v>
      </c>
      <c r="W3030" t="s">
        <v>44391</v>
      </c>
      <c r="X3030" t="s">
        <v>47430</v>
      </c>
    </row>
    <row r="3031" spans="1:24">
      <c r="A3031">
        <f>HYPERLINK("https://www.philgeps.gov.ph/GEPSNONPILOT/Tender/SplashBidNoticeAbstractUI.aspx?menuIndex=3&amp;refID=7163039&amp;Result=3","7163039")</f>
        <v>0</v>
      </c>
      <c r="B3031" t="s">
        <v>1321</v>
      </c>
      <c r="C3031" t="s">
        <v>6792</v>
      </c>
      <c r="D3031" t="s">
        <v>19044</v>
      </c>
      <c r="E3031" t="s">
        <v>21844</v>
      </c>
      <c r="F3031" t="s">
        <v>32831</v>
      </c>
      <c r="G3031" t="s">
        <v>32838</v>
      </c>
      <c r="H3031" t="s">
        <v>32848</v>
      </c>
      <c r="I3031" t="s">
        <v>32856</v>
      </c>
      <c r="J3031" t="s">
        <v>34998</v>
      </c>
      <c r="K3031" t="s">
        <v>42730</v>
      </c>
      <c r="M3031" t="s">
        <v>44392</v>
      </c>
      <c r="N3031" t="s">
        <v>47424</v>
      </c>
      <c r="O3031" t="s">
        <v>47425</v>
      </c>
      <c r="P3031">
        <v>0</v>
      </c>
      <c r="Q3031">
        <v>0</v>
      </c>
      <c r="R3031" t="s">
        <v>47428</v>
      </c>
      <c r="S3031" t="s">
        <v>47541</v>
      </c>
      <c r="T3031" t="s">
        <v>49214</v>
      </c>
      <c r="U3031" t="s">
        <v>52261</v>
      </c>
      <c r="W3031" t="s">
        <v>44392</v>
      </c>
      <c r="X3031" t="s">
        <v>47430</v>
      </c>
    </row>
    <row r="3032" spans="1:24">
      <c r="A3032">
        <f>HYPERLINK("https://www.philgeps.gov.ph/GEPSNONPILOT/Tender/SplashBidNoticeAbstractUI.aspx?menuIndex=3&amp;refID=7163081&amp;Result=3","7163081")</f>
        <v>0</v>
      </c>
      <c r="B3032" t="s">
        <v>231</v>
      </c>
      <c r="C3032" t="s">
        <v>6793</v>
      </c>
      <c r="D3032" t="s">
        <v>19039</v>
      </c>
      <c r="E3032" t="s">
        <v>21845</v>
      </c>
      <c r="F3032" t="s">
        <v>32831</v>
      </c>
      <c r="G3032" t="s">
        <v>32842</v>
      </c>
      <c r="H3032" t="s">
        <v>32848</v>
      </c>
      <c r="I3032" t="s">
        <v>4776</v>
      </c>
      <c r="J3032" t="s">
        <v>34999</v>
      </c>
      <c r="K3032" t="s">
        <v>42730</v>
      </c>
      <c r="M3032" t="s">
        <v>43230</v>
      </c>
      <c r="N3032" t="s">
        <v>47424</v>
      </c>
      <c r="O3032" t="s">
        <v>47425</v>
      </c>
      <c r="P3032">
        <v>0</v>
      </c>
      <c r="Q3032">
        <v>0</v>
      </c>
      <c r="R3032" t="s">
        <v>47428</v>
      </c>
      <c r="S3032" t="s">
        <v>47541</v>
      </c>
      <c r="T3032" t="s">
        <v>49239</v>
      </c>
      <c r="U3032" t="s">
        <v>52262</v>
      </c>
      <c r="W3032" t="s">
        <v>43230</v>
      </c>
      <c r="X3032" t="s">
        <v>47430</v>
      </c>
    </row>
    <row r="3033" spans="1:24">
      <c r="A3033">
        <f>HYPERLINK("https://www.philgeps.gov.ph/GEPSNONPILOT/Tender/SplashBidNoticeAbstractUI.aspx?menuIndex=3&amp;refID=7163078&amp;Result=3","7163078")</f>
        <v>0</v>
      </c>
      <c r="B3033" t="s">
        <v>1156</v>
      </c>
      <c r="C3033" t="s">
        <v>6794</v>
      </c>
      <c r="D3033" t="s">
        <v>19017</v>
      </c>
      <c r="E3033" t="s">
        <v>21846</v>
      </c>
      <c r="F3033" t="s">
        <v>32831</v>
      </c>
      <c r="G3033" t="s">
        <v>32838</v>
      </c>
      <c r="H3033" t="s">
        <v>32848</v>
      </c>
      <c r="I3033" t="s">
        <v>4438</v>
      </c>
      <c r="J3033" t="s">
        <v>35000</v>
      </c>
      <c r="K3033" t="s">
        <v>42731</v>
      </c>
      <c r="M3033" t="s">
        <v>44221</v>
      </c>
      <c r="N3033" t="s">
        <v>47424</v>
      </c>
      <c r="O3033" t="s">
        <v>47425</v>
      </c>
      <c r="P3033">
        <v>0</v>
      </c>
      <c r="Q3033">
        <v>2</v>
      </c>
      <c r="R3033" t="s">
        <v>47428</v>
      </c>
      <c r="S3033" t="s">
        <v>47541</v>
      </c>
      <c r="T3033" t="s">
        <v>49255</v>
      </c>
      <c r="U3033" t="s">
        <v>52263</v>
      </c>
      <c r="V3033" t="s">
        <v>62908</v>
      </c>
      <c r="W3033" t="s">
        <v>44221</v>
      </c>
      <c r="X3033" t="s">
        <v>47430</v>
      </c>
    </row>
    <row r="3034" spans="1:24">
      <c r="A3034">
        <f>HYPERLINK("https://www.philgeps.gov.ph/GEPSNONPILOT/Tender/SplashBidNoticeAbstractUI.aspx?menuIndex=3&amp;refID=7162944&amp;Result=3","7162944")</f>
        <v>0</v>
      </c>
      <c r="B3034" t="s">
        <v>1270</v>
      </c>
      <c r="C3034" t="s">
        <v>6776</v>
      </c>
      <c r="D3034" t="s">
        <v>19104</v>
      </c>
      <c r="E3034" t="s">
        <v>21847</v>
      </c>
      <c r="F3034" t="s">
        <v>32831</v>
      </c>
      <c r="G3034" t="s">
        <v>32838</v>
      </c>
      <c r="H3034" t="s">
        <v>32848</v>
      </c>
      <c r="I3034" t="s">
        <v>4776</v>
      </c>
      <c r="J3034" t="s">
        <v>33041</v>
      </c>
      <c r="K3034" t="s">
        <v>42745</v>
      </c>
      <c r="M3034" t="s">
        <v>44340</v>
      </c>
      <c r="N3034" t="s">
        <v>47424</v>
      </c>
      <c r="O3034" t="s">
        <v>47425</v>
      </c>
      <c r="P3034">
        <v>0</v>
      </c>
      <c r="Q3034">
        <v>0</v>
      </c>
      <c r="R3034" t="s">
        <v>47428</v>
      </c>
      <c r="S3034" t="s">
        <v>47541</v>
      </c>
      <c r="T3034" t="s">
        <v>49243</v>
      </c>
      <c r="U3034" t="s">
        <v>52173</v>
      </c>
      <c r="W3034" t="s">
        <v>44340</v>
      </c>
      <c r="X3034" t="s">
        <v>47430</v>
      </c>
    </row>
    <row r="3035" spans="1:24">
      <c r="A3035">
        <f>HYPERLINK("https://www.philgeps.gov.ph/GEPSNONPILOT/Tender/SplashBidNoticeAbstractUI.aspx?menuIndex=3&amp;refID=7163075&amp;Result=3","7163075")</f>
        <v>0</v>
      </c>
      <c r="B3035" t="s">
        <v>818</v>
      </c>
      <c r="C3035" t="s">
        <v>6795</v>
      </c>
      <c r="D3035" t="s">
        <v>19017</v>
      </c>
      <c r="E3035" t="s">
        <v>21848</v>
      </c>
      <c r="F3035" t="s">
        <v>32831</v>
      </c>
      <c r="G3035" t="s">
        <v>32838</v>
      </c>
      <c r="H3035" t="s">
        <v>32848</v>
      </c>
      <c r="I3035" t="s">
        <v>4776</v>
      </c>
      <c r="J3035" t="s">
        <v>35001</v>
      </c>
      <c r="K3035" t="s">
        <v>42732</v>
      </c>
      <c r="M3035" t="s">
        <v>43849</v>
      </c>
      <c r="N3035" t="s">
        <v>47424</v>
      </c>
      <c r="O3035" t="s">
        <v>47425</v>
      </c>
      <c r="P3035">
        <v>0</v>
      </c>
      <c r="Q3035">
        <v>7</v>
      </c>
      <c r="R3035" t="s">
        <v>47428</v>
      </c>
      <c r="S3035" t="s">
        <v>47541</v>
      </c>
      <c r="T3035" t="s">
        <v>49116</v>
      </c>
      <c r="U3035" t="s">
        <v>52264</v>
      </c>
      <c r="V3035" t="s">
        <v>62819</v>
      </c>
      <c r="W3035" t="s">
        <v>43849</v>
      </c>
      <c r="X3035" t="s">
        <v>47430</v>
      </c>
    </row>
    <row r="3036" spans="1:24">
      <c r="A3036">
        <f>HYPERLINK("https://www.philgeps.gov.ph/GEPSNONPILOT/Tender/SplashBidNoticeAbstractUI.aspx?menuIndex=3&amp;refID=7163071&amp;Result=3","7163071")</f>
        <v>0</v>
      </c>
      <c r="B3036" t="s">
        <v>1322</v>
      </c>
      <c r="C3036" t="s">
        <v>6796</v>
      </c>
      <c r="D3036" t="s">
        <v>19068</v>
      </c>
      <c r="E3036" t="s">
        <v>21849</v>
      </c>
      <c r="F3036" t="s">
        <v>32831</v>
      </c>
      <c r="G3036" t="s">
        <v>32839</v>
      </c>
      <c r="H3036" t="s">
        <v>32848</v>
      </c>
      <c r="I3036" t="s">
        <v>7416</v>
      </c>
      <c r="J3036" t="s">
        <v>33279</v>
      </c>
      <c r="K3036" t="s">
        <v>42745</v>
      </c>
      <c r="M3036" t="s">
        <v>44393</v>
      </c>
      <c r="N3036" t="s">
        <v>47424</v>
      </c>
      <c r="O3036" t="s">
        <v>47425</v>
      </c>
      <c r="P3036">
        <v>0</v>
      </c>
      <c r="Q3036">
        <v>0</v>
      </c>
      <c r="R3036" t="s">
        <v>47428</v>
      </c>
      <c r="S3036" t="s">
        <v>47541</v>
      </c>
      <c r="T3036" t="s">
        <v>49152</v>
      </c>
      <c r="U3036" t="s">
        <v>52265</v>
      </c>
      <c r="V3036" t="s">
        <v>62958</v>
      </c>
      <c r="W3036" t="s">
        <v>44393</v>
      </c>
      <c r="X3036" t="s">
        <v>47430</v>
      </c>
    </row>
    <row r="3037" spans="1:24">
      <c r="A3037">
        <f>HYPERLINK("https://www.philgeps.gov.ph/GEPSNONPILOT/Tender/SplashBidNoticeAbstractUI.aspx?menuIndex=3&amp;refID=7163083&amp;Result=3","7163083")</f>
        <v>0</v>
      </c>
      <c r="B3037" t="s">
        <v>1256</v>
      </c>
      <c r="C3037" t="s">
        <v>6797</v>
      </c>
      <c r="D3037" t="s">
        <v>19033</v>
      </c>
      <c r="E3037" t="s">
        <v>21850</v>
      </c>
      <c r="F3037" t="s">
        <v>32831</v>
      </c>
      <c r="G3037" t="s">
        <v>32838</v>
      </c>
      <c r="H3037" t="s">
        <v>32848</v>
      </c>
      <c r="I3037" t="s">
        <v>4487</v>
      </c>
      <c r="J3037" t="s">
        <v>35002</v>
      </c>
      <c r="K3037" t="s">
        <v>42730</v>
      </c>
      <c r="M3037" t="s">
        <v>44326</v>
      </c>
      <c r="N3037" t="s">
        <v>47424</v>
      </c>
      <c r="O3037" t="s">
        <v>47425</v>
      </c>
      <c r="P3037">
        <v>0</v>
      </c>
      <c r="Q3037">
        <v>9</v>
      </c>
      <c r="R3037" t="s">
        <v>47428</v>
      </c>
      <c r="S3037" t="s">
        <v>47541</v>
      </c>
      <c r="T3037" t="s">
        <v>49129</v>
      </c>
      <c r="U3037" t="s">
        <v>52155</v>
      </c>
      <c r="W3037" t="s">
        <v>44326</v>
      </c>
      <c r="X3037" t="s">
        <v>47430</v>
      </c>
    </row>
    <row r="3038" spans="1:24">
      <c r="A3038">
        <f>HYPERLINK("https://www.philgeps.gov.ph/GEPSNONPILOT/Tender/SplashBidNoticeAbstractUI.aspx?menuIndex=3&amp;refID=7163068&amp;Result=3","7163068")</f>
        <v>0</v>
      </c>
      <c r="B3038" t="s">
        <v>1323</v>
      </c>
      <c r="C3038" t="s">
        <v>6798</v>
      </c>
      <c r="D3038" t="s">
        <v>19085</v>
      </c>
      <c r="E3038" t="s">
        <v>21851</v>
      </c>
      <c r="F3038" t="s">
        <v>32831</v>
      </c>
      <c r="G3038" t="s">
        <v>32838</v>
      </c>
      <c r="H3038" t="s">
        <v>32848</v>
      </c>
      <c r="I3038" t="s">
        <v>5379</v>
      </c>
      <c r="J3038" t="s">
        <v>33402</v>
      </c>
      <c r="K3038" t="s">
        <v>42731</v>
      </c>
      <c r="M3038" t="s">
        <v>44394</v>
      </c>
      <c r="N3038" t="s">
        <v>47424</v>
      </c>
      <c r="O3038" t="s">
        <v>47425</v>
      </c>
      <c r="P3038">
        <v>0</v>
      </c>
      <c r="Q3038">
        <v>0</v>
      </c>
      <c r="R3038" t="s">
        <v>47428</v>
      </c>
      <c r="S3038" t="s">
        <v>47541</v>
      </c>
      <c r="T3038" t="s">
        <v>49235</v>
      </c>
      <c r="U3038" t="s">
        <v>52266</v>
      </c>
      <c r="W3038" t="s">
        <v>44394</v>
      </c>
      <c r="X3038" t="s">
        <v>47430</v>
      </c>
    </row>
    <row r="3039" spans="1:24">
      <c r="A3039">
        <f>HYPERLINK("https://www.philgeps.gov.ph/GEPSNONPILOT/Tender/SplashBidNoticeAbstractUI.aspx?menuIndex=3&amp;refID=7163067&amp;Result=3","7163067")</f>
        <v>0</v>
      </c>
      <c r="B3039" t="s">
        <v>721</v>
      </c>
      <c r="C3039" t="s">
        <v>6799</v>
      </c>
      <c r="D3039" t="s">
        <v>19018</v>
      </c>
      <c r="E3039" t="s">
        <v>21852</v>
      </c>
      <c r="F3039" t="s">
        <v>32831</v>
      </c>
      <c r="G3039" t="s">
        <v>32838</v>
      </c>
      <c r="H3039" t="s">
        <v>32848</v>
      </c>
      <c r="I3039" t="s">
        <v>32862</v>
      </c>
      <c r="J3039" t="s">
        <v>35003</v>
      </c>
      <c r="K3039" t="s">
        <v>42732</v>
      </c>
      <c r="M3039" t="s">
        <v>43742</v>
      </c>
      <c r="N3039" t="s">
        <v>47424</v>
      </c>
      <c r="O3039" t="s">
        <v>47425</v>
      </c>
      <c r="P3039">
        <v>0</v>
      </c>
      <c r="Q3039">
        <v>0</v>
      </c>
      <c r="R3039" t="s">
        <v>47428</v>
      </c>
      <c r="S3039" t="s">
        <v>47541</v>
      </c>
      <c r="T3039" t="s">
        <v>49087</v>
      </c>
      <c r="U3039" t="s">
        <v>51005</v>
      </c>
      <c r="W3039" t="s">
        <v>43742</v>
      </c>
      <c r="X3039" t="s">
        <v>47430</v>
      </c>
    </row>
    <row r="3040" spans="1:24">
      <c r="A3040">
        <f>HYPERLINK("https://www.philgeps.gov.ph/GEPSNONPILOT/Tender/SplashBidNoticeAbstractUI.aspx?menuIndex=3&amp;refID=7163065&amp;Result=3","7163065")</f>
        <v>0</v>
      </c>
      <c r="B3040" t="s">
        <v>818</v>
      </c>
      <c r="C3040" t="s">
        <v>6800</v>
      </c>
      <c r="D3040" t="s">
        <v>19017</v>
      </c>
      <c r="E3040" t="s">
        <v>21853</v>
      </c>
      <c r="F3040" t="s">
        <v>32831</v>
      </c>
      <c r="G3040" t="s">
        <v>32838</v>
      </c>
      <c r="H3040" t="s">
        <v>32848</v>
      </c>
      <c r="I3040" t="s">
        <v>32884</v>
      </c>
      <c r="J3040" t="s">
        <v>35004</v>
      </c>
      <c r="K3040" t="s">
        <v>42732</v>
      </c>
      <c r="M3040" t="s">
        <v>43849</v>
      </c>
      <c r="N3040" t="s">
        <v>47424</v>
      </c>
      <c r="O3040" t="s">
        <v>47425</v>
      </c>
      <c r="P3040">
        <v>0</v>
      </c>
      <c r="Q3040">
        <v>8</v>
      </c>
      <c r="R3040" t="s">
        <v>47428</v>
      </c>
      <c r="S3040" t="s">
        <v>47541</v>
      </c>
      <c r="T3040" t="s">
        <v>49116</v>
      </c>
      <c r="U3040" t="s">
        <v>52267</v>
      </c>
      <c r="V3040" t="s">
        <v>62819</v>
      </c>
      <c r="W3040" t="s">
        <v>43849</v>
      </c>
      <c r="X3040" t="s">
        <v>47430</v>
      </c>
    </row>
    <row r="3041" spans="1:24">
      <c r="A3041">
        <f>HYPERLINK("https://www.philgeps.gov.ph/GEPSNONPILOT/Tender/SplashBidNoticeAbstractUI.aspx?menuIndex=3&amp;refID=7163061&amp;Result=3","7163061")</f>
        <v>0</v>
      </c>
      <c r="B3041" t="s">
        <v>1324</v>
      </c>
      <c r="C3041" t="s">
        <v>6801</v>
      </c>
      <c r="D3041" t="s">
        <v>19080</v>
      </c>
      <c r="E3041" t="s">
        <v>21854</v>
      </c>
      <c r="F3041" t="s">
        <v>32831</v>
      </c>
      <c r="G3041" t="s">
        <v>32838</v>
      </c>
      <c r="H3041" t="s">
        <v>32848</v>
      </c>
      <c r="I3041" t="s">
        <v>4438</v>
      </c>
      <c r="J3041" t="s">
        <v>33090</v>
      </c>
      <c r="K3041" t="s">
        <v>42726</v>
      </c>
      <c r="M3041" t="s">
        <v>44395</v>
      </c>
      <c r="N3041" t="s">
        <v>47424</v>
      </c>
      <c r="O3041" t="s">
        <v>47425</v>
      </c>
      <c r="P3041">
        <v>0</v>
      </c>
      <c r="Q3041">
        <v>0</v>
      </c>
      <c r="R3041" t="s">
        <v>47428</v>
      </c>
      <c r="S3041" t="s">
        <v>47541</v>
      </c>
      <c r="T3041" t="s">
        <v>49205</v>
      </c>
      <c r="U3041" t="s">
        <v>52268</v>
      </c>
      <c r="W3041" t="s">
        <v>44395</v>
      </c>
      <c r="X3041" t="s">
        <v>47430</v>
      </c>
    </row>
    <row r="3042" spans="1:24">
      <c r="A3042">
        <f>HYPERLINK("https://www.philgeps.gov.ph/GEPSNONPILOT/Tender/SplashBidNoticeAbstractUI.aspx?menuIndex=3&amp;refID=7163058&amp;Result=3","7163058")</f>
        <v>0</v>
      </c>
      <c r="B3042" t="s">
        <v>1300</v>
      </c>
      <c r="C3042" t="s">
        <v>6802</v>
      </c>
      <c r="D3042" t="s">
        <v>19057</v>
      </c>
      <c r="E3042" t="s">
        <v>21855</v>
      </c>
      <c r="F3042" t="s">
        <v>32833</v>
      </c>
      <c r="G3042" t="s">
        <v>32840</v>
      </c>
      <c r="H3042" t="s">
        <v>32848</v>
      </c>
      <c r="I3042" t="s">
        <v>9577</v>
      </c>
      <c r="J3042" t="s">
        <v>33086</v>
      </c>
      <c r="K3042" t="s">
        <v>42759</v>
      </c>
      <c r="M3042" t="s">
        <v>44370</v>
      </c>
      <c r="N3042" t="s">
        <v>47424</v>
      </c>
      <c r="O3042" t="s">
        <v>47425</v>
      </c>
      <c r="P3042">
        <v>0</v>
      </c>
      <c r="Q3042">
        <v>0</v>
      </c>
      <c r="R3042" t="s">
        <v>47428</v>
      </c>
      <c r="S3042" t="s">
        <v>47541</v>
      </c>
      <c r="T3042" t="s">
        <v>49145</v>
      </c>
      <c r="U3042" t="s">
        <v>52269</v>
      </c>
      <c r="W3042" t="s">
        <v>44370</v>
      </c>
      <c r="X3042" t="s">
        <v>47430</v>
      </c>
    </row>
    <row r="3043" spans="1:24">
      <c r="A3043">
        <f>HYPERLINK("https://www.philgeps.gov.ph/GEPSNONPILOT/Tender/SplashBidNoticeAbstractUI.aspx?menuIndex=3&amp;refID=7163072&amp;Result=3","7163072")</f>
        <v>0</v>
      </c>
      <c r="B3043" t="s">
        <v>1300</v>
      </c>
      <c r="C3043" t="s">
        <v>6803</v>
      </c>
      <c r="D3043" t="s">
        <v>19057</v>
      </c>
      <c r="E3043" t="s">
        <v>21856</v>
      </c>
      <c r="F3043" t="s">
        <v>32833</v>
      </c>
      <c r="G3043" t="s">
        <v>32840</v>
      </c>
      <c r="H3043" t="s">
        <v>32848</v>
      </c>
      <c r="I3043" t="s">
        <v>9577</v>
      </c>
      <c r="J3043" t="s">
        <v>33086</v>
      </c>
      <c r="K3043" t="s">
        <v>42759</v>
      </c>
      <c r="M3043" t="s">
        <v>44370</v>
      </c>
      <c r="N3043" t="s">
        <v>47424</v>
      </c>
      <c r="O3043" t="s">
        <v>47425</v>
      </c>
      <c r="P3043">
        <v>0</v>
      </c>
      <c r="Q3043">
        <v>0</v>
      </c>
      <c r="R3043" t="s">
        <v>47428</v>
      </c>
      <c r="S3043" t="s">
        <v>47541</v>
      </c>
      <c r="T3043" t="s">
        <v>49145</v>
      </c>
      <c r="U3043" t="s">
        <v>52233</v>
      </c>
      <c r="W3043" t="s">
        <v>44370</v>
      </c>
      <c r="X3043" t="s">
        <v>47430</v>
      </c>
    </row>
    <row r="3044" spans="1:24">
      <c r="A3044">
        <f>HYPERLINK("https://www.philgeps.gov.ph/GEPSNONPILOT/Tender/SplashBidNoticeAbstractUI.aspx?menuIndex=3&amp;refID=7163088&amp;Result=3","7163088")</f>
        <v>0</v>
      </c>
      <c r="B3044" t="s">
        <v>1313</v>
      </c>
      <c r="C3044" t="s">
        <v>6804</v>
      </c>
      <c r="D3044" t="s">
        <v>19087</v>
      </c>
      <c r="E3044" t="s">
        <v>21857</v>
      </c>
      <c r="F3044" t="s">
        <v>32831</v>
      </c>
      <c r="G3044" t="s">
        <v>32839</v>
      </c>
      <c r="H3044" t="s">
        <v>32849</v>
      </c>
      <c r="I3044" t="s">
        <v>4177</v>
      </c>
      <c r="J3044" t="s">
        <v>35005</v>
      </c>
      <c r="K3044" t="s">
        <v>42757</v>
      </c>
      <c r="M3044" t="s">
        <v>44384</v>
      </c>
      <c r="N3044" t="s">
        <v>47424</v>
      </c>
      <c r="O3044" t="s">
        <v>47425</v>
      </c>
      <c r="P3044">
        <v>0</v>
      </c>
      <c r="Q3044">
        <v>0</v>
      </c>
      <c r="R3044" t="s">
        <v>47428</v>
      </c>
      <c r="S3044" t="s">
        <v>47541</v>
      </c>
      <c r="T3044" t="s">
        <v>49322</v>
      </c>
      <c r="U3044" t="s">
        <v>52270</v>
      </c>
      <c r="V3044" t="s">
        <v>62955</v>
      </c>
      <c r="W3044" t="s">
        <v>44384</v>
      </c>
      <c r="X3044" t="s">
        <v>47430</v>
      </c>
    </row>
    <row r="3045" spans="1:24">
      <c r="A3045">
        <f>HYPERLINK("https://www.philgeps.gov.ph/GEPSNONPILOT/Tender/SplashBidNoticeAbstractUI.aspx?menuIndex=3&amp;refID=7163066&amp;Result=3","7163066")</f>
        <v>0</v>
      </c>
      <c r="B3045" t="s">
        <v>1325</v>
      </c>
      <c r="C3045" t="s">
        <v>6805</v>
      </c>
      <c r="D3045" t="s">
        <v>19080</v>
      </c>
      <c r="E3045" t="s">
        <v>21858</v>
      </c>
      <c r="F3045" t="s">
        <v>32831</v>
      </c>
      <c r="G3045" t="s">
        <v>32838</v>
      </c>
      <c r="H3045" t="s">
        <v>32848</v>
      </c>
      <c r="I3045" t="s">
        <v>4438</v>
      </c>
      <c r="J3045" t="s">
        <v>33433</v>
      </c>
      <c r="K3045" t="s">
        <v>42731</v>
      </c>
      <c r="M3045" t="s">
        <v>44396</v>
      </c>
      <c r="N3045" t="s">
        <v>47424</v>
      </c>
      <c r="O3045" t="s">
        <v>47425</v>
      </c>
      <c r="P3045">
        <v>0</v>
      </c>
      <c r="Q3045">
        <v>0</v>
      </c>
      <c r="R3045" t="s">
        <v>47428</v>
      </c>
      <c r="S3045" t="s">
        <v>47541</v>
      </c>
      <c r="T3045" t="s">
        <v>49177</v>
      </c>
      <c r="U3045" t="s">
        <v>52271</v>
      </c>
      <c r="W3045" t="s">
        <v>44396</v>
      </c>
      <c r="X3045" t="s">
        <v>47430</v>
      </c>
    </row>
    <row r="3046" spans="1:24">
      <c r="A3046">
        <f>HYPERLINK("https://www.philgeps.gov.ph/GEPSNONPILOT/Tender/SplashBidNoticeAbstractUI.aspx?menuIndex=3&amp;refID=7163024&amp;Result=3","7163024")</f>
        <v>0</v>
      </c>
      <c r="B3046" t="s">
        <v>1314</v>
      </c>
      <c r="C3046" t="s">
        <v>5062</v>
      </c>
      <c r="D3046" t="s">
        <v>19085</v>
      </c>
      <c r="E3046" t="s">
        <v>21859</v>
      </c>
      <c r="F3046" t="s">
        <v>32831</v>
      </c>
      <c r="G3046" t="s">
        <v>32838</v>
      </c>
      <c r="H3046" t="s">
        <v>32848</v>
      </c>
      <c r="I3046" t="s">
        <v>5379</v>
      </c>
      <c r="J3046" t="s">
        <v>35006</v>
      </c>
      <c r="K3046" t="s">
        <v>42726</v>
      </c>
      <c r="M3046" t="s">
        <v>44385</v>
      </c>
      <c r="N3046" t="s">
        <v>47424</v>
      </c>
      <c r="O3046" t="s">
        <v>47425</v>
      </c>
      <c r="P3046">
        <v>0</v>
      </c>
      <c r="Q3046">
        <v>0</v>
      </c>
      <c r="R3046" t="s">
        <v>47428</v>
      </c>
      <c r="S3046" t="s">
        <v>47541</v>
      </c>
      <c r="T3046" t="s">
        <v>49145</v>
      </c>
      <c r="U3046" t="s">
        <v>52272</v>
      </c>
      <c r="W3046" t="s">
        <v>44385</v>
      </c>
      <c r="X3046" t="s">
        <v>47430</v>
      </c>
    </row>
    <row r="3047" spans="1:24">
      <c r="A3047">
        <f>HYPERLINK("https://www.philgeps.gov.ph/GEPSNONPILOT/Tender/SplashBidNoticeAbstractUI.aspx?menuIndex=3&amp;refID=7163076&amp;Result=3","7163076")</f>
        <v>0</v>
      </c>
      <c r="B3047" t="s">
        <v>1326</v>
      </c>
      <c r="C3047" t="s">
        <v>6806</v>
      </c>
      <c r="E3047" t="s">
        <v>19351</v>
      </c>
      <c r="F3047" t="s">
        <v>32831</v>
      </c>
      <c r="G3047" t="s">
        <v>32840</v>
      </c>
      <c r="H3047" t="s">
        <v>32848</v>
      </c>
      <c r="I3047" t="s">
        <v>32855</v>
      </c>
      <c r="J3047" t="s">
        <v>35007</v>
      </c>
      <c r="K3047" t="s">
        <v>42727</v>
      </c>
      <c r="M3047" t="s">
        <v>44397</v>
      </c>
      <c r="N3047" t="s">
        <v>47424</v>
      </c>
      <c r="O3047" t="s">
        <v>47425</v>
      </c>
      <c r="P3047">
        <v>0</v>
      </c>
      <c r="Q3047">
        <v>8</v>
      </c>
      <c r="R3047" t="s">
        <v>47428</v>
      </c>
      <c r="S3047" t="s">
        <v>47541</v>
      </c>
      <c r="T3047" t="s">
        <v>49119</v>
      </c>
      <c r="U3047" t="s">
        <v>52273</v>
      </c>
      <c r="W3047" t="s">
        <v>44397</v>
      </c>
      <c r="X3047" t="s">
        <v>47430</v>
      </c>
    </row>
    <row r="3048" spans="1:24">
      <c r="A3048">
        <f>HYPERLINK("https://www.philgeps.gov.ph/GEPSNONPILOT/Tender/SplashBidNoticeAbstractUI.aspx?menuIndex=3&amp;refID=7163059&amp;Result=3","7163059")</f>
        <v>0</v>
      </c>
      <c r="B3048" t="s">
        <v>1327</v>
      </c>
      <c r="C3048" t="s">
        <v>6807</v>
      </c>
      <c r="D3048" t="s">
        <v>19045</v>
      </c>
      <c r="E3048" t="s">
        <v>21860</v>
      </c>
      <c r="F3048" t="s">
        <v>32831</v>
      </c>
      <c r="G3048" t="s">
        <v>32838</v>
      </c>
      <c r="H3048" t="s">
        <v>32848</v>
      </c>
      <c r="I3048" t="s">
        <v>7819</v>
      </c>
      <c r="J3048" t="s">
        <v>33041</v>
      </c>
      <c r="K3048" t="s">
        <v>42730</v>
      </c>
      <c r="M3048" t="s">
        <v>44398</v>
      </c>
      <c r="N3048" t="s">
        <v>47424</v>
      </c>
      <c r="O3048" t="s">
        <v>47425</v>
      </c>
      <c r="P3048">
        <v>0</v>
      </c>
      <c r="Q3048">
        <v>1</v>
      </c>
      <c r="R3048" t="s">
        <v>47428</v>
      </c>
      <c r="S3048" t="s">
        <v>47541</v>
      </c>
      <c r="T3048" t="s">
        <v>49276</v>
      </c>
      <c r="U3048" t="s">
        <v>52274</v>
      </c>
      <c r="W3048" t="s">
        <v>44398</v>
      </c>
      <c r="X3048" t="s">
        <v>47430</v>
      </c>
    </row>
    <row r="3049" spans="1:24">
      <c r="A3049">
        <f>HYPERLINK("https://www.philgeps.gov.ph/GEPSNONPILOT/Tender/SplashBidNoticeAbstractUI.aspx?menuIndex=3&amp;refID=7163116&amp;Result=3","7163116")</f>
        <v>0</v>
      </c>
      <c r="B3049" t="s">
        <v>1312</v>
      </c>
      <c r="C3049" t="s">
        <v>6808</v>
      </c>
      <c r="D3049" t="s">
        <v>19054</v>
      </c>
      <c r="E3049" t="s">
        <v>21861</v>
      </c>
      <c r="F3049" t="s">
        <v>32831</v>
      </c>
      <c r="G3049" t="s">
        <v>32839</v>
      </c>
      <c r="H3049" t="s">
        <v>32849</v>
      </c>
      <c r="I3049" t="s">
        <v>4177</v>
      </c>
      <c r="J3049" t="s">
        <v>35008</v>
      </c>
      <c r="K3049" t="s">
        <v>42732</v>
      </c>
      <c r="M3049" t="s">
        <v>44383</v>
      </c>
      <c r="N3049" t="s">
        <v>47424</v>
      </c>
      <c r="O3049" t="s">
        <v>47425</v>
      </c>
      <c r="P3049">
        <v>0</v>
      </c>
      <c r="Q3049">
        <v>1</v>
      </c>
      <c r="R3049" t="s">
        <v>47428</v>
      </c>
      <c r="S3049" t="s">
        <v>47541</v>
      </c>
      <c r="T3049" t="s">
        <v>49219</v>
      </c>
      <c r="U3049" t="s">
        <v>52275</v>
      </c>
      <c r="W3049" t="s">
        <v>44383</v>
      </c>
      <c r="X3049" t="s">
        <v>47430</v>
      </c>
    </row>
    <row r="3050" spans="1:24">
      <c r="A3050">
        <f>HYPERLINK("https://www.philgeps.gov.ph/GEPSNONPILOT/Tender/SplashBidNoticeAbstractUI.aspx?menuIndex=3&amp;refID=7163117&amp;Result=3","7163117")</f>
        <v>0</v>
      </c>
      <c r="B3050" t="s">
        <v>1328</v>
      </c>
      <c r="C3050" t="s">
        <v>6809</v>
      </c>
      <c r="D3050" t="s">
        <v>19057</v>
      </c>
      <c r="E3050" t="s">
        <v>21862</v>
      </c>
      <c r="F3050" t="s">
        <v>32831</v>
      </c>
      <c r="G3050" t="s">
        <v>32839</v>
      </c>
      <c r="H3050" t="s">
        <v>32849</v>
      </c>
      <c r="I3050" t="s">
        <v>4177</v>
      </c>
      <c r="J3050" t="s">
        <v>35009</v>
      </c>
      <c r="K3050" t="s">
        <v>42729</v>
      </c>
      <c r="M3050" t="s">
        <v>44399</v>
      </c>
      <c r="N3050" t="s">
        <v>47424</v>
      </c>
      <c r="O3050" t="s">
        <v>47425</v>
      </c>
      <c r="P3050">
        <v>0</v>
      </c>
      <c r="Q3050">
        <v>0</v>
      </c>
      <c r="R3050" t="s">
        <v>47428</v>
      </c>
      <c r="S3050" t="s">
        <v>47541</v>
      </c>
      <c r="T3050" t="s">
        <v>49073</v>
      </c>
      <c r="U3050" t="s">
        <v>52276</v>
      </c>
      <c r="W3050" t="s">
        <v>64465</v>
      </c>
      <c r="X3050" t="s">
        <v>47430</v>
      </c>
    </row>
    <row r="3051" spans="1:24">
      <c r="A3051">
        <f>HYPERLINK("https://www.philgeps.gov.ph/GEPSNONPILOT/Tender/SplashBidNoticeAbstractUI.aspx?menuIndex=3&amp;refID=7163114&amp;Result=3","7163114")</f>
        <v>0</v>
      </c>
      <c r="B3051" t="s">
        <v>711</v>
      </c>
      <c r="C3051" t="s">
        <v>6484</v>
      </c>
      <c r="D3051" t="s">
        <v>19060</v>
      </c>
      <c r="E3051" t="s">
        <v>21863</v>
      </c>
      <c r="F3051" t="s">
        <v>32831</v>
      </c>
      <c r="G3051" t="s">
        <v>32838</v>
      </c>
      <c r="H3051" t="s">
        <v>32848</v>
      </c>
      <c r="I3051" t="s">
        <v>4776</v>
      </c>
      <c r="J3051" t="s">
        <v>32983</v>
      </c>
      <c r="K3051" t="s">
        <v>42730</v>
      </c>
      <c r="M3051" t="s">
        <v>43731</v>
      </c>
      <c r="N3051" t="s">
        <v>47424</v>
      </c>
      <c r="O3051" t="s">
        <v>47425</v>
      </c>
      <c r="P3051">
        <v>0</v>
      </c>
      <c r="Q3051">
        <v>1</v>
      </c>
      <c r="R3051" t="s">
        <v>47428</v>
      </c>
      <c r="S3051" t="s">
        <v>47541</v>
      </c>
      <c r="T3051" t="s">
        <v>49111</v>
      </c>
      <c r="U3051" t="s">
        <v>52277</v>
      </c>
      <c r="W3051" t="s">
        <v>43731</v>
      </c>
      <c r="X3051" t="s">
        <v>47430</v>
      </c>
    </row>
    <row r="3052" spans="1:24">
      <c r="A3052">
        <f>HYPERLINK("https://www.philgeps.gov.ph/GEPSNONPILOT/Tender/SplashBidNoticeAbstractUI.aspx?menuIndex=3&amp;refID=7163105&amp;Result=3","7163105")</f>
        <v>0</v>
      </c>
      <c r="B3052" t="s">
        <v>1317</v>
      </c>
      <c r="C3052" t="s">
        <v>6810</v>
      </c>
      <c r="D3052" t="s">
        <v>19074</v>
      </c>
      <c r="E3052" t="s">
        <v>21864</v>
      </c>
      <c r="F3052" t="s">
        <v>32831</v>
      </c>
      <c r="G3052" t="s">
        <v>32839</v>
      </c>
      <c r="H3052" t="s">
        <v>32849</v>
      </c>
      <c r="I3052" t="s">
        <v>4177</v>
      </c>
      <c r="J3052" t="s">
        <v>33016</v>
      </c>
      <c r="K3052" t="s">
        <v>42770</v>
      </c>
      <c r="M3052" t="s">
        <v>44388</v>
      </c>
      <c r="N3052" t="s">
        <v>47424</v>
      </c>
      <c r="O3052" t="s">
        <v>47425</v>
      </c>
      <c r="P3052">
        <v>0</v>
      </c>
      <c r="Q3052">
        <v>0</v>
      </c>
      <c r="R3052" t="s">
        <v>47428</v>
      </c>
      <c r="S3052" t="s">
        <v>47541</v>
      </c>
      <c r="T3052" t="s">
        <v>49333</v>
      </c>
      <c r="U3052" t="s">
        <v>52252</v>
      </c>
      <c r="V3052" t="s">
        <v>62959</v>
      </c>
      <c r="W3052" t="s">
        <v>44388</v>
      </c>
      <c r="X3052" t="s">
        <v>47430</v>
      </c>
    </row>
    <row r="3053" spans="1:24">
      <c r="A3053">
        <f>HYPERLINK("https://www.philgeps.gov.ph/GEPSNONPILOT/Tender/SplashBidNoticeAbstractUI.aspx?menuIndex=3&amp;refID=7163102&amp;Result=3","7163102")</f>
        <v>0</v>
      </c>
      <c r="B3053" t="s">
        <v>1329</v>
      </c>
      <c r="C3053" t="s">
        <v>6811</v>
      </c>
      <c r="D3053" t="s">
        <v>19027</v>
      </c>
      <c r="E3053" t="s">
        <v>21865</v>
      </c>
      <c r="F3053" t="s">
        <v>32831</v>
      </c>
      <c r="G3053" t="s">
        <v>32838</v>
      </c>
      <c r="H3053" t="s">
        <v>32848</v>
      </c>
      <c r="I3053" t="s">
        <v>4435</v>
      </c>
      <c r="J3053" t="s">
        <v>35010</v>
      </c>
      <c r="K3053" t="s">
        <v>42759</v>
      </c>
      <c r="M3053" t="s">
        <v>44400</v>
      </c>
      <c r="N3053" t="s">
        <v>47424</v>
      </c>
      <c r="O3053" t="s">
        <v>47425</v>
      </c>
      <c r="P3053">
        <v>0</v>
      </c>
      <c r="Q3053">
        <v>0</v>
      </c>
      <c r="R3053" t="s">
        <v>47428</v>
      </c>
      <c r="S3053" t="s">
        <v>47541</v>
      </c>
      <c r="T3053" t="s">
        <v>49111</v>
      </c>
      <c r="U3053" t="s">
        <v>52278</v>
      </c>
      <c r="V3053" t="s">
        <v>62960</v>
      </c>
      <c r="W3053" t="s">
        <v>44400</v>
      </c>
      <c r="X3053" t="s">
        <v>47430</v>
      </c>
    </row>
    <row r="3054" spans="1:24">
      <c r="A3054">
        <f>HYPERLINK("https://www.philgeps.gov.ph/GEPSNONPILOT/Tender/SplashBidNoticeAbstractUI.aspx?menuIndex=3&amp;refID=7163111&amp;Result=3","7163111")</f>
        <v>0</v>
      </c>
      <c r="B3054" t="s">
        <v>1300</v>
      </c>
      <c r="C3054" t="s">
        <v>6812</v>
      </c>
      <c r="D3054" t="s">
        <v>19057</v>
      </c>
      <c r="E3054" t="s">
        <v>21866</v>
      </c>
      <c r="F3054" t="s">
        <v>32833</v>
      </c>
      <c r="G3054" t="s">
        <v>32840</v>
      </c>
      <c r="H3054" t="s">
        <v>32848</v>
      </c>
      <c r="I3054" t="s">
        <v>9577</v>
      </c>
      <c r="J3054" t="s">
        <v>33086</v>
      </c>
      <c r="K3054" t="s">
        <v>42759</v>
      </c>
      <c r="M3054" t="s">
        <v>44370</v>
      </c>
      <c r="N3054" t="s">
        <v>47424</v>
      </c>
      <c r="O3054" t="s">
        <v>47425</v>
      </c>
      <c r="P3054">
        <v>0</v>
      </c>
      <c r="Q3054">
        <v>0</v>
      </c>
      <c r="R3054" t="s">
        <v>47428</v>
      </c>
      <c r="S3054" t="s">
        <v>47541</v>
      </c>
      <c r="T3054" t="s">
        <v>49145</v>
      </c>
      <c r="U3054" t="s">
        <v>52279</v>
      </c>
      <c r="W3054" t="s">
        <v>44370</v>
      </c>
      <c r="X3054" t="s">
        <v>47430</v>
      </c>
    </row>
    <row r="3055" spans="1:24">
      <c r="A3055">
        <f>HYPERLINK("https://www.philgeps.gov.ph/GEPSNONPILOT/Tender/SplashBidNoticeAbstractUI.aspx?menuIndex=3&amp;refID=7163100&amp;Result=3","7163100")</f>
        <v>0</v>
      </c>
      <c r="B3055" t="s">
        <v>818</v>
      </c>
      <c r="C3055" t="s">
        <v>6813</v>
      </c>
      <c r="D3055" t="s">
        <v>19017</v>
      </c>
      <c r="E3055" t="s">
        <v>21867</v>
      </c>
      <c r="F3055" t="s">
        <v>32831</v>
      </c>
      <c r="G3055" t="s">
        <v>32838</v>
      </c>
      <c r="H3055" t="s">
        <v>32848</v>
      </c>
      <c r="I3055" t="s">
        <v>4776</v>
      </c>
      <c r="J3055" t="s">
        <v>33087</v>
      </c>
      <c r="K3055" t="s">
        <v>42732</v>
      </c>
      <c r="M3055" t="s">
        <v>43849</v>
      </c>
      <c r="N3055" t="s">
        <v>47424</v>
      </c>
      <c r="O3055" t="s">
        <v>47425</v>
      </c>
      <c r="P3055">
        <v>0</v>
      </c>
      <c r="Q3055">
        <v>4</v>
      </c>
      <c r="R3055" t="s">
        <v>47428</v>
      </c>
      <c r="S3055" t="s">
        <v>47541</v>
      </c>
      <c r="T3055" t="s">
        <v>49116</v>
      </c>
      <c r="U3055" t="s">
        <v>52280</v>
      </c>
      <c r="V3055" t="s">
        <v>62819</v>
      </c>
      <c r="W3055" t="s">
        <v>43849</v>
      </c>
      <c r="X3055" t="s">
        <v>47430</v>
      </c>
    </row>
    <row r="3056" spans="1:24">
      <c r="A3056">
        <f>HYPERLINK("https://www.philgeps.gov.ph/GEPSNONPILOT/Tender/SplashBidNoticeAbstractUI.aspx?menuIndex=3&amp;refID=7163099&amp;Result=3","7163099")</f>
        <v>0</v>
      </c>
      <c r="B3056" t="s">
        <v>1178</v>
      </c>
      <c r="C3056" t="s">
        <v>6814</v>
      </c>
      <c r="D3056" t="s">
        <v>19049</v>
      </c>
      <c r="E3056" t="s">
        <v>21868</v>
      </c>
      <c r="F3056" t="s">
        <v>32831</v>
      </c>
      <c r="G3056" t="s">
        <v>32838</v>
      </c>
      <c r="H3056" t="s">
        <v>32848</v>
      </c>
      <c r="I3056" t="s">
        <v>32862</v>
      </c>
      <c r="J3056" t="s">
        <v>33029</v>
      </c>
      <c r="K3056" t="s">
        <v>42727</v>
      </c>
      <c r="M3056" t="s">
        <v>44244</v>
      </c>
      <c r="N3056" t="s">
        <v>47424</v>
      </c>
      <c r="O3056" t="s">
        <v>47425</v>
      </c>
      <c r="P3056">
        <v>0</v>
      </c>
      <c r="Q3056">
        <v>0</v>
      </c>
      <c r="R3056" t="s">
        <v>47428</v>
      </c>
      <c r="S3056" t="s">
        <v>47541</v>
      </c>
      <c r="T3056" t="s">
        <v>49111</v>
      </c>
      <c r="U3056" t="s">
        <v>51543</v>
      </c>
      <c r="W3056" t="s">
        <v>44244</v>
      </c>
      <c r="X3056" t="s">
        <v>47430</v>
      </c>
    </row>
    <row r="3057" spans="1:24">
      <c r="A3057">
        <f>HYPERLINK("https://www.philgeps.gov.ph/GEPSNONPILOT/Tender/SplashBidNoticeAbstractUI.aspx?menuIndex=3&amp;refID=7163097&amp;Result=3","7163097")</f>
        <v>0</v>
      </c>
      <c r="B3057" t="s">
        <v>1328</v>
      </c>
      <c r="C3057" t="s">
        <v>6815</v>
      </c>
      <c r="D3057" t="s">
        <v>19057</v>
      </c>
      <c r="E3057" t="s">
        <v>21869</v>
      </c>
      <c r="F3057" t="s">
        <v>32831</v>
      </c>
      <c r="G3057" t="s">
        <v>32839</v>
      </c>
      <c r="H3057" t="s">
        <v>32848</v>
      </c>
      <c r="I3057" t="s">
        <v>4177</v>
      </c>
      <c r="J3057" t="s">
        <v>32978</v>
      </c>
      <c r="K3057" t="s">
        <v>42729</v>
      </c>
      <c r="M3057" t="s">
        <v>44399</v>
      </c>
      <c r="N3057" t="s">
        <v>47424</v>
      </c>
      <c r="O3057" t="s">
        <v>47425</v>
      </c>
      <c r="P3057">
        <v>0</v>
      </c>
      <c r="Q3057">
        <v>0</v>
      </c>
      <c r="R3057" t="s">
        <v>47428</v>
      </c>
      <c r="S3057" t="s">
        <v>47541</v>
      </c>
      <c r="T3057" t="s">
        <v>49073</v>
      </c>
      <c r="U3057" t="s">
        <v>52281</v>
      </c>
      <c r="W3057" t="s">
        <v>64465</v>
      </c>
      <c r="X3057" t="s">
        <v>47430</v>
      </c>
    </row>
    <row r="3058" spans="1:24">
      <c r="A3058">
        <f>HYPERLINK("https://www.philgeps.gov.ph/GEPSNONPILOT/Tender/SplashBidNoticeAbstractUI.aspx?menuIndex=3&amp;refID=7163095&amp;Result=3","7163095")</f>
        <v>0</v>
      </c>
      <c r="B3058" t="s">
        <v>1330</v>
      </c>
      <c r="C3058" t="s">
        <v>6816</v>
      </c>
      <c r="D3058" t="s">
        <v>19095</v>
      </c>
      <c r="E3058" t="s">
        <v>21870</v>
      </c>
      <c r="F3058" t="s">
        <v>32831</v>
      </c>
      <c r="G3058" t="s">
        <v>32839</v>
      </c>
      <c r="H3058" t="s">
        <v>32848</v>
      </c>
      <c r="I3058" t="s">
        <v>4558</v>
      </c>
      <c r="J3058" t="s">
        <v>35011</v>
      </c>
      <c r="K3058" t="s">
        <v>42731</v>
      </c>
      <c r="M3058" t="s">
        <v>44401</v>
      </c>
      <c r="N3058" t="s">
        <v>47424</v>
      </c>
      <c r="O3058" t="s">
        <v>47425</v>
      </c>
      <c r="P3058">
        <v>0</v>
      </c>
      <c r="Q3058">
        <v>2</v>
      </c>
      <c r="R3058" t="s">
        <v>47428</v>
      </c>
      <c r="S3058" t="s">
        <v>47541</v>
      </c>
      <c r="T3058" t="s">
        <v>49068</v>
      </c>
      <c r="U3058" t="s">
        <v>52282</v>
      </c>
      <c r="V3058" t="s">
        <v>62961</v>
      </c>
      <c r="W3058" t="s">
        <v>44401</v>
      </c>
      <c r="X3058" t="s">
        <v>47430</v>
      </c>
    </row>
    <row r="3059" spans="1:24">
      <c r="A3059">
        <f>HYPERLINK("https://www.philgeps.gov.ph/GEPSNONPILOT/Tender/SplashBidNoticeAbstractUI.aspx?menuIndex=3&amp;refID=7163094&amp;Result=3","7163094")</f>
        <v>0</v>
      </c>
      <c r="B3059" t="s">
        <v>1331</v>
      </c>
      <c r="C3059" t="s">
        <v>6817</v>
      </c>
      <c r="D3059" t="s">
        <v>19030</v>
      </c>
      <c r="E3059" t="s">
        <v>21871</v>
      </c>
      <c r="F3059" t="s">
        <v>32831</v>
      </c>
      <c r="G3059" t="s">
        <v>32842</v>
      </c>
      <c r="H3059" t="s">
        <v>32848</v>
      </c>
      <c r="I3059" t="s">
        <v>32860</v>
      </c>
      <c r="J3059" t="s">
        <v>35012</v>
      </c>
      <c r="K3059" t="s">
        <v>42758</v>
      </c>
      <c r="M3059" t="s">
        <v>44402</v>
      </c>
      <c r="N3059" t="s">
        <v>47424</v>
      </c>
      <c r="O3059" t="s">
        <v>47425</v>
      </c>
      <c r="P3059">
        <v>0</v>
      </c>
      <c r="Q3059">
        <v>9</v>
      </c>
      <c r="R3059" t="s">
        <v>47428</v>
      </c>
      <c r="S3059" t="s">
        <v>47541</v>
      </c>
      <c r="T3059" t="s">
        <v>49213</v>
      </c>
      <c r="U3059" t="s">
        <v>52283</v>
      </c>
      <c r="W3059" t="s">
        <v>44402</v>
      </c>
      <c r="X3059" t="s">
        <v>47430</v>
      </c>
    </row>
    <row r="3060" spans="1:24">
      <c r="A3060">
        <f>HYPERLINK("https://www.philgeps.gov.ph/GEPSNONPILOT/Tender/SplashBidNoticeAbstractUI.aspx?menuIndex=3&amp;refID=7163106&amp;Result=3","7163106")</f>
        <v>0</v>
      </c>
      <c r="B3060" t="s">
        <v>1332</v>
      </c>
      <c r="C3060" t="s">
        <v>6818</v>
      </c>
      <c r="D3060" t="s">
        <v>19084</v>
      </c>
      <c r="E3060" t="s">
        <v>21872</v>
      </c>
      <c r="F3060" t="s">
        <v>32831</v>
      </c>
      <c r="G3060" t="s">
        <v>32838</v>
      </c>
      <c r="H3060" t="s">
        <v>32848</v>
      </c>
      <c r="I3060" t="s">
        <v>32857</v>
      </c>
      <c r="J3060" t="s">
        <v>35013</v>
      </c>
      <c r="K3060" t="s">
        <v>42758</v>
      </c>
      <c r="L3060" t="s">
        <v>1332</v>
      </c>
      <c r="M3060" t="s">
        <v>44403</v>
      </c>
      <c r="N3060" t="s">
        <v>47424</v>
      </c>
      <c r="O3060" t="s">
        <v>47425</v>
      </c>
      <c r="P3060">
        <v>0</v>
      </c>
      <c r="Q3060">
        <v>2</v>
      </c>
      <c r="R3060" t="s">
        <v>47428</v>
      </c>
      <c r="S3060" t="s">
        <v>47541</v>
      </c>
      <c r="T3060" t="s">
        <v>49107</v>
      </c>
      <c r="U3060" t="s">
        <v>52284</v>
      </c>
      <c r="W3060" t="s">
        <v>44403</v>
      </c>
      <c r="X3060" t="s">
        <v>47430</v>
      </c>
    </row>
    <row r="3061" spans="1:24">
      <c r="A3061">
        <f>HYPERLINK("https://www.philgeps.gov.ph/GEPSNONPILOT/Tender/SplashBidNoticeAbstractUI.aspx?menuIndex=3&amp;refID=7163092&amp;Result=3","7163092")</f>
        <v>0</v>
      </c>
      <c r="B3061" t="s">
        <v>818</v>
      </c>
      <c r="C3061" t="s">
        <v>6819</v>
      </c>
      <c r="D3061" t="s">
        <v>19017</v>
      </c>
      <c r="E3061" t="s">
        <v>21873</v>
      </c>
      <c r="F3061" t="s">
        <v>32831</v>
      </c>
      <c r="G3061" t="s">
        <v>32838</v>
      </c>
      <c r="H3061" t="s">
        <v>32848</v>
      </c>
      <c r="I3061" t="s">
        <v>4776</v>
      </c>
      <c r="J3061" t="s">
        <v>35014</v>
      </c>
      <c r="K3061" t="s">
        <v>42732</v>
      </c>
      <c r="M3061" t="s">
        <v>43849</v>
      </c>
      <c r="N3061" t="s">
        <v>47424</v>
      </c>
      <c r="O3061" t="s">
        <v>47425</v>
      </c>
      <c r="P3061">
        <v>0</v>
      </c>
      <c r="Q3061">
        <v>10</v>
      </c>
      <c r="R3061" t="s">
        <v>47428</v>
      </c>
      <c r="S3061" t="s">
        <v>47541</v>
      </c>
      <c r="T3061" t="s">
        <v>49116</v>
      </c>
      <c r="U3061" t="s">
        <v>52285</v>
      </c>
      <c r="V3061" t="s">
        <v>62819</v>
      </c>
      <c r="W3061" t="s">
        <v>43849</v>
      </c>
      <c r="X3061" t="s">
        <v>47430</v>
      </c>
    </row>
    <row r="3062" spans="1:24">
      <c r="A3062">
        <f>HYPERLINK("https://www.philgeps.gov.ph/GEPSNONPILOT/Tender/SplashBidNoticeAbstractUI.aspx?menuIndex=3&amp;refID=7162943&amp;Result=3","7162943")</f>
        <v>0</v>
      </c>
      <c r="B3062" t="s">
        <v>1236</v>
      </c>
      <c r="C3062" t="s">
        <v>6820</v>
      </c>
      <c r="D3062" t="s">
        <v>19045</v>
      </c>
      <c r="E3062" t="s">
        <v>21874</v>
      </c>
      <c r="F3062" t="s">
        <v>32831</v>
      </c>
      <c r="G3062" t="s">
        <v>32841</v>
      </c>
      <c r="H3062" t="s">
        <v>32848</v>
      </c>
      <c r="I3062" t="s">
        <v>6526</v>
      </c>
      <c r="J3062" t="s">
        <v>35015</v>
      </c>
      <c r="K3062" t="s">
        <v>42726</v>
      </c>
      <c r="M3062" t="s">
        <v>44306</v>
      </c>
      <c r="N3062" t="s">
        <v>47424</v>
      </c>
      <c r="O3062" t="s">
        <v>47425</v>
      </c>
      <c r="P3062">
        <v>0</v>
      </c>
      <c r="Q3062">
        <v>0</v>
      </c>
      <c r="R3062" t="s">
        <v>47428</v>
      </c>
      <c r="S3062" t="s">
        <v>47541</v>
      </c>
      <c r="T3062" t="s">
        <v>49111</v>
      </c>
      <c r="U3062" t="s">
        <v>52286</v>
      </c>
      <c r="W3062" t="s">
        <v>44306</v>
      </c>
      <c r="X3062" t="s">
        <v>47430</v>
      </c>
    </row>
    <row r="3063" spans="1:24">
      <c r="A3063">
        <f>HYPERLINK("https://www.philgeps.gov.ph/GEPSNONPILOT/Tender/SplashBidNoticeAbstractUI.aspx?menuIndex=3&amp;refID=7163090&amp;Result=3","7163090")</f>
        <v>0</v>
      </c>
      <c r="B3063" t="s">
        <v>583</v>
      </c>
      <c r="C3063" t="s">
        <v>6821</v>
      </c>
      <c r="D3063" t="s">
        <v>19069</v>
      </c>
      <c r="E3063" t="s">
        <v>21875</v>
      </c>
      <c r="F3063" t="s">
        <v>32831</v>
      </c>
      <c r="G3063" t="s">
        <v>32839</v>
      </c>
      <c r="H3063" t="s">
        <v>32848</v>
      </c>
      <c r="I3063" t="s">
        <v>32861</v>
      </c>
      <c r="J3063" t="s">
        <v>35016</v>
      </c>
      <c r="K3063" t="s">
        <v>42745</v>
      </c>
      <c r="M3063" t="s">
        <v>43594</v>
      </c>
      <c r="N3063" t="s">
        <v>47424</v>
      </c>
      <c r="O3063" t="s">
        <v>47425</v>
      </c>
      <c r="P3063">
        <v>0</v>
      </c>
      <c r="Q3063">
        <v>1</v>
      </c>
      <c r="R3063" t="s">
        <v>47428</v>
      </c>
      <c r="S3063" t="s">
        <v>47541</v>
      </c>
      <c r="T3063" t="s">
        <v>49070</v>
      </c>
      <c r="U3063" t="s">
        <v>52287</v>
      </c>
      <c r="V3063" t="s">
        <v>62962</v>
      </c>
      <c r="W3063" t="s">
        <v>43594</v>
      </c>
      <c r="X3063" t="s">
        <v>47430</v>
      </c>
    </row>
    <row r="3064" spans="1:24">
      <c r="A3064">
        <f>HYPERLINK("https://www.philgeps.gov.ph/GEPSNONPILOT/Tender/SplashBidNoticeAbstractUI.aspx?menuIndex=3&amp;refID=7163113&amp;Result=3","7163113")</f>
        <v>0</v>
      </c>
      <c r="B3064" t="s">
        <v>693</v>
      </c>
      <c r="C3064" t="s">
        <v>6822</v>
      </c>
      <c r="D3064" t="s">
        <v>19073</v>
      </c>
      <c r="E3064" t="s">
        <v>20444</v>
      </c>
      <c r="F3064" t="s">
        <v>32831</v>
      </c>
      <c r="G3064" t="s">
        <v>32838</v>
      </c>
      <c r="H3064" t="s">
        <v>32848</v>
      </c>
      <c r="I3064" t="s">
        <v>32884</v>
      </c>
      <c r="J3064" t="s">
        <v>33162</v>
      </c>
      <c r="K3064" t="s">
        <v>42731</v>
      </c>
      <c r="M3064" t="s">
        <v>43712</v>
      </c>
      <c r="N3064" t="s">
        <v>47424</v>
      </c>
      <c r="O3064" t="s">
        <v>47425</v>
      </c>
      <c r="P3064">
        <v>0</v>
      </c>
      <c r="Q3064">
        <v>2</v>
      </c>
      <c r="R3064" t="s">
        <v>47428</v>
      </c>
      <c r="S3064" t="s">
        <v>47541</v>
      </c>
      <c r="T3064" t="s">
        <v>49108</v>
      </c>
      <c r="U3064" t="s">
        <v>52288</v>
      </c>
      <c r="W3064" t="s">
        <v>43712</v>
      </c>
      <c r="X3064" t="s">
        <v>47430</v>
      </c>
    </row>
    <row r="3065" spans="1:24">
      <c r="A3065">
        <f>HYPERLINK("https://www.philgeps.gov.ph/GEPSNONPILOT/Tender/SplashBidNoticeAbstractUI.aspx?menuIndex=3&amp;refID=7163091&amp;Result=3","7163091")</f>
        <v>0</v>
      </c>
      <c r="B3065" t="s">
        <v>563</v>
      </c>
      <c r="C3065" t="s">
        <v>6823</v>
      </c>
      <c r="D3065" t="s">
        <v>19060</v>
      </c>
      <c r="E3065" t="s">
        <v>21876</v>
      </c>
      <c r="F3065" t="s">
        <v>32831</v>
      </c>
      <c r="G3065" t="s">
        <v>32838</v>
      </c>
      <c r="H3065" t="s">
        <v>32848</v>
      </c>
      <c r="I3065" t="s">
        <v>4471</v>
      </c>
      <c r="J3065" t="s">
        <v>35017</v>
      </c>
      <c r="K3065" t="s">
        <v>42732</v>
      </c>
      <c r="M3065" t="s">
        <v>43572</v>
      </c>
      <c r="N3065" t="s">
        <v>47424</v>
      </c>
      <c r="O3065" t="s">
        <v>47425</v>
      </c>
      <c r="P3065">
        <v>0</v>
      </c>
      <c r="Q3065">
        <v>2</v>
      </c>
      <c r="R3065" t="s">
        <v>47428</v>
      </c>
      <c r="S3065" t="s">
        <v>47541</v>
      </c>
      <c r="T3065" t="s">
        <v>49212</v>
      </c>
      <c r="U3065" t="s">
        <v>52052</v>
      </c>
      <c r="W3065" t="s">
        <v>43572</v>
      </c>
      <c r="X3065" t="s">
        <v>47430</v>
      </c>
    </row>
    <row r="3066" spans="1:24">
      <c r="A3066">
        <f>HYPERLINK("https://www.philgeps.gov.ph/GEPSNONPILOT/Tender/SplashBidNoticeAbstractUI.aspx?menuIndex=3&amp;refID=7162867&amp;Result=3","7162867")</f>
        <v>0</v>
      </c>
      <c r="B3066" t="s">
        <v>950</v>
      </c>
      <c r="C3066" t="s">
        <v>6824</v>
      </c>
      <c r="D3066" t="s">
        <v>19100</v>
      </c>
      <c r="E3066" t="s">
        <v>21877</v>
      </c>
      <c r="F3066" t="s">
        <v>32831</v>
      </c>
      <c r="G3066" t="s">
        <v>32839</v>
      </c>
      <c r="H3066" t="s">
        <v>32849</v>
      </c>
      <c r="I3066" t="s">
        <v>4177</v>
      </c>
      <c r="J3066" t="s">
        <v>35018</v>
      </c>
      <c r="K3066" t="s">
        <v>42768</v>
      </c>
      <c r="M3066" t="s">
        <v>44404</v>
      </c>
      <c r="N3066" t="s">
        <v>47424</v>
      </c>
      <c r="O3066" t="s">
        <v>47425</v>
      </c>
      <c r="P3066">
        <v>0</v>
      </c>
      <c r="Q3066">
        <v>1</v>
      </c>
      <c r="R3066" t="s">
        <v>47428</v>
      </c>
      <c r="S3066" t="s">
        <v>47541</v>
      </c>
      <c r="T3066" t="s">
        <v>49066</v>
      </c>
      <c r="U3066" t="s">
        <v>52289</v>
      </c>
      <c r="W3066" t="s">
        <v>44404</v>
      </c>
      <c r="X3066" t="s">
        <v>47430</v>
      </c>
    </row>
    <row r="3067" spans="1:24">
      <c r="A3067">
        <f>HYPERLINK("https://www.philgeps.gov.ph/GEPSNONPILOT/Tender/SplashBidNoticeAbstractUI.aspx?menuIndex=3&amp;refID=7163096&amp;Result=3","7163096")</f>
        <v>0</v>
      </c>
      <c r="B3067" t="s">
        <v>1333</v>
      </c>
      <c r="C3067" t="s">
        <v>6825</v>
      </c>
      <c r="D3067" t="s">
        <v>19042</v>
      </c>
      <c r="E3067" t="s">
        <v>21878</v>
      </c>
      <c r="F3067" t="s">
        <v>32831</v>
      </c>
      <c r="G3067" t="s">
        <v>32838</v>
      </c>
      <c r="H3067" t="s">
        <v>32848</v>
      </c>
      <c r="I3067" t="s">
        <v>32853</v>
      </c>
      <c r="J3067" t="s">
        <v>35019</v>
      </c>
      <c r="K3067" t="s">
        <v>42727</v>
      </c>
      <c r="M3067" t="s">
        <v>44405</v>
      </c>
      <c r="N3067" t="s">
        <v>47424</v>
      </c>
      <c r="O3067" t="s">
        <v>47425</v>
      </c>
      <c r="P3067">
        <v>0</v>
      </c>
      <c r="Q3067">
        <v>0</v>
      </c>
      <c r="R3067" t="s">
        <v>47428</v>
      </c>
      <c r="S3067" t="s">
        <v>47541</v>
      </c>
      <c r="T3067" t="s">
        <v>49235</v>
      </c>
      <c r="U3067" t="s">
        <v>52290</v>
      </c>
      <c r="W3067" t="s">
        <v>44405</v>
      </c>
      <c r="X3067" t="s">
        <v>47430</v>
      </c>
    </row>
    <row r="3068" spans="1:24">
      <c r="A3068">
        <f>HYPERLINK("https://www.philgeps.gov.ph/GEPSNONPILOT/Tender/SplashBidNoticeAbstractUI.aspx?menuIndex=3&amp;refID=7163087&amp;Result=3","7163087")</f>
        <v>0</v>
      </c>
      <c r="B3068" t="s">
        <v>1334</v>
      </c>
      <c r="C3068" t="s">
        <v>6826</v>
      </c>
      <c r="D3068" t="s">
        <v>19077</v>
      </c>
      <c r="E3068" t="s">
        <v>21879</v>
      </c>
      <c r="F3068" t="s">
        <v>32831</v>
      </c>
      <c r="G3068" t="s">
        <v>32838</v>
      </c>
      <c r="H3068" t="s">
        <v>32848</v>
      </c>
      <c r="I3068" t="s">
        <v>9577</v>
      </c>
      <c r="J3068" t="s">
        <v>32980</v>
      </c>
      <c r="K3068" t="s">
        <v>42732</v>
      </c>
      <c r="M3068" t="s">
        <v>44406</v>
      </c>
      <c r="N3068" t="s">
        <v>47424</v>
      </c>
      <c r="O3068" t="s">
        <v>47425</v>
      </c>
      <c r="P3068">
        <v>0</v>
      </c>
      <c r="Q3068">
        <v>2</v>
      </c>
      <c r="R3068" t="s">
        <v>47428</v>
      </c>
      <c r="S3068" t="s">
        <v>47541</v>
      </c>
      <c r="T3068" t="s">
        <v>49089</v>
      </c>
      <c r="U3068" t="s">
        <v>52291</v>
      </c>
      <c r="W3068" t="s">
        <v>44406</v>
      </c>
      <c r="X3068" t="s">
        <v>47430</v>
      </c>
    </row>
    <row r="3069" spans="1:24">
      <c r="A3069">
        <f>HYPERLINK("https://www.philgeps.gov.ph/GEPSNONPILOT/Tender/SplashBidNoticeAbstractUI.aspx?menuIndex=3&amp;refID=7163056&amp;Result=3","7163056")</f>
        <v>0</v>
      </c>
      <c r="B3069" t="s">
        <v>525</v>
      </c>
      <c r="C3069" t="s">
        <v>6827</v>
      </c>
      <c r="D3069" t="s">
        <v>19029</v>
      </c>
      <c r="E3069" t="s">
        <v>21880</v>
      </c>
      <c r="F3069" t="s">
        <v>32831</v>
      </c>
      <c r="G3069" t="s">
        <v>32838</v>
      </c>
      <c r="H3069" t="s">
        <v>32848</v>
      </c>
      <c r="I3069" t="s">
        <v>32951</v>
      </c>
      <c r="J3069" t="s">
        <v>35020</v>
      </c>
      <c r="K3069" t="s">
        <v>42727</v>
      </c>
      <c r="M3069" t="s">
        <v>43531</v>
      </c>
      <c r="N3069" t="s">
        <v>47424</v>
      </c>
      <c r="O3069" t="s">
        <v>47425</v>
      </c>
      <c r="P3069">
        <v>0</v>
      </c>
      <c r="Q3069">
        <v>1</v>
      </c>
      <c r="R3069" t="s">
        <v>47428</v>
      </c>
      <c r="S3069" t="s">
        <v>47541</v>
      </c>
      <c r="T3069" t="s">
        <v>49255</v>
      </c>
      <c r="U3069" t="s">
        <v>52292</v>
      </c>
      <c r="W3069" t="s">
        <v>43531</v>
      </c>
      <c r="X3069" t="s">
        <v>47430</v>
      </c>
    </row>
    <row r="3070" spans="1:24">
      <c r="A3070">
        <f>HYPERLINK("https://www.philgeps.gov.ph/GEPSNONPILOT/Tender/SplashBidNoticeAbstractUI.aspx?menuIndex=3&amp;refID=7163018&amp;Result=3","7163018")</f>
        <v>0</v>
      </c>
      <c r="B3070" t="s">
        <v>1335</v>
      </c>
      <c r="C3070" t="s">
        <v>6828</v>
      </c>
      <c r="D3070" t="s">
        <v>19074</v>
      </c>
      <c r="E3070" t="s">
        <v>21881</v>
      </c>
      <c r="F3070" t="s">
        <v>32831</v>
      </c>
      <c r="G3070" t="s">
        <v>32839</v>
      </c>
      <c r="H3070" t="s">
        <v>32848</v>
      </c>
      <c r="I3070" t="s">
        <v>7416</v>
      </c>
      <c r="J3070" t="s">
        <v>32978</v>
      </c>
      <c r="K3070" t="s">
        <v>42732</v>
      </c>
      <c r="M3070" t="s">
        <v>44407</v>
      </c>
      <c r="N3070" t="s">
        <v>47424</v>
      </c>
      <c r="O3070" t="s">
        <v>47425</v>
      </c>
      <c r="P3070">
        <v>0</v>
      </c>
      <c r="Q3070">
        <v>1</v>
      </c>
      <c r="R3070" t="s">
        <v>47428</v>
      </c>
      <c r="S3070" t="s">
        <v>47541</v>
      </c>
      <c r="T3070" t="s">
        <v>49304</v>
      </c>
      <c r="U3070" t="s">
        <v>52293</v>
      </c>
      <c r="W3070" t="s">
        <v>44407</v>
      </c>
      <c r="X3070" t="s">
        <v>47430</v>
      </c>
    </row>
    <row r="3071" spans="1:24">
      <c r="A3071">
        <f>HYPERLINK("https://www.philgeps.gov.ph/GEPSNONPILOT/Tender/SplashBidNoticeAbstractUI.aspx?menuIndex=3&amp;refID=7163015&amp;Result=3","7163015")</f>
        <v>0</v>
      </c>
      <c r="B3071" t="s">
        <v>662</v>
      </c>
      <c r="C3071" t="s">
        <v>6829</v>
      </c>
      <c r="D3071" t="s">
        <v>19095</v>
      </c>
      <c r="E3071" t="s">
        <v>21882</v>
      </c>
      <c r="F3071" t="s">
        <v>32831</v>
      </c>
      <c r="G3071" t="s">
        <v>32838</v>
      </c>
      <c r="H3071" t="s">
        <v>32848</v>
      </c>
      <c r="I3071" t="s">
        <v>4558</v>
      </c>
      <c r="J3071" t="s">
        <v>35021</v>
      </c>
      <c r="K3071" t="s">
        <v>42727</v>
      </c>
      <c r="M3071" t="s">
        <v>43680</v>
      </c>
      <c r="N3071" t="s">
        <v>47424</v>
      </c>
      <c r="O3071" t="s">
        <v>47425</v>
      </c>
      <c r="P3071">
        <v>0</v>
      </c>
      <c r="Q3071">
        <v>0</v>
      </c>
      <c r="R3071" t="s">
        <v>47428</v>
      </c>
      <c r="S3071" t="s">
        <v>47541</v>
      </c>
      <c r="T3071" t="s">
        <v>49123</v>
      </c>
      <c r="U3071" t="s">
        <v>52294</v>
      </c>
      <c r="W3071" t="s">
        <v>43680</v>
      </c>
      <c r="X3071" t="s">
        <v>47430</v>
      </c>
    </row>
    <row r="3072" spans="1:24">
      <c r="A3072">
        <f>HYPERLINK("https://www.philgeps.gov.ph/GEPSNONPILOT/Tender/SplashBidNoticeAbstractUI.aspx?menuIndex=3&amp;refID=7163055&amp;Result=3","7163055")</f>
        <v>0</v>
      </c>
      <c r="B3072" t="s">
        <v>1336</v>
      </c>
      <c r="C3072" t="s">
        <v>6830</v>
      </c>
      <c r="D3072" t="s">
        <v>19047</v>
      </c>
      <c r="E3072" t="s">
        <v>21883</v>
      </c>
      <c r="F3072" t="s">
        <v>32831</v>
      </c>
      <c r="G3072" t="s">
        <v>32838</v>
      </c>
      <c r="H3072" t="s">
        <v>32848</v>
      </c>
      <c r="I3072" t="s">
        <v>32864</v>
      </c>
      <c r="J3072" t="s">
        <v>35022</v>
      </c>
      <c r="K3072" t="s">
        <v>42732</v>
      </c>
      <c r="M3072" t="s">
        <v>44408</v>
      </c>
      <c r="N3072" t="s">
        <v>47424</v>
      </c>
      <c r="O3072" t="s">
        <v>47425</v>
      </c>
      <c r="P3072">
        <v>0</v>
      </c>
      <c r="Q3072">
        <v>7</v>
      </c>
      <c r="R3072" t="s">
        <v>47428</v>
      </c>
      <c r="S3072" t="s">
        <v>47541</v>
      </c>
      <c r="T3072" t="s">
        <v>49235</v>
      </c>
      <c r="U3072" t="s">
        <v>52295</v>
      </c>
      <c r="W3072" t="s">
        <v>44408</v>
      </c>
      <c r="X3072" t="s">
        <v>47430</v>
      </c>
    </row>
    <row r="3073" spans="1:24">
      <c r="A3073">
        <f>HYPERLINK("https://www.philgeps.gov.ph/GEPSNONPILOT/Tender/SplashBidNoticeAbstractUI.aspx?menuIndex=3&amp;refID=7163046&amp;Result=3","7163046")</f>
        <v>0</v>
      </c>
      <c r="B3073" t="s">
        <v>1156</v>
      </c>
      <c r="C3073" t="s">
        <v>6831</v>
      </c>
      <c r="D3073" t="s">
        <v>19017</v>
      </c>
      <c r="E3073" t="s">
        <v>21884</v>
      </c>
      <c r="F3073" t="s">
        <v>32831</v>
      </c>
      <c r="G3073" t="s">
        <v>32838</v>
      </c>
      <c r="H3073" t="s">
        <v>32848</v>
      </c>
      <c r="I3073" t="s">
        <v>10805</v>
      </c>
      <c r="J3073" t="s">
        <v>33922</v>
      </c>
      <c r="K3073" t="s">
        <v>42731</v>
      </c>
      <c r="M3073" t="s">
        <v>44221</v>
      </c>
      <c r="N3073" t="s">
        <v>47424</v>
      </c>
      <c r="O3073" t="s">
        <v>47425</v>
      </c>
      <c r="P3073">
        <v>0</v>
      </c>
      <c r="Q3073">
        <v>4</v>
      </c>
      <c r="R3073" t="s">
        <v>47428</v>
      </c>
      <c r="S3073" t="s">
        <v>47541</v>
      </c>
      <c r="T3073" t="s">
        <v>49255</v>
      </c>
      <c r="U3073" t="s">
        <v>52296</v>
      </c>
      <c r="V3073" t="s">
        <v>62908</v>
      </c>
      <c r="W3073" t="s">
        <v>44221</v>
      </c>
      <c r="X3073" t="s">
        <v>47430</v>
      </c>
    </row>
    <row r="3074" spans="1:24">
      <c r="A3074">
        <f>HYPERLINK("https://www.philgeps.gov.ph/GEPSNONPILOT/Tender/SplashBidNoticeAbstractUI.aspx?menuIndex=3&amp;refID=7163021&amp;Result=3","7163021")</f>
        <v>0</v>
      </c>
      <c r="B3074" t="s">
        <v>1326</v>
      </c>
      <c r="C3074" t="s">
        <v>6832</v>
      </c>
      <c r="D3074" t="s">
        <v>19088</v>
      </c>
      <c r="E3074" t="s">
        <v>19645</v>
      </c>
      <c r="F3074" t="s">
        <v>32831</v>
      </c>
      <c r="G3074" t="s">
        <v>32840</v>
      </c>
      <c r="H3074" t="s">
        <v>32848</v>
      </c>
      <c r="I3074" t="s">
        <v>32903</v>
      </c>
      <c r="J3074" t="s">
        <v>33220</v>
      </c>
      <c r="K3074" t="s">
        <v>42727</v>
      </c>
      <c r="M3074" t="s">
        <v>44397</v>
      </c>
      <c r="N3074" t="s">
        <v>47424</v>
      </c>
      <c r="O3074" t="s">
        <v>47425</v>
      </c>
      <c r="P3074">
        <v>0</v>
      </c>
      <c r="Q3074">
        <v>5</v>
      </c>
      <c r="R3074" t="s">
        <v>47428</v>
      </c>
      <c r="S3074" t="s">
        <v>47541</v>
      </c>
      <c r="T3074" t="s">
        <v>49119</v>
      </c>
      <c r="U3074" t="s">
        <v>52297</v>
      </c>
      <c r="W3074" t="s">
        <v>44397</v>
      </c>
      <c r="X3074" t="s">
        <v>47430</v>
      </c>
    </row>
    <row r="3075" spans="1:24">
      <c r="A3075">
        <f>HYPERLINK("https://www.philgeps.gov.ph/GEPSNONPILOT/Tender/SplashBidNoticeAbstractUI.aspx?menuIndex=3&amp;refID=7163147&amp;Result=3","7163147")</f>
        <v>0</v>
      </c>
      <c r="B3075" t="s">
        <v>543</v>
      </c>
      <c r="C3075" t="s">
        <v>6833</v>
      </c>
      <c r="D3075" t="s">
        <v>19017</v>
      </c>
      <c r="E3075" t="s">
        <v>21885</v>
      </c>
      <c r="F3075" t="s">
        <v>32831</v>
      </c>
      <c r="G3075" t="s">
        <v>32838</v>
      </c>
      <c r="H3075" t="s">
        <v>32848</v>
      </c>
      <c r="I3075" t="s">
        <v>6526</v>
      </c>
      <c r="J3075" t="s">
        <v>33993</v>
      </c>
      <c r="K3075" t="s">
        <v>42732</v>
      </c>
      <c r="M3075" t="s">
        <v>43549</v>
      </c>
      <c r="N3075" t="s">
        <v>47424</v>
      </c>
      <c r="O3075" t="s">
        <v>47425</v>
      </c>
      <c r="P3075">
        <v>0</v>
      </c>
      <c r="Q3075">
        <v>3</v>
      </c>
      <c r="R3075" t="s">
        <v>47428</v>
      </c>
      <c r="S3075" t="s">
        <v>47541</v>
      </c>
      <c r="T3075" t="s">
        <v>49214</v>
      </c>
      <c r="U3075" t="s">
        <v>52298</v>
      </c>
      <c r="W3075" t="s">
        <v>43549</v>
      </c>
      <c r="X3075" t="s">
        <v>47430</v>
      </c>
    </row>
    <row r="3076" spans="1:24">
      <c r="A3076">
        <f>HYPERLINK("https://www.philgeps.gov.ph/GEPSNONPILOT/Tender/SplashBidNoticeAbstractUI.aspx?menuIndex=3&amp;refID=7163098&amp;Result=3","7163098")</f>
        <v>0</v>
      </c>
      <c r="B3076" t="s">
        <v>1300</v>
      </c>
      <c r="C3076" t="s">
        <v>6834</v>
      </c>
      <c r="D3076" t="s">
        <v>19057</v>
      </c>
      <c r="E3076" t="s">
        <v>21886</v>
      </c>
      <c r="F3076" t="s">
        <v>32833</v>
      </c>
      <c r="G3076" t="s">
        <v>32840</v>
      </c>
      <c r="H3076" t="s">
        <v>32848</v>
      </c>
      <c r="I3076" t="s">
        <v>9577</v>
      </c>
      <c r="J3076" t="s">
        <v>33086</v>
      </c>
      <c r="K3076" t="s">
        <v>42759</v>
      </c>
      <c r="M3076" t="s">
        <v>44370</v>
      </c>
      <c r="N3076" t="s">
        <v>47424</v>
      </c>
      <c r="O3076" t="s">
        <v>47425</v>
      </c>
      <c r="P3076">
        <v>0</v>
      </c>
      <c r="Q3076">
        <v>0</v>
      </c>
      <c r="R3076" t="s">
        <v>47428</v>
      </c>
      <c r="S3076" t="s">
        <v>47541</v>
      </c>
      <c r="T3076" t="s">
        <v>49145</v>
      </c>
      <c r="U3076" t="s">
        <v>52233</v>
      </c>
      <c r="W3076" t="s">
        <v>44370</v>
      </c>
      <c r="X3076" t="s">
        <v>47430</v>
      </c>
    </row>
    <row r="3077" spans="1:24">
      <c r="A3077">
        <f>HYPERLINK("https://www.philgeps.gov.ph/GEPSNONPILOT/Tender/SplashBidNoticeAbstractUI.aspx?menuIndex=3&amp;refID=7163146&amp;Result=3","7163146")</f>
        <v>0</v>
      </c>
      <c r="B3077" t="s">
        <v>1337</v>
      </c>
      <c r="C3077" t="s">
        <v>6835</v>
      </c>
      <c r="D3077" t="s">
        <v>19086</v>
      </c>
      <c r="E3077" t="s">
        <v>21887</v>
      </c>
      <c r="F3077" t="s">
        <v>32831</v>
      </c>
      <c r="G3077" t="s">
        <v>32838</v>
      </c>
      <c r="H3077" t="s">
        <v>32848</v>
      </c>
      <c r="I3077" t="s">
        <v>9577</v>
      </c>
      <c r="J3077" t="s">
        <v>33415</v>
      </c>
      <c r="K3077" t="s">
        <v>42726</v>
      </c>
      <c r="M3077" t="s">
        <v>44409</v>
      </c>
      <c r="N3077" t="s">
        <v>47424</v>
      </c>
      <c r="O3077" t="s">
        <v>47425</v>
      </c>
      <c r="P3077">
        <v>0</v>
      </c>
      <c r="Q3077">
        <v>5</v>
      </c>
      <c r="R3077" t="s">
        <v>47428</v>
      </c>
      <c r="S3077" t="s">
        <v>47541</v>
      </c>
      <c r="T3077" t="s">
        <v>49237</v>
      </c>
      <c r="U3077" t="s">
        <v>52299</v>
      </c>
      <c r="W3077" t="s">
        <v>44409</v>
      </c>
      <c r="X3077" t="s">
        <v>47430</v>
      </c>
    </row>
    <row r="3078" spans="1:24">
      <c r="A3078">
        <f>HYPERLINK("https://www.philgeps.gov.ph/GEPSNONPILOT/Tender/SplashBidNoticeAbstractUI.aspx?menuIndex=3&amp;refID=7163142&amp;Result=3","7163142")</f>
        <v>0</v>
      </c>
      <c r="B3078" t="s">
        <v>1330</v>
      </c>
      <c r="C3078" t="s">
        <v>6836</v>
      </c>
      <c r="D3078" t="s">
        <v>19095</v>
      </c>
      <c r="E3078" t="s">
        <v>21888</v>
      </c>
      <c r="F3078" t="s">
        <v>32831</v>
      </c>
      <c r="G3078" t="s">
        <v>32840</v>
      </c>
      <c r="H3078" t="s">
        <v>32848</v>
      </c>
      <c r="I3078" t="s">
        <v>4776</v>
      </c>
      <c r="J3078" t="s">
        <v>35023</v>
      </c>
      <c r="K3078" t="s">
        <v>42726</v>
      </c>
      <c r="M3078" t="s">
        <v>44401</v>
      </c>
      <c r="N3078" t="s">
        <v>47424</v>
      </c>
      <c r="O3078" t="s">
        <v>47425</v>
      </c>
      <c r="P3078">
        <v>0</v>
      </c>
      <c r="Q3078">
        <v>3</v>
      </c>
      <c r="R3078" t="s">
        <v>47428</v>
      </c>
      <c r="S3078" t="s">
        <v>47541</v>
      </c>
      <c r="T3078" t="s">
        <v>49111</v>
      </c>
      <c r="U3078" t="s">
        <v>52300</v>
      </c>
      <c r="V3078" t="s">
        <v>62963</v>
      </c>
      <c r="W3078" t="s">
        <v>44401</v>
      </c>
      <c r="X3078" t="s">
        <v>47430</v>
      </c>
    </row>
    <row r="3079" spans="1:24">
      <c r="A3079">
        <f>HYPERLINK("https://www.philgeps.gov.ph/GEPSNONPILOT/Tender/SplashBidNoticeAbstractUI.aspx?menuIndex=3&amp;refID=7163045&amp;Result=3","7163045")</f>
        <v>0</v>
      </c>
      <c r="B3079" t="s">
        <v>818</v>
      </c>
      <c r="C3079" t="s">
        <v>6837</v>
      </c>
      <c r="D3079" t="s">
        <v>19017</v>
      </c>
      <c r="E3079" t="s">
        <v>21889</v>
      </c>
      <c r="F3079" t="s">
        <v>32831</v>
      </c>
      <c r="G3079" t="s">
        <v>32838</v>
      </c>
      <c r="H3079" t="s">
        <v>32848</v>
      </c>
      <c r="I3079" t="s">
        <v>32857</v>
      </c>
      <c r="J3079" t="s">
        <v>35024</v>
      </c>
      <c r="K3079" t="s">
        <v>42732</v>
      </c>
      <c r="M3079" t="s">
        <v>43849</v>
      </c>
      <c r="N3079" t="s">
        <v>47424</v>
      </c>
      <c r="O3079" t="s">
        <v>47425</v>
      </c>
      <c r="P3079">
        <v>0</v>
      </c>
      <c r="Q3079">
        <v>18</v>
      </c>
      <c r="R3079" t="s">
        <v>47428</v>
      </c>
      <c r="S3079" t="s">
        <v>47541</v>
      </c>
      <c r="T3079" t="s">
        <v>49116</v>
      </c>
      <c r="U3079" t="s">
        <v>52301</v>
      </c>
      <c r="V3079" t="s">
        <v>62819</v>
      </c>
      <c r="W3079" t="s">
        <v>43849</v>
      </c>
      <c r="X3079" t="s">
        <v>47430</v>
      </c>
    </row>
    <row r="3080" spans="1:24">
      <c r="A3080">
        <f>HYPERLINK("https://www.philgeps.gov.ph/GEPSNONPILOT/Tender/SplashBidNoticeAbstractUI.aspx?menuIndex=3&amp;refID=7163141&amp;Result=3","7163141")</f>
        <v>0</v>
      </c>
      <c r="B3080" t="s">
        <v>960</v>
      </c>
      <c r="C3080" t="s">
        <v>6838</v>
      </c>
      <c r="D3080" t="s">
        <v>19017</v>
      </c>
      <c r="E3080" t="s">
        <v>21890</v>
      </c>
      <c r="F3080" t="s">
        <v>32831</v>
      </c>
      <c r="G3080" t="s">
        <v>32838</v>
      </c>
      <c r="H3080" t="s">
        <v>32848</v>
      </c>
      <c r="I3080" t="s">
        <v>32874</v>
      </c>
      <c r="J3080" t="s">
        <v>35025</v>
      </c>
      <c r="K3080" t="s">
        <v>42763</v>
      </c>
      <c r="M3080" t="s">
        <v>44410</v>
      </c>
      <c r="N3080" t="s">
        <v>47424</v>
      </c>
      <c r="O3080" t="s">
        <v>47425</v>
      </c>
      <c r="P3080">
        <v>0</v>
      </c>
      <c r="Q3080">
        <v>11</v>
      </c>
      <c r="R3080" t="s">
        <v>47428</v>
      </c>
      <c r="S3080" t="s">
        <v>47541</v>
      </c>
      <c r="T3080" t="s">
        <v>49103</v>
      </c>
      <c r="U3080" t="s">
        <v>52302</v>
      </c>
      <c r="W3080" t="s">
        <v>44410</v>
      </c>
      <c r="X3080" t="s">
        <v>47430</v>
      </c>
    </row>
    <row r="3081" spans="1:24">
      <c r="A3081">
        <f>HYPERLINK("https://www.philgeps.gov.ph/GEPSNONPILOT/Tender/SplashBidNoticeAbstractUI.aspx?menuIndex=3&amp;refID=7163050&amp;Result=3","7163050")</f>
        <v>0</v>
      </c>
      <c r="B3081" t="s">
        <v>1338</v>
      </c>
      <c r="C3081" t="s">
        <v>6839</v>
      </c>
      <c r="D3081" t="s">
        <v>19022</v>
      </c>
      <c r="E3081" t="s">
        <v>21891</v>
      </c>
      <c r="F3081" t="s">
        <v>32831</v>
      </c>
      <c r="G3081" t="s">
        <v>32842</v>
      </c>
      <c r="H3081" t="s">
        <v>32848</v>
      </c>
      <c r="I3081" t="s">
        <v>7416</v>
      </c>
      <c r="J3081" t="s">
        <v>35026</v>
      </c>
      <c r="K3081" t="s">
        <v>42726</v>
      </c>
      <c r="M3081" t="s">
        <v>44411</v>
      </c>
      <c r="N3081" t="s">
        <v>47424</v>
      </c>
      <c r="O3081" t="s">
        <v>47425</v>
      </c>
      <c r="P3081">
        <v>0</v>
      </c>
      <c r="Q3081">
        <v>0</v>
      </c>
      <c r="R3081" t="s">
        <v>47428</v>
      </c>
      <c r="S3081" t="s">
        <v>47541</v>
      </c>
      <c r="T3081" t="s">
        <v>49163</v>
      </c>
      <c r="U3081" t="s">
        <v>52303</v>
      </c>
      <c r="W3081" t="s">
        <v>44411</v>
      </c>
      <c r="X3081" t="s">
        <v>47430</v>
      </c>
    </row>
    <row r="3082" spans="1:24">
      <c r="A3082">
        <f>HYPERLINK("https://www.philgeps.gov.ph/GEPSNONPILOT/Tender/SplashBidNoticeAbstractUI.aspx?menuIndex=3&amp;refID=7163014&amp;Result=3","7163014")</f>
        <v>0</v>
      </c>
      <c r="B3082" t="s">
        <v>563</v>
      </c>
      <c r="C3082" t="s">
        <v>6840</v>
      </c>
      <c r="D3082" t="s">
        <v>19060</v>
      </c>
      <c r="E3082" t="s">
        <v>21892</v>
      </c>
      <c r="F3082" t="s">
        <v>32831</v>
      </c>
      <c r="G3082" t="s">
        <v>32842</v>
      </c>
      <c r="H3082" t="s">
        <v>32848</v>
      </c>
      <c r="I3082" t="s">
        <v>32860</v>
      </c>
      <c r="J3082" t="s">
        <v>35027</v>
      </c>
      <c r="K3082" t="s">
        <v>42732</v>
      </c>
      <c r="M3082" t="s">
        <v>43572</v>
      </c>
      <c r="N3082" t="s">
        <v>47424</v>
      </c>
      <c r="O3082" t="s">
        <v>47425</v>
      </c>
      <c r="P3082">
        <v>0</v>
      </c>
      <c r="Q3082">
        <v>1</v>
      </c>
      <c r="R3082" t="s">
        <v>47428</v>
      </c>
      <c r="S3082" t="s">
        <v>47541</v>
      </c>
      <c r="T3082" t="s">
        <v>49212</v>
      </c>
      <c r="U3082" t="s">
        <v>52304</v>
      </c>
      <c r="W3082" t="s">
        <v>43572</v>
      </c>
      <c r="X3082" t="s">
        <v>47430</v>
      </c>
    </row>
    <row r="3083" spans="1:24">
      <c r="A3083">
        <f>HYPERLINK("https://www.philgeps.gov.ph/GEPSNONPILOT/Tender/SplashBidNoticeAbstractUI.aspx?menuIndex=3&amp;refID=7163136&amp;Result=3","7163136")</f>
        <v>0</v>
      </c>
      <c r="B3083" t="s">
        <v>1339</v>
      </c>
      <c r="C3083" t="s">
        <v>6841</v>
      </c>
      <c r="D3083" t="s">
        <v>19048</v>
      </c>
      <c r="E3083" t="s">
        <v>21893</v>
      </c>
      <c r="F3083" t="s">
        <v>32831</v>
      </c>
      <c r="G3083" t="s">
        <v>32838</v>
      </c>
      <c r="H3083" t="s">
        <v>32848</v>
      </c>
      <c r="I3083" t="s">
        <v>32867</v>
      </c>
      <c r="J3083" t="s">
        <v>35028</v>
      </c>
      <c r="K3083" t="s">
        <v>42730</v>
      </c>
      <c r="M3083" t="s">
        <v>44412</v>
      </c>
      <c r="N3083" t="s">
        <v>47424</v>
      </c>
      <c r="O3083" t="s">
        <v>47425</v>
      </c>
      <c r="P3083">
        <v>0</v>
      </c>
      <c r="Q3083">
        <v>5</v>
      </c>
      <c r="R3083" t="s">
        <v>47428</v>
      </c>
      <c r="S3083" t="s">
        <v>47541</v>
      </c>
      <c r="T3083" t="s">
        <v>49104</v>
      </c>
      <c r="U3083" t="s">
        <v>52305</v>
      </c>
      <c r="W3083" t="s">
        <v>44412</v>
      </c>
      <c r="X3083" t="s">
        <v>47430</v>
      </c>
    </row>
    <row r="3084" spans="1:24">
      <c r="A3084">
        <f>HYPERLINK("https://www.philgeps.gov.ph/GEPSNONPILOT/Tender/SplashBidNoticeAbstractUI.aspx?menuIndex=3&amp;refID=7163143&amp;Result=3","7163143")</f>
        <v>0</v>
      </c>
      <c r="B3084" t="s">
        <v>693</v>
      </c>
      <c r="C3084" t="s">
        <v>6842</v>
      </c>
      <c r="D3084" t="s">
        <v>19073</v>
      </c>
      <c r="E3084" t="s">
        <v>20444</v>
      </c>
      <c r="F3084" t="s">
        <v>32831</v>
      </c>
      <c r="G3084" t="s">
        <v>32838</v>
      </c>
      <c r="H3084" t="s">
        <v>32848</v>
      </c>
      <c r="I3084" t="s">
        <v>32864</v>
      </c>
      <c r="J3084" t="s">
        <v>33041</v>
      </c>
      <c r="K3084" t="s">
        <v>42731</v>
      </c>
      <c r="M3084" t="s">
        <v>43712</v>
      </c>
      <c r="N3084" t="s">
        <v>47424</v>
      </c>
      <c r="O3084" t="s">
        <v>47425</v>
      </c>
      <c r="P3084">
        <v>0</v>
      </c>
      <c r="Q3084">
        <v>1</v>
      </c>
      <c r="R3084" t="s">
        <v>47428</v>
      </c>
      <c r="S3084" t="s">
        <v>47541</v>
      </c>
      <c r="T3084" t="s">
        <v>49108</v>
      </c>
      <c r="U3084" t="s">
        <v>52306</v>
      </c>
      <c r="W3084" t="s">
        <v>43712</v>
      </c>
      <c r="X3084" t="s">
        <v>47430</v>
      </c>
    </row>
    <row r="3085" spans="1:24">
      <c r="A3085">
        <f>HYPERLINK("https://www.philgeps.gov.ph/GEPSNONPILOT/Tender/SplashBidNoticeAbstractUI.aspx?menuIndex=3&amp;refID=7163134&amp;Result=3","7163134")</f>
        <v>0</v>
      </c>
      <c r="B3085" t="s">
        <v>1156</v>
      </c>
      <c r="C3085" t="s">
        <v>6843</v>
      </c>
      <c r="D3085" t="s">
        <v>19017</v>
      </c>
      <c r="E3085" t="s">
        <v>21894</v>
      </c>
      <c r="F3085" t="s">
        <v>32831</v>
      </c>
      <c r="G3085" t="s">
        <v>32838</v>
      </c>
      <c r="H3085" t="s">
        <v>32848</v>
      </c>
      <c r="I3085" t="s">
        <v>4487</v>
      </c>
      <c r="J3085" t="s">
        <v>35029</v>
      </c>
      <c r="K3085" t="s">
        <v>42731</v>
      </c>
      <c r="M3085" t="s">
        <v>44221</v>
      </c>
      <c r="N3085" t="s">
        <v>47424</v>
      </c>
      <c r="O3085" t="s">
        <v>47425</v>
      </c>
      <c r="P3085">
        <v>0</v>
      </c>
      <c r="Q3085">
        <v>5</v>
      </c>
      <c r="R3085" t="s">
        <v>47428</v>
      </c>
      <c r="S3085" t="s">
        <v>47541</v>
      </c>
      <c r="T3085" t="s">
        <v>49255</v>
      </c>
      <c r="U3085" t="s">
        <v>52296</v>
      </c>
      <c r="V3085" t="s">
        <v>62908</v>
      </c>
      <c r="W3085" t="s">
        <v>44221</v>
      </c>
      <c r="X3085" t="s">
        <v>47430</v>
      </c>
    </row>
    <row r="3086" spans="1:24">
      <c r="A3086">
        <f>HYPERLINK("https://www.philgeps.gov.ph/GEPSNONPILOT/Tender/SplashBidNoticeAbstractUI.aspx?menuIndex=3&amp;refID=7163132&amp;Result=3","7163132")</f>
        <v>0</v>
      </c>
      <c r="B3086" t="s">
        <v>1340</v>
      </c>
      <c r="C3086" t="s">
        <v>6844</v>
      </c>
      <c r="D3086" t="s">
        <v>19027</v>
      </c>
      <c r="E3086" t="s">
        <v>21895</v>
      </c>
      <c r="F3086" t="s">
        <v>32831</v>
      </c>
      <c r="G3086" t="s">
        <v>32839</v>
      </c>
      <c r="H3086" t="s">
        <v>32848</v>
      </c>
      <c r="I3086" t="s">
        <v>32867</v>
      </c>
      <c r="J3086" t="s">
        <v>33692</v>
      </c>
      <c r="K3086" t="s">
        <v>42730</v>
      </c>
      <c r="M3086" t="s">
        <v>44413</v>
      </c>
      <c r="N3086" t="s">
        <v>47424</v>
      </c>
      <c r="O3086" t="s">
        <v>47425</v>
      </c>
      <c r="P3086">
        <v>0</v>
      </c>
      <c r="Q3086">
        <v>2</v>
      </c>
      <c r="R3086" t="s">
        <v>47428</v>
      </c>
      <c r="S3086" t="s">
        <v>47541</v>
      </c>
      <c r="T3086" t="s">
        <v>49057</v>
      </c>
      <c r="U3086" t="s">
        <v>52307</v>
      </c>
      <c r="W3086" t="s">
        <v>44413</v>
      </c>
      <c r="X3086" t="s">
        <v>47430</v>
      </c>
    </row>
    <row r="3087" spans="1:24">
      <c r="A3087">
        <f>HYPERLINK("https://www.philgeps.gov.ph/GEPSNONPILOT/Tender/SplashBidNoticeAbstractUI.aspx?menuIndex=3&amp;refID=7163130&amp;Result=3","7163130")</f>
        <v>0</v>
      </c>
      <c r="B3087" t="s">
        <v>1341</v>
      </c>
      <c r="C3087" t="s">
        <v>6845</v>
      </c>
      <c r="D3087" t="s">
        <v>19017</v>
      </c>
      <c r="E3087" t="s">
        <v>21896</v>
      </c>
      <c r="F3087" t="s">
        <v>32831</v>
      </c>
      <c r="G3087" t="s">
        <v>32839</v>
      </c>
      <c r="H3087" t="s">
        <v>32848</v>
      </c>
      <c r="I3087" t="s">
        <v>4438</v>
      </c>
      <c r="J3087" t="s">
        <v>35030</v>
      </c>
      <c r="K3087" t="s">
        <v>42748</v>
      </c>
      <c r="M3087" t="s">
        <v>44414</v>
      </c>
      <c r="N3087" t="s">
        <v>47424</v>
      </c>
      <c r="O3087" t="s">
        <v>47425</v>
      </c>
      <c r="P3087">
        <v>0</v>
      </c>
      <c r="Q3087">
        <v>0</v>
      </c>
      <c r="R3087" t="s">
        <v>47428</v>
      </c>
      <c r="S3087" t="s">
        <v>47541</v>
      </c>
      <c r="T3087" t="s">
        <v>49236</v>
      </c>
      <c r="U3087" t="s">
        <v>52308</v>
      </c>
      <c r="W3087" t="s">
        <v>44414</v>
      </c>
      <c r="X3087" t="s">
        <v>47430</v>
      </c>
    </row>
    <row r="3088" spans="1:24">
      <c r="A3088">
        <f>HYPERLINK("https://www.philgeps.gov.ph/GEPSNONPILOT/Tender/SplashBidNoticeAbstractUI.aspx?menuIndex=3&amp;refID=7163129&amp;Result=3","7163129")</f>
        <v>0</v>
      </c>
      <c r="B3088" t="s">
        <v>1342</v>
      </c>
      <c r="C3088" t="s">
        <v>6846</v>
      </c>
      <c r="D3088" t="s">
        <v>19030</v>
      </c>
      <c r="E3088" t="s">
        <v>21897</v>
      </c>
      <c r="F3088" t="s">
        <v>32831</v>
      </c>
      <c r="G3088" t="s">
        <v>32839</v>
      </c>
      <c r="H3088" t="s">
        <v>32849</v>
      </c>
      <c r="I3088" t="s">
        <v>4177</v>
      </c>
      <c r="J3088" t="s">
        <v>35031</v>
      </c>
      <c r="K3088" t="s">
        <v>42747</v>
      </c>
      <c r="M3088" t="s">
        <v>44415</v>
      </c>
      <c r="N3088" t="s">
        <v>47424</v>
      </c>
      <c r="O3088" t="s">
        <v>47425</v>
      </c>
      <c r="P3088">
        <v>0</v>
      </c>
      <c r="Q3088">
        <v>4</v>
      </c>
      <c r="R3088" t="s">
        <v>47428</v>
      </c>
      <c r="S3088" t="s">
        <v>47541</v>
      </c>
      <c r="T3088" t="s">
        <v>49109</v>
      </c>
      <c r="U3088" t="s">
        <v>52309</v>
      </c>
      <c r="V3088" t="s">
        <v>62964</v>
      </c>
      <c r="W3088" t="s">
        <v>44415</v>
      </c>
      <c r="X3088" t="s">
        <v>47430</v>
      </c>
    </row>
    <row r="3089" spans="1:24">
      <c r="A3089">
        <f>HYPERLINK("https://www.philgeps.gov.ph/GEPSNONPILOT/Tender/SplashBidNoticeAbstractUI.aspx?menuIndex=3&amp;refID=7163137&amp;Result=3","7163137")</f>
        <v>0</v>
      </c>
      <c r="B3089" t="s">
        <v>1343</v>
      </c>
      <c r="C3089" t="s">
        <v>5892</v>
      </c>
      <c r="D3089" t="s">
        <v>19087</v>
      </c>
      <c r="E3089" t="s">
        <v>21898</v>
      </c>
      <c r="F3089" t="s">
        <v>32831</v>
      </c>
      <c r="G3089" t="s">
        <v>32838</v>
      </c>
      <c r="H3089" t="s">
        <v>32848</v>
      </c>
      <c r="I3089" t="s">
        <v>4558</v>
      </c>
      <c r="J3089" t="s">
        <v>34845</v>
      </c>
      <c r="K3089" t="s">
        <v>42732</v>
      </c>
      <c r="M3089" t="s">
        <v>44416</v>
      </c>
      <c r="N3089" t="s">
        <v>47424</v>
      </c>
      <c r="O3089" t="s">
        <v>47425</v>
      </c>
      <c r="P3089">
        <v>0</v>
      </c>
      <c r="Q3089">
        <v>0</v>
      </c>
      <c r="R3089" t="s">
        <v>47428</v>
      </c>
      <c r="S3089" t="s">
        <v>47541</v>
      </c>
      <c r="T3089" t="s">
        <v>49124</v>
      </c>
      <c r="U3089" t="s">
        <v>52310</v>
      </c>
      <c r="W3089" t="s">
        <v>44416</v>
      </c>
      <c r="X3089" t="s">
        <v>47430</v>
      </c>
    </row>
    <row r="3090" spans="1:24">
      <c r="A3090">
        <f>HYPERLINK("https://www.philgeps.gov.ph/GEPSNONPILOT/Tender/SplashBidNoticeAbstractUI.aspx?menuIndex=3&amp;refID=7163127&amp;Result=3","7163127")</f>
        <v>0</v>
      </c>
      <c r="B3090" t="s">
        <v>381</v>
      </c>
      <c r="C3090" t="s">
        <v>6847</v>
      </c>
      <c r="E3090" t="s">
        <v>21899</v>
      </c>
      <c r="F3090" t="s">
        <v>32831</v>
      </c>
      <c r="G3090" t="s">
        <v>32838</v>
      </c>
      <c r="H3090" t="s">
        <v>32848</v>
      </c>
      <c r="I3090" t="s">
        <v>32860</v>
      </c>
      <c r="J3090" t="s">
        <v>35032</v>
      </c>
      <c r="K3090" t="s">
        <v>42730</v>
      </c>
      <c r="M3090" t="s">
        <v>43385</v>
      </c>
      <c r="N3090" t="s">
        <v>47424</v>
      </c>
      <c r="O3090" t="s">
        <v>47425</v>
      </c>
      <c r="P3090">
        <v>0</v>
      </c>
      <c r="Q3090">
        <v>6</v>
      </c>
      <c r="R3090" t="s">
        <v>47428</v>
      </c>
      <c r="S3090" t="s">
        <v>47541</v>
      </c>
      <c r="T3090" t="s">
        <v>49108</v>
      </c>
      <c r="U3090" t="s">
        <v>52311</v>
      </c>
      <c r="W3090" t="s">
        <v>43385</v>
      </c>
      <c r="X3090" t="s">
        <v>47430</v>
      </c>
    </row>
    <row r="3091" spans="1:24">
      <c r="A3091">
        <f>HYPERLINK("https://www.philgeps.gov.ph/GEPSNONPILOT/Tender/SplashBidNoticeAbstractUI.aspx?menuIndex=3&amp;refID=7163122&amp;Result=3","7163122")</f>
        <v>0</v>
      </c>
      <c r="B3091" t="s">
        <v>787</v>
      </c>
      <c r="C3091" t="s">
        <v>6848</v>
      </c>
      <c r="D3091" t="s">
        <v>19045</v>
      </c>
      <c r="E3091" t="s">
        <v>20862</v>
      </c>
      <c r="F3091" t="s">
        <v>32831</v>
      </c>
      <c r="G3091" t="s">
        <v>32839</v>
      </c>
      <c r="H3091" t="s">
        <v>32849</v>
      </c>
      <c r="I3091" t="s">
        <v>4177</v>
      </c>
      <c r="J3091" t="s">
        <v>35033</v>
      </c>
      <c r="K3091" t="s">
        <v>42811</v>
      </c>
      <c r="M3091" t="s">
        <v>43816</v>
      </c>
      <c r="N3091" t="s">
        <v>47424</v>
      </c>
      <c r="O3091" t="s">
        <v>47425</v>
      </c>
      <c r="P3091">
        <v>0</v>
      </c>
      <c r="Q3091">
        <v>0</v>
      </c>
      <c r="R3091" t="s">
        <v>47428</v>
      </c>
      <c r="S3091" t="s">
        <v>47541</v>
      </c>
      <c r="T3091" t="s">
        <v>49291</v>
      </c>
      <c r="U3091" t="s">
        <v>52312</v>
      </c>
      <c r="W3091" t="s">
        <v>43816</v>
      </c>
      <c r="X3091" t="s">
        <v>47430</v>
      </c>
    </row>
    <row r="3092" spans="1:24">
      <c r="A3092">
        <f>HYPERLINK("https://www.philgeps.gov.ph/GEPSNONPILOT/Tender/SplashBidNoticeAbstractUI.aspx?menuIndex=3&amp;refID=7163120&amp;Result=3","7163120")</f>
        <v>0</v>
      </c>
      <c r="B3092" t="s">
        <v>1344</v>
      </c>
      <c r="C3092" t="s">
        <v>6849</v>
      </c>
      <c r="D3092" t="s">
        <v>19077</v>
      </c>
      <c r="E3092" t="s">
        <v>21900</v>
      </c>
      <c r="F3092" t="s">
        <v>32833</v>
      </c>
      <c r="G3092" t="s">
        <v>32839</v>
      </c>
      <c r="H3092" t="s">
        <v>32848</v>
      </c>
      <c r="I3092" t="s">
        <v>4438</v>
      </c>
      <c r="J3092" t="s">
        <v>35034</v>
      </c>
      <c r="K3092" t="s">
        <v>42732</v>
      </c>
      <c r="M3092" t="s">
        <v>44417</v>
      </c>
      <c r="N3092" t="s">
        <v>47424</v>
      </c>
      <c r="O3092" t="s">
        <v>47425</v>
      </c>
      <c r="P3092">
        <v>0</v>
      </c>
      <c r="Q3092">
        <v>0</v>
      </c>
      <c r="R3092" t="s">
        <v>47428</v>
      </c>
      <c r="S3092" t="s">
        <v>47541</v>
      </c>
      <c r="T3092" t="s">
        <v>49118</v>
      </c>
      <c r="U3092" t="s">
        <v>52313</v>
      </c>
      <c r="W3092" t="s">
        <v>44417</v>
      </c>
      <c r="X3092" t="s">
        <v>47430</v>
      </c>
    </row>
    <row r="3093" spans="1:24">
      <c r="A3093">
        <f>HYPERLINK("https://www.philgeps.gov.ph/GEPSNONPILOT/Tender/SplashBidNoticeAbstractUI.aspx?menuIndex=3&amp;refID=7163131&amp;Result=3","7163131")</f>
        <v>0</v>
      </c>
      <c r="B3093" t="s">
        <v>1328</v>
      </c>
      <c r="C3093" t="s">
        <v>6850</v>
      </c>
      <c r="D3093" t="s">
        <v>19057</v>
      </c>
      <c r="E3093" t="s">
        <v>21901</v>
      </c>
      <c r="F3093" t="s">
        <v>32831</v>
      </c>
      <c r="G3093" t="s">
        <v>32839</v>
      </c>
      <c r="H3093" t="s">
        <v>32849</v>
      </c>
      <c r="I3093" t="s">
        <v>4177</v>
      </c>
      <c r="J3093" t="s">
        <v>35035</v>
      </c>
      <c r="K3093" t="s">
        <v>42729</v>
      </c>
      <c r="M3093" t="s">
        <v>44399</v>
      </c>
      <c r="N3093" t="s">
        <v>47424</v>
      </c>
      <c r="O3093" t="s">
        <v>47425</v>
      </c>
      <c r="P3093">
        <v>0</v>
      </c>
      <c r="Q3093">
        <v>0</v>
      </c>
      <c r="R3093" t="s">
        <v>47428</v>
      </c>
      <c r="S3093" t="s">
        <v>47541</v>
      </c>
      <c r="T3093" t="s">
        <v>49073</v>
      </c>
      <c r="U3093" t="s">
        <v>52314</v>
      </c>
      <c r="W3093" t="s">
        <v>64465</v>
      </c>
      <c r="X3093" t="s">
        <v>47430</v>
      </c>
    </row>
    <row r="3094" spans="1:24">
      <c r="A3094">
        <f>HYPERLINK("https://www.philgeps.gov.ph/GEPSNONPILOT/Tender/SplashBidNoticeAbstractUI.aspx?menuIndex=3&amp;refID=7163128&amp;Result=3","7163128")</f>
        <v>0</v>
      </c>
      <c r="B3094" t="s">
        <v>1300</v>
      </c>
      <c r="C3094" t="s">
        <v>6851</v>
      </c>
      <c r="D3094" t="s">
        <v>19057</v>
      </c>
      <c r="E3094" t="s">
        <v>21902</v>
      </c>
      <c r="F3094" t="s">
        <v>32833</v>
      </c>
      <c r="G3094" t="s">
        <v>32840</v>
      </c>
      <c r="H3094" t="s">
        <v>32848</v>
      </c>
      <c r="I3094" t="s">
        <v>9577</v>
      </c>
      <c r="J3094" t="s">
        <v>33086</v>
      </c>
      <c r="K3094" t="s">
        <v>42759</v>
      </c>
      <c r="M3094" t="s">
        <v>44370</v>
      </c>
      <c r="N3094" t="s">
        <v>47424</v>
      </c>
      <c r="O3094" t="s">
        <v>47425</v>
      </c>
      <c r="P3094">
        <v>0</v>
      </c>
      <c r="Q3094">
        <v>0</v>
      </c>
      <c r="R3094" t="s">
        <v>47428</v>
      </c>
      <c r="S3094" t="s">
        <v>47541</v>
      </c>
      <c r="T3094" t="s">
        <v>49145</v>
      </c>
      <c r="U3094" t="s">
        <v>52233</v>
      </c>
      <c r="W3094" t="s">
        <v>44370</v>
      </c>
      <c r="X3094" t="s">
        <v>47430</v>
      </c>
    </row>
    <row r="3095" spans="1:24">
      <c r="A3095">
        <f>HYPERLINK("https://www.philgeps.gov.ph/GEPSNONPILOT/Tender/SplashBidNoticeAbstractUI.aspx?menuIndex=3&amp;refID=7163009&amp;Result=3","7163009")</f>
        <v>0</v>
      </c>
      <c r="B3095" t="s">
        <v>1345</v>
      </c>
      <c r="C3095" t="s">
        <v>6852</v>
      </c>
      <c r="D3095" t="s">
        <v>19077</v>
      </c>
      <c r="E3095" t="s">
        <v>21903</v>
      </c>
      <c r="F3095" t="s">
        <v>32831</v>
      </c>
      <c r="G3095" t="s">
        <v>32839</v>
      </c>
      <c r="H3095" t="s">
        <v>32849</v>
      </c>
      <c r="I3095" t="s">
        <v>4177</v>
      </c>
      <c r="J3095" t="s">
        <v>35036</v>
      </c>
      <c r="K3095" t="s">
        <v>42833</v>
      </c>
      <c r="L3095" t="s">
        <v>1345</v>
      </c>
      <c r="M3095" t="s">
        <v>44418</v>
      </c>
      <c r="N3095" t="s">
        <v>47424</v>
      </c>
      <c r="O3095" t="s">
        <v>47425</v>
      </c>
      <c r="P3095">
        <v>0</v>
      </c>
      <c r="Q3095">
        <v>1</v>
      </c>
      <c r="R3095" t="s">
        <v>47428</v>
      </c>
      <c r="S3095" t="s">
        <v>47541</v>
      </c>
      <c r="T3095" t="s">
        <v>49065</v>
      </c>
      <c r="U3095" t="s">
        <v>52315</v>
      </c>
      <c r="W3095" t="s">
        <v>44418</v>
      </c>
      <c r="X3095" t="s">
        <v>47430</v>
      </c>
    </row>
    <row r="3096" spans="1:24">
      <c r="A3096">
        <f>HYPERLINK("https://www.philgeps.gov.ph/GEPSNONPILOT/Tender/SplashBidNoticeAbstractUI.aspx?menuIndex=3&amp;refID=7163118&amp;Result=3","7163118")</f>
        <v>0</v>
      </c>
      <c r="B3096" t="s">
        <v>1346</v>
      </c>
      <c r="C3096" t="s">
        <v>6853</v>
      </c>
      <c r="D3096" t="s">
        <v>19074</v>
      </c>
      <c r="E3096" t="s">
        <v>21904</v>
      </c>
      <c r="F3096" t="s">
        <v>32831</v>
      </c>
      <c r="G3096" t="s">
        <v>32838</v>
      </c>
      <c r="H3096" t="s">
        <v>32848</v>
      </c>
      <c r="I3096" t="s">
        <v>32863</v>
      </c>
      <c r="J3096" t="s">
        <v>33044</v>
      </c>
      <c r="K3096" t="s">
        <v>42747</v>
      </c>
      <c r="M3096" t="s">
        <v>44419</v>
      </c>
      <c r="N3096" t="s">
        <v>47424</v>
      </c>
      <c r="O3096" t="s">
        <v>47425</v>
      </c>
      <c r="P3096">
        <v>0</v>
      </c>
      <c r="Q3096">
        <v>0</v>
      </c>
      <c r="R3096" t="s">
        <v>47428</v>
      </c>
      <c r="S3096" t="s">
        <v>47541</v>
      </c>
      <c r="T3096" t="s">
        <v>49237</v>
      </c>
      <c r="U3096" t="s">
        <v>52316</v>
      </c>
      <c r="W3096" t="s">
        <v>44419</v>
      </c>
      <c r="X3096" t="s">
        <v>47430</v>
      </c>
    </row>
    <row r="3097" spans="1:24">
      <c r="A3097">
        <f>HYPERLINK("https://www.philgeps.gov.ph/GEPSNONPILOT/Tender/SplashBidNoticeAbstractUI.aspx?menuIndex=3&amp;refID=7163140&amp;Result=3","7163140")</f>
        <v>0</v>
      </c>
      <c r="B3097" t="s">
        <v>1347</v>
      </c>
      <c r="C3097" t="s">
        <v>6854</v>
      </c>
      <c r="D3097" t="s">
        <v>19017</v>
      </c>
      <c r="E3097" t="s">
        <v>21905</v>
      </c>
      <c r="F3097" t="s">
        <v>32831</v>
      </c>
      <c r="G3097" t="s">
        <v>32838</v>
      </c>
      <c r="H3097" t="s">
        <v>32848</v>
      </c>
      <c r="I3097" t="s">
        <v>32869</v>
      </c>
      <c r="J3097" t="s">
        <v>32979</v>
      </c>
      <c r="K3097" t="s">
        <v>42732</v>
      </c>
      <c r="M3097" t="s">
        <v>44420</v>
      </c>
      <c r="N3097" t="s">
        <v>47424</v>
      </c>
      <c r="O3097" t="s">
        <v>47425</v>
      </c>
      <c r="P3097">
        <v>0</v>
      </c>
      <c r="Q3097">
        <v>3</v>
      </c>
      <c r="R3097" t="s">
        <v>47428</v>
      </c>
      <c r="S3097" t="s">
        <v>47541</v>
      </c>
      <c r="T3097" t="s">
        <v>49163</v>
      </c>
      <c r="U3097" t="s">
        <v>52317</v>
      </c>
      <c r="W3097" t="s">
        <v>44420</v>
      </c>
      <c r="X3097" t="s">
        <v>47430</v>
      </c>
    </row>
    <row r="3098" spans="1:24">
      <c r="A3098">
        <f>HYPERLINK("https://www.philgeps.gov.ph/GEPSNONPILOT/Tender/SplashBidNoticeAbstractUI.aspx?menuIndex=3&amp;refID=7162987&amp;Result=3","7162987")</f>
        <v>0</v>
      </c>
      <c r="B3098" t="s">
        <v>1253</v>
      </c>
      <c r="C3098" t="s">
        <v>6652</v>
      </c>
      <c r="D3098" t="s">
        <v>19020</v>
      </c>
      <c r="E3098" t="s">
        <v>21906</v>
      </c>
      <c r="F3098" t="s">
        <v>32831</v>
      </c>
      <c r="G3098" t="s">
        <v>32842</v>
      </c>
      <c r="H3098" t="s">
        <v>32848</v>
      </c>
      <c r="I3098" t="s">
        <v>32860</v>
      </c>
      <c r="J3098" t="s">
        <v>35037</v>
      </c>
      <c r="K3098" t="s">
        <v>42726</v>
      </c>
      <c r="M3098" t="s">
        <v>44323</v>
      </c>
      <c r="N3098" t="s">
        <v>47424</v>
      </c>
      <c r="O3098" t="s">
        <v>47425</v>
      </c>
      <c r="P3098">
        <v>0</v>
      </c>
      <c r="Q3098">
        <v>1</v>
      </c>
      <c r="R3098" t="s">
        <v>47428</v>
      </c>
      <c r="S3098" t="s">
        <v>47541</v>
      </c>
      <c r="T3098" t="s">
        <v>49330</v>
      </c>
      <c r="U3098" t="s">
        <v>52149</v>
      </c>
      <c r="W3098" t="s">
        <v>44323</v>
      </c>
      <c r="X3098" t="s">
        <v>47430</v>
      </c>
    </row>
    <row r="3099" spans="1:24">
      <c r="A3099">
        <f>HYPERLINK("https://www.philgeps.gov.ph/GEPSNONPILOT/Tender/SplashBidNoticeAbstractUI.aspx?menuIndex=3&amp;refID=7163013&amp;Result=3","7163013")</f>
        <v>0</v>
      </c>
      <c r="B3099" t="s">
        <v>1348</v>
      </c>
      <c r="C3099" t="s">
        <v>6855</v>
      </c>
      <c r="E3099" t="s">
        <v>19215</v>
      </c>
      <c r="F3099" t="s">
        <v>32831</v>
      </c>
      <c r="G3099" t="s">
        <v>32838</v>
      </c>
      <c r="H3099" t="s">
        <v>32848</v>
      </c>
      <c r="I3099" t="s">
        <v>32863</v>
      </c>
      <c r="J3099" t="s">
        <v>33072</v>
      </c>
      <c r="K3099" t="s">
        <v>42731</v>
      </c>
      <c r="M3099" t="s">
        <v>44421</v>
      </c>
      <c r="N3099" t="s">
        <v>47424</v>
      </c>
      <c r="O3099" t="s">
        <v>47425</v>
      </c>
      <c r="P3099">
        <v>0</v>
      </c>
      <c r="Q3099">
        <v>0</v>
      </c>
      <c r="R3099" t="s">
        <v>47428</v>
      </c>
      <c r="S3099" t="s">
        <v>47541</v>
      </c>
      <c r="T3099" t="s">
        <v>49104</v>
      </c>
      <c r="U3099" t="s">
        <v>52318</v>
      </c>
      <c r="W3099" t="s">
        <v>44421</v>
      </c>
      <c r="X3099" t="s">
        <v>47430</v>
      </c>
    </row>
    <row r="3100" spans="1:24">
      <c r="A3100">
        <f>HYPERLINK("https://www.philgeps.gov.ph/GEPSNONPILOT/Tender/SplashBidNoticeAbstractUI.aspx?menuIndex=3&amp;refID=7162985&amp;Result=3","7162985")</f>
        <v>0</v>
      </c>
      <c r="B3100" t="s">
        <v>671</v>
      </c>
      <c r="C3100" t="s">
        <v>6856</v>
      </c>
      <c r="D3100" t="s">
        <v>19030</v>
      </c>
      <c r="E3100" t="s">
        <v>21907</v>
      </c>
      <c r="F3100" t="s">
        <v>32831</v>
      </c>
      <c r="G3100" t="s">
        <v>32838</v>
      </c>
      <c r="H3100" t="s">
        <v>32848</v>
      </c>
      <c r="I3100" t="s">
        <v>4222</v>
      </c>
      <c r="J3100" t="s">
        <v>33397</v>
      </c>
      <c r="K3100" t="s">
        <v>42745</v>
      </c>
      <c r="M3100" t="s">
        <v>44422</v>
      </c>
      <c r="N3100" t="s">
        <v>47424</v>
      </c>
      <c r="O3100" t="s">
        <v>47425</v>
      </c>
      <c r="P3100">
        <v>0</v>
      </c>
      <c r="Q3100">
        <v>1</v>
      </c>
      <c r="R3100" t="s">
        <v>47428</v>
      </c>
      <c r="S3100" t="s">
        <v>47541</v>
      </c>
      <c r="T3100" t="s">
        <v>49237</v>
      </c>
      <c r="U3100" t="s">
        <v>52028</v>
      </c>
      <c r="V3100" t="s">
        <v>62919</v>
      </c>
      <c r="W3100" t="s">
        <v>64462</v>
      </c>
      <c r="X3100" t="s">
        <v>47430</v>
      </c>
    </row>
    <row r="3101" spans="1:24">
      <c r="A3101">
        <f>HYPERLINK("https://www.philgeps.gov.ph/GEPSNONPILOT/Tender/SplashBidNoticeAbstractUI.aspx?menuIndex=3&amp;refID=7162982&amp;Result=3","7162982")</f>
        <v>0</v>
      </c>
      <c r="B3101" t="s">
        <v>1317</v>
      </c>
      <c r="C3101" t="s">
        <v>6857</v>
      </c>
      <c r="D3101" t="s">
        <v>19074</v>
      </c>
      <c r="E3101" t="s">
        <v>21908</v>
      </c>
      <c r="F3101" t="s">
        <v>32831</v>
      </c>
      <c r="G3101" t="s">
        <v>32839</v>
      </c>
      <c r="H3101" t="s">
        <v>32849</v>
      </c>
      <c r="I3101" t="s">
        <v>4177</v>
      </c>
      <c r="J3101" t="s">
        <v>33257</v>
      </c>
      <c r="K3101" t="s">
        <v>42770</v>
      </c>
      <c r="M3101" t="s">
        <v>44388</v>
      </c>
      <c r="N3101" t="s">
        <v>47424</v>
      </c>
      <c r="O3101" t="s">
        <v>47425</v>
      </c>
      <c r="P3101">
        <v>0</v>
      </c>
      <c r="Q3101">
        <v>0</v>
      </c>
      <c r="R3101" t="s">
        <v>47428</v>
      </c>
      <c r="S3101" t="s">
        <v>47541</v>
      </c>
      <c r="T3101" t="s">
        <v>49334</v>
      </c>
      <c r="U3101" t="s">
        <v>52252</v>
      </c>
      <c r="V3101" t="s">
        <v>62965</v>
      </c>
      <c r="W3101" t="s">
        <v>44388</v>
      </c>
      <c r="X3101" t="s">
        <v>47430</v>
      </c>
    </row>
    <row r="3102" spans="1:24">
      <c r="A3102">
        <f>HYPERLINK("https://www.philgeps.gov.ph/GEPSNONPILOT/Tender/SplashBidNoticeAbstractUI.aspx?menuIndex=3&amp;refID=7163121&amp;Result=3","7163121")</f>
        <v>0</v>
      </c>
      <c r="B3102" t="s">
        <v>1349</v>
      </c>
      <c r="C3102" t="s">
        <v>6858</v>
      </c>
      <c r="D3102" t="s">
        <v>19021</v>
      </c>
      <c r="E3102" t="s">
        <v>19665</v>
      </c>
      <c r="F3102" t="s">
        <v>32831</v>
      </c>
      <c r="G3102" t="s">
        <v>32845</v>
      </c>
      <c r="H3102" t="s">
        <v>32849</v>
      </c>
      <c r="I3102" t="s">
        <v>4177</v>
      </c>
      <c r="J3102" t="s">
        <v>33078</v>
      </c>
      <c r="K3102" t="s">
        <v>42763</v>
      </c>
      <c r="M3102" t="s">
        <v>44423</v>
      </c>
      <c r="N3102" t="s">
        <v>47424</v>
      </c>
      <c r="O3102" t="s">
        <v>47425</v>
      </c>
      <c r="P3102">
        <v>0</v>
      </c>
      <c r="Q3102">
        <v>0</v>
      </c>
      <c r="R3102" t="s">
        <v>47428</v>
      </c>
      <c r="S3102" t="s">
        <v>47541</v>
      </c>
      <c r="T3102" t="s">
        <v>49310</v>
      </c>
      <c r="U3102" t="s">
        <v>52319</v>
      </c>
      <c r="V3102" t="s">
        <v>62966</v>
      </c>
      <c r="W3102" t="s">
        <v>44423</v>
      </c>
      <c r="X3102" t="s">
        <v>47430</v>
      </c>
    </row>
    <row r="3103" spans="1:24">
      <c r="A3103">
        <f>HYPERLINK("https://www.philgeps.gov.ph/GEPSNONPILOT/Tender/SplashBidNoticeAbstractUI.aspx?menuIndex=3&amp;refID=7162988&amp;Result=3","7162988")</f>
        <v>0</v>
      </c>
      <c r="B3103" t="s">
        <v>231</v>
      </c>
      <c r="C3103" t="s">
        <v>6859</v>
      </c>
      <c r="D3103" t="s">
        <v>19039</v>
      </c>
      <c r="E3103" t="s">
        <v>21909</v>
      </c>
      <c r="F3103" t="s">
        <v>32831</v>
      </c>
      <c r="G3103" t="s">
        <v>32838</v>
      </c>
      <c r="H3103" t="s">
        <v>32848</v>
      </c>
      <c r="I3103" t="s">
        <v>32863</v>
      </c>
      <c r="J3103" t="s">
        <v>35038</v>
      </c>
      <c r="K3103" t="s">
        <v>42730</v>
      </c>
      <c r="M3103" t="s">
        <v>43230</v>
      </c>
      <c r="N3103" t="s">
        <v>47424</v>
      </c>
      <c r="O3103" t="s">
        <v>47425</v>
      </c>
      <c r="P3103">
        <v>0</v>
      </c>
      <c r="Q3103">
        <v>0</v>
      </c>
      <c r="R3103" t="s">
        <v>47428</v>
      </c>
      <c r="S3103" t="s">
        <v>47541</v>
      </c>
      <c r="T3103" t="s">
        <v>49237</v>
      </c>
      <c r="U3103" t="s">
        <v>52320</v>
      </c>
      <c r="W3103" t="s">
        <v>43230</v>
      </c>
      <c r="X3103" t="s">
        <v>47430</v>
      </c>
    </row>
    <row r="3104" spans="1:24">
      <c r="A3104">
        <f>HYPERLINK("https://www.philgeps.gov.ph/GEPSNONPILOT/Tender/SplashBidNoticeAbstractUI.aspx?menuIndex=3&amp;refID=7163010&amp;Result=3","7163010")</f>
        <v>0</v>
      </c>
      <c r="B3104" t="s">
        <v>1350</v>
      </c>
      <c r="C3104" t="s">
        <v>6860</v>
      </c>
      <c r="D3104" t="s">
        <v>19062</v>
      </c>
      <c r="E3104" t="s">
        <v>21910</v>
      </c>
      <c r="F3104" t="s">
        <v>32831</v>
      </c>
      <c r="G3104" t="s">
        <v>32840</v>
      </c>
      <c r="H3104" t="s">
        <v>32848</v>
      </c>
      <c r="I3104" t="s">
        <v>32860</v>
      </c>
      <c r="J3104" t="s">
        <v>35039</v>
      </c>
      <c r="K3104" t="s">
        <v>42758</v>
      </c>
      <c r="M3104" t="s">
        <v>44424</v>
      </c>
      <c r="N3104" t="s">
        <v>47424</v>
      </c>
      <c r="O3104" t="s">
        <v>47425</v>
      </c>
      <c r="P3104">
        <v>0</v>
      </c>
      <c r="Q3104">
        <v>0</v>
      </c>
      <c r="R3104" t="s">
        <v>47428</v>
      </c>
      <c r="S3104" t="s">
        <v>47541</v>
      </c>
      <c r="T3104" t="s">
        <v>49145</v>
      </c>
      <c r="U3104" t="s">
        <v>52321</v>
      </c>
      <c r="W3104" t="s">
        <v>44424</v>
      </c>
      <c r="X3104" t="s">
        <v>47430</v>
      </c>
    </row>
    <row r="3105" spans="1:24">
      <c r="A3105">
        <f>HYPERLINK("https://www.philgeps.gov.ph/GEPSNONPILOT/Tender/SplashBidNoticeAbstractUI.aspx?menuIndex=3&amp;refID=7162978&amp;Result=3","7162978")</f>
        <v>0</v>
      </c>
      <c r="B3105" t="s">
        <v>674</v>
      </c>
      <c r="C3105" t="s">
        <v>6861</v>
      </c>
      <c r="D3105" t="s">
        <v>19058</v>
      </c>
      <c r="E3105" t="s">
        <v>21911</v>
      </c>
      <c r="F3105" t="s">
        <v>32831</v>
      </c>
      <c r="G3105" t="s">
        <v>32838</v>
      </c>
      <c r="H3105" t="s">
        <v>32848</v>
      </c>
      <c r="I3105" t="s">
        <v>32870</v>
      </c>
      <c r="J3105" t="s">
        <v>35040</v>
      </c>
      <c r="K3105" t="s">
        <v>42732</v>
      </c>
      <c r="M3105" t="s">
        <v>43693</v>
      </c>
      <c r="N3105" t="s">
        <v>47424</v>
      </c>
      <c r="O3105" t="s">
        <v>47425</v>
      </c>
      <c r="P3105">
        <v>0</v>
      </c>
      <c r="Q3105">
        <v>0</v>
      </c>
      <c r="R3105" t="s">
        <v>47428</v>
      </c>
      <c r="S3105" t="s">
        <v>47541</v>
      </c>
      <c r="T3105" t="s">
        <v>49237</v>
      </c>
      <c r="U3105" t="s">
        <v>52322</v>
      </c>
      <c r="W3105" t="s">
        <v>43693</v>
      </c>
      <c r="X3105" t="s">
        <v>47430</v>
      </c>
    </row>
    <row r="3106" spans="1:24">
      <c r="A3106">
        <f>HYPERLINK("https://www.philgeps.gov.ph/GEPSNONPILOT/Tender/SplashBidNoticeAbstractUI.aspx?menuIndex=3&amp;refID=7162984&amp;Result=3","7162984")</f>
        <v>0</v>
      </c>
      <c r="B3106" t="s">
        <v>1351</v>
      </c>
      <c r="C3106" t="s">
        <v>6862</v>
      </c>
      <c r="D3106" t="s">
        <v>19080</v>
      </c>
      <c r="E3106" t="s">
        <v>21912</v>
      </c>
      <c r="F3106" t="s">
        <v>32831</v>
      </c>
      <c r="G3106" t="s">
        <v>32840</v>
      </c>
      <c r="H3106" t="s">
        <v>32848</v>
      </c>
      <c r="I3106" t="s">
        <v>4438</v>
      </c>
      <c r="J3106" t="s">
        <v>35041</v>
      </c>
      <c r="K3106" t="s">
        <v>42731</v>
      </c>
      <c r="M3106" t="s">
        <v>44425</v>
      </c>
      <c r="N3106" t="s">
        <v>47424</v>
      </c>
      <c r="O3106" t="s">
        <v>47425</v>
      </c>
      <c r="P3106">
        <v>0</v>
      </c>
      <c r="Q3106">
        <v>0</v>
      </c>
      <c r="R3106" t="s">
        <v>47428</v>
      </c>
      <c r="S3106" t="s">
        <v>47541</v>
      </c>
      <c r="T3106" t="s">
        <v>49214</v>
      </c>
      <c r="U3106" t="s">
        <v>52323</v>
      </c>
      <c r="V3106" t="s">
        <v>50201</v>
      </c>
      <c r="W3106" t="s">
        <v>44425</v>
      </c>
      <c r="X3106" t="s">
        <v>47430</v>
      </c>
    </row>
    <row r="3107" spans="1:24">
      <c r="A3107">
        <f>HYPERLINK("https://www.philgeps.gov.ph/GEPSNONPILOT/Tender/SplashBidNoticeAbstractUI.aspx?menuIndex=3&amp;refID=7162983&amp;Result=3","7162983")</f>
        <v>0</v>
      </c>
      <c r="B3107" t="s">
        <v>1352</v>
      </c>
      <c r="C3107" t="s">
        <v>6863</v>
      </c>
      <c r="D3107" t="s">
        <v>19047</v>
      </c>
      <c r="E3107" t="s">
        <v>19203</v>
      </c>
      <c r="F3107" t="s">
        <v>32831</v>
      </c>
      <c r="G3107" t="s">
        <v>32838</v>
      </c>
      <c r="H3107" t="s">
        <v>32848</v>
      </c>
      <c r="I3107" t="s">
        <v>32860</v>
      </c>
      <c r="J3107" t="s">
        <v>33098</v>
      </c>
      <c r="K3107" t="s">
        <v>42748</v>
      </c>
      <c r="M3107" t="s">
        <v>44426</v>
      </c>
      <c r="N3107" t="s">
        <v>47424</v>
      </c>
      <c r="O3107" t="s">
        <v>47425</v>
      </c>
      <c r="P3107">
        <v>0</v>
      </c>
      <c r="Q3107">
        <v>4</v>
      </c>
      <c r="R3107" t="s">
        <v>47428</v>
      </c>
      <c r="S3107" t="s">
        <v>47541</v>
      </c>
      <c r="T3107" t="s">
        <v>49318</v>
      </c>
      <c r="U3107" t="s">
        <v>52324</v>
      </c>
      <c r="W3107" t="s">
        <v>44426</v>
      </c>
      <c r="X3107" t="s">
        <v>47430</v>
      </c>
    </row>
    <row r="3108" spans="1:24">
      <c r="A3108">
        <f>HYPERLINK("https://www.philgeps.gov.ph/GEPSNONPILOT/Tender/SplashBidNoticeAbstractUI.aspx?menuIndex=3&amp;refID=7163176&amp;Result=3","7163176")</f>
        <v>0</v>
      </c>
      <c r="B3108" t="s">
        <v>1353</v>
      </c>
      <c r="C3108" t="s">
        <v>6864</v>
      </c>
      <c r="D3108" t="s">
        <v>19042</v>
      </c>
      <c r="E3108" t="s">
        <v>21913</v>
      </c>
      <c r="F3108" t="s">
        <v>32831</v>
      </c>
      <c r="G3108" t="s">
        <v>32840</v>
      </c>
      <c r="H3108" t="s">
        <v>32848</v>
      </c>
      <c r="I3108" t="s">
        <v>9577</v>
      </c>
      <c r="J3108" t="s">
        <v>33025</v>
      </c>
      <c r="K3108" t="s">
        <v>42745</v>
      </c>
      <c r="M3108" t="s">
        <v>44427</v>
      </c>
      <c r="N3108" t="s">
        <v>47424</v>
      </c>
      <c r="O3108" t="s">
        <v>47425</v>
      </c>
      <c r="P3108">
        <v>0</v>
      </c>
      <c r="Q3108">
        <v>3</v>
      </c>
      <c r="R3108" t="s">
        <v>47428</v>
      </c>
      <c r="S3108" t="s">
        <v>47541</v>
      </c>
      <c r="T3108" t="s">
        <v>49162</v>
      </c>
      <c r="U3108" t="s">
        <v>52325</v>
      </c>
      <c r="V3108" t="s">
        <v>62967</v>
      </c>
      <c r="W3108" t="s">
        <v>44427</v>
      </c>
      <c r="X3108" t="s">
        <v>47430</v>
      </c>
    </row>
    <row r="3109" spans="1:24">
      <c r="A3109">
        <f>HYPERLINK("https://www.philgeps.gov.ph/GEPSNONPILOT/Tender/SplashBidNoticeAbstractUI.aspx?menuIndex=3&amp;refID=7163175&amp;Result=3","7163175")</f>
        <v>0</v>
      </c>
      <c r="B3109" t="s">
        <v>771</v>
      </c>
      <c r="C3109" t="s">
        <v>6865</v>
      </c>
      <c r="D3109" t="s">
        <v>19073</v>
      </c>
      <c r="E3109" t="s">
        <v>21914</v>
      </c>
      <c r="F3109" t="s">
        <v>32831</v>
      </c>
      <c r="G3109" t="s">
        <v>32840</v>
      </c>
      <c r="H3109" t="s">
        <v>32848</v>
      </c>
      <c r="I3109" t="s">
        <v>7416</v>
      </c>
      <c r="J3109" t="s">
        <v>35042</v>
      </c>
      <c r="K3109" t="s">
        <v>42726</v>
      </c>
      <c r="M3109" t="s">
        <v>43800</v>
      </c>
      <c r="N3109" t="s">
        <v>47424</v>
      </c>
      <c r="O3109" t="s">
        <v>47425</v>
      </c>
      <c r="P3109">
        <v>0</v>
      </c>
      <c r="Q3109">
        <v>2</v>
      </c>
      <c r="R3109" t="s">
        <v>47428</v>
      </c>
      <c r="S3109" t="s">
        <v>47541</v>
      </c>
      <c r="T3109" t="s">
        <v>49237</v>
      </c>
      <c r="U3109" t="s">
        <v>52326</v>
      </c>
      <c r="W3109" t="s">
        <v>43800</v>
      </c>
      <c r="X3109" t="s">
        <v>47430</v>
      </c>
    </row>
    <row r="3110" spans="1:24">
      <c r="A3110">
        <f>HYPERLINK("https://www.philgeps.gov.ph/GEPSNONPILOT/Tender/SplashBidNoticeAbstractUI.aspx?menuIndex=3&amp;refID=7162980&amp;Result=3","7162980")</f>
        <v>0</v>
      </c>
      <c r="B3110" t="s">
        <v>1296</v>
      </c>
      <c r="C3110" t="s">
        <v>6866</v>
      </c>
      <c r="D3110" t="s">
        <v>19034</v>
      </c>
      <c r="E3110" t="s">
        <v>21915</v>
      </c>
      <c r="F3110" t="s">
        <v>32831</v>
      </c>
      <c r="G3110" t="s">
        <v>32838</v>
      </c>
      <c r="H3110" t="s">
        <v>32848</v>
      </c>
      <c r="I3110" t="s">
        <v>32886</v>
      </c>
      <c r="J3110" t="s">
        <v>32980</v>
      </c>
      <c r="K3110" t="s">
        <v>42731</v>
      </c>
      <c r="M3110" t="s">
        <v>44366</v>
      </c>
      <c r="N3110" t="s">
        <v>47424</v>
      </c>
      <c r="O3110" t="s">
        <v>47425</v>
      </c>
      <c r="P3110">
        <v>0</v>
      </c>
      <c r="Q3110">
        <v>1</v>
      </c>
      <c r="R3110" t="s">
        <v>47428</v>
      </c>
      <c r="S3110" t="s">
        <v>47541</v>
      </c>
      <c r="T3110" t="s">
        <v>49177</v>
      </c>
      <c r="U3110" t="s">
        <v>52327</v>
      </c>
      <c r="W3110" t="s">
        <v>44366</v>
      </c>
      <c r="X3110" t="s">
        <v>47430</v>
      </c>
    </row>
    <row r="3111" spans="1:24">
      <c r="A3111">
        <f>HYPERLINK("https://www.philgeps.gov.ph/GEPSNONPILOT/Tender/SplashBidNoticeAbstractUI.aspx?menuIndex=3&amp;refID=7163170&amp;Result=3","7163170")</f>
        <v>0</v>
      </c>
      <c r="B3111" t="s">
        <v>1354</v>
      </c>
      <c r="C3111" t="s">
        <v>6867</v>
      </c>
      <c r="D3111" t="s">
        <v>19081</v>
      </c>
      <c r="E3111" t="s">
        <v>21916</v>
      </c>
      <c r="F3111" t="s">
        <v>32831</v>
      </c>
      <c r="G3111" t="s">
        <v>32842</v>
      </c>
      <c r="H3111" t="s">
        <v>32848</v>
      </c>
      <c r="I3111" t="s">
        <v>32860</v>
      </c>
      <c r="J3111" t="s">
        <v>33098</v>
      </c>
      <c r="K3111" t="s">
        <v>42758</v>
      </c>
      <c r="M3111" t="s">
        <v>44428</v>
      </c>
      <c r="N3111" t="s">
        <v>47424</v>
      </c>
      <c r="O3111" t="s">
        <v>47425</v>
      </c>
      <c r="P3111">
        <v>0</v>
      </c>
      <c r="Q3111">
        <v>0</v>
      </c>
      <c r="R3111" t="s">
        <v>47428</v>
      </c>
      <c r="S3111" t="s">
        <v>47541</v>
      </c>
      <c r="T3111" t="s">
        <v>49166</v>
      </c>
      <c r="U3111" t="s">
        <v>52328</v>
      </c>
      <c r="W3111" t="s">
        <v>44428</v>
      </c>
      <c r="X3111" t="s">
        <v>47430</v>
      </c>
    </row>
    <row r="3112" spans="1:24">
      <c r="A3112">
        <f>HYPERLINK("https://www.philgeps.gov.ph/GEPSNONPILOT/Tender/SplashBidNoticeAbstractUI.aspx?menuIndex=3&amp;refID=7163169&amp;Result=3","7163169")</f>
        <v>0</v>
      </c>
      <c r="B3112" t="s">
        <v>1328</v>
      </c>
      <c r="C3112" t="s">
        <v>6868</v>
      </c>
      <c r="D3112" t="s">
        <v>19057</v>
      </c>
      <c r="E3112" t="s">
        <v>21917</v>
      </c>
      <c r="F3112" t="s">
        <v>32831</v>
      </c>
      <c r="G3112" t="s">
        <v>32839</v>
      </c>
      <c r="H3112" t="s">
        <v>32849</v>
      </c>
      <c r="I3112" t="s">
        <v>4177</v>
      </c>
      <c r="J3112" t="s">
        <v>35043</v>
      </c>
      <c r="K3112" t="s">
        <v>42770</v>
      </c>
      <c r="M3112" t="s">
        <v>44399</v>
      </c>
      <c r="N3112" t="s">
        <v>47424</v>
      </c>
      <c r="O3112" t="s">
        <v>47425</v>
      </c>
      <c r="P3112">
        <v>0</v>
      </c>
      <c r="Q3112">
        <v>0</v>
      </c>
      <c r="R3112" t="s">
        <v>47428</v>
      </c>
      <c r="S3112" t="s">
        <v>47541</v>
      </c>
      <c r="T3112" t="s">
        <v>49132</v>
      </c>
      <c r="U3112" t="s">
        <v>52329</v>
      </c>
      <c r="W3112" t="s">
        <v>64465</v>
      </c>
      <c r="X3112" t="s">
        <v>47430</v>
      </c>
    </row>
    <row r="3113" spans="1:24">
      <c r="A3113">
        <f>HYPERLINK("https://www.philgeps.gov.ph/GEPSNONPILOT/Tender/SplashBidNoticeAbstractUI.aspx?menuIndex=3&amp;refID=7163165&amp;Result=3","7163165")</f>
        <v>0</v>
      </c>
      <c r="B3113" t="s">
        <v>1334</v>
      </c>
      <c r="C3113" t="s">
        <v>6869</v>
      </c>
      <c r="D3113" t="s">
        <v>19077</v>
      </c>
      <c r="E3113" t="s">
        <v>21918</v>
      </c>
      <c r="F3113" t="s">
        <v>32831</v>
      </c>
      <c r="G3113" t="s">
        <v>32839</v>
      </c>
      <c r="H3113" t="s">
        <v>32848</v>
      </c>
      <c r="I3113" t="s">
        <v>7416</v>
      </c>
      <c r="J3113" t="s">
        <v>35044</v>
      </c>
      <c r="K3113" t="s">
        <v>42732</v>
      </c>
      <c r="M3113" t="s">
        <v>44406</v>
      </c>
      <c r="N3113" t="s">
        <v>47424</v>
      </c>
      <c r="O3113" t="s">
        <v>47425</v>
      </c>
      <c r="P3113">
        <v>0</v>
      </c>
      <c r="Q3113">
        <v>0</v>
      </c>
      <c r="R3113" t="s">
        <v>47428</v>
      </c>
      <c r="S3113" t="s">
        <v>47541</v>
      </c>
      <c r="T3113" t="s">
        <v>49068</v>
      </c>
      <c r="U3113" t="s">
        <v>52330</v>
      </c>
      <c r="W3113" t="s">
        <v>44406</v>
      </c>
      <c r="X3113" t="s">
        <v>47430</v>
      </c>
    </row>
    <row r="3114" spans="1:24">
      <c r="A3114">
        <f>HYPERLINK("https://www.philgeps.gov.ph/GEPSNONPILOT/Tender/SplashBidNoticeAbstractUI.aspx?menuIndex=3&amp;refID=7163163&amp;Result=3","7163163")</f>
        <v>0</v>
      </c>
      <c r="B3114" t="s">
        <v>855</v>
      </c>
      <c r="C3114" t="s">
        <v>6870</v>
      </c>
      <c r="E3114" t="s">
        <v>21919</v>
      </c>
      <c r="F3114" t="s">
        <v>32831</v>
      </c>
      <c r="G3114" t="s">
        <v>32838</v>
      </c>
      <c r="H3114" t="s">
        <v>32848</v>
      </c>
      <c r="I3114" t="s">
        <v>32857</v>
      </c>
      <c r="J3114" t="s">
        <v>35045</v>
      </c>
      <c r="K3114" t="s">
        <v>42732</v>
      </c>
      <c r="M3114" t="s">
        <v>44429</v>
      </c>
      <c r="N3114" t="s">
        <v>47424</v>
      </c>
      <c r="O3114" t="s">
        <v>47425</v>
      </c>
      <c r="P3114">
        <v>0</v>
      </c>
      <c r="Q3114">
        <v>8</v>
      </c>
      <c r="R3114" t="s">
        <v>47428</v>
      </c>
      <c r="S3114" t="s">
        <v>47541</v>
      </c>
      <c r="T3114" t="s">
        <v>49244</v>
      </c>
      <c r="U3114" t="s">
        <v>51102</v>
      </c>
      <c r="W3114" t="s">
        <v>44429</v>
      </c>
      <c r="X3114" t="s">
        <v>47430</v>
      </c>
    </row>
    <row r="3115" spans="1:24">
      <c r="A3115">
        <f>HYPERLINK("https://www.philgeps.gov.ph/GEPSNONPILOT/Tender/SplashBidNoticeAbstractUI.aspx?menuIndex=3&amp;refID=7163162&amp;Result=3","7163162")</f>
        <v>0</v>
      </c>
      <c r="B3115" t="s">
        <v>473</v>
      </c>
      <c r="C3115" t="s">
        <v>6871</v>
      </c>
      <c r="D3115" t="s">
        <v>19091</v>
      </c>
      <c r="E3115" t="s">
        <v>21920</v>
      </c>
      <c r="F3115" t="s">
        <v>32831</v>
      </c>
      <c r="G3115" t="s">
        <v>32842</v>
      </c>
      <c r="H3115" t="s">
        <v>32848</v>
      </c>
      <c r="I3115" t="s">
        <v>9577</v>
      </c>
      <c r="J3115" t="s">
        <v>35046</v>
      </c>
      <c r="K3115" t="s">
        <v>42727</v>
      </c>
      <c r="M3115" t="s">
        <v>44430</v>
      </c>
      <c r="N3115" t="s">
        <v>47424</v>
      </c>
      <c r="O3115" t="s">
        <v>47425</v>
      </c>
      <c r="P3115">
        <v>0</v>
      </c>
      <c r="Q3115">
        <v>2</v>
      </c>
      <c r="R3115" t="s">
        <v>47428</v>
      </c>
      <c r="S3115" t="s">
        <v>47541</v>
      </c>
      <c r="T3115" t="s">
        <v>49166</v>
      </c>
      <c r="U3115" t="s">
        <v>52331</v>
      </c>
      <c r="W3115" t="s">
        <v>44430</v>
      </c>
      <c r="X3115" t="s">
        <v>47430</v>
      </c>
    </row>
    <row r="3116" spans="1:24">
      <c r="A3116">
        <f>HYPERLINK("https://www.philgeps.gov.ph/GEPSNONPILOT/Tender/SplashBidNoticeAbstractUI.aspx?menuIndex=3&amp;refID=7163160&amp;Result=3","7163160")</f>
        <v>0</v>
      </c>
      <c r="B3116" t="s">
        <v>693</v>
      </c>
      <c r="C3116" t="s">
        <v>6872</v>
      </c>
      <c r="D3116" t="s">
        <v>19073</v>
      </c>
      <c r="E3116" t="s">
        <v>20444</v>
      </c>
      <c r="F3116" t="s">
        <v>32831</v>
      </c>
      <c r="G3116" t="s">
        <v>32838</v>
      </c>
      <c r="H3116" t="s">
        <v>32848</v>
      </c>
      <c r="I3116" t="s">
        <v>32864</v>
      </c>
      <c r="J3116" t="s">
        <v>33929</v>
      </c>
      <c r="K3116" t="s">
        <v>42731</v>
      </c>
      <c r="M3116" t="s">
        <v>43712</v>
      </c>
      <c r="N3116" t="s">
        <v>47424</v>
      </c>
      <c r="O3116" t="s">
        <v>47425</v>
      </c>
      <c r="P3116">
        <v>0</v>
      </c>
      <c r="Q3116">
        <v>3</v>
      </c>
      <c r="R3116" t="s">
        <v>47428</v>
      </c>
      <c r="S3116" t="s">
        <v>47541</v>
      </c>
      <c r="T3116" t="s">
        <v>49108</v>
      </c>
      <c r="U3116" t="s">
        <v>52332</v>
      </c>
      <c r="W3116" t="s">
        <v>43712</v>
      </c>
      <c r="X3116" t="s">
        <v>47430</v>
      </c>
    </row>
    <row r="3117" spans="1:24">
      <c r="A3117">
        <f>HYPERLINK("https://www.philgeps.gov.ph/GEPSNONPILOT/Tender/SplashBidNoticeAbstractUI.aspx?menuIndex=3&amp;refID=7163168&amp;Result=3","7163168")</f>
        <v>0</v>
      </c>
      <c r="B3117" t="s">
        <v>750</v>
      </c>
      <c r="C3117" t="s">
        <v>6873</v>
      </c>
      <c r="D3117" t="s">
        <v>19022</v>
      </c>
      <c r="E3117" t="s">
        <v>21921</v>
      </c>
      <c r="F3117" t="s">
        <v>32831</v>
      </c>
      <c r="G3117" t="s">
        <v>32838</v>
      </c>
      <c r="H3117" t="s">
        <v>32848</v>
      </c>
      <c r="I3117" t="s">
        <v>32864</v>
      </c>
      <c r="J3117" t="s">
        <v>35047</v>
      </c>
      <c r="K3117" t="s">
        <v>42732</v>
      </c>
      <c r="M3117" t="s">
        <v>43773</v>
      </c>
      <c r="N3117" t="s">
        <v>47424</v>
      </c>
      <c r="O3117" t="s">
        <v>47425</v>
      </c>
      <c r="P3117">
        <v>0</v>
      </c>
      <c r="Q3117">
        <v>1</v>
      </c>
      <c r="R3117" t="s">
        <v>47428</v>
      </c>
      <c r="S3117" t="s">
        <v>47541</v>
      </c>
      <c r="T3117" t="s">
        <v>49145</v>
      </c>
      <c r="U3117" t="s">
        <v>52333</v>
      </c>
      <c r="W3117" t="s">
        <v>43773</v>
      </c>
      <c r="X3117" t="s">
        <v>47430</v>
      </c>
    </row>
    <row r="3118" spans="1:24">
      <c r="A3118">
        <f>HYPERLINK("https://www.philgeps.gov.ph/GEPSNONPILOT/Tender/SplashBidNoticeAbstractUI.aspx?menuIndex=3&amp;refID=7163179&amp;Result=3","7163179")</f>
        <v>0</v>
      </c>
      <c r="B3118" t="s">
        <v>1355</v>
      </c>
      <c r="C3118" t="s">
        <v>6874</v>
      </c>
      <c r="D3118" t="s">
        <v>19103</v>
      </c>
      <c r="E3118" t="s">
        <v>21922</v>
      </c>
      <c r="F3118" t="s">
        <v>32831</v>
      </c>
      <c r="G3118" t="s">
        <v>32839</v>
      </c>
      <c r="H3118" t="s">
        <v>32849</v>
      </c>
      <c r="I3118" t="s">
        <v>4177</v>
      </c>
      <c r="J3118" t="s">
        <v>35048</v>
      </c>
      <c r="K3118" t="s">
        <v>42734</v>
      </c>
      <c r="M3118" t="s">
        <v>44431</v>
      </c>
      <c r="N3118" t="s">
        <v>47424</v>
      </c>
      <c r="O3118" t="s">
        <v>47425</v>
      </c>
      <c r="P3118">
        <v>0</v>
      </c>
      <c r="Q3118">
        <v>0</v>
      </c>
      <c r="R3118" t="s">
        <v>47428</v>
      </c>
      <c r="S3118" t="s">
        <v>47541</v>
      </c>
      <c r="T3118" t="s">
        <v>49335</v>
      </c>
      <c r="U3118" t="s">
        <v>52334</v>
      </c>
      <c r="W3118" t="s">
        <v>44431</v>
      </c>
      <c r="X3118" t="s">
        <v>47430</v>
      </c>
    </row>
    <row r="3119" spans="1:24">
      <c r="A3119">
        <f>HYPERLINK("https://www.philgeps.gov.ph/GEPSNONPILOT/Tender/SplashBidNoticeAbstractUI.aspx?menuIndex=3&amp;refID=7163159&amp;Result=3","7163159")</f>
        <v>0</v>
      </c>
      <c r="B3119" t="s">
        <v>744</v>
      </c>
      <c r="C3119" t="s">
        <v>6875</v>
      </c>
      <c r="D3119" t="s">
        <v>19017</v>
      </c>
      <c r="E3119" t="s">
        <v>21923</v>
      </c>
      <c r="F3119" t="s">
        <v>32831</v>
      </c>
      <c r="G3119" t="s">
        <v>32842</v>
      </c>
      <c r="H3119" t="s">
        <v>32848</v>
      </c>
      <c r="I3119" t="s">
        <v>9577</v>
      </c>
      <c r="J3119" t="s">
        <v>35049</v>
      </c>
      <c r="K3119" t="s">
        <v>42726</v>
      </c>
      <c r="M3119" t="s">
        <v>44432</v>
      </c>
      <c r="N3119" t="s">
        <v>47424</v>
      </c>
      <c r="O3119" t="s">
        <v>47425</v>
      </c>
      <c r="P3119">
        <v>0</v>
      </c>
      <c r="Q3119">
        <v>0</v>
      </c>
      <c r="R3119" t="s">
        <v>47428</v>
      </c>
      <c r="S3119" t="s">
        <v>47541</v>
      </c>
      <c r="T3119" t="s">
        <v>49237</v>
      </c>
      <c r="U3119" t="s">
        <v>51945</v>
      </c>
      <c r="W3119" t="s">
        <v>44432</v>
      </c>
      <c r="X3119" t="s">
        <v>47430</v>
      </c>
    </row>
    <row r="3120" spans="1:24">
      <c r="A3120">
        <f>HYPERLINK("https://www.philgeps.gov.ph/GEPSNONPILOT/Tender/SplashBidNoticeAbstractUI.aspx?menuIndex=3&amp;refID=7163164&amp;Result=3","7163164")</f>
        <v>0</v>
      </c>
      <c r="B3120" t="s">
        <v>781</v>
      </c>
      <c r="C3120" t="s">
        <v>6876</v>
      </c>
      <c r="D3120" t="s">
        <v>19040</v>
      </c>
      <c r="E3120" t="s">
        <v>21924</v>
      </c>
      <c r="F3120" t="s">
        <v>32831</v>
      </c>
      <c r="G3120" t="s">
        <v>32840</v>
      </c>
      <c r="H3120" t="s">
        <v>32848</v>
      </c>
      <c r="I3120" t="s">
        <v>32860</v>
      </c>
      <c r="J3120" t="s">
        <v>35050</v>
      </c>
      <c r="K3120" t="s">
        <v>42731</v>
      </c>
      <c r="M3120" t="s">
        <v>43810</v>
      </c>
      <c r="N3120" t="s">
        <v>47424</v>
      </c>
      <c r="O3120" t="s">
        <v>47425</v>
      </c>
      <c r="P3120">
        <v>0</v>
      </c>
      <c r="Q3120">
        <v>2</v>
      </c>
      <c r="R3120" t="s">
        <v>47428</v>
      </c>
      <c r="S3120" t="s">
        <v>47541</v>
      </c>
      <c r="T3120" t="s">
        <v>49239</v>
      </c>
      <c r="U3120" t="s">
        <v>52335</v>
      </c>
      <c r="W3120" t="s">
        <v>43810</v>
      </c>
      <c r="X3120" t="s">
        <v>47430</v>
      </c>
    </row>
    <row r="3121" spans="1:24">
      <c r="A3121">
        <f>HYPERLINK("https://www.philgeps.gov.ph/GEPSNONPILOT/Tender/SplashBidNoticeAbstractUI.aspx?menuIndex=3&amp;refID=7163153&amp;Result=3","7163153")</f>
        <v>0</v>
      </c>
      <c r="B3121" t="s">
        <v>1356</v>
      </c>
      <c r="C3121" t="s">
        <v>6877</v>
      </c>
      <c r="D3121" t="s">
        <v>19105</v>
      </c>
      <c r="E3121" t="s">
        <v>19351</v>
      </c>
      <c r="F3121" t="s">
        <v>32831</v>
      </c>
      <c r="G3121" t="s">
        <v>32838</v>
      </c>
      <c r="H3121" t="s">
        <v>32848</v>
      </c>
      <c r="I3121" t="s">
        <v>4776</v>
      </c>
      <c r="J3121" t="s">
        <v>35051</v>
      </c>
      <c r="K3121" t="s">
        <v>42731</v>
      </c>
      <c r="M3121" t="s">
        <v>44433</v>
      </c>
      <c r="N3121" t="s">
        <v>47424</v>
      </c>
      <c r="O3121" t="s">
        <v>47425</v>
      </c>
      <c r="P3121">
        <v>0</v>
      </c>
      <c r="Q3121">
        <v>2</v>
      </c>
      <c r="R3121" t="s">
        <v>47428</v>
      </c>
      <c r="S3121" t="s">
        <v>47541</v>
      </c>
      <c r="T3121" t="s">
        <v>49295</v>
      </c>
      <c r="U3121" t="s">
        <v>52336</v>
      </c>
      <c r="V3121" t="s">
        <v>62968</v>
      </c>
      <c r="W3121" t="s">
        <v>44433</v>
      </c>
      <c r="X3121" t="s">
        <v>47430</v>
      </c>
    </row>
    <row r="3122" spans="1:24">
      <c r="A3122">
        <f>HYPERLINK("https://www.philgeps.gov.ph/GEPSNONPILOT/Tender/SplashBidNoticeAbstractUI.aspx?menuIndex=3&amp;refID=7163212&amp;Result=3","7163212")</f>
        <v>0</v>
      </c>
      <c r="B3122" t="s">
        <v>1328</v>
      </c>
      <c r="C3122" t="s">
        <v>6878</v>
      </c>
      <c r="D3122" t="s">
        <v>19057</v>
      </c>
      <c r="E3122" t="s">
        <v>21925</v>
      </c>
      <c r="F3122" t="s">
        <v>32831</v>
      </c>
      <c r="G3122" t="s">
        <v>32839</v>
      </c>
      <c r="H3122" t="s">
        <v>32849</v>
      </c>
      <c r="I3122" t="s">
        <v>4177</v>
      </c>
      <c r="J3122" t="s">
        <v>35052</v>
      </c>
      <c r="K3122" t="s">
        <v>42730</v>
      </c>
      <c r="M3122" t="s">
        <v>44399</v>
      </c>
      <c r="N3122" t="s">
        <v>47424</v>
      </c>
      <c r="O3122" t="s">
        <v>47425</v>
      </c>
      <c r="P3122">
        <v>0</v>
      </c>
      <c r="Q3122">
        <v>0</v>
      </c>
      <c r="R3122" t="s">
        <v>47428</v>
      </c>
      <c r="S3122" t="s">
        <v>47541</v>
      </c>
      <c r="T3122" t="s">
        <v>49132</v>
      </c>
      <c r="U3122" t="s">
        <v>52337</v>
      </c>
      <c r="W3122" t="s">
        <v>64465</v>
      </c>
      <c r="X3122" t="s">
        <v>47430</v>
      </c>
    </row>
    <row r="3123" spans="1:24">
      <c r="A3123">
        <f>HYPERLINK("https://www.philgeps.gov.ph/GEPSNONPILOT/Tender/SplashBidNoticeAbstractUI.aspx?menuIndex=3&amp;refID=7163210&amp;Result=3","7163210")</f>
        <v>0</v>
      </c>
      <c r="B3123" t="s">
        <v>1357</v>
      </c>
      <c r="C3123" t="s">
        <v>6879</v>
      </c>
      <c r="E3123" t="s">
        <v>21926</v>
      </c>
      <c r="F3123" t="s">
        <v>32831</v>
      </c>
      <c r="G3123" t="s">
        <v>32838</v>
      </c>
      <c r="H3123" t="s">
        <v>32848</v>
      </c>
      <c r="I3123" t="s">
        <v>5379</v>
      </c>
      <c r="J3123" t="s">
        <v>32983</v>
      </c>
      <c r="K3123" t="s">
        <v>42732</v>
      </c>
      <c r="M3123" t="s">
        <v>44434</v>
      </c>
      <c r="N3123" t="s">
        <v>47424</v>
      </c>
      <c r="O3123" t="s">
        <v>47425</v>
      </c>
      <c r="P3123">
        <v>0</v>
      </c>
      <c r="Q3123">
        <v>0</v>
      </c>
      <c r="R3123" t="s">
        <v>47428</v>
      </c>
      <c r="S3123" t="s">
        <v>47541</v>
      </c>
      <c r="T3123" t="s">
        <v>49104</v>
      </c>
      <c r="U3123" t="s">
        <v>52338</v>
      </c>
      <c r="W3123" t="s">
        <v>44434</v>
      </c>
      <c r="X3123" t="s">
        <v>47430</v>
      </c>
    </row>
    <row r="3124" spans="1:24">
      <c r="A3124">
        <f>HYPERLINK("https://www.philgeps.gov.ph/GEPSNONPILOT/Tender/SplashBidNoticeAbstractUI.aspx?menuIndex=3&amp;refID=7163155&amp;Result=3","7163155")</f>
        <v>0</v>
      </c>
      <c r="B3124" t="s">
        <v>1300</v>
      </c>
      <c r="C3124" t="s">
        <v>6880</v>
      </c>
      <c r="D3124" t="s">
        <v>19057</v>
      </c>
      <c r="E3124" t="s">
        <v>21927</v>
      </c>
      <c r="F3124" t="s">
        <v>32833</v>
      </c>
      <c r="G3124" t="s">
        <v>32840</v>
      </c>
      <c r="H3124" t="s">
        <v>32848</v>
      </c>
      <c r="I3124" t="s">
        <v>9577</v>
      </c>
      <c r="J3124" t="s">
        <v>33086</v>
      </c>
      <c r="K3124" t="s">
        <v>42759</v>
      </c>
      <c r="M3124" t="s">
        <v>44370</v>
      </c>
      <c r="N3124" t="s">
        <v>47424</v>
      </c>
      <c r="O3124" t="s">
        <v>47425</v>
      </c>
      <c r="P3124">
        <v>0</v>
      </c>
      <c r="Q3124">
        <v>0</v>
      </c>
      <c r="R3124" t="s">
        <v>47428</v>
      </c>
      <c r="S3124" t="s">
        <v>47541</v>
      </c>
      <c r="T3124" t="s">
        <v>49145</v>
      </c>
      <c r="U3124" t="s">
        <v>52233</v>
      </c>
      <c r="W3124" t="s">
        <v>44370</v>
      </c>
      <c r="X3124" t="s">
        <v>47430</v>
      </c>
    </row>
    <row r="3125" spans="1:24">
      <c r="A3125">
        <f>HYPERLINK("https://www.philgeps.gov.ph/GEPSNONPILOT/Tender/SplashBidNoticeAbstractUI.aspx?menuIndex=3&amp;refID=7163208&amp;Result=3","7163208")</f>
        <v>0</v>
      </c>
      <c r="B3125" t="s">
        <v>855</v>
      </c>
      <c r="C3125" t="s">
        <v>6881</v>
      </c>
      <c r="E3125" t="s">
        <v>21928</v>
      </c>
      <c r="F3125" t="s">
        <v>32831</v>
      </c>
      <c r="G3125" t="s">
        <v>32838</v>
      </c>
      <c r="H3125" t="s">
        <v>32849</v>
      </c>
      <c r="I3125" t="s">
        <v>4177</v>
      </c>
      <c r="J3125" t="s">
        <v>35053</v>
      </c>
      <c r="K3125" t="s">
        <v>42732</v>
      </c>
      <c r="M3125" t="s">
        <v>44429</v>
      </c>
      <c r="N3125" t="s">
        <v>47424</v>
      </c>
      <c r="O3125" t="s">
        <v>47425</v>
      </c>
      <c r="P3125">
        <v>0</v>
      </c>
      <c r="Q3125">
        <v>0</v>
      </c>
      <c r="R3125" t="s">
        <v>47428</v>
      </c>
      <c r="S3125" t="s">
        <v>47541</v>
      </c>
      <c r="T3125" t="s">
        <v>49279</v>
      </c>
      <c r="U3125" t="s">
        <v>51102</v>
      </c>
      <c r="W3125" t="s">
        <v>44429</v>
      </c>
      <c r="X3125" t="s">
        <v>47430</v>
      </c>
    </row>
    <row r="3126" spans="1:24">
      <c r="A3126">
        <f>HYPERLINK("https://www.philgeps.gov.ph/GEPSNONPILOT/Tender/SplashBidNoticeAbstractUI.aspx?menuIndex=3&amp;refID=7163215&amp;Result=3","7163215")</f>
        <v>0</v>
      </c>
      <c r="B3126" t="s">
        <v>920</v>
      </c>
      <c r="C3126" t="s">
        <v>6882</v>
      </c>
      <c r="E3126" t="s">
        <v>21929</v>
      </c>
      <c r="F3126" t="s">
        <v>32831</v>
      </c>
      <c r="G3126" t="s">
        <v>32838</v>
      </c>
      <c r="H3126" t="s">
        <v>32848</v>
      </c>
      <c r="I3126" t="s">
        <v>32867</v>
      </c>
      <c r="J3126" t="s">
        <v>35054</v>
      </c>
      <c r="K3126" t="s">
        <v>42732</v>
      </c>
      <c r="M3126" t="s">
        <v>43961</v>
      </c>
      <c r="N3126" t="s">
        <v>47424</v>
      </c>
      <c r="O3126" t="s">
        <v>47425</v>
      </c>
      <c r="P3126">
        <v>0</v>
      </c>
      <c r="Q3126">
        <v>1</v>
      </c>
      <c r="R3126" t="s">
        <v>47428</v>
      </c>
      <c r="S3126" t="s">
        <v>47541</v>
      </c>
      <c r="T3126" t="s">
        <v>49108</v>
      </c>
      <c r="U3126" t="s">
        <v>51396</v>
      </c>
      <c r="W3126" t="s">
        <v>43961</v>
      </c>
      <c r="X3126" t="s">
        <v>47430</v>
      </c>
    </row>
    <row r="3127" spans="1:24">
      <c r="A3127">
        <f>HYPERLINK("https://www.philgeps.gov.ph/GEPSNONPILOT/Tender/SplashBidNoticeAbstractUI.aspx?menuIndex=3&amp;refID=7163204&amp;Result=3","7163204")</f>
        <v>0</v>
      </c>
      <c r="B3127" t="s">
        <v>579</v>
      </c>
      <c r="C3127" t="s">
        <v>6883</v>
      </c>
      <c r="D3127" t="s">
        <v>19017</v>
      </c>
      <c r="E3127" t="s">
        <v>21930</v>
      </c>
      <c r="F3127" t="s">
        <v>32831</v>
      </c>
      <c r="G3127" t="s">
        <v>32838</v>
      </c>
      <c r="H3127" t="s">
        <v>32848</v>
      </c>
      <c r="I3127" t="s">
        <v>4177</v>
      </c>
      <c r="J3127" t="s">
        <v>33133</v>
      </c>
      <c r="K3127" t="s">
        <v>42732</v>
      </c>
      <c r="M3127" t="s">
        <v>43590</v>
      </c>
      <c r="N3127" t="s">
        <v>47424</v>
      </c>
      <c r="O3127" t="s">
        <v>47425</v>
      </c>
      <c r="P3127">
        <v>0</v>
      </c>
      <c r="Q3127">
        <v>0</v>
      </c>
      <c r="R3127" t="s">
        <v>47428</v>
      </c>
      <c r="S3127" t="s">
        <v>47541</v>
      </c>
      <c r="T3127" t="s">
        <v>49145</v>
      </c>
      <c r="U3127" t="s">
        <v>50750</v>
      </c>
      <c r="V3127" t="s">
        <v>62760</v>
      </c>
      <c r="W3127" t="s">
        <v>43590</v>
      </c>
      <c r="X3127" t="s">
        <v>47430</v>
      </c>
    </row>
    <row r="3128" spans="1:24">
      <c r="A3128">
        <f>HYPERLINK("https://www.philgeps.gov.ph/GEPSNONPILOT/Tender/SplashBidNoticeAbstractUI.aspx?menuIndex=3&amp;refID=7163201&amp;Result=3","7163201")</f>
        <v>0</v>
      </c>
      <c r="B3128" t="s">
        <v>473</v>
      </c>
      <c r="C3128" t="s">
        <v>6884</v>
      </c>
      <c r="D3128" t="s">
        <v>19091</v>
      </c>
      <c r="E3128" t="s">
        <v>21931</v>
      </c>
      <c r="F3128" t="s">
        <v>32831</v>
      </c>
      <c r="G3128" t="s">
        <v>32842</v>
      </c>
      <c r="H3128" t="s">
        <v>32848</v>
      </c>
      <c r="I3128" t="s">
        <v>4487</v>
      </c>
      <c r="J3128" t="s">
        <v>33433</v>
      </c>
      <c r="K3128" t="s">
        <v>42730</v>
      </c>
      <c r="M3128" t="s">
        <v>44430</v>
      </c>
      <c r="N3128" t="s">
        <v>47424</v>
      </c>
      <c r="O3128" t="s">
        <v>47425</v>
      </c>
      <c r="P3128">
        <v>0</v>
      </c>
      <c r="Q3128">
        <v>1</v>
      </c>
      <c r="R3128" t="s">
        <v>47428</v>
      </c>
      <c r="S3128" t="s">
        <v>47541</v>
      </c>
      <c r="T3128" t="s">
        <v>49166</v>
      </c>
      <c r="U3128" t="s">
        <v>52339</v>
      </c>
      <c r="W3128" t="s">
        <v>44430</v>
      </c>
      <c r="X3128" t="s">
        <v>47430</v>
      </c>
    </row>
    <row r="3129" spans="1:24">
      <c r="A3129">
        <f>HYPERLINK("https://www.philgeps.gov.ph/GEPSNONPILOT/Tender/SplashBidNoticeAbstractUI.aspx?menuIndex=3&amp;refID=7163209&amp;Result=3","7163209")</f>
        <v>0</v>
      </c>
      <c r="B3129" t="s">
        <v>1358</v>
      </c>
      <c r="C3129" t="s">
        <v>6885</v>
      </c>
      <c r="D3129" t="s">
        <v>19068</v>
      </c>
      <c r="E3129" t="s">
        <v>21932</v>
      </c>
      <c r="F3129" t="s">
        <v>32831</v>
      </c>
      <c r="G3129" t="s">
        <v>32839</v>
      </c>
      <c r="H3129" t="s">
        <v>32848</v>
      </c>
      <c r="I3129" t="s">
        <v>32952</v>
      </c>
      <c r="J3129" t="s">
        <v>32983</v>
      </c>
      <c r="K3129" t="s">
        <v>42730</v>
      </c>
      <c r="M3129" t="s">
        <v>44435</v>
      </c>
      <c r="N3129" t="s">
        <v>47424</v>
      </c>
      <c r="O3129" t="s">
        <v>47425</v>
      </c>
      <c r="P3129">
        <v>0</v>
      </c>
      <c r="Q3129">
        <v>2</v>
      </c>
      <c r="R3129" t="s">
        <v>47428</v>
      </c>
      <c r="S3129" t="s">
        <v>47541</v>
      </c>
      <c r="T3129" t="s">
        <v>49291</v>
      </c>
      <c r="U3129" t="s">
        <v>52340</v>
      </c>
      <c r="V3129" t="s">
        <v>62969</v>
      </c>
      <c r="W3129" t="s">
        <v>44435</v>
      </c>
      <c r="X3129" t="s">
        <v>47430</v>
      </c>
    </row>
    <row r="3130" spans="1:24">
      <c r="A3130">
        <f>HYPERLINK("https://www.philgeps.gov.ph/GEPSNONPILOT/Tender/SplashBidNoticeAbstractUI.aspx?menuIndex=3&amp;refID=7163199&amp;Result=3","7163199")</f>
        <v>0</v>
      </c>
      <c r="B3130" t="s">
        <v>693</v>
      </c>
      <c r="C3130" t="s">
        <v>6886</v>
      </c>
      <c r="D3130" t="s">
        <v>19073</v>
      </c>
      <c r="E3130" t="s">
        <v>20444</v>
      </c>
      <c r="F3130" t="s">
        <v>32831</v>
      </c>
      <c r="G3130" t="s">
        <v>32838</v>
      </c>
      <c r="H3130" t="s">
        <v>32848</v>
      </c>
      <c r="I3130" t="s">
        <v>32864</v>
      </c>
      <c r="J3130" t="s">
        <v>33040</v>
      </c>
      <c r="K3130" t="s">
        <v>42731</v>
      </c>
      <c r="M3130" t="s">
        <v>43712</v>
      </c>
      <c r="N3130" t="s">
        <v>47424</v>
      </c>
      <c r="O3130" t="s">
        <v>47425</v>
      </c>
      <c r="P3130">
        <v>0</v>
      </c>
      <c r="Q3130">
        <v>4</v>
      </c>
      <c r="R3130" t="s">
        <v>47428</v>
      </c>
      <c r="S3130" t="s">
        <v>47541</v>
      </c>
      <c r="T3130" t="s">
        <v>49108</v>
      </c>
      <c r="U3130" t="s">
        <v>52341</v>
      </c>
      <c r="W3130" t="s">
        <v>43712</v>
      </c>
      <c r="X3130" t="s">
        <v>47430</v>
      </c>
    </row>
    <row r="3131" spans="1:24">
      <c r="A3131">
        <f>HYPERLINK("https://www.philgeps.gov.ph/GEPSNONPILOT/Tender/SplashBidNoticeAbstractUI.aspx?menuIndex=3&amp;refID=7163195&amp;Result=3","7163195")</f>
        <v>0</v>
      </c>
      <c r="B3131" t="s">
        <v>1065</v>
      </c>
      <c r="C3131" t="s">
        <v>6887</v>
      </c>
      <c r="E3131" t="s">
        <v>21933</v>
      </c>
      <c r="F3131" t="s">
        <v>32831</v>
      </c>
      <c r="G3131" t="s">
        <v>32840</v>
      </c>
      <c r="H3131" t="s">
        <v>32848</v>
      </c>
      <c r="I3131" t="s">
        <v>32857</v>
      </c>
      <c r="J3131" t="s">
        <v>33950</v>
      </c>
      <c r="K3131" t="s">
        <v>42732</v>
      </c>
      <c r="M3131" t="s">
        <v>44436</v>
      </c>
      <c r="N3131" t="s">
        <v>47424</v>
      </c>
      <c r="O3131" t="s">
        <v>47425</v>
      </c>
      <c r="P3131">
        <v>0</v>
      </c>
      <c r="Q3131">
        <v>0</v>
      </c>
      <c r="R3131" t="s">
        <v>47428</v>
      </c>
      <c r="S3131" t="s">
        <v>47541</v>
      </c>
      <c r="T3131" t="s">
        <v>49100</v>
      </c>
      <c r="U3131" t="s">
        <v>52342</v>
      </c>
      <c r="V3131" t="s">
        <v>62970</v>
      </c>
      <c r="W3131" t="s">
        <v>44436</v>
      </c>
      <c r="X3131" t="s">
        <v>47430</v>
      </c>
    </row>
    <row r="3132" spans="1:24">
      <c r="A3132">
        <f>HYPERLINK("https://www.philgeps.gov.ph/GEPSNONPILOT/Tender/SplashBidNoticeAbstractUI.aspx?menuIndex=3&amp;refID=7163194&amp;Result=3","7163194")</f>
        <v>0</v>
      </c>
      <c r="B3132" t="s">
        <v>1317</v>
      </c>
      <c r="C3132" t="s">
        <v>6888</v>
      </c>
      <c r="D3132" t="s">
        <v>19074</v>
      </c>
      <c r="E3132" t="s">
        <v>21934</v>
      </c>
      <c r="F3132" t="s">
        <v>32831</v>
      </c>
      <c r="G3132" t="s">
        <v>32839</v>
      </c>
      <c r="H3132" t="s">
        <v>32849</v>
      </c>
      <c r="I3132" t="s">
        <v>4177</v>
      </c>
      <c r="J3132" t="s">
        <v>33078</v>
      </c>
      <c r="K3132" t="s">
        <v>42729</v>
      </c>
      <c r="M3132" t="s">
        <v>44388</v>
      </c>
      <c r="N3132" t="s">
        <v>47424</v>
      </c>
      <c r="O3132" t="s">
        <v>47425</v>
      </c>
      <c r="P3132">
        <v>0</v>
      </c>
      <c r="Q3132">
        <v>0</v>
      </c>
      <c r="R3132" t="s">
        <v>47428</v>
      </c>
      <c r="S3132" t="s">
        <v>47541</v>
      </c>
      <c r="T3132" t="s">
        <v>49147</v>
      </c>
      <c r="U3132" t="s">
        <v>52343</v>
      </c>
      <c r="V3132" t="s">
        <v>62971</v>
      </c>
      <c r="W3132" t="s">
        <v>44388</v>
      </c>
      <c r="X3132" t="s">
        <v>47430</v>
      </c>
    </row>
    <row r="3133" spans="1:24">
      <c r="A3133">
        <f>HYPERLINK("https://www.philgeps.gov.ph/GEPSNONPILOT/Tender/SplashBidNoticeAbstractUI.aspx?menuIndex=3&amp;refID=7163218&amp;Result=3","7163218")</f>
        <v>0</v>
      </c>
      <c r="B3133" t="s">
        <v>1147</v>
      </c>
      <c r="C3133" t="s">
        <v>6889</v>
      </c>
      <c r="D3133" t="s">
        <v>19086</v>
      </c>
      <c r="E3133" t="s">
        <v>21935</v>
      </c>
      <c r="F3133" t="s">
        <v>32831</v>
      </c>
      <c r="G3133" t="s">
        <v>32838</v>
      </c>
      <c r="H3133" t="s">
        <v>32848</v>
      </c>
      <c r="I3133" t="s">
        <v>32853</v>
      </c>
      <c r="J3133" t="s">
        <v>35055</v>
      </c>
      <c r="K3133" t="s">
        <v>42759</v>
      </c>
      <c r="M3133" t="s">
        <v>44211</v>
      </c>
      <c r="N3133" t="s">
        <v>47424</v>
      </c>
      <c r="O3133" t="s">
        <v>47425</v>
      </c>
      <c r="P3133">
        <v>0</v>
      </c>
      <c r="Q3133">
        <v>1</v>
      </c>
      <c r="R3133" t="s">
        <v>47428</v>
      </c>
      <c r="S3133" t="s">
        <v>47541</v>
      </c>
      <c r="T3133" t="s">
        <v>49235</v>
      </c>
      <c r="U3133" t="s">
        <v>52344</v>
      </c>
      <c r="W3133" t="s">
        <v>44211</v>
      </c>
      <c r="X3133" t="s">
        <v>47430</v>
      </c>
    </row>
    <row r="3134" spans="1:24">
      <c r="A3134">
        <f>HYPERLINK("https://www.philgeps.gov.ph/GEPSNONPILOT/Tender/SplashBidNoticeAbstractUI.aspx?menuIndex=3&amp;refID=7163257&amp;Result=3","7163257")</f>
        <v>0</v>
      </c>
      <c r="B3134" t="s">
        <v>1359</v>
      </c>
      <c r="C3134" t="s">
        <v>6890</v>
      </c>
      <c r="D3134" t="s">
        <v>19060</v>
      </c>
      <c r="E3134" t="s">
        <v>21936</v>
      </c>
      <c r="F3134" t="s">
        <v>32831</v>
      </c>
      <c r="G3134" t="s">
        <v>32839</v>
      </c>
      <c r="H3134" t="s">
        <v>32848</v>
      </c>
      <c r="I3134" t="s">
        <v>32857</v>
      </c>
      <c r="J3134" t="s">
        <v>35056</v>
      </c>
      <c r="K3134" t="s">
        <v>42730</v>
      </c>
      <c r="M3134" t="s">
        <v>44437</v>
      </c>
      <c r="N3134" t="s">
        <v>47424</v>
      </c>
      <c r="O3134" t="s">
        <v>47425</v>
      </c>
      <c r="P3134">
        <v>0</v>
      </c>
      <c r="Q3134">
        <v>13</v>
      </c>
      <c r="R3134" t="s">
        <v>47428</v>
      </c>
      <c r="S3134" t="s">
        <v>47541</v>
      </c>
      <c r="T3134" t="s">
        <v>49065</v>
      </c>
      <c r="U3134" t="s">
        <v>52345</v>
      </c>
      <c r="V3134" t="s">
        <v>62972</v>
      </c>
      <c r="W3134" t="s">
        <v>44437</v>
      </c>
      <c r="X3134" t="s">
        <v>47430</v>
      </c>
    </row>
    <row r="3135" spans="1:24">
      <c r="A3135">
        <f>HYPERLINK("https://www.philgeps.gov.ph/GEPSNONPILOT/Tender/SplashBidNoticeAbstractUI.aspx?menuIndex=3&amp;refID=7163178&amp;Result=3","7163178")</f>
        <v>0</v>
      </c>
      <c r="B3135" t="s">
        <v>1178</v>
      </c>
      <c r="C3135" t="s">
        <v>6891</v>
      </c>
      <c r="D3135" t="s">
        <v>19049</v>
      </c>
      <c r="E3135" t="s">
        <v>21937</v>
      </c>
      <c r="F3135" t="s">
        <v>32831</v>
      </c>
      <c r="G3135" t="s">
        <v>32838</v>
      </c>
      <c r="H3135" t="s">
        <v>32848</v>
      </c>
      <c r="I3135" t="s">
        <v>4303</v>
      </c>
      <c r="J3135" t="s">
        <v>35057</v>
      </c>
      <c r="K3135" t="s">
        <v>42727</v>
      </c>
      <c r="M3135" t="s">
        <v>44244</v>
      </c>
      <c r="N3135" t="s">
        <v>47424</v>
      </c>
      <c r="O3135" t="s">
        <v>47425</v>
      </c>
      <c r="P3135">
        <v>0</v>
      </c>
      <c r="Q3135">
        <v>4</v>
      </c>
      <c r="R3135" t="s">
        <v>47428</v>
      </c>
      <c r="S3135" t="s">
        <v>47541</v>
      </c>
      <c r="T3135" t="s">
        <v>49111</v>
      </c>
      <c r="U3135" t="s">
        <v>51531</v>
      </c>
      <c r="W3135" t="s">
        <v>44244</v>
      </c>
      <c r="X3135" t="s">
        <v>47430</v>
      </c>
    </row>
    <row r="3136" spans="1:24">
      <c r="A3136">
        <f>HYPERLINK("https://www.philgeps.gov.ph/GEPSNONPILOT/Tender/SplashBidNoticeAbstractUI.aspx?menuIndex=3&amp;refID=7163247&amp;Result=3","7163247")</f>
        <v>0</v>
      </c>
      <c r="B3136" t="s">
        <v>1360</v>
      </c>
      <c r="C3136" t="s">
        <v>6892</v>
      </c>
      <c r="D3136" t="s">
        <v>19054</v>
      </c>
      <c r="E3136" t="s">
        <v>21938</v>
      </c>
      <c r="F3136" t="s">
        <v>32831</v>
      </c>
      <c r="G3136" t="s">
        <v>32838</v>
      </c>
      <c r="H3136" t="s">
        <v>32848</v>
      </c>
      <c r="I3136" t="s">
        <v>7416</v>
      </c>
      <c r="J3136" t="s">
        <v>35058</v>
      </c>
      <c r="K3136" t="s">
        <v>42730</v>
      </c>
      <c r="M3136" t="s">
        <v>44438</v>
      </c>
      <c r="N3136" t="s">
        <v>47424</v>
      </c>
      <c r="O3136" t="s">
        <v>47425</v>
      </c>
      <c r="P3136">
        <v>0</v>
      </c>
      <c r="Q3136">
        <v>0</v>
      </c>
      <c r="R3136" t="s">
        <v>47428</v>
      </c>
      <c r="S3136" t="s">
        <v>47541</v>
      </c>
      <c r="T3136" t="s">
        <v>49104</v>
      </c>
      <c r="U3136" t="s">
        <v>52346</v>
      </c>
      <c r="W3136" t="s">
        <v>44438</v>
      </c>
      <c r="X3136" t="s">
        <v>47430</v>
      </c>
    </row>
    <row r="3137" spans="1:24">
      <c r="A3137">
        <f>HYPERLINK("https://www.philgeps.gov.ph/GEPSNONPILOT/Tender/SplashBidNoticeAbstractUI.aspx?menuIndex=3&amp;refID=7163246&amp;Result=3","7163246")</f>
        <v>0</v>
      </c>
      <c r="B3137" t="s">
        <v>1330</v>
      </c>
      <c r="C3137" t="s">
        <v>6893</v>
      </c>
      <c r="D3137" t="s">
        <v>19095</v>
      </c>
      <c r="E3137" t="s">
        <v>21939</v>
      </c>
      <c r="F3137" t="s">
        <v>32831</v>
      </c>
      <c r="G3137" t="s">
        <v>32840</v>
      </c>
      <c r="H3137" t="s">
        <v>32848</v>
      </c>
      <c r="I3137" t="s">
        <v>7416</v>
      </c>
      <c r="J3137" t="s">
        <v>35059</v>
      </c>
      <c r="K3137" t="s">
        <v>42726</v>
      </c>
      <c r="M3137" t="s">
        <v>44401</v>
      </c>
      <c r="N3137" t="s">
        <v>47424</v>
      </c>
      <c r="O3137" t="s">
        <v>47425</v>
      </c>
      <c r="P3137">
        <v>0</v>
      </c>
      <c r="Q3137">
        <v>0</v>
      </c>
      <c r="R3137" t="s">
        <v>47428</v>
      </c>
      <c r="S3137" t="s">
        <v>47541</v>
      </c>
      <c r="T3137" t="s">
        <v>49111</v>
      </c>
      <c r="U3137" t="s">
        <v>52347</v>
      </c>
      <c r="V3137" t="s">
        <v>62963</v>
      </c>
      <c r="W3137" t="s">
        <v>44401</v>
      </c>
      <c r="X3137" t="s">
        <v>47430</v>
      </c>
    </row>
    <row r="3138" spans="1:24">
      <c r="A3138">
        <f>HYPERLINK("https://www.philgeps.gov.ph/GEPSNONPILOT/Tender/SplashBidNoticeAbstractUI.aspx?menuIndex=3&amp;refID=7163200&amp;Result=3","7163200")</f>
        <v>0</v>
      </c>
      <c r="B3138" t="s">
        <v>1325</v>
      </c>
      <c r="C3138" t="s">
        <v>6894</v>
      </c>
      <c r="D3138" t="s">
        <v>19080</v>
      </c>
      <c r="E3138" t="s">
        <v>21940</v>
      </c>
      <c r="F3138" t="s">
        <v>32831</v>
      </c>
      <c r="G3138" t="s">
        <v>32838</v>
      </c>
      <c r="H3138" t="s">
        <v>32848</v>
      </c>
      <c r="I3138" t="s">
        <v>4438</v>
      </c>
      <c r="J3138" t="s">
        <v>35060</v>
      </c>
      <c r="K3138" t="s">
        <v>42727</v>
      </c>
      <c r="M3138" t="s">
        <v>44396</v>
      </c>
      <c r="N3138" t="s">
        <v>47424</v>
      </c>
      <c r="O3138" t="s">
        <v>47425</v>
      </c>
      <c r="P3138">
        <v>0</v>
      </c>
      <c r="Q3138">
        <v>0</v>
      </c>
      <c r="R3138" t="s">
        <v>47428</v>
      </c>
      <c r="S3138" t="s">
        <v>47541</v>
      </c>
      <c r="T3138" t="s">
        <v>49177</v>
      </c>
      <c r="U3138" t="s">
        <v>52271</v>
      </c>
      <c r="W3138" t="s">
        <v>44396</v>
      </c>
      <c r="X3138" t="s">
        <v>47430</v>
      </c>
    </row>
    <row r="3139" spans="1:24">
      <c r="A3139">
        <f>HYPERLINK("https://www.philgeps.gov.ph/GEPSNONPILOT/Tender/SplashBidNoticeAbstractUI.aspx?menuIndex=3&amp;refID=7163245&amp;Result=3","7163245")</f>
        <v>0</v>
      </c>
      <c r="B3139" t="s">
        <v>1361</v>
      </c>
      <c r="C3139" t="s">
        <v>6895</v>
      </c>
      <c r="D3139" t="s">
        <v>19017</v>
      </c>
      <c r="E3139" t="s">
        <v>21941</v>
      </c>
      <c r="F3139" t="s">
        <v>32831</v>
      </c>
      <c r="G3139" t="s">
        <v>32838</v>
      </c>
      <c r="H3139" t="s">
        <v>32848</v>
      </c>
      <c r="I3139" t="s">
        <v>32894</v>
      </c>
      <c r="J3139" t="s">
        <v>35061</v>
      </c>
      <c r="K3139" t="s">
        <v>42726</v>
      </c>
      <c r="M3139" t="s">
        <v>44439</v>
      </c>
      <c r="N3139" t="s">
        <v>47424</v>
      </c>
      <c r="O3139" t="s">
        <v>47425</v>
      </c>
      <c r="P3139">
        <v>0</v>
      </c>
      <c r="Q3139">
        <v>2</v>
      </c>
      <c r="R3139" t="s">
        <v>47428</v>
      </c>
      <c r="S3139" t="s">
        <v>47541</v>
      </c>
      <c r="T3139" t="s">
        <v>49115</v>
      </c>
      <c r="U3139" t="s">
        <v>52348</v>
      </c>
      <c r="W3139" t="s">
        <v>44439</v>
      </c>
      <c r="X3139" t="s">
        <v>47430</v>
      </c>
    </row>
    <row r="3140" spans="1:24">
      <c r="A3140">
        <f>HYPERLINK("https://www.philgeps.gov.ph/GEPSNONPILOT/Tender/SplashBidNoticeAbstractUI.aspx?menuIndex=3&amp;refID=7163244&amp;Result=3","7163244")</f>
        <v>0</v>
      </c>
      <c r="B3140" t="s">
        <v>1202</v>
      </c>
      <c r="C3140" t="s">
        <v>6896</v>
      </c>
      <c r="D3140" t="s">
        <v>19029</v>
      </c>
      <c r="E3140" t="s">
        <v>21942</v>
      </c>
      <c r="F3140" t="s">
        <v>32831</v>
      </c>
      <c r="G3140" t="s">
        <v>32838</v>
      </c>
      <c r="H3140" t="s">
        <v>32848</v>
      </c>
      <c r="I3140" t="s">
        <v>4487</v>
      </c>
      <c r="J3140" t="s">
        <v>35062</v>
      </c>
      <c r="K3140" t="s">
        <v>42730</v>
      </c>
      <c r="M3140" t="s">
        <v>44440</v>
      </c>
      <c r="N3140" t="s">
        <v>47424</v>
      </c>
      <c r="O3140" t="s">
        <v>47425</v>
      </c>
      <c r="P3140">
        <v>0</v>
      </c>
      <c r="Q3140">
        <v>0</v>
      </c>
      <c r="R3140" t="s">
        <v>47428</v>
      </c>
      <c r="S3140" t="s">
        <v>47541</v>
      </c>
      <c r="T3140" t="s">
        <v>49238</v>
      </c>
      <c r="U3140" t="s">
        <v>52349</v>
      </c>
      <c r="V3140" t="s">
        <v>62973</v>
      </c>
      <c r="W3140" t="s">
        <v>44440</v>
      </c>
      <c r="X3140" t="s">
        <v>47430</v>
      </c>
    </row>
    <row r="3141" spans="1:24">
      <c r="A3141">
        <f>HYPERLINK("https://www.philgeps.gov.ph/GEPSNONPILOT/Tender/SplashBidNoticeAbstractUI.aspx?menuIndex=3&amp;refID=7163207&amp;Result=3","7163207")</f>
        <v>0</v>
      </c>
      <c r="B3141" t="s">
        <v>1362</v>
      </c>
      <c r="C3141" t="s">
        <v>6897</v>
      </c>
      <c r="D3141" t="s">
        <v>19017</v>
      </c>
      <c r="E3141" t="s">
        <v>21943</v>
      </c>
      <c r="F3141" t="s">
        <v>32831</v>
      </c>
      <c r="G3141" t="s">
        <v>32838</v>
      </c>
      <c r="H3141" t="s">
        <v>32848</v>
      </c>
      <c r="I3141" t="s">
        <v>32864</v>
      </c>
      <c r="J3141" t="s">
        <v>33388</v>
      </c>
      <c r="K3141" t="s">
        <v>42732</v>
      </c>
      <c r="M3141" t="s">
        <v>44441</v>
      </c>
      <c r="N3141" t="s">
        <v>47424</v>
      </c>
      <c r="O3141" t="s">
        <v>47425</v>
      </c>
      <c r="P3141">
        <v>0</v>
      </c>
      <c r="Q3141">
        <v>16</v>
      </c>
      <c r="R3141" t="s">
        <v>47428</v>
      </c>
      <c r="S3141" t="s">
        <v>47541</v>
      </c>
      <c r="T3141" t="s">
        <v>49198</v>
      </c>
      <c r="U3141" t="s">
        <v>52350</v>
      </c>
      <c r="W3141" t="s">
        <v>44441</v>
      </c>
      <c r="X3141" t="s">
        <v>47430</v>
      </c>
    </row>
    <row r="3142" spans="1:24">
      <c r="A3142">
        <f>HYPERLINK("https://www.philgeps.gov.ph/GEPSNONPILOT/Tender/SplashBidNoticeAbstractUI.aspx?menuIndex=3&amp;refID=7163236&amp;Result=3","7163236")</f>
        <v>0</v>
      </c>
      <c r="B3142" t="s">
        <v>1156</v>
      </c>
      <c r="C3142" t="s">
        <v>6898</v>
      </c>
      <c r="D3142" t="s">
        <v>19017</v>
      </c>
      <c r="E3142" t="s">
        <v>21944</v>
      </c>
      <c r="F3142" t="s">
        <v>32831</v>
      </c>
      <c r="G3142" t="s">
        <v>32838</v>
      </c>
      <c r="H3142" t="s">
        <v>32848</v>
      </c>
      <c r="I3142" t="s">
        <v>4438</v>
      </c>
      <c r="J3142" t="s">
        <v>35063</v>
      </c>
      <c r="K3142" t="s">
        <v>42731</v>
      </c>
      <c r="M3142" t="s">
        <v>44221</v>
      </c>
      <c r="N3142" t="s">
        <v>47424</v>
      </c>
      <c r="O3142" t="s">
        <v>47425</v>
      </c>
      <c r="P3142">
        <v>0</v>
      </c>
      <c r="Q3142">
        <v>1</v>
      </c>
      <c r="R3142" t="s">
        <v>47428</v>
      </c>
      <c r="S3142" t="s">
        <v>47541</v>
      </c>
      <c r="T3142" t="s">
        <v>49255</v>
      </c>
      <c r="U3142" t="s">
        <v>52296</v>
      </c>
      <c r="V3142" t="s">
        <v>62908</v>
      </c>
      <c r="W3142" t="s">
        <v>44221</v>
      </c>
      <c r="X3142" t="s">
        <v>47430</v>
      </c>
    </row>
    <row r="3143" spans="1:24">
      <c r="A3143">
        <f>HYPERLINK("https://www.philgeps.gov.ph/GEPSNONPILOT/Tender/SplashBidNoticeAbstractUI.aspx?menuIndex=3&amp;refID=7163235&amp;Result=3","7163235")</f>
        <v>0</v>
      </c>
      <c r="B3143" t="s">
        <v>1363</v>
      </c>
      <c r="C3143" t="s">
        <v>6899</v>
      </c>
      <c r="D3143" t="s">
        <v>19022</v>
      </c>
      <c r="E3143" t="s">
        <v>21945</v>
      </c>
      <c r="F3143" t="s">
        <v>32831</v>
      </c>
      <c r="G3143" t="s">
        <v>32838</v>
      </c>
      <c r="H3143" t="s">
        <v>32848</v>
      </c>
      <c r="I3143" t="s">
        <v>10805</v>
      </c>
      <c r="J3143" t="s">
        <v>33077</v>
      </c>
      <c r="K3143" t="s">
        <v>42731</v>
      </c>
      <c r="M3143" t="s">
        <v>44442</v>
      </c>
      <c r="N3143" t="s">
        <v>47424</v>
      </c>
      <c r="O3143" t="s">
        <v>47425</v>
      </c>
      <c r="P3143">
        <v>0</v>
      </c>
      <c r="Q3143">
        <v>1</v>
      </c>
      <c r="R3143" t="s">
        <v>47428</v>
      </c>
      <c r="S3143" t="s">
        <v>47541</v>
      </c>
      <c r="T3143" t="s">
        <v>49235</v>
      </c>
      <c r="U3143" t="s">
        <v>52351</v>
      </c>
      <c r="V3143" t="s">
        <v>62974</v>
      </c>
      <c r="W3143" t="s">
        <v>44442</v>
      </c>
      <c r="X3143" t="s">
        <v>47430</v>
      </c>
    </row>
    <row r="3144" spans="1:24">
      <c r="A3144">
        <f>HYPERLINK("https://www.philgeps.gov.ph/GEPSNONPILOT/Tender/SplashBidNoticeAbstractUI.aspx?menuIndex=3&amp;refID=7162981&amp;Result=3","7162981")</f>
        <v>0</v>
      </c>
      <c r="B3144" t="s">
        <v>295</v>
      </c>
      <c r="C3144" t="s">
        <v>6900</v>
      </c>
      <c r="D3144" t="s">
        <v>19044</v>
      </c>
      <c r="E3144" t="s">
        <v>21946</v>
      </c>
      <c r="F3144" t="s">
        <v>32831</v>
      </c>
      <c r="G3144" t="s">
        <v>32838</v>
      </c>
      <c r="H3144" t="s">
        <v>32848</v>
      </c>
      <c r="I3144" t="s">
        <v>32874</v>
      </c>
      <c r="J3144" t="s">
        <v>33313</v>
      </c>
      <c r="K3144" t="s">
        <v>42727</v>
      </c>
      <c r="M3144" t="s">
        <v>43914</v>
      </c>
      <c r="N3144" t="s">
        <v>47424</v>
      </c>
      <c r="O3144" t="s">
        <v>47425</v>
      </c>
      <c r="P3144">
        <v>0</v>
      </c>
      <c r="Q3144">
        <v>17</v>
      </c>
      <c r="R3144" t="s">
        <v>47428</v>
      </c>
      <c r="S3144" t="s">
        <v>47541</v>
      </c>
      <c r="T3144" t="s">
        <v>49141</v>
      </c>
      <c r="U3144" t="s">
        <v>52352</v>
      </c>
      <c r="V3144" t="s">
        <v>51102</v>
      </c>
      <c r="W3144" t="s">
        <v>43914</v>
      </c>
      <c r="X3144" t="s">
        <v>47430</v>
      </c>
    </row>
    <row r="3145" spans="1:24">
      <c r="A3145">
        <f>HYPERLINK("https://www.philgeps.gov.ph/GEPSNONPILOT/Tender/SplashBidNoticeAbstractUI.aspx?menuIndex=3&amp;refID=7163232&amp;Result=3","7163232")</f>
        <v>0</v>
      </c>
      <c r="B3145" t="s">
        <v>1364</v>
      </c>
      <c r="C3145" t="s">
        <v>6901</v>
      </c>
      <c r="D3145" t="s">
        <v>19077</v>
      </c>
      <c r="E3145" t="s">
        <v>21947</v>
      </c>
      <c r="F3145" t="s">
        <v>32831</v>
      </c>
      <c r="G3145" t="s">
        <v>32838</v>
      </c>
      <c r="H3145" t="s">
        <v>32848</v>
      </c>
      <c r="I3145" t="s">
        <v>4471</v>
      </c>
      <c r="J3145" t="s">
        <v>35064</v>
      </c>
      <c r="K3145" t="s">
        <v>42730</v>
      </c>
      <c r="M3145" t="s">
        <v>44443</v>
      </c>
      <c r="N3145" t="s">
        <v>47424</v>
      </c>
      <c r="O3145" t="s">
        <v>47425</v>
      </c>
      <c r="P3145">
        <v>0</v>
      </c>
      <c r="Q3145">
        <v>0</v>
      </c>
      <c r="R3145" t="s">
        <v>47428</v>
      </c>
      <c r="S3145" t="s">
        <v>47541</v>
      </c>
      <c r="T3145" t="s">
        <v>49235</v>
      </c>
      <c r="U3145" t="s">
        <v>52353</v>
      </c>
      <c r="W3145" t="s">
        <v>44443</v>
      </c>
      <c r="X3145" t="s">
        <v>47430</v>
      </c>
    </row>
    <row r="3146" spans="1:24">
      <c r="A3146">
        <f>HYPERLINK("https://www.philgeps.gov.ph/GEPSNONPILOT/Tender/SplashBidNoticeAbstractUI.aspx?menuIndex=3&amp;refID=7163229&amp;Result=3","7163229")</f>
        <v>0</v>
      </c>
      <c r="B3146" t="s">
        <v>855</v>
      </c>
      <c r="C3146" t="s">
        <v>6902</v>
      </c>
      <c r="E3146" t="s">
        <v>21948</v>
      </c>
      <c r="F3146" t="s">
        <v>32831</v>
      </c>
      <c r="G3146" t="s">
        <v>32838</v>
      </c>
      <c r="H3146" t="s">
        <v>32848</v>
      </c>
      <c r="I3146" t="s">
        <v>32857</v>
      </c>
      <c r="J3146" t="s">
        <v>33986</v>
      </c>
      <c r="K3146" t="s">
        <v>42732</v>
      </c>
      <c r="M3146" t="s">
        <v>44429</v>
      </c>
      <c r="N3146" t="s">
        <v>47424</v>
      </c>
      <c r="O3146" t="s">
        <v>47425</v>
      </c>
      <c r="P3146">
        <v>0</v>
      </c>
      <c r="Q3146">
        <v>11</v>
      </c>
      <c r="R3146" t="s">
        <v>47428</v>
      </c>
      <c r="S3146" t="s">
        <v>47541</v>
      </c>
      <c r="T3146" t="s">
        <v>49279</v>
      </c>
      <c r="U3146" t="s">
        <v>51102</v>
      </c>
      <c r="W3146" t="s">
        <v>44429</v>
      </c>
      <c r="X3146" t="s">
        <v>47430</v>
      </c>
    </row>
    <row r="3147" spans="1:24">
      <c r="A3147">
        <f>HYPERLINK("https://www.philgeps.gov.ph/GEPSNONPILOT/Tender/SplashBidNoticeAbstractUI.aspx?menuIndex=3&amp;refID=7163225&amp;Result=3","7163225")</f>
        <v>0</v>
      </c>
      <c r="B3147" t="s">
        <v>679</v>
      </c>
      <c r="C3147" t="s">
        <v>6903</v>
      </c>
      <c r="D3147" t="s">
        <v>19026</v>
      </c>
      <c r="E3147" t="s">
        <v>21949</v>
      </c>
      <c r="F3147" t="s">
        <v>32831</v>
      </c>
      <c r="G3147" t="s">
        <v>32838</v>
      </c>
      <c r="H3147" t="s">
        <v>32848</v>
      </c>
      <c r="I3147" t="s">
        <v>32857</v>
      </c>
      <c r="J3147" t="s">
        <v>34070</v>
      </c>
      <c r="K3147" t="s">
        <v>42732</v>
      </c>
      <c r="L3147" t="s">
        <v>679</v>
      </c>
      <c r="M3147" t="s">
        <v>43698</v>
      </c>
      <c r="N3147" t="s">
        <v>47424</v>
      </c>
      <c r="O3147" t="s">
        <v>47425</v>
      </c>
      <c r="P3147">
        <v>0</v>
      </c>
      <c r="Q3147">
        <v>0</v>
      </c>
      <c r="R3147" t="s">
        <v>47428</v>
      </c>
      <c r="S3147" t="s">
        <v>47541</v>
      </c>
      <c r="T3147" t="s">
        <v>49107</v>
      </c>
      <c r="U3147" t="s">
        <v>52354</v>
      </c>
      <c r="W3147" t="s">
        <v>43698</v>
      </c>
      <c r="X3147" t="s">
        <v>47430</v>
      </c>
    </row>
    <row r="3148" spans="1:24">
      <c r="A3148">
        <f>HYPERLINK("https://www.philgeps.gov.ph/GEPSNONPILOT/Tender/SplashBidNoticeAbstractUI.aspx?menuIndex=3&amp;refID=7163222&amp;Result=3","7163222")</f>
        <v>0</v>
      </c>
      <c r="B3148" t="s">
        <v>1111</v>
      </c>
      <c r="C3148" t="s">
        <v>6904</v>
      </c>
      <c r="D3148" t="s">
        <v>19041</v>
      </c>
      <c r="E3148" t="s">
        <v>21950</v>
      </c>
      <c r="F3148" t="s">
        <v>32831</v>
      </c>
      <c r="G3148" t="s">
        <v>32838</v>
      </c>
      <c r="H3148" t="s">
        <v>32848</v>
      </c>
      <c r="I3148" t="s">
        <v>5379</v>
      </c>
      <c r="J3148" t="s">
        <v>33143</v>
      </c>
      <c r="K3148" t="s">
        <v>42732</v>
      </c>
      <c r="M3148" t="s">
        <v>44171</v>
      </c>
      <c r="N3148" t="s">
        <v>47424</v>
      </c>
      <c r="O3148" t="s">
        <v>47425</v>
      </c>
      <c r="P3148">
        <v>0</v>
      </c>
      <c r="Q3148">
        <v>1</v>
      </c>
      <c r="R3148" t="s">
        <v>47428</v>
      </c>
      <c r="S3148" t="s">
        <v>47541</v>
      </c>
      <c r="T3148" t="s">
        <v>49212</v>
      </c>
      <c r="U3148" t="s">
        <v>52355</v>
      </c>
      <c r="W3148" t="s">
        <v>44171</v>
      </c>
      <c r="X3148" t="s">
        <v>47430</v>
      </c>
    </row>
    <row r="3149" spans="1:24">
      <c r="A3149">
        <f>HYPERLINK("https://www.philgeps.gov.ph/GEPSNONPILOT/Tender/SplashBidNoticeAbstractUI.aspx?menuIndex=3&amp;refID=7163221&amp;Result=3","7163221")</f>
        <v>0</v>
      </c>
      <c r="B3149" t="s">
        <v>750</v>
      </c>
      <c r="C3149" t="s">
        <v>6905</v>
      </c>
      <c r="D3149" t="s">
        <v>19022</v>
      </c>
      <c r="E3149" t="s">
        <v>21951</v>
      </c>
      <c r="F3149" t="s">
        <v>32831</v>
      </c>
      <c r="G3149" t="s">
        <v>32838</v>
      </c>
      <c r="H3149" t="s">
        <v>32848</v>
      </c>
      <c r="I3149" t="s">
        <v>32859</v>
      </c>
      <c r="J3149" t="s">
        <v>35065</v>
      </c>
      <c r="K3149" t="s">
        <v>42732</v>
      </c>
      <c r="M3149" t="s">
        <v>43773</v>
      </c>
      <c r="N3149" t="s">
        <v>47424</v>
      </c>
      <c r="O3149" t="s">
        <v>47425</v>
      </c>
      <c r="P3149">
        <v>0</v>
      </c>
      <c r="Q3149">
        <v>1</v>
      </c>
      <c r="R3149" t="s">
        <v>47428</v>
      </c>
      <c r="S3149" t="s">
        <v>47541</v>
      </c>
      <c r="T3149" t="s">
        <v>49145</v>
      </c>
      <c r="U3149" t="s">
        <v>52356</v>
      </c>
      <c r="W3149" t="s">
        <v>43773</v>
      </c>
      <c r="X3149" t="s">
        <v>47430</v>
      </c>
    </row>
    <row r="3150" spans="1:24">
      <c r="A3150">
        <f>HYPERLINK("https://www.philgeps.gov.ph/GEPSNONPILOT/Tender/SplashBidNoticeAbstractUI.aspx?menuIndex=3&amp;refID=7163242&amp;Result=3","7163242")</f>
        <v>0</v>
      </c>
      <c r="B3150" t="s">
        <v>1365</v>
      </c>
      <c r="C3150" t="s">
        <v>6906</v>
      </c>
      <c r="D3150" t="s">
        <v>19017</v>
      </c>
      <c r="E3150" t="s">
        <v>21952</v>
      </c>
      <c r="F3150" t="s">
        <v>32831</v>
      </c>
      <c r="G3150" t="s">
        <v>32838</v>
      </c>
      <c r="H3150" t="s">
        <v>32848</v>
      </c>
      <c r="I3150" t="s">
        <v>32859</v>
      </c>
      <c r="J3150" t="s">
        <v>35066</v>
      </c>
      <c r="K3150" t="s">
        <v>42727</v>
      </c>
      <c r="M3150" t="s">
        <v>44444</v>
      </c>
      <c r="N3150" t="s">
        <v>47424</v>
      </c>
      <c r="O3150" t="s">
        <v>47425</v>
      </c>
      <c r="P3150">
        <v>0</v>
      </c>
      <c r="Q3150">
        <v>2</v>
      </c>
      <c r="R3150" t="s">
        <v>47428</v>
      </c>
      <c r="S3150" t="s">
        <v>47541</v>
      </c>
      <c r="T3150" t="s">
        <v>49089</v>
      </c>
      <c r="U3150" t="s">
        <v>52357</v>
      </c>
      <c r="V3150" t="s">
        <v>62975</v>
      </c>
      <c r="W3150" t="s">
        <v>44444</v>
      </c>
      <c r="X3150" t="s">
        <v>47430</v>
      </c>
    </row>
    <row r="3151" spans="1:24">
      <c r="A3151">
        <f>HYPERLINK("https://www.philgeps.gov.ph/GEPSNONPILOT/Tender/SplashBidNoticeAbstractUI.aspx?menuIndex=3&amp;refID=7163227&amp;Result=3","7163227")</f>
        <v>0</v>
      </c>
      <c r="B3151" t="s">
        <v>413</v>
      </c>
      <c r="C3151" t="s">
        <v>6907</v>
      </c>
      <c r="D3151" t="s">
        <v>19017</v>
      </c>
      <c r="E3151" t="s">
        <v>21953</v>
      </c>
      <c r="F3151" t="s">
        <v>32831</v>
      </c>
      <c r="G3151" t="s">
        <v>32840</v>
      </c>
      <c r="H3151" t="s">
        <v>32848</v>
      </c>
      <c r="I3151" t="s">
        <v>32860</v>
      </c>
      <c r="J3151" t="s">
        <v>35067</v>
      </c>
      <c r="K3151" t="s">
        <v>42727</v>
      </c>
      <c r="M3151" t="s">
        <v>43418</v>
      </c>
      <c r="N3151" t="s">
        <v>47424</v>
      </c>
      <c r="O3151" t="s">
        <v>47425</v>
      </c>
      <c r="P3151">
        <v>0</v>
      </c>
      <c r="Q3151">
        <v>5</v>
      </c>
      <c r="R3151" t="s">
        <v>47428</v>
      </c>
      <c r="S3151" t="s">
        <v>47541</v>
      </c>
      <c r="T3151" t="s">
        <v>49239</v>
      </c>
      <c r="U3151" t="s">
        <v>52358</v>
      </c>
      <c r="W3151" t="s">
        <v>43418</v>
      </c>
      <c r="X3151" t="s">
        <v>47430</v>
      </c>
    </row>
    <row r="3152" spans="1:24">
      <c r="A3152">
        <f>HYPERLINK("https://www.philgeps.gov.ph/GEPSNONPILOT/Tender/SplashBidNoticeAbstractUI.aspx?menuIndex=3&amp;refID=7163296&amp;Result=3","7163296")</f>
        <v>0</v>
      </c>
      <c r="B3152" t="s">
        <v>1360</v>
      </c>
      <c r="C3152" t="s">
        <v>6908</v>
      </c>
      <c r="D3152" t="s">
        <v>19054</v>
      </c>
      <c r="E3152" t="s">
        <v>21954</v>
      </c>
      <c r="F3152" t="s">
        <v>32831</v>
      </c>
      <c r="G3152" t="s">
        <v>32838</v>
      </c>
      <c r="H3152" t="s">
        <v>32848</v>
      </c>
      <c r="I3152" t="s">
        <v>7416</v>
      </c>
      <c r="J3152" t="s">
        <v>35068</v>
      </c>
      <c r="K3152" t="s">
        <v>42730</v>
      </c>
      <c r="M3152" t="s">
        <v>44438</v>
      </c>
      <c r="N3152" t="s">
        <v>47424</v>
      </c>
      <c r="O3152" t="s">
        <v>47425</v>
      </c>
      <c r="P3152">
        <v>0</v>
      </c>
      <c r="Q3152">
        <v>0</v>
      </c>
      <c r="R3152" t="s">
        <v>47428</v>
      </c>
      <c r="S3152" t="s">
        <v>47541</v>
      </c>
      <c r="T3152" t="s">
        <v>49104</v>
      </c>
      <c r="U3152" t="s">
        <v>52359</v>
      </c>
      <c r="W3152" t="s">
        <v>44438</v>
      </c>
      <c r="X3152" t="s">
        <v>47430</v>
      </c>
    </row>
    <row r="3153" spans="1:24">
      <c r="A3153">
        <f>HYPERLINK("https://www.philgeps.gov.ph/GEPSNONPILOT/Tender/SplashBidNoticeAbstractUI.aspx?menuIndex=3&amp;refID=7163233&amp;Result=3","7163233")</f>
        <v>0</v>
      </c>
      <c r="B3153" t="s">
        <v>832</v>
      </c>
      <c r="C3153" t="s">
        <v>6909</v>
      </c>
      <c r="D3153" t="s">
        <v>19037</v>
      </c>
      <c r="E3153" t="s">
        <v>21955</v>
      </c>
      <c r="F3153" t="s">
        <v>32831</v>
      </c>
      <c r="G3153" t="s">
        <v>32839</v>
      </c>
      <c r="H3153" t="s">
        <v>32848</v>
      </c>
      <c r="I3153" t="s">
        <v>32925</v>
      </c>
      <c r="J3153" t="s">
        <v>35069</v>
      </c>
      <c r="K3153" t="s">
        <v>42834</v>
      </c>
      <c r="M3153" t="s">
        <v>44445</v>
      </c>
      <c r="N3153" t="s">
        <v>47424</v>
      </c>
      <c r="O3153" t="s">
        <v>47425</v>
      </c>
      <c r="P3153">
        <v>0</v>
      </c>
      <c r="Q3153">
        <v>7</v>
      </c>
      <c r="R3153" t="s">
        <v>47428</v>
      </c>
      <c r="S3153" t="s">
        <v>47541</v>
      </c>
      <c r="T3153" t="s">
        <v>49189</v>
      </c>
      <c r="U3153" t="s">
        <v>52360</v>
      </c>
      <c r="V3153" t="s">
        <v>62976</v>
      </c>
      <c r="W3153" t="s">
        <v>44445</v>
      </c>
      <c r="X3153" t="s">
        <v>47430</v>
      </c>
    </row>
    <row r="3154" spans="1:24">
      <c r="A3154">
        <f>HYPERLINK("https://www.philgeps.gov.ph/GEPSNONPILOT/Tender/SplashBidNoticeAbstractUI.aspx?menuIndex=3&amp;refID=7163293&amp;Result=3","7163293")</f>
        <v>0</v>
      </c>
      <c r="B3154" t="s">
        <v>771</v>
      </c>
      <c r="C3154" t="s">
        <v>6910</v>
      </c>
      <c r="D3154" t="s">
        <v>19073</v>
      </c>
      <c r="E3154" t="s">
        <v>21956</v>
      </c>
      <c r="F3154" t="s">
        <v>32831</v>
      </c>
      <c r="G3154" t="s">
        <v>32839</v>
      </c>
      <c r="H3154" t="s">
        <v>32848</v>
      </c>
      <c r="I3154" t="s">
        <v>4487</v>
      </c>
      <c r="J3154" t="s">
        <v>32978</v>
      </c>
      <c r="K3154" t="s">
        <v>42727</v>
      </c>
      <c r="M3154" t="s">
        <v>43800</v>
      </c>
      <c r="N3154" t="s">
        <v>47424</v>
      </c>
      <c r="O3154" t="s">
        <v>47425</v>
      </c>
      <c r="P3154">
        <v>0</v>
      </c>
      <c r="Q3154">
        <v>2</v>
      </c>
      <c r="R3154" t="s">
        <v>47428</v>
      </c>
      <c r="S3154" t="s">
        <v>47541</v>
      </c>
      <c r="T3154" t="s">
        <v>49159</v>
      </c>
      <c r="U3154" t="s">
        <v>52361</v>
      </c>
      <c r="W3154" t="s">
        <v>43800</v>
      </c>
      <c r="X3154" t="s">
        <v>47430</v>
      </c>
    </row>
    <row r="3155" spans="1:24">
      <c r="A3155">
        <f>HYPERLINK("https://www.philgeps.gov.ph/GEPSNONPILOT/Tender/SplashBidNoticeAbstractUI.aspx?menuIndex=3&amp;refID=7163239&amp;Result=3","7163239")</f>
        <v>0</v>
      </c>
      <c r="B3155" t="s">
        <v>1366</v>
      </c>
      <c r="C3155" t="s">
        <v>6911</v>
      </c>
      <c r="D3155" t="s">
        <v>19024</v>
      </c>
      <c r="E3155" t="s">
        <v>21957</v>
      </c>
      <c r="F3155" t="s">
        <v>32831</v>
      </c>
      <c r="G3155" t="s">
        <v>32838</v>
      </c>
      <c r="H3155" t="s">
        <v>32848</v>
      </c>
      <c r="I3155" t="s">
        <v>32908</v>
      </c>
      <c r="J3155" t="s">
        <v>33606</v>
      </c>
      <c r="K3155" t="s">
        <v>42732</v>
      </c>
      <c r="M3155" t="s">
        <v>44446</v>
      </c>
      <c r="N3155" t="s">
        <v>47424</v>
      </c>
      <c r="O3155" t="s">
        <v>47425</v>
      </c>
      <c r="P3155">
        <v>0</v>
      </c>
      <c r="Q3155">
        <v>0</v>
      </c>
      <c r="R3155" t="s">
        <v>47428</v>
      </c>
      <c r="S3155" t="s">
        <v>47541</v>
      </c>
      <c r="T3155" t="s">
        <v>49056</v>
      </c>
      <c r="U3155" t="s">
        <v>52362</v>
      </c>
      <c r="W3155" t="s">
        <v>44446</v>
      </c>
      <c r="X3155" t="s">
        <v>47430</v>
      </c>
    </row>
    <row r="3156" spans="1:24">
      <c r="A3156">
        <f>HYPERLINK("https://www.philgeps.gov.ph/GEPSNONPILOT/Tender/SplashBidNoticeAbstractUI.aspx?menuIndex=3&amp;refID=7163284&amp;Result=3","7163284")</f>
        <v>0</v>
      </c>
      <c r="B3156" t="s">
        <v>1196</v>
      </c>
      <c r="C3156" t="s">
        <v>6912</v>
      </c>
      <c r="D3156" t="s">
        <v>19043</v>
      </c>
      <c r="E3156" t="s">
        <v>21958</v>
      </c>
      <c r="F3156" t="s">
        <v>32831</v>
      </c>
      <c r="G3156" t="s">
        <v>32839</v>
      </c>
      <c r="H3156" t="s">
        <v>32848</v>
      </c>
      <c r="I3156" t="s">
        <v>4776</v>
      </c>
      <c r="J3156" t="s">
        <v>33338</v>
      </c>
      <c r="K3156" t="s">
        <v>42732</v>
      </c>
      <c r="M3156" t="s">
        <v>44262</v>
      </c>
      <c r="N3156" t="s">
        <v>47424</v>
      </c>
      <c r="O3156" t="s">
        <v>47425</v>
      </c>
      <c r="P3156">
        <v>0</v>
      </c>
      <c r="Q3156">
        <v>2</v>
      </c>
      <c r="R3156" t="s">
        <v>47428</v>
      </c>
      <c r="S3156" t="s">
        <v>47541</v>
      </c>
      <c r="T3156" t="s">
        <v>49066</v>
      </c>
      <c r="U3156" t="s">
        <v>52363</v>
      </c>
      <c r="W3156" t="s">
        <v>44262</v>
      </c>
      <c r="X3156" t="s">
        <v>47430</v>
      </c>
    </row>
    <row r="3157" spans="1:24">
      <c r="A3157">
        <f>HYPERLINK("https://www.philgeps.gov.ph/GEPSNONPILOT/Tender/SplashBidNoticeAbstractUI.aspx?menuIndex=3&amp;refID=7163282&amp;Result=3","7163282")</f>
        <v>0</v>
      </c>
      <c r="B3157" t="s">
        <v>743</v>
      </c>
      <c r="C3157" t="s">
        <v>6484</v>
      </c>
      <c r="D3157" t="s">
        <v>19054</v>
      </c>
      <c r="E3157" t="s">
        <v>21959</v>
      </c>
      <c r="F3157" t="s">
        <v>32831</v>
      </c>
      <c r="G3157" t="s">
        <v>32842</v>
      </c>
      <c r="H3157" t="s">
        <v>32848</v>
      </c>
      <c r="I3157" t="s">
        <v>4776</v>
      </c>
      <c r="J3157" t="s">
        <v>35070</v>
      </c>
      <c r="K3157" t="s">
        <v>42726</v>
      </c>
      <c r="M3157" t="s">
        <v>43766</v>
      </c>
      <c r="N3157" t="s">
        <v>47424</v>
      </c>
      <c r="O3157" t="s">
        <v>47425</v>
      </c>
      <c r="P3157">
        <v>0</v>
      </c>
      <c r="Q3157">
        <v>1</v>
      </c>
      <c r="R3157" t="s">
        <v>47428</v>
      </c>
      <c r="S3157" t="s">
        <v>47541</v>
      </c>
      <c r="T3157" t="s">
        <v>49237</v>
      </c>
      <c r="U3157" t="s">
        <v>52364</v>
      </c>
      <c r="V3157" t="s">
        <v>62796</v>
      </c>
      <c r="W3157" t="s">
        <v>43766</v>
      </c>
      <c r="X3157" t="s">
        <v>47430</v>
      </c>
    </row>
    <row r="3158" spans="1:24">
      <c r="A3158">
        <f>HYPERLINK("https://www.philgeps.gov.ph/GEPSNONPILOT/Tender/SplashBidNoticeAbstractUI.aspx?menuIndex=3&amp;refID=7163250&amp;Result=3","7163250")</f>
        <v>0</v>
      </c>
      <c r="B3158" t="s">
        <v>693</v>
      </c>
      <c r="C3158" t="s">
        <v>6913</v>
      </c>
      <c r="D3158" t="s">
        <v>19073</v>
      </c>
      <c r="E3158" t="s">
        <v>20444</v>
      </c>
      <c r="F3158" t="s">
        <v>32831</v>
      </c>
      <c r="G3158" t="s">
        <v>32840</v>
      </c>
      <c r="H3158" t="s">
        <v>32848</v>
      </c>
      <c r="I3158" t="s">
        <v>32867</v>
      </c>
      <c r="J3158" t="s">
        <v>33077</v>
      </c>
      <c r="K3158" t="s">
        <v>42731</v>
      </c>
      <c r="M3158" t="s">
        <v>43712</v>
      </c>
      <c r="N3158" t="s">
        <v>47424</v>
      </c>
      <c r="O3158" t="s">
        <v>47425</v>
      </c>
      <c r="P3158">
        <v>0</v>
      </c>
      <c r="Q3158">
        <v>0</v>
      </c>
      <c r="R3158" t="s">
        <v>47428</v>
      </c>
      <c r="S3158" t="s">
        <v>47541</v>
      </c>
      <c r="T3158" t="s">
        <v>49108</v>
      </c>
      <c r="U3158" t="s">
        <v>52365</v>
      </c>
      <c r="W3158" t="s">
        <v>43712</v>
      </c>
      <c r="X3158" t="s">
        <v>47430</v>
      </c>
    </row>
    <row r="3159" spans="1:24">
      <c r="A3159">
        <f>HYPERLINK("https://www.philgeps.gov.ph/GEPSNONPILOT/Tender/SplashBidNoticeAbstractUI.aspx?menuIndex=3&amp;refID=7163281&amp;Result=3","7163281")</f>
        <v>0</v>
      </c>
      <c r="B3159" t="s">
        <v>1367</v>
      </c>
      <c r="C3159" t="s">
        <v>6914</v>
      </c>
      <c r="D3159" t="s">
        <v>19088</v>
      </c>
      <c r="E3159" t="s">
        <v>21960</v>
      </c>
      <c r="F3159" t="s">
        <v>32831</v>
      </c>
      <c r="G3159" t="s">
        <v>32838</v>
      </c>
      <c r="H3159" t="s">
        <v>32848</v>
      </c>
      <c r="I3159" t="s">
        <v>4487</v>
      </c>
      <c r="J3159" t="s">
        <v>33338</v>
      </c>
      <c r="K3159" t="s">
        <v>42726</v>
      </c>
      <c r="M3159" t="s">
        <v>44447</v>
      </c>
      <c r="N3159" t="s">
        <v>47424</v>
      </c>
      <c r="O3159" t="s">
        <v>47425</v>
      </c>
      <c r="P3159">
        <v>0</v>
      </c>
      <c r="Q3159">
        <v>4</v>
      </c>
      <c r="R3159" t="s">
        <v>47428</v>
      </c>
      <c r="S3159" t="s">
        <v>47541</v>
      </c>
      <c r="T3159" t="s">
        <v>49214</v>
      </c>
      <c r="U3159" t="s">
        <v>52366</v>
      </c>
      <c r="W3159" t="s">
        <v>44447</v>
      </c>
      <c r="X3159" t="s">
        <v>47430</v>
      </c>
    </row>
    <row r="3160" spans="1:24">
      <c r="A3160">
        <f>HYPERLINK("https://www.philgeps.gov.ph/GEPSNONPILOT/Tender/SplashBidNoticeAbstractUI.aspx?menuIndex=3&amp;refID=7163220&amp;Result=3","7163220")</f>
        <v>0</v>
      </c>
      <c r="B3160" t="s">
        <v>693</v>
      </c>
      <c r="C3160" t="s">
        <v>6915</v>
      </c>
      <c r="D3160" t="s">
        <v>19073</v>
      </c>
      <c r="E3160" t="s">
        <v>20444</v>
      </c>
      <c r="F3160" t="s">
        <v>32831</v>
      </c>
      <c r="G3160" t="s">
        <v>32838</v>
      </c>
      <c r="H3160" t="s">
        <v>32848</v>
      </c>
      <c r="I3160" t="s">
        <v>4438</v>
      </c>
      <c r="J3160" t="s">
        <v>34096</v>
      </c>
      <c r="K3160" t="s">
        <v>42731</v>
      </c>
      <c r="M3160" t="s">
        <v>43712</v>
      </c>
      <c r="N3160" t="s">
        <v>47424</v>
      </c>
      <c r="O3160" t="s">
        <v>47425</v>
      </c>
      <c r="P3160">
        <v>0</v>
      </c>
      <c r="Q3160">
        <v>0</v>
      </c>
      <c r="R3160" t="s">
        <v>47428</v>
      </c>
      <c r="S3160" t="s">
        <v>47541</v>
      </c>
      <c r="T3160" t="s">
        <v>49108</v>
      </c>
      <c r="U3160" t="s">
        <v>52367</v>
      </c>
      <c r="W3160" t="s">
        <v>43712</v>
      </c>
      <c r="X3160" t="s">
        <v>47430</v>
      </c>
    </row>
    <row r="3161" spans="1:24">
      <c r="A3161">
        <f>HYPERLINK("https://www.philgeps.gov.ph/GEPSNONPILOT/Tender/SplashBidNoticeAbstractUI.aspx?menuIndex=3&amp;refID=7163279&amp;Result=3","7163279")</f>
        <v>0</v>
      </c>
      <c r="B3161" t="s">
        <v>1356</v>
      </c>
      <c r="C3161" t="s">
        <v>6916</v>
      </c>
      <c r="D3161" t="s">
        <v>19020</v>
      </c>
      <c r="E3161" t="s">
        <v>19606</v>
      </c>
      <c r="F3161" t="s">
        <v>32831</v>
      </c>
      <c r="G3161" t="s">
        <v>32838</v>
      </c>
      <c r="H3161" t="s">
        <v>32848</v>
      </c>
      <c r="I3161" t="s">
        <v>4487</v>
      </c>
      <c r="J3161" t="s">
        <v>35071</v>
      </c>
      <c r="K3161" t="s">
        <v>42731</v>
      </c>
      <c r="M3161" t="s">
        <v>44433</v>
      </c>
      <c r="N3161" t="s">
        <v>47424</v>
      </c>
      <c r="O3161" t="s">
        <v>47425</v>
      </c>
      <c r="P3161">
        <v>0</v>
      </c>
      <c r="Q3161">
        <v>0</v>
      </c>
      <c r="R3161" t="s">
        <v>47428</v>
      </c>
      <c r="S3161" t="s">
        <v>47541</v>
      </c>
      <c r="T3161" t="s">
        <v>49295</v>
      </c>
      <c r="U3161" t="s">
        <v>52368</v>
      </c>
      <c r="V3161" t="s">
        <v>62977</v>
      </c>
      <c r="W3161" t="s">
        <v>44433</v>
      </c>
      <c r="X3161" t="s">
        <v>47430</v>
      </c>
    </row>
    <row r="3162" spans="1:24">
      <c r="A3162">
        <f>HYPERLINK("https://www.philgeps.gov.ph/GEPSNONPILOT/Tender/SplashBidNoticeAbstractUI.aspx?menuIndex=3&amp;refID=7163283&amp;Result=3","7163283")</f>
        <v>0</v>
      </c>
      <c r="B3162" t="s">
        <v>781</v>
      </c>
      <c r="C3162" t="s">
        <v>6917</v>
      </c>
      <c r="D3162" t="s">
        <v>19040</v>
      </c>
      <c r="E3162" t="s">
        <v>21961</v>
      </c>
      <c r="F3162" t="s">
        <v>32831</v>
      </c>
      <c r="G3162" t="s">
        <v>32840</v>
      </c>
      <c r="H3162" t="s">
        <v>32848</v>
      </c>
      <c r="I3162" t="s">
        <v>32870</v>
      </c>
      <c r="J3162" t="s">
        <v>35072</v>
      </c>
      <c r="K3162" t="s">
        <v>42731</v>
      </c>
      <c r="M3162" t="s">
        <v>43810</v>
      </c>
      <c r="N3162" t="s">
        <v>47424</v>
      </c>
      <c r="O3162" t="s">
        <v>47425</v>
      </c>
      <c r="P3162">
        <v>0</v>
      </c>
      <c r="Q3162">
        <v>0</v>
      </c>
      <c r="R3162" t="s">
        <v>47428</v>
      </c>
      <c r="S3162" t="s">
        <v>47541</v>
      </c>
      <c r="T3162" t="s">
        <v>49239</v>
      </c>
      <c r="U3162" t="s">
        <v>52369</v>
      </c>
      <c r="W3162" t="s">
        <v>43810</v>
      </c>
      <c r="X3162" t="s">
        <v>47430</v>
      </c>
    </row>
    <row r="3163" spans="1:24">
      <c r="A3163">
        <f>HYPERLINK("https://www.philgeps.gov.ph/GEPSNONPILOT/Tender/SplashBidNoticeAbstractUI.aspx?menuIndex=3&amp;refID=7163280&amp;Result=3","7163280")</f>
        <v>0</v>
      </c>
      <c r="B3163" t="s">
        <v>1368</v>
      </c>
      <c r="C3163" t="s">
        <v>6918</v>
      </c>
      <c r="D3163" t="s">
        <v>19023</v>
      </c>
      <c r="E3163" t="s">
        <v>21962</v>
      </c>
      <c r="F3163" t="s">
        <v>32831</v>
      </c>
      <c r="G3163" t="s">
        <v>32839</v>
      </c>
      <c r="H3163" t="s">
        <v>32849</v>
      </c>
      <c r="I3163" t="s">
        <v>4177</v>
      </c>
      <c r="J3163" t="s">
        <v>34509</v>
      </c>
      <c r="K3163" t="s">
        <v>42730</v>
      </c>
      <c r="M3163" t="s">
        <v>44448</v>
      </c>
      <c r="N3163" t="s">
        <v>47424</v>
      </c>
      <c r="O3163" t="s">
        <v>47425</v>
      </c>
      <c r="P3163">
        <v>0</v>
      </c>
      <c r="Q3163">
        <v>1</v>
      </c>
      <c r="R3163" t="s">
        <v>47428</v>
      </c>
      <c r="S3163" t="s">
        <v>47541</v>
      </c>
      <c r="T3163" t="s">
        <v>49073</v>
      </c>
      <c r="U3163" t="s">
        <v>52370</v>
      </c>
      <c r="V3163" t="s">
        <v>62978</v>
      </c>
      <c r="W3163" t="s">
        <v>44448</v>
      </c>
      <c r="X3163" t="s">
        <v>47430</v>
      </c>
    </row>
    <row r="3164" spans="1:24">
      <c r="A3164">
        <f>HYPERLINK("https://www.philgeps.gov.ph/GEPSNONPILOT/Tender/SplashBidNoticeAbstractUI.aspx?menuIndex=3&amp;refID=7163290&amp;Result=3","7163290")</f>
        <v>0</v>
      </c>
      <c r="B3164" t="s">
        <v>703</v>
      </c>
      <c r="C3164" t="s">
        <v>6919</v>
      </c>
      <c r="D3164" t="s">
        <v>19077</v>
      </c>
      <c r="E3164" t="s">
        <v>21963</v>
      </c>
      <c r="F3164" t="s">
        <v>32831</v>
      </c>
      <c r="G3164" t="s">
        <v>32839</v>
      </c>
      <c r="H3164" t="s">
        <v>32848</v>
      </c>
      <c r="I3164" t="s">
        <v>4471</v>
      </c>
      <c r="J3164" t="s">
        <v>35073</v>
      </c>
      <c r="K3164" t="s">
        <v>42763</v>
      </c>
      <c r="M3164" t="s">
        <v>44449</v>
      </c>
      <c r="N3164" t="s">
        <v>47424</v>
      </c>
      <c r="O3164" t="s">
        <v>47425</v>
      </c>
      <c r="P3164">
        <v>0</v>
      </c>
      <c r="Q3164">
        <v>4</v>
      </c>
      <c r="R3164" t="s">
        <v>47428</v>
      </c>
      <c r="S3164" t="s">
        <v>47541</v>
      </c>
      <c r="T3164" t="s">
        <v>49189</v>
      </c>
      <c r="U3164" t="s">
        <v>52371</v>
      </c>
      <c r="W3164" t="s">
        <v>44449</v>
      </c>
      <c r="X3164" t="s">
        <v>47430</v>
      </c>
    </row>
    <row r="3165" spans="1:24">
      <c r="A3165">
        <f>HYPERLINK("https://www.philgeps.gov.ph/GEPSNONPILOT/Tender/SplashBidNoticeAbstractUI.aspx?menuIndex=3&amp;refID=7163277&amp;Result=3","7163277")</f>
        <v>0</v>
      </c>
      <c r="B3165" t="s">
        <v>1144</v>
      </c>
      <c r="C3165" t="s">
        <v>6920</v>
      </c>
      <c r="D3165" t="s">
        <v>19038</v>
      </c>
      <c r="E3165" t="s">
        <v>21964</v>
      </c>
      <c r="F3165" t="s">
        <v>32831</v>
      </c>
      <c r="G3165" t="s">
        <v>32839</v>
      </c>
      <c r="H3165" t="s">
        <v>32848</v>
      </c>
      <c r="I3165" t="s">
        <v>4438</v>
      </c>
      <c r="J3165" t="s">
        <v>35074</v>
      </c>
      <c r="K3165" t="s">
        <v>42731</v>
      </c>
      <c r="M3165" t="s">
        <v>44208</v>
      </c>
      <c r="N3165" t="s">
        <v>47424</v>
      </c>
      <c r="O3165" t="s">
        <v>47425</v>
      </c>
      <c r="P3165">
        <v>0</v>
      </c>
      <c r="Q3165">
        <v>0</v>
      </c>
      <c r="R3165" t="s">
        <v>47428</v>
      </c>
      <c r="S3165" t="s">
        <v>47541</v>
      </c>
      <c r="T3165" t="s">
        <v>49267</v>
      </c>
      <c r="U3165" t="s">
        <v>52372</v>
      </c>
      <c r="V3165" t="s">
        <v>62904</v>
      </c>
      <c r="W3165" t="s">
        <v>44208</v>
      </c>
      <c r="X3165" t="s">
        <v>47430</v>
      </c>
    </row>
    <row r="3166" spans="1:24">
      <c r="A3166">
        <f>HYPERLINK("https://www.philgeps.gov.ph/GEPSNONPILOT/Tender/SplashBidNoticeAbstractUI.aspx?menuIndex=3&amp;refID=7163294&amp;Result=3","7163294")</f>
        <v>0</v>
      </c>
      <c r="B3166" t="s">
        <v>1369</v>
      </c>
      <c r="C3166" t="s">
        <v>6921</v>
      </c>
      <c r="E3166" t="s">
        <v>21965</v>
      </c>
      <c r="F3166" t="s">
        <v>32831</v>
      </c>
      <c r="G3166" t="s">
        <v>32842</v>
      </c>
      <c r="H3166" t="s">
        <v>32848</v>
      </c>
      <c r="I3166" t="s">
        <v>32860</v>
      </c>
      <c r="J3166" t="s">
        <v>35075</v>
      </c>
      <c r="K3166" t="s">
        <v>42732</v>
      </c>
      <c r="M3166" t="s">
        <v>44450</v>
      </c>
      <c r="N3166" t="s">
        <v>47424</v>
      </c>
      <c r="O3166" t="s">
        <v>47425</v>
      </c>
      <c r="P3166">
        <v>0</v>
      </c>
      <c r="Q3166">
        <v>3</v>
      </c>
      <c r="R3166" t="s">
        <v>47428</v>
      </c>
      <c r="S3166" t="s">
        <v>47541</v>
      </c>
      <c r="T3166" t="s">
        <v>49162</v>
      </c>
      <c r="U3166" t="s">
        <v>52373</v>
      </c>
      <c r="W3166" t="s">
        <v>44450</v>
      </c>
      <c r="X3166" t="s">
        <v>47430</v>
      </c>
    </row>
    <row r="3167" spans="1:24">
      <c r="A3167">
        <f>HYPERLINK("https://www.philgeps.gov.ph/GEPSNONPILOT/Tender/SplashBidNoticeAbstractUI.aspx?menuIndex=3&amp;refID=7163333&amp;Result=3","7163333")</f>
        <v>0</v>
      </c>
      <c r="B3167" t="s">
        <v>1370</v>
      </c>
      <c r="C3167" t="s">
        <v>6922</v>
      </c>
      <c r="D3167" t="s">
        <v>19017</v>
      </c>
      <c r="E3167" t="s">
        <v>19645</v>
      </c>
      <c r="F3167" t="s">
        <v>32831</v>
      </c>
      <c r="G3167" t="s">
        <v>32838</v>
      </c>
      <c r="H3167" t="s">
        <v>32848</v>
      </c>
      <c r="I3167" t="s">
        <v>4446</v>
      </c>
      <c r="J3167" t="s">
        <v>34905</v>
      </c>
      <c r="K3167" t="s">
        <v>42726</v>
      </c>
      <c r="M3167" t="s">
        <v>44451</v>
      </c>
      <c r="N3167" t="s">
        <v>47424</v>
      </c>
      <c r="O3167" t="s">
        <v>47425</v>
      </c>
      <c r="P3167">
        <v>0</v>
      </c>
      <c r="Q3167">
        <v>3</v>
      </c>
      <c r="R3167" t="s">
        <v>47428</v>
      </c>
      <c r="S3167" t="s">
        <v>47541</v>
      </c>
      <c r="T3167" t="s">
        <v>49114</v>
      </c>
      <c r="U3167" t="s">
        <v>52374</v>
      </c>
      <c r="W3167" t="s">
        <v>44451</v>
      </c>
      <c r="X3167" t="s">
        <v>47430</v>
      </c>
    </row>
    <row r="3168" spans="1:24">
      <c r="A3168">
        <f>HYPERLINK("https://www.philgeps.gov.ph/GEPSNONPILOT/Tender/SplashBidNoticeAbstractUI.aspx?menuIndex=3&amp;refID=7162989&amp;Result=3","7162989")</f>
        <v>0</v>
      </c>
      <c r="B3168" t="s">
        <v>1371</v>
      </c>
      <c r="C3168" t="s">
        <v>6923</v>
      </c>
      <c r="D3168" t="s">
        <v>19017</v>
      </c>
      <c r="E3168" t="s">
        <v>21966</v>
      </c>
      <c r="F3168" t="s">
        <v>32831</v>
      </c>
      <c r="G3168" t="s">
        <v>32838</v>
      </c>
      <c r="H3168" t="s">
        <v>32848</v>
      </c>
      <c r="I3168" t="s">
        <v>32858</v>
      </c>
      <c r="J3168" t="s">
        <v>33041</v>
      </c>
      <c r="K3168" t="s">
        <v>42731</v>
      </c>
      <c r="M3168" t="s">
        <v>44452</v>
      </c>
      <c r="N3168" t="s">
        <v>47424</v>
      </c>
      <c r="O3168" t="s">
        <v>47425</v>
      </c>
      <c r="P3168">
        <v>0</v>
      </c>
      <c r="Q3168">
        <v>5</v>
      </c>
      <c r="R3168" t="s">
        <v>47428</v>
      </c>
      <c r="S3168" t="s">
        <v>47541</v>
      </c>
      <c r="T3168" t="s">
        <v>49111</v>
      </c>
      <c r="U3168" t="s">
        <v>52375</v>
      </c>
      <c r="W3168" t="s">
        <v>44452</v>
      </c>
      <c r="X3168" t="s">
        <v>47430</v>
      </c>
    </row>
    <row r="3169" spans="1:24">
      <c r="A3169">
        <f>HYPERLINK("https://www.philgeps.gov.ph/GEPSNONPILOT/Tender/SplashBidNoticeAbstractUI.aspx?menuIndex=3&amp;refID=7163329&amp;Result=3","7163329")</f>
        <v>0</v>
      </c>
      <c r="B3169" t="s">
        <v>1372</v>
      </c>
      <c r="C3169" t="s">
        <v>6924</v>
      </c>
      <c r="D3169" t="s">
        <v>19037</v>
      </c>
      <c r="E3169" t="s">
        <v>21967</v>
      </c>
      <c r="F3169" t="s">
        <v>32831</v>
      </c>
      <c r="G3169" t="s">
        <v>32839</v>
      </c>
      <c r="H3169" t="s">
        <v>32848</v>
      </c>
      <c r="I3169" t="s">
        <v>4438</v>
      </c>
      <c r="J3169" t="s">
        <v>33007</v>
      </c>
      <c r="K3169" t="s">
        <v>42727</v>
      </c>
      <c r="M3169" t="s">
        <v>44453</v>
      </c>
      <c r="N3169" t="s">
        <v>47424</v>
      </c>
      <c r="O3169" t="s">
        <v>47425</v>
      </c>
      <c r="P3169">
        <v>0</v>
      </c>
      <c r="Q3169">
        <v>1</v>
      </c>
      <c r="R3169" t="s">
        <v>47428</v>
      </c>
      <c r="S3169" t="s">
        <v>47541</v>
      </c>
      <c r="T3169" t="s">
        <v>49080</v>
      </c>
      <c r="U3169" t="s">
        <v>52376</v>
      </c>
      <c r="V3169" t="s">
        <v>62979</v>
      </c>
      <c r="W3169" t="s">
        <v>44453</v>
      </c>
      <c r="X3169" t="s">
        <v>47430</v>
      </c>
    </row>
    <row r="3170" spans="1:24">
      <c r="A3170">
        <f>HYPERLINK("https://www.philgeps.gov.ph/GEPSNONPILOT/Tender/SplashBidNoticeAbstractUI.aspx?menuIndex=3&amp;refID=7163325&amp;Result=3","7163325")</f>
        <v>0</v>
      </c>
      <c r="B3170" t="s">
        <v>771</v>
      </c>
      <c r="C3170" t="s">
        <v>6925</v>
      </c>
      <c r="D3170" t="s">
        <v>19073</v>
      </c>
      <c r="E3170" t="s">
        <v>21956</v>
      </c>
      <c r="F3170" t="s">
        <v>32831</v>
      </c>
      <c r="G3170" t="s">
        <v>32839</v>
      </c>
      <c r="H3170" t="s">
        <v>32848</v>
      </c>
      <c r="I3170" t="s">
        <v>7416</v>
      </c>
      <c r="J3170" t="s">
        <v>35076</v>
      </c>
      <c r="K3170" t="s">
        <v>42727</v>
      </c>
      <c r="M3170" t="s">
        <v>43800</v>
      </c>
      <c r="N3170" t="s">
        <v>47424</v>
      </c>
      <c r="O3170" t="s">
        <v>47425</v>
      </c>
      <c r="P3170">
        <v>0</v>
      </c>
      <c r="Q3170">
        <v>1</v>
      </c>
      <c r="R3170" t="s">
        <v>47428</v>
      </c>
      <c r="S3170" t="s">
        <v>47541</v>
      </c>
      <c r="T3170" t="s">
        <v>49159</v>
      </c>
      <c r="U3170" t="s">
        <v>52361</v>
      </c>
      <c r="W3170" t="s">
        <v>43800</v>
      </c>
      <c r="X3170" t="s">
        <v>47430</v>
      </c>
    </row>
    <row r="3171" spans="1:24">
      <c r="A3171">
        <f>HYPERLINK("https://www.philgeps.gov.ph/GEPSNONPILOT/Tender/SplashBidNoticeAbstractUI.aspx?menuIndex=3&amp;refID=7163335&amp;Result=3","7163335")</f>
        <v>0</v>
      </c>
      <c r="B3171" t="s">
        <v>793</v>
      </c>
      <c r="C3171" t="s">
        <v>6926</v>
      </c>
      <c r="D3171" t="s">
        <v>19048</v>
      </c>
      <c r="E3171" t="s">
        <v>21968</v>
      </c>
      <c r="F3171" t="s">
        <v>32831</v>
      </c>
      <c r="G3171" t="s">
        <v>32838</v>
      </c>
      <c r="H3171" t="s">
        <v>32848</v>
      </c>
      <c r="I3171" t="s">
        <v>4558</v>
      </c>
      <c r="J3171" t="s">
        <v>35077</v>
      </c>
      <c r="K3171" t="s">
        <v>42730</v>
      </c>
      <c r="M3171" t="s">
        <v>43823</v>
      </c>
      <c r="N3171" t="s">
        <v>47424</v>
      </c>
      <c r="O3171" t="s">
        <v>47425</v>
      </c>
      <c r="P3171">
        <v>0</v>
      </c>
      <c r="Q3171">
        <v>1</v>
      </c>
      <c r="R3171" t="s">
        <v>47428</v>
      </c>
      <c r="S3171" t="s">
        <v>47541</v>
      </c>
      <c r="T3171" t="s">
        <v>49066</v>
      </c>
      <c r="U3171" t="s">
        <v>52377</v>
      </c>
      <c r="W3171" t="s">
        <v>43823</v>
      </c>
      <c r="X3171" t="s">
        <v>47430</v>
      </c>
    </row>
    <row r="3172" spans="1:24">
      <c r="A3172">
        <f>HYPERLINK("https://www.philgeps.gov.ph/GEPSNONPILOT/Tender/SplashBidNoticeAbstractUI.aspx?menuIndex=3&amp;refID=7163322&amp;Result=3","7163322")</f>
        <v>0</v>
      </c>
      <c r="B3172" t="s">
        <v>1373</v>
      </c>
      <c r="C3172" t="s">
        <v>4067</v>
      </c>
      <c r="D3172" t="s">
        <v>19045</v>
      </c>
      <c r="E3172" t="s">
        <v>21969</v>
      </c>
      <c r="F3172" t="s">
        <v>32831</v>
      </c>
      <c r="G3172" t="s">
        <v>32843</v>
      </c>
      <c r="H3172" t="s">
        <v>32848</v>
      </c>
      <c r="I3172" t="s">
        <v>9577</v>
      </c>
      <c r="J3172" t="s">
        <v>34331</v>
      </c>
      <c r="K3172" t="s">
        <v>42731</v>
      </c>
      <c r="M3172" t="s">
        <v>44454</v>
      </c>
      <c r="N3172" t="s">
        <v>47424</v>
      </c>
      <c r="O3172" t="s">
        <v>47425</v>
      </c>
      <c r="P3172">
        <v>0</v>
      </c>
      <c r="Q3172">
        <v>0</v>
      </c>
      <c r="R3172" t="s">
        <v>47428</v>
      </c>
      <c r="S3172" t="s">
        <v>47541</v>
      </c>
      <c r="T3172" t="s">
        <v>49159</v>
      </c>
      <c r="U3172" t="s">
        <v>52378</v>
      </c>
      <c r="W3172" t="s">
        <v>44454</v>
      </c>
      <c r="X3172" t="s">
        <v>47430</v>
      </c>
    </row>
    <row r="3173" spans="1:24">
      <c r="A3173">
        <f>HYPERLINK("https://www.philgeps.gov.ph/GEPSNONPILOT/Tender/SplashBidNoticeAbstractUI.aspx?menuIndex=3&amp;refID=7163332&amp;Result=3","7163332")</f>
        <v>0</v>
      </c>
      <c r="B3173" t="s">
        <v>679</v>
      </c>
      <c r="C3173" t="s">
        <v>6927</v>
      </c>
      <c r="D3173" t="s">
        <v>19026</v>
      </c>
      <c r="E3173" t="s">
        <v>21970</v>
      </c>
      <c r="F3173" t="s">
        <v>32831</v>
      </c>
      <c r="G3173" t="s">
        <v>32838</v>
      </c>
      <c r="H3173" t="s">
        <v>32848</v>
      </c>
      <c r="I3173" t="s">
        <v>4438</v>
      </c>
      <c r="J3173" t="s">
        <v>33193</v>
      </c>
      <c r="K3173" t="s">
        <v>42732</v>
      </c>
      <c r="L3173" t="s">
        <v>679</v>
      </c>
      <c r="M3173" t="s">
        <v>43698</v>
      </c>
      <c r="N3173" t="s">
        <v>47424</v>
      </c>
      <c r="O3173" t="s">
        <v>47425</v>
      </c>
      <c r="P3173">
        <v>0</v>
      </c>
      <c r="Q3173">
        <v>5</v>
      </c>
      <c r="R3173" t="s">
        <v>47428</v>
      </c>
      <c r="S3173" t="s">
        <v>47541</v>
      </c>
      <c r="T3173" t="s">
        <v>49107</v>
      </c>
      <c r="U3173" t="s">
        <v>52354</v>
      </c>
      <c r="W3173" t="s">
        <v>43698</v>
      </c>
      <c r="X3173" t="s">
        <v>47430</v>
      </c>
    </row>
    <row r="3174" spans="1:24">
      <c r="A3174">
        <f>HYPERLINK("https://www.philgeps.gov.ph/GEPSNONPILOT/Tender/SplashBidNoticeAbstractUI.aspx?menuIndex=3&amp;refID=7163314&amp;Result=3","7163314")</f>
        <v>0</v>
      </c>
      <c r="B3174" t="s">
        <v>1374</v>
      </c>
      <c r="C3174" t="s">
        <v>6928</v>
      </c>
      <c r="E3174" t="s">
        <v>21971</v>
      </c>
      <c r="F3174" t="s">
        <v>32831</v>
      </c>
      <c r="G3174" t="s">
        <v>32840</v>
      </c>
      <c r="H3174" t="s">
        <v>32848</v>
      </c>
      <c r="I3174" t="s">
        <v>5379</v>
      </c>
      <c r="J3174" t="s">
        <v>35078</v>
      </c>
      <c r="K3174" t="s">
        <v>42732</v>
      </c>
      <c r="M3174" t="s">
        <v>44455</v>
      </c>
      <c r="N3174" t="s">
        <v>47424</v>
      </c>
      <c r="O3174" t="s">
        <v>47425</v>
      </c>
      <c r="P3174">
        <v>0</v>
      </c>
      <c r="Q3174">
        <v>0</v>
      </c>
      <c r="R3174" t="s">
        <v>47428</v>
      </c>
      <c r="S3174" t="s">
        <v>47541</v>
      </c>
      <c r="T3174" t="s">
        <v>49235</v>
      </c>
      <c r="U3174" t="s">
        <v>52379</v>
      </c>
      <c r="W3174" t="s">
        <v>44455</v>
      </c>
      <c r="X3174" t="s">
        <v>47430</v>
      </c>
    </row>
    <row r="3175" spans="1:24">
      <c r="A3175">
        <f>HYPERLINK("https://www.philgeps.gov.ph/GEPSNONPILOT/Tender/SplashBidNoticeAbstractUI.aspx?menuIndex=3&amp;refID=7163312&amp;Result=3","7163312")</f>
        <v>0</v>
      </c>
      <c r="B3175" t="s">
        <v>1362</v>
      </c>
      <c r="C3175" t="s">
        <v>6929</v>
      </c>
      <c r="D3175" t="s">
        <v>19017</v>
      </c>
      <c r="E3175" t="s">
        <v>21972</v>
      </c>
      <c r="F3175" t="s">
        <v>32831</v>
      </c>
      <c r="G3175" t="s">
        <v>32838</v>
      </c>
      <c r="H3175" t="s">
        <v>32848</v>
      </c>
      <c r="I3175" t="s">
        <v>32874</v>
      </c>
      <c r="J3175" t="s">
        <v>35079</v>
      </c>
      <c r="K3175" t="s">
        <v>42732</v>
      </c>
      <c r="M3175" t="s">
        <v>44441</v>
      </c>
      <c r="N3175" t="s">
        <v>47424</v>
      </c>
      <c r="O3175" t="s">
        <v>47425</v>
      </c>
      <c r="P3175">
        <v>0</v>
      </c>
      <c r="Q3175">
        <v>5</v>
      </c>
      <c r="R3175" t="s">
        <v>47428</v>
      </c>
      <c r="S3175" t="s">
        <v>47541</v>
      </c>
      <c r="T3175" t="s">
        <v>49198</v>
      </c>
      <c r="U3175" t="s">
        <v>52380</v>
      </c>
      <c r="W3175" t="s">
        <v>44441</v>
      </c>
      <c r="X3175" t="s">
        <v>47430</v>
      </c>
    </row>
    <row r="3176" spans="1:24">
      <c r="A3176">
        <f>HYPERLINK("https://www.philgeps.gov.ph/GEPSNONPILOT/Tender/SplashBidNoticeAbstractUI.aspx?menuIndex=3&amp;refID=7163328&amp;Result=3","7163328")</f>
        <v>0</v>
      </c>
      <c r="B3176" t="s">
        <v>671</v>
      </c>
      <c r="C3176" t="s">
        <v>6930</v>
      </c>
      <c r="D3176" t="s">
        <v>19030</v>
      </c>
      <c r="E3176" t="s">
        <v>21973</v>
      </c>
      <c r="F3176" t="s">
        <v>32831</v>
      </c>
      <c r="G3176" t="s">
        <v>32838</v>
      </c>
      <c r="H3176" t="s">
        <v>32848</v>
      </c>
      <c r="I3176" t="s">
        <v>4438</v>
      </c>
      <c r="J3176" t="s">
        <v>33087</v>
      </c>
      <c r="K3176" t="s">
        <v>42745</v>
      </c>
      <c r="M3176" t="s">
        <v>44263</v>
      </c>
      <c r="N3176" t="s">
        <v>47424</v>
      </c>
      <c r="O3176" t="s">
        <v>47425</v>
      </c>
      <c r="P3176">
        <v>0</v>
      </c>
      <c r="Q3176">
        <v>2</v>
      </c>
      <c r="R3176" t="s">
        <v>47428</v>
      </c>
      <c r="S3176" t="s">
        <v>47541</v>
      </c>
      <c r="T3176" t="s">
        <v>49237</v>
      </c>
      <c r="U3176" t="s">
        <v>52028</v>
      </c>
      <c r="V3176" t="s">
        <v>62919</v>
      </c>
      <c r="W3176" t="s">
        <v>64462</v>
      </c>
      <c r="X3176" t="s">
        <v>47430</v>
      </c>
    </row>
    <row r="3177" spans="1:24">
      <c r="A3177">
        <f>HYPERLINK("https://www.philgeps.gov.ph/GEPSNONPILOT/Tender/SplashBidNoticeAbstractUI.aspx?menuIndex=3&amp;refID=7163119&amp;Result=3","7163119")</f>
        <v>0</v>
      </c>
      <c r="B3177" t="s">
        <v>1326</v>
      </c>
      <c r="C3177" t="s">
        <v>6931</v>
      </c>
      <c r="E3177" t="s">
        <v>19606</v>
      </c>
      <c r="F3177" t="s">
        <v>32831</v>
      </c>
      <c r="G3177" t="s">
        <v>32840</v>
      </c>
      <c r="H3177" t="s">
        <v>32848</v>
      </c>
      <c r="I3177" t="s">
        <v>32855</v>
      </c>
      <c r="J3177" t="s">
        <v>35080</v>
      </c>
      <c r="K3177" t="s">
        <v>42727</v>
      </c>
      <c r="M3177" t="s">
        <v>44397</v>
      </c>
      <c r="N3177" t="s">
        <v>47424</v>
      </c>
      <c r="O3177" t="s">
        <v>47425</v>
      </c>
      <c r="P3177">
        <v>0</v>
      </c>
      <c r="Q3177">
        <v>10</v>
      </c>
      <c r="R3177" t="s">
        <v>47428</v>
      </c>
      <c r="S3177" t="s">
        <v>47541</v>
      </c>
      <c r="T3177" t="s">
        <v>49119</v>
      </c>
      <c r="U3177" t="s">
        <v>52381</v>
      </c>
      <c r="W3177" t="s">
        <v>44397</v>
      </c>
      <c r="X3177" t="s">
        <v>47430</v>
      </c>
    </row>
    <row r="3178" spans="1:24">
      <c r="A3178">
        <f>HYPERLINK("https://www.philgeps.gov.ph/GEPSNONPILOT/Tender/SplashBidNoticeAbstractUI.aspx?menuIndex=3&amp;refID=7163323&amp;Result=3","7163323")</f>
        <v>0</v>
      </c>
      <c r="B3178" t="s">
        <v>1375</v>
      </c>
      <c r="C3178" t="s">
        <v>6932</v>
      </c>
      <c r="D3178" t="s">
        <v>19049</v>
      </c>
      <c r="E3178" t="s">
        <v>21974</v>
      </c>
      <c r="F3178" t="s">
        <v>32831</v>
      </c>
      <c r="G3178" t="s">
        <v>32838</v>
      </c>
      <c r="H3178" t="s">
        <v>32848</v>
      </c>
      <c r="I3178" t="s">
        <v>4487</v>
      </c>
      <c r="J3178" t="s">
        <v>35081</v>
      </c>
      <c r="K3178" t="s">
        <v>42727</v>
      </c>
      <c r="M3178" t="s">
        <v>44456</v>
      </c>
      <c r="N3178" t="s">
        <v>47424</v>
      </c>
      <c r="O3178" t="s">
        <v>47425</v>
      </c>
      <c r="P3178">
        <v>0</v>
      </c>
      <c r="Q3178">
        <v>1</v>
      </c>
      <c r="R3178" t="s">
        <v>47428</v>
      </c>
      <c r="S3178" t="s">
        <v>47541</v>
      </c>
      <c r="T3178" t="s">
        <v>49239</v>
      </c>
      <c r="U3178" t="s">
        <v>52382</v>
      </c>
      <c r="W3178" t="s">
        <v>64466</v>
      </c>
      <c r="X3178" t="s">
        <v>47430</v>
      </c>
    </row>
    <row r="3179" spans="1:24">
      <c r="A3179">
        <f>HYPERLINK("https://www.philgeps.gov.ph/GEPSNONPILOT/Tender/SplashBidNoticeAbstractUI.aspx?menuIndex=3&amp;refID=7163321&amp;Result=3","7163321")</f>
        <v>0</v>
      </c>
      <c r="B3179" t="s">
        <v>693</v>
      </c>
      <c r="C3179" t="s">
        <v>6933</v>
      </c>
      <c r="D3179" t="s">
        <v>19073</v>
      </c>
      <c r="E3179" t="s">
        <v>20444</v>
      </c>
      <c r="F3179" t="s">
        <v>32831</v>
      </c>
      <c r="G3179" t="s">
        <v>32840</v>
      </c>
      <c r="H3179" t="s">
        <v>32848</v>
      </c>
      <c r="I3179" t="s">
        <v>32892</v>
      </c>
      <c r="J3179" t="s">
        <v>33430</v>
      </c>
      <c r="K3179" t="s">
        <v>42731</v>
      </c>
      <c r="M3179" t="s">
        <v>43712</v>
      </c>
      <c r="N3179" t="s">
        <v>47424</v>
      </c>
      <c r="O3179" t="s">
        <v>47425</v>
      </c>
      <c r="P3179">
        <v>0</v>
      </c>
      <c r="Q3179">
        <v>2</v>
      </c>
      <c r="R3179" t="s">
        <v>47428</v>
      </c>
      <c r="S3179" t="s">
        <v>47541</v>
      </c>
      <c r="T3179" t="s">
        <v>49108</v>
      </c>
      <c r="U3179" t="s">
        <v>52383</v>
      </c>
      <c r="W3179" t="s">
        <v>43712</v>
      </c>
      <c r="X3179" t="s">
        <v>47430</v>
      </c>
    </row>
    <row r="3180" spans="1:24">
      <c r="A3180">
        <f>HYPERLINK("https://www.philgeps.gov.ph/GEPSNONPILOT/Tender/SplashBidNoticeAbstractUI.aspx?menuIndex=3&amp;refID=7163371&amp;Result=3","7163371")</f>
        <v>0</v>
      </c>
      <c r="B3180" t="s">
        <v>1278</v>
      </c>
      <c r="C3180" t="s">
        <v>6934</v>
      </c>
      <c r="D3180" t="s">
        <v>19074</v>
      </c>
      <c r="E3180" t="s">
        <v>21975</v>
      </c>
      <c r="F3180" t="s">
        <v>32831</v>
      </c>
      <c r="G3180" t="s">
        <v>32838</v>
      </c>
      <c r="H3180" t="s">
        <v>32848</v>
      </c>
      <c r="I3180" t="s">
        <v>32853</v>
      </c>
      <c r="J3180" t="s">
        <v>33490</v>
      </c>
      <c r="K3180" t="s">
        <v>42748</v>
      </c>
      <c r="M3180" t="s">
        <v>44348</v>
      </c>
      <c r="N3180" t="s">
        <v>47424</v>
      </c>
      <c r="O3180" t="s">
        <v>47425</v>
      </c>
      <c r="P3180">
        <v>0</v>
      </c>
      <c r="Q3180">
        <v>2</v>
      </c>
      <c r="R3180" t="s">
        <v>47428</v>
      </c>
      <c r="S3180" t="s">
        <v>47541</v>
      </c>
      <c r="T3180" t="s">
        <v>49145</v>
      </c>
      <c r="U3180" t="s">
        <v>52190</v>
      </c>
      <c r="W3180" t="s">
        <v>44348</v>
      </c>
      <c r="X3180" t="s">
        <v>47430</v>
      </c>
    </row>
    <row r="3181" spans="1:24">
      <c r="A3181">
        <f>HYPERLINK("https://www.philgeps.gov.ph/GEPSNONPILOT/Tender/SplashBidNoticeAbstractUI.aspx?menuIndex=3&amp;refID=7163278&amp;Result=3","7163278")</f>
        <v>0</v>
      </c>
      <c r="B3181" t="s">
        <v>1376</v>
      </c>
      <c r="C3181" t="s">
        <v>6935</v>
      </c>
      <c r="E3181" t="s">
        <v>21976</v>
      </c>
      <c r="F3181" t="s">
        <v>32831</v>
      </c>
      <c r="G3181" t="s">
        <v>32840</v>
      </c>
      <c r="H3181" t="s">
        <v>32848</v>
      </c>
      <c r="I3181" t="s">
        <v>10643</v>
      </c>
      <c r="J3181" t="s">
        <v>35082</v>
      </c>
      <c r="K3181" t="s">
        <v>42732</v>
      </c>
      <c r="M3181" t="s">
        <v>44457</v>
      </c>
      <c r="N3181" t="s">
        <v>47424</v>
      </c>
      <c r="O3181" t="s">
        <v>47425</v>
      </c>
      <c r="P3181">
        <v>0</v>
      </c>
      <c r="Q3181">
        <v>4</v>
      </c>
      <c r="R3181" t="s">
        <v>47428</v>
      </c>
      <c r="S3181" t="s">
        <v>47541</v>
      </c>
      <c r="T3181" t="s">
        <v>49119</v>
      </c>
      <c r="U3181" t="s">
        <v>52384</v>
      </c>
      <c r="W3181" t="s">
        <v>44457</v>
      </c>
      <c r="X3181" t="s">
        <v>47430</v>
      </c>
    </row>
    <row r="3182" spans="1:24">
      <c r="A3182">
        <f>HYPERLINK("https://www.philgeps.gov.ph/GEPSNONPILOT/Tender/SplashBidNoticeAbstractUI.aspx?menuIndex=3&amp;refID=7163370&amp;Result=3","7163370")</f>
        <v>0</v>
      </c>
      <c r="B3182" t="s">
        <v>793</v>
      </c>
      <c r="C3182" t="s">
        <v>6936</v>
      </c>
      <c r="D3182" t="s">
        <v>19048</v>
      </c>
      <c r="E3182" t="s">
        <v>21977</v>
      </c>
      <c r="F3182" t="s">
        <v>32831</v>
      </c>
      <c r="G3182" t="s">
        <v>32838</v>
      </c>
      <c r="H3182" t="s">
        <v>32848</v>
      </c>
      <c r="I3182" t="s">
        <v>32857</v>
      </c>
      <c r="J3182" t="s">
        <v>35083</v>
      </c>
      <c r="K3182" t="s">
        <v>42730</v>
      </c>
      <c r="M3182" t="s">
        <v>43823</v>
      </c>
      <c r="N3182" t="s">
        <v>47424</v>
      </c>
      <c r="O3182" t="s">
        <v>47425</v>
      </c>
      <c r="P3182">
        <v>0</v>
      </c>
      <c r="Q3182">
        <v>5</v>
      </c>
      <c r="R3182" t="s">
        <v>47428</v>
      </c>
      <c r="S3182" t="s">
        <v>47541</v>
      </c>
      <c r="T3182" t="s">
        <v>49066</v>
      </c>
      <c r="U3182" t="s">
        <v>52385</v>
      </c>
      <c r="W3182" t="s">
        <v>43823</v>
      </c>
      <c r="X3182" t="s">
        <v>47430</v>
      </c>
    </row>
    <row r="3183" spans="1:24">
      <c r="A3183">
        <f>HYPERLINK("https://www.philgeps.gov.ph/GEPSNONPILOT/Tender/SplashBidNoticeAbstractUI.aspx?menuIndex=3&amp;refID=7163363&amp;Result=3","7163363")</f>
        <v>0</v>
      </c>
      <c r="B3183" t="s">
        <v>516</v>
      </c>
      <c r="C3183" t="s">
        <v>6937</v>
      </c>
      <c r="D3183" t="s">
        <v>19021</v>
      </c>
      <c r="E3183" t="s">
        <v>21978</v>
      </c>
      <c r="F3183" t="s">
        <v>32831</v>
      </c>
      <c r="G3183" t="s">
        <v>32838</v>
      </c>
      <c r="H3183" t="s">
        <v>32848</v>
      </c>
      <c r="I3183" t="s">
        <v>7416</v>
      </c>
      <c r="J3183" t="s">
        <v>35084</v>
      </c>
      <c r="K3183" t="s">
        <v>42758</v>
      </c>
      <c r="M3183" t="s">
        <v>43521</v>
      </c>
      <c r="N3183" t="s">
        <v>47424</v>
      </c>
      <c r="O3183" t="s">
        <v>47425</v>
      </c>
      <c r="P3183">
        <v>0</v>
      </c>
      <c r="Q3183">
        <v>0</v>
      </c>
      <c r="R3183" t="s">
        <v>47428</v>
      </c>
      <c r="S3183" t="s">
        <v>47541</v>
      </c>
      <c r="T3183" t="s">
        <v>49129</v>
      </c>
      <c r="U3183" t="s">
        <v>52386</v>
      </c>
      <c r="W3183" t="s">
        <v>43521</v>
      </c>
      <c r="X3183" t="s">
        <v>47430</v>
      </c>
    </row>
    <row r="3184" spans="1:24">
      <c r="A3184">
        <f>HYPERLINK("https://www.philgeps.gov.ph/GEPSNONPILOT/Tender/SplashBidNoticeAbstractUI.aspx?menuIndex=3&amp;refID=7163372&amp;Result=3","7163372")</f>
        <v>0</v>
      </c>
      <c r="B3184" t="s">
        <v>609</v>
      </c>
      <c r="C3184" t="s">
        <v>6938</v>
      </c>
      <c r="D3184" t="s">
        <v>19017</v>
      </c>
      <c r="E3184" t="s">
        <v>21979</v>
      </c>
      <c r="F3184" t="s">
        <v>32831</v>
      </c>
      <c r="G3184" t="s">
        <v>32840</v>
      </c>
      <c r="H3184" t="s">
        <v>32848</v>
      </c>
      <c r="I3184" t="s">
        <v>32905</v>
      </c>
      <c r="J3184" t="s">
        <v>33291</v>
      </c>
      <c r="K3184" t="s">
        <v>42732</v>
      </c>
      <c r="M3184" t="s">
        <v>44458</v>
      </c>
      <c r="N3184" t="s">
        <v>47424</v>
      </c>
      <c r="O3184" t="s">
        <v>47425</v>
      </c>
      <c r="P3184">
        <v>0</v>
      </c>
      <c r="Q3184">
        <v>10</v>
      </c>
      <c r="R3184" t="s">
        <v>47428</v>
      </c>
      <c r="S3184" t="s">
        <v>47541</v>
      </c>
      <c r="T3184" t="s">
        <v>49107</v>
      </c>
      <c r="U3184" t="s">
        <v>52387</v>
      </c>
      <c r="W3184" t="s">
        <v>44458</v>
      </c>
      <c r="X3184" t="s">
        <v>47430</v>
      </c>
    </row>
    <row r="3185" spans="1:24">
      <c r="A3185">
        <f>HYPERLINK("https://www.philgeps.gov.ph/GEPSNONPILOT/Tender/SplashBidNoticeAbstractUI.aspx?menuIndex=3&amp;refID=7163358&amp;Result=3","7163358")</f>
        <v>0</v>
      </c>
      <c r="B3185" t="s">
        <v>1377</v>
      </c>
      <c r="C3185" t="s">
        <v>6939</v>
      </c>
      <c r="D3185" t="s">
        <v>19037</v>
      </c>
      <c r="E3185" t="s">
        <v>19675</v>
      </c>
      <c r="F3185" t="s">
        <v>32831</v>
      </c>
      <c r="G3185" t="s">
        <v>32840</v>
      </c>
      <c r="H3185" t="s">
        <v>32848</v>
      </c>
      <c r="I3185" t="s">
        <v>32860</v>
      </c>
      <c r="J3185" t="s">
        <v>35085</v>
      </c>
      <c r="K3185" t="s">
        <v>42727</v>
      </c>
      <c r="M3185" t="s">
        <v>44459</v>
      </c>
      <c r="N3185" t="s">
        <v>47424</v>
      </c>
      <c r="O3185" t="s">
        <v>47425</v>
      </c>
      <c r="P3185">
        <v>0</v>
      </c>
      <c r="Q3185">
        <v>2</v>
      </c>
      <c r="R3185" t="s">
        <v>47428</v>
      </c>
      <c r="S3185" t="s">
        <v>47541</v>
      </c>
      <c r="T3185" t="s">
        <v>49089</v>
      </c>
      <c r="U3185" t="s">
        <v>52388</v>
      </c>
      <c r="W3185" t="s">
        <v>44459</v>
      </c>
      <c r="X3185" t="s">
        <v>47430</v>
      </c>
    </row>
    <row r="3186" spans="1:24">
      <c r="A3186">
        <f>HYPERLINK("https://www.philgeps.gov.ph/GEPSNONPILOT/Tender/SplashBidNoticeAbstractUI.aspx?menuIndex=3&amp;refID=7163356&amp;Result=3","7163356")</f>
        <v>0</v>
      </c>
      <c r="B3186" t="s">
        <v>693</v>
      </c>
      <c r="C3186" t="s">
        <v>6940</v>
      </c>
      <c r="D3186" t="s">
        <v>19073</v>
      </c>
      <c r="E3186" t="s">
        <v>20444</v>
      </c>
      <c r="F3186" t="s">
        <v>32831</v>
      </c>
      <c r="G3186" t="s">
        <v>32840</v>
      </c>
      <c r="H3186" t="s">
        <v>32848</v>
      </c>
      <c r="I3186" t="s">
        <v>32857</v>
      </c>
      <c r="J3186" t="s">
        <v>35086</v>
      </c>
      <c r="K3186" t="s">
        <v>42731</v>
      </c>
      <c r="M3186" t="s">
        <v>43712</v>
      </c>
      <c r="N3186" t="s">
        <v>47424</v>
      </c>
      <c r="O3186" t="s">
        <v>47425</v>
      </c>
      <c r="P3186">
        <v>0</v>
      </c>
      <c r="Q3186">
        <v>5</v>
      </c>
      <c r="R3186" t="s">
        <v>47428</v>
      </c>
      <c r="S3186" t="s">
        <v>47541</v>
      </c>
      <c r="T3186" t="s">
        <v>49108</v>
      </c>
      <c r="U3186" t="s">
        <v>52389</v>
      </c>
      <c r="W3186" t="s">
        <v>43712</v>
      </c>
      <c r="X3186" t="s">
        <v>47430</v>
      </c>
    </row>
    <row r="3187" spans="1:24">
      <c r="A3187">
        <f>HYPERLINK("https://www.philgeps.gov.ph/GEPSNONPILOT/Tender/SplashBidNoticeAbstractUI.aspx?menuIndex=3&amp;refID=7163353&amp;Result=3","7163353")</f>
        <v>0</v>
      </c>
      <c r="B3187" t="s">
        <v>755</v>
      </c>
      <c r="C3187" t="s">
        <v>6941</v>
      </c>
      <c r="D3187" t="s">
        <v>19018</v>
      </c>
      <c r="E3187" t="s">
        <v>6941</v>
      </c>
      <c r="F3187" t="s">
        <v>32831</v>
      </c>
      <c r="G3187" t="s">
        <v>32838</v>
      </c>
      <c r="H3187" t="s">
        <v>32848</v>
      </c>
      <c r="I3187" t="s">
        <v>32884</v>
      </c>
      <c r="J3187" t="s">
        <v>35087</v>
      </c>
      <c r="K3187" t="s">
        <v>42732</v>
      </c>
      <c r="M3187" t="s">
        <v>44460</v>
      </c>
      <c r="N3187" t="s">
        <v>47424</v>
      </c>
      <c r="O3187" t="s">
        <v>47425</v>
      </c>
      <c r="P3187">
        <v>0</v>
      </c>
      <c r="Q3187">
        <v>2</v>
      </c>
      <c r="R3187" t="s">
        <v>47428</v>
      </c>
      <c r="S3187" t="s">
        <v>47541</v>
      </c>
      <c r="T3187" t="s">
        <v>49229</v>
      </c>
      <c r="U3187" t="s">
        <v>52390</v>
      </c>
      <c r="W3187" t="s">
        <v>44460</v>
      </c>
      <c r="X3187" t="s">
        <v>47430</v>
      </c>
    </row>
    <row r="3188" spans="1:24">
      <c r="A3188">
        <f>HYPERLINK("https://www.philgeps.gov.ph/GEPSNONPILOT/Tender/SplashBidNoticeAbstractUI.aspx?menuIndex=3&amp;refID=7163352&amp;Result=3","7163352")</f>
        <v>0</v>
      </c>
      <c r="B3188" t="s">
        <v>581</v>
      </c>
      <c r="C3188" t="s">
        <v>6942</v>
      </c>
      <c r="D3188" t="s">
        <v>19044</v>
      </c>
      <c r="E3188" t="s">
        <v>21980</v>
      </c>
      <c r="F3188" t="s">
        <v>32831</v>
      </c>
      <c r="G3188" t="s">
        <v>32838</v>
      </c>
      <c r="H3188" t="s">
        <v>32848</v>
      </c>
      <c r="I3188" t="s">
        <v>4487</v>
      </c>
      <c r="J3188" t="s">
        <v>35088</v>
      </c>
      <c r="K3188" t="s">
        <v>42726</v>
      </c>
      <c r="M3188" t="s">
        <v>43592</v>
      </c>
      <c r="N3188" t="s">
        <v>47424</v>
      </c>
      <c r="O3188" t="s">
        <v>47425</v>
      </c>
      <c r="P3188">
        <v>0</v>
      </c>
      <c r="Q3188">
        <v>2</v>
      </c>
      <c r="R3188" t="s">
        <v>47428</v>
      </c>
      <c r="S3188" t="s">
        <v>47541</v>
      </c>
      <c r="T3188" t="s">
        <v>49163</v>
      </c>
      <c r="U3188" t="s">
        <v>50752</v>
      </c>
      <c r="W3188" t="s">
        <v>43592</v>
      </c>
      <c r="X3188" t="s">
        <v>47430</v>
      </c>
    </row>
    <row r="3189" spans="1:24">
      <c r="A3189">
        <f>HYPERLINK("https://www.philgeps.gov.ph/GEPSNONPILOT/Tender/SplashBidNoticeAbstractUI.aspx?menuIndex=3&amp;refID=7163360&amp;Result=3","7163360")</f>
        <v>0</v>
      </c>
      <c r="B3189" t="s">
        <v>67</v>
      </c>
      <c r="C3189" t="s">
        <v>4482</v>
      </c>
      <c r="D3189" t="s">
        <v>19079</v>
      </c>
      <c r="E3189" t="s">
        <v>21981</v>
      </c>
      <c r="F3189" t="s">
        <v>32831</v>
      </c>
      <c r="G3189" t="s">
        <v>32842</v>
      </c>
      <c r="H3189" t="s">
        <v>32848</v>
      </c>
      <c r="I3189" t="s">
        <v>32894</v>
      </c>
      <c r="J3189" t="s">
        <v>35089</v>
      </c>
      <c r="K3189" t="s">
        <v>42730</v>
      </c>
      <c r="M3189" t="s">
        <v>44461</v>
      </c>
      <c r="N3189" t="s">
        <v>47424</v>
      </c>
      <c r="O3189" t="s">
        <v>47425</v>
      </c>
      <c r="P3189">
        <v>0</v>
      </c>
      <c r="Q3189">
        <v>1</v>
      </c>
      <c r="R3189" t="s">
        <v>47428</v>
      </c>
      <c r="S3189" t="s">
        <v>47541</v>
      </c>
      <c r="T3189" t="s">
        <v>49063</v>
      </c>
      <c r="U3189" t="s">
        <v>52391</v>
      </c>
      <c r="W3189" t="s">
        <v>44461</v>
      </c>
      <c r="X3189" t="s">
        <v>47430</v>
      </c>
    </row>
    <row r="3190" spans="1:24">
      <c r="A3190">
        <f>HYPERLINK("https://www.philgeps.gov.ph/GEPSNONPILOT/Tender/SplashBidNoticeAbstractUI.aspx?menuIndex=3&amp;refID=7163351&amp;Result=3","7163351")</f>
        <v>0</v>
      </c>
      <c r="B3190" t="s">
        <v>1378</v>
      </c>
      <c r="C3190" t="s">
        <v>6943</v>
      </c>
      <c r="D3190" t="s">
        <v>19017</v>
      </c>
      <c r="E3190" t="s">
        <v>21982</v>
      </c>
      <c r="F3190" t="s">
        <v>32831</v>
      </c>
      <c r="G3190" t="s">
        <v>32838</v>
      </c>
      <c r="H3190" t="s">
        <v>32848</v>
      </c>
      <c r="I3190" t="s">
        <v>6526</v>
      </c>
      <c r="J3190" t="s">
        <v>35090</v>
      </c>
      <c r="K3190" t="s">
        <v>42726</v>
      </c>
      <c r="M3190" t="s">
        <v>44462</v>
      </c>
      <c r="N3190" t="s">
        <v>47424</v>
      </c>
      <c r="O3190" t="s">
        <v>47425</v>
      </c>
      <c r="P3190">
        <v>0</v>
      </c>
      <c r="Q3190">
        <v>1</v>
      </c>
      <c r="R3190" t="s">
        <v>47428</v>
      </c>
      <c r="S3190" t="s">
        <v>47541</v>
      </c>
      <c r="T3190" t="s">
        <v>49253</v>
      </c>
      <c r="U3190" t="s">
        <v>52392</v>
      </c>
      <c r="W3190" t="s">
        <v>44462</v>
      </c>
      <c r="X3190" t="s">
        <v>47430</v>
      </c>
    </row>
    <row r="3191" spans="1:24">
      <c r="A3191">
        <f>HYPERLINK("https://www.philgeps.gov.ph/GEPSNONPILOT/Tender/SplashBidNoticeAbstractUI.aspx?menuIndex=3&amp;refID=7163354&amp;Result=3","7163354")</f>
        <v>0</v>
      </c>
      <c r="B3191" t="s">
        <v>743</v>
      </c>
      <c r="C3191" t="s">
        <v>5774</v>
      </c>
      <c r="D3191" t="s">
        <v>19054</v>
      </c>
      <c r="E3191" t="s">
        <v>21983</v>
      </c>
      <c r="F3191" t="s">
        <v>32831</v>
      </c>
      <c r="G3191" t="s">
        <v>32838</v>
      </c>
      <c r="H3191" t="s">
        <v>32848</v>
      </c>
      <c r="I3191" t="s">
        <v>4222</v>
      </c>
      <c r="J3191" t="s">
        <v>33508</v>
      </c>
      <c r="K3191" t="s">
        <v>42726</v>
      </c>
      <c r="M3191" t="s">
        <v>43766</v>
      </c>
      <c r="N3191" t="s">
        <v>47424</v>
      </c>
      <c r="O3191" t="s">
        <v>47425</v>
      </c>
      <c r="P3191">
        <v>0</v>
      </c>
      <c r="Q3191">
        <v>0</v>
      </c>
      <c r="R3191" t="s">
        <v>47428</v>
      </c>
      <c r="S3191" t="s">
        <v>47541</v>
      </c>
      <c r="T3191" t="s">
        <v>49237</v>
      </c>
      <c r="U3191" t="s">
        <v>52393</v>
      </c>
      <c r="V3191" t="s">
        <v>62796</v>
      </c>
      <c r="W3191" t="s">
        <v>43766</v>
      </c>
      <c r="X3191" t="s">
        <v>47430</v>
      </c>
    </row>
    <row r="3192" spans="1:24">
      <c r="A3192">
        <f>HYPERLINK("https://www.philgeps.gov.ph/GEPSNONPILOT/Tender/SplashBidNoticeAbstractUI.aspx?menuIndex=3&amp;refID=7163349&amp;Result=3","7163349")</f>
        <v>0</v>
      </c>
      <c r="B3192" t="s">
        <v>881</v>
      </c>
      <c r="C3192" t="s">
        <v>6944</v>
      </c>
      <c r="D3192" t="s">
        <v>19095</v>
      </c>
      <c r="E3192" t="s">
        <v>21902</v>
      </c>
      <c r="F3192" t="s">
        <v>32831</v>
      </c>
      <c r="G3192" t="s">
        <v>32838</v>
      </c>
      <c r="H3192" t="s">
        <v>32848</v>
      </c>
      <c r="I3192" t="s">
        <v>5379</v>
      </c>
      <c r="J3192" t="s">
        <v>35091</v>
      </c>
      <c r="K3192" t="s">
        <v>42727</v>
      </c>
      <c r="M3192" t="s">
        <v>43916</v>
      </c>
      <c r="N3192" t="s">
        <v>47424</v>
      </c>
      <c r="O3192" t="s">
        <v>47425</v>
      </c>
      <c r="P3192">
        <v>0</v>
      </c>
      <c r="Q3192">
        <v>2</v>
      </c>
      <c r="R3192" t="s">
        <v>47428</v>
      </c>
      <c r="S3192" t="s">
        <v>47541</v>
      </c>
      <c r="T3192" t="s">
        <v>49237</v>
      </c>
      <c r="U3192" t="s">
        <v>52394</v>
      </c>
      <c r="W3192" t="s">
        <v>43916</v>
      </c>
      <c r="X3192" t="s">
        <v>47430</v>
      </c>
    </row>
    <row r="3193" spans="1:24">
      <c r="A3193">
        <f>HYPERLINK("https://www.philgeps.gov.ph/GEPSNONPILOT/Tender/SplashBidNoticeAbstractUI.aspx?menuIndex=3&amp;refID=7163409&amp;Result=3","7163409")</f>
        <v>0</v>
      </c>
      <c r="B3193" t="s">
        <v>571</v>
      </c>
      <c r="C3193" t="s">
        <v>6945</v>
      </c>
      <c r="D3193" t="s">
        <v>19046</v>
      </c>
      <c r="E3193" t="s">
        <v>21984</v>
      </c>
      <c r="F3193" t="s">
        <v>32831</v>
      </c>
      <c r="G3193" t="s">
        <v>32840</v>
      </c>
      <c r="H3193" t="s">
        <v>32848</v>
      </c>
      <c r="I3193" t="s">
        <v>32879</v>
      </c>
      <c r="J3193" t="s">
        <v>33119</v>
      </c>
      <c r="K3193" t="s">
        <v>42758</v>
      </c>
      <c r="M3193" t="s">
        <v>43581</v>
      </c>
      <c r="N3193" t="s">
        <v>47424</v>
      </c>
      <c r="O3193" t="s">
        <v>47425</v>
      </c>
      <c r="P3193">
        <v>0</v>
      </c>
      <c r="Q3193">
        <v>3</v>
      </c>
      <c r="R3193" t="s">
        <v>47428</v>
      </c>
      <c r="S3193" t="s">
        <v>47541</v>
      </c>
      <c r="T3193" t="s">
        <v>49119</v>
      </c>
      <c r="U3193" t="s">
        <v>52395</v>
      </c>
      <c r="W3193" t="s">
        <v>43581</v>
      </c>
      <c r="X3193" t="s">
        <v>47430</v>
      </c>
    </row>
    <row r="3194" spans="1:24">
      <c r="A3194">
        <f>HYPERLINK("https://www.philgeps.gov.ph/GEPSNONPILOT/Tender/SplashBidNoticeAbstractUI.aspx?menuIndex=3&amp;refID=7163361&amp;Result=3","7163361")</f>
        <v>0</v>
      </c>
      <c r="B3194" t="s">
        <v>473</v>
      </c>
      <c r="C3194" t="s">
        <v>6946</v>
      </c>
      <c r="D3194" t="s">
        <v>19091</v>
      </c>
      <c r="E3194" t="s">
        <v>21985</v>
      </c>
      <c r="F3194" t="s">
        <v>32831</v>
      </c>
      <c r="G3194" t="s">
        <v>32838</v>
      </c>
      <c r="H3194" t="s">
        <v>32848</v>
      </c>
      <c r="I3194" t="s">
        <v>4471</v>
      </c>
      <c r="J3194" t="s">
        <v>35092</v>
      </c>
      <c r="K3194" t="s">
        <v>42730</v>
      </c>
      <c r="M3194" t="s">
        <v>44430</v>
      </c>
      <c r="N3194" t="s">
        <v>47424</v>
      </c>
      <c r="O3194" t="s">
        <v>47425</v>
      </c>
      <c r="P3194">
        <v>0</v>
      </c>
      <c r="Q3194">
        <v>1</v>
      </c>
      <c r="R3194" t="s">
        <v>47428</v>
      </c>
      <c r="S3194" t="s">
        <v>47541</v>
      </c>
      <c r="T3194" t="s">
        <v>49166</v>
      </c>
      <c r="U3194" t="s">
        <v>52396</v>
      </c>
      <c r="W3194" t="s">
        <v>44430</v>
      </c>
      <c r="X3194" t="s">
        <v>47430</v>
      </c>
    </row>
    <row r="3195" spans="1:24">
      <c r="A3195">
        <f>HYPERLINK("https://www.philgeps.gov.ph/GEPSNONPILOT/Tender/SplashBidNoticeAbstractUI.aspx?menuIndex=3&amp;refID=7163350&amp;Result=3","7163350")</f>
        <v>0</v>
      </c>
      <c r="B3195" t="s">
        <v>950</v>
      </c>
      <c r="C3195" t="s">
        <v>6947</v>
      </c>
      <c r="D3195" t="s">
        <v>19100</v>
      </c>
      <c r="E3195" t="s">
        <v>21986</v>
      </c>
      <c r="F3195" t="s">
        <v>32831</v>
      </c>
      <c r="G3195" t="s">
        <v>32839</v>
      </c>
      <c r="H3195" t="s">
        <v>32849</v>
      </c>
      <c r="I3195" t="s">
        <v>4177</v>
      </c>
      <c r="J3195" t="s">
        <v>33078</v>
      </c>
      <c r="K3195" t="s">
        <v>42761</v>
      </c>
      <c r="M3195" t="s">
        <v>44404</v>
      </c>
      <c r="N3195" t="s">
        <v>47424</v>
      </c>
      <c r="O3195" t="s">
        <v>47425</v>
      </c>
      <c r="P3195">
        <v>0</v>
      </c>
      <c r="Q3195">
        <v>0</v>
      </c>
      <c r="R3195" t="s">
        <v>47428</v>
      </c>
      <c r="S3195" t="s">
        <v>47541</v>
      </c>
      <c r="T3195" t="s">
        <v>49066</v>
      </c>
      <c r="U3195" t="s">
        <v>52397</v>
      </c>
      <c r="W3195" t="s">
        <v>44404</v>
      </c>
      <c r="X3195" t="s">
        <v>47430</v>
      </c>
    </row>
    <row r="3196" spans="1:24">
      <c r="A3196">
        <f>HYPERLINK("https://www.philgeps.gov.ph/GEPSNONPILOT/Tender/SplashBidNoticeAbstractUI.aspx?menuIndex=3&amp;refID=7163339&amp;Result=3","7163339")</f>
        <v>0</v>
      </c>
      <c r="B3196" t="s">
        <v>1379</v>
      </c>
      <c r="C3196" t="s">
        <v>6948</v>
      </c>
      <c r="D3196" t="s">
        <v>19067</v>
      </c>
      <c r="E3196" t="s">
        <v>21987</v>
      </c>
      <c r="F3196" t="s">
        <v>32831</v>
      </c>
      <c r="G3196" t="s">
        <v>32839</v>
      </c>
      <c r="H3196" t="s">
        <v>32848</v>
      </c>
      <c r="I3196" t="s">
        <v>4487</v>
      </c>
      <c r="J3196" t="s">
        <v>35093</v>
      </c>
      <c r="K3196" t="s">
        <v>42747</v>
      </c>
      <c r="M3196" t="s">
        <v>44463</v>
      </c>
      <c r="N3196" t="s">
        <v>47424</v>
      </c>
      <c r="O3196" t="s">
        <v>47425</v>
      </c>
      <c r="P3196">
        <v>0</v>
      </c>
      <c r="Q3196">
        <v>3</v>
      </c>
      <c r="R3196" t="s">
        <v>47428</v>
      </c>
      <c r="S3196" t="s">
        <v>47541</v>
      </c>
      <c r="T3196" t="s">
        <v>49336</v>
      </c>
      <c r="U3196" t="s">
        <v>52398</v>
      </c>
      <c r="W3196" t="s">
        <v>44463</v>
      </c>
      <c r="X3196" t="s">
        <v>47430</v>
      </c>
    </row>
    <row r="3197" spans="1:24">
      <c r="A3197">
        <f>HYPERLINK("https://www.philgeps.gov.ph/GEPSNONPILOT/Tender/SplashBidNoticeAbstractUI.aspx?menuIndex=3&amp;refID=7163399&amp;Result=3","7163399")</f>
        <v>0</v>
      </c>
      <c r="B3197" t="s">
        <v>1380</v>
      </c>
      <c r="C3197" t="s">
        <v>6949</v>
      </c>
      <c r="D3197" t="s">
        <v>19045</v>
      </c>
      <c r="E3197" t="s">
        <v>21988</v>
      </c>
      <c r="F3197" t="s">
        <v>32831</v>
      </c>
      <c r="G3197" t="s">
        <v>32842</v>
      </c>
      <c r="H3197" t="s">
        <v>32848</v>
      </c>
      <c r="I3197" t="s">
        <v>9577</v>
      </c>
      <c r="J3197" t="s">
        <v>35094</v>
      </c>
      <c r="K3197" t="s">
        <v>42759</v>
      </c>
      <c r="M3197" t="s">
        <v>44464</v>
      </c>
      <c r="N3197" t="s">
        <v>47424</v>
      </c>
      <c r="O3197" t="s">
        <v>47425</v>
      </c>
      <c r="P3197">
        <v>0</v>
      </c>
      <c r="Q3197">
        <v>2</v>
      </c>
      <c r="R3197" t="s">
        <v>47428</v>
      </c>
      <c r="S3197" t="s">
        <v>47541</v>
      </c>
      <c r="T3197" t="s">
        <v>49114</v>
      </c>
      <c r="U3197" t="s">
        <v>52399</v>
      </c>
      <c r="W3197" t="s">
        <v>44464</v>
      </c>
      <c r="X3197" t="s">
        <v>47430</v>
      </c>
    </row>
    <row r="3198" spans="1:24">
      <c r="A3198">
        <f>HYPERLINK("https://www.philgeps.gov.ph/GEPSNONPILOT/Tender/SplashBidNoticeAbstractUI.aspx?menuIndex=3&amp;refID=7163397&amp;Result=3","7163397")</f>
        <v>0</v>
      </c>
      <c r="B3198" t="s">
        <v>473</v>
      </c>
      <c r="C3198" t="s">
        <v>6950</v>
      </c>
      <c r="D3198" t="s">
        <v>19091</v>
      </c>
      <c r="E3198" t="s">
        <v>21989</v>
      </c>
      <c r="F3198" t="s">
        <v>32831</v>
      </c>
      <c r="G3198" t="s">
        <v>32838</v>
      </c>
      <c r="H3198" t="s">
        <v>32848</v>
      </c>
      <c r="I3198" t="s">
        <v>4471</v>
      </c>
      <c r="J3198" t="s">
        <v>33269</v>
      </c>
      <c r="K3198" t="s">
        <v>42730</v>
      </c>
      <c r="M3198" t="s">
        <v>44430</v>
      </c>
      <c r="N3198" t="s">
        <v>47424</v>
      </c>
      <c r="O3198" t="s">
        <v>47425</v>
      </c>
      <c r="P3198">
        <v>0</v>
      </c>
      <c r="Q3198">
        <v>2</v>
      </c>
      <c r="R3198" t="s">
        <v>47428</v>
      </c>
      <c r="S3198" t="s">
        <v>47541</v>
      </c>
      <c r="T3198" t="s">
        <v>49114</v>
      </c>
      <c r="U3198" t="s">
        <v>52400</v>
      </c>
      <c r="W3198" t="s">
        <v>44430</v>
      </c>
      <c r="X3198" t="s">
        <v>47430</v>
      </c>
    </row>
    <row r="3199" spans="1:24">
      <c r="A3199">
        <f>HYPERLINK("https://www.philgeps.gov.ph/GEPSNONPILOT/Tender/SplashBidNoticeAbstractUI.aspx?menuIndex=3&amp;refID=7163396&amp;Result=3","7163396")</f>
        <v>0</v>
      </c>
      <c r="B3199" t="s">
        <v>1381</v>
      </c>
      <c r="C3199" t="s">
        <v>6951</v>
      </c>
      <c r="D3199" t="s">
        <v>19057</v>
      </c>
      <c r="E3199" t="s">
        <v>21990</v>
      </c>
      <c r="F3199" t="s">
        <v>32831</v>
      </c>
      <c r="G3199" t="s">
        <v>32840</v>
      </c>
      <c r="H3199" t="s">
        <v>32848</v>
      </c>
      <c r="I3199" t="s">
        <v>4303</v>
      </c>
      <c r="J3199" t="s">
        <v>33292</v>
      </c>
      <c r="K3199" t="s">
        <v>42726</v>
      </c>
      <c r="M3199" t="s">
        <v>44465</v>
      </c>
      <c r="N3199" t="s">
        <v>47424</v>
      </c>
      <c r="O3199" t="s">
        <v>47425</v>
      </c>
      <c r="P3199">
        <v>0</v>
      </c>
      <c r="Q3199">
        <v>0</v>
      </c>
      <c r="R3199" t="s">
        <v>47428</v>
      </c>
      <c r="S3199" t="s">
        <v>47541</v>
      </c>
      <c r="T3199" t="s">
        <v>49198</v>
      </c>
      <c r="U3199" t="s">
        <v>52401</v>
      </c>
      <c r="W3199" t="s">
        <v>44465</v>
      </c>
      <c r="X3199" t="s">
        <v>47430</v>
      </c>
    </row>
    <row r="3200" spans="1:24">
      <c r="A3200">
        <f>HYPERLINK("https://www.philgeps.gov.ph/GEPSNONPILOT/Tender/SplashBidNoticeAbstractUI.aspx?menuIndex=3&amp;refID=7163391&amp;Result=3","7163391")</f>
        <v>0</v>
      </c>
      <c r="B3200" t="s">
        <v>1382</v>
      </c>
      <c r="C3200" t="s">
        <v>6952</v>
      </c>
      <c r="D3200" t="s">
        <v>19021</v>
      </c>
      <c r="E3200" t="s">
        <v>21991</v>
      </c>
      <c r="F3200" t="s">
        <v>32831</v>
      </c>
      <c r="G3200" t="s">
        <v>32842</v>
      </c>
      <c r="H3200" t="s">
        <v>32848</v>
      </c>
      <c r="I3200" t="s">
        <v>32860</v>
      </c>
      <c r="J3200" t="s">
        <v>35095</v>
      </c>
      <c r="K3200" t="s">
        <v>42726</v>
      </c>
      <c r="M3200" t="s">
        <v>44466</v>
      </c>
      <c r="N3200" t="s">
        <v>47424</v>
      </c>
      <c r="O3200" t="s">
        <v>47425</v>
      </c>
      <c r="P3200">
        <v>0</v>
      </c>
      <c r="Q3200">
        <v>0</v>
      </c>
      <c r="R3200" t="s">
        <v>47428</v>
      </c>
      <c r="S3200" t="s">
        <v>47541</v>
      </c>
      <c r="T3200" t="s">
        <v>49111</v>
      </c>
      <c r="U3200" t="s">
        <v>52402</v>
      </c>
      <c r="V3200" t="s">
        <v>62980</v>
      </c>
      <c r="W3200" t="s">
        <v>44466</v>
      </c>
      <c r="X3200" t="s">
        <v>47430</v>
      </c>
    </row>
    <row r="3201" spans="1:24">
      <c r="A3201">
        <f>HYPERLINK("https://www.philgeps.gov.ph/GEPSNONPILOT/Tender/SplashBidNoticeAbstractUI.aspx?menuIndex=3&amp;refID=7163359&amp;Result=3","7163359")</f>
        <v>0</v>
      </c>
      <c r="B3201" t="s">
        <v>1256</v>
      </c>
      <c r="C3201" t="s">
        <v>6953</v>
      </c>
      <c r="D3201" t="s">
        <v>19033</v>
      </c>
      <c r="E3201" t="s">
        <v>21992</v>
      </c>
      <c r="F3201" t="s">
        <v>32831</v>
      </c>
      <c r="G3201" t="s">
        <v>32838</v>
      </c>
      <c r="H3201" t="s">
        <v>32848</v>
      </c>
      <c r="I3201" t="s">
        <v>32883</v>
      </c>
      <c r="J3201" t="s">
        <v>32983</v>
      </c>
      <c r="K3201" t="s">
        <v>42730</v>
      </c>
      <c r="M3201" t="s">
        <v>44326</v>
      </c>
      <c r="N3201" t="s">
        <v>47424</v>
      </c>
      <c r="O3201" t="s">
        <v>47425</v>
      </c>
      <c r="P3201">
        <v>0</v>
      </c>
      <c r="Q3201">
        <v>2</v>
      </c>
      <c r="R3201" t="s">
        <v>47428</v>
      </c>
      <c r="S3201" t="s">
        <v>47541</v>
      </c>
      <c r="T3201" t="s">
        <v>49129</v>
      </c>
      <c r="U3201" t="s">
        <v>52155</v>
      </c>
      <c r="W3201" t="s">
        <v>44326</v>
      </c>
      <c r="X3201" t="s">
        <v>47430</v>
      </c>
    </row>
    <row r="3202" spans="1:24">
      <c r="A3202">
        <f>HYPERLINK("https://www.philgeps.gov.ph/GEPSNONPILOT/Tender/SplashBidNoticeAbstractUI.aspx?menuIndex=3&amp;refID=7163408&amp;Result=3","7163408")</f>
        <v>0</v>
      </c>
      <c r="B3202" t="s">
        <v>689</v>
      </c>
      <c r="C3202" t="s">
        <v>6954</v>
      </c>
      <c r="E3202" t="s">
        <v>21993</v>
      </c>
      <c r="F3202" t="s">
        <v>32831</v>
      </c>
      <c r="G3202" t="s">
        <v>32838</v>
      </c>
      <c r="H3202" t="s">
        <v>32848</v>
      </c>
      <c r="I3202" t="s">
        <v>32909</v>
      </c>
      <c r="J3202" t="s">
        <v>35096</v>
      </c>
      <c r="K3202" t="s">
        <v>42732</v>
      </c>
      <c r="M3202" t="s">
        <v>43708</v>
      </c>
      <c r="N3202" t="s">
        <v>47424</v>
      </c>
      <c r="O3202" t="s">
        <v>47425</v>
      </c>
      <c r="P3202">
        <v>0</v>
      </c>
      <c r="Q3202">
        <v>5</v>
      </c>
      <c r="R3202" t="s">
        <v>47428</v>
      </c>
      <c r="S3202" t="s">
        <v>47541</v>
      </c>
      <c r="T3202" t="s">
        <v>49096</v>
      </c>
      <c r="U3202" t="s">
        <v>52403</v>
      </c>
      <c r="V3202" t="s">
        <v>62902</v>
      </c>
      <c r="W3202" t="s">
        <v>43708</v>
      </c>
      <c r="X3202" t="s">
        <v>47430</v>
      </c>
    </row>
    <row r="3203" spans="1:24">
      <c r="A3203">
        <f>HYPERLINK("https://www.philgeps.gov.ph/GEPSNONPILOT/Tender/SplashBidNoticeAbstractUI.aspx?menuIndex=3&amp;refID=7163387&amp;Result=3","7163387")</f>
        <v>0</v>
      </c>
      <c r="B3203" t="s">
        <v>1142</v>
      </c>
      <c r="C3203" t="s">
        <v>6955</v>
      </c>
      <c r="D3203" t="s">
        <v>19035</v>
      </c>
      <c r="E3203" t="s">
        <v>19826</v>
      </c>
      <c r="F3203" t="s">
        <v>32831</v>
      </c>
      <c r="G3203" t="s">
        <v>32838</v>
      </c>
      <c r="H3203" t="s">
        <v>32848</v>
      </c>
      <c r="I3203" t="s">
        <v>10805</v>
      </c>
      <c r="J3203" t="s">
        <v>32979</v>
      </c>
      <c r="K3203" t="s">
        <v>42730</v>
      </c>
      <c r="M3203" t="s">
        <v>44467</v>
      </c>
      <c r="N3203" t="s">
        <v>47424</v>
      </c>
      <c r="O3203" t="s">
        <v>47425</v>
      </c>
      <c r="P3203">
        <v>0</v>
      </c>
      <c r="Q3203">
        <v>6</v>
      </c>
      <c r="R3203" t="s">
        <v>47428</v>
      </c>
      <c r="S3203" t="s">
        <v>47541</v>
      </c>
      <c r="T3203" t="s">
        <v>49111</v>
      </c>
      <c r="U3203" t="s">
        <v>52404</v>
      </c>
      <c r="W3203" t="s">
        <v>44467</v>
      </c>
      <c r="X3203" t="s">
        <v>47430</v>
      </c>
    </row>
    <row r="3204" spans="1:24">
      <c r="A3204">
        <f>HYPERLINK("https://www.philgeps.gov.ph/GEPSNONPILOT/Tender/SplashBidNoticeAbstractUI.aspx?menuIndex=3&amp;refID=7163386&amp;Result=3","7163386")</f>
        <v>0</v>
      </c>
      <c r="B3204" t="s">
        <v>693</v>
      </c>
      <c r="C3204" t="s">
        <v>6956</v>
      </c>
      <c r="D3204" t="s">
        <v>19073</v>
      </c>
      <c r="E3204" t="s">
        <v>20444</v>
      </c>
      <c r="F3204" t="s">
        <v>32831</v>
      </c>
      <c r="G3204" t="s">
        <v>32840</v>
      </c>
      <c r="H3204" t="s">
        <v>32848</v>
      </c>
      <c r="I3204" t="s">
        <v>4303</v>
      </c>
      <c r="J3204" t="s">
        <v>35097</v>
      </c>
      <c r="K3204" t="s">
        <v>42731</v>
      </c>
      <c r="M3204" t="s">
        <v>43712</v>
      </c>
      <c r="N3204" t="s">
        <v>47424</v>
      </c>
      <c r="O3204" t="s">
        <v>47425</v>
      </c>
      <c r="P3204">
        <v>0</v>
      </c>
      <c r="Q3204">
        <v>1</v>
      </c>
      <c r="R3204" t="s">
        <v>47428</v>
      </c>
      <c r="S3204" t="s">
        <v>47541</v>
      </c>
      <c r="T3204" t="s">
        <v>49108</v>
      </c>
      <c r="U3204" t="s">
        <v>52405</v>
      </c>
      <c r="W3204" t="s">
        <v>43712</v>
      </c>
      <c r="X3204" t="s">
        <v>47430</v>
      </c>
    </row>
    <row r="3205" spans="1:24">
      <c r="A3205">
        <f>HYPERLINK("https://www.philgeps.gov.ph/GEPSNONPILOT/Tender/SplashBidNoticeAbstractUI.aspx?menuIndex=3&amp;refID=7163315&amp;Result=3","7163315")</f>
        <v>0</v>
      </c>
      <c r="B3205" t="s">
        <v>1367</v>
      </c>
      <c r="C3205" t="s">
        <v>6957</v>
      </c>
      <c r="D3205" t="s">
        <v>19088</v>
      </c>
      <c r="E3205" t="s">
        <v>21994</v>
      </c>
      <c r="F3205" t="s">
        <v>32831</v>
      </c>
      <c r="G3205" t="s">
        <v>32838</v>
      </c>
      <c r="H3205" t="s">
        <v>32848</v>
      </c>
      <c r="I3205" t="s">
        <v>32855</v>
      </c>
      <c r="J3205" t="s">
        <v>33218</v>
      </c>
      <c r="K3205" t="s">
        <v>42726</v>
      </c>
      <c r="M3205" t="s">
        <v>44447</v>
      </c>
      <c r="N3205" t="s">
        <v>47424</v>
      </c>
      <c r="O3205" t="s">
        <v>47425</v>
      </c>
      <c r="P3205">
        <v>0</v>
      </c>
      <c r="Q3205">
        <v>2</v>
      </c>
      <c r="R3205" t="s">
        <v>47428</v>
      </c>
      <c r="S3205" t="s">
        <v>47541</v>
      </c>
      <c r="T3205" t="s">
        <v>49214</v>
      </c>
      <c r="U3205" t="s">
        <v>52406</v>
      </c>
      <c r="W3205" t="s">
        <v>44447</v>
      </c>
      <c r="X3205" t="s">
        <v>47430</v>
      </c>
    </row>
    <row r="3206" spans="1:24">
      <c r="A3206">
        <f>HYPERLINK("https://www.philgeps.gov.ph/GEPSNONPILOT/Tender/SplashBidNoticeAbstractUI.aspx?menuIndex=3&amp;refID=7163407&amp;Result=3","7163407")</f>
        <v>0</v>
      </c>
      <c r="B3206" t="s">
        <v>1383</v>
      </c>
      <c r="C3206" t="s">
        <v>6958</v>
      </c>
      <c r="D3206" t="s">
        <v>19054</v>
      </c>
      <c r="E3206" t="s">
        <v>21995</v>
      </c>
      <c r="F3206" t="s">
        <v>32831</v>
      </c>
      <c r="G3206" t="s">
        <v>32838</v>
      </c>
      <c r="H3206" t="s">
        <v>32848</v>
      </c>
      <c r="I3206" t="s">
        <v>4558</v>
      </c>
      <c r="J3206" t="s">
        <v>35098</v>
      </c>
      <c r="K3206" t="s">
        <v>42727</v>
      </c>
      <c r="L3206" t="s">
        <v>1383</v>
      </c>
      <c r="M3206" t="s">
        <v>44468</v>
      </c>
      <c r="N3206" t="s">
        <v>47424</v>
      </c>
      <c r="O3206" t="s">
        <v>47425</v>
      </c>
      <c r="P3206">
        <v>0</v>
      </c>
      <c r="Q3206">
        <v>1</v>
      </c>
      <c r="R3206" t="s">
        <v>47428</v>
      </c>
      <c r="S3206" t="s">
        <v>47541</v>
      </c>
      <c r="T3206" t="s">
        <v>49270</v>
      </c>
      <c r="U3206" t="s">
        <v>52407</v>
      </c>
      <c r="V3206" t="s">
        <v>62981</v>
      </c>
      <c r="W3206" t="s">
        <v>44468</v>
      </c>
      <c r="X3206" t="s">
        <v>47430</v>
      </c>
    </row>
    <row r="3207" spans="1:24">
      <c r="A3207">
        <f>HYPERLINK("https://www.philgeps.gov.ph/GEPSNONPILOT/Tender/SplashBidNoticeAbstractUI.aspx?menuIndex=3&amp;refID=7163383&amp;Result=3","7163383")</f>
        <v>0</v>
      </c>
      <c r="B3207" t="s">
        <v>1377</v>
      </c>
      <c r="C3207" t="s">
        <v>6959</v>
      </c>
      <c r="D3207" t="s">
        <v>19037</v>
      </c>
      <c r="E3207" t="s">
        <v>21996</v>
      </c>
      <c r="F3207" t="s">
        <v>32831</v>
      </c>
      <c r="G3207" t="s">
        <v>32840</v>
      </c>
      <c r="H3207" t="s">
        <v>32848</v>
      </c>
      <c r="I3207" t="s">
        <v>32867</v>
      </c>
      <c r="J3207" t="s">
        <v>34070</v>
      </c>
      <c r="K3207" t="s">
        <v>42727</v>
      </c>
      <c r="M3207" t="s">
        <v>44459</v>
      </c>
      <c r="N3207" t="s">
        <v>47424</v>
      </c>
      <c r="O3207" t="s">
        <v>47425</v>
      </c>
      <c r="P3207">
        <v>0</v>
      </c>
      <c r="Q3207">
        <v>1</v>
      </c>
      <c r="R3207" t="s">
        <v>47428</v>
      </c>
      <c r="S3207" t="s">
        <v>47541</v>
      </c>
      <c r="T3207" t="s">
        <v>49089</v>
      </c>
      <c r="U3207" t="s">
        <v>52408</v>
      </c>
      <c r="W3207" t="s">
        <v>44459</v>
      </c>
      <c r="X3207" t="s">
        <v>47430</v>
      </c>
    </row>
    <row r="3208" spans="1:24">
      <c r="A3208">
        <f>HYPERLINK("https://www.philgeps.gov.ph/GEPSNONPILOT/Tender/SplashBidNoticeAbstractUI.aspx?menuIndex=3&amp;refID=7163454&amp;Result=3","7163454")</f>
        <v>0</v>
      </c>
      <c r="B3208" t="s">
        <v>1384</v>
      </c>
      <c r="C3208" t="s">
        <v>6960</v>
      </c>
      <c r="D3208" t="s">
        <v>19095</v>
      </c>
      <c r="E3208" t="s">
        <v>21997</v>
      </c>
      <c r="F3208" t="s">
        <v>32831</v>
      </c>
      <c r="G3208" t="s">
        <v>32838</v>
      </c>
      <c r="H3208" t="s">
        <v>32848</v>
      </c>
      <c r="I3208" t="s">
        <v>32855</v>
      </c>
      <c r="J3208" t="s">
        <v>35099</v>
      </c>
      <c r="K3208" t="s">
        <v>42727</v>
      </c>
      <c r="M3208" t="s">
        <v>44469</v>
      </c>
      <c r="N3208" t="s">
        <v>47424</v>
      </c>
      <c r="O3208" t="s">
        <v>47425</v>
      </c>
      <c r="P3208">
        <v>0</v>
      </c>
      <c r="Q3208">
        <v>11</v>
      </c>
      <c r="R3208" t="s">
        <v>47428</v>
      </c>
      <c r="S3208" t="s">
        <v>47541</v>
      </c>
      <c r="T3208" t="s">
        <v>49141</v>
      </c>
      <c r="U3208" t="s">
        <v>52409</v>
      </c>
      <c r="W3208" t="s">
        <v>64467</v>
      </c>
      <c r="X3208" t="s">
        <v>47430</v>
      </c>
    </row>
    <row r="3209" spans="1:24">
      <c r="A3209">
        <f>HYPERLINK("https://www.philgeps.gov.ph/GEPSNONPILOT/Tender/SplashBidNoticeAbstractUI.aspx?menuIndex=3&amp;refID=7163390&amp;Result=3","7163390")</f>
        <v>0</v>
      </c>
      <c r="B3209" t="s">
        <v>689</v>
      </c>
      <c r="C3209" t="s">
        <v>6961</v>
      </c>
      <c r="E3209" t="s">
        <v>21998</v>
      </c>
      <c r="F3209" t="s">
        <v>32831</v>
      </c>
      <c r="G3209" t="s">
        <v>32838</v>
      </c>
      <c r="H3209" t="s">
        <v>32848</v>
      </c>
      <c r="I3209" t="s">
        <v>4776</v>
      </c>
      <c r="J3209" t="s">
        <v>35100</v>
      </c>
      <c r="K3209" t="s">
        <v>42732</v>
      </c>
      <c r="M3209" t="s">
        <v>43708</v>
      </c>
      <c r="N3209" t="s">
        <v>47424</v>
      </c>
      <c r="O3209" t="s">
        <v>47425</v>
      </c>
      <c r="P3209">
        <v>0</v>
      </c>
      <c r="Q3209">
        <v>3</v>
      </c>
      <c r="R3209" t="s">
        <v>47428</v>
      </c>
      <c r="S3209" t="s">
        <v>47541</v>
      </c>
      <c r="T3209" t="s">
        <v>49096</v>
      </c>
      <c r="U3209" t="s">
        <v>52410</v>
      </c>
      <c r="V3209" t="s">
        <v>62902</v>
      </c>
      <c r="W3209" t="s">
        <v>43708</v>
      </c>
      <c r="X3209" t="s">
        <v>47430</v>
      </c>
    </row>
    <row r="3210" spans="1:24">
      <c r="A3210">
        <f>HYPERLINK("https://www.philgeps.gov.ph/GEPSNONPILOT/Tender/SplashBidNoticeAbstractUI.aspx?menuIndex=3&amp;refID=7163453&amp;Result=3","7163453")</f>
        <v>0</v>
      </c>
      <c r="B3210" t="s">
        <v>1385</v>
      </c>
      <c r="C3210" t="s">
        <v>6962</v>
      </c>
      <c r="D3210" t="s">
        <v>19060</v>
      </c>
      <c r="E3210" t="s">
        <v>21999</v>
      </c>
      <c r="F3210" t="s">
        <v>32831</v>
      </c>
      <c r="G3210" t="s">
        <v>32838</v>
      </c>
      <c r="H3210" t="s">
        <v>32850</v>
      </c>
      <c r="I3210" t="s">
        <v>32879</v>
      </c>
      <c r="J3210" t="s">
        <v>35101</v>
      </c>
      <c r="K3210" t="s">
        <v>42729</v>
      </c>
      <c r="M3210" t="s">
        <v>44470</v>
      </c>
      <c r="N3210" t="s">
        <v>47424</v>
      </c>
      <c r="O3210" t="s">
        <v>47425</v>
      </c>
      <c r="P3210">
        <v>0</v>
      </c>
      <c r="Q3210">
        <v>1</v>
      </c>
      <c r="R3210" t="s">
        <v>47428</v>
      </c>
      <c r="S3210" t="s">
        <v>47541</v>
      </c>
      <c r="T3210" t="s">
        <v>49129</v>
      </c>
      <c r="U3210" t="s">
        <v>52411</v>
      </c>
      <c r="V3210" t="s">
        <v>62982</v>
      </c>
      <c r="W3210" t="s">
        <v>44470</v>
      </c>
      <c r="X3210" t="s">
        <v>47430</v>
      </c>
    </row>
    <row r="3211" spans="1:24">
      <c r="A3211">
        <f>HYPERLINK("https://www.philgeps.gov.ph/GEPSNONPILOT/Tender/SplashBidNoticeAbstractUI.aspx?menuIndex=3&amp;refID=7163388&amp;Result=3","7163388")</f>
        <v>0</v>
      </c>
      <c r="B3211" t="s">
        <v>771</v>
      </c>
      <c r="C3211" t="s">
        <v>6963</v>
      </c>
      <c r="D3211" t="s">
        <v>19073</v>
      </c>
      <c r="E3211" t="s">
        <v>22000</v>
      </c>
      <c r="F3211" t="s">
        <v>32831</v>
      </c>
      <c r="G3211" t="s">
        <v>32840</v>
      </c>
      <c r="H3211" t="s">
        <v>32848</v>
      </c>
      <c r="I3211" t="s">
        <v>32857</v>
      </c>
      <c r="J3211" t="s">
        <v>35102</v>
      </c>
      <c r="K3211" t="s">
        <v>42726</v>
      </c>
      <c r="M3211" t="s">
        <v>43800</v>
      </c>
      <c r="N3211" t="s">
        <v>47424</v>
      </c>
      <c r="O3211" t="s">
        <v>47425</v>
      </c>
      <c r="P3211">
        <v>0</v>
      </c>
      <c r="Q3211">
        <v>1</v>
      </c>
      <c r="R3211" t="s">
        <v>47428</v>
      </c>
      <c r="S3211" t="s">
        <v>47541</v>
      </c>
      <c r="T3211" t="s">
        <v>49237</v>
      </c>
      <c r="U3211" t="s">
        <v>52412</v>
      </c>
      <c r="W3211" t="s">
        <v>43800</v>
      </c>
      <c r="X3211" t="s">
        <v>47430</v>
      </c>
    </row>
    <row r="3212" spans="1:24">
      <c r="A3212">
        <f>HYPERLINK("https://www.philgeps.gov.ph/GEPSNONPILOT/Tender/SplashBidNoticeAbstractUI.aspx?menuIndex=3&amp;refID=7163446&amp;Result=3","7163446")</f>
        <v>0</v>
      </c>
      <c r="B3212" t="s">
        <v>1386</v>
      </c>
      <c r="C3212" t="s">
        <v>6964</v>
      </c>
      <c r="D3212" t="s">
        <v>19017</v>
      </c>
      <c r="E3212" t="s">
        <v>22001</v>
      </c>
      <c r="F3212" t="s">
        <v>32831</v>
      </c>
      <c r="G3212" t="s">
        <v>32840</v>
      </c>
      <c r="H3212" t="s">
        <v>32848</v>
      </c>
      <c r="I3212" t="s">
        <v>10805</v>
      </c>
      <c r="J3212" t="s">
        <v>33175</v>
      </c>
      <c r="K3212" t="s">
        <v>42726</v>
      </c>
      <c r="M3212" t="s">
        <v>44471</v>
      </c>
      <c r="N3212" t="s">
        <v>47424</v>
      </c>
      <c r="O3212" t="s">
        <v>47425</v>
      </c>
      <c r="P3212">
        <v>0</v>
      </c>
      <c r="Q3212">
        <v>1</v>
      </c>
      <c r="R3212" t="s">
        <v>47428</v>
      </c>
      <c r="S3212" t="s">
        <v>47541</v>
      </c>
      <c r="T3212" t="s">
        <v>49237</v>
      </c>
      <c r="U3212" t="s">
        <v>52413</v>
      </c>
      <c r="W3212" t="s">
        <v>44471</v>
      </c>
      <c r="X3212" t="s">
        <v>47430</v>
      </c>
    </row>
    <row r="3213" spans="1:24">
      <c r="A3213">
        <f>HYPERLINK("https://www.philgeps.gov.ph/GEPSNONPILOT/Tender/SplashBidNoticeAbstractUI.aspx?menuIndex=3&amp;refID=7163444&amp;Result=3","7163444")</f>
        <v>0</v>
      </c>
      <c r="B3213" t="s">
        <v>67</v>
      </c>
      <c r="C3213" t="s">
        <v>6965</v>
      </c>
      <c r="D3213" t="s">
        <v>19079</v>
      </c>
      <c r="E3213" t="s">
        <v>22002</v>
      </c>
      <c r="F3213" t="s">
        <v>32831</v>
      </c>
      <c r="G3213" t="s">
        <v>32838</v>
      </c>
      <c r="H3213" t="s">
        <v>32848</v>
      </c>
      <c r="I3213" t="s">
        <v>32863</v>
      </c>
      <c r="J3213" t="s">
        <v>35103</v>
      </c>
      <c r="K3213" t="s">
        <v>42731</v>
      </c>
      <c r="M3213" t="s">
        <v>44461</v>
      </c>
      <c r="N3213" t="s">
        <v>47424</v>
      </c>
      <c r="O3213" t="s">
        <v>47425</v>
      </c>
      <c r="P3213">
        <v>0</v>
      </c>
      <c r="Q3213">
        <v>2</v>
      </c>
      <c r="R3213" t="s">
        <v>47428</v>
      </c>
      <c r="S3213" t="s">
        <v>47541</v>
      </c>
      <c r="T3213" t="s">
        <v>49166</v>
      </c>
      <c r="U3213" t="s">
        <v>52414</v>
      </c>
      <c r="W3213" t="s">
        <v>44461</v>
      </c>
      <c r="X3213" t="s">
        <v>47430</v>
      </c>
    </row>
    <row r="3214" spans="1:24">
      <c r="A3214">
        <f>HYPERLINK("https://www.philgeps.gov.ph/GEPSNONPILOT/Tender/SplashBidNoticeAbstractUI.aspx?menuIndex=3&amp;refID=7163384&amp;Result=3","7163384")</f>
        <v>0</v>
      </c>
      <c r="B3214" t="s">
        <v>1379</v>
      </c>
      <c r="C3214" t="s">
        <v>6966</v>
      </c>
      <c r="D3214" t="s">
        <v>19067</v>
      </c>
      <c r="E3214" t="s">
        <v>22003</v>
      </c>
      <c r="F3214" t="s">
        <v>32831</v>
      </c>
      <c r="G3214" t="s">
        <v>32839</v>
      </c>
      <c r="H3214" t="s">
        <v>32848</v>
      </c>
      <c r="I3214" t="s">
        <v>4776</v>
      </c>
      <c r="J3214" t="s">
        <v>35104</v>
      </c>
      <c r="K3214" t="s">
        <v>42747</v>
      </c>
      <c r="M3214" t="s">
        <v>44463</v>
      </c>
      <c r="N3214" t="s">
        <v>47424</v>
      </c>
      <c r="O3214" t="s">
        <v>47425</v>
      </c>
      <c r="P3214">
        <v>0</v>
      </c>
      <c r="Q3214">
        <v>4</v>
      </c>
      <c r="R3214" t="s">
        <v>47428</v>
      </c>
      <c r="S3214" t="s">
        <v>47541</v>
      </c>
      <c r="T3214" t="s">
        <v>49336</v>
      </c>
      <c r="U3214" t="s">
        <v>52415</v>
      </c>
      <c r="W3214" t="s">
        <v>44463</v>
      </c>
      <c r="X3214" t="s">
        <v>47430</v>
      </c>
    </row>
    <row r="3215" spans="1:24">
      <c r="A3215">
        <f>HYPERLINK("https://www.philgeps.gov.ph/GEPSNONPILOT/Tender/SplashBidNoticeAbstractUI.aspx?menuIndex=3&amp;refID=7163410&amp;Result=3","7163410")</f>
        <v>0</v>
      </c>
      <c r="B3215" t="s">
        <v>771</v>
      </c>
      <c r="C3215" t="s">
        <v>6967</v>
      </c>
      <c r="D3215" t="s">
        <v>19073</v>
      </c>
      <c r="E3215" t="s">
        <v>22004</v>
      </c>
      <c r="F3215" t="s">
        <v>32831</v>
      </c>
      <c r="G3215" t="s">
        <v>32840</v>
      </c>
      <c r="H3215" t="s">
        <v>32848</v>
      </c>
      <c r="I3215" t="s">
        <v>4222</v>
      </c>
      <c r="J3215" t="s">
        <v>32985</v>
      </c>
      <c r="K3215" t="s">
        <v>42726</v>
      </c>
      <c r="M3215" t="s">
        <v>43800</v>
      </c>
      <c r="N3215" t="s">
        <v>47424</v>
      </c>
      <c r="O3215" t="s">
        <v>47425</v>
      </c>
      <c r="P3215">
        <v>0</v>
      </c>
      <c r="Q3215">
        <v>0</v>
      </c>
      <c r="R3215" t="s">
        <v>47428</v>
      </c>
      <c r="S3215" t="s">
        <v>47541</v>
      </c>
      <c r="T3215" t="s">
        <v>49237</v>
      </c>
      <c r="U3215" t="s">
        <v>52416</v>
      </c>
      <c r="W3215" t="s">
        <v>43800</v>
      </c>
      <c r="X3215" t="s">
        <v>47430</v>
      </c>
    </row>
    <row r="3216" spans="1:24">
      <c r="A3216">
        <f>HYPERLINK("https://www.philgeps.gov.ph/GEPSNONPILOT/Tender/SplashBidNoticeAbstractUI.aspx?menuIndex=3&amp;refID=7163437&amp;Result=3","7163437")</f>
        <v>0</v>
      </c>
      <c r="B3216" t="s">
        <v>771</v>
      </c>
      <c r="C3216" t="s">
        <v>6968</v>
      </c>
      <c r="D3216" t="s">
        <v>19073</v>
      </c>
      <c r="E3216" t="s">
        <v>22005</v>
      </c>
      <c r="F3216" t="s">
        <v>32831</v>
      </c>
      <c r="G3216" t="s">
        <v>32840</v>
      </c>
      <c r="H3216" t="s">
        <v>32848</v>
      </c>
      <c r="I3216" t="s">
        <v>32868</v>
      </c>
      <c r="J3216" t="s">
        <v>33403</v>
      </c>
      <c r="K3216" t="s">
        <v>42726</v>
      </c>
      <c r="M3216" t="s">
        <v>43800</v>
      </c>
      <c r="N3216" t="s">
        <v>47424</v>
      </c>
      <c r="O3216" t="s">
        <v>47425</v>
      </c>
      <c r="P3216">
        <v>0</v>
      </c>
      <c r="Q3216">
        <v>0</v>
      </c>
      <c r="R3216" t="s">
        <v>47428</v>
      </c>
      <c r="S3216" t="s">
        <v>47541</v>
      </c>
      <c r="T3216" t="s">
        <v>49237</v>
      </c>
      <c r="U3216" t="s">
        <v>52417</v>
      </c>
      <c r="W3216" t="s">
        <v>43800</v>
      </c>
      <c r="X3216" t="s">
        <v>47430</v>
      </c>
    </row>
    <row r="3217" spans="1:24">
      <c r="A3217">
        <f>HYPERLINK("https://www.philgeps.gov.ph/GEPSNONPILOT/Tender/SplashBidNoticeAbstractUI.aspx?menuIndex=3&amp;refID=7163433&amp;Result=3","7163433")</f>
        <v>0</v>
      </c>
      <c r="B3217" t="s">
        <v>1382</v>
      </c>
      <c r="C3217" t="s">
        <v>6969</v>
      </c>
      <c r="D3217" t="s">
        <v>19021</v>
      </c>
      <c r="E3217" t="s">
        <v>22006</v>
      </c>
      <c r="F3217" t="s">
        <v>32831</v>
      </c>
      <c r="G3217" t="s">
        <v>32838</v>
      </c>
      <c r="H3217" t="s">
        <v>32848</v>
      </c>
      <c r="I3217" t="s">
        <v>32867</v>
      </c>
      <c r="J3217" t="s">
        <v>35105</v>
      </c>
      <c r="K3217" t="s">
        <v>42726</v>
      </c>
      <c r="M3217" t="s">
        <v>44466</v>
      </c>
      <c r="N3217" t="s">
        <v>47424</v>
      </c>
      <c r="O3217" t="s">
        <v>47425</v>
      </c>
      <c r="P3217">
        <v>0</v>
      </c>
      <c r="Q3217">
        <v>1</v>
      </c>
      <c r="R3217" t="s">
        <v>47428</v>
      </c>
      <c r="S3217" t="s">
        <v>47541</v>
      </c>
      <c r="T3217" t="s">
        <v>49111</v>
      </c>
      <c r="U3217" t="s">
        <v>52418</v>
      </c>
      <c r="V3217" t="s">
        <v>62980</v>
      </c>
      <c r="W3217" t="s">
        <v>44466</v>
      </c>
      <c r="X3217" t="s">
        <v>47430</v>
      </c>
    </row>
    <row r="3218" spans="1:24">
      <c r="A3218">
        <f>HYPERLINK("https://www.philgeps.gov.ph/GEPSNONPILOT/Tender/SplashBidNoticeAbstractUI.aspx?menuIndex=3&amp;refID=7163429&amp;Result=3","7163429")</f>
        <v>0</v>
      </c>
      <c r="B3218" t="s">
        <v>1376</v>
      </c>
      <c r="C3218" t="s">
        <v>6970</v>
      </c>
      <c r="E3218" t="s">
        <v>22007</v>
      </c>
      <c r="F3218" t="s">
        <v>32831</v>
      </c>
      <c r="G3218" t="s">
        <v>32840</v>
      </c>
      <c r="H3218" t="s">
        <v>32848</v>
      </c>
      <c r="I3218" t="s">
        <v>32860</v>
      </c>
      <c r="J3218" t="s">
        <v>33292</v>
      </c>
      <c r="K3218" t="s">
        <v>42732</v>
      </c>
      <c r="M3218" t="s">
        <v>44457</v>
      </c>
      <c r="N3218" t="s">
        <v>47424</v>
      </c>
      <c r="O3218" t="s">
        <v>47425</v>
      </c>
      <c r="P3218">
        <v>0</v>
      </c>
      <c r="Q3218">
        <v>6</v>
      </c>
      <c r="R3218" t="s">
        <v>47428</v>
      </c>
      <c r="S3218" t="s">
        <v>47541</v>
      </c>
      <c r="T3218" t="s">
        <v>49119</v>
      </c>
      <c r="U3218" t="s">
        <v>52419</v>
      </c>
      <c r="W3218" t="s">
        <v>44457</v>
      </c>
      <c r="X3218" t="s">
        <v>47430</v>
      </c>
    </row>
    <row r="3219" spans="1:24">
      <c r="A3219">
        <f>HYPERLINK("https://www.philgeps.gov.ph/GEPSNONPILOT/Tender/SplashBidNoticeAbstractUI.aspx?menuIndex=3&amp;refID=7163423&amp;Result=3","7163423")</f>
        <v>0</v>
      </c>
      <c r="B3219" t="s">
        <v>502</v>
      </c>
      <c r="C3219" t="s">
        <v>6971</v>
      </c>
      <c r="D3219" t="s">
        <v>19026</v>
      </c>
      <c r="E3219" t="s">
        <v>22008</v>
      </c>
      <c r="F3219" t="s">
        <v>32831</v>
      </c>
      <c r="G3219" t="s">
        <v>32839</v>
      </c>
      <c r="H3219" t="s">
        <v>32848</v>
      </c>
      <c r="I3219" t="s">
        <v>32854</v>
      </c>
      <c r="J3219" t="s">
        <v>34061</v>
      </c>
      <c r="K3219" t="s">
        <v>42726</v>
      </c>
      <c r="M3219" t="s">
        <v>43507</v>
      </c>
      <c r="N3219" t="s">
        <v>47424</v>
      </c>
      <c r="O3219" t="s">
        <v>47425</v>
      </c>
      <c r="P3219">
        <v>0</v>
      </c>
      <c r="Q3219">
        <v>0</v>
      </c>
      <c r="R3219" t="s">
        <v>47428</v>
      </c>
      <c r="S3219" t="s">
        <v>47541</v>
      </c>
      <c r="T3219" t="s">
        <v>49109</v>
      </c>
      <c r="U3219" t="s">
        <v>52420</v>
      </c>
      <c r="W3219" t="s">
        <v>43507</v>
      </c>
      <c r="X3219" t="s">
        <v>47430</v>
      </c>
    </row>
    <row r="3220" spans="1:24">
      <c r="A3220">
        <f>HYPERLINK("https://www.philgeps.gov.ph/GEPSNONPILOT/Tender/SplashBidNoticeAbstractUI.aspx?menuIndex=3&amp;refID=7163394&amp;Result=3","7163394")</f>
        <v>0</v>
      </c>
      <c r="B3220" t="s">
        <v>703</v>
      </c>
      <c r="C3220" t="s">
        <v>6972</v>
      </c>
      <c r="D3220" t="s">
        <v>19077</v>
      </c>
      <c r="E3220" t="s">
        <v>22009</v>
      </c>
      <c r="F3220" t="s">
        <v>32831</v>
      </c>
      <c r="G3220" t="s">
        <v>32839</v>
      </c>
      <c r="H3220" t="s">
        <v>32848</v>
      </c>
      <c r="I3220" t="s">
        <v>4471</v>
      </c>
      <c r="J3220" t="s">
        <v>35106</v>
      </c>
      <c r="K3220" t="s">
        <v>42763</v>
      </c>
      <c r="M3220" t="s">
        <v>44449</v>
      </c>
      <c r="N3220" t="s">
        <v>47424</v>
      </c>
      <c r="O3220" t="s">
        <v>47425</v>
      </c>
      <c r="P3220">
        <v>0</v>
      </c>
      <c r="Q3220">
        <v>3</v>
      </c>
      <c r="R3220" t="s">
        <v>47428</v>
      </c>
      <c r="S3220" t="s">
        <v>47541</v>
      </c>
      <c r="T3220" t="s">
        <v>49189</v>
      </c>
      <c r="U3220" t="s">
        <v>52371</v>
      </c>
      <c r="W3220" t="s">
        <v>44449</v>
      </c>
      <c r="X3220" t="s">
        <v>47430</v>
      </c>
    </row>
    <row r="3221" spans="1:24">
      <c r="A3221">
        <f>HYPERLINK("https://www.philgeps.gov.ph/GEPSNONPILOT/Tender/SplashBidNoticeAbstractUI.aspx?menuIndex=3&amp;refID=7163434&amp;Result=3","7163434")</f>
        <v>0</v>
      </c>
      <c r="B3221" t="s">
        <v>1379</v>
      </c>
      <c r="C3221" t="s">
        <v>6973</v>
      </c>
      <c r="D3221" t="s">
        <v>19067</v>
      </c>
      <c r="E3221" t="s">
        <v>22010</v>
      </c>
      <c r="F3221" t="s">
        <v>32831</v>
      </c>
      <c r="G3221" t="s">
        <v>32839</v>
      </c>
      <c r="H3221" t="s">
        <v>32848</v>
      </c>
      <c r="I3221" t="s">
        <v>4177</v>
      </c>
      <c r="J3221" t="s">
        <v>35107</v>
      </c>
      <c r="K3221" t="s">
        <v>42730</v>
      </c>
      <c r="M3221" t="s">
        <v>44463</v>
      </c>
      <c r="N3221" t="s">
        <v>47424</v>
      </c>
      <c r="O3221" t="s">
        <v>47425</v>
      </c>
      <c r="P3221">
        <v>0</v>
      </c>
      <c r="Q3221">
        <v>0</v>
      </c>
      <c r="R3221" t="s">
        <v>47428</v>
      </c>
      <c r="S3221" t="s">
        <v>47541</v>
      </c>
      <c r="T3221" t="s">
        <v>49336</v>
      </c>
      <c r="U3221" t="s">
        <v>52421</v>
      </c>
      <c r="W3221" t="s">
        <v>44463</v>
      </c>
      <c r="X3221" t="s">
        <v>47430</v>
      </c>
    </row>
    <row r="3222" spans="1:24">
      <c r="A3222">
        <f>HYPERLINK("https://www.philgeps.gov.ph/GEPSNONPILOT/Tender/SplashBidNoticeAbstractUI.aspx?menuIndex=3&amp;refID=7163420&amp;Result=3","7163420")</f>
        <v>0</v>
      </c>
      <c r="B3222" t="s">
        <v>1374</v>
      </c>
      <c r="C3222" t="s">
        <v>6974</v>
      </c>
      <c r="E3222" t="s">
        <v>22011</v>
      </c>
      <c r="F3222" t="s">
        <v>32831</v>
      </c>
      <c r="G3222" t="s">
        <v>32840</v>
      </c>
      <c r="H3222" t="s">
        <v>32848</v>
      </c>
      <c r="I3222" t="s">
        <v>5379</v>
      </c>
      <c r="J3222" t="s">
        <v>34758</v>
      </c>
      <c r="K3222" t="s">
        <v>42732</v>
      </c>
      <c r="M3222" t="s">
        <v>44455</v>
      </c>
      <c r="N3222" t="s">
        <v>47424</v>
      </c>
      <c r="O3222" t="s">
        <v>47425</v>
      </c>
      <c r="P3222">
        <v>0</v>
      </c>
      <c r="Q3222">
        <v>2</v>
      </c>
      <c r="R3222" t="s">
        <v>47428</v>
      </c>
      <c r="S3222" t="s">
        <v>47541</v>
      </c>
      <c r="T3222" t="s">
        <v>49235</v>
      </c>
      <c r="U3222" t="s">
        <v>52422</v>
      </c>
      <c r="W3222" t="s">
        <v>44455</v>
      </c>
      <c r="X3222" t="s">
        <v>47430</v>
      </c>
    </row>
    <row r="3223" spans="1:24">
      <c r="A3223">
        <f>HYPERLINK("https://www.philgeps.gov.ph/GEPSNONPILOT/Tender/SplashBidNoticeAbstractUI.aspx?menuIndex=3&amp;refID=7163419&amp;Result=3","7163419")</f>
        <v>0</v>
      </c>
      <c r="B3223" t="s">
        <v>989</v>
      </c>
      <c r="C3223" t="s">
        <v>6975</v>
      </c>
      <c r="D3223" t="s">
        <v>19021</v>
      </c>
      <c r="E3223" t="s">
        <v>22012</v>
      </c>
      <c r="F3223" t="s">
        <v>32831</v>
      </c>
      <c r="G3223" t="s">
        <v>32838</v>
      </c>
      <c r="H3223" t="s">
        <v>32848</v>
      </c>
      <c r="I3223" t="s">
        <v>4487</v>
      </c>
      <c r="J3223" t="s">
        <v>35108</v>
      </c>
      <c r="K3223" t="s">
        <v>42758</v>
      </c>
      <c r="L3223" t="s">
        <v>989</v>
      </c>
      <c r="M3223" t="s">
        <v>44038</v>
      </c>
      <c r="N3223" t="s">
        <v>47424</v>
      </c>
      <c r="O3223" t="s">
        <v>47425</v>
      </c>
      <c r="P3223">
        <v>0</v>
      </c>
      <c r="Q3223">
        <v>0</v>
      </c>
      <c r="R3223" t="s">
        <v>47428</v>
      </c>
      <c r="S3223" t="s">
        <v>47541</v>
      </c>
      <c r="T3223" t="s">
        <v>49111</v>
      </c>
      <c r="U3223" t="s">
        <v>52423</v>
      </c>
      <c r="W3223" t="s">
        <v>44038</v>
      </c>
      <c r="X3223" t="s">
        <v>47430</v>
      </c>
    </row>
    <row r="3224" spans="1:24">
      <c r="A3224">
        <f>HYPERLINK("https://www.philgeps.gov.ph/GEPSNONPILOT/Tender/SplashBidNoticeAbstractUI.aspx?menuIndex=3&amp;refID=7163416&amp;Result=3","7163416")</f>
        <v>0</v>
      </c>
      <c r="B3224" t="s">
        <v>1387</v>
      </c>
      <c r="C3224" t="s">
        <v>6976</v>
      </c>
      <c r="D3224" t="s">
        <v>19052</v>
      </c>
      <c r="E3224" t="s">
        <v>22013</v>
      </c>
      <c r="F3224" t="s">
        <v>32831</v>
      </c>
      <c r="G3224" t="s">
        <v>32839</v>
      </c>
      <c r="H3224" t="s">
        <v>32849</v>
      </c>
      <c r="I3224" t="s">
        <v>4177</v>
      </c>
      <c r="J3224" t="s">
        <v>35109</v>
      </c>
      <c r="K3224" t="s">
        <v>42732</v>
      </c>
      <c r="M3224" t="s">
        <v>44472</v>
      </c>
      <c r="N3224" t="s">
        <v>47424</v>
      </c>
      <c r="O3224" t="s">
        <v>47425</v>
      </c>
      <c r="P3224">
        <v>0</v>
      </c>
      <c r="Q3224">
        <v>0</v>
      </c>
      <c r="R3224" t="s">
        <v>47428</v>
      </c>
      <c r="S3224" t="s">
        <v>47541</v>
      </c>
      <c r="T3224" t="s">
        <v>49159</v>
      </c>
      <c r="U3224" t="s">
        <v>52424</v>
      </c>
      <c r="W3224" t="s">
        <v>44472</v>
      </c>
      <c r="X3224" t="s">
        <v>47430</v>
      </c>
    </row>
    <row r="3225" spans="1:24">
      <c r="A3225">
        <f>HYPERLINK("https://www.philgeps.gov.ph/GEPSNONPILOT/Tender/SplashBidNoticeAbstractUI.aspx?menuIndex=3&amp;refID=7163413&amp;Result=3","7163413")</f>
        <v>0</v>
      </c>
      <c r="B3225" t="s">
        <v>231</v>
      </c>
      <c r="C3225" t="s">
        <v>6977</v>
      </c>
      <c r="D3225" t="s">
        <v>19039</v>
      </c>
      <c r="E3225" t="s">
        <v>22014</v>
      </c>
      <c r="F3225" t="s">
        <v>32831</v>
      </c>
      <c r="G3225" t="s">
        <v>32842</v>
      </c>
      <c r="H3225" t="s">
        <v>32848</v>
      </c>
      <c r="I3225" t="s">
        <v>32870</v>
      </c>
      <c r="J3225" t="s">
        <v>35110</v>
      </c>
      <c r="K3225" t="s">
        <v>42763</v>
      </c>
      <c r="M3225" t="s">
        <v>43230</v>
      </c>
      <c r="N3225" t="s">
        <v>47424</v>
      </c>
      <c r="O3225" t="s">
        <v>47425</v>
      </c>
      <c r="P3225">
        <v>0</v>
      </c>
      <c r="Q3225">
        <v>0</v>
      </c>
      <c r="R3225" t="s">
        <v>47428</v>
      </c>
      <c r="S3225" t="s">
        <v>47541</v>
      </c>
      <c r="T3225" t="s">
        <v>49239</v>
      </c>
      <c r="U3225" t="s">
        <v>52425</v>
      </c>
      <c r="W3225" t="s">
        <v>43230</v>
      </c>
      <c r="X3225" t="s">
        <v>47430</v>
      </c>
    </row>
    <row r="3226" spans="1:24">
      <c r="A3226">
        <f>HYPERLINK("https://www.philgeps.gov.ph/GEPSNONPILOT/Tender/SplashBidNoticeAbstractUI.aspx?menuIndex=3&amp;refID=7163411&amp;Result=3","7163411")</f>
        <v>0</v>
      </c>
      <c r="B3226" t="s">
        <v>1379</v>
      </c>
      <c r="C3226" t="s">
        <v>6978</v>
      </c>
      <c r="D3226" t="s">
        <v>19067</v>
      </c>
      <c r="E3226" t="s">
        <v>22015</v>
      </c>
      <c r="F3226" t="s">
        <v>32831</v>
      </c>
      <c r="G3226" t="s">
        <v>32839</v>
      </c>
      <c r="H3226" t="s">
        <v>32848</v>
      </c>
      <c r="I3226" t="s">
        <v>7416</v>
      </c>
      <c r="J3226" t="s">
        <v>35111</v>
      </c>
      <c r="K3226" t="s">
        <v>42730</v>
      </c>
      <c r="M3226" t="s">
        <v>44463</v>
      </c>
      <c r="N3226" t="s">
        <v>47424</v>
      </c>
      <c r="O3226" t="s">
        <v>47425</v>
      </c>
      <c r="P3226">
        <v>0</v>
      </c>
      <c r="Q3226">
        <v>0</v>
      </c>
      <c r="R3226" t="s">
        <v>47428</v>
      </c>
      <c r="S3226" t="s">
        <v>47541</v>
      </c>
      <c r="T3226" t="s">
        <v>49336</v>
      </c>
      <c r="U3226" t="s">
        <v>52426</v>
      </c>
      <c r="W3226" t="s">
        <v>44463</v>
      </c>
      <c r="X3226" t="s">
        <v>47430</v>
      </c>
    </row>
    <row r="3227" spans="1:24">
      <c r="A3227">
        <f>HYPERLINK("https://www.philgeps.gov.ph/GEPSNONPILOT/Tender/SplashBidNoticeAbstractUI.aspx?menuIndex=3&amp;refID=7163438&amp;Result=3","7163438")</f>
        <v>0</v>
      </c>
      <c r="B3227" t="s">
        <v>1388</v>
      </c>
      <c r="C3227" t="s">
        <v>6979</v>
      </c>
      <c r="D3227" t="s">
        <v>19027</v>
      </c>
      <c r="E3227" t="s">
        <v>22016</v>
      </c>
      <c r="F3227" t="s">
        <v>32831</v>
      </c>
      <c r="G3227" t="s">
        <v>32838</v>
      </c>
      <c r="H3227" t="s">
        <v>32848</v>
      </c>
      <c r="I3227" t="s">
        <v>5379</v>
      </c>
      <c r="J3227" t="s">
        <v>35112</v>
      </c>
      <c r="K3227" t="s">
        <v>42760</v>
      </c>
      <c r="M3227" t="s">
        <v>44473</v>
      </c>
      <c r="N3227" t="s">
        <v>47424</v>
      </c>
      <c r="O3227" t="s">
        <v>47425</v>
      </c>
      <c r="P3227">
        <v>0</v>
      </c>
      <c r="Q3227">
        <v>0</v>
      </c>
      <c r="R3227" t="s">
        <v>47428</v>
      </c>
      <c r="S3227" t="s">
        <v>47541</v>
      </c>
      <c r="T3227" t="s">
        <v>49108</v>
      </c>
      <c r="U3227" t="s">
        <v>52427</v>
      </c>
      <c r="V3227" t="s">
        <v>62983</v>
      </c>
      <c r="W3227" t="s">
        <v>44473</v>
      </c>
      <c r="X3227" t="s">
        <v>47430</v>
      </c>
    </row>
    <row r="3228" spans="1:24">
      <c r="A3228">
        <f>HYPERLINK("https://www.philgeps.gov.ph/GEPSNONPILOT/Tender/SplashBidNoticeAbstractUI.aspx?menuIndex=3&amp;refID=7163428&amp;Result=3","7163428")</f>
        <v>0</v>
      </c>
      <c r="B3228" t="s">
        <v>555</v>
      </c>
      <c r="C3228" t="s">
        <v>6980</v>
      </c>
      <c r="D3228" t="s">
        <v>19033</v>
      </c>
      <c r="E3228" t="s">
        <v>22017</v>
      </c>
      <c r="F3228" t="s">
        <v>32831</v>
      </c>
      <c r="G3228" t="s">
        <v>32838</v>
      </c>
      <c r="H3228" t="s">
        <v>32848</v>
      </c>
      <c r="I3228" t="s">
        <v>32860</v>
      </c>
      <c r="J3228" t="s">
        <v>35113</v>
      </c>
      <c r="K3228" t="s">
        <v>42747</v>
      </c>
      <c r="M3228" t="s">
        <v>43563</v>
      </c>
      <c r="N3228" t="s">
        <v>47424</v>
      </c>
      <c r="O3228" t="s">
        <v>47425</v>
      </c>
      <c r="P3228">
        <v>0</v>
      </c>
      <c r="Q3228">
        <v>2</v>
      </c>
      <c r="R3228" t="s">
        <v>47428</v>
      </c>
      <c r="S3228" t="s">
        <v>47541</v>
      </c>
      <c r="T3228" t="s">
        <v>49163</v>
      </c>
      <c r="U3228" t="s">
        <v>50697</v>
      </c>
      <c r="W3228" t="s">
        <v>43563</v>
      </c>
      <c r="X3228" t="s">
        <v>47430</v>
      </c>
    </row>
    <row r="3229" spans="1:24">
      <c r="A3229">
        <f>HYPERLINK("https://www.philgeps.gov.ph/GEPSNONPILOT/Tender/SplashBidNoticeAbstractUI.aspx?menuIndex=3&amp;refID=7163380&amp;Result=3","7163380")</f>
        <v>0</v>
      </c>
      <c r="B3229" t="s">
        <v>1389</v>
      </c>
      <c r="C3229" t="s">
        <v>6981</v>
      </c>
      <c r="D3229" t="s">
        <v>19052</v>
      </c>
      <c r="E3229" t="s">
        <v>22018</v>
      </c>
      <c r="F3229" t="s">
        <v>32831</v>
      </c>
      <c r="G3229" t="s">
        <v>32839</v>
      </c>
      <c r="H3229" t="s">
        <v>32849</v>
      </c>
      <c r="I3229" t="s">
        <v>4177</v>
      </c>
      <c r="J3229" t="s">
        <v>35114</v>
      </c>
      <c r="K3229" t="s">
        <v>42770</v>
      </c>
      <c r="M3229" t="s">
        <v>44474</v>
      </c>
      <c r="N3229" t="s">
        <v>47424</v>
      </c>
      <c r="O3229" t="s">
        <v>47425</v>
      </c>
      <c r="P3229">
        <v>0</v>
      </c>
      <c r="Q3229">
        <v>0</v>
      </c>
      <c r="R3229" t="s">
        <v>47428</v>
      </c>
      <c r="S3229" t="s">
        <v>47541</v>
      </c>
      <c r="T3229" t="s">
        <v>49188</v>
      </c>
      <c r="U3229" t="s">
        <v>52428</v>
      </c>
      <c r="W3229" t="s">
        <v>44474</v>
      </c>
      <c r="X3229" t="s">
        <v>47430</v>
      </c>
    </row>
    <row r="3230" spans="1:24">
      <c r="A3230">
        <f>HYPERLINK("https://www.philgeps.gov.ph/GEPSNONPILOT/Tender/SplashBidNoticeAbstractUI.aspx?menuIndex=3&amp;refID=7163430&amp;Result=3","7163430")</f>
        <v>0</v>
      </c>
      <c r="B3230" t="s">
        <v>693</v>
      </c>
      <c r="C3230" t="s">
        <v>6982</v>
      </c>
      <c r="D3230" t="s">
        <v>19073</v>
      </c>
      <c r="E3230" t="s">
        <v>20444</v>
      </c>
      <c r="F3230" t="s">
        <v>32831</v>
      </c>
      <c r="G3230" t="s">
        <v>32840</v>
      </c>
      <c r="H3230" t="s">
        <v>32848</v>
      </c>
      <c r="I3230" t="s">
        <v>32862</v>
      </c>
      <c r="J3230" t="s">
        <v>35115</v>
      </c>
      <c r="K3230" t="s">
        <v>42731</v>
      </c>
      <c r="M3230" t="s">
        <v>43712</v>
      </c>
      <c r="N3230" t="s">
        <v>47424</v>
      </c>
      <c r="O3230" t="s">
        <v>47425</v>
      </c>
      <c r="P3230">
        <v>0</v>
      </c>
      <c r="Q3230">
        <v>0</v>
      </c>
      <c r="R3230" t="s">
        <v>47428</v>
      </c>
      <c r="S3230" t="s">
        <v>47541</v>
      </c>
      <c r="T3230" t="s">
        <v>49108</v>
      </c>
      <c r="U3230" t="s">
        <v>52429</v>
      </c>
      <c r="W3230" t="s">
        <v>43712</v>
      </c>
      <c r="X3230" t="s">
        <v>47430</v>
      </c>
    </row>
    <row r="3231" spans="1:24">
      <c r="A3231">
        <f>HYPERLINK("https://www.philgeps.gov.ph/GEPSNONPILOT/Tender/SplashBidNoticeAbstractUI.aspx?menuIndex=3&amp;refID=7163414&amp;Result=3","7163414")</f>
        <v>0</v>
      </c>
      <c r="B3231" t="s">
        <v>1385</v>
      </c>
      <c r="C3231" t="s">
        <v>6983</v>
      </c>
      <c r="D3231" t="s">
        <v>19060</v>
      </c>
      <c r="E3231" t="s">
        <v>22019</v>
      </c>
      <c r="F3231" t="s">
        <v>32831</v>
      </c>
      <c r="G3231" t="s">
        <v>32840</v>
      </c>
      <c r="H3231" t="s">
        <v>32848</v>
      </c>
      <c r="I3231" t="s">
        <v>4303</v>
      </c>
      <c r="J3231" t="s">
        <v>35116</v>
      </c>
      <c r="K3231" t="s">
        <v>42730</v>
      </c>
      <c r="M3231" t="s">
        <v>44470</v>
      </c>
      <c r="N3231" t="s">
        <v>47424</v>
      </c>
      <c r="O3231" t="s">
        <v>47425</v>
      </c>
      <c r="P3231">
        <v>0</v>
      </c>
      <c r="Q3231">
        <v>2</v>
      </c>
      <c r="R3231" t="s">
        <v>47428</v>
      </c>
      <c r="S3231" t="s">
        <v>47541</v>
      </c>
      <c r="T3231" t="s">
        <v>49129</v>
      </c>
      <c r="U3231" t="s">
        <v>52430</v>
      </c>
      <c r="V3231" t="s">
        <v>62982</v>
      </c>
      <c r="W3231" t="s">
        <v>44470</v>
      </c>
      <c r="X3231" t="s">
        <v>47430</v>
      </c>
    </row>
    <row r="3232" spans="1:24">
      <c r="A3232">
        <f>HYPERLINK("https://www.philgeps.gov.ph/GEPSNONPILOT/Tender/SplashBidNoticeAbstractUI.aspx?menuIndex=3&amp;refID=7163486&amp;Result=3","7163486")</f>
        <v>0</v>
      </c>
      <c r="B3232" t="s">
        <v>1390</v>
      </c>
      <c r="C3232" t="s">
        <v>6984</v>
      </c>
      <c r="E3232" t="s">
        <v>22020</v>
      </c>
      <c r="F3232" t="s">
        <v>32831</v>
      </c>
      <c r="G3232" t="s">
        <v>32838</v>
      </c>
      <c r="H3232" t="s">
        <v>32848</v>
      </c>
      <c r="I3232" t="s">
        <v>4487</v>
      </c>
      <c r="J3232" t="s">
        <v>35117</v>
      </c>
      <c r="K3232" t="s">
        <v>42732</v>
      </c>
      <c r="M3232" t="s">
        <v>44475</v>
      </c>
      <c r="N3232" t="s">
        <v>47424</v>
      </c>
      <c r="O3232" t="s">
        <v>47425</v>
      </c>
      <c r="P3232">
        <v>0</v>
      </c>
      <c r="Q3232">
        <v>9</v>
      </c>
      <c r="R3232" t="s">
        <v>47428</v>
      </c>
      <c r="S3232" t="s">
        <v>47541</v>
      </c>
      <c r="T3232" t="s">
        <v>49124</v>
      </c>
      <c r="U3232" t="s">
        <v>52431</v>
      </c>
      <c r="W3232" t="s">
        <v>44475</v>
      </c>
      <c r="X3232" t="s">
        <v>47430</v>
      </c>
    </row>
    <row r="3233" spans="1:24">
      <c r="A3233">
        <f>HYPERLINK("https://www.philgeps.gov.ph/GEPSNONPILOT/Tender/SplashBidNoticeAbstractUI.aspx?menuIndex=3&amp;refID=7163484&amp;Result=3","7163484")</f>
        <v>0</v>
      </c>
      <c r="B3233" t="s">
        <v>689</v>
      </c>
      <c r="C3233" t="s">
        <v>6985</v>
      </c>
      <c r="E3233" t="s">
        <v>22021</v>
      </c>
      <c r="F3233" t="s">
        <v>32831</v>
      </c>
      <c r="G3233" t="s">
        <v>32838</v>
      </c>
      <c r="H3233" t="s">
        <v>32848</v>
      </c>
      <c r="I3233" t="s">
        <v>32856</v>
      </c>
      <c r="J3233" t="s">
        <v>35118</v>
      </c>
      <c r="K3233" t="s">
        <v>42732</v>
      </c>
      <c r="M3233" t="s">
        <v>43708</v>
      </c>
      <c r="N3233" t="s">
        <v>47424</v>
      </c>
      <c r="O3233" t="s">
        <v>47425</v>
      </c>
      <c r="P3233">
        <v>0</v>
      </c>
      <c r="Q3233">
        <v>2</v>
      </c>
      <c r="R3233" t="s">
        <v>47428</v>
      </c>
      <c r="S3233" t="s">
        <v>47541</v>
      </c>
      <c r="T3233" t="s">
        <v>49096</v>
      </c>
      <c r="U3233" t="s">
        <v>52432</v>
      </c>
      <c r="V3233" t="s">
        <v>62984</v>
      </c>
      <c r="W3233" t="s">
        <v>43708</v>
      </c>
      <c r="X3233" t="s">
        <v>47430</v>
      </c>
    </row>
    <row r="3234" spans="1:24">
      <c r="A3234">
        <f>HYPERLINK("https://www.philgeps.gov.ph/GEPSNONPILOT/Tender/SplashBidNoticeAbstractUI.aspx?menuIndex=3&amp;refID=7163482&amp;Result=3","7163482")</f>
        <v>0</v>
      </c>
      <c r="B3234" t="s">
        <v>1379</v>
      </c>
      <c r="C3234" t="s">
        <v>6986</v>
      </c>
      <c r="D3234" t="s">
        <v>19067</v>
      </c>
      <c r="E3234" t="s">
        <v>22022</v>
      </c>
      <c r="F3234" t="s">
        <v>32831</v>
      </c>
      <c r="G3234" t="s">
        <v>32839</v>
      </c>
      <c r="H3234" t="s">
        <v>32848</v>
      </c>
      <c r="I3234" t="s">
        <v>32861</v>
      </c>
      <c r="J3234" t="s">
        <v>35119</v>
      </c>
      <c r="K3234" t="s">
        <v>42747</v>
      </c>
      <c r="M3234" t="s">
        <v>44463</v>
      </c>
      <c r="N3234" t="s">
        <v>47424</v>
      </c>
      <c r="O3234" t="s">
        <v>47425</v>
      </c>
      <c r="P3234">
        <v>0</v>
      </c>
      <c r="Q3234">
        <v>10</v>
      </c>
      <c r="R3234" t="s">
        <v>47428</v>
      </c>
      <c r="S3234" t="s">
        <v>47541</v>
      </c>
      <c r="T3234" t="s">
        <v>49336</v>
      </c>
      <c r="U3234" t="s">
        <v>52433</v>
      </c>
      <c r="W3234" t="s">
        <v>44463</v>
      </c>
      <c r="X3234" t="s">
        <v>47430</v>
      </c>
    </row>
    <row r="3235" spans="1:24">
      <c r="A3235">
        <f>HYPERLINK("https://www.philgeps.gov.ph/GEPSNONPILOT/Tender/SplashBidNoticeAbstractUI.aspx?menuIndex=3&amp;refID=7163481&amp;Result=3","7163481")</f>
        <v>0</v>
      </c>
      <c r="B3235" t="s">
        <v>1342</v>
      </c>
      <c r="C3235" t="s">
        <v>6987</v>
      </c>
      <c r="D3235" t="s">
        <v>19030</v>
      </c>
      <c r="E3235" t="s">
        <v>22023</v>
      </c>
      <c r="F3235" t="s">
        <v>32831</v>
      </c>
      <c r="G3235" t="s">
        <v>32839</v>
      </c>
      <c r="H3235" t="s">
        <v>32849</v>
      </c>
      <c r="I3235" t="s">
        <v>4177</v>
      </c>
      <c r="J3235" t="s">
        <v>33055</v>
      </c>
      <c r="K3235" t="s">
        <v>42747</v>
      </c>
      <c r="M3235" t="s">
        <v>44415</v>
      </c>
      <c r="N3235" t="s">
        <v>47424</v>
      </c>
      <c r="O3235" t="s">
        <v>47425</v>
      </c>
      <c r="P3235">
        <v>0</v>
      </c>
      <c r="Q3235">
        <v>4</v>
      </c>
      <c r="R3235" t="s">
        <v>47428</v>
      </c>
      <c r="S3235" t="s">
        <v>47541</v>
      </c>
      <c r="T3235" t="s">
        <v>49109</v>
      </c>
      <c r="U3235" t="s">
        <v>52434</v>
      </c>
      <c r="V3235" t="s">
        <v>62964</v>
      </c>
      <c r="W3235" t="s">
        <v>44415</v>
      </c>
      <c r="X3235" t="s">
        <v>47430</v>
      </c>
    </row>
    <row r="3236" spans="1:24">
      <c r="A3236">
        <f>HYPERLINK("https://www.philgeps.gov.ph/GEPSNONPILOT/Tender/SplashBidNoticeAbstractUI.aspx?menuIndex=3&amp;refID=7163477&amp;Result=3","7163477")</f>
        <v>0</v>
      </c>
      <c r="B3236" t="s">
        <v>1284</v>
      </c>
      <c r="C3236" t="s">
        <v>6988</v>
      </c>
      <c r="D3236" t="s">
        <v>19023</v>
      </c>
      <c r="E3236" t="s">
        <v>22024</v>
      </c>
      <c r="F3236" t="s">
        <v>32831</v>
      </c>
      <c r="G3236" t="s">
        <v>32838</v>
      </c>
      <c r="H3236" t="s">
        <v>32848</v>
      </c>
      <c r="I3236" t="s">
        <v>32869</v>
      </c>
      <c r="J3236" t="s">
        <v>34132</v>
      </c>
      <c r="K3236" t="s">
        <v>42730</v>
      </c>
      <c r="M3236" t="s">
        <v>44354</v>
      </c>
      <c r="N3236" t="s">
        <v>47424</v>
      </c>
      <c r="O3236" t="s">
        <v>47425</v>
      </c>
      <c r="P3236">
        <v>0</v>
      </c>
      <c r="Q3236">
        <v>2</v>
      </c>
      <c r="R3236" t="s">
        <v>47428</v>
      </c>
      <c r="S3236" t="s">
        <v>47541</v>
      </c>
      <c r="T3236" t="s">
        <v>49163</v>
      </c>
      <c r="U3236" t="s">
        <v>52435</v>
      </c>
      <c r="W3236" t="s">
        <v>44354</v>
      </c>
      <c r="X3236" t="s">
        <v>47430</v>
      </c>
    </row>
    <row r="3237" spans="1:24">
      <c r="A3237">
        <f>HYPERLINK("https://www.philgeps.gov.ph/GEPSNONPILOT/Tender/SplashBidNoticeAbstractUI.aspx?menuIndex=3&amp;refID=7163476&amp;Result=3","7163476")</f>
        <v>0</v>
      </c>
      <c r="B3237" t="s">
        <v>1382</v>
      </c>
      <c r="C3237" t="s">
        <v>6989</v>
      </c>
      <c r="D3237" t="s">
        <v>19021</v>
      </c>
      <c r="E3237" t="s">
        <v>22025</v>
      </c>
      <c r="F3237" t="s">
        <v>32831</v>
      </c>
      <c r="G3237" t="s">
        <v>32842</v>
      </c>
      <c r="H3237" t="s">
        <v>32848</v>
      </c>
      <c r="I3237" t="s">
        <v>4776</v>
      </c>
      <c r="J3237" t="s">
        <v>35120</v>
      </c>
      <c r="K3237" t="s">
        <v>42726</v>
      </c>
      <c r="M3237" t="s">
        <v>44466</v>
      </c>
      <c r="N3237" t="s">
        <v>47424</v>
      </c>
      <c r="O3237" t="s">
        <v>47425</v>
      </c>
      <c r="P3237">
        <v>0</v>
      </c>
      <c r="Q3237">
        <v>0</v>
      </c>
      <c r="R3237" t="s">
        <v>47428</v>
      </c>
      <c r="S3237" t="s">
        <v>47541</v>
      </c>
      <c r="T3237" t="s">
        <v>49111</v>
      </c>
      <c r="U3237" t="s">
        <v>52436</v>
      </c>
      <c r="V3237" t="s">
        <v>62980</v>
      </c>
      <c r="W3237" t="s">
        <v>44466</v>
      </c>
      <c r="X3237" t="s">
        <v>47430</v>
      </c>
    </row>
    <row r="3238" spans="1:24">
      <c r="A3238">
        <f>HYPERLINK("https://www.philgeps.gov.ph/GEPSNONPILOT/Tender/SplashBidNoticeAbstractUI.aspx?menuIndex=3&amp;refID=7163474&amp;Result=3","7163474")</f>
        <v>0</v>
      </c>
      <c r="B3238" t="s">
        <v>1142</v>
      </c>
      <c r="C3238" t="s">
        <v>6990</v>
      </c>
      <c r="D3238" t="s">
        <v>19035</v>
      </c>
      <c r="E3238" t="s">
        <v>22026</v>
      </c>
      <c r="F3238" t="s">
        <v>32831</v>
      </c>
      <c r="G3238" t="s">
        <v>32838</v>
      </c>
      <c r="H3238" t="s">
        <v>32848</v>
      </c>
      <c r="I3238" t="s">
        <v>32862</v>
      </c>
      <c r="J3238" t="s">
        <v>34387</v>
      </c>
      <c r="K3238" t="s">
        <v>42730</v>
      </c>
      <c r="M3238" t="s">
        <v>44467</v>
      </c>
      <c r="N3238" t="s">
        <v>47424</v>
      </c>
      <c r="O3238" t="s">
        <v>47425</v>
      </c>
      <c r="P3238">
        <v>0</v>
      </c>
      <c r="Q3238">
        <v>2</v>
      </c>
      <c r="R3238" t="s">
        <v>47428</v>
      </c>
      <c r="S3238" t="s">
        <v>47541</v>
      </c>
      <c r="T3238" t="s">
        <v>49111</v>
      </c>
      <c r="U3238" t="s">
        <v>52437</v>
      </c>
      <c r="W3238" t="s">
        <v>44467</v>
      </c>
      <c r="X3238" t="s">
        <v>47430</v>
      </c>
    </row>
    <row r="3239" spans="1:24">
      <c r="A3239">
        <f>HYPERLINK("https://www.philgeps.gov.ph/GEPSNONPILOT/Tender/SplashBidNoticeAbstractUI.aspx?menuIndex=3&amp;refID=7163470&amp;Result=3","7163470")</f>
        <v>0</v>
      </c>
      <c r="B3239" t="s">
        <v>1391</v>
      </c>
      <c r="C3239" t="s">
        <v>6991</v>
      </c>
      <c r="D3239" t="s">
        <v>19080</v>
      </c>
      <c r="E3239" t="s">
        <v>22027</v>
      </c>
      <c r="F3239" t="s">
        <v>32831</v>
      </c>
      <c r="G3239" t="s">
        <v>32838</v>
      </c>
      <c r="H3239" t="s">
        <v>32850</v>
      </c>
      <c r="I3239" t="s">
        <v>7416</v>
      </c>
      <c r="J3239" t="s">
        <v>35121</v>
      </c>
      <c r="K3239" t="s">
        <v>42747</v>
      </c>
      <c r="M3239" t="s">
        <v>44476</v>
      </c>
      <c r="N3239" t="s">
        <v>47424</v>
      </c>
      <c r="O3239" t="s">
        <v>47425</v>
      </c>
      <c r="P3239">
        <v>0</v>
      </c>
      <c r="Q3239">
        <v>0</v>
      </c>
      <c r="R3239" t="s">
        <v>47428</v>
      </c>
      <c r="S3239" t="s">
        <v>47541</v>
      </c>
      <c r="T3239" t="s">
        <v>49237</v>
      </c>
      <c r="U3239" t="s">
        <v>52438</v>
      </c>
      <c r="W3239" t="s">
        <v>44476</v>
      </c>
      <c r="X3239" t="s">
        <v>47430</v>
      </c>
    </row>
    <row r="3240" spans="1:24">
      <c r="A3240">
        <f>HYPERLINK("https://www.philgeps.gov.ph/GEPSNONPILOT/Tender/SplashBidNoticeAbstractUI.aspx?menuIndex=3&amp;refID=7163381&amp;Result=3","7163381")</f>
        <v>0</v>
      </c>
      <c r="B3240" t="s">
        <v>743</v>
      </c>
      <c r="C3240" t="s">
        <v>6992</v>
      </c>
      <c r="D3240" t="s">
        <v>19054</v>
      </c>
      <c r="E3240" t="s">
        <v>22028</v>
      </c>
      <c r="F3240" t="s">
        <v>32831</v>
      </c>
      <c r="G3240" t="s">
        <v>32838</v>
      </c>
      <c r="H3240" t="s">
        <v>32848</v>
      </c>
      <c r="I3240" t="s">
        <v>32870</v>
      </c>
      <c r="J3240" t="s">
        <v>35122</v>
      </c>
      <c r="K3240" t="s">
        <v>42726</v>
      </c>
      <c r="M3240" t="s">
        <v>43766</v>
      </c>
      <c r="N3240" t="s">
        <v>47424</v>
      </c>
      <c r="O3240" t="s">
        <v>47425</v>
      </c>
      <c r="P3240">
        <v>0</v>
      </c>
      <c r="Q3240">
        <v>0</v>
      </c>
      <c r="R3240" t="s">
        <v>47428</v>
      </c>
      <c r="S3240" t="s">
        <v>47541</v>
      </c>
      <c r="T3240" t="s">
        <v>49237</v>
      </c>
      <c r="U3240" t="s">
        <v>52439</v>
      </c>
      <c r="V3240" t="s">
        <v>62796</v>
      </c>
      <c r="W3240" t="s">
        <v>43766</v>
      </c>
      <c r="X3240" t="s">
        <v>47430</v>
      </c>
    </row>
    <row r="3241" spans="1:24">
      <c r="A3241">
        <f>HYPERLINK("https://www.philgeps.gov.ph/GEPSNONPILOT/Tender/SplashBidNoticeAbstractUI.aspx?menuIndex=3&amp;refID=7163469&amp;Result=3","7163469")</f>
        <v>0</v>
      </c>
      <c r="B3241" t="s">
        <v>1392</v>
      </c>
      <c r="C3241" t="s">
        <v>6993</v>
      </c>
      <c r="D3241" t="s">
        <v>19018</v>
      </c>
      <c r="E3241" t="s">
        <v>20435</v>
      </c>
      <c r="F3241" t="s">
        <v>32831</v>
      </c>
      <c r="G3241" t="s">
        <v>32838</v>
      </c>
      <c r="H3241" t="s">
        <v>32848</v>
      </c>
      <c r="I3241" t="s">
        <v>32938</v>
      </c>
      <c r="J3241" t="s">
        <v>34369</v>
      </c>
      <c r="K3241" t="s">
        <v>42732</v>
      </c>
      <c r="M3241" t="s">
        <v>44477</v>
      </c>
      <c r="N3241" t="s">
        <v>47424</v>
      </c>
      <c r="O3241" t="s">
        <v>47425</v>
      </c>
      <c r="P3241">
        <v>0</v>
      </c>
      <c r="Q3241">
        <v>1</v>
      </c>
      <c r="R3241" t="s">
        <v>47428</v>
      </c>
      <c r="S3241" t="s">
        <v>47541</v>
      </c>
      <c r="T3241" t="s">
        <v>49177</v>
      </c>
      <c r="U3241" t="s">
        <v>52440</v>
      </c>
      <c r="W3241" t="s">
        <v>44477</v>
      </c>
      <c r="X3241" t="s">
        <v>47430</v>
      </c>
    </row>
    <row r="3242" spans="1:24">
      <c r="A3242">
        <f>HYPERLINK("https://www.philgeps.gov.ph/GEPSNONPILOT/Tender/SplashBidNoticeAbstractUI.aspx?menuIndex=3&amp;refID=7163455&amp;Result=3","7163455")</f>
        <v>0</v>
      </c>
      <c r="B3242" t="s">
        <v>1345</v>
      </c>
      <c r="C3242" t="s">
        <v>6994</v>
      </c>
      <c r="D3242" t="s">
        <v>19077</v>
      </c>
      <c r="E3242" t="s">
        <v>22029</v>
      </c>
      <c r="F3242" t="s">
        <v>32831</v>
      </c>
      <c r="G3242" t="s">
        <v>32839</v>
      </c>
      <c r="H3242" t="s">
        <v>32848</v>
      </c>
      <c r="I3242" t="s">
        <v>32916</v>
      </c>
      <c r="J3242" t="s">
        <v>35123</v>
      </c>
      <c r="K3242" t="s">
        <v>42729</v>
      </c>
      <c r="L3242" t="s">
        <v>1345</v>
      </c>
      <c r="M3242" t="s">
        <v>44418</v>
      </c>
      <c r="N3242" t="s">
        <v>47424</v>
      </c>
      <c r="O3242" t="s">
        <v>47425</v>
      </c>
      <c r="P3242">
        <v>0</v>
      </c>
      <c r="Q3242">
        <v>0</v>
      </c>
      <c r="R3242" t="s">
        <v>47428</v>
      </c>
      <c r="S3242" t="s">
        <v>47541</v>
      </c>
      <c r="T3242" t="s">
        <v>49065</v>
      </c>
      <c r="U3242" t="s">
        <v>52441</v>
      </c>
      <c r="W3242" t="s">
        <v>44418</v>
      </c>
      <c r="X3242" t="s">
        <v>47430</v>
      </c>
    </row>
    <row r="3243" spans="1:24">
      <c r="A3243">
        <f>HYPERLINK("https://www.philgeps.gov.ph/GEPSNONPILOT/Tender/SplashBidNoticeAbstractUI.aspx?menuIndex=3&amp;refID=7163487&amp;Result=3","7163487")</f>
        <v>0</v>
      </c>
      <c r="B3243" t="s">
        <v>1364</v>
      </c>
      <c r="C3243" t="s">
        <v>6995</v>
      </c>
      <c r="D3243" t="s">
        <v>19077</v>
      </c>
      <c r="E3243" t="s">
        <v>22030</v>
      </c>
      <c r="F3243" t="s">
        <v>32831</v>
      </c>
      <c r="G3243" t="s">
        <v>32838</v>
      </c>
      <c r="H3243" t="s">
        <v>32848</v>
      </c>
      <c r="I3243" t="s">
        <v>32856</v>
      </c>
      <c r="J3243" t="s">
        <v>33987</v>
      </c>
      <c r="K3243" t="s">
        <v>42730</v>
      </c>
      <c r="M3243" t="s">
        <v>44443</v>
      </c>
      <c r="N3243" t="s">
        <v>47424</v>
      </c>
      <c r="O3243" t="s">
        <v>47425</v>
      </c>
      <c r="P3243">
        <v>0</v>
      </c>
      <c r="Q3243">
        <v>0</v>
      </c>
      <c r="R3243" t="s">
        <v>47428</v>
      </c>
      <c r="S3243" t="s">
        <v>47541</v>
      </c>
      <c r="T3243" t="s">
        <v>49235</v>
      </c>
      <c r="U3243" t="s">
        <v>52353</v>
      </c>
      <c r="W3243" t="s">
        <v>44443</v>
      </c>
      <c r="X3243" t="s">
        <v>47430</v>
      </c>
    </row>
    <row r="3244" spans="1:24">
      <c r="A3244">
        <f>HYPERLINK("https://www.philgeps.gov.ph/GEPSNONPILOT/Tender/SplashBidNoticeAbstractUI.aspx?menuIndex=3&amp;refID=7163465&amp;Result=3","7163465")</f>
        <v>0</v>
      </c>
      <c r="B3244" t="s">
        <v>1393</v>
      </c>
      <c r="C3244" t="s">
        <v>6996</v>
      </c>
      <c r="D3244" t="s">
        <v>19084</v>
      </c>
      <c r="E3244" t="s">
        <v>21818</v>
      </c>
      <c r="F3244" t="s">
        <v>32831</v>
      </c>
      <c r="G3244" t="s">
        <v>32839</v>
      </c>
      <c r="H3244" t="s">
        <v>32848</v>
      </c>
      <c r="I3244" t="s">
        <v>7416</v>
      </c>
      <c r="J3244" t="s">
        <v>35124</v>
      </c>
      <c r="K3244" t="s">
        <v>42730</v>
      </c>
      <c r="M3244" t="s">
        <v>44478</v>
      </c>
      <c r="N3244" t="s">
        <v>47424</v>
      </c>
      <c r="O3244" t="s">
        <v>47425</v>
      </c>
      <c r="P3244">
        <v>0</v>
      </c>
      <c r="Q3244">
        <v>0</v>
      </c>
      <c r="R3244" t="s">
        <v>47428</v>
      </c>
      <c r="S3244" t="s">
        <v>47541</v>
      </c>
      <c r="T3244" t="s">
        <v>49188</v>
      </c>
      <c r="U3244" t="s">
        <v>52442</v>
      </c>
      <c r="W3244" t="s">
        <v>44478</v>
      </c>
      <c r="X3244" t="s">
        <v>47430</v>
      </c>
    </row>
    <row r="3245" spans="1:24">
      <c r="A3245">
        <f>HYPERLINK("https://www.philgeps.gov.ph/GEPSNONPILOT/Tender/SplashBidNoticeAbstractUI.aspx?menuIndex=3&amp;refID=7163464&amp;Result=3","7163464")</f>
        <v>0</v>
      </c>
      <c r="B3245" t="s">
        <v>67</v>
      </c>
      <c r="C3245" t="s">
        <v>6997</v>
      </c>
      <c r="D3245" t="s">
        <v>19079</v>
      </c>
      <c r="E3245" t="s">
        <v>22031</v>
      </c>
      <c r="F3245" t="s">
        <v>32831</v>
      </c>
      <c r="G3245" t="s">
        <v>32842</v>
      </c>
      <c r="H3245" t="s">
        <v>32848</v>
      </c>
      <c r="I3245" t="s">
        <v>4438</v>
      </c>
      <c r="J3245" t="s">
        <v>35125</v>
      </c>
      <c r="K3245" t="s">
        <v>42730</v>
      </c>
      <c r="M3245" t="s">
        <v>44461</v>
      </c>
      <c r="N3245" t="s">
        <v>47424</v>
      </c>
      <c r="O3245" t="s">
        <v>47425</v>
      </c>
      <c r="P3245">
        <v>0</v>
      </c>
      <c r="Q3245">
        <v>1</v>
      </c>
      <c r="R3245" t="s">
        <v>47428</v>
      </c>
      <c r="S3245" t="s">
        <v>47541</v>
      </c>
      <c r="T3245" t="s">
        <v>49063</v>
      </c>
      <c r="U3245" t="s">
        <v>52443</v>
      </c>
      <c r="W3245" t="s">
        <v>44461</v>
      </c>
      <c r="X3245" t="s">
        <v>47430</v>
      </c>
    </row>
    <row r="3246" spans="1:24">
      <c r="A3246">
        <f>HYPERLINK("https://www.philgeps.gov.ph/GEPSNONPILOT/Tender/SplashBidNoticeAbstractUI.aspx?menuIndex=3&amp;refID=7163515&amp;Result=3","7163515")</f>
        <v>0</v>
      </c>
      <c r="B3246" t="s">
        <v>1394</v>
      </c>
      <c r="C3246" t="s">
        <v>6998</v>
      </c>
      <c r="D3246" t="s">
        <v>19063</v>
      </c>
      <c r="E3246" t="s">
        <v>22032</v>
      </c>
      <c r="F3246" t="s">
        <v>32834</v>
      </c>
      <c r="G3246" t="s">
        <v>32840</v>
      </c>
      <c r="H3246" t="s">
        <v>32850</v>
      </c>
      <c r="I3246" t="s">
        <v>9577</v>
      </c>
      <c r="J3246" t="s">
        <v>35126</v>
      </c>
      <c r="K3246" t="s">
        <v>42727</v>
      </c>
      <c r="M3246" t="s">
        <v>44479</v>
      </c>
      <c r="N3246" t="s">
        <v>47424</v>
      </c>
      <c r="O3246" t="s">
        <v>47425</v>
      </c>
      <c r="P3246">
        <v>0</v>
      </c>
      <c r="Q3246">
        <v>0</v>
      </c>
      <c r="R3246" t="s">
        <v>47428</v>
      </c>
      <c r="S3246" t="s">
        <v>47541</v>
      </c>
      <c r="T3246" t="s">
        <v>49069</v>
      </c>
      <c r="U3246" t="s">
        <v>52444</v>
      </c>
      <c r="W3246" t="s">
        <v>44479</v>
      </c>
      <c r="X3246" t="s">
        <v>47430</v>
      </c>
    </row>
    <row r="3247" spans="1:24">
      <c r="A3247">
        <f>HYPERLINK("https://www.philgeps.gov.ph/GEPSNONPILOT/Tender/SplashBidNoticeAbstractUI.aspx?menuIndex=3&amp;refID=7163472&amp;Result=3","7163472")</f>
        <v>0</v>
      </c>
      <c r="B3247" t="s">
        <v>1395</v>
      </c>
      <c r="C3247" t="s">
        <v>6999</v>
      </c>
      <c r="D3247" t="s">
        <v>19077</v>
      </c>
      <c r="E3247" t="s">
        <v>22033</v>
      </c>
      <c r="F3247" t="s">
        <v>32831</v>
      </c>
      <c r="G3247" t="s">
        <v>32838</v>
      </c>
      <c r="H3247" t="s">
        <v>32848</v>
      </c>
      <c r="I3247" t="s">
        <v>7416</v>
      </c>
      <c r="J3247" t="s">
        <v>33292</v>
      </c>
      <c r="K3247" t="s">
        <v>42727</v>
      </c>
      <c r="M3247" t="s">
        <v>44480</v>
      </c>
      <c r="N3247" t="s">
        <v>47424</v>
      </c>
      <c r="O3247" t="s">
        <v>47425</v>
      </c>
      <c r="P3247">
        <v>0</v>
      </c>
      <c r="Q3247">
        <v>0</v>
      </c>
      <c r="R3247" t="s">
        <v>47428</v>
      </c>
      <c r="S3247" t="s">
        <v>47541</v>
      </c>
      <c r="T3247" t="s">
        <v>49337</v>
      </c>
      <c r="U3247" t="s">
        <v>52445</v>
      </c>
      <c r="W3247" t="s">
        <v>44480</v>
      </c>
      <c r="X3247" t="s">
        <v>47430</v>
      </c>
    </row>
    <row r="3248" spans="1:24">
      <c r="A3248">
        <f>HYPERLINK("https://www.philgeps.gov.ph/GEPSNONPILOT/Tender/SplashBidNoticeAbstractUI.aspx?menuIndex=3&amp;refID=7163523&amp;Result=3","7163523")</f>
        <v>0</v>
      </c>
      <c r="B3248" t="s">
        <v>744</v>
      </c>
      <c r="C3248" t="s">
        <v>7000</v>
      </c>
      <c r="D3248" t="s">
        <v>19017</v>
      </c>
      <c r="E3248" t="s">
        <v>22034</v>
      </c>
      <c r="F3248" t="s">
        <v>32831</v>
      </c>
      <c r="G3248" t="s">
        <v>32838</v>
      </c>
      <c r="H3248" t="s">
        <v>32848</v>
      </c>
      <c r="I3248" t="s">
        <v>4438</v>
      </c>
      <c r="J3248" t="s">
        <v>35127</v>
      </c>
      <c r="K3248" t="s">
        <v>42726</v>
      </c>
      <c r="M3248" t="s">
        <v>44432</v>
      </c>
      <c r="N3248" t="s">
        <v>47424</v>
      </c>
      <c r="O3248" t="s">
        <v>47425</v>
      </c>
      <c r="P3248">
        <v>0</v>
      </c>
      <c r="Q3248">
        <v>1</v>
      </c>
      <c r="R3248" t="s">
        <v>47428</v>
      </c>
      <c r="S3248" t="s">
        <v>47541</v>
      </c>
      <c r="T3248" t="s">
        <v>49237</v>
      </c>
      <c r="U3248" t="s">
        <v>52446</v>
      </c>
      <c r="W3248" t="s">
        <v>44432</v>
      </c>
      <c r="X3248" t="s">
        <v>47430</v>
      </c>
    </row>
    <row r="3249" spans="1:24">
      <c r="A3249">
        <f>HYPERLINK("https://www.philgeps.gov.ph/GEPSNONPILOT/Tender/SplashBidNoticeAbstractUI.aspx?menuIndex=3&amp;refID=7163521&amp;Result=3","7163521")</f>
        <v>0</v>
      </c>
      <c r="B3249" t="s">
        <v>1396</v>
      </c>
      <c r="C3249" t="s">
        <v>7001</v>
      </c>
      <c r="D3249" t="s">
        <v>19033</v>
      </c>
      <c r="E3249" t="s">
        <v>22035</v>
      </c>
      <c r="F3249" t="s">
        <v>32831</v>
      </c>
      <c r="G3249" t="s">
        <v>32840</v>
      </c>
      <c r="H3249" t="s">
        <v>32848</v>
      </c>
      <c r="I3249" t="s">
        <v>32910</v>
      </c>
      <c r="J3249" t="s">
        <v>35128</v>
      </c>
      <c r="K3249" t="s">
        <v>42726</v>
      </c>
      <c r="M3249" t="s">
        <v>44481</v>
      </c>
      <c r="N3249" t="s">
        <v>47424</v>
      </c>
      <c r="O3249" t="s">
        <v>47425</v>
      </c>
      <c r="P3249">
        <v>0</v>
      </c>
      <c r="Q3249">
        <v>2</v>
      </c>
      <c r="R3249" t="s">
        <v>47428</v>
      </c>
      <c r="S3249" t="s">
        <v>47541</v>
      </c>
      <c r="T3249" t="s">
        <v>49255</v>
      </c>
      <c r="U3249" t="s">
        <v>52447</v>
      </c>
      <c r="W3249" t="s">
        <v>44481</v>
      </c>
      <c r="X3249" t="s">
        <v>47430</v>
      </c>
    </row>
    <row r="3250" spans="1:24">
      <c r="A3250">
        <f>HYPERLINK("https://www.philgeps.gov.ph/GEPSNONPILOT/Tender/SplashBidNoticeAbstractUI.aspx?menuIndex=3&amp;refID=7163468&amp;Result=3","7163468")</f>
        <v>0</v>
      </c>
      <c r="B3250" t="s">
        <v>693</v>
      </c>
      <c r="C3250" t="s">
        <v>7002</v>
      </c>
      <c r="D3250" t="s">
        <v>19073</v>
      </c>
      <c r="E3250" t="s">
        <v>20444</v>
      </c>
      <c r="F3250" t="s">
        <v>32831</v>
      </c>
      <c r="G3250" t="s">
        <v>32840</v>
      </c>
      <c r="H3250" t="s">
        <v>32848</v>
      </c>
      <c r="I3250" t="s">
        <v>4438</v>
      </c>
      <c r="J3250" t="s">
        <v>35129</v>
      </c>
      <c r="K3250" t="s">
        <v>42731</v>
      </c>
      <c r="M3250" t="s">
        <v>43712</v>
      </c>
      <c r="N3250" t="s">
        <v>47424</v>
      </c>
      <c r="O3250" t="s">
        <v>47425</v>
      </c>
      <c r="P3250">
        <v>0</v>
      </c>
      <c r="Q3250">
        <v>0</v>
      </c>
      <c r="R3250" t="s">
        <v>47428</v>
      </c>
      <c r="S3250" t="s">
        <v>47541</v>
      </c>
      <c r="T3250" t="s">
        <v>49108</v>
      </c>
      <c r="U3250" t="s">
        <v>52448</v>
      </c>
      <c r="W3250" t="s">
        <v>43712</v>
      </c>
      <c r="X3250" t="s">
        <v>47430</v>
      </c>
    </row>
    <row r="3251" spans="1:24">
      <c r="A3251">
        <f>HYPERLINK("https://www.philgeps.gov.ph/GEPSNONPILOT/Tender/SplashBidNoticeAbstractUI.aspx?menuIndex=3&amp;refID=7163518&amp;Result=3","7163518")</f>
        <v>0</v>
      </c>
      <c r="B3251" t="s">
        <v>929</v>
      </c>
      <c r="C3251" t="s">
        <v>7003</v>
      </c>
      <c r="D3251" t="s">
        <v>19017</v>
      </c>
      <c r="E3251" t="s">
        <v>19625</v>
      </c>
      <c r="F3251" t="s">
        <v>32831</v>
      </c>
      <c r="G3251" t="s">
        <v>32838</v>
      </c>
      <c r="H3251" t="s">
        <v>32848</v>
      </c>
      <c r="I3251" t="s">
        <v>11727</v>
      </c>
      <c r="J3251" t="s">
        <v>35130</v>
      </c>
      <c r="K3251" t="s">
        <v>42748</v>
      </c>
      <c r="L3251" t="s">
        <v>929</v>
      </c>
      <c r="M3251" t="s">
        <v>43970</v>
      </c>
      <c r="N3251" t="s">
        <v>47424</v>
      </c>
      <c r="O3251" t="s">
        <v>47425</v>
      </c>
      <c r="P3251">
        <v>0</v>
      </c>
      <c r="Q3251">
        <v>1</v>
      </c>
      <c r="R3251" t="s">
        <v>47428</v>
      </c>
      <c r="S3251" t="s">
        <v>47541</v>
      </c>
      <c r="T3251" t="s">
        <v>49244</v>
      </c>
      <c r="U3251" t="s">
        <v>52449</v>
      </c>
      <c r="W3251" t="s">
        <v>43970</v>
      </c>
      <c r="X3251" t="s">
        <v>47430</v>
      </c>
    </row>
    <row r="3252" spans="1:24">
      <c r="A3252">
        <f>HYPERLINK("https://www.philgeps.gov.ph/GEPSNONPILOT/Tender/SplashBidNoticeAbstractUI.aspx?menuIndex=3&amp;refID=7163512&amp;Result=3","7163512")</f>
        <v>0</v>
      </c>
      <c r="B3252" t="s">
        <v>1192</v>
      </c>
      <c r="C3252" t="s">
        <v>7004</v>
      </c>
      <c r="D3252" t="s">
        <v>19022</v>
      </c>
      <c r="E3252" t="s">
        <v>19829</v>
      </c>
      <c r="F3252" t="s">
        <v>32831</v>
      </c>
      <c r="G3252" t="s">
        <v>32838</v>
      </c>
      <c r="H3252" t="s">
        <v>32850</v>
      </c>
      <c r="I3252" t="s">
        <v>32864</v>
      </c>
      <c r="J3252" t="s">
        <v>33364</v>
      </c>
      <c r="K3252" t="s">
        <v>42727</v>
      </c>
      <c r="M3252" t="s">
        <v>44258</v>
      </c>
      <c r="N3252" t="s">
        <v>47424</v>
      </c>
      <c r="O3252" t="s">
        <v>47425</v>
      </c>
      <c r="P3252">
        <v>0</v>
      </c>
      <c r="Q3252">
        <v>3</v>
      </c>
      <c r="R3252" t="s">
        <v>47428</v>
      </c>
      <c r="S3252" t="s">
        <v>47541</v>
      </c>
      <c r="T3252" t="s">
        <v>49114</v>
      </c>
      <c r="U3252" t="s">
        <v>52450</v>
      </c>
      <c r="W3252" t="s">
        <v>44258</v>
      </c>
      <c r="X3252" t="s">
        <v>47430</v>
      </c>
    </row>
    <row r="3253" spans="1:24">
      <c r="A3253">
        <f>HYPERLINK("https://www.philgeps.gov.ph/GEPSNONPILOT/Tender/SplashBidNoticeAbstractUI.aspx?menuIndex=3&amp;refID=7163510&amp;Result=3","7163510")</f>
        <v>0</v>
      </c>
      <c r="B3253" t="s">
        <v>1397</v>
      </c>
      <c r="C3253" t="s">
        <v>7005</v>
      </c>
      <c r="D3253" t="s">
        <v>19035</v>
      </c>
      <c r="E3253" t="s">
        <v>22036</v>
      </c>
      <c r="F3253" t="s">
        <v>32831</v>
      </c>
      <c r="G3253" t="s">
        <v>32839</v>
      </c>
      <c r="H3253" t="s">
        <v>32848</v>
      </c>
      <c r="I3253" t="s">
        <v>4177</v>
      </c>
      <c r="J3253" t="s">
        <v>35131</v>
      </c>
      <c r="K3253" t="s">
        <v>42729</v>
      </c>
      <c r="M3253" t="s">
        <v>44482</v>
      </c>
      <c r="N3253" t="s">
        <v>47424</v>
      </c>
      <c r="O3253" t="s">
        <v>47425</v>
      </c>
      <c r="P3253">
        <v>0</v>
      </c>
      <c r="Q3253">
        <v>0</v>
      </c>
      <c r="R3253" t="s">
        <v>47428</v>
      </c>
      <c r="S3253" t="s">
        <v>47541</v>
      </c>
      <c r="T3253" t="s">
        <v>49070</v>
      </c>
      <c r="U3253" t="s">
        <v>52451</v>
      </c>
      <c r="W3253" t="s">
        <v>44482</v>
      </c>
      <c r="X3253" t="s">
        <v>47430</v>
      </c>
    </row>
    <row r="3254" spans="1:24">
      <c r="A3254">
        <f>HYPERLINK("https://www.philgeps.gov.ph/GEPSNONPILOT/Tender/SplashBidNoticeAbstractUI.aspx?menuIndex=3&amp;refID=7163275&amp;Result=3","7163275")</f>
        <v>0</v>
      </c>
      <c r="B3254" t="s">
        <v>1386</v>
      </c>
      <c r="C3254" t="s">
        <v>7006</v>
      </c>
      <c r="D3254" t="s">
        <v>19017</v>
      </c>
      <c r="E3254" t="s">
        <v>22037</v>
      </c>
      <c r="F3254" t="s">
        <v>32831</v>
      </c>
      <c r="G3254" t="s">
        <v>32840</v>
      </c>
      <c r="H3254" t="s">
        <v>32848</v>
      </c>
      <c r="I3254" t="s">
        <v>4435</v>
      </c>
      <c r="J3254" t="s">
        <v>33775</v>
      </c>
      <c r="K3254" t="s">
        <v>42726</v>
      </c>
      <c r="M3254" t="s">
        <v>44471</v>
      </c>
      <c r="N3254" t="s">
        <v>47424</v>
      </c>
      <c r="O3254" t="s">
        <v>47425</v>
      </c>
      <c r="P3254">
        <v>0</v>
      </c>
      <c r="Q3254">
        <v>0</v>
      </c>
      <c r="R3254" t="s">
        <v>47428</v>
      </c>
      <c r="S3254" t="s">
        <v>47541</v>
      </c>
      <c r="T3254" t="s">
        <v>49237</v>
      </c>
      <c r="U3254" t="s">
        <v>52413</v>
      </c>
      <c r="W3254" t="s">
        <v>44471</v>
      </c>
      <c r="X3254" t="s">
        <v>47430</v>
      </c>
    </row>
    <row r="3255" spans="1:24">
      <c r="A3255">
        <f>HYPERLINK("https://www.philgeps.gov.ph/GEPSNONPILOT/Tender/SplashBidNoticeAbstractUI.aspx?menuIndex=3&amp;refID=7163509&amp;Result=3","7163509")</f>
        <v>0</v>
      </c>
      <c r="B3255" t="s">
        <v>142</v>
      </c>
      <c r="C3255" t="s">
        <v>7007</v>
      </c>
      <c r="D3255" t="s">
        <v>19021</v>
      </c>
      <c r="E3255" t="s">
        <v>22038</v>
      </c>
      <c r="F3255" t="s">
        <v>32831</v>
      </c>
      <c r="G3255" t="s">
        <v>32839</v>
      </c>
      <c r="H3255" t="s">
        <v>32849</v>
      </c>
      <c r="I3255" t="s">
        <v>4303</v>
      </c>
      <c r="J3255" t="s">
        <v>35132</v>
      </c>
      <c r="K3255" t="s">
        <v>42729</v>
      </c>
      <c r="M3255" t="s">
        <v>43139</v>
      </c>
      <c r="N3255" t="s">
        <v>47424</v>
      </c>
      <c r="O3255" t="s">
        <v>47425</v>
      </c>
      <c r="P3255">
        <v>0</v>
      </c>
      <c r="Q3255">
        <v>1</v>
      </c>
      <c r="R3255" t="s">
        <v>47428</v>
      </c>
      <c r="S3255" t="s">
        <v>47541</v>
      </c>
      <c r="T3255" t="s">
        <v>49338</v>
      </c>
      <c r="U3255" t="s">
        <v>50147</v>
      </c>
      <c r="W3255" t="s">
        <v>43139</v>
      </c>
      <c r="X3255" t="s">
        <v>47430</v>
      </c>
    </row>
    <row r="3256" spans="1:24">
      <c r="A3256">
        <f>HYPERLINK("https://www.philgeps.gov.ph/GEPSNONPILOT/Tender/SplashBidNoticeAbstractUI.aspx?menuIndex=3&amp;refID=7163505&amp;Result=3","7163505")</f>
        <v>0</v>
      </c>
      <c r="B3256" t="s">
        <v>1398</v>
      </c>
      <c r="C3256" t="s">
        <v>7008</v>
      </c>
      <c r="E3256" t="s">
        <v>22039</v>
      </c>
      <c r="F3256" t="s">
        <v>32831</v>
      </c>
      <c r="G3256" t="s">
        <v>32840</v>
      </c>
      <c r="H3256" t="s">
        <v>32848</v>
      </c>
      <c r="I3256" t="s">
        <v>32857</v>
      </c>
      <c r="J3256" t="s">
        <v>35133</v>
      </c>
      <c r="K3256" t="s">
        <v>42732</v>
      </c>
      <c r="M3256" t="s">
        <v>44483</v>
      </c>
      <c r="N3256" t="s">
        <v>47424</v>
      </c>
      <c r="O3256" t="s">
        <v>47425</v>
      </c>
      <c r="P3256">
        <v>0</v>
      </c>
      <c r="Q3256">
        <v>2</v>
      </c>
      <c r="R3256" t="s">
        <v>47428</v>
      </c>
      <c r="S3256" t="s">
        <v>47541</v>
      </c>
      <c r="T3256" t="s">
        <v>49111</v>
      </c>
      <c r="U3256" t="s">
        <v>52452</v>
      </c>
      <c r="W3256" t="s">
        <v>44483</v>
      </c>
      <c r="X3256" t="s">
        <v>47430</v>
      </c>
    </row>
    <row r="3257" spans="1:24">
      <c r="A3257">
        <f>HYPERLINK("https://www.philgeps.gov.ph/GEPSNONPILOT/Tender/SplashBidNoticeAbstractUI.aspx?menuIndex=3&amp;refID=7163501&amp;Result=3","7163501")</f>
        <v>0</v>
      </c>
      <c r="B3257" t="s">
        <v>565</v>
      </c>
      <c r="C3257" t="s">
        <v>7009</v>
      </c>
      <c r="D3257" t="s">
        <v>19020</v>
      </c>
      <c r="E3257" t="s">
        <v>22040</v>
      </c>
      <c r="F3257" t="s">
        <v>32831</v>
      </c>
      <c r="G3257" t="s">
        <v>32838</v>
      </c>
      <c r="H3257" t="s">
        <v>32848</v>
      </c>
      <c r="I3257" t="s">
        <v>32862</v>
      </c>
      <c r="J3257" t="s">
        <v>33162</v>
      </c>
      <c r="K3257" t="s">
        <v>42727</v>
      </c>
      <c r="M3257" t="s">
        <v>43575</v>
      </c>
      <c r="N3257" t="s">
        <v>47424</v>
      </c>
      <c r="O3257" t="s">
        <v>47425</v>
      </c>
      <c r="P3257">
        <v>0</v>
      </c>
      <c r="Q3257">
        <v>2</v>
      </c>
      <c r="R3257" t="s">
        <v>47428</v>
      </c>
      <c r="S3257" t="s">
        <v>47541</v>
      </c>
      <c r="T3257" t="s">
        <v>49089</v>
      </c>
      <c r="U3257" t="s">
        <v>52453</v>
      </c>
      <c r="W3257" t="s">
        <v>43575</v>
      </c>
      <c r="X3257" t="s">
        <v>47430</v>
      </c>
    </row>
    <row r="3258" spans="1:24">
      <c r="A3258">
        <f>HYPERLINK("https://www.philgeps.gov.ph/GEPSNONPILOT/Tender/SplashBidNoticeAbstractUI.aspx?menuIndex=3&amp;refID=7163500&amp;Result=3","7163500")</f>
        <v>0</v>
      </c>
      <c r="B3258" t="s">
        <v>473</v>
      </c>
      <c r="C3258" t="s">
        <v>7010</v>
      </c>
      <c r="D3258" t="s">
        <v>19091</v>
      </c>
      <c r="E3258" t="s">
        <v>22041</v>
      </c>
      <c r="F3258" t="s">
        <v>32831</v>
      </c>
      <c r="G3258" t="s">
        <v>32838</v>
      </c>
      <c r="H3258" t="s">
        <v>32848</v>
      </c>
      <c r="I3258" t="s">
        <v>4438</v>
      </c>
      <c r="J3258" t="s">
        <v>35134</v>
      </c>
      <c r="K3258" t="s">
        <v>42730</v>
      </c>
      <c r="M3258" t="s">
        <v>44430</v>
      </c>
      <c r="N3258" t="s">
        <v>47424</v>
      </c>
      <c r="O3258" t="s">
        <v>47425</v>
      </c>
      <c r="P3258">
        <v>0</v>
      </c>
      <c r="Q3258">
        <v>0</v>
      </c>
      <c r="R3258" t="s">
        <v>47428</v>
      </c>
      <c r="S3258" t="s">
        <v>47541</v>
      </c>
      <c r="T3258" t="s">
        <v>49104</v>
      </c>
      <c r="U3258" t="s">
        <v>52454</v>
      </c>
      <c r="W3258" t="s">
        <v>44430</v>
      </c>
      <c r="X3258" t="s">
        <v>47430</v>
      </c>
    </row>
    <row r="3259" spans="1:24">
      <c r="A3259">
        <f>HYPERLINK("https://www.philgeps.gov.ph/GEPSNONPILOT/Tender/SplashBidNoticeAbstractUI.aspx?menuIndex=3&amp;refID=7163499&amp;Result=3","7163499")</f>
        <v>0</v>
      </c>
      <c r="B3259" t="s">
        <v>1391</v>
      </c>
      <c r="C3259" t="s">
        <v>7011</v>
      </c>
      <c r="D3259" t="s">
        <v>19080</v>
      </c>
      <c r="E3259" t="s">
        <v>22042</v>
      </c>
      <c r="F3259" t="s">
        <v>32831</v>
      </c>
      <c r="G3259" t="s">
        <v>32838</v>
      </c>
      <c r="H3259" t="s">
        <v>32850</v>
      </c>
      <c r="I3259" t="s">
        <v>11727</v>
      </c>
      <c r="J3259" t="s">
        <v>34534</v>
      </c>
      <c r="K3259" t="s">
        <v>42747</v>
      </c>
      <c r="M3259" t="s">
        <v>44476</v>
      </c>
      <c r="N3259" t="s">
        <v>47424</v>
      </c>
      <c r="O3259" t="s">
        <v>47425</v>
      </c>
      <c r="P3259">
        <v>0</v>
      </c>
      <c r="Q3259">
        <v>0</v>
      </c>
      <c r="R3259" t="s">
        <v>47428</v>
      </c>
      <c r="S3259" t="s">
        <v>47541</v>
      </c>
      <c r="T3259" t="s">
        <v>49237</v>
      </c>
      <c r="U3259" t="s">
        <v>52455</v>
      </c>
      <c r="W3259" t="s">
        <v>44476</v>
      </c>
      <c r="X3259" t="s">
        <v>47430</v>
      </c>
    </row>
    <row r="3260" spans="1:24">
      <c r="A3260">
        <f>HYPERLINK("https://www.philgeps.gov.ph/GEPSNONPILOT/Tender/SplashBidNoticeAbstractUI.aspx?menuIndex=3&amp;refID=7163511&amp;Result=3","7163511")</f>
        <v>0</v>
      </c>
      <c r="B3260" t="s">
        <v>1382</v>
      </c>
      <c r="C3260" t="s">
        <v>7012</v>
      </c>
      <c r="D3260" t="s">
        <v>19021</v>
      </c>
      <c r="E3260" t="s">
        <v>22043</v>
      </c>
      <c r="F3260" t="s">
        <v>32831</v>
      </c>
      <c r="G3260" t="s">
        <v>32842</v>
      </c>
      <c r="H3260" t="s">
        <v>32848</v>
      </c>
      <c r="I3260" t="s">
        <v>32860</v>
      </c>
      <c r="J3260" t="s">
        <v>33019</v>
      </c>
      <c r="K3260" t="s">
        <v>42726</v>
      </c>
      <c r="M3260" t="s">
        <v>44466</v>
      </c>
      <c r="N3260" t="s">
        <v>47424</v>
      </c>
      <c r="O3260" t="s">
        <v>47425</v>
      </c>
      <c r="P3260">
        <v>0</v>
      </c>
      <c r="Q3260">
        <v>2</v>
      </c>
      <c r="R3260" t="s">
        <v>47428</v>
      </c>
      <c r="S3260" t="s">
        <v>47541</v>
      </c>
      <c r="T3260" t="s">
        <v>49111</v>
      </c>
      <c r="U3260" t="s">
        <v>52456</v>
      </c>
      <c r="V3260" t="s">
        <v>62980</v>
      </c>
      <c r="W3260" t="s">
        <v>44466</v>
      </c>
      <c r="X3260" t="s">
        <v>47430</v>
      </c>
    </row>
    <row r="3261" spans="1:24">
      <c r="A3261">
        <f>HYPERLINK("https://www.philgeps.gov.ph/GEPSNONPILOT/Tender/SplashBidNoticeAbstractUI.aspx?menuIndex=3&amp;refID=7163494&amp;Result=3","7163494")</f>
        <v>0</v>
      </c>
      <c r="B3261" t="s">
        <v>1388</v>
      </c>
      <c r="C3261" t="s">
        <v>7013</v>
      </c>
      <c r="D3261" t="s">
        <v>19027</v>
      </c>
      <c r="E3261" t="s">
        <v>22044</v>
      </c>
      <c r="F3261" t="s">
        <v>32831</v>
      </c>
      <c r="G3261" t="s">
        <v>32838</v>
      </c>
      <c r="H3261" t="s">
        <v>32848</v>
      </c>
      <c r="I3261" t="s">
        <v>7819</v>
      </c>
      <c r="J3261" t="s">
        <v>33922</v>
      </c>
      <c r="K3261" t="s">
        <v>42759</v>
      </c>
      <c r="M3261" t="s">
        <v>44473</v>
      </c>
      <c r="N3261" t="s">
        <v>47424</v>
      </c>
      <c r="O3261" t="s">
        <v>47425</v>
      </c>
      <c r="P3261">
        <v>0</v>
      </c>
      <c r="Q3261">
        <v>0</v>
      </c>
      <c r="R3261" t="s">
        <v>47428</v>
      </c>
      <c r="S3261" t="s">
        <v>47541</v>
      </c>
      <c r="T3261" t="s">
        <v>49108</v>
      </c>
      <c r="U3261" t="s">
        <v>52457</v>
      </c>
      <c r="V3261" t="s">
        <v>62983</v>
      </c>
      <c r="W3261" t="s">
        <v>44473</v>
      </c>
      <c r="X3261" t="s">
        <v>47430</v>
      </c>
    </row>
    <row r="3262" spans="1:24">
      <c r="A3262">
        <f>HYPERLINK("https://www.philgeps.gov.ph/GEPSNONPILOT/Tender/SplashBidNoticeAbstractUI.aspx?menuIndex=3&amp;refID=7163525&amp;Result=3","7163525")</f>
        <v>0</v>
      </c>
      <c r="B3262" t="s">
        <v>1217</v>
      </c>
      <c r="C3262" t="s">
        <v>7014</v>
      </c>
      <c r="E3262" t="s">
        <v>22045</v>
      </c>
      <c r="F3262" t="s">
        <v>32831</v>
      </c>
      <c r="G3262" t="s">
        <v>32838</v>
      </c>
      <c r="H3262" t="s">
        <v>32848</v>
      </c>
      <c r="I3262" t="s">
        <v>32860</v>
      </c>
      <c r="J3262" t="s">
        <v>35135</v>
      </c>
      <c r="K3262" t="s">
        <v>42726</v>
      </c>
      <c r="M3262" t="s">
        <v>44285</v>
      </c>
      <c r="N3262" t="s">
        <v>47424</v>
      </c>
      <c r="O3262" t="s">
        <v>47425</v>
      </c>
      <c r="P3262">
        <v>0</v>
      </c>
      <c r="Q3262">
        <v>7</v>
      </c>
      <c r="R3262" t="s">
        <v>47428</v>
      </c>
      <c r="S3262" t="s">
        <v>47541</v>
      </c>
      <c r="T3262" t="s">
        <v>49205</v>
      </c>
      <c r="U3262" t="s">
        <v>52458</v>
      </c>
      <c r="W3262" t="s">
        <v>44285</v>
      </c>
      <c r="X3262" t="s">
        <v>47430</v>
      </c>
    </row>
    <row r="3263" spans="1:24">
      <c r="A3263">
        <f>HYPERLINK("https://www.philgeps.gov.ph/GEPSNONPILOT/Tender/SplashBidNoticeAbstractUI.aspx?menuIndex=3&amp;refID=7163492&amp;Result=3","7163492")</f>
        <v>0</v>
      </c>
      <c r="B3263" t="s">
        <v>1399</v>
      </c>
      <c r="C3263" t="s">
        <v>7015</v>
      </c>
      <c r="D3263" t="s">
        <v>19017</v>
      </c>
      <c r="E3263" t="s">
        <v>19962</v>
      </c>
      <c r="F3263" t="s">
        <v>32831</v>
      </c>
      <c r="G3263" t="s">
        <v>32838</v>
      </c>
      <c r="H3263" t="s">
        <v>32848</v>
      </c>
      <c r="I3263" t="s">
        <v>32864</v>
      </c>
      <c r="J3263" t="s">
        <v>35136</v>
      </c>
      <c r="K3263" t="s">
        <v>42726</v>
      </c>
      <c r="M3263" t="s">
        <v>44484</v>
      </c>
      <c r="N3263" t="s">
        <v>47424</v>
      </c>
      <c r="O3263" t="s">
        <v>47425</v>
      </c>
      <c r="P3263">
        <v>0</v>
      </c>
      <c r="Q3263">
        <v>8</v>
      </c>
      <c r="R3263" t="s">
        <v>47428</v>
      </c>
      <c r="S3263" t="s">
        <v>47541</v>
      </c>
      <c r="T3263" t="s">
        <v>49145</v>
      </c>
      <c r="U3263" t="s">
        <v>52459</v>
      </c>
      <c r="W3263" t="s">
        <v>44484</v>
      </c>
      <c r="X3263" t="s">
        <v>47430</v>
      </c>
    </row>
    <row r="3264" spans="1:24">
      <c r="A3264">
        <f>HYPERLINK("https://www.philgeps.gov.ph/GEPSNONPILOT/Tender/SplashBidNoticeAbstractUI.aspx?menuIndex=3&amp;refID=7163443&amp;Result=3","7163443")</f>
        <v>0</v>
      </c>
      <c r="B3264" t="s">
        <v>1364</v>
      </c>
      <c r="C3264" t="s">
        <v>7016</v>
      </c>
      <c r="D3264" t="s">
        <v>19077</v>
      </c>
      <c r="E3264" t="s">
        <v>22046</v>
      </c>
      <c r="F3264" t="s">
        <v>32831</v>
      </c>
      <c r="G3264" t="s">
        <v>32838</v>
      </c>
      <c r="H3264" t="s">
        <v>32848</v>
      </c>
      <c r="I3264" t="s">
        <v>32864</v>
      </c>
      <c r="J3264" t="s">
        <v>35137</v>
      </c>
      <c r="K3264" t="s">
        <v>42730</v>
      </c>
      <c r="M3264" t="s">
        <v>44443</v>
      </c>
      <c r="N3264" t="s">
        <v>47424</v>
      </c>
      <c r="O3264" t="s">
        <v>47425</v>
      </c>
      <c r="P3264">
        <v>0</v>
      </c>
      <c r="Q3264">
        <v>0</v>
      </c>
      <c r="R3264" t="s">
        <v>47428</v>
      </c>
      <c r="S3264" t="s">
        <v>47541</v>
      </c>
      <c r="T3264" t="s">
        <v>49235</v>
      </c>
      <c r="U3264" t="s">
        <v>52353</v>
      </c>
      <c r="W3264" t="s">
        <v>44443</v>
      </c>
      <c r="X3264" t="s">
        <v>47430</v>
      </c>
    </row>
    <row r="3265" spans="1:24">
      <c r="A3265">
        <f>HYPERLINK("https://www.philgeps.gov.ph/GEPSNONPILOT/Tender/SplashBidNoticeAbstractUI.aspx?menuIndex=3&amp;refID=7163498&amp;Result=3","7163498")</f>
        <v>0</v>
      </c>
      <c r="B3265" t="s">
        <v>693</v>
      </c>
      <c r="C3265" t="s">
        <v>7017</v>
      </c>
      <c r="D3265" t="s">
        <v>19073</v>
      </c>
      <c r="E3265" t="s">
        <v>20444</v>
      </c>
      <c r="F3265" t="s">
        <v>32831</v>
      </c>
      <c r="G3265" t="s">
        <v>32840</v>
      </c>
      <c r="H3265" t="s">
        <v>32848</v>
      </c>
      <c r="I3265" t="s">
        <v>32862</v>
      </c>
      <c r="J3265" t="s">
        <v>35138</v>
      </c>
      <c r="K3265" t="s">
        <v>42731</v>
      </c>
      <c r="M3265" t="s">
        <v>43712</v>
      </c>
      <c r="N3265" t="s">
        <v>47424</v>
      </c>
      <c r="O3265" t="s">
        <v>47425</v>
      </c>
      <c r="P3265">
        <v>0</v>
      </c>
      <c r="Q3265">
        <v>0</v>
      </c>
      <c r="R3265" t="s">
        <v>47428</v>
      </c>
      <c r="S3265" t="s">
        <v>47541</v>
      </c>
      <c r="T3265" t="s">
        <v>49108</v>
      </c>
      <c r="U3265" t="s">
        <v>52460</v>
      </c>
      <c r="W3265" t="s">
        <v>43712</v>
      </c>
      <c r="X3265" t="s">
        <v>47430</v>
      </c>
    </row>
    <row r="3266" spans="1:24">
      <c r="A3266">
        <f>HYPERLINK("https://www.philgeps.gov.ph/GEPSNONPILOT/Tender/SplashBidNoticeAbstractUI.aspx?menuIndex=3&amp;refID=7163495&amp;Result=3","7163495")</f>
        <v>0</v>
      </c>
      <c r="B3266" t="s">
        <v>1202</v>
      </c>
      <c r="C3266" t="s">
        <v>7018</v>
      </c>
      <c r="D3266" t="s">
        <v>19029</v>
      </c>
      <c r="E3266" t="s">
        <v>22047</v>
      </c>
      <c r="F3266" t="s">
        <v>32831</v>
      </c>
      <c r="G3266" t="s">
        <v>32838</v>
      </c>
      <c r="H3266" t="s">
        <v>32848</v>
      </c>
      <c r="I3266" t="s">
        <v>4303</v>
      </c>
      <c r="J3266" t="s">
        <v>35139</v>
      </c>
      <c r="K3266" t="s">
        <v>42730</v>
      </c>
      <c r="M3266" t="s">
        <v>44440</v>
      </c>
      <c r="N3266" t="s">
        <v>47424</v>
      </c>
      <c r="O3266" t="s">
        <v>47425</v>
      </c>
      <c r="P3266">
        <v>0</v>
      </c>
      <c r="Q3266">
        <v>0</v>
      </c>
      <c r="R3266" t="s">
        <v>47428</v>
      </c>
      <c r="S3266" t="s">
        <v>47541</v>
      </c>
      <c r="T3266" t="s">
        <v>49238</v>
      </c>
      <c r="U3266" t="s">
        <v>52461</v>
      </c>
      <c r="V3266" t="s">
        <v>62985</v>
      </c>
      <c r="W3266" t="s">
        <v>44440</v>
      </c>
      <c r="X3266" t="s">
        <v>47430</v>
      </c>
    </row>
    <row r="3267" spans="1:24">
      <c r="A3267">
        <f>HYPERLINK("https://www.philgeps.gov.ph/GEPSNONPILOT/Tender/SplashBidNoticeAbstractUI.aspx?menuIndex=3&amp;refID=7163460&amp;Result=3","7163460")</f>
        <v>0</v>
      </c>
      <c r="B3267" t="s">
        <v>1400</v>
      </c>
      <c r="C3267" t="s">
        <v>7019</v>
      </c>
      <c r="D3267" t="s">
        <v>19057</v>
      </c>
      <c r="E3267" t="s">
        <v>22048</v>
      </c>
      <c r="F3267" t="s">
        <v>32831</v>
      </c>
      <c r="G3267" t="s">
        <v>32838</v>
      </c>
      <c r="H3267" t="s">
        <v>32848</v>
      </c>
      <c r="I3267" t="s">
        <v>32853</v>
      </c>
      <c r="J3267" t="s">
        <v>35140</v>
      </c>
      <c r="K3267" t="s">
        <v>42730</v>
      </c>
      <c r="M3267" t="s">
        <v>44485</v>
      </c>
      <c r="N3267" t="s">
        <v>47424</v>
      </c>
      <c r="O3267" t="s">
        <v>47425</v>
      </c>
      <c r="P3267">
        <v>0</v>
      </c>
      <c r="Q3267">
        <v>0</v>
      </c>
      <c r="R3267" t="s">
        <v>47428</v>
      </c>
      <c r="S3267" t="s">
        <v>47541</v>
      </c>
      <c r="T3267" t="s">
        <v>49237</v>
      </c>
      <c r="U3267" t="s">
        <v>52462</v>
      </c>
      <c r="W3267" t="s">
        <v>44485</v>
      </c>
      <c r="X3267" t="s">
        <v>47430</v>
      </c>
    </row>
    <row r="3268" spans="1:24">
      <c r="A3268">
        <f>HYPERLINK("https://www.philgeps.gov.ph/GEPSNONPILOT/Tender/SplashBidNoticeAbstractUI.aspx?menuIndex=3&amp;refID=7163457&amp;Result=3","7163457")</f>
        <v>0</v>
      </c>
      <c r="B3268" t="s">
        <v>1376</v>
      </c>
      <c r="C3268" t="s">
        <v>7020</v>
      </c>
      <c r="E3268" t="s">
        <v>22049</v>
      </c>
      <c r="F3268" t="s">
        <v>32831</v>
      </c>
      <c r="G3268" t="s">
        <v>32840</v>
      </c>
      <c r="H3268" t="s">
        <v>32848</v>
      </c>
      <c r="I3268" t="s">
        <v>9577</v>
      </c>
      <c r="J3268" t="s">
        <v>33292</v>
      </c>
      <c r="K3268" t="s">
        <v>42732</v>
      </c>
      <c r="M3268" t="s">
        <v>44457</v>
      </c>
      <c r="N3268" t="s">
        <v>47424</v>
      </c>
      <c r="O3268" t="s">
        <v>47425</v>
      </c>
      <c r="P3268">
        <v>0</v>
      </c>
      <c r="Q3268">
        <v>1</v>
      </c>
      <c r="R3268" t="s">
        <v>47428</v>
      </c>
      <c r="S3268" t="s">
        <v>47541</v>
      </c>
      <c r="T3268" t="s">
        <v>49119</v>
      </c>
      <c r="U3268" t="s">
        <v>52463</v>
      </c>
      <c r="W3268" t="s">
        <v>44457</v>
      </c>
      <c r="X3268" t="s">
        <v>47430</v>
      </c>
    </row>
    <row r="3269" spans="1:24">
      <c r="A3269">
        <f>HYPERLINK("https://www.philgeps.gov.ph/GEPSNONPILOT/Tender/SplashBidNoticeAbstractUI.aspx?menuIndex=3&amp;refID=7163488&amp;Result=3","7163488")</f>
        <v>0</v>
      </c>
      <c r="B3269" t="s">
        <v>1376</v>
      </c>
      <c r="C3269" t="s">
        <v>7021</v>
      </c>
      <c r="E3269" t="s">
        <v>22050</v>
      </c>
      <c r="F3269" t="s">
        <v>32831</v>
      </c>
      <c r="G3269" t="s">
        <v>32840</v>
      </c>
      <c r="H3269" t="s">
        <v>32848</v>
      </c>
      <c r="I3269" t="s">
        <v>9577</v>
      </c>
      <c r="J3269" t="s">
        <v>33922</v>
      </c>
      <c r="K3269" t="s">
        <v>42732</v>
      </c>
      <c r="M3269" t="s">
        <v>44457</v>
      </c>
      <c r="N3269" t="s">
        <v>47424</v>
      </c>
      <c r="O3269" t="s">
        <v>47425</v>
      </c>
      <c r="P3269">
        <v>0</v>
      </c>
      <c r="Q3269">
        <v>4</v>
      </c>
      <c r="R3269" t="s">
        <v>47428</v>
      </c>
      <c r="S3269" t="s">
        <v>47541</v>
      </c>
      <c r="T3269" t="s">
        <v>49119</v>
      </c>
      <c r="U3269" t="s">
        <v>52464</v>
      </c>
      <c r="W3269" t="s">
        <v>44457</v>
      </c>
      <c r="X3269" t="s">
        <v>47430</v>
      </c>
    </row>
    <row r="3270" spans="1:24">
      <c r="A3270">
        <f>HYPERLINK("https://www.philgeps.gov.ph/GEPSNONPILOT/Tender/SplashBidNoticeAbstractUI.aspx?menuIndex=3&amp;refID=7163553&amp;Result=3","7163553")</f>
        <v>0</v>
      </c>
      <c r="B3270" t="s">
        <v>1401</v>
      </c>
      <c r="C3270" t="s">
        <v>7022</v>
      </c>
      <c r="D3270" t="s">
        <v>19074</v>
      </c>
      <c r="E3270" t="s">
        <v>22051</v>
      </c>
      <c r="F3270" t="s">
        <v>32831</v>
      </c>
      <c r="G3270" t="s">
        <v>32839</v>
      </c>
      <c r="H3270" t="s">
        <v>32849</v>
      </c>
      <c r="I3270" t="s">
        <v>32889</v>
      </c>
      <c r="J3270" t="s">
        <v>33111</v>
      </c>
      <c r="K3270" t="s">
        <v>42770</v>
      </c>
      <c r="M3270" t="s">
        <v>44486</v>
      </c>
      <c r="N3270" t="s">
        <v>47424</v>
      </c>
      <c r="O3270" t="s">
        <v>47425</v>
      </c>
      <c r="P3270">
        <v>0</v>
      </c>
      <c r="Q3270">
        <v>0</v>
      </c>
      <c r="R3270" t="s">
        <v>47428</v>
      </c>
      <c r="S3270" t="s">
        <v>47541</v>
      </c>
      <c r="T3270" t="s">
        <v>49179</v>
      </c>
      <c r="U3270" t="s">
        <v>52465</v>
      </c>
      <c r="W3270" t="s">
        <v>44486</v>
      </c>
      <c r="X3270" t="s">
        <v>47430</v>
      </c>
    </row>
    <row r="3271" spans="1:24">
      <c r="A3271">
        <f>HYPERLINK("https://www.philgeps.gov.ph/GEPSNONPILOT/Tender/SplashBidNoticeAbstractUI.aspx?menuIndex=3&amp;refID=7163549&amp;Result=3","7163549")</f>
        <v>0</v>
      </c>
      <c r="B3271" t="s">
        <v>1402</v>
      </c>
      <c r="C3271" t="s">
        <v>7023</v>
      </c>
      <c r="E3271" t="s">
        <v>22052</v>
      </c>
      <c r="F3271" t="s">
        <v>32831</v>
      </c>
      <c r="G3271" t="s">
        <v>32840</v>
      </c>
      <c r="H3271" t="s">
        <v>32848</v>
      </c>
      <c r="I3271" t="s">
        <v>9577</v>
      </c>
      <c r="J3271" t="s">
        <v>33424</v>
      </c>
      <c r="K3271" t="s">
        <v>42732</v>
      </c>
      <c r="M3271" t="s">
        <v>44487</v>
      </c>
      <c r="N3271" t="s">
        <v>47424</v>
      </c>
      <c r="O3271" t="s">
        <v>47425</v>
      </c>
      <c r="P3271">
        <v>0</v>
      </c>
      <c r="Q3271">
        <v>4</v>
      </c>
      <c r="R3271" t="s">
        <v>47428</v>
      </c>
      <c r="S3271" t="s">
        <v>47541</v>
      </c>
      <c r="T3271" t="s">
        <v>49145</v>
      </c>
      <c r="U3271" t="s">
        <v>52466</v>
      </c>
      <c r="W3271" t="s">
        <v>44487</v>
      </c>
      <c r="X3271" t="s">
        <v>47430</v>
      </c>
    </row>
    <row r="3272" spans="1:24">
      <c r="A3272">
        <f>HYPERLINK("https://www.philgeps.gov.ph/GEPSNONPILOT/Tender/SplashBidNoticeAbstractUI.aspx?menuIndex=3&amp;refID=7163490&amp;Result=3","7163490")</f>
        <v>0</v>
      </c>
      <c r="B3272" t="s">
        <v>1385</v>
      </c>
      <c r="C3272" t="s">
        <v>7024</v>
      </c>
      <c r="D3272" t="s">
        <v>19060</v>
      </c>
      <c r="E3272" t="s">
        <v>22053</v>
      </c>
      <c r="F3272" t="s">
        <v>32831</v>
      </c>
      <c r="G3272" t="s">
        <v>32840</v>
      </c>
      <c r="H3272" t="s">
        <v>32848</v>
      </c>
      <c r="I3272" t="s">
        <v>4438</v>
      </c>
      <c r="J3272" t="s">
        <v>35141</v>
      </c>
      <c r="K3272" t="s">
        <v>42730</v>
      </c>
      <c r="M3272" t="s">
        <v>44470</v>
      </c>
      <c r="N3272" t="s">
        <v>47424</v>
      </c>
      <c r="O3272" t="s">
        <v>47425</v>
      </c>
      <c r="P3272">
        <v>0</v>
      </c>
      <c r="Q3272">
        <v>2</v>
      </c>
      <c r="R3272" t="s">
        <v>47428</v>
      </c>
      <c r="S3272" t="s">
        <v>47541</v>
      </c>
      <c r="T3272" t="s">
        <v>49129</v>
      </c>
      <c r="U3272" t="s">
        <v>52467</v>
      </c>
      <c r="V3272" t="s">
        <v>62986</v>
      </c>
      <c r="W3272" t="s">
        <v>44470</v>
      </c>
      <c r="X3272" t="s">
        <v>47430</v>
      </c>
    </row>
    <row r="3273" spans="1:24">
      <c r="A3273">
        <f>HYPERLINK("https://www.philgeps.gov.ph/GEPSNONPILOT/Tender/SplashBidNoticeAbstractUI.aspx?menuIndex=3&amp;refID=7163548&amp;Result=3","7163548")</f>
        <v>0</v>
      </c>
      <c r="B3273" t="s">
        <v>1391</v>
      </c>
      <c r="C3273" t="s">
        <v>7025</v>
      </c>
      <c r="D3273" t="s">
        <v>19080</v>
      </c>
      <c r="E3273" t="s">
        <v>22054</v>
      </c>
      <c r="F3273" t="s">
        <v>32831</v>
      </c>
      <c r="G3273" t="s">
        <v>32839</v>
      </c>
      <c r="H3273" t="s">
        <v>32850</v>
      </c>
      <c r="I3273" t="s">
        <v>7416</v>
      </c>
      <c r="J3273" t="s">
        <v>34600</v>
      </c>
      <c r="K3273" t="s">
        <v>42747</v>
      </c>
      <c r="M3273" t="s">
        <v>44476</v>
      </c>
      <c r="N3273" t="s">
        <v>47424</v>
      </c>
      <c r="O3273" t="s">
        <v>47425</v>
      </c>
      <c r="P3273">
        <v>0</v>
      </c>
      <c r="Q3273">
        <v>0</v>
      </c>
      <c r="R3273" t="s">
        <v>47428</v>
      </c>
      <c r="S3273" t="s">
        <v>47541</v>
      </c>
      <c r="T3273" t="s">
        <v>49073</v>
      </c>
      <c r="U3273" t="s">
        <v>52468</v>
      </c>
      <c r="W3273" t="s">
        <v>44476</v>
      </c>
      <c r="X3273" t="s">
        <v>47430</v>
      </c>
    </row>
    <row r="3274" spans="1:24">
      <c r="A3274">
        <f>HYPERLINK("https://www.philgeps.gov.ph/GEPSNONPILOT/Tender/SplashBidNoticeAbstractUI.aspx?menuIndex=3&amp;refID=7163550&amp;Result=3","7163550")</f>
        <v>0</v>
      </c>
      <c r="B3274" t="s">
        <v>1403</v>
      </c>
      <c r="C3274" t="s">
        <v>7026</v>
      </c>
      <c r="D3274" t="s">
        <v>19018</v>
      </c>
      <c r="E3274" t="s">
        <v>22055</v>
      </c>
      <c r="F3274" t="s">
        <v>32831</v>
      </c>
      <c r="G3274" t="s">
        <v>32838</v>
      </c>
      <c r="H3274" t="s">
        <v>32848</v>
      </c>
      <c r="I3274" t="s">
        <v>4222</v>
      </c>
      <c r="J3274" t="s">
        <v>35142</v>
      </c>
      <c r="K3274" t="s">
        <v>42732</v>
      </c>
      <c r="M3274" t="s">
        <v>44488</v>
      </c>
      <c r="N3274" t="s">
        <v>47424</v>
      </c>
      <c r="O3274" t="s">
        <v>47425</v>
      </c>
      <c r="P3274">
        <v>0</v>
      </c>
      <c r="Q3274">
        <v>3</v>
      </c>
      <c r="R3274" t="s">
        <v>47428</v>
      </c>
      <c r="S3274" t="s">
        <v>47541</v>
      </c>
      <c r="T3274" t="s">
        <v>49163</v>
      </c>
      <c r="U3274" t="s">
        <v>52469</v>
      </c>
      <c r="W3274" t="s">
        <v>44488</v>
      </c>
      <c r="X3274" t="s">
        <v>47430</v>
      </c>
    </row>
    <row r="3275" spans="1:24">
      <c r="A3275">
        <f>HYPERLINK("https://www.philgeps.gov.ph/GEPSNONPILOT/Tender/SplashBidNoticeAbstractUI.aspx?menuIndex=3&amp;refID=7163545&amp;Result=3","7163545")</f>
        <v>0</v>
      </c>
      <c r="B3275" t="s">
        <v>1385</v>
      </c>
      <c r="C3275" t="s">
        <v>7027</v>
      </c>
      <c r="D3275" t="s">
        <v>19060</v>
      </c>
      <c r="E3275" t="s">
        <v>22056</v>
      </c>
      <c r="F3275" t="s">
        <v>32831</v>
      </c>
      <c r="G3275" t="s">
        <v>32838</v>
      </c>
      <c r="H3275" t="s">
        <v>32850</v>
      </c>
      <c r="I3275" t="s">
        <v>32904</v>
      </c>
      <c r="J3275" t="s">
        <v>33133</v>
      </c>
      <c r="K3275" t="s">
        <v>42730</v>
      </c>
      <c r="M3275" t="s">
        <v>44470</v>
      </c>
      <c r="N3275" t="s">
        <v>47424</v>
      </c>
      <c r="O3275" t="s">
        <v>47425</v>
      </c>
      <c r="P3275">
        <v>0</v>
      </c>
      <c r="Q3275">
        <v>0</v>
      </c>
      <c r="R3275" t="s">
        <v>47428</v>
      </c>
      <c r="S3275" t="s">
        <v>47541</v>
      </c>
      <c r="T3275" t="s">
        <v>49129</v>
      </c>
      <c r="U3275" t="s">
        <v>52470</v>
      </c>
      <c r="V3275" t="s">
        <v>62982</v>
      </c>
      <c r="W3275" t="s">
        <v>44470</v>
      </c>
      <c r="X3275" t="s">
        <v>47430</v>
      </c>
    </row>
    <row r="3276" spans="1:24">
      <c r="A3276">
        <f>HYPERLINK("https://www.philgeps.gov.ph/GEPSNONPILOT/Tender/SplashBidNoticeAbstractUI.aspx?menuIndex=3&amp;refID=7163543&amp;Result=3","7163543")</f>
        <v>0</v>
      </c>
      <c r="B3276" t="s">
        <v>689</v>
      </c>
      <c r="C3276" t="s">
        <v>7028</v>
      </c>
      <c r="E3276" t="s">
        <v>22057</v>
      </c>
      <c r="F3276" t="s">
        <v>32831</v>
      </c>
      <c r="G3276" t="s">
        <v>32838</v>
      </c>
      <c r="H3276" t="s">
        <v>32848</v>
      </c>
      <c r="I3276" t="s">
        <v>32856</v>
      </c>
      <c r="J3276" t="s">
        <v>35143</v>
      </c>
      <c r="K3276" t="s">
        <v>42732</v>
      </c>
      <c r="M3276" t="s">
        <v>43708</v>
      </c>
      <c r="N3276" t="s">
        <v>47424</v>
      </c>
      <c r="O3276" t="s">
        <v>47425</v>
      </c>
      <c r="P3276">
        <v>0</v>
      </c>
      <c r="Q3276">
        <v>6</v>
      </c>
      <c r="R3276" t="s">
        <v>47428</v>
      </c>
      <c r="S3276" t="s">
        <v>47541</v>
      </c>
      <c r="T3276" t="s">
        <v>49096</v>
      </c>
      <c r="U3276" t="s">
        <v>52471</v>
      </c>
      <c r="V3276" t="s">
        <v>62984</v>
      </c>
      <c r="W3276" t="s">
        <v>43708</v>
      </c>
      <c r="X3276" t="s">
        <v>47430</v>
      </c>
    </row>
    <row r="3277" spans="1:24">
      <c r="A3277">
        <f>HYPERLINK("https://www.philgeps.gov.ph/GEPSNONPILOT/Tender/SplashBidNoticeAbstractUI.aspx?menuIndex=3&amp;refID=7163480&amp;Result=3","7163480")</f>
        <v>0</v>
      </c>
      <c r="B3277" t="s">
        <v>1404</v>
      </c>
      <c r="C3277" t="s">
        <v>7029</v>
      </c>
      <c r="D3277" t="s">
        <v>19054</v>
      </c>
      <c r="E3277" t="s">
        <v>22058</v>
      </c>
      <c r="F3277" t="s">
        <v>32831</v>
      </c>
      <c r="G3277" t="s">
        <v>32840</v>
      </c>
      <c r="H3277" t="s">
        <v>32848</v>
      </c>
      <c r="I3277" t="s">
        <v>32857</v>
      </c>
      <c r="J3277" t="s">
        <v>35144</v>
      </c>
      <c r="K3277" t="s">
        <v>42760</v>
      </c>
      <c r="M3277" t="s">
        <v>44489</v>
      </c>
      <c r="N3277" t="s">
        <v>47424</v>
      </c>
      <c r="O3277" t="s">
        <v>47425</v>
      </c>
      <c r="P3277">
        <v>0</v>
      </c>
      <c r="Q3277">
        <v>1</v>
      </c>
      <c r="R3277" t="s">
        <v>47428</v>
      </c>
      <c r="S3277" t="s">
        <v>47541</v>
      </c>
      <c r="T3277" t="s">
        <v>49198</v>
      </c>
      <c r="U3277" t="s">
        <v>52472</v>
      </c>
      <c r="W3277" t="s">
        <v>44489</v>
      </c>
      <c r="X3277" t="s">
        <v>47430</v>
      </c>
    </row>
    <row r="3278" spans="1:24">
      <c r="A3278">
        <f>HYPERLINK("https://www.philgeps.gov.ph/GEPSNONPILOT/Tender/SplashBidNoticeAbstractUI.aspx?menuIndex=3&amp;refID=7163542&amp;Result=3","7163542")</f>
        <v>0</v>
      </c>
      <c r="B3278" t="s">
        <v>1404</v>
      </c>
      <c r="C3278" t="s">
        <v>7030</v>
      </c>
      <c r="D3278" t="s">
        <v>19054</v>
      </c>
      <c r="E3278" t="s">
        <v>22059</v>
      </c>
      <c r="F3278" t="s">
        <v>32831</v>
      </c>
      <c r="G3278" t="s">
        <v>32840</v>
      </c>
      <c r="H3278" t="s">
        <v>32848</v>
      </c>
      <c r="I3278" t="s">
        <v>4340</v>
      </c>
      <c r="J3278" t="s">
        <v>34310</v>
      </c>
      <c r="K3278" t="s">
        <v>42760</v>
      </c>
      <c r="M3278" t="s">
        <v>44489</v>
      </c>
      <c r="N3278" t="s">
        <v>47424</v>
      </c>
      <c r="O3278" t="s">
        <v>47425</v>
      </c>
      <c r="P3278">
        <v>0</v>
      </c>
      <c r="Q3278">
        <v>0</v>
      </c>
      <c r="R3278" t="s">
        <v>47428</v>
      </c>
      <c r="S3278" t="s">
        <v>47541</v>
      </c>
      <c r="T3278" t="s">
        <v>49198</v>
      </c>
      <c r="U3278" t="s">
        <v>52472</v>
      </c>
      <c r="W3278" t="s">
        <v>44489</v>
      </c>
      <c r="X3278" t="s">
        <v>47430</v>
      </c>
    </row>
    <row r="3279" spans="1:24">
      <c r="A3279">
        <f>HYPERLINK("https://www.philgeps.gov.ph/GEPSNONPILOT/Tender/SplashBidNoticeAbstractUI.aspx?menuIndex=3&amp;refID=7163540&amp;Result=3","7163540")</f>
        <v>0</v>
      </c>
      <c r="B3279" t="s">
        <v>731</v>
      </c>
      <c r="C3279" t="s">
        <v>7031</v>
      </c>
      <c r="D3279" t="s">
        <v>19086</v>
      </c>
      <c r="E3279" t="s">
        <v>22060</v>
      </c>
      <c r="F3279" t="s">
        <v>32831</v>
      </c>
      <c r="G3279" t="s">
        <v>32840</v>
      </c>
      <c r="H3279" t="s">
        <v>32848</v>
      </c>
      <c r="I3279" t="s">
        <v>10805</v>
      </c>
      <c r="J3279" t="s">
        <v>33942</v>
      </c>
      <c r="K3279" t="s">
        <v>42726</v>
      </c>
      <c r="M3279" t="s">
        <v>44490</v>
      </c>
      <c r="N3279" t="s">
        <v>47424</v>
      </c>
      <c r="O3279" t="s">
        <v>47425</v>
      </c>
      <c r="P3279">
        <v>0</v>
      </c>
      <c r="Q3279">
        <v>0</v>
      </c>
      <c r="R3279" t="s">
        <v>47428</v>
      </c>
      <c r="S3279" t="s">
        <v>47541</v>
      </c>
      <c r="T3279" t="s">
        <v>49237</v>
      </c>
      <c r="U3279" t="s">
        <v>52473</v>
      </c>
      <c r="W3279" t="s">
        <v>44490</v>
      </c>
      <c r="X3279" t="s">
        <v>47430</v>
      </c>
    </row>
    <row r="3280" spans="1:24">
      <c r="A3280">
        <f>HYPERLINK("https://www.philgeps.gov.ph/GEPSNONPILOT/Tender/SplashBidNoticeAbstractUI.aspx?menuIndex=3&amp;refID=7163538&amp;Result=3","7163538")</f>
        <v>0</v>
      </c>
      <c r="B3280" t="s">
        <v>1405</v>
      </c>
      <c r="C3280" t="s">
        <v>7032</v>
      </c>
      <c r="D3280" t="s">
        <v>19051</v>
      </c>
      <c r="E3280" t="s">
        <v>22061</v>
      </c>
      <c r="F3280" t="s">
        <v>32831</v>
      </c>
      <c r="G3280" t="s">
        <v>32838</v>
      </c>
      <c r="H3280" t="s">
        <v>32848</v>
      </c>
      <c r="I3280" t="s">
        <v>4446</v>
      </c>
      <c r="J3280" t="s">
        <v>35145</v>
      </c>
      <c r="K3280" t="s">
        <v>42732</v>
      </c>
      <c r="M3280" t="s">
        <v>44491</v>
      </c>
      <c r="N3280" t="s">
        <v>47424</v>
      </c>
      <c r="O3280" t="s">
        <v>47425</v>
      </c>
      <c r="P3280">
        <v>0</v>
      </c>
      <c r="Q3280">
        <v>1</v>
      </c>
      <c r="R3280" t="s">
        <v>47428</v>
      </c>
      <c r="S3280" t="s">
        <v>47541</v>
      </c>
      <c r="T3280" t="s">
        <v>49089</v>
      </c>
      <c r="U3280" t="s">
        <v>52474</v>
      </c>
      <c r="W3280" t="s">
        <v>44491</v>
      </c>
      <c r="X3280" t="s">
        <v>47430</v>
      </c>
    </row>
    <row r="3281" spans="1:24">
      <c r="A3281">
        <f>HYPERLINK("https://www.philgeps.gov.ph/GEPSNONPILOT/Tender/SplashBidNoticeAbstractUI.aspx?menuIndex=3&amp;refID=7163580&amp;Result=3","7163580")</f>
        <v>0</v>
      </c>
      <c r="B3281" t="s">
        <v>1406</v>
      </c>
      <c r="C3281" t="s">
        <v>4142</v>
      </c>
      <c r="D3281" t="s">
        <v>19034</v>
      </c>
      <c r="E3281" t="s">
        <v>22062</v>
      </c>
      <c r="F3281" t="s">
        <v>32831</v>
      </c>
      <c r="G3281" t="s">
        <v>32839</v>
      </c>
      <c r="H3281" t="s">
        <v>32848</v>
      </c>
      <c r="I3281" t="s">
        <v>32857</v>
      </c>
      <c r="J3281" t="s">
        <v>35146</v>
      </c>
      <c r="K3281" t="s">
        <v>42727</v>
      </c>
      <c r="M3281" t="s">
        <v>44492</v>
      </c>
      <c r="N3281" t="s">
        <v>47424</v>
      </c>
      <c r="O3281" t="s">
        <v>47425</v>
      </c>
      <c r="P3281">
        <v>0</v>
      </c>
      <c r="Q3281">
        <v>0</v>
      </c>
      <c r="R3281" t="s">
        <v>47428</v>
      </c>
      <c r="S3281" t="s">
        <v>47541</v>
      </c>
      <c r="T3281" t="s">
        <v>49339</v>
      </c>
      <c r="U3281" t="s">
        <v>52475</v>
      </c>
      <c r="W3281" t="s">
        <v>44492</v>
      </c>
      <c r="X3281" t="s">
        <v>47430</v>
      </c>
    </row>
    <row r="3282" spans="1:24">
      <c r="A3282">
        <f>HYPERLINK("https://www.philgeps.gov.ph/GEPSNONPILOT/Tender/SplashBidNoticeAbstractUI.aspx?menuIndex=3&amp;refID=7163579&amp;Result=3","7163579")</f>
        <v>0</v>
      </c>
      <c r="B3282" t="s">
        <v>1391</v>
      </c>
      <c r="C3282" t="s">
        <v>7033</v>
      </c>
      <c r="D3282" t="s">
        <v>19080</v>
      </c>
      <c r="E3282" t="s">
        <v>22063</v>
      </c>
      <c r="F3282" t="s">
        <v>32831</v>
      </c>
      <c r="G3282" t="s">
        <v>32839</v>
      </c>
      <c r="H3282" t="s">
        <v>32850</v>
      </c>
      <c r="I3282" t="s">
        <v>7416</v>
      </c>
      <c r="J3282" t="s">
        <v>35147</v>
      </c>
      <c r="K3282" t="s">
        <v>42747</v>
      </c>
      <c r="M3282" t="s">
        <v>44476</v>
      </c>
      <c r="N3282" t="s">
        <v>47424</v>
      </c>
      <c r="O3282" t="s">
        <v>47425</v>
      </c>
      <c r="P3282">
        <v>0</v>
      </c>
      <c r="Q3282">
        <v>0</v>
      </c>
      <c r="R3282" t="s">
        <v>47428</v>
      </c>
      <c r="S3282" t="s">
        <v>47541</v>
      </c>
      <c r="T3282" t="s">
        <v>49073</v>
      </c>
      <c r="U3282" t="s">
        <v>52476</v>
      </c>
      <c r="W3282" t="s">
        <v>44476</v>
      </c>
      <c r="X3282" t="s">
        <v>47430</v>
      </c>
    </row>
    <row r="3283" spans="1:24">
      <c r="A3283">
        <f>HYPERLINK("https://www.philgeps.gov.ph/GEPSNONPILOT/Tender/SplashBidNoticeAbstractUI.aspx?menuIndex=3&amp;refID=7163576&amp;Result=3","7163576")</f>
        <v>0</v>
      </c>
      <c r="B3283" t="s">
        <v>1407</v>
      </c>
      <c r="C3283" t="s">
        <v>7034</v>
      </c>
      <c r="D3283" t="s">
        <v>19023</v>
      </c>
      <c r="E3283" t="s">
        <v>22064</v>
      </c>
      <c r="F3283" t="s">
        <v>32831</v>
      </c>
      <c r="G3283" t="s">
        <v>32838</v>
      </c>
      <c r="H3283" t="s">
        <v>32849</v>
      </c>
      <c r="I3283" t="s">
        <v>4177</v>
      </c>
      <c r="J3283" t="s">
        <v>35148</v>
      </c>
      <c r="K3283" t="s">
        <v>42748</v>
      </c>
      <c r="M3283" t="s">
        <v>44493</v>
      </c>
      <c r="N3283" t="s">
        <v>47424</v>
      </c>
      <c r="O3283" t="s">
        <v>47425</v>
      </c>
      <c r="P3283">
        <v>0</v>
      </c>
      <c r="Q3283">
        <v>1</v>
      </c>
      <c r="R3283" t="s">
        <v>47428</v>
      </c>
      <c r="S3283" t="s">
        <v>47541</v>
      </c>
      <c r="T3283" t="s">
        <v>49237</v>
      </c>
      <c r="U3283" t="s">
        <v>52477</v>
      </c>
      <c r="W3283" t="s">
        <v>44493</v>
      </c>
      <c r="X3283" t="s">
        <v>47430</v>
      </c>
    </row>
    <row r="3284" spans="1:24">
      <c r="A3284">
        <f>HYPERLINK("https://www.philgeps.gov.ph/GEPSNONPILOT/Tender/SplashBidNoticeAbstractUI.aspx?menuIndex=3&amp;refID=7163546&amp;Result=3","7163546")</f>
        <v>0</v>
      </c>
      <c r="B3284" t="s">
        <v>1408</v>
      </c>
      <c r="C3284" t="s">
        <v>7035</v>
      </c>
      <c r="D3284" t="s">
        <v>19079</v>
      </c>
      <c r="E3284" t="s">
        <v>22065</v>
      </c>
      <c r="F3284" t="s">
        <v>32831</v>
      </c>
      <c r="G3284" t="s">
        <v>32839</v>
      </c>
      <c r="H3284" t="s">
        <v>32848</v>
      </c>
      <c r="I3284" t="s">
        <v>32860</v>
      </c>
      <c r="J3284" t="s">
        <v>35149</v>
      </c>
      <c r="K3284" t="s">
        <v>42726</v>
      </c>
      <c r="L3284" t="s">
        <v>1408</v>
      </c>
      <c r="M3284" t="s">
        <v>44494</v>
      </c>
      <c r="N3284" t="s">
        <v>47424</v>
      </c>
      <c r="O3284" t="s">
        <v>47425</v>
      </c>
      <c r="P3284">
        <v>0</v>
      </c>
      <c r="Q3284">
        <v>1</v>
      </c>
      <c r="R3284" t="s">
        <v>47428</v>
      </c>
      <c r="S3284" t="s">
        <v>47541</v>
      </c>
      <c r="T3284" t="s">
        <v>49154</v>
      </c>
      <c r="U3284" t="s">
        <v>52478</v>
      </c>
      <c r="V3284" t="s">
        <v>62987</v>
      </c>
      <c r="W3284" t="s">
        <v>44494</v>
      </c>
      <c r="X3284" t="s">
        <v>47430</v>
      </c>
    </row>
    <row r="3285" spans="1:24">
      <c r="A3285">
        <f>HYPERLINK("https://www.philgeps.gov.ph/GEPSNONPILOT/Tender/SplashBidNoticeAbstractUI.aspx?menuIndex=3&amp;refID=7163575&amp;Result=3","7163575")</f>
        <v>0</v>
      </c>
      <c r="B3285" t="s">
        <v>1382</v>
      </c>
      <c r="C3285" t="s">
        <v>7036</v>
      </c>
      <c r="D3285" t="s">
        <v>19021</v>
      </c>
      <c r="E3285" t="s">
        <v>22066</v>
      </c>
      <c r="F3285" t="s">
        <v>32831</v>
      </c>
      <c r="G3285" t="s">
        <v>32842</v>
      </c>
      <c r="H3285" t="s">
        <v>32848</v>
      </c>
      <c r="I3285" t="s">
        <v>32860</v>
      </c>
      <c r="J3285" t="s">
        <v>35150</v>
      </c>
      <c r="K3285" t="s">
        <v>42726</v>
      </c>
      <c r="M3285" t="s">
        <v>44466</v>
      </c>
      <c r="N3285" t="s">
        <v>47424</v>
      </c>
      <c r="O3285" t="s">
        <v>47425</v>
      </c>
      <c r="P3285">
        <v>0</v>
      </c>
      <c r="Q3285">
        <v>0</v>
      </c>
      <c r="R3285" t="s">
        <v>47428</v>
      </c>
      <c r="S3285" t="s">
        <v>47541</v>
      </c>
      <c r="T3285" t="s">
        <v>49111</v>
      </c>
      <c r="U3285" t="s">
        <v>52479</v>
      </c>
      <c r="V3285" t="s">
        <v>62980</v>
      </c>
      <c r="W3285" t="s">
        <v>44466</v>
      </c>
      <c r="X3285" t="s">
        <v>47430</v>
      </c>
    </row>
    <row r="3286" spans="1:24">
      <c r="A3286">
        <f>HYPERLINK("https://www.philgeps.gov.ph/GEPSNONPILOT/Tender/SplashBidNoticeAbstractUI.aspx?menuIndex=3&amp;refID=7163522&amp;Result=3","7163522")</f>
        <v>0</v>
      </c>
      <c r="B3286" t="s">
        <v>1386</v>
      </c>
      <c r="C3286" t="s">
        <v>7037</v>
      </c>
      <c r="D3286" t="s">
        <v>19017</v>
      </c>
      <c r="E3286" t="s">
        <v>22067</v>
      </c>
      <c r="F3286" t="s">
        <v>32831</v>
      </c>
      <c r="G3286" t="s">
        <v>32838</v>
      </c>
      <c r="H3286" t="s">
        <v>32848</v>
      </c>
      <c r="I3286" t="s">
        <v>4435</v>
      </c>
      <c r="J3286" t="s">
        <v>34534</v>
      </c>
      <c r="K3286" t="s">
        <v>42726</v>
      </c>
      <c r="M3286" t="s">
        <v>44495</v>
      </c>
      <c r="N3286" t="s">
        <v>47424</v>
      </c>
      <c r="O3286" t="s">
        <v>47425</v>
      </c>
      <c r="P3286">
        <v>0</v>
      </c>
      <c r="Q3286">
        <v>3</v>
      </c>
      <c r="R3286" t="s">
        <v>47428</v>
      </c>
      <c r="S3286" t="s">
        <v>47541</v>
      </c>
      <c r="T3286" t="s">
        <v>49237</v>
      </c>
      <c r="U3286" t="s">
        <v>52480</v>
      </c>
      <c r="W3286" t="s">
        <v>44495</v>
      </c>
      <c r="X3286" t="s">
        <v>47430</v>
      </c>
    </row>
    <row r="3287" spans="1:24">
      <c r="A3287">
        <f>HYPERLINK("https://www.philgeps.gov.ph/GEPSNONPILOT/Tender/SplashBidNoticeAbstractUI.aspx?menuIndex=3&amp;refID=7163572&amp;Result=3","7163572")</f>
        <v>0</v>
      </c>
      <c r="B3287" t="s">
        <v>1385</v>
      </c>
      <c r="C3287" t="s">
        <v>7038</v>
      </c>
      <c r="D3287" t="s">
        <v>19060</v>
      </c>
      <c r="E3287" t="s">
        <v>22068</v>
      </c>
      <c r="F3287" t="s">
        <v>32831</v>
      </c>
      <c r="G3287" t="s">
        <v>32838</v>
      </c>
      <c r="H3287" t="s">
        <v>32850</v>
      </c>
      <c r="I3287" t="s">
        <v>32879</v>
      </c>
      <c r="J3287" t="s">
        <v>33072</v>
      </c>
      <c r="K3287" t="s">
        <v>42730</v>
      </c>
      <c r="M3287" t="s">
        <v>44470</v>
      </c>
      <c r="N3287" t="s">
        <v>47424</v>
      </c>
      <c r="O3287" t="s">
        <v>47425</v>
      </c>
      <c r="P3287">
        <v>0</v>
      </c>
      <c r="Q3287">
        <v>3</v>
      </c>
      <c r="R3287" t="s">
        <v>47428</v>
      </c>
      <c r="S3287" t="s">
        <v>47541</v>
      </c>
      <c r="T3287" t="s">
        <v>49129</v>
      </c>
      <c r="U3287" t="s">
        <v>52481</v>
      </c>
      <c r="V3287" t="s">
        <v>62982</v>
      </c>
      <c r="W3287" t="s">
        <v>44470</v>
      </c>
      <c r="X3287" t="s">
        <v>47430</v>
      </c>
    </row>
    <row r="3288" spans="1:24">
      <c r="A3288">
        <f>HYPERLINK("https://www.philgeps.gov.ph/GEPSNONPILOT/Tender/SplashBidNoticeAbstractUI.aspx?menuIndex=3&amp;refID=7163569&amp;Result=3","7163569")</f>
        <v>0</v>
      </c>
      <c r="B3288" t="s">
        <v>280</v>
      </c>
      <c r="C3288" t="s">
        <v>7039</v>
      </c>
      <c r="D3288" t="s">
        <v>19044</v>
      </c>
      <c r="E3288" t="s">
        <v>22069</v>
      </c>
      <c r="F3288" t="s">
        <v>32831</v>
      </c>
      <c r="G3288" t="s">
        <v>32839</v>
      </c>
      <c r="H3288" t="s">
        <v>32849</v>
      </c>
      <c r="I3288" t="s">
        <v>4177</v>
      </c>
      <c r="J3288" t="s">
        <v>33044</v>
      </c>
      <c r="K3288" t="s">
        <v>42730</v>
      </c>
      <c r="M3288" t="s">
        <v>43279</v>
      </c>
      <c r="N3288" t="s">
        <v>47424</v>
      </c>
      <c r="O3288" t="s">
        <v>47425</v>
      </c>
      <c r="P3288">
        <v>0</v>
      </c>
      <c r="Q3288">
        <v>0</v>
      </c>
      <c r="R3288" t="s">
        <v>47428</v>
      </c>
      <c r="S3288" t="s">
        <v>47541</v>
      </c>
      <c r="T3288" t="s">
        <v>49068</v>
      </c>
      <c r="U3288" t="s">
        <v>50199</v>
      </c>
      <c r="W3288" t="s">
        <v>43279</v>
      </c>
      <c r="X3288" t="s">
        <v>47430</v>
      </c>
    </row>
    <row r="3289" spans="1:24">
      <c r="A3289">
        <f>HYPERLINK("https://www.philgeps.gov.ph/GEPSNONPILOT/Tender/SplashBidNoticeAbstractUI.aspx?menuIndex=3&amp;refID=7163547&amp;Result=3","7163547")</f>
        <v>0</v>
      </c>
      <c r="B3289" t="s">
        <v>1409</v>
      </c>
      <c r="C3289" t="s">
        <v>7040</v>
      </c>
      <c r="D3289" t="s">
        <v>19026</v>
      </c>
      <c r="E3289" t="s">
        <v>7040</v>
      </c>
      <c r="F3289" t="s">
        <v>32831</v>
      </c>
      <c r="G3289" t="s">
        <v>32840</v>
      </c>
      <c r="H3289" t="s">
        <v>32848</v>
      </c>
      <c r="I3289" t="s">
        <v>9577</v>
      </c>
      <c r="J3289" t="s">
        <v>34405</v>
      </c>
      <c r="K3289" t="s">
        <v>42748</v>
      </c>
      <c r="M3289" t="s">
        <v>44496</v>
      </c>
      <c r="N3289" t="s">
        <v>47424</v>
      </c>
      <c r="O3289" t="s">
        <v>47425</v>
      </c>
      <c r="P3289">
        <v>0</v>
      </c>
      <c r="Q3289">
        <v>0</v>
      </c>
      <c r="R3289" t="s">
        <v>47428</v>
      </c>
      <c r="S3289" t="s">
        <v>47541</v>
      </c>
      <c r="T3289" t="s">
        <v>49239</v>
      </c>
      <c r="U3289" t="s">
        <v>52482</v>
      </c>
      <c r="W3289" t="s">
        <v>44496</v>
      </c>
      <c r="X3289" t="s">
        <v>47430</v>
      </c>
    </row>
    <row r="3290" spans="1:24">
      <c r="A3290">
        <f>HYPERLINK("https://www.philgeps.gov.ph/GEPSNONPILOT/Tender/SplashBidNoticeAbstractUI.aspx?menuIndex=3&amp;refID=7163567&amp;Result=3","7163567")</f>
        <v>0</v>
      </c>
      <c r="B3290" t="s">
        <v>1410</v>
      </c>
      <c r="C3290" t="s">
        <v>7041</v>
      </c>
      <c r="D3290" t="s">
        <v>19056</v>
      </c>
      <c r="E3290" t="s">
        <v>22070</v>
      </c>
      <c r="F3290" t="s">
        <v>32831</v>
      </c>
      <c r="G3290" t="s">
        <v>32841</v>
      </c>
      <c r="H3290" t="s">
        <v>32848</v>
      </c>
      <c r="I3290" t="s">
        <v>4558</v>
      </c>
      <c r="J3290" t="s">
        <v>35151</v>
      </c>
      <c r="K3290" t="s">
        <v>42750</v>
      </c>
      <c r="M3290" t="s">
        <v>44497</v>
      </c>
      <c r="N3290" t="s">
        <v>47424</v>
      </c>
      <c r="O3290" t="s">
        <v>47425</v>
      </c>
      <c r="P3290">
        <v>0</v>
      </c>
      <c r="Q3290">
        <v>4</v>
      </c>
      <c r="R3290" t="s">
        <v>47428</v>
      </c>
      <c r="S3290" t="s">
        <v>47541</v>
      </c>
      <c r="T3290" t="s">
        <v>49104</v>
      </c>
      <c r="U3290" t="s">
        <v>52483</v>
      </c>
      <c r="W3290" t="s">
        <v>44497</v>
      </c>
      <c r="X3290" t="s">
        <v>47430</v>
      </c>
    </row>
    <row r="3291" spans="1:24">
      <c r="A3291">
        <f>HYPERLINK("https://www.philgeps.gov.ph/GEPSNONPILOT/Tender/SplashBidNoticeAbstractUI.aspx?menuIndex=3&amp;refID=7163574&amp;Result=3","7163574")</f>
        <v>0</v>
      </c>
      <c r="B3291" t="s">
        <v>689</v>
      </c>
      <c r="C3291" t="s">
        <v>7042</v>
      </c>
      <c r="E3291" t="s">
        <v>22071</v>
      </c>
      <c r="F3291" t="s">
        <v>32831</v>
      </c>
      <c r="G3291" t="s">
        <v>32838</v>
      </c>
      <c r="H3291" t="s">
        <v>32848</v>
      </c>
      <c r="I3291" t="s">
        <v>4776</v>
      </c>
      <c r="J3291" t="s">
        <v>35152</v>
      </c>
      <c r="K3291" t="s">
        <v>42732</v>
      </c>
      <c r="M3291" t="s">
        <v>43708</v>
      </c>
      <c r="N3291" t="s">
        <v>47424</v>
      </c>
      <c r="O3291" t="s">
        <v>47425</v>
      </c>
      <c r="P3291">
        <v>0</v>
      </c>
      <c r="Q3291">
        <v>3</v>
      </c>
      <c r="R3291" t="s">
        <v>47428</v>
      </c>
      <c r="S3291" t="s">
        <v>47541</v>
      </c>
      <c r="T3291" t="s">
        <v>49096</v>
      </c>
      <c r="U3291" t="s">
        <v>52484</v>
      </c>
      <c r="V3291" t="s">
        <v>62984</v>
      </c>
      <c r="W3291" t="s">
        <v>43708</v>
      </c>
      <c r="X3291" t="s">
        <v>47430</v>
      </c>
    </row>
    <row r="3292" spans="1:24">
      <c r="A3292">
        <f>HYPERLINK("https://www.philgeps.gov.ph/GEPSNONPILOT/Tender/SplashBidNoticeAbstractUI.aspx?menuIndex=3&amp;refID=7163570&amp;Result=3","7163570")</f>
        <v>0</v>
      </c>
      <c r="B3292" t="s">
        <v>1411</v>
      </c>
      <c r="C3292" t="s">
        <v>7043</v>
      </c>
      <c r="D3292" t="s">
        <v>19079</v>
      </c>
      <c r="E3292" t="s">
        <v>22072</v>
      </c>
      <c r="F3292" t="s">
        <v>32831</v>
      </c>
      <c r="G3292" t="s">
        <v>32839</v>
      </c>
      <c r="H3292" t="s">
        <v>32848</v>
      </c>
      <c r="I3292" t="s">
        <v>5379</v>
      </c>
      <c r="J3292" t="s">
        <v>33111</v>
      </c>
      <c r="K3292" t="s">
        <v>42835</v>
      </c>
      <c r="M3292" t="s">
        <v>44498</v>
      </c>
      <c r="N3292" t="s">
        <v>47424</v>
      </c>
      <c r="O3292" t="s">
        <v>47425</v>
      </c>
      <c r="P3292">
        <v>0</v>
      </c>
      <c r="Q3292">
        <v>0</v>
      </c>
      <c r="R3292" t="s">
        <v>47428</v>
      </c>
      <c r="S3292" t="s">
        <v>47541</v>
      </c>
      <c r="T3292" t="s">
        <v>49340</v>
      </c>
      <c r="U3292" t="s">
        <v>52485</v>
      </c>
      <c r="W3292" t="s">
        <v>44498</v>
      </c>
      <c r="X3292" t="s">
        <v>47430</v>
      </c>
    </row>
    <row r="3293" spans="1:24">
      <c r="A3293">
        <f>HYPERLINK("https://www.philgeps.gov.ph/GEPSNONPILOT/Tender/SplashBidNoticeAbstractUI.aspx?menuIndex=3&amp;refID=7163610&amp;Result=3","7163610")</f>
        <v>0</v>
      </c>
      <c r="B3293" t="s">
        <v>1412</v>
      </c>
      <c r="C3293" t="s">
        <v>7044</v>
      </c>
      <c r="D3293" t="s">
        <v>19077</v>
      </c>
      <c r="E3293" t="s">
        <v>22073</v>
      </c>
      <c r="F3293" t="s">
        <v>32831</v>
      </c>
      <c r="G3293" t="s">
        <v>32839</v>
      </c>
      <c r="H3293" t="s">
        <v>32848</v>
      </c>
      <c r="I3293" t="s">
        <v>7416</v>
      </c>
      <c r="J3293" t="s">
        <v>32983</v>
      </c>
      <c r="K3293" t="s">
        <v>42727</v>
      </c>
      <c r="M3293" t="s">
        <v>44499</v>
      </c>
      <c r="N3293" t="s">
        <v>47424</v>
      </c>
      <c r="O3293" t="s">
        <v>47425</v>
      </c>
      <c r="P3293">
        <v>0</v>
      </c>
      <c r="Q3293">
        <v>1</v>
      </c>
      <c r="R3293" t="s">
        <v>47428</v>
      </c>
      <c r="S3293" t="s">
        <v>47541</v>
      </c>
      <c r="T3293" t="s">
        <v>49066</v>
      </c>
      <c r="U3293" t="s">
        <v>52486</v>
      </c>
      <c r="W3293" t="s">
        <v>44499</v>
      </c>
      <c r="X3293" t="s">
        <v>47430</v>
      </c>
    </row>
    <row r="3294" spans="1:24">
      <c r="A3294">
        <f>HYPERLINK("https://www.philgeps.gov.ph/GEPSNONPILOT/Tender/SplashBidNoticeAbstractUI.aspx?menuIndex=3&amp;refID=7163609&amp;Result=3","7163609")</f>
        <v>0</v>
      </c>
      <c r="B3294" t="s">
        <v>1213</v>
      </c>
      <c r="C3294" t="s">
        <v>7045</v>
      </c>
      <c r="D3294" t="s">
        <v>19027</v>
      </c>
      <c r="E3294" t="s">
        <v>22074</v>
      </c>
      <c r="F3294" t="s">
        <v>32831</v>
      </c>
      <c r="G3294" t="s">
        <v>32842</v>
      </c>
      <c r="H3294" t="s">
        <v>32848</v>
      </c>
      <c r="I3294" t="s">
        <v>32860</v>
      </c>
      <c r="J3294" t="s">
        <v>35153</v>
      </c>
      <c r="K3294" t="s">
        <v>42758</v>
      </c>
      <c r="M3294" t="s">
        <v>44281</v>
      </c>
      <c r="N3294" t="s">
        <v>47424</v>
      </c>
      <c r="O3294" t="s">
        <v>47425</v>
      </c>
      <c r="P3294">
        <v>0</v>
      </c>
      <c r="Q3294">
        <v>2</v>
      </c>
      <c r="R3294" t="s">
        <v>47428</v>
      </c>
      <c r="S3294" t="s">
        <v>47541</v>
      </c>
      <c r="T3294" t="s">
        <v>49213</v>
      </c>
      <c r="U3294" t="s">
        <v>52487</v>
      </c>
      <c r="V3294" t="s">
        <v>62988</v>
      </c>
      <c r="W3294" t="s">
        <v>44281</v>
      </c>
      <c r="X3294" t="s">
        <v>47430</v>
      </c>
    </row>
    <row r="3295" spans="1:24">
      <c r="A3295">
        <f>HYPERLINK("https://www.philgeps.gov.ph/GEPSNONPILOT/Tender/SplashBidNoticeAbstractUI.aspx?menuIndex=3&amp;refID=7163607&amp;Result=3","7163607")</f>
        <v>0</v>
      </c>
      <c r="B3295" t="s">
        <v>934</v>
      </c>
      <c r="C3295" t="s">
        <v>7046</v>
      </c>
      <c r="D3295" t="s">
        <v>19048</v>
      </c>
      <c r="E3295" t="s">
        <v>21514</v>
      </c>
      <c r="F3295" t="s">
        <v>32831</v>
      </c>
      <c r="G3295" t="s">
        <v>32838</v>
      </c>
      <c r="H3295" t="s">
        <v>32848</v>
      </c>
      <c r="I3295" t="s">
        <v>32860</v>
      </c>
      <c r="J3295" t="s">
        <v>35154</v>
      </c>
      <c r="K3295" t="s">
        <v>42730</v>
      </c>
      <c r="M3295" t="s">
        <v>43976</v>
      </c>
      <c r="N3295" t="s">
        <v>47424</v>
      </c>
      <c r="O3295" t="s">
        <v>47425</v>
      </c>
      <c r="P3295">
        <v>0</v>
      </c>
      <c r="Q3295">
        <v>0</v>
      </c>
      <c r="R3295" t="s">
        <v>47428</v>
      </c>
      <c r="S3295" t="s">
        <v>47541</v>
      </c>
      <c r="T3295" t="s">
        <v>49079</v>
      </c>
      <c r="U3295" t="s">
        <v>51423</v>
      </c>
      <c r="W3295" t="s">
        <v>43976</v>
      </c>
      <c r="X3295" t="s">
        <v>47430</v>
      </c>
    </row>
    <row r="3296" spans="1:24">
      <c r="A3296">
        <f>HYPERLINK("https://www.philgeps.gov.ph/GEPSNONPILOT/Tender/SplashBidNoticeAbstractUI.aspx?menuIndex=3&amp;refID=7163606&amp;Result=3","7163606")</f>
        <v>0</v>
      </c>
      <c r="B3296" t="s">
        <v>1398</v>
      </c>
      <c r="C3296" t="s">
        <v>7047</v>
      </c>
      <c r="E3296" t="s">
        <v>22075</v>
      </c>
      <c r="F3296" t="s">
        <v>32831</v>
      </c>
      <c r="G3296" t="s">
        <v>32840</v>
      </c>
      <c r="H3296" t="s">
        <v>32848</v>
      </c>
      <c r="I3296" t="s">
        <v>32857</v>
      </c>
      <c r="J3296" t="s">
        <v>35155</v>
      </c>
      <c r="K3296" t="s">
        <v>42732</v>
      </c>
      <c r="M3296" t="s">
        <v>44483</v>
      </c>
      <c r="N3296" t="s">
        <v>47424</v>
      </c>
      <c r="O3296" t="s">
        <v>47425</v>
      </c>
      <c r="P3296">
        <v>0</v>
      </c>
      <c r="Q3296">
        <v>4</v>
      </c>
      <c r="R3296" t="s">
        <v>47428</v>
      </c>
      <c r="S3296" t="s">
        <v>47541</v>
      </c>
      <c r="T3296" t="s">
        <v>49111</v>
      </c>
      <c r="U3296" t="s">
        <v>52452</v>
      </c>
      <c r="W3296" t="s">
        <v>44483</v>
      </c>
      <c r="X3296" t="s">
        <v>47430</v>
      </c>
    </row>
    <row r="3297" spans="1:24">
      <c r="A3297">
        <f>HYPERLINK("https://www.philgeps.gov.ph/GEPSNONPILOT/Tender/SplashBidNoticeAbstractUI.aspx?menuIndex=3&amp;refID=7163577&amp;Result=3","7163577")</f>
        <v>0</v>
      </c>
      <c r="B3297" t="s">
        <v>1410</v>
      </c>
      <c r="C3297" t="s">
        <v>7048</v>
      </c>
      <c r="D3297" t="s">
        <v>19056</v>
      </c>
      <c r="E3297" t="s">
        <v>22076</v>
      </c>
      <c r="F3297" t="s">
        <v>32831</v>
      </c>
      <c r="G3297" t="s">
        <v>32841</v>
      </c>
      <c r="H3297" t="s">
        <v>32848</v>
      </c>
      <c r="I3297" t="s">
        <v>7416</v>
      </c>
      <c r="J3297" t="s">
        <v>35156</v>
      </c>
      <c r="K3297" t="s">
        <v>42740</v>
      </c>
      <c r="M3297" t="s">
        <v>44497</v>
      </c>
      <c r="N3297" t="s">
        <v>47424</v>
      </c>
      <c r="O3297" t="s">
        <v>47425</v>
      </c>
      <c r="P3297">
        <v>0</v>
      </c>
      <c r="Q3297">
        <v>1</v>
      </c>
      <c r="R3297" t="s">
        <v>47428</v>
      </c>
      <c r="S3297" t="s">
        <v>47541</v>
      </c>
      <c r="T3297" t="s">
        <v>49119</v>
      </c>
      <c r="U3297" t="s">
        <v>52488</v>
      </c>
      <c r="W3297" t="s">
        <v>44497</v>
      </c>
      <c r="X3297" t="s">
        <v>47430</v>
      </c>
    </row>
    <row r="3298" spans="1:24">
      <c r="A3298">
        <f>HYPERLINK("https://www.philgeps.gov.ph/GEPSNONPILOT/Tender/SplashBidNoticeAbstractUI.aspx?menuIndex=3&amp;refID=7163605&amp;Result=3","7163605")</f>
        <v>0</v>
      </c>
      <c r="B3298" t="s">
        <v>703</v>
      </c>
      <c r="C3298" t="s">
        <v>7049</v>
      </c>
      <c r="D3298" t="s">
        <v>19077</v>
      </c>
      <c r="E3298" t="s">
        <v>22077</v>
      </c>
      <c r="F3298" t="s">
        <v>32831</v>
      </c>
      <c r="G3298" t="s">
        <v>32839</v>
      </c>
      <c r="H3298" t="s">
        <v>32848</v>
      </c>
      <c r="I3298" t="s">
        <v>32925</v>
      </c>
      <c r="J3298" t="s">
        <v>35157</v>
      </c>
      <c r="K3298" t="s">
        <v>42763</v>
      </c>
      <c r="M3298" t="s">
        <v>44449</v>
      </c>
      <c r="N3298" t="s">
        <v>47424</v>
      </c>
      <c r="O3298" t="s">
        <v>47425</v>
      </c>
      <c r="P3298">
        <v>0</v>
      </c>
      <c r="Q3298">
        <v>4</v>
      </c>
      <c r="R3298" t="s">
        <v>47428</v>
      </c>
      <c r="S3298" t="s">
        <v>47541</v>
      </c>
      <c r="T3298" t="s">
        <v>49189</v>
      </c>
      <c r="U3298" t="s">
        <v>52371</v>
      </c>
      <c r="W3298" t="s">
        <v>44449</v>
      </c>
      <c r="X3298" t="s">
        <v>47430</v>
      </c>
    </row>
    <row r="3299" spans="1:24">
      <c r="A3299">
        <f>HYPERLINK("https://www.philgeps.gov.ph/GEPSNONPILOT/Tender/SplashBidNoticeAbstractUI.aspx?menuIndex=3&amp;refID=7163604&amp;Result=3","7163604")</f>
        <v>0</v>
      </c>
      <c r="B3299" t="s">
        <v>286</v>
      </c>
      <c r="C3299" t="s">
        <v>7050</v>
      </c>
      <c r="D3299" t="s">
        <v>19027</v>
      </c>
      <c r="E3299" t="s">
        <v>22078</v>
      </c>
      <c r="F3299" t="s">
        <v>32831</v>
      </c>
      <c r="G3299" t="s">
        <v>32838</v>
      </c>
      <c r="H3299" t="s">
        <v>32848</v>
      </c>
      <c r="I3299" t="s">
        <v>32866</v>
      </c>
      <c r="J3299" t="s">
        <v>33985</v>
      </c>
      <c r="K3299" t="s">
        <v>42759</v>
      </c>
      <c r="M3299" t="s">
        <v>44500</v>
      </c>
      <c r="N3299" t="s">
        <v>47424</v>
      </c>
      <c r="O3299" t="s">
        <v>47425</v>
      </c>
      <c r="P3299">
        <v>0</v>
      </c>
      <c r="Q3299">
        <v>0</v>
      </c>
      <c r="R3299" t="s">
        <v>47428</v>
      </c>
      <c r="S3299" t="s">
        <v>47541</v>
      </c>
      <c r="T3299" t="s">
        <v>49328</v>
      </c>
      <c r="U3299" t="s">
        <v>52489</v>
      </c>
      <c r="V3299" t="s">
        <v>62989</v>
      </c>
      <c r="W3299" t="s">
        <v>44500</v>
      </c>
      <c r="X3299" t="s">
        <v>47430</v>
      </c>
    </row>
    <row r="3300" spans="1:24">
      <c r="A3300">
        <f>HYPERLINK("https://www.philgeps.gov.ph/GEPSNONPILOT/Tender/SplashBidNoticeAbstractUI.aspx?menuIndex=3&amp;refID=7163565&amp;Result=3","7163565")</f>
        <v>0</v>
      </c>
      <c r="B3300" t="s">
        <v>1413</v>
      </c>
      <c r="C3300" t="s">
        <v>7051</v>
      </c>
      <c r="D3300" t="s">
        <v>19070</v>
      </c>
      <c r="E3300" t="s">
        <v>22079</v>
      </c>
      <c r="F3300" t="s">
        <v>32831</v>
      </c>
      <c r="G3300" t="s">
        <v>32838</v>
      </c>
      <c r="H3300" t="s">
        <v>32850</v>
      </c>
      <c r="I3300" t="s">
        <v>32953</v>
      </c>
      <c r="J3300" t="s">
        <v>33025</v>
      </c>
      <c r="K3300" t="s">
        <v>42730</v>
      </c>
      <c r="M3300" t="s">
        <v>44501</v>
      </c>
      <c r="N3300" t="s">
        <v>47424</v>
      </c>
      <c r="O3300" t="s">
        <v>47425</v>
      </c>
      <c r="P3300">
        <v>0</v>
      </c>
      <c r="Q3300">
        <v>3</v>
      </c>
      <c r="R3300" t="s">
        <v>47428</v>
      </c>
      <c r="S3300" t="s">
        <v>47541</v>
      </c>
      <c r="T3300" t="s">
        <v>49081</v>
      </c>
      <c r="U3300" t="s">
        <v>52490</v>
      </c>
      <c r="W3300" t="s">
        <v>44501</v>
      </c>
      <c r="X3300" t="s">
        <v>47430</v>
      </c>
    </row>
    <row r="3301" spans="1:24">
      <c r="A3301">
        <f>HYPERLINK("https://www.philgeps.gov.ph/GEPSNONPILOT/Tender/SplashBidNoticeAbstractUI.aspx?menuIndex=3&amp;refID=7163603&amp;Result=3","7163603")</f>
        <v>0</v>
      </c>
      <c r="B3301" t="s">
        <v>1414</v>
      </c>
      <c r="C3301" t="s">
        <v>7052</v>
      </c>
      <c r="D3301" t="s">
        <v>19030</v>
      </c>
      <c r="E3301" t="s">
        <v>22080</v>
      </c>
      <c r="F3301" t="s">
        <v>32831</v>
      </c>
      <c r="G3301" t="s">
        <v>32838</v>
      </c>
      <c r="H3301" t="s">
        <v>32848</v>
      </c>
      <c r="I3301" t="s">
        <v>6526</v>
      </c>
      <c r="J3301" t="s">
        <v>33600</v>
      </c>
      <c r="K3301" t="s">
        <v>42732</v>
      </c>
      <c r="M3301" t="s">
        <v>44502</v>
      </c>
      <c r="N3301" t="s">
        <v>47424</v>
      </c>
      <c r="O3301" t="s">
        <v>47425</v>
      </c>
      <c r="P3301">
        <v>0</v>
      </c>
      <c r="Q3301">
        <v>1</v>
      </c>
      <c r="R3301" t="s">
        <v>47428</v>
      </c>
      <c r="S3301" t="s">
        <v>47541</v>
      </c>
      <c r="T3301" t="s">
        <v>49255</v>
      </c>
      <c r="U3301" t="s">
        <v>52491</v>
      </c>
      <c r="W3301" t="s">
        <v>44502</v>
      </c>
      <c r="X3301" t="s">
        <v>47430</v>
      </c>
    </row>
    <row r="3302" spans="1:24">
      <c r="A3302">
        <f>HYPERLINK("https://www.philgeps.gov.ph/GEPSNONPILOT/Tender/SplashBidNoticeAbstractUI.aspx?menuIndex=3&amp;refID=7163598&amp;Result=3","7163598")</f>
        <v>0</v>
      </c>
      <c r="B3302" t="s">
        <v>1385</v>
      </c>
      <c r="C3302" t="s">
        <v>7053</v>
      </c>
      <c r="D3302" t="s">
        <v>19060</v>
      </c>
      <c r="E3302" t="s">
        <v>22081</v>
      </c>
      <c r="F3302" t="s">
        <v>32831</v>
      </c>
      <c r="G3302" t="s">
        <v>32840</v>
      </c>
      <c r="H3302" t="s">
        <v>32848</v>
      </c>
      <c r="I3302" t="s">
        <v>4303</v>
      </c>
      <c r="J3302" t="s">
        <v>35158</v>
      </c>
      <c r="K3302" t="s">
        <v>42730</v>
      </c>
      <c r="M3302" t="s">
        <v>44470</v>
      </c>
      <c r="N3302" t="s">
        <v>47424</v>
      </c>
      <c r="O3302" t="s">
        <v>47425</v>
      </c>
      <c r="P3302">
        <v>0</v>
      </c>
      <c r="Q3302">
        <v>2</v>
      </c>
      <c r="R3302" t="s">
        <v>47428</v>
      </c>
      <c r="S3302" t="s">
        <v>47541</v>
      </c>
      <c r="T3302" t="s">
        <v>49129</v>
      </c>
      <c r="U3302" t="s">
        <v>52492</v>
      </c>
      <c r="V3302" t="s">
        <v>62982</v>
      </c>
      <c r="W3302" t="s">
        <v>44470</v>
      </c>
      <c r="X3302" t="s">
        <v>47430</v>
      </c>
    </row>
    <row r="3303" spans="1:24">
      <c r="A3303">
        <f>HYPERLINK("https://www.philgeps.gov.ph/GEPSNONPILOT/Tender/SplashBidNoticeAbstractUI.aspx?menuIndex=3&amp;refID=7163563&amp;Result=3","7163563")</f>
        <v>0</v>
      </c>
      <c r="B3303" t="s">
        <v>1409</v>
      </c>
      <c r="C3303" t="s">
        <v>7054</v>
      </c>
      <c r="D3303" t="s">
        <v>19026</v>
      </c>
      <c r="E3303" t="s">
        <v>7054</v>
      </c>
      <c r="F3303" t="s">
        <v>32831</v>
      </c>
      <c r="G3303" t="s">
        <v>32840</v>
      </c>
      <c r="H3303" t="s">
        <v>32848</v>
      </c>
      <c r="I3303" t="s">
        <v>32857</v>
      </c>
      <c r="J3303" t="s">
        <v>33077</v>
      </c>
      <c r="K3303" t="s">
        <v>42748</v>
      </c>
      <c r="M3303" t="s">
        <v>44496</v>
      </c>
      <c r="N3303" t="s">
        <v>47424</v>
      </c>
      <c r="O3303" t="s">
        <v>47425</v>
      </c>
      <c r="P3303">
        <v>0</v>
      </c>
      <c r="Q3303">
        <v>3</v>
      </c>
      <c r="R3303" t="s">
        <v>47428</v>
      </c>
      <c r="S3303" t="s">
        <v>47541</v>
      </c>
      <c r="T3303" t="s">
        <v>49239</v>
      </c>
      <c r="U3303" t="s">
        <v>52482</v>
      </c>
      <c r="W3303" t="s">
        <v>44496</v>
      </c>
      <c r="X3303" t="s">
        <v>47430</v>
      </c>
    </row>
    <row r="3304" spans="1:24">
      <c r="A3304">
        <f>HYPERLINK("https://www.philgeps.gov.ph/GEPSNONPILOT/Tender/SplashBidNoticeAbstractUI.aspx?menuIndex=3&amp;refID=7163599&amp;Result=3","7163599")</f>
        <v>0</v>
      </c>
      <c r="B3304" t="s">
        <v>217</v>
      </c>
      <c r="C3304" t="s">
        <v>7055</v>
      </c>
      <c r="D3304" t="s">
        <v>19037</v>
      </c>
      <c r="E3304" t="s">
        <v>22082</v>
      </c>
      <c r="F3304" t="s">
        <v>32831</v>
      </c>
      <c r="G3304" t="s">
        <v>32838</v>
      </c>
      <c r="H3304" t="s">
        <v>32848</v>
      </c>
      <c r="I3304" t="s">
        <v>7416</v>
      </c>
      <c r="J3304" t="s">
        <v>35159</v>
      </c>
      <c r="K3304" t="s">
        <v>42730</v>
      </c>
      <c r="M3304" t="s">
        <v>43392</v>
      </c>
      <c r="N3304" t="s">
        <v>47424</v>
      </c>
      <c r="O3304" t="s">
        <v>47425</v>
      </c>
      <c r="P3304">
        <v>0</v>
      </c>
      <c r="Q3304">
        <v>0</v>
      </c>
      <c r="R3304" t="s">
        <v>47428</v>
      </c>
      <c r="S3304" t="s">
        <v>47541</v>
      </c>
      <c r="T3304" t="s">
        <v>49239</v>
      </c>
      <c r="U3304" t="s">
        <v>52493</v>
      </c>
      <c r="W3304" t="s">
        <v>43392</v>
      </c>
      <c r="X3304" t="s">
        <v>47430</v>
      </c>
    </row>
    <row r="3305" spans="1:24">
      <c r="A3305">
        <f>HYPERLINK("https://www.philgeps.gov.ph/GEPSNONPILOT/Tender/SplashBidNoticeAbstractUI.aspx?menuIndex=3&amp;refID=7163552&amp;Result=3","7163552")</f>
        <v>0</v>
      </c>
      <c r="B3305" t="s">
        <v>1382</v>
      </c>
      <c r="C3305" t="s">
        <v>7056</v>
      </c>
      <c r="D3305" t="s">
        <v>19021</v>
      </c>
      <c r="E3305" t="s">
        <v>22083</v>
      </c>
      <c r="F3305" t="s">
        <v>32831</v>
      </c>
      <c r="G3305" t="s">
        <v>32842</v>
      </c>
      <c r="H3305" t="s">
        <v>32848</v>
      </c>
      <c r="I3305" t="s">
        <v>32860</v>
      </c>
      <c r="J3305" t="s">
        <v>35160</v>
      </c>
      <c r="K3305" t="s">
        <v>42726</v>
      </c>
      <c r="M3305" t="s">
        <v>44466</v>
      </c>
      <c r="N3305" t="s">
        <v>47424</v>
      </c>
      <c r="O3305" t="s">
        <v>47425</v>
      </c>
      <c r="P3305">
        <v>0</v>
      </c>
      <c r="Q3305">
        <v>0</v>
      </c>
      <c r="R3305" t="s">
        <v>47428</v>
      </c>
      <c r="S3305" t="s">
        <v>47541</v>
      </c>
      <c r="T3305" t="s">
        <v>49111</v>
      </c>
      <c r="U3305" t="s">
        <v>52494</v>
      </c>
      <c r="V3305" t="s">
        <v>62980</v>
      </c>
      <c r="W3305" t="s">
        <v>44466</v>
      </c>
      <c r="X3305" t="s">
        <v>47430</v>
      </c>
    </row>
    <row r="3306" spans="1:24">
      <c r="A3306">
        <f>HYPERLINK("https://www.philgeps.gov.ph/GEPSNONPILOT/Tender/SplashBidNoticeAbstractUI.aspx?menuIndex=3&amp;refID=7163645&amp;Result=3","7163645")</f>
        <v>0</v>
      </c>
      <c r="B3306" t="s">
        <v>1382</v>
      </c>
      <c r="C3306" t="s">
        <v>7057</v>
      </c>
      <c r="D3306" t="s">
        <v>19021</v>
      </c>
      <c r="E3306" t="s">
        <v>22084</v>
      </c>
      <c r="F3306" t="s">
        <v>32831</v>
      </c>
      <c r="G3306" t="s">
        <v>32838</v>
      </c>
      <c r="H3306" t="s">
        <v>32848</v>
      </c>
      <c r="I3306" t="s">
        <v>32952</v>
      </c>
      <c r="J3306" t="s">
        <v>33461</v>
      </c>
      <c r="K3306" t="s">
        <v>42732</v>
      </c>
      <c r="M3306" t="s">
        <v>44466</v>
      </c>
      <c r="N3306" t="s">
        <v>47424</v>
      </c>
      <c r="O3306" t="s">
        <v>47425</v>
      </c>
      <c r="P3306">
        <v>0</v>
      </c>
      <c r="Q3306">
        <v>1</v>
      </c>
      <c r="R3306" t="s">
        <v>47428</v>
      </c>
      <c r="S3306" t="s">
        <v>47541</v>
      </c>
      <c r="T3306" t="s">
        <v>49111</v>
      </c>
      <c r="U3306" t="s">
        <v>52495</v>
      </c>
      <c r="V3306" t="s">
        <v>62980</v>
      </c>
      <c r="W3306" t="s">
        <v>44466</v>
      </c>
      <c r="X3306" t="s">
        <v>47430</v>
      </c>
    </row>
    <row r="3307" spans="1:24">
      <c r="A3307">
        <f>HYPERLINK("https://www.philgeps.gov.ph/GEPSNONPILOT/Tender/SplashBidNoticeAbstractUI.aspx?menuIndex=3&amp;refID=7163644&amp;Result=3","7163644")</f>
        <v>0</v>
      </c>
      <c r="B3307" t="s">
        <v>1415</v>
      </c>
      <c r="C3307" t="s">
        <v>7058</v>
      </c>
      <c r="D3307" t="s">
        <v>19079</v>
      </c>
      <c r="E3307" t="s">
        <v>22085</v>
      </c>
      <c r="F3307" t="s">
        <v>32831</v>
      </c>
      <c r="G3307" t="s">
        <v>32838</v>
      </c>
      <c r="H3307" t="s">
        <v>32848</v>
      </c>
      <c r="I3307" t="s">
        <v>32855</v>
      </c>
      <c r="J3307" t="s">
        <v>35161</v>
      </c>
      <c r="K3307" t="s">
        <v>42726</v>
      </c>
      <c r="M3307" t="s">
        <v>44503</v>
      </c>
      <c r="N3307" t="s">
        <v>47424</v>
      </c>
      <c r="O3307" t="s">
        <v>47425</v>
      </c>
      <c r="P3307">
        <v>0</v>
      </c>
      <c r="Q3307">
        <v>3</v>
      </c>
      <c r="R3307" t="s">
        <v>47428</v>
      </c>
      <c r="S3307" t="s">
        <v>47541</v>
      </c>
      <c r="T3307" t="s">
        <v>49091</v>
      </c>
      <c r="U3307" t="s">
        <v>52496</v>
      </c>
      <c r="V3307" t="s">
        <v>62990</v>
      </c>
      <c r="W3307" t="s">
        <v>44503</v>
      </c>
      <c r="X3307" t="s">
        <v>47430</v>
      </c>
    </row>
    <row r="3308" spans="1:24">
      <c r="A3308">
        <f>HYPERLINK("https://www.philgeps.gov.ph/GEPSNONPILOT/Tender/SplashBidNoticeAbstractUI.aspx?menuIndex=3&amp;refID=7163643&amp;Result=3","7163643")</f>
        <v>0</v>
      </c>
      <c r="B3308" t="s">
        <v>1410</v>
      </c>
      <c r="C3308" t="s">
        <v>7059</v>
      </c>
      <c r="D3308" t="s">
        <v>19056</v>
      </c>
      <c r="E3308" t="s">
        <v>22086</v>
      </c>
      <c r="F3308" t="s">
        <v>32831</v>
      </c>
      <c r="G3308" t="s">
        <v>32839</v>
      </c>
      <c r="H3308" t="s">
        <v>32848</v>
      </c>
      <c r="I3308" t="s">
        <v>32860</v>
      </c>
      <c r="J3308" t="s">
        <v>35162</v>
      </c>
      <c r="K3308" t="s">
        <v>42750</v>
      </c>
      <c r="M3308" t="s">
        <v>44497</v>
      </c>
      <c r="N3308" t="s">
        <v>47424</v>
      </c>
      <c r="O3308" t="s">
        <v>47425</v>
      </c>
      <c r="P3308">
        <v>0</v>
      </c>
      <c r="Q3308">
        <v>0</v>
      </c>
      <c r="R3308" t="s">
        <v>47428</v>
      </c>
      <c r="S3308" t="s">
        <v>47541</v>
      </c>
      <c r="T3308" t="s">
        <v>49179</v>
      </c>
      <c r="U3308" t="s">
        <v>52497</v>
      </c>
      <c r="W3308" t="s">
        <v>44497</v>
      </c>
      <c r="X3308" t="s">
        <v>47430</v>
      </c>
    </row>
    <row r="3309" spans="1:24">
      <c r="A3309">
        <f>HYPERLINK("https://www.philgeps.gov.ph/GEPSNONPILOT/Tender/SplashBidNoticeAbstractUI.aspx?menuIndex=3&amp;refID=7163642&amp;Result=3","7163642")</f>
        <v>0</v>
      </c>
      <c r="B3309" t="s">
        <v>1295</v>
      </c>
      <c r="C3309" t="s">
        <v>7060</v>
      </c>
      <c r="D3309" t="s">
        <v>19054</v>
      </c>
      <c r="E3309" t="s">
        <v>22087</v>
      </c>
      <c r="F3309" t="s">
        <v>32831</v>
      </c>
      <c r="G3309" t="s">
        <v>32838</v>
      </c>
      <c r="H3309" t="s">
        <v>32848</v>
      </c>
      <c r="I3309" t="s">
        <v>4776</v>
      </c>
      <c r="J3309" t="s">
        <v>33961</v>
      </c>
      <c r="K3309" t="s">
        <v>42758</v>
      </c>
      <c r="M3309" t="s">
        <v>44365</v>
      </c>
      <c r="N3309" t="s">
        <v>47424</v>
      </c>
      <c r="O3309" t="s">
        <v>47425</v>
      </c>
      <c r="P3309">
        <v>0</v>
      </c>
      <c r="Q3309">
        <v>1</v>
      </c>
      <c r="R3309" t="s">
        <v>47428</v>
      </c>
      <c r="S3309" t="s">
        <v>47541</v>
      </c>
      <c r="T3309" t="s">
        <v>49214</v>
      </c>
      <c r="U3309" t="s">
        <v>52498</v>
      </c>
      <c r="W3309" t="s">
        <v>44365</v>
      </c>
      <c r="X3309" t="s">
        <v>47430</v>
      </c>
    </row>
    <row r="3310" spans="1:24">
      <c r="A3310">
        <f>HYPERLINK("https://www.philgeps.gov.ph/GEPSNONPILOT/Tender/SplashBidNoticeAbstractUI.aspx?menuIndex=3&amp;refID=7163463&amp;Result=3","7163463")</f>
        <v>0</v>
      </c>
      <c r="B3310" t="s">
        <v>1379</v>
      </c>
      <c r="C3310" t="s">
        <v>7061</v>
      </c>
      <c r="D3310" t="s">
        <v>19067</v>
      </c>
      <c r="E3310" t="s">
        <v>22088</v>
      </c>
      <c r="F3310" t="s">
        <v>32831</v>
      </c>
      <c r="G3310" t="s">
        <v>32839</v>
      </c>
      <c r="H3310" t="s">
        <v>32848</v>
      </c>
      <c r="I3310" t="s">
        <v>4471</v>
      </c>
      <c r="J3310" t="s">
        <v>35163</v>
      </c>
      <c r="K3310" t="s">
        <v>42730</v>
      </c>
      <c r="M3310" t="s">
        <v>44463</v>
      </c>
      <c r="N3310" t="s">
        <v>47424</v>
      </c>
      <c r="O3310" t="s">
        <v>47425</v>
      </c>
      <c r="P3310">
        <v>0</v>
      </c>
      <c r="Q3310">
        <v>1</v>
      </c>
      <c r="R3310" t="s">
        <v>47428</v>
      </c>
      <c r="S3310" t="s">
        <v>47541</v>
      </c>
      <c r="T3310" t="s">
        <v>49336</v>
      </c>
      <c r="U3310" t="s">
        <v>52499</v>
      </c>
      <c r="W3310" t="s">
        <v>44463</v>
      </c>
      <c r="X3310" t="s">
        <v>47430</v>
      </c>
    </row>
    <row r="3311" spans="1:24">
      <c r="A3311">
        <f>HYPERLINK("https://www.philgeps.gov.ph/GEPSNONPILOT/Tender/SplashBidNoticeAbstractUI.aspx?menuIndex=3&amp;refID=7163593&amp;Result=3","7163593")</f>
        <v>0</v>
      </c>
      <c r="B3311" t="s">
        <v>1295</v>
      </c>
      <c r="C3311" t="s">
        <v>7062</v>
      </c>
      <c r="D3311" t="s">
        <v>19054</v>
      </c>
      <c r="E3311" t="s">
        <v>22089</v>
      </c>
      <c r="F3311" t="s">
        <v>32831</v>
      </c>
      <c r="G3311" t="s">
        <v>32839</v>
      </c>
      <c r="H3311" t="s">
        <v>32848</v>
      </c>
      <c r="I3311" t="s">
        <v>32870</v>
      </c>
      <c r="J3311" t="s">
        <v>35164</v>
      </c>
      <c r="K3311" t="s">
        <v>42731</v>
      </c>
      <c r="M3311" t="s">
        <v>44365</v>
      </c>
      <c r="N3311" t="s">
        <v>47424</v>
      </c>
      <c r="O3311" t="s">
        <v>47425</v>
      </c>
      <c r="P3311">
        <v>0</v>
      </c>
      <c r="Q3311">
        <v>0</v>
      </c>
      <c r="R3311" t="s">
        <v>47428</v>
      </c>
      <c r="S3311" t="s">
        <v>47541</v>
      </c>
      <c r="T3311" t="s">
        <v>49188</v>
      </c>
      <c r="U3311" t="s">
        <v>52500</v>
      </c>
      <c r="W3311" t="s">
        <v>44365</v>
      </c>
      <c r="X3311" t="s">
        <v>47430</v>
      </c>
    </row>
    <row r="3312" spans="1:24">
      <c r="A3312">
        <f>HYPERLINK("https://www.philgeps.gov.ph/GEPSNONPILOT/Tender/SplashBidNoticeAbstractUI.aspx?menuIndex=3&amp;refID=7163635&amp;Result=3","7163635")</f>
        <v>0</v>
      </c>
      <c r="B3312" t="s">
        <v>703</v>
      </c>
      <c r="C3312" t="s">
        <v>7063</v>
      </c>
      <c r="D3312" t="s">
        <v>19077</v>
      </c>
      <c r="E3312" t="s">
        <v>22090</v>
      </c>
      <c r="F3312" t="s">
        <v>32831</v>
      </c>
      <c r="G3312" t="s">
        <v>32839</v>
      </c>
      <c r="H3312" t="s">
        <v>32848</v>
      </c>
      <c r="I3312" t="s">
        <v>32925</v>
      </c>
      <c r="J3312" t="s">
        <v>35165</v>
      </c>
      <c r="K3312" t="s">
        <v>42763</v>
      </c>
      <c r="M3312" t="s">
        <v>43722</v>
      </c>
      <c r="N3312" t="s">
        <v>47424</v>
      </c>
      <c r="O3312" t="s">
        <v>47425</v>
      </c>
      <c r="P3312">
        <v>0</v>
      </c>
      <c r="Q3312">
        <v>3</v>
      </c>
      <c r="R3312" t="s">
        <v>47428</v>
      </c>
      <c r="S3312" t="s">
        <v>47541</v>
      </c>
      <c r="T3312" t="s">
        <v>49189</v>
      </c>
      <c r="U3312" t="s">
        <v>50983</v>
      </c>
      <c r="W3312" t="s">
        <v>43722</v>
      </c>
      <c r="X3312" t="s">
        <v>47430</v>
      </c>
    </row>
    <row r="3313" spans="1:24">
      <c r="A3313">
        <f>HYPERLINK("https://www.philgeps.gov.ph/GEPSNONPILOT/Tender/SplashBidNoticeAbstractUI.aspx?menuIndex=3&amp;refID=7163597&amp;Result=3","7163597")</f>
        <v>0</v>
      </c>
      <c r="B3313" t="s">
        <v>674</v>
      </c>
      <c r="C3313" t="s">
        <v>7064</v>
      </c>
      <c r="D3313" t="s">
        <v>19058</v>
      </c>
      <c r="E3313" t="s">
        <v>22091</v>
      </c>
      <c r="F3313" t="s">
        <v>32831</v>
      </c>
      <c r="G3313" t="s">
        <v>32840</v>
      </c>
      <c r="H3313" t="s">
        <v>32848</v>
      </c>
      <c r="I3313" t="s">
        <v>9577</v>
      </c>
      <c r="J3313" t="s">
        <v>35166</v>
      </c>
      <c r="K3313" t="s">
        <v>42732</v>
      </c>
      <c r="M3313" t="s">
        <v>43693</v>
      </c>
      <c r="N3313" t="s">
        <v>47424</v>
      </c>
      <c r="O3313" t="s">
        <v>47425</v>
      </c>
      <c r="P3313">
        <v>0</v>
      </c>
      <c r="Q3313">
        <v>0</v>
      </c>
      <c r="R3313" t="s">
        <v>47428</v>
      </c>
      <c r="S3313" t="s">
        <v>47541</v>
      </c>
      <c r="T3313" t="s">
        <v>49237</v>
      </c>
      <c r="U3313" t="s">
        <v>52501</v>
      </c>
      <c r="W3313" t="s">
        <v>43693</v>
      </c>
      <c r="X3313" t="s">
        <v>47430</v>
      </c>
    </row>
    <row r="3314" spans="1:24">
      <c r="A3314">
        <f>HYPERLINK("https://www.philgeps.gov.ph/GEPSNONPILOT/Tender/SplashBidNoticeAbstractUI.aspx?menuIndex=3&amp;refID=7163638&amp;Result=3","7163638")</f>
        <v>0</v>
      </c>
      <c r="B3314" t="s">
        <v>1416</v>
      </c>
      <c r="C3314" t="s">
        <v>5410</v>
      </c>
      <c r="D3314" t="s">
        <v>19046</v>
      </c>
      <c r="E3314" t="s">
        <v>19203</v>
      </c>
      <c r="F3314" t="s">
        <v>32831</v>
      </c>
      <c r="G3314" t="s">
        <v>32839</v>
      </c>
      <c r="H3314" t="s">
        <v>32848</v>
      </c>
      <c r="I3314" t="s">
        <v>7416</v>
      </c>
      <c r="J3314" t="s">
        <v>35167</v>
      </c>
      <c r="K3314" t="s">
        <v>42748</v>
      </c>
      <c r="M3314" t="s">
        <v>44504</v>
      </c>
      <c r="N3314" t="s">
        <v>47424</v>
      </c>
      <c r="O3314" t="s">
        <v>47425</v>
      </c>
      <c r="P3314">
        <v>0</v>
      </c>
      <c r="Q3314">
        <v>1</v>
      </c>
      <c r="R3314" t="s">
        <v>47428</v>
      </c>
      <c r="S3314" t="s">
        <v>47541</v>
      </c>
      <c r="T3314" t="s">
        <v>49073</v>
      </c>
      <c r="U3314" t="s">
        <v>52502</v>
      </c>
      <c r="V3314" t="s">
        <v>62991</v>
      </c>
      <c r="W3314" t="s">
        <v>44504</v>
      </c>
      <c r="X3314" t="s">
        <v>47430</v>
      </c>
    </row>
    <row r="3315" spans="1:24">
      <c r="A3315">
        <f>HYPERLINK("https://www.philgeps.gov.ph/GEPSNONPILOT/Tender/SplashBidNoticeAbstractUI.aspx?menuIndex=3&amp;refID=7163631&amp;Result=3","7163631")</f>
        <v>0</v>
      </c>
      <c r="B3315" t="s">
        <v>1410</v>
      </c>
      <c r="C3315" t="s">
        <v>5029</v>
      </c>
      <c r="D3315" t="s">
        <v>19056</v>
      </c>
      <c r="E3315" t="s">
        <v>22092</v>
      </c>
      <c r="F3315" t="s">
        <v>32831</v>
      </c>
      <c r="G3315" t="s">
        <v>32839</v>
      </c>
      <c r="H3315" t="s">
        <v>32848</v>
      </c>
      <c r="I3315" t="s">
        <v>9577</v>
      </c>
      <c r="J3315" t="s">
        <v>35168</v>
      </c>
      <c r="K3315" t="s">
        <v>42750</v>
      </c>
      <c r="M3315" t="s">
        <v>44497</v>
      </c>
      <c r="N3315" t="s">
        <v>47424</v>
      </c>
      <c r="O3315" t="s">
        <v>47425</v>
      </c>
      <c r="P3315">
        <v>0</v>
      </c>
      <c r="Q3315">
        <v>1</v>
      </c>
      <c r="R3315" t="s">
        <v>47428</v>
      </c>
      <c r="S3315" t="s">
        <v>47541</v>
      </c>
      <c r="T3315" t="s">
        <v>49179</v>
      </c>
      <c r="U3315" t="s">
        <v>52503</v>
      </c>
      <c r="W3315" t="s">
        <v>44497</v>
      </c>
      <c r="X3315" t="s">
        <v>47430</v>
      </c>
    </row>
    <row r="3316" spans="1:24">
      <c r="A3316">
        <f>HYPERLINK("https://www.philgeps.gov.ph/GEPSNONPILOT/Tender/SplashBidNoticeAbstractUI.aspx?menuIndex=3&amp;refID=7163634&amp;Result=3","7163634")</f>
        <v>0</v>
      </c>
      <c r="B3316" t="s">
        <v>674</v>
      </c>
      <c r="C3316" t="s">
        <v>7065</v>
      </c>
      <c r="D3316" t="s">
        <v>19058</v>
      </c>
      <c r="E3316" t="s">
        <v>22093</v>
      </c>
      <c r="F3316" t="s">
        <v>32831</v>
      </c>
      <c r="G3316" t="s">
        <v>32838</v>
      </c>
      <c r="H3316" t="s">
        <v>32848</v>
      </c>
      <c r="I3316" t="s">
        <v>32870</v>
      </c>
      <c r="J3316" t="s">
        <v>35040</v>
      </c>
      <c r="K3316" t="s">
        <v>42732</v>
      </c>
      <c r="M3316" t="s">
        <v>43693</v>
      </c>
      <c r="N3316" t="s">
        <v>47424</v>
      </c>
      <c r="O3316" t="s">
        <v>47425</v>
      </c>
      <c r="P3316">
        <v>0</v>
      </c>
      <c r="Q3316">
        <v>0</v>
      </c>
      <c r="R3316" t="s">
        <v>47428</v>
      </c>
      <c r="S3316" t="s">
        <v>47541</v>
      </c>
      <c r="T3316" t="s">
        <v>49237</v>
      </c>
      <c r="U3316" t="s">
        <v>52504</v>
      </c>
      <c r="W3316" t="s">
        <v>43693</v>
      </c>
      <c r="X3316" t="s">
        <v>47430</v>
      </c>
    </row>
    <row r="3317" spans="1:24">
      <c r="A3317">
        <f>HYPERLINK("https://www.philgeps.gov.ph/GEPSNONPILOT/Tender/SplashBidNoticeAbstractUI.aspx?menuIndex=3&amp;refID=7163627&amp;Result=3","7163627")</f>
        <v>0</v>
      </c>
      <c r="B3317" t="s">
        <v>911</v>
      </c>
      <c r="C3317" t="s">
        <v>7066</v>
      </c>
      <c r="D3317" t="s">
        <v>19049</v>
      </c>
      <c r="E3317" t="s">
        <v>22094</v>
      </c>
      <c r="F3317" t="s">
        <v>32831</v>
      </c>
      <c r="G3317" t="s">
        <v>32838</v>
      </c>
      <c r="H3317" t="s">
        <v>32848</v>
      </c>
      <c r="I3317" t="s">
        <v>5379</v>
      </c>
      <c r="J3317" t="s">
        <v>35169</v>
      </c>
      <c r="K3317" t="s">
        <v>42727</v>
      </c>
      <c r="M3317" t="s">
        <v>43951</v>
      </c>
      <c r="N3317" t="s">
        <v>47424</v>
      </c>
      <c r="O3317" t="s">
        <v>47425</v>
      </c>
      <c r="P3317">
        <v>0</v>
      </c>
      <c r="Q3317">
        <v>0</v>
      </c>
      <c r="R3317" t="s">
        <v>47428</v>
      </c>
      <c r="S3317" t="s">
        <v>47541</v>
      </c>
      <c r="T3317" t="s">
        <v>49214</v>
      </c>
      <c r="U3317" t="s">
        <v>51540</v>
      </c>
      <c r="W3317" t="s">
        <v>43951</v>
      </c>
      <c r="X3317" t="s">
        <v>47430</v>
      </c>
    </row>
    <row r="3318" spans="1:24">
      <c r="A3318">
        <f>HYPERLINK("https://www.philgeps.gov.ph/GEPSNONPILOT/Tender/SplashBidNoticeAbstractUI.aspx?menuIndex=3&amp;refID=7163623&amp;Result=3","7163623")</f>
        <v>0</v>
      </c>
      <c r="B3318" t="s">
        <v>1385</v>
      </c>
      <c r="C3318" t="s">
        <v>7067</v>
      </c>
      <c r="D3318" t="s">
        <v>19060</v>
      </c>
      <c r="E3318" t="s">
        <v>22095</v>
      </c>
      <c r="F3318" t="s">
        <v>32831</v>
      </c>
      <c r="G3318" t="s">
        <v>32840</v>
      </c>
      <c r="H3318" t="s">
        <v>32848</v>
      </c>
      <c r="I3318" t="s">
        <v>4303</v>
      </c>
      <c r="J3318" t="s">
        <v>35170</v>
      </c>
      <c r="K3318" t="s">
        <v>42730</v>
      </c>
      <c r="M3318" t="s">
        <v>44470</v>
      </c>
      <c r="N3318" t="s">
        <v>47424</v>
      </c>
      <c r="O3318" t="s">
        <v>47425</v>
      </c>
      <c r="P3318">
        <v>0</v>
      </c>
      <c r="Q3318">
        <v>2</v>
      </c>
      <c r="R3318" t="s">
        <v>47428</v>
      </c>
      <c r="S3318" t="s">
        <v>47541</v>
      </c>
      <c r="T3318" t="s">
        <v>49129</v>
      </c>
      <c r="U3318" t="s">
        <v>52505</v>
      </c>
      <c r="V3318" t="s">
        <v>62982</v>
      </c>
      <c r="W3318" t="s">
        <v>44470</v>
      </c>
      <c r="X3318" t="s">
        <v>47430</v>
      </c>
    </row>
    <row r="3319" spans="1:24">
      <c r="A3319">
        <f>HYPERLINK("https://www.philgeps.gov.ph/GEPSNONPILOT/Tender/SplashBidNoticeAbstractUI.aspx?menuIndex=3&amp;refID=7163620&amp;Result=3","7163620")</f>
        <v>0</v>
      </c>
      <c r="B3319" t="s">
        <v>1382</v>
      </c>
      <c r="C3319" t="s">
        <v>7068</v>
      </c>
      <c r="D3319" t="s">
        <v>19021</v>
      </c>
      <c r="E3319" t="s">
        <v>22096</v>
      </c>
      <c r="F3319" t="s">
        <v>32831</v>
      </c>
      <c r="G3319" t="s">
        <v>32838</v>
      </c>
      <c r="H3319" t="s">
        <v>32848</v>
      </c>
      <c r="I3319" t="s">
        <v>5379</v>
      </c>
      <c r="J3319" t="s">
        <v>33162</v>
      </c>
      <c r="K3319" t="s">
        <v>42758</v>
      </c>
      <c r="M3319" t="s">
        <v>44466</v>
      </c>
      <c r="N3319" t="s">
        <v>47424</v>
      </c>
      <c r="O3319" t="s">
        <v>47425</v>
      </c>
      <c r="P3319">
        <v>0</v>
      </c>
      <c r="Q3319">
        <v>2</v>
      </c>
      <c r="R3319" t="s">
        <v>47428</v>
      </c>
      <c r="S3319" t="s">
        <v>47541</v>
      </c>
      <c r="T3319" t="s">
        <v>49111</v>
      </c>
      <c r="U3319" t="s">
        <v>52506</v>
      </c>
      <c r="V3319" t="s">
        <v>62980</v>
      </c>
      <c r="W3319" t="s">
        <v>44466</v>
      </c>
      <c r="X3319" t="s">
        <v>47430</v>
      </c>
    </row>
    <row r="3320" spans="1:24">
      <c r="A3320">
        <f>HYPERLINK("https://www.philgeps.gov.ph/GEPSNONPILOT/Tender/SplashBidNoticeAbstractUI.aspx?menuIndex=3&amp;refID=7163632&amp;Result=3","7163632")</f>
        <v>0</v>
      </c>
      <c r="B3320" t="s">
        <v>1417</v>
      </c>
      <c r="C3320" t="s">
        <v>7069</v>
      </c>
      <c r="D3320" t="s">
        <v>19047</v>
      </c>
      <c r="E3320" t="s">
        <v>22097</v>
      </c>
      <c r="F3320" t="s">
        <v>32831</v>
      </c>
      <c r="G3320" t="s">
        <v>32838</v>
      </c>
      <c r="H3320" t="s">
        <v>32848</v>
      </c>
      <c r="I3320" t="s">
        <v>32874</v>
      </c>
      <c r="J3320" t="s">
        <v>33078</v>
      </c>
      <c r="K3320" t="s">
        <v>42770</v>
      </c>
      <c r="M3320" t="s">
        <v>44505</v>
      </c>
      <c r="N3320" t="s">
        <v>47424</v>
      </c>
      <c r="O3320" t="s">
        <v>47425</v>
      </c>
      <c r="P3320">
        <v>0</v>
      </c>
      <c r="Q3320">
        <v>19</v>
      </c>
      <c r="R3320" t="s">
        <v>47428</v>
      </c>
      <c r="S3320" t="s">
        <v>47541</v>
      </c>
      <c r="T3320" t="s">
        <v>49341</v>
      </c>
      <c r="U3320" t="s">
        <v>52507</v>
      </c>
      <c r="V3320" t="s">
        <v>62992</v>
      </c>
      <c r="W3320" t="s">
        <v>44505</v>
      </c>
      <c r="X3320" t="s">
        <v>47430</v>
      </c>
    </row>
    <row r="3321" spans="1:24">
      <c r="A3321">
        <f>HYPERLINK("https://www.philgeps.gov.ph/GEPSNONPILOT/Tender/SplashBidNoticeAbstractUI.aspx?menuIndex=3&amp;refID=7163637&amp;Result=3","7163637")</f>
        <v>0</v>
      </c>
      <c r="B3321" t="s">
        <v>1394</v>
      </c>
      <c r="C3321" t="s">
        <v>7070</v>
      </c>
      <c r="D3321" t="s">
        <v>19063</v>
      </c>
      <c r="E3321" t="s">
        <v>22098</v>
      </c>
      <c r="F3321" t="s">
        <v>32834</v>
      </c>
      <c r="G3321" t="s">
        <v>32840</v>
      </c>
      <c r="H3321" t="s">
        <v>32849</v>
      </c>
      <c r="I3321" t="s">
        <v>32862</v>
      </c>
      <c r="J3321" t="s">
        <v>35171</v>
      </c>
      <c r="K3321" t="s">
        <v>42727</v>
      </c>
      <c r="M3321" t="s">
        <v>44479</v>
      </c>
      <c r="N3321" t="s">
        <v>47424</v>
      </c>
      <c r="O3321" t="s">
        <v>47425</v>
      </c>
      <c r="P3321">
        <v>0</v>
      </c>
      <c r="Q3321">
        <v>0</v>
      </c>
      <c r="R3321" t="s">
        <v>47428</v>
      </c>
      <c r="S3321" t="s">
        <v>47541</v>
      </c>
      <c r="T3321" t="s">
        <v>49119</v>
      </c>
      <c r="U3321" t="s">
        <v>52508</v>
      </c>
      <c r="W3321" t="s">
        <v>44479</v>
      </c>
      <c r="X3321" t="s">
        <v>47430</v>
      </c>
    </row>
    <row r="3322" spans="1:24">
      <c r="A3322">
        <f>HYPERLINK("https://www.philgeps.gov.ph/GEPSNONPILOT/Tender/SplashBidNoticeAbstractUI.aspx?menuIndex=3&amp;refID=7163680&amp;Result=3","7163680")</f>
        <v>0</v>
      </c>
      <c r="B3322" t="s">
        <v>1418</v>
      </c>
      <c r="C3322" t="s">
        <v>7071</v>
      </c>
      <c r="D3322" t="s">
        <v>19034</v>
      </c>
      <c r="E3322" t="s">
        <v>22099</v>
      </c>
      <c r="F3322" t="s">
        <v>32831</v>
      </c>
      <c r="G3322" t="s">
        <v>32838</v>
      </c>
      <c r="H3322" t="s">
        <v>32848</v>
      </c>
      <c r="I3322" t="s">
        <v>4438</v>
      </c>
      <c r="J3322" t="s">
        <v>35172</v>
      </c>
      <c r="K3322" t="s">
        <v>42730</v>
      </c>
      <c r="M3322" t="s">
        <v>44506</v>
      </c>
      <c r="N3322" t="s">
        <v>47424</v>
      </c>
      <c r="O3322" t="s">
        <v>47425</v>
      </c>
      <c r="P3322">
        <v>0</v>
      </c>
      <c r="Q3322">
        <v>0</v>
      </c>
      <c r="R3322" t="s">
        <v>47428</v>
      </c>
      <c r="S3322" t="s">
        <v>47541</v>
      </c>
      <c r="T3322" t="s">
        <v>49150</v>
      </c>
      <c r="U3322" t="s">
        <v>52509</v>
      </c>
      <c r="W3322" t="s">
        <v>44506</v>
      </c>
      <c r="X3322" t="s">
        <v>47430</v>
      </c>
    </row>
    <row r="3323" spans="1:24">
      <c r="A3323">
        <f>HYPERLINK("https://www.philgeps.gov.ph/GEPSNONPILOT/Tender/SplashBidNoticeAbstractUI.aspx?menuIndex=3&amp;refID=7163679&amp;Result=3","7163679")</f>
        <v>0</v>
      </c>
      <c r="B3323" t="s">
        <v>1419</v>
      </c>
      <c r="C3323" t="s">
        <v>7072</v>
      </c>
      <c r="D3323" t="s">
        <v>19038</v>
      </c>
      <c r="E3323" t="s">
        <v>22100</v>
      </c>
      <c r="F3323" t="s">
        <v>32831</v>
      </c>
      <c r="G3323" t="s">
        <v>32838</v>
      </c>
      <c r="H3323" t="s">
        <v>32848</v>
      </c>
      <c r="I3323" t="s">
        <v>9577</v>
      </c>
      <c r="J3323" t="s">
        <v>35173</v>
      </c>
      <c r="K3323" t="s">
        <v>42727</v>
      </c>
      <c r="M3323" t="s">
        <v>44507</v>
      </c>
      <c r="N3323" t="s">
        <v>47424</v>
      </c>
      <c r="O3323" t="s">
        <v>47425</v>
      </c>
      <c r="P3323">
        <v>0</v>
      </c>
      <c r="Q3323">
        <v>0</v>
      </c>
      <c r="R3323" t="s">
        <v>47428</v>
      </c>
      <c r="S3323" t="s">
        <v>47541</v>
      </c>
      <c r="T3323" t="s">
        <v>49214</v>
      </c>
      <c r="U3323" t="s">
        <v>52510</v>
      </c>
      <c r="W3323" t="s">
        <v>44507</v>
      </c>
      <c r="X3323" t="s">
        <v>47430</v>
      </c>
    </row>
    <row r="3324" spans="1:24">
      <c r="A3324">
        <f>HYPERLINK("https://www.philgeps.gov.ph/GEPSNONPILOT/Tender/SplashBidNoticeAbstractUI.aspx?menuIndex=3&amp;refID=7163636&amp;Result=3","7163636")</f>
        <v>0</v>
      </c>
      <c r="B3324" t="s">
        <v>1420</v>
      </c>
      <c r="C3324" t="s">
        <v>7073</v>
      </c>
      <c r="D3324" t="s">
        <v>19033</v>
      </c>
      <c r="E3324" t="s">
        <v>22101</v>
      </c>
      <c r="F3324" t="s">
        <v>32831</v>
      </c>
      <c r="G3324" t="s">
        <v>32839</v>
      </c>
      <c r="H3324" t="s">
        <v>32849</v>
      </c>
      <c r="I3324" t="s">
        <v>4177</v>
      </c>
      <c r="J3324" t="s">
        <v>35174</v>
      </c>
      <c r="K3324" t="s">
        <v>42747</v>
      </c>
      <c r="M3324" t="s">
        <v>44508</v>
      </c>
      <c r="N3324" t="s">
        <v>47424</v>
      </c>
      <c r="O3324" t="s">
        <v>47425</v>
      </c>
      <c r="P3324">
        <v>0</v>
      </c>
      <c r="Q3324">
        <v>2</v>
      </c>
      <c r="R3324" t="s">
        <v>47428</v>
      </c>
      <c r="S3324" t="s">
        <v>47541</v>
      </c>
      <c r="T3324" t="s">
        <v>49342</v>
      </c>
      <c r="U3324" t="s">
        <v>52511</v>
      </c>
      <c r="W3324" t="s">
        <v>64468</v>
      </c>
      <c r="X3324" t="s">
        <v>47430</v>
      </c>
    </row>
    <row r="3325" spans="1:24">
      <c r="A3325">
        <f>HYPERLINK("https://www.philgeps.gov.ph/GEPSNONPILOT/Tender/SplashBidNoticeAbstractUI.aspx?menuIndex=3&amp;refID=7163670&amp;Result=3","7163670")</f>
        <v>0</v>
      </c>
      <c r="B3325" t="s">
        <v>1421</v>
      </c>
      <c r="C3325" t="s">
        <v>7074</v>
      </c>
      <c r="D3325" t="s">
        <v>19078</v>
      </c>
      <c r="E3325" t="s">
        <v>22102</v>
      </c>
      <c r="F3325" t="s">
        <v>32831</v>
      </c>
      <c r="G3325" t="s">
        <v>32839</v>
      </c>
      <c r="H3325" t="s">
        <v>32848</v>
      </c>
      <c r="I3325" t="s">
        <v>11727</v>
      </c>
      <c r="J3325" t="s">
        <v>35175</v>
      </c>
      <c r="K3325" t="s">
        <v>42763</v>
      </c>
      <c r="M3325" t="s">
        <v>44509</v>
      </c>
      <c r="N3325" t="s">
        <v>47424</v>
      </c>
      <c r="O3325" t="s">
        <v>47425</v>
      </c>
      <c r="P3325">
        <v>0</v>
      </c>
      <c r="Q3325">
        <v>2</v>
      </c>
      <c r="R3325" t="s">
        <v>47428</v>
      </c>
      <c r="S3325" t="s">
        <v>47541</v>
      </c>
      <c r="T3325" t="s">
        <v>49343</v>
      </c>
      <c r="U3325" t="s">
        <v>52512</v>
      </c>
      <c r="W3325" t="s">
        <v>44509</v>
      </c>
      <c r="X3325" t="s">
        <v>47430</v>
      </c>
    </row>
    <row r="3326" spans="1:24">
      <c r="A3326">
        <f>HYPERLINK("https://www.philgeps.gov.ph/GEPSNONPILOT/Tender/SplashBidNoticeAbstractUI.aspx?menuIndex=3&amp;refID=7163628&amp;Result=3","7163628")</f>
        <v>0</v>
      </c>
      <c r="B3326" t="s">
        <v>60</v>
      </c>
      <c r="C3326" t="s">
        <v>7075</v>
      </c>
      <c r="D3326" t="s">
        <v>19042</v>
      </c>
      <c r="E3326" t="s">
        <v>22103</v>
      </c>
      <c r="F3326" t="s">
        <v>32831</v>
      </c>
      <c r="G3326" t="s">
        <v>32838</v>
      </c>
      <c r="H3326" t="s">
        <v>32848</v>
      </c>
      <c r="I3326" t="s">
        <v>32864</v>
      </c>
      <c r="J3326" t="s">
        <v>33433</v>
      </c>
      <c r="K3326" t="s">
        <v>42726</v>
      </c>
      <c r="M3326" t="s">
        <v>44510</v>
      </c>
      <c r="N3326" t="s">
        <v>47424</v>
      </c>
      <c r="O3326" t="s">
        <v>47425</v>
      </c>
      <c r="P3326">
        <v>0</v>
      </c>
      <c r="Q3326">
        <v>0</v>
      </c>
      <c r="R3326" t="s">
        <v>47428</v>
      </c>
      <c r="S3326" t="s">
        <v>47541</v>
      </c>
      <c r="T3326" t="s">
        <v>49237</v>
      </c>
      <c r="U3326" t="s">
        <v>52513</v>
      </c>
      <c r="W3326" t="s">
        <v>44510</v>
      </c>
      <c r="X3326" t="s">
        <v>47430</v>
      </c>
    </row>
    <row r="3327" spans="1:24">
      <c r="A3327">
        <f>HYPERLINK("https://www.philgeps.gov.ph/GEPSNONPILOT/Tender/SplashBidNoticeAbstractUI.aspx?menuIndex=3&amp;refID=7163668&amp;Result=3","7163668")</f>
        <v>0</v>
      </c>
      <c r="B3327" t="s">
        <v>1385</v>
      </c>
      <c r="C3327" t="s">
        <v>7076</v>
      </c>
      <c r="D3327" t="s">
        <v>19060</v>
      </c>
      <c r="E3327" t="s">
        <v>22104</v>
      </c>
      <c r="F3327" t="s">
        <v>32831</v>
      </c>
      <c r="G3327" t="s">
        <v>32838</v>
      </c>
      <c r="H3327" t="s">
        <v>32848</v>
      </c>
      <c r="I3327" t="s">
        <v>4438</v>
      </c>
      <c r="J3327" t="s">
        <v>35176</v>
      </c>
      <c r="K3327" t="s">
        <v>42730</v>
      </c>
      <c r="M3327" t="s">
        <v>44470</v>
      </c>
      <c r="N3327" t="s">
        <v>47424</v>
      </c>
      <c r="O3327" t="s">
        <v>47425</v>
      </c>
      <c r="P3327">
        <v>0</v>
      </c>
      <c r="Q3327">
        <v>3</v>
      </c>
      <c r="R3327" t="s">
        <v>47428</v>
      </c>
      <c r="S3327" t="s">
        <v>47541</v>
      </c>
      <c r="T3327" t="s">
        <v>49129</v>
      </c>
      <c r="U3327" t="s">
        <v>52514</v>
      </c>
      <c r="V3327" t="s">
        <v>62982</v>
      </c>
      <c r="W3327" t="s">
        <v>44470</v>
      </c>
      <c r="X3327" t="s">
        <v>47430</v>
      </c>
    </row>
    <row r="3328" spans="1:24">
      <c r="A3328">
        <f>HYPERLINK("https://www.philgeps.gov.ph/GEPSNONPILOT/Tender/SplashBidNoticeAbstractUI.aspx?menuIndex=3&amp;refID=7163662&amp;Result=3","7163662")</f>
        <v>0</v>
      </c>
      <c r="B3328" t="s">
        <v>674</v>
      </c>
      <c r="C3328" t="s">
        <v>7077</v>
      </c>
      <c r="D3328" t="s">
        <v>19058</v>
      </c>
      <c r="E3328" t="s">
        <v>22105</v>
      </c>
      <c r="F3328" t="s">
        <v>32831</v>
      </c>
      <c r="G3328" t="s">
        <v>32838</v>
      </c>
      <c r="H3328" t="s">
        <v>32848</v>
      </c>
      <c r="I3328" t="s">
        <v>32870</v>
      </c>
      <c r="J3328" t="s">
        <v>35177</v>
      </c>
      <c r="K3328" t="s">
        <v>42732</v>
      </c>
      <c r="M3328" t="s">
        <v>43693</v>
      </c>
      <c r="N3328" t="s">
        <v>47424</v>
      </c>
      <c r="O3328" t="s">
        <v>47425</v>
      </c>
      <c r="P3328">
        <v>0</v>
      </c>
      <c r="Q3328">
        <v>0</v>
      </c>
      <c r="R3328" t="s">
        <v>47428</v>
      </c>
      <c r="S3328" t="s">
        <v>47541</v>
      </c>
      <c r="T3328" t="s">
        <v>49237</v>
      </c>
      <c r="U3328" t="s">
        <v>52322</v>
      </c>
      <c r="W3328" t="s">
        <v>43693</v>
      </c>
      <c r="X3328" t="s">
        <v>47430</v>
      </c>
    </row>
    <row r="3329" spans="1:24">
      <c r="A3329">
        <f>HYPERLINK("https://www.philgeps.gov.ph/GEPSNONPILOT/Tender/SplashBidNoticeAbstractUI.aspx?menuIndex=3&amp;refID=7163661&amp;Result=3","7163661")</f>
        <v>0</v>
      </c>
      <c r="B3329" t="s">
        <v>1413</v>
      </c>
      <c r="C3329" t="s">
        <v>7078</v>
      </c>
      <c r="D3329" t="s">
        <v>19070</v>
      </c>
      <c r="E3329" t="s">
        <v>22106</v>
      </c>
      <c r="F3329" t="s">
        <v>32831</v>
      </c>
      <c r="G3329" t="s">
        <v>32838</v>
      </c>
      <c r="H3329" t="s">
        <v>32850</v>
      </c>
      <c r="I3329" t="s">
        <v>32909</v>
      </c>
      <c r="J3329" t="s">
        <v>35178</v>
      </c>
      <c r="K3329" t="s">
        <v>42730</v>
      </c>
      <c r="M3329" t="s">
        <v>44501</v>
      </c>
      <c r="N3329" t="s">
        <v>47424</v>
      </c>
      <c r="O3329" t="s">
        <v>47425</v>
      </c>
      <c r="P3329">
        <v>0</v>
      </c>
      <c r="Q3329">
        <v>4</v>
      </c>
      <c r="R3329" t="s">
        <v>47428</v>
      </c>
      <c r="S3329" t="s">
        <v>47541</v>
      </c>
      <c r="T3329" t="s">
        <v>49344</v>
      </c>
      <c r="U3329" t="s">
        <v>52515</v>
      </c>
      <c r="W3329" t="s">
        <v>44501</v>
      </c>
      <c r="X3329" t="s">
        <v>47430</v>
      </c>
    </row>
    <row r="3330" spans="1:24">
      <c r="A3330">
        <f>HYPERLINK("https://www.philgeps.gov.ph/GEPSNONPILOT/Tender/SplashBidNoticeAbstractUI.aspx?menuIndex=3&amp;refID=7163660&amp;Result=3","7163660")</f>
        <v>0</v>
      </c>
      <c r="B3330" t="s">
        <v>1422</v>
      </c>
      <c r="C3330" t="s">
        <v>7079</v>
      </c>
      <c r="D3330" t="s">
        <v>19022</v>
      </c>
      <c r="E3330" t="s">
        <v>22107</v>
      </c>
      <c r="F3330" t="s">
        <v>32831</v>
      </c>
      <c r="G3330" t="s">
        <v>32838</v>
      </c>
      <c r="H3330" t="s">
        <v>32848</v>
      </c>
      <c r="I3330" t="s">
        <v>4177</v>
      </c>
      <c r="J3330" t="s">
        <v>35179</v>
      </c>
      <c r="K3330" t="s">
        <v>42776</v>
      </c>
      <c r="M3330" t="s">
        <v>44511</v>
      </c>
      <c r="N3330" t="s">
        <v>47424</v>
      </c>
      <c r="O3330" t="s">
        <v>47425</v>
      </c>
      <c r="P3330">
        <v>0</v>
      </c>
      <c r="Q3330">
        <v>0</v>
      </c>
      <c r="R3330" t="s">
        <v>47428</v>
      </c>
      <c r="S3330" t="s">
        <v>47541</v>
      </c>
      <c r="T3330" t="s">
        <v>49163</v>
      </c>
      <c r="U3330" t="s">
        <v>52516</v>
      </c>
      <c r="V3330" t="s">
        <v>62993</v>
      </c>
      <c r="W3330" t="s">
        <v>44511</v>
      </c>
      <c r="X3330" t="s">
        <v>47430</v>
      </c>
    </row>
    <row r="3331" spans="1:24">
      <c r="A3331">
        <f>HYPERLINK("https://www.philgeps.gov.ph/GEPSNONPILOT/Tender/SplashBidNoticeAbstractUI.aspx?menuIndex=3&amp;refID=7163456&amp;Result=3","7163456")</f>
        <v>0</v>
      </c>
      <c r="B3331" t="s">
        <v>1374</v>
      </c>
      <c r="C3331" t="s">
        <v>6974</v>
      </c>
      <c r="E3331" t="s">
        <v>22108</v>
      </c>
      <c r="F3331" t="s">
        <v>32831</v>
      </c>
      <c r="G3331" t="s">
        <v>32840</v>
      </c>
      <c r="H3331" t="s">
        <v>32848</v>
      </c>
      <c r="I3331" t="s">
        <v>5379</v>
      </c>
      <c r="J3331" t="s">
        <v>34758</v>
      </c>
      <c r="K3331" t="s">
        <v>42732</v>
      </c>
      <c r="M3331" t="s">
        <v>44455</v>
      </c>
      <c r="N3331" t="s">
        <v>47424</v>
      </c>
      <c r="O3331" t="s">
        <v>47425</v>
      </c>
      <c r="P3331">
        <v>0</v>
      </c>
      <c r="Q3331">
        <v>2</v>
      </c>
      <c r="R3331" t="s">
        <v>47428</v>
      </c>
      <c r="S3331" t="s">
        <v>47541</v>
      </c>
      <c r="T3331" t="s">
        <v>49235</v>
      </c>
      <c r="U3331" t="s">
        <v>52517</v>
      </c>
      <c r="W3331" t="s">
        <v>44455</v>
      </c>
      <c r="X3331" t="s">
        <v>47430</v>
      </c>
    </row>
    <row r="3332" spans="1:24">
      <c r="A3332">
        <f>HYPERLINK("https://www.philgeps.gov.ph/GEPSNONPILOT/Tender/SplashBidNoticeAbstractUI.aspx?menuIndex=3&amp;refID=7163669&amp;Result=3","7163669")</f>
        <v>0</v>
      </c>
      <c r="B3332" t="s">
        <v>1423</v>
      </c>
      <c r="C3332" t="s">
        <v>7080</v>
      </c>
      <c r="D3332" t="s">
        <v>19020</v>
      </c>
      <c r="E3332" t="s">
        <v>22109</v>
      </c>
      <c r="F3332" t="s">
        <v>32831</v>
      </c>
      <c r="G3332" t="s">
        <v>32840</v>
      </c>
      <c r="H3332" t="s">
        <v>32848</v>
      </c>
      <c r="I3332" t="s">
        <v>32855</v>
      </c>
      <c r="J3332" t="s">
        <v>35180</v>
      </c>
      <c r="K3332" t="s">
        <v>42758</v>
      </c>
      <c r="M3332" t="s">
        <v>44512</v>
      </c>
      <c r="N3332" t="s">
        <v>47424</v>
      </c>
      <c r="O3332" t="s">
        <v>47425</v>
      </c>
      <c r="P3332">
        <v>0</v>
      </c>
      <c r="Q3332">
        <v>2</v>
      </c>
      <c r="R3332" t="s">
        <v>47428</v>
      </c>
      <c r="S3332" t="s">
        <v>47541</v>
      </c>
      <c r="T3332" t="s">
        <v>49116</v>
      </c>
      <c r="U3332" t="s">
        <v>52518</v>
      </c>
      <c r="W3332" t="s">
        <v>44512</v>
      </c>
      <c r="X3332" t="s">
        <v>47430</v>
      </c>
    </row>
    <row r="3333" spans="1:24">
      <c r="A3333">
        <f>HYPERLINK("https://www.philgeps.gov.ph/GEPSNONPILOT/Tender/SplashBidNoticeAbstractUI.aspx?menuIndex=3&amp;refID=7163667&amp;Result=3","7163667")</f>
        <v>0</v>
      </c>
      <c r="B3333" t="s">
        <v>689</v>
      </c>
      <c r="C3333" t="s">
        <v>7081</v>
      </c>
      <c r="E3333" t="s">
        <v>22110</v>
      </c>
      <c r="F3333" t="s">
        <v>32831</v>
      </c>
      <c r="G3333" t="s">
        <v>32838</v>
      </c>
      <c r="H3333" t="s">
        <v>32848</v>
      </c>
      <c r="I3333" t="s">
        <v>4776</v>
      </c>
      <c r="J3333" t="s">
        <v>35181</v>
      </c>
      <c r="K3333" t="s">
        <v>42732</v>
      </c>
      <c r="M3333" t="s">
        <v>43708</v>
      </c>
      <c r="N3333" t="s">
        <v>47424</v>
      </c>
      <c r="O3333" t="s">
        <v>47425</v>
      </c>
      <c r="P3333">
        <v>0</v>
      </c>
      <c r="Q3333">
        <v>14</v>
      </c>
      <c r="R3333" t="s">
        <v>47428</v>
      </c>
      <c r="S3333" t="s">
        <v>47541</v>
      </c>
      <c r="T3333" t="s">
        <v>49096</v>
      </c>
      <c r="U3333" t="s">
        <v>52519</v>
      </c>
      <c r="V3333" t="s">
        <v>62984</v>
      </c>
      <c r="W3333" t="s">
        <v>43708</v>
      </c>
      <c r="X3333" t="s">
        <v>47430</v>
      </c>
    </row>
    <row r="3334" spans="1:24">
      <c r="A3334">
        <f>HYPERLINK("https://www.philgeps.gov.ph/GEPSNONPILOT/Tender/SplashBidNoticeAbstractUI.aspx?menuIndex=3&amp;refID=7163658&amp;Result=3","7163658")</f>
        <v>0</v>
      </c>
      <c r="B3334" t="s">
        <v>1335</v>
      </c>
      <c r="C3334" t="s">
        <v>7082</v>
      </c>
      <c r="D3334" t="s">
        <v>19074</v>
      </c>
      <c r="E3334" t="s">
        <v>22111</v>
      </c>
      <c r="F3334" t="s">
        <v>32831</v>
      </c>
      <c r="G3334" t="s">
        <v>32839</v>
      </c>
      <c r="H3334" t="s">
        <v>32848</v>
      </c>
      <c r="I3334" t="s">
        <v>7416</v>
      </c>
      <c r="J3334" t="s">
        <v>33078</v>
      </c>
      <c r="K3334" t="s">
        <v>42732</v>
      </c>
      <c r="M3334" t="s">
        <v>44407</v>
      </c>
      <c r="N3334" t="s">
        <v>47424</v>
      </c>
      <c r="O3334" t="s">
        <v>47425</v>
      </c>
      <c r="P3334">
        <v>0</v>
      </c>
      <c r="Q3334">
        <v>1</v>
      </c>
      <c r="R3334" t="s">
        <v>47428</v>
      </c>
      <c r="S3334" t="s">
        <v>47541</v>
      </c>
      <c r="T3334" t="s">
        <v>49149</v>
      </c>
      <c r="U3334" t="s">
        <v>52293</v>
      </c>
      <c r="W3334" t="s">
        <v>44407</v>
      </c>
      <c r="X3334" t="s">
        <v>47430</v>
      </c>
    </row>
    <row r="3335" spans="1:24">
      <c r="A3335">
        <f>HYPERLINK("https://www.philgeps.gov.ph/GEPSNONPILOT/Tender/SplashBidNoticeAbstractUI.aspx?menuIndex=3&amp;refID=7163652&amp;Result=3","7163652")</f>
        <v>0</v>
      </c>
      <c r="B3335" t="s">
        <v>720</v>
      </c>
      <c r="C3335" t="s">
        <v>7083</v>
      </c>
      <c r="D3335" t="s">
        <v>19090</v>
      </c>
      <c r="E3335" t="s">
        <v>22112</v>
      </c>
      <c r="F3335" t="s">
        <v>32831</v>
      </c>
      <c r="G3335" t="s">
        <v>32838</v>
      </c>
      <c r="H3335" t="s">
        <v>32848</v>
      </c>
      <c r="I3335" t="s">
        <v>32857</v>
      </c>
      <c r="J3335" t="s">
        <v>33929</v>
      </c>
      <c r="K3335" t="s">
        <v>42732</v>
      </c>
      <c r="M3335" t="s">
        <v>43741</v>
      </c>
      <c r="N3335" t="s">
        <v>47424</v>
      </c>
      <c r="O3335" t="s">
        <v>47425</v>
      </c>
      <c r="P3335">
        <v>0</v>
      </c>
      <c r="Q3335">
        <v>1</v>
      </c>
      <c r="R3335" t="s">
        <v>47428</v>
      </c>
      <c r="S3335" t="s">
        <v>47541</v>
      </c>
      <c r="T3335" t="s">
        <v>49163</v>
      </c>
      <c r="U3335" t="s">
        <v>52520</v>
      </c>
      <c r="W3335" t="s">
        <v>64445</v>
      </c>
      <c r="X3335" t="s">
        <v>47430</v>
      </c>
    </row>
    <row r="3336" spans="1:24">
      <c r="A3336">
        <f>HYPERLINK("https://www.philgeps.gov.ph/GEPSNONPILOT/Tender/SplashBidNoticeAbstractUI.aspx?menuIndex=3&amp;refID=7163651&amp;Result=3","7163651")</f>
        <v>0</v>
      </c>
      <c r="B3336" t="s">
        <v>1418</v>
      </c>
      <c r="C3336" t="s">
        <v>7084</v>
      </c>
      <c r="D3336" t="s">
        <v>19034</v>
      </c>
      <c r="E3336" t="s">
        <v>22113</v>
      </c>
      <c r="F3336" t="s">
        <v>32831</v>
      </c>
      <c r="G3336" t="s">
        <v>32838</v>
      </c>
      <c r="H3336" t="s">
        <v>32848</v>
      </c>
      <c r="I3336" t="s">
        <v>32867</v>
      </c>
      <c r="J3336" t="s">
        <v>35182</v>
      </c>
      <c r="K3336" t="s">
        <v>42730</v>
      </c>
      <c r="M3336" t="s">
        <v>44506</v>
      </c>
      <c r="N3336" t="s">
        <v>47424</v>
      </c>
      <c r="O3336" t="s">
        <v>47425</v>
      </c>
      <c r="P3336">
        <v>0</v>
      </c>
      <c r="Q3336">
        <v>2</v>
      </c>
      <c r="R3336" t="s">
        <v>47428</v>
      </c>
      <c r="S3336" t="s">
        <v>47541</v>
      </c>
      <c r="T3336" t="s">
        <v>49150</v>
      </c>
      <c r="U3336" t="s">
        <v>52521</v>
      </c>
      <c r="W3336" t="s">
        <v>44506</v>
      </c>
      <c r="X3336" t="s">
        <v>47430</v>
      </c>
    </row>
    <row r="3337" spans="1:24">
      <c r="A3337">
        <f>HYPERLINK("https://www.philgeps.gov.ph/GEPSNONPILOT/Tender/SplashBidNoticeAbstractUI.aspx?menuIndex=3&amp;refID=7163596&amp;Result=3","7163596")</f>
        <v>0</v>
      </c>
      <c r="B3337" t="s">
        <v>1424</v>
      </c>
      <c r="C3337" t="s">
        <v>7085</v>
      </c>
      <c r="D3337" t="s">
        <v>19046</v>
      </c>
      <c r="E3337" t="s">
        <v>19203</v>
      </c>
      <c r="F3337" t="s">
        <v>32831</v>
      </c>
      <c r="G3337" t="s">
        <v>32839</v>
      </c>
      <c r="H3337" t="s">
        <v>32848</v>
      </c>
      <c r="I3337" t="s">
        <v>7416</v>
      </c>
      <c r="J3337" t="s">
        <v>35183</v>
      </c>
      <c r="K3337" t="s">
        <v>42731</v>
      </c>
      <c r="M3337" t="s">
        <v>44513</v>
      </c>
      <c r="N3337" t="s">
        <v>47424</v>
      </c>
      <c r="O3337" t="s">
        <v>47425</v>
      </c>
      <c r="P3337">
        <v>0</v>
      </c>
      <c r="Q3337">
        <v>1</v>
      </c>
      <c r="R3337" t="s">
        <v>47428</v>
      </c>
      <c r="S3337" t="s">
        <v>47541</v>
      </c>
      <c r="T3337" t="s">
        <v>49073</v>
      </c>
      <c r="U3337" t="s">
        <v>52522</v>
      </c>
      <c r="V3337" t="s">
        <v>62991</v>
      </c>
      <c r="W3337" t="s">
        <v>44513</v>
      </c>
      <c r="X3337" t="s">
        <v>47430</v>
      </c>
    </row>
    <row r="3338" spans="1:24">
      <c r="A3338">
        <f>HYPERLINK("https://www.philgeps.gov.ph/GEPSNONPILOT/Tender/SplashBidNoticeAbstractUI.aspx?menuIndex=3&amp;refID=7163655&amp;Result=3","7163655")</f>
        <v>0</v>
      </c>
      <c r="B3338" t="s">
        <v>950</v>
      </c>
      <c r="C3338" t="s">
        <v>7086</v>
      </c>
      <c r="D3338" t="s">
        <v>19100</v>
      </c>
      <c r="E3338" t="s">
        <v>22114</v>
      </c>
      <c r="F3338" t="s">
        <v>32831</v>
      </c>
      <c r="G3338" t="s">
        <v>32838</v>
      </c>
      <c r="H3338" t="s">
        <v>32848</v>
      </c>
      <c r="I3338" t="s">
        <v>4558</v>
      </c>
      <c r="J3338" t="s">
        <v>35184</v>
      </c>
      <c r="K3338" t="s">
        <v>42748</v>
      </c>
      <c r="M3338" t="s">
        <v>43996</v>
      </c>
      <c r="N3338" t="s">
        <v>47424</v>
      </c>
      <c r="O3338" t="s">
        <v>47425</v>
      </c>
      <c r="P3338">
        <v>0</v>
      </c>
      <c r="Q3338">
        <v>1</v>
      </c>
      <c r="R3338" t="s">
        <v>47428</v>
      </c>
      <c r="S3338" t="s">
        <v>47541</v>
      </c>
      <c r="T3338" t="s">
        <v>49162</v>
      </c>
      <c r="U3338" t="s">
        <v>52523</v>
      </c>
      <c r="W3338" t="s">
        <v>43996</v>
      </c>
      <c r="X3338" t="s">
        <v>47430</v>
      </c>
    </row>
    <row r="3339" spans="1:24">
      <c r="A3339">
        <f>HYPERLINK("https://www.philgeps.gov.ph/GEPSNONPILOT/Tender/SplashBidNoticeAbstractUI.aspx?menuIndex=3&amp;refID=7163713&amp;Result=3","7163713")</f>
        <v>0</v>
      </c>
      <c r="B3339" t="s">
        <v>1238</v>
      </c>
      <c r="C3339" t="s">
        <v>7087</v>
      </c>
      <c r="D3339" t="s">
        <v>19059</v>
      </c>
      <c r="E3339" t="s">
        <v>22115</v>
      </c>
      <c r="F3339" t="s">
        <v>32831</v>
      </c>
      <c r="G3339" t="s">
        <v>32838</v>
      </c>
      <c r="H3339" t="s">
        <v>32848</v>
      </c>
      <c r="I3339" t="s">
        <v>9577</v>
      </c>
      <c r="J3339" t="s">
        <v>35185</v>
      </c>
      <c r="K3339" t="s">
        <v>42731</v>
      </c>
      <c r="M3339" t="s">
        <v>44308</v>
      </c>
      <c r="N3339" t="s">
        <v>47424</v>
      </c>
      <c r="O3339" t="s">
        <v>47425</v>
      </c>
      <c r="P3339">
        <v>0</v>
      </c>
      <c r="Q3339">
        <v>0</v>
      </c>
      <c r="R3339" t="s">
        <v>47428</v>
      </c>
      <c r="S3339" t="s">
        <v>47541</v>
      </c>
      <c r="T3339" t="s">
        <v>49235</v>
      </c>
      <c r="U3339" t="s">
        <v>52524</v>
      </c>
      <c r="W3339" t="s">
        <v>44308</v>
      </c>
      <c r="X3339" t="s">
        <v>47430</v>
      </c>
    </row>
    <row r="3340" spans="1:24">
      <c r="A3340">
        <f>HYPERLINK("https://www.philgeps.gov.ph/GEPSNONPILOT/Tender/SplashBidNoticeAbstractUI.aspx?menuIndex=3&amp;refID=7163711&amp;Result=3","7163711")</f>
        <v>0</v>
      </c>
      <c r="B3340" t="s">
        <v>1411</v>
      </c>
      <c r="C3340" t="s">
        <v>7088</v>
      </c>
      <c r="D3340" t="s">
        <v>19079</v>
      </c>
      <c r="E3340" t="s">
        <v>22116</v>
      </c>
      <c r="F3340" t="s">
        <v>32831</v>
      </c>
      <c r="G3340" t="s">
        <v>32839</v>
      </c>
      <c r="H3340" t="s">
        <v>32848</v>
      </c>
      <c r="I3340" t="s">
        <v>7751</v>
      </c>
      <c r="J3340" t="s">
        <v>33083</v>
      </c>
      <c r="K3340" t="s">
        <v>42730</v>
      </c>
      <c r="M3340" t="s">
        <v>44498</v>
      </c>
      <c r="N3340" t="s">
        <v>47424</v>
      </c>
      <c r="O3340" t="s">
        <v>47425</v>
      </c>
      <c r="P3340">
        <v>0</v>
      </c>
      <c r="Q3340">
        <v>3</v>
      </c>
      <c r="R3340" t="s">
        <v>47428</v>
      </c>
      <c r="S3340" t="s">
        <v>47541</v>
      </c>
      <c r="T3340" t="s">
        <v>49340</v>
      </c>
      <c r="U3340" t="s">
        <v>52485</v>
      </c>
      <c r="W3340" t="s">
        <v>44498</v>
      </c>
      <c r="X3340" t="s">
        <v>47430</v>
      </c>
    </row>
    <row r="3341" spans="1:24">
      <c r="A3341">
        <f>HYPERLINK("https://www.philgeps.gov.ph/GEPSNONPILOT/Tender/SplashBidNoticeAbstractUI.aspx?menuIndex=3&amp;refID=7163650&amp;Result=3","7163650")</f>
        <v>0</v>
      </c>
      <c r="B3341" t="s">
        <v>1425</v>
      </c>
      <c r="C3341" t="s">
        <v>7089</v>
      </c>
      <c r="D3341" t="s">
        <v>19073</v>
      </c>
      <c r="E3341" t="s">
        <v>22117</v>
      </c>
      <c r="F3341" t="s">
        <v>32831</v>
      </c>
      <c r="G3341" t="s">
        <v>32838</v>
      </c>
      <c r="H3341" t="s">
        <v>32848</v>
      </c>
      <c r="I3341" t="s">
        <v>32856</v>
      </c>
      <c r="J3341" t="s">
        <v>34188</v>
      </c>
      <c r="K3341" t="s">
        <v>42730</v>
      </c>
      <c r="M3341" t="s">
        <v>44514</v>
      </c>
      <c r="N3341" t="s">
        <v>47424</v>
      </c>
      <c r="O3341" t="s">
        <v>47425</v>
      </c>
      <c r="P3341">
        <v>0</v>
      </c>
      <c r="Q3341">
        <v>0</v>
      </c>
      <c r="R3341" t="s">
        <v>47428</v>
      </c>
      <c r="S3341" t="s">
        <v>47541</v>
      </c>
      <c r="T3341" t="s">
        <v>49108</v>
      </c>
      <c r="U3341" t="s">
        <v>52525</v>
      </c>
      <c r="W3341" t="s">
        <v>44514</v>
      </c>
      <c r="X3341" t="s">
        <v>47430</v>
      </c>
    </row>
    <row r="3342" spans="1:24">
      <c r="A3342">
        <f>HYPERLINK("https://www.philgeps.gov.ph/GEPSNONPILOT/Tender/SplashBidNoticeAbstractUI.aspx?menuIndex=3&amp;refID=7163704&amp;Result=3","7163704")</f>
        <v>0</v>
      </c>
      <c r="B3342" t="s">
        <v>1426</v>
      </c>
      <c r="C3342" t="s">
        <v>7085</v>
      </c>
      <c r="D3342" t="s">
        <v>19046</v>
      </c>
      <c r="E3342" t="s">
        <v>19203</v>
      </c>
      <c r="F3342" t="s">
        <v>32831</v>
      </c>
      <c r="G3342" t="s">
        <v>32839</v>
      </c>
      <c r="H3342" t="s">
        <v>32848</v>
      </c>
      <c r="I3342" t="s">
        <v>7416</v>
      </c>
      <c r="J3342" t="s">
        <v>35186</v>
      </c>
      <c r="K3342" t="s">
        <v>42731</v>
      </c>
      <c r="M3342" t="s">
        <v>44515</v>
      </c>
      <c r="N3342" t="s">
        <v>47424</v>
      </c>
      <c r="O3342" t="s">
        <v>47425</v>
      </c>
      <c r="P3342">
        <v>0</v>
      </c>
      <c r="Q3342">
        <v>1</v>
      </c>
      <c r="R3342" t="s">
        <v>47428</v>
      </c>
      <c r="S3342" t="s">
        <v>47541</v>
      </c>
      <c r="T3342" t="s">
        <v>49073</v>
      </c>
      <c r="U3342" t="s">
        <v>52526</v>
      </c>
      <c r="W3342" t="s">
        <v>44515</v>
      </c>
      <c r="X3342" t="s">
        <v>47430</v>
      </c>
    </row>
    <row r="3343" spans="1:24">
      <c r="A3343">
        <f>HYPERLINK("https://www.philgeps.gov.ph/GEPSNONPILOT/Tender/SplashBidNoticeAbstractUI.aspx?menuIndex=3&amp;refID=7163702&amp;Result=3","7163702")</f>
        <v>0</v>
      </c>
      <c r="B3343" t="s">
        <v>1229</v>
      </c>
      <c r="C3343" t="s">
        <v>7090</v>
      </c>
      <c r="D3343" t="s">
        <v>19077</v>
      </c>
      <c r="E3343" t="s">
        <v>22118</v>
      </c>
      <c r="F3343" t="s">
        <v>32831</v>
      </c>
      <c r="G3343" t="s">
        <v>32839</v>
      </c>
      <c r="H3343" t="s">
        <v>32848</v>
      </c>
      <c r="I3343" t="s">
        <v>7416</v>
      </c>
      <c r="J3343" t="s">
        <v>32983</v>
      </c>
      <c r="K3343" t="s">
        <v>42727</v>
      </c>
      <c r="M3343" t="s">
        <v>44298</v>
      </c>
      <c r="N3343" t="s">
        <v>47424</v>
      </c>
      <c r="O3343" t="s">
        <v>47425</v>
      </c>
      <c r="P3343">
        <v>0</v>
      </c>
      <c r="Q3343">
        <v>0</v>
      </c>
      <c r="R3343" t="s">
        <v>47428</v>
      </c>
      <c r="S3343" t="s">
        <v>47541</v>
      </c>
      <c r="T3343" t="s">
        <v>49059</v>
      </c>
      <c r="U3343" t="s">
        <v>52527</v>
      </c>
      <c r="W3343" t="s">
        <v>44298</v>
      </c>
      <c r="X3343" t="s">
        <v>47430</v>
      </c>
    </row>
    <row r="3344" spans="1:24">
      <c r="A3344">
        <f>HYPERLINK("https://www.philgeps.gov.ph/GEPSNONPILOT/Tender/SplashBidNoticeAbstractUI.aspx?menuIndex=3&amp;refID=7163654&amp;Result=3","7163654")</f>
        <v>0</v>
      </c>
      <c r="B3344" t="s">
        <v>1427</v>
      </c>
      <c r="C3344" t="s">
        <v>7091</v>
      </c>
      <c r="D3344" t="s">
        <v>19030</v>
      </c>
      <c r="E3344" t="s">
        <v>19865</v>
      </c>
      <c r="F3344" t="s">
        <v>32831</v>
      </c>
      <c r="G3344" t="s">
        <v>32838</v>
      </c>
      <c r="H3344" t="s">
        <v>32848</v>
      </c>
      <c r="I3344" t="s">
        <v>32929</v>
      </c>
      <c r="J3344" t="s">
        <v>32976</v>
      </c>
      <c r="K3344" t="s">
        <v>42758</v>
      </c>
      <c r="M3344" t="s">
        <v>44516</v>
      </c>
      <c r="N3344" t="s">
        <v>47424</v>
      </c>
      <c r="O3344" t="s">
        <v>47425</v>
      </c>
      <c r="P3344">
        <v>0</v>
      </c>
      <c r="Q3344">
        <v>4</v>
      </c>
      <c r="R3344" t="s">
        <v>47428</v>
      </c>
      <c r="S3344" t="s">
        <v>47541</v>
      </c>
      <c r="T3344" t="s">
        <v>49205</v>
      </c>
      <c r="U3344" t="s">
        <v>52528</v>
      </c>
      <c r="W3344" t="s">
        <v>44516</v>
      </c>
      <c r="X3344" t="s">
        <v>47430</v>
      </c>
    </row>
    <row r="3345" spans="1:24">
      <c r="A3345">
        <f>HYPERLINK("https://www.philgeps.gov.ph/GEPSNONPILOT/Tender/SplashBidNoticeAbstractUI.aspx?menuIndex=3&amp;refID=7163701&amp;Result=3","7163701")</f>
        <v>0</v>
      </c>
      <c r="B3345" t="s">
        <v>1385</v>
      </c>
      <c r="C3345" t="s">
        <v>7092</v>
      </c>
      <c r="D3345" t="s">
        <v>19060</v>
      </c>
      <c r="E3345" t="s">
        <v>22119</v>
      </c>
      <c r="F3345" t="s">
        <v>32831</v>
      </c>
      <c r="G3345" t="s">
        <v>32838</v>
      </c>
      <c r="H3345" t="s">
        <v>32848</v>
      </c>
      <c r="I3345" t="s">
        <v>4438</v>
      </c>
      <c r="J3345" t="s">
        <v>35187</v>
      </c>
      <c r="K3345" t="s">
        <v>42730</v>
      </c>
      <c r="M3345" t="s">
        <v>44470</v>
      </c>
      <c r="N3345" t="s">
        <v>47424</v>
      </c>
      <c r="O3345" t="s">
        <v>47425</v>
      </c>
      <c r="P3345">
        <v>0</v>
      </c>
      <c r="Q3345">
        <v>3</v>
      </c>
      <c r="R3345" t="s">
        <v>47428</v>
      </c>
      <c r="S3345" t="s">
        <v>47541</v>
      </c>
      <c r="T3345" t="s">
        <v>49129</v>
      </c>
      <c r="U3345" t="s">
        <v>52529</v>
      </c>
      <c r="V3345" t="s">
        <v>62982</v>
      </c>
      <c r="W3345" t="s">
        <v>44470</v>
      </c>
      <c r="X3345" t="s">
        <v>47430</v>
      </c>
    </row>
    <row r="3346" spans="1:24">
      <c r="A3346">
        <f>HYPERLINK("https://www.philgeps.gov.ph/GEPSNONPILOT/Tender/SplashBidNoticeAbstractUI.aspx?menuIndex=3&amp;refID=7163659&amp;Result=3","7163659")</f>
        <v>0</v>
      </c>
      <c r="B3346" t="s">
        <v>731</v>
      </c>
      <c r="C3346" t="s">
        <v>7093</v>
      </c>
      <c r="D3346" t="s">
        <v>19086</v>
      </c>
      <c r="E3346" t="s">
        <v>22120</v>
      </c>
      <c r="F3346" t="s">
        <v>32831</v>
      </c>
      <c r="G3346" t="s">
        <v>32839</v>
      </c>
      <c r="H3346" t="s">
        <v>32848</v>
      </c>
      <c r="I3346" t="s">
        <v>7819</v>
      </c>
      <c r="J3346" t="s">
        <v>35188</v>
      </c>
      <c r="K3346" t="s">
        <v>42730</v>
      </c>
      <c r="M3346" t="s">
        <v>43753</v>
      </c>
      <c r="N3346" t="s">
        <v>47424</v>
      </c>
      <c r="O3346" t="s">
        <v>47425</v>
      </c>
      <c r="P3346">
        <v>0</v>
      </c>
      <c r="Q3346">
        <v>3</v>
      </c>
      <c r="R3346" t="s">
        <v>47428</v>
      </c>
      <c r="S3346" t="s">
        <v>47541</v>
      </c>
      <c r="T3346" t="s">
        <v>49066</v>
      </c>
      <c r="U3346" t="s">
        <v>52530</v>
      </c>
      <c r="W3346" t="s">
        <v>43753</v>
      </c>
      <c r="X3346" t="s">
        <v>47430</v>
      </c>
    </row>
    <row r="3347" spans="1:24">
      <c r="A3347">
        <f>HYPERLINK("https://www.philgeps.gov.ph/GEPSNONPILOT/Tender/SplashBidNoticeAbstractUI.aspx?menuIndex=3&amp;refID=7163708&amp;Result=3","7163708")</f>
        <v>0</v>
      </c>
      <c r="B3347" t="s">
        <v>1428</v>
      </c>
      <c r="C3347" t="s">
        <v>7094</v>
      </c>
      <c r="E3347" t="s">
        <v>22121</v>
      </c>
      <c r="F3347" t="s">
        <v>32831</v>
      </c>
      <c r="G3347" t="s">
        <v>32838</v>
      </c>
      <c r="H3347" t="s">
        <v>32848</v>
      </c>
      <c r="I3347" t="s">
        <v>9577</v>
      </c>
      <c r="J3347" t="s">
        <v>33041</v>
      </c>
      <c r="K3347" t="s">
        <v>42729</v>
      </c>
      <c r="M3347" t="s">
        <v>44517</v>
      </c>
      <c r="N3347" t="s">
        <v>47424</v>
      </c>
      <c r="O3347" t="s">
        <v>47425</v>
      </c>
      <c r="P3347">
        <v>0</v>
      </c>
      <c r="Q3347">
        <v>1</v>
      </c>
      <c r="R3347" t="s">
        <v>47428</v>
      </c>
      <c r="S3347" t="s">
        <v>47541</v>
      </c>
      <c r="T3347" t="s">
        <v>49114</v>
      </c>
      <c r="U3347" t="s">
        <v>52531</v>
      </c>
      <c r="W3347" t="s">
        <v>44517</v>
      </c>
      <c r="X3347" t="s">
        <v>47430</v>
      </c>
    </row>
    <row r="3348" spans="1:24">
      <c r="A3348">
        <f>HYPERLINK("https://www.philgeps.gov.ph/GEPSNONPILOT/Tender/SplashBidNoticeAbstractUI.aspx?menuIndex=3&amp;refID=7163699&amp;Result=3","7163699")</f>
        <v>0</v>
      </c>
      <c r="B3348" t="s">
        <v>1317</v>
      </c>
      <c r="C3348" t="s">
        <v>7095</v>
      </c>
      <c r="D3348" t="s">
        <v>19074</v>
      </c>
      <c r="E3348" t="s">
        <v>22122</v>
      </c>
      <c r="F3348" t="s">
        <v>32831</v>
      </c>
      <c r="G3348" t="s">
        <v>32839</v>
      </c>
      <c r="H3348" t="s">
        <v>32850</v>
      </c>
      <c r="I3348" t="s">
        <v>32911</v>
      </c>
      <c r="J3348" t="s">
        <v>34155</v>
      </c>
      <c r="K3348" t="s">
        <v>42750</v>
      </c>
      <c r="M3348" t="s">
        <v>44388</v>
      </c>
      <c r="N3348" t="s">
        <v>47424</v>
      </c>
      <c r="O3348" t="s">
        <v>47425</v>
      </c>
      <c r="P3348">
        <v>0</v>
      </c>
      <c r="Q3348">
        <v>1</v>
      </c>
      <c r="R3348" t="s">
        <v>47428</v>
      </c>
      <c r="S3348" t="s">
        <v>47541</v>
      </c>
      <c r="T3348" t="s">
        <v>49217</v>
      </c>
      <c r="U3348" t="s">
        <v>52532</v>
      </c>
      <c r="V3348" t="s">
        <v>62994</v>
      </c>
      <c r="W3348" t="s">
        <v>44388</v>
      </c>
      <c r="X3348" t="s">
        <v>47430</v>
      </c>
    </row>
    <row r="3349" spans="1:24">
      <c r="A3349">
        <f>HYPERLINK("https://www.philgeps.gov.ph/GEPSNONPILOT/Tender/SplashBidNoticeAbstractUI.aspx?menuIndex=3&amp;refID=7163698&amp;Result=3","7163698")</f>
        <v>0</v>
      </c>
      <c r="B3349" t="s">
        <v>1407</v>
      </c>
      <c r="C3349" t="s">
        <v>7096</v>
      </c>
      <c r="D3349" t="s">
        <v>19023</v>
      </c>
      <c r="E3349" t="s">
        <v>22123</v>
      </c>
      <c r="F3349" t="s">
        <v>32831</v>
      </c>
      <c r="G3349" t="s">
        <v>32838</v>
      </c>
      <c r="H3349" t="s">
        <v>32848</v>
      </c>
      <c r="I3349" t="s">
        <v>4438</v>
      </c>
      <c r="J3349" t="s">
        <v>34741</v>
      </c>
      <c r="K3349" t="s">
        <v>42760</v>
      </c>
      <c r="M3349" t="s">
        <v>44493</v>
      </c>
      <c r="N3349" t="s">
        <v>47424</v>
      </c>
      <c r="O3349" t="s">
        <v>47425</v>
      </c>
      <c r="P3349">
        <v>0</v>
      </c>
      <c r="Q3349">
        <v>2</v>
      </c>
      <c r="R3349" t="s">
        <v>47428</v>
      </c>
      <c r="S3349" t="s">
        <v>47541</v>
      </c>
      <c r="T3349" t="s">
        <v>49237</v>
      </c>
      <c r="U3349" t="s">
        <v>52533</v>
      </c>
      <c r="W3349" t="s">
        <v>44493</v>
      </c>
      <c r="X3349" t="s">
        <v>47430</v>
      </c>
    </row>
    <row r="3350" spans="1:24">
      <c r="A3350">
        <f>HYPERLINK("https://www.philgeps.gov.ph/GEPSNONPILOT/Tender/SplashBidNoticeAbstractUI.aspx?menuIndex=3&amp;refID=7163695&amp;Result=3","7163695")</f>
        <v>0</v>
      </c>
      <c r="B3350" t="s">
        <v>929</v>
      </c>
      <c r="C3350" t="s">
        <v>7097</v>
      </c>
      <c r="D3350" t="s">
        <v>19017</v>
      </c>
      <c r="E3350" t="s">
        <v>19648</v>
      </c>
      <c r="F3350" t="s">
        <v>32831</v>
      </c>
      <c r="G3350" t="s">
        <v>32838</v>
      </c>
      <c r="H3350" t="s">
        <v>32848</v>
      </c>
      <c r="I3350" t="s">
        <v>4471</v>
      </c>
      <c r="J3350" t="s">
        <v>34030</v>
      </c>
      <c r="K3350" t="s">
        <v>42748</v>
      </c>
      <c r="L3350" t="s">
        <v>929</v>
      </c>
      <c r="M3350" t="s">
        <v>43970</v>
      </c>
      <c r="N3350" t="s">
        <v>47424</v>
      </c>
      <c r="O3350" t="s">
        <v>47425</v>
      </c>
      <c r="P3350">
        <v>0</v>
      </c>
      <c r="Q3350">
        <v>12</v>
      </c>
      <c r="R3350" t="s">
        <v>47428</v>
      </c>
      <c r="S3350" t="s">
        <v>47541</v>
      </c>
      <c r="T3350" t="s">
        <v>49244</v>
      </c>
      <c r="U3350" t="s">
        <v>52534</v>
      </c>
      <c r="W3350" t="s">
        <v>43970</v>
      </c>
      <c r="X3350" t="s">
        <v>47430</v>
      </c>
    </row>
    <row r="3351" spans="1:24">
      <c r="A3351">
        <f>HYPERLINK("https://www.philgeps.gov.ph/GEPSNONPILOT/Tender/SplashBidNoticeAbstractUI.aspx?menuIndex=3&amp;refID=7163738&amp;Result=3","7163738")</f>
        <v>0</v>
      </c>
      <c r="B3351" t="s">
        <v>1320</v>
      </c>
      <c r="C3351" t="s">
        <v>7098</v>
      </c>
      <c r="D3351" t="s">
        <v>19085</v>
      </c>
      <c r="E3351" t="s">
        <v>22124</v>
      </c>
      <c r="F3351" t="s">
        <v>32831</v>
      </c>
      <c r="G3351" t="s">
        <v>32838</v>
      </c>
      <c r="H3351" t="s">
        <v>32848</v>
      </c>
      <c r="I3351" t="s">
        <v>7416</v>
      </c>
      <c r="J3351" t="s">
        <v>35189</v>
      </c>
      <c r="K3351" t="s">
        <v>42731</v>
      </c>
      <c r="M3351" t="s">
        <v>44391</v>
      </c>
      <c r="N3351" t="s">
        <v>47424</v>
      </c>
      <c r="O3351" t="s">
        <v>47425</v>
      </c>
      <c r="P3351">
        <v>0</v>
      </c>
      <c r="Q3351">
        <v>0</v>
      </c>
      <c r="R3351" t="s">
        <v>47428</v>
      </c>
      <c r="S3351" t="s">
        <v>47541</v>
      </c>
      <c r="T3351" t="s">
        <v>49073</v>
      </c>
      <c r="U3351" t="s">
        <v>52535</v>
      </c>
      <c r="W3351" t="s">
        <v>44391</v>
      </c>
      <c r="X3351" t="s">
        <v>47430</v>
      </c>
    </row>
    <row r="3352" spans="1:24">
      <c r="A3352">
        <f>HYPERLINK("https://www.philgeps.gov.ph/GEPSNONPILOT/Tender/SplashBidNoticeAbstractUI.aspx?menuIndex=3&amp;refID=7163709&amp;Result=3","7163709")</f>
        <v>0</v>
      </c>
      <c r="B3352" t="s">
        <v>1429</v>
      </c>
      <c r="C3352" t="s">
        <v>7099</v>
      </c>
      <c r="D3352" t="s">
        <v>19045</v>
      </c>
      <c r="E3352" t="s">
        <v>22125</v>
      </c>
      <c r="F3352" t="s">
        <v>32831</v>
      </c>
      <c r="G3352" t="s">
        <v>32839</v>
      </c>
      <c r="H3352" t="s">
        <v>32849</v>
      </c>
      <c r="I3352" t="s">
        <v>4177</v>
      </c>
      <c r="J3352" t="s">
        <v>35190</v>
      </c>
      <c r="K3352" t="s">
        <v>42743</v>
      </c>
      <c r="M3352" t="s">
        <v>44518</v>
      </c>
      <c r="N3352" t="s">
        <v>47424</v>
      </c>
      <c r="O3352" t="s">
        <v>47425</v>
      </c>
      <c r="P3352">
        <v>0</v>
      </c>
      <c r="Q3352">
        <v>0</v>
      </c>
      <c r="R3352" t="s">
        <v>47428</v>
      </c>
      <c r="S3352" t="s">
        <v>47541</v>
      </c>
      <c r="T3352" t="s">
        <v>49181</v>
      </c>
      <c r="U3352" t="s">
        <v>52536</v>
      </c>
      <c r="V3352" t="s">
        <v>62995</v>
      </c>
      <c r="W3352" t="s">
        <v>64469</v>
      </c>
      <c r="X3352" t="s">
        <v>47430</v>
      </c>
    </row>
    <row r="3353" spans="1:24">
      <c r="A3353">
        <f>HYPERLINK("https://www.philgeps.gov.ph/GEPSNONPILOT/Tender/SplashBidNoticeAbstractUI.aspx?menuIndex=3&amp;refID=7163736&amp;Result=3","7163736")</f>
        <v>0</v>
      </c>
      <c r="B3353" t="s">
        <v>1430</v>
      </c>
      <c r="C3353" t="s">
        <v>7100</v>
      </c>
      <c r="D3353" t="s">
        <v>19017</v>
      </c>
      <c r="E3353" t="s">
        <v>22126</v>
      </c>
      <c r="F3353" t="s">
        <v>32831</v>
      </c>
      <c r="G3353" t="s">
        <v>32838</v>
      </c>
      <c r="H3353" t="s">
        <v>32848</v>
      </c>
      <c r="I3353" t="s">
        <v>32871</v>
      </c>
      <c r="J3353" t="s">
        <v>33090</v>
      </c>
      <c r="K3353" t="s">
        <v>42726</v>
      </c>
      <c r="M3353" t="s">
        <v>44519</v>
      </c>
      <c r="N3353" t="s">
        <v>47424</v>
      </c>
      <c r="O3353" t="s">
        <v>47425</v>
      </c>
      <c r="P3353">
        <v>0</v>
      </c>
      <c r="Q3353">
        <v>4</v>
      </c>
      <c r="R3353" t="s">
        <v>47428</v>
      </c>
      <c r="S3353" t="s">
        <v>47541</v>
      </c>
      <c r="T3353" t="s">
        <v>49166</v>
      </c>
      <c r="U3353" t="s">
        <v>52537</v>
      </c>
      <c r="W3353" t="s">
        <v>44519</v>
      </c>
      <c r="X3353" t="s">
        <v>47430</v>
      </c>
    </row>
    <row r="3354" spans="1:24">
      <c r="A3354">
        <f>HYPERLINK("https://www.philgeps.gov.ph/GEPSNONPILOT/Tender/SplashBidNoticeAbstractUI.aspx?menuIndex=3&amp;refID=7163735&amp;Result=3","7163735")</f>
        <v>0</v>
      </c>
      <c r="B3354" t="s">
        <v>909</v>
      </c>
      <c r="C3354" t="s">
        <v>5774</v>
      </c>
      <c r="D3354" t="s">
        <v>19067</v>
      </c>
      <c r="E3354" t="s">
        <v>22127</v>
      </c>
      <c r="F3354" t="s">
        <v>32831</v>
      </c>
      <c r="G3354" t="s">
        <v>32838</v>
      </c>
      <c r="H3354" t="s">
        <v>32848</v>
      </c>
      <c r="I3354" t="s">
        <v>4222</v>
      </c>
      <c r="J3354" t="s">
        <v>35191</v>
      </c>
      <c r="K3354" t="s">
        <v>42730</v>
      </c>
      <c r="M3354" t="s">
        <v>43949</v>
      </c>
      <c r="N3354" t="s">
        <v>47424</v>
      </c>
      <c r="O3354" t="s">
        <v>47425</v>
      </c>
      <c r="P3354">
        <v>0</v>
      </c>
      <c r="Q3354">
        <v>0</v>
      </c>
      <c r="R3354" t="s">
        <v>47428</v>
      </c>
      <c r="S3354" t="s">
        <v>47541</v>
      </c>
      <c r="T3354" t="s">
        <v>49237</v>
      </c>
      <c r="U3354" t="s">
        <v>51372</v>
      </c>
      <c r="W3354" t="s">
        <v>43949</v>
      </c>
      <c r="X3354" t="s">
        <v>47430</v>
      </c>
    </row>
    <row r="3355" spans="1:24">
      <c r="A3355">
        <f>HYPERLINK("https://www.philgeps.gov.ph/GEPSNONPILOT/Tender/SplashBidNoticeAbstractUI.aspx?menuIndex=3&amp;refID=7163733&amp;Result=3","7163733")</f>
        <v>0</v>
      </c>
      <c r="B3355" t="s">
        <v>674</v>
      </c>
      <c r="C3355" t="s">
        <v>7101</v>
      </c>
      <c r="D3355" t="s">
        <v>19058</v>
      </c>
      <c r="E3355" t="s">
        <v>22128</v>
      </c>
      <c r="F3355" t="s">
        <v>32831</v>
      </c>
      <c r="G3355" t="s">
        <v>32838</v>
      </c>
      <c r="H3355" t="s">
        <v>32848</v>
      </c>
      <c r="I3355" t="s">
        <v>4435</v>
      </c>
      <c r="J3355" t="s">
        <v>33098</v>
      </c>
      <c r="K3355" t="s">
        <v>42732</v>
      </c>
      <c r="M3355" t="s">
        <v>44520</v>
      </c>
      <c r="N3355" t="s">
        <v>47424</v>
      </c>
      <c r="O3355" t="s">
        <v>47425</v>
      </c>
      <c r="P3355">
        <v>0</v>
      </c>
      <c r="Q3355">
        <v>0</v>
      </c>
      <c r="R3355" t="s">
        <v>47428</v>
      </c>
      <c r="S3355" t="s">
        <v>47541</v>
      </c>
      <c r="T3355" t="s">
        <v>49237</v>
      </c>
      <c r="U3355" t="s">
        <v>52538</v>
      </c>
      <c r="W3355" t="s">
        <v>44520</v>
      </c>
      <c r="X3355" t="s">
        <v>47430</v>
      </c>
    </row>
    <row r="3356" spans="1:24">
      <c r="A3356">
        <f>HYPERLINK("https://www.philgeps.gov.ph/GEPSNONPILOT/Tender/SplashBidNoticeAbstractUI.aspx?menuIndex=3&amp;refID=7163732&amp;Result=3","7163732")</f>
        <v>0</v>
      </c>
      <c r="B3356" t="s">
        <v>1431</v>
      </c>
      <c r="C3356" t="s">
        <v>7102</v>
      </c>
      <c r="E3356" t="s">
        <v>22121</v>
      </c>
      <c r="F3356" t="s">
        <v>32831</v>
      </c>
      <c r="G3356" t="s">
        <v>32838</v>
      </c>
      <c r="H3356" t="s">
        <v>32848</v>
      </c>
      <c r="I3356" t="s">
        <v>9577</v>
      </c>
      <c r="J3356" t="s">
        <v>35192</v>
      </c>
      <c r="K3356" t="s">
        <v>42729</v>
      </c>
      <c r="M3356" t="s">
        <v>44521</v>
      </c>
      <c r="N3356" t="s">
        <v>47424</v>
      </c>
      <c r="O3356" t="s">
        <v>47425</v>
      </c>
      <c r="P3356">
        <v>0</v>
      </c>
      <c r="Q3356">
        <v>1</v>
      </c>
      <c r="R3356" t="s">
        <v>47428</v>
      </c>
      <c r="S3356" t="s">
        <v>47541</v>
      </c>
      <c r="T3356" t="s">
        <v>49114</v>
      </c>
      <c r="U3356" t="s">
        <v>52539</v>
      </c>
      <c r="W3356" t="s">
        <v>44521</v>
      </c>
      <c r="X3356" t="s">
        <v>47430</v>
      </c>
    </row>
    <row r="3357" spans="1:24">
      <c r="A3357">
        <f>HYPERLINK("https://www.philgeps.gov.ph/GEPSNONPILOT/Tender/SplashBidNoticeAbstractUI.aspx?menuIndex=3&amp;refID=7163673&amp;Result=3","7163673")</f>
        <v>0</v>
      </c>
      <c r="B3357" t="s">
        <v>1432</v>
      </c>
      <c r="C3357" t="s">
        <v>7103</v>
      </c>
      <c r="D3357" t="s">
        <v>19051</v>
      </c>
      <c r="E3357" t="s">
        <v>20880</v>
      </c>
      <c r="F3357" t="s">
        <v>32831</v>
      </c>
      <c r="G3357" t="s">
        <v>32838</v>
      </c>
      <c r="H3357" t="s">
        <v>32848</v>
      </c>
      <c r="I3357" t="s">
        <v>32911</v>
      </c>
      <c r="J3357" t="s">
        <v>35193</v>
      </c>
      <c r="K3357" t="s">
        <v>42745</v>
      </c>
      <c r="M3357" t="s">
        <v>44522</v>
      </c>
      <c r="N3357" t="s">
        <v>47424</v>
      </c>
      <c r="O3357" t="s">
        <v>47425</v>
      </c>
      <c r="P3357">
        <v>0</v>
      </c>
      <c r="Q3357">
        <v>0</v>
      </c>
      <c r="R3357" t="s">
        <v>47428</v>
      </c>
      <c r="S3357" t="s">
        <v>47541</v>
      </c>
      <c r="T3357" t="s">
        <v>49303</v>
      </c>
      <c r="U3357" t="s">
        <v>52540</v>
      </c>
      <c r="W3357" t="s">
        <v>44522</v>
      </c>
      <c r="X3357" t="s">
        <v>47430</v>
      </c>
    </row>
    <row r="3358" spans="1:24">
      <c r="A3358">
        <f>HYPERLINK("https://www.philgeps.gov.ph/GEPSNONPILOT/Tender/SplashBidNoticeAbstractUI.aspx?menuIndex=3&amp;refID=7163675&amp;Result=3","7163675")</f>
        <v>0</v>
      </c>
      <c r="B3358" t="s">
        <v>1411</v>
      </c>
      <c r="C3358" t="s">
        <v>7104</v>
      </c>
      <c r="D3358" t="s">
        <v>19079</v>
      </c>
      <c r="E3358" t="s">
        <v>22129</v>
      </c>
      <c r="F3358" t="s">
        <v>32831</v>
      </c>
      <c r="G3358" t="s">
        <v>32839</v>
      </c>
      <c r="H3358" t="s">
        <v>32848</v>
      </c>
      <c r="I3358" t="s">
        <v>4558</v>
      </c>
      <c r="J3358" t="s">
        <v>33472</v>
      </c>
      <c r="K3358" t="s">
        <v>42745</v>
      </c>
      <c r="M3358" t="s">
        <v>44498</v>
      </c>
      <c r="N3358" t="s">
        <v>47424</v>
      </c>
      <c r="O3358" t="s">
        <v>47425</v>
      </c>
      <c r="P3358">
        <v>0</v>
      </c>
      <c r="Q3358">
        <v>1</v>
      </c>
      <c r="R3358" t="s">
        <v>47428</v>
      </c>
      <c r="S3358" t="s">
        <v>47541</v>
      </c>
      <c r="T3358" t="s">
        <v>49340</v>
      </c>
      <c r="U3358" t="s">
        <v>52485</v>
      </c>
      <c r="W3358" t="s">
        <v>44498</v>
      </c>
      <c r="X3358" t="s">
        <v>47430</v>
      </c>
    </row>
    <row r="3359" spans="1:24">
      <c r="A3359">
        <f>HYPERLINK("https://www.philgeps.gov.ph/GEPSNONPILOT/Tender/SplashBidNoticeAbstractUI.aspx?menuIndex=3&amp;refID=7163737&amp;Result=3","7163737")</f>
        <v>0</v>
      </c>
      <c r="B3359" t="s">
        <v>1330</v>
      </c>
      <c r="C3359" t="s">
        <v>7105</v>
      </c>
      <c r="D3359" t="s">
        <v>19095</v>
      </c>
      <c r="E3359" t="s">
        <v>22130</v>
      </c>
      <c r="F3359" t="s">
        <v>32831</v>
      </c>
      <c r="G3359" t="s">
        <v>32840</v>
      </c>
      <c r="H3359" t="s">
        <v>32848</v>
      </c>
      <c r="I3359" t="s">
        <v>32870</v>
      </c>
      <c r="J3359" t="s">
        <v>35194</v>
      </c>
      <c r="K3359" t="s">
        <v>42726</v>
      </c>
      <c r="M3359" t="s">
        <v>44401</v>
      </c>
      <c r="N3359" t="s">
        <v>47424</v>
      </c>
      <c r="O3359" t="s">
        <v>47425</v>
      </c>
      <c r="P3359">
        <v>0</v>
      </c>
      <c r="Q3359">
        <v>0</v>
      </c>
      <c r="R3359" t="s">
        <v>47428</v>
      </c>
      <c r="S3359" t="s">
        <v>47541</v>
      </c>
      <c r="T3359" t="s">
        <v>49111</v>
      </c>
      <c r="U3359" t="s">
        <v>52541</v>
      </c>
      <c r="V3359" t="s">
        <v>62963</v>
      </c>
      <c r="W3359" t="s">
        <v>44401</v>
      </c>
      <c r="X3359" t="s">
        <v>47430</v>
      </c>
    </row>
    <row r="3360" spans="1:24">
      <c r="A3360">
        <f>HYPERLINK("https://www.philgeps.gov.ph/GEPSNONPILOT/Tender/SplashBidNoticeAbstractUI.aspx?menuIndex=3&amp;refID=7163726&amp;Result=3","7163726")</f>
        <v>0</v>
      </c>
      <c r="B3360" t="s">
        <v>1433</v>
      </c>
      <c r="C3360" t="s">
        <v>7106</v>
      </c>
      <c r="D3360" t="s">
        <v>19058</v>
      </c>
      <c r="E3360" t="s">
        <v>22131</v>
      </c>
      <c r="F3360" t="s">
        <v>32831</v>
      </c>
      <c r="G3360" t="s">
        <v>32839</v>
      </c>
      <c r="H3360" t="s">
        <v>32849</v>
      </c>
      <c r="I3360" t="s">
        <v>4177</v>
      </c>
      <c r="J3360" t="s">
        <v>35195</v>
      </c>
      <c r="K3360" t="s">
        <v>42757</v>
      </c>
      <c r="M3360" t="s">
        <v>44523</v>
      </c>
      <c r="N3360" t="s">
        <v>47424</v>
      </c>
      <c r="O3360" t="s">
        <v>47425</v>
      </c>
      <c r="P3360">
        <v>0</v>
      </c>
      <c r="Q3360">
        <v>1</v>
      </c>
      <c r="R3360" t="s">
        <v>47428</v>
      </c>
      <c r="S3360" t="s">
        <v>47541</v>
      </c>
      <c r="T3360" t="s">
        <v>49257</v>
      </c>
      <c r="U3360" t="s">
        <v>52542</v>
      </c>
      <c r="V3360" t="s">
        <v>62996</v>
      </c>
      <c r="W3360" t="s">
        <v>44523</v>
      </c>
      <c r="X3360" t="s">
        <v>47430</v>
      </c>
    </row>
    <row r="3361" spans="1:24">
      <c r="A3361">
        <f>HYPERLINK("https://www.philgeps.gov.ph/GEPSNONPILOT/Tender/SplashBidNoticeAbstractUI.aspx?menuIndex=3&amp;refID=7163723&amp;Result=3","7163723")</f>
        <v>0</v>
      </c>
      <c r="B3361" t="s">
        <v>1331</v>
      </c>
      <c r="C3361" t="s">
        <v>4699</v>
      </c>
      <c r="D3361" t="s">
        <v>19030</v>
      </c>
      <c r="E3361" t="s">
        <v>22132</v>
      </c>
      <c r="F3361" t="s">
        <v>32831</v>
      </c>
      <c r="G3361" t="s">
        <v>32842</v>
      </c>
      <c r="H3361" t="s">
        <v>32848</v>
      </c>
      <c r="I3361" t="s">
        <v>9577</v>
      </c>
      <c r="J3361" t="s">
        <v>35196</v>
      </c>
      <c r="K3361" t="s">
        <v>42748</v>
      </c>
      <c r="M3361" t="s">
        <v>44402</v>
      </c>
      <c r="N3361" t="s">
        <v>47424</v>
      </c>
      <c r="O3361" t="s">
        <v>47425</v>
      </c>
      <c r="P3361">
        <v>0</v>
      </c>
      <c r="Q3361">
        <v>4</v>
      </c>
      <c r="R3361" t="s">
        <v>47428</v>
      </c>
      <c r="S3361" t="s">
        <v>47541</v>
      </c>
      <c r="T3361" t="s">
        <v>49214</v>
      </c>
      <c r="U3361" t="s">
        <v>52543</v>
      </c>
      <c r="W3361" t="s">
        <v>44402</v>
      </c>
      <c r="X3361" t="s">
        <v>47430</v>
      </c>
    </row>
    <row r="3362" spans="1:24">
      <c r="A3362">
        <f>HYPERLINK("https://www.philgeps.gov.ph/GEPSNONPILOT/Tender/SplashBidNoticeAbstractUI.aspx?menuIndex=3&amp;refID=7163696&amp;Result=3","7163696")</f>
        <v>0</v>
      </c>
      <c r="B3362" t="s">
        <v>1434</v>
      </c>
      <c r="C3362" t="s">
        <v>7107</v>
      </c>
      <c r="D3362" t="s">
        <v>19021</v>
      </c>
      <c r="E3362" t="s">
        <v>22133</v>
      </c>
      <c r="F3362" t="s">
        <v>32831</v>
      </c>
      <c r="G3362" t="s">
        <v>32838</v>
      </c>
      <c r="H3362" t="s">
        <v>32848</v>
      </c>
      <c r="I3362" t="s">
        <v>32857</v>
      </c>
      <c r="J3362" t="s">
        <v>35197</v>
      </c>
      <c r="K3362" t="s">
        <v>42730</v>
      </c>
      <c r="M3362" t="s">
        <v>44524</v>
      </c>
      <c r="N3362" t="s">
        <v>47424</v>
      </c>
      <c r="O3362" t="s">
        <v>47425</v>
      </c>
      <c r="P3362">
        <v>0</v>
      </c>
      <c r="Q3362">
        <v>11</v>
      </c>
      <c r="R3362" t="s">
        <v>47428</v>
      </c>
      <c r="S3362" t="s">
        <v>47541</v>
      </c>
      <c r="T3362" t="s">
        <v>49345</v>
      </c>
      <c r="U3362" t="s">
        <v>52544</v>
      </c>
      <c r="W3362" t="s">
        <v>44524</v>
      </c>
      <c r="X3362" t="s">
        <v>47430</v>
      </c>
    </row>
    <row r="3363" spans="1:24">
      <c r="A3363">
        <f>HYPERLINK("https://www.philgeps.gov.ph/GEPSNONPILOT/Tender/SplashBidNoticeAbstractUI.aspx?menuIndex=3&amp;refID=7163730&amp;Result=3","7163730")</f>
        <v>0</v>
      </c>
      <c r="B3363" t="s">
        <v>1435</v>
      </c>
      <c r="C3363" t="s">
        <v>7108</v>
      </c>
      <c r="D3363" t="s">
        <v>19017</v>
      </c>
      <c r="E3363" t="s">
        <v>22134</v>
      </c>
      <c r="F3363" t="s">
        <v>32831</v>
      </c>
      <c r="G3363" t="s">
        <v>32838</v>
      </c>
      <c r="H3363" t="s">
        <v>32848</v>
      </c>
      <c r="I3363" t="s">
        <v>32916</v>
      </c>
      <c r="J3363" t="s">
        <v>33660</v>
      </c>
      <c r="K3363" t="s">
        <v>42732</v>
      </c>
      <c r="M3363" t="s">
        <v>44525</v>
      </c>
      <c r="N3363" t="s">
        <v>47424</v>
      </c>
      <c r="O3363" t="s">
        <v>47425</v>
      </c>
      <c r="P3363">
        <v>0</v>
      </c>
      <c r="Q3363">
        <v>1</v>
      </c>
      <c r="R3363" t="s">
        <v>47428</v>
      </c>
      <c r="S3363" t="s">
        <v>47541</v>
      </c>
      <c r="T3363" t="s">
        <v>49214</v>
      </c>
      <c r="U3363" t="s">
        <v>52545</v>
      </c>
      <c r="W3363" t="s">
        <v>44525</v>
      </c>
      <c r="X3363" t="s">
        <v>47430</v>
      </c>
    </row>
    <row r="3364" spans="1:24">
      <c r="A3364">
        <f>HYPERLINK("https://www.philgeps.gov.ph/GEPSNONPILOT/Tender/SplashBidNoticeAbstractUI.aspx?menuIndex=3&amp;refID=7163727&amp;Result=3","7163727")</f>
        <v>0</v>
      </c>
      <c r="B3364" t="s">
        <v>1436</v>
      </c>
      <c r="C3364" t="s">
        <v>7109</v>
      </c>
      <c r="D3364" t="s">
        <v>19038</v>
      </c>
      <c r="E3364" t="s">
        <v>22135</v>
      </c>
      <c r="F3364" t="s">
        <v>32831</v>
      </c>
      <c r="G3364" t="s">
        <v>32840</v>
      </c>
      <c r="H3364" t="s">
        <v>32848</v>
      </c>
      <c r="I3364" t="s">
        <v>32855</v>
      </c>
      <c r="J3364" t="s">
        <v>35198</v>
      </c>
      <c r="K3364" t="s">
        <v>42732</v>
      </c>
      <c r="M3364" t="s">
        <v>44526</v>
      </c>
      <c r="N3364" t="s">
        <v>47424</v>
      </c>
      <c r="O3364" t="s">
        <v>47425</v>
      </c>
      <c r="P3364">
        <v>0</v>
      </c>
      <c r="Q3364">
        <v>9</v>
      </c>
      <c r="R3364" t="s">
        <v>47428</v>
      </c>
      <c r="S3364" t="s">
        <v>47541</v>
      </c>
      <c r="T3364" t="s">
        <v>49145</v>
      </c>
      <c r="U3364" t="s">
        <v>52546</v>
      </c>
      <c r="W3364" t="s">
        <v>44526</v>
      </c>
      <c r="X3364" t="s">
        <v>47430</v>
      </c>
    </row>
    <row r="3365" spans="1:24">
      <c r="A3365">
        <f>HYPERLINK("https://www.philgeps.gov.ph/GEPSNONPILOT/Tender/SplashBidNoticeAbstractUI.aspx?menuIndex=3&amp;refID=7163755&amp;Result=3","7163755")</f>
        <v>0</v>
      </c>
      <c r="B3365" t="s">
        <v>1385</v>
      </c>
      <c r="C3365" t="s">
        <v>7110</v>
      </c>
      <c r="D3365" t="s">
        <v>19060</v>
      </c>
      <c r="E3365" t="s">
        <v>22136</v>
      </c>
      <c r="F3365" t="s">
        <v>32831</v>
      </c>
      <c r="G3365" t="s">
        <v>32840</v>
      </c>
      <c r="H3365" t="s">
        <v>32848</v>
      </c>
      <c r="I3365" t="s">
        <v>4303</v>
      </c>
      <c r="J3365" t="s">
        <v>35199</v>
      </c>
      <c r="K3365" t="s">
        <v>42730</v>
      </c>
      <c r="M3365" t="s">
        <v>44470</v>
      </c>
      <c r="N3365" t="s">
        <v>47424</v>
      </c>
      <c r="O3365" t="s">
        <v>47425</v>
      </c>
      <c r="P3365">
        <v>0</v>
      </c>
      <c r="Q3365">
        <v>2</v>
      </c>
      <c r="R3365" t="s">
        <v>47428</v>
      </c>
      <c r="S3365" t="s">
        <v>47541</v>
      </c>
      <c r="T3365" t="s">
        <v>49129</v>
      </c>
      <c r="U3365" t="s">
        <v>52547</v>
      </c>
      <c r="V3365" t="s">
        <v>62982</v>
      </c>
      <c r="W3365" t="s">
        <v>44470</v>
      </c>
      <c r="X3365" t="s">
        <v>47430</v>
      </c>
    </row>
    <row r="3366" spans="1:24">
      <c r="A3366">
        <f>HYPERLINK("https://www.philgeps.gov.ph/GEPSNONPILOT/Tender/SplashBidNoticeAbstractUI.aspx?menuIndex=3&amp;refID=7163706&amp;Result=3","7163706")</f>
        <v>0</v>
      </c>
      <c r="B3366" t="s">
        <v>1425</v>
      </c>
      <c r="C3366" t="s">
        <v>7111</v>
      </c>
      <c r="D3366" t="s">
        <v>19073</v>
      </c>
      <c r="E3366" t="s">
        <v>22137</v>
      </c>
      <c r="F3366" t="s">
        <v>32831</v>
      </c>
      <c r="G3366" t="s">
        <v>32841</v>
      </c>
      <c r="H3366" t="s">
        <v>32848</v>
      </c>
      <c r="I3366" t="s">
        <v>32862</v>
      </c>
      <c r="J3366" t="s">
        <v>35200</v>
      </c>
      <c r="K3366" t="s">
        <v>42730</v>
      </c>
      <c r="M3366" t="s">
        <v>44514</v>
      </c>
      <c r="N3366" t="s">
        <v>47424</v>
      </c>
      <c r="O3366" t="s">
        <v>47425</v>
      </c>
      <c r="P3366">
        <v>0</v>
      </c>
      <c r="Q3366">
        <v>0</v>
      </c>
      <c r="R3366" t="s">
        <v>47428</v>
      </c>
      <c r="S3366" t="s">
        <v>47541</v>
      </c>
      <c r="T3366" t="s">
        <v>49108</v>
      </c>
      <c r="U3366" t="s">
        <v>52548</v>
      </c>
      <c r="W3366" t="s">
        <v>44514</v>
      </c>
      <c r="X3366" t="s">
        <v>47430</v>
      </c>
    </row>
    <row r="3367" spans="1:24">
      <c r="A3367">
        <f>HYPERLINK("https://www.philgeps.gov.ph/GEPSNONPILOT/Tender/SplashBidNoticeAbstractUI.aspx?menuIndex=3&amp;refID=7163766&amp;Result=3","7163766")</f>
        <v>0</v>
      </c>
      <c r="B3367" t="s">
        <v>1437</v>
      </c>
      <c r="C3367" t="s">
        <v>7112</v>
      </c>
      <c r="D3367" t="s">
        <v>19042</v>
      </c>
      <c r="E3367" t="s">
        <v>7112</v>
      </c>
      <c r="F3367" t="s">
        <v>32831</v>
      </c>
      <c r="G3367" t="s">
        <v>32838</v>
      </c>
      <c r="H3367" t="s">
        <v>32848</v>
      </c>
      <c r="I3367" t="s">
        <v>4438</v>
      </c>
      <c r="J3367" t="s">
        <v>33978</v>
      </c>
      <c r="K3367" t="s">
        <v>42730</v>
      </c>
      <c r="M3367" t="s">
        <v>44527</v>
      </c>
      <c r="N3367" t="s">
        <v>47424</v>
      </c>
      <c r="O3367" t="s">
        <v>47425</v>
      </c>
      <c r="P3367">
        <v>0</v>
      </c>
      <c r="Q3367">
        <v>4</v>
      </c>
      <c r="R3367" t="s">
        <v>47428</v>
      </c>
      <c r="S3367" t="s">
        <v>47541</v>
      </c>
      <c r="T3367" t="s">
        <v>49198</v>
      </c>
      <c r="U3367" t="s">
        <v>52549</v>
      </c>
      <c r="V3367" t="s">
        <v>62997</v>
      </c>
      <c r="W3367" t="s">
        <v>44527</v>
      </c>
      <c r="X3367" t="s">
        <v>47430</v>
      </c>
    </row>
    <row r="3368" spans="1:24">
      <c r="A3368">
        <f>HYPERLINK("https://www.philgeps.gov.ph/GEPSNONPILOT/Tender/SplashBidNoticeAbstractUI.aspx?menuIndex=3&amp;refID=7163725&amp;Result=3","7163725")</f>
        <v>0</v>
      </c>
      <c r="B3368" t="s">
        <v>781</v>
      </c>
      <c r="C3368" t="s">
        <v>7113</v>
      </c>
      <c r="D3368" t="s">
        <v>19040</v>
      </c>
      <c r="E3368" t="s">
        <v>22138</v>
      </c>
      <c r="F3368" t="s">
        <v>32831</v>
      </c>
      <c r="G3368" t="s">
        <v>32840</v>
      </c>
      <c r="H3368" t="s">
        <v>32848</v>
      </c>
      <c r="I3368" t="s">
        <v>32860</v>
      </c>
      <c r="J3368" t="s">
        <v>33364</v>
      </c>
      <c r="K3368" t="s">
        <v>42731</v>
      </c>
      <c r="M3368" t="s">
        <v>43810</v>
      </c>
      <c r="N3368" t="s">
        <v>47424</v>
      </c>
      <c r="O3368" t="s">
        <v>47425</v>
      </c>
      <c r="P3368">
        <v>0</v>
      </c>
      <c r="Q3368">
        <v>0</v>
      </c>
      <c r="R3368" t="s">
        <v>47428</v>
      </c>
      <c r="S3368" t="s">
        <v>47541</v>
      </c>
      <c r="T3368" t="s">
        <v>49239</v>
      </c>
      <c r="U3368" t="s">
        <v>52550</v>
      </c>
      <c r="W3368" t="s">
        <v>43810</v>
      </c>
      <c r="X3368" t="s">
        <v>47430</v>
      </c>
    </row>
    <row r="3369" spans="1:24">
      <c r="A3369">
        <f>HYPERLINK("https://www.philgeps.gov.ph/GEPSNONPILOT/Tender/SplashBidNoticeAbstractUI.aspx?menuIndex=3&amp;refID=7163763&amp;Result=3","7163763")</f>
        <v>0</v>
      </c>
      <c r="B3369" t="s">
        <v>1438</v>
      </c>
      <c r="C3369" t="s">
        <v>7114</v>
      </c>
      <c r="D3369" t="s">
        <v>19033</v>
      </c>
      <c r="E3369" t="s">
        <v>22139</v>
      </c>
      <c r="F3369" t="s">
        <v>32831</v>
      </c>
      <c r="G3369" t="s">
        <v>32838</v>
      </c>
      <c r="H3369" t="s">
        <v>32848</v>
      </c>
      <c r="I3369" t="s">
        <v>7416</v>
      </c>
      <c r="J3369" t="s">
        <v>32980</v>
      </c>
      <c r="K3369" t="s">
        <v>42727</v>
      </c>
      <c r="M3369" t="s">
        <v>44528</v>
      </c>
      <c r="N3369" t="s">
        <v>47424</v>
      </c>
      <c r="O3369" t="s">
        <v>47425</v>
      </c>
      <c r="P3369">
        <v>0</v>
      </c>
      <c r="Q3369">
        <v>0</v>
      </c>
      <c r="R3369" t="s">
        <v>47428</v>
      </c>
      <c r="S3369" t="s">
        <v>47541</v>
      </c>
      <c r="T3369" t="s">
        <v>49145</v>
      </c>
      <c r="U3369" t="s">
        <v>52551</v>
      </c>
      <c r="W3369" t="s">
        <v>44528</v>
      </c>
      <c r="X3369" t="s">
        <v>47430</v>
      </c>
    </row>
    <row r="3370" spans="1:24">
      <c r="A3370">
        <f>HYPERLINK("https://www.philgeps.gov.ph/GEPSNONPILOT/Tender/SplashBidNoticeAbstractUI.aspx?menuIndex=3&amp;refID=7163762&amp;Result=3","7163762")</f>
        <v>0</v>
      </c>
      <c r="B3370" t="s">
        <v>1439</v>
      </c>
      <c r="C3370" t="s">
        <v>7115</v>
      </c>
      <c r="D3370" t="s">
        <v>19106</v>
      </c>
      <c r="E3370" t="s">
        <v>22140</v>
      </c>
      <c r="F3370" t="s">
        <v>32831</v>
      </c>
      <c r="G3370" t="s">
        <v>32838</v>
      </c>
      <c r="H3370" t="s">
        <v>32850</v>
      </c>
      <c r="I3370" t="s">
        <v>32905</v>
      </c>
      <c r="J3370" t="s">
        <v>35201</v>
      </c>
      <c r="K3370" t="s">
        <v>42774</v>
      </c>
      <c r="M3370" t="s">
        <v>44529</v>
      </c>
      <c r="N3370" t="s">
        <v>47424</v>
      </c>
      <c r="O3370" t="s">
        <v>47425</v>
      </c>
      <c r="P3370">
        <v>0</v>
      </c>
      <c r="Q3370">
        <v>1</v>
      </c>
      <c r="R3370" t="s">
        <v>47428</v>
      </c>
      <c r="S3370" t="s">
        <v>47541</v>
      </c>
      <c r="T3370" t="s">
        <v>49229</v>
      </c>
      <c r="U3370" t="s">
        <v>52552</v>
      </c>
      <c r="W3370" t="s">
        <v>44529</v>
      </c>
      <c r="X3370" t="s">
        <v>47430</v>
      </c>
    </row>
    <row r="3371" spans="1:24">
      <c r="A3371">
        <f>HYPERLINK("https://www.philgeps.gov.ph/GEPSNONPILOT/Tender/SplashBidNoticeAbstractUI.aspx?menuIndex=3&amp;refID=7163760&amp;Result=3","7163760")</f>
        <v>0</v>
      </c>
      <c r="B3371" t="s">
        <v>1420</v>
      </c>
      <c r="C3371" t="s">
        <v>7116</v>
      </c>
      <c r="D3371" t="s">
        <v>19033</v>
      </c>
      <c r="E3371" t="s">
        <v>22141</v>
      </c>
      <c r="F3371" t="s">
        <v>32831</v>
      </c>
      <c r="G3371" t="s">
        <v>32839</v>
      </c>
      <c r="H3371" t="s">
        <v>32848</v>
      </c>
      <c r="I3371" t="s">
        <v>7751</v>
      </c>
      <c r="J3371" t="s">
        <v>35202</v>
      </c>
      <c r="K3371" t="s">
        <v>42729</v>
      </c>
      <c r="M3371" t="s">
        <v>44508</v>
      </c>
      <c r="N3371" t="s">
        <v>47424</v>
      </c>
      <c r="O3371" t="s">
        <v>47425</v>
      </c>
      <c r="P3371">
        <v>0</v>
      </c>
      <c r="Q3371">
        <v>4</v>
      </c>
      <c r="R3371" t="s">
        <v>47428</v>
      </c>
      <c r="S3371" t="s">
        <v>47541</v>
      </c>
      <c r="T3371" t="s">
        <v>49267</v>
      </c>
      <c r="U3371" t="s">
        <v>52553</v>
      </c>
      <c r="W3371" t="s">
        <v>64468</v>
      </c>
      <c r="X3371" t="s">
        <v>47430</v>
      </c>
    </row>
    <row r="3372" spans="1:24">
      <c r="A3372">
        <f>HYPERLINK("https://www.philgeps.gov.ph/GEPSNONPILOT/Tender/SplashBidNoticeAbstractUI.aspx?menuIndex=3&amp;refID=7163720&amp;Result=3","7163720")</f>
        <v>0</v>
      </c>
      <c r="B3372" t="s">
        <v>674</v>
      </c>
      <c r="C3372" t="s">
        <v>7117</v>
      </c>
      <c r="D3372" t="s">
        <v>19058</v>
      </c>
      <c r="E3372" t="s">
        <v>22142</v>
      </c>
      <c r="F3372" t="s">
        <v>32831</v>
      </c>
      <c r="G3372" t="s">
        <v>32838</v>
      </c>
      <c r="H3372" t="s">
        <v>32848</v>
      </c>
      <c r="I3372" t="s">
        <v>4487</v>
      </c>
      <c r="J3372" t="s">
        <v>35203</v>
      </c>
      <c r="K3372" t="s">
        <v>42732</v>
      </c>
      <c r="M3372" t="s">
        <v>44520</v>
      </c>
      <c r="N3372" t="s">
        <v>47424</v>
      </c>
      <c r="O3372" t="s">
        <v>47425</v>
      </c>
      <c r="P3372">
        <v>0</v>
      </c>
      <c r="Q3372">
        <v>0</v>
      </c>
      <c r="R3372" t="s">
        <v>47428</v>
      </c>
      <c r="S3372" t="s">
        <v>47541</v>
      </c>
      <c r="T3372" t="s">
        <v>49237</v>
      </c>
      <c r="U3372" t="s">
        <v>52554</v>
      </c>
      <c r="W3372" t="s">
        <v>44520</v>
      </c>
      <c r="X3372" t="s">
        <v>47430</v>
      </c>
    </row>
    <row r="3373" spans="1:24">
      <c r="A3373">
        <f>HYPERLINK("https://www.philgeps.gov.ph/GEPSNONPILOT/Tender/SplashBidNoticeAbstractUI.aspx?menuIndex=3&amp;refID=7163758&amp;Result=3","7163758")</f>
        <v>0</v>
      </c>
      <c r="B3373" t="s">
        <v>703</v>
      </c>
      <c r="C3373" t="s">
        <v>7118</v>
      </c>
      <c r="D3373" t="s">
        <v>19077</v>
      </c>
      <c r="E3373" t="s">
        <v>22143</v>
      </c>
      <c r="F3373" t="s">
        <v>32831</v>
      </c>
      <c r="G3373" t="s">
        <v>32839</v>
      </c>
      <c r="H3373" t="s">
        <v>32848</v>
      </c>
      <c r="I3373" t="s">
        <v>32925</v>
      </c>
      <c r="J3373" t="s">
        <v>35204</v>
      </c>
      <c r="K3373" t="s">
        <v>42763</v>
      </c>
      <c r="M3373" t="s">
        <v>43722</v>
      </c>
      <c r="N3373" t="s">
        <v>47424</v>
      </c>
      <c r="O3373" t="s">
        <v>47425</v>
      </c>
      <c r="P3373">
        <v>0</v>
      </c>
      <c r="Q3373">
        <v>4</v>
      </c>
      <c r="R3373" t="s">
        <v>47428</v>
      </c>
      <c r="S3373" t="s">
        <v>47541</v>
      </c>
      <c r="T3373" t="s">
        <v>49189</v>
      </c>
      <c r="U3373" t="s">
        <v>50983</v>
      </c>
      <c r="W3373" t="s">
        <v>43722</v>
      </c>
      <c r="X3373" t="s">
        <v>47430</v>
      </c>
    </row>
    <row r="3374" spans="1:24">
      <c r="A3374">
        <f>HYPERLINK("https://www.philgeps.gov.ph/GEPSNONPILOT/Tender/SplashBidNoticeAbstractUI.aspx?menuIndex=3&amp;refID=7163753&amp;Result=3","7163753")</f>
        <v>0</v>
      </c>
      <c r="B3374" t="s">
        <v>1434</v>
      </c>
      <c r="C3374" t="s">
        <v>7119</v>
      </c>
      <c r="D3374" t="s">
        <v>19021</v>
      </c>
      <c r="E3374" t="s">
        <v>22144</v>
      </c>
      <c r="F3374" t="s">
        <v>32831</v>
      </c>
      <c r="G3374" t="s">
        <v>32838</v>
      </c>
      <c r="H3374" t="s">
        <v>32848</v>
      </c>
      <c r="I3374" t="s">
        <v>32868</v>
      </c>
      <c r="J3374" t="s">
        <v>35205</v>
      </c>
      <c r="K3374" t="s">
        <v>42730</v>
      </c>
      <c r="M3374" t="s">
        <v>44524</v>
      </c>
      <c r="N3374" t="s">
        <v>47424</v>
      </c>
      <c r="O3374" t="s">
        <v>47425</v>
      </c>
      <c r="P3374">
        <v>0</v>
      </c>
      <c r="Q3374">
        <v>3</v>
      </c>
      <c r="R3374" t="s">
        <v>47428</v>
      </c>
      <c r="S3374" t="s">
        <v>47541</v>
      </c>
      <c r="T3374" t="s">
        <v>49345</v>
      </c>
      <c r="U3374" t="s">
        <v>52555</v>
      </c>
      <c r="W3374" t="s">
        <v>44524</v>
      </c>
      <c r="X3374" t="s">
        <v>47430</v>
      </c>
    </row>
    <row r="3375" spans="1:24">
      <c r="A3375">
        <f>HYPERLINK("https://www.philgeps.gov.ph/GEPSNONPILOT/Tender/SplashBidNoticeAbstractUI.aspx?menuIndex=3&amp;refID=7163750&amp;Result=3","7163750")</f>
        <v>0</v>
      </c>
      <c r="B3375" t="s">
        <v>1418</v>
      </c>
      <c r="C3375" t="s">
        <v>7120</v>
      </c>
      <c r="D3375" t="s">
        <v>19034</v>
      </c>
      <c r="E3375" t="s">
        <v>22145</v>
      </c>
      <c r="F3375" t="s">
        <v>32831</v>
      </c>
      <c r="G3375" t="s">
        <v>32838</v>
      </c>
      <c r="H3375" t="s">
        <v>32848</v>
      </c>
      <c r="I3375" t="s">
        <v>4438</v>
      </c>
      <c r="J3375" t="s">
        <v>33273</v>
      </c>
      <c r="K3375" t="s">
        <v>42745</v>
      </c>
      <c r="M3375" t="s">
        <v>44506</v>
      </c>
      <c r="N3375" t="s">
        <v>47424</v>
      </c>
      <c r="O3375" t="s">
        <v>47425</v>
      </c>
      <c r="P3375">
        <v>0</v>
      </c>
      <c r="Q3375">
        <v>0</v>
      </c>
      <c r="R3375" t="s">
        <v>47428</v>
      </c>
      <c r="S3375" t="s">
        <v>47541</v>
      </c>
      <c r="T3375" t="s">
        <v>49150</v>
      </c>
      <c r="U3375" t="s">
        <v>52556</v>
      </c>
      <c r="W3375" t="s">
        <v>44506</v>
      </c>
      <c r="X3375" t="s">
        <v>47430</v>
      </c>
    </row>
    <row r="3376" spans="1:24">
      <c r="A3376">
        <f>HYPERLINK("https://www.philgeps.gov.ph/GEPSNONPILOT/Tender/SplashBidNoticeAbstractUI.aspx?menuIndex=3&amp;refID=7163747&amp;Result=3","7163747")</f>
        <v>0</v>
      </c>
      <c r="B3376" t="s">
        <v>909</v>
      </c>
      <c r="C3376" t="s">
        <v>5768</v>
      </c>
      <c r="D3376" t="s">
        <v>19067</v>
      </c>
      <c r="E3376" t="s">
        <v>22146</v>
      </c>
      <c r="F3376" t="s">
        <v>32831</v>
      </c>
      <c r="G3376" t="s">
        <v>32838</v>
      </c>
      <c r="H3376" t="s">
        <v>32848</v>
      </c>
      <c r="I3376" t="s">
        <v>5379</v>
      </c>
      <c r="J3376" t="s">
        <v>33018</v>
      </c>
      <c r="K3376" t="s">
        <v>42730</v>
      </c>
      <c r="M3376" t="s">
        <v>43949</v>
      </c>
      <c r="N3376" t="s">
        <v>47424</v>
      </c>
      <c r="O3376" t="s">
        <v>47425</v>
      </c>
      <c r="P3376">
        <v>0</v>
      </c>
      <c r="Q3376">
        <v>0</v>
      </c>
      <c r="R3376" t="s">
        <v>47428</v>
      </c>
      <c r="S3376" t="s">
        <v>47541</v>
      </c>
      <c r="T3376" t="s">
        <v>49237</v>
      </c>
      <c r="U3376" t="s">
        <v>51367</v>
      </c>
      <c r="W3376" t="s">
        <v>43949</v>
      </c>
      <c r="X3376" t="s">
        <v>47430</v>
      </c>
    </row>
    <row r="3377" spans="1:24">
      <c r="A3377">
        <f>HYPERLINK("https://www.philgeps.gov.ph/GEPSNONPILOT/Tender/SplashBidNoticeAbstractUI.aspx?menuIndex=3&amp;refID=7163746&amp;Result=3","7163746")</f>
        <v>0</v>
      </c>
      <c r="B3377" t="s">
        <v>1142</v>
      </c>
      <c r="C3377" t="s">
        <v>7121</v>
      </c>
      <c r="D3377" t="s">
        <v>19035</v>
      </c>
      <c r="E3377" t="s">
        <v>22147</v>
      </c>
      <c r="F3377" t="s">
        <v>32831</v>
      </c>
      <c r="G3377" t="s">
        <v>32838</v>
      </c>
      <c r="H3377" t="s">
        <v>32848</v>
      </c>
      <c r="I3377" t="s">
        <v>32857</v>
      </c>
      <c r="J3377" t="s">
        <v>33291</v>
      </c>
      <c r="K3377" t="s">
        <v>42727</v>
      </c>
      <c r="M3377" t="s">
        <v>44530</v>
      </c>
      <c r="N3377" t="s">
        <v>47424</v>
      </c>
      <c r="O3377" t="s">
        <v>47425</v>
      </c>
      <c r="P3377">
        <v>0</v>
      </c>
      <c r="Q3377">
        <v>12</v>
      </c>
      <c r="R3377" t="s">
        <v>47428</v>
      </c>
      <c r="S3377" t="s">
        <v>47541</v>
      </c>
      <c r="T3377" t="s">
        <v>49111</v>
      </c>
      <c r="U3377" t="s">
        <v>52557</v>
      </c>
      <c r="V3377" t="s">
        <v>62998</v>
      </c>
      <c r="W3377" t="s">
        <v>44530</v>
      </c>
      <c r="X3377" t="s">
        <v>47430</v>
      </c>
    </row>
    <row r="3378" spans="1:24">
      <c r="A3378">
        <f>HYPERLINK("https://www.philgeps.gov.ph/GEPSNONPILOT/Tender/SplashBidNoticeAbstractUI.aspx?menuIndex=3&amp;refID=7163745&amp;Result=3","7163745")</f>
        <v>0</v>
      </c>
      <c r="B3378" t="s">
        <v>1440</v>
      </c>
      <c r="C3378" t="s">
        <v>7122</v>
      </c>
      <c r="D3378" t="s">
        <v>19021</v>
      </c>
      <c r="E3378" t="s">
        <v>22148</v>
      </c>
      <c r="F3378" t="s">
        <v>32831</v>
      </c>
      <c r="G3378" t="s">
        <v>32839</v>
      </c>
      <c r="H3378" t="s">
        <v>32848</v>
      </c>
      <c r="I3378" t="s">
        <v>7416</v>
      </c>
      <c r="J3378" t="s">
        <v>35206</v>
      </c>
      <c r="K3378" t="s">
        <v>42731</v>
      </c>
      <c r="M3378" t="s">
        <v>44531</v>
      </c>
      <c r="N3378" t="s">
        <v>47424</v>
      </c>
      <c r="O3378" t="s">
        <v>47425</v>
      </c>
      <c r="P3378">
        <v>0</v>
      </c>
      <c r="Q3378">
        <v>1</v>
      </c>
      <c r="R3378" t="s">
        <v>47428</v>
      </c>
      <c r="S3378" t="s">
        <v>47541</v>
      </c>
      <c r="T3378" t="s">
        <v>49109</v>
      </c>
      <c r="U3378" t="s">
        <v>52558</v>
      </c>
      <c r="W3378" t="s">
        <v>44531</v>
      </c>
      <c r="X3378" t="s">
        <v>47430</v>
      </c>
    </row>
    <row r="3379" spans="1:24">
      <c r="A3379">
        <f>HYPERLINK("https://www.philgeps.gov.ph/GEPSNONPILOT/Tender/SplashBidNoticeAbstractUI.aspx?menuIndex=3&amp;refID=7163743&amp;Result=3","7163743")</f>
        <v>0</v>
      </c>
      <c r="B3379" t="s">
        <v>391</v>
      </c>
      <c r="C3379" t="s">
        <v>7123</v>
      </c>
      <c r="D3379" t="s">
        <v>19090</v>
      </c>
      <c r="E3379" t="s">
        <v>20212</v>
      </c>
      <c r="F3379" t="s">
        <v>32831</v>
      </c>
      <c r="G3379" t="s">
        <v>32838</v>
      </c>
      <c r="H3379" t="s">
        <v>32848</v>
      </c>
      <c r="I3379" t="s">
        <v>5379</v>
      </c>
      <c r="J3379" t="s">
        <v>35207</v>
      </c>
      <c r="K3379" t="s">
        <v>42758</v>
      </c>
      <c r="M3379" t="s">
        <v>43396</v>
      </c>
      <c r="N3379" t="s">
        <v>47424</v>
      </c>
      <c r="O3379" t="s">
        <v>47425</v>
      </c>
      <c r="P3379">
        <v>0</v>
      </c>
      <c r="Q3379">
        <v>0</v>
      </c>
      <c r="R3379" t="s">
        <v>47428</v>
      </c>
      <c r="S3379" t="s">
        <v>47541</v>
      </c>
      <c r="T3379" t="s">
        <v>49237</v>
      </c>
      <c r="U3379" t="s">
        <v>52559</v>
      </c>
      <c r="W3379" t="s">
        <v>43396</v>
      </c>
      <c r="X3379" t="s">
        <v>47430</v>
      </c>
    </row>
    <row r="3380" spans="1:24">
      <c r="A3380">
        <f>HYPERLINK("https://www.philgeps.gov.ph/GEPSNONPILOT/Tender/SplashBidNoticeAbstractUI.aspx?menuIndex=3&amp;refID=7163700&amp;Result=3","7163700")</f>
        <v>0</v>
      </c>
      <c r="B3380" t="s">
        <v>499</v>
      </c>
      <c r="C3380" t="s">
        <v>7124</v>
      </c>
      <c r="D3380" t="s">
        <v>19043</v>
      </c>
      <c r="E3380" t="s">
        <v>22149</v>
      </c>
      <c r="F3380" t="s">
        <v>32831</v>
      </c>
      <c r="G3380" t="s">
        <v>32838</v>
      </c>
      <c r="H3380" t="s">
        <v>32850</v>
      </c>
      <c r="I3380" t="s">
        <v>32863</v>
      </c>
      <c r="J3380" t="s">
        <v>33098</v>
      </c>
      <c r="K3380" t="s">
        <v>42727</v>
      </c>
      <c r="L3380" t="s">
        <v>499</v>
      </c>
      <c r="M3380" t="s">
        <v>43504</v>
      </c>
      <c r="N3380" t="s">
        <v>47424</v>
      </c>
      <c r="O3380" t="s">
        <v>47425</v>
      </c>
      <c r="P3380">
        <v>0</v>
      </c>
      <c r="Q3380">
        <v>0</v>
      </c>
      <c r="R3380" t="s">
        <v>47428</v>
      </c>
      <c r="S3380" t="s">
        <v>47541</v>
      </c>
      <c r="T3380" t="s">
        <v>49346</v>
      </c>
      <c r="U3380" t="s">
        <v>52560</v>
      </c>
      <c r="W3380" t="s">
        <v>43504</v>
      </c>
      <c r="X3380" t="s">
        <v>47430</v>
      </c>
    </row>
    <row r="3381" spans="1:24">
      <c r="A3381">
        <f>HYPERLINK("https://www.philgeps.gov.ph/GEPSNONPILOT/Tender/SplashBidNoticeAbstractUI.aspx?menuIndex=3&amp;refID=7163751&amp;Result=3","7163751")</f>
        <v>0</v>
      </c>
      <c r="B3381" t="s">
        <v>731</v>
      </c>
      <c r="C3381" t="s">
        <v>7125</v>
      </c>
      <c r="D3381" t="s">
        <v>19086</v>
      </c>
      <c r="E3381" t="s">
        <v>22150</v>
      </c>
      <c r="F3381" t="s">
        <v>32831</v>
      </c>
      <c r="G3381" t="s">
        <v>32838</v>
      </c>
      <c r="H3381" t="s">
        <v>32850</v>
      </c>
      <c r="I3381" t="s">
        <v>7416</v>
      </c>
      <c r="J3381" t="s">
        <v>35208</v>
      </c>
      <c r="K3381" t="s">
        <v>42726</v>
      </c>
      <c r="M3381" t="s">
        <v>43753</v>
      </c>
      <c r="N3381" t="s">
        <v>47424</v>
      </c>
      <c r="O3381" t="s">
        <v>47425</v>
      </c>
      <c r="P3381">
        <v>0</v>
      </c>
      <c r="Q3381">
        <v>0</v>
      </c>
      <c r="R3381" t="s">
        <v>47428</v>
      </c>
      <c r="S3381" t="s">
        <v>47541</v>
      </c>
      <c r="T3381" t="s">
        <v>49347</v>
      </c>
      <c r="U3381" t="s">
        <v>51018</v>
      </c>
      <c r="W3381" t="s">
        <v>43753</v>
      </c>
      <c r="X3381" t="s">
        <v>47430</v>
      </c>
    </row>
    <row r="3382" spans="1:24">
      <c r="A3382">
        <f>HYPERLINK("https://www.philgeps.gov.ph/GEPSNONPILOT/Tender/SplashBidNoticeAbstractUI.aspx?menuIndex=3&amp;refID=7163742&amp;Result=3","7163742")</f>
        <v>0</v>
      </c>
      <c r="B3382" t="s">
        <v>671</v>
      </c>
      <c r="C3382" t="s">
        <v>7126</v>
      </c>
      <c r="D3382" t="s">
        <v>19030</v>
      </c>
      <c r="E3382" t="s">
        <v>22151</v>
      </c>
      <c r="F3382" t="s">
        <v>32831</v>
      </c>
      <c r="G3382" t="s">
        <v>32839</v>
      </c>
      <c r="H3382" t="s">
        <v>32848</v>
      </c>
      <c r="I3382" t="s">
        <v>32884</v>
      </c>
      <c r="J3382" t="s">
        <v>35209</v>
      </c>
      <c r="K3382" t="s">
        <v>42730</v>
      </c>
      <c r="M3382" t="s">
        <v>44532</v>
      </c>
      <c r="N3382" t="s">
        <v>47424</v>
      </c>
      <c r="O3382" t="s">
        <v>47425</v>
      </c>
      <c r="P3382">
        <v>0</v>
      </c>
      <c r="Q3382">
        <v>3</v>
      </c>
      <c r="R3382" t="s">
        <v>47428</v>
      </c>
      <c r="S3382" t="s">
        <v>47541</v>
      </c>
      <c r="T3382" t="s">
        <v>49118</v>
      </c>
      <c r="U3382" t="s">
        <v>52028</v>
      </c>
      <c r="V3382" t="s">
        <v>62999</v>
      </c>
      <c r="W3382" t="s">
        <v>64462</v>
      </c>
      <c r="X3382" t="s">
        <v>47430</v>
      </c>
    </row>
    <row r="3383" spans="1:24">
      <c r="A3383">
        <f>HYPERLINK("https://www.philgeps.gov.ph/GEPSNONPILOT/Tender/SplashBidNoticeAbstractUI.aspx?menuIndex=3&amp;refID=7163798&amp;Result=3","7163798")</f>
        <v>0</v>
      </c>
      <c r="B3383" t="s">
        <v>1011</v>
      </c>
      <c r="C3383" t="s">
        <v>7127</v>
      </c>
      <c r="D3383" t="s">
        <v>19017</v>
      </c>
      <c r="E3383" t="s">
        <v>22152</v>
      </c>
      <c r="F3383" t="s">
        <v>32831</v>
      </c>
      <c r="G3383" t="s">
        <v>32840</v>
      </c>
      <c r="H3383" t="s">
        <v>32848</v>
      </c>
      <c r="I3383" t="s">
        <v>32857</v>
      </c>
      <c r="J3383" t="s">
        <v>34057</v>
      </c>
      <c r="K3383" t="s">
        <v>42730</v>
      </c>
      <c r="M3383" t="s">
        <v>44060</v>
      </c>
      <c r="N3383" t="s">
        <v>47424</v>
      </c>
      <c r="O3383" t="s">
        <v>47425</v>
      </c>
      <c r="P3383">
        <v>0</v>
      </c>
      <c r="Q3383">
        <v>6</v>
      </c>
      <c r="R3383" t="s">
        <v>47428</v>
      </c>
      <c r="S3383" t="s">
        <v>47541</v>
      </c>
      <c r="T3383" t="s">
        <v>49214</v>
      </c>
      <c r="U3383" t="s">
        <v>52561</v>
      </c>
      <c r="W3383" t="s">
        <v>44060</v>
      </c>
      <c r="X3383" t="s">
        <v>47430</v>
      </c>
    </row>
    <row r="3384" spans="1:24">
      <c r="A3384">
        <f>HYPERLINK("https://www.philgeps.gov.ph/GEPSNONPILOT/Tender/SplashBidNoticeAbstractUI.aspx?menuIndex=3&amp;refID=7163721&amp;Result=3","7163721")</f>
        <v>0</v>
      </c>
      <c r="B3384" t="s">
        <v>1441</v>
      </c>
      <c r="C3384" t="s">
        <v>7128</v>
      </c>
      <c r="D3384" t="s">
        <v>19048</v>
      </c>
      <c r="E3384" t="s">
        <v>22153</v>
      </c>
      <c r="F3384" t="s">
        <v>32831</v>
      </c>
      <c r="G3384" t="s">
        <v>32838</v>
      </c>
      <c r="H3384" t="s">
        <v>32848</v>
      </c>
      <c r="I3384" t="s">
        <v>4438</v>
      </c>
      <c r="J3384" t="s">
        <v>35210</v>
      </c>
      <c r="K3384" t="s">
        <v>42727</v>
      </c>
      <c r="M3384" t="s">
        <v>44533</v>
      </c>
      <c r="N3384" t="s">
        <v>47424</v>
      </c>
      <c r="O3384" t="s">
        <v>47425</v>
      </c>
      <c r="P3384">
        <v>0</v>
      </c>
      <c r="Q3384">
        <v>1</v>
      </c>
      <c r="R3384" t="s">
        <v>47428</v>
      </c>
      <c r="S3384" t="s">
        <v>47541</v>
      </c>
      <c r="T3384" t="s">
        <v>49162</v>
      </c>
      <c r="U3384" t="s">
        <v>52562</v>
      </c>
      <c r="W3384" t="s">
        <v>44533</v>
      </c>
      <c r="X3384" t="s">
        <v>47430</v>
      </c>
    </row>
    <row r="3385" spans="1:24">
      <c r="A3385">
        <f>HYPERLINK("https://www.philgeps.gov.ph/GEPSNONPILOT/Tender/SplashBidNoticeAbstractUI.aspx?menuIndex=3&amp;refID=7163796&amp;Result=3","7163796")</f>
        <v>0</v>
      </c>
      <c r="B3385" t="s">
        <v>1442</v>
      </c>
      <c r="C3385" t="s">
        <v>7129</v>
      </c>
      <c r="D3385" t="s">
        <v>19086</v>
      </c>
      <c r="E3385" t="s">
        <v>22154</v>
      </c>
      <c r="F3385" t="s">
        <v>32831</v>
      </c>
      <c r="G3385" t="s">
        <v>32838</v>
      </c>
      <c r="H3385" t="s">
        <v>32848</v>
      </c>
      <c r="I3385" t="s">
        <v>9577</v>
      </c>
      <c r="J3385" t="s">
        <v>34673</v>
      </c>
      <c r="K3385" t="s">
        <v>42726</v>
      </c>
      <c r="M3385" t="s">
        <v>44534</v>
      </c>
      <c r="N3385" t="s">
        <v>47424</v>
      </c>
      <c r="O3385" t="s">
        <v>47425</v>
      </c>
      <c r="P3385">
        <v>0</v>
      </c>
      <c r="Q3385">
        <v>7</v>
      </c>
      <c r="R3385" t="s">
        <v>47428</v>
      </c>
      <c r="S3385" t="s">
        <v>47541</v>
      </c>
      <c r="T3385" t="s">
        <v>49237</v>
      </c>
      <c r="U3385" t="s">
        <v>52563</v>
      </c>
      <c r="W3385" t="s">
        <v>44534</v>
      </c>
      <c r="X3385" t="s">
        <v>47430</v>
      </c>
    </row>
    <row r="3386" spans="1:24">
      <c r="A3386">
        <f>HYPERLINK("https://www.philgeps.gov.ph/GEPSNONPILOT/Tender/SplashBidNoticeAbstractUI.aspx?menuIndex=3&amp;refID=7163752&amp;Result=3","7163752")</f>
        <v>0</v>
      </c>
      <c r="B3386" t="s">
        <v>1192</v>
      </c>
      <c r="C3386" t="s">
        <v>7130</v>
      </c>
      <c r="D3386" t="s">
        <v>19022</v>
      </c>
      <c r="E3386" t="s">
        <v>19829</v>
      </c>
      <c r="F3386" t="s">
        <v>32831</v>
      </c>
      <c r="G3386" t="s">
        <v>32838</v>
      </c>
      <c r="H3386" t="s">
        <v>32848</v>
      </c>
      <c r="I3386" t="s">
        <v>9577</v>
      </c>
      <c r="J3386" t="s">
        <v>35211</v>
      </c>
      <c r="K3386" t="s">
        <v>42732</v>
      </c>
      <c r="M3386" t="s">
        <v>44258</v>
      </c>
      <c r="N3386" t="s">
        <v>47424</v>
      </c>
      <c r="O3386" t="s">
        <v>47425</v>
      </c>
      <c r="P3386">
        <v>0</v>
      </c>
      <c r="Q3386">
        <v>0</v>
      </c>
      <c r="R3386" t="s">
        <v>47428</v>
      </c>
      <c r="S3386" t="s">
        <v>47541</v>
      </c>
      <c r="T3386" t="s">
        <v>49114</v>
      </c>
      <c r="U3386" t="s">
        <v>52564</v>
      </c>
      <c r="W3386" t="s">
        <v>44258</v>
      </c>
      <c r="X3386" t="s">
        <v>47430</v>
      </c>
    </row>
    <row r="3387" spans="1:24">
      <c r="A3387">
        <f>HYPERLINK("https://www.philgeps.gov.ph/GEPSNONPILOT/Tender/SplashBidNoticeAbstractUI.aspx?menuIndex=3&amp;refID=7163741&amp;Result=3","7163741")</f>
        <v>0</v>
      </c>
      <c r="B3387" t="s">
        <v>1434</v>
      </c>
      <c r="C3387" t="s">
        <v>7131</v>
      </c>
      <c r="D3387" t="s">
        <v>19021</v>
      </c>
      <c r="E3387" t="s">
        <v>22155</v>
      </c>
      <c r="F3387" t="s">
        <v>32831</v>
      </c>
      <c r="G3387" t="s">
        <v>32838</v>
      </c>
      <c r="H3387" t="s">
        <v>32848</v>
      </c>
      <c r="I3387" t="s">
        <v>32868</v>
      </c>
      <c r="J3387" t="s">
        <v>35212</v>
      </c>
      <c r="K3387" t="s">
        <v>42730</v>
      </c>
      <c r="M3387" t="s">
        <v>44524</v>
      </c>
      <c r="N3387" t="s">
        <v>47424</v>
      </c>
      <c r="O3387" t="s">
        <v>47425</v>
      </c>
      <c r="P3387">
        <v>0</v>
      </c>
      <c r="Q3387">
        <v>3</v>
      </c>
      <c r="R3387" t="s">
        <v>47428</v>
      </c>
      <c r="S3387" t="s">
        <v>47541</v>
      </c>
      <c r="T3387" t="s">
        <v>49345</v>
      </c>
      <c r="U3387" t="s">
        <v>52565</v>
      </c>
      <c r="W3387" t="s">
        <v>44524</v>
      </c>
      <c r="X3387" t="s">
        <v>47430</v>
      </c>
    </row>
    <row r="3388" spans="1:24">
      <c r="A3388">
        <f>HYPERLINK("https://www.philgeps.gov.ph/GEPSNONPILOT/Tender/SplashBidNoticeAbstractUI.aspx?menuIndex=3&amp;refID=7163791&amp;Result=3","7163791")</f>
        <v>0</v>
      </c>
      <c r="B3388" t="s">
        <v>1441</v>
      </c>
      <c r="C3388" t="s">
        <v>7132</v>
      </c>
      <c r="D3388" t="s">
        <v>19048</v>
      </c>
      <c r="E3388" t="s">
        <v>22156</v>
      </c>
      <c r="F3388" t="s">
        <v>32831</v>
      </c>
      <c r="G3388" t="s">
        <v>32841</v>
      </c>
      <c r="H3388" t="s">
        <v>32848</v>
      </c>
      <c r="I3388" t="s">
        <v>9577</v>
      </c>
      <c r="J3388" t="s">
        <v>32980</v>
      </c>
      <c r="K3388" t="s">
        <v>42727</v>
      </c>
      <c r="M3388" t="s">
        <v>44533</v>
      </c>
      <c r="N3388" t="s">
        <v>47424</v>
      </c>
      <c r="O3388" t="s">
        <v>47425</v>
      </c>
      <c r="P3388">
        <v>0</v>
      </c>
      <c r="Q3388">
        <v>3</v>
      </c>
      <c r="R3388" t="s">
        <v>47428</v>
      </c>
      <c r="S3388" t="s">
        <v>47541</v>
      </c>
      <c r="T3388" t="s">
        <v>49066</v>
      </c>
      <c r="U3388" t="s">
        <v>52566</v>
      </c>
      <c r="W3388" t="s">
        <v>44533</v>
      </c>
      <c r="X3388" t="s">
        <v>47430</v>
      </c>
    </row>
    <row r="3389" spans="1:24">
      <c r="A3389">
        <f>HYPERLINK("https://www.philgeps.gov.ph/GEPSNONPILOT/Tender/SplashBidNoticeAbstractUI.aspx?menuIndex=3&amp;refID=7163790&amp;Result=3","7163790")</f>
        <v>0</v>
      </c>
      <c r="B3389" t="s">
        <v>1295</v>
      </c>
      <c r="C3389" t="s">
        <v>7133</v>
      </c>
      <c r="D3389" t="s">
        <v>19054</v>
      </c>
      <c r="E3389" t="s">
        <v>22157</v>
      </c>
      <c r="F3389" t="s">
        <v>32831</v>
      </c>
      <c r="G3389" t="s">
        <v>32839</v>
      </c>
      <c r="H3389" t="s">
        <v>32848</v>
      </c>
      <c r="I3389" t="s">
        <v>32863</v>
      </c>
      <c r="J3389" t="s">
        <v>32983</v>
      </c>
      <c r="K3389" t="s">
        <v>42731</v>
      </c>
      <c r="M3389" t="s">
        <v>44365</v>
      </c>
      <c r="N3389" t="s">
        <v>47424</v>
      </c>
      <c r="O3389" t="s">
        <v>47425</v>
      </c>
      <c r="P3389">
        <v>0</v>
      </c>
      <c r="Q3389">
        <v>0</v>
      </c>
      <c r="R3389" t="s">
        <v>47428</v>
      </c>
      <c r="S3389" t="s">
        <v>47541</v>
      </c>
      <c r="T3389" t="s">
        <v>49188</v>
      </c>
      <c r="U3389" t="s">
        <v>52500</v>
      </c>
      <c r="W3389" t="s">
        <v>44365</v>
      </c>
      <c r="X3389" t="s">
        <v>47430</v>
      </c>
    </row>
    <row r="3390" spans="1:24">
      <c r="A3390">
        <f>HYPERLINK("https://www.philgeps.gov.ph/GEPSNONPILOT/Tender/SplashBidNoticeAbstractUI.aspx?menuIndex=3&amp;refID=7163788&amp;Result=3","7163788")</f>
        <v>0</v>
      </c>
      <c r="B3390" t="s">
        <v>1443</v>
      </c>
      <c r="C3390" t="s">
        <v>7134</v>
      </c>
      <c r="D3390" t="s">
        <v>19058</v>
      </c>
      <c r="E3390" t="s">
        <v>22158</v>
      </c>
      <c r="F3390" t="s">
        <v>32831</v>
      </c>
      <c r="G3390" t="s">
        <v>32839</v>
      </c>
      <c r="H3390" t="s">
        <v>32849</v>
      </c>
      <c r="I3390" t="s">
        <v>4177</v>
      </c>
      <c r="J3390" t="s">
        <v>35213</v>
      </c>
      <c r="K3390" t="s">
        <v>42826</v>
      </c>
      <c r="M3390" t="s">
        <v>44535</v>
      </c>
      <c r="N3390" t="s">
        <v>47424</v>
      </c>
      <c r="O3390" t="s">
        <v>47425</v>
      </c>
      <c r="P3390">
        <v>0</v>
      </c>
      <c r="Q3390">
        <v>0</v>
      </c>
      <c r="R3390" t="s">
        <v>47428</v>
      </c>
      <c r="S3390" t="s">
        <v>47541</v>
      </c>
      <c r="T3390" t="s">
        <v>49348</v>
      </c>
      <c r="U3390" t="s">
        <v>52567</v>
      </c>
      <c r="W3390" t="s">
        <v>44535</v>
      </c>
      <c r="X3390" t="s">
        <v>47430</v>
      </c>
    </row>
    <row r="3391" spans="1:24">
      <c r="A3391">
        <f>HYPERLINK("https://www.philgeps.gov.ph/GEPSNONPILOT/Tender/SplashBidNoticeAbstractUI.aspx?menuIndex=3&amp;refID=7163764&amp;Result=3","7163764")</f>
        <v>0</v>
      </c>
      <c r="B3391" t="s">
        <v>1434</v>
      </c>
      <c r="C3391" t="s">
        <v>7135</v>
      </c>
      <c r="D3391" t="s">
        <v>19021</v>
      </c>
      <c r="E3391" t="s">
        <v>22159</v>
      </c>
      <c r="F3391" t="s">
        <v>32831</v>
      </c>
      <c r="G3391" t="s">
        <v>32838</v>
      </c>
      <c r="H3391" t="s">
        <v>32848</v>
      </c>
      <c r="I3391" t="s">
        <v>32868</v>
      </c>
      <c r="J3391" t="s">
        <v>35214</v>
      </c>
      <c r="K3391" t="s">
        <v>42730</v>
      </c>
      <c r="M3391" t="s">
        <v>44524</v>
      </c>
      <c r="N3391" t="s">
        <v>47424</v>
      </c>
      <c r="O3391" t="s">
        <v>47425</v>
      </c>
      <c r="P3391">
        <v>0</v>
      </c>
      <c r="Q3391">
        <v>3</v>
      </c>
      <c r="R3391" t="s">
        <v>47428</v>
      </c>
      <c r="S3391" t="s">
        <v>47541</v>
      </c>
      <c r="T3391" t="s">
        <v>49345</v>
      </c>
      <c r="U3391" t="s">
        <v>52568</v>
      </c>
      <c r="W3391" t="s">
        <v>44524</v>
      </c>
      <c r="X3391" t="s">
        <v>47430</v>
      </c>
    </row>
    <row r="3392" spans="1:24">
      <c r="A3392">
        <f>HYPERLINK("https://www.philgeps.gov.ph/GEPSNONPILOT/Tender/SplashBidNoticeAbstractUI.aspx?menuIndex=3&amp;refID=7163785&amp;Result=3","7163785")</f>
        <v>0</v>
      </c>
      <c r="B3392" t="s">
        <v>1381</v>
      </c>
      <c r="C3392" t="s">
        <v>7136</v>
      </c>
      <c r="D3392" t="s">
        <v>19057</v>
      </c>
      <c r="E3392" t="s">
        <v>22160</v>
      </c>
      <c r="F3392" t="s">
        <v>32831</v>
      </c>
      <c r="G3392" t="s">
        <v>32840</v>
      </c>
      <c r="H3392" t="s">
        <v>32848</v>
      </c>
      <c r="I3392" t="s">
        <v>32867</v>
      </c>
      <c r="J3392" t="s">
        <v>33086</v>
      </c>
      <c r="K3392" t="s">
        <v>42726</v>
      </c>
      <c r="M3392" t="s">
        <v>44465</v>
      </c>
      <c r="N3392" t="s">
        <v>47424</v>
      </c>
      <c r="O3392" t="s">
        <v>47425</v>
      </c>
      <c r="P3392">
        <v>0</v>
      </c>
      <c r="Q3392">
        <v>0</v>
      </c>
      <c r="R3392" t="s">
        <v>47428</v>
      </c>
      <c r="S3392" t="s">
        <v>47541</v>
      </c>
      <c r="T3392" t="s">
        <v>49198</v>
      </c>
      <c r="U3392" t="s">
        <v>52569</v>
      </c>
      <c r="W3392" t="s">
        <v>44465</v>
      </c>
      <c r="X3392" t="s">
        <v>47430</v>
      </c>
    </row>
    <row r="3393" spans="1:24">
      <c r="A3393">
        <f>HYPERLINK("https://www.philgeps.gov.ph/GEPSNONPILOT/Tender/SplashBidNoticeAbstractUI.aspx?menuIndex=3&amp;refID=7163783&amp;Result=3","7163783")</f>
        <v>0</v>
      </c>
      <c r="B3393" t="s">
        <v>1444</v>
      </c>
      <c r="C3393" t="s">
        <v>7137</v>
      </c>
      <c r="D3393" t="s">
        <v>19080</v>
      </c>
      <c r="E3393" t="s">
        <v>22161</v>
      </c>
      <c r="F3393" t="s">
        <v>32831</v>
      </c>
      <c r="G3393" t="s">
        <v>32840</v>
      </c>
      <c r="H3393" t="s">
        <v>32848</v>
      </c>
      <c r="I3393" t="s">
        <v>5379</v>
      </c>
      <c r="J3393" t="s">
        <v>33101</v>
      </c>
      <c r="K3393" t="s">
        <v>42797</v>
      </c>
      <c r="M3393" t="s">
        <v>44536</v>
      </c>
      <c r="N3393" t="s">
        <v>47424</v>
      </c>
      <c r="O3393" t="s">
        <v>47425</v>
      </c>
      <c r="P3393">
        <v>0</v>
      </c>
      <c r="Q3393">
        <v>0</v>
      </c>
      <c r="R3393" t="s">
        <v>47428</v>
      </c>
      <c r="S3393" t="s">
        <v>47541</v>
      </c>
      <c r="T3393" t="s">
        <v>49166</v>
      </c>
      <c r="U3393" t="s">
        <v>52570</v>
      </c>
      <c r="W3393" t="s">
        <v>44536</v>
      </c>
      <c r="X3393" t="s">
        <v>47430</v>
      </c>
    </row>
    <row r="3394" spans="1:24">
      <c r="A3394">
        <f>HYPERLINK("https://www.philgeps.gov.ph/GEPSNONPILOT/Tender/SplashBidNoticeAbstractUI.aspx?menuIndex=3&amp;refID=7163782&amp;Result=3","7163782")</f>
        <v>0</v>
      </c>
      <c r="B3394" t="s">
        <v>581</v>
      </c>
      <c r="C3394" t="s">
        <v>7138</v>
      </c>
      <c r="D3394" t="s">
        <v>19044</v>
      </c>
      <c r="E3394" t="s">
        <v>22162</v>
      </c>
      <c r="F3394" t="s">
        <v>32831</v>
      </c>
      <c r="G3394" t="s">
        <v>32838</v>
      </c>
      <c r="H3394" t="s">
        <v>32848</v>
      </c>
      <c r="I3394" t="s">
        <v>32884</v>
      </c>
      <c r="J3394" t="s">
        <v>33879</v>
      </c>
      <c r="K3394" t="s">
        <v>42726</v>
      </c>
      <c r="M3394" t="s">
        <v>43592</v>
      </c>
      <c r="N3394" t="s">
        <v>47424</v>
      </c>
      <c r="O3394" t="s">
        <v>47425</v>
      </c>
      <c r="P3394">
        <v>0</v>
      </c>
      <c r="Q3394">
        <v>2</v>
      </c>
      <c r="R3394" t="s">
        <v>47428</v>
      </c>
      <c r="S3394" t="s">
        <v>47541</v>
      </c>
      <c r="T3394" t="s">
        <v>49163</v>
      </c>
      <c r="U3394" t="s">
        <v>50752</v>
      </c>
      <c r="W3394" t="s">
        <v>43592</v>
      </c>
      <c r="X3394" t="s">
        <v>47430</v>
      </c>
    </row>
    <row r="3395" spans="1:24">
      <c r="A3395">
        <f>HYPERLINK("https://www.philgeps.gov.ph/GEPSNONPILOT/Tender/SplashBidNoticeAbstractUI.aspx?menuIndex=3&amp;refID=7163744&amp;Result=3","7163744")</f>
        <v>0</v>
      </c>
      <c r="B3395" t="s">
        <v>1162</v>
      </c>
      <c r="C3395" t="s">
        <v>7139</v>
      </c>
      <c r="D3395" t="s">
        <v>19050</v>
      </c>
      <c r="E3395" t="s">
        <v>7139</v>
      </c>
      <c r="F3395" t="s">
        <v>32831</v>
      </c>
      <c r="G3395" t="s">
        <v>32838</v>
      </c>
      <c r="H3395" t="s">
        <v>32848</v>
      </c>
      <c r="I3395" t="s">
        <v>32905</v>
      </c>
      <c r="J3395" t="s">
        <v>33445</v>
      </c>
      <c r="K3395" t="s">
        <v>42759</v>
      </c>
      <c r="M3395" t="s">
        <v>44227</v>
      </c>
      <c r="N3395" t="s">
        <v>47424</v>
      </c>
      <c r="O3395" t="s">
        <v>47425</v>
      </c>
      <c r="P3395">
        <v>0</v>
      </c>
      <c r="Q3395">
        <v>0</v>
      </c>
      <c r="R3395" t="s">
        <v>47428</v>
      </c>
      <c r="S3395" t="s">
        <v>47541</v>
      </c>
      <c r="T3395" t="s">
        <v>49108</v>
      </c>
      <c r="U3395" t="s">
        <v>52571</v>
      </c>
      <c r="W3395" t="s">
        <v>44227</v>
      </c>
      <c r="X3395" t="s">
        <v>47430</v>
      </c>
    </row>
    <row r="3396" spans="1:24">
      <c r="A3396">
        <f>HYPERLINK("https://www.philgeps.gov.ph/GEPSNONPILOT/Tender/SplashBidNoticeAbstractUI.aspx?menuIndex=3&amp;refID=7163776&amp;Result=3","7163776")</f>
        <v>0</v>
      </c>
      <c r="B3396" t="s">
        <v>909</v>
      </c>
      <c r="C3396" t="s">
        <v>5774</v>
      </c>
      <c r="D3396" t="s">
        <v>19067</v>
      </c>
      <c r="E3396" t="s">
        <v>22163</v>
      </c>
      <c r="F3396" t="s">
        <v>32831</v>
      </c>
      <c r="G3396" t="s">
        <v>32838</v>
      </c>
      <c r="H3396" t="s">
        <v>32848</v>
      </c>
      <c r="I3396" t="s">
        <v>4222</v>
      </c>
      <c r="J3396" t="s">
        <v>35215</v>
      </c>
      <c r="K3396" t="s">
        <v>42730</v>
      </c>
      <c r="M3396" t="s">
        <v>43949</v>
      </c>
      <c r="N3396" t="s">
        <v>47424</v>
      </c>
      <c r="O3396" t="s">
        <v>47425</v>
      </c>
      <c r="P3396">
        <v>0</v>
      </c>
      <c r="Q3396">
        <v>0</v>
      </c>
      <c r="R3396" t="s">
        <v>47428</v>
      </c>
      <c r="S3396" t="s">
        <v>47541</v>
      </c>
      <c r="T3396" t="s">
        <v>49237</v>
      </c>
      <c r="U3396" t="s">
        <v>51372</v>
      </c>
      <c r="W3396" t="s">
        <v>43949</v>
      </c>
      <c r="X3396" t="s">
        <v>47430</v>
      </c>
    </row>
    <row r="3397" spans="1:24">
      <c r="A3397">
        <f>HYPERLINK("https://www.philgeps.gov.ph/GEPSNONPILOT/Tender/SplashBidNoticeAbstractUI.aspx?menuIndex=3&amp;refID=7163795&amp;Result=3","7163795")</f>
        <v>0</v>
      </c>
      <c r="B3397" t="s">
        <v>1445</v>
      </c>
      <c r="C3397" t="s">
        <v>7094</v>
      </c>
      <c r="E3397" t="s">
        <v>22121</v>
      </c>
      <c r="F3397" t="s">
        <v>32831</v>
      </c>
      <c r="G3397" t="s">
        <v>32838</v>
      </c>
      <c r="H3397" t="s">
        <v>32848</v>
      </c>
      <c r="I3397" t="s">
        <v>9577</v>
      </c>
      <c r="J3397" t="s">
        <v>35216</v>
      </c>
      <c r="K3397" t="s">
        <v>42729</v>
      </c>
      <c r="M3397" t="s">
        <v>44537</v>
      </c>
      <c r="N3397" t="s">
        <v>47424</v>
      </c>
      <c r="O3397" t="s">
        <v>47425</v>
      </c>
      <c r="P3397">
        <v>0</v>
      </c>
      <c r="Q3397">
        <v>2</v>
      </c>
      <c r="R3397" t="s">
        <v>47428</v>
      </c>
      <c r="S3397" t="s">
        <v>47541</v>
      </c>
      <c r="T3397" t="s">
        <v>49114</v>
      </c>
      <c r="U3397" t="s">
        <v>52531</v>
      </c>
      <c r="W3397" t="s">
        <v>44537</v>
      </c>
      <c r="X3397" t="s">
        <v>47430</v>
      </c>
    </row>
    <row r="3398" spans="1:24">
      <c r="A3398">
        <f>HYPERLINK("https://www.philgeps.gov.ph/GEPSNONPILOT/Tender/SplashBidNoticeAbstractUI.aspx?menuIndex=3&amp;refID=7163787&amp;Result=3","7163787")</f>
        <v>0</v>
      </c>
      <c r="B3398" t="s">
        <v>703</v>
      </c>
      <c r="C3398" t="s">
        <v>7140</v>
      </c>
      <c r="D3398" t="s">
        <v>19077</v>
      </c>
      <c r="E3398" t="s">
        <v>22164</v>
      </c>
      <c r="F3398" t="s">
        <v>32831</v>
      </c>
      <c r="G3398" t="s">
        <v>32839</v>
      </c>
      <c r="H3398" t="s">
        <v>32848</v>
      </c>
      <c r="I3398" t="s">
        <v>32925</v>
      </c>
      <c r="J3398" t="s">
        <v>35217</v>
      </c>
      <c r="K3398" t="s">
        <v>42763</v>
      </c>
      <c r="M3398" t="s">
        <v>43722</v>
      </c>
      <c r="N3398" t="s">
        <v>47424</v>
      </c>
      <c r="O3398" t="s">
        <v>47425</v>
      </c>
      <c r="P3398">
        <v>0</v>
      </c>
      <c r="Q3398">
        <v>4</v>
      </c>
      <c r="R3398" t="s">
        <v>47428</v>
      </c>
      <c r="S3398" t="s">
        <v>47541</v>
      </c>
      <c r="T3398" t="s">
        <v>49189</v>
      </c>
      <c r="U3398" t="s">
        <v>50983</v>
      </c>
      <c r="W3398" t="s">
        <v>43722</v>
      </c>
      <c r="X3398" t="s">
        <v>47430</v>
      </c>
    </row>
    <row r="3399" spans="1:24">
      <c r="A3399">
        <f>HYPERLINK("https://www.philgeps.gov.ph/GEPSNONPILOT/Tender/SplashBidNoticeAbstractUI.aspx?menuIndex=3&amp;refID=7163774&amp;Result=3","7163774")</f>
        <v>0</v>
      </c>
      <c r="B3399" t="s">
        <v>1385</v>
      </c>
      <c r="C3399" t="s">
        <v>7141</v>
      </c>
      <c r="D3399" t="s">
        <v>19060</v>
      </c>
      <c r="E3399" t="s">
        <v>22165</v>
      </c>
      <c r="F3399" t="s">
        <v>32831</v>
      </c>
      <c r="G3399" t="s">
        <v>32838</v>
      </c>
      <c r="H3399" t="s">
        <v>32850</v>
      </c>
      <c r="I3399" t="s">
        <v>32879</v>
      </c>
      <c r="J3399" t="s">
        <v>33692</v>
      </c>
      <c r="K3399" t="s">
        <v>42730</v>
      </c>
      <c r="M3399" t="s">
        <v>44470</v>
      </c>
      <c r="N3399" t="s">
        <v>47424</v>
      </c>
      <c r="O3399" t="s">
        <v>47425</v>
      </c>
      <c r="P3399">
        <v>0</v>
      </c>
      <c r="Q3399">
        <v>2</v>
      </c>
      <c r="R3399" t="s">
        <v>47428</v>
      </c>
      <c r="S3399" t="s">
        <v>47541</v>
      </c>
      <c r="T3399" t="s">
        <v>49129</v>
      </c>
      <c r="U3399" t="s">
        <v>52572</v>
      </c>
      <c r="V3399" t="s">
        <v>63000</v>
      </c>
      <c r="W3399" t="s">
        <v>44470</v>
      </c>
      <c r="X3399" t="s">
        <v>47430</v>
      </c>
    </row>
    <row r="3400" spans="1:24">
      <c r="A3400">
        <f>HYPERLINK("https://www.philgeps.gov.ph/GEPSNONPILOT/Tender/SplashBidNoticeAbstractUI.aspx?menuIndex=3&amp;refID=7163771&amp;Result=3","7163771")</f>
        <v>0</v>
      </c>
      <c r="B3400" t="s">
        <v>588</v>
      </c>
      <c r="C3400" t="s">
        <v>7142</v>
      </c>
      <c r="E3400" t="s">
        <v>22166</v>
      </c>
      <c r="F3400" t="s">
        <v>32833</v>
      </c>
      <c r="G3400" t="s">
        <v>32838</v>
      </c>
      <c r="H3400" t="s">
        <v>32848</v>
      </c>
      <c r="I3400" t="s">
        <v>7416</v>
      </c>
      <c r="J3400" t="s">
        <v>35218</v>
      </c>
      <c r="K3400" t="s">
        <v>42732</v>
      </c>
      <c r="M3400" t="s">
        <v>43600</v>
      </c>
      <c r="N3400" t="s">
        <v>47424</v>
      </c>
      <c r="O3400" t="s">
        <v>47425</v>
      </c>
      <c r="P3400">
        <v>0</v>
      </c>
      <c r="Q3400">
        <v>0</v>
      </c>
      <c r="R3400" t="s">
        <v>47428</v>
      </c>
      <c r="S3400" t="s">
        <v>47541</v>
      </c>
      <c r="T3400" t="s">
        <v>49069</v>
      </c>
      <c r="U3400" t="s">
        <v>52573</v>
      </c>
      <c r="V3400" t="s">
        <v>63001</v>
      </c>
      <c r="W3400" t="s">
        <v>43600</v>
      </c>
      <c r="X3400" t="s">
        <v>47430</v>
      </c>
    </row>
    <row r="3401" spans="1:24">
      <c r="A3401">
        <f>HYPERLINK("https://www.philgeps.gov.ph/GEPSNONPILOT/Tender/SplashBidNoticeAbstractUI.aspx?menuIndex=3&amp;refID=7163770&amp;Result=3","7163770")</f>
        <v>0</v>
      </c>
      <c r="B3401" t="s">
        <v>1440</v>
      </c>
      <c r="C3401" t="s">
        <v>7143</v>
      </c>
      <c r="D3401" t="s">
        <v>19021</v>
      </c>
      <c r="E3401" t="s">
        <v>22167</v>
      </c>
      <c r="F3401" t="s">
        <v>32831</v>
      </c>
      <c r="G3401" t="s">
        <v>32839</v>
      </c>
      <c r="H3401" t="s">
        <v>32849</v>
      </c>
      <c r="I3401" t="s">
        <v>4177</v>
      </c>
      <c r="J3401" t="s">
        <v>35219</v>
      </c>
      <c r="K3401" t="s">
        <v>42770</v>
      </c>
      <c r="M3401" t="s">
        <v>44531</v>
      </c>
      <c r="N3401" t="s">
        <v>47424</v>
      </c>
      <c r="O3401" t="s">
        <v>47425</v>
      </c>
      <c r="P3401">
        <v>0</v>
      </c>
      <c r="Q3401">
        <v>12</v>
      </c>
      <c r="R3401" t="s">
        <v>47428</v>
      </c>
      <c r="S3401" t="s">
        <v>47541</v>
      </c>
      <c r="T3401" t="s">
        <v>49068</v>
      </c>
      <c r="U3401" t="s">
        <v>52574</v>
      </c>
      <c r="W3401" t="s">
        <v>44531</v>
      </c>
      <c r="X3401" t="s">
        <v>47430</v>
      </c>
    </row>
    <row r="3402" spans="1:24">
      <c r="A3402">
        <f>HYPERLINK("https://www.philgeps.gov.ph/GEPSNONPILOT/Tender/SplashBidNoticeAbstractUI.aspx?menuIndex=3&amp;refID=7163833&amp;Result=3","7163833")</f>
        <v>0</v>
      </c>
      <c r="B3402" t="s">
        <v>720</v>
      </c>
      <c r="C3402" t="s">
        <v>7144</v>
      </c>
      <c r="D3402" t="s">
        <v>19090</v>
      </c>
      <c r="E3402" t="s">
        <v>22168</v>
      </c>
      <c r="F3402" t="s">
        <v>32831</v>
      </c>
      <c r="G3402" t="s">
        <v>32840</v>
      </c>
      <c r="H3402" t="s">
        <v>32848</v>
      </c>
      <c r="I3402" t="s">
        <v>4222</v>
      </c>
      <c r="J3402" t="s">
        <v>35220</v>
      </c>
      <c r="K3402" t="s">
        <v>42727</v>
      </c>
      <c r="M3402" t="s">
        <v>43741</v>
      </c>
      <c r="N3402" t="s">
        <v>47424</v>
      </c>
      <c r="O3402" t="s">
        <v>47425</v>
      </c>
      <c r="P3402">
        <v>0</v>
      </c>
      <c r="Q3402">
        <v>0</v>
      </c>
      <c r="R3402" t="s">
        <v>47428</v>
      </c>
      <c r="S3402" t="s">
        <v>47541</v>
      </c>
      <c r="T3402" t="s">
        <v>49163</v>
      </c>
      <c r="U3402" t="s">
        <v>52575</v>
      </c>
      <c r="W3402" t="s">
        <v>64445</v>
      </c>
      <c r="X3402" t="s">
        <v>47430</v>
      </c>
    </row>
    <row r="3403" spans="1:24">
      <c r="A3403">
        <f>HYPERLINK("https://www.philgeps.gov.ph/GEPSNONPILOT/Tender/SplashBidNoticeAbstractUI.aspx?menuIndex=3&amp;refID=7163778&amp;Result=3","7163778")</f>
        <v>0</v>
      </c>
      <c r="B3403" t="s">
        <v>750</v>
      </c>
      <c r="C3403" t="s">
        <v>7145</v>
      </c>
      <c r="D3403" t="s">
        <v>19022</v>
      </c>
      <c r="E3403" t="s">
        <v>22169</v>
      </c>
      <c r="F3403" t="s">
        <v>32831</v>
      </c>
      <c r="G3403" t="s">
        <v>32838</v>
      </c>
      <c r="H3403" t="s">
        <v>32848</v>
      </c>
      <c r="I3403" t="s">
        <v>5379</v>
      </c>
      <c r="J3403" t="s">
        <v>33090</v>
      </c>
      <c r="K3403" t="s">
        <v>42732</v>
      </c>
      <c r="M3403" t="s">
        <v>43773</v>
      </c>
      <c r="N3403" t="s">
        <v>47424</v>
      </c>
      <c r="O3403" t="s">
        <v>47425</v>
      </c>
      <c r="P3403">
        <v>0</v>
      </c>
      <c r="Q3403">
        <v>2</v>
      </c>
      <c r="R3403" t="s">
        <v>47428</v>
      </c>
      <c r="S3403" t="s">
        <v>47541</v>
      </c>
      <c r="T3403" t="s">
        <v>49145</v>
      </c>
      <c r="U3403" t="s">
        <v>52576</v>
      </c>
      <c r="W3403" t="s">
        <v>43773</v>
      </c>
      <c r="X3403" t="s">
        <v>47430</v>
      </c>
    </row>
    <row r="3404" spans="1:24">
      <c r="A3404">
        <f>HYPERLINK("https://www.philgeps.gov.ph/GEPSNONPILOT/Tender/SplashBidNoticeAbstractUI.aspx?menuIndex=3&amp;refID=7163832&amp;Result=3","7163832")</f>
        <v>0</v>
      </c>
      <c r="B3404" t="s">
        <v>575</v>
      </c>
      <c r="C3404" t="s">
        <v>5307</v>
      </c>
      <c r="D3404" t="s">
        <v>19041</v>
      </c>
      <c r="E3404" t="s">
        <v>22170</v>
      </c>
      <c r="F3404" t="s">
        <v>32831</v>
      </c>
      <c r="G3404" t="s">
        <v>32838</v>
      </c>
      <c r="H3404" t="s">
        <v>32848</v>
      </c>
      <c r="I3404" t="s">
        <v>5379</v>
      </c>
      <c r="J3404" t="s">
        <v>34129</v>
      </c>
      <c r="K3404" t="s">
        <v>42749</v>
      </c>
      <c r="M3404" t="s">
        <v>43585</v>
      </c>
      <c r="N3404" t="s">
        <v>47424</v>
      </c>
      <c r="O3404" t="s">
        <v>47425</v>
      </c>
      <c r="P3404">
        <v>0</v>
      </c>
      <c r="Q3404">
        <v>0</v>
      </c>
      <c r="R3404" t="s">
        <v>47428</v>
      </c>
      <c r="S3404" t="s">
        <v>47541</v>
      </c>
      <c r="T3404" t="s">
        <v>49166</v>
      </c>
      <c r="U3404" t="s">
        <v>52577</v>
      </c>
      <c r="W3404" t="s">
        <v>43585</v>
      </c>
      <c r="X3404" t="s">
        <v>47430</v>
      </c>
    </row>
    <row r="3405" spans="1:24">
      <c r="A3405">
        <f>HYPERLINK("https://www.philgeps.gov.ph/GEPSNONPILOT/Tender/SplashBidNoticeAbstractUI.aspx?menuIndex=3&amp;refID=7163828&amp;Result=3","7163828")</f>
        <v>0</v>
      </c>
      <c r="B3405" t="s">
        <v>1319</v>
      </c>
      <c r="C3405" t="s">
        <v>7146</v>
      </c>
      <c r="D3405" t="s">
        <v>19083</v>
      </c>
      <c r="E3405" t="s">
        <v>22171</v>
      </c>
      <c r="F3405" t="s">
        <v>32831</v>
      </c>
      <c r="G3405" t="s">
        <v>32840</v>
      </c>
      <c r="H3405" t="s">
        <v>32848</v>
      </c>
      <c r="I3405" t="s">
        <v>5379</v>
      </c>
      <c r="J3405" t="s">
        <v>35221</v>
      </c>
      <c r="K3405" t="s">
        <v>42730</v>
      </c>
      <c r="M3405" t="s">
        <v>44390</v>
      </c>
      <c r="N3405" t="s">
        <v>47424</v>
      </c>
      <c r="O3405" t="s">
        <v>47425</v>
      </c>
      <c r="P3405">
        <v>0</v>
      </c>
      <c r="Q3405">
        <v>0</v>
      </c>
      <c r="R3405" t="s">
        <v>47428</v>
      </c>
      <c r="S3405" t="s">
        <v>47541</v>
      </c>
      <c r="T3405" t="s">
        <v>49111</v>
      </c>
      <c r="U3405" t="s">
        <v>52578</v>
      </c>
      <c r="W3405" t="s">
        <v>44390</v>
      </c>
      <c r="X3405" t="s">
        <v>47430</v>
      </c>
    </row>
    <row r="3406" spans="1:24">
      <c r="A3406">
        <f>HYPERLINK("https://www.philgeps.gov.ph/GEPSNONPILOT/Tender/SplashBidNoticeAbstractUI.aspx?menuIndex=3&amp;refID=7163825&amp;Result=3","7163825")</f>
        <v>0</v>
      </c>
      <c r="B3406" t="s">
        <v>909</v>
      </c>
      <c r="C3406" t="s">
        <v>7147</v>
      </c>
      <c r="D3406" t="s">
        <v>19067</v>
      </c>
      <c r="E3406" t="s">
        <v>22172</v>
      </c>
      <c r="F3406" t="s">
        <v>32831</v>
      </c>
      <c r="G3406" t="s">
        <v>32838</v>
      </c>
      <c r="H3406" t="s">
        <v>32848</v>
      </c>
      <c r="I3406" t="s">
        <v>4776</v>
      </c>
      <c r="J3406" t="s">
        <v>33461</v>
      </c>
      <c r="K3406" t="s">
        <v>42730</v>
      </c>
      <c r="M3406" t="s">
        <v>43949</v>
      </c>
      <c r="N3406" t="s">
        <v>47424</v>
      </c>
      <c r="O3406" t="s">
        <v>47425</v>
      </c>
      <c r="P3406">
        <v>0</v>
      </c>
      <c r="Q3406">
        <v>1</v>
      </c>
      <c r="R3406" t="s">
        <v>47428</v>
      </c>
      <c r="S3406" t="s">
        <v>47541</v>
      </c>
      <c r="T3406" t="s">
        <v>49237</v>
      </c>
      <c r="U3406" t="s">
        <v>52579</v>
      </c>
      <c r="W3406" t="s">
        <v>43949</v>
      </c>
      <c r="X3406" t="s">
        <v>47430</v>
      </c>
    </row>
    <row r="3407" spans="1:24">
      <c r="A3407">
        <f>HYPERLINK("https://www.philgeps.gov.ph/GEPSNONPILOT/Tender/SplashBidNoticeAbstractUI.aspx?menuIndex=3&amp;refID=7163769&amp;Result=3","7163769")</f>
        <v>0</v>
      </c>
      <c r="B3407" t="s">
        <v>1446</v>
      </c>
      <c r="C3407" t="s">
        <v>7148</v>
      </c>
      <c r="D3407" t="s">
        <v>19017</v>
      </c>
      <c r="E3407" t="s">
        <v>22173</v>
      </c>
      <c r="F3407" t="s">
        <v>32831</v>
      </c>
      <c r="G3407" t="s">
        <v>32839</v>
      </c>
      <c r="H3407" t="s">
        <v>32849</v>
      </c>
      <c r="I3407" t="s">
        <v>4177</v>
      </c>
      <c r="J3407" t="s">
        <v>35222</v>
      </c>
      <c r="K3407" t="s">
        <v>42780</v>
      </c>
      <c r="M3407" t="s">
        <v>44538</v>
      </c>
      <c r="N3407" t="s">
        <v>47424</v>
      </c>
      <c r="O3407" t="s">
        <v>47425</v>
      </c>
      <c r="P3407">
        <v>0</v>
      </c>
      <c r="Q3407">
        <v>1</v>
      </c>
      <c r="R3407" t="s">
        <v>47428</v>
      </c>
      <c r="S3407" t="s">
        <v>47541</v>
      </c>
      <c r="T3407" t="s">
        <v>49058</v>
      </c>
      <c r="U3407" t="s">
        <v>52580</v>
      </c>
      <c r="W3407" t="s">
        <v>64470</v>
      </c>
      <c r="X3407" t="s">
        <v>47430</v>
      </c>
    </row>
    <row r="3408" spans="1:24">
      <c r="A3408">
        <f>HYPERLINK("https://www.philgeps.gov.ph/GEPSNONPILOT/Tender/SplashBidNoticeAbstractUI.aspx?menuIndex=3&amp;refID=7163823&amp;Result=3","7163823")</f>
        <v>0</v>
      </c>
      <c r="B3408" t="s">
        <v>661</v>
      </c>
      <c r="C3408" t="s">
        <v>7149</v>
      </c>
      <c r="D3408" t="s">
        <v>19058</v>
      </c>
      <c r="E3408" t="s">
        <v>22174</v>
      </c>
      <c r="F3408" t="s">
        <v>32831</v>
      </c>
      <c r="G3408" t="s">
        <v>32839</v>
      </c>
      <c r="H3408" t="s">
        <v>32848</v>
      </c>
      <c r="I3408" t="s">
        <v>32857</v>
      </c>
      <c r="J3408" t="s">
        <v>35223</v>
      </c>
      <c r="K3408" t="s">
        <v>42731</v>
      </c>
      <c r="M3408" t="s">
        <v>43679</v>
      </c>
      <c r="N3408" t="s">
        <v>47424</v>
      </c>
      <c r="O3408" t="s">
        <v>47425</v>
      </c>
      <c r="P3408">
        <v>0</v>
      </c>
      <c r="Q3408">
        <v>2</v>
      </c>
      <c r="R3408" t="s">
        <v>47428</v>
      </c>
      <c r="S3408" t="s">
        <v>47541</v>
      </c>
      <c r="T3408" t="s">
        <v>49080</v>
      </c>
      <c r="U3408" t="s">
        <v>52581</v>
      </c>
      <c r="W3408" t="s">
        <v>43679</v>
      </c>
      <c r="X3408" t="s">
        <v>47430</v>
      </c>
    </row>
    <row r="3409" spans="1:24">
      <c r="A3409">
        <f>HYPERLINK("https://www.philgeps.gov.ph/GEPSNONPILOT/Tender/SplashBidNoticeAbstractUI.aspx?menuIndex=3&amp;refID=7163794&amp;Result=3","7163794")</f>
        <v>0</v>
      </c>
      <c r="B3409" t="s">
        <v>909</v>
      </c>
      <c r="C3409" t="s">
        <v>7150</v>
      </c>
      <c r="D3409" t="s">
        <v>19067</v>
      </c>
      <c r="E3409" t="s">
        <v>22175</v>
      </c>
      <c r="F3409" t="s">
        <v>32831</v>
      </c>
      <c r="G3409" t="s">
        <v>32838</v>
      </c>
      <c r="H3409" t="s">
        <v>32848</v>
      </c>
      <c r="I3409" t="s">
        <v>4303</v>
      </c>
      <c r="J3409" t="s">
        <v>35224</v>
      </c>
      <c r="K3409" t="s">
        <v>42730</v>
      </c>
      <c r="M3409" t="s">
        <v>43949</v>
      </c>
      <c r="N3409" t="s">
        <v>47424</v>
      </c>
      <c r="O3409" t="s">
        <v>47425</v>
      </c>
      <c r="P3409">
        <v>0</v>
      </c>
      <c r="Q3409">
        <v>0</v>
      </c>
      <c r="R3409" t="s">
        <v>47428</v>
      </c>
      <c r="S3409" t="s">
        <v>47541</v>
      </c>
      <c r="T3409" t="s">
        <v>49237</v>
      </c>
      <c r="U3409" t="s">
        <v>52582</v>
      </c>
      <c r="W3409" t="s">
        <v>43949</v>
      </c>
      <c r="X3409" t="s">
        <v>47430</v>
      </c>
    </row>
    <row r="3410" spans="1:24">
      <c r="A3410">
        <f>HYPERLINK("https://www.philgeps.gov.ph/GEPSNONPILOT/Tender/SplashBidNoticeAbstractUI.aspx?menuIndex=3&amp;refID=7163775&amp;Result=3","7163775")</f>
        <v>0</v>
      </c>
      <c r="B3410" t="s">
        <v>1425</v>
      </c>
      <c r="C3410" t="s">
        <v>7151</v>
      </c>
      <c r="D3410" t="s">
        <v>19073</v>
      </c>
      <c r="E3410" t="s">
        <v>22176</v>
      </c>
      <c r="F3410" t="s">
        <v>32831</v>
      </c>
      <c r="G3410" t="s">
        <v>32841</v>
      </c>
      <c r="H3410" t="s">
        <v>32848</v>
      </c>
      <c r="I3410" t="s">
        <v>32862</v>
      </c>
      <c r="J3410" t="s">
        <v>35225</v>
      </c>
      <c r="K3410" t="s">
        <v>42730</v>
      </c>
      <c r="M3410" t="s">
        <v>44514</v>
      </c>
      <c r="N3410" t="s">
        <v>47424</v>
      </c>
      <c r="O3410" t="s">
        <v>47425</v>
      </c>
      <c r="P3410">
        <v>0</v>
      </c>
      <c r="Q3410">
        <v>0</v>
      </c>
      <c r="R3410" t="s">
        <v>47428</v>
      </c>
      <c r="S3410" t="s">
        <v>47541</v>
      </c>
      <c r="T3410" t="s">
        <v>49108</v>
      </c>
      <c r="U3410" t="s">
        <v>52583</v>
      </c>
      <c r="W3410" t="s">
        <v>44514</v>
      </c>
      <c r="X3410" t="s">
        <v>47430</v>
      </c>
    </row>
    <row r="3411" spans="1:24">
      <c r="A3411">
        <f>HYPERLINK("https://www.philgeps.gov.ph/GEPSNONPILOT/Tender/SplashBidNoticeAbstractUI.aspx?menuIndex=3&amp;refID=7163821&amp;Result=3","7163821")</f>
        <v>0</v>
      </c>
      <c r="B3411" t="s">
        <v>703</v>
      </c>
      <c r="C3411" t="s">
        <v>7152</v>
      </c>
      <c r="D3411" t="s">
        <v>19077</v>
      </c>
      <c r="E3411" t="s">
        <v>22177</v>
      </c>
      <c r="F3411" t="s">
        <v>32831</v>
      </c>
      <c r="G3411" t="s">
        <v>32839</v>
      </c>
      <c r="H3411" t="s">
        <v>32848</v>
      </c>
      <c r="I3411" t="s">
        <v>32925</v>
      </c>
      <c r="J3411" t="s">
        <v>35226</v>
      </c>
      <c r="K3411" t="s">
        <v>42763</v>
      </c>
      <c r="M3411" t="s">
        <v>43722</v>
      </c>
      <c r="N3411" t="s">
        <v>47424</v>
      </c>
      <c r="O3411" t="s">
        <v>47425</v>
      </c>
      <c r="P3411">
        <v>0</v>
      </c>
      <c r="Q3411">
        <v>4</v>
      </c>
      <c r="R3411" t="s">
        <v>47428</v>
      </c>
      <c r="S3411" t="s">
        <v>47541</v>
      </c>
      <c r="T3411" t="s">
        <v>49189</v>
      </c>
      <c r="U3411" t="s">
        <v>50983</v>
      </c>
      <c r="W3411" t="s">
        <v>43722</v>
      </c>
      <c r="X3411" t="s">
        <v>47430</v>
      </c>
    </row>
    <row r="3412" spans="1:24">
      <c r="A3412">
        <f>HYPERLINK("https://www.philgeps.gov.ph/GEPSNONPILOT/Tender/SplashBidNoticeAbstractUI.aspx?menuIndex=3&amp;refID=7163829&amp;Result=3","7163829")</f>
        <v>0</v>
      </c>
      <c r="B3412" t="s">
        <v>1447</v>
      </c>
      <c r="C3412" t="s">
        <v>7153</v>
      </c>
      <c r="D3412" t="s">
        <v>19057</v>
      </c>
      <c r="E3412" t="s">
        <v>22178</v>
      </c>
      <c r="F3412" t="s">
        <v>32831</v>
      </c>
      <c r="G3412" t="s">
        <v>32839</v>
      </c>
      <c r="H3412" t="s">
        <v>32848</v>
      </c>
      <c r="I3412" t="s">
        <v>9577</v>
      </c>
      <c r="J3412" t="s">
        <v>35227</v>
      </c>
      <c r="K3412" t="s">
        <v>42726</v>
      </c>
      <c r="M3412" t="s">
        <v>44539</v>
      </c>
      <c r="N3412" t="s">
        <v>47424</v>
      </c>
      <c r="O3412" t="s">
        <v>47425</v>
      </c>
      <c r="P3412">
        <v>0</v>
      </c>
      <c r="Q3412">
        <v>3</v>
      </c>
      <c r="R3412" t="s">
        <v>47428</v>
      </c>
      <c r="S3412" t="s">
        <v>47541</v>
      </c>
      <c r="T3412" t="s">
        <v>49073</v>
      </c>
      <c r="U3412" t="s">
        <v>52584</v>
      </c>
      <c r="V3412" t="s">
        <v>63002</v>
      </c>
      <c r="W3412" t="s">
        <v>44539</v>
      </c>
      <c r="X3412" t="s">
        <v>47430</v>
      </c>
    </row>
    <row r="3413" spans="1:24">
      <c r="A3413">
        <f>HYPERLINK("https://www.philgeps.gov.ph/GEPSNONPILOT/Tender/SplashBidNoticeAbstractUI.aspx?menuIndex=3&amp;refID=7163819&amp;Result=3","7163819")</f>
        <v>0</v>
      </c>
      <c r="B3413" t="s">
        <v>745</v>
      </c>
      <c r="C3413" t="s">
        <v>7154</v>
      </c>
      <c r="D3413" t="s">
        <v>19077</v>
      </c>
      <c r="E3413" t="s">
        <v>22179</v>
      </c>
      <c r="F3413" t="s">
        <v>32831</v>
      </c>
      <c r="G3413" t="s">
        <v>32838</v>
      </c>
      <c r="H3413" t="s">
        <v>32848</v>
      </c>
      <c r="I3413" t="s">
        <v>32857</v>
      </c>
      <c r="J3413" t="s">
        <v>33098</v>
      </c>
      <c r="K3413" t="s">
        <v>42726</v>
      </c>
      <c r="M3413" t="s">
        <v>43768</v>
      </c>
      <c r="N3413" t="s">
        <v>47424</v>
      </c>
      <c r="O3413" t="s">
        <v>47425</v>
      </c>
      <c r="P3413">
        <v>0</v>
      </c>
      <c r="Q3413">
        <v>3</v>
      </c>
      <c r="R3413" t="s">
        <v>47428</v>
      </c>
      <c r="S3413" t="s">
        <v>47541</v>
      </c>
      <c r="T3413" t="s">
        <v>49163</v>
      </c>
      <c r="U3413" t="s">
        <v>52585</v>
      </c>
      <c r="W3413" t="s">
        <v>43768</v>
      </c>
      <c r="X3413" t="s">
        <v>47430</v>
      </c>
    </row>
    <row r="3414" spans="1:24">
      <c r="A3414">
        <f>HYPERLINK("https://www.philgeps.gov.ph/GEPSNONPILOT/Tender/SplashBidNoticeAbstractUI.aspx?menuIndex=3&amp;refID=7163789&amp;Result=3","7163789")</f>
        <v>0</v>
      </c>
      <c r="B3414" t="s">
        <v>1438</v>
      </c>
      <c r="C3414" t="s">
        <v>7155</v>
      </c>
      <c r="D3414" t="s">
        <v>19033</v>
      </c>
      <c r="E3414" t="s">
        <v>22180</v>
      </c>
      <c r="F3414" t="s">
        <v>32831</v>
      </c>
      <c r="G3414" t="s">
        <v>32838</v>
      </c>
      <c r="H3414" t="s">
        <v>32848</v>
      </c>
      <c r="I3414" t="s">
        <v>7416</v>
      </c>
      <c r="J3414" t="s">
        <v>32980</v>
      </c>
      <c r="K3414" t="s">
        <v>42727</v>
      </c>
      <c r="M3414" t="s">
        <v>44528</v>
      </c>
      <c r="N3414" t="s">
        <v>47424</v>
      </c>
      <c r="O3414" t="s">
        <v>47425</v>
      </c>
      <c r="P3414">
        <v>0</v>
      </c>
      <c r="Q3414">
        <v>0</v>
      </c>
      <c r="R3414" t="s">
        <v>47428</v>
      </c>
      <c r="S3414" t="s">
        <v>47541</v>
      </c>
      <c r="T3414" t="s">
        <v>49145</v>
      </c>
      <c r="U3414" t="s">
        <v>52551</v>
      </c>
      <c r="W3414" t="s">
        <v>44528</v>
      </c>
      <c r="X3414" t="s">
        <v>47430</v>
      </c>
    </row>
    <row r="3415" spans="1:24">
      <c r="A3415">
        <f>HYPERLINK("https://www.philgeps.gov.ph/GEPSNONPILOT/Tender/SplashBidNoticeAbstractUI.aspx?menuIndex=3&amp;refID=7163813&amp;Result=3","7163813")</f>
        <v>0</v>
      </c>
      <c r="B3415" t="s">
        <v>1433</v>
      </c>
      <c r="C3415" t="s">
        <v>7156</v>
      </c>
      <c r="D3415" t="s">
        <v>19058</v>
      </c>
      <c r="E3415" t="s">
        <v>22181</v>
      </c>
      <c r="F3415" t="s">
        <v>32831</v>
      </c>
      <c r="G3415" t="s">
        <v>32839</v>
      </c>
      <c r="H3415" t="s">
        <v>32849</v>
      </c>
      <c r="I3415" t="s">
        <v>4177</v>
      </c>
      <c r="J3415" t="s">
        <v>35228</v>
      </c>
      <c r="K3415" t="s">
        <v>42780</v>
      </c>
      <c r="M3415" t="s">
        <v>44523</v>
      </c>
      <c r="N3415" t="s">
        <v>47424</v>
      </c>
      <c r="O3415" t="s">
        <v>47425</v>
      </c>
      <c r="P3415">
        <v>0</v>
      </c>
      <c r="Q3415">
        <v>1</v>
      </c>
      <c r="R3415" t="s">
        <v>47428</v>
      </c>
      <c r="S3415" t="s">
        <v>47541</v>
      </c>
      <c r="T3415" t="s">
        <v>49257</v>
      </c>
      <c r="U3415" t="s">
        <v>52586</v>
      </c>
      <c r="V3415" t="s">
        <v>63003</v>
      </c>
      <c r="W3415" t="s">
        <v>44523</v>
      </c>
      <c r="X3415" t="s">
        <v>47430</v>
      </c>
    </row>
    <row r="3416" spans="1:24">
      <c r="A3416">
        <f>HYPERLINK("https://www.philgeps.gov.ph/GEPSNONPILOT/Tender/SplashBidNoticeAbstractUI.aspx?menuIndex=3&amp;refID=7163724&amp;Result=3","7163724")</f>
        <v>0</v>
      </c>
      <c r="B3416" t="s">
        <v>703</v>
      </c>
      <c r="C3416" t="s">
        <v>7157</v>
      </c>
      <c r="D3416" t="s">
        <v>19077</v>
      </c>
      <c r="E3416" t="s">
        <v>22182</v>
      </c>
      <c r="F3416" t="s">
        <v>32831</v>
      </c>
      <c r="G3416" t="s">
        <v>32839</v>
      </c>
      <c r="H3416" t="s">
        <v>32848</v>
      </c>
      <c r="I3416" t="s">
        <v>4471</v>
      </c>
      <c r="J3416" t="s">
        <v>35229</v>
      </c>
      <c r="K3416" t="s">
        <v>42763</v>
      </c>
      <c r="M3416" t="s">
        <v>44449</v>
      </c>
      <c r="N3416" t="s">
        <v>47424</v>
      </c>
      <c r="O3416" t="s">
        <v>47425</v>
      </c>
      <c r="P3416">
        <v>0</v>
      </c>
      <c r="Q3416">
        <v>3</v>
      </c>
      <c r="R3416" t="s">
        <v>47428</v>
      </c>
      <c r="S3416" t="s">
        <v>47541</v>
      </c>
      <c r="T3416" t="s">
        <v>49189</v>
      </c>
      <c r="U3416" t="s">
        <v>52371</v>
      </c>
      <c r="W3416" t="s">
        <v>44449</v>
      </c>
      <c r="X3416" t="s">
        <v>47430</v>
      </c>
    </row>
    <row r="3417" spans="1:24">
      <c r="A3417">
        <f>HYPERLINK("https://www.philgeps.gov.ph/GEPSNONPILOT/Tender/SplashBidNoticeAbstractUI.aspx?menuIndex=3&amp;refID=7163866&amp;Result=3","7163866")</f>
        <v>0</v>
      </c>
      <c r="B3417" t="s">
        <v>1448</v>
      </c>
      <c r="C3417" t="s">
        <v>7158</v>
      </c>
      <c r="D3417" t="s">
        <v>19026</v>
      </c>
      <c r="E3417" t="s">
        <v>22183</v>
      </c>
      <c r="F3417" t="s">
        <v>32831</v>
      </c>
      <c r="G3417" t="s">
        <v>32838</v>
      </c>
      <c r="H3417" t="s">
        <v>32848</v>
      </c>
      <c r="I3417" t="s">
        <v>32864</v>
      </c>
      <c r="J3417" t="s">
        <v>35230</v>
      </c>
      <c r="K3417" t="s">
        <v>42726</v>
      </c>
      <c r="M3417" t="s">
        <v>44540</v>
      </c>
      <c r="N3417" t="s">
        <v>47424</v>
      </c>
      <c r="O3417" t="s">
        <v>47425</v>
      </c>
      <c r="P3417">
        <v>0</v>
      </c>
      <c r="Q3417">
        <v>5</v>
      </c>
      <c r="R3417" t="s">
        <v>47428</v>
      </c>
      <c r="S3417" t="s">
        <v>47541</v>
      </c>
      <c r="T3417" t="s">
        <v>49229</v>
      </c>
      <c r="U3417" t="s">
        <v>52587</v>
      </c>
      <c r="W3417" t="s">
        <v>44540</v>
      </c>
      <c r="X3417" t="s">
        <v>47430</v>
      </c>
    </row>
    <row r="3418" spans="1:24">
      <c r="A3418">
        <f>HYPERLINK("https://www.philgeps.gov.ph/GEPSNONPILOT/Tender/SplashBidNoticeAbstractUI.aspx?menuIndex=3&amp;refID=7163865&amp;Result=3","7163865")</f>
        <v>0</v>
      </c>
      <c r="B3418" t="s">
        <v>1443</v>
      </c>
      <c r="C3418" t="s">
        <v>7159</v>
      </c>
      <c r="D3418" t="s">
        <v>19058</v>
      </c>
      <c r="E3418" t="s">
        <v>22184</v>
      </c>
      <c r="F3418" t="s">
        <v>32831</v>
      </c>
      <c r="G3418" t="s">
        <v>32839</v>
      </c>
      <c r="H3418" t="s">
        <v>32849</v>
      </c>
      <c r="I3418" t="s">
        <v>4177</v>
      </c>
      <c r="J3418" t="s">
        <v>35231</v>
      </c>
      <c r="K3418" t="s">
        <v>42836</v>
      </c>
      <c r="M3418" t="s">
        <v>44535</v>
      </c>
      <c r="N3418" t="s">
        <v>47424</v>
      </c>
      <c r="O3418" t="s">
        <v>47425</v>
      </c>
      <c r="P3418">
        <v>0</v>
      </c>
      <c r="Q3418">
        <v>0</v>
      </c>
      <c r="R3418" t="s">
        <v>47428</v>
      </c>
      <c r="S3418" t="s">
        <v>47541</v>
      </c>
      <c r="T3418" t="s">
        <v>49348</v>
      </c>
      <c r="U3418" t="s">
        <v>52588</v>
      </c>
      <c r="W3418" t="s">
        <v>44535</v>
      </c>
      <c r="X3418" t="s">
        <v>47430</v>
      </c>
    </row>
    <row r="3419" spans="1:24">
      <c r="A3419">
        <f>HYPERLINK("https://www.philgeps.gov.ph/GEPSNONPILOT/Tender/SplashBidNoticeAbstractUI.aspx?menuIndex=3&amp;refID=7163861&amp;Result=3","7163861")</f>
        <v>0</v>
      </c>
      <c r="B3419" t="s">
        <v>911</v>
      </c>
      <c r="C3419" t="s">
        <v>7160</v>
      </c>
      <c r="D3419" t="s">
        <v>19049</v>
      </c>
      <c r="E3419" t="s">
        <v>22185</v>
      </c>
      <c r="F3419" t="s">
        <v>32831</v>
      </c>
      <c r="G3419" t="s">
        <v>32839</v>
      </c>
      <c r="H3419" t="s">
        <v>32848</v>
      </c>
      <c r="I3419" t="s">
        <v>4558</v>
      </c>
      <c r="J3419" t="s">
        <v>35232</v>
      </c>
      <c r="K3419" t="s">
        <v>42727</v>
      </c>
      <c r="M3419" t="s">
        <v>43951</v>
      </c>
      <c r="N3419" t="s">
        <v>47424</v>
      </c>
      <c r="O3419" t="s">
        <v>47425</v>
      </c>
      <c r="P3419">
        <v>0</v>
      </c>
      <c r="Q3419">
        <v>1</v>
      </c>
      <c r="R3419" t="s">
        <v>47428</v>
      </c>
      <c r="S3419" t="s">
        <v>47541</v>
      </c>
      <c r="T3419" t="s">
        <v>49069</v>
      </c>
      <c r="U3419" t="s">
        <v>52589</v>
      </c>
      <c r="W3419" t="s">
        <v>43951</v>
      </c>
      <c r="X3419" t="s">
        <v>47430</v>
      </c>
    </row>
    <row r="3420" spans="1:24">
      <c r="A3420">
        <f>HYPERLINK("https://www.philgeps.gov.ph/GEPSNONPILOT/Tender/SplashBidNoticeAbstractUI.aspx?menuIndex=3&amp;refID=7163816&amp;Result=3","7163816")</f>
        <v>0</v>
      </c>
      <c r="B3420" t="s">
        <v>909</v>
      </c>
      <c r="C3420" t="s">
        <v>7161</v>
      </c>
      <c r="D3420" t="s">
        <v>19067</v>
      </c>
      <c r="E3420" t="s">
        <v>22186</v>
      </c>
      <c r="F3420" t="s">
        <v>32831</v>
      </c>
      <c r="G3420" t="s">
        <v>32838</v>
      </c>
      <c r="H3420" t="s">
        <v>32848</v>
      </c>
      <c r="I3420" t="s">
        <v>9577</v>
      </c>
      <c r="J3420" t="s">
        <v>34037</v>
      </c>
      <c r="K3420" t="s">
        <v>42730</v>
      </c>
      <c r="M3420" t="s">
        <v>43949</v>
      </c>
      <c r="N3420" t="s">
        <v>47424</v>
      </c>
      <c r="O3420" t="s">
        <v>47425</v>
      </c>
      <c r="P3420">
        <v>0</v>
      </c>
      <c r="Q3420">
        <v>1</v>
      </c>
      <c r="R3420" t="s">
        <v>47428</v>
      </c>
      <c r="S3420" t="s">
        <v>47541</v>
      </c>
      <c r="T3420" t="s">
        <v>49237</v>
      </c>
      <c r="U3420" t="s">
        <v>52590</v>
      </c>
      <c r="W3420" t="s">
        <v>43949</v>
      </c>
      <c r="X3420" t="s">
        <v>47430</v>
      </c>
    </row>
    <row r="3421" spans="1:24">
      <c r="A3421">
        <f>HYPERLINK("https://www.philgeps.gov.ph/GEPSNONPILOT/Tender/SplashBidNoticeAbstractUI.aspx?menuIndex=3&amp;refID=7163859&amp;Result=3","7163859")</f>
        <v>0</v>
      </c>
      <c r="B3421" t="s">
        <v>909</v>
      </c>
      <c r="C3421" t="s">
        <v>6126</v>
      </c>
      <c r="D3421" t="s">
        <v>19067</v>
      </c>
      <c r="E3421" t="s">
        <v>22187</v>
      </c>
      <c r="F3421" t="s">
        <v>32831</v>
      </c>
      <c r="G3421" t="s">
        <v>32838</v>
      </c>
      <c r="H3421" t="s">
        <v>32848</v>
      </c>
      <c r="I3421" t="s">
        <v>32870</v>
      </c>
      <c r="J3421" t="s">
        <v>35233</v>
      </c>
      <c r="K3421" t="s">
        <v>42730</v>
      </c>
      <c r="M3421" t="s">
        <v>43949</v>
      </c>
      <c r="N3421" t="s">
        <v>47424</v>
      </c>
      <c r="O3421" t="s">
        <v>47425</v>
      </c>
      <c r="P3421">
        <v>0</v>
      </c>
      <c r="Q3421">
        <v>0</v>
      </c>
      <c r="R3421" t="s">
        <v>47428</v>
      </c>
      <c r="S3421" t="s">
        <v>47541</v>
      </c>
      <c r="T3421" t="s">
        <v>49237</v>
      </c>
      <c r="U3421" t="s">
        <v>51665</v>
      </c>
      <c r="W3421" t="s">
        <v>43949</v>
      </c>
      <c r="X3421" t="s">
        <v>47430</v>
      </c>
    </row>
    <row r="3422" spans="1:24">
      <c r="A3422">
        <f>HYPERLINK("https://www.philgeps.gov.ph/GEPSNONPILOT/Tender/SplashBidNoticeAbstractUI.aspx?menuIndex=3&amp;refID=7163822&amp;Result=3","7163822")</f>
        <v>0</v>
      </c>
      <c r="B3422" t="s">
        <v>1449</v>
      </c>
      <c r="C3422" t="s">
        <v>7162</v>
      </c>
      <c r="D3422" t="s">
        <v>19027</v>
      </c>
      <c r="E3422" t="s">
        <v>22188</v>
      </c>
      <c r="F3422" t="s">
        <v>32831</v>
      </c>
      <c r="G3422" t="s">
        <v>32838</v>
      </c>
      <c r="H3422" t="s">
        <v>32848</v>
      </c>
      <c r="I3422" t="s">
        <v>9577</v>
      </c>
      <c r="J3422" t="s">
        <v>34283</v>
      </c>
      <c r="K3422" t="s">
        <v>42729</v>
      </c>
      <c r="M3422" t="s">
        <v>44541</v>
      </c>
      <c r="N3422" t="s">
        <v>47424</v>
      </c>
      <c r="O3422" t="s">
        <v>47425</v>
      </c>
      <c r="P3422">
        <v>0</v>
      </c>
      <c r="Q3422">
        <v>1</v>
      </c>
      <c r="R3422" t="s">
        <v>47428</v>
      </c>
      <c r="S3422" t="s">
        <v>47541</v>
      </c>
      <c r="T3422" t="s">
        <v>49252</v>
      </c>
      <c r="U3422" t="s">
        <v>52591</v>
      </c>
      <c r="W3422" t="s">
        <v>44541</v>
      </c>
      <c r="X3422" t="s">
        <v>47430</v>
      </c>
    </row>
    <row r="3423" spans="1:24">
      <c r="A3423">
        <f>HYPERLINK("https://www.philgeps.gov.ph/GEPSNONPILOT/Tender/SplashBidNoticeAbstractUI.aspx?menuIndex=3&amp;refID=7163858&amp;Result=3","7163858")</f>
        <v>0</v>
      </c>
      <c r="B3423" t="s">
        <v>1335</v>
      </c>
      <c r="C3423" t="s">
        <v>7163</v>
      </c>
      <c r="D3423" t="s">
        <v>19074</v>
      </c>
      <c r="E3423" t="s">
        <v>20010</v>
      </c>
      <c r="F3423" t="s">
        <v>32831</v>
      </c>
      <c r="G3423" t="s">
        <v>32839</v>
      </c>
      <c r="H3423" t="s">
        <v>32848</v>
      </c>
      <c r="I3423" t="s">
        <v>7416</v>
      </c>
      <c r="J3423" t="s">
        <v>33241</v>
      </c>
      <c r="K3423" t="s">
        <v>42732</v>
      </c>
      <c r="M3423" t="s">
        <v>44407</v>
      </c>
      <c r="N3423" t="s">
        <v>47424</v>
      </c>
      <c r="O3423" t="s">
        <v>47425</v>
      </c>
      <c r="P3423">
        <v>0</v>
      </c>
      <c r="Q3423">
        <v>1</v>
      </c>
      <c r="R3423" t="s">
        <v>47428</v>
      </c>
      <c r="S3423" t="s">
        <v>47541</v>
      </c>
      <c r="T3423" t="s">
        <v>49247</v>
      </c>
      <c r="U3423" t="s">
        <v>52293</v>
      </c>
      <c r="W3423" t="s">
        <v>44407</v>
      </c>
      <c r="X3423" t="s">
        <v>47430</v>
      </c>
    </row>
    <row r="3424" spans="1:24">
      <c r="A3424">
        <f>HYPERLINK("https://www.philgeps.gov.ph/GEPSNONPILOT/Tender/SplashBidNoticeAbstractUI.aspx?menuIndex=3&amp;refID=7163820&amp;Result=3","7163820")</f>
        <v>0</v>
      </c>
      <c r="B3424" t="s">
        <v>1450</v>
      </c>
      <c r="C3424" t="s">
        <v>7164</v>
      </c>
      <c r="D3424" t="s">
        <v>19077</v>
      </c>
      <c r="E3424" t="s">
        <v>22189</v>
      </c>
      <c r="F3424" t="s">
        <v>32831</v>
      </c>
      <c r="G3424" t="s">
        <v>32839</v>
      </c>
      <c r="H3424" t="s">
        <v>32848</v>
      </c>
      <c r="I3424" t="s">
        <v>7416</v>
      </c>
      <c r="J3424" t="s">
        <v>35234</v>
      </c>
      <c r="K3424" t="s">
        <v>42730</v>
      </c>
      <c r="M3424" t="s">
        <v>44542</v>
      </c>
      <c r="N3424" t="s">
        <v>47424</v>
      </c>
      <c r="O3424" t="s">
        <v>47425</v>
      </c>
      <c r="P3424">
        <v>0</v>
      </c>
      <c r="Q3424">
        <v>0</v>
      </c>
      <c r="R3424" t="s">
        <v>47428</v>
      </c>
      <c r="S3424" t="s">
        <v>47541</v>
      </c>
      <c r="T3424" t="s">
        <v>49142</v>
      </c>
      <c r="U3424" t="s">
        <v>52592</v>
      </c>
      <c r="W3424" t="s">
        <v>44542</v>
      </c>
      <c r="X3424" t="s">
        <v>47430</v>
      </c>
    </row>
    <row r="3425" spans="1:24">
      <c r="A3425">
        <f>HYPERLINK("https://www.philgeps.gov.ph/GEPSNONPILOT/Tender/SplashBidNoticeAbstractUI.aspx?menuIndex=3&amp;refID=7163855&amp;Result=3","7163855")</f>
        <v>0</v>
      </c>
      <c r="B3425" t="s">
        <v>1324</v>
      </c>
      <c r="C3425" t="s">
        <v>7165</v>
      </c>
      <c r="D3425" t="s">
        <v>19022</v>
      </c>
      <c r="E3425" t="s">
        <v>22190</v>
      </c>
      <c r="F3425" t="s">
        <v>32831</v>
      </c>
      <c r="G3425" t="s">
        <v>32838</v>
      </c>
      <c r="H3425" t="s">
        <v>32848</v>
      </c>
      <c r="I3425" t="s">
        <v>10805</v>
      </c>
      <c r="J3425" t="s">
        <v>35235</v>
      </c>
      <c r="K3425" t="s">
        <v>42726</v>
      </c>
      <c r="M3425" t="s">
        <v>44395</v>
      </c>
      <c r="N3425" t="s">
        <v>47424</v>
      </c>
      <c r="O3425" t="s">
        <v>47425</v>
      </c>
      <c r="P3425">
        <v>0</v>
      </c>
      <c r="Q3425">
        <v>2</v>
      </c>
      <c r="R3425" t="s">
        <v>47428</v>
      </c>
      <c r="S3425" t="s">
        <v>47541</v>
      </c>
      <c r="T3425" t="s">
        <v>49205</v>
      </c>
      <c r="U3425" t="s">
        <v>52268</v>
      </c>
      <c r="W3425" t="s">
        <v>44395</v>
      </c>
      <c r="X3425" t="s">
        <v>47430</v>
      </c>
    </row>
    <row r="3426" spans="1:24">
      <c r="A3426">
        <f>HYPERLINK("https://www.philgeps.gov.ph/GEPSNONPILOT/Tender/SplashBidNoticeAbstractUI.aspx?menuIndex=3&amp;refID=7163864&amp;Result=3","7163864")</f>
        <v>0</v>
      </c>
      <c r="B3426" t="s">
        <v>1451</v>
      </c>
      <c r="C3426" t="s">
        <v>7166</v>
      </c>
      <c r="D3426" t="s">
        <v>19025</v>
      </c>
      <c r="E3426" t="s">
        <v>22191</v>
      </c>
      <c r="F3426" t="s">
        <v>32831</v>
      </c>
      <c r="G3426" t="s">
        <v>32839</v>
      </c>
      <c r="H3426" t="s">
        <v>32848</v>
      </c>
      <c r="I3426" t="s">
        <v>32890</v>
      </c>
      <c r="J3426" t="s">
        <v>32980</v>
      </c>
      <c r="K3426" t="s">
        <v>42745</v>
      </c>
      <c r="M3426" t="s">
        <v>44543</v>
      </c>
      <c r="N3426" t="s">
        <v>47424</v>
      </c>
      <c r="O3426" t="s">
        <v>47425</v>
      </c>
      <c r="P3426">
        <v>0</v>
      </c>
      <c r="Q3426">
        <v>0</v>
      </c>
      <c r="R3426" t="s">
        <v>47428</v>
      </c>
      <c r="S3426" t="s">
        <v>47541</v>
      </c>
      <c r="T3426" t="s">
        <v>49105</v>
      </c>
      <c r="U3426" t="s">
        <v>52593</v>
      </c>
      <c r="W3426" t="s">
        <v>44543</v>
      </c>
      <c r="X3426" t="s">
        <v>47430</v>
      </c>
    </row>
    <row r="3427" spans="1:24">
      <c r="A3427">
        <f>HYPERLINK("https://www.philgeps.gov.ph/GEPSNONPILOT/Tender/SplashBidNoticeAbstractUI.aspx?menuIndex=3&amp;refID=7163814&amp;Result=3","7163814")</f>
        <v>0</v>
      </c>
      <c r="B3427" t="s">
        <v>631</v>
      </c>
      <c r="C3427" t="s">
        <v>7167</v>
      </c>
      <c r="D3427" t="s">
        <v>19024</v>
      </c>
      <c r="E3427" t="s">
        <v>22192</v>
      </c>
      <c r="F3427" t="s">
        <v>32831</v>
      </c>
      <c r="G3427" t="s">
        <v>32839</v>
      </c>
      <c r="H3427" t="s">
        <v>32848</v>
      </c>
      <c r="I3427" t="s">
        <v>32862</v>
      </c>
      <c r="J3427" t="s">
        <v>35236</v>
      </c>
      <c r="K3427" t="s">
        <v>42730</v>
      </c>
      <c r="M3427" t="s">
        <v>43648</v>
      </c>
      <c r="N3427" t="s">
        <v>47424</v>
      </c>
      <c r="O3427" t="s">
        <v>47425</v>
      </c>
      <c r="P3427">
        <v>0</v>
      </c>
      <c r="Q3427">
        <v>1</v>
      </c>
      <c r="R3427" t="s">
        <v>47428</v>
      </c>
      <c r="S3427" t="s">
        <v>47541</v>
      </c>
      <c r="T3427" t="s">
        <v>49236</v>
      </c>
      <c r="U3427" t="s">
        <v>52594</v>
      </c>
      <c r="V3427" t="s">
        <v>63004</v>
      </c>
      <c r="W3427" t="s">
        <v>43648</v>
      </c>
      <c r="X3427" t="s">
        <v>47430</v>
      </c>
    </row>
    <row r="3428" spans="1:24">
      <c r="A3428">
        <f>HYPERLINK("https://www.philgeps.gov.ph/GEPSNONPILOT/Tender/SplashBidNoticeAbstractUI.aspx?menuIndex=3&amp;refID=7163848&amp;Result=3","7163848")</f>
        <v>0</v>
      </c>
      <c r="B3428" t="s">
        <v>338</v>
      </c>
      <c r="C3428" t="s">
        <v>7168</v>
      </c>
      <c r="D3428" t="s">
        <v>19019</v>
      </c>
      <c r="E3428" t="s">
        <v>22193</v>
      </c>
      <c r="F3428" t="s">
        <v>32833</v>
      </c>
      <c r="G3428" t="s">
        <v>32838</v>
      </c>
      <c r="H3428" t="s">
        <v>32848</v>
      </c>
      <c r="I3428" t="s">
        <v>4438</v>
      </c>
      <c r="J3428" t="s">
        <v>33100</v>
      </c>
      <c r="K3428" t="s">
        <v>42759</v>
      </c>
      <c r="M3428" t="s">
        <v>44099</v>
      </c>
      <c r="N3428" t="s">
        <v>47424</v>
      </c>
      <c r="O3428" t="s">
        <v>47425</v>
      </c>
      <c r="P3428">
        <v>0</v>
      </c>
      <c r="Q3428">
        <v>4</v>
      </c>
      <c r="R3428" t="s">
        <v>47428</v>
      </c>
      <c r="S3428" t="s">
        <v>47541</v>
      </c>
      <c r="T3428" t="s">
        <v>49070</v>
      </c>
      <c r="U3428" t="s">
        <v>52595</v>
      </c>
      <c r="V3428" t="s">
        <v>50084</v>
      </c>
      <c r="W3428" t="s">
        <v>44099</v>
      </c>
      <c r="X3428" t="s">
        <v>47430</v>
      </c>
    </row>
    <row r="3429" spans="1:24">
      <c r="A3429">
        <f>HYPERLINK("https://www.philgeps.gov.ph/GEPSNONPILOT/Tender/SplashBidNoticeAbstractUI.aspx?menuIndex=3&amp;refID=7163860&amp;Result=3","7163860")</f>
        <v>0</v>
      </c>
      <c r="B3429" t="s">
        <v>1452</v>
      </c>
      <c r="C3429" t="s">
        <v>7169</v>
      </c>
      <c r="D3429" t="s">
        <v>19062</v>
      </c>
      <c r="E3429" t="s">
        <v>22194</v>
      </c>
      <c r="F3429" t="s">
        <v>32831</v>
      </c>
      <c r="G3429" t="s">
        <v>32840</v>
      </c>
      <c r="H3429" t="s">
        <v>32848</v>
      </c>
      <c r="I3429" t="s">
        <v>32860</v>
      </c>
      <c r="J3429" t="s">
        <v>35237</v>
      </c>
      <c r="K3429" t="s">
        <v>42758</v>
      </c>
      <c r="M3429" t="s">
        <v>44544</v>
      </c>
      <c r="N3429" t="s">
        <v>47424</v>
      </c>
      <c r="O3429" t="s">
        <v>47425</v>
      </c>
      <c r="P3429">
        <v>0</v>
      </c>
      <c r="Q3429">
        <v>1</v>
      </c>
      <c r="R3429" t="s">
        <v>47428</v>
      </c>
      <c r="S3429" t="s">
        <v>47541</v>
      </c>
      <c r="T3429" t="s">
        <v>49114</v>
      </c>
      <c r="U3429" t="s">
        <v>52596</v>
      </c>
      <c r="V3429" t="s">
        <v>63005</v>
      </c>
      <c r="W3429" t="s">
        <v>44544</v>
      </c>
      <c r="X3429" t="s">
        <v>47430</v>
      </c>
    </row>
    <row r="3430" spans="1:24">
      <c r="A3430">
        <f>HYPERLINK("https://www.philgeps.gov.ph/GEPSNONPILOT/Tender/SplashBidNoticeAbstractUI.aspx?menuIndex=3&amp;refID=7163845&amp;Result=3","7163845")</f>
        <v>0</v>
      </c>
      <c r="B3430" t="s">
        <v>744</v>
      </c>
      <c r="C3430" t="s">
        <v>7170</v>
      </c>
      <c r="D3430" t="s">
        <v>19017</v>
      </c>
      <c r="E3430" t="s">
        <v>22195</v>
      </c>
      <c r="F3430" t="s">
        <v>32831</v>
      </c>
      <c r="G3430" t="s">
        <v>32838</v>
      </c>
      <c r="H3430" t="s">
        <v>32848</v>
      </c>
      <c r="I3430" t="s">
        <v>4177</v>
      </c>
      <c r="J3430" t="s">
        <v>35238</v>
      </c>
      <c r="K3430" t="s">
        <v>42747</v>
      </c>
      <c r="M3430" t="s">
        <v>43767</v>
      </c>
      <c r="N3430" t="s">
        <v>47424</v>
      </c>
      <c r="O3430" t="s">
        <v>47425</v>
      </c>
      <c r="P3430">
        <v>0</v>
      </c>
      <c r="Q3430">
        <v>0</v>
      </c>
      <c r="R3430" t="s">
        <v>47428</v>
      </c>
      <c r="S3430" t="s">
        <v>47541</v>
      </c>
      <c r="T3430" t="s">
        <v>49237</v>
      </c>
      <c r="U3430" t="s">
        <v>52597</v>
      </c>
      <c r="W3430" t="s">
        <v>43767</v>
      </c>
      <c r="X3430" t="s">
        <v>47430</v>
      </c>
    </row>
    <row r="3431" spans="1:24">
      <c r="A3431">
        <f>HYPERLINK("https://www.philgeps.gov.ph/GEPSNONPILOT/Tender/SplashBidNoticeAbstractUI.aspx?menuIndex=3&amp;refID=7163842&amp;Result=3","7163842")</f>
        <v>0</v>
      </c>
      <c r="B3431" t="s">
        <v>909</v>
      </c>
      <c r="C3431" t="s">
        <v>6126</v>
      </c>
      <c r="D3431" t="s">
        <v>19067</v>
      </c>
      <c r="E3431" t="s">
        <v>22196</v>
      </c>
      <c r="F3431" t="s">
        <v>32831</v>
      </c>
      <c r="G3431" t="s">
        <v>32838</v>
      </c>
      <c r="H3431" t="s">
        <v>32848</v>
      </c>
      <c r="I3431" t="s">
        <v>32870</v>
      </c>
      <c r="J3431" t="s">
        <v>33313</v>
      </c>
      <c r="K3431" t="s">
        <v>42730</v>
      </c>
      <c r="M3431" t="s">
        <v>43949</v>
      </c>
      <c r="N3431" t="s">
        <v>47424</v>
      </c>
      <c r="O3431" t="s">
        <v>47425</v>
      </c>
      <c r="P3431">
        <v>0</v>
      </c>
      <c r="Q3431">
        <v>0</v>
      </c>
      <c r="R3431" t="s">
        <v>47428</v>
      </c>
      <c r="S3431" t="s">
        <v>47541</v>
      </c>
      <c r="T3431" t="s">
        <v>49237</v>
      </c>
      <c r="U3431" t="s">
        <v>51665</v>
      </c>
      <c r="W3431" t="s">
        <v>43949</v>
      </c>
      <c r="X3431" t="s">
        <v>47430</v>
      </c>
    </row>
    <row r="3432" spans="1:24">
      <c r="A3432">
        <f>HYPERLINK("https://www.philgeps.gov.ph/GEPSNONPILOT/Tender/SplashBidNoticeAbstractUI.aspx?menuIndex=3&amp;refID=7163840&amp;Result=3","7163840")</f>
        <v>0</v>
      </c>
      <c r="B3432" t="s">
        <v>1443</v>
      </c>
      <c r="C3432" t="s">
        <v>7171</v>
      </c>
      <c r="D3432" t="s">
        <v>19058</v>
      </c>
      <c r="E3432" t="s">
        <v>22197</v>
      </c>
      <c r="F3432" t="s">
        <v>32831</v>
      </c>
      <c r="G3432" t="s">
        <v>32839</v>
      </c>
      <c r="H3432" t="s">
        <v>32849</v>
      </c>
      <c r="I3432" t="s">
        <v>4177</v>
      </c>
      <c r="J3432" t="s">
        <v>35239</v>
      </c>
      <c r="K3432" t="s">
        <v>42836</v>
      </c>
      <c r="M3432" t="s">
        <v>44535</v>
      </c>
      <c r="N3432" t="s">
        <v>47424</v>
      </c>
      <c r="O3432" t="s">
        <v>47425</v>
      </c>
      <c r="P3432">
        <v>0</v>
      </c>
      <c r="Q3432">
        <v>0</v>
      </c>
      <c r="R3432" t="s">
        <v>47428</v>
      </c>
      <c r="S3432" t="s">
        <v>47541</v>
      </c>
      <c r="T3432" t="s">
        <v>49348</v>
      </c>
      <c r="U3432" t="s">
        <v>52598</v>
      </c>
      <c r="W3432" t="s">
        <v>44535</v>
      </c>
      <c r="X3432" t="s">
        <v>47430</v>
      </c>
    </row>
    <row r="3433" spans="1:24">
      <c r="A3433">
        <f>HYPERLINK("https://www.philgeps.gov.ph/GEPSNONPILOT/Tender/SplashBidNoticeAbstractUI.aspx?menuIndex=3&amp;refID=7163839&amp;Result=3","7163839")</f>
        <v>0</v>
      </c>
      <c r="B3433" t="s">
        <v>1453</v>
      </c>
      <c r="C3433" t="s">
        <v>7172</v>
      </c>
      <c r="D3433" t="s">
        <v>19033</v>
      </c>
      <c r="E3433" t="s">
        <v>22198</v>
      </c>
      <c r="F3433" t="s">
        <v>32831</v>
      </c>
      <c r="G3433" t="s">
        <v>32838</v>
      </c>
      <c r="H3433" t="s">
        <v>32848</v>
      </c>
      <c r="I3433" t="s">
        <v>4776</v>
      </c>
      <c r="J3433" t="s">
        <v>33380</v>
      </c>
      <c r="K3433" t="s">
        <v>42727</v>
      </c>
      <c r="M3433" t="s">
        <v>44545</v>
      </c>
      <c r="N3433" t="s">
        <v>47424</v>
      </c>
      <c r="O3433" t="s">
        <v>47425</v>
      </c>
      <c r="P3433">
        <v>0</v>
      </c>
      <c r="Q3433">
        <v>1</v>
      </c>
      <c r="R3433" t="s">
        <v>47428</v>
      </c>
      <c r="S3433" t="s">
        <v>47541</v>
      </c>
      <c r="T3433" t="s">
        <v>49145</v>
      </c>
      <c r="U3433" t="s">
        <v>52599</v>
      </c>
      <c r="W3433" t="s">
        <v>64471</v>
      </c>
      <c r="X3433" t="s">
        <v>47430</v>
      </c>
    </row>
    <row r="3434" spans="1:24">
      <c r="A3434">
        <f>HYPERLINK("https://www.philgeps.gov.ph/GEPSNONPILOT/Tender/SplashBidNoticeAbstractUI.aspx?menuIndex=3&amp;refID=7163838&amp;Result=3","7163838")</f>
        <v>0</v>
      </c>
      <c r="B3434" t="s">
        <v>1438</v>
      </c>
      <c r="C3434" t="s">
        <v>7173</v>
      </c>
      <c r="D3434" t="s">
        <v>19033</v>
      </c>
      <c r="E3434" t="s">
        <v>22199</v>
      </c>
      <c r="F3434" t="s">
        <v>32831</v>
      </c>
      <c r="G3434" t="s">
        <v>32838</v>
      </c>
      <c r="H3434" t="s">
        <v>32848</v>
      </c>
      <c r="I3434" t="s">
        <v>7416</v>
      </c>
      <c r="J3434" t="s">
        <v>33087</v>
      </c>
      <c r="K3434" t="s">
        <v>42727</v>
      </c>
      <c r="M3434" t="s">
        <v>44528</v>
      </c>
      <c r="N3434" t="s">
        <v>47424</v>
      </c>
      <c r="O3434" t="s">
        <v>47425</v>
      </c>
      <c r="P3434">
        <v>0</v>
      </c>
      <c r="Q3434">
        <v>0</v>
      </c>
      <c r="R3434" t="s">
        <v>47428</v>
      </c>
      <c r="S3434" t="s">
        <v>47541</v>
      </c>
      <c r="T3434" t="s">
        <v>49145</v>
      </c>
      <c r="U3434" t="s">
        <v>52551</v>
      </c>
      <c r="W3434" t="s">
        <v>44528</v>
      </c>
      <c r="X3434" t="s">
        <v>47430</v>
      </c>
    </row>
    <row r="3435" spans="1:24">
      <c r="A3435">
        <f>HYPERLINK("https://www.philgeps.gov.ph/GEPSNONPILOT/Tender/SplashBidNoticeAbstractUI.aspx?menuIndex=3&amp;refID=7163853&amp;Result=3","7163853")</f>
        <v>0</v>
      </c>
      <c r="B3435" t="s">
        <v>553</v>
      </c>
      <c r="C3435" t="s">
        <v>7174</v>
      </c>
      <c r="D3435" t="s">
        <v>19030</v>
      </c>
      <c r="E3435" t="s">
        <v>20017</v>
      </c>
      <c r="F3435" t="s">
        <v>32831</v>
      </c>
      <c r="G3435" t="s">
        <v>32840</v>
      </c>
      <c r="H3435" t="s">
        <v>32848</v>
      </c>
      <c r="I3435" t="s">
        <v>10805</v>
      </c>
      <c r="J3435" t="s">
        <v>35138</v>
      </c>
      <c r="K3435" t="s">
        <v>42745</v>
      </c>
      <c r="M3435" t="s">
        <v>43561</v>
      </c>
      <c r="N3435" t="s">
        <v>47424</v>
      </c>
      <c r="O3435" t="s">
        <v>47425</v>
      </c>
      <c r="P3435">
        <v>0</v>
      </c>
      <c r="Q3435">
        <v>5</v>
      </c>
      <c r="R3435" t="s">
        <v>47428</v>
      </c>
      <c r="S3435" t="s">
        <v>47541</v>
      </c>
      <c r="T3435" t="s">
        <v>49107</v>
      </c>
      <c r="U3435" t="s">
        <v>52600</v>
      </c>
      <c r="W3435" t="s">
        <v>43561</v>
      </c>
      <c r="X3435" t="s">
        <v>47430</v>
      </c>
    </row>
    <row r="3436" spans="1:24">
      <c r="A3436">
        <f>HYPERLINK("https://www.philgeps.gov.ph/GEPSNONPILOT/Tender/SplashBidNoticeAbstractUI.aspx?menuIndex=3&amp;refID=7163834&amp;Result=3","7163834")</f>
        <v>0</v>
      </c>
      <c r="B3436" t="s">
        <v>1441</v>
      </c>
      <c r="C3436" t="s">
        <v>7175</v>
      </c>
      <c r="D3436" t="s">
        <v>19048</v>
      </c>
      <c r="E3436" t="s">
        <v>22200</v>
      </c>
      <c r="F3436" t="s">
        <v>32831</v>
      </c>
      <c r="G3436" t="s">
        <v>32841</v>
      </c>
      <c r="H3436" t="s">
        <v>32848</v>
      </c>
      <c r="I3436" t="s">
        <v>4558</v>
      </c>
      <c r="J3436" t="s">
        <v>35240</v>
      </c>
      <c r="K3436" t="s">
        <v>42727</v>
      </c>
      <c r="M3436" t="s">
        <v>44533</v>
      </c>
      <c r="N3436" t="s">
        <v>47424</v>
      </c>
      <c r="O3436" t="s">
        <v>47425</v>
      </c>
      <c r="P3436">
        <v>0</v>
      </c>
      <c r="Q3436">
        <v>0</v>
      </c>
      <c r="R3436" t="s">
        <v>47428</v>
      </c>
      <c r="S3436" t="s">
        <v>47541</v>
      </c>
      <c r="T3436" t="s">
        <v>49066</v>
      </c>
      <c r="U3436" t="s">
        <v>52566</v>
      </c>
      <c r="W3436" t="s">
        <v>44533</v>
      </c>
      <c r="X3436" t="s">
        <v>47430</v>
      </c>
    </row>
    <row r="3437" spans="1:24">
      <c r="A3437">
        <f>HYPERLINK("https://www.philgeps.gov.ph/GEPSNONPILOT/Tender/SplashBidNoticeAbstractUI.aspx?menuIndex=3&amp;refID=7163812&amp;Result=3","7163812")</f>
        <v>0</v>
      </c>
      <c r="B3437" t="s">
        <v>286</v>
      </c>
      <c r="C3437" t="s">
        <v>7176</v>
      </c>
      <c r="D3437" t="s">
        <v>19027</v>
      </c>
      <c r="E3437" t="s">
        <v>22201</v>
      </c>
      <c r="F3437" t="s">
        <v>32831</v>
      </c>
      <c r="G3437" t="s">
        <v>32838</v>
      </c>
      <c r="H3437" t="s">
        <v>32848</v>
      </c>
      <c r="I3437" t="s">
        <v>9577</v>
      </c>
      <c r="J3437" t="s">
        <v>35241</v>
      </c>
      <c r="K3437" t="s">
        <v>42759</v>
      </c>
      <c r="M3437" t="s">
        <v>44500</v>
      </c>
      <c r="N3437" t="s">
        <v>47424</v>
      </c>
      <c r="O3437" t="s">
        <v>47425</v>
      </c>
      <c r="P3437">
        <v>0</v>
      </c>
      <c r="Q3437">
        <v>2</v>
      </c>
      <c r="R3437" t="s">
        <v>47428</v>
      </c>
      <c r="S3437" t="s">
        <v>47541</v>
      </c>
      <c r="T3437" t="s">
        <v>49328</v>
      </c>
      <c r="U3437" t="s">
        <v>52601</v>
      </c>
      <c r="V3437" t="s">
        <v>62989</v>
      </c>
      <c r="W3437" t="s">
        <v>44500</v>
      </c>
      <c r="X3437" t="s">
        <v>47430</v>
      </c>
    </row>
    <row r="3438" spans="1:24">
      <c r="A3438">
        <f>HYPERLINK("https://www.philgeps.gov.ph/GEPSNONPILOT/Tender/SplashBidNoticeAbstractUI.aspx?menuIndex=3&amp;refID=7163805&amp;Result=3","7163805")</f>
        <v>0</v>
      </c>
      <c r="B3438" t="s">
        <v>1385</v>
      </c>
      <c r="C3438" t="s">
        <v>7177</v>
      </c>
      <c r="D3438" t="s">
        <v>19060</v>
      </c>
      <c r="E3438" t="s">
        <v>22202</v>
      </c>
      <c r="F3438" t="s">
        <v>32831</v>
      </c>
      <c r="G3438" t="s">
        <v>32840</v>
      </c>
      <c r="H3438" t="s">
        <v>32848</v>
      </c>
      <c r="I3438" t="s">
        <v>4303</v>
      </c>
      <c r="J3438" t="s">
        <v>35242</v>
      </c>
      <c r="K3438" t="s">
        <v>42730</v>
      </c>
      <c r="M3438" t="s">
        <v>44470</v>
      </c>
      <c r="N3438" t="s">
        <v>47424</v>
      </c>
      <c r="O3438" t="s">
        <v>47425</v>
      </c>
      <c r="P3438">
        <v>0</v>
      </c>
      <c r="Q3438">
        <v>2</v>
      </c>
      <c r="R3438" t="s">
        <v>47428</v>
      </c>
      <c r="S3438" t="s">
        <v>47541</v>
      </c>
      <c r="T3438" t="s">
        <v>49129</v>
      </c>
      <c r="U3438" t="s">
        <v>52602</v>
      </c>
      <c r="V3438" t="s">
        <v>62982</v>
      </c>
      <c r="W3438" t="s">
        <v>44470</v>
      </c>
      <c r="X3438" t="s">
        <v>47430</v>
      </c>
    </row>
    <row r="3439" spans="1:24">
      <c r="A3439">
        <f>HYPERLINK("https://www.philgeps.gov.ph/GEPSNONPILOT/Tender/SplashBidNoticeAbstractUI.aspx?menuIndex=3&amp;refID=7163810&amp;Result=3","7163810")</f>
        <v>0</v>
      </c>
      <c r="B3439" t="s">
        <v>1454</v>
      </c>
      <c r="C3439" t="s">
        <v>7178</v>
      </c>
      <c r="D3439" t="s">
        <v>19017</v>
      </c>
      <c r="E3439" t="s">
        <v>22203</v>
      </c>
      <c r="F3439" t="s">
        <v>32831</v>
      </c>
      <c r="G3439" t="s">
        <v>32839</v>
      </c>
      <c r="H3439" t="s">
        <v>32848</v>
      </c>
      <c r="I3439" t="s">
        <v>32895</v>
      </c>
      <c r="J3439" t="s">
        <v>35243</v>
      </c>
      <c r="K3439" t="s">
        <v>42729</v>
      </c>
      <c r="M3439" t="s">
        <v>44546</v>
      </c>
      <c r="N3439" t="s">
        <v>47424</v>
      </c>
      <c r="O3439" t="s">
        <v>47425</v>
      </c>
      <c r="P3439">
        <v>0</v>
      </c>
      <c r="Q3439">
        <v>2</v>
      </c>
      <c r="R3439" t="s">
        <v>47428</v>
      </c>
      <c r="S3439" t="s">
        <v>47541</v>
      </c>
      <c r="T3439" t="s">
        <v>49349</v>
      </c>
      <c r="U3439" t="s">
        <v>52603</v>
      </c>
      <c r="W3439" t="s">
        <v>44546</v>
      </c>
      <c r="X3439" t="s">
        <v>47430</v>
      </c>
    </row>
    <row r="3440" spans="1:24">
      <c r="A3440">
        <f>HYPERLINK("https://www.philgeps.gov.ph/GEPSNONPILOT/Tender/SplashBidNoticeAbstractUI.aspx?menuIndex=3&amp;refID=7163826&amp;Result=3","7163826")</f>
        <v>0</v>
      </c>
      <c r="B3440" t="s">
        <v>1385</v>
      </c>
      <c r="C3440" t="s">
        <v>7179</v>
      </c>
      <c r="D3440" t="s">
        <v>19060</v>
      </c>
      <c r="E3440" t="s">
        <v>22204</v>
      </c>
      <c r="F3440" t="s">
        <v>32831</v>
      </c>
      <c r="G3440" t="s">
        <v>32838</v>
      </c>
      <c r="H3440" t="s">
        <v>32848</v>
      </c>
      <c r="I3440" t="s">
        <v>32866</v>
      </c>
      <c r="J3440" t="s">
        <v>35244</v>
      </c>
      <c r="K3440" t="s">
        <v>42729</v>
      </c>
      <c r="M3440" t="s">
        <v>44470</v>
      </c>
      <c r="N3440" t="s">
        <v>47424</v>
      </c>
      <c r="O3440" t="s">
        <v>47425</v>
      </c>
      <c r="P3440">
        <v>0</v>
      </c>
      <c r="Q3440">
        <v>1</v>
      </c>
      <c r="R3440" t="s">
        <v>47428</v>
      </c>
      <c r="S3440" t="s">
        <v>47541</v>
      </c>
      <c r="T3440" t="s">
        <v>49129</v>
      </c>
      <c r="U3440" t="s">
        <v>52604</v>
      </c>
      <c r="V3440" t="s">
        <v>62982</v>
      </c>
      <c r="W3440" t="s">
        <v>44470</v>
      </c>
      <c r="X3440" t="s">
        <v>47430</v>
      </c>
    </row>
    <row r="3441" spans="1:24">
      <c r="A3441">
        <f>HYPERLINK("https://www.philgeps.gov.ph/GEPSNONPILOT/Tender/SplashBidNoticeAbstractUI.aspx?menuIndex=3&amp;refID=7163803&amp;Result=3","7163803")</f>
        <v>0</v>
      </c>
      <c r="B3441" t="s">
        <v>1455</v>
      </c>
      <c r="C3441" t="s">
        <v>7180</v>
      </c>
      <c r="D3441" t="s">
        <v>19038</v>
      </c>
      <c r="E3441" t="s">
        <v>22205</v>
      </c>
      <c r="F3441" t="s">
        <v>32831</v>
      </c>
      <c r="G3441" t="s">
        <v>32838</v>
      </c>
      <c r="H3441" t="s">
        <v>32848</v>
      </c>
      <c r="I3441" t="s">
        <v>4303</v>
      </c>
      <c r="J3441" t="s">
        <v>35245</v>
      </c>
      <c r="K3441" t="s">
        <v>42732</v>
      </c>
      <c r="M3441" t="s">
        <v>44547</v>
      </c>
      <c r="N3441" t="s">
        <v>47424</v>
      </c>
      <c r="O3441" t="s">
        <v>47425</v>
      </c>
      <c r="P3441">
        <v>0</v>
      </c>
      <c r="Q3441">
        <v>0</v>
      </c>
      <c r="R3441" t="s">
        <v>47428</v>
      </c>
      <c r="S3441" t="s">
        <v>47541</v>
      </c>
      <c r="T3441" t="s">
        <v>49111</v>
      </c>
      <c r="U3441" t="s">
        <v>52605</v>
      </c>
      <c r="W3441" t="s">
        <v>44547</v>
      </c>
      <c r="X3441" t="s">
        <v>47430</v>
      </c>
    </row>
    <row r="3442" spans="1:24">
      <c r="A3442">
        <f>HYPERLINK("https://www.philgeps.gov.ph/GEPSNONPILOT/Tender/SplashBidNoticeAbstractUI.aspx?menuIndex=3&amp;refID=7163854&amp;Result=3","7163854")</f>
        <v>0</v>
      </c>
      <c r="B3442" t="s">
        <v>1385</v>
      </c>
      <c r="C3442" t="s">
        <v>7181</v>
      </c>
      <c r="D3442" t="s">
        <v>19060</v>
      </c>
      <c r="E3442" t="s">
        <v>22206</v>
      </c>
      <c r="F3442" t="s">
        <v>32831</v>
      </c>
      <c r="G3442" t="s">
        <v>32840</v>
      </c>
      <c r="H3442" t="s">
        <v>32848</v>
      </c>
      <c r="I3442" t="s">
        <v>4438</v>
      </c>
      <c r="J3442" t="s">
        <v>33261</v>
      </c>
      <c r="K3442" t="s">
        <v>42730</v>
      </c>
      <c r="M3442" t="s">
        <v>44470</v>
      </c>
      <c r="N3442" t="s">
        <v>47424</v>
      </c>
      <c r="O3442" t="s">
        <v>47425</v>
      </c>
      <c r="P3442">
        <v>0</v>
      </c>
      <c r="Q3442">
        <v>2</v>
      </c>
      <c r="R3442" t="s">
        <v>47428</v>
      </c>
      <c r="S3442" t="s">
        <v>47541</v>
      </c>
      <c r="T3442" t="s">
        <v>49129</v>
      </c>
      <c r="U3442" t="s">
        <v>52606</v>
      </c>
      <c r="V3442" t="s">
        <v>62986</v>
      </c>
      <c r="W3442" t="s">
        <v>44470</v>
      </c>
      <c r="X3442" t="s">
        <v>47430</v>
      </c>
    </row>
    <row r="3443" spans="1:24">
      <c r="A3443">
        <f>HYPERLINK("https://www.philgeps.gov.ph/GEPSNONPILOT/Tender/SplashBidNoticeAbstractUI.aspx?menuIndex=3&amp;refID=7163899&amp;Result=3","7163899")</f>
        <v>0</v>
      </c>
      <c r="B3443" t="s">
        <v>1456</v>
      </c>
      <c r="C3443" t="s">
        <v>7182</v>
      </c>
      <c r="D3443" t="s">
        <v>19075</v>
      </c>
      <c r="E3443" t="s">
        <v>22207</v>
      </c>
      <c r="F3443" t="s">
        <v>32831</v>
      </c>
      <c r="G3443" t="s">
        <v>32840</v>
      </c>
      <c r="H3443" t="s">
        <v>32848</v>
      </c>
      <c r="I3443" t="s">
        <v>7878</v>
      </c>
      <c r="J3443" t="s">
        <v>35246</v>
      </c>
      <c r="K3443" t="s">
        <v>42731</v>
      </c>
      <c r="L3443" t="s">
        <v>1456</v>
      </c>
      <c r="M3443" t="s">
        <v>44548</v>
      </c>
      <c r="N3443" t="s">
        <v>47424</v>
      </c>
      <c r="O3443" t="s">
        <v>47425</v>
      </c>
      <c r="P3443">
        <v>0</v>
      </c>
      <c r="Q3443">
        <v>0</v>
      </c>
      <c r="R3443" t="s">
        <v>47428</v>
      </c>
      <c r="S3443" t="s">
        <v>47541</v>
      </c>
      <c r="T3443" t="s">
        <v>49111</v>
      </c>
      <c r="U3443" t="s">
        <v>52607</v>
      </c>
      <c r="V3443" t="s">
        <v>63006</v>
      </c>
      <c r="W3443" t="s">
        <v>44548</v>
      </c>
      <c r="X3443" t="s">
        <v>47430</v>
      </c>
    </row>
    <row r="3444" spans="1:24">
      <c r="A3444">
        <f>HYPERLINK("https://www.philgeps.gov.ph/GEPSNONPILOT/Tender/SplashBidNoticeAbstractUI.aspx?menuIndex=3&amp;refID=7163851&amp;Result=3","7163851")</f>
        <v>0</v>
      </c>
      <c r="B3444" t="s">
        <v>711</v>
      </c>
      <c r="C3444" t="s">
        <v>7183</v>
      </c>
      <c r="D3444" t="s">
        <v>19060</v>
      </c>
      <c r="E3444" t="s">
        <v>22208</v>
      </c>
      <c r="F3444" t="s">
        <v>32831</v>
      </c>
      <c r="G3444" t="s">
        <v>32838</v>
      </c>
      <c r="H3444" t="s">
        <v>32848</v>
      </c>
      <c r="I3444" t="s">
        <v>32862</v>
      </c>
      <c r="J3444" t="s">
        <v>35247</v>
      </c>
      <c r="K3444" t="s">
        <v>42730</v>
      </c>
      <c r="M3444" t="s">
        <v>43731</v>
      </c>
      <c r="N3444" t="s">
        <v>47424</v>
      </c>
      <c r="O3444" t="s">
        <v>47425</v>
      </c>
      <c r="P3444">
        <v>0</v>
      </c>
      <c r="Q3444">
        <v>1</v>
      </c>
      <c r="R3444" t="s">
        <v>47428</v>
      </c>
      <c r="S3444" t="s">
        <v>47541</v>
      </c>
      <c r="T3444" t="s">
        <v>49111</v>
      </c>
      <c r="U3444" t="s">
        <v>52608</v>
      </c>
      <c r="W3444" t="s">
        <v>43731</v>
      </c>
      <c r="X3444" t="s">
        <v>47430</v>
      </c>
    </row>
    <row r="3445" spans="1:24">
      <c r="A3445">
        <f>HYPERLINK("https://www.philgeps.gov.ph/GEPSNONPILOT/Tender/SplashBidNoticeAbstractUI.aspx?menuIndex=3&amp;refID=7163896&amp;Result=3","7163896")</f>
        <v>0</v>
      </c>
      <c r="B3445" t="s">
        <v>1443</v>
      </c>
      <c r="C3445" t="s">
        <v>7184</v>
      </c>
      <c r="D3445" t="s">
        <v>19058</v>
      </c>
      <c r="E3445" t="s">
        <v>22209</v>
      </c>
      <c r="F3445" t="s">
        <v>32831</v>
      </c>
      <c r="G3445" t="s">
        <v>32839</v>
      </c>
      <c r="H3445" t="s">
        <v>32849</v>
      </c>
      <c r="I3445" t="s">
        <v>4177</v>
      </c>
      <c r="J3445" t="s">
        <v>35248</v>
      </c>
      <c r="K3445" t="s">
        <v>42768</v>
      </c>
      <c r="M3445" t="s">
        <v>44535</v>
      </c>
      <c r="N3445" t="s">
        <v>47424</v>
      </c>
      <c r="O3445" t="s">
        <v>47425</v>
      </c>
      <c r="P3445">
        <v>0</v>
      </c>
      <c r="Q3445">
        <v>0</v>
      </c>
      <c r="R3445" t="s">
        <v>47428</v>
      </c>
      <c r="S3445" t="s">
        <v>47541</v>
      </c>
      <c r="T3445" t="s">
        <v>49348</v>
      </c>
      <c r="U3445" t="s">
        <v>52609</v>
      </c>
      <c r="W3445" t="s">
        <v>44535</v>
      </c>
      <c r="X3445" t="s">
        <v>47430</v>
      </c>
    </row>
    <row r="3446" spans="1:24">
      <c r="A3446">
        <f>HYPERLINK("https://www.philgeps.gov.ph/GEPSNONPILOT/Tender/SplashBidNoticeAbstractUI.aspx?menuIndex=3&amp;refID=7163841&amp;Result=3","7163841")</f>
        <v>0</v>
      </c>
      <c r="B3446" t="s">
        <v>1457</v>
      </c>
      <c r="C3446" t="s">
        <v>7185</v>
      </c>
      <c r="D3446" t="s">
        <v>19057</v>
      </c>
      <c r="E3446" t="s">
        <v>22210</v>
      </c>
      <c r="F3446" t="s">
        <v>32831</v>
      </c>
      <c r="G3446" t="s">
        <v>32838</v>
      </c>
      <c r="H3446" t="s">
        <v>32848</v>
      </c>
      <c r="I3446" t="s">
        <v>32864</v>
      </c>
      <c r="J3446" t="s">
        <v>35249</v>
      </c>
      <c r="K3446" t="s">
        <v>42731</v>
      </c>
      <c r="M3446" t="s">
        <v>44549</v>
      </c>
      <c r="N3446" t="s">
        <v>47424</v>
      </c>
      <c r="O3446" t="s">
        <v>47425</v>
      </c>
      <c r="P3446">
        <v>0</v>
      </c>
      <c r="Q3446">
        <v>2</v>
      </c>
      <c r="R3446" t="s">
        <v>47428</v>
      </c>
      <c r="S3446" t="s">
        <v>47541</v>
      </c>
      <c r="T3446" t="s">
        <v>49239</v>
      </c>
      <c r="U3446" t="s">
        <v>52610</v>
      </c>
      <c r="W3446" t="s">
        <v>44549</v>
      </c>
      <c r="X3446" t="s">
        <v>47430</v>
      </c>
    </row>
    <row r="3447" spans="1:24">
      <c r="A3447">
        <f>HYPERLINK("https://www.philgeps.gov.ph/GEPSNONPILOT/Tender/SplashBidNoticeAbstractUI.aspx?menuIndex=3&amp;refID=7163893&amp;Result=3","7163893")</f>
        <v>0</v>
      </c>
      <c r="B3447" t="s">
        <v>1458</v>
      </c>
      <c r="C3447" t="s">
        <v>7186</v>
      </c>
      <c r="D3447" t="s">
        <v>19090</v>
      </c>
      <c r="E3447" t="s">
        <v>22211</v>
      </c>
      <c r="F3447" t="s">
        <v>32831</v>
      </c>
      <c r="G3447" t="s">
        <v>32838</v>
      </c>
      <c r="H3447" t="s">
        <v>32848</v>
      </c>
      <c r="I3447" t="s">
        <v>32857</v>
      </c>
      <c r="J3447" t="s">
        <v>35250</v>
      </c>
      <c r="K3447" t="s">
        <v>42726</v>
      </c>
      <c r="M3447" t="s">
        <v>44550</v>
      </c>
      <c r="N3447" t="s">
        <v>47424</v>
      </c>
      <c r="O3447" t="s">
        <v>47425</v>
      </c>
      <c r="P3447">
        <v>0</v>
      </c>
      <c r="Q3447">
        <v>2</v>
      </c>
      <c r="R3447" t="s">
        <v>47428</v>
      </c>
      <c r="S3447" t="s">
        <v>47541</v>
      </c>
      <c r="T3447" t="s">
        <v>49237</v>
      </c>
      <c r="U3447" t="s">
        <v>52611</v>
      </c>
      <c r="V3447" t="s">
        <v>63007</v>
      </c>
      <c r="W3447" t="s">
        <v>44550</v>
      </c>
      <c r="X3447" t="s">
        <v>47430</v>
      </c>
    </row>
    <row r="3448" spans="1:24">
      <c r="A3448">
        <f>HYPERLINK("https://www.philgeps.gov.ph/GEPSNONPILOT/Tender/SplashBidNoticeAbstractUI.aspx?menuIndex=3&amp;refID=7163802&amp;Result=3","7163802")</f>
        <v>0</v>
      </c>
      <c r="B3448" t="s">
        <v>1459</v>
      </c>
      <c r="C3448" t="s">
        <v>7187</v>
      </c>
      <c r="D3448" t="s">
        <v>19033</v>
      </c>
      <c r="E3448" t="s">
        <v>22212</v>
      </c>
      <c r="F3448" t="s">
        <v>32831</v>
      </c>
      <c r="G3448" t="s">
        <v>32838</v>
      </c>
      <c r="H3448" t="s">
        <v>32848</v>
      </c>
      <c r="I3448" t="s">
        <v>32869</v>
      </c>
      <c r="J3448" t="s">
        <v>35251</v>
      </c>
      <c r="K3448" t="s">
        <v>42727</v>
      </c>
      <c r="M3448" t="s">
        <v>44551</v>
      </c>
      <c r="N3448" t="s">
        <v>47424</v>
      </c>
      <c r="O3448" t="s">
        <v>47425</v>
      </c>
      <c r="P3448">
        <v>0</v>
      </c>
      <c r="Q3448">
        <v>0</v>
      </c>
      <c r="R3448" t="s">
        <v>47428</v>
      </c>
      <c r="S3448" t="s">
        <v>47541</v>
      </c>
      <c r="T3448" t="s">
        <v>49162</v>
      </c>
      <c r="U3448" t="s">
        <v>52612</v>
      </c>
      <c r="W3448" t="s">
        <v>44551</v>
      </c>
      <c r="X3448" t="s">
        <v>47430</v>
      </c>
    </row>
    <row r="3449" spans="1:24">
      <c r="A3449">
        <f>HYPERLINK("https://www.philgeps.gov.ph/GEPSNONPILOT/Tender/SplashBidNoticeAbstractUI.aspx?menuIndex=3&amp;refID=7163891&amp;Result=3","7163891")</f>
        <v>0</v>
      </c>
      <c r="B3449" t="s">
        <v>703</v>
      </c>
      <c r="C3449" t="s">
        <v>7188</v>
      </c>
      <c r="D3449" t="s">
        <v>19077</v>
      </c>
      <c r="E3449" t="s">
        <v>22213</v>
      </c>
      <c r="F3449" t="s">
        <v>32831</v>
      </c>
      <c r="G3449" t="s">
        <v>32840</v>
      </c>
      <c r="H3449" t="s">
        <v>32848</v>
      </c>
      <c r="I3449" t="s">
        <v>4471</v>
      </c>
      <c r="J3449" t="s">
        <v>35252</v>
      </c>
      <c r="K3449" t="s">
        <v>42730</v>
      </c>
      <c r="M3449" t="s">
        <v>44449</v>
      </c>
      <c r="N3449" t="s">
        <v>47424</v>
      </c>
      <c r="O3449" t="s">
        <v>47425</v>
      </c>
      <c r="P3449">
        <v>0</v>
      </c>
      <c r="Q3449">
        <v>1</v>
      </c>
      <c r="R3449" t="s">
        <v>47428</v>
      </c>
      <c r="S3449" t="s">
        <v>47541</v>
      </c>
      <c r="T3449" t="s">
        <v>49175</v>
      </c>
      <c r="U3449" t="s">
        <v>52613</v>
      </c>
      <c r="W3449" t="s">
        <v>44449</v>
      </c>
      <c r="X3449" t="s">
        <v>47430</v>
      </c>
    </row>
    <row r="3450" spans="1:24">
      <c r="A3450">
        <f>HYPERLINK("https://www.philgeps.gov.ph/GEPSNONPILOT/Tender/SplashBidNoticeAbstractUI.aspx?menuIndex=3&amp;refID=7163898&amp;Result=3","7163898")</f>
        <v>0</v>
      </c>
      <c r="B3450" t="s">
        <v>1460</v>
      </c>
      <c r="C3450" t="s">
        <v>7189</v>
      </c>
      <c r="D3450" t="s">
        <v>19025</v>
      </c>
      <c r="E3450" t="s">
        <v>22214</v>
      </c>
      <c r="F3450" t="s">
        <v>32831</v>
      </c>
      <c r="G3450" t="s">
        <v>32839</v>
      </c>
      <c r="H3450" t="s">
        <v>32849</v>
      </c>
      <c r="I3450" t="s">
        <v>4177</v>
      </c>
      <c r="J3450" t="s">
        <v>35253</v>
      </c>
      <c r="K3450" t="s">
        <v>42742</v>
      </c>
      <c r="M3450" t="s">
        <v>44552</v>
      </c>
      <c r="N3450" t="s">
        <v>47424</v>
      </c>
      <c r="O3450" t="s">
        <v>47425</v>
      </c>
      <c r="P3450">
        <v>0</v>
      </c>
      <c r="Q3450">
        <v>0</v>
      </c>
      <c r="R3450" t="s">
        <v>47428</v>
      </c>
      <c r="S3450" t="s">
        <v>47541</v>
      </c>
      <c r="T3450" t="s">
        <v>49070</v>
      </c>
      <c r="U3450" t="s">
        <v>52614</v>
      </c>
      <c r="W3450" t="s">
        <v>44552</v>
      </c>
      <c r="X3450" t="s">
        <v>47430</v>
      </c>
    </row>
    <row r="3451" spans="1:24">
      <c r="A3451">
        <f>HYPERLINK("https://www.philgeps.gov.ph/GEPSNONPILOT/Tender/SplashBidNoticeAbstractUI.aspx?menuIndex=3&amp;refID=7163888&amp;Result=3","7163888")</f>
        <v>0</v>
      </c>
      <c r="B3451" t="s">
        <v>1461</v>
      </c>
      <c r="C3451" t="s">
        <v>7190</v>
      </c>
      <c r="D3451" t="s">
        <v>19077</v>
      </c>
      <c r="E3451" t="s">
        <v>22215</v>
      </c>
      <c r="F3451" t="s">
        <v>32831</v>
      </c>
      <c r="G3451" t="s">
        <v>32838</v>
      </c>
      <c r="H3451" t="s">
        <v>32848</v>
      </c>
      <c r="I3451" t="s">
        <v>7416</v>
      </c>
      <c r="J3451" t="s">
        <v>35254</v>
      </c>
      <c r="K3451" t="s">
        <v>42732</v>
      </c>
      <c r="M3451" t="s">
        <v>44553</v>
      </c>
      <c r="N3451" t="s">
        <v>47424</v>
      </c>
      <c r="O3451" t="s">
        <v>47425</v>
      </c>
      <c r="P3451">
        <v>0</v>
      </c>
      <c r="Q3451">
        <v>0</v>
      </c>
      <c r="R3451" t="s">
        <v>47428</v>
      </c>
      <c r="S3451" t="s">
        <v>47541</v>
      </c>
      <c r="T3451" t="s">
        <v>49114</v>
      </c>
      <c r="U3451" t="s">
        <v>52615</v>
      </c>
      <c r="W3451" t="s">
        <v>64472</v>
      </c>
      <c r="X3451" t="s">
        <v>47430</v>
      </c>
    </row>
    <row r="3452" spans="1:24">
      <c r="A3452">
        <f>HYPERLINK("https://www.philgeps.gov.ph/GEPSNONPILOT/Tender/SplashBidNoticeAbstractUI.aspx?menuIndex=3&amp;refID=7163885&amp;Result=3","7163885")</f>
        <v>0</v>
      </c>
      <c r="B3452" t="s">
        <v>909</v>
      </c>
      <c r="C3452" t="s">
        <v>7191</v>
      </c>
      <c r="D3452" t="s">
        <v>19067</v>
      </c>
      <c r="E3452" t="s">
        <v>22216</v>
      </c>
      <c r="F3452" t="s">
        <v>32831</v>
      </c>
      <c r="G3452" t="s">
        <v>32838</v>
      </c>
      <c r="H3452" t="s">
        <v>32848</v>
      </c>
      <c r="I3452" t="s">
        <v>32870</v>
      </c>
      <c r="J3452" t="s">
        <v>35255</v>
      </c>
      <c r="K3452" t="s">
        <v>42730</v>
      </c>
      <c r="M3452" t="s">
        <v>43949</v>
      </c>
      <c r="N3452" t="s">
        <v>47424</v>
      </c>
      <c r="O3452" t="s">
        <v>47425</v>
      </c>
      <c r="P3452">
        <v>0</v>
      </c>
      <c r="Q3452">
        <v>0</v>
      </c>
      <c r="R3452" t="s">
        <v>47428</v>
      </c>
      <c r="S3452" t="s">
        <v>47541</v>
      </c>
      <c r="T3452" t="s">
        <v>49237</v>
      </c>
      <c r="U3452" t="s">
        <v>52616</v>
      </c>
      <c r="W3452" t="s">
        <v>43949</v>
      </c>
      <c r="X3452" t="s">
        <v>47430</v>
      </c>
    </row>
    <row r="3453" spans="1:24">
      <c r="A3453">
        <f>HYPERLINK("https://www.philgeps.gov.ph/GEPSNONPILOT/Tender/SplashBidNoticeAbstractUI.aspx?menuIndex=3&amp;refID=7163895&amp;Result=3","7163895")</f>
        <v>0</v>
      </c>
      <c r="B3453" t="s">
        <v>1385</v>
      </c>
      <c r="C3453" t="s">
        <v>7192</v>
      </c>
      <c r="D3453" t="s">
        <v>19060</v>
      </c>
      <c r="E3453" t="s">
        <v>22217</v>
      </c>
      <c r="F3453" t="s">
        <v>32831</v>
      </c>
      <c r="G3453" t="s">
        <v>32840</v>
      </c>
      <c r="H3453" t="s">
        <v>32848</v>
      </c>
      <c r="I3453" t="s">
        <v>4438</v>
      </c>
      <c r="J3453" t="s">
        <v>35256</v>
      </c>
      <c r="K3453" t="s">
        <v>42730</v>
      </c>
      <c r="M3453" t="s">
        <v>44470</v>
      </c>
      <c r="N3453" t="s">
        <v>47424</v>
      </c>
      <c r="O3453" t="s">
        <v>47425</v>
      </c>
      <c r="P3453">
        <v>0</v>
      </c>
      <c r="Q3453">
        <v>3</v>
      </c>
      <c r="R3453" t="s">
        <v>47428</v>
      </c>
      <c r="S3453" t="s">
        <v>47541</v>
      </c>
      <c r="T3453" t="s">
        <v>49129</v>
      </c>
      <c r="U3453" t="s">
        <v>52617</v>
      </c>
      <c r="V3453" t="s">
        <v>62982</v>
      </c>
      <c r="W3453" t="s">
        <v>44470</v>
      </c>
      <c r="X3453" t="s">
        <v>47430</v>
      </c>
    </row>
    <row r="3454" spans="1:24">
      <c r="A3454">
        <f>HYPERLINK("https://www.philgeps.gov.ph/GEPSNONPILOT/Tender/SplashBidNoticeAbstractUI.aspx?menuIndex=3&amp;refID=7163882&amp;Result=3","7163882")</f>
        <v>0</v>
      </c>
      <c r="B3454" t="s">
        <v>1462</v>
      </c>
      <c r="C3454" t="s">
        <v>7193</v>
      </c>
      <c r="D3454" t="s">
        <v>19018</v>
      </c>
      <c r="E3454" t="s">
        <v>20722</v>
      </c>
      <c r="F3454" t="s">
        <v>32831</v>
      </c>
      <c r="G3454" t="s">
        <v>32838</v>
      </c>
      <c r="H3454" t="s">
        <v>32848</v>
      </c>
      <c r="I3454" t="s">
        <v>7416</v>
      </c>
      <c r="J3454" t="s">
        <v>35257</v>
      </c>
      <c r="K3454" t="s">
        <v>42726</v>
      </c>
      <c r="M3454" t="s">
        <v>44554</v>
      </c>
      <c r="N3454" t="s">
        <v>47424</v>
      </c>
      <c r="O3454" t="s">
        <v>47425</v>
      </c>
      <c r="P3454">
        <v>0</v>
      </c>
      <c r="Q3454">
        <v>0</v>
      </c>
      <c r="R3454" t="s">
        <v>47428</v>
      </c>
      <c r="S3454" t="s">
        <v>47541</v>
      </c>
      <c r="T3454" t="s">
        <v>49127</v>
      </c>
      <c r="U3454" t="s">
        <v>52618</v>
      </c>
      <c r="W3454" t="s">
        <v>44554</v>
      </c>
      <c r="X3454" t="s">
        <v>47430</v>
      </c>
    </row>
    <row r="3455" spans="1:24">
      <c r="A3455">
        <f>HYPERLINK("https://www.philgeps.gov.ph/GEPSNONPILOT/Tender/SplashBidNoticeAbstractUI.aspx?menuIndex=3&amp;refID=7163881&amp;Result=3","7163881")</f>
        <v>0</v>
      </c>
      <c r="B3455" t="s">
        <v>1463</v>
      </c>
      <c r="C3455" t="s">
        <v>7194</v>
      </c>
      <c r="D3455" t="s">
        <v>19066</v>
      </c>
      <c r="E3455" t="s">
        <v>22218</v>
      </c>
      <c r="F3455" t="s">
        <v>32831</v>
      </c>
      <c r="G3455" t="s">
        <v>32839</v>
      </c>
      <c r="H3455" t="s">
        <v>32848</v>
      </c>
      <c r="I3455" t="s">
        <v>32852</v>
      </c>
      <c r="J3455" t="s">
        <v>35258</v>
      </c>
      <c r="K3455" t="s">
        <v>42732</v>
      </c>
      <c r="M3455" t="s">
        <v>44555</v>
      </c>
      <c r="N3455" t="s">
        <v>47424</v>
      </c>
      <c r="O3455" t="s">
        <v>47425</v>
      </c>
      <c r="P3455">
        <v>0</v>
      </c>
      <c r="Q3455">
        <v>3</v>
      </c>
      <c r="R3455" t="s">
        <v>47428</v>
      </c>
      <c r="S3455" t="s">
        <v>47541</v>
      </c>
      <c r="T3455" t="s">
        <v>49102</v>
      </c>
      <c r="U3455" t="s">
        <v>52619</v>
      </c>
      <c r="W3455" t="s">
        <v>44555</v>
      </c>
      <c r="X3455" t="s">
        <v>47430</v>
      </c>
    </row>
    <row r="3456" spans="1:24">
      <c r="A3456">
        <f>HYPERLINK("https://www.philgeps.gov.ph/GEPSNONPILOT/Tender/SplashBidNoticeAbstractUI.aspx?menuIndex=3&amp;refID=7163880&amp;Result=3","7163880")</f>
        <v>0</v>
      </c>
      <c r="B3456" t="s">
        <v>1464</v>
      </c>
      <c r="C3456" t="s">
        <v>7195</v>
      </c>
      <c r="D3456" t="s">
        <v>19050</v>
      </c>
      <c r="E3456" t="s">
        <v>22219</v>
      </c>
      <c r="F3456" t="s">
        <v>32831</v>
      </c>
      <c r="G3456" t="s">
        <v>32838</v>
      </c>
      <c r="H3456" t="s">
        <v>32848</v>
      </c>
      <c r="I3456" t="s">
        <v>5379</v>
      </c>
      <c r="J3456" t="s">
        <v>35259</v>
      </c>
      <c r="K3456" t="s">
        <v>42759</v>
      </c>
      <c r="M3456" t="s">
        <v>44556</v>
      </c>
      <c r="N3456" t="s">
        <v>47424</v>
      </c>
      <c r="O3456" t="s">
        <v>47425</v>
      </c>
      <c r="P3456">
        <v>0</v>
      </c>
      <c r="Q3456">
        <v>0</v>
      </c>
      <c r="R3456" t="s">
        <v>47428</v>
      </c>
      <c r="S3456" t="s">
        <v>47541</v>
      </c>
      <c r="T3456" t="s">
        <v>49237</v>
      </c>
      <c r="U3456" t="s">
        <v>52620</v>
      </c>
      <c r="W3456" t="s">
        <v>44556</v>
      </c>
      <c r="X3456" t="s">
        <v>47430</v>
      </c>
    </row>
    <row r="3457" spans="1:24">
      <c r="A3457">
        <f>HYPERLINK("https://www.philgeps.gov.ph/GEPSNONPILOT/Tender/SplashBidNoticeAbstractUI.aspx?menuIndex=3&amp;refID=7163889&amp;Result=3","7163889")</f>
        <v>0</v>
      </c>
      <c r="B3457" t="s">
        <v>1441</v>
      </c>
      <c r="C3457" t="s">
        <v>7196</v>
      </c>
      <c r="D3457" t="s">
        <v>19048</v>
      </c>
      <c r="E3457" t="s">
        <v>22220</v>
      </c>
      <c r="F3457" t="s">
        <v>32831</v>
      </c>
      <c r="G3457" t="s">
        <v>32839</v>
      </c>
      <c r="H3457" t="s">
        <v>32848</v>
      </c>
      <c r="I3457" t="s">
        <v>9577</v>
      </c>
      <c r="J3457" t="s">
        <v>35260</v>
      </c>
      <c r="K3457" t="s">
        <v>42727</v>
      </c>
      <c r="M3457" t="s">
        <v>44533</v>
      </c>
      <c r="N3457" t="s">
        <v>47424</v>
      </c>
      <c r="O3457" t="s">
        <v>47425</v>
      </c>
      <c r="P3457">
        <v>0</v>
      </c>
      <c r="Q3457">
        <v>1</v>
      </c>
      <c r="R3457" t="s">
        <v>47428</v>
      </c>
      <c r="S3457" t="s">
        <v>47541</v>
      </c>
      <c r="T3457" t="s">
        <v>49066</v>
      </c>
      <c r="U3457" t="s">
        <v>52621</v>
      </c>
      <c r="W3457" t="s">
        <v>44533</v>
      </c>
      <c r="X3457" t="s">
        <v>47430</v>
      </c>
    </row>
    <row r="3458" spans="1:24">
      <c r="A3458">
        <f>HYPERLINK("https://www.philgeps.gov.ph/GEPSNONPILOT/Tender/SplashBidNoticeAbstractUI.aspx?menuIndex=3&amp;refID=7163876&amp;Result=3","7163876")</f>
        <v>0</v>
      </c>
      <c r="B3458" t="s">
        <v>1461</v>
      </c>
      <c r="C3458" t="s">
        <v>7197</v>
      </c>
      <c r="D3458" t="s">
        <v>19077</v>
      </c>
      <c r="E3458" t="s">
        <v>22221</v>
      </c>
      <c r="F3458" t="s">
        <v>32831</v>
      </c>
      <c r="G3458" t="s">
        <v>32838</v>
      </c>
      <c r="H3458" t="s">
        <v>32848</v>
      </c>
      <c r="I3458" t="s">
        <v>7416</v>
      </c>
      <c r="J3458" t="s">
        <v>35261</v>
      </c>
      <c r="K3458" t="s">
        <v>42732</v>
      </c>
      <c r="M3458" t="s">
        <v>44553</v>
      </c>
      <c r="N3458" t="s">
        <v>47424</v>
      </c>
      <c r="O3458" t="s">
        <v>47425</v>
      </c>
      <c r="P3458">
        <v>0</v>
      </c>
      <c r="Q3458">
        <v>0</v>
      </c>
      <c r="R3458" t="s">
        <v>47428</v>
      </c>
      <c r="S3458" t="s">
        <v>47541</v>
      </c>
      <c r="T3458" t="s">
        <v>49114</v>
      </c>
      <c r="U3458" t="s">
        <v>52615</v>
      </c>
      <c r="W3458" t="s">
        <v>64472</v>
      </c>
      <c r="X3458" t="s">
        <v>47430</v>
      </c>
    </row>
    <row r="3459" spans="1:24">
      <c r="A3459">
        <f>HYPERLINK("https://www.philgeps.gov.ph/GEPSNONPILOT/Tender/SplashBidNoticeAbstractUI.aspx?menuIndex=3&amp;refID=7163874&amp;Result=3","7163874")</f>
        <v>0</v>
      </c>
      <c r="B3459" t="s">
        <v>909</v>
      </c>
      <c r="C3459" t="s">
        <v>7198</v>
      </c>
      <c r="D3459" t="s">
        <v>19067</v>
      </c>
      <c r="E3459" t="s">
        <v>22222</v>
      </c>
      <c r="F3459" t="s">
        <v>32831</v>
      </c>
      <c r="G3459" t="s">
        <v>32838</v>
      </c>
      <c r="H3459" t="s">
        <v>32848</v>
      </c>
      <c r="I3459" t="s">
        <v>4471</v>
      </c>
      <c r="J3459" t="s">
        <v>33674</v>
      </c>
      <c r="K3459" t="s">
        <v>42730</v>
      </c>
      <c r="M3459" t="s">
        <v>43949</v>
      </c>
      <c r="N3459" t="s">
        <v>47424</v>
      </c>
      <c r="O3459" t="s">
        <v>47425</v>
      </c>
      <c r="P3459">
        <v>0</v>
      </c>
      <c r="Q3459">
        <v>4</v>
      </c>
      <c r="R3459" t="s">
        <v>47428</v>
      </c>
      <c r="S3459" t="s">
        <v>47541</v>
      </c>
      <c r="T3459" t="s">
        <v>49237</v>
      </c>
      <c r="U3459" t="s">
        <v>52622</v>
      </c>
      <c r="W3459" t="s">
        <v>43949</v>
      </c>
      <c r="X3459" t="s">
        <v>47430</v>
      </c>
    </row>
    <row r="3460" spans="1:24">
      <c r="A3460">
        <f>HYPERLINK("https://www.philgeps.gov.ph/GEPSNONPILOT/Tender/SplashBidNoticeAbstractUI.aspx?menuIndex=3&amp;refID=7163806&amp;Result=3","7163806")</f>
        <v>0</v>
      </c>
      <c r="B3460" t="s">
        <v>1438</v>
      </c>
      <c r="C3460" t="s">
        <v>7199</v>
      </c>
      <c r="D3460" t="s">
        <v>19033</v>
      </c>
      <c r="E3460" t="s">
        <v>22223</v>
      </c>
      <c r="F3460" t="s">
        <v>32831</v>
      </c>
      <c r="G3460" t="s">
        <v>32838</v>
      </c>
      <c r="H3460" t="s">
        <v>32848</v>
      </c>
      <c r="I3460" t="s">
        <v>7416</v>
      </c>
      <c r="J3460" t="s">
        <v>32980</v>
      </c>
      <c r="K3460" t="s">
        <v>42727</v>
      </c>
      <c r="M3460" t="s">
        <v>44528</v>
      </c>
      <c r="N3460" t="s">
        <v>47424</v>
      </c>
      <c r="O3460" t="s">
        <v>47425</v>
      </c>
      <c r="P3460">
        <v>0</v>
      </c>
      <c r="Q3460">
        <v>0</v>
      </c>
      <c r="R3460" t="s">
        <v>47428</v>
      </c>
      <c r="S3460" t="s">
        <v>47541</v>
      </c>
      <c r="T3460" t="s">
        <v>49145</v>
      </c>
      <c r="U3460" t="s">
        <v>52551</v>
      </c>
      <c r="W3460" t="s">
        <v>44528</v>
      </c>
      <c r="X3460" t="s">
        <v>47430</v>
      </c>
    </row>
    <row r="3461" spans="1:24">
      <c r="A3461">
        <f>HYPERLINK("https://www.philgeps.gov.ph/GEPSNONPILOT/Tender/SplashBidNoticeAbstractUI.aspx?menuIndex=3&amp;refID=7163869&amp;Result=3","7163869")</f>
        <v>0</v>
      </c>
      <c r="B3461" t="s">
        <v>1438</v>
      </c>
      <c r="C3461" t="s">
        <v>7200</v>
      </c>
      <c r="D3461" t="s">
        <v>19033</v>
      </c>
      <c r="E3461" t="s">
        <v>22224</v>
      </c>
      <c r="F3461" t="s">
        <v>32831</v>
      </c>
      <c r="G3461" t="s">
        <v>32838</v>
      </c>
      <c r="H3461" t="s">
        <v>32848</v>
      </c>
      <c r="I3461" t="s">
        <v>7416</v>
      </c>
      <c r="J3461" t="s">
        <v>35262</v>
      </c>
      <c r="K3461" t="s">
        <v>42727</v>
      </c>
      <c r="M3461" t="s">
        <v>44528</v>
      </c>
      <c r="N3461" t="s">
        <v>47424</v>
      </c>
      <c r="O3461" t="s">
        <v>47425</v>
      </c>
      <c r="P3461">
        <v>0</v>
      </c>
      <c r="Q3461">
        <v>0</v>
      </c>
      <c r="R3461" t="s">
        <v>47428</v>
      </c>
      <c r="S3461" t="s">
        <v>47541</v>
      </c>
      <c r="T3461" t="s">
        <v>49145</v>
      </c>
      <c r="U3461" t="s">
        <v>52551</v>
      </c>
      <c r="W3461" t="s">
        <v>44528</v>
      </c>
      <c r="X3461" t="s">
        <v>47430</v>
      </c>
    </row>
    <row r="3462" spans="1:24">
      <c r="A3462">
        <f>HYPERLINK("https://www.philgeps.gov.ph/GEPSNONPILOT/Tender/SplashBidNoticeAbstractUI.aspx?menuIndex=3&amp;refID=7163740&amp;Result=3","7163740")</f>
        <v>0</v>
      </c>
      <c r="B3462" t="s">
        <v>1411</v>
      </c>
      <c r="C3462" t="s">
        <v>7201</v>
      </c>
      <c r="D3462" t="s">
        <v>19079</v>
      </c>
      <c r="E3462" t="s">
        <v>22225</v>
      </c>
      <c r="F3462" t="s">
        <v>32831</v>
      </c>
      <c r="G3462" t="s">
        <v>32839</v>
      </c>
      <c r="H3462" t="s">
        <v>32848</v>
      </c>
      <c r="I3462" t="s">
        <v>7751</v>
      </c>
      <c r="J3462" t="s">
        <v>33111</v>
      </c>
      <c r="K3462" t="s">
        <v>42730</v>
      </c>
      <c r="M3462" t="s">
        <v>44498</v>
      </c>
      <c r="N3462" t="s">
        <v>47424</v>
      </c>
      <c r="O3462" t="s">
        <v>47425</v>
      </c>
      <c r="P3462">
        <v>0</v>
      </c>
      <c r="Q3462">
        <v>3</v>
      </c>
      <c r="R3462" t="s">
        <v>47428</v>
      </c>
      <c r="S3462" t="s">
        <v>47541</v>
      </c>
      <c r="T3462" t="s">
        <v>49340</v>
      </c>
      <c r="U3462" t="s">
        <v>52485</v>
      </c>
      <c r="W3462" t="s">
        <v>44498</v>
      </c>
      <c r="X3462" t="s">
        <v>47430</v>
      </c>
    </row>
    <row r="3463" spans="1:24">
      <c r="A3463">
        <f>HYPERLINK("https://www.philgeps.gov.ph/GEPSNONPILOT/Tender/SplashBidNoticeAbstractUI.aspx?menuIndex=3&amp;refID=7163739&amp;Result=3","7163739")</f>
        <v>0</v>
      </c>
      <c r="B3463" t="s">
        <v>911</v>
      </c>
      <c r="C3463" t="s">
        <v>7202</v>
      </c>
      <c r="D3463" t="s">
        <v>19049</v>
      </c>
      <c r="E3463" t="s">
        <v>22226</v>
      </c>
      <c r="F3463" t="s">
        <v>32831</v>
      </c>
      <c r="G3463" t="s">
        <v>32839</v>
      </c>
      <c r="H3463" t="s">
        <v>32848</v>
      </c>
      <c r="I3463" t="s">
        <v>4558</v>
      </c>
      <c r="J3463" t="s">
        <v>35263</v>
      </c>
      <c r="K3463" t="s">
        <v>42727</v>
      </c>
      <c r="M3463" t="s">
        <v>43951</v>
      </c>
      <c r="N3463" t="s">
        <v>47424</v>
      </c>
      <c r="O3463" t="s">
        <v>47425</v>
      </c>
      <c r="P3463">
        <v>0</v>
      </c>
      <c r="Q3463">
        <v>1</v>
      </c>
      <c r="R3463" t="s">
        <v>47428</v>
      </c>
      <c r="S3463" t="s">
        <v>47541</v>
      </c>
      <c r="T3463" t="s">
        <v>49069</v>
      </c>
      <c r="U3463" t="s">
        <v>52589</v>
      </c>
      <c r="W3463" t="s">
        <v>43951</v>
      </c>
      <c r="X3463" t="s">
        <v>47430</v>
      </c>
    </row>
    <row r="3464" spans="1:24">
      <c r="A3464">
        <f>HYPERLINK("https://www.philgeps.gov.ph/GEPSNONPILOT/Tender/SplashBidNoticeAbstractUI.aspx?menuIndex=3&amp;refID=7163887&amp;Result=3","7163887")</f>
        <v>0</v>
      </c>
      <c r="B3464" t="s">
        <v>455</v>
      </c>
      <c r="C3464" t="s">
        <v>7203</v>
      </c>
      <c r="D3464" t="s">
        <v>19023</v>
      </c>
      <c r="E3464" t="s">
        <v>22227</v>
      </c>
      <c r="F3464" t="s">
        <v>32831</v>
      </c>
      <c r="G3464" t="s">
        <v>32839</v>
      </c>
      <c r="H3464" t="s">
        <v>32849</v>
      </c>
      <c r="I3464" t="s">
        <v>4177</v>
      </c>
      <c r="J3464" t="s">
        <v>33111</v>
      </c>
      <c r="K3464" t="s">
        <v>42758</v>
      </c>
      <c r="M3464" t="s">
        <v>43460</v>
      </c>
      <c r="N3464" t="s">
        <v>47424</v>
      </c>
      <c r="O3464" t="s">
        <v>47425</v>
      </c>
      <c r="P3464">
        <v>0</v>
      </c>
      <c r="Q3464">
        <v>0</v>
      </c>
      <c r="R3464" t="s">
        <v>47428</v>
      </c>
      <c r="S3464" t="s">
        <v>47541</v>
      </c>
      <c r="T3464" t="s">
        <v>49217</v>
      </c>
      <c r="U3464" t="s">
        <v>52623</v>
      </c>
      <c r="W3464" t="s">
        <v>43460</v>
      </c>
      <c r="X3464" t="s">
        <v>47430</v>
      </c>
    </row>
    <row r="3465" spans="1:24">
      <c r="A3465">
        <f>HYPERLINK("https://www.philgeps.gov.ph/GEPSNONPILOT/Tender/SplashBidNoticeAbstractUI.aspx?menuIndex=3&amp;refID=7163719&amp;Result=3","7163719")</f>
        <v>0</v>
      </c>
      <c r="B3465" t="s">
        <v>1418</v>
      </c>
      <c r="C3465" t="s">
        <v>7204</v>
      </c>
      <c r="D3465" t="s">
        <v>19034</v>
      </c>
      <c r="E3465" t="s">
        <v>22228</v>
      </c>
      <c r="F3465" t="s">
        <v>32831</v>
      </c>
      <c r="G3465" t="s">
        <v>32838</v>
      </c>
      <c r="H3465" t="s">
        <v>32848</v>
      </c>
      <c r="I3465" t="s">
        <v>32872</v>
      </c>
      <c r="J3465" t="s">
        <v>35264</v>
      </c>
      <c r="K3465" t="s">
        <v>42730</v>
      </c>
      <c r="M3465" t="s">
        <v>44506</v>
      </c>
      <c r="N3465" t="s">
        <v>47424</v>
      </c>
      <c r="O3465" t="s">
        <v>47425</v>
      </c>
      <c r="P3465">
        <v>0</v>
      </c>
      <c r="Q3465">
        <v>0</v>
      </c>
      <c r="R3465" t="s">
        <v>47428</v>
      </c>
      <c r="S3465" t="s">
        <v>47541</v>
      </c>
      <c r="T3465" t="s">
        <v>49150</v>
      </c>
      <c r="U3465" t="s">
        <v>52624</v>
      </c>
      <c r="W3465" t="s">
        <v>44506</v>
      </c>
      <c r="X3465" t="s">
        <v>47430</v>
      </c>
    </row>
    <row r="3466" spans="1:24">
      <c r="A3466">
        <f>HYPERLINK("https://www.philgeps.gov.ph/GEPSNONPILOT/Tender/SplashBidNoticeAbstractUI.aspx?menuIndex=3&amp;refID=7163871&amp;Result=3","7163871")</f>
        <v>0</v>
      </c>
      <c r="B3466" t="s">
        <v>575</v>
      </c>
      <c r="C3466" t="s">
        <v>5307</v>
      </c>
      <c r="D3466" t="s">
        <v>19041</v>
      </c>
      <c r="E3466" t="s">
        <v>22229</v>
      </c>
      <c r="F3466" t="s">
        <v>32831</v>
      </c>
      <c r="G3466" t="s">
        <v>32838</v>
      </c>
      <c r="H3466" t="s">
        <v>32848</v>
      </c>
      <c r="I3466" t="s">
        <v>5379</v>
      </c>
      <c r="J3466" t="s">
        <v>33504</v>
      </c>
      <c r="K3466" t="s">
        <v>42749</v>
      </c>
      <c r="M3466" t="s">
        <v>43585</v>
      </c>
      <c r="N3466" t="s">
        <v>47424</v>
      </c>
      <c r="O3466" t="s">
        <v>47425</v>
      </c>
      <c r="P3466">
        <v>0</v>
      </c>
      <c r="Q3466">
        <v>0</v>
      </c>
      <c r="R3466" t="s">
        <v>47428</v>
      </c>
      <c r="S3466" t="s">
        <v>47541</v>
      </c>
      <c r="T3466" t="s">
        <v>49166</v>
      </c>
      <c r="U3466" t="s">
        <v>52625</v>
      </c>
      <c r="W3466" t="s">
        <v>43585</v>
      </c>
      <c r="X3466" t="s">
        <v>47430</v>
      </c>
    </row>
    <row r="3467" spans="1:24">
      <c r="A3467">
        <f>HYPERLINK("https://www.philgeps.gov.ph/GEPSNONPILOT/Tender/SplashBidNoticeAbstractUI.aspx?menuIndex=3&amp;refID=7163917&amp;Result=3","7163917")</f>
        <v>0</v>
      </c>
      <c r="B3467" t="s">
        <v>565</v>
      </c>
      <c r="C3467" t="s">
        <v>7205</v>
      </c>
      <c r="D3467" t="s">
        <v>19020</v>
      </c>
      <c r="E3467" t="s">
        <v>22230</v>
      </c>
      <c r="F3467" t="s">
        <v>32831</v>
      </c>
      <c r="G3467" t="s">
        <v>32838</v>
      </c>
      <c r="H3467" t="s">
        <v>32848</v>
      </c>
      <c r="I3467" t="s">
        <v>32887</v>
      </c>
      <c r="J3467" t="s">
        <v>33380</v>
      </c>
      <c r="K3467" t="s">
        <v>42727</v>
      </c>
      <c r="M3467" t="s">
        <v>43575</v>
      </c>
      <c r="N3467" t="s">
        <v>47424</v>
      </c>
      <c r="O3467" t="s">
        <v>47425</v>
      </c>
      <c r="P3467">
        <v>0</v>
      </c>
      <c r="Q3467">
        <v>9</v>
      </c>
      <c r="R3467" t="s">
        <v>47428</v>
      </c>
      <c r="S3467" t="s">
        <v>47541</v>
      </c>
      <c r="T3467" t="s">
        <v>49089</v>
      </c>
      <c r="U3467" t="s">
        <v>52626</v>
      </c>
      <c r="W3467" t="s">
        <v>43575</v>
      </c>
      <c r="X3467" t="s">
        <v>47430</v>
      </c>
    </row>
    <row r="3468" spans="1:24">
      <c r="A3468">
        <f>HYPERLINK("https://www.philgeps.gov.ph/GEPSNONPILOT/Tender/SplashBidNoticeAbstractUI.aspx?menuIndex=3&amp;refID=7163767&amp;Result=3","7163767")</f>
        <v>0</v>
      </c>
      <c r="B3468" t="s">
        <v>1419</v>
      </c>
      <c r="C3468" t="s">
        <v>7206</v>
      </c>
      <c r="D3468" t="s">
        <v>19038</v>
      </c>
      <c r="E3468" t="s">
        <v>22231</v>
      </c>
      <c r="F3468" t="s">
        <v>32831</v>
      </c>
      <c r="G3468" t="s">
        <v>32838</v>
      </c>
      <c r="H3468" t="s">
        <v>32848</v>
      </c>
      <c r="I3468" t="s">
        <v>4776</v>
      </c>
      <c r="J3468" t="s">
        <v>35265</v>
      </c>
      <c r="K3468" t="s">
        <v>42727</v>
      </c>
      <c r="M3468" t="s">
        <v>44507</v>
      </c>
      <c r="N3468" t="s">
        <v>47424</v>
      </c>
      <c r="O3468" t="s">
        <v>47425</v>
      </c>
      <c r="P3468">
        <v>0</v>
      </c>
      <c r="Q3468">
        <v>0</v>
      </c>
      <c r="R3468" t="s">
        <v>47428</v>
      </c>
      <c r="S3468" t="s">
        <v>47541</v>
      </c>
      <c r="T3468" t="s">
        <v>49214</v>
      </c>
      <c r="U3468" t="s">
        <v>52627</v>
      </c>
      <c r="W3468" t="s">
        <v>44507</v>
      </c>
      <c r="X3468" t="s">
        <v>47430</v>
      </c>
    </row>
    <row r="3469" spans="1:24">
      <c r="A3469">
        <f>HYPERLINK("https://www.philgeps.gov.ph/GEPSNONPILOT/Tender/SplashBidNoticeAbstractUI.aspx?menuIndex=3&amp;refID=7163925&amp;Result=3","7163925")</f>
        <v>0</v>
      </c>
      <c r="B3469" t="s">
        <v>295</v>
      </c>
      <c r="C3469" t="s">
        <v>7207</v>
      </c>
      <c r="D3469" t="s">
        <v>19044</v>
      </c>
      <c r="E3469" t="s">
        <v>22232</v>
      </c>
      <c r="F3469" t="s">
        <v>32831</v>
      </c>
      <c r="G3469" t="s">
        <v>32838</v>
      </c>
      <c r="H3469" t="s">
        <v>32848</v>
      </c>
      <c r="I3469" t="s">
        <v>7416</v>
      </c>
      <c r="J3469" t="s">
        <v>33384</v>
      </c>
      <c r="K3469" t="s">
        <v>42727</v>
      </c>
      <c r="M3469" t="s">
        <v>43914</v>
      </c>
      <c r="N3469" t="s">
        <v>47424</v>
      </c>
      <c r="O3469" t="s">
        <v>47425</v>
      </c>
      <c r="P3469">
        <v>0</v>
      </c>
      <c r="Q3469">
        <v>0</v>
      </c>
      <c r="R3469" t="s">
        <v>47428</v>
      </c>
      <c r="S3469" t="s">
        <v>47541</v>
      </c>
      <c r="T3469" t="s">
        <v>49213</v>
      </c>
      <c r="U3469" t="s">
        <v>52628</v>
      </c>
      <c r="V3469" t="s">
        <v>51102</v>
      </c>
      <c r="W3469" t="s">
        <v>43914</v>
      </c>
      <c r="X3469" t="s">
        <v>47430</v>
      </c>
    </row>
    <row r="3470" spans="1:24">
      <c r="A3470">
        <f>HYPERLINK("https://www.philgeps.gov.ph/GEPSNONPILOT/Tender/SplashBidNoticeAbstractUI.aspx?menuIndex=3&amp;refID=7163878&amp;Result=3","7163878")</f>
        <v>0</v>
      </c>
      <c r="B3470" t="s">
        <v>1465</v>
      </c>
      <c r="C3470" t="s">
        <v>7208</v>
      </c>
      <c r="D3470" t="s">
        <v>19083</v>
      </c>
      <c r="E3470" t="s">
        <v>22233</v>
      </c>
      <c r="F3470" t="s">
        <v>32831</v>
      </c>
      <c r="G3470" t="s">
        <v>32845</v>
      </c>
      <c r="H3470" t="s">
        <v>32848</v>
      </c>
      <c r="I3470" t="s">
        <v>7416</v>
      </c>
      <c r="J3470" t="s">
        <v>35266</v>
      </c>
      <c r="K3470" t="s">
        <v>42730</v>
      </c>
      <c r="M3470" t="s">
        <v>44557</v>
      </c>
      <c r="N3470" t="s">
        <v>47424</v>
      </c>
      <c r="O3470" t="s">
        <v>47425</v>
      </c>
      <c r="P3470">
        <v>0</v>
      </c>
      <c r="Q3470">
        <v>1</v>
      </c>
      <c r="R3470" t="s">
        <v>47428</v>
      </c>
      <c r="S3470" t="s">
        <v>47541</v>
      </c>
      <c r="T3470" t="s">
        <v>49291</v>
      </c>
      <c r="U3470" t="s">
        <v>52629</v>
      </c>
      <c r="W3470" t="s">
        <v>44557</v>
      </c>
      <c r="X3470" t="s">
        <v>47430</v>
      </c>
    </row>
    <row r="3471" spans="1:24">
      <c r="A3471">
        <f>HYPERLINK("https://www.philgeps.gov.ph/GEPSNONPILOT/Tender/SplashBidNoticeAbstractUI.aspx?menuIndex=3&amp;refID=7163923&amp;Result=3","7163923")</f>
        <v>0</v>
      </c>
      <c r="B3471" t="s">
        <v>1466</v>
      </c>
      <c r="C3471" t="s">
        <v>7209</v>
      </c>
      <c r="D3471" t="s">
        <v>19103</v>
      </c>
      <c r="E3471" t="s">
        <v>22234</v>
      </c>
      <c r="F3471" t="s">
        <v>32831</v>
      </c>
      <c r="G3471" t="s">
        <v>32839</v>
      </c>
      <c r="H3471" t="s">
        <v>32849</v>
      </c>
      <c r="I3471" t="s">
        <v>4177</v>
      </c>
      <c r="J3471" t="s">
        <v>33279</v>
      </c>
      <c r="K3471" t="s">
        <v>42730</v>
      </c>
      <c r="M3471" t="s">
        <v>44558</v>
      </c>
      <c r="N3471" t="s">
        <v>47424</v>
      </c>
      <c r="O3471" t="s">
        <v>47425</v>
      </c>
      <c r="P3471">
        <v>0</v>
      </c>
      <c r="Q3471">
        <v>0</v>
      </c>
      <c r="R3471" t="s">
        <v>47428</v>
      </c>
      <c r="S3471" t="s">
        <v>47541</v>
      </c>
      <c r="T3471" t="s">
        <v>49070</v>
      </c>
      <c r="U3471" t="s">
        <v>52630</v>
      </c>
      <c r="W3471" t="s">
        <v>44558</v>
      </c>
      <c r="X3471" t="s">
        <v>47430</v>
      </c>
    </row>
    <row r="3472" spans="1:24">
      <c r="A3472">
        <f>HYPERLINK("https://www.philgeps.gov.ph/GEPSNONPILOT/Tender/SplashBidNoticeAbstractUI.aspx?menuIndex=3&amp;refID=7163875&amp;Result=3","7163875")</f>
        <v>0</v>
      </c>
      <c r="B3472" t="s">
        <v>338</v>
      </c>
      <c r="C3472" t="s">
        <v>7210</v>
      </c>
      <c r="D3472" t="s">
        <v>19019</v>
      </c>
      <c r="E3472" t="s">
        <v>22235</v>
      </c>
      <c r="F3472" t="s">
        <v>32833</v>
      </c>
      <c r="G3472" t="s">
        <v>32838</v>
      </c>
      <c r="H3472" t="s">
        <v>32848</v>
      </c>
      <c r="I3472" t="s">
        <v>4438</v>
      </c>
      <c r="J3472" t="s">
        <v>33989</v>
      </c>
      <c r="K3472" t="s">
        <v>42759</v>
      </c>
      <c r="M3472" t="s">
        <v>44099</v>
      </c>
      <c r="N3472" t="s">
        <v>47424</v>
      </c>
      <c r="O3472" t="s">
        <v>47425</v>
      </c>
      <c r="P3472">
        <v>0</v>
      </c>
      <c r="Q3472">
        <v>0</v>
      </c>
      <c r="R3472" t="s">
        <v>47428</v>
      </c>
      <c r="S3472" t="s">
        <v>47541</v>
      </c>
      <c r="T3472" t="s">
        <v>49070</v>
      </c>
      <c r="U3472" t="s">
        <v>52631</v>
      </c>
      <c r="V3472" t="s">
        <v>50084</v>
      </c>
      <c r="W3472" t="s">
        <v>44099</v>
      </c>
      <c r="X3472" t="s">
        <v>47430</v>
      </c>
    </row>
    <row r="3473" spans="1:24">
      <c r="A3473">
        <f>HYPERLINK("https://www.philgeps.gov.ph/GEPSNONPILOT/Tender/SplashBidNoticeAbstractUI.aspx?menuIndex=3&amp;refID=7163922&amp;Result=3","7163922")</f>
        <v>0</v>
      </c>
      <c r="B3473" t="s">
        <v>720</v>
      </c>
      <c r="C3473" t="s">
        <v>7211</v>
      </c>
      <c r="D3473" t="s">
        <v>19090</v>
      </c>
      <c r="E3473" t="s">
        <v>22236</v>
      </c>
      <c r="F3473" t="s">
        <v>32831</v>
      </c>
      <c r="G3473" t="s">
        <v>32838</v>
      </c>
      <c r="H3473" t="s">
        <v>32848</v>
      </c>
      <c r="I3473" t="s">
        <v>4222</v>
      </c>
      <c r="J3473" t="s">
        <v>35267</v>
      </c>
      <c r="K3473" t="s">
        <v>42727</v>
      </c>
      <c r="M3473" t="s">
        <v>43741</v>
      </c>
      <c r="N3473" t="s">
        <v>47424</v>
      </c>
      <c r="O3473" t="s">
        <v>47425</v>
      </c>
      <c r="P3473">
        <v>0</v>
      </c>
      <c r="Q3473">
        <v>0</v>
      </c>
      <c r="R3473" t="s">
        <v>47428</v>
      </c>
      <c r="S3473" t="s">
        <v>47541</v>
      </c>
      <c r="T3473" t="s">
        <v>49163</v>
      </c>
      <c r="U3473" t="s">
        <v>52632</v>
      </c>
      <c r="W3473" t="s">
        <v>64445</v>
      </c>
      <c r="X3473" t="s">
        <v>47430</v>
      </c>
    </row>
    <row r="3474" spans="1:24">
      <c r="A3474">
        <f>HYPERLINK("https://www.philgeps.gov.ph/GEPSNONPILOT/Tender/SplashBidNoticeAbstractUI.aspx?menuIndex=3&amp;refID=7163900&amp;Result=3","7163900")</f>
        <v>0</v>
      </c>
      <c r="B3474" t="s">
        <v>1461</v>
      </c>
      <c r="C3474" t="s">
        <v>7212</v>
      </c>
      <c r="D3474" t="s">
        <v>19077</v>
      </c>
      <c r="E3474" t="s">
        <v>22237</v>
      </c>
      <c r="F3474" t="s">
        <v>32831</v>
      </c>
      <c r="G3474" t="s">
        <v>32838</v>
      </c>
      <c r="H3474" t="s">
        <v>32848</v>
      </c>
      <c r="I3474" t="s">
        <v>4558</v>
      </c>
      <c r="J3474" t="s">
        <v>34385</v>
      </c>
      <c r="K3474" t="s">
        <v>42732</v>
      </c>
      <c r="M3474" t="s">
        <v>44553</v>
      </c>
      <c r="N3474" t="s">
        <v>47424</v>
      </c>
      <c r="O3474" t="s">
        <v>47425</v>
      </c>
      <c r="P3474">
        <v>0</v>
      </c>
      <c r="Q3474">
        <v>3</v>
      </c>
      <c r="R3474" t="s">
        <v>47428</v>
      </c>
      <c r="S3474" t="s">
        <v>47541</v>
      </c>
      <c r="T3474" t="s">
        <v>49114</v>
      </c>
      <c r="U3474" t="s">
        <v>52615</v>
      </c>
      <c r="W3474" t="s">
        <v>64472</v>
      </c>
      <c r="X3474" t="s">
        <v>47430</v>
      </c>
    </row>
    <row r="3475" spans="1:24">
      <c r="A3475">
        <f>HYPERLINK("https://www.philgeps.gov.ph/GEPSNONPILOT/Tender/SplashBidNoticeAbstractUI.aspx?menuIndex=3&amp;refID=7163916&amp;Result=3","7163916")</f>
        <v>0</v>
      </c>
      <c r="B3475" t="s">
        <v>703</v>
      </c>
      <c r="C3475" t="s">
        <v>7213</v>
      </c>
      <c r="D3475" t="s">
        <v>19091</v>
      </c>
      <c r="E3475" t="s">
        <v>22238</v>
      </c>
      <c r="F3475" t="s">
        <v>32831</v>
      </c>
      <c r="G3475" t="s">
        <v>32838</v>
      </c>
      <c r="H3475" t="s">
        <v>32848</v>
      </c>
      <c r="I3475" t="s">
        <v>32863</v>
      </c>
      <c r="J3475" t="s">
        <v>32983</v>
      </c>
      <c r="K3475" t="s">
        <v>42731</v>
      </c>
      <c r="M3475" t="s">
        <v>44449</v>
      </c>
      <c r="N3475" t="s">
        <v>47424</v>
      </c>
      <c r="O3475" t="s">
        <v>47425</v>
      </c>
      <c r="P3475">
        <v>0</v>
      </c>
      <c r="Q3475">
        <v>0</v>
      </c>
      <c r="R3475" t="s">
        <v>47428</v>
      </c>
      <c r="S3475" t="s">
        <v>47541</v>
      </c>
      <c r="T3475" t="s">
        <v>49175</v>
      </c>
      <c r="U3475" t="s">
        <v>52633</v>
      </c>
      <c r="W3475" t="s">
        <v>44449</v>
      </c>
      <c r="X3475" t="s">
        <v>47430</v>
      </c>
    </row>
    <row r="3476" spans="1:24">
      <c r="A3476">
        <f>HYPERLINK("https://www.philgeps.gov.ph/GEPSNONPILOT/Tender/SplashBidNoticeAbstractUI.aspx?menuIndex=3&amp;refID=7163886&amp;Result=3","7163886")</f>
        <v>0</v>
      </c>
      <c r="B3476" t="s">
        <v>1295</v>
      </c>
      <c r="C3476" t="s">
        <v>7214</v>
      </c>
      <c r="D3476" t="s">
        <v>19054</v>
      </c>
      <c r="E3476" t="s">
        <v>22239</v>
      </c>
      <c r="F3476" t="s">
        <v>32831</v>
      </c>
      <c r="G3476" t="s">
        <v>32839</v>
      </c>
      <c r="H3476" t="s">
        <v>32849</v>
      </c>
      <c r="I3476" t="s">
        <v>4177</v>
      </c>
      <c r="J3476" t="s">
        <v>35268</v>
      </c>
      <c r="K3476" t="s">
        <v>42764</v>
      </c>
      <c r="M3476" t="s">
        <v>44365</v>
      </c>
      <c r="N3476" t="s">
        <v>47424</v>
      </c>
      <c r="O3476" t="s">
        <v>47425</v>
      </c>
      <c r="P3476">
        <v>0</v>
      </c>
      <c r="Q3476">
        <v>0</v>
      </c>
      <c r="R3476" t="s">
        <v>47428</v>
      </c>
      <c r="S3476" t="s">
        <v>47541</v>
      </c>
      <c r="T3476" t="s">
        <v>49188</v>
      </c>
      <c r="U3476" t="s">
        <v>52634</v>
      </c>
      <c r="W3476" t="s">
        <v>44365</v>
      </c>
      <c r="X3476" t="s">
        <v>47430</v>
      </c>
    </row>
    <row r="3477" spans="1:24">
      <c r="A3477">
        <f>HYPERLINK("https://www.philgeps.gov.ph/GEPSNONPILOT/Tender/SplashBidNoticeAbstractUI.aspx?menuIndex=3&amp;refID=7163919&amp;Result=3","7163919")</f>
        <v>0</v>
      </c>
      <c r="B3477" t="s">
        <v>1385</v>
      </c>
      <c r="C3477" t="s">
        <v>7215</v>
      </c>
      <c r="D3477" t="s">
        <v>19060</v>
      </c>
      <c r="E3477" t="s">
        <v>22240</v>
      </c>
      <c r="F3477" t="s">
        <v>32831</v>
      </c>
      <c r="G3477" t="s">
        <v>32840</v>
      </c>
      <c r="H3477" t="s">
        <v>32848</v>
      </c>
      <c r="I3477" t="s">
        <v>4438</v>
      </c>
      <c r="J3477" t="s">
        <v>32983</v>
      </c>
      <c r="K3477" t="s">
        <v>42730</v>
      </c>
      <c r="M3477" t="s">
        <v>44470</v>
      </c>
      <c r="N3477" t="s">
        <v>47424</v>
      </c>
      <c r="O3477" t="s">
        <v>47425</v>
      </c>
      <c r="P3477">
        <v>0</v>
      </c>
      <c r="Q3477">
        <v>2</v>
      </c>
      <c r="R3477" t="s">
        <v>47428</v>
      </c>
      <c r="S3477" t="s">
        <v>47541</v>
      </c>
      <c r="T3477" t="s">
        <v>49129</v>
      </c>
      <c r="U3477" t="s">
        <v>52635</v>
      </c>
      <c r="V3477" t="s">
        <v>62982</v>
      </c>
      <c r="W3477" t="s">
        <v>44470</v>
      </c>
      <c r="X3477" t="s">
        <v>47430</v>
      </c>
    </row>
    <row r="3478" spans="1:24">
      <c r="A3478">
        <f>HYPERLINK("https://www.philgeps.gov.ph/GEPSNONPILOT/Tender/SplashBidNoticeAbstractUI.aspx?menuIndex=3&amp;refID=7163913&amp;Result=3","7163913")</f>
        <v>0</v>
      </c>
      <c r="B3478" t="s">
        <v>1467</v>
      </c>
      <c r="C3478" t="s">
        <v>7216</v>
      </c>
      <c r="D3478" t="s">
        <v>19051</v>
      </c>
      <c r="E3478" t="s">
        <v>22241</v>
      </c>
      <c r="F3478" t="s">
        <v>32831</v>
      </c>
      <c r="G3478" t="s">
        <v>32840</v>
      </c>
      <c r="H3478" t="s">
        <v>32848</v>
      </c>
      <c r="I3478" t="s">
        <v>32926</v>
      </c>
      <c r="J3478" t="s">
        <v>33231</v>
      </c>
      <c r="K3478" t="s">
        <v>42758</v>
      </c>
      <c r="M3478" t="s">
        <v>44559</v>
      </c>
      <c r="N3478" t="s">
        <v>47424</v>
      </c>
      <c r="O3478" t="s">
        <v>47425</v>
      </c>
      <c r="P3478">
        <v>0</v>
      </c>
      <c r="Q3478">
        <v>0</v>
      </c>
      <c r="R3478" t="s">
        <v>47428</v>
      </c>
      <c r="S3478" t="s">
        <v>47541</v>
      </c>
      <c r="T3478" t="s">
        <v>49163</v>
      </c>
      <c r="U3478" t="s">
        <v>52636</v>
      </c>
      <c r="W3478" t="s">
        <v>44559</v>
      </c>
      <c r="X3478" t="s">
        <v>47430</v>
      </c>
    </row>
    <row r="3479" spans="1:24">
      <c r="A3479">
        <f>HYPERLINK("https://www.philgeps.gov.ph/GEPSNONPILOT/Tender/SplashBidNoticeAbstractUI.aspx?menuIndex=3&amp;refID=7163918&amp;Result=3","7163918")</f>
        <v>0</v>
      </c>
      <c r="B3479" t="s">
        <v>1386</v>
      </c>
      <c r="C3479" t="s">
        <v>7217</v>
      </c>
      <c r="D3479" t="s">
        <v>19017</v>
      </c>
      <c r="E3479" t="s">
        <v>19865</v>
      </c>
      <c r="F3479" t="s">
        <v>32831</v>
      </c>
      <c r="G3479" t="s">
        <v>32839</v>
      </c>
      <c r="H3479" t="s">
        <v>32848</v>
      </c>
      <c r="I3479" t="s">
        <v>32857</v>
      </c>
      <c r="J3479" t="s">
        <v>35269</v>
      </c>
      <c r="K3479" t="s">
        <v>42726</v>
      </c>
      <c r="M3479" t="s">
        <v>44560</v>
      </c>
      <c r="N3479" t="s">
        <v>47424</v>
      </c>
      <c r="O3479" t="s">
        <v>47425</v>
      </c>
      <c r="P3479">
        <v>0</v>
      </c>
      <c r="Q3479">
        <v>1</v>
      </c>
      <c r="R3479" t="s">
        <v>47428</v>
      </c>
      <c r="S3479" t="s">
        <v>47541</v>
      </c>
      <c r="T3479" t="s">
        <v>49185</v>
      </c>
      <c r="U3479" t="s">
        <v>52637</v>
      </c>
      <c r="W3479" t="s">
        <v>44560</v>
      </c>
      <c r="X3479" t="s">
        <v>47430</v>
      </c>
    </row>
    <row r="3480" spans="1:24">
      <c r="A3480">
        <f>HYPERLINK("https://www.philgeps.gov.ph/GEPSNONPILOT/Tender/SplashBidNoticeAbstractUI.aspx?menuIndex=3&amp;refID=7163846&amp;Result=3","7163846")</f>
        <v>0</v>
      </c>
      <c r="B3480" t="s">
        <v>564</v>
      </c>
      <c r="C3480" t="s">
        <v>7218</v>
      </c>
      <c r="D3480" t="s">
        <v>19045</v>
      </c>
      <c r="E3480" t="s">
        <v>22242</v>
      </c>
      <c r="F3480" t="s">
        <v>32831</v>
      </c>
      <c r="G3480" t="s">
        <v>32838</v>
      </c>
      <c r="H3480" t="s">
        <v>32848</v>
      </c>
      <c r="I3480" t="s">
        <v>10643</v>
      </c>
      <c r="J3480" t="s">
        <v>35270</v>
      </c>
      <c r="K3480" t="s">
        <v>42727</v>
      </c>
      <c r="M3480" t="s">
        <v>43573</v>
      </c>
      <c r="N3480" t="s">
        <v>47424</v>
      </c>
      <c r="O3480" t="s">
        <v>47425</v>
      </c>
      <c r="P3480">
        <v>0</v>
      </c>
      <c r="Q3480">
        <v>0</v>
      </c>
      <c r="R3480" t="s">
        <v>47428</v>
      </c>
      <c r="S3480" t="s">
        <v>47541</v>
      </c>
      <c r="T3480" t="s">
        <v>49237</v>
      </c>
      <c r="U3480" t="s">
        <v>52638</v>
      </c>
      <c r="W3480" t="s">
        <v>43573</v>
      </c>
      <c r="X3480" t="s">
        <v>47430</v>
      </c>
    </row>
    <row r="3481" spans="1:24">
      <c r="A3481">
        <f>HYPERLINK("https://www.philgeps.gov.ph/GEPSNONPILOT/Tender/SplashBidNoticeAbstractUI.aspx?menuIndex=3&amp;refID=7163907&amp;Result=3","7163907")</f>
        <v>0</v>
      </c>
      <c r="B3481" t="s">
        <v>788</v>
      </c>
      <c r="C3481" t="s">
        <v>7219</v>
      </c>
      <c r="D3481" t="s">
        <v>19045</v>
      </c>
      <c r="E3481" t="s">
        <v>20609</v>
      </c>
      <c r="F3481" t="s">
        <v>32831</v>
      </c>
      <c r="G3481" t="s">
        <v>32838</v>
      </c>
      <c r="H3481" t="s">
        <v>32848</v>
      </c>
      <c r="I3481" t="s">
        <v>32863</v>
      </c>
      <c r="J3481" t="s">
        <v>35271</v>
      </c>
      <c r="K3481" t="s">
        <v>42758</v>
      </c>
      <c r="M3481" t="s">
        <v>43818</v>
      </c>
      <c r="N3481" t="s">
        <v>47424</v>
      </c>
      <c r="O3481" t="s">
        <v>47425</v>
      </c>
      <c r="P3481">
        <v>0</v>
      </c>
      <c r="Q3481">
        <v>0</v>
      </c>
      <c r="R3481" t="s">
        <v>47428</v>
      </c>
      <c r="S3481" t="s">
        <v>47541</v>
      </c>
      <c r="T3481" t="s">
        <v>49107</v>
      </c>
      <c r="U3481" t="s">
        <v>52639</v>
      </c>
      <c r="W3481" t="s">
        <v>43818</v>
      </c>
      <c r="X3481" t="s">
        <v>47430</v>
      </c>
    </row>
    <row r="3482" spans="1:24">
      <c r="A3482">
        <f>HYPERLINK("https://www.philgeps.gov.ph/GEPSNONPILOT/Tender/SplashBidNoticeAbstractUI.aspx?menuIndex=3&amp;refID=7163915&amp;Result=3","7163915")</f>
        <v>0</v>
      </c>
      <c r="B3482" t="s">
        <v>338</v>
      </c>
      <c r="C3482" t="s">
        <v>7220</v>
      </c>
      <c r="D3482" t="s">
        <v>19019</v>
      </c>
      <c r="E3482" t="s">
        <v>22243</v>
      </c>
      <c r="F3482" t="s">
        <v>32833</v>
      </c>
      <c r="G3482" t="s">
        <v>32838</v>
      </c>
      <c r="H3482" t="s">
        <v>32848</v>
      </c>
      <c r="I3482" t="s">
        <v>32887</v>
      </c>
      <c r="J3482" t="s">
        <v>34591</v>
      </c>
      <c r="K3482" t="s">
        <v>42759</v>
      </c>
      <c r="M3482" t="s">
        <v>44099</v>
      </c>
      <c r="N3482" t="s">
        <v>47424</v>
      </c>
      <c r="O3482" t="s">
        <v>47425</v>
      </c>
      <c r="P3482">
        <v>0</v>
      </c>
      <c r="Q3482">
        <v>2</v>
      </c>
      <c r="R3482" t="s">
        <v>47428</v>
      </c>
      <c r="S3482" t="s">
        <v>47541</v>
      </c>
      <c r="T3482" t="s">
        <v>49066</v>
      </c>
      <c r="U3482" t="s">
        <v>52640</v>
      </c>
      <c r="V3482" t="s">
        <v>50084</v>
      </c>
      <c r="W3482" t="s">
        <v>44099</v>
      </c>
      <c r="X3482" t="s">
        <v>47430</v>
      </c>
    </row>
    <row r="3483" spans="1:24">
      <c r="A3483">
        <f>HYPERLINK("https://www.philgeps.gov.ph/GEPSNONPILOT/Tender/SplashBidNoticeAbstractUI.aspx?menuIndex=3&amp;refID=7163906&amp;Result=3","7163906")</f>
        <v>0</v>
      </c>
      <c r="B3483" t="s">
        <v>1420</v>
      </c>
      <c r="C3483" t="s">
        <v>7221</v>
      </c>
      <c r="D3483" t="s">
        <v>19033</v>
      </c>
      <c r="E3483" t="s">
        <v>22244</v>
      </c>
      <c r="F3483" t="s">
        <v>32831</v>
      </c>
      <c r="G3483" t="s">
        <v>32838</v>
      </c>
      <c r="H3483" t="s">
        <v>32848</v>
      </c>
      <c r="I3483" t="s">
        <v>32863</v>
      </c>
      <c r="J3483" t="s">
        <v>33148</v>
      </c>
      <c r="K3483" t="s">
        <v>42731</v>
      </c>
      <c r="M3483" t="s">
        <v>44508</v>
      </c>
      <c r="N3483" t="s">
        <v>47424</v>
      </c>
      <c r="O3483" t="s">
        <v>47425</v>
      </c>
      <c r="P3483">
        <v>0</v>
      </c>
      <c r="Q3483">
        <v>1</v>
      </c>
      <c r="R3483" t="s">
        <v>47428</v>
      </c>
      <c r="S3483" t="s">
        <v>47541</v>
      </c>
      <c r="T3483" t="s">
        <v>49107</v>
      </c>
      <c r="U3483" t="s">
        <v>52641</v>
      </c>
      <c r="W3483" t="s">
        <v>64468</v>
      </c>
      <c r="X3483" t="s">
        <v>47430</v>
      </c>
    </row>
    <row r="3484" spans="1:24">
      <c r="A3484">
        <f>HYPERLINK("https://www.philgeps.gov.ph/GEPSNONPILOT/Tender/SplashBidNoticeAbstractUI.aspx?menuIndex=3&amp;refID=7163905&amp;Result=3","7163905")</f>
        <v>0</v>
      </c>
      <c r="B3484" t="s">
        <v>1273</v>
      </c>
      <c r="C3484" t="s">
        <v>7222</v>
      </c>
      <c r="D3484" t="s">
        <v>19022</v>
      </c>
      <c r="E3484" t="s">
        <v>19281</v>
      </c>
      <c r="F3484" t="s">
        <v>32831</v>
      </c>
      <c r="G3484" t="s">
        <v>32838</v>
      </c>
      <c r="H3484" t="s">
        <v>32848</v>
      </c>
      <c r="I3484" t="s">
        <v>32858</v>
      </c>
      <c r="J3484" t="s">
        <v>35272</v>
      </c>
      <c r="K3484" t="s">
        <v>42726</v>
      </c>
      <c r="M3484" t="s">
        <v>44343</v>
      </c>
      <c r="N3484" t="s">
        <v>47424</v>
      </c>
      <c r="O3484" t="s">
        <v>47425</v>
      </c>
      <c r="P3484">
        <v>0</v>
      </c>
      <c r="Q3484">
        <v>1</v>
      </c>
      <c r="R3484" t="s">
        <v>47428</v>
      </c>
      <c r="S3484" t="s">
        <v>47541</v>
      </c>
      <c r="T3484" t="s">
        <v>49350</v>
      </c>
      <c r="U3484" t="s">
        <v>52642</v>
      </c>
      <c r="V3484" t="s">
        <v>62946</v>
      </c>
      <c r="W3484" t="s">
        <v>44343</v>
      </c>
      <c r="X3484" t="s">
        <v>47430</v>
      </c>
    </row>
    <row r="3485" spans="1:24">
      <c r="A3485">
        <f>HYPERLINK("https://www.philgeps.gov.ph/GEPSNONPILOT/Tender/SplashBidNoticeAbstractUI.aspx?menuIndex=3&amp;refID=7163902&amp;Result=3","7163902")</f>
        <v>0</v>
      </c>
      <c r="B3485" t="s">
        <v>576</v>
      </c>
      <c r="C3485" t="s">
        <v>7223</v>
      </c>
      <c r="D3485" t="s">
        <v>19044</v>
      </c>
      <c r="E3485" t="s">
        <v>19292</v>
      </c>
      <c r="F3485" t="s">
        <v>32831</v>
      </c>
      <c r="G3485" t="s">
        <v>32839</v>
      </c>
      <c r="H3485" t="s">
        <v>32848</v>
      </c>
      <c r="I3485" t="s">
        <v>4776</v>
      </c>
      <c r="J3485" t="s">
        <v>33706</v>
      </c>
      <c r="K3485" t="s">
        <v>42727</v>
      </c>
      <c r="M3485" t="s">
        <v>43587</v>
      </c>
      <c r="N3485" t="s">
        <v>47424</v>
      </c>
      <c r="O3485" t="s">
        <v>47425</v>
      </c>
      <c r="P3485">
        <v>0</v>
      </c>
      <c r="Q3485">
        <v>3</v>
      </c>
      <c r="R3485" t="s">
        <v>47428</v>
      </c>
      <c r="S3485" t="s">
        <v>47541</v>
      </c>
      <c r="T3485" t="s">
        <v>49073</v>
      </c>
      <c r="U3485" t="s">
        <v>52643</v>
      </c>
      <c r="W3485" t="s">
        <v>43587</v>
      </c>
      <c r="X3485" t="s">
        <v>47430</v>
      </c>
    </row>
    <row r="3486" spans="1:24">
      <c r="A3486">
        <f>HYPERLINK("https://www.philgeps.gov.ph/GEPSNONPILOT/Tender/SplashBidNoticeAbstractUI.aspx?menuIndex=3&amp;refID=7163717&amp;Result=3","7163717")</f>
        <v>0</v>
      </c>
      <c r="B3486" t="s">
        <v>286</v>
      </c>
      <c r="C3486" t="s">
        <v>7224</v>
      </c>
      <c r="D3486" t="s">
        <v>19027</v>
      </c>
      <c r="E3486" t="s">
        <v>22245</v>
      </c>
      <c r="F3486" t="s">
        <v>32831</v>
      </c>
      <c r="G3486" t="s">
        <v>32838</v>
      </c>
      <c r="H3486" t="s">
        <v>32848</v>
      </c>
      <c r="I3486" t="s">
        <v>4776</v>
      </c>
      <c r="J3486" t="s">
        <v>35273</v>
      </c>
      <c r="K3486" t="s">
        <v>42759</v>
      </c>
      <c r="M3486" t="s">
        <v>44500</v>
      </c>
      <c r="N3486" t="s">
        <v>47424</v>
      </c>
      <c r="O3486" t="s">
        <v>47425</v>
      </c>
      <c r="P3486">
        <v>0</v>
      </c>
      <c r="Q3486">
        <v>1</v>
      </c>
      <c r="R3486" t="s">
        <v>47428</v>
      </c>
      <c r="S3486" t="s">
        <v>47541</v>
      </c>
      <c r="T3486" t="s">
        <v>49328</v>
      </c>
      <c r="U3486" t="s">
        <v>52601</v>
      </c>
      <c r="V3486" t="s">
        <v>62989</v>
      </c>
      <c r="W3486" t="s">
        <v>44500</v>
      </c>
      <c r="X3486" t="s">
        <v>47430</v>
      </c>
    </row>
    <row r="3487" spans="1:24">
      <c r="A3487">
        <f>HYPERLINK("https://www.philgeps.gov.ph/GEPSNONPILOT/Tender/SplashBidNoticeAbstractUI.aspx?menuIndex=3&amp;refID=7163910&amp;Result=3","7163910")</f>
        <v>0</v>
      </c>
      <c r="B3487" t="s">
        <v>1468</v>
      </c>
      <c r="C3487" t="s">
        <v>7225</v>
      </c>
      <c r="E3487" t="s">
        <v>22121</v>
      </c>
      <c r="F3487" t="s">
        <v>32831</v>
      </c>
      <c r="G3487" t="s">
        <v>32838</v>
      </c>
      <c r="H3487" t="s">
        <v>32848</v>
      </c>
      <c r="I3487" t="s">
        <v>9577</v>
      </c>
      <c r="J3487" t="s">
        <v>35274</v>
      </c>
      <c r="K3487" t="s">
        <v>42729</v>
      </c>
      <c r="M3487" t="s">
        <v>44561</v>
      </c>
      <c r="N3487" t="s">
        <v>47424</v>
      </c>
      <c r="O3487" t="s">
        <v>47425</v>
      </c>
      <c r="P3487">
        <v>0</v>
      </c>
      <c r="Q3487">
        <v>1</v>
      </c>
      <c r="R3487" t="s">
        <v>47428</v>
      </c>
      <c r="S3487" t="s">
        <v>47541</v>
      </c>
      <c r="T3487" t="s">
        <v>49114</v>
      </c>
      <c r="U3487" t="s">
        <v>52644</v>
      </c>
      <c r="W3487" t="s">
        <v>44561</v>
      </c>
      <c r="X3487" t="s">
        <v>47430</v>
      </c>
    </row>
    <row r="3488" spans="1:24">
      <c r="A3488">
        <f>HYPERLINK("https://www.philgeps.gov.ph/GEPSNONPILOT/Tender/SplashBidNoticeAbstractUI.aspx?menuIndex=3&amp;refID=7163914&amp;Result=3","7163914")</f>
        <v>0</v>
      </c>
      <c r="B3488" t="s">
        <v>1026</v>
      </c>
      <c r="C3488" t="s">
        <v>7226</v>
      </c>
      <c r="D3488" t="s">
        <v>19062</v>
      </c>
      <c r="E3488" t="s">
        <v>22246</v>
      </c>
      <c r="F3488" t="s">
        <v>32831</v>
      </c>
      <c r="G3488" t="s">
        <v>32839</v>
      </c>
      <c r="H3488" t="s">
        <v>32848</v>
      </c>
      <c r="I3488" t="s">
        <v>32911</v>
      </c>
      <c r="J3488" t="s">
        <v>35275</v>
      </c>
      <c r="K3488" t="s">
        <v>42747</v>
      </c>
      <c r="M3488" t="s">
        <v>44076</v>
      </c>
      <c r="N3488" t="s">
        <v>47424</v>
      </c>
      <c r="O3488" t="s">
        <v>47425</v>
      </c>
      <c r="P3488">
        <v>0</v>
      </c>
      <c r="Q3488">
        <v>4</v>
      </c>
      <c r="R3488" t="s">
        <v>47428</v>
      </c>
      <c r="S3488" t="s">
        <v>47541</v>
      </c>
      <c r="T3488" t="s">
        <v>49202</v>
      </c>
      <c r="U3488" t="s">
        <v>52645</v>
      </c>
      <c r="V3488" t="s">
        <v>63008</v>
      </c>
      <c r="W3488" t="s">
        <v>44076</v>
      </c>
      <c r="X3488" t="s">
        <v>47430</v>
      </c>
    </row>
    <row r="3489" spans="1:24">
      <c r="A3489">
        <f>HYPERLINK("https://www.philgeps.gov.ph/GEPSNONPILOT/Tender/SplashBidNoticeAbstractUI.aspx?menuIndex=3&amp;refID=7163903&amp;Result=3","7163903")</f>
        <v>0</v>
      </c>
      <c r="B3489" t="s">
        <v>1469</v>
      </c>
      <c r="C3489" t="s">
        <v>7227</v>
      </c>
      <c r="D3489" t="s">
        <v>19043</v>
      </c>
      <c r="E3489" t="s">
        <v>22247</v>
      </c>
      <c r="F3489" t="s">
        <v>32831</v>
      </c>
      <c r="G3489" t="s">
        <v>32838</v>
      </c>
      <c r="H3489" t="s">
        <v>32848</v>
      </c>
      <c r="I3489" t="s">
        <v>32892</v>
      </c>
      <c r="J3489" t="s">
        <v>33162</v>
      </c>
      <c r="K3489" t="s">
        <v>42730</v>
      </c>
      <c r="M3489" t="s">
        <v>44562</v>
      </c>
      <c r="N3489" t="s">
        <v>47424</v>
      </c>
      <c r="O3489" t="s">
        <v>47425</v>
      </c>
      <c r="P3489">
        <v>0</v>
      </c>
      <c r="Q3489">
        <v>1</v>
      </c>
      <c r="R3489" t="s">
        <v>47428</v>
      </c>
      <c r="S3489" t="s">
        <v>47541</v>
      </c>
      <c r="T3489" t="s">
        <v>49056</v>
      </c>
      <c r="U3489" t="s">
        <v>52646</v>
      </c>
      <c r="W3489" t="s">
        <v>44562</v>
      </c>
      <c r="X3489" t="s">
        <v>47430</v>
      </c>
    </row>
    <row r="3490" spans="1:24">
      <c r="A3490">
        <f>HYPERLINK("https://www.philgeps.gov.ph/GEPSNONPILOT/Tender/SplashBidNoticeAbstractUI.aspx?menuIndex=3&amp;refID=7163955&amp;Result=3","7163955")</f>
        <v>0</v>
      </c>
      <c r="B3490" t="s">
        <v>763</v>
      </c>
      <c r="C3490" t="s">
        <v>7228</v>
      </c>
      <c r="E3490" t="s">
        <v>22248</v>
      </c>
      <c r="F3490" t="s">
        <v>32831</v>
      </c>
      <c r="G3490" t="s">
        <v>32840</v>
      </c>
      <c r="H3490" t="s">
        <v>32848</v>
      </c>
      <c r="I3490" t="s">
        <v>10805</v>
      </c>
      <c r="J3490" t="s">
        <v>33143</v>
      </c>
      <c r="K3490" t="s">
        <v>42731</v>
      </c>
      <c r="M3490" t="s">
        <v>43789</v>
      </c>
      <c r="N3490" t="s">
        <v>47424</v>
      </c>
      <c r="O3490" t="s">
        <v>47425</v>
      </c>
      <c r="P3490">
        <v>0</v>
      </c>
      <c r="Q3490">
        <v>2</v>
      </c>
      <c r="R3490" t="s">
        <v>47428</v>
      </c>
      <c r="S3490" t="s">
        <v>47541</v>
      </c>
      <c r="T3490" t="s">
        <v>49114</v>
      </c>
      <c r="U3490" t="s">
        <v>52647</v>
      </c>
      <c r="W3490" t="s">
        <v>43789</v>
      </c>
      <c r="X3490" t="s">
        <v>47430</v>
      </c>
    </row>
    <row r="3491" spans="1:24">
      <c r="A3491">
        <f>HYPERLINK("https://www.philgeps.gov.ph/GEPSNONPILOT/Tender/SplashBidNoticeAbstractUI.aspx?menuIndex=3&amp;refID=7163718&amp;Result=3","7163718")</f>
        <v>0</v>
      </c>
      <c r="B3491" t="s">
        <v>720</v>
      </c>
      <c r="C3491" t="s">
        <v>7229</v>
      </c>
      <c r="D3491" t="s">
        <v>19090</v>
      </c>
      <c r="E3491" t="s">
        <v>22249</v>
      </c>
      <c r="F3491" t="s">
        <v>32831</v>
      </c>
      <c r="G3491" t="s">
        <v>32838</v>
      </c>
      <c r="H3491" t="s">
        <v>32848</v>
      </c>
      <c r="I3491" t="s">
        <v>32857</v>
      </c>
      <c r="J3491" t="s">
        <v>35276</v>
      </c>
      <c r="K3491" t="s">
        <v>42727</v>
      </c>
      <c r="M3491" t="s">
        <v>43741</v>
      </c>
      <c r="N3491" t="s">
        <v>47424</v>
      </c>
      <c r="O3491" t="s">
        <v>47425</v>
      </c>
      <c r="P3491">
        <v>0</v>
      </c>
      <c r="Q3491">
        <v>6</v>
      </c>
      <c r="R3491" t="s">
        <v>47428</v>
      </c>
      <c r="S3491" t="s">
        <v>47541</v>
      </c>
      <c r="T3491" t="s">
        <v>49163</v>
      </c>
      <c r="U3491" t="s">
        <v>52648</v>
      </c>
      <c r="W3491" t="s">
        <v>64445</v>
      </c>
      <c r="X3491" t="s">
        <v>47430</v>
      </c>
    </row>
    <row r="3492" spans="1:24">
      <c r="A3492">
        <f>HYPERLINK("https://www.philgeps.gov.ph/GEPSNONPILOT/Tender/SplashBidNoticeAbstractUI.aspx?menuIndex=3&amp;refID=7163912&amp;Result=3","7163912")</f>
        <v>0</v>
      </c>
      <c r="B3492" t="s">
        <v>562</v>
      </c>
      <c r="C3492" t="s">
        <v>7230</v>
      </c>
      <c r="D3492" t="s">
        <v>19017</v>
      </c>
      <c r="E3492" t="s">
        <v>22250</v>
      </c>
      <c r="F3492" t="s">
        <v>32831</v>
      </c>
      <c r="G3492" t="s">
        <v>32840</v>
      </c>
      <c r="H3492" t="s">
        <v>32848</v>
      </c>
      <c r="I3492" t="s">
        <v>32857</v>
      </c>
      <c r="J3492" t="s">
        <v>34207</v>
      </c>
      <c r="K3492" t="s">
        <v>42732</v>
      </c>
      <c r="M3492" t="s">
        <v>43571</v>
      </c>
      <c r="N3492" t="s">
        <v>47424</v>
      </c>
      <c r="O3492" t="s">
        <v>47425</v>
      </c>
      <c r="P3492">
        <v>0</v>
      </c>
      <c r="Q3492">
        <v>8</v>
      </c>
      <c r="R3492" t="s">
        <v>47428</v>
      </c>
      <c r="S3492" t="s">
        <v>47541</v>
      </c>
      <c r="T3492" t="s">
        <v>49107</v>
      </c>
      <c r="U3492" t="s">
        <v>52649</v>
      </c>
      <c r="V3492" t="s">
        <v>63009</v>
      </c>
      <c r="W3492" t="s">
        <v>43571</v>
      </c>
      <c r="X3492" t="s">
        <v>47430</v>
      </c>
    </row>
    <row r="3493" spans="1:24">
      <c r="A3493">
        <f>HYPERLINK("https://www.philgeps.gov.ph/GEPSNONPILOT/Tender/SplashBidNoticeAbstractUI.aspx?menuIndex=3&amp;refID=7163950&amp;Result=3","7163950")</f>
        <v>0</v>
      </c>
      <c r="B3493" t="s">
        <v>844</v>
      </c>
      <c r="C3493" t="s">
        <v>7231</v>
      </c>
      <c r="D3493" t="s">
        <v>19081</v>
      </c>
      <c r="E3493" t="s">
        <v>22251</v>
      </c>
      <c r="F3493" t="s">
        <v>32831</v>
      </c>
      <c r="G3493" t="s">
        <v>32838</v>
      </c>
      <c r="H3493" t="s">
        <v>32848</v>
      </c>
      <c r="I3493" t="s">
        <v>32884</v>
      </c>
      <c r="J3493" t="s">
        <v>35277</v>
      </c>
      <c r="K3493" t="s">
        <v>42732</v>
      </c>
      <c r="M3493" t="s">
        <v>43877</v>
      </c>
      <c r="N3493" t="s">
        <v>47424</v>
      </c>
      <c r="O3493" t="s">
        <v>47425</v>
      </c>
      <c r="P3493">
        <v>0</v>
      </c>
      <c r="Q3493">
        <v>2</v>
      </c>
      <c r="R3493" t="s">
        <v>47428</v>
      </c>
      <c r="S3493" t="s">
        <v>47541</v>
      </c>
      <c r="T3493" t="s">
        <v>49235</v>
      </c>
      <c r="U3493" t="s">
        <v>52650</v>
      </c>
      <c r="W3493" t="s">
        <v>43877</v>
      </c>
      <c r="X3493" t="s">
        <v>47430</v>
      </c>
    </row>
    <row r="3494" spans="1:24">
      <c r="A3494">
        <f>HYPERLINK("https://www.philgeps.gov.ph/GEPSNONPILOT/Tender/SplashBidNoticeAbstractUI.aspx?menuIndex=3&amp;refID=7163924&amp;Result=3","7163924")</f>
        <v>0</v>
      </c>
      <c r="B3494" t="s">
        <v>1248</v>
      </c>
      <c r="C3494" t="s">
        <v>7232</v>
      </c>
      <c r="D3494" t="s">
        <v>19017</v>
      </c>
      <c r="E3494" t="s">
        <v>22252</v>
      </c>
      <c r="F3494" t="s">
        <v>32831</v>
      </c>
      <c r="G3494" t="s">
        <v>32838</v>
      </c>
      <c r="H3494" t="s">
        <v>32850</v>
      </c>
      <c r="I3494" t="s">
        <v>32924</v>
      </c>
      <c r="J3494" t="s">
        <v>35278</v>
      </c>
      <c r="K3494" t="s">
        <v>42786</v>
      </c>
      <c r="M3494" t="s">
        <v>44318</v>
      </c>
      <c r="N3494" t="s">
        <v>47424</v>
      </c>
      <c r="O3494" t="s">
        <v>47425</v>
      </c>
      <c r="P3494">
        <v>0</v>
      </c>
      <c r="Q3494">
        <v>5</v>
      </c>
      <c r="R3494" t="s">
        <v>47428</v>
      </c>
      <c r="S3494" t="s">
        <v>47541</v>
      </c>
      <c r="T3494" t="s">
        <v>49163</v>
      </c>
      <c r="U3494" t="s">
        <v>52651</v>
      </c>
      <c r="V3494" t="s">
        <v>62939</v>
      </c>
      <c r="W3494" t="s">
        <v>44318</v>
      </c>
      <c r="X3494" t="s">
        <v>47430</v>
      </c>
    </row>
    <row r="3495" spans="1:24">
      <c r="A3495">
        <f>HYPERLINK("https://www.philgeps.gov.ph/GEPSNONPILOT/Tender/SplashBidNoticeAbstractUI.aspx?menuIndex=3&amp;refID=7163946&amp;Result=3","7163946")</f>
        <v>0</v>
      </c>
      <c r="B3495" t="s">
        <v>1470</v>
      </c>
      <c r="C3495" t="s">
        <v>4859</v>
      </c>
      <c r="D3495" t="s">
        <v>19057</v>
      </c>
      <c r="E3495" t="s">
        <v>4859</v>
      </c>
      <c r="F3495" t="s">
        <v>32831</v>
      </c>
      <c r="G3495" t="s">
        <v>32840</v>
      </c>
      <c r="H3495" t="s">
        <v>32848</v>
      </c>
      <c r="I3495" t="s">
        <v>9577</v>
      </c>
      <c r="J3495" t="s">
        <v>35279</v>
      </c>
      <c r="K3495" t="s">
        <v>42732</v>
      </c>
      <c r="M3495" t="s">
        <v>44563</v>
      </c>
      <c r="N3495" t="s">
        <v>47424</v>
      </c>
      <c r="O3495" t="s">
        <v>47425</v>
      </c>
      <c r="P3495">
        <v>0</v>
      </c>
      <c r="Q3495">
        <v>0</v>
      </c>
      <c r="R3495" t="s">
        <v>47428</v>
      </c>
      <c r="S3495" t="s">
        <v>47541</v>
      </c>
      <c r="T3495" t="s">
        <v>49145</v>
      </c>
      <c r="U3495" t="s">
        <v>52652</v>
      </c>
      <c r="W3495" t="s">
        <v>44563</v>
      </c>
      <c r="X3495" t="s">
        <v>47430</v>
      </c>
    </row>
    <row r="3496" spans="1:24">
      <c r="A3496">
        <f>HYPERLINK("https://www.philgeps.gov.ph/GEPSNONPILOT/Tender/SplashBidNoticeAbstractUI.aspx?menuIndex=3&amp;refID=7163944&amp;Result=3","7163944")</f>
        <v>0</v>
      </c>
      <c r="B3496" t="s">
        <v>703</v>
      </c>
      <c r="C3496" t="s">
        <v>7233</v>
      </c>
      <c r="D3496" t="s">
        <v>19077</v>
      </c>
      <c r="E3496" t="s">
        <v>22253</v>
      </c>
      <c r="F3496" t="s">
        <v>32831</v>
      </c>
      <c r="G3496" t="s">
        <v>32840</v>
      </c>
      <c r="H3496" t="s">
        <v>32848</v>
      </c>
      <c r="I3496" t="s">
        <v>32925</v>
      </c>
      <c r="J3496" t="s">
        <v>34722</v>
      </c>
      <c r="K3496" t="s">
        <v>42730</v>
      </c>
      <c r="M3496" t="s">
        <v>44449</v>
      </c>
      <c r="N3496" t="s">
        <v>47424</v>
      </c>
      <c r="O3496" t="s">
        <v>47425</v>
      </c>
      <c r="P3496">
        <v>0</v>
      </c>
      <c r="Q3496">
        <v>3</v>
      </c>
      <c r="R3496" t="s">
        <v>47428</v>
      </c>
      <c r="S3496" t="s">
        <v>47541</v>
      </c>
      <c r="T3496" t="s">
        <v>49175</v>
      </c>
      <c r="U3496" t="s">
        <v>52653</v>
      </c>
      <c r="W3496" t="s">
        <v>44449</v>
      </c>
      <c r="X3496" t="s">
        <v>47430</v>
      </c>
    </row>
    <row r="3497" spans="1:24">
      <c r="A3497">
        <f>HYPERLINK("https://www.philgeps.gov.ph/GEPSNONPILOT/Tender/SplashBidNoticeAbstractUI.aspx?menuIndex=3&amp;refID=7163941&amp;Result=3","7163941")</f>
        <v>0</v>
      </c>
      <c r="B3497" t="s">
        <v>1385</v>
      </c>
      <c r="C3497" t="s">
        <v>7234</v>
      </c>
      <c r="D3497" t="s">
        <v>19060</v>
      </c>
      <c r="E3497" t="s">
        <v>22254</v>
      </c>
      <c r="F3497" t="s">
        <v>32831</v>
      </c>
      <c r="G3497" t="s">
        <v>32840</v>
      </c>
      <c r="H3497" t="s">
        <v>32848</v>
      </c>
      <c r="I3497" t="s">
        <v>4438</v>
      </c>
      <c r="J3497" t="s">
        <v>33087</v>
      </c>
      <c r="K3497" t="s">
        <v>42730</v>
      </c>
      <c r="M3497" t="s">
        <v>44470</v>
      </c>
      <c r="N3497" t="s">
        <v>47424</v>
      </c>
      <c r="O3497" t="s">
        <v>47425</v>
      </c>
      <c r="P3497">
        <v>0</v>
      </c>
      <c r="Q3497">
        <v>3</v>
      </c>
      <c r="R3497" t="s">
        <v>47428</v>
      </c>
      <c r="S3497" t="s">
        <v>47541</v>
      </c>
      <c r="T3497" t="s">
        <v>49129</v>
      </c>
      <c r="U3497" t="s">
        <v>52654</v>
      </c>
      <c r="V3497" t="s">
        <v>62982</v>
      </c>
      <c r="W3497" t="s">
        <v>44470</v>
      </c>
      <c r="X3497" t="s">
        <v>47430</v>
      </c>
    </row>
    <row r="3498" spans="1:24">
      <c r="A3498">
        <f>HYPERLINK("https://www.philgeps.gov.ph/GEPSNONPILOT/Tender/SplashBidNoticeAbstractUI.aspx?menuIndex=3&amp;refID=7163939&amp;Result=3","7163939")</f>
        <v>0</v>
      </c>
      <c r="B3498" t="s">
        <v>338</v>
      </c>
      <c r="C3498" t="s">
        <v>7235</v>
      </c>
      <c r="D3498" t="s">
        <v>19019</v>
      </c>
      <c r="E3498" t="s">
        <v>22255</v>
      </c>
      <c r="F3498" t="s">
        <v>32833</v>
      </c>
      <c r="G3498" t="s">
        <v>32838</v>
      </c>
      <c r="H3498" t="s">
        <v>32848</v>
      </c>
      <c r="I3498" t="s">
        <v>32860</v>
      </c>
      <c r="J3498" t="s">
        <v>34735</v>
      </c>
      <c r="K3498" t="s">
        <v>42759</v>
      </c>
      <c r="M3498" t="s">
        <v>44099</v>
      </c>
      <c r="N3498" t="s">
        <v>47424</v>
      </c>
      <c r="O3498" t="s">
        <v>47425</v>
      </c>
      <c r="P3498">
        <v>0</v>
      </c>
      <c r="Q3498">
        <v>0</v>
      </c>
      <c r="R3498" t="s">
        <v>47428</v>
      </c>
      <c r="S3498" t="s">
        <v>47541</v>
      </c>
      <c r="T3498" t="s">
        <v>49070</v>
      </c>
      <c r="U3498" t="s">
        <v>52655</v>
      </c>
      <c r="V3498" t="s">
        <v>50084</v>
      </c>
      <c r="W3498" t="s">
        <v>44099</v>
      </c>
      <c r="X3498" t="s">
        <v>47430</v>
      </c>
    </row>
    <row r="3499" spans="1:24">
      <c r="A3499">
        <f>HYPERLINK("https://www.philgeps.gov.ph/GEPSNONPILOT/Tender/SplashBidNoticeAbstractUI.aspx?menuIndex=3&amp;refID=7163938&amp;Result=3","7163938")</f>
        <v>0</v>
      </c>
      <c r="B3499" t="s">
        <v>1471</v>
      </c>
      <c r="C3499" t="s">
        <v>7236</v>
      </c>
      <c r="D3499" t="s">
        <v>19056</v>
      </c>
      <c r="E3499" t="s">
        <v>22256</v>
      </c>
      <c r="F3499" t="s">
        <v>32831</v>
      </c>
      <c r="G3499" t="s">
        <v>32838</v>
      </c>
      <c r="H3499" t="s">
        <v>32848</v>
      </c>
      <c r="I3499" t="s">
        <v>32864</v>
      </c>
      <c r="J3499" t="s">
        <v>35280</v>
      </c>
      <c r="K3499" t="s">
        <v>42727</v>
      </c>
      <c r="M3499" t="s">
        <v>44564</v>
      </c>
      <c r="N3499" t="s">
        <v>47424</v>
      </c>
      <c r="O3499" t="s">
        <v>47425</v>
      </c>
      <c r="Q3499">
        <v>6</v>
      </c>
      <c r="R3499" t="s">
        <v>47428</v>
      </c>
      <c r="S3499" t="s">
        <v>47546</v>
      </c>
      <c r="T3499" t="s">
        <v>49145</v>
      </c>
      <c r="U3499" t="s">
        <v>49728</v>
      </c>
      <c r="W3499" t="s">
        <v>44564</v>
      </c>
      <c r="X3499" t="s">
        <v>47430</v>
      </c>
    </row>
    <row r="3500" spans="1:24">
      <c r="A3500">
        <f>HYPERLINK("https://www.philgeps.gov.ph/GEPSNONPILOT/Tender/SplashBidNoticeAbstractUI.aspx?menuIndex=3&amp;refID=7163937&amp;Result=3","7163937")</f>
        <v>0</v>
      </c>
      <c r="B3500" t="s">
        <v>1472</v>
      </c>
      <c r="C3500" t="s">
        <v>7237</v>
      </c>
      <c r="D3500" t="s">
        <v>19073</v>
      </c>
      <c r="E3500" t="s">
        <v>22257</v>
      </c>
      <c r="F3500" t="s">
        <v>32831</v>
      </c>
      <c r="G3500" t="s">
        <v>32838</v>
      </c>
      <c r="H3500" t="s">
        <v>32850</v>
      </c>
      <c r="I3500" t="s">
        <v>4776</v>
      </c>
      <c r="J3500" t="s">
        <v>33041</v>
      </c>
      <c r="K3500" t="s">
        <v>42727</v>
      </c>
      <c r="M3500" t="s">
        <v>44565</v>
      </c>
      <c r="N3500" t="s">
        <v>47424</v>
      </c>
      <c r="O3500" t="s">
        <v>47425</v>
      </c>
      <c r="P3500">
        <v>0</v>
      </c>
      <c r="Q3500">
        <v>0</v>
      </c>
      <c r="R3500" t="s">
        <v>47428</v>
      </c>
      <c r="S3500" t="s">
        <v>47541</v>
      </c>
      <c r="T3500" t="s">
        <v>49318</v>
      </c>
      <c r="U3500" t="s">
        <v>52656</v>
      </c>
      <c r="W3500" t="s">
        <v>44565</v>
      </c>
      <c r="X3500" t="s">
        <v>47430</v>
      </c>
    </row>
    <row r="3501" spans="1:24">
      <c r="A3501">
        <f>HYPERLINK("https://www.philgeps.gov.ph/GEPSNONPILOT/Tender/SplashBidNoticeAbstractUI.aspx?menuIndex=3&amp;refID=7163936&amp;Result=3","7163936")</f>
        <v>0</v>
      </c>
      <c r="B3501" t="s">
        <v>1420</v>
      </c>
      <c r="C3501" t="s">
        <v>7238</v>
      </c>
      <c r="D3501" t="s">
        <v>19033</v>
      </c>
      <c r="E3501" t="s">
        <v>22258</v>
      </c>
      <c r="F3501" t="s">
        <v>32831</v>
      </c>
      <c r="G3501" t="s">
        <v>32838</v>
      </c>
      <c r="H3501" t="s">
        <v>32848</v>
      </c>
      <c r="I3501" t="s">
        <v>32863</v>
      </c>
      <c r="J3501" t="s">
        <v>35281</v>
      </c>
      <c r="K3501" t="s">
        <v>42731</v>
      </c>
      <c r="M3501" t="s">
        <v>44508</v>
      </c>
      <c r="N3501" t="s">
        <v>47424</v>
      </c>
      <c r="O3501" t="s">
        <v>47425</v>
      </c>
      <c r="P3501">
        <v>0</v>
      </c>
      <c r="Q3501">
        <v>1</v>
      </c>
      <c r="R3501" t="s">
        <v>47428</v>
      </c>
      <c r="S3501" t="s">
        <v>47541</v>
      </c>
      <c r="T3501" t="s">
        <v>49107</v>
      </c>
      <c r="U3501" t="s">
        <v>52657</v>
      </c>
      <c r="W3501" t="s">
        <v>64468</v>
      </c>
      <c r="X3501" t="s">
        <v>47430</v>
      </c>
    </row>
    <row r="3502" spans="1:24">
      <c r="A3502">
        <f>HYPERLINK("https://www.philgeps.gov.ph/GEPSNONPILOT/Tender/SplashBidNoticeAbstractUI.aspx?menuIndex=3&amp;refID=7163934&amp;Result=3","7163934")</f>
        <v>0</v>
      </c>
      <c r="B3502" t="s">
        <v>1463</v>
      </c>
      <c r="C3502" t="s">
        <v>7239</v>
      </c>
      <c r="D3502" t="s">
        <v>19066</v>
      </c>
      <c r="E3502" t="s">
        <v>22259</v>
      </c>
      <c r="F3502" t="s">
        <v>32831</v>
      </c>
      <c r="G3502" t="s">
        <v>32839</v>
      </c>
      <c r="H3502" t="s">
        <v>32848</v>
      </c>
      <c r="I3502" t="s">
        <v>4776</v>
      </c>
      <c r="J3502" t="s">
        <v>33490</v>
      </c>
      <c r="K3502" t="s">
        <v>42732</v>
      </c>
      <c r="M3502" t="s">
        <v>44555</v>
      </c>
      <c r="N3502" t="s">
        <v>47424</v>
      </c>
      <c r="O3502" t="s">
        <v>47425</v>
      </c>
      <c r="P3502">
        <v>0</v>
      </c>
      <c r="Q3502">
        <v>6</v>
      </c>
      <c r="R3502" t="s">
        <v>47428</v>
      </c>
      <c r="S3502" t="s">
        <v>47541</v>
      </c>
      <c r="T3502" t="s">
        <v>49102</v>
      </c>
      <c r="U3502" t="s">
        <v>52658</v>
      </c>
      <c r="W3502" t="s">
        <v>44555</v>
      </c>
      <c r="X3502" t="s">
        <v>47430</v>
      </c>
    </row>
    <row r="3503" spans="1:24">
      <c r="A3503">
        <f>HYPERLINK("https://www.philgeps.gov.ph/GEPSNONPILOT/Tender/SplashBidNoticeAbstractUI.aspx?menuIndex=3&amp;refID=7163956&amp;Result=3","7163956")</f>
        <v>0</v>
      </c>
      <c r="B3503" t="s">
        <v>1473</v>
      </c>
      <c r="C3503" t="s">
        <v>7240</v>
      </c>
      <c r="D3503" t="s">
        <v>19067</v>
      </c>
      <c r="E3503" t="s">
        <v>22260</v>
      </c>
      <c r="F3503" t="s">
        <v>32831</v>
      </c>
      <c r="G3503" t="s">
        <v>32838</v>
      </c>
      <c r="H3503" t="s">
        <v>32848</v>
      </c>
      <c r="I3503" t="s">
        <v>32857</v>
      </c>
      <c r="J3503" t="s">
        <v>35282</v>
      </c>
      <c r="K3503" t="s">
        <v>42758</v>
      </c>
      <c r="M3503" t="s">
        <v>44566</v>
      </c>
      <c r="N3503" t="s">
        <v>47424</v>
      </c>
      <c r="O3503" t="s">
        <v>47425</v>
      </c>
      <c r="P3503">
        <v>0</v>
      </c>
      <c r="Q3503">
        <v>0</v>
      </c>
      <c r="R3503" t="s">
        <v>47428</v>
      </c>
      <c r="S3503" t="s">
        <v>47541</v>
      </c>
      <c r="T3503" t="s">
        <v>49237</v>
      </c>
      <c r="U3503" t="s">
        <v>52659</v>
      </c>
      <c r="W3503" t="s">
        <v>44566</v>
      </c>
      <c r="X3503" t="s">
        <v>47430</v>
      </c>
    </row>
    <row r="3504" spans="1:24">
      <c r="A3504">
        <f>HYPERLINK("https://www.philgeps.gov.ph/GEPSNONPILOT/Tender/SplashBidNoticeAbstractUI.aspx?menuIndex=3&amp;refID=7163932&amp;Result=3","7163932")</f>
        <v>0</v>
      </c>
      <c r="B3504" t="s">
        <v>1441</v>
      </c>
      <c r="C3504" t="s">
        <v>7241</v>
      </c>
      <c r="D3504" t="s">
        <v>19048</v>
      </c>
      <c r="E3504" t="s">
        <v>22261</v>
      </c>
      <c r="F3504" t="s">
        <v>32831</v>
      </c>
      <c r="G3504" t="s">
        <v>32839</v>
      </c>
      <c r="H3504" t="s">
        <v>32848</v>
      </c>
      <c r="I3504" t="s">
        <v>32862</v>
      </c>
      <c r="J3504" t="s">
        <v>35283</v>
      </c>
      <c r="K3504" t="s">
        <v>42727</v>
      </c>
      <c r="M3504" t="s">
        <v>44533</v>
      </c>
      <c r="N3504" t="s">
        <v>47424</v>
      </c>
      <c r="O3504" t="s">
        <v>47425</v>
      </c>
      <c r="P3504">
        <v>0</v>
      </c>
      <c r="Q3504">
        <v>2</v>
      </c>
      <c r="R3504" t="s">
        <v>47428</v>
      </c>
      <c r="S3504" t="s">
        <v>47541</v>
      </c>
      <c r="T3504" t="s">
        <v>49066</v>
      </c>
      <c r="U3504" t="s">
        <v>52660</v>
      </c>
      <c r="W3504" t="s">
        <v>44533</v>
      </c>
      <c r="X3504" t="s">
        <v>47430</v>
      </c>
    </row>
    <row r="3505" spans="1:24">
      <c r="A3505">
        <f>HYPERLINK("https://www.philgeps.gov.ph/GEPSNONPILOT/Tender/SplashBidNoticeAbstractUI.aspx?menuIndex=3&amp;refID=7163929&amp;Result=3","7163929")</f>
        <v>0</v>
      </c>
      <c r="B3505" t="s">
        <v>1443</v>
      </c>
      <c r="C3505" t="s">
        <v>7242</v>
      </c>
      <c r="D3505" t="s">
        <v>19058</v>
      </c>
      <c r="E3505" t="s">
        <v>22262</v>
      </c>
      <c r="F3505" t="s">
        <v>32831</v>
      </c>
      <c r="G3505" t="s">
        <v>32839</v>
      </c>
      <c r="H3505" t="s">
        <v>32849</v>
      </c>
      <c r="I3505" t="s">
        <v>4177</v>
      </c>
      <c r="J3505" t="s">
        <v>35284</v>
      </c>
      <c r="K3505" t="s">
        <v>42837</v>
      </c>
      <c r="M3505" t="s">
        <v>44535</v>
      </c>
      <c r="N3505" t="s">
        <v>47424</v>
      </c>
      <c r="O3505" t="s">
        <v>47425</v>
      </c>
      <c r="P3505">
        <v>0</v>
      </c>
      <c r="Q3505">
        <v>0</v>
      </c>
      <c r="R3505" t="s">
        <v>47428</v>
      </c>
      <c r="S3505" t="s">
        <v>47541</v>
      </c>
      <c r="T3505" t="s">
        <v>49348</v>
      </c>
      <c r="U3505" t="s">
        <v>52661</v>
      </c>
      <c r="W3505" t="s">
        <v>44535</v>
      </c>
      <c r="X3505" t="s">
        <v>47430</v>
      </c>
    </row>
    <row r="3506" spans="1:24">
      <c r="A3506">
        <f>HYPERLINK("https://www.philgeps.gov.ph/GEPSNONPILOT/Tender/SplashBidNoticeAbstractUI.aspx?menuIndex=3&amp;refID=7163952&amp;Result=3","7163952")</f>
        <v>0</v>
      </c>
      <c r="B3506" t="s">
        <v>1045</v>
      </c>
      <c r="C3506" t="s">
        <v>7243</v>
      </c>
      <c r="D3506" t="s">
        <v>19040</v>
      </c>
      <c r="E3506" t="s">
        <v>22263</v>
      </c>
      <c r="F3506" t="s">
        <v>32831</v>
      </c>
      <c r="G3506" t="s">
        <v>32838</v>
      </c>
      <c r="H3506" t="s">
        <v>32848</v>
      </c>
      <c r="I3506" t="s">
        <v>9577</v>
      </c>
      <c r="J3506" t="s">
        <v>33133</v>
      </c>
      <c r="K3506" t="s">
        <v>42745</v>
      </c>
      <c r="M3506" t="s">
        <v>44101</v>
      </c>
      <c r="N3506" t="s">
        <v>47424</v>
      </c>
      <c r="O3506" t="s">
        <v>47425</v>
      </c>
      <c r="P3506">
        <v>0</v>
      </c>
      <c r="Q3506">
        <v>0</v>
      </c>
      <c r="R3506" t="s">
        <v>47428</v>
      </c>
      <c r="S3506" t="s">
        <v>47541</v>
      </c>
      <c r="T3506" t="s">
        <v>49229</v>
      </c>
      <c r="U3506" t="s">
        <v>52662</v>
      </c>
      <c r="V3506" t="s">
        <v>62871</v>
      </c>
      <c r="W3506" t="s">
        <v>44101</v>
      </c>
      <c r="X3506" t="s">
        <v>47430</v>
      </c>
    </row>
    <row r="3507" spans="1:24">
      <c r="A3507">
        <f>HYPERLINK("https://www.philgeps.gov.ph/GEPSNONPILOT/Tender/SplashBidNoticeAbstractUI.aspx?menuIndex=3&amp;refID=7163927&amp;Result=3","7163927")</f>
        <v>0</v>
      </c>
      <c r="B3507" t="s">
        <v>1474</v>
      </c>
      <c r="C3507" t="s">
        <v>5171</v>
      </c>
      <c r="D3507" t="s">
        <v>19066</v>
      </c>
      <c r="E3507" t="s">
        <v>22264</v>
      </c>
      <c r="F3507" t="s">
        <v>32831</v>
      </c>
      <c r="G3507" t="s">
        <v>32842</v>
      </c>
      <c r="H3507" t="s">
        <v>32848</v>
      </c>
      <c r="I3507" t="s">
        <v>9577</v>
      </c>
      <c r="J3507" t="s">
        <v>35285</v>
      </c>
      <c r="K3507" t="s">
        <v>42731</v>
      </c>
      <c r="M3507" t="s">
        <v>44567</v>
      </c>
      <c r="N3507" t="s">
        <v>47424</v>
      </c>
      <c r="O3507" t="s">
        <v>47425</v>
      </c>
      <c r="P3507">
        <v>0</v>
      </c>
      <c r="Q3507">
        <v>1</v>
      </c>
      <c r="R3507" t="s">
        <v>47428</v>
      </c>
      <c r="S3507" t="s">
        <v>47541</v>
      </c>
      <c r="T3507" t="s">
        <v>49111</v>
      </c>
      <c r="U3507" t="s">
        <v>52663</v>
      </c>
      <c r="W3507" t="s">
        <v>44567</v>
      </c>
      <c r="X3507" t="s">
        <v>47430</v>
      </c>
    </row>
    <row r="3508" spans="1:24">
      <c r="A3508">
        <f>HYPERLINK("https://www.philgeps.gov.ph/GEPSNONPILOT/Tender/SplashBidNoticeAbstractUI.aspx?menuIndex=3&amp;refID=7163716&amp;Result=3","7163716")</f>
        <v>0</v>
      </c>
      <c r="B3508" t="s">
        <v>909</v>
      </c>
      <c r="C3508" t="s">
        <v>5768</v>
      </c>
      <c r="D3508" t="s">
        <v>19067</v>
      </c>
      <c r="E3508" t="s">
        <v>22265</v>
      </c>
      <c r="F3508" t="s">
        <v>32831</v>
      </c>
      <c r="G3508" t="s">
        <v>32838</v>
      </c>
      <c r="H3508" t="s">
        <v>32848</v>
      </c>
      <c r="I3508" t="s">
        <v>5379</v>
      </c>
      <c r="J3508" t="s">
        <v>33220</v>
      </c>
      <c r="K3508" t="s">
        <v>42730</v>
      </c>
      <c r="M3508" t="s">
        <v>43949</v>
      </c>
      <c r="N3508" t="s">
        <v>47424</v>
      </c>
      <c r="O3508" t="s">
        <v>47425</v>
      </c>
      <c r="P3508">
        <v>0</v>
      </c>
      <c r="Q3508">
        <v>0</v>
      </c>
      <c r="R3508" t="s">
        <v>47428</v>
      </c>
      <c r="S3508" t="s">
        <v>47541</v>
      </c>
      <c r="T3508" t="s">
        <v>49237</v>
      </c>
      <c r="U3508" t="s">
        <v>51367</v>
      </c>
      <c r="W3508" t="s">
        <v>43949</v>
      </c>
      <c r="X3508" t="s">
        <v>47430</v>
      </c>
    </row>
    <row r="3509" spans="1:24">
      <c r="A3509">
        <f>HYPERLINK("https://www.philgeps.gov.ph/GEPSNONPILOT/Tender/SplashBidNoticeAbstractUI.aspx?menuIndex=3&amp;refID=7163945&amp;Result=3","7163945")</f>
        <v>0</v>
      </c>
      <c r="B3509" t="s">
        <v>1475</v>
      </c>
      <c r="C3509" t="s">
        <v>7162</v>
      </c>
      <c r="D3509" t="s">
        <v>19027</v>
      </c>
      <c r="E3509" t="s">
        <v>22121</v>
      </c>
      <c r="F3509" t="s">
        <v>32831</v>
      </c>
      <c r="G3509" t="s">
        <v>32838</v>
      </c>
      <c r="H3509" t="s">
        <v>32848</v>
      </c>
      <c r="I3509" t="s">
        <v>9577</v>
      </c>
      <c r="J3509" t="s">
        <v>35286</v>
      </c>
      <c r="K3509" t="s">
        <v>42729</v>
      </c>
      <c r="M3509" t="s">
        <v>44568</v>
      </c>
      <c r="N3509" t="s">
        <v>47424</v>
      </c>
      <c r="O3509" t="s">
        <v>47425</v>
      </c>
      <c r="P3509">
        <v>0</v>
      </c>
      <c r="Q3509">
        <v>1</v>
      </c>
      <c r="R3509" t="s">
        <v>47428</v>
      </c>
      <c r="S3509" t="s">
        <v>47541</v>
      </c>
      <c r="T3509" t="s">
        <v>49114</v>
      </c>
      <c r="U3509" t="s">
        <v>52644</v>
      </c>
      <c r="W3509" t="s">
        <v>44568</v>
      </c>
      <c r="X3509" t="s">
        <v>47430</v>
      </c>
    </row>
    <row r="3510" spans="1:24">
      <c r="A3510">
        <f>HYPERLINK("https://www.philgeps.gov.ph/GEPSNONPILOT/Tender/SplashBidNoticeAbstractUI.aspx?menuIndex=3&amp;refID=7163715&amp;Result=3","7163715")</f>
        <v>0</v>
      </c>
      <c r="B3510" t="s">
        <v>1438</v>
      </c>
      <c r="C3510" t="s">
        <v>7244</v>
      </c>
      <c r="D3510" t="s">
        <v>19033</v>
      </c>
      <c r="E3510" t="s">
        <v>22266</v>
      </c>
      <c r="F3510" t="s">
        <v>32831</v>
      </c>
      <c r="G3510" t="s">
        <v>32838</v>
      </c>
      <c r="H3510" t="s">
        <v>32848</v>
      </c>
      <c r="I3510" t="s">
        <v>7416</v>
      </c>
      <c r="J3510" t="s">
        <v>32980</v>
      </c>
      <c r="K3510" t="s">
        <v>42727</v>
      </c>
      <c r="M3510" t="s">
        <v>44528</v>
      </c>
      <c r="N3510" t="s">
        <v>47424</v>
      </c>
      <c r="O3510" t="s">
        <v>47425</v>
      </c>
      <c r="P3510">
        <v>0</v>
      </c>
      <c r="Q3510">
        <v>0</v>
      </c>
      <c r="R3510" t="s">
        <v>47428</v>
      </c>
      <c r="S3510" t="s">
        <v>47541</v>
      </c>
      <c r="T3510" t="s">
        <v>49145</v>
      </c>
      <c r="U3510" t="s">
        <v>52551</v>
      </c>
      <c r="W3510" t="s">
        <v>44528</v>
      </c>
      <c r="X3510" t="s">
        <v>47430</v>
      </c>
    </row>
    <row r="3511" spans="1:24">
      <c r="A3511">
        <f>HYPERLINK("https://www.philgeps.gov.ph/GEPSNONPILOT/Tender/SplashBidNoticeAbstractUI.aspx?menuIndex=3&amp;refID=7163714&amp;Result=3","7163714")</f>
        <v>0</v>
      </c>
      <c r="B3511" t="s">
        <v>731</v>
      </c>
      <c r="C3511" t="s">
        <v>7245</v>
      </c>
      <c r="D3511" t="s">
        <v>19086</v>
      </c>
      <c r="E3511" t="s">
        <v>22267</v>
      </c>
      <c r="F3511" t="s">
        <v>32831</v>
      </c>
      <c r="G3511" t="s">
        <v>32838</v>
      </c>
      <c r="H3511" t="s">
        <v>32850</v>
      </c>
      <c r="I3511" t="s">
        <v>7416</v>
      </c>
      <c r="J3511" t="s">
        <v>35287</v>
      </c>
      <c r="K3511" t="s">
        <v>42726</v>
      </c>
      <c r="M3511" t="s">
        <v>43753</v>
      </c>
      <c r="N3511" t="s">
        <v>47424</v>
      </c>
      <c r="O3511" t="s">
        <v>47425</v>
      </c>
      <c r="P3511">
        <v>0</v>
      </c>
      <c r="Q3511">
        <v>0</v>
      </c>
      <c r="R3511" t="s">
        <v>47428</v>
      </c>
      <c r="S3511" t="s">
        <v>47541</v>
      </c>
      <c r="T3511" t="s">
        <v>49214</v>
      </c>
      <c r="U3511" t="s">
        <v>51018</v>
      </c>
      <c r="W3511" t="s">
        <v>43753</v>
      </c>
      <c r="X3511" t="s">
        <v>47430</v>
      </c>
    </row>
    <row r="3512" spans="1:24">
      <c r="A3512">
        <f>HYPERLINK("https://www.philgeps.gov.ph/GEPSNONPILOT/Tender/SplashBidNoticeAbstractUI.aspx?menuIndex=3&amp;refID=7163690&amp;Result=3","7163690")</f>
        <v>0</v>
      </c>
      <c r="B3512" t="s">
        <v>1418</v>
      </c>
      <c r="C3512" t="s">
        <v>7246</v>
      </c>
      <c r="D3512" t="s">
        <v>19034</v>
      </c>
      <c r="E3512" t="s">
        <v>22268</v>
      </c>
      <c r="F3512" t="s">
        <v>32831</v>
      </c>
      <c r="G3512" t="s">
        <v>32838</v>
      </c>
      <c r="H3512" t="s">
        <v>32848</v>
      </c>
      <c r="I3512" t="s">
        <v>4438</v>
      </c>
      <c r="J3512" t="s">
        <v>35288</v>
      </c>
      <c r="K3512" t="s">
        <v>42745</v>
      </c>
      <c r="M3512" t="s">
        <v>44506</v>
      </c>
      <c r="N3512" t="s">
        <v>47424</v>
      </c>
      <c r="O3512" t="s">
        <v>47425</v>
      </c>
      <c r="P3512">
        <v>0</v>
      </c>
      <c r="Q3512">
        <v>0</v>
      </c>
      <c r="R3512" t="s">
        <v>47428</v>
      </c>
      <c r="S3512" t="s">
        <v>47541</v>
      </c>
      <c r="T3512" t="s">
        <v>49150</v>
      </c>
      <c r="U3512" t="s">
        <v>52664</v>
      </c>
      <c r="W3512" t="s">
        <v>44506</v>
      </c>
      <c r="X3512" t="s">
        <v>47430</v>
      </c>
    </row>
    <row r="3513" spans="1:24">
      <c r="A3513">
        <f>HYPERLINK("https://www.philgeps.gov.ph/GEPSNONPILOT/Tender/SplashBidNoticeAbstractUI.aspx?menuIndex=3&amp;refID=7163688&amp;Result=3","7163688")</f>
        <v>0</v>
      </c>
      <c r="B3513" t="s">
        <v>736</v>
      </c>
      <c r="C3513" t="s">
        <v>7247</v>
      </c>
      <c r="D3513" t="s">
        <v>19062</v>
      </c>
      <c r="E3513" t="s">
        <v>22269</v>
      </c>
      <c r="F3513" t="s">
        <v>32831</v>
      </c>
      <c r="G3513" t="s">
        <v>32838</v>
      </c>
      <c r="H3513" t="s">
        <v>32848</v>
      </c>
      <c r="I3513" t="s">
        <v>32877</v>
      </c>
      <c r="J3513" t="s">
        <v>35289</v>
      </c>
      <c r="K3513" t="s">
        <v>42731</v>
      </c>
      <c r="M3513" t="s">
        <v>43758</v>
      </c>
      <c r="N3513" t="s">
        <v>47424</v>
      </c>
      <c r="O3513" t="s">
        <v>47425</v>
      </c>
      <c r="P3513">
        <v>0</v>
      </c>
      <c r="Q3513">
        <v>1</v>
      </c>
      <c r="R3513" t="s">
        <v>47428</v>
      </c>
      <c r="S3513" t="s">
        <v>47541</v>
      </c>
      <c r="T3513" t="s">
        <v>49127</v>
      </c>
      <c r="U3513" t="s">
        <v>52665</v>
      </c>
      <c r="W3513" t="s">
        <v>43758</v>
      </c>
      <c r="X3513" t="s">
        <v>47430</v>
      </c>
    </row>
    <row r="3514" spans="1:24">
      <c r="A3514">
        <f>HYPERLINK("https://www.philgeps.gov.ph/GEPSNONPILOT/Tender/SplashBidNoticeAbstractUI.aspx?menuIndex=3&amp;refID=7163926&amp;Result=3","7163926")</f>
        <v>0</v>
      </c>
      <c r="B3514" t="s">
        <v>1476</v>
      </c>
      <c r="C3514" t="s">
        <v>7248</v>
      </c>
      <c r="D3514" t="s">
        <v>19077</v>
      </c>
      <c r="E3514" t="s">
        <v>22270</v>
      </c>
      <c r="F3514" t="s">
        <v>32831</v>
      </c>
      <c r="G3514" t="s">
        <v>32839</v>
      </c>
      <c r="H3514" t="s">
        <v>32848</v>
      </c>
      <c r="I3514" t="s">
        <v>32864</v>
      </c>
      <c r="J3514" t="s">
        <v>35290</v>
      </c>
      <c r="K3514" t="s">
        <v>42730</v>
      </c>
      <c r="M3514" t="s">
        <v>44569</v>
      </c>
      <c r="N3514" t="s">
        <v>47424</v>
      </c>
      <c r="O3514" t="s">
        <v>47425</v>
      </c>
      <c r="P3514">
        <v>0</v>
      </c>
      <c r="Q3514">
        <v>10</v>
      </c>
      <c r="R3514" t="s">
        <v>47428</v>
      </c>
      <c r="S3514" t="s">
        <v>47541</v>
      </c>
      <c r="T3514" t="s">
        <v>49071</v>
      </c>
      <c r="U3514" t="s">
        <v>52666</v>
      </c>
      <c r="W3514" t="s">
        <v>64473</v>
      </c>
      <c r="X3514" t="s">
        <v>47430</v>
      </c>
    </row>
    <row r="3515" spans="1:24">
      <c r="A3515">
        <f>HYPERLINK("https://www.philgeps.gov.ph/GEPSNONPILOT/Tender/SplashBidNoticeAbstractUI.aspx?menuIndex=3&amp;refID=7163686&amp;Result=3","7163686")</f>
        <v>0</v>
      </c>
      <c r="B3515" t="s">
        <v>1295</v>
      </c>
      <c r="C3515" t="s">
        <v>7249</v>
      </c>
      <c r="D3515" t="s">
        <v>19054</v>
      </c>
      <c r="E3515" t="s">
        <v>22271</v>
      </c>
      <c r="F3515" t="s">
        <v>32831</v>
      </c>
      <c r="G3515" t="s">
        <v>32838</v>
      </c>
      <c r="H3515" t="s">
        <v>32848</v>
      </c>
      <c r="I3515" t="s">
        <v>4776</v>
      </c>
      <c r="J3515" t="s">
        <v>35291</v>
      </c>
      <c r="K3515" t="s">
        <v>42758</v>
      </c>
      <c r="M3515" t="s">
        <v>44365</v>
      </c>
      <c r="N3515" t="s">
        <v>47424</v>
      </c>
      <c r="O3515" t="s">
        <v>47425</v>
      </c>
      <c r="P3515">
        <v>0</v>
      </c>
      <c r="Q3515">
        <v>0</v>
      </c>
      <c r="R3515" t="s">
        <v>47428</v>
      </c>
      <c r="S3515" t="s">
        <v>47541</v>
      </c>
      <c r="T3515" t="s">
        <v>49214</v>
      </c>
      <c r="U3515" t="s">
        <v>52667</v>
      </c>
      <c r="W3515" t="s">
        <v>44365</v>
      </c>
      <c r="X3515" t="s">
        <v>47430</v>
      </c>
    </row>
    <row r="3516" spans="1:24">
      <c r="A3516">
        <f>HYPERLINK("https://www.philgeps.gov.ph/GEPSNONPILOT/Tender/SplashBidNoticeAbstractUI.aspx?menuIndex=3&amp;refID=7163685&amp;Result=3","7163685")</f>
        <v>0</v>
      </c>
      <c r="B3516" t="s">
        <v>1477</v>
      </c>
      <c r="C3516" t="s">
        <v>7250</v>
      </c>
      <c r="D3516" t="s">
        <v>19057</v>
      </c>
      <c r="E3516" t="s">
        <v>22272</v>
      </c>
      <c r="F3516" t="s">
        <v>32831</v>
      </c>
      <c r="G3516" t="s">
        <v>32839</v>
      </c>
      <c r="H3516" t="s">
        <v>32850</v>
      </c>
      <c r="I3516" t="s">
        <v>6526</v>
      </c>
      <c r="J3516" t="s">
        <v>32980</v>
      </c>
      <c r="K3516" t="s">
        <v>42727</v>
      </c>
      <c r="M3516" t="s">
        <v>44570</v>
      </c>
      <c r="N3516" t="s">
        <v>47424</v>
      </c>
      <c r="O3516" t="s">
        <v>47425</v>
      </c>
      <c r="P3516">
        <v>0</v>
      </c>
      <c r="Q3516">
        <v>0</v>
      </c>
      <c r="R3516" t="s">
        <v>47428</v>
      </c>
      <c r="S3516" t="s">
        <v>47541</v>
      </c>
      <c r="T3516" t="s">
        <v>49105</v>
      </c>
      <c r="U3516" t="s">
        <v>52668</v>
      </c>
      <c r="W3516" t="s">
        <v>44570</v>
      </c>
      <c r="X3516" t="s">
        <v>47430</v>
      </c>
    </row>
    <row r="3517" spans="1:24">
      <c r="A3517">
        <f>HYPERLINK("https://www.philgeps.gov.ph/GEPSNONPILOT/Tender/SplashBidNoticeAbstractUI.aspx?menuIndex=3&amp;refID=7163931&amp;Result=3","7163931")</f>
        <v>0</v>
      </c>
      <c r="B3517" t="s">
        <v>908</v>
      </c>
      <c r="C3517" t="s">
        <v>7251</v>
      </c>
      <c r="D3517" t="s">
        <v>19033</v>
      </c>
      <c r="E3517" t="s">
        <v>22273</v>
      </c>
      <c r="F3517" t="s">
        <v>32831</v>
      </c>
      <c r="G3517" t="s">
        <v>32838</v>
      </c>
      <c r="H3517" t="s">
        <v>32848</v>
      </c>
      <c r="I3517" t="s">
        <v>4435</v>
      </c>
      <c r="J3517" t="s">
        <v>35292</v>
      </c>
      <c r="K3517" t="s">
        <v>42730</v>
      </c>
      <c r="M3517" t="s">
        <v>43948</v>
      </c>
      <c r="N3517" t="s">
        <v>47424</v>
      </c>
      <c r="O3517" t="s">
        <v>47425</v>
      </c>
      <c r="P3517">
        <v>0</v>
      </c>
      <c r="Q3517">
        <v>10</v>
      </c>
      <c r="R3517" t="s">
        <v>47428</v>
      </c>
      <c r="S3517" t="s">
        <v>47541</v>
      </c>
      <c r="T3517" t="s">
        <v>49163</v>
      </c>
      <c r="U3517" t="s">
        <v>51365</v>
      </c>
      <c r="W3517" t="s">
        <v>43948</v>
      </c>
      <c r="X3517" t="s">
        <v>47430</v>
      </c>
    </row>
    <row r="3518" spans="1:24">
      <c r="A3518">
        <f>HYPERLINK("https://www.philgeps.gov.ph/GEPSNONPILOT/Tender/SplashBidNoticeAbstractUI.aspx?menuIndex=3&amp;refID=7163682&amp;Result=3","7163682")</f>
        <v>0</v>
      </c>
      <c r="B3518" t="s">
        <v>655</v>
      </c>
      <c r="C3518" t="s">
        <v>7252</v>
      </c>
      <c r="D3518" t="s">
        <v>19036</v>
      </c>
      <c r="E3518" t="s">
        <v>22274</v>
      </c>
      <c r="F3518" t="s">
        <v>32831</v>
      </c>
      <c r="G3518" t="s">
        <v>32839</v>
      </c>
      <c r="H3518" t="s">
        <v>32848</v>
      </c>
      <c r="I3518" t="s">
        <v>32887</v>
      </c>
      <c r="J3518" t="s">
        <v>35293</v>
      </c>
      <c r="K3518" t="s">
        <v>42727</v>
      </c>
      <c r="M3518" t="s">
        <v>43673</v>
      </c>
      <c r="N3518" t="s">
        <v>47424</v>
      </c>
      <c r="O3518" t="s">
        <v>47425</v>
      </c>
      <c r="P3518">
        <v>0</v>
      </c>
      <c r="Q3518">
        <v>0</v>
      </c>
      <c r="R3518" t="s">
        <v>47428</v>
      </c>
      <c r="S3518" t="s">
        <v>47541</v>
      </c>
      <c r="T3518" t="s">
        <v>49073</v>
      </c>
      <c r="U3518" t="s">
        <v>52669</v>
      </c>
      <c r="V3518" t="s">
        <v>63010</v>
      </c>
      <c r="W3518" t="s">
        <v>43673</v>
      </c>
      <c r="X3518" t="s">
        <v>47430</v>
      </c>
    </row>
    <row r="3519" spans="1:24">
      <c r="A3519">
        <f>HYPERLINK("https://www.philgeps.gov.ph/GEPSNONPILOT/Tender/SplashBidNoticeAbstractUI.aspx?menuIndex=3&amp;refID=7163909&amp;Result=3","7163909")</f>
        <v>0</v>
      </c>
      <c r="B3519" t="s">
        <v>1454</v>
      </c>
      <c r="C3519" t="s">
        <v>7253</v>
      </c>
      <c r="D3519" t="s">
        <v>19017</v>
      </c>
      <c r="E3519" t="s">
        <v>22275</v>
      </c>
      <c r="F3519" t="s">
        <v>32831</v>
      </c>
      <c r="G3519" t="s">
        <v>32839</v>
      </c>
      <c r="H3519" t="s">
        <v>32848</v>
      </c>
      <c r="I3519" t="s">
        <v>32937</v>
      </c>
      <c r="J3519" t="s">
        <v>35294</v>
      </c>
      <c r="K3519" t="s">
        <v>42838</v>
      </c>
      <c r="M3519" t="s">
        <v>44546</v>
      </c>
      <c r="N3519" t="s">
        <v>47424</v>
      </c>
      <c r="O3519" t="s">
        <v>47425</v>
      </c>
      <c r="P3519">
        <v>0</v>
      </c>
      <c r="Q3519">
        <v>9</v>
      </c>
      <c r="R3519" t="s">
        <v>47428</v>
      </c>
      <c r="S3519" t="s">
        <v>47541</v>
      </c>
      <c r="T3519" t="s">
        <v>49351</v>
      </c>
      <c r="U3519" t="s">
        <v>52670</v>
      </c>
      <c r="W3519" t="s">
        <v>44546</v>
      </c>
      <c r="X3519" t="s">
        <v>47430</v>
      </c>
    </row>
    <row r="3520" spans="1:24">
      <c r="A3520">
        <f>HYPERLINK("https://www.philgeps.gov.ph/GEPSNONPILOT/Tender/SplashBidNoticeAbstractUI.aspx?menuIndex=3&amp;refID=7163689&amp;Result=3","7163689")</f>
        <v>0</v>
      </c>
      <c r="B3520" t="s">
        <v>928</v>
      </c>
      <c r="C3520" t="s">
        <v>7254</v>
      </c>
      <c r="D3520" t="s">
        <v>19045</v>
      </c>
      <c r="E3520" t="s">
        <v>22276</v>
      </c>
      <c r="F3520" t="s">
        <v>32831</v>
      </c>
      <c r="G3520" t="s">
        <v>32838</v>
      </c>
      <c r="H3520" t="s">
        <v>32850</v>
      </c>
      <c r="I3520" t="s">
        <v>5379</v>
      </c>
      <c r="J3520" t="s">
        <v>33133</v>
      </c>
      <c r="K3520" t="s">
        <v>42748</v>
      </c>
      <c r="M3520" t="s">
        <v>43969</v>
      </c>
      <c r="N3520" t="s">
        <v>47424</v>
      </c>
      <c r="O3520" t="s">
        <v>47425</v>
      </c>
      <c r="P3520">
        <v>0</v>
      </c>
      <c r="Q3520">
        <v>4</v>
      </c>
      <c r="R3520" t="s">
        <v>47428</v>
      </c>
      <c r="S3520" t="s">
        <v>47541</v>
      </c>
      <c r="T3520" t="s">
        <v>49111</v>
      </c>
      <c r="U3520" t="s">
        <v>52671</v>
      </c>
      <c r="W3520" t="s">
        <v>43969</v>
      </c>
      <c r="X3520" t="s">
        <v>47430</v>
      </c>
    </row>
    <row r="3521" spans="1:24">
      <c r="A3521">
        <f>HYPERLINK("https://www.philgeps.gov.ph/GEPSNONPILOT/Tender/SplashBidNoticeAbstractUI.aspx?menuIndex=3&amp;refID=7163618&amp;Result=3","7163618")</f>
        <v>0</v>
      </c>
      <c r="B3521" t="s">
        <v>1478</v>
      </c>
      <c r="C3521" t="s">
        <v>7255</v>
      </c>
      <c r="D3521" t="s">
        <v>19045</v>
      </c>
      <c r="E3521" t="s">
        <v>22277</v>
      </c>
      <c r="F3521" t="s">
        <v>32831</v>
      </c>
      <c r="G3521" t="s">
        <v>32838</v>
      </c>
      <c r="H3521" t="s">
        <v>32848</v>
      </c>
      <c r="I3521" t="s">
        <v>7416</v>
      </c>
      <c r="J3521" t="s">
        <v>33993</v>
      </c>
      <c r="K3521" t="s">
        <v>42726</v>
      </c>
      <c r="M3521" t="s">
        <v>44571</v>
      </c>
      <c r="N3521" t="s">
        <v>47424</v>
      </c>
      <c r="O3521" t="s">
        <v>47425</v>
      </c>
      <c r="P3521">
        <v>0</v>
      </c>
      <c r="Q3521">
        <v>0</v>
      </c>
      <c r="R3521" t="s">
        <v>47428</v>
      </c>
      <c r="S3521" t="s">
        <v>47541</v>
      </c>
      <c r="T3521" t="s">
        <v>49214</v>
      </c>
      <c r="U3521" t="s">
        <v>52672</v>
      </c>
      <c r="W3521" t="s">
        <v>44571</v>
      </c>
      <c r="X3521" t="s">
        <v>47430</v>
      </c>
    </row>
    <row r="3522" spans="1:24">
      <c r="A3522">
        <f>HYPERLINK("https://www.philgeps.gov.ph/GEPSNONPILOT/Tender/SplashBidNoticeAbstractUI.aspx?menuIndex=3&amp;refID=7163617&amp;Result=3","7163617")</f>
        <v>0</v>
      </c>
      <c r="B3522" t="s">
        <v>1419</v>
      </c>
      <c r="C3522" t="s">
        <v>7256</v>
      </c>
      <c r="D3522" t="s">
        <v>19038</v>
      </c>
      <c r="E3522" t="s">
        <v>22278</v>
      </c>
      <c r="F3522" t="s">
        <v>32831</v>
      </c>
      <c r="G3522" t="s">
        <v>32838</v>
      </c>
      <c r="H3522" t="s">
        <v>32848</v>
      </c>
      <c r="I3522" t="s">
        <v>32907</v>
      </c>
      <c r="J3522" t="s">
        <v>35295</v>
      </c>
      <c r="K3522" t="s">
        <v>42727</v>
      </c>
      <c r="M3522" t="s">
        <v>44507</v>
      </c>
      <c r="N3522" t="s">
        <v>47424</v>
      </c>
      <c r="O3522" t="s">
        <v>47425</v>
      </c>
      <c r="P3522">
        <v>0</v>
      </c>
      <c r="Q3522">
        <v>0</v>
      </c>
      <c r="R3522" t="s">
        <v>47428</v>
      </c>
      <c r="S3522" t="s">
        <v>47541</v>
      </c>
      <c r="T3522" t="s">
        <v>49214</v>
      </c>
      <c r="U3522" t="s">
        <v>52673</v>
      </c>
      <c r="W3522" t="s">
        <v>44507</v>
      </c>
      <c r="X3522" t="s">
        <v>47430</v>
      </c>
    </row>
    <row r="3523" spans="1:24">
      <c r="A3523">
        <f>HYPERLINK("https://www.philgeps.gov.ph/GEPSNONPILOT/Tender/SplashBidNoticeAbstractUI.aspx?menuIndex=3&amp;refID=7163616&amp;Result=3","7163616")</f>
        <v>0</v>
      </c>
      <c r="B3523" t="s">
        <v>1479</v>
      </c>
      <c r="C3523" t="s">
        <v>7257</v>
      </c>
      <c r="D3523" t="s">
        <v>19027</v>
      </c>
      <c r="E3523" t="s">
        <v>22279</v>
      </c>
      <c r="F3523" t="s">
        <v>32831</v>
      </c>
      <c r="G3523" t="s">
        <v>32842</v>
      </c>
      <c r="H3523" t="s">
        <v>32848</v>
      </c>
      <c r="I3523" t="s">
        <v>9577</v>
      </c>
      <c r="J3523" t="s">
        <v>35296</v>
      </c>
      <c r="K3523" t="s">
        <v>42727</v>
      </c>
      <c r="M3523" t="s">
        <v>44572</v>
      </c>
      <c r="N3523" t="s">
        <v>47424</v>
      </c>
      <c r="O3523" t="s">
        <v>47425</v>
      </c>
      <c r="P3523">
        <v>0</v>
      </c>
      <c r="Q3523">
        <v>1</v>
      </c>
      <c r="R3523" t="s">
        <v>47428</v>
      </c>
      <c r="S3523" t="s">
        <v>47541</v>
      </c>
      <c r="T3523" t="s">
        <v>49129</v>
      </c>
      <c r="U3523" t="s">
        <v>52674</v>
      </c>
      <c r="W3523" t="s">
        <v>44572</v>
      </c>
      <c r="X3523" t="s">
        <v>47430</v>
      </c>
    </row>
    <row r="3524" spans="1:24">
      <c r="A3524">
        <f>HYPERLINK("https://www.philgeps.gov.ph/GEPSNONPILOT/Tender/SplashBidNoticeAbstractUI.aspx?menuIndex=3&amp;refID=7163615&amp;Result=3","7163615")</f>
        <v>0</v>
      </c>
      <c r="B3524" t="s">
        <v>1383</v>
      </c>
      <c r="C3524" t="s">
        <v>7258</v>
      </c>
      <c r="D3524" t="s">
        <v>19054</v>
      </c>
      <c r="E3524" t="s">
        <v>22280</v>
      </c>
      <c r="F3524" t="s">
        <v>32831</v>
      </c>
      <c r="G3524" t="s">
        <v>32838</v>
      </c>
      <c r="H3524" t="s">
        <v>32848</v>
      </c>
      <c r="I3524" t="s">
        <v>32866</v>
      </c>
      <c r="J3524" t="s">
        <v>35297</v>
      </c>
      <c r="K3524" t="s">
        <v>42727</v>
      </c>
      <c r="L3524" t="s">
        <v>1383</v>
      </c>
      <c r="M3524" t="s">
        <v>44468</v>
      </c>
      <c r="N3524" t="s">
        <v>47424</v>
      </c>
      <c r="O3524" t="s">
        <v>47425</v>
      </c>
      <c r="P3524">
        <v>0</v>
      </c>
      <c r="Q3524">
        <v>0</v>
      </c>
      <c r="R3524" t="s">
        <v>47428</v>
      </c>
      <c r="S3524" t="s">
        <v>47541</v>
      </c>
      <c r="T3524" t="s">
        <v>49270</v>
      </c>
      <c r="U3524" t="s">
        <v>52675</v>
      </c>
      <c r="V3524" t="s">
        <v>62981</v>
      </c>
      <c r="W3524" t="s">
        <v>44468</v>
      </c>
      <c r="X3524" t="s">
        <v>47430</v>
      </c>
    </row>
    <row r="3525" spans="1:24">
      <c r="A3525">
        <f>HYPERLINK("https://www.philgeps.gov.ph/GEPSNONPILOT/Tender/SplashBidNoticeAbstractUI.aspx?menuIndex=3&amp;refID=7163614&amp;Result=3","7163614")</f>
        <v>0</v>
      </c>
      <c r="B3525" t="s">
        <v>1414</v>
      </c>
      <c r="C3525" t="s">
        <v>7259</v>
      </c>
      <c r="D3525" t="s">
        <v>19030</v>
      </c>
      <c r="E3525" t="s">
        <v>22281</v>
      </c>
      <c r="F3525" t="s">
        <v>32831</v>
      </c>
      <c r="G3525" t="s">
        <v>32838</v>
      </c>
      <c r="H3525" t="s">
        <v>32848</v>
      </c>
      <c r="I3525" t="s">
        <v>10805</v>
      </c>
      <c r="J3525" t="s">
        <v>33795</v>
      </c>
      <c r="K3525" t="s">
        <v>42732</v>
      </c>
      <c r="M3525" t="s">
        <v>44502</v>
      </c>
      <c r="N3525" t="s">
        <v>47424</v>
      </c>
      <c r="O3525" t="s">
        <v>47425</v>
      </c>
      <c r="P3525">
        <v>0</v>
      </c>
      <c r="Q3525">
        <v>0</v>
      </c>
      <c r="R3525" t="s">
        <v>47428</v>
      </c>
      <c r="S3525" t="s">
        <v>47541</v>
      </c>
      <c r="T3525" t="s">
        <v>49255</v>
      </c>
      <c r="U3525" t="s">
        <v>52491</v>
      </c>
      <c r="W3525" t="s">
        <v>44502</v>
      </c>
      <c r="X3525" t="s">
        <v>47430</v>
      </c>
    </row>
    <row r="3526" spans="1:24">
      <c r="A3526">
        <f>HYPERLINK("https://www.philgeps.gov.ph/GEPSNONPILOT/Tender/SplashBidNoticeAbstractUI.aspx?menuIndex=3&amp;refID=7163592&amp;Result=3","7163592")</f>
        <v>0</v>
      </c>
      <c r="B3526" t="s">
        <v>1382</v>
      </c>
      <c r="C3526" t="s">
        <v>7260</v>
      </c>
      <c r="D3526" t="s">
        <v>19021</v>
      </c>
      <c r="E3526" t="s">
        <v>22282</v>
      </c>
      <c r="F3526" t="s">
        <v>32831</v>
      </c>
      <c r="G3526" t="s">
        <v>32838</v>
      </c>
      <c r="H3526" t="s">
        <v>32848</v>
      </c>
      <c r="I3526" t="s">
        <v>4776</v>
      </c>
      <c r="J3526" t="s">
        <v>35298</v>
      </c>
      <c r="K3526" t="s">
        <v>42726</v>
      </c>
      <c r="M3526" t="s">
        <v>44466</v>
      </c>
      <c r="N3526" t="s">
        <v>47424</v>
      </c>
      <c r="O3526" t="s">
        <v>47425</v>
      </c>
      <c r="P3526">
        <v>0</v>
      </c>
      <c r="Q3526">
        <v>0</v>
      </c>
      <c r="R3526" t="s">
        <v>47428</v>
      </c>
      <c r="S3526" t="s">
        <v>47541</v>
      </c>
      <c r="T3526" t="s">
        <v>49111</v>
      </c>
      <c r="U3526" t="s">
        <v>52676</v>
      </c>
      <c r="V3526" t="s">
        <v>62980</v>
      </c>
      <c r="W3526" t="s">
        <v>44466</v>
      </c>
      <c r="X3526" t="s">
        <v>47430</v>
      </c>
    </row>
    <row r="3527" spans="1:24">
      <c r="A3527">
        <f>HYPERLINK("https://www.philgeps.gov.ph/GEPSNONPILOT/Tender/SplashBidNoticeAbstractUI.aspx?menuIndex=3&amp;refID=7163588&amp;Result=3","7163588")</f>
        <v>0</v>
      </c>
      <c r="B3527" t="s">
        <v>1093</v>
      </c>
      <c r="C3527" t="s">
        <v>7261</v>
      </c>
      <c r="D3527" t="s">
        <v>19017</v>
      </c>
      <c r="E3527" t="s">
        <v>22283</v>
      </c>
      <c r="F3527" t="s">
        <v>32831</v>
      </c>
      <c r="G3527" t="s">
        <v>32838</v>
      </c>
      <c r="H3527" t="s">
        <v>32848</v>
      </c>
      <c r="I3527" t="s">
        <v>6526</v>
      </c>
      <c r="J3527" t="s">
        <v>33077</v>
      </c>
      <c r="K3527" t="s">
        <v>42732</v>
      </c>
      <c r="M3527" t="s">
        <v>44573</v>
      </c>
      <c r="N3527" t="s">
        <v>47424</v>
      </c>
      <c r="O3527" t="s">
        <v>47425</v>
      </c>
      <c r="P3527">
        <v>0</v>
      </c>
      <c r="Q3527">
        <v>2</v>
      </c>
      <c r="R3527" t="s">
        <v>47428</v>
      </c>
      <c r="S3527" t="s">
        <v>47541</v>
      </c>
      <c r="T3527" t="s">
        <v>49120</v>
      </c>
      <c r="U3527" t="s">
        <v>52677</v>
      </c>
      <c r="W3527" t="s">
        <v>44573</v>
      </c>
      <c r="X3527" t="s">
        <v>47430</v>
      </c>
    </row>
    <row r="3528" spans="1:24">
      <c r="A3528">
        <f>HYPERLINK("https://www.philgeps.gov.ph/GEPSNONPILOT/Tender/SplashBidNoticeAbstractUI.aspx?menuIndex=3&amp;refID=7163933&amp;Result=3","7163933")</f>
        <v>0</v>
      </c>
      <c r="B3528" t="s">
        <v>711</v>
      </c>
      <c r="C3528" t="s">
        <v>6723</v>
      </c>
      <c r="D3528" t="s">
        <v>19060</v>
      </c>
      <c r="E3528" t="s">
        <v>22284</v>
      </c>
      <c r="F3528" t="s">
        <v>32831</v>
      </c>
      <c r="G3528" t="s">
        <v>32838</v>
      </c>
      <c r="H3528" t="s">
        <v>32848</v>
      </c>
      <c r="I3528" t="s">
        <v>32870</v>
      </c>
      <c r="J3528" t="s">
        <v>33041</v>
      </c>
      <c r="K3528" t="s">
        <v>42730</v>
      </c>
      <c r="M3528" t="s">
        <v>43731</v>
      </c>
      <c r="N3528" t="s">
        <v>47424</v>
      </c>
      <c r="O3528" t="s">
        <v>47425</v>
      </c>
      <c r="P3528">
        <v>0</v>
      </c>
      <c r="Q3528">
        <v>0</v>
      </c>
      <c r="R3528" t="s">
        <v>47428</v>
      </c>
      <c r="S3528" t="s">
        <v>47541</v>
      </c>
      <c r="T3528" t="s">
        <v>49111</v>
      </c>
      <c r="U3528" t="s">
        <v>52678</v>
      </c>
      <c r="W3528" t="s">
        <v>43731</v>
      </c>
      <c r="X3528" t="s">
        <v>47430</v>
      </c>
    </row>
    <row r="3529" spans="1:24">
      <c r="A3529">
        <f>HYPERLINK("https://www.philgeps.gov.ph/GEPSNONPILOT/Tender/SplashBidNoticeAbstractUI.aspx?menuIndex=3&amp;refID=7163587&amp;Result=3","7163587")</f>
        <v>0</v>
      </c>
      <c r="B3529" t="s">
        <v>1391</v>
      </c>
      <c r="C3529" t="s">
        <v>7262</v>
      </c>
      <c r="D3529" t="s">
        <v>19080</v>
      </c>
      <c r="E3529" t="s">
        <v>22285</v>
      </c>
      <c r="F3529" t="s">
        <v>32831</v>
      </c>
      <c r="G3529" t="s">
        <v>32839</v>
      </c>
      <c r="H3529" t="s">
        <v>32850</v>
      </c>
      <c r="I3529" t="s">
        <v>32919</v>
      </c>
      <c r="J3529" t="s">
        <v>35299</v>
      </c>
      <c r="K3529" t="s">
        <v>42747</v>
      </c>
      <c r="M3529" t="s">
        <v>44476</v>
      </c>
      <c r="N3529" t="s">
        <v>47424</v>
      </c>
      <c r="O3529" t="s">
        <v>47425</v>
      </c>
      <c r="P3529">
        <v>0</v>
      </c>
      <c r="Q3529">
        <v>0</v>
      </c>
      <c r="R3529" t="s">
        <v>47428</v>
      </c>
      <c r="S3529" t="s">
        <v>47541</v>
      </c>
      <c r="T3529" t="s">
        <v>49073</v>
      </c>
      <c r="U3529" t="s">
        <v>52679</v>
      </c>
      <c r="W3529" t="s">
        <v>44476</v>
      </c>
      <c r="X3529" t="s">
        <v>47430</v>
      </c>
    </row>
    <row r="3530" spans="1:24">
      <c r="A3530">
        <f>HYPERLINK("https://www.philgeps.gov.ph/GEPSNONPILOT/Tender/SplashBidNoticeAbstractUI.aspx?menuIndex=3&amp;refID=7163583&amp;Result=3","7163583")</f>
        <v>0</v>
      </c>
      <c r="B3530" t="s">
        <v>1480</v>
      </c>
      <c r="C3530" t="s">
        <v>7263</v>
      </c>
      <c r="D3530" t="s">
        <v>19023</v>
      </c>
      <c r="E3530" t="s">
        <v>22286</v>
      </c>
      <c r="F3530" t="s">
        <v>32831</v>
      </c>
      <c r="G3530" t="s">
        <v>32838</v>
      </c>
      <c r="H3530" t="s">
        <v>32848</v>
      </c>
      <c r="I3530" t="s">
        <v>32862</v>
      </c>
      <c r="J3530" t="s">
        <v>35300</v>
      </c>
      <c r="K3530" t="s">
        <v>42730</v>
      </c>
      <c r="M3530" t="s">
        <v>44574</v>
      </c>
      <c r="N3530" t="s">
        <v>47424</v>
      </c>
      <c r="O3530" t="s">
        <v>47425</v>
      </c>
      <c r="P3530">
        <v>0</v>
      </c>
      <c r="Q3530">
        <v>0</v>
      </c>
      <c r="R3530" t="s">
        <v>47428</v>
      </c>
      <c r="S3530" t="s">
        <v>47541</v>
      </c>
      <c r="T3530" t="s">
        <v>49064</v>
      </c>
      <c r="U3530" t="s">
        <v>52680</v>
      </c>
      <c r="W3530" t="s">
        <v>44574</v>
      </c>
      <c r="X3530" t="s">
        <v>47430</v>
      </c>
    </row>
    <row r="3531" spans="1:24">
      <c r="A3531">
        <f>HYPERLINK("https://www.philgeps.gov.ph/GEPSNONPILOT/Tender/SplashBidNoticeAbstractUI.aspx?menuIndex=3&amp;refID=7163684&amp;Result=3","7163684")</f>
        <v>0</v>
      </c>
      <c r="B3531" t="s">
        <v>703</v>
      </c>
      <c r="C3531" t="s">
        <v>7264</v>
      </c>
      <c r="D3531" t="s">
        <v>19077</v>
      </c>
      <c r="E3531" t="s">
        <v>22287</v>
      </c>
      <c r="F3531" t="s">
        <v>32831</v>
      </c>
      <c r="G3531" t="s">
        <v>32839</v>
      </c>
      <c r="H3531" t="s">
        <v>32848</v>
      </c>
      <c r="I3531" t="s">
        <v>32925</v>
      </c>
      <c r="J3531" t="s">
        <v>35301</v>
      </c>
      <c r="K3531" t="s">
        <v>42763</v>
      </c>
      <c r="M3531" t="s">
        <v>44449</v>
      </c>
      <c r="N3531" t="s">
        <v>47424</v>
      </c>
      <c r="O3531" t="s">
        <v>47425</v>
      </c>
      <c r="P3531">
        <v>0</v>
      </c>
      <c r="Q3531">
        <v>3</v>
      </c>
      <c r="R3531" t="s">
        <v>47428</v>
      </c>
      <c r="S3531" t="s">
        <v>47541</v>
      </c>
      <c r="T3531" t="s">
        <v>49189</v>
      </c>
      <c r="U3531" t="s">
        <v>52371</v>
      </c>
      <c r="W3531" t="s">
        <v>44449</v>
      </c>
      <c r="X3531" t="s">
        <v>47430</v>
      </c>
    </row>
    <row r="3532" spans="1:24">
      <c r="A3532">
        <f>HYPERLINK("https://www.philgeps.gov.ph/GEPSNONPILOT/Tender/SplashBidNoticeAbstractUI.aspx?menuIndex=3&amp;refID=7163582&amp;Result=3","7163582")</f>
        <v>0</v>
      </c>
      <c r="B3532" t="s">
        <v>950</v>
      </c>
      <c r="C3532" t="s">
        <v>7265</v>
      </c>
      <c r="D3532" t="s">
        <v>19100</v>
      </c>
      <c r="E3532" t="s">
        <v>22288</v>
      </c>
      <c r="F3532" t="s">
        <v>32831</v>
      </c>
      <c r="G3532" t="s">
        <v>32838</v>
      </c>
      <c r="H3532" t="s">
        <v>32848</v>
      </c>
      <c r="I3532" t="s">
        <v>32870</v>
      </c>
      <c r="J3532" t="s">
        <v>35302</v>
      </c>
      <c r="K3532" t="s">
        <v>42748</v>
      </c>
      <c r="M3532" t="s">
        <v>43996</v>
      </c>
      <c r="N3532" t="s">
        <v>47424</v>
      </c>
      <c r="O3532" t="s">
        <v>47425</v>
      </c>
      <c r="P3532">
        <v>0</v>
      </c>
      <c r="Q3532">
        <v>0</v>
      </c>
      <c r="R3532" t="s">
        <v>47428</v>
      </c>
      <c r="S3532" t="s">
        <v>47541</v>
      </c>
      <c r="T3532" t="s">
        <v>49162</v>
      </c>
      <c r="U3532" t="s">
        <v>52681</v>
      </c>
      <c r="W3532" t="s">
        <v>43996</v>
      </c>
      <c r="X3532" t="s">
        <v>47430</v>
      </c>
    </row>
    <row r="3533" spans="1:24">
      <c r="A3533">
        <f>HYPERLINK("https://www.philgeps.gov.ph/GEPSNONPILOT/Tender/SplashBidNoticeAbstractUI.aspx?menuIndex=3&amp;refID=7163591&amp;Result=3","7163591")</f>
        <v>0</v>
      </c>
      <c r="B3533" t="s">
        <v>703</v>
      </c>
      <c r="C3533" t="s">
        <v>7266</v>
      </c>
      <c r="D3533" t="s">
        <v>19077</v>
      </c>
      <c r="E3533" t="s">
        <v>22289</v>
      </c>
      <c r="F3533" t="s">
        <v>32831</v>
      </c>
      <c r="G3533" t="s">
        <v>32839</v>
      </c>
      <c r="H3533" t="s">
        <v>32848</v>
      </c>
      <c r="I3533" t="s">
        <v>32925</v>
      </c>
      <c r="J3533" t="s">
        <v>35303</v>
      </c>
      <c r="K3533" t="s">
        <v>42763</v>
      </c>
      <c r="M3533" t="s">
        <v>43722</v>
      </c>
      <c r="N3533" t="s">
        <v>47424</v>
      </c>
      <c r="O3533" t="s">
        <v>47425</v>
      </c>
      <c r="P3533">
        <v>0</v>
      </c>
      <c r="Q3533">
        <v>4</v>
      </c>
      <c r="R3533" t="s">
        <v>47428</v>
      </c>
      <c r="S3533" t="s">
        <v>47541</v>
      </c>
      <c r="T3533" t="s">
        <v>49189</v>
      </c>
      <c r="U3533" t="s">
        <v>50983</v>
      </c>
      <c r="W3533" t="s">
        <v>43722</v>
      </c>
      <c r="X3533" t="s">
        <v>47430</v>
      </c>
    </row>
    <row r="3534" spans="1:24">
      <c r="A3534">
        <f>HYPERLINK("https://www.philgeps.gov.ph/GEPSNONPILOT/Tender/SplashBidNoticeAbstractUI.aspx?menuIndex=3&amp;refID=7163561&amp;Result=3","7163561")</f>
        <v>0</v>
      </c>
      <c r="B3534" t="s">
        <v>1277</v>
      </c>
      <c r="C3534" t="s">
        <v>7267</v>
      </c>
      <c r="D3534" t="s">
        <v>19067</v>
      </c>
      <c r="E3534" t="s">
        <v>22290</v>
      </c>
      <c r="F3534" t="s">
        <v>32831</v>
      </c>
      <c r="G3534" t="s">
        <v>32839</v>
      </c>
      <c r="H3534" t="s">
        <v>32849</v>
      </c>
      <c r="I3534" t="s">
        <v>4177</v>
      </c>
      <c r="J3534" t="s">
        <v>35304</v>
      </c>
      <c r="K3534" t="s">
        <v>42839</v>
      </c>
      <c r="M3534" t="s">
        <v>44347</v>
      </c>
      <c r="N3534" t="s">
        <v>47424</v>
      </c>
      <c r="O3534" t="s">
        <v>47425</v>
      </c>
      <c r="P3534">
        <v>0</v>
      </c>
      <c r="Q3534">
        <v>0</v>
      </c>
      <c r="R3534" t="s">
        <v>47428</v>
      </c>
      <c r="S3534" t="s">
        <v>47541</v>
      </c>
      <c r="T3534" t="s">
        <v>49078</v>
      </c>
      <c r="U3534" t="s">
        <v>52682</v>
      </c>
      <c r="W3534" t="s">
        <v>44347</v>
      </c>
      <c r="X3534" t="s">
        <v>47430</v>
      </c>
    </row>
    <row r="3535" spans="1:24">
      <c r="A3535">
        <f>HYPERLINK("https://www.philgeps.gov.ph/GEPSNONPILOT/Tender/SplashBidNoticeAbstractUI.aspx?menuIndex=3&amp;refID=7163953&amp;Result=3","7163953")</f>
        <v>0</v>
      </c>
      <c r="B3535" t="s">
        <v>1463</v>
      </c>
      <c r="C3535" t="s">
        <v>7268</v>
      </c>
      <c r="D3535" t="s">
        <v>19066</v>
      </c>
      <c r="E3535" t="s">
        <v>22291</v>
      </c>
      <c r="F3535" t="s">
        <v>32831</v>
      </c>
      <c r="G3535" t="s">
        <v>32839</v>
      </c>
      <c r="H3535" t="s">
        <v>32848</v>
      </c>
      <c r="I3535" t="s">
        <v>4776</v>
      </c>
      <c r="J3535" t="s">
        <v>35305</v>
      </c>
      <c r="K3535" t="s">
        <v>42732</v>
      </c>
      <c r="M3535" t="s">
        <v>44555</v>
      </c>
      <c r="N3535" t="s">
        <v>47424</v>
      </c>
      <c r="O3535" t="s">
        <v>47425</v>
      </c>
      <c r="P3535">
        <v>0</v>
      </c>
      <c r="Q3535">
        <v>10</v>
      </c>
      <c r="R3535" t="s">
        <v>47428</v>
      </c>
      <c r="S3535" t="s">
        <v>47541</v>
      </c>
      <c r="T3535" t="s">
        <v>49102</v>
      </c>
      <c r="U3535" t="s">
        <v>52683</v>
      </c>
      <c r="W3535" t="s">
        <v>44555</v>
      </c>
      <c r="X3535" t="s">
        <v>47430</v>
      </c>
    </row>
    <row r="3536" spans="1:24">
      <c r="A3536">
        <f>HYPERLINK("https://www.philgeps.gov.ph/GEPSNONPILOT/Tender/SplashBidNoticeAbstractUI.aspx?menuIndex=3&amp;refID=7163584&amp;Result=3","7163584")</f>
        <v>0</v>
      </c>
      <c r="B3536" t="s">
        <v>1410</v>
      </c>
      <c r="C3536" t="s">
        <v>7269</v>
      </c>
      <c r="D3536" t="s">
        <v>19056</v>
      </c>
      <c r="E3536" t="s">
        <v>22292</v>
      </c>
      <c r="F3536" t="s">
        <v>32831</v>
      </c>
      <c r="G3536" t="s">
        <v>32839</v>
      </c>
      <c r="H3536" t="s">
        <v>32848</v>
      </c>
      <c r="I3536" t="s">
        <v>32869</v>
      </c>
      <c r="J3536" t="s">
        <v>35306</v>
      </c>
      <c r="K3536" t="s">
        <v>42726</v>
      </c>
      <c r="M3536" t="s">
        <v>44497</v>
      </c>
      <c r="N3536" t="s">
        <v>47424</v>
      </c>
      <c r="O3536" t="s">
        <v>47425</v>
      </c>
      <c r="P3536">
        <v>0</v>
      </c>
      <c r="Q3536">
        <v>1</v>
      </c>
      <c r="R3536" t="s">
        <v>47428</v>
      </c>
      <c r="S3536" t="s">
        <v>47541</v>
      </c>
      <c r="T3536" t="s">
        <v>49179</v>
      </c>
      <c r="U3536" t="s">
        <v>52684</v>
      </c>
      <c r="W3536" t="s">
        <v>44497</v>
      </c>
      <c r="X3536" t="s">
        <v>47430</v>
      </c>
    </row>
    <row r="3537" spans="1:24">
      <c r="A3537">
        <f>HYPERLINK("https://www.philgeps.gov.ph/GEPSNONPILOT/Tender/SplashBidNoticeAbstractUI.aspx?menuIndex=3&amp;refID=7163648&amp;Result=3","7163648")</f>
        <v>0</v>
      </c>
      <c r="B3537" t="s">
        <v>674</v>
      </c>
      <c r="C3537" t="s">
        <v>7270</v>
      </c>
      <c r="D3537" t="s">
        <v>19058</v>
      </c>
      <c r="E3537" t="s">
        <v>22293</v>
      </c>
      <c r="F3537" t="s">
        <v>32831</v>
      </c>
      <c r="G3537" t="s">
        <v>32840</v>
      </c>
      <c r="H3537" t="s">
        <v>32848</v>
      </c>
      <c r="I3537" t="s">
        <v>7416</v>
      </c>
      <c r="J3537" t="s">
        <v>35307</v>
      </c>
      <c r="K3537" t="s">
        <v>42732</v>
      </c>
      <c r="M3537" t="s">
        <v>43693</v>
      </c>
      <c r="N3537" t="s">
        <v>47424</v>
      </c>
      <c r="O3537" t="s">
        <v>47425</v>
      </c>
      <c r="P3537">
        <v>0</v>
      </c>
      <c r="Q3537">
        <v>0</v>
      </c>
      <c r="R3537" t="s">
        <v>47428</v>
      </c>
      <c r="S3537" t="s">
        <v>47541</v>
      </c>
      <c r="T3537" t="s">
        <v>49237</v>
      </c>
      <c r="U3537" t="s">
        <v>52504</v>
      </c>
      <c r="W3537" t="s">
        <v>43693</v>
      </c>
      <c r="X3537" t="s">
        <v>47430</v>
      </c>
    </row>
    <row r="3538" spans="1:24">
      <c r="A3538">
        <f>HYPERLINK("https://www.philgeps.gov.ph/GEPSNONPILOT/Tender/SplashBidNoticeAbstractUI.aspx?menuIndex=3&amp;refID=7163562&amp;Result=3","7163562")</f>
        <v>0</v>
      </c>
      <c r="B3538" t="s">
        <v>1481</v>
      </c>
      <c r="C3538" t="s">
        <v>7271</v>
      </c>
      <c r="D3538" t="s">
        <v>19019</v>
      </c>
      <c r="E3538" t="s">
        <v>22294</v>
      </c>
      <c r="F3538" t="s">
        <v>32831</v>
      </c>
      <c r="G3538" t="s">
        <v>32840</v>
      </c>
      <c r="H3538" t="s">
        <v>32848</v>
      </c>
      <c r="I3538" t="s">
        <v>32857</v>
      </c>
      <c r="J3538" t="s">
        <v>35308</v>
      </c>
      <c r="K3538" t="s">
        <v>42726</v>
      </c>
      <c r="M3538" t="s">
        <v>44575</v>
      </c>
      <c r="N3538" t="s">
        <v>47424</v>
      </c>
      <c r="O3538" t="s">
        <v>47425</v>
      </c>
      <c r="P3538">
        <v>0</v>
      </c>
      <c r="Q3538">
        <v>16</v>
      </c>
      <c r="R3538" t="s">
        <v>47428</v>
      </c>
      <c r="S3538" t="s">
        <v>47541</v>
      </c>
      <c r="T3538" t="s">
        <v>49100</v>
      </c>
      <c r="U3538" t="s">
        <v>52685</v>
      </c>
      <c r="W3538" t="s">
        <v>44575</v>
      </c>
      <c r="X3538" t="s">
        <v>47430</v>
      </c>
    </row>
    <row r="3539" spans="1:24">
      <c r="A3539">
        <f>HYPERLINK("https://www.philgeps.gov.ph/GEPSNONPILOT/Tender/SplashBidNoticeAbstractUI.aspx?menuIndex=3&amp;refID=7163997&amp;Result=3","7163997")</f>
        <v>0</v>
      </c>
      <c r="B3539" t="s">
        <v>1464</v>
      </c>
      <c r="C3539" t="s">
        <v>7272</v>
      </c>
      <c r="D3539" t="s">
        <v>19050</v>
      </c>
      <c r="E3539" t="s">
        <v>22295</v>
      </c>
      <c r="F3539" t="s">
        <v>32831</v>
      </c>
      <c r="G3539" t="s">
        <v>32838</v>
      </c>
      <c r="H3539" t="s">
        <v>32848</v>
      </c>
      <c r="I3539" t="s">
        <v>32861</v>
      </c>
      <c r="J3539" t="s">
        <v>35309</v>
      </c>
      <c r="K3539" t="s">
        <v>42726</v>
      </c>
      <c r="M3539" t="s">
        <v>44556</v>
      </c>
      <c r="N3539" t="s">
        <v>47424</v>
      </c>
      <c r="O3539" t="s">
        <v>47425</v>
      </c>
      <c r="P3539">
        <v>0</v>
      </c>
      <c r="Q3539">
        <v>3</v>
      </c>
      <c r="R3539" t="s">
        <v>47428</v>
      </c>
      <c r="S3539" t="s">
        <v>47541</v>
      </c>
      <c r="T3539" t="s">
        <v>49129</v>
      </c>
      <c r="U3539" t="s">
        <v>52620</v>
      </c>
      <c r="W3539" t="s">
        <v>44556</v>
      </c>
      <c r="X3539" t="s">
        <v>47430</v>
      </c>
    </row>
    <row r="3540" spans="1:24">
      <c r="A3540">
        <f>HYPERLINK("https://www.philgeps.gov.ph/GEPSNONPILOT/Tender/SplashBidNoticeAbstractUI.aspx?menuIndex=3&amp;refID=7163995&amp;Result=3","7163995")</f>
        <v>0</v>
      </c>
      <c r="B3540" t="s">
        <v>1482</v>
      </c>
      <c r="C3540" t="s">
        <v>7273</v>
      </c>
      <c r="D3540" t="s">
        <v>19018</v>
      </c>
      <c r="E3540" t="s">
        <v>22296</v>
      </c>
      <c r="F3540" t="s">
        <v>32831</v>
      </c>
      <c r="G3540" t="s">
        <v>32838</v>
      </c>
      <c r="H3540" t="s">
        <v>32848</v>
      </c>
      <c r="I3540" t="s">
        <v>32857</v>
      </c>
      <c r="J3540" t="s">
        <v>33072</v>
      </c>
      <c r="K3540" t="s">
        <v>42731</v>
      </c>
      <c r="M3540" t="s">
        <v>44576</v>
      </c>
      <c r="N3540" t="s">
        <v>47424</v>
      </c>
      <c r="O3540" t="s">
        <v>47425</v>
      </c>
      <c r="P3540">
        <v>0</v>
      </c>
      <c r="Q3540">
        <v>4</v>
      </c>
      <c r="R3540" t="s">
        <v>47428</v>
      </c>
      <c r="S3540" t="s">
        <v>47541</v>
      </c>
      <c r="T3540" t="s">
        <v>49214</v>
      </c>
      <c r="U3540" t="s">
        <v>52686</v>
      </c>
      <c r="V3540" t="s">
        <v>63011</v>
      </c>
      <c r="W3540" t="s">
        <v>44576</v>
      </c>
      <c r="X3540" t="s">
        <v>47430</v>
      </c>
    </row>
    <row r="3541" spans="1:24">
      <c r="A3541">
        <f>HYPERLINK("https://www.philgeps.gov.ph/GEPSNONPILOT/Tender/SplashBidNoticeAbstractUI.aspx?menuIndex=3&amp;refID=7163992&amp;Result=3","7163992")</f>
        <v>0</v>
      </c>
      <c r="B3541" t="s">
        <v>1273</v>
      </c>
      <c r="C3541" t="s">
        <v>7274</v>
      </c>
      <c r="D3541" t="s">
        <v>19022</v>
      </c>
      <c r="E3541" t="s">
        <v>20584</v>
      </c>
      <c r="F3541" t="s">
        <v>32831</v>
      </c>
      <c r="G3541" t="s">
        <v>32838</v>
      </c>
      <c r="H3541" t="s">
        <v>32849</v>
      </c>
      <c r="I3541" t="s">
        <v>32858</v>
      </c>
      <c r="J3541" t="s">
        <v>35310</v>
      </c>
      <c r="K3541" t="s">
        <v>42726</v>
      </c>
      <c r="M3541" t="s">
        <v>44343</v>
      </c>
      <c r="N3541" t="s">
        <v>47424</v>
      </c>
      <c r="O3541" t="s">
        <v>47425</v>
      </c>
      <c r="P3541">
        <v>0</v>
      </c>
      <c r="Q3541">
        <v>1</v>
      </c>
      <c r="R3541" t="s">
        <v>47428</v>
      </c>
      <c r="S3541" t="s">
        <v>47541</v>
      </c>
      <c r="T3541" t="s">
        <v>49350</v>
      </c>
      <c r="U3541" t="s">
        <v>52687</v>
      </c>
      <c r="V3541" t="s">
        <v>62946</v>
      </c>
      <c r="W3541" t="s">
        <v>44343</v>
      </c>
      <c r="X3541" t="s">
        <v>47430</v>
      </c>
    </row>
    <row r="3542" spans="1:24">
      <c r="A3542">
        <f>HYPERLINK("https://www.philgeps.gov.ph/GEPSNONPILOT/Tender/SplashBidNoticeAbstractUI.aspx?menuIndex=3&amp;refID=7163990&amp;Result=3","7163990")</f>
        <v>0</v>
      </c>
      <c r="B3542" t="s">
        <v>1483</v>
      </c>
      <c r="C3542" t="s">
        <v>7275</v>
      </c>
      <c r="D3542" t="s">
        <v>19048</v>
      </c>
      <c r="E3542" t="s">
        <v>22297</v>
      </c>
      <c r="F3542" t="s">
        <v>32831</v>
      </c>
      <c r="G3542" t="s">
        <v>32838</v>
      </c>
      <c r="H3542" t="s">
        <v>32848</v>
      </c>
      <c r="I3542" t="s">
        <v>4487</v>
      </c>
      <c r="J3542" t="s">
        <v>33162</v>
      </c>
      <c r="K3542" t="s">
        <v>42727</v>
      </c>
      <c r="M3542" t="s">
        <v>44577</v>
      </c>
      <c r="N3542" t="s">
        <v>47424</v>
      </c>
      <c r="O3542" t="s">
        <v>47425</v>
      </c>
      <c r="P3542">
        <v>0</v>
      </c>
      <c r="Q3542">
        <v>2</v>
      </c>
      <c r="R3542" t="s">
        <v>47428</v>
      </c>
      <c r="S3542" t="s">
        <v>47541</v>
      </c>
      <c r="T3542" t="s">
        <v>49205</v>
      </c>
      <c r="U3542" t="s">
        <v>52688</v>
      </c>
      <c r="V3542" t="s">
        <v>63012</v>
      </c>
      <c r="W3542" t="s">
        <v>44577</v>
      </c>
      <c r="X3542" t="s">
        <v>47430</v>
      </c>
    </row>
    <row r="3543" spans="1:24">
      <c r="A3543">
        <f>HYPERLINK("https://www.philgeps.gov.ph/GEPSNONPILOT/Tender/SplashBidNoticeAbstractUI.aspx?menuIndex=3&amp;refID=7163988&amp;Result=3","7163988")</f>
        <v>0</v>
      </c>
      <c r="B3543" t="s">
        <v>1484</v>
      </c>
      <c r="C3543" t="s">
        <v>7276</v>
      </c>
      <c r="D3543" t="s">
        <v>19031</v>
      </c>
      <c r="E3543" t="s">
        <v>22298</v>
      </c>
      <c r="F3543" t="s">
        <v>32831</v>
      </c>
      <c r="G3543" t="s">
        <v>32839</v>
      </c>
      <c r="H3543" t="s">
        <v>32848</v>
      </c>
      <c r="I3543" t="s">
        <v>7416</v>
      </c>
      <c r="J3543" t="s">
        <v>35311</v>
      </c>
      <c r="K3543" t="s">
        <v>42727</v>
      </c>
      <c r="M3543" t="s">
        <v>44578</v>
      </c>
      <c r="N3543" t="s">
        <v>47424</v>
      </c>
      <c r="O3543" t="s">
        <v>47425</v>
      </c>
      <c r="P3543">
        <v>0</v>
      </c>
      <c r="Q3543">
        <v>0</v>
      </c>
      <c r="R3543" t="s">
        <v>47428</v>
      </c>
      <c r="S3543" t="s">
        <v>47541</v>
      </c>
      <c r="T3543" t="s">
        <v>49080</v>
      </c>
      <c r="U3543" t="s">
        <v>50272</v>
      </c>
      <c r="W3543" t="s">
        <v>44578</v>
      </c>
      <c r="X3543" t="s">
        <v>47430</v>
      </c>
    </row>
    <row r="3544" spans="1:24">
      <c r="A3544">
        <f>HYPERLINK("https://www.philgeps.gov.ph/GEPSNONPILOT/Tender/SplashBidNoticeAbstractUI.aspx?menuIndex=3&amp;refID=7163978&amp;Result=3","7163978")</f>
        <v>0</v>
      </c>
      <c r="B3544" t="s">
        <v>1485</v>
      </c>
      <c r="C3544" t="s">
        <v>4859</v>
      </c>
      <c r="D3544" t="s">
        <v>19044</v>
      </c>
      <c r="E3544" t="s">
        <v>22299</v>
      </c>
      <c r="F3544" t="s">
        <v>32831</v>
      </c>
      <c r="G3544" t="s">
        <v>32838</v>
      </c>
      <c r="H3544" t="s">
        <v>32848</v>
      </c>
      <c r="I3544" t="s">
        <v>9577</v>
      </c>
      <c r="J3544" t="s">
        <v>35312</v>
      </c>
      <c r="K3544" t="s">
        <v>42726</v>
      </c>
      <c r="M3544" t="s">
        <v>44579</v>
      </c>
      <c r="N3544" t="s">
        <v>47424</v>
      </c>
      <c r="O3544" t="s">
        <v>47425</v>
      </c>
      <c r="P3544">
        <v>0</v>
      </c>
      <c r="Q3544">
        <v>3</v>
      </c>
      <c r="R3544" t="s">
        <v>47428</v>
      </c>
      <c r="S3544" t="s">
        <v>47541</v>
      </c>
      <c r="T3544" t="s">
        <v>49129</v>
      </c>
      <c r="U3544" t="s">
        <v>52689</v>
      </c>
      <c r="W3544" t="s">
        <v>44579</v>
      </c>
      <c r="X3544" t="s">
        <v>47430</v>
      </c>
    </row>
    <row r="3545" spans="1:24">
      <c r="A3545">
        <f>HYPERLINK("https://www.philgeps.gov.ph/GEPSNONPILOT/Tender/SplashBidNoticeAbstractUI.aspx?menuIndex=3&amp;refID=7163998&amp;Result=3","7163998")</f>
        <v>0</v>
      </c>
      <c r="B3545" t="s">
        <v>1486</v>
      </c>
      <c r="C3545" t="s">
        <v>7277</v>
      </c>
      <c r="D3545" t="s">
        <v>19047</v>
      </c>
      <c r="E3545" t="s">
        <v>22300</v>
      </c>
      <c r="F3545" t="s">
        <v>32831</v>
      </c>
      <c r="G3545" t="s">
        <v>32838</v>
      </c>
      <c r="H3545" t="s">
        <v>32848</v>
      </c>
      <c r="I3545" t="s">
        <v>10643</v>
      </c>
      <c r="J3545" t="s">
        <v>35313</v>
      </c>
      <c r="K3545" t="s">
        <v>42745</v>
      </c>
      <c r="M3545" t="s">
        <v>44580</v>
      </c>
      <c r="N3545" t="s">
        <v>47424</v>
      </c>
      <c r="O3545" t="s">
        <v>47425</v>
      </c>
      <c r="P3545">
        <v>0</v>
      </c>
      <c r="Q3545">
        <v>3</v>
      </c>
      <c r="R3545" t="s">
        <v>47428</v>
      </c>
      <c r="S3545" t="s">
        <v>47541</v>
      </c>
      <c r="T3545" t="s">
        <v>49123</v>
      </c>
      <c r="U3545" t="s">
        <v>52690</v>
      </c>
      <c r="W3545" t="s">
        <v>44580</v>
      </c>
      <c r="X3545" t="s">
        <v>47430</v>
      </c>
    </row>
    <row r="3546" spans="1:24">
      <c r="A3546">
        <f>HYPERLINK("https://www.philgeps.gov.ph/GEPSNONPILOT/Tender/SplashBidNoticeAbstractUI.aspx?menuIndex=3&amp;refID=7164003&amp;Result=3","7164003")</f>
        <v>0</v>
      </c>
      <c r="B3546" t="s">
        <v>1487</v>
      </c>
      <c r="C3546" t="s">
        <v>7278</v>
      </c>
      <c r="D3546" t="s">
        <v>19047</v>
      </c>
      <c r="E3546" t="s">
        <v>22301</v>
      </c>
      <c r="F3546" t="s">
        <v>32831</v>
      </c>
      <c r="G3546" t="s">
        <v>32838</v>
      </c>
      <c r="H3546" t="s">
        <v>32848</v>
      </c>
      <c r="I3546" t="s">
        <v>4487</v>
      </c>
      <c r="J3546" t="s">
        <v>35314</v>
      </c>
      <c r="K3546" t="s">
        <v>42758</v>
      </c>
      <c r="M3546" t="s">
        <v>44581</v>
      </c>
      <c r="N3546" t="s">
        <v>47424</v>
      </c>
      <c r="O3546" t="s">
        <v>47425</v>
      </c>
      <c r="P3546">
        <v>0</v>
      </c>
      <c r="Q3546">
        <v>1</v>
      </c>
      <c r="R3546" t="s">
        <v>47428</v>
      </c>
      <c r="S3546" t="s">
        <v>47541</v>
      </c>
      <c r="T3546" t="s">
        <v>49205</v>
      </c>
      <c r="U3546" t="s">
        <v>52691</v>
      </c>
      <c r="W3546" t="s">
        <v>44581</v>
      </c>
      <c r="X3546" t="s">
        <v>47430</v>
      </c>
    </row>
    <row r="3547" spans="1:24">
      <c r="A3547">
        <f>HYPERLINK("https://www.philgeps.gov.ph/GEPSNONPILOT/Tender/SplashBidNoticeAbstractUI.aspx?menuIndex=3&amp;refID=7163977&amp;Result=3","7163977")</f>
        <v>0</v>
      </c>
      <c r="B3547" t="s">
        <v>1488</v>
      </c>
      <c r="C3547" t="s">
        <v>7279</v>
      </c>
      <c r="D3547" t="s">
        <v>19081</v>
      </c>
      <c r="E3547" t="s">
        <v>22302</v>
      </c>
      <c r="F3547" t="s">
        <v>32831</v>
      </c>
      <c r="G3547" t="s">
        <v>32839</v>
      </c>
      <c r="H3547" t="s">
        <v>32848</v>
      </c>
      <c r="I3547" t="s">
        <v>32860</v>
      </c>
      <c r="J3547" t="s">
        <v>35315</v>
      </c>
      <c r="K3547" t="s">
        <v>42727</v>
      </c>
      <c r="M3547" t="s">
        <v>44582</v>
      </c>
      <c r="N3547" t="s">
        <v>47424</v>
      </c>
      <c r="O3547" t="s">
        <v>47425</v>
      </c>
      <c r="P3547">
        <v>0</v>
      </c>
      <c r="Q3547">
        <v>1</v>
      </c>
      <c r="R3547" t="s">
        <v>47428</v>
      </c>
      <c r="S3547" t="s">
        <v>47541</v>
      </c>
      <c r="T3547" t="s">
        <v>49301</v>
      </c>
      <c r="U3547" t="s">
        <v>52692</v>
      </c>
      <c r="V3547" t="s">
        <v>62754</v>
      </c>
      <c r="W3547" t="s">
        <v>44582</v>
      </c>
      <c r="X3547" t="s">
        <v>47430</v>
      </c>
    </row>
    <row r="3548" spans="1:24">
      <c r="A3548">
        <f>HYPERLINK("https://www.philgeps.gov.ph/GEPSNONPILOT/Tender/SplashBidNoticeAbstractUI.aspx?menuIndex=3&amp;refID=7163974&amp;Result=3","7163974")</f>
        <v>0</v>
      </c>
      <c r="B3548" t="s">
        <v>720</v>
      </c>
      <c r="C3548" t="s">
        <v>7144</v>
      </c>
      <c r="D3548" t="s">
        <v>19090</v>
      </c>
      <c r="E3548" t="s">
        <v>22303</v>
      </c>
      <c r="F3548" t="s">
        <v>32831</v>
      </c>
      <c r="G3548" t="s">
        <v>32840</v>
      </c>
      <c r="H3548" t="s">
        <v>32848</v>
      </c>
      <c r="I3548" t="s">
        <v>4222</v>
      </c>
      <c r="J3548" t="s">
        <v>35316</v>
      </c>
      <c r="K3548" t="s">
        <v>42727</v>
      </c>
      <c r="M3548" t="s">
        <v>43741</v>
      </c>
      <c r="N3548" t="s">
        <v>47424</v>
      </c>
      <c r="O3548" t="s">
        <v>47425</v>
      </c>
      <c r="P3548">
        <v>0</v>
      </c>
      <c r="Q3548">
        <v>0</v>
      </c>
      <c r="R3548" t="s">
        <v>47428</v>
      </c>
      <c r="S3548" t="s">
        <v>47541</v>
      </c>
      <c r="T3548" t="s">
        <v>49163</v>
      </c>
      <c r="U3548" t="s">
        <v>52693</v>
      </c>
      <c r="W3548" t="s">
        <v>64445</v>
      </c>
      <c r="X3548" t="s">
        <v>47430</v>
      </c>
    </row>
    <row r="3549" spans="1:24">
      <c r="A3549">
        <f>HYPERLINK("https://www.philgeps.gov.ph/GEPSNONPILOT/Tender/SplashBidNoticeAbstractUI.aspx?menuIndex=3&amp;refID=7163970&amp;Result=3","7163970")</f>
        <v>0</v>
      </c>
      <c r="B3549" t="s">
        <v>1484</v>
      </c>
      <c r="C3549" t="s">
        <v>7280</v>
      </c>
      <c r="D3549" t="s">
        <v>19031</v>
      </c>
      <c r="E3549" t="s">
        <v>22304</v>
      </c>
      <c r="F3549" t="s">
        <v>32831</v>
      </c>
      <c r="G3549" t="s">
        <v>32839</v>
      </c>
      <c r="H3549" t="s">
        <v>32848</v>
      </c>
      <c r="I3549" t="s">
        <v>7416</v>
      </c>
      <c r="J3549" t="s">
        <v>35317</v>
      </c>
      <c r="K3549" t="s">
        <v>42727</v>
      </c>
      <c r="M3549" t="s">
        <v>44578</v>
      </c>
      <c r="N3549" t="s">
        <v>47424</v>
      </c>
      <c r="O3549" t="s">
        <v>47425</v>
      </c>
      <c r="P3549">
        <v>0</v>
      </c>
      <c r="Q3549">
        <v>0</v>
      </c>
      <c r="R3549" t="s">
        <v>47428</v>
      </c>
      <c r="S3549" t="s">
        <v>47541</v>
      </c>
      <c r="T3549" t="s">
        <v>49080</v>
      </c>
      <c r="U3549" t="s">
        <v>50272</v>
      </c>
      <c r="W3549" t="s">
        <v>44578</v>
      </c>
      <c r="X3549" t="s">
        <v>47430</v>
      </c>
    </row>
    <row r="3550" spans="1:24">
      <c r="A3550">
        <f>HYPERLINK("https://www.philgeps.gov.ph/GEPSNONPILOT/Tender/SplashBidNoticeAbstractUI.aspx?menuIndex=3&amp;refID=7163969&amp;Result=3","7163969")</f>
        <v>0</v>
      </c>
      <c r="B3550" t="s">
        <v>1441</v>
      </c>
      <c r="C3550" t="s">
        <v>7281</v>
      </c>
      <c r="D3550" t="s">
        <v>19048</v>
      </c>
      <c r="E3550" t="s">
        <v>22305</v>
      </c>
      <c r="F3550" t="s">
        <v>32831</v>
      </c>
      <c r="G3550" t="s">
        <v>32839</v>
      </c>
      <c r="H3550" t="s">
        <v>32848</v>
      </c>
      <c r="I3550" t="s">
        <v>4303</v>
      </c>
      <c r="J3550" t="s">
        <v>35318</v>
      </c>
      <c r="K3550" t="s">
        <v>42727</v>
      </c>
      <c r="M3550" t="s">
        <v>44533</v>
      </c>
      <c r="N3550" t="s">
        <v>47424</v>
      </c>
      <c r="O3550" t="s">
        <v>47425</v>
      </c>
      <c r="P3550">
        <v>0</v>
      </c>
      <c r="Q3550">
        <v>0</v>
      </c>
      <c r="R3550" t="s">
        <v>47428</v>
      </c>
      <c r="S3550" t="s">
        <v>47541</v>
      </c>
      <c r="T3550" t="s">
        <v>49066</v>
      </c>
      <c r="U3550" t="s">
        <v>52694</v>
      </c>
      <c r="W3550" t="s">
        <v>44533</v>
      </c>
      <c r="X3550" t="s">
        <v>47430</v>
      </c>
    </row>
    <row r="3551" spans="1:24">
      <c r="A3551">
        <f>HYPERLINK("https://www.philgeps.gov.ph/GEPSNONPILOT/Tender/SplashBidNoticeAbstractUI.aspx?menuIndex=3&amp;refID=7163646&amp;Result=3","7163646")</f>
        <v>0</v>
      </c>
      <c r="B3551" t="s">
        <v>1436</v>
      </c>
      <c r="C3551" t="s">
        <v>7282</v>
      </c>
      <c r="D3551" t="s">
        <v>19038</v>
      </c>
      <c r="E3551" t="s">
        <v>19311</v>
      </c>
      <c r="F3551" t="s">
        <v>32831</v>
      </c>
      <c r="G3551" t="s">
        <v>32840</v>
      </c>
      <c r="H3551" t="s">
        <v>32848</v>
      </c>
      <c r="I3551" t="s">
        <v>32918</v>
      </c>
      <c r="J3551" t="s">
        <v>33437</v>
      </c>
      <c r="K3551" t="s">
        <v>42732</v>
      </c>
      <c r="M3551" t="s">
        <v>44526</v>
      </c>
      <c r="N3551" t="s">
        <v>47424</v>
      </c>
      <c r="O3551" t="s">
        <v>47425</v>
      </c>
      <c r="P3551">
        <v>0</v>
      </c>
      <c r="Q3551">
        <v>5</v>
      </c>
      <c r="R3551" t="s">
        <v>47428</v>
      </c>
      <c r="S3551" t="s">
        <v>47541</v>
      </c>
      <c r="T3551" t="s">
        <v>49145</v>
      </c>
      <c r="U3551" t="s">
        <v>51089</v>
      </c>
      <c r="W3551" t="s">
        <v>44526</v>
      </c>
      <c r="X3551" t="s">
        <v>47430</v>
      </c>
    </row>
    <row r="3552" spans="1:24">
      <c r="A3552">
        <f>HYPERLINK("https://www.philgeps.gov.ph/GEPSNONPILOT/Tender/SplashBidNoticeAbstractUI.aspx?menuIndex=3&amp;refID=7163966&amp;Result=3","7163966")</f>
        <v>0</v>
      </c>
      <c r="B3552" t="s">
        <v>460</v>
      </c>
      <c r="C3552" t="s">
        <v>7283</v>
      </c>
      <c r="D3552" t="s">
        <v>19086</v>
      </c>
      <c r="E3552" t="s">
        <v>22306</v>
      </c>
      <c r="F3552" t="s">
        <v>32831</v>
      </c>
      <c r="G3552" t="s">
        <v>32839</v>
      </c>
      <c r="H3552" t="s">
        <v>32848</v>
      </c>
      <c r="I3552" t="s">
        <v>4438</v>
      </c>
      <c r="J3552" t="s">
        <v>33794</v>
      </c>
      <c r="K3552" t="s">
        <v>42727</v>
      </c>
      <c r="M3552" t="s">
        <v>43465</v>
      </c>
      <c r="N3552" t="s">
        <v>47424</v>
      </c>
      <c r="O3552" t="s">
        <v>47425</v>
      </c>
      <c r="P3552">
        <v>0</v>
      </c>
      <c r="Q3552">
        <v>0</v>
      </c>
      <c r="R3552" t="s">
        <v>47428</v>
      </c>
      <c r="S3552" t="s">
        <v>47541</v>
      </c>
      <c r="T3552" t="s">
        <v>49102</v>
      </c>
      <c r="U3552" t="s">
        <v>52695</v>
      </c>
      <c r="V3552" t="s">
        <v>63013</v>
      </c>
      <c r="W3552" t="s">
        <v>43465</v>
      </c>
      <c r="X3552" t="s">
        <v>47430</v>
      </c>
    </row>
    <row r="3553" spans="1:24">
      <c r="A3553">
        <f>HYPERLINK("https://www.philgeps.gov.ph/GEPSNONPILOT/Tender/SplashBidNoticeAbstractUI.aspx?menuIndex=3&amp;refID=7164004&amp;Result=3","7164004")</f>
        <v>0</v>
      </c>
      <c r="B3553" t="s">
        <v>1420</v>
      </c>
      <c r="C3553" t="s">
        <v>7284</v>
      </c>
      <c r="D3553" t="s">
        <v>19033</v>
      </c>
      <c r="E3553" t="s">
        <v>22307</v>
      </c>
      <c r="F3553" t="s">
        <v>32831</v>
      </c>
      <c r="G3553" t="s">
        <v>32840</v>
      </c>
      <c r="H3553" t="s">
        <v>32848</v>
      </c>
      <c r="I3553" t="s">
        <v>7416</v>
      </c>
      <c r="J3553" t="s">
        <v>35319</v>
      </c>
      <c r="K3553" t="s">
        <v>42731</v>
      </c>
      <c r="M3553" t="s">
        <v>44583</v>
      </c>
      <c r="N3553" t="s">
        <v>47424</v>
      </c>
      <c r="O3553" t="s">
        <v>47425</v>
      </c>
      <c r="P3553">
        <v>0</v>
      </c>
      <c r="Q3553">
        <v>1</v>
      </c>
      <c r="R3553" t="s">
        <v>47428</v>
      </c>
      <c r="S3553" t="s">
        <v>47541</v>
      </c>
      <c r="T3553" t="s">
        <v>49163</v>
      </c>
      <c r="U3553" t="s">
        <v>52696</v>
      </c>
      <c r="W3553" t="s">
        <v>64468</v>
      </c>
      <c r="X3553" t="s">
        <v>47430</v>
      </c>
    </row>
    <row r="3554" spans="1:24">
      <c r="A3554">
        <f>HYPERLINK("https://www.philgeps.gov.ph/GEPSNONPILOT/Tender/SplashBidNoticeAbstractUI.aspx?menuIndex=3&amp;refID=7163961&amp;Result=3","7163961")</f>
        <v>0</v>
      </c>
      <c r="B3554" t="s">
        <v>1386</v>
      </c>
      <c r="C3554" t="s">
        <v>7285</v>
      </c>
      <c r="D3554" t="s">
        <v>19017</v>
      </c>
      <c r="E3554" t="s">
        <v>19863</v>
      </c>
      <c r="F3554" t="s">
        <v>32831</v>
      </c>
      <c r="G3554" t="s">
        <v>32839</v>
      </c>
      <c r="H3554" t="s">
        <v>32848</v>
      </c>
      <c r="I3554" t="s">
        <v>32874</v>
      </c>
      <c r="J3554" t="s">
        <v>35320</v>
      </c>
      <c r="K3554" t="s">
        <v>42726</v>
      </c>
      <c r="M3554" t="s">
        <v>44560</v>
      </c>
      <c r="N3554" t="s">
        <v>47424</v>
      </c>
      <c r="O3554" t="s">
        <v>47425</v>
      </c>
      <c r="P3554">
        <v>0</v>
      </c>
      <c r="Q3554">
        <v>12</v>
      </c>
      <c r="R3554" t="s">
        <v>47428</v>
      </c>
      <c r="S3554" t="s">
        <v>47541</v>
      </c>
      <c r="T3554" t="s">
        <v>49185</v>
      </c>
      <c r="U3554" t="s">
        <v>52697</v>
      </c>
      <c r="W3554" t="s">
        <v>44560</v>
      </c>
      <c r="X3554" t="s">
        <v>47430</v>
      </c>
    </row>
    <row r="3555" spans="1:24">
      <c r="A3555">
        <f>HYPERLINK("https://www.philgeps.gov.ph/GEPSNONPILOT/Tender/SplashBidNoticeAbstractUI.aspx?menuIndex=3&amp;refID=7163983&amp;Result=3","7163983")</f>
        <v>0</v>
      </c>
      <c r="B3555" t="s">
        <v>844</v>
      </c>
      <c r="C3555" t="s">
        <v>7286</v>
      </c>
      <c r="D3555" t="s">
        <v>19081</v>
      </c>
      <c r="E3555" t="s">
        <v>22308</v>
      </c>
      <c r="F3555" t="s">
        <v>32831</v>
      </c>
      <c r="G3555" t="s">
        <v>32838</v>
      </c>
      <c r="H3555" t="s">
        <v>32848</v>
      </c>
      <c r="I3555" t="s">
        <v>32909</v>
      </c>
      <c r="J3555" t="s">
        <v>34027</v>
      </c>
      <c r="K3555" t="s">
        <v>42732</v>
      </c>
      <c r="M3555" t="s">
        <v>43877</v>
      </c>
      <c r="N3555" t="s">
        <v>47424</v>
      </c>
      <c r="O3555" t="s">
        <v>47425</v>
      </c>
      <c r="P3555">
        <v>0</v>
      </c>
      <c r="Q3555">
        <v>0</v>
      </c>
      <c r="R3555" t="s">
        <v>47428</v>
      </c>
      <c r="S3555" t="s">
        <v>47541</v>
      </c>
      <c r="T3555" t="s">
        <v>49235</v>
      </c>
      <c r="U3555" t="s">
        <v>52698</v>
      </c>
      <c r="W3555" t="s">
        <v>43877</v>
      </c>
      <c r="X3555" t="s">
        <v>47430</v>
      </c>
    </row>
    <row r="3556" spans="1:24">
      <c r="A3556">
        <f>HYPERLINK("https://www.philgeps.gov.ph/GEPSNONPILOT/Tender/SplashBidNoticeAbstractUI.aspx?menuIndex=3&amp;refID=7163968&amp;Result=3","7163968")</f>
        <v>0</v>
      </c>
      <c r="B3556" t="s">
        <v>1385</v>
      </c>
      <c r="C3556" t="s">
        <v>7287</v>
      </c>
      <c r="D3556" t="s">
        <v>19060</v>
      </c>
      <c r="E3556" t="s">
        <v>22309</v>
      </c>
      <c r="F3556" t="s">
        <v>32831</v>
      </c>
      <c r="G3556" t="s">
        <v>32838</v>
      </c>
      <c r="H3556" t="s">
        <v>32850</v>
      </c>
      <c r="I3556" t="s">
        <v>32879</v>
      </c>
      <c r="J3556" t="s">
        <v>33133</v>
      </c>
      <c r="K3556" t="s">
        <v>42730</v>
      </c>
      <c r="M3556" t="s">
        <v>44470</v>
      </c>
      <c r="N3556" t="s">
        <v>47424</v>
      </c>
      <c r="O3556" t="s">
        <v>47425</v>
      </c>
      <c r="P3556">
        <v>0</v>
      </c>
      <c r="Q3556">
        <v>1</v>
      </c>
      <c r="R3556" t="s">
        <v>47428</v>
      </c>
      <c r="S3556" t="s">
        <v>47541</v>
      </c>
      <c r="T3556" t="s">
        <v>49129</v>
      </c>
      <c r="U3556" t="s">
        <v>52699</v>
      </c>
      <c r="V3556" t="s">
        <v>62982</v>
      </c>
      <c r="W3556" t="s">
        <v>44470</v>
      </c>
      <c r="X3556" t="s">
        <v>47430</v>
      </c>
    </row>
    <row r="3557" spans="1:24">
      <c r="A3557">
        <f>HYPERLINK("https://www.philgeps.gov.ph/GEPSNONPILOT/Tender/SplashBidNoticeAbstractUI.aspx?menuIndex=3&amp;refID=7163972&amp;Result=3","7163972")</f>
        <v>0</v>
      </c>
      <c r="B3557" t="s">
        <v>984</v>
      </c>
      <c r="C3557" t="s">
        <v>7288</v>
      </c>
      <c r="D3557" t="s">
        <v>19036</v>
      </c>
      <c r="E3557" t="s">
        <v>22310</v>
      </c>
      <c r="F3557" t="s">
        <v>32831</v>
      </c>
      <c r="G3557" t="s">
        <v>32838</v>
      </c>
      <c r="H3557" t="s">
        <v>32848</v>
      </c>
      <c r="I3557" t="s">
        <v>4558</v>
      </c>
      <c r="J3557" t="s">
        <v>35321</v>
      </c>
      <c r="K3557" t="s">
        <v>42731</v>
      </c>
      <c r="M3557" t="s">
        <v>44033</v>
      </c>
      <c r="N3557" t="s">
        <v>47424</v>
      </c>
      <c r="O3557" t="s">
        <v>47425</v>
      </c>
      <c r="P3557">
        <v>0</v>
      </c>
      <c r="Q3557">
        <v>1</v>
      </c>
      <c r="R3557" t="s">
        <v>47428</v>
      </c>
      <c r="S3557" t="s">
        <v>47541</v>
      </c>
      <c r="T3557" t="s">
        <v>49237</v>
      </c>
      <c r="U3557" t="s">
        <v>51549</v>
      </c>
      <c r="V3557" t="s">
        <v>62855</v>
      </c>
      <c r="W3557" t="s">
        <v>44033</v>
      </c>
      <c r="X3557" t="s">
        <v>47430</v>
      </c>
    </row>
    <row r="3558" spans="1:24">
      <c r="A3558">
        <f>HYPERLINK("https://www.philgeps.gov.ph/GEPSNONPILOT/Tender/SplashBidNoticeAbstractUI.aspx?menuIndex=3&amp;refID=7163556&amp;Result=3","7163556")</f>
        <v>0</v>
      </c>
      <c r="B3558" t="s">
        <v>1489</v>
      </c>
      <c r="C3558" t="s">
        <v>7289</v>
      </c>
      <c r="D3558" t="s">
        <v>19017</v>
      </c>
      <c r="E3558" t="s">
        <v>22311</v>
      </c>
      <c r="F3558" t="s">
        <v>32831</v>
      </c>
      <c r="G3558" t="s">
        <v>32838</v>
      </c>
      <c r="H3558" t="s">
        <v>32848</v>
      </c>
      <c r="I3558" t="s">
        <v>32856</v>
      </c>
      <c r="J3558" t="s">
        <v>35322</v>
      </c>
      <c r="K3558" t="s">
        <v>42732</v>
      </c>
      <c r="M3558" t="s">
        <v>44584</v>
      </c>
      <c r="N3558" t="s">
        <v>47424</v>
      </c>
      <c r="O3558" t="s">
        <v>47425</v>
      </c>
      <c r="P3558">
        <v>0</v>
      </c>
      <c r="Q3558">
        <v>6</v>
      </c>
      <c r="R3558" t="s">
        <v>47428</v>
      </c>
      <c r="S3558" t="s">
        <v>47541</v>
      </c>
      <c r="T3558" t="s">
        <v>49111</v>
      </c>
      <c r="U3558" t="s">
        <v>50909</v>
      </c>
      <c r="W3558" t="s">
        <v>44584</v>
      </c>
      <c r="X3558" t="s">
        <v>47430</v>
      </c>
    </row>
    <row r="3559" spans="1:24">
      <c r="A3559">
        <f>HYPERLINK("https://www.philgeps.gov.ph/GEPSNONPILOT/Tender/SplashBidNoticeAbstractUI.aspx?menuIndex=3&amp;refID=7163554&amp;Result=3","7163554")</f>
        <v>0</v>
      </c>
      <c r="B3559" t="s">
        <v>655</v>
      </c>
      <c r="C3559" t="s">
        <v>7290</v>
      </c>
      <c r="D3559" t="s">
        <v>19036</v>
      </c>
      <c r="E3559" t="s">
        <v>22312</v>
      </c>
      <c r="F3559" t="s">
        <v>32831</v>
      </c>
      <c r="G3559" t="s">
        <v>32839</v>
      </c>
      <c r="H3559" t="s">
        <v>32848</v>
      </c>
      <c r="I3559" t="s">
        <v>4776</v>
      </c>
      <c r="J3559" t="s">
        <v>35323</v>
      </c>
      <c r="K3559" t="s">
        <v>42731</v>
      </c>
      <c r="M3559" t="s">
        <v>44585</v>
      </c>
      <c r="N3559" t="s">
        <v>47424</v>
      </c>
      <c r="O3559" t="s">
        <v>47425</v>
      </c>
      <c r="P3559">
        <v>0</v>
      </c>
      <c r="Q3559">
        <v>2</v>
      </c>
      <c r="R3559" t="s">
        <v>47428</v>
      </c>
      <c r="S3559" t="s">
        <v>47541</v>
      </c>
      <c r="T3559" t="s">
        <v>49073</v>
      </c>
      <c r="U3559" t="s">
        <v>52700</v>
      </c>
      <c r="V3559" t="s">
        <v>63014</v>
      </c>
      <c r="W3559" t="s">
        <v>44585</v>
      </c>
      <c r="X3559" t="s">
        <v>47430</v>
      </c>
    </row>
    <row r="3560" spans="1:24">
      <c r="A3560">
        <f>HYPERLINK("https://www.philgeps.gov.ph/GEPSNONPILOT/Tender/SplashBidNoticeAbstractUI.aspx?menuIndex=3&amp;refID=7163559&amp;Result=3","7163559")</f>
        <v>0</v>
      </c>
      <c r="B3560" t="s">
        <v>562</v>
      </c>
      <c r="C3560" t="s">
        <v>7291</v>
      </c>
      <c r="D3560" t="s">
        <v>19017</v>
      </c>
      <c r="E3560" t="s">
        <v>22313</v>
      </c>
      <c r="F3560" t="s">
        <v>32831</v>
      </c>
      <c r="G3560" t="s">
        <v>32840</v>
      </c>
      <c r="H3560" t="s">
        <v>32848</v>
      </c>
      <c r="I3560" t="s">
        <v>32857</v>
      </c>
      <c r="J3560" t="s">
        <v>34155</v>
      </c>
      <c r="K3560" t="s">
        <v>42732</v>
      </c>
      <c r="M3560" t="s">
        <v>43571</v>
      </c>
      <c r="N3560" t="s">
        <v>47424</v>
      </c>
      <c r="O3560" t="s">
        <v>47425</v>
      </c>
      <c r="P3560">
        <v>0</v>
      </c>
      <c r="Q3560">
        <v>8</v>
      </c>
      <c r="R3560" t="s">
        <v>47428</v>
      </c>
      <c r="S3560" t="s">
        <v>47541</v>
      </c>
      <c r="T3560" t="s">
        <v>49107</v>
      </c>
      <c r="U3560" t="s">
        <v>52649</v>
      </c>
      <c r="V3560" t="s">
        <v>63015</v>
      </c>
      <c r="W3560" t="s">
        <v>43571</v>
      </c>
      <c r="X3560" t="s">
        <v>47430</v>
      </c>
    </row>
    <row r="3561" spans="1:24">
      <c r="A3561">
        <f>HYPERLINK("https://www.philgeps.gov.ph/GEPSNONPILOT/Tender/SplashBidNoticeAbstractUI.aspx?menuIndex=3&amp;refID=7163557&amp;Result=3","7163557")</f>
        <v>0</v>
      </c>
      <c r="B3561" t="s">
        <v>703</v>
      </c>
      <c r="C3561" t="s">
        <v>7292</v>
      </c>
      <c r="D3561" t="s">
        <v>19077</v>
      </c>
      <c r="E3561" t="s">
        <v>22314</v>
      </c>
      <c r="F3561" t="s">
        <v>32831</v>
      </c>
      <c r="G3561" t="s">
        <v>32839</v>
      </c>
      <c r="H3561" t="s">
        <v>32848</v>
      </c>
      <c r="I3561" t="s">
        <v>32925</v>
      </c>
      <c r="J3561" t="s">
        <v>35324</v>
      </c>
      <c r="K3561" t="s">
        <v>42763</v>
      </c>
      <c r="M3561" t="s">
        <v>43722</v>
      </c>
      <c r="N3561" t="s">
        <v>47424</v>
      </c>
      <c r="O3561" t="s">
        <v>47425</v>
      </c>
      <c r="P3561">
        <v>0</v>
      </c>
      <c r="Q3561">
        <v>4</v>
      </c>
      <c r="R3561" t="s">
        <v>47428</v>
      </c>
      <c r="S3561" t="s">
        <v>47541</v>
      </c>
      <c r="T3561" t="s">
        <v>49189</v>
      </c>
      <c r="U3561" t="s">
        <v>50983</v>
      </c>
      <c r="W3561" t="s">
        <v>43722</v>
      </c>
      <c r="X3561" t="s">
        <v>47430</v>
      </c>
    </row>
    <row r="3562" spans="1:24">
      <c r="A3562">
        <f>HYPERLINK("https://www.philgeps.gov.ph/GEPSNONPILOT/Tender/SplashBidNoticeAbstractUI.aspx?menuIndex=3&amp;refID=7164037&amp;Result=3","7164037")</f>
        <v>0</v>
      </c>
      <c r="B3562" t="s">
        <v>1490</v>
      </c>
      <c r="C3562" t="s">
        <v>7293</v>
      </c>
      <c r="D3562" t="s">
        <v>19042</v>
      </c>
      <c r="E3562" t="s">
        <v>22315</v>
      </c>
      <c r="F3562" t="s">
        <v>32831</v>
      </c>
      <c r="G3562" t="s">
        <v>32839</v>
      </c>
      <c r="H3562" t="s">
        <v>32848</v>
      </c>
      <c r="I3562" t="s">
        <v>7416</v>
      </c>
      <c r="J3562" t="s">
        <v>35325</v>
      </c>
      <c r="K3562" t="s">
        <v>42732</v>
      </c>
      <c r="M3562" t="s">
        <v>44586</v>
      </c>
      <c r="N3562" t="s">
        <v>47424</v>
      </c>
      <c r="O3562" t="s">
        <v>47425</v>
      </c>
      <c r="P3562">
        <v>0</v>
      </c>
      <c r="Q3562">
        <v>0</v>
      </c>
      <c r="R3562" t="s">
        <v>47428</v>
      </c>
      <c r="S3562" t="s">
        <v>47541</v>
      </c>
      <c r="T3562" t="s">
        <v>49288</v>
      </c>
      <c r="U3562" t="s">
        <v>52701</v>
      </c>
      <c r="W3562" t="s">
        <v>44586</v>
      </c>
      <c r="X3562" t="s">
        <v>47430</v>
      </c>
    </row>
    <row r="3563" spans="1:24">
      <c r="A3563">
        <f>HYPERLINK("https://www.philgeps.gov.ph/GEPSNONPILOT/Tender/SplashBidNoticeAbstractUI.aspx?menuIndex=3&amp;refID=7164036&amp;Result=3","7164036")</f>
        <v>0</v>
      </c>
      <c r="B3563" t="s">
        <v>1484</v>
      </c>
      <c r="C3563" t="s">
        <v>7294</v>
      </c>
      <c r="D3563" t="s">
        <v>19031</v>
      </c>
      <c r="E3563" t="s">
        <v>22316</v>
      </c>
      <c r="F3563" t="s">
        <v>32831</v>
      </c>
      <c r="G3563" t="s">
        <v>32839</v>
      </c>
      <c r="H3563" t="s">
        <v>32848</v>
      </c>
      <c r="I3563" t="s">
        <v>32870</v>
      </c>
      <c r="J3563" t="s">
        <v>34008</v>
      </c>
      <c r="K3563" t="s">
        <v>42727</v>
      </c>
      <c r="M3563" t="s">
        <v>44578</v>
      </c>
      <c r="N3563" t="s">
        <v>47424</v>
      </c>
      <c r="O3563" t="s">
        <v>47425</v>
      </c>
      <c r="P3563">
        <v>0</v>
      </c>
      <c r="Q3563">
        <v>0</v>
      </c>
      <c r="R3563" t="s">
        <v>47428</v>
      </c>
      <c r="S3563" t="s">
        <v>47541</v>
      </c>
      <c r="T3563" t="s">
        <v>49080</v>
      </c>
      <c r="U3563" t="s">
        <v>52702</v>
      </c>
      <c r="W3563" t="s">
        <v>44578</v>
      </c>
      <c r="X3563" t="s">
        <v>47430</v>
      </c>
    </row>
    <row r="3564" spans="1:24">
      <c r="A3564">
        <f>HYPERLINK("https://www.philgeps.gov.ph/GEPSNONPILOT/Tender/SplashBidNoticeAbstractUI.aspx?menuIndex=3&amp;refID=7163555&amp;Result=3","7163555")</f>
        <v>0</v>
      </c>
      <c r="B3564" t="s">
        <v>703</v>
      </c>
      <c r="C3564" t="s">
        <v>7295</v>
      </c>
      <c r="D3564" t="s">
        <v>19077</v>
      </c>
      <c r="E3564" t="s">
        <v>22317</v>
      </c>
      <c r="F3564" t="s">
        <v>32831</v>
      </c>
      <c r="G3564" t="s">
        <v>32839</v>
      </c>
      <c r="H3564" t="s">
        <v>32848</v>
      </c>
      <c r="I3564" t="s">
        <v>4471</v>
      </c>
      <c r="J3564" t="s">
        <v>35326</v>
      </c>
      <c r="K3564" t="s">
        <v>42763</v>
      </c>
      <c r="M3564" t="s">
        <v>44449</v>
      </c>
      <c r="N3564" t="s">
        <v>47424</v>
      </c>
      <c r="O3564" t="s">
        <v>47425</v>
      </c>
      <c r="P3564">
        <v>0</v>
      </c>
      <c r="Q3564">
        <v>3</v>
      </c>
      <c r="R3564" t="s">
        <v>47428</v>
      </c>
      <c r="S3564" t="s">
        <v>47541</v>
      </c>
      <c r="T3564" t="s">
        <v>49189</v>
      </c>
      <c r="U3564" t="s">
        <v>52703</v>
      </c>
      <c r="W3564" t="s">
        <v>44449</v>
      </c>
      <c r="X3564" t="s">
        <v>47430</v>
      </c>
    </row>
    <row r="3565" spans="1:24">
      <c r="A3565">
        <f>HYPERLINK("https://www.philgeps.gov.ph/GEPSNONPILOT/Tender/SplashBidNoticeAbstractUI.aspx?menuIndex=3&amp;refID=7164034&amp;Result=3","7164034")</f>
        <v>0</v>
      </c>
      <c r="B3565" t="s">
        <v>1443</v>
      </c>
      <c r="C3565" t="s">
        <v>7296</v>
      </c>
      <c r="D3565" t="s">
        <v>19058</v>
      </c>
      <c r="E3565" t="s">
        <v>22318</v>
      </c>
      <c r="F3565" t="s">
        <v>32831</v>
      </c>
      <c r="G3565" t="s">
        <v>32838</v>
      </c>
      <c r="H3565" t="s">
        <v>32848</v>
      </c>
      <c r="I3565" t="s">
        <v>4776</v>
      </c>
      <c r="J3565" t="s">
        <v>35327</v>
      </c>
      <c r="K3565" t="s">
        <v>42732</v>
      </c>
      <c r="M3565" t="s">
        <v>44535</v>
      </c>
      <c r="N3565" t="s">
        <v>47424</v>
      </c>
      <c r="O3565" t="s">
        <v>47425</v>
      </c>
      <c r="P3565">
        <v>0</v>
      </c>
      <c r="Q3565">
        <v>0</v>
      </c>
      <c r="R3565" t="s">
        <v>47428</v>
      </c>
      <c r="S3565" t="s">
        <v>47541</v>
      </c>
      <c r="T3565" t="s">
        <v>49073</v>
      </c>
      <c r="U3565" t="s">
        <v>52704</v>
      </c>
      <c r="W3565" t="s">
        <v>44535</v>
      </c>
      <c r="X3565" t="s">
        <v>47430</v>
      </c>
    </row>
    <row r="3566" spans="1:24">
      <c r="A3566">
        <f>HYPERLINK("https://www.philgeps.gov.ph/GEPSNONPILOT/Tender/SplashBidNoticeAbstractUI.aspx?menuIndex=3&amp;refID=7164032&amp;Result=3","7164032")</f>
        <v>0</v>
      </c>
      <c r="B3566" t="s">
        <v>1491</v>
      </c>
      <c r="C3566" t="s">
        <v>7297</v>
      </c>
      <c r="D3566" t="s">
        <v>19058</v>
      </c>
      <c r="E3566" t="s">
        <v>22319</v>
      </c>
      <c r="F3566" t="s">
        <v>32831</v>
      </c>
      <c r="G3566" t="s">
        <v>32838</v>
      </c>
      <c r="H3566" t="s">
        <v>32850</v>
      </c>
      <c r="I3566" t="s">
        <v>32864</v>
      </c>
      <c r="J3566" t="s">
        <v>35328</v>
      </c>
      <c r="K3566" t="s">
        <v>42726</v>
      </c>
      <c r="M3566" t="s">
        <v>44587</v>
      </c>
      <c r="N3566" t="s">
        <v>47424</v>
      </c>
      <c r="O3566" t="s">
        <v>47425</v>
      </c>
      <c r="P3566">
        <v>0</v>
      </c>
      <c r="Q3566">
        <v>2</v>
      </c>
      <c r="R3566" t="s">
        <v>47428</v>
      </c>
      <c r="S3566" t="s">
        <v>47541</v>
      </c>
      <c r="T3566" t="s">
        <v>49177</v>
      </c>
      <c r="U3566" t="s">
        <v>52705</v>
      </c>
      <c r="W3566" t="s">
        <v>44587</v>
      </c>
      <c r="X3566" t="s">
        <v>47430</v>
      </c>
    </row>
    <row r="3567" spans="1:24">
      <c r="A3567">
        <f>HYPERLINK("https://www.philgeps.gov.ph/GEPSNONPILOT/Tender/SplashBidNoticeAbstractUI.aspx?menuIndex=3&amp;refID=7164029&amp;Result=3","7164029")</f>
        <v>0</v>
      </c>
      <c r="B3567" t="s">
        <v>1492</v>
      </c>
      <c r="C3567" t="s">
        <v>7298</v>
      </c>
      <c r="D3567" t="s">
        <v>19049</v>
      </c>
      <c r="E3567" t="s">
        <v>22320</v>
      </c>
      <c r="F3567" t="s">
        <v>32831</v>
      </c>
      <c r="G3567" t="s">
        <v>32840</v>
      </c>
      <c r="H3567" t="s">
        <v>32848</v>
      </c>
      <c r="I3567" t="s">
        <v>4438</v>
      </c>
      <c r="J3567" t="s">
        <v>35329</v>
      </c>
      <c r="K3567" t="s">
        <v>42732</v>
      </c>
      <c r="M3567" t="s">
        <v>44588</v>
      </c>
      <c r="N3567" t="s">
        <v>47424</v>
      </c>
      <c r="O3567" t="s">
        <v>47425</v>
      </c>
      <c r="P3567">
        <v>0</v>
      </c>
      <c r="Q3567">
        <v>0</v>
      </c>
      <c r="R3567" t="s">
        <v>47428</v>
      </c>
      <c r="S3567" t="s">
        <v>47541</v>
      </c>
      <c r="T3567" t="s">
        <v>49151</v>
      </c>
      <c r="U3567" t="s">
        <v>52587</v>
      </c>
      <c r="W3567" t="s">
        <v>44588</v>
      </c>
      <c r="X3567" t="s">
        <v>47430</v>
      </c>
    </row>
    <row r="3568" spans="1:24">
      <c r="A3568">
        <f>HYPERLINK("https://www.philgeps.gov.ph/GEPSNONPILOT/Tender/SplashBidNoticeAbstractUI.aspx?menuIndex=3&amp;refID=7164028&amp;Result=3","7164028")</f>
        <v>0</v>
      </c>
      <c r="B3568" t="s">
        <v>1484</v>
      </c>
      <c r="C3568" t="s">
        <v>7299</v>
      </c>
      <c r="D3568" t="s">
        <v>19031</v>
      </c>
      <c r="E3568" t="s">
        <v>22321</v>
      </c>
      <c r="F3568" t="s">
        <v>32831</v>
      </c>
      <c r="G3568" t="s">
        <v>32839</v>
      </c>
      <c r="H3568" t="s">
        <v>32848</v>
      </c>
      <c r="I3568" t="s">
        <v>32862</v>
      </c>
      <c r="J3568" t="s">
        <v>35330</v>
      </c>
      <c r="K3568" t="s">
        <v>42727</v>
      </c>
      <c r="M3568" t="s">
        <v>44578</v>
      </c>
      <c r="N3568" t="s">
        <v>47424</v>
      </c>
      <c r="O3568" t="s">
        <v>47425</v>
      </c>
      <c r="P3568">
        <v>0</v>
      </c>
      <c r="Q3568">
        <v>1</v>
      </c>
      <c r="R3568" t="s">
        <v>47428</v>
      </c>
      <c r="S3568" t="s">
        <v>47541</v>
      </c>
      <c r="T3568" t="s">
        <v>49080</v>
      </c>
      <c r="U3568" t="s">
        <v>52706</v>
      </c>
      <c r="W3568" t="s">
        <v>44578</v>
      </c>
      <c r="X3568" t="s">
        <v>47430</v>
      </c>
    </row>
    <row r="3569" spans="1:24">
      <c r="A3569">
        <f>HYPERLINK("https://www.philgeps.gov.ph/GEPSNONPILOT/Tender/SplashBidNoticeAbstractUI.aspx?menuIndex=3&amp;refID=7164023&amp;Result=3","7164023")</f>
        <v>0</v>
      </c>
      <c r="B3569" t="s">
        <v>1385</v>
      </c>
      <c r="C3569" t="s">
        <v>7300</v>
      </c>
      <c r="D3569" t="s">
        <v>19060</v>
      </c>
      <c r="E3569" t="s">
        <v>22322</v>
      </c>
      <c r="F3569" t="s">
        <v>32831</v>
      </c>
      <c r="G3569" t="s">
        <v>32838</v>
      </c>
      <c r="H3569" t="s">
        <v>32848</v>
      </c>
      <c r="I3569" t="s">
        <v>32879</v>
      </c>
      <c r="J3569" t="s">
        <v>33338</v>
      </c>
      <c r="K3569" t="s">
        <v>42730</v>
      </c>
      <c r="M3569" t="s">
        <v>44470</v>
      </c>
      <c r="N3569" t="s">
        <v>47424</v>
      </c>
      <c r="O3569" t="s">
        <v>47425</v>
      </c>
      <c r="P3569">
        <v>0</v>
      </c>
      <c r="Q3569">
        <v>0</v>
      </c>
      <c r="R3569" t="s">
        <v>47428</v>
      </c>
      <c r="S3569" t="s">
        <v>47541</v>
      </c>
      <c r="T3569" t="s">
        <v>49129</v>
      </c>
      <c r="U3569" t="s">
        <v>52707</v>
      </c>
      <c r="V3569" t="s">
        <v>62982</v>
      </c>
      <c r="W3569" t="s">
        <v>44470</v>
      </c>
      <c r="X3569" t="s">
        <v>47430</v>
      </c>
    </row>
    <row r="3570" spans="1:24">
      <c r="A3570">
        <f>HYPERLINK("https://www.philgeps.gov.ph/GEPSNONPILOT/Tender/SplashBidNoticeAbstractUI.aspx?menuIndex=3&amp;refID=7164030&amp;Result=3","7164030")</f>
        <v>0</v>
      </c>
      <c r="B3570" t="s">
        <v>817</v>
      </c>
      <c r="C3570" t="s">
        <v>7301</v>
      </c>
      <c r="D3570" t="s">
        <v>19077</v>
      </c>
      <c r="E3570" t="s">
        <v>22323</v>
      </c>
      <c r="F3570" t="s">
        <v>32831</v>
      </c>
      <c r="G3570" t="s">
        <v>32839</v>
      </c>
      <c r="H3570" t="s">
        <v>32849</v>
      </c>
      <c r="I3570" t="s">
        <v>4177</v>
      </c>
      <c r="J3570" t="s">
        <v>35331</v>
      </c>
      <c r="K3570" t="s">
        <v>42780</v>
      </c>
      <c r="M3570" t="s">
        <v>44589</v>
      </c>
      <c r="N3570" t="s">
        <v>47424</v>
      </c>
      <c r="O3570" t="s">
        <v>47425</v>
      </c>
      <c r="P3570">
        <v>0</v>
      </c>
      <c r="Q3570">
        <v>1</v>
      </c>
      <c r="R3570" t="s">
        <v>47428</v>
      </c>
      <c r="S3570" t="s">
        <v>47541</v>
      </c>
      <c r="T3570" t="s">
        <v>49193</v>
      </c>
      <c r="U3570" t="s">
        <v>52708</v>
      </c>
      <c r="W3570" t="s">
        <v>44589</v>
      </c>
      <c r="X3570" t="s">
        <v>47430</v>
      </c>
    </row>
    <row r="3571" spans="1:24">
      <c r="A3571">
        <f>HYPERLINK("https://www.philgeps.gov.ph/GEPSNONPILOT/Tender/SplashBidNoticeAbstractUI.aspx?menuIndex=3&amp;refID=7164022&amp;Result=3","7164022")</f>
        <v>0</v>
      </c>
      <c r="B3571" t="s">
        <v>1482</v>
      </c>
      <c r="C3571" t="s">
        <v>7302</v>
      </c>
      <c r="D3571" t="s">
        <v>19018</v>
      </c>
      <c r="E3571" t="s">
        <v>22324</v>
      </c>
      <c r="F3571" t="s">
        <v>32831</v>
      </c>
      <c r="G3571" t="s">
        <v>32838</v>
      </c>
      <c r="H3571" t="s">
        <v>32848</v>
      </c>
      <c r="I3571" t="s">
        <v>9577</v>
      </c>
      <c r="J3571" t="s">
        <v>34401</v>
      </c>
      <c r="K3571" t="s">
        <v>42731</v>
      </c>
      <c r="M3571" t="s">
        <v>44576</v>
      </c>
      <c r="N3571" t="s">
        <v>47424</v>
      </c>
      <c r="O3571" t="s">
        <v>47425</v>
      </c>
      <c r="P3571">
        <v>0</v>
      </c>
      <c r="Q3571">
        <v>1</v>
      </c>
      <c r="R3571" t="s">
        <v>47428</v>
      </c>
      <c r="S3571" t="s">
        <v>47541</v>
      </c>
      <c r="T3571" t="s">
        <v>49214</v>
      </c>
      <c r="U3571" t="s">
        <v>52709</v>
      </c>
      <c r="V3571" t="s">
        <v>63016</v>
      </c>
      <c r="W3571" t="s">
        <v>44576</v>
      </c>
      <c r="X3571" t="s">
        <v>47430</v>
      </c>
    </row>
    <row r="3572" spans="1:24">
      <c r="A3572">
        <f>HYPERLINK("https://www.philgeps.gov.ph/GEPSNONPILOT/Tender/SplashBidNoticeAbstractUI.aspx?menuIndex=3&amp;refID=7164033&amp;Result=3","7164033")</f>
        <v>0</v>
      </c>
      <c r="B3572" t="s">
        <v>1493</v>
      </c>
      <c r="C3572" t="s">
        <v>7303</v>
      </c>
      <c r="D3572" t="s">
        <v>19019</v>
      </c>
      <c r="E3572" t="s">
        <v>22325</v>
      </c>
      <c r="F3572" t="s">
        <v>32831</v>
      </c>
      <c r="G3572" t="s">
        <v>32839</v>
      </c>
      <c r="H3572" t="s">
        <v>32849</v>
      </c>
      <c r="I3572" t="s">
        <v>4177</v>
      </c>
      <c r="J3572" t="s">
        <v>35332</v>
      </c>
      <c r="K3572" t="s">
        <v>42770</v>
      </c>
      <c r="M3572" t="s">
        <v>44590</v>
      </c>
      <c r="N3572" t="s">
        <v>47424</v>
      </c>
      <c r="O3572" t="s">
        <v>47425</v>
      </c>
      <c r="P3572">
        <v>0</v>
      </c>
      <c r="Q3572">
        <v>4</v>
      </c>
      <c r="R3572" t="s">
        <v>47428</v>
      </c>
      <c r="S3572" t="s">
        <v>47541</v>
      </c>
      <c r="T3572" t="s">
        <v>49188</v>
      </c>
      <c r="U3572" t="s">
        <v>52710</v>
      </c>
      <c r="V3572" t="s">
        <v>63017</v>
      </c>
      <c r="W3572" t="s">
        <v>44590</v>
      </c>
      <c r="X3572" t="s">
        <v>47430</v>
      </c>
    </row>
    <row r="3573" spans="1:24">
      <c r="A3573">
        <f>HYPERLINK("https://www.philgeps.gov.ph/GEPSNONPILOT/Tender/SplashBidNoticeAbstractUI.aspx?menuIndex=3&amp;refID=7164021&amp;Result=3","7164021")</f>
        <v>0</v>
      </c>
      <c r="B3573" t="s">
        <v>1494</v>
      </c>
      <c r="C3573" t="s">
        <v>4222</v>
      </c>
      <c r="D3573" t="s">
        <v>19060</v>
      </c>
      <c r="E3573" t="s">
        <v>22326</v>
      </c>
      <c r="F3573" t="s">
        <v>32831</v>
      </c>
      <c r="G3573" t="s">
        <v>32838</v>
      </c>
      <c r="H3573" t="s">
        <v>32848</v>
      </c>
      <c r="I3573" t="s">
        <v>4222</v>
      </c>
      <c r="J3573" t="s">
        <v>35333</v>
      </c>
      <c r="K3573" t="s">
        <v>42804</v>
      </c>
      <c r="M3573" t="s">
        <v>44591</v>
      </c>
      <c r="N3573" t="s">
        <v>47424</v>
      </c>
      <c r="O3573" t="s">
        <v>47425</v>
      </c>
      <c r="P3573">
        <v>0</v>
      </c>
      <c r="Q3573">
        <v>0</v>
      </c>
      <c r="R3573" t="s">
        <v>47428</v>
      </c>
      <c r="S3573" t="s">
        <v>47541</v>
      </c>
      <c r="T3573" t="s">
        <v>49166</v>
      </c>
      <c r="U3573" t="s">
        <v>52711</v>
      </c>
      <c r="V3573" t="s">
        <v>63018</v>
      </c>
      <c r="W3573" t="s">
        <v>44591</v>
      </c>
      <c r="X3573" t="s">
        <v>47430</v>
      </c>
    </row>
    <row r="3574" spans="1:24">
      <c r="A3574">
        <f>HYPERLINK("https://www.philgeps.gov.ph/GEPSNONPILOT/Tender/SplashBidNoticeAbstractUI.aspx?menuIndex=3&amp;refID=7163560&amp;Result=3","7163560")</f>
        <v>0</v>
      </c>
      <c r="B3574" t="s">
        <v>1342</v>
      </c>
      <c r="C3574" t="s">
        <v>7304</v>
      </c>
      <c r="D3574" t="s">
        <v>19030</v>
      </c>
      <c r="E3574" t="s">
        <v>20605</v>
      </c>
      <c r="F3574" t="s">
        <v>32831</v>
      </c>
      <c r="G3574" t="s">
        <v>32838</v>
      </c>
      <c r="H3574" t="s">
        <v>32848</v>
      </c>
      <c r="I3574" t="s">
        <v>9577</v>
      </c>
      <c r="J3574" t="s">
        <v>35334</v>
      </c>
      <c r="K3574" t="s">
        <v>42726</v>
      </c>
      <c r="M3574" t="s">
        <v>44415</v>
      </c>
      <c r="N3574" t="s">
        <v>47424</v>
      </c>
      <c r="O3574" t="s">
        <v>47425</v>
      </c>
      <c r="P3574">
        <v>0</v>
      </c>
      <c r="Q3574">
        <v>0</v>
      </c>
      <c r="R3574" t="s">
        <v>47428</v>
      </c>
      <c r="S3574" t="s">
        <v>47541</v>
      </c>
      <c r="T3574" t="s">
        <v>49235</v>
      </c>
      <c r="U3574" t="s">
        <v>52712</v>
      </c>
      <c r="V3574" t="s">
        <v>63019</v>
      </c>
      <c r="W3574" t="s">
        <v>44415</v>
      </c>
      <c r="X3574" t="s">
        <v>47430</v>
      </c>
    </row>
    <row r="3575" spans="1:24">
      <c r="A3575">
        <f>HYPERLINK("https://www.philgeps.gov.ph/GEPSNONPILOT/Tender/SplashBidNoticeAbstractUI.aspx?menuIndex=3&amp;refID=7164069&amp;Result=3","7164069")</f>
        <v>0</v>
      </c>
      <c r="B3575" t="s">
        <v>904</v>
      </c>
      <c r="C3575" t="s">
        <v>7305</v>
      </c>
      <c r="D3575" t="s">
        <v>19047</v>
      </c>
      <c r="E3575" t="s">
        <v>22327</v>
      </c>
      <c r="F3575" t="s">
        <v>32831</v>
      </c>
      <c r="G3575" t="s">
        <v>32838</v>
      </c>
      <c r="H3575" t="s">
        <v>32848</v>
      </c>
      <c r="I3575" t="s">
        <v>10643</v>
      </c>
      <c r="J3575" t="s">
        <v>33384</v>
      </c>
      <c r="K3575" t="s">
        <v>42759</v>
      </c>
      <c r="M3575" t="s">
        <v>44592</v>
      </c>
      <c r="N3575" t="s">
        <v>47424</v>
      </c>
      <c r="O3575" t="s">
        <v>47425</v>
      </c>
      <c r="P3575">
        <v>0</v>
      </c>
      <c r="Q3575">
        <v>2</v>
      </c>
      <c r="R3575" t="s">
        <v>47428</v>
      </c>
      <c r="S3575" t="s">
        <v>47541</v>
      </c>
      <c r="T3575" t="s">
        <v>49214</v>
      </c>
      <c r="U3575" t="s">
        <v>52713</v>
      </c>
      <c r="V3575" t="s">
        <v>63020</v>
      </c>
      <c r="W3575" t="s">
        <v>44592</v>
      </c>
      <c r="X3575" t="s">
        <v>47430</v>
      </c>
    </row>
    <row r="3576" spans="1:24">
      <c r="A3576">
        <f>HYPERLINK("https://www.philgeps.gov.ph/GEPSNONPILOT/Tender/SplashBidNoticeAbstractUI.aspx?menuIndex=3&amp;refID=7164019&amp;Result=3","7164019")</f>
        <v>0</v>
      </c>
      <c r="B3576" t="s">
        <v>496</v>
      </c>
      <c r="C3576" t="s">
        <v>7306</v>
      </c>
      <c r="D3576" t="s">
        <v>19023</v>
      </c>
      <c r="E3576" t="s">
        <v>20319</v>
      </c>
      <c r="F3576" t="s">
        <v>32831</v>
      </c>
      <c r="G3576" t="s">
        <v>32839</v>
      </c>
      <c r="H3576" t="s">
        <v>32848</v>
      </c>
      <c r="I3576" t="s">
        <v>32864</v>
      </c>
      <c r="J3576" t="s">
        <v>35335</v>
      </c>
      <c r="K3576" t="s">
        <v>42730</v>
      </c>
      <c r="M3576" t="s">
        <v>43501</v>
      </c>
      <c r="N3576" t="s">
        <v>47424</v>
      </c>
      <c r="O3576" t="s">
        <v>47425</v>
      </c>
      <c r="P3576">
        <v>0</v>
      </c>
      <c r="Q3576">
        <v>6</v>
      </c>
      <c r="R3576" t="s">
        <v>47428</v>
      </c>
      <c r="S3576" t="s">
        <v>47541</v>
      </c>
      <c r="T3576" t="s">
        <v>49068</v>
      </c>
      <c r="U3576" t="s">
        <v>52714</v>
      </c>
      <c r="W3576" t="s">
        <v>43501</v>
      </c>
      <c r="X3576" t="s">
        <v>47430</v>
      </c>
    </row>
    <row r="3577" spans="1:24">
      <c r="A3577">
        <f>HYPERLINK("https://www.philgeps.gov.ph/GEPSNONPILOT/Tender/SplashBidNoticeAbstractUI.aspx?menuIndex=3&amp;refID=7163589&amp;Result=3","7163589")</f>
        <v>0</v>
      </c>
      <c r="B3577" t="s">
        <v>1495</v>
      </c>
      <c r="C3577" t="s">
        <v>7307</v>
      </c>
      <c r="D3577" t="s">
        <v>19049</v>
      </c>
      <c r="E3577" t="s">
        <v>19675</v>
      </c>
      <c r="F3577" t="s">
        <v>32831</v>
      </c>
      <c r="G3577" t="s">
        <v>32840</v>
      </c>
      <c r="H3577" t="s">
        <v>32848</v>
      </c>
      <c r="I3577" t="s">
        <v>7416</v>
      </c>
      <c r="J3577" t="s">
        <v>35336</v>
      </c>
      <c r="K3577" t="s">
        <v>42726</v>
      </c>
      <c r="M3577" t="s">
        <v>44593</v>
      </c>
      <c r="N3577" t="s">
        <v>47424</v>
      </c>
      <c r="O3577" t="s">
        <v>47425</v>
      </c>
      <c r="P3577">
        <v>0</v>
      </c>
      <c r="Q3577">
        <v>0</v>
      </c>
      <c r="R3577" t="s">
        <v>47428</v>
      </c>
      <c r="S3577" t="s">
        <v>47541</v>
      </c>
      <c r="T3577" t="s">
        <v>49073</v>
      </c>
      <c r="U3577" t="s">
        <v>52715</v>
      </c>
      <c r="W3577" t="s">
        <v>44593</v>
      </c>
      <c r="X3577" t="s">
        <v>47430</v>
      </c>
    </row>
    <row r="3578" spans="1:24">
      <c r="A3578">
        <f>HYPERLINK("https://www.philgeps.gov.ph/GEPSNONPILOT/Tender/SplashBidNoticeAbstractUI.aspx?menuIndex=3&amp;refID=7164063&amp;Result=3","7164063")</f>
        <v>0</v>
      </c>
      <c r="B3578" t="s">
        <v>1496</v>
      </c>
      <c r="C3578" t="s">
        <v>7308</v>
      </c>
      <c r="D3578" t="s">
        <v>19038</v>
      </c>
      <c r="E3578" t="s">
        <v>19311</v>
      </c>
      <c r="F3578" t="s">
        <v>32831</v>
      </c>
      <c r="G3578" t="s">
        <v>32839</v>
      </c>
      <c r="H3578" t="s">
        <v>32848</v>
      </c>
      <c r="I3578" t="s">
        <v>32864</v>
      </c>
      <c r="J3578" t="s">
        <v>35337</v>
      </c>
      <c r="K3578" t="s">
        <v>42731</v>
      </c>
      <c r="M3578" t="s">
        <v>44594</v>
      </c>
      <c r="N3578" t="s">
        <v>47424</v>
      </c>
      <c r="O3578" t="s">
        <v>47425</v>
      </c>
      <c r="P3578">
        <v>0</v>
      </c>
      <c r="Q3578">
        <v>1</v>
      </c>
      <c r="R3578" t="s">
        <v>47428</v>
      </c>
      <c r="S3578" t="s">
        <v>47541</v>
      </c>
      <c r="T3578" t="s">
        <v>49215</v>
      </c>
      <c r="U3578" t="s">
        <v>52716</v>
      </c>
      <c r="W3578" t="s">
        <v>44594</v>
      </c>
      <c r="X3578" t="s">
        <v>47430</v>
      </c>
    </row>
    <row r="3579" spans="1:24">
      <c r="A3579">
        <f>HYPERLINK("https://www.philgeps.gov.ph/GEPSNONPILOT/Tender/SplashBidNoticeAbstractUI.aspx?menuIndex=3&amp;refID=7163537&amp;Result=3","7163537")</f>
        <v>0</v>
      </c>
      <c r="B3579" t="s">
        <v>1497</v>
      </c>
      <c r="C3579" t="s">
        <v>7309</v>
      </c>
      <c r="D3579" t="s">
        <v>19080</v>
      </c>
      <c r="E3579" t="s">
        <v>22328</v>
      </c>
      <c r="F3579" t="s">
        <v>32831</v>
      </c>
      <c r="G3579" t="s">
        <v>32840</v>
      </c>
      <c r="H3579" t="s">
        <v>32848</v>
      </c>
      <c r="I3579" t="s">
        <v>32853</v>
      </c>
      <c r="J3579" t="s">
        <v>33025</v>
      </c>
      <c r="K3579" t="s">
        <v>42726</v>
      </c>
      <c r="M3579" t="s">
        <v>44595</v>
      </c>
      <c r="N3579" t="s">
        <v>47424</v>
      </c>
      <c r="O3579" t="s">
        <v>47425</v>
      </c>
      <c r="P3579">
        <v>0</v>
      </c>
      <c r="Q3579">
        <v>0</v>
      </c>
      <c r="R3579" t="s">
        <v>47428</v>
      </c>
      <c r="S3579" t="s">
        <v>47541</v>
      </c>
      <c r="T3579" t="s">
        <v>49129</v>
      </c>
      <c r="U3579" t="s">
        <v>52717</v>
      </c>
      <c r="V3579" t="s">
        <v>63021</v>
      </c>
      <c r="W3579" t="s">
        <v>44595</v>
      </c>
      <c r="X3579" t="s">
        <v>47430</v>
      </c>
    </row>
    <row r="3580" spans="1:24">
      <c r="A3580">
        <f>HYPERLINK("https://www.philgeps.gov.ph/GEPSNONPILOT/Tender/SplashBidNoticeAbstractUI.aspx?menuIndex=3&amp;refID=7164058&amp;Result=3","7164058")</f>
        <v>0</v>
      </c>
      <c r="B3580" t="s">
        <v>1443</v>
      </c>
      <c r="C3580" t="s">
        <v>7310</v>
      </c>
      <c r="D3580" t="s">
        <v>19058</v>
      </c>
      <c r="E3580" t="s">
        <v>22329</v>
      </c>
      <c r="F3580" t="s">
        <v>32831</v>
      </c>
      <c r="G3580" t="s">
        <v>32838</v>
      </c>
      <c r="H3580" t="s">
        <v>32848</v>
      </c>
      <c r="I3580" t="s">
        <v>7416</v>
      </c>
      <c r="J3580" t="s">
        <v>35338</v>
      </c>
      <c r="K3580" t="s">
        <v>42732</v>
      </c>
      <c r="M3580" t="s">
        <v>44535</v>
      </c>
      <c r="N3580" t="s">
        <v>47424</v>
      </c>
      <c r="O3580" t="s">
        <v>47425</v>
      </c>
      <c r="P3580">
        <v>0</v>
      </c>
      <c r="Q3580">
        <v>0</v>
      </c>
      <c r="R3580" t="s">
        <v>47428</v>
      </c>
      <c r="S3580" t="s">
        <v>47541</v>
      </c>
      <c r="T3580" t="s">
        <v>49073</v>
      </c>
      <c r="U3580" t="s">
        <v>52704</v>
      </c>
      <c r="W3580" t="s">
        <v>44535</v>
      </c>
      <c r="X3580" t="s">
        <v>47430</v>
      </c>
    </row>
    <row r="3581" spans="1:24">
      <c r="A3581">
        <f>HYPERLINK("https://www.philgeps.gov.ph/GEPSNONPILOT/Tender/SplashBidNoticeAbstractUI.aspx?menuIndex=3&amp;refID=7164067&amp;Result=3","7164067")</f>
        <v>0</v>
      </c>
      <c r="B3581" t="s">
        <v>1498</v>
      </c>
      <c r="C3581" t="s">
        <v>7311</v>
      </c>
      <c r="D3581" t="s">
        <v>19017</v>
      </c>
      <c r="E3581" t="s">
        <v>22330</v>
      </c>
      <c r="F3581" t="s">
        <v>32831</v>
      </c>
      <c r="G3581" t="s">
        <v>32838</v>
      </c>
      <c r="H3581" t="s">
        <v>32848</v>
      </c>
      <c r="I3581" t="s">
        <v>32894</v>
      </c>
      <c r="J3581" t="s">
        <v>35339</v>
      </c>
      <c r="K3581" t="s">
        <v>42727</v>
      </c>
      <c r="M3581" t="s">
        <v>44596</v>
      </c>
      <c r="N3581" t="s">
        <v>47424</v>
      </c>
      <c r="O3581" t="s">
        <v>47425</v>
      </c>
      <c r="P3581">
        <v>0</v>
      </c>
      <c r="Q3581">
        <v>7</v>
      </c>
      <c r="R3581" t="s">
        <v>47428</v>
      </c>
      <c r="S3581" t="s">
        <v>47541</v>
      </c>
      <c r="T3581" t="s">
        <v>49235</v>
      </c>
      <c r="U3581" t="s">
        <v>52718</v>
      </c>
      <c r="W3581" t="s">
        <v>44596</v>
      </c>
      <c r="X3581" t="s">
        <v>47430</v>
      </c>
    </row>
    <row r="3582" spans="1:24">
      <c r="A3582">
        <f>HYPERLINK("https://www.philgeps.gov.ph/GEPSNONPILOT/Tender/SplashBidNoticeAbstractUI.aspx?menuIndex=3&amp;refID=7164057&amp;Result=3","7164057")</f>
        <v>0</v>
      </c>
      <c r="B3582" t="s">
        <v>1499</v>
      </c>
      <c r="C3582" t="s">
        <v>7312</v>
      </c>
      <c r="D3582" t="s">
        <v>19044</v>
      </c>
      <c r="E3582" t="s">
        <v>22331</v>
      </c>
      <c r="F3582" t="s">
        <v>32831</v>
      </c>
      <c r="G3582" t="s">
        <v>32840</v>
      </c>
      <c r="H3582" t="s">
        <v>32848</v>
      </c>
      <c r="I3582" t="s">
        <v>32857</v>
      </c>
      <c r="J3582" t="s">
        <v>35340</v>
      </c>
      <c r="K3582" t="s">
        <v>42727</v>
      </c>
      <c r="M3582" t="s">
        <v>44597</v>
      </c>
      <c r="N3582" t="s">
        <v>47424</v>
      </c>
      <c r="O3582" t="s">
        <v>47425</v>
      </c>
      <c r="P3582">
        <v>0</v>
      </c>
      <c r="Q3582">
        <v>6</v>
      </c>
      <c r="R3582" t="s">
        <v>47428</v>
      </c>
      <c r="S3582" t="s">
        <v>47541</v>
      </c>
      <c r="T3582" t="s">
        <v>49198</v>
      </c>
      <c r="U3582" t="s">
        <v>52719</v>
      </c>
      <c r="W3582" t="s">
        <v>44597</v>
      </c>
      <c r="X3582" t="s">
        <v>47430</v>
      </c>
    </row>
    <row r="3583" spans="1:24">
      <c r="A3583">
        <f>HYPERLINK("https://www.philgeps.gov.ph/GEPSNONPILOT/Tender/SplashBidNoticeAbstractUI.aspx?menuIndex=3&amp;refID=7164054&amp;Result=3","7164054")</f>
        <v>0</v>
      </c>
      <c r="B3583" t="s">
        <v>1491</v>
      </c>
      <c r="C3583" t="s">
        <v>7297</v>
      </c>
      <c r="D3583" t="s">
        <v>19058</v>
      </c>
      <c r="E3583" t="s">
        <v>22332</v>
      </c>
      <c r="F3583" t="s">
        <v>32831</v>
      </c>
      <c r="G3583" t="s">
        <v>32838</v>
      </c>
      <c r="H3583" t="s">
        <v>32850</v>
      </c>
      <c r="I3583" t="s">
        <v>32864</v>
      </c>
      <c r="J3583" t="s">
        <v>35341</v>
      </c>
      <c r="K3583" t="s">
        <v>42726</v>
      </c>
      <c r="M3583" t="s">
        <v>44587</v>
      </c>
      <c r="N3583" t="s">
        <v>47424</v>
      </c>
      <c r="O3583" t="s">
        <v>47425</v>
      </c>
      <c r="P3583">
        <v>0</v>
      </c>
      <c r="Q3583">
        <v>2</v>
      </c>
      <c r="R3583" t="s">
        <v>47428</v>
      </c>
      <c r="S3583" t="s">
        <v>47541</v>
      </c>
      <c r="T3583" t="s">
        <v>49177</v>
      </c>
      <c r="U3583" t="s">
        <v>52720</v>
      </c>
      <c r="W3583" t="s">
        <v>44587</v>
      </c>
      <c r="X3583" t="s">
        <v>47430</v>
      </c>
    </row>
    <row r="3584" spans="1:24">
      <c r="A3584">
        <f>HYPERLINK("https://www.philgeps.gov.ph/GEPSNONPILOT/Tender/SplashBidNoticeAbstractUI.aspx?menuIndex=3&amp;refID=7164062&amp;Result=3","7164062")</f>
        <v>0</v>
      </c>
      <c r="B3584" t="s">
        <v>1491</v>
      </c>
      <c r="C3584" t="s">
        <v>7297</v>
      </c>
      <c r="D3584" t="s">
        <v>19058</v>
      </c>
      <c r="E3584" t="s">
        <v>22333</v>
      </c>
      <c r="F3584" t="s">
        <v>32831</v>
      </c>
      <c r="G3584" t="s">
        <v>32838</v>
      </c>
      <c r="H3584" t="s">
        <v>32850</v>
      </c>
      <c r="I3584" t="s">
        <v>32864</v>
      </c>
      <c r="J3584" t="s">
        <v>35342</v>
      </c>
      <c r="K3584" t="s">
        <v>42726</v>
      </c>
      <c r="M3584" t="s">
        <v>44587</v>
      </c>
      <c r="N3584" t="s">
        <v>47424</v>
      </c>
      <c r="O3584" t="s">
        <v>47425</v>
      </c>
      <c r="P3584">
        <v>0</v>
      </c>
      <c r="Q3584">
        <v>1</v>
      </c>
      <c r="R3584" t="s">
        <v>47428</v>
      </c>
      <c r="S3584" t="s">
        <v>47541</v>
      </c>
      <c r="T3584" t="s">
        <v>49177</v>
      </c>
      <c r="U3584" t="s">
        <v>52721</v>
      </c>
      <c r="W3584" t="s">
        <v>44587</v>
      </c>
      <c r="X3584" t="s">
        <v>47430</v>
      </c>
    </row>
    <row r="3585" spans="1:24">
      <c r="A3585">
        <f>HYPERLINK("https://www.philgeps.gov.ph/GEPSNONPILOT/Tender/SplashBidNoticeAbstractUI.aspx?menuIndex=3&amp;refID=7164020&amp;Result=3","7164020")</f>
        <v>0</v>
      </c>
      <c r="B3585" t="s">
        <v>1500</v>
      </c>
      <c r="C3585" t="s">
        <v>7313</v>
      </c>
      <c r="D3585" t="s">
        <v>19050</v>
      </c>
      <c r="E3585" t="s">
        <v>22334</v>
      </c>
      <c r="F3585" t="s">
        <v>32831</v>
      </c>
      <c r="G3585" t="s">
        <v>32839</v>
      </c>
      <c r="H3585" t="s">
        <v>32848</v>
      </c>
      <c r="I3585" t="s">
        <v>32874</v>
      </c>
      <c r="J3585" t="s">
        <v>35343</v>
      </c>
      <c r="K3585" t="s">
        <v>42727</v>
      </c>
      <c r="M3585" t="s">
        <v>44598</v>
      </c>
      <c r="N3585" t="s">
        <v>47424</v>
      </c>
      <c r="O3585" t="s">
        <v>47425</v>
      </c>
      <c r="P3585">
        <v>0</v>
      </c>
      <c r="Q3585">
        <v>7</v>
      </c>
      <c r="R3585" t="s">
        <v>47428</v>
      </c>
      <c r="S3585" t="s">
        <v>47541</v>
      </c>
      <c r="T3585" t="s">
        <v>49250</v>
      </c>
      <c r="U3585" t="s">
        <v>52722</v>
      </c>
      <c r="W3585" t="s">
        <v>44598</v>
      </c>
      <c r="X3585" t="s">
        <v>47430</v>
      </c>
    </row>
    <row r="3586" spans="1:24">
      <c r="A3586">
        <f>HYPERLINK("https://www.philgeps.gov.ph/GEPSNONPILOT/Tender/SplashBidNoticeAbstractUI.aspx?menuIndex=3&amp;refID=7164060&amp;Result=3","7164060")</f>
        <v>0</v>
      </c>
      <c r="B3586" t="s">
        <v>1501</v>
      </c>
      <c r="C3586" t="s">
        <v>7314</v>
      </c>
      <c r="D3586" t="s">
        <v>19027</v>
      </c>
      <c r="E3586" t="s">
        <v>22335</v>
      </c>
      <c r="F3586" t="s">
        <v>32831</v>
      </c>
      <c r="G3586" t="s">
        <v>32838</v>
      </c>
      <c r="H3586" t="s">
        <v>32848</v>
      </c>
      <c r="I3586" t="s">
        <v>32857</v>
      </c>
      <c r="J3586" t="s">
        <v>35344</v>
      </c>
      <c r="K3586" t="s">
        <v>42726</v>
      </c>
      <c r="M3586" t="s">
        <v>44599</v>
      </c>
      <c r="N3586" t="s">
        <v>47424</v>
      </c>
      <c r="O3586" t="s">
        <v>47425</v>
      </c>
      <c r="P3586">
        <v>0</v>
      </c>
      <c r="Q3586">
        <v>0</v>
      </c>
      <c r="R3586" t="s">
        <v>47428</v>
      </c>
      <c r="S3586" t="s">
        <v>47541</v>
      </c>
      <c r="T3586" t="s">
        <v>49111</v>
      </c>
      <c r="U3586" t="s">
        <v>52723</v>
      </c>
      <c r="W3586" t="s">
        <v>44599</v>
      </c>
      <c r="X3586" t="s">
        <v>47430</v>
      </c>
    </row>
    <row r="3587" spans="1:24">
      <c r="A3587">
        <f>HYPERLINK("https://www.philgeps.gov.ph/GEPSNONPILOT/Tender/SplashBidNoticeAbstractUI.aspx?menuIndex=3&amp;refID=7164115&amp;Result=3","7164115")</f>
        <v>0</v>
      </c>
      <c r="B3587" t="s">
        <v>338</v>
      </c>
      <c r="C3587" t="s">
        <v>7315</v>
      </c>
      <c r="D3587" t="s">
        <v>19019</v>
      </c>
      <c r="E3587" t="s">
        <v>22336</v>
      </c>
      <c r="F3587" t="s">
        <v>32831</v>
      </c>
      <c r="G3587" t="s">
        <v>32840</v>
      </c>
      <c r="H3587" t="s">
        <v>32848</v>
      </c>
      <c r="I3587" t="s">
        <v>9577</v>
      </c>
      <c r="J3587" t="s">
        <v>33292</v>
      </c>
      <c r="K3587" t="s">
        <v>42758</v>
      </c>
      <c r="M3587" t="s">
        <v>44600</v>
      </c>
      <c r="N3587" t="s">
        <v>47424</v>
      </c>
      <c r="O3587" t="s">
        <v>47425</v>
      </c>
      <c r="P3587">
        <v>0</v>
      </c>
      <c r="Q3587">
        <v>1</v>
      </c>
      <c r="R3587" t="s">
        <v>47428</v>
      </c>
      <c r="S3587" t="s">
        <v>47541</v>
      </c>
      <c r="T3587" t="s">
        <v>49237</v>
      </c>
      <c r="U3587" t="s">
        <v>52724</v>
      </c>
      <c r="W3587" t="s">
        <v>44600</v>
      </c>
      <c r="X3587" t="s">
        <v>47430</v>
      </c>
    </row>
    <row r="3588" spans="1:24">
      <c r="A3588">
        <f>HYPERLINK("https://www.philgeps.gov.ph/GEPSNONPILOT/Tender/SplashBidNoticeAbstractUI.aspx?menuIndex=3&amp;refID=7164055&amp;Result=3","7164055")</f>
        <v>0</v>
      </c>
      <c r="B3588" t="s">
        <v>1502</v>
      </c>
      <c r="C3588" t="s">
        <v>7316</v>
      </c>
      <c r="D3588" t="s">
        <v>19043</v>
      </c>
      <c r="E3588" t="s">
        <v>7316</v>
      </c>
      <c r="F3588" t="s">
        <v>32833</v>
      </c>
      <c r="G3588" t="s">
        <v>32840</v>
      </c>
      <c r="H3588" t="s">
        <v>32848</v>
      </c>
      <c r="I3588" t="s">
        <v>10888</v>
      </c>
      <c r="J3588" t="s">
        <v>32980</v>
      </c>
      <c r="K3588" t="s">
        <v>42726</v>
      </c>
      <c r="M3588" t="s">
        <v>44601</v>
      </c>
      <c r="N3588" t="s">
        <v>47424</v>
      </c>
      <c r="O3588" t="s">
        <v>47425</v>
      </c>
      <c r="P3588">
        <v>0</v>
      </c>
      <c r="Q3588">
        <v>1</v>
      </c>
      <c r="R3588" t="s">
        <v>47428</v>
      </c>
      <c r="S3588" t="s">
        <v>47541</v>
      </c>
      <c r="T3588" t="s">
        <v>49123</v>
      </c>
      <c r="U3588" t="s">
        <v>52725</v>
      </c>
      <c r="W3588" t="s">
        <v>44601</v>
      </c>
      <c r="X3588" t="s">
        <v>47430</v>
      </c>
    </row>
    <row r="3589" spans="1:24">
      <c r="A3589">
        <f>HYPERLINK("https://www.philgeps.gov.ph/GEPSNONPILOT/Tender/SplashBidNoticeAbstractUI.aspx?menuIndex=3&amp;refID=7164114&amp;Result=3","7164114")</f>
        <v>0</v>
      </c>
      <c r="B3589" t="s">
        <v>1503</v>
      </c>
      <c r="C3589" t="s">
        <v>7317</v>
      </c>
      <c r="D3589" t="s">
        <v>19023</v>
      </c>
      <c r="E3589" t="s">
        <v>22337</v>
      </c>
      <c r="F3589" t="s">
        <v>32831</v>
      </c>
      <c r="G3589" t="s">
        <v>32838</v>
      </c>
      <c r="H3589" t="s">
        <v>32848</v>
      </c>
      <c r="I3589" t="s">
        <v>4435</v>
      </c>
      <c r="J3589" t="s">
        <v>33162</v>
      </c>
      <c r="K3589" t="s">
        <v>42732</v>
      </c>
      <c r="M3589" t="s">
        <v>44602</v>
      </c>
      <c r="N3589" t="s">
        <v>47424</v>
      </c>
      <c r="O3589" t="s">
        <v>47425</v>
      </c>
      <c r="P3589">
        <v>0</v>
      </c>
      <c r="Q3589">
        <v>1</v>
      </c>
      <c r="R3589" t="s">
        <v>47428</v>
      </c>
      <c r="S3589" t="s">
        <v>47541</v>
      </c>
      <c r="T3589" t="s">
        <v>49100</v>
      </c>
      <c r="U3589" t="s">
        <v>52726</v>
      </c>
      <c r="W3589" t="s">
        <v>44602</v>
      </c>
      <c r="X3589" t="s">
        <v>47430</v>
      </c>
    </row>
    <row r="3590" spans="1:24">
      <c r="A3590">
        <f>HYPERLINK("https://www.philgeps.gov.ph/GEPSNONPILOT/Tender/SplashBidNoticeAbstractUI.aspx?menuIndex=3&amp;refID=7164113&amp;Result=3","7164113")</f>
        <v>0</v>
      </c>
      <c r="B3590" t="s">
        <v>1437</v>
      </c>
      <c r="C3590" t="s">
        <v>7318</v>
      </c>
      <c r="D3590" t="s">
        <v>19068</v>
      </c>
      <c r="E3590" t="s">
        <v>7318</v>
      </c>
      <c r="F3590" t="s">
        <v>32831</v>
      </c>
      <c r="G3590" t="s">
        <v>32838</v>
      </c>
      <c r="H3590" t="s">
        <v>32850</v>
      </c>
      <c r="I3590" t="s">
        <v>32863</v>
      </c>
      <c r="J3590" t="s">
        <v>32985</v>
      </c>
      <c r="K3590" t="s">
        <v>42763</v>
      </c>
      <c r="M3590" t="s">
        <v>44527</v>
      </c>
      <c r="N3590" t="s">
        <v>47424</v>
      </c>
      <c r="O3590" t="s">
        <v>47425</v>
      </c>
      <c r="P3590">
        <v>0</v>
      </c>
      <c r="Q3590">
        <v>2</v>
      </c>
      <c r="R3590" t="s">
        <v>47428</v>
      </c>
      <c r="S3590" t="s">
        <v>47541</v>
      </c>
      <c r="T3590" t="s">
        <v>49198</v>
      </c>
      <c r="U3590" t="s">
        <v>52727</v>
      </c>
      <c r="V3590" t="s">
        <v>62997</v>
      </c>
      <c r="W3590" t="s">
        <v>44527</v>
      </c>
      <c r="X3590" t="s">
        <v>47430</v>
      </c>
    </row>
    <row r="3591" spans="1:24">
      <c r="A3591">
        <f>HYPERLINK("https://www.philgeps.gov.ph/GEPSNONPILOT/Tender/SplashBidNoticeAbstractUI.aspx?menuIndex=3&amp;refID=7164107&amp;Result=3","7164107")</f>
        <v>0</v>
      </c>
      <c r="B3591" t="s">
        <v>1504</v>
      </c>
      <c r="C3591" t="s">
        <v>7319</v>
      </c>
      <c r="D3591" t="s">
        <v>19057</v>
      </c>
      <c r="E3591" t="s">
        <v>22338</v>
      </c>
      <c r="F3591" t="s">
        <v>32831</v>
      </c>
      <c r="G3591" t="s">
        <v>32840</v>
      </c>
      <c r="H3591" t="s">
        <v>32848</v>
      </c>
      <c r="I3591" t="s">
        <v>32856</v>
      </c>
      <c r="J3591" t="s">
        <v>33007</v>
      </c>
      <c r="K3591" t="s">
        <v>42731</v>
      </c>
      <c r="M3591" t="s">
        <v>44603</v>
      </c>
      <c r="N3591" t="s">
        <v>47424</v>
      </c>
      <c r="O3591" t="s">
        <v>47425</v>
      </c>
      <c r="P3591">
        <v>0</v>
      </c>
      <c r="Q3591">
        <v>0</v>
      </c>
      <c r="R3591" t="s">
        <v>47428</v>
      </c>
      <c r="S3591" t="s">
        <v>47541</v>
      </c>
      <c r="T3591" t="s">
        <v>49066</v>
      </c>
      <c r="U3591" t="s">
        <v>52728</v>
      </c>
      <c r="W3591" t="s">
        <v>44603</v>
      </c>
      <c r="X3591" t="s">
        <v>47430</v>
      </c>
    </row>
    <row r="3592" spans="1:24">
      <c r="A3592">
        <f>HYPERLINK("https://www.philgeps.gov.ph/GEPSNONPILOT/Tender/SplashBidNoticeAbstractUI.aspx?menuIndex=3&amp;refID=7164051&amp;Result=3","7164051")</f>
        <v>0</v>
      </c>
      <c r="B3592" t="s">
        <v>1493</v>
      </c>
      <c r="C3592" t="s">
        <v>7320</v>
      </c>
      <c r="D3592" t="s">
        <v>19019</v>
      </c>
      <c r="E3592" t="s">
        <v>22339</v>
      </c>
      <c r="F3592" t="s">
        <v>32831</v>
      </c>
      <c r="G3592" t="s">
        <v>32839</v>
      </c>
      <c r="H3592" t="s">
        <v>32849</v>
      </c>
      <c r="I3592" t="s">
        <v>4177</v>
      </c>
      <c r="J3592" t="s">
        <v>35345</v>
      </c>
      <c r="K3592" t="s">
        <v>42840</v>
      </c>
      <c r="M3592" t="s">
        <v>44590</v>
      </c>
      <c r="N3592" t="s">
        <v>47424</v>
      </c>
      <c r="O3592" t="s">
        <v>47425</v>
      </c>
      <c r="P3592">
        <v>0</v>
      </c>
      <c r="Q3592">
        <v>9</v>
      </c>
      <c r="R3592" t="s">
        <v>47428</v>
      </c>
      <c r="S3592" t="s">
        <v>47541</v>
      </c>
      <c r="T3592" t="s">
        <v>49188</v>
      </c>
      <c r="U3592" t="s">
        <v>52729</v>
      </c>
      <c r="V3592" t="s">
        <v>63017</v>
      </c>
      <c r="W3592" t="s">
        <v>44590</v>
      </c>
      <c r="X3592" t="s">
        <v>47430</v>
      </c>
    </row>
    <row r="3593" spans="1:24">
      <c r="A3593">
        <f>HYPERLINK("https://www.philgeps.gov.ph/GEPSNONPILOT/Tender/SplashBidNoticeAbstractUI.aspx?menuIndex=3&amp;refID=7164101&amp;Result=3","7164101")</f>
        <v>0</v>
      </c>
      <c r="B3593" t="s">
        <v>1503</v>
      </c>
      <c r="C3593" t="s">
        <v>7321</v>
      </c>
      <c r="D3593" t="s">
        <v>19023</v>
      </c>
      <c r="E3593" t="s">
        <v>22340</v>
      </c>
      <c r="F3593" t="s">
        <v>32831</v>
      </c>
      <c r="G3593" t="s">
        <v>32838</v>
      </c>
      <c r="H3593" t="s">
        <v>32848</v>
      </c>
      <c r="I3593" t="s">
        <v>4776</v>
      </c>
      <c r="J3593" t="s">
        <v>35346</v>
      </c>
      <c r="K3593" t="s">
        <v>42732</v>
      </c>
      <c r="M3593" t="s">
        <v>44602</v>
      </c>
      <c r="N3593" t="s">
        <v>47424</v>
      </c>
      <c r="O3593" t="s">
        <v>47425</v>
      </c>
      <c r="P3593">
        <v>0</v>
      </c>
      <c r="Q3593">
        <v>1</v>
      </c>
      <c r="R3593" t="s">
        <v>47428</v>
      </c>
      <c r="S3593" t="s">
        <v>47541</v>
      </c>
      <c r="T3593" t="s">
        <v>49100</v>
      </c>
      <c r="U3593" t="s">
        <v>52726</v>
      </c>
      <c r="W3593" t="s">
        <v>44602</v>
      </c>
      <c r="X3593" t="s">
        <v>47430</v>
      </c>
    </row>
    <row r="3594" spans="1:24">
      <c r="A3594">
        <f>HYPERLINK("https://www.philgeps.gov.ph/GEPSNONPILOT/Tender/SplashBidNoticeAbstractUI.aspx?menuIndex=3&amp;refID=7164099&amp;Result=3","7164099")</f>
        <v>0</v>
      </c>
      <c r="B3594" t="s">
        <v>1505</v>
      </c>
      <c r="C3594" t="s">
        <v>6835</v>
      </c>
      <c r="D3594" t="s">
        <v>19086</v>
      </c>
      <c r="E3594" t="s">
        <v>22341</v>
      </c>
      <c r="F3594" t="s">
        <v>32831</v>
      </c>
      <c r="G3594" t="s">
        <v>32838</v>
      </c>
      <c r="H3594" t="s">
        <v>32848</v>
      </c>
      <c r="I3594" t="s">
        <v>9577</v>
      </c>
      <c r="J3594" t="s">
        <v>35347</v>
      </c>
      <c r="K3594" t="s">
        <v>42726</v>
      </c>
      <c r="M3594" t="s">
        <v>44604</v>
      </c>
      <c r="N3594" t="s">
        <v>47424</v>
      </c>
      <c r="O3594" t="s">
        <v>47425</v>
      </c>
      <c r="P3594">
        <v>0</v>
      </c>
      <c r="Q3594">
        <v>6</v>
      </c>
      <c r="R3594" t="s">
        <v>47428</v>
      </c>
      <c r="S3594" t="s">
        <v>47541</v>
      </c>
      <c r="T3594" t="s">
        <v>49237</v>
      </c>
      <c r="U3594" t="s">
        <v>52730</v>
      </c>
      <c r="W3594" t="s">
        <v>44604</v>
      </c>
      <c r="X3594" t="s">
        <v>47430</v>
      </c>
    </row>
    <row r="3595" spans="1:24">
      <c r="A3595">
        <f>HYPERLINK("https://www.philgeps.gov.ph/GEPSNONPILOT/Tender/SplashBidNoticeAbstractUI.aspx?menuIndex=3&amp;refID=7163965&amp;Result=3","7163965")</f>
        <v>0</v>
      </c>
      <c r="B3595" t="s">
        <v>1464</v>
      </c>
      <c r="C3595" t="s">
        <v>7322</v>
      </c>
      <c r="D3595" t="s">
        <v>19050</v>
      </c>
      <c r="E3595" t="s">
        <v>22342</v>
      </c>
      <c r="F3595" t="s">
        <v>32831</v>
      </c>
      <c r="G3595" t="s">
        <v>32838</v>
      </c>
      <c r="H3595" t="s">
        <v>32848</v>
      </c>
      <c r="I3595" t="s">
        <v>32905</v>
      </c>
      <c r="J3595" t="s">
        <v>33600</v>
      </c>
      <c r="K3595" t="s">
        <v>42758</v>
      </c>
      <c r="M3595" t="s">
        <v>44556</v>
      </c>
      <c r="N3595" t="s">
        <v>47424</v>
      </c>
      <c r="O3595" t="s">
        <v>47425</v>
      </c>
      <c r="P3595">
        <v>0</v>
      </c>
      <c r="Q3595">
        <v>0</v>
      </c>
      <c r="R3595" t="s">
        <v>47428</v>
      </c>
      <c r="S3595" t="s">
        <v>47541</v>
      </c>
      <c r="T3595" t="s">
        <v>49237</v>
      </c>
      <c r="U3595" t="s">
        <v>52620</v>
      </c>
      <c r="W3595" t="s">
        <v>44556</v>
      </c>
      <c r="X3595" t="s">
        <v>47430</v>
      </c>
    </row>
    <row r="3596" spans="1:24">
      <c r="A3596">
        <f>HYPERLINK("https://www.philgeps.gov.ph/GEPSNONPILOT/Tender/SplashBidNoticeAbstractUI.aspx?menuIndex=3&amp;refID=7164097&amp;Result=3","7164097")</f>
        <v>0</v>
      </c>
      <c r="B3596" t="s">
        <v>1506</v>
      </c>
      <c r="C3596" t="s">
        <v>7323</v>
      </c>
      <c r="D3596" t="s">
        <v>19048</v>
      </c>
      <c r="E3596" t="s">
        <v>22343</v>
      </c>
      <c r="F3596" t="s">
        <v>32831</v>
      </c>
      <c r="G3596" t="s">
        <v>32839</v>
      </c>
      <c r="H3596" t="s">
        <v>32848</v>
      </c>
      <c r="I3596" t="s">
        <v>32884</v>
      </c>
      <c r="J3596" t="s">
        <v>35348</v>
      </c>
      <c r="K3596" t="s">
        <v>42730</v>
      </c>
      <c r="M3596" t="s">
        <v>44605</v>
      </c>
      <c r="N3596" t="s">
        <v>47424</v>
      </c>
      <c r="O3596" t="s">
        <v>47425</v>
      </c>
      <c r="P3596">
        <v>0</v>
      </c>
      <c r="Q3596">
        <v>7</v>
      </c>
      <c r="R3596" t="s">
        <v>47428</v>
      </c>
      <c r="S3596" t="s">
        <v>47541</v>
      </c>
      <c r="T3596" t="s">
        <v>49133</v>
      </c>
      <c r="U3596" t="s">
        <v>52731</v>
      </c>
      <c r="W3596" t="s">
        <v>44605</v>
      </c>
      <c r="X3596" t="s">
        <v>47430</v>
      </c>
    </row>
    <row r="3597" spans="1:24">
      <c r="A3597">
        <f>HYPERLINK("https://www.philgeps.gov.ph/GEPSNONPILOT/Tender/SplashBidNoticeAbstractUI.aspx?menuIndex=3&amp;refID=7164110&amp;Result=3","7164110")</f>
        <v>0</v>
      </c>
      <c r="B3597" t="s">
        <v>512</v>
      </c>
      <c r="C3597" t="s">
        <v>7324</v>
      </c>
      <c r="D3597" t="s">
        <v>19018</v>
      </c>
      <c r="E3597" t="s">
        <v>7324</v>
      </c>
      <c r="F3597" t="s">
        <v>32831</v>
      </c>
      <c r="G3597" t="s">
        <v>32838</v>
      </c>
      <c r="H3597" t="s">
        <v>32848</v>
      </c>
      <c r="I3597" t="s">
        <v>32862</v>
      </c>
      <c r="J3597" t="s">
        <v>34599</v>
      </c>
      <c r="K3597" t="s">
        <v>42727</v>
      </c>
      <c r="M3597" t="s">
        <v>43517</v>
      </c>
      <c r="N3597" t="s">
        <v>47424</v>
      </c>
      <c r="O3597" t="s">
        <v>47425</v>
      </c>
      <c r="P3597">
        <v>0</v>
      </c>
      <c r="Q3597">
        <v>0</v>
      </c>
      <c r="R3597" t="s">
        <v>47428</v>
      </c>
      <c r="S3597" t="s">
        <v>47541</v>
      </c>
      <c r="T3597" t="s">
        <v>49111</v>
      </c>
      <c r="U3597" t="s">
        <v>52732</v>
      </c>
      <c r="W3597" t="s">
        <v>43517</v>
      </c>
      <c r="X3597" t="s">
        <v>47430</v>
      </c>
    </row>
    <row r="3598" spans="1:24">
      <c r="A3598">
        <f>HYPERLINK("https://www.philgeps.gov.ph/GEPSNONPILOT/Tender/SplashBidNoticeAbstractUI.aspx?menuIndex=3&amp;refID=7164094&amp;Result=3","7164094")</f>
        <v>0</v>
      </c>
      <c r="B3598" t="s">
        <v>1507</v>
      </c>
      <c r="C3598" t="s">
        <v>7325</v>
      </c>
      <c r="D3598" t="s">
        <v>19056</v>
      </c>
      <c r="E3598" t="s">
        <v>22344</v>
      </c>
      <c r="F3598" t="s">
        <v>32831</v>
      </c>
      <c r="G3598" t="s">
        <v>32840</v>
      </c>
      <c r="H3598" t="s">
        <v>32848</v>
      </c>
      <c r="I3598" t="s">
        <v>6526</v>
      </c>
      <c r="J3598" t="s">
        <v>33140</v>
      </c>
      <c r="K3598" t="s">
        <v>42730</v>
      </c>
      <c r="M3598" t="s">
        <v>44606</v>
      </c>
      <c r="N3598" t="s">
        <v>47424</v>
      </c>
      <c r="O3598" t="s">
        <v>47425</v>
      </c>
      <c r="P3598">
        <v>0</v>
      </c>
      <c r="Q3598">
        <v>0</v>
      </c>
      <c r="R3598" t="s">
        <v>47428</v>
      </c>
      <c r="S3598" t="s">
        <v>47541</v>
      </c>
      <c r="T3598" t="s">
        <v>49111</v>
      </c>
      <c r="U3598" t="s">
        <v>52733</v>
      </c>
      <c r="W3598" t="s">
        <v>44606</v>
      </c>
      <c r="X3598" t="s">
        <v>47430</v>
      </c>
    </row>
    <row r="3599" spans="1:24">
      <c r="A3599">
        <f>HYPERLINK("https://www.philgeps.gov.ph/GEPSNONPILOT/Tender/SplashBidNoticeAbstractUI.aspx?menuIndex=3&amp;refID=7164091&amp;Result=3","7164091")</f>
        <v>0</v>
      </c>
      <c r="B3599" t="s">
        <v>1508</v>
      </c>
      <c r="C3599" t="s">
        <v>7326</v>
      </c>
      <c r="D3599" t="s">
        <v>19045</v>
      </c>
      <c r="E3599" t="s">
        <v>22345</v>
      </c>
      <c r="F3599" t="s">
        <v>32831</v>
      </c>
      <c r="G3599" t="s">
        <v>32839</v>
      </c>
      <c r="H3599" t="s">
        <v>32848</v>
      </c>
      <c r="I3599" t="s">
        <v>7416</v>
      </c>
      <c r="J3599" t="s">
        <v>35349</v>
      </c>
      <c r="K3599" t="s">
        <v>42727</v>
      </c>
      <c r="M3599" t="s">
        <v>44607</v>
      </c>
      <c r="N3599" t="s">
        <v>47424</v>
      </c>
      <c r="O3599" t="s">
        <v>47425</v>
      </c>
      <c r="P3599">
        <v>0</v>
      </c>
      <c r="Q3599">
        <v>0</v>
      </c>
      <c r="R3599" t="s">
        <v>47428</v>
      </c>
      <c r="S3599" t="s">
        <v>47541</v>
      </c>
      <c r="T3599" t="s">
        <v>49066</v>
      </c>
      <c r="U3599" t="s">
        <v>52734</v>
      </c>
      <c r="W3599" t="s">
        <v>44607</v>
      </c>
      <c r="X3599" t="s">
        <v>47430</v>
      </c>
    </row>
    <row r="3600" spans="1:24">
      <c r="A3600">
        <f>HYPERLINK("https://www.philgeps.gov.ph/GEPSNONPILOT/Tender/SplashBidNoticeAbstractUI.aspx?menuIndex=3&amp;refID=7164100&amp;Result=3","7164100")</f>
        <v>0</v>
      </c>
      <c r="B3600" t="s">
        <v>1437</v>
      </c>
      <c r="C3600" t="s">
        <v>7327</v>
      </c>
      <c r="D3600" t="s">
        <v>19040</v>
      </c>
      <c r="E3600" t="s">
        <v>7327</v>
      </c>
      <c r="F3600" t="s">
        <v>32831</v>
      </c>
      <c r="G3600" t="s">
        <v>32838</v>
      </c>
      <c r="H3600" t="s">
        <v>32850</v>
      </c>
      <c r="I3600" t="s">
        <v>32863</v>
      </c>
      <c r="J3600" t="s">
        <v>32985</v>
      </c>
      <c r="K3600" t="s">
        <v>42730</v>
      </c>
      <c r="M3600" t="s">
        <v>44527</v>
      </c>
      <c r="N3600" t="s">
        <v>47424</v>
      </c>
      <c r="O3600" t="s">
        <v>47425</v>
      </c>
      <c r="P3600">
        <v>0</v>
      </c>
      <c r="Q3600">
        <v>2</v>
      </c>
      <c r="R3600" t="s">
        <v>47428</v>
      </c>
      <c r="S3600" t="s">
        <v>47541</v>
      </c>
      <c r="T3600" t="s">
        <v>49198</v>
      </c>
      <c r="U3600" t="s">
        <v>52735</v>
      </c>
      <c r="V3600" t="s">
        <v>62997</v>
      </c>
      <c r="W3600" t="s">
        <v>44527</v>
      </c>
      <c r="X3600" t="s">
        <v>47430</v>
      </c>
    </row>
    <row r="3601" spans="1:24">
      <c r="A3601">
        <f>HYPERLINK("https://www.philgeps.gov.ph/GEPSNONPILOT/Tender/SplashBidNoticeAbstractUI.aspx?menuIndex=3&amp;refID=7163975&amp;Result=3","7163975")</f>
        <v>0</v>
      </c>
      <c r="B3601" t="s">
        <v>1420</v>
      </c>
      <c r="C3601" t="s">
        <v>7328</v>
      </c>
      <c r="D3601" t="s">
        <v>19033</v>
      </c>
      <c r="E3601" t="s">
        <v>22346</v>
      </c>
      <c r="F3601" t="s">
        <v>32831</v>
      </c>
      <c r="G3601" t="s">
        <v>32840</v>
      </c>
      <c r="H3601" t="s">
        <v>32848</v>
      </c>
      <c r="I3601" t="s">
        <v>32863</v>
      </c>
      <c r="J3601" t="s">
        <v>33029</v>
      </c>
      <c r="K3601" t="s">
        <v>42731</v>
      </c>
      <c r="M3601" t="s">
        <v>44583</v>
      </c>
      <c r="N3601" t="s">
        <v>47424</v>
      </c>
      <c r="O3601" t="s">
        <v>47425</v>
      </c>
      <c r="P3601">
        <v>0</v>
      </c>
      <c r="Q3601">
        <v>0</v>
      </c>
      <c r="R3601" t="s">
        <v>47428</v>
      </c>
      <c r="S3601" t="s">
        <v>47541</v>
      </c>
      <c r="T3601" t="s">
        <v>49163</v>
      </c>
      <c r="U3601" t="s">
        <v>52736</v>
      </c>
      <c r="W3601" t="s">
        <v>64468</v>
      </c>
      <c r="X3601" t="s">
        <v>47430</v>
      </c>
    </row>
    <row r="3602" spans="1:24">
      <c r="A3602">
        <f>HYPERLINK("https://www.philgeps.gov.ph/GEPSNONPILOT/Tender/SplashBidNoticeAbstractUI.aspx?menuIndex=3&amp;refID=7164140&amp;Result=3","7164140")</f>
        <v>0</v>
      </c>
      <c r="B3602" t="s">
        <v>1509</v>
      </c>
      <c r="C3602" t="s">
        <v>7329</v>
      </c>
      <c r="E3602" t="s">
        <v>19670</v>
      </c>
      <c r="F3602" t="s">
        <v>32831</v>
      </c>
      <c r="G3602" t="s">
        <v>32839</v>
      </c>
      <c r="H3602" t="s">
        <v>32849</v>
      </c>
      <c r="I3602" t="s">
        <v>4177</v>
      </c>
      <c r="J3602" t="s">
        <v>33364</v>
      </c>
      <c r="K3602" t="s">
        <v>42732</v>
      </c>
      <c r="M3602" t="s">
        <v>44608</v>
      </c>
      <c r="N3602" t="s">
        <v>47424</v>
      </c>
      <c r="O3602" t="s">
        <v>47425</v>
      </c>
      <c r="P3602">
        <v>0</v>
      </c>
      <c r="Q3602">
        <v>0</v>
      </c>
      <c r="R3602" t="s">
        <v>47428</v>
      </c>
      <c r="S3602" t="s">
        <v>47541</v>
      </c>
      <c r="T3602" t="s">
        <v>49105</v>
      </c>
      <c r="U3602" t="s">
        <v>52737</v>
      </c>
      <c r="W3602" t="s">
        <v>44608</v>
      </c>
      <c r="X3602" t="s">
        <v>47430</v>
      </c>
    </row>
    <row r="3603" spans="1:24">
      <c r="A3603">
        <f>HYPERLINK("https://www.philgeps.gov.ph/GEPSNONPILOT/Tender/SplashBidNoticeAbstractUI.aspx?menuIndex=3&amp;refID=7164139&amp;Result=3","7164139")</f>
        <v>0</v>
      </c>
      <c r="B3603" t="s">
        <v>512</v>
      </c>
      <c r="C3603" t="s">
        <v>7330</v>
      </c>
      <c r="D3603" t="s">
        <v>19018</v>
      </c>
      <c r="E3603" t="s">
        <v>7330</v>
      </c>
      <c r="F3603" t="s">
        <v>32831</v>
      </c>
      <c r="G3603" t="s">
        <v>32838</v>
      </c>
      <c r="H3603" t="s">
        <v>32848</v>
      </c>
      <c r="I3603" t="s">
        <v>32862</v>
      </c>
      <c r="J3603" t="s">
        <v>35350</v>
      </c>
      <c r="K3603" t="s">
        <v>42727</v>
      </c>
      <c r="M3603" t="s">
        <v>43517</v>
      </c>
      <c r="N3603" t="s">
        <v>47424</v>
      </c>
      <c r="O3603" t="s">
        <v>47425</v>
      </c>
      <c r="P3603">
        <v>0</v>
      </c>
      <c r="Q3603">
        <v>0</v>
      </c>
      <c r="R3603" t="s">
        <v>47428</v>
      </c>
      <c r="S3603" t="s">
        <v>47541</v>
      </c>
      <c r="T3603" t="s">
        <v>49111</v>
      </c>
      <c r="U3603" t="s">
        <v>52732</v>
      </c>
      <c r="W3603" t="s">
        <v>43517</v>
      </c>
      <c r="X3603" t="s">
        <v>47430</v>
      </c>
    </row>
    <row r="3604" spans="1:24">
      <c r="A3604">
        <f>HYPERLINK("https://www.philgeps.gov.ph/GEPSNONPILOT/Tender/SplashBidNoticeAbstractUI.aspx?menuIndex=3&amp;refID=7164138&amp;Result=3","7164138")</f>
        <v>0</v>
      </c>
      <c r="B3604" t="s">
        <v>567</v>
      </c>
      <c r="C3604" t="s">
        <v>7331</v>
      </c>
      <c r="D3604" t="s">
        <v>19031</v>
      </c>
      <c r="E3604" t="s">
        <v>22347</v>
      </c>
      <c r="F3604" t="s">
        <v>32831</v>
      </c>
      <c r="G3604" t="s">
        <v>32842</v>
      </c>
      <c r="H3604" t="s">
        <v>32848</v>
      </c>
      <c r="I3604" t="s">
        <v>9577</v>
      </c>
      <c r="J3604" t="s">
        <v>35351</v>
      </c>
      <c r="K3604" t="s">
        <v>42727</v>
      </c>
      <c r="M3604" t="s">
        <v>43577</v>
      </c>
      <c r="N3604" t="s">
        <v>47424</v>
      </c>
      <c r="O3604" t="s">
        <v>47425</v>
      </c>
      <c r="P3604">
        <v>0</v>
      </c>
      <c r="Q3604">
        <v>2</v>
      </c>
      <c r="R3604" t="s">
        <v>47428</v>
      </c>
      <c r="S3604" t="s">
        <v>47541</v>
      </c>
      <c r="T3604" t="s">
        <v>49177</v>
      </c>
      <c r="U3604" t="s">
        <v>50719</v>
      </c>
      <c r="W3604" t="s">
        <v>43577</v>
      </c>
      <c r="X3604" t="s">
        <v>47430</v>
      </c>
    </row>
    <row r="3605" spans="1:24">
      <c r="A3605">
        <f>HYPERLINK("https://www.philgeps.gov.ph/GEPSNONPILOT/Tender/SplashBidNoticeAbstractUI.aspx?menuIndex=3&amp;refID=7164135&amp;Result=3","7164135")</f>
        <v>0</v>
      </c>
      <c r="B3605" t="s">
        <v>567</v>
      </c>
      <c r="C3605" t="s">
        <v>7332</v>
      </c>
      <c r="D3605" t="s">
        <v>19031</v>
      </c>
      <c r="E3605" t="s">
        <v>22348</v>
      </c>
      <c r="F3605" t="s">
        <v>32831</v>
      </c>
      <c r="G3605" t="s">
        <v>32838</v>
      </c>
      <c r="H3605" t="s">
        <v>32848</v>
      </c>
      <c r="I3605" t="s">
        <v>32856</v>
      </c>
      <c r="J3605" t="s">
        <v>35352</v>
      </c>
      <c r="K3605" t="s">
        <v>42727</v>
      </c>
      <c r="M3605" t="s">
        <v>43577</v>
      </c>
      <c r="N3605" t="s">
        <v>47424</v>
      </c>
      <c r="O3605" t="s">
        <v>47425</v>
      </c>
      <c r="P3605">
        <v>0</v>
      </c>
      <c r="Q3605">
        <v>1</v>
      </c>
      <c r="R3605" t="s">
        <v>47428</v>
      </c>
      <c r="S3605" t="s">
        <v>47541</v>
      </c>
      <c r="T3605" t="s">
        <v>49177</v>
      </c>
      <c r="U3605" t="s">
        <v>50719</v>
      </c>
      <c r="W3605" t="s">
        <v>43577</v>
      </c>
      <c r="X3605" t="s">
        <v>47430</v>
      </c>
    </row>
    <row r="3606" spans="1:24">
      <c r="A3606">
        <f>HYPERLINK("https://www.philgeps.gov.ph/GEPSNONPILOT/Tender/SplashBidNoticeAbstractUI.aspx?menuIndex=3&amp;refID=7164093&amp;Result=3","7164093")</f>
        <v>0</v>
      </c>
      <c r="B3606" t="s">
        <v>851</v>
      </c>
      <c r="C3606" t="s">
        <v>7333</v>
      </c>
      <c r="D3606" t="s">
        <v>19017</v>
      </c>
      <c r="E3606" t="s">
        <v>22349</v>
      </c>
      <c r="F3606" t="s">
        <v>32831</v>
      </c>
      <c r="G3606" t="s">
        <v>32838</v>
      </c>
      <c r="H3606" t="s">
        <v>32848</v>
      </c>
      <c r="I3606" t="s">
        <v>32905</v>
      </c>
      <c r="J3606" t="s">
        <v>33771</v>
      </c>
      <c r="K3606" t="s">
        <v>42749</v>
      </c>
      <c r="M3606" t="s">
        <v>44083</v>
      </c>
      <c r="N3606" t="s">
        <v>47424</v>
      </c>
      <c r="O3606" t="s">
        <v>47425</v>
      </c>
      <c r="P3606">
        <v>0</v>
      </c>
      <c r="Q3606">
        <v>0</v>
      </c>
      <c r="R3606" t="s">
        <v>47428</v>
      </c>
      <c r="S3606" t="s">
        <v>47541</v>
      </c>
      <c r="T3606" t="s">
        <v>49163</v>
      </c>
      <c r="U3606" t="s">
        <v>52738</v>
      </c>
      <c r="W3606" t="s">
        <v>44083</v>
      </c>
      <c r="X3606" t="s">
        <v>47430</v>
      </c>
    </row>
    <row r="3607" spans="1:24">
      <c r="A3607">
        <f>HYPERLINK("https://www.philgeps.gov.ph/GEPSNONPILOT/Tender/SplashBidNoticeAbstractUI.aspx?menuIndex=3&amp;refID=7164082&amp;Result=3","7164082")</f>
        <v>0</v>
      </c>
      <c r="B3607" t="s">
        <v>1510</v>
      </c>
      <c r="C3607" t="s">
        <v>7334</v>
      </c>
      <c r="D3607" t="s">
        <v>19083</v>
      </c>
      <c r="E3607" t="s">
        <v>22350</v>
      </c>
      <c r="F3607" t="s">
        <v>32831</v>
      </c>
      <c r="G3607" t="s">
        <v>32838</v>
      </c>
      <c r="H3607" t="s">
        <v>32848</v>
      </c>
      <c r="I3607" t="s">
        <v>32864</v>
      </c>
      <c r="J3607" t="s">
        <v>33786</v>
      </c>
      <c r="K3607" t="s">
        <v>42747</v>
      </c>
      <c r="M3607" t="s">
        <v>44609</v>
      </c>
      <c r="N3607" t="s">
        <v>47424</v>
      </c>
      <c r="O3607" t="s">
        <v>47425</v>
      </c>
      <c r="P3607">
        <v>0</v>
      </c>
      <c r="Q3607">
        <v>1</v>
      </c>
      <c r="R3607" t="s">
        <v>47428</v>
      </c>
      <c r="S3607" t="s">
        <v>47541</v>
      </c>
      <c r="T3607" t="s">
        <v>49108</v>
      </c>
      <c r="U3607" t="s">
        <v>52739</v>
      </c>
      <c r="W3607" t="s">
        <v>44609</v>
      </c>
      <c r="X3607" t="s">
        <v>47430</v>
      </c>
    </row>
    <row r="3608" spans="1:24">
      <c r="A3608">
        <f>HYPERLINK("https://www.philgeps.gov.ph/GEPSNONPILOT/Tender/SplashBidNoticeAbstractUI.aspx?menuIndex=3&amp;refID=7164133&amp;Result=3","7164133")</f>
        <v>0</v>
      </c>
      <c r="B3608" t="s">
        <v>512</v>
      </c>
      <c r="C3608" t="s">
        <v>7335</v>
      </c>
      <c r="D3608" t="s">
        <v>19018</v>
      </c>
      <c r="E3608" t="s">
        <v>22351</v>
      </c>
      <c r="F3608" t="s">
        <v>32831</v>
      </c>
      <c r="G3608" t="s">
        <v>32838</v>
      </c>
      <c r="H3608" t="s">
        <v>32848</v>
      </c>
      <c r="I3608" t="s">
        <v>7416</v>
      </c>
      <c r="J3608" t="s">
        <v>35353</v>
      </c>
      <c r="K3608" t="s">
        <v>42727</v>
      </c>
      <c r="M3608" t="s">
        <v>43517</v>
      </c>
      <c r="N3608" t="s">
        <v>47424</v>
      </c>
      <c r="O3608" t="s">
        <v>47425</v>
      </c>
      <c r="P3608">
        <v>0</v>
      </c>
      <c r="Q3608">
        <v>0</v>
      </c>
      <c r="R3608" t="s">
        <v>47428</v>
      </c>
      <c r="S3608" t="s">
        <v>47541</v>
      </c>
      <c r="T3608" t="s">
        <v>49111</v>
      </c>
      <c r="U3608" t="s">
        <v>52732</v>
      </c>
      <c r="W3608" t="s">
        <v>43517</v>
      </c>
      <c r="X3608" t="s">
        <v>47430</v>
      </c>
    </row>
    <row r="3609" spans="1:24">
      <c r="A3609">
        <f>HYPERLINK("https://www.philgeps.gov.ph/GEPSNONPILOT/Tender/SplashBidNoticeAbstractUI.aspx?menuIndex=3&amp;refID=7164130&amp;Result=3","7164130")</f>
        <v>0</v>
      </c>
      <c r="B3609" t="s">
        <v>1437</v>
      </c>
      <c r="C3609" t="s">
        <v>7336</v>
      </c>
      <c r="D3609" t="s">
        <v>19040</v>
      </c>
      <c r="E3609" t="s">
        <v>7336</v>
      </c>
      <c r="F3609" t="s">
        <v>32831</v>
      </c>
      <c r="G3609" t="s">
        <v>32840</v>
      </c>
      <c r="H3609" t="s">
        <v>32848</v>
      </c>
      <c r="I3609" t="s">
        <v>4438</v>
      </c>
      <c r="J3609" t="s">
        <v>35354</v>
      </c>
      <c r="K3609" t="s">
        <v>42730</v>
      </c>
      <c r="M3609" t="s">
        <v>44527</v>
      </c>
      <c r="N3609" t="s">
        <v>47424</v>
      </c>
      <c r="O3609" t="s">
        <v>47425</v>
      </c>
      <c r="P3609">
        <v>0</v>
      </c>
      <c r="Q3609">
        <v>1</v>
      </c>
      <c r="R3609" t="s">
        <v>47428</v>
      </c>
      <c r="S3609" t="s">
        <v>47541</v>
      </c>
      <c r="T3609" t="s">
        <v>49198</v>
      </c>
      <c r="U3609" t="s">
        <v>52740</v>
      </c>
      <c r="V3609" t="s">
        <v>62997</v>
      </c>
      <c r="W3609" t="s">
        <v>44527</v>
      </c>
      <c r="X3609" t="s">
        <v>47430</v>
      </c>
    </row>
    <row r="3610" spans="1:24">
      <c r="A3610">
        <f>HYPERLINK("https://www.philgeps.gov.ph/GEPSNONPILOT/Tender/SplashBidNoticeAbstractUI.aspx?menuIndex=3&amp;refID=7164102&amp;Result=3","7164102")</f>
        <v>0</v>
      </c>
      <c r="B3610" t="s">
        <v>512</v>
      </c>
      <c r="C3610" t="s">
        <v>7337</v>
      </c>
      <c r="D3610" t="s">
        <v>19018</v>
      </c>
      <c r="E3610" t="s">
        <v>7337</v>
      </c>
      <c r="F3610" t="s">
        <v>32831</v>
      </c>
      <c r="G3610" t="s">
        <v>32838</v>
      </c>
      <c r="H3610" t="s">
        <v>32848</v>
      </c>
      <c r="I3610" t="s">
        <v>4438</v>
      </c>
      <c r="J3610" t="s">
        <v>35355</v>
      </c>
      <c r="K3610" t="s">
        <v>42727</v>
      </c>
      <c r="M3610" t="s">
        <v>43517</v>
      </c>
      <c r="N3610" t="s">
        <v>47424</v>
      </c>
      <c r="O3610" t="s">
        <v>47425</v>
      </c>
      <c r="P3610">
        <v>0</v>
      </c>
      <c r="Q3610">
        <v>2</v>
      </c>
      <c r="R3610" t="s">
        <v>47428</v>
      </c>
      <c r="S3610" t="s">
        <v>47541</v>
      </c>
      <c r="T3610" t="s">
        <v>49111</v>
      </c>
      <c r="U3610" t="s">
        <v>52732</v>
      </c>
      <c r="W3610" t="s">
        <v>43517</v>
      </c>
      <c r="X3610" t="s">
        <v>47430</v>
      </c>
    </row>
    <row r="3611" spans="1:24">
      <c r="A3611">
        <f>HYPERLINK("https://www.philgeps.gov.ph/GEPSNONPILOT/Tender/SplashBidNoticeAbstractUI.aspx?menuIndex=3&amp;refID=7164136&amp;Result=3","7164136")</f>
        <v>0</v>
      </c>
      <c r="B3611" t="s">
        <v>512</v>
      </c>
      <c r="C3611" t="s">
        <v>7338</v>
      </c>
      <c r="D3611" t="s">
        <v>19018</v>
      </c>
      <c r="E3611" t="s">
        <v>7338</v>
      </c>
      <c r="F3611" t="s">
        <v>32831</v>
      </c>
      <c r="G3611" t="s">
        <v>32838</v>
      </c>
      <c r="H3611" t="s">
        <v>32848</v>
      </c>
      <c r="I3611" t="s">
        <v>7416</v>
      </c>
      <c r="J3611" t="s">
        <v>35356</v>
      </c>
      <c r="K3611" t="s">
        <v>42727</v>
      </c>
      <c r="M3611" t="s">
        <v>43517</v>
      </c>
      <c r="N3611" t="s">
        <v>47424</v>
      </c>
      <c r="O3611" t="s">
        <v>47425</v>
      </c>
      <c r="P3611">
        <v>0</v>
      </c>
      <c r="Q3611">
        <v>0</v>
      </c>
      <c r="R3611" t="s">
        <v>47428</v>
      </c>
      <c r="S3611" t="s">
        <v>47541</v>
      </c>
      <c r="T3611" t="s">
        <v>49111</v>
      </c>
      <c r="U3611" t="s">
        <v>52732</v>
      </c>
      <c r="W3611" t="s">
        <v>43517</v>
      </c>
      <c r="X3611" t="s">
        <v>47430</v>
      </c>
    </row>
    <row r="3612" spans="1:24">
      <c r="A3612">
        <f>HYPERLINK("https://www.philgeps.gov.ph/GEPSNONPILOT/Tender/SplashBidNoticeAbstractUI.aspx?menuIndex=3&amp;refID=7164127&amp;Result=3","7164127")</f>
        <v>0</v>
      </c>
      <c r="B3612" t="s">
        <v>1454</v>
      </c>
      <c r="C3612" t="s">
        <v>7339</v>
      </c>
      <c r="D3612" t="s">
        <v>19017</v>
      </c>
      <c r="E3612" t="s">
        <v>22352</v>
      </c>
      <c r="F3612" t="s">
        <v>32831</v>
      </c>
      <c r="G3612" t="s">
        <v>32839</v>
      </c>
      <c r="H3612" t="s">
        <v>32848</v>
      </c>
      <c r="I3612" t="s">
        <v>32937</v>
      </c>
      <c r="J3612" t="s">
        <v>35357</v>
      </c>
      <c r="K3612" t="s">
        <v>42757</v>
      </c>
      <c r="M3612" t="s">
        <v>44546</v>
      </c>
      <c r="N3612" t="s">
        <v>47424</v>
      </c>
      <c r="O3612" t="s">
        <v>47425</v>
      </c>
      <c r="P3612">
        <v>0</v>
      </c>
      <c r="Q3612">
        <v>5</v>
      </c>
      <c r="R3612" t="s">
        <v>47428</v>
      </c>
      <c r="S3612" t="s">
        <v>47541</v>
      </c>
      <c r="T3612" t="s">
        <v>49352</v>
      </c>
      <c r="U3612" t="s">
        <v>52741</v>
      </c>
      <c r="W3612" t="s">
        <v>44546</v>
      </c>
      <c r="X3612" t="s">
        <v>47430</v>
      </c>
    </row>
    <row r="3613" spans="1:24">
      <c r="A3613">
        <f>HYPERLINK("https://www.philgeps.gov.ph/GEPSNONPILOT/Tender/SplashBidNoticeAbstractUI.aspx?menuIndex=3&amp;refID=7164126&amp;Result=3","7164126")</f>
        <v>0</v>
      </c>
      <c r="B3613" t="s">
        <v>512</v>
      </c>
      <c r="C3613" t="s">
        <v>7340</v>
      </c>
      <c r="D3613" t="s">
        <v>19018</v>
      </c>
      <c r="E3613" t="s">
        <v>7340</v>
      </c>
      <c r="F3613" t="s">
        <v>32831</v>
      </c>
      <c r="G3613" t="s">
        <v>32838</v>
      </c>
      <c r="H3613" t="s">
        <v>32848</v>
      </c>
      <c r="I3613" t="s">
        <v>9577</v>
      </c>
      <c r="J3613" t="s">
        <v>34238</v>
      </c>
      <c r="K3613" t="s">
        <v>42727</v>
      </c>
      <c r="M3613" t="s">
        <v>43517</v>
      </c>
      <c r="N3613" t="s">
        <v>47424</v>
      </c>
      <c r="O3613" t="s">
        <v>47425</v>
      </c>
      <c r="P3613">
        <v>0</v>
      </c>
      <c r="Q3613">
        <v>0</v>
      </c>
      <c r="R3613" t="s">
        <v>47428</v>
      </c>
      <c r="S3613" t="s">
        <v>47541</v>
      </c>
      <c r="T3613" t="s">
        <v>49111</v>
      </c>
      <c r="U3613" t="s">
        <v>52732</v>
      </c>
      <c r="W3613" t="s">
        <v>43517</v>
      </c>
      <c r="X3613" t="s">
        <v>47430</v>
      </c>
    </row>
    <row r="3614" spans="1:24">
      <c r="A3614">
        <f>HYPERLINK("https://www.philgeps.gov.ph/GEPSNONPILOT/Tender/SplashBidNoticeAbstractUI.aspx?menuIndex=3&amp;refID=7164124&amp;Result=3","7164124")</f>
        <v>0</v>
      </c>
      <c r="B3614" t="s">
        <v>1437</v>
      </c>
      <c r="C3614" t="s">
        <v>7341</v>
      </c>
      <c r="D3614" t="s">
        <v>19068</v>
      </c>
      <c r="E3614" t="s">
        <v>7341</v>
      </c>
      <c r="F3614" t="s">
        <v>32831</v>
      </c>
      <c r="G3614" t="s">
        <v>32838</v>
      </c>
      <c r="H3614" t="s">
        <v>32850</v>
      </c>
      <c r="I3614" t="s">
        <v>32863</v>
      </c>
      <c r="J3614" t="s">
        <v>33162</v>
      </c>
      <c r="K3614" t="s">
        <v>42763</v>
      </c>
      <c r="M3614" t="s">
        <v>44527</v>
      </c>
      <c r="N3614" t="s">
        <v>47424</v>
      </c>
      <c r="O3614" t="s">
        <v>47425</v>
      </c>
      <c r="P3614">
        <v>0</v>
      </c>
      <c r="Q3614">
        <v>1</v>
      </c>
      <c r="R3614" t="s">
        <v>47428</v>
      </c>
      <c r="S3614" t="s">
        <v>47541</v>
      </c>
      <c r="T3614" t="s">
        <v>49198</v>
      </c>
      <c r="U3614" t="s">
        <v>52742</v>
      </c>
      <c r="V3614" t="s">
        <v>62997</v>
      </c>
      <c r="W3614" t="s">
        <v>44527</v>
      </c>
      <c r="X3614" t="s">
        <v>47430</v>
      </c>
    </row>
    <row r="3615" spans="1:24">
      <c r="A3615">
        <f>HYPERLINK("https://www.philgeps.gov.ph/GEPSNONPILOT/Tender/SplashBidNoticeAbstractUI.aspx?menuIndex=3&amp;refID=7164134&amp;Result=3","7164134")</f>
        <v>0</v>
      </c>
      <c r="B3615" t="s">
        <v>1437</v>
      </c>
      <c r="C3615" t="s">
        <v>7342</v>
      </c>
      <c r="D3615" t="s">
        <v>19068</v>
      </c>
      <c r="E3615" t="s">
        <v>7342</v>
      </c>
      <c r="F3615" t="s">
        <v>32831</v>
      </c>
      <c r="G3615" t="s">
        <v>32840</v>
      </c>
      <c r="H3615" t="s">
        <v>32848</v>
      </c>
      <c r="I3615" t="s">
        <v>4438</v>
      </c>
      <c r="J3615" t="s">
        <v>35358</v>
      </c>
      <c r="K3615" t="s">
        <v>42730</v>
      </c>
      <c r="M3615" t="s">
        <v>44527</v>
      </c>
      <c r="N3615" t="s">
        <v>47424</v>
      </c>
      <c r="O3615" t="s">
        <v>47425</v>
      </c>
      <c r="P3615">
        <v>0</v>
      </c>
      <c r="Q3615">
        <v>3</v>
      </c>
      <c r="R3615" t="s">
        <v>47428</v>
      </c>
      <c r="S3615" t="s">
        <v>47541</v>
      </c>
      <c r="T3615" t="s">
        <v>49198</v>
      </c>
      <c r="U3615" t="s">
        <v>52743</v>
      </c>
      <c r="V3615" t="s">
        <v>62997</v>
      </c>
      <c r="W3615" t="s">
        <v>44527</v>
      </c>
      <c r="X3615" t="s">
        <v>47430</v>
      </c>
    </row>
    <row r="3616" spans="1:24">
      <c r="A3616">
        <f>HYPERLINK("https://www.philgeps.gov.ph/GEPSNONPILOT/Tender/SplashBidNoticeAbstractUI.aspx?menuIndex=3&amp;refID=7164132&amp;Result=3","7164132")</f>
        <v>0</v>
      </c>
      <c r="B3616" t="s">
        <v>1498</v>
      </c>
      <c r="C3616" t="s">
        <v>7343</v>
      </c>
      <c r="D3616" t="s">
        <v>19017</v>
      </c>
      <c r="E3616" t="s">
        <v>22353</v>
      </c>
      <c r="F3616" t="s">
        <v>32831</v>
      </c>
      <c r="G3616" t="s">
        <v>32842</v>
      </c>
      <c r="H3616" t="s">
        <v>32848</v>
      </c>
      <c r="I3616" t="s">
        <v>9577</v>
      </c>
      <c r="J3616" t="s">
        <v>33313</v>
      </c>
      <c r="K3616" t="s">
        <v>42748</v>
      </c>
      <c r="M3616" t="s">
        <v>44596</v>
      </c>
      <c r="N3616" t="s">
        <v>47424</v>
      </c>
      <c r="O3616" t="s">
        <v>47425</v>
      </c>
      <c r="P3616">
        <v>0</v>
      </c>
      <c r="Q3616">
        <v>19</v>
      </c>
      <c r="R3616" t="s">
        <v>47428</v>
      </c>
      <c r="S3616" t="s">
        <v>47541</v>
      </c>
      <c r="T3616" t="s">
        <v>49235</v>
      </c>
      <c r="U3616" t="s">
        <v>50909</v>
      </c>
      <c r="W3616" t="s">
        <v>44596</v>
      </c>
      <c r="X3616" t="s">
        <v>47430</v>
      </c>
    </row>
    <row r="3617" spans="1:24">
      <c r="A3617">
        <f>HYPERLINK("https://www.philgeps.gov.ph/GEPSNONPILOT/Tender/SplashBidNoticeAbstractUI.aspx?menuIndex=3&amp;refID=7164120&amp;Result=3","7164120")</f>
        <v>0</v>
      </c>
      <c r="B3617" t="s">
        <v>512</v>
      </c>
      <c r="C3617" t="s">
        <v>7344</v>
      </c>
      <c r="D3617" t="s">
        <v>19018</v>
      </c>
      <c r="E3617" t="s">
        <v>7344</v>
      </c>
      <c r="F3617" t="s">
        <v>32831</v>
      </c>
      <c r="G3617" t="s">
        <v>32838</v>
      </c>
      <c r="H3617" t="s">
        <v>32848</v>
      </c>
      <c r="I3617" t="s">
        <v>4438</v>
      </c>
      <c r="J3617" t="s">
        <v>35038</v>
      </c>
      <c r="K3617" t="s">
        <v>42727</v>
      </c>
      <c r="M3617" t="s">
        <v>43517</v>
      </c>
      <c r="N3617" t="s">
        <v>47424</v>
      </c>
      <c r="O3617" t="s">
        <v>47425</v>
      </c>
      <c r="P3617">
        <v>0</v>
      </c>
      <c r="Q3617">
        <v>0</v>
      </c>
      <c r="R3617" t="s">
        <v>47428</v>
      </c>
      <c r="S3617" t="s">
        <v>47541</v>
      </c>
      <c r="T3617" t="s">
        <v>49111</v>
      </c>
      <c r="U3617" t="s">
        <v>52732</v>
      </c>
      <c r="W3617" t="s">
        <v>43517</v>
      </c>
      <c r="X3617" t="s">
        <v>47430</v>
      </c>
    </row>
    <row r="3618" spans="1:24">
      <c r="A3618">
        <f>HYPERLINK("https://www.philgeps.gov.ph/GEPSNONPILOT/Tender/SplashBidNoticeAbstractUI.aspx?menuIndex=3&amp;refID=7164118&amp;Result=3","7164118")</f>
        <v>0</v>
      </c>
      <c r="B3618" t="s">
        <v>1511</v>
      </c>
      <c r="C3618" t="s">
        <v>7345</v>
      </c>
      <c r="D3618" t="s">
        <v>19021</v>
      </c>
      <c r="E3618" t="s">
        <v>22354</v>
      </c>
      <c r="F3618" t="s">
        <v>32831</v>
      </c>
      <c r="G3618" t="s">
        <v>32838</v>
      </c>
      <c r="H3618" t="s">
        <v>32848</v>
      </c>
      <c r="I3618" t="s">
        <v>32910</v>
      </c>
      <c r="J3618" t="s">
        <v>35359</v>
      </c>
      <c r="K3618" t="s">
        <v>42726</v>
      </c>
      <c r="M3618" t="s">
        <v>44610</v>
      </c>
      <c r="N3618" t="s">
        <v>47424</v>
      </c>
      <c r="O3618" t="s">
        <v>47425</v>
      </c>
      <c r="P3618">
        <v>0</v>
      </c>
      <c r="Q3618">
        <v>2</v>
      </c>
      <c r="R3618" t="s">
        <v>47428</v>
      </c>
      <c r="S3618" t="s">
        <v>47541</v>
      </c>
      <c r="T3618" t="s">
        <v>49089</v>
      </c>
      <c r="U3618" t="s">
        <v>52744</v>
      </c>
      <c r="V3618" t="s">
        <v>63022</v>
      </c>
      <c r="W3618" t="s">
        <v>44610</v>
      </c>
      <c r="X3618" t="s">
        <v>47430</v>
      </c>
    </row>
    <row r="3619" spans="1:24">
      <c r="A3619">
        <f>HYPERLINK("https://www.philgeps.gov.ph/GEPSNONPILOT/Tender/SplashBidNoticeAbstractUI.aspx?menuIndex=3&amp;refID=7164065&amp;Result=3","7164065")</f>
        <v>0</v>
      </c>
      <c r="B3619" t="s">
        <v>1443</v>
      </c>
      <c r="C3619" t="s">
        <v>7346</v>
      </c>
      <c r="D3619" t="s">
        <v>19058</v>
      </c>
      <c r="E3619" t="s">
        <v>22355</v>
      </c>
      <c r="F3619" t="s">
        <v>32831</v>
      </c>
      <c r="G3619" t="s">
        <v>32838</v>
      </c>
      <c r="H3619" t="s">
        <v>32848</v>
      </c>
      <c r="I3619" t="s">
        <v>9577</v>
      </c>
      <c r="J3619" t="s">
        <v>35360</v>
      </c>
      <c r="K3619" t="s">
        <v>42732</v>
      </c>
      <c r="M3619" t="s">
        <v>44535</v>
      </c>
      <c r="N3619" t="s">
        <v>47424</v>
      </c>
      <c r="O3619" t="s">
        <v>47425</v>
      </c>
      <c r="P3619">
        <v>0</v>
      </c>
      <c r="Q3619">
        <v>1</v>
      </c>
      <c r="R3619" t="s">
        <v>47428</v>
      </c>
      <c r="S3619" t="s">
        <v>47541</v>
      </c>
      <c r="T3619" t="s">
        <v>49073</v>
      </c>
      <c r="U3619" t="s">
        <v>52704</v>
      </c>
      <c r="W3619" t="s">
        <v>44535</v>
      </c>
      <c r="X3619" t="s">
        <v>47430</v>
      </c>
    </row>
    <row r="3620" spans="1:24">
      <c r="A3620">
        <f>HYPERLINK("https://www.philgeps.gov.ph/GEPSNONPILOT/Tender/SplashBidNoticeAbstractUI.aspx?menuIndex=3&amp;refID=7164128&amp;Result=3","7164128")</f>
        <v>0</v>
      </c>
      <c r="B3620" t="s">
        <v>1437</v>
      </c>
      <c r="C3620" t="s">
        <v>7347</v>
      </c>
      <c r="D3620" t="s">
        <v>19042</v>
      </c>
      <c r="E3620" t="s">
        <v>7347</v>
      </c>
      <c r="F3620" t="s">
        <v>32831</v>
      </c>
      <c r="G3620" t="s">
        <v>32840</v>
      </c>
      <c r="H3620" t="s">
        <v>32848</v>
      </c>
      <c r="I3620" t="s">
        <v>4438</v>
      </c>
      <c r="J3620" t="s">
        <v>35361</v>
      </c>
      <c r="K3620" t="s">
        <v>42730</v>
      </c>
      <c r="M3620" t="s">
        <v>44527</v>
      </c>
      <c r="N3620" t="s">
        <v>47424</v>
      </c>
      <c r="O3620" t="s">
        <v>47425</v>
      </c>
      <c r="P3620">
        <v>0</v>
      </c>
      <c r="Q3620">
        <v>1</v>
      </c>
      <c r="R3620" t="s">
        <v>47428</v>
      </c>
      <c r="S3620" t="s">
        <v>47541</v>
      </c>
      <c r="T3620" t="s">
        <v>49198</v>
      </c>
      <c r="U3620" t="s">
        <v>52745</v>
      </c>
      <c r="V3620" t="s">
        <v>62997</v>
      </c>
      <c r="W3620" t="s">
        <v>44527</v>
      </c>
      <c r="X3620" t="s">
        <v>47430</v>
      </c>
    </row>
    <row r="3621" spans="1:24">
      <c r="A3621">
        <f>HYPERLINK("https://www.philgeps.gov.ph/GEPSNONPILOT/Tender/SplashBidNoticeAbstractUI.aspx?menuIndex=3&amp;refID=7164117&amp;Result=3","7164117")</f>
        <v>0</v>
      </c>
      <c r="B3621" t="s">
        <v>997</v>
      </c>
      <c r="C3621" t="s">
        <v>7348</v>
      </c>
      <c r="D3621" t="s">
        <v>19017</v>
      </c>
      <c r="E3621" t="s">
        <v>22356</v>
      </c>
      <c r="F3621" t="s">
        <v>32831</v>
      </c>
      <c r="G3621" t="s">
        <v>32839</v>
      </c>
      <c r="H3621" t="s">
        <v>32848</v>
      </c>
      <c r="I3621" t="s">
        <v>32954</v>
      </c>
      <c r="J3621" t="s">
        <v>35362</v>
      </c>
      <c r="K3621" t="s">
        <v>42730</v>
      </c>
      <c r="M3621" t="s">
        <v>44611</v>
      </c>
      <c r="N3621" t="s">
        <v>47424</v>
      </c>
      <c r="O3621" t="s">
        <v>47425</v>
      </c>
      <c r="P3621">
        <v>0</v>
      </c>
      <c r="Q3621">
        <v>1</v>
      </c>
      <c r="R3621" t="s">
        <v>47428</v>
      </c>
      <c r="S3621" t="s">
        <v>47541</v>
      </c>
      <c r="T3621" t="s">
        <v>49202</v>
      </c>
      <c r="U3621" t="s">
        <v>52746</v>
      </c>
      <c r="W3621" t="s">
        <v>44611</v>
      </c>
      <c r="X3621" t="s">
        <v>47430</v>
      </c>
    </row>
    <row r="3622" spans="1:24">
      <c r="A3622">
        <f>HYPERLINK("https://www.philgeps.gov.ph/GEPSNONPILOT/Tender/SplashBidNoticeAbstractUI.aspx?menuIndex=3&amp;refID=7164116&amp;Result=3","7164116")</f>
        <v>0</v>
      </c>
      <c r="B3622" t="s">
        <v>1437</v>
      </c>
      <c r="C3622" t="s">
        <v>7349</v>
      </c>
      <c r="D3622" t="s">
        <v>19068</v>
      </c>
      <c r="E3622" t="s">
        <v>7349</v>
      </c>
      <c r="F3622" t="s">
        <v>32831</v>
      </c>
      <c r="G3622" t="s">
        <v>32838</v>
      </c>
      <c r="H3622" t="s">
        <v>32850</v>
      </c>
      <c r="I3622" t="s">
        <v>32863</v>
      </c>
      <c r="J3622" t="s">
        <v>32983</v>
      </c>
      <c r="K3622" t="s">
        <v>42763</v>
      </c>
      <c r="M3622" t="s">
        <v>44527</v>
      </c>
      <c r="N3622" t="s">
        <v>47424</v>
      </c>
      <c r="O3622" t="s">
        <v>47425</v>
      </c>
      <c r="P3622">
        <v>0</v>
      </c>
      <c r="Q3622">
        <v>2</v>
      </c>
      <c r="R3622" t="s">
        <v>47428</v>
      </c>
      <c r="S3622" t="s">
        <v>47541</v>
      </c>
      <c r="T3622" t="s">
        <v>49198</v>
      </c>
      <c r="U3622" t="s">
        <v>52727</v>
      </c>
      <c r="V3622" t="s">
        <v>62997</v>
      </c>
      <c r="W3622" t="s">
        <v>44527</v>
      </c>
      <c r="X3622" t="s">
        <v>47430</v>
      </c>
    </row>
    <row r="3623" spans="1:24">
      <c r="A3623">
        <f>HYPERLINK("https://www.philgeps.gov.ph/GEPSNONPILOT/Tender/SplashBidNoticeAbstractUI.aspx?menuIndex=3&amp;refID=7164081&amp;Result=3","7164081")</f>
        <v>0</v>
      </c>
      <c r="B3623" t="s">
        <v>1437</v>
      </c>
      <c r="C3623" t="s">
        <v>7350</v>
      </c>
      <c r="D3623" t="s">
        <v>19042</v>
      </c>
      <c r="E3623" t="s">
        <v>7350</v>
      </c>
      <c r="F3623" t="s">
        <v>32831</v>
      </c>
      <c r="G3623" t="s">
        <v>32838</v>
      </c>
      <c r="H3623" t="s">
        <v>32848</v>
      </c>
      <c r="I3623" t="s">
        <v>32931</v>
      </c>
      <c r="J3623" t="s">
        <v>33148</v>
      </c>
      <c r="K3623" t="s">
        <v>42730</v>
      </c>
      <c r="M3623" t="s">
        <v>44527</v>
      </c>
      <c r="N3623" t="s">
        <v>47424</v>
      </c>
      <c r="O3623" t="s">
        <v>47425</v>
      </c>
      <c r="P3623">
        <v>0</v>
      </c>
      <c r="Q3623">
        <v>4</v>
      </c>
      <c r="R3623" t="s">
        <v>47428</v>
      </c>
      <c r="S3623" t="s">
        <v>47541</v>
      </c>
      <c r="T3623" t="s">
        <v>49198</v>
      </c>
      <c r="U3623" t="s">
        <v>52747</v>
      </c>
      <c r="V3623" t="s">
        <v>62997</v>
      </c>
      <c r="W3623" t="s">
        <v>44527</v>
      </c>
      <c r="X3623" t="s">
        <v>47430</v>
      </c>
    </row>
    <row r="3624" spans="1:24">
      <c r="A3624">
        <f>HYPERLINK("https://www.philgeps.gov.ph/GEPSNONPILOT/Tender/SplashBidNoticeAbstractUI.aspx?menuIndex=3&amp;refID=7164171&amp;Result=3","7164171")</f>
        <v>0</v>
      </c>
      <c r="B3624" t="s">
        <v>1512</v>
      </c>
      <c r="C3624" t="s">
        <v>7351</v>
      </c>
      <c r="D3624" t="s">
        <v>19050</v>
      </c>
      <c r="E3624" t="s">
        <v>22357</v>
      </c>
      <c r="F3624" t="s">
        <v>32831</v>
      </c>
      <c r="G3624" t="s">
        <v>32838</v>
      </c>
      <c r="H3624" t="s">
        <v>32848</v>
      </c>
      <c r="I3624" t="s">
        <v>32862</v>
      </c>
      <c r="J3624" t="s">
        <v>33007</v>
      </c>
      <c r="K3624" t="s">
        <v>42727</v>
      </c>
      <c r="M3624" t="s">
        <v>44612</v>
      </c>
      <c r="N3624" t="s">
        <v>47424</v>
      </c>
      <c r="O3624" t="s">
        <v>47425</v>
      </c>
      <c r="P3624">
        <v>0</v>
      </c>
      <c r="Q3624">
        <v>0</v>
      </c>
      <c r="R3624" t="s">
        <v>47428</v>
      </c>
      <c r="S3624" t="s">
        <v>47541</v>
      </c>
      <c r="T3624" t="s">
        <v>49214</v>
      </c>
      <c r="U3624" t="s">
        <v>52748</v>
      </c>
      <c r="W3624" t="s">
        <v>44612</v>
      </c>
      <c r="X3624" t="s">
        <v>47430</v>
      </c>
    </row>
    <row r="3625" spans="1:24">
      <c r="A3625">
        <f>HYPERLINK("https://www.philgeps.gov.ph/GEPSNONPILOT/Tender/SplashBidNoticeAbstractUI.aspx?menuIndex=3&amp;refID=7164123&amp;Result=3","7164123")</f>
        <v>0</v>
      </c>
      <c r="B3625" t="s">
        <v>1362</v>
      </c>
      <c r="C3625" t="s">
        <v>7352</v>
      </c>
      <c r="D3625" t="s">
        <v>19017</v>
      </c>
      <c r="E3625" t="s">
        <v>22358</v>
      </c>
      <c r="F3625" t="s">
        <v>32831</v>
      </c>
      <c r="G3625" t="s">
        <v>32839</v>
      </c>
      <c r="H3625" t="s">
        <v>32848</v>
      </c>
      <c r="I3625" t="s">
        <v>32874</v>
      </c>
      <c r="J3625" t="s">
        <v>33118</v>
      </c>
      <c r="K3625" t="s">
        <v>42732</v>
      </c>
      <c r="M3625" t="s">
        <v>44613</v>
      </c>
      <c r="N3625" t="s">
        <v>47424</v>
      </c>
      <c r="O3625" t="s">
        <v>47425</v>
      </c>
      <c r="P3625">
        <v>0</v>
      </c>
      <c r="Q3625">
        <v>12</v>
      </c>
      <c r="R3625" t="s">
        <v>47428</v>
      </c>
      <c r="S3625" t="s">
        <v>47541</v>
      </c>
      <c r="T3625" t="s">
        <v>49353</v>
      </c>
      <c r="U3625" t="s">
        <v>52749</v>
      </c>
      <c r="W3625" t="s">
        <v>44613</v>
      </c>
      <c r="X3625" t="s">
        <v>47430</v>
      </c>
    </row>
    <row r="3626" spans="1:24">
      <c r="A3626">
        <f>HYPERLINK("https://www.philgeps.gov.ph/GEPSNONPILOT/Tender/SplashBidNoticeAbstractUI.aspx?menuIndex=3&amp;refID=7164170&amp;Result=3","7164170")</f>
        <v>0</v>
      </c>
      <c r="B3626" t="s">
        <v>1513</v>
      </c>
      <c r="C3626" t="s">
        <v>7353</v>
      </c>
      <c r="D3626" t="s">
        <v>19044</v>
      </c>
      <c r="E3626" t="s">
        <v>22359</v>
      </c>
      <c r="F3626" t="s">
        <v>32831</v>
      </c>
      <c r="G3626" t="s">
        <v>32839</v>
      </c>
      <c r="H3626" t="s">
        <v>32849</v>
      </c>
      <c r="I3626" t="s">
        <v>4177</v>
      </c>
      <c r="J3626" t="s">
        <v>34921</v>
      </c>
      <c r="K3626" t="s">
        <v>42728</v>
      </c>
      <c r="M3626" t="s">
        <v>44614</v>
      </c>
      <c r="N3626" t="s">
        <v>47424</v>
      </c>
      <c r="O3626" t="s">
        <v>47425</v>
      </c>
      <c r="P3626">
        <v>0</v>
      </c>
      <c r="Q3626">
        <v>0</v>
      </c>
      <c r="R3626" t="s">
        <v>47428</v>
      </c>
      <c r="S3626" t="s">
        <v>47541</v>
      </c>
      <c r="T3626" t="s">
        <v>49070</v>
      </c>
      <c r="U3626" t="s">
        <v>51656</v>
      </c>
      <c r="V3626" t="s">
        <v>63023</v>
      </c>
      <c r="W3626" t="s">
        <v>44614</v>
      </c>
      <c r="X3626" t="s">
        <v>47430</v>
      </c>
    </row>
    <row r="3627" spans="1:24">
      <c r="A3627">
        <f>HYPERLINK("https://www.philgeps.gov.ph/GEPSNONPILOT/Tender/SplashBidNoticeAbstractUI.aspx?menuIndex=3&amp;refID=7164122&amp;Result=3","7164122")</f>
        <v>0</v>
      </c>
      <c r="B3627" t="s">
        <v>1514</v>
      </c>
      <c r="C3627" t="s">
        <v>7354</v>
      </c>
      <c r="D3627" t="s">
        <v>19057</v>
      </c>
      <c r="E3627" t="s">
        <v>20737</v>
      </c>
      <c r="F3627" t="s">
        <v>32831</v>
      </c>
      <c r="G3627" t="s">
        <v>32842</v>
      </c>
      <c r="H3627" t="s">
        <v>32848</v>
      </c>
      <c r="I3627" t="s">
        <v>9577</v>
      </c>
      <c r="J3627" t="s">
        <v>33011</v>
      </c>
      <c r="K3627" t="s">
        <v>42731</v>
      </c>
      <c r="M3627" t="s">
        <v>44615</v>
      </c>
      <c r="N3627" t="s">
        <v>47424</v>
      </c>
      <c r="O3627" t="s">
        <v>47425</v>
      </c>
      <c r="P3627">
        <v>0</v>
      </c>
      <c r="Q3627">
        <v>0</v>
      </c>
      <c r="R3627" t="s">
        <v>47428</v>
      </c>
      <c r="S3627" t="s">
        <v>47541</v>
      </c>
      <c r="T3627" t="s">
        <v>49089</v>
      </c>
      <c r="U3627" t="s">
        <v>52750</v>
      </c>
      <c r="W3627" t="s">
        <v>44615</v>
      </c>
      <c r="X3627" t="s">
        <v>47430</v>
      </c>
    </row>
    <row r="3628" spans="1:24">
      <c r="A3628">
        <f>HYPERLINK("https://www.philgeps.gov.ph/GEPSNONPILOT/Tender/SplashBidNoticeAbstractUI.aspx?menuIndex=3&amp;refID=7164165&amp;Result=3","7164165")</f>
        <v>0</v>
      </c>
      <c r="B3628" t="s">
        <v>1512</v>
      </c>
      <c r="C3628" t="s">
        <v>7355</v>
      </c>
      <c r="D3628" t="s">
        <v>19050</v>
      </c>
      <c r="E3628" t="s">
        <v>22360</v>
      </c>
      <c r="F3628" t="s">
        <v>32831</v>
      </c>
      <c r="G3628" t="s">
        <v>32838</v>
      </c>
      <c r="H3628" t="s">
        <v>32848</v>
      </c>
      <c r="I3628" t="s">
        <v>4487</v>
      </c>
      <c r="J3628" t="s">
        <v>33087</v>
      </c>
      <c r="K3628" t="s">
        <v>42729</v>
      </c>
      <c r="M3628" t="s">
        <v>44612</v>
      </c>
      <c r="N3628" t="s">
        <v>47424</v>
      </c>
      <c r="O3628" t="s">
        <v>47425</v>
      </c>
      <c r="P3628">
        <v>0</v>
      </c>
      <c r="Q3628">
        <v>0</v>
      </c>
      <c r="R3628" t="s">
        <v>47428</v>
      </c>
      <c r="S3628" t="s">
        <v>47541</v>
      </c>
      <c r="T3628" t="s">
        <v>49214</v>
      </c>
      <c r="U3628" t="s">
        <v>52751</v>
      </c>
      <c r="W3628" t="s">
        <v>44612</v>
      </c>
      <c r="X3628" t="s">
        <v>47430</v>
      </c>
    </row>
    <row r="3629" spans="1:24">
      <c r="A3629">
        <f>HYPERLINK("https://www.philgeps.gov.ph/GEPSNONPILOT/Tender/SplashBidNoticeAbstractUI.aspx?menuIndex=3&amp;refID=7164161&amp;Result=3","7164161")</f>
        <v>0</v>
      </c>
      <c r="B3629" t="s">
        <v>1437</v>
      </c>
      <c r="C3629" t="s">
        <v>7356</v>
      </c>
      <c r="D3629" t="s">
        <v>19040</v>
      </c>
      <c r="E3629" t="s">
        <v>7356</v>
      </c>
      <c r="F3629" t="s">
        <v>32831</v>
      </c>
      <c r="G3629" t="s">
        <v>32838</v>
      </c>
      <c r="H3629" t="s">
        <v>32850</v>
      </c>
      <c r="I3629" t="s">
        <v>32863</v>
      </c>
      <c r="J3629" t="s">
        <v>33041</v>
      </c>
      <c r="K3629" t="s">
        <v>42747</v>
      </c>
      <c r="M3629" t="s">
        <v>44527</v>
      </c>
      <c r="N3629" t="s">
        <v>47424</v>
      </c>
      <c r="O3629" t="s">
        <v>47425</v>
      </c>
      <c r="P3629">
        <v>0</v>
      </c>
      <c r="Q3629">
        <v>1</v>
      </c>
      <c r="R3629" t="s">
        <v>47428</v>
      </c>
      <c r="S3629" t="s">
        <v>47541</v>
      </c>
      <c r="T3629" t="s">
        <v>49198</v>
      </c>
      <c r="U3629" t="s">
        <v>52752</v>
      </c>
      <c r="V3629" t="s">
        <v>62997</v>
      </c>
      <c r="W3629" t="s">
        <v>44527</v>
      </c>
      <c r="X3629" t="s">
        <v>47430</v>
      </c>
    </row>
    <row r="3630" spans="1:24">
      <c r="A3630">
        <f>HYPERLINK("https://www.philgeps.gov.ph/GEPSNONPILOT/Tender/SplashBidNoticeAbstractUI.aspx?menuIndex=3&amp;refID=7164159&amp;Result=3","7164159")</f>
        <v>0</v>
      </c>
      <c r="B3630" t="s">
        <v>1515</v>
      </c>
      <c r="C3630" t="s">
        <v>7357</v>
      </c>
      <c r="D3630" t="s">
        <v>19077</v>
      </c>
      <c r="E3630" t="s">
        <v>22361</v>
      </c>
      <c r="F3630" t="s">
        <v>32831</v>
      </c>
      <c r="G3630" t="s">
        <v>32839</v>
      </c>
      <c r="H3630" t="s">
        <v>32848</v>
      </c>
      <c r="I3630" t="s">
        <v>32870</v>
      </c>
      <c r="J3630" t="s">
        <v>35363</v>
      </c>
      <c r="K3630" t="s">
        <v>42726</v>
      </c>
      <c r="M3630" t="s">
        <v>44616</v>
      </c>
      <c r="N3630" t="s">
        <v>47424</v>
      </c>
      <c r="O3630" t="s">
        <v>47425</v>
      </c>
      <c r="P3630">
        <v>0</v>
      </c>
      <c r="Q3630">
        <v>0</v>
      </c>
      <c r="R3630" t="s">
        <v>47428</v>
      </c>
      <c r="S3630" t="s">
        <v>47541</v>
      </c>
      <c r="T3630" t="s">
        <v>49118</v>
      </c>
      <c r="U3630" t="s">
        <v>52753</v>
      </c>
      <c r="W3630" t="s">
        <v>44616</v>
      </c>
      <c r="X3630" t="s">
        <v>47430</v>
      </c>
    </row>
    <row r="3631" spans="1:24">
      <c r="A3631">
        <f>HYPERLINK("https://www.philgeps.gov.ph/GEPSNONPILOT/Tender/SplashBidNoticeAbstractUI.aspx?menuIndex=3&amp;refID=7164106&amp;Result=3","7164106")</f>
        <v>0</v>
      </c>
      <c r="B3631" t="s">
        <v>1503</v>
      </c>
      <c r="C3631" t="s">
        <v>4090</v>
      </c>
      <c r="D3631" t="s">
        <v>19023</v>
      </c>
      <c r="E3631" t="s">
        <v>22362</v>
      </c>
      <c r="F3631" t="s">
        <v>32831</v>
      </c>
      <c r="G3631" t="s">
        <v>32838</v>
      </c>
      <c r="H3631" t="s">
        <v>32848</v>
      </c>
      <c r="I3631" t="s">
        <v>4776</v>
      </c>
      <c r="J3631" t="s">
        <v>35364</v>
      </c>
      <c r="K3631" t="s">
        <v>42732</v>
      </c>
      <c r="M3631" t="s">
        <v>44602</v>
      </c>
      <c r="N3631" t="s">
        <v>47424</v>
      </c>
      <c r="O3631" t="s">
        <v>47425</v>
      </c>
      <c r="P3631">
        <v>0</v>
      </c>
      <c r="Q3631">
        <v>2</v>
      </c>
      <c r="R3631" t="s">
        <v>47428</v>
      </c>
      <c r="S3631" t="s">
        <v>47541</v>
      </c>
      <c r="T3631" t="s">
        <v>49100</v>
      </c>
      <c r="U3631" t="s">
        <v>52726</v>
      </c>
      <c r="W3631" t="s">
        <v>44602</v>
      </c>
      <c r="X3631" t="s">
        <v>47430</v>
      </c>
    </row>
    <row r="3632" spans="1:24">
      <c r="A3632">
        <f>HYPERLINK("https://www.philgeps.gov.ph/GEPSNONPILOT/Tender/SplashBidNoticeAbstractUI.aspx?menuIndex=3&amp;refID=7164163&amp;Result=3","7164163")</f>
        <v>0</v>
      </c>
      <c r="B3632" t="s">
        <v>1516</v>
      </c>
      <c r="C3632" t="s">
        <v>7358</v>
      </c>
      <c r="D3632" t="s">
        <v>19027</v>
      </c>
      <c r="E3632" t="s">
        <v>20797</v>
      </c>
      <c r="F3632" t="s">
        <v>32831</v>
      </c>
      <c r="G3632" t="s">
        <v>32838</v>
      </c>
      <c r="H3632" t="s">
        <v>32848</v>
      </c>
      <c r="I3632" t="s">
        <v>9577</v>
      </c>
      <c r="J3632" t="s">
        <v>35365</v>
      </c>
      <c r="K3632" t="s">
        <v>42726</v>
      </c>
      <c r="M3632" t="s">
        <v>44617</v>
      </c>
      <c r="N3632" t="s">
        <v>47424</v>
      </c>
      <c r="O3632" t="s">
        <v>47425</v>
      </c>
      <c r="P3632">
        <v>0</v>
      </c>
      <c r="Q3632">
        <v>1</v>
      </c>
      <c r="R3632" t="s">
        <v>47428</v>
      </c>
      <c r="S3632" t="s">
        <v>47541</v>
      </c>
      <c r="T3632" t="s">
        <v>49111</v>
      </c>
      <c r="U3632" t="s">
        <v>52754</v>
      </c>
      <c r="W3632" t="s">
        <v>44617</v>
      </c>
      <c r="X3632" t="s">
        <v>47430</v>
      </c>
    </row>
    <row r="3633" spans="1:24">
      <c r="A3633">
        <f>HYPERLINK("https://www.philgeps.gov.ph/GEPSNONPILOT/Tender/SplashBidNoticeAbstractUI.aspx?menuIndex=3&amp;refID=7164153&amp;Result=3","7164153")</f>
        <v>0</v>
      </c>
      <c r="B3633" t="s">
        <v>512</v>
      </c>
      <c r="C3633" t="s">
        <v>7359</v>
      </c>
      <c r="D3633" t="s">
        <v>19018</v>
      </c>
      <c r="E3633" t="s">
        <v>7359</v>
      </c>
      <c r="F3633" t="s">
        <v>32831</v>
      </c>
      <c r="G3633" t="s">
        <v>32838</v>
      </c>
      <c r="H3633" t="s">
        <v>32848</v>
      </c>
      <c r="I3633" t="s">
        <v>4222</v>
      </c>
      <c r="J3633" t="s">
        <v>33562</v>
      </c>
      <c r="K3633" t="s">
        <v>42727</v>
      </c>
      <c r="M3633" t="s">
        <v>43517</v>
      </c>
      <c r="N3633" t="s">
        <v>47424</v>
      </c>
      <c r="O3633" t="s">
        <v>47425</v>
      </c>
      <c r="P3633">
        <v>0</v>
      </c>
      <c r="Q3633">
        <v>0</v>
      </c>
      <c r="R3633" t="s">
        <v>47428</v>
      </c>
      <c r="S3633" t="s">
        <v>47541</v>
      </c>
      <c r="T3633" t="s">
        <v>49111</v>
      </c>
      <c r="U3633" t="s">
        <v>52732</v>
      </c>
      <c r="W3633" t="s">
        <v>43517</v>
      </c>
      <c r="X3633" t="s">
        <v>47430</v>
      </c>
    </row>
    <row r="3634" spans="1:24">
      <c r="A3634">
        <f>HYPERLINK("https://www.philgeps.gov.ph/GEPSNONPILOT/Tender/SplashBidNoticeAbstractUI.aspx?menuIndex=3&amp;refID=7164157&amp;Result=3","7164157")</f>
        <v>0</v>
      </c>
      <c r="B3634" t="s">
        <v>1512</v>
      </c>
      <c r="C3634" t="s">
        <v>7360</v>
      </c>
      <c r="D3634" t="s">
        <v>19050</v>
      </c>
      <c r="E3634" t="s">
        <v>22363</v>
      </c>
      <c r="F3634" t="s">
        <v>32831</v>
      </c>
      <c r="G3634" t="s">
        <v>32838</v>
      </c>
      <c r="H3634" t="s">
        <v>32848</v>
      </c>
      <c r="I3634" t="s">
        <v>32890</v>
      </c>
      <c r="J3634" t="s">
        <v>35366</v>
      </c>
      <c r="K3634" t="s">
        <v>42729</v>
      </c>
      <c r="M3634" t="s">
        <v>44612</v>
      </c>
      <c r="N3634" t="s">
        <v>47424</v>
      </c>
      <c r="O3634" t="s">
        <v>47425</v>
      </c>
      <c r="P3634">
        <v>0</v>
      </c>
      <c r="Q3634">
        <v>1</v>
      </c>
      <c r="R3634" t="s">
        <v>47428</v>
      </c>
      <c r="S3634" t="s">
        <v>47541</v>
      </c>
      <c r="T3634" t="s">
        <v>49214</v>
      </c>
      <c r="U3634" t="s">
        <v>52755</v>
      </c>
      <c r="W3634" t="s">
        <v>44612</v>
      </c>
      <c r="X3634" t="s">
        <v>47430</v>
      </c>
    </row>
    <row r="3635" spans="1:24">
      <c r="A3635">
        <f>HYPERLINK("https://www.philgeps.gov.ph/GEPSNONPILOT/Tender/SplashBidNoticeAbstractUI.aspx?menuIndex=3&amp;refID=7164151&amp;Result=3","7164151")</f>
        <v>0</v>
      </c>
      <c r="B3635" t="s">
        <v>1437</v>
      </c>
      <c r="C3635" t="s">
        <v>7361</v>
      </c>
      <c r="D3635" t="s">
        <v>19057</v>
      </c>
      <c r="E3635" t="s">
        <v>7361</v>
      </c>
      <c r="F3635" t="s">
        <v>32831</v>
      </c>
      <c r="G3635" t="s">
        <v>32838</v>
      </c>
      <c r="H3635" t="s">
        <v>32848</v>
      </c>
      <c r="I3635" t="s">
        <v>32925</v>
      </c>
      <c r="J3635" t="s">
        <v>35367</v>
      </c>
      <c r="K3635" t="s">
        <v>42730</v>
      </c>
      <c r="M3635" t="s">
        <v>44527</v>
      </c>
      <c r="N3635" t="s">
        <v>47424</v>
      </c>
      <c r="O3635" t="s">
        <v>47425</v>
      </c>
      <c r="P3635">
        <v>0</v>
      </c>
      <c r="Q3635">
        <v>6</v>
      </c>
      <c r="R3635" t="s">
        <v>47428</v>
      </c>
      <c r="S3635" t="s">
        <v>47541</v>
      </c>
      <c r="T3635" t="s">
        <v>49198</v>
      </c>
      <c r="U3635" t="s">
        <v>52756</v>
      </c>
      <c r="V3635" t="s">
        <v>62997</v>
      </c>
      <c r="W3635" t="s">
        <v>44527</v>
      </c>
      <c r="X3635" t="s">
        <v>47430</v>
      </c>
    </row>
    <row r="3636" spans="1:24">
      <c r="A3636">
        <f>HYPERLINK("https://www.philgeps.gov.ph/GEPSNONPILOT/Tender/SplashBidNoticeAbstractUI.aspx?menuIndex=3&amp;refID=7164148&amp;Result=3","7164148")</f>
        <v>0</v>
      </c>
      <c r="B3636" t="s">
        <v>1437</v>
      </c>
      <c r="C3636" t="s">
        <v>7362</v>
      </c>
      <c r="D3636" t="s">
        <v>19068</v>
      </c>
      <c r="E3636" t="s">
        <v>7362</v>
      </c>
      <c r="F3636" t="s">
        <v>32831</v>
      </c>
      <c r="G3636" t="s">
        <v>32838</v>
      </c>
      <c r="H3636" t="s">
        <v>32848</v>
      </c>
      <c r="I3636" t="s">
        <v>4438</v>
      </c>
      <c r="J3636" t="s">
        <v>33184</v>
      </c>
      <c r="K3636" t="s">
        <v>42730</v>
      </c>
      <c r="M3636" t="s">
        <v>44527</v>
      </c>
      <c r="N3636" t="s">
        <v>47424</v>
      </c>
      <c r="O3636" t="s">
        <v>47425</v>
      </c>
      <c r="P3636">
        <v>0</v>
      </c>
      <c r="Q3636">
        <v>3</v>
      </c>
      <c r="R3636" t="s">
        <v>47428</v>
      </c>
      <c r="S3636" t="s">
        <v>47541</v>
      </c>
      <c r="T3636" t="s">
        <v>49198</v>
      </c>
      <c r="U3636" t="s">
        <v>52757</v>
      </c>
      <c r="V3636" t="s">
        <v>62997</v>
      </c>
      <c r="W3636" t="s">
        <v>44527</v>
      </c>
      <c r="X3636" t="s">
        <v>47430</v>
      </c>
    </row>
    <row r="3637" spans="1:24">
      <c r="A3637">
        <f>HYPERLINK("https://www.philgeps.gov.ph/GEPSNONPILOT/Tender/SplashBidNoticeAbstractUI.aspx?menuIndex=3&amp;refID=7164158&amp;Result=3","7164158")</f>
        <v>0</v>
      </c>
      <c r="B3637" t="s">
        <v>1517</v>
      </c>
      <c r="C3637" t="s">
        <v>7363</v>
      </c>
      <c r="D3637" t="s">
        <v>19027</v>
      </c>
      <c r="E3637" t="s">
        <v>22364</v>
      </c>
      <c r="F3637" t="s">
        <v>32831</v>
      </c>
      <c r="G3637" t="s">
        <v>32838</v>
      </c>
      <c r="H3637" t="s">
        <v>32848</v>
      </c>
      <c r="I3637" t="s">
        <v>32860</v>
      </c>
      <c r="J3637" t="s">
        <v>35368</v>
      </c>
      <c r="K3637" t="s">
        <v>42726</v>
      </c>
      <c r="M3637" t="s">
        <v>44618</v>
      </c>
      <c r="N3637" t="s">
        <v>47424</v>
      </c>
      <c r="O3637" t="s">
        <v>47425</v>
      </c>
      <c r="P3637">
        <v>0</v>
      </c>
      <c r="Q3637">
        <v>2</v>
      </c>
      <c r="R3637" t="s">
        <v>47428</v>
      </c>
      <c r="S3637" t="s">
        <v>47541</v>
      </c>
      <c r="T3637" t="s">
        <v>49235</v>
      </c>
      <c r="U3637" t="s">
        <v>52758</v>
      </c>
      <c r="W3637" t="s">
        <v>44618</v>
      </c>
      <c r="X3637" t="s">
        <v>47430</v>
      </c>
    </row>
    <row r="3638" spans="1:24">
      <c r="A3638">
        <f>HYPERLINK("https://www.philgeps.gov.ph/GEPSNONPILOT/Tender/SplashBidNoticeAbstractUI.aspx?menuIndex=3&amp;refID=7164146&amp;Result=3","7164146")</f>
        <v>0</v>
      </c>
      <c r="B3638" t="s">
        <v>1518</v>
      </c>
      <c r="C3638" t="s">
        <v>7364</v>
      </c>
      <c r="D3638" t="s">
        <v>19032</v>
      </c>
      <c r="E3638" t="s">
        <v>22365</v>
      </c>
      <c r="F3638" t="s">
        <v>32831</v>
      </c>
      <c r="G3638" t="s">
        <v>32840</v>
      </c>
      <c r="H3638" t="s">
        <v>32848</v>
      </c>
      <c r="I3638" t="s">
        <v>32862</v>
      </c>
      <c r="J3638" t="s">
        <v>35369</v>
      </c>
      <c r="K3638" t="s">
        <v>42730</v>
      </c>
      <c r="M3638" t="s">
        <v>44619</v>
      </c>
      <c r="N3638" t="s">
        <v>47424</v>
      </c>
      <c r="O3638" t="s">
        <v>47425</v>
      </c>
      <c r="P3638">
        <v>0</v>
      </c>
      <c r="Q3638">
        <v>2</v>
      </c>
      <c r="R3638" t="s">
        <v>47428</v>
      </c>
      <c r="S3638" t="s">
        <v>47541</v>
      </c>
      <c r="T3638" t="s">
        <v>49129</v>
      </c>
      <c r="U3638" t="s">
        <v>52759</v>
      </c>
      <c r="W3638" t="s">
        <v>44619</v>
      </c>
      <c r="X3638" t="s">
        <v>47430</v>
      </c>
    </row>
    <row r="3639" spans="1:24">
      <c r="A3639">
        <f>HYPERLINK("https://www.philgeps.gov.ph/GEPSNONPILOT/Tender/SplashBidNoticeAbstractUI.aspx?menuIndex=3&amp;refID=7164155&amp;Result=3","7164155")</f>
        <v>0</v>
      </c>
      <c r="B3639" t="s">
        <v>1437</v>
      </c>
      <c r="C3639" t="s">
        <v>7365</v>
      </c>
      <c r="D3639" t="s">
        <v>19068</v>
      </c>
      <c r="E3639" t="s">
        <v>7365</v>
      </c>
      <c r="F3639" t="s">
        <v>32831</v>
      </c>
      <c r="G3639" t="s">
        <v>32840</v>
      </c>
      <c r="H3639" t="s">
        <v>32848</v>
      </c>
      <c r="I3639" t="s">
        <v>4438</v>
      </c>
      <c r="J3639" t="s">
        <v>35370</v>
      </c>
      <c r="K3639" t="s">
        <v>42730</v>
      </c>
      <c r="M3639" t="s">
        <v>44527</v>
      </c>
      <c r="N3639" t="s">
        <v>47424</v>
      </c>
      <c r="O3639" t="s">
        <v>47425</v>
      </c>
      <c r="P3639">
        <v>0</v>
      </c>
      <c r="Q3639">
        <v>3</v>
      </c>
      <c r="R3639" t="s">
        <v>47428</v>
      </c>
      <c r="S3639" t="s">
        <v>47541</v>
      </c>
      <c r="T3639" t="s">
        <v>49198</v>
      </c>
      <c r="U3639" t="s">
        <v>52760</v>
      </c>
      <c r="V3639" t="s">
        <v>62997</v>
      </c>
      <c r="W3639" t="s">
        <v>44527</v>
      </c>
      <c r="X3639" t="s">
        <v>47430</v>
      </c>
    </row>
    <row r="3640" spans="1:24">
      <c r="A3640">
        <f>HYPERLINK("https://www.philgeps.gov.ph/GEPSNONPILOT/Tender/SplashBidNoticeAbstractUI.aspx?menuIndex=3&amp;refID=7164150&amp;Result=3","7164150")</f>
        <v>0</v>
      </c>
      <c r="B3640" t="s">
        <v>1437</v>
      </c>
      <c r="C3640" t="s">
        <v>7366</v>
      </c>
      <c r="D3640" t="s">
        <v>19068</v>
      </c>
      <c r="E3640" t="s">
        <v>7366</v>
      </c>
      <c r="F3640" t="s">
        <v>32831</v>
      </c>
      <c r="G3640" t="s">
        <v>32838</v>
      </c>
      <c r="H3640" t="s">
        <v>32848</v>
      </c>
      <c r="I3640" t="s">
        <v>32925</v>
      </c>
      <c r="J3640" t="s">
        <v>35371</v>
      </c>
      <c r="K3640" t="s">
        <v>42730</v>
      </c>
      <c r="M3640" t="s">
        <v>44527</v>
      </c>
      <c r="N3640" t="s">
        <v>47424</v>
      </c>
      <c r="O3640" t="s">
        <v>47425</v>
      </c>
      <c r="P3640">
        <v>0</v>
      </c>
      <c r="Q3640">
        <v>5</v>
      </c>
      <c r="R3640" t="s">
        <v>47428</v>
      </c>
      <c r="S3640" t="s">
        <v>47541</v>
      </c>
      <c r="T3640" t="s">
        <v>49198</v>
      </c>
      <c r="U3640" t="s">
        <v>52761</v>
      </c>
      <c r="V3640" t="s">
        <v>62997</v>
      </c>
      <c r="W3640" t="s">
        <v>44527</v>
      </c>
      <c r="X3640" t="s">
        <v>47430</v>
      </c>
    </row>
    <row r="3641" spans="1:24">
      <c r="A3641">
        <f>HYPERLINK("https://www.philgeps.gov.ph/GEPSNONPILOT/Tender/SplashBidNoticeAbstractUI.aspx?menuIndex=3&amp;refID=7164142&amp;Result=3","7164142")</f>
        <v>0</v>
      </c>
      <c r="B3641" t="s">
        <v>512</v>
      </c>
      <c r="C3641" t="s">
        <v>7367</v>
      </c>
      <c r="D3641" t="s">
        <v>19018</v>
      </c>
      <c r="E3641" t="s">
        <v>22366</v>
      </c>
      <c r="F3641" t="s">
        <v>32831</v>
      </c>
      <c r="G3641" t="s">
        <v>32838</v>
      </c>
      <c r="H3641" t="s">
        <v>32848</v>
      </c>
      <c r="I3641" t="s">
        <v>4222</v>
      </c>
      <c r="J3641" t="s">
        <v>35372</v>
      </c>
      <c r="K3641" t="s">
        <v>42727</v>
      </c>
      <c r="M3641" t="s">
        <v>43517</v>
      </c>
      <c r="N3641" t="s">
        <v>47424</v>
      </c>
      <c r="O3641" t="s">
        <v>47425</v>
      </c>
      <c r="P3641">
        <v>0</v>
      </c>
      <c r="Q3641">
        <v>0</v>
      </c>
      <c r="R3641" t="s">
        <v>47428</v>
      </c>
      <c r="S3641" t="s">
        <v>47541</v>
      </c>
      <c r="T3641" t="s">
        <v>49111</v>
      </c>
      <c r="U3641" t="s">
        <v>52732</v>
      </c>
      <c r="W3641" t="s">
        <v>43517</v>
      </c>
      <c r="X3641" t="s">
        <v>47430</v>
      </c>
    </row>
    <row r="3642" spans="1:24">
      <c r="A3642">
        <f>HYPERLINK("https://www.philgeps.gov.ph/GEPSNONPILOT/Tender/SplashBidNoticeAbstractUI.aspx?menuIndex=3&amp;refID=7164121&amp;Result=3","7164121")</f>
        <v>0</v>
      </c>
      <c r="B3642" t="s">
        <v>1437</v>
      </c>
      <c r="C3642" t="s">
        <v>7368</v>
      </c>
      <c r="E3642" t="s">
        <v>7368</v>
      </c>
      <c r="F3642" t="s">
        <v>32831</v>
      </c>
      <c r="G3642" t="s">
        <v>32838</v>
      </c>
      <c r="H3642" t="s">
        <v>32850</v>
      </c>
      <c r="I3642" t="s">
        <v>32863</v>
      </c>
      <c r="J3642" t="s">
        <v>33041</v>
      </c>
      <c r="K3642" t="s">
        <v>42763</v>
      </c>
      <c r="M3642" t="s">
        <v>44527</v>
      </c>
      <c r="N3642" t="s">
        <v>47424</v>
      </c>
      <c r="O3642" t="s">
        <v>47425</v>
      </c>
      <c r="P3642">
        <v>0</v>
      </c>
      <c r="Q3642">
        <v>2</v>
      </c>
      <c r="R3642" t="s">
        <v>47428</v>
      </c>
      <c r="S3642" t="s">
        <v>47541</v>
      </c>
      <c r="T3642" t="s">
        <v>49198</v>
      </c>
      <c r="U3642" t="s">
        <v>52742</v>
      </c>
      <c r="V3642" t="s">
        <v>62997</v>
      </c>
      <c r="W3642" t="s">
        <v>44527</v>
      </c>
      <c r="X3642" t="s">
        <v>47430</v>
      </c>
    </row>
    <row r="3643" spans="1:24">
      <c r="A3643">
        <f>HYPERLINK("https://www.philgeps.gov.ph/GEPSNONPILOT/Tender/SplashBidNoticeAbstractUI.aspx?menuIndex=3&amp;refID=7164080&amp;Result=3","7164080")</f>
        <v>0</v>
      </c>
      <c r="B3643" t="s">
        <v>338</v>
      </c>
      <c r="C3643" t="s">
        <v>7369</v>
      </c>
      <c r="D3643" t="s">
        <v>19019</v>
      </c>
      <c r="E3643" t="s">
        <v>22367</v>
      </c>
      <c r="F3643" t="s">
        <v>32831</v>
      </c>
      <c r="G3643" t="s">
        <v>32840</v>
      </c>
      <c r="H3643" t="s">
        <v>32848</v>
      </c>
      <c r="I3643" t="s">
        <v>4558</v>
      </c>
      <c r="J3643" t="s">
        <v>33175</v>
      </c>
      <c r="K3643" t="s">
        <v>42758</v>
      </c>
      <c r="M3643" t="s">
        <v>44600</v>
      </c>
      <c r="N3643" t="s">
        <v>47424</v>
      </c>
      <c r="O3643" t="s">
        <v>47425</v>
      </c>
      <c r="P3643">
        <v>0</v>
      </c>
      <c r="Q3643">
        <v>1</v>
      </c>
      <c r="R3643" t="s">
        <v>47428</v>
      </c>
      <c r="S3643" t="s">
        <v>47541</v>
      </c>
      <c r="T3643" t="s">
        <v>49237</v>
      </c>
      <c r="U3643" t="s">
        <v>52762</v>
      </c>
      <c r="W3643" t="s">
        <v>44600</v>
      </c>
      <c r="X3643" t="s">
        <v>47430</v>
      </c>
    </row>
    <row r="3644" spans="1:24">
      <c r="A3644">
        <f>HYPERLINK("https://www.philgeps.gov.ph/GEPSNONPILOT/Tender/SplashBidNoticeAbstractUI.aspx?menuIndex=3&amp;refID=7164144&amp;Result=3","7164144")</f>
        <v>0</v>
      </c>
      <c r="B3644" t="s">
        <v>1437</v>
      </c>
      <c r="C3644" t="s">
        <v>7370</v>
      </c>
      <c r="D3644" t="s">
        <v>19068</v>
      </c>
      <c r="E3644" t="s">
        <v>7370</v>
      </c>
      <c r="F3644" t="s">
        <v>32831</v>
      </c>
      <c r="G3644" t="s">
        <v>32838</v>
      </c>
      <c r="H3644" t="s">
        <v>32848</v>
      </c>
      <c r="I3644" t="s">
        <v>32925</v>
      </c>
      <c r="J3644" t="s">
        <v>33433</v>
      </c>
      <c r="K3644" t="s">
        <v>42730</v>
      </c>
      <c r="M3644" t="s">
        <v>44527</v>
      </c>
      <c r="N3644" t="s">
        <v>47424</v>
      </c>
      <c r="O3644" t="s">
        <v>47425</v>
      </c>
      <c r="P3644">
        <v>0</v>
      </c>
      <c r="Q3644">
        <v>4</v>
      </c>
      <c r="R3644" t="s">
        <v>47428</v>
      </c>
      <c r="S3644" t="s">
        <v>47541</v>
      </c>
      <c r="T3644" t="s">
        <v>49198</v>
      </c>
      <c r="U3644" t="s">
        <v>52763</v>
      </c>
      <c r="V3644" t="s">
        <v>62997</v>
      </c>
      <c r="W3644" t="s">
        <v>44527</v>
      </c>
      <c r="X3644" t="s">
        <v>47430</v>
      </c>
    </row>
    <row r="3645" spans="1:24">
      <c r="A3645">
        <f>HYPERLINK("https://www.philgeps.gov.ph/GEPSNONPILOT/Tender/SplashBidNoticeAbstractUI.aspx?menuIndex=3&amp;refID=7164168&amp;Result=3","7164168")</f>
        <v>0</v>
      </c>
      <c r="B3645" t="s">
        <v>1517</v>
      </c>
      <c r="C3645" t="s">
        <v>7371</v>
      </c>
      <c r="D3645" t="s">
        <v>19027</v>
      </c>
      <c r="E3645" t="s">
        <v>22368</v>
      </c>
      <c r="F3645" t="s">
        <v>32831</v>
      </c>
      <c r="G3645" t="s">
        <v>32838</v>
      </c>
      <c r="H3645" t="s">
        <v>32848</v>
      </c>
      <c r="I3645" t="s">
        <v>32860</v>
      </c>
      <c r="J3645" t="s">
        <v>35373</v>
      </c>
      <c r="K3645" t="s">
        <v>42726</v>
      </c>
      <c r="M3645" t="s">
        <v>44618</v>
      </c>
      <c r="N3645" t="s">
        <v>47424</v>
      </c>
      <c r="O3645" t="s">
        <v>47425</v>
      </c>
      <c r="P3645">
        <v>0</v>
      </c>
      <c r="Q3645">
        <v>1</v>
      </c>
      <c r="R3645" t="s">
        <v>47428</v>
      </c>
      <c r="S3645" t="s">
        <v>47541</v>
      </c>
      <c r="T3645" t="s">
        <v>49235</v>
      </c>
      <c r="U3645" t="s">
        <v>52764</v>
      </c>
      <c r="W3645" t="s">
        <v>44618</v>
      </c>
      <c r="X3645" t="s">
        <v>47430</v>
      </c>
    </row>
    <row r="3646" spans="1:24">
      <c r="A3646">
        <f>HYPERLINK("https://www.philgeps.gov.ph/GEPSNONPILOT/Tender/SplashBidNoticeAbstractUI.aspx?menuIndex=3&amp;refID=7164198&amp;Result=3","7164198")</f>
        <v>0</v>
      </c>
      <c r="B3646" t="s">
        <v>1519</v>
      </c>
      <c r="C3646" t="s">
        <v>4459</v>
      </c>
      <c r="D3646" t="s">
        <v>19045</v>
      </c>
      <c r="E3646" t="s">
        <v>22369</v>
      </c>
      <c r="F3646" t="s">
        <v>32831</v>
      </c>
      <c r="G3646" t="s">
        <v>32839</v>
      </c>
      <c r="H3646" t="s">
        <v>32849</v>
      </c>
      <c r="I3646" t="s">
        <v>4177</v>
      </c>
      <c r="J3646" t="s">
        <v>32983</v>
      </c>
      <c r="K3646" t="s">
        <v>42747</v>
      </c>
      <c r="M3646" t="s">
        <v>44620</v>
      </c>
      <c r="N3646" t="s">
        <v>47424</v>
      </c>
      <c r="O3646" t="s">
        <v>47425</v>
      </c>
      <c r="P3646">
        <v>0</v>
      </c>
      <c r="Q3646">
        <v>0</v>
      </c>
      <c r="R3646" t="s">
        <v>47428</v>
      </c>
      <c r="S3646" t="s">
        <v>47541</v>
      </c>
      <c r="T3646" t="s">
        <v>49080</v>
      </c>
      <c r="U3646" t="s">
        <v>52765</v>
      </c>
      <c r="W3646" t="s">
        <v>44620</v>
      </c>
      <c r="X3646" t="s">
        <v>47430</v>
      </c>
    </row>
    <row r="3647" spans="1:24">
      <c r="A3647">
        <f>HYPERLINK("https://www.philgeps.gov.ph/GEPSNONPILOT/Tender/SplashBidNoticeAbstractUI.aspx?menuIndex=3&amp;refID=7164195&amp;Result=3","7164195")</f>
        <v>0</v>
      </c>
      <c r="B3647" t="s">
        <v>1520</v>
      </c>
      <c r="C3647" t="s">
        <v>7372</v>
      </c>
      <c r="D3647" t="s">
        <v>19027</v>
      </c>
      <c r="E3647" t="s">
        <v>22370</v>
      </c>
      <c r="F3647" t="s">
        <v>32831</v>
      </c>
      <c r="G3647" t="s">
        <v>32839</v>
      </c>
      <c r="H3647" t="s">
        <v>32848</v>
      </c>
      <c r="I3647" t="s">
        <v>7416</v>
      </c>
      <c r="J3647" t="s">
        <v>35374</v>
      </c>
      <c r="K3647" t="s">
        <v>42759</v>
      </c>
      <c r="M3647" t="s">
        <v>44621</v>
      </c>
      <c r="N3647" t="s">
        <v>47424</v>
      </c>
      <c r="O3647" t="s">
        <v>47425</v>
      </c>
      <c r="P3647">
        <v>0</v>
      </c>
      <c r="Q3647">
        <v>0</v>
      </c>
      <c r="R3647" t="s">
        <v>47428</v>
      </c>
      <c r="S3647" t="s">
        <v>47541</v>
      </c>
      <c r="T3647" t="s">
        <v>49112</v>
      </c>
      <c r="U3647" t="s">
        <v>52766</v>
      </c>
      <c r="W3647" t="s">
        <v>44621</v>
      </c>
      <c r="X3647" t="s">
        <v>47430</v>
      </c>
    </row>
    <row r="3648" spans="1:24">
      <c r="A3648">
        <f>HYPERLINK("https://www.philgeps.gov.ph/GEPSNONPILOT/Tender/SplashBidNoticeAbstractUI.aspx?menuIndex=3&amp;refID=7164193&amp;Result=3","7164193")</f>
        <v>0</v>
      </c>
      <c r="B3648" t="s">
        <v>1521</v>
      </c>
      <c r="C3648" t="s">
        <v>7373</v>
      </c>
      <c r="D3648" t="s">
        <v>19033</v>
      </c>
      <c r="E3648" t="s">
        <v>22371</v>
      </c>
      <c r="F3648" t="s">
        <v>32831</v>
      </c>
      <c r="G3648" t="s">
        <v>32840</v>
      </c>
      <c r="H3648" t="s">
        <v>32848</v>
      </c>
      <c r="I3648" t="s">
        <v>32862</v>
      </c>
      <c r="J3648" t="s">
        <v>33430</v>
      </c>
      <c r="K3648" t="s">
        <v>42726</v>
      </c>
      <c r="M3648" t="s">
        <v>44622</v>
      </c>
      <c r="N3648" t="s">
        <v>47424</v>
      </c>
      <c r="O3648" t="s">
        <v>47425</v>
      </c>
      <c r="P3648">
        <v>0</v>
      </c>
      <c r="Q3648">
        <v>0</v>
      </c>
      <c r="R3648" t="s">
        <v>47428</v>
      </c>
      <c r="S3648" t="s">
        <v>47541</v>
      </c>
      <c r="T3648" t="s">
        <v>49111</v>
      </c>
      <c r="U3648" t="s">
        <v>52767</v>
      </c>
      <c r="W3648" t="s">
        <v>44622</v>
      </c>
      <c r="X3648" t="s">
        <v>47430</v>
      </c>
    </row>
    <row r="3649" spans="1:24">
      <c r="A3649">
        <f>HYPERLINK("https://www.philgeps.gov.ph/GEPSNONPILOT/Tender/SplashBidNoticeAbstractUI.aspx?menuIndex=3&amp;refID=7164191&amp;Result=3","7164191")</f>
        <v>0</v>
      </c>
      <c r="B3649" t="s">
        <v>1521</v>
      </c>
      <c r="C3649" t="s">
        <v>7374</v>
      </c>
      <c r="D3649" t="s">
        <v>19033</v>
      </c>
      <c r="E3649" t="s">
        <v>22372</v>
      </c>
      <c r="F3649" t="s">
        <v>32831</v>
      </c>
      <c r="G3649" t="s">
        <v>32838</v>
      </c>
      <c r="H3649" t="s">
        <v>32848</v>
      </c>
      <c r="I3649" t="s">
        <v>32885</v>
      </c>
      <c r="J3649" t="s">
        <v>34889</v>
      </c>
      <c r="K3649" t="s">
        <v>42726</v>
      </c>
      <c r="M3649" t="s">
        <v>44622</v>
      </c>
      <c r="N3649" t="s">
        <v>47424</v>
      </c>
      <c r="O3649" t="s">
        <v>47425</v>
      </c>
      <c r="P3649">
        <v>0</v>
      </c>
      <c r="Q3649">
        <v>3</v>
      </c>
      <c r="R3649" t="s">
        <v>47428</v>
      </c>
      <c r="S3649" t="s">
        <v>47541</v>
      </c>
      <c r="T3649" t="s">
        <v>49111</v>
      </c>
      <c r="U3649" t="s">
        <v>52768</v>
      </c>
      <c r="W3649" t="s">
        <v>44622</v>
      </c>
      <c r="X3649" t="s">
        <v>47430</v>
      </c>
    </row>
    <row r="3650" spans="1:24">
      <c r="A3650">
        <f>HYPERLINK("https://www.philgeps.gov.ph/GEPSNONPILOT/Tender/SplashBidNoticeAbstractUI.aspx?menuIndex=3&amp;refID=7164160&amp;Result=3","7164160")</f>
        <v>0</v>
      </c>
      <c r="B3650" t="s">
        <v>512</v>
      </c>
      <c r="C3650" t="s">
        <v>7375</v>
      </c>
      <c r="D3650" t="s">
        <v>19018</v>
      </c>
      <c r="E3650" t="s">
        <v>7375</v>
      </c>
      <c r="F3650" t="s">
        <v>32831</v>
      </c>
      <c r="G3650" t="s">
        <v>32838</v>
      </c>
      <c r="H3650" t="s">
        <v>32848</v>
      </c>
      <c r="I3650" t="s">
        <v>9577</v>
      </c>
      <c r="J3650" t="s">
        <v>35375</v>
      </c>
      <c r="K3650" t="s">
        <v>42727</v>
      </c>
      <c r="M3650" t="s">
        <v>43517</v>
      </c>
      <c r="N3650" t="s">
        <v>47424</v>
      </c>
      <c r="O3650" t="s">
        <v>47425</v>
      </c>
      <c r="P3650">
        <v>0</v>
      </c>
      <c r="Q3650">
        <v>0</v>
      </c>
      <c r="R3650" t="s">
        <v>47428</v>
      </c>
      <c r="S3650" t="s">
        <v>47541</v>
      </c>
      <c r="T3650" t="s">
        <v>49111</v>
      </c>
      <c r="U3650" t="s">
        <v>52732</v>
      </c>
      <c r="W3650" t="s">
        <v>43517</v>
      </c>
      <c r="X3650" t="s">
        <v>47430</v>
      </c>
    </row>
    <row r="3651" spans="1:24">
      <c r="A3651">
        <f>HYPERLINK("https://www.philgeps.gov.ph/GEPSNONPILOT/Tender/SplashBidNoticeAbstractUI.aspx?menuIndex=3&amp;refID=7164141&amp;Result=3","7164141")</f>
        <v>0</v>
      </c>
      <c r="B3651" t="s">
        <v>512</v>
      </c>
      <c r="C3651" t="s">
        <v>7376</v>
      </c>
      <c r="D3651" t="s">
        <v>19018</v>
      </c>
      <c r="E3651" t="s">
        <v>22373</v>
      </c>
      <c r="F3651" t="s">
        <v>32831</v>
      </c>
      <c r="G3651" t="s">
        <v>32838</v>
      </c>
      <c r="H3651" t="s">
        <v>32848</v>
      </c>
      <c r="I3651" t="s">
        <v>32862</v>
      </c>
      <c r="J3651" t="s">
        <v>35376</v>
      </c>
      <c r="K3651" t="s">
        <v>42727</v>
      </c>
      <c r="M3651" t="s">
        <v>43517</v>
      </c>
      <c r="N3651" t="s">
        <v>47424</v>
      </c>
      <c r="O3651" t="s">
        <v>47425</v>
      </c>
      <c r="P3651">
        <v>0</v>
      </c>
      <c r="Q3651">
        <v>0</v>
      </c>
      <c r="R3651" t="s">
        <v>47428</v>
      </c>
      <c r="S3651" t="s">
        <v>47541</v>
      </c>
      <c r="T3651" t="s">
        <v>49111</v>
      </c>
      <c r="U3651" t="s">
        <v>52732</v>
      </c>
      <c r="W3651" t="s">
        <v>43517</v>
      </c>
      <c r="X3651" t="s">
        <v>47430</v>
      </c>
    </row>
    <row r="3652" spans="1:24">
      <c r="A3652">
        <f>HYPERLINK("https://www.philgeps.gov.ph/GEPSNONPILOT/Tender/SplashBidNoticeAbstractUI.aspx?menuIndex=3&amp;refID=7164190&amp;Result=3","7164190")</f>
        <v>0</v>
      </c>
      <c r="B3652" t="s">
        <v>1520</v>
      </c>
      <c r="C3652" t="s">
        <v>7377</v>
      </c>
      <c r="D3652" t="s">
        <v>19027</v>
      </c>
      <c r="E3652" t="s">
        <v>22374</v>
      </c>
      <c r="F3652" t="s">
        <v>32831</v>
      </c>
      <c r="G3652" t="s">
        <v>32839</v>
      </c>
      <c r="H3652" t="s">
        <v>32848</v>
      </c>
      <c r="I3652" t="s">
        <v>9577</v>
      </c>
      <c r="J3652" t="s">
        <v>35377</v>
      </c>
      <c r="K3652" t="s">
        <v>42759</v>
      </c>
      <c r="M3652" t="s">
        <v>44621</v>
      </c>
      <c r="N3652" t="s">
        <v>47424</v>
      </c>
      <c r="O3652" t="s">
        <v>47425</v>
      </c>
      <c r="P3652">
        <v>0</v>
      </c>
      <c r="Q3652">
        <v>1</v>
      </c>
      <c r="R3652" t="s">
        <v>47428</v>
      </c>
      <c r="S3652" t="s">
        <v>47541</v>
      </c>
      <c r="T3652" t="s">
        <v>49112</v>
      </c>
      <c r="U3652" t="s">
        <v>52769</v>
      </c>
      <c r="W3652" t="s">
        <v>44621</v>
      </c>
      <c r="X3652" t="s">
        <v>47430</v>
      </c>
    </row>
    <row r="3653" spans="1:24">
      <c r="A3653">
        <f>HYPERLINK("https://www.philgeps.gov.ph/GEPSNONPILOT/Tender/SplashBidNoticeAbstractUI.aspx?menuIndex=3&amp;refID=7164188&amp;Result=3","7164188")</f>
        <v>0</v>
      </c>
      <c r="B3653" t="s">
        <v>1522</v>
      </c>
      <c r="C3653" t="s">
        <v>7378</v>
      </c>
      <c r="D3653" t="s">
        <v>19084</v>
      </c>
      <c r="E3653" t="s">
        <v>22375</v>
      </c>
      <c r="F3653" t="s">
        <v>32831</v>
      </c>
      <c r="G3653" t="s">
        <v>32839</v>
      </c>
      <c r="H3653" t="s">
        <v>32849</v>
      </c>
      <c r="I3653" t="s">
        <v>4177</v>
      </c>
      <c r="J3653" t="s">
        <v>35378</v>
      </c>
      <c r="K3653" t="s">
        <v>42841</v>
      </c>
      <c r="L3653" t="s">
        <v>1522</v>
      </c>
      <c r="M3653" t="s">
        <v>44623</v>
      </c>
      <c r="N3653" t="s">
        <v>47424</v>
      </c>
      <c r="O3653" t="s">
        <v>47425</v>
      </c>
      <c r="P3653">
        <v>0</v>
      </c>
      <c r="Q3653">
        <v>1</v>
      </c>
      <c r="R3653" t="s">
        <v>47428</v>
      </c>
      <c r="S3653" t="s">
        <v>47541</v>
      </c>
      <c r="T3653" t="s">
        <v>49291</v>
      </c>
      <c r="U3653" t="s">
        <v>52770</v>
      </c>
      <c r="W3653" t="s">
        <v>44623</v>
      </c>
      <c r="X3653" t="s">
        <v>47430</v>
      </c>
    </row>
    <row r="3654" spans="1:24">
      <c r="A3654">
        <f>HYPERLINK("https://www.philgeps.gov.ph/GEPSNONPILOT/Tender/SplashBidNoticeAbstractUI.aspx?menuIndex=3&amp;refID=7164189&amp;Result=3","7164189")</f>
        <v>0</v>
      </c>
      <c r="B3654" t="s">
        <v>1065</v>
      </c>
      <c r="C3654" t="s">
        <v>7379</v>
      </c>
      <c r="D3654" t="s">
        <v>19017</v>
      </c>
      <c r="E3654" t="s">
        <v>22376</v>
      </c>
      <c r="F3654" t="s">
        <v>32831</v>
      </c>
      <c r="G3654" t="s">
        <v>32838</v>
      </c>
      <c r="H3654" t="s">
        <v>32848</v>
      </c>
      <c r="I3654" t="s">
        <v>14069</v>
      </c>
      <c r="J3654" t="s">
        <v>35379</v>
      </c>
      <c r="K3654" t="s">
        <v>42732</v>
      </c>
      <c r="M3654" t="s">
        <v>44624</v>
      </c>
      <c r="N3654" t="s">
        <v>47424</v>
      </c>
      <c r="O3654" t="s">
        <v>47425</v>
      </c>
      <c r="P3654">
        <v>0</v>
      </c>
      <c r="Q3654">
        <v>6</v>
      </c>
      <c r="R3654" t="s">
        <v>47428</v>
      </c>
      <c r="S3654" t="s">
        <v>47541</v>
      </c>
      <c r="T3654" t="s">
        <v>49252</v>
      </c>
      <c r="U3654" t="s">
        <v>52771</v>
      </c>
      <c r="V3654" t="s">
        <v>63024</v>
      </c>
      <c r="W3654" t="s">
        <v>44624</v>
      </c>
      <c r="X3654" t="s">
        <v>47430</v>
      </c>
    </row>
    <row r="3655" spans="1:24">
      <c r="A3655">
        <f>HYPERLINK("https://www.philgeps.gov.ph/GEPSNONPILOT/Tender/SplashBidNoticeAbstractUI.aspx?menuIndex=3&amp;refID=7164185&amp;Result=3","7164185")</f>
        <v>0</v>
      </c>
      <c r="B3655" t="s">
        <v>600</v>
      </c>
      <c r="C3655" t="s">
        <v>7380</v>
      </c>
      <c r="E3655" t="s">
        <v>22377</v>
      </c>
      <c r="F3655" t="s">
        <v>32831</v>
      </c>
      <c r="G3655" t="s">
        <v>32838</v>
      </c>
      <c r="H3655" t="s">
        <v>32848</v>
      </c>
      <c r="I3655" t="s">
        <v>4487</v>
      </c>
      <c r="J3655" t="s">
        <v>33430</v>
      </c>
      <c r="K3655" t="s">
        <v>42732</v>
      </c>
      <c r="M3655" t="s">
        <v>43614</v>
      </c>
      <c r="N3655" t="s">
        <v>47424</v>
      </c>
      <c r="O3655" t="s">
        <v>47425</v>
      </c>
      <c r="P3655">
        <v>0</v>
      </c>
      <c r="Q3655">
        <v>7</v>
      </c>
      <c r="R3655" t="s">
        <v>47428</v>
      </c>
      <c r="S3655" t="s">
        <v>47541</v>
      </c>
      <c r="T3655" t="s">
        <v>49237</v>
      </c>
      <c r="U3655" t="s">
        <v>50909</v>
      </c>
      <c r="W3655" t="s">
        <v>43614</v>
      </c>
      <c r="X3655" t="s">
        <v>47430</v>
      </c>
    </row>
    <row r="3656" spans="1:24">
      <c r="A3656">
        <f>HYPERLINK("https://www.philgeps.gov.ph/GEPSNONPILOT/Tender/SplashBidNoticeAbstractUI.aspx?menuIndex=3&amp;refID=7164201&amp;Result=3","7164201")</f>
        <v>0</v>
      </c>
      <c r="B3656" t="s">
        <v>1125</v>
      </c>
      <c r="C3656" t="s">
        <v>7381</v>
      </c>
      <c r="D3656" t="s">
        <v>19017</v>
      </c>
      <c r="E3656" t="s">
        <v>22378</v>
      </c>
      <c r="F3656" t="s">
        <v>32831</v>
      </c>
      <c r="G3656" t="s">
        <v>32838</v>
      </c>
      <c r="H3656" t="s">
        <v>32848</v>
      </c>
      <c r="I3656" t="s">
        <v>4487</v>
      </c>
      <c r="J3656" t="s">
        <v>35380</v>
      </c>
      <c r="K3656" t="s">
        <v>42730</v>
      </c>
      <c r="M3656" t="s">
        <v>44185</v>
      </c>
      <c r="N3656" t="s">
        <v>47424</v>
      </c>
      <c r="O3656" t="s">
        <v>47425</v>
      </c>
      <c r="P3656">
        <v>0</v>
      </c>
      <c r="Q3656">
        <v>2</v>
      </c>
      <c r="R3656" t="s">
        <v>47428</v>
      </c>
      <c r="S3656" t="s">
        <v>47541</v>
      </c>
      <c r="T3656" t="s">
        <v>49163</v>
      </c>
      <c r="U3656" t="s">
        <v>52772</v>
      </c>
      <c r="W3656" t="s">
        <v>44185</v>
      </c>
      <c r="X3656" t="s">
        <v>47430</v>
      </c>
    </row>
    <row r="3657" spans="1:24">
      <c r="A3657">
        <f>HYPERLINK("https://www.philgeps.gov.ph/GEPSNONPILOT/Tender/SplashBidNoticeAbstractUI.aspx?menuIndex=3&amp;refID=7164196&amp;Result=3","7164196")</f>
        <v>0</v>
      </c>
      <c r="B3657" t="s">
        <v>1523</v>
      </c>
      <c r="C3657" t="s">
        <v>7382</v>
      </c>
      <c r="D3657" t="s">
        <v>19017</v>
      </c>
      <c r="E3657" t="s">
        <v>22379</v>
      </c>
      <c r="F3657" t="s">
        <v>32831</v>
      </c>
      <c r="G3657" t="s">
        <v>32839</v>
      </c>
      <c r="H3657" t="s">
        <v>32848</v>
      </c>
      <c r="I3657" t="s">
        <v>8577</v>
      </c>
      <c r="J3657" t="s">
        <v>32978</v>
      </c>
      <c r="K3657" t="s">
        <v>42726</v>
      </c>
      <c r="M3657" t="s">
        <v>44625</v>
      </c>
      <c r="N3657" t="s">
        <v>47424</v>
      </c>
      <c r="O3657" t="s">
        <v>47425</v>
      </c>
      <c r="P3657">
        <v>0</v>
      </c>
      <c r="Q3657">
        <v>1</v>
      </c>
      <c r="R3657" t="s">
        <v>47428</v>
      </c>
      <c r="S3657" t="s">
        <v>47541</v>
      </c>
      <c r="T3657" t="s">
        <v>49068</v>
      </c>
      <c r="U3657" t="s">
        <v>52773</v>
      </c>
      <c r="W3657" t="s">
        <v>44625</v>
      </c>
      <c r="X3657" t="s">
        <v>47430</v>
      </c>
    </row>
    <row r="3658" spans="1:24">
      <c r="A3658">
        <f>HYPERLINK("https://www.philgeps.gov.ph/GEPSNONPILOT/Tender/SplashBidNoticeAbstractUI.aspx?menuIndex=3&amp;refID=7164228&amp;Result=3","7164228")</f>
        <v>0</v>
      </c>
      <c r="B3658" t="s">
        <v>338</v>
      </c>
      <c r="C3658" t="s">
        <v>7383</v>
      </c>
      <c r="D3658" t="s">
        <v>19019</v>
      </c>
      <c r="E3658" t="s">
        <v>22380</v>
      </c>
      <c r="F3658" t="s">
        <v>32831</v>
      </c>
      <c r="G3658" t="s">
        <v>32840</v>
      </c>
      <c r="H3658" t="s">
        <v>32848</v>
      </c>
      <c r="I3658" t="s">
        <v>32858</v>
      </c>
      <c r="J3658" t="s">
        <v>35381</v>
      </c>
      <c r="K3658" t="s">
        <v>42726</v>
      </c>
      <c r="M3658" t="s">
        <v>44626</v>
      </c>
      <c r="N3658" t="s">
        <v>47424</v>
      </c>
      <c r="O3658" t="s">
        <v>47425</v>
      </c>
      <c r="P3658">
        <v>0</v>
      </c>
      <c r="Q3658">
        <v>5</v>
      </c>
      <c r="R3658" t="s">
        <v>47428</v>
      </c>
      <c r="S3658" t="s">
        <v>47541</v>
      </c>
      <c r="T3658" t="s">
        <v>49230</v>
      </c>
      <c r="U3658" t="s">
        <v>52774</v>
      </c>
      <c r="W3658" t="s">
        <v>44626</v>
      </c>
      <c r="X3658" t="s">
        <v>47430</v>
      </c>
    </row>
    <row r="3659" spans="1:24">
      <c r="A3659">
        <f>HYPERLINK("https://www.philgeps.gov.ph/GEPSNONPILOT/Tender/SplashBidNoticeAbstractUI.aspx?menuIndex=3&amp;refID=7164227&amp;Result=3","7164227")</f>
        <v>0</v>
      </c>
      <c r="B3659" t="s">
        <v>1524</v>
      </c>
      <c r="C3659" t="s">
        <v>7384</v>
      </c>
      <c r="D3659" t="s">
        <v>19017</v>
      </c>
      <c r="E3659" t="s">
        <v>22381</v>
      </c>
      <c r="F3659" t="s">
        <v>32831</v>
      </c>
      <c r="G3659" t="s">
        <v>32838</v>
      </c>
      <c r="H3659" t="s">
        <v>32848</v>
      </c>
      <c r="I3659" t="s">
        <v>32863</v>
      </c>
      <c r="J3659" t="s">
        <v>33067</v>
      </c>
      <c r="K3659" t="s">
        <v>42770</v>
      </c>
      <c r="M3659" t="s">
        <v>44627</v>
      </c>
      <c r="N3659" t="s">
        <v>47424</v>
      </c>
      <c r="O3659" t="s">
        <v>47425</v>
      </c>
      <c r="P3659">
        <v>0</v>
      </c>
      <c r="Q3659">
        <v>3</v>
      </c>
      <c r="R3659" t="s">
        <v>47428</v>
      </c>
      <c r="S3659" t="s">
        <v>47541</v>
      </c>
      <c r="T3659" t="s">
        <v>49115</v>
      </c>
      <c r="U3659" t="s">
        <v>52775</v>
      </c>
      <c r="W3659" t="s">
        <v>44627</v>
      </c>
      <c r="X3659" t="s">
        <v>47430</v>
      </c>
    </row>
    <row r="3660" spans="1:24">
      <c r="A3660">
        <f>HYPERLINK("https://www.philgeps.gov.ph/GEPSNONPILOT/Tender/SplashBidNoticeAbstractUI.aspx?menuIndex=3&amp;refID=7164225&amp;Result=3","7164225")</f>
        <v>0</v>
      </c>
      <c r="B3660" t="s">
        <v>1525</v>
      </c>
      <c r="C3660" t="s">
        <v>7385</v>
      </c>
      <c r="D3660" t="s">
        <v>19017</v>
      </c>
      <c r="E3660" t="s">
        <v>21896</v>
      </c>
      <c r="F3660" t="s">
        <v>32831</v>
      </c>
      <c r="G3660" t="s">
        <v>32839</v>
      </c>
      <c r="H3660" t="s">
        <v>32848</v>
      </c>
      <c r="I3660" t="s">
        <v>4438</v>
      </c>
      <c r="J3660" t="s">
        <v>35382</v>
      </c>
      <c r="K3660" t="s">
        <v>42748</v>
      </c>
      <c r="M3660" t="s">
        <v>44628</v>
      </c>
      <c r="N3660" t="s">
        <v>47424</v>
      </c>
      <c r="O3660" t="s">
        <v>47425</v>
      </c>
      <c r="P3660">
        <v>0</v>
      </c>
      <c r="Q3660">
        <v>3</v>
      </c>
      <c r="R3660" t="s">
        <v>47428</v>
      </c>
      <c r="S3660" t="s">
        <v>47541</v>
      </c>
      <c r="T3660" t="s">
        <v>49172</v>
      </c>
      <c r="U3660" t="s">
        <v>52776</v>
      </c>
      <c r="W3660" t="s">
        <v>44628</v>
      </c>
      <c r="X3660" t="s">
        <v>47430</v>
      </c>
    </row>
    <row r="3661" spans="1:24">
      <c r="A3661">
        <f>HYPERLINK("https://www.philgeps.gov.ph/GEPSNONPILOT/Tender/SplashBidNoticeAbstractUI.aspx?menuIndex=3&amp;refID=7164223&amp;Result=3","7164223")</f>
        <v>0</v>
      </c>
      <c r="B3661" t="s">
        <v>1526</v>
      </c>
      <c r="C3661" t="s">
        <v>7386</v>
      </c>
      <c r="D3661" t="s">
        <v>19044</v>
      </c>
      <c r="E3661" t="s">
        <v>22382</v>
      </c>
      <c r="F3661" t="s">
        <v>32831</v>
      </c>
      <c r="G3661" t="s">
        <v>32842</v>
      </c>
      <c r="H3661" t="s">
        <v>32848</v>
      </c>
      <c r="I3661" t="s">
        <v>32860</v>
      </c>
      <c r="J3661" t="s">
        <v>35383</v>
      </c>
      <c r="K3661" t="s">
        <v>42759</v>
      </c>
      <c r="M3661" t="s">
        <v>44629</v>
      </c>
      <c r="N3661" t="s">
        <v>47424</v>
      </c>
      <c r="O3661" t="s">
        <v>47425</v>
      </c>
      <c r="Q3661">
        <v>2</v>
      </c>
      <c r="R3661" t="s">
        <v>47428</v>
      </c>
      <c r="S3661" t="s">
        <v>47547</v>
      </c>
      <c r="T3661" t="s">
        <v>49237</v>
      </c>
      <c r="U3661" t="s">
        <v>52777</v>
      </c>
      <c r="W3661" t="s">
        <v>44629</v>
      </c>
      <c r="X3661" t="s">
        <v>47430</v>
      </c>
    </row>
    <row r="3662" spans="1:24">
      <c r="A3662">
        <f>HYPERLINK("https://www.philgeps.gov.ph/GEPSNONPILOT/Tender/SplashBidNoticeAbstractUI.aspx?menuIndex=3&amp;refID=7164199&amp;Result=3","7164199")</f>
        <v>0</v>
      </c>
      <c r="B3662" t="s">
        <v>1527</v>
      </c>
      <c r="C3662" t="s">
        <v>7387</v>
      </c>
      <c r="E3662" t="s">
        <v>22383</v>
      </c>
      <c r="F3662" t="s">
        <v>32831</v>
      </c>
      <c r="G3662" t="s">
        <v>32839</v>
      </c>
      <c r="H3662" t="s">
        <v>32848</v>
      </c>
      <c r="I3662" t="s">
        <v>32857</v>
      </c>
      <c r="J3662" t="s">
        <v>32980</v>
      </c>
      <c r="K3662" t="s">
        <v>42758</v>
      </c>
      <c r="M3662" t="s">
        <v>44630</v>
      </c>
      <c r="N3662" t="s">
        <v>47424</v>
      </c>
      <c r="O3662" t="s">
        <v>47425</v>
      </c>
      <c r="P3662">
        <v>0</v>
      </c>
      <c r="Q3662">
        <v>2</v>
      </c>
      <c r="R3662" t="s">
        <v>47428</v>
      </c>
      <c r="S3662" t="s">
        <v>47541</v>
      </c>
      <c r="T3662" t="s">
        <v>49151</v>
      </c>
      <c r="U3662" t="s">
        <v>52778</v>
      </c>
      <c r="V3662" t="s">
        <v>63025</v>
      </c>
      <c r="W3662" t="s">
        <v>44630</v>
      </c>
      <c r="X3662" t="s">
        <v>47430</v>
      </c>
    </row>
    <row r="3663" spans="1:24">
      <c r="A3663">
        <f>HYPERLINK("https://www.philgeps.gov.ph/GEPSNONPILOT/Tender/SplashBidNoticeAbstractUI.aspx?menuIndex=3&amp;refID=7164221&amp;Result=3","7164221")</f>
        <v>0</v>
      </c>
      <c r="B3663" t="s">
        <v>1528</v>
      </c>
      <c r="C3663" t="s">
        <v>7387</v>
      </c>
      <c r="D3663" t="s">
        <v>19057</v>
      </c>
      <c r="E3663" t="s">
        <v>19829</v>
      </c>
      <c r="F3663" t="s">
        <v>32831</v>
      </c>
      <c r="G3663" t="s">
        <v>32839</v>
      </c>
      <c r="H3663" t="s">
        <v>32848</v>
      </c>
      <c r="I3663" t="s">
        <v>32857</v>
      </c>
      <c r="J3663" t="s">
        <v>32980</v>
      </c>
      <c r="K3663" t="s">
        <v>42758</v>
      </c>
      <c r="M3663" t="s">
        <v>44631</v>
      </c>
      <c r="N3663" t="s">
        <v>47424</v>
      </c>
      <c r="O3663" t="s">
        <v>47425</v>
      </c>
      <c r="P3663">
        <v>0</v>
      </c>
      <c r="Q3663">
        <v>3</v>
      </c>
      <c r="R3663" t="s">
        <v>47428</v>
      </c>
      <c r="S3663" t="s">
        <v>47541</v>
      </c>
      <c r="T3663" t="s">
        <v>49159</v>
      </c>
      <c r="U3663" t="s">
        <v>52779</v>
      </c>
      <c r="V3663" t="s">
        <v>63026</v>
      </c>
      <c r="W3663" t="s">
        <v>44631</v>
      </c>
      <c r="X3663" t="s">
        <v>47430</v>
      </c>
    </row>
    <row r="3664" spans="1:24">
      <c r="A3664">
        <f>HYPERLINK("https://www.philgeps.gov.ph/GEPSNONPILOT/Tender/SplashBidNoticeAbstractUI.aspx?menuIndex=3&amp;refID=7164219&amp;Result=3","7164219")</f>
        <v>0</v>
      </c>
      <c r="B3664" t="s">
        <v>1529</v>
      </c>
      <c r="C3664" t="s">
        <v>7388</v>
      </c>
      <c r="E3664" t="s">
        <v>22384</v>
      </c>
      <c r="F3664" t="s">
        <v>32831</v>
      </c>
      <c r="G3664" t="s">
        <v>32838</v>
      </c>
      <c r="H3664" t="s">
        <v>32848</v>
      </c>
      <c r="I3664" t="s">
        <v>32929</v>
      </c>
      <c r="J3664" t="s">
        <v>35384</v>
      </c>
      <c r="K3664" t="s">
        <v>42732</v>
      </c>
      <c r="M3664" t="s">
        <v>44632</v>
      </c>
      <c r="N3664" t="s">
        <v>47424</v>
      </c>
      <c r="O3664" t="s">
        <v>47425</v>
      </c>
      <c r="P3664">
        <v>0</v>
      </c>
      <c r="Q3664">
        <v>3</v>
      </c>
      <c r="R3664" t="s">
        <v>47428</v>
      </c>
      <c r="S3664" t="s">
        <v>47541</v>
      </c>
      <c r="T3664" t="s">
        <v>49108</v>
      </c>
      <c r="U3664" t="s">
        <v>52780</v>
      </c>
      <c r="W3664" t="s">
        <v>44632</v>
      </c>
      <c r="X3664" t="s">
        <v>47430</v>
      </c>
    </row>
    <row r="3665" spans="1:24">
      <c r="A3665">
        <f>HYPERLINK("https://www.philgeps.gov.ph/GEPSNONPILOT/Tender/SplashBidNoticeAbstractUI.aspx?menuIndex=3&amp;refID=7164217&amp;Result=3","7164217")</f>
        <v>0</v>
      </c>
      <c r="B3665" t="s">
        <v>1055</v>
      </c>
      <c r="C3665" t="s">
        <v>7389</v>
      </c>
      <c r="D3665" t="s">
        <v>19017</v>
      </c>
      <c r="E3665" t="s">
        <v>22385</v>
      </c>
      <c r="F3665" t="s">
        <v>32831</v>
      </c>
      <c r="G3665" t="s">
        <v>32838</v>
      </c>
      <c r="H3665" t="s">
        <v>32848</v>
      </c>
      <c r="I3665" t="s">
        <v>32856</v>
      </c>
      <c r="J3665" t="s">
        <v>33072</v>
      </c>
      <c r="K3665" t="s">
        <v>42732</v>
      </c>
      <c r="M3665" t="s">
        <v>44112</v>
      </c>
      <c r="N3665" t="s">
        <v>47424</v>
      </c>
      <c r="O3665" t="s">
        <v>47425</v>
      </c>
      <c r="P3665">
        <v>0</v>
      </c>
      <c r="Q3665">
        <v>6</v>
      </c>
      <c r="R3665" t="s">
        <v>47428</v>
      </c>
      <c r="S3665" t="s">
        <v>47541</v>
      </c>
      <c r="T3665" t="s">
        <v>49129</v>
      </c>
      <c r="U3665" t="s">
        <v>52781</v>
      </c>
      <c r="W3665" t="s">
        <v>44112</v>
      </c>
      <c r="X3665" t="s">
        <v>47430</v>
      </c>
    </row>
    <row r="3666" spans="1:24">
      <c r="A3666">
        <f>HYPERLINK("https://www.philgeps.gov.ph/GEPSNONPILOT/Tender/SplashBidNoticeAbstractUI.aspx?menuIndex=3&amp;refID=7164226&amp;Result=3","7164226")</f>
        <v>0</v>
      </c>
      <c r="B3666" t="s">
        <v>1530</v>
      </c>
      <c r="C3666" t="s">
        <v>7390</v>
      </c>
      <c r="D3666" t="s">
        <v>19073</v>
      </c>
      <c r="E3666" t="s">
        <v>22386</v>
      </c>
      <c r="F3666" t="s">
        <v>32831</v>
      </c>
      <c r="G3666" t="s">
        <v>32839</v>
      </c>
      <c r="H3666" t="s">
        <v>32848</v>
      </c>
      <c r="I3666" t="s">
        <v>32860</v>
      </c>
      <c r="J3666" t="s">
        <v>35385</v>
      </c>
      <c r="K3666" t="s">
        <v>42727</v>
      </c>
      <c r="M3666" t="s">
        <v>44633</v>
      </c>
      <c r="N3666" t="s">
        <v>47424</v>
      </c>
      <c r="O3666" t="s">
        <v>47425</v>
      </c>
      <c r="P3666">
        <v>0</v>
      </c>
      <c r="Q3666">
        <v>4</v>
      </c>
      <c r="R3666" t="s">
        <v>47428</v>
      </c>
      <c r="S3666" t="s">
        <v>47541</v>
      </c>
      <c r="T3666" t="s">
        <v>49186</v>
      </c>
      <c r="U3666" t="s">
        <v>52782</v>
      </c>
      <c r="V3666" t="s">
        <v>63027</v>
      </c>
      <c r="W3666" t="s">
        <v>44633</v>
      </c>
      <c r="X3666" t="s">
        <v>47430</v>
      </c>
    </row>
    <row r="3667" spans="1:24">
      <c r="A3667">
        <f>HYPERLINK("https://www.philgeps.gov.ph/GEPSNONPILOT/Tender/SplashBidNoticeAbstractUI.aspx?menuIndex=3&amp;refID=7164214&amp;Result=3","7164214")</f>
        <v>0</v>
      </c>
      <c r="B3667" t="s">
        <v>1120</v>
      </c>
      <c r="C3667" t="s">
        <v>7391</v>
      </c>
      <c r="E3667" t="s">
        <v>22387</v>
      </c>
      <c r="F3667" t="s">
        <v>32831</v>
      </c>
      <c r="G3667" t="s">
        <v>32840</v>
      </c>
      <c r="H3667" t="s">
        <v>32848</v>
      </c>
      <c r="I3667" t="s">
        <v>32857</v>
      </c>
      <c r="J3667" t="s">
        <v>33007</v>
      </c>
      <c r="K3667" t="s">
        <v>42731</v>
      </c>
      <c r="M3667" t="s">
        <v>44180</v>
      </c>
      <c r="N3667" t="s">
        <v>47424</v>
      </c>
      <c r="O3667" t="s">
        <v>47425</v>
      </c>
      <c r="P3667">
        <v>0</v>
      </c>
      <c r="Q3667">
        <v>4</v>
      </c>
      <c r="R3667" t="s">
        <v>47428</v>
      </c>
      <c r="S3667" t="s">
        <v>47541</v>
      </c>
      <c r="T3667" t="s">
        <v>49237</v>
      </c>
      <c r="U3667" t="s">
        <v>52783</v>
      </c>
      <c r="W3667" t="s">
        <v>44180</v>
      </c>
      <c r="X3667" t="s">
        <v>47430</v>
      </c>
    </row>
    <row r="3668" spans="1:24">
      <c r="A3668">
        <f>HYPERLINK("https://www.philgeps.gov.ph/GEPSNONPILOT/Tender/SplashBidNoticeAbstractUI.aspx?menuIndex=3&amp;refID=7164183&amp;Result=3","7164183")</f>
        <v>0</v>
      </c>
      <c r="B3668" t="s">
        <v>1522</v>
      </c>
      <c r="C3668" t="s">
        <v>7392</v>
      </c>
      <c r="D3668" t="s">
        <v>19084</v>
      </c>
      <c r="E3668" t="s">
        <v>22388</v>
      </c>
      <c r="F3668" t="s">
        <v>32831</v>
      </c>
      <c r="G3668" t="s">
        <v>32839</v>
      </c>
      <c r="H3668" t="s">
        <v>32849</v>
      </c>
      <c r="I3668" t="s">
        <v>4177</v>
      </c>
      <c r="J3668" t="s">
        <v>35386</v>
      </c>
      <c r="K3668" t="s">
        <v>42841</v>
      </c>
      <c r="L3668" t="s">
        <v>1522</v>
      </c>
      <c r="M3668" t="s">
        <v>44623</v>
      </c>
      <c r="N3668" t="s">
        <v>47424</v>
      </c>
      <c r="O3668" t="s">
        <v>47425</v>
      </c>
      <c r="P3668">
        <v>0</v>
      </c>
      <c r="Q3668">
        <v>1</v>
      </c>
      <c r="R3668" t="s">
        <v>47428</v>
      </c>
      <c r="S3668" t="s">
        <v>47541</v>
      </c>
      <c r="T3668" t="s">
        <v>49291</v>
      </c>
      <c r="U3668" t="s">
        <v>52784</v>
      </c>
      <c r="W3668" t="s">
        <v>44623</v>
      </c>
      <c r="X3668" t="s">
        <v>47430</v>
      </c>
    </row>
    <row r="3669" spans="1:24">
      <c r="A3669">
        <f>HYPERLINK("https://www.philgeps.gov.ph/GEPSNONPILOT/Tender/SplashBidNoticeAbstractUI.aspx?menuIndex=3&amp;refID=7164213&amp;Result=3","7164213")</f>
        <v>0</v>
      </c>
      <c r="B3669" t="s">
        <v>1531</v>
      </c>
      <c r="C3669" t="s">
        <v>7393</v>
      </c>
      <c r="D3669" t="s">
        <v>19017</v>
      </c>
      <c r="E3669" t="s">
        <v>22389</v>
      </c>
      <c r="F3669" t="s">
        <v>32831</v>
      </c>
      <c r="G3669" t="s">
        <v>32839</v>
      </c>
      <c r="H3669" t="s">
        <v>32848</v>
      </c>
      <c r="I3669" t="s">
        <v>4487</v>
      </c>
      <c r="J3669" t="s">
        <v>35387</v>
      </c>
      <c r="K3669" t="s">
        <v>42729</v>
      </c>
      <c r="M3669" t="s">
        <v>44634</v>
      </c>
      <c r="N3669" t="s">
        <v>47424</v>
      </c>
      <c r="O3669" t="s">
        <v>47425</v>
      </c>
      <c r="P3669">
        <v>0</v>
      </c>
      <c r="Q3669">
        <v>10</v>
      </c>
      <c r="R3669" t="s">
        <v>47428</v>
      </c>
      <c r="S3669" t="s">
        <v>47541</v>
      </c>
      <c r="T3669" t="s">
        <v>49354</v>
      </c>
      <c r="U3669" t="s">
        <v>52785</v>
      </c>
      <c r="W3669" t="s">
        <v>44634</v>
      </c>
      <c r="X3669" t="s">
        <v>47430</v>
      </c>
    </row>
    <row r="3670" spans="1:24">
      <c r="A3670">
        <f>HYPERLINK("https://www.philgeps.gov.ph/GEPSNONPILOT/Tender/SplashBidNoticeAbstractUI.aspx?menuIndex=3&amp;refID=7164251&amp;Result=3","7164251")</f>
        <v>0</v>
      </c>
      <c r="B3670" t="s">
        <v>338</v>
      </c>
      <c r="C3670" t="s">
        <v>7394</v>
      </c>
      <c r="D3670" t="s">
        <v>19019</v>
      </c>
      <c r="E3670" t="s">
        <v>22390</v>
      </c>
      <c r="F3670" t="s">
        <v>32831</v>
      </c>
      <c r="G3670" t="s">
        <v>32840</v>
      </c>
      <c r="H3670" t="s">
        <v>32848</v>
      </c>
      <c r="I3670" t="s">
        <v>32864</v>
      </c>
      <c r="J3670" t="s">
        <v>33078</v>
      </c>
      <c r="K3670" t="s">
        <v>42726</v>
      </c>
      <c r="M3670" t="s">
        <v>44635</v>
      </c>
      <c r="N3670" t="s">
        <v>47424</v>
      </c>
      <c r="O3670" t="s">
        <v>47425</v>
      </c>
      <c r="P3670">
        <v>0</v>
      </c>
      <c r="Q3670">
        <v>2</v>
      </c>
      <c r="R3670" t="s">
        <v>47428</v>
      </c>
      <c r="S3670" t="s">
        <v>47541</v>
      </c>
      <c r="T3670" t="s">
        <v>49141</v>
      </c>
      <c r="U3670" t="s">
        <v>52786</v>
      </c>
      <c r="W3670" t="s">
        <v>44635</v>
      </c>
      <c r="X3670" t="s">
        <v>47430</v>
      </c>
    </row>
    <row r="3671" spans="1:24">
      <c r="A3671">
        <f>HYPERLINK("https://www.philgeps.gov.ph/GEPSNONPILOT/Tender/SplashBidNoticeAbstractUI.aspx?menuIndex=3&amp;refID=7164216&amp;Result=3","7164216")</f>
        <v>0</v>
      </c>
      <c r="B3671" t="s">
        <v>1532</v>
      </c>
      <c r="C3671" t="s">
        <v>7395</v>
      </c>
      <c r="D3671" t="s">
        <v>19017</v>
      </c>
      <c r="E3671" t="s">
        <v>21896</v>
      </c>
      <c r="F3671" t="s">
        <v>32831</v>
      </c>
      <c r="G3671" t="s">
        <v>32839</v>
      </c>
      <c r="H3671" t="s">
        <v>32848</v>
      </c>
      <c r="I3671" t="s">
        <v>4438</v>
      </c>
      <c r="J3671" t="s">
        <v>35388</v>
      </c>
      <c r="K3671" t="s">
        <v>42748</v>
      </c>
      <c r="M3671" t="s">
        <v>44636</v>
      </c>
      <c r="N3671" t="s">
        <v>47424</v>
      </c>
      <c r="O3671" t="s">
        <v>47425</v>
      </c>
      <c r="P3671">
        <v>0</v>
      </c>
      <c r="Q3671">
        <v>3</v>
      </c>
      <c r="R3671" t="s">
        <v>47428</v>
      </c>
      <c r="S3671" t="s">
        <v>47541</v>
      </c>
      <c r="T3671" t="s">
        <v>49112</v>
      </c>
      <c r="U3671" t="s">
        <v>52787</v>
      </c>
      <c r="W3671" t="s">
        <v>44636</v>
      </c>
      <c r="X3671" t="s">
        <v>47430</v>
      </c>
    </row>
    <row r="3672" spans="1:24">
      <c r="A3672">
        <f>HYPERLINK("https://www.philgeps.gov.ph/GEPSNONPILOT/Tender/SplashBidNoticeAbstractUI.aspx?menuIndex=3&amp;refID=7164215&amp;Result=3","7164215")</f>
        <v>0</v>
      </c>
      <c r="B3672" t="s">
        <v>575</v>
      </c>
      <c r="C3672" t="s">
        <v>7396</v>
      </c>
      <c r="D3672" t="s">
        <v>19041</v>
      </c>
      <c r="E3672" t="s">
        <v>22391</v>
      </c>
      <c r="F3672" t="s">
        <v>32831</v>
      </c>
      <c r="G3672" t="s">
        <v>32838</v>
      </c>
      <c r="H3672" t="s">
        <v>32848</v>
      </c>
      <c r="I3672" t="s">
        <v>5379</v>
      </c>
      <c r="J3672" t="s">
        <v>35389</v>
      </c>
      <c r="K3672" t="s">
        <v>42749</v>
      </c>
      <c r="M3672" t="s">
        <v>43585</v>
      </c>
      <c r="N3672" t="s">
        <v>47424</v>
      </c>
      <c r="O3672" t="s">
        <v>47425</v>
      </c>
      <c r="P3672">
        <v>0</v>
      </c>
      <c r="Q3672">
        <v>0</v>
      </c>
      <c r="R3672" t="s">
        <v>47428</v>
      </c>
      <c r="S3672" t="s">
        <v>47541</v>
      </c>
      <c r="T3672" t="s">
        <v>49166</v>
      </c>
      <c r="U3672" t="s">
        <v>52788</v>
      </c>
      <c r="W3672" t="s">
        <v>43585</v>
      </c>
      <c r="X3672" t="s">
        <v>47430</v>
      </c>
    </row>
    <row r="3673" spans="1:24">
      <c r="A3673">
        <f>HYPERLINK("https://www.philgeps.gov.ph/GEPSNONPILOT/Tender/SplashBidNoticeAbstractUI.aspx?menuIndex=3&amp;refID=7164256&amp;Result=3","7164256")</f>
        <v>0</v>
      </c>
      <c r="B3673" t="s">
        <v>1142</v>
      </c>
      <c r="C3673" t="s">
        <v>7397</v>
      </c>
      <c r="D3673" t="s">
        <v>19035</v>
      </c>
      <c r="E3673" t="s">
        <v>22392</v>
      </c>
      <c r="F3673" t="s">
        <v>32831</v>
      </c>
      <c r="G3673" t="s">
        <v>32838</v>
      </c>
      <c r="H3673" t="s">
        <v>32848</v>
      </c>
      <c r="I3673" t="s">
        <v>32940</v>
      </c>
      <c r="J3673" t="s">
        <v>35390</v>
      </c>
      <c r="K3673" t="s">
        <v>42732</v>
      </c>
      <c r="M3673" t="s">
        <v>44530</v>
      </c>
      <c r="N3673" t="s">
        <v>47424</v>
      </c>
      <c r="O3673" t="s">
        <v>47425</v>
      </c>
      <c r="P3673">
        <v>0</v>
      </c>
      <c r="Q3673">
        <v>0</v>
      </c>
      <c r="R3673" t="s">
        <v>47428</v>
      </c>
      <c r="S3673" t="s">
        <v>47541</v>
      </c>
      <c r="T3673" t="s">
        <v>49111</v>
      </c>
      <c r="U3673" t="s">
        <v>52789</v>
      </c>
      <c r="W3673" t="s">
        <v>44530</v>
      </c>
      <c r="X3673" t="s">
        <v>47430</v>
      </c>
    </row>
    <row r="3674" spans="1:24">
      <c r="A3674">
        <f>HYPERLINK("https://www.philgeps.gov.ph/GEPSNONPILOT/Tender/SplashBidNoticeAbstractUI.aspx?menuIndex=3&amp;refID=7164255&amp;Result=3","7164255")</f>
        <v>0</v>
      </c>
      <c r="B3674" t="s">
        <v>1533</v>
      </c>
      <c r="C3674" t="s">
        <v>7398</v>
      </c>
      <c r="D3674" t="s">
        <v>19093</v>
      </c>
      <c r="E3674" t="s">
        <v>22393</v>
      </c>
      <c r="F3674" t="s">
        <v>32831</v>
      </c>
      <c r="G3674" t="s">
        <v>32839</v>
      </c>
      <c r="H3674" t="s">
        <v>32849</v>
      </c>
      <c r="I3674" t="s">
        <v>4177</v>
      </c>
      <c r="J3674" t="s">
        <v>35391</v>
      </c>
      <c r="K3674" t="s">
        <v>42773</v>
      </c>
      <c r="M3674" t="s">
        <v>44637</v>
      </c>
      <c r="N3674" t="s">
        <v>47424</v>
      </c>
      <c r="O3674" t="s">
        <v>47425</v>
      </c>
      <c r="P3674">
        <v>0</v>
      </c>
      <c r="Q3674">
        <v>0</v>
      </c>
      <c r="R3674" t="s">
        <v>47428</v>
      </c>
      <c r="S3674" t="s">
        <v>47541</v>
      </c>
      <c r="T3674" t="s">
        <v>49066</v>
      </c>
      <c r="U3674" t="s">
        <v>52790</v>
      </c>
      <c r="W3674" t="s">
        <v>44637</v>
      </c>
      <c r="X3674" t="s">
        <v>47430</v>
      </c>
    </row>
    <row r="3675" spans="1:24">
      <c r="A3675">
        <f>HYPERLINK("https://www.philgeps.gov.ph/GEPSNONPILOT/Tender/SplashBidNoticeAbstractUI.aspx?menuIndex=3&amp;refID=7164253&amp;Result=3","7164253")</f>
        <v>0</v>
      </c>
      <c r="B3675" t="s">
        <v>336</v>
      </c>
      <c r="C3675" t="s">
        <v>7399</v>
      </c>
      <c r="D3675" t="s">
        <v>19077</v>
      </c>
      <c r="E3675" t="s">
        <v>22394</v>
      </c>
      <c r="F3675" t="s">
        <v>32831</v>
      </c>
      <c r="G3675" t="s">
        <v>32838</v>
      </c>
      <c r="H3675" t="s">
        <v>32848</v>
      </c>
      <c r="I3675" t="s">
        <v>10805</v>
      </c>
      <c r="J3675" t="s">
        <v>35392</v>
      </c>
      <c r="K3675" t="s">
        <v>42726</v>
      </c>
      <c r="M3675" t="s">
        <v>43339</v>
      </c>
      <c r="N3675" t="s">
        <v>47424</v>
      </c>
      <c r="O3675" t="s">
        <v>47425</v>
      </c>
      <c r="P3675">
        <v>0</v>
      </c>
      <c r="Q3675">
        <v>3</v>
      </c>
      <c r="R3675" t="s">
        <v>47428</v>
      </c>
      <c r="S3675" t="s">
        <v>47541</v>
      </c>
      <c r="T3675" t="s">
        <v>49214</v>
      </c>
      <c r="U3675" t="s">
        <v>52791</v>
      </c>
      <c r="W3675" t="s">
        <v>43339</v>
      </c>
      <c r="X3675" t="s">
        <v>47430</v>
      </c>
    </row>
    <row r="3676" spans="1:24">
      <c r="A3676">
        <f>HYPERLINK("https://www.philgeps.gov.ph/GEPSNONPILOT/Tender/SplashBidNoticeAbstractUI.aspx?menuIndex=3&amp;refID=7164252&amp;Result=3","7164252")</f>
        <v>0</v>
      </c>
      <c r="B3676" t="s">
        <v>1142</v>
      </c>
      <c r="C3676" t="s">
        <v>7400</v>
      </c>
      <c r="E3676" t="s">
        <v>22395</v>
      </c>
      <c r="F3676" t="s">
        <v>32831</v>
      </c>
      <c r="G3676" t="s">
        <v>32838</v>
      </c>
      <c r="H3676" t="s">
        <v>32848</v>
      </c>
      <c r="I3676" t="s">
        <v>32940</v>
      </c>
      <c r="J3676" t="s">
        <v>35390</v>
      </c>
      <c r="K3676" t="s">
        <v>42732</v>
      </c>
      <c r="M3676" t="s">
        <v>44530</v>
      </c>
      <c r="N3676" t="s">
        <v>47424</v>
      </c>
      <c r="O3676" t="s">
        <v>47425</v>
      </c>
      <c r="P3676">
        <v>0</v>
      </c>
      <c r="Q3676">
        <v>0</v>
      </c>
      <c r="R3676" t="s">
        <v>47428</v>
      </c>
      <c r="S3676" t="s">
        <v>47541</v>
      </c>
      <c r="T3676" t="s">
        <v>49111</v>
      </c>
      <c r="U3676" t="s">
        <v>52792</v>
      </c>
      <c r="W3676" t="s">
        <v>44530</v>
      </c>
      <c r="X3676" t="s">
        <v>47430</v>
      </c>
    </row>
    <row r="3677" spans="1:24">
      <c r="A3677">
        <f>HYPERLINK("https://www.philgeps.gov.ph/GEPSNONPILOT/Tender/SplashBidNoticeAbstractUI.aspx?menuIndex=3&amp;refID=7164250&amp;Result=3","7164250")</f>
        <v>0</v>
      </c>
      <c r="B3677" t="s">
        <v>1533</v>
      </c>
      <c r="C3677" t="s">
        <v>7401</v>
      </c>
      <c r="D3677" t="s">
        <v>19093</v>
      </c>
      <c r="E3677" t="s">
        <v>22396</v>
      </c>
      <c r="F3677" t="s">
        <v>32831</v>
      </c>
      <c r="G3677" t="s">
        <v>32839</v>
      </c>
      <c r="H3677" t="s">
        <v>32849</v>
      </c>
      <c r="I3677" t="s">
        <v>4177</v>
      </c>
      <c r="J3677" t="s">
        <v>35393</v>
      </c>
      <c r="K3677" t="s">
        <v>42773</v>
      </c>
      <c r="M3677" t="s">
        <v>44637</v>
      </c>
      <c r="N3677" t="s">
        <v>47424</v>
      </c>
      <c r="O3677" t="s">
        <v>47425</v>
      </c>
      <c r="P3677">
        <v>0</v>
      </c>
      <c r="Q3677">
        <v>0</v>
      </c>
      <c r="R3677" t="s">
        <v>47428</v>
      </c>
      <c r="S3677" t="s">
        <v>47541</v>
      </c>
      <c r="T3677" t="s">
        <v>49066</v>
      </c>
      <c r="U3677" t="s">
        <v>52793</v>
      </c>
      <c r="W3677" t="s">
        <v>44637</v>
      </c>
      <c r="X3677" t="s">
        <v>47430</v>
      </c>
    </row>
    <row r="3678" spans="1:24">
      <c r="A3678">
        <f>HYPERLINK("https://www.philgeps.gov.ph/GEPSNONPILOT/Tender/SplashBidNoticeAbstractUI.aspx?menuIndex=3&amp;refID=7164224&amp;Result=3","7164224")</f>
        <v>0</v>
      </c>
      <c r="B3678" t="s">
        <v>575</v>
      </c>
      <c r="C3678" t="s">
        <v>7396</v>
      </c>
      <c r="D3678" t="s">
        <v>19041</v>
      </c>
      <c r="E3678" t="s">
        <v>22397</v>
      </c>
      <c r="F3678" t="s">
        <v>32831</v>
      </c>
      <c r="G3678" t="s">
        <v>32838</v>
      </c>
      <c r="H3678" t="s">
        <v>32848</v>
      </c>
      <c r="I3678" t="s">
        <v>5379</v>
      </c>
      <c r="J3678" t="s">
        <v>35394</v>
      </c>
      <c r="K3678" t="s">
        <v>42749</v>
      </c>
      <c r="M3678" t="s">
        <v>43585</v>
      </c>
      <c r="N3678" t="s">
        <v>47424</v>
      </c>
      <c r="O3678" t="s">
        <v>47425</v>
      </c>
      <c r="P3678">
        <v>0</v>
      </c>
      <c r="Q3678">
        <v>0</v>
      </c>
      <c r="R3678" t="s">
        <v>47428</v>
      </c>
      <c r="S3678" t="s">
        <v>47541</v>
      </c>
      <c r="T3678" t="s">
        <v>49166</v>
      </c>
      <c r="U3678" t="s">
        <v>52794</v>
      </c>
      <c r="W3678" t="s">
        <v>43585</v>
      </c>
      <c r="X3678" t="s">
        <v>47430</v>
      </c>
    </row>
    <row r="3679" spans="1:24">
      <c r="A3679">
        <f>HYPERLINK("https://www.philgeps.gov.ph/GEPSNONPILOT/Tender/SplashBidNoticeAbstractUI.aspx?menuIndex=3&amp;refID=7164248&amp;Result=3","7164248")</f>
        <v>0</v>
      </c>
      <c r="B3679" t="s">
        <v>1085</v>
      </c>
      <c r="C3679" t="s">
        <v>6253</v>
      </c>
      <c r="D3679" t="s">
        <v>19026</v>
      </c>
      <c r="E3679" t="s">
        <v>19751</v>
      </c>
      <c r="F3679" t="s">
        <v>32831</v>
      </c>
      <c r="G3679" t="s">
        <v>32840</v>
      </c>
      <c r="H3679" t="s">
        <v>32848</v>
      </c>
      <c r="I3679" t="s">
        <v>9577</v>
      </c>
      <c r="J3679" t="s">
        <v>35395</v>
      </c>
      <c r="K3679" t="s">
        <v>42726</v>
      </c>
      <c r="M3679" t="s">
        <v>44143</v>
      </c>
      <c r="N3679" t="s">
        <v>47424</v>
      </c>
      <c r="O3679" t="s">
        <v>47425</v>
      </c>
      <c r="P3679">
        <v>0</v>
      </c>
      <c r="Q3679">
        <v>5</v>
      </c>
      <c r="R3679" t="s">
        <v>47428</v>
      </c>
      <c r="S3679" t="s">
        <v>47541</v>
      </c>
      <c r="T3679" t="s">
        <v>49111</v>
      </c>
      <c r="U3679" t="s">
        <v>51543</v>
      </c>
      <c r="W3679" t="s">
        <v>44143</v>
      </c>
      <c r="X3679" t="s">
        <v>47430</v>
      </c>
    </row>
    <row r="3680" spans="1:24">
      <c r="A3680">
        <f>HYPERLINK("https://www.philgeps.gov.ph/GEPSNONPILOT/Tender/SplashBidNoticeAbstractUI.aspx?menuIndex=3&amp;refID=7164254&amp;Result=3","7164254")</f>
        <v>0</v>
      </c>
      <c r="B3680" t="s">
        <v>338</v>
      </c>
      <c r="C3680" t="s">
        <v>7402</v>
      </c>
      <c r="E3680" t="s">
        <v>22398</v>
      </c>
      <c r="F3680" t="s">
        <v>32831</v>
      </c>
      <c r="G3680" t="s">
        <v>32840</v>
      </c>
      <c r="H3680" t="s">
        <v>32848</v>
      </c>
      <c r="I3680" t="s">
        <v>32864</v>
      </c>
      <c r="J3680" t="s">
        <v>33595</v>
      </c>
      <c r="K3680" t="s">
        <v>42726</v>
      </c>
      <c r="M3680" t="s">
        <v>44635</v>
      </c>
      <c r="N3680" t="s">
        <v>47424</v>
      </c>
      <c r="O3680" t="s">
        <v>47425</v>
      </c>
      <c r="P3680">
        <v>0</v>
      </c>
      <c r="Q3680">
        <v>2</v>
      </c>
      <c r="R3680" t="s">
        <v>47428</v>
      </c>
      <c r="S3680" t="s">
        <v>47541</v>
      </c>
      <c r="T3680" t="s">
        <v>49141</v>
      </c>
      <c r="U3680" t="s">
        <v>52795</v>
      </c>
      <c r="W3680" t="s">
        <v>44635</v>
      </c>
      <c r="X3680" t="s">
        <v>47430</v>
      </c>
    </row>
    <row r="3681" spans="1:24">
      <c r="A3681">
        <f>HYPERLINK("https://www.philgeps.gov.ph/GEPSNONPILOT/Tender/SplashBidNoticeAbstractUI.aspx?menuIndex=3&amp;refID=7164187&amp;Result=3","7164187")</f>
        <v>0</v>
      </c>
      <c r="B3681" t="s">
        <v>1521</v>
      </c>
      <c r="C3681" t="s">
        <v>7403</v>
      </c>
      <c r="D3681" t="s">
        <v>19033</v>
      </c>
      <c r="E3681" t="s">
        <v>22399</v>
      </c>
      <c r="F3681" t="s">
        <v>32831</v>
      </c>
      <c r="G3681" t="s">
        <v>32838</v>
      </c>
      <c r="H3681" t="s">
        <v>32848</v>
      </c>
      <c r="I3681" t="s">
        <v>32885</v>
      </c>
      <c r="J3681" t="s">
        <v>35396</v>
      </c>
      <c r="K3681" t="s">
        <v>42726</v>
      </c>
      <c r="M3681" t="s">
        <v>44622</v>
      </c>
      <c r="N3681" t="s">
        <v>47424</v>
      </c>
      <c r="O3681" t="s">
        <v>47425</v>
      </c>
      <c r="P3681">
        <v>0</v>
      </c>
      <c r="Q3681">
        <v>4</v>
      </c>
      <c r="R3681" t="s">
        <v>47428</v>
      </c>
      <c r="S3681" t="s">
        <v>47541</v>
      </c>
      <c r="T3681" t="s">
        <v>49111</v>
      </c>
      <c r="U3681" t="s">
        <v>52768</v>
      </c>
      <c r="W3681" t="s">
        <v>44622</v>
      </c>
      <c r="X3681" t="s">
        <v>47430</v>
      </c>
    </row>
    <row r="3682" spans="1:24">
      <c r="A3682">
        <f>HYPERLINK("https://www.philgeps.gov.ph/GEPSNONPILOT/Tender/SplashBidNoticeAbstractUI.aspx?menuIndex=3&amp;refID=7164242&amp;Result=3","7164242")</f>
        <v>0</v>
      </c>
      <c r="B3682" t="s">
        <v>1534</v>
      </c>
      <c r="C3682" t="s">
        <v>7404</v>
      </c>
      <c r="D3682" t="s">
        <v>19022</v>
      </c>
      <c r="E3682" t="s">
        <v>20202</v>
      </c>
      <c r="F3682" t="s">
        <v>32831</v>
      </c>
      <c r="G3682" t="s">
        <v>32840</v>
      </c>
      <c r="H3682" t="s">
        <v>32848</v>
      </c>
      <c r="I3682" t="s">
        <v>32864</v>
      </c>
      <c r="J3682" t="s">
        <v>35397</v>
      </c>
      <c r="K3682" t="s">
        <v>42758</v>
      </c>
      <c r="M3682" t="s">
        <v>44638</v>
      </c>
      <c r="N3682" t="s">
        <v>47424</v>
      </c>
      <c r="O3682" t="s">
        <v>47425</v>
      </c>
      <c r="P3682">
        <v>0</v>
      </c>
      <c r="Q3682">
        <v>4</v>
      </c>
      <c r="R3682" t="s">
        <v>47428</v>
      </c>
      <c r="S3682" t="s">
        <v>47541</v>
      </c>
      <c r="T3682" t="s">
        <v>49145</v>
      </c>
      <c r="U3682" t="s">
        <v>52796</v>
      </c>
      <c r="W3682" t="s">
        <v>44638</v>
      </c>
      <c r="X3682" t="s">
        <v>47430</v>
      </c>
    </row>
    <row r="3683" spans="1:24">
      <c r="A3683">
        <f>HYPERLINK("https://www.philgeps.gov.ph/GEPSNONPILOT/Tender/SplashBidNoticeAbstractUI.aspx?menuIndex=3&amp;refID=7164257&amp;Result=3","7164257")</f>
        <v>0</v>
      </c>
      <c r="B3683" t="s">
        <v>1101</v>
      </c>
      <c r="C3683" t="s">
        <v>7405</v>
      </c>
      <c r="D3683" t="s">
        <v>19047</v>
      </c>
      <c r="E3683" t="s">
        <v>22400</v>
      </c>
      <c r="F3683" t="s">
        <v>32831</v>
      </c>
      <c r="G3683" t="s">
        <v>32838</v>
      </c>
      <c r="H3683" t="s">
        <v>32848</v>
      </c>
      <c r="I3683" t="s">
        <v>32875</v>
      </c>
      <c r="J3683" t="s">
        <v>35398</v>
      </c>
      <c r="K3683" t="s">
        <v>42727</v>
      </c>
      <c r="M3683" t="s">
        <v>44161</v>
      </c>
      <c r="N3683" t="s">
        <v>47424</v>
      </c>
      <c r="O3683" t="s">
        <v>47425</v>
      </c>
      <c r="P3683">
        <v>0</v>
      </c>
      <c r="Q3683">
        <v>0</v>
      </c>
      <c r="R3683" t="s">
        <v>47428</v>
      </c>
      <c r="S3683" t="s">
        <v>47541</v>
      </c>
      <c r="T3683" t="s">
        <v>49119</v>
      </c>
      <c r="U3683" t="s">
        <v>52797</v>
      </c>
      <c r="W3683" t="s">
        <v>44161</v>
      </c>
      <c r="X3683" t="s">
        <v>47430</v>
      </c>
    </row>
    <row r="3684" spans="1:24">
      <c r="A3684">
        <f>HYPERLINK("https://www.philgeps.gov.ph/GEPSNONPILOT/Tender/SplashBidNoticeAbstractUI.aspx?menuIndex=3&amp;refID=7164249&amp;Result=3","7164249")</f>
        <v>0</v>
      </c>
      <c r="B3684" t="s">
        <v>336</v>
      </c>
      <c r="C3684" t="s">
        <v>7406</v>
      </c>
      <c r="D3684" t="s">
        <v>19077</v>
      </c>
      <c r="E3684" t="s">
        <v>22401</v>
      </c>
      <c r="F3684" t="s">
        <v>32831</v>
      </c>
      <c r="G3684" t="s">
        <v>32838</v>
      </c>
      <c r="H3684" t="s">
        <v>32848</v>
      </c>
      <c r="I3684" t="s">
        <v>4487</v>
      </c>
      <c r="J3684" t="s">
        <v>35399</v>
      </c>
      <c r="K3684" t="s">
        <v>42726</v>
      </c>
      <c r="M3684" t="s">
        <v>43339</v>
      </c>
      <c r="N3684" t="s">
        <v>47424</v>
      </c>
      <c r="O3684" t="s">
        <v>47425</v>
      </c>
      <c r="P3684">
        <v>0</v>
      </c>
      <c r="Q3684">
        <v>4</v>
      </c>
      <c r="R3684" t="s">
        <v>47428</v>
      </c>
      <c r="S3684" t="s">
        <v>47541</v>
      </c>
      <c r="T3684" t="s">
        <v>49214</v>
      </c>
      <c r="U3684" t="s">
        <v>52798</v>
      </c>
      <c r="W3684" t="s">
        <v>43339</v>
      </c>
      <c r="X3684" t="s">
        <v>47430</v>
      </c>
    </row>
    <row r="3685" spans="1:24">
      <c r="A3685">
        <f>HYPERLINK("https://www.philgeps.gov.ph/GEPSNONPILOT/Tender/SplashBidNoticeAbstractUI.aspx?menuIndex=3&amp;refID=7164241&amp;Result=3","7164241")</f>
        <v>0</v>
      </c>
      <c r="B3685" t="s">
        <v>1535</v>
      </c>
      <c r="C3685" t="s">
        <v>7407</v>
      </c>
      <c r="E3685" t="s">
        <v>22402</v>
      </c>
      <c r="F3685" t="s">
        <v>32831</v>
      </c>
      <c r="G3685" t="s">
        <v>32840</v>
      </c>
      <c r="H3685" t="s">
        <v>32848</v>
      </c>
      <c r="I3685" t="s">
        <v>32876</v>
      </c>
      <c r="J3685" t="s">
        <v>33133</v>
      </c>
      <c r="K3685" t="s">
        <v>42732</v>
      </c>
      <c r="M3685" t="s">
        <v>44639</v>
      </c>
      <c r="N3685" t="s">
        <v>47424</v>
      </c>
      <c r="O3685" t="s">
        <v>47425</v>
      </c>
      <c r="P3685">
        <v>0</v>
      </c>
      <c r="Q3685">
        <v>2</v>
      </c>
      <c r="R3685" t="s">
        <v>47428</v>
      </c>
      <c r="S3685" t="s">
        <v>47541</v>
      </c>
      <c r="T3685" t="s">
        <v>49107</v>
      </c>
      <c r="U3685" t="s">
        <v>52799</v>
      </c>
      <c r="W3685" t="s">
        <v>64474</v>
      </c>
      <c r="X3685" t="s">
        <v>47430</v>
      </c>
    </row>
    <row r="3686" spans="1:24">
      <c r="A3686">
        <f>HYPERLINK("https://www.philgeps.gov.ph/GEPSNONPILOT/Tender/SplashBidNoticeAbstractUI.aspx?menuIndex=3&amp;refID=7164275&amp;Result=3","7164275")</f>
        <v>0</v>
      </c>
      <c r="B3686" t="s">
        <v>228</v>
      </c>
      <c r="C3686" t="s">
        <v>7408</v>
      </c>
      <c r="D3686" t="s">
        <v>19033</v>
      </c>
      <c r="E3686" t="s">
        <v>22403</v>
      </c>
      <c r="F3686" t="s">
        <v>32831</v>
      </c>
      <c r="G3686" t="s">
        <v>32838</v>
      </c>
      <c r="H3686" t="s">
        <v>32848</v>
      </c>
      <c r="I3686" t="s">
        <v>32860</v>
      </c>
      <c r="J3686" t="s">
        <v>35400</v>
      </c>
      <c r="K3686" t="s">
        <v>42727</v>
      </c>
      <c r="M3686" t="s">
        <v>43227</v>
      </c>
      <c r="N3686" t="s">
        <v>47424</v>
      </c>
      <c r="O3686" t="s">
        <v>47425</v>
      </c>
      <c r="P3686">
        <v>0</v>
      </c>
      <c r="Q3686">
        <v>9</v>
      </c>
      <c r="R3686" t="s">
        <v>47428</v>
      </c>
      <c r="S3686" t="s">
        <v>47541</v>
      </c>
      <c r="T3686" t="s">
        <v>49073</v>
      </c>
      <c r="U3686" t="s">
        <v>52800</v>
      </c>
      <c r="V3686" t="s">
        <v>62695</v>
      </c>
      <c r="W3686" t="s">
        <v>43227</v>
      </c>
      <c r="X3686" t="s">
        <v>47430</v>
      </c>
    </row>
    <row r="3687" spans="1:24">
      <c r="A3687">
        <f>HYPERLINK("https://www.philgeps.gov.ph/GEPSNONPILOT/Tender/SplashBidNoticeAbstractUI.aspx?menuIndex=3&amp;refID=7164245&amp;Result=3","7164245")</f>
        <v>0</v>
      </c>
      <c r="B3687" t="s">
        <v>336</v>
      </c>
      <c r="C3687" t="s">
        <v>7409</v>
      </c>
      <c r="D3687" t="s">
        <v>19077</v>
      </c>
      <c r="E3687" t="s">
        <v>22404</v>
      </c>
      <c r="F3687" t="s">
        <v>32831</v>
      </c>
      <c r="G3687" t="s">
        <v>32838</v>
      </c>
      <c r="H3687" t="s">
        <v>32850</v>
      </c>
      <c r="I3687" t="s">
        <v>32926</v>
      </c>
      <c r="J3687" t="s">
        <v>33016</v>
      </c>
      <c r="K3687" t="s">
        <v>42831</v>
      </c>
      <c r="M3687" t="s">
        <v>43339</v>
      </c>
      <c r="N3687" t="s">
        <v>47424</v>
      </c>
      <c r="O3687" t="s">
        <v>47425</v>
      </c>
      <c r="P3687">
        <v>0</v>
      </c>
      <c r="Q3687">
        <v>0</v>
      </c>
      <c r="R3687" t="s">
        <v>47428</v>
      </c>
      <c r="S3687" t="s">
        <v>47541</v>
      </c>
      <c r="T3687" t="s">
        <v>49214</v>
      </c>
      <c r="U3687" t="s">
        <v>52801</v>
      </c>
      <c r="W3687" t="s">
        <v>43339</v>
      </c>
      <c r="X3687" t="s">
        <v>47430</v>
      </c>
    </row>
    <row r="3688" spans="1:24">
      <c r="A3688">
        <f>HYPERLINK("https://www.philgeps.gov.ph/GEPSNONPILOT/Tender/SplashBidNoticeAbstractUI.aspx?menuIndex=3&amp;refID=7164194&amp;Result=3","7164194")</f>
        <v>0</v>
      </c>
      <c r="B3688" t="s">
        <v>807</v>
      </c>
      <c r="C3688" t="s">
        <v>7410</v>
      </c>
      <c r="D3688" t="s">
        <v>19044</v>
      </c>
      <c r="E3688" t="s">
        <v>22405</v>
      </c>
      <c r="F3688" t="s">
        <v>32831</v>
      </c>
      <c r="G3688" t="s">
        <v>32838</v>
      </c>
      <c r="H3688" t="s">
        <v>32848</v>
      </c>
      <c r="I3688" t="s">
        <v>32867</v>
      </c>
      <c r="J3688" t="s">
        <v>35401</v>
      </c>
      <c r="K3688" t="s">
        <v>42726</v>
      </c>
      <c r="M3688" t="s">
        <v>43838</v>
      </c>
      <c r="N3688" t="s">
        <v>47424</v>
      </c>
      <c r="O3688" t="s">
        <v>47425</v>
      </c>
      <c r="P3688">
        <v>0</v>
      </c>
      <c r="Q3688">
        <v>0</v>
      </c>
      <c r="R3688" t="s">
        <v>47428</v>
      </c>
      <c r="S3688" t="s">
        <v>47541</v>
      </c>
      <c r="T3688" t="s">
        <v>49105</v>
      </c>
      <c r="U3688" t="s">
        <v>52802</v>
      </c>
      <c r="W3688" t="s">
        <v>43838</v>
      </c>
      <c r="X3688" t="s">
        <v>47430</v>
      </c>
    </row>
    <row r="3689" spans="1:24">
      <c r="A3689">
        <f>HYPERLINK("https://www.philgeps.gov.ph/GEPSNONPILOT/Tender/SplashBidNoticeAbstractUI.aspx?menuIndex=3&amp;refID=7164243&amp;Result=3","7164243")</f>
        <v>0</v>
      </c>
      <c r="B3689" t="s">
        <v>1536</v>
      </c>
      <c r="C3689" t="s">
        <v>7411</v>
      </c>
      <c r="E3689" t="s">
        <v>22406</v>
      </c>
      <c r="F3689" t="s">
        <v>32831</v>
      </c>
      <c r="G3689" t="s">
        <v>32838</v>
      </c>
      <c r="H3689" t="s">
        <v>32848</v>
      </c>
      <c r="I3689" t="s">
        <v>4487</v>
      </c>
      <c r="J3689" t="s">
        <v>33007</v>
      </c>
      <c r="K3689" t="s">
        <v>42732</v>
      </c>
      <c r="M3689" t="s">
        <v>44640</v>
      </c>
      <c r="N3689" t="s">
        <v>47424</v>
      </c>
      <c r="O3689" t="s">
        <v>47425</v>
      </c>
      <c r="P3689">
        <v>0</v>
      </c>
      <c r="Q3689">
        <v>2</v>
      </c>
      <c r="R3689" t="s">
        <v>47428</v>
      </c>
      <c r="S3689" t="s">
        <v>47541</v>
      </c>
      <c r="T3689" t="s">
        <v>49108</v>
      </c>
      <c r="U3689" t="s">
        <v>52803</v>
      </c>
      <c r="W3689" t="s">
        <v>44640</v>
      </c>
      <c r="X3689" t="s">
        <v>47430</v>
      </c>
    </row>
    <row r="3690" spans="1:24">
      <c r="A3690">
        <f>HYPERLINK("https://www.philgeps.gov.ph/GEPSNONPILOT/Tender/SplashBidNoticeAbstractUI.aspx?menuIndex=3&amp;refID=7164277&amp;Result=3","7164277")</f>
        <v>0</v>
      </c>
      <c r="B3690" t="s">
        <v>336</v>
      </c>
      <c r="C3690" t="s">
        <v>7412</v>
      </c>
      <c r="D3690" t="s">
        <v>19077</v>
      </c>
      <c r="E3690" t="s">
        <v>22407</v>
      </c>
      <c r="F3690" t="s">
        <v>32831</v>
      </c>
      <c r="G3690" t="s">
        <v>32838</v>
      </c>
      <c r="H3690" t="s">
        <v>32848</v>
      </c>
      <c r="I3690" t="s">
        <v>4438</v>
      </c>
      <c r="J3690" t="s">
        <v>35402</v>
      </c>
      <c r="K3690" t="s">
        <v>42726</v>
      </c>
      <c r="M3690" t="s">
        <v>43339</v>
      </c>
      <c r="N3690" t="s">
        <v>47424</v>
      </c>
      <c r="O3690" t="s">
        <v>47425</v>
      </c>
      <c r="P3690">
        <v>0</v>
      </c>
      <c r="Q3690">
        <v>0</v>
      </c>
      <c r="R3690" t="s">
        <v>47428</v>
      </c>
      <c r="S3690" t="s">
        <v>47541</v>
      </c>
      <c r="T3690" t="s">
        <v>49214</v>
      </c>
      <c r="U3690" t="s">
        <v>52804</v>
      </c>
      <c r="W3690" t="s">
        <v>43339</v>
      </c>
      <c r="X3690" t="s">
        <v>47430</v>
      </c>
    </row>
    <row r="3691" spans="1:24">
      <c r="A3691">
        <f>HYPERLINK("https://www.philgeps.gov.ph/GEPSNONPILOT/Tender/SplashBidNoticeAbstractUI.aspx?menuIndex=3&amp;refID=7164143&amp;Result=3","7164143")</f>
        <v>0</v>
      </c>
      <c r="B3691" t="s">
        <v>512</v>
      </c>
      <c r="C3691" t="s">
        <v>7413</v>
      </c>
      <c r="D3691" t="s">
        <v>19018</v>
      </c>
      <c r="E3691" t="s">
        <v>22408</v>
      </c>
      <c r="F3691" t="s">
        <v>32831</v>
      </c>
      <c r="G3691" t="s">
        <v>32838</v>
      </c>
      <c r="H3691" t="s">
        <v>32848</v>
      </c>
      <c r="I3691" t="s">
        <v>4222</v>
      </c>
      <c r="J3691" t="s">
        <v>35403</v>
      </c>
      <c r="K3691" t="s">
        <v>42727</v>
      </c>
      <c r="M3691" t="s">
        <v>43517</v>
      </c>
      <c r="N3691" t="s">
        <v>47424</v>
      </c>
      <c r="O3691" t="s">
        <v>47425</v>
      </c>
      <c r="P3691">
        <v>0</v>
      </c>
      <c r="Q3691">
        <v>0</v>
      </c>
      <c r="R3691" t="s">
        <v>47428</v>
      </c>
      <c r="S3691" t="s">
        <v>47541</v>
      </c>
      <c r="T3691" t="s">
        <v>49111</v>
      </c>
      <c r="U3691" t="s">
        <v>52732</v>
      </c>
      <c r="W3691" t="s">
        <v>43517</v>
      </c>
      <c r="X3691" t="s">
        <v>47430</v>
      </c>
    </row>
    <row r="3692" spans="1:24">
      <c r="A3692">
        <f>HYPERLINK("https://www.philgeps.gov.ph/GEPSNONPILOT/Tender/SplashBidNoticeAbstractUI.aspx?menuIndex=3&amp;refID=7164276&amp;Result=3","7164276")</f>
        <v>0</v>
      </c>
      <c r="B3692" t="s">
        <v>336</v>
      </c>
      <c r="C3692" t="s">
        <v>7414</v>
      </c>
      <c r="D3692" t="s">
        <v>19077</v>
      </c>
      <c r="E3692" t="s">
        <v>22409</v>
      </c>
      <c r="F3692" t="s">
        <v>32831</v>
      </c>
      <c r="G3692" t="s">
        <v>32838</v>
      </c>
      <c r="H3692" t="s">
        <v>32848</v>
      </c>
      <c r="I3692" t="s">
        <v>9577</v>
      </c>
      <c r="J3692" t="s">
        <v>35404</v>
      </c>
      <c r="K3692" t="s">
        <v>42727</v>
      </c>
      <c r="M3692" t="s">
        <v>43339</v>
      </c>
      <c r="N3692" t="s">
        <v>47424</v>
      </c>
      <c r="O3692" t="s">
        <v>47425</v>
      </c>
      <c r="P3692">
        <v>0</v>
      </c>
      <c r="Q3692">
        <v>2</v>
      </c>
      <c r="R3692" t="s">
        <v>47428</v>
      </c>
      <c r="S3692" t="s">
        <v>47541</v>
      </c>
      <c r="T3692" t="s">
        <v>49214</v>
      </c>
      <c r="U3692" t="s">
        <v>52805</v>
      </c>
      <c r="W3692" t="s">
        <v>43339</v>
      </c>
      <c r="X3692" t="s">
        <v>47430</v>
      </c>
    </row>
    <row r="3693" spans="1:24">
      <c r="A3693">
        <f>HYPERLINK("https://www.philgeps.gov.ph/GEPSNONPILOT/Tender/SplashBidNoticeAbstractUI.aspx?menuIndex=3&amp;refID=7164282&amp;Result=3","7164282")</f>
        <v>0</v>
      </c>
      <c r="B3693" t="s">
        <v>336</v>
      </c>
      <c r="C3693" t="s">
        <v>7415</v>
      </c>
      <c r="D3693" t="s">
        <v>19077</v>
      </c>
      <c r="E3693" t="s">
        <v>22410</v>
      </c>
      <c r="F3693" t="s">
        <v>32831</v>
      </c>
      <c r="G3693" t="s">
        <v>32838</v>
      </c>
      <c r="H3693" t="s">
        <v>32848</v>
      </c>
      <c r="I3693" t="s">
        <v>4558</v>
      </c>
      <c r="J3693" t="s">
        <v>32980</v>
      </c>
      <c r="K3693" t="s">
        <v>42726</v>
      </c>
      <c r="M3693" t="s">
        <v>43339</v>
      </c>
      <c r="N3693" t="s">
        <v>47424</v>
      </c>
      <c r="O3693" t="s">
        <v>47425</v>
      </c>
      <c r="P3693">
        <v>0</v>
      </c>
      <c r="Q3693">
        <v>2</v>
      </c>
      <c r="R3693" t="s">
        <v>47428</v>
      </c>
      <c r="S3693" t="s">
        <v>47541</v>
      </c>
      <c r="T3693" t="s">
        <v>49214</v>
      </c>
      <c r="U3693" t="s">
        <v>52806</v>
      </c>
      <c r="W3693" t="s">
        <v>43339</v>
      </c>
      <c r="X3693" t="s">
        <v>47430</v>
      </c>
    </row>
    <row r="3694" spans="1:24">
      <c r="A3694">
        <f>HYPERLINK("https://www.philgeps.gov.ph/GEPSNONPILOT/Tender/SplashBidNoticeAbstractUI.aspx?menuIndex=3&amp;refID=7164272&amp;Result=3","7164272")</f>
        <v>0</v>
      </c>
      <c r="B3694" t="s">
        <v>1537</v>
      </c>
      <c r="C3694" t="s">
        <v>7416</v>
      </c>
      <c r="D3694" t="s">
        <v>19023</v>
      </c>
      <c r="E3694" t="s">
        <v>22411</v>
      </c>
      <c r="F3694" t="s">
        <v>32831</v>
      </c>
      <c r="G3694" t="s">
        <v>32839</v>
      </c>
      <c r="H3694" t="s">
        <v>32848</v>
      </c>
      <c r="I3694" t="s">
        <v>7416</v>
      </c>
      <c r="J3694" t="s">
        <v>32983</v>
      </c>
      <c r="K3694" t="s">
        <v>42726</v>
      </c>
      <c r="M3694" t="s">
        <v>44641</v>
      </c>
      <c r="N3694" t="s">
        <v>47424</v>
      </c>
      <c r="O3694" t="s">
        <v>47425</v>
      </c>
      <c r="P3694">
        <v>0</v>
      </c>
      <c r="Q3694">
        <v>1</v>
      </c>
      <c r="R3694" t="s">
        <v>47428</v>
      </c>
      <c r="S3694" t="s">
        <v>47541</v>
      </c>
      <c r="T3694" t="s">
        <v>49091</v>
      </c>
      <c r="U3694" t="s">
        <v>52807</v>
      </c>
      <c r="W3694" t="s">
        <v>44641</v>
      </c>
      <c r="X3694" t="s">
        <v>47430</v>
      </c>
    </row>
    <row r="3695" spans="1:24">
      <c r="A3695">
        <f>HYPERLINK("https://www.philgeps.gov.ph/GEPSNONPILOT/Tender/SplashBidNoticeAbstractUI.aspx?menuIndex=3&amp;refID=7164271&amp;Result=3","7164271")</f>
        <v>0</v>
      </c>
      <c r="B3695" t="s">
        <v>1538</v>
      </c>
      <c r="C3695" t="s">
        <v>7417</v>
      </c>
      <c r="E3695" t="s">
        <v>22412</v>
      </c>
      <c r="F3695" t="s">
        <v>32831</v>
      </c>
      <c r="G3695" t="s">
        <v>32838</v>
      </c>
      <c r="H3695" t="s">
        <v>32848</v>
      </c>
      <c r="I3695" t="s">
        <v>7751</v>
      </c>
      <c r="J3695" t="s">
        <v>35405</v>
      </c>
      <c r="K3695" t="s">
        <v>42732</v>
      </c>
      <c r="M3695" t="s">
        <v>44642</v>
      </c>
      <c r="N3695" t="s">
        <v>47424</v>
      </c>
      <c r="O3695" t="s">
        <v>47425</v>
      </c>
      <c r="P3695">
        <v>0</v>
      </c>
      <c r="Q3695">
        <v>0</v>
      </c>
      <c r="R3695" t="s">
        <v>47428</v>
      </c>
      <c r="S3695" t="s">
        <v>47541</v>
      </c>
      <c r="T3695" t="s">
        <v>49127</v>
      </c>
      <c r="U3695" t="s">
        <v>52808</v>
      </c>
      <c r="W3695" t="s">
        <v>44642</v>
      </c>
      <c r="X3695" t="s">
        <v>47430</v>
      </c>
    </row>
    <row r="3696" spans="1:24">
      <c r="A3696">
        <f>HYPERLINK("https://www.philgeps.gov.ph/GEPSNONPILOT/Tender/SplashBidNoticeAbstractUI.aspx?menuIndex=3&amp;refID=7164268&amp;Result=3","7164268")</f>
        <v>0</v>
      </c>
      <c r="B3696" t="s">
        <v>1539</v>
      </c>
      <c r="C3696" t="s">
        <v>7418</v>
      </c>
      <c r="D3696" t="s">
        <v>19090</v>
      </c>
      <c r="E3696" t="s">
        <v>22413</v>
      </c>
      <c r="F3696" t="s">
        <v>32831</v>
      </c>
      <c r="G3696" t="s">
        <v>32838</v>
      </c>
      <c r="H3696" t="s">
        <v>32850</v>
      </c>
      <c r="I3696" t="s">
        <v>32868</v>
      </c>
      <c r="J3696" t="s">
        <v>35406</v>
      </c>
      <c r="K3696" t="s">
        <v>42750</v>
      </c>
      <c r="M3696" t="s">
        <v>44643</v>
      </c>
      <c r="N3696" t="s">
        <v>47424</v>
      </c>
      <c r="O3696" t="s">
        <v>47425</v>
      </c>
      <c r="P3696">
        <v>0</v>
      </c>
      <c r="Q3696">
        <v>2</v>
      </c>
      <c r="R3696" t="s">
        <v>47428</v>
      </c>
      <c r="S3696" t="s">
        <v>47541</v>
      </c>
      <c r="T3696" t="s">
        <v>49355</v>
      </c>
      <c r="U3696" t="s">
        <v>52809</v>
      </c>
      <c r="V3696" t="s">
        <v>63028</v>
      </c>
      <c r="W3696" t="s">
        <v>44643</v>
      </c>
      <c r="X3696" t="s">
        <v>47430</v>
      </c>
    </row>
    <row r="3697" spans="1:24">
      <c r="A3697">
        <f>HYPERLINK("https://www.philgeps.gov.ph/GEPSNONPILOT/Tender/SplashBidNoticeAbstractUI.aspx?menuIndex=3&amp;refID=7164278&amp;Result=3","7164278")</f>
        <v>0</v>
      </c>
      <c r="B3697" t="s">
        <v>1540</v>
      </c>
      <c r="C3697" t="s">
        <v>7419</v>
      </c>
      <c r="E3697" t="s">
        <v>22414</v>
      </c>
      <c r="F3697" t="s">
        <v>32831</v>
      </c>
      <c r="G3697" t="s">
        <v>32838</v>
      </c>
      <c r="H3697" t="s">
        <v>32848</v>
      </c>
      <c r="I3697" t="s">
        <v>32858</v>
      </c>
      <c r="J3697" t="s">
        <v>33929</v>
      </c>
      <c r="K3697" t="s">
        <v>42732</v>
      </c>
      <c r="M3697" t="s">
        <v>44644</v>
      </c>
      <c r="N3697" t="s">
        <v>47424</v>
      </c>
      <c r="O3697" t="s">
        <v>47425</v>
      </c>
      <c r="Q3697">
        <v>1</v>
      </c>
      <c r="R3697" t="s">
        <v>47428</v>
      </c>
      <c r="S3697" t="s">
        <v>47548</v>
      </c>
      <c r="T3697" t="s">
        <v>49205</v>
      </c>
      <c r="U3697" t="s">
        <v>52810</v>
      </c>
      <c r="W3697" t="s">
        <v>44644</v>
      </c>
      <c r="X3697" t="s">
        <v>47430</v>
      </c>
    </row>
    <row r="3698" spans="1:24">
      <c r="A3698">
        <f>HYPERLINK("https://www.philgeps.gov.ph/GEPSNONPILOT/Tender/SplashBidNoticeAbstractUI.aspx?menuIndex=3&amp;refID=7164267&amp;Result=3","7164267")</f>
        <v>0</v>
      </c>
      <c r="B3698" t="s">
        <v>598</v>
      </c>
      <c r="C3698" t="s">
        <v>7420</v>
      </c>
      <c r="E3698" t="s">
        <v>22415</v>
      </c>
      <c r="F3698" t="s">
        <v>32831</v>
      </c>
      <c r="G3698" t="s">
        <v>32838</v>
      </c>
      <c r="H3698" t="s">
        <v>32848</v>
      </c>
      <c r="I3698" t="s">
        <v>32874</v>
      </c>
      <c r="J3698" t="s">
        <v>35407</v>
      </c>
      <c r="K3698" t="s">
        <v>42732</v>
      </c>
      <c r="M3698" t="s">
        <v>43612</v>
      </c>
      <c r="N3698" t="s">
        <v>47424</v>
      </c>
      <c r="O3698" t="s">
        <v>47425</v>
      </c>
      <c r="P3698">
        <v>0</v>
      </c>
      <c r="Q3698">
        <v>20</v>
      </c>
      <c r="R3698" t="s">
        <v>47428</v>
      </c>
      <c r="S3698" t="s">
        <v>47541</v>
      </c>
      <c r="T3698" t="s">
        <v>49056</v>
      </c>
      <c r="U3698" t="s">
        <v>52811</v>
      </c>
      <c r="W3698" t="s">
        <v>43612</v>
      </c>
      <c r="X3698" t="s">
        <v>47430</v>
      </c>
    </row>
    <row r="3699" spans="1:24">
      <c r="A3699">
        <f>HYPERLINK("https://www.philgeps.gov.ph/GEPSNONPILOT/Tender/SplashBidNoticeAbstractUI.aspx?menuIndex=3&amp;refID=7164265&amp;Result=3","7164265")</f>
        <v>0</v>
      </c>
      <c r="B3699" t="s">
        <v>1101</v>
      </c>
      <c r="C3699" t="s">
        <v>7421</v>
      </c>
      <c r="D3699" t="s">
        <v>19047</v>
      </c>
      <c r="E3699" t="s">
        <v>22416</v>
      </c>
      <c r="F3699" t="s">
        <v>32831</v>
      </c>
      <c r="G3699" t="s">
        <v>32838</v>
      </c>
      <c r="H3699" t="s">
        <v>32848</v>
      </c>
      <c r="I3699" t="s">
        <v>32882</v>
      </c>
      <c r="J3699" t="s">
        <v>35408</v>
      </c>
      <c r="K3699" t="s">
        <v>42727</v>
      </c>
      <c r="M3699" t="s">
        <v>44161</v>
      </c>
      <c r="N3699" t="s">
        <v>47424</v>
      </c>
      <c r="O3699" t="s">
        <v>47425</v>
      </c>
      <c r="P3699">
        <v>0</v>
      </c>
      <c r="Q3699">
        <v>3</v>
      </c>
      <c r="R3699" t="s">
        <v>47428</v>
      </c>
      <c r="S3699" t="s">
        <v>47541</v>
      </c>
      <c r="T3699" t="s">
        <v>49079</v>
      </c>
      <c r="U3699" t="s">
        <v>52812</v>
      </c>
      <c r="W3699" t="s">
        <v>44161</v>
      </c>
      <c r="X3699" t="s">
        <v>47430</v>
      </c>
    </row>
    <row r="3700" spans="1:24">
      <c r="A3700">
        <f>HYPERLINK("https://www.philgeps.gov.ph/GEPSNONPILOT/Tender/SplashBidNoticeAbstractUI.aspx?menuIndex=3&amp;refID=7164264&amp;Result=3","7164264")</f>
        <v>0</v>
      </c>
      <c r="B3700" t="s">
        <v>336</v>
      </c>
      <c r="C3700" t="s">
        <v>7422</v>
      </c>
      <c r="D3700" t="s">
        <v>19077</v>
      </c>
      <c r="E3700" t="s">
        <v>22417</v>
      </c>
      <c r="F3700" t="s">
        <v>32831</v>
      </c>
      <c r="G3700" t="s">
        <v>32838</v>
      </c>
      <c r="H3700" t="s">
        <v>32848</v>
      </c>
      <c r="I3700" t="s">
        <v>10805</v>
      </c>
      <c r="J3700" t="s">
        <v>35409</v>
      </c>
      <c r="K3700" t="s">
        <v>42726</v>
      </c>
      <c r="M3700" t="s">
        <v>43339</v>
      </c>
      <c r="N3700" t="s">
        <v>47424</v>
      </c>
      <c r="O3700" t="s">
        <v>47425</v>
      </c>
      <c r="P3700">
        <v>0</v>
      </c>
      <c r="Q3700">
        <v>6</v>
      </c>
      <c r="R3700" t="s">
        <v>47428</v>
      </c>
      <c r="S3700" t="s">
        <v>47541</v>
      </c>
      <c r="T3700" t="s">
        <v>49214</v>
      </c>
      <c r="U3700" t="s">
        <v>52813</v>
      </c>
      <c r="W3700" t="s">
        <v>43339</v>
      </c>
      <c r="X3700" t="s">
        <v>47430</v>
      </c>
    </row>
    <row r="3701" spans="1:24">
      <c r="A3701">
        <f>HYPERLINK("https://www.philgeps.gov.ph/GEPSNONPILOT/Tender/SplashBidNoticeAbstractUI.aspx?menuIndex=3&amp;refID=7164280&amp;Result=3","7164280")</f>
        <v>0</v>
      </c>
      <c r="B3701" t="s">
        <v>336</v>
      </c>
      <c r="C3701" t="s">
        <v>7423</v>
      </c>
      <c r="D3701" t="s">
        <v>19077</v>
      </c>
      <c r="E3701" t="s">
        <v>22418</v>
      </c>
      <c r="F3701" t="s">
        <v>32831</v>
      </c>
      <c r="G3701" t="s">
        <v>32838</v>
      </c>
      <c r="H3701" t="s">
        <v>32848</v>
      </c>
      <c r="I3701" t="s">
        <v>4438</v>
      </c>
      <c r="J3701" t="s">
        <v>35410</v>
      </c>
      <c r="K3701" t="s">
        <v>42758</v>
      </c>
      <c r="M3701" t="s">
        <v>43339</v>
      </c>
      <c r="N3701" t="s">
        <v>47424</v>
      </c>
      <c r="O3701" t="s">
        <v>47425</v>
      </c>
      <c r="P3701">
        <v>0</v>
      </c>
      <c r="Q3701">
        <v>1</v>
      </c>
      <c r="R3701" t="s">
        <v>47428</v>
      </c>
      <c r="S3701" t="s">
        <v>47541</v>
      </c>
      <c r="T3701" t="s">
        <v>49214</v>
      </c>
      <c r="U3701" t="s">
        <v>52814</v>
      </c>
      <c r="W3701" t="s">
        <v>43339</v>
      </c>
      <c r="X3701" t="s">
        <v>47430</v>
      </c>
    </row>
    <row r="3702" spans="1:24">
      <c r="A3702">
        <f>HYPERLINK("https://www.philgeps.gov.ph/GEPSNONPILOT/Tender/SplashBidNoticeAbstractUI.aspx?menuIndex=3&amp;refID=7164263&amp;Result=3","7164263")</f>
        <v>0</v>
      </c>
      <c r="B3702" t="s">
        <v>1132</v>
      </c>
      <c r="C3702" t="s">
        <v>7424</v>
      </c>
      <c r="D3702" t="s">
        <v>19047</v>
      </c>
      <c r="E3702" t="s">
        <v>22419</v>
      </c>
      <c r="F3702" t="s">
        <v>32831</v>
      </c>
      <c r="G3702" t="s">
        <v>32838</v>
      </c>
      <c r="H3702" t="s">
        <v>32848</v>
      </c>
      <c r="I3702" t="s">
        <v>9577</v>
      </c>
      <c r="J3702" t="s">
        <v>35411</v>
      </c>
      <c r="K3702" t="s">
        <v>42731</v>
      </c>
      <c r="M3702" t="s">
        <v>44193</v>
      </c>
      <c r="N3702" t="s">
        <v>47424</v>
      </c>
      <c r="O3702" t="s">
        <v>47425</v>
      </c>
      <c r="P3702">
        <v>0</v>
      </c>
      <c r="Q3702">
        <v>2</v>
      </c>
      <c r="R3702" t="s">
        <v>47428</v>
      </c>
      <c r="S3702" t="s">
        <v>47541</v>
      </c>
      <c r="T3702" t="s">
        <v>49235</v>
      </c>
      <c r="U3702" t="s">
        <v>52815</v>
      </c>
      <c r="W3702" t="s">
        <v>64458</v>
      </c>
      <c r="X3702" t="s">
        <v>47430</v>
      </c>
    </row>
    <row r="3703" spans="1:24">
      <c r="A3703">
        <f>HYPERLINK("https://www.philgeps.gov.ph/GEPSNONPILOT/Tender/SplashBidNoticeAbstractUI.aspx?menuIndex=3&amp;refID=6843481&amp;Result=3","6843481")</f>
        <v>0</v>
      </c>
      <c r="B3703" t="s">
        <v>1541</v>
      </c>
      <c r="C3703" t="s">
        <v>7425</v>
      </c>
      <c r="D3703" t="s">
        <v>19019</v>
      </c>
      <c r="E3703" t="s">
        <v>22420</v>
      </c>
      <c r="F3703" t="s">
        <v>32831</v>
      </c>
      <c r="G3703" t="s">
        <v>32839</v>
      </c>
      <c r="H3703" t="s">
        <v>32848</v>
      </c>
      <c r="I3703" t="s">
        <v>7751</v>
      </c>
      <c r="J3703" t="s">
        <v>35412</v>
      </c>
      <c r="K3703" t="s">
        <v>42763</v>
      </c>
      <c r="M3703" t="s">
        <v>44645</v>
      </c>
      <c r="N3703" t="s">
        <v>47424</v>
      </c>
      <c r="O3703" t="s">
        <v>47425</v>
      </c>
      <c r="P3703">
        <v>0</v>
      </c>
      <c r="Q3703">
        <v>9</v>
      </c>
      <c r="R3703" t="s">
        <v>47430</v>
      </c>
      <c r="S3703" t="s">
        <v>47549</v>
      </c>
      <c r="T3703" t="s">
        <v>49077</v>
      </c>
      <c r="U3703" t="s">
        <v>52816</v>
      </c>
      <c r="V3703" t="s">
        <v>63029</v>
      </c>
      <c r="W3703" t="s">
        <v>44645</v>
      </c>
      <c r="X3703" t="s">
        <v>47526</v>
      </c>
    </row>
    <row r="3704" spans="1:24">
      <c r="A3704">
        <f>HYPERLINK("https://www.philgeps.gov.ph/GEPSNONPILOT/Tender/SplashBidNoticeAbstractUI.aspx?menuIndex=3&amp;refID=7164270&amp;Result=3","7164270")</f>
        <v>0</v>
      </c>
      <c r="B3704" t="s">
        <v>336</v>
      </c>
      <c r="C3704" t="s">
        <v>7426</v>
      </c>
      <c r="D3704" t="s">
        <v>19077</v>
      </c>
      <c r="E3704" t="s">
        <v>22421</v>
      </c>
      <c r="F3704" t="s">
        <v>32831</v>
      </c>
      <c r="G3704" t="s">
        <v>32838</v>
      </c>
      <c r="H3704" t="s">
        <v>32848</v>
      </c>
      <c r="I3704" t="s">
        <v>10805</v>
      </c>
      <c r="J3704" t="s">
        <v>35413</v>
      </c>
      <c r="K3704" t="s">
        <v>42786</v>
      </c>
      <c r="M3704" t="s">
        <v>43339</v>
      </c>
      <c r="N3704" t="s">
        <v>47424</v>
      </c>
      <c r="O3704" t="s">
        <v>47425</v>
      </c>
      <c r="P3704">
        <v>0</v>
      </c>
      <c r="Q3704">
        <v>3</v>
      </c>
      <c r="R3704" t="s">
        <v>47428</v>
      </c>
      <c r="S3704" t="s">
        <v>47541</v>
      </c>
      <c r="T3704" t="s">
        <v>49214</v>
      </c>
      <c r="U3704" t="s">
        <v>52817</v>
      </c>
      <c r="W3704" t="s">
        <v>43339</v>
      </c>
      <c r="X3704" t="s">
        <v>47430</v>
      </c>
    </row>
    <row r="3705" spans="1:24">
      <c r="A3705">
        <f>HYPERLINK("https://www.philgeps.gov.ph/GEPSNONPILOT/Tender/SplashBidNoticeAbstractUI.aspx?menuIndex=3&amp;refID=7141109&amp;Result=3","7141109")</f>
        <v>0</v>
      </c>
      <c r="B3705" t="s">
        <v>1155</v>
      </c>
      <c r="C3705" t="s">
        <v>7427</v>
      </c>
      <c r="D3705" t="s">
        <v>19034</v>
      </c>
      <c r="E3705" t="s">
        <v>22422</v>
      </c>
      <c r="F3705" t="s">
        <v>32831</v>
      </c>
      <c r="G3705" t="s">
        <v>32839</v>
      </c>
      <c r="H3705" t="s">
        <v>32849</v>
      </c>
      <c r="I3705" t="s">
        <v>4177</v>
      </c>
      <c r="J3705" t="s">
        <v>35414</v>
      </c>
      <c r="K3705" t="s">
        <v>42728</v>
      </c>
      <c r="M3705" t="s">
        <v>44220</v>
      </c>
      <c r="N3705" t="s">
        <v>47424</v>
      </c>
      <c r="O3705" t="s">
        <v>47425</v>
      </c>
      <c r="P3705">
        <v>0</v>
      </c>
      <c r="Q3705">
        <v>1</v>
      </c>
      <c r="R3705" t="s">
        <v>47430</v>
      </c>
      <c r="S3705" t="s">
        <v>47549</v>
      </c>
      <c r="T3705" t="s">
        <v>49295</v>
      </c>
      <c r="U3705" t="s">
        <v>52818</v>
      </c>
      <c r="W3705" t="s">
        <v>44220</v>
      </c>
      <c r="X3705" t="s">
        <v>47440</v>
      </c>
    </row>
    <row r="3706" spans="1:24">
      <c r="A3706">
        <f>HYPERLINK("https://www.philgeps.gov.ph/GEPSNONPILOT/Tender/SplashBidNoticeAbstractUI.aspx?menuIndex=3&amp;refID=7164274&amp;Result=3","7164274")</f>
        <v>0</v>
      </c>
      <c r="B3706" t="s">
        <v>336</v>
      </c>
      <c r="C3706" t="s">
        <v>7428</v>
      </c>
      <c r="D3706" t="s">
        <v>19077</v>
      </c>
      <c r="E3706" t="s">
        <v>22423</v>
      </c>
      <c r="F3706" t="s">
        <v>32831</v>
      </c>
      <c r="G3706" t="s">
        <v>32838</v>
      </c>
      <c r="H3706" t="s">
        <v>32848</v>
      </c>
      <c r="I3706" t="s">
        <v>32906</v>
      </c>
      <c r="J3706" t="s">
        <v>35415</v>
      </c>
      <c r="K3706" t="s">
        <v>42726</v>
      </c>
      <c r="M3706" t="s">
        <v>43339</v>
      </c>
      <c r="N3706" t="s">
        <v>47424</v>
      </c>
      <c r="O3706" t="s">
        <v>47425</v>
      </c>
      <c r="P3706">
        <v>0</v>
      </c>
      <c r="Q3706">
        <v>3</v>
      </c>
      <c r="R3706" t="s">
        <v>47428</v>
      </c>
      <c r="S3706" t="s">
        <v>47541</v>
      </c>
      <c r="T3706" t="s">
        <v>49214</v>
      </c>
      <c r="U3706" t="s">
        <v>52819</v>
      </c>
      <c r="W3706" t="s">
        <v>43339</v>
      </c>
      <c r="X3706" t="s">
        <v>47430</v>
      </c>
    </row>
    <row r="3707" spans="1:24">
      <c r="A3707">
        <f>HYPERLINK("https://www.philgeps.gov.ph/GEPSNONPILOT/Tender/SplashBidNoticeAbstractUI.aspx?menuIndex=3&amp;refID=7136812&amp;Result=3","7136812")</f>
        <v>0</v>
      </c>
      <c r="B3707" t="s">
        <v>1542</v>
      </c>
      <c r="C3707" t="s">
        <v>7429</v>
      </c>
      <c r="D3707" t="s">
        <v>19075</v>
      </c>
      <c r="E3707" t="s">
        <v>22424</v>
      </c>
      <c r="F3707" t="s">
        <v>32831</v>
      </c>
      <c r="G3707" t="s">
        <v>32839</v>
      </c>
      <c r="H3707" t="s">
        <v>32848</v>
      </c>
      <c r="I3707" t="s">
        <v>7416</v>
      </c>
      <c r="J3707" t="s">
        <v>35416</v>
      </c>
      <c r="K3707" t="s">
        <v>42731</v>
      </c>
      <c r="M3707" t="s">
        <v>44646</v>
      </c>
      <c r="N3707" t="s">
        <v>47424</v>
      </c>
      <c r="O3707" t="s">
        <v>47425</v>
      </c>
      <c r="P3707">
        <v>0</v>
      </c>
      <c r="Q3707">
        <v>4</v>
      </c>
      <c r="R3707" t="s">
        <v>47430</v>
      </c>
      <c r="S3707" t="s">
        <v>47549</v>
      </c>
      <c r="T3707" t="s">
        <v>49070</v>
      </c>
      <c r="U3707" t="s">
        <v>52820</v>
      </c>
      <c r="W3707" t="s">
        <v>44646</v>
      </c>
      <c r="X3707" t="s">
        <v>47441</v>
      </c>
    </row>
    <row r="3708" spans="1:24">
      <c r="A3708">
        <f>HYPERLINK("https://www.philgeps.gov.ph/GEPSNONPILOT/Tender/SplashBidNoticeAbstractUI.aspx?menuIndex=3&amp;refID=7135488&amp;Result=3","7135488")</f>
        <v>0</v>
      </c>
      <c r="B3708" t="s">
        <v>1543</v>
      </c>
      <c r="C3708" t="s">
        <v>7430</v>
      </c>
      <c r="D3708" t="s">
        <v>19104</v>
      </c>
      <c r="E3708" t="s">
        <v>22425</v>
      </c>
      <c r="F3708" t="s">
        <v>32831</v>
      </c>
      <c r="G3708" t="s">
        <v>32839</v>
      </c>
      <c r="H3708" t="s">
        <v>32848</v>
      </c>
      <c r="I3708" t="s">
        <v>32879</v>
      </c>
      <c r="J3708" t="s">
        <v>34637</v>
      </c>
      <c r="K3708" t="s">
        <v>42730</v>
      </c>
      <c r="M3708" t="s">
        <v>44647</v>
      </c>
      <c r="N3708" t="s">
        <v>47424</v>
      </c>
      <c r="O3708" t="s">
        <v>47425</v>
      </c>
      <c r="P3708">
        <v>0</v>
      </c>
      <c r="Q3708">
        <v>3</v>
      </c>
      <c r="R3708" t="s">
        <v>47430</v>
      </c>
      <c r="S3708" t="s">
        <v>47549</v>
      </c>
      <c r="T3708" t="s">
        <v>49301</v>
      </c>
      <c r="U3708" t="s">
        <v>52821</v>
      </c>
      <c r="V3708" t="s">
        <v>63030</v>
      </c>
      <c r="W3708" t="s">
        <v>44647</v>
      </c>
      <c r="X3708" t="s">
        <v>47443</v>
      </c>
    </row>
    <row r="3709" spans="1:24">
      <c r="A3709">
        <f>HYPERLINK("https://www.philgeps.gov.ph/GEPSNONPILOT/Tender/SplashBidNoticeAbstractUI.aspx?menuIndex=3&amp;refID=7135303&amp;Result=3","7135303")</f>
        <v>0</v>
      </c>
      <c r="B3709" t="s">
        <v>1543</v>
      </c>
      <c r="C3709" t="s">
        <v>7430</v>
      </c>
      <c r="D3709" t="s">
        <v>19104</v>
      </c>
      <c r="E3709" t="s">
        <v>22426</v>
      </c>
      <c r="F3709" t="s">
        <v>32831</v>
      </c>
      <c r="G3709" t="s">
        <v>32839</v>
      </c>
      <c r="H3709" t="s">
        <v>32848</v>
      </c>
      <c r="I3709" t="s">
        <v>32879</v>
      </c>
      <c r="J3709" t="s">
        <v>35417</v>
      </c>
      <c r="K3709" t="s">
        <v>42730</v>
      </c>
      <c r="M3709" t="s">
        <v>44647</v>
      </c>
      <c r="N3709" t="s">
        <v>47424</v>
      </c>
      <c r="O3709" t="s">
        <v>47425</v>
      </c>
      <c r="P3709">
        <v>0</v>
      </c>
      <c r="Q3709">
        <v>3</v>
      </c>
      <c r="R3709" t="s">
        <v>47430</v>
      </c>
      <c r="S3709" t="s">
        <v>47549</v>
      </c>
      <c r="T3709" t="s">
        <v>49301</v>
      </c>
      <c r="U3709" t="s">
        <v>52822</v>
      </c>
      <c r="V3709" t="s">
        <v>63031</v>
      </c>
      <c r="W3709" t="s">
        <v>44647</v>
      </c>
      <c r="X3709" t="s">
        <v>47444</v>
      </c>
    </row>
    <row r="3710" spans="1:24">
      <c r="A3710">
        <f>HYPERLINK("https://www.philgeps.gov.ph/GEPSNONPILOT/Tender/SplashBidNoticeAbstractUI.aspx?menuIndex=3&amp;refID=7138612&amp;Result=3","7138612")</f>
        <v>0</v>
      </c>
      <c r="B3710" t="s">
        <v>1544</v>
      </c>
      <c r="C3710" t="s">
        <v>7431</v>
      </c>
      <c r="D3710" t="s">
        <v>19042</v>
      </c>
      <c r="E3710" t="s">
        <v>22427</v>
      </c>
      <c r="F3710" t="s">
        <v>32831</v>
      </c>
      <c r="G3710" t="s">
        <v>32838</v>
      </c>
      <c r="H3710" t="s">
        <v>32849</v>
      </c>
      <c r="I3710" t="s">
        <v>4177</v>
      </c>
      <c r="J3710" t="s">
        <v>33090</v>
      </c>
      <c r="K3710" t="s">
        <v>42727</v>
      </c>
      <c r="M3710" t="s">
        <v>44648</v>
      </c>
      <c r="N3710" t="s">
        <v>47424</v>
      </c>
      <c r="O3710" t="s">
        <v>47425</v>
      </c>
      <c r="P3710">
        <v>0</v>
      </c>
      <c r="Q3710">
        <v>0</v>
      </c>
      <c r="R3710" t="s">
        <v>47430</v>
      </c>
      <c r="S3710" t="s">
        <v>47549</v>
      </c>
      <c r="T3710" t="s">
        <v>49103</v>
      </c>
      <c r="U3710" t="s">
        <v>52823</v>
      </c>
      <c r="W3710" t="s">
        <v>44648</v>
      </c>
      <c r="X3710" t="s">
        <v>47441</v>
      </c>
    </row>
    <row r="3711" spans="1:24">
      <c r="A3711">
        <f>HYPERLINK("https://www.philgeps.gov.ph/GEPSNONPILOT/Tender/SplashBidNoticeAbstractUI.aspx?menuIndex=3&amp;refID=7135284&amp;Result=3","7135284")</f>
        <v>0</v>
      </c>
      <c r="B3711" t="s">
        <v>1543</v>
      </c>
      <c r="C3711" t="s">
        <v>7432</v>
      </c>
      <c r="D3711" t="s">
        <v>19104</v>
      </c>
      <c r="E3711" t="s">
        <v>22428</v>
      </c>
      <c r="F3711" t="s">
        <v>32831</v>
      </c>
      <c r="G3711" t="s">
        <v>32841</v>
      </c>
      <c r="H3711" t="s">
        <v>32848</v>
      </c>
      <c r="I3711" t="s">
        <v>10805</v>
      </c>
      <c r="J3711" t="s">
        <v>33087</v>
      </c>
      <c r="K3711" t="s">
        <v>42732</v>
      </c>
      <c r="M3711" t="s">
        <v>44647</v>
      </c>
      <c r="N3711" t="s">
        <v>47424</v>
      </c>
      <c r="O3711" t="s">
        <v>47425</v>
      </c>
      <c r="P3711">
        <v>0</v>
      </c>
      <c r="Q3711">
        <v>0</v>
      </c>
      <c r="R3711" t="s">
        <v>47430</v>
      </c>
      <c r="S3711" t="s">
        <v>47549</v>
      </c>
      <c r="T3711" t="s">
        <v>49301</v>
      </c>
      <c r="U3711" t="s">
        <v>52824</v>
      </c>
      <c r="V3711" t="s">
        <v>63030</v>
      </c>
      <c r="W3711" t="s">
        <v>44647</v>
      </c>
      <c r="X3711" t="s">
        <v>47444</v>
      </c>
    </row>
    <row r="3712" spans="1:24">
      <c r="A3712">
        <f>HYPERLINK("https://www.philgeps.gov.ph/GEPSNONPILOT/Tender/SplashBidNoticeAbstractUI.aspx?menuIndex=3&amp;refID=7135218&amp;Result=3","7135218")</f>
        <v>0</v>
      </c>
      <c r="B3712" t="s">
        <v>1543</v>
      </c>
      <c r="C3712" t="s">
        <v>7433</v>
      </c>
      <c r="D3712" t="s">
        <v>19104</v>
      </c>
      <c r="E3712" t="s">
        <v>22429</v>
      </c>
      <c r="F3712" t="s">
        <v>32831</v>
      </c>
      <c r="G3712" t="s">
        <v>32839</v>
      </c>
      <c r="H3712" t="s">
        <v>32848</v>
      </c>
      <c r="I3712" t="s">
        <v>4558</v>
      </c>
      <c r="J3712" t="s">
        <v>35418</v>
      </c>
      <c r="K3712" t="s">
        <v>42732</v>
      </c>
      <c r="M3712" t="s">
        <v>44647</v>
      </c>
      <c r="N3712" t="s">
        <v>47424</v>
      </c>
      <c r="O3712" t="s">
        <v>47425</v>
      </c>
      <c r="P3712">
        <v>0</v>
      </c>
      <c r="Q3712">
        <v>4</v>
      </c>
      <c r="R3712" t="s">
        <v>47430</v>
      </c>
      <c r="S3712" t="s">
        <v>47549</v>
      </c>
      <c r="T3712" t="s">
        <v>49301</v>
      </c>
      <c r="U3712" t="s">
        <v>52825</v>
      </c>
      <c r="V3712" t="s">
        <v>63032</v>
      </c>
      <c r="W3712" t="s">
        <v>44647</v>
      </c>
      <c r="X3712" t="s">
        <v>47444</v>
      </c>
    </row>
    <row r="3713" spans="1:24">
      <c r="A3713">
        <f>HYPERLINK("https://www.philgeps.gov.ph/GEPSNONPILOT/Tender/SplashBidNoticeAbstractUI.aspx?menuIndex=3&amp;refID=7141144&amp;Result=3","7141144")</f>
        <v>0</v>
      </c>
      <c r="B3713" t="s">
        <v>1155</v>
      </c>
      <c r="C3713" t="s">
        <v>7434</v>
      </c>
      <c r="D3713" t="s">
        <v>19034</v>
      </c>
      <c r="E3713" t="s">
        <v>22430</v>
      </c>
      <c r="F3713" t="s">
        <v>32831</v>
      </c>
      <c r="G3713" t="s">
        <v>32839</v>
      </c>
      <c r="H3713" t="s">
        <v>32849</v>
      </c>
      <c r="I3713" t="s">
        <v>4177</v>
      </c>
      <c r="J3713" t="s">
        <v>35419</v>
      </c>
      <c r="K3713" t="s">
        <v>42728</v>
      </c>
      <c r="M3713" t="s">
        <v>44220</v>
      </c>
      <c r="N3713" t="s">
        <v>47424</v>
      </c>
      <c r="O3713" t="s">
        <v>47425</v>
      </c>
      <c r="P3713">
        <v>0</v>
      </c>
      <c r="Q3713">
        <v>0</v>
      </c>
      <c r="R3713" t="s">
        <v>47430</v>
      </c>
      <c r="S3713" t="s">
        <v>47549</v>
      </c>
      <c r="T3713" t="s">
        <v>49295</v>
      </c>
      <c r="U3713" t="s">
        <v>52826</v>
      </c>
      <c r="W3713" t="s">
        <v>44220</v>
      </c>
      <c r="X3713" t="s">
        <v>47440</v>
      </c>
    </row>
    <row r="3714" spans="1:24">
      <c r="A3714">
        <f>HYPERLINK("https://www.philgeps.gov.ph/GEPSNONPILOT/Tender/SplashBidNoticeAbstractUI.aspx?menuIndex=3&amp;refID=7139320-2&amp;Result=3","7139320-2")</f>
        <v>0</v>
      </c>
      <c r="B3714" t="s">
        <v>1545</v>
      </c>
      <c r="C3714" t="s">
        <v>7435</v>
      </c>
      <c r="D3714" t="s">
        <v>19044</v>
      </c>
      <c r="E3714" t="s">
        <v>22431</v>
      </c>
      <c r="F3714" t="s">
        <v>32831</v>
      </c>
      <c r="G3714" t="s">
        <v>32839</v>
      </c>
      <c r="H3714" t="s">
        <v>14069</v>
      </c>
      <c r="I3714" t="s">
        <v>14069</v>
      </c>
      <c r="J3714" t="s">
        <v>35420</v>
      </c>
      <c r="K3714" t="s">
        <v>42757</v>
      </c>
      <c r="M3714" t="s">
        <v>44649</v>
      </c>
      <c r="N3714" t="s">
        <v>47424</v>
      </c>
      <c r="O3714" t="s">
        <v>47425</v>
      </c>
      <c r="P3714">
        <v>0</v>
      </c>
      <c r="Q3714">
        <v>1</v>
      </c>
      <c r="R3714" t="s">
        <v>47430</v>
      </c>
      <c r="S3714" t="s">
        <v>47549</v>
      </c>
      <c r="T3714" t="s">
        <v>49236</v>
      </c>
      <c r="U3714" t="s">
        <v>52827</v>
      </c>
      <c r="V3714" t="s">
        <v>63033</v>
      </c>
      <c r="W3714" t="s">
        <v>44649</v>
      </c>
      <c r="X3714" t="s">
        <v>47431</v>
      </c>
    </row>
    <row r="3715" spans="1:24">
      <c r="A3715">
        <f>HYPERLINK("https://www.philgeps.gov.ph/GEPSNONPILOT/Tender/SplashBidNoticeAbstractUI.aspx?menuIndex=3&amp;refID=7164246&amp;Result=3","7164246")</f>
        <v>0</v>
      </c>
      <c r="B3715" t="s">
        <v>413</v>
      </c>
      <c r="C3715" t="s">
        <v>7436</v>
      </c>
      <c r="D3715" t="s">
        <v>19017</v>
      </c>
      <c r="E3715" t="s">
        <v>22432</v>
      </c>
      <c r="F3715" t="s">
        <v>32831</v>
      </c>
      <c r="G3715" t="s">
        <v>32838</v>
      </c>
      <c r="H3715" t="s">
        <v>14069</v>
      </c>
      <c r="I3715" t="s">
        <v>14069</v>
      </c>
      <c r="J3715" t="s">
        <v>35421</v>
      </c>
      <c r="K3715" t="s">
        <v>42738</v>
      </c>
      <c r="M3715" t="s">
        <v>43418</v>
      </c>
      <c r="N3715" t="s">
        <v>47424</v>
      </c>
      <c r="O3715" t="s">
        <v>47425</v>
      </c>
      <c r="P3715">
        <v>0</v>
      </c>
      <c r="Q3715">
        <v>1</v>
      </c>
      <c r="R3715" t="s">
        <v>47428</v>
      </c>
      <c r="S3715" t="s">
        <v>47541</v>
      </c>
      <c r="T3715" t="s">
        <v>49163</v>
      </c>
      <c r="U3715" t="s">
        <v>52828</v>
      </c>
      <c r="W3715" t="s">
        <v>43418</v>
      </c>
      <c r="X3715" t="s">
        <v>47430</v>
      </c>
    </row>
    <row r="3716" spans="1:24">
      <c r="A3716">
        <f>HYPERLINK("https://www.philgeps.gov.ph/GEPSNONPILOT/Tender/SplashBidNoticeAbstractUI.aspx?menuIndex=3&amp;refID=7164269&amp;Result=3","7164269")</f>
        <v>0</v>
      </c>
      <c r="B3716" t="s">
        <v>1546</v>
      </c>
      <c r="C3716" t="s">
        <v>7437</v>
      </c>
      <c r="D3716" t="s">
        <v>19023</v>
      </c>
      <c r="E3716" t="s">
        <v>22433</v>
      </c>
      <c r="F3716" t="s">
        <v>32831</v>
      </c>
      <c r="G3716" t="s">
        <v>32839</v>
      </c>
      <c r="H3716" t="s">
        <v>32848</v>
      </c>
      <c r="I3716" t="s">
        <v>7437</v>
      </c>
      <c r="J3716" t="s">
        <v>33261</v>
      </c>
      <c r="K3716" t="s">
        <v>42726</v>
      </c>
      <c r="M3716" t="s">
        <v>44650</v>
      </c>
      <c r="N3716" t="s">
        <v>47424</v>
      </c>
      <c r="O3716" t="s">
        <v>47425</v>
      </c>
      <c r="P3716">
        <v>0</v>
      </c>
      <c r="Q3716">
        <v>2</v>
      </c>
      <c r="R3716" t="s">
        <v>47428</v>
      </c>
      <c r="S3716" t="s">
        <v>47541</v>
      </c>
      <c r="T3716" t="s">
        <v>49091</v>
      </c>
      <c r="U3716" t="s">
        <v>52829</v>
      </c>
      <c r="W3716" t="s">
        <v>44650</v>
      </c>
      <c r="X3716" t="s">
        <v>47430</v>
      </c>
    </row>
    <row r="3717" spans="1:24">
      <c r="A3717">
        <f>HYPERLINK("https://www.philgeps.gov.ph/GEPSNONPILOT/Tender/SplashBidNoticeAbstractUI.aspx?menuIndex=3&amp;refID=7135241&amp;Result=3","7135241")</f>
        <v>0</v>
      </c>
      <c r="B3717" t="s">
        <v>1543</v>
      </c>
      <c r="C3717" t="s">
        <v>7438</v>
      </c>
      <c r="D3717" t="s">
        <v>19104</v>
      </c>
      <c r="E3717" t="s">
        <v>22434</v>
      </c>
      <c r="F3717" t="s">
        <v>32831</v>
      </c>
      <c r="G3717" t="s">
        <v>32839</v>
      </c>
      <c r="H3717" t="s">
        <v>32848</v>
      </c>
      <c r="I3717" t="s">
        <v>4558</v>
      </c>
      <c r="J3717" t="s">
        <v>35422</v>
      </c>
      <c r="K3717" t="s">
        <v>42730</v>
      </c>
      <c r="M3717" t="s">
        <v>44647</v>
      </c>
      <c r="N3717" t="s">
        <v>47424</v>
      </c>
      <c r="O3717" t="s">
        <v>47425</v>
      </c>
      <c r="P3717">
        <v>0</v>
      </c>
      <c r="Q3717">
        <v>4</v>
      </c>
      <c r="R3717" t="s">
        <v>47430</v>
      </c>
      <c r="S3717" t="s">
        <v>47549</v>
      </c>
      <c r="T3717" t="s">
        <v>49301</v>
      </c>
      <c r="U3717" t="s">
        <v>52830</v>
      </c>
      <c r="V3717" t="s">
        <v>63034</v>
      </c>
      <c r="W3717" t="s">
        <v>44647</v>
      </c>
      <c r="X3717" t="s">
        <v>47444</v>
      </c>
    </row>
    <row r="3718" spans="1:24">
      <c r="A3718">
        <f>HYPERLINK("https://www.philgeps.gov.ph/GEPSNONPILOT/Tender/SplashBidNoticeAbstractUI.aspx?menuIndex=3&amp;refID=7149915&amp;Result=3","7149915")</f>
        <v>0</v>
      </c>
      <c r="B3718" t="s">
        <v>34</v>
      </c>
      <c r="C3718" t="s">
        <v>7439</v>
      </c>
      <c r="E3718" t="s">
        <v>22435</v>
      </c>
      <c r="F3718" t="s">
        <v>32831</v>
      </c>
      <c r="G3718" t="s">
        <v>32838</v>
      </c>
      <c r="H3718" t="s">
        <v>32848</v>
      </c>
      <c r="I3718" t="s">
        <v>32870</v>
      </c>
      <c r="J3718" t="s">
        <v>33871</v>
      </c>
      <c r="K3718" t="s">
        <v>42732</v>
      </c>
      <c r="M3718" t="s">
        <v>43031</v>
      </c>
      <c r="N3718" t="s">
        <v>47424</v>
      </c>
      <c r="O3718" t="s">
        <v>47425</v>
      </c>
      <c r="P3718">
        <v>0</v>
      </c>
      <c r="Q3718">
        <v>0</v>
      </c>
      <c r="R3718" t="s">
        <v>47430</v>
      </c>
      <c r="S3718" t="s">
        <v>47549</v>
      </c>
      <c r="T3718" t="s">
        <v>49123</v>
      </c>
      <c r="U3718" t="s">
        <v>52831</v>
      </c>
      <c r="W3718" t="s">
        <v>43031</v>
      </c>
      <c r="X3718" t="s">
        <v>47434</v>
      </c>
    </row>
    <row r="3719" spans="1:24">
      <c r="A3719">
        <f>HYPERLINK("https://www.philgeps.gov.ph/GEPSNONPILOT/Tender/SplashBidNoticeAbstractUI.aspx?menuIndex=3&amp;refID=7114858&amp;Result=3","7114858")</f>
        <v>0</v>
      </c>
      <c r="B3719" t="s">
        <v>1543</v>
      </c>
      <c r="C3719" t="s">
        <v>7440</v>
      </c>
      <c r="D3719" t="s">
        <v>19104</v>
      </c>
      <c r="E3719" t="s">
        <v>22436</v>
      </c>
      <c r="F3719" t="s">
        <v>32831</v>
      </c>
      <c r="G3719" t="s">
        <v>32839</v>
      </c>
      <c r="H3719" t="s">
        <v>32848</v>
      </c>
      <c r="I3719" t="s">
        <v>32860</v>
      </c>
      <c r="J3719" t="s">
        <v>35423</v>
      </c>
      <c r="K3719" t="s">
        <v>42730</v>
      </c>
      <c r="M3719" t="s">
        <v>44647</v>
      </c>
      <c r="N3719" t="s">
        <v>47424</v>
      </c>
      <c r="O3719" t="s">
        <v>47425</v>
      </c>
      <c r="P3719">
        <v>0</v>
      </c>
      <c r="Q3719">
        <v>2</v>
      </c>
      <c r="R3719" t="s">
        <v>47430</v>
      </c>
      <c r="S3719" t="s">
        <v>47549</v>
      </c>
      <c r="T3719" t="s">
        <v>49301</v>
      </c>
      <c r="U3719" t="s">
        <v>52832</v>
      </c>
      <c r="V3719" t="s">
        <v>63030</v>
      </c>
      <c r="W3719" t="s">
        <v>44647</v>
      </c>
      <c r="X3719" t="s">
        <v>47452</v>
      </c>
    </row>
    <row r="3720" spans="1:24">
      <c r="A3720">
        <f>HYPERLINK("https://www.philgeps.gov.ph/GEPSNONPILOT/Tender/SplashBidNoticeAbstractUI.aspx?menuIndex=3&amp;refID=7135533&amp;Result=3","7135533")</f>
        <v>0</v>
      </c>
      <c r="B3720" t="s">
        <v>1547</v>
      </c>
      <c r="C3720" t="s">
        <v>7441</v>
      </c>
      <c r="D3720" t="s">
        <v>19050</v>
      </c>
      <c r="E3720" t="s">
        <v>19838</v>
      </c>
      <c r="F3720" t="s">
        <v>32831</v>
      </c>
      <c r="G3720" t="s">
        <v>32839</v>
      </c>
      <c r="H3720" t="s">
        <v>32848</v>
      </c>
      <c r="I3720" t="s">
        <v>4303</v>
      </c>
      <c r="J3720" t="s">
        <v>33018</v>
      </c>
      <c r="K3720" t="s">
        <v>42732</v>
      </c>
      <c r="M3720" t="s">
        <v>44651</v>
      </c>
      <c r="N3720" t="s">
        <v>47424</v>
      </c>
      <c r="O3720" t="s">
        <v>47425</v>
      </c>
      <c r="P3720">
        <v>0</v>
      </c>
      <c r="Q3720">
        <v>0</v>
      </c>
      <c r="R3720" t="s">
        <v>47430</v>
      </c>
      <c r="S3720" t="s">
        <v>47549</v>
      </c>
      <c r="T3720" t="s">
        <v>49066</v>
      </c>
      <c r="U3720" t="s">
        <v>52833</v>
      </c>
      <c r="W3720" t="s">
        <v>44651</v>
      </c>
      <c r="X3720" t="s">
        <v>47443</v>
      </c>
    </row>
    <row r="3721" spans="1:24">
      <c r="A3721">
        <f>HYPERLINK("https://www.philgeps.gov.ph/GEPSNONPILOT/Tender/SplashBidNoticeAbstractUI.aspx?menuIndex=3&amp;refID=7149501&amp;Result=3","7149501")</f>
        <v>0</v>
      </c>
      <c r="B3721" t="s">
        <v>421</v>
      </c>
      <c r="C3721" t="s">
        <v>7442</v>
      </c>
      <c r="D3721" t="s">
        <v>19021</v>
      </c>
      <c r="E3721" t="s">
        <v>22437</v>
      </c>
      <c r="F3721" t="s">
        <v>32831</v>
      </c>
      <c r="G3721" t="s">
        <v>32838</v>
      </c>
      <c r="H3721" t="s">
        <v>32848</v>
      </c>
      <c r="I3721" t="s">
        <v>32883</v>
      </c>
      <c r="J3721" t="s">
        <v>35424</v>
      </c>
      <c r="K3721" t="s">
        <v>42730</v>
      </c>
      <c r="M3721" t="s">
        <v>44652</v>
      </c>
      <c r="N3721" t="s">
        <v>47424</v>
      </c>
      <c r="O3721" t="s">
        <v>47425</v>
      </c>
      <c r="P3721">
        <v>0</v>
      </c>
      <c r="Q3721">
        <v>12</v>
      </c>
      <c r="R3721" t="s">
        <v>47430</v>
      </c>
      <c r="S3721" t="s">
        <v>47549</v>
      </c>
      <c r="T3721" t="s">
        <v>49166</v>
      </c>
      <c r="U3721" t="s">
        <v>52834</v>
      </c>
      <c r="W3721" t="s">
        <v>44652</v>
      </c>
      <c r="X3721" t="s">
        <v>47434</v>
      </c>
    </row>
    <row r="3722" spans="1:24">
      <c r="A3722">
        <f>HYPERLINK("https://www.philgeps.gov.ph/GEPSNONPILOT/Tender/SplashBidNoticeAbstractUI.aspx?menuIndex=3&amp;refID=7112476&amp;Result=3","7112476")</f>
        <v>0</v>
      </c>
      <c r="B3722" t="s">
        <v>1543</v>
      </c>
      <c r="C3722" t="s">
        <v>7443</v>
      </c>
      <c r="D3722" t="s">
        <v>19104</v>
      </c>
      <c r="E3722" t="s">
        <v>22438</v>
      </c>
      <c r="F3722" t="s">
        <v>32831</v>
      </c>
      <c r="G3722" t="s">
        <v>32839</v>
      </c>
      <c r="H3722" t="s">
        <v>32849</v>
      </c>
      <c r="I3722" t="s">
        <v>4177</v>
      </c>
      <c r="J3722" t="s">
        <v>33083</v>
      </c>
      <c r="K3722" t="s">
        <v>42788</v>
      </c>
      <c r="M3722" t="s">
        <v>44647</v>
      </c>
      <c r="N3722" t="s">
        <v>47424</v>
      </c>
      <c r="O3722" t="s">
        <v>47425</v>
      </c>
      <c r="P3722">
        <v>0</v>
      </c>
      <c r="Q3722">
        <v>0</v>
      </c>
      <c r="R3722" t="s">
        <v>47430</v>
      </c>
      <c r="S3722" t="s">
        <v>47549</v>
      </c>
      <c r="T3722" t="s">
        <v>49301</v>
      </c>
      <c r="U3722" t="s">
        <v>52835</v>
      </c>
      <c r="V3722" t="s">
        <v>63035</v>
      </c>
      <c r="W3722" t="s">
        <v>44647</v>
      </c>
      <c r="X3722" t="s">
        <v>47453</v>
      </c>
    </row>
    <row r="3723" spans="1:24">
      <c r="A3723">
        <f>HYPERLINK("https://www.philgeps.gov.ph/GEPSNONPILOT/Tender/SplashBidNoticeAbstractUI.aspx?menuIndex=3&amp;refID=7149835&amp;Result=3","7149835")</f>
        <v>0</v>
      </c>
      <c r="B3723" t="s">
        <v>34</v>
      </c>
      <c r="C3723" t="s">
        <v>7444</v>
      </c>
      <c r="E3723" t="s">
        <v>22439</v>
      </c>
      <c r="F3723" t="s">
        <v>32831</v>
      </c>
      <c r="G3723" t="s">
        <v>32838</v>
      </c>
      <c r="H3723" t="s">
        <v>32848</v>
      </c>
      <c r="I3723" t="s">
        <v>32870</v>
      </c>
      <c r="J3723" t="s">
        <v>33871</v>
      </c>
      <c r="K3723" t="s">
        <v>42732</v>
      </c>
      <c r="M3723" t="s">
        <v>43031</v>
      </c>
      <c r="N3723" t="s">
        <v>47424</v>
      </c>
      <c r="O3723" t="s">
        <v>47425</v>
      </c>
      <c r="P3723">
        <v>0</v>
      </c>
      <c r="Q3723">
        <v>0</v>
      </c>
      <c r="R3723" t="s">
        <v>47430</v>
      </c>
      <c r="S3723" t="s">
        <v>47549</v>
      </c>
      <c r="T3723" t="s">
        <v>49123</v>
      </c>
      <c r="U3723" t="s">
        <v>52831</v>
      </c>
      <c r="W3723" t="s">
        <v>43031</v>
      </c>
      <c r="X3723" t="s">
        <v>47434</v>
      </c>
    </row>
    <row r="3724" spans="1:24">
      <c r="A3724">
        <f>HYPERLINK("https://www.philgeps.gov.ph/GEPSNONPILOT/Tender/SplashBidNoticeAbstractUI.aspx?menuIndex=3&amp;refID=7149498&amp;Result=3","7149498")</f>
        <v>0</v>
      </c>
      <c r="B3724" t="s">
        <v>34</v>
      </c>
      <c r="C3724" t="s">
        <v>7445</v>
      </c>
      <c r="E3724" t="s">
        <v>22440</v>
      </c>
      <c r="F3724" t="s">
        <v>32831</v>
      </c>
      <c r="G3724" t="s">
        <v>32838</v>
      </c>
      <c r="H3724" t="s">
        <v>32848</v>
      </c>
      <c r="I3724" t="s">
        <v>32864</v>
      </c>
      <c r="J3724" t="s">
        <v>33098</v>
      </c>
      <c r="K3724" t="s">
        <v>42726</v>
      </c>
      <c r="M3724" t="s">
        <v>44653</v>
      </c>
      <c r="N3724" t="s">
        <v>47424</v>
      </c>
      <c r="O3724" t="s">
        <v>47425</v>
      </c>
      <c r="P3724">
        <v>0</v>
      </c>
      <c r="Q3724">
        <v>2</v>
      </c>
      <c r="R3724" t="s">
        <v>47430</v>
      </c>
      <c r="S3724" t="s">
        <v>47549</v>
      </c>
      <c r="T3724" t="s">
        <v>49123</v>
      </c>
      <c r="U3724" t="s">
        <v>52836</v>
      </c>
      <c r="W3724" t="s">
        <v>44653</v>
      </c>
      <c r="X3724" t="s">
        <v>47434</v>
      </c>
    </row>
    <row r="3725" spans="1:24">
      <c r="A3725">
        <f>HYPERLINK("https://www.philgeps.gov.ph/GEPSNONPILOT/Tender/SplashBidNoticeAbstractUI.aspx?menuIndex=3&amp;refID=7149568&amp;Result=3","7149568")</f>
        <v>0</v>
      </c>
      <c r="B3725" t="s">
        <v>421</v>
      </c>
      <c r="C3725" t="s">
        <v>7446</v>
      </c>
      <c r="D3725" t="s">
        <v>19021</v>
      </c>
      <c r="E3725" t="s">
        <v>22441</v>
      </c>
      <c r="F3725" t="s">
        <v>32831</v>
      </c>
      <c r="G3725" t="s">
        <v>32838</v>
      </c>
      <c r="H3725" t="s">
        <v>32848</v>
      </c>
      <c r="I3725" t="s">
        <v>4487</v>
      </c>
      <c r="J3725" t="s">
        <v>35425</v>
      </c>
      <c r="K3725" t="s">
        <v>42730</v>
      </c>
      <c r="M3725" t="s">
        <v>44652</v>
      </c>
      <c r="N3725" t="s">
        <v>47424</v>
      </c>
      <c r="O3725" t="s">
        <v>47425</v>
      </c>
      <c r="P3725">
        <v>0</v>
      </c>
      <c r="Q3725">
        <v>0</v>
      </c>
      <c r="R3725" t="s">
        <v>47430</v>
      </c>
      <c r="S3725" t="s">
        <v>47549</v>
      </c>
      <c r="T3725" t="s">
        <v>49166</v>
      </c>
      <c r="U3725" t="s">
        <v>52837</v>
      </c>
      <c r="W3725" t="s">
        <v>44652</v>
      </c>
      <c r="X3725" t="s">
        <v>47434</v>
      </c>
    </row>
    <row r="3726" spans="1:24">
      <c r="A3726">
        <f>HYPERLINK("https://www.philgeps.gov.ph/GEPSNONPILOT/Tender/SplashBidNoticeAbstractUI.aspx?menuIndex=3&amp;refID=7148598&amp;Result=3","7148598")</f>
        <v>0</v>
      </c>
      <c r="B3726" t="s">
        <v>513</v>
      </c>
      <c r="C3726" t="s">
        <v>4980</v>
      </c>
      <c r="D3726" t="s">
        <v>19018</v>
      </c>
      <c r="E3726" t="s">
        <v>22442</v>
      </c>
      <c r="F3726" t="s">
        <v>32831</v>
      </c>
      <c r="G3726" t="s">
        <v>32842</v>
      </c>
      <c r="H3726" t="s">
        <v>32848</v>
      </c>
      <c r="I3726" t="s">
        <v>4340</v>
      </c>
      <c r="J3726" t="s">
        <v>35426</v>
      </c>
      <c r="K3726" t="s">
        <v>42726</v>
      </c>
      <c r="M3726" t="s">
        <v>43518</v>
      </c>
      <c r="N3726" t="s">
        <v>47424</v>
      </c>
      <c r="O3726" t="s">
        <v>47425</v>
      </c>
      <c r="P3726">
        <v>0</v>
      </c>
      <c r="Q3726">
        <v>1</v>
      </c>
      <c r="R3726" t="s">
        <v>47430</v>
      </c>
      <c r="S3726" t="s">
        <v>47549</v>
      </c>
      <c r="T3726" t="s">
        <v>49214</v>
      </c>
      <c r="U3726" t="s">
        <v>52838</v>
      </c>
      <c r="V3726" t="s">
        <v>63036</v>
      </c>
      <c r="W3726" t="s">
        <v>64441</v>
      </c>
      <c r="X3726" t="s">
        <v>47436</v>
      </c>
    </row>
    <row r="3727" spans="1:24">
      <c r="A3727">
        <f>HYPERLINK("https://www.philgeps.gov.ph/GEPSNONPILOT/Tender/SplashBidNoticeAbstractUI.aspx?menuIndex=3&amp;refID=7147769&amp;Result=3","7147769")</f>
        <v>0</v>
      </c>
      <c r="B3727" t="s">
        <v>1548</v>
      </c>
      <c r="C3727" t="s">
        <v>7447</v>
      </c>
      <c r="D3727" t="s">
        <v>19029</v>
      </c>
      <c r="E3727" t="s">
        <v>22443</v>
      </c>
      <c r="F3727" t="s">
        <v>32831</v>
      </c>
      <c r="G3727" t="s">
        <v>32838</v>
      </c>
      <c r="H3727" t="s">
        <v>32848</v>
      </c>
      <c r="I3727" t="s">
        <v>7437</v>
      </c>
      <c r="J3727" t="s">
        <v>33657</v>
      </c>
      <c r="K3727" t="s">
        <v>42727</v>
      </c>
      <c r="M3727" t="s">
        <v>44654</v>
      </c>
      <c r="N3727" t="s">
        <v>47424</v>
      </c>
      <c r="O3727" t="s">
        <v>47425</v>
      </c>
      <c r="P3727">
        <v>0</v>
      </c>
      <c r="Q3727">
        <v>3</v>
      </c>
      <c r="R3727" t="s">
        <v>47430</v>
      </c>
      <c r="S3727" t="s">
        <v>47549</v>
      </c>
      <c r="T3727" t="s">
        <v>49166</v>
      </c>
      <c r="U3727" t="s">
        <v>52839</v>
      </c>
      <c r="W3727" t="s">
        <v>44654</v>
      </c>
      <c r="X3727" t="s">
        <v>47438</v>
      </c>
    </row>
    <row r="3728" spans="1:24">
      <c r="A3728">
        <f>HYPERLINK("https://www.philgeps.gov.ph/GEPSNONPILOT/Tender/SplashBidNoticeAbstractUI.aspx?menuIndex=3&amp;refID=7146680&amp;Result=3","7146680")</f>
        <v>0</v>
      </c>
      <c r="B3728" t="s">
        <v>417</v>
      </c>
      <c r="C3728" t="s">
        <v>7448</v>
      </c>
      <c r="D3728" t="s">
        <v>19043</v>
      </c>
      <c r="E3728" t="s">
        <v>22444</v>
      </c>
      <c r="F3728" t="s">
        <v>32831</v>
      </c>
      <c r="G3728" t="s">
        <v>32839</v>
      </c>
      <c r="H3728" t="s">
        <v>32849</v>
      </c>
      <c r="I3728" t="s">
        <v>7416</v>
      </c>
      <c r="J3728" t="s">
        <v>35427</v>
      </c>
      <c r="K3728" t="s">
        <v>42730</v>
      </c>
      <c r="M3728" t="s">
        <v>43422</v>
      </c>
      <c r="N3728" t="s">
        <v>47424</v>
      </c>
      <c r="O3728" t="s">
        <v>47425</v>
      </c>
      <c r="P3728">
        <v>0</v>
      </c>
      <c r="Q3728">
        <v>0</v>
      </c>
      <c r="R3728" t="s">
        <v>47430</v>
      </c>
      <c r="S3728" t="s">
        <v>47549</v>
      </c>
      <c r="T3728" t="s">
        <v>49304</v>
      </c>
      <c r="U3728" t="s">
        <v>52840</v>
      </c>
      <c r="W3728" t="s">
        <v>43422</v>
      </c>
      <c r="X3728" t="s">
        <v>47438</v>
      </c>
    </row>
    <row r="3729" spans="1:24">
      <c r="A3729">
        <f>HYPERLINK("https://www.philgeps.gov.ph/GEPSNONPILOT/Tender/SplashBidNoticeAbstractUI.aspx?menuIndex=3&amp;refID=7146174&amp;Result=3","7146174")</f>
        <v>0</v>
      </c>
      <c r="B3729" t="s">
        <v>1549</v>
      </c>
      <c r="C3729" t="s">
        <v>7449</v>
      </c>
      <c r="D3729" t="s">
        <v>19050</v>
      </c>
      <c r="E3729" t="s">
        <v>22445</v>
      </c>
      <c r="F3729" t="s">
        <v>32831</v>
      </c>
      <c r="G3729" t="s">
        <v>32842</v>
      </c>
      <c r="H3729" t="s">
        <v>32848</v>
      </c>
      <c r="I3729" t="s">
        <v>9577</v>
      </c>
      <c r="J3729" t="s">
        <v>35428</v>
      </c>
      <c r="K3729" t="s">
        <v>42758</v>
      </c>
      <c r="M3729" t="s">
        <v>44655</v>
      </c>
      <c r="N3729" t="s">
        <v>47424</v>
      </c>
      <c r="O3729" t="s">
        <v>47425</v>
      </c>
      <c r="P3729">
        <v>0</v>
      </c>
      <c r="Q3729">
        <v>1</v>
      </c>
      <c r="R3729" t="s">
        <v>47430</v>
      </c>
      <c r="S3729" t="s">
        <v>47549</v>
      </c>
      <c r="T3729" t="s">
        <v>49166</v>
      </c>
      <c r="U3729" t="s">
        <v>52841</v>
      </c>
      <c r="W3729" t="s">
        <v>44655</v>
      </c>
      <c r="X3729" t="s">
        <v>47438</v>
      </c>
    </row>
    <row r="3730" spans="1:24">
      <c r="A3730">
        <f>HYPERLINK("https://www.philgeps.gov.ph/GEPSNONPILOT/Tender/SplashBidNoticeAbstractUI.aspx?menuIndex=3&amp;refID=7149450&amp;Result=3","7149450")</f>
        <v>0</v>
      </c>
      <c r="B3730" t="s">
        <v>417</v>
      </c>
      <c r="C3730" t="s">
        <v>7450</v>
      </c>
      <c r="D3730" t="s">
        <v>19043</v>
      </c>
      <c r="E3730" t="s">
        <v>19144</v>
      </c>
      <c r="F3730" t="s">
        <v>32831</v>
      </c>
      <c r="G3730" t="s">
        <v>32839</v>
      </c>
      <c r="H3730" t="s">
        <v>32849</v>
      </c>
      <c r="I3730" t="s">
        <v>7416</v>
      </c>
      <c r="J3730" t="s">
        <v>33385</v>
      </c>
      <c r="K3730" t="s">
        <v>42730</v>
      </c>
      <c r="M3730" t="s">
        <v>43422</v>
      </c>
      <c r="N3730" t="s">
        <v>47424</v>
      </c>
      <c r="O3730" t="s">
        <v>47425</v>
      </c>
      <c r="P3730">
        <v>0</v>
      </c>
      <c r="Q3730">
        <v>1</v>
      </c>
      <c r="R3730" t="s">
        <v>47430</v>
      </c>
      <c r="S3730" t="s">
        <v>47549</v>
      </c>
      <c r="T3730" t="s">
        <v>49304</v>
      </c>
      <c r="U3730" t="s">
        <v>52842</v>
      </c>
      <c r="W3730" t="s">
        <v>43422</v>
      </c>
      <c r="X3730" t="s">
        <v>47434</v>
      </c>
    </row>
    <row r="3731" spans="1:24">
      <c r="A3731">
        <f>HYPERLINK("https://www.philgeps.gov.ph/GEPSNONPILOT/Tender/SplashBidNoticeAbstractUI.aspx?menuIndex=3&amp;refID=7147801&amp;Result=3","7147801")</f>
        <v>0</v>
      </c>
      <c r="B3731" t="s">
        <v>1548</v>
      </c>
      <c r="C3731" t="s">
        <v>7451</v>
      </c>
      <c r="D3731" t="s">
        <v>19029</v>
      </c>
      <c r="E3731" t="s">
        <v>22446</v>
      </c>
      <c r="F3731" t="s">
        <v>32831</v>
      </c>
      <c r="G3731" t="s">
        <v>32838</v>
      </c>
      <c r="H3731" t="s">
        <v>32848</v>
      </c>
      <c r="I3731" t="s">
        <v>32894</v>
      </c>
      <c r="J3731" t="s">
        <v>35429</v>
      </c>
      <c r="K3731" t="s">
        <v>42726</v>
      </c>
      <c r="M3731" t="s">
        <v>44654</v>
      </c>
      <c r="N3731" t="s">
        <v>47424</v>
      </c>
      <c r="O3731" t="s">
        <v>47425</v>
      </c>
      <c r="P3731">
        <v>0</v>
      </c>
      <c r="Q3731">
        <v>3</v>
      </c>
      <c r="R3731" t="s">
        <v>47430</v>
      </c>
      <c r="S3731" t="s">
        <v>47549</v>
      </c>
      <c r="T3731" t="s">
        <v>49166</v>
      </c>
      <c r="U3731" t="s">
        <v>52843</v>
      </c>
      <c r="W3731" t="s">
        <v>44654</v>
      </c>
      <c r="X3731" t="s">
        <v>47438</v>
      </c>
    </row>
    <row r="3732" spans="1:24">
      <c r="A3732">
        <f>HYPERLINK("https://www.philgeps.gov.ph/GEPSNONPILOT/Tender/SplashBidNoticeAbstractUI.aspx?menuIndex=3&amp;refID=7143999&amp;Result=3","7143999")</f>
        <v>0</v>
      </c>
      <c r="B3732" t="s">
        <v>1550</v>
      </c>
      <c r="C3732" t="s">
        <v>7452</v>
      </c>
      <c r="D3732" t="s">
        <v>19034</v>
      </c>
      <c r="E3732" t="s">
        <v>22447</v>
      </c>
      <c r="F3732" t="s">
        <v>32831</v>
      </c>
      <c r="G3732" t="s">
        <v>32838</v>
      </c>
      <c r="H3732" t="s">
        <v>32848</v>
      </c>
      <c r="I3732" t="s">
        <v>32892</v>
      </c>
      <c r="J3732" t="s">
        <v>35430</v>
      </c>
      <c r="K3732" t="s">
        <v>42727</v>
      </c>
      <c r="M3732" t="s">
        <v>44656</v>
      </c>
      <c r="N3732" t="s">
        <v>47424</v>
      </c>
      <c r="O3732" t="s">
        <v>47425</v>
      </c>
      <c r="P3732">
        <v>0</v>
      </c>
      <c r="Q3732">
        <v>0</v>
      </c>
      <c r="R3732" t="s">
        <v>47430</v>
      </c>
      <c r="S3732" t="s">
        <v>47549</v>
      </c>
      <c r="T3732" t="s">
        <v>49123</v>
      </c>
      <c r="U3732" t="s">
        <v>52844</v>
      </c>
      <c r="W3732" t="s">
        <v>44656</v>
      </c>
      <c r="X3732" t="s">
        <v>47439</v>
      </c>
    </row>
    <row r="3733" spans="1:24">
      <c r="A3733">
        <f>HYPERLINK("https://www.philgeps.gov.ph/GEPSNONPILOT/Tender/SplashBidNoticeAbstractUI.aspx?menuIndex=3&amp;refID=7146379&amp;Result=3","7146379")</f>
        <v>0</v>
      </c>
      <c r="B3733" t="s">
        <v>513</v>
      </c>
      <c r="C3733" t="s">
        <v>7453</v>
      </c>
      <c r="D3733" t="s">
        <v>19018</v>
      </c>
      <c r="E3733" t="s">
        <v>22448</v>
      </c>
      <c r="F3733" t="s">
        <v>32831</v>
      </c>
      <c r="G3733" t="s">
        <v>32838</v>
      </c>
      <c r="H3733" t="s">
        <v>32848</v>
      </c>
      <c r="I3733" t="s">
        <v>4776</v>
      </c>
      <c r="J3733" t="s">
        <v>33007</v>
      </c>
      <c r="K3733" t="s">
        <v>42726</v>
      </c>
      <c r="M3733" t="s">
        <v>43518</v>
      </c>
      <c r="N3733" t="s">
        <v>47424</v>
      </c>
      <c r="O3733" t="s">
        <v>47425</v>
      </c>
      <c r="P3733">
        <v>0</v>
      </c>
      <c r="Q3733">
        <v>7</v>
      </c>
      <c r="R3733" t="s">
        <v>47430</v>
      </c>
      <c r="S3733" t="s">
        <v>47549</v>
      </c>
      <c r="T3733" t="s">
        <v>49214</v>
      </c>
      <c r="U3733" t="s">
        <v>52845</v>
      </c>
      <c r="W3733" t="s">
        <v>64441</v>
      </c>
      <c r="X3733" t="s">
        <v>47438</v>
      </c>
    </row>
    <row r="3734" spans="1:24">
      <c r="A3734">
        <f>HYPERLINK("https://www.philgeps.gov.ph/GEPSNONPILOT/Tender/SplashBidNoticeAbstractUI.aspx?menuIndex=3&amp;refID=7149391&amp;Result=3","7149391")</f>
        <v>0</v>
      </c>
      <c r="B3734" t="s">
        <v>417</v>
      </c>
      <c r="C3734" t="s">
        <v>7209</v>
      </c>
      <c r="D3734" t="s">
        <v>19043</v>
      </c>
      <c r="E3734" t="s">
        <v>19144</v>
      </c>
      <c r="F3734" t="s">
        <v>32831</v>
      </c>
      <c r="G3734" t="s">
        <v>32839</v>
      </c>
      <c r="H3734" t="s">
        <v>32849</v>
      </c>
      <c r="I3734" t="s">
        <v>7416</v>
      </c>
      <c r="J3734" t="s">
        <v>35000</v>
      </c>
      <c r="K3734" t="s">
        <v>42730</v>
      </c>
      <c r="M3734" t="s">
        <v>43422</v>
      </c>
      <c r="N3734" t="s">
        <v>47424</v>
      </c>
      <c r="O3734" t="s">
        <v>47425</v>
      </c>
      <c r="P3734">
        <v>0</v>
      </c>
      <c r="Q3734">
        <v>1</v>
      </c>
      <c r="R3734" t="s">
        <v>47430</v>
      </c>
      <c r="S3734" t="s">
        <v>47549</v>
      </c>
      <c r="T3734" t="s">
        <v>49304</v>
      </c>
      <c r="U3734" t="s">
        <v>52846</v>
      </c>
      <c r="W3734" t="s">
        <v>43422</v>
      </c>
      <c r="X3734" t="s">
        <v>47434</v>
      </c>
    </row>
    <row r="3735" spans="1:24">
      <c r="A3735">
        <f>HYPERLINK("https://www.philgeps.gov.ph/GEPSNONPILOT/Tender/SplashBidNoticeAbstractUI.aspx?menuIndex=3&amp;refID=7143604&amp;Result=3","7143604")</f>
        <v>0</v>
      </c>
      <c r="B3735" t="s">
        <v>1551</v>
      </c>
      <c r="C3735" t="s">
        <v>7454</v>
      </c>
      <c r="D3735" t="s">
        <v>19091</v>
      </c>
      <c r="E3735" t="s">
        <v>22449</v>
      </c>
      <c r="F3735" t="s">
        <v>32831</v>
      </c>
      <c r="G3735" t="s">
        <v>32839</v>
      </c>
      <c r="H3735" t="s">
        <v>32849</v>
      </c>
      <c r="I3735" t="s">
        <v>4177</v>
      </c>
      <c r="J3735" t="s">
        <v>33044</v>
      </c>
      <c r="K3735" t="s">
        <v>42735</v>
      </c>
      <c r="M3735" t="s">
        <v>44657</v>
      </c>
      <c r="N3735" t="s">
        <v>47424</v>
      </c>
      <c r="O3735" t="s">
        <v>47425</v>
      </c>
      <c r="P3735">
        <v>0</v>
      </c>
      <c r="Q3735">
        <v>0</v>
      </c>
      <c r="R3735" t="s">
        <v>47430</v>
      </c>
      <c r="S3735" t="s">
        <v>47549</v>
      </c>
      <c r="T3735" t="s">
        <v>49129</v>
      </c>
      <c r="U3735" t="s">
        <v>52847</v>
      </c>
      <c r="W3735" t="s">
        <v>44657</v>
      </c>
      <c r="X3735" t="s">
        <v>47439</v>
      </c>
    </row>
    <row r="3736" spans="1:24">
      <c r="A3736">
        <f>HYPERLINK("https://www.philgeps.gov.ph/GEPSNONPILOT/Tender/SplashBidNoticeAbstractUI.aspx?menuIndex=3&amp;refID=7142535&amp;Result=3","7142535")</f>
        <v>0</v>
      </c>
      <c r="B3736" t="s">
        <v>680</v>
      </c>
      <c r="C3736" t="s">
        <v>7455</v>
      </c>
      <c r="D3736" t="s">
        <v>19018</v>
      </c>
      <c r="E3736" t="s">
        <v>22450</v>
      </c>
      <c r="F3736" t="s">
        <v>32831</v>
      </c>
      <c r="G3736" t="s">
        <v>32838</v>
      </c>
      <c r="H3736" t="s">
        <v>32848</v>
      </c>
      <c r="I3736" t="s">
        <v>32867</v>
      </c>
      <c r="J3736" t="s">
        <v>33930</v>
      </c>
      <c r="K3736" t="s">
        <v>42726</v>
      </c>
      <c r="M3736" t="s">
        <v>44658</v>
      </c>
      <c r="N3736" t="s">
        <v>47424</v>
      </c>
      <c r="O3736" t="s">
        <v>47425</v>
      </c>
      <c r="P3736">
        <v>0</v>
      </c>
      <c r="Q3736">
        <v>1</v>
      </c>
      <c r="R3736" t="s">
        <v>47430</v>
      </c>
      <c r="S3736" t="s">
        <v>47549</v>
      </c>
      <c r="T3736" t="s">
        <v>49214</v>
      </c>
      <c r="U3736" t="s">
        <v>52848</v>
      </c>
      <c r="W3736" t="s">
        <v>44658</v>
      </c>
      <c r="X3736" t="s">
        <v>47439</v>
      </c>
    </row>
    <row r="3737" spans="1:24">
      <c r="A3737">
        <f>HYPERLINK("https://www.philgeps.gov.ph/GEPSNONPILOT/Tender/SplashBidNoticeAbstractUI.aspx?menuIndex=3&amp;refID=7144559&amp;Result=3","7144559")</f>
        <v>0</v>
      </c>
      <c r="B3737" t="s">
        <v>1552</v>
      </c>
      <c r="C3737" t="s">
        <v>7456</v>
      </c>
      <c r="D3737" t="s">
        <v>19074</v>
      </c>
      <c r="E3737" t="s">
        <v>22451</v>
      </c>
      <c r="F3737" t="s">
        <v>32831</v>
      </c>
      <c r="G3737" t="s">
        <v>32839</v>
      </c>
      <c r="H3737" t="s">
        <v>32848</v>
      </c>
      <c r="I3737" t="s">
        <v>32859</v>
      </c>
      <c r="J3737" t="s">
        <v>35431</v>
      </c>
      <c r="K3737" t="s">
        <v>42730</v>
      </c>
      <c r="M3737" t="s">
        <v>44659</v>
      </c>
      <c r="N3737" t="s">
        <v>47424</v>
      </c>
      <c r="O3737" t="s">
        <v>47425</v>
      </c>
      <c r="P3737">
        <v>0</v>
      </c>
      <c r="Q3737">
        <v>6</v>
      </c>
      <c r="R3737" t="s">
        <v>47430</v>
      </c>
      <c r="S3737" t="s">
        <v>47549</v>
      </c>
      <c r="T3737" t="s">
        <v>49179</v>
      </c>
      <c r="U3737" t="s">
        <v>52849</v>
      </c>
      <c r="V3737" t="s">
        <v>63037</v>
      </c>
      <c r="W3737" t="s">
        <v>44659</v>
      </c>
      <c r="X3737" t="s">
        <v>47439</v>
      </c>
    </row>
    <row r="3738" spans="1:24">
      <c r="A3738">
        <f>HYPERLINK("https://www.philgeps.gov.ph/GEPSNONPILOT/Tender/SplashBidNoticeAbstractUI.aspx?menuIndex=3&amp;refID=7141201&amp;Result=3","7141201")</f>
        <v>0</v>
      </c>
      <c r="B3738" t="s">
        <v>1155</v>
      </c>
      <c r="C3738" t="s">
        <v>7457</v>
      </c>
      <c r="D3738" t="s">
        <v>19034</v>
      </c>
      <c r="E3738" t="s">
        <v>22452</v>
      </c>
      <c r="F3738" t="s">
        <v>32831</v>
      </c>
      <c r="G3738" t="s">
        <v>32839</v>
      </c>
      <c r="H3738" t="s">
        <v>32848</v>
      </c>
      <c r="I3738" t="s">
        <v>7416</v>
      </c>
      <c r="J3738" t="s">
        <v>35432</v>
      </c>
      <c r="K3738" t="s">
        <v>42730</v>
      </c>
      <c r="M3738" t="s">
        <v>44220</v>
      </c>
      <c r="N3738" t="s">
        <v>47424</v>
      </c>
      <c r="O3738" t="s">
        <v>47425</v>
      </c>
      <c r="P3738">
        <v>0</v>
      </c>
      <c r="Q3738">
        <v>0</v>
      </c>
      <c r="R3738" t="s">
        <v>47430</v>
      </c>
      <c r="S3738" t="s">
        <v>47549</v>
      </c>
      <c r="T3738" t="s">
        <v>49295</v>
      </c>
      <c r="U3738" t="s">
        <v>52850</v>
      </c>
      <c r="W3738" t="s">
        <v>44220</v>
      </c>
      <c r="X3738" t="s">
        <v>47440</v>
      </c>
    </row>
    <row r="3739" spans="1:24">
      <c r="A3739">
        <f>HYPERLINK("https://www.philgeps.gov.ph/GEPSNONPILOT/Tender/SplashBidNoticeAbstractUI.aspx?menuIndex=3&amp;refID=7111731&amp;Result=3","7111731")</f>
        <v>0</v>
      </c>
      <c r="B3739" t="s">
        <v>1543</v>
      </c>
      <c r="C3739" t="s">
        <v>7458</v>
      </c>
      <c r="D3739" t="s">
        <v>19104</v>
      </c>
      <c r="E3739" t="s">
        <v>22453</v>
      </c>
      <c r="F3739" t="s">
        <v>32831</v>
      </c>
      <c r="G3739" t="s">
        <v>32839</v>
      </c>
      <c r="H3739" t="s">
        <v>32849</v>
      </c>
      <c r="I3739" t="s">
        <v>4177</v>
      </c>
      <c r="J3739" t="s">
        <v>33257</v>
      </c>
      <c r="K3739" t="s">
        <v>42730</v>
      </c>
      <c r="M3739" t="s">
        <v>44647</v>
      </c>
      <c r="N3739" t="s">
        <v>47424</v>
      </c>
      <c r="O3739" t="s">
        <v>47425</v>
      </c>
      <c r="P3739">
        <v>0</v>
      </c>
      <c r="Q3739">
        <v>0</v>
      </c>
      <c r="R3739" t="s">
        <v>47430</v>
      </c>
      <c r="S3739" t="s">
        <v>47549</v>
      </c>
      <c r="T3739" t="s">
        <v>49301</v>
      </c>
      <c r="U3739" t="s">
        <v>52851</v>
      </c>
      <c r="V3739" t="s">
        <v>63038</v>
      </c>
      <c r="W3739" t="s">
        <v>44647</v>
      </c>
      <c r="X3739" t="s">
        <v>47453</v>
      </c>
    </row>
    <row r="3740" spans="1:24">
      <c r="A3740">
        <f>HYPERLINK("https://www.philgeps.gov.ph/GEPSNONPILOT/Tender/SplashBidNoticeAbstractUI.aspx?menuIndex=3&amp;refID=7111188&amp;Result=3","7111188")</f>
        <v>0</v>
      </c>
      <c r="B3740" t="s">
        <v>1553</v>
      </c>
      <c r="C3740" t="s">
        <v>7459</v>
      </c>
      <c r="D3740" t="s">
        <v>19027</v>
      </c>
      <c r="E3740" t="s">
        <v>21296</v>
      </c>
      <c r="F3740" t="s">
        <v>32831</v>
      </c>
      <c r="G3740" t="s">
        <v>32839</v>
      </c>
      <c r="H3740" t="s">
        <v>32848</v>
      </c>
      <c r="I3740" t="s">
        <v>32860</v>
      </c>
      <c r="J3740" t="s">
        <v>35433</v>
      </c>
      <c r="K3740" t="s">
        <v>42732</v>
      </c>
      <c r="M3740" t="s">
        <v>44660</v>
      </c>
      <c r="N3740" t="s">
        <v>47424</v>
      </c>
      <c r="O3740" t="s">
        <v>47425</v>
      </c>
      <c r="P3740">
        <v>0</v>
      </c>
      <c r="Q3740">
        <v>2</v>
      </c>
      <c r="R3740" t="s">
        <v>47430</v>
      </c>
      <c r="S3740" t="s">
        <v>47549</v>
      </c>
      <c r="T3740" t="s">
        <v>49179</v>
      </c>
      <c r="U3740" t="s">
        <v>52852</v>
      </c>
      <c r="W3740" t="s">
        <v>44660</v>
      </c>
      <c r="X3740" t="s">
        <v>47453</v>
      </c>
    </row>
    <row r="3741" spans="1:24">
      <c r="A3741">
        <f>HYPERLINK("https://www.philgeps.gov.ph/GEPSNONPILOT/Tender/SplashBidNoticeAbstractUI.aspx?menuIndex=3&amp;refID=7093803&amp;Result=3","7093803")</f>
        <v>0</v>
      </c>
      <c r="B3741" t="s">
        <v>1554</v>
      </c>
      <c r="C3741" t="s">
        <v>7460</v>
      </c>
      <c r="D3741" t="s">
        <v>19018</v>
      </c>
      <c r="E3741" t="s">
        <v>19569</v>
      </c>
      <c r="F3741" t="s">
        <v>32831</v>
      </c>
      <c r="G3741" t="s">
        <v>32840</v>
      </c>
      <c r="H3741" t="s">
        <v>32848</v>
      </c>
      <c r="I3741" t="s">
        <v>32858</v>
      </c>
      <c r="J3741" t="s">
        <v>35434</v>
      </c>
      <c r="K3741" t="s">
        <v>42731</v>
      </c>
      <c r="M3741" t="s">
        <v>44661</v>
      </c>
      <c r="N3741" t="s">
        <v>47424</v>
      </c>
      <c r="O3741" t="s">
        <v>47425</v>
      </c>
      <c r="P3741">
        <v>0</v>
      </c>
      <c r="Q3741">
        <v>0</v>
      </c>
      <c r="R3741" t="s">
        <v>47430</v>
      </c>
      <c r="S3741" t="s">
        <v>47549</v>
      </c>
      <c r="T3741" t="s">
        <v>49070</v>
      </c>
      <c r="U3741" t="s">
        <v>52853</v>
      </c>
      <c r="W3741" t="s">
        <v>44661</v>
      </c>
      <c r="X3741" t="s">
        <v>47460</v>
      </c>
    </row>
    <row r="3742" spans="1:24">
      <c r="A3742">
        <f>HYPERLINK("https://www.philgeps.gov.ph/GEPSNONPILOT/Tender/SplashBidNoticeAbstractUI.aspx?menuIndex=3&amp;refID=7164262&amp;Result=3","7164262")</f>
        <v>0</v>
      </c>
      <c r="B3742" t="s">
        <v>598</v>
      </c>
      <c r="C3742" t="s">
        <v>7461</v>
      </c>
      <c r="E3742" t="s">
        <v>22454</v>
      </c>
      <c r="F3742" t="s">
        <v>32831</v>
      </c>
      <c r="G3742" t="s">
        <v>32838</v>
      </c>
      <c r="H3742" t="s">
        <v>32848</v>
      </c>
      <c r="I3742" t="s">
        <v>32874</v>
      </c>
      <c r="J3742" t="s">
        <v>35435</v>
      </c>
      <c r="K3742" t="s">
        <v>42732</v>
      </c>
      <c r="M3742" t="s">
        <v>43612</v>
      </c>
      <c r="N3742" t="s">
        <v>47424</v>
      </c>
      <c r="O3742" t="s">
        <v>47425</v>
      </c>
      <c r="P3742">
        <v>0</v>
      </c>
      <c r="Q3742">
        <v>25</v>
      </c>
      <c r="R3742" t="s">
        <v>47428</v>
      </c>
      <c r="S3742" t="s">
        <v>47541</v>
      </c>
      <c r="T3742" t="s">
        <v>49056</v>
      </c>
      <c r="U3742" t="s">
        <v>52854</v>
      </c>
      <c r="W3742" t="s">
        <v>43612</v>
      </c>
      <c r="X3742" t="s">
        <v>47430</v>
      </c>
    </row>
    <row r="3743" spans="1:24">
      <c r="A3743">
        <f>HYPERLINK("https://www.philgeps.gov.ph/GEPSNONPILOT/Tender/SplashBidNoticeAbstractUI.aspx?menuIndex=3&amp;refID=6985683&amp;Result=3","6985683")</f>
        <v>0</v>
      </c>
      <c r="B3743" t="s">
        <v>460</v>
      </c>
      <c r="C3743" t="s">
        <v>7462</v>
      </c>
      <c r="D3743" t="s">
        <v>19086</v>
      </c>
      <c r="E3743" t="s">
        <v>22455</v>
      </c>
      <c r="F3743" t="s">
        <v>32831</v>
      </c>
      <c r="G3743" t="s">
        <v>32839</v>
      </c>
      <c r="H3743" t="s">
        <v>32848</v>
      </c>
      <c r="I3743" t="s">
        <v>32857</v>
      </c>
      <c r="J3743" t="s">
        <v>35436</v>
      </c>
      <c r="K3743" t="s">
        <v>42727</v>
      </c>
      <c r="M3743" t="s">
        <v>43465</v>
      </c>
      <c r="N3743" t="s">
        <v>47424</v>
      </c>
      <c r="O3743" t="s">
        <v>47425</v>
      </c>
      <c r="P3743">
        <v>0</v>
      </c>
      <c r="Q3743">
        <v>12</v>
      </c>
      <c r="R3743" t="s">
        <v>47430</v>
      </c>
      <c r="S3743" t="s">
        <v>47549</v>
      </c>
      <c r="T3743" t="s">
        <v>49267</v>
      </c>
      <c r="U3743" t="s">
        <v>52855</v>
      </c>
      <c r="V3743" t="s">
        <v>62813</v>
      </c>
      <c r="W3743" t="s">
        <v>43465</v>
      </c>
      <c r="X3743" t="s">
        <v>64570</v>
      </c>
    </row>
    <row r="3744" spans="1:24">
      <c r="A3744">
        <f>HYPERLINK("https://www.philgeps.gov.ph/GEPSNONPILOT/Tender/SplashBidNoticeAbstractUI.aspx?menuIndex=3&amp;refID=7164261&amp;Result=3","7164261")</f>
        <v>0</v>
      </c>
      <c r="B3744" t="s">
        <v>1555</v>
      </c>
      <c r="C3744" t="s">
        <v>7463</v>
      </c>
      <c r="D3744" t="s">
        <v>19083</v>
      </c>
      <c r="E3744" t="s">
        <v>22456</v>
      </c>
      <c r="F3744" t="s">
        <v>32831</v>
      </c>
      <c r="G3744" t="s">
        <v>32838</v>
      </c>
      <c r="H3744" t="s">
        <v>32848</v>
      </c>
      <c r="I3744" t="s">
        <v>32867</v>
      </c>
      <c r="J3744" t="s">
        <v>35437</v>
      </c>
      <c r="K3744" t="s">
        <v>42745</v>
      </c>
      <c r="M3744" t="s">
        <v>44662</v>
      </c>
      <c r="N3744" t="s">
        <v>47424</v>
      </c>
      <c r="O3744" t="s">
        <v>47425</v>
      </c>
      <c r="P3744">
        <v>0</v>
      </c>
      <c r="Q3744">
        <v>1</v>
      </c>
      <c r="R3744" t="s">
        <v>47428</v>
      </c>
      <c r="S3744" t="s">
        <v>47541</v>
      </c>
      <c r="T3744" t="s">
        <v>49111</v>
      </c>
      <c r="U3744" t="s">
        <v>52856</v>
      </c>
      <c r="V3744" t="s">
        <v>63039</v>
      </c>
      <c r="W3744" t="s">
        <v>44662</v>
      </c>
      <c r="X3744" t="s">
        <v>47430</v>
      </c>
    </row>
    <row r="3745" spans="1:24">
      <c r="A3745">
        <f>HYPERLINK("https://www.philgeps.gov.ph/GEPSNONPILOT/Tender/SplashBidNoticeAbstractUI.aspx?menuIndex=3&amp;refID=7164259&amp;Result=3","7164259")</f>
        <v>0</v>
      </c>
      <c r="B3745" t="s">
        <v>1132</v>
      </c>
      <c r="C3745" t="s">
        <v>7464</v>
      </c>
      <c r="D3745" t="s">
        <v>19047</v>
      </c>
      <c r="E3745" t="s">
        <v>20764</v>
      </c>
      <c r="F3745" t="s">
        <v>32831</v>
      </c>
      <c r="G3745" t="s">
        <v>32838</v>
      </c>
      <c r="H3745" t="s">
        <v>32848</v>
      </c>
      <c r="I3745" t="s">
        <v>4438</v>
      </c>
      <c r="J3745" t="s">
        <v>35438</v>
      </c>
      <c r="K3745" t="s">
        <v>42731</v>
      </c>
      <c r="M3745" t="s">
        <v>44193</v>
      </c>
      <c r="N3745" t="s">
        <v>47424</v>
      </c>
      <c r="O3745" t="s">
        <v>47425</v>
      </c>
      <c r="P3745">
        <v>0</v>
      </c>
      <c r="Q3745">
        <v>0</v>
      </c>
      <c r="R3745" t="s">
        <v>47428</v>
      </c>
      <c r="S3745" t="s">
        <v>47541</v>
      </c>
      <c r="T3745" t="s">
        <v>49235</v>
      </c>
      <c r="U3745" t="s">
        <v>52857</v>
      </c>
      <c r="W3745" t="s">
        <v>64458</v>
      </c>
      <c r="X3745" t="s">
        <v>47430</v>
      </c>
    </row>
    <row r="3746" spans="1:24">
      <c r="A3746">
        <f>HYPERLINK("https://www.philgeps.gov.ph/GEPSNONPILOT/Tender/SplashBidNoticeAbstractUI.aspx?menuIndex=3&amp;refID=7146003&amp;Result=3","7146003")</f>
        <v>0</v>
      </c>
      <c r="B3746" t="s">
        <v>1556</v>
      </c>
      <c r="C3746" t="s">
        <v>4832</v>
      </c>
      <c r="D3746" t="s">
        <v>19023</v>
      </c>
      <c r="E3746" t="s">
        <v>20152</v>
      </c>
      <c r="F3746" t="s">
        <v>32831</v>
      </c>
      <c r="G3746" t="s">
        <v>32839</v>
      </c>
      <c r="H3746" t="s">
        <v>32848</v>
      </c>
      <c r="I3746" t="s">
        <v>4222</v>
      </c>
      <c r="J3746" t="s">
        <v>33812</v>
      </c>
      <c r="K3746" t="s">
        <v>42758</v>
      </c>
      <c r="M3746" t="s">
        <v>44663</v>
      </c>
      <c r="N3746" t="s">
        <v>47424</v>
      </c>
      <c r="O3746" t="s">
        <v>47425</v>
      </c>
      <c r="P3746">
        <v>0</v>
      </c>
      <c r="Q3746">
        <v>0</v>
      </c>
      <c r="R3746" t="s">
        <v>47430</v>
      </c>
      <c r="S3746" t="s">
        <v>47549</v>
      </c>
      <c r="T3746" t="s">
        <v>49119</v>
      </c>
      <c r="U3746" t="s">
        <v>52858</v>
      </c>
      <c r="W3746" t="s">
        <v>64475</v>
      </c>
      <c r="X3746" t="s">
        <v>47438</v>
      </c>
    </row>
    <row r="3747" spans="1:24">
      <c r="A3747">
        <f>HYPERLINK("https://www.philgeps.gov.ph/GEPSNONPILOT/Tender/SplashBidNoticeAbstractUI.aspx?menuIndex=3&amp;refID=7164240&amp;Result=3","7164240")</f>
        <v>0</v>
      </c>
      <c r="B3747" t="s">
        <v>600</v>
      </c>
      <c r="C3747" t="s">
        <v>7465</v>
      </c>
      <c r="E3747" t="s">
        <v>22457</v>
      </c>
      <c r="F3747" t="s">
        <v>32831</v>
      </c>
      <c r="G3747" t="s">
        <v>32838</v>
      </c>
      <c r="H3747" t="s">
        <v>32848</v>
      </c>
      <c r="I3747" t="s">
        <v>4487</v>
      </c>
      <c r="J3747" t="s">
        <v>35439</v>
      </c>
      <c r="K3747" t="s">
        <v>42732</v>
      </c>
      <c r="M3747" t="s">
        <v>43614</v>
      </c>
      <c r="N3747" t="s">
        <v>47424</v>
      </c>
      <c r="O3747" t="s">
        <v>47425</v>
      </c>
      <c r="P3747">
        <v>0</v>
      </c>
      <c r="Q3747">
        <v>7</v>
      </c>
      <c r="R3747" t="s">
        <v>47428</v>
      </c>
      <c r="S3747" t="s">
        <v>47541</v>
      </c>
      <c r="T3747" t="s">
        <v>49237</v>
      </c>
      <c r="U3747" t="s">
        <v>52859</v>
      </c>
      <c r="W3747" t="s">
        <v>43614</v>
      </c>
      <c r="X3747" t="s">
        <v>47430</v>
      </c>
    </row>
    <row r="3748" spans="1:24">
      <c r="A3748">
        <f>HYPERLINK("https://www.philgeps.gov.ph/GEPSNONPILOT/Tender/SplashBidNoticeAbstractUI.aspx?menuIndex=3&amp;refID=7108814&amp;Result=3","7108814")</f>
        <v>0</v>
      </c>
      <c r="B3748" t="s">
        <v>1557</v>
      </c>
      <c r="C3748" t="s">
        <v>7466</v>
      </c>
      <c r="D3748" t="s">
        <v>19048</v>
      </c>
      <c r="E3748" t="s">
        <v>19920</v>
      </c>
      <c r="F3748" t="s">
        <v>32831</v>
      </c>
      <c r="G3748" t="s">
        <v>32839</v>
      </c>
      <c r="H3748" t="s">
        <v>32848</v>
      </c>
      <c r="I3748" t="s">
        <v>7416</v>
      </c>
      <c r="J3748" t="s">
        <v>35440</v>
      </c>
      <c r="K3748" t="s">
        <v>42730</v>
      </c>
      <c r="M3748" t="s">
        <v>44664</v>
      </c>
      <c r="N3748" t="s">
        <v>47424</v>
      </c>
      <c r="O3748" t="s">
        <v>47425</v>
      </c>
      <c r="P3748">
        <v>0</v>
      </c>
      <c r="Q3748">
        <v>1</v>
      </c>
      <c r="R3748" t="s">
        <v>47430</v>
      </c>
      <c r="S3748" t="s">
        <v>47549</v>
      </c>
      <c r="T3748" t="s">
        <v>49181</v>
      </c>
      <c r="U3748" t="s">
        <v>52860</v>
      </c>
      <c r="W3748" t="s">
        <v>64476</v>
      </c>
      <c r="X3748" t="s">
        <v>47454</v>
      </c>
    </row>
    <row r="3749" spans="1:24">
      <c r="A3749">
        <f>HYPERLINK("https://www.philgeps.gov.ph/GEPSNONPILOT/Tender/SplashBidNoticeAbstractUI.aspx?menuIndex=3&amp;refID=7164229&amp;Result=3","7164229")</f>
        <v>0</v>
      </c>
      <c r="B3749" t="s">
        <v>1535</v>
      </c>
      <c r="C3749" t="s">
        <v>7467</v>
      </c>
      <c r="E3749" t="s">
        <v>22458</v>
      </c>
      <c r="F3749" t="s">
        <v>32831</v>
      </c>
      <c r="G3749" t="s">
        <v>32840</v>
      </c>
      <c r="H3749" t="s">
        <v>32848</v>
      </c>
      <c r="I3749" t="s">
        <v>7416</v>
      </c>
      <c r="J3749" t="s">
        <v>33087</v>
      </c>
      <c r="K3749" t="s">
        <v>42732</v>
      </c>
      <c r="M3749" t="s">
        <v>44639</v>
      </c>
      <c r="N3749" t="s">
        <v>47424</v>
      </c>
      <c r="O3749" t="s">
        <v>47425</v>
      </c>
      <c r="P3749">
        <v>0</v>
      </c>
      <c r="Q3749">
        <v>3</v>
      </c>
      <c r="R3749" t="s">
        <v>47428</v>
      </c>
      <c r="S3749" t="s">
        <v>47541</v>
      </c>
      <c r="T3749" t="s">
        <v>49107</v>
      </c>
      <c r="U3749" t="s">
        <v>52799</v>
      </c>
      <c r="W3749" t="s">
        <v>64474</v>
      </c>
      <c r="X3749" t="s">
        <v>47430</v>
      </c>
    </row>
    <row r="3750" spans="1:24">
      <c r="A3750">
        <f>HYPERLINK("https://www.philgeps.gov.ph/GEPSNONPILOT/Tender/SplashBidNoticeAbstractUI.aspx?menuIndex=3&amp;refID=7164211&amp;Result=3","7164211")</f>
        <v>0</v>
      </c>
      <c r="B3750" t="s">
        <v>527</v>
      </c>
      <c r="C3750" t="s">
        <v>7468</v>
      </c>
      <c r="E3750" t="s">
        <v>22459</v>
      </c>
      <c r="F3750" t="s">
        <v>32831</v>
      </c>
      <c r="G3750" t="s">
        <v>32839</v>
      </c>
      <c r="H3750" t="s">
        <v>32848</v>
      </c>
      <c r="I3750" t="s">
        <v>9577</v>
      </c>
      <c r="J3750" t="s">
        <v>35441</v>
      </c>
      <c r="K3750" t="s">
        <v>42732</v>
      </c>
      <c r="M3750" t="s">
        <v>44665</v>
      </c>
      <c r="N3750" t="s">
        <v>47424</v>
      </c>
      <c r="O3750" t="s">
        <v>47425</v>
      </c>
      <c r="P3750">
        <v>0</v>
      </c>
      <c r="Q3750">
        <v>1</v>
      </c>
      <c r="R3750" t="s">
        <v>47428</v>
      </c>
      <c r="S3750" t="s">
        <v>47541</v>
      </c>
      <c r="T3750" t="s">
        <v>49356</v>
      </c>
      <c r="U3750" t="s">
        <v>50084</v>
      </c>
      <c r="W3750" t="s">
        <v>44665</v>
      </c>
      <c r="X3750" t="s">
        <v>47430</v>
      </c>
    </row>
    <row r="3751" spans="1:24">
      <c r="A3751">
        <f>HYPERLINK("https://www.philgeps.gov.ph/GEPSNONPILOT/Tender/SplashBidNoticeAbstractUI.aspx?menuIndex=3&amp;refID=7164208&amp;Result=3","7164208")</f>
        <v>0</v>
      </c>
      <c r="B3751" t="s">
        <v>1531</v>
      </c>
      <c r="C3751" t="s">
        <v>7469</v>
      </c>
      <c r="D3751" t="s">
        <v>19017</v>
      </c>
      <c r="E3751" t="s">
        <v>22460</v>
      </c>
      <c r="F3751" t="s">
        <v>32831</v>
      </c>
      <c r="G3751" t="s">
        <v>32839</v>
      </c>
      <c r="H3751" t="s">
        <v>32848</v>
      </c>
      <c r="I3751" t="s">
        <v>4487</v>
      </c>
      <c r="J3751" t="s">
        <v>35442</v>
      </c>
      <c r="K3751" t="s">
        <v>42729</v>
      </c>
      <c r="M3751" t="s">
        <v>44634</v>
      </c>
      <c r="N3751" t="s">
        <v>47424</v>
      </c>
      <c r="O3751" t="s">
        <v>47425</v>
      </c>
      <c r="P3751">
        <v>0</v>
      </c>
      <c r="Q3751">
        <v>15</v>
      </c>
      <c r="R3751" t="s">
        <v>47428</v>
      </c>
      <c r="S3751" t="s">
        <v>47541</v>
      </c>
      <c r="T3751" t="s">
        <v>49357</v>
      </c>
      <c r="U3751" t="s">
        <v>52785</v>
      </c>
      <c r="W3751" t="s">
        <v>44634</v>
      </c>
      <c r="X3751" t="s">
        <v>47430</v>
      </c>
    </row>
    <row r="3752" spans="1:24">
      <c r="A3752">
        <f>HYPERLINK("https://www.philgeps.gov.ph/GEPSNONPILOT/Tender/SplashBidNoticeAbstractUI.aspx?menuIndex=3&amp;refID=7164207&amp;Result=3","7164207")</f>
        <v>0</v>
      </c>
      <c r="B3752" t="s">
        <v>1558</v>
      </c>
      <c r="C3752" t="s">
        <v>7470</v>
      </c>
      <c r="D3752" t="s">
        <v>19022</v>
      </c>
      <c r="E3752" t="s">
        <v>22461</v>
      </c>
      <c r="F3752" t="s">
        <v>32831</v>
      </c>
      <c r="G3752" t="s">
        <v>32838</v>
      </c>
      <c r="H3752" t="s">
        <v>32850</v>
      </c>
      <c r="I3752" t="s">
        <v>4446</v>
      </c>
      <c r="J3752" t="s">
        <v>35443</v>
      </c>
      <c r="K3752" t="s">
        <v>42748</v>
      </c>
      <c r="M3752" t="s">
        <v>44666</v>
      </c>
      <c r="N3752" t="s">
        <v>47424</v>
      </c>
      <c r="O3752" t="s">
        <v>47425</v>
      </c>
      <c r="P3752">
        <v>0</v>
      </c>
      <c r="Q3752">
        <v>2</v>
      </c>
      <c r="R3752" t="s">
        <v>47428</v>
      </c>
      <c r="S3752" t="s">
        <v>47541</v>
      </c>
      <c r="T3752" t="s">
        <v>49114</v>
      </c>
      <c r="U3752" t="s">
        <v>52861</v>
      </c>
      <c r="W3752" t="s">
        <v>44666</v>
      </c>
      <c r="X3752" t="s">
        <v>47430</v>
      </c>
    </row>
    <row r="3753" spans="1:24">
      <c r="A3753">
        <f>HYPERLINK("https://www.philgeps.gov.ph/GEPSNONPILOT/Tender/SplashBidNoticeAbstractUI.aspx?menuIndex=3&amp;refID=7164205&amp;Result=3","7164205")</f>
        <v>0</v>
      </c>
      <c r="B3753" t="s">
        <v>575</v>
      </c>
      <c r="C3753" t="s">
        <v>7396</v>
      </c>
      <c r="D3753" t="s">
        <v>19041</v>
      </c>
      <c r="E3753" t="s">
        <v>22462</v>
      </c>
      <c r="F3753" t="s">
        <v>32831</v>
      </c>
      <c r="G3753" t="s">
        <v>32838</v>
      </c>
      <c r="H3753" t="s">
        <v>32848</v>
      </c>
      <c r="I3753" t="s">
        <v>5379</v>
      </c>
      <c r="J3753" t="s">
        <v>33573</v>
      </c>
      <c r="K3753" t="s">
        <v>42749</v>
      </c>
      <c r="M3753" t="s">
        <v>43585</v>
      </c>
      <c r="N3753" t="s">
        <v>47424</v>
      </c>
      <c r="O3753" t="s">
        <v>47425</v>
      </c>
      <c r="P3753">
        <v>0</v>
      </c>
      <c r="Q3753">
        <v>0</v>
      </c>
      <c r="R3753" t="s">
        <v>47428</v>
      </c>
      <c r="S3753" t="s">
        <v>47541</v>
      </c>
      <c r="T3753" t="s">
        <v>49166</v>
      </c>
      <c r="U3753" t="s">
        <v>52862</v>
      </c>
      <c r="W3753" t="s">
        <v>43585</v>
      </c>
      <c r="X3753" t="s">
        <v>47430</v>
      </c>
    </row>
    <row r="3754" spans="1:24">
      <c r="A3754">
        <f>HYPERLINK("https://www.philgeps.gov.ph/GEPSNONPILOT/Tender/SplashBidNoticeAbstractUI.aspx?menuIndex=3&amp;refID=7130307&amp;Result=3","7130307")</f>
        <v>0</v>
      </c>
      <c r="B3754" t="s">
        <v>1559</v>
      </c>
      <c r="C3754" t="s">
        <v>7471</v>
      </c>
      <c r="D3754" t="s">
        <v>19027</v>
      </c>
      <c r="E3754" t="s">
        <v>22463</v>
      </c>
      <c r="F3754" t="s">
        <v>32831</v>
      </c>
      <c r="G3754" t="s">
        <v>32840</v>
      </c>
      <c r="H3754" t="s">
        <v>32848</v>
      </c>
      <c r="I3754" t="s">
        <v>7416</v>
      </c>
      <c r="J3754" t="s">
        <v>35444</v>
      </c>
      <c r="K3754" t="s">
        <v>42727</v>
      </c>
      <c r="M3754" t="s">
        <v>44667</v>
      </c>
      <c r="N3754" t="s">
        <v>47424</v>
      </c>
      <c r="O3754" t="s">
        <v>47425</v>
      </c>
      <c r="P3754">
        <v>0</v>
      </c>
      <c r="Q3754">
        <v>0</v>
      </c>
      <c r="R3754" t="s">
        <v>47430</v>
      </c>
      <c r="S3754" t="s">
        <v>47549</v>
      </c>
      <c r="T3754" t="s">
        <v>49089</v>
      </c>
      <c r="U3754" t="s">
        <v>52863</v>
      </c>
      <c r="W3754" t="s">
        <v>44667</v>
      </c>
      <c r="X3754" t="s">
        <v>47445</v>
      </c>
    </row>
    <row r="3755" spans="1:24">
      <c r="A3755">
        <f>HYPERLINK("https://www.philgeps.gov.ph/GEPSNONPILOT/Tender/SplashBidNoticeAbstractUI.aspx?menuIndex=3&amp;refID=7164239&amp;Result=3","7164239")</f>
        <v>0</v>
      </c>
      <c r="B3755" t="s">
        <v>336</v>
      </c>
      <c r="C3755" t="s">
        <v>7472</v>
      </c>
      <c r="D3755" t="s">
        <v>19077</v>
      </c>
      <c r="E3755" t="s">
        <v>22464</v>
      </c>
      <c r="F3755" t="s">
        <v>32831</v>
      </c>
      <c r="G3755" t="s">
        <v>32838</v>
      </c>
      <c r="H3755" t="s">
        <v>32848</v>
      </c>
      <c r="I3755" t="s">
        <v>5379</v>
      </c>
      <c r="J3755" t="s">
        <v>35445</v>
      </c>
      <c r="K3755" t="s">
        <v>42730</v>
      </c>
      <c r="M3755" t="s">
        <v>43339</v>
      </c>
      <c r="N3755" t="s">
        <v>47424</v>
      </c>
      <c r="O3755" t="s">
        <v>47425</v>
      </c>
      <c r="P3755">
        <v>0</v>
      </c>
      <c r="Q3755">
        <v>0</v>
      </c>
      <c r="R3755" t="s">
        <v>47428</v>
      </c>
      <c r="S3755" t="s">
        <v>47541</v>
      </c>
      <c r="T3755" t="s">
        <v>49214</v>
      </c>
      <c r="U3755" t="s">
        <v>52864</v>
      </c>
      <c r="W3755" t="s">
        <v>43339</v>
      </c>
      <c r="X3755" t="s">
        <v>47430</v>
      </c>
    </row>
    <row r="3756" spans="1:24">
      <c r="A3756">
        <f>HYPERLINK("https://www.philgeps.gov.ph/GEPSNONPILOT/Tender/SplashBidNoticeAbstractUI.aspx?menuIndex=3&amp;refID=7164204&amp;Result=3","7164204")</f>
        <v>0</v>
      </c>
      <c r="B3756" t="s">
        <v>1558</v>
      </c>
      <c r="C3756" t="s">
        <v>7473</v>
      </c>
      <c r="D3756" t="s">
        <v>19022</v>
      </c>
      <c r="E3756" t="s">
        <v>22465</v>
      </c>
      <c r="F3756" t="s">
        <v>32831</v>
      </c>
      <c r="G3756" t="s">
        <v>32838</v>
      </c>
      <c r="H3756" t="s">
        <v>32850</v>
      </c>
      <c r="I3756" t="s">
        <v>4446</v>
      </c>
      <c r="J3756" t="s">
        <v>35446</v>
      </c>
      <c r="K3756" t="s">
        <v>42748</v>
      </c>
      <c r="M3756" t="s">
        <v>44666</v>
      </c>
      <c r="N3756" t="s">
        <v>47424</v>
      </c>
      <c r="O3756" t="s">
        <v>47425</v>
      </c>
      <c r="P3756">
        <v>0</v>
      </c>
      <c r="Q3756">
        <v>3</v>
      </c>
      <c r="R3756" t="s">
        <v>47428</v>
      </c>
      <c r="S3756" t="s">
        <v>47541</v>
      </c>
      <c r="T3756" t="s">
        <v>49114</v>
      </c>
      <c r="U3756" t="s">
        <v>52865</v>
      </c>
      <c r="W3756" t="s">
        <v>44666</v>
      </c>
      <c r="X3756" t="s">
        <v>47430</v>
      </c>
    </row>
    <row r="3757" spans="1:24">
      <c r="A3757">
        <f>HYPERLINK("https://www.philgeps.gov.ph/GEPSNONPILOT/Tender/SplashBidNoticeAbstractUI.aspx?menuIndex=3&amp;refID=7164231&amp;Result=3","7164231")</f>
        <v>0</v>
      </c>
      <c r="B3757" t="s">
        <v>338</v>
      </c>
      <c r="C3757" t="s">
        <v>7474</v>
      </c>
      <c r="D3757" t="s">
        <v>19019</v>
      </c>
      <c r="E3757" t="s">
        <v>22466</v>
      </c>
      <c r="F3757" t="s">
        <v>32831</v>
      </c>
      <c r="G3757" t="s">
        <v>32840</v>
      </c>
      <c r="H3757" t="s">
        <v>32848</v>
      </c>
      <c r="I3757" t="s">
        <v>4776</v>
      </c>
      <c r="J3757" t="s">
        <v>35447</v>
      </c>
      <c r="K3757" t="s">
        <v>42726</v>
      </c>
      <c r="M3757" t="s">
        <v>44626</v>
      </c>
      <c r="N3757" t="s">
        <v>47424</v>
      </c>
      <c r="O3757" t="s">
        <v>47425</v>
      </c>
      <c r="P3757">
        <v>0</v>
      </c>
      <c r="Q3757">
        <v>1</v>
      </c>
      <c r="R3757" t="s">
        <v>47428</v>
      </c>
      <c r="S3757" t="s">
        <v>47541</v>
      </c>
      <c r="T3757" t="s">
        <v>49230</v>
      </c>
      <c r="U3757" t="s">
        <v>52866</v>
      </c>
      <c r="W3757" t="s">
        <v>44626</v>
      </c>
      <c r="X3757" t="s">
        <v>47430</v>
      </c>
    </row>
    <row r="3758" spans="1:24">
      <c r="A3758">
        <f>HYPERLINK("https://www.philgeps.gov.ph/GEPSNONPILOT/Tender/SplashBidNoticeAbstractUI.aspx?menuIndex=3&amp;refID=7164202&amp;Result=3","7164202")</f>
        <v>0</v>
      </c>
      <c r="B3758" t="s">
        <v>1560</v>
      </c>
      <c r="C3758" t="s">
        <v>7475</v>
      </c>
      <c r="D3758" t="s">
        <v>19028</v>
      </c>
      <c r="E3758" t="s">
        <v>22467</v>
      </c>
      <c r="F3758" t="s">
        <v>32831</v>
      </c>
      <c r="G3758" t="s">
        <v>32838</v>
      </c>
      <c r="H3758" t="s">
        <v>32848</v>
      </c>
      <c r="I3758" t="s">
        <v>7878</v>
      </c>
      <c r="J3758" t="s">
        <v>35448</v>
      </c>
      <c r="K3758" t="s">
        <v>42760</v>
      </c>
      <c r="M3758" t="s">
        <v>44668</v>
      </c>
      <c r="N3758" t="s">
        <v>47424</v>
      </c>
      <c r="O3758" t="s">
        <v>47425</v>
      </c>
      <c r="P3758">
        <v>0</v>
      </c>
      <c r="Q3758">
        <v>0</v>
      </c>
      <c r="R3758" t="s">
        <v>47428</v>
      </c>
      <c r="S3758" t="s">
        <v>47541</v>
      </c>
      <c r="T3758" t="s">
        <v>49235</v>
      </c>
      <c r="U3758" t="s">
        <v>52867</v>
      </c>
      <c r="W3758" t="s">
        <v>44668</v>
      </c>
      <c r="X3758" t="s">
        <v>47430</v>
      </c>
    </row>
    <row r="3759" spans="1:24">
      <c r="A3759">
        <f>HYPERLINK("https://www.philgeps.gov.ph/GEPSNONPILOT/Tender/SplashBidNoticeAbstractUI.aspx?menuIndex=3&amp;refID=7164179&amp;Result=3","7164179")</f>
        <v>0</v>
      </c>
      <c r="B3759" t="s">
        <v>1520</v>
      </c>
      <c r="C3759" t="s">
        <v>7476</v>
      </c>
      <c r="D3759" t="s">
        <v>19027</v>
      </c>
      <c r="E3759" t="s">
        <v>22468</v>
      </c>
      <c r="F3759" t="s">
        <v>32831</v>
      </c>
      <c r="G3759" t="s">
        <v>32839</v>
      </c>
      <c r="H3759" t="s">
        <v>32848</v>
      </c>
      <c r="I3759" t="s">
        <v>32883</v>
      </c>
      <c r="J3759" t="s">
        <v>33385</v>
      </c>
      <c r="K3759" t="s">
        <v>42759</v>
      </c>
      <c r="M3759" t="s">
        <v>44621</v>
      </c>
      <c r="N3759" t="s">
        <v>47424</v>
      </c>
      <c r="O3759" t="s">
        <v>47425</v>
      </c>
      <c r="P3759">
        <v>0</v>
      </c>
      <c r="Q3759">
        <v>0</v>
      </c>
      <c r="R3759" t="s">
        <v>47428</v>
      </c>
      <c r="S3759" t="s">
        <v>47541</v>
      </c>
      <c r="T3759" t="s">
        <v>49112</v>
      </c>
      <c r="U3759" t="s">
        <v>52868</v>
      </c>
      <c r="W3759" t="s">
        <v>44621</v>
      </c>
      <c r="X3759" t="s">
        <v>47430</v>
      </c>
    </row>
    <row r="3760" spans="1:24">
      <c r="A3760">
        <f>HYPERLINK("https://www.philgeps.gov.ph/GEPSNONPILOT/Tender/SplashBidNoticeAbstractUI.aspx?menuIndex=3&amp;refID=7164177&amp;Result=3","7164177")</f>
        <v>0</v>
      </c>
      <c r="B3760" t="s">
        <v>1524</v>
      </c>
      <c r="C3760" t="s">
        <v>7477</v>
      </c>
      <c r="D3760" t="s">
        <v>19017</v>
      </c>
      <c r="E3760" t="s">
        <v>22469</v>
      </c>
      <c r="F3760" t="s">
        <v>32831</v>
      </c>
      <c r="G3760" t="s">
        <v>32838</v>
      </c>
      <c r="H3760" t="s">
        <v>32848</v>
      </c>
      <c r="I3760" t="s">
        <v>4303</v>
      </c>
      <c r="J3760" t="s">
        <v>34770</v>
      </c>
      <c r="K3760" t="s">
        <v>42726</v>
      </c>
      <c r="M3760" t="s">
        <v>44627</v>
      </c>
      <c r="N3760" t="s">
        <v>47424</v>
      </c>
      <c r="O3760" t="s">
        <v>47425</v>
      </c>
      <c r="P3760">
        <v>0</v>
      </c>
      <c r="Q3760">
        <v>1</v>
      </c>
      <c r="R3760" t="s">
        <v>47428</v>
      </c>
      <c r="S3760" t="s">
        <v>47541</v>
      </c>
      <c r="T3760" t="s">
        <v>49115</v>
      </c>
      <c r="U3760" t="s">
        <v>52869</v>
      </c>
      <c r="W3760" t="s">
        <v>44627</v>
      </c>
      <c r="X3760" t="s">
        <v>47430</v>
      </c>
    </row>
    <row r="3761" spans="1:24">
      <c r="A3761">
        <f>HYPERLINK("https://www.philgeps.gov.ph/GEPSNONPILOT/Tender/SplashBidNoticeAbstractUI.aspx?menuIndex=3&amp;refID=7164175&amp;Result=3","7164175")</f>
        <v>0</v>
      </c>
      <c r="B3761" t="s">
        <v>851</v>
      </c>
      <c r="C3761" t="s">
        <v>7478</v>
      </c>
      <c r="D3761" t="s">
        <v>19017</v>
      </c>
      <c r="E3761" t="s">
        <v>22470</v>
      </c>
      <c r="F3761" t="s">
        <v>32831</v>
      </c>
      <c r="G3761" t="s">
        <v>32842</v>
      </c>
      <c r="H3761" t="s">
        <v>32848</v>
      </c>
      <c r="I3761" t="s">
        <v>32860</v>
      </c>
      <c r="J3761" t="s">
        <v>35449</v>
      </c>
      <c r="K3761" t="s">
        <v>42726</v>
      </c>
      <c r="M3761" t="s">
        <v>44083</v>
      </c>
      <c r="N3761" t="s">
        <v>47424</v>
      </c>
      <c r="O3761" t="s">
        <v>47425</v>
      </c>
      <c r="P3761">
        <v>0</v>
      </c>
      <c r="Q3761">
        <v>9</v>
      </c>
      <c r="R3761" t="s">
        <v>47428</v>
      </c>
      <c r="S3761" t="s">
        <v>47541</v>
      </c>
      <c r="T3761" t="s">
        <v>49163</v>
      </c>
      <c r="U3761" t="s">
        <v>52870</v>
      </c>
      <c r="W3761" t="s">
        <v>44083</v>
      </c>
      <c r="X3761" t="s">
        <v>47430</v>
      </c>
    </row>
    <row r="3762" spans="1:24">
      <c r="A3762">
        <f>HYPERLINK("https://www.philgeps.gov.ph/GEPSNONPILOT/Tender/SplashBidNoticeAbstractUI.aspx?menuIndex=3&amp;refID=7164206&amp;Result=3","7164206")</f>
        <v>0</v>
      </c>
      <c r="B3762" t="s">
        <v>1561</v>
      </c>
      <c r="C3762" t="s">
        <v>7479</v>
      </c>
      <c r="D3762" t="s">
        <v>19057</v>
      </c>
      <c r="E3762" t="s">
        <v>19311</v>
      </c>
      <c r="F3762" t="s">
        <v>32831</v>
      </c>
      <c r="G3762" t="s">
        <v>32839</v>
      </c>
      <c r="H3762" t="s">
        <v>32848</v>
      </c>
      <c r="I3762" t="s">
        <v>7416</v>
      </c>
      <c r="J3762" t="s">
        <v>35450</v>
      </c>
      <c r="K3762" t="s">
        <v>42727</v>
      </c>
      <c r="M3762" t="s">
        <v>44669</v>
      </c>
      <c r="N3762" t="s">
        <v>47424</v>
      </c>
      <c r="O3762" t="s">
        <v>47425</v>
      </c>
      <c r="P3762">
        <v>0</v>
      </c>
      <c r="Q3762">
        <v>0</v>
      </c>
      <c r="R3762" t="s">
        <v>47428</v>
      </c>
      <c r="S3762" t="s">
        <v>47541</v>
      </c>
      <c r="T3762" t="s">
        <v>49073</v>
      </c>
      <c r="U3762" t="s">
        <v>52871</v>
      </c>
      <c r="W3762" t="s">
        <v>44669</v>
      </c>
      <c r="X3762" t="s">
        <v>47430</v>
      </c>
    </row>
    <row r="3763" spans="1:24">
      <c r="A3763">
        <f>HYPERLINK("https://www.philgeps.gov.ph/GEPSNONPILOT/Tender/SplashBidNoticeAbstractUI.aspx?menuIndex=3&amp;refID=7164273&amp;Result=3","7164273")</f>
        <v>0</v>
      </c>
      <c r="B3763" t="s">
        <v>1555</v>
      </c>
      <c r="C3763" t="s">
        <v>7480</v>
      </c>
      <c r="D3763" t="s">
        <v>19083</v>
      </c>
      <c r="E3763" t="s">
        <v>22471</v>
      </c>
      <c r="F3763" t="s">
        <v>32831</v>
      </c>
      <c r="G3763" t="s">
        <v>32839</v>
      </c>
      <c r="H3763" t="s">
        <v>32848</v>
      </c>
      <c r="I3763" t="s">
        <v>9577</v>
      </c>
      <c r="J3763" t="s">
        <v>35451</v>
      </c>
      <c r="K3763" t="s">
        <v>42727</v>
      </c>
      <c r="M3763" t="s">
        <v>44662</v>
      </c>
      <c r="N3763" t="s">
        <v>47424</v>
      </c>
      <c r="O3763" t="s">
        <v>47425</v>
      </c>
      <c r="P3763">
        <v>0</v>
      </c>
      <c r="Q3763">
        <v>0</v>
      </c>
      <c r="R3763" t="s">
        <v>47428</v>
      </c>
      <c r="S3763" t="s">
        <v>47541</v>
      </c>
      <c r="T3763" t="s">
        <v>49131</v>
      </c>
      <c r="U3763" t="s">
        <v>52872</v>
      </c>
      <c r="V3763" t="s">
        <v>63039</v>
      </c>
      <c r="W3763" t="s">
        <v>44662</v>
      </c>
      <c r="X3763" t="s">
        <v>47430</v>
      </c>
    </row>
    <row r="3764" spans="1:24">
      <c r="A3764">
        <f>HYPERLINK("https://www.philgeps.gov.ph/GEPSNONPILOT/Tender/SplashBidNoticeAbstractUI.aspx?menuIndex=3&amp;refID=7164234&amp;Result=3","7164234")</f>
        <v>0</v>
      </c>
      <c r="B3764" t="s">
        <v>1562</v>
      </c>
      <c r="C3764" t="s">
        <v>5134</v>
      </c>
      <c r="D3764" t="s">
        <v>19026</v>
      </c>
      <c r="E3764" t="s">
        <v>19208</v>
      </c>
      <c r="F3764" t="s">
        <v>32831</v>
      </c>
      <c r="G3764" t="s">
        <v>32838</v>
      </c>
      <c r="H3764" t="s">
        <v>32848</v>
      </c>
      <c r="I3764" t="s">
        <v>9577</v>
      </c>
      <c r="J3764" t="s">
        <v>34096</v>
      </c>
      <c r="K3764" t="s">
        <v>42732</v>
      </c>
      <c r="M3764" t="s">
        <v>44670</v>
      </c>
      <c r="N3764" t="s">
        <v>47424</v>
      </c>
      <c r="O3764" t="s">
        <v>47425</v>
      </c>
      <c r="P3764">
        <v>0</v>
      </c>
      <c r="Q3764">
        <v>2</v>
      </c>
      <c r="R3764" t="s">
        <v>47428</v>
      </c>
      <c r="S3764" t="s">
        <v>47541</v>
      </c>
      <c r="T3764" t="s">
        <v>49145</v>
      </c>
      <c r="U3764" t="s">
        <v>52873</v>
      </c>
      <c r="W3764" t="s">
        <v>44670</v>
      </c>
      <c r="X3764" t="s">
        <v>47430</v>
      </c>
    </row>
    <row r="3765" spans="1:24">
      <c r="A3765">
        <f>HYPERLINK("https://www.philgeps.gov.ph/GEPSNONPILOT/Tender/SplashBidNoticeAbstractUI.aspx?menuIndex=3&amp;refID=7152582&amp;Result=3","7152582")</f>
        <v>0</v>
      </c>
      <c r="B3765" t="s">
        <v>242</v>
      </c>
      <c r="C3765" t="s">
        <v>7481</v>
      </c>
      <c r="D3765" t="s">
        <v>19023</v>
      </c>
      <c r="E3765" t="s">
        <v>22472</v>
      </c>
      <c r="F3765" t="s">
        <v>32831</v>
      </c>
      <c r="G3765" t="s">
        <v>32838</v>
      </c>
      <c r="H3765" t="s">
        <v>32848</v>
      </c>
      <c r="I3765" t="s">
        <v>7416</v>
      </c>
      <c r="J3765" t="s">
        <v>35452</v>
      </c>
      <c r="K3765" t="s">
        <v>42726</v>
      </c>
      <c r="M3765" t="s">
        <v>43241</v>
      </c>
      <c r="N3765" t="s">
        <v>47424</v>
      </c>
      <c r="O3765" t="s">
        <v>47425</v>
      </c>
      <c r="P3765">
        <v>0</v>
      </c>
      <c r="Q3765">
        <v>0</v>
      </c>
      <c r="R3765" t="s">
        <v>47430</v>
      </c>
      <c r="S3765" t="s">
        <v>47549</v>
      </c>
      <c r="T3765" t="s">
        <v>49198</v>
      </c>
      <c r="U3765" t="s">
        <v>52874</v>
      </c>
      <c r="V3765" t="s">
        <v>62668</v>
      </c>
      <c r="W3765" t="s">
        <v>43241</v>
      </c>
      <c r="X3765" t="s">
        <v>47433</v>
      </c>
    </row>
    <row r="3766" spans="1:24">
      <c r="A3766">
        <f>HYPERLINK("https://www.philgeps.gov.ph/GEPSNONPILOT/Tender/SplashBidNoticeAbstractUI.aspx?menuIndex=3&amp;refID=7152531&amp;Result=3","7152531")</f>
        <v>0</v>
      </c>
      <c r="B3766" t="s">
        <v>1563</v>
      </c>
      <c r="C3766" t="s">
        <v>7482</v>
      </c>
      <c r="D3766" t="s">
        <v>19049</v>
      </c>
      <c r="E3766" t="s">
        <v>22473</v>
      </c>
      <c r="F3766" t="s">
        <v>32831</v>
      </c>
      <c r="G3766" t="s">
        <v>32840</v>
      </c>
      <c r="H3766" t="s">
        <v>32848</v>
      </c>
      <c r="I3766" t="s">
        <v>32852</v>
      </c>
      <c r="J3766" t="s">
        <v>34818</v>
      </c>
      <c r="K3766" t="s">
        <v>42730</v>
      </c>
      <c r="M3766" t="s">
        <v>44671</v>
      </c>
      <c r="N3766" t="s">
        <v>47424</v>
      </c>
      <c r="O3766" t="s">
        <v>47425</v>
      </c>
      <c r="P3766">
        <v>0</v>
      </c>
      <c r="Q3766">
        <v>1</v>
      </c>
      <c r="R3766" t="s">
        <v>47430</v>
      </c>
      <c r="S3766" t="s">
        <v>47549</v>
      </c>
      <c r="T3766" t="s">
        <v>49239</v>
      </c>
      <c r="U3766" t="s">
        <v>52875</v>
      </c>
      <c r="V3766" t="s">
        <v>63040</v>
      </c>
      <c r="W3766" t="s">
        <v>44671</v>
      </c>
      <c r="X3766" t="s">
        <v>47433</v>
      </c>
    </row>
    <row r="3767" spans="1:24">
      <c r="A3767">
        <f>HYPERLINK("https://www.philgeps.gov.ph/GEPSNONPILOT/Tender/SplashBidNoticeAbstractUI.aspx?menuIndex=3&amp;refID=7143961&amp;Result=3","7143961")</f>
        <v>0</v>
      </c>
      <c r="B3767" t="s">
        <v>1487</v>
      </c>
      <c r="C3767" t="s">
        <v>7483</v>
      </c>
      <c r="D3767" t="s">
        <v>19047</v>
      </c>
      <c r="E3767" t="s">
        <v>20851</v>
      </c>
      <c r="F3767" t="s">
        <v>32831</v>
      </c>
      <c r="G3767" t="s">
        <v>32838</v>
      </c>
      <c r="H3767" t="s">
        <v>32848</v>
      </c>
      <c r="I3767" t="s">
        <v>4776</v>
      </c>
      <c r="J3767" t="s">
        <v>35453</v>
      </c>
      <c r="K3767" t="s">
        <v>42758</v>
      </c>
      <c r="M3767" t="s">
        <v>44672</v>
      </c>
      <c r="N3767" t="s">
        <v>47424</v>
      </c>
      <c r="O3767" t="s">
        <v>47425</v>
      </c>
      <c r="P3767">
        <v>0</v>
      </c>
      <c r="Q3767">
        <v>1</v>
      </c>
      <c r="R3767" t="s">
        <v>47430</v>
      </c>
      <c r="S3767" t="s">
        <v>47549</v>
      </c>
      <c r="T3767" t="s">
        <v>49229</v>
      </c>
      <c r="U3767" t="s">
        <v>52876</v>
      </c>
      <c r="W3767" t="s">
        <v>44672</v>
      </c>
      <c r="X3767" t="s">
        <v>47439</v>
      </c>
    </row>
    <row r="3768" spans="1:24">
      <c r="A3768">
        <f>HYPERLINK("https://www.philgeps.gov.ph/GEPSNONPILOT/Tender/SplashBidNoticeAbstractUI.aspx?menuIndex=3&amp;refID=7152334&amp;Result=3","7152334")</f>
        <v>0</v>
      </c>
      <c r="B3768" t="s">
        <v>1564</v>
      </c>
      <c r="C3768" t="s">
        <v>7484</v>
      </c>
      <c r="D3768" t="s">
        <v>19049</v>
      </c>
      <c r="E3768" t="s">
        <v>22474</v>
      </c>
      <c r="F3768" t="s">
        <v>32831</v>
      </c>
      <c r="G3768" t="s">
        <v>32838</v>
      </c>
      <c r="H3768" t="s">
        <v>32848</v>
      </c>
      <c r="I3768" t="s">
        <v>8781</v>
      </c>
      <c r="J3768" t="s">
        <v>35454</v>
      </c>
      <c r="K3768" t="s">
        <v>42726</v>
      </c>
      <c r="M3768" t="s">
        <v>44673</v>
      </c>
      <c r="N3768" t="s">
        <v>47424</v>
      </c>
      <c r="O3768" t="s">
        <v>47425</v>
      </c>
      <c r="P3768">
        <v>0</v>
      </c>
      <c r="Q3768">
        <v>1</v>
      </c>
      <c r="R3768" t="s">
        <v>47430</v>
      </c>
      <c r="S3768" t="s">
        <v>47549</v>
      </c>
      <c r="T3768" t="s">
        <v>49104</v>
      </c>
      <c r="U3768" t="s">
        <v>52877</v>
      </c>
      <c r="W3768" t="s">
        <v>44673</v>
      </c>
      <c r="X3768" t="s">
        <v>47433</v>
      </c>
    </row>
    <row r="3769" spans="1:24">
      <c r="A3769">
        <f>HYPERLINK("https://www.philgeps.gov.ph/GEPSNONPILOT/Tender/SplashBidNoticeAbstractUI.aspx?menuIndex=3&amp;refID=7164178&amp;Result=3","7164178")</f>
        <v>0</v>
      </c>
      <c r="B3769" t="s">
        <v>851</v>
      </c>
      <c r="C3769" t="s">
        <v>7485</v>
      </c>
      <c r="D3769" t="s">
        <v>19017</v>
      </c>
      <c r="E3769" t="s">
        <v>22475</v>
      </c>
      <c r="F3769" t="s">
        <v>32831</v>
      </c>
      <c r="G3769" t="s">
        <v>32838</v>
      </c>
      <c r="H3769" t="s">
        <v>32848</v>
      </c>
      <c r="I3769" t="s">
        <v>10805</v>
      </c>
      <c r="J3769" t="s">
        <v>35455</v>
      </c>
      <c r="K3769" t="s">
        <v>42726</v>
      </c>
      <c r="M3769" t="s">
        <v>44083</v>
      </c>
      <c r="N3769" t="s">
        <v>47424</v>
      </c>
      <c r="O3769" t="s">
        <v>47425</v>
      </c>
      <c r="P3769">
        <v>0</v>
      </c>
      <c r="Q3769">
        <v>2</v>
      </c>
      <c r="R3769" t="s">
        <v>47428</v>
      </c>
      <c r="S3769" t="s">
        <v>47541</v>
      </c>
      <c r="T3769" t="s">
        <v>49163</v>
      </c>
      <c r="U3769" t="s">
        <v>52878</v>
      </c>
      <c r="W3769" t="s">
        <v>44083</v>
      </c>
      <c r="X3769" t="s">
        <v>47430</v>
      </c>
    </row>
    <row r="3770" spans="1:24">
      <c r="A3770">
        <f>HYPERLINK("https://www.philgeps.gov.ph/GEPSNONPILOT/Tender/SplashBidNoticeAbstractUI.aspx?menuIndex=3&amp;refID=7164172&amp;Result=3","7164172")</f>
        <v>0</v>
      </c>
      <c r="B3770" t="s">
        <v>851</v>
      </c>
      <c r="C3770" t="s">
        <v>7486</v>
      </c>
      <c r="D3770" t="s">
        <v>19017</v>
      </c>
      <c r="E3770" t="s">
        <v>22476</v>
      </c>
      <c r="F3770" t="s">
        <v>32831</v>
      </c>
      <c r="G3770" t="s">
        <v>32838</v>
      </c>
      <c r="H3770" t="s">
        <v>32848</v>
      </c>
      <c r="I3770" t="s">
        <v>7819</v>
      </c>
      <c r="J3770" t="s">
        <v>35456</v>
      </c>
      <c r="K3770" t="s">
        <v>42726</v>
      </c>
      <c r="M3770" t="s">
        <v>44083</v>
      </c>
      <c r="N3770" t="s">
        <v>47424</v>
      </c>
      <c r="O3770" t="s">
        <v>47425</v>
      </c>
      <c r="P3770">
        <v>0</v>
      </c>
      <c r="Q3770">
        <v>2</v>
      </c>
      <c r="R3770" t="s">
        <v>47428</v>
      </c>
      <c r="S3770" t="s">
        <v>47541</v>
      </c>
      <c r="T3770" t="s">
        <v>49163</v>
      </c>
      <c r="U3770" t="s">
        <v>52879</v>
      </c>
      <c r="W3770" t="s">
        <v>44083</v>
      </c>
      <c r="X3770" t="s">
        <v>47430</v>
      </c>
    </row>
    <row r="3771" spans="1:24">
      <c r="A3771">
        <f>HYPERLINK("https://www.philgeps.gov.ph/GEPSNONPILOT/Tender/SplashBidNoticeAbstractUI.aspx?menuIndex=3&amp;refID=7151847&amp;Result=3","7151847")</f>
        <v>0</v>
      </c>
      <c r="B3771" t="s">
        <v>242</v>
      </c>
      <c r="C3771" t="s">
        <v>7487</v>
      </c>
      <c r="D3771" t="s">
        <v>19038</v>
      </c>
      <c r="E3771" t="s">
        <v>22477</v>
      </c>
      <c r="F3771" t="s">
        <v>32831</v>
      </c>
      <c r="G3771" t="s">
        <v>32838</v>
      </c>
      <c r="H3771" t="s">
        <v>32848</v>
      </c>
      <c r="I3771" t="s">
        <v>32883</v>
      </c>
      <c r="J3771" t="s">
        <v>35457</v>
      </c>
      <c r="K3771" t="s">
        <v>42726</v>
      </c>
      <c r="M3771" t="s">
        <v>43241</v>
      </c>
      <c r="N3771" t="s">
        <v>47424</v>
      </c>
      <c r="O3771" t="s">
        <v>47425</v>
      </c>
      <c r="P3771">
        <v>0</v>
      </c>
      <c r="Q3771">
        <v>1</v>
      </c>
      <c r="R3771" t="s">
        <v>47430</v>
      </c>
      <c r="S3771" t="s">
        <v>47549</v>
      </c>
      <c r="T3771" t="s">
        <v>49198</v>
      </c>
      <c r="U3771" t="s">
        <v>52880</v>
      </c>
      <c r="V3771" t="s">
        <v>62668</v>
      </c>
      <c r="W3771" t="s">
        <v>43241</v>
      </c>
      <c r="X3771" t="s">
        <v>47434</v>
      </c>
    </row>
    <row r="3772" spans="1:24">
      <c r="A3772">
        <f>HYPERLINK("https://www.philgeps.gov.ph/GEPSNONPILOT/Tender/SplashBidNoticeAbstractUI.aspx?menuIndex=3&amp;refID=7151724&amp;Result=3","7151724")</f>
        <v>0</v>
      </c>
      <c r="B3772" t="s">
        <v>242</v>
      </c>
      <c r="C3772" t="s">
        <v>7488</v>
      </c>
      <c r="D3772" t="s">
        <v>19038</v>
      </c>
      <c r="E3772" t="s">
        <v>22478</v>
      </c>
      <c r="F3772" t="s">
        <v>32831</v>
      </c>
      <c r="G3772" t="s">
        <v>32838</v>
      </c>
      <c r="H3772" t="s">
        <v>32848</v>
      </c>
      <c r="I3772" t="s">
        <v>4471</v>
      </c>
      <c r="J3772" t="s">
        <v>35458</v>
      </c>
      <c r="K3772" t="s">
        <v>42726</v>
      </c>
      <c r="M3772" t="s">
        <v>43241</v>
      </c>
      <c r="N3772" t="s">
        <v>47424</v>
      </c>
      <c r="O3772" t="s">
        <v>47425</v>
      </c>
      <c r="P3772">
        <v>0</v>
      </c>
      <c r="Q3772">
        <v>10</v>
      </c>
      <c r="R3772" t="s">
        <v>47430</v>
      </c>
      <c r="S3772" t="s">
        <v>47549</v>
      </c>
      <c r="T3772" t="s">
        <v>49198</v>
      </c>
      <c r="U3772" t="s">
        <v>52881</v>
      </c>
      <c r="V3772" t="s">
        <v>62668</v>
      </c>
      <c r="W3772" t="s">
        <v>43241</v>
      </c>
      <c r="X3772" t="s">
        <v>47434</v>
      </c>
    </row>
    <row r="3773" spans="1:24">
      <c r="A3773">
        <f>HYPERLINK("https://www.philgeps.gov.ph/GEPSNONPILOT/Tender/SplashBidNoticeAbstractUI.aspx?menuIndex=3&amp;refID=7151972&amp;Result=3","7151972")</f>
        <v>0</v>
      </c>
      <c r="B3773" t="s">
        <v>33</v>
      </c>
      <c r="C3773" t="s">
        <v>7489</v>
      </c>
      <c r="D3773" t="s">
        <v>19024</v>
      </c>
      <c r="E3773" t="s">
        <v>22479</v>
      </c>
      <c r="F3773" t="s">
        <v>32831</v>
      </c>
      <c r="G3773" t="s">
        <v>32839</v>
      </c>
      <c r="H3773" t="s">
        <v>32849</v>
      </c>
      <c r="I3773" t="s">
        <v>4177</v>
      </c>
      <c r="J3773" t="s">
        <v>35459</v>
      </c>
      <c r="K3773" t="s">
        <v>42729</v>
      </c>
      <c r="M3773" t="s">
        <v>43030</v>
      </c>
      <c r="N3773" t="s">
        <v>47424</v>
      </c>
      <c r="O3773" t="s">
        <v>47425</v>
      </c>
      <c r="P3773">
        <v>0</v>
      </c>
      <c r="Q3773">
        <v>0</v>
      </c>
      <c r="R3773" t="s">
        <v>47430</v>
      </c>
      <c r="S3773" t="s">
        <v>47549</v>
      </c>
      <c r="T3773" t="s">
        <v>49188</v>
      </c>
      <c r="U3773" t="s">
        <v>52882</v>
      </c>
      <c r="W3773" t="s">
        <v>43030</v>
      </c>
      <c r="X3773" t="s">
        <v>47434</v>
      </c>
    </row>
    <row r="3774" spans="1:24">
      <c r="A3774">
        <f>HYPERLINK("https://www.philgeps.gov.ph/GEPSNONPILOT/Tender/SplashBidNoticeAbstractUI.aspx?menuIndex=3&amp;refID=7151656&amp;Result=3","7151656")</f>
        <v>0</v>
      </c>
      <c r="B3774" t="s">
        <v>1565</v>
      </c>
      <c r="C3774" t="s">
        <v>7490</v>
      </c>
      <c r="D3774" t="s">
        <v>19073</v>
      </c>
      <c r="E3774" t="s">
        <v>22480</v>
      </c>
      <c r="F3774" t="s">
        <v>32831</v>
      </c>
      <c r="G3774" t="s">
        <v>32839</v>
      </c>
      <c r="H3774" t="s">
        <v>32848</v>
      </c>
      <c r="I3774" t="s">
        <v>9577</v>
      </c>
      <c r="J3774" t="s">
        <v>35460</v>
      </c>
      <c r="K3774" t="s">
        <v>42732</v>
      </c>
      <c r="M3774" t="s">
        <v>44674</v>
      </c>
      <c r="N3774" t="s">
        <v>47424</v>
      </c>
      <c r="O3774" t="s">
        <v>47425</v>
      </c>
      <c r="P3774">
        <v>0</v>
      </c>
      <c r="Q3774">
        <v>1</v>
      </c>
      <c r="R3774" t="s">
        <v>47430</v>
      </c>
      <c r="S3774" t="s">
        <v>47549</v>
      </c>
      <c r="T3774" t="s">
        <v>49124</v>
      </c>
      <c r="U3774" t="s">
        <v>52883</v>
      </c>
      <c r="W3774" t="s">
        <v>44674</v>
      </c>
      <c r="X3774" t="s">
        <v>47434</v>
      </c>
    </row>
    <row r="3775" spans="1:24">
      <c r="A3775">
        <f>HYPERLINK("https://www.philgeps.gov.ph/GEPSNONPILOT/Tender/SplashBidNoticeAbstractUI.aspx?menuIndex=3&amp;refID=7151641&amp;Result=3","7151641")</f>
        <v>0</v>
      </c>
      <c r="B3775" t="s">
        <v>242</v>
      </c>
      <c r="C3775" t="s">
        <v>7491</v>
      </c>
      <c r="D3775" t="s">
        <v>19038</v>
      </c>
      <c r="E3775" t="s">
        <v>22481</v>
      </c>
      <c r="F3775" t="s">
        <v>32831</v>
      </c>
      <c r="G3775" t="s">
        <v>32838</v>
      </c>
      <c r="H3775" t="s">
        <v>32848</v>
      </c>
      <c r="I3775" t="s">
        <v>32852</v>
      </c>
      <c r="J3775" t="s">
        <v>32976</v>
      </c>
      <c r="K3775" t="s">
        <v>42726</v>
      </c>
      <c r="M3775" t="s">
        <v>43241</v>
      </c>
      <c r="N3775" t="s">
        <v>47424</v>
      </c>
      <c r="O3775" t="s">
        <v>47425</v>
      </c>
      <c r="P3775">
        <v>0</v>
      </c>
      <c r="Q3775">
        <v>17</v>
      </c>
      <c r="R3775" t="s">
        <v>47430</v>
      </c>
      <c r="S3775" t="s">
        <v>47549</v>
      </c>
      <c r="T3775" t="s">
        <v>49198</v>
      </c>
      <c r="U3775" t="s">
        <v>52884</v>
      </c>
      <c r="V3775" t="s">
        <v>62668</v>
      </c>
      <c r="W3775" t="s">
        <v>43241</v>
      </c>
      <c r="X3775" t="s">
        <v>47434</v>
      </c>
    </row>
    <row r="3776" spans="1:24">
      <c r="A3776">
        <f>HYPERLINK("https://www.philgeps.gov.ph/GEPSNONPILOT/Tender/SplashBidNoticeAbstractUI.aspx?menuIndex=3&amp;refID=7151233&amp;Result=3","7151233")</f>
        <v>0</v>
      </c>
      <c r="B3776" t="s">
        <v>1425</v>
      </c>
      <c r="C3776" t="s">
        <v>7492</v>
      </c>
      <c r="D3776" t="s">
        <v>19073</v>
      </c>
      <c r="E3776" t="s">
        <v>22482</v>
      </c>
      <c r="F3776" t="s">
        <v>32831</v>
      </c>
      <c r="G3776" t="s">
        <v>32838</v>
      </c>
      <c r="H3776" t="s">
        <v>32848</v>
      </c>
      <c r="I3776" t="s">
        <v>5379</v>
      </c>
      <c r="J3776" t="s">
        <v>33606</v>
      </c>
      <c r="K3776" t="s">
        <v>42730</v>
      </c>
      <c r="M3776" t="s">
        <v>44514</v>
      </c>
      <c r="N3776" t="s">
        <v>47424</v>
      </c>
      <c r="O3776" t="s">
        <v>47425</v>
      </c>
      <c r="P3776">
        <v>0</v>
      </c>
      <c r="Q3776">
        <v>0</v>
      </c>
      <c r="R3776" t="s">
        <v>47430</v>
      </c>
      <c r="S3776" t="s">
        <v>47549</v>
      </c>
      <c r="T3776" t="s">
        <v>49111</v>
      </c>
      <c r="U3776" t="s">
        <v>52885</v>
      </c>
      <c r="W3776" t="s">
        <v>44514</v>
      </c>
      <c r="X3776" t="s">
        <v>47434</v>
      </c>
    </row>
    <row r="3777" spans="1:24">
      <c r="A3777">
        <f>HYPERLINK("https://www.philgeps.gov.ph/GEPSNONPILOT/Tender/SplashBidNoticeAbstractUI.aspx?menuIndex=3&amp;refID=7151962&amp;Result=3","7151962")</f>
        <v>0</v>
      </c>
      <c r="B3777" t="s">
        <v>33</v>
      </c>
      <c r="C3777" t="s">
        <v>7493</v>
      </c>
      <c r="D3777" t="s">
        <v>19024</v>
      </c>
      <c r="E3777" t="s">
        <v>22483</v>
      </c>
      <c r="F3777" t="s">
        <v>32831</v>
      </c>
      <c r="G3777" t="s">
        <v>32839</v>
      </c>
      <c r="H3777" t="s">
        <v>32849</v>
      </c>
      <c r="I3777" t="s">
        <v>4177</v>
      </c>
      <c r="J3777" t="s">
        <v>35461</v>
      </c>
      <c r="K3777" t="s">
        <v>42763</v>
      </c>
      <c r="M3777" t="s">
        <v>43030</v>
      </c>
      <c r="N3777" t="s">
        <v>47424</v>
      </c>
      <c r="O3777" t="s">
        <v>47425</v>
      </c>
      <c r="P3777">
        <v>0</v>
      </c>
      <c r="Q3777">
        <v>0</v>
      </c>
      <c r="R3777" t="s">
        <v>47430</v>
      </c>
      <c r="S3777" t="s">
        <v>47549</v>
      </c>
      <c r="T3777" t="s">
        <v>49188</v>
      </c>
      <c r="U3777" t="s">
        <v>52886</v>
      </c>
      <c r="W3777" t="s">
        <v>43030</v>
      </c>
      <c r="X3777" t="s">
        <v>47434</v>
      </c>
    </row>
    <row r="3778" spans="1:24">
      <c r="A3778">
        <f>HYPERLINK("https://www.philgeps.gov.ph/GEPSNONPILOT/Tender/SplashBidNoticeAbstractUI.aspx?menuIndex=3&amp;refID=7151804&amp;Result=3","7151804")</f>
        <v>0</v>
      </c>
      <c r="B3778" t="s">
        <v>242</v>
      </c>
      <c r="C3778" t="s">
        <v>7481</v>
      </c>
      <c r="D3778" t="s">
        <v>19038</v>
      </c>
      <c r="E3778" t="s">
        <v>22484</v>
      </c>
      <c r="F3778" t="s">
        <v>32831</v>
      </c>
      <c r="G3778" t="s">
        <v>32838</v>
      </c>
      <c r="H3778" t="s">
        <v>32848</v>
      </c>
      <c r="I3778" t="s">
        <v>7416</v>
      </c>
      <c r="J3778" t="s">
        <v>35462</v>
      </c>
      <c r="K3778" t="s">
        <v>42726</v>
      </c>
      <c r="M3778" t="s">
        <v>43241</v>
      </c>
      <c r="N3778" t="s">
        <v>47424</v>
      </c>
      <c r="O3778" t="s">
        <v>47425</v>
      </c>
      <c r="P3778">
        <v>0</v>
      </c>
      <c r="Q3778">
        <v>7</v>
      </c>
      <c r="R3778" t="s">
        <v>47430</v>
      </c>
      <c r="S3778" t="s">
        <v>47549</v>
      </c>
      <c r="T3778" t="s">
        <v>49198</v>
      </c>
      <c r="U3778" t="s">
        <v>52887</v>
      </c>
      <c r="V3778" t="s">
        <v>62668</v>
      </c>
      <c r="W3778" t="s">
        <v>43241</v>
      </c>
      <c r="X3778" t="s">
        <v>47434</v>
      </c>
    </row>
    <row r="3779" spans="1:24">
      <c r="A3779">
        <f>HYPERLINK("https://www.philgeps.gov.ph/GEPSNONPILOT/Tender/SplashBidNoticeAbstractUI.aspx?menuIndex=3&amp;refID=7150798&amp;Result=3","7150798")</f>
        <v>0</v>
      </c>
      <c r="B3779" t="s">
        <v>34</v>
      </c>
      <c r="C3779" t="s">
        <v>7494</v>
      </c>
      <c r="E3779" t="s">
        <v>22485</v>
      </c>
      <c r="F3779" t="s">
        <v>32831</v>
      </c>
      <c r="G3779" t="s">
        <v>32838</v>
      </c>
      <c r="H3779" t="s">
        <v>32848</v>
      </c>
      <c r="I3779" t="s">
        <v>9281</v>
      </c>
      <c r="J3779" t="s">
        <v>33178</v>
      </c>
      <c r="K3779" t="s">
        <v>42745</v>
      </c>
      <c r="M3779" t="s">
        <v>44653</v>
      </c>
      <c r="N3779" t="s">
        <v>47424</v>
      </c>
      <c r="O3779" t="s">
        <v>47425</v>
      </c>
      <c r="P3779">
        <v>0</v>
      </c>
      <c r="Q3779">
        <v>5</v>
      </c>
      <c r="R3779" t="s">
        <v>47430</v>
      </c>
      <c r="S3779" t="s">
        <v>47549</v>
      </c>
      <c r="T3779" t="s">
        <v>49123</v>
      </c>
      <c r="U3779" t="s">
        <v>52831</v>
      </c>
      <c r="W3779" t="s">
        <v>44653</v>
      </c>
      <c r="X3779" t="s">
        <v>47434</v>
      </c>
    </row>
    <row r="3780" spans="1:24">
      <c r="A3780">
        <f>HYPERLINK("https://www.philgeps.gov.ph/GEPSNONPILOT/Tender/SplashBidNoticeAbstractUI.aspx?menuIndex=3&amp;refID=7151758&amp;Result=3","7151758")</f>
        <v>0</v>
      </c>
      <c r="B3780" t="s">
        <v>242</v>
      </c>
      <c r="C3780" t="s">
        <v>7495</v>
      </c>
      <c r="D3780" t="s">
        <v>19038</v>
      </c>
      <c r="E3780" t="s">
        <v>22486</v>
      </c>
      <c r="F3780" t="s">
        <v>32831</v>
      </c>
      <c r="G3780" t="s">
        <v>32838</v>
      </c>
      <c r="H3780" t="s">
        <v>32848</v>
      </c>
      <c r="I3780" t="s">
        <v>4438</v>
      </c>
      <c r="J3780" t="s">
        <v>35463</v>
      </c>
      <c r="K3780" t="s">
        <v>42726</v>
      </c>
      <c r="M3780" t="s">
        <v>43241</v>
      </c>
      <c r="N3780" t="s">
        <v>47424</v>
      </c>
      <c r="O3780" t="s">
        <v>47425</v>
      </c>
      <c r="P3780">
        <v>0</v>
      </c>
      <c r="Q3780">
        <v>6</v>
      </c>
      <c r="R3780" t="s">
        <v>47430</v>
      </c>
      <c r="S3780" t="s">
        <v>47549</v>
      </c>
      <c r="T3780" t="s">
        <v>49198</v>
      </c>
      <c r="U3780" t="s">
        <v>52888</v>
      </c>
      <c r="V3780" t="s">
        <v>62668</v>
      </c>
      <c r="W3780" t="s">
        <v>43241</v>
      </c>
      <c r="X3780" t="s">
        <v>47434</v>
      </c>
    </row>
    <row r="3781" spans="1:24">
      <c r="A3781">
        <f>HYPERLINK("https://www.philgeps.gov.ph/GEPSNONPILOT/Tender/SplashBidNoticeAbstractUI.aspx?menuIndex=3&amp;refID=7164182&amp;Result=3","7164182")</f>
        <v>0</v>
      </c>
      <c r="B3781" t="s">
        <v>1520</v>
      </c>
      <c r="C3781" t="s">
        <v>7496</v>
      </c>
      <c r="D3781" t="s">
        <v>19027</v>
      </c>
      <c r="E3781" t="s">
        <v>22487</v>
      </c>
      <c r="F3781" t="s">
        <v>32831</v>
      </c>
      <c r="G3781" t="s">
        <v>32839</v>
      </c>
      <c r="H3781" t="s">
        <v>32848</v>
      </c>
      <c r="I3781" t="s">
        <v>9577</v>
      </c>
      <c r="J3781" t="s">
        <v>35464</v>
      </c>
      <c r="K3781" t="s">
        <v>42759</v>
      </c>
      <c r="M3781" t="s">
        <v>44621</v>
      </c>
      <c r="N3781" t="s">
        <v>47424</v>
      </c>
      <c r="O3781" t="s">
        <v>47425</v>
      </c>
      <c r="P3781">
        <v>0</v>
      </c>
      <c r="Q3781">
        <v>1</v>
      </c>
      <c r="R3781" t="s">
        <v>47428</v>
      </c>
      <c r="S3781" t="s">
        <v>47541</v>
      </c>
      <c r="T3781" t="s">
        <v>49112</v>
      </c>
      <c r="U3781" t="s">
        <v>52889</v>
      </c>
      <c r="W3781" t="s">
        <v>44621</v>
      </c>
      <c r="X3781" t="s">
        <v>47430</v>
      </c>
    </row>
    <row r="3782" spans="1:24">
      <c r="A3782">
        <f>HYPERLINK("https://www.philgeps.gov.ph/GEPSNONPILOT/Tender/SplashBidNoticeAbstractUI.aspx?menuIndex=3&amp;refID=7150601&amp;Result=3","7150601")</f>
        <v>0</v>
      </c>
      <c r="B3782" t="s">
        <v>1566</v>
      </c>
      <c r="C3782" t="s">
        <v>7497</v>
      </c>
      <c r="D3782" t="s">
        <v>19054</v>
      </c>
      <c r="E3782" t="s">
        <v>22488</v>
      </c>
      <c r="F3782" t="s">
        <v>32831</v>
      </c>
      <c r="G3782" t="s">
        <v>32838</v>
      </c>
      <c r="H3782" t="s">
        <v>32848</v>
      </c>
      <c r="I3782" t="s">
        <v>32856</v>
      </c>
      <c r="J3782" t="s">
        <v>33007</v>
      </c>
      <c r="K3782" t="s">
        <v>42731</v>
      </c>
      <c r="M3782" t="s">
        <v>44675</v>
      </c>
      <c r="N3782" t="s">
        <v>47424</v>
      </c>
      <c r="O3782" t="s">
        <v>47425</v>
      </c>
      <c r="P3782">
        <v>0</v>
      </c>
      <c r="Q3782">
        <v>0</v>
      </c>
      <c r="R3782" t="s">
        <v>47430</v>
      </c>
      <c r="S3782" t="s">
        <v>47549</v>
      </c>
      <c r="T3782" t="s">
        <v>49127</v>
      </c>
      <c r="U3782" t="s">
        <v>52890</v>
      </c>
      <c r="W3782" t="s">
        <v>44675</v>
      </c>
      <c r="X3782" t="s">
        <v>47434</v>
      </c>
    </row>
    <row r="3783" spans="1:24">
      <c r="A3783">
        <f>HYPERLINK("https://www.philgeps.gov.ph/GEPSNONPILOT/Tender/SplashBidNoticeAbstractUI.aspx?menuIndex=3&amp;refID=7150229&amp;Result=3","7150229")</f>
        <v>0</v>
      </c>
      <c r="B3783" t="s">
        <v>1567</v>
      </c>
      <c r="C3783" t="s">
        <v>4776</v>
      </c>
      <c r="D3783" t="s">
        <v>19031</v>
      </c>
      <c r="E3783" t="s">
        <v>22489</v>
      </c>
      <c r="F3783" t="s">
        <v>32833</v>
      </c>
      <c r="G3783" t="s">
        <v>32842</v>
      </c>
      <c r="H3783" t="s">
        <v>32850</v>
      </c>
      <c r="I3783" t="s">
        <v>4776</v>
      </c>
      <c r="J3783" t="s">
        <v>33923</v>
      </c>
      <c r="K3783" t="s">
        <v>42776</v>
      </c>
      <c r="M3783" t="s">
        <v>44676</v>
      </c>
      <c r="N3783" t="s">
        <v>47424</v>
      </c>
      <c r="O3783" t="s">
        <v>47425</v>
      </c>
      <c r="P3783">
        <v>0</v>
      </c>
      <c r="Q3783">
        <v>3</v>
      </c>
      <c r="R3783" t="s">
        <v>47430</v>
      </c>
      <c r="S3783" t="s">
        <v>47549</v>
      </c>
      <c r="T3783" t="s">
        <v>49091</v>
      </c>
      <c r="U3783" t="s">
        <v>52891</v>
      </c>
      <c r="W3783" t="s">
        <v>44676</v>
      </c>
      <c r="X3783" t="s">
        <v>47434</v>
      </c>
    </row>
    <row r="3784" spans="1:24">
      <c r="A3784">
        <f>HYPERLINK("https://www.philgeps.gov.ph/GEPSNONPILOT/Tender/SplashBidNoticeAbstractUI.aspx?menuIndex=3&amp;refID=7164076&amp;Result=3","7164076")</f>
        <v>0</v>
      </c>
      <c r="B3784" t="s">
        <v>1443</v>
      </c>
      <c r="C3784" t="s">
        <v>7498</v>
      </c>
      <c r="D3784" t="s">
        <v>19058</v>
      </c>
      <c r="E3784" t="s">
        <v>22490</v>
      </c>
      <c r="F3784" t="s">
        <v>32831</v>
      </c>
      <c r="G3784" t="s">
        <v>32839</v>
      </c>
      <c r="H3784" t="s">
        <v>32848</v>
      </c>
      <c r="I3784" t="s">
        <v>32870</v>
      </c>
      <c r="J3784" t="s">
        <v>35465</v>
      </c>
      <c r="K3784" t="s">
        <v>42732</v>
      </c>
      <c r="M3784" t="s">
        <v>44535</v>
      </c>
      <c r="N3784" t="s">
        <v>47424</v>
      </c>
      <c r="O3784" t="s">
        <v>47425</v>
      </c>
      <c r="P3784">
        <v>0</v>
      </c>
      <c r="Q3784">
        <v>1</v>
      </c>
      <c r="R3784" t="s">
        <v>47428</v>
      </c>
      <c r="S3784" t="s">
        <v>47541</v>
      </c>
      <c r="T3784" t="s">
        <v>49077</v>
      </c>
      <c r="U3784" t="s">
        <v>52892</v>
      </c>
      <c r="W3784" t="s">
        <v>44535</v>
      </c>
      <c r="X3784" t="s">
        <v>47430</v>
      </c>
    </row>
    <row r="3785" spans="1:24">
      <c r="A3785">
        <f>HYPERLINK("https://www.philgeps.gov.ph/GEPSNONPILOT/Tender/SplashBidNoticeAbstractUI.aspx?menuIndex=3&amp;refID=7164071&amp;Result=3","7164071")</f>
        <v>0</v>
      </c>
      <c r="B3785" t="s">
        <v>1501</v>
      </c>
      <c r="C3785" t="s">
        <v>7499</v>
      </c>
      <c r="D3785" t="s">
        <v>19027</v>
      </c>
      <c r="E3785" t="s">
        <v>22491</v>
      </c>
      <c r="F3785" t="s">
        <v>32831</v>
      </c>
      <c r="G3785" t="s">
        <v>32838</v>
      </c>
      <c r="H3785" t="s">
        <v>32848</v>
      </c>
      <c r="I3785" t="s">
        <v>9577</v>
      </c>
      <c r="J3785" t="s">
        <v>35466</v>
      </c>
      <c r="K3785" t="s">
        <v>42726</v>
      </c>
      <c r="M3785" t="s">
        <v>44599</v>
      </c>
      <c r="N3785" t="s">
        <v>47424</v>
      </c>
      <c r="O3785" t="s">
        <v>47425</v>
      </c>
      <c r="P3785">
        <v>0</v>
      </c>
      <c r="Q3785">
        <v>2</v>
      </c>
      <c r="R3785" t="s">
        <v>47428</v>
      </c>
      <c r="S3785" t="s">
        <v>47541</v>
      </c>
      <c r="T3785" t="s">
        <v>49111</v>
      </c>
      <c r="U3785" t="s">
        <v>52723</v>
      </c>
      <c r="W3785" t="s">
        <v>44599</v>
      </c>
      <c r="X3785" t="s">
        <v>47430</v>
      </c>
    </row>
    <row r="3786" spans="1:24">
      <c r="A3786">
        <f>HYPERLINK("https://www.philgeps.gov.ph/GEPSNONPILOT/Tender/SplashBidNoticeAbstractUI.aspx?menuIndex=3&amp;refID=7164050&amp;Result=3","7164050")</f>
        <v>0</v>
      </c>
      <c r="B3786" t="s">
        <v>1443</v>
      </c>
      <c r="C3786" t="s">
        <v>7500</v>
      </c>
      <c r="D3786" t="s">
        <v>19058</v>
      </c>
      <c r="E3786" t="s">
        <v>22492</v>
      </c>
      <c r="F3786" t="s">
        <v>32831</v>
      </c>
      <c r="G3786" t="s">
        <v>32838</v>
      </c>
      <c r="H3786" t="s">
        <v>32848</v>
      </c>
      <c r="I3786" t="s">
        <v>7416</v>
      </c>
      <c r="J3786" t="s">
        <v>35467</v>
      </c>
      <c r="K3786" t="s">
        <v>42732</v>
      </c>
      <c r="M3786" t="s">
        <v>44535</v>
      </c>
      <c r="N3786" t="s">
        <v>47424</v>
      </c>
      <c r="O3786" t="s">
        <v>47425</v>
      </c>
      <c r="P3786">
        <v>0</v>
      </c>
      <c r="Q3786">
        <v>0</v>
      </c>
      <c r="R3786" t="s">
        <v>47428</v>
      </c>
      <c r="S3786" t="s">
        <v>47541</v>
      </c>
      <c r="T3786" t="s">
        <v>49073</v>
      </c>
      <c r="U3786" t="s">
        <v>52704</v>
      </c>
      <c r="W3786" t="s">
        <v>44535</v>
      </c>
      <c r="X3786" t="s">
        <v>47430</v>
      </c>
    </row>
    <row r="3787" spans="1:24">
      <c r="A3787">
        <f>HYPERLINK("https://www.philgeps.gov.ph/GEPSNONPILOT/Tender/SplashBidNoticeAbstractUI.aspx?menuIndex=3&amp;refID=7150958&amp;Result=3","7150958")</f>
        <v>0</v>
      </c>
      <c r="B3787" t="s">
        <v>1425</v>
      </c>
      <c r="C3787" t="s">
        <v>7492</v>
      </c>
      <c r="D3787" t="s">
        <v>19073</v>
      </c>
      <c r="E3787" t="s">
        <v>22493</v>
      </c>
      <c r="F3787" t="s">
        <v>32831</v>
      </c>
      <c r="G3787" t="s">
        <v>32838</v>
      </c>
      <c r="H3787" t="s">
        <v>32848</v>
      </c>
      <c r="I3787" t="s">
        <v>5379</v>
      </c>
      <c r="J3787" t="s">
        <v>33133</v>
      </c>
      <c r="K3787" t="s">
        <v>42730</v>
      </c>
      <c r="M3787" t="s">
        <v>44514</v>
      </c>
      <c r="N3787" t="s">
        <v>47424</v>
      </c>
      <c r="O3787" t="s">
        <v>47425</v>
      </c>
      <c r="P3787">
        <v>0</v>
      </c>
      <c r="Q3787">
        <v>0</v>
      </c>
      <c r="R3787" t="s">
        <v>47430</v>
      </c>
      <c r="S3787" t="s">
        <v>47549</v>
      </c>
      <c r="T3787" t="s">
        <v>49111</v>
      </c>
      <c r="U3787" t="s">
        <v>52893</v>
      </c>
      <c r="W3787" t="s">
        <v>44514</v>
      </c>
      <c r="X3787" t="s">
        <v>47434</v>
      </c>
    </row>
    <row r="3788" spans="1:24">
      <c r="A3788">
        <f>HYPERLINK("https://www.philgeps.gov.ph/GEPSNONPILOT/Tender/SplashBidNoticeAbstractUI.aspx?menuIndex=3&amp;refID=7150609&amp;Result=3","7150609")</f>
        <v>0</v>
      </c>
      <c r="B3788" t="s">
        <v>226</v>
      </c>
      <c r="C3788" t="s">
        <v>7501</v>
      </c>
      <c r="D3788" t="s">
        <v>19049</v>
      </c>
      <c r="E3788" t="s">
        <v>22494</v>
      </c>
      <c r="F3788" t="s">
        <v>32831</v>
      </c>
      <c r="G3788" t="s">
        <v>32839</v>
      </c>
      <c r="H3788" t="s">
        <v>32849</v>
      </c>
      <c r="I3788" t="s">
        <v>4177</v>
      </c>
      <c r="J3788" t="s">
        <v>32985</v>
      </c>
      <c r="K3788" t="s">
        <v>42748</v>
      </c>
      <c r="M3788" t="s">
        <v>43224</v>
      </c>
      <c r="N3788" t="s">
        <v>47424</v>
      </c>
      <c r="O3788" t="s">
        <v>47425</v>
      </c>
      <c r="P3788">
        <v>0</v>
      </c>
      <c r="Q3788">
        <v>0</v>
      </c>
      <c r="R3788" t="s">
        <v>47430</v>
      </c>
      <c r="S3788" t="s">
        <v>47549</v>
      </c>
      <c r="T3788" t="s">
        <v>49267</v>
      </c>
      <c r="U3788" t="s">
        <v>52894</v>
      </c>
      <c r="W3788" t="s">
        <v>43224</v>
      </c>
      <c r="X3788" t="s">
        <v>47434</v>
      </c>
    </row>
    <row r="3789" spans="1:24">
      <c r="A3789">
        <f>HYPERLINK("https://www.philgeps.gov.ph/GEPSNONPILOT/Tender/SplashBidNoticeAbstractUI.aspx?menuIndex=3&amp;refID=7150581&amp;Result=3","7150581")</f>
        <v>0</v>
      </c>
      <c r="B3789" t="s">
        <v>34</v>
      </c>
      <c r="C3789" t="s">
        <v>7502</v>
      </c>
      <c r="D3789" t="s">
        <v>19048</v>
      </c>
      <c r="E3789" t="s">
        <v>22495</v>
      </c>
      <c r="F3789" t="s">
        <v>32831</v>
      </c>
      <c r="G3789" t="s">
        <v>32838</v>
      </c>
      <c r="H3789" t="s">
        <v>32848</v>
      </c>
      <c r="I3789" t="s">
        <v>32870</v>
      </c>
      <c r="J3789" t="s">
        <v>33871</v>
      </c>
      <c r="K3789" t="s">
        <v>42732</v>
      </c>
      <c r="M3789" t="s">
        <v>44653</v>
      </c>
      <c r="N3789" t="s">
        <v>47424</v>
      </c>
      <c r="O3789" t="s">
        <v>47425</v>
      </c>
      <c r="P3789">
        <v>0</v>
      </c>
      <c r="Q3789">
        <v>0</v>
      </c>
      <c r="R3789" t="s">
        <v>47430</v>
      </c>
      <c r="S3789" t="s">
        <v>47549</v>
      </c>
      <c r="T3789" t="s">
        <v>49123</v>
      </c>
      <c r="U3789" t="s">
        <v>52831</v>
      </c>
      <c r="W3789" t="s">
        <v>44653</v>
      </c>
      <c r="X3789" t="s">
        <v>47434</v>
      </c>
    </row>
    <row r="3790" spans="1:24">
      <c r="A3790">
        <f>HYPERLINK("https://www.philgeps.gov.ph/GEPSNONPILOT/Tender/SplashBidNoticeAbstractUI.aspx?menuIndex=3&amp;refID=7152657&amp;Result=3","7152657")</f>
        <v>0</v>
      </c>
      <c r="B3790" t="s">
        <v>34</v>
      </c>
      <c r="C3790" t="s">
        <v>7503</v>
      </c>
      <c r="E3790" t="s">
        <v>22496</v>
      </c>
      <c r="F3790" t="s">
        <v>32831</v>
      </c>
      <c r="G3790" t="s">
        <v>32838</v>
      </c>
      <c r="H3790" t="s">
        <v>32848</v>
      </c>
      <c r="I3790" t="s">
        <v>10805</v>
      </c>
      <c r="J3790" t="s">
        <v>33433</v>
      </c>
      <c r="K3790" t="s">
        <v>42730</v>
      </c>
      <c r="M3790" t="s">
        <v>44653</v>
      </c>
      <c r="N3790" t="s">
        <v>47424</v>
      </c>
      <c r="O3790" t="s">
        <v>47425</v>
      </c>
      <c r="P3790">
        <v>0</v>
      </c>
      <c r="Q3790">
        <v>1</v>
      </c>
      <c r="R3790" t="s">
        <v>47430</v>
      </c>
      <c r="S3790" t="s">
        <v>47549</v>
      </c>
      <c r="T3790" t="s">
        <v>49123</v>
      </c>
      <c r="U3790" t="s">
        <v>52895</v>
      </c>
      <c r="W3790" t="s">
        <v>44653</v>
      </c>
      <c r="X3790" t="s">
        <v>47433</v>
      </c>
    </row>
    <row r="3791" spans="1:24">
      <c r="A3791">
        <f>HYPERLINK("https://www.philgeps.gov.ph/GEPSNONPILOT/Tender/SplashBidNoticeAbstractUI.aspx?menuIndex=3&amp;refID=7164070&amp;Result=3","7164070")</f>
        <v>0</v>
      </c>
      <c r="B3791" t="s">
        <v>1443</v>
      </c>
      <c r="C3791" t="s">
        <v>7504</v>
      </c>
      <c r="D3791" t="s">
        <v>19058</v>
      </c>
      <c r="E3791" t="s">
        <v>22497</v>
      </c>
      <c r="F3791" t="s">
        <v>32831</v>
      </c>
      <c r="G3791" t="s">
        <v>32838</v>
      </c>
      <c r="H3791" t="s">
        <v>32848</v>
      </c>
      <c r="I3791" t="s">
        <v>32860</v>
      </c>
      <c r="J3791" t="s">
        <v>35468</v>
      </c>
      <c r="K3791" t="s">
        <v>42732</v>
      </c>
      <c r="M3791" t="s">
        <v>44535</v>
      </c>
      <c r="N3791" t="s">
        <v>47424</v>
      </c>
      <c r="O3791" t="s">
        <v>47425</v>
      </c>
      <c r="P3791">
        <v>0</v>
      </c>
      <c r="Q3791">
        <v>0</v>
      </c>
      <c r="R3791" t="s">
        <v>47428</v>
      </c>
      <c r="S3791" t="s">
        <v>47541</v>
      </c>
      <c r="T3791" t="s">
        <v>49073</v>
      </c>
      <c r="U3791" t="s">
        <v>52704</v>
      </c>
      <c r="W3791" t="s">
        <v>44535</v>
      </c>
      <c r="X3791" t="s">
        <v>47430</v>
      </c>
    </row>
    <row r="3792" spans="1:24">
      <c r="A3792">
        <f>HYPERLINK("https://www.philgeps.gov.ph/GEPSNONPILOT/Tender/SplashBidNoticeAbstractUI.aspx?menuIndex=3&amp;refID=7153333&amp;Result=3","7153333")</f>
        <v>0</v>
      </c>
      <c r="B3792" t="s">
        <v>513</v>
      </c>
      <c r="C3792" t="s">
        <v>7505</v>
      </c>
      <c r="D3792" t="s">
        <v>19018</v>
      </c>
      <c r="E3792" t="s">
        <v>22498</v>
      </c>
      <c r="F3792" t="s">
        <v>32831</v>
      </c>
      <c r="G3792" t="s">
        <v>32842</v>
      </c>
      <c r="H3792" t="s">
        <v>32848</v>
      </c>
      <c r="I3792" t="s">
        <v>10805</v>
      </c>
      <c r="J3792" t="s">
        <v>32976</v>
      </c>
      <c r="K3792" t="s">
        <v>42727</v>
      </c>
      <c r="M3792" t="s">
        <v>43518</v>
      </c>
      <c r="N3792" t="s">
        <v>47424</v>
      </c>
      <c r="O3792" t="s">
        <v>47425</v>
      </c>
      <c r="P3792">
        <v>0</v>
      </c>
      <c r="Q3792">
        <v>2</v>
      </c>
      <c r="R3792" t="s">
        <v>47430</v>
      </c>
      <c r="S3792" t="s">
        <v>47549</v>
      </c>
      <c r="T3792" t="s">
        <v>49214</v>
      </c>
      <c r="U3792" t="s">
        <v>52838</v>
      </c>
      <c r="V3792" t="s">
        <v>63041</v>
      </c>
      <c r="W3792" t="s">
        <v>64441</v>
      </c>
      <c r="X3792" t="s">
        <v>47433</v>
      </c>
    </row>
    <row r="3793" spans="1:24">
      <c r="A3793">
        <f>HYPERLINK("https://www.philgeps.gov.ph/GEPSNONPILOT/Tender/SplashBidNoticeAbstractUI.aspx?menuIndex=3&amp;refID=7153328&amp;Result=3","7153328")</f>
        <v>0</v>
      </c>
      <c r="B3793" t="s">
        <v>1568</v>
      </c>
      <c r="C3793" t="s">
        <v>7506</v>
      </c>
      <c r="E3793" t="s">
        <v>22499</v>
      </c>
      <c r="F3793" t="s">
        <v>32831</v>
      </c>
      <c r="G3793" t="s">
        <v>32838</v>
      </c>
      <c r="H3793" t="s">
        <v>32848</v>
      </c>
      <c r="I3793" t="s">
        <v>4776</v>
      </c>
      <c r="J3793" t="s">
        <v>35469</v>
      </c>
      <c r="K3793" t="s">
        <v>42732</v>
      </c>
      <c r="M3793" t="s">
        <v>44677</v>
      </c>
      <c r="N3793" t="s">
        <v>47424</v>
      </c>
      <c r="O3793" t="s">
        <v>47425</v>
      </c>
      <c r="P3793">
        <v>0</v>
      </c>
      <c r="Q3793">
        <v>1</v>
      </c>
      <c r="R3793" t="s">
        <v>47430</v>
      </c>
      <c r="S3793" t="s">
        <v>47549</v>
      </c>
      <c r="T3793" t="s">
        <v>49111</v>
      </c>
      <c r="U3793" t="s">
        <v>52896</v>
      </c>
      <c r="W3793" t="s">
        <v>44677</v>
      </c>
      <c r="X3793" t="s">
        <v>47433</v>
      </c>
    </row>
    <row r="3794" spans="1:24">
      <c r="A3794">
        <f>HYPERLINK("https://www.philgeps.gov.ph/GEPSNONPILOT/Tender/SplashBidNoticeAbstractUI.aspx?menuIndex=3&amp;refID=7153325&amp;Result=3","7153325")</f>
        <v>0</v>
      </c>
      <c r="B3794" t="s">
        <v>1568</v>
      </c>
      <c r="C3794" t="s">
        <v>7507</v>
      </c>
      <c r="E3794" t="s">
        <v>22500</v>
      </c>
      <c r="F3794" t="s">
        <v>32831</v>
      </c>
      <c r="G3794" t="s">
        <v>32838</v>
      </c>
      <c r="H3794" t="s">
        <v>32848</v>
      </c>
      <c r="I3794" t="s">
        <v>32863</v>
      </c>
      <c r="J3794" t="s">
        <v>35470</v>
      </c>
      <c r="K3794" t="s">
        <v>42732</v>
      </c>
      <c r="M3794" t="s">
        <v>44677</v>
      </c>
      <c r="N3794" t="s">
        <v>47424</v>
      </c>
      <c r="O3794" t="s">
        <v>47425</v>
      </c>
      <c r="P3794">
        <v>0</v>
      </c>
      <c r="Q3794">
        <v>0</v>
      </c>
      <c r="R3794" t="s">
        <v>47430</v>
      </c>
      <c r="S3794" t="s">
        <v>47549</v>
      </c>
      <c r="T3794" t="s">
        <v>49111</v>
      </c>
      <c r="U3794" t="s">
        <v>52896</v>
      </c>
      <c r="W3794" t="s">
        <v>44677</v>
      </c>
      <c r="X3794" t="s">
        <v>47433</v>
      </c>
    </row>
    <row r="3795" spans="1:24">
      <c r="A3795">
        <f>HYPERLINK("https://www.philgeps.gov.ph/GEPSNONPILOT/Tender/SplashBidNoticeAbstractUI.aspx?menuIndex=3&amp;refID=7151980&amp;Result=3","7151980")</f>
        <v>0</v>
      </c>
      <c r="B3795" t="s">
        <v>33</v>
      </c>
      <c r="C3795" t="s">
        <v>7508</v>
      </c>
      <c r="D3795" t="s">
        <v>19024</v>
      </c>
      <c r="E3795" t="s">
        <v>22501</v>
      </c>
      <c r="F3795" t="s">
        <v>32831</v>
      </c>
      <c r="G3795" t="s">
        <v>32839</v>
      </c>
      <c r="H3795" t="s">
        <v>32849</v>
      </c>
      <c r="I3795" t="s">
        <v>4177</v>
      </c>
      <c r="J3795" t="s">
        <v>35459</v>
      </c>
      <c r="K3795" t="s">
        <v>42729</v>
      </c>
      <c r="M3795" t="s">
        <v>43030</v>
      </c>
      <c r="N3795" t="s">
        <v>47424</v>
      </c>
      <c r="O3795" t="s">
        <v>47425</v>
      </c>
      <c r="P3795">
        <v>0</v>
      </c>
      <c r="Q3795">
        <v>0</v>
      </c>
      <c r="R3795" t="s">
        <v>47430</v>
      </c>
      <c r="S3795" t="s">
        <v>47549</v>
      </c>
      <c r="T3795" t="s">
        <v>49188</v>
      </c>
      <c r="U3795" t="s">
        <v>52897</v>
      </c>
      <c r="W3795" t="s">
        <v>43030</v>
      </c>
      <c r="X3795" t="s">
        <v>47434</v>
      </c>
    </row>
    <row r="3796" spans="1:24">
      <c r="A3796">
        <f>HYPERLINK("https://www.philgeps.gov.ph/GEPSNONPILOT/Tender/SplashBidNoticeAbstractUI.aspx?menuIndex=3&amp;refID=7153318&amp;Result=3","7153318")</f>
        <v>0</v>
      </c>
      <c r="B3796" t="s">
        <v>1568</v>
      </c>
      <c r="C3796" t="s">
        <v>7509</v>
      </c>
      <c r="E3796" t="s">
        <v>22502</v>
      </c>
      <c r="F3796" t="s">
        <v>32831</v>
      </c>
      <c r="G3796" t="s">
        <v>32838</v>
      </c>
      <c r="H3796" t="s">
        <v>32848</v>
      </c>
      <c r="I3796" t="s">
        <v>4776</v>
      </c>
      <c r="J3796" t="s">
        <v>35471</v>
      </c>
      <c r="K3796" t="s">
        <v>42732</v>
      </c>
      <c r="M3796" t="s">
        <v>44677</v>
      </c>
      <c r="N3796" t="s">
        <v>47424</v>
      </c>
      <c r="O3796" t="s">
        <v>47425</v>
      </c>
      <c r="P3796">
        <v>0</v>
      </c>
      <c r="Q3796">
        <v>0</v>
      </c>
      <c r="R3796" t="s">
        <v>47430</v>
      </c>
      <c r="S3796" t="s">
        <v>47549</v>
      </c>
      <c r="T3796" t="s">
        <v>49111</v>
      </c>
      <c r="U3796" t="s">
        <v>52896</v>
      </c>
      <c r="W3796" t="s">
        <v>44677</v>
      </c>
      <c r="X3796" t="s">
        <v>47433</v>
      </c>
    </row>
    <row r="3797" spans="1:24">
      <c r="A3797">
        <f>HYPERLINK("https://www.philgeps.gov.ph/GEPSNONPILOT/Tender/SplashBidNoticeAbstractUI.aspx?menuIndex=3&amp;refID=7151296&amp;Result=3","7151296")</f>
        <v>0</v>
      </c>
      <c r="B3797" t="s">
        <v>1569</v>
      </c>
      <c r="C3797" t="s">
        <v>7510</v>
      </c>
      <c r="D3797" t="s">
        <v>19049</v>
      </c>
      <c r="E3797" t="s">
        <v>22503</v>
      </c>
      <c r="F3797" t="s">
        <v>32831</v>
      </c>
      <c r="G3797" t="s">
        <v>32840</v>
      </c>
      <c r="H3797" t="s">
        <v>32848</v>
      </c>
      <c r="I3797" t="s">
        <v>32858</v>
      </c>
      <c r="J3797" t="s">
        <v>33334</v>
      </c>
      <c r="K3797" t="s">
        <v>42760</v>
      </c>
      <c r="M3797" t="s">
        <v>44678</v>
      </c>
      <c r="N3797" t="s">
        <v>47424</v>
      </c>
      <c r="O3797" t="s">
        <v>47425</v>
      </c>
      <c r="P3797">
        <v>0</v>
      </c>
      <c r="Q3797">
        <v>1</v>
      </c>
      <c r="R3797" t="s">
        <v>47430</v>
      </c>
      <c r="S3797" t="s">
        <v>47549</v>
      </c>
      <c r="T3797" t="s">
        <v>49129</v>
      </c>
      <c r="U3797" t="s">
        <v>52898</v>
      </c>
      <c r="W3797" t="s">
        <v>44678</v>
      </c>
      <c r="X3797" t="s">
        <v>47434</v>
      </c>
    </row>
    <row r="3798" spans="1:24">
      <c r="A3798">
        <f>HYPERLINK("https://www.philgeps.gov.ph/GEPSNONPILOT/Tender/SplashBidNoticeAbstractUI.aspx?menuIndex=3&amp;refID=7153299&amp;Result=3","7153299")</f>
        <v>0</v>
      </c>
      <c r="B3798" t="s">
        <v>1568</v>
      </c>
      <c r="C3798" t="s">
        <v>7511</v>
      </c>
      <c r="E3798" t="s">
        <v>22504</v>
      </c>
      <c r="F3798" t="s">
        <v>32831</v>
      </c>
      <c r="G3798" t="s">
        <v>32838</v>
      </c>
      <c r="H3798" t="s">
        <v>32848</v>
      </c>
      <c r="I3798" t="s">
        <v>4303</v>
      </c>
      <c r="J3798" t="s">
        <v>35472</v>
      </c>
      <c r="K3798" t="s">
        <v>42732</v>
      </c>
      <c r="M3798" t="s">
        <v>44677</v>
      </c>
      <c r="N3798" t="s">
        <v>47424</v>
      </c>
      <c r="O3798" t="s">
        <v>47425</v>
      </c>
      <c r="P3798">
        <v>0</v>
      </c>
      <c r="Q3798">
        <v>1</v>
      </c>
      <c r="R3798" t="s">
        <v>47430</v>
      </c>
      <c r="S3798" t="s">
        <v>47549</v>
      </c>
      <c r="T3798" t="s">
        <v>49111</v>
      </c>
      <c r="U3798" t="s">
        <v>52896</v>
      </c>
      <c r="W3798" t="s">
        <v>44677</v>
      </c>
      <c r="X3798" t="s">
        <v>47433</v>
      </c>
    </row>
    <row r="3799" spans="1:24">
      <c r="A3799">
        <f>HYPERLINK("https://www.philgeps.gov.ph/GEPSNONPILOT/Tender/SplashBidNoticeAbstractUI.aspx?menuIndex=3&amp;refID=7164049&amp;Result=3","7164049")</f>
        <v>0</v>
      </c>
      <c r="B3799" t="s">
        <v>817</v>
      </c>
      <c r="C3799" t="s">
        <v>7512</v>
      </c>
      <c r="D3799" t="s">
        <v>19077</v>
      </c>
      <c r="E3799" t="s">
        <v>22505</v>
      </c>
      <c r="F3799" t="s">
        <v>32831</v>
      </c>
      <c r="G3799" t="s">
        <v>32839</v>
      </c>
      <c r="H3799" t="s">
        <v>32849</v>
      </c>
      <c r="I3799" t="s">
        <v>4177</v>
      </c>
      <c r="J3799" t="s">
        <v>35473</v>
      </c>
      <c r="K3799" t="s">
        <v>42842</v>
      </c>
      <c r="M3799" t="s">
        <v>44589</v>
      </c>
      <c r="N3799" t="s">
        <v>47424</v>
      </c>
      <c r="O3799" t="s">
        <v>47425</v>
      </c>
      <c r="P3799">
        <v>0</v>
      </c>
      <c r="Q3799">
        <v>1</v>
      </c>
      <c r="R3799" t="s">
        <v>47428</v>
      </c>
      <c r="S3799" t="s">
        <v>47541</v>
      </c>
      <c r="T3799" t="s">
        <v>49193</v>
      </c>
      <c r="U3799" t="s">
        <v>52708</v>
      </c>
      <c r="W3799" t="s">
        <v>44589</v>
      </c>
      <c r="X3799" t="s">
        <v>47430</v>
      </c>
    </row>
    <row r="3800" spans="1:24">
      <c r="A3800">
        <f>HYPERLINK("https://www.philgeps.gov.ph/GEPSNONPILOT/Tender/SplashBidNoticeAbstractUI.aspx?menuIndex=3&amp;refID=7153296&amp;Result=3","7153296")</f>
        <v>0</v>
      </c>
      <c r="B3800" t="s">
        <v>1568</v>
      </c>
      <c r="C3800" t="s">
        <v>7513</v>
      </c>
      <c r="E3800" t="s">
        <v>22506</v>
      </c>
      <c r="F3800" t="s">
        <v>32831</v>
      </c>
      <c r="G3800" t="s">
        <v>32838</v>
      </c>
      <c r="H3800" t="s">
        <v>32848</v>
      </c>
      <c r="I3800" t="s">
        <v>4303</v>
      </c>
      <c r="J3800" t="s">
        <v>35474</v>
      </c>
      <c r="K3800" t="s">
        <v>42732</v>
      </c>
      <c r="M3800" t="s">
        <v>44677</v>
      </c>
      <c r="N3800" t="s">
        <v>47424</v>
      </c>
      <c r="O3800" t="s">
        <v>47425</v>
      </c>
      <c r="P3800">
        <v>0</v>
      </c>
      <c r="Q3800">
        <v>1</v>
      </c>
      <c r="R3800" t="s">
        <v>47430</v>
      </c>
      <c r="S3800" t="s">
        <v>47549</v>
      </c>
      <c r="T3800" t="s">
        <v>49111</v>
      </c>
      <c r="U3800" t="s">
        <v>52896</v>
      </c>
      <c r="W3800" t="s">
        <v>44677</v>
      </c>
      <c r="X3800" t="s">
        <v>47433</v>
      </c>
    </row>
    <row r="3801" spans="1:24">
      <c r="A3801">
        <f>HYPERLINK("https://www.philgeps.gov.ph/GEPSNONPILOT/Tender/SplashBidNoticeAbstractUI.aspx?menuIndex=3&amp;refID=7153294&amp;Result=3","7153294")</f>
        <v>0</v>
      </c>
      <c r="B3801" t="s">
        <v>1568</v>
      </c>
      <c r="C3801" t="s">
        <v>7514</v>
      </c>
      <c r="E3801" t="s">
        <v>22507</v>
      </c>
      <c r="F3801" t="s">
        <v>32831</v>
      </c>
      <c r="G3801" t="s">
        <v>32838</v>
      </c>
      <c r="H3801" t="s">
        <v>32848</v>
      </c>
      <c r="I3801" t="s">
        <v>4303</v>
      </c>
      <c r="J3801" t="s">
        <v>35475</v>
      </c>
      <c r="K3801" t="s">
        <v>42732</v>
      </c>
      <c r="M3801" t="s">
        <v>44677</v>
      </c>
      <c r="N3801" t="s">
        <v>47424</v>
      </c>
      <c r="O3801" t="s">
        <v>47425</v>
      </c>
      <c r="P3801">
        <v>0</v>
      </c>
      <c r="Q3801">
        <v>0</v>
      </c>
      <c r="R3801" t="s">
        <v>47430</v>
      </c>
      <c r="S3801" t="s">
        <v>47549</v>
      </c>
      <c r="T3801" t="s">
        <v>49111</v>
      </c>
      <c r="U3801" t="s">
        <v>52896</v>
      </c>
      <c r="W3801" t="s">
        <v>44677</v>
      </c>
      <c r="X3801" t="s">
        <v>47433</v>
      </c>
    </row>
    <row r="3802" spans="1:24">
      <c r="A3802">
        <f>HYPERLINK("https://www.philgeps.gov.ph/GEPSNONPILOT/Tender/SplashBidNoticeAbstractUI.aspx?menuIndex=3&amp;refID=7153310&amp;Result=3","7153310")</f>
        <v>0</v>
      </c>
      <c r="B3802" t="s">
        <v>60</v>
      </c>
      <c r="C3802" t="s">
        <v>7515</v>
      </c>
      <c r="D3802" t="s">
        <v>19042</v>
      </c>
      <c r="E3802" t="s">
        <v>22508</v>
      </c>
      <c r="F3802" t="s">
        <v>32831</v>
      </c>
      <c r="G3802" t="s">
        <v>32839</v>
      </c>
      <c r="H3802" t="s">
        <v>32849</v>
      </c>
      <c r="I3802" t="s">
        <v>4177</v>
      </c>
      <c r="J3802" t="s">
        <v>35476</v>
      </c>
      <c r="K3802" t="s">
        <v>42843</v>
      </c>
      <c r="M3802" t="s">
        <v>43740</v>
      </c>
      <c r="N3802" t="s">
        <v>47424</v>
      </c>
      <c r="O3802" t="s">
        <v>47425</v>
      </c>
      <c r="P3802">
        <v>0</v>
      </c>
      <c r="Q3802">
        <v>0</v>
      </c>
      <c r="R3802" t="s">
        <v>47430</v>
      </c>
      <c r="S3802" t="s">
        <v>47549</v>
      </c>
      <c r="T3802" t="s">
        <v>49358</v>
      </c>
      <c r="U3802" t="s">
        <v>52899</v>
      </c>
      <c r="W3802" t="s">
        <v>43740</v>
      </c>
      <c r="X3802" t="s">
        <v>47433</v>
      </c>
    </row>
    <row r="3803" spans="1:24">
      <c r="A3803">
        <f>HYPERLINK("https://www.philgeps.gov.ph/GEPSNONPILOT/Tender/SplashBidNoticeAbstractUI.aspx?menuIndex=3&amp;refID=7153170&amp;Result=3","7153170")</f>
        <v>0</v>
      </c>
      <c r="B3803" t="s">
        <v>242</v>
      </c>
      <c r="C3803" t="s">
        <v>4699</v>
      </c>
      <c r="D3803" t="s">
        <v>19023</v>
      </c>
      <c r="E3803" t="s">
        <v>22509</v>
      </c>
      <c r="F3803" t="s">
        <v>32831</v>
      </c>
      <c r="G3803" t="s">
        <v>32838</v>
      </c>
      <c r="H3803" t="s">
        <v>32848</v>
      </c>
      <c r="I3803" t="s">
        <v>9577</v>
      </c>
      <c r="J3803" t="s">
        <v>35477</v>
      </c>
      <c r="K3803" t="s">
        <v>42726</v>
      </c>
      <c r="M3803" t="s">
        <v>43241</v>
      </c>
      <c r="N3803" t="s">
        <v>47424</v>
      </c>
      <c r="O3803" t="s">
        <v>47425</v>
      </c>
      <c r="P3803">
        <v>0</v>
      </c>
      <c r="Q3803">
        <v>2</v>
      </c>
      <c r="R3803" t="s">
        <v>47430</v>
      </c>
      <c r="S3803" t="s">
        <v>47549</v>
      </c>
      <c r="T3803" t="s">
        <v>49198</v>
      </c>
      <c r="U3803" t="s">
        <v>52900</v>
      </c>
      <c r="V3803" t="s">
        <v>62668</v>
      </c>
      <c r="W3803" t="s">
        <v>43241</v>
      </c>
      <c r="X3803" t="s">
        <v>47433</v>
      </c>
    </row>
    <row r="3804" spans="1:24">
      <c r="A3804">
        <f>HYPERLINK("https://www.philgeps.gov.ph/GEPSNONPILOT/Tender/SplashBidNoticeAbstractUI.aspx?menuIndex=3&amp;refID=7153297&amp;Result=3","7153297")</f>
        <v>0</v>
      </c>
      <c r="B3804" t="s">
        <v>513</v>
      </c>
      <c r="C3804" t="s">
        <v>7516</v>
      </c>
      <c r="D3804" t="s">
        <v>19018</v>
      </c>
      <c r="E3804" t="s">
        <v>22510</v>
      </c>
      <c r="F3804" t="s">
        <v>32831</v>
      </c>
      <c r="G3804" t="s">
        <v>32842</v>
      </c>
      <c r="H3804" t="s">
        <v>32848</v>
      </c>
      <c r="I3804" t="s">
        <v>9577</v>
      </c>
      <c r="J3804" t="s">
        <v>33623</v>
      </c>
      <c r="K3804" t="s">
        <v>42726</v>
      </c>
      <c r="M3804" t="s">
        <v>43518</v>
      </c>
      <c r="N3804" t="s">
        <v>47424</v>
      </c>
      <c r="O3804" t="s">
        <v>47425</v>
      </c>
      <c r="P3804">
        <v>0</v>
      </c>
      <c r="Q3804">
        <v>4</v>
      </c>
      <c r="R3804" t="s">
        <v>47430</v>
      </c>
      <c r="S3804" t="s">
        <v>47549</v>
      </c>
      <c r="T3804" t="s">
        <v>49214</v>
      </c>
      <c r="U3804" t="s">
        <v>52838</v>
      </c>
      <c r="W3804" t="s">
        <v>64441</v>
      </c>
      <c r="X3804" t="s">
        <v>47433</v>
      </c>
    </row>
    <row r="3805" spans="1:24">
      <c r="A3805">
        <f>HYPERLINK("https://www.philgeps.gov.ph/GEPSNONPILOT/Tender/SplashBidNoticeAbstractUI.aspx?menuIndex=3&amp;refID=7153139&amp;Result=3","7153139")</f>
        <v>0</v>
      </c>
      <c r="B3805" t="s">
        <v>60</v>
      </c>
      <c r="C3805" t="s">
        <v>7517</v>
      </c>
      <c r="D3805" t="s">
        <v>19042</v>
      </c>
      <c r="E3805" t="s">
        <v>22511</v>
      </c>
      <c r="F3805" t="s">
        <v>32831</v>
      </c>
      <c r="G3805" t="s">
        <v>32839</v>
      </c>
      <c r="H3805" t="s">
        <v>32849</v>
      </c>
      <c r="I3805" t="s">
        <v>4177</v>
      </c>
      <c r="J3805" t="s">
        <v>35478</v>
      </c>
      <c r="K3805" t="s">
        <v>42808</v>
      </c>
      <c r="M3805" t="s">
        <v>43740</v>
      </c>
      <c r="N3805" t="s">
        <v>47424</v>
      </c>
      <c r="O3805" t="s">
        <v>47425</v>
      </c>
      <c r="P3805">
        <v>0</v>
      </c>
      <c r="Q3805">
        <v>0</v>
      </c>
      <c r="R3805" t="s">
        <v>47430</v>
      </c>
      <c r="S3805" t="s">
        <v>47549</v>
      </c>
      <c r="T3805" t="s">
        <v>49358</v>
      </c>
      <c r="U3805" t="s">
        <v>52901</v>
      </c>
      <c r="W3805" t="s">
        <v>43740</v>
      </c>
      <c r="X3805" t="s">
        <v>47433</v>
      </c>
    </row>
    <row r="3806" spans="1:24">
      <c r="A3806">
        <f>HYPERLINK("https://www.philgeps.gov.ph/GEPSNONPILOT/Tender/SplashBidNoticeAbstractUI.aspx?menuIndex=3&amp;refID=7164047&amp;Result=3","7164047")</f>
        <v>0</v>
      </c>
      <c r="B3806" t="s">
        <v>1570</v>
      </c>
      <c r="C3806" t="s">
        <v>7518</v>
      </c>
      <c r="D3806" t="s">
        <v>19091</v>
      </c>
      <c r="E3806" t="s">
        <v>19351</v>
      </c>
      <c r="F3806" t="s">
        <v>32831</v>
      </c>
      <c r="G3806" t="s">
        <v>32838</v>
      </c>
      <c r="H3806" t="s">
        <v>32849</v>
      </c>
      <c r="I3806" t="s">
        <v>32863</v>
      </c>
      <c r="J3806" t="s">
        <v>35479</v>
      </c>
      <c r="K3806" t="s">
        <v>42727</v>
      </c>
      <c r="M3806" t="s">
        <v>44679</v>
      </c>
      <c r="N3806" t="s">
        <v>47424</v>
      </c>
      <c r="O3806" t="s">
        <v>47425</v>
      </c>
      <c r="P3806">
        <v>0</v>
      </c>
      <c r="Q3806">
        <v>0</v>
      </c>
      <c r="R3806" t="s">
        <v>47428</v>
      </c>
      <c r="S3806" t="s">
        <v>47541</v>
      </c>
      <c r="T3806" t="s">
        <v>49108</v>
      </c>
      <c r="U3806" t="s">
        <v>52902</v>
      </c>
      <c r="W3806" t="s">
        <v>44679</v>
      </c>
      <c r="X3806" t="s">
        <v>47430</v>
      </c>
    </row>
    <row r="3807" spans="1:24">
      <c r="A3807">
        <f>HYPERLINK("https://www.philgeps.gov.ph/GEPSNONPILOT/Tender/SplashBidNoticeAbstractUI.aspx?menuIndex=3&amp;refID=7153821&amp;Result=3","7153821")</f>
        <v>0</v>
      </c>
      <c r="B3807" t="s">
        <v>1565</v>
      </c>
      <c r="C3807" t="s">
        <v>7519</v>
      </c>
      <c r="D3807" t="s">
        <v>19073</v>
      </c>
      <c r="E3807" t="s">
        <v>19281</v>
      </c>
      <c r="F3807" t="s">
        <v>32831</v>
      </c>
      <c r="G3807" t="s">
        <v>32839</v>
      </c>
      <c r="H3807" t="s">
        <v>32848</v>
      </c>
      <c r="I3807" t="s">
        <v>4303</v>
      </c>
      <c r="J3807" t="s">
        <v>35480</v>
      </c>
      <c r="K3807" t="s">
        <v>42732</v>
      </c>
      <c r="M3807" t="s">
        <v>44674</v>
      </c>
      <c r="N3807" t="s">
        <v>47424</v>
      </c>
      <c r="O3807" t="s">
        <v>47425</v>
      </c>
      <c r="P3807">
        <v>0</v>
      </c>
      <c r="Q3807">
        <v>0</v>
      </c>
      <c r="R3807" t="s">
        <v>47430</v>
      </c>
      <c r="S3807" t="s">
        <v>47549</v>
      </c>
      <c r="T3807" t="s">
        <v>49104</v>
      </c>
      <c r="U3807" t="s">
        <v>52903</v>
      </c>
      <c r="W3807" t="s">
        <v>44674</v>
      </c>
      <c r="X3807" t="s">
        <v>47433</v>
      </c>
    </row>
    <row r="3808" spans="1:24">
      <c r="A3808">
        <f>HYPERLINK("https://www.philgeps.gov.ph/GEPSNONPILOT/Tender/SplashBidNoticeAbstractUI.aspx?menuIndex=3&amp;refID=7154138&amp;Result=3","7154138")</f>
        <v>0</v>
      </c>
      <c r="B3808" t="s">
        <v>1571</v>
      </c>
      <c r="C3808" t="s">
        <v>7520</v>
      </c>
      <c r="D3808" t="s">
        <v>19060</v>
      </c>
      <c r="E3808" t="s">
        <v>22512</v>
      </c>
      <c r="F3808" t="s">
        <v>32831</v>
      </c>
      <c r="G3808" t="s">
        <v>32839</v>
      </c>
      <c r="H3808" t="s">
        <v>32848</v>
      </c>
      <c r="I3808" t="s">
        <v>32870</v>
      </c>
      <c r="J3808" t="s">
        <v>35481</v>
      </c>
      <c r="K3808" t="s">
        <v>42727</v>
      </c>
      <c r="M3808" t="s">
        <v>44680</v>
      </c>
      <c r="N3808" t="s">
        <v>47424</v>
      </c>
      <c r="O3808" t="s">
        <v>47425</v>
      </c>
      <c r="P3808">
        <v>0</v>
      </c>
      <c r="Q3808">
        <v>0</v>
      </c>
      <c r="R3808" t="s">
        <v>47430</v>
      </c>
      <c r="S3808" t="s">
        <v>47549</v>
      </c>
      <c r="T3808" t="s">
        <v>49359</v>
      </c>
      <c r="U3808" t="s">
        <v>52904</v>
      </c>
      <c r="V3808" t="s">
        <v>63042</v>
      </c>
      <c r="W3808" t="s">
        <v>44680</v>
      </c>
      <c r="X3808" t="s">
        <v>47433</v>
      </c>
    </row>
    <row r="3809" spans="1:24">
      <c r="A3809">
        <f>HYPERLINK("https://www.philgeps.gov.ph/GEPSNONPILOT/Tender/SplashBidNoticeAbstractUI.aspx?menuIndex=3&amp;refID=7153301&amp;Result=3","7153301")</f>
        <v>0</v>
      </c>
      <c r="B3809" t="s">
        <v>1568</v>
      </c>
      <c r="C3809" t="s">
        <v>7521</v>
      </c>
      <c r="E3809" t="s">
        <v>22513</v>
      </c>
      <c r="F3809" t="s">
        <v>32831</v>
      </c>
      <c r="G3809" t="s">
        <v>32838</v>
      </c>
      <c r="H3809" t="s">
        <v>32848</v>
      </c>
      <c r="I3809" t="s">
        <v>4303</v>
      </c>
      <c r="J3809" t="s">
        <v>35482</v>
      </c>
      <c r="K3809" t="s">
        <v>42732</v>
      </c>
      <c r="M3809" t="s">
        <v>44677</v>
      </c>
      <c r="N3809" t="s">
        <v>47424</v>
      </c>
      <c r="O3809" t="s">
        <v>47425</v>
      </c>
      <c r="P3809">
        <v>0</v>
      </c>
      <c r="Q3809">
        <v>0</v>
      </c>
      <c r="R3809" t="s">
        <v>47430</v>
      </c>
      <c r="S3809" t="s">
        <v>47549</v>
      </c>
      <c r="T3809" t="s">
        <v>49111</v>
      </c>
      <c r="U3809" t="s">
        <v>52896</v>
      </c>
      <c r="W3809" t="s">
        <v>44677</v>
      </c>
      <c r="X3809" t="s">
        <v>47433</v>
      </c>
    </row>
    <row r="3810" spans="1:24">
      <c r="A3810">
        <f>HYPERLINK("https://www.philgeps.gov.ph/GEPSNONPILOT/Tender/SplashBidNoticeAbstractUI.aspx?menuIndex=3&amp;refID=7153330&amp;Result=3","7153330")</f>
        <v>0</v>
      </c>
      <c r="B3810" t="s">
        <v>60</v>
      </c>
      <c r="C3810" t="s">
        <v>7522</v>
      </c>
      <c r="D3810" t="s">
        <v>19042</v>
      </c>
      <c r="E3810" t="s">
        <v>22514</v>
      </c>
      <c r="F3810" t="s">
        <v>32831</v>
      </c>
      <c r="G3810" t="s">
        <v>32839</v>
      </c>
      <c r="H3810" t="s">
        <v>32849</v>
      </c>
      <c r="I3810" t="s">
        <v>4177</v>
      </c>
      <c r="J3810" t="s">
        <v>35483</v>
      </c>
      <c r="K3810" t="s">
        <v>42844</v>
      </c>
      <c r="M3810" t="s">
        <v>43740</v>
      </c>
      <c r="N3810" t="s">
        <v>47424</v>
      </c>
      <c r="O3810" t="s">
        <v>47425</v>
      </c>
      <c r="P3810">
        <v>0</v>
      </c>
      <c r="Q3810">
        <v>0</v>
      </c>
      <c r="R3810" t="s">
        <v>47430</v>
      </c>
      <c r="S3810" t="s">
        <v>47549</v>
      </c>
      <c r="T3810" t="s">
        <v>49358</v>
      </c>
      <c r="U3810" t="s">
        <v>52905</v>
      </c>
      <c r="W3810" t="s">
        <v>43740</v>
      </c>
      <c r="X3810" t="s">
        <v>47433</v>
      </c>
    </row>
    <row r="3811" spans="1:24">
      <c r="A3811">
        <f>HYPERLINK("https://www.philgeps.gov.ph/GEPSNONPILOT/Tender/SplashBidNoticeAbstractUI.aspx?menuIndex=3&amp;refID=7153958&amp;Result=3","7153958")</f>
        <v>0</v>
      </c>
      <c r="B3811" t="s">
        <v>1565</v>
      </c>
      <c r="C3811" t="s">
        <v>7474</v>
      </c>
      <c r="D3811" t="s">
        <v>19073</v>
      </c>
      <c r="E3811" t="s">
        <v>20612</v>
      </c>
      <c r="F3811" t="s">
        <v>32831</v>
      </c>
      <c r="G3811" t="s">
        <v>32839</v>
      </c>
      <c r="H3811" t="s">
        <v>32848</v>
      </c>
      <c r="I3811" t="s">
        <v>4776</v>
      </c>
      <c r="J3811" t="s">
        <v>33133</v>
      </c>
      <c r="K3811" t="s">
        <v>42732</v>
      </c>
      <c r="M3811" t="s">
        <v>44674</v>
      </c>
      <c r="N3811" t="s">
        <v>47424</v>
      </c>
      <c r="O3811" t="s">
        <v>47425</v>
      </c>
      <c r="P3811">
        <v>0</v>
      </c>
      <c r="Q3811">
        <v>0</v>
      </c>
      <c r="R3811" t="s">
        <v>47430</v>
      </c>
      <c r="S3811" t="s">
        <v>47549</v>
      </c>
      <c r="T3811" t="s">
        <v>49303</v>
      </c>
      <c r="U3811" t="s">
        <v>52906</v>
      </c>
      <c r="W3811" t="s">
        <v>44674</v>
      </c>
      <c r="X3811" t="s">
        <v>47433</v>
      </c>
    </row>
    <row r="3812" spans="1:24">
      <c r="A3812">
        <f>HYPERLINK("https://www.philgeps.gov.ph/GEPSNONPILOT/Tender/SplashBidNoticeAbstractUI.aspx?menuIndex=3&amp;refID=7153869&amp;Result=3","7153869")</f>
        <v>0</v>
      </c>
      <c r="B3812" t="s">
        <v>242</v>
      </c>
      <c r="C3812" t="s">
        <v>4699</v>
      </c>
      <c r="D3812" t="s">
        <v>19086</v>
      </c>
      <c r="E3812" t="s">
        <v>22515</v>
      </c>
      <c r="F3812" t="s">
        <v>32831</v>
      </c>
      <c r="G3812" t="s">
        <v>32838</v>
      </c>
      <c r="H3812" t="s">
        <v>32848</v>
      </c>
      <c r="I3812" t="s">
        <v>32860</v>
      </c>
      <c r="J3812" t="s">
        <v>35484</v>
      </c>
      <c r="K3812" t="s">
        <v>42726</v>
      </c>
      <c r="M3812" t="s">
        <v>43241</v>
      </c>
      <c r="N3812" t="s">
        <v>47424</v>
      </c>
      <c r="O3812" t="s">
        <v>47425</v>
      </c>
      <c r="P3812">
        <v>0</v>
      </c>
      <c r="Q3812">
        <v>5</v>
      </c>
      <c r="R3812" t="s">
        <v>47430</v>
      </c>
      <c r="S3812" t="s">
        <v>47549</v>
      </c>
      <c r="T3812" t="s">
        <v>49198</v>
      </c>
      <c r="U3812" t="s">
        <v>52907</v>
      </c>
      <c r="V3812" t="s">
        <v>62668</v>
      </c>
      <c r="W3812" t="s">
        <v>43241</v>
      </c>
      <c r="X3812" t="s">
        <v>47433</v>
      </c>
    </row>
    <row r="3813" spans="1:24">
      <c r="A3813">
        <f>HYPERLINK("https://www.philgeps.gov.ph/GEPSNONPILOT/Tender/SplashBidNoticeAbstractUI.aspx?menuIndex=3&amp;refID=7153289&amp;Result=3","7153289")</f>
        <v>0</v>
      </c>
      <c r="B3813" t="s">
        <v>1568</v>
      </c>
      <c r="C3813" t="s">
        <v>7523</v>
      </c>
      <c r="E3813" t="s">
        <v>22516</v>
      </c>
      <c r="F3813" t="s">
        <v>32831</v>
      </c>
      <c r="G3813" t="s">
        <v>32838</v>
      </c>
      <c r="H3813" t="s">
        <v>32848</v>
      </c>
      <c r="I3813" t="s">
        <v>4303</v>
      </c>
      <c r="J3813" t="s">
        <v>35485</v>
      </c>
      <c r="K3813" t="s">
        <v>42732</v>
      </c>
      <c r="M3813" t="s">
        <v>44677</v>
      </c>
      <c r="N3813" t="s">
        <v>47424</v>
      </c>
      <c r="O3813" t="s">
        <v>47425</v>
      </c>
      <c r="P3813">
        <v>0</v>
      </c>
      <c r="Q3813">
        <v>0</v>
      </c>
      <c r="R3813" t="s">
        <v>47430</v>
      </c>
      <c r="S3813" t="s">
        <v>47549</v>
      </c>
      <c r="T3813" t="s">
        <v>49111</v>
      </c>
      <c r="U3813" t="s">
        <v>52896</v>
      </c>
      <c r="W3813" t="s">
        <v>44677</v>
      </c>
      <c r="X3813" t="s">
        <v>47433</v>
      </c>
    </row>
    <row r="3814" spans="1:24">
      <c r="A3814">
        <f>HYPERLINK("https://www.philgeps.gov.ph/GEPSNONPILOT/Tender/SplashBidNoticeAbstractUI.aspx?menuIndex=3&amp;refID=7153777&amp;Result=3","7153777")</f>
        <v>0</v>
      </c>
      <c r="B3814" t="s">
        <v>1572</v>
      </c>
      <c r="C3814" t="s">
        <v>7524</v>
      </c>
      <c r="D3814" t="s">
        <v>19031</v>
      </c>
      <c r="E3814" t="s">
        <v>19219</v>
      </c>
      <c r="F3814" t="s">
        <v>32831</v>
      </c>
      <c r="G3814" t="s">
        <v>32839</v>
      </c>
      <c r="H3814" t="s">
        <v>32849</v>
      </c>
      <c r="I3814" t="s">
        <v>4177</v>
      </c>
      <c r="J3814" t="s">
        <v>32980</v>
      </c>
      <c r="K3814" t="s">
        <v>42727</v>
      </c>
      <c r="M3814" t="s">
        <v>44681</v>
      </c>
      <c r="N3814" t="s">
        <v>47424</v>
      </c>
      <c r="O3814" t="s">
        <v>47425</v>
      </c>
      <c r="P3814">
        <v>0</v>
      </c>
      <c r="Q3814">
        <v>0</v>
      </c>
      <c r="R3814" t="s">
        <v>47430</v>
      </c>
      <c r="S3814" t="s">
        <v>47549</v>
      </c>
      <c r="T3814" t="s">
        <v>49231</v>
      </c>
      <c r="U3814" t="s">
        <v>52908</v>
      </c>
      <c r="W3814" t="s">
        <v>44681</v>
      </c>
      <c r="X3814" t="s">
        <v>47433</v>
      </c>
    </row>
    <row r="3815" spans="1:24">
      <c r="A3815">
        <f>HYPERLINK("https://www.philgeps.gov.ph/GEPSNONPILOT/Tender/SplashBidNoticeAbstractUI.aspx?menuIndex=3&amp;refID=7153755&amp;Result=3","7153755")</f>
        <v>0</v>
      </c>
      <c r="B3815" t="s">
        <v>1565</v>
      </c>
      <c r="C3815" t="s">
        <v>7525</v>
      </c>
      <c r="D3815" t="s">
        <v>19073</v>
      </c>
      <c r="E3815" t="s">
        <v>20298</v>
      </c>
      <c r="F3815" t="s">
        <v>32831</v>
      </c>
      <c r="G3815" t="s">
        <v>32839</v>
      </c>
      <c r="H3815" t="s">
        <v>32848</v>
      </c>
      <c r="I3815" t="s">
        <v>4471</v>
      </c>
      <c r="J3815" t="s">
        <v>35486</v>
      </c>
      <c r="K3815" t="s">
        <v>42732</v>
      </c>
      <c r="M3815" t="s">
        <v>44674</v>
      </c>
      <c r="N3815" t="s">
        <v>47424</v>
      </c>
      <c r="O3815" t="s">
        <v>47425</v>
      </c>
      <c r="P3815">
        <v>0</v>
      </c>
      <c r="Q3815">
        <v>0</v>
      </c>
      <c r="R3815" t="s">
        <v>47430</v>
      </c>
      <c r="S3815" t="s">
        <v>47549</v>
      </c>
      <c r="T3815" t="s">
        <v>49208</v>
      </c>
      <c r="U3815" t="s">
        <v>52909</v>
      </c>
      <c r="W3815" t="s">
        <v>44674</v>
      </c>
      <c r="X3815" t="s">
        <v>47433</v>
      </c>
    </row>
    <row r="3816" spans="1:24">
      <c r="A3816">
        <f>HYPERLINK("https://www.philgeps.gov.ph/GEPSNONPILOT/Tender/SplashBidNoticeAbstractUI.aspx?menuIndex=3&amp;refID=7153178&amp;Result=3","7153178")</f>
        <v>0</v>
      </c>
      <c r="B3816" t="s">
        <v>1541</v>
      </c>
      <c r="C3816" t="s">
        <v>7526</v>
      </c>
      <c r="D3816" t="s">
        <v>19019</v>
      </c>
      <c r="E3816" t="s">
        <v>22517</v>
      </c>
      <c r="F3816" t="s">
        <v>32831</v>
      </c>
      <c r="G3816" t="s">
        <v>32839</v>
      </c>
      <c r="H3816" t="s">
        <v>32848</v>
      </c>
      <c r="I3816" t="s">
        <v>7751</v>
      </c>
      <c r="J3816" t="s">
        <v>35487</v>
      </c>
      <c r="K3816" t="s">
        <v>42730</v>
      </c>
      <c r="M3816" t="s">
        <v>44645</v>
      </c>
      <c r="N3816" t="s">
        <v>47424</v>
      </c>
      <c r="O3816" t="s">
        <v>47425</v>
      </c>
      <c r="P3816">
        <v>0</v>
      </c>
      <c r="Q3816">
        <v>4</v>
      </c>
      <c r="R3816" t="s">
        <v>47430</v>
      </c>
      <c r="S3816" t="s">
        <v>47549</v>
      </c>
      <c r="T3816" t="s">
        <v>49077</v>
      </c>
      <c r="U3816" t="s">
        <v>52910</v>
      </c>
      <c r="V3816" t="s">
        <v>63043</v>
      </c>
      <c r="W3816" t="s">
        <v>44645</v>
      </c>
      <c r="X3816" t="s">
        <v>47433</v>
      </c>
    </row>
    <row r="3817" spans="1:24">
      <c r="A3817">
        <f>HYPERLINK("https://www.philgeps.gov.ph/GEPSNONPILOT/Tender/SplashBidNoticeAbstractUI.aspx?menuIndex=3&amp;refID=7153674&amp;Result=3","7153674")</f>
        <v>0</v>
      </c>
      <c r="B3817" t="s">
        <v>430</v>
      </c>
      <c r="C3817" t="s">
        <v>7527</v>
      </c>
      <c r="D3817" t="s">
        <v>19092</v>
      </c>
      <c r="E3817" t="s">
        <v>22518</v>
      </c>
      <c r="F3817" t="s">
        <v>32831</v>
      </c>
      <c r="G3817" t="s">
        <v>32840</v>
      </c>
      <c r="H3817" t="s">
        <v>32848</v>
      </c>
      <c r="I3817" t="s">
        <v>32860</v>
      </c>
      <c r="J3817" t="s">
        <v>33073</v>
      </c>
      <c r="K3817" t="s">
        <v>42726</v>
      </c>
      <c r="M3817" t="s">
        <v>43435</v>
      </c>
      <c r="N3817" t="s">
        <v>47424</v>
      </c>
      <c r="O3817" t="s">
        <v>47425</v>
      </c>
      <c r="P3817">
        <v>0</v>
      </c>
      <c r="Q3817">
        <v>1</v>
      </c>
      <c r="R3817" t="s">
        <v>47430</v>
      </c>
      <c r="S3817" t="s">
        <v>47549</v>
      </c>
      <c r="T3817" t="s">
        <v>49135</v>
      </c>
      <c r="U3817" t="s">
        <v>52911</v>
      </c>
      <c r="W3817" t="s">
        <v>43435</v>
      </c>
      <c r="X3817" t="s">
        <v>47433</v>
      </c>
    </row>
    <row r="3818" spans="1:24">
      <c r="A3818">
        <f>HYPERLINK("https://www.philgeps.gov.ph/GEPSNONPILOT/Tender/SplashBidNoticeAbstractUI.aspx?menuIndex=3&amp;refID=7153654&amp;Result=3","7153654")</f>
        <v>0</v>
      </c>
      <c r="B3818" t="s">
        <v>1565</v>
      </c>
      <c r="C3818" t="s">
        <v>7528</v>
      </c>
      <c r="D3818" t="s">
        <v>19073</v>
      </c>
      <c r="E3818" t="s">
        <v>21664</v>
      </c>
      <c r="F3818" t="s">
        <v>32831</v>
      </c>
      <c r="G3818" t="s">
        <v>32839</v>
      </c>
      <c r="H3818" t="s">
        <v>32848</v>
      </c>
      <c r="I3818" t="s">
        <v>32853</v>
      </c>
      <c r="J3818" t="s">
        <v>33364</v>
      </c>
      <c r="K3818" t="s">
        <v>42732</v>
      </c>
      <c r="M3818" t="s">
        <v>44674</v>
      </c>
      <c r="N3818" t="s">
        <v>47424</v>
      </c>
      <c r="O3818" t="s">
        <v>47425</v>
      </c>
      <c r="P3818">
        <v>0</v>
      </c>
      <c r="Q3818">
        <v>0</v>
      </c>
      <c r="R3818" t="s">
        <v>47430</v>
      </c>
      <c r="S3818" t="s">
        <v>47549</v>
      </c>
      <c r="T3818" t="s">
        <v>49295</v>
      </c>
      <c r="U3818" t="s">
        <v>52912</v>
      </c>
      <c r="W3818" t="s">
        <v>44674</v>
      </c>
      <c r="X3818" t="s">
        <v>47433</v>
      </c>
    </row>
    <row r="3819" spans="1:24">
      <c r="A3819">
        <f>HYPERLINK("https://www.philgeps.gov.ph/GEPSNONPILOT/Tender/SplashBidNoticeAbstractUI.aspx?menuIndex=3&amp;refID=7164048&amp;Result=3","7164048")</f>
        <v>0</v>
      </c>
      <c r="B3819" t="s">
        <v>1385</v>
      </c>
      <c r="C3819" t="s">
        <v>7529</v>
      </c>
      <c r="D3819" t="s">
        <v>19060</v>
      </c>
      <c r="E3819" t="s">
        <v>22519</v>
      </c>
      <c r="F3819" t="s">
        <v>32831</v>
      </c>
      <c r="G3819" t="s">
        <v>32840</v>
      </c>
      <c r="H3819" t="s">
        <v>32848</v>
      </c>
      <c r="I3819" t="s">
        <v>4438</v>
      </c>
      <c r="J3819" t="s">
        <v>35488</v>
      </c>
      <c r="K3819" t="s">
        <v>42730</v>
      </c>
      <c r="M3819" t="s">
        <v>44470</v>
      </c>
      <c r="N3819" t="s">
        <v>47424</v>
      </c>
      <c r="O3819" t="s">
        <v>47425</v>
      </c>
      <c r="P3819">
        <v>0</v>
      </c>
      <c r="Q3819">
        <v>3</v>
      </c>
      <c r="R3819" t="s">
        <v>47428</v>
      </c>
      <c r="S3819" t="s">
        <v>47541</v>
      </c>
      <c r="T3819" t="s">
        <v>49129</v>
      </c>
      <c r="U3819" t="s">
        <v>52913</v>
      </c>
      <c r="V3819" t="s">
        <v>62982</v>
      </c>
      <c r="W3819" t="s">
        <v>44470</v>
      </c>
      <c r="X3819" t="s">
        <v>47430</v>
      </c>
    </row>
    <row r="3820" spans="1:24">
      <c r="A3820">
        <f>HYPERLINK("https://www.philgeps.gov.ph/GEPSNONPILOT/Tender/SplashBidNoticeAbstractUI.aspx?menuIndex=3&amp;refID=7153630&amp;Result=3","7153630")</f>
        <v>0</v>
      </c>
      <c r="B3820" t="s">
        <v>282</v>
      </c>
      <c r="C3820" t="s">
        <v>7530</v>
      </c>
      <c r="D3820" t="s">
        <v>19052</v>
      </c>
      <c r="E3820" t="s">
        <v>22520</v>
      </c>
      <c r="F3820" t="s">
        <v>32831</v>
      </c>
      <c r="G3820" t="s">
        <v>32838</v>
      </c>
      <c r="H3820" t="s">
        <v>32848</v>
      </c>
      <c r="I3820" t="s">
        <v>4487</v>
      </c>
      <c r="J3820" t="s">
        <v>35489</v>
      </c>
      <c r="K3820" t="s">
        <v>42731</v>
      </c>
      <c r="M3820" t="s">
        <v>44682</v>
      </c>
      <c r="N3820" t="s">
        <v>47424</v>
      </c>
      <c r="O3820" t="s">
        <v>47425</v>
      </c>
      <c r="P3820">
        <v>0</v>
      </c>
      <c r="Q3820">
        <v>1</v>
      </c>
      <c r="R3820" t="s">
        <v>47430</v>
      </c>
      <c r="S3820" t="s">
        <v>47549</v>
      </c>
      <c r="T3820" t="s">
        <v>49237</v>
      </c>
      <c r="U3820" t="s">
        <v>52914</v>
      </c>
      <c r="W3820" t="s">
        <v>44682</v>
      </c>
      <c r="X3820" t="s">
        <v>47433</v>
      </c>
    </row>
    <row r="3821" spans="1:24">
      <c r="A3821">
        <f>HYPERLINK("https://www.philgeps.gov.ph/GEPSNONPILOT/Tender/SplashBidNoticeAbstractUI.aspx?menuIndex=3&amp;refID=7153442&amp;Result=3","7153442")</f>
        <v>0</v>
      </c>
      <c r="B3821" t="s">
        <v>1568</v>
      </c>
      <c r="C3821" t="s">
        <v>7531</v>
      </c>
      <c r="E3821" t="s">
        <v>22521</v>
      </c>
      <c r="F3821" t="s">
        <v>32831</v>
      </c>
      <c r="G3821" t="s">
        <v>32838</v>
      </c>
      <c r="H3821" t="s">
        <v>32848</v>
      </c>
      <c r="I3821" t="s">
        <v>32886</v>
      </c>
      <c r="J3821" t="s">
        <v>35490</v>
      </c>
      <c r="K3821" t="s">
        <v>42732</v>
      </c>
      <c r="M3821" t="s">
        <v>44677</v>
      </c>
      <c r="N3821" t="s">
        <v>47424</v>
      </c>
      <c r="O3821" t="s">
        <v>47425</v>
      </c>
      <c r="P3821">
        <v>0</v>
      </c>
      <c r="Q3821">
        <v>3</v>
      </c>
      <c r="R3821" t="s">
        <v>47430</v>
      </c>
      <c r="S3821" t="s">
        <v>47549</v>
      </c>
      <c r="T3821" t="s">
        <v>49111</v>
      </c>
      <c r="U3821" t="s">
        <v>52896</v>
      </c>
      <c r="W3821" t="s">
        <v>44677</v>
      </c>
      <c r="X3821" t="s">
        <v>47433</v>
      </c>
    </row>
    <row r="3822" spans="1:24">
      <c r="A3822">
        <f>HYPERLINK("https://www.philgeps.gov.ph/GEPSNONPILOT/Tender/SplashBidNoticeAbstractUI.aspx?menuIndex=3&amp;refID=7153425&amp;Result=3","7153425")</f>
        <v>0</v>
      </c>
      <c r="B3822" t="s">
        <v>1568</v>
      </c>
      <c r="C3822" t="s">
        <v>7532</v>
      </c>
      <c r="E3822" t="s">
        <v>22522</v>
      </c>
      <c r="F3822" t="s">
        <v>32831</v>
      </c>
      <c r="G3822" t="s">
        <v>32838</v>
      </c>
      <c r="H3822" t="s">
        <v>32848</v>
      </c>
      <c r="I3822" t="s">
        <v>6526</v>
      </c>
      <c r="J3822" t="s">
        <v>33845</v>
      </c>
      <c r="K3822" t="s">
        <v>42732</v>
      </c>
      <c r="M3822" t="s">
        <v>44677</v>
      </c>
      <c r="N3822" t="s">
        <v>47424</v>
      </c>
      <c r="O3822" t="s">
        <v>47425</v>
      </c>
      <c r="P3822">
        <v>0</v>
      </c>
      <c r="Q3822">
        <v>1</v>
      </c>
      <c r="R3822" t="s">
        <v>47430</v>
      </c>
      <c r="S3822" t="s">
        <v>47549</v>
      </c>
      <c r="T3822" t="s">
        <v>49111</v>
      </c>
      <c r="U3822" t="s">
        <v>52896</v>
      </c>
      <c r="W3822" t="s">
        <v>44677</v>
      </c>
      <c r="X3822" t="s">
        <v>47433</v>
      </c>
    </row>
    <row r="3823" spans="1:24">
      <c r="A3823">
        <f>HYPERLINK("https://www.philgeps.gov.ph/GEPSNONPILOT/Tender/SplashBidNoticeAbstractUI.aspx?menuIndex=3&amp;refID=7153392&amp;Result=3","7153392")</f>
        <v>0</v>
      </c>
      <c r="B3823" t="s">
        <v>513</v>
      </c>
      <c r="C3823" t="s">
        <v>7533</v>
      </c>
      <c r="D3823" t="s">
        <v>19018</v>
      </c>
      <c r="E3823" t="s">
        <v>21542</v>
      </c>
      <c r="F3823" t="s">
        <v>32831</v>
      </c>
      <c r="G3823" t="s">
        <v>32842</v>
      </c>
      <c r="H3823" t="s">
        <v>32848</v>
      </c>
      <c r="I3823" t="s">
        <v>10805</v>
      </c>
      <c r="J3823" t="s">
        <v>35491</v>
      </c>
      <c r="K3823" t="s">
        <v>42726</v>
      </c>
      <c r="M3823" t="s">
        <v>43518</v>
      </c>
      <c r="N3823" t="s">
        <v>47424</v>
      </c>
      <c r="O3823" t="s">
        <v>47425</v>
      </c>
      <c r="P3823">
        <v>0</v>
      </c>
      <c r="Q3823">
        <v>0</v>
      </c>
      <c r="R3823" t="s">
        <v>47430</v>
      </c>
      <c r="S3823" t="s">
        <v>47549</v>
      </c>
      <c r="T3823" t="s">
        <v>49214</v>
      </c>
      <c r="U3823" t="s">
        <v>52838</v>
      </c>
      <c r="W3823" t="s">
        <v>64441</v>
      </c>
      <c r="X3823" t="s">
        <v>47433</v>
      </c>
    </row>
    <row r="3824" spans="1:24">
      <c r="A3824">
        <f>HYPERLINK("https://www.philgeps.gov.ph/GEPSNONPILOT/Tender/SplashBidNoticeAbstractUI.aspx?menuIndex=3&amp;refID=7153377&amp;Result=3","7153377")</f>
        <v>0</v>
      </c>
      <c r="B3824" t="s">
        <v>1568</v>
      </c>
      <c r="C3824" t="s">
        <v>7534</v>
      </c>
      <c r="E3824" t="s">
        <v>22523</v>
      </c>
      <c r="F3824" t="s">
        <v>32831</v>
      </c>
      <c r="G3824" t="s">
        <v>32838</v>
      </c>
      <c r="H3824" t="s">
        <v>32848</v>
      </c>
      <c r="I3824" t="s">
        <v>32863</v>
      </c>
      <c r="J3824" t="s">
        <v>34348</v>
      </c>
      <c r="K3824" t="s">
        <v>42732</v>
      </c>
      <c r="M3824" t="s">
        <v>44677</v>
      </c>
      <c r="N3824" t="s">
        <v>47424</v>
      </c>
      <c r="O3824" t="s">
        <v>47425</v>
      </c>
      <c r="P3824">
        <v>0</v>
      </c>
      <c r="Q3824">
        <v>0</v>
      </c>
      <c r="R3824" t="s">
        <v>47430</v>
      </c>
      <c r="S3824" t="s">
        <v>47549</v>
      </c>
      <c r="T3824" t="s">
        <v>49111</v>
      </c>
      <c r="U3824" t="s">
        <v>52896</v>
      </c>
      <c r="W3824" t="s">
        <v>44677</v>
      </c>
      <c r="X3824" t="s">
        <v>47433</v>
      </c>
    </row>
    <row r="3825" spans="1:24">
      <c r="A3825">
        <f>HYPERLINK("https://www.philgeps.gov.ph/GEPSNONPILOT/Tender/SplashBidNoticeAbstractUI.aspx?menuIndex=3&amp;refID=7153358&amp;Result=3","7153358")</f>
        <v>0</v>
      </c>
      <c r="B3825" t="s">
        <v>60</v>
      </c>
      <c r="C3825" t="s">
        <v>7535</v>
      </c>
      <c r="D3825" t="s">
        <v>19042</v>
      </c>
      <c r="E3825" t="s">
        <v>22524</v>
      </c>
      <c r="F3825" t="s">
        <v>32831</v>
      </c>
      <c r="G3825" t="s">
        <v>32839</v>
      </c>
      <c r="H3825" t="s">
        <v>32849</v>
      </c>
      <c r="I3825" t="s">
        <v>4177</v>
      </c>
      <c r="J3825" t="s">
        <v>35492</v>
      </c>
      <c r="K3825" t="s">
        <v>42837</v>
      </c>
      <c r="M3825" t="s">
        <v>43740</v>
      </c>
      <c r="N3825" t="s">
        <v>47424</v>
      </c>
      <c r="O3825" t="s">
        <v>47425</v>
      </c>
      <c r="P3825">
        <v>0</v>
      </c>
      <c r="Q3825">
        <v>0</v>
      </c>
      <c r="R3825" t="s">
        <v>47430</v>
      </c>
      <c r="S3825" t="s">
        <v>47549</v>
      </c>
      <c r="T3825" t="s">
        <v>49358</v>
      </c>
      <c r="U3825" t="s">
        <v>52915</v>
      </c>
      <c r="W3825" t="s">
        <v>43740</v>
      </c>
      <c r="X3825" t="s">
        <v>47433</v>
      </c>
    </row>
    <row r="3826" spans="1:24">
      <c r="A3826">
        <f>HYPERLINK("https://www.philgeps.gov.ph/GEPSNONPILOT/Tender/SplashBidNoticeAbstractUI.aspx?menuIndex=3&amp;refID=7153340&amp;Result=3","7153340")</f>
        <v>0</v>
      </c>
      <c r="B3826" t="s">
        <v>1541</v>
      </c>
      <c r="C3826" t="s">
        <v>7536</v>
      </c>
      <c r="D3826" t="s">
        <v>19019</v>
      </c>
      <c r="E3826" t="s">
        <v>22525</v>
      </c>
      <c r="F3826" t="s">
        <v>32831</v>
      </c>
      <c r="G3826" t="s">
        <v>32839</v>
      </c>
      <c r="H3826" t="s">
        <v>32848</v>
      </c>
      <c r="I3826" t="s">
        <v>4558</v>
      </c>
      <c r="J3826" t="s">
        <v>35493</v>
      </c>
      <c r="K3826" t="s">
        <v>42730</v>
      </c>
      <c r="M3826" t="s">
        <v>44645</v>
      </c>
      <c r="N3826" t="s">
        <v>47424</v>
      </c>
      <c r="O3826" t="s">
        <v>47425</v>
      </c>
      <c r="P3826">
        <v>0</v>
      </c>
      <c r="Q3826">
        <v>7</v>
      </c>
      <c r="R3826" t="s">
        <v>47430</v>
      </c>
      <c r="S3826" t="s">
        <v>47549</v>
      </c>
      <c r="T3826" t="s">
        <v>49077</v>
      </c>
      <c r="U3826" t="s">
        <v>52916</v>
      </c>
      <c r="V3826" t="s">
        <v>63044</v>
      </c>
      <c r="W3826" t="s">
        <v>44645</v>
      </c>
      <c r="X3826" t="s">
        <v>47433</v>
      </c>
    </row>
    <row r="3827" spans="1:24">
      <c r="A3827">
        <f>HYPERLINK("https://www.philgeps.gov.ph/GEPSNONPILOT/Tender/SplashBidNoticeAbstractUI.aspx?menuIndex=3&amp;refID=7153041&amp;Result=3","7153041")</f>
        <v>0</v>
      </c>
      <c r="B3827" t="s">
        <v>60</v>
      </c>
      <c r="C3827" t="s">
        <v>7537</v>
      </c>
      <c r="D3827" t="s">
        <v>19042</v>
      </c>
      <c r="E3827" t="s">
        <v>22526</v>
      </c>
      <c r="F3827" t="s">
        <v>32831</v>
      </c>
      <c r="G3827" t="s">
        <v>32839</v>
      </c>
      <c r="H3827" t="s">
        <v>32849</v>
      </c>
      <c r="I3827" t="s">
        <v>4177</v>
      </c>
      <c r="J3827" t="s">
        <v>35494</v>
      </c>
      <c r="K3827" t="s">
        <v>42845</v>
      </c>
      <c r="M3827" t="s">
        <v>43740</v>
      </c>
      <c r="N3827" t="s">
        <v>47424</v>
      </c>
      <c r="O3827" t="s">
        <v>47425</v>
      </c>
      <c r="P3827">
        <v>0</v>
      </c>
      <c r="Q3827">
        <v>0</v>
      </c>
      <c r="R3827" t="s">
        <v>47430</v>
      </c>
      <c r="S3827" t="s">
        <v>47549</v>
      </c>
      <c r="T3827" t="s">
        <v>49358</v>
      </c>
      <c r="U3827" t="s">
        <v>52917</v>
      </c>
      <c r="W3827" t="s">
        <v>43740</v>
      </c>
      <c r="X3827" t="s">
        <v>47433</v>
      </c>
    </row>
    <row r="3828" spans="1:24">
      <c r="A3828">
        <f>HYPERLINK("https://www.philgeps.gov.ph/GEPSNONPILOT/Tender/SplashBidNoticeAbstractUI.aspx?menuIndex=3&amp;refID=7153029&amp;Result=3","7153029")</f>
        <v>0</v>
      </c>
      <c r="B3828" t="s">
        <v>1573</v>
      </c>
      <c r="C3828" t="s">
        <v>7538</v>
      </c>
      <c r="D3828" t="s">
        <v>19020</v>
      </c>
      <c r="E3828" t="s">
        <v>22527</v>
      </c>
      <c r="F3828" t="s">
        <v>32831</v>
      </c>
      <c r="G3828" t="s">
        <v>32844</v>
      </c>
      <c r="H3828" t="s">
        <v>14069</v>
      </c>
      <c r="I3828" t="s">
        <v>32908</v>
      </c>
      <c r="J3828" t="s">
        <v>33025</v>
      </c>
      <c r="K3828" t="s">
        <v>42727</v>
      </c>
      <c r="M3828" t="s">
        <v>44683</v>
      </c>
      <c r="N3828" t="s">
        <v>47424</v>
      </c>
      <c r="O3828" t="s">
        <v>47425</v>
      </c>
      <c r="P3828">
        <v>0</v>
      </c>
      <c r="Q3828">
        <v>2</v>
      </c>
      <c r="R3828" t="s">
        <v>47430</v>
      </c>
      <c r="S3828" t="s">
        <v>47549</v>
      </c>
      <c r="T3828" t="s">
        <v>49360</v>
      </c>
      <c r="U3828" t="s">
        <v>52918</v>
      </c>
      <c r="V3828" t="s">
        <v>63045</v>
      </c>
      <c r="W3828" t="s">
        <v>44683</v>
      </c>
      <c r="X3828" t="s">
        <v>47433</v>
      </c>
    </row>
    <row r="3829" spans="1:24">
      <c r="A3829">
        <f>HYPERLINK("https://www.philgeps.gov.ph/GEPSNONPILOT/Tender/SplashBidNoticeAbstractUI.aspx?menuIndex=3&amp;refID=7152916&amp;Result=3","7152916")</f>
        <v>0</v>
      </c>
      <c r="B3829" t="s">
        <v>60</v>
      </c>
      <c r="C3829" t="s">
        <v>7539</v>
      </c>
      <c r="D3829" t="s">
        <v>19042</v>
      </c>
      <c r="E3829" t="s">
        <v>22528</v>
      </c>
      <c r="F3829" t="s">
        <v>32831</v>
      </c>
      <c r="G3829" t="s">
        <v>32839</v>
      </c>
      <c r="H3829" t="s">
        <v>32849</v>
      </c>
      <c r="I3829" t="s">
        <v>4177</v>
      </c>
      <c r="J3829" t="s">
        <v>35495</v>
      </c>
      <c r="K3829" t="s">
        <v>42756</v>
      </c>
      <c r="M3829" t="s">
        <v>43740</v>
      </c>
      <c r="N3829" t="s">
        <v>47424</v>
      </c>
      <c r="O3829" t="s">
        <v>47425</v>
      </c>
      <c r="P3829">
        <v>0</v>
      </c>
      <c r="Q3829">
        <v>0</v>
      </c>
      <c r="R3829" t="s">
        <v>47430</v>
      </c>
      <c r="S3829" t="s">
        <v>47549</v>
      </c>
      <c r="T3829" t="s">
        <v>49358</v>
      </c>
      <c r="U3829" t="s">
        <v>52919</v>
      </c>
      <c r="W3829" t="s">
        <v>43740</v>
      </c>
      <c r="X3829" t="s">
        <v>47433</v>
      </c>
    </row>
    <row r="3830" spans="1:24">
      <c r="A3830">
        <f>HYPERLINK("https://www.philgeps.gov.ph/GEPSNONPILOT/Tender/SplashBidNoticeAbstractUI.aspx?menuIndex=3&amp;refID=7152680&amp;Result=3","7152680")</f>
        <v>0</v>
      </c>
      <c r="B3830" t="s">
        <v>242</v>
      </c>
      <c r="C3830" t="s">
        <v>7540</v>
      </c>
      <c r="D3830" t="s">
        <v>19023</v>
      </c>
      <c r="E3830" t="s">
        <v>22529</v>
      </c>
      <c r="F3830" t="s">
        <v>32831</v>
      </c>
      <c r="G3830" t="s">
        <v>32838</v>
      </c>
      <c r="H3830" t="s">
        <v>32848</v>
      </c>
      <c r="I3830" t="s">
        <v>32862</v>
      </c>
      <c r="J3830" t="s">
        <v>35496</v>
      </c>
      <c r="K3830" t="s">
        <v>42726</v>
      </c>
      <c r="M3830" t="s">
        <v>43241</v>
      </c>
      <c r="N3830" t="s">
        <v>47424</v>
      </c>
      <c r="O3830" t="s">
        <v>47425</v>
      </c>
      <c r="P3830">
        <v>0</v>
      </c>
      <c r="Q3830">
        <v>2</v>
      </c>
      <c r="R3830" t="s">
        <v>47430</v>
      </c>
      <c r="S3830" t="s">
        <v>47549</v>
      </c>
      <c r="T3830" t="s">
        <v>49198</v>
      </c>
      <c r="U3830" t="s">
        <v>52920</v>
      </c>
      <c r="V3830" t="s">
        <v>62668</v>
      </c>
      <c r="W3830" t="s">
        <v>43241</v>
      </c>
      <c r="X3830" t="s">
        <v>47433</v>
      </c>
    </row>
    <row r="3831" spans="1:24">
      <c r="A3831">
        <f>HYPERLINK("https://www.philgeps.gov.ph/GEPSNONPILOT/Tender/SplashBidNoticeAbstractUI.aspx?menuIndex=3&amp;refID=7153901&amp;Result=3","7153901")</f>
        <v>0</v>
      </c>
      <c r="B3831" t="s">
        <v>1565</v>
      </c>
      <c r="C3831" t="s">
        <v>7541</v>
      </c>
      <c r="D3831" t="s">
        <v>19073</v>
      </c>
      <c r="E3831" t="s">
        <v>20584</v>
      </c>
      <c r="F3831" t="s">
        <v>32831</v>
      </c>
      <c r="G3831" t="s">
        <v>32839</v>
      </c>
      <c r="H3831" t="s">
        <v>32848</v>
      </c>
      <c r="I3831" t="s">
        <v>10805</v>
      </c>
      <c r="J3831" t="s">
        <v>35497</v>
      </c>
      <c r="K3831" t="s">
        <v>42732</v>
      </c>
      <c r="M3831" t="s">
        <v>44674</v>
      </c>
      <c r="N3831" t="s">
        <v>47424</v>
      </c>
      <c r="O3831" t="s">
        <v>47425</v>
      </c>
      <c r="P3831">
        <v>0</v>
      </c>
      <c r="Q3831">
        <v>0</v>
      </c>
      <c r="R3831" t="s">
        <v>47430</v>
      </c>
      <c r="S3831" t="s">
        <v>47549</v>
      </c>
      <c r="T3831" t="s">
        <v>49129</v>
      </c>
      <c r="U3831" t="s">
        <v>52921</v>
      </c>
      <c r="W3831" t="s">
        <v>44674</v>
      </c>
      <c r="X3831" t="s">
        <v>47433</v>
      </c>
    </row>
    <row r="3832" spans="1:24">
      <c r="A3832">
        <f>HYPERLINK("https://www.philgeps.gov.ph/GEPSNONPILOT/Tender/SplashBidNoticeAbstractUI.aspx?menuIndex=3&amp;refID=7164045&amp;Result=3","7164045")</f>
        <v>0</v>
      </c>
      <c r="B3832" t="s">
        <v>648</v>
      </c>
      <c r="C3832" t="s">
        <v>7542</v>
      </c>
      <c r="D3832" t="s">
        <v>19044</v>
      </c>
      <c r="E3832" t="s">
        <v>22530</v>
      </c>
      <c r="F3832" t="s">
        <v>32831</v>
      </c>
      <c r="G3832" t="s">
        <v>32839</v>
      </c>
      <c r="H3832" t="s">
        <v>32848</v>
      </c>
      <c r="I3832" t="s">
        <v>32855</v>
      </c>
      <c r="J3832" t="s">
        <v>33257</v>
      </c>
      <c r="K3832" t="s">
        <v>42730</v>
      </c>
      <c r="M3832" t="s">
        <v>44684</v>
      </c>
      <c r="N3832" t="s">
        <v>47424</v>
      </c>
      <c r="O3832" t="s">
        <v>47425</v>
      </c>
      <c r="P3832">
        <v>0</v>
      </c>
      <c r="Q3832">
        <v>5</v>
      </c>
      <c r="R3832" t="s">
        <v>47428</v>
      </c>
      <c r="S3832" t="s">
        <v>47541</v>
      </c>
      <c r="T3832" t="s">
        <v>49088</v>
      </c>
      <c r="U3832" t="s">
        <v>52922</v>
      </c>
      <c r="W3832" t="s">
        <v>44684</v>
      </c>
      <c r="X3832" t="s">
        <v>47430</v>
      </c>
    </row>
    <row r="3833" spans="1:24">
      <c r="A3833">
        <f>HYPERLINK("https://www.philgeps.gov.ph/GEPSNONPILOT/Tender/SplashBidNoticeAbstractUI.aspx?menuIndex=3&amp;refID=7154127&amp;Result=3","7154127")</f>
        <v>0</v>
      </c>
      <c r="B3833" t="s">
        <v>242</v>
      </c>
      <c r="C3833" t="s">
        <v>7543</v>
      </c>
      <c r="D3833" t="s">
        <v>19086</v>
      </c>
      <c r="E3833" t="s">
        <v>22531</v>
      </c>
      <c r="F3833" t="s">
        <v>32831</v>
      </c>
      <c r="G3833" t="s">
        <v>32838</v>
      </c>
      <c r="H3833" t="s">
        <v>32848</v>
      </c>
      <c r="I3833" t="s">
        <v>10643</v>
      </c>
      <c r="J3833" t="s">
        <v>35498</v>
      </c>
      <c r="K3833" t="s">
        <v>42726</v>
      </c>
      <c r="M3833" t="s">
        <v>43241</v>
      </c>
      <c r="N3833" t="s">
        <v>47424</v>
      </c>
      <c r="O3833" t="s">
        <v>47425</v>
      </c>
      <c r="P3833">
        <v>0</v>
      </c>
      <c r="Q3833">
        <v>6</v>
      </c>
      <c r="R3833" t="s">
        <v>47430</v>
      </c>
      <c r="S3833" t="s">
        <v>47549</v>
      </c>
      <c r="T3833" t="s">
        <v>49198</v>
      </c>
      <c r="U3833" t="s">
        <v>52923</v>
      </c>
      <c r="V3833" t="s">
        <v>62668</v>
      </c>
      <c r="W3833" t="s">
        <v>43241</v>
      </c>
      <c r="X3833" t="s">
        <v>47433</v>
      </c>
    </row>
    <row r="3834" spans="1:24">
      <c r="A3834">
        <f>HYPERLINK("https://www.philgeps.gov.ph/GEPSNONPILOT/Tender/SplashBidNoticeAbstractUI.aspx?menuIndex=3&amp;refID=7154001&amp;Result=3","7154001")</f>
        <v>0</v>
      </c>
      <c r="B3834" t="s">
        <v>242</v>
      </c>
      <c r="C3834" t="s">
        <v>7543</v>
      </c>
      <c r="D3834" t="s">
        <v>19086</v>
      </c>
      <c r="E3834" t="s">
        <v>22532</v>
      </c>
      <c r="F3834" t="s">
        <v>32831</v>
      </c>
      <c r="G3834" t="s">
        <v>32838</v>
      </c>
      <c r="H3834" t="s">
        <v>32848</v>
      </c>
      <c r="I3834" t="s">
        <v>10643</v>
      </c>
      <c r="J3834" t="s">
        <v>33706</v>
      </c>
      <c r="K3834" t="s">
        <v>42726</v>
      </c>
      <c r="M3834" t="s">
        <v>43241</v>
      </c>
      <c r="N3834" t="s">
        <v>47424</v>
      </c>
      <c r="O3834" t="s">
        <v>47425</v>
      </c>
      <c r="P3834">
        <v>0</v>
      </c>
      <c r="Q3834">
        <v>6</v>
      </c>
      <c r="R3834" t="s">
        <v>47430</v>
      </c>
      <c r="S3834" t="s">
        <v>47549</v>
      </c>
      <c r="T3834" t="s">
        <v>49198</v>
      </c>
      <c r="U3834" t="s">
        <v>52924</v>
      </c>
      <c r="V3834" t="s">
        <v>62668</v>
      </c>
      <c r="W3834" t="s">
        <v>43241</v>
      </c>
      <c r="X3834" t="s">
        <v>47433</v>
      </c>
    </row>
    <row r="3835" spans="1:24">
      <c r="A3835">
        <f>HYPERLINK("https://www.philgeps.gov.ph/GEPSNONPILOT/Tender/SplashBidNoticeAbstractUI.aspx?menuIndex=3&amp;refID=7164046&amp;Result=3","7164046")</f>
        <v>0</v>
      </c>
      <c r="B3835" t="s">
        <v>904</v>
      </c>
      <c r="C3835" t="s">
        <v>7544</v>
      </c>
      <c r="D3835" t="s">
        <v>19047</v>
      </c>
      <c r="E3835" t="s">
        <v>22533</v>
      </c>
      <c r="F3835" t="s">
        <v>32831</v>
      </c>
      <c r="G3835" t="s">
        <v>32838</v>
      </c>
      <c r="H3835" t="s">
        <v>32848</v>
      </c>
      <c r="I3835" t="s">
        <v>32912</v>
      </c>
      <c r="J3835" t="s">
        <v>35499</v>
      </c>
      <c r="K3835" t="s">
        <v>42759</v>
      </c>
      <c r="M3835" t="s">
        <v>44592</v>
      </c>
      <c r="N3835" t="s">
        <v>47424</v>
      </c>
      <c r="O3835" t="s">
        <v>47425</v>
      </c>
      <c r="P3835">
        <v>0</v>
      </c>
      <c r="Q3835">
        <v>2</v>
      </c>
      <c r="R3835" t="s">
        <v>47428</v>
      </c>
      <c r="S3835" t="s">
        <v>47541</v>
      </c>
      <c r="T3835" t="s">
        <v>49214</v>
      </c>
      <c r="U3835" t="s">
        <v>52713</v>
      </c>
      <c r="V3835" t="s">
        <v>63046</v>
      </c>
      <c r="W3835" t="s">
        <v>44592</v>
      </c>
      <c r="X3835" t="s">
        <v>47430</v>
      </c>
    </row>
    <row r="3836" spans="1:24">
      <c r="A3836">
        <f>HYPERLINK("https://www.philgeps.gov.ph/GEPSNONPILOT/Tender/SplashBidNoticeAbstractUI.aspx?menuIndex=3&amp;refID=7153403&amp;Result=3","7153403")</f>
        <v>0</v>
      </c>
      <c r="B3836" t="s">
        <v>60</v>
      </c>
      <c r="C3836" t="s">
        <v>7545</v>
      </c>
      <c r="D3836" t="s">
        <v>19042</v>
      </c>
      <c r="E3836" t="s">
        <v>22534</v>
      </c>
      <c r="F3836" t="s">
        <v>32831</v>
      </c>
      <c r="G3836" t="s">
        <v>32839</v>
      </c>
      <c r="H3836" t="s">
        <v>32849</v>
      </c>
      <c r="I3836" t="s">
        <v>4177</v>
      </c>
      <c r="J3836" t="s">
        <v>35500</v>
      </c>
      <c r="K3836" t="s">
        <v>42846</v>
      </c>
      <c r="M3836" t="s">
        <v>43740</v>
      </c>
      <c r="N3836" t="s">
        <v>47424</v>
      </c>
      <c r="O3836" t="s">
        <v>47425</v>
      </c>
      <c r="P3836">
        <v>0</v>
      </c>
      <c r="Q3836">
        <v>0</v>
      </c>
      <c r="R3836" t="s">
        <v>47430</v>
      </c>
      <c r="S3836" t="s">
        <v>47549</v>
      </c>
      <c r="T3836" t="s">
        <v>49358</v>
      </c>
      <c r="U3836" t="s">
        <v>52925</v>
      </c>
      <c r="W3836" t="s">
        <v>43740</v>
      </c>
      <c r="X3836" t="s">
        <v>47433</v>
      </c>
    </row>
    <row r="3837" spans="1:24">
      <c r="A3837">
        <f>HYPERLINK("https://www.philgeps.gov.ph/GEPSNONPILOT/Tender/SplashBidNoticeAbstractUI.aspx?menuIndex=3&amp;refID=7164016&amp;Result=3","7164016")</f>
        <v>0</v>
      </c>
      <c r="B3837" t="s">
        <v>1490</v>
      </c>
      <c r="C3837" t="s">
        <v>7546</v>
      </c>
      <c r="D3837" t="s">
        <v>19042</v>
      </c>
      <c r="E3837" t="s">
        <v>22535</v>
      </c>
      <c r="F3837" t="s">
        <v>32831</v>
      </c>
      <c r="G3837" t="s">
        <v>32838</v>
      </c>
      <c r="H3837" t="s">
        <v>32848</v>
      </c>
      <c r="I3837" t="s">
        <v>6526</v>
      </c>
      <c r="J3837" t="s">
        <v>35501</v>
      </c>
      <c r="K3837" t="s">
        <v>42732</v>
      </c>
      <c r="M3837" t="s">
        <v>44586</v>
      </c>
      <c r="N3837" t="s">
        <v>47424</v>
      </c>
      <c r="O3837" t="s">
        <v>47425</v>
      </c>
      <c r="P3837">
        <v>0</v>
      </c>
      <c r="Q3837">
        <v>0</v>
      </c>
      <c r="R3837" t="s">
        <v>47428</v>
      </c>
      <c r="S3837" t="s">
        <v>47541</v>
      </c>
      <c r="T3837" t="s">
        <v>49235</v>
      </c>
      <c r="U3837" t="s">
        <v>52926</v>
      </c>
      <c r="W3837" t="s">
        <v>44586</v>
      </c>
      <c r="X3837" t="s">
        <v>47430</v>
      </c>
    </row>
    <row r="3838" spans="1:24">
      <c r="A3838">
        <f>HYPERLINK("https://www.philgeps.gov.ph/GEPSNONPILOT/Tender/SplashBidNoticeAbstractUI.aspx?menuIndex=3&amp;refID=7164018&amp;Result=3","7164018")</f>
        <v>0</v>
      </c>
      <c r="B3838" t="s">
        <v>1574</v>
      </c>
      <c r="C3838" t="s">
        <v>4694</v>
      </c>
      <c r="D3838" t="s">
        <v>19038</v>
      </c>
      <c r="E3838" t="s">
        <v>20789</v>
      </c>
      <c r="F3838" t="s">
        <v>32831</v>
      </c>
      <c r="G3838" t="s">
        <v>32839</v>
      </c>
      <c r="H3838" t="s">
        <v>32848</v>
      </c>
      <c r="I3838" t="s">
        <v>7416</v>
      </c>
      <c r="J3838" t="s">
        <v>35502</v>
      </c>
      <c r="K3838" t="s">
        <v>42731</v>
      </c>
      <c r="M3838" t="s">
        <v>44685</v>
      </c>
      <c r="N3838" t="s">
        <v>47424</v>
      </c>
      <c r="O3838" t="s">
        <v>47425</v>
      </c>
      <c r="P3838">
        <v>0</v>
      </c>
      <c r="Q3838">
        <v>0</v>
      </c>
      <c r="R3838" t="s">
        <v>47428</v>
      </c>
      <c r="S3838" t="s">
        <v>47541</v>
      </c>
      <c r="T3838" t="s">
        <v>49181</v>
      </c>
      <c r="U3838" t="s">
        <v>52927</v>
      </c>
      <c r="W3838" t="s">
        <v>44685</v>
      </c>
      <c r="X3838" t="s">
        <v>47430</v>
      </c>
    </row>
    <row r="3839" spans="1:24">
      <c r="A3839">
        <f>HYPERLINK("https://www.philgeps.gov.ph/GEPSNONPILOT/Tender/SplashBidNoticeAbstractUI.aspx?menuIndex=3&amp;refID=7153347&amp;Result=3","7153347")</f>
        <v>0</v>
      </c>
      <c r="B3839" t="s">
        <v>513</v>
      </c>
      <c r="C3839" t="s">
        <v>7547</v>
      </c>
      <c r="D3839" t="s">
        <v>19018</v>
      </c>
      <c r="E3839" t="s">
        <v>22536</v>
      </c>
      <c r="F3839" t="s">
        <v>32831</v>
      </c>
      <c r="G3839" t="s">
        <v>32842</v>
      </c>
      <c r="H3839" t="s">
        <v>32848</v>
      </c>
      <c r="I3839" t="s">
        <v>4776</v>
      </c>
      <c r="J3839" t="s">
        <v>33077</v>
      </c>
      <c r="K3839" t="s">
        <v>42727</v>
      </c>
      <c r="M3839" t="s">
        <v>43518</v>
      </c>
      <c r="N3839" t="s">
        <v>47424</v>
      </c>
      <c r="O3839" t="s">
        <v>47425</v>
      </c>
      <c r="P3839">
        <v>0</v>
      </c>
      <c r="Q3839">
        <v>1</v>
      </c>
      <c r="R3839" t="s">
        <v>47430</v>
      </c>
      <c r="S3839" t="s">
        <v>47549</v>
      </c>
      <c r="T3839" t="s">
        <v>49214</v>
      </c>
      <c r="U3839" t="s">
        <v>52838</v>
      </c>
      <c r="V3839" t="s">
        <v>63041</v>
      </c>
      <c r="W3839" t="s">
        <v>64441</v>
      </c>
      <c r="X3839" t="s">
        <v>47433</v>
      </c>
    </row>
    <row r="3840" spans="1:24">
      <c r="A3840">
        <f>HYPERLINK("https://www.philgeps.gov.ph/GEPSNONPILOT/Tender/SplashBidNoticeAbstractUI.aspx?menuIndex=3&amp;refID=7164015&amp;Result=3","7164015")</f>
        <v>0</v>
      </c>
      <c r="B3840" t="s">
        <v>1493</v>
      </c>
      <c r="C3840" t="s">
        <v>7548</v>
      </c>
      <c r="D3840" t="s">
        <v>19019</v>
      </c>
      <c r="E3840" t="s">
        <v>22537</v>
      </c>
      <c r="F3840" t="s">
        <v>32831</v>
      </c>
      <c r="G3840" t="s">
        <v>32839</v>
      </c>
      <c r="H3840" t="s">
        <v>32849</v>
      </c>
      <c r="I3840" t="s">
        <v>4177</v>
      </c>
      <c r="J3840" t="s">
        <v>35503</v>
      </c>
      <c r="K3840" t="s">
        <v>42770</v>
      </c>
      <c r="M3840" t="s">
        <v>44590</v>
      </c>
      <c r="N3840" t="s">
        <v>47424</v>
      </c>
      <c r="O3840" t="s">
        <v>47425</v>
      </c>
      <c r="P3840">
        <v>0</v>
      </c>
      <c r="Q3840">
        <v>7</v>
      </c>
      <c r="R3840" t="s">
        <v>47428</v>
      </c>
      <c r="S3840" t="s">
        <v>47541</v>
      </c>
      <c r="T3840" t="s">
        <v>49188</v>
      </c>
      <c r="U3840" t="s">
        <v>52928</v>
      </c>
      <c r="V3840" t="s">
        <v>63047</v>
      </c>
      <c r="W3840" t="s">
        <v>44590</v>
      </c>
      <c r="X3840" t="s">
        <v>47430</v>
      </c>
    </row>
    <row r="3841" spans="1:24">
      <c r="A3841">
        <f>HYPERLINK("https://www.philgeps.gov.ph/GEPSNONPILOT/Tender/SplashBidNoticeAbstractUI.aspx?menuIndex=3&amp;refID=7164014&amp;Result=3","7164014")</f>
        <v>0</v>
      </c>
      <c r="B3841" t="s">
        <v>1420</v>
      </c>
      <c r="C3841" t="s">
        <v>7549</v>
      </c>
      <c r="D3841" t="s">
        <v>19033</v>
      </c>
      <c r="E3841" t="s">
        <v>22538</v>
      </c>
      <c r="F3841" t="s">
        <v>32831</v>
      </c>
      <c r="G3841" t="s">
        <v>32840</v>
      </c>
      <c r="H3841" t="s">
        <v>32848</v>
      </c>
      <c r="I3841" t="s">
        <v>7416</v>
      </c>
      <c r="J3841" t="s">
        <v>35504</v>
      </c>
      <c r="K3841" t="s">
        <v>42731</v>
      </c>
      <c r="M3841" t="s">
        <v>44583</v>
      </c>
      <c r="N3841" t="s">
        <v>47424</v>
      </c>
      <c r="O3841" t="s">
        <v>47425</v>
      </c>
      <c r="P3841">
        <v>0</v>
      </c>
      <c r="Q3841">
        <v>1</v>
      </c>
      <c r="R3841" t="s">
        <v>47428</v>
      </c>
      <c r="S3841" t="s">
        <v>47541</v>
      </c>
      <c r="T3841" t="s">
        <v>49163</v>
      </c>
      <c r="U3841" t="s">
        <v>52929</v>
      </c>
      <c r="W3841" t="s">
        <v>64468</v>
      </c>
      <c r="X3841" t="s">
        <v>47430</v>
      </c>
    </row>
    <row r="3842" spans="1:24">
      <c r="A3842">
        <f>HYPERLINK("https://www.philgeps.gov.ph/GEPSNONPILOT/Tender/SplashBidNoticeAbstractUI.aspx?menuIndex=3&amp;refID=7164009&amp;Result=3","7164009")</f>
        <v>0</v>
      </c>
      <c r="B3842" t="s">
        <v>1385</v>
      </c>
      <c r="C3842" t="s">
        <v>7550</v>
      </c>
      <c r="D3842" t="s">
        <v>19060</v>
      </c>
      <c r="E3842" t="s">
        <v>22539</v>
      </c>
      <c r="F3842" t="s">
        <v>32831</v>
      </c>
      <c r="G3842" t="s">
        <v>32840</v>
      </c>
      <c r="H3842" t="s">
        <v>32848</v>
      </c>
      <c r="I3842" t="s">
        <v>4438</v>
      </c>
      <c r="J3842" t="s">
        <v>34347</v>
      </c>
      <c r="K3842" t="s">
        <v>42730</v>
      </c>
      <c r="M3842" t="s">
        <v>44470</v>
      </c>
      <c r="N3842" t="s">
        <v>47424</v>
      </c>
      <c r="O3842" t="s">
        <v>47425</v>
      </c>
      <c r="P3842">
        <v>0</v>
      </c>
      <c r="Q3842">
        <v>6</v>
      </c>
      <c r="R3842" t="s">
        <v>47428</v>
      </c>
      <c r="S3842" t="s">
        <v>47541</v>
      </c>
      <c r="T3842" t="s">
        <v>49129</v>
      </c>
      <c r="U3842" t="s">
        <v>52930</v>
      </c>
      <c r="V3842" t="s">
        <v>62982</v>
      </c>
      <c r="W3842" t="s">
        <v>44470</v>
      </c>
      <c r="X3842" t="s">
        <v>47430</v>
      </c>
    </row>
    <row r="3843" spans="1:24">
      <c r="A3843">
        <f>HYPERLINK("https://www.philgeps.gov.ph/GEPSNONPILOT/Tender/SplashBidNoticeAbstractUI.aspx?menuIndex=3&amp;refID=7163534&amp;Result=3","7163534")</f>
        <v>0</v>
      </c>
      <c r="B3843" t="s">
        <v>1391</v>
      </c>
      <c r="C3843" t="s">
        <v>7551</v>
      </c>
      <c r="D3843" t="s">
        <v>19080</v>
      </c>
      <c r="E3843" t="s">
        <v>22054</v>
      </c>
      <c r="F3843" t="s">
        <v>32831</v>
      </c>
      <c r="G3843" t="s">
        <v>32838</v>
      </c>
      <c r="H3843" t="s">
        <v>32850</v>
      </c>
      <c r="I3843" t="s">
        <v>32919</v>
      </c>
      <c r="J3843" t="s">
        <v>35505</v>
      </c>
      <c r="K3843" t="s">
        <v>42747</v>
      </c>
      <c r="M3843" t="s">
        <v>44476</v>
      </c>
      <c r="N3843" t="s">
        <v>47424</v>
      </c>
      <c r="O3843" t="s">
        <v>47425</v>
      </c>
      <c r="P3843">
        <v>0</v>
      </c>
      <c r="Q3843">
        <v>0</v>
      </c>
      <c r="R3843" t="s">
        <v>47428</v>
      </c>
      <c r="S3843" t="s">
        <v>47541</v>
      </c>
      <c r="T3843" t="s">
        <v>49237</v>
      </c>
      <c r="U3843" t="s">
        <v>52931</v>
      </c>
      <c r="W3843" t="s">
        <v>44476</v>
      </c>
      <c r="X3843" t="s">
        <v>47430</v>
      </c>
    </row>
    <row r="3844" spans="1:24">
      <c r="A3844">
        <f>HYPERLINK("https://www.philgeps.gov.ph/GEPSNONPILOT/Tender/SplashBidNoticeAbstractUI.aspx?menuIndex=3&amp;refID=7163533&amp;Result=3","7163533")</f>
        <v>0</v>
      </c>
      <c r="B3844" t="s">
        <v>1575</v>
      </c>
      <c r="C3844" t="s">
        <v>7552</v>
      </c>
      <c r="D3844" t="s">
        <v>19023</v>
      </c>
      <c r="E3844" t="s">
        <v>22540</v>
      </c>
      <c r="F3844" t="s">
        <v>32831</v>
      </c>
      <c r="G3844" t="s">
        <v>32839</v>
      </c>
      <c r="H3844" t="s">
        <v>32849</v>
      </c>
      <c r="I3844" t="s">
        <v>4177</v>
      </c>
      <c r="J3844" t="s">
        <v>32983</v>
      </c>
      <c r="K3844" t="s">
        <v>42726</v>
      </c>
      <c r="M3844" t="s">
        <v>44686</v>
      </c>
      <c r="N3844" t="s">
        <v>47424</v>
      </c>
      <c r="O3844" t="s">
        <v>47425</v>
      </c>
      <c r="P3844">
        <v>0</v>
      </c>
      <c r="Q3844">
        <v>0</v>
      </c>
      <c r="R3844" t="s">
        <v>47428</v>
      </c>
      <c r="S3844" t="s">
        <v>47541</v>
      </c>
      <c r="T3844" t="s">
        <v>49109</v>
      </c>
      <c r="U3844" t="s">
        <v>52932</v>
      </c>
      <c r="W3844" t="s">
        <v>44686</v>
      </c>
      <c r="X3844" t="s">
        <v>47430</v>
      </c>
    </row>
    <row r="3845" spans="1:24">
      <c r="A3845">
        <f>HYPERLINK("https://www.philgeps.gov.ph/GEPSNONPILOT/Tender/SplashBidNoticeAbstractUI.aspx?menuIndex=3&amp;refID=7163531&amp;Result=3","7163531")</f>
        <v>0</v>
      </c>
      <c r="B3845" t="s">
        <v>1382</v>
      </c>
      <c r="C3845" t="s">
        <v>7553</v>
      </c>
      <c r="D3845" t="s">
        <v>19021</v>
      </c>
      <c r="E3845" t="s">
        <v>22541</v>
      </c>
      <c r="F3845" t="s">
        <v>32831</v>
      </c>
      <c r="G3845" t="s">
        <v>32842</v>
      </c>
      <c r="H3845" t="s">
        <v>32848</v>
      </c>
      <c r="I3845" t="s">
        <v>4776</v>
      </c>
      <c r="J3845" t="s">
        <v>33364</v>
      </c>
      <c r="K3845" t="s">
        <v>42726</v>
      </c>
      <c r="M3845" t="s">
        <v>44466</v>
      </c>
      <c r="N3845" t="s">
        <v>47424</v>
      </c>
      <c r="O3845" t="s">
        <v>47425</v>
      </c>
      <c r="P3845">
        <v>0</v>
      </c>
      <c r="Q3845">
        <v>1</v>
      </c>
      <c r="R3845" t="s">
        <v>47428</v>
      </c>
      <c r="S3845" t="s">
        <v>47541</v>
      </c>
      <c r="T3845" t="s">
        <v>49111</v>
      </c>
      <c r="U3845" t="s">
        <v>52933</v>
      </c>
      <c r="V3845" t="s">
        <v>62980</v>
      </c>
      <c r="W3845" t="s">
        <v>44466</v>
      </c>
      <c r="X3845" t="s">
        <v>47430</v>
      </c>
    </row>
    <row r="3846" spans="1:24">
      <c r="A3846">
        <f>HYPERLINK("https://www.philgeps.gov.ph/GEPSNONPILOT/Tender/SplashBidNoticeAbstractUI.aspx?menuIndex=3&amp;refID=7163530&amp;Result=3","7163530")</f>
        <v>0</v>
      </c>
      <c r="B3846" t="s">
        <v>1406</v>
      </c>
      <c r="C3846" t="s">
        <v>7554</v>
      </c>
      <c r="D3846" t="s">
        <v>19034</v>
      </c>
      <c r="E3846" t="s">
        <v>22542</v>
      </c>
      <c r="F3846" t="s">
        <v>32831</v>
      </c>
      <c r="G3846" t="s">
        <v>32839</v>
      </c>
      <c r="H3846" t="s">
        <v>32848</v>
      </c>
      <c r="I3846" t="s">
        <v>32857</v>
      </c>
      <c r="J3846" t="s">
        <v>35506</v>
      </c>
      <c r="K3846" t="s">
        <v>42727</v>
      </c>
      <c r="M3846" t="s">
        <v>44492</v>
      </c>
      <c r="N3846" t="s">
        <v>47424</v>
      </c>
      <c r="O3846" t="s">
        <v>47425</v>
      </c>
      <c r="P3846">
        <v>0</v>
      </c>
      <c r="Q3846">
        <v>0</v>
      </c>
      <c r="R3846" t="s">
        <v>47428</v>
      </c>
      <c r="S3846" t="s">
        <v>47541</v>
      </c>
      <c r="T3846" t="s">
        <v>49175</v>
      </c>
      <c r="U3846" t="s">
        <v>52934</v>
      </c>
      <c r="W3846" t="s">
        <v>44492</v>
      </c>
      <c r="X3846" t="s">
        <v>47430</v>
      </c>
    </row>
    <row r="3847" spans="1:24">
      <c r="A3847">
        <f>HYPERLINK("https://www.philgeps.gov.ph/GEPSNONPILOT/Tender/SplashBidNoticeAbstractUI.aspx?menuIndex=3&amp;refID=7163527&amp;Result=3","7163527")</f>
        <v>0</v>
      </c>
      <c r="B3847" t="s">
        <v>581</v>
      </c>
      <c r="C3847" t="s">
        <v>7555</v>
      </c>
      <c r="D3847" t="s">
        <v>19044</v>
      </c>
      <c r="E3847" t="s">
        <v>22543</v>
      </c>
      <c r="F3847" t="s">
        <v>32831</v>
      </c>
      <c r="G3847" t="s">
        <v>32838</v>
      </c>
      <c r="H3847" t="s">
        <v>32848</v>
      </c>
      <c r="I3847" t="s">
        <v>4487</v>
      </c>
      <c r="J3847" t="s">
        <v>33461</v>
      </c>
      <c r="K3847" t="s">
        <v>42726</v>
      </c>
      <c r="M3847" t="s">
        <v>43592</v>
      </c>
      <c r="N3847" t="s">
        <v>47424</v>
      </c>
      <c r="O3847" t="s">
        <v>47425</v>
      </c>
      <c r="P3847">
        <v>0</v>
      </c>
      <c r="Q3847">
        <v>0</v>
      </c>
      <c r="R3847" t="s">
        <v>47428</v>
      </c>
      <c r="S3847" t="s">
        <v>47541</v>
      </c>
      <c r="T3847" t="s">
        <v>49107</v>
      </c>
      <c r="U3847" t="s">
        <v>50752</v>
      </c>
      <c r="W3847" t="s">
        <v>43592</v>
      </c>
      <c r="X3847" t="s">
        <v>47430</v>
      </c>
    </row>
    <row r="3848" spans="1:24">
      <c r="A3848">
        <f>HYPERLINK("https://www.philgeps.gov.ph/GEPSNONPILOT/Tender/SplashBidNoticeAbstractUI.aspx?menuIndex=3&amp;refID=7164041&amp;Result=3","7164041")</f>
        <v>0</v>
      </c>
      <c r="B3848" t="s">
        <v>1576</v>
      </c>
      <c r="C3848" t="s">
        <v>7556</v>
      </c>
      <c r="D3848" t="s">
        <v>19088</v>
      </c>
      <c r="E3848" t="s">
        <v>22544</v>
      </c>
      <c r="F3848" t="s">
        <v>32831</v>
      </c>
      <c r="G3848" t="s">
        <v>32839</v>
      </c>
      <c r="H3848" t="s">
        <v>32848</v>
      </c>
      <c r="I3848" t="s">
        <v>32918</v>
      </c>
      <c r="J3848" t="s">
        <v>35507</v>
      </c>
      <c r="K3848" t="s">
        <v>42732</v>
      </c>
      <c r="M3848" t="s">
        <v>44687</v>
      </c>
      <c r="N3848" t="s">
        <v>47424</v>
      </c>
      <c r="O3848" t="s">
        <v>47425</v>
      </c>
      <c r="P3848">
        <v>0</v>
      </c>
      <c r="Q3848">
        <v>4</v>
      </c>
      <c r="R3848" t="s">
        <v>47428</v>
      </c>
      <c r="S3848" t="s">
        <v>47541</v>
      </c>
      <c r="T3848" t="s">
        <v>49088</v>
      </c>
      <c r="U3848" t="s">
        <v>52935</v>
      </c>
      <c r="W3848" t="s">
        <v>44687</v>
      </c>
      <c r="X3848" t="s">
        <v>47430</v>
      </c>
    </row>
    <row r="3849" spans="1:24">
      <c r="A3849">
        <f>HYPERLINK("https://www.philgeps.gov.ph/GEPSNONPILOT/Tender/SplashBidNoticeAbstractUI.aspx?menuIndex=3&amp;refID=7163526&amp;Result=3","7163526")</f>
        <v>0</v>
      </c>
      <c r="B3849" t="s">
        <v>1385</v>
      </c>
      <c r="C3849" t="s">
        <v>7557</v>
      </c>
      <c r="D3849" t="s">
        <v>19060</v>
      </c>
      <c r="E3849" t="s">
        <v>22545</v>
      </c>
      <c r="F3849" t="s">
        <v>32831</v>
      </c>
      <c r="G3849" t="s">
        <v>32838</v>
      </c>
      <c r="H3849" t="s">
        <v>32850</v>
      </c>
      <c r="I3849" t="s">
        <v>32904</v>
      </c>
      <c r="J3849" t="s">
        <v>33041</v>
      </c>
      <c r="K3849" t="s">
        <v>42730</v>
      </c>
      <c r="M3849" t="s">
        <v>44470</v>
      </c>
      <c r="N3849" t="s">
        <v>47424</v>
      </c>
      <c r="O3849" t="s">
        <v>47425</v>
      </c>
      <c r="P3849">
        <v>0</v>
      </c>
      <c r="Q3849">
        <v>1</v>
      </c>
      <c r="R3849" t="s">
        <v>47428</v>
      </c>
      <c r="S3849" t="s">
        <v>47541</v>
      </c>
      <c r="T3849" t="s">
        <v>49129</v>
      </c>
      <c r="U3849" t="s">
        <v>52936</v>
      </c>
      <c r="V3849" t="s">
        <v>62982</v>
      </c>
      <c r="W3849" t="s">
        <v>44470</v>
      </c>
      <c r="X3849" t="s">
        <v>47430</v>
      </c>
    </row>
    <row r="3850" spans="1:24">
      <c r="A3850">
        <f>HYPERLINK("https://www.philgeps.gov.ph/GEPSNONPILOT/Tender/SplashBidNoticeAbstractUI.aspx?menuIndex=3&amp;refID=7164010&amp;Result=3","7164010")</f>
        <v>0</v>
      </c>
      <c r="B3850" t="s">
        <v>1443</v>
      </c>
      <c r="C3850" t="s">
        <v>7558</v>
      </c>
      <c r="D3850" t="s">
        <v>19058</v>
      </c>
      <c r="E3850" t="s">
        <v>21695</v>
      </c>
      <c r="F3850" t="s">
        <v>32831</v>
      </c>
      <c r="G3850" t="s">
        <v>32838</v>
      </c>
      <c r="H3850" t="s">
        <v>32848</v>
      </c>
      <c r="I3850" t="s">
        <v>7416</v>
      </c>
      <c r="J3850" t="s">
        <v>35508</v>
      </c>
      <c r="K3850" t="s">
        <v>42732</v>
      </c>
      <c r="M3850" t="s">
        <v>44535</v>
      </c>
      <c r="N3850" t="s">
        <v>47424</v>
      </c>
      <c r="O3850" t="s">
        <v>47425</v>
      </c>
      <c r="P3850">
        <v>0</v>
      </c>
      <c r="Q3850">
        <v>0</v>
      </c>
      <c r="R3850" t="s">
        <v>47428</v>
      </c>
      <c r="S3850" t="s">
        <v>47541</v>
      </c>
      <c r="T3850" t="s">
        <v>49073</v>
      </c>
      <c r="U3850" t="s">
        <v>52704</v>
      </c>
      <c r="W3850" t="s">
        <v>44535</v>
      </c>
      <c r="X3850" t="s">
        <v>47430</v>
      </c>
    </row>
    <row r="3851" spans="1:24">
      <c r="A3851">
        <f>HYPERLINK("https://www.philgeps.gov.ph/GEPSNONPILOT/Tender/SplashBidNoticeAbstractUI.aspx?menuIndex=3&amp;refID=7163376&amp;Result=3","7163376")</f>
        <v>0</v>
      </c>
      <c r="B3851" t="s">
        <v>1577</v>
      </c>
      <c r="C3851" t="s">
        <v>7559</v>
      </c>
      <c r="D3851" t="s">
        <v>19027</v>
      </c>
      <c r="E3851" t="s">
        <v>22546</v>
      </c>
      <c r="F3851" t="s">
        <v>32831</v>
      </c>
      <c r="G3851" t="s">
        <v>32838</v>
      </c>
      <c r="H3851" t="s">
        <v>32848</v>
      </c>
      <c r="I3851" t="s">
        <v>32864</v>
      </c>
      <c r="J3851" t="s">
        <v>35509</v>
      </c>
      <c r="K3851" t="s">
        <v>42730</v>
      </c>
      <c r="M3851" t="s">
        <v>44688</v>
      </c>
      <c r="N3851" t="s">
        <v>47424</v>
      </c>
      <c r="O3851" t="s">
        <v>47425</v>
      </c>
      <c r="P3851">
        <v>0</v>
      </c>
      <c r="Q3851">
        <v>4</v>
      </c>
      <c r="R3851" t="s">
        <v>47428</v>
      </c>
      <c r="S3851" t="s">
        <v>47541</v>
      </c>
      <c r="T3851" t="s">
        <v>49145</v>
      </c>
      <c r="U3851" t="s">
        <v>52937</v>
      </c>
      <c r="W3851" t="s">
        <v>44688</v>
      </c>
      <c r="X3851" t="s">
        <v>47430</v>
      </c>
    </row>
    <row r="3852" spans="1:24">
      <c r="A3852">
        <f>HYPERLINK("https://www.philgeps.gov.ph/GEPSNONPILOT/Tender/SplashBidNoticeAbstractUI.aspx?menuIndex=3&amp;refID=7164038&amp;Result=3","7164038")</f>
        <v>0</v>
      </c>
      <c r="B3852" t="s">
        <v>1385</v>
      </c>
      <c r="C3852" t="s">
        <v>7560</v>
      </c>
      <c r="D3852" t="s">
        <v>19060</v>
      </c>
      <c r="E3852" t="s">
        <v>22547</v>
      </c>
      <c r="F3852" t="s">
        <v>32831</v>
      </c>
      <c r="G3852" t="s">
        <v>32840</v>
      </c>
      <c r="H3852" t="s">
        <v>32848</v>
      </c>
      <c r="I3852" t="s">
        <v>4438</v>
      </c>
      <c r="J3852" t="s">
        <v>35510</v>
      </c>
      <c r="K3852" t="s">
        <v>42730</v>
      </c>
      <c r="M3852" t="s">
        <v>44470</v>
      </c>
      <c r="N3852" t="s">
        <v>47424</v>
      </c>
      <c r="O3852" t="s">
        <v>47425</v>
      </c>
      <c r="P3852">
        <v>0</v>
      </c>
      <c r="Q3852">
        <v>0</v>
      </c>
      <c r="R3852" t="s">
        <v>47428</v>
      </c>
      <c r="S3852" t="s">
        <v>47541</v>
      </c>
      <c r="T3852" t="s">
        <v>49129</v>
      </c>
      <c r="U3852" t="s">
        <v>52938</v>
      </c>
      <c r="V3852" t="s">
        <v>62982</v>
      </c>
      <c r="W3852" t="s">
        <v>44470</v>
      </c>
      <c r="X3852" t="s">
        <v>47430</v>
      </c>
    </row>
    <row r="3853" spans="1:24">
      <c r="A3853">
        <f>HYPERLINK("https://www.philgeps.gov.ph/GEPSNONPILOT/Tender/SplashBidNoticeAbstractUI.aspx?menuIndex=3&amp;refID=7163374&amp;Result=3","7163374")</f>
        <v>0</v>
      </c>
      <c r="B3853" t="s">
        <v>1364</v>
      </c>
      <c r="C3853" t="s">
        <v>7561</v>
      </c>
      <c r="D3853" t="s">
        <v>19077</v>
      </c>
      <c r="E3853" t="s">
        <v>22548</v>
      </c>
      <c r="F3853" t="s">
        <v>32831</v>
      </c>
      <c r="G3853" t="s">
        <v>32838</v>
      </c>
      <c r="H3853" t="s">
        <v>32848</v>
      </c>
      <c r="I3853" t="s">
        <v>7416</v>
      </c>
      <c r="J3853" t="s">
        <v>35511</v>
      </c>
      <c r="K3853" t="s">
        <v>42730</v>
      </c>
      <c r="M3853" t="s">
        <v>44443</v>
      </c>
      <c r="N3853" t="s">
        <v>47424</v>
      </c>
      <c r="O3853" t="s">
        <v>47425</v>
      </c>
      <c r="P3853">
        <v>0</v>
      </c>
      <c r="Q3853">
        <v>0</v>
      </c>
      <c r="R3853" t="s">
        <v>47428</v>
      </c>
      <c r="S3853" t="s">
        <v>47541</v>
      </c>
      <c r="T3853" t="s">
        <v>49235</v>
      </c>
      <c r="U3853" t="s">
        <v>52353</v>
      </c>
      <c r="W3853" t="s">
        <v>44443</v>
      </c>
      <c r="X3853" t="s">
        <v>47430</v>
      </c>
    </row>
    <row r="3854" spans="1:24">
      <c r="A3854">
        <f>HYPERLINK("https://www.philgeps.gov.ph/GEPSNONPILOT/Tender/SplashBidNoticeAbstractUI.aspx?menuIndex=3&amp;refID=7163345&amp;Result=3","7163345")</f>
        <v>0</v>
      </c>
      <c r="B3854" t="s">
        <v>1578</v>
      </c>
      <c r="C3854" t="s">
        <v>7562</v>
      </c>
      <c r="D3854" t="s">
        <v>19095</v>
      </c>
      <c r="E3854" t="s">
        <v>22549</v>
      </c>
      <c r="F3854" t="s">
        <v>32831</v>
      </c>
      <c r="G3854" t="s">
        <v>32840</v>
      </c>
      <c r="H3854" t="s">
        <v>32848</v>
      </c>
      <c r="I3854" t="s">
        <v>4222</v>
      </c>
      <c r="J3854" t="s">
        <v>35512</v>
      </c>
      <c r="K3854" t="s">
        <v>42730</v>
      </c>
      <c r="M3854" t="s">
        <v>44689</v>
      </c>
      <c r="N3854" t="s">
        <v>47424</v>
      </c>
      <c r="O3854" t="s">
        <v>47425</v>
      </c>
      <c r="P3854">
        <v>0</v>
      </c>
      <c r="Q3854">
        <v>0</v>
      </c>
      <c r="R3854" t="s">
        <v>47428</v>
      </c>
      <c r="S3854" t="s">
        <v>47541</v>
      </c>
      <c r="T3854" t="s">
        <v>49142</v>
      </c>
      <c r="U3854" t="s">
        <v>52939</v>
      </c>
      <c r="W3854" t="s">
        <v>44689</v>
      </c>
      <c r="X3854" t="s">
        <v>47430</v>
      </c>
    </row>
    <row r="3855" spans="1:24">
      <c r="A3855">
        <f>HYPERLINK("https://www.philgeps.gov.ph/GEPSNONPILOT/Tender/SplashBidNoticeAbstractUI.aspx?menuIndex=3&amp;refID=7163343&amp;Result=3","7163343")</f>
        <v>0</v>
      </c>
      <c r="B3855" t="s">
        <v>1579</v>
      </c>
      <c r="C3855" t="s">
        <v>7563</v>
      </c>
      <c r="D3855" t="s">
        <v>19034</v>
      </c>
      <c r="E3855" t="s">
        <v>22550</v>
      </c>
      <c r="F3855" t="s">
        <v>32831</v>
      </c>
      <c r="G3855" t="s">
        <v>32839</v>
      </c>
      <c r="H3855" t="s">
        <v>32849</v>
      </c>
      <c r="I3855" t="s">
        <v>4177</v>
      </c>
      <c r="J3855" t="s">
        <v>35513</v>
      </c>
      <c r="K3855" t="s">
        <v>42829</v>
      </c>
      <c r="M3855" t="s">
        <v>44690</v>
      </c>
      <c r="N3855" t="s">
        <v>47424</v>
      </c>
      <c r="O3855" t="s">
        <v>47425</v>
      </c>
      <c r="P3855">
        <v>0</v>
      </c>
      <c r="Q3855">
        <v>0</v>
      </c>
      <c r="R3855" t="s">
        <v>47428</v>
      </c>
      <c r="S3855" t="s">
        <v>47541</v>
      </c>
      <c r="T3855" t="s">
        <v>49267</v>
      </c>
      <c r="U3855" t="s">
        <v>52940</v>
      </c>
      <c r="W3855" t="s">
        <v>44690</v>
      </c>
      <c r="X3855" t="s">
        <v>47430</v>
      </c>
    </row>
    <row r="3856" spans="1:24">
      <c r="A3856">
        <f>HYPERLINK("https://www.philgeps.gov.ph/GEPSNONPILOT/Tender/SplashBidNoticeAbstractUI.aspx?menuIndex=3&amp;refID=7163341&amp;Result=3","7163341")</f>
        <v>0</v>
      </c>
      <c r="B3856" t="s">
        <v>1374</v>
      </c>
      <c r="C3856" t="s">
        <v>6928</v>
      </c>
      <c r="E3856" t="s">
        <v>22551</v>
      </c>
      <c r="F3856" t="s">
        <v>32831</v>
      </c>
      <c r="G3856" t="s">
        <v>32840</v>
      </c>
      <c r="H3856" t="s">
        <v>32848</v>
      </c>
      <c r="I3856" t="s">
        <v>5379</v>
      </c>
      <c r="J3856" t="s">
        <v>35514</v>
      </c>
      <c r="K3856" t="s">
        <v>42732</v>
      </c>
      <c r="M3856" t="s">
        <v>44455</v>
      </c>
      <c r="N3856" t="s">
        <v>47424</v>
      </c>
      <c r="O3856" t="s">
        <v>47425</v>
      </c>
      <c r="P3856">
        <v>0</v>
      </c>
      <c r="Q3856">
        <v>0</v>
      </c>
      <c r="R3856" t="s">
        <v>47428</v>
      </c>
      <c r="S3856" t="s">
        <v>47541</v>
      </c>
      <c r="T3856" t="s">
        <v>49235</v>
      </c>
      <c r="U3856" t="s">
        <v>52941</v>
      </c>
      <c r="W3856" t="s">
        <v>44455</v>
      </c>
      <c r="X3856" t="s">
        <v>47430</v>
      </c>
    </row>
    <row r="3857" spans="1:24">
      <c r="A3857">
        <f>HYPERLINK("https://www.philgeps.gov.ph/GEPSNONPILOT/Tender/SplashBidNoticeAbstractUI.aspx?menuIndex=3&amp;refID=7163340&amp;Result=3","7163340")</f>
        <v>0</v>
      </c>
      <c r="B3857" t="s">
        <v>984</v>
      </c>
      <c r="C3857" t="s">
        <v>7564</v>
      </c>
      <c r="D3857" t="s">
        <v>19036</v>
      </c>
      <c r="E3857" t="s">
        <v>22552</v>
      </c>
      <c r="F3857" t="s">
        <v>32831</v>
      </c>
      <c r="G3857" t="s">
        <v>32838</v>
      </c>
      <c r="H3857" t="s">
        <v>32848</v>
      </c>
      <c r="I3857" t="s">
        <v>32857</v>
      </c>
      <c r="J3857" t="s">
        <v>33144</v>
      </c>
      <c r="K3857" t="s">
        <v>42731</v>
      </c>
      <c r="M3857" t="s">
        <v>44033</v>
      </c>
      <c r="N3857" t="s">
        <v>47424</v>
      </c>
      <c r="O3857" t="s">
        <v>47425</v>
      </c>
      <c r="P3857">
        <v>0</v>
      </c>
      <c r="Q3857">
        <v>1</v>
      </c>
      <c r="R3857" t="s">
        <v>47428</v>
      </c>
      <c r="S3857" t="s">
        <v>47541</v>
      </c>
      <c r="T3857" t="s">
        <v>49237</v>
      </c>
      <c r="U3857" t="s">
        <v>51549</v>
      </c>
      <c r="V3857" t="s">
        <v>62855</v>
      </c>
      <c r="W3857" t="s">
        <v>44033</v>
      </c>
      <c r="X3857" t="s">
        <v>47430</v>
      </c>
    </row>
    <row r="3858" spans="1:24">
      <c r="A3858">
        <f>HYPERLINK("https://www.philgeps.gov.ph/GEPSNONPILOT/Tender/SplashBidNoticeAbstractUI.aspx?menuIndex=3&amp;refID=7164007&amp;Result=3","7164007")</f>
        <v>0</v>
      </c>
      <c r="B3858" t="s">
        <v>1484</v>
      </c>
      <c r="C3858" t="s">
        <v>7565</v>
      </c>
      <c r="D3858" t="s">
        <v>19031</v>
      </c>
      <c r="E3858" t="s">
        <v>22553</v>
      </c>
      <c r="F3858" t="s">
        <v>32831</v>
      </c>
      <c r="G3858" t="s">
        <v>32839</v>
      </c>
      <c r="H3858" t="s">
        <v>32848</v>
      </c>
      <c r="I3858" t="s">
        <v>7416</v>
      </c>
      <c r="J3858" t="s">
        <v>35515</v>
      </c>
      <c r="K3858" t="s">
        <v>42727</v>
      </c>
      <c r="M3858" t="s">
        <v>44578</v>
      </c>
      <c r="N3858" t="s">
        <v>47424</v>
      </c>
      <c r="O3858" t="s">
        <v>47425</v>
      </c>
      <c r="P3858">
        <v>0</v>
      </c>
      <c r="Q3858">
        <v>0</v>
      </c>
      <c r="R3858" t="s">
        <v>47428</v>
      </c>
      <c r="S3858" t="s">
        <v>47541</v>
      </c>
      <c r="T3858" t="s">
        <v>49080</v>
      </c>
      <c r="U3858" t="s">
        <v>50272</v>
      </c>
      <c r="W3858" t="s">
        <v>44578</v>
      </c>
      <c r="X3858" t="s">
        <v>47430</v>
      </c>
    </row>
    <row r="3859" spans="1:24">
      <c r="A3859">
        <f>HYPERLINK("https://www.philgeps.gov.ph/GEPSNONPILOT/Tender/SplashBidNoticeAbstractUI.aspx?menuIndex=3&amp;refID=7163308&amp;Result=3","7163308")</f>
        <v>0</v>
      </c>
      <c r="B3859" t="s">
        <v>571</v>
      </c>
      <c r="C3859" t="s">
        <v>7566</v>
      </c>
      <c r="D3859" t="s">
        <v>19037</v>
      </c>
      <c r="E3859" t="s">
        <v>22554</v>
      </c>
      <c r="F3859" t="s">
        <v>32831</v>
      </c>
      <c r="G3859" t="s">
        <v>32840</v>
      </c>
      <c r="H3859" t="s">
        <v>32848</v>
      </c>
      <c r="I3859" t="s">
        <v>32908</v>
      </c>
      <c r="J3859" t="s">
        <v>33018</v>
      </c>
      <c r="K3859" t="s">
        <v>42727</v>
      </c>
      <c r="M3859" t="s">
        <v>43581</v>
      </c>
      <c r="N3859" t="s">
        <v>47424</v>
      </c>
      <c r="O3859" t="s">
        <v>47425</v>
      </c>
      <c r="P3859">
        <v>0</v>
      </c>
      <c r="Q3859">
        <v>0</v>
      </c>
      <c r="R3859" t="s">
        <v>47428</v>
      </c>
      <c r="S3859" t="s">
        <v>47541</v>
      </c>
      <c r="T3859" t="s">
        <v>49119</v>
      </c>
      <c r="U3859" t="s">
        <v>52942</v>
      </c>
      <c r="V3859" t="s">
        <v>62817</v>
      </c>
      <c r="W3859" t="s">
        <v>43581</v>
      </c>
      <c r="X3859" t="s">
        <v>47430</v>
      </c>
    </row>
    <row r="3860" spans="1:24">
      <c r="A3860">
        <f>HYPERLINK("https://www.philgeps.gov.ph/GEPSNONPILOT/Tender/SplashBidNoticeAbstractUI.aspx?menuIndex=3&amp;refID=7163375&amp;Result=3","7163375")</f>
        <v>0</v>
      </c>
      <c r="B3860" t="s">
        <v>67</v>
      </c>
      <c r="C3860" t="s">
        <v>7567</v>
      </c>
      <c r="D3860" t="s">
        <v>19079</v>
      </c>
      <c r="E3860" t="s">
        <v>22555</v>
      </c>
      <c r="F3860" t="s">
        <v>32831</v>
      </c>
      <c r="G3860" t="s">
        <v>32842</v>
      </c>
      <c r="H3860" t="s">
        <v>32848</v>
      </c>
      <c r="I3860" t="s">
        <v>4487</v>
      </c>
      <c r="J3860" t="s">
        <v>32983</v>
      </c>
      <c r="K3860" t="s">
        <v>42730</v>
      </c>
      <c r="M3860" t="s">
        <v>44461</v>
      </c>
      <c r="N3860" t="s">
        <v>47424</v>
      </c>
      <c r="O3860" t="s">
        <v>47425</v>
      </c>
      <c r="P3860">
        <v>0</v>
      </c>
      <c r="Q3860">
        <v>0</v>
      </c>
      <c r="R3860" t="s">
        <v>47428</v>
      </c>
      <c r="S3860" t="s">
        <v>47541</v>
      </c>
      <c r="T3860" t="s">
        <v>49063</v>
      </c>
      <c r="U3860" t="s">
        <v>52943</v>
      </c>
      <c r="W3860" t="s">
        <v>44461</v>
      </c>
      <c r="X3860" t="s">
        <v>47430</v>
      </c>
    </row>
    <row r="3861" spans="1:24">
      <c r="A3861">
        <f>HYPERLINK("https://www.philgeps.gov.ph/GEPSNONPILOT/Tender/SplashBidNoticeAbstractUI.aspx?menuIndex=3&amp;refID=7163303&amp;Result=3","7163303")</f>
        <v>0</v>
      </c>
      <c r="B3861" t="s">
        <v>1578</v>
      </c>
      <c r="C3861" t="s">
        <v>7568</v>
      </c>
      <c r="D3861" t="s">
        <v>19095</v>
      </c>
      <c r="E3861" t="s">
        <v>19313</v>
      </c>
      <c r="F3861" t="s">
        <v>32831</v>
      </c>
      <c r="G3861" t="s">
        <v>32840</v>
      </c>
      <c r="H3861" t="s">
        <v>32848</v>
      </c>
      <c r="I3861" t="s">
        <v>7751</v>
      </c>
      <c r="J3861" t="s">
        <v>33087</v>
      </c>
      <c r="K3861" t="s">
        <v>42730</v>
      </c>
      <c r="M3861" t="s">
        <v>44689</v>
      </c>
      <c r="N3861" t="s">
        <v>47424</v>
      </c>
      <c r="O3861" t="s">
        <v>47425</v>
      </c>
      <c r="P3861">
        <v>0</v>
      </c>
      <c r="Q3861">
        <v>0</v>
      </c>
      <c r="R3861" t="s">
        <v>47428</v>
      </c>
      <c r="S3861" t="s">
        <v>47541</v>
      </c>
      <c r="T3861" t="s">
        <v>49142</v>
      </c>
      <c r="U3861" t="s">
        <v>52944</v>
      </c>
      <c r="W3861" t="s">
        <v>44689</v>
      </c>
      <c r="X3861" t="s">
        <v>47430</v>
      </c>
    </row>
    <row r="3862" spans="1:24">
      <c r="A3862">
        <f>HYPERLINK("https://www.philgeps.gov.ph/GEPSNONPILOT/Tender/SplashBidNoticeAbstractUI.aspx?menuIndex=3&amp;refID=7163529&amp;Result=3","7163529")</f>
        <v>0</v>
      </c>
      <c r="B3862" t="s">
        <v>565</v>
      </c>
      <c r="C3862" t="s">
        <v>7569</v>
      </c>
      <c r="D3862" t="s">
        <v>19020</v>
      </c>
      <c r="E3862" t="s">
        <v>22040</v>
      </c>
      <c r="F3862" t="s">
        <v>32831</v>
      </c>
      <c r="G3862" t="s">
        <v>32838</v>
      </c>
      <c r="H3862" t="s">
        <v>32848</v>
      </c>
      <c r="I3862" t="s">
        <v>32862</v>
      </c>
      <c r="J3862" t="s">
        <v>35177</v>
      </c>
      <c r="K3862" t="s">
        <v>42727</v>
      </c>
      <c r="M3862" t="s">
        <v>43575</v>
      </c>
      <c r="N3862" t="s">
        <v>47424</v>
      </c>
      <c r="O3862" t="s">
        <v>47425</v>
      </c>
      <c r="P3862">
        <v>0</v>
      </c>
      <c r="Q3862">
        <v>0</v>
      </c>
      <c r="R3862" t="s">
        <v>47428</v>
      </c>
      <c r="S3862" t="s">
        <v>47541</v>
      </c>
      <c r="T3862" t="s">
        <v>49089</v>
      </c>
      <c r="U3862" t="s">
        <v>52945</v>
      </c>
      <c r="W3862" t="s">
        <v>43575</v>
      </c>
      <c r="X3862" t="s">
        <v>47430</v>
      </c>
    </row>
    <row r="3863" spans="1:24">
      <c r="A3863">
        <f>HYPERLINK("https://www.philgeps.gov.ph/GEPSNONPILOT/Tender/SplashBidNoticeAbstractUI.aspx?menuIndex=3&amp;refID=7163300&amp;Result=3","7163300")</f>
        <v>0</v>
      </c>
      <c r="B3863" t="s">
        <v>502</v>
      </c>
      <c r="C3863" t="s">
        <v>7570</v>
      </c>
      <c r="D3863" t="s">
        <v>19026</v>
      </c>
      <c r="E3863" t="s">
        <v>22556</v>
      </c>
      <c r="F3863" t="s">
        <v>32831</v>
      </c>
      <c r="G3863" t="s">
        <v>32839</v>
      </c>
      <c r="H3863" t="s">
        <v>32848</v>
      </c>
      <c r="I3863" t="s">
        <v>32878</v>
      </c>
      <c r="J3863" t="s">
        <v>33692</v>
      </c>
      <c r="K3863" t="s">
        <v>42726</v>
      </c>
      <c r="M3863" t="s">
        <v>43507</v>
      </c>
      <c r="N3863" t="s">
        <v>47424</v>
      </c>
      <c r="O3863" t="s">
        <v>47425</v>
      </c>
      <c r="P3863">
        <v>0</v>
      </c>
      <c r="Q3863">
        <v>0</v>
      </c>
      <c r="R3863" t="s">
        <v>47428</v>
      </c>
      <c r="S3863" t="s">
        <v>47541</v>
      </c>
      <c r="T3863" t="s">
        <v>49109</v>
      </c>
      <c r="U3863" t="s">
        <v>52946</v>
      </c>
      <c r="W3863" t="s">
        <v>43507</v>
      </c>
      <c r="X3863" t="s">
        <v>47430</v>
      </c>
    </row>
    <row r="3864" spans="1:24">
      <c r="A3864">
        <f>HYPERLINK("https://www.philgeps.gov.ph/GEPSNONPILOT/Tender/SplashBidNoticeAbstractUI.aspx?menuIndex=3&amp;refID=7163297&amp;Result=3","7163297")</f>
        <v>0</v>
      </c>
      <c r="B3864" t="s">
        <v>1580</v>
      </c>
      <c r="C3864" t="s">
        <v>7571</v>
      </c>
      <c r="D3864" t="s">
        <v>19061</v>
      </c>
      <c r="E3864" t="s">
        <v>22557</v>
      </c>
      <c r="F3864" t="s">
        <v>32831</v>
      </c>
      <c r="G3864" t="s">
        <v>32839</v>
      </c>
      <c r="H3864" t="s">
        <v>32848</v>
      </c>
      <c r="I3864" t="s">
        <v>10643</v>
      </c>
      <c r="J3864" t="s">
        <v>35516</v>
      </c>
      <c r="K3864" t="s">
        <v>42731</v>
      </c>
      <c r="M3864" t="s">
        <v>44691</v>
      </c>
      <c r="N3864" t="s">
        <v>47424</v>
      </c>
      <c r="O3864" t="s">
        <v>47425</v>
      </c>
      <c r="P3864">
        <v>0</v>
      </c>
      <c r="Q3864">
        <v>2</v>
      </c>
      <c r="R3864" t="s">
        <v>47428</v>
      </c>
      <c r="S3864" t="s">
        <v>47541</v>
      </c>
      <c r="T3864" t="s">
        <v>49078</v>
      </c>
      <c r="U3864" t="s">
        <v>52947</v>
      </c>
      <c r="W3864" t="s">
        <v>64477</v>
      </c>
      <c r="X3864" t="s">
        <v>47430</v>
      </c>
    </row>
    <row r="3865" spans="1:24">
      <c r="A3865">
        <f>HYPERLINK("https://www.philgeps.gov.ph/GEPSNONPILOT/Tender/SplashBidNoticeAbstractUI.aspx?menuIndex=3&amp;refID=7163311&amp;Result=3","7163311")</f>
        <v>0</v>
      </c>
      <c r="B3865" t="s">
        <v>1144</v>
      </c>
      <c r="C3865" t="s">
        <v>7572</v>
      </c>
      <c r="D3865" t="s">
        <v>19038</v>
      </c>
      <c r="E3865" t="s">
        <v>22558</v>
      </c>
      <c r="F3865" t="s">
        <v>32831</v>
      </c>
      <c r="G3865" t="s">
        <v>32839</v>
      </c>
      <c r="H3865" t="s">
        <v>32848</v>
      </c>
      <c r="I3865" t="s">
        <v>7416</v>
      </c>
      <c r="J3865" t="s">
        <v>33315</v>
      </c>
      <c r="K3865" t="s">
        <v>42745</v>
      </c>
      <c r="M3865" t="s">
        <v>44208</v>
      </c>
      <c r="N3865" t="s">
        <v>47424</v>
      </c>
      <c r="O3865" t="s">
        <v>47425</v>
      </c>
      <c r="P3865">
        <v>0</v>
      </c>
      <c r="Q3865">
        <v>0</v>
      </c>
      <c r="R3865" t="s">
        <v>47428</v>
      </c>
      <c r="S3865" t="s">
        <v>47541</v>
      </c>
      <c r="T3865" t="s">
        <v>49361</v>
      </c>
      <c r="U3865" t="s">
        <v>52948</v>
      </c>
      <c r="V3865" t="s">
        <v>62904</v>
      </c>
      <c r="W3865" t="s">
        <v>44208</v>
      </c>
      <c r="X3865" t="s">
        <v>47430</v>
      </c>
    </row>
    <row r="3866" spans="1:24">
      <c r="A3866">
        <f>HYPERLINK("https://www.philgeps.gov.ph/GEPSNONPILOT/Tender/SplashBidNoticeAbstractUI.aspx?menuIndex=3&amp;refID=7163274&amp;Result=3","7163274")</f>
        <v>0</v>
      </c>
      <c r="B3866" t="s">
        <v>1363</v>
      </c>
      <c r="C3866" t="s">
        <v>7573</v>
      </c>
      <c r="D3866" t="s">
        <v>19022</v>
      </c>
      <c r="E3866" t="s">
        <v>22559</v>
      </c>
      <c r="F3866" t="s">
        <v>32831</v>
      </c>
      <c r="G3866" t="s">
        <v>32838</v>
      </c>
      <c r="H3866" t="s">
        <v>32848</v>
      </c>
      <c r="I3866" t="s">
        <v>4438</v>
      </c>
      <c r="J3866" t="s">
        <v>33364</v>
      </c>
      <c r="K3866" t="s">
        <v>42731</v>
      </c>
      <c r="M3866" t="s">
        <v>44442</v>
      </c>
      <c r="N3866" t="s">
        <v>47424</v>
      </c>
      <c r="O3866" t="s">
        <v>47425</v>
      </c>
      <c r="P3866">
        <v>0</v>
      </c>
      <c r="Q3866">
        <v>1</v>
      </c>
      <c r="R3866" t="s">
        <v>47428</v>
      </c>
      <c r="S3866" t="s">
        <v>47541</v>
      </c>
      <c r="T3866" t="s">
        <v>49235</v>
      </c>
      <c r="U3866" t="s">
        <v>52351</v>
      </c>
      <c r="V3866" t="s">
        <v>62974</v>
      </c>
      <c r="W3866" t="s">
        <v>44442</v>
      </c>
      <c r="X3866" t="s">
        <v>47430</v>
      </c>
    </row>
    <row r="3867" spans="1:24">
      <c r="A3867">
        <f>HYPERLINK("https://www.philgeps.gov.ph/GEPSNONPILOT/Tender/SplashBidNoticeAbstractUI.aspx?menuIndex=3&amp;refID=7163310&amp;Result=3","7163310")</f>
        <v>0</v>
      </c>
      <c r="B3867" t="s">
        <v>1372</v>
      </c>
      <c r="C3867" t="s">
        <v>7574</v>
      </c>
      <c r="D3867" t="s">
        <v>19037</v>
      </c>
      <c r="E3867" t="s">
        <v>22560</v>
      </c>
      <c r="F3867" t="s">
        <v>32831</v>
      </c>
      <c r="G3867" t="s">
        <v>32839</v>
      </c>
      <c r="H3867" t="s">
        <v>32848</v>
      </c>
      <c r="I3867" t="s">
        <v>4438</v>
      </c>
      <c r="J3867" t="s">
        <v>34509</v>
      </c>
      <c r="K3867" t="s">
        <v>42727</v>
      </c>
      <c r="M3867" t="s">
        <v>44453</v>
      </c>
      <c r="N3867" t="s">
        <v>47424</v>
      </c>
      <c r="O3867" t="s">
        <v>47425</v>
      </c>
      <c r="P3867">
        <v>0</v>
      </c>
      <c r="Q3867">
        <v>0</v>
      </c>
      <c r="R3867" t="s">
        <v>47428</v>
      </c>
      <c r="S3867" t="s">
        <v>47541</v>
      </c>
      <c r="T3867" t="s">
        <v>49218</v>
      </c>
      <c r="U3867" t="s">
        <v>52949</v>
      </c>
      <c r="V3867" t="s">
        <v>63048</v>
      </c>
      <c r="W3867" t="s">
        <v>44453</v>
      </c>
      <c r="X3867" t="s">
        <v>47430</v>
      </c>
    </row>
    <row r="3868" spans="1:24">
      <c r="A3868">
        <f>HYPERLINK("https://www.philgeps.gov.ph/GEPSNONPILOT/Tender/SplashBidNoticeAbstractUI.aspx?menuIndex=3&amp;refID=7164042&amp;Result=3","7164042")</f>
        <v>0</v>
      </c>
      <c r="B3868" t="s">
        <v>1482</v>
      </c>
      <c r="C3868" t="s">
        <v>7575</v>
      </c>
      <c r="D3868" t="s">
        <v>19018</v>
      </c>
      <c r="E3868" t="s">
        <v>22561</v>
      </c>
      <c r="F3868" t="s">
        <v>32831</v>
      </c>
      <c r="G3868" t="s">
        <v>32838</v>
      </c>
      <c r="H3868" t="s">
        <v>32848</v>
      </c>
      <c r="I3868" t="s">
        <v>32864</v>
      </c>
      <c r="J3868" t="s">
        <v>35517</v>
      </c>
      <c r="K3868" t="s">
        <v>42731</v>
      </c>
      <c r="M3868" t="s">
        <v>44576</v>
      </c>
      <c r="N3868" t="s">
        <v>47424</v>
      </c>
      <c r="O3868" t="s">
        <v>47425</v>
      </c>
      <c r="P3868">
        <v>0</v>
      </c>
      <c r="Q3868">
        <v>5</v>
      </c>
      <c r="R3868" t="s">
        <v>47428</v>
      </c>
      <c r="S3868" t="s">
        <v>47541</v>
      </c>
      <c r="T3868" t="s">
        <v>49214</v>
      </c>
      <c r="U3868" t="s">
        <v>52950</v>
      </c>
      <c r="V3868" t="s">
        <v>63016</v>
      </c>
      <c r="W3868" t="s">
        <v>44576</v>
      </c>
      <c r="X3868" t="s">
        <v>47430</v>
      </c>
    </row>
    <row r="3869" spans="1:24">
      <c r="A3869">
        <f>HYPERLINK("https://www.philgeps.gov.ph/GEPSNONPILOT/Tender/SplashBidNoticeAbstractUI.aspx?menuIndex=3&amp;refID=7163267&amp;Result=3","7163267")</f>
        <v>0</v>
      </c>
      <c r="B3869" t="s">
        <v>771</v>
      </c>
      <c r="C3869" t="s">
        <v>7576</v>
      </c>
      <c r="D3869" t="s">
        <v>19073</v>
      </c>
      <c r="E3869" t="s">
        <v>22562</v>
      </c>
      <c r="F3869" t="s">
        <v>32831</v>
      </c>
      <c r="G3869" t="s">
        <v>32839</v>
      </c>
      <c r="H3869" t="s">
        <v>32848</v>
      </c>
      <c r="I3869" t="s">
        <v>4558</v>
      </c>
      <c r="J3869" t="s">
        <v>35518</v>
      </c>
      <c r="K3869" t="s">
        <v>42727</v>
      </c>
      <c r="M3869" t="s">
        <v>43800</v>
      </c>
      <c r="N3869" t="s">
        <v>47424</v>
      </c>
      <c r="O3869" t="s">
        <v>47425</v>
      </c>
      <c r="P3869">
        <v>0</v>
      </c>
      <c r="Q3869">
        <v>1</v>
      </c>
      <c r="R3869" t="s">
        <v>47428</v>
      </c>
      <c r="S3869" t="s">
        <v>47541</v>
      </c>
      <c r="T3869" t="s">
        <v>49159</v>
      </c>
      <c r="U3869" t="s">
        <v>52361</v>
      </c>
      <c r="W3869" t="s">
        <v>43800</v>
      </c>
      <c r="X3869" t="s">
        <v>47430</v>
      </c>
    </row>
    <row r="3870" spans="1:24">
      <c r="A3870">
        <f>HYPERLINK("https://www.philgeps.gov.ph/GEPSNONPILOT/Tender/SplashBidNoticeAbstractUI.aspx?menuIndex=3&amp;refID=7163304&amp;Result=3","7163304")</f>
        <v>0</v>
      </c>
      <c r="B3870" t="s">
        <v>1581</v>
      </c>
      <c r="C3870" t="s">
        <v>7577</v>
      </c>
      <c r="E3870" t="s">
        <v>22563</v>
      </c>
      <c r="F3870" t="s">
        <v>32831</v>
      </c>
      <c r="G3870" t="s">
        <v>32839</v>
      </c>
      <c r="H3870" t="s">
        <v>32848</v>
      </c>
      <c r="I3870" t="s">
        <v>7751</v>
      </c>
      <c r="J3870" t="s">
        <v>33072</v>
      </c>
      <c r="K3870" t="s">
        <v>42732</v>
      </c>
      <c r="M3870" t="s">
        <v>44692</v>
      </c>
      <c r="N3870" t="s">
        <v>47424</v>
      </c>
      <c r="O3870" t="s">
        <v>47425</v>
      </c>
      <c r="P3870">
        <v>0</v>
      </c>
      <c r="Q3870">
        <v>0</v>
      </c>
      <c r="R3870" t="s">
        <v>47428</v>
      </c>
      <c r="S3870" t="s">
        <v>47541</v>
      </c>
      <c r="T3870" t="s">
        <v>49362</v>
      </c>
      <c r="U3870" t="s">
        <v>52951</v>
      </c>
      <c r="W3870" t="s">
        <v>44692</v>
      </c>
      <c r="X3870" t="s">
        <v>47430</v>
      </c>
    </row>
    <row r="3871" spans="1:24">
      <c r="A3871">
        <f>HYPERLINK("https://www.philgeps.gov.ph/GEPSNONPILOT/Tender/SplashBidNoticeAbstractUI.aspx?menuIndex=3&amp;refID=7163265&amp;Result=3","7163265")</f>
        <v>0</v>
      </c>
      <c r="B3871" t="s">
        <v>671</v>
      </c>
      <c r="C3871" t="s">
        <v>7578</v>
      </c>
      <c r="D3871" t="s">
        <v>19030</v>
      </c>
      <c r="E3871" t="s">
        <v>22564</v>
      </c>
      <c r="F3871" t="s">
        <v>32831</v>
      </c>
      <c r="G3871" t="s">
        <v>32838</v>
      </c>
      <c r="H3871" t="s">
        <v>32848</v>
      </c>
      <c r="I3871" t="s">
        <v>4222</v>
      </c>
      <c r="J3871" t="s">
        <v>33026</v>
      </c>
      <c r="K3871" t="s">
        <v>42745</v>
      </c>
      <c r="M3871" t="s">
        <v>44693</v>
      </c>
      <c r="N3871" t="s">
        <v>47424</v>
      </c>
      <c r="O3871" t="s">
        <v>47425</v>
      </c>
      <c r="P3871">
        <v>0</v>
      </c>
      <c r="Q3871">
        <v>0</v>
      </c>
      <c r="R3871" t="s">
        <v>47428</v>
      </c>
      <c r="S3871" t="s">
        <v>47541</v>
      </c>
      <c r="T3871" t="s">
        <v>49237</v>
      </c>
      <c r="U3871" t="s">
        <v>52028</v>
      </c>
      <c r="V3871" t="s">
        <v>62919</v>
      </c>
      <c r="W3871" t="s">
        <v>64462</v>
      </c>
      <c r="X3871" t="s">
        <v>47430</v>
      </c>
    </row>
    <row r="3872" spans="1:24">
      <c r="A3872">
        <f>HYPERLINK("https://www.philgeps.gov.ph/GEPSNONPILOT/Tender/SplashBidNoticeAbstractUI.aspx?menuIndex=3&amp;refID=7163259&amp;Result=3","7163259")</f>
        <v>0</v>
      </c>
      <c r="B3872" t="s">
        <v>1582</v>
      </c>
      <c r="C3872" t="s">
        <v>7579</v>
      </c>
      <c r="D3872" t="s">
        <v>19037</v>
      </c>
      <c r="E3872" t="s">
        <v>22565</v>
      </c>
      <c r="F3872" t="s">
        <v>32833</v>
      </c>
      <c r="G3872" t="s">
        <v>32840</v>
      </c>
      <c r="H3872" t="s">
        <v>32848</v>
      </c>
      <c r="I3872" t="s">
        <v>32879</v>
      </c>
      <c r="J3872" t="s">
        <v>33935</v>
      </c>
      <c r="K3872" t="s">
        <v>42727</v>
      </c>
      <c r="M3872" t="s">
        <v>44694</v>
      </c>
      <c r="N3872" t="s">
        <v>47424</v>
      </c>
      <c r="O3872" t="s">
        <v>47425</v>
      </c>
      <c r="P3872">
        <v>0</v>
      </c>
      <c r="Q3872">
        <v>0</v>
      </c>
      <c r="R3872" t="s">
        <v>47428</v>
      </c>
      <c r="S3872" t="s">
        <v>47541</v>
      </c>
      <c r="T3872" t="s">
        <v>49114</v>
      </c>
      <c r="U3872" t="s">
        <v>52952</v>
      </c>
      <c r="W3872" t="s">
        <v>44694</v>
      </c>
      <c r="X3872" t="s">
        <v>47430</v>
      </c>
    </row>
    <row r="3873" spans="1:24">
      <c r="A3873">
        <f>HYPERLINK("https://www.philgeps.gov.ph/GEPSNONPILOT/Tender/SplashBidNoticeAbstractUI.aspx?menuIndex=3&amp;refID=7163298&amp;Result=3","7163298")</f>
        <v>0</v>
      </c>
      <c r="B3873" t="s">
        <v>1583</v>
      </c>
      <c r="C3873" t="s">
        <v>7580</v>
      </c>
      <c r="E3873" t="s">
        <v>20660</v>
      </c>
      <c r="F3873" t="s">
        <v>32831</v>
      </c>
      <c r="G3873" t="s">
        <v>32838</v>
      </c>
      <c r="H3873" t="s">
        <v>32848</v>
      </c>
      <c r="I3873" t="s">
        <v>4438</v>
      </c>
      <c r="J3873" t="s">
        <v>35519</v>
      </c>
      <c r="K3873" t="s">
        <v>42732</v>
      </c>
      <c r="M3873" t="s">
        <v>44695</v>
      </c>
      <c r="N3873" t="s">
        <v>47424</v>
      </c>
      <c r="O3873" t="s">
        <v>47425</v>
      </c>
      <c r="P3873">
        <v>0</v>
      </c>
      <c r="Q3873">
        <v>0</v>
      </c>
      <c r="R3873" t="s">
        <v>47428</v>
      </c>
      <c r="S3873" t="s">
        <v>47541</v>
      </c>
      <c r="T3873" t="s">
        <v>49100</v>
      </c>
      <c r="U3873" t="s">
        <v>52953</v>
      </c>
      <c r="W3873" t="s">
        <v>44695</v>
      </c>
      <c r="X3873" t="s">
        <v>47430</v>
      </c>
    </row>
    <row r="3874" spans="1:24">
      <c r="A3874">
        <f>HYPERLINK("https://www.philgeps.gov.ph/GEPSNONPILOT/Tender/SplashBidNoticeAbstractUI.aspx?menuIndex=3&amp;refID=7163219&amp;Result=3","7163219")</f>
        <v>0</v>
      </c>
      <c r="B3874" t="s">
        <v>771</v>
      </c>
      <c r="C3874" t="s">
        <v>7581</v>
      </c>
      <c r="D3874" t="s">
        <v>19073</v>
      </c>
      <c r="E3874" t="s">
        <v>22562</v>
      </c>
      <c r="F3874" t="s">
        <v>32831</v>
      </c>
      <c r="G3874" t="s">
        <v>32839</v>
      </c>
      <c r="H3874" t="s">
        <v>32848</v>
      </c>
      <c r="I3874" t="s">
        <v>32886</v>
      </c>
      <c r="J3874" t="s">
        <v>35520</v>
      </c>
      <c r="K3874" t="s">
        <v>42727</v>
      </c>
      <c r="M3874" t="s">
        <v>43800</v>
      </c>
      <c r="N3874" t="s">
        <v>47424</v>
      </c>
      <c r="O3874" t="s">
        <v>47425</v>
      </c>
      <c r="P3874">
        <v>0</v>
      </c>
      <c r="Q3874">
        <v>1</v>
      </c>
      <c r="R3874" t="s">
        <v>47428</v>
      </c>
      <c r="S3874" t="s">
        <v>47541</v>
      </c>
      <c r="T3874" t="s">
        <v>49159</v>
      </c>
      <c r="U3874" t="s">
        <v>52361</v>
      </c>
      <c r="W3874" t="s">
        <v>43800</v>
      </c>
      <c r="X3874" t="s">
        <v>47430</v>
      </c>
    </row>
    <row r="3875" spans="1:24">
      <c r="A3875">
        <f>HYPERLINK("https://www.philgeps.gov.ph/GEPSNONPILOT/Tender/SplashBidNoticeAbstractUI.aspx?menuIndex=3&amp;refID=7163192&amp;Result=3","7163192")</f>
        <v>0</v>
      </c>
      <c r="B3875" t="s">
        <v>1115</v>
      </c>
      <c r="C3875" t="s">
        <v>7582</v>
      </c>
      <c r="D3875" t="s">
        <v>19017</v>
      </c>
      <c r="E3875" t="s">
        <v>22566</v>
      </c>
      <c r="F3875" t="s">
        <v>32831</v>
      </c>
      <c r="G3875" t="s">
        <v>32842</v>
      </c>
      <c r="H3875" t="s">
        <v>32848</v>
      </c>
      <c r="I3875" t="s">
        <v>9577</v>
      </c>
      <c r="J3875" t="s">
        <v>34037</v>
      </c>
      <c r="K3875" t="s">
        <v>42727</v>
      </c>
      <c r="M3875" t="s">
        <v>44696</v>
      </c>
      <c r="N3875" t="s">
        <v>47424</v>
      </c>
      <c r="O3875" t="s">
        <v>47425</v>
      </c>
      <c r="P3875">
        <v>0</v>
      </c>
      <c r="Q3875">
        <v>7</v>
      </c>
      <c r="R3875" t="s">
        <v>47428</v>
      </c>
      <c r="S3875" t="s">
        <v>47541</v>
      </c>
      <c r="T3875" t="s">
        <v>49244</v>
      </c>
      <c r="U3875" t="s">
        <v>52954</v>
      </c>
      <c r="W3875" t="s">
        <v>44696</v>
      </c>
      <c r="X3875" t="s">
        <v>47430</v>
      </c>
    </row>
    <row r="3876" spans="1:24">
      <c r="A3876">
        <f>HYPERLINK("https://www.philgeps.gov.ph/GEPSNONPILOT/Tender/SplashBidNoticeAbstractUI.aspx?menuIndex=3&amp;refID=7163273&amp;Result=3","7163273")</f>
        <v>0</v>
      </c>
      <c r="B3876" t="s">
        <v>1584</v>
      </c>
      <c r="C3876" t="s">
        <v>6619</v>
      </c>
      <c r="D3876" t="s">
        <v>19030</v>
      </c>
      <c r="E3876" t="s">
        <v>19183</v>
      </c>
      <c r="F3876" t="s">
        <v>32831</v>
      </c>
      <c r="G3876" t="s">
        <v>32842</v>
      </c>
      <c r="H3876" t="s">
        <v>32850</v>
      </c>
      <c r="I3876" t="s">
        <v>4446</v>
      </c>
      <c r="J3876" t="s">
        <v>33291</v>
      </c>
      <c r="K3876" t="s">
        <v>42726</v>
      </c>
      <c r="M3876" t="s">
        <v>44697</v>
      </c>
      <c r="N3876" t="s">
        <v>47424</v>
      </c>
      <c r="O3876" t="s">
        <v>47425</v>
      </c>
      <c r="P3876">
        <v>0</v>
      </c>
      <c r="Q3876">
        <v>1</v>
      </c>
      <c r="R3876" t="s">
        <v>47428</v>
      </c>
      <c r="S3876" t="s">
        <v>47541</v>
      </c>
      <c r="T3876" t="s">
        <v>49238</v>
      </c>
      <c r="U3876" t="s">
        <v>52955</v>
      </c>
      <c r="W3876" t="s">
        <v>44697</v>
      </c>
      <c r="X3876" t="s">
        <v>47430</v>
      </c>
    </row>
    <row r="3877" spans="1:24">
      <c r="A3877">
        <f>HYPERLINK("https://www.philgeps.gov.ph/GEPSNONPILOT/Tender/SplashBidNoticeAbstractUI.aspx?menuIndex=3&amp;refID=7163268&amp;Result=3","7163268")</f>
        <v>0</v>
      </c>
      <c r="B3877" t="s">
        <v>1581</v>
      </c>
      <c r="C3877" t="s">
        <v>7577</v>
      </c>
      <c r="E3877" t="s">
        <v>22567</v>
      </c>
      <c r="F3877" t="s">
        <v>32831</v>
      </c>
      <c r="G3877" t="s">
        <v>32839</v>
      </c>
      <c r="H3877" t="s">
        <v>32848</v>
      </c>
      <c r="I3877" t="s">
        <v>32859</v>
      </c>
      <c r="J3877" t="s">
        <v>35521</v>
      </c>
      <c r="K3877" t="s">
        <v>42732</v>
      </c>
      <c r="M3877" t="s">
        <v>44692</v>
      </c>
      <c r="N3877" t="s">
        <v>47424</v>
      </c>
      <c r="O3877" t="s">
        <v>47425</v>
      </c>
      <c r="P3877">
        <v>0</v>
      </c>
      <c r="Q3877">
        <v>2</v>
      </c>
      <c r="R3877" t="s">
        <v>47428</v>
      </c>
      <c r="S3877" t="s">
        <v>47541</v>
      </c>
      <c r="T3877" t="s">
        <v>49093</v>
      </c>
      <c r="U3877" t="s">
        <v>52956</v>
      </c>
      <c r="W3877" t="s">
        <v>44692</v>
      </c>
      <c r="X3877" t="s">
        <v>47430</v>
      </c>
    </row>
    <row r="3878" spans="1:24">
      <c r="A3878">
        <f>HYPERLINK("https://www.philgeps.gov.ph/GEPSNONPILOT/Tender/SplashBidNoticeAbstractUI.aspx?menuIndex=3&amp;refID=7163188&amp;Result=3","7163188")</f>
        <v>0</v>
      </c>
      <c r="B3878" t="s">
        <v>413</v>
      </c>
      <c r="C3878" t="s">
        <v>7583</v>
      </c>
      <c r="D3878" t="s">
        <v>19017</v>
      </c>
      <c r="E3878" t="s">
        <v>22568</v>
      </c>
      <c r="F3878" t="s">
        <v>32831</v>
      </c>
      <c r="G3878" t="s">
        <v>32838</v>
      </c>
      <c r="H3878" t="s">
        <v>32848</v>
      </c>
      <c r="I3878" t="s">
        <v>5379</v>
      </c>
      <c r="J3878" t="s">
        <v>35522</v>
      </c>
      <c r="K3878" t="s">
        <v>42727</v>
      </c>
      <c r="M3878" t="s">
        <v>43418</v>
      </c>
      <c r="N3878" t="s">
        <v>47424</v>
      </c>
      <c r="O3878" t="s">
        <v>47425</v>
      </c>
      <c r="P3878">
        <v>0</v>
      </c>
      <c r="Q3878">
        <v>5</v>
      </c>
      <c r="R3878" t="s">
        <v>47428</v>
      </c>
      <c r="S3878" t="s">
        <v>47541</v>
      </c>
      <c r="T3878" t="s">
        <v>49239</v>
      </c>
      <c r="U3878" t="s">
        <v>52957</v>
      </c>
      <c r="W3878" t="s">
        <v>43418</v>
      </c>
      <c r="X3878" t="s">
        <v>47430</v>
      </c>
    </row>
    <row r="3879" spans="1:24">
      <c r="A3879">
        <f>HYPERLINK("https://www.philgeps.gov.ph/GEPSNONPILOT/Tender/SplashBidNoticeAbstractUI.aspx?menuIndex=3&amp;refID=7163264&amp;Result=3","7163264")</f>
        <v>0</v>
      </c>
      <c r="B3879" t="s">
        <v>1330</v>
      </c>
      <c r="C3879" t="s">
        <v>7584</v>
      </c>
      <c r="D3879" t="s">
        <v>19095</v>
      </c>
      <c r="E3879" t="s">
        <v>22569</v>
      </c>
      <c r="F3879" t="s">
        <v>32831</v>
      </c>
      <c r="G3879" t="s">
        <v>32840</v>
      </c>
      <c r="H3879" t="s">
        <v>32848</v>
      </c>
      <c r="I3879" t="s">
        <v>7416</v>
      </c>
      <c r="J3879" t="s">
        <v>35523</v>
      </c>
      <c r="K3879" t="s">
        <v>42726</v>
      </c>
      <c r="M3879" t="s">
        <v>44401</v>
      </c>
      <c r="N3879" t="s">
        <v>47424</v>
      </c>
      <c r="O3879" t="s">
        <v>47425</v>
      </c>
      <c r="P3879">
        <v>0</v>
      </c>
      <c r="Q3879">
        <v>0</v>
      </c>
      <c r="R3879" t="s">
        <v>47428</v>
      </c>
      <c r="S3879" t="s">
        <v>47541</v>
      </c>
      <c r="T3879" t="s">
        <v>49111</v>
      </c>
      <c r="U3879" t="s">
        <v>52958</v>
      </c>
      <c r="V3879" t="s">
        <v>62963</v>
      </c>
      <c r="W3879" t="s">
        <v>44401</v>
      </c>
      <c r="X3879" t="s">
        <v>47430</v>
      </c>
    </row>
    <row r="3880" spans="1:24">
      <c r="A3880">
        <f>HYPERLINK("https://www.philgeps.gov.ph/GEPSNONPILOT/Tender/SplashBidNoticeAbstractUI.aspx?menuIndex=3&amp;refID=7163187&amp;Result=3","7163187")</f>
        <v>0</v>
      </c>
      <c r="B3880" t="s">
        <v>1130</v>
      </c>
      <c r="C3880" t="s">
        <v>7585</v>
      </c>
      <c r="D3880" t="s">
        <v>19045</v>
      </c>
      <c r="E3880" t="s">
        <v>22570</v>
      </c>
      <c r="F3880" t="s">
        <v>32831</v>
      </c>
      <c r="G3880" t="s">
        <v>32838</v>
      </c>
      <c r="H3880" t="s">
        <v>32850</v>
      </c>
      <c r="I3880" t="s">
        <v>5379</v>
      </c>
      <c r="J3880" t="s">
        <v>33771</v>
      </c>
      <c r="K3880" t="s">
        <v>42759</v>
      </c>
      <c r="M3880" t="s">
        <v>44191</v>
      </c>
      <c r="N3880" t="s">
        <v>47424</v>
      </c>
      <c r="O3880" t="s">
        <v>47425</v>
      </c>
      <c r="P3880">
        <v>0</v>
      </c>
      <c r="Q3880">
        <v>4</v>
      </c>
      <c r="R3880" t="s">
        <v>47428</v>
      </c>
      <c r="S3880" t="s">
        <v>47541</v>
      </c>
      <c r="T3880" t="s">
        <v>49237</v>
      </c>
      <c r="U3880" t="s">
        <v>52959</v>
      </c>
      <c r="W3880" t="s">
        <v>44191</v>
      </c>
      <c r="X3880" t="s">
        <v>47430</v>
      </c>
    </row>
    <row r="3881" spans="1:24">
      <c r="A3881">
        <f>HYPERLINK("https://www.philgeps.gov.ph/GEPSNONPILOT/Tender/SplashBidNoticeAbstractUI.aspx?menuIndex=3&amp;refID=7163378&amp;Result=3","7163378")</f>
        <v>0</v>
      </c>
      <c r="B3881" t="s">
        <v>920</v>
      </c>
      <c r="C3881" t="s">
        <v>7586</v>
      </c>
      <c r="E3881" t="s">
        <v>22571</v>
      </c>
      <c r="F3881" t="s">
        <v>32831</v>
      </c>
      <c r="G3881" t="s">
        <v>32838</v>
      </c>
      <c r="H3881" t="s">
        <v>32848</v>
      </c>
      <c r="I3881" t="s">
        <v>9577</v>
      </c>
      <c r="J3881" t="s">
        <v>35524</v>
      </c>
      <c r="K3881" t="s">
        <v>42732</v>
      </c>
      <c r="M3881" t="s">
        <v>43961</v>
      </c>
      <c r="N3881" t="s">
        <v>47424</v>
      </c>
      <c r="O3881" t="s">
        <v>47425</v>
      </c>
      <c r="P3881">
        <v>0</v>
      </c>
      <c r="Q3881">
        <v>1</v>
      </c>
      <c r="R3881" t="s">
        <v>47428</v>
      </c>
      <c r="S3881" t="s">
        <v>47541</v>
      </c>
      <c r="T3881" t="s">
        <v>49108</v>
      </c>
      <c r="U3881" t="s">
        <v>51396</v>
      </c>
      <c r="W3881" t="s">
        <v>43961</v>
      </c>
      <c r="X3881" t="s">
        <v>47430</v>
      </c>
    </row>
    <row r="3882" spans="1:24">
      <c r="A3882">
        <f>HYPERLINK("https://www.philgeps.gov.ph/GEPSNONPILOT/Tender/SplashBidNoticeAbstractUI.aspx?menuIndex=3&amp;refID=7163183&amp;Result=3","7163183")</f>
        <v>0</v>
      </c>
      <c r="B3882" t="s">
        <v>643</v>
      </c>
      <c r="C3882" t="s">
        <v>7587</v>
      </c>
      <c r="E3882" t="s">
        <v>22572</v>
      </c>
      <c r="F3882" t="s">
        <v>32831</v>
      </c>
      <c r="G3882" t="s">
        <v>32838</v>
      </c>
      <c r="H3882" t="s">
        <v>32848</v>
      </c>
      <c r="I3882" t="s">
        <v>9577</v>
      </c>
      <c r="J3882" t="s">
        <v>33087</v>
      </c>
      <c r="K3882" t="s">
        <v>42727</v>
      </c>
      <c r="M3882" t="s">
        <v>43660</v>
      </c>
      <c r="N3882" t="s">
        <v>47424</v>
      </c>
      <c r="O3882" t="s">
        <v>47425</v>
      </c>
      <c r="P3882">
        <v>0</v>
      </c>
      <c r="Q3882">
        <v>0</v>
      </c>
      <c r="R3882" t="s">
        <v>47428</v>
      </c>
      <c r="S3882" t="s">
        <v>47541</v>
      </c>
      <c r="T3882" t="s">
        <v>49079</v>
      </c>
      <c r="U3882" t="s">
        <v>52960</v>
      </c>
      <c r="W3882" t="s">
        <v>43660</v>
      </c>
      <c r="X3882" t="s">
        <v>47430</v>
      </c>
    </row>
    <row r="3883" spans="1:24">
      <c r="A3883">
        <f>HYPERLINK("https://www.philgeps.gov.ph/GEPSNONPILOT/Tender/SplashBidNoticeAbstractUI.aspx?menuIndex=3&amp;refID=7163182&amp;Result=3","7163182")</f>
        <v>0</v>
      </c>
      <c r="B3883" t="s">
        <v>646</v>
      </c>
      <c r="C3883" t="s">
        <v>7588</v>
      </c>
      <c r="D3883" t="s">
        <v>19059</v>
      </c>
      <c r="E3883" t="s">
        <v>22573</v>
      </c>
      <c r="F3883" t="s">
        <v>32831</v>
      </c>
      <c r="G3883" t="s">
        <v>32838</v>
      </c>
      <c r="H3883" t="s">
        <v>32849</v>
      </c>
      <c r="I3883" t="s">
        <v>32866</v>
      </c>
      <c r="J3883" t="s">
        <v>35525</v>
      </c>
      <c r="K3883" t="s">
        <v>42730</v>
      </c>
      <c r="M3883" t="s">
        <v>43663</v>
      </c>
      <c r="N3883" t="s">
        <v>47424</v>
      </c>
      <c r="O3883" t="s">
        <v>47425</v>
      </c>
      <c r="P3883">
        <v>0</v>
      </c>
      <c r="Q3883">
        <v>2</v>
      </c>
      <c r="R3883" t="s">
        <v>47428</v>
      </c>
      <c r="S3883" t="s">
        <v>47541</v>
      </c>
      <c r="T3883" t="s">
        <v>49115</v>
      </c>
      <c r="U3883" t="s">
        <v>52961</v>
      </c>
      <c r="W3883" t="s">
        <v>43663</v>
      </c>
      <c r="X3883" t="s">
        <v>47430</v>
      </c>
    </row>
    <row r="3884" spans="1:24">
      <c r="A3884">
        <f>HYPERLINK("https://www.philgeps.gov.ph/GEPSNONPILOT/Tender/SplashBidNoticeAbstractUI.aspx?menuIndex=3&amp;refID=7163190&amp;Result=3","7163190")</f>
        <v>0</v>
      </c>
      <c r="B3884" t="s">
        <v>1144</v>
      </c>
      <c r="C3884" t="s">
        <v>7589</v>
      </c>
      <c r="D3884" t="s">
        <v>19038</v>
      </c>
      <c r="E3884" t="s">
        <v>22574</v>
      </c>
      <c r="F3884" t="s">
        <v>32831</v>
      </c>
      <c r="G3884" t="s">
        <v>32839</v>
      </c>
      <c r="H3884" t="s">
        <v>32848</v>
      </c>
      <c r="I3884" t="s">
        <v>4438</v>
      </c>
      <c r="J3884" t="s">
        <v>35526</v>
      </c>
      <c r="K3884" t="s">
        <v>42731</v>
      </c>
      <c r="M3884" t="s">
        <v>44208</v>
      </c>
      <c r="N3884" t="s">
        <v>47424</v>
      </c>
      <c r="O3884" t="s">
        <v>47425</v>
      </c>
      <c r="P3884">
        <v>0</v>
      </c>
      <c r="Q3884">
        <v>2</v>
      </c>
      <c r="R3884" t="s">
        <v>47428</v>
      </c>
      <c r="S3884" t="s">
        <v>47541</v>
      </c>
      <c r="T3884" t="s">
        <v>49363</v>
      </c>
      <c r="U3884" t="s">
        <v>52962</v>
      </c>
      <c r="V3884" t="s">
        <v>62904</v>
      </c>
      <c r="W3884" t="s">
        <v>44208</v>
      </c>
      <c r="X3884" t="s">
        <v>47430</v>
      </c>
    </row>
    <row r="3885" spans="1:24">
      <c r="A3885">
        <f>HYPERLINK("https://www.philgeps.gov.ph/GEPSNONPILOT/Tender/SplashBidNoticeAbstractUI.aspx?menuIndex=3&amp;refID=7163149&amp;Result=3","7163149")</f>
        <v>0</v>
      </c>
      <c r="B3885" t="s">
        <v>381</v>
      </c>
      <c r="C3885" t="s">
        <v>7590</v>
      </c>
      <c r="E3885" t="s">
        <v>22575</v>
      </c>
      <c r="F3885" t="s">
        <v>32831</v>
      </c>
      <c r="G3885" t="s">
        <v>32838</v>
      </c>
      <c r="H3885" t="s">
        <v>32848</v>
      </c>
      <c r="I3885" t="s">
        <v>4438</v>
      </c>
      <c r="J3885" t="s">
        <v>35527</v>
      </c>
      <c r="K3885" t="s">
        <v>42730</v>
      </c>
      <c r="M3885" t="s">
        <v>43385</v>
      </c>
      <c r="N3885" t="s">
        <v>47424</v>
      </c>
      <c r="O3885" t="s">
        <v>47425</v>
      </c>
      <c r="P3885">
        <v>0</v>
      </c>
      <c r="Q3885">
        <v>2</v>
      </c>
      <c r="R3885" t="s">
        <v>47428</v>
      </c>
      <c r="S3885" t="s">
        <v>47541</v>
      </c>
      <c r="T3885" t="s">
        <v>49108</v>
      </c>
      <c r="U3885" t="s">
        <v>52963</v>
      </c>
      <c r="W3885" t="s">
        <v>43385</v>
      </c>
      <c r="X3885" t="s">
        <v>47430</v>
      </c>
    </row>
    <row r="3886" spans="1:24">
      <c r="A3886">
        <f>HYPERLINK("https://www.philgeps.gov.ph/GEPSNONPILOT/Tender/SplashBidNoticeAbstractUI.aspx?menuIndex=3&amp;refID=7163189&amp;Result=3","7163189")</f>
        <v>0</v>
      </c>
      <c r="B3886" t="s">
        <v>1363</v>
      </c>
      <c r="C3886" t="s">
        <v>7591</v>
      </c>
      <c r="D3886" t="s">
        <v>19022</v>
      </c>
      <c r="E3886" t="s">
        <v>22576</v>
      </c>
      <c r="F3886" t="s">
        <v>32831</v>
      </c>
      <c r="G3886" t="s">
        <v>32838</v>
      </c>
      <c r="H3886" t="s">
        <v>32848</v>
      </c>
      <c r="I3886" t="s">
        <v>32864</v>
      </c>
      <c r="J3886" t="s">
        <v>33041</v>
      </c>
      <c r="K3886" t="s">
        <v>42731</v>
      </c>
      <c r="M3886" t="s">
        <v>44442</v>
      </c>
      <c r="N3886" t="s">
        <v>47424</v>
      </c>
      <c r="O3886" t="s">
        <v>47425</v>
      </c>
      <c r="P3886">
        <v>0</v>
      </c>
      <c r="Q3886">
        <v>6</v>
      </c>
      <c r="R3886" t="s">
        <v>47428</v>
      </c>
      <c r="S3886" t="s">
        <v>47541</v>
      </c>
      <c r="T3886" t="s">
        <v>49235</v>
      </c>
      <c r="U3886" t="s">
        <v>52351</v>
      </c>
      <c r="V3886" t="s">
        <v>62974</v>
      </c>
      <c r="W3886" t="s">
        <v>44442</v>
      </c>
      <c r="X3886" t="s">
        <v>47430</v>
      </c>
    </row>
    <row r="3887" spans="1:24">
      <c r="A3887">
        <f>HYPERLINK("https://www.philgeps.gov.ph/GEPSNONPILOT/Tender/SplashBidNoticeAbstractUI.aspx?menuIndex=3&amp;refID=7162938&amp;Result=3","7162938")</f>
        <v>0</v>
      </c>
      <c r="B3887" t="s">
        <v>1241</v>
      </c>
      <c r="C3887" t="s">
        <v>7592</v>
      </c>
      <c r="D3887" t="s">
        <v>19037</v>
      </c>
      <c r="E3887" t="s">
        <v>22577</v>
      </c>
      <c r="F3887" t="s">
        <v>32831</v>
      </c>
      <c r="G3887" t="s">
        <v>32839</v>
      </c>
      <c r="H3887" t="s">
        <v>32849</v>
      </c>
      <c r="I3887" t="s">
        <v>4177</v>
      </c>
      <c r="J3887" t="s">
        <v>35528</v>
      </c>
      <c r="K3887" t="s">
        <v>42829</v>
      </c>
      <c r="M3887" t="s">
        <v>44311</v>
      </c>
      <c r="N3887" t="s">
        <v>47424</v>
      </c>
      <c r="O3887" t="s">
        <v>47425</v>
      </c>
      <c r="P3887">
        <v>0</v>
      </c>
      <c r="Q3887">
        <v>1</v>
      </c>
      <c r="R3887" t="s">
        <v>47428</v>
      </c>
      <c r="S3887" t="s">
        <v>47541</v>
      </c>
      <c r="T3887" t="s">
        <v>49192</v>
      </c>
      <c r="U3887" t="s">
        <v>52132</v>
      </c>
      <c r="W3887" t="s">
        <v>44311</v>
      </c>
      <c r="X3887" t="s">
        <v>47430</v>
      </c>
    </row>
    <row r="3888" spans="1:24">
      <c r="A3888">
        <f>HYPERLINK("https://www.philgeps.gov.ph/GEPSNONPILOT/Tender/SplashBidNoticeAbstractUI.aspx?menuIndex=3&amp;refID=7162937&amp;Result=3","7162937")</f>
        <v>0</v>
      </c>
      <c r="B3888" t="s">
        <v>1277</v>
      </c>
      <c r="C3888" t="s">
        <v>7593</v>
      </c>
      <c r="D3888" t="s">
        <v>19067</v>
      </c>
      <c r="E3888" t="s">
        <v>22578</v>
      </c>
      <c r="F3888" t="s">
        <v>32831</v>
      </c>
      <c r="G3888" t="s">
        <v>32839</v>
      </c>
      <c r="H3888" t="s">
        <v>32848</v>
      </c>
      <c r="I3888" t="s">
        <v>9577</v>
      </c>
      <c r="J3888" t="s">
        <v>35529</v>
      </c>
      <c r="K3888" t="s">
        <v>42727</v>
      </c>
      <c r="M3888" t="s">
        <v>44347</v>
      </c>
      <c r="N3888" t="s">
        <v>47424</v>
      </c>
      <c r="O3888" t="s">
        <v>47425</v>
      </c>
      <c r="P3888">
        <v>0</v>
      </c>
      <c r="Q3888">
        <v>1</v>
      </c>
      <c r="R3888" t="s">
        <v>47428</v>
      </c>
      <c r="S3888" t="s">
        <v>47541</v>
      </c>
      <c r="T3888" t="s">
        <v>49078</v>
      </c>
      <c r="U3888" t="s">
        <v>52964</v>
      </c>
      <c r="W3888" t="s">
        <v>44347</v>
      </c>
      <c r="X3888" t="s">
        <v>47430</v>
      </c>
    </row>
    <row r="3889" spans="1:24">
      <c r="A3889">
        <f>HYPERLINK("https://www.philgeps.gov.ph/GEPSNONPILOT/Tender/SplashBidNoticeAbstractUI.aspx?menuIndex=3&amp;refID=7163152&amp;Result=3","7163152")</f>
        <v>0</v>
      </c>
      <c r="B3889" t="s">
        <v>1328</v>
      </c>
      <c r="C3889" t="s">
        <v>7594</v>
      </c>
      <c r="D3889" t="s">
        <v>19057</v>
      </c>
      <c r="E3889" t="s">
        <v>22579</v>
      </c>
      <c r="F3889" t="s">
        <v>32831</v>
      </c>
      <c r="G3889" t="s">
        <v>32839</v>
      </c>
      <c r="H3889" t="s">
        <v>32849</v>
      </c>
      <c r="I3889" t="s">
        <v>4177</v>
      </c>
      <c r="J3889" t="s">
        <v>35530</v>
      </c>
      <c r="K3889" t="s">
        <v>42729</v>
      </c>
      <c r="M3889" t="s">
        <v>44399</v>
      </c>
      <c r="N3889" t="s">
        <v>47424</v>
      </c>
      <c r="O3889" t="s">
        <v>47425</v>
      </c>
      <c r="P3889">
        <v>0</v>
      </c>
      <c r="Q3889">
        <v>0</v>
      </c>
      <c r="R3889" t="s">
        <v>47428</v>
      </c>
      <c r="S3889" t="s">
        <v>47541</v>
      </c>
      <c r="T3889" t="s">
        <v>49073</v>
      </c>
      <c r="U3889" t="s">
        <v>52965</v>
      </c>
      <c r="W3889" t="s">
        <v>64465</v>
      </c>
      <c r="X3889" t="s">
        <v>47430</v>
      </c>
    </row>
    <row r="3890" spans="1:24">
      <c r="A3890">
        <f>HYPERLINK("https://www.philgeps.gov.ph/GEPSNONPILOT/Tender/SplashBidNoticeAbstractUI.aspx?menuIndex=3&amp;refID=7163193&amp;Result=3","7163193")</f>
        <v>0</v>
      </c>
      <c r="B3890" t="s">
        <v>1328</v>
      </c>
      <c r="C3890" t="s">
        <v>7595</v>
      </c>
      <c r="D3890" t="s">
        <v>19057</v>
      </c>
      <c r="E3890" t="s">
        <v>22580</v>
      </c>
      <c r="F3890" t="s">
        <v>32831</v>
      </c>
      <c r="G3890" t="s">
        <v>32839</v>
      </c>
      <c r="H3890" t="s">
        <v>32849</v>
      </c>
      <c r="I3890" t="s">
        <v>4177</v>
      </c>
      <c r="J3890" t="s">
        <v>33083</v>
      </c>
      <c r="K3890" t="s">
        <v>42763</v>
      </c>
      <c r="M3890" t="s">
        <v>44399</v>
      </c>
      <c r="N3890" t="s">
        <v>47424</v>
      </c>
      <c r="O3890" t="s">
        <v>47425</v>
      </c>
      <c r="P3890">
        <v>0</v>
      </c>
      <c r="Q3890">
        <v>0</v>
      </c>
      <c r="R3890" t="s">
        <v>47428</v>
      </c>
      <c r="S3890" t="s">
        <v>47541</v>
      </c>
      <c r="T3890" t="s">
        <v>49132</v>
      </c>
      <c r="U3890" t="s">
        <v>52966</v>
      </c>
      <c r="W3890" t="s">
        <v>64465</v>
      </c>
      <c r="X3890" t="s">
        <v>47430</v>
      </c>
    </row>
    <row r="3891" spans="1:24">
      <c r="A3891">
        <f>HYPERLINK("https://www.philgeps.gov.ph/GEPSNONPILOT/Tender/SplashBidNoticeAbstractUI.aspx?menuIndex=3&amp;refID=7162935&amp;Result=3","7162935")</f>
        <v>0</v>
      </c>
      <c r="B3891" t="s">
        <v>639</v>
      </c>
      <c r="C3891" t="s">
        <v>7596</v>
      </c>
      <c r="D3891" t="s">
        <v>19017</v>
      </c>
      <c r="E3891" t="s">
        <v>22581</v>
      </c>
      <c r="F3891" t="s">
        <v>32831</v>
      </c>
      <c r="G3891" t="s">
        <v>32838</v>
      </c>
      <c r="H3891" t="s">
        <v>32848</v>
      </c>
      <c r="I3891" t="s">
        <v>32864</v>
      </c>
      <c r="J3891" t="s">
        <v>35531</v>
      </c>
      <c r="K3891" t="s">
        <v>42730</v>
      </c>
      <c r="M3891" t="s">
        <v>43656</v>
      </c>
      <c r="N3891" t="s">
        <v>47424</v>
      </c>
      <c r="O3891" t="s">
        <v>47425</v>
      </c>
      <c r="P3891">
        <v>0</v>
      </c>
      <c r="Q3891">
        <v>9</v>
      </c>
      <c r="R3891" t="s">
        <v>47428</v>
      </c>
      <c r="S3891" t="s">
        <v>47541</v>
      </c>
      <c r="T3891" t="s">
        <v>49145</v>
      </c>
      <c r="U3891" t="s">
        <v>52967</v>
      </c>
      <c r="W3891" t="s">
        <v>43656</v>
      </c>
      <c r="X3891" t="s">
        <v>47430</v>
      </c>
    </row>
    <row r="3892" spans="1:24">
      <c r="A3892">
        <f>HYPERLINK("https://www.philgeps.gov.ph/GEPSNONPILOT/Tender/SplashBidNoticeAbstractUI.aspx?menuIndex=3&amp;refID=7162915&amp;Result=3","7162915")</f>
        <v>0</v>
      </c>
      <c r="B3892" t="s">
        <v>642</v>
      </c>
      <c r="C3892" t="s">
        <v>7597</v>
      </c>
      <c r="D3892" t="s">
        <v>19020</v>
      </c>
      <c r="E3892" t="s">
        <v>22582</v>
      </c>
      <c r="F3892" t="s">
        <v>32831</v>
      </c>
      <c r="G3892" t="s">
        <v>32839</v>
      </c>
      <c r="H3892" t="s">
        <v>32849</v>
      </c>
      <c r="I3892" t="s">
        <v>4177</v>
      </c>
      <c r="J3892" t="s">
        <v>35532</v>
      </c>
      <c r="K3892" t="s">
        <v>42830</v>
      </c>
      <c r="M3892" t="s">
        <v>43659</v>
      </c>
      <c r="N3892" t="s">
        <v>47424</v>
      </c>
      <c r="O3892" t="s">
        <v>47425</v>
      </c>
      <c r="P3892">
        <v>0</v>
      </c>
      <c r="Q3892">
        <v>1</v>
      </c>
      <c r="R3892" t="s">
        <v>47428</v>
      </c>
      <c r="S3892" t="s">
        <v>47541</v>
      </c>
      <c r="T3892" t="s">
        <v>49181</v>
      </c>
      <c r="U3892" t="s">
        <v>50880</v>
      </c>
      <c r="V3892" t="s">
        <v>63049</v>
      </c>
      <c r="W3892" t="s">
        <v>43659</v>
      </c>
      <c r="X3892" t="s">
        <v>47430</v>
      </c>
    </row>
    <row r="3893" spans="1:24">
      <c r="A3893">
        <f>HYPERLINK("https://www.philgeps.gov.ph/GEPSNONPILOT/Tender/SplashBidNoticeAbstractUI.aspx?menuIndex=3&amp;refID=7162909&amp;Result=3","7162909")</f>
        <v>0</v>
      </c>
      <c r="B3893" t="s">
        <v>1317</v>
      </c>
      <c r="C3893" t="s">
        <v>7598</v>
      </c>
      <c r="D3893" t="s">
        <v>19074</v>
      </c>
      <c r="E3893" t="s">
        <v>22583</v>
      </c>
      <c r="F3893" t="s">
        <v>32831</v>
      </c>
      <c r="G3893" t="s">
        <v>32839</v>
      </c>
      <c r="H3893" t="s">
        <v>32849</v>
      </c>
      <c r="I3893" t="s">
        <v>4177</v>
      </c>
      <c r="J3893" t="s">
        <v>32985</v>
      </c>
      <c r="K3893" t="s">
        <v>42730</v>
      </c>
      <c r="M3893" t="s">
        <v>44388</v>
      </c>
      <c r="N3893" t="s">
        <v>47424</v>
      </c>
      <c r="O3893" t="s">
        <v>47425</v>
      </c>
      <c r="P3893">
        <v>0</v>
      </c>
      <c r="Q3893">
        <v>0</v>
      </c>
      <c r="R3893" t="s">
        <v>47428</v>
      </c>
      <c r="S3893" t="s">
        <v>47541</v>
      </c>
      <c r="T3893" t="s">
        <v>49291</v>
      </c>
      <c r="U3893" t="s">
        <v>52343</v>
      </c>
      <c r="V3893" t="s">
        <v>63050</v>
      </c>
      <c r="W3893" t="s">
        <v>44388</v>
      </c>
      <c r="X3893" t="s">
        <v>47430</v>
      </c>
    </row>
    <row r="3894" spans="1:24">
      <c r="A3894">
        <f>HYPERLINK("https://www.philgeps.gov.ph/GEPSNONPILOT/Tender/SplashBidNoticeAbstractUI.aspx?menuIndex=3&amp;refID=7162907&amp;Result=3","7162907")</f>
        <v>0</v>
      </c>
      <c r="B3894" t="s">
        <v>1585</v>
      </c>
      <c r="C3894" t="s">
        <v>7599</v>
      </c>
      <c r="D3894" t="s">
        <v>19073</v>
      </c>
      <c r="E3894" t="s">
        <v>22584</v>
      </c>
      <c r="F3894" t="s">
        <v>32834</v>
      </c>
      <c r="G3894" t="s">
        <v>32845</v>
      </c>
      <c r="H3894" t="s">
        <v>32848</v>
      </c>
      <c r="I3894" t="s">
        <v>4471</v>
      </c>
      <c r="J3894" t="s">
        <v>35533</v>
      </c>
      <c r="K3894" t="s">
        <v>42726</v>
      </c>
      <c r="M3894" t="s">
        <v>44698</v>
      </c>
      <c r="N3894" t="s">
        <v>47424</v>
      </c>
      <c r="O3894" t="s">
        <v>47425</v>
      </c>
      <c r="P3894">
        <v>0</v>
      </c>
      <c r="Q3894">
        <v>1</v>
      </c>
      <c r="R3894" t="s">
        <v>47428</v>
      </c>
      <c r="S3894" t="s">
        <v>47541</v>
      </c>
      <c r="T3894" t="s">
        <v>49138</v>
      </c>
      <c r="U3894" t="s">
        <v>52968</v>
      </c>
      <c r="W3894" t="s">
        <v>44698</v>
      </c>
      <c r="X3894" t="s">
        <v>47430</v>
      </c>
    </row>
    <row r="3895" spans="1:24">
      <c r="A3895">
        <f>HYPERLINK("https://www.philgeps.gov.ph/GEPSNONPILOT/Tender/SplashBidNoticeAbstractUI.aspx?menuIndex=3&amp;refID=7162936&amp;Result=3","7162936")</f>
        <v>0</v>
      </c>
      <c r="B3895" t="s">
        <v>1586</v>
      </c>
      <c r="C3895" t="s">
        <v>7600</v>
      </c>
      <c r="D3895" t="s">
        <v>19017</v>
      </c>
      <c r="E3895" t="s">
        <v>22585</v>
      </c>
      <c r="F3895" t="s">
        <v>32831</v>
      </c>
      <c r="G3895" t="s">
        <v>32838</v>
      </c>
      <c r="H3895" t="s">
        <v>32848</v>
      </c>
      <c r="I3895" t="s">
        <v>32864</v>
      </c>
      <c r="J3895" t="s">
        <v>35534</v>
      </c>
      <c r="K3895" t="s">
        <v>42748</v>
      </c>
      <c r="L3895" t="s">
        <v>1586</v>
      </c>
      <c r="M3895" t="s">
        <v>44699</v>
      </c>
      <c r="N3895" t="s">
        <v>47424</v>
      </c>
      <c r="O3895" t="s">
        <v>47425</v>
      </c>
      <c r="P3895">
        <v>0</v>
      </c>
      <c r="Q3895">
        <v>5</v>
      </c>
      <c r="R3895" t="s">
        <v>47428</v>
      </c>
      <c r="S3895" t="s">
        <v>47541</v>
      </c>
      <c r="T3895" t="s">
        <v>49119</v>
      </c>
      <c r="U3895" t="s">
        <v>52969</v>
      </c>
      <c r="W3895" t="s">
        <v>44699</v>
      </c>
      <c r="X3895" t="s">
        <v>47430</v>
      </c>
    </row>
    <row r="3896" spans="1:24">
      <c r="A3896">
        <f>HYPERLINK("https://www.philgeps.gov.ph/GEPSNONPILOT/Tender/SplashBidNoticeAbstractUI.aspx?menuIndex=3&amp;refID=7163151&amp;Result=3","7163151")</f>
        <v>0</v>
      </c>
      <c r="B3896" t="s">
        <v>1253</v>
      </c>
      <c r="C3896" t="s">
        <v>6652</v>
      </c>
      <c r="D3896" t="s">
        <v>19020</v>
      </c>
      <c r="E3896" t="s">
        <v>22586</v>
      </c>
      <c r="F3896" t="s">
        <v>32831</v>
      </c>
      <c r="G3896" t="s">
        <v>32842</v>
      </c>
      <c r="H3896" t="s">
        <v>32848</v>
      </c>
      <c r="I3896" t="s">
        <v>9577</v>
      </c>
      <c r="J3896" t="s">
        <v>35535</v>
      </c>
      <c r="K3896" t="s">
        <v>42726</v>
      </c>
      <c r="M3896" t="s">
        <v>44323</v>
      </c>
      <c r="N3896" t="s">
        <v>47424</v>
      </c>
      <c r="O3896" t="s">
        <v>47425</v>
      </c>
      <c r="P3896">
        <v>0</v>
      </c>
      <c r="Q3896">
        <v>1</v>
      </c>
      <c r="R3896" t="s">
        <v>47428</v>
      </c>
      <c r="S3896" t="s">
        <v>47541</v>
      </c>
      <c r="T3896" t="s">
        <v>49330</v>
      </c>
      <c r="U3896" t="s">
        <v>52149</v>
      </c>
      <c r="W3896" t="s">
        <v>44323</v>
      </c>
      <c r="X3896" t="s">
        <v>47430</v>
      </c>
    </row>
    <row r="3897" spans="1:24">
      <c r="A3897">
        <f>HYPERLINK("https://www.philgeps.gov.ph/GEPSNONPILOT/Tender/SplashBidNoticeAbstractUI.aspx?menuIndex=3&amp;refID=7162910&amp;Result=3","7162910")</f>
        <v>0</v>
      </c>
      <c r="B3897" t="s">
        <v>1357</v>
      </c>
      <c r="C3897" t="s">
        <v>7601</v>
      </c>
      <c r="E3897" t="s">
        <v>22587</v>
      </c>
      <c r="F3897" t="s">
        <v>32831</v>
      </c>
      <c r="G3897" t="s">
        <v>32838</v>
      </c>
      <c r="H3897" t="s">
        <v>32848</v>
      </c>
      <c r="I3897" t="s">
        <v>4776</v>
      </c>
      <c r="J3897" t="s">
        <v>35536</v>
      </c>
      <c r="K3897" t="s">
        <v>42732</v>
      </c>
      <c r="M3897" t="s">
        <v>44434</v>
      </c>
      <c r="N3897" t="s">
        <v>47424</v>
      </c>
      <c r="O3897" t="s">
        <v>47425</v>
      </c>
      <c r="P3897">
        <v>0</v>
      </c>
      <c r="Q3897">
        <v>2</v>
      </c>
      <c r="R3897" t="s">
        <v>47428</v>
      </c>
      <c r="S3897" t="s">
        <v>47541</v>
      </c>
      <c r="T3897" t="s">
        <v>49119</v>
      </c>
      <c r="U3897" t="s">
        <v>52970</v>
      </c>
      <c r="W3897" t="s">
        <v>44434</v>
      </c>
      <c r="X3897" t="s">
        <v>47430</v>
      </c>
    </row>
    <row r="3898" spans="1:24">
      <c r="A3898">
        <f>HYPERLINK("https://www.philgeps.gov.ph/GEPSNONPILOT/Tender/SplashBidNoticeAbstractUI.aspx?menuIndex=3&amp;refID=7162908&amp;Result=3","7162908")</f>
        <v>0</v>
      </c>
      <c r="B3898" t="s">
        <v>1289</v>
      </c>
      <c r="C3898" t="s">
        <v>5373</v>
      </c>
      <c r="D3898" t="s">
        <v>19048</v>
      </c>
      <c r="E3898" t="s">
        <v>22588</v>
      </c>
      <c r="F3898" t="s">
        <v>32834</v>
      </c>
      <c r="G3898" t="s">
        <v>32840</v>
      </c>
      <c r="H3898" t="s">
        <v>32848</v>
      </c>
      <c r="I3898" t="s">
        <v>5379</v>
      </c>
      <c r="J3898" t="s">
        <v>34129</v>
      </c>
      <c r="K3898" t="s">
        <v>42749</v>
      </c>
      <c r="M3898" t="s">
        <v>44359</v>
      </c>
      <c r="N3898" t="s">
        <v>47424</v>
      </c>
      <c r="O3898" t="s">
        <v>47425</v>
      </c>
      <c r="P3898">
        <v>0</v>
      </c>
      <c r="Q3898">
        <v>1</v>
      </c>
      <c r="R3898" t="s">
        <v>47428</v>
      </c>
      <c r="S3898" t="s">
        <v>47541</v>
      </c>
      <c r="T3898" t="s">
        <v>49089</v>
      </c>
      <c r="U3898" t="s">
        <v>52971</v>
      </c>
      <c r="W3898" t="s">
        <v>44359</v>
      </c>
      <c r="X3898" t="s">
        <v>47430</v>
      </c>
    </row>
    <row r="3899" spans="1:24">
      <c r="A3899">
        <f>HYPERLINK("https://www.philgeps.gov.ph/GEPSNONPILOT/Tender/SplashBidNoticeAbstractUI.aspx?menuIndex=3&amp;refID=7162905&amp;Result=3","7162905")</f>
        <v>0</v>
      </c>
      <c r="B3899" t="s">
        <v>1270</v>
      </c>
      <c r="C3899" t="s">
        <v>7602</v>
      </c>
      <c r="D3899" t="s">
        <v>19104</v>
      </c>
      <c r="E3899" t="s">
        <v>22589</v>
      </c>
      <c r="F3899" t="s">
        <v>32831</v>
      </c>
      <c r="G3899" t="s">
        <v>32838</v>
      </c>
      <c r="H3899" t="s">
        <v>32848</v>
      </c>
      <c r="I3899" t="s">
        <v>32899</v>
      </c>
      <c r="J3899" t="s">
        <v>33198</v>
      </c>
      <c r="K3899" t="s">
        <v>42745</v>
      </c>
      <c r="M3899" t="s">
        <v>44340</v>
      </c>
      <c r="N3899" t="s">
        <v>47424</v>
      </c>
      <c r="O3899" t="s">
        <v>47425</v>
      </c>
      <c r="P3899">
        <v>0</v>
      </c>
      <c r="Q3899">
        <v>0</v>
      </c>
      <c r="R3899" t="s">
        <v>47428</v>
      </c>
      <c r="S3899" t="s">
        <v>47541</v>
      </c>
      <c r="T3899" t="s">
        <v>49243</v>
      </c>
      <c r="U3899" t="s">
        <v>52173</v>
      </c>
      <c r="W3899" t="s">
        <v>44340</v>
      </c>
      <c r="X3899" t="s">
        <v>47430</v>
      </c>
    </row>
    <row r="3900" spans="1:24">
      <c r="A3900">
        <f>HYPERLINK("https://www.philgeps.gov.ph/GEPSNONPILOT/Tender/SplashBidNoticeAbstractUI.aspx?menuIndex=3&amp;refID=7154173&amp;Result=3","7154173")</f>
        <v>0</v>
      </c>
      <c r="B3900" t="s">
        <v>1571</v>
      </c>
      <c r="C3900" t="s">
        <v>7603</v>
      </c>
      <c r="D3900" t="s">
        <v>19060</v>
      </c>
      <c r="E3900" t="s">
        <v>22590</v>
      </c>
      <c r="F3900" t="s">
        <v>32831</v>
      </c>
      <c r="G3900" t="s">
        <v>32839</v>
      </c>
      <c r="H3900" t="s">
        <v>32848</v>
      </c>
      <c r="I3900" t="s">
        <v>32870</v>
      </c>
      <c r="J3900" t="s">
        <v>35537</v>
      </c>
      <c r="K3900" t="s">
        <v>42727</v>
      </c>
      <c r="M3900" t="s">
        <v>44680</v>
      </c>
      <c r="N3900" t="s">
        <v>47424</v>
      </c>
      <c r="O3900" t="s">
        <v>47425</v>
      </c>
      <c r="P3900">
        <v>0</v>
      </c>
      <c r="Q3900">
        <v>0</v>
      </c>
      <c r="R3900" t="s">
        <v>47430</v>
      </c>
      <c r="S3900" t="s">
        <v>47549</v>
      </c>
      <c r="T3900" t="s">
        <v>49359</v>
      </c>
      <c r="U3900" t="s">
        <v>52904</v>
      </c>
      <c r="V3900" t="s">
        <v>63042</v>
      </c>
      <c r="W3900" t="s">
        <v>44680</v>
      </c>
      <c r="X3900" t="s">
        <v>47433</v>
      </c>
    </row>
    <row r="3901" spans="1:24">
      <c r="A3901">
        <f>HYPERLINK("https://www.philgeps.gov.ph/GEPSNONPILOT/Tender/SplashBidNoticeAbstractUI.aspx?menuIndex=3&amp;refID=7155357&amp;Result=3","7155357")</f>
        <v>0</v>
      </c>
      <c r="B3901" t="s">
        <v>1587</v>
      </c>
      <c r="C3901" t="s">
        <v>7604</v>
      </c>
      <c r="D3901" t="s">
        <v>19057</v>
      </c>
      <c r="E3901" t="s">
        <v>22591</v>
      </c>
      <c r="F3901" t="s">
        <v>32831</v>
      </c>
      <c r="G3901" t="s">
        <v>32839</v>
      </c>
      <c r="H3901" t="s">
        <v>32849</v>
      </c>
      <c r="I3901" t="s">
        <v>4177</v>
      </c>
      <c r="J3901" t="s">
        <v>35538</v>
      </c>
      <c r="K3901" t="s">
        <v>42757</v>
      </c>
      <c r="L3901" t="s">
        <v>1587</v>
      </c>
      <c r="M3901" t="s">
        <v>44700</v>
      </c>
      <c r="N3901" t="s">
        <v>47424</v>
      </c>
      <c r="O3901" t="s">
        <v>47425</v>
      </c>
      <c r="P3901">
        <v>0</v>
      </c>
      <c r="Q3901">
        <v>2</v>
      </c>
      <c r="R3901" t="s">
        <v>47430</v>
      </c>
      <c r="S3901" t="s">
        <v>47549</v>
      </c>
      <c r="T3901" t="s">
        <v>49077</v>
      </c>
      <c r="U3901" t="s">
        <v>52972</v>
      </c>
      <c r="W3901" t="s">
        <v>44700</v>
      </c>
      <c r="X3901" t="s">
        <v>47432</v>
      </c>
    </row>
    <row r="3902" spans="1:24">
      <c r="A3902">
        <f>HYPERLINK("https://www.philgeps.gov.ph/GEPSNONPILOT/Tender/SplashBidNoticeAbstractUI.aspx?menuIndex=3&amp;refID=7163150&amp;Result=3","7163150")</f>
        <v>0</v>
      </c>
      <c r="B3902" t="s">
        <v>1588</v>
      </c>
      <c r="C3902" t="s">
        <v>7605</v>
      </c>
      <c r="D3902" t="s">
        <v>19017</v>
      </c>
      <c r="E3902" t="s">
        <v>19189</v>
      </c>
      <c r="F3902" t="s">
        <v>32831</v>
      </c>
      <c r="G3902" t="s">
        <v>32838</v>
      </c>
      <c r="H3902" t="s">
        <v>32848</v>
      </c>
      <c r="I3902" t="s">
        <v>32880</v>
      </c>
      <c r="J3902" t="s">
        <v>35539</v>
      </c>
      <c r="K3902" t="s">
        <v>42758</v>
      </c>
      <c r="M3902" t="s">
        <v>44701</v>
      </c>
      <c r="N3902" t="s">
        <v>47424</v>
      </c>
      <c r="O3902" t="s">
        <v>47425</v>
      </c>
      <c r="P3902">
        <v>0</v>
      </c>
      <c r="Q3902">
        <v>2</v>
      </c>
      <c r="R3902" t="s">
        <v>47428</v>
      </c>
      <c r="S3902" t="s">
        <v>47541</v>
      </c>
      <c r="T3902" t="s">
        <v>49145</v>
      </c>
      <c r="U3902" t="s">
        <v>52973</v>
      </c>
      <c r="W3902" t="s">
        <v>44701</v>
      </c>
      <c r="X3902" t="s">
        <v>47430</v>
      </c>
    </row>
    <row r="3903" spans="1:24">
      <c r="A3903">
        <f>HYPERLINK("https://www.philgeps.gov.ph/GEPSNONPILOT/Tender/SplashBidNoticeAbstractUI.aspx?menuIndex=3&amp;refID=7155344&amp;Result=3","7155344")</f>
        <v>0</v>
      </c>
      <c r="B3903" t="s">
        <v>49</v>
      </c>
      <c r="C3903" t="s">
        <v>7606</v>
      </c>
      <c r="D3903" t="s">
        <v>19037</v>
      </c>
      <c r="E3903" t="s">
        <v>22592</v>
      </c>
      <c r="F3903" t="s">
        <v>32831</v>
      </c>
      <c r="G3903" t="s">
        <v>32839</v>
      </c>
      <c r="H3903" t="s">
        <v>32848</v>
      </c>
      <c r="I3903" t="s">
        <v>32870</v>
      </c>
      <c r="J3903" t="s">
        <v>35540</v>
      </c>
      <c r="K3903" t="s">
        <v>42750</v>
      </c>
      <c r="M3903" t="s">
        <v>44702</v>
      </c>
      <c r="N3903" t="s">
        <v>47424</v>
      </c>
      <c r="O3903" t="s">
        <v>47425</v>
      </c>
      <c r="P3903">
        <v>0</v>
      </c>
      <c r="Q3903">
        <v>0</v>
      </c>
      <c r="R3903" t="s">
        <v>47430</v>
      </c>
      <c r="S3903" t="s">
        <v>47549</v>
      </c>
      <c r="T3903" t="s">
        <v>49063</v>
      </c>
      <c r="U3903" t="s">
        <v>52974</v>
      </c>
      <c r="V3903" t="s">
        <v>62630</v>
      </c>
      <c r="W3903" t="s">
        <v>44702</v>
      </c>
      <c r="X3903" t="s">
        <v>47432</v>
      </c>
    </row>
    <row r="3904" spans="1:24">
      <c r="A3904">
        <f>HYPERLINK("https://www.philgeps.gov.ph/GEPSNONPILOT/Tender/SplashBidNoticeAbstractUI.aspx?menuIndex=3&amp;refID=7154199&amp;Result=3","7154199")</f>
        <v>0</v>
      </c>
      <c r="B3904" t="s">
        <v>1571</v>
      </c>
      <c r="C3904" t="s">
        <v>7607</v>
      </c>
      <c r="D3904" t="s">
        <v>19060</v>
      </c>
      <c r="E3904" t="s">
        <v>22593</v>
      </c>
      <c r="F3904" t="s">
        <v>32831</v>
      </c>
      <c r="G3904" t="s">
        <v>32839</v>
      </c>
      <c r="H3904" t="s">
        <v>32848</v>
      </c>
      <c r="I3904" t="s">
        <v>4222</v>
      </c>
      <c r="J3904" t="s">
        <v>35541</v>
      </c>
      <c r="K3904" t="s">
        <v>42727</v>
      </c>
      <c r="M3904" t="s">
        <v>44680</v>
      </c>
      <c r="N3904" t="s">
        <v>47424</v>
      </c>
      <c r="O3904" t="s">
        <v>47425</v>
      </c>
      <c r="P3904">
        <v>0</v>
      </c>
      <c r="Q3904">
        <v>0</v>
      </c>
      <c r="R3904" t="s">
        <v>47430</v>
      </c>
      <c r="S3904" t="s">
        <v>47549</v>
      </c>
      <c r="T3904" t="s">
        <v>49359</v>
      </c>
      <c r="U3904" t="s">
        <v>52975</v>
      </c>
      <c r="V3904" t="s">
        <v>63042</v>
      </c>
      <c r="W3904" t="s">
        <v>44680</v>
      </c>
      <c r="X3904" t="s">
        <v>47433</v>
      </c>
    </row>
    <row r="3905" spans="1:24">
      <c r="A3905">
        <f>HYPERLINK("https://www.philgeps.gov.ph/GEPSNONPILOT/Tender/SplashBidNoticeAbstractUI.aspx?menuIndex=3&amp;refID=7155379&amp;Result=3","7155379")</f>
        <v>0</v>
      </c>
      <c r="B3905" t="s">
        <v>1587</v>
      </c>
      <c r="C3905" t="s">
        <v>7608</v>
      </c>
      <c r="D3905" t="s">
        <v>19057</v>
      </c>
      <c r="E3905" t="s">
        <v>22594</v>
      </c>
      <c r="F3905" t="s">
        <v>32831</v>
      </c>
      <c r="G3905" t="s">
        <v>32839</v>
      </c>
      <c r="H3905" t="s">
        <v>32849</v>
      </c>
      <c r="I3905" t="s">
        <v>4177</v>
      </c>
      <c r="J3905" t="s">
        <v>35331</v>
      </c>
      <c r="K3905" t="s">
        <v>42757</v>
      </c>
      <c r="L3905" t="s">
        <v>1587</v>
      </c>
      <c r="M3905" t="s">
        <v>44700</v>
      </c>
      <c r="N3905" t="s">
        <v>47424</v>
      </c>
      <c r="O3905" t="s">
        <v>47425</v>
      </c>
      <c r="P3905">
        <v>0</v>
      </c>
      <c r="Q3905">
        <v>0</v>
      </c>
      <c r="R3905" t="s">
        <v>47430</v>
      </c>
      <c r="S3905" t="s">
        <v>47549</v>
      </c>
      <c r="T3905" t="s">
        <v>49077</v>
      </c>
      <c r="U3905" t="s">
        <v>52972</v>
      </c>
      <c r="W3905" t="s">
        <v>44700</v>
      </c>
      <c r="X3905" t="s">
        <v>47432</v>
      </c>
    </row>
    <row r="3906" spans="1:24">
      <c r="A3906">
        <f>HYPERLINK("https://www.philgeps.gov.ph/GEPSNONPILOT/Tender/SplashBidNoticeAbstractUI.aspx?menuIndex=3&amp;refID=7155319&amp;Result=3","7155319")</f>
        <v>0</v>
      </c>
      <c r="B3906" t="s">
        <v>49</v>
      </c>
      <c r="C3906" t="s">
        <v>7609</v>
      </c>
      <c r="D3906" t="s">
        <v>19037</v>
      </c>
      <c r="E3906" t="s">
        <v>22595</v>
      </c>
      <c r="F3906" t="s">
        <v>32831</v>
      </c>
      <c r="G3906" t="s">
        <v>32839</v>
      </c>
      <c r="H3906" t="s">
        <v>32848</v>
      </c>
      <c r="I3906" t="s">
        <v>32871</v>
      </c>
      <c r="J3906" t="s">
        <v>33044</v>
      </c>
      <c r="K3906" t="s">
        <v>42750</v>
      </c>
      <c r="M3906" t="s">
        <v>44702</v>
      </c>
      <c r="N3906" t="s">
        <v>47424</v>
      </c>
      <c r="O3906" t="s">
        <v>47425</v>
      </c>
      <c r="P3906">
        <v>0</v>
      </c>
      <c r="Q3906">
        <v>3</v>
      </c>
      <c r="R3906" t="s">
        <v>47430</v>
      </c>
      <c r="S3906" t="s">
        <v>47549</v>
      </c>
      <c r="T3906" t="s">
        <v>49063</v>
      </c>
      <c r="U3906" t="s">
        <v>52976</v>
      </c>
      <c r="V3906" t="s">
        <v>62630</v>
      </c>
      <c r="W3906" t="s">
        <v>44702</v>
      </c>
      <c r="X3906" t="s">
        <v>47432</v>
      </c>
    </row>
    <row r="3907" spans="1:24">
      <c r="A3907">
        <f>HYPERLINK("https://www.philgeps.gov.ph/GEPSNONPILOT/Tender/SplashBidNoticeAbstractUI.aspx?menuIndex=3&amp;refID=7155363&amp;Result=3","7155363")</f>
        <v>0</v>
      </c>
      <c r="B3907" t="s">
        <v>49</v>
      </c>
      <c r="C3907" t="s">
        <v>7610</v>
      </c>
      <c r="D3907" t="s">
        <v>19037</v>
      </c>
      <c r="E3907" t="s">
        <v>22596</v>
      </c>
      <c r="F3907" t="s">
        <v>32831</v>
      </c>
      <c r="G3907" t="s">
        <v>32839</v>
      </c>
      <c r="H3907" t="s">
        <v>32848</v>
      </c>
      <c r="I3907" t="s">
        <v>4558</v>
      </c>
      <c r="J3907" t="s">
        <v>35028</v>
      </c>
      <c r="K3907" t="s">
        <v>42750</v>
      </c>
      <c r="M3907" t="s">
        <v>44702</v>
      </c>
      <c r="N3907" t="s">
        <v>47424</v>
      </c>
      <c r="O3907" t="s">
        <v>47425</v>
      </c>
      <c r="P3907">
        <v>0</v>
      </c>
      <c r="Q3907">
        <v>1</v>
      </c>
      <c r="R3907" t="s">
        <v>47430</v>
      </c>
      <c r="S3907" t="s">
        <v>47549</v>
      </c>
      <c r="T3907" t="s">
        <v>49063</v>
      </c>
      <c r="U3907" t="s">
        <v>52977</v>
      </c>
      <c r="V3907" t="s">
        <v>62630</v>
      </c>
      <c r="W3907" t="s">
        <v>44702</v>
      </c>
      <c r="X3907" t="s">
        <v>47432</v>
      </c>
    </row>
    <row r="3908" spans="1:24">
      <c r="A3908">
        <f>HYPERLINK("https://www.philgeps.gov.ph/GEPSNONPILOT/Tender/SplashBidNoticeAbstractUI.aspx?menuIndex=3&amp;refID=7155409&amp;Result=3","7155409")</f>
        <v>0</v>
      </c>
      <c r="B3908" t="s">
        <v>1589</v>
      </c>
      <c r="C3908" t="s">
        <v>7611</v>
      </c>
      <c r="D3908" t="s">
        <v>19044</v>
      </c>
      <c r="E3908" t="s">
        <v>22597</v>
      </c>
      <c r="F3908" t="s">
        <v>32831</v>
      </c>
      <c r="G3908" t="s">
        <v>32839</v>
      </c>
      <c r="H3908" t="s">
        <v>32849</v>
      </c>
      <c r="I3908" t="s">
        <v>4177</v>
      </c>
      <c r="J3908" t="s">
        <v>35542</v>
      </c>
      <c r="K3908" t="s">
        <v>42847</v>
      </c>
      <c r="M3908" t="s">
        <v>44703</v>
      </c>
      <c r="N3908" t="s">
        <v>47424</v>
      </c>
      <c r="O3908" t="s">
        <v>47425</v>
      </c>
      <c r="P3908">
        <v>0</v>
      </c>
      <c r="Q3908">
        <v>0</v>
      </c>
      <c r="R3908" t="s">
        <v>47430</v>
      </c>
      <c r="S3908" t="s">
        <v>47549</v>
      </c>
      <c r="T3908" t="s">
        <v>49319</v>
      </c>
      <c r="U3908" t="s">
        <v>52978</v>
      </c>
      <c r="W3908" t="s">
        <v>44703</v>
      </c>
      <c r="X3908" t="s">
        <v>47432</v>
      </c>
    </row>
    <row r="3909" spans="1:24">
      <c r="A3909">
        <f>HYPERLINK("https://www.philgeps.gov.ph/GEPSNONPILOT/Tender/SplashBidNoticeAbstractUI.aspx?menuIndex=3&amp;refID=7155334&amp;Result=3","7155334")</f>
        <v>0</v>
      </c>
      <c r="B3909" t="s">
        <v>49</v>
      </c>
      <c r="C3909" t="s">
        <v>7612</v>
      </c>
      <c r="D3909" t="s">
        <v>19037</v>
      </c>
      <c r="E3909" t="s">
        <v>22598</v>
      </c>
      <c r="F3909" t="s">
        <v>32831</v>
      </c>
      <c r="G3909" t="s">
        <v>32839</v>
      </c>
      <c r="H3909" t="s">
        <v>32848</v>
      </c>
      <c r="I3909" t="s">
        <v>32874</v>
      </c>
      <c r="J3909" t="s">
        <v>33461</v>
      </c>
      <c r="K3909" t="s">
        <v>42750</v>
      </c>
      <c r="M3909" t="s">
        <v>44702</v>
      </c>
      <c r="N3909" t="s">
        <v>47424</v>
      </c>
      <c r="O3909" t="s">
        <v>47425</v>
      </c>
      <c r="P3909">
        <v>0</v>
      </c>
      <c r="Q3909">
        <v>2</v>
      </c>
      <c r="R3909" t="s">
        <v>47430</v>
      </c>
      <c r="S3909" t="s">
        <v>47549</v>
      </c>
      <c r="T3909" t="s">
        <v>49143</v>
      </c>
      <c r="U3909" t="s">
        <v>52979</v>
      </c>
      <c r="V3909" t="s">
        <v>62630</v>
      </c>
      <c r="W3909" t="s">
        <v>44702</v>
      </c>
      <c r="X3909" t="s">
        <v>47432</v>
      </c>
    </row>
    <row r="3910" spans="1:24">
      <c r="A3910">
        <f>HYPERLINK("https://www.philgeps.gov.ph/GEPSNONPILOT/Tender/SplashBidNoticeAbstractUI.aspx?menuIndex=3&amp;refID=7155310&amp;Result=3","7155310")</f>
        <v>0</v>
      </c>
      <c r="B3910" t="s">
        <v>49</v>
      </c>
      <c r="C3910" t="s">
        <v>7613</v>
      </c>
      <c r="D3910" t="s">
        <v>19037</v>
      </c>
      <c r="E3910" t="s">
        <v>22599</v>
      </c>
      <c r="F3910" t="s">
        <v>32831</v>
      </c>
      <c r="G3910" t="s">
        <v>32839</v>
      </c>
      <c r="H3910" t="s">
        <v>32848</v>
      </c>
      <c r="I3910" t="s">
        <v>32857</v>
      </c>
      <c r="J3910" t="s">
        <v>35543</v>
      </c>
      <c r="K3910" t="s">
        <v>42750</v>
      </c>
      <c r="M3910" t="s">
        <v>44702</v>
      </c>
      <c r="N3910" t="s">
        <v>47424</v>
      </c>
      <c r="O3910" t="s">
        <v>47425</v>
      </c>
      <c r="P3910">
        <v>0</v>
      </c>
      <c r="Q3910">
        <v>0</v>
      </c>
      <c r="R3910" t="s">
        <v>47430</v>
      </c>
      <c r="S3910" t="s">
        <v>47549</v>
      </c>
      <c r="T3910" t="s">
        <v>49063</v>
      </c>
      <c r="U3910" t="s">
        <v>52980</v>
      </c>
      <c r="V3910" t="s">
        <v>62630</v>
      </c>
      <c r="W3910" t="s">
        <v>44702</v>
      </c>
      <c r="X3910" t="s">
        <v>47432</v>
      </c>
    </row>
    <row r="3911" spans="1:24">
      <c r="A3911">
        <f>HYPERLINK("https://www.philgeps.gov.ph/GEPSNONPILOT/Tender/SplashBidNoticeAbstractUI.aspx?menuIndex=3&amp;refID=7154483&amp;Result=3","7154483")</f>
        <v>0</v>
      </c>
      <c r="B3911" t="s">
        <v>1590</v>
      </c>
      <c r="C3911" t="s">
        <v>7614</v>
      </c>
      <c r="E3911" t="s">
        <v>22600</v>
      </c>
      <c r="F3911" t="s">
        <v>32831</v>
      </c>
      <c r="G3911" t="s">
        <v>32838</v>
      </c>
      <c r="H3911" t="s">
        <v>32848</v>
      </c>
      <c r="I3911" t="s">
        <v>32909</v>
      </c>
      <c r="J3911" t="s">
        <v>33660</v>
      </c>
      <c r="K3911" t="s">
        <v>42732</v>
      </c>
      <c r="M3911" t="s">
        <v>44704</v>
      </c>
      <c r="N3911" t="s">
        <v>47424</v>
      </c>
      <c r="O3911" t="s">
        <v>47425</v>
      </c>
      <c r="P3911">
        <v>0</v>
      </c>
      <c r="Q3911">
        <v>4</v>
      </c>
      <c r="R3911" t="s">
        <v>47430</v>
      </c>
      <c r="S3911" t="s">
        <v>47549</v>
      </c>
      <c r="T3911" t="s">
        <v>49103</v>
      </c>
      <c r="U3911" t="s">
        <v>52981</v>
      </c>
      <c r="W3911" t="s">
        <v>44704</v>
      </c>
      <c r="X3911" t="s">
        <v>47433</v>
      </c>
    </row>
    <row r="3912" spans="1:24">
      <c r="A3912">
        <f>HYPERLINK("https://www.philgeps.gov.ph/GEPSNONPILOT/Tender/SplashBidNoticeAbstractUI.aspx?menuIndex=3&amp;refID=7155443&amp;Result=3","7155443")</f>
        <v>0</v>
      </c>
      <c r="B3912" t="s">
        <v>1589</v>
      </c>
      <c r="C3912" t="s">
        <v>7615</v>
      </c>
      <c r="D3912" t="s">
        <v>19044</v>
      </c>
      <c r="E3912" t="s">
        <v>22601</v>
      </c>
      <c r="F3912" t="s">
        <v>32831</v>
      </c>
      <c r="G3912" t="s">
        <v>32839</v>
      </c>
      <c r="H3912" t="s">
        <v>32849</v>
      </c>
      <c r="I3912" t="s">
        <v>4177</v>
      </c>
      <c r="J3912" t="s">
        <v>35544</v>
      </c>
      <c r="K3912" t="s">
        <v>42848</v>
      </c>
      <c r="M3912" t="s">
        <v>44703</v>
      </c>
      <c r="N3912" t="s">
        <v>47424</v>
      </c>
      <c r="O3912" t="s">
        <v>47425</v>
      </c>
      <c r="P3912">
        <v>0</v>
      </c>
      <c r="Q3912">
        <v>0</v>
      </c>
      <c r="R3912" t="s">
        <v>47430</v>
      </c>
      <c r="S3912" t="s">
        <v>47549</v>
      </c>
      <c r="T3912" t="s">
        <v>49319</v>
      </c>
      <c r="U3912" t="s">
        <v>52982</v>
      </c>
      <c r="W3912" t="s">
        <v>44703</v>
      </c>
      <c r="X3912" t="s">
        <v>47432</v>
      </c>
    </row>
    <row r="3913" spans="1:24">
      <c r="A3913">
        <f>HYPERLINK("https://www.philgeps.gov.ph/GEPSNONPILOT/Tender/SplashBidNoticeAbstractUI.aspx?menuIndex=3&amp;refID=7155427&amp;Result=3","7155427")</f>
        <v>0</v>
      </c>
      <c r="B3913" t="s">
        <v>49</v>
      </c>
      <c r="C3913" t="s">
        <v>7616</v>
      </c>
      <c r="D3913" t="s">
        <v>19037</v>
      </c>
      <c r="E3913" t="s">
        <v>22602</v>
      </c>
      <c r="F3913" t="s">
        <v>32831</v>
      </c>
      <c r="G3913" t="s">
        <v>32839</v>
      </c>
      <c r="H3913" t="s">
        <v>32848</v>
      </c>
      <c r="I3913" t="s">
        <v>32871</v>
      </c>
      <c r="J3913" t="s">
        <v>33044</v>
      </c>
      <c r="K3913" t="s">
        <v>42727</v>
      </c>
      <c r="M3913" t="s">
        <v>44702</v>
      </c>
      <c r="N3913" t="s">
        <v>47424</v>
      </c>
      <c r="O3913" t="s">
        <v>47425</v>
      </c>
      <c r="P3913">
        <v>0</v>
      </c>
      <c r="Q3913">
        <v>2</v>
      </c>
      <c r="R3913" t="s">
        <v>47430</v>
      </c>
      <c r="S3913" t="s">
        <v>47549</v>
      </c>
      <c r="T3913" t="s">
        <v>49063</v>
      </c>
      <c r="U3913" t="s">
        <v>52983</v>
      </c>
      <c r="V3913" t="s">
        <v>62630</v>
      </c>
      <c r="W3913" t="s">
        <v>44702</v>
      </c>
      <c r="X3913" t="s">
        <v>47432</v>
      </c>
    </row>
    <row r="3914" spans="1:24">
      <c r="A3914">
        <f>HYPERLINK("https://www.philgeps.gov.ph/GEPSNONPILOT/Tender/SplashBidNoticeAbstractUI.aspx?menuIndex=3&amp;refID=7154432&amp;Result=3","7154432")</f>
        <v>0</v>
      </c>
      <c r="B3914" t="s">
        <v>1571</v>
      </c>
      <c r="C3914" t="s">
        <v>7603</v>
      </c>
      <c r="D3914" t="s">
        <v>19060</v>
      </c>
      <c r="E3914" t="s">
        <v>22603</v>
      </c>
      <c r="F3914" t="s">
        <v>32831</v>
      </c>
      <c r="G3914" t="s">
        <v>32839</v>
      </c>
      <c r="H3914" t="s">
        <v>32848</v>
      </c>
      <c r="I3914" t="s">
        <v>32870</v>
      </c>
      <c r="J3914" t="s">
        <v>35545</v>
      </c>
      <c r="K3914" t="s">
        <v>42727</v>
      </c>
      <c r="M3914" t="s">
        <v>44680</v>
      </c>
      <c r="N3914" t="s">
        <v>47424</v>
      </c>
      <c r="O3914" t="s">
        <v>47425</v>
      </c>
      <c r="P3914">
        <v>0</v>
      </c>
      <c r="Q3914">
        <v>0</v>
      </c>
      <c r="R3914" t="s">
        <v>47430</v>
      </c>
      <c r="S3914" t="s">
        <v>47549</v>
      </c>
      <c r="T3914" t="s">
        <v>49359</v>
      </c>
      <c r="U3914" t="s">
        <v>52904</v>
      </c>
      <c r="V3914" t="s">
        <v>63042</v>
      </c>
      <c r="W3914" t="s">
        <v>44680</v>
      </c>
      <c r="X3914" t="s">
        <v>47433</v>
      </c>
    </row>
    <row r="3915" spans="1:24">
      <c r="A3915">
        <f>HYPERLINK("https://www.philgeps.gov.ph/GEPSNONPILOT/Tender/SplashBidNoticeAbstractUI.aspx?menuIndex=3&amp;refID=7154342&amp;Result=3","7154342")</f>
        <v>0</v>
      </c>
      <c r="B3915" t="s">
        <v>1571</v>
      </c>
      <c r="C3915" t="s">
        <v>7617</v>
      </c>
      <c r="D3915" t="s">
        <v>19060</v>
      </c>
      <c r="E3915" t="s">
        <v>22604</v>
      </c>
      <c r="F3915" t="s">
        <v>32831</v>
      </c>
      <c r="G3915" t="s">
        <v>32839</v>
      </c>
      <c r="H3915" t="s">
        <v>32848</v>
      </c>
      <c r="I3915" t="s">
        <v>5379</v>
      </c>
      <c r="J3915" t="s">
        <v>35546</v>
      </c>
      <c r="K3915" t="s">
        <v>42727</v>
      </c>
      <c r="M3915" t="s">
        <v>44680</v>
      </c>
      <c r="N3915" t="s">
        <v>47424</v>
      </c>
      <c r="O3915" t="s">
        <v>47425</v>
      </c>
      <c r="P3915">
        <v>0</v>
      </c>
      <c r="Q3915">
        <v>0</v>
      </c>
      <c r="R3915" t="s">
        <v>47430</v>
      </c>
      <c r="S3915" t="s">
        <v>47549</v>
      </c>
      <c r="T3915" t="s">
        <v>49359</v>
      </c>
      <c r="U3915" t="s">
        <v>52984</v>
      </c>
      <c r="V3915" t="s">
        <v>63042</v>
      </c>
      <c r="W3915" t="s">
        <v>44680</v>
      </c>
      <c r="X3915" t="s">
        <v>47433</v>
      </c>
    </row>
    <row r="3916" spans="1:24">
      <c r="A3916">
        <f>HYPERLINK("https://www.philgeps.gov.ph/GEPSNONPILOT/Tender/SplashBidNoticeAbstractUI.aspx?menuIndex=3&amp;refID=7163148&amp;Result=3","7163148")</f>
        <v>0</v>
      </c>
      <c r="B3916" t="s">
        <v>1591</v>
      </c>
      <c r="C3916" t="s">
        <v>7618</v>
      </c>
      <c r="D3916" t="s">
        <v>19059</v>
      </c>
      <c r="E3916" t="s">
        <v>20948</v>
      </c>
      <c r="F3916" t="s">
        <v>32831</v>
      </c>
      <c r="G3916" t="s">
        <v>32839</v>
      </c>
      <c r="H3916" t="s">
        <v>32848</v>
      </c>
      <c r="I3916" t="s">
        <v>32867</v>
      </c>
      <c r="J3916" t="s">
        <v>35547</v>
      </c>
      <c r="K3916" t="s">
        <v>42730</v>
      </c>
      <c r="M3916" t="s">
        <v>44705</v>
      </c>
      <c r="N3916" t="s">
        <v>47424</v>
      </c>
      <c r="O3916" t="s">
        <v>47425</v>
      </c>
      <c r="P3916">
        <v>0</v>
      </c>
      <c r="Q3916">
        <v>9</v>
      </c>
      <c r="R3916" t="s">
        <v>47428</v>
      </c>
      <c r="S3916" t="s">
        <v>47541</v>
      </c>
      <c r="T3916" t="s">
        <v>49340</v>
      </c>
      <c r="U3916" t="s">
        <v>52985</v>
      </c>
      <c r="W3916" t="s">
        <v>44705</v>
      </c>
      <c r="X3916" t="s">
        <v>47430</v>
      </c>
    </row>
    <row r="3917" spans="1:24">
      <c r="A3917">
        <f>HYPERLINK("https://www.philgeps.gov.ph/GEPSNONPILOT/Tender/SplashBidNoticeAbstractUI.aspx?menuIndex=3&amp;refID=7154237&amp;Result=3","7154237")</f>
        <v>0</v>
      </c>
      <c r="B3917" t="s">
        <v>1571</v>
      </c>
      <c r="C3917" t="s">
        <v>7619</v>
      </c>
      <c r="D3917" t="s">
        <v>19060</v>
      </c>
      <c r="E3917" t="s">
        <v>22605</v>
      </c>
      <c r="F3917" t="s">
        <v>32831</v>
      </c>
      <c r="G3917" t="s">
        <v>32839</v>
      </c>
      <c r="H3917" t="s">
        <v>32848</v>
      </c>
      <c r="I3917" t="s">
        <v>32862</v>
      </c>
      <c r="J3917" t="s">
        <v>35548</v>
      </c>
      <c r="K3917" t="s">
        <v>42727</v>
      </c>
      <c r="M3917" t="s">
        <v>44680</v>
      </c>
      <c r="N3917" t="s">
        <v>47424</v>
      </c>
      <c r="O3917" t="s">
        <v>47425</v>
      </c>
      <c r="P3917">
        <v>0</v>
      </c>
      <c r="Q3917">
        <v>0</v>
      </c>
      <c r="R3917" t="s">
        <v>47430</v>
      </c>
      <c r="S3917" t="s">
        <v>47549</v>
      </c>
      <c r="T3917" t="s">
        <v>49359</v>
      </c>
      <c r="U3917" t="s">
        <v>52986</v>
      </c>
      <c r="V3917" t="s">
        <v>63042</v>
      </c>
      <c r="W3917" t="s">
        <v>44680</v>
      </c>
      <c r="X3917" t="s">
        <v>47433</v>
      </c>
    </row>
    <row r="3918" spans="1:24">
      <c r="A3918">
        <f>HYPERLINK("https://www.philgeps.gov.ph/GEPSNONPILOT/Tender/SplashBidNoticeAbstractUI.aspx?menuIndex=3&amp;refID=7155781&amp;Result=3","7155781")</f>
        <v>0</v>
      </c>
      <c r="B3918" t="s">
        <v>1592</v>
      </c>
      <c r="C3918" t="s">
        <v>7620</v>
      </c>
      <c r="D3918" t="s">
        <v>19052</v>
      </c>
      <c r="E3918" t="s">
        <v>22606</v>
      </c>
      <c r="F3918" t="s">
        <v>32831</v>
      </c>
      <c r="G3918" t="s">
        <v>32839</v>
      </c>
      <c r="H3918" t="s">
        <v>32849</v>
      </c>
      <c r="I3918" t="s">
        <v>4177</v>
      </c>
      <c r="J3918" t="s">
        <v>35549</v>
      </c>
      <c r="K3918" t="s">
        <v>42849</v>
      </c>
      <c r="M3918" t="s">
        <v>44706</v>
      </c>
      <c r="N3918" t="s">
        <v>47424</v>
      </c>
      <c r="O3918" t="s">
        <v>47425</v>
      </c>
      <c r="P3918">
        <v>0</v>
      </c>
      <c r="Q3918">
        <v>22</v>
      </c>
      <c r="R3918" t="s">
        <v>47430</v>
      </c>
      <c r="S3918" t="s">
        <v>47549</v>
      </c>
      <c r="T3918" t="s">
        <v>49124</v>
      </c>
      <c r="U3918" t="s">
        <v>52987</v>
      </c>
      <c r="W3918" t="s">
        <v>44706</v>
      </c>
      <c r="X3918" t="s">
        <v>47432</v>
      </c>
    </row>
    <row r="3919" spans="1:24">
      <c r="A3919">
        <f>HYPERLINK("https://www.philgeps.gov.ph/GEPSNONPILOT/Tender/SplashBidNoticeAbstractUI.aspx?menuIndex=3&amp;refID=7155075&amp;Result=3","7155075")</f>
        <v>0</v>
      </c>
      <c r="B3919" t="s">
        <v>1593</v>
      </c>
      <c r="C3919" t="s">
        <v>7621</v>
      </c>
      <c r="D3919" t="s">
        <v>19025</v>
      </c>
      <c r="E3919" t="s">
        <v>22607</v>
      </c>
      <c r="F3919" t="s">
        <v>32831</v>
      </c>
      <c r="G3919" t="s">
        <v>32838</v>
      </c>
      <c r="H3919" t="s">
        <v>32848</v>
      </c>
      <c r="I3919" t="s">
        <v>6526</v>
      </c>
      <c r="J3919" t="s">
        <v>35550</v>
      </c>
      <c r="K3919" t="s">
        <v>42726</v>
      </c>
      <c r="M3919" t="s">
        <v>44707</v>
      </c>
      <c r="N3919" t="s">
        <v>47424</v>
      </c>
      <c r="O3919" t="s">
        <v>47425</v>
      </c>
      <c r="P3919">
        <v>0</v>
      </c>
      <c r="Q3919">
        <v>0</v>
      </c>
      <c r="R3919" t="s">
        <v>47430</v>
      </c>
      <c r="S3919" t="s">
        <v>47549</v>
      </c>
      <c r="T3919" t="s">
        <v>49163</v>
      </c>
      <c r="U3919" t="s">
        <v>52988</v>
      </c>
      <c r="W3919" t="s">
        <v>44707</v>
      </c>
      <c r="X3919" t="s">
        <v>47433</v>
      </c>
    </row>
    <row r="3920" spans="1:24">
      <c r="A3920">
        <f>HYPERLINK("https://www.philgeps.gov.ph/GEPSNONPILOT/Tender/SplashBidNoticeAbstractUI.aspx?menuIndex=3&amp;refID=7155448&amp;Result=3","7155448")</f>
        <v>0</v>
      </c>
      <c r="B3920" t="s">
        <v>49</v>
      </c>
      <c r="C3920" t="s">
        <v>7622</v>
      </c>
      <c r="D3920" t="s">
        <v>19037</v>
      </c>
      <c r="E3920" t="s">
        <v>22608</v>
      </c>
      <c r="F3920" t="s">
        <v>32831</v>
      </c>
      <c r="G3920" t="s">
        <v>32839</v>
      </c>
      <c r="H3920" t="s">
        <v>32848</v>
      </c>
      <c r="I3920" t="s">
        <v>32871</v>
      </c>
      <c r="J3920" t="s">
        <v>33024</v>
      </c>
      <c r="K3920" t="s">
        <v>42750</v>
      </c>
      <c r="M3920" t="s">
        <v>44702</v>
      </c>
      <c r="N3920" t="s">
        <v>47424</v>
      </c>
      <c r="O3920" t="s">
        <v>47425</v>
      </c>
      <c r="P3920">
        <v>0</v>
      </c>
      <c r="Q3920">
        <v>3</v>
      </c>
      <c r="R3920" t="s">
        <v>47430</v>
      </c>
      <c r="S3920" t="s">
        <v>47549</v>
      </c>
      <c r="T3920" t="s">
        <v>49179</v>
      </c>
      <c r="U3920" t="s">
        <v>52989</v>
      </c>
      <c r="V3920" t="s">
        <v>62630</v>
      </c>
      <c r="W3920" t="s">
        <v>44702</v>
      </c>
      <c r="X3920" t="s">
        <v>47432</v>
      </c>
    </row>
    <row r="3921" spans="1:24">
      <c r="A3921">
        <f>HYPERLINK("https://www.philgeps.gov.ph/GEPSNONPILOT/Tender/SplashBidNoticeAbstractUI.aspx?menuIndex=3&amp;refID=7155905&amp;Result=3","7155905")</f>
        <v>0</v>
      </c>
      <c r="B3921" t="s">
        <v>80</v>
      </c>
      <c r="C3921" t="s">
        <v>7623</v>
      </c>
      <c r="D3921" t="s">
        <v>19048</v>
      </c>
      <c r="E3921" t="s">
        <v>22609</v>
      </c>
      <c r="F3921" t="s">
        <v>32831</v>
      </c>
      <c r="G3921" t="s">
        <v>32839</v>
      </c>
      <c r="H3921" t="s">
        <v>32849</v>
      </c>
      <c r="I3921" t="s">
        <v>4177</v>
      </c>
      <c r="J3921" t="s">
        <v>35551</v>
      </c>
      <c r="K3921" t="s">
        <v>42746</v>
      </c>
      <c r="M3921" t="s">
        <v>43077</v>
      </c>
      <c r="N3921" t="s">
        <v>47424</v>
      </c>
      <c r="O3921" t="s">
        <v>47425</v>
      </c>
      <c r="P3921">
        <v>0</v>
      </c>
      <c r="Q3921">
        <v>0</v>
      </c>
      <c r="R3921" t="s">
        <v>47430</v>
      </c>
      <c r="S3921" t="s">
        <v>47549</v>
      </c>
      <c r="T3921" t="s">
        <v>49291</v>
      </c>
      <c r="U3921" t="s">
        <v>49773</v>
      </c>
      <c r="W3921" t="s">
        <v>43077</v>
      </c>
      <c r="X3921" t="s">
        <v>47432</v>
      </c>
    </row>
    <row r="3922" spans="1:24">
      <c r="A3922">
        <f>HYPERLINK("https://www.philgeps.gov.ph/GEPSNONPILOT/Tender/SplashBidNoticeAbstractUI.aspx?menuIndex=3&amp;refID=7155847&amp;Result=3","7155847")</f>
        <v>0</v>
      </c>
      <c r="B3922" t="s">
        <v>1592</v>
      </c>
      <c r="C3922" t="s">
        <v>7624</v>
      </c>
      <c r="D3922" t="s">
        <v>19052</v>
      </c>
      <c r="E3922" t="s">
        <v>22610</v>
      </c>
      <c r="F3922" t="s">
        <v>32831</v>
      </c>
      <c r="G3922" t="s">
        <v>32839</v>
      </c>
      <c r="H3922" t="s">
        <v>32849</v>
      </c>
      <c r="I3922" t="s">
        <v>4177</v>
      </c>
      <c r="J3922" t="s">
        <v>35552</v>
      </c>
      <c r="K3922" t="s">
        <v>42850</v>
      </c>
      <c r="M3922" t="s">
        <v>44706</v>
      </c>
      <c r="N3922" t="s">
        <v>47424</v>
      </c>
      <c r="O3922" t="s">
        <v>47425</v>
      </c>
      <c r="P3922">
        <v>0</v>
      </c>
      <c r="Q3922">
        <v>23</v>
      </c>
      <c r="R3922" t="s">
        <v>47430</v>
      </c>
      <c r="S3922" t="s">
        <v>47549</v>
      </c>
      <c r="T3922" t="s">
        <v>49124</v>
      </c>
      <c r="U3922" t="s">
        <v>52987</v>
      </c>
      <c r="W3922" t="s">
        <v>44706</v>
      </c>
      <c r="X3922" t="s">
        <v>47432</v>
      </c>
    </row>
    <row r="3923" spans="1:24">
      <c r="A3923">
        <f>HYPERLINK("https://www.philgeps.gov.ph/GEPSNONPILOT/Tender/SplashBidNoticeAbstractUI.aspx?menuIndex=3&amp;refID=7155992&amp;Result=3","7155992")</f>
        <v>0</v>
      </c>
      <c r="B3923" t="s">
        <v>80</v>
      </c>
      <c r="C3923" t="s">
        <v>7625</v>
      </c>
      <c r="D3923" t="s">
        <v>19048</v>
      </c>
      <c r="E3923" t="s">
        <v>22611</v>
      </c>
      <c r="F3923" t="s">
        <v>32831</v>
      </c>
      <c r="G3923" t="s">
        <v>32839</v>
      </c>
      <c r="H3923" t="s">
        <v>32849</v>
      </c>
      <c r="I3923" t="s">
        <v>4177</v>
      </c>
      <c r="J3923" t="s">
        <v>35553</v>
      </c>
      <c r="K3923" t="s">
        <v>42766</v>
      </c>
      <c r="M3923" t="s">
        <v>43077</v>
      </c>
      <c r="N3923" t="s">
        <v>47424</v>
      </c>
      <c r="O3923" t="s">
        <v>47425</v>
      </c>
      <c r="P3923">
        <v>0</v>
      </c>
      <c r="Q3923">
        <v>0</v>
      </c>
      <c r="R3923" t="s">
        <v>47430</v>
      </c>
      <c r="S3923" t="s">
        <v>47549</v>
      </c>
      <c r="T3923" t="s">
        <v>49291</v>
      </c>
      <c r="U3923" t="s">
        <v>49773</v>
      </c>
      <c r="W3923" t="s">
        <v>43077</v>
      </c>
      <c r="X3923" t="s">
        <v>47432</v>
      </c>
    </row>
    <row r="3924" spans="1:24">
      <c r="A3924">
        <f>HYPERLINK("https://www.philgeps.gov.ph/GEPSNONPILOT/Tender/SplashBidNoticeAbstractUI.aspx?menuIndex=3&amp;refID=7155803&amp;Result=3","7155803")</f>
        <v>0</v>
      </c>
      <c r="B3924" t="s">
        <v>1592</v>
      </c>
      <c r="C3924" t="s">
        <v>7626</v>
      </c>
      <c r="D3924" t="s">
        <v>19052</v>
      </c>
      <c r="E3924" t="s">
        <v>22612</v>
      </c>
      <c r="F3924" t="s">
        <v>32831</v>
      </c>
      <c r="G3924" t="s">
        <v>32839</v>
      </c>
      <c r="H3924" t="s">
        <v>32849</v>
      </c>
      <c r="I3924" t="s">
        <v>4177</v>
      </c>
      <c r="J3924" t="s">
        <v>35554</v>
      </c>
      <c r="K3924" t="s">
        <v>42816</v>
      </c>
      <c r="M3924" t="s">
        <v>44706</v>
      </c>
      <c r="N3924" t="s">
        <v>47424</v>
      </c>
      <c r="O3924" t="s">
        <v>47425</v>
      </c>
      <c r="P3924">
        <v>0</v>
      </c>
      <c r="Q3924">
        <v>21</v>
      </c>
      <c r="R3924" t="s">
        <v>47430</v>
      </c>
      <c r="S3924" t="s">
        <v>47549</v>
      </c>
      <c r="T3924" t="s">
        <v>49124</v>
      </c>
      <c r="U3924" t="s">
        <v>52987</v>
      </c>
      <c r="W3924" t="s">
        <v>44706</v>
      </c>
      <c r="X3924" t="s">
        <v>47432</v>
      </c>
    </row>
    <row r="3925" spans="1:24">
      <c r="A3925">
        <f>HYPERLINK("https://www.philgeps.gov.ph/GEPSNONPILOT/Tender/SplashBidNoticeAbstractUI.aspx?menuIndex=3&amp;refID=7155831&amp;Result=3","7155831")</f>
        <v>0</v>
      </c>
      <c r="B3925" t="s">
        <v>1592</v>
      </c>
      <c r="C3925" t="s">
        <v>7627</v>
      </c>
      <c r="D3925" t="s">
        <v>19052</v>
      </c>
      <c r="E3925" t="s">
        <v>22613</v>
      </c>
      <c r="F3925" t="s">
        <v>32831</v>
      </c>
      <c r="G3925" t="s">
        <v>32839</v>
      </c>
      <c r="H3925" t="s">
        <v>32849</v>
      </c>
      <c r="I3925" t="s">
        <v>4177</v>
      </c>
      <c r="J3925" t="s">
        <v>35555</v>
      </c>
      <c r="K3925" t="s">
        <v>42850</v>
      </c>
      <c r="M3925" t="s">
        <v>44706</v>
      </c>
      <c r="N3925" t="s">
        <v>47424</v>
      </c>
      <c r="O3925" t="s">
        <v>47425</v>
      </c>
      <c r="P3925">
        <v>0</v>
      </c>
      <c r="Q3925">
        <v>22</v>
      </c>
      <c r="R3925" t="s">
        <v>47430</v>
      </c>
      <c r="S3925" t="s">
        <v>47549</v>
      </c>
      <c r="T3925" t="s">
        <v>49124</v>
      </c>
      <c r="U3925" t="s">
        <v>52987</v>
      </c>
      <c r="W3925" t="s">
        <v>44706</v>
      </c>
      <c r="X3925" t="s">
        <v>47432</v>
      </c>
    </row>
    <row r="3926" spans="1:24">
      <c r="A3926">
        <f>HYPERLINK("https://www.philgeps.gov.ph/GEPSNONPILOT/Tender/SplashBidNoticeAbstractUI.aspx?menuIndex=3&amp;refID=7155453&amp;Result=3","7155453")</f>
        <v>0</v>
      </c>
      <c r="B3926" t="s">
        <v>1594</v>
      </c>
      <c r="C3926" t="s">
        <v>7628</v>
      </c>
      <c r="D3926" t="s">
        <v>19063</v>
      </c>
      <c r="E3926" t="s">
        <v>20958</v>
      </c>
      <c r="F3926" t="s">
        <v>32831</v>
      </c>
      <c r="G3926" t="s">
        <v>32840</v>
      </c>
      <c r="H3926" t="s">
        <v>32848</v>
      </c>
      <c r="I3926" t="s">
        <v>9577</v>
      </c>
      <c r="J3926" t="s">
        <v>33041</v>
      </c>
      <c r="K3926" t="s">
        <v>42742</v>
      </c>
      <c r="M3926" t="s">
        <v>44708</v>
      </c>
      <c r="N3926" t="s">
        <v>47424</v>
      </c>
      <c r="O3926" t="s">
        <v>47425</v>
      </c>
      <c r="P3926">
        <v>0</v>
      </c>
      <c r="Q3926">
        <v>2</v>
      </c>
      <c r="R3926" t="s">
        <v>47430</v>
      </c>
      <c r="S3926" t="s">
        <v>47549</v>
      </c>
      <c r="T3926" t="s">
        <v>49119</v>
      </c>
      <c r="U3926" t="s">
        <v>52990</v>
      </c>
      <c r="W3926" t="s">
        <v>44708</v>
      </c>
      <c r="X3926" t="s">
        <v>47432</v>
      </c>
    </row>
    <row r="3927" spans="1:24">
      <c r="A3927">
        <f>HYPERLINK("https://www.philgeps.gov.ph/GEPSNONPILOT/Tender/SplashBidNoticeAbstractUI.aspx?menuIndex=3&amp;refID=7155689&amp;Result=3","7155689")</f>
        <v>0</v>
      </c>
      <c r="B3927" t="s">
        <v>1595</v>
      </c>
      <c r="C3927" t="s">
        <v>7629</v>
      </c>
      <c r="D3927" t="s">
        <v>19022</v>
      </c>
      <c r="E3927" t="s">
        <v>22614</v>
      </c>
      <c r="F3927" t="s">
        <v>32831</v>
      </c>
      <c r="G3927" t="s">
        <v>32839</v>
      </c>
      <c r="H3927" t="s">
        <v>32849</v>
      </c>
      <c r="I3927" t="s">
        <v>4177</v>
      </c>
      <c r="J3927" t="s">
        <v>35556</v>
      </c>
      <c r="K3927" t="s">
        <v>42765</v>
      </c>
      <c r="M3927" t="s">
        <v>44709</v>
      </c>
      <c r="N3927" t="s">
        <v>47424</v>
      </c>
      <c r="O3927" t="s">
        <v>47425</v>
      </c>
      <c r="P3927">
        <v>0</v>
      </c>
      <c r="Q3927">
        <v>0</v>
      </c>
      <c r="R3927" t="s">
        <v>47430</v>
      </c>
      <c r="S3927" t="s">
        <v>47549</v>
      </c>
      <c r="T3927" t="s">
        <v>49319</v>
      </c>
      <c r="U3927" t="s">
        <v>52991</v>
      </c>
      <c r="W3927" t="s">
        <v>44709</v>
      </c>
      <c r="X3927" t="s">
        <v>47432</v>
      </c>
    </row>
    <row r="3928" spans="1:24">
      <c r="A3928">
        <f>HYPERLINK("https://www.philgeps.gov.ph/GEPSNONPILOT/Tender/SplashBidNoticeAbstractUI.aspx?menuIndex=3&amp;refID=7156071&amp;Result=3","7156071")</f>
        <v>0</v>
      </c>
      <c r="B3928" t="s">
        <v>1444</v>
      </c>
      <c r="C3928" t="s">
        <v>7630</v>
      </c>
      <c r="D3928" t="s">
        <v>19080</v>
      </c>
      <c r="E3928" t="s">
        <v>22615</v>
      </c>
      <c r="F3928" t="s">
        <v>32831</v>
      </c>
      <c r="G3928" t="s">
        <v>32839</v>
      </c>
      <c r="H3928" t="s">
        <v>32848</v>
      </c>
      <c r="I3928" t="s">
        <v>4776</v>
      </c>
      <c r="J3928" t="s">
        <v>35557</v>
      </c>
      <c r="K3928" t="s">
        <v>42747</v>
      </c>
      <c r="M3928" t="s">
        <v>44536</v>
      </c>
      <c r="N3928" t="s">
        <v>47424</v>
      </c>
      <c r="O3928" t="s">
        <v>47425</v>
      </c>
      <c r="P3928">
        <v>0</v>
      </c>
      <c r="Q3928">
        <v>1</v>
      </c>
      <c r="R3928" t="s">
        <v>47430</v>
      </c>
      <c r="S3928" t="s">
        <v>47549</v>
      </c>
      <c r="T3928" t="s">
        <v>49129</v>
      </c>
      <c r="U3928" t="s">
        <v>52992</v>
      </c>
      <c r="W3928" t="s">
        <v>44536</v>
      </c>
      <c r="X3928" t="s">
        <v>47432</v>
      </c>
    </row>
    <row r="3929" spans="1:24">
      <c r="A3929">
        <f>HYPERLINK("https://www.philgeps.gov.ph/GEPSNONPILOT/Tender/SplashBidNoticeAbstractUI.aspx?menuIndex=3&amp;refID=7155617&amp;Result=3","7155617")</f>
        <v>0</v>
      </c>
      <c r="B3929" t="s">
        <v>49</v>
      </c>
      <c r="C3929" t="s">
        <v>7631</v>
      </c>
      <c r="D3929" t="s">
        <v>19037</v>
      </c>
      <c r="E3929" t="s">
        <v>22616</v>
      </c>
      <c r="F3929" t="s">
        <v>32831</v>
      </c>
      <c r="G3929" t="s">
        <v>32839</v>
      </c>
      <c r="H3929" t="s">
        <v>32848</v>
      </c>
      <c r="I3929" t="s">
        <v>32874</v>
      </c>
      <c r="J3929" t="s">
        <v>33364</v>
      </c>
      <c r="K3929" t="s">
        <v>42750</v>
      </c>
      <c r="M3929" t="s">
        <v>44702</v>
      </c>
      <c r="N3929" t="s">
        <v>47424</v>
      </c>
      <c r="O3929" t="s">
        <v>47425</v>
      </c>
      <c r="P3929">
        <v>0</v>
      </c>
      <c r="Q3929">
        <v>2</v>
      </c>
      <c r="R3929" t="s">
        <v>47430</v>
      </c>
      <c r="S3929" t="s">
        <v>47549</v>
      </c>
      <c r="T3929" t="s">
        <v>49063</v>
      </c>
      <c r="U3929" t="s">
        <v>52993</v>
      </c>
      <c r="V3929" t="s">
        <v>62630</v>
      </c>
      <c r="W3929" t="s">
        <v>44702</v>
      </c>
      <c r="X3929" t="s">
        <v>47432</v>
      </c>
    </row>
    <row r="3930" spans="1:24">
      <c r="A3930">
        <f>HYPERLINK("https://www.philgeps.gov.ph/GEPSNONPILOT/Tender/SplashBidNoticeAbstractUI.aspx?menuIndex=3&amp;refID=7155776&amp;Result=3","7155776")</f>
        <v>0</v>
      </c>
      <c r="B3930" t="s">
        <v>1595</v>
      </c>
      <c r="C3930" t="s">
        <v>7632</v>
      </c>
      <c r="D3930" t="s">
        <v>19022</v>
      </c>
      <c r="E3930" t="s">
        <v>22617</v>
      </c>
      <c r="F3930" t="s">
        <v>32831</v>
      </c>
      <c r="G3930" t="s">
        <v>32839</v>
      </c>
      <c r="H3930" t="s">
        <v>32849</v>
      </c>
      <c r="I3930" t="s">
        <v>4177</v>
      </c>
      <c r="J3930" t="s">
        <v>35558</v>
      </c>
      <c r="K3930" t="s">
        <v>42851</v>
      </c>
      <c r="M3930" t="s">
        <v>44709</v>
      </c>
      <c r="N3930" t="s">
        <v>47424</v>
      </c>
      <c r="O3930" t="s">
        <v>47425</v>
      </c>
      <c r="P3930">
        <v>0</v>
      </c>
      <c r="Q3930">
        <v>0</v>
      </c>
      <c r="R3930" t="s">
        <v>47430</v>
      </c>
      <c r="S3930" t="s">
        <v>47549</v>
      </c>
      <c r="T3930" t="s">
        <v>49319</v>
      </c>
      <c r="U3930" t="s">
        <v>52994</v>
      </c>
      <c r="W3930" t="s">
        <v>44709</v>
      </c>
      <c r="X3930" t="s">
        <v>47432</v>
      </c>
    </row>
    <row r="3931" spans="1:24">
      <c r="A3931">
        <f>HYPERLINK("https://www.philgeps.gov.ph/GEPSNONPILOT/Tender/SplashBidNoticeAbstractUI.aspx?menuIndex=3&amp;refID=7155762&amp;Result=3","7155762")</f>
        <v>0</v>
      </c>
      <c r="B3931" t="s">
        <v>1592</v>
      </c>
      <c r="C3931" t="s">
        <v>7633</v>
      </c>
      <c r="D3931" t="s">
        <v>19052</v>
      </c>
      <c r="E3931" t="s">
        <v>22618</v>
      </c>
      <c r="F3931" t="s">
        <v>32831</v>
      </c>
      <c r="G3931" t="s">
        <v>32839</v>
      </c>
      <c r="H3931" t="s">
        <v>32849</v>
      </c>
      <c r="I3931" t="s">
        <v>4177</v>
      </c>
      <c r="J3931" t="s">
        <v>35559</v>
      </c>
      <c r="K3931" t="s">
        <v>42852</v>
      </c>
      <c r="M3931" t="s">
        <v>44706</v>
      </c>
      <c r="N3931" t="s">
        <v>47424</v>
      </c>
      <c r="O3931" t="s">
        <v>47425</v>
      </c>
      <c r="P3931">
        <v>0</v>
      </c>
      <c r="Q3931">
        <v>22</v>
      </c>
      <c r="R3931" t="s">
        <v>47430</v>
      </c>
      <c r="S3931" t="s">
        <v>47549</v>
      </c>
      <c r="T3931" t="s">
        <v>49124</v>
      </c>
      <c r="U3931" t="s">
        <v>52987</v>
      </c>
      <c r="W3931" t="s">
        <v>44706</v>
      </c>
      <c r="X3931" t="s">
        <v>47432</v>
      </c>
    </row>
    <row r="3932" spans="1:24">
      <c r="A3932">
        <f>HYPERLINK("https://www.philgeps.gov.ph/GEPSNONPILOT/Tender/SplashBidNoticeAbstractUI.aspx?menuIndex=3&amp;refID=7155737&amp;Result=3","7155737")</f>
        <v>0</v>
      </c>
      <c r="B3932" t="s">
        <v>1592</v>
      </c>
      <c r="C3932" t="s">
        <v>7634</v>
      </c>
      <c r="D3932" t="s">
        <v>19052</v>
      </c>
      <c r="E3932" t="s">
        <v>22619</v>
      </c>
      <c r="F3932" t="s">
        <v>32831</v>
      </c>
      <c r="G3932" t="s">
        <v>32839</v>
      </c>
      <c r="H3932" t="s">
        <v>32849</v>
      </c>
      <c r="I3932" t="s">
        <v>4177</v>
      </c>
      <c r="J3932" t="s">
        <v>35560</v>
      </c>
      <c r="K3932" t="s">
        <v>42853</v>
      </c>
      <c r="M3932" t="s">
        <v>44706</v>
      </c>
      <c r="N3932" t="s">
        <v>47424</v>
      </c>
      <c r="O3932" t="s">
        <v>47425</v>
      </c>
      <c r="P3932">
        <v>0</v>
      </c>
      <c r="Q3932">
        <v>13</v>
      </c>
      <c r="R3932" t="s">
        <v>47430</v>
      </c>
      <c r="S3932" t="s">
        <v>47549</v>
      </c>
      <c r="T3932" t="s">
        <v>49124</v>
      </c>
      <c r="U3932" t="s">
        <v>52987</v>
      </c>
      <c r="W3932" t="s">
        <v>44706</v>
      </c>
      <c r="X3932" t="s">
        <v>47432</v>
      </c>
    </row>
    <row r="3933" spans="1:24">
      <c r="A3933">
        <f>HYPERLINK("https://www.philgeps.gov.ph/GEPSNONPILOT/Tender/SplashBidNoticeAbstractUI.aspx?menuIndex=3&amp;refID=7157077&amp;Result=3","7157077")</f>
        <v>0</v>
      </c>
      <c r="B3933" t="s">
        <v>1596</v>
      </c>
      <c r="C3933" t="s">
        <v>7635</v>
      </c>
      <c r="D3933" t="s">
        <v>19045</v>
      </c>
      <c r="E3933" t="s">
        <v>22620</v>
      </c>
      <c r="F3933" t="s">
        <v>32831</v>
      </c>
      <c r="G3933" t="s">
        <v>32838</v>
      </c>
      <c r="H3933" t="s">
        <v>32848</v>
      </c>
      <c r="I3933" t="s">
        <v>32856</v>
      </c>
      <c r="J3933" t="s">
        <v>32983</v>
      </c>
      <c r="K3933" t="s">
        <v>42730</v>
      </c>
      <c r="M3933" t="s">
        <v>44710</v>
      </c>
      <c r="N3933" t="s">
        <v>47424</v>
      </c>
      <c r="O3933" t="s">
        <v>47425</v>
      </c>
      <c r="P3933">
        <v>0</v>
      </c>
      <c r="Q3933">
        <v>1</v>
      </c>
      <c r="R3933" t="s">
        <v>47430</v>
      </c>
      <c r="S3933" t="s">
        <v>47549</v>
      </c>
      <c r="T3933" t="s">
        <v>49107</v>
      </c>
      <c r="U3933" t="s">
        <v>52995</v>
      </c>
      <c r="W3933" t="s">
        <v>44710</v>
      </c>
      <c r="X3933" t="s">
        <v>47432</v>
      </c>
    </row>
    <row r="3934" spans="1:24">
      <c r="A3934">
        <f>HYPERLINK("https://www.philgeps.gov.ph/GEPSNONPILOT/Tender/SplashBidNoticeAbstractUI.aspx?menuIndex=3&amp;refID=7157071&amp;Result=3","7157071")</f>
        <v>0</v>
      </c>
      <c r="B3934" t="s">
        <v>67</v>
      </c>
      <c r="C3934" t="s">
        <v>7636</v>
      </c>
      <c r="D3934" t="s">
        <v>19099</v>
      </c>
      <c r="E3934" t="s">
        <v>22621</v>
      </c>
      <c r="F3934" t="s">
        <v>32831</v>
      </c>
      <c r="G3934" t="s">
        <v>32839</v>
      </c>
      <c r="H3934" t="s">
        <v>32848</v>
      </c>
      <c r="I3934" t="s">
        <v>32886</v>
      </c>
      <c r="J3934" t="s">
        <v>33257</v>
      </c>
      <c r="K3934" t="s">
        <v>42729</v>
      </c>
      <c r="M3934" t="s">
        <v>44711</v>
      </c>
      <c r="N3934" t="s">
        <v>47424</v>
      </c>
      <c r="O3934" t="s">
        <v>47425</v>
      </c>
      <c r="P3934">
        <v>0</v>
      </c>
      <c r="Q3934">
        <v>1</v>
      </c>
      <c r="R3934" t="s">
        <v>47430</v>
      </c>
      <c r="S3934" t="s">
        <v>47549</v>
      </c>
      <c r="T3934" t="s">
        <v>49334</v>
      </c>
      <c r="U3934" t="s">
        <v>52996</v>
      </c>
      <c r="W3934" t="s">
        <v>44711</v>
      </c>
      <c r="X3934" t="s">
        <v>47432</v>
      </c>
    </row>
    <row r="3935" spans="1:24">
      <c r="A3935">
        <f>HYPERLINK("https://www.philgeps.gov.ph/GEPSNONPILOT/Tender/SplashBidNoticeAbstractUI.aspx?menuIndex=3&amp;refID=7157064&amp;Result=3","7157064")</f>
        <v>0</v>
      </c>
      <c r="B3935" t="s">
        <v>1597</v>
      </c>
      <c r="C3935" t="s">
        <v>7637</v>
      </c>
      <c r="D3935" t="s">
        <v>19031</v>
      </c>
      <c r="E3935" t="s">
        <v>22622</v>
      </c>
      <c r="F3935" t="s">
        <v>32831</v>
      </c>
      <c r="G3935" t="s">
        <v>32839</v>
      </c>
      <c r="H3935" t="s">
        <v>32849</v>
      </c>
      <c r="I3935" t="s">
        <v>4177</v>
      </c>
      <c r="J3935" t="s">
        <v>35561</v>
      </c>
      <c r="K3935" t="s">
        <v>42729</v>
      </c>
      <c r="M3935" t="s">
        <v>44712</v>
      </c>
      <c r="N3935" t="s">
        <v>47424</v>
      </c>
      <c r="O3935" t="s">
        <v>47425</v>
      </c>
      <c r="P3935">
        <v>0</v>
      </c>
      <c r="Q3935">
        <v>0</v>
      </c>
      <c r="R3935" t="s">
        <v>47430</v>
      </c>
      <c r="S3935" t="s">
        <v>47549</v>
      </c>
      <c r="T3935" t="s">
        <v>49069</v>
      </c>
      <c r="U3935" t="s">
        <v>52997</v>
      </c>
      <c r="V3935" t="s">
        <v>63051</v>
      </c>
      <c r="W3935" t="s">
        <v>44712</v>
      </c>
      <c r="X3935" t="s">
        <v>47432</v>
      </c>
    </row>
    <row r="3936" spans="1:24">
      <c r="A3936">
        <f>HYPERLINK("https://www.philgeps.gov.ph/GEPSNONPILOT/Tender/SplashBidNoticeAbstractUI.aspx?menuIndex=3&amp;refID=7157051&amp;Result=3","7157051")</f>
        <v>0</v>
      </c>
      <c r="B3936" t="s">
        <v>1598</v>
      </c>
      <c r="C3936" t="s">
        <v>7638</v>
      </c>
      <c r="D3936" t="s">
        <v>19038</v>
      </c>
      <c r="E3936" t="s">
        <v>19203</v>
      </c>
      <c r="F3936" t="s">
        <v>32831</v>
      </c>
      <c r="G3936" t="s">
        <v>32839</v>
      </c>
      <c r="H3936" t="s">
        <v>32848</v>
      </c>
      <c r="I3936" t="s">
        <v>32858</v>
      </c>
      <c r="J3936" t="s">
        <v>33626</v>
      </c>
      <c r="K3936" t="s">
        <v>42727</v>
      </c>
      <c r="M3936" t="s">
        <v>44713</v>
      </c>
      <c r="N3936" t="s">
        <v>47424</v>
      </c>
      <c r="O3936" t="s">
        <v>47425</v>
      </c>
      <c r="P3936">
        <v>0</v>
      </c>
      <c r="Q3936">
        <v>0</v>
      </c>
      <c r="R3936" t="s">
        <v>47430</v>
      </c>
      <c r="S3936" t="s">
        <v>47549</v>
      </c>
      <c r="T3936" t="s">
        <v>49259</v>
      </c>
      <c r="U3936" t="s">
        <v>52998</v>
      </c>
      <c r="W3936" t="s">
        <v>44713</v>
      </c>
      <c r="X3936" t="s">
        <v>47432</v>
      </c>
    </row>
    <row r="3937" spans="1:24">
      <c r="A3937">
        <f>HYPERLINK("https://www.philgeps.gov.ph/GEPSNONPILOT/Tender/SplashBidNoticeAbstractUI.aspx?menuIndex=3&amp;refID=7156989&amp;Result=3","7156989")</f>
        <v>0</v>
      </c>
      <c r="B3937" t="s">
        <v>1597</v>
      </c>
      <c r="C3937" t="s">
        <v>7639</v>
      </c>
      <c r="D3937" t="s">
        <v>19031</v>
      </c>
      <c r="E3937" t="s">
        <v>22623</v>
      </c>
      <c r="F3937" t="s">
        <v>32831</v>
      </c>
      <c r="G3937" t="s">
        <v>32839</v>
      </c>
      <c r="H3937" t="s">
        <v>32849</v>
      </c>
      <c r="I3937" t="s">
        <v>4177</v>
      </c>
      <c r="J3937" t="s">
        <v>35562</v>
      </c>
      <c r="K3937" t="s">
        <v>42730</v>
      </c>
      <c r="M3937" t="s">
        <v>44712</v>
      </c>
      <c r="N3937" t="s">
        <v>47424</v>
      </c>
      <c r="O3937" t="s">
        <v>47425</v>
      </c>
      <c r="P3937">
        <v>0</v>
      </c>
      <c r="Q3937">
        <v>0</v>
      </c>
      <c r="R3937" t="s">
        <v>47430</v>
      </c>
      <c r="S3937" t="s">
        <v>47549</v>
      </c>
      <c r="T3937" t="s">
        <v>49069</v>
      </c>
      <c r="U3937" t="s">
        <v>52997</v>
      </c>
      <c r="V3937" t="s">
        <v>63051</v>
      </c>
      <c r="W3937" t="s">
        <v>44712</v>
      </c>
      <c r="X3937" t="s">
        <v>47432</v>
      </c>
    </row>
    <row r="3938" spans="1:24">
      <c r="A3938">
        <f>HYPERLINK("https://www.philgeps.gov.ph/GEPSNONPILOT/Tender/SplashBidNoticeAbstractUI.aspx?menuIndex=3&amp;refID=7156958&amp;Result=3","7156958")</f>
        <v>0</v>
      </c>
      <c r="B3938" t="s">
        <v>1599</v>
      </c>
      <c r="C3938" t="s">
        <v>7640</v>
      </c>
      <c r="D3938" t="s">
        <v>19017</v>
      </c>
      <c r="E3938" t="s">
        <v>21896</v>
      </c>
      <c r="F3938" t="s">
        <v>32831</v>
      </c>
      <c r="G3938" t="s">
        <v>32839</v>
      </c>
      <c r="H3938" t="s">
        <v>32848</v>
      </c>
      <c r="I3938" t="s">
        <v>4438</v>
      </c>
      <c r="J3938" t="s">
        <v>35563</v>
      </c>
      <c r="K3938" t="s">
        <v>42748</v>
      </c>
      <c r="M3938" t="s">
        <v>44714</v>
      </c>
      <c r="N3938" t="s">
        <v>47424</v>
      </c>
      <c r="O3938" t="s">
        <v>47425</v>
      </c>
      <c r="P3938">
        <v>0</v>
      </c>
      <c r="Q3938">
        <v>3</v>
      </c>
      <c r="R3938" t="s">
        <v>47430</v>
      </c>
      <c r="S3938" t="s">
        <v>47549</v>
      </c>
      <c r="T3938" t="s">
        <v>49106</v>
      </c>
      <c r="U3938" t="s">
        <v>52999</v>
      </c>
      <c r="W3938" t="s">
        <v>44714</v>
      </c>
      <c r="X3938" t="s">
        <v>47432</v>
      </c>
    </row>
    <row r="3939" spans="1:24">
      <c r="A3939">
        <f>HYPERLINK("https://www.philgeps.gov.ph/GEPSNONPILOT/Tender/SplashBidNoticeAbstractUI.aspx?menuIndex=3&amp;refID=7155629&amp;Result=3","7155629")</f>
        <v>0</v>
      </c>
      <c r="B3939" t="s">
        <v>49</v>
      </c>
      <c r="C3939" t="s">
        <v>7641</v>
      </c>
      <c r="D3939" t="s">
        <v>19037</v>
      </c>
      <c r="E3939" t="s">
        <v>22624</v>
      </c>
      <c r="F3939" t="s">
        <v>32831</v>
      </c>
      <c r="G3939" t="s">
        <v>32839</v>
      </c>
      <c r="H3939" t="s">
        <v>32848</v>
      </c>
      <c r="I3939" t="s">
        <v>4776</v>
      </c>
      <c r="J3939" t="s">
        <v>33364</v>
      </c>
      <c r="K3939" t="s">
        <v>42750</v>
      </c>
      <c r="M3939" t="s">
        <v>44702</v>
      </c>
      <c r="N3939" t="s">
        <v>47424</v>
      </c>
      <c r="O3939" t="s">
        <v>47425</v>
      </c>
      <c r="P3939">
        <v>0</v>
      </c>
      <c r="Q3939">
        <v>0</v>
      </c>
      <c r="R3939" t="s">
        <v>47430</v>
      </c>
      <c r="S3939" t="s">
        <v>47549</v>
      </c>
      <c r="T3939" t="s">
        <v>49179</v>
      </c>
      <c r="U3939" t="s">
        <v>53000</v>
      </c>
      <c r="V3939" t="s">
        <v>62630</v>
      </c>
      <c r="W3939" t="s">
        <v>44702</v>
      </c>
      <c r="X3939" t="s">
        <v>47432</v>
      </c>
    </row>
    <row r="3940" spans="1:24">
      <c r="A3940">
        <f>HYPERLINK("https://www.philgeps.gov.ph/GEPSNONPILOT/Tender/SplashBidNoticeAbstractUI.aspx?menuIndex=3&amp;refID=7155598&amp;Result=3","7155598")</f>
        <v>0</v>
      </c>
      <c r="B3940" t="s">
        <v>1023</v>
      </c>
      <c r="C3940" t="s">
        <v>7642</v>
      </c>
      <c r="D3940" t="s">
        <v>19020</v>
      </c>
      <c r="E3940" t="s">
        <v>22625</v>
      </c>
      <c r="F3940" t="s">
        <v>32831</v>
      </c>
      <c r="G3940" t="s">
        <v>32838</v>
      </c>
      <c r="H3940" t="s">
        <v>32848</v>
      </c>
      <c r="I3940" t="s">
        <v>32860</v>
      </c>
      <c r="J3940" t="s">
        <v>35564</v>
      </c>
      <c r="K3940" t="s">
        <v>42727</v>
      </c>
      <c r="M3940" t="s">
        <v>44073</v>
      </c>
      <c r="N3940" t="s">
        <v>47424</v>
      </c>
      <c r="O3940" t="s">
        <v>47425</v>
      </c>
      <c r="P3940">
        <v>0</v>
      </c>
      <c r="Q3940">
        <v>9</v>
      </c>
      <c r="R3940" t="s">
        <v>47430</v>
      </c>
      <c r="S3940" t="s">
        <v>47549</v>
      </c>
      <c r="T3940" t="s">
        <v>49107</v>
      </c>
      <c r="U3940" t="s">
        <v>53001</v>
      </c>
      <c r="W3940" t="s">
        <v>44073</v>
      </c>
      <c r="X3940" t="s">
        <v>47432</v>
      </c>
    </row>
    <row r="3941" spans="1:24">
      <c r="A3941">
        <f>HYPERLINK("https://www.philgeps.gov.ph/GEPSNONPILOT/Tender/SplashBidNoticeAbstractUI.aspx?menuIndex=3&amp;refID=7157059&amp;Result=3","7157059")</f>
        <v>0</v>
      </c>
      <c r="B3941" t="s">
        <v>1256</v>
      </c>
      <c r="C3941" t="s">
        <v>7643</v>
      </c>
      <c r="D3941" t="s">
        <v>19033</v>
      </c>
      <c r="E3941" t="s">
        <v>22626</v>
      </c>
      <c r="F3941" t="s">
        <v>32831</v>
      </c>
      <c r="G3941" t="s">
        <v>32838</v>
      </c>
      <c r="H3941" t="s">
        <v>32848</v>
      </c>
      <c r="I3941" t="s">
        <v>4438</v>
      </c>
      <c r="J3941" t="s">
        <v>33624</v>
      </c>
      <c r="K3941" t="s">
        <v>42730</v>
      </c>
      <c r="M3941" t="s">
        <v>44326</v>
      </c>
      <c r="N3941" t="s">
        <v>47424</v>
      </c>
      <c r="O3941" t="s">
        <v>47425</v>
      </c>
      <c r="P3941">
        <v>0</v>
      </c>
      <c r="Q3941">
        <v>4</v>
      </c>
      <c r="R3941" t="s">
        <v>47430</v>
      </c>
      <c r="S3941" t="s">
        <v>47549</v>
      </c>
      <c r="T3941" t="s">
        <v>49212</v>
      </c>
      <c r="U3941" t="s">
        <v>53002</v>
      </c>
      <c r="W3941" t="s">
        <v>44326</v>
      </c>
      <c r="X3941" t="s">
        <v>47432</v>
      </c>
    </row>
    <row r="3942" spans="1:24">
      <c r="A3942">
        <f>HYPERLINK("https://www.philgeps.gov.ph/GEPSNONPILOT/Tender/SplashBidNoticeAbstractUI.aspx?menuIndex=3&amp;refID=7156686&amp;Result=3","7156686")</f>
        <v>0</v>
      </c>
      <c r="B3942" t="s">
        <v>1196</v>
      </c>
      <c r="C3942" t="s">
        <v>7644</v>
      </c>
      <c r="D3942" t="s">
        <v>19043</v>
      </c>
      <c r="E3942" t="s">
        <v>22627</v>
      </c>
      <c r="F3942" t="s">
        <v>32831</v>
      </c>
      <c r="G3942" t="s">
        <v>32839</v>
      </c>
      <c r="H3942" t="s">
        <v>32849</v>
      </c>
      <c r="I3942" t="s">
        <v>4177</v>
      </c>
      <c r="J3942" t="s">
        <v>35565</v>
      </c>
      <c r="K3942" t="s">
        <v>42732</v>
      </c>
      <c r="M3942" t="s">
        <v>44262</v>
      </c>
      <c r="N3942" t="s">
        <v>47424</v>
      </c>
      <c r="O3942" t="s">
        <v>47425</v>
      </c>
      <c r="P3942">
        <v>0</v>
      </c>
      <c r="Q3942">
        <v>0</v>
      </c>
      <c r="R3942" t="s">
        <v>47430</v>
      </c>
      <c r="S3942" t="s">
        <v>47549</v>
      </c>
      <c r="T3942" t="s">
        <v>49123</v>
      </c>
      <c r="U3942" t="s">
        <v>53003</v>
      </c>
      <c r="W3942" t="s">
        <v>44262</v>
      </c>
      <c r="X3942" t="s">
        <v>47432</v>
      </c>
    </row>
    <row r="3943" spans="1:24">
      <c r="A3943">
        <f>HYPERLINK("https://www.philgeps.gov.ph/GEPSNONPILOT/Tender/SplashBidNoticeAbstractUI.aspx?menuIndex=3&amp;refID=7155327&amp;Result=3","7155327")</f>
        <v>0</v>
      </c>
      <c r="B3943" t="s">
        <v>49</v>
      </c>
      <c r="C3943" t="s">
        <v>7645</v>
      </c>
      <c r="D3943" t="s">
        <v>19037</v>
      </c>
      <c r="E3943" t="s">
        <v>22628</v>
      </c>
      <c r="F3943" t="s">
        <v>32831</v>
      </c>
      <c r="G3943" t="s">
        <v>32839</v>
      </c>
      <c r="H3943" t="s">
        <v>32848</v>
      </c>
      <c r="I3943" t="s">
        <v>4558</v>
      </c>
      <c r="J3943" t="s">
        <v>35566</v>
      </c>
      <c r="K3943" t="s">
        <v>42750</v>
      </c>
      <c r="M3943" t="s">
        <v>44702</v>
      </c>
      <c r="N3943" t="s">
        <v>47424</v>
      </c>
      <c r="O3943" t="s">
        <v>47425</v>
      </c>
      <c r="P3943">
        <v>0</v>
      </c>
      <c r="Q3943">
        <v>1</v>
      </c>
      <c r="R3943" t="s">
        <v>47430</v>
      </c>
      <c r="S3943" t="s">
        <v>47549</v>
      </c>
      <c r="T3943" t="s">
        <v>49063</v>
      </c>
      <c r="U3943" t="s">
        <v>53004</v>
      </c>
      <c r="V3943" t="s">
        <v>62630</v>
      </c>
      <c r="W3943" t="s">
        <v>44702</v>
      </c>
      <c r="X3943" t="s">
        <v>47432</v>
      </c>
    </row>
    <row r="3944" spans="1:24">
      <c r="A3944">
        <f>HYPERLINK("https://www.philgeps.gov.ph/GEPSNONPILOT/Tender/SplashBidNoticeAbstractUI.aspx?menuIndex=3&amp;refID=7156935&amp;Result=3","7156935")</f>
        <v>0</v>
      </c>
      <c r="B3944" t="s">
        <v>67</v>
      </c>
      <c r="C3944" t="s">
        <v>7646</v>
      </c>
      <c r="D3944" t="s">
        <v>19079</v>
      </c>
      <c r="E3944" t="s">
        <v>22629</v>
      </c>
      <c r="F3944" t="s">
        <v>32831</v>
      </c>
      <c r="G3944" t="s">
        <v>32839</v>
      </c>
      <c r="H3944" t="s">
        <v>32848</v>
      </c>
      <c r="I3944" t="s">
        <v>32852</v>
      </c>
      <c r="J3944" t="s">
        <v>33794</v>
      </c>
      <c r="K3944" t="s">
        <v>42729</v>
      </c>
      <c r="M3944" t="s">
        <v>44711</v>
      </c>
      <c r="N3944" t="s">
        <v>47424</v>
      </c>
      <c r="O3944" t="s">
        <v>47425</v>
      </c>
      <c r="P3944">
        <v>0</v>
      </c>
      <c r="Q3944">
        <v>3</v>
      </c>
      <c r="R3944" t="s">
        <v>47430</v>
      </c>
      <c r="S3944" t="s">
        <v>47549</v>
      </c>
      <c r="T3944" t="s">
        <v>49334</v>
      </c>
      <c r="U3944" t="s">
        <v>53005</v>
      </c>
      <c r="W3944" t="s">
        <v>44711</v>
      </c>
      <c r="X3944" t="s">
        <v>47432</v>
      </c>
    </row>
    <row r="3945" spans="1:24">
      <c r="A3945">
        <f>HYPERLINK("https://www.philgeps.gov.ph/GEPSNONPILOT/Tender/SplashBidNoticeAbstractUI.aspx?menuIndex=3&amp;refID=7156639&amp;Result=3","7156639")</f>
        <v>0</v>
      </c>
      <c r="B3945" t="s">
        <v>1196</v>
      </c>
      <c r="C3945" t="s">
        <v>7647</v>
      </c>
      <c r="D3945" t="s">
        <v>19043</v>
      </c>
      <c r="E3945" t="s">
        <v>22630</v>
      </c>
      <c r="F3945" t="s">
        <v>32831</v>
      </c>
      <c r="G3945" t="s">
        <v>32839</v>
      </c>
      <c r="H3945" t="s">
        <v>32848</v>
      </c>
      <c r="I3945" t="s">
        <v>32892</v>
      </c>
      <c r="J3945" t="s">
        <v>35567</v>
      </c>
      <c r="K3945" t="s">
        <v>42732</v>
      </c>
      <c r="M3945" t="s">
        <v>44262</v>
      </c>
      <c r="N3945" t="s">
        <v>47424</v>
      </c>
      <c r="O3945" t="s">
        <v>47425</v>
      </c>
      <c r="P3945">
        <v>0</v>
      </c>
      <c r="Q3945">
        <v>2</v>
      </c>
      <c r="R3945" t="s">
        <v>47430</v>
      </c>
      <c r="S3945" t="s">
        <v>47549</v>
      </c>
      <c r="T3945" t="s">
        <v>49123</v>
      </c>
      <c r="U3945" t="s">
        <v>53006</v>
      </c>
      <c r="W3945" t="s">
        <v>44262</v>
      </c>
      <c r="X3945" t="s">
        <v>47432</v>
      </c>
    </row>
    <row r="3946" spans="1:24">
      <c r="A3946">
        <f>HYPERLINK("https://www.philgeps.gov.ph/GEPSNONPILOT/Tender/SplashBidNoticeAbstractUI.aspx?menuIndex=3&amp;refID=7156894&amp;Result=3","7156894")</f>
        <v>0</v>
      </c>
      <c r="B3946" t="s">
        <v>1600</v>
      </c>
      <c r="C3946" t="s">
        <v>7648</v>
      </c>
      <c r="D3946" t="s">
        <v>19077</v>
      </c>
      <c r="E3946" t="s">
        <v>22631</v>
      </c>
      <c r="F3946" t="s">
        <v>32831</v>
      </c>
      <c r="G3946" t="s">
        <v>32838</v>
      </c>
      <c r="H3946" t="s">
        <v>32848</v>
      </c>
      <c r="I3946" t="s">
        <v>32870</v>
      </c>
      <c r="J3946" t="s">
        <v>35568</v>
      </c>
      <c r="K3946" t="s">
        <v>42731</v>
      </c>
      <c r="M3946" t="s">
        <v>44715</v>
      </c>
      <c r="N3946" t="s">
        <v>47424</v>
      </c>
      <c r="O3946" t="s">
        <v>47425</v>
      </c>
      <c r="P3946">
        <v>0</v>
      </c>
      <c r="Q3946">
        <v>0</v>
      </c>
      <c r="R3946" t="s">
        <v>47430</v>
      </c>
      <c r="S3946" t="s">
        <v>47549</v>
      </c>
      <c r="T3946" t="s">
        <v>49145</v>
      </c>
      <c r="U3946" t="s">
        <v>53007</v>
      </c>
      <c r="V3946" t="s">
        <v>63052</v>
      </c>
      <c r="W3946" t="s">
        <v>44715</v>
      </c>
      <c r="X3946" t="s">
        <v>47432</v>
      </c>
    </row>
    <row r="3947" spans="1:24">
      <c r="A3947">
        <f>HYPERLINK("https://www.philgeps.gov.ph/GEPSNONPILOT/Tender/SplashBidNoticeAbstractUI.aspx?menuIndex=3&amp;refID=7154508&amp;Result=3","7154508")</f>
        <v>0</v>
      </c>
      <c r="B3947" t="s">
        <v>1571</v>
      </c>
      <c r="C3947" t="s">
        <v>7649</v>
      </c>
      <c r="D3947" t="s">
        <v>19060</v>
      </c>
      <c r="E3947" t="s">
        <v>22632</v>
      </c>
      <c r="F3947" t="s">
        <v>32831</v>
      </c>
      <c r="G3947" t="s">
        <v>32839</v>
      </c>
      <c r="H3947" t="s">
        <v>32848</v>
      </c>
      <c r="I3947" t="s">
        <v>4558</v>
      </c>
      <c r="J3947" t="s">
        <v>35569</v>
      </c>
      <c r="K3947" t="s">
        <v>42727</v>
      </c>
      <c r="M3947" t="s">
        <v>44680</v>
      </c>
      <c r="N3947" t="s">
        <v>47424</v>
      </c>
      <c r="O3947" t="s">
        <v>47425</v>
      </c>
      <c r="P3947">
        <v>0</v>
      </c>
      <c r="Q3947">
        <v>1</v>
      </c>
      <c r="R3947" t="s">
        <v>47430</v>
      </c>
      <c r="S3947" t="s">
        <v>47549</v>
      </c>
      <c r="T3947" t="s">
        <v>49359</v>
      </c>
      <c r="U3947" t="s">
        <v>53008</v>
      </c>
      <c r="V3947" t="s">
        <v>63042</v>
      </c>
      <c r="W3947" t="s">
        <v>44680</v>
      </c>
      <c r="X3947" t="s">
        <v>47433</v>
      </c>
    </row>
    <row r="3948" spans="1:24">
      <c r="A3948">
        <f>HYPERLINK("https://www.philgeps.gov.ph/GEPSNONPILOT/Tender/SplashBidNoticeAbstractUI.aspx?menuIndex=3&amp;refID=7157424&amp;Result=3","7157424")</f>
        <v>0</v>
      </c>
      <c r="B3948" t="s">
        <v>67</v>
      </c>
      <c r="C3948" t="s">
        <v>7650</v>
      </c>
      <c r="D3948" t="s">
        <v>19079</v>
      </c>
      <c r="E3948" t="s">
        <v>22633</v>
      </c>
      <c r="F3948" t="s">
        <v>32831</v>
      </c>
      <c r="G3948" t="s">
        <v>32839</v>
      </c>
      <c r="H3948" t="s">
        <v>32848</v>
      </c>
      <c r="I3948" t="s">
        <v>32918</v>
      </c>
      <c r="J3948" t="s">
        <v>33016</v>
      </c>
      <c r="K3948" t="s">
        <v>42729</v>
      </c>
      <c r="M3948" t="s">
        <v>44711</v>
      </c>
      <c r="N3948" t="s">
        <v>47424</v>
      </c>
      <c r="O3948" t="s">
        <v>47425</v>
      </c>
      <c r="P3948">
        <v>0</v>
      </c>
      <c r="Q3948">
        <v>5</v>
      </c>
      <c r="R3948" t="s">
        <v>47430</v>
      </c>
      <c r="S3948" t="s">
        <v>47549</v>
      </c>
      <c r="T3948" t="s">
        <v>49334</v>
      </c>
      <c r="U3948" t="s">
        <v>53009</v>
      </c>
      <c r="W3948" t="s">
        <v>44711</v>
      </c>
      <c r="X3948" t="s">
        <v>47432</v>
      </c>
    </row>
    <row r="3949" spans="1:24">
      <c r="A3949">
        <f>HYPERLINK("https://www.philgeps.gov.ph/GEPSNONPILOT/Tender/SplashBidNoticeAbstractUI.aspx?menuIndex=3&amp;refID=7157416&amp;Result=3","7157416")</f>
        <v>0</v>
      </c>
      <c r="B3949" t="s">
        <v>49</v>
      </c>
      <c r="C3949" t="s">
        <v>7651</v>
      </c>
      <c r="D3949" t="s">
        <v>19037</v>
      </c>
      <c r="E3949" t="s">
        <v>22634</v>
      </c>
      <c r="F3949" t="s">
        <v>32831</v>
      </c>
      <c r="G3949" t="s">
        <v>32839</v>
      </c>
      <c r="H3949" t="s">
        <v>32848</v>
      </c>
      <c r="I3949" t="s">
        <v>9577</v>
      </c>
      <c r="J3949" t="s">
        <v>35570</v>
      </c>
      <c r="K3949" t="s">
        <v>42750</v>
      </c>
      <c r="M3949" t="s">
        <v>43046</v>
      </c>
      <c r="N3949" t="s">
        <v>47424</v>
      </c>
      <c r="O3949" t="s">
        <v>47425</v>
      </c>
      <c r="P3949">
        <v>0</v>
      </c>
      <c r="Q3949">
        <v>0</v>
      </c>
      <c r="R3949" t="s">
        <v>47430</v>
      </c>
      <c r="S3949" t="s">
        <v>47549</v>
      </c>
      <c r="T3949" t="s">
        <v>49104</v>
      </c>
      <c r="U3949" t="s">
        <v>53010</v>
      </c>
      <c r="V3949" t="s">
        <v>62833</v>
      </c>
      <c r="W3949" t="s">
        <v>43046</v>
      </c>
      <c r="X3949" t="s">
        <v>47432</v>
      </c>
    </row>
    <row r="3950" spans="1:24">
      <c r="A3950">
        <f>HYPERLINK("https://www.philgeps.gov.ph/GEPSNONPILOT/Tender/SplashBidNoticeAbstractUI.aspx?menuIndex=3&amp;refID=7156859&amp;Result=3","7156859")</f>
        <v>0</v>
      </c>
      <c r="B3950" t="s">
        <v>1559</v>
      </c>
      <c r="C3950" t="s">
        <v>7652</v>
      </c>
      <c r="D3950" t="s">
        <v>19027</v>
      </c>
      <c r="E3950" t="s">
        <v>22635</v>
      </c>
      <c r="F3950" t="s">
        <v>32831</v>
      </c>
      <c r="G3950" t="s">
        <v>32840</v>
      </c>
      <c r="H3950" t="s">
        <v>32848</v>
      </c>
      <c r="I3950" t="s">
        <v>32855</v>
      </c>
      <c r="J3950" t="s">
        <v>33334</v>
      </c>
      <c r="K3950" t="s">
        <v>42730</v>
      </c>
      <c r="M3950" t="s">
        <v>44667</v>
      </c>
      <c r="N3950" t="s">
        <v>47424</v>
      </c>
      <c r="O3950" t="s">
        <v>47425</v>
      </c>
      <c r="P3950">
        <v>0</v>
      </c>
      <c r="Q3950">
        <v>4</v>
      </c>
      <c r="R3950" t="s">
        <v>47430</v>
      </c>
      <c r="S3950" t="s">
        <v>47549</v>
      </c>
      <c r="T3950" t="s">
        <v>49089</v>
      </c>
      <c r="U3950" t="s">
        <v>53011</v>
      </c>
      <c r="W3950" t="s">
        <v>44667</v>
      </c>
      <c r="X3950" t="s">
        <v>47432</v>
      </c>
    </row>
    <row r="3951" spans="1:24">
      <c r="A3951">
        <f>HYPERLINK("https://www.philgeps.gov.ph/GEPSNONPILOT/Tender/SplashBidNoticeAbstractUI.aspx?menuIndex=3&amp;refID=7156814&amp;Result=3","7156814")</f>
        <v>0</v>
      </c>
      <c r="B3951" t="s">
        <v>253</v>
      </c>
      <c r="C3951" t="s">
        <v>7653</v>
      </c>
      <c r="E3951" t="s">
        <v>22636</v>
      </c>
      <c r="F3951" t="s">
        <v>32831</v>
      </c>
      <c r="G3951" t="s">
        <v>32839</v>
      </c>
      <c r="H3951" t="s">
        <v>32849</v>
      </c>
      <c r="I3951" t="s">
        <v>4177</v>
      </c>
      <c r="J3951" t="s">
        <v>35571</v>
      </c>
      <c r="K3951" t="s">
        <v>42729</v>
      </c>
      <c r="M3951" t="s">
        <v>43252</v>
      </c>
      <c r="N3951" t="s">
        <v>47424</v>
      </c>
      <c r="O3951" t="s">
        <v>47425</v>
      </c>
      <c r="P3951">
        <v>0</v>
      </c>
      <c r="Q3951">
        <v>0</v>
      </c>
      <c r="R3951" t="s">
        <v>47430</v>
      </c>
      <c r="S3951" t="s">
        <v>47549</v>
      </c>
      <c r="T3951" t="s">
        <v>49216</v>
      </c>
      <c r="U3951" t="s">
        <v>53012</v>
      </c>
      <c r="W3951" t="s">
        <v>43252</v>
      </c>
      <c r="X3951" t="s">
        <v>47432</v>
      </c>
    </row>
    <row r="3952" spans="1:24">
      <c r="A3952">
        <f>HYPERLINK("https://www.philgeps.gov.ph/GEPSNONPILOT/Tender/SplashBidNoticeAbstractUI.aspx?menuIndex=3&amp;refID=7156439&amp;Result=3","7156439")</f>
        <v>0</v>
      </c>
      <c r="B3952" t="s">
        <v>1444</v>
      </c>
      <c r="C3952" t="s">
        <v>7654</v>
      </c>
      <c r="D3952" t="s">
        <v>19080</v>
      </c>
      <c r="E3952" t="s">
        <v>22637</v>
      </c>
      <c r="F3952" t="s">
        <v>32831</v>
      </c>
      <c r="G3952" t="s">
        <v>32839</v>
      </c>
      <c r="H3952" t="s">
        <v>32848</v>
      </c>
      <c r="I3952" t="s">
        <v>32860</v>
      </c>
      <c r="J3952" t="s">
        <v>35572</v>
      </c>
      <c r="K3952" t="s">
        <v>42750</v>
      </c>
      <c r="M3952" t="s">
        <v>44536</v>
      </c>
      <c r="N3952" t="s">
        <v>47424</v>
      </c>
      <c r="O3952" t="s">
        <v>47425</v>
      </c>
      <c r="P3952">
        <v>0</v>
      </c>
      <c r="Q3952">
        <v>1</v>
      </c>
      <c r="R3952" t="s">
        <v>47430</v>
      </c>
      <c r="S3952" t="s">
        <v>47549</v>
      </c>
      <c r="T3952" t="s">
        <v>49276</v>
      </c>
      <c r="U3952" t="s">
        <v>53013</v>
      </c>
      <c r="W3952" t="s">
        <v>44536</v>
      </c>
      <c r="X3952" t="s">
        <v>47432</v>
      </c>
    </row>
    <row r="3953" spans="1:24">
      <c r="A3953">
        <f>HYPERLINK("https://www.philgeps.gov.ph/GEPSNONPILOT/Tender/SplashBidNoticeAbstractUI.aspx?menuIndex=3&amp;refID=7157301&amp;Result=3","7157301")</f>
        <v>0</v>
      </c>
      <c r="B3953" t="s">
        <v>67</v>
      </c>
      <c r="C3953" t="s">
        <v>7655</v>
      </c>
      <c r="D3953" t="s">
        <v>19079</v>
      </c>
      <c r="E3953" t="s">
        <v>22638</v>
      </c>
      <c r="F3953" t="s">
        <v>32831</v>
      </c>
      <c r="G3953" t="s">
        <v>32839</v>
      </c>
      <c r="H3953" t="s">
        <v>32848</v>
      </c>
      <c r="I3953" t="s">
        <v>32886</v>
      </c>
      <c r="J3953" t="s">
        <v>35573</v>
      </c>
      <c r="K3953" t="s">
        <v>42729</v>
      </c>
      <c r="M3953" t="s">
        <v>44711</v>
      </c>
      <c r="N3953" t="s">
        <v>47424</v>
      </c>
      <c r="O3953" t="s">
        <v>47425</v>
      </c>
      <c r="P3953">
        <v>0</v>
      </c>
      <c r="Q3953">
        <v>3</v>
      </c>
      <c r="R3953" t="s">
        <v>47430</v>
      </c>
      <c r="S3953" t="s">
        <v>47549</v>
      </c>
      <c r="T3953" t="s">
        <v>49334</v>
      </c>
      <c r="U3953" t="s">
        <v>53014</v>
      </c>
      <c r="W3953" t="s">
        <v>44711</v>
      </c>
      <c r="X3953" t="s">
        <v>47432</v>
      </c>
    </row>
    <row r="3954" spans="1:24">
      <c r="A3954">
        <f>HYPERLINK("https://www.philgeps.gov.ph/GEPSNONPILOT/Tender/SplashBidNoticeAbstractUI.aspx?menuIndex=3&amp;refID=7157411&amp;Result=3","7157411")</f>
        <v>0</v>
      </c>
      <c r="B3954" t="s">
        <v>1601</v>
      </c>
      <c r="C3954" t="s">
        <v>7656</v>
      </c>
      <c r="D3954" t="s">
        <v>19053</v>
      </c>
      <c r="E3954" t="s">
        <v>22639</v>
      </c>
      <c r="F3954" t="s">
        <v>32831</v>
      </c>
      <c r="G3954" t="s">
        <v>32838</v>
      </c>
      <c r="H3954" t="s">
        <v>14069</v>
      </c>
      <c r="I3954" t="s">
        <v>14069</v>
      </c>
      <c r="J3954" t="s">
        <v>33072</v>
      </c>
      <c r="K3954" t="s">
        <v>42731</v>
      </c>
      <c r="M3954" t="s">
        <v>44716</v>
      </c>
      <c r="N3954" t="s">
        <v>47424</v>
      </c>
      <c r="O3954" t="s">
        <v>47425</v>
      </c>
      <c r="P3954">
        <v>0</v>
      </c>
      <c r="Q3954">
        <v>0</v>
      </c>
      <c r="R3954" t="s">
        <v>47430</v>
      </c>
      <c r="S3954" t="s">
        <v>47549</v>
      </c>
      <c r="T3954" t="s">
        <v>49073</v>
      </c>
      <c r="U3954" t="s">
        <v>53015</v>
      </c>
      <c r="W3954" t="s">
        <v>44716</v>
      </c>
      <c r="X3954" t="s">
        <v>47432</v>
      </c>
    </row>
    <row r="3955" spans="1:24">
      <c r="A3955">
        <f>HYPERLINK("https://www.philgeps.gov.ph/GEPSNONPILOT/Tender/SplashBidNoticeAbstractUI.aspx?menuIndex=3&amp;refID=7157328&amp;Result=3","7157328")</f>
        <v>0</v>
      </c>
      <c r="B3955" t="s">
        <v>1542</v>
      </c>
      <c r="C3955" t="s">
        <v>7657</v>
      </c>
      <c r="D3955" t="s">
        <v>19075</v>
      </c>
      <c r="E3955" t="s">
        <v>22640</v>
      </c>
      <c r="F3955" t="s">
        <v>32831</v>
      </c>
      <c r="G3955" t="s">
        <v>32839</v>
      </c>
      <c r="H3955" t="s">
        <v>32848</v>
      </c>
      <c r="I3955" t="s">
        <v>7416</v>
      </c>
      <c r="J3955" t="s">
        <v>35574</v>
      </c>
      <c r="K3955" t="s">
        <v>42731</v>
      </c>
      <c r="M3955" t="s">
        <v>44646</v>
      </c>
      <c r="N3955" t="s">
        <v>47424</v>
      </c>
      <c r="O3955" t="s">
        <v>47425</v>
      </c>
      <c r="P3955">
        <v>0</v>
      </c>
      <c r="Q3955">
        <v>4</v>
      </c>
      <c r="R3955" t="s">
        <v>47430</v>
      </c>
      <c r="S3955" t="s">
        <v>47549</v>
      </c>
      <c r="T3955" t="s">
        <v>49070</v>
      </c>
      <c r="U3955" t="s">
        <v>53016</v>
      </c>
      <c r="W3955" t="s">
        <v>44646</v>
      </c>
      <c r="X3955" t="s">
        <v>47432</v>
      </c>
    </row>
    <row r="3956" spans="1:24">
      <c r="A3956">
        <f>HYPERLINK("https://www.philgeps.gov.ph/GEPSNONPILOT/Tender/SplashBidNoticeAbstractUI.aspx?menuIndex=3&amp;refID=7157263&amp;Result=3","7157263")</f>
        <v>0</v>
      </c>
      <c r="B3956" t="s">
        <v>1602</v>
      </c>
      <c r="C3956" t="s">
        <v>7658</v>
      </c>
      <c r="D3956" t="s">
        <v>19023</v>
      </c>
      <c r="E3956" t="s">
        <v>22641</v>
      </c>
      <c r="F3956" t="s">
        <v>32831</v>
      </c>
      <c r="G3956" t="s">
        <v>32839</v>
      </c>
      <c r="H3956" t="s">
        <v>32848</v>
      </c>
      <c r="I3956" t="s">
        <v>32864</v>
      </c>
      <c r="J3956" t="s">
        <v>35575</v>
      </c>
      <c r="K3956" t="s">
        <v>42726</v>
      </c>
      <c r="M3956" t="s">
        <v>44717</v>
      </c>
      <c r="N3956" t="s">
        <v>47424</v>
      </c>
      <c r="O3956" t="s">
        <v>47425</v>
      </c>
      <c r="Q3956">
        <v>7</v>
      </c>
      <c r="R3956" t="s">
        <v>47430</v>
      </c>
      <c r="S3956" t="s">
        <v>47550</v>
      </c>
      <c r="T3956" t="s">
        <v>49104</v>
      </c>
      <c r="U3956" t="s">
        <v>53017</v>
      </c>
      <c r="V3956" t="s">
        <v>63053</v>
      </c>
      <c r="W3956" t="s">
        <v>44717</v>
      </c>
      <c r="X3956" t="s">
        <v>47432</v>
      </c>
    </row>
    <row r="3957" spans="1:24">
      <c r="A3957">
        <f>HYPERLINK("https://www.philgeps.gov.ph/GEPSNONPILOT/Tender/SplashBidNoticeAbstractUI.aspx?menuIndex=3&amp;refID=7157315&amp;Result=3","7157315")</f>
        <v>0</v>
      </c>
      <c r="B3957" t="s">
        <v>1603</v>
      </c>
      <c r="C3957" t="s">
        <v>7659</v>
      </c>
      <c r="D3957" t="s">
        <v>19027</v>
      </c>
      <c r="E3957" t="s">
        <v>22642</v>
      </c>
      <c r="F3957" t="s">
        <v>32831</v>
      </c>
      <c r="G3957" t="s">
        <v>32839</v>
      </c>
      <c r="H3957" t="s">
        <v>32849</v>
      </c>
      <c r="I3957" t="s">
        <v>4177</v>
      </c>
      <c r="J3957" t="s">
        <v>32983</v>
      </c>
      <c r="K3957" t="s">
        <v>42770</v>
      </c>
      <c r="M3957" t="s">
        <v>44718</v>
      </c>
      <c r="N3957" t="s">
        <v>47424</v>
      </c>
      <c r="O3957" t="s">
        <v>47425</v>
      </c>
      <c r="P3957">
        <v>0</v>
      </c>
      <c r="Q3957">
        <v>0</v>
      </c>
      <c r="R3957" t="s">
        <v>47430</v>
      </c>
      <c r="S3957" t="s">
        <v>47549</v>
      </c>
      <c r="T3957" t="s">
        <v>49198</v>
      </c>
      <c r="U3957" t="s">
        <v>53018</v>
      </c>
      <c r="V3957" t="s">
        <v>63054</v>
      </c>
      <c r="W3957" t="s">
        <v>44718</v>
      </c>
      <c r="X3957" t="s">
        <v>47432</v>
      </c>
    </row>
    <row r="3958" spans="1:24">
      <c r="A3958">
        <f>HYPERLINK("https://www.philgeps.gov.ph/GEPSNONPILOT/Tender/SplashBidNoticeAbstractUI.aspx?menuIndex=3&amp;refID=7157242&amp;Result=3","7157242")</f>
        <v>0</v>
      </c>
      <c r="B3958" t="s">
        <v>1597</v>
      </c>
      <c r="C3958" t="s">
        <v>7660</v>
      </c>
      <c r="D3958" t="s">
        <v>19031</v>
      </c>
      <c r="E3958" t="s">
        <v>22643</v>
      </c>
      <c r="F3958" t="s">
        <v>32831</v>
      </c>
      <c r="G3958" t="s">
        <v>32839</v>
      </c>
      <c r="H3958" t="s">
        <v>32848</v>
      </c>
      <c r="I3958" t="s">
        <v>4776</v>
      </c>
      <c r="J3958" t="s">
        <v>34155</v>
      </c>
      <c r="K3958" t="s">
        <v>42745</v>
      </c>
      <c r="M3958" t="s">
        <v>44719</v>
      </c>
      <c r="N3958" t="s">
        <v>47424</v>
      </c>
      <c r="O3958" t="s">
        <v>47425</v>
      </c>
      <c r="P3958">
        <v>0</v>
      </c>
      <c r="Q3958">
        <v>4</v>
      </c>
      <c r="R3958" t="s">
        <v>47430</v>
      </c>
      <c r="S3958" t="s">
        <v>47549</v>
      </c>
      <c r="T3958" t="s">
        <v>49069</v>
      </c>
      <c r="U3958" t="s">
        <v>53019</v>
      </c>
      <c r="V3958" t="s">
        <v>63051</v>
      </c>
      <c r="W3958" t="s">
        <v>44719</v>
      </c>
      <c r="X3958" t="s">
        <v>47432</v>
      </c>
    </row>
    <row r="3959" spans="1:24">
      <c r="A3959">
        <f>HYPERLINK("https://www.philgeps.gov.ph/GEPSNONPILOT/Tender/SplashBidNoticeAbstractUI.aspx?menuIndex=3&amp;refID=7157238&amp;Result=3","7157238")</f>
        <v>0</v>
      </c>
      <c r="B3959" t="s">
        <v>49</v>
      </c>
      <c r="C3959" t="s">
        <v>7661</v>
      </c>
      <c r="D3959" t="s">
        <v>19037</v>
      </c>
      <c r="E3959" t="s">
        <v>22644</v>
      </c>
      <c r="F3959" t="s">
        <v>32831</v>
      </c>
      <c r="G3959" t="s">
        <v>32839</v>
      </c>
      <c r="H3959" t="s">
        <v>32848</v>
      </c>
      <c r="I3959" t="s">
        <v>32867</v>
      </c>
      <c r="J3959" t="s">
        <v>33040</v>
      </c>
      <c r="K3959" t="s">
        <v>42750</v>
      </c>
      <c r="M3959" t="s">
        <v>43046</v>
      </c>
      <c r="N3959" t="s">
        <v>47424</v>
      </c>
      <c r="O3959" t="s">
        <v>47425</v>
      </c>
      <c r="P3959">
        <v>0</v>
      </c>
      <c r="Q3959">
        <v>2</v>
      </c>
      <c r="R3959" t="s">
        <v>47430</v>
      </c>
      <c r="S3959" t="s">
        <v>47549</v>
      </c>
      <c r="T3959" t="s">
        <v>49104</v>
      </c>
      <c r="U3959" t="s">
        <v>53020</v>
      </c>
      <c r="V3959" t="s">
        <v>62833</v>
      </c>
      <c r="W3959" t="s">
        <v>43046</v>
      </c>
      <c r="X3959" t="s">
        <v>47432</v>
      </c>
    </row>
    <row r="3960" spans="1:24">
      <c r="A3960">
        <f>HYPERLINK("https://www.philgeps.gov.ph/GEPSNONPILOT/Tender/SplashBidNoticeAbstractUI.aspx?menuIndex=3&amp;refID=7157293&amp;Result=3","7157293")</f>
        <v>0</v>
      </c>
      <c r="B3960" t="s">
        <v>571</v>
      </c>
      <c r="C3960" t="s">
        <v>7662</v>
      </c>
      <c r="D3960" t="s">
        <v>19027</v>
      </c>
      <c r="E3960" t="s">
        <v>22645</v>
      </c>
      <c r="F3960" t="s">
        <v>32831</v>
      </c>
      <c r="G3960" t="s">
        <v>32840</v>
      </c>
      <c r="H3960" t="s">
        <v>32848</v>
      </c>
      <c r="I3960" t="s">
        <v>4776</v>
      </c>
      <c r="J3960" t="s">
        <v>33057</v>
      </c>
      <c r="K3960" t="s">
        <v>42727</v>
      </c>
      <c r="M3960" t="s">
        <v>43581</v>
      </c>
      <c r="N3960" t="s">
        <v>47424</v>
      </c>
      <c r="O3960" t="s">
        <v>47425</v>
      </c>
      <c r="P3960">
        <v>0</v>
      </c>
      <c r="Q3960">
        <v>1</v>
      </c>
      <c r="R3960" t="s">
        <v>47430</v>
      </c>
      <c r="S3960" t="s">
        <v>47549</v>
      </c>
      <c r="T3960" t="s">
        <v>49079</v>
      </c>
      <c r="U3960" t="s">
        <v>53021</v>
      </c>
      <c r="V3960" t="s">
        <v>62817</v>
      </c>
      <c r="W3960" t="s">
        <v>43581</v>
      </c>
      <c r="X3960" t="s">
        <v>47432</v>
      </c>
    </row>
    <row r="3961" spans="1:24">
      <c r="A3961">
        <f>HYPERLINK("https://www.philgeps.gov.ph/GEPSNONPILOT/Tender/SplashBidNoticeAbstractUI.aspx?menuIndex=3&amp;refID=7157187&amp;Result=3","7157187")</f>
        <v>0</v>
      </c>
      <c r="B3961" t="s">
        <v>1596</v>
      </c>
      <c r="C3961" t="s">
        <v>7663</v>
      </c>
      <c r="D3961" t="s">
        <v>19045</v>
      </c>
      <c r="E3961" t="s">
        <v>22646</v>
      </c>
      <c r="F3961" t="s">
        <v>32831</v>
      </c>
      <c r="G3961" t="s">
        <v>32838</v>
      </c>
      <c r="H3961" t="s">
        <v>32848</v>
      </c>
      <c r="I3961" t="s">
        <v>10805</v>
      </c>
      <c r="J3961" t="s">
        <v>35576</v>
      </c>
      <c r="K3961" t="s">
        <v>42742</v>
      </c>
      <c r="M3961" t="s">
        <v>44710</v>
      </c>
      <c r="N3961" t="s">
        <v>47424</v>
      </c>
      <c r="O3961" t="s">
        <v>47425</v>
      </c>
      <c r="P3961">
        <v>0</v>
      </c>
      <c r="Q3961">
        <v>1</v>
      </c>
      <c r="R3961" t="s">
        <v>47430</v>
      </c>
      <c r="S3961" t="s">
        <v>47549</v>
      </c>
      <c r="T3961" t="s">
        <v>49107</v>
      </c>
      <c r="U3961" t="s">
        <v>53022</v>
      </c>
      <c r="W3961" t="s">
        <v>44710</v>
      </c>
      <c r="X3961" t="s">
        <v>47432</v>
      </c>
    </row>
    <row r="3962" spans="1:24">
      <c r="A3962">
        <f>HYPERLINK("https://www.philgeps.gov.ph/GEPSNONPILOT/Tender/SplashBidNoticeAbstractUI.aspx?menuIndex=3&amp;refID=7155577&amp;Result=3","7155577")</f>
        <v>0</v>
      </c>
      <c r="B3962" t="s">
        <v>1433</v>
      </c>
      <c r="C3962" t="s">
        <v>7664</v>
      </c>
      <c r="D3962" t="s">
        <v>19058</v>
      </c>
      <c r="E3962" t="s">
        <v>22647</v>
      </c>
      <c r="F3962" t="s">
        <v>32831</v>
      </c>
      <c r="G3962" t="s">
        <v>32839</v>
      </c>
      <c r="H3962" t="s">
        <v>32849</v>
      </c>
      <c r="I3962" t="s">
        <v>4177</v>
      </c>
      <c r="J3962" t="s">
        <v>35577</v>
      </c>
      <c r="K3962" t="s">
        <v>42854</v>
      </c>
      <c r="M3962" t="s">
        <v>44523</v>
      </c>
      <c r="N3962" t="s">
        <v>47424</v>
      </c>
      <c r="O3962" t="s">
        <v>47425</v>
      </c>
      <c r="P3962">
        <v>0</v>
      </c>
      <c r="Q3962">
        <v>0</v>
      </c>
      <c r="R3962" t="s">
        <v>47430</v>
      </c>
      <c r="S3962" t="s">
        <v>47549</v>
      </c>
      <c r="T3962" t="s">
        <v>49364</v>
      </c>
      <c r="U3962" t="s">
        <v>53023</v>
      </c>
      <c r="V3962" t="s">
        <v>63055</v>
      </c>
      <c r="W3962" t="s">
        <v>44523</v>
      </c>
      <c r="X3962" t="s">
        <v>47432</v>
      </c>
    </row>
    <row r="3963" spans="1:24">
      <c r="A3963">
        <f>HYPERLINK("https://www.philgeps.gov.ph/GEPSNONPILOT/Tender/SplashBidNoticeAbstractUI.aspx?menuIndex=3&amp;refID=7157280&amp;Result=3","7157280")</f>
        <v>0</v>
      </c>
      <c r="B3963" t="s">
        <v>49</v>
      </c>
      <c r="C3963" t="s">
        <v>7665</v>
      </c>
      <c r="D3963" t="s">
        <v>19037</v>
      </c>
      <c r="E3963" t="s">
        <v>22648</v>
      </c>
      <c r="F3963" t="s">
        <v>32831</v>
      </c>
      <c r="G3963" t="s">
        <v>32839</v>
      </c>
      <c r="H3963" t="s">
        <v>32848</v>
      </c>
      <c r="I3963" t="s">
        <v>32867</v>
      </c>
      <c r="J3963" t="s">
        <v>35578</v>
      </c>
      <c r="K3963" t="s">
        <v>42750</v>
      </c>
      <c r="M3963" t="s">
        <v>43046</v>
      </c>
      <c r="N3963" t="s">
        <v>47424</v>
      </c>
      <c r="O3963" t="s">
        <v>47425</v>
      </c>
      <c r="P3963">
        <v>0</v>
      </c>
      <c r="Q3963">
        <v>1</v>
      </c>
      <c r="R3963" t="s">
        <v>47430</v>
      </c>
      <c r="S3963" t="s">
        <v>47549</v>
      </c>
      <c r="T3963" t="s">
        <v>49104</v>
      </c>
      <c r="U3963" t="s">
        <v>53024</v>
      </c>
      <c r="V3963" t="s">
        <v>62833</v>
      </c>
      <c r="W3963" t="s">
        <v>43046</v>
      </c>
      <c r="X3963" t="s">
        <v>47432</v>
      </c>
    </row>
    <row r="3964" spans="1:24">
      <c r="A3964">
        <f>HYPERLINK("https://www.philgeps.gov.ph/GEPSNONPILOT/Tender/SplashBidNoticeAbstractUI.aspx?menuIndex=3&amp;refID=7157130&amp;Result=3","7157130")</f>
        <v>0</v>
      </c>
      <c r="B3964" t="s">
        <v>1604</v>
      </c>
      <c r="C3964" t="s">
        <v>4672</v>
      </c>
      <c r="D3964" t="s">
        <v>19077</v>
      </c>
      <c r="E3964" t="s">
        <v>19311</v>
      </c>
      <c r="F3964" t="s">
        <v>32831</v>
      </c>
      <c r="G3964" t="s">
        <v>32839</v>
      </c>
      <c r="H3964" t="s">
        <v>32848</v>
      </c>
      <c r="I3964" t="s">
        <v>7416</v>
      </c>
      <c r="J3964" t="s">
        <v>35579</v>
      </c>
      <c r="K3964" t="s">
        <v>42732</v>
      </c>
      <c r="M3964" t="s">
        <v>44720</v>
      </c>
      <c r="N3964" t="s">
        <v>47424</v>
      </c>
      <c r="O3964" t="s">
        <v>47425</v>
      </c>
      <c r="P3964">
        <v>0</v>
      </c>
      <c r="Q3964">
        <v>1</v>
      </c>
      <c r="R3964" t="s">
        <v>47430</v>
      </c>
      <c r="S3964" t="s">
        <v>47549</v>
      </c>
      <c r="T3964" t="s">
        <v>49159</v>
      </c>
      <c r="U3964" t="s">
        <v>53025</v>
      </c>
      <c r="W3964" t="s">
        <v>44720</v>
      </c>
      <c r="X3964" t="s">
        <v>47432</v>
      </c>
    </row>
    <row r="3965" spans="1:24">
      <c r="A3965">
        <f>HYPERLINK("https://www.philgeps.gov.ph/GEPSNONPILOT/Tender/SplashBidNoticeAbstractUI.aspx?menuIndex=3&amp;refID=7157097&amp;Result=3","7157097")</f>
        <v>0</v>
      </c>
      <c r="B3965" t="s">
        <v>1605</v>
      </c>
      <c r="C3965" t="s">
        <v>5410</v>
      </c>
      <c r="D3965" t="s">
        <v>19052</v>
      </c>
      <c r="E3965" t="s">
        <v>22649</v>
      </c>
      <c r="F3965" t="s">
        <v>32831</v>
      </c>
      <c r="G3965" t="s">
        <v>32839</v>
      </c>
      <c r="H3965" t="s">
        <v>32849</v>
      </c>
      <c r="I3965" t="s">
        <v>4177</v>
      </c>
      <c r="J3965" t="s">
        <v>33714</v>
      </c>
      <c r="K3965" t="s">
        <v>42729</v>
      </c>
      <c r="M3965" t="s">
        <v>44721</v>
      </c>
      <c r="N3965" t="s">
        <v>47424</v>
      </c>
      <c r="O3965" t="s">
        <v>47425</v>
      </c>
      <c r="P3965">
        <v>0</v>
      </c>
      <c r="Q3965">
        <v>1</v>
      </c>
      <c r="R3965" t="s">
        <v>47430</v>
      </c>
      <c r="S3965" t="s">
        <v>47549</v>
      </c>
      <c r="T3965" t="s">
        <v>49089</v>
      </c>
      <c r="U3965" t="s">
        <v>53026</v>
      </c>
      <c r="W3965" t="s">
        <v>44721</v>
      </c>
      <c r="X3965" t="s">
        <v>47432</v>
      </c>
    </row>
    <row r="3966" spans="1:24">
      <c r="A3966">
        <f>HYPERLINK("https://www.philgeps.gov.ph/GEPSNONPILOT/Tender/SplashBidNoticeAbstractUI.aspx?menuIndex=3&amp;refID=7157093&amp;Result=3","7157093")</f>
        <v>0</v>
      </c>
      <c r="B3966" t="s">
        <v>1606</v>
      </c>
      <c r="C3966" t="s">
        <v>7666</v>
      </c>
      <c r="E3966" t="s">
        <v>22650</v>
      </c>
      <c r="F3966" t="s">
        <v>32831</v>
      </c>
      <c r="G3966" t="s">
        <v>32839</v>
      </c>
      <c r="H3966" t="s">
        <v>32848</v>
      </c>
      <c r="I3966" t="s">
        <v>32874</v>
      </c>
      <c r="J3966" t="s">
        <v>35580</v>
      </c>
      <c r="K3966" t="s">
        <v>42732</v>
      </c>
      <c r="M3966" t="s">
        <v>44722</v>
      </c>
      <c r="N3966" t="s">
        <v>47424</v>
      </c>
      <c r="O3966" t="s">
        <v>47425</v>
      </c>
      <c r="P3966">
        <v>0</v>
      </c>
      <c r="Q3966">
        <v>30</v>
      </c>
      <c r="R3966" t="s">
        <v>47430</v>
      </c>
      <c r="S3966" t="s">
        <v>47549</v>
      </c>
      <c r="T3966" t="s">
        <v>49267</v>
      </c>
      <c r="U3966" t="s">
        <v>53027</v>
      </c>
      <c r="W3966" t="s">
        <v>44722</v>
      </c>
      <c r="X3966" t="s">
        <v>47432</v>
      </c>
    </row>
    <row r="3967" spans="1:24">
      <c r="A3967">
        <f>HYPERLINK("https://www.philgeps.gov.ph/GEPSNONPILOT/Tender/SplashBidNoticeAbstractUI.aspx?menuIndex=3&amp;refID=7157268&amp;Result=3","7157268")</f>
        <v>0</v>
      </c>
      <c r="B3967" t="s">
        <v>1597</v>
      </c>
      <c r="C3967" t="s">
        <v>7667</v>
      </c>
      <c r="D3967" t="s">
        <v>19031</v>
      </c>
      <c r="E3967" t="s">
        <v>22651</v>
      </c>
      <c r="F3967" t="s">
        <v>32831</v>
      </c>
      <c r="G3967" t="s">
        <v>32839</v>
      </c>
      <c r="H3967" t="s">
        <v>32848</v>
      </c>
      <c r="I3967" t="s">
        <v>32864</v>
      </c>
      <c r="J3967" t="s">
        <v>34362</v>
      </c>
      <c r="K3967" t="s">
        <v>42727</v>
      </c>
      <c r="M3967" t="s">
        <v>44719</v>
      </c>
      <c r="N3967" t="s">
        <v>47424</v>
      </c>
      <c r="O3967" t="s">
        <v>47425</v>
      </c>
      <c r="P3967">
        <v>0</v>
      </c>
      <c r="Q3967">
        <v>1</v>
      </c>
      <c r="R3967" t="s">
        <v>47430</v>
      </c>
      <c r="S3967" t="s">
        <v>47549</v>
      </c>
      <c r="T3967" t="s">
        <v>49069</v>
      </c>
      <c r="U3967" t="s">
        <v>53028</v>
      </c>
      <c r="V3967" t="s">
        <v>63051</v>
      </c>
      <c r="W3967" t="s">
        <v>44719</v>
      </c>
      <c r="X3967" t="s">
        <v>47432</v>
      </c>
    </row>
    <row r="3968" spans="1:24">
      <c r="A3968">
        <f>HYPERLINK("https://www.philgeps.gov.ph/GEPSNONPILOT/Tender/SplashBidNoticeAbstractUI.aspx?menuIndex=3&amp;refID=7156300&amp;Result=3","7156300")</f>
        <v>0</v>
      </c>
      <c r="B3968" t="s">
        <v>1169</v>
      </c>
      <c r="C3968" t="s">
        <v>7668</v>
      </c>
      <c r="D3968" t="s">
        <v>19045</v>
      </c>
      <c r="E3968" t="s">
        <v>22652</v>
      </c>
      <c r="F3968" t="s">
        <v>32831</v>
      </c>
      <c r="G3968" t="s">
        <v>32839</v>
      </c>
      <c r="H3968" t="s">
        <v>32848</v>
      </c>
      <c r="I3968" t="s">
        <v>32857</v>
      </c>
      <c r="J3968" t="s">
        <v>35581</v>
      </c>
      <c r="K3968" t="s">
        <v>42730</v>
      </c>
      <c r="M3968" t="s">
        <v>44234</v>
      </c>
      <c r="N3968" t="s">
        <v>47424</v>
      </c>
      <c r="O3968" t="s">
        <v>47425</v>
      </c>
      <c r="P3968">
        <v>0</v>
      </c>
      <c r="Q3968">
        <v>3</v>
      </c>
      <c r="R3968" t="s">
        <v>47430</v>
      </c>
      <c r="S3968" t="s">
        <v>47549</v>
      </c>
      <c r="T3968" t="s">
        <v>49077</v>
      </c>
      <c r="U3968" t="s">
        <v>53029</v>
      </c>
      <c r="W3968" t="s">
        <v>44234</v>
      </c>
      <c r="X3968" t="s">
        <v>47432</v>
      </c>
    </row>
    <row r="3969" spans="1:24">
      <c r="A3969">
        <f>HYPERLINK("https://www.philgeps.gov.ph/GEPSNONPILOT/Tender/SplashBidNoticeAbstractUI.aspx?menuIndex=3&amp;refID=7157222&amp;Result=3","7157222")</f>
        <v>0</v>
      </c>
      <c r="B3969" t="s">
        <v>1596</v>
      </c>
      <c r="C3969" t="s">
        <v>7669</v>
      </c>
      <c r="D3969" t="s">
        <v>19045</v>
      </c>
      <c r="E3969" t="s">
        <v>22653</v>
      </c>
      <c r="F3969" t="s">
        <v>32831</v>
      </c>
      <c r="G3969" t="s">
        <v>32838</v>
      </c>
      <c r="H3969" t="s">
        <v>32848</v>
      </c>
      <c r="I3969" t="s">
        <v>5379</v>
      </c>
      <c r="J3969" t="s">
        <v>33660</v>
      </c>
      <c r="K3969" t="s">
        <v>42742</v>
      </c>
      <c r="M3969" t="s">
        <v>44710</v>
      </c>
      <c r="N3969" t="s">
        <v>47424</v>
      </c>
      <c r="O3969" t="s">
        <v>47425</v>
      </c>
      <c r="P3969">
        <v>0</v>
      </c>
      <c r="Q3969">
        <v>0</v>
      </c>
      <c r="R3969" t="s">
        <v>47430</v>
      </c>
      <c r="S3969" t="s">
        <v>47549</v>
      </c>
      <c r="T3969" t="s">
        <v>49107</v>
      </c>
      <c r="U3969" t="s">
        <v>53030</v>
      </c>
      <c r="W3969" t="s">
        <v>44710</v>
      </c>
      <c r="X3969" t="s">
        <v>47432</v>
      </c>
    </row>
    <row r="3970" spans="1:24">
      <c r="A3970">
        <f>HYPERLINK("https://www.philgeps.gov.ph/GEPSNONPILOT/Tender/SplashBidNoticeAbstractUI.aspx?menuIndex=3&amp;refID=7157784&amp;Result=3","7157784")</f>
        <v>0</v>
      </c>
      <c r="B3970" t="s">
        <v>1607</v>
      </c>
      <c r="C3970" t="s">
        <v>7670</v>
      </c>
      <c r="D3970" t="s">
        <v>19048</v>
      </c>
      <c r="E3970" t="s">
        <v>22654</v>
      </c>
      <c r="F3970" t="s">
        <v>32831</v>
      </c>
      <c r="G3970" t="s">
        <v>32841</v>
      </c>
      <c r="H3970" t="s">
        <v>32848</v>
      </c>
      <c r="I3970" t="s">
        <v>32931</v>
      </c>
      <c r="J3970" t="s">
        <v>33132</v>
      </c>
      <c r="K3970" t="s">
        <v>42727</v>
      </c>
      <c r="M3970" t="s">
        <v>44723</v>
      </c>
      <c r="N3970" t="s">
        <v>47424</v>
      </c>
      <c r="O3970" t="s">
        <v>47425</v>
      </c>
      <c r="P3970">
        <v>0</v>
      </c>
      <c r="Q3970">
        <v>1</v>
      </c>
      <c r="R3970" t="s">
        <v>47430</v>
      </c>
      <c r="S3970" t="s">
        <v>47549</v>
      </c>
      <c r="T3970" t="s">
        <v>49129</v>
      </c>
      <c r="U3970" t="s">
        <v>53031</v>
      </c>
      <c r="V3970" t="s">
        <v>63056</v>
      </c>
      <c r="W3970" t="s">
        <v>44723</v>
      </c>
      <c r="X3970" t="s">
        <v>47432</v>
      </c>
    </row>
    <row r="3971" spans="1:24">
      <c r="A3971">
        <f>HYPERLINK("https://www.philgeps.gov.ph/GEPSNONPILOT/Tender/SplashBidNoticeAbstractUI.aspx?menuIndex=3&amp;refID=7157195&amp;Result=3","7157195")</f>
        <v>0</v>
      </c>
      <c r="B3971" t="s">
        <v>67</v>
      </c>
      <c r="C3971" t="s">
        <v>7671</v>
      </c>
      <c r="D3971" t="s">
        <v>19099</v>
      </c>
      <c r="E3971" t="s">
        <v>22655</v>
      </c>
      <c r="F3971" t="s">
        <v>32831</v>
      </c>
      <c r="G3971" t="s">
        <v>32839</v>
      </c>
      <c r="H3971" t="s">
        <v>32848</v>
      </c>
      <c r="I3971" t="s">
        <v>32886</v>
      </c>
      <c r="J3971" t="s">
        <v>35582</v>
      </c>
      <c r="K3971" t="s">
        <v>42729</v>
      </c>
      <c r="M3971" t="s">
        <v>44711</v>
      </c>
      <c r="N3971" t="s">
        <v>47424</v>
      </c>
      <c r="O3971" t="s">
        <v>47425</v>
      </c>
      <c r="P3971">
        <v>0</v>
      </c>
      <c r="Q3971">
        <v>4</v>
      </c>
      <c r="R3971" t="s">
        <v>47430</v>
      </c>
      <c r="S3971" t="s">
        <v>47549</v>
      </c>
      <c r="T3971" t="s">
        <v>49334</v>
      </c>
      <c r="U3971" t="s">
        <v>53032</v>
      </c>
      <c r="W3971" t="s">
        <v>44711</v>
      </c>
      <c r="X3971" t="s">
        <v>47432</v>
      </c>
    </row>
    <row r="3972" spans="1:24">
      <c r="A3972">
        <f>HYPERLINK("https://www.philgeps.gov.ph/GEPSNONPILOT/Tender/SplashBidNoticeAbstractUI.aspx?menuIndex=3&amp;refID=7157743&amp;Result=3","7157743")</f>
        <v>0</v>
      </c>
      <c r="B3972" t="s">
        <v>1608</v>
      </c>
      <c r="C3972" t="s">
        <v>7672</v>
      </c>
      <c r="D3972" t="s">
        <v>19058</v>
      </c>
      <c r="E3972" t="s">
        <v>22656</v>
      </c>
      <c r="F3972" t="s">
        <v>32831</v>
      </c>
      <c r="G3972" t="s">
        <v>32839</v>
      </c>
      <c r="H3972" t="s">
        <v>32849</v>
      </c>
      <c r="I3972" t="s">
        <v>4177</v>
      </c>
      <c r="J3972" t="s">
        <v>35583</v>
      </c>
      <c r="K3972" t="s">
        <v>42757</v>
      </c>
      <c r="M3972" t="s">
        <v>44724</v>
      </c>
      <c r="N3972" t="s">
        <v>47424</v>
      </c>
      <c r="O3972" t="s">
        <v>47425</v>
      </c>
      <c r="P3972">
        <v>0</v>
      </c>
      <c r="Q3972">
        <v>0</v>
      </c>
      <c r="R3972" t="s">
        <v>47430</v>
      </c>
      <c r="S3972" t="s">
        <v>47549</v>
      </c>
      <c r="T3972" t="s">
        <v>49077</v>
      </c>
      <c r="U3972" t="s">
        <v>53033</v>
      </c>
      <c r="V3972" t="s">
        <v>63057</v>
      </c>
      <c r="W3972" t="s">
        <v>44724</v>
      </c>
      <c r="X3972" t="s">
        <v>47432</v>
      </c>
    </row>
    <row r="3973" spans="1:24">
      <c r="A3973">
        <f>HYPERLINK("https://www.philgeps.gov.ph/GEPSNONPILOT/Tender/SplashBidNoticeAbstractUI.aspx?menuIndex=3&amp;refID=7157722&amp;Result=3","7157722")</f>
        <v>0</v>
      </c>
      <c r="B3973" t="s">
        <v>1609</v>
      </c>
      <c r="C3973" t="s">
        <v>7673</v>
      </c>
      <c r="D3973" t="s">
        <v>19060</v>
      </c>
      <c r="E3973" t="s">
        <v>22657</v>
      </c>
      <c r="F3973" t="s">
        <v>32831</v>
      </c>
      <c r="G3973" t="s">
        <v>32838</v>
      </c>
      <c r="H3973" t="s">
        <v>32848</v>
      </c>
      <c r="I3973" t="s">
        <v>7416</v>
      </c>
      <c r="J3973" t="s">
        <v>35584</v>
      </c>
      <c r="K3973" t="s">
        <v>42730</v>
      </c>
      <c r="M3973" t="s">
        <v>44725</v>
      </c>
      <c r="N3973" t="s">
        <v>47424</v>
      </c>
      <c r="O3973" t="s">
        <v>47425</v>
      </c>
      <c r="P3973">
        <v>0</v>
      </c>
      <c r="Q3973">
        <v>2</v>
      </c>
      <c r="R3973" t="s">
        <v>47430</v>
      </c>
      <c r="S3973" t="s">
        <v>47549</v>
      </c>
      <c r="T3973" t="s">
        <v>49056</v>
      </c>
      <c r="U3973" t="s">
        <v>53034</v>
      </c>
      <c r="V3973" t="s">
        <v>63058</v>
      </c>
      <c r="W3973" t="s">
        <v>44725</v>
      </c>
      <c r="X3973" t="s">
        <v>47432</v>
      </c>
    </row>
    <row r="3974" spans="1:24">
      <c r="A3974">
        <f>HYPERLINK("https://www.philgeps.gov.ph/GEPSNONPILOT/Tender/SplashBidNoticeAbstractUI.aspx?menuIndex=3&amp;refID=7156330&amp;Result=3","7156330")</f>
        <v>0</v>
      </c>
      <c r="B3974" t="s">
        <v>1610</v>
      </c>
      <c r="C3974" t="s">
        <v>7674</v>
      </c>
      <c r="D3974" t="s">
        <v>19085</v>
      </c>
      <c r="E3974" t="s">
        <v>19311</v>
      </c>
      <c r="F3974" t="s">
        <v>32833</v>
      </c>
      <c r="G3974" t="s">
        <v>32838</v>
      </c>
      <c r="H3974" t="s">
        <v>32848</v>
      </c>
      <c r="I3974" t="s">
        <v>4776</v>
      </c>
      <c r="J3974" t="s">
        <v>33087</v>
      </c>
      <c r="K3974" t="s">
        <v>42760</v>
      </c>
      <c r="L3974" t="s">
        <v>1610</v>
      </c>
      <c r="M3974" t="s">
        <v>44726</v>
      </c>
      <c r="N3974" t="s">
        <v>47424</v>
      </c>
      <c r="O3974" t="s">
        <v>47425</v>
      </c>
      <c r="P3974">
        <v>0</v>
      </c>
      <c r="Q3974">
        <v>3</v>
      </c>
      <c r="R3974" t="s">
        <v>47430</v>
      </c>
      <c r="S3974" t="s">
        <v>47549</v>
      </c>
      <c r="T3974" t="s">
        <v>49119</v>
      </c>
      <c r="U3974" t="s">
        <v>53035</v>
      </c>
      <c r="W3974" t="s">
        <v>44726</v>
      </c>
      <c r="X3974" t="s">
        <v>47432</v>
      </c>
    </row>
    <row r="3975" spans="1:24">
      <c r="A3975">
        <f>HYPERLINK("https://www.philgeps.gov.ph/GEPSNONPILOT/Tender/SplashBidNoticeAbstractUI.aspx?menuIndex=3&amp;refID=7157715&amp;Result=3","7157715")</f>
        <v>0</v>
      </c>
      <c r="B3975" t="s">
        <v>1611</v>
      </c>
      <c r="C3975" t="s">
        <v>7675</v>
      </c>
      <c r="D3975" t="s">
        <v>19077</v>
      </c>
      <c r="E3975" t="s">
        <v>22658</v>
      </c>
      <c r="F3975" t="s">
        <v>32831</v>
      </c>
      <c r="G3975" t="s">
        <v>32838</v>
      </c>
      <c r="H3975" t="s">
        <v>32848</v>
      </c>
      <c r="I3975" t="s">
        <v>7416</v>
      </c>
      <c r="J3975" t="s">
        <v>35585</v>
      </c>
      <c r="K3975" t="s">
        <v>42726</v>
      </c>
      <c r="M3975" t="s">
        <v>44727</v>
      </c>
      <c r="N3975" t="s">
        <v>47424</v>
      </c>
      <c r="O3975" t="s">
        <v>47425</v>
      </c>
      <c r="P3975">
        <v>0</v>
      </c>
      <c r="Q3975">
        <v>1</v>
      </c>
      <c r="R3975" t="s">
        <v>47430</v>
      </c>
      <c r="S3975" t="s">
        <v>47549</v>
      </c>
      <c r="T3975" t="s">
        <v>49056</v>
      </c>
      <c r="U3975" t="s">
        <v>53036</v>
      </c>
      <c r="W3975" t="s">
        <v>44727</v>
      </c>
      <c r="X3975" t="s">
        <v>47432</v>
      </c>
    </row>
    <row r="3976" spans="1:24">
      <c r="A3976">
        <f>HYPERLINK("https://www.philgeps.gov.ph/GEPSNONPILOT/Tender/SplashBidNoticeAbstractUI.aspx?menuIndex=3&amp;refID=7157681&amp;Result=3","7157681")</f>
        <v>0</v>
      </c>
      <c r="B3976" t="s">
        <v>1608</v>
      </c>
      <c r="C3976" t="s">
        <v>7676</v>
      </c>
      <c r="D3976" t="s">
        <v>19058</v>
      </c>
      <c r="E3976" t="s">
        <v>22659</v>
      </c>
      <c r="F3976" t="s">
        <v>32831</v>
      </c>
      <c r="G3976" t="s">
        <v>32839</v>
      </c>
      <c r="H3976" t="s">
        <v>32849</v>
      </c>
      <c r="I3976" t="s">
        <v>4177</v>
      </c>
      <c r="J3976" t="s">
        <v>35586</v>
      </c>
      <c r="K3976" t="s">
        <v>42780</v>
      </c>
      <c r="M3976" t="s">
        <v>44724</v>
      </c>
      <c r="N3976" t="s">
        <v>47424</v>
      </c>
      <c r="O3976" t="s">
        <v>47425</v>
      </c>
      <c r="P3976">
        <v>0</v>
      </c>
      <c r="Q3976">
        <v>0</v>
      </c>
      <c r="R3976" t="s">
        <v>47430</v>
      </c>
      <c r="S3976" t="s">
        <v>47549</v>
      </c>
      <c r="T3976" t="s">
        <v>49077</v>
      </c>
      <c r="U3976" t="s">
        <v>53033</v>
      </c>
      <c r="V3976" t="s">
        <v>63059</v>
      </c>
      <c r="W3976" t="s">
        <v>44724</v>
      </c>
      <c r="X3976" t="s">
        <v>47432</v>
      </c>
    </row>
    <row r="3977" spans="1:24">
      <c r="A3977">
        <f>HYPERLINK("https://www.philgeps.gov.ph/GEPSNONPILOT/Tender/SplashBidNoticeAbstractUI.aspx?menuIndex=3&amp;refID=7157733&amp;Result=3","7157733")</f>
        <v>0</v>
      </c>
      <c r="B3977" t="s">
        <v>1603</v>
      </c>
      <c r="C3977" t="s">
        <v>7677</v>
      </c>
      <c r="D3977" t="s">
        <v>19027</v>
      </c>
      <c r="E3977" t="s">
        <v>22660</v>
      </c>
      <c r="F3977" t="s">
        <v>32831</v>
      </c>
      <c r="G3977" t="s">
        <v>32839</v>
      </c>
      <c r="H3977" t="s">
        <v>32849</v>
      </c>
      <c r="I3977" t="s">
        <v>4177</v>
      </c>
      <c r="J3977" t="s">
        <v>32983</v>
      </c>
      <c r="K3977" t="s">
        <v>42770</v>
      </c>
      <c r="M3977" t="s">
        <v>44718</v>
      </c>
      <c r="N3977" t="s">
        <v>47424</v>
      </c>
      <c r="O3977" t="s">
        <v>47425</v>
      </c>
      <c r="P3977">
        <v>0</v>
      </c>
      <c r="Q3977">
        <v>0</v>
      </c>
      <c r="R3977" t="s">
        <v>47430</v>
      </c>
      <c r="S3977" t="s">
        <v>47549</v>
      </c>
      <c r="T3977" t="s">
        <v>49365</v>
      </c>
      <c r="U3977" t="s">
        <v>53018</v>
      </c>
      <c r="V3977" t="s">
        <v>63054</v>
      </c>
      <c r="W3977" t="s">
        <v>44718</v>
      </c>
      <c r="X3977" t="s">
        <v>47432</v>
      </c>
    </row>
    <row r="3978" spans="1:24">
      <c r="A3978">
        <f>HYPERLINK("https://www.philgeps.gov.ph/GEPSNONPILOT/Tender/SplashBidNoticeAbstractUI.aspx?menuIndex=3&amp;refID=7157639&amp;Result=3","7157639")</f>
        <v>0</v>
      </c>
      <c r="B3978" t="s">
        <v>1612</v>
      </c>
      <c r="C3978" t="s">
        <v>7678</v>
      </c>
      <c r="D3978" t="s">
        <v>19049</v>
      </c>
      <c r="E3978" t="s">
        <v>22661</v>
      </c>
      <c r="F3978" t="s">
        <v>32831</v>
      </c>
      <c r="G3978" t="s">
        <v>32839</v>
      </c>
      <c r="H3978" t="s">
        <v>32848</v>
      </c>
      <c r="I3978" t="s">
        <v>4438</v>
      </c>
      <c r="J3978" t="s">
        <v>35587</v>
      </c>
      <c r="K3978" t="s">
        <v>42727</v>
      </c>
      <c r="M3978" t="s">
        <v>44728</v>
      </c>
      <c r="N3978" t="s">
        <v>47424</v>
      </c>
      <c r="O3978" t="s">
        <v>47425</v>
      </c>
      <c r="P3978">
        <v>0</v>
      </c>
      <c r="Q3978">
        <v>1</v>
      </c>
      <c r="R3978" t="s">
        <v>47430</v>
      </c>
      <c r="S3978" t="s">
        <v>47549</v>
      </c>
      <c r="T3978" t="s">
        <v>49334</v>
      </c>
      <c r="U3978" t="s">
        <v>53037</v>
      </c>
      <c r="V3978" t="s">
        <v>63060</v>
      </c>
      <c r="W3978" t="s">
        <v>44728</v>
      </c>
      <c r="X3978" t="s">
        <v>47432</v>
      </c>
    </row>
    <row r="3979" spans="1:24">
      <c r="A3979">
        <f>HYPERLINK("https://www.philgeps.gov.ph/GEPSNONPILOT/Tender/SplashBidNoticeAbstractUI.aspx?menuIndex=3&amp;refID=7157757&amp;Result=3","7157757")</f>
        <v>0</v>
      </c>
      <c r="B3979" t="s">
        <v>1611</v>
      </c>
      <c r="C3979" t="s">
        <v>7679</v>
      </c>
      <c r="D3979" t="s">
        <v>19077</v>
      </c>
      <c r="E3979" t="s">
        <v>22662</v>
      </c>
      <c r="F3979" t="s">
        <v>32831</v>
      </c>
      <c r="G3979" t="s">
        <v>32838</v>
      </c>
      <c r="H3979" t="s">
        <v>32848</v>
      </c>
      <c r="I3979" t="s">
        <v>6526</v>
      </c>
      <c r="J3979" t="s">
        <v>35588</v>
      </c>
      <c r="K3979" t="s">
        <v>42726</v>
      </c>
      <c r="M3979" t="s">
        <v>44727</v>
      </c>
      <c r="N3979" t="s">
        <v>47424</v>
      </c>
      <c r="O3979" t="s">
        <v>47425</v>
      </c>
      <c r="P3979">
        <v>0</v>
      </c>
      <c r="Q3979">
        <v>0</v>
      </c>
      <c r="R3979" t="s">
        <v>47430</v>
      </c>
      <c r="S3979" t="s">
        <v>47549</v>
      </c>
      <c r="T3979" t="s">
        <v>49056</v>
      </c>
      <c r="U3979" t="s">
        <v>53038</v>
      </c>
      <c r="W3979" t="s">
        <v>44727</v>
      </c>
      <c r="X3979" t="s">
        <v>47432</v>
      </c>
    </row>
    <row r="3980" spans="1:24">
      <c r="A3980">
        <f>HYPERLINK("https://www.philgeps.gov.ph/GEPSNONPILOT/Tender/SplashBidNoticeAbstractUI.aspx?menuIndex=3&amp;refID=7157281&amp;Result=3","7157281")</f>
        <v>0</v>
      </c>
      <c r="B3980" t="s">
        <v>791</v>
      </c>
      <c r="C3980" t="s">
        <v>7680</v>
      </c>
      <c r="D3980" t="s">
        <v>19034</v>
      </c>
      <c r="E3980" t="s">
        <v>22663</v>
      </c>
      <c r="F3980" t="s">
        <v>32831</v>
      </c>
      <c r="G3980" t="s">
        <v>32839</v>
      </c>
      <c r="H3980" t="s">
        <v>32848</v>
      </c>
      <c r="I3980" t="s">
        <v>9577</v>
      </c>
      <c r="J3980" t="s">
        <v>35589</v>
      </c>
      <c r="K3980" t="s">
        <v>42731</v>
      </c>
      <c r="M3980" t="s">
        <v>43821</v>
      </c>
      <c r="N3980" t="s">
        <v>47424</v>
      </c>
      <c r="O3980" t="s">
        <v>47425</v>
      </c>
      <c r="P3980">
        <v>0</v>
      </c>
      <c r="Q3980">
        <v>0</v>
      </c>
      <c r="R3980" t="s">
        <v>47430</v>
      </c>
      <c r="S3980" t="s">
        <v>47549</v>
      </c>
      <c r="T3980" t="s">
        <v>49129</v>
      </c>
      <c r="U3980" t="s">
        <v>53039</v>
      </c>
      <c r="W3980" t="s">
        <v>43821</v>
      </c>
      <c r="X3980" t="s">
        <v>47432</v>
      </c>
    </row>
    <row r="3981" spans="1:24">
      <c r="A3981">
        <f>HYPERLINK("https://www.philgeps.gov.ph/GEPSNONPILOT/Tender/SplashBidNoticeAbstractUI.aspx?menuIndex=3&amp;refID=7157590&amp;Result=3","7157590")</f>
        <v>0</v>
      </c>
      <c r="B3981" t="s">
        <v>67</v>
      </c>
      <c r="C3981" t="s">
        <v>7681</v>
      </c>
      <c r="D3981" t="s">
        <v>19079</v>
      </c>
      <c r="E3981" t="s">
        <v>22664</v>
      </c>
      <c r="F3981" t="s">
        <v>32831</v>
      </c>
      <c r="G3981" t="s">
        <v>32839</v>
      </c>
      <c r="H3981" t="s">
        <v>32848</v>
      </c>
      <c r="I3981" t="s">
        <v>32886</v>
      </c>
      <c r="J3981" t="s">
        <v>35590</v>
      </c>
      <c r="K3981" t="s">
        <v>42729</v>
      </c>
      <c r="M3981" t="s">
        <v>44711</v>
      </c>
      <c r="N3981" t="s">
        <v>47424</v>
      </c>
      <c r="O3981" t="s">
        <v>47425</v>
      </c>
      <c r="P3981">
        <v>0</v>
      </c>
      <c r="Q3981">
        <v>4</v>
      </c>
      <c r="R3981" t="s">
        <v>47430</v>
      </c>
      <c r="S3981" t="s">
        <v>47549</v>
      </c>
      <c r="T3981" t="s">
        <v>49334</v>
      </c>
      <c r="U3981" t="s">
        <v>53040</v>
      </c>
      <c r="W3981" t="s">
        <v>44711</v>
      </c>
      <c r="X3981" t="s">
        <v>47432</v>
      </c>
    </row>
    <row r="3982" spans="1:24">
      <c r="A3982">
        <f>HYPERLINK("https://www.philgeps.gov.ph/GEPSNONPILOT/Tender/SplashBidNoticeAbstractUI.aspx?menuIndex=3&amp;refID=7157548&amp;Result=3","7157548")</f>
        <v>0</v>
      </c>
      <c r="B3982" t="s">
        <v>43</v>
      </c>
      <c r="C3982" t="s">
        <v>3976</v>
      </c>
      <c r="D3982" t="s">
        <v>19032</v>
      </c>
      <c r="E3982" t="s">
        <v>22665</v>
      </c>
      <c r="F3982" t="s">
        <v>32831</v>
      </c>
      <c r="G3982" t="s">
        <v>32839</v>
      </c>
      <c r="H3982" t="s">
        <v>32849</v>
      </c>
      <c r="I3982" t="s">
        <v>4177</v>
      </c>
      <c r="J3982" t="s">
        <v>33011</v>
      </c>
      <c r="K3982" t="s">
        <v>42730</v>
      </c>
      <c r="M3982" t="s">
        <v>43040</v>
      </c>
      <c r="N3982" t="s">
        <v>47424</v>
      </c>
      <c r="O3982" t="s">
        <v>47425</v>
      </c>
      <c r="P3982">
        <v>0</v>
      </c>
      <c r="Q3982">
        <v>0</v>
      </c>
      <c r="R3982" t="s">
        <v>47430</v>
      </c>
      <c r="S3982" t="s">
        <v>47549</v>
      </c>
      <c r="T3982" t="s">
        <v>49351</v>
      </c>
      <c r="U3982" t="s">
        <v>49716</v>
      </c>
      <c r="W3982" t="s">
        <v>43040</v>
      </c>
      <c r="X3982" t="s">
        <v>47432</v>
      </c>
    </row>
    <row r="3983" spans="1:24">
      <c r="A3983">
        <f>HYPERLINK("https://www.philgeps.gov.ph/GEPSNONPILOT/Tender/SplashBidNoticeAbstractUI.aspx?menuIndex=3&amp;refID=7157542&amp;Result=3","7157542")</f>
        <v>0</v>
      </c>
      <c r="B3983" t="s">
        <v>1613</v>
      </c>
      <c r="C3983" t="s">
        <v>4726</v>
      </c>
      <c r="D3983" t="s">
        <v>19074</v>
      </c>
      <c r="E3983" t="s">
        <v>22666</v>
      </c>
      <c r="F3983" t="s">
        <v>32831</v>
      </c>
      <c r="G3983" t="s">
        <v>32840</v>
      </c>
      <c r="H3983" t="s">
        <v>32848</v>
      </c>
      <c r="I3983" t="s">
        <v>4438</v>
      </c>
      <c r="J3983" t="s">
        <v>35591</v>
      </c>
      <c r="K3983" t="s">
        <v>42759</v>
      </c>
      <c r="M3983" t="s">
        <v>44729</v>
      </c>
      <c r="N3983" t="s">
        <v>47424</v>
      </c>
      <c r="O3983" t="s">
        <v>47425</v>
      </c>
      <c r="P3983">
        <v>0</v>
      </c>
      <c r="Q3983">
        <v>3</v>
      </c>
      <c r="R3983" t="s">
        <v>47430</v>
      </c>
      <c r="S3983" t="s">
        <v>47549</v>
      </c>
      <c r="T3983" t="s">
        <v>49111</v>
      </c>
      <c r="U3983" t="s">
        <v>53041</v>
      </c>
      <c r="V3983" t="s">
        <v>63061</v>
      </c>
      <c r="W3983" t="s">
        <v>44729</v>
      </c>
      <c r="X3983" t="s">
        <v>47432</v>
      </c>
    </row>
    <row r="3984" spans="1:24">
      <c r="A3984">
        <f>HYPERLINK("https://www.philgeps.gov.ph/GEPSNONPILOT/Tender/SplashBidNoticeAbstractUI.aspx?menuIndex=3&amp;refID=7157682&amp;Result=3","7157682")</f>
        <v>0</v>
      </c>
      <c r="B3984" t="s">
        <v>1609</v>
      </c>
      <c r="C3984" t="s">
        <v>7682</v>
      </c>
      <c r="D3984" t="s">
        <v>19060</v>
      </c>
      <c r="E3984" t="s">
        <v>22667</v>
      </c>
      <c r="F3984" t="s">
        <v>32831</v>
      </c>
      <c r="G3984" t="s">
        <v>32838</v>
      </c>
      <c r="H3984" t="s">
        <v>32848</v>
      </c>
      <c r="I3984" t="s">
        <v>7416</v>
      </c>
      <c r="J3984" t="s">
        <v>35592</v>
      </c>
      <c r="K3984" t="s">
        <v>42730</v>
      </c>
      <c r="M3984" t="s">
        <v>44725</v>
      </c>
      <c r="N3984" t="s">
        <v>47424</v>
      </c>
      <c r="O3984" t="s">
        <v>47425</v>
      </c>
      <c r="P3984">
        <v>0</v>
      </c>
      <c r="Q3984">
        <v>1</v>
      </c>
      <c r="R3984" t="s">
        <v>47430</v>
      </c>
      <c r="S3984" t="s">
        <v>47549</v>
      </c>
      <c r="T3984" t="s">
        <v>49056</v>
      </c>
      <c r="U3984" t="s">
        <v>53042</v>
      </c>
      <c r="V3984" t="s">
        <v>63058</v>
      </c>
      <c r="W3984" t="s">
        <v>44725</v>
      </c>
      <c r="X3984" t="s">
        <v>47432</v>
      </c>
    </row>
    <row r="3985" spans="1:24">
      <c r="A3985">
        <f>HYPERLINK("https://www.philgeps.gov.ph/GEPSNONPILOT/Tender/SplashBidNoticeAbstractUI.aspx?menuIndex=3&amp;refID=7158143&amp;Result=3","7158143")</f>
        <v>0</v>
      </c>
      <c r="B3985" t="s">
        <v>1614</v>
      </c>
      <c r="C3985" t="s">
        <v>7683</v>
      </c>
      <c r="D3985" t="s">
        <v>19064</v>
      </c>
      <c r="E3985" t="s">
        <v>22668</v>
      </c>
      <c r="F3985" t="s">
        <v>32831</v>
      </c>
      <c r="G3985" t="s">
        <v>32839</v>
      </c>
      <c r="H3985" t="s">
        <v>32849</v>
      </c>
      <c r="I3985" t="s">
        <v>4177</v>
      </c>
      <c r="J3985" t="s">
        <v>35593</v>
      </c>
      <c r="K3985" t="s">
        <v>42730</v>
      </c>
      <c r="M3985" t="s">
        <v>44730</v>
      </c>
      <c r="N3985" t="s">
        <v>47424</v>
      </c>
      <c r="O3985" t="s">
        <v>47425</v>
      </c>
      <c r="P3985">
        <v>0</v>
      </c>
      <c r="Q3985">
        <v>2</v>
      </c>
      <c r="R3985" t="s">
        <v>47430</v>
      </c>
      <c r="S3985" t="s">
        <v>47549</v>
      </c>
      <c r="T3985" t="s">
        <v>49132</v>
      </c>
      <c r="U3985" t="s">
        <v>53043</v>
      </c>
      <c r="W3985" t="s">
        <v>64478</v>
      </c>
      <c r="X3985" t="s">
        <v>47432</v>
      </c>
    </row>
    <row r="3986" spans="1:24">
      <c r="A3986">
        <f>HYPERLINK("https://www.philgeps.gov.ph/GEPSNONPILOT/Tender/SplashBidNoticeAbstractUI.aspx?menuIndex=3&amp;refID=7157606&amp;Result=3","7157606")</f>
        <v>0</v>
      </c>
      <c r="B3986" t="s">
        <v>43</v>
      </c>
      <c r="C3986" t="s">
        <v>3976</v>
      </c>
      <c r="D3986" t="s">
        <v>19032</v>
      </c>
      <c r="E3986" t="s">
        <v>22669</v>
      </c>
      <c r="F3986" t="s">
        <v>32831</v>
      </c>
      <c r="G3986" t="s">
        <v>32839</v>
      </c>
      <c r="H3986" t="s">
        <v>32849</v>
      </c>
      <c r="I3986" t="s">
        <v>4177</v>
      </c>
      <c r="J3986" t="s">
        <v>34930</v>
      </c>
      <c r="K3986" t="s">
        <v>42745</v>
      </c>
      <c r="M3986" t="s">
        <v>43040</v>
      </c>
      <c r="N3986" t="s">
        <v>47424</v>
      </c>
      <c r="O3986" t="s">
        <v>47425</v>
      </c>
      <c r="P3986">
        <v>0</v>
      </c>
      <c r="Q3986">
        <v>0</v>
      </c>
      <c r="R3986" t="s">
        <v>47430</v>
      </c>
      <c r="S3986" t="s">
        <v>47549</v>
      </c>
      <c r="T3986" t="s">
        <v>49366</v>
      </c>
      <c r="U3986" t="s">
        <v>49716</v>
      </c>
      <c r="W3986" t="s">
        <v>43040</v>
      </c>
      <c r="X3986" t="s">
        <v>47432</v>
      </c>
    </row>
    <row r="3987" spans="1:24">
      <c r="A3987">
        <f>HYPERLINK("https://www.philgeps.gov.ph/GEPSNONPILOT/Tender/SplashBidNoticeAbstractUI.aspx?menuIndex=3&amp;refID=7158072&amp;Result=3","7158072")</f>
        <v>0</v>
      </c>
      <c r="B3987" t="s">
        <v>1559</v>
      </c>
      <c r="C3987" t="s">
        <v>7684</v>
      </c>
      <c r="D3987" t="s">
        <v>19027</v>
      </c>
      <c r="E3987" t="s">
        <v>22670</v>
      </c>
      <c r="F3987" t="s">
        <v>32831</v>
      </c>
      <c r="G3987" t="s">
        <v>32840</v>
      </c>
      <c r="H3987" t="s">
        <v>32848</v>
      </c>
      <c r="I3987" t="s">
        <v>32855</v>
      </c>
      <c r="J3987" t="s">
        <v>35594</v>
      </c>
      <c r="K3987" t="s">
        <v>42730</v>
      </c>
      <c r="M3987" t="s">
        <v>44667</v>
      </c>
      <c r="N3987" t="s">
        <v>47424</v>
      </c>
      <c r="O3987" t="s">
        <v>47425</v>
      </c>
      <c r="P3987">
        <v>0</v>
      </c>
      <c r="Q3987">
        <v>2</v>
      </c>
      <c r="R3987" t="s">
        <v>47430</v>
      </c>
      <c r="S3987" t="s">
        <v>47549</v>
      </c>
      <c r="T3987" t="s">
        <v>49089</v>
      </c>
      <c r="U3987" t="s">
        <v>53044</v>
      </c>
      <c r="W3987" t="s">
        <v>44667</v>
      </c>
      <c r="X3987" t="s">
        <v>47432</v>
      </c>
    </row>
    <row r="3988" spans="1:24">
      <c r="A3988">
        <f>HYPERLINK("https://www.philgeps.gov.ph/GEPSNONPILOT/Tender/SplashBidNoticeAbstractUI.aspx?menuIndex=3&amp;refID=7157566&amp;Result=3","7157566")</f>
        <v>0</v>
      </c>
      <c r="B3988" t="s">
        <v>1612</v>
      </c>
      <c r="C3988" t="s">
        <v>7685</v>
      </c>
      <c r="D3988" t="s">
        <v>19049</v>
      </c>
      <c r="E3988" t="s">
        <v>22671</v>
      </c>
      <c r="F3988" t="s">
        <v>32831</v>
      </c>
      <c r="G3988" t="s">
        <v>32839</v>
      </c>
      <c r="H3988" t="s">
        <v>32848</v>
      </c>
      <c r="I3988" t="s">
        <v>32860</v>
      </c>
      <c r="J3988" t="s">
        <v>35595</v>
      </c>
      <c r="K3988" t="s">
        <v>42727</v>
      </c>
      <c r="M3988" t="s">
        <v>44728</v>
      </c>
      <c r="N3988" t="s">
        <v>47424</v>
      </c>
      <c r="O3988" t="s">
        <v>47425</v>
      </c>
      <c r="P3988">
        <v>0</v>
      </c>
      <c r="Q3988">
        <v>3</v>
      </c>
      <c r="R3988" t="s">
        <v>47430</v>
      </c>
      <c r="S3988" t="s">
        <v>47549</v>
      </c>
      <c r="T3988" t="s">
        <v>49334</v>
      </c>
      <c r="U3988" t="s">
        <v>53045</v>
      </c>
      <c r="V3988" t="s">
        <v>63062</v>
      </c>
      <c r="W3988" t="s">
        <v>44728</v>
      </c>
      <c r="X3988" t="s">
        <v>47432</v>
      </c>
    </row>
    <row r="3989" spans="1:24">
      <c r="A3989">
        <f>HYPERLINK("https://www.philgeps.gov.ph/GEPSNONPILOT/Tender/SplashBidNoticeAbstractUI.aspx?menuIndex=3&amp;refID=7158044&amp;Result=3","7158044")</f>
        <v>0</v>
      </c>
      <c r="B3989" t="s">
        <v>1615</v>
      </c>
      <c r="C3989" t="s">
        <v>7686</v>
      </c>
      <c r="D3989" t="s">
        <v>19038</v>
      </c>
      <c r="E3989" t="s">
        <v>22672</v>
      </c>
      <c r="F3989" t="s">
        <v>32831</v>
      </c>
      <c r="G3989" t="s">
        <v>32839</v>
      </c>
      <c r="H3989" t="s">
        <v>32848</v>
      </c>
      <c r="I3989" t="s">
        <v>7416</v>
      </c>
      <c r="J3989" t="s">
        <v>35596</v>
      </c>
      <c r="K3989" t="s">
        <v>42745</v>
      </c>
      <c r="M3989" t="s">
        <v>44731</v>
      </c>
      <c r="N3989" t="s">
        <v>47424</v>
      </c>
      <c r="O3989" t="s">
        <v>47425</v>
      </c>
      <c r="P3989">
        <v>0</v>
      </c>
      <c r="Q3989">
        <v>0</v>
      </c>
      <c r="R3989" t="s">
        <v>47430</v>
      </c>
      <c r="S3989" t="s">
        <v>47549</v>
      </c>
      <c r="T3989" t="s">
        <v>49059</v>
      </c>
      <c r="U3989" t="s">
        <v>53046</v>
      </c>
      <c r="W3989" t="s">
        <v>44731</v>
      </c>
      <c r="X3989" t="s">
        <v>47432</v>
      </c>
    </row>
    <row r="3990" spans="1:24">
      <c r="A3990">
        <f>HYPERLINK("https://www.philgeps.gov.ph/GEPSNONPILOT/Tender/SplashBidNoticeAbstractUI.aspx?menuIndex=3&amp;refID=7157930&amp;Result=3","7157930")</f>
        <v>0</v>
      </c>
      <c r="B3990" t="s">
        <v>1616</v>
      </c>
      <c r="C3990" t="s">
        <v>7687</v>
      </c>
      <c r="D3990" t="s">
        <v>19033</v>
      </c>
      <c r="E3990" t="s">
        <v>22673</v>
      </c>
      <c r="F3990" t="s">
        <v>32831</v>
      </c>
      <c r="G3990" t="s">
        <v>32840</v>
      </c>
      <c r="H3990" t="s">
        <v>32848</v>
      </c>
      <c r="I3990" t="s">
        <v>9577</v>
      </c>
      <c r="J3990" t="s">
        <v>35597</v>
      </c>
      <c r="K3990" t="s">
        <v>42731</v>
      </c>
      <c r="M3990" t="s">
        <v>44732</v>
      </c>
      <c r="N3990" t="s">
        <v>47424</v>
      </c>
      <c r="O3990" t="s">
        <v>47425</v>
      </c>
      <c r="P3990">
        <v>0</v>
      </c>
      <c r="Q3990">
        <v>1</v>
      </c>
      <c r="R3990" t="s">
        <v>47430</v>
      </c>
      <c r="S3990" t="s">
        <v>47549</v>
      </c>
      <c r="T3990" t="s">
        <v>49111</v>
      </c>
      <c r="U3990" t="s">
        <v>53047</v>
      </c>
      <c r="W3990" t="s">
        <v>44732</v>
      </c>
      <c r="X3990" t="s">
        <v>47432</v>
      </c>
    </row>
    <row r="3991" spans="1:24">
      <c r="A3991">
        <f>HYPERLINK("https://www.philgeps.gov.ph/GEPSNONPILOT/Tender/SplashBidNoticeAbstractUI.aspx?menuIndex=3&amp;refID=7157665&amp;Result=3","7157665")</f>
        <v>0</v>
      </c>
      <c r="B3991" t="s">
        <v>1617</v>
      </c>
      <c r="C3991" t="s">
        <v>7688</v>
      </c>
      <c r="D3991" t="s">
        <v>19084</v>
      </c>
      <c r="E3991" t="s">
        <v>22674</v>
      </c>
      <c r="F3991" t="s">
        <v>32831</v>
      </c>
      <c r="G3991" t="s">
        <v>32840</v>
      </c>
      <c r="H3991" t="s">
        <v>32848</v>
      </c>
      <c r="I3991" t="s">
        <v>32950</v>
      </c>
      <c r="J3991" t="s">
        <v>35598</v>
      </c>
      <c r="K3991" t="s">
        <v>42758</v>
      </c>
      <c r="M3991" t="s">
        <v>44733</v>
      </c>
      <c r="N3991" t="s">
        <v>47424</v>
      </c>
      <c r="O3991" t="s">
        <v>47425</v>
      </c>
      <c r="P3991">
        <v>0</v>
      </c>
      <c r="Q3991">
        <v>0</v>
      </c>
      <c r="R3991" t="s">
        <v>47430</v>
      </c>
      <c r="S3991" t="s">
        <v>47549</v>
      </c>
      <c r="T3991" t="s">
        <v>49145</v>
      </c>
      <c r="U3991" t="s">
        <v>53048</v>
      </c>
      <c r="W3991" t="s">
        <v>44733</v>
      </c>
      <c r="X3991" t="s">
        <v>47432</v>
      </c>
    </row>
    <row r="3992" spans="1:24">
      <c r="A3992">
        <f>HYPERLINK("https://www.philgeps.gov.ph/GEPSNONPILOT/Tender/SplashBidNoticeAbstractUI.aspx?menuIndex=3&amp;refID=7157915&amp;Result=3","7157915")</f>
        <v>0</v>
      </c>
      <c r="B3992" t="s">
        <v>1552</v>
      </c>
      <c r="C3992" t="s">
        <v>7689</v>
      </c>
      <c r="D3992" t="s">
        <v>19074</v>
      </c>
      <c r="E3992" t="s">
        <v>20797</v>
      </c>
      <c r="F3992" t="s">
        <v>32831</v>
      </c>
      <c r="G3992" t="s">
        <v>32839</v>
      </c>
      <c r="H3992" t="s">
        <v>32849</v>
      </c>
      <c r="I3992" t="s">
        <v>4177</v>
      </c>
      <c r="J3992" t="s">
        <v>35599</v>
      </c>
      <c r="K3992" t="s">
        <v>42763</v>
      </c>
      <c r="M3992" t="s">
        <v>44659</v>
      </c>
      <c r="N3992" t="s">
        <v>47424</v>
      </c>
      <c r="O3992" t="s">
        <v>47425</v>
      </c>
      <c r="P3992">
        <v>0</v>
      </c>
      <c r="Q3992">
        <v>0</v>
      </c>
      <c r="R3992" t="s">
        <v>47430</v>
      </c>
      <c r="S3992" t="s">
        <v>47549</v>
      </c>
      <c r="T3992" t="s">
        <v>49179</v>
      </c>
      <c r="U3992" t="s">
        <v>53049</v>
      </c>
      <c r="V3992" t="s">
        <v>63063</v>
      </c>
      <c r="W3992" t="s">
        <v>44659</v>
      </c>
      <c r="X3992" t="s">
        <v>47432</v>
      </c>
    </row>
    <row r="3993" spans="1:24">
      <c r="A3993">
        <f>HYPERLINK("https://www.philgeps.gov.ph/GEPSNONPILOT/Tender/SplashBidNoticeAbstractUI.aspx?menuIndex=3&amp;refID=7158130&amp;Result=3","7158130")</f>
        <v>0</v>
      </c>
      <c r="B3993" t="s">
        <v>1618</v>
      </c>
      <c r="C3993" t="s">
        <v>7690</v>
      </c>
      <c r="D3993" t="s">
        <v>19035</v>
      </c>
      <c r="E3993" t="s">
        <v>22675</v>
      </c>
      <c r="F3993" t="s">
        <v>32831</v>
      </c>
      <c r="G3993" t="s">
        <v>32839</v>
      </c>
      <c r="H3993" t="s">
        <v>32848</v>
      </c>
      <c r="I3993" t="s">
        <v>32902</v>
      </c>
      <c r="J3993" t="s">
        <v>33644</v>
      </c>
      <c r="K3993" t="s">
        <v>42727</v>
      </c>
      <c r="M3993" t="s">
        <v>44734</v>
      </c>
      <c r="N3993" t="s">
        <v>47424</v>
      </c>
      <c r="O3993" t="s">
        <v>47425</v>
      </c>
      <c r="P3993">
        <v>0</v>
      </c>
      <c r="Q3993">
        <v>9</v>
      </c>
      <c r="R3993" t="s">
        <v>47430</v>
      </c>
      <c r="S3993" t="s">
        <v>47549</v>
      </c>
      <c r="T3993" t="s">
        <v>49367</v>
      </c>
      <c r="U3993" t="s">
        <v>53050</v>
      </c>
      <c r="W3993" t="s">
        <v>44734</v>
      </c>
      <c r="X3993" t="s">
        <v>47432</v>
      </c>
    </row>
    <row r="3994" spans="1:24">
      <c r="A3994">
        <f>HYPERLINK("https://www.philgeps.gov.ph/GEPSNONPILOT/Tender/SplashBidNoticeAbstractUI.aspx?menuIndex=3&amp;refID=7157911&amp;Result=3","7157911")</f>
        <v>0</v>
      </c>
      <c r="B3994" t="s">
        <v>1619</v>
      </c>
      <c r="C3994" t="s">
        <v>7691</v>
      </c>
      <c r="D3994" t="s">
        <v>19077</v>
      </c>
      <c r="E3994" t="s">
        <v>22676</v>
      </c>
      <c r="F3994" t="s">
        <v>32831</v>
      </c>
      <c r="G3994" t="s">
        <v>32839</v>
      </c>
      <c r="H3994" t="s">
        <v>32848</v>
      </c>
      <c r="I3994" t="s">
        <v>10643</v>
      </c>
      <c r="J3994" t="s">
        <v>35600</v>
      </c>
      <c r="K3994" t="s">
        <v>42732</v>
      </c>
      <c r="M3994" t="s">
        <v>44735</v>
      </c>
      <c r="N3994" t="s">
        <v>47424</v>
      </c>
      <c r="O3994" t="s">
        <v>47425</v>
      </c>
      <c r="P3994">
        <v>0</v>
      </c>
      <c r="Q3994">
        <v>6</v>
      </c>
      <c r="R3994" t="s">
        <v>47430</v>
      </c>
      <c r="S3994" t="s">
        <v>47549</v>
      </c>
      <c r="T3994" t="s">
        <v>49089</v>
      </c>
      <c r="U3994" t="s">
        <v>53051</v>
      </c>
      <c r="W3994" t="s">
        <v>44735</v>
      </c>
      <c r="X3994" t="s">
        <v>47432</v>
      </c>
    </row>
    <row r="3995" spans="1:24">
      <c r="A3995">
        <f>HYPERLINK("https://www.philgeps.gov.ph/GEPSNONPILOT/Tender/SplashBidNoticeAbstractUI.aspx?menuIndex=3&amp;refID=7158054&amp;Result=3","7158054")</f>
        <v>0</v>
      </c>
      <c r="B3995" t="s">
        <v>1620</v>
      </c>
      <c r="C3995" t="s">
        <v>7692</v>
      </c>
      <c r="D3995" t="s">
        <v>19017</v>
      </c>
      <c r="E3995" t="s">
        <v>22677</v>
      </c>
      <c r="F3995" t="s">
        <v>32831</v>
      </c>
      <c r="G3995" t="s">
        <v>32839</v>
      </c>
      <c r="H3995" t="s">
        <v>32848</v>
      </c>
      <c r="I3995" t="s">
        <v>9577</v>
      </c>
      <c r="J3995" t="s">
        <v>33044</v>
      </c>
      <c r="K3995" t="s">
        <v>42726</v>
      </c>
      <c r="M3995" t="s">
        <v>44736</v>
      </c>
      <c r="N3995" t="s">
        <v>47424</v>
      </c>
      <c r="O3995" t="s">
        <v>47425</v>
      </c>
      <c r="P3995">
        <v>0</v>
      </c>
      <c r="Q3995">
        <v>6</v>
      </c>
      <c r="R3995" t="s">
        <v>47430</v>
      </c>
      <c r="S3995" t="s">
        <v>47549</v>
      </c>
      <c r="T3995" t="s">
        <v>49123</v>
      </c>
      <c r="U3995" t="s">
        <v>53052</v>
      </c>
      <c r="V3995" t="s">
        <v>63064</v>
      </c>
      <c r="W3995" t="s">
        <v>44736</v>
      </c>
      <c r="X3995" t="s">
        <v>47432</v>
      </c>
    </row>
    <row r="3996" spans="1:24">
      <c r="A3996">
        <f>HYPERLINK("https://www.philgeps.gov.ph/GEPSNONPILOT/Tender/SplashBidNoticeAbstractUI.aspx?menuIndex=3&amp;refID=7157893&amp;Result=3","7157893")</f>
        <v>0</v>
      </c>
      <c r="B3996" t="s">
        <v>818</v>
      </c>
      <c r="C3996" t="s">
        <v>7693</v>
      </c>
      <c r="D3996" t="s">
        <v>19017</v>
      </c>
      <c r="E3996" t="s">
        <v>22678</v>
      </c>
      <c r="F3996" t="s">
        <v>32831</v>
      </c>
      <c r="G3996" t="s">
        <v>32839</v>
      </c>
      <c r="H3996" t="s">
        <v>32848</v>
      </c>
      <c r="I3996" t="s">
        <v>4222</v>
      </c>
      <c r="J3996" t="s">
        <v>35601</v>
      </c>
      <c r="K3996" t="s">
        <v>42732</v>
      </c>
      <c r="M3996" t="s">
        <v>43849</v>
      </c>
      <c r="N3996" t="s">
        <v>47424</v>
      </c>
      <c r="O3996" t="s">
        <v>47425</v>
      </c>
      <c r="P3996">
        <v>0</v>
      </c>
      <c r="Q3996">
        <v>10</v>
      </c>
      <c r="R3996" t="s">
        <v>47430</v>
      </c>
      <c r="S3996" t="s">
        <v>47549</v>
      </c>
      <c r="T3996" t="s">
        <v>49181</v>
      </c>
      <c r="U3996" t="s">
        <v>53053</v>
      </c>
      <c r="W3996" t="s">
        <v>43849</v>
      </c>
      <c r="X3996" t="s">
        <v>47432</v>
      </c>
    </row>
    <row r="3997" spans="1:24">
      <c r="A3997">
        <f>HYPERLINK("https://www.philgeps.gov.ph/GEPSNONPILOT/Tender/SplashBidNoticeAbstractUI.aspx?menuIndex=3&amp;refID=7157852&amp;Result=3","7157852")</f>
        <v>0</v>
      </c>
      <c r="B3997" t="s">
        <v>1611</v>
      </c>
      <c r="C3997" t="s">
        <v>7694</v>
      </c>
      <c r="D3997" t="s">
        <v>19077</v>
      </c>
      <c r="E3997" t="s">
        <v>22679</v>
      </c>
      <c r="F3997" t="s">
        <v>32831</v>
      </c>
      <c r="G3997" t="s">
        <v>32838</v>
      </c>
      <c r="H3997" t="s">
        <v>32848</v>
      </c>
      <c r="I3997" t="s">
        <v>32886</v>
      </c>
      <c r="J3997" t="s">
        <v>35602</v>
      </c>
      <c r="K3997" t="s">
        <v>42726</v>
      </c>
      <c r="M3997" t="s">
        <v>44727</v>
      </c>
      <c r="N3997" t="s">
        <v>47424</v>
      </c>
      <c r="O3997" t="s">
        <v>47425</v>
      </c>
      <c r="P3997">
        <v>0</v>
      </c>
      <c r="Q3997">
        <v>5</v>
      </c>
      <c r="R3997" t="s">
        <v>47430</v>
      </c>
      <c r="S3997" t="s">
        <v>47549</v>
      </c>
      <c r="T3997" t="s">
        <v>49056</v>
      </c>
      <c r="U3997" t="s">
        <v>53054</v>
      </c>
      <c r="W3997" t="s">
        <v>44727</v>
      </c>
      <c r="X3997" t="s">
        <v>47432</v>
      </c>
    </row>
    <row r="3998" spans="1:24">
      <c r="A3998">
        <f>HYPERLINK("https://www.philgeps.gov.ph/GEPSNONPILOT/Tender/SplashBidNoticeAbstractUI.aspx?menuIndex=3&amp;refID=7157986&amp;Result=3","7157986")</f>
        <v>0</v>
      </c>
      <c r="B3998" t="s">
        <v>1616</v>
      </c>
      <c r="C3998" t="s">
        <v>7695</v>
      </c>
      <c r="D3998" t="s">
        <v>19033</v>
      </c>
      <c r="E3998" t="s">
        <v>22680</v>
      </c>
      <c r="F3998" t="s">
        <v>32831</v>
      </c>
      <c r="G3998" t="s">
        <v>32840</v>
      </c>
      <c r="H3998" t="s">
        <v>32848</v>
      </c>
      <c r="I3998" t="s">
        <v>7416</v>
      </c>
      <c r="J3998" t="s">
        <v>35603</v>
      </c>
      <c r="K3998" t="s">
        <v>42731</v>
      </c>
      <c r="M3998" t="s">
        <v>44732</v>
      </c>
      <c r="N3998" t="s">
        <v>47424</v>
      </c>
      <c r="O3998" t="s">
        <v>47425</v>
      </c>
      <c r="P3998">
        <v>0</v>
      </c>
      <c r="Q3998">
        <v>0</v>
      </c>
      <c r="R3998" t="s">
        <v>47430</v>
      </c>
      <c r="S3998" t="s">
        <v>47549</v>
      </c>
      <c r="T3998" t="s">
        <v>49111</v>
      </c>
      <c r="U3998" t="s">
        <v>53047</v>
      </c>
      <c r="W3998" t="s">
        <v>44732</v>
      </c>
      <c r="X3998" t="s">
        <v>47432</v>
      </c>
    </row>
    <row r="3999" spans="1:24">
      <c r="A3999">
        <f>HYPERLINK("https://www.philgeps.gov.ph/GEPSNONPILOT/Tender/SplashBidNoticeAbstractUI.aspx?menuIndex=3&amp;refID=7158551&amp;Result=3","7158551")</f>
        <v>0</v>
      </c>
      <c r="B3999" t="s">
        <v>1621</v>
      </c>
      <c r="C3999" t="s">
        <v>7696</v>
      </c>
      <c r="D3999" t="s">
        <v>19021</v>
      </c>
      <c r="E3999" t="s">
        <v>19130</v>
      </c>
      <c r="F3999" t="s">
        <v>32831</v>
      </c>
      <c r="G3999" t="s">
        <v>32842</v>
      </c>
      <c r="H3999" t="s">
        <v>32848</v>
      </c>
      <c r="I3999" t="s">
        <v>10643</v>
      </c>
      <c r="J3999" t="s">
        <v>35135</v>
      </c>
      <c r="K3999" t="s">
        <v>42726</v>
      </c>
      <c r="M3999" t="s">
        <v>44737</v>
      </c>
      <c r="N3999" t="s">
        <v>47424</v>
      </c>
      <c r="O3999" t="s">
        <v>47425</v>
      </c>
      <c r="P3999">
        <v>0</v>
      </c>
      <c r="Q3999">
        <v>3</v>
      </c>
      <c r="R3999" t="s">
        <v>47430</v>
      </c>
      <c r="S3999" t="s">
        <v>47549</v>
      </c>
      <c r="T3999" t="s">
        <v>49235</v>
      </c>
      <c r="U3999" t="s">
        <v>53055</v>
      </c>
      <c r="W3999" t="s">
        <v>44737</v>
      </c>
      <c r="X3999" t="s">
        <v>47431</v>
      </c>
    </row>
    <row r="4000" spans="1:24">
      <c r="A4000">
        <f>HYPERLINK("https://www.philgeps.gov.ph/GEPSNONPILOT/Tender/SplashBidNoticeAbstractUI.aspx?menuIndex=3&amp;refID=7157900&amp;Result=3","7157900")</f>
        <v>0</v>
      </c>
      <c r="B4000" t="s">
        <v>1609</v>
      </c>
      <c r="C4000" t="s">
        <v>7697</v>
      </c>
      <c r="D4000" t="s">
        <v>19060</v>
      </c>
      <c r="E4000" t="s">
        <v>22681</v>
      </c>
      <c r="F4000" t="s">
        <v>32831</v>
      </c>
      <c r="G4000" t="s">
        <v>32838</v>
      </c>
      <c r="H4000" t="s">
        <v>32848</v>
      </c>
      <c r="I4000" t="s">
        <v>32857</v>
      </c>
      <c r="J4000" t="s">
        <v>35604</v>
      </c>
      <c r="K4000" t="s">
        <v>42730</v>
      </c>
      <c r="M4000" t="s">
        <v>44725</v>
      </c>
      <c r="N4000" t="s">
        <v>47424</v>
      </c>
      <c r="O4000" t="s">
        <v>47425</v>
      </c>
      <c r="P4000">
        <v>0</v>
      </c>
      <c r="Q4000">
        <v>3</v>
      </c>
      <c r="R4000" t="s">
        <v>47430</v>
      </c>
      <c r="S4000" t="s">
        <v>47549</v>
      </c>
      <c r="T4000" t="s">
        <v>49056</v>
      </c>
      <c r="U4000" t="s">
        <v>53056</v>
      </c>
      <c r="V4000" t="s">
        <v>62833</v>
      </c>
      <c r="W4000" t="s">
        <v>44725</v>
      </c>
      <c r="X4000" t="s">
        <v>47432</v>
      </c>
    </row>
    <row r="4001" spans="1:24">
      <c r="A4001">
        <f>HYPERLINK("https://www.philgeps.gov.ph/GEPSNONPILOT/Tender/SplashBidNoticeAbstractUI.aspx?menuIndex=3&amp;refID=7157734&amp;Result=3","7157734")</f>
        <v>0</v>
      </c>
      <c r="B4001" t="s">
        <v>1611</v>
      </c>
      <c r="C4001" t="s">
        <v>7698</v>
      </c>
      <c r="D4001" t="s">
        <v>19077</v>
      </c>
      <c r="E4001" t="s">
        <v>22682</v>
      </c>
      <c r="F4001" t="s">
        <v>32831</v>
      </c>
      <c r="G4001" t="s">
        <v>32838</v>
      </c>
      <c r="H4001" t="s">
        <v>32848</v>
      </c>
      <c r="I4001" t="s">
        <v>32870</v>
      </c>
      <c r="J4001" t="s">
        <v>35605</v>
      </c>
      <c r="K4001" t="s">
        <v>42726</v>
      </c>
      <c r="M4001" t="s">
        <v>44727</v>
      </c>
      <c r="N4001" t="s">
        <v>47424</v>
      </c>
      <c r="O4001" t="s">
        <v>47425</v>
      </c>
      <c r="P4001">
        <v>0</v>
      </c>
      <c r="Q4001">
        <v>0</v>
      </c>
      <c r="R4001" t="s">
        <v>47430</v>
      </c>
      <c r="S4001" t="s">
        <v>47549</v>
      </c>
      <c r="T4001" t="s">
        <v>49056</v>
      </c>
      <c r="U4001" t="s">
        <v>53057</v>
      </c>
      <c r="W4001" t="s">
        <v>44727</v>
      </c>
      <c r="X4001" t="s">
        <v>47432</v>
      </c>
    </row>
    <row r="4002" spans="1:24">
      <c r="A4002">
        <f>HYPERLINK("https://www.philgeps.gov.ph/GEPSNONPILOT/Tender/SplashBidNoticeAbstractUI.aspx?menuIndex=3&amp;refID=7158423&amp;Result=3","7158423")</f>
        <v>0</v>
      </c>
      <c r="B4002" t="s">
        <v>1620</v>
      </c>
      <c r="C4002" t="s">
        <v>7699</v>
      </c>
      <c r="D4002" t="s">
        <v>19017</v>
      </c>
      <c r="E4002" t="s">
        <v>22683</v>
      </c>
      <c r="F4002" t="s">
        <v>32831</v>
      </c>
      <c r="G4002" t="s">
        <v>32839</v>
      </c>
      <c r="H4002" t="s">
        <v>32848</v>
      </c>
      <c r="I4002" t="s">
        <v>32862</v>
      </c>
      <c r="J4002" t="s">
        <v>33044</v>
      </c>
      <c r="K4002" t="s">
        <v>42726</v>
      </c>
      <c r="M4002" t="s">
        <v>44736</v>
      </c>
      <c r="N4002" t="s">
        <v>47424</v>
      </c>
      <c r="O4002" t="s">
        <v>47425</v>
      </c>
      <c r="P4002">
        <v>0</v>
      </c>
      <c r="Q4002">
        <v>2</v>
      </c>
      <c r="R4002" t="s">
        <v>47430</v>
      </c>
      <c r="S4002" t="s">
        <v>47549</v>
      </c>
      <c r="T4002" t="s">
        <v>49123</v>
      </c>
      <c r="U4002" t="s">
        <v>53058</v>
      </c>
      <c r="V4002" t="s">
        <v>63064</v>
      </c>
      <c r="W4002" t="s">
        <v>44736</v>
      </c>
      <c r="X4002" t="s">
        <v>47432</v>
      </c>
    </row>
    <row r="4003" spans="1:24">
      <c r="A4003">
        <f>HYPERLINK("https://www.philgeps.gov.ph/GEPSNONPILOT/Tender/SplashBidNoticeAbstractUI.aspx?menuIndex=3&amp;refID=7158545&amp;Result=3","7158545")</f>
        <v>0</v>
      </c>
      <c r="B4003" t="s">
        <v>192</v>
      </c>
      <c r="C4003" t="s">
        <v>7700</v>
      </c>
      <c r="D4003" t="s">
        <v>19057</v>
      </c>
      <c r="E4003" t="s">
        <v>22684</v>
      </c>
      <c r="F4003" t="s">
        <v>32831</v>
      </c>
      <c r="G4003" t="s">
        <v>32839</v>
      </c>
      <c r="H4003" t="s">
        <v>32848</v>
      </c>
      <c r="I4003" t="s">
        <v>10805</v>
      </c>
      <c r="J4003" t="s">
        <v>35606</v>
      </c>
      <c r="K4003" t="s">
        <v>42747</v>
      </c>
      <c r="M4003" t="s">
        <v>43190</v>
      </c>
      <c r="N4003" t="s">
        <v>47424</v>
      </c>
      <c r="O4003" t="s">
        <v>47425</v>
      </c>
      <c r="P4003">
        <v>0</v>
      </c>
      <c r="Q4003">
        <v>17</v>
      </c>
      <c r="R4003" t="s">
        <v>47430</v>
      </c>
      <c r="S4003" t="s">
        <v>47549</v>
      </c>
      <c r="T4003" t="s">
        <v>49118</v>
      </c>
      <c r="U4003" t="s">
        <v>53059</v>
      </c>
      <c r="W4003" t="s">
        <v>43190</v>
      </c>
      <c r="X4003" t="s">
        <v>47432</v>
      </c>
    </row>
    <row r="4004" spans="1:24">
      <c r="A4004">
        <f>HYPERLINK("https://www.philgeps.gov.ph/GEPSNONPILOT/Tender/SplashBidNoticeAbstractUI.aspx?menuIndex=3&amp;refID=7158404&amp;Result=3","7158404")</f>
        <v>0</v>
      </c>
      <c r="B4004" t="s">
        <v>1622</v>
      </c>
      <c r="C4004" t="s">
        <v>7701</v>
      </c>
      <c r="D4004" t="s">
        <v>19017</v>
      </c>
      <c r="E4004" t="s">
        <v>19854</v>
      </c>
      <c r="F4004" t="s">
        <v>32831</v>
      </c>
      <c r="G4004" t="s">
        <v>32840</v>
      </c>
      <c r="H4004" t="s">
        <v>32848</v>
      </c>
      <c r="I4004" t="s">
        <v>32858</v>
      </c>
      <c r="J4004" t="s">
        <v>33007</v>
      </c>
      <c r="K4004" t="s">
        <v>42731</v>
      </c>
      <c r="M4004" t="s">
        <v>44738</v>
      </c>
      <c r="N4004" t="s">
        <v>47424</v>
      </c>
      <c r="O4004" t="s">
        <v>47425</v>
      </c>
      <c r="P4004">
        <v>0</v>
      </c>
      <c r="Q4004">
        <v>2</v>
      </c>
      <c r="R4004" t="s">
        <v>47430</v>
      </c>
      <c r="S4004" t="s">
        <v>47549</v>
      </c>
      <c r="T4004" t="s">
        <v>49108</v>
      </c>
      <c r="U4004" t="s">
        <v>53060</v>
      </c>
      <c r="W4004" t="s">
        <v>44738</v>
      </c>
      <c r="X4004" t="s">
        <v>47432</v>
      </c>
    </row>
    <row r="4005" spans="1:24">
      <c r="A4005">
        <f>HYPERLINK("https://www.philgeps.gov.ph/GEPSNONPILOT/Tender/SplashBidNoticeAbstractUI.aspx?menuIndex=3&amp;refID=7158548&amp;Result=3","7158548")</f>
        <v>0</v>
      </c>
      <c r="B4005" t="s">
        <v>1623</v>
      </c>
      <c r="C4005" t="s">
        <v>7702</v>
      </c>
      <c r="D4005" t="s">
        <v>19042</v>
      </c>
      <c r="E4005" t="s">
        <v>19970</v>
      </c>
      <c r="F4005" t="s">
        <v>32831</v>
      </c>
      <c r="G4005" t="s">
        <v>32839</v>
      </c>
      <c r="H4005" t="s">
        <v>32848</v>
      </c>
      <c r="I4005" t="s">
        <v>4471</v>
      </c>
      <c r="J4005" t="s">
        <v>35607</v>
      </c>
      <c r="K4005" t="s">
        <v>42758</v>
      </c>
      <c r="M4005" t="s">
        <v>44739</v>
      </c>
      <c r="N4005" t="s">
        <v>47424</v>
      </c>
      <c r="O4005" t="s">
        <v>47425</v>
      </c>
      <c r="P4005">
        <v>0</v>
      </c>
      <c r="Q4005">
        <v>0</v>
      </c>
      <c r="R4005" t="s">
        <v>47430</v>
      </c>
      <c r="S4005" t="s">
        <v>47549</v>
      </c>
      <c r="T4005" t="s">
        <v>49123</v>
      </c>
      <c r="U4005" t="s">
        <v>53061</v>
      </c>
      <c r="W4005" t="s">
        <v>44739</v>
      </c>
      <c r="X4005" t="s">
        <v>47431</v>
      </c>
    </row>
    <row r="4006" spans="1:24">
      <c r="A4006">
        <f>HYPERLINK("https://www.philgeps.gov.ph/GEPSNONPILOT/Tender/SplashBidNoticeAbstractUI.aspx?menuIndex=3&amp;refID=7157181&amp;Result=3","7157181")</f>
        <v>0</v>
      </c>
      <c r="B4006" t="s">
        <v>1597</v>
      </c>
      <c r="C4006" t="s">
        <v>7703</v>
      </c>
      <c r="D4006" t="s">
        <v>19031</v>
      </c>
      <c r="E4006" t="s">
        <v>22685</v>
      </c>
      <c r="F4006" t="s">
        <v>32831</v>
      </c>
      <c r="G4006" t="s">
        <v>32839</v>
      </c>
      <c r="H4006" t="s">
        <v>32849</v>
      </c>
      <c r="I4006" t="s">
        <v>4177</v>
      </c>
      <c r="J4006" t="s">
        <v>35608</v>
      </c>
      <c r="K4006" t="s">
        <v>42747</v>
      </c>
      <c r="M4006" t="s">
        <v>44712</v>
      </c>
      <c r="N4006" t="s">
        <v>47424</v>
      </c>
      <c r="O4006" t="s">
        <v>47425</v>
      </c>
      <c r="P4006">
        <v>0</v>
      </c>
      <c r="Q4006">
        <v>0</v>
      </c>
      <c r="R4006" t="s">
        <v>47430</v>
      </c>
      <c r="S4006" t="s">
        <v>47549</v>
      </c>
      <c r="T4006" t="s">
        <v>49069</v>
      </c>
      <c r="U4006" t="s">
        <v>52997</v>
      </c>
      <c r="V4006" t="s">
        <v>63051</v>
      </c>
      <c r="W4006" t="s">
        <v>44712</v>
      </c>
      <c r="X4006" t="s">
        <v>47432</v>
      </c>
    </row>
    <row r="4007" spans="1:24">
      <c r="A4007">
        <f>HYPERLINK("https://www.philgeps.gov.ph/GEPSNONPILOT/Tender/SplashBidNoticeAbstractUI.aspx?menuIndex=3&amp;refID=7158385&amp;Result=3","7158385")</f>
        <v>0</v>
      </c>
      <c r="B4007" t="s">
        <v>1624</v>
      </c>
      <c r="C4007" t="s">
        <v>7704</v>
      </c>
      <c r="D4007" t="s">
        <v>19094</v>
      </c>
      <c r="E4007" t="s">
        <v>22686</v>
      </c>
      <c r="F4007" t="s">
        <v>32831</v>
      </c>
      <c r="G4007" t="s">
        <v>32839</v>
      </c>
      <c r="H4007" t="s">
        <v>32849</v>
      </c>
      <c r="I4007" t="s">
        <v>4177</v>
      </c>
      <c r="J4007" t="s">
        <v>35609</v>
      </c>
      <c r="K4007" t="s">
        <v>42763</v>
      </c>
      <c r="M4007" t="s">
        <v>44740</v>
      </c>
      <c r="N4007" t="s">
        <v>47424</v>
      </c>
      <c r="O4007" t="s">
        <v>47425</v>
      </c>
      <c r="P4007">
        <v>0</v>
      </c>
      <c r="Q4007">
        <v>1</v>
      </c>
      <c r="R4007" t="s">
        <v>47430</v>
      </c>
      <c r="S4007" t="s">
        <v>47549</v>
      </c>
      <c r="T4007" t="s">
        <v>49267</v>
      </c>
      <c r="U4007" t="s">
        <v>53062</v>
      </c>
      <c r="V4007" t="s">
        <v>63065</v>
      </c>
      <c r="W4007" t="s">
        <v>44740</v>
      </c>
      <c r="X4007" t="s">
        <v>47432</v>
      </c>
    </row>
    <row r="4008" spans="1:24">
      <c r="A4008">
        <f>HYPERLINK("https://www.philgeps.gov.ph/GEPSNONPILOT/Tender/SplashBidNoticeAbstractUI.aspx?menuIndex=3&amp;refID=7158361&amp;Result=3","7158361")</f>
        <v>0</v>
      </c>
      <c r="B4008" t="s">
        <v>1624</v>
      </c>
      <c r="C4008" t="s">
        <v>7705</v>
      </c>
      <c r="D4008" t="s">
        <v>19094</v>
      </c>
      <c r="E4008" t="s">
        <v>22687</v>
      </c>
      <c r="F4008" t="s">
        <v>32831</v>
      </c>
      <c r="G4008" t="s">
        <v>32839</v>
      </c>
      <c r="H4008" t="s">
        <v>32849</v>
      </c>
      <c r="I4008" t="s">
        <v>4177</v>
      </c>
      <c r="J4008" t="s">
        <v>35610</v>
      </c>
      <c r="K4008" t="s">
        <v>42800</v>
      </c>
      <c r="M4008" t="s">
        <v>44740</v>
      </c>
      <c r="N4008" t="s">
        <v>47424</v>
      </c>
      <c r="O4008" t="s">
        <v>47425</v>
      </c>
      <c r="P4008">
        <v>0</v>
      </c>
      <c r="Q4008">
        <v>1</v>
      </c>
      <c r="R4008" t="s">
        <v>47430</v>
      </c>
      <c r="S4008" t="s">
        <v>47549</v>
      </c>
      <c r="T4008" t="s">
        <v>49267</v>
      </c>
      <c r="U4008" t="s">
        <v>53063</v>
      </c>
      <c r="V4008" t="s">
        <v>63065</v>
      </c>
      <c r="W4008" t="s">
        <v>44740</v>
      </c>
      <c r="X4008" t="s">
        <v>47432</v>
      </c>
    </row>
    <row r="4009" spans="1:24">
      <c r="A4009">
        <f>HYPERLINK("https://www.philgeps.gov.ph/GEPSNONPILOT/Tender/SplashBidNoticeAbstractUI.aspx?menuIndex=3&amp;refID=7158365&amp;Result=3","7158365")</f>
        <v>0</v>
      </c>
      <c r="B4009" t="s">
        <v>1620</v>
      </c>
      <c r="C4009" t="s">
        <v>7706</v>
      </c>
      <c r="D4009" t="s">
        <v>19017</v>
      </c>
      <c r="E4009" t="s">
        <v>22688</v>
      </c>
      <c r="F4009" t="s">
        <v>32831</v>
      </c>
      <c r="G4009" t="s">
        <v>32839</v>
      </c>
      <c r="H4009" t="s">
        <v>32848</v>
      </c>
      <c r="I4009" t="s">
        <v>11484</v>
      </c>
      <c r="J4009" t="s">
        <v>33087</v>
      </c>
      <c r="K4009" t="s">
        <v>42726</v>
      </c>
      <c r="M4009" t="s">
        <v>44736</v>
      </c>
      <c r="N4009" t="s">
        <v>47424</v>
      </c>
      <c r="O4009" t="s">
        <v>47425</v>
      </c>
      <c r="P4009">
        <v>0</v>
      </c>
      <c r="Q4009">
        <v>4</v>
      </c>
      <c r="R4009" t="s">
        <v>47430</v>
      </c>
      <c r="S4009" t="s">
        <v>47549</v>
      </c>
      <c r="T4009" t="s">
        <v>49123</v>
      </c>
      <c r="U4009" t="s">
        <v>53064</v>
      </c>
      <c r="V4009" t="s">
        <v>63064</v>
      </c>
      <c r="W4009" t="s">
        <v>44736</v>
      </c>
      <c r="X4009" t="s">
        <v>47432</v>
      </c>
    </row>
    <row r="4010" spans="1:24">
      <c r="A4010">
        <f>HYPERLINK("https://www.philgeps.gov.ph/GEPSNONPILOT/Tender/SplashBidNoticeAbstractUI.aspx?menuIndex=3&amp;refID=7158299&amp;Result=3","7158299")</f>
        <v>0</v>
      </c>
      <c r="B4010" t="s">
        <v>1625</v>
      </c>
      <c r="C4010" t="s">
        <v>7707</v>
      </c>
      <c r="D4010" t="s">
        <v>19068</v>
      </c>
      <c r="E4010" t="s">
        <v>19203</v>
      </c>
      <c r="F4010" t="s">
        <v>32831</v>
      </c>
      <c r="G4010" t="s">
        <v>32839</v>
      </c>
      <c r="H4010" t="s">
        <v>32848</v>
      </c>
      <c r="I4010" t="s">
        <v>7416</v>
      </c>
      <c r="J4010" t="s">
        <v>35611</v>
      </c>
      <c r="K4010" t="s">
        <v>42731</v>
      </c>
      <c r="M4010" t="s">
        <v>44741</v>
      </c>
      <c r="N4010" t="s">
        <v>47424</v>
      </c>
      <c r="O4010" t="s">
        <v>47425</v>
      </c>
      <c r="P4010">
        <v>0</v>
      </c>
      <c r="Q4010">
        <v>0</v>
      </c>
      <c r="R4010" t="s">
        <v>47430</v>
      </c>
      <c r="S4010" t="s">
        <v>47549</v>
      </c>
      <c r="T4010" t="s">
        <v>49304</v>
      </c>
      <c r="U4010" t="s">
        <v>53065</v>
      </c>
      <c r="W4010" t="s">
        <v>44741</v>
      </c>
      <c r="X4010" t="s">
        <v>47432</v>
      </c>
    </row>
    <row r="4011" spans="1:24">
      <c r="A4011">
        <f>HYPERLINK("https://www.philgeps.gov.ph/GEPSNONPILOT/Tender/SplashBidNoticeAbstractUI.aspx?menuIndex=3&amp;refID=7158296&amp;Result=3","7158296")</f>
        <v>0</v>
      </c>
      <c r="B4011" t="s">
        <v>958</v>
      </c>
      <c r="C4011" t="s">
        <v>7708</v>
      </c>
      <c r="D4011" t="s">
        <v>19049</v>
      </c>
      <c r="E4011" t="s">
        <v>22689</v>
      </c>
      <c r="F4011" t="s">
        <v>32831</v>
      </c>
      <c r="G4011" t="s">
        <v>32840</v>
      </c>
      <c r="H4011" t="s">
        <v>32848</v>
      </c>
      <c r="I4011" t="s">
        <v>9577</v>
      </c>
      <c r="J4011" t="s">
        <v>35612</v>
      </c>
      <c r="K4011" t="s">
        <v>42732</v>
      </c>
      <c r="M4011" t="s">
        <v>44004</v>
      </c>
      <c r="N4011" t="s">
        <v>47424</v>
      </c>
      <c r="O4011" t="s">
        <v>47425</v>
      </c>
      <c r="P4011">
        <v>0</v>
      </c>
      <c r="Q4011">
        <v>1</v>
      </c>
      <c r="R4011" t="s">
        <v>47430</v>
      </c>
      <c r="S4011" t="s">
        <v>47549</v>
      </c>
      <c r="T4011" t="s">
        <v>49061</v>
      </c>
      <c r="U4011" t="s">
        <v>53066</v>
      </c>
      <c r="W4011" t="s">
        <v>44004</v>
      </c>
      <c r="X4011" t="s">
        <v>47432</v>
      </c>
    </row>
    <row r="4012" spans="1:24">
      <c r="A4012">
        <f>HYPERLINK("https://www.philgeps.gov.ph/GEPSNONPILOT/Tender/SplashBidNoticeAbstractUI.aspx?menuIndex=3&amp;refID=7158550&amp;Result=3","7158550")</f>
        <v>0</v>
      </c>
      <c r="B4012" t="s">
        <v>1621</v>
      </c>
      <c r="C4012" t="s">
        <v>7709</v>
      </c>
      <c r="D4012" t="s">
        <v>19021</v>
      </c>
      <c r="E4012" t="s">
        <v>19211</v>
      </c>
      <c r="F4012" t="s">
        <v>32831</v>
      </c>
      <c r="G4012" t="s">
        <v>32842</v>
      </c>
      <c r="H4012" t="s">
        <v>32848</v>
      </c>
      <c r="I4012" t="s">
        <v>32860</v>
      </c>
      <c r="J4012" t="s">
        <v>35613</v>
      </c>
      <c r="K4012" t="s">
        <v>42726</v>
      </c>
      <c r="M4012" t="s">
        <v>44737</v>
      </c>
      <c r="N4012" t="s">
        <v>47424</v>
      </c>
      <c r="O4012" t="s">
        <v>47425</v>
      </c>
      <c r="P4012">
        <v>0</v>
      </c>
      <c r="Q4012">
        <v>3</v>
      </c>
      <c r="R4012" t="s">
        <v>47430</v>
      </c>
      <c r="S4012" t="s">
        <v>47549</v>
      </c>
      <c r="T4012" t="s">
        <v>49235</v>
      </c>
      <c r="U4012" t="s">
        <v>53067</v>
      </c>
      <c r="V4012" t="s">
        <v>63066</v>
      </c>
      <c r="W4012" t="s">
        <v>44737</v>
      </c>
      <c r="X4012" t="s">
        <v>47431</v>
      </c>
    </row>
    <row r="4013" spans="1:24">
      <c r="A4013">
        <f>HYPERLINK("https://www.philgeps.gov.ph/GEPSNONPILOT/Tender/SplashBidNoticeAbstractUI.aspx?menuIndex=3&amp;refID=7158246&amp;Result=3","7158246")</f>
        <v>0</v>
      </c>
      <c r="B4013" t="s">
        <v>958</v>
      </c>
      <c r="C4013" t="s">
        <v>7710</v>
      </c>
      <c r="D4013" t="s">
        <v>19049</v>
      </c>
      <c r="E4013" t="s">
        <v>22690</v>
      </c>
      <c r="F4013" t="s">
        <v>32831</v>
      </c>
      <c r="G4013" t="s">
        <v>32840</v>
      </c>
      <c r="H4013" t="s">
        <v>32848</v>
      </c>
      <c r="I4013" t="s">
        <v>32860</v>
      </c>
      <c r="J4013" t="s">
        <v>33226</v>
      </c>
      <c r="K4013" t="s">
        <v>42732</v>
      </c>
      <c r="M4013" t="s">
        <v>44004</v>
      </c>
      <c r="N4013" t="s">
        <v>47424</v>
      </c>
      <c r="O4013" t="s">
        <v>47425</v>
      </c>
      <c r="P4013">
        <v>0</v>
      </c>
      <c r="Q4013">
        <v>1</v>
      </c>
      <c r="R4013" t="s">
        <v>47430</v>
      </c>
      <c r="S4013" t="s">
        <v>47549</v>
      </c>
      <c r="T4013" t="s">
        <v>49061</v>
      </c>
      <c r="U4013" t="s">
        <v>53068</v>
      </c>
      <c r="W4013" t="s">
        <v>44004</v>
      </c>
      <c r="X4013" t="s">
        <v>47432</v>
      </c>
    </row>
    <row r="4014" spans="1:24">
      <c r="A4014">
        <f>HYPERLINK("https://www.philgeps.gov.ph/GEPSNONPILOT/Tender/SplashBidNoticeAbstractUI.aspx?menuIndex=3&amp;refID=7158220&amp;Result=3","7158220")</f>
        <v>0</v>
      </c>
      <c r="B4014" t="s">
        <v>1626</v>
      </c>
      <c r="C4014" t="s">
        <v>7711</v>
      </c>
      <c r="D4014" t="s">
        <v>19030</v>
      </c>
      <c r="E4014" t="s">
        <v>19311</v>
      </c>
      <c r="F4014" t="s">
        <v>32831</v>
      </c>
      <c r="G4014" t="s">
        <v>32842</v>
      </c>
      <c r="H4014" t="s">
        <v>32848</v>
      </c>
      <c r="I4014" t="s">
        <v>4776</v>
      </c>
      <c r="J4014" t="s">
        <v>35614</v>
      </c>
      <c r="K4014" t="s">
        <v>42727</v>
      </c>
      <c r="M4014" t="s">
        <v>44742</v>
      </c>
      <c r="N4014" t="s">
        <v>47424</v>
      </c>
      <c r="O4014" t="s">
        <v>47425</v>
      </c>
      <c r="P4014">
        <v>0</v>
      </c>
      <c r="Q4014">
        <v>2</v>
      </c>
      <c r="R4014" t="s">
        <v>47430</v>
      </c>
      <c r="S4014" t="s">
        <v>47549</v>
      </c>
      <c r="T4014" t="s">
        <v>49368</v>
      </c>
      <c r="U4014" t="s">
        <v>53069</v>
      </c>
      <c r="V4014" t="s">
        <v>63067</v>
      </c>
      <c r="W4014" t="s">
        <v>44742</v>
      </c>
      <c r="X4014" t="s">
        <v>47432</v>
      </c>
    </row>
    <row r="4015" spans="1:24">
      <c r="A4015">
        <f>HYPERLINK("https://www.philgeps.gov.ph/GEPSNONPILOT/Tender/SplashBidNoticeAbstractUI.aspx?menuIndex=3&amp;refID=7158390&amp;Result=3","7158390")</f>
        <v>0</v>
      </c>
      <c r="B4015" t="s">
        <v>1627</v>
      </c>
      <c r="C4015" t="s">
        <v>7712</v>
      </c>
      <c r="D4015" t="s">
        <v>19023</v>
      </c>
      <c r="E4015" t="s">
        <v>22691</v>
      </c>
      <c r="F4015" t="s">
        <v>32831</v>
      </c>
      <c r="G4015" t="s">
        <v>32839</v>
      </c>
      <c r="H4015" t="s">
        <v>32848</v>
      </c>
      <c r="I4015" t="s">
        <v>32935</v>
      </c>
      <c r="J4015" t="s">
        <v>33017</v>
      </c>
      <c r="K4015" t="s">
        <v>42729</v>
      </c>
      <c r="M4015" t="s">
        <v>44743</v>
      </c>
      <c r="N4015" t="s">
        <v>47424</v>
      </c>
      <c r="O4015" t="s">
        <v>47425</v>
      </c>
      <c r="P4015">
        <v>0</v>
      </c>
      <c r="Q4015">
        <v>2</v>
      </c>
      <c r="R4015" t="s">
        <v>47430</v>
      </c>
      <c r="S4015" t="s">
        <v>47549</v>
      </c>
      <c r="T4015" t="s">
        <v>49236</v>
      </c>
      <c r="U4015" t="s">
        <v>53070</v>
      </c>
      <c r="V4015" t="s">
        <v>63068</v>
      </c>
      <c r="W4015" t="s">
        <v>44743</v>
      </c>
      <c r="X4015" t="s">
        <v>47432</v>
      </c>
    </row>
    <row r="4016" spans="1:24">
      <c r="A4016">
        <f>HYPERLINK("https://www.philgeps.gov.ph/GEPSNONPILOT/Tender/SplashBidNoticeAbstractUI.aspx?menuIndex=3&amp;refID=7158555&amp;Result=3","7158555")</f>
        <v>0</v>
      </c>
      <c r="B4016" t="s">
        <v>1079</v>
      </c>
      <c r="C4016" t="s">
        <v>7713</v>
      </c>
      <c r="D4016" t="s">
        <v>19022</v>
      </c>
      <c r="E4016" t="s">
        <v>20783</v>
      </c>
      <c r="F4016" t="s">
        <v>32831</v>
      </c>
      <c r="G4016" t="s">
        <v>32838</v>
      </c>
      <c r="H4016" t="s">
        <v>32850</v>
      </c>
      <c r="I4016" t="s">
        <v>32863</v>
      </c>
      <c r="J4016" t="s">
        <v>33677</v>
      </c>
      <c r="K4016" t="s">
        <v>42727</v>
      </c>
      <c r="M4016" t="s">
        <v>44137</v>
      </c>
      <c r="N4016" t="s">
        <v>47424</v>
      </c>
      <c r="O4016" t="s">
        <v>47425</v>
      </c>
      <c r="P4016">
        <v>0</v>
      </c>
      <c r="Q4016">
        <v>0</v>
      </c>
      <c r="R4016" t="s">
        <v>47430</v>
      </c>
      <c r="S4016" t="s">
        <v>47549</v>
      </c>
      <c r="T4016" t="s">
        <v>49111</v>
      </c>
      <c r="U4016" t="s">
        <v>53071</v>
      </c>
      <c r="W4016" t="s">
        <v>44137</v>
      </c>
      <c r="X4016" t="s">
        <v>47431</v>
      </c>
    </row>
    <row r="4017" spans="1:24">
      <c r="A4017">
        <f>HYPERLINK("https://www.philgeps.gov.ph/GEPSNONPILOT/Tender/SplashBidNoticeAbstractUI.aspx?menuIndex=3&amp;refID=7158576&amp;Result=3","7158576")</f>
        <v>0</v>
      </c>
      <c r="B4017" t="s">
        <v>1628</v>
      </c>
      <c r="C4017" t="s">
        <v>7714</v>
      </c>
      <c r="D4017" t="s">
        <v>19090</v>
      </c>
      <c r="E4017" t="s">
        <v>22692</v>
      </c>
      <c r="F4017" t="s">
        <v>32831</v>
      </c>
      <c r="G4017" t="s">
        <v>32839</v>
      </c>
      <c r="H4017" t="s">
        <v>32848</v>
      </c>
      <c r="I4017" t="s">
        <v>32870</v>
      </c>
      <c r="J4017" t="s">
        <v>32980</v>
      </c>
      <c r="K4017" t="s">
        <v>42727</v>
      </c>
      <c r="M4017" t="s">
        <v>44744</v>
      </c>
      <c r="N4017" t="s">
        <v>47424</v>
      </c>
      <c r="O4017" t="s">
        <v>47425</v>
      </c>
      <c r="P4017">
        <v>0</v>
      </c>
      <c r="Q4017">
        <v>0</v>
      </c>
      <c r="R4017" t="s">
        <v>47430</v>
      </c>
      <c r="S4017" t="s">
        <v>47549</v>
      </c>
      <c r="T4017" t="s">
        <v>49179</v>
      </c>
      <c r="U4017" t="s">
        <v>53072</v>
      </c>
      <c r="W4017" t="s">
        <v>44744</v>
      </c>
      <c r="X4017" t="s">
        <v>47431</v>
      </c>
    </row>
    <row r="4018" spans="1:24">
      <c r="A4018">
        <f>HYPERLINK("https://www.philgeps.gov.ph/GEPSNONPILOT/Tender/SplashBidNoticeAbstractUI.aspx?menuIndex=3&amp;refID=7158582&amp;Result=3","7158582")</f>
        <v>0</v>
      </c>
      <c r="B4018" t="s">
        <v>1629</v>
      </c>
      <c r="C4018" t="s">
        <v>7715</v>
      </c>
      <c r="D4018" t="s">
        <v>19021</v>
      </c>
      <c r="E4018" t="s">
        <v>22693</v>
      </c>
      <c r="F4018" t="s">
        <v>32831</v>
      </c>
      <c r="G4018" t="s">
        <v>32838</v>
      </c>
      <c r="H4018" t="s">
        <v>32848</v>
      </c>
      <c r="I4018" t="s">
        <v>32861</v>
      </c>
      <c r="J4018" t="s">
        <v>33380</v>
      </c>
      <c r="K4018" t="s">
        <v>42732</v>
      </c>
      <c r="M4018" t="s">
        <v>44745</v>
      </c>
      <c r="N4018" t="s">
        <v>47424</v>
      </c>
      <c r="O4018" t="s">
        <v>47425</v>
      </c>
      <c r="P4018">
        <v>0</v>
      </c>
      <c r="Q4018">
        <v>8</v>
      </c>
      <c r="R4018" t="s">
        <v>47430</v>
      </c>
      <c r="S4018" t="s">
        <v>47549</v>
      </c>
      <c r="T4018" t="s">
        <v>49107</v>
      </c>
      <c r="U4018" t="s">
        <v>53073</v>
      </c>
      <c r="V4018" t="s">
        <v>63069</v>
      </c>
      <c r="W4018" t="s">
        <v>44745</v>
      </c>
      <c r="X4018" t="s">
        <v>47431</v>
      </c>
    </row>
    <row r="4019" spans="1:24">
      <c r="A4019">
        <f>HYPERLINK("https://www.philgeps.gov.ph/GEPSNONPILOT/Tender/SplashBidNoticeAbstractUI.aspx?menuIndex=3&amp;refID=7158540&amp;Result=3","7158540")</f>
        <v>0</v>
      </c>
      <c r="B4019" t="s">
        <v>399</v>
      </c>
      <c r="C4019" t="s">
        <v>7716</v>
      </c>
      <c r="D4019" t="s">
        <v>19017</v>
      </c>
      <c r="E4019" t="s">
        <v>22694</v>
      </c>
      <c r="F4019" t="s">
        <v>32831</v>
      </c>
      <c r="G4019" t="s">
        <v>32840</v>
      </c>
      <c r="H4019" t="s">
        <v>32848</v>
      </c>
      <c r="I4019" t="s">
        <v>10805</v>
      </c>
      <c r="J4019" t="s">
        <v>33510</v>
      </c>
      <c r="K4019" t="s">
        <v>42726</v>
      </c>
      <c r="M4019" t="s">
        <v>43404</v>
      </c>
      <c r="N4019" t="s">
        <v>47424</v>
      </c>
      <c r="O4019" t="s">
        <v>47425</v>
      </c>
      <c r="P4019">
        <v>0</v>
      </c>
      <c r="Q4019">
        <v>18</v>
      </c>
      <c r="R4019" t="s">
        <v>47430</v>
      </c>
      <c r="S4019" t="s">
        <v>47549</v>
      </c>
      <c r="T4019" t="s">
        <v>49107</v>
      </c>
      <c r="U4019" t="s">
        <v>53074</v>
      </c>
      <c r="W4019" t="s">
        <v>43404</v>
      </c>
      <c r="X4019" t="s">
        <v>47432</v>
      </c>
    </row>
    <row r="4020" spans="1:24">
      <c r="A4020">
        <f>HYPERLINK("https://www.philgeps.gov.ph/GEPSNONPILOT/Tender/SplashBidNoticeAbstractUI.aspx?menuIndex=3&amp;refID=7158574&amp;Result=3","7158574")</f>
        <v>0</v>
      </c>
      <c r="B4020" t="s">
        <v>1629</v>
      </c>
      <c r="C4020" t="s">
        <v>7717</v>
      </c>
      <c r="D4020" t="s">
        <v>19021</v>
      </c>
      <c r="E4020" t="s">
        <v>22695</v>
      </c>
      <c r="F4020" t="s">
        <v>32831</v>
      </c>
      <c r="G4020" t="s">
        <v>32840</v>
      </c>
      <c r="H4020" t="s">
        <v>32848</v>
      </c>
      <c r="I4020" t="s">
        <v>32857</v>
      </c>
      <c r="J4020" t="s">
        <v>35615</v>
      </c>
      <c r="K4020" t="s">
        <v>42732</v>
      </c>
      <c r="M4020" t="s">
        <v>44745</v>
      </c>
      <c r="N4020" t="s">
        <v>47424</v>
      </c>
      <c r="O4020" t="s">
        <v>47425</v>
      </c>
      <c r="P4020">
        <v>0</v>
      </c>
      <c r="Q4020">
        <v>3</v>
      </c>
      <c r="R4020" t="s">
        <v>47430</v>
      </c>
      <c r="S4020" t="s">
        <v>47549</v>
      </c>
      <c r="T4020" t="s">
        <v>49107</v>
      </c>
      <c r="U4020" t="s">
        <v>53075</v>
      </c>
      <c r="V4020" t="s">
        <v>63069</v>
      </c>
      <c r="W4020" t="s">
        <v>44745</v>
      </c>
      <c r="X4020" t="s">
        <v>47431</v>
      </c>
    </row>
    <row r="4021" spans="1:24">
      <c r="A4021">
        <f>HYPERLINK("https://www.philgeps.gov.ph/GEPSNONPILOT/Tender/SplashBidNoticeAbstractUI.aspx?menuIndex=3&amp;refID=7158346&amp;Result=3","7158346")</f>
        <v>0</v>
      </c>
      <c r="B4021" t="s">
        <v>1620</v>
      </c>
      <c r="C4021" t="s">
        <v>7718</v>
      </c>
      <c r="D4021" t="s">
        <v>19017</v>
      </c>
      <c r="E4021" t="s">
        <v>22696</v>
      </c>
      <c r="F4021" t="s">
        <v>32831</v>
      </c>
      <c r="G4021" t="s">
        <v>32839</v>
      </c>
      <c r="H4021" t="s">
        <v>32848</v>
      </c>
      <c r="I4021" t="s">
        <v>4438</v>
      </c>
      <c r="J4021" t="s">
        <v>35531</v>
      </c>
      <c r="K4021" t="s">
        <v>42726</v>
      </c>
      <c r="M4021" t="s">
        <v>44736</v>
      </c>
      <c r="N4021" t="s">
        <v>47424</v>
      </c>
      <c r="O4021" t="s">
        <v>47425</v>
      </c>
      <c r="P4021">
        <v>0</v>
      </c>
      <c r="Q4021">
        <v>5</v>
      </c>
      <c r="R4021" t="s">
        <v>47430</v>
      </c>
      <c r="S4021" t="s">
        <v>47549</v>
      </c>
      <c r="T4021" t="s">
        <v>49123</v>
      </c>
      <c r="U4021" t="s">
        <v>53076</v>
      </c>
      <c r="V4021" t="s">
        <v>63064</v>
      </c>
      <c r="W4021" t="s">
        <v>44736</v>
      </c>
      <c r="X4021" t="s">
        <v>47432</v>
      </c>
    </row>
    <row r="4022" spans="1:24">
      <c r="A4022">
        <f>HYPERLINK("https://www.philgeps.gov.ph/GEPSNONPILOT/Tender/SplashBidNoticeAbstractUI.aspx?menuIndex=3&amp;refID=7157484&amp;Result=3","7157484")</f>
        <v>0</v>
      </c>
      <c r="B4022" t="s">
        <v>1630</v>
      </c>
      <c r="C4022" t="s">
        <v>7719</v>
      </c>
      <c r="D4022" t="s">
        <v>19021</v>
      </c>
      <c r="E4022" t="s">
        <v>22697</v>
      </c>
      <c r="F4022" t="s">
        <v>32831</v>
      </c>
      <c r="G4022" t="s">
        <v>32839</v>
      </c>
      <c r="H4022" t="s">
        <v>32849</v>
      </c>
      <c r="I4022" t="s">
        <v>4177</v>
      </c>
      <c r="J4022" t="s">
        <v>35616</v>
      </c>
      <c r="K4022" t="s">
        <v>42770</v>
      </c>
      <c r="M4022" t="s">
        <v>44746</v>
      </c>
      <c r="N4022" t="s">
        <v>47424</v>
      </c>
      <c r="O4022" t="s">
        <v>47425</v>
      </c>
      <c r="P4022">
        <v>0</v>
      </c>
      <c r="Q4022">
        <v>22</v>
      </c>
      <c r="R4022" t="s">
        <v>47430</v>
      </c>
      <c r="S4022" t="s">
        <v>47549</v>
      </c>
      <c r="T4022" t="s">
        <v>49139</v>
      </c>
      <c r="U4022" t="s">
        <v>53077</v>
      </c>
      <c r="W4022" t="s">
        <v>44746</v>
      </c>
      <c r="X4022" t="s">
        <v>47432</v>
      </c>
    </row>
    <row r="4023" spans="1:24">
      <c r="A4023">
        <f>HYPERLINK("https://www.philgeps.gov.ph/GEPSNONPILOT/Tender/SplashBidNoticeAbstractUI.aspx?menuIndex=3&amp;refID=7158580&amp;Result=3","7158580")</f>
        <v>0</v>
      </c>
      <c r="B4023" t="s">
        <v>1631</v>
      </c>
      <c r="C4023" t="s">
        <v>7720</v>
      </c>
      <c r="D4023" t="s">
        <v>19091</v>
      </c>
      <c r="E4023" t="s">
        <v>22698</v>
      </c>
      <c r="F4023" t="s">
        <v>32831</v>
      </c>
      <c r="G4023" t="s">
        <v>32839</v>
      </c>
      <c r="H4023" t="s">
        <v>32849</v>
      </c>
      <c r="I4023" t="s">
        <v>4177</v>
      </c>
      <c r="J4023" t="s">
        <v>33087</v>
      </c>
      <c r="K4023" t="s">
        <v>42731</v>
      </c>
      <c r="M4023" t="s">
        <v>44747</v>
      </c>
      <c r="N4023" t="s">
        <v>47424</v>
      </c>
      <c r="O4023" t="s">
        <v>47425</v>
      </c>
      <c r="P4023">
        <v>0</v>
      </c>
      <c r="Q4023">
        <v>0</v>
      </c>
      <c r="R4023" t="s">
        <v>47430</v>
      </c>
      <c r="S4023" t="s">
        <v>47549</v>
      </c>
      <c r="T4023" t="s">
        <v>49267</v>
      </c>
      <c r="U4023" t="s">
        <v>53078</v>
      </c>
      <c r="W4023" t="s">
        <v>44747</v>
      </c>
      <c r="X4023" t="s">
        <v>47431</v>
      </c>
    </row>
    <row r="4024" spans="1:24">
      <c r="A4024">
        <f>HYPERLINK("https://www.philgeps.gov.ph/GEPSNONPILOT/Tender/SplashBidNoticeAbstractUI.aspx?menuIndex=3&amp;refID=7158579&amp;Result=3","7158579")</f>
        <v>0</v>
      </c>
      <c r="B4024" t="s">
        <v>1632</v>
      </c>
      <c r="C4024" t="s">
        <v>7721</v>
      </c>
      <c r="D4024" t="s">
        <v>19019</v>
      </c>
      <c r="E4024" t="s">
        <v>19665</v>
      </c>
      <c r="F4024" t="s">
        <v>32833</v>
      </c>
      <c r="G4024" t="s">
        <v>32839</v>
      </c>
      <c r="H4024" t="s">
        <v>32849</v>
      </c>
      <c r="I4024" t="s">
        <v>32918</v>
      </c>
      <c r="J4024" t="s">
        <v>33040</v>
      </c>
      <c r="K4024" t="s">
        <v>42748</v>
      </c>
      <c r="M4024" t="s">
        <v>44748</v>
      </c>
      <c r="N4024" t="s">
        <v>47424</v>
      </c>
      <c r="O4024" t="s">
        <v>47425</v>
      </c>
      <c r="P4024">
        <v>0</v>
      </c>
      <c r="Q4024">
        <v>0</v>
      </c>
      <c r="R4024" t="s">
        <v>47430</v>
      </c>
      <c r="S4024" t="s">
        <v>47549</v>
      </c>
      <c r="T4024" t="s">
        <v>49200</v>
      </c>
      <c r="U4024" t="s">
        <v>53079</v>
      </c>
      <c r="W4024" t="s">
        <v>44748</v>
      </c>
      <c r="X4024" t="s">
        <v>47431</v>
      </c>
    </row>
    <row r="4025" spans="1:24">
      <c r="A4025">
        <f>HYPERLINK("https://www.philgeps.gov.ph/GEPSNONPILOT/Tender/SplashBidNoticeAbstractUI.aspx?menuIndex=3&amp;refID=7158571&amp;Result=3","7158571")</f>
        <v>0</v>
      </c>
      <c r="B4025" t="s">
        <v>1633</v>
      </c>
      <c r="C4025" t="s">
        <v>7722</v>
      </c>
      <c r="D4025" t="s">
        <v>19057</v>
      </c>
      <c r="E4025" t="s">
        <v>20851</v>
      </c>
      <c r="F4025" t="s">
        <v>32831</v>
      </c>
      <c r="G4025" t="s">
        <v>32839</v>
      </c>
      <c r="H4025" t="s">
        <v>32849</v>
      </c>
      <c r="I4025" t="s">
        <v>4177</v>
      </c>
      <c r="J4025" t="s">
        <v>35617</v>
      </c>
      <c r="K4025" t="s">
        <v>42727</v>
      </c>
      <c r="M4025" t="s">
        <v>44749</v>
      </c>
      <c r="N4025" t="s">
        <v>47424</v>
      </c>
      <c r="O4025" t="s">
        <v>47425</v>
      </c>
      <c r="P4025">
        <v>0</v>
      </c>
      <c r="Q4025">
        <v>0</v>
      </c>
      <c r="R4025" t="s">
        <v>47430</v>
      </c>
      <c r="S4025" t="s">
        <v>47549</v>
      </c>
      <c r="T4025" t="s">
        <v>49198</v>
      </c>
      <c r="U4025" t="s">
        <v>53080</v>
      </c>
      <c r="W4025" t="s">
        <v>44749</v>
      </c>
      <c r="X4025" t="s">
        <v>47431</v>
      </c>
    </row>
    <row r="4026" spans="1:24">
      <c r="A4026">
        <f>HYPERLINK("https://www.philgeps.gov.ph/GEPSNONPILOT/Tender/SplashBidNoticeAbstractUI.aspx?menuIndex=3&amp;refID=7158569&amp;Result=3","7158569")</f>
        <v>0</v>
      </c>
      <c r="B4026" t="s">
        <v>1633</v>
      </c>
      <c r="C4026" t="s">
        <v>7723</v>
      </c>
      <c r="D4026" t="s">
        <v>19057</v>
      </c>
      <c r="E4026" t="s">
        <v>22699</v>
      </c>
      <c r="F4026" t="s">
        <v>32831</v>
      </c>
      <c r="G4026" t="s">
        <v>32839</v>
      </c>
      <c r="H4026" t="s">
        <v>32849</v>
      </c>
      <c r="I4026" t="s">
        <v>4177</v>
      </c>
      <c r="J4026" t="s">
        <v>32980</v>
      </c>
      <c r="K4026" t="s">
        <v>42727</v>
      </c>
      <c r="M4026" t="s">
        <v>44749</v>
      </c>
      <c r="N4026" t="s">
        <v>47424</v>
      </c>
      <c r="O4026" t="s">
        <v>47425</v>
      </c>
      <c r="P4026">
        <v>0</v>
      </c>
      <c r="Q4026">
        <v>0</v>
      </c>
      <c r="R4026" t="s">
        <v>47430</v>
      </c>
      <c r="S4026" t="s">
        <v>47549</v>
      </c>
      <c r="T4026" t="s">
        <v>49198</v>
      </c>
      <c r="U4026" t="s">
        <v>53080</v>
      </c>
      <c r="W4026" t="s">
        <v>44749</v>
      </c>
      <c r="X4026" t="s">
        <v>47431</v>
      </c>
    </row>
    <row r="4027" spans="1:24">
      <c r="A4027">
        <f>HYPERLINK("https://www.philgeps.gov.ph/GEPSNONPILOT/Tender/SplashBidNoticeAbstractUI.aspx?menuIndex=3&amp;refID=7158566&amp;Result=3","7158566")</f>
        <v>0</v>
      </c>
      <c r="B4027" t="s">
        <v>1634</v>
      </c>
      <c r="C4027" t="s">
        <v>7724</v>
      </c>
      <c r="D4027" t="s">
        <v>19017</v>
      </c>
      <c r="E4027" t="s">
        <v>22700</v>
      </c>
      <c r="F4027" t="s">
        <v>32831</v>
      </c>
      <c r="G4027" t="s">
        <v>32842</v>
      </c>
      <c r="H4027" t="s">
        <v>32848</v>
      </c>
      <c r="I4027" t="s">
        <v>32860</v>
      </c>
      <c r="J4027" t="s">
        <v>35618</v>
      </c>
      <c r="K4027" t="s">
        <v>42730</v>
      </c>
      <c r="M4027" t="s">
        <v>44750</v>
      </c>
      <c r="N4027" t="s">
        <v>47424</v>
      </c>
      <c r="O4027" t="s">
        <v>47425</v>
      </c>
      <c r="P4027">
        <v>0</v>
      </c>
      <c r="Q4027">
        <v>10</v>
      </c>
      <c r="R4027" t="s">
        <v>47430</v>
      </c>
      <c r="S4027" t="s">
        <v>47549</v>
      </c>
      <c r="T4027" t="s">
        <v>49229</v>
      </c>
      <c r="U4027" t="s">
        <v>53081</v>
      </c>
      <c r="W4027" t="s">
        <v>44750</v>
      </c>
      <c r="X4027" t="s">
        <v>47431</v>
      </c>
    </row>
    <row r="4028" spans="1:24">
      <c r="A4028">
        <f>HYPERLINK("https://www.philgeps.gov.ph/GEPSNONPILOT/Tender/SplashBidNoticeAbstractUI.aspx?menuIndex=3&amp;refID=7158564&amp;Result=3","7158564")</f>
        <v>0</v>
      </c>
      <c r="B4028" t="s">
        <v>1635</v>
      </c>
      <c r="C4028" t="s">
        <v>7725</v>
      </c>
      <c r="D4028" t="s">
        <v>19078</v>
      </c>
      <c r="E4028" t="s">
        <v>19606</v>
      </c>
      <c r="F4028" t="s">
        <v>32831</v>
      </c>
      <c r="G4028" t="s">
        <v>32839</v>
      </c>
      <c r="H4028" t="s">
        <v>32849</v>
      </c>
      <c r="I4028" t="s">
        <v>7416</v>
      </c>
      <c r="J4028" t="s">
        <v>35619</v>
      </c>
      <c r="K4028" t="s">
        <v>42726</v>
      </c>
      <c r="M4028" t="s">
        <v>44751</v>
      </c>
      <c r="N4028" t="s">
        <v>47424</v>
      </c>
      <c r="O4028" t="s">
        <v>47425</v>
      </c>
      <c r="P4028">
        <v>0</v>
      </c>
      <c r="Q4028">
        <v>0</v>
      </c>
      <c r="R4028" t="s">
        <v>47430</v>
      </c>
      <c r="S4028" t="s">
        <v>47549</v>
      </c>
      <c r="T4028" t="s">
        <v>49369</v>
      </c>
      <c r="U4028" t="s">
        <v>53082</v>
      </c>
      <c r="W4028" t="s">
        <v>44751</v>
      </c>
      <c r="X4028" t="s">
        <v>47431</v>
      </c>
    </row>
    <row r="4029" spans="1:24">
      <c r="A4029">
        <f>HYPERLINK("https://www.philgeps.gov.ph/GEPSNONPILOT/Tender/SplashBidNoticeAbstractUI.aspx?menuIndex=3&amp;refID=7157896&amp;Result=3","7157896")</f>
        <v>0</v>
      </c>
      <c r="B4029" t="s">
        <v>1636</v>
      </c>
      <c r="C4029" t="s">
        <v>7726</v>
      </c>
      <c r="D4029" t="s">
        <v>19081</v>
      </c>
      <c r="E4029" t="s">
        <v>20737</v>
      </c>
      <c r="F4029" t="s">
        <v>32831</v>
      </c>
      <c r="G4029" t="s">
        <v>32839</v>
      </c>
      <c r="H4029" t="s">
        <v>32848</v>
      </c>
      <c r="I4029" t="s">
        <v>32856</v>
      </c>
      <c r="J4029" t="s">
        <v>35620</v>
      </c>
      <c r="K4029" t="s">
        <v>42730</v>
      </c>
      <c r="M4029" t="s">
        <v>44752</v>
      </c>
      <c r="N4029" t="s">
        <v>47424</v>
      </c>
      <c r="O4029" t="s">
        <v>47425</v>
      </c>
      <c r="P4029">
        <v>0</v>
      </c>
      <c r="Q4029">
        <v>2</v>
      </c>
      <c r="R4029" t="s">
        <v>47430</v>
      </c>
      <c r="S4029" t="s">
        <v>47549</v>
      </c>
      <c r="T4029" t="s">
        <v>49295</v>
      </c>
      <c r="U4029" t="s">
        <v>53083</v>
      </c>
      <c r="W4029" t="s">
        <v>44752</v>
      </c>
      <c r="X4029" t="s">
        <v>47432</v>
      </c>
    </row>
    <row r="4030" spans="1:24">
      <c r="A4030">
        <f>HYPERLINK("https://www.philgeps.gov.ph/GEPSNONPILOT/Tender/SplashBidNoticeAbstractUI.aspx?menuIndex=3&amp;refID=7158260&amp;Result=3","7158260")</f>
        <v>0</v>
      </c>
      <c r="B4030" t="s">
        <v>958</v>
      </c>
      <c r="C4030" t="s">
        <v>7727</v>
      </c>
      <c r="D4030" t="s">
        <v>19049</v>
      </c>
      <c r="E4030" t="s">
        <v>22701</v>
      </c>
      <c r="F4030" t="s">
        <v>32831</v>
      </c>
      <c r="G4030" t="s">
        <v>32840</v>
      </c>
      <c r="H4030" t="s">
        <v>32848</v>
      </c>
      <c r="I4030" t="s">
        <v>4222</v>
      </c>
      <c r="J4030" t="s">
        <v>35621</v>
      </c>
      <c r="K4030" t="s">
        <v>42732</v>
      </c>
      <c r="M4030" t="s">
        <v>44004</v>
      </c>
      <c r="N4030" t="s">
        <v>47424</v>
      </c>
      <c r="O4030" t="s">
        <v>47425</v>
      </c>
      <c r="P4030">
        <v>0</v>
      </c>
      <c r="Q4030">
        <v>0</v>
      </c>
      <c r="R4030" t="s">
        <v>47430</v>
      </c>
      <c r="S4030" t="s">
        <v>47549</v>
      </c>
      <c r="T4030" t="s">
        <v>49061</v>
      </c>
      <c r="U4030" t="s">
        <v>53084</v>
      </c>
      <c r="W4030" t="s">
        <v>44004</v>
      </c>
      <c r="X4030" t="s">
        <v>47432</v>
      </c>
    </row>
    <row r="4031" spans="1:24">
      <c r="A4031">
        <f>HYPERLINK("https://www.philgeps.gov.ph/GEPSNONPILOT/Tender/SplashBidNoticeAbstractUI.aspx?menuIndex=3&amp;refID=7158578&amp;Result=3","7158578")</f>
        <v>0</v>
      </c>
      <c r="B4031" t="s">
        <v>1637</v>
      </c>
      <c r="C4031" t="s">
        <v>7728</v>
      </c>
      <c r="D4031" t="s">
        <v>19042</v>
      </c>
      <c r="E4031" t="s">
        <v>19203</v>
      </c>
      <c r="F4031" t="s">
        <v>32831</v>
      </c>
      <c r="G4031" t="s">
        <v>32839</v>
      </c>
      <c r="H4031" t="s">
        <v>32848</v>
      </c>
      <c r="I4031" t="s">
        <v>7751</v>
      </c>
      <c r="J4031" t="s">
        <v>35622</v>
      </c>
      <c r="K4031" t="s">
        <v>42726</v>
      </c>
      <c r="M4031" t="s">
        <v>44753</v>
      </c>
      <c r="N4031" t="s">
        <v>47424</v>
      </c>
      <c r="O4031" t="s">
        <v>47425</v>
      </c>
      <c r="P4031">
        <v>0</v>
      </c>
      <c r="Q4031">
        <v>0</v>
      </c>
      <c r="R4031" t="s">
        <v>47430</v>
      </c>
      <c r="S4031" t="s">
        <v>47549</v>
      </c>
      <c r="T4031" t="s">
        <v>49123</v>
      </c>
      <c r="U4031" t="s">
        <v>53085</v>
      </c>
      <c r="W4031" t="s">
        <v>44753</v>
      </c>
      <c r="X4031" t="s">
        <v>47431</v>
      </c>
    </row>
    <row r="4032" spans="1:24">
      <c r="A4032">
        <f>HYPERLINK("https://www.philgeps.gov.ph/GEPSNONPILOT/Tender/SplashBidNoticeAbstractUI.aspx?menuIndex=3&amp;refID=7158565&amp;Result=3","7158565")</f>
        <v>0</v>
      </c>
      <c r="B4032" t="s">
        <v>1633</v>
      </c>
      <c r="C4032" t="s">
        <v>7729</v>
      </c>
      <c r="D4032" t="s">
        <v>19057</v>
      </c>
      <c r="E4032" t="s">
        <v>21956</v>
      </c>
      <c r="F4032" t="s">
        <v>32831</v>
      </c>
      <c r="G4032" t="s">
        <v>32839</v>
      </c>
      <c r="H4032" t="s">
        <v>32849</v>
      </c>
      <c r="I4032" t="s">
        <v>4177</v>
      </c>
      <c r="J4032" t="s">
        <v>32980</v>
      </c>
      <c r="K4032" t="s">
        <v>42727</v>
      </c>
      <c r="M4032" t="s">
        <v>44749</v>
      </c>
      <c r="N4032" t="s">
        <v>47424</v>
      </c>
      <c r="O4032" t="s">
        <v>47425</v>
      </c>
      <c r="P4032">
        <v>0</v>
      </c>
      <c r="Q4032">
        <v>0</v>
      </c>
      <c r="R4032" t="s">
        <v>47430</v>
      </c>
      <c r="S4032" t="s">
        <v>47549</v>
      </c>
      <c r="T4032" t="s">
        <v>49198</v>
      </c>
      <c r="U4032" t="s">
        <v>53080</v>
      </c>
      <c r="W4032" t="s">
        <v>44749</v>
      </c>
      <c r="X4032" t="s">
        <v>47431</v>
      </c>
    </row>
    <row r="4033" spans="1:24">
      <c r="A4033">
        <f>HYPERLINK("https://www.philgeps.gov.ph/GEPSNONPILOT/Tender/SplashBidNoticeAbstractUI.aspx?menuIndex=3&amp;refID=7158573&amp;Result=3","7158573")</f>
        <v>0</v>
      </c>
      <c r="B4033" t="s">
        <v>1632</v>
      </c>
      <c r="C4033" t="s">
        <v>7721</v>
      </c>
      <c r="D4033" t="s">
        <v>19019</v>
      </c>
      <c r="E4033" t="s">
        <v>20783</v>
      </c>
      <c r="F4033" t="s">
        <v>32833</v>
      </c>
      <c r="G4033" t="s">
        <v>32839</v>
      </c>
      <c r="H4033" t="s">
        <v>32849</v>
      </c>
      <c r="I4033" t="s">
        <v>32918</v>
      </c>
      <c r="J4033" t="s">
        <v>33040</v>
      </c>
      <c r="K4033" t="s">
        <v>42748</v>
      </c>
      <c r="M4033" t="s">
        <v>44748</v>
      </c>
      <c r="N4033" t="s">
        <v>47424</v>
      </c>
      <c r="O4033" t="s">
        <v>47425</v>
      </c>
      <c r="P4033">
        <v>0</v>
      </c>
      <c r="Q4033">
        <v>0</v>
      </c>
      <c r="R4033" t="s">
        <v>47430</v>
      </c>
      <c r="S4033" t="s">
        <v>47549</v>
      </c>
      <c r="T4033" t="s">
        <v>49200</v>
      </c>
      <c r="U4033" t="s">
        <v>53086</v>
      </c>
      <c r="W4033" t="s">
        <v>44748</v>
      </c>
      <c r="X4033" t="s">
        <v>47431</v>
      </c>
    </row>
    <row r="4034" spans="1:24">
      <c r="A4034">
        <f>HYPERLINK("https://www.philgeps.gov.ph/GEPSNONPILOT/Tender/SplashBidNoticeAbstractUI.aspx?menuIndex=3&amp;refID=7158612&amp;Result=3","7158612")</f>
        <v>0</v>
      </c>
      <c r="B4034" t="s">
        <v>1638</v>
      </c>
      <c r="C4034" t="s">
        <v>7730</v>
      </c>
      <c r="D4034" t="s">
        <v>19023</v>
      </c>
      <c r="E4034" t="s">
        <v>22702</v>
      </c>
      <c r="F4034" t="s">
        <v>32831</v>
      </c>
      <c r="G4034" t="s">
        <v>32838</v>
      </c>
      <c r="H4034" t="s">
        <v>32848</v>
      </c>
      <c r="I4034" t="s">
        <v>4558</v>
      </c>
      <c r="J4034" t="s">
        <v>33175</v>
      </c>
      <c r="K4034" t="s">
        <v>42758</v>
      </c>
      <c r="M4034" t="s">
        <v>44754</v>
      </c>
      <c r="N4034" t="s">
        <v>47424</v>
      </c>
      <c r="O4034" t="s">
        <v>47425</v>
      </c>
      <c r="P4034">
        <v>0</v>
      </c>
      <c r="Q4034">
        <v>1</v>
      </c>
      <c r="R4034" t="s">
        <v>47430</v>
      </c>
      <c r="S4034" t="s">
        <v>47549</v>
      </c>
      <c r="T4034" t="s">
        <v>49096</v>
      </c>
      <c r="U4034" t="s">
        <v>53087</v>
      </c>
      <c r="V4034" t="s">
        <v>63070</v>
      </c>
      <c r="W4034" t="s">
        <v>44754</v>
      </c>
      <c r="X4034" t="s">
        <v>47431</v>
      </c>
    </row>
    <row r="4035" spans="1:24">
      <c r="A4035">
        <f>HYPERLINK("https://www.philgeps.gov.ph/GEPSNONPILOT/Tender/SplashBidNoticeAbstractUI.aspx?menuIndex=3&amp;refID=7158611&amp;Result=3","7158611")</f>
        <v>0</v>
      </c>
      <c r="B4035" t="s">
        <v>1163</v>
      </c>
      <c r="C4035" t="s">
        <v>7731</v>
      </c>
      <c r="D4035" t="s">
        <v>19043</v>
      </c>
      <c r="E4035" t="s">
        <v>22413</v>
      </c>
      <c r="F4035" t="s">
        <v>32831</v>
      </c>
      <c r="G4035" t="s">
        <v>32838</v>
      </c>
      <c r="H4035" t="s">
        <v>32848</v>
      </c>
      <c r="I4035" t="s">
        <v>32910</v>
      </c>
      <c r="J4035" t="s">
        <v>35623</v>
      </c>
      <c r="K4035" t="s">
        <v>42759</v>
      </c>
      <c r="M4035" t="s">
        <v>44228</v>
      </c>
      <c r="N4035" t="s">
        <v>47424</v>
      </c>
      <c r="O4035" t="s">
        <v>47425</v>
      </c>
      <c r="P4035">
        <v>0</v>
      </c>
      <c r="Q4035">
        <v>3</v>
      </c>
      <c r="R4035" t="s">
        <v>47430</v>
      </c>
      <c r="S4035" t="s">
        <v>47549</v>
      </c>
      <c r="T4035" t="s">
        <v>49239</v>
      </c>
      <c r="U4035" t="s">
        <v>53088</v>
      </c>
      <c r="W4035" t="s">
        <v>44228</v>
      </c>
      <c r="X4035" t="s">
        <v>47431</v>
      </c>
    </row>
    <row r="4036" spans="1:24">
      <c r="A4036">
        <f>HYPERLINK("https://www.philgeps.gov.ph/GEPSNONPILOT/Tender/SplashBidNoticeAbstractUI.aspx?menuIndex=3&amp;refID=7158608&amp;Result=3","7158608")</f>
        <v>0</v>
      </c>
      <c r="B4036" t="s">
        <v>1639</v>
      </c>
      <c r="C4036" t="s">
        <v>7732</v>
      </c>
      <c r="D4036" t="s">
        <v>19027</v>
      </c>
      <c r="E4036" t="s">
        <v>22703</v>
      </c>
      <c r="F4036" t="s">
        <v>32831</v>
      </c>
      <c r="G4036" t="s">
        <v>32838</v>
      </c>
      <c r="H4036" t="s">
        <v>32848</v>
      </c>
      <c r="I4036" t="s">
        <v>5379</v>
      </c>
      <c r="J4036" t="s">
        <v>33162</v>
      </c>
      <c r="K4036" t="s">
        <v>42759</v>
      </c>
      <c r="M4036" t="s">
        <v>44755</v>
      </c>
      <c r="N4036" t="s">
        <v>47424</v>
      </c>
      <c r="O4036" t="s">
        <v>47425</v>
      </c>
      <c r="P4036">
        <v>0</v>
      </c>
      <c r="Q4036">
        <v>1</v>
      </c>
      <c r="R4036" t="s">
        <v>47430</v>
      </c>
      <c r="S4036" t="s">
        <v>47549</v>
      </c>
      <c r="T4036" t="s">
        <v>49235</v>
      </c>
      <c r="U4036" t="s">
        <v>53089</v>
      </c>
      <c r="W4036" t="s">
        <v>44755</v>
      </c>
      <c r="X4036" t="s">
        <v>47431</v>
      </c>
    </row>
    <row r="4037" spans="1:24">
      <c r="A4037">
        <f>HYPERLINK("https://www.philgeps.gov.ph/GEPSNONPILOT/Tender/SplashBidNoticeAbstractUI.aspx?menuIndex=3&amp;refID=7158605&amp;Result=3","7158605")</f>
        <v>0</v>
      </c>
      <c r="B4037" t="s">
        <v>633</v>
      </c>
      <c r="C4037" t="s">
        <v>7733</v>
      </c>
      <c r="D4037" t="s">
        <v>19062</v>
      </c>
      <c r="E4037" t="s">
        <v>22704</v>
      </c>
      <c r="F4037" t="s">
        <v>32831</v>
      </c>
      <c r="G4037" t="s">
        <v>32838</v>
      </c>
      <c r="H4037" t="s">
        <v>32848</v>
      </c>
      <c r="I4037" t="s">
        <v>32862</v>
      </c>
      <c r="J4037" t="s">
        <v>35624</v>
      </c>
      <c r="K4037" t="s">
        <v>42750</v>
      </c>
      <c r="M4037" t="s">
        <v>43650</v>
      </c>
      <c r="N4037" t="s">
        <v>47424</v>
      </c>
      <c r="O4037" t="s">
        <v>47425</v>
      </c>
      <c r="P4037">
        <v>0</v>
      </c>
      <c r="Q4037">
        <v>0</v>
      </c>
      <c r="R4037" t="s">
        <v>47430</v>
      </c>
      <c r="S4037" t="s">
        <v>47549</v>
      </c>
      <c r="T4037" t="s">
        <v>49127</v>
      </c>
      <c r="U4037" t="s">
        <v>53090</v>
      </c>
      <c r="W4037" t="s">
        <v>43650</v>
      </c>
      <c r="X4037" t="s">
        <v>47431</v>
      </c>
    </row>
    <row r="4038" spans="1:24">
      <c r="A4038">
        <f>HYPERLINK("https://www.philgeps.gov.ph/GEPSNONPILOT/Tender/SplashBidNoticeAbstractUI.aspx?menuIndex=3&amp;refID=7158602&amp;Result=3","7158602")</f>
        <v>0</v>
      </c>
      <c r="B4038" t="s">
        <v>1640</v>
      </c>
      <c r="C4038" t="s">
        <v>7734</v>
      </c>
      <c r="E4038" t="s">
        <v>19870</v>
      </c>
      <c r="F4038" t="s">
        <v>32831</v>
      </c>
      <c r="G4038" t="s">
        <v>32839</v>
      </c>
      <c r="H4038" t="s">
        <v>32849</v>
      </c>
      <c r="I4038" t="s">
        <v>4177</v>
      </c>
      <c r="J4038" t="s">
        <v>35625</v>
      </c>
      <c r="K4038" t="s">
        <v>42732</v>
      </c>
      <c r="M4038" t="s">
        <v>44756</v>
      </c>
      <c r="N4038" t="s">
        <v>47424</v>
      </c>
      <c r="O4038" t="s">
        <v>47425</v>
      </c>
      <c r="P4038">
        <v>0</v>
      </c>
      <c r="Q4038">
        <v>0</v>
      </c>
      <c r="R4038" t="s">
        <v>47430</v>
      </c>
      <c r="S4038" t="s">
        <v>47549</v>
      </c>
      <c r="T4038" t="s">
        <v>49119</v>
      </c>
      <c r="U4038" t="s">
        <v>53091</v>
      </c>
      <c r="W4038" t="s">
        <v>44756</v>
      </c>
      <c r="X4038" t="s">
        <v>47431</v>
      </c>
    </row>
    <row r="4039" spans="1:24">
      <c r="A4039">
        <f>HYPERLINK("https://www.philgeps.gov.ph/GEPSNONPILOT/Tender/SplashBidNoticeAbstractUI.aspx?menuIndex=3&amp;refID=7158604&amp;Result=3","7158604")</f>
        <v>0</v>
      </c>
      <c r="B4039" t="s">
        <v>1042</v>
      </c>
      <c r="C4039" t="s">
        <v>7735</v>
      </c>
      <c r="D4039" t="s">
        <v>19022</v>
      </c>
      <c r="E4039" t="s">
        <v>22705</v>
      </c>
      <c r="F4039" t="s">
        <v>32831</v>
      </c>
      <c r="G4039" t="s">
        <v>32839</v>
      </c>
      <c r="H4039" t="s">
        <v>32848</v>
      </c>
      <c r="I4039" t="s">
        <v>32863</v>
      </c>
      <c r="J4039" t="s">
        <v>35626</v>
      </c>
      <c r="K4039" t="s">
        <v>42758</v>
      </c>
      <c r="M4039" t="s">
        <v>44096</v>
      </c>
      <c r="N4039" t="s">
        <v>47424</v>
      </c>
      <c r="O4039" t="s">
        <v>47425</v>
      </c>
      <c r="P4039">
        <v>0</v>
      </c>
      <c r="Q4039">
        <v>0</v>
      </c>
      <c r="R4039" t="s">
        <v>47430</v>
      </c>
      <c r="S4039" t="s">
        <v>47549</v>
      </c>
      <c r="T4039" t="s">
        <v>49124</v>
      </c>
      <c r="U4039" t="s">
        <v>53092</v>
      </c>
      <c r="V4039" t="s">
        <v>63071</v>
      </c>
      <c r="W4039" t="s">
        <v>44096</v>
      </c>
      <c r="X4039" t="s">
        <v>47431</v>
      </c>
    </row>
    <row r="4040" spans="1:24">
      <c r="A4040">
        <f>HYPERLINK("https://www.philgeps.gov.ph/GEPSNONPILOT/Tender/SplashBidNoticeAbstractUI.aspx?menuIndex=3&amp;refID=7158599&amp;Result=3","7158599")</f>
        <v>0</v>
      </c>
      <c r="B4040" t="s">
        <v>633</v>
      </c>
      <c r="C4040" t="s">
        <v>7736</v>
      </c>
      <c r="D4040" t="s">
        <v>19062</v>
      </c>
      <c r="E4040" t="s">
        <v>22706</v>
      </c>
      <c r="F4040" t="s">
        <v>32831</v>
      </c>
      <c r="G4040" t="s">
        <v>32838</v>
      </c>
      <c r="H4040" t="s">
        <v>32848</v>
      </c>
      <c r="I4040" t="s">
        <v>32857</v>
      </c>
      <c r="J4040" t="s">
        <v>35627</v>
      </c>
      <c r="K4040" t="s">
        <v>42750</v>
      </c>
      <c r="M4040" t="s">
        <v>43650</v>
      </c>
      <c r="N4040" t="s">
        <v>47424</v>
      </c>
      <c r="O4040" t="s">
        <v>47425</v>
      </c>
      <c r="P4040">
        <v>0</v>
      </c>
      <c r="Q4040">
        <v>1</v>
      </c>
      <c r="R4040" t="s">
        <v>47430</v>
      </c>
      <c r="S4040" t="s">
        <v>47549</v>
      </c>
      <c r="T4040" t="s">
        <v>49127</v>
      </c>
      <c r="U4040" t="s">
        <v>53093</v>
      </c>
      <c r="W4040" t="s">
        <v>43650</v>
      </c>
      <c r="X4040" t="s">
        <v>47431</v>
      </c>
    </row>
    <row r="4041" spans="1:24">
      <c r="A4041">
        <f>HYPERLINK("https://www.philgeps.gov.ph/GEPSNONPILOT/Tender/SplashBidNoticeAbstractUI.aspx?menuIndex=3&amp;refID=7158613&amp;Result=3","7158613")</f>
        <v>0</v>
      </c>
      <c r="B4041" t="s">
        <v>888</v>
      </c>
      <c r="C4041" t="s">
        <v>7737</v>
      </c>
      <c r="D4041" t="s">
        <v>19067</v>
      </c>
      <c r="E4041" t="s">
        <v>19476</v>
      </c>
      <c r="F4041" t="s">
        <v>32831</v>
      </c>
      <c r="G4041" t="s">
        <v>32840</v>
      </c>
      <c r="H4041" t="s">
        <v>32848</v>
      </c>
      <c r="I4041" t="s">
        <v>32860</v>
      </c>
      <c r="J4041" t="s">
        <v>35628</v>
      </c>
      <c r="K4041" t="s">
        <v>42758</v>
      </c>
      <c r="M4041" t="s">
        <v>43923</v>
      </c>
      <c r="N4041" t="s">
        <v>47424</v>
      </c>
      <c r="O4041" t="s">
        <v>47425</v>
      </c>
      <c r="P4041">
        <v>0</v>
      </c>
      <c r="Q4041">
        <v>5</v>
      </c>
      <c r="R4041" t="s">
        <v>47430</v>
      </c>
      <c r="S4041" t="s">
        <v>47549</v>
      </c>
      <c r="T4041" t="s">
        <v>49145</v>
      </c>
      <c r="U4041" t="s">
        <v>53094</v>
      </c>
      <c r="W4041" t="s">
        <v>43923</v>
      </c>
      <c r="X4041" t="s">
        <v>47431</v>
      </c>
    </row>
    <row r="4042" spans="1:24">
      <c r="A4042">
        <f>HYPERLINK("https://www.philgeps.gov.ph/GEPSNONPILOT/Tender/SplashBidNoticeAbstractUI.aspx?menuIndex=3&amp;refID=7158597&amp;Result=3","7158597")</f>
        <v>0</v>
      </c>
      <c r="B4042" t="s">
        <v>1606</v>
      </c>
      <c r="C4042" t="s">
        <v>7738</v>
      </c>
      <c r="D4042" t="s">
        <v>19017</v>
      </c>
      <c r="E4042" t="s">
        <v>22707</v>
      </c>
      <c r="F4042" t="s">
        <v>32831</v>
      </c>
      <c r="G4042" t="s">
        <v>32839</v>
      </c>
      <c r="H4042" t="s">
        <v>32848</v>
      </c>
      <c r="I4042" t="s">
        <v>32918</v>
      </c>
      <c r="J4042" t="s">
        <v>35629</v>
      </c>
      <c r="K4042" t="s">
        <v>42770</v>
      </c>
      <c r="M4042" t="s">
        <v>44757</v>
      </c>
      <c r="N4042" t="s">
        <v>47424</v>
      </c>
      <c r="O4042" t="s">
        <v>47425</v>
      </c>
      <c r="P4042">
        <v>0</v>
      </c>
      <c r="Q4042">
        <v>2</v>
      </c>
      <c r="R4042" t="s">
        <v>47430</v>
      </c>
      <c r="S4042" t="s">
        <v>47549</v>
      </c>
      <c r="T4042" t="s">
        <v>49179</v>
      </c>
      <c r="U4042" t="s">
        <v>53095</v>
      </c>
      <c r="W4042" t="s">
        <v>44757</v>
      </c>
      <c r="X4042" t="s">
        <v>47431</v>
      </c>
    </row>
    <row r="4043" spans="1:24">
      <c r="A4043">
        <f>HYPERLINK("https://www.philgeps.gov.ph/GEPSNONPILOT/Tender/SplashBidNoticeAbstractUI.aspx?menuIndex=3&amp;refID=7158593&amp;Result=3","7158593")</f>
        <v>0</v>
      </c>
      <c r="B4043" t="s">
        <v>1638</v>
      </c>
      <c r="C4043" t="s">
        <v>7739</v>
      </c>
      <c r="D4043" t="s">
        <v>19023</v>
      </c>
      <c r="E4043" t="s">
        <v>22708</v>
      </c>
      <c r="F4043" t="s">
        <v>32831</v>
      </c>
      <c r="G4043" t="s">
        <v>32838</v>
      </c>
      <c r="H4043" t="s">
        <v>32848</v>
      </c>
      <c r="I4043" t="s">
        <v>4558</v>
      </c>
      <c r="J4043" t="s">
        <v>33292</v>
      </c>
      <c r="K4043" t="s">
        <v>42758</v>
      </c>
      <c r="M4043" t="s">
        <v>44754</v>
      </c>
      <c r="N4043" t="s">
        <v>47424</v>
      </c>
      <c r="O4043" t="s">
        <v>47425</v>
      </c>
      <c r="P4043">
        <v>0</v>
      </c>
      <c r="Q4043">
        <v>2</v>
      </c>
      <c r="R4043" t="s">
        <v>47430</v>
      </c>
      <c r="S4043" t="s">
        <v>47549</v>
      </c>
      <c r="T4043" t="s">
        <v>49096</v>
      </c>
      <c r="U4043" t="s">
        <v>53096</v>
      </c>
      <c r="V4043" t="s">
        <v>63070</v>
      </c>
      <c r="W4043" t="s">
        <v>44754</v>
      </c>
      <c r="X4043" t="s">
        <v>47431</v>
      </c>
    </row>
    <row r="4044" spans="1:24">
      <c r="A4044">
        <f>HYPERLINK("https://www.philgeps.gov.ph/GEPSNONPILOT/Tender/SplashBidNoticeAbstractUI.aspx?menuIndex=3&amp;refID=7158610&amp;Result=3","7158610")</f>
        <v>0</v>
      </c>
      <c r="B4044" t="s">
        <v>609</v>
      </c>
      <c r="C4044" t="s">
        <v>7740</v>
      </c>
      <c r="D4044" t="s">
        <v>19017</v>
      </c>
      <c r="E4044" t="s">
        <v>22709</v>
      </c>
      <c r="F4044" t="s">
        <v>32831</v>
      </c>
      <c r="G4044" t="s">
        <v>32840</v>
      </c>
      <c r="H4044" t="s">
        <v>32848</v>
      </c>
      <c r="I4044" t="s">
        <v>32857</v>
      </c>
      <c r="J4044" t="s">
        <v>35630</v>
      </c>
      <c r="K4044" t="s">
        <v>42732</v>
      </c>
      <c r="M4044" t="s">
        <v>43623</v>
      </c>
      <c r="N4044" t="s">
        <v>47424</v>
      </c>
      <c r="O4044" t="s">
        <v>47425</v>
      </c>
      <c r="P4044">
        <v>0</v>
      </c>
      <c r="Q4044">
        <v>7</v>
      </c>
      <c r="R4044" t="s">
        <v>47430</v>
      </c>
      <c r="S4044" t="s">
        <v>47549</v>
      </c>
      <c r="T4044" t="s">
        <v>49107</v>
      </c>
      <c r="U4044" t="s">
        <v>53097</v>
      </c>
      <c r="W4044" t="s">
        <v>43623</v>
      </c>
      <c r="X4044" t="s">
        <v>47431</v>
      </c>
    </row>
    <row r="4045" spans="1:24">
      <c r="A4045">
        <f>HYPERLINK("https://www.philgeps.gov.ph/GEPSNONPILOT/Tender/SplashBidNoticeAbstractUI.aspx?menuIndex=3&amp;refID=7158590&amp;Result=3","7158590")</f>
        <v>0</v>
      </c>
      <c r="B4045" t="s">
        <v>1641</v>
      </c>
      <c r="C4045" t="s">
        <v>7741</v>
      </c>
      <c r="D4045" t="s">
        <v>19042</v>
      </c>
      <c r="E4045" t="s">
        <v>22710</v>
      </c>
      <c r="F4045" t="s">
        <v>32831</v>
      </c>
      <c r="G4045" t="s">
        <v>32840</v>
      </c>
      <c r="H4045" t="s">
        <v>32848</v>
      </c>
      <c r="I4045" t="s">
        <v>32869</v>
      </c>
      <c r="J4045" t="s">
        <v>32980</v>
      </c>
      <c r="K4045" t="s">
        <v>42730</v>
      </c>
      <c r="L4045" t="s">
        <v>1641</v>
      </c>
      <c r="M4045" t="s">
        <v>44758</v>
      </c>
      <c r="N4045" t="s">
        <v>47424</v>
      </c>
      <c r="O4045" t="s">
        <v>47425</v>
      </c>
      <c r="P4045">
        <v>0</v>
      </c>
      <c r="Q4045">
        <v>3</v>
      </c>
      <c r="R4045" t="s">
        <v>47430</v>
      </c>
      <c r="S4045" t="s">
        <v>47549</v>
      </c>
      <c r="T4045" t="s">
        <v>49116</v>
      </c>
      <c r="U4045" t="s">
        <v>53098</v>
      </c>
      <c r="V4045" t="s">
        <v>63072</v>
      </c>
      <c r="W4045" t="s">
        <v>44758</v>
      </c>
      <c r="X4045" t="s">
        <v>47431</v>
      </c>
    </row>
    <row r="4046" spans="1:24">
      <c r="A4046">
        <f>HYPERLINK("https://www.philgeps.gov.ph/GEPSNONPILOT/Tender/SplashBidNoticeAbstractUI.aspx?menuIndex=3&amp;refID=7158589&amp;Result=3","7158589")</f>
        <v>0</v>
      </c>
      <c r="B4046" t="s">
        <v>1642</v>
      </c>
      <c r="C4046" t="s">
        <v>7742</v>
      </c>
      <c r="E4046" t="s">
        <v>19870</v>
      </c>
      <c r="F4046" t="s">
        <v>32831</v>
      </c>
      <c r="G4046" t="s">
        <v>32839</v>
      </c>
      <c r="H4046" t="s">
        <v>32849</v>
      </c>
      <c r="I4046" t="s">
        <v>4177</v>
      </c>
      <c r="J4046" t="s">
        <v>35631</v>
      </c>
      <c r="K4046" t="s">
        <v>42732</v>
      </c>
      <c r="M4046" t="s">
        <v>44759</v>
      </c>
      <c r="N4046" t="s">
        <v>47424</v>
      </c>
      <c r="O4046" t="s">
        <v>47425</v>
      </c>
      <c r="P4046">
        <v>0</v>
      </c>
      <c r="Q4046">
        <v>0</v>
      </c>
      <c r="R4046" t="s">
        <v>47430</v>
      </c>
      <c r="S4046" t="s">
        <v>47549</v>
      </c>
      <c r="T4046" t="s">
        <v>49119</v>
      </c>
      <c r="U4046" t="s">
        <v>53099</v>
      </c>
      <c r="W4046" t="s">
        <v>44759</v>
      </c>
      <c r="X4046" t="s">
        <v>47431</v>
      </c>
    </row>
    <row r="4047" spans="1:24">
      <c r="A4047">
        <f>HYPERLINK("https://www.philgeps.gov.ph/GEPSNONPILOT/Tender/SplashBidNoticeAbstractUI.aspx?menuIndex=3&amp;refID=7158596&amp;Result=3","7158596")</f>
        <v>0</v>
      </c>
      <c r="B4047" t="s">
        <v>1643</v>
      </c>
      <c r="C4047" t="s">
        <v>7743</v>
      </c>
      <c r="E4047" t="s">
        <v>19870</v>
      </c>
      <c r="F4047" t="s">
        <v>32831</v>
      </c>
      <c r="G4047" t="s">
        <v>32839</v>
      </c>
      <c r="H4047" t="s">
        <v>32849</v>
      </c>
      <c r="I4047" t="s">
        <v>4177</v>
      </c>
      <c r="J4047" t="s">
        <v>35632</v>
      </c>
      <c r="K4047" t="s">
        <v>42732</v>
      </c>
      <c r="M4047" t="s">
        <v>44760</v>
      </c>
      <c r="N4047" t="s">
        <v>47424</v>
      </c>
      <c r="O4047" t="s">
        <v>47425</v>
      </c>
      <c r="P4047">
        <v>0</v>
      </c>
      <c r="Q4047">
        <v>0</v>
      </c>
      <c r="R4047" t="s">
        <v>47430</v>
      </c>
      <c r="S4047" t="s">
        <v>47549</v>
      </c>
      <c r="T4047" t="s">
        <v>49119</v>
      </c>
      <c r="U4047" t="s">
        <v>53100</v>
      </c>
      <c r="W4047" t="s">
        <v>44760</v>
      </c>
      <c r="X4047" t="s">
        <v>47431</v>
      </c>
    </row>
    <row r="4048" spans="1:24">
      <c r="A4048">
        <f>HYPERLINK("https://www.philgeps.gov.ph/GEPSNONPILOT/Tender/SplashBidNoticeAbstractUI.aspx?menuIndex=3&amp;refID=7158615&amp;Result=3","7158615")</f>
        <v>0</v>
      </c>
      <c r="B4048" t="s">
        <v>783</v>
      </c>
      <c r="C4048" t="s">
        <v>7744</v>
      </c>
      <c r="D4048" t="s">
        <v>19034</v>
      </c>
      <c r="E4048" t="s">
        <v>22711</v>
      </c>
      <c r="F4048" t="s">
        <v>32831</v>
      </c>
      <c r="G4048" t="s">
        <v>32840</v>
      </c>
      <c r="H4048" t="s">
        <v>32848</v>
      </c>
      <c r="I4048" t="s">
        <v>4776</v>
      </c>
      <c r="J4048" t="s">
        <v>33961</v>
      </c>
      <c r="K4048" t="s">
        <v>42730</v>
      </c>
      <c r="M4048" t="s">
        <v>43812</v>
      </c>
      <c r="N4048" t="s">
        <v>47424</v>
      </c>
      <c r="O4048" t="s">
        <v>47425</v>
      </c>
      <c r="P4048">
        <v>0</v>
      </c>
      <c r="Q4048">
        <v>0</v>
      </c>
      <c r="R4048" t="s">
        <v>47430</v>
      </c>
      <c r="S4048" t="s">
        <v>47549</v>
      </c>
      <c r="T4048" t="s">
        <v>49162</v>
      </c>
      <c r="U4048" t="s">
        <v>53101</v>
      </c>
      <c r="W4048" t="s">
        <v>43812</v>
      </c>
      <c r="X4048" t="s">
        <v>47431</v>
      </c>
    </row>
    <row r="4049" spans="1:24">
      <c r="A4049">
        <f>HYPERLINK("https://www.philgeps.gov.ph/GEPSNONPILOT/Tender/SplashBidNoticeAbstractUI.aspx?menuIndex=3&amp;refID=7158633&amp;Result=3","7158633")</f>
        <v>0</v>
      </c>
      <c r="B4049" t="s">
        <v>629</v>
      </c>
      <c r="C4049" t="s">
        <v>4776</v>
      </c>
      <c r="D4049" t="s">
        <v>19049</v>
      </c>
      <c r="E4049" t="s">
        <v>22712</v>
      </c>
      <c r="F4049" t="s">
        <v>32831</v>
      </c>
      <c r="G4049" t="s">
        <v>32839</v>
      </c>
      <c r="H4049" t="s">
        <v>32848</v>
      </c>
      <c r="I4049" t="s">
        <v>4776</v>
      </c>
      <c r="J4049" t="s">
        <v>33087</v>
      </c>
      <c r="K4049" t="s">
        <v>42731</v>
      </c>
      <c r="M4049" t="s">
        <v>43646</v>
      </c>
      <c r="N4049" t="s">
        <v>47424</v>
      </c>
      <c r="O4049" t="s">
        <v>47425</v>
      </c>
      <c r="P4049">
        <v>0</v>
      </c>
      <c r="Q4049">
        <v>0</v>
      </c>
      <c r="R4049" t="s">
        <v>47430</v>
      </c>
      <c r="S4049" t="s">
        <v>47549</v>
      </c>
      <c r="T4049" t="s">
        <v>49188</v>
      </c>
      <c r="U4049" t="s">
        <v>53102</v>
      </c>
      <c r="W4049" t="s">
        <v>43646</v>
      </c>
      <c r="X4049" t="s">
        <v>47431</v>
      </c>
    </row>
    <row r="4050" spans="1:24">
      <c r="A4050">
        <f>HYPERLINK("https://www.philgeps.gov.ph/GEPSNONPILOT/Tender/SplashBidNoticeAbstractUI.aspx?menuIndex=3&amp;refID=7158591&amp;Result=3","7158591")</f>
        <v>0</v>
      </c>
      <c r="B4050" t="s">
        <v>1042</v>
      </c>
      <c r="C4050" t="s">
        <v>7745</v>
      </c>
      <c r="D4050" t="s">
        <v>19022</v>
      </c>
      <c r="E4050" t="s">
        <v>22713</v>
      </c>
      <c r="F4050" t="s">
        <v>32831</v>
      </c>
      <c r="G4050" t="s">
        <v>32839</v>
      </c>
      <c r="H4050" t="s">
        <v>32848</v>
      </c>
      <c r="I4050" t="s">
        <v>32863</v>
      </c>
      <c r="J4050" t="s">
        <v>35633</v>
      </c>
      <c r="K4050" t="s">
        <v>42758</v>
      </c>
      <c r="M4050" t="s">
        <v>44096</v>
      </c>
      <c r="N4050" t="s">
        <v>47424</v>
      </c>
      <c r="O4050" t="s">
        <v>47425</v>
      </c>
      <c r="P4050">
        <v>0</v>
      </c>
      <c r="Q4050">
        <v>0</v>
      </c>
      <c r="R4050" t="s">
        <v>47430</v>
      </c>
      <c r="S4050" t="s">
        <v>47549</v>
      </c>
      <c r="T4050" t="s">
        <v>49124</v>
      </c>
      <c r="U4050" t="s">
        <v>53103</v>
      </c>
      <c r="V4050" t="s">
        <v>63073</v>
      </c>
      <c r="W4050" t="s">
        <v>44096</v>
      </c>
      <c r="X4050" t="s">
        <v>47431</v>
      </c>
    </row>
    <row r="4051" spans="1:24">
      <c r="A4051">
        <f>HYPERLINK("https://www.philgeps.gov.ph/GEPSNONPILOT/Tender/SplashBidNoticeAbstractUI.aspx?menuIndex=3&amp;refID=7158646&amp;Result=3","7158646")</f>
        <v>0</v>
      </c>
      <c r="B4051" t="s">
        <v>1644</v>
      </c>
      <c r="C4051" t="s">
        <v>7746</v>
      </c>
      <c r="D4051" t="s">
        <v>19024</v>
      </c>
      <c r="E4051" t="s">
        <v>22714</v>
      </c>
      <c r="F4051" t="s">
        <v>32831</v>
      </c>
      <c r="G4051" t="s">
        <v>32839</v>
      </c>
      <c r="H4051" t="s">
        <v>32849</v>
      </c>
      <c r="I4051" t="s">
        <v>4177</v>
      </c>
      <c r="J4051" t="s">
        <v>33087</v>
      </c>
      <c r="K4051" t="s">
        <v>42729</v>
      </c>
      <c r="M4051" t="s">
        <v>44761</v>
      </c>
      <c r="N4051" t="s">
        <v>47424</v>
      </c>
      <c r="O4051" t="s">
        <v>47425</v>
      </c>
      <c r="P4051">
        <v>0</v>
      </c>
      <c r="Q4051">
        <v>1</v>
      </c>
      <c r="R4051" t="s">
        <v>47430</v>
      </c>
      <c r="S4051" t="s">
        <v>47549</v>
      </c>
      <c r="T4051" t="s">
        <v>49066</v>
      </c>
      <c r="U4051" t="s">
        <v>53104</v>
      </c>
      <c r="W4051" t="s">
        <v>44761</v>
      </c>
      <c r="X4051" t="s">
        <v>47431</v>
      </c>
    </row>
    <row r="4052" spans="1:24">
      <c r="A4052">
        <f>HYPERLINK("https://www.philgeps.gov.ph/GEPSNONPILOT/Tender/SplashBidNoticeAbstractUI.aspx?menuIndex=3&amp;refID=7158645&amp;Result=3","7158645")</f>
        <v>0</v>
      </c>
      <c r="B4052" t="s">
        <v>1180</v>
      </c>
      <c r="C4052" t="s">
        <v>7747</v>
      </c>
      <c r="D4052" t="s">
        <v>19035</v>
      </c>
      <c r="E4052" t="s">
        <v>22715</v>
      </c>
      <c r="F4052" t="s">
        <v>32831</v>
      </c>
      <c r="G4052" t="s">
        <v>32838</v>
      </c>
      <c r="H4052" t="s">
        <v>32848</v>
      </c>
      <c r="I4052" t="s">
        <v>4438</v>
      </c>
      <c r="J4052" t="s">
        <v>35634</v>
      </c>
      <c r="K4052" t="s">
        <v>42730</v>
      </c>
      <c r="M4052" t="s">
        <v>44246</v>
      </c>
      <c r="N4052" t="s">
        <v>47424</v>
      </c>
      <c r="O4052" t="s">
        <v>47425</v>
      </c>
      <c r="P4052">
        <v>0</v>
      </c>
      <c r="Q4052">
        <v>11</v>
      </c>
      <c r="R4052" t="s">
        <v>47430</v>
      </c>
      <c r="S4052" t="s">
        <v>47549</v>
      </c>
      <c r="T4052" t="s">
        <v>49370</v>
      </c>
      <c r="U4052" t="s">
        <v>53105</v>
      </c>
      <c r="W4052" t="s">
        <v>44246</v>
      </c>
      <c r="X4052" t="s">
        <v>47431</v>
      </c>
    </row>
    <row r="4053" spans="1:24">
      <c r="A4053">
        <f>HYPERLINK("https://www.philgeps.gov.ph/GEPSNONPILOT/Tender/SplashBidNoticeAbstractUI.aspx?menuIndex=3&amp;refID=7158587&amp;Result=3","7158587")</f>
        <v>0</v>
      </c>
      <c r="B4053" t="s">
        <v>842</v>
      </c>
      <c r="C4053" t="s">
        <v>7748</v>
      </c>
      <c r="D4053" t="s">
        <v>19044</v>
      </c>
      <c r="E4053" t="s">
        <v>22716</v>
      </c>
      <c r="F4053" t="s">
        <v>32831</v>
      </c>
      <c r="G4053" t="s">
        <v>32840</v>
      </c>
      <c r="H4053" t="s">
        <v>32848</v>
      </c>
      <c r="I4053" t="s">
        <v>32886</v>
      </c>
      <c r="J4053" t="s">
        <v>35635</v>
      </c>
      <c r="K4053" t="s">
        <v>42758</v>
      </c>
      <c r="M4053" t="s">
        <v>43875</v>
      </c>
      <c r="N4053" t="s">
        <v>47424</v>
      </c>
      <c r="O4053" t="s">
        <v>47425</v>
      </c>
      <c r="P4053">
        <v>0</v>
      </c>
      <c r="Q4053">
        <v>2</v>
      </c>
      <c r="R4053" t="s">
        <v>47430</v>
      </c>
      <c r="S4053" t="s">
        <v>47549</v>
      </c>
      <c r="T4053" t="s">
        <v>49079</v>
      </c>
      <c r="U4053" t="s">
        <v>53106</v>
      </c>
      <c r="W4053" t="s">
        <v>43875</v>
      </c>
      <c r="X4053" t="s">
        <v>47431</v>
      </c>
    </row>
    <row r="4054" spans="1:24">
      <c r="A4054">
        <f>HYPERLINK("https://www.philgeps.gov.ph/GEPSNONPILOT/Tender/SplashBidNoticeAbstractUI.aspx?menuIndex=3&amp;refID=7158644&amp;Result=3","7158644")</f>
        <v>0</v>
      </c>
      <c r="B4054" t="s">
        <v>823</v>
      </c>
      <c r="C4054" t="s">
        <v>7749</v>
      </c>
      <c r="D4054" t="s">
        <v>19062</v>
      </c>
      <c r="E4054" t="s">
        <v>22717</v>
      </c>
      <c r="F4054" t="s">
        <v>32831</v>
      </c>
      <c r="G4054" t="s">
        <v>32838</v>
      </c>
      <c r="H4054" t="s">
        <v>32848</v>
      </c>
      <c r="I4054" t="s">
        <v>32871</v>
      </c>
      <c r="J4054" t="s">
        <v>35636</v>
      </c>
      <c r="K4054" t="s">
        <v>42727</v>
      </c>
      <c r="M4054" t="s">
        <v>43854</v>
      </c>
      <c r="N4054" t="s">
        <v>47424</v>
      </c>
      <c r="O4054" t="s">
        <v>47425</v>
      </c>
      <c r="P4054">
        <v>0</v>
      </c>
      <c r="Q4054">
        <v>20</v>
      </c>
      <c r="R4054" t="s">
        <v>47430</v>
      </c>
      <c r="S4054" t="s">
        <v>47549</v>
      </c>
      <c r="T4054" t="s">
        <v>49056</v>
      </c>
      <c r="U4054" t="s">
        <v>53107</v>
      </c>
      <c r="V4054" t="s">
        <v>63074</v>
      </c>
      <c r="W4054" t="s">
        <v>43854</v>
      </c>
      <c r="X4054" t="s">
        <v>47431</v>
      </c>
    </row>
    <row r="4055" spans="1:24">
      <c r="A4055">
        <f>HYPERLINK("https://www.philgeps.gov.ph/GEPSNONPILOT/Tender/SplashBidNoticeAbstractUI.aspx?menuIndex=3&amp;refID=7158643&amp;Result=3","7158643")</f>
        <v>0</v>
      </c>
      <c r="B4055" t="s">
        <v>186</v>
      </c>
      <c r="C4055" t="s">
        <v>7750</v>
      </c>
      <c r="D4055" t="s">
        <v>19074</v>
      </c>
      <c r="E4055" t="s">
        <v>22718</v>
      </c>
      <c r="F4055" t="s">
        <v>32831</v>
      </c>
      <c r="G4055" t="s">
        <v>32842</v>
      </c>
      <c r="H4055" t="s">
        <v>32848</v>
      </c>
      <c r="I4055" t="s">
        <v>32857</v>
      </c>
      <c r="J4055" t="s">
        <v>33268</v>
      </c>
      <c r="K4055" t="s">
        <v>42727</v>
      </c>
      <c r="M4055" t="s">
        <v>43184</v>
      </c>
      <c r="N4055" t="s">
        <v>47424</v>
      </c>
      <c r="O4055" t="s">
        <v>47425</v>
      </c>
      <c r="P4055">
        <v>0</v>
      </c>
      <c r="Q4055">
        <v>4</v>
      </c>
      <c r="R4055" t="s">
        <v>47430</v>
      </c>
      <c r="S4055" t="s">
        <v>47549</v>
      </c>
      <c r="T4055" t="s">
        <v>49111</v>
      </c>
      <c r="U4055" t="s">
        <v>53108</v>
      </c>
      <c r="W4055" t="s">
        <v>43184</v>
      </c>
      <c r="X4055" t="s">
        <v>47431</v>
      </c>
    </row>
    <row r="4056" spans="1:24">
      <c r="A4056">
        <f>HYPERLINK("https://www.philgeps.gov.ph/GEPSNONPILOT/Tender/SplashBidNoticeAbstractUI.aspx?menuIndex=3&amp;refID=7158642&amp;Result=3","7158642")</f>
        <v>0</v>
      </c>
      <c r="B4056" t="s">
        <v>273</v>
      </c>
      <c r="C4056" t="s">
        <v>7751</v>
      </c>
      <c r="D4056" t="s">
        <v>19060</v>
      </c>
      <c r="E4056" t="s">
        <v>22719</v>
      </c>
      <c r="F4056" t="s">
        <v>32831</v>
      </c>
      <c r="G4056" t="s">
        <v>32838</v>
      </c>
      <c r="H4056" t="s">
        <v>32848</v>
      </c>
      <c r="I4056" t="s">
        <v>7751</v>
      </c>
      <c r="J4056" t="s">
        <v>34543</v>
      </c>
      <c r="K4056" t="s">
        <v>42776</v>
      </c>
      <c r="M4056" t="s">
        <v>43272</v>
      </c>
      <c r="N4056" t="s">
        <v>47424</v>
      </c>
      <c r="O4056" t="s">
        <v>47425</v>
      </c>
      <c r="P4056">
        <v>0</v>
      </c>
      <c r="Q4056">
        <v>0</v>
      </c>
      <c r="R4056" t="s">
        <v>47430</v>
      </c>
      <c r="S4056" t="s">
        <v>47549</v>
      </c>
      <c r="T4056" t="s">
        <v>49111</v>
      </c>
      <c r="U4056" t="s">
        <v>53109</v>
      </c>
      <c r="V4056" t="s">
        <v>62674</v>
      </c>
      <c r="W4056" t="s">
        <v>43272</v>
      </c>
      <c r="X4056" t="s">
        <v>47431</v>
      </c>
    </row>
    <row r="4057" spans="1:24">
      <c r="A4057">
        <f>HYPERLINK("https://www.philgeps.gov.ph/GEPSNONPILOT/Tender/SplashBidNoticeAbstractUI.aspx?menuIndex=3&amp;refID=7158641&amp;Result=3","7158641")</f>
        <v>0</v>
      </c>
      <c r="B4057" t="s">
        <v>783</v>
      </c>
      <c r="C4057" t="s">
        <v>7752</v>
      </c>
      <c r="D4057" t="s">
        <v>19034</v>
      </c>
      <c r="E4057" t="s">
        <v>22720</v>
      </c>
      <c r="F4057" t="s">
        <v>32831</v>
      </c>
      <c r="G4057" t="s">
        <v>32840</v>
      </c>
      <c r="H4057" t="s">
        <v>32848</v>
      </c>
      <c r="I4057" t="s">
        <v>32862</v>
      </c>
      <c r="J4057" t="s">
        <v>34405</v>
      </c>
      <c r="K4057" t="s">
        <v>42731</v>
      </c>
      <c r="M4057" t="s">
        <v>43812</v>
      </c>
      <c r="N4057" t="s">
        <v>47424</v>
      </c>
      <c r="O4057" t="s">
        <v>47425</v>
      </c>
      <c r="P4057">
        <v>0</v>
      </c>
      <c r="Q4057">
        <v>0</v>
      </c>
      <c r="R4057" t="s">
        <v>47430</v>
      </c>
      <c r="S4057" t="s">
        <v>47549</v>
      </c>
      <c r="T4057" t="s">
        <v>49162</v>
      </c>
      <c r="U4057" t="s">
        <v>53110</v>
      </c>
      <c r="W4057" t="s">
        <v>43812</v>
      </c>
      <c r="X4057" t="s">
        <v>47431</v>
      </c>
    </row>
    <row r="4058" spans="1:24">
      <c r="A4058">
        <f>HYPERLINK("https://www.philgeps.gov.ph/GEPSNONPILOT/Tender/SplashBidNoticeAbstractUI.aspx?menuIndex=3&amp;refID=7158632&amp;Result=3","7158632")</f>
        <v>0</v>
      </c>
      <c r="B4058" t="s">
        <v>1645</v>
      </c>
      <c r="C4058" t="s">
        <v>7753</v>
      </c>
      <c r="D4058" t="s">
        <v>19034</v>
      </c>
      <c r="E4058" t="s">
        <v>20014</v>
      </c>
      <c r="F4058" t="s">
        <v>32831</v>
      </c>
      <c r="G4058" t="s">
        <v>32839</v>
      </c>
      <c r="H4058" t="s">
        <v>32848</v>
      </c>
      <c r="I4058" t="s">
        <v>7751</v>
      </c>
      <c r="J4058" t="s">
        <v>33561</v>
      </c>
      <c r="K4058" t="s">
        <v>42728</v>
      </c>
      <c r="M4058" t="s">
        <v>44762</v>
      </c>
      <c r="N4058" t="s">
        <v>47424</v>
      </c>
      <c r="O4058" t="s">
        <v>47425</v>
      </c>
      <c r="P4058">
        <v>0</v>
      </c>
      <c r="Q4058">
        <v>3</v>
      </c>
      <c r="R4058" t="s">
        <v>47430</v>
      </c>
      <c r="S4058" t="s">
        <v>47549</v>
      </c>
      <c r="T4058" t="s">
        <v>49129</v>
      </c>
      <c r="U4058" t="s">
        <v>53111</v>
      </c>
      <c r="W4058" t="s">
        <v>44762</v>
      </c>
      <c r="X4058" t="s">
        <v>47431</v>
      </c>
    </row>
    <row r="4059" spans="1:24">
      <c r="A4059">
        <f>HYPERLINK("https://www.philgeps.gov.ph/GEPSNONPILOT/Tender/SplashBidNoticeAbstractUI.aspx?menuIndex=3&amp;refID=7158639&amp;Result=3","7158639")</f>
        <v>0</v>
      </c>
      <c r="B4059" t="s">
        <v>633</v>
      </c>
      <c r="C4059" t="s">
        <v>7754</v>
      </c>
      <c r="D4059" t="s">
        <v>19062</v>
      </c>
      <c r="E4059" t="s">
        <v>22721</v>
      </c>
      <c r="F4059" t="s">
        <v>32831</v>
      </c>
      <c r="G4059" t="s">
        <v>32838</v>
      </c>
      <c r="H4059" t="s">
        <v>32848</v>
      </c>
      <c r="I4059" t="s">
        <v>10805</v>
      </c>
      <c r="J4059" t="s">
        <v>33078</v>
      </c>
      <c r="K4059" t="s">
        <v>42750</v>
      </c>
      <c r="M4059" t="s">
        <v>43650</v>
      </c>
      <c r="N4059" t="s">
        <v>47424</v>
      </c>
      <c r="O4059" t="s">
        <v>47425</v>
      </c>
      <c r="P4059">
        <v>0</v>
      </c>
      <c r="Q4059">
        <v>2</v>
      </c>
      <c r="R4059" t="s">
        <v>47430</v>
      </c>
      <c r="S4059" t="s">
        <v>47549</v>
      </c>
      <c r="T4059" t="s">
        <v>49127</v>
      </c>
      <c r="U4059" t="s">
        <v>53112</v>
      </c>
      <c r="W4059" t="s">
        <v>43650</v>
      </c>
      <c r="X4059" t="s">
        <v>47431</v>
      </c>
    </row>
    <row r="4060" spans="1:24">
      <c r="A4060">
        <f>HYPERLINK("https://www.philgeps.gov.ph/GEPSNONPILOT/Tender/SplashBidNoticeAbstractUI.aspx?menuIndex=3&amp;refID=7158568&amp;Result=3","7158568")</f>
        <v>0</v>
      </c>
      <c r="B4060" t="s">
        <v>1633</v>
      </c>
      <c r="C4060" t="s">
        <v>7755</v>
      </c>
      <c r="D4060" t="s">
        <v>19057</v>
      </c>
      <c r="E4060" t="s">
        <v>22722</v>
      </c>
      <c r="F4060" t="s">
        <v>32831</v>
      </c>
      <c r="G4060" t="s">
        <v>32839</v>
      </c>
      <c r="H4060" t="s">
        <v>32849</v>
      </c>
      <c r="I4060" t="s">
        <v>4177</v>
      </c>
      <c r="J4060" t="s">
        <v>32980</v>
      </c>
      <c r="K4060" t="s">
        <v>42727</v>
      </c>
      <c r="M4060" t="s">
        <v>44749</v>
      </c>
      <c r="N4060" t="s">
        <v>47424</v>
      </c>
      <c r="O4060" t="s">
        <v>47425</v>
      </c>
      <c r="P4060">
        <v>0</v>
      </c>
      <c r="Q4060">
        <v>0</v>
      </c>
      <c r="R4060" t="s">
        <v>47430</v>
      </c>
      <c r="S4060" t="s">
        <v>47549</v>
      </c>
      <c r="T4060" t="s">
        <v>49198</v>
      </c>
      <c r="U4060" t="s">
        <v>53080</v>
      </c>
      <c r="W4060" t="s">
        <v>44749</v>
      </c>
      <c r="X4060" t="s">
        <v>47431</v>
      </c>
    </row>
    <row r="4061" spans="1:24">
      <c r="A4061">
        <f>HYPERLINK("https://www.philgeps.gov.ph/GEPSNONPILOT/Tender/SplashBidNoticeAbstractUI.aspx?menuIndex=3&amp;refID=7158635&amp;Result=3","7158635")</f>
        <v>0</v>
      </c>
      <c r="B4061" t="s">
        <v>1646</v>
      </c>
      <c r="C4061" t="s">
        <v>7756</v>
      </c>
      <c r="D4061" t="s">
        <v>19103</v>
      </c>
      <c r="E4061" t="s">
        <v>22723</v>
      </c>
      <c r="F4061" t="s">
        <v>32831</v>
      </c>
      <c r="G4061" t="s">
        <v>32840</v>
      </c>
      <c r="H4061" t="s">
        <v>32848</v>
      </c>
      <c r="I4061" t="s">
        <v>32859</v>
      </c>
      <c r="J4061" t="s">
        <v>35637</v>
      </c>
      <c r="K4061" t="s">
        <v>42738</v>
      </c>
      <c r="M4061" t="s">
        <v>44763</v>
      </c>
      <c r="N4061" t="s">
        <v>47424</v>
      </c>
      <c r="O4061" t="s">
        <v>47425</v>
      </c>
      <c r="P4061">
        <v>0</v>
      </c>
      <c r="Q4061">
        <v>0</v>
      </c>
      <c r="R4061" t="s">
        <v>47430</v>
      </c>
      <c r="S4061" t="s">
        <v>47549</v>
      </c>
      <c r="T4061" t="s">
        <v>49212</v>
      </c>
      <c r="U4061" t="s">
        <v>53113</v>
      </c>
      <c r="W4061" t="s">
        <v>44763</v>
      </c>
      <c r="X4061" t="s">
        <v>47431</v>
      </c>
    </row>
    <row r="4062" spans="1:24">
      <c r="A4062">
        <f>HYPERLINK("https://www.philgeps.gov.ph/GEPSNONPILOT/Tender/SplashBidNoticeAbstractUI.aspx?menuIndex=3&amp;refID=7158630&amp;Result=3","7158630")</f>
        <v>0</v>
      </c>
      <c r="B4062" t="s">
        <v>1647</v>
      </c>
      <c r="C4062" t="s">
        <v>7757</v>
      </c>
      <c r="E4062" t="s">
        <v>22724</v>
      </c>
      <c r="F4062" t="s">
        <v>32831</v>
      </c>
      <c r="G4062" t="s">
        <v>32839</v>
      </c>
      <c r="H4062" t="s">
        <v>32848</v>
      </c>
      <c r="I4062" t="s">
        <v>4438</v>
      </c>
      <c r="J4062" t="s">
        <v>35638</v>
      </c>
      <c r="K4062" t="s">
        <v>42732</v>
      </c>
      <c r="M4062" t="s">
        <v>44764</v>
      </c>
      <c r="N4062" t="s">
        <v>47424</v>
      </c>
      <c r="O4062" t="s">
        <v>47425</v>
      </c>
      <c r="P4062">
        <v>0</v>
      </c>
      <c r="Q4062">
        <v>2</v>
      </c>
      <c r="R4062" t="s">
        <v>47430</v>
      </c>
      <c r="S4062" t="s">
        <v>47549</v>
      </c>
      <c r="T4062" t="s">
        <v>49119</v>
      </c>
      <c r="U4062" t="s">
        <v>52291</v>
      </c>
      <c r="W4062" t="s">
        <v>44764</v>
      </c>
      <c r="X4062" t="s">
        <v>47431</v>
      </c>
    </row>
    <row r="4063" spans="1:24">
      <c r="A4063">
        <f>HYPERLINK("https://www.philgeps.gov.ph/GEPSNONPILOT/Tender/SplashBidNoticeAbstractUI.aspx?menuIndex=3&amp;refID=7158628&amp;Result=3","7158628")</f>
        <v>0</v>
      </c>
      <c r="B4063" t="s">
        <v>783</v>
      </c>
      <c r="C4063" t="s">
        <v>7758</v>
      </c>
      <c r="D4063" t="s">
        <v>19034</v>
      </c>
      <c r="E4063" t="s">
        <v>22725</v>
      </c>
      <c r="F4063" t="s">
        <v>32831</v>
      </c>
      <c r="G4063" t="s">
        <v>32840</v>
      </c>
      <c r="H4063" t="s">
        <v>32848</v>
      </c>
      <c r="I4063" t="s">
        <v>32862</v>
      </c>
      <c r="J4063" t="s">
        <v>35137</v>
      </c>
      <c r="K4063" t="s">
        <v>42801</v>
      </c>
      <c r="M4063" t="s">
        <v>43812</v>
      </c>
      <c r="N4063" t="s">
        <v>47424</v>
      </c>
      <c r="O4063" t="s">
        <v>47425</v>
      </c>
      <c r="P4063">
        <v>0</v>
      </c>
      <c r="Q4063">
        <v>0</v>
      </c>
      <c r="R4063" t="s">
        <v>47430</v>
      </c>
      <c r="S4063" t="s">
        <v>47549</v>
      </c>
      <c r="T4063" t="s">
        <v>49162</v>
      </c>
      <c r="U4063" t="s">
        <v>53114</v>
      </c>
      <c r="W4063" t="s">
        <v>43812</v>
      </c>
      <c r="X4063" t="s">
        <v>47431</v>
      </c>
    </row>
    <row r="4064" spans="1:24">
      <c r="A4064">
        <f>HYPERLINK("https://www.philgeps.gov.ph/GEPSNONPILOT/Tender/SplashBidNoticeAbstractUI.aspx?menuIndex=3&amp;refID=7158572&amp;Result=3","7158572")</f>
        <v>0</v>
      </c>
      <c r="B4064" t="s">
        <v>1634</v>
      </c>
      <c r="C4064" t="s">
        <v>7759</v>
      </c>
      <c r="D4064" t="s">
        <v>19017</v>
      </c>
      <c r="E4064" t="s">
        <v>22726</v>
      </c>
      <c r="F4064" t="s">
        <v>32831</v>
      </c>
      <c r="G4064" t="s">
        <v>32842</v>
      </c>
      <c r="H4064" t="s">
        <v>32848</v>
      </c>
      <c r="I4064" t="s">
        <v>32860</v>
      </c>
      <c r="J4064" t="s">
        <v>35639</v>
      </c>
      <c r="K4064" t="s">
        <v>42730</v>
      </c>
      <c r="M4064" t="s">
        <v>44750</v>
      </c>
      <c r="N4064" t="s">
        <v>47424</v>
      </c>
      <c r="O4064" t="s">
        <v>47425</v>
      </c>
      <c r="P4064">
        <v>0</v>
      </c>
      <c r="Q4064">
        <v>9</v>
      </c>
      <c r="R4064" t="s">
        <v>47430</v>
      </c>
      <c r="S4064" t="s">
        <v>47549</v>
      </c>
      <c r="T4064" t="s">
        <v>49229</v>
      </c>
      <c r="U4064" t="s">
        <v>53115</v>
      </c>
      <c r="W4064" t="s">
        <v>44750</v>
      </c>
      <c r="X4064" t="s">
        <v>47431</v>
      </c>
    </row>
    <row r="4065" spans="1:24">
      <c r="A4065">
        <f>HYPERLINK("https://www.philgeps.gov.ph/GEPSNONPILOT/Tender/SplashBidNoticeAbstractUI.aspx?menuIndex=3&amp;refID=7158638&amp;Result=3","7158638")</f>
        <v>0</v>
      </c>
      <c r="B4065" t="s">
        <v>1648</v>
      </c>
      <c r="C4065" t="s">
        <v>7760</v>
      </c>
      <c r="D4065" t="s">
        <v>19037</v>
      </c>
      <c r="E4065" t="s">
        <v>22727</v>
      </c>
      <c r="F4065" t="s">
        <v>32831</v>
      </c>
      <c r="G4065" t="s">
        <v>32839</v>
      </c>
      <c r="H4065" t="s">
        <v>32848</v>
      </c>
      <c r="I4065" t="s">
        <v>32923</v>
      </c>
      <c r="J4065" t="s">
        <v>33017</v>
      </c>
      <c r="K4065" t="s">
        <v>42731</v>
      </c>
      <c r="M4065" t="s">
        <v>44765</v>
      </c>
      <c r="N4065" t="s">
        <v>47424</v>
      </c>
      <c r="O4065" t="s">
        <v>47425</v>
      </c>
      <c r="P4065">
        <v>0</v>
      </c>
      <c r="Q4065">
        <v>3</v>
      </c>
      <c r="R4065" t="s">
        <v>47430</v>
      </c>
      <c r="S4065" t="s">
        <v>47549</v>
      </c>
      <c r="T4065" t="s">
        <v>49129</v>
      </c>
      <c r="U4065" t="s">
        <v>53116</v>
      </c>
      <c r="V4065" t="s">
        <v>63075</v>
      </c>
      <c r="W4065" t="s">
        <v>44765</v>
      </c>
      <c r="X4065" t="s">
        <v>47431</v>
      </c>
    </row>
    <row r="4066" spans="1:24">
      <c r="A4066">
        <f>HYPERLINK("https://www.philgeps.gov.ph/GEPSNONPILOT/Tender/SplashBidNoticeAbstractUI.aspx?menuIndex=3&amp;refID=7158625&amp;Result=3","7158625")</f>
        <v>0</v>
      </c>
      <c r="B4066" t="s">
        <v>1646</v>
      </c>
      <c r="C4066" t="s">
        <v>7761</v>
      </c>
      <c r="D4066" t="s">
        <v>19020</v>
      </c>
      <c r="E4066" t="s">
        <v>22728</v>
      </c>
      <c r="F4066" t="s">
        <v>32831</v>
      </c>
      <c r="G4066" t="s">
        <v>32840</v>
      </c>
      <c r="H4066" t="s">
        <v>32848</v>
      </c>
      <c r="I4066" t="s">
        <v>4438</v>
      </c>
      <c r="J4066" t="s">
        <v>35640</v>
      </c>
      <c r="K4066" t="s">
        <v>42730</v>
      </c>
      <c r="M4066" t="s">
        <v>44763</v>
      </c>
      <c r="N4066" t="s">
        <v>47424</v>
      </c>
      <c r="O4066" t="s">
        <v>47425</v>
      </c>
      <c r="P4066">
        <v>0</v>
      </c>
      <c r="Q4066">
        <v>2</v>
      </c>
      <c r="R4066" t="s">
        <v>47430</v>
      </c>
      <c r="S4066" t="s">
        <v>47549</v>
      </c>
      <c r="T4066" t="s">
        <v>49141</v>
      </c>
      <c r="U4066" t="s">
        <v>53117</v>
      </c>
      <c r="W4066" t="s">
        <v>44763</v>
      </c>
      <c r="X4066" t="s">
        <v>47431</v>
      </c>
    </row>
    <row r="4067" spans="1:24">
      <c r="A4067">
        <f>HYPERLINK("https://www.philgeps.gov.ph/GEPSNONPILOT/Tender/SplashBidNoticeAbstractUI.aspx?menuIndex=3&amp;refID=7158619&amp;Result=3","7158619")</f>
        <v>0</v>
      </c>
      <c r="B4067" t="s">
        <v>338</v>
      </c>
      <c r="C4067" t="s">
        <v>7762</v>
      </c>
      <c r="D4067" t="s">
        <v>19019</v>
      </c>
      <c r="E4067" t="s">
        <v>22729</v>
      </c>
      <c r="F4067" t="s">
        <v>32833</v>
      </c>
      <c r="G4067" t="s">
        <v>32838</v>
      </c>
      <c r="H4067" t="s">
        <v>32848</v>
      </c>
      <c r="I4067" t="s">
        <v>4438</v>
      </c>
      <c r="J4067" t="s">
        <v>34405</v>
      </c>
      <c r="K4067" t="s">
        <v>42759</v>
      </c>
      <c r="M4067" t="s">
        <v>44099</v>
      </c>
      <c r="N4067" t="s">
        <v>47424</v>
      </c>
      <c r="O4067" t="s">
        <v>47425</v>
      </c>
      <c r="P4067">
        <v>0</v>
      </c>
      <c r="Q4067">
        <v>14</v>
      </c>
      <c r="R4067" t="s">
        <v>47430</v>
      </c>
      <c r="S4067" t="s">
        <v>47549</v>
      </c>
      <c r="T4067" t="s">
        <v>49198</v>
      </c>
      <c r="U4067" t="s">
        <v>52655</v>
      </c>
      <c r="V4067" t="s">
        <v>50942</v>
      </c>
      <c r="W4067" t="s">
        <v>44099</v>
      </c>
      <c r="X4067" t="s">
        <v>47431</v>
      </c>
    </row>
    <row r="4068" spans="1:24">
      <c r="A4068">
        <f>HYPERLINK("https://www.philgeps.gov.ph/GEPSNONPILOT/Tender/SplashBidNoticeAbstractUI.aspx?menuIndex=3&amp;refID=7158585&amp;Result=3","7158585")</f>
        <v>0</v>
      </c>
      <c r="B4068" t="s">
        <v>1632</v>
      </c>
      <c r="C4068" t="s">
        <v>7763</v>
      </c>
      <c r="D4068" t="s">
        <v>19019</v>
      </c>
      <c r="E4068" t="s">
        <v>21330</v>
      </c>
      <c r="F4068" t="s">
        <v>32833</v>
      </c>
      <c r="G4068" t="s">
        <v>32839</v>
      </c>
      <c r="H4068" t="s">
        <v>32849</v>
      </c>
      <c r="I4068" t="s">
        <v>4177</v>
      </c>
      <c r="J4068" t="s">
        <v>35641</v>
      </c>
      <c r="K4068" t="s">
        <v>42732</v>
      </c>
      <c r="M4068" t="s">
        <v>44748</v>
      </c>
      <c r="N4068" t="s">
        <v>47424</v>
      </c>
      <c r="O4068" t="s">
        <v>47425</v>
      </c>
      <c r="P4068">
        <v>0</v>
      </c>
      <c r="Q4068">
        <v>0</v>
      </c>
      <c r="R4068" t="s">
        <v>47430</v>
      </c>
      <c r="S4068" t="s">
        <v>47549</v>
      </c>
      <c r="T4068" t="s">
        <v>49371</v>
      </c>
      <c r="U4068" t="s">
        <v>53118</v>
      </c>
      <c r="W4068" t="s">
        <v>44748</v>
      </c>
      <c r="X4068" t="s">
        <v>47431</v>
      </c>
    </row>
    <row r="4069" spans="1:24">
      <c r="A4069">
        <f>HYPERLINK("https://www.philgeps.gov.ph/GEPSNONPILOT/Tender/SplashBidNoticeAbstractUI.aspx?menuIndex=3&amp;refID=7158583&amp;Result=3","7158583")</f>
        <v>0</v>
      </c>
      <c r="B4069" t="s">
        <v>1649</v>
      </c>
      <c r="C4069" t="s">
        <v>7764</v>
      </c>
      <c r="D4069" t="s">
        <v>19018</v>
      </c>
      <c r="E4069" t="s">
        <v>22730</v>
      </c>
      <c r="F4069" t="s">
        <v>32831</v>
      </c>
      <c r="G4069" t="s">
        <v>32839</v>
      </c>
      <c r="H4069" t="s">
        <v>32849</v>
      </c>
      <c r="I4069" t="s">
        <v>4177</v>
      </c>
      <c r="J4069" t="s">
        <v>35642</v>
      </c>
      <c r="K4069" t="s">
        <v>42855</v>
      </c>
      <c r="M4069" t="s">
        <v>44766</v>
      </c>
      <c r="N4069" t="s">
        <v>47424</v>
      </c>
      <c r="O4069" t="s">
        <v>47425</v>
      </c>
      <c r="P4069">
        <v>0</v>
      </c>
      <c r="Q4069">
        <v>2</v>
      </c>
      <c r="R4069" t="s">
        <v>47430</v>
      </c>
      <c r="S4069" t="s">
        <v>47549</v>
      </c>
      <c r="T4069" t="s">
        <v>49372</v>
      </c>
      <c r="U4069" t="s">
        <v>53119</v>
      </c>
      <c r="V4069" t="s">
        <v>63076</v>
      </c>
      <c r="W4069" t="s">
        <v>64479</v>
      </c>
      <c r="X4069" t="s">
        <v>47431</v>
      </c>
    </row>
    <row r="4070" spans="1:24">
      <c r="A4070">
        <f>HYPERLINK("https://www.philgeps.gov.ph/GEPSNONPILOT/Tender/SplashBidNoticeAbstractUI.aspx?menuIndex=3&amp;refID=7158561&amp;Result=3","7158561")</f>
        <v>0</v>
      </c>
      <c r="B4070" t="s">
        <v>1650</v>
      </c>
      <c r="C4070" t="s">
        <v>4646</v>
      </c>
      <c r="D4070" t="s">
        <v>19057</v>
      </c>
      <c r="E4070" t="s">
        <v>22731</v>
      </c>
      <c r="F4070" t="s">
        <v>32831</v>
      </c>
      <c r="G4070" t="s">
        <v>32839</v>
      </c>
      <c r="H4070" t="s">
        <v>32848</v>
      </c>
      <c r="I4070" t="s">
        <v>4222</v>
      </c>
      <c r="J4070" t="s">
        <v>35643</v>
      </c>
      <c r="K4070" t="s">
        <v>42726</v>
      </c>
      <c r="M4070" t="s">
        <v>44767</v>
      </c>
      <c r="N4070" t="s">
        <v>47424</v>
      </c>
      <c r="O4070" t="s">
        <v>47425</v>
      </c>
      <c r="P4070">
        <v>0</v>
      </c>
      <c r="Q4070">
        <v>0</v>
      </c>
      <c r="R4070" t="s">
        <v>47430</v>
      </c>
      <c r="S4070" t="s">
        <v>47549</v>
      </c>
      <c r="T4070" t="s">
        <v>49119</v>
      </c>
      <c r="U4070" t="s">
        <v>50323</v>
      </c>
      <c r="W4070" t="s">
        <v>44767</v>
      </c>
      <c r="X4070" t="s">
        <v>47431</v>
      </c>
    </row>
    <row r="4071" spans="1:24">
      <c r="A4071">
        <f>HYPERLINK("https://www.philgeps.gov.ph/GEPSNONPILOT/Tender/SplashBidNoticeAbstractUI.aspx?menuIndex=3&amp;refID=7158595&amp;Result=3","7158595")</f>
        <v>0</v>
      </c>
      <c r="B4071" t="s">
        <v>1651</v>
      </c>
      <c r="C4071" t="s">
        <v>7765</v>
      </c>
      <c r="E4071" t="s">
        <v>19215</v>
      </c>
      <c r="F4071" t="s">
        <v>32831</v>
      </c>
      <c r="G4071" t="s">
        <v>32840</v>
      </c>
      <c r="H4071" t="s">
        <v>32848</v>
      </c>
      <c r="I4071" t="s">
        <v>4776</v>
      </c>
      <c r="J4071" t="s">
        <v>33133</v>
      </c>
      <c r="K4071" t="s">
        <v>42732</v>
      </c>
      <c r="M4071" t="s">
        <v>44768</v>
      </c>
      <c r="N4071" t="s">
        <v>47424</v>
      </c>
      <c r="O4071" t="s">
        <v>47425</v>
      </c>
      <c r="P4071">
        <v>0</v>
      </c>
      <c r="Q4071">
        <v>0</v>
      </c>
      <c r="R4071" t="s">
        <v>47430</v>
      </c>
      <c r="S4071" t="s">
        <v>47549</v>
      </c>
      <c r="T4071" t="s">
        <v>49237</v>
      </c>
      <c r="U4071" t="s">
        <v>53120</v>
      </c>
      <c r="W4071" t="s">
        <v>44768</v>
      </c>
      <c r="X4071" t="s">
        <v>47431</v>
      </c>
    </row>
    <row r="4072" spans="1:24">
      <c r="A4072">
        <f>HYPERLINK("https://www.philgeps.gov.ph/GEPSNONPILOT/Tender/SplashBidNoticeAbstractUI.aspx?menuIndex=3&amp;refID=7158636&amp;Result=3","7158636")</f>
        <v>0</v>
      </c>
      <c r="B4072" t="s">
        <v>1652</v>
      </c>
      <c r="C4072" t="s">
        <v>7766</v>
      </c>
      <c r="D4072" t="s">
        <v>19045</v>
      </c>
      <c r="E4072" t="s">
        <v>22732</v>
      </c>
      <c r="F4072" t="s">
        <v>32831</v>
      </c>
      <c r="G4072" t="s">
        <v>32839</v>
      </c>
      <c r="H4072" t="s">
        <v>32849</v>
      </c>
      <c r="I4072" t="s">
        <v>4177</v>
      </c>
      <c r="J4072" t="s">
        <v>33794</v>
      </c>
      <c r="K4072" t="s">
        <v>42729</v>
      </c>
      <c r="M4072" t="s">
        <v>44769</v>
      </c>
      <c r="N4072" t="s">
        <v>47424</v>
      </c>
      <c r="O4072" t="s">
        <v>47425</v>
      </c>
      <c r="P4072">
        <v>0</v>
      </c>
      <c r="Q4072">
        <v>2</v>
      </c>
      <c r="R4072" t="s">
        <v>47430</v>
      </c>
      <c r="S4072" t="s">
        <v>47549</v>
      </c>
      <c r="T4072" t="s">
        <v>49077</v>
      </c>
      <c r="U4072" t="s">
        <v>53121</v>
      </c>
      <c r="V4072" t="s">
        <v>63077</v>
      </c>
      <c r="W4072" t="s">
        <v>44769</v>
      </c>
      <c r="X4072" t="s">
        <v>47431</v>
      </c>
    </row>
    <row r="4073" spans="1:24">
      <c r="A4073">
        <f>HYPERLINK("https://www.philgeps.gov.ph/GEPSNONPILOT/Tender/SplashBidNoticeAbstractUI.aspx?menuIndex=3&amp;refID=7158556&amp;Result=3","7158556")</f>
        <v>0</v>
      </c>
      <c r="B4073" t="s">
        <v>1079</v>
      </c>
      <c r="C4073" t="s">
        <v>7767</v>
      </c>
      <c r="D4073" t="s">
        <v>19022</v>
      </c>
      <c r="E4073" t="s">
        <v>22733</v>
      </c>
      <c r="F4073" t="s">
        <v>32831</v>
      </c>
      <c r="G4073" t="s">
        <v>32843</v>
      </c>
      <c r="H4073" t="s">
        <v>32848</v>
      </c>
      <c r="I4073" t="s">
        <v>32858</v>
      </c>
      <c r="J4073" t="s">
        <v>33677</v>
      </c>
      <c r="K4073" t="s">
        <v>42748</v>
      </c>
      <c r="M4073" t="s">
        <v>44137</v>
      </c>
      <c r="N4073" t="s">
        <v>47424</v>
      </c>
      <c r="O4073" t="s">
        <v>47425</v>
      </c>
      <c r="P4073">
        <v>0</v>
      </c>
      <c r="Q4073">
        <v>1</v>
      </c>
      <c r="R4073" t="s">
        <v>47430</v>
      </c>
      <c r="S4073" t="s">
        <v>47549</v>
      </c>
      <c r="T4073" t="s">
        <v>49166</v>
      </c>
      <c r="U4073" t="s">
        <v>53122</v>
      </c>
      <c r="W4073" t="s">
        <v>44137</v>
      </c>
      <c r="X4073" t="s">
        <v>47431</v>
      </c>
    </row>
    <row r="4074" spans="1:24">
      <c r="A4074">
        <f>HYPERLINK("https://www.philgeps.gov.ph/GEPSNONPILOT/Tender/SplashBidNoticeAbstractUI.aspx?menuIndex=3&amp;refID=7158617&amp;Result=3","7158617")</f>
        <v>0</v>
      </c>
      <c r="B4074" t="s">
        <v>633</v>
      </c>
      <c r="C4074" t="s">
        <v>7768</v>
      </c>
      <c r="D4074" t="s">
        <v>19062</v>
      </c>
      <c r="E4074" t="s">
        <v>22734</v>
      </c>
      <c r="F4074" t="s">
        <v>32831</v>
      </c>
      <c r="G4074" t="s">
        <v>32838</v>
      </c>
      <c r="H4074" t="s">
        <v>32848</v>
      </c>
      <c r="I4074" t="s">
        <v>32884</v>
      </c>
      <c r="J4074" t="s">
        <v>35644</v>
      </c>
      <c r="K4074" t="s">
        <v>42750</v>
      </c>
      <c r="M4074" t="s">
        <v>43650</v>
      </c>
      <c r="N4074" t="s">
        <v>47424</v>
      </c>
      <c r="O4074" t="s">
        <v>47425</v>
      </c>
      <c r="P4074">
        <v>0</v>
      </c>
      <c r="Q4074">
        <v>3</v>
      </c>
      <c r="R4074" t="s">
        <v>47430</v>
      </c>
      <c r="S4074" t="s">
        <v>47549</v>
      </c>
      <c r="T4074" t="s">
        <v>49127</v>
      </c>
      <c r="U4074" t="s">
        <v>53123</v>
      </c>
      <c r="W4074" t="s">
        <v>43650</v>
      </c>
      <c r="X4074" t="s">
        <v>47431</v>
      </c>
    </row>
    <row r="4075" spans="1:24">
      <c r="A4075">
        <f>HYPERLINK("https://www.philgeps.gov.ph/GEPSNONPILOT/Tender/SplashBidNoticeAbstractUI.aspx?menuIndex=3&amp;refID=7158160&amp;Result=3","7158160")</f>
        <v>0</v>
      </c>
      <c r="B4075" t="s">
        <v>1618</v>
      </c>
      <c r="C4075" t="s">
        <v>7769</v>
      </c>
      <c r="D4075" t="s">
        <v>19035</v>
      </c>
      <c r="E4075" t="s">
        <v>22735</v>
      </c>
      <c r="F4075" t="s">
        <v>32831</v>
      </c>
      <c r="G4075" t="s">
        <v>32839</v>
      </c>
      <c r="H4075" t="s">
        <v>32848</v>
      </c>
      <c r="I4075" t="s">
        <v>32892</v>
      </c>
      <c r="J4075" t="s">
        <v>35645</v>
      </c>
      <c r="K4075" t="s">
        <v>42727</v>
      </c>
      <c r="M4075" t="s">
        <v>44734</v>
      </c>
      <c r="N4075" t="s">
        <v>47424</v>
      </c>
      <c r="O4075" t="s">
        <v>47425</v>
      </c>
      <c r="P4075">
        <v>0</v>
      </c>
      <c r="Q4075">
        <v>4</v>
      </c>
      <c r="R4075" t="s">
        <v>47430</v>
      </c>
      <c r="S4075" t="s">
        <v>47549</v>
      </c>
      <c r="T4075" t="s">
        <v>49367</v>
      </c>
      <c r="U4075" t="s">
        <v>53124</v>
      </c>
      <c r="W4075" t="s">
        <v>44734</v>
      </c>
      <c r="X4075" t="s">
        <v>47432</v>
      </c>
    </row>
    <row r="4076" spans="1:24">
      <c r="A4076">
        <f>HYPERLINK("https://www.philgeps.gov.ph/GEPSNONPILOT/Tender/SplashBidNoticeAbstractUI.aspx?menuIndex=3&amp;refID=7158151&amp;Result=3","7158151")</f>
        <v>0</v>
      </c>
      <c r="B4076" t="s">
        <v>1559</v>
      </c>
      <c r="C4076" t="s">
        <v>7770</v>
      </c>
      <c r="D4076" t="s">
        <v>19027</v>
      </c>
      <c r="E4076" t="s">
        <v>22736</v>
      </c>
      <c r="F4076" t="s">
        <v>32831</v>
      </c>
      <c r="G4076" t="s">
        <v>32840</v>
      </c>
      <c r="H4076" t="s">
        <v>32848</v>
      </c>
      <c r="I4076" t="s">
        <v>32855</v>
      </c>
      <c r="J4076" t="s">
        <v>33198</v>
      </c>
      <c r="K4076" t="s">
        <v>42730</v>
      </c>
      <c r="M4076" t="s">
        <v>44667</v>
      </c>
      <c r="N4076" t="s">
        <v>47424</v>
      </c>
      <c r="O4076" t="s">
        <v>47425</v>
      </c>
      <c r="P4076">
        <v>0</v>
      </c>
      <c r="Q4076">
        <v>0</v>
      </c>
      <c r="R4076" t="s">
        <v>47430</v>
      </c>
      <c r="S4076" t="s">
        <v>47549</v>
      </c>
      <c r="T4076" t="s">
        <v>49089</v>
      </c>
      <c r="U4076" t="s">
        <v>53125</v>
      </c>
      <c r="W4076" t="s">
        <v>44667</v>
      </c>
      <c r="X4076" t="s">
        <v>47432</v>
      </c>
    </row>
    <row r="4077" spans="1:24">
      <c r="A4077">
        <f>HYPERLINK("https://www.philgeps.gov.ph/GEPSNONPILOT/Tender/SplashBidNoticeAbstractUI.aspx?menuIndex=3&amp;refID=7158562&amp;Result=3","7158562")</f>
        <v>0</v>
      </c>
      <c r="B4077" t="s">
        <v>1653</v>
      </c>
      <c r="C4077" t="s">
        <v>7771</v>
      </c>
      <c r="D4077" t="s">
        <v>19037</v>
      </c>
      <c r="E4077" t="s">
        <v>20297</v>
      </c>
      <c r="F4077" t="s">
        <v>32831</v>
      </c>
      <c r="G4077" t="s">
        <v>32839</v>
      </c>
      <c r="H4077" t="s">
        <v>32848</v>
      </c>
      <c r="I4077" t="s">
        <v>7416</v>
      </c>
      <c r="J4077" t="s">
        <v>35646</v>
      </c>
      <c r="K4077" t="s">
        <v>42731</v>
      </c>
      <c r="M4077" t="s">
        <v>44770</v>
      </c>
      <c r="N4077" t="s">
        <v>47424</v>
      </c>
      <c r="O4077" t="s">
        <v>47425</v>
      </c>
      <c r="P4077">
        <v>0</v>
      </c>
      <c r="Q4077">
        <v>0</v>
      </c>
      <c r="R4077" t="s">
        <v>47430</v>
      </c>
      <c r="S4077" t="s">
        <v>47549</v>
      </c>
      <c r="T4077" t="s">
        <v>49263</v>
      </c>
      <c r="U4077" t="s">
        <v>53126</v>
      </c>
      <c r="V4077" t="s">
        <v>63078</v>
      </c>
      <c r="W4077" t="s">
        <v>44770</v>
      </c>
      <c r="X4077" t="s">
        <v>47431</v>
      </c>
    </row>
    <row r="4078" spans="1:24">
      <c r="A4078">
        <f>HYPERLINK("https://www.philgeps.gov.ph/GEPSNONPILOT/Tender/SplashBidNoticeAbstractUI.aspx?menuIndex=3&amp;refID=7157850&amp;Result=3","7157850")</f>
        <v>0</v>
      </c>
      <c r="B4078" t="s">
        <v>1654</v>
      </c>
      <c r="C4078" t="s">
        <v>7772</v>
      </c>
      <c r="D4078" t="s">
        <v>19058</v>
      </c>
      <c r="E4078" t="s">
        <v>22737</v>
      </c>
      <c r="F4078" t="s">
        <v>32831</v>
      </c>
      <c r="G4078" t="s">
        <v>32839</v>
      </c>
      <c r="H4078" t="s">
        <v>32849</v>
      </c>
      <c r="I4078" t="s">
        <v>32855</v>
      </c>
      <c r="J4078" t="s">
        <v>35647</v>
      </c>
      <c r="K4078" t="s">
        <v>42780</v>
      </c>
      <c r="M4078" t="s">
        <v>44771</v>
      </c>
      <c r="N4078" t="s">
        <v>47424</v>
      </c>
      <c r="O4078" t="s">
        <v>47425</v>
      </c>
      <c r="P4078">
        <v>0</v>
      </c>
      <c r="Q4078">
        <v>1</v>
      </c>
      <c r="R4078" t="s">
        <v>47430</v>
      </c>
      <c r="S4078" t="s">
        <v>47549</v>
      </c>
      <c r="T4078" t="s">
        <v>49078</v>
      </c>
      <c r="U4078" t="s">
        <v>53127</v>
      </c>
      <c r="W4078" t="s">
        <v>44771</v>
      </c>
      <c r="X4078" t="s">
        <v>47432</v>
      </c>
    </row>
    <row r="4079" spans="1:24">
      <c r="A4079">
        <f>HYPERLINK("https://www.philgeps.gov.ph/GEPSNONPILOT/Tender/SplashBidNoticeAbstractUI.aspx?menuIndex=3&amp;refID=7158629&amp;Result=3","7158629")</f>
        <v>0</v>
      </c>
      <c r="B4079" t="s">
        <v>633</v>
      </c>
      <c r="C4079" t="s">
        <v>7773</v>
      </c>
      <c r="D4079" t="s">
        <v>19062</v>
      </c>
      <c r="E4079" t="s">
        <v>22738</v>
      </c>
      <c r="F4079" t="s">
        <v>32831</v>
      </c>
      <c r="G4079" t="s">
        <v>32838</v>
      </c>
      <c r="H4079" t="s">
        <v>32848</v>
      </c>
      <c r="I4079" t="s">
        <v>4177</v>
      </c>
      <c r="J4079" t="s">
        <v>35648</v>
      </c>
      <c r="K4079" t="s">
        <v>42750</v>
      </c>
      <c r="M4079" t="s">
        <v>43650</v>
      </c>
      <c r="N4079" t="s">
        <v>47424</v>
      </c>
      <c r="O4079" t="s">
        <v>47425</v>
      </c>
      <c r="P4079">
        <v>0</v>
      </c>
      <c r="Q4079">
        <v>0</v>
      </c>
      <c r="R4079" t="s">
        <v>47430</v>
      </c>
      <c r="S4079" t="s">
        <v>47549</v>
      </c>
      <c r="T4079" t="s">
        <v>49127</v>
      </c>
      <c r="U4079" t="s">
        <v>53128</v>
      </c>
      <c r="W4079" t="s">
        <v>43650</v>
      </c>
      <c r="X4079" t="s">
        <v>47431</v>
      </c>
    </row>
    <row r="4080" spans="1:24">
      <c r="A4080">
        <f>HYPERLINK("https://www.philgeps.gov.ph/GEPSNONPILOT/Tender/SplashBidNoticeAbstractUI.aspx?menuIndex=3&amp;refID=7158552&amp;Result=3","7158552")</f>
        <v>0</v>
      </c>
      <c r="B4080" t="s">
        <v>1655</v>
      </c>
      <c r="C4080" t="s">
        <v>7774</v>
      </c>
      <c r="D4080" t="s">
        <v>19038</v>
      </c>
      <c r="E4080" t="s">
        <v>22739</v>
      </c>
      <c r="F4080" t="s">
        <v>32831</v>
      </c>
      <c r="G4080" t="s">
        <v>32839</v>
      </c>
      <c r="H4080" t="s">
        <v>32849</v>
      </c>
      <c r="I4080" t="s">
        <v>7416</v>
      </c>
      <c r="J4080" t="s">
        <v>32978</v>
      </c>
      <c r="K4080" t="s">
        <v>42731</v>
      </c>
      <c r="M4080" t="s">
        <v>44772</v>
      </c>
      <c r="N4080" t="s">
        <v>47424</v>
      </c>
      <c r="O4080" t="s">
        <v>47425</v>
      </c>
      <c r="P4080">
        <v>0</v>
      </c>
      <c r="Q4080">
        <v>2</v>
      </c>
      <c r="R4080" t="s">
        <v>47430</v>
      </c>
      <c r="S4080" t="s">
        <v>47549</v>
      </c>
      <c r="T4080" t="s">
        <v>49119</v>
      </c>
      <c r="U4080" t="s">
        <v>53129</v>
      </c>
      <c r="W4080" t="s">
        <v>44772</v>
      </c>
      <c r="X4080" t="s">
        <v>47431</v>
      </c>
    </row>
    <row r="4081" spans="1:24">
      <c r="A4081">
        <f>HYPERLINK("https://www.philgeps.gov.ph/GEPSNONPILOT/Tender/SplashBidNoticeAbstractUI.aspx?menuIndex=3&amp;refID=7158154&amp;Result=3","7158154")</f>
        <v>0</v>
      </c>
      <c r="B4081" t="s">
        <v>875</v>
      </c>
      <c r="C4081" t="s">
        <v>7775</v>
      </c>
      <c r="D4081" t="s">
        <v>19057</v>
      </c>
      <c r="E4081" t="s">
        <v>22740</v>
      </c>
      <c r="F4081" t="s">
        <v>32831</v>
      </c>
      <c r="G4081" t="s">
        <v>32840</v>
      </c>
      <c r="H4081" t="s">
        <v>32848</v>
      </c>
      <c r="I4081" t="s">
        <v>32868</v>
      </c>
      <c r="J4081" t="s">
        <v>35649</v>
      </c>
      <c r="K4081" t="s">
        <v>42758</v>
      </c>
      <c r="M4081" t="s">
        <v>43909</v>
      </c>
      <c r="N4081" t="s">
        <v>47424</v>
      </c>
      <c r="O4081" t="s">
        <v>47425</v>
      </c>
      <c r="P4081">
        <v>0</v>
      </c>
      <c r="Q4081">
        <v>4</v>
      </c>
      <c r="R4081" t="s">
        <v>47430</v>
      </c>
      <c r="S4081" t="s">
        <v>47549</v>
      </c>
      <c r="T4081" t="s">
        <v>49237</v>
      </c>
      <c r="U4081" t="s">
        <v>53130</v>
      </c>
      <c r="V4081" t="s">
        <v>62828</v>
      </c>
      <c r="W4081" t="s">
        <v>43909</v>
      </c>
      <c r="X4081" t="s">
        <v>47432</v>
      </c>
    </row>
    <row r="4082" spans="1:24">
      <c r="A4082">
        <f>HYPERLINK("https://www.philgeps.gov.ph/GEPSNONPILOT/Tender/SplashBidNoticeAbstractUI.aspx?menuIndex=3&amp;refID=7158679&amp;Result=3","7158679")</f>
        <v>0</v>
      </c>
      <c r="B4082" t="s">
        <v>77</v>
      </c>
      <c r="C4082" t="s">
        <v>7776</v>
      </c>
      <c r="D4082" t="s">
        <v>19042</v>
      </c>
      <c r="E4082" t="s">
        <v>22741</v>
      </c>
      <c r="F4082" t="s">
        <v>32831</v>
      </c>
      <c r="G4082" t="s">
        <v>32838</v>
      </c>
      <c r="H4082" t="s">
        <v>32848</v>
      </c>
      <c r="I4082" t="s">
        <v>9577</v>
      </c>
      <c r="J4082" t="s">
        <v>35650</v>
      </c>
      <c r="K4082" t="s">
        <v>42730</v>
      </c>
      <c r="M4082" t="s">
        <v>43074</v>
      </c>
      <c r="N4082" t="s">
        <v>47424</v>
      </c>
      <c r="O4082" t="s">
        <v>47425</v>
      </c>
      <c r="P4082">
        <v>0</v>
      </c>
      <c r="Q4082">
        <v>2</v>
      </c>
      <c r="R4082" t="s">
        <v>47430</v>
      </c>
      <c r="S4082" t="s">
        <v>47549</v>
      </c>
      <c r="T4082" t="s">
        <v>49208</v>
      </c>
      <c r="U4082" t="s">
        <v>53131</v>
      </c>
      <c r="W4082" t="s">
        <v>64430</v>
      </c>
      <c r="X4082" t="s">
        <v>47431</v>
      </c>
    </row>
    <row r="4083" spans="1:24">
      <c r="A4083">
        <f>HYPERLINK("https://www.philgeps.gov.ph/GEPSNONPILOT/Tender/SplashBidNoticeAbstractUI.aspx?menuIndex=3&amp;refID=7158627&amp;Result=3","7158627")</f>
        <v>0</v>
      </c>
      <c r="B4083" t="s">
        <v>1638</v>
      </c>
      <c r="C4083" t="s">
        <v>7777</v>
      </c>
      <c r="D4083" t="s">
        <v>19023</v>
      </c>
      <c r="E4083" t="s">
        <v>22742</v>
      </c>
      <c r="F4083" t="s">
        <v>32831</v>
      </c>
      <c r="G4083" t="s">
        <v>32838</v>
      </c>
      <c r="H4083" t="s">
        <v>32848</v>
      </c>
      <c r="I4083" t="s">
        <v>32867</v>
      </c>
      <c r="J4083" t="s">
        <v>33771</v>
      </c>
      <c r="K4083" t="s">
        <v>42758</v>
      </c>
      <c r="M4083" t="s">
        <v>44754</v>
      </c>
      <c r="N4083" t="s">
        <v>47424</v>
      </c>
      <c r="O4083" t="s">
        <v>47425</v>
      </c>
      <c r="P4083">
        <v>0</v>
      </c>
      <c r="Q4083">
        <v>0</v>
      </c>
      <c r="R4083" t="s">
        <v>47430</v>
      </c>
      <c r="S4083" t="s">
        <v>47549</v>
      </c>
      <c r="T4083" t="s">
        <v>49096</v>
      </c>
      <c r="U4083" t="s">
        <v>53132</v>
      </c>
      <c r="V4083" t="s">
        <v>63070</v>
      </c>
      <c r="W4083" t="s">
        <v>44754</v>
      </c>
      <c r="X4083" t="s">
        <v>47431</v>
      </c>
    </row>
    <row r="4084" spans="1:24">
      <c r="A4084">
        <f>HYPERLINK("https://www.philgeps.gov.ph/GEPSNONPILOT/Tender/SplashBidNoticeAbstractUI.aspx?menuIndex=3&amp;refID=7158677&amp;Result=3","7158677")</f>
        <v>0</v>
      </c>
      <c r="B4084" t="s">
        <v>945</v>
      </c>
      <c r="C4084" t="s">
        <v>7778</v>
      </c>
      <c r="D4084" t="s">
        <v>19043</v>
      </c>
      <c r="E4084" t="s">
        <v>22743</v>
      </c>
      <c r="F4084" t="s">
        <v>32831</v>
      </c>
      <c r="G4084" t="s">
        <v>32838</v>
      </c>
      <c r="H4084" t="s">
        <v>32848</v>
      </c>
      <c r="I4084" t="s">
        <v>7416</v>
      </c>
      <c r="J4084" t="s">
        <v>35651</v>
      </c>
      <c r="K4084" t="s">
        <v>42748</v>
      </c>
      <c r="M4084" t="s">
        <v>43989</v>
      </c>
      <c r="N4084" t="s">
        <v>47424</v>
      </c>
      <c r="O4084" t="s">
        <v>47425</v>
      </c>
      <c r="P4084">
        <v>0</v>
      </c>
      <c r="Q4084">
        <v>1</v>
      </c>
      <c r="R4084" t="s">
        <v>47430</v>
      </c>
      <c r="S4084" t="s">
        <v>47549</v>
      </c>
      <c r="T4084" t="s">
        <v>49214</v>
      </c>
      <c r="U4084" t="s">
        <v>53133</v>
      </c>
      <c r="W4084" t="s">
        <v>43989</v>
      </c>
      <c r="X4084" t="s">
        <v>47431</v>
      </c>
    </row>
    <row r="4085" spans="1:24">
      <c r="A4085">
        <f>HYPERLINK("https://www.philgeps.gov.ph/GEPSNONPILOT/Tender/SplashBidNoticeAbstractUI.aspx?menuIndex=3&amp;refID=7158670&amp;Result=3","7158670")</f>
        <v>0</v>
      </c>
      <c r="B4085" t="s">
        <v>629</v>
      </c>
      <c r="C4085" t="s">
        <v>4776</v>
      </c>
      <c r="D4085" t="s">
        <v>19049</v>
      </c>
      <c r="E4085" t="s">
        <v>22744</v>
      </c>
      <c r="F4085" t="s">
        <v>32831</v>
      </c>
      <c r="G4085" t="s">
        <v>32839</v>
      </c>
      <c r="H4085" t="s">
        <v>32848</v>
      </c>
      <c r="I4085" t="s">
        <v>4776</v>
      </c>
      <c r="J4085" t="s">
        <v>35652</v>
      </c>
      <c r="K4085" t="s">
        <v>42731</v>
      </c>
      <c r="M4085" t="s">
        <v>43646</v>
      </c>
      <c r="N4085" t="s">
        <v>47424</v>
      </c>
      <c r="O4085" t="s">
        <v>47425</v>
      </c>
      <c r="P4085">
        <v>0</v>
      </c>
      <c r="Q4085">
        <v>0</v>
      </c>
      <c r="R4085" t="s">
        <v>47430</v>
      </c>
      <c r="S4085" t="s">
        <v>47549</v>
      </c>
      <c r="T4085" t="s">
        <v>49188</v>
      </c>
      <c r="U4085" t="s">
        <v>53134</v>
      </c>
      <c r="W4085" t="s">
        <v>43646</v>
      </c>
      <c r="X4085" t="s">
        <v>47431</v>
      </c>
    </row>
    <row r="4086" spans="1:24">
      <c r="A4086">
        <f>HYPERLINK("https://www.philgeps.gov.ph/GEPSNONPILOT/Tender/SplashBidNoticeAbstractUI.aspx?menuIndex=3&amp;refID=7158668&amp;Result=3","7158668")</f>
        <v>0</v>
      </c>
      <c r="B4086" t="s">
        <v>1656</v>
      </c>
      <c r="C4086" t="s">
        <v>7779</v>
      </c>
      <c r="D4086" t="s">
        <v>19078</v>
      </c>
      <c r="E4086" t="s">
        <v>22745</v>
      </c>
      <c r="F4086" t="s">
        <v>32831</v>
      </c>
      <c r="G4086" t="s">
        <v>32839</v>
      </c>
      <c r="H4086" t="s">
        <v>32848</v>
      </c>
      <c r="I4086" t="s">
        <v>7416</v>
      </c>
      <c r="J4086" t="s">
        <v>35321</v>
      </c>
      <c r="K4086" t="s">
        <v>42759</v>
      </c>
      <c r="M4086" t="s">
        <v>44773</v>
      </c>
      <c r="N4086" t="s">
        <v>47424</v>
      </c>
      <c r="O4086" t="s">
        <v>47425</v>
      </c>
      <c r="P4086">
        <v>0</v>
      </c>
      <c r="Q4086">
        <v>0</v>
      </c>
      <c r="R4086" t="s">
        <v>47430</v>
      </c>
      <c r="S4086" t="s">
        <v>47549</v>
      </c>
      <c r="T4086" t="s">
        <v>49123</v>
      </c>
      <c r="U4086" t="s">
        <v>53135</v>
      </c>
      <c r="W4086" t="s">
        <v>44773</v>
      </c>
      <c r="X4086" t="s">
        <v>47431</v>
      </c>
    </row>
    <row r="4087" spans="1:24">
      <c r="A4087">
        <f>HYPERLINK("https://www.philgeps.gov.ph/GEPSNONPILOT/Tender/SplashBidNoticeAbstractUI.aspx?menuIndex=3&amp;refID=7158663&amp;Result=3","7158663")</f>
        <v>0</v>
      </c>
      <c r="B4087" t="s">
        <v>77</v>
      </c>
      <c r="C4087" t="s">
        <v>7780</v>
      </c>
      <c r="D4087" t="s">
        <v>19042</v>
      </c>
      <c r="E4087" t="s">
        <v>22746</v>
      </c>
      <c r="F4087" t="s">
        <v>32831</v>
      </c>
      <c r="G4087" t="s">
        <v>32838</v>
      </c>
      <c r="H4087" t="s">
        <v>32848</v>
      </c>
      <c r="I4087" t="s">
        <v>4776</v>
      </c>
      <c r="J4087" t="s">
        <v>35653</v>
      </c>
      <c r="K4087" t="s">
        <v>42730</v>
      </c>
      <c r="M4087" t="s">
        <v>43074</v>
      </c>
      <c r="N4087" t="s">
        <v>47424</v>
      </c>
      <c r="O4087" t="s">
        <v>47425</v>
      </c>
      <c r="P4087">
        <v>0</v>
      </c>
      <c r="Q4087">
        <v>3</v>
      </c>
      <c r="R4087" t="s">
        <v>47430</v>
      </c>
      <c r="S4087" t="s">
        <v>47549</v>
      </c>
      <c r="T4087" t="s">
        <v>49104</v>
      </c>
      <c r="U4087" t="s">
        <v>53136</v>
      </c>
      <c r="W4087" t="s">
        <v>64430</v>
      </c>
      <c r="X4087" t="s">
        <v>47431</v>
      </c>
    </row>
    <row r="4088" spans="1:24">
      <c r="A4088">
        <f>HYPERLINK("https://www.philgeps.gov.ph/GEPSNONPILOT/Tender/SplashBidNoticeAbstractUI.aspx?menuIndex=3&amp;refID=7158684&amp;Result=3","7158684")</f>
        <v>0</v>
      </c>
      <c r="B4088" t="s">
        <v>1657</v>
      </c>
      <c r="C4088" t="s">
        <v>7781</v>
      </c>
      <c r="D4088" t="s">
        <v>19020</v>
      </c>
      <c r="E4088" t="s">
        <v>22747</v>
      </c>
      <c r="F4088" t="s">
        <v>32831</v>
      </c>
      <c r="G4088" t="s">
        <v>32838</v>
      </c>
      <c r="H4088" t="s">
        <v>32848</v>
      </c>
      <c r="I4088" t="s">
        <v>11484</v>
      </c>
      <c r="J4088" t="s">
        <v>33415</v>
      </c>
      <c r="K4088" t="s">
        <v>42750</v>
      </c>
      <c r="M4088" t="s">
        <v>44774</v>
      </c>
      <c r="N4088" t="s">
        <v>47424</v>
      </c>
      <c r="O4088" t="s">
        <v>47425</v>
      </c>
      <c r="P4088">
        <v>0</v>
      </c>
      <c r="Q4088">
        <v>1</v>
      </c>
      <c r="R4088" t="s">
        <v>47430</v>
      </c>
      <c r="S4088" t="s">
        <v>47549</v>
      </c>
      <c r="T4088" t="s">
        <v>49373</v>
      </c>
      <c r="U4088" t="s">
        <v>53137</v>
      </c>
      <c r="W4088" t="s">
        <v>64480</v>
      </c>
      <c r="X4088" t="s">
        <v>47431</v>
      </c>
    </row>
    <row r="4089" spans="1:24">
      <c r="A4089">
        <f>HYPERLINK("https://www.philgeps.gov.ph/GEPSNONPILOT/Tender/SplashBidNoticeAbstractUI.aspx?menuIndex=3&amp;refID=7158661&amp;Result=3","7158661")</f>
        <v>0</v>
      </c>
      <c r="B4089" t="s">
        <v>823</v>
      </c>
      <c r="C4089" t="s">
        <v>7782</v>
      </c>
      <c r="D4089" t="s">
        <v>19062</v>
      </c>
      <c r="E4089" t="s">
        <v>22748</v>
      </c>
      <c r="F4089" t="s">
        <v>32831</v>
      </c>
      <c r="G4089" t="s">
        <v>32838</v>
      </c>
      <c r="H4089" t="s">
        <v>32848</v>
      </c>
      <c r="I4089" t="s">
        <v>4487</v>
      </c>
      <c r="J4089" t="s">
        <v>35654</v>
      </c>
      <c r="K4089" t="s">
        <v>42727</v>
      </c>
      <c r="M4089" t="s">
        <v>43854</v>
      </c>
      <c r="N4089" t="s">
        <v>47424</v>
      </c>
      <c r="O4089" t="s">
        <v>47425</v>
      </c>
      <c r="P4089">
        <v>0</v>
      </c>
      <c r="Q4089">
        <v>7</v>
      </c>
      <c r="R4089" t="s">
        <v>47430</v>
      </c>
      <c r="S4089" t="s">
        <v>47549</v>
      </c>
      <c r="T4089" t="s">
        <v>49056</v>
      </c>
      <c r="U4089" t="s">
        <v>53138</v>
      </c>
      <c r="V4089" t="s">
        <v>63074</v>
      </c>
      <c r="W4089" t="s">
        <v>43854</v>
      </c>
      <c r="X4089" t="s">
        <v>47431</v>
      </c>
    </row>
    <row r="4090" spans="1:24">
      <c r="A4090">
        <f>HYPERLINK("https://www.philgeps.gov.ph/GEPSNONPILOT/Tender/SplashBidNoticeAbstractUI.aspx?menuIndex=3&amp;refID=7158658&amp;Result=3","7158658")</f>
        <v>0</v>
      </c>
      <c r="B4090" t="s">
        <v>207</v>
      </c>
      <c r="C4090" t="s">
        <v>7783</v>
      </c>
      <c r="D4090" t="s">
        <v>19050</v>
      </c>
      <c r="E4090" t="s">
        <v>22749</v>
      </c>
      <c r="F4090" t="s">
        <v>32831</v>
      </c>
      <c r="G4090" t="s">
        <v>32838</v>
      </c>
      <c r="H4090" t="s">
        <v>32848</v>
      </c>
      <c r="I4090" t="s">
        <v>4776</v>
      </c>
      <c r="J4090" t="s">
        <v>33007</v>
      </c>
      <c r="K4090" t="s">
        <v>42732</v>
      </c>
      <c r="M4090" t="s">
        <v>43205</v>
      </c>
      <c r="N4090" t="s">
        <v>47424</v>
      </c>
      <c r="O4090" t="s">
        <v>47425</v>
      </c>
      <c r="P4090">
        <v>0</v>
      </c>
      <c r="Q4090">
        <v>4</v>
      </c>
      <c r="R4090" t="s">
        <v>47430</v>
      </c>
      <c r="S4090" t="s">
        <v>47549</v>
      </c>
      <c r="T4090" t="s">
        <v>49111</v>
      </c>
      <c r="U4090" t="s">
        <v>53139</v>
      </c>
      <c r="W4090" t="s">
        <v>64481</v>
      </c>
      <c r="X4090" t="s">
        <v>47431</v>
      </c>
    </row>
    <row r="4091" spans="1:24">
      <c r="A4091">
        <f>HYPERLINK("https://www.philgeps.gov.ph/GEPSNONPILOT/Tender/SplashBidNoticeAbstractUI.aspx?menuIndex=3&amp;refID=7158669&amp;Result=3","7158669")</f>
        <v>0</v>
      </c>
      <c r="B4091" t="s">
        <v>1657</v>
      </c>
      <c r="C4091" t="s">
        <v>7784</v>
      </c>
      <c r="D4091" t="s">
        <v>19020</v>
      </c>
      <c r="E4091" t="s">
        <v>22750</v>
      </c>
      <c r="F4091" t="s">
        <v>32831</v>
      </c>
      <c r="G4091" t="s">
        <v>32838</v>
      </c>
      <c r="H4091" t="s">
        <v>32848</v>
      </c>
      <c r="I4091" t="s">
        <v>4776</v>
      </c>
      <c r="J4091" t="s">
        <v>33364</v>
      </c>
      <c r="K4091" t="s">
        <v>42730</v>
      </c>
      <c r="M4091" t="s">
        <v>44774</v>
      </c>
      <c r="N4091" t="s">
        <v>47424</v>
      </c>
      <c r="O4091" t="s">
        <v>47425</v>
      </c>
      <c r="P4091">
        <v>0</v>
      </c>
      <c r="Q4091">
        <v>0</v>
      </c>
      <c r="R4091" t="s">
        <v>47430</v>
      </c>
      <c r="S4091" t="s">
        <v>47549</v>
      </c>
      <c r="T4091" t="s">
        <v>49373</v>
      </c>
      <c r="U4091" t="s">
        <v>53140</v>
      </c>
      <c r="W4091" t="s">
        <v>64480</v>
      </c>
      <c r="X4091" t="s">
        <v>47431</v>
      </c>
    </row>
    <row r="4092" spans="1:24">
      <c r="A4092">
        <f>HYPERLINK("https://www.philgeps.gov.ph/GEPSNONPILOT/Tender/SplashBidNoticeAbstractUI.aspx?menuIndex=3&amp;refID=7158559&amp;Result=3","7158559")</f>
        <v>0</v>
      </c>
      <c r="B4092" t="s">
        <v>1658</v>
      </c>
      <c r="C4092" t="s">
        <v>4646</v>
      </c>
      <c r="D4092" t="s">
        <v>19057</v>
      </c>
      <c r="E4092" t="s">
        <v>19811</v>
      </c>
      <c r="F4092" t="s">
        <v>32831</v>
      </c>
      <c r="G4092" t="s">
        <v>32839</v>
      </c>
      <c r="H4092" t="s">
        <v>32848</v>
      </c>
      <c r="I4092" t="s">
        <v>4222</v>
      </c>
      <c r="J4092" t="s">
        <v>35655</v>
      </c>
      <c r="K4092" t="s">
        <v>42726</v>
      </c>
      <c r="M4092" t="s">
        <v>44775</v>
      </c>
      <c r="N4092" t="s">
        <v>47424</v>
      </c>
      <c r="O4092" t="s">
        <v>47425</v>
      </c>
      <c r="P4092">
        <v>0</v>
      </c>
      <c r="Q4092">
        <v>0</v>
      </c>
      <c r="R4092" t="s">
        <v>47430</v>
      </c>
      <c r="S4092" t="s">
        <v>47549</v>
      </c>
      <c r="T4092" t="s">
        <v>49119</v>
      </c>
      <c r="U4092" t="s">
        <v>50323</v>
      </c>
      <c r="W4092" t="s">
        <v>44775</v>
      </c>
      <c r="X4092" t="s">
        <v>47431</v>
      </c>
    </row>
    <row r="4093" spans="1:24">
      <c r="A4093">
        <f>HYPERLINK("https://www.philgeps.gov.ph/GEPSNONPILOT/Tender/SplashBidNoticeAbstractUI.aspx?menuIndex=3&amp;refID=7158655&amp;Result=3","7158655")</f>
        <v>0</v>
      </c>
      <c r="B4093" t="s">
        <v>1659</v>
      </c>
      <c r="C4093" t="s">
        <v>7785</v>
      </c>
      <c r="D4093" t="s">
        <v>19095</v>
      </c>
      <c r="E4093" t="s">
        <v>20014</v>
      </c>
      <c r="F4093" t="s">
        <v>32831</v>
      </c>
      <c r="G4093" t="s">
        <v>32838</v>
      </c>
      <c r="H4093" t="s">
        <v>32848</v>
      </c>
      <c r="I4093" t="s">
        <v>4438</v>
      </c>
      <c r="J4093" t="s">
        <v>35656</v>
      </c>
      <c r="K4093" t="s">
        <v>42730</v>
      </c>
      <c r="M4093" t="s">
        <v>44776</v>
      </c>
      <c r="N4093" t="s">
        <v>47424</v>
      </c>
      <c r="O4093" t="s">
        <v>47425</v>
      </c>
      <c r="P4093">
        <v>0</v>
      </c>
      <c r="Q4093">
        <v>1</v>
      </c>
      <c r="R4093" t="s">
        <v>47430</v>
      </c>
      <c r="S4093" t="s">
        <v>47549</v>
      </c>
      <c r="T4093" t="s">
        <v>49114</v>
      </c>
      <c r="U4093" t="s">
        <v>53141</v>
      </c>
      <c r="W4093" t="s">
        <v>44776</v>
      </c>
      <c r="X4093" t="s">
        <v>47431</v>
      </c>
    </row>
    <row r="4094" spans="1:24">
      <c r="A4094">
        <f>HYPERLINK("https://www.philgeps.gov.ph/GEPSNONPILOT/Tender/SplashBidNoticeAbstractUI.aspx?menuIndex=3&amp;refID=7158666&amp;Result=3","7158666")</f>
        <v>0</v>
      </c>
      <c r="B4094" t="s">
        <v>1660</v>
      </c>
      <c r="C4094" t="s">
        <v>7786</v>
      </c>
      <c r="D4094" t="s">
        <v>19057</v>
      </c>
      <c r="E4094" t="s">
        <v>22751</v>
      </c>
      <c r="F4094" t="s">
        <v>32831</v>
      </c>
      <c r="G4094" t="s">
        <v>32839</v>
      </c>
      <c r="H4094" t="s">
        <v>32848</v>
      </c>
      <c r="I4094" t="s">
        <v>4558</v>
      </c>
      <c r="J4094" t="s">
        <v>35657</v>
      </c>
      <c r="K4094" t="s">
        <v>42731</v>
      </c>
      <c r="M4094" t="s">
        <v>44777</v>
      </c>
      <c r="N4094" t="s">
        <v>47424</v>
      </c>
      <c r="O4094" t="s">
        <v>47425</v>
      </c>
      <c r="P4094">
        <v>0</v>
      </c>
      <c r="Q4094">
        <v>0</v>
      </c>
      <c r="R4094" t="s">
        <v>47430</v>
      </c>
      <c r="S4094" t="s">
        <v>47549</v>
      </c>
      <c r="T4094" t="s">
        <v>49149</v>
      </c>
      <c r="U4094" t="s">
        <v>53142</v>
      </c>
      <c r="W4094" t="s">
        <v>44777</v>
      </c>
      <c r="X4094" t="s">
        <v>47431</v>
      </c>
    </row>
    <row r="4095" spans="1:24">
      <c r="A4095">
        <f>HYPERLINK("https://www.philgeps.gov.ph/GEPSNONPILOT/Tender/SplashBidNoticeAbstractUI.aspx?menuIndex=3&amp;refID=7158709&amp;Result=3","7158709")</f>
        <v>0</v>
      </c>
      <c r="B4095" t="s">
        <v>629</v>
      </c>
      <c r="C4095" t="s">
        <v>7787</v>
      </c>
      <c r="D4095" t="s">
        <v>19049</v>
      </c>
      <c r="E4095" t="s">
        <v>22752</v>
      </c>
      <c r="F4095" t="s">
        <v>32831</v>
      </c>
      <c r="G4095" t="s">
        <v>32839</v>
      </c>
      <c r="H4095" t="s">
        <v>32848</v>
      </c>
      <c r="I4095" t="s">
        <v>7751</v>
      </c>
      <c r="J4095" t="s">
        <v>35658</v>
      </c>
      <c r="K4095" t="s">
        <v>42731</v>
      </c>
      <c r="M4095" t="s">
        <v>43646</v>
      </c>
      <c r="N4095" t="s">
        <v>47424</v>
      </c>
      <c r="O4095" t="s">
        <v>47425</v>
      </c>
      <c r="P4095">
        <v>0</v>
      </c>
      <c r="Q4095">
        <v>2</v>
      </c>
      <c r="R4095" t="s">
        <v>47430</v>
      </c>
      <c r="S4095" t="s">
        <v>47549</v>
      </c>
      <c r="T4095" t="s">
        <v>49188</v>
      </c>
      <c r="U4095" t="s">
        <v>53143</v>
      </c>
      <c r="W4095" t="s">
        <v>43646</v>
      </c>
      <c r="X4095" t="s">
        <v>47431</v>
      </c>
    </row>
    <row r="4096" spans="1:24">
      <c r="A4096">
        <f>HYPERLINK("https://www.philgeps.gov.ph/GEPSNONPILOT/Tender/SplashBidNoticeAbstractUI.aspx?menuIndex=3&amp;refID=7158724&amp;Result=3","7158724")</f>
        <v>0</v>
      </c>
      <c r="B4096" t="s">
        <v>1661</v>
      </c>
      <c r="C4096" t="s">
        <v>7788</v>
      </c>
      <c r="D4096" t="s">
        <v>19063</v>
      </c>
      <c r="E4096" t="s">
        <v>22753</v>
      </c>
      <c r="F4096" t="s">
        <v>32831</v>
      </c>
      <c r="G4096" t="s">
        <v>32839</v>
      </c>
      <c r="H4096" t="s">
        <v>32848</v>
      </c>
      <c r="I4096" t="s">
        <v>32870</v>
      </c>
      <c r="J4096" t="s">
        <v>35659</v>
      </c>
      <c r="K4096" t="s">
        <v>42729</v>
      </c>
      <c r="M4096" t="s">
        <v>44778</v>
      </c>
      <c r="N4096" t="s">
        <v>47424</v>
      </c>
      <c r="O4096" t="s">
        <v>47425</v>
      </c>
      <c r="P4096">
        <v>0</v>
      </c>
      <c r="Q4096">
        <v>0</v>
      </c>
      <c r="R4096" t="s">
        <v>47430</v>
      </c>
      <c r="S4096" t="s">
        <v>47549</v>
      </c>
      <c r="T4096" t="s">
        <v>49129</v>
      </c>
      <c r="U4096" t="s">
        <v>53144</v>
      </c>
      <c r="W4096" t="s">
        <v>44778</v>
      </c>
      <c r="X4096" t="s">
        <v>47431</v>
      </c>
    </row>
    <row r="4097" spans="1:24">
      <c r="A4097">
        <f>HYPERLINK("https://www.philgeps.gov.ph/GEPSNONPILOT/Tender/SplashBidNoticeAbstractUI.aspx?menuIndex=3&amp;refID=7158685&amp;Result=3","7158685")</f>
        <v>0</v>
      </c>
      <c r="B4097" t="s">
        <v>1654</v>
      </c>
      <c r="C4097" t="s">
        <v>7789</v>
      </c>
      <c r="D4097" t="s">
        <v>19058</v>
      </c>
      <c r="E4097" t="s">
        <v>22754</v>
      </c>
      <c r="F4097" t="s">
        <v>32831</v>
      </c>
      <c r="G4097" t="s">
        <v>32839</v>
      </c>
      <c r="H4097" t="s">
        <v>32848</v>
      </c>
      <c r="I4097" t="s">
        <v>7416</v>
      </c>
      <c r="J4097" t="s">
        <v>35660</v>
      </c>
      <c r="K4097" t="s">
        <v>42730</v>
      </c>
      <c r="M4097" t="s">
        <v>44771</v>
      </c>
      <c r="N4097" t="s">
        <v>47424</v>
      </c>
      <c r="O4097" t="s">
        <v>47425</v>
      </c>
      <c r="P4097">
        <v>0</v>
      </c>
      <c r="Q4097">
        <v>0</v>
      </c>
      <c r="R4097" t="s">
        <v>47430</v>
      </c>
      <c r="S4097" t="s">
        <v>47549</v>
      </c>
      <c r="T4097" t="s">
        <v>49078</v>
      </c>
      <c r="U4097" t="s">
        <v>53145</v>
      </c>
      <c r="W4097" t="s">
        <v>44771</v>
      </c>
      <c r="X4097" t="s">
        <v>47431</v>
      </c>
    </row>
    <row r="4098" spans="1:24">
      <c r="A4098">
        <f>HYPERLINK("https://www.philgeps.gov.ph/GEPSNONPILOT/Tender/SplashBidNoticeAbstractUI.aspx?menuIndex=3&amp;refID=7158719&amp;Result=3","7158719")</f>
        <v>0</v>
      </c>
      <c r="B4098" t="s">
        <v>1662</v>
      </c>
      <c r="C4098" t="s">
        <v>7790</v>
      </c>
      <c r="D4098" t="s">
        <v>19035</v>
      </c>
      <c r="E4098" t="s">
        <v>22755</v>
      </c>
      <c r="F4098" t="s">
        <v>32831</v>
      </c>
      <c r="G4098" t="s">
        <v>32839</v>
      </c>
      <c r="H4098" t="s">
        <v>32848</v>
      </c>
      <c r="I4098" t="s">
        <v>32858</v>
      </c>
      <c r="J4098" t="s">
        <v>35661</v>
      </c>
      <c r="K4098" t="s">
        <v>42727</v>
      </c>
      <c r="M4098" t="s">
        <v>44779</v>
      </c>
      <c r="N4098" t="s">
        <v>47424</v>
      </c>
      <c r="O4098" t="s">
        <v>47425</v>
      </c>
      <c r="P4098">
        <v>0</v>
      </c>
      <c r="Q4098">
        <v>0</v>
      </c>
      <c r="R4098" t="s">
        <v>47430</v>
      </c>
      <c r="S4098" t="s">
        <v>47549</v>
      </c>
      <c r="T4098" t="s">
        <v>49172</v>
      </c>
      <c r="U4098" t="s">
        <v>53146</v>
      </c>
      <c r="W4098" t="s">
        <v>64482</v>
      </c>
      <c r="X4098" t="s">
        <v>47431</v>
      </c>
    </row>
    <row r="4099" spans="1:24">
      <c r="A4099">
        <f>HYPERLINK("https://www.philgeps.gov.ph/GEPSNONPILOT/Tender/SplashBidNoticeAbstractUI.aspx?menuIndex=3&amp;refID=7158715&amp;Result=3","7158715")</f>
        <v>0</v>
      </c>
      <c r="B4099" t="s">
        <v>100</v>
      </c>
      <c r="C4099" t="s">
        <v>7791</v>
      </c>
      <c r="D4099" t="s">
        <v>19017</v>
      </c>
      <c r="E4099" t="s">
        <v>22756</v>
      </c>
      <c r="F4099" t="s">
        <v>32831</v>
      </c>
      <c r="G4099" t="s">
        <v>32840</v>
      </c>
      <c r="H4099" t="s">
        <v>32848</v>
      </c>
      <c r="I4099" t="s">
        <v>4487</v>
      </c>
      <c r="J4099" t="s">
        <v>35662</v>
      </c>
      <c r="K4099" t="s">
        <v>42731</v>
      </c>
      <c r="M4099" t="s">
        <v>43097</v>
      </c>
      <c r="N4099" t="s">
        <v>47424</v>
      </c>
      <c r="O4099" t="s">
        <v>47425</v>
      </c>
      <c r="P4099">
        <v>0</v>
      </c>
      <c r="Q4099">
        <v>3</v>
      </c>
      <c r="R4099" t="s">
        <v>47430</v>
      </c>
      <c r="S4099" t="s">
        <v>47549</v>
      </c>
      <c r="T4099" t="s">
        <v>49374</v>
      </c>
      <c r="U4099" t="s">
        <v>53147</v>
      </c>
      <c r="V4099" t="s">
        <v>62644</v>
      </c>
      <c r="W4099" t="s">
        <v>43097</v>
      </c>
      <c r="X4099" t="s">
        <v>47431</v>
      </c>
    </row>
    <row r="4100" spans="1:24">
      <c r="A4100">
        <f>HYPERLINK("https://www.philgeps.gov.ph/GEPSNONPILOT/Tender/SplashBidNoticeAbstractUI.aspx?menuIndex=3&amp;refID=7158601&amp;Result=3","7158601")</f>
        <v>0</v>
      </c>
      <c r="B4100" t="s">
        <v>1663</v>
      </c>
      <c r="C4100" t="s">
        <v>7792</v>
      </c>
      <c r="D4100" t="s">
        <v>19083</v>
      </c>
      <c r="E4100" t="s">
        <v>7792</v>
      </c>
      <c r="F4100" t="s">
        <v>32831</v>
      </c>
      <c r="G4100" t="s">
        <v>32840</v>
      </c>
      <c r="H4100" t="s">
        <v>32848</v>
      </c>
      <c r="I4100" t="s">
        <v>32860</v>
      </c>
      <c r="J4100" t="s">
        <v>33040</v>
      </c>
      <c r="K4100" t="s">
        <v>42727</v>
      </c>
      <c r="M4100" t="s">
        <v>44780</v>
      </c>
      <c r="N4100" t="s">
        <v>47424</v>
      </c>
      <c r="O4100" t="s">
        <v>47425</v>
      </c>
      <c r="P4100">
        <v>0</v>
      </c>
      <c r="Q4100">
        <v>0</v>
      </c>
      <c r="R4100" t="s">
        <v>47430</v>
      </c>
      <c r="S4100" t="s">
        <v>47549</v>
      </c>
      <c r="T4100" t="s">
        <v>49089</v>
      </c>
      <c r="U4100" t="s">
        <v>53148</v>
      </c>
      <c r="W4100" t="s">
        <v>44780</v>
      </c>
      <c r="X4100" t="s">
        <v>47431</v>
      </c>
    </row>
    <row r="4101" spans="1:24">
      <c r="A4101">
        <f>HYPERLINK("https://www.philgeps.gov.ph/GEPSNONPILOT/Tender/SplashBidNoticeAbstractUI.aspx?menuIndex=3&amp;refID=7158722&amp;Result=3","7158722")</f>
        <v>0</v>
      </c>
      <c r="B4101" t="s">
        <v>1664</v>
      </c>
      <c r="C4101" t="s">
        <v>7793</v>
      </c>
      <c r="D4101" t="s">
        <v>19078</v>
      </c>
      <c r="E4101" t="s">
        <v>22757</v>
      </c>
      <c r="F4101" t="s">
        <v>32831</v>
      </c>
      <c r="G4101" t="s">
        <v>32842</v>
      </c>
      <c r="H4101" t="s">
        <v>32848</v>
      </c>
      <c r="I4101" t="s">
        <v>32897</v>
      </c>
      <c r="J4101" t="s">
        <v>35663</v>
      </c>
      <c r="K4101" t="s">
        <v>42727</v>
      </c>
      <c r="M4101" t="s">
        <v>44781</v>
      </c>
      <c r="N4101" t="s">
        <v>47424</v>
      </c>
      <c r="O4101" t="s">
        <v>47425</v>
      </c>
      <c r="P4101">
        <v>0</v>
      </c>
      <c r="Q4101">
        <v>3</v>
      </c>
      <c r="R4101" t="s">
        <v>47430</v>
      </c>
      <c r="S4101" t="s">
        <v>47549</v>
      </c>
      <c r="T4101" t="s">
        <v>49375</v>
      </c>
      <c r="U4101" t="s">
        <v>53149</v>
      </c>
      <c r="W4101" t="s">
        <v>44781</v>
      </c>
      <c r="X4101" t="s">
        <v>47431</v>
      </c>
    </row>
    <row r="4102" spans="1:24">
      <c r="A4102">
        <f>HYPERLINK("https://www.philgeps.gov.ph/GEPSNONPILOT/Tender/SplashBidNoticeAbstractUI.aspx?menuIndex=3&amp;refID=7158720&amp;Result=3","7158720")</f>
        <v>0</v>
      </c>
      <c r="B4102" t="s">
        <v>954</v>
      </c>
      <c r="C4102" t="s">
        <v>7794</v>
      </c>
      <c r="D4102" t="s">
        <v>19043</v>
      </c>
      <c r="E4102" t="s">
        <v>22758</v>
      </c>
      <c r="F4102" t="s">
        <v>32831</v>
      </c>
      <c r="G4102" t="s">
        <v>32839</v>
      </c>
      <c r="H4102" t="s">
        <v>32848</v>
      </c>
      <c r="I4102" t="s">
        <v>4487</v>
      </c>
      <c r="J4102" t="s">
        <v>35664</v>
      </c>
      <c r="K4102" t="s">
        <v>42726</v>
      </c>
      <c r="M4102" t="s">
        <v>44000</v>
      </c>
      <c r="N4102" t="s">
        <v>47424</v>
      </c>
      <c r="O4102" t="s">
        <v>47425</v>
      </c>
      <c r="P4102">
        <v>0</v>
      </c>
      <c r="Q4102">
        <v>5</v>
      </c>
      <c r="R4102" t="s">
        <v>47430</v>
      </c>
      <c r="S4102" t="s">
        <v>47549</v>
      </c>
      <c r="T4102" t="s">
        <v>49376</v>
      </c>
      <c r="U4102" t="s">
        <v>53150</v>
      </c>
      <c r="V4102" t="s">
        <v>63079</v>
      </c>
      <c r="W4102" t="s">
        <v>44000</v>
      </c>
      <c r="X4102" t="s">
        <v>47431</v>
      </c>
    </row>
    <row r="4103" spans="1:24">
      <c r="A4103">
        <f>HYPERLINK("https://www.philgeps.gov.ph/GEPSNONPILOT/Tender/SplashBidNoticeAbstractUI.aspx?menuIndex=3&amp;refID=7158712&amp;Result=3","7158712")</f>
        <v>0</v>
      </c>
      <c r="B4103" t="s">
        <v>1665</v>
      </c>
      <c r="C4103" t="s">
        <v>7795</v>
      </c>
      <c r="D4103" t="s">
        <v>19095</v>
      </c>
      <c r="E4103" t="s">
        <v>22759</v>
      </c>
      <c r="F4103" t="s">
        <v>32831</v>
      </c>
      <c r="G4103" t="s">
        <v>32840</v>
      </c>
      <c r="H4103" t="s">
        <v>32848</v>
      </c>
      <c r="I4103" t="s">
        <v>7416</v>
      </c>
      <c r="J4103" t="s">
        <v>35665</v>
      </c>
      <c r="K4103" t="s">
        <v>42732</v>
      </c>
      <c r="M4103" t="s">
        <v>44782</v>
      </c>
      <c r="N4103" t="s">
        <v>47424</v>
      </c>
      <c r="O4103" t="s">
        <v>47425</v>
      </c>
      <c r="P4103">
        <v>0</v>
      </c>
      <c r="Q4103">
        <v>0</v>
      </c>
      <c r="R4103" t="s">
        <v>47430</v>
      </c>
      <c r="S4103" t="s">
        <v>47549</v>
      </c>
      <c r="T4103" t="s">
        <v>49073</v>
      </c>
      <c r="U4103" t="s">
        <v>53151</v>
      </c>
      <c r="W4103" t="s">
        <v>64483</v>
      </c>
      <c r="X4103" t="s">
        <v>47431</v>
      </c>
    </row>
    <row r="4104" spans="1:24">
      <c r="A4104">
        <f>HYPERLINK("https://www.philgeps.gov.ph/GEPSNONPILOT/Tender/SplashBidNoticeAbstractUI.aspx?menuIndex=3&amp;refID=7158710&amp;Result=3","7158710")</f>
        <v>0</v>
      </c>
      <c r="B4104" t="s">
        <v>77</v>
      </c>
      <c r="C4104" t="s">
        <v>7796</v>
      </c>
      <c r="D4104" t="s">
        <v>19042</v>
      </c>
      <c r="E4104" t="s">
        <v>22760</v>
      </c>
      <c r="F4104" t="s">
        <v>32831</v>
      </c>
      <c r="G4104" t="s">
        <v>32838</v>
      </c>
      <c r="H4104" t="s">
        <v>32848</v>
      </c>
      <c r="I4104" t="s">
        <v>9577</v>
      </c>
      <c r="J4104" t="s">
        <v>35666</v>
      </c>
      <c r="K4104" t="s">
        <v>42730</v>
      </c>
      <c r="M4104" t="s">
        <v>43074</v>
      </c>
      <c r="N4104" t="s">
        <v>47424</v>
      </c>
      <c r="O4104" t="s">
        <v>47425</v>
      </c>
      <c r="P4104">
        <v>0</v>
      </c>
      <c r="Q4104">
        <v>1</v>
      </c>
      <c r="R4104" t="s">
        <v>47430</v>
      </c>
      <c r="S4104" t="s">
        <v>47549</v>
      </c>
      <c r="T4104" t="s">
        <v>49303</v>
      </c>
      <c r="U4104" t="s">
        <v>53152</v>
      </c>
      <c r="W4104" t="s">
        <v>64430</v>
      </c>
      <c r="X4104" t="s">
        <v>47431</v>
      </c>
    </row>
    <row r="4105" spans="1:24">
      <c r="A4105">
        <f>HYPERLINK("https://www.philgeps.gov.ph/GEPSNONPILOT/Tender/SplashBidNoticeAbstractUI.aspx?menuIndex=3&amp;refID=7158708&amp;Result=3","7158708")</f>
        <v>0</v>
      </c>
      <c r="B4105" t="s">
        <v>1666</v>
      </c>
      <c r="C4105" t="s">
        <v>7797</v>
      </c>
      <c r="D4105" t="s">
        <v>19067</v>
      </c>
      <c r="E4105" t="s">
        <v>22761</v>
      </c>
      <c r="F4105" t="s">
        <v>32831</v>
      </c>
      <c r="G4105" t="s">
        <v>32839</v>
      </c>
      <c r="H4105" t="s">
        <v>32848</v>
      </c>
      <c r="I4105" t="s">
        <v>4776</v>
      </c>
      <c r="J4105" t="s">
        <v>35667</v>
      </c>
      <c r="K4105" t="s">
        <v>42730</v>
      </c>
      <c r="M4105" t="s">
        <v>44783</v>
      </c>
      <c r="N4105" t="s">
        <v>47424</v>
      </c>
      <c r="O4105" t="s">
        <v>47425</v>
      </c>
      <c r="P4105">
        <v>0</v>
      </c>
      <c r="Q4105">
        <v>6</v>
      </c>
      <c r="R4105" t="s">
        <v>47430</v>
      </c>
      <c r="S4105" t="s">
        <v>47549</v>
      </c>
      <c r="T4105" t="s">
        <v>49137</v>
      </c>
      <c r="U4105" t="s">
        <v>53153</v>
      </c>
      <c r="W4105" t="s">
        <v>44783</v>
      </c>
      <c r="X4105" t="s">
        <v>47431</v>
      </c>
    </row>
    <row r="4106" spans="1:24">
      <c r="A4106">
        <f>HYPERLINK("https://www.philgeps.gov.ph/GEPSNONPILOT/Tender/SplashBidNoticeAbstractUI.aspx?menuIndex=3&amp;refID=7158698&amp;Result=3","7158698")</f>
        <v>0</v>
      </c>
      <c r="B4106" t="s">
        <v>513</v>
      </c>
      <c r="C4106" t="s">
        <v>7798</v>
      </c>
      <c r="D4106" t="s">
        <v>19018</v>
      </c>
      <c r="E4106" t="s">
        <v>22762</v>
      </c>
      <c r="F4106" t="s">
        <v>32831</v>
      </c>
      <c r="G4106" t="s">
        <v>32838</v>
      </c>
      <c r="H4106" t="s">
        <v>32848</v>
      </c>
      <c r="I4106" t="s">
        <v>32870</v>
      </c>
      <c r="J4106" t="s">
        <v>33162</v>
      </c>
      <c r="K4106" t="s">
        <v>42726</v>
      </c>
      <c r="M4106" t="s">
        <v>43518</v>
      </c>
      <c r="N4106" t="s">
        <v>47424</v>
      </c>
      <c r="O4106" t="s">
        <v>47425</v>
      </c>
      <c r="P4106">
        <v>0</v>
      </c>
      <c r="Q4106">
        <v>0</v>
      </c>
      <c r="R4106" t="s">
        <v>47430</v>
      </c>
      <c r="S4106" t="s">
        <v>47549</v>
      </c>
      <c r="T4106" t="s">
        <v>49214</v>
      </c>
      <c r="U4106" t="s">
        <v>50599</v>
      </c>
      <c r="W4106" t="s">
        <v>64441</v>
      </c>
      <c r="X4106" t="s">
        <v>47431</v>
      </c>
    </row>
    <row r="4107" spans="1:24">
      <c r="A4107">
        <f>HYPERLINK("https://www.philgeps.gov.ph/GEPSNONPILOT/Tender/SplashBidNoticeAbstractUI.aspx?menuIndex=3&amp;refID=7158697&amp;Result=3","7158697")</f>
        <v>0</v>
      </c>
      <c r="B4107" t="s">
        <v>1447</v>
      </c>
      <c r="C4107" t="s">
        <v>7799</v>
      </c>
      <c r="D4107" t="s">
        <v>19057</v>
      </c>
      <c r="E4107" t="s">
        <v>22763</v>
      </c>
      <c r="F4107" t="s">
        <v>32831</v>
      </c>
      <c r="G4107" t="s">
        <v>32839</v>
      </c>
      <c r="H4107" t="s">
        <v>32848</v>
      </c>
      <c r="I4107" t="s">
        <v>32857</v>
      </c>
      <c r="J4107" t="s">
        <v>35668</v>
      </c>
      <c r="K4107" t="s">
        <v>42727</v>
      </c>
      <c r="M4107" t="s">
        <v>44539</v>
      </c>
      <c r="N4107" t="s">
        <v>47424</v>
      </c>
      <c r="O4107" t="s">
        <v>47425</v>
      </c>
      <c r="P4107">
        <v>0</v>
      </c>
      <c r="Q4107">
        <v>8</v>
      </c>
      <c r="R4107" t="s">
        <v>47430</v>
      </c>
      <c r="S4107" t="s">
        <v>47549</v>
      </c>
      <c r="T4107" t="s">
        <v>49129</v>
      </c>
      <c r="U4107" t="s">
        <v>53154</v>
      </c>
      <c r="V4107" t="s">
        <v>63002</v>
      </c>
      <c r="W4107" t="s">
        <v>44539</v>
      </c>
      <c r="X4107" t="s">
        <v>47431</v>
      </c>
    </row>
    <row r="4108" spans="1:24">
      <c r="A4108">
        <f>HYPERLINK("https://www.philgeps.gov.ph/GEPSNONPILOT/Tender/SplashBidNoticeAbstractUI.aspx?menuIndex=3&amp;refID=7158659&amp;Result=3","7158659")</f>
        <v>0</v>
      </c>
      <c r="B4108" t="s">
        <v>1644</v>
      </c>
      <c r="C4108" t="s">
        <v>6331</v>
      </c>
      <c r="D4108" t="s">
        <v>19024</v>
      </c>
      <c r="E4108" t="s">
        <v>21246</v>
      </c>
      <c r="F4108" t="s">
        <v>32831</v>
      </c>
      <c r="G4108" t="s">
        <v>32839</v>
      </c>
      <c r="H4108" t="s">
        <v>32849</v>
      </c>
      <c r="I4108" t="s">
        <v>4177</v>
      </c>
      <c r="J4108" t="s">
        <v>35669</v>
      </c>
      <c r="K4108" t="s">
        <v>42729</v>
      </c>
      <c r="M4108" t="s">
        <v>44761</v>
      </c>
      <c r="N4108" t="s">
        <v>47424</v>
      </c>
      <c r="O4108" t="s">
        <v>47425</v>
      </c>
      <c r="P4108">
        <v>0</v>
      </c>
      <c r="Q4108">
        <v>1</v>
      </c>
      <c r="R4108" t="s">
        <v>47430</v>
      </c>
      <c r="S4108" t="s">
        <v>47549</v>
      </c>
      <c r="T4108" t="s">
        <v>49066</v>
      </c>
      <c r="U4108" t="s">
        <v>53155</v>
      </c>
      <c r="W4108" t="s">
        <v>44761</v>
      </c>
      <c r="X4108" t="s">
        <v>47431</v>
      </c>
    </row>
    <row r="4109" spans="1:24">
      <c r="A4109">
        <f>HYPERLINK("https://www.philgeps.gov.ph/GEPSNONPILOT/Tender/SplashBidNoticeAbstractUI.aspx?menuIndex=3&amp;refID=7158765&amp;Result=3","7158765")</f>
        <v>0</v>
      </c>
      <c r="B4109" t="s">
        <v>1624</v>
      </c>
      <c r="C4109" t="s">
        <v>7800</v>
      </c>
      <c r="D4109" t="s">
        <v>19094</v>
      </c>
      <c r="E4109" t="s">
        <v>22764</v>
      </c>
      <c r="F4109" t="s">
        <v>32831</v>
      </c>
      <c r="G4109" t="s">
        <v>32839</v>
      </c>
      <c r="H4109" t="s">
        <v>32849</v>
      </c>
      <c r="I4109" t="s">
        <v>4177</v>
      </c>
      <c r="J4109" t="s">
        <v>35670</v>
      </c>
      <c r="K4109" t="s">
        <v>42763</v>
      </c>
      <c r="M4109" t="s">
        <v>44740</v>
      </c>
      <c r="N4109" t="s">
        <v>47424</v>
      </c>
      <c r="O4109" t="s">
        <v>47425</v>
      </c>
      <c r="P4109">
        <v>0</v>
      </c>
      <c r="Q4109">
        <v>1</v>
      </c>
      <c r="R4109" t="s">
        <v>47430</v>
      </c>
      <c r="S4109" t="s">
        <v>47549</v>
      </c>
      <c r="T4109" t="s">
        <v>49267</v>
      </c>
      <c r="U4109" t="s">
        <v>53156</v>
      </c>
      <c r="V4109" t="s">
        <v>63065</v>
      </c>
      <c r="W4109" t="s">
        <v>44740</v>
      </c>
      <c r="X4109" t="s">
        <v>47431</v>
      </c>
    </row>
    <row r="4110" spans="1:24">
      <c r="A4110">
        <f>HYPERLINK("https://www.philgeps.gov.ph/GEPSNONPILOT/Tender/SplashBidNoticeAbstractUI.aspx?menuIndex=3&amp;refID=7158764&amp;Result=3","7158764")</f>
        <v>0</v>
      </c>
      <c r="B4110" t="s">
        <v>954</v>
      </c>
      <c r="C4110" t="s">
        <v>7801</v>
      </c>
      <c r="D4110" t="s">
        <v>19043</v>
      </c>
      <c r="E4110" t="s">
        <v>21900</v>
      </c>
      <c r="F4110" t="s">
        <v>32831</v>
      </c>
      <c r="G4110" t="s">
        <v>32839</v>
      </c>
      <c r="H4110" t="s">
        <v>32848</v>
      </c>
      <c r="I4110" t="s">
        <v>32853</v>
      </c>
      <c r="J4110" t="s">
        <v>33310</v>
      </c>
      <c r="K4110" t="s">
        <v>42726</v>
      </c>
      <c r="M4110" t="s">
        <v>44000</v>
      </c>
      <c r="N4110" t="s">
        <v>47424</v>
      </c>
      <c r="O4110" t="s">
        <v>47425</v>
      </c>
      <c r="P4110">
        <v>0</v>
      </c>
      <c r="Q4110">
        <v>2</v>
      </c>
      <c r="R4110" t="s">
        <v>47430</v>
      </c>
      <c r="S4110" t="s">
        <v>47549</v>
      </c>
      <c r="T4110" t="s">
        <v>49376</v>
      </c>
      <c r="U4110" t="s">
        <v>53157</v>
      </c>
      <c r="V4110" t="s">
        <v>63079</v>
      </c>
      <c r="W4110" t="s">
        <v>44000</v>
      </c>
      <c r="X4110" t="s">
        <v>47431</v>
      </c>
    </row>
    <row r="4111" spans="1:24">
      <c r="A4111">
        <f>HYPERLINK("https://www.philgeps.gov.ph/GEPSNONPILOT/Tender/SplashBidNoticeAbstractUI.aspx?menuIndex=3&amp;refID=7158701&amp;Result=3","7158701")</f>
        <v>0</v>
      </c>
      <c r="B4111" t="s">
        <v>1667</v>
      </c>
      <c r="C4111" t="s">
        <v>7802</v>
      </c>
      <c r="D4111" t="s">
        <v>19027</v>
      </c>
      <c r="E4111" t="s">
        <v>22765</v>
      </c>
      <c r="F4111" t="s">
        <v>32831</v>
      </c>
      <c r="G4111" t="s">
        <v>32838</v>
      </c>
      <c r="H4111" t="s">
        <v>32848</v>
      </c>
      <c r="I4111" t="s">
        <v>32867</v>
      </c>
      <c r="J4111" t="s">
        <v>33148</v>
      </c>
      <c r="K4111" t="s">
        <v>42748</v>
      </c>
      <c r="M4111" t="s">
        <v>44784</v>
      </c>
      <c r="N4111" t="s">
        <v>47424</v>
      </c>
      <c r="O4111" t="s">
        <v>47425</v>
      </c>
      <c r="P4111">
        <v>0</v>
      </c>
      <c r="Q4111">
        <v>0</v>
      </c>
      <c r="R4111" t="s">
        <v>47430</v>
      </c>
      <c r="S4111" t="s">
        <v>47549</v>
      </c>
      <c r="T4111" t="s">
        <v>49235</v>
      </c>
      <c r="U4111" t="s">
        <v>53158</v>
      </c>
      <c r="W4111" t="s">
        <v>44784</v>
      </c>
      <c r="X4111" t="s">
        <v>47431</v>
      </c>
    </row>
    <row r="4112" spans="1:24">
      <c r="A4112">
        <f>HYPERLINK("https://www.philgeps.gov.ph/GEPSNONPILOT/Tender/SplashBidNoticeAbstractUI.aspx?menuIndex=3&amp;refID=7158763&amp;Result=3","7158763")</f>
        <v>0</v>
      </c>
      <c r="B4112" t="s">
        <v>1668</v>
      </c>
      <c r="C4112" t="s">
        <v>7803</v>
      </c>
      <c r="D4112" t="s">
        <v>19073</v>
      </c>
      <c r="E4112" t="s">
        <v>22766</v>
      </c>
      <c r="F4112" t="s">
        <v>32831</v>
      </c>
      <c r="G4112" t="s">
        <v>32839</v>
      </c>
      <c r="H4112" t="s">
        <v>32848</v>
      </c>
      <c r="I4112" t="s">
        <v>32853</v>
      </c>
      <c r="J4112" t="s">
        <v>35671</v>
      </c>
      <c r="K4112" t="s">
        <v>42731</v>
      </c>
      <c r="M4112" t="s">
        <v>44785</v>
      </c>
      <c r="N4112" t="s">
        <v>47424</v>
      </c>
      <c r="O4112" t="s">
        <v>47425</v>
      </c>
      <c r="P4112">
        <v>0</v>
      </c>
      <c r="Q4112">
        <v>0</v>
      </c>
      <c r="R4112" t="s">
        <v>47430</v>
      </c>
      <c r="S4112" t="s">
        <v>47549</v>
      </c>
      <c r="T4112" t="s">
        <v>49129</v>
      </c>
      <c r="U4112" t="s">
        <v>53159</v>
      </c>
      <c r="W4112" t="s">
        <v>44785</v>
      </c>
      <c r="X4112" t="s">
        <v>47431</v>
      </c>
    </row>
    <row r="4113" spans="1:24">
      <c r="A4113">
        <f>HYPERLINK("https://www.philgeps.gov.ph/GEPSNONPILOT/Tender/SplashBidNoticeAbstractUI.aspx?menuIndex=3&amp;refID=7158754&amp;Result=3","7158754")</f>
        <v>0</v>
      </c>
      <c r="B4113" t="s">
        <v>1060</v>
      </c>
      <c r="C4113" t="s">
        <v>7804</v>
      </c>
      <c r="D4113" t="s">
        <v>19036</v>
      </c>
      <c r="E4113" t="s">
        <v>22767</v>
      </c>
      <c r="F4113" t="s">
        <v>32831</v>
      </c>
      <c r="G4113" t="s">
        <v>32839</v>
      </c>
      <c r="H4113" t="s">
        <v>32849</v>
      </c>
      <c r="I4113" t="s">
        <v>4177</v>
      </c>
      <c r="J4113" t="s">
        <v>35672</v>
      </c>
      <c r="K4113" t="s">
        <v>42764</v>
      </c>
      <c r="M4113" t="s">
        <v>44117</v>
      </c>
      <c r="N4113" t="s">
        <v>47424</v>
      </c>
      <c r="O4113" t="s">
        <v>47425</v>
      </c>
      <c r="P4113">
        <v>0</v>
      </c>
      <c r="Q4113">
        <v>0</v>
      </c>
      <c r="R4113" t="s">
        <v>47430</v>
      </c>
      <c r="S4113" t="s">
        <v>47549</v>
      </c>
      <c r="T4113" t="s">
        <v>49077</v>
      </c>
      <c r="U4113" t="s">
        <v>53160</v>
      </c>
      <c r="W4113" t="s">
        <v>44117</v>
      </c>
      <c r="X4113" t="s">
        <v>47431</v>
      </c>
    </row>
    <row r="4114" spans="1:24">
      <c r="A4114">
        <f>HYPERLINK("https://www.philgeps.gov.ph/GEPSNONPILOT/Tender/SplashBidNoticeAbstractUI.aspx?menuIndex=3&amp;refID=7158751&amp;Result=3","7158751")</f>
        <v>0</v>
      </c>
      <c r="B4114" t="s">
        <v>1669</v>
      </c>
      <c r="C4114" t="s">
        <v>7805</v>
      </c>
      <c r="D4114" t="s">
        <v>19046</v>
      </c>
      <c r="E4114" t="s">
        <v>22768</v>
      </c>
      <c r="F4114" t="s">
        <v>32831</v>
      </c>
      <c r="G4114" t="s">
        <v>32840</v>
      </c>
      <c r="H4114" t="s">
        <v>32848</v>
      </c>
      <c r="I4114" t="s">
        <v>10805</v>
      </c>
      <c r="J4114" t="s">
        <v>35673</v>
      </c>
      <c r="K4114" t="s">
        <v>42748</v>
      </c>
      <c r="M4114" t="s">
        <v>44786</v>
      </c>
      <c r="N4114" t="s">
        <v>47424</v>
      </c>
      <c r="O4114" t="s">
        <v>47425</v>
      </c>
      <c r="P4114">
        <v>0</v>
      </c>
      <c r="Q4114">
        <v>1</v>
      </c>
      <c r="R4114" t="s">
        <v>47430</v>
      </c>
      <c r="S4114" t="s">
        <v>47549</v>
      </c>
      <c r="T4114" t="s">
        <v>49059</v>
      </c>
      <c r="U4114" t="s">
        <v>53161</v>
      </c>
      <c r="V4114" t="s">
        <v>63080</v>
      </c>
      <c r="W4114" t="s">
        <v>44786</v>
      </c>
      <c r="X4114" t="s">
        <v>47431</v>
      </c>
    </row>
    <row r="4115" spans="1:24">
      <c r="A4115">
        <f>HYPERLINK("https://www.philgeps.gov.ph/GEPSNONPILOT/Tender/SplashBidNoticeAbstractUI.aspx?menuIndex=3&amp;refID=7158750&amp;Result=3","7158750")</f>
        <v>0</v>
      </c>
      <c r="B4115" t="s">
        <v>1670</v>
      </c>
      <c r="C4115" t="s">
        <v>7806</v>
      </c>
      <c r="D4115" t="s">
        <v>19030</v>
      </c>
      <c r="E4115" t="s">
        <v>22769</v>
      </c>
      <c r="F4115" t="s">
        <v>32831</v>
      </c>
      <c r="G4115" t="s">
        <v>32838</v>
      </c>
      <c r="H4115" t="s">
        <v>32849</v>
      </c>
      <c r="I4115" t="s">
        <v>4177</v>
      </c>
      <c r="J4115" t="s">
        <v>33044</v>
      </c>
      <c r="K4115" t="s">
        <v>42747</v>
      </c>
      <c r="M4115" t="s">
        <v>44787</v>
      </c>
      <c r="N4115" t="s">
        <v>47424</v>
      </c>
      <c r="O4115" t="s">
        <v>47425</v>
      </c>
      <c r="P4115">
        <v>0</v>
      </c>
      <c r="Q4115">
        <v>1</v>
      </c>
      <c r="R4115" t="s">
        <v>47430</v>
      </c>
      <c r="S4115" t="s">
        <v>47549</v>
      </c>
      <c r="T4115" t="s">
        <v>49377</v>
      </c>
      <c r="U4115" t="s">
        <v>53162</v>
      </c>
      <c r="W4115" t="s">
        <v>44787</v>
      </c>
      <c r="X4115" t="s">
        <v>47431</v>
      </c>
    </row>
    <row r="4116" spans="1:24">
      <c r="A4116">
        <f>HYPERLINK("https://www.philgeps.gov.ph/GEPSNONPILOT/Tender/SplashBidNoticeAbstractUI.aspx?menuIndex=3&amp;refID=7158714&amp;Result=3","7158714")</f>
        <v>0</v>
      </c>
      <c r="B4116" t="s">
        <v>513</v>
      </c>
      <c r="C4116" t="s">
        <v>7807</v>
      </c>
      <c r="D4116" t="s">
        <v>19018</v>
      </c>
      <c r="E4116" t="s">
        <v>22770</v>
      </c>
      <c r="F4116" t="s">
        <v>32831</v>
      </c>
      <c r="G4116" t="s">
        <v>32838</v>
      </c>
      <c r="H4116" t="s">
        <v>32848</v>
      </c>
      <c r="I4116" t="s">
        <v>32883</v>
      </c>
      <c r="J4116" t="s">
        <v>33433</v>
      </c>
      <c r="K4116" t="s">
        <v>42726</v>
      </c>
      <c r="M4116" t="s">
        <v>43518</v>
      </c>
      <c r="N4116" t="s">
        <v>47424</v>
      </c>
      <c r="O4116" t="s">
        <v>47425</v>
      </c>
      <c r="P4116">
        <v>0</v>
      </c>
      <c r="Q4116">
        <v>2</v>
      </c>
      <c r="R4116" t="s">
        <v>47430</v>
      </c>
      <c r="S4116" t="s">
        <v>47549</v>
      </c>
      <c r="T4116" t="s">
        <v>49214</v>
      </c>
      <c r="U4116" t="s">
        <v>50599</v>
      </c>
      <c r="W4116" t="s">
        <v>64441</v>
      </c>
      <c r="X4116" t="s">
        <v>47431</v>
      </c>
    </row>
    <row r="4117" spans="1:24">
      <c r="A4117">
        <f>HYPERLINK("https://www.philgeps.gov.ph/GEPSNONPILOT/Tender/SplashBidNoticeAbstractUI.aspx?menuIndex=3&amp;refID=7158747&amp;Result=3","7158747")</f>
        <v>0</v>
      </c>
      <c r="B4117" t="s">
        <v>1667</v>
      </c>
      <c r="C4117" t="s">
        <v>7808</v>
      </c>
      <c r="D4117" t="s">
        <v>19027</v>
      </c>
      <c r="E4117" t="s">
        <v>22771</v>
      </c>
      <c r="F4117" t="s">
        <v>32831</v>
      </c>
      <c r="G4117" t="s">
        <v>32838</v>
      </c>
      <c r="H4117" t="s">
        <v>32848</v>
      </c>
      <c r="I4117" t="s">
        <v>32856</v>
      </c>
      <c r="J4117" t="s">
        <v>33254</v>
      </c>
      <c r="K4117" t="s">
        <v>42748</v>
      </c>
      <c r="M4117" t="s">
        <v>44784</v>
      </c>
      <c r="N4117" t="s">
        <v>47424</v>
      </c>
      <c r="O4117" t="s">
        <v>47425</v>
      </c>
      <c r="P4117">
        <v>0</v>
      </c>
      <c r="Q4117">
        <v>0</v>
      </c>
      <c r="R4117" t="s">
        <v>47430</v>
      </c>
      <c r="S4117" t="s">
        <v>47549</v>
      </c>
      <c r="T4117" t="s">
        <v>49235</v>
      </c>
      <c r="U4117" t="s">
        <v>53158</v>
      </c>
      <c r="W4117" t="s">
        <v>44784</v>
      </c>
      <c r="X4117" t="s">
        <v>47431</v>
      </c>
    </row>
    <row r="4118" spans="1:24">
      <c r="A4118">
        <f>HYPERLINK("https://www.philgeps.gov.ph/GEPSNONPILOT/Tender/SplashBidNoticeAbstractUI.aspx?menuIndex=3&amp;refID=7158696&amp;Result=3","7158696")</f>
        <v>0</v>
      </c>
      <c r="B4118" t="s">
        <v>1671</v>
      </c>
      <c r="C4118" t="s">
        <v>7809</v>
      </c>
      <c r="D4118" t="s">
        <v>19047</v>
      </c>
      <c r="E4118" t="s">
        <v>22772</v>
      </c>
      <c r="F4118" t="s">
        <v>32831</v>
      </c>
      <c r="G4118" t="s">
        <v>32840</v>
      </c>
      <c r="H4118" t="s">
        <v>32848</v>
      </c>
      <c r="I4118" t="s">
        <v>32889</v>
      </c>
      <c r="J4118" t="s">
        <v>35104</v>
      </c>
      <c r="K4118" t="s">
        <v>42726</v>
      </c>
      <c r="M4118" t="s">
        <v>44788</v>
      </c>
      <c r="N4118" t="s">
        <v>47424</v>
      </c>
      <c r="O4118" t="s">
        <v>47425</v>
      </c>
      <c r="P4118">
        <v>0</v>
      </c>
      <c r="Q4118">
        <v>0</v>
      </c>
      <c r="R4118" t="s">
        <v>47430</v>
      </c>
      <c r="S4118" t="s">
        <v>47549</v>
      </c>
      <c r="T4118" t="s">
        <v>49159</v>
      </c>
      <c r="U4118" t="s">
        <v>53163</v>
      </c>
      <c r="V4118" t="s">
        <v>63081</v>
      </c>
      <c r="W4118" t="s">
        <v>64484</v>
      </c>
      <c r="X4118" t="s">
        <v>47431</v>
      </c>
    </row>
    <row r="4119" spans="1:24">
      <c r="A4119">
        <f>HYPERLINK("https://www.philgeps.gov.ph/GEPSNONPILOT/Tender/SplashBidNoticeAbstractUI.aspx?menuIndex=3&amp;refID=7158746&amp;Result=3","7158746")</f>
        <v>0</v>
      </c>
      <c r="B4119" t="s">
        <v>629</v>
      </c>
      <c r="C4119" t="s">
        <v>7810</v>
      </c>
      <c r="D4119" t="s">
        <v>19049</v>
      </c>
      <c r="E4119" t="s">
        <v>22773</v>
      </c>
      <c r="F4119" t="s">
        <v>32831</v>
      </c>
      <c r="G4119" t="s">
        <v>32840</v>
      </c>
      <c r="H4119" t="s">
        <v>32848</v>
      </c>
      <c r="I4119" t="s">
        <v>32862</v>
      </c>
      <c r="J4119" t="s">
        <v>33985</v>
      </c>
      <c r="K4119" t="s">
        <v>42731</v>
      </c>
      <c r="M4119" t="s">
        <v>43646</v>
      </c>
      <c r="N4119" t="s">
        <v>47424</v>
      </c>
      <c r="O4119" t="s">
        <v>47425</v>
      </c>
      <c r="P4119">
        <v>0</v>
      </c>
      <c r="Q4119">
        <v>0</v>
      </c>
      <c r="R4119" t="s">
        <v>47430</v>
      </c>
      <c r="S4119" t="s">
        <v>47549</v>
      </c>
      <c r="T4119" t="s">
        <v>49237</v>
      </c>
      <c r="U4119" t="s">
        <v>53164</v>
      </c>
      <c r="W4119" t="s">
        <v>43646</v>
      </c>
      <c r="X4119" t="s">
        <v>47431</v>
      </c>
    </row>
    <row r="4120" spans="1:24">
      <c r="A4120">
        <f>HYPERLINK("https://www.philgeps.gov.ph/GEPSNONPILOT/Tender/SplashBidNoticeAbstractUI.aspx?menuIndex=3&amp;refID=7158717&amp;Result=3","7158717")</f>
        <v>0</v>
      </c>
      <c r="B4120" t="s">
        <v>565</v>
      </c>
      <c r="C4120" t="s">
        <v>7811</v>
      </c>
      <c r="D4120" t="s">
        <v>19020</v>
      </c>
      <c r="E4120" t="s">
        <v>22774</v>
      </c>
      <c r="F4120" t="s">
        <v>32831</v>
      </c>
      <c r="G4120" t="s">
        <v>32838</v>
      </c>
      <c r="H4120" t="s">
        <v>32848</v>
      </c>
      <c r="I4120" t="s">
        <v>32854</v>
      </c>
      <c r="J4120" t="s">
        <v>33178</v>
      </c>
      <c r="K4120" t="s">
        <v>42727</v>
      </c>
      <c r="M4120" t="s">
        <v>44789</v>
      </c>
      <c r="N4120" t="s">
        <v>47424</v>
      </c>
      <c r="O4120" t="s">
        <v>47425</v>
      </c>
      <c r="P4120">
        <v>0</v>
      </c>
      <c r="Q4120">
        <v>5</v>
      </c>
      <c r="R4120" t="s">
        <v>47430</v>
      </c>
      <c r="S4120" t="s">
        <v>47549</v>
      </c>
      <c r="T4120" t="s">
        <v>49253</v>
      </c>
      <c r="U4120" t="s">
        <v>53165</v>
      </c>
      <c r="W4120" t="s">
        <v>44789</v>
      </c>
      <c r="X4120" t="s">
        <v>47431</v>
      </c>
    </row>
    <row r="4121" spans="1:24">
      <c r="A4121">
        <f>HYPERLINK("https://www.philgeps.gov.ph/GEPSNONPILOT/Tender/SplashBidNoticeAbstractUI.aspx?menuIndex=3&amp;refID=7158743&amp;Result=3","7158743")</f>
        <v>0</v>
      </c>
      <c r="B4121" t="s">
        <v>1672</v>
      </c>
      <c r="C4121" t="s">
        <v>7812</v>
      </c>
      <c r="D4121" t="s">
        <v>19104</v>
      </c>
      <c r="E4121" t="s">
        <v>22775</v>
      </c>
      <c r="F4121" t="s">
        <v>32831</v>
      </c>
      <c r="G4121" t="s">
        <v>32839</v>
      </c>
      <c r="H4121" t="s">
        <v>32848</v>
      </c>
      <c r="I4121" t="s">
        <v>5379</v>
      </c>
      <c r="J4121" t="s">
        <v>35674</v>
      </c>
      <c r="K4121" t="s">
        <v>42730</v>
      </c>
      <c r="M4121" t="s">
        <v>44790</v>
      </c>
      <c r="N4121" t="s">
        <v>47424</v>
      </c>
      <c r="O4121" t="s">
        <v>47425</v>
      </c>
      <c r="P4121">
        <v>0</v>
      </c>
      <c r="Q4121">
        <v>2</v>
      </c>
      <c r="R4121" t="s">
        <v>47430</v>
      </c>
      <c r="S4121" t="s">
        <v>47549</v>
      </c>
      <c r="T4121" t="s">
        <v>49171</v>
      </c>
      <c r="U4121" t="s">
        <v>53166</v>
      </c>
      <c r="W4121" t="s">
        <v>44790</v>
      </c>
      <c r="X4121" t="s">
        <v>47431</v>
      </c>
    </row>
    <row r="4122" spans="1:24">
      <c r="A4122">
        <f>HYPERLINK("https://www.philgeps.gov.ph/GEPSNONPILOT/Tender/SplashBidNoticeAbstractUI.aspx?menuIndex=3&amp;refID=7158741&amp;Result=3","7158741")</f>
        <v>0</v>
      </c>
      <c r="B4122" t="s">
        <v>1665</v>
      </c>
      <c r="C4122" t="s">
        <v>7813</v>
      </c>
      <c r="D4122" t="s">
        <v>19095</v>
      </c>
      <c r="E4122" t="s">
        <v>22776</v>
      </c>
      <c r="F4122" t="s">
        <v>32831</v>
      </c>
      <c r="G4122" t="s">
        <v>32840</v>
      </c>
      <c r="H4122" t="s">
        <v>32848</v>
      </c>
      <c r="I4122" t="s">
        <v>7751</v>
      </c>
      <c r="J4122" t="s">
        <v>33384</v>
      </c>
      <c r="K4122" t="s">
        <v>42732</v>
      </c>
      <c r="M4122" t="s">
        <v>44782</v>
      </c>
      <c r="N4122" t="s">
        <v>47424</v>
      </c>
      <c r="O4122" t="s">
        <v>47425</v>
      </c>
      <c r="P4122">
        <v>0</v>
      </c>
      <c r="Q4122">
        <v>0</v>
      </c>
      <c r="R4122" t="s">
        <v>47430</v>
      </c>
      <c r="S4122" t="s">
        <v>47549</v>
      </c>
      <c r="T4122" t="s">
        <v>49073</v>
      </c>
      <c r="U4122" t="s">
        <v>53167</v>
      </c>
      <c r="W4122" t="s">
        <v>64483</v>
      </c>
      <c r="X4122" t="s">
        <v>47431</v>
      </c>
    </row>
    <row r="4123" spans="1:24">
      <c r="A4123">
        <f>HYPERLINK("https://www.philgeps.gov.ph/GEPSNONPILOT/Tender/SplashBidNoticeAbstractUI.aspx?menuIndex=3&amp;refID=7158671&amp;Result=3","7158671")</f>
        <v>0</v>
      </c>
      <c r="B4123" t="s">
        <v>1673</v>
      </c>
      <c r="C4123" t="s">
        <v>7814</v>
      </c>
      <c r="D4123" t="s">
        <v>19038</v>
      </c>
      <c r="E4123" t="s">
        <v>22777</v>
      </c>
      <c r="F4123" t="s">
        <v>32831</v>
      </c>
      <c r="G4123" t="s">
        <v>32838</v>
      </c>
      <c r="H4123" t="s">
        <v>32848</v>
      </c>
      <c r="I4123" t="s">
        <v>4222</v>
      </c>
      <c r="J4123" t="s">
        <v>33993</v>
      </c>
      <c r="K4123" t="s">
        <v>42759</v>
      </c>
      <c r="M4123" t="s">
        <v>44791</v>
      </c>
      <c r="N4123" t="s">
        <v>47424</v>
      </c>
      <c r="O4123" t="s">
        <v>47425</v>
      </c>
      <c r="P4123">
        <v>0</v>
      </c>
      <c r="Q4123">
        <v>0</v>
      </c>
      <c r="R4123" t="s">
        <v>47430</v>
      </c>
      <c r="S4123" t="s">
        <v>47549</v>
      </c>
      <c r="T4123" t="s">
        <v>49107</v>
      </c>
      <c r="U4123" t="s">
        <v>53168</v>
      </c>
      <c r="W4123" t="s">
        <v>44791</v>
      </c>
      <c r="X4123" t="s">
        <v>47431</v>
      </c>
    </row>
    <row r="4124" spans="1:24">
      <c r="A4124">
        <f>HYPERLINK("https://www.philgeps.gov.ph/GEPSNONPILOT/Tender/SplashBidNoticeAbstractUI.aspx?menuIndex=3&amp;refID=7158737&amp;Result=3","7158737")</f>
        <v>0</v>
      </c>
      <c r="B4124" t="s">
        <v>1674</v>
      </c>
      <c r="C4124" t="s">
        <v>7815</v>
      </c>
      <c r="D4124" t="s">
        <v>19024</v>
      </c>
      <c r="E4124" t="s">
        <v>22778</v>
      </c>
      <c r="F4124" t="s">
        <v>32831</v>
      </c>
      <c r="G4124" t="s">
        <v>32838</v>
      </c>
      <c r="H4124" t="s">
        <v>32848</v>
      </c>
      <c r="I4124" t="s">
        <v>10643</v>
      </c>
      <c r="J4124" t="s">
        <v>35675</v>
      </c>
      <c r="K4124" t="s">
        <v>42727</v>
      </c>
      <c r="M4124" t="s">
        <v>44792</v>
      </c>
      <c r="N4124" t="s">
        <v>47424</v>
      </c>
      <c r="O4124" t="s">
        <v>47425</v>
      </c>
      <c r="P4124">
        <v>0</v>
      </c>
      <c r="Q4124">
        <v>1</v>
      </c>
      <c r="R4124" t="s">
        <v>47430</v>
      </c>
      <c r="S4124" t="s">
        <v>47549</v>
      </c>
      <c r="T4124" t="s">
        <v>49114</v>
      </c>
      <c r="U4124" t="s">
        <v>53169</v>
      </c>
      <c r="W4124" t="s">
        <v>44792</v>
      </c>
      <c r="X4124" t="s">
        <v>47431</v>
      </c>
    </row>
    <row r="4125" spans="1:24">
      <c r="A4125">
        <f>HYPERLINK("https://www.philgeps.gov.ph/GEPSNONPILOT/Tender/SplashBidNoticeAbstractUI.aspx?menuIndex=3&amp;refID=7158744&amp;Result=3","7158744")</f>
        <v>0</v>
      </c>
      <c r="B4125" t="s">
        <v>565</v>
      </c>
      <c r="C4125" t="s">
        <v>7816</v>
      </c>
      <c r="D4125" t="s">
        <v>19020</v>
      </c>
      <c r="E4125" t="s">
        <v>22774</v>
      </c>
      <c r="F4125" t="s">
        <v>32831</v>
      </c>
      <c r="G4125" t="s">
        <v>32838</v>
      </c>
      <c r="H4125" t="s">
        <v>32848</v>
      </c>
      <c r="I4125" t="s">
        <v>32854</v>
      </c>
      <c r="J4125" t="s">
        <v>33184</v>
      </c>
      <c r="K4125" t="s">
        <v>42727</v>
      </c>
      <c r="M4125" t="s">
        <v>44789</v>
      </c>
      <c r="N4125" t="s">
        <v>47424</v>
      </c>
      <c r="O4125" t="s">
        <v>47425</v>
      </c>
      <c r="P4125">
        <v>0</v>
      </c>
      <c r="Q4125">
        <v>2</v>
      </c>
      <c r="R4125" t="s">
        <v>47430</v>
      </c>
      <c r="S4125" t="s">
        <v>47549</v>
      </c>
      <c r="T4125" t="s">
        <v>49089</v>
      </c>
      <c r="U4125" t="s">
        <v>53170</v>
      </c>
      <c r="W4125" t="s">
        <v>44789</v>
      </c>
      <c r="X4125" t="s">
        <v>47431</v>
      </c>
    </row>
    <row r="4126" spans="1:24">
      <c r="A4126">
        <f>HYPERLINK("https://www.philgeps.gov.ph/GEPSNONPILOT/Tender/SplashBidNoticeAbstractUI.aspx?menuIndex=3&amp;refID=7158742&amp;Result=3","7158742")</f>
        <v>0</v>
      </c>
      <c r="B4126" t="s">
        <v>1675</v>
      </c>
      <c r="C4126" t="s">
        <v>7817</v>
      </c>
      <c r="D4126" t="s">
        <v>19083</v>
      </c>
      <c r="E4126" t="s">
        <v>22779</v>
      </c>
      <c r="F4126" t="s">
        <v>32831</v>
      </c>
      <c r="G4126" t="s">
        <v>32838</v>
      </c>
      <c r="H4126" t="s">
        <v>32848</v>
      </c>
      <c r="I4126" t="s">
        <v>9577</v>
      </c>
      <c r="J4126" t="s">
        <v>35676</v>
      </c>
      <c r="K4126" t="s">
        <v>42745</v>
      </c>
      <c r="M4126" t="s">
        <v>44793</v>
      </c>
      <c r="N4126" t="s">
        <v>47424</v>
      </c>
      <c r="O4126" t="s">
        <v>47425</v>
      </c>
      <c r="P4126">
        <v>0</v>
      </c>
      <c r="Q4126">
        <v>0</v>
      </c>
      <c r="R4126" t="s">
        <v>47430</v>
      </c>
      <c r="S4126" t="s">
        <v>47549</v>
      </c>
      <c r="T4126" t="s">
        <v>49114</v>
      </c>
      <c r="U4126" t="s">
        <v>53171</v>
      </c>
      <c r="W4126" t="s">
        <v>44793</v>
      </c>
      <c r="X4126" t="s">
        <v>47431</v>
      </c>
    </row>
    <row r="4127" spans="1:24">
      <c r="A4127">
        <f>HYPERLINK("https://www.philgeps.gov.ph/GEPSNONPILOT/Tender/SplashBidNoticeAbstractUI.aspx?menuIndex=3&amp;refID=7158738&amp;Result=3","7158738")</f>
        <v>0</v>
      </c>
      <c r="B4127" t="s">
        <v>1676</v>
      </c>
      <c r="C4127" t="s">
        <v>7818</v>
      </c>
      <c r="D4127" t="s">
        <v>19038</v>
      </c>
      <c r="E4127" t="s">
        <v>22780</v>
      </c>
      <c r="F4127" t="s">
        <v>32831</v>
      </c>
      <c r="G4127" t="s">
        <v>32842</v>
      </c>
      <c r="H4127" t="s">
        <v>32848</v>
      </c>
      <c r="I4127" t="s">
        <v>32860</v>
      </c>
      <c r="J4127" t="s">
        <v>33090</v>
      </c>
      <c r="K4127" t="s">
        <v>42758</v>
      </c>
      <c r="M4127" t="s">
        <v>44794</v>
      </c>
      <c r="N4127" t="s">
        <v>47424</v>
      </c>
      <c r="O4127" t="s">
        <v>47425</v>
      </c>
      <c r="P4127">
        <v>0</v>
      </c>
      <c r="Q4127">
        <v>4</v>
      </c>
      <c r="R4127" t="s">
        <v>47430</v>
      </c>
      <c r="S4127" t="s">
        <v>47549</v>
      </c>
      <c r="T4127" t="s">
        <v>49237</v>
      </c>
      <c r="U4127" t="s">
        <v>53172</v>
      </c>
      <c r="W4127" t="s">
        <v>44794</v>
      </c>
      <c r="X4127" t="s">
        <v>47431</v>
      </c>
    </row>
    <row r="4128" spans="1:24">
      <c r="A4128">
        <f>HYPERLINK("https://www.philgeps.gov.ph/GEPSNONPILOT/Tender/SplashBidNoticeAbstractUI.aspx?menuIndex=3&amp;refID=7158748&amp;Result=3","7158748")</f>
        <v>0</v>
      </c>
      <c r="B4128" t="s">
        <v>1494</v>
      </c>
      <c r="C4128" t="s">
        <v>7819</v>
      </c>
      <c r="D4128" t="s">
        <v>19060</v>
      </c>
      <c r="E4128" t="s">
        <v>22781</v>
      </c>
      <c r="F4128" t="s">
        <v>32831</v>
      </c>
      <c r="G4128" t="s">
        <v>32838</v>
      </c>
      <c r="H4128" t="s">
        <v>32848</v>
      </c>
      <c r="I4128" t="s">
        <v>7819</v>
      </c>
      <c r="J4128" t="s">
        <v>35677</v>
      </c>
      <c r="K4128" t="s">
        <v>42758</v>
      </c>
      <c r="M4128" t="s">
        <v>44591</v>
      </c>
      <c r="N4128" t="s">
        <v>47424</v>
      </c>
      <c r="O4128" t="s">
        <v>47425</v>
      </c>
      <c r="P4128">
        <v>0</v>
      </c>
      <c r="Q4128">
        <v>0</v>
      </c>
      <c r="R4128" t="s">
        <v>47430</v>
      </c>
      <c r="S4128" t="s">
        <v>47549</v>
      </c>
      <c r="T4128" t="s">
        <v>49111</v>
      </c>
      <c r="U4128" t="s">
        <v>53173</v>
      </c>
      <c r="V4128" t="s">
        <v>63018</v>
      </c>
      <c r="W4128" t="s">
        <v>44591</v>
      </c>
      <c r="X4128" t="s">
        <v>47431</v>
      </c>
    </row>
    <row r="4129" spans="1:24">
      <c r="A4129">
        <f>HYPERLINK("https://www.philgeps.gov.ph/GEPSNONPILOT/Tender/SplashBidNoticeAbstractUI.aspx?menuIndex=3&amp;refID=7158795&amp;Result=3","7158795")</f>
        <v>0</v>
      </c>
      <c r="B4129" t="s">
        <v>666</v>
      </c>
      <c r="C4129" t="s">
        <v>7820</v>
      </c>
      <c r="D4129" t="s">
        <v>19034</v>
      </c>
      <c r="E4129" t="s">
        <v>22782</v>
      </c>
      <c r="F4129" t="s">
        <v>32831</v>
      </c>
      <c r="G4129" t="s">
        <v>32839</v>
      </c>
      <c r="H4129" t="s">
        <v>32849</v>
      </c>
      <c r="I4129" t="s">
        <v>4177</v>
      </c>
      <c r="J4129" t="s">
        <v>33016</v>
      </c>
      <c r="K4129" t="s">
        <v>42732</v>
      </c>
      <c r="M4129" t="s">
        <v>43685</v>
      </c>
      <c r="N4129" t="s">
        <v>47424</v>
      </c>
      <c r="O4129" t="s">
        <v>47425</v>
      </c>
      <c r="P4129">
        <v>0</v>
      </c>
      <c r="Q4129">
        <v>0</v>
      </c>
      <c r="R4129" t="s">
        <v>47430</v>
      </c>
      <c r="S4129" t="s">
        <v>47549</v>
      </c>
      <c r="T4129" t="s">
        <v>49071</v>
      </c>
      <c r="U4129" t="s">
        <v>53174</v>
      </c>
      <c r="W4129" t="s">
        <v>43685</v>
      </c>
      <c r="X4129" t="s">
        <v>47431</v>
      </c>
    </row>
    <row r="4130" spans="1:24">
      <c r="A4130">
        <f>HYPERLINK("https://www.philgeps.gov.ph/GEPSNONPILOT/Tender/SplashBidNoticeAbstractUI.aspx?menuIndex=3&amp;refID=7158794&amp;Result=3","7158794")</f>
        <v>0</v>
      </c>
      <c r="B4130" t="s">
        <v>629</v>
      </c>
      <c r="C4130" t="s">
        <v>7821</v>
      </c>
      <c r="D4130" t="s">
        <v>19049</v>
      </c>
      <c r="E4130" t="s">
        <v>22783</v>
      </c>
      <c r="F4130" t="s">
        <v>32831</v>
      </c>
      <c r="G4130" t="s">
        <v>32840</v>
      </c>
      <c r="H4130" t="s">
        <v>32848</v>
      </c>
      <c r="I4130" t="s">
        <v>32880</v>
      </c>
      <c r="J4130" t="s">
        <v>32980</v>
      </c>
      <c r="K4130" t="s">
        <v>42731</v>
      </c>
      <c r="M4130" t="s">
        <v>43646</v>
      </c>
      <c r="N4130" t="s">
        <v>47424</v>
      </c>
      <c r="O4130" t="s">
        <v>47425</v>
      </c>
      <c r="P4130">
        <v>0</v>
      </c>
      <c r="Q4130">
        <v>0</v>
      </c>
      <c r="R4130" t="s">
        <v>47430</v>
      </c>
      <c r="S4130" t="s">
        <v>47549</v>
      </c>
      <c r="T4130" t="s">
        <v>49237</v>
      </c>
      <c r="U4130" t="s">
        <v>53175</v>
      </c>
      <c r="W4130" t="s">
        <v>43646</v>
      </c>
      <c r="X4130" t="s">
        <v>47431</v>
      </c>
    </row>
    <row r="4131" spans="1:24">
      <c r="A4131">
        <f>HYPERLINK("https://www.philgeps.gov.ph/GEPSNONPILOT/Tender/SplashBidNoticeAbstractUI.aspx?menuIndex=3&amp;refID=7158792&amp;Result=3","7158792")</f>
        <v>0</v>
      </c>
      <c r="B4131" t="s">
        <v>1677</v>
      </c>
      <c r="C4131" t="s">
        <v>7822</v>
      </c>
      <c r="E4131" t="s">
        <v>22784</v>
      </c>
      <c r="F4131" t="s">
        <v>32831</v>
      </c>
      <c r="G4131" t="s">
        <v>32840</v>
      </c>
      <c r="H4131" t="s">
        <v>32848</v>
      </c>
      <c r="I4131" t="s">
        <v>7416</v>
      </c>
      <c r="J4131" t="s">
        <v>35678</v>
      </c>
      <c r="K4131" t="s">
        <v>42726</v>
      </c>
      <c r="M4131" t="s">
        <v>44795</v>
      </c>
      <c r="N4131" t="s">
        <v>47424</v>
      </c>
      <c r="O4131" t="s">
        <v>47425</v>
      </c>
      <c r="P4131">
        <v>0</v>
      </c>
      <c r="Q4131">
        <v>1</v>
      </c>
      <c r="R4131" t="s">
        <v>47430</v>
      </c>
      <c r="S4131" t="s">
        <v>47549</v>
      </c>
      <c r="T4131" t="s">
        <v>49237</v>
      </c>
      <c r="U4131" t="s">
        <v>53176</v>
      </c>
      <c r="W4131" t="s">
        <v>44795</v>
      </c>
      <c r="X4131" t="s">
        <v>47431</v>
      </c>
    </row>
    <row r="4132" spans="1:24">
      <c r="A4132">
        <f>HYPERLINK("https://www.philgeps.gov.ph/GEPSNONPILOT/Tender/SplashBidNoticeAbstractUI.aspx?menuIndex=3&amp;refID=7158791&amp;Result=3","7158791")</f>
        <v>0</v>
      </c>
      <c r="B4132" t="s">
        <v>207</v>
      </c>
      <c r="C4132" t="s">
        <v>7783</v>
      </c>
      <c r="D4132" t="s">
        <v>19050</v>
      </c>
      <c r="E4132" t="s">
        <v>22785</v>
      </c>
      <c r="F4132" t="s">
        <v>32831</v>
      </c>
      <c r="G4132" t="s">
        <v>32838</v>
      </c>
      <c r="H4132" t="s">
        <v>32848</v>
      </c>
      <c r="I4132" t="s">
        <v>4776</v>
      </c>
      <c r="J4132" t="s">
        <v>33007</v>
      </c>
      <c r="K4132" t="s">
        <v>42732</v>
      </c>
      <c r="M4132" t="s">
        <v>43205</v>
      </c>
      <c r="N4132" t="s">
        <v>47424</v>
      </c>
      <c r="O4132" t="s">
        <v>47425</v>
      </c>
      <c r="P4132">
        <v>0</v>
      </c>
      <c r="Q4132">
        <v>4</v>
      </c>
      <c r="R4132" t="s">
        <v>47430</v>
      </c>
      <c r="S4132" t="s">
        <v>47549</v>
      </c>
      <c r="T4132" t="s">
        <v>49111</v>
      </c>
      <c r="U4132" t="s">
        <v>53139</v>
      </c>
      <c r="W4132" t="s">
        <v>64481</v>
      </c>
      <c r="X4132" t="s">
        <v>47431</v>
      </c>
    </row>
    <row r="4133" spans="1:24">
      <c r="A4133">
        <f>HYPERLINK("https://www.philgeps.gov.ph/GEPSNONPILOT/Tender/SplashBidNoticeAbstractUI.aspx?menuIndex=3&amp;refID=7158788&amp;Result=3","7158788")</f>
        <v>0</v>
      </c>
      <c r="B4133" t="s">
        <v>105</v>
      </c>
      <c r="C4133" t="s">
        <v>7823</v>
      </c>
      <c r="D4133" t="s">
        <v>19027</v>
      </c>
      <c r="E4133" t="s">
        <v>22786</v>
      </c>
      <c r="F4133" t="s">
        <v>32831</v>
      </c>
      <c r="G4133" t="s">
        <v>32839</v>
      </c>
      <c r="H4133" t="s">
        <v>32848</v>
      </c>
      <c r="I4133" t="s">
        <v>9281</v>
      </c>
      <c r="J4133" t="s">
        <v>35679</v>
      </c>
      <c r="K4133" t="s">
        <v>42745</v>
      </c>
      <c r="M4133" t="s">
        <v>43102</v>
      </c>
      <c r="N4133" t="s">
        <v>47424</v>
      </c>
      <c r="O4133" t="s">
        <v>47425</v>
      </c>
      <c r="P4133">
        <v>0</v>
      </c>
      <c r="Q4133">
        <v>2</v>
      </c>
      <c r="R4133" t="s">
        <v>47430</v>
      </c>
      <c r="S4133" t="s">
        <v>47549</v>
      </c>
      <c r="T4133" t="s">
        <v>49073</v>
      </c>
      <c r="U4133" t="s">
        <v>53177</v>
      </c>
      <c r="W4133" t="s">
        <v>43102</v>
      </c>
      <c r="X4133" t="s">
        <v>47431</v>
      </c>
    </row>
    <row r="4134" spans="1:24">
      <c r="A4134">
        <f>HYPERLINK("https://www.philgeps.gov.ph/GEPSNONPILOT/Tender/SplashBidNoticeAbstractUI.aspx?menuIndex=3&amp;refID=7158760&amp;Result=3","7158760")</f>
        <v>0</v>
      </c>
      <c r="B4134" t="s">
        <v>662</v>
      </c>
      <c r="C4134" t="s">
        <v>6829</v>
      </c>
      <c r="D4134" t="s">
        <v>19095</v>
      </c>
      <c r="E4134" t="s">
        <v>22787</v>
      </c>
      <c r="F4134" t="s">
        <v>32831</v>
      </c>
      <c r="G4134" t="s">
        <v>32838</v>
      </c>
      <c r="H4134" t="s">
        <v>32848</v>
      </c>
      <c r="I4134" t="s">
        <v>4558</v>
      </c>
      <c r="J4134" t="s">
        <v>35680</v>
      </c>
      <c r="K4134" t="s">
        <v>42727</v>
      </c>
      <c r="M4134" t="s">
        <v>43680</v>
      </c>
      <c r="N4134" t="s">
        <v>47424</v>
      </c>
      <c r="O4134" t="s">
        <v>47425</v>
      </c>
      <c r="P4134">
        <v>0</v>
      </c>
      <c r="Q4134">
        <v>1</v>
      </c>
      <c r="R4134" t="s">
        <v>47430</v>
      </c>
      <c r="S4134" t="s">
        <v>47549</v>
      </c>
      <c r="T4134" t="s">
        <v>49127</v>
      </c>
      <c r="U4134" t="s">
        <v>53178</v>
      </c>
      <c r="W4134" t="s">
        <v>43680</v>
      </c>
      <c r="X4134" t="s">
        <v>47431</v>
      </c>
    </row>
    <row r="4135" spans="1:24">
      <c r="A4135">
        <f>HYPERLINK("https://www.philgeps.gov.ph/GEPSNONPILOT/Tender/SplashBidNoticeAbstractUI.aspx?menuIndex=3&amp;refID=7158784&amp;Result=3","7158784")</f>
        <v>0</v>
      </c>
      <c r="B4135" t="s">
        <v>1678</v>
      </c>
      <c r="C4135" t="s">
        <v>7824</v>
      </c>
      <c r="D4135" t="s">
        <v>19017</v>
      </c>
      <c r="E4135" t="s">
        <v>22788</v>
      </c>
      <c r="F4135" t="s">
        <v>32833</v>
      </c>
      <c r="G4135" t="s">
        <v>32839</v>
      </c>
      <c r="H4135" t="s">
        <v>32848</v>
      </c>
      <c r="I4135" t="s">
        <v>32919</v>
      </c>
      <c r="J4135" t="s">
        <v>35681</v>
      </c>
      <c r="K4135" t="s">
        <v>42750</v>
      </c>
      <c r="M4135" t="s">
        <v>44796</v>
      </c>
      <c r="N4135" t="s">
        <v>47424</v>
      </c>
      <c r="O4135" t="s">
        <v>47425</v>
      </c>
      <c r="P4135">
        <v>0</v>
      </c>
      <c r="Q4135">
        <v>0</v>
      </c>
      <c r="R4135" t="s">
        <v>47430</v>
      </c>
      <c r="S4135" t="s">
        <v>47549</v>
      </c>
      <c r="T4135" t="s">
        <v>49136</v>
      </c>
      <c r="U4135" t="s">
        <v>53179</v>
      </c>
      <c r="W4135" t="s">
        <v>44796</v>
      </c>
      <c r="X4135" t="s">
        <v>47431</v>
      </c>
    </row>
    <row r="4136" spans="1:24">
      <c r="A4136">
        <f>HYPERLINK("https://www.philgeps.gov.ph/GEPSNONPILOT/Tender/SplashBidNoticeAbstractUI.aspx?menuIndex=3&amp;refID=7158799&amp;Result=3","7158799")</f>
        <v>0</v>
      </c>
      <c r="B4136" t="s">
        <v>1661</v>
      </c>
      <c r="C4136" t="s">
        <v>7825</v>
      </c>
      <c r="D4136" t="s">
        <v>19063</v>
      </c>
      <c r="E4136" t="s">
        <v>22789</v>
      </c>
      <c r="F4136" t="s">
        <v>32831</v>
      </c>
      <c r="G4136" t="s">
        <v>32839</v>
      </c>
      <c r="H4136" t="s">
        <v>32848</v>
      </c>
      <c r="I4136" t="s">
        <v>7416</v>
      </c>
      <c r="J4136" t="s">
        <v>35682</v>
      </c>
      <c r="K4136" t="s">
        <v>42729</v>
      </c>
      <c r="M4136" t="s">
        <v>44778</v>
      </c>
      <c r="N4136" t="s">
        <v>47424</v>
      </c>
      <c r="O4136" t="s">
        <v>47425</v>
      </c>
      <c r="P4136">
        <v>0</v>
      </c>
      <c r="Q4136">
        <v>0</v>
      </c>
      <c r="R4136" t="s">
        <v>47430</v>
      </c>
      <c r="S4136" t="s">
        <v>47549</v>
      </c>
      <c r="T4136" t="s">
        <v>49129</v>
      </c>
      <c r="U4136" t="s">
        <v>53180</v>
      </c>
      <c r="W4136" t="s">
        <v>44778</v>
      </c>
      <c r="X4136" t="s">
        <v>47431</v>
      </c>
    </row>
    <row r="4137" spans="1:24">
      <c r="A4137">
        <f>HYPERLINK("https://www.philgeps.gov.ph/GEPSNONPILOT/Tender/SplashBidNoticeAbstractUI.aspx?menuIndex=3&amp;refID=7158787&amp;Result=3","7158787")</f>
        <v>0</v>
      </c>
      <c r="B4137" t="s">
        <v>816</v>
      </c>
      <c r="C4137" t="s">
        <v>7826</v>
      </c>
      <c r="D4137" t="s">
        <v>19045</v>
      </c>
      <c r="E4137" t="s">
        <v>22790</v>
      </c>
      <c r="F4137" t="s">
        <v>32831</v>
      </c>
      <c r="G4137" t="s">
        <v>32838</v>
      </c>
      <c r="H4137" t="s">
        <v>32848</v>
      </c>
      <c r="I4137" t="s">
        <v>11484</v>
      </c>
      <c r="J4137" t="s">
        <v>33025</v>
      </c>
      <c r="K4137" t="s">
        <v>42748</v>
      </c>
      <c r="M4137" t="s">
        <v>43847</v>
      </c>
      <c r="N4137" t="s">
        <v>47424</v>
      </c>
      <c r="O4137" t="s">
        <v>47425</v>
      </c>
      <c r="P4137">
        <v>0</v>
      </c>
      <c r="Q4137">
        <v>0</v>
      </c>
      <c r="R4137" t="s">
        <v>47430</v>
      </c>
      <c r="S4137" t="s">
        <v>47549</v>
      </c>
      <c r="T4137" t="s">
        <v>49166</v>
      </c>
      <c r="U4137" t="s">
        <v>53181</v>
      </c>
      <c r="W4137" t="s">
        <v>43847</v>
      </c>
      <c r="X4137" t="s">
        <v>47431</v>
      </c>
    </row>
    <row r="4138" spans="1:24">
      <c r="A4138">
        <f>HYPERLINK("https://www.philgeps.gov.ph/GEPSNONPILOT/Tender/SplashBidNoticeAbstractUI.aspx?menuIndex=3&amp;refID=7158777&amp;Result=3","7158777")</f>
        <v>0</v>
      </c>
      <c r="B4138" t="s">
        <v>261</v>
      </c>
      <c r="C4138" t="s">
        <v>7827</v>
      </c>
      <c r="D4138" t="s">
        <v>19059</v>
      </c>
      <c r="E4138" t="s">
        <v>22791</v>
      </c>
      <c r="F4138" t="s">
        <v>32831</v>
      </c>
      <c r="G4138" t="s">
        <v>32839</v>
      </c>
      <c r="H4138" t="s">
        <v>32849</v>
      </c>
      <c r="I4138" t="s">
        <v>4177</v>
      </c>
      <c r="J4138" t="s">
        <v>35683</v>
      </c>
      <c r="K4138" t="s">
        <v>42726</v>
      </c>
      <c r="M4138" t="s">
        <v>43260</v>
      </c>
      <c r="N4138" t="s">
        <v>47424</v>
      </c>
      <c r="O4138" t="s">
        <v>47425</v>
      </c>
      <c r="P4138">
        <v>0</v>
      </c>
      <c r="Q4138">
        <v>0</v>
      </c>
      <c r="R4138" t="s">
        <v>47430</v>
      </c>
      <c r="S4138" t="s">
        <v>47549</v>
      </c>
      <c r="T4138" t="s">
        <v>49091</v>
      </c>
      <c r="U4138" t="s">
        <v>53182</v>
      </c>
      <c r="V4138" t="s">
        <v>63082</v>
      </c>
      <c r="W4138" t="s">
        <v>43260</v>
      </c>
      <c r="X4138" t="s">
        <v>47431</v>
      </c>
    </row>
    <row r="4139" spans="1:24">
      <c r="A4139">
        <f>HYPERLINK("https://www.philgeps.gov.ph/GEPSNONPILOT/Tender/SplashBidNoticeAbstractUI.aspx?menuIndex=3&amp;refID=7158834&amp;Result=3","7158834")</f>
        <v>0</v>
      </c>
      <c r="B4139" t="s">
        <v>1679</v>
      </c>
      <c r="C4139" t="s">
        <v>7828</v>
      </c>
      <c r="D4139" t="s">
        <v>19052</v>
      </c>
      <c r="E4139" t="s">
        <v>22792</v>
      </c>
      <c r="F4139" t="s">
        <v>32831</v>
      </c>
      <c r="G4139" t="s">
        <v>32839</v>
      </c>
      <c r="H4139" t="s">
        <v>32848</v>
      </c>
      <c r="I4139" t="s">
        <v>4558</v>
      </c>
      <c r="J4139" t="s">
        <v>35684</v>
      </c>
      <c r="K4139" t="s">
        <v>42731</v>
      </c>
      <c r="M4139" t="s">
        <v>44797</v>
      </c>
      <c r="N4139" t="s">
        <v>47424</v>
      </c>
      <c r="O4139" t="s">
        <v>47425</v>
      </c>
      <c r="P4139">
        <v>0</v>
      </c>
      <c r="Q4139">
        <v>5</v>
      </c>
      <c r="R4139" t="s">
        <v>47430</v>
      </c>
      <c r="S4139" t="s">
        <v>47549</v>
      </c>
      <c r="T4139" t="s">
        <v>49129</v>
      </c>
      <c r="U4139" t="s">
        <v>53183</v>
      </c>
      <c r="V4139" t="s">
        <v>63083</v>
      </c>
      <c r="W4139" t="s">
        <v>44797</v>
      </c>
      <c r="X4139" t="s">
        <v>47431</v>
      </c>
    </row>
    <row r="4140" spans="1:24">
      <c r="A4140">
        <f>HYPERLINK("https://www.philgeps.gov.ph/GEPSNONPILOT/Tender/SplashBidNoticeAbstractUI.aspx?menuIndex=3&amp;refID=7158832&amp;Result=3","7158832")</f>
        <v>0</v>
      </c>
      <c r="B4140" t="s">
        <v>677</v>
      </c>
      <c r="C4140" t="s">
        <v>7829</v>
      </c>
      <c r="D4140" t="s">
        <v>19024</v>
      </c>
      <c r="E4140" t="s">
        <v>22793</v>
      </c>
      <c r="F4140" t="s">
        <v>32831</v>
      </c>
      <c r="G4140" t="s">
        <v>32839</v>
      </c>
      <c r="H4140" t="s">
        <v>32848</v>
      </c>
      <c r="I4140" t="s">
        <v>4487</v>
      </c>
      <c r="J4140" t="s">
        <v>35685</v>
      </c>
      <c r="K4140" t="s">
        <v>42730</v>
      </c>
      <c r="M4140" t="s">
        <v>43696</v>
      </c>
      <c r="N4140" t="s">
        <v>47424</v>
      </c>
      <c r="O4140" t="s">
        <v>47425</v>
      </c>
      <c r="P4140">
        <v>0</v>
      </c>
      <c r="Q4140">
        <v>2</v>
      </c>
      <c r="R4140" t="s">
        <v>47430</v>
      </c>
      <c r="S4140" t="s">
        <v>47549</v>
      </c>
      <c r="T4140" t="s">
        <v>49066</v>
      </c>
      <c r="U4140" t="s">
        <v>53184</v>
      </c>
      <c r="W4140" t="s">
        <v>43696</v>
      </c>
      <c r="X4140" t="s">
        <v>47431</v>
      </c>
    </row>
    <row r="4141" spans="1:24">
      <c r="A4141">
        <f>HYPERLINK("https://www.philgeps.gov.ph/GEPSNONPILOT/Tender/SplashBidNoticeAbstractUI.aspx?menuIndex=3&amp;refID=7158796&amp;Result=3","7158796")</f>
        <v>0</v>
      </c>
      <c r="B4141" t="s">
        <v>501</v>
      </c>
      <c r="C4141" t="s">
        <v>7830</v>
      </c>
      <c r="D4141" t="s">
        <v>19017</v>
      </c>
      <c r="E4141" t="s">
        <v>22794</v>
      </c>
      <c r="F4141" t="s">
        <v>32831</v>
      </c>
      <c r="G4141" t="s">
        <v>32838</v>
      </c>
      <c r="H4141" t="s">
        <v>32848</v>
      </c>
      <c r="I4141" t="s">
        <v>7416</v>
      </c>
      <c r="J4141" t="s">
        <v>35686</v>
      </c>
      <c r="K4141" t="s">
        <v>42730</v>
      </c>
      <c r="M4141" t="s">
        <v>44798</v>
      </c>
      <c r="N4141" t="s">
        <v>47424</v>
      </c>
      <c r="O4141" t="s">
        <v>47425</v>
      </c>
      <c r="P4141">
        <v>0</v>
      </c>
      <c r="Q4141">
        <v>4</v>
      </c>
      <c r="R4141" t="s">
        <v>47430</v>
      </c>
      <c r="S4141" t="s">
        <v>47549</v>
      </c>
      <c r="T4141" t="s">
        <v>49114</v>
      </c>
      <c r="U4141" t="s">
        <v>53185</v>
      </c>
      <c r="W4141" t="s">
        <v>44798</v>
      </c>
      <c r="X4141" t="s">
        <v>47431</v>
      </c>
    </row>
    <row r="4142" spans="1:24">
      <c r="A4142">
        <f>HYPERLINK("https://www.philgeps.gov.ph/GEPSNONPILOT/Tender/SplashBidNoticeAbstractUI.aspx?menuIndex=3&amp;refID=7158830&amp;Result=3","7158830")</f>
        <v>0</v>
      </c>
      <c r="B4142" t="s">
        <v>1060</v>
      </c>
      <c r="C4142" t="s">
        <v>7831</v>
      </c>
      <c r="D4142" t="s">
        <v>19036</v>
      </c>
      <c r="E4142" t="s">
        <v>22795</v>
      </c>
      <c r="F4142" t="s">
        <v>32831</v>
      </c>
      <c r="G4142" t="s">
        <v>32839</v>
      </c>
      <c r="H4142" t="s">
        <v>32849</v>
      </c>
      <c r="I4142" t="s">
        <v>4177</v>
      </c>
      <c r="J4142" t="s">
        <v>35687</v>
      </c>
      <c r="K4142" t="s">
        <v>42764</v>
      </c>
      <c r="M4142" t="s">
        <v>44117</v>
      </c>
      <c r="N4142" t="s">
        <v>47424</v>
      </c>
      <c r="O4142" t="s">
        <v>47425</v>
      </c>
      <c r="P4142">
        <v>0</v>
      </c>
      <c r="Q4142">
        <v>0</v>
      </c>
      <c r="R4142" t="s">
        <v>47430</v>
      </c>
      <c r="S4142" t="s">
        <v>47549</v>
      </c>
      <c r="T4142" t="s">
        <v>49077</v>
      </c>
      <c r="U4142" t="s">
        <v>53186</v>
      </c>
      <c r="W4142" t="s">
        <v>44117</v>
      </c>
      <c r="X4142" t="s">
        <v>47431</v>
      </c>
    </row>
    <row r="4143" spans="1:24">
      <c r="A4143">
        <f>HYPERLINK("https://www.philgeps.gov.ph/GEPSNONPILOT/Tender/SplashBidNoticeAbstractUI.aspx?menuIndex=3&amp;refID=7158829&amp;Result=3","7158829")</f>
        <v>0</v>
      </c>
      <c r="B4143" t="s">
        <v>207</v>
      </c>
      <c r="C4143" t="s">
        <v>7783</v>
      </c>
      <c r="D4143" t="s">
        <v>19050</v>
      </c>
      <c r="E4143" t="s">
        <v>22796</v>
      </c>
      <c r="F4143" t="s">
        <v>32831</v>
      </c>
      <c r="G4143" t="s">
        <v>32838</v>
      </c>
      <c r="H4143" t="s">
        <v>32848</v>
      </c>
      <c r="I4143" t="s">
        <v>4776</v>
      </c>
      <c r="J4143" t="s">
        <v>33007</v>
      </c>
      <c r="K4143" t="s">
        <v>42732</v>
      </c>
      <c r="M4143" t="s">
        <v>43205</v>
      </c>
      <c r="N4143" t="s">
        <v>47424</v>
      </c>
      <c r="O4143" t="s">
        <v>47425</v>
      </c>
      <c r="P4143">
        <v>0</v>
      </c>
      <c r="Q4143">
        <v>3</v>
      </c>
      <c r="R4143" t="s">
        <v>47430</v>
      </c>
      <c r="S4143" t="s">
        <v>47549</v>
      </c>
      <c r="T4143" t="s">
        <v>49111</v>
      </c>
      <c r="U4143" t="s">
        <v>53139</v>
      </c>
      <c r="W4143" t="s">
        <v>64481</v>
      </c>
      <c r="X4143" t="s">
        <v>47431</v>
      </c>
    </row>
    <row r="4144" spans="1:24">
      <c r="A4144">
        <f>HYPERLINK("https://www.philgeps.gov.ph/GEPSNONPILOT/Tender/SplashBidNoticeAbstractUI.aspx?menuIndex=3&amp;refID=7158783&amp;Result=3","7158783")</f>
        <v>0</v>
      </c>
      <c r="B4144" t="s">
        <v>1254</v>
      </c>
      <c r="C4144" t="s">
        <v>7832</v>
      </c>
      <c r="D4144" t="s">
        <v>19041</v>
      </c>
      <c r="E4144" t="s">
        <v>22797</v>
      </c>
      <c r="F4144" t="s">
        <v>32831</v>
      </c>
      <c r="G4144" t="s">
        <v>32838</v>
      </c>
      <c r="H4144" t="s">
        <v>32848</v>
      </c>
      <c r="I4144" t="s">
        <v>9577</v>
      </c>
      <c r="J4144" t="s">
        <v>35688</v>
      </c>
      <c r="K4144" t="s">
        <v>42758</v>
      </c>
      <c r="M4144" t="s">
        <v>44324</v>
      </c>
      <c r="N4144" t="s">
        <v>47424</v>
      </c>
      <c r="O4144" t="s">
        <v>47425</v>
      </c>
      <c r="P4144">
        <v>0</v>
      </c>
      <c r="Q4144">
        <v>0</v>
      </c>
      <c r="R4144" t="s">
        <v>47430</v>
      </c>
      <c r="S4144" t="s">
        <v>47549</v>
      </c>
      <c r="T4144" t="s">
        <v>49111</v>
      </c>
      <c r="U4144" t="s">
        <v>53187</v>
      </c>
      <c r="V4144" t="s">
        <v>63084</v>
      </c>
      <c r="W4144" t="s">
        <v>44324</v>
      </c>
      <c r="X4144" t="s">
        <v>47431</v>
      </c>
    </row>
    <row r="4145" spans="1:24">
      <c r="A4145">
        <f>HYPERLINK("https://www.philgeps.gov.ph/GEPSNONPILOT/Tender/SplashBidNoticeAbstractUI.aspx?menuIndex=3&amp;refID=7158820&amp;Result=3","7158820")</f>
        <v>0</v>
      </c>
      <c r="B4145" t="s">
        <v>501</v>
      </c>
      <c r="C4145" t="s">
        <v>7833</v>
      </c>
      <c r="D4145" t="s">
        <v>19017</v>
      </c>
      <c r="E4145" t="s">
        <v>22798</v>
      </c>
      <c r="F4145" t="s">
        <v>32831</v>
      </c>
      <c r="G4145" t="s">
        <v>32838</v>
      </c>
      <c r="H4145" t="s">
        <v>32848</v>
      </c>
      <c r="I4145" t="s">
        <v>4471</v>
      </c>
      <c r="J4145" t="s">
        <v>32979</v>
      </c>
      <c r="K4145" t="s">
        <v>42730</v>
      </c>
      <c r="M4145" t="s">
        <v>44798</v>
      </c>
      <c r="N4145" t="s">
        <v>47424</v>
      </c>
      <c r="O4145" t="s">
        <v>47425</v>
      </c>
      <c r="P4145">
        <v>0</v>
      </c>
      <c r="Q4145">
        <v>18</v>
      </c>
      <c r="R4145" t="s">
        <v>47430</v>
      </c>
      <c r="S4145" t="s">
        <v>47549</v>
      </c>
      <c r="T4145" t="s">
        <v>49114</v>
      </c>
      <c r="U4145" t="s">
        <v>53185</v>
      </c>
      <c r="W4145" t="s">
        <v>44798</v>
      </c>
      <c r="X4145" t="s">
        <v>47431</v>
      </c>
    </row>
    <row r="4146" spans="1:24">
      <c r="A4146">
        <f>HYPERLINK("https://www.philgeps.gov.ph/GEPSNONPILOT/Tender/SplashBidNoticeAbstractUI.aspx?menuIndex=3&amp;refID=7158818&amp;Result=3","7158818")</f>
        <v>0</v>
      </c>
      <c r="B4146" t="s">
        <v>1680</v>
      </c>
      <c r="C4146" t="s">
        <v>7834</v>
      </c>
      <c r="D4146" t="s">
        <v>19054</v>
      </c>
      <c r="E4146" t="s">
        <v>19183</v>
      </c>
      <c r="F4146" t="s">
        <v>32833</v>
      </c>
      <c r="G4146" t="s">
        <v>32839</v>
      </c>
      <c r="H4146" t="s">
        <v>32849</v>
      </c>
      <c r="I4146" t="s">
        <v>7416</v>
      </c>
      <c r="J4146" t="s">
        <v>33140</v>
      </c>
      <c r="K4146" t="s">
        <v>42727</v>
      </c>
      <c r="M4146" t="s">
        <v>44799</v>
      </c>
      <c r="N4146" t="s">
        <v>47424</v>
      </c>
      <c r="O4146" t="s">
        <v>47425</v>
      </c>
      <c r="P4146">
        <v>0</v>
      </c>
      <c r="Q4146">
        <v>1</v>
      </c>
      <c r="R4146" t="s">
        <v>47430</v>
      </c>
      <c r="S4146" t="s">
        <v>47549</v>
      </c>
      <c r="T4146" t="s">
        <v>49140</v>
      </c>
      <c r="U4146" t="s">
        <v>53188</v>
      </c>
      <c r="W4146" t="s">
        <v>44799</v>
      </c>
      <c r="X4146" t="s">
        <v>47431</v>
      </c>
    </row>
    <row r="4147" spans="1:24">
      <c r="A4147">
        <f>HYPERLINK("https://www.philgeps.gov.ph/GEPSNONPILOT/Tender/SplashBidNoticeAbstractUI.aspx?menuIndex=3&amp;refID=7158780&amp;Result=3","7158780")</f>
        <v>0</v>
      </c>
      <c r="B4147" t="s">
        <v>1060</v>
      </c>
      <c r="C4147" t="s">
        <v>7835</v>
      </c>
      <c r="D4147" t="s">
        <v>19036</v>
      </c>
      <c r="E4147" t="s">
        <v>22799</v>
      </c>
      <c r="F4147" t="s">
        <v>32831</v>
      </c>
      <c r="G4147" t="s">
        <v>32839</v>
      </c>
      <c r="H4147" t="s">
        <v>32849</v>
      </c>
      <c r="I4147" t="s">
        <v>4177</v>
      </c>
      <c r="J4147" t="s">
        <v>35689</v>
      </c>
      <c r="K4147" t="s">
        <v>42768</v>
      </c>
      <c r="M4147" t="s">
        <v>44117</v>
      </c>
      <c r="N4147" t="s">
        <v>47424</v>
      </c>
      <c r="O4147" t="s">
        <v>47425</v>
      </c>
      <c r="P4147">
        <v>0</v>
      </c>
      <c r="Q4147">
        <v>0</v>
      </c>
      <c r="R4147" t="s">
        <v>47430</v>
      </c>
      <c r="S4147" t="s">
        <v>47549</v>
      </c>
      <c r="T4147" t="s">
        <v>49077</v>
      </c>
      <c r="U4147" t="s">
        <v>53189</v>
      </c>
      <c r="W4147" t="s">
        <v>44117</v>
      </c>
      <c r="X4147" t="s">
        <v>47431</v>
      </c>
    </row>
    <row r="4148" spans="1:24">
      <c r="A4148">
        <f>HYPERLINK("https://www.philgeps.gov.ph/GEPSNONPILOT/Tender/SplashBidNoticeAbstractUI.aspx?menuIndex=3&amp;refID=7158817&amp;Result=3","7158817")</f>
        <v>0</v>
      </c>
      <c r="B4148" t="s">
        <v>1681</v>
      </c>
      <c r="C4148" t="s">
        <v>7836</v>
      </c>
      <c r="D4148" t="s">
        <v>19030</v>
      </c>
      <c r="E4148" t="s">
        <v>22800</v>
      </c>
      <c r="F4148" t="s">
        <v>32831</v>
      </c>
      <c r="G4148" t="s">
        <v>32838</v>
      </c>
      <c r="H4148" t="s">
        <v>32848</v>
      </c>
      <c r="I4148" t="s">
        <v>4438</v>
      </c>
      <c r="J4148" t="s">
        <v>33178</v>
      </c>
      <c r="K4148" t="s">
        <v>42748</v>
      </c>
      <c r="M4148" t="s">
        <v>44800</v>
      </c>
      <c r="N4148" t="s">
        <v>47424</v>
      </c>
      <c r="O4148" t="s">
        <v>47425</v>
      </c>
      <c r="P4148">
        <v>0</v>
      </c>
      <c r="Q4148">
        <v>2</v>
      </c>
      <c r="R4148" t="s">
        <v>47430</v>
      </c>
      <c r="S4148" t="s">
        <v>47549</v>
      </c>
      <c r="T4148" t="s">
        <v>49061</v>
      </c>
      <c r="U4148" t="s">
        <v>53190</v>
      </c>
      <c r="W4148" t="s">
        <v>44800</v>
      </c>
      <c r="X4148" t="s">
        <v>47431</v>
      </c>
    </row>
    <row r="4149" spans="1:24">
      <c r="A4149">
        <f>HYPERLINK("https://www.philgeps.gov.ph/GEPSNONPILOT/Tender/SplashBidNoticeAbstractUI.aspx?menuIndex=3&amp;refID=7158814&amp;Result=3","7158814")</f>
        <v>0</v>
      </c>
      <c r="B4149" t="s">
        <v>1682</v>
      </c>
      <c r="C4149" t="s">
        <v>7837</v>
      </c>
      <c r="D4149" t="s">
        <v>19035</v>
      </c>
      <c r="E4149" t="s">
        <v>22801</v>
      </c>
      <c r="F4149" t="s">
        <v>32831</v>
      </c>
      <c r="G4149" t="s">
        <v>32839</v>
      </c>
      <c r="H4149" t="s">
        <v>32850</v>
      </c>
      <c r="I4149" t="s">
        <v>32949</v>
      </c>
      <c r="J4149" t="s">
        <v>35690</v>
      </c>
      <c r="K4149" t="s">
        <v>42775</v>
      </c>
      <c r="M4149" t="s">
        <v>44801</v>
      </c>
      <c r="N4149" t="s">
        <v>47424</v>
      </c>
      <c r="O4149" t="s">
        <v>47425</v>
      </c>
      <c r="P4149">
        <v>0</v>
      </c>
      <c r="Q4149">
        <v>1</v>
      </c>
      <c r="R4149" t="s">
        <v>47430</v>
      </c>
      <c r="S4149" t="s">
        <v>47549</v>
      </c>
      <c r="T4149" t="s">
        <v>49267</v>
      </c>
      <c r="U4149" t="s">
        <v>53191</v>
      </c>
      <c r="V4149" t="s">
        <v>63085</v>
      </c>
      <c r="W4149" t="s">
        <v>44801</v>
      </c>
      <c r="X4149" t="s">
        <v>47431</v>
      </c>
    </row>
    <row r="4150" spans="1:24">
      <c r="A4150">
        <f>HYPERLINK("https://www.philgeps.gov.ph/GEPSNONPILOT/Tender/SplashBidNoticeAbstractUI.aspx?menuIndex=3&amp;refID=7158812&amp;Result=3","7158812")</f>
        <v>0</v>
      </c>
      <c r="B4150" t="s">
        <v>1677</v>
      </c>
      <c r="C4150" t="s">
        <v>7838</v>
      </c>
      <c r="E4150" t="s">
        <v>22802</v>
      </c>
      <c r="F4150" t="s">
        <v>32831</v>
      </c>
      <c r="G4150" t="s">
        <v>32840</v>
      </c>
      <c r="H4150" t="s">
        <v>32848</v>
      </c>
      <c r="I4150" t="s">
        <v>7416</v>
      </c>
      <c r="J4150" t="s">
        <v>35691</v>
      </c>
      <c r="K4150" t="s">
        <v>42726</v>
      </c>
      <c r="M4150" t="s">
        <v>44802</v>
      </c>
      <c r="N4150" t="s">
        <v>47424</v>
      </c>
      <c r="O4150" t="s">
        <v>47425</v>
      </c>
      <c r="P4150">
        <v>0</v>
      </c>
      <c r="Q4150">
        <v>1</v>
      </c>
      <c r="R4150" t="s">
        <v>47430</v>
      </c>
      <c r="S4150" t="s">
        <v>47549</v>
      </c>
      <c r="T4150" t="s">
        <v>49237</v>
      </c>
      <c r="U4150" t="s">
        <v>53176</v>
      </c>
      <c r="W4150" t="s">
        <v>44795</v>
      </c>
      <c r="X4150" t="s">
        <v>47431</v>
      </c>
    </row>
    <row r="4151" spans="1:24">
      <c r="A4151">
        <f>HYPERLINK("https://www.philgeps.gov.ph/GEPSNONPILOT/Tender/SplashBidNoticeAbstractUI.aspx?menuIndex=3&amp;refID=7158807&amp;Result=3","7158807")</f>
        <v>0</v>
      </c>
      <c r="B4151" t="s">
        <v>1683</v>
      </c>
      <c r="C4151" t="s">
        <v>7839</v>
      </c>
      <c r="D4151" t="s">
        <v>19021</v>
      </c>
      <c r="E4151" t="s">
        <v>22803</v>
      </c>
      <c r="F4151" t="s">
        <v>32831</v>
      </c>
      <c r="G4151" t="s">
        <v>32839</v>
      </c>
      <c r="H4151" t="s">
        <v>32848</v>
      </c>
      <c r="I4151" t="s">
        <v>4303</v>
      </c>
      <c r="J4151" t="s">
        <v>35692</v>
      </c>
      <c r="K4151" t="s">
        <v>42730</v>
      </c>
      <c r="M4151" t="s">
        <v>44803</v>
      </c>
      <c r="N4151" t="s">
        <v>47424</v>
      </c>
      <c r="O4151" t="s">
        <v>47425</v>
      </c>
      <c r="P4151">
        <v>0</v>
      </c>
      <c r="Q4151">
        <v>0</v>
      </c>
      <c r="R4151" t="s">
        <v>47430</v>
      </c>
      <c r="S4151" t="s">
        <v>47549</v>
      </c>
      <c r="T4151" t="s">
        <v>49124</v>
      </c>
      <c r="U4151" t="s">
        <v>53192</v>
      </c>
      <c r="V4151" t="s">
        <v>63086</v>
      </c>
      <c r="W4151" t="s">
        <v>44803</v>
      </c>
      <c r="X4151" t="s">
        <v>47431</v>
      </c>
    </row>
    <row r="4152" spans="1:24">
      <c r="A4152">
        <f>HYPERLINK("https://www.philgeps.gov.ph/GEPSNONPILOT/Tender/SplashBidNoticeAbstractUI.aspx?menuIndex=3&amp;refID=7158824&amp;Result=3","7158824")</f>
        <v>0</v>
      </c>
      <c r="B4152" t="s">
        <v>1155</v>
      </c>
      <c r="C4152" t="s">
        <v>7840</v>
      </c>
      <c r="D4152" t="s">
        <v>19034</v>
      </c>
      <c r="E4152" t="s">
        <v>22804</v>
      </c>
      <c r="F4152" t="s">
        <v>32831</v>
      </c>
      <c r="G4152" t="s">
        <v>32839</v>
      </c>
      <c r="H4152" t="s">
        <v>32848</v>
      </c>
      <c r="I4152" t="s">
        <v>32859</v>
      </c>
      <c r="J4152" t="s">
        <v>35693</v>
      </c>
      <c r="K4152" t="s">
        <v>42729</v>
      </c>
      <c r="M4152" t="s">
        <v>44220</v>
      </c>
      <c r="N4152" t="s">
        <v>47424</v>
      </c>
      <c r="O4152" t="s">
        <v>47425</v>
      </c>
      <c r="P4152">
        <v>0</v>
      </c>
      <c r="Q4152">
        <v>0</v>
      </c>
      <c r="R4152" t="s">
        <v>47430</v>
      </c>
      <c r="S4152" t="s">
        <v>47549</v>
      </c>
      <c r="T4152" t="s">
        <v>49295</v>
      </c>
      <c r="U4152" t="s">
        <v>53193</v>
      </c>
      <c r="W4152" t="s">
        <v>44220</v>
      </c>
      <c r="X4152" t="s">
        <v>47431</v>
      </c>
    </row>
    <row r="4153" spans="1:24">
      <c r="A4153">
        <f>HYPERLINK("https://www.philgeps.gov.ph/GEPSNONPILOT/Tender/SplashBidNoticeAbstractUI.aspx?menuIndex=3&amp;refID=7158806&amp;Result=3","7158806")</f>
        <v>0</v>
      </c>
      <c r="B4153" t="s">
        <v>1684</v>
      </c>
      <c r="C4153" t="s">
        <v>7841</v>
      </c>
      <c r="D4153" t="s">
        <v>19022</v>
      </c>
      <c r="E4153" t="s">
        <v>22805</v>
      </c>
      <c r="F4153" t="s">
        <v>32831</v>
      </c>
      <c r="G4153" t="s">
        <v>32838</v>
      </c>
      <c r="H4153" t="s">
        <v>32848</v>
      </c>
      <c r="I4153" t="s">
        <v>32855</v>
      </c>
      <c r="J4153" t="s">
        <v>35694</v>
      </c>
      <c r="K4153" t="s">
        <v>42731</v>
      </c>
      <c r="M4153" t="s">
        <v>44804</v>
      </c>
      <c r="N4153" t="s">
        <v>47424</v>
      </c>
      <c r="O4153" t="s">
        <v>47425</v>
      </c>
      <c r="P4153">
        <v>0</v>
      </c>
      <c r="Q4153">
        <v>4</v>
      </c>
      <c r="R4153" t="s">
        <v>47430</v>
      </c>
      <c r="S4153" t="s">
        <v>47549</v>
      </c>
      <c r="T4153" t="s">
        <v>49253</v>
      </c>
      <c r="U4153" t="s">
        <v>53194</v>
      </c>
      <c r="W4153" t="s">
        <v>44804</v>
      </c>
      <c r="X4153" t="s">
        <v>47431</v>
      </c>
    </row>
    <row r="4154" spans="1:24">
      <c r="A4154">
        <f>HYPERLINK("https://www.philgeps.gov.ph/GEPSNONPILOT/Tender/SplashBidNoticeAbstractUI.aspx?menuIndex=3&amp;refID=7158793&amp;Result=3","7158793")</f>
        <v>0</v>
      </c>
      <c r="B4154" t="s">
        <v>1685</v>
      </c>
      <c r="C4154" t="s">
        <v>7842</v>
      </c>
      <c r="D4154" t="s">
        <v>19037</v>
      </c>
      <c r="E4154" t="s">
        <v>19219</v>
      </c>
      <c r="F4154" t="s">
        <v>32831</v>
      </c>
      <c r="G4154" t="s">
        <v>32841</v>
      </c>
      <c r="H4154" t="s">
        <v>32848</v>
      </c>
      <c r="I4154" t="s">
        <v>4471</v>
      </c>
      <c r="J4154" t="s">
        <v>34070</v>
      </c>
      <c r="K4154" t="s">
        <v>42731</v>
      </c>
      <c r="M4154" t="s">
        <v>44805</v>
      </c>
      <c r="N4154" t="s">
        <v>47424</v>
      </c>
      <c r="O4154" t="s">
        <v>47425</v>
      </c>
      <c r="P4154">
        <v>0</v>
      </c>
      <c r="Q4154">
        <v>0</v>
      </c>
      <c r="R4154" t="s">
        <v>47430</v>
      </c>
      <c r="S4154" t="s">
        <v>47549</v>
      </c>
      <c r="T4154" t="s">
        <v>49056</v>
      </c>
      <c r="U4154" t="s">
        <v>53195</v>
      </c>
      <c r="W4154" t="s">
        <v>44805</v>
      </c>
      <c r="X4154" t="s">
        <v>47431</v>
      </c>
    </row>
    <row r="4155" spans="1:24">
      <c r="A4155">
        <f>HYPERLINK("https://www.philgeps.gov.ph/GEPSNONPILOT/Tender/SplashBidNoticeAbstractUI.aspx?menuIndex=3&amp;refID=7158825&amp;Result=3","7158825")</f>
        <v>0</v>
      </c>
      <c r="B4155" t="s">
        <v>1686</v>
      </c>
      <c r="C4155" t="s">
        <v>7843</v>
      </c>
      <c r="D4155" t="s">
        <v>19070</v>
      </c>
      <c r="E4155" t="s">
        <v>22806</v>
      </c>
      <c r="F4155" t="s">
        <v>32831</v>
      </c>
      <c r="G4155" t="s">
        <v>32838</v>
      </c>
      <c r="H4155" t="s">
        <v>32848</v>
      </c>
      <c r="I4155" t="s">
        <v>4471</v>
      </c>
      <c r="J4155" t="s">
        <v>35695</v>
      </c>
      <c r="K4155" t="s">
        <v>42731</v>
      </c>
      <c r="M4155" t="s">
        <v>44806</v>
      </c>
      <c r="N4155" t="s">
        <v>47424</v>
      </c>
      <c r="O4155" t="s">
        <v>47425</v>
      </c>
      <c r="P4155">
        <v>0</v>
      </c>
      <c r="Q4155">
        <v>1</v>
      </c>
      <c r="R4155" t="s">
        <v>47430</v>
      </c>
      <c r="S4155" t="s">
        <v>47549</v>
      </c>
      <c r="T4155" t="s">
        <v>49166</v>
      </c>
      <c r="U4155" t="s">
        <v>53196</v>
      </c>
      <c r="W4155" t="s">
        <v>44806</v>
      </c>
      <c r="X4155" t="s">
        <v>47431</v>
      </c>
    </row>
    <row r="4156" spans="1:24">
      <c r="A4156">
        <f>HYPERLINK("https://www.philgeps.gov.ph/GEPSNONPILOT/Tender/SplashBidNoticeAbstractUI.aspx?menuIndex=3&amp;refID=7158811&amp;Result=3","7158811")</f>
        <v>0</v>
      </c>
      <c r="B4156" t="s">
        <v>1687</v>
      </c>
      <c r="C4156" t="s">
        <v>7844</v>
      </c>
      <c r="D4156" t="s">
        <v>19060</v>
      </c>
      <c r="E4156" t="s">
        <v>22807</v>
      </c>
      <c r="F4156" t="s">
        <v>32831</v>
      </c>
      <c r="G4156" t="s">
        <v>32840</v>
      </c>
      <c r="H4156" t="s">
        <v>32848</v>
      </c>
      <c r="I4156" t="s">
        <v>9577</v>
      </c>
      <c r="J4156" t="s">
        <v>35696</v>
      </c>
      <c r="K4156" t="s">
        <v>42745</v>
      </c>
      <c r="M4156" t="s">
        <v>44807</v>
      </c>
      <c r="N4156" t="s">
        <v>47424</v>
      </c>
      <c r="O4156" t="s">
        <v>47425</v>
      </c>
      <c r="P4156">
        <v>0</v>
      </c>
      <c r="Q4156">
        <v>1</v>
      </c>
      <c r="R4156" t="s">
        <v>47430</v>
      </c>
      <c r="S4156" t="s">
        <v>47549</v>
      </c>
      <c r="T4156" t="s">
        <v>49129</v>
      </c>
      <c r="U4156" t="s">
        <v>53197</v>
      </c>
      <c r="V4156" t="s">
        <v>63087</v>
      </c>
      <c r="W4156" t="s">
        <v>44807</v>
      </c>
      <c r="X4156" t="s">
        <v>47431</v>
      </c>
    </row>
    <row r="4157" spans="1:24">
      <c r="A4157">
        <f>HYPERLINK("https://www.philgeps.gov.ph/GEPSNONPILOT/Tender/SplashBidNoticeAbstractUI.aspx?menuIndex=3&amp;refID=7158810&amp;Result=3","7158810")</f>
        <v>0</v>
      </c>
      <c r="B4157" t="s">
        <v>1060</v>
      </c>
      <c r="C4157" t="s">
        <v>7845</v>
      </c>
      <c r="D4157" t="s">
        <v>19036</v>
      </c>
      <c r="E4157" t="s">
        <v>22808</v>
      </c>
      <c r="F4157" t="s">
        <v>32831</v>
      </c>
      <c r="G4157" t="s">
        <v>32839</v>
      </c>
      <c r="H4157" t="s">
        <v>32849</v>
      </c>
      <c r="I4157" t="s">
        <v>4177</v>
      </c>
      <c r="J4157" t="s">
        <v>35672</v>
      </c>
      <c r="K4157" t="s">
        <v>42764</v>
      </c>
      <c r="M4157" t="s">
        <v>44117</v>
      </c>
      <c r="N4157" t="s">
        <v>47424</v>
      </c>
      <c r="O4157" t="s">
        <v>47425</v>
      </c>
      <c r="P4157">
        <v>0</v>
      </c>
      <c r="Q4157">
        <v>0</v>
      </c>
      <c r="R4157" t="s">
        <v>47430</v>
      </c>
      <c r="S4157" t="s">
        <v>47549</v>
      </c>
      <c r="T4157" t="s">
        <v>49077</v>
      </c>
      <c r="U4157" t="s">
        <v>53198</v>
      </c>
      <c r="W4157" t="s">
        <v>44117</v>
      </c>
      <c r="X4157" t="s">
        <v>47431</v>
      </c>
    </row>
    <row r="4158" spans="1:24">
      <c r="A4158">
        <f>HYPERLINK("https://www.philgeps.gov.ph/GEPSNONPILOT/Tender/SplashBidNoticeAbstractUI.aspx?menuIndex=3&amp;refID=7158801&amp;Result=3","7158801")</f>
        <v>0</v>
      </c>
      <c r="B4158" t="s">
        <v>513</v>
      </c>
      <c r="C4158" t="s">
        <v>4980</v>
      </c>
      <c r="D4158" t="s">
        <v>19018</v>
      </c>
      <c r="E4158" t="s">
        <v>20483</v>
      </c>
      <c r="F4158" t="s">
        <v>32831</v>
      </c>
      <c r="G4158" t="s">
        <v>32842</v>
      </c>
      <c r="H4158" t="s">
        <v>32848</v>
      </c>
      <c r="I4158" t="s">
        <v>4340</v>
      </c>
      <c r="J4158" t="s">
        <v>35697</v>
      </c>
      <c r="K4158" t="s">
        <v>42726</v>
      </c>
      <c r="M4158" t="s">
        <v>43518</v>
      </c>
      <c r="N4158" t="s">
        <v>47424</v>
      </c>
      <c r="O4158" t="s">
        <v>47425</v>
      </c>
      <c r="P4158">
        <v>0</v>
      </c>
      <c r="Q4158">
        <v>0</v>
      </c>
      <c r="R4158" t="s">
        <v>47430</v>
      </c>
      <c r="S4158" t="s">
        <v>47549</v>
      </c>
      <c r="T4158" t="s">
        <v>49214</v>
      </c>
      <c r="U4158" t="s">
        <v>50603</v>
      </c>
      <c r="V4158" t="s">
        <v>63088</v>
      </c>
      <c r="W4158" t="s">
        <v>64441</v>
      </c>
      <c r="X4158" t="s">
        <v>47431</v>
      </c>
    </row>
    <row r="4159" spans="1:24">
      <c r="A4159">
        <f>HYPERLINK("https://www.philgeps.gov.ph/GEPSNONPILOT/Tender/SplashBidNoticeAbstractUI.aspx?menuIndex=3&amp;refID=7158875&amp;Result=3","7158875")</f>
        <v>0</v>
      </c>
      <c r="B4159" t="s">
        <v>1688</v>
      </c>
      <c r="C4159" t="s">
        <v>7846</v>
      </c>
      <c r="D4159" t="s">
        <v>19078</v>
      </c>
      <c r="E4159" t="s">
        <v>22809</v>
      </c>
      <c r="F4159" t="s">
        <v>32831</v>
      </c>
      <c r="G4159" t="s">
        <v>32839</v>
      </c>
      <c r="H4159" t="s">
        <v>32849</v>
      </c>
      <c r="I4159" t="s">
        <v>4177</v>
      </c>
      <c r="J4159" t="s">
        <v>35698</v>
      </c>
      <c r="K4159" t="s">
        <v>42856</v>
      </c>
      <c r="L4159" t="s">
        <v>1688</v>
      </c>
      <c r="M4159" t="s">
        <v>44808</v>
      </c>
      <c r="N4159" t="s">
        <v>47424</v>
      </c>
      <c r="O4159" t="s">
        <v>47425</v>
      </c>
      <c r="P4159">
        <v>0</v>
      </c>
      <c r="Q4159">
        <v>0</v>
      </c>
      <c r="R4159" t="s">
        <v>47430</v>
      </c>
      <c r="S4159" t="s">
        <v>47549</v>
      </c>
      <c r="T4159" t="s">
        <v>49319</v>
      </c>
      <c r="U4159" t="s">
        <v>53199</v>
      </c>
      <c r="V4159" t="s">
        <v>63089</v>
      </c>
      <c r="W4159" t="s">
        <v>44808</v>
      </c>
      <c r="X4159" t="s">
        <v>47431</v>
      </c>
    </row>
    <row r="4160" spans="1:24">
      <c r="A4160">
        <f>HYPERLINK("https://www.philgeps.gov.ph/GEPSNONPILOT/Tender/SplashBidNoticeAbstractUI.aspx?menuIndex=3&amp;refID=7158805&amp;Result=3","7158805")</f>
        <v>0</v>
      </c>
      <c r="B4160" t="s">
        <v>1689</v>
      </c>
      <c r="C4160" t="s">
        <v>7847</v>
      </c>
      <c r="D4160" t="s">
        <v>19085</v>
      </c>
      <c r="E4160" t="s">
        <v>22810</v>
      </c>
      <c r="F4160" t="s">
        <v>32831</v>
      </c>
      <c r="G4160" t="s">
        <v>32839</v>
      </c>
      <c r="H4160" t="s">
        <v>32848</v>
      </c>
      <c r="I4160" t="s">
        <v>7416</v>
      </c>
      <c r="J4160" t="s">
        <v>35699</v>
      </c>
      <c r="K4160" t="s">
        <v>42726</v>
      </c>
      <c r="M4160" t="s">
        <v>44809</v>
      </c>
      <c r="N4160" t="s">
        <v>47424</v>
      </c>
      <c r="O4160" t="s">
        <v>47425</v>
      </c>
      <c r="P4160">
        <v>0</v>
      </c>
      <c r="Q4160">
        <v>1</v>
      </c>
      <c r="R4160" t="s">
        <v>47430</v>
      </c>
      <c r="S4160" t="s">
        <v>47549</v>
      </c>
      <c r="T4160" t="s">
        <v>49236</v>
      </c>
      <c r="U4160" t="s">
        <v>53200</v>
      </c>
      <c r="W4160" t="s">
        <v>44809</v>
      </c>
      <c r="X4160" t="s">
        <v>47431</v>
      </c>
    </row>
    <row r="4161" spans="1:24">
      <c r="A4161">
        <f>HYPERLINK("https://www.philgeps.gov.ph/GEPSNONPILOT/Tender/SplashBidNoticeAbstractUI.aspx?menuIndex=3&amp;refID=7158871&amp;Result=3","7158871")</f>
        <v>0</v>
      </c>
      <c r="B4161" t="s">
        <v>1690</v>
      </c>
      <c r="C4161" t="s">
        <v>7848</v>
      </c>
      <c r="D4161" t="s">
        <v>19031</v>
      </c>
      <c r="E4161" t="s">
        <v>22811</v>
      </c>
      <c r="F4161" t="s">
        <v>32832</v>
      </c>
      <c r="G4161" t="s">
        <v>32839</v>
      </c>
      <c r="H4161" t="s">
        <v>32848</v>
      </c>
      <c r="I4161" t="s">
        <v>4776</v>
      </c>
      <c r="J4161" t="s">
        <v>35531</v>
      </c>
      <c r="K4161" t="s">
        <v>42730</v>
      </c>
      <c r="M4161" t="s">
        <v>44810</v>
      </c>
      <c r="N4161" t="s">
        <v>47424</v>
      </c>
      <c r="O4161" t="s">
        <v>47425</v>
      </c>
      <c r="P4161">
        <v>0</v>
      </c>
      <c r="Q4161">
        <v>6</v>
      </c>
      <c r="R4161" t="s">
        <v>47430</v>
      </c>
      <c r="S4161" t="s">
        <v>47549</v>
      </c>
      <c r="T4161" t="s">
        <v>49378</v>
      </c>
      <c r="U4161" t="s">
        <v>53201</v>
      </c>
      <c r="W4161" t="s">
        <v>44810</v>
      </c>
      <c r="X4161" t="s">
        <v>47431</v>
      </c>
    </row>
    <row r="4162" spans="1:24">
      <c r="A4162">
        <f>HYPERLINK("https://www.philgeps.gov.ph/GEPSNONPILOT/Tender/SplashBidNoticeAbstractUI.aspx?menuIndex=3&amp;refID=7158803&amp;Result=3","7158803")</f>
        <v>0</v>
      </c>
      <c r="B4162" t="s">
        <v>1691</v>
      </c>
      <c r="C4162" t="s">
        <v>7849</v>
      </c>
      <c r="D4162" t="s">
        <v>19082</v>
      </c>
      <c r="E4162" t="s">
        <v>22812</v>
      </c>
      <c r="F4162" t="s">
        <v>32831</v>
      </c>
      <c r="G4162" t="s">
        <v>32839</v>
      </c>
      <c r="H4162" t="s">
        <v>32849</v>
      </c>
      <c r="I4162" t="s">
        <v>32913</v>
      </c>
      <c r="J4162" t="s">
        <v>32978</v>
      </c>
      <c r="K4162" t="s">
        <v>42781</v>
      </c>
      <c r="M4162" t="s">
        <v>44811</v>
      </c>
      <c r="N4162" t="s">
        <v>47424</v>
      </c>
      <c r="O4162" t="s">
        <v>47425</v>
      </c>
      <c r="P4162">
        <v>0</v>
      </c>
      <c r="Q4162">
        <v>0</v>
      </c>
      <c r="R4162" t="s">
        <v>47430</v>
      </c>
      <c r="S4162" t="s">
        <v>47549</v>
      </c>
      <c r="T4162" t="s">
        <v>49216</v>
      </c>
      <c r="U4162" t="s">
        <v>53202</v>
      </c>
      <c r="W4162" t="s">
        <v>44811</v>
      </c>
      <c r="X4162" t="s">
        <v>47431</v>
      </c>
    </row>
    <row r="4163" spans="1:24">
      <c r="A4163">
        <f>HYPERLINK("https://www.philgeps.gov.ph/GEPSNONPILOT/Tender/SplashBidNoticeAbstractUI.aspx?menuIndex=3&amp;refID=7158800&amp;Result=3","7158800")</f>
        <v>0</v>
      </c>
      <c r="B4163" t="s">
        <v>1692</v>
      </c>
      <c r="C4163" t="s">
        <v>7850</v>
      </c>
      <c r="D4163" t="s">
        <v>19027</v>
      </c>
      <c r="E4163" t="s">
        <v>20574</v>
      </c>
      <c r="F4163" t="s">
        <v>32831</v>
      </c>
      <c r="G4163" t="s">
        <v>32839</v>
      </c>
      <c r="H4163" t="s">
        <v>32848</v>
      </c>
      <c r="I4163" t="s">
        <v>9577</v>
      </c>
      <c r="J4163" t="s">
        <v>35700</v>
      </c>
      <c r="K4163" t="s">
        <v>42731</v>
      </c>
      <c r="M4163" t="s">
        <v>44812</v>
      </c>
      <c r="N4163" t="s">
        <v>47424</v>
      </c>
      <c r="O4163" t="s">
        <v>47425</v>
      </c>
      <c r="P4163">
        <v>0</v>
      </c>
      <c r="Q4163">
        <v>1</v>
      </c>
      <c r="R4163" t="s">
        <v>47430</v>
      </c>
      <c r="S4163" t="s">
        <v>47549</v>
      </c>
      <c r="T4163" t="s">
        <v>49379</v>
      </c>
      <c r="U4163" t="s">
        <v>53203</v>
      </c>
      <c r="W4163" t="s">
        <v>44812</v>
      </c>
      <c r="X4163" t="s">
        <v>47431</v>
      </c>
    </row>
    <row r="4164" spans="1:24">
      <c r="A4164">
        <f>HYPERLINK("https://www.philgeps.gov.ph/GEPSNONPILOT/Tender/SplashBidNoticeAbstractUI.aspx?menuIndex=3&amp;refID=7158867&amp;Result=3","7158867")</f>
        <v>0</v>
      </c>
      <c r="B4164" t="s">
        <v>1679</v>
      </c>
      <c r="C4164" t="s">
        <v>7851</v>
      </c>
      <c r="D4164" t="s">
        <v>19052</v>
      </c>
      <c r="E4164" t="s">
        <v>22813</v>
      </c>
      <c r="F4164" t="s">
        <v>32831</v>
      </c>
      <c r="G4164" t="s">
        <v>32839</v>
      </c>
      <c r="H4164" t="s">
        <v>32850</v>
      </c>
      <c r="I4164" t="s">
        <v>8577</v>
      </c>
      <c r="J4164" t="s">
        <v>33279</v>
      </c>
      <c r="K4164" t="s">
        <v>42731</v>
      </c>
      <c r="M4164" t="s">
        <v>44797</v>
      </c>
      <c r="N4164" t="s">
        <v>47424</v>
      </c>
      <c r="O4164" t="s">
        <v>47425</v>
      </c>
      <c r="P4164">
        <v>0</v>
      </c>
      <c r="Q4164">
        <v>2</v>
      </c>
      <c r="R4164" t="s">
        <v>47430</v>
      </c>
      <c r="S4164" t="s">
        <v>47549</v>
      </c>
      <c r="T4164" t="s">
        <v>49129</v>
      </c>
      <c r="U4164" t="s">
        <v>53204</v>
      </c>
      <c r="V4164" t="s">
        <v>63090</v>
      </c>
      <c r="W4164" t="s">
        <v>44797</v>
      </c>
      <c r="X4164" t="s">
        <v>47431</v>
      </c>
    </row>
    <row r="4165" spans="1:24">
      <c r="A4165">
        <f>HYPERLINK("https://www.philgeps.gov.ph/GEPSNONPILOT/Tender/SplashBidNoticeAbstractUI.aspx?menuIndex=3&amp;refID=7158804&amp;Result=3","7158804")</f>
        <v>0</v>
      </c>
      <c r="B4165" t="s">
        <v>1641</v>
      </c>
      <c r="C4165" t="s">
        <v>7852</v>
      </c>
      <c r="D4165" t="s">
        <v>19042</v>
      </c>
      <c r="E4165" t="s">
        <v>22814</v>
      </c>
      <c r="F4165" t="s">
        <v>32831</v>
      </c>
      <c r="G4165" t="s">
        <v>32840</v>
      </c>
      <c r="H4165" t="s">
        <v>32848</v>
      </c>
      <c r="I4165" t="s">
        <v>7416</v>
      </c>
      <c r="J4165" t="s">
        <v>35701</v>
      </c>
      <c r="K4165" t="s">
        <v>42730</v>
      </c>
      <c r="L4165" t="s">
        <v>1641</v>
      </c>
      <c r="M4165" t="s">
        <v>44758</v>
      </c>
      <c r="N4165" t="s">
        <v>47424</v>
      </c>
      <c r="O4165" t="s">
        <v>47425</v>
      </c>
      <c r="P4165">
        <v>0</v>
      </c>
      <c r="Q4165">
        <v>0</v>
      </c>
      <c r="R4165" t="s">
        <v>47430</v>
      </c>
      <c r="S4165" t="s">
        <v>47549</v>
      </c>
      <c r="T4165" t="s">
        <v>49116</v>
      </c>
      <c r="U4165" t="s">
        <v>53205</v>
      </c>
      <c r="V4165" t="s">
        <v>63091</v>
      </c>
      <c r="W4165" t="s">
        <v>44758</v>
      </c>
      <c r="X4165" t="s">
        <v>47431</v>
      </c>
    </row>
    <row r="4166" spans="1:24">
      <c r="A4166">
        <f>HYPERLINK("https://www.philgeps.gov.ph/GEPSNONPILOT/Tender/SplashBidNoticeAbstractUI.aspx?menuIndex=3&amp;refID=7158874&amp;Result=3","7158874")</f>
        <v>0</v>
      </c>
      <c r="B4166" t="s">
        <v>207</v>
      </c>
      <c r="C4166" t="s">
        <v>7783</v>
      </c>
      <c r="D4166" t="s">
        <v>19050</v>
      </c>
      <c r="E4166" t="s">
        <v>22815</v>
      </c>
      <c r="F4166" t="s">
        <v>32831</v>
      </c>
      <c r="G4166" t="s">
        <v>32838</v>
      </c>
      <c r="H4166" t="s">
        <v>32848</v>
      </c>
      <c r="I4166" t="s">
        <v>4776</v>
      </c>
      <c r="J4166" t="s">
        <v>33007</v>
      </c>
      <c r="K4166" t="s">
        <v>42732</v>
      </c>
      <c r="M4166" t="s">
        <v>43205</v>
      </c>
      <c r="N4166" t="s">
        <v>47424</v>
      </c>
      <c r="O4166" t="s">
        <v>47425</v>
      </c>
      <c r="P4166">
        <v>0</v>
      </c>
      <c r="Q4166">
        <v>1</v>
      </c>
      <c r="R4166" t="s">
        <v>47430</v>
      </c>
      <c r="S4166" t="s">
        <v>47549</v>
      </c>
      <c r="T4166" t="s">
        <v>49145</v>
      </c>
      <c r="U4166" t="s">
        <v>53139</v>
      </c>
      <c r="W4166" t="s">
        <v>64481</v>
      </c>
      <c r="X4166" t="s">
        <v>47431</v>
      </c>
    </row>
    <row r="4167" spans="1:24">
      <c r="A4167">
        <f>HYPERLINK("https://www.philgeps.gov.ph/GEPSNONPILOT/Tender/SplashBidNoticeAbstractUI.aspx?menuIndex=3&amp;refID=7158865&amp;Result=3","7158865")</f>
        <v>0</v>
      </c>
      <c r="B4167" t="s">
        <v>1693</v>
      </c>
      <c r="C4167" t="s">
        <v>7853</v>
      </c>
      <c r="D4167" t="s">
        <v>19017</v>
      </c>
      <c r="E4167" t="s">
        <v>22816</v>
      </c>
      <c r="F4167" t="s">
        <v>32831</v>
      </c>
      <c r="G4167" t="s">
        <v>32841</v>
      </c>
      <c r="H4167" t="s">
        <v>32849</v>
      </c>
      <c r="I4167" t="s">
        <v>4177</v>
      </c>
      <c r="J4167" t="s">
        <v>34578</v>
      </c>
      <c r="K4167" t="s">
        <v>42757</v>
      </c>
      <c r="M4167" t="s">
        <v>44813</v>
      </c>
      <c r="N4167" t="s">
        <v>47424</v>
      </c>
      <c r="O4167" t="s">
        <v>47425</v>
      </c>
      <c r="P4167">
        <v>0</v>
      </c>
      <c r="Q4167">
        <v>5</v>
      </c>
      <c r="R4167" t="s">
        <v>47430</v>
      </c>
      <c r="S4167" t="s">
        <v>47549</v>
      </c>
      <c r="T4167" t="s">
        <v>49071</v>
      </c>
      <c r="U4167" t="s">
        <v>53206</v>
      </c>
      <c r="W4167" t="s">
        <v>44813</v>
      </c>
      <c r="X4167" t="s">
        <v>47431</v>
      </c>
    </row>
    <row r="4168" spans="1:24">
      <c r="A4168">
        <f>HYPERLINK("https://www.philgeps.gov.ph/GEPSNONPILOT/Tender/SplashBidNoticeAbstractUI.aspx?menuIndex=3&amp;refID=7158863&amp;Result=3","7158863")</f>
        <v>0</v>
      </c>
      <c r="B4168" t="s">
        <v>1694</v>
      </c>
      <c r="C4168" t="s">
        <v>7854</v>
      </c>
      <c r="D4168" t="s">
        <v>19032</v>
      </c>
      <c r="E4168" t="s">
        <v>20202</v>
      </c>
      <c r="F4168" t="s">
        <v>32831</v>
      </c>
      <c r="G4168" t="s">
        <v>32839</v>
      </c>
      <c r="H4168" t="s">
        <v>32848</v>
      </c>
      <c r="I4168" t="s">
        <v>7416</v>
      </c>
      <c r="J4168" t="s">
        <v>35702</v>
      </c>
      <c r="K4168" t="s">
        <v>42730</v>
      </c>
      <c r="M4168" t="s">
        <v>44814</v>
      </c>
      <c r="N4168" t="s">
        <v>47424</v>
      </c>
      <c r="O4168" t="s">
        <v>47425</v>
      </c>
      <c r="P4168">
        <v>0</v>
      </c>
      <c r="Q4168">
        <v>0</v>
      </c>
      <c r="R4168" t="s">
        <v>47430</v>
      </c>
      <c r="S4168" t="s">
        <v>47549</v>
      </c>
      <c r="T4168" t="s">
        <v>49129</v>
      </c>
      <c r="U4168" t="s">
        <v>53207</v>
      </c>
      <c r="W4168" t="s">
        <v>44814</v>
      </c>
      <c r="X4168" t="s">
        <v>47431</v>
      </c>
    </row>
    <row r="4169" spans="1:24">
      <c r="A4169">
        <f>HYPERLINK("https://www.philgeps.gov.ph/GEPSNONPILOT/Tender/SplashBidNoticeAbstractUI.aspx?menuIndex=3&amp;refID=7158736&amp;Result=3","7158736")</f>
        <v>0</v>
      </c>
      <c r="B4169" t="s">
        <v>1695</v>
      </c>
      <c r="C4169" t="s">
        <v>7855</v>
      </c>
      <c r="D4169" t="s">
        <v>19039</v>
      </c>
      <c r="E4169" t="s">
        <v>22817</v>
      </c>
      <c r="F4169" t="s">
        <v>32831</v>
      </c>
      <c r="G4169" t="s">
        <v>32839</v>
      </c>
      <c r="H4169" t="s">
        <v>32850</v>
      </c>
      <c r="I4169" t="s">
        <v>32864</v>
      </c>
      <c r="J4169" t="s">
        <v>35703</v>
      </c>
      <c r="K4169" t="s">
        <v>42730</v>
      </c>
      <c r="M4169" t="s">
        <v>44815</v>
      </c>
      <c r="N4169" t="s">
        <v>47424</v>
      </c>
      <c r="O4169" t="s">
        <v>47425</v>
      </c>
      <c r="P4169">
        <v>0</v>
      </c>
      <c r="Q4169">
        <v>1</v>
      </c>
      <c r="R4169" t="s">
        <v>47430</v>
      </c>
      <c r="S4169" t="s">
        <v>47549</v>
      </c>
      <c r="T4169" t="s">
        <v>49066</v>
      </c>
      <c r="U4169" t="s">
        <v>53208</v>
      </c>
      <c r="W4169" t="s">
        <v>44815</v>
      </c>
      <c r="X4169" t="s">
        <v>47431</v>
      </c>
    </row>
    <row r="4170" spans="1:24">
      <c r="A4170">
        <f>HYPERLINK("https://www.philgeps.gov.ph/GEPSNONPILOT/Tender/SplashBidNoticeAbstractUI.aspx?menuIndex=3&amp;refID=7158864&amp;Result=3","7158864")</f>
        <v>0</v>
      </c>
      <c r="B4170" t="s">
        <v>620</v>
      </c>
      <c r="C4170" t="s">
        <v>7856</v>
      </c>
      <c r="D4170" t="s">
        <v>19017</v>
      </c>
      <c r="E4170" t="s">
        <v>22818</v>
      </c>
      <c r="F4170" t="s">
        <v>32831</v>
      </c>
      <c r="G4170" t="s">
        <v>32838</v>
      </c>
      <c r="H4170" t="s">
        <v>32849</v>
      </c>
      <c r="I4170" t="s">
        <v>32863</v>
      </c>
      <c r="J4170" t="s">
        <v>35704</v>
      </c>
      <c r="K4170" t="s">
        <v>42747</v>
      </c>
      <c r="M4170" t="s">
        <v>44816</v>
      </c>
      <c r="N4170" t="s">
        <v>47424</v>
      </c>
      <c r="O4170" t="s">
        <v>47425</v>
      </c>
      <c r="P4170">
        <v>0</v>
      </c>
      <c r="Q4170">
        <v>3</v>
      </c>
      <c r="R4170" t="s">
        <v>47430</v>
      </c>
      <c r="S4170" t="s">
        <v>47549</v>
      </c>
      <c r="T4170" t="s">
        <v>49239</v>
      </c>
      <c r="U4170" t="s">
        <v>53209</v>
      </c>
      <c r="W4170" t="s">
        <v>44816</v>
      </c>
      <c r="X4170" t="s">
        <v>47431</v>
      </c>
    </row>
    <row r="4171" spans="1:24">
      <c r="A4171">
        <f>HYPERLINK("https://www.philgeps.gov.ph/GEPSNONPILOT/Tender/SplashBidNoticeAbstractUI.aspx?menuIndex=3&amp;refID=7158861&amp;Result=3","7158861")</f>
        <v>0</v>
      </c>
      <c r="B4171" t="s">
        <v>1684</v>
      </c>
      <c r="C4171" t="s">
        <v>7857</v>
      </c>
      <c r="D4171" t="s">
        <v>19022</v>
      </c>
      <c r="E4171" t="s">
        <v>22819</v>
      </c>
      <c r="F4171" t="s">
        <v>32831</v>
      </c>
      <c r="G4171" t="s">
        <v>32838</v>
      </c>
      <c r="H4171" t="s">
        <v>32848</v>
      </c>
      <c r="I4171" t="s">
        <v>32855</v>
      </c>
      <c r="J4171" t="s">
        <v>35705</v>
      </c>
      <c r="K4171" t="s">
        <v>42731</v>
      </c>
      <c r="M4171" t="s">
        <v>44804</v>
      </c>
      <c r="N4171" t="s">
        <v>47424</v>
      </c>
      <c r="O4171" t="s">
        <v>47425</v>
      </c>
      <c r="P4171">
        <v>0</v>
      </c>
      <c r="Q4171">
        <v>3</v>
      </c>
      <c r="R4171" t="s">
        <v>47430</v>
      </c>
      <c r="S4171" t="s">
        <v>47549</v>
      </c>
      <c r="T4171" t="s">
        <v>49253</v>
      </c>
      <c r="U4171" t="s">
        <v>53210</v>
      </c>
      <c r="W4171" t="s">
        <v>44804</v>
      </c>
      <c r="X4171" t="s">
        <v>47431</v>
      </c>
    </row>
    <row r="4172" spans="1:24">
      <c r="A4172">
        <f>HYPERLINK("https://www.philgeps.gov.ph/GEPSNONPILOT/Tender/SplashBidNoticeAbstractUI.aspx?menuIndex=3&amp;refID=7158916&amp;Result=3","7158916")</f>
        <v>0</v>
      </c>
      <c r="B4172" t="s">
        <v>1696</v>
      </c>
      <c r="C4172" t="s">
        <v>7858</v>
      </c>
      <c r="D4172" t="s">
        <v>19017</v>
      </c>
      <c r="E4172" t="s">
        <v>22820</v>
      </c>
      <c r="F4172" t="s">
        <v>32831</v>
      </c>
      <c r="G4172" t="s">
        <v>32838</v>
      </c>
      <c r="H4172" t="s">
        <v>32848</v>
      </c>
      <c r="I4172" t="s">
        <v>4487</v>
      </c>
      <c r="J4172" t="s">
        <v>33133</v>
      </c>
      <c r="K4172" t="s">
        <v>42731</v>
      </c>
      <c r="M4172" t="s">
        <v>44817</v>
      </c>
      <c r="N4172" t="s">
        <v>47424</v>
      </c>
      <c r="O4172" t="s">
        <v>47425</v>
      </c>
      <c r="P4172">
        <v>0</v>
      </c>
      <c r="Q4172">
        <v>7</v>
      </c>
      <c r="R4172" t="s">
        <v>47430</v>
      </c>
      <c r="S4172" t="s">
        <v>47549</v>
      </c>
      <c r="T4172" t="s">
        <v>49056</v>
      </c>
      <c r="U4172" t="s">
        <v>53211</v>
      </c>
      <c r="V4172" t="s">
        <v>63092</v>
      </c>
      <c r="W4172" t="s">
        <v>44817</v>
      </c>
      <c r="X4172" t="s">
        <v>47431</v>
      </c>
    </row>
    <row r="4173" spans="1:24">
      <c r="A4173">
        <f>HYPERLINK("https://www.philgeps.gov.ph/GEPSNONPILOT/Tender/SplashBidNoticeAbstractUI.aspx?menuIndex=3&amp;refID=7158858&amp;Result=3","7158858")</f>
        <v>0</v>
      </c>
      <c r="B4173" t="s">
        <v>662</v>
      </c>
      <c r="C4173" t="s">
        <v>7859</v>
      </c>
      <c r="D4173" t="s">
        <v>19095</v>
      </c>
      <c r="E4173" t="s">
        <v>22821</v>
      </c>
      <c r="F4173" t="s">
        <v>32831</v>
      </c>
      <c r="G4173" t="s">
        <v>32838</v>
      </c>
      <c r="H4173" t="s">
        <v>32848</v>
      </c>
      <c r="I4173" t="s">
        <v>32856</v>
      </c>
      <c r="J4173" t="s">
        <v>33310</v>
      </c>
      <c r="K4173" t="s">
        <v>42727</v>
      </c>
      <c r="M4173" t="s">
        <v>43680</v>
      </c>
      <c r="N4173" t="s">
        <v>47424</v>
      </c>
      <c r="O4173" t="s">
        <v>47425</v>
      </c>
      <c r="P4173">
        <v>0</v>
      </c>
      <c r="Q4173">
        <v>0</v>
      </c>
      <c r="R4173" t="s">
        <v>47430</v>
      </c>
      <c r="S4173" t="s">
        <v>47549</v>
      </c>
      <c r="T4173" t="s">
        <v>49127</v>
      </c>
      <c r="U4173" t="s">
        <v>53212</v>
      </c>
      <c r="W4173" t="s">
        <v>43680</v>
      </c>
      <c r="X4173" t="s">
        <v>47431</v>
      </c>
    </row>
    <row r="4174" spans="1:24">
      <c r="A4174">
        <f>HYPERLINK("https://www.philgeps.gov.ph/GEPSNONPILOT/Tender/SplashBidNoticeAbstractUI.aspx?menuIndex=3&amp;refID=7158855&amp;Result=3","7158855")</f>
        <v>0</v>
      </c>
      <c r="B4174" t="s">
        <v>1697</v>
      </c>
      <c r="C4174" t="s">
        <v>7860</v>
      </c>
      <c r="E4174" t="s">
        <v>22822</v>
      </c>
      <c r="F4174" t="s">
        <v>32831</v>
      </c>
      <c r="G4174" t="s">
        <v>32840</v>
      </c>
      <c r="H4174" t="s">
        <v>32848</v>
      </c>
      <c r="I4174" t="s">
        <v>10643</v>
      </c>
      <c r="J4174" t="s">
        <v>35706</v>
      </c>
      <c r="K4174" t="s">
        <v>42732</v>
      </c>
      <c r="M4174" t="s">
        <v>44818</v>
      </c>
      <c r="N4174" t="s">
        <v>47424</v>
      </c>
      <c r="O4174" t="s">
        <v>47425</v>
      </c>
      <c r="P4174">
        <v>0</v>
      </c>
      <c r="Q4174">
        <v>1</v>
      </c>
      <c r="R4174" t="s">
        <v>47430</v>
      </c>
      <c r="S4174" t="s">
        <v>47549</v>
      </c>
      <c r="T4174" t="s">
        <v>49114</v>
      </c>
      <c r="U4174" t="s">
        <v>53213</v>
      </c>
      <c r="W4174" t="s">
        <v>44818</v>
      </c>
      <c r="X4174" t="s">
        <v>47431</v>
      </c>
    </row>
    <row r="4175" spans="1:24">
      <c r="A4175">
        <f>HYPERLINK("https://www.philgeps.gov.ph/GEPSNONPILOT/Tender/SplashBidNoticeAbstractUI.aspx?menuIndex=3&amp;refID=7158908&amp;Result=3","7158908")</f>
        <v>0</v>
      </c>
      <c r="B4175" t="s">
        <v>609</v>
      </c>
      <c r="C4175" t="s">
        <v>7861</v>
      </c>
      <c r="D4175" t="s">
        <v>19017</v>
      </c>
      <c r="E4175" t="s">
        <v>22823</v>
      </c>
      <c r="F4175" t="s">
        <v>32831</v>
      </c>
      <c r="G4175" t="s">
        <v>32840</v>
      </c>
      <c r="H4175" t="s">
        <v>32848</v>
      </c>
      <c r="I4175" t="s">
        <v>10805</v>
      </c>
      <c r="J4175" t="s">
        <v>33090</v>
      </c>
      <c r="K4175" t="s">
        <v>42732</v>
      </c>
      <c r="M4175" t="s">
        <v>43623</v>
      </c>
      <c r="N4175" t="s">
        <v>47424</v>
      </c>
      <c r="O4175" t="s">
        <v>47425</v>
      </c>
      <c r="P4175">
        <v>0</v>
      </c>
      <c r="Q4175">
        <v>10</v>
      </c>
      <c r="R4175" t="s">
        <v>47430</v>
      </c>
      <c r="S4175" t="s">
        <v>47549</v>
      </c>
      <c r="T4175" t="s">
        <v>49107</v>
      </c>
      <c r="U4175" t="s">
        <v>53214</v>
      </c>
      <c r="W4175" t="s">
        <v>43623</v>
      </c>
      <c r="X4175" t="s">
        <v>47431</v>
      </c>
    </row>
    <row r="4176" spans="1:24">
      <c r="A4176">
        <f>HYPERLINK("https://www.philgeps.gov.ph/GEPSNONPILOT/Tender/SplashBidNoticeAbstractUI.aspx?menuIndex=3&amp;refID=7158903&amp;Result=3","7158903")</f>
        <v>0</v>
      </c>
      <c r="B4176" t="s">
        <v>1698</v>
      </c>
      <c r="C4176" t="s">
        <v>7862</v>
      </c>
      <c r="D4176" t="s">
        <v>19034</v>
      </c>
      <c r="E4176" t="s">
        <v>19219</v>
      </c>
      <c r="F4176" t="s">
        <v>32831</v>
      </c>
      <c r="G4176" t="s">
        <v>32839</v>
      </c>
      <c r="H4176" t="s">
        <v>32848</v>
      </c>
      <c r="I4176" t="s">
        <v>7416</v>
      </c>
      <c r="J4176" t="s">
        <v>35707</v>
      </c>
      <c r="K4176" t="s">
        <v>42730</v>
      </c>
      <c r="M4176" t="s">
        <v>44819</v>
      </c>
      <c r="N4176" t="s">
        <v>47424</v>
      </c>
      <c r="O4176" t="s">
        <v>47425</v>
      </c>
      <c r="P4176">
        <v>0</v>
      </c>
      <c r="Q4176">
        <v>0</v>
      </c>
      <c r="R4176" t="s">
        <v>47430</v>
      </c>
      <c r="S4176" t="s">
        <v>47549</v>
      </c>
      <c r="T4176" t="s">
        <v>49129</v>
      </c>
      <c r="U4176" t="s">
        <v>53215</v>
      </c>
      <c r="W4176" t="s">
        <v>44819</v>
      </c>
      <c r="X4176" t="s">
        <v>47431</v>
      </c>
    </row>
    <row r="4177" spans="1:24">
      <c r="A4177">
        <f>HYPERLINK("https://www.philgeps.gov.ph/GEPSNONPILOT/Tender/SplashBidNoticeAbstractUI.aspx?menuIndex=3&amp;refID=7158869&amp;Result=3","7158869")</f>
        <v>0</v>
      </c>
      <c r="B4177" t="s">
        <v>1699</v>
      </c>
      <c r="C4177" t="s">
        <v>7863</v>
      </c>
      <c r="D4177" t="s">
        <v>19044</v>
      </c>
      <c r="E4177" t="s">
        <v>22824</v>
      </c>
      <c r="F4177" t="s">
        <v>32831</v>
      </c>
      <c r="G4177" t="s">
        <v>32839</v>
      </c>
      <c r="H4177" t="s">
        <v>32848</v>
      </c>
      <c r="I4177" t="s">
        <v>7751</v>
      </c>
      <c r="J4177" t="s">
        <v>35708</v>
      </c>
      <c r="K4177" t="s">
        <v>42727</v>
      </c>
      <c r="M4177" t="s">
        <v>44820</v>
      </c>
      <c r="N4177" t="s">
        <v>47424</v>
      </c>
      <c r="O4177" t="s">
        <v>47425</v>
      </c>
      <c r="P4177">
        <v>0</v>
      </c>
      <c r="Q4177">
        <v>4</v>
      </c>
      <c r="R4177" t="s">
        <v>47430</v>
      </c>
      <c r="S4177" t="s">
        <v>47549</v>
      </c>
      <c r="T4177" t="s">
        <v>49380</v>
      </c>
      <c r="U4177" t="s">
        <v>53216</v>
      </c>
      <c r="W4177" t="s">
        <v>44820</v>
      </c>
      <c r="X4177" t="s">
        <v>47431</v>
      </c>
    </row>
    <row r="4178" spans="1:24">
      <c r="A4178">
        <f>HYPERLINK("https://www.philgeps.gov.ph/GEPSNONPILOT/Tender/SplashBidNoticeAbstractUI.aspx?menuIndex=3&amp;refID=7158901&amp;Result=3","7158901")</f>
        <v>0</v>
      </c>
      <c r="B4178" t="s">
        <v>1688</v>
      </c>
      <c r="C4178" t="s">
        <v>7864</v>
      </c>
      <c r="D4178" t="s">
        <v>19078</v>
      </c>
      <c r="E4178" t="s">
        <v>22825</v>
      </c>
      <c r="F4178" t="s">
        <v>32831</v>
      </c>
      <c r="G4178" t="s">
        <v>32839</v>
      </c>
      <c r="H4178" t="s">
        <v>32849</v>
      </c>
      <c r="I4178" t="s">
        <v>4177</v>
      </c>
      <c r="J4178" t="s">
        <v>35709</v>
      </c>
      <c r="K4178" t="s">
        <v>42753</v>
      </c>
      <c r="L4178" t="s">
        <v>1688</v>
      </c>
      <c r="M4178" t="s">
        <v>44808</v>
      </c>
      <c r="N4178" t="s">
        <v>47424</v>
      </c>
      <c r="O4178" t="s">
        <v>47425</v>
      </c>
      <c r="P4178">
        <v>0</v>
      </c>
      <c r="Q4178">
        <v>1</v>
      </c>
      <c r="R4178" t="s">
        <v>47430</v>
      </c>
      <c r="S4178" t="s">
        <v>47549</v>
      </c>
      <c r="T4178" t="s">
        <v>49319</v>
      </c>
      <c r="U4178" t="s">
        <v>53217</v>
      </c>
      <c r="V4178" t="s">
        <v>63089</v>
      </c>
      <c r="W4178" t="s">
        <v>44808</v>
      </c>
      <c r="X4178" t="s">
        <v>47431</v>
      </c>
    </row>
    <row r="4179" spans="1:24">
      <c r="A4179">
        <f>HYPERLINK("https://www.philgeps.gov.ph/GEPSNONPILOT/Tender/SplashBidNoticeAbstractUI.aspx?menuIndex=3&amp;refID=7158868&amp;Result=3","7158868")</f>
        <v>0</v>
      </c>
      <c r="B4179" t="s">
        <v>1700</v>
      </c>
      <c r="C4179" t="s">
        <v>7865</v>
      </c>
      <c r="D4179" t="s">
        <v>19054</v>
      </c>
      <c r="E4179" t="s">
        <v>22800</v>
      </c>
      <c r="F4179" t="s">
        <v>32831</v>
      </c>
      <c r="G4179" t="s">
        <v>32839</v>
      </c>
      <c r="H4179" t="s">
        <v>32848</v>
      </c>
      <c r="I4179" t="s">
        <v>32929</v>
      </c>
      <c r="J4179" t="s">
        <v>35710</v>
      </c>
      <c r="K4179" t="s">
        <v>42726</v>
      </c>
      <c r="M4179" t="s">
        <v>44821</v>
      </c>
      <c r="N4179" t="s">
        <v>47424</v>
      </c>
      <c r="O4179" t="s">
        <v>47425</v>
      </c>
      <c r="P4179">
        <v>0</v>
      </c>
      <c r="Q4179">
        <v>1</v>
      </c>
      <c r="R4179" t="s">
        <v>47430</v>
      </c>
      <c r="S4179" t="s">
        <v>47549</v>
      </c>
      <c r="T4179" t="s">
        <v>49060</v>
      </c>
      <c r="U4179" t="s">
        <v>53218</v>
      </c>
      <c r="V4179" t="s">
        <v>63093</v>
      </c>
      <c r="W4179" t="s">
        <v>44821</v>
      </c>
      <c r="X4179" t="s">
        <v>47431</v>
      </c>
    </row>
    <row r="4180" spans="1:24">
      <c r="A4180">
        <f>HYPERLINK("https://www.philgeps.gov.ph/GEPSNONPILOT/Tender/SplashBidNoticeAbstractUI.aspx?menuIndex=3&amp;refID=7158893&amp;Result=3","7158893")</f>
        <v>0</v>
      </c>
      <c r="B4180" t="s">
        <v>1684</v>
      </c>
      <c r="C4180" t="s">
        <v>7866</v>
      </c>
      <c r="D4180" t="s">
        <v>19022</v>
      </c>
      <c r="E4180" t="s">
        <v>22826</v>
      </c>
      <c r="F4180" t="s">
        <v>32831</v>
      </c>
      <c r="G4180" t="s">
        <v>32838</v>
      </c>
      <c r="H4180" t="s">
        <v>32848</v>
      </c>
      <c r="I4180" t="s">
        <v>32854</v>
      </c>
      <c r="J4180" t="s">
        <v>33007</v>
      </c>
      <c r="K4180" t="s">
        <v>42731</v>
      </c>
      <c r="M4180" t="s">
        <v>44804</v>
      </c>
      <c r="N4180" t="s">
        <v>47424</v>
      </c>
      <c r="O4180" t="s">
        <v>47425</v>
      </c>
      <c r="P4180">
        <v>0</v>
      </c>
      <c r="Q4180">
        <v>2</v>
      </c>
      <c r="R4180" t="s">
        <v>47430</v>
      </c>
      <c r="S4180" t="s">
        <v>47549</v>
      </c>
      <c r="T4180" t="s">
        <v>49253</v>
      </c>
      <c r="U4180" t="s">
        <v>53219</v>
      </c>
      <c r="W4180" t="s">
        <v>44804</v>
      </c>
      <c r="X4180" t="s">
        <v>47431</v>
      </c>
    </row>
    <row r="4181" spans="1:24">
      <c r="A4181">
        <f>HYPERLINK("https://www.philgeps.gov.ph/GEPSNONPILOT/Tender/SplashBidNoticeAbstractUI.aspx?menuIndex=3&amp;refID=7158912&amp;Result=3","7158912")</f>
        <v>0</v>
      </c>
      <c r="B4181" t="s">
        <v>662</v>
      </c>
      <c r="C4181" t="s">
        <v>7867</v>
      </c>
      <c r="D4181" t="s">
        <v>19095</v>
      </c>
      <c r="E4181" t="s">
        <v>22827</v>
      </c>
      <c r="F4181" t="s">
        <v>32831</v>
      </c>
      <c r="G4181" t="s">
        <v>32838</v>
      </c>
      <c r="H4181" t="s">
        <v>32848</v>
      </c>
      <c r="I4181" t="s">
        <v>4558</v>
      </c>
      <c r="J4181" t="s">
        <v>35711</v>
      </c>
      <c r="K4181" t="s">
        <v>42727</v>
      </c>
      <c r="M4181" t="s">
        <v>43680</v>
      </c>
      <c r="N4181" t="s">
        <v>47424</v>
      </c>
      <c r="O4181" t="s">
        <v>47425</v>
      </c>
      <c r="P4181">
        <v>0</v>
      </c>
      <c r="Q4181">
        <v>0</v>
      </c>
      <c r="R4181" t="s">
        <v>47430</v>
      </c>
      <c r="S4181" t="s">
        <v>47549</v>
      </c>
      <c r="T4181" t="s">
        <v>49127</v>
      </c>
      <c r="U4181" t="s">
        <v>53220</v>
      </c>
      <c r="W4181" t="s">
        <v>43680</v>
      </c>
      <c r="X4181" t="s">
        <v>47431</v>
      </c>
    </row>
    <row r="4182" spans="1:24">
      <c r="A4182">
        <f>HYPERLINK("https://www.philgeps.gov.ph/GEPSNONPILOT/Tender/SplashBidNoticeAbstractUI.aspx?menuIndex=3&amp;refID=7158870&amp;Result=3","7158870")</f>
        <v>0</v>
      </c>
      <c r="B4182" t="s">
        <v>1692</v>
      </c>
      <c r="C4182" t="s">
        <v>5228</v>
      </c>
      <c r="D4182" t="s">
        <v>19027</v>
      </c>
      <c r="E4182" t="s">
        <v>22828</v>
      </c>
      <c r="F4182" t="s">
        <v>32831</v>
      </c>
      <c r="G4182" t="s">
        <v>32839</v>
      </c>
      <c r="H4182" t="s">
        <v>32848</v>
      </c>
      <c r="I4182" t="s">
        <v>32855</v>
      </c>
      <c r="J4182" t="s">
        <v>35712</v>
      </c>
      <c r="K4182" t="s">
        <v>42731</v>
      </c>
      <c r="M4182" t="s">
        <v>44812</v>
      </c>
      <c r="N4182" t="s">
        <v>47424</v>
      </c>
      <c r="O4182" t="s">
        <v>47425</v>
      </c>
      <c r="P4182">
        <v>0</v>
      </c>
      <c r="Q4182">
        <v>0</v>
      </c>
      <c r="R4182" t="s">
        <v>47430</v>
      </c>
      <c r="S4182" t="s">
        <v>47549</v>
      </c>
      <c r="T4182" t="s">
        <v>49379</v>
      </c>
      <c r="U4182" t="s">
        <v>53221</v>
      </c>
      <c r="W4182" t="s">
        <v>44812</v>
      </c>
      <c r="X4182" t="s">
        <v>47431</v>
      </c>
    </row>
    <row r="4183" spans="1:24">
      <c r="A4183">
        <f>HYPERLINK("https://www.philgeps.gov.ph/GEPSNONPILOT/Tender/SplashBidNoticeAbstractUI.aspx?menuIndex=3&amp;refID=7158654&amp;Result=3","7158654")</f>
        <v>0</v>
      </c>
      <c r="B4183" t="s">
        <v>629</v>
      </c>
      <c r="C4183" t="s">
        <v>4222</v>
      </c>
      <c r="D4183" t="s">
        <v>19049</v>
      </c>
      <c r="E4183" t="s">
        <v>22829</v>
      </c>
      <c r="F4183" t="s">
        <v>32831</v>
      </c>
      <c r="G4183" t="s">
        <v>32839</v>
      </c>
      <c r="H4183" t="s">
        <v>32848</v>
      </c>
      <c r="I4183" t="s">
        <v>4222</v>
      </c>
      <c r="J4183" t="s">
        <v>33812</v>
      </c>
      <c r="K4183" t="s">
        <v>42731</v>
      </c>
      <c r="M4183" t="s">
        <v>43646</v>
      </c>
      <c r="N4183" t="s">
        <v>47424</v>
      </c>
      <c r="O4183" t="s">
        <v>47425</v>
      </c>
      <c r="P4183">
        <v>0</v>
      </c>
      <c r="Q4183">
        <v>0</v>
      </c>
      <c r="R4183" t="s">
        <v>47430</v>
      </c>
      <c r="S4183" t="s">
        <v>47549</v>
      </c>
      <c r="T4183" t="s">
        <v>49086</v>
      </c>
      <c r="U4183" t="s">
        <v>53222</v>
      </c>
      <c r="W4183" t="s">
        <v>43646</v>
      </c>
      <c r="X4183" t="s">
        <v>47431</v>
      </c>
    </row>
    <row r="4184" spans="1:24">
      <c r="A4184">
        <f>HYPERLINK("https://www.philgeps.gov.ph/GEPSNONPILOT/Tender/SplashBidNoticeAbstractUI.aspx?menuIndex=3&amp;refID=7158888&amp;Result=3","7158888")</f>
        <v>0</v>
      </c>
      <c r="B4184" t="s">
        <v>1697</v>
      </c>
      <c r="C4184" t="s">
        <v>7868</v>
      </c>
      <c r="E4184" t="s">
        <v>22830</v>
      </c>
      <c r="F4184" t="s">
        <v>32831</v>
      </c>
      <c r="G4184" t="s">
        <v>32840</v>
      </c>
      <c r="H4184" t="s">
        <v>32848</v>
      </c>
      <c r="I4184" t="s">
        <v>32857</v>
      </c>
      <c r="J4184" t="s">
        <v>35713</v>
      </c>
      <c r="K4184" t="s">
        <v>42732</v>
      </c>
      <c r="M4184" t="s">
        <v>44818</v>
      </c>
      <c r="N4184" t="s">
        <v>47424</v>
      </c>
      <c r="O4184" t="s">
        <v>47425</v>
      </c>
      <c r="P4184">
        <v>0</v>
      </c>
      <c r="Q4184">
        <v>1</v>
      </c>
      <c r="R4184" t="s">
        <v>47430</v>
      </c>
      <c r="S4184" t="s">
        <v>47549</v>
      </c>
      <c r="T4184" t="s">
        <v>49114</v>
      </c>
      <c r="U4184" t="s">
        <v>53223</v>
      </c>
      <c r="W4184" t="s">
        <v>44818</v>
      </c>
      <c r="X4184" t="s">
        <v>47431</v>
      </c>
    </row>
    <row r="4185" spans="1:24">
      <c r="A4185">
        <f>HYPERLINK("https://www.philgeps.gov.ph/GEPSNONPILOT/Tender/SplashBidNoticeAbstractUI.aspx?menuIndex=3&amp;refID=7158897&amp;Result=3","7158897")</f>
        <v>0</v>
      </c>
      <c r="B4185" t="s">
        <v>1701</v>
      </c>
      <c r="C4185" t="s">
        <v>7869</v>
      </c>
      <c r="D4185" t="s">
        <v>19045</v>
      </c>
      <c r="E4185" t="s">
        <v>22831</v>
      </c>
      <c r="F4185" t="s">
        <v>32831</v>
      </c>
      <c r="G4185" t="s">
        <v>32843</v>
      </c>
      <c r="H4185" t="s">
        <v>32848</v>
      </c>
      <c r="I4185" t="s">
        <v>4438</v>
      </c>
      <c r="J4185" t="s">
        <v>35714</v>
      </c>
      <c r="K4185" t="s">
        <v>42731</v>
      </c>
      <c r="M4185" t="s">
        <v>44822</v>
      </c>
      <c r="N4185" t="s">
        <v>47424</v>
      </c>
      <c r="O4185" t="s">
        <v>47425</v>
      </c>
      <c r="P4185">
        <v>0</v>
      </c>
      <c r="Q4185">
        <v>0</v>
      </c>
      <c r="R4185" t="s">
        <v>47430</v>
      </c>
      <c r="S4185" t="s">
        <v>47549</v>
      </c>
      <c r="T4185" t="s">
        <v>49061</v>
      </c>
      <c r="U4185" t="s">
        <v>53224</v>
      </c>
      <c r="W4185" t="s">
        <v>44822</v>
      </c>
      <c r="X4185" t="s">
        <v>47431</v>
      </c>
    </row>
    <row r="4186" spans="1:24">
      <c r="A4186">
        <f>HYPERLINK("https://www.philgeps.gov.ph/GEPSNONPILOT/Tender/SplashBidNoticeAbstractUI.aspx?menuIndex=3&amp;refID=7158890&amp;Result=3","7158890")</f>
        <v>0</v>
      </c>
      <c r="B4186" t="s">
        <v>1675</v>
      </c>
      <c r="C4186" t="s">
        <v>7870</v>
      </c>
      <c r="E4186" t="s">
        <v>22832</v>
      </c>
      <c r="F4186" t="s">
        <v>32831</v>
      </c>
      <c r="G4186" t="s">
        <v>32838</v>
      </c>
      <c r="H4186" t="s">
        <v>32848</v>
      </c>
      <c r="I4186" t="s">
        <v>32857</v>
      </c>
      <c r="J4186" t="s">
        <v>35715</v>
      </c>
      <c r="K4186" t="s">
        <v>42745</v>
      </c>
      <c r="M4186" t="s">
        <v>44793</v>
      </c>
      <c r="N4186" t="s">
        <v>47424</v>
      </c>
      <c r="O4186" t="s">
        <v>47425</v>
      </c>
      <c r="P4186">
        <v>0</v>
      </c>
      <c r="Q4186">
        <v>14</v>
      </c>
      <c r="R4186" t="s">
        <v>47430</v>
      </c>
      <c r="S4186" t="s">
        <v>47549</v>
      </c>
      <c r="T4186" t="s">
        <v>49114</v>
      </c>
      <c r="U4186" t="s">
        <v>53225</v>
      </c>
      <c r="W4186" t="s">
        <v>44793</v>
      </c>
      <c r="X4186" t="s">
        <v>47431</v>
      </c>
    </row>
    <row r="4187" spans="1:24">
      <c r="A4187">
        <f>HYPERLINK("https://www.philgeps.gov.ph/GEPSNONPILOT/Tender/SplashBidNoticeAbstractUI.aspx?menuIndex=3&amp;refID=7158947&amp;Result=3","7158947")</f>
        <v>0</v>
      </c>
      <c r="B4187" t="s">
        <v>1702</v>
      </c>
      <c r="C4187" t="s">
        <v>7871</v>
      </c>
      <c r="D4187" t="s">
        <v>19045</v>
      </c>
      <c r="E4187" t="s">
        <v>22800</v>
      </c>
      <c r="F4187" t="s">
        <v>32831</v>
      </c>
      <c r="G4187" t="s">
        <v>32840</v>
      </c>
      <c r="H4187" t="s">
        <v>32849</v>
      </c>
      <c r="I4187" t="s">
        <v>4177</v>
      </c>
      <c r="J4187" t="s">
        <v>33364</v>
      </c>
      <c r="K4187" t="s">
        <v>42727</v>
      </c>
      <c r="M4187" t="s">
        <v>44823</v>
      </c>
      <c r="N4187" t="s">
        <v>47424</v>
      </c>
      <c r="O4187" t="s">
        <v>47425</v>
      </c>
      <c r="P4187">
        <v>0</v>
      </c>
      <c r="Q4187">
        <v>0</v>
      </c>
      <c r="R4187" t="s">
        <v>47430</v>
      </c>
      <c r="S4187" t="s">
        <v>47549</v>
      </c>
      <c r="T4187" t="s">
        <v>49105</v>
      </c>
      <c r="U4187" t="s">
        <v>53226</v>
      </c>
      <c r="W4187" t="s">
        <v>44823</v>
      </c>
      <c r="X4187" t="s">
        <v>47431</v>
      </c>
    </row>
    <row r="4188" spans="1:24">
      <c r="A4188">
        <f>HYPERLINK("https://www.philgeps.gov.ph/GEPSNONPILOT/Tender/SplashBidNoticeAbstractUI.aspx?menuIndex=3&amp;refID=7158946&amp;Result=3","7158946")</f>
        <v>0</v>
      </c>
      <c r="B4188" t="s">
        <v>1703</v>
      </c>
      <c r="C4188" t="s">
        <v>4226</v>
      </c>
      <c r="D4188" t="s">
        <v>19045</v>
      </c>
      <c r="E4188" t="s">
        <v>22833</v>
      </c>
      <c r="F4188" t="s">
        <v>32831</v>
      </c>
      <c r="G4188" t="s">
        <v>32840</v>
      </c>
      <c r="H4188" t="s">
        <v>32848</v>
      </c>
      <c r="I4188" t="s">
        <v>9577</v>
      </c>
      <c r="J4188" t="s">
        <v>33989</v>
      </c>
      <c r="K4188" t="s">
        <v>42731</v>
      </c>
      <c r="M4188" t="s">
        <v>44824</v>
      </c>
      <c r="N4188" t="s">
        <v>47424</v>
      </c>
      <c r="O4188" t="s">
        <v>47425</v>
      </c>
      <c r="P4188">
        <v>0</v>
      </c>
      <c r="Q4188">
        <v>0</v>
      </c>
      <c r="R4188" t="s">
        <v>47430</v>
      </c>
      <c r="S4188" t="s">
        <v>47549</v>
      </c>
      <c r="T4188" t="s">
        <v>49079</v>
      </c>
      <c r="U4188" t="s">
        <v>53227</v>
      </c>
      <c r="W4188" t="s">
        <v>44824</v>
      </c>
      <c r="X4188" t="s">
        <v>47431</v>
      </c>
    </row>
    <row r="4189" spans="1:24">
      <c r="A4189">
        <f>HYPERLINK("https://www.philgeps.gov.ph/GEPSNONPILOT/Tender/SplashBidNoticeAbstractUI.aspx?menuIndex=3&amp;refID=7158944&amp;Result=3","7158944")</f>
        <v>0</v>
      </c>
      <c r="B4189" t="s">
        <v>895</v>
      </c>
      <c r="C4189" t="s">
        <v>7872</v>
      </c>
      <c r="D4189" t="s">
        <v>19036</v>
      </c>
      <c r="E4189" t="s">
        <v>22834</v>
      </c>
      <c r="F4189" t="s">
        <v>32831</v>
      </c>
      <c r="G4189" t="s">
        <v>32838</v>
      </c>
      <c r="H4189" t="s">
        <v>32848</v>
      </c>
      <c r="I4189" t="s">
        <v>32864</v>
      </c>
      <c r="J4189" t="s">
        <v>32980</v>
      </c>
      <c r="K4189" t="s">
        <v>42727</v>
      </c>
      <c r="M4189" t="s">
        <v>44825</v>
      </c>
      <c r="N4189" t="s">
        <v>47424</v>
      </c>
      <c r="O4189" t="s">
        <v>47425</v>
      </c>
      <c r="P4189">
        <v>0</v>
      </c>
      <c r="Q4189">
        <v>3</v>
      </c>
      <c r="R4189" t="s">
        <v>47430</v>
      </c>
      <c r="S4189" t="s">
        <v>47549</v>
      </c>
      <c r="T4189" t="s">
        <v>49108</v>
      </c>
      <c r="U4189" t="s">
        <v>53228</v>
      </c>
      <c r="V4189" t="s">
        <v>62833</v>
      </c>
      <c r="W4189" t="s">
        <v>44825</v>
      </c>
      <c r="X4189" t="s">
        <v>47431</v>
      </c>
    </row>
    <row r="4190" spans="1:24">
      <c r="A4190">
        <f>HYPERLINK("https://www.philgeps.gov.ph/GEPSNONPILOT/Tender/SplashBidNoticeAbstractUI.aspx?menuIndex=3&amp;refID=7158941&amp;Result=3","7158941")</f>
        <v>0</v>
      </c>
      <c r="B4190" t="s">
        <v>1704</v>
      </c>
      <c r="C4190" t="s">
        <v>7873</v>
      </c>
      <c r="D4190" t="s">
        <v>19084</v>
      </c>
      <c r="E4190" t="s">
        <v>22835</v>
      </c>
      <c r="F4190" t="s">
        <v>32831</v>
      </c>
      <c r="G4190" t="s">
        <v>32838</v>
      </c>
      <c r="H4190" t="s">
        <v>32848</v>
      </c>
      <c r="I4190" t="s">
        <v>32923</v>
      </c>
      <c r="J4190" t="s">
        <v>33178</v>
      </c>
      <c r="K4190" t="s">
        <v>42727</v>
      </c>
      <c r="M4190" t="s">
        <v>44826</v>
      </c>
      <c r="N4190" t="s">
        <v>47424</v>
      </c>
      <c r="O4190" t="s">
        <v>47425</v>
      </c>
      <c r="P4190">
        <v>0</v>
      </c>
      <c r="Q4190">
        <v>1</v>
      </c>
      <c r="R4190" t="s">
        <v>47430</v>
      </c>
      <c r="S4190" t="s">
        <v>47549</v>
      </c>
      <c r="T4190" t="s">
        <v>49235</v>
      </c>
      <c r="U4190" t="s">
        <v>53229</v>
      </c>
      <c r="V4190" t="s">
        <v>63094</v>
      </c>
      <c r="W4190" t="s">
        <v>44826</v>
      </c>
      <c r="X4190" t="s">
        <v>47431</v>
      </c>
    </row>
    <row r="4191" spans="1:24">
      <c r="A4191">
        <f>HYPERLINK("https://www.philgeps.gov.ph/GEPSNONPILOT/Tender/SplashBidNoticeAbstractUI.aspx?menuIndex=3&amp;refID=7158895&amp;Result=3","7158895")</f>
        <v>0</v>
      </c>
      <c r="B4191" t="s">
        <v>581</v>
      </c>
      <c r="C4191" t="s">
        <v>7874</v>
      </c>
      <c r="D4191" t="s">
        <v>19044</v>
      </c>
      <c r="E4191" t="s">
        <v>22836</v>
      </c>
      <c r="F4191" t="s">
        <v>32831</v>
      </c>
      <c r="G4191" t="s">
        <v>32838</v>
      </c>
      <c r="H4191" t="s">
        <v>32848</v>
      </c>
      <c r="I4191" t="s">
        <v>7416</v>
      </c>
      <c r="J4191" t="s">
        <v>33490</v>
      </c>
      <c r="K4191" t="s">
        <v>42726</v>
      </c>
      <c r="M4191" t="s">
        <v>43592</v>
      </c>
      <c r="N4191" t="s">
        <v>47424</v>
      </c>
      <c r="O4191" t="s">
        <v>47425</v>
      </c>
      <c r="P4191">
        <v>0</v>
      </c>
      <c r="Q4191">
        <v>0</v>
      </c>
      <c r="R4191" t="s">
        <v>47430</v>
      </c>
      <c r="S4191" t="s">
        <v>47549</v>
      </c>
      <c r="T4191" t="s">
        <v>49163</v>
      </c>
      <c r="U4191" t="s">
        <v>50752</v>
      </c>
      <c r="W4191" t="s">
        <v>43592</v>
      </c>
      <c r="X4191" t="s">
        <v>47431</v>
      </c>
    </row>
    <row r="4192" spans="1:24">
      <c r="A4192">
        <f>HYPERLINK("https://www.philgeps.gov.ph/GEPSNONPILOT/Tender/SplashBidNoticeAbstractUI.aspx?menuIndex=3&amp;refID=7158940&amp;Result=3","7158940")</f>
        <v>0</v>
      </c>
      <c r="B4192" t="s">
        <v>1688</v>
      </c>
      <c r="C4192" t="s">
        <v>7875</v>
      </c>
      <c r="D4192" t="s">
        <v>19078</v>
      </c>
      <c r="E4192" t="s">
        <v>22837</v>
      </c>
      <c r="F4192" t="s">
        <v>32831</v>
      </c>
      <c r="G4192" t="s">
        <v>32839</v>
      </c>
      <c r="H4192" t="s">
        <v>32849</v>
      </c>
      <c r="I4192" t="s">
        <v>4177</v>
      </c>
      <c r="J4192" t="s">
        <v>35716</v>
      </c>
      <c r="K4192" t="s">
        <v>42780</v>
      </c>
      <c r="L4192" t="s">
        <v>1688</v>
      </c>
      <c r="M4192" t="s">
        <v>44808</v>
      </c>
      <c r="N4192" t="s">
        <v>47424</v>
      </c>
      <c r="O4192" t="s">
        <v>47425</v>
      </c>
      <c r="P4192">
        <v>0</v>
      </c>
      <c r="Q4192">
        <v>0</v>
      </c>
      <c r="R4192" t="s">
        <v>47430</v>
      </c>
      <c r="S4192" t="s">
        <v>47549</v>
      </c>
      <c r="T4192" t="s">
        <v>49319</v>
      </c>
      <c r="U4192" t="s">
        <v>53230</v>
      </c>
      <c r="V4192" t="s">
        <v>63089</v>
      </c>
      <c r="W4192" t="s">
        <v>44808</v>
      </c>
      <c r="X4192" t="s">
        <v>47431</v>
      </c>
    </row>
    <row r="4193" spans="1:24">
      <c r="A4193">
        <f>HYPERLINK("https://www.philgeps.gov.ph/GEPSNONPILOT/Tender/SplashBidNoticeAbstractUI.aspx?menuIndex=3&amp;refID=7158938&amp;Result=3","7158938")</f>
        <v>0</v>
      </c>
      <c r="B4193" t="s">
        <v>1705</v>
      </c>
      <c r="C4193" t="s">
        <v>7876</v>
      </c>
      <c r="E4193" t="s">
        <v>22838</v>
      </c>
      <c r="F4193" t="s">
        <v>32831</v>
      </c>
      <c r="G4193" t="s">
        <v>32838</v>
      </c>
      <c r="H4193" t="s">
        <v>32848</v>
      </c>
      <c r="I4193" t="s">
        <v>4222</v>
      </c>
      <c r="J4193" t="s">
        <v>35717</v>
      </c>
      <c r="K4193" t="s">
        <v>42732</v>
      </c>
      <c r="M4193" t="s">
        <v>44827</v>
      </c>
      <c r="N4193" t="s">
        <v>47424</v>
      </c>
      <c r="O4193" t="s">
        <v>47425</v>
      </c>
      <c r="P4193">
        <v>0</v>
      </c>
      <c r="Q4193">
        <v>1</v>
      </c>
      <c r="R4193" t="s">
        <v>47430</v>
      </c>
      <c r="S4193" t="s">
        <v>47549</v>
      </c>
      <c r="T4193" t="s">
        <v>49079</v>
      </c>
      <c r="U4193" t="s">
        <v>53231</v>
      </c>
      <c r="W4193" t="s">
        <v>44827</v>
      </c>
      <c r="X4193" t="s">
        <v>47431</v>
      </c>
    </row>
    <row r="4194" spans="1:24">
      <c r="A4194">
        <f>HYPERLINK("https://www.philgeps.gov.ph/GEPSNONPILOT/Tender/SplashBidNoticeAbstractUI.aspx?menuIndex=3&amp;refID=7158933&amp;Result=3","7158933")</f>
        <v>0</v>
      </c>
      <c r="B4194" t="s">
        <v>565</v>
      </c>
      <c r="C4194" t="s">
        <v>7877</v>
      </c>
      <c r="D4194" t="s">
        <v>19020</v>
      </c>
      <c r="E4194" t="s">
        <v>22839</v>
      </c>
      <c r="F4194" t="s">
        <v>32831</v>
      </c>
      <c r="G4194" t="s">
        <v>32838</v>
      </c>
      <c r="H4194" t="s">
        <v>32848</v>
      </c>
      <c r="I4194" t="s">
        <v>32883</v>
      </c>
      <c r="J4194" t="s">
        <v>33254</v>
      </c>
      <c r="K4194" t="s">
        <v>42727</v>
      </c>
      <c r="M4194" t="s">
        <v>44789</v>
      </c>
      <c r="N4194" t="s">
        <v>47424</v>
      </c>
      <c r="O4194" t="s">
        <v>47425</v>
      </c>
      <c r="P4194">
        <v>0</v>
      </c>
      <c r="Q4194">
        <v>0</v>
      </c>
      <c r="R4194" t="s">
        <v>47430</v>
      </c>
      <c r="S4194" t="s">
        <v>47549</v>
      </c>
      <c r="T4194" t="s">
        <v>49089</v>
      </c>
      <c r="U4194" t="s">
        <v>53232</v>
      </c>
      <c r="W4194" t="s">
        <v>44789</v>
      </c>
      <c r="X4194" t="s">
        <v>47431</v>
      </c>
    </row>
    <row r="4195" spans="1:24">
      <c r="A4195">
        <f>HYPERLINK("https://www.philgeps.gov.ph/GEPSNONPILOT/Tender/SplashBidNoticeAbstractUI.aspx?menuIndex=3&amp;refID=7158932&amp;Result=3","7158932")</f>
        <v>0</v>
      </c>
      <c r="B4195" t="s">
        <v>273</v>
      </c>
      <c r="C4195" t="s">
        <v>7878</v>
      </c>
      <c r="D4195" t="s">
        <v>19060</v>
      </c>
      <c r="E4195" t="s">
        <v>22840</v>
      </c>
      <c r="F4195" t="s">
        <v>32831</v>
      </c>
      <c r="G4195" t="s">
        <v>32838</v>
      </c>
      <c r="H4195" t="s">
        <v>32848</v>
      </c>
      <c r="I4195" t="s">
        <v>7878</v>
      </c>
      <c r="J4195" t="s">
        <v>33364</v>
      </c>
      <c r="K4195" t="s">
        <v>42776</v>
      </c>
      <c r="M4195" t="s">
        <v>43272</v>
      </c>
      <c r="N4195" t="s">
        <v>47424</v>
      </c>
      <c r="O4195" t="s">
        <v>47425</v>
      </c>
      <c r="P4195">
        <v>0</v>
      </c>
      <c r="Q4195">
        <v>0</v>
      </c>
      <c r="R4195" t="s">
        <v>47430</v>
      </c>
      <c r="S4195" t="s">
        <v>47549</v>
      </c>
      <c r="T4195" t="s">
        <v>49111</v>
      </c>
      <c r="U4195" t="s">
        <v>53109</v>
      </c>
      <c r="V4195" t="s">
        <v>62674</v>
      </c>
      <c r="W4195" t="s">
        <v>43272</v>
      </c>
      <c r="X4195" t="s">
        <v>47431</v>
      </c>
    </row>
    <row r="4196" spans="1:24">
      <c r="A4196">
        <f>HYPERLINK("https://www.philgeps.gov.ph/GEPSNONPILOT/Tender/SplashBidNoticeAbstractUI.aspx?menuIndex=3&amp;refID=7158926&amp;Result=3","7158926")</f>
        <v>0</v>
      </c>
      <c r="B4196" t="s">
        <v>620</v>
      </c>
      <c r="C4196" t="s">
        <v>7879</v>
      </c>
      <c r="D4196" t="s">
        <v>19017</v>
      </c>
      <c r="E4196" t="s">
        <v>22841</v>
      </c>
      <c r="F4196" t="s">
        <v>32831</v>
      </c>
      <c r="G4196" t="s">
        <v>32838</v>
      </c>
      <c r="H4196" t="s">
        <v>32848</v>
      </c>
      <c r="I4196" t="s">
        <v>4438</v>
      </c>
      <c r="J4196" t="s">
        <v>33162</v>
      </c>
      <c r="K4196" t="s">
        <v>42730</v>
      </c>
      <c r="M4196" t="s">
        <v>44816</v>
      </c>
      <c r="N4196" t="s">
        <v>47424</v>
      </c>
      <c r="O4196" t="s">
        <v>47425</v>
      </c>
      <c r="P4196">
        <v>0</v>
      </c>
      <c r="Q4196">
        <v>2</v>
      </c>
      <c r="R4196" t="s">
        <v>47430</v>
      </c>
      <c r="S4196" t="s">
        <v>47549</v>
      </c>
      <c r="T4196" t="s">
        <v>49239</v>
      </c>
      <c r="U4196" t="s">
        <v>53209</v>
      </c>
      <c r="W4196" t="s">
        <v>44816</v>
      </c>
      <c r="X4196" t="s">
        <v>47431</v>
      </c>
    </row>
    <row r="4197" spans="1:24">
      <c r="A4197">
        <f>HYPERLINK("https://www.philgeps.gov.ph/GEPSNONPILOT/Tender/SplashBidNoticeAbstractUI.aspx?menuIndex=3&amp;refID=7158943&amp;Result=3","7158943")</f>
        <v>0</v>
      </c>
      <c r="B4197" t="s">
        <v>1706</v>
      </c>
      <c r="C4197" t="s">
        <v>7880</v>
      </c>
      <c r="D4197" t="s">
        <v>19066</v>
      </c>
      <c r="E4197" t="s">
        <v>22842</v>
      </c>
      <c r="F4197" t="s">
        <v>32831</v>
      </c>
      <c r="G4197" t="s">
        <v>32839</v>
      </c>
      <c r="H4197" t="s">
        <v>32849</v>
      </c>
      <c r="I4197" t="s">
        <v>4177</v>
      </c>
      <c r="J4197" t="s">
        <v>35718</v>
      </c>
      <c r="K4197" t="s">
        <v>42857</v>
      </c>
      <c r="M4197" t="s">
        <v>44828</v>
      </c>
      <c r="N4197" t="s">
        <v>47424</v>
      </c>
      <c r="O4197" t="s">
        <v>47425</v>
      </c>
      <c r="P4197">
        <v>0</v>
      </c>
      <c r="Q4197">
        <v>1</v>
      </c>
      <c r="R4197" t="s">
        <v>47430</v>
      </c>
      <c r="S4197" t="s">
        <v>47549</v>
      </c>
      <c r="T4197" t="s">
        <v>49217</v>
      </c>
      <c r="U4197" t="s">
        <v>53233</v>
      </c>
      <c r="W4197" t="s">
        <v>44828</v>
      </c>
      <c r="X4197" t="s">
        <v>47431</v>
      </c>
    </row>
    <row r="4198" spans="1:24">
      <c r="A4198">
        <f>HYPERLINK("https://www.philgeps.gov.ph/GEPSNONPILOT/Tender/SplashBidNoticeAbstractUI.aspx?menuIndex=3&amp;refID=7158889&amp;Result=3","7158889")</f>
        <v>0</v>
      </c>
      <c r="B4198" t="s">
        <v>1707</v>
      </c>
      <c r="C4198" t="s">
        <v>7881</v>
      </c>
      <c r="D4198" t="s">
        <v>19074</v>
      </c>
      <c r="E4198" t="s">
        <v>22843</v>
      </c>
      <c r="F4198" t="s">
        <v>32831</v>
      </c>
      <c r="G4198" t="s">
        <v>32839</v>
      </c>
      <c r="H4198" t="s">
        <v>32848</v>
      </c>
      <c r="I4198" t="s">
        <v>4776</v>
      </c>
      <c r="J4198" t="s">
        <v>33468</v>
      </c>
      <c r="K4198" t="s">
        <v>42745</v>
      </c>
      <c r="M4198" t="s">
        <v>44829</v>
      </c>
      <c r="N4198" t="s">
        <v>47424</v>
      </c>
      <c r="O4198" t="s">
        <v>47425</v>
      </c>
      <c r="P4198">
        <v>0</v>
      </c>
      <c r="Q4198">
        <v>5</v>
      </c>
      <c r="R4198" t="s">
        <v>47430</v>
      </c>
      <c r="S4198" t="s">
        <v>47549</v>
      </c>
      <c r="T4198" t="s">
        <v>49334</v>
      </c>
      <c r="U4198" t="s">
        <v>53234</v>
      </c>
      <c r="W4198" t="s">
        <v>44829</v>
      </c>
      <c r="X4198" t="s">
        <v>47431</v>
      </c>
    </row>
    <row r="4199" spans="1:24">
      <c r="A4199">
        <f>HYPERLINK("https://www.philgeps.gov.ph/GEPSNONPILOT/Tender/SplashBidNoticeAbstractUI.aspx?menuIndex=3&amp;refID=7158898&amp;Result=3","7158898")</f>
        <v>0</v>
      </c>
      <c r="B4199" t="s">
        <v>1708</v>
      </c>
      <c r="C4199" t="s">
        <v>7882</v>
      </c>
      <c r="E4199" t="s">
        <v>19203</v>
      </c>
      <c r="F4199" t="s">
        <v>32833</v>
      </c>
      <c r="G4199" t="s">
        <v>32840</v>
      </c>
      <c r="H4199" t="s">
        <v>32848</v>
      </c>
      <c r="I4199" t="s">
        <v>32858</v>
      </c>
      <c r="J4199" t="s">
        <v>33044</v>
      </c>
      <c r="K4199" t="s">
        <v>42732</v>
      </c>
      <c r="M4199" t="s">
        <v>44830</v>
      </c>
      <c r="N4199" t="s">
        <v>47424</v>
      </c>
      <c r="O4199" t="s">
        <v>47425</v>
      </c>
      <c r="P4199">
        <v>0</v>
      </c>
      <c r="Q4199">
        <v>1</v>
      </c>
      <c r="R4199" t="s">
        <v>47430</v>
      </c>
      <c r="S4199" t="s">
        <v>47549</v>
      </c>
      <c r="T4199" t="s">
        <v>49145</v>
      </c>
      <c r="U4199" t="s">
        <v>53235</v>
      </c>
      <c r="W4199" t="s">
        <v>44830</v>
      </c>
      <c r="X4199" t="s">
        <v>47431</v>
      </c>
    </row>
    <row r="4200" spans="1:24">
      <c r="A4200">
        <f>HYPERLINK("https://www.philgeps.gov.ph/GEPSNONPILOT/Tender/SplashBidNoticeAbstractUI.aspx?menuIndex=3&amp;refID=7158949&amp;Result=3","7158949")</f>
        <v>0</v>
      </c>
      <c r="B4200" t="s">
        <v>1709</v>
      </c>
      <c r="C4200" t="s">
        <v>7883</v>
      </c>
      <c r="D4200" t="s">
        <v>19038</v>
      </c>
      <c r="E4200" t="s">
        <v>19183</v>
      </c>
      <c r="F4200" t="s">
        <v>32831</v>
      </c>
      <c r="G4200" t="s">
        <v>32842</v>
      </c>
      <c r="H4200" t="s">
        <v>32848</v>
      </c>
      <c r="I4200" t="s">
        <v>32858</v>
      </c>
      <c r="J4200" t="s">
        <v>35719</v>
      </c>
      <c r="K4200" t="s">
        <v>42732</v>
      </c>
      <c r="M4200" t="s">
        <v>44831</v>
      </c>
      <c r="N4200" t="s">
        <v>47424</v>
      </c>
      <c r="O4200" t="s">
        <v>47425</v>
      </c>
      <c r="P4200">
        <v>0</v>
      </c>
      <c r="Q4200">
        <v>0</v>
      </c>
      <c r="R4200" t="s">
        <v>47430</v>
      </c>
      <c r="S4200" t="s">
        <v>47549</v>
      </c>
      <c r="T4200" t="s">
        <v>49145</v>
      </c>
      <c r="U4200" t="s">
        <v>53236</v>
      </c>
      <c r="W4200" t="s">
        <v>44831</v>
      </c>
      <c r="X4200" t="s">
        <v>47431</v>
      </c>
    </row>
    <row r="4201" spans="1:24">
      <c r="A4201">
        <f>HYPERLINK("https://www.philgeps.gov.ph/GEPSNONPILOT/Tender/SplashBidNoticeAbstractUI.aspx?menuIndex=3&amp;refID=7158922&amp;Result=3","7158922")</f>
        <v>0</v>
      </c>
      <c r="B4201" t="s">
        <v>1624</v>
      </c>
      <c r="C4201" t="s">
        <v>7884</v>
      </c>
      <c r="D4201" t="s">
        <v>19094</v>
      </c>
      <c r="E4201" t="s">
        <v>22844</v>
      </c>
      <c r="F4201" t="s">
        <v>32831</v>
      </c>
      <c r="G4201" t="s">
        <v>32839</v>
      </c>
      <c r="H4201" t="s">
        <v>32849</v>
      </c>
      <c r="I4201" t="s">
        <v>4177</v>
      </c>
      <c r="J4201" t="s">
        <v>35720</v>
      </c>
      <c r="K4201" t="s">
        <v>42829</v>
      </c>
      <c r="M4201" t="s">
        <v>44740</v>
      </c>
      <c r="N4201" t="s">
        <v>47424</v>
      </c>
      <c r="O4201" t="s">
        <v>47425</v>
      </c>
      <c r="P4201">
        <v>0</v>
      </c>
      <c r="Q4201">
        <v>0</v>
      </c>
      <c r="R4201" t="s">
        <v>47430</v>
      </c>
      <c r="S4201" t="s">
        <v>47549</v>
      </c>
      <c r="T4201" t="s">
        <v>49267</v>
      </c>
      <c r="U4201" t="s">
        <v>53237</v>
      </c>
      <c r="V4201" t="s">
        <v>63065</v>
      </c>
      <c r="W4201" t="s">
        <v>44740</v>
      </c>
      <c r="X4201" t="s">
        <v>47431</v>
      </c>
    </row>
    <row r="4202" spans="1:24">
      <c r="A4202">
        <f>HYPERLINK("https://www.philgeps.gov.ph/GEPSNONPILOT/Tender/SplashBidNoticeAbstractUI.aspx?menuIndex=3&amp;refID=7158919&amp;Result=3","7158919")</f>
        <v>0</v>
      </c>
      <c r="B4202" t="s">
        <v>1700</v>
      </c>
      <c r="C4202" t="s">
        <v>7885</v>
      </c>
      <c r="D4202" t="s">
        <v>19054</v>
      </c>
      <c r="E4202" t="s">
        <v>19829</v>
      </c>
      <c r="F4202" t="s">
        <v>32831</v>
      </c>
      <c r="G4202" t="s">
        <v>32839</v>
      </c>
      <c r="H4202" t="s">
        <v>32848</v>
      </c>
      <c r="I4202" t="s">
        <v>32929</v>
      </c>
      <c r="J4202" t="s">
        <v>33433</v>
      </c>
      <c r="K4202" t="s">
        <v>42726</v>
      </c>
      <c r="M4202" t="s">
        <v>44821</v>
      </c>
      <c r="N4202" t="s">
        <v>47424</v>
      </c>
      <c r="O4202" t="s">
        <v>47425</v>
      </c>
      <c r="P4202">
        <v>0</v>
      </c>
      <c r="Q4202">
        <v>2</v>
      </c>
      <c r="R4202" t="s">
        <v>47430</v>
      </c>
      <c r="S4202" t="s">
        <v>47549</v>
      </c>
      <c r="T4202" t="s">
        <v>49060</v>
      </c>
      <c r="U4202" t="s">
        <v>53238</v>
      </c>
      <c r="V4202" t="s">
        <v>63093</v>
      </c>
      <c r="W4202" t="s">
        <v>44821</v>
      </c>
      <c r="X4202" t="s">
        <v>47431</v>
      </c>
    </row>
    <row r="4203" spans="1:24">
      <c r="A4203">
        <f>HYPERLINK("https://www.philgeps.gov.ph/GEPSNONPILOT/Tender/SplashBidNoticeAbstractUI.aspx?menuIndex=3&amp;refID=7158911&amp;Result=3","7158911")</f>
        <v>0</v>
      </c>
      <c r="B4203" t="s">
        <v>1710</v>
      </c>
      <c r="C4203" t="s">
        <v>7886</v>
      </c>
      <c r="D4203" t="s">
        <v>19044</v>
      </c>
      <c r="E4203" t="s">
        <v>22845</v>
      </c>
      <c r="F4203" t="s">
        <v>32831</v>
      </c>
      <c r="G4203" t="s">
        <v>32838</v>
      </c>
      <c r="H4203" t="s">
        <v>32848</v>
      </c>
      <c r="I4203" t="s">
        <v>11484</v>
      </c>
      <c r="J4203" t="s">
        <v>33638</v>
      </c>
      <c r="K4203" t="s">
        <v>42732</v>
      </c>
      <c r="M4203" t="s">
        <v>44832</v>
      </c>
      <c r="N4203" t="s">
        <v>47424</v>
      </c>
      <c r="O4203" t="s">
        <v>47425</v>
      </c>
      <c r="P4203">
        <v>0</v>
      </c>
      <c r="Q4203">
        <v>2</v>
      </c>
      <c r="R4203" t="s">
        <v>47430</v>
      </c>
      <c r="S4203" t="s">
        <v>47549</v>
      </c>
      <c r="T4203" t="s">
        <v>49111</v>
      </c>
      <c r="U4203" t="s">
        <v>53239</v>
      </c>
      <c r="W4203" t="s">
        <v>44832</v>
      </c>
      <c r="X4203" t="s">
        <v>47431</v>
      </c>
    </row>
    <row r="4204" spans="1:24">
      <c r="A4204">
        <f>HYPERLINK("https://www.philgeps.gov.ph/GEPSNONPILOT/Tender/SplashBidNoticeAbstractUI.aspx?menuIndex=3&amp;refID=7158927&amp;Result=3","7158927")</f>
        <v>0</v>
      </c>
      <c r="B4204" t="s">
        <v>672</v>
      </c>
      <c r="C4204" t="s">
        <v>7887</v>
      </c>
      <c r="D4204" t="s">
        <v>19085</v>
      </c>
      <c r="E4204" t="s">
        <v>22846</v>
      </c>
      <c r="F4204" t="s">
        <v>32831</v>
      </c>
      <c r="G4204" t="s">
        <v>32845</v>
      </c>
      <c r="H4204" t="s">
        <v>32849</v>
      </c>
      <c r="I4204" t="s">
        <v>4177</v>
      </c>
      <c r="J4204" t="s">
        <v>35721</v>
      </c>
      <c r="K4204" t="s">
        <v>42858</v>
      </c>
      <c r="M4204" t="s">
        <v>43691</v>
      </c>
      <c r="N4204" t="s">
        <v>47424</v>
      </c>
      <c r="O4204" t="s">
        <v>47425</v>
      </c>
      <c r="P4204">
        <v>0</v>
      </c>
      <c r="Q4204">
        <v>1</v>
      </c>
      <c r="R4204" t="s">
        <v>47430</v>
      </c>
      <c r="S4204" t="s">
        <v>47549</v>
      </c>
      <c r="T4204" t="s">
        <v>49102</v>
      </c>
      <c r="U4204" t="s">
        <v>53240</v>
      </c>
      <c r="W4204" t="s">
        <v>43691</v>
      </c>
      <c r="X4204" t="s">
        <v>47431</v>
      </c>
    </row>
    <row r="4205" spans="1:24">
      <c r="A4205">
        <f>HYPERLINK("https://www.philgeps.gov.ph/GEPSNONPILOT/Tender/SplashBidNoticeAbstractUI.aspx?menuIndex=3&amp;refID=7158920&amp;Result=3","7158920")</f>
        <v>0</v>
      </c>
      <c r="B4205" t="s">
        <v>1608</v>
      </c>
      <c r="C4205" t="s">
        <v>7888</v>
      </c>
      <c r="D4205" t="s">
        <v>19058</v>
      </c>
      <c r="E4205" t="s">
        <v>22847</v>
      </c>
      <c r="F4205" t="s">
        <v>32831</v>
      </c>
      <c r="G4205" t="s">
        <v>32839</v>
      </c>
      <c r="H4205" t="s">
        <v>32849</v>
      </c>
      <c r="I4205" t="s">
        <v>4177</v>
      </c>
      <c r="J4205" t="s">
        <v>35722</v>
      </c>
      <c r="K4205" t="s">
        <v>42780</v>
      </c>
      <c r="M4205" t="s">
        <v>44724</v>
      </c>
      <c r="N4205" t="s">
        <v>47424</v>
      </c>
      <c r="O4205" t="s">
        <v>47425</v>
      </c>
      <c r="P4205">
        <v>0</v>
      </c>
      <c r="Q4205">
        <v>0</v>
      </c>
      <c r="R4205" t="s">
        <v>47430</v>
      </c>
      <c r="S4205" t="s">
        <v>47549</v>
      </c>
      <c r="T4205" t="s">
        <v>49181</v>
      </c>
      <c r="U4205" t="s">
        <v>53033</v>
      </c>
      <c r="V4205" t="s">
        <v>63095</v>
      </c>
      <c r="W4205" t="s">
        <v>44724</v>
      </c>
      <c r="X4205" t="s">
        <v>47431</v>
      </c>
    </row>
    <row r="4206" spans="1:24">
      <c r="A4206">
        <f>HYPERLINK("https://www.philgeps.gov.ph/GEPSNONPILOT/Tender/SplashBidNoticeAbstractUI.aspx?menuIndex=3&amp;refID=7158985&amp;Result=3","7158985")</f>
        <v>0</v>
      </c>
      <c r="B4206" t="s">
        <v>895</v>
      </c>
      <c r="C4206" t="s">
        <v>7889</v>
      </c>
      <c r="D4206" t="s">
        <v>19036</v>
      </c>
      <c r="E4206" t="s">
        <v>22848</v>
      </c>
      <c r="F4206" t="s">
        <v>32831</v>
      </c>
      <c r="G4206" t="s">
        <v>32842</v>
      </c>
      <c r="H4206" t="s">
        <v>32848</v>
      </c>
      <c r="I4206" t="s">
        <v>9577</v>
      </c>
      <c r="J4206" t="s">
        <v>35723</v>
      </c>
      <c r="K4206" t="s">
        <v>42727</v>
      </c>
      <c r="M4206" t="s">
        <v>44825</v>
      </c>
      <c r="N4206" t="s">
        <v>47424</v>
      </c>
      <c r="O4206" t="s">
        <v>47425</v>
      </c>
      <c r="P4206">
        <v>0</v>
      </c>
      <c r="Q4206">
        <v>1</v>
      </c>
      <c r="R4206" t="s">
        <v>47430</v>
      </c>
      <c r="S4206" t="s">
        <v>47549</v>
      </c>
      <c r="T4206" t="s">
        <v>49108</v>
      </c>
      <c r="U4206" t="s">
        <v>53241</v>
      </c>
      <c r="V4206" t="s">
        <v>62833</v>
      </c>
      <c r="W4206" t="s">
        <v>44825</v>
      </c>
      <c r="X4206" t="s">
        <v>47431</v>
      </c>
    </row>
    <row r="4207" spans="1:24">
      <c r="A4207">
        <f>HYPERLINK("https://www.philgeps.gov.ph/GEPSNONPILOT/Tender/SplashBidNoticeAbstractUI.aspx?menuIndex=3&amp;refID=7158921&amp;Result=3","7158921")</f>
        <v>0</v>
      </c>
      <c r="B4207" t="s">
        <v>1552</v>
      </c>
      <c r="C4207" t="s">
        <v>7890</v>
      </c>
      <c r="D4207" t="s">
        <v>19074</v>
      </c>
      <c r="E4207" t="s">
        <v>22849</v>
      </c>
      <c r="F4207" t="s">
        <v>32831</v>
      </c>
      <c r="G4207" t="s">
        <v>32838</v>
      </c>
      <c r="H4207" t="s">
        <v>32848</v>
      </c>
      <c r="I4207" t="s">
        <v>32898</v>
      </c>
      <c r="J4207" t="s">
        <v>35724</v>
      </c>
      <c r="K4207" t="s">
        <v>42730</v>
      </c>
      <c r="M4207" t="s">
        <v>44659</v>
      </c>
      <c r="N4207" t="s">
        <v>47424</v>
      </c>
      <c r="O4207" t="s">
        <v>47425</v>
      </c>
      <c r="P4207">
        <v>0</v>
      </c>
      <c r="Q4207">
        <v>2</v>
      </c>
      <c r="R4207" t="s">
        <v>47430</v>
      </c>
      <c r="S4207" t="s">
        <v>47549</v>
      </c>
      <c r="T4207" t="s">
        <v>49111</v>
      </c>
      <c r="U4207" t="s">
        <v>53242</v>
      </c>
      <c r="W4207" t="s">
        <v>44659</v>
      </c>
      <c r="X4207" t="s">
        <v>47431</v>
      </c>
    </row>
    <row r="4208" spans="1:24">
      <c r="A4208">
        <f>HYPERLINK("https://www.philgeps.gov.ph/GEPSNONPILOT/Tender/SplashBidNoticeAbstractUI.aspx?menuIndex=3&amp;refID=7158917&amp;Result=3","7158917")</f>
        <v>0</v>
      </c>
      <c r="B4208" t="s">
        <v>1711</v>
      </c>
      <c r="C4208" t="s">
        <v>7891</v>
      </c>
      <c r="D4208" t="s">
        <v>19018</v>
      </c>
      <c r="E4208" t="s">
        <v>22850</v>
      </c>
      <c r="F4208" t="s">
        <v>32835</v>
      </c>
      <c r="G4208" t="s">
        <v>32840</v>
      </c>
      <c r="H4208" t="s">
        <v>32848</v>
      </c>
      <c r="I4208" t="s">
        <v>32906</v>
      </c>
      <c r="J4208" t="s">
        <v>33041</v>
      </c>
      <c r="K4208" t="s">
        <v>42731</v>
      </c>
      <c r="L4208" t="s">
        <v>1711</v>
      </c>
      <c r="M4208" t="s">
        <v>44833</v>
      </c>
      <c r="N4208" t="s">
        <v>47424</v>
      </c>
      <c r="O4208" t="s">
        <v>47425</v>
      </c>
      <c r="P4208">
        <v>0</v>
      </c>
      <c r="Q4208">
        <v>1</v>
      </c>
      <c r="R4208" t="s">
        <v>47430</v>
      </c>
      <c r="S4208" t="s">
        <v>47549</v>
      </c>
      <c r="T4208" t="s">
        <v>49089</v>
      </c>
      <c r="U4208" t="s">
        <v>53243</v>
      </c>
      <c r="W4208" t="s">
        <v>44833</v>
      </c>
      <c r="X4208" t="s">
        <v>47431</v>
      </c>
    </row>
    <row r="4209" spans="1:24">
      <c r="A4209">
        <f>HYPERLINK("https://www.philgeps.gov.ph/GEPSNONPILOT/Tender/SplashBidNoticeAbstractUI.aspx?menuIndex=3&amp;refID=7158923&amp;Result=3","7158923")</f>
        <v>0</v>
      </c>
      <c r="B4209" t="s">
        <v>878</v>
      </c>
      <c r="C4209" t="s">
        <v>7892</v>
      </c>
      <c r="D4209" t="s">
        <v>19067</v>
      </c>
      <c r="E4209" t="s">
        <v>22851</v>
      </c>
      <c r="F4209" t="s">
        <v>32831</v>
      </c>
      <c r="G4209" t="s">
        <v>32838</v>
      </c>
      <c r="H4209" t="s">
        <v>32848</v>
      </c>
      <c r="I4209" t="s">
        <v>32903</v>
      </c>
      <c r="J4209" t="s">
        <v>33422</v>
      </c>
      <c r="K4209" t="s">
        <v>42730</v>
      </c>
      <c r="M4209" t="s">
        <v>43912</v>
      </c>
      <c r="N4209" t="s">
        <v>47424</v>
      </c>
      <c r="O4209" t="s">
        <v>47425</v>
      </c>
      <c r="P4209">
        <v>0</v>
      </c>
      <c r="Q4209">
        <v>1</v>
      </c>
      <c r="R4209" t="s">
        <v>47430</v>
      </c>
      <c r="S4209" t="s">
        <v>47549</v>
      </c>
      <c r="T4209" t="s">
        <v>49100</v>
      </c>
      <c r="U4209" t="s">
        <v>53244</v>
      </c>
      <c r="W4209" t="s">
        <v>43912</v>
      </c>
      <c r="X4209" t="s">
        <v>47431</v>
      </c>
    </row>
    <row r="4210" spans="1:24">
      <c r="A4210">
        <f>HYPERLINK("https://www.philgeps.gov.ph/GEPSNONPILOT/Tender/SplashBidNoticeAbstractUI.aspx?menuIndex=3&amp;refID=7158887&amp;Result=3","7158887")</f>
        <v>0</v>
      </c>
      <c r="B4210" t="s">
        <v>513</v>
      </c>
      <c r="C4210" t="s">
        <v>7893</v>
      </c>
      <c r="D4210" t="s">
        <v>19018</v>
      </c>
      <c r="E4210" t="s">
        <v>22852</v>
      </c>
      <c r="F4210" t="s">
        <v>32831</v>
      </c>
      <c r="G4210" t="s">
        <v>32838</v>
      </c>
      <c r="H4210" t="s">
        <v>32848</v>
      </c>
      <c r="I4210" t="s">
        <v>32877</v>
      </c>
      <c r="J4210" t="s">
        <v>35725</v>
      </c>
      <c r="K4210" t="s">
        <v>42726</v>
      </c>
      <c r="M4210" t="s">
        <v>43518</v>
      </c>
      <c r="N4210" t="s">
        <v>47424</v>
      </c>
      <c r="O4210" t="s">
        <v>47425</v>
      </c>
      <c r="P4210">
        <v>0</v>
      </c>
      <c r="Q4210">
        <v>0</v>
      </c>
      <c r="R4210" t="s">
        <v>47430</v>
      </c>
      <c r="S4210" t="s">
        <v>47549</v>
      </c>
      <c r="T4210" t="s">
        <v>49214</v>
      </c>
      <c r="U4210" t="s">
        <v>50599</v>
      </c>
      <c r="V4210" t="s">
        <v>63096</v>
      </c>
      <c r="W4210" t="s">
        <v>64441</v>
      </c>
      <c r="X4210" t="s">
        <v>47431</v>
      </c>
    </row>
    <row r="4211" spans="1:24">
      <c r="A4211">
        <f>HYPERLINK("https://www.philgeps.gov.ph/GEPSNONPILOT/Tender/SplashBidNoticeAbstractUI.aspx?menuIndex=3&amp;refID=7158979&amp;Result=3","7158979")</f>
        <v>0</v>
      </c>
      <c r="B4211" t="s">
        <v>1712</v>
      </c>
      <c r="C4211" t="s">
        <v>7894</v>
      </c>
      <c r="D4211" t="s">
        <v>19047</v>
      </c>
      <c r="E4211" t="s">
        <v>19501</v>
      </c>
      <c r="F4211" t="s">
        <v>32831</v>
      </c>
      <c r="G4211" t="s">
        <v>32839</v>
      </c>
      <c r="H4211" t="s">
        <v>32848</v>
      </c>
      <c r="I4211" t="s">
        <v>32855</v>
      </c>
      <c r="J4211" t="s">
        <v>35726</v>
      </c>
      <c r="K4211" t="s">
        <v>42759</v>
      </c>
      <c r="M4211" t="s">
        <v>44834</v>
      </c>
      <c r="N4211" t="s">
        <v>47424</v>
      </c>
      <c r="O4211" t="s">
        <v>47425</v>
      </c>
      <c r="P4211">
        <v>0</v>
      </c>
      <c r="Q4211">
        <v>0</v>
      </c>
      <c r="R4211" t="s">
        <v>47430</v>
      </c>
      <c r="S4211" t="s">
        <v>47549</v>
      </c>
      <c r="T4211" t="s">
        <v>49151</v>
      </c>
      <c r="U4211" t="s">
        <v>50280</v>
      </c>
      <c r="W4211" t="s">
        <v>44834</v>
      </c>
      <c r="X4211" t="s">
        <v>47431</v>
      </c>
    </row>
    <row r="4212" spans="1:24">
      <c r="A4212">
        <f>HYPERLINK("https://www.philgeps.gov.ph/GEPSNONPILOT/Tender/SplashBidNoticeAbstractUI.aspx?menuIndex=3&amp;refID=7158976&amp;Result=3","7158976")</f>
        <v>0</v>
      </c>
      <c r="B4212" t="s">
        <v>1704</v>
      </c>
      <c r="C4212" t="s">
        <v>7895</v>
      </c>
      <c r="D4212" t="s">
        <v>19084</v>
      </c>
      <c r="E4212" t="s">
        <v>22853</v>
      </c>
      <c r="F4212" t="s">
        <v>32831</v>
      </c>
      <c r="G4212" t="s">
        <v>32838</v>
      </c>
      <c r="H4212" t="s">
        <v>32848</v>
      </c>
      <c r="I4212" t="s">
        <v>32860</v>
      </c>
      <c r="J4212" t="s">
        <v>35727</v>
      </c>
      <c r="K4212" t="s">
        <v>42727</v>
      </c>
      <c r="M4212" t="s">
        <v>44826</v>
      </c>
      <c r="N4212" t="s">
        <v>47424</v>
      </c>
      <c r="O4212" t="s">
        <v>47425</v>
      </c>
      <c r="P4212">
        <v>0</v>
      </c>
      <c r="Q4212">
        <v>0</v>
      </c>
      <c r="R4212" t="s">
        <v>47430</v>
      </c>
      <c r="S4212" t="s">
        <v>47549</v>
      </c>
      <c r="T4212" t="s">
        <v>49235</v>
      </c>
      <c r="U4212" t="s">
        <v>53229</v>
      </c>
      <c r="V4212" t="s">
        <v>63094</v>
      </c>
      <c r="W4212" t="s">
        <v>44826</v>
      </c>
      <c r="X4212" t="s">
        <v>47431</v>
      </c>
    </row>
    <row r="4213" spans="1:24">
      <c r="A4213">
        <f>HYPERLINK("https://www.philgeps.gov.ph/GEPSNONPILOT/Tender/SplashBidNoticeAbstractUI.aspx?menuIndex=3&amp;refID=7158918&amp;Result=3","7158918")</f>
        <v>0</v>
      </c>
      <c r="B4213" t="s">
        <v>583</v>
      </c>
      <c r="C4213" t="s">
        <v>7896</v>
      </c>
      <c r="D4213" t="s">
        <v>19069</v>
      </c>
      <c r="E4213" t="s">
        <v>22854</v>
      </c>
      <c r="F4213" t="s">
        <v>32831</v>
      </c>
      <c r="G4213" t="s">
        <v>32839</v>
      </c>
      <c r="H4213" t="s">
        <v>32849</v>
      </c>
      <c r="I4213" t="s">
        <v>32863</v>
      </c>
      <c r="J4213" t="s">
        <v>33118</v>
      </c>
      <c r="K4213" t="s">
        <v>42779</v>
      </c>
      <c r="M4213" t="s">
        <v>43594</v>
      </c>
      <c r="N4213" t="s">
        <v>47424</v>
      </c>
      <c r="O4213" t="s">
        <v>47425</v>
      </c>
      <c r="P4213">
        <v>0</v>
      </c>
      <c r="Q4213">
        <v>0</v>
      </c>
      <c r="R4213" t="s">
        <v>47430</v>
      </c>
      <c r="S4213" t="s">
        <v>47549</v>
      </c>
      <c r="T4213" t="s">
        <v>49254</v>
      </c>
      <c r="U4213" t="s">
        <v>53245</v>
      </c>
      <c r="V4213" t="s">
        <v>63097</v>
      </c>
      <c r="W4213" t="s">
        <v>43594</v>
      </c>
      <c r="X4213" t="s">
        <v>47431</v>
      </c>
    </row>
    <row r="4214" spans="1:24">
      <c r="A4214">
        <f>HYPERLINK("https://www.philgeps.gov.ph/GEPSNONPILOT/Tender/SplashBidNoticeAbstractUI.aspx?menuIndex=3&amp;refID=7158970&amp;Result=3","7158970")</f>
        <v>0</v>
      </c>
      <c r="B4214" t="s">
        <v>1713</v>
      </c>
      <c r="C4214" t="s">
        <v>7897</v>
      </c>
      <c r="D4214" t="s">
        <v>19044</v>
      </c>
      <c r="E4214" t="s">
        <v>22855</v>
      </c>
      <c r="F4214" t="s">
        <v>32831</v>
      </c>
      <c r="G4214" t="s">
        <v>32838</v>
      </c>
      <c r="H4214" t="s">
        <v>32849</v>
      </c>
      <c r="I4214" t="s">
        <v>4177</v>
      </c>
      <c r="J4214" t="s">
        <v>35728</v>
      </c>
      <c r="K4214" t="s">
        <v>42730</v>
      </c>
      <c r="M4214" t="s">
        <v>44835</v>
      </c>
      <c r="N4214" t="s">
        <v>47424</v>
      </c>
      <c r="O4214" t="s">
        <v>47425</v>
      </c>
      <c r="P4214">
        <v>0</v>
      </c>
      <c r="Q4214">
        <v>0</v>
      </c>
      <c r="R4214" t="s">
        <v>47430</v>
      </c>
      <c r="S4214" t="s">
        <v>47549</v>
      </c>
      <c r="T4214" t="s">
        <v>49163</v>
      </c>
      <c r="U4214" t="s">
        <v>53246</v>
      </c>
      <c r="W4214" t="s">
        <v>44835</v>
      </c>
      <c r="X4214" t="s">
        <v>47431</v>
      </c>
    </row>
    <row r="4215" spans="1:24">
      <c r="A4215">
        <f>HYPERLINK("https://www.philgeps.gov.ph/GEPSNONPILOT/Tender/SplashBidNoticeAbstractUI.aspx?menuIndex=3&amp;refID=7158980&amp;Result=3","7158980")</f>
        <v>0</v>
      </c>
      <c r="B4215" t="s">
        <v>207</v>
      </c>
      <c r="C4215" t="s">
        <v>7898</v>
      </c>
      <c r="D4215" t="s">
        <v>19050</v>
      </c>
      <c r="E4215" t="s">
        <v>22856</v>
      </c>
      <c r="F4215" t="s">
        <v>32831</v>
      </c>
      <c r="G4215" t="s">
        <v>32838</v>
      </c>
      <c r="H4215" t="s">
        <v>32848</v>
      </c>
      <c r="I4215" t="s">
        <v>32870</v>
      </c>
      <c r="J4215" t="s">
        <v>35729</v>
      </c>
      <c r="K4215" t="s">
        <v>42732</v>
      </c>
      <c r="M4215" t="s">
        <v>43205</v>
      </c>
      <c r="N4215" t="s">
        <v>47424</v>
      </c>
      <c r="O4215" t="s">
        <v>47425</v>
      </c>
      <c r="P4215">
        <v>0</v>
      </c>
      <c r="Q4215">
        <v>0</v>
      </c>
      <c r="R4215" t="s">
        <v>47430</v>
      </c>
      <c r="S4215" t="s">
        <v>47549</v>
      </c>
      <c r="T4215" t="s">
        <v>49111</v>
      </c>
      <c r="U4215" t="s">
        <v>53247</v>
      </c>
      <c r="W4215" t="s">
        <v>64481</v>
      </c>
      <c r="X4215" t="s">
        <v>47431</v>
      </c>
    </row>
    <row r="4216" spans="1:24">
      <c r="A4216">
        <f>HYPERLINK("https://www.philgeps.gov.ph/GEPSNONPILOT/Tender/SplashBidNoticeAbstractUI.aspx?menuIndex=3&amp;refID=7158982&amp;Result=3","7158982")</f>
        <v>0</v>
      </c>
      <c r="B4216" t="s">
        <v>1714</v>
      </c>
      <c r="C4216" t="s">
        <v>7899</v>
      </c>
      <c r="D4216" t="s">
        <v>19026</v>
      </c>
      <c r="E4216" t="s">
        <v>22857</v>
      </c>
      <c r="F4216" t="s">
        <v>32831</v>
      </c>
      <c r="G4216" t="s">
        <v>32838</v>
      </c>
      <c r="H4216" t="s">
        <v>32848</v>
      </c>
      <c r="I4216" t="s">
        <v>5379</v>
      </c>
      <c r="J4216" t="s">
        <v>33930</v>
      </c>
      <c r="K4216" t="s">
        <v>42732</v>
      </c>
      <c r="M4216" t="s">
        <v>44836</v>
      </c>
      <c r="N4216" t="s">
        <v>47424</v>
      </c>
      <c r="O4216" t="s">
        <v>47425</v>
      </c>
      <c r="P4216">
        <v>0</v>
      </c>
      <c r="Q4216">
        <v>1</v>
      </c>
      <c r="R4216" t="s">
        <v>47430</v>
      </c>
      <c r="S4216" t="s">
        <v>47549</v>
      </c>
      <c r="T4216" t="s">
        <v>49111</v>
      </c>
      <c r="U4216" t="s">
        <v>53248</v>
      </c>
      <c r="W4216" t="s">
        <v>44836</v>
      </c>
      <c r="X4216" t="s">
        <v>47431</v>
      </c>
    </row>
    <row r="4217" spans="1:24">
      <c r="A4217">
        <f>HYPERLINK("https://www.philgeps.gov.ph/GEPSNONPILOT/Tender/SplashBidNoticeAbstractUI.aspx?menuIndex=3&amp;refID=7158967&amp;Result=3","7158967")</f>
        <v>0</v>
      </c>
      <c r="B4217" t="s">
        <v>1715</v>
      </c>
      <c r="C4217" t="s">
        <v>7900</v>
      </c>
      <c r="D4217" t="s">
        <v>19059</v>
      </c>
      <c r="E4217" t="s">
        <v>20463</v>
      </c>
      <c r="F4217" t="s">
        <v>32831</v>
      </c>
      <c r="G4217" t="s">
        <v>32839</v>
      </c>
      <c r="H4217" t="s">
        <v>32848</v>
      </c>
      <c r="I4217" t="s">
        <v>7416</v>
      </c>
      <c r="J4217" t="s">
        <v>35730</v>
      </c>
      <c r="K4217" t="s">
        <v>42726</v>
      </c>
      <c r="M4217" t="s">
        <v>44837</v>
      </c>
      <c r="N4217" t="s">
        <v>47424</v>
      </c>
      <c r="O4217" t="s">
        <v>47425</v>
      </c>
      <c r="P4217">
        <v>0</v>
      </c>
      <c r="Q4217">
        <v>1</v>
      </c>
      <c r="R4217" t="s">
        <v>47430</v>
      </c>
      <c r="S4217" t="s">
        <v>47549</v>
      </c>
      <c r="T4217" t="s">
        <v>49198</v>
      </c>
      <c r="U4217" t="s">
        <v>53249</v>
      </c>
      <c r="W4217" t="s">
        <v>44837</v>
      </c>
      <c r="X4217" t="s">
        <v>47431</v>
      </c>
    </row>
    <row r="4218" spans="1:24">
      <c r="A4218">
        <f>HYPERLINK("https://www.philgeps.gov.ph/GEPSNONPILOT/Tender/SplashBidNoticeAbstractUI.aspx?menuIndex=3&amp;refID=7158966&amp;Result=3","7158966")</f>
        <v>0</v>
      </c>
      <c r="B4218" t="s">
        <v>172</v>
      </c>
      <c r="C4218" t="s">
        <v>7901</v>
      </c>
      <c r="D4218" t="s">
        <v>19022</v>
      </c>
      <c r="E4218" t="s">
        <v>22858</v>
      </c>
      <c r="F4218" t="s">
        <v>32831</v>
      </c>
      <c r="G4218" t="s">
        <v>32838</v>
      </c>
      <c r="H4218" t="s">
        <v>32848</v>
      </c>
      <c r="I4218" t="s">
        <v>4558</v>
      </c>
      <c r="J4218" t="s">
        <v>32979</v>
      </c>
      <c r="K4218" t="s">
        <v>42726</v>
      </c>
      <c r="M4218" t="s">
        <v>43169</v>
      </c>
      <c r="N4218" t="s">
        <v>47424</v>
      </c>
      <c r="O4218" t="s">
        <v>47425</v>
      </c>
      <c r="P4218">
        <v>0</v>
      </c>
      <c r="Q4218">
        <v>1</v>
      </c>
      <c r="R4218" t="s">
        <v>47430</v>
      </c>
      <c r="S4218" t="s">
        <v>47549</v>
      </c>
      <c r="T4218" t="s">
        <v>49141</v>
      </c>
      <c r="U4218" t="s">
        <v>53250</v>
      </c>
      <c r="V4218" t="s">
        <v>63098</v>
      </c>
      <c r="W4218" t="s">
        <v>43169</v>
      </c>
      <c r="X4218" t="s">
        <v>47431</v>
      </c>
    </row>
    <row r="4219" spans="1:24">
      <c r="A4219">
        <f>HYPERLINK("https://www.philgeps.gov.ph/GEPSNONPILOT/Tender/SplashBidNoticeAbstractUI.aspx?menuIndex=3&amp;refID=7158964&amp;Result=3","7158964")</f>
        <v>0</v>
      </c>
      <c r="B4219" t="s">
        <v>1716</v>
      </c>
      <c r="C4219" t="s">
        <v>7902</v>
      </c>
      <c r="E4219" t="s">
        <v>22859</v>
      </c>
      <c r="F4219" t="s">
        <v>32831</v>
      </c>
      <c r="G4219" t="s">
        <v>32838</v>
      </c>
      <c r="H4219" t="s">
        <v>32848</v>
      </c>
      <c r="I4219" t="s">
        <v>32867</v>
      </c>
      <c r="J4219" t="s">
        <v>35731</v>
      </c>
      <c r="K4219" t="s">
        <v>42726</v>
      </c>
      <c r="M4219" t="s">
        <v>44838</v>
      </c>
      <c r="N4219" t="s">
        <v>47424</v>
      </c>
      <c r="O4219" t="s">
        <v>47425</v>
      </c>
      <c r="P4219">
        <v>0</v>
      </c>
      <c r="Q4219">
        <v>0</v>
      </c>
      <c r="R4219" t="s">
        <v>47430</v>
      </c>
      <c r="S4219" t="s">
        <v>47549</v>
      </c>
      <c r="T4219" t="s">
        <v>49079</v>
      </c>
      <c r="U4219" t="s">
        <v>53251</v>
      </c>
      <c r="W4219" t="s">
        <v>44838</v>
      </c>
      <c r="X4219" t="s">
        <v>47431</v>
      </c>
    </row>
    <row r="4220" spans="1:24">
      <c r="A4220">
        <f>HYPERLINK("https://www.philgeps.gov.ph/GEPSNONPILOT/Tender/SplashBidNoticeAbstractUI.aspx?menuIndex=3&amp;refID=7158960&amp;Result=3","7158960")</f>
        <v>0</v>
      </c>
      <c r="B4220" t="s">
        <v>1717</v>
      </c>
      <c r="C4220" t="s">
        <v>7903</v>
      </c>
      <c r="D4220" t="s">
        <v>19042</v>
      </c>
      <c r="E4220" t="s">
        <v>22860</v>
      </c>
      <c r="F4220" t="s">
        <v>32831</v>
      </c>
      <c r="G4220" t="s">
        <v>32838</v>
      </c>
      <c r="H4220" t="s">
        <v>32848</v>
      </c>
      <c r="I4220" t="s">
        <v>9577</v>
      </c>
      <c r="J4220" t="s">
        <v>35732</v>
      </c>
      <c r="K4220" t="s">
        <v>42726</v>
      </c>
      <c r="M4220" t="s">
        <v>44839</v>
      </c>
      <c r="N4220" t="s">
        <v>47424</v>
      </c>
      <c r="O4220" t="s">
        <v>47425</v>
      </c>
      <c r="P4220">
        <v>0</v>
      </c>
      <c r="Q4220">
        <v>2</v>
      </c>
      <c r="R4220" t="s">
        <v>47430</v>
      </c>
      <c r="S4220" t="s">
        <v>47549</v>
      </c>
      <c r="T4220" t="s">
        <v>49123</v>
      </c>
      <c r="U4220" t="s">
        <v>53252</v>
      </c>
      <c r="W4220" t="s">
        <v>44839</v>
      </c>
      <c r="X4220" t="s">
        <v>47431</v>
      </c>
    </row>
    <row r="4221" spans="1:24">
      <c r="A4221">
        <f>HYPERLINK("https://www.philgeps.gov.ph/GEPSNONPILOT/Tender/SplashBidNoticeAbstractUI.aspx?menuIndex=3&amp;refID=7158983&amp;Result=3","7158983")</f>
        <v>0</v>
      </c>
      <c r="B4221" t="s">
        <v>1717</v>
      </c>
      <c r="C4221" t="s">
        <v>7904</v>
      </c>
      <c r="D4221" t="s">
        <v>19042</v>
      </c>
      <c r="E4221" t="s">
        <v>22861</v>
      </c>
      <c r="F4221" t="s">
        <v>32831</v>
      </c>
      <c r="G4221" t="s">
        <v>32838</v>
      </c>
      <c r="H4221" t="s">
        <v>32848</v>
      </c>
      <c r="I4221" t="s">
        <v>32857</v>
      </c>
      <c r="J4221" t="s">
        <v>35733</v>
      </c>
      <c r="K4221" t="s">
        <v>42726</v>
      </c>
      <c r="M4221" t="s">
        <v>44839</v>
      </c>
      <c r="N4221" t="s">
        <v>47424</v>
      </c>
      <c r="O4221" t="s">
        <v>47425</v>
      </c>
      <c r="P4221">
        <v>0</v>
      </c>
      <c r="Q4221">
        <v>7</v>
      </c>
      <c r="R4221" t="s">
        <v>47430</v>
      </c>
      <c r="S4221" t="s">
        <v>47549</v>
      </c>
      <c r="T4221" t="s">
        <v>49123</v>
      </c>
      <c r="U4221" t="s">
        <v>53253</v>
      </c>
      <c r="W4221" t="s">
        <v>44839</v>
      </c>
      <c r="X4221" t="s">
        <v>47431</v>
      </c>
    </row>
    <row r="4222" spans="1:24">
      <c r="A4222">
        <f>HYPERLINK("https://www.philgeps.gov.ph/GEPSNONPILOT/Tender/SplashBidNoticeAbstractUI.aspx?menuIndex=3&amp;refID=7158958&amp;Result=3","7158958")</f>
        <v>0</v>
      </c>
      <c r="B4222" t="s">
        <v>1718</v>
      </c>
      <c r="C4222" t="s">
        <v>7905</v>
      </c>
      <c r="D4222" t="s">
        <v>19054</v>
      </c>
      <c r="E4222" t="s">
        <v>22862</v>
      </c>
      <c r="F4222" t="s">
        <v>32831</v>
      </c>
      <c r="G4222" t="s">
        <v>32838</v>
      </c>
      <c r="H4222" t="s">
        <v>32848</v>
      </c>
      <c r="I4222" t="s">
        <v>9577</v>
      </c>
      <c r="J4222" t="s">
        <v>35734</v>
      </c>
      <c r="K4222" t="s">
        <v>42731</v>
      </c>
      <c r="M4222" t="s">
        <v>44840</v>
      </c>
      <c r="N4222" t="s">
        <v>47424</v>
      </c>
      <c r="O4222" t="s">
        <v>47425</v>
      </c>
      <c r="P4222">
        <v>0</v>
      </c>
      <c r="Q4222">
        <v>1</v>
      </c>
      <c r="R4222" t="s">
        <v>47430</v>
      </c>
      <c r="S4222" t="s">
        <v>47549</v>
      </c>
      <c r="T4222" t="s">
        <v>49114</v>
      </c>
      <c r="U4222" t="s">
        <v>53254</v>
      </c>
      <c r="W4222" t="s">
        <v>44840</v>
      </c>
      <c r="X4222" t="s">
        <v>47431</v>
      </c>
    </row>
    <row r="4223" spans="1:24">
      <c r="A4223">
        <f>HYPERLINK("https://www.philgeps.gov.ph/GEPSNONPILOT/Tender/SplashBidNoticeAbstractUI.aspx?menuIndex=3&amp;refID=7158953&amp;Result=3","7158953")</f>
        <v>0</v>
      </c>
      <c r="B4223" t="s">
        <v>1719</v>
      </c>
      <c r="C4223" t="s">
        <v>7906</v>
      </c>
      <c r="D4223" t="s">
        <v>19027</v>
      </c>
      <c r="E4223" t="s">
        <v>22863</v>
      </c>
      <c r="F4223" t="s">
        <v>32831</v>
      </c>
      <c r="G4223" t="s">
        <v>32840</v>
      </c>
      <c r="H4223" t="s">
        <v>32848</v>
      </c>
      <c r="I4223" t="s">
        <v>32864</v>
      </c>
      <c r="J4223" t="s">
        <v>33077</v>
      </c>
      <c r="K4223" t="s">
        <v>42726</v>
      </c>
      <c r="M4223" t="s">
        <v>44841</v>
      </c>
      <c r="N4223" t="s">
        <v>47424</v>
      </c>
      <c r="O4223" t="s">
        <v>47425</v>
      </c>
      <c r="P4223">
        <v>0</v>
      </c>
      <c r="Q4223">
        <v>2</v>
      </c>
      <c r="R4223" t="s">
        <v>47430</v>
      </c>
      <c r="S4223" t="s">
        <v>47549</v>
      </c>
      <c r="T4223" t="s">
        <v>49114</v>
      </c>
      <c r="U4223" t="s">
        <v>53255</v>
      </c>
      <c r="W4223" t="s">
        <v>44841</v>
      </c>
      <c r="X4223" t="s">
        <v>47431</v>
      </c>
    </row>
    <row r="4224" spans="1:24">
      <c r="A4224">
        <f>HYPERLINK("https://www.philgeps.gov.ph/GEPSNONPILOT/Tender/SplashBidNoticeAbstractUI.aspx?menuIndex=3&amp;refID=7158974&amp;Result=3","7158974")</f>
        <v>0</v>
      </c>
      <c r="B4224" t="s">
        <v>762</v>
      </c>
      <c r="C4224" t="s">
        <v>7907</v>
      </c>
      <c r="E4224" t="s">
        <v>22864</v>
      </c>
      <c r="F4224" t="s">
        <v>32831</v>
      </c>
      <c r="G4224" t="s">
        <v>32838</v>
      </c>
      <c r="H4224" t="s">
        <v>32848</v>
      </c>
      <c r="I4224" t="s">
        <v>4487</v>
      </c>
      <c r="J4224" t="s">
        <v>35735</v>
      </c>
      <c r="K4224" t="s">
        <v>42732</v>
      </c>
      <c r="M4224" t="s">
        <v>44842</v>
      </c>
      <c r="N4224" t="s">
        <v>47424</v>
      </c>
      <c r="O4224" t="s">
        <v>47425</v>
      </c>
      <c r="P4224">
        <v>0</v>
      </c>
      <c r="Q4224">
        <v>5</v>
      </c>
      <c r="R4224" t="s">
        <v>47430</v>
      </c>
      <c r="S4224" t="s">
        <v>47549</v>
      </c>
      <c r="T4224" t="s">
        <v>49104</v>
      </c>
      <c r="U4224" t="s">
        <v>53256</v>
      </c>
      <c r="W4224" t="s">
        <v>44842</v>
      </c>
      <c r="X4224" t="s">
        <v>47431</v>
      </c>
    </row>
    <row r="4225" spans="1:24">
      <c r="A4225">
        <f>HYPERLINK("https://www.philgeps.gov.ph/GEPSNONPILOT/Tender/SplashBidNoticeAbstractUI.aspx?menuIndex=3&amp;refID=7158952&amp;Result=3","7158952")</f>
        <v>0</v>
      </c>
      <c r="B4225" t="s">
        <v>1684</v>
      </c>
      <c r="C4225" t="s">
        <v>7908</v>
      </c>
      <c r="D4225" t="s">
        <v>19022</v>
      </c>
      <c r="E4225" t="s">
        <v>22865</v>
      </c>
      <c r="F4225" t="s">
        <v>32831</v>
      </c>
      <c r="G4225" t="s">
        <v>32838</v>
      </c>
      <c r="H4225" t="s">
        <v>32848</v>
      </c>
      <c r="I4225" t="s">
        <v>32855</v>
      </c>
      <c r="J4225" t="s">
        <v>35736</v>
      </c>
      <c r="K4225" t="s">
        <v>42731</v>
      </c>
      <c r="M4225" t="s">
        <v>44804</v>
      </c>
      <c r="N4225" t="s">
        <v>47424</v>
      </c>
      <c r="O4225" t="s">
        <v>47425</v>
      </c>
      <c r="P4225">
        <v>0</v>
      </c>
      <c r="Q4225">
        <v>1</v>
      </c>
      <c r="R4225" t="s">
        <v>47430</v>
      </c>
      <c r="S4225" t="s">
        <v>47549</v>
      </c>
      <c r="T4225" t="s">
        <v>49253</v>
      </c>
      <c r="U4225" t="s">
        <v>53257</v>
      </c>
      <c r="W4225" t="s">
        <v>44804</v>
      </c>
      <c r="X4225" t="s">
        <v>47431</v>
      </c>
    </row>
    <row r="4226" spans="1:24">
      <c r="A4226">
        <f>HYPERLINK("https://www.philgeps.gov.ph/GEPSNONPILOT/Tender/SplashBidNoticeAbstractUI.aspx?menuIndex=3&amp;refID=7158987&amp;Result=3","7158987")</f>
        <v>0</v>
      </c>
      <c r="B4226" t="s">
        <v>1720</v>
      </c>
      <c r="C4226" t="s">
        <v>7909</v>
      </c>
      <c r="D4226" t="s">
        <v>19034</v>
      </c>
      <c r="E4226" t="s">
        <v>22866</v>
      </c>
      <c r="F4226" t="s">
        <v>32831</v>
      </c>
      <c r="G4226" t="s">
        <v>32839</v>
      </c>
      <c r="H4226" t="s">
        <v>32848</v>
      </c>
      <c r="I4226" t="s">
        <v>7416</v>
      </c>
      <c r="J4226" t="s">
        <v>35737</v>
      </c>
      <c r="K4226" t="s">
        <v>42727</v>
      </c>
      <c r="M4226" t="s">
        <v>44843</v>
      </c>
      <c r="N4226" t="s">
        <v>47424</v>
      </c>
      <c r="O4226" t="s">
        <v>47425</v>
      </c>
      <c r="P4226">
        <v>0</v>
      </c>
      <c r="Q4226">
        <v>0</v>
      </c>
      <c r="R4226" t="s">
        <v>47430</v>
      </c>
      <c r="S4226" t="s">
        <v>47549</v>
      </c>
      <c r="T4226" t="s">
        <v>49064</v>
      </c>
      <c r="U4226" t="s">
        <v>53258</v>
      </c>
      <c r="W4226" t="s">
        <v>44843</v>
      </c>
      <c r="X4226" t="s">
        <v>47431</v>
      </c>
    </row>
    <row r="4227" spans="1:24">
      <c r="A4227">
        <f>HYPERLINK("https://www.philgeps.gov.ph/GEPSNONPILOT/Tender/SplashBidNoticeAbstractUI.aspx?menuIndex=3&amp;refID=7158963&amp;Result=3","7158963")</f>
        <v>0</v>
      </c>
      <c r="B4227" t="s">
        <v>1721</v>
      </c>
      <c r="C4227" t="s">
        <v>7910</v>
      </c>
      <c r="D4227" t="s">
        <v>19046</v>
      </c>
      <c r="E4227" t="s">
        <v>22867</v>
      </c>
      <c r="F4227" t="s">
        <v>32831</v>
      </c>
      <c r="G4227" t="s">
        <v>32839</v>
      </c>
      <c r="H4227" t="s">
        <v>32848</v>
      </c>
      <c r="I4227" t="s">
        <v>10805</v>
      </c>
      <c r="J4227" t="s">
        <v>33490</v>
      </c>
      <c r="K4227" t="s">
        <v>42730</v>
      </c>
      <c r="M4227" t="s">
        <v>44844</v>
      </c>
      <c r="N4227" t="s">
        <v>47424</v>
      </c>
      <c r="O4227" t="s">
        <v>47425</v>
      </c>
      <c r="P4227">
        <v>0</v>
      </c>
      <c r="Q4227">
        <v>4</v>
      </c>
      <c r="R4227" t="s">
        <v>47430</v>
      </c>
      <c r="S4227" t="s">
        <v>47549</v>
      </c>
      <c r="T4227" t="s">
        <v>49199</v>
      </c>
      <c r="U4227" t="s">
        <v>53259</v>
      </c>
      <c r="W4227" t="s">
        <v>44844</v>
      </c>
      <c r="X4227" t="s">
        <v>47431</v>
      </c>
    </row>
    <row r="4228" spans="1:24">
      <c r="A4228">
        <f>HYPERLINK("https://www.philgeps.gov.ph/GEPSNONPILOT/Tender/SplashBidNoticeAbstractUI.aspx?menuIndex=3&amp;refID=7159018&amp;Result=3","7159018")</f>
        <v>0</v>
      </c>
      <c r="B4228" t="s">
        <v>1176</v>
      </c>
      <c r="C4228" t="s">
        <v>7911</v>
      </c>
      <c r="D4228" t="s">
        <v>19078</v>
      </c>
      <c r="E4228" t="s">
        <v>22868</v>
      </c>
      <c r="F4228" t="s">
        <v>32831</v>
      </c>
      <c r="G4228" t="s">
        <v>32838</v>
      </c>
      <c r="H4228" t="s">
        <v>32848</v>
      </c>
      <c r="I4228" t="s">
        <v>7416</v>
      </c>
      <c r="J4228" t="s">
        <v>35738</v>
      </c>
      <c r="K4228" t="s">
        <v>42731</v>
      </c>
      <c r="M4228" t="s">
        <v>44242</v>
      </c>
      <c r="N4228" t="s">
        <v>47424</v>
      </c>
      <c r="O4228" t="s">
        <v>47425</v>
      </c>
      <c r="P4228">
        <v>0</v>
      </c>
      <c r="Q4228">
        <v>0</v>
      </c>
      <c r="R4228" t="s">
        <v>47430</v>
      </c>
      <c r="S4228" t="s">
        <v>47549</v>
      </c>
      <c r="T4228" t="s">
        <v>49145</v>
      </c>
      <c r="U4228" t="s">
        <v>51989</v>
      </c>
      <c r="W4228" t="s">
        <v>44242</v>
      </c>
      <c r="X4228" t="s">
        <v>47431</v>
      </c>
    </row>
    <row r="4229" spans="1:24">
      <c r="A4229">
        <f>HYPERLINK("https://www.philgeps.gov.ph/GEPSNONPILOT/Tender/SplashBidNoticeAbstractUI.aspx?menuIndex=3&amp;refID=7159017&amp;Result=3","7159017")</f>
        <v>0</v>
      </c>
      <c r="B4229" t="s">
        <v>1704</v>
      </c>
      <c r="C4229" t="s">
        <v>7912</v>
      </c>
      <c r="D4229" t="s">
        <v>19084</v>
      </c>
      <c r="E4229" t="s">
        <v>22869</v>
      </c>
      <c r="F4229" t="s">
        <v>32831</v>
      </c>
      <c r="G4229" t="s">
        <v>32838</v>
      </c>
      <c r="H4229" t="s">
        <v>32848</v>
      </c>
      <c r="I4229" t="s">
        <v>4340</v>
      </c>
      <c r="J4229" t="s">
        <v>35739</v>
      </c>
      <c r="K4229" t="s">
        <v>42727</v>
      </c>
      <c r="M4229" t="s">
        <v>44826</v>
      </c>
      <c r="N4229" t="s">
        <v>47424</v>
      </c>
      <c r="O4229" t="s">
        <v>47425</v>
      </c>
      <c r="P4229">
        <v>0</v>
      </c>
      <c r="Q4229">
        <v>3</v>
      </c>
      <c r="R4229" t="s">
        <v>47430</v>
      </c>
      <c r="S4229" t="s">
        <v>47549</v>
      </c>
      <c r="T4229" t="s">
        <v>49235</v>
      </c>
      <c r="U4229" t="s">
        <v>53229</v>
      </c>
      <c r="V4229" t="s">
        <v>63094</v>
      </c>
      <c r="W4229" t="s">
        <v>44826</v>
      </c>
      <c r="X4229" t="s">
        <v>47431</v>
      </c>
    </row>
    <row r="4230" spans="1:24">
      <c r="A4230">
        <f>HYPERLINK("https://www.philgeps.gov.ph/GEPSNONPILOT/Tender/SplashBidNoticeAbstractUI.aspx?menuIndex=3&amp;refID=7159016&amp;Result=3","7159016")</f>
        <v>0</v>
      </c>
      <c r="B4230" t="s">
        <v>1722</v>
      </c>
      <c r="C4230" t="s">
        <v>7913</v>
      </c>
      <c r="D4230" t="s">
        <v>19091</v>
      </c>
      <c r="E4230" t="s">
        <v>22870</v>
      </c>
      <c r="F4230" t="s">
        <v>32831</v>
      </c>
      <c r="G4230" t="s">
        <v>32838</v>
      </c>
      <c r="H4230" t="s">
        <v>32848</v>
      </c>
      <c r="I4230" t="s">
        <v>4471</v>
      </c>
      <c r="J4230" t="s">
        <v>35740</v>
      </c>
      <c r="K4230" t="s">
        <v>42731</v>
      </c>
      <c r="M4230" t="s">
        <v>44845</v>
      </c>
      <c r="N4230" t="s">
        <v>47424</v>
      </c>
      <c r="O4230" t="s">
        <v>47425</v>
      </c>
      <c r="P4230">
        <v>0</v>
      </c>
      <c r="Q4230">
        <v>1</v>
      </c>
      <c r="R4230" t="s">
        <v>47430</v>
      </c>
      <c r="S4230" t="s">
        <v>47549</v>
      </c>
      <c r="T4230" t="s">
        <v>49166</v>
      </c>
      <c r="U4230" t="s">
        <v>53260</v>
      </c>
      <c r="W4230" t="s">
        <v>44845</v>
      </c>
      <c r="X4230" t="s">
        <v>47431</v>
      </c>
    </row>
    <row r="4231" spans="1:24">
      <c r="A4231">
        <f>HYPERLINK("https://www.philgeps.gov.ph/GEPSNONPILOT/Tender/SplashBidNoticeAbstractUI.aspx?menuIndex=3&amp;refID=7158931&amp;Result=3","7158931")</f>
        <v>0</v>
      </c>
      <c r="B4231" t="s">
        <v>1601</v>
      </c>
      <c r="C4231" t="s">
        <v>7914</v>
      </c>
      <c r="E4231" t="s">
        <v>22871</v>
      </c>
      <c r="F4231" t="s">
        <v>32831</v>
      </c>
      <c r="G4231" t="s">
        <v>32838</v>
      </c>
      <c r="H4231" t="s">
        <v>32848</v>
      </c>
      <c r="I4231" t="s">
        <v>4776</v>
      </c>
      <c r="J4231" t="s">
        <v>35741</v>
      </c>
      <c r="K4231" t="s">
        <v>42731</v>
      </c>
      <c r="M4231" t="s">
        <v>44716</v>
      </c>
      <c r="N4231" t="s">
        <v>47424</v>
      </c>
      <c r="O4231" t="s">
        <v>47425</v>
      </c>
      <c r="P4231">
        <v>0</v>
      </c>
      <c r="Q4231">
        <v>4</v>
      </c>
      <c r="R4231" t="s">
        <v>47430</v>
      </c>
      <c r="S4231" t="s">
        <v>47549</v>
      </c>
      <c r="T4231" t="s">
        <v>49073</v>
      </c>
      <c r="U4231" t="s">
        <v>53261</v>
      </c>
      <c r="W4231" t="s">
        <v>44716</v>
      </c>
      <c r="X4231" t="s">
        <v>47431</v>
      </c>
    </row>
    <row r="4232" spans="1:24">
      <c r="A4232">
        <f>HYPERLINK("https://www.philgeps.gov.ph/GEPSNONPILOT/Tender/SplashBidNoticeAbstractUI.aspx?menuIndex=3&amp;refID=7159015&amp;Result=3","7159015")</f>
        <v>0</v>
      </c>
      <c r="B4232" t="s">
        <v>762</v>
      </c>
      <c r="C4232" t="s">
        <v>7915</v>
      </c>
      <c r="E4232" t="s">
        <v>22872</v>
      </c>
      <c r="F4232" t="s">
        <v>32831</v>
      </c>
      <c r="G4232" t="s">
        <v>32838</v>
      </c>
      <c r="H4232" t="s">
        <v>32848</v>
      </c>
      <c r="I4232" t="s">
        <v>4438</v>
      </c>
      <c r="J4232" t="s">
        <v>35742</v>
      </c>
      <c r="K4232" t="s">
        <v>42732</v>
      </c>
      <c r="M4232" t="s">
        <v>44842</v>
      </c>
      <c r="N4232" t="s">
        <v>47424</v>
      </c>
      <c r="O4232" t="s">
        <v>47425</v>
      </c>
      <c r="P4232">
        <v>0</v>
      </c>
      <c r="Q4232">
        <v>1</v>
      </c>
      <c r="R4232" t="s">
        <v>47430</v>
      </c>
      <c r="S4232" t="s">
        <v>47549</v>
      </c>
      <c r="T4232" t="s">
        <v>49104</v>
      </c>
      <c r="U4232" t="s">
        <v>53256</v>
      </c>
      <c r="W4232" t="s">
        <v>44842</v>
      </c>
      <c r="X4232" t="s">
        <v>47431</v>
      </c>
    </row>
    <row r="4233" spans="1:24">
      <c r="A4233">
        <f>HYPERLINK("https://www.philgeps.gov.ph/GEPSNONPILOT/Tender/SplashBidNoticeAbstractUI.aspx?menuIndex=3&amp;refID=7159007&amp;Result=3","7159007")</f>
        <v>0</v>
      </c>
      <c r="B4233" t="s">
        <v>1723</v>
      </c>
      <c r="C4233" t="s">
        <v>7916</v>
      </c>
      <c r="D4233" t="s">
        <v>19024</v>
      </c>
      <c r="E4233" t="s">
        <v>22873</v>
      </c>
      <c r="F4233" t="s">
        <v>32831</v>
      </c>
      <c r="G4233" t="s">
        <v>32838</v>
      </c>
      <c r="H4233" t="s">
        <v>32848</v>
      </c>
      <c r="I4233" t="s">
        <v>32955</v>
      </c>
      <c r="J4233" t="s">
        <v>33044</v>
      </c>
      <c r="K4233" t="s">
        <v>42756</v>
      </c>
      <c r="M4233" t="s">
        <v>44846</v>
      </c>
      <c r="N4233" t="s">
        <v>47424</v>
      </c>
      <c r="O4233" t="s">
        <v>47425</v>
      </c>
      <c r="P4233">
        <v>0</v>
      </c>
      <c r="Q4233">
        <v>1</v>
      </c>
      <c r="R4233" t="s">
        <v>47430</v>
      </c>
      <c r="S4233" t="s">
        <v>47549</v>
      </c>
      <c r="T4233" t="s">
        <v>49170</v>
      </c>
      <c r="U4233" t="s">
        <v>53262</v>
      </c>
      <c r="W4233" t="s">
        <v>44846</v>
      </c>
      <c r="X4233" t="s">
        <v>47431</v>
      </c>
    </row>
    <row r="4234" spans="1:24">
      <c r="A4234">
        <f>HYPERLINK("https://www.philgeps.gov.ph/GEPSNONPILOT/Tender/SplashBidNoticeAbstractUI.aspx?menuIndex=3&amp;refID=7159012&amp;Result=3","7159012")</f>
        <v>0</v>
      </c>
      <c r="B4234" t="s">
        <v>1724</v>
      </c>
      <c r="C4234" t="s">
        <v>7917</v>
      </c>
      <c r="D4234" t="s">
        <v>19069</v>
      </c>
      <c r="E4234" t="s">
        <v>22874</v>
      </c>
      <c r="F4234" t="s">
        <v>32831</v>
      </c>
      <c r="G4234" t="s">
        <v>32843</v>
      </c>
      <c r="H4234" t="s">
        <v>32848</v>
      </c>
      <c r="I4234" t="s">
        <v>32867</v>
      </c>
      <c r="J4234" t="s">
        <v>35743</v>
      </c>
      <c r="K4234" t="s">
        <v>42726</v>
      </c>
      <c r="M4234" t="s">
        <v>44847</v>
      </c>
      <c r="N4234" t="s">
        <v>47424</v>
      </c>
      <c r="O4234" t="s">
        <v>47425</v>
      </c>
      <c r="P4234">
        <v>0</v>
      </c>
      <c r="Q4234">
        <v>1</v>
      </c>
      <c r="R4234" t="s">
        <v>47430</v>
      </c>
      <c r="S4234" t="s">
        <v>47549</v>
      </c>
      <c r="T4234" t="s">
        <v>49089</v>
      </c>
      <c r="U4234" t="s">
        <v>53263</v>
      </c>
      <c r="W4234" t="s">
        <v>44847</v>
      </c>
      <c r="X4234" t="s">
        <v>47431</v>
      </c>
    </row>
    <row r="4235" spans="1:24">
      <c r="A4235">
        <f>HYPERLINK("https://www.philgeps.gov.ph/GEPSNONPILOT/Tender/SplashBidNoticeAbstractUI.aspx?menuIndex=3&amp;refID=7159009&amp;Result=3","7159009")</f>
        <v>0</v>
      </c>
      <c r="B4235" t="s">
        <v>971</v>
      </c>
      <c r="C4235" t="s">
        <v>7918</v>
      </c>
      <c r="D4235" t="s">
        <v>19022</v>
      </c>
      <c r="E4235" t="s">
        <v>22875</v>
      </c>
      <c r="F4235" t="s">
        <v>32831</v>
      </c>
      <c r="G4235" t="s">
        <v>32838</v>
      </c>
      <c r="H4235" t="s">
        <v>32848</v>
      </c>
      <c r="I4235" t="s">
        <v>4776</v>
      </c>
      <c r="J4235" t="s">
        <v>35744</v>
      </c>
      <c r="K4235" t="s">
        <v>42727</v>
      </c>
      <c r="M4235" t="s">
        <v>44017</v>
      </c>
      <c r="N4235" t="s">
        <v>47424</v>
      </c>
      <c r="O4235" t="s">
        <v>47425</v>
      </c>
      <c r="P4235">
        <v>0</v>
      </c>
      <c r="Q4235">
        <v>0</v>
      </c>
      <c r="R4235" t="s">
        <v>47430</v>
      </c>
      <c r="S4235" t="s">
        <v>47549</v>
      </c>
      <c r="T4235" t="s">
        <v>49239</v>
      </c>
      <c r="U4235" t="s">
        <v>53264</v>
      </c>
      <c r="W4235" t="s">
        <v>44017</v>
      </c>
      <c r="X4235" t="s">
        <v>47431</v>
      </c>
    </row>
    <row r="4236" spans="1:24">
      <c r="A4236">
        <f>HYPERLINK("https://www.philgeps.gov.ph/GEPSNONPILOT/Tender/SplashBidNoticeAbstractUI.aspx?menuIndex=3&amp;refID=7159004&amp;Result=3","7159004")</f>
        <v>0</v>
      </c>
      <c r="B4236" t="s">
        <v>258</v>
      </c>
      <c r="C4236" t="s">
        <v>7919</v>
      </c>
      <c r="D4236" t="s">
        <v>19023</v>
      </c>
      <c r="E4236" t="s">
        <v>22876</v>
      </c>
      <c r="F4236" t="s">
        <v>32831</v>
      </c>
      <c r="G4236" t="s">
        <v>32840</v>
      </c>
      <c r="H4236" t="s">
        <v>32848</v>
      </c>
      <c r="I4236" t="s">
        <v>32866</v>
      </c>
      <c r="J4236" t="s">
        <v>32976</v>
      </c>
      <c r="K4236" t="s">
        <v>42726</v>
      </c>
      <c r="M4236" t="s">
        <v>43257</v>
      </c>
      <c r="N4236" t="s">
        <v>47424</v>
      </c>
      <c r="O4236" t="s">
        <v>47425</v>
      </c>
      <c r="P4236">
        <v>0</v>
      </c>
      <c r="Q4236">
        <v>0</v>
      </c>
      <c r="R4236" t="s">
        <v>47430</v>
      </c>
      <c r="S4236" t="s">
        <v>47549</v>
      </c>
      <c r="T4236" t="s">
        <v>49089</v>
      </c>
      <c r="U4236" t="s">
        <v>53265</v>
      </c>
      <c r="W4236" t="s">
        <v>43257</v>
      </c>
      <c r="X4236" t="s">
        <v>47431</v>
      </c>
    </row>
    <row r="4237" spans="1:24">
      <c r="A4237">
        <f>HYPERLINK("https://www.philgeps.gov.ph/GEPSNONPILOT/Tender/SplashBidNoticeAbstractUI.aspx?menuIndex=3&amp;refID=7159006&amp;Result=3","7159006")</f>
        <v>0</v>
      </c>
      <c r="B4237" t="s">
        <v>1688</v>
      </c>
      <c r="C4237" t="s">
        <v>7920</v>
      </c>
      <c r="D4237" t="s">
        <v>19078</v>
      </c>
      <c r="E4237" t="s">
        <v>22877</v>
      </c>
      <c r="F4237" t="s">
        <v>32831</v>
      </c>
      <c r="G4237" t="s">
        <v>32839</v>
      </c>
      <c r="H4237" t="s">
        <v>32849</v>
      </c>
      <c r="I4237" t="s">
        <v>4177</v>
      </c>
      <c r="J4237" t="s">
        <v>35745</v>
      </c>
      <c r="K4237" t="s">
        <v>42859</v>
      </c>
      <c r="L4237" t="s">
        <v>1688</v>
      </c>
      <c r="M4237" t="s">
        <v>44808</v>
      </c>
      <c r="N4237" t="s">
        <v>47424</v>
      </c>
      <c r="O4237" t="s">
        <v>47425</v>
      </c>
      <c r="P4237">
        <v>0</v>
      </c>
      <c r="Q4237">
        <v>0</v>
      </c>
      <c r="R4237" t="s">
        <v>47430</v>
      </c>
      <c r="S4237" t="s">
        <v>47549</v>
      </c>
      <c r="T4237" t="s">
        <v>49319</v>
      </c>
      <c r="U4237" t="s">
        <v>53266</v>
      </c>
      <c r="V4237" t="s">
        <v>63089</v>
      </c>
      <c r="W4237" t="s">
        <v>44808</v>
      </c>
      <c r="X4237" t="s">
        <v>47431</v>
      </c>
    </row>
    <row r="4238" spans="1:24">
      <c r="A4238">
        <f>HYPERLINK("https://www.philgeps.gov.ph/GEPSNONPILOT/Tender/SplashBidNoticeAbstractUI.aspx?menuIndex=3&amp;refID=7159002&amp;Result=3","7159002")</f>
        <v>0</v>
      </c>
      <c r="B4238" t="s">
        <v>1725</v>
      </c>
      <c r="C4238" t="s">
        <v>7921</v>
      </c>
      <c r="D4238" t="s">
        <v>19080</v>
      </c>
      <c r="E4238" t="s">
        <v>22878</v>
      </c>
      <c r="F4238" t="s">
        <v>32831</v>
      </c>
      <c r="G4238" t="s">
        <v>32838</v>
      </c>
      <c r="H4238" t="s">
        <v>32848</v>
      </c>
      <c r="I4238" t="s">
        <v>32856</v>
      </c>
      <c r="J4238" t="s">
        <v>33430</v>
      </c>
      <c r="K4238" t="s">
        <v>42726</v>
      </c>
      <c r="M4238" t="s">
        <v>44848</v>
      </c>
      <c r="N4238" t="s">
        <v>47424</v>
      </c>
      <c r="O4238" t="s">
        <v>47425</v>
      </c>
      <c r="P4238">
        <v>0</v>
      </c>
      <c r="Q4238">
        <v>0</v>
      </c>
      <c r="R4238" t="s">
        <v>47430</v>
      </c>
      <c r="S4238" t="s">
        <v>47549</v>
      </c>
      <c r="T4238" t="s">
        <v>49141</v>
      </c>
      <c r="U4238" t="s">
        <v>53267</v>
      </c>
      <c r="W4238" t="s">
        <v>44848</v>
      </c>
      <c r="X4238" t="s">
        <v>47431</v>
      </c>
    </row>
    <row r="4239" spans="1:24">
      <c r="A4239">
        <f>HYPERLINK("https://www.philgeps.gov.ph/GEPSNONPILOT/Tender/SplashBidNoticeAbstractUI.aspx?menuIndex=3&amp;refID=7158965&amp;Result=3","7158965")</f>
        <v>0</v>
      </c>
      <c r="B4239" t="s">
        <v>677</v>
      </c>
      <c r="C4239" t="s">
        <v>7922</v>
      </c>
      <c r="D4239" t="s">
        <v>19024</v>
      </c>
      <c r="E4239" t="s">
        <v>22879</v>
      </c>
      <c r="F4239" t="s">
        <v>32831</v>
      </c>
      <c r="G4239" t="s">
        <v>32839</v>
      </c>
      <c r="H4239" t="s">
        <v>32848</v>
      </c>
      <c r="I4239" t="s">
        <v>7416</v>
      </c>
      <c r="J4239" t="s">
        <v>35746</v>
      </c>
      <c r="K4239" t="s">
        <v>42730</v>
      </c>
      <c r="M4239" t="s">
        <v>43696</v>
      </c>
      <c r="N4239" t="s">
        <v>47424</v>
      </c>
      <c r="O4239" t="s">
        <v>47425</v>
      </c>
      <c r="P4239">
        <v>0</v>
      </c>
      <c r="Q4239">
        <v>0</v>
      </c>
      <c r="R4239" t="s">
        <v>47430</v>
      </c>
      <c r="S4239" t="s">
        <v>47549</v>
      </c>
      <c r="T4239" t="s">
        <v>49066</v>
      </c>
      <c r="U4239" t="s">
        <v>53268</v>
      </c>
      <c r="W4239" t="s">
        <v>43696</v>
      </c>
      <c r="X4239" t="s">
        <v>47431</v>
      </c>
    </row>
    <row r="4240" spans="1:24">
      <c r="A4240">
        <f>HYPERLINK("https://www.philgeps.gov.ph/GEPSNONPILOT/Tender/SplashBidNoticeAbstractUI.aspx?menuIndex=3&amp;refID=7158997&amp;Result=3","7158997")</f>
        <v>0</v>
      </c>
      <c r="B4240" t="s">
        <v>1726</v>
      </c>
      <c r="C4240" t="s">
        <v>7923</v>
      </c>
      <c r="E4240" t="s">
        <v>19161</v>
      </c>
      <c r="F4240" t="s">
        <v>32831</v>
      </c>
      <c r="G4240" t="s">
        <v>32840</v>
      </c>
      <c r="H4240" t="s">
        <v>32848</v>
      </c>
      <c r="I4240" t="s">
        <v>7416</v>
      </c>
      <c r="J4240" t="s">
        <v>35747</v>
      </c>
      <c r="K4240" t="s">
        <v>42726</v>
      </c>
      <c r="M4240" t="s">
        <v>44849</v>
      </c>
      <c r="N4240" t="s">
        <v>47424</v>
      </c>
      <c r="O4240" t="s">
        <v>47425</v>
      </c>
      <c r="P4240">
        <v>0</v>
      </c>
      <c r="Q4240">
        <v>0</v>
      </c>
      <c r="R4240" t="s">
        <v>47430</v>
      </c>
      <c r="S4240" t="s">
        <v>47549</v>
      </c>
      <c r="T4240" t="s">
        <v>49237</v>
      </c>
      <c r="U4240" t="s">
        <v>53269</v>
      </c>
      <c r="W4240" t="s">
        <v>44849</v>
      </c>
      <c r="X4240" t="s">
        <v>47431</v>
      </c>
    </row>
    <row r="4241" spans="1:24">
      <c r="A4241">
        <f>HYPERLINK("https://www.philgeps.gov.ph/GEPSNONPILOT/Tender/SplashBidNoticeAbstractUI.aspx?menuIndex=3&amp;refID=7159005&amp;Result=3","7159005")</f>
        <v>0</v>
      </c>
      <c r="B4241" t="s">
        <v>1727</v>
      </c>
      <c r="C4241" t="s">
        <v>7924</v>
      </c>
      <c r="D4241" t="s">
        <v>19037</v>
      </c>
      <c r="E4241" t="s">
        <v>22880</v>
      </c>
      <c r="F4241" t="s">
        <v>32831</v>
      </c>
      <c r="G4241" t="s">
        <v>32838</v>
      </c>
      <c r="H4241" t="s">
        <v>32848</v>
      </c>
      <c r="I4241" t="s">
        <v>4558</v>
      </c>
      <c r="J4241" t="s">
        <v>35748</v>
      </c>
      <c r="K4241" t="s">
        <v>42727</v>
      </c>
      <c r="M4241" t="s">
        <v>44850</v>
      </c>
      <c r="N4241" t="s">
        <v>47424</v>
      </c>
      <c r="O4241" t="s">
        <v>47425</v>
      </c>
      <c r="P4241">
        <v>0</v>
      </c>
      <c r="Q4241">
        <v>3</v>
      </c>
      <c r="R4241" t="s">
        <v>47430</v>
      </c>
      <c r="S4241" t="s">
        <v>47549</v>
      </c>
      <c r="T4241" t="s">
        <v>49100</v>
      </c>
      <c r="U4241" t="s">
        <v>53270</v>
      </c>
      <c r="V4241" t="s">
        <v>63099</v>
      </c>
      <c r="W4241" t="s">
        <v>44850</v>
      </c>
      <c r="X4241" t="s">
        <v>47431</v>
      </c>
    </row>
    <row r="4242" spans="1:24">
      <c r="A4242">
        <f>HYPERLINK("https://www.philgeps.gov.ph/GEPSNONPILOT/Tender/SplashBidNoticeAbstractUI.aspx?menuIndex=3&amp;refID=7158989&amp;Result=3","7158989")</f>
        <v>0</v>
      </c>
      <c r="B4242" t="s">
        <v>1728</v>
      </c>
      <c r="C4242" t="s">
        <v>7925</v>
      </c>
      <c r="D4242" t="s">
        <v>19058</v>
      </c>
      <c r="E4242" t="s">
        <v>22881</v>
      </c>
      <c r="F4242" t="s">
        <v>32831</v>
      </c>
      <c r="G4242" t="s">
        <v>32839</v>
      </c>
      <c r="H4242" t="s">
        <v>32848</v>
      </c>
      <c r="I4242" t="s">
        <v>7751</v>
      </c>
      <c r="J4242" t="s">
        <v>33118</v>
      </c>
      <c r="K4242" t="s">
        <v>42727</v>
      </c>
      <c r="M4242" t="s">
        <v>44851</v>
      </c>
      <c r="N4242" t="s">
        <v>47424</v>
      </c>
      <c r="O4242" t="s">
        <v>47425</v>
      </c>
      <c r="P4242">
        <v>0</v>
      </c>
      <c r="Q4242">
        <v>2</v>
      </c>
      <c r="R4242" t="s">
        <v>47430</v>
      </c>
      <c r="S4242" t="s">
        <v>47549</v>
      </c>
      <c r="T4242" t="s">
        <v>49123</v>
      </c>
      <c r="U4242" t="s">
        <v>53271</v>
      </c>
      <c r="W4242" t="s">
        <v>44851</v>
      </c>
      <c r="X4242" t="s">
        <v>47431</v>
      </c>
    </row>
    <row r="4243" spans="1:24">
      <c r="A4243">
        <f>HYPERLINK("https://www.philgeps.gov.ph/GEPSNONPILOT/Tender/SplashBidNoticeAbstractUI.aspx?menuIndex=3&amp;refID=7158978&amp;Result=3","7158978")</f>
        <v>0</v>
      </c>
      <c r="B4243" t="s">
        <v>1688</v>
      </c>
      <c r="C4243" t="s">
        <v>7926</v>
      </c>
      <c r="D4243" t="s">
        <v>19078</v>
      </c>
      <c r="E4243" t="s">
        <v>22882</v>
      </c>
      <c r="F4243" t="s">
        <v>32831</v>
      </c>
      <c r="G4243" t="s">
        <v>32839</v>
      </c>
      <c r="H4243" t="s">
        <v>32849</v>
      </c>
      <c r="I4243" t="s">
        <v>4177</v>
      </c>
      <c r="J4243" t="s">
        <v>35749</v>
      </c>
      <c r="K4243" t="s">
        <v>42860</v>
      </c>
      <c r="L4243" t="s">
        <v>1688</v>
      </c>
      <c r="M4243" t="s">
        <v>44808</v>
      </c>
      <c r="N4243" t="s">
        <v>47424</v>
      </c>
      <c r="O4243" t="s">
        <v>47425</v>
      </c>
      <c r="P4243">
        <v>0</v>
      </c>
      <c r="Q4243">
        <v>1</v>
      </c>
      <c r="R4243" t="s">
        <v>47430</v>
      </c>
      <c r="S4243" t="s">
        <v>47549</v>
      </c>
      <c r="T4243" t="s">
        <v>49319</v>
      </c>
      <c r="U4243" t="s">
        <v>53272</v>
      </c>
      <c r="V4243" t="s">
        <v>63089</v>
      </c>
      <c r="W4243" t="s">
        <v>44808</v>
      </c>
      <c r="X4243" t="s">
        <v>47431</v>
      </c>
    </row>
    <row r="4244" spans="1:24">
      <c r="A4244">
        <f>HYPERLINK("https://www.philgeps.gov.ph/GEPSNONPILOT/Tender/SplashBidNoticeAbstractUI.aspx?menuIndex=3&amp;refID=7158994&amp;Result=3","7158994")</f>
        <v>0</v>
      </c>
      <c r="B4244" t="s">
        <v>1729</v>
      </c>
      <c r="C4244" t="s">
        <v>7765</v>
      </c>
      <c r="E4244" t="s">
        <v>21692</v>
      </c>
      <c r="F4244" t="s">
        <v>32831</v>
      </c>
      <c r="G4244" t="s">
        <v>32840</v>
      </c>
      <c r="H4244" t="s">
        <v>32848</v>
      </c>
      <c r="I4244" t="s">
        <v>4776</v>
      </c>
      <c r="J4244" t="s">
        <v>33133</v>
      </c>
      <c r="K4244" t="s">
        <v>42732</v>
      </c>
      <c r="M4244" t="s">
        <v>44852</v>
      </c>
      <c r="N4244" t="s">
        <v>47424</v>
      </c>
      <c r="O4244" t="s">
        <v>47425</v>
      </c>
      <c r="P4244">
        <v>0</v>
      </c>
      <c r="Q4244">
        <v>1</v>
      </c>
      <c r="R4244" t="s">
        <v>47430</v>
      </c>
      <c r="S4244" t="s">
        <v>47549</v>
      </c>
      <c r="T4244" t="s">
        <v>49237</v>
      </c>
      <c r="U4244" t="s">
        <v>53273</v>
      </c>
      <c r="W4244" t="s">
        <v>44852</v>
      </c>
      <c r="X4244" t="s">
        <v>47431</v>
      </c>
    </row>
    <row r="4245" spans="1:24">
      <c r="A4245">
        <f>HYPERLINK("https://www.philgeps.gov.ph/GEPSNONPILOT/Tender/SplashBidNoticeAbstractUI.aspx?menuIndex=3&amp;refID=7158988&amp;Result=3","7158988")</f>
        <v>0</v>
      </c>
      <c r="B4245" t="s">
        <v>1697</v>
      </c>
      <c r="C4245" t="s">
        <v>7927</v>
      </c>
      <c r="E4245" t="s">
        <v>22883</v>
      </c>
      <c r="F4245" t="s">
        <v>32831</v>
      </c>
      <c r="G4245" t="s">
        <v>32840</v>
      </c>
      <c r="H4245" t="s">
        <v>32848</v>
      </c>
      <c r="I4245" t="s">
        <v>10643</v>
      </c>
      <c r="J4245" t="s">
        <v>35750</v>
      </c>
      <c r="K4245" t="s">
        <v>42732</v>
      </c>
      <c r="M4245" t="s">
        <v>44818</v>
      </c>
      <c r="N4245" t="s">
        <v>47424</v>
      </c>
      <c r="O4245" t="s">
        <v>47425</v>
      </c>
      <c r="P4245">
        <v>0</v>
      </c>
      <c r="Q4245">
        <v>1</v>
      </c>
      <c r="R4245" t="s">
        <v>47430</v>
      </c>
      <c r="S4245" t="s">
        <v>47549</v>
      </c>
      <c r="T4245" t="s">
        <v>49114</v>
      </c>
      <c r="U4245" t="s">
        <v>53274</v>
      </c>
      <c r="W4245" t="s">
        <v>44818</v>
      </c>
      <c r="X4245" t="s">
        <v>47431</v>
      </c>
    </row>
    <row r="4246" spans="1:24">
      <c r="A4246">
        <f>HYPERLINK("https://www.philgeps.gov.ph/GEPSNONPILOT/Tender/SplashBidNoticeAbstractUI.aspx?menuIndex=3&amp;refID=7158885&amp;Result=3","7158885")</f>
        <v>0</v>
      </c>
      <c r="B4246" t="s">
        <v>1730</v>
      </c>
      <c r="C4246" t="s">
        <v>7928</v>
      </c>
      <c r="D4246" t="s">
        <v>19036</v>
      </c>
      <c r="E4246" t="s">
        <v>22884</v>
      </c>
      <c r="F4246" t="s">
        <v>32831</v>
      </c>
      <c r="G4246" t="s">
        <v>32839</v>
      </c>
      <c r="H4246" t="s">
        <v>32849</v>
      </c>
      <c r="I4246" t="s">
        <v>4177</v>
      </c>
      <c r="J4246" t="s">
        <v>35751</v>
      </c>
      <c r="K4246" t="s">
        <v>42730</v>
      </c>
      <c r="M4246" t="s">
        <v>44853</v>
      </c>
      <c r="N4246" t="s">
        <v>47424</v>
      </c>
      <c r="O4246" t="s">
        <v>47425</v>
      </c>
      <c r="P4246">
        <v>0</v>
      </c>
      <c r="Q4246">
        <v>0</v>
      </c>
      <c r="R4246" t="s">
        <v>47430</v>
      </c>
      <c r="S4246" t="s">
        <v>47549</v>
      </c>
      <c r="T4246" t="s">
        <v>49130</v>
      </c>
      <c r="U4246" t="s">
        <v>53275</v>
      </c>
      <c r="V4246" t="s">
        <v>63100</v>
      </c>
      <c r="W4246" t="s">
        <v>44853</v>
      </c>
      <c r="X4246" t="s">
        <v>47431</v>
      </c>
    </row>
    <row r="4247" spans="1:24">
      <c r="A4247">
        <f>HYPERLINK("https://www.philgeps.gov.ph/GEPSNONPILOT/Tender/SplashBidNoticeAbstractUI.aspx?menuIndex=3&amp;refID=7159000&amp;Result=3","7159000")</f>
        <v>0</v>
      </c>
      <c r="B4247" t="s">
        <v>762</v>
      </c>
      <c r="C4247" t="s">
        <v>7929</v>
      </c>
      <c r="E4247" t="s">
        <v>22885</v>
      </c>
      <c r="F4247" t="s">
        <v>32831</v>
      </c>
      <c r="G4247" t="s">
        <v>32838</v>
      </c>
      <c r="H4247" t="s">
        <v>32848</v>
      </c>
      <c r="I4247" t="s">
        <v>4438</v>
      </c>
      <c r="J4247" t="s">
        <v>35752</v>
      </c>
      <c r="K4247" t="s">
        <v>42732</v>
      </c>
      <c r="M4247" t="s">
        <v>44842</v>
      </c>
      <c r="N4247" t="s">
        <v>47424</v>
      </c>
      <c r="O4247" t="s">
        <v>47425</v>
      </c>
      <c r="P4247">
        <v>0</v>
      </c>
      <c r="Q4247">
        <v>3</v>
      </c>
      <c r="R4247" t="s">
        <v>47430</v>
      </c>
      <c r="S4247" t="s">
        <v>47549</v>
      </c>
      <c r="T4247" t="s">
        <v>49104</v>
      </c>
      <c r="U4247" t="s">
        <v>53256</v>
      </c>
      <c r="W4247" t="s">
        <v>44842</v>
      </c>
      <c r="X4247" t="s">
        <v>47431</v>
      </c>
    </row>
    <row r="4248" spans="1:24">
      <c r="A4248">
        <f>HYPERLINK("https://www.philgeps.gov.ph/GEPSNONPILOT/Tender/SplashBidNoticeAbstractUI.aspx?menuIndex=3&amp;refID=7159003&amp;Result=3","7159003")</f>
        <v>0</v>
      </c>
      <c r="B4248" t="s">
        <v>1704</v>
      </c>
      <c r="C4248" t="s">
        <v>7930</v>
      </c>
      <c r="D4248" t="s">
        <v>19084</v>
      </c>
      <c r="E4248" t="s">
        <v>22886</v>
      </c>
      <c r="F4248" t="s">
        <v>32831</v>
      </c>
      <c r="G4248" t="s">
        <v>32838</v>
      </c>
      <c r="H4248" t="s">
        <v>32848</v>
      </c>
      <c r="I4248" t="s">
        <v>32863</v>
      </c>
      <c r="J4248" t="s">
        <v>32985</v>
      </c>
      <c r="K4248" t="s">
        <v>42727</v>
      </c>
      <c r="M4248" t="s">
        <v>44826</v>
      </c>
      <c r="N4248" t="s">
        <v>47424</v>
      </c>
      <c r="O4248" t="s">
        <v>47425</v>
      </c>
      <c r="P4248">
        <v>0</v>
      </c>
      <c r="Q4248">
        <v>3</v>
      </c>
      <c r="R4248" t="s">
        <v>47430</v>
      </c>
      <c r="S4248" t="s">
        <v>47549</v>
      </c>
      <c r="T4248" t="s">
        <v>49235</v>
      </c>
      <c r="U4248" t="s">
        <v>53229</v>
      </c>
      <c r="V4248" t="s">
        <v>63094</v>
      </c>
      <c r="W4248" t="s">
        <v>44826</v>
      </c>
      <c r="X4248" t="s">
        <v>47431</v>
      </c>
    </row>
    <row r="4249" spans="1:24">
      <c r="A4249">
        <f>HYPERLINK("https://www.philgeps.gov.ph/GEPSNONPILOT/Tender/SplashBidNoticeAbstractUI.aspx?menuIndex=3&amp;refID=7158878&amp;Result=3","7158878")</f>
        <v>0</v>
      </c>
      <c r="B4249" t="s">
        <v>677</v>
      </c>
      <c r="C4249" t="s">
        <v>7931</v>
      </c>
      <c r="D4249" t="s">
        <v>19024</v>
      </c>
      <c r="E4249" t="s">
        <v>22887</v>
      </c>
      <c r="F4249" t="s">
        <v>32831</v>
      </c>
      <c r="G4249" t="s">
        <v>32839</v>
      </c>
      <c r="H4249" t="s">
        <v>32848</v>
      </c>
      <c r="I4249" t="s">
        <v>32883</v>
      </c>
      <c r="J4249" t="s">
        <v>33111</v>
      </c>
      <c r="K4249" t="s">
        <v>42730</v>
      </c>
      <c r="M4249" t="s">
        <v>43696</v>
      </c>
      <c r="N4249" t="s">
        <v>47424</v>
      </c>
      <c r="O4249" t="s">
        <v>47425</v>
      </c>
      <c r="P4249">
        <v>0</v>
      </c>
      <c r="Q4249">
        <v>1</v>
      </c>
      <c r="R4249" t="s">
        <v>47430</v>
      </c>
      <c r="S4249" t="s">
        <v>47549</v>
      </c>
      <c r="T4249" t="s">
        <v>49078</v>
      </c>
      <c r="U4249" t="s">
        <v>53276</v>
      </c>
      <c r="W4249" t="s">
        <v>43696</v>
      </c>
      <c r="X4249" t="s">
        <v>47431</v>
      </c>
    </row>
    <row r="4250" spans="1:24">
      <c r="A4250">
        <f>HYPERLINK("https://www.philgeps.gov.ph/GEPSNONPILOT/Tender/SplashBidNoticeAbstractUI.aspx?menuIndex=3&amp;refID=7159056&amp;Result=3","7159056")</f>
        <v>0</v>
      </c>
      <c r="B4250" t="s">
        <v>1728</v>
      </c>
      <c r="C4250" t="s">
        <v>7932</v>
      </c>
      <c r="D4250" t="s">
        <v>19058</v>
      </c>
      <c r="E4250" t="s">
        <v>22888</v>
      </c>
      <c r="F4250" t="s">
        <v>32831</v>
      </c>
      <c r="G4250" t="s">
        <v>32839</v>
      </c>
      <c r="H4250" t="s">
        <v>32848</v>
      </c>
      <c r="I4250" t="s">
        <v>32956</v>
      </c>
      <c r="J4250" t="s">
        <v>35753</v>
      </c>
      <c r="K4250" t="s">
        <v>42727</v>
      </c>
      <c r="M4250" t="s">
        <v>44851</v>
      </c>
      <c r="N4250" t="s">
        <v>47424</v>
      </c>
      <c r="O4250" t="s">
        <v>47425</v>
      </c>
      <c r="P4250">
        <v>0</v>
      </c>
      <c r="Q4250">
        <v>0</v>
      </c>
      <c r="R4250" t="s">
        <v>47430</v>
      </c>
      <c r="S4250" t="s">
        <v>47549</v>
      </c>
      <c r="T4250" t="s">
        <v>49123</v>
      </c>
      <c r="U4250" t="s">
        <v>53277</v>
      </c>
      <c r="W4250" t="s">
        <v>44851</v>
      </c>
      <c r="X4250" t="s">
        <v>47431</v>
      </c>
    </row>
    <row r="4251" spans="1:24">
      <c r="A4251">
        <f>HYPERLINK("https://www.philgeps.gov.ph/GEPSNONPILOT/Tender/SplashBidNoticeAbstractUI.aspx?menuIndex=3&amp;refID=7158990&amp;Result=3","7158990")</f>
        <v>0</v>
      </c>
      <c r="B4251" t="s">
        <v>762</v>
      </c>
      <c r="C4251" t="s">
        <v>7933</v>
      </c>
      <c r="E4251" t="s">
        <v>22889</v>
      </c>
      <c r="F4251" t="s">
        <v>32831</v>
      </c>
      <c r="G4251" t="s">
        <v>32838</v>
      </c>
      <c r="H4251" t="s">
        <v>32848</v>
      </c>
      <c r="I4251" t="s">
        <v>4487</v>
      </c>
      <c r="J4251" t="s">
        <v>35754</v>
      </c>
      <c r="K4251" t="s">
        <v>42732</v>
      </c>
      <c r="M4251" t="s">
        <v>44842</v>
      </c>
      <c r="N4251" t="s">
        <v>47424</v>
      </c>
      <c r="O4251" t="s">
        <v>47425</v>
      </c>
      <c r="P4251">
        <v>0</v>
      </c>
      <c r="Q4251">
        <v>2</v>
      </c>
      <c r="R4251" t="s">
        <v>47430</v>
      </c>
      <c r="S4251" t="s">
        <v>47549</v>
      </c>
      <c r="T4251" t="s">
        <v>49104</v>
      </c>
      <c r="U4251" t="s">
        <v>53256</v>
      </c>
      <c r="W4251" t="s">
        <v>44842</v>
      </c>
      <c r="X4251" t="s">
        <v>47431</v>
      </c>
    </row>
    <row r="4252" spans="1:24">
      <c r="A4252">
        <f>HYPERLINK("https://www.philgeps.gov.ph/GEPSNONPILOT/Tender/SplashBidNoticeAbstractUI.aspx?menuIndex=3&amp;refID=7158986&amp;Result=3","7158986")</f>
        <v>0</v>
      </c>
      <c r="B4252" t="s">
        <v>1691</v>
      </c>
      <c r="C4252" t="s">
        <v>7934</v>
      </c>
      <c r="D4252" t="s">
        <v>19082</v>
      </c>
      <c r="E4252" t="s">
        <v>22890</v>
      </c>
      <c r="F4252" t="s">
        <v>32831</v>
      </c>
      <c r="G4252" t="s">
        <v>32839</v>
      </c>
      <c r="H4252" t="s">
        <v>32849</v>
      </c>
      <c r="I4252" t="s">
        <v>32913</v>
      </c>
      <c r="J4252" t="s">
        <v>35755</v>
      </c>
      <c r="K4252" t="s">
        <v>42781</v>
      </c>
      <c r="M4252" t="s">
        <v>44811</v>
      </c>
      <c r="N4252" t="s">
        <v>47424</v>
      </c>
      <c r="O4252" t="s">
        <v>47425</v>
      </c>
      <c r="P4252">
        <v>0</v>
      </c>
      <c r="Q4252">
        <v>0</v>
      </c>
      <c r="R4252" t="s">
        <v>47430</v>
      </c>
      <c r="S4252" t="s">
        <v>47549</v>
      </c>
      <c r="T4252" t="s">
        <v>49216</v>
      </c>
      <c r="U4252" t="s">
        <v>53278</v>
      </c>
      <c r="W4252" t="s">
        <v>44811</v>
      </c>
      <c r="X4252" t="s">
        <v>47431</v>
      </c>
    </row>
    <row r="4253" spans="1:24">
      <c r="A4253">
        <f>HYPERLINK("https://www.philgeps.gov.ph/GEPSNONPILOT/Tender/SplashBidNoticeAbstractUI.aspx?menuIndex=3&amp;refID=7158880&amp;Result=3","7158880")</f>
        <v>0</v>
      </c>
      <c r="B4253" t="s">
        <v>1552</v>
      </c>
      <c r="C4253" t="s">
        <v>7935</v>
      </c>
      <c r="D4253" t="s">
        <v>19074</v>
      </c>
      <c r="E4253" t="s">
        <v>22891</v>
      </c>
      <c r="F4253" t="s">
        <v>32831</v>
      </c>
      <c r="G4253" t="s">
        <v>32839</v>
      </c>
      <c r="H4253" t="s">
        <v>32848</v>
      </c>
      <c r="I4253" t="s">
        <v>10643</v>
      </c>
      <c r="J4253" t="s">
        <v>35756</v>
      </c>
      <c r="K4253" t="s">
        <v>42730</v>
      </c>
      <c r="M4253" t="s">
        <v>44659</v>
      </c>
      <c r="N4253" t="s">
        <v>47424</v>
      </c>
      <c r="O4253" t="s">
        <v>47425</v>
      </c>
      <c r="P4253">
        <v>0</v>
      </c>
      <c r="Q4253">
        <v>6</v>
      </c>
      <c r="R4253" t="s">
        <v>47430</v>
      </c>
      <c r="S4253" t="s">
        <v>47549</v>
      </c>
      <c r="T4253" t="s">
        <v>49179</v>
      </c>
      <c r="U4253" t="s">
        <v>53279</v>
      </c>
      <c r="V4253" t="s">
        <v>63063</v>
      </c>
      <c r="W4253" t="s">
        <v>44659</v>
      </c>
      <c r="X4253" t="s">
        <v>47431</v>
      </c>
    </row>
    <row r="4254" spans="1:24">
      <c r="A4254">
        <f>HYPERLINK("https://www.philgeps.gov.ph/GEPSNONPILOT/Tender/SplashBidNoticeAbstractUI.aspx?menuIndex=3&amp;refID=7159048&amp;Result=3","7159048")</f>
        <v>0</v>
      </c>
      <c r="B4254" t="s">
        <v>1559</v>
      </c>
      <c r="C4254" t="s">
        <v>7936</v>
      </c>
      <c r="D4254" t="s">
        <v>19027</v>
      </c>
      <c r="E4254" t="s">
        <v>22892</v>
      </c>
      <c r="F4254" t="s">
        <v>32831</v>
      </c>
      <c r="G4254" t="s">
        <v>32840</v>
      </c>
      <c r="H4254" t="s">
        <v>32848</v>
      </c>
      <c r="I4254" t="s">
        <v>32855</v>
      </c>
      <c r="J4254" t="s">
        <v>35757</v>
      </c>
      <c r="K4254" t="s">
        <v>42730</v>
      </c>
      <c r="M4254" t="s">
        <v>44667</v>
      </c>
      <c r="N4254" t="s">
        <v>47424</v>
      </c>
      <c r="O4254" t="s">
        <v>47425</v>
      </c>
      <c r="P4254">
        <v>0</v>
      </c>
      <c r="Q4254">
        <v>2</v>
      </c>
      <c r="R4254" t="s">
        <v>47430</v>
      </c>
      <c r="S4254" t="s">
        <v>47549</v>
      </c>
      <c r="T4254" t="s">
        <v>49089</v>
      </c>
      <c r="U4254" t="s">
        <v>53280</v>
      </c>
      <c r="W4254" t="s">
        <v>44667</v>
      </c>
      <c r="X4254" t="s">
        <v>47431</v>
      </c>
    </row>
    <row r="4255" spans="1:24">
      <c r="A4255">
        <f>HYPERLINK("https://www.philgeps.gov.ph/GEPSNONPILOT/Tender/SplashBidNoticeAbstractUI.aspx?menuIndex=3&amp;refID=7159052&amp;Result=3","7159052")</f>
        <v>0</v>
      </c>
      <c r="B4255" t="s">
        <v>1731</v>
      </c>
      <c r="C4255" t="s">
        <v>7937</v>
      </c>
      <c r="D4255" t="s">
        <v>19027</v>
      </c>
      <c r="E4255" t="s">
        <v>20795</v>
      </c>
      <c r="F4255" t="s">
        <v>32831</v>
      </c>
      <c r="G4255" t="s">
        <v>32842</v>
      </c>
      <c r="H4255" t="s">
        <v>32848</v>
      </c>
      <c r="I4255" t="s">
        <v>9577</v>
      </c>
      <c r="J4255" t="s">
        <v>33178</v>
      </c>
      <c r="K4255" t="s">
        <v>42731</v>
      </c>
      <c r="M4255" t="s">
        <v>44854</v>
      </c>
      <c r="N4255" t="s">
        <v>47424</v>
      </c>
      <c r="O4255" t="s">
        <v>47425</v>
      </c>
      <c r="P4255">
        <v>0</v>
      </c>
      <c r="Q4255">
        <v>1</v>
      </c>
      <c r="R4255" t="s">
        <v>47430</v>
      </c>
      <c r="S4255" t="s">
        <v>47549</v>
      </c>
      <c r="T4255" t="s">
        <v>49214</v>
      </c>
      <c r="U4255" t="s">
        <v>53281</v>
      </c>
      <c r="W4255" t="s">
        <v>44854</v>
      </c>
      <c r="X4255" t="s">
        <v>47431</v>
      </c>
    </row>
    <row r="4256" spans="1:24">
      <c r="A4256">
        <f>HYPERLINK("https://www.philgeps.gov.ph/GEPSNONPILOT/Tender/SplashBidNoticeAbstractUI.aspx?menuIndex=3&amp;refID=7159046&amp;Result=3","7159046")</f>
        <v>0</v>
      </c>
      <c r="B4256" t="s">
        <v>1732</v>
      </c>
      <c r="C4256" t="s">
        <v>7938</v>
      </c>
      <c r="D4256" t="s">
        <v>19085</v>
      </c>
      <c r="E4256" t="s">
        <v>19311</v>
      </c>
      <c r="F4256" t="s">
        <v>32831</v>
      </c>
      <c r="G4256" t="s">
        <v>32839</v>
      </c>
      <c r="H4256" t="s">
        <v>32848</v>
      </c>
      <c r="I4256" t="s">
        <v>7416</v>
      </c>
      <c r="J4256" t="s">
        <v>35758</v>
      </c>
      <c r="K4256" t="s">
        <v>42727</v>
      </c>
      <c r="M4256" t="s">
        <v>44855</v>
      </c>
      <c r="N4256" t="s">
        <v>47424</v>
      </c>
      <c r="O4256" t="s">
        <v>47425</v>
      </c>
      <c r="P4256">
        <v>0</v>
      </c>
      <c r="Q4256">
        <v>1</v>
      </c>
      <c r="R4256" t="s">
        <v>47430</v>
      </c>
      <c r="S4256" t="s">
        <v>47549</v>
      </c>
      <c r="T4256" t="s">
        <v>49381</v>
      </c>
      <c r="U4256" t="s">
        <v>53282</v>
      </c>
      <c r="V4256" t="s">
        <v>63101</v>
      </c>
      <c r="W4256" t="s">
        <v>44855</v>
      </c>
      <c r="X4256" t="s">
        <v>47431</v>
      </c>
    </row>
    <row r="4257" spans="1:24">
      <c r="A4257">
        <f>HYPERLINK("https://www.philgeps.gov.ph/GEPSNONPILOT/Tender/SplashBidNoticeAbstractUI.aspx?menuIndex=3&amp;refID=7159038&amp;Result=3","7159038")</f>
        <v>0</v>
      </c>
      <c r="B4257" t="s">
        <v>762</v>
      </c>
      <c r="C4257" t="s">
        <v>7939</v>
      </c>
      <c r="E4257" t="s">
        <v>22893</v>
      </c>
      <c r="F4257" t="s">
        <v>32831</v>
      </c>
      <c r="G4257" t="s">
        <v>32838</v>
      </c>
      <c r="H4257" t="s">
        <v>32848</v>
      </c>
      <c r="I4257" t="s">
        <v>32871</v>
      </c>
      <c r="J4257" t="s">
        <v>35759</v>
      </c>
      <c r="K4257" t="s">
        <v>42732</v>
      </c>
      <c r="M4257" t="s">
        <v>44842</v>
      </c>
      <c r="N4257" t="s">
        <v>47424</v>
      </c>
      <c r="O4257" t="s">
        <v>47425</v>
      </c>
      <c r="P4257">
        <v>0</v>
      </c>
      <c r="Q4257">
        <v>4</v>
      </c>
      <c r="R4257" t="s">
        <v>47430</v>
      </c>
      <c r="S4257" t="s">
        <v>47549</v>
      </c>
      <c r="T4257" t="s">
        <v>49104</v>
      </c>
      <c r="U4257" t="s">
        <v>53256</v>
      </c>
      <c r="W4257" t="s">
        <v>44842</v>
      </c>
      <c r="X4257" t="s">
        <v>47431</v>
      </c>
    </row>
    <row r="4258" spans="1:24">
      <c r="A4258">
        <f>HYPERLINK("https://www.philgeps.gov.ph/GEPSNONPILOT/Tender/SplashBidNoticeAbstractUI.aspx?menuIndex=3&amp;refID=7159034&amp;Result=3","7159034")</f>
        <v>0</v>
      </c>
      <c r="B4258" t="s">
        <v>1688</v>
      </c>
      <c r="C4258" t="s">
        <v>7940</v>
      </c>
      <c r="D4258" t="s">
        <v>19078</v>
      </c>
      <c r="E4258" t="s">
        <v>22894</v>
      </c>
      <c r="F4258" t="s">
        <v>32831</v>
      </c>
      <c r="G4258" t="s">
        <v>32839</v>
      </c>
      <c r="H4258" t="s">
        <v>32849</v>
      </c>
      <c r="I4258" t="s">
        <v>4177</v>
      </c>
      <c r="J4258" t="s">
        <v>35760</v>
      </c>
      <c r="K4258" t="s">
        <v>42802</v>
      </c>
      <c r="L4258" t="s">
        <v>1688</v>
      </c>
      <c r="M4258" t="s">
        <v>44808</v>
      </c>
      <c r="N4258" t="s">
        <v>47424</v>
      </c>
      <c r="O4258" t="s">
        <v>47425</v>
      </c>
      <c r="P4258">
        <v>0</v>
      </c>
      <c r="Q4258">
        <v>1</v>
      </c>
      <c r="R4258" t="s">
        <v>47430</v>
      </c>
      <c r="S4258" t="s">
        <v>47549</v>
      </c>
      <c r="T4258" t="s">
        <v>49319</v>
      </c>
      <c r="U4258" t="s">
        <v>53283</v>
      </c>
      <c r="V4258" t="s">
        <v>63089</v>
      </c>
      <c r="W4258" t="s">
        <v>44808</v>
      </c>
      <c r="X4258" t="s">
        <v>47431</v>
      </c>
    </row>
    <row r="4259" spans="1:24">
      <c r="A4259">
        <f>HYPERLINK("https://www.philgeps.gov.ph/GEPSNONPILOT/Tender/SplashBidNoticeAbstractUI.aspx?menuIndex=3&amp;refID=7159033&amp;Result=3","7159033")</f>
        <v>0</v>
      </c>
      <c r="B4259" t="s">
        <v>1675</v>
      </c>
      <c r="C4259" t="s">
        <v>7941</v>
      </c>
      <c r="D4259" t="s">
        <v>19083</v>
      </c>
      <c r="E4259" t="s">
        <v>22895</v>
      </c>
      <c r="F4259" t="s">
        <v>32831</v>
      </c>
      <c r="G4259" t="s">
        <v>32838</v>
      </c>
      <c r="H4259" t="s">
        <v>32848</v>
      </c>
      <c r="I4259" t="s">
        <v>32857</v>
      </c>
      <c r="J4259" t="s">
        <v>35761</v>
      </c>
      <c r="K4259" t="s">
        <v>42745</v>
      </c>
      <c r="M4259" t="s">
        <v>44793</v>
      </c>
      <c r="N4259" t="s">
        <v>47424</v>
      </c>
      <c r="O4259" t="s">
        <v>47425</v>
      </c>
      <c r="P4259">
        <v>0</v>
      </c>
      <c r="Q4259">
        <v>5</v>
      </c>
      <c r="R4259" t="s">
        <v>47430</v>
      </c>
      <c r="S4259" t="s">
        <v>47549</v>
      </c>
      <c r="T4259" t="s">
        <v>49114</v>
      </c>
      <c r="U4259" t="s">
        <v>53284</v>
      </c>
      <c r="W4259" t="s">
        <v>44793</v>
      </c>
      <c r="X4259" t="s">
        <v>47431</v>
      </c>
    </row>
    <row r="4260" spans="1:24">
      <c r="A4260">
        <f>HYPERLINK("https://www.philgeps.gov.ph/GEPSNONPILOT/Tender/SplashBidNoticeAbstractUI.aspx?menuIndex=3&amp;refID=7159032&amp;Result=3","7159032")</f>
        <v>0</v>
      </c>
      <c r="B4260" t="s">
        <v>164</v>
      </c>
      <c r="C4260" t="s">
        <v>7942</v>
      </c>
      <c r="E4260" t="s">
        <v>22896</v>
      </c>
      <c r="F4260" t="s">
        <v>32831</v>
      </c>
      <c r="G4260" t="s">
        <v>32842</v>
      </c>
      <c r="H4260" t="s">
        <v>32848</v>
      </c>
      <c r="I4260" t="s">
        <v>4776</v>
      </c>
      <c r="J4260" t="s">
        <v>33133</v>
      </c>
      <c r="K4260" t="s">
        <v>42732</v>
      </c>
      <c r="M4260" t="s">
        <v>43161</v>
      </c>
      <c r="N4260" t="s">
        <v>47424</v>
      </c>
      <c r="O4260" t="s">
        <v>47425</v>
      </c>
      <c r="P4260">
        <v>0</v>
      </c>
      <c r="Q4260">
        <v>1</v>
      </c>
      <c r="R4260" t="s">
        <v>47430</v>
      </c>
      <c r="S4260" t="s">
        <v>47549</v>
      </c>
      <c r="T4260" t="s">
        <v>49214</v>
      </c>
      <c r="U4260" t="s">
        <v>53285</v>
      </c>
      <c r="W4260" t="s">
        <v>43161</v>
      </c>
      <c r="X4260" t="s">
        <v>47431</v>
      </c>
    </row>
    <row r="4261" spans="1:24">
      <c r="A4261">
        <f>HYPERLINK("https://www.philgeps.gov.ph/GEPSNONPILOT/Tender/SplashBidNoticeAbstractUI.aspx?menuIndex=3&amp;refID=7159053&amp;Result=3","7159053")</f>
        <v>0</v>
      </c>
      <c r="B4261" t="s">
        <v>980</v>
      </c>
      <c r="C4261" t="s">
        <v>7943</v>
      </c>
      <c r="D4261" t="s">
        <v>19022</v>
      </c>
      <c r="E4261" t="s">
        <v>22897</v>
      </c>
      <c r="F4261" t="s">
        <v>32831</v>
      </c>
      <c r="G4261" t="s">
        <v>32838</v>
      </c>
      <c r="H4261" t="s">
        <v>32848</v>
      </c>
      <c r="I4261" t="s">
        <v>32957</v>
      </c>
      <c r="J4261" t="s">
        <v>33077</v>
      </c>
      <c r="K4261" t="s">
        <v>42730</v>
      </c>
      <c r="M4261" t="s">
        <v>44029</v>
      </c>
      <c r="N4261" t="s">
        <v>47424</v>
      </c>
      <c r="O4261" t="s">
        <v>47425</v>
      </c>
      <c r="P4261">
        <v>0</v>
      </c>
      <c r="Q4261">
        <v>0</v>
      </c>
      <c r="R4261" t="s">
        <v>47430</v>
      </c>
      <c r="S4261" t="s">
        <v>47549</v>
      </c>
      <c r="T4261" t="s">
        <v>49239</v>
      </c>
      <c r="U4261" t="s">
        <v>53286</v>
      </c>
      <c r="W4261" t="s">
        <v>44029</v>
      </c>
      <c r="X4261" t="s">
        <v>47431</v>
      </c>
    </row>
    <row r="4262" spans="1:24">
      <c r="A4262">
        <f>HYPERLINK("https://www.philgeps.gov.ph/GEPSNONPILOT/Tender/SplashBidNoticeAbstractUI.aspx?menuIndex=3&amp;refID=7158879&amp;Result=3","7158879")</f>
        <v>0</v>
      </c>
      <c r="B4262" t="s">
        <v>976</v>
      </c>
      <c r="C4262" t="s">
        <v>7944</v>
      </c>
      <c r="E4262" t="s">
        <v>19262</v>
      </c>
      <c r="F4262" t="s">
        <v>32831</v>
      </c>
      <c r="G4262" t="s">
        <v>32839</v>
      </c>
      <c r="H4262" t="s">
        <v>32848</v>
      </c>
      <c r="I4262" t="s">
        <v>7751</v>
      </c>
      <c r="J4262" t="s">
        <v>34447</v>
      </c>
      <c r="K4262" t="s">
        <v>42732</v>
      </c>
      <c r="M4262" t="s">
        <v>44025</v>
      </c>
      <c r="N4262" t="s">
        <v>47424</v>
      </c>
      <c r="O4262" t="s">
        <v>47425</v>
      </c>
      <c r="P4262">
        <v>0</v>
      </c>
      <c r="Q4262">
        <v>6</v>
      </c>
      <c r="R4262" t="s">
        <v>47430</v>
      </c>
      <c r="S4262" t="s">
        <v>47549</v>
      </c>
      <c r="T4262" t="s">
        <v>49119</v>
      </c>
      <c r="U4262" t="s">
        <v>53287</v>
      </c>
      <c r="W4262" t="s">
        <v>44025</v>
      </c>
      <c r="X4262" t="s">
        <v>47431</v>
      </c>
    </row>
    <row r="4263" spans="1:24">
      <c r="A4263">
        <f>HYPERLINK("https://www.philgeps.gov.ph/GEPSNONPILOT/Tender/SplashBidNoticeAbstractUI.aspx?menuIndex=3&amp;refID=7159094&amp;Result=3","7159094")</f>
        <v>0</v>
      </c>
      <c r="B4263" t="s">
        <v>1733</v>
      </c>
      <c r="C4263" t="s">
        <v>7945</v>
      </c>
      <c r="D4263" t="s">
        <v>19064</v>
      </c>
      <c r="E4263" t="s">
        <v>22898</v>
      </c>
      <c r="F4263" t="s">
        <v>32831</v>
      </c>
      <c r="G4263" t="s">
        <v>32839</v>
      </c>
      <c r="H4263" t="s">
        <v>32848</v>
      </c>
      <c r="I4263" t="s">
        <v>32870</v>
      </c>
      <c r="J4263" t="s">
        <v>33416</v>
      </c>
      <c r="K4263" t="s">
        <v>42730</v>
      </c>
      <c r="M4263" t="s">
        <v>44856</v>
      </c>
      <c r="N4263" t="s">
        <v>47424</v>
      </c>
      <c r="O4263" t="s">
        <v>47425</v>
      </c>
      <c r="P4263">
        <v>0</v>
      </c>
      <c r="Q4263">
        <v>0</v>
      </c>
      <c r="R4263" t="s">
        <v>47430</v>
      </c>
      <c r="S4263" t="s">
        <v>47549</v>
      </c>
      <c r="T4263" t="s">
        <v>49089</v>
      </c>
      <c r="U4263" t="s">
        <v>53288</v>
      </c>
      <c r="W4263" t="s">
        <v>44856</v>
      </c>
      <c r="X4263" t="s">
        <v>47431</v>
      </c>
    </row>
    <row r="4264" spans="1:24">
      <c r="A4264">
        <f>HYPERLINK("https://www.philgeps.gov.ph/GEPSNONPILOT/Tender/SplashBidNoticeAbstractUI.aspx?menuIndex=3&amp;refID=7159050&amp;Result=3","7159050")</f>
        <v>0</v>
      </c>
      <c r="B4264" t="s">
        <v>1733</v>
      </c>
      <c r="C4264" t="s">
        <v>4558</v>
      </c>
      <c r="D4264" t="s">
        <v>19064</v>
      </c>
      <c r="E4264" t="s">
        <v>22899</v>
      </c>
      <c r="F4264" t="s">
        <v>32831</v>
      </c>
      <c r="G4264" t="s">
        <v>32839</v>
      </c>
      <c r="H4264" t="s">
        <v>32848</v>
      </c>
      <c r="I4264" t="s">
        <v>4558</v>
      </c>
      <c r="J4264" t="s">
        <v>35762</v>
      </c>
      <c r="K4264" t="s">
        <v>42730</v>
      </c>
      <c r="M4264" t="s">
        <v>44856</v>
      </c>
      <c r="N4264" t="s">
        <v>47424</v>
      </c>
      <c r="O4264" t="s">
        <v>47425</v>
      </c>
      <c r="P4264">
        <v>0</v>
      </c>
      <c r="Q4264">
        <v>3</v>
      </c>
      <c r="R4264" t="s">
        <v>47430</v>
      </c>
      <c r="S4264" t="s">
        <v>47549</v>
      </c>
      <c r="T4264" t="s">
        <v>49089</v>
      </c>
      <c r="U4264" t="s">
        <v>53288</v>
      </c>
      <c r="W4264" t="s">
        <v>44856</v>
      </c>
      <c r="X4264" t="s">
        <v>47431</v>
      </c>
    </row>
    <row r="4265" spans="1:24">
      <c r="A4265">
        <f>HYPERLINK("https://www.philgeps.gov.ph/GEPSNONPILOT/Tender/SplashBidNoticeAbstractUI.aspx?menuIndex=3&amp;refID=7159031&amp;Result=3","7159031")</f>
        <v>0</v>
      </c>
      <c r="B4265" t="s">
        <v>1720</v>
      </c>
      <c r="C4265" t="s">
        <v>7946</v>
      </c>
      <c r="D4265" t="s">
        <v>19034</v>
      </c>
      <c r="E4265" t="s">
        <v>22900</v>
      </c>
      <c r="F4265" t="s">
        <v>32831</v>
      </c>
      <c r="G4265" t="s">
        <v>32839</v>
      </c>
      <c r="H4265" t="s">
        <v>32848</v>
      </c>
      <c r="I4265" t="s">
        <v>7416</v>
      </c>
      <c r="J4265" t="s">
        <v>35763</v>
      </c>
      <c r="K4265" t="s">
        <v>42727</v>
      </c>
      <c r="M4265" t="s">
        <v>44843</v>
      </c>
      <c r="N4265" t="s">
        <v>47424</v>
      </c>
      <c r="O4265" t="s">
        <v>47425</v>
      </c>
      <c r="P4265">
        <v>0</v>
      </c>
      <c r="Q4265">
        <v>0</v>
      </c>
      <c r="R4265" t="s">
        <v>47430</v>
      </c>
      <c r="S4265" t="s">
        <v>47549</v>
      </c>
      <c r="T4265" t="s">
        <v>49064</v>
      </c>
      <c r="U4265" t="s">
        <v>53289</v>
      </c>
      <c r="W4265" t="s">
        <v>44843</v>
      </c>
      <c r="X4265" t="s">
        <v>47431</v>
      </c>
    </row>
    <row r="4266" spans="1:24">
      <c r="A4266">
        <f>HYPERLINK("https://www.philgeps.gov.ph/GEPSNONPILOT/Tender/SplashBidNoticeAbstractUI.aspx?menuIndex=3&amp;refID=7159089&amp;Result=3","7159089")</f>
        <v>0</v>
      </c>
      <c r="B4266" t="s">
        <v>1734</v>
      </c>
      <c r="C4266" t="s">
        <v>7947</v>
      </c>
      <c r="D4266" t="s">
        <v>19062</v>
      </c>
      <c r="E4266" t="s">
        <v>22901</v>
      </c>
      <c r="F4266" t="s">
        <v>32831</v>
      </c>
      <c r="G4266" t="s">
        <v>32840</v>
      </c>
      <c r="H4266" t="s">
        <v>32848</v>
      </c>
      <c r="I4266" t="s">
        <v>32860</v>
      </c>
      <c r="J4266" t="s">
        <v>33007</v>
      </c>
      <c r="K4266" t="s">
        <v>42758</v>
      </c>
      <c r="M4266" t="s">
        <v>44857</v>
      </c>
      <c r="N4266" t="s">
        <v>47424</v>
      </c>
      <c r="O4266" t="s">
        <v>47425</v>
      </c>
      <c r="P4266">
        <v>0</v>
      </c>
      <c r="Q4266">
        <v>2</v>
      </c>
      <c r="R4266" t="s">
        <v>47430</v>
      </c>
      <c r="S4266" t="s">
        <v>47549</v>
      </c>
      <c r="T4266" t="s">
        <v>49145</v>
      </c>
      <c r="U4266" t="s">
        <v>53290</v>
      </c>
      <c r="V4266" t="s">
        <v>63102</v>
      </c>
      <c r="W4266" t="s">
        <v>44857</v>
      </c>
      <c r="X4266" t="s">
        <v>47431</v>
      </c>
    </row>
    <row r="4267" spans="1:24">
      <c r="A4267">
        <f>HYPERLINK("https://www.philgeps.gov.ph/GEPSNONPILOT/Tender/SplashBidNoticeAbstractUI.aspx?menuIndex=3&amp;refID=7159086&amp;Result=3","7159086")</f>
        <v>0</v>
      </c>
      <c r="B4267" t="s">
        <v>581</v>
      </c>
      <c r="C4267" t="s">
        <v>7948</v>
      </c>
      <c r="D4267" t="s">
        <v>19044</v>
      </c>
      <c r="E4267" t="s">
        <v>22902</v>
      </c>
      <c r="F4267" t="s">
        <v>32831</v>
      </c>
      <c r="G4267" t="s">
        <v>32838</v>
      </c>
      <c r="H4267" t="s">
        <v>32848</v>
      </c>
      <c r="I4267" t="s">
        <v>4776</v>
      </c>
      <c r="J4267" t="s">
        <v>35350</v>
      </c>
      <c r="K4267" t="s">
        <v>42732</v>
      </c>
      <c r="M4267" t="s">
        <v>43592</v>
      </c>
      <c r="N4267" t="s">
        <v>47424</v>
      </c>
      <c r="O4267" t="s">
        <v>47425</v>
      </c>
      <c r="P4267">
        <v>0</v>
      </c>
      <c r="Q4267">
        <v>1</v>
      </c>
      <c r="R4267" t="s">
        <v>47430</v>
      </c>
      <c r="S4267" t="s">
        <v>47549</v>
      </c>
      <c r="T4267" t="s">
        <v>49163</v>
      </c>
      <c r="U4267" t="s">
        <v>50752</v>
      </c>
      <c r="W4267" t="s">
        <v>43592</v>
      </c>
      <c r="X4267" t="s">
        <v>47431</v>
      </c>
    </row>
    <row r="4268" spans="1:24">
      <c r="A4268">
        <f>HYPERLINK("https://www.philgeps.gov.ph/GEPSNONPILOT/Tender/SplashBidNoticeAbstractUI.aspx?menuIndex=3&amp;refID=7159087&amp;Result=3","7159087")</f>
        <v>0</v>
      </c>
      <c r="B4268" t="s">
        <v>1735</v>
      </c>
      <c r="C4268" t="s">
        <v>7949</v>
      </c>
      <c r="D4268" t="s">
        <v>19026</v>
      </c>
      <c r="E4268" t="s">
        <v>22903</v>
      </c>
      <c r="F4268" t="s">
        <v>32831</v>
      </c>
      <c r="G4268" t="s">
        <v>32839</v>
      </c>
      <c r="H4268" t="s">
        <v>32848</v>
      </c>
      <c r="I4268" t="s">
        <v>7416</v>
      </c>
      <c r="J4268" t="s">
        <v>35764</v>
      </c>
      <c r="K4268" t="s">
        <v>42730</v>
      </c>
      <c r="M4268" t="s">
        <v>44858</v>
      </c>
      <c r="N4268" t="s">
        <v>47424</v>
      </c>
      <c r="O4268" t="s">
        <v>47425</v>
      </c>
      <c r="P4268">
        <v>0</v>
      </c>
      <c r="Q4268">
        <v>8</v>
      </c>
      <c r="R4268" t="s">
        <v>47430</v>
      </c>
      <c r="S4268" t="s">
        <v>47549</v>
      </c>
      <c r="T4268" t="s">
        <v>49077</v>
      </c>
      <c r="U4268" t="s">
        <v>53291</v>
      </c>
      <c r="V4268" t="s">
        <v>63103</v>
      </c>
      <c r="W4268" t="s">
        <v>44858</v>
      </c>
      <c r="X4268" t="s">
        <v>47431</v>
      </c>
    </row>
    <row r="4269" spans="1:24">
      <c r="A4269">
        <f>HYPERLINK("https://www.philgeps.gov.ph/GEPSNONPILOT/Tender/SplashBidNoticeAbstractUI.aspx?menuIndex=3&amp;refID=7159083&amp;Result=3","7159083")</f>
        <v>0</v>
      </c>
      <c r="B4269" t="s">
        <v>1675</v>
      </c>
      <c r="C4269" t="s">
        <v>7950</v>
      </c>
      <c r="D4269" t="s">
        <v>19083</v>
      </c>
      <c r="E4269" t="s">
        <v>22904</v>
      </c>
      <c r="F4269" t="s">
        <v>32831</v>
      </c>
      <c r="G4269" t="s">
        <v>32838</v>
      </c>
      <c r="H4269" t="s">
        <v>32848</v>
      </c>
      <c r="I4269" t="s">
        <v>6526</v>
      </c>
      <c r="J4269" t="s">
        <v>33587</v>
      </c>
      <c r="K4269" t="s">
        <v>42745</v>
      </c>
      <c r="M4269" t="s">
        <v>44793</v>
      </c>
      <c r="N4269" t="s">
        <v>47424</v>
      </c>
      <c r="O4269" t="s">
        <v>47425</v>
      </c>
      <c r="P4269">
        <v>0</v>
      </c>
      <c r="Q4269">
        <v>0</v>
      </c>
      <c r="R4269" t="s">
        <v>47430</v>
      </c>
      <c r="S4269" t="s">
        <v>47549</v>
      </c>
      <c r="T4269" t="s">
        <v>49114</v>
      </c>
      <c r="U4269" t="s">
        <v>53292</v>
      </c>
      <c r="W4269" t="s">
        <v>44793</v>
      </c>
      <c r="X4269" t="s">
        <v>47431</v>
      </c>
    </row>
    <row r="4270" spans="1:24">
      <c r="A4270">
        <f>HYPERLINK("https://www.philgeps.gov.ph/GEPSNONPILOT/Tender/SplashBidNoticeAbstractUI.aspx?menuIndex=3&amp;refID=7159091&amp;Result=3","7159091")</f>
        <v>0</v>
      </c>
      <c r="B4270" t="s">
        <v>1736</v>
      </c>
      <c r="C4270" t="s">
        <v>7951</v>
      </c>
      <c r="D4270" t="s">
        <v>19054</v>
      </c>
      <c r="E4270" t="s">
        <v>22905</v>
      </c>
      <c r="F4270" t="s">
        <v>32831</v>
      </c>
      <c r="G4270" t="s">
        <v>32839</v>
      </c>
      <c r="H4270" t="s">
        <v>32848</v>
      </c>
      <c r="I4270" t="s">
        <v>32870</v>
      </c>
      <c r="J4270" t="s">
        <v>33644</v>
      </c>
      <c r="K4270" t="s">
        <v>42728</v>
      </c>
      <c r="L4270" t="s">
        <v>1736</v>
      </c>
      <c r="M4270" t="s">
        <v>44859</v>
      </c>
      <c r="N4270" t="s">
        <v>47424</v>
      </c>
      <c r="O4270" t="s">
        <v>47425</v>
      </c>
      <c r="P4270">
        <v>0</v>
      </c>
      <c r="Q4270">
        <v>0</v>
      </c>
      <c r="R4270" t="s">
        <v>47430</v>
      </c>
      <c r="S4270" t="s">
        <v>47549</v>
      </c>
      <c r="T4270" t="s">
        <v>49069</v>
      </c>
      <c r="U4270" t="s">
        <v>53293</v>
      </c>
      <c r="V4270" t="s">
        <v>63104</v>
      </c>
      <c r="W4270" t="s">
        <v>44859</v>
      </c>
      <c r="X4270" t="s">
        <v>47431</v>
      </c>
    </row>
    <row r="4271" spans="1:24">
      <c r="A4271">
        <f>HYPERLINK("https://www.philgeps.gov.ph/GEPSNONPILOT/Tender/SplashBidNoticeAbstractUI.aspx?menuIndex=3&amp;refID=7159080&amp;Result=3","7159080")</f>
        <v>0</v>
      </c>
      <c r="B4271" t="s">
        <v>1728</v>
      </c>
      <c r="C4271" t="s">
        <v>7952</v>
      </c>
      <c r="D4271" t="s">
        <v>19058</v>
      </c>
      <c r="E4271" t="s">
        <v>22906</v>
      </c>
      <c r="F4271" t="s">
        <v>32831</v>
      </c>
      <c r="G4271" t="s">
        <v>32839</v>
      </c>
      <c r="H4271" t="s">
        <v>32848</v>
      </c>
      <c r="I4271" t="s">
        <v>7416</v>
      </c>
      <c r="J4271" t="s">
        <v>35765</v>
      </c>
      <c r="K4271" t="s">
        <v>42727</v>
      </c>
      <c r="M4271" t="s">
        <v>44851</v>
      </c>
      <c r="N4271" t="s">
        <v>47424</v>
      </c>
      <c r="O4271" t="s">
        <v>47425</v>
      </c>
      <c r="P4271">
        <v>0</v>
      </c>
      <c r="Q4271">
        <v>0</v>
      </c>
      <c r="R4271" t="s">
        <v>47430</v>
      </c>
      <c r="S4271" t="s">
        <v>47549</v>
      </c>
      <c r="T4271" t="s">
        <v>49123</v>
      </c>
      <c r="U4271" t="s">
        <v>53277</v>
      </c>
      <c r="W4271" t="s">
        <v>44851</v>
      </c>
      <c r="X4271" t="s">
        <v>47431</v>
      </c>
    </row>
    <row r="4272" spans="1:24">
      <c r="A4272">
        <f>HYPERLINK("https://www.philgeps.gov.ph/GEPSNONPILOT/Tender/SplashBidNoticeAbstractUI.aspx?menuIndex=3&amp;refID=7159078&amp;Result=3","7159078")</f>
        <v>0</v>
      </c>
      <c r="B4272" t="s">
        <v>1737</v>
      </c>
      <c r="C4272" t="s">
        <v>7953</v>
      </c>
      <c r="D4272" t="s">
        <v>19056</v>
      </c>
      <c r="E4272" t="s">
        <v>22907</v>
      </c>
      <c r="F4272" t="s">
        <v>32831</v>
      </c>
      <c r="G4272" t="s">
        <v>32838</v>
      </c>
      <c r="H4272" t="s">
        <v>32848</v>
      </c>
      <c r="I4272" t="s">
        <v>32894</v>
      </c>
      <c r="J4272" t="s">
        <v>35766</v>
      </c>
      <c r="K4272" t="s">
        <v>42807</v>
      </c>
      <c r="M4272" t="s">
        <v>44860</v>
      </c>
      <c r="N4272" t="s">
        <v>47424</v>
      </c>
      <c r="O4272" t="s">
        <v>47425</v>
      </c>
      <c r="P4272">
        <v>0</v>
      </c>
      <c r="Q4272">
        <v>0</v>
      </c>
      <c r="R4272" t="s">
        <v>47430</v>
      </c>
      <c r="S4272" t="s">
        <v>47549</v>
      </c>
      <c r="T4272" t="s">
        <v>49229</v>
      </c>
      <c r="U4272" t="s">
        <v>53294</v>
      </c>
      <c r="W4272" t="s">
        <v>44860</v>
      </c>
      <c r="X4272" t="s">
        <v>47431</v>
      </c>
    </row>
    <row r="4273" spans="1:24">
      <c r="A4273">
        <f>HYPERLINK("https://www.philgeps.gov.ph/GEPSNONPILOT/Tender/SplashBidNoticeAbstractUI.aspx?menuIndex=3&amp;refID=7159093&amp;Result=3","7159093")</f>
        <v>0</v>
      </c>
      <c r="B4273" t="s">
        <v>1738</v>
      </c>
      <c r="C4273" t="s">
        <v>6551</v>
      </c>
      <c r="D4273" t="s">
        <v>19017</v>
      </c>
      <c r="E4273" t="s">
        <v>22413</v>
      </c>
      <c r="F4273" t="s">
        <v>32831</v>
      </c>
      <c r="G4273" t="s">
        <v>32839</v>
      </c>
      <c r="H4273" t="s">
        <v>32848</v>
      </c>
      <c r="I4273" t="s">
        <v>32860</v>
      </c>
      <c r="J4273" t="s">
        <v>33017</v>
      </c>
      <c r="K4273" t="s">
        <v>42726</v>
      </c>
      <c r="M4273" t="s">
        <v>44861</v>
      </c>
      <c r="N4273" t="s">
        <v>47424</v>
      </c>
      <c r="O4273" t="s">
        <v>47425</v>
      </c>
      <c r="P4273">
        <v>0</v>
      </c>
      <c r="Q4273">
        <v>3</v>
      </c>
      <c r="R4273" t="s">
        <v>47430</v>
      </c>
      <c r="S4273" t="s">
        <v>47549</v>
      </c>
      <c r="T4273" t="s">
        <v>49104</v>
      </c>
      <c r="U4273" t="s">
        <v>53295</v>
      </c>
      <c r="W4273" t="s">
        <v>44861</v>
      </c>
      <c r="X4273" t="s">
        <v>47431</v>
      </c>
    </row>
    <row r="4274" spans="1:24">
      <c r="A4274">
        <f>HYPERLINK("https://www.philgeps.gov.ph/GEPSNONPILOT/Tender/SplashBidNoticeAbstractUI.aspx?menuIndex=3&amp;refID=7159082&amp;Result=3","7159082")</f>
        <v>0</v>
      </c>
      <c r="B4274" t="s">
        <v>257</v>
      </c>
      <c r="C4274" t="s">
        <v>4403</v>
      </c>
      <c r="D4274" t="s">
        <v>19058</v>
      </c>
      <c r="E4274" t="s">
        <v>22908</v>
      </c>
      <c r="F4274" t="s">
        <v>32831</v>
      </c>
      <c r="G4274" t="s">
        <v>32838</v>
      </c>
      <c r="H4274" t="s">
        <v>32848</v>
      </c>
      <c r="I4274" t="s">
        <v>32862</v>
      </c>
      <c r="J4274" t="s">
        <v>33372</v>
      </c>
      <c r="K4274" t="s">
        <v>42732</v>
      </c>
      <c r="M4274" t="s">
        <v>43256</v>
      </c>
      <c r="N4274" t="s">
        <v>47424</v>
      </c>
      <c r="O4274" t="s">
        <v>47425</v>
      </c>
      <c r="P4274">
        <v>0</v>
      </c>
      <c r="Q4274">
        <v>0</v>
      </c>
      <c r="R4274" t="s">
        <v>47430</v>
      </c>
      <c r="S4274" t="s">
        <v>47549</v>
      </c>
      <c r="T4274" t="s">
        <v>49177</v>
      </c>
      <c r="U4274" t="s">
        <v>53296</v>
      </c>
      <c r="W4274" t="s">
        <v>43256</v>
      </c>
      <c r="X4274" t="s">
        <v>47431</v>
      </c>
    </row>
    <row r="4275" spans="1:24">
      <c r="A4275">
        <f>HYPERLINK("https://www.philgeps.gov.ph/GEPSNONPILOT/Tender/SplashBidNoticeAbstractUI.aspx?menuIndex=3&amp;refID=7159074&amp;Result=3","7159074")</f>
        <v>0</v>
      </c>
      <c r="B4275" t="s">
        <v>1733</v>
      </c>
      <c r="C4275" t="s">
        <v>7954</v>
      </c>
      <c r="D4275" t="s">
        <v>19064</v>
      </c>
      <c r="E4275" t="s">
        <v>22909</v>
      </c>
      <c r="F4275" t="s">
        <v>32831</v>
      </c>
      <c r="G4275" t="s">
        <v>32839</v>
      </c>
      <c r="H4275" t="s">
        <v>32848</v>
      </c>
      <c r="I4275" t="s">
        <v>5379</v>
      </c>
      <c r="J4275" t="s">
        <v>32983</v>
      </c>
      <c r="K4275" t="s">
        <v>42730</v>
      </c>
      <c r="M4275" t="s">
        <v>44856</v>
      </c>
      <c r="N4275" t="s">
        <v>47424</v>
      </c>
      <c r="O4275" t="s">
        <v>47425</v>
      </c>
      <c r="P4275">
        <v>0</v>
      </c>
      <c r="Q4275">
        <v>0</v>
      </c>
      <c r="R4275" t="s">
        <v>47430</v>
      </c>
      <c r="S4275" t="s">
        <v>47549</v>
      </c>
      <c r="T4275" t="s">
        <v>49089</v>
      </c>
      <c r="U4275" t="s">
        <v>53288</v>
      </c>
      <c r="W4275" t="s">
        <v>44856</v>
      </c>
      <c r="X4275" t="s">
        <v>47431</v>
      </c>
    </row>
    <row r="4276" spans="1:24">
      <c r="A4276">
        <f>HYPERLINK("https://www.philgeps.gov.ph/GEPSNONPILOT/Tender/SplashBidNoticeAbstractUI.aspx?menuIndex=3&amp;refID=7159072&amp;Result=3","7159072")</f>
        <v>0</v>
      </c>
      <c r="B4276" t="s">
        <v>1477</v>
      </c>
      <c r="C4276" t="s">
        <v>7955</v>
      </c>
      <c r="D4276" t="s">
        <v>19057</v>
      </c>
      <c r="E4276" t="s">
        <v>22910</v>
      </c>
      <c r="F4276" t="s">
        <v>32831</v>
      </c>
      <c r="G4276" t="s">
        <v>32840</v>
      </c>
      <c r="H4276" t="s">
        <v>32848</v>
      </c>
      <c r="I4276" t="s">
        <v>7416</v>
      </c>
      <c r="J4276" t="s">
        <v>33133</v>
      </c>
      <c r="K4276" t="s">
        <v>42726</v>
      </c>
      <c r="M4276" t="s">
        <v>44570</v>
      </c>
      <c r="N4276" t="s">
        <v>47424</v>
      </c>
      <c r="O4276" t="s">
        <v>47425</v>
      </c>
      <c r="P4276">
        <v>0</v>
      </c>
      <c r="Q4276">
        <v>0</v>
      </c>
      <c r="R4276" t="s">
        <v>47430</v>
      </c>
      <c r="S4276" t="s">
        <v>47549</v>
      </c>
      <c r="T4276" t="s">
        <v>49237</v>
      </c>
      <c r="U4276" t="s">
        <v>53297</v>
      </c>
      <c r="V4276" t="s">
        <v>63105</v>
      </c>
      <c r="W4276" t="s">
        <v>44570</v>
      </c>
      <c r="X4276" t="s">
        <v>47431</v>
      </c>
    </row>
    <row r="4277" spans="1:24">
      <c r="A4277">
        <f>HYPERLINK("https://www.philgeps.gov.ph/GEPSNONPILOT/Tender/SplashBidNoticeAbstractUI.aspx?menuIndex=3&amp;refID=7159071&amp;Result=3","7159071")</f>
        <v>0</v>
      </c>
      <c r="B4277" t="s">
        <v>1714</v>
      </c>
      <c r="C4277" t="s">
        <v>7956</v>
      </c>
      <c r="D4277" t="s">
        <v>19026</v>
      </c>
      <c r="E4277" t="s">
        <v>22911</v>
      </c>
      <c r="F4277" t="s">
        <v>32831</v>
      </c>
      <c r="G4277" t="s">
        <v>32838</v>
      </c>
      <c r="H4277" t="s">
        <v>32848</v>
      </c>
      <c r="I4277" t="s">
        <v>32858</v>
      </c>
      <c r="J4277" t="s">
        <v>35767</v>
      </c>
      <c r="K4277" t="s">
        <v>42732</v>
      </c>
      <c r="M4277" t="s">
        <v>44836</v>
      </c>
      <c r="N4277" t="s">
        <v>47424</v>
      </c>
      <c r="O4277" t="s">
        <v>47425</v>
      </c>
      <c r="P4277">
        <v>0</v>
      </c>
      <c r="Q4277">
        <v>1</v>
      </c>
      <c r="R4277" t="s">
        <v>47430</v>
      </c>
      <c r="S4277" t="s">
        <v>47549</v>
      </c>
      <c r="T4277" t="s">
        <v>49111</v>
      </c>
      <c r="U4277" t="s">
        <v>53248</v>
      </c>
      <c r="W4277" t="s">
        <v>44836</v>
      </c>
      <c r="X4277" t="s">
        <v>47431</v>
      </c>
    </row>
    <row r="4278" spans="1:24">
      <c r="A4278">
        <f>HYPERLINK("https://www.philgeps.gov.ph/GEPSNONPILOT/Tender/SplashBidNoticeAbstractUI.aspx?menuIndex=3&amp;refID=7159077&amp;Result=3","7159077")</f>
        <v>0</v>
      </c>
      <c r="B4278" t="s">
        <v>169</v>
      </c>
      <c r="C4278" t="s">
        <v>7957</v>
      </c>
      <c r="D4278" t="s">
        <v>19022</v>
      </c>
      <c r="E4278" t="s">
        <v>22912</v>
      </c>
      <c r="F4278" t="s">
        <v>32831</v>
      </c>
      <c r="G4278" t="s">
        <v>32838</v>
      </c>
      <c r="H4278" t="s">
        <v>32848</v>
      </c>
      <c r="I4278" t="s">
        <v>32867</v>
      </c>
      <c r="J4278" t="s">
        <v>33476</v>
      </c>
      <c r="K4278" t="s">
        <v>42758</v>
      </c>
      <c r="M4278" t="s">
        <v>43166</v>
      </c>
      <c r="N4278" t="s">
        <v>47424</v>
      </c>
      <c r="O4278" t="s">
        <v>47425</v>
      </c>
      <c r="P4278">
        <v>0</v>
      </c>
      <c r="Q4278">
        <v>2</v>
      </c>
      <c r="R4278" t="s">
        <v>47430</v>
      </c>
      <c r="S4278" t="s">
        <v>47549</v>
      </c>
      <c r="T4278" t="s">
        <v>49107</v>
      </c>
      <c r="U4278" t="s">
        <v>53298</v>
      </c>
      <c r="W4278" t="s">
        <v>43166</v>
      </c>
      <c r="X4278" t="s">
        <v>47431</v>
      </c>
    </row>
    <row r="4279" spans="1:24">
      <c r="A4279">
        <f>HYPERLINK("https://www.philgeps.gov.ph/GEPSNONPILOT/Tender/SplashBidNoticeAbstractUI.aspx?menuIndex=3&amp;refID=7159063&amp;Result=3","7159063")</f>
        <v>0</v>
      </c>
      <c r="B4279" t="s">
        <v>1739</v>
      </c>
      <c r="C4279" t="s">
        <v>7958</v>
      </c>
      <c r="D4279" t="s">
        <v>19026</v>
      </c>
      <c r="E4279" t="s">
        <v>22913</v>
      </c>
      <c r="F4279" t="s">
        <v>32831</v>
      </c>
      <c r="G4279" t="s">
        <v>32838</v>
      </c>
      <c r="H4279" t="s">
        <v>32848</v>
      </c>
      <c r="I4279" t="s">
        <v>32878</v>
      </c>
      <c r="J4279" t="s">
        <v>33018</v>
      </c>
      <c r="K4279" t="s">
        <v>42732</v>
      </c>
      <c r="M4279" t="s">
        <v>44862</v>
      </c>
      <c r="N4279" t="s">
        <v>47424</v>
      </c>
      <c r="O4279" t="s">
        <v>47425</v>
      </c>
      <c r="P4279">
        <v>0</v>
      </c>
      <c r="Q4279">
        <v>1</v>
      </c>
      <c r="R4279" t="s">
        <v>47430</v>
      </c>
      <c r="S4279" t="s">
        <v>47549</v>
      </c>
      <c r="T4279" t="s">
        <v>49089</v>
      </c>
      <c r="U4279" t="s">
        <v>53299</v>
      </c>
      <c r="W4279" t="s">
        <v>44862</v>
      </c>
      <c r="X4279" t="s">
        <v>47431</v>
      </c>
    </row>
    <row r="4280" spans="1:24">
      <c r="A4280">
        <f>HYPERLINK("https://www.philgeps.gov.ph/GEPSNONPILOT/Tender/SplashBidNoticeAbstractUI.aspx?menuIndex=3&amp;refID=7159061&amp;Result=3","7159061")</f>
        <v>0</v>
      </c>
      <c r="B4280" t="s">
        <v>1737</v>
      </c>
      <c r="C4280" t="s">
        <v>7959</v>
      </c>
      <c r="D4280" t="s">
        <v>19056</v>
      </c>
      <c r="E4280" t="s">
        <v>22914</v>
      </c>
      <c r="F4280" t="s">
        <v>32831</v>
      </c>
      <c r="G4280" t="s">
        <v>32838</v>
      </c>
      <c r="H4280" t="s">
        <v>32848</v>
      </c>
      <c r="I4280" t="s">
        <v>32870</v>
      </c>
      <c r="J4280" t="s">
        <v>35768</v>
      </c>
      <c r="K4280" t="s">
        <v>42807</v>
      </c>
      <c r="M4280" t="s">
        <v>44860</v>
      </c>
      <c r="N4280" t="s">
        <v>47424</v>
      </c>
      <c r="O4280" t="s">
        <v>47425</v>
      </c>
      <c r="P4280">
        <v>0</v>
      </c>
      <c r="Q4280">
        <v>0</v>
      </c>
      <c r="R4280" t="s">
        <v>47430</v>
      </c>
      <c r="S4280" t="s">
        <v>47549</v>
      </c>
      <c r="T4280" t="s">
        <v>49229</v>
      </c>
      <c r="U4280" t="s">
        <v>53300</v>
      </c>
      <c r="W4280" t="s">
        <v>44860</v>
      </c>
      <c r="X4280" t="s">
        <v>47431</v>
      </c>
    </row>
    <row r="4281" spans="1:24">
      <c r="A4281">
        <f>HYPERLINK("https://www.philgeps.gov.ph/GEPSNONPILOT/Tender/SplashBidNoticeAbstractUI.aspx?menuIndex=3&amp;refID=7159057&amp;Result=3","7159057")</f>
        <v>0</v>
      </c>
      <c r="B4281" t="s">
        <v>1688</v>
      </c>
      <c r="C4281" t="s">
        <v>7960</v>
      </c>
      <c r="D4281" t="s">
        <v>19078</v>
      </c>
      <c r="E4281" t="s">
        <v>22915</v>
      </c>
      <c r="F4281" t="s">
        <v>32831</v>
      </c>
      <c r="G4281" t="s">
        <v>32839</v>
      </c>
      <c r="H4281" t="s">
        <v>32848</v>
      </c>
      <c r="I4281" t="s">
        <v>32860</v>
      </c>
      <c r="J4281" t="s">
        <v>35769</v>
      </c>
      <c r="K4281" t="s">
        <v>42730</v>
      </c>
      <c r="L4281" t="s">
        <v>1688</v>
      </c>
      <c r="M4281" t="s">
        <v>44808</v>
      </c>
      <c r="N4281" t="s">
        <v>47424</v>
      </c>
      <c r="O4281" t="s">
        <v>47425</v>
      </c>
      <c r="P4281">
        <v>0</v>
      </c>
      <c r="Q4281">
        <v>1</v>
      </c>
      <c r="R4281" t="s">
        <v>47430</v>
      </c>
      <c r="S4281" t="s">
        <v>47549</v>
      </c>
      <c r="T4281" t="s">
        <v>49319</v>
      </c>
      <c r="U4281" t="s">
        <v>53301</v>
      </c>
      <c r="V4281" t="s">
        <v>63106</v>
      </c>
      <c r="W4281" t="s">
        <v>44808</v>
      </c>
      <c r="X4281" t="s">
        <v>47431</v>
      </c>
    </row>
    <row r="4282" spans="1:24">
      <c r="A4282">
        <f>HYPERLINK("https://www.philgeps.gov.ph/GEPSNONPILOT/Tender/SplashBidNoticeAbstractUI.aspx?menuIndex=3&amp;refID=7159028&amp;Result=3","7159028")</f>
        <v>0</v>
      </c>
      <c r="B4282" t="s">
        <v>1624</v>
      </c>
      <c r="C4282" t="s">
        <v>7961</v>
      </c>
      <c r="D4282" t="s">
        <v>19094</v>
      </c>
      <c r="E4282" t="s">
        <v>22916</v>
      </c>
      <c r="F4282" t="s">
        <v>32831</v>
      </c>
      <c r="G4282" t="s">
        <v>32839</v>
      </c>
      <c r="H4282" t="s">
        <v>32849</v>
      </c>
      <c r="I4282" t="s">
        <v>4177</v>
      </c>
      <c r="J4282" t="s">
        <v>35770</v>
      </c>
      <c r="K4282" t="s">
        <v>42861</v>
      </c>
      <c r="M4282" t="s">
        <v>44740</v>
      </c>
      <c r="N4282" t="s">
        <v>47424</v>
      </c>
      <c r="O4282" t="s">
        <v>47425</v>
      </c>
      <c r="P4282">
        <v>0</v>
      </c>
      <c r="Q4282">
        <v>1</v>
      </c>
      <c r="R4282" t="s">
        <v>47430</v>
      </c>
      <c r="S4282" t="s">
        <v>47549</v>
      </c>
      <c r="T4282" t="s">
        <v>49267</v>
      </c>
      <c r="U4282" t="s">
        <v>53302</v>
      </c>
      <c r="V4282" t="s">
        <v>63065</v>
      </c>
      <c r="W4282" t="s">
        <v>44740</v>
      </c>
      <c r="X4282" t="s">
        <v>47431</v>
      </c>
    </row>
    <row r="4283" spans="1:24">
      <c r="A4283">
        <f>HYPERLINK("https://www.philgeps.gov.ph/GEPSNONPILOT/Tender/SplashBidNoticeAbstractUI.aspx?menuIndex=3&amp;refID=7159027&amp;Result=3","7159027")</f>
        <v>0</v>
      </c>
      <c r="B4283" t="s">
        <v>1733</v>
      </c>
      <c r="C4283" t="s">
        <v>7962</v>
      </c>
      <c r="D4283" t="s">
        <v>19064</v>
      </c>
      <c r="E4283" t="s">
        <v>22917</v>
      </c>
      <c r="F4283" t="s">
        <v>32831</v>
      </c>
      <c r="G4283" t="s">
        <v>32839</v>
      </c>
      <c r="H4283" t="s">
        <v>32848</v>
      </c>
      <c r="I4283" t="s">
        <v>32925</v>
      </c>
      <c r="J4283" t="s">
        <v>33794</v>
      </c>
      <c r="K4283" t="s">
        <v>42730</v>
      </c>
      <c r="M4283" t="s">
        <v>44856</v>
      </c>
      <c r="N4283" t="s">
        <v>47424</v>
      </c>
      <c r="O4283" t="s">
        <v>47425</v>
      </c>
      <c r="P4283">
        <v>0</v>
      </c>
      <c r="Q4283">
        <v>4</v>
      </c>
      <c r="R4283" t="s">
        <v>47430</v>
      </c>
      <c r="S4283" t="s">
        <v>47549</v>
      </c>
      <c r="T4283" t="s">
        <v>49089</v>
      </c>
      <c r="U4283" t="s">
        <v>53288</v>
      </c>
      <c r="W4283" t="s">
        <v>44856</v>
      </c>
      <c r="X4283" t="s">
        <v>47431</v>
      </c>
    </row>
    <row r="4284" spans="1:24">
      <c r="A4284">
        <f>HYPERLINK("https://www.philgeps.gov.ph/GEPSNONPILOT/Tender/SplashBidNoticeAbstractUI.aspx?menuIndex=3&amp;refID=7159081&amp;Result=3","7159081")</f>
        <v>0</v>
      </c>
      <c r="B4284" t="s">
        <v>1715</v>
      </c>
      <c r="C4284" t="s">
        <v>7963</v>
      </c>
      <c r="D4284" t="s">
        <v>19059</v>
      </c>
      <c r="E4284" t="s">
        <v>20319</v>
      </c>
      <c r="F4284" t="s">
        <v>32831</v>
      </c>
      <c r="G4284" t="s">
        <v>32839</v>
      </c>
      <c r="H4284" t="s">
        <v>32848</v>
      </c>
      <c r="I4284" t="s">
        <v>7416</v>
      </c>
      <c r="J4284" t="s">
        <v>35771</v>
      </c>
      <c r="K4284" t="s">
        <v>42726</v>
      </c>
      <c r="M4284" t="s">
        <v>44837</v>
      </c>
      <c r="N4284" t="s">
        <v>47424</v>
      </c>
      <c r="O4284" t="s">
        <v>47425</v>
      </c>
      <c r="P4284">
        <v>0</v>
      </c>
      <c r="Q4284">
        <v>1</v>
      </c>
      <c r="R4284" t="s">
        <v>47430</v>
      </c>
      <c r="S4284" t="s">
        <v>47549</v>
      </c>
      <c r="T4284" t="s">
        <v>49210</v>
      </c>
      <c r="U4284" t="s">
        <v>53303</v>
      </c>
      <c r="W4284" t="s">
        <v>44837</v>
      </c>
      <c r="X4284" t="s">
        <v>47431</v>
      </c>
    </row>
    <row r="4285" spans="1:24">
      <c r="A4285">
        <f>HYPERLINK("https://www.philgeps.gov.ph/GEPSNONPILOT/Tender/SplashBidNoticeAbstractUI.aspx?menuIndex=3&amp;refID=7159026&amp;Result=3","7159026")</f>
        <v>0</v>
      </c>
      <c r="B4285" t="s">
        <v>762</v>
      </c>
      <c r="C4285" t="s">
        <v>7964</v>
      </c>
      <c r="E4285" t="s">
        <v>22918</v>
      </c>
      <c r="F4285" t="s">
        <v>32831</v>
      </c>
      <c r="G4285" t="s">
        <v>32838</v>
      </c>
      <c r="H4285" t="s">
        <v>32848</v>
      </c>
      <c r="I4285" t="s">
        <v>4438</v>
      </c>
      <c r="J4285" t="s">
        <v>35772</v>
      </c>
      <c r="K4285" t="s">
        <v>42732</v>
      </c>
      <c r="M4285" t="s">
        <v>44842</v>
      </c>
      <c r="N4285" t="s">
        <v>47424</v>
      </c>
      <c r="O4285" t="s">
        <v>47425</v>
      </c>
      <c r="P4285">
        <v>0</v>
      </c>
      <c r="Q4285">
        <v>0</v>
      </c>
      <c r="R4285" t="s">
        <v>47430</v>
      </c>
      <c r="S4285" t="s">
        <v>47549</v>
      </c>
      <c r="T4285" t="s">
        <v>49104</v>
      </c>
      <c r="U4285" t="s">
        <v>53256</v>
      </c>
      <c r="W4285" t="s">
        <v>44842</v>
      </c>
      <c r="X4285" t="s">
        <v>47431</v>
      </c>
    </row>
    <row r="4286" spans="1:24">
      <c r="A4286">
        <f>HYPERLINK("https://www.philgeps.gov.ph/GEPSNONPILOT/Tender/SplashBidNoticeAbstractUI.aspx?menuIndex=3&amp;refID=7159023&amp;Result=3","7159023")</f>
        <v>0</v>
      </c>
      <c r="B4286" t="s">
        <v>258</v>
      </c>
      <c r="C4286" t="s">
        <v>7965</v>
      </c>
      <c r="D4286" t="s">
        <v>19023</v>
      </c>
      <c r="E4286" t="s">
        <v>22919</v>
      </c>
      <c r="F4286" t="s">
        <v>32831</v>
      </c>
      <c r="G4286" t="s">
        <v>32840</v>
      </c>
      <c r="H4286" t="s">
        <v>32848</v>
      </c>
      <c r="I4286" t="s">
        <v>32857</v>
      </c>
      <c r="J4286" t="s">
        <v>33313</v>
      </c>
      <c r="K4286" t="s">
        <v>42726</v>
      </c>
      <c r="M4286" t="s">
        <v>43257</v>
      </c>
      <c r="N4286" t="s">
        <v>47424</v>
      </c>
      <c r="O4286" t="s">
        <v>47425</v>
      </c>
      <c r="P4286">
        <v>0</v>
      </c>
      <c r="Q4286">
        <v>4</v>
      </c>
      <c r="R4286" t="s">
        <v>47430</v>
      </c>
      <c r="S4286" t="s">
        <v>47549</v>
      </c>
      <c r="T4286" t="s">
        <v>49089</v>
      </c>
      <c r="U4286" t="s">
        <v>53304</v>
      </c>
      <c r="W4286" t="s">
        <v>43257</v>
      </c>
      <c r="X4286" t="s">
        <v>47431</v>
      </c>
    </row>
    <row r="4287" spans="1:24">
      <c r="A4287">
        <f>HYPERLINK("https://www.philgeps.gov.ph/GEPSNONPILOT/Tender/SplashBidNoticeAbstractUI.aspx?menuIndex=3&amp;refID=7159022&amp;Result=3","7159022")</f>
        <v>0</v>
      </c>
      <c r="B4287" t="s">
        <v>609</v>
      </c>
      <c r="C4287" t="s">
        <v>7966</v>
      </c>
      <c r="D4287" t="s">
        <v>19017</v>
      </c>
      <c r="E4287" t="s">
        <v>22920</v>
      </c>
      <c r="F4287" t="s">
        <v>32831</v>
      </c>
      <c r="G4287" t="s">
        <v>32840</v>
      </c>
      <c r="H4287" t="s">
        <v>32848</v>
      </c>
      <c r="I4287" t="s">
        <v>10805</v>
      </c>
      <c r="J4287" t="s">
        <v>33385</v>
      </c>
      <c r="K4287" t="s">
        <v>42732</v>
      </c>
      <c r="M4287" t="s">
        <v>43623</v>
      </c>
      <c r="N4287" t="s">
        <v>47424</v>
      </c>
      <c r="O4287" t="s">
        <v>47425</v>
      </c>
      <c r="P4287">
        <v>0</v>
      </c>
      <c r="Q4287">
        <v>2</v>
      </c>
      <c r="R4287" t="s">
        <v>47430</v>
      </c>
      <c r="S4287" t="s">
        <v>47549</v>
      </c>
      <c r="T4287" t="s">
        <v>49107</v>
      </c>
      <c r="U4287" t="s">
        <v>53305</v>
      </c>
      <c r="W4287" t="s">
        <v>43623</v>
      </c>
      <c r="X4287" t="s">
        <v>47431</v>
      </c>
    </row>
    <row r="4288" spans="1:24">
      <c r="A4288">
        <f>HYPERLINK("https://www.philgeps.gov.ph/GEPSNONPILOT/Tender/SplashBidNoticeAbstractUI.aspx?menuIndex=3&amp;refID=7159020&amp;Result=3","7159020")</f>
        <v>0</v>
      </c>
      <c r="B4288" t="s">
        <v>1717</v>
      </c>
      <c r="C4288" t="s">
        <v>7967</v>
      </c>
      <c r="D4288" t="s">
        <v>19042</v>
      </c>
      <c r="E4288" t="s">
        <v>22921</v>
      </c>
      <c r="F4288" t="s">
        <v>32831</v>
      </c>
      <c r="G4288" t="s">
        <v>32838</v>
      </c>
      <c r="H4288" t="s">
        <v>32848</v>
      </c>
      <c r="I4288" t="s">
        <v>7416</v>
      </c>
      <c r="J4288" t="s">
        <v>35773</v>
      </c>
      <c r="K4288" t="s">
        <v>42726</v>
      </c>
      <c r="M4288" t="s">
        <v>44839</v>
      </c>
      <c r="N4288" t="s">
        <v>47424</v>
      </c>
      <c r="O4288" t="s">
        <v>47425</v>
      </c>
      <c r="P4288">
        <v>0</v>
      </c>
      <c r="Q4288">
        <v>0</v>
      </c>
      <c r="R4288" t="s">
        <v>47430</v>
      </c>
      <c r="S4288" t="s">
        <v>47549</v>
      </c>
      <c r="T4288" t="s">
        <v>49123</v>
      </c>
      <c r="U4288" t="s">
        <v>53306</v>
      </c>
      <c r="W4288" t="s">
        <v>44839</v>
      </c>
      <c r="X4288" t="s">
        <v>47431</v>
      </c>
    </row>
    <row r="4289" spans="1:24">
      <c r="A4289">
        <f>HYPERLINK("https://www.philgeps.gov.ph/GEPSNONPILOT/Tender/SplashBidNoticeAbstractUI.aspx?menuIndex=3&amp;refID=7159067&amp;Result=3","7159067")</f>
        <v>0</v>
      </c>
      <c r="B4289" t="s">
        <v>92</v>
      </c>
      <c r="C4289" t="s">
        <v>7968</v>
      </c>
      <c r="D4289" t="s">
        <v>19051</v>
      </c>
      <c r="E4289" t="s">
        <v>19260</v>
      </c>
      <c r="F4289" t="s">
        <v>32831</v>
      </c>
      <c r="G4289" t="s">
        <v>32840</v>
      </c>
      <c r="H4289" t="s">
        <v>32848</v>
      </c>
      <c r="I4289" t="s">
        <v>4558</v>
      </c>
      <c r="J4289" t="s">
        <v>35774</v>
      </c>
      <c r="K4289" t="s">
        <v>42732</v>
      </c>
      <c r="M4289" t="s">
        <v>43089</v>
      </c>
      <c r="N4289" t="s">
        <v>47424</v>
      </c>
      <c r="O4289" t="s">
        <v>47425</v>
      </c>
      <c r="P4289">
        <v>0</v>
      </c>
      <c r="Q4289">
        <v>1</v>
      </c>
      <c r="R4289" t="s">
        <v>47430</v>
      </c>
      <c r="S4289" t="s">
        <v>47549</v>
      </c>
      <c r="T4289" t="s">
        <v>49111</v>
      </c>
      <c r="U4289" t="s">
        <v>53307</v>
      </c>
      <c r="V4289" t="s">
        <v>63107</v>
      </c>
      <c r="W4289" t="s">
        <v>43089</v>
      </c>
      <c r="X4289" t="s">
        <v>47431</v>
      </c>
    </row>
    <row r="4290" spans="1:24">
      <c r="A4290">
        <f>HYPERLINK("https://www.philgeps.gov.ph/GEPSNONPILOT/Tender/SplashBidNoticeAbstractUI.aspx?menuIndex=3&amp;refID=7159019&amp;Result=3","7159019")</f>
        <v>0</v>
      </c>
      <c r="B4290" t="s">
        <v>980</v>
      </c>
      <c r="C4290" t="s">
        <v>7969</v>
      </c>
      <c r="D4290" t="s">
        <v>19022</v>
      </c>
      <c r="E4290" t="s">
        <v>22922</v>
      </c>
      <c r="F4290" t="s">
        <v>32831</v>
      </c>
      <c r="G4290" t="s">
        <v>32838</v>
      </c>
      <c r="H4290" t="s">
        <v>32848</v>
      </c>
      <c r="I4290" t="s">
        <v>32923</v>
      </c>
      <c r="J4290" t="s">
        <v>33031</v>
      </c>
      <c r="K4290" t="s">
        <v>42730</v>
      </c>
      <c r="M4290" t="s">
        <v>44029</v>
      </c>
      <c r="N4290" t="s">
        <v>47424</v>
      </c>
      <c r="O4290" t="s">
        <v>47425</v>
      </c>
      <c r="P4290">
        <v>0</v>
      </c>
      <c r="Q4290">
        <v>3</v>
      </c>
      <c r="R4290" t="s">
        <v>47430</v>
      </c>
      <c r="S4290" t="s">
        <v>47549</v>
      </c>
      <c r="T4290" t="s">
        <v>49239</v>
      </c>
      <c r="U4290" t="s">
        <v>53308</v>
      </c>
      <c r="W4290" t="s">
        <v>44029</v>
      </c>
      <c r="X4290" t="s">
        <v>47431</v>
      </c>
    </row>
    <row r="4291" spans="1:24">
      <c r="A4291">
        <f>HYPERLINK("https://www.philgeps.gov.ph/GEPSNONPILOT/Tender/SplashBidNoticeAbstractUI.aspx?menuIndex=3&amp;refID=7158877&amp;Result=3","7158877")</f>
        <v>0</v>
      </c>
      <c r="B4291" t="s">
        <v>1695</v>
      </c>
      <c r="C4291" t="s">
        <v>7970</v>
      </c>
      <c r="D4291" t="s">
        <v>19039</v>
      </c>
      <c r="E4291" t="s">
        <v>22923</v>
      </c>
      <c r="F4291" t="s">
        <v>32831</v>
      </c>
      <c r="G4291" t="s">
        <v>32839</v>
      </c>
      <c r="H4291" t="s">
        <v>32850</v>
      </c>
      <c r="I4291" t="s">
        <v>32857</v>
      </c>
      <c r="J4291" t="s">
        <v>35775</v>
      </c>
      <c r="K4291" t="s">
        <v>42730</v>
      </c>
      <c r="M4291" t="s">
        <v>44815</v>
      </c>
      <c r="N4291" t="s">
        <v>47424</v>
      </c>
      <c r="O4291" t="s">
        <v>47425</v>
      </c>
      <c r="P4291">
        <v>0</v>
      </c>
      <c r="Q4291">
        <v>4</v>
      </c>
      <c r="R4291" t="s">
        <v>47430</v>
      </c>
      <c r="S4291" t="s">
        <v>47549</v>
      </c>
      <c r="T4291" t="s">
        <v>49066</v>
      </c>
      <c r="U4291" t="s">
        <v>53309</v>
      </c>
      <c r="W4291" t="s">
        <v>44815</v>
      </c>
      <c r="X4291" t="s">
        <v>47431</v>
      </c>
    </row>
    <row r="4292" spans="1:24">
      <c r="A4292">
        <f>HYPERLINK("https://www.philgeps.gov.ph/GEPSNONPILOT/Tender/SplashBidNoticeAbstractUI.aspx?menuIndex=3&amp;refID=7158853&amp;Result=3","7158853")</f>
        <v>0</v>
      </c>
      <c r="B4292" t="s">
        <v>1043</v>
      </c>
      <c r="C4292" t="s">
        <v>7971</v>
      </c>
      <c r="D4292" t="s">
        <v>19103</v>
      </c>
      <c r="E4292" t="s">
        <v>22924</v>
      </c>
      <c r="F4292" t="s">
        <v>32831</v>
      </c>
      <c r="G4292" t="s">
        <v>32840</v>
      </c>
      <c r="H4292" t="s">
        <v>32848</v>
      </c>
      <c r="I4292" t="s">
        <v>32862</v>
      </c>
      <c r="J4292" t="s">
        <v>35776</v>
      </c>
      <c r="K4292" t="s">
        <v>42732</v>
      </c>
      <c r="M4292" t="s">
        <v>44097</v>
      </c>
      <c r="N4292" t="s">
        <v>47424</v>
      </c>
      <c r="O4292" t="s">
        <v>47425</v>
      </c>
      <c r="P4292">
        <v>0</v>
      </c>
      <c r="Q4292">
        <v>0</v>
      </c>
      <c r="R4292" t="s">
        <v>47430</v>
      </c>
      <c r="S4292" t="s">
        <v>47549</v>
      </c>
      <c r="T4292" t="s">
        <v>49056</v>
      </c>
      <c r="U4292" t="s">
        <v>53310</v>
      </c>
      <c r="V4292" t="s">
        <v>62870</v>
      </c>
      <c r="W4292" t="s">
        <v>44097</v>
      </c>
      <c r="X4292" t="s">
        <v>47431</v>
      </c>
    </row>
    <row r="4293" spans="1:24">
      <c r="A4293">
        <f>HYPERLINK("https://www.philgeps.gov.ph/GEPSNONPILOT/Tender/SplashBidNoticeAbstractUI.aspx?menuIndex=3&amp;refID=7159065&amp;Result=3","7159065")</f>
        <v>0</v>
      </c>
      <c r="B4293" t="s">
        <v>1733</v>
      </c>
      <c r="C4293" t="s">
        <v>7972</v>
      </c>
      <c r="D4293" t="s">
        <v>19064</v>
      </c>
      <c r="E4293" t="s">
        <v>22925</v>
      </c>
      <c r="F4293" t="s">
        <v>32831</v>
      </c>
      <c r="G4293" t="s">
        <v>32839</v>
      </c>
      <c r="H4293" t="s">
        <v>32848</v>
      </c>
      <c r="I4293" t="s">
        <v>6526</v>
      </c>
      <c r="J4293" t="s">
        <v>33087</v>
      </c>
      <c r="K4293" t="s">
        <v>42730</v>
      </c>
      <c r="M4293" t="s">
        <v>44856</v>
      </c>
      <c r="N4293" t="s">
        <v>47424</v>
      </c>
      <c r="O4293" t="s">
        <v>47425</v>
      </c>
      <c r="P4293">
        <v>0</v>
      </c>
      <c r="Q4293">
        <v>0</v>
      </c>
      <c r="R4293" t="s">
        <v>47430</v>
      </c>
      <c r="S4293" t="s">
        <v>47549</v>
      </c>
      <c r="T4293" t="s">
        <v>49089</v>
      </c>
      <c r="U4293" t="s">
        <v>53288</v>
      </c>
      <c r="W4293" t="s">
        <v>44856</v>
      </c>
      <c r="X4293" t="s">
        <v>47431</v>
      </c>
    </row>
    <row r="4294" spans="1:24">
      <c r="A4294">
        <f>HYPERLINK("https://www.philgeps.gov.ph/GEPSNONPILOT/Tender/SplashBidNoticeAbstractUI.aspx?menuIndex=3&amp;refID=7158851&amp;Result=3","7158851")</f>
        <v>0</v>
      </c>
      <c r="B4294" t="s">
        <v>565</v>
      </c>
      <c r="C4294" t="s">
        <v>7973</v>
      </c>
      <c r="D4294" t="s">
        <v>19032</v>
      </c>
      <c r="E4294" t="s">
        <v>22926</v>
      </c>
      <c r="F4294" t="s">
        <v>32831</v>
      </c>
      <c r="G4294" t="s">
        <v>32838</v>
      </c>
      <c r="H4294" t="s">
        <v>32848</v>
      </c>
      <c r="I4294" t="s">
        <v>32890</v>
      </c>
      <c r="J4294" t="s">
        <v>35777</v>
      </c>
      <c r="K4294" t="s">
        <v>42727</v>
      </c>
      <c r="M4294" t="s">
        <v>44789</v>
      </c>
      <c r="N4294" t="s">
        <v>47424</v>
      </c>
      <c r="O4294" t="s">
        <v>47425</v>
      </c>
      <c r="P4294">
        <v>0</v>
      </c>
      <c r="Q4294">
        <v>0</v>
      </c>
      <c r="R4294" t="s">
        <v>47430</v>
      </c>
      <c r="S4294" t="s">
        <v>47549</v>
      </c>
      <c r="T4294" t="s">
        <v>49163</v>
      </c>
      <c r="U4294" t="s">
        <v>53311</v>
      </c>
      <c r="W4294" t="s">
        <v>44789</v>
      </c>
      <c r="X4294" t="s">
        <v>47431</v>
      </c>
    </row>
    <row r="4295" spans="1:24">
      <c r="A4295">
        <f>HYPERLINK("https://www.philgeps.gov.ph/GEPSNONPILOT/Tender/SplashBidNoticeAbstractUI.aspx?menuIndex=3&amp;refID=7158843&amp;Result=3","7158843")</f>
        <v>0</v>
      </c>
      <c r="B4295" t="s">
        <v>1740</v>
      </c>
      <c r="C4295" t="s">
        <v>7974</v>
      </c>
      <c r="D4295" t="s">
        <v>19068</v>
      </c>
      <c r="E4295" t="s">
        <v>22927</v>
      </c>
      <c r="F4295" t="s">
        <v>32831</v>
      </c>
      <c r="G4295" t="s">
        <v>32838</v>
      </c>
      <c r="H4295" t="s">
        <v>32848</v>
      </c>
      <c r="I4295" t="s">
        <v>32860</v>
      </c>
      <c r="J4295" t="s">
        <v>33007</v>
      </c>
      <c r="K4295" t="s">
        <v>42759</v>
      </c>
      <c r="M4295" t="s">
        <v>44863</v>
      </c>
      <c r="N4295" t="s">
        <v>47424</v>
      </c>
      <c r="O4295" t="s">
        <v>47425</v>
      </c>
      <c r="P4295">
        <v>0</v>
      </c>
      <c r="Q4295">
        <v>0</v>
      </c>
      <c r="R4295" t="s">
        <v>47430</v>
      </c>
      <c r="S4295" t="s">
        <v>47549</v>
      </c>
      <c r="T4295" t="s">
        <v>49127</v>
      </c>
      <c r="U4295" t="s">
        <v>53312</v>
      </c>
      <c r="W4295" t="s">
        <v>44863</v>
      </c>
      <c r="X4295" t="s">
        <v>47431</v>
      </c>
    </row>
    <row r="4296" spans="1:24">
      <c r="A4296">
        <f>HYPERLINK("https://www.philgeps.gov.ph/GEPSNONPILOT/Tender/SplashBidNoticeAbstractUI.aspx?menuIndex=3&amp;refID=7158852&amp;Result=3","7158852")</f>
        <v>0</v>
      </c>
      <c r="B4296" t="s">
        <v>1624</v>
      </c>
      <c r="C4296" t="s">
        <v>7975</v>
      </c>
      <c r="D4296" t="s">
        <v>19094</v>
      </c>
      <c r="E4296" t="s">
        <v>22928</v>
      </c>
      <c r="F4296" t="s">
        <v>32831</v>
      </c>
      <c r="G4296" t="s">
        <v>32839</v>
      </c>
      <c r="H4296" t="s">
        <v>32849</v>
      </c>
      <c r="I4296" t="s">
        <v>4177</v>
      </c>
      <c r="J4296" t="s">
        <v>35778</v>
      </c>
      <c r="K4296" t="s">
        <v>42788</v>
      </c>
      <c r="M4296" t="s">
        <v>44740</v>
      </c>
      <c r="N4296" t="s">
        <v>47424</v>
      </c>
      <c r="O4296" t="s">
        <v>47425</v>
      </c>
      <c r="P4296">
        <v>0</v>
      </c>
      <c r="Q4296">
        <v>1</v>
      </c>
      <c r="R4296" t="s">
        <v>47430</v>
      </c>
      <c r="S4296" t="s">
        <v>47549</v>
      </c>
      <c r="T4296" t="s">
        <v>49267</v>
      </c>
      <c r="U4296" t="s">
        <v>53313</v>
      </c>
      <c r="V4296" t="s">
        <v>63065</v>
      </c>
      <c r="W4296" t="s">
        <v>44740</v>
      </c>
      <c r="X4296" t="s">
        <v>47431</v>
      </c>
    </row>
    <row r="4297" spans="1:24">
      <c r="A4297">
        <f>HYPERLINK("https://www.philgeps.gov.ph/GEPSNONPILOT/Tender/SplashBidNoticeAbstractUI.aspx?menuIndex=3&amp;refID=7158840&amp;Result=3","7158840")</f>
        <v>0</v>
      </c>
      <c r="B4297" t="s">
        <v>1692</v>
      </c>
      <c r="C4297" t="s">
        <v>7976</v>
      </c>
      <c r="D4297" t="s">
        <v>19027</v>
      </c>
      <c r="E4297" t="s">
        <v>22929</v>
      </c>
      <c r="F4297" t="s">
        <v>32831</v>
      </c>
      <c r="G4297" t="s">
        <v>32839</v>
      </c>
      <c r="H4297" t="s">
        <v>32848</v>
      </c>
      <c r="I4297" t="s">
        <v>4303</v>
      </c>
      <c r="J4297" t="s">
        <v>35779</v>
      </c>
      <c r="K4297" t="s">
        <v>42731</v>
      </c>
      <c r="M4297" t="s">
        <v>44812</v>
      </c>
      <c r="N4297" t="s">
        <v>47424</v>
      </c>
      <c r="O4297" t="s">
        <v>47425</v>
      </c>
      <c r="P4297">
        <v>0</v>
      </c>
      <c r="Q4297">
        <v>0</v>
      </c>
      <c r="R4297" t="s">
        <v>47430</v>
      </c>
      <c r="S4297" t="s">
        <v>47549</v>
      </c>
      <c r="T4297" t="s">
        <v>49379</v>
      </c>
      <c r="U4297" t="s">
        <v>53314</v>
      </c>
      <c r="W4297" t="s">
        <v>44812</v>
      </c>
      <c r="X4297" t="s">
        <v>47431</v>
      </c>
    </row>
    <row r="4298" spans="1:24">
      <c r="A4298">
        <f>HYPERLINK("https://www.philgeps.gov.ph/GEPSNONPILOT/Tender/SplashBidNoticeAbstractUI.aspx?menuIndex=3&amp;refID=7159125&amp;Result=3","7159125")</f>
        <v>0</v>
      </c>
      <c r="B4298" t="s">
        <v>1741</v>
      </c>
      <c r="C4298" t="s">
        <v>7977</v>
      </c>
      <c r="D4298" t="s">
        <v>19023</v>
      </c>
      <c r="E4298" t="s">
        <v>19802</v>
      </c>
      <c r="F4298" t="s">
        <v>32831</v>
      </c>
      <c r="G4298" t="s">
        <v>32840</v>
      </c>
      <c r="H4298" t="s">
        <v>32849</v>
      </c>
      <c r="I4298" t="s">
        <v>4471</v>
      </c>
      <c r="J4298" t="s">
        <v>35780</v>
      </c>
      <c r="K4298" t="s">
        <v>42732</v>
      </c>
      <c r="M4298" t="s">
        <v>44864</v>
      </c>
      <c r="N4298" t="s">
        <v>47424</v>
      </c>
      <c r="O4298" t="s">
        <v>47425</v>
      </c>
      <c r="P4298">
        <v>0</v>
      </c>
      <c r="Q4298">
        <v>0</v>
      </c>
      <c r="R4298" t="s">
        <v>47430</v>
      </c>
      <c r="S4298" t="s">
        <v>47549</v>
      </c>
      <c r="T4298" t="s">
        <v>49214</v>
      </c>
      <c r="U4298" t="s">
        <v>53315</v>
      </c>
      <c r="W4298" t="s">
        <v>44864</v>
      </c>
      <c r="X4298" t="s">
        <v>47431</v>
      </c>
    </row>
    <row r="4299" spans="1:24">
      <c r="A4299">
        <f>HYPERLINK("https://www.philgeps.gov.ph/GEPSNONPILOT/Tender/SplashBidNoticeAbstractUI.aspx?menuIndex=3&amp;refID=7159040&amp;Result=3","7159040")</f>
        <v>0</v>
      </c>
      <c r="B4299" t="s">
        <v>207</v>
      </c>
      <c r="C4299" t="s">
        <v>7978</v>
      </c>
      <c r="D4299" t="s">
        <v>19050</v>
      </c>
      <c r="E4299" t="s">
        <v>22930</v>
      </c>
      <c r="F4299" t="s">
        <v>32831</v>
      </c>
      <c r="G4299" t="s">
        <v>32838</v>
      </c>
      <c r="H4299" t="s">
        <v>32848</v>
      </c>
      <c r="I4299" t="s">
        <v>32863</v>
      </c>
      <c r="J4299" t="s">
        <v>35781</v>
      </c>
      <c r="K4299" t="s">
        <v>42732</v>
      </c>
      <c r="M4299" t="s">
        <v>43205</v>
      </c>
      <c r="N4299" t="s">
        <v>47424</v>
      </c>
      <c r="O4299" t="s">
        <v>47425</v>
      </c>
      <c r="P4299">
        <v>0</v>
      </c>
      <c r="Q4299">
        <v>0</v>
      </c>
      <c r="R4299" t="s">
        <v>47430</v>
      </c>
      <c r="S4299" t="s">
        <v>47549</v>
      </c>
      <c r="T4299" t="s">
        <v>49111</v>
      </c>
      <c r="U4299" t="s">
        <v>53316</v>
      </c>
      <c r="W4299" t="s">
        <v>64481</v>
      </c>
      <c r="X4299" t="s">
        <v>47431</v>
      </c>
    </row>
    <row r="4300" spans="1:24">
      <c r="A4300">
        <f>HYPERLINK("https://www.philgeps.gov.ph/GEPSNONPILOT/Tender/SplashBidNoticeAbstractUI.aspx?menuIndex=3&amp;refID=7159123&amp;Result=3","7159123")</f>
        <v>0</v>
      </c>
      <c r="B4300" t="s">
        <v>1742</v>
      </c>
      <c r="C4300" t="s">
        <v>7979</v>
      </c>
      <c r="D4300" t="s">
        <v>19023</v>
      </c>
      <c r="E4300" t="s">
        <v>22931</v>
      </c>
      <c r="F4300" t="s">
        <v>32831</v>
      </c>
      <c r="G4300" t="s">
        <v>32839</v>
      </c>
      <c r="H4300" t="s">
        <v>32848</v>
      </c>
      <c r="I4300" t="s">
        <v>32889</v>
      </c>
      <c r="J4300" t="s">
        <v>33328</v>
      </c>
      <c r="K4300" t="s">
        <v>42730</v>
      </c>
      <c r="M4300" t="s">
        <v>44865</v>
      </c>
      <c r="N4300" t="s">
        <v>47424</v>
      </c>
      <c r="O4300" t="s">
        <v>47425</v>
      </c>
      <c r="P4300">
        <v>0</v>
      </c>
      <c r="Q4300">
        <v>0</v>
      </c>
      <c r="R4300" t="s">
        <v>47430</v>
      </c>
      <c r="S4300" t="s">
        <v>47549</v>
      </c>
      <c r="T4300" t="s">
        <v>49198</v>
      </c>
      <c r="U4300" t="s">
        <v>53317</v>
      </c>
      <c r="W4300" t="s">
        <v>44865</v>
      </c>
      <c r="X4300" t="s">
        <v>47431</v>
      </c>
    </row>
    <row r="4301" spans="1:24">
      <c r="A4301">
        <f>HYPERLINK("https://www.philgeps.gov.ph/GEPSNONPILOT/Tender/SplashBidNoticeAbstractUI.aspx?menuIndex=3&amp;refID=7158876&amp;Result=3","7158876")</f>
        <v>0</v>
      </c>
      <c r="B4301" t="s">
        <v>565</v>
      </c>
      <c r="C4301" t="s">
        <v>7980</v>
      </c>
      <c r="D4301" t="s">
        <v>19020</v>
      </c>
      <c r="E4301" t="s">
        <v>22926</v>
      </c>
      <c r="F4301" t="s">
        <v>32831</v>
      </c>
      <c r="G4301" t="s">
        <v>32838</v>
      </c>
      <c r="H4301" t="s">
        <v>32848</v>
      </c>
      <c r="I4301" t="s">
        <v>8781</v>
      </c>
      <c r="J4301" t="s">
        <v>35782</v>
      </c>
      <c r="K4301" t="s">
        <v>42727</v>
      </c>
      <c r="M4301" t="s">
        <v>44789</v>
      </c>
      <c r="N4301" t="s">
        <v>47424</v>
      </c>
      <c r="O4301" t="s">
        <v>47425</v>
      </c>
      <c r="P4301">
        <v>0</v>
      </c>
      <c r="Q4301">
        <v>1</v>
      </c>
      <c r="R4301" t="s">
        <v>47430</v>
      </c>
      <c r="S4301" t="s">
        <v>47549</v>
      </c>
      <c r="T4301" t="s">
        <v>49163</v>
      </c>
      <c r="U4301" t="s">
        <v>53318</v>
      </c>
      <c r="W4301" t="s">
        <v>44789</v>
      </c>
      <c r="X4301" t="s">
        <v>47431</v>
      </c>
    </row>
    <row r="4302" spans="1:24">
      <c r="A4302">
        <f>HYPERLINK("https://www.philgeps.gov.ph/GEPSNONPILOT/Tender/SplashBidNoticeAbstractUI.aspx?menuIndex=3&amp;refID=7159118&amp;Result=3","7159118")</f>
        <v>0</v>
      </c>
      <c r="B4302" t="s">
        <v>1624</v>
      </c>
      <c r="C4302" t="s">
        <v>7981</v>
      </c>
      <c r="D4302" t="s">
        <v>19094</v>
      </c>
      <c r="E4302" t="s">
        <v>22932</v>
      </c>
      <c r="F4302" t="s">
        <v>32831</v>
      </c>
      <c r="G4302" t="s">
        <v>32839</v>
      </c>
      <c r="H4302" t="s">
        <v>32849</v>
      </c>
      <c r="I4302" t="s">
        <v>4177</v>
      </c>
      <c r="J4302" t="s">
        <v>35783</v>
      </c>
      <c r="K4302" t="s">
        <v>42757</v>
      </c>
      <c r="M4302" t="s">
        <v>44740</v>
      </c>
      <c r="N4302" t="s">
        <v>47424</v>
      </c>
      <c r="O4302" t="s">
        <v>47425</v>
      </c>
      <c r="P4302">
        <v>0</v>
      </c>
      <c r="Q4302">
        <v>4</v>
      </c>
      <c r="R4302" t="s">
        <v>47430</v>
      </c>
      <c r="S4302" t="s">
        <v>47549</v>
      </c>
      <c r="T4302" t="s">
        <v>49267</v>
      </c>
      <c r="U4302" t="s">
        <v>53319</v>
      </c>
      <c r="V4302" t="s">
        <v>63065</v>
      </c>
      <c r="W4302" t="s">
        <v>44740</v>
      </c>
      <c r="X4302" t="s">
        <v>47431</v>
      </c>
    </row>
    <row r="4303" spans="1:24">
      <c r="A4303">
        <f>HYPERLINK("https://www.philgeps.gov.ph/GEPSNONPILOT/Tender/SplashBidNoticeAbstractUI.aspx?menuIndex=3&amp;refID=7159124&amp;Result=3","7159124")</f>
        <v>0</v>
      </c>
      <c r="B4303" t="s">
        <v>1743</v>
      </c>
      <c r="C4303" t="s">
        <v>7982</v>
      </c>
      <c r="D4303" t="s">
        <v>19021</v>
      </c>
      <c r="E4303" t="s">
        <v>22933</v>
      </c>
      <c r="F4303" t="s">
        <v>32831</v>
      </c>
      <c r="G4303" t="s">
        <v>32838</v>
      </c>
      <c r="H4303" t="s">
        <v>32848</v>
      </c>
      <c r="I4303" t="s">
        <v>32869</v>
      </c>
      <c r="J4303" t="s">
        <v>35784</v>
      </c>
      <c r="K4303" t="s">
        <v>42763</v>
      </c>
      <c r="M4303" t="s">
        <v>44866</v>
      </c>
      <c r="N4303" t="s">
        <v>47424</v>
      </c>
      <c r="O4303" t="s">
        <v>47425</v>
      </c>
      <c r="P4303">
        <v>0</v>
      </c>
      <c r="Q4303">
        <v>8</v>
      </c>
      <c r="R4303" t="s">
        <v>47430</v>
      </c>
      <c r="S4303" t="s">
        <v>47549</v>
      </c>
      <c r="T4303" t="s">
        <v>49056</v>
      </c>
      <c r="U4303" t="s">
        <v>53320</v>
      </c>
      <c r="W4303" t="s">
        <v>44866</v>
      </c>
      <c r="X4303" t="s">
        <v>47431</v>
      </c>
    </row>
    <row r="4304" spans="1:24">
      <c r="A4304">
        <f>HYPERLINK("https://www.philgeps.gov.ph/GEPSNONPILOT/Tender/SplashBidNoticeAbstractUI.aspx?menuIndex=3&amp;refID=7159115&amp;Result=3","7159115")</f>
        <v>0</v>
      </c>
      <c r="B4304" t="s">
        <v>1477</v>
      </c>
      <c r="C4304" t="s">
        <v>7983</v>
      </c>
      <c r="D4304" t="s">
        <v>19057</v>
      </c>
      <c r="E4304" t="s">
        <v>22934</v>
      </c>
      <c r="F4304" t="s">
        <v>32831</v>
      </c>
      <c r="G4304" t="s">
        <v>32840</v>
      </c>
      <c r="H4304" t="s">
        <v>32848</v>
      </c>
      <c r="I4304" t="s">
        <v>7416</v>
      </c>
      <c r="J4304" t="s">
        <v>33771</v>
      </c>
      <c r="K4304" t="s">
        <v>42726</v>
      </c>
      <c r="M4304" t="s">
        <v>44570</v>
      </c>
      <c r="N4304" t="s">
        <v>47424</v>
      </c>
      <c r="O4304" t="s">
        <v>47425</v>
      </c>
      <c r="P4304">
        <v>0</v>
      </c>
      <c r="Q4304">
        <v>0</v>
      </c>
      <c r="R4304" t="s">
        <v>47430</v>
      </c>
      <c r="S4304" t="s">
        <v>47549</v>
      </c>
      <c r="T4304" t="s">
        <v>49237</v>
      </c>
      <c r="U4304" t="s">
        <v>53321</v>
      </c>
      <c r="V4304" t="s">
        <v>63105</v>
      </c>
      <c r="W4304" t="s">
        <v>44570</v>
      </c>
      <c r="X4304" t="s">
        <v>47431</v>
      </c>
    </row>
    <row r="4305" spans="1:24">
      <c r="A4305">
        <f>HYPERLINK("https://www.philgeps.gov.ph/GEPSNONPILOT/Tender/SplashBidNoticeAbstractUI.aspx?menuIndex=3&amp;refID=7159021&amp;Result=3","7159021")</f>
        <v>0</v>
      </c>
      <c r="B4305" t="s">
        <v>1744</v>
      </c>
      <c r="C4305" t="s">
        <v>7984</v>
      </c>
      <c r="D4305" t="s">
        <v>19017</v>
      </c>
      <c r="E4305" t="s">
        <v>22935</v>
      </c>
      <c r="F4305" t="s">
        <v>32833</v>
      </c>
      <c r="G4305" t="s">
        <v>32838</v>
      </c>
      <c r="H4305" t="s">
        <v>32848</v>
      </c>
      <c r="I4305" t="s">
        <v>32864</v>
      </c>
      <c r="J4305" t="s">
        <v>35785</v>
      </c>
      <c r="K4305" t="s">
        <v>42731</v>
      </c>
      <c r="M4305" t="s">
        <v>44867</v>
      </c>
      <c r="N4305" t="s">
        <v>47424</v>
      </c>
      <c r="O4305" t="s">
        <v>47425</v>
      </c>
      <c r="P4305">
        <v>0</v>
      </c>
      <c r="Q4305">
        <v>6</v>
      </c>
      <c r="R4305" t="s">
        <v>47430</v>
      </c>
      <c r="S4305" t="s">
        <v>47549</v>
      </c>
      <c r="T4305" t="s">
        <v>49091</v>
      </c>
      <c r="U4305" t="s">
        <v>53322</v>
      </c>
      <c r="W4305" t="s">
        <v>44867</v>
      </c>
      <c r="X4305" t="s">
        <v>47431</v>
      </c>
    </row>
    <row r="4306" spans="1:24">
      <c r="A4306">
        <f>HYPERLINK("https://www.philgeps.gov.ph/GEPSNONPILOT/Tender/SplashBidNoticeAbstractUI.aspx?menuIndex=3&amp;refID=7159114&amp;Result=3","7159114")</f>
        <v>0</v>
      </c>
      <c r="B4306" t="s">
        <v>1739</v>
      </c>
      <c r="C4306" t="s">
        <v>7985</v>
      </c>
      <c r="D4306" t="s">
        <v>19026</v>
      </c>
      <c r="E4306" t="s">
        <v>22936</v>
      </c>
      <c r="F4306" t="s">
        <v>32831</v>
      </c>
      <c r="G4306" t="s">
        <v>32838</v>
      </c>
      <c r="H4306" t="s">
        <v>32848</v>
      </c>
      <c r="I4306" t="s">
        <v>8781</v>
      </c>
      <c r="J4306" t="s">
        <v>32980</v>
      </c>
      <c r="K4306" t="s">
        <v>42732</v>
      </c>
      <c r="M4306" t="s">
        <v>44862</v>
      </c>
      <c r="N4306" t="s">
        <v>47424</v>
      </c>
      <c r="O4306" t="s">
        <v>47425</v>
      </c>
      <c r="P4306">
        <v>0</v>
      </c>
      <c r="Q4306">
        <v>1</v>
      </c>
      <c r="R4306" t="s">
        <v>47430</v>
      </c>
      <c r="S4306" t="s">
        <v>47549</v>
      </c>
      <c r="T4306" t="s">
        <v>49089</v>
      </c>
      <c r="U4306" t="s">
        <v>53323</v>
      </c>
      <c r="W4306" t="s">
        <v>44862</v>
      </c>
      <c r="X4306" t="s">
        <v>47431</v>
      </c>
    </row>
    <row r="4307" spans="1:24">
      <c r="A4307">
        <f>HYPERLINK("https://www.philgeps.gov.ph/GEPSNONPILOT/Tender/SplashBidNoticeAbstractUI.aspx?menuIndex=3&amp;refID=7158847&amp;Result=3","7158847")</f>
        <v>0</v>
      </c>
      <c r="B4307" t="s">
        <v>1686</v>
      </c>
      <c r="C4307" t="s">
        <v>7986</v>
      </c>
      <c r="D4307" t="s">
        <v>19070</v>
      </c>
      <c r="E4307" t="s">
        <v>22937</v>
      </c>
      <c r="F4307" t="s">
        <v>32831</v>
      </c>
      <c r="G4307" t="s">
        <v>32838</v>
      </c>
      <c r="H4307" t="s">
        <v>32848</v>
      </c>
      <c r="I4307" t="s">
        <v>32853</v>
      </c>
      <c r="J4307" t="s">
        <v>33334</v>
      </c>
      <c r="K4307" t="s">
        <v>42731</v>
      </c>
      <c r="M4307" t="s">
        <v>44806</v>
      </c>
      <c r="N4307" t="s">
        <v>47424</v>
      </c>
      <c r="O4307" t="s">
        <v>47425</v>
      </c>
      <c r="P4307">
        <v>0</v>
      </c>
      <c r="Q4307">
        <v>0</v>
      </c>
      <c r="R4307" t="s">
        <v>47430</v>
      </c>
      <c r="S4307" t="s">
        <v>47549</v>
      </c>
      <c r="T4307" t="s">
        <v>49166</v>
      </c>
      <c r="U4307" t="s">
        <v>53324</v>
      </c>
      <c r="W4307" t="s">
        <v>44806</v>
      </c>
      <c r="X4307" t="s">
        <v>47431</v>
      </c>
    </row>
    <row r="4308" spans="1:24">
      <c r="A4308">
        <f>HYPERLINK("https://www.philgeps.gov.ph/GEPSNONPILOT/Tender/SplashBidNoticeAbstractUI.aspx?menuIndex=3&amp;refID=7159121&amp;Result=3","7159121")</f>
        <v>0</v>
      </c>
      <c r="B4308" t="s">
        <v>1733</v>
      </c>
      <c r="C4308" t="s">
        <v>7987</v>
      </c>
      <c r="D4308" t="s">
        <v>19064</v>
      </c>
      <c r="E4308" t="s">
        <v>22938</v>
      </c>
      <c r="F4308" t="s">
        <v>32831</v>
      </c>
      <c r="G4308" t="s">
        <v>32839</v>
      </c>
      <c r="H4308" t="s">
        <v>32848</v>
      </c>
      <c r="I4308" t="s">
        <v>9577</v>
      </c>
      <c r="J4308" t="s">
        <v>35786</v>
      </c>
      <c r="K4308" t="s">
        <v>42730</v>
      </c>
      <c r="M4308" t="s">
        <v>44856</v>
      </c>
      <c r="N4308" t="s">
        <v>47424</v>
      </c>
      <c r="O4308" t="s">
        <v>47425</v>
      </c>
      <c r="P4308">
        <v>0</v>
      </c>
      <c r="Q4308">
        <v>1</v>
      </c>
      <c r="R4308" t="s">
        <v>47430</v>
      </c>
      <c r="S4308" t="s">
        <v>47549</v>
      </c>
      <c r="T4308" t="s">
        <v>49089</v>
      </c>
      <c r="U4308" t="s">
        <v>53288</v>
      </c>
      <c r="W4308" t="s">
        <v>44856</v>
      </c>
      <c r="X4308" t="s">
        <v>47431</v>
      </c>
    </row>
    <row r="4309" spans="1:24">
      <c r="A4309">
        <f>HYPERLINK("https://www.philgeps.gov.ph/GEPSNONPILOT/Tender/SplashBidNoticeAbstractUI.aspx?menuIndex=3&amp;refID=7158955&amp;Result=3","7158955")</f>
        <v>0</v>
      </c>
      <c r="B4309" t="s">
        <v>1704</v>
      </c>
      <c r="C4309" t="s">
        <v>7988</v>
      </c>
      <c r="D4309" t="s">
        <v>19084</v>
      </c>
      <c r="E4309" t="s">
        <v>22939</v>
      </c>
      <c r="F4309" t="s">
        <v>32831</v>
      </c>
      <c r="G4309" t="s">
        <v>32838</v>
      </c>
      <c r="H4309" t="s">
        <v>32848</v>
      </c>
      <c r="I4309" t="s">
        <v>10805</v>
      </c>
      <c r="J4309" t="s">
        <v>33424</v>
      </c>
      <c r="K4309" t="s">
        <v>42727</v>
      </c>
      <c r="M4309" t="s">
        <v>44826</v>
      </c>
      <c r="N4309" t="s">
        <v>47424</v>
      </c>
      <c r="O4309" t="s">
        <v>47425</v>
      </c>
      <c r="P4309">
        <v>0</v>
      </c>
      <c r="Q4309">
        <v>1</v>
      </c>
      <c r="R4309" t="s">
        <v>47430</v>
      </c>
      <c r="S4309" t="s">
        <v>47549</v>
      </c>
      <c r="T4309" t="s">
        <v>49235</v>
      </c>
      <c r="U4309" t="s">
        <v>53229</v>
      </c>
      <c r="V4309" t="s">
        <v>63094</v>
      </c>
      <c r="W4309" t="s">
        <v>44826</v>
      </c>
      <c r="X4309" t="s">
        <v>47431</v>
      </c>
    </row>
    <row r="4310" spans="1:24">
      <c r="A4310">
        <f>HYPERLINK("https://www.philgeps.gov.ph/GEPSNONPILOT/Tender/SplashBidNoticeAbstractUI.aspx?menuIndex=3&amp;refID=7159107&amp;Result=3","7159107")</f>
        <v>0</v>
      </c>
      <c r="B4310" t="s">
        <v>1728</v>
      </c>
      <c r="C4310" t="s">
        <v>7989</v>
      </c>
      <c r="D4310" t="s">
        <v>19058</v>
      </c>
      <c r="E4310" t="s">
        <v>22940</v>
      </c>
      <c r="F4310" t="s">
        <v>32831</v>
      </c>
      <c r="G4310" t="s">
        <v>32839</v>
      </c>
      <c r="H4310" t="s">
        <v>32848</v>
      </c>
      <c r="I4310" t="s">
        <v>7416</v>
      </c>
      <c r="J4310" t="s">
        <v>35787</v>
      </c>
      <c r="K4310" t="s">
        <v>42727</v>
      </c>
      <c r="M4310" t="s">
        <v>44851</v>
      </c>
      <c r="N4310" t="s">
        <v>47424</v>
      </c>
      <c r="O4310" t="s">
        <v>47425</v>
      </c>
      <c r="P4310">
        <v>0</v>
      </c>
      <c r="Q4310">
        <v>0</v>
      </c>
      <c r="R4310" t="s">
        <v>47430</v>
      </c>
      <c r="S4310" t="s">
        <v>47549</v>
      </c>
      <c r="T4310" t="s">
        <v>49123</v>
      </c>
      <c r="U4310" t="s">
        <v>53325</v>
      </c>
      <c r="W4310" t="s">
        <v>44851</v>
      </c>
      <c r="X4310" t="s">
        <v>47431</v>
      </c>
    </row>
    <row r="4311" spans="1:24">
      <c r="A4311">
        <f>HYPERLINK("https://www.philgeps.gov.ph/GEPSNONPILOT/Tender/SplashBidNoticeAbstractUI.aspx?menuIndex=3&amp;refID=7159106&amp;Result=3","7159106")</f>
        <v>0</v>
      </c>
      <c r="B4311" t="s">
        <v>1554</v>
      </c>
      <c r="C4311" t="s">
        <v>7990</v>
      </c>
      <c r="D4311" t="s">
        <v>19018</v>
      </c>
      <c r="E4311" t="s">
        <v>19569</v>
      </c>
      <c r="F4311" t="s">
        <v>32831</v>
      </c>
      <c r="G4311" t="s">
        <v>32840</v>
      </c>
      <c r="H4311" t="s">
        <v>32848</v>
      </c>
      <c r="I4311" t="s">
        <v>32858</v>
      </c>
      <c r="J4311" t="s">
        <v>35788</v>
      </c>
      <c r="K4311" t="s">
        <v>42731</v>
      </c>
      <c r="M4311" t="s">
        <v>44661</v>
      </c>
      <c r="N4311" t="s">
        <v>47424</v>
      </c>
      <c r="O4311" t="s">
        <v>47425</v>
      </c>
      <c r="P4311">
        <v>0</v>
      </c>
      <c r="Q4311">
        <v>0</v>
      </c>
      <c r="R4311" t="s">
        <v>47430</v>
      </c>
      <c r="S4311" t="s">
        <v>47549</v>
      </c>
      <c r="T4311" t="s">
        <v>49091</v>
      </c>
      <c r="U4311" t="s">
        <v>53326</v>
      </c>
      <c r="W4311" t="s">
        <v>44661</v>
      </c>
      <c r="X4311" t="s">
        <v>47431</v>
      </c>
    </row>
    <row r="4312" spans="1:24">
      <c r="A4312">
        <f>HYPERLINK("https://www.philgeps.gov.ph/GEPSNONPILOT/Tender/SplashBidNoticeAbstractUI.aspx?menuIndex=3&amp;refID=7159104&amp;Result=3","7159104")</f>
        <v>0</v>
      </c>
      <c r="B4312" t="s">
        <v>1720</v>
      </c>
      <c r="C4312" t="s">
        <v>7991</v>
      </c>
      <c r="D4312" t="s">
        <v>19034</v>
      </c>
      <c r="E4312" t="s">
        <v>22941</v>
      </c>
      <c r="F4312" t="s">
        <v>32831</v>
      </c>
      <c r="G4312" t="s">
        <v>32839</v>
      </c>
      <c r="H4312" t="s">
        <v>32848</v>
      </c>
      <c r="I4312" t="s">
        <v>32855</v>
      </c>
      <c r="J4312" t="s">
        <v>35789</v>
      </c>
      <c r="K4312" t="s">
        <v>42727</v>
      </c>
      <c r="M4312" t="s">
        <v>44843</v>
      </c>
      <c r="N4312" t="s">
        <v>47424</v>
      </c>
      <c r="O4312" t="s">
        <v>47425</v>
      </c>
      <c r="P4312">
        <v>0</v>
      </c>
      <c r="Q4312">
        <v>1</v>
      </c>
      <c r="R4312" t="s">
        <v>47430</v>
      </c>
      <c r="S4312" t="s">
        <v>47549</v>
      </c>
      <c r="T4312" t="s">
        <v>49064</v>
      </c>
      <c r="U4312" t="s">
        <v>53327</v>
      </c>
      <c r="W4312" t="s">
        <v>44843</v>
      </c>
      <c r="X4312" t="s">
        <v>47431</v>
      </c>
    </row>
    <row r="4313" spans="1:24">
      <c r="A4313">
        <f>HYPERLINK("https://www.philgeps.gov.ph/GEPSNONPILOT/Tender/SplashBidNoticeAbstractUI.aspx?menuIndex=3&amp;refID=7159103&amp;Result=3","7159103")</f>
        <v>0</v>
      </c>
      <c r="B4313" t="s">
        <v>72</v>
      </c>
      <c r="C4313" t="s">
        <v>7992</v>
      </c>
      <c r="D4313" t="s">
        <v>19051</v>
      </c>
      <c r="E4313" t="s">
        <v>22942</v>
      </c>
      <c r="F4313" t="s">
        <v>32831</v>
      </c>
      <c r="G4313" t="s">
        <v>32839</v>
      </c>
      <c r="H4313" t="s">
        <v>32849</v>
      </c>
      <c r="I4313" t="s">
        <v>4177</v>
      </c>
      <c r="J4313" t="s">
        <v>35790</v>
      </c>
      <c r="K4313" t="s">
        <v>42862</v>
      </c>
      <c r="M4313" t="s">
        <v>43069</v>
      </c>
      <c r="N4313" t="s">
        <v>47424</v>
      </c>
      <c r="O4313" t="s">
        <v>47425</v>
      </c>
      <c r="Q4313">
        <v>5</v>
      </c>
      <c r="R4313" t="s">
        <v>47430</v>
      </c>
      <c r="S4313" t="s">
        <v>47551</v>
      </c>
      <c r="T4313" t="s">
        <v>49267</v>
      </c>
      <c r="U4313" t="s">
        <v>53328</v>
      </c>
      <c r="W4313" t="s">
        <v>64485</v>
      </c>
      <c r="X4313" t="s">
        <v>47431</v>
      </c>
    </row>
    <row r="4314" spans="1:24">
      <c r="A4314">
        <f>HYPERLINK("https://www.philgeps.gov.ph/GEPSNONPILOT/Tender/SplashBidNoticeAbstractUI.aspx?menuIndex=3&amp;refID=7159161&amp;Result=3","7159161")</f>
        <v>0</v>
      </c>
      <c r="B4314" t="s">
        <v>169</v>
      </c>
      <c r="C4314" t="s">
        <v>4090</v>
      </c>
      <c r="D4314" t="s">
        <v>19022</v>
      </c>
      <c r="E4314" t="s">
        <v>22943</v>
      </c>
      <c r="F4314" t="s">
        <v>32831</v>
      </c>
      <c r="G4314" t="s">
        <v>32838</v>
      </c>
      <c r="H4314" t="s">
        <v>32848</v>
      </c>
      <c r="I4314" t="s">
        <v>4776</v>
      </c>
      <c r="J4314" t="s">
        <v>33424</v>
      </c>
      <c r="K4314" t="s">
        <v>42758</v>
      </c>
      <c r="M4314" t="s">
        <v>43166</v>
      </c>
      <c r="N4314" t="s">
        <v>47424</v>
      </c>
      <c r="O4314" t="s">
        <v>47425</v>
      </c>
      <c r="P4314">
        <v>0</v>
      </c>
      <c r="Q4314">
        <v>1</v>
      </c>
      <c r="R4314" t="s">
        <v>47430</v>
      </c>
      <c r="S4314" t="s">
        <v>47549</v>
      </c>
      <c r="T4314" t="s">
        <v>49107</v>
      </c>
      <c r="U4314" t="s">
        <v>53329</v>
      </c>
      <c r="W4314" t="s">
        <v>43166</v>
      </c>
      <c r="X4314" t="s">
        <v>47431</v>
      </c>
    </row>
    <row r="4315" spans="1:24">
      <c r="A4315">
        <f>HYPERLINK("https://www.philgeps.gov.ph/GEPSNONPILOT/Tender/SplashBidNoticeAbstractUI.aspx?menuIndex=3&amp;refID=7158956&amp;Result=3","7158956")</f>
        <v>0</v>
      </c>
      <c r="B4315" t="s">
        <v>92</v>
      </c>
      <c r="C4315" t="s">
        <v>7993</v>
      </c>
      <c r="D4315" t="s">
        <v>19051</v>
      </c>
      <c r="E4315" t="s">
        <v>19260</v>
      </c>
      <c r="F4315" t="s">
        <v>32831</v>
      </c>
      <c r="G4315" t="s">
        <v>32840</v>
      </c>
      <c r="H4315" t="s">
        <v>32848</v>
      </c>
      <c r="I4315" t="s">
        <v>32857</v>
      </c>
      <c r="J4315" t="s">
        <v>35791</v>
      </c>
      <c r="K4315" t="s">
        <v>42732</v>
      </c>
      <c r="M4315" t="s">
        <v>43089</v>
      </c>
      <c r="N4315" t="s">
        <v>47424</v>
      </c>
      <c r="O4315" t="s">
        <v>47425</v>
      </c>
      <c r="P4315">
        <v>0</v>
      </c>
      <c r="Q4315">
        <v>2</v>
      </c>
      <c r="R4315" t="s">
        <v>47430</v>
      </c>
      <c r="S4315" t="s">
        <v>47549</v>
      </c>
      <c r="T4315" t="s">
        <v>49111</v>
      </c>
      <c r="U4315" t="s">
        <v>53330</v>
      </c>
      <c r="V4315" t="s">
        <v>63107</v>
      </c>
      <c r="W4315" t="s">
        <v>43089</v>
      </c>
      <c r="X4315" t="s">
        <v>47431</v>
      </c>
    </row>
    <row r="4316" spans="1:24">
      <c r="A4316">
        <f>HYPERLINK("https://www.philgeps.gov.ph/GEPSNONPILOT/Tender/SplashBidNoticeAbstractUI.aspx?menuIndex=3&amp;refID=7159159&amp;Result=3","7159159")</f>
        <v>0</v>
      </c>
      <c r="B4316" t="s">
        <v>1745</v>
      </c>
      <c r="C4316" t="s">
        <v>7994</v>
      </c>
      <c r="D4316" t="s">
        <v>19089</v>
      </c>
      <c r="E4316" t="s">
        <v>22944</v>
      </c>
      <c r="F4316" t="s">
        <v>32831</v>
      </c>
      <c r="G4316" t="s">
        <v>32838</v>
      </c>
      <c r="H4316" t="s">
        <v>32848</v>
      </c>
      <c r="I4316" t="s">
        <v>4438</v>
      </c>
      <c r="J4316" t="s">
        <v>32983</v>
      </c>
      <c r="K4316" t="s">
        <v>42726</v>
      </c>
      <c r="M4316" t="s">
        <v>44868</v>
      </c>
      <c r="N4316" t="s">
        <v>47424</v>
      </c>
      <c r="O4316" t="s">
        <v>47425</v>
      </c>
      <c r="P4316">
        <v>0</v>
      </c>
      <c r="Q4316">
        <v>1</v>
      </c>
      <c r="R4316" t="s">
        <v>47430</v>
      </c>
      <c r="S4316" t="s">
        <v>47549</v>
      </c>
      <c r="T4316" t="s">
        <v>49091</v>
      </c>
      <c r="U4316" t="s">
        <v>53331</v>
      </c>
      <c r="W4316" t="s">
        <v>44868</v>
      </c>
      <c r="X4316" t="s">
        <v>47431</v>
      </c>
    </row>
    <row r="4317" spans="1:24">
      <c r="A4317">
        <f>HYPERLINK("https://www.philgeps.gov.ph/GEPSNONPILOT/Tender/SplashBidNoticeAbstractUI.aspx?menuIndex=3&amp;refID=7159158&amp;Result=3","7159158")</f>
        <v>0</v>
      </c>
      <c r="B4317" t="s">
        <v>694</v>
      </c>
      <c r="C4317" t="s">
        <v>7995</v>
      </c>
      <c r="E4317" t="s">
        <v>22945</v>
      </c>
      <c r="F4317" t="s">
        <v>32831</v>
      </c>
      <c r="G4317" t="s">
        <v>32838</v>
      </c>
      <c r="H4317" t="s">
        <v>32848</v>
      </c>
      <c r="I4317" t="s">
        <v>32855</v>
      </c>
      <c r="J4317" t="s">
        <v>35792</v>
      </c>
      <c r="K4317" t="s">
        <v>42732</v>
      </c>
      <c r="M4317" t="s">
        <v>43713</v>
      </c>
      <c r="N4317" t="s">
        <v>47424</v>
      </c>
      <c r="O4317" t="s">
        <v>47425</v>
      </c>
      <c r="P4317">
        <v>0</v>
      </c>
      <c r="Q4317">
        <v>0</v>
      </c>
      <c r="R4317" t="s">
        <v>47430</v>
      </c>
      <c r="S4317" t="s">
        <v>47549</v>
      </c>
      <c r="T4317" t="s">
        <v>49174</v>
      </c>
      <c r="U4317" t="s">
        <v>53332</v>
      </c>
      <c r="V4317" t="s">
        <v>63108</v>
      </c>
      <c r="W4317" t="s">
        <v>43713</v>
      </c>
      <c r="X4317" t="s">
        <v>47431</v>
      </c>
    </row>
    <row r="4318" spans="1:24">
      <c r="A4318">
        <f>HYPERLINK("https://www.philgeps.gov.ph/GEPSNONPILOT/Tender/SplashBidNoticeAbstractUI.aspx?menuIndex=3&amp;refID=7159100&amp;Result=3","7159100")</f>
        <v>0</v>
      </c>
      <c r="B4318" t="s">
        <v>1705</v>
      </c>
      <c r="C4318" t="s">
        <v>7996</v>
      </c>
      <c r="E4318" t="s">
        <v>22946</v>
      </c>
      <c r="F4318" t="s">
        <v>32831</v>
      </c>
      <c r="G4318" t="s">
        <v>32838</v>
      </c>
      <c r="H4318" t="s">
        <v>32848</v>
      </c>
      <c r="I4318" t="s">
        <v>4438</v>
      </c>
      <c r="J4318" t="s">
        <v>35793</v>
      </c>
      <c r="K4318" t="s">
        <v>42732</v>
      </c>
      <c r="M4318" t="s">
        <v>44827</v>
      </c>
      <c r="N4318" t="s">
        <v>47424</v>
      </c>
      <c r="O4318" t="s">
        <v>47425</v>
      </c>
      <c r="P4318">
        <v>0</v>
      </c>
      <c r="Q4318">
        <v>2</v>
      </c>
      <c r="R4318" t="s">
        <v>47430</v>
      </c>
      <c r="S4318" t="s">
        <v>47549</v>
      </c>
      <c r="T4318" t="s">
        <v>49079</v>
      </c>
      <c r="U4318" t="s">
        <v>53333</v>
      </c>
      <c r="W4318" t="s">
        <v>44827</v>
      </c>
      <c r="X4318" t="s">
        <v>47431</v>
      </c>
    </row>
    <row r="4319" spans="1:24">
      <c r="A4319">
        <f>HYPERLINK("https://www.philgeps.gov.ph/GEPSNONPILOT/Tender/SplashBidNoticeAbstractUI.aspx?menuIndex=3&amp;refID=7159111&amp;Result=3","7159111")</f>
        <v>0</v>
      </c>
      <c r="B4319" t="s">
        <v>1746</v>
      </c>
      <c r="C4319" t="s">
        <v>7481</v>
      </c>
      <c r="D4319" t="s">
        <v>19051</v>
      </c>
      <c r="E4319" t="s">
        <v>22947</v>
      </c>
      <c r="F4319" t="s">
        <v>32831</v>
      </c>
      <c r="G4319" t="s">
        <v>32838</v>
      </c>
      <c r="H4319" t="s">
        <v>32848</v>
      </c>
      <c r="I4319" t="s">
        <v>7416</v>
      </c>
      <c r="J4319" t="s">
        <v>35794</v>
      </c>
      <c r="K4319" t="s">
        <v>42731</v>
      </c>
      <c r="M4319" t="s">
        <v>44869</v>
      </c>
      <c r="N4319" t="s">
        <v>47424</v>
      </c>
      <c r="O4319" t="s">
        <v>47425</v>
      </c>
      <c r="P4319">
        <v>0</v>
      </c>
      <c r="Q4319">
        <v>0</v>
      </c>
      <c r="R4319" t="s">
        <v>47430</v>
      </c>
      <c r="S4319" t="s">
        <v>47549</v>
      </c>
      <c r="T4319" t="s">
        <v>49237</v>
      </c>
      <c r="U4319" t="s">
        <v>53334</v>
      </c>
      <c r="W4319" t="s">
        <v>44869</v>
      </c>
      <c r="X4319" t="s">
        <v>47431</v>
      </c>
    </row>
    <row r="4320" spans="1:24">
      <c r="A4320">
        <f>HYPERLINK("https://www.philgeps.gov.ph/GEPSNONPILOT/Tender/SplashBidNoticeAbstractUI.aspx?menuIndex=3&amp;refID=7159153&amp;Result=3","7159153")</f>
        <v>0</v>
      </c>
      <c r="B4320" t="s">
        <v>1747</v>
      </c>
      <c r="C4320" t="s">
        <v>7997</v>
      </c>
      <c r="D4320" t="s">
        <v>19058</v>
      </c>
      <c r="E4320" t="s">
        <v>22948</v>
      </c>
      <c r="F4320" t="s">
        <v>32831</v>
      </c>
      <c r="G4320" t="s">
        <v>32839</v>
      </c>
      <c r="H4320" t="s">
        <v>32848</v>
      </c>
      <c r="I4320" t="s">
        <v>32875</v>
      </c>
      <c r="J4320" t="s">
        <v>35795</v>
      </c>
      <c r="K4320" t="s">
        <v>42730</v>
      </c>
      <c r="M4320" t="s">
        <v>44870</v>
      </c>
      <c r="N4320" t="s">
        <v>47424</v>
      </c>
      <c r="O4320" t="s">
        <v>47425</v>
      </c>
      <c r="P4320">
        <v>0</v>
      </c>
      <c r="Q4320">
        <v>0</v>
      </c>
      <c r="R4320" t="s">
        <v>47430</v>
      </c>
      <c r="S4320" t="s">
        <v>47549</v>
      </c>
      <c r="T4320" t="s">
        <v>49236</v>
      </c>
      <c r="U4320" t="s">
        <v>53335</v>
      </c>
      <c r="W4320" t="s">
        <v>44870</v>
      </c>
      <c r="X4320" t="s">
        <v>47431</v>
      </c>
    </row>
    <row r="4321" spans="1:24">
      <c r="A4321">
        <f>HYPERLINK("https://www.philgeps.gov.ph/GEPSNONPILOT/Tender/SplashBidNoticeAbstractUI.aspx?menuIndex=3&amp;refID=7159152&amp;Result=3","7159152")</f>
        <v>0</v>
      </c>
      <c r="B4321" t="s">
        <v>1304</v>
      </c>
      <c r="C4321" t="s">
        <v>7998</v>
      </c>
      <c r="D4321" t="s">
        <v>19059</v>
      </c>
      <c r="E4321" t="s">
        <v>22949</v>
      </c>
      <c r="F4321" t="s">
        <v>32831</v>
      </c>
      <c r="G4321" t="s">
        <v>32838</v>
      </c>
      <c r="H4321" t="s">
        <v>32848</v>
      </c>
      <c r="I4321" t="s">
        <v>4776</v>
      </c>
      <c r="J4321" t="s">
        <v>33041</v>
      </c>
      <c r="K4321" t="s">
        <v>42726</v>
      </c>
      <c r="M4321" t="s">
        <v>44374</v>
      </c>
      <c r="N4321" t="s">
        <v>47424</v>
      </c>
      <c r="O4321" t="s">
        <v>47425</v>
      </c>
      <c r="P4321">
        <v>0</v>
      </c>
      <c r="Q4321">
        <v>1</v>
      </c>
      <c r="R4321" t="s">
        <v>47430</v>
      </c>
      <c r="S4321" t="s">
        <v>47549</v>
      </c>
      <c r="T4321" t="s">
        <v>49104</v>
      </c>
      <c r="U4321" t="s">
        <v>53336</v>
      </c>
      <c r="W4321" t="s">
        <v>44374</v>
      </c>
      <c r="X4321" t="s">
        <v>47431</v>
      </c>
    </row>
    <row r="4322" spans="1:24">
      <c r="A4322">
        <f>HYPERLINK("https://www.philgeps.gov.ph/GEPSNONPILOT/Tender/SplashBidNoticeAbstractUI.aspx?menuIndex=3&amp;refID=7159151&amp;Result=3","7159151")</f>
        <v>0</v>
      </c>
      <c r="B4322" t="s">
        <v>1733</v>
      </c>
      <c r="C4322" t="s">
        <v>7999</v>
      </c>
      <c r="D4322" t="s">
        <v>19064</v>
      </c>
      <c r="E4322" t="s">
        <v>22950</v>
      </c>
      <c r="F4322" t="s">
        <v>32831</v>
      </c>
      <c r="G4322" t="s">
        <v>32839</v>
      </c>
      <c r="H4322" t="s">
        <v>32848</v>
      </c>
      <c r="I4322" t="s">
        <v>4222</v>
      </c>
      <c r="J4322" t="s">
        <v>33118</v>
      </c>
      <c r="K4322" t="s">
        <v>42730</v>
      </c>
      <c r="M4322" t="s">
        <v>44856</v>
      </c>
      <c r="N4322" t="s">
        <v>47424</v>
      </c>
      <c r="O4322" t="s">
        <v>47425</v>
      </c>
      <c r="P4322">
        <v>0</v>
      </c>
      <c r="Q4322">
        <v>0</v>
      </c>
      <c r="R4322" t="s">
        <v>47430</v>
      </c>
      <c r="S4322" t="s">
        <v>47549</v>
      </c>
      <c r="T4322" t="s">
        <v>49089</v>
      </c>
      <c r="U4322" t="s">
        <v>53288</v>
      </c>
      <c r="W4322" t="s">
        <v>44856</v>
      </c>
      <c r="X4322" t="s">
        <v>47431</v>
      </c>
    </row>
    <row r="4323" spans="1:24">
      <c r="A4323">
        <f>HYPERLINK("https://www.philgeps.gov.ph/GEPSNONPILOT/Tender/SplashBidNoticeAbstractUI.aspx?menuIndex=3&amp;refID=7159149&amp;Result=3","7159149")</f>
        <v>0</v>
      </c>
      <c r="B4323" t="s">
        <v>1152</v>
      </c>
      <c r="C4323" t="s">
        <v>8000</v>
      </c>
      <c r="D4323" t="s">
        <v>19038</v>
      </c>
      <c r="E4323" t="s">
        <v>22951</v>
      </c>
      <c r="F4323" t="s">
        <v>32831</v>
      </c>
      <c r="G4323" t="s">
        <v>32838</v>
      </c>
      <c r="H4323" t="s">
        <v>32848</v>
      </c>
      <c r="I4323" t="s">
        <v>9577</v>
      </c>
      <c r="J4323" t="s">
        <v>35796</v>
      </c>
      <c r="K4323" t="s">
        <v>42732</v>
      </c>
      <c r="M4323" t="s">
        <v>44871</v>
      </c>
      <c r="N4323" t="s">
        <v>47424</v>
      </c>
      <c r="O4323" t="s">
        <v>47425</v>
      </c>
      <c r="P4323">
        <v>0</v>
      </c>
      <c r="Q4323">
        <v>0</v>
      </c>
      <c r="R4323" t="s">
        <v>47430</v>
      </c>
      <c r="S4323" t="s">
        <v>47549</v>
      </c>
      <c r="T4323" t="s">
        <v>49237</v>
      </c>
      <c r="U4323" t="s">
        <v>53337</v>
      </c>
      <c r="V4323" t="s">
        <v>63109</v>
      </c>
      <c r="W4323" t="s">
        <v>44871</v>
      </c>
      <c r="X4323" t="s">
        <v>47431</v>
      </c>
    </row>
    <row r="4324" spans="1:24">
      <c r="A4324">
        <f>HYPERLINK("https://www.philgeps.gov.ph/GEPSNONPILOT/Tender/SplashBidNoticeAbstractUI.aspx?menuIndex=3&amp;refID=7159108&amp;Result=3","7159108")</f>
        <v>0</v>
      </c>
      <c r="B4324" t="s">
        <v>33</v>
      </c>
      <c r="C4324" t="s">
        <v>8001</v>
      </c>
      <c r="D4324" t="s">
        <v>19024</v>
      </c>
      <c r="E4324" t="s">
        <v>22952</v>
      </c>
      <c r="F4324" t="s">
        <v>32831</v>
      </c>
      <c r="G4324" t="s">
        <v>32839</v>
      </c>
      <c r="H4324" t="s">
        <v>32848</v>
      </c>
      <c r="I4324" t="s">
        <v>32890</v>
      </c>
      <c r="J4324" t="s">
        <v>35797</v>
      </c>
      <c r="K4324" t="s">
        <v>42763</v>
      </c>
      <c r="M4324" t="s">
        <v>43030</v>
      </c>
      <c r="N4324" t="s">
        <v>47424</v>
      </c>
      <c r="O4324" t="s">
        <v>47425</v>
      </c>
      <c r="P4324">
        <v>0</v>
      </c>
      <c r="Q4324">
        <v>0</v>
      </c>
      <c r="R4324" t="s">
        <v>47430</v>
      </c>
      <c r="S4324" t="s">
        <v>47549</v>
      </c>
      <c r="T4324" t="s">
        <v>49188</v>
      </c>
      <c r="U4324" t="s">
        <v>53338</v>
      </c>
      <c r="W4324" t="s">
        <v>43030</v>
      </c>
      <c r="X4324" t="s">
        <v>47431</v>
      </c>
    </row>
    <row r="4325" spans="1:24">
      <c r="A4325">
        <f>HYPERLINK("https://www.philgeps.gov.ph/GEPSNONPILOT/Tender/SplashBidNoticeAbstractUI.aspx?menuIndex=3&amp;refID=7159160&amp;Result=3","7159160")</f>
        <v>0</v>
      </c>
      <c r="B4325" t="s">
        <v>1748</v>
      </c>
      <c r="C4325" t="s">
        <v>8002</v>
      </c>
      <c r="D4325" t="s">
        <v>19048</v>
      </c>
      <c r="E4325" t="s">
        <v>20370</v>
      </c>
      <c r="F4325" t="s">
        <v>32831</v>
      </c>
      <c r="G4325" t="s">
        <v>32839</v>
      </c>
      <c r="H4325" t="s">
        <v>32848</v>
      </c>
      <c r="I4325" t="s">
        <v>32883</v>
      </c>
      <c r="J4325" t="s">
        <v>33118</v>
      </c>
      <c r="K4325" t="s">
        <v>42742</v>
      </c>
      <c r="M4325" t="s">
        <v>44872</v>
      </c>
      <c r="N4325" t="s">
        <v>47424</v>
      </c>
      <c r="O4325" t="s">
        <v>47425</v>
      </c>
      <c r="P4325">
        <v>0</v>
      </c>
      <c r="Q4325">
        <v>6</v>
      </c>
      <c r="R4325" t="s">
        <v>47430</v>
      </c>
      <c r="S4325" t="s">
        <v>47549</v>
      </c>
      <c r="T4325" t="s">
        <v>49132</v>
      </c>
      <c r="U4325" t="s">
        <v>53339</v>
      </c>
      <c r="V4325" t="s">
        <v>63110</v>
      </c>
      <c r="W4325" t="s">
        <v>44872</v>
      </c>
      <c r="X4325" t="s">
        <v>47431</v>
      </c>
    </row>
    <row r="4326" spans="1:24">
      <c r="A4326">
        <f>HYPERLINK("https://www.philgeps.gov.ph/GEPSNONPILOT/Tender/SplashBidNoticeAbstractUI.aspx?menuIndex=3&amp;refID=7159117&amp;Result=3","7159117")</f>
        <v>0</v>
      </c>
      <c r="B4326" t="s">
        <v>1022</v>
      </c>
      <c r="C4326" t="s">
        <v>8003</v>
      </c>
      <c r="E4326" t="s">
        <v>22953</v>
      </c>
      <c r="F4326" t="s">
        <v>32831</v>
      </c>
      <c r="G4326" t="s">
        <v>32838</v>
      </c>
      <c r="H4326" t="s">
        <v>32848</v>
      </c>
      <c r="I4326" t="s">
        <v>32860</v>
      </c>
      <c r="J4326" t="s">
        <v>34129</v>
      </c>
      <c r="K4326" t="s">
        <v>42732</v>
      </c>
      <c r="M4326" t="s">
        <v>44072</v>
      </c>
      <c r="N4326" t="s">
        <v>47424</v>
      </c>
      <c r="O4326" t="s">
        <v>47425</v>
      </c>
      <c r="P4326">
        <v>0</v>
      </c>
      <c r="Q4326">
        <v>15</v>
      </c>
      <c r="R4326" t="s">
        <v>47430</v>
      </c>
      <c r="S4326" t="s">
        <v>47549</v>
      </c>
      <c r="T4326" t="s">
        <v>49107</v>
      </c>
      <c r="U4326" t="s">
        <v>53340</v>
      </c>
      <c r="W4326" t="s">
        <v>64453</v>
      </c>
      <c r="X4326" t="s">
        <v>47431</v>
      </c>
    </row>
    <row r="4327" spans="1:24">
      <c r="A4327">
        <f>HYPERLINK("https://www.philgeps.gov.ph/GEPSNONPILOT/Tender/SplashBidNoticeAbstractUI.aspx?menuIndex=3&amp;refID=7159157&amp;Result=3","7159157")</f>
        <v>0</v>
      </c>
      <c r="B4327" t="s">
        <v>1738</v>
      </c>
      <c r="C4327" t="s">
        <v>8004</v>
      </c>
      <c r="D4327" t="s">
        <v>19017</v>
      </c>
      <c r="E4327" t="s">
        <v>22954</v>
      </c>
      <c r="F4327" t="s">
        <v>32831</v>
      </c>
      <c r="G4327" t="s">
        <v>32839</v>
      </c>
      <c r="H4327" t="s">
        <v>32848</v>
      </c>
      <c r="I4327" t="s">
        <v>4438</v>
      </c>
      <c r="J4327" t="s">
        <v>33087</v>
      </c>
      <c r="K4327" t="s">
        <v>42726</v>
      </c>
      <c r="M4327" t="s">
        <v>44861</v>
      </c>
      <c r="N4327" t="s">
        <v>47424</v>
      </c>
      <c r="O4327" t="s">
        <v>47425</v>
      </c>
      <c r="P4327">
        <v>0</v>
      </c>
      <c r="Q4327">
        <v>0</v>
      </c>
      <c r="R4327" t="s">
        <v>47430</v>
      </c>
      <c r="S4327" t="s">
        <v>47549</v>
      </c>
      <c r="T4327" t="s">
        <v>49104</v>
      </c>
      <c r="U4327" t="s">
        <v>53341</v>
      </c>
      <c r="W4327" t="s">
        <v>44861</v>
      </c>
      <c r="X4327" t="s">
        <v>47431</v>
      </c>
    </row>
    <row r="4328" spans="1:24">
      <c r="A4328">
        <f>HYPERLINK("https://www.philgeps.gov.ph/GEPSNONPILOT/Tender/SplashBidNoticeAbstractUI.aspx?menuIndex=3&amp;refID=7159109&amp;Result=3","7159109")</f>
        <v>0</v>
      </c>
      <c r="B4328" t="s">
        <v>1749</v>
      </c>
      <c r="C4328" t="s">
        <v>8005</v>
      </c>
      <c r="D4328" t="s">
        <v>19033</v>
      </c>
      <c r="E4328" t="s">
        <v>22955</v>
      </c>
      <c r="F4328" t="s">
        <v>32831</v>
      </c>
      <c r="G4328" t="s">
        <v>32839</v>
      </c>
      <c r="H4328" t="s">
        <v>32848</v>
      </c>
      <c r="I4328" t="s">
        <v>4471</v>
      </c>
      <c r="J4328" t="s">
        <v>32978</v>
      </c>
      <c r="K4328" t="s">
        <v>42730</v>
      </c>
      <c r="M4328" t="s">
        <v>44873</v>
      </c>
      <c r="N4328" t="s">
        <v>47424</v>
      </c>
      <c r="O4328" t="s">
        <v>47425</v>
      </c>
      <c r="P4328">
        <v>0</v>
      </c>
      <c r="Q4328">
        <v>1</v>
      </c>
      <c r="R4328" t="s">
        <v>47430</v>
      </c>
      <c r="S4328" t="s">
        <v>47549</v>
      </c>
      <c r="T4328" t="s">
        <v>49340</v>
      </c>
      <c r="U4328" t="s">
        <v>53342</v>
      </c>
      <c r="W4328" t="s">
        <v>44873</v>
      </c>
      <c r="X4328" t="s">
        <v>47431</v>
      </c>
    </row>
    <row r="4329" spans="1:24">
      <c r="A4329">
        <f>HYPERLINK("https://www.philgeps.gov.ph/GEPSNONPILOT/Tender/SplashBidNoticeAbstractUI.aspx?menuIndex=3&amp;refID=7159190&amp;Result=3","7159190")</f>
        <v>0</v>
      </c>
      <c r="B4329" t="s">
        <v>164</v>
      </c>
      <c r="C4329" t="s">
        <v>8006</v>
      </c>
      <c r="E4329" t="s">
        <v>22956</v>
      </c>
      <c r="F4329" t="s">
        <v>32831</v>
      </c>
      <c r="G4329" t="s">
        <v>32838</v>
      </c>
      <c r="H4329" t="s">
        <v>32848</v>
      </c>
      <c r="I4329" t="s">
        <v>6526</v>
      </c>
      <c r="J4329" t="s">
        <v>35798</v>
      </c>
      <c r="K4329" t="s">
        <v>42732</v>
      </c>
      <c r="M4329" t="s">
        <v>43161</v>
      </c>
      <c r="N4329" t="s">
        <v>47424</v>
      </c>
      <c r="O4329" t="s">
        <v>47425</v>
      </c>
      <c r="P4329">
        <v>0</v>
      </c>
      <c r="Q4329">
        <v>1</v>
      </c>
      <c r="R4329" t="s">
        <v>47430</v>
      </c>
      <c r="S4329" t="s">
        <v>47549</v>
      </c>
      <c r="T4329" t="s">
        <v>49214</v>
      </c>
      <c r="U4329" t="s">
        <v>53343</v>
      </c>
      <c r="W4329" t="s">
        <v>43161</v>
      </c>
      <c r="X4329" t="s">
        <v>47431</v>
      </c>
    </row>
    <row r="4330" spans="1:24">
      <c r="A4330">
        <f>HYPERLINK("https://www.philgeps.gov.ph/GEPSNONPILOT/Tender/SplashBidNoticeAbstractUI.aspx?menuIndex=3&amp;refID=7159189&amp;Result=3","7159189")</f>
        <v>0</v>
      </c>
      <c r="B4330" t="s">
        <v>1750</v>
      </c>
      <c r="C4330" t="s">
        <v>8007</v>
      </c>
      <c r="D4330" t="s">
        <v>19038</v>
      </c>
      <c r="E4330" t="s">
        <v>20418</v>
      </c>
      <c r="F4330" t="s">
        <v>32831</v>
      </c>
      <c r="G4330" t="s">
        <v>32839</v>
      </c>
      <c r="H4330" t="s">
        <v>32848</v>
      </c>
      <c r="I4330" t="s">
        <v>32880</v>
      </c>
      <c r="J4330" t="s">
        <v>35799</v>
      </c>
      <c r="K4330" t="s">
        <v>42745</v>
      </c>
      <c r="M4330" t="s">
        <v>44874</v>
      </c>
      <c r="N4330" t="s">
        <v>47424</v>
      </c>
      <c r="O4330" t="s">
        <v>47425</v>
      </c>
      <c r="P4330">
        <v>0</v>
      </c>
      <c r="Q4330">
        <v>2</v>
      </c>
      <c r="R4330" t="s">
        <v>47430</v>
      </c>
      <c r="S4330" t="s">
        <v>47549</v>
      </c>
      <c r="T4330" t="s">
        <v>49307</v>
      </c>
      <c r="U4330" t="s">
        <v>53344</v>
      </c>
      <c r="W4330" t="s">
        <v>44874</v>
      </c>
      <c r="X4330" t="s">
        <v>47431</v>
      </c>
    </row>
    <row r="4331" spans="1:24">
      <c r="A4331">
        <f>HYPERLINK("https://www.philgeps.gov.ph/GEPSNONPILOT/Tender/SplashBidNoticeAbstractUI.aspx?menuIndex=3&amp;refID=7159192&amp;Result=3","7159192")</f>
        <v>0</v>
      </c>
      <c r="B4331" t="s">
        <v>694</v>
      </c>
      <c r="C4331" t="s">
        <v>8008</v>
      </c>
      <c r="E4331" t="s">
        <v>22957</v>
      </c>
      <c r="F4331" t="s">
        <v>32831</v>
      </c>
      <c r="G4331" t="s">
        <v>32838</v>
      </c>
      <c r="H4331" t="s">
        <v>32848</v>
      </c>
      <c r="I4331" t="s">
        <v>4222</v>
      </c>
      <c r="J4331" t="s">
        <v>35006</v>
      </c>
      <c r="K4331" t="s">
        <v>42732</v>
      </c>
      <c r="M4331" t="s">
        <v>43713</v>
      </c>
      <c r="N4331" t="s">
        <v>47424</v>
      </c>
      <c r="O4331" t="s">
        <v>47425</v>
      </c>
      <c r="P4331">
        <v>0</v>
      </c>
      <c r="Q4331">
        <v>0</v>
      </c>
      <c r="R4331" t="s">
        <v>47430</v>
      </c>
      <c r="S4331" t="s">
        <v>47549</v>
      </c>
      <c r="T4331" t="s">
        <v>49382</v>
      </c>
      <c r="U4331" t="s">
        <v>53345</v>
      </c>
      <c r="V4331" t="s">
        <v>63108</v>
      </c>
      <c r="W4331" t="s">
        <v>43713</v>
      </c>
      <c r="X4331" t="s">
        <v>47431</v>
      </c>
    </row>
    <row r="4332" spans="1:24">
      <c r="A4332">
        <f>HYPERLINK("https://www.philgeps.gov.ph/GEPSNONPILOT/Tender/SplashBidNoticeAbstractUI.aspx?menuIndex=3&amp;refID=7159186&amp;Result=3","7159186")</f>
        <v>0</v>
      </c>
      <c r="B4332" t="s">
        <v>1728</v>
      </c>
      <c r="C4332" t="s">
        <v>8009</v>
      </c>
      <c r="D4332" t="s">
        <v>19058</v>
      </c>
      <c r="E4332" t="s">
        <v>22958</v>
      </c>
      <c r="F4332" t="s">
        <v>32831</v>
      </c>
      <c r="G4332" t="s">
        <v>32839</v>
      </c>
      <c r="H4332" t="s">
        <v>32848</v>
      </c>
      <c r="I4332" t="s">
        <v>7416</v>
      </c>
      <c r="J4332" t="s">
        <v>35800</v>
      </c>
      <c r="K4332" t="s">
        <v>42727</v>
      </c>
      <c r="M4332" t="s">
        <v>44851</v>
      </c>
      <c r="N4332" t="s">
        <v>47424</v>
      </c>
      <c r="O4332" t="s">
        <v>47425</v>
      </c>
      <c r="P4332">
        <v>0</v>
      </c>
      <c r="Q4332">
        <v>1</v>
      </c>
      <c r="R4332" t="s">
        <v>47430</v>
      </c>
      <c r="S4332" t="s">
        <v>47549</v>
      </c>
      <c r="T4332" t="s">
        <v>49267</v>
      </c>
      <c r="U4332" t="s">
        <v>53325</v>
      </c>
      <c r="V4332" t="s">
        <v>63111</v>
      </c>
      <c r="W4332" t="s">
        <v>44851</v>
      </c>
      <c r="X4332" t="s">
        <v>47431</v>
      </c>
    </row>
    <row r="4333" spans="1:24">
      <c r="A4333">
        <f>HYPERLINK("https://www.philgeps.gov.ph/GEPSNONPILOT/Tender/SplashBidNoticeAbstractUI.aspx?menuIndex=3&amp;refID=7159183&amp;Result=3","7159183")</f>
        <v>0</v>
      </c>
      <c r="B4333" t="s">
        <v>150</v>
      </c>
      <c r="C4333" t="s">
        <v>8010</v>
      </c>
      <c r="D4333" t="s">
        <v>19025</v>
      </c>
      <c r="E4333" t="s">
        <v>22959</v>
      </c>
      <c r="F4333" t="s">
        <v>32831</v>
      </c>
      <c r="G4333" t="s">
        <v>32839</v>
      </c>
      <c r="H4333" t="s">
        <v>32848</v>
      </c>
      <c r="I4333" t="s">
        <v>7416</v>
      </c>
      <c r="J4333" t="s">
        <v>35801</v>
      </c>
      <c r="K4333" t="s">
        <v>42730</v>
      </c>
      <c r="M4333" t="s">
        <v>43147</v>
      </c>
      <c r="N4333" t="s">
        <v>47424</v>
      </c>
      <c r="O4333" t="s">
        <v>47425</v>
      </c>
      <c r="P4333">
        <v>0</v>
      </c>
      <c r="Q4333">
        <v>1</v>
      </c>
      <c r="R4333" t="s">
        <v>47430</v>
      </c>
      <c r="S4333" t="s">
        <v>47549</v>
      </c>
      <c r="T4333" t="s">
        <v>49181</v>
      </c>
      <c r="U4333" t="s">
        <v>53346</v>
      </c>
      <c r="W4333" t="s">
        <v>43147</v>
      </c>
      <c r="X4333" t="s">
        <v>47431</v>
      </c>
    </row>
    <row r="4334" spans="1:24">
      <c r="A4334">
        <f>HYPERLINK("https://www.philgeps.gov.ph/GEPSNONPILOT/Tender/SplashBidNoticeAbstractUI.aspx?menuIndex=3&amp;refID=7159143&amp;Result=3","7159143")</f>
        <v>0</v>
      </c>
      <c r="B4334" t="s">
        <v>33</v>
      </c>
      <c r="C4334" t="s">
        <v>8011</v>
      </c>
      <c r="D4334" t="s">
        <v>19024</v>
      </c>
      <c r="E4334" t="s">
        <v>22952</v>
      </c>
      <c r="F4334" t="s">
        <v>32831</v>
      </c>
      <c r="G4334" t="s">
        <v>32839</v>
      </c>
      <c r="H4334" t="s">
        <v>32848</v>
      </c>
      <c r="I4334" t="s">
        <v>8781</v>
      </c>
      <c r="J4334" t="s">
        <v>35802</v>
      </c>
      <c r="K4334" t="s">
        <v>42763</v>
      </c>
      <c r="M4334" t="s">
        <v>43030</v>
      </c>
      <c r="N4334" t="s">
        <v>47424</v>
      </c>
      <c r="O4334" t="s">
        <v>47425</v>
      </c>
      <c r="P4334">
        <v>0</v>
      </c>
      <c r="Q4334">
        <v>1</v>
      </c>
      <c r="R4334" t="s">
        <v>47430</v>
      </c>
      <c r="S4334" t="s">
        <v>47549</v>
      </c>
      <c r="T4334" t="s">
        <v>49188</v>
      </c>
      <c r="U4334" t="s">
        <v>53338</v>
      </c>
      <c r="W4334" t="s">
        <v>43030</v>
      </c>
      <c r="X4334" t="s">
        <v>47431</v>
      </c>
    </row>
    <row r="4335" spans="1:24">
      <c r="A4335">
        <f>HYPERLINK("https://www.philgeps.gov.ph/GEPSNONPILOT/Tender/SplashBidNoticeAbstractUI.aspx?menuIndex=3&amp;refID=7159188&amp;Result=3","7159188")</f>
        <v>0</v>
      </c>
      <c r="B4335" t="s">
        <v>1743</v>
      </c>
      <c r="C4335" t="s">
        <v>8012</v>
      </c>
      <c r="D4335" t="s">
        <v>19021</v>
      </c>
      <c r="E4335" t="s">
        <v>22960</v>
      </c>
      <c r="F4335" t="s">
        <v>32831</v>
      </c>
      <c r="G4335" t="s">
        <v>32838</v>
      </c>
      <c r="H4335" t="s">
        <v>32848</v>
      </c>
      <c r="I4335" t="s">
        <v>32860</v>
      </c>
      <c r="J4335" t="s">
        <v>35803</v>
      </c>
      <c r="K4335" t="s">
        <v>42763</v>
      </c>
      <c r="M4335" t="s">
        <v>44866</v>
      </c>
      <c r="N4335" t="s">
        <v>47424</v>
      </c>
      <c r="O4335" t="s">
        <v>47425</v>
      </c>
      <c r="P4335">
        <v>0</v>
      </c>
      <c r="Q4335">
        <v>3</v>
      </c>
      <c r="R4335" t="s">
        <v>47430</v>
      </c>
      <c r="S4335" t="s">
        <v>47549</v>
      </c>
      <c r="T4335" t="s">
        <v>49383</v>
      </c>
      <c r="U4335" t="s">
        <v>53347</v>
      </c>
      <c r="W4335" t="s">
        <v>44866</v>
      </c>
      <c r="X4335" t="s">
        <v>47431</v>
      </c>
    </row>
    <row r="4336" spans="1:24">
      <c r="A4336">
        <f>HYPERLINK("https://www.philgeps.gov.ph/GEPSNONPILOT/Tender/SplashBidNoticeAbstractUI.aspx?menuIndex=3&amp;refID=7159146&amp;Result=3","7159146")</f>
        <v>0</v>
      </c>
      <c r="B4336" t="s">
        <v>1691</v>
      </c>
      <c r="C4336" t="s">
        <v>8013</v>
      </c>
      <c r="D4336" t="s">
        <v>19082</v>
      </c>
      <c r="E4336" t="s">
        <v>22961</v>
      </c>
      <c r="F4336" t="s">
        <v>32831</v>
      </c>
      <c r="G4336" t="s">
        <v>32839</v>
      </c>
      <c r="H4336" t="s">
        <v>32849</v>
      </c>
      <c r="I4336" t="s">
        <v>32913</v>
      </c>
      <c r="J4336" t="s">
        <v>35804</v>
      </c>
      <c r="K4336" t="s">
        <v>42747</v>
      </c>
      <c r="M4336" t="s">
        <v>44811</v>
      </c>
      <c r="N4336" t="s">
        <v>47424</v>
      </c>
      <c r="O4336" t="s">
        <v>47425</v>
      </c>
      <c r="P4336">
        <v>0</v>
      </c>
      <c r="Q4336">
        <v>0</v>
      </c>
      <c r="R4336" t="s">
        <v>47430</v>
      </c>
      <c r="S4336" t="s">
        <v>47549</v>
      </c>
      <c r="T4336" t="s">
        <v>49216</v>
      </c>
      <c r="U4336" t="s">
        <v>53348</v>
      </c>
      <c r="W4336" t="s">
        <v>44811</v>
      </c>
      <c r="X4336" t="s">
        <v>47431</v>
      </c>
    </row>
    <row r="4337" spans="1:24">
      <c r="A4337">
        <f>HYPERLINK("https://www.philgeps.gov.ph/GEPSNONPILOT/Tender/SplashBidNoticeAbstractUI.aspx?menuIndex=3&amp;refID=7159175&amp;Result=3","7159175")</f>
        <v>0</v>
      </c>
      <c r="B4337" t="s">
        <v>629</v>
      </c>
      <c r="C4337" t="s">
        <v>8014</v>
      </c>
      <c r="D4337" t="s">
        <v>19049</v>
      </c>
      <c r="E4337" t="s">
        <v>22962</v>
      </c>
      <c r="F4337" t="s">
        <v>32831</v>
      </c>
      <c r="G4337" t="s">
        <v>32840</v>
      </c>
      <c r="H4337" t="s">
        <v>32848</v>
      </c>
      <c r="I4337" t="s">
        <v>32871</v>
      </c>
      <c r="J4337" t="s">
        <v>35805</v>
      </c>
      <c r="K4337" t="s">
        <v>42731</v>
      </c>
      <c r="M4337" t="s">
        <v>43646</v>
      </c>
      <c r="N4337" t="s">
        <v>47424</v>
      </c>
      <c r="O4337" t="s">
        <v>47425</v>
      </c>
      <c r="Q4337">
        <v>2</v>
      </c>
      <c r="R4337" t="s">
        <v>47430</v>
      </c>
      <c r="S4337" t="s">
        <v>47552</v>
      </c>
      <c r="T4337" t="s">
        <v>49237</v>
      </c>
      <c r="U4337" t="s">
        <v>53349</v>
      </c>
      <c r="W4337" t="s">
        <v>43646</v>
      </c>
      <c r="X4337" t="s">
        <v>47431</v>
      </c>
    </row>
    <row r="4338" spans="1:24">
      <c r="A4338">
        <f>HYPERLINK("https://www.philgeps.gov.ph/GEPSNONPILOT/Tender/SplashBidNoticeAbstractUI.aspx?menuIndex=3&amp;refID=7159191&amp;Result=3","7159191")</f>
        <v>0</v>
      </c>
      <c r="B4338" t="s">
        <v>1751</v>
      </c>
      <c r="C4338" t="s">
        <v>8015</v>
      </c>
      <c r="D4338" t="s">
        <v>19027</v>
      </c>
      <c r="E4338" t="s">
        <v>19802</v>
      </c>
      <c r="F4338" t="s">
        <v>32831</v>
      </c>
      <c r="G4338" t="s">
        <v>32839</v>
      </c>
      <c r="H4338" t="s">
        <v>32848</v>
      </c>
      <c r="I4338" t="s">
        <v>9577</v>
      </c>
      <c r="J4338" t="s">
        <v>35806</v>
      </c>
      <c r="K4338" t="s">
        <v>42825</v>
      </c>
      <c r="M4338" t="s">
        <v>44875</v>
      </c>
      <c r="N4338" t="s">
        <v>47424</v>
      </c>
      <c r="O4338" t="s">
        <v>47425</v>
      </c>
      <c r="P4338">
        <v>0</v>
      </c>
      <c r="Q4338">
        <v>0</v>
      </c>
      <c r="R4338" t="s">
        <v>47430</v>
      </c>
      <c r="S4338" t="s">
        <v>47549</v>
      </c>
      <c r="T4338" t="s">
        <v>49384</v>
      </c>
      <c r="U4338" t="s">
        <v>53350</v>
      </c>
      <c r="W4338" t="s">
        <v>44875</v>
      </c>
      <c r="X4338" t="s">
        <v>47431</v>
      </c>
    </row>
    <row r="4339" spans="1:24">
      <c r="A4339">
        <f>HYPERLINK("https://www.philgeps.gov.ph/GEPSNONPILOT/Tender/SplashBidNoticeAbstractUI.aspx?menuIndex=3&amp;refID=7159173&amp;Result=3","7159173")</f>
        <v>0</v>
      </c>
      <c r="B4339" t="s">
        <v>1747</v>
      </c>
      <c r="C4339" t="s">
        <v>8016</v>
      </c>
      <c r="D4339" t="s">
        <v>19058</v>
      </c>
      <c r="E4339" t="s">
        <v>22963</v>
      </c>
      <c r="F4339" t="s">
        <v>32831</v>
      </c>
      <c r="G4339" t="s">
        <v>32839</v>
      </c>
      <c r="H4339" t="s">
        <v>32848</v>
      </c>
      <c r="I4339" t="s">
        <v>32886</v>
      </c>
      <c r="J4339" t="s">
        <v>35807</v>
      </c>
      <c r="K4339" t="s">
        <v>42730</v>
      </c>
      <c r="M4339" t="s">
        <v>44870</v>
      </c>
      <c r="N4339" t="s">
        <v>47424</v>
      </c>
      <c r="O4339" t="s">
        <v>47425</v>
      </c>
      <c r="P4339">
        <v>0</v>
      </c>
      <c r="Q4339">
        <v>2</v>
      </c>
      <c r="R4339" t="s">
        <v>47430</v>
      </c>
      <c r="S4339" t="s">
        <v>47549</v>
      </c>
      <c r="T4339" t="s">
        <v>49236</v>
      </c>
      <c r="U4339" t="s">
        <v>53351</v>
      </c>
      <c r="W4339" t="s">
        <v>44870</v>
      </c>
      <c r="X4339" t="s">
        <v>47431</v>
      </c>
    </row>
    <row r="4340" spans="1:24">
      <c r="A4340">
        <f>HYPERLINK("https://www.philgeps.gov.ph/GEPSNONPILOT/Tender/SplashBidNoticeAbstractUI.aspx?menuIndex=3&amp;refID=7159179&amp;Result=3","7159179")</f>
        <v>0</v>
      </c>
      <c r="B4340" t="s">
        <v>1752</v>
      </c>
      <c r="C4340" t="s">
        <v>8017</v>
      </c>
      <c r="D4340" t="s">
        <v>19033</v>
      </c>
      <c r="E4340" t="s">
        <v>22964</v>
      </c>
      <c r="F4340" t="s">
        <v>32831</v>
      </c>
      <c r="G4340" t="s">
        <v>32840</v>
      </c>
      <c r="H4340" t="s">
        <v>32848</v>
      </c>
      <c r="I4340" t="s">
        <v>10805</v>
      </c>
      <c r="J4340" t="s">
        <v>32980</v>
      </c>
      <c r="K4340" t="s">
        <v>42758</v>
      </c>
      <c r="M4340" t="s">
        <v>44876</v>
      </c>
      <c r="N4340" t="s">
        <v>47424</v>
      </c>
      <c r="O4340" t="s">
        <v>47425</v>
      </c>
      <c r="P4340">
        <v>0</v>
      </c>
      <c r="Q4340">
        <v>0</v>
      </c>
      <c r="R4340" t="s">
        <v>47430</v>
      </c>
      <c r="S4340" t="s">
        <v>47549</v>
      </c>
      <c r="T4340" t="s">
        <v>49163</v>
      </c>
      <c r="U4340" t="s">
        <v>53352</v>
      </c>
      <c r="W4340" t="s">
        <v>44876</v>
      </c>
      <c r="X4340" t="s">
        <v>47431</v>
      </c>
    </row>
    <row r="4341" spans="1:24">
      <c r="A4341">
        <f>HYPERLINK("https://www.philgeps.gov.ph/GEPSNONPILOT/Tender/SplashBidNoticeAbstractUI.aspx?menuIndex=3&amp;refID=7159155&amp;Result=3","7159155")</f>
        <v>0</v>
      </c>
      <c r="B4341" t="s">
        <v>1749</v>
      </c>
      <c r="C4341" t="s">
        <v>8018</v>
      </c>
      <c r="D4341" t="s">
        <v>19033</v>
      </c>
      <c r="E4341" t="s">
        <v>22965</v>
      </c>
      <c r="F4341" t="s">
        <v>32831</v>
      </c>
      <c r="G4341" t="s">
        <v>32839</v>
      </c>
      <c r="H4341" t="s">
        <v>32849</v>
      </c>
      <c r="I4341" t="s">
        <v>4177</v>
      </c>
      <c r="J4341" t="s">
        <v>35808</v>
      </c>
      <c r="K4341" t="s">
        <v>42729</v>
      </c>
      <c r="M4341" t="s">
        <v>44873</v>
      </c>
      <c r="N4341" t="s">
        <v>47424</v>
      </c>
      <c r="O4341" t="s">
        <v>47425</v>
      </c>
      <c r="P4341">
        <v>0</v>
      </c>
      <c r="Q4341">
        <v>0</v>
      </c>
      <c r="R4341" t="s">
        <v>47430</v>
      </c>
      <c r="S4341" t="s">
        <v>47549</v>
      </c>
      <c r="T4341" t="s">
        <v>49340</v>
      </c>
      <c r="U4341" t="s">
        <v>53353</v>
      </c>
      <c r="W4341" t="s">
        <v>44873</v>
      </c>
      <c r="X4341" t="s">
        <v>47431</v>
      </c>
    </row>
    <row r="4342" spans="1:24">
      <c r="A4342">
        <f>HYPERLINK("https://www.philgeps.gov.ph/GEPSNONPILOT/Tender/SplashBidNoticeAbstractUI.aspx?menuIndex=3&amp;refID=7159176&amp;Result=3","7159176")</f>
        <v>0</v>
      </c>
      <c r="B4342" t="s">
        <v>609</v>
      </c>
      <c r="C4342" t="s">
        <v>8019</v>
      </c>
      <c r="D4342" t="s">
        <v>19017</v>
      </c>
      <c r="E4342" t="s">
        <v>22966</v>
      </c>
      <c r="F4342" t="s">
        <v>32831</v>
      </c>
      <c r="G4342" t="s">
        <v>32840</v>
      </c>
      <c r="H4342" t="s">
        <v>32848</v>
      </c>
      <c r="I4342" t="s">
        <v>32857</v>
      </c>
      <c r="J4342" t="s">
        <v>34061</v>
      </c>
      <c r="K4342" t="s">
        <v>42732</v>
      </c>
      <c r="M4342" t="s">
        <v>43623</v>
      </c>
      <c r="N4342" t="s">
        <v>47424</v>
      </c>
      <c r="O4342" t="s">
        <v>47425</v>
      </c>
      <c r="P4342">
        <v>0</v>
      </c>
      <c r="Q4342">
        <v>7</v>
      </c>
      <c r="R4342" t="s">
        <v>47430</v>
      </c>
      <c r="S4342" t="s">
        <v>47549</v>
      </c>
      <c r="T4342" t="s">
        <v>49107</v>
      </c>
      <c r="U4342" t="s">
        <v>53354</v>
      </c>
      <c r="W4342" t="s">
        <v>43623</v>
      </c>
      <c r="X4342" t="s">
        <v>47431</v>
      </c>
    </row>
    <row r="4343" spans="1:24">
      <c r="A4343">
        <f>HYPERLINK("https://www.philgeps.gov.ph/GEPSNONPILOT/Tender/SplashBidNoticeAbstractUI.aspx?menuIndex=3&amp;refID=7159220&amp;Result=3","7159220")</f>
        <v>0</v>
      </c>
      <c r="B4343" t="s">
        <v>1753</v>
      </c>
      <c r="C4343" t="s">
        <v>8020</v>
      </c>
      <c r="D4343" t="s">
        <v>19104</v>
      </c>
      <c r="E4343" t="s">
        <v>22967</v>
      </c>
      <c r="F4343" t="s">
        <v>32831</v>
      </c>
      <c r="G4343" t="s">
        <v>32841</v>
      </c>
      <c r="H4343" t="s">
        <v>32848</v>
      </c>
      <c r="I4343" t="s">
        <v>4435</v>
      </c>
      <c r="J4343" t="s">
        <v>33011</v>
      </c>
      <c r="K4343" t="s">
        <v>42727</v>
      </c>
      <c r="M4343" t="s">
        <v>44877</v>
      </c>
      <c r="N4343" t="s">
        <v>47424</v>
      </c>
      <c r="O4343" t="s">
        <v>47425</v>
      </c>
      <c r="P4343">
        <v>0</v>
      </c>
      <c r="Q4343">
        <v>1</v>
      </c>
      <c r="R4343" t="s">
        <v>47430</v>
      </c>
      <c r="S4343" t="s">
        <v>47549</v>
      </c>
      <c r="T4343" t="s">
        <v>49111</v>
      </c>
      <c r="U4343" t="s">
        <v>53355</v>
      </c>
      <c r="W4343" t="s">
        <v>44877</v>
      </c>
      <c r="X4343" t="s">
        <v>47431</v>
      </c>
    </row>
    <row r="4344" spans="1:24">
      <c r="A4344">
        <f>HYPERLINK("https://www.philgeps.gov.ph/GEPSNONPILOT/Tender/SplashBidNoticeAbstractUI.aspx?menuIndex=3&amp;refID=7159219&amp;Result=3","7159219")</f>
        <v>0</v>
      </c>
      <c r="B4344" t="s">
        <v>1754</v>
      </c>
      <c r="C4344" t="s">
        <v>8021</v>
      </c>
      <c r="D4344" t="s">
        <v>19023</v>
      </c>
      <c r="E4344" t="s">
        <v>22968</v>
      </c>
      <c r="F4344" t="s">
        <v>32831</v>
      </c>
      <c r="G4344" t="s">
        <v>32838</v>
      </c>
      <c r="H4344" t="s">
        <v>32848</v>
      </c>
      <c r="I4344" t="s">
        <v>5379</v>
      </c>
      <c r="J4344" t="s">
        <v>35809</v>
      </c>
      <c r="K4344" t="s">
        <v>42726</v>
      </c>
      <c r="M4344" t="s">
        <v>44878</v>
      </c>
      <c r="N4344" t="s">
        <v>47424</v>
      </c>
      <c r="O4344" t="s">
        <v>47425</v>
      </c>
      <c r="P4344">
        <v>0</v>
      </c>
      <c r="Q4344">
        <v>2</v>
      </c>
      <c r="R4344" t="s">
        <v>47430</v>
      </c>
      <c r="S4344" t="s">
        <v>47549</v>
      </c>
      <c r="T4344" t="s">
        <v>49212</v>
      </c>
      <c r="U4344" t="s">
        <v>53356</v>
      </c>
      <c r="W4344" t="s">
        <v>44878</v>
      </c>
      <c r="X4344" t="s">
        <v>47431</v>
      </c>
    </row>
    <row r="4345" spans="1:24">
      <c r="A4345">
        <f>HYPERLINK("https://www.philgeps.gov.ph/GEPSNONPILOT/Tender/SplashBidNoticeAbstractUI.aspx?menuIndex=3&amp;refID=7159174&amp;Result=3","7159174")</f>
        <v>0</v>
      </c>
      <c r="B4345" t="s">
        <v>694</v>
      </c>
      <c r="C4345" t="s">
        <v>8022</v>
      </c>
      <c r="E4345" t="s">
        <v>22969</v>
      </c>
      <c r="F4345" t="s">
        <v>32831</v>
      </c>
      <c r="G4345" t="s">
        <v>32838</v>
      </c>
      <c r="H4345" t="s">
        <v>32848</v>
      </c>
      <c r="I4345" t="s">
        <v>32855</v>
      </c>
      <c r="J4345" t="s">
        <v>35810</v>
      </c>
      <c r="K4345" t="s">
        <v>42732</v>
      </c>
      <c r="M4345" t="s">
        <v>43713</v>
      </c>
      <c r="N4345" t="s">
        <v>47424</v>
      </c>
      <c r="O4345" t="s">
        <v>47425</v>
      </c>
      <c r="P4345">
        <v>0</v>
      </c>
      <c r="Q4345">
        <v>4</v>
      </c>
      <c r="R4345" t="s">
        <v>47430</v>
      </c>
      <c r="S4345" t="s">
        <v>47549</v>
      </c>
      <c r="T4345" t="s">
        <v>49174</v>
      </c>
      <c r="U4345" t="s">
        <v>53357</v>
      </c>
      <c r="V4345" t="s">
        <v>63108</v>
      </c>
      <c r="W4345" t="s">
        <v>43713</v>
      </c>
      <c r="X4345" t="s">
        <v>47431</v>
      </c>
    </row>
    <row r="4346" spans="1:24">
      <c r="A4346">
        <f>HYPERLINK("https://www.philgeps.gov.ph/GEPSNONPILOT/Tender/SplashBidNoticeAbstractUI.aspx?menuIndex=3&amp;refID=7159213&amp;Result=3","7159213")</f>
        <v>0</v>
      </c>
      <c r="B4346" t="s">
        <v>1755</v>
      </c>
      <c r="C4346" t="s">
        <v>8023</v>
      </c>
      <c r="D4346" t="s">
        <v>19027</v>
      </c>
      <c r="E4346" t="s">
        <v>22970</v>
      </c>
      <c r="F4346" t="s">
        <v>32831</v>
      </c>
      <c r="G4346" t="s">
        <v>32838</v>
      </c>
      <c r="H4346" t="s">
        <v>32848</v>
      </c>
      <c r="I4346" t="s">
        <v>4776</v>
      </c>
      <c r="J4346" t="s">
        <v>33509</v>
      </c>
      <c r="K4346" t="s">
        <v>42759</v>
      </c>
      <c r="M4346" t="s">
        <v>44879</v>
      </c>
      <c r="N4346" t="s">
        <v>47424</v>
      </c>
      <c r="O4346" t="s">
        <v>47425</v>
      </c>
      <c r="P4346">
        <v>0</v>
      </c>
      <c r="Q4346">
        <v>1</v>
      </c>
      <c r="R4346" t="s">
        <v>47430</v>
      </c>
      <c r="S4346" t="s">
        <v>47549</v>
      </c>
      <c r="T4346" t="s">
        <v>49214</v>
      </c>
      <c r="U4346" t="s">
        <v>53358</v>
      </c>
      <c r="W4346" t="s">
        <v>44879</v>
      </c>
      <c r="X4346" t="s">
        <v>47431</v>
      </c>
    </row>
    <row r="4347" spans="1:24">
      <c r="A4347">
        <f>HYPERLINK("https://www.philgeps.gov.ph/GEPSNONPILOT/Tender/SplashBidNoticeAbstractUI.aspx?menuIndex=3&amp;refID=7159215&amp;Result=3","7159215")</f>
        <v>0</v>
      </c>
      <c r="B4347" t="s">
        <v>1756</v>
      </c>
      <c r="C4347" t="s">
        <v>8024</v>
      </c>
      <c r="D4347" t="s">
        <v>19021</v>
      </c>
      <c r="E4347" t="s">
        <v>22971</v>
      </c>
      <c r="F4347" t="s">
        <v>32831</v>
      </c>
      <c r="G4347" t="s">
        <v>32840</v>
      </c>
      <c r="H4347" t="s">
        <v>32848</v>
      </c>
      <c r="I4347" t="s">
        <v>4303</v>
      </c>
      <c r="J4347" t="s">
        <v>35811</v>
      </c>
      <c r="K4347" t="s">
        <v>42748</v>
      </c>
      <c r="M4347" t="s">
        <v>44880</v>
      </c>
      <c r="N4347" t="s">
        <v>47424</v>
      </c>
      <c r="O4347" t="s">
        <v>47425</v>
      </c>
      <c r="P4347">
        <v>0</v>
      </c>
      <c r="Q4347">
        <v>0</v>
      </c>
      <c r="R4347" t="s">
        <v>47430</v>
      </c>
      <c r="S4347" t="s">
        <v>47549</v>
      </c>
      <c r="T4347" t="s">
        <v>49100</v>
      </c>
      <c r="U4347" t="s">
        <v>53359</v>
      </c>
      <c r="W4347" t="s">
        <v>44880</v>
      </c>
      <c r="X4347" t="s">
        <v>47431</v>
      </c>
    </row>
    <row r="4348" spans="1:24">
      <c r="A4348">
        <f>HYPERLINK("https://www.philgeps.gov.ph/GEPSNONPILOT/Tender/SplashBidNoticeAbstractUI.aspx?menuIndex=3&amp;refID=7159211&amp;Result=3","7159211")</f>
        <v>0</v>
      </c>
      <c r="B4348" t="s">
        <v>674</v>
      </c>
      <c r="C4348" t="s">
        <v>8025</v>
      </c>
      <c r="D4348" t="s">
        <v>19058</v>
      </c>
      <c r="E4348" t="s">
        <v>22972</v>
      </c>
      <c r="F4348" t="s">
        <v>32831</v>
      </c>
      <c r="G4348" t="s">
        <v>32840</v>
      </c>
      <c r="H4348" t="s">
        <v>32848</v>
      </c>
      <c r="I4348" t="s">
        <v>9577</v>
      </c>
      <c r="J4348" t="s">
        <v>35812</v>
      </c>
      <c r="K4348" t="s">
        <v>42732</v>
      </c>
      <c r="M4348" t="s">
        <v>43693</v>
      </c>
      <c r="N4348" t="s">
        <v>47424</v>
      </c>
      <c r="O4348" t="s">
        <v>47425</v>
      </c>
      <c r="P4348">
        <v>0</v>
      </c>
      <c r="Q4348">
        <v>0</v>
      </c>
      <c r="R4348" t="s">
        <v>47430</v>
      </c>
      <c r="S4348" t="s">
        <v>47549</v>
      </c>
      <c r="T4348" t="s">
        <v>49237</v>
      </c>
      <c r="U4348" t="s">
        <v>53360</v>
      </c>
      <c r="W4348" t="s">
        <v>43693</v>
      </c>
      <c r="X4348" t="s">
        <v>47431</v>
      </c>
    </row>
    <row r="4349" spans="1:24">
      <c r="A4349">
        <f>HYPERLINK("https://www.philgeps.gov.ph/GEPSNONPILOT/Tender/SplashBidNoticeAbstractUI.aspx?menuIndex=3&amp;refID=7159218&amp;Result=3","7159218")</f>
        <v>0</v>
      </c>
      <c r="B4349" t="s">
        <v>1736</v>
      </c>
      <c r="C4349" t="s">
        <v>8026</v>
      </c>
      <c r="D4349" t="s">
        <v>19054</v>
      </c>
      <c r="E4349" t="s">
        <v>22905</v>
      </c>
      <c r="F4349" t="s">
        <v>32831</v>
      </c>
      <c r="G4349" t="s">
        <v>32838</v>
      </c>
      <c r="H4349" t="s">
        <v>32848</v>
      </c>
      <c r="I4349" t="s">
        <v>4487</v>
      </c>
      <c r="J4349" t="s">
        <v>35813</v>
      </c>
      <c r="K4349" t="s">
        <v>42730</v>
      </c>
      <c r="L4349" t="s">
        <v>1736</v>
      </c>
      <c r="M4349" t="s">
        <v>44859</v>
      </c>
      <c r="N4349" t="s">
        <v>47424</v>
      </c>
      <c r="O4349" t="s">
        <v>47425</v>
      </c>
      <c r="P4349">
        <v>0</v>
      </c>
      <c r="Q4349">
        <v>0</v>
      </c>
      <c r="R4349" t="s">
        <v>47430</v>
      </c>
      <c r="S4349" t="s">
        <v>47549</v>
      </c>
      <c r="T4349" t="s">
        <v>49069</v>
      </c>
      <c r="U4349" t="s">
        <v>53361</v>
      </c>
      <c r="V4349" t="s">
        <v>63112</v>
      </c>
      <c r="W4349" t="s">
        <v>44859</v>
      </c>
      <c r="X4349" t="s">
        <v>47431</v>
      </c>
    </row>
    <row r="4350" spans="1:24">
      <c r="A4350">
        <f>HYPERLINK("https://www.philgeps.gov.ph/GEPSNONPILOT/Tender/SplashBidNoticeAbstractUI.aspx?menuIndex=3&amp;refID=7159205&amp;Result=3","7159205")</f>
        <v>0</v>
      </c>
      <c r="B4350" t="s">
        <v>1753</v>
      </c>
      <c r="C4350" t="s">
        <v>8027</v>
      </c>
      <c r="D4350" t="s">
        <v>19104</v>
      </c>
      <c r="E4350" t="s">
        <v>22973</v>
      </c>
      <c r="F4350" t="s">
        <v>32831</v>
      </c>
      <c r="G4350" t="s">
        <v>32838</v>
      </c>
      <c r="H4350" t="s">
        <v>32848</v>
      </c>
      <c r="I4350" t="s">
        <v>32927</v>
      </c>
      <c r="J4350" t="s">
        <v>33397</v>
      </c>
      <c r="K4350" t="s">
        <v>42727</v>
      </c>
      <c r="M4350" t="s">
        <v>44877</v>
      </c>
      <c r="N4350" t="s">
        <v>47424</v>
      </c>
      <c r="O4350" t="s">
        <v>47425</v>
      </c>
      <c r="P4350">
        <v>0</v>
      </c>
      <c r="Q4350">
        <v>0</v>
      </c>
      <c r="R4350" t="s">
        <v>47430</v>
      </c>
      <c r="S4350" t="s">
        <v>47549</v>
      </c>
      <c r="T4350" t="s">
        <v>49111</v>
      </c>
      <c r="U4350" t="s">
        <v>53362</v>
      </c>
      <c r="W4350" t="s">
        <v>44877</v>
      </c>
      <c r="X4350" t="s">
        <v>47431</v>
      </c>
    </row>
    <row r="4351" spans="1:24">
      <c r="A4351">
        <f>HYPERLINK("https://www.philgeps.gov.ph/GEPSNONPILOT/Tender/SplashBidNoticeAbstractUI.aspx?menuIndex=3&amp;refID=7159222&amp;Result=3","7159222")</f>
        <v>0</v>
      </c>
      <c r="B4351" t="s">
        <v>609</v>
      </c>
      <c r="C4351" t="s">
        <v>8028</v>
      </c>
      <c r="D4351" t="s">
        <v>19017</v>
      </c>
      <c r="E4351" t="s">
        <v>22974</v>
      </c>
      <c r="F4351" t="s">
        <v>32831</v>
      </c>
      <c r="G4351" t="s">
        <v>32840</v>
      </c>
      <c r="H4351" t="s">
        <v>32848</v>
      </c>
      <c r="I4351" t="s">
        <v>32857</v>
      </c>
      <c r="J4351" t="s">
        <v>33045</v>
      </c>
      <c r="K4351" t="s">
        <v>42732</v>
      </c>
      <c r="M4351" t="s">
        <v>43623</v>
      </c>
      <c r="N4351" t="s">
        <v>47424</v>
      </c>
      <c r="O4351" t="s">
        <v>47425</v>
      </c>
      <c r="P4351">
        <v>0</v>
      </c>
      <c r="Q4351">
        <v>2</v>
      </c>
      <c r="R4351" t="s">
        <v>47430</v>
      </c>
      <c r="S4351" t="s">
        <v>47549</v>
      </c>
      <c r="T4351" t="s">
        <v>49107</v>
      </c>
      <c r="U4351" t="s">
        <v>53363</v>
      </c>
      <c r="W4351" t="s">
        <v>43623</v>
      </c>
      <c r="X4351" t="s">
        <v>47431</v>
      </c>
    </row>
    <row r="4352" spans="1:24">
      <c r="A4352">
        <f>HYPERLINK("https://www.philgeps.gov.ph/GEPSNONPILOT/Tender/SplashBidNoticeAbstractUI.aspx?menuIndex=3&amp;refID=7159201&amp;Result=3","7159201")</f>
        <v>0</v>
      </c>
      <c r="B4352" t="s">
        <v>1757</v>
      </c>
      <c r="C4352" t="s">
        <v>8029</v>
      </c>
      <c r="D4352" t="s">
        <v>19017</v>
      </c>
      <c r="E4352" t="s">
        <v>22975</v>
      </c>
      <c r="F4352" t="s">
        <v>32831</v>
      </c>
      <c r="G4352" t="s">
        <v>32842</v>
      </c>
      <c r="H4352" t="s">
        <v>32848</v>
      </c>
      <c r="I4352" t="s">
        <v>9577</v>
      </c>
      <c r="J4352" t="s">
        <v>35814</v>
      </c>
      <c r="K4352" t="s">
        <v>42732</v>
      </c>
      <c r="M4352" t="s">
        <v>44881</v>
      </c>
      <c r="N4352" t="s">
        <v>47424</v>
      </c>
      <c r="O4352" t="s">
        <v>47425</v>
      </c>
      <c r="P4352">
        <v>0</v>
      </c>
      <c r="Q4352">
        <v>8</v>
      </c>
      <c r="R4352" t="s">
        <v>47430</v>
      </c>
      <c r="S4352" t="s">
        <v>47549</v>
      </c>
      <c r="T4352" t="s">
        <v>49089</v>
      </c>
      <c r="U4352" t="s">
        <v>53364</v>
      </c>
      <c r="W4352" t="s">
        <v>44881</v>
      </c>
      <c r="X4352" t="s">
        <v>47431</v>
      </c>
    </row>
    <row r="4353" spans="1:24">
      <c r="A4353">
        <f>HYPERLINK("https://www.philgeps.gov.ph/GEPSNONPILOT/Tender/SplashBidNoticeAbstractUI.aspx?menuIndex=3&amp;refID=7159223&amp;Result=3","7159223")</f>
        <v>0</v>
      </c>
      <c r="B4353" t="s">
        <v>960</v>
      </c>
      <c r="C4353" t="s">
        <v>8030</v>
      </c>
      <c r="D4353" t="s">
        <v>19017</v>
      </c>
      <c r="E4353" t="s">
        <v>22976</v>
      </c>
      <c r="F4353" t="s">
        <v>32831</v>
      </c>
      <c r="G4353" t="s">
        <v>32838</v>
      </c>
      <c r="H4353" t="s">
        <v>32848</v>
      </c>
      <c r="I4353" t="s">
        <v>4471</v>
      </c>
      <c r="J4353" t="s">
        <v>35815</v>
      </c>
      <c r="K4353" t="s">
        <v>42729</v>
      </c>
      <c r="M4353" t="s">
        <v>44410</v>
      </c>
      <c r="N4353" t="s">
        <v>47424</v>
      </c>
      <c r="O4353" t="s">
        <v>47425</v>
      </c>
      <c r="P4353">
        <v>0</v>
      </c>
      <c r="Q4353">
        <v>9</v>
      </c>
      <c r="R4353" t="s">
        <v>47430</v>
      </c>
      <c r="S4353" t="s">
        <v>47549</v>
      </c>
      <c r="T4353" t="s">
        <v>49150</v>
      </c>
      <c r="U4353" t="s">
        <v>53365</v>
      </c>
      <c r="W4353" t="s">
        <v>44410</v>
      </c>
      <c r="X4353" t="s">
        <v>47431</v>
      </c>
    </row>
    <row r="4354" spans="1:24">
      <c r="A4354">
        <f>HYPERLINK("https://www.philgeps.gov.ph/GEPSNONPILOT/Tender/SplashBidNoticeAbstractUI.aspx?menuIndex=3&amp;refID=7159207&amp;Result=3","7159207")</f>
        <v>0</v>
      </c>
      <c r="B4354" t="s">
        <v>694</v>
      </c>
      <c r="C4354" t="s">
        <v>8031</v>
      </c>
      <c r="E4354" t="s">
        <v>22977</v>
      </c>
      <c r="F4354" t="s">
        <v>32831</v>
      </c>
      <c r="G4354" t="s">
        <v>32838</v>
      </c>
      <c r="H4354" t="s">
        <v>32848</v>
      </c>
      <c r="I4354" t="s">
        <v>7416</v>
      </c>
      <c r="J4354" t="s">
        <v>33657</v>
      </c>
      <c r="K4354" t="s">
        <v>42732</v>
      </c>
      <c r="M4354" t="s">
        <v>43713</v>
      </c>
      <c r="N4354" t="s">
        <v>47424</v>
      </c>
      <c r="O4354" t="s">
        <v>47425</v>
      </c>
      <c r="P4354">
        <v>0</v>
      </c>
      <c r="Q4354">
        <v>0</v>
      </c>
      <c r="R4354" t="s">
        <v>47430</v>
      </c>
      <c r="S4354" t="s">
        <v>47549</v>
      </c>
      <c r="T4354" t="s">
        <v>49174</v>
      </c>
      <c r="U4354" t="s">
        <v>53366</v>
      </c>
      <c r="V4354" t="s">
        <v>63108</v>
      </c>
      <c r="W4354" t="s">
        <v>43713</v>
      </c>
      <c r="X4354" t="s">
        <v>47431</v>
      </c>
    </row>
    <row r="4355" spans="1:24">
      <c r="A4355">
        <f>HYPERLINK("https://www.philgeps.gov.ph/GEPSNONPILOT/Tender/SplashBidNoticeAbstractUI.aspx?menuIndex=3&amp;refID=7159200&amp;Result=3","7159200")</f>
        <v>0</v>
      </c>
      <c r="B4355" t="s">
        <v>172</v>
      </c>
      <c r="C4355" t="s">
        <v>8032</v>
      </c>
      <c r="D4355" t="s">
        <v>19022</v>
      </c>
      <c r="E4355" t="s">
        <v>22978</v>
      </c>
      <c r="F4355" t="s">
        <v>32831</v>
      </c>
      <c r="G4355" t="s">
        <v>32838</v>
      </c>
      <c r="H4355" t="s">
        <v>32848</v>
      </c>
      <c r="I4355" t="s">
        <v>4558</v>
      </c>
      <c r="J4355" t="s">
        <v>35816</v>
      </c>
      <c r="K4355" t="s">
        <v>42726</v>
      </c>
      <c r="M4355" t="s">
        <v>43169</v>
      </c>
      <c r="N4355" t="s">
        <v>47424</v>
      </c>
      <c r="O4355" t="s">
        <v>47425</v>
      </c>
      <c r="P4355">
        <v>0</v>
      </c>
      <c r="Q4355">
        <v>2</v>
      </c>
      <c r="R4355" t="s">
        <v>47430</v>
      </c>
      <c r="S4355" t="s">
        <v>47549</v>
      </c>
      <c r="T4355" t="s">
        <v>49141</v>
      </c>
      <c r="U4355" t="s">
        <v>53367</v>
      </c>
      <c r="V4355" t="s">
        <v>63113</v>
      </c>
      <c r="W4355" t="s">
        <v>43169</v>
      </c>
      <c r="X4355" t="s">
        <v>47431</v>
      </c>
    </row>
    <row r="4356" spans="1:24">
      <c r="A4356">
        <f>HYPERLINK("https://www.philgeps.gov.ph/GEPSNONPILOT/Tender/SplashBidNoticeAbstractUI.aspx?menuIndex=3&amp;refID=7159217&amp;Result=3","7159217")</f>
        <v>0</v>
      </c>
      <c r="B4356" t="s">
        <v>1758</v>
      </c>
      <c r="C4356" t="s">
        <v>8033</v>
      </c>
      <c r="D4356" t="s">
        <v>19017</v>
      </c>
      <c r="E4356" t="s">
        <v>22979</v>
      </c>
      <c r="F4356" t="s">
        <v>32833</v>
      </c>
      <c r="G4356" t="s">
        <v>32839</v>
      </c>
      <c r="H4356" t="s">
        <v>32848</v>
      </c>
      <c r="I4356" t="s">
        <v>4776</v>
      </c>
      <c r="J4356" t="s">
        <v>33644</v>
      </c>
      <c r="K4356" t="s">
        <v>42730</v>
      </c>
      <c r="L4356" t="s">
        <v>1758</v>
      </c>
      <c r="M4356" t="s">
        <v>44882</v>
      </c>
      <c r="N4356" t="s">
        <v>47424</v>
      </c>
      <c r="O4356" t="s">
        <v>47425</v>
      </c>
      <c r="P4356">
        <v>0</v>
      </c>
      <c r="Q4356">
        <v>0</v>
      </c>
      <c r="R4356" t="s">
        <v>47430</v>
      </c>
      <c r="S4356" t="s">
        <v>47549</v>
      </c>
      <c r="T4356" t="s">
        <v>49173</v>
      </c>
      <c r="U4356" t="s">
        <v>53368</v>
      </c>
      <c r="W4356" t="s">
        <v>44882</v>
      </c>
      <c r="X4356" t="s">
        <v>47431</v>
      </c>
    </row>
    <row r="4357" spans="1:24">
      <c r="A4357">
        <f>HYPERLINK("https://www.philgeps.gov.ph/GEPSNONPILOT/Tender/SplashBidNoticeAbstractUI.aspx?menuIndex=3&amp;refID=7159253&amp;Result=3","7159253")</f>
        <v>0</v>
      </c>
      <c r="B4357" t="s">
        <v>1728</v>
      </c>
      <c r="C4357" t="s">
        <v>8034</v>
      </c>
      <c r="D4357" t="s">
        <v>19058</v>
      </c>
      <c r="E4357" t="s">
        <v>22980</v>
      </c>
      <c r="F4357" t="s">
        <v>32831</v>
      </c>
      <c r="G4357" t="s">
        <v>32839</v>
      </c>
      <c r="H4357" t="s">
        <v>32848</v>
      </c>
      <c r="I4357" t="s">
        <v>4558</v>
      </c>
      <c r="J4357" t="s">
        <v>33257</v>
      </c>
      <c r="K4357" t="s">
        <v>42727</v>
      </c>
      <c r="M4357" t="s">
        <v>44851</v>
      </c>
      <c r="N4357" t="s">
        <v>47424</v>
      </c>
      <c r="O4357" t="s">
        <v>47425</v>
      </c>
      <c r="P4357">
        <v>0</v>
      </c>
      <c r="Q4357">
        <v>4</v>
      </c>
      <c r="R4357" t="s">
        <v>47430</v>
      </c>
      <c r="S4357" t="s">
        <v>47549</v>
      </c>
      <c r="T4357" t="s">
        <v>49267</v>
      </c>
      <c r="U4357" t="s">
        <v>53325</v>
      </c>
      <c r="V4357" t="s">
        <v>63114</v>
      </c>
      <c r="W4357" t="s">
        <v>44851</v>
      </c>
      <c r="X4357" t="s">
        <v>47431</v>
      </c>
    </row>
    <row r="4358" spans="1:24">
      <c r="A4358">
        <f>HYPERLINK("https://www.philgeps.gov.ph/GEPSNONPILOT/Tender/SplashBidNoticeAbstractUI.aspx?menuIndex=3&amp;refID=7159250&amp;Result=3","7159250")</f>
        <v>0</v>
      </c>
      <c r="B4358" t="s">
        <v>1759</v>
      </c>
      <c r="C4358" t="s">
        <v>8035</v>
      </c>
      <c r="D4358" t="s">
        <v>19058</v>
      </c>
      <c r="E4358" t="s">
        <v>22981</v>
      </c>
      <c r="F4358" t="s">
        <v>32831</v>
      </c>
      <c r="G4358" t="s">
        <v>32839</v>
      </c>
      <c r="H4358" t="s">
        <v>32848</v>
      </c>
      <c r="I4358" t="s">
        <v>32879</v>
      </c>
      <c r="J4358" t="s">
        <v>33083</v>
      </c>
      <c r="K4358" t="s">
        <v>42730</v>
      </c>
      <c r="M4358" t="s">
        <v>44883</v>
      </c>
      <c r="N4358" t="s">
        <v>47424</v>
      </c>
      <c r="O4358" t="s">
        <v>47425</v>
      </c>
      <c r="P4358">
        <v>0</v>
      </c>
      <c r="Q4358">
        <v>1</v>
      </c>
      <c r="R4358" t="s">
        <v>47430</v>
      </c>
      <c r="S4358" t="s">
        <v>47549</v>
      </c>
      <c r="T4358" t="s">
        <v>49267</v>
      </c>
      <c r="U4358" t="s">
        <v>53369</v>
      </c>
      <c r="V4358" t="s">
        <v>63115</v>
      </c>
      <c r="W4358" t="s">
        <v>44883</v>
      </c>
      <c r="X4358" t="s">
        <v>47431</v>
      </c>
    </row>
    <row r="4359" spans="1:24">
      <c r="A4359">
        <f>HYPERLINK("https://www.philgeps.gov.ph/GEPSNONPILOT/Tender/SplashBidNoticeAbstractUI.aspx?menuIndex=3&amp;refID=7159212&amp;Result=3","7159212")</f>
        <v>0</v>
      </c>
      <c r="B4359" t="s">
        <v>1704</v>
      </c>
      <c r="C4359" t="s">
        <v>8036</v>
      </c>
      <c r="D4359" t="s">
        <v>19084</v>
      </c>
      <c r="E4359" t="s">
        <v>22982</v>
      </c>
      <c r="F4359" t="s">
        <v>32831</v>
      </c>
      <c r="G4359" t="s">
        <v>32838</v>
      </c>
      <c r="H4359" t="s">
        <v>32848</v>
      </c>
      <c r="I4359" t="s">
        <v>4303</v>
      </c>
      <c r="J4359" t="s">
        <v>35817</v>
      </c>
      <c r="K4359" t="s">
        <v>42727</v>
      </c>
      <c r="M4359" t="s">
        <v>44826</v>
      </c>
      <c r="N4359" t="s">
        <v>47424</v>
      </c>
      <c r="O4359" t="s">
        <v>47425</v>
      </c>
      <c r="P4359">
        <v>0</v>
      </c>
      <c r="Q4359">
        <v>2</v>
      </c>
      <c r="R4359" t="s">
        <v>47430</v>
      </c>
      <c r="S4359" t="s">
        <v>47549</v>
      </c>
      <c r="T4359" t="s">
        <v>49235</v>
      </c>
      <c r="U4359" t="s">
        <v>53229</v>
      </c>
      <c r="V4359" t="s">
        <v>63094</v>
      </c>
      <c r="W4359" t="s">
        <v>44826</v>
      </c>
      <c r="X4359" t="s">
        <v>47431</v>
      </c>
    </row>
    <row r="4360" spans="1:24">
      <c r="A4360">
        <f>HYPERLINK("https://www.philgeps.gov.ph/GEPSNONPILOT/Tender/SplashBidNoticeAbstractUI.aspx?menuIndex=3&amp;refID=7159248&amp;Result=3","7159248")</f>
        <v>0</v>
      </c>
      <c r="B4360" t="s">
        <v>1176</v>
      </c>
      <c r="C4360" t="s">
        <v>8037</v>
      </c>
      <c r="D4360" t="s">
        <v>19078</v>
      </c>
      <c r="E4360" t="s">
        <v>22983</v>
      </c>
      <c r="F4360" t="s">
        <v>32831</v>
      </c>
      <c r="G4360" t="s">
        <v>32838</v>
      </c>
      <c r="H4360" t="s">
        <v>32848</v>
      </c>
      <c r="I4360" t="s">
        <v>4776</v>
      </c>
      <c r="J4360" t="s">
        <v>35818</v>
      </c>
      <c r="K4360" t="s">
        <v>42731</v>
      </c>
      <c r="M4360" t="s">
        <v>44242</v>
      </c>
      <c r="N4360" t="s">
        <v>47424</v>
      </c>
      <c r="O4360" t="s">
        <v>47425</v>
      </c>
      <c r="P4360">
        <v>0</v>
      </c>
      <c r="Q4360">
        <v>3</v>
      </c>
      <c r="R4360" t="s">
        <v>47430</v>
      </c>
      <c r="S4360" t="s">
        <v>47549</v>
      </c>
      <c r="T4360" t="s">
        <v>49145</v>
      </c>
      <c r="U4360" t="s">
        <v>51989</v>
      </c>
      <c r="W4360" t="s">
        <v>44242</v>
      </c>
      <c r="X4360" t="s">
        <v>47431</v>
      </c>
    </row>
    <row r="4361" spans="1:24">
      <c r="A4361">
        <f>HYPERLINK("https://www.philgeps.gov.ph/GEPSNONPILOT/Tender/SplashBidNoticeAbstractUI.aspx?menuIndex=3&amp;refID=7159182&amp;Result=3","7159182")</f>
        <v>0</v>
      </c>
      <c r="B4361" t="s">
        <v>1747</v>
      </c>
      <c r="C4361" t="s">
        <v>8038</v>
      </c>
      <c r="D4361" t="s">
        <v>19058</v>
      </c>
      <c r="E4361" t="s">
        <v>22984</v>
      </c>
      <c r="F4361" t="s">
        <v>32831</v>
      </c>
      <c r="G4361" t="s">
        <v>32839</v>
      </c>
      <c r="H4361" t="s">
        <v>32848</v>
      </c>
      <c r="I4361" t="s">
        <v>32862</v>
      </c>
      <c r="J4361" t="s">
        <v>35819</v>
      </c>
      <c r="K4361" t="s">
        <v>42727</v>
      </c>
      <c r="M4361" t="s">
        <v>44870</v>
      </c>
      <c r="N4361" t="s">
        <v>47424</v>
      </c>
      <c r="O4361" t="s">
        <v>47425</v>
      </c>
      <c r="P4361">
        <v>0</v>
      </c>
      <c r="Q4361">
        <v>1</v>
      </c>
      <c r="R4361" t="s">
        <v>47430</v>
      </c>
      <c r="S4361" t="s">
        <v>47549</v>
      </c>
      <c r="T4361" t="s">
        <v>49236</v>
      </c>
      <c r="U4361" t="s">
        <v>53370</v>
      </c>
      <c r="W4361" t="s">
        <v>44870</v>
      </c>
      <c r="X4361" t="s">
        <v>47431</v>
      </c>
    </row>
    <row r="4362" spans="1:24">
      <c r="A4362">
        <f>HYPERLINK("https://www.philgeps.gov.ph/GEPSNONPILOT/Tender/SplashBidNoticeAbstractUI.aspx?menuIndex=3&amp;refID=7159246&amp;Result=3","7159246")</f>
        <v>0</v>
      </c>
      <c r="B4362" t="s">
        <v>629</v>
      </c>
      <c r="C4362" t="s">
        <v>6271</v>
      </c>
      <c r="D4362" t="s">
        <v>19049</v>
      </c>
      <c r="E4362" t="s">
        <v>22985</v>
      </c>
      <c r="F4362" t="s">
        <v>32831</v>
      </c>
      <c r="G4362" t="s">
        <v>32840</v>
      </c>
      <c r="H4362" t="s">
        <v>32848</v>
      </c>
      <c r="I4362" t="s">
        <v>32860</v>
      </c>
      <c r="J4362" t="s">
        <v>35820</v>
      </c>
      <c r="K4362" t="s">
        <v>42731</v>
      </c>
      <c r="M4362" t="s">
        <v>43646</v>
      </c>
      <c r="N4362" t="s">
        <v>47424</v>
      </c>
      <c r="O4362" t="s">
        <v>47425</v>
      </c>
      <c r="P4362">
        <v>0</v>
      </c>
      <c r="Q4362">
        <v>0</v>
      </c>
      <c r="R4362" t="s">
        <v>47430</v>
      </c>
      <c r="S4362" t="s">
        <v>47549</v>
      </c>
      <c r="T4362" t="s">
        <v>49237</v>
      </c>
      <c r="U4362" t="s">
        <v>53371</v>
      </c>
      <c r="W4362" t="s">
        <v>43646</v>
      </c>
      <c r="X4362" t="s">
        <v>47431</v>
      </c>
    </row>
    <row r="4363" spans="1:24">
      <c r="A4363">
        <f>HYPERLINK("https://www.philgeps.gov.ph/GEPSNONPILOT/Tender/SplashBidNoticeAbstractUI.aspx?menuIndex=3&amp;refID=7159242&amp;Result=3","7159242")</f>
        <v>0</v>
      </c>
      <c r="B4363" t="s">
        <v>1760</v>
      </c>
      <c r="C4363" t="s">
        <v>8039</v>
      </c>
      <c r="D4363" t="s">
        <v>19058</v>
      </c>
      <c r="E4363" t="s">
        <v>22986</v>
      </c>
      <c r="F4363" t="s">
        <v>32831</v>
      </c>
      <c r="G4363" t="s">
        <v>32838</v>
      </c>
      <c r="H4363" t="s">
        <v>32848</v>
      </c>
      <c r="I4363" t="s">
        <v>7751</v>
      </c>
      <c r="J4363" t="s">
        <v>32983</v>
      </c>
      <c r="K4363" t="s">
        <v>42745</v>
      </c>
      <c r="M4363" t="s">
        <v>44884</v>
      </c>
      <c r="N4363" t="s">
        <v>47424</v>
      </c>
      <c r="O4363" t="s">
        <v>47425</v>
      </c>
      <c r="P4363">
        <v>0</v>
      </c>
      <c r="Q4363">
        <v>0</v>
      </c>
      <c r="R4363" t="s">
        <v>47430</v>
      </c>
      <c r="S4363" t="s">
        <v>47549</v>
      </c>
      <c r="T4363" t="s">
        <v>49237</v>
      </c>
      <c r="U4363" t="s">
        <v>53372</v>
      </c>
      <c r="W4363" t="s">
        <v>44884</v>
      </c>
      <c r="X4363" t="s">
        <v>47431</v>
      </c>
    </row>
    <row r="4364" spans="1:24">
      <c r="A4364">
        <f>HYPERLINK("https://www.philgeps.gov.ph/GEPSNONPILOT/Tender/SplashBidNoticeAbstractUI.aspx?menuIndex=3&amp;refID=7159255&amp;Result=3","7159255")</f>
        <v>0</v>
      </c>
      <c r="B4364" t="s">
        <v>669</v>
      </c>
      <c r="C4364" t="s">
        <v>8040</v>
      </c>
      <c r="D4364" t="s">
        <v>19022</v>
      </c>
      <c r="E4364" t="s">
        <v>22987</v>
      </c>
      <c r="F4364" t="s">
        <v>32831</v>
      </c>
      <c r="G4364" t="s">
        <v>32838</v>
      </c>
      <c r="H4364" t="s">
        <v>32848</v>
      </c>
      <c r="I4364" t="s">
        <v>9577</v>
      </c>
      <c r="J4364" t="s">
        <v>35821</v>
      </c>
      <c r="K4364" t="s">
        <v>42726</v>
      </c>
      <c r="M4364" t="s">
        <v>43688</v>
      </c>
      <c r="N4364" t="s">
        <v>47424</v>
      </c>
      <c r="O4364" t="s">
        <v>47425</v>
      </c>
      <c r="P4364">
        <v>0</v>
      </c>
      <c r="Q4364">
        <v>0</v>
      </c>
      <c r="R4364" t="s">
        <v>47430</v>
      </c>
      <c r="S4364" t="s">
        <v>47549</v>
      </c>
      <c r="T4364" t="s">
        <v>49166</v>
      </c>
      <c r="U4364" t="s">
        <v>53373</v>
      </c>
      <c r="W4364" t="s">
        <v>43688</v>
      </c>
      <c r="X4364" t="s">
        <v>47431</v>
      </c>
    </row>
    <row r="4365" spans="1:24">
      <c r="A4365">
        <f>HYPERLINK("https://www.philgeps.gov.ph/GEPSNONPILOT/Tender/SplashBidNoticeAbstractUI.aspx?menuIndex=3&amp;refID=7159239&amp;Result=3","7159239")</f>
        <v>0</v>
      </c>
      <c r="B4365" t="s">
        <v>1761</v>
      </c>
      <c r="C4365" t="s">
        <v>8041</v>
      </c>
      <c r="D4365" t="s">
        <v>19081</v>
      </c>
      <c r="E4365" t="s">
        <v>21318</v>
      </c>
      <c r="F4365" t="s">
        <v>32831</v>
      </c>
      <c r="G4365" t="s">
        <v>32838</v>
      </c>
      <c r="H4365" t="s">
        <v>32848</v>
      </c>
      <c r="I4365" t="s">
        <v>5379</v>
      </c>
      <c r="J4365" t="s">
        <v>33067</v>
      </c>
      <c r="K4365" t="s">
        <v>42758</v>
      </c>
      <c r="M4365" t="s">
        <v>44885</v>
      </c>
      <c r="N4365" t="s">
        <v>47424</v>
      </c>
      <c r="O4365" t="s">
        <v>47425</v>
      </c>
      <c r="P4365">
        <v>0</v>
      </c>
      <c r="Q4365">
        <v>0</v>
      </c>
      <c r="R4365" t="s">
        <v>47430</v>
      </c>
      <c r="S4365" t="s">
        <v>47549</v>
      </c>
      <c r="T4365" t="s">
        <v>49166</v>
      </c>
      <c r="U4365" t="s">
        <v>53374</v>
      </c>
      <c r="V4365" t="s">
        <v>63116</v>
      </c>
      <c r="W4365" t="s">
        <v>44885</v>
      </c>
      <c r="X4365" t="s">
        <v>47431</v>
      </c>
    </row>
    <row r="4366" spans="1:24">
      <c r="A4366">
        <f>HYPERLINK("https://www.philgeps.gov.ph/GEPSNONPILOT/Tender/SplashBidNoticeAbstractUI.aspx?menuIndex=3&amp;refID=7159202&amp;Result=3","7159202")</f>
        <v>0</v>
      </c>
      <c r="B4366" t="s">
        <v>629</v>
      </c>
      <c r="C4366" t="s">
        <v>8014</v>
      </c>
      <c r="D4366" t="s">
        <v>19049</v>
      </c>
      <c r="E4366" t="s">
        <v>22988</v>
      </c>
      <c r="F4366" t="s">
        <v>32831</v>
      </c>
      <c r="G4366" t="s">
        <v>32840</v>
      </c>
      <c r="H4366" t="s">
        <v>32848</v>
      </c>
      <c r="I4366" t="s">
        <v>32871</v>
      </c>
      <c r="J4366" t="s">
        <v>33519</v>
      </c>
      <c r="K4366" t="s">
        <v>42731</v>
      </c>
      <c r="M4366" t="s">
        <v>43646</v>
      </c>
      <c r="N4366" t="s">
        <v>47424</v>
      </c>
      <c r="O4366" t="s">
        <v>47425</v>
      </c>
      <c r="P4366">
        <v>0</v>
      </c>
      <c r="Q4366">
        <v>1</v>
      </c>
      <c r="R4366" t="s">
        <v>47430</v>
      </c>
      <c r="S4366" t="s">
        <v>47549</v>
      </c>
      <c r="T4366" t="s">
        <v>49237</v>
      </c>
      <c r="U4366" t="s">
        <v>53375</v>
      </c>
      <c r="W4366" t="s">
        <v>43646</v>
      </c>
      <c r="X4366" t="s">
        <v>47431</v>
      </c>
    </row>
    <row r="4367" spans="1:24">
      <c r="A4367">
        <f>HYPERLINK("https://www.philgeps.gov.ph/GEPSNONPILOT/Tender/SplashBidNoticeAbstractUI.aspx?menuIndex=3&amp;refID=7159304&amp;Result=3","7159304")</f>
        <v>0</v>
      </c>
      <c r="B4367" t="s">
        <v>1762</v>
      </c>
      <c r="C4367" t="s">
        <v>8042</v>
      </c>
      <c r="D4367" t="s">
        <v>19089</v>
      </c>
      <c r="E4367" t="s">
        <v>22989</v>
      </c>
      <c r="F4367" t="s">
        <v>32831</v>
      </c>
      <c r="G4367" t="s">
        <v>32839</v>
      </c>
      <c r="H4367" t="s">
        <v>32848</v>
      </c>
      <c r="I4367" t="s">
        <v>4558</v>
      </c>
      <c r="J4367" t="s">
        <v>35822</v>
      </c>
      <c r="K4367" t="s">
        <v>42731</v>
      </c>
      <c r="M4367" t="s">
        <v>44886</v>
      </c>
      <c r="N4367" t="s">
        <v>47424</v>
      </c>
      <c r="O4367" t="s">
        <v>47425</v>
      </c>
      <c r="P4367">
        <v>0</v>
      </c>
      <c r="Q4367">
        <v>2</v>
      </c>
      <c r="R4367" t="s">
        <v>47430</v>
      </c>
      <c r="S4367" t="s">
        <v>47549</v>
      </c>
      <c r="T4367" t="s">
        <v>49172</v>
      </c>
      <c r="U4367" t="s">
        <v>53376</v>
      </c>
      <c r="W4367" t="s">
        <v>44886</v>
      </c>
      <c r="X4367" t="s">
        <v>47431</v>
      </c>
    </row>
    <row r="4368" spans="1:24">
      <c r="A4368">
        <f>HYPERLINK("https://www.philgeps.gov.ph/GEPSNONPILOT/Tender/SplashBidNoticeAbstractUI.aspx?menuIndex=3&amp;refID=7159302&amp;Result=3","7159302")</f>
        <v>0</v>
      </c>
      <c r="B4368" t="s">
        <v>674</v>
      </c>
      <c r="C4368" t="s">
        <v>8043</v>
      </c>
      <c r="D4368" t="s">
        <v>19058</v>
      </c>
      <c r="E4368" t="s">
        <v>22990</v>
      </c>
      <c r="F4368" t="s">
        <v>32831</v>
      </c>
      <c r="G4368" t="s">
        <v>32840</v>
      </c>
      <c r="H4368" t="s">
        <v>32848</v>
      </c>
      <c r="I4368" t="s">
        <v>7416</v>
      </c>
      <c r="J4368" t="s">
        <v>35823</v>
      </c>
      <c r="K4368" t="s">
        <v>42732</v>
      </c>
      <c r="M4368" t="s">
        <v>43693</v>
      </c>
      <c r="N4368" t="s">
        <v>47424</v>
      </c>
      <c r="O4368" t="s">
        <v>47425</v>
      </c>
      <c r="P4368">
        <v>0</v>
      </c>
      <c r="Q4368">
        <v>0</v>
      </c>
      <c r="R4368" t="s">
        <v>47430</v>
      </c>
      <c r="S4368" t="s">
        <v>47549</v>
      </c>
      <c r="T4368" t="s">
        <v>49237</v>
      </c>
      <c r="U4368" t="s">
        <v>53377</v>
      </c>
      <c r="W4368" t="s">
        <v>43693</v>
      </c>
      <c r="X4368" t="s">
        <v>47431</v>
      </c>
    </row>
    <row r="4369" spans="1:24">
      <c r="A4369">
        <f>HYPERLINK("https://www.philgeps.gov.ph/GEPSNONPILOT/Tender/SplashBidNoticeAbstractUI.aspx?menuIndex=3&amp;refID=7159241&amp;Result=3","7159241")</f>
        <v>0</v>
      </c>
      <c r="B4369" t="s">
        <v>1763</v>
      </c>
      <c r="C4369" t="s">
        <v>8044</v>
      </c>
      <c r="D4369" t="s">
        <v>19026</v>
      </c>
      <c r="E4369" t="s">
        <v>22991</v>
      </c>
      <c r="F4369" t="s">
        <v>32831</v>
      </c>
      <c r="G4369" t="s">
        <v>32838</v>
      </c>
      <c r="H4369" t="s">
        <v>32850</v>
      </c>
      <c r="I4369" t="s">
        <v>32866</v>
      </c>
      <c r="J4369" t="s">
        <v>33041</v>
      </c>
      <c r="K4369" t="s">
        <v>42730</v>
      </c>
      <c r="M4369" t="s">
        <v>44887</v>
      </c>
      <c r="N4369" t="s">
        <v>47424</v>
      </c>
      <c r="O4369" t="s">
        <v>47425</v>
      </c>
      <c r="P4369">
        <v>0</v>
      </c>
      <c r="Q4369">
        <v>0</v>
      </c>
      <c r="R4369" t="s">
        <v>47430</v>
      </c>
      <c r="S4369" t="s">
        <v>47549</v>
      </c>
      <c r="T4369" t="s">
        <v>49385</v>
      </c>
      <c r="U4369" t="s">
        <v>53378</v>
      </c>
      <c r="W4369" t="s">
        <v>44887</v>
      </c>
      <c r="X4369" t="s">
        <v>47431</v>
      </c>
    </row>
    <row r="4370" spans="1:24">
      <c r="A4370">
        <f>HYPERLINK("https://www.philgeps.gov.ph/GEPSNONPILOT/Tender/SplashBidNoticeAbstractUI.aspx?menuIndex=3&amp;refID=7159147&amp;Result=3","7159147")</f>
        <v>0</v>
      </c>
      <c r="B4370" t="s">
        <v>609</v>
      </c>
      <c r="C4370" t="s">
        <v>8045</v>
      </c>
      <c r="D4370" t="s">
        <v>19017</v>
      </c>
      <c r="E4370" t="s">
        <v>22992</v>
      </c>
      <c r="F4370" t="s">
        <v>32831</v>
      </c>
      <c r="G4370" t="s">
        <v>32840</v>
      </c>
      <c r="H4370" t="s">
        <v>32848</v>
      </c>
      <c r="I4370" t="s">
        <v>32857</v>
      </c>
      <c r="J4370" t="s">
        <v>33090</v>
      </c>
      <c r="K4370" t="s">
        <v>42732</v>
      </c>
      <c r="M4370" t="s">
        <v>43623</v>
      </c>
      <c r="N4370" t="s">
        <v>47424</v>
      </c>
      <c r="O4370" t="s">
        <v>47425</v>
      </c>
      <c r="P4370">
        <v>0</v>
      </c>
      <c r="Q4370">
        <v>0</v>
      </c>
      <c r="R4370" t="s">
        <v>47430</v>
      </c>
      <c r="S4370" t="s">
        <v>47549</v>
      </c>
      <c r="T4370" t="s">
        <v>49107</v>
      </c>
      <c r="U4370" t="s">
        <v>53379</v>
      </c>
      <c r="W4370" t="s">
        <v>43623</v>
      </c>
      <c r="X4370" t="s">
        <v>47431</v>
      </c>
    </row>
    <row r="4371" spans="1:24">
      <c r="A4371">
        <f>HYPERLINK("https://www.philgeps.gov.ph/GEPSNONPILOT/Tender/SplashBidNoticeAbstractUI.aspx?menuIndex=3&amp;refID=7159238&amp;Result=3","7159238")</f>
        <v>0</v>
      </c>
      <c r="B4371" t="s">
        <v>1641</v>
      </c>
      <c r="C4371" t="s">
        <v>8046</v>
      </c>
      <c r="D4371" t="s">
        <v>19042</v>
      </c>
      <c r="E4371" t="s">
        <v>22993</v>
      </c>
      <c r="F4371" t="s">
        <v>32831</v>
      </c>
      <c r="G4371" t="s">
        <v>32840</v>
      </c>
      <c r="H4371" t="s">
        <v>32848</v>
      </c>
      <c r="I4371" t="s">
        <v>4438</v>
      </c>
      <c r="J4371" t="s">
        <v>35824</v>
      </c>
      <c r="K4371" t="s">
        <v>42730</v>
      </c>
      <c r="L4371" t="s">
        <v>1641</v>
      </c>
      <c r="M4371" t="s">
        <v>44758</v>
      </c>
      <c r="N4371" t="s">
        <v>47424</v>
      </c>
      <c r="O4371" t="s">
        <v>47425</v>
      </c>
      <c r="P4371">
        <v>0</v>
      </c>
      <c r="Q4371">
        <v>1</v>
      </c>
      <c r="R4371" t="s">
        <v>47430</v>
      </c>
      <c r="S4371" t="s">
        <v>47549</v>
      </c>
      <c r="T4371" t="s">
        <v>49116</v>
      </c>
      <c r="U4371" t="s">
        <v>53380</v>
      </c>
      <c r="V4371" t="s">
        <v>63072</v>
      </c>
      <c r="W4371" t="s">
        <v>44758</v>
      </c>
      <c r="X4371" t="s">
        <v>47431</v>
      </c>
    </row>
    <row r="4372" spans="1:24">
      <c r="A4372">
        <f>HYPERLINK("https://www.philgeps.gov.ph/GEPSNONPILOT/Tender/SplashBidNoticeAbstractUI.aspx?menuIndex=3&amp;refID=7159296&amp;Result=3","7159296")</f>
        <v>0</v>
      </c>
      <c r="B4372" t="s">
        <v>629</v>
      </c>
      <c r="C4372" t="s">
        <v>8047</v>
      </c>
      <c r="D4372" t="s">
        <v>19049</v>
      </c>
      <c r="E4372" t="s">
        <v>22994</v>
      </c>
      <c r="F4372" t="s">
        <v>32831</v>
      </c>
      <c r="G4372" t="s">
        <v>32840</v>
      </c>
      <c r="H4372" t="s">
        <v>32848</v>
      </c>
      <c r="I4372" t="s">
        <v>32860</v>
      </c>
      <c r="J4372" t="s">
        <v>35825</v>
      </c>
      <c r="K4372" t="s">
        <v>42731</v>
      </c>
      <c r="M4372" t="s">
        <v>43646</v>
      </c>
      <c r="N4372" t="s">
        <v>47424</v>
      </c>
      <c r="O4372" t="s">
        <v>47425</v>
      </c>
      <c r="P4372">
        <v>0</v>
      </c>
      <c r="Q4372">
        <v>0</v>
      </c>
      <c r="R4372" t="s">
        <v>47430</v>
      </c>
      <c r="S4372" t="s">
        <v>47549</v>
      </c>
      <c r="T4372" t="s">
        <v>49237</v>
      </c>
      <c r="U4372" t="s">
        <v>53381</v>
      </c>
      <c r="W4372" t="s">
        <v>43646</v>
      </c>
      <c r="X4372" t="s">
        <v>47431</v>
      </c>
    </row>
    <row r="4373" spans="1:24">
      <c r="A4373">
        <f>HYPERLINK("https://www.philgeps.gov.ph/GEPSNONPILOT/Tender/SplashBidNoticeAbstractUI.aspx?menuIndex=3&amp;refID=7159301&amp;Result=3","7159301")</f>
        <v>0</v>
      </c>
      <c r="B4373" t="s">
        <v>1688</v>
      </c>
      <c r="C4373" t="s">
        <v>8048</v>
      </c>
      <c r="D4373" t="s">
        <v>19078</v>
      </c>
      <c r="E4373" t="s">
        <v>22995</v>
      </c>
      <c r="F4373" t="s">
        <v>32831</v>
      </c>
      <c r="G4373" t="s">
        <v>32840</v>
      </c>
      <c r="H4373" t="s">
        <v>32848</v>
      </c>
      <c r="I4373" t="s">
        <v>32860</v>
      </c>
      <c r="J4373" t="s">
        <v>35826</v>
      </c>
      <c r="K4373" t="s">
        <v>42732</v>
      </c>
      <c r="L4373" t="s">
        <v>1688</v>
      </c>
      <c r="M4373" t="s">
        <v>44808</v>
      </c>
      <c r="N4373" t="s">
        <v>47424</v>
      </c>
      <c r="O4373" t="s">
        <v>47425</v>
      </c>
      <c r="P4373">
        <v>0</v>
      </c>
      <c r="Q4373">
        <v>4</v>
      </c>
      <c r="R4373" t="s">
        <v>47430</v>
      </c>
      <c r="S4373" t="s">
        <v>47549</v>
      </c>
      <c r="T4373" t="s">
        <v>49108</v>
      </c>
      <c r="U4373" t="s">
        <v>53382</v>
      </c>
      <c r="W4373" t="s">
        <v>44808</v>
      </c>
      <c r="X4373" t="s">
        <v>47431</v>
      </c>
    </row>
    <row r="4374" spans="1:24">
      <c r="A4374">
        <f>HYPERLINK("https://www.philgeps.gov.ph/GEPSNONPILOT/Tender/SplashBidNoticeAbstractUI.aspx?menuIndex=3&amp;refID=7159300&amp;Result=3","7159300")</f>
        <v>0</v>
      </c>
      <c r="B4374" t="s">
        <v>1153</v>
      </c>
      <c r="C4374" t="s">
        <v>8049</v>
      </c>
      <c r="D4374" t="s">
        <v>19045</v>
      </c>
      <c r="E4374" t="s">
        <v>22996</v>
      </c>
      <c r="F4374" t="s">
        <v>32831</v>
      </c>
      <c r="G4374" t="s">
        <v>32838</v>
      </c>
      <c r="H4374" t="s">
        <v>32848</v>
      </c>
      <c r="I4374" t="s">
        <v>32878</v>
      </c>
      <c r="J4374" t="s">
        <v>35827</v>
      </c>
      <c r="K4374" t="s">
        <v>42732</v>
      </c>
      <c r="M4374" t="s">
        <v>44217</v>
      </c>
      <c r="N4374" t="s">
        <v>47424</v>
      </c>
      <c r="O4374" t="s">
        <v>47425</v>
      </c>
      <c r="P4374">
        <v>0</v>
      </c>
      <c r="Q4374">
        <v>0</v>
      </c>
      <c r="R4374" t="s">
        <v>47430</v>
      </c>
      <c r="S4374" t="s">
        <v>47549</v>
      </c>
      <c r="T4374" t="s">
        <v>49111</v>
      </c>
      <c r="U4374" t="s">
        <v>53383</v>
      </c>
      <c r="W4374" t="s">
        <v>44217</v>
      </c>
      <c r="X4374" t="s">
        <v>47431</v>
      </c>
    </row>
    <row r="4375" spans="1:24">
      <c r="A4375">
        <f>HYPERLINK("https://www.philgeps.gov.ph/GEPSNONPILOT/Tender/SplashBidNoticeAbstractUI.aspx?menuIndex=3&amp;refID=7159284&amp;Result=3","7159284")</f>
        <v>0</v>
      </c>
      <c r="B4375" t="s">
        <v>1753</v>
      </c>
      <c r="C4375" t="s">
        <v>8050</v>
      </c>
      <c r="D4375" t="s">
        <v>19104</v>
      </c>
      <c r="E4375" t="s">
        <v>22997</v>
      </c>
      <c r="F4375" t="s">
        <v>32831</v>
      </c>
      <c r="G4375" t="s">
        <v>32841</v>
      </c>
      <c r="H4375" t="s">
        <v>32848</v>
      </c>
      <c r="I4375" t="s">
        <v>4438</v>
      </c>
      <c r="J4375" t="s">
        <v>35828</v>
      </c>
      <c r="K4375" t="s">
        <v>42727</v>
      </c>
      <c r="M4375" t="s">
        <v>44877</v>
      </c>
      <c r="N4375" t="s">
        <v>47424</v>
      </c>
      <c r="O4375" t="s">
        <v>47425</v>
      </c>
      <c r="P4375">
        <v>0</v>
      </c>
      <c r="Q4375">
        <v>0</v>
      </c>
      <c r="R4375" t="s">
        <v>47430</v>
      </c>
      <c r="S4375" t="s">
        <v>47549</v>
      </c>
      <c r="T4375" t="s">
        <v>49111</v>
      </c>
      <c r="U4375" t="s">
        <v>53384</v>
      </c>
      <c r="W4375" t="s">
        <v>44877</v>
      </c>
      <c r="X4375" t="s">
        <v>47431</v>
      </c>
    </row>
    <row r="4376" spans="1:24">
      <c r="A4376">
        <f>HYPERLINK("https://www.philgeps.gov.ph/GEPSNONPILOT/Tender/SplashBidNoticeAbstractUI.aspx?menuIndex=3&amp;refID=7159281&amp;Result=3","7159281")</f>
        <v>0</v>
      </c>
      <c r="B4376" t="s">
        <v>669</v>
      </c>
      <c r="C4376" t="s">
        <v>5283</v>
      </c>
      <c r="D4376" t="s">
        <v>19022</v>
      </c>
      <c r="E4376" t="s">
        <v>22998</v>
      </c>
      <c r="F4376" t="s">
        <v>32831</v>
      </c>
      <c r="G4376" t="s">
        <v>32838</v>
      </c>
      <c r="H4376" t="s">
        <v>32848</v>
      </c>
      <c r="I4376" t="s">
        <v>9577</v>
      </c>
      <c r="J4376" t="s">
        <v>35829</v>
      </c>
      <c r="K4376" t="s">
        <v>42726</v>
      </c>
      <c r="M4376" t="s">
        <v>43688</v>
      </c>
      <c r="N4376" t="s">
        <v>47424</v>
      </c>
      <c r="O4376" t="s">
        <v>47425</v>
      </c>
      <c r="P4376">
        <v>0</v>
      </c>
      <c r="Q4376">
        <v>1</v>
      </c>
      <c r="R4376" t="s">
        <v>47430</v>
      </c>
      <c r="S4376" t="s">
        <v>47549</v>
      </c>
      <c r="T4376" t="s">
        <v>49166</v>
      </c>
      <c r="U4376" t="s">
        <v>53385</v>
      </c>
      <c r="W4376" t="s">
        <v>43688</v>
      </c>
      <c r="X4376" t="s">
        <v>47431</v>
      </c>
    </row>
    <row r="4377" spans="1:24">
      <c r="A4377">
        <f>HYPERLINK("https://www.philgeps.gov.ph/GEPSNONPILOT/Tender/SplashBidNoticeAbstractUI.aspx?menuIndex=3&amp;refID=7159292&amp;Result=3","7159292")</f>
        <v>0</v>
      </c>
      <c r="B4377" t="s">
        <v>262</v>
      </c>
      <c r="C4377" t="s">
        <v>8051</v>
      </c>
      <c r="D4377" t="s">
        <v>19049</v>
      </c>
      <c r="E4377" t="s">
        <v>22999</v>
      </c>
      <c r="F4377" t="s">
        <v>32831</v>
      </c>
      <c r="G4377" t="s">
        <v>32838</v>
      </c>
      <c r="H4377" t="s">
        <v>32848</v>
      </c>
      <c r="I4377" t="s">
        <v>5379</v>
      </c>
      <c r="J4377" t="s">
        <v>34226</v>
      </c>
      <c r="K4377" t="s">
        <v>42726</v>
      </c>
      <c r="M4377" t="s">
        <v>43261</v>
      </c>
      <c r="N4377" t="s">
        <v>47424</v>
      </c>
      <c r="O4377" t="s">
        <v>47425</v>
      </c>
      <c r="P4377">
        <v>0</v>
      </c>
      <c r="Q4377">
        <v>0</v>
      </c>
      <c r="R4377" t="s">
        <v>47430</v>
      </c>
      <c r="S4377" t="s">
        <v>47549</v>
      </c>
      <c r="T4377" t="s">
        <v>49166</v>
      </c>
      <c r="U4377" t="s">
        <v>53386</v>
      </c>
      <c r="W4377" t="s">
        <v>43261</v>
      </c>
      <c r="X4377" t="s">
        <v>47431</v>
      </c>
    </row>
    <row r="4378" spans="1:24">
      <c r="A4378">
        <f>HYPERLINK("https://www.philgeps.gov.ph/GEPSNONPILOT/Tender/SplashBidNoticeAbstractUI.aspx?menuIndex=3&amp;refID=7159291&amp;Result=3","7159291")</f>
        <v>0</v>
      </c>
      <c r="B4378" t="s">
        <v>598</v>
      </c>
      <c r="C4378" t="s">
        <v>8052</v>
      </c>
      <c r="E4378" t="s">
        <v>23000</v>
      </c>
      <c r="F4378" t="s">
        <v>32831</v>
      </c>
      <c r="G4378" t="s">
        <v>32838</v>
      </c>
      <c r="H4378" t="s">
        <v>32848</v>
      </c>
      <c r="I4378" t="s">
        <v>32860</v>
      </c>
      <c r="J4378" t="s">
        <v>35830</v>
      </c>
      <c r="K4378" t="s">
        <v>42726</v>
      </c>
      <c r="M4378" t="s">
        <v>44888</v>
      </c>
      <c r="N4378" t="s">
        <v>47424</v>
      </c>
      <c r="O4378" t="s">
        <v>47425</v>
      </c>
      <c r="P4378">
        <v>0</v>
      </c>
      <c r="Q4378">
        <v>10</v>
      </c>
      <c r="R4378" t="s">
        <v>47430</v>
      </c>
      <c r="S4378" t="s">
        <v>47549</v>
      </c>
      <c r="T4378" t="s">
        <v>49056</v>
      </c>
      <c r="U4378" t="s">
        <v>53387</v>
      </c>
      <c r="W4378" t="s">
        <v>44888</v>
      </c>
      <c r="X4378" t="s">
        <v>47431</v>
      </c>
    </row>
    <row r="4379" spans="1:24">
      <c r="A4379">
        <f>HYPERLINK("https://www.philgeps.gov.ph/GEPSNONPILOT/Tender/SplashBidNoticeAbstractUI.aspx?menuIndex=3&amp;refID=7159277&amp;Result=3","7159277")</f>
        <v>0</v>
      </c>
      <c r="B4379" t="s">
        <v>526</v>
      </c>
      <c r="C4379" t="s">
        <v>8053</v>
      </c>
      <c r="D4379" t="s">
        <v>19034</v>
      </c>
      <c r="E4379" t="s">
        <v>22536</v>
      </c>
      <c r="F4379" t="s">
        <v>32831</v>
      </c>
      <c r="G4379" t="s">
        <v>32838</v>
      </c>
      <c r="H4379" t="s">
        <v>32850</v>
      </c>
      <c r="I4379" t="s">
        <v>32864</v>
      </c>
      <c r="J4379" t="s">
        <v>33313</v>
      </c>
      <c r="K4379" t="s">
        <v>42730</v>
      </c>
      <c r="M4379" t="s">
        <v>43532</v>
      </c>
      <c r="N4379" t="s">
        <v>47424</v>
      </c>
      <c r="O4379" t="s">
        <v>47425</v>
      </c>
      <c r="P4379">
        <v>0</v>
      </c>
      <c r="Q4379">
        <v>1</v>
      </c>
      <c r="R4379" t="s">
        <v>47430</v>
      </c>
      <c r="S4379" t="s">
        <v>47549</v>
      </c>
      <c r="T4379" t="s">
        <v>49239</v>
      </c>
      <c r="U4379" t="s">
        <v>53388</v>
      </c>
      <c r="W4379" t="s">
        <v>43532</v>
      </c>
      <c r="X4379" t="s">
        <v>47431</v>
      </c>
    </row>
    <row r="4380" spans="1:24">
      <c r="A4380">
        <f>HYPERLINK("https://www.philgeps.gov.ph/GEPSNONPILOT/Tender/SplashBidNoticeAbstractUI.aspx?menuIndex=3&amp;refID=7159275&amp;Result=3","7159275")</f>
        <v>0</v>
      </c>
      <c r="B4380" t="s">
        <v>1764</v>
      </c>
      <c r="C4380" t="s">
        <v>8054</v>
      </c>
      <c r="D4380" t="s">
        <v>19083</v>
      </c>
      <c r="E4380" t="s">
        <v>23001</v>
      </c>
      <c r="F4380" t="s">
        <v>32831</v>
      </c>
      <c r="G4380" t="s">
        <v>32838</v>
      </c>
      <c r="H4380" t="s">
        <v>32848</v>
      </c>
      <c r="I4380" t="s">
        <v>32860</v>
      </c>
      <c r="J4380" t="s">
        <v>35831</v>
      </c>
      <c r="K4380" t="s">
        <v>42758</v>
      </c>
      <c r="L4380" t="s">
        <v>1764</v>
      </c>
      <c r="M4380" t="s">
        <v>44889</v>
      </c>
      <c r="N4380" t="s">
        <v>47424</v>
      </c>
      <c r="O4380" t="s">
        <v>47425</v>
      </c>
      <c r="P4380">
        <v>0</v>
      </c>
      <c r="Q4380">
        <v>1</v>
      </c>
      <c r="R4380" t="s">
        <v>47430</v>
      </c>
      <c r="S4380" t="s">
        <v>47549</v>
      </c>
      <c r="T4380" t="s">
        <v>49386</v>
      </c>
      <c r="U4380" t="s">
        <v>53389</v>
      </c>
      <c r="V4380" t="s">
        <v>63117</v>
      </c>
      <c r="W4380" t="s">
        <v>44889</v>
      </c>
      <c r="X4380" t="s">
        <v>47431</v>
      </c>
    </row>
    <row r="4381" spans="1:24">
      <c r="A4381">
        <f>HYPERLINK("https://www.philgeps.gov.ph/GEPSNONPILOT/Tender/SplashBidNoticeAbstractUI.aspx?menuIndex=3&amp;refID=7159273&amp;Result=3","7159273")</f>
        <v>0</v>
      </c>
      <c r="B4381" t="s">
        <v>1720</v>
      </c>
      <c r="C4381" t="s">
        <v>8055</v>
      </c>
      <c r="D4381" t="s">
        <v>19034</v>
      </c>
      <c r="E4381" t="s">
        <v>23002</v>
      </c>
      <c r="F4381" t="s">
        <v>32831</v>
      </c>
      <c r="G4381" t="s">
        <v>32839</v>
      </c>
      <c r="H4381" t="s">
        <v>32849</v>
      </c>
      <c r="I4381" t="s">
        <v>32925</v>
      </c>
      <c r="J4381" t="s">
        <v>33072</v>
      </c>
      <c r="K4381" t="s">
        <v>42747</v>
      </c>
      <c r="M4381" t="s">
        <v>44843</v>
      </c>
      <c r="N4381" t="s">
        <v>47424</v>
      </c>
      <c r="O4381" t="s">
        <v>47425</v>
      </c>
      <c r="P4381">
        <v>0</v>
      </c>
      <c r="Q4381">
        <v>1</v>
      </c>
      <c r="R4381" t="s">
        <v>47430</v>
      </c>
      <c r="S4381" t="s">
        <v>47549</v>
      </c>
      <c r="T4381" t="s">
        <v>49209</v>
      </c>
      <c r="U4381" t="s">
        <v>53390</v>
      </c>
      <c r="W4381" t="s">
        <v>44843</v>
      </c>
      <c r="X4381" t="s">
        <v>47431</v>
      </c>
    </row>
    <row r="4382" spans="1:24">
      <c r="A4382">
        <f>HYPERLINK("https://www.philgeps.gov.ph/GEPSNONPILOT/Tender/SplashBidNoticeAbstractUI.aspx?menuIndex=3&amp;refID=7159288&amp;Result=3","7159288")</f>
        <v>0</v>
      </c>
      <c r="B4382" t="s">
        <v>1750</v>
      </c>
      <c r="C4382" t="s">
        <v>8056</v>
      </c>
      <c r="D4382" t="s">
        <v>19038</v>
      </c>
      <c r="E4382" t="s">
        <v>20136</v>
      </c>
      <c r="F4382" t="s">
        <v>32831</v>
      </c>
      <c r="G4382" t="s">
        <v>32839</v>
      </c>
      <c r="H4382" t="s">
        <v>32848</v>
      </c>
      <c r="I4382" t="s">
        <v>4558</v>
      </c>
      <c r="J4382" t="s">
        <v>35832</v>
      </c>
      <c r="K4382" t="s">
        <v>42745</v>
      </c>
      <c r="M4382" t="s">
        <v>44874</v>
      </c>
      <c r="N4382" t="s">
        <v>47424</v>
      </c>
      <c r="O4382" t="s">
        <v>47425</v>
      </c>
      <c r="P4382">
        <v>0</v>
      </c>
      <c r="Q4382">
        <v>0</v>
      </c>
      <c r="R4382" t="s">
        <v>47430</v>
      </c>
      <c r="S4382" t="s">
        <v>47549</v>
      </c>
      <c r="T4382" t="s">
        <v>49323</v>
      </c>
      <c r="U4382" t="s">
        <v>53344</v>
      </c>
      <c r="W4382" t="s">
        <v>44874</v>
      </c>
      <c r="X4382" t="s">
        <v>47431</v>
      </c>
    </row>
    <row r="4383" spans="1:24">
      <c r="A4383">
        <f>HYPERLINK("https://www.philgeps.gov.ph/GEPSNONPILOT/Tender/SplashBidNoticeAbstractUI.aspx?menuIndex=3&amp;refID=7159282&amp;Result=3","7159282")</f>
        <v>0</v>
      </c>
      <c r="B4383" t="s">
        <v>904</v>
      </c>
      <c r="C4383" t="s">
        <v>8057</v>
      </c>
      <c r="D4383" t="s">
        <v>19047</v>
      </c>
      <c r="E4383" t="s">
        <v>23003</v>
      </c>
      <c r="F4383" t="s">
        <v>32831</v>
      </c>
      <c r="G4383" t="s">
        <v>32838</v>
      </c>
      <c r="H4383" t="s">
        <v>32848</v>
      </c>
      <c r="I4383" t="s">
        <v>4776</v>
      </c>
      <c r="J4383" t="s">
        <v>33067</v>
      </c>
      <c r="K4383" t="s">
        <v>42747</v>
      </c>
      <c r="M4383" t="s">
        <v>44592</v>
      </c>
      <c r="N4383" t="s">
        <v>47424</v>
      </c>
      <c r="O4383" t="s">
        <v>47425</v>
      </c>
      <c r="P4383">
        <v>0</v>
      </c>
      <c r="Q4383">
        <v>7</v>
      </c>
      <c r="R4383" t="s">
        <v>47430</v>
      </c>
      <c r="S4383" t="s">
        <v>47549</v>
      </c>
      <c r="T4383" t="s">
        <v>49237</v>
      </c>
      <c r="U4383" t="s">
        <v>52713</v>
      </c>
      <c r="V4383" t="s">
        <v>63118</v>
      </c>
      <c r="W4383" t="s">
        <v>44592</v>
      </c>
      <c r="X4383" t="s">
        <v>47431</v>
      </c>
    </row>
    <row r="4384" spans="1:24">
      <c r="A4384">
        <f>HYPERLINK("https://www.philgeps.gov.ph/GEPSNONPILOT/Tender/SplashBidNoticeAbstractUI.aspx?menuIndex=3&amp;refID=7159261&amp;Result=3","7159261")</f>
        <v>0</v>
      </c>
      <c r="B4384" t="s">
        <v>674</v>
      </c>
      <c r="C4384" t="s">
        <v>8058</v>
      </c>
      <c r="D4384" t="s">
        <v>19058</v>
      </c>
      <c r="E4384" t="s">
        <v>23004</v>
      </c>
      <c r="F4384" t="s">
        <v>32831</v>
      </c>
      <c r="G4384" t="s">
        <v>32838</v>
      </c>
      <c r="H4384" t="s">
        <v>32848</v>
      </c>
      <c r="I4384" t="s">
        <v>32870</v>
      </c>
      <c r="J4384" t="s">
        <v>33422</v>
      </c>
      <c r="K4384" t="s">
        <v>42732</v>
      </c>
      <c r="M4384" t="s">
        <v>43693</v>
      </c>
      <c r="N4384" t="s">
        <v>47424</v>
      </c>
      <c r="O4384" t="s">
        <v>47425</v>
      </c>
      <c r="P4384">
        <v>0</v>
      </c>
      <c r="Q4384">
        <v>0</v>
      </c>
      <c r="R4384" t="s">
        <v>47430</v>
      </c>
      <c r="S4384" t="s">
        <v>47549</v>
      </c>
      <c r="T4384" t="s">
        <v>49237</v>
      </c>
      <c r="U4384" t="s">
        <v>53391</v>
      </c>
      <c r="W4384" t="s">
        <v>43693</v>
      </c>
      <c r="X4384" t="s">
        <v>47431</v>
      </c>
    </row>
    <row r="4385" spans="1:24">
      <c r="A4385">
        <f>HYPERLINK("https://www.philgeps.gov.ph/GEPSNONPILOT/Tender/SplashBidNoticeAbstractUI.aspx?menuIndex=3&amp;refID=7159279&amp;Result=3","7159279")</f>
        <v>0</v>
      </c>
      <c r="B4385" t="s">
        <v>1763</v>
      </c>
      <c r="C4385" t="s">
        <v>8059</v>
      </c>
      <c r="D4385" t="s">
        <v>19026</v>
      </c>
      <c r="E4385" t="s">
        <v>23005</v>
      </c>
      <c r="F4385" t="s">
        <v>32831</v>
      </c>
      <c r="G4385" t="s">
        <v>32838</v>
      </c>
      <c r="H4385" t="s">
        <v>32850</v>
      </c>
      <c r="I4385" t="s">
        <v>32866</v>
      </c>
      <c r="J4385" t="s">
        <v>33771</v>
      </c>
      <c r="K4385" t="s">
        <v>42727</v>
      </c>
      <c r="M4385" t="s">
        <v>44887</v>
      </c>
      <c r="N4385" t="s">
        <v>47424</v>
      </c>
      <c r="O4385" t="s">
        <v>47425</v>
      </c>
      <c r="P4385">
        <v>0</v>
      </c>
      <c r="Q4385">
        <v>0</v>
      </c>
      <c r="R4385" t="s">
        <v>47430</v>
      </c>
      <c r="S4385" t="s">
        <v>47549</v>
      </c>
      <c r="T4385" t="s">
        <v>49385</v>
      </c>
      <c r="U4385" t="s">
        <v>53392</v>
      </c>
      <c r="W4385" t="s">
        <v>44887</v>
      </c>
      <c r="X4385" t="s">
        <v>47431</v>
      </c>
    </row>
    <row r="4386" spans="1:24">
      <c r="A4386">
        <f>HYPERLINK("https://www.philgeps.gov.ph/GEPSNONPILOT/Tender/SplashBidNoticeAbstractUI.aspx?menuIndex=3&amp;refID=7159257&amp;Result=3","7159257")</f>
        <v>0</v>
      </c>
      <c r="B4386" t="s">
        <v>247</v>
      </c>
      <c r="C4386" t="s">
        <v>8060</v>
      </c>
      <c r="D4386" t="s">
        <v>19026</v>
      </c>
      <c r="E4386" t="s">
        <v>23006</v>
      </c>
      <c r="F4386" t="s">
        <v>32831</v>
      </c>
      <c r="G4386" t="s">
        <v>32838</v>
      </c>
      <c r="H4386" t="s">
        <v>32848</v>
      </c>
      <c r="I4386" t="s">
        <v>5379</v>
      </c>
      <c r="J4386" t="s">
        <v>35833</v>
      </c>
      <c r="K4386" t="s">
        <v>42732</v>
      </c>
      <c r="M4386" t="s">
        <v>43246</v>
      </c>
      <c r="N4386" t="s">
        <v>47424</v>
      </c>
      <c r="O4386" t="s">
        <v>47425</v>
      </c>
      <c r="P4386">
        <v>0</v>
      </c>
      <c r="Q4386">
        <v>1</v>
      </c>
      <c r="R4386" t="s">
        <v>47430</v>
      </c>
      <c r="S4386" t="s">
        <v>47549</v>
      </c>
      <c r="T4386" t="s">
        <v>49166</v>
      </c>
      <c r="U4386" t="s">
        <v>53393</v>
      </c>
      <c r="W4386" t="s">
        <v>43246</v>
      </c>
      <c r="X4386" t="s">
        <v>47431</v>
      </c>
    </row>
    <row r="4387" spans="1:24">
      <c r="A4387">
        <f>HYPERLINK("https://www.philgeps.gov.ph/GEPSNONPILOT/Tender/SplashBidNoticeAbstractUI.aspx?menuIndex=3&amp;refID=7159235&amp;Result=3","7159235")</f>
        <v>0</v>
      </c>
      <c r="B4387" t="s">
        <v>1749</v>
      </c>
      <c r="C4387" t="s">
        <v>8061</v>
      </c>
      <c r="D4387" t="s">
        <v>19033</v>
      </c>
      <c r="E4387" t="s">
        <v>23007</v>
      </c>
      <c r="F4387" t="s">
        <v>32831</v>
      </c>
      <c r="G4387" t="s">
        <v>32839</v>
      </c>
      <c r="H4387" t="s">
        <v>32848</v>
      </c>
      <c r="I4387" t="s">
        <v>32932</v>
      </c>
      <c r="J4387" t="s">
        <v>32978</v>
      </c>
      <c r="K4387" t="s">
        <v>42730</v>
      </c>
      <c r="M4387" t="s">
        <v>44873</v>
      </c>
      <c r="N4387" t="s">
        <v>47424</v>
      </c>
      <c r="O4387" t="s">
        <v>47425</v>
      </c>
      <c r="P4387">
        <v>0</v>
      </c>
      <c r="Q4387">
        <v>2</v>
      </c>
      <c r="R4387" t="s">
        <v>47430</v>
      </c>
      <c r="S4387" t="s">
        <v>47549</v>
      </c>
      <c r="T4387" t="s">
        <v>49340</v>
      </c>
      <c r="U4387" t="s">
        <v>53394</v>
      </c>
      <c r="W4387" t="s">
        <v>44873</v>
      </c>
      <c r="X4387" t="s">
        <v>47431</v>
      </c>
    </row>
    <row r="4388" spans="1:24">
      <c r="A4388">
        <f>HYPERLINK("https://www.philgeps.gov.ph/GEPSNONPILOT/Tender/SplashBidNoticeAbstractUI.aspx?menuIndex=3&amp;refID=7159274&amp;Result=3","7159274")</f>
        <v>0</v>
      </c>
      <c r="B4388" t="s">
        <v>1741</v>
      </c>
      <c r="C4388" t="s">
        <v>8062</v>
      </c>
      <c r="D4388" t="s">
        <v>19023</v>
      </c>
      <c r="E4388" t="s">
        <v>23008</v>
      </c>
      <c r="F4388" t="s">
        <v>32831</v>
      </c>
      <c r="G4388" t="s">
        <v>32838</v>
      </c>
      <c r="H4388" t="s">
        <v>32849</v>
      </c>
      <c r="I4388" t="s">
        <v>4177</v>
      </c>
      <c r="J4388" t="s">
        <v>33133</v>
      </c>
      <c r="K4388" t="s">
        <v>42732</v>
      </c>
      <c r="M4388" t="s">
        <v>44864</v>
      </c>
      <c r="N4388" t="s">
        <v>47424</v>
      </c>
      <c r="O4388" t="s">
        <v>47425</v>
      </c>
      <c r="P4388">
        <v>0</v>
      </c>
      <c r="Q4388">
        <v>0</v>
      </c>
      <c r="R4388" t="s">
        <v>47430</v>
      </c>
      <c r="S4388" t="s">
        <v>47549</v>
      </c>
      <c r="T4388" t="s">
        <v>49214</v>
      </c>
      <c r="U4388" t="s">
        <v>53395</v>
      </c>
      <c r="W4388" t="s">
        <v>44864</v>
      </c>
      <c r="X4388" t="s">
        <v>47431</v>
      </c>
    </row>
    <row r="4389" spans="1:24">
      <c r="A4389">
        <f>HYPERLINK("https://www.philgeps.gov.ph/GEPSNONPILOT/Tender/SplashBidNoticeAbstractUI.aspx?menuIndex=3&amp;refID=7159270&amp;Result=3","7159270")</f>
        <v>0</v>
      </c>
      <c r="B4389" t="s">
        <v>1762</v>
      </c>
      <c r="C4389" t="s">
        <v>8063</v>
      </c>
      <c r="D4389" t="s">
        <v>19089</v>
      </c>
      <c r="E4389" t="s">
        <v>23009</v>
      </c>
      <c r="F4389" t="s">
        <v>32831</v>
      </c>
      <c r="G4389" t="s">
        <v>32839</v>
      </c>
      <c r="H4389" t="s">
        <v>32848</v>
      </c>
      <c r="I4389" t="s">
        <v>32892</v>
      </c>
      <c r="J4389" t="s">
        <v>35834</v>
      </c>
      <c r="K4389" t="s">
        <v>42731</v>
      </c>
      <c r="M4389" t="s">
        <v>44886</v>
      </c>
      <c r="N4389" t="s">
        <v>47424</v>
      </c>
      <c r="O4389" t="s">
        <v>47425</v>
      </c>
      <c r="P4389">
        <v>0</v>
      </c>
      <c r="Q4389">
        <v>1</v>
      </c>
      <c r="R4389" t="s">
        <v>47430</v>
      </c>
      <c r="S4389" t="s">
        <v>47549</v>
      </c>
      <c r="T4389" t="s">
        <v>49172</v>
      </c>
      <c r="U4389" t="s">
        <v>53396</v>
      </c>
      <c r="W4389" t="s">
        <v>44886</v>
      </c>
      <c r="X4389" t="s">
        <v>47431</v>
      </c>
    </row>
    <row r="4390" spans="1:24">
      <c r="A4390">
        <f>HYPERLINK("https://www.philgeps.gov.ph/GEPSNONPILOT/Tender/SplashBidNoticeAbstractUI.aspx?menuIndex=3&amp;refID=7159256&amp;Result=3","7159256")</f>
        <v>0</v>
      </c>
      <c r="B4390" t="s">
        <v>1054</v>
      </c>
      <c r="C4390" t="s">
        <v>8064</v>
      </c>
      <c r="E4390" t="s">
        <v>23010</v>
      </c>
      <c r="F4390" t="s">
        <v>32831</v>
      </c>
      <c r="G4390" t="s">
        <v>32838</v>
      </c>
      <c r="H4390" t="s">
        <v>32848</v>
      </c>
      <c r="I4390" t="s">
        <v>32851</v>
      </c>
      <c r="J4390" t="s">
        <v>35835</v>
      </c>
      <c r="K4390" t="s">
        <v>42732</v>
      </c>
      <c r="M4390" t="s">
        <v>44111</v>
      </c>
      <c r="N4390" t="s">
        <v>47424</v>
      </c>
      <c r="O4390" t="s">
        <v>47425</v>
      </c>
      <c r="P4390">
        <v>0</v>
      </c>
      <c r="Q4390">
        <v>8</v>
      </c>
      <c r="R4390" t="s">
        <v>47430</v>
      </c>
      <c r="S4390" t="s">
        <v>47549</v>
      </c>
      <c r="T4390" t="s">
        <v>49239</v>
      </c>
      <c r="U4390" t="s">
        <v>51626</v>
      </c>
      <c r="W4390" t="s">
        <v>44111</v>
      </c>
      <c r="X4390" t="s">
        <v>47431</v>
      </c>
    </row>
    <row r="4391" spans="1:24">
      <c r="A4391">
        <f>HYPERLINK("https://www.philgeps.gov.ph/GEPSNONPILOT/Tender/SplashBidNoticeAbstractUI.aspx?menuIndex=3&amp;refID=7159260&amp;Result=3","7159260")</f>
        <v>0</v>
      </c>
      <c r="B4391" t="s">
        <v>1765</v>
      </c>
      <c r="C4391" t="s">
        <v>8065</v>
      </c>
      <c r="E4391" t="s">
        <v>23011</v>
      </c>
      <c r="F4391" t="s">
        <v>32831</v>
      </c>
      <c r="G4391" t="s">
        <v>32839</v>
      </c>
      <c r="H4391" t="s">
        <v>32848</v>
      </c>
      <c r="I4391" t="s">
        <v>32860</v>
      </c>
      <c r="J4391" t="s">
        <v>35836</v>
      </c>
      <c r="K4391" t="s">
        <v>42732</v>
      </c>
      <c r="M4391" t="s">
        <v>44890</v>
      </c>
      <c r="N4391" t="s">
        <v>47424</v>
      </c>
      <c r="O4391" t="s">
        <v>47425</v>
      </c>
      <c r="P4391">
        <v>0</v>
      </c>
      <c r="Q4391">
        <v>0</v>
      </c>
      <c r="R4391" t="s">
        <v>47430</v>
      </c>
      <c r="S4391" t="s">
        <v>47549</v>
      </c>
      <c r="T4391" t="s">
        <v>49387</v>
      </c>
      <c r="U4391" t="s">
        <v>53397</v>
      </c>
      <c r="V4391" t="s">
        <v>63119</v>
      </c>
      <c r="W4391" t="s">
        <v>44890</v>
      </c>
      <c r="X4391" t="s">
        <v>47431</v>
      </c>
    </row>
    <row r="4392" spans="1:24">
      <c r="A4392">
        <f>HYPERLINK("https://www.philgeps.gov.ph/GEPSNONPILOT/Tender/SplashBidNoticeAbstractUI.aspx?menuIndex=3&amp;refID=7159237&amp;Result=3","7159237")</f>
        <v>0</v>
      </c>
      <c r="B4392" t="s">
        <v>1707</v>
      </c>
      <c r="C4392" t="s">
        <v>8066</v>
      </c>
      <c r="D4392" t="s">
        <v>19074</v>
      </c>
      <c r="E4392" t="s">
        <v>23012</v>
      </c>
      <c r="F4392" t="s">
        <v>32831</v>
      </c>
      <c r="G4392" t="s">
        <v>32839</v>
      </c>
      <c r="H4392" t="s">
        <v>32848</v>
      </c>
      <c r="I4392" t="s">
        <v>32856</v>
      </c>
      <c r="J4392" t="s">
        <v>33311</v>
      </c>
      <c r="K4392" t="s">
        <v>42745</v>
      </c>
      <c r="M4392" t="s">
        <v>44829</v>
      </c>
      <c r="N4392" t="s">
        <v>47424</v>
      </c>
      <c r="O4392" t="s">
        <v>47425</v>
      </c>
      <c r="P4392">
        <v>0</v>
      </c>
      <c r="Q4392">
        <v>1</v>
      </c>
      <c r="R4392" t="s">
        <v>47430</v>
      </c>
      <c r="S4392" t="s">
        <v>47549</v>
      </c>
      <c r="T4392" t="s">
        <v>49388</v>
      </c>
      <c r="U4392" t="s">
        <v>53398</v>
      </c>
      <c r="W4392" t="s">
        <v>44829</v>
      </c>
      <c r="X4392" t="s">
        <v>47431</v>
      </c>
    </row>
    <row r="4393" spans="1:24">
      <c r="A4393">
        <f>HYPERLINK("https://www.philgeps.gov.ph/GEPSNONPILOT/Tender/SplashBidNoticeAbstractUI.aspx?menuIndex=3&amp;refID=7159335&amp;Result=3","7159335")</f>
        <v>0</v>
      </c>
      <c r="B4393" t="s">
        <v>674</v>
      </c>
      <c r="C4393" t="s">
        <v>8067</v>
      </c>
      <c r="D4393" t="s">
        <v>19058</v>
      </c>
      <c r="E4393" t="s">
        <v>23013</v>
      </c>
      <c r="F4393" t="s">
        <v>32831</v>
      </c>
      <c r="G4393" t="s">
        <v>32838</v>
      </c>
      <c r="H4393" t="s">
        <v>32848</v>
      </c>
      <c r="I4393" t="s">
        <v>32856</v>
      </c>
      <c r="J4393" t="s">
        <v>33133</v>
      </c>
      <c r="K4393" t="s">
        <v>42732</v>
      </c>
      <c r="M4393" t="s">
        <v>44520</v>
      </c>
      <c r="N4393" t="s">
        <v>47424</v>
      </c>
      <c r="O4393" t="s">
        <v>47425</v>
      </c>
      <c r="P4393">
        <v>0</v>
      </c>
      <c r="Q4393">
        <v>0</v>
      </c>
      <c r="R4393" t="s">
        <v>47430</v>
      </c>
      <c r="S4393" t="s">
        <v>47549</v>
      </c>
      <c r="T4393" t="s">
        <v>49237</v>
      </c>
      <c r="U4393" t="s">
        <v>53399</v>
      </c>
      <c r="W4393" t="s">
        <v>44520</v>
      </c>
      <c r="X4393" t="s">
        <v>47431</v>
      </c>
    </row>
    <row r="4394" spans="1:24">
      <c r="A4394">
        <f>HYPERLINK("https://www.philgeps.gov.ph/GEPSNONPILOT/Tender/SplashBidNoticeAbstractUI.aspx?menuIndex=3&amp;refID=7159333&amp;Result=3","7159333")</f>
        <v>0</v>
      </c>
      <c r="B4394" t="s">
        <v>1766</v>
      </c>
      <c r="C4394" t="s">
        <v>8068</v>
      </c>
      <c r="D4394" t="s">
        <v>19062</v>
      </c>
      <c r="E4394" t="s">
        <v>20958</v>
      </c>
      <c r="F4394" t="s">
        <v>32831</v>
      </c>
      <c r="G4394" t="s">
        <v>32842</v>
      </c>
      <c r="H4394" t="s">
        <v>32848</v>
      </c>
      <c r="I4394" t="s">
        <v>32858</v>
      </c>
      <c r="J4394" t="s">
        <v>35837</v>
      </c>
      <c r="K4394" t="s">
        <v>42732</v>
      </c>
      <c r="M4394" t="s">
        <v>44891</v>
      </c>
      <c r="N4394" t="s">
        <v>47424</v>
      </c>
      <c r="O4394" t="s">
        <v>47425</v>
      </c>
      <c r="P4394">
        <v>0</v>
      </c>
      <c r="Q4394">
        <v>1</v>
      </c>
      <c r="R4394" t="s">
        <v>47430</v>
      </c>
      <c r="S4394" t="s">
        <v>47549</v>
      </c>
      <c r="T4394" t="s">
        <v>49111</v>
      </c>
      <c r="U4394" t="s">
        <v>53400</v>
      </c>
      <c r="W4394" t="s">
        <v>44891</v>
      </c>
      <c r="X4394" t="s">
        <v>47431</v>
      </c>
    </row>
    <row r="4395" spans="1:24">
      <c r="A4395">
        <f>HYPERLINK("https://www.philgeps.gov.ph/GEPSNONPILOT/Tender/SplashBidNoticeAbstractUI.aspx?menuIndex=3&amp;refID=7159233&amp;Result=3","7159233")</f>
        <v>0</v>
      </c>
      <c r="B4395" t="s">
        <v>674</v>
      </c>
      <c r="C4395" t="s">
        <v>8069</v>
      </c>
      <c r="D4395" t="s">
        <v>19058</v>
      </c>
      <c r="E4395" t="s">
        <v>23014</v>
      </c>
      <c r="F4395" t="s">
        <v>32831</v>
      </c>
      <c r="G4395" t="s">
        <v>32840</v>
      </c>
      <c r="H4395" t="s">
        <v>32848</v>
      </c>
      <c r="I4395" t="s">
        <v>7416</v>
      </c>
      <c r="J4395" t="s">
        <v>35838</v>
      </c>
      <c r="K4395" t="s">
        <v>42732</v>
      </c>
      <c r="M4395" t="s">
        <v>43693</v>
      </c>
      <c r="N4395" t="s">
        <v>47424</v>
      </c>
      <c r="O4395" t="s">
        <v>47425</v>
      </c>
      <c r="P4395">
        <v>0</v>
      </c>
      <c r="Q4395">
        <v>0</v>
      </c>
      <c r="R4395" t="s">
        <v>47430</v>
      </c>
      <c r="S4395" t="s">
        <v>47549</v>
      </c>
      <c r="T4395" t="s">
        <v>49237</v>
      </c>
      <c r="U4395" t="s">
        <v>53401</v>
      </c>
      <c r="W4395" t="s">
        <v>43693</v>
      </c>
      <c r="X4395" t="s">
        <v>47431</v>
      </c>
    </row>
    <row r="4396" spans="1:24">
      <c r="A4396">
        <f>HYPERLINK("https://www.philgeps.gov.ph/GEPSNONPILOT/Tender/SplashBidNoticeAbstractUI.aspx?menuIndex=3&amp;refID=7159329&amp;Result=3","7159329")</f>
        <v>0</v>
      </c>
      <c r="B4396" t="s">
        <v>1767</v>
      </c>
      <c r="C4396" t="s">
        <v>8070</v>
      </c>
      <c r="D4396" t="s">
        <v>19088</v>
      </c>
      <c r="E4396" t="s">
        <v>23015</v>
      </c>
      <c r="F4396" t="s">
        <v>32831</v>
      </c>
      <c r="G4396" t="s">
        <v>32840</v>
      </c>
      <c r="H4396" t="s">
        <v>32848</v>
      </c>
      <c r="I4396" t="s">
        <v>32855</v>
      </c>
      <c r="J4396" t="s">
        <v>35839</v>
      </c>
      <c r="K4396" t="s">
        <v>42731</v>
      </c>
      <c r="M4396" t="s">
        <v>44892</v>
      </c>
      <c r="N4396" t="s">
        <v>47424</v>
      </c>
      <c r="O4396" t="s">
        <v>47425</v>
      </c>
      <c r="P4396">
        <v>0</v>
      </c>
      <c r="Q4396">
        <v>9</v>
      </c>
      <c r="R4396" t="s">
        <v>47430</v>
      </c>
      <c r="S4396" t="s">
        <v>47549</v>
      </c>
      <c r="T4396" t="s">
        <v>49100</v>
      </c>
      <c r="U4396" t="s">
        <v>53402</v>
      </c>
      <c r="V4396" t="s">
        <v>63120</v>
      </c>
      <c r="W4396" t="s">
        <v>44892</v>
      </c>
      <c r="X4396" t="s">
        <v>47431</v>
      </c>
    </row>
    <row r="4397" spans="1:24">
      <c r="A4397">
        <f>HYPERLINK("https://www.philgeps.gov.ph/GEPSNONPILOT/Tender/SplashBidNoticeAbstractUI.aspx?menuIndex=3&amp;refID=7159327&amp;Result=3","7159327")</f>
        <v>0</v>
      </c>
      <c r="B4397" t="s">
        <v>1768</v>
      </c>
      <c r="C4397" t="s">
        <v>8071</v>
      </c>
      <c r="D4397" t="s">
        <v>19058</v>
      </c>
      <c r="E4397" t="s">
        <v>23016</v>
      </c>
      <c r="F4397" t="s">
        <v>32831</v>
      </c>
      <c r="G4397" t="s">
        <v>32839</v>
      </c>
      <c r="H4397" t="s">
        <v>32848</v>
      </c>
      <c r="I4397" t="s">
        <v>32855</v>
      </c>
      <c r="J4397" t="s">
        <v>35840</v>
      </c>
      <c r="K4397" t="s">
        <v>42730</v>
      </c>
      <c r="M4397" t="s">
        <v>44893</v>
      </c>
      <c r="N4397" t="s">
        <v>47424</v>
      </c>
      <c r="O4397" t="s">
        <v>47425</v>
      </c>
      <c r="P4397">
        <v>0</v>
      </c>
      <c r="Q4397">
        <v>0</v>
      </c>
      <c r="R4397" t="s">
        <v>47430</v>
      </c>
      <c r="S4397" t="s">
        <v>47549</v>
      </c>
      <c r="T4397" t="s">
        <v>49236</v>
      </c>
      <c r="U4397" t="s">
        <v>53403</v>
      </c>
      <c r="W4397" t="s">
        <v>44893</v>
      </c>
      <c r="X4397" t="s">
        <v>47431</v>
      </c>
    </row>
    <row r="4398" spans="1:24">
      <c r="A4398">
        <f>HYPERLINK("https://www.philgeps.gov.ph/GEPSNONPILOT/Tender/SplashBidNoticeAbstractUI.aspx?menuIndex=3&amp;refID=7159230&amp;Result=3","7159230")</f>
        <v>0</v>
      </c>
      <c r="B4398" t="s">
        <v>172</v>
      </c>
      <c r="C4398" t="s">
        <v>8072</v>
      </c>
      <c r="D4398" t="s">
        <v>19022</v>
      </c>
      <c r="E4398" t="s">
        <v>23017</v>
      </c>
      <c r="F4398" t="s">
        <v>32831</v>
      </c>
      <c r="G4398" t="s">
        <v>32838</v>
      </c>
      <c r="H4398" t="s">
        <v>32848</v>
      </c>
      <c r="I4398" t="s">
        <v>4558</v>
      </c>
      <c r="J4398" t="s">
        <v>35841</v>
      </c>
      <c r="K4398" t="s">
        <v>42726</v>
      </c>
      <c r="M4398" t="s">
        <v>43169</v>
      </c>
      <c r="N4398" t="s">
        <v>47424</v>
      </c>
      <c r="O4398" t="s">
        <v>47425</v>
      </c>
      <c r="P4398">
        <v>0</v>
      </c>
      <c r="Q4398">
        <v>4</v>
      </c>
      <c r="R4398" t="s">
        <v>47430</v>
      </c>
      <c r="S4398" t="s">
        <v>47549</v>
      </c>
      <c r="T4398" t="s">
        <v>49114</v>
      </c>
      <c r="U4398" t="s">
        <v>53367</v>
      </c>
      <c r="V4398" t="s">
        <v>63113</v>
      </c>
      <c r="W4398" t="s">
        <v>43169</v>
      </c>
      <c r="X4398" t="s">
        <v>47431</v>
      </c>
    </row>
    <row r="4399" spans="1:24">
      <c r="A4399">
        <f>HYPERLINK("https://www.philgeps.gov.ph/GEPSNONPILOT/Tender/SplashBidNoticeAbstractUI.aspx?menuIndex=3&amp;refID=7159325&amp;Result=3","7159325")</f>
        <v>0</v>
      </c>
      <c r="B4399" t="s">
        <v>345</v>
      </c>
      <c r="C4399" t="s">
        <v>8073</v>
      </c>
      <c r="D4399" t="s">
        <v>19074</v>
      </c>
      <c r="E4399" t="s">
        <v>23018</v>
      </c>
      <c r="F4399" t="s">
        <v>32831</v>
      </c>
      <c r="G4399" t="s">
        <v>32838</v>
      </c>
      <c r="H4399" t="s">
        <v>32850</v>
      </c>
      <c r="I4399" t="s">
        <v>4776</v>
      </c>
      <c r="J4399" t="s">
        <v>35367</v>
      </c>
      <c r="K4399" t="s">
        <v>42731</v>
      </c>
      <c r="M4399" t="s">
        <v>44082</v>
      </c>
      <c r="N4399" t="s">
        <v>47424</v>
      </c>
      <c r="O4399" t="s">
        <v>47425</v>
      </c>
      <c r="P4399">
        <v>0</v>
      </c>
      <c r="Q4399">
        <v>0</v>
      </c>
      <c r="R4399" t="s">
        <v>47430</v>
      </c>
      <c r="S4399" t="s">
        <v>47549</v>
      </c>
      <c r="T4399" t="s">
        <v>49119</v>
      </c>
      <c r="U4399" t="s">
        <v>53404</v>
      </c>
      <c r="W4399" t="s">
        <v>44082</v>
      </c>
      <c r="X4399" t="s">
        <v>47431</v>
      </c>
    </row>
    <row r="4400" spans="1:24">
      <c r="A4400">
        <f>HYPERLINK("https://www.philgeps.gov.ph/GEPSNONPILOT/Tender/SplashBidNoticeAbstractUI.aspx?menuIndex=3&amp;refID=7159234&amp;Result=3","7159234")</f>
        <v>0</v>
      </c>
      <c r="B4400" t="s">
        <v>1769</v>
      </c>
      <c r="C4400" t="s">
        <v>8074</v>
      </c>
      <c r="D4400" t="s">
        <v>19035</v>
      </c>
      <c r="E4400" t="s">
        <v>23019</v>
      </c>
      <c r="F4400" t="s">
        <v>32831</v>
      </c>
      <c r="G4400" t="s">
        <v>32838</v>
      </c>
      <c r="H4400" t="s">
        <v>32849</v>
      </c>
      <c r="I4400" t="s">
        <v>4177</v>
      </c>
      <c r="J4400" t="s">
        <v>33218</v>
      </c>
      <c r="K4400" t="s">
        <v>42779</v>
      </c>
      <c r="M4400" t="s">
        <v>44894</v>
      </c>
      <c r="N4400" t="s">
        <v>47424</v>
      </c>
      <c r="O4400" t="s">
        <v>47425</v>
      </c>
      <c r="P4400">
        <v>0</v>
      </c>
      <c r="Q4400">
        <v>0</v>
      </c>
      <c r="R4400" t="s">
        <v>47430</v>
      </c>
      <c r="S4400" t="s">
        <v>47549</v>
      </c>
      <c r="T4400" t="s">
        <v>49330</v>
      </c>
      <c r="U4400" t="s">
        <v>53405</v>
      </c>
      <c r="V4400" t="s">
        <v>63121</v>
      </c>
      <c r="W4400" t="s">
        <v>44894</v>
      </c>
      <c r="X4400" t="s">
        <v>47431</v>
      </c>
    </row>
    <row r="4401" spans="1:24">
      <c r="A4401">
        <f>HYPERLINK("https://www.philgeps.gov.ph/GEPSNONPILOT/Tender/SplashBidNoticeAbstractUI.aspx?menuIndex=3&amp;refID=7159323&amp;Result=3","7159323")</f>
        <v>0</v>
      </c>
      <c r="B4401" t="s">
        <v>1728</v>
      </c>
      <c r="C4401" t="s">
        <v>8075</v>
      </c>
      <c r="D4401" t="s">
        <v>19058</v>
      </c>
      <c r="E4401" t="s">
        <v>23020</v>
      </c>
      <c r="F4401" t="s">
        <v>32831</v>
      </c>
      <c r="G4401" t="s">
        <v>32839</v>
      </c>
      <c r="H4401" t="s">
        <v>32848</v>
      </c>
      <c r="I4401" t="s">
        <v>4558</v>
      </c>
      <c r="J4401" t="s">
        <v>33279</v>
      </c>
      <c r="K4401" t="s">
        <v>42727</v>
      </c>
      <c r="M4401" t="s">
        <v>44851</v>
      </c>
      <c r="N4401" t="s">
        <v>47424</v>
      </c>
      <c r="O4401" t="s">
        <v>47425</v>
      </c>
      <c r="P4401">
        <v>0</v>
      </c>
      <c r="Q4401">
        <v>4</v>
      </c>
      <c r="R4401" t="s">
        <v>47430</v>
      </c>
      <c r="S4401" t="s">
        <v>47549</v>
      </c>
      <c r="T4401" t="s">
        <v>49123</v>
      </c>
      <c r="U4401" t="s">
        <v>53325</v>
      </c>
      <c r="W4401" t="s">
        <v>44851</v>
      </c>
      <c r="X4401" t="s">
        <v>47431</v>
      </c>
    </row>
    <row r="4402" spans="1:24">
      <c r="A4402">
        <f>HYPERLINK("https://www.philgeps.gov.ph/GEPSNONPILOT/Tender/SplashBidNoticeAbstractUI.aspx?menuIndex=3&amp;refID=7159321&amp;Result=3","7159321")</f>
        <v>0</v>
      </c>
      <c r="B4402" t="s">
        <v>172</v>
      </c>
      <c r="C4402" t="s">
        <v>8076</v>
      </c>
      <c r="D4402" t="s">
        <v>19022</v>
      </c>
      <c r="E4402" t="s">
        <v>23021</v>
      </c>
      <c r="F4402" t="s">
        <v>32831</v>
      </c>
      <c r="G4402" t="s">
        <v>32838</v>
      </c>
      <c r="H4402" t="s">
        <v>32848</v>
      </c>
      <c r="I4402" t="s">
        <v>4558</v>
      </c>
      <c r="J4402" t="s">
        <v>35842</v>
      </c>
      <c r="K4402" t="s">
        <v>42726</v>
      </c>
      <c r="M4402" t="s">
        <v>43169</v>
      </c>
      <c r="N4402" t="s">
        <v>47424</v>
      </c>
      <c r="O4402" t="s">
        <v>47425</v>
      </c>
      <c r="P4402">
        <v>0</v>
      </c>
      <c r="Q4402">
        <v>2</v>
      </c>
      <c r="R4402" t="s">
        <v>47430</v>
      </c>
      <c r="S4402" t="s">
        <v>47549</v>
      </c>
      <c r="T4402" t="s">
        <v>49141</v>
      </c>
      <c r="U4402" t="s">
        <v>53367</v>
      </c>
      <c r="V4402" t="s">
        <v>63113</v>
      </c>
      <c r="W4402" t="s">
        <v>43169</v>
      </c>
      <c r="X4402" t="s">
        <v>47431</v>
      </c>
    </row>
    <row r="4403" spans="1:24">
      <c r="A4403">
        <f>HYPERLINK("https://www.philgeps.gov.ph/GEPSNONPILOT/Tender/SplashBidNoticeAbstractUI.aspx?menuIndex=3&amp;refID=7159231&amp;Result=3","7159231")</f>
        <v>0</v>
      </c>
      <c r="B4403" t="s">
        <v>1691</v>
      </c>
      <c r="C4403" t="s">
        <v>8077</v>
      </c>
      <c r="D4403" t="s">
        <v>19082</v>
      </c>
      <c r="E4403" t="s">
        <v>23022</v>
      </c>
      <c r="F4403" t="s">
        <v>32831</v>
      </c>
      <c r="G4403" t="s">
        <v>32839</v>
      </c>
      <c r="H4403" t="s">
        <v>32849</v>
      </c>
      <c r="I4403" t="s">
        <v>32913</v>
      </c>
      <c r="J4403" t="s">
        <v>33044</v>
      </c>
      <c r="K4403" t="s">
        <v>42746</v>
      </c>
      <c r="M4403" t="s">
        <v>44811</v>
      </c>
      <c r="N4403" t="s">
        <v>47424</v>
      </c>
      <c r="O4403" t="s">
        <v>47425</v>
      </c>
      <c r="P4403">
        <v>0</v>
      </c>
      <c r="Q4403">
        <v>0</v>
      </c>
      <c r="R4403" t="s">
        <v>47430</v>
      </c>
      <c r="S4403" t="s">
        <v>47549</v>
      </c>
      <c r="T4403" t="s">
        <v>49216</v>
      </c>
      <c r="U4403" t="s">
        <v>53406</v>
      </c>
      <c r="W4403" t="s">
        <v>44811</v>
      </c>
      <c r="X4403" t="s">
        <v>47431</v>
      </c>
    </row>
    <row r="4404" spans="1:24">
      <c r="A4404">
        <f>HYPERLINK("https://www.philgeps.gov.ph/GEPSNONPILOT/Tender/SplashBidNoticeAbstractUI.aspx?menuIndex=3&amp;refID=7159320&amp;Result=3","7159320")</f>
        <v>0</v>
      </c>
      <c r="B4404" t="s">
        <v>1770</v>
      </c>
      <c r="C4404" t="s">
        <v>8078</v>
      </c>
      <c r="D4404" t="s">
        <v>19058</v>
      </c>
      <c r="E4404" t="s">
        <v>23023</v>
      </c>
      <c r="F4404" t="s">
        <v>32831</v>
      </c>
      <c r="G4404" t="s">
        <v>32840</v>
      </c>
      <c r="H4404" t="s">
        <v>32848</v>
      </c>
      <c r="I4404" t="s">
        <v>7416</v>
      </c>
      <c r="J4404" t="s">
        <v>35843</v>
      </c>
      <c r="K4404" t="s">
        <v>42726</v>
      </c>
      <c r="M4404" t="s">
        <v>44895</v>
      </c>
      <c r="N4404" t="s">
        <v>47424</v>
      </c>
      <c r="O4404" t="s">
        <v>47425</v>
      </c>
      <c r="P4404">
        <v>0</v>
      </c>
      <c r="Q4404">
        <v>0</v>
      </c>
      <c r="R4404" t="s">
        <v>47430</v>
      </c>
      <c r="S4404" t="s">
        <v>47549</v>
      </c>
      <c r="T4404" t="s">
        <v>49080</v>
      </c>
      <c r="U4404" t="s">
        <v>53407</v>
      </c>
      <c r="W4404" t="s">
        <v>44895</v>
      </c>
      <c r="X4404" t="s">
        <v>47431</v>
      </c>
    </row>
    <row r="4405" spans="1:24">
      <c r="A4405">
        <f>HYPERLINK("https://www.philgeps.gov.ph/GEPSNONPILOT/Tender/SplashBidNoticeAbstractUI.aspx?menuIndex=3&amp;refID=7159318&amp;Result=3","7159318")</f>
        <v>0</v>
      </c>
      <c r="B4405" t="s">
        <v>609</v>
      </c>
      <c r="C4405" t="s">
        <v>8079</v>
      </c>
      <c r="D4405" t="s">
        <v>19017</v>
      </c>
      <c r="E4405" t="s">
        <v>23024</v>
      </c>
      <c r="F4405" t="s">
        <v>32831</v>
      </c>
      <c r="G4405" t="s">
        <v>32840</v>
      </c>
      <c r="H4405" t="s">
        <v>32848</v>
      </c>
      <c r="I4405" t="s">
        <v>32857</v>
      </c>
      <c r="J4405" t="s">
        <v>33039</v>
      </c>
      <c r="K4405" t="s">
        <v>42732</v>
      </c>
      <c r="M4405" t="s">
        <v>43623</v>
      </c>
      <c r="N4405" t="s">
        <v>47424</v>
      </c>
      <c r="O4405" t="s">
        <v>47425</v>
      </c>
      <c r="P4405">
        <v>0</v>
      </c>
      <c r="Q4405">
        <v>2</v>
      </c>
      <c r="R4405" t="s">
        <v>47430</v>
      </c>
      <c r="S4405" t="s">
        <v>47549</v>
      </c>
      <c r="T4405" t="s">
        <v>49107</v>
      </c>
      <c r="U4405" t="s">
        <v>53408</v>
      </c>
      <c r="W4405" t="s">
        <v>43623</v>
      </c>
      <c r="X4405" t="s">
        <v>47431</v>
      </c>
    </row>
    <row r="4406" spans="1:24">
      <c r="A4406">
        <f>HYPERLINK("https://www.philgeps.gov.ph/GEPSNONPILOT/Tender/SplashBidNoticeAbstractUI.aspx?menuIndex=3&amp;refID=7159328&amp;Result=3","7159328")</f>
        <v>0</v>
      </c>
      <c r="B4406" t="s">
        <v>669</v>
      </c>
      <c r="C4406" t="s">
        <v>8080</v>
      </c>
      <c r="D4406" t="s">
        <v>19022</v>
      </c>
      <c r="E4406" t="s">
        <v>23025</v>
      </c>
      <c r="F4406" t="s">
        <v>32831</v>
      </c>
      <c r="G4406" t="s">
        <v>32838</v>
      </c>
      <c r="H4406" t="s">
        <v>32848</v>
      </c>
      <c r="I4406" t="s">
        <v>5379</v>
      </c>
      <c r="J4406" t="s">
        <v>33077</v>
      </c>
      <c r="K4406" t="s">
        <v>42726</v>
      </c>
      <c r="M4406" t="s">
        <v>43688</v>
      </c>
      <c r="N4406" t="s">
        <v>47424</v>
      </c>
      <c r="O4406" t="s">
        <v>47425</v>
      </c>
      <c r="P4406">
        <v>0</v>
      </c>
      <c r="Q4406">
        <v>1</v>
      </c>
      <c r="R4406" t="s">
        <v>47430</v>
      </c>
      <c r="S4406" t="s">
        <v>47549</v>
      </c>
      <c r="T4406" t="s">
        <v>49302</v>
      </c>
      <c r="U4406" t="s">
        <v>53409</v>
      </c>
      <c r="W4406" t="s">
        <v>43688</v>
      </c>
      <c r="X4406" t="s">
        <v>47431</v>
      </c>
    </row>
    <row r="4407" spans="1:24">
      <c r="A4407">
        <f>HYPERLINK("https://www.philgeps.gov.ph/GEPSNONPILOT/Tender/SplashBidNoticeAbstractUI.aspx?menuIndex=3&amp;refID=7159314&amp;Result=3","7159314")</f>
        <v>0</v>
      </c>
      <c r="B4407" t="s">
        <v>1755</v>
      </c>
      <c r="C4407" t="s">
        <v>8081</v>
      </c>
      <c r="D4407" t="s">
        <v>19027</v>
      </c>
      <c r="E4407" t="s">
        <v>23026</v>
      </c>
      <c r="F4407" t="s">
        <v>32831</v>
      </c>
      <c r="G4407" t="s">
        <v>32838</v>
      </c>
      <c r="H4407" t="s">
        <v>32848</v>
      </c>
      <c r="I4407" t="s">
        <v>9577</v>
      </c>
      <c r="J4407" t="s">
        <v>35844</v>
      </c>
      <c r="K4407" t="s">
        <v>42759</v>
      </c>
      <c r="M4407" t="s">
        <v>44879</v>
      </c>
      <c r="N4407" t="s">
        <v>47424</v>
      </c>
      <c r="O4407" t="s">
        <v>47425</v>
      </c>
      <c r="P4407">
        <v>0</v>
      </c>
      <c r="Q4407">
        <v>1</v>
      </c>
      <c r="R4407" t="s">
        <v>47430</v>
      </c>
      <c r="S4407" t="s">
        <v>47549</v>
      </c>
      <c r="T4407" t="s">
        <v>49214</v>
      </c>
      <c r="U4407" t="s">
        <v>53410</v>
      </c>
      <c r="W4407" t="s">
        <v>44879</v>
      </c>
      <c r="X4407" t="s">
        <v>47431</v>
      </c>
    </row>
    <row r="4408" spans="1:24">
      <c r="A4408">
        <f>HYPERLINK("https://www.philgeps.gov.ph/GEPSNONPILOT/Tender/SplashBidNoticeAbstractUI.aspx?menuIndex=3&amp;refID=7159312&amp;Result=3","7159312")</f>
        <v>0</v>
      </c>
      <c r="B4408" t="s">
        <v>1771</v>
      </c>
      <c r="C4408" t="s">
        <v>8082</v>
      </c>
      <c r="D4408" t="s">
        <v>19021</v>
      </c>
      <c r="E4408" t="s">
        <v>19203</v>
      </c>
      <c r="F4408" t="s">
        <v>32831</v>
      </c>
      <c r="G4408" t="s">
        <v>32839</v>
      </c>
      <c r="H4408" t="s">
        <v>32849</v>
      </c>
      <c r="I4408" t="s">
        <v>4177</v>
      </c>
      <c r="J4408" t="s">
        <v>35845</v>
      </c>
      <c r="K4408" t="s">
        <v>42757</v>
      </c>
      <c r="M4408" t="s">
        <v>44896</v>
      </c>
      <c r="N4408" t="s">
        <v>47424</v>
      </c>
      <c r="O4408" t="s">
        <v>47425</v>
      </c>
      <c r="P4408">
        <v>0</v>
      </c>
      <c r="Q4408">
        <v>0</v>
      </c>
      <c r="R4408" t="s">
        <v>47430</v>
      </c>
      <c r="S4408" t="s">
        <v>47549</v>
      </c>
      <c r="T4408" t="s">
        <v>49119</v>
      </c>
      <c r="U4408" t="s">
        <v>53411</v>
      </c>
      <c r="W4408" t="s">
        <v>44896</v>
      </c>
      <c r="X4408" t="s">
        <v>47431</v>
      </c>
    </row>
    <row r="4409" spans="1:24">
      <c r="A4409">
        <f>HYPERLINK("https://www.philgeps.gov.ph/GEPSNONPILOT/Tender/SplashBidNoticeAbstractUI.aspx?menuIndex=3&amp;refID=7159309&amp;Result=3","7159309")</f>
        <v>0</v>
      </c>
      <c r="B4409" t="s">
        <v>674</v>
      </c>
      <c r="C4409" t="s">
        <v>8083</v>
      </c>
      <c r="D4409" t="s">
        <v>19058</v>
      </c>
      <c r="E4409" t="s">
        <v>23027</v>
      </c>
      <c r="F4409" t="s">
        <v>32831</v>
      </c>
      <c r="G4409" t="s">
        <v>32838</v>
      </c>
      <c r="H4409" t="s">
        <v>32848</v>
      </c>
      <c r="I4409" t="s">
        <v>32856</v>
      </c>
      <c r="J4409" t="s">
        <v>33600</v>
      </c>
      <c r="K4409" t="s">
        <v>42732</v>
      </c>
      <c r="M4409" t="s">
        <v>44520</v>
      </c>
      <c r="N4409" t="s">
        <v>47424</v>
      </c>
      <c r="O4409" t="s">
        <v>47425</v>
      </c>
      <c r="P4409">
        <v>0</v>
      </c>
      <c r="Q4409">
        <v>1</v>
      </c>
      <c r="R4409" t="s">
        <v>47430</v>
      </c>
      <c r="S4409" t="s">
        <v>47549</v>
      </c>
      <c r="T4409" t="s">
        <v>49237</v>
      </c>
      <c r="U4409" t="s">
        <v>53412</v>
      </c>
      <c r="W4409" t="s">
        <v>44520</v>
      </c>
      <c r="X4409" t="s">
        <v>47431</v>
      </c>
    </row>
    <row r="4410" spans="1:24">
      <c r="A4410">
        <f>HYPERLINK("https://www.philgeps.gov.ph/GEPSNONPILOT/Tender/SplashBidNoticeAbstractUI.aspx?menuIndex=3&amp;refID=7159324&amp;Result=3","7159324")</f>
        <v>0</v>
      </c>
      <c r="B4410" t="s">
        <v>674</v>
      </c>
      <c r="C4410" t="s">
        <v>8084</v>
      </c>
      <c r="D4410" t="s">
        <v>19058</v>
      </c>
      <c r="E4410" t="s">
        <v>23028</v>
      </c>
      <c r="F4410" t="s">
        <v>32831</v>
      </c>
      <c r="G4410" t="s">
        <v>32838</v>
      </c>
      <c r="H4410" t="s">
        <v>32848</v>
      </c>
      <c r="I4410" t="s">
        <v>32856</v>
      </c>
      <c r="J4410" t="s">
        <v>34940</v>
      </c>
      <c r="K4410" t="s">
        <v>42732</v>
      </c>
      <c r="M4410" t="s">
        <v>44520</v>
      </c>
      <c r="N4410" t="s">
        <v>47424</v>
      </c>
      <c r="O4410" t="s">
        <v>47425</v>
      </c>
      <c r="P4410">
        <v>0</v>
      </c>
      <c r="Q4410">
        <v>0</v>
      </c>
      <c r="R4410" t="s">
        <v>47430</v>
      </c>
      <c r="S4410" t="s">
        <v>47549</v>
      </c>
      <c r="T4410" t="s">
        <v>49237</v>
      </c>
      <c r="U4410" t="s">
        <v>53413</v>
      </c>
      <c r="W4410" t="s">
        <v>44520</v>
      </c>
      <c r="X4410" t="s">
        <v>47431</v>
      </c>
    </row>
    <row r="4411" spans="1:24">
      <c r="A4411">
        <f>HYPERLINK("https://www.philgeps.gov.ph/GEPSNONPILOT/Tender/SplashBidNoticeAbstractUI.aspx?menuIndex=3&amp;refID=7159308&amp;Result=3","7159308")</f>
        <v>0</v>
      </c>
      <c r="B4411" t="s">
        <v>1727</v>
      </c>
      <c r="C4411" t="s">
        <v>8085</v>
      </c>
      <c r="D4411" t="s">
        <v>19037</v>
      </c>
      <c r="E4411" t="s">
        <v>23029</v>
      </c>
      <c r="F4411" t="s">
        <v>32831</v>
      </c>
      <c r="G4411" t="s">
        <v>32838</v>
      </c>
      <c r="H4411" t="s">
        <v>32848</v>
      </c>
      <c r="I4411" t="s">
        <v>4558</v>
      </c>
      <c r="J4411" t="s">
        <v>35846</v>
      </c>
      <c r="K4411" t="s">
        <v>42727</v>
      </c>
      <c r="M4411" t="s">
        <v>44850</v>
      </c>
      <c r="N4411" t="s">
        <v>47424</v>
      </c>
      <c r="O4411" t="s">
        <v>47425</v>
      </c>
      <c r="P4411">
        <v>0</v>
      </c>
      <c r="Q4411">
        <v>1</v>
      </c>
      <c r="R4411" t="s">
        <v>47430</v>
      </c>
      <c r="S4411" t="s">
        <v>47549</v>
      </c>
      <c r="T4411" t="s">
        <v>49100</v>
      </c>
      <c r="U4411" t="s">
        <v>53414</v>
      </c>
      <c r="V4411" t="s">
        <v>63099</v>
      </c>
      <c r="W4411" t="s">
        <v>44850</v>
      </c>
      <c r="X4411" t="s">
        <v>47431</v>
      </c>
    </row>
    <row r="4412" spans="1:24">
      <c r="A4412">
        <f>HYPERLINK("https://www.philgeps.gov.ph/GEPSNONPILOT/Tender/SplashBidNoticeAbstractUI.aspx?menuIndex=3&amp;refID=7159226&amp;Result=3","7159226")</f>
        <v>0</v>
      </c>
      <c r="B4412" t="s">
        <v>231</v>
      </c>
      <c r="C4412" t="s">
        <v>8086</v>
      </c>
      <c r="D4412" t="s">
        <v>19039</v>
      </c>
      <c r="E4412" t="s">
        <v>23030</v>
      </c>
      <c r="F4412" t="s">
        <v>32831</v>
      </c>
      <c r="G4412" t="s">
        <v>32839</v>
      </c>
      <c r="H4412" t="s">
        <v>32848</v>
      </c>
      <c r="I4412" t="s">
        <v>32855</v>
      </c>
      <c r="J4412" t="s">
        <v>33279</v>
      </c>
      <c r="K4412" t="s">
        <v>42747</v>
      </c>
      <c r="M4412" t="s">
        <v>43230</v>
      </c>
      <c r="N4412" t="s">
        <v>47424</v>
      </c>
      <c r="O4412" t="s">
        <v>47425</v>
      </c>
      <c r="P4412">
        <v>0</v>
      </c>
      <c r="Q4412">
        <v>0</v>
      </c>
      <c r="R4412" t="s">
        <v>47430</v>
      </c>
      <c r="S4412" t="s">
        <v>47549</v>
      </c>
      <c r="T4412" t="s">
        <v>49073</v>
      </c>
      <c r="U4412" t="s">
        <v>53415</v>
      </c>
      <c r="W4412" t="s">
        <v>43230</v>
      </c>
      <c r="X4412" t="s">
        <v>47431</v>
      </c>
    </row>
    <row r="4413" spans="1:24">
      <c r="A4413">
        <f>HYPERLINK("https://www.philgeps.gov.ph/GEPSNONPILOT/Tender/SplashBidNoticeAbstractUI.aspx?menuIndex=3&amp;refID=7159315&amp;Result=3","7159315")</f>
        <v>0</v>
      </c>
      <c r="B4413" t="s">
        <v>1720</v>
      </c>
      <c r="C4413" t="s">
        <v>8087</v>
      </c>
      <c r="D4413" t="s">
        <v>19034</v>
      </c>
      <c r="E4413" t="s">
        <v>23031</v>
      </c>
      <c r="F4413" t="s">
        <v>32831</v>
      </c>
      <c r="G4413" t="s">
        <v>32839</v>
      </c>
      <c r="H4413" t="s">
        <v>32849</v>
      </c>
      <c r="I4413" t="s">
        <v>4177</v>
      </c>
      <c r="J4413" t="s">
        <v>35847</v>
      </c>
      <c r="K4413" t="s">
        <v>42747</v>
      </c>
      <c r="M4413" t="s">
        <v>44843</v>
      </c>
      <c r="N4413" t="s">
        <v>47424</v>
      </c>
      <c r="O4413" t="s">
        <v>47425</v>
      </c>
      <c r="P4413">
        <v>0</v>
      </c>
      <c r="Q4413">
        <v>0</v>
      </c>
      <c r="R4413" t="s">
        <v>47430</v>
      </c>
      <c r="S4413" t="s">
        <v>47549</v>
      </c>
      <c r="T4413" t="s">
        <v>49209</v>
      </c>
      <c r="U4413" t="s">
        <v>53416</v>
      </c>
      <c r="W4413" t="s">
        <v>44843</v>
      </c>
      <c r="X4413" t="s">
        <v>47431</v>
      </c>
    </row>
    <row r="4414" spans="1:24">
      <c r="A4414">
        <f>HYPERLINK("https://www.philgeps.gov.ph/GEPSNONPILOT/Tender/SplashBidNoticeAbstractUI.aspx?menuIndex=3&amp;refID=7159198&amp;Result=3","7159198")</f>
        <v>0</v>
      </c>
      <c r="B4414" t="s">
        <v>1692</v>
      </c>
      <c r="C4414" t="s">
        <v>8088</v>
      </c>
      <c r="D4414" t="s">
        <v>19027</v>
      </c>
      <c r="E4414" t="s">
        <v>23032</v>
      </c>
      <c r="F4414" t="s">
        <v>32831</v>
      </c>
      <c r="G4414" t="s">
        <v>32838</v>
      </c>
      <c r="H4414" t="s">
        <v>32848</v>
      </c>
      <c r="I4414" t="s">
        <v>32866</v>
      </c>
      <c r="J4414" t="s">
        <v>33366</v>
      </c>
      <c r="K4414" t="s">
        <v>42731</v>
      </c>
      <c r="M4414" t="s">
        <v>44812</v>
      </c>
      <c r="N4414" t="s">
        <v>47424</v>
      </c>
      <c r="O4414" t="s">
        <v>47425</v>
      </c>
      <c r="P4414">
        <v>0</v>
      </c>
      <c r="Q4414">
        <v>0</v>
      </c>
      <c r="R4414" t="s">
        <v>47430</v>
      </c>
      <c r="S4414" t="s">
        <v>47549</v>
      </c>
      <c r="T4414" t="s">
        <v>49379</v>
      </c>
      <c r="U4414" t="s">
        <v>53417</v>
      </c>
      <c r="W4414" t="s">
        <v>44812</v>
      </c>
      <c r="X4414" t="s">
        <v>47431</v>
      </c>
    </row>
    <row r="4415" spans="1:24">
      <c r="A4415">
        <f>HYPERLINK("https://www.philgeps.gov.ph/GEPSNONPILOT/Tender/SplashBidNoticeAbstractUI.aspx?menuIndex=3&amp;refID=7159310&amp;Result=3","7159310")</f>
        <v>0</v>
      </c>
      <c r="B4415" t="s">
        <v>1772</v>
      </c>
      <c r="C4415" t="s">
        <v>8089</v>
      </c>
      <c r="D4415" t="s">
        <v>19027</v>
      </c>
      <c r="E4415" t="s">
        <v>23033</v>
      </c>
      <c r="F4415" t="s">
        <v>32831</v>
      </c>
      <c r="G4415" t="s">
        <v>32838</v>
      </c>
      <c r="H4415" t="s">
        <v>32848</v>
      </c>
      <c r="I4415" t="s">
        <v>9577</v>
      </c>
      <c r="J4415" t="s">
        <v>35848</v>
      </c>
      <c r="K4415" t="s">
        <v>42731</v>
      </c>
      <c r="M4415" t="s">
        <v>44897</v>
      </c>
      <c r="N4415" t="s">
        <v>47424</v>
      </c>
      <c r="O4415" t="s">
        <v>47425</v>
      </c>
      <c r="P4415">
        <v>0</v>
      </c>
      <c r="Q4415">
        <v>2</v>
      </c>
      <c r="R4415" t="s">
        <v>47430</v>
      </c>
      <c r="S4415" t="s">
        <v>47549</v>
      </c>
      <c r="T4415" t="s">
        <v>49145</v>
      </c>
      <c r="U4415" t="s">
        <v>53418</v>
      </c>
      <c r="W4415" t="s">
        <v>44897</v>
      </c>
      <c r="X4415" t="s">
        <v>47431</v>
      </c>
    </row>
    <row r="4416" spans="1:24">
      <c r="A4416">
        <f>HYPERLINK("https://www.philgeps.gov.ph/GEPSNONPILOT/Tender/SplashBidNoticeAbstractUI.aspx?menuIndex=3&amp;refID=7159339&amp;Result=3","7159339")</f>
        <v>0</v>
      </c>
      <c r="B4416" t="s">
        <v>295</v>
      </c>
      <c r="C4416" t="s">
        <v>8090</v>
      </c>
      <c r="D4416" t="s">
        <v>19029</v>
      </c>
      <c r="E4416" t="s">
        <v>23034</v>
      </c>
      <c r="F4416" t="s">
        <v>32831</v>
      </c>
      <c r="G4416" t="s">
        <v>32838</v>
      </c>
      <c r="H4416" t="s">
        <v>32848</v>
      </c>
      <c r="I4416" t="s">
        <v>32863</v>
      </c>
      <c r="J4416" t="s">
        <v>35849</v>
      </c>
      <c r="K4416" t="s">
        <v>42726</v>
      </c>
      <c r="M4416" t="s">
        <v>43914</v>
      </c>
      <c r="N4416" t="s">
        <v>47424</v>
      </c>
      <c r="O4416" t="s">
        <v>47425</v>
      </c>
      <c r="P4416">
        <v>0</v>
      </c>
      <c r="Q4416">
        <v>0</v>
      </c>
      <c r="R4416" t="s">
        <v>47430</v>
      </c>
      <c r="S4416" t="s">
        <v>47549</v>
      </c>
      <c r="T4416" t="s">
        <v>49119</v>
      </c>
      <c r="U4416" t="s">
        <v>53419</v>
      </c>
      <c r="W4416" t="s">
        <v>43914</v>
      </c>
      <c r="X4416" t="s">
        <v>47431</v>
      </c>
    </row>
    <row r="4417" spans="1:24">
      <c r="A4417">
        <f>HYPERLINK("https://www.philgeps.gov.ph/GEPSNONPILOT/Tender/SplashBidNoticeAbstractUI.aspx?menuIndex=3&amp;refID=7159364&amp;Result=3","7159364")</f>
        <v>0</v>
      </c>
      <c r="B4417" t="s">
        <v>629</v>
      </c>
      <c r="C4417" t="s">
        <v>8091</v>
      </c>
      <c r="D4417" t="s">
        <v>19049</v>
      </c>
      <c r="E4417" t="s">
        <v>23035</v>
      </c>
      <c r="F4417" t="s">
        <v>32831</v>
      </c>
      <c r="G4417" t="s">
        <v>32840</v>
      </c>
      <c r="H4417" t="s">
        <v>32848</v>
      </c>
      <c r="I4417" t="s">
        <v>32870</v>
      </c>
      <c r="J4417" t="s">
        <v>33775</v>
      </c>
      <c r="K4417" t="s">
        <v>42731</v>
      </c>
      <c r="M4417" t="s">
        <v>43646</v>
      </c>
      <c r="N4417" t="s">
        <v>47424</v>
      </c>
      <c r="O4417" t="s">
        <v>47425</v>
      </c>
      <c r="P4417">
        <v>0</v>
      </c>
      <c r="Q4417">
        <v>0</v>
      </c>
      <c r="R4417" t="s">
        <v>47430</v>
      </c>
      <c r="S4417" t="s">
        <v>47549</v>
      </c>
      <c r="T4417" t="s">
        <v>49237</v>
      </c>
      <c r="U4417" t="s">
        <v>53420</v>
      </c>
      <c r="W4417" t="s">
        <v>43646</v>
      </c>
      <c r="X4417" t="s">
        <v>47431</v>
      </c>
    </row>
    <row r="4418" spans="1:24">
      <c r="A4418">
        <f>HYPERLINK("https://www.philgeps.gov.ph/GEPSNONPILOT/Tender/SplashBidNoticeAbstractUI.aspx?menuIndex=3&amp;refID=7159307&amp;Result=3","7159307")</f>
        <v>0</v>
      </c>
      <c r="B4418" t="s">
        <v>33</v>
      </c>
      <c r="C4418" t="s">
        <v>8092</v>
      </c>
      <c r="D4418" t="s">
        <v>19024</v>
      </c>
      <c r="E4418" t="s">
        <v>23036</v>
      </c>
      <c r="F4418" t="s">
        <v>32831</v>
      </c>
      <c r="G4418" t="s">
        <v>32839</v>
      </c>
      <c r="H4418" t="s">
        <v>32848</v>
      </c>
      <c r="I4418" t="s">
        <v>32859</v>
      </c>
      <c r="J4418" t="s">
        <v>33465</v>
      </c>
      <c r="K4418" t="s">
        <v>42763</v>
      </c>
      <c r="M4418" t="s">
        <v>43030</v>
      </c>
      <c r="N4418" t="s">
        <v>47424</v>
      </c>
      <c r="O4418" t="s">
        <v>47425</v>
      </c>
      <c r="P4418">
        <v>0</v>
      </c>
      <c r="Q4418">
        <v>5</v>
      </c>
      <c r="R4418" t="s">
        <v>47430</v>
      </c>
      <c r="S4418" t="s">
        <v>47549</v>
      </c>
      <c r="T4418" t="s">
        <v>49188</v>
      </c>
      <c r="U4418" t="s">
        <v>53421</v>
      </c>
      <c r="W4418" t="s">
        <v>43030</v>
      </c>
      <c r="X4418" t="s">
        <v>47431</v>
      </c>
    </row>
    <row r="4419" spans="1:24">
      <c r="A4419">
        <f>HYPERLINK("https://www.philgeps.gov.ph/GEPSNONPILOT/Tender/SplashBidNoticeAbstractUI.aspx?menuIndex=3&amp;refID=7159243&amp;Result=3","7159243")</f>
        <v>0</v>
      </c>
      <c r="B4419" t="s">
        <v>1773</v>
      </c>
      <c r="C4419" t="s">
        <v>8093</v>
      </c>
      <c r="D4419" t="s">
        <v>19073</v>
      </c>
      <c r="E4419" t="s">
        <v>23037</v>
      </c>
      <c r="F4419" t="s">
        <v>32831</v>
      </c>
      <c r="G4419" t="s">
        <v>32838</v>
      </c>
      <c r="H4419" t="s">
        <v>32848</v>
      </c>
      <c r="I4419" t="s">
        <v>32883</v>
      </c>
      <c r="J4419" t="s">
        <v>35850</v>
      </c>
      <c r="K4419" t="s">
        <v>42729</v>
      </c>
      <c r="M4419" t="s">
        <v>44898</v>
      </c>
      <c r="N4419" t="s">
        <v>47424</v>
      </c>
      <c r="O4419" t="s">
        <v>47425</v>
      </c>
      <c r="P4419">
        <v>0</v>
      </c>
      <c r="Q4419">
        <v>4</v>
      </c>
      <c r="R4419" t="s">
        <v>47430</v>
      </c>
      <c r="S4419" t="s">
        <v>47549</v>
      </c>
      <c r="T4419" t="s">
        <v>49237</v>
      </c>
      <c r="U4419" t="s">
        <v>53422</v>
      </c>
      <c r="V4419" t="s">
        <v>63122</v>
      </c>
      <c r="W4419" t="s">
        <v>44898</v>
      </c>
      <c r="X4419" t="s">
        <v>47431</v>
      </c>
    </row>
    <row r="4420" spans="1:24">
      <c r="A4420">
        <f>HYPERLINK("https://www.philgeps.gov.ph/GEPSNONPILOT/Tender/SplashBidNoticeAbstractUI.aspx?menuIndex=3&amp;refID=7159316&amp;Result=3","7159316")</f>
        <v>0</v>
      </c>
      <c r="B4420" t="s">
        <v>1774</v>
      </c>
      <c r="C4420" t="s">
        <v>7481</v>
      </c>
      <c r="D4420" t="s">
        <v>19034</v>
      </c>
      <c r="E4420" t="s">
        <v>19144</v>
      </c>
      <c r="F4420" t="s">
        <v>32831</v>
      </c>
      <c r="G4420" t="s">
        <v>32839</v>
      </c>
      <c r="H4420" t="s">
        <v>32849</v>
      </c>
      <c r="I4420" t="s">
        <v>4177</v>
      </c>
      <c r="J4420" t="s">
        <v>35012</v>
      </c>
      <c r="K4420" t="s">
        <v>42770</v>
      </c>
      <c r="M4420" t="s">
        <v>44899</v>
      </c>
      <c r="N4420" t="s">
        <v>47424</v>
      </c>
      <c r="O4420" t="s">
        <v>47425</v>
      </c>
      <c r="P4420">
        <v>0</v>
      </c>
      <c r="Q4420">
        <v>0</v>
      </c>
      <c r="R4420" t="s">
        <v>47430</v>
      </c>
      <c r="S4420" t="s">
        <v>47549</v>
      </c>
      <c r="T4420" t="s">
        <v>49105</v>
      </c>
      <c r="U4420" t="s">
        <v>53423</v>
      </c>
      <c r="W4420" t="s">
        <v>44899</v>
      </c>
      <c r="X4420" t="s">
        <v>47431</v>
      </c>
    </row>
    <row r="4421" spans="1:24">
      <c r="A4421">
        <f>HYPERLINK("https://www.philgeps.gov.ph/GEPSNONPILOT/Tender/SplashBidNoticeAbstractUI.aspx?menuIndex=3&amp;refID=7159370&amp;Result=3","7159370")</f>
        <v>0</v>
      </c>
      <c r="B4421" t="s">
        <v>1775</v>
      </c>
      <c r="C4421" t="s">
        <v>8094</v>
      </c>
      <c r="D4421" t="s">
        <v>19045</v>
      </c>
      <c r="E4421" t="s">
        <v>23038</v>
      </c>
      <c r="F4421" t="s">
        <v>32831</v>
      </c>
      <c r="G4421" t="s">
        <v>32842</v>
      </c>
      <c r="H4421" t="s">
        <v>32848</v>
      </c>
      <c r="I4421" t="s">
        <v>32855</v>
      </c>
      <c r="J4421" t="s">
        <v>35851</v>
      </c>
      <c r="K4421" t="s">
        <v>42730</v>
      </c>
      <c r="M4421" t="s">
        <v>44900</v>
      </c>
      <c r="N4421" t="s">
        <v>47424</v>
      </c>
      <c r="O4421" t="s">
        <v>47425</v>
      </c>
      <c r="P4421">
        <v>0</v>
      </c>
      <c r="Q4421">
        <v>12</v>
      </c>
      <c r="R4421" t="s">
        <v>47430</v>
      </c>
      <c r="S4421" t="s">
        <v>47549</v>
      </c>
      <c r="T4421" t="s">
        <v>49089</v>
      </c>
      <c r="U4421" t="s">
        <v>53424</v>
      </c>
      <c r="V4421" t="s">
        <v>63123</v>
      </c>
      <c r="W4421" t="s">
        <v>64486</v>
      </c>
      <c r="X4421" t="s">
        <v>47431</v>
      </c>
    </row>
    <row r="4422" spans="1:24">
      <c r="A4422">
        <f>HYPERLINK("https://www.philgeps.gov.ph/GEPSNONPILOT/Tender/SplashBidNoticeAbstractUI.aspx?menuIndex=3&amp;refID=7159330&amp;Result=3","7159330")</f>
        <v>0</v>
      </c>
      <c r="B4422" t="s">
        <v>1776</v>
      </c>
      <c r="C4422" t="s">
        <v>8095</v>
      </c>
      <c r="E4422" t="s">
        <v>23039</v>
      </c>
      <c r="F4422" t="s">
        <v>32834</v>
      </c>
      <c r="G4422" t="s">
        <v>32840</v>
      </c>
      <c r="H4422" t="s">
        <v>32848</v>
      </c>
      <c r="I4422" t="s">
        <v>32857</v>
      </c>
      <c r="J4422" t="s">
        <v>35852</v>
      </c>
      <c r="K4422" t="s">
        <v>42732</v>
      </c>
      <c r="M4422" t="s">
        <v>44901</v>
      </c>
      <c r="N4422" t="s">
        <v>47424</v>
      </c>
      <c r="O4422" t="s">
        <v>47425</v>
      </c>
      <c r="P4422">
        <v>0</v>
      </c>
      <c r="Q4422">
        <v>2</v>
      </c>
      <c r="R4422" t="s">
        <v>47430</v>
      </c>
      <c r="S4422" t="s">
        <v>47549</v>
      </c>
      <c r="T4422" t="s">
        <v>49198</v>
      </c>
      <c r="U4422" t="s">
        <v>53425</v>
      </c>
      <c r="W4422" t="s">
        <v>44901</v>
      </c>
      <c r="X4422" t="s">
        <v>47431</v>
      </c>
    </row>
    <row r="4423" spans="1:24">
      <c r="A4423">
        <f>HYPERLINK("https://www.philgeps.gov.ph/GEPSNONPILOT/Tender/SplashBidNoticeAbstractUI.aspx?menuIndex=3&amp;refID=7159363&amp;Result=3","7159363")</f>
        <v>0</v>
      </c>
      <c r="B4423" t="s">
        <v>1777</v>
      </c>
      <c r="C4423" t="s">
        <v>8096</v>
      </c>
      <c r="D4423" t="s">
        <v>19074</v>
      </c>
      <c r="E4423" t="s">
        <v>23040</v>
      </c>
      <c r="F4423" t="s">
        <v>32831</v>
      </c>
      <c r="G4423" t="s">
        <v>32839</v>
      </c>
      <c r="H4423" t="s">
        <v>32848</v>
      </c>
      <c r="I4423" t="s">
        <v>32949</v>
      </c>
      <c r="J4423" t="s">
        <v>33465</v>
      </c>
      <c r="K4423" t="s">
        <v>42730</v>
      </c>
      <c r="M4423" t="s">
        <v>44902</v>
      </c>
      <c r="N4423" t="s">
        <v>47424</v>
      </c>
      <c r="O4423" t="s">
        <v>47425</v>
      </c>
      <c r="P4423">
        <v>0</v>
      </c>
      <c r="Q4423">
        <v>3</v>
      </c>
      <c r="R4423" t="s">
        <v>47430</v>
      </c>
      <c r="S4423" t="s">
        <v>47549</v>
      </c>
      <c r="T4423" t="s">
        <v>49254</v>
      </c>
      <c r="U4423" t="s">
        <v>53426</v>
      </c>
      <c r="W4423" t="s">
        <v>44902</v>
      </c>
      <c r="X4423" t="s">
        <v>47431</v>
      </c>
    </row>
    <row r="4424" spans="1:24">
      <c r="A4424">
        <f>HYPERLINK("https://www.philgeps.gov.ph/GEPSNONPILOT/Tender/SplashBidNoticeAbstractUI.aspx?menuIndex=3&amp;refID=7159227&amp;Result=3","7159227")</f>
        <v>0</v>
      </c>
      <c r="B4424" t="s">
        <v>1778</v>
      </c>
      <c r="C4424" t="s">
        <v>8097</v>
      </c>
      <c r="D4424" t="s">
        <v>19046</v>
      </c>
      <c r="E4424" t="s">
        <v>23041</v>
      </c>
      <c r="F4424" t="s">
        <v>32831</v>
      </c>
      <c r="G4424" t="s">
        <v>32839</v>
      </c>
      <c r="H4424" t="s">
        <v>32848</v>
      </c>
      <c r="I4424" t="s">
        <v>32879</v>
      </c>
      <c r="J4424" t="s">
        <v>33415</v>
      </c>
      <c r="K4424" t="s">
        <v>42731</v>
      </c>
      <c r="M4424" t="s">
        <v>44903</v>
      </c>
      <c r="N4424" t="s">
        <v>47424</v>
      </c>
      <c r="O4424" t="s">
        <v>47425</v>
      </c>
      <c r="P4424">
        <v>0</v>
      </c>
      <c r="Q4424">
        <v>2</v>
      </c>
      <c r="R4424" t="s">
        <v>47430</v>
      </c>
      <c r="S4424" t="s">
        <v>47549</v>
      </c>
      <c r="T4424" t="s">
        <v>49236</v>
      </c>
      <c r="U4424" t="s">
        <v>53427</v>
      </c>
      <c r="V4424" t="s">
        <v>63124</v>
      </c>
      <c r="W4424" t="s">
        <v>44903</v>
      </c>
      <c r="X4424" t="s">
        <v>47431</v>
      </c>
    </row>
    <row r="4425" spans="1:24">
      <c r="A4425">
        <f>HYPERLINK("https://www.philgeps.gov.ph/GEPSNONPILOT/Tender/SplashBidNoticeAbstractUI.aspx?menuIndex=3&amp;refID=7159351&amp;Result=3","7159351")</f>
        <v>0</v>
      </c>
      <c r="B4425" t="s">
        <v>734</v>
      </c>
      <c r="C4425" t="s">
        <v>8098</v>
      </c>
      <c r="D4425" t="s">
        <v>19034</v>
      </c>
      <c r="E4425" t="s">
        <v>23042</v>
      </c>
      <c r="F4425" t="s">
        <v>32831</v>
      </c>
      <c r="G4425" t="s">
        <v>32839</v>
      </c>
      <c r="H4425" t="s">
        <v>32848</v>
      </c>
      <c r="I4425" t="s">
        <v>32956</v>
      </c>
      <c r="J4425" t="s">
        <v>35853</v>
      </c>
      <c r="K4425" t="s">
        <v>42731</v>
      </c>
      <c r="M4425" t="s">
        <v>44904</v>
      </c>
      <c r="N4425" t="s">
        <v>47424</v>
      </c>
      <c r="O4425" t="s">
        <v>47425</v>
      </c>
      <c r="P4425">
        <v>0</v>
      </c>
      <c r="Q4425">
        <v>0</v>
      </c>
      <c r="R4425" t="s">
        <v>47430</v>
      </c>
      <c r="S4425" t="s">
        <v>47549</v>
      </c>
      <c r="T4425" t="s">
        <v>49338</v>
      </c>
      <c r="U4425" t="s">
        <v>53428</v>
      </c>
      <c r="W4425" t="s">
        <v>44904</v>
      </c>
      <c r="X4425" t="s">
        <v>47431</v>
      </c>
    </row>
    <row r="4426" spans="1:24">
      <c r="A4426">
        <f>HYPERLINK("https://www.philgeps.gov.ph/GEPSNONPILOT/Tender/SplashBidNoticeAbstractUI.aspx?menuIndex=3&amp;refID=7159349&amp;Result=3","7159349")</f>
        <v>0</v>
      </c>
      <c r="B4426" t="s">
        <v>1763</v>
      </c>
      <c r="C4426" t="s">
        <v>8099</v>
      </c>
      <c r="D4426" t="s">
        <v>19026</v>
      </c>
      <c r="E4426" t="s">
        <v>23043</v>
      </c>
      <c r="F4426" t="s">
        <v>32831</v>
      </c>
      <c r="G4426" t="s">
        <v>32838</v>
      </c>
      <c r="H4426" t="s">
        <v>32848</v>
      </c>
      <c r="I4426" t="s">
        <v>4438</v>
      </c>
      <c r="J4426" t="s">
        <v>33935</v>
      </c>
      <c r="K4426" t="s">
        <v>42727</v>
      </c>
      <c r="M4426" t="s">
        <v>44887</v>
      </c>
      <c r="N4426" t="s">
        <v>47424</v>
      </c>
      <c r="O4426" t="s">
        <v>47425</v>
      </c>
      <c r="P4426">
        <v>0</v>
      </c>
      <c r="Q4426">
        <v>4</v>
      </c>
      <c r="R4426" t="s">
        <v>47430</v>
      </c>
      <c r="S4426" t="s">
        <v>47549</v>
      </c>
      <c r="T4426" t="s">
        <v>49385</v>
      </c>
      <c r="U4426" t="s">
        <v>53429</v>
      </c>
      <c r="W4426" t="s">
        <v>44887</v>
      </c>
      <c r="X4426" t="s">
        <v>47431</v>
      </c>
    </row>
    <row r="4427" spans="1:24">
      <c r="A4427">
        <f>HYPERLINK("https://www.philgeps.gov.ph/GEPSNONPILOT/Tender/SplashBidNoticeAbstractUI.aspx?menuIndex=3&amp;refID=7159366&amp;Result=3","7159366")</f>
        <v>0</v>
      </c>
      <c r="B4427" t="s">
        <v>1776</v>
      </c>
      <c r="C4427" t="s">
        <v>8100</v>
      </c>
      <c r="E4427" t="s">
        <v>23044</v>
      </c>
      <c r="F4427" t="s">
        <v>32834</v>
      </c>
      <c r="G4427" t="s">
        <v>32840</v>
      </c>
      <c r="H4427" t="s">
        <v>32848</v>
      </c>
      <c r="I4427" t="s">
        <v>32860</v>
      </c>
      <c r="J4427" t="s">
        <v>34871</v>
      </c>
      <c r="K4427" t="s">
        <v>42732</v>
      </c>
      <c r="M4427" t="s">
        <v>44901</v>
      </c>
      <c r="N4427" t="s">
        <v>47424</v>
      </c>
      <c r="O4427" t="s">
        <v>47425</v>
      </c>
      <c r="P4427">
        <v>0</v>
      </c>
      <c r="Q4427">
        <v>10</v>
      </c>
      <c r="R4427" t="s">
        <v>47430</v>
      </c>
      <c r="S4427" t="s">
        <v>47549</v>
      </c>
      <c r="T4427" t="s">
        <v>49198</v>
      </c>
      <c r="U4427" t="s">
        <v>53425</v>
      </c>
      <c r="W4427" t="s">
        <v>44901</v>
      </c>
      <c r="X4427" t="s">
        <v>47431</v>
      </c>
    </row>
    <row r="4428" spans="1:24">
      <c r="A4428">
        <f>HYPERLINK("https://www.philgeps.gov.ph/GEPSNONPILOT/Tender/SplashBidNoticeAbstractUI.aspx?menuIndex=3&amp;refID=7159347&amp;Result=3","7159347")</f>
        <v>0</v>
      </c>
      <c r="B4428" t="s">
        <v>980</v>
      </c>
      <c r="C4428" t="s">
        <v>8101</v>
      </c>
      <c r="D4428" t="s">
        <v>19022</v>
      </c>
      <c r="E4428" t="s">
        <v>23045</v>
      </c>
      <c r="F4428" t="s">
        <v>32831</v>
      </c>
      <c r="G4428" t="s">
        <v>32838</v>
      </c>
      <c r="H4428" t="s">
        <v>32848</v>
      </c>
      <c r="I4428" t="s">
        <v>7416</v>
      </c>
      <c r="J4428" t="s">
        <v>35854</v>
      </c>
      <c r="K4428" t="s">
        <v>42730</v>
      </c>
      <c r="M4428" t="s">
        <v>44029</v>
      </c>
      <c r="N4428" t="s">
        <v>47424</v>
      </c>
      <c r="O4428" t="s">
        <v>47425</v>
      </c>
      <c r="P4428">
        <v>0</v>
      </c>
      <c r="Q4428">
        <v>0</v>
      </c>
      <c r="R4428" t="s">
        <v>47430</v>
      </c>
      <c r="S4428" t="s">
        <v>47549</v>
      </c>
      <c r="T4428" t="s">
        <v>49239</v>
      </c>
      <c r="U4428" t="s">
        <v>53286</v>
      </c>
      <c r="W4428" t="s">
        <v>44029</v>
      </c>
      <c r="X4428" t="s">
        <v>47431</v>
      </c>
    </row>
    <row r="4429" spans="1:24">
      <c r="A4429">
        <f>HYPERLINK("https://www.philgeps.gov.ph/GEPSNONPILOT/Tender/SplashBidNoticeAbstractUI.aspx?menuIndex=3&amp;refID=7159359&amp;Result=3","7159359")</f>
        <v>0</v>
      </c>
      <c r="B4429" t="s">
        <v>345</v>
      </c>
      <c r="C4429" t="s">
        <v>8102</v>
      </c>
      <c r="D4429" t="s">
        <v>19074</v>
      </c>
      <c r="E4429" t="s">
        <v>23046</v>
      </c>
      <c r="F4429" t="s">
        <v>32831</v>
      </c>
      <c r="G4429" t="s">
        <v>32838</v>
      </c>
      <c r="H4429" t="s">
        <v>32850</v>
      </c>
      <c r="I4429" t="s">
        <v>4776</v>
      </c>
      <c r="J4429" t="s">
        <v>33041</v>
      </c>
      <c r="K4429" t="s">
        <v>42731</v>
      </c>
      <c r="M4429" t="s">
        <v>44082</v>
      </c>
      <c r="N4429" t="s">
        <v>47424</v>
      </c>
      <c r="O4429" t="s">
        <v>47425</v>
      </c>
      <c r="P4429">
        <v>0</v>
      </c>
      <c r="Q4429">
        <v>0</v>
      </c>
      <c r="R4429" t="s">
        <v>47430</v>
      </c>
      <c r="S4429" t="s">
        <v>47549</v>
      </c>
      <c r="T4429" t="s">
        <v>49089</v>
      </c>
      <c r="U4429" t="s">
        <v>53430</v>
      </c>
      <c r="W4429" t="s">
        <v>44082</v>
      </c>
      <c r="X4429" t="s">
        <v>47431</v>
      </c>
    </row>
    <row r="4430" spans="1:24">
      <c r="A4430">
        <f>HYPERLINK("https://www.philgeps.gov.ph/GEPSNONPILOT/Tender/SplashBidNoticeAbstractUI.aspx?menuIndex=3&amp;refID=7159345&amp;Result=3","7159345")</f>
        <v>0</v>
      </c>
      <c r="B4430" t="s">
        <v>262</v>
      </c>
      <c r="C4430" t="s">
        <v>8051</v>
      </c>
      <c r="D4430" t="s">
        <v>19049</v>
      </c>
      <c r="E4430" t="s">
        <v>23047</v>
      </c>
      <c r="F4430" t="s">
        <v>32831</v>
      </c>
      <c r="G4430" t="s">
        <v>32838</v>
      </c>
      <c r="H4430" t="s">
        <v>32848</v>
      </c>
      <c r="I4430" t="s">
        <v>9577</v>
      </c>
      <c r="J4430" t="s">
        <v>35855</v>
      </c>
      <c r="K4430" t="s">
        <v>42726</v>
      </c>
      <c r="M4430" t="s">
        <v>43261</v>
      </c>
      <c r="N4430" t="s">
        <v>47424</v>
      </c>
      <c r="O4430" t="s">
        <v>47425</v>
      </c>
      <c r="P4430">
        <v>0</v>
      </c>
      <c r="Q4430">
        <v>0</v>
      </c>
      <c r="R4430" t="s">
        <v>47430</v>
      </c>
      <c r="S4430" t="s">
        <v>47549</v>
      </c>
      <c r="T4430" t="s">
        <v>49214</v>
      </c>
      <c r="U4430" t="s">
        <v>53431</v>
      </c>
      <c r="W4430" t="s">
        <v>43261</v>
      </c>
      <c r="X4430" t="s">
        <v>47431</v>
      </c>
    </row>
    <row r="4431" spans="1:24">
      <c r="A4431">
        <f>HYPERLINK("https://www.philgeps.gov.ph/GEPSNONPILOT/Tender/SplashBidNoticeAbstractUI.aspx?menuIndex=3&amp;refID=7159344&amp;Result=3","7159344")</f>
        <v>0</v>
      </c>
      <c r="B4431" t="s">
        <v>913</v>
      </c>
      <c r="C4431" t="s">
        <v>8103</v>
      </c>
      <c r="D4431" t="s">
        <v>19022</v>
      </c>
      <c r="E4431" t="s">
        <v>23048</v>
      </c>
      <c r="F4431" t="s">
        <v>32831</v>
      </c>
      <c r="G4431" t="s">
        <v>32840</v>
      </c>
      <c r="H4431" t="s">
        <v>32848</v>
      </c>
      <c r="I4431" t="s">
        <v>32890</v>
      </c>
      <c r="J4431" t="s">
        <v>35856</v>
      </c>
      <c r="K4431" t="s">
        <v>42729</v>
      </c>
      <c r="M4431" t="s">
        <v>43953</v>
      </c>
      <c r="N4431" t="s">
        <v>47424</v>
      </c>
      <c r="O4431" t="s">
        <v>47425</v>
      </c>
      <c r="P4431">
        <v>0</v>
      </c>
      <c r="Q4431">
        <v>3</v>
      </c>
      <c r="R4431" t="s">
        <v>47430</v>
      </c>
      <c r="S4431" t="s">
        <v>47549</v>
      </c>
      <c r="T4431" t="s">
        <v>49100</v>
      </c>
      <c r="U4431" t="s">
        <v>51374</v>
      </c>
      <c r="W4431" t="s">
        <v>43953</v>
      </c>
      <c r="X4431" t="s">
        <v>47431</v>
      </c>
    </row>
    <row r="4432" spans="1:24">
      <c r="A4432">
        <f>HYPERLINK("https://www.philgeps.gov.ph/GEPSNONPILOT/Tender/SplashBidNoticeAbstractUI.aspx?menuIndex=3&amp;refID=7159342&amp;Result=3","7159342")</f>
        <v>0</v>
      </c>
      <c r="B4432" t="s">
        <v>1691</v>
      </c>
      <c r="C4432" t="s">
        <v>5187</v>
      </c>
      <c r="D4432" t="s">
        <v>19082</v>
      </c>
      <c r="E4432" t="s">
        <v>23049</v>
      </c>
      <c r="F4432" t="s">
        <v>32831</v>
      </c>
      <c r="G4432" t="s">
        <v>32839</v>
      </c>
      <c r="H4432" t="s">
        <v>32849</v>
      </c>
      <c r="I4432" t="s">
        <v>32913</v>
      </c>
      <c r="J4432" t="s">
        <v>33072</v>
      </c>
      <c r="K4432" t="s">
        <v>42747</v>
      </c>
      <c r="M4432" t="s">
        <v>44811</v>
      </c>
      <c r="N4432" t="s">
        <v>47424</v>
      </c>
      <c r="O4432" t="s">
        <v>47425</v>
      </c>
      <c r="P4432">
        <v>0</v>
      </c>
      <c r="Q4432">
        <v>0</v>
      </c>
      <c r="R4432" t="s">
        <v>47430</v>
      </c>
      <c r="S4432" t="s">
        <v>47549</v>
      </c>
      <c r="T4432" t="s">
        <v>49216</v>
      </c>
      <c r="U4432" t="s">
        <v>53432</v>
      </c>
      <c r="W4432" t="s">
        <v>44811</v>
      </c>
      <c r="X4432" t="s">
        <v>47431</v>
      </c>
    </row>
    <row r="4433" spans="1:24">
      <c r="A4433">
        <f>HYPERLINK("https://www.philgeps.gov.ph/GEPSNONPILOT/Tender/SplashBidNoticeAbstractUI.aspx?menuIndex=3&amp;refID=7159350&amp;Result=3","7159350")</f>
        <v>0</v>
      </c>
      <c r="B4433" t="s">
        <v>674</v>
      </c>
      <c r="C4433" t="s">
        <v>8104</v>
      </c>
      <c r="D4433" t="s">
        <v>19058</v>
      </c>
      <c r="E4433" t="s">
        <v>23050</v>
      </c>
      <c r="F4433" t="s">
        <v>32831</v>
      </c>
      <c r="G4433" t="s">
        <v>32838</v>
      </c>
      <c r="H4433" t="s">
        <v>32848</v>
      </c>
      <c r="I4433" t="s">
        <v>32856</v>
      </c>
      <c r="J4433" t="s">
        <v>33430</v>
      </c>
      <c r="K4433" t="s">
        <v>42732</v>
      </c>
      <c r="M4433" t="s">
        <v>44520</v>
      </c>
      <c r="N4433" t="s">
        <v>47424</v>
      </c>
      <c r="O4433" t="s">
        <v>47425</v>
      </c>
      <c r="P4433">
        <v>0</v>
      </c>
      <c r="Q4433">
        <v>0</v>
      </c>
      <c r="R4433" t="s">
        <v>47430</v>
      </c>
      <c r="S4433" t="s">
        <v>47549</v>
      </c>
      <c r="T4433" t="s">
        <v>49237</v>
      </c>
      <c r="U4433" t="s">
        <v>53433</v>
      </c>
      <c r="W4433" t="s">
        <v>44520</v>
      </c>
      <c r="X4433" t="s">
        <v>47431</v>
      </c>
    </row>
    <row r="4434" spans="1:24">
      <c r="A4434">
        <f>HYPERLINK("https://www.philgeps.gov.ph/GEPSNONPILOT/Tender/SplashBidNoticeAbstractUI.aspx?menuIndex=3&amp;refID=7159341&amp;Result=3","7159341")</f>
        <v>0</v>
      </c>
      <c r="B4434" t="s">
        <v>1736</v>
      </c>
      <c r="C4434" t="s">
        <v>8105</v>
      </c>
      <c r="D4434" t="s">
        <v>19054</v>
      </c>
      <c r="E4434" t="s">
        <v>23051</v>
      </c>
      <c r="F4434" t="s">
        <v>32831</v>
      </c>
      <c r="G4434" t="s">
        <v>32839</v>
      </c>
      <c r="H4434" t="s">
        <v>32848</v>
      </c>
      <c r="I4434" t="s">
        <v>7416</v>
      </c>
      <c r="J4434" t="s">
        <v>35857</v>
      </c>
      <c r="K4434" t="s">
        <v>42730</v>
      </c>
      <c r="L4434" t="s">
        <v>1736</v>
      </c>
      <c r="M4434" t="s">
        <v>44859</v>
      </c>
      <c r="N4434" t="s">
        <v>47424</v>
      </c>
      <c r="O4434" t="s">
        <v>47425</v>
      </c>
      <c r="P4434">
        <v>0</v>
      </c>
      <c r="Q4434">
        <v>0</v>
      </c>
      <c r="R4434" t="s">
        <v>47430</v>
      </c>
      <c r="S4434" t="s">
        <v>47549</v>
      </c>
      <c r="T4434" t="s">
        <v>49069</v>
      </c>
      <c r="U4434" t="s">
        <v>53434</v>
      </c>
      <c r="V4434" t="s">
        <v>63112</v>
      </c>
      <c r="W4434" t="s">
        <v>44859</v>
      </c>
      <c r="X4434" t="s">
        <v>47431</v>
      </c>
    </row>
    <row r="4435" spans="1:24">
      <c r="A4435">
        <f>HYPERLINK("https://www.philgeps.gov.ph/GEPSNONPILOT/Tender/SplashBidNoticeAbstractUI.aspx?menuIndex=3&amp;refID=7159337&amp;Result=3","7159337")</f>
        <v>0</v>
      </c>
      <c r="B4435" t="s">
        <v>1688</v>
      </c>
      <c r="C4435" t="s">
        <v>8106</v>
      </c>
      <c r="D4435" t="s">
        <v>19078</v>
      </c>
      <c r="E4435" t="s">
        <v>23052</v>
      </c>
      <c r="F4435" t="s">
        <v>32831</v>
      </c>
      <c r="G4435" t="s">
        <v>32840</v>
      </c>
      <c r="H4435" t="s">
        <v>32848</v>
      </c>
      <c r="I4435" t="s">
        <v>4438</v>
      </c>
      <c r="J4435" t="s">
        <v>35858</v>
      </c>
      <c r="K4435" t="s">
        <v>42732</v>
      </c>
      <c r="L4435" t="s">
        <v>1688</v>
      </c>
      <c r="M4435" t="s">
        <v>44808</v>
      </c>
      <c r="N4435" t="s">
        <v>47424</v>
      </c>
      <c r="O4435" t="s">
        <v>47425</v>
      </c>
      <c r="P4435">
        <v>0</v>
      </c>
      <c r="Q4435">
        <v>1</v>
      </c>
      <c r="R4435" t="s">
        <v>47430</v>
      </c>
      <c r="S4435" t="s">
        <v>47549</v>
      </c>
      <c r="T4435" t="s">
        <v>49108</v>
      </c>
      <c r="U4435" t="s">
        <v>53382</v>
      </c>
      <c r="W4435" t="s">
        <v>44808</v>
      </c>
      <c r="X4435" t="s">
        <v>47431</v>
      </c>
    </row>
    <row r="4436" spans="1:24">
      <c r="A4436">
        <f>HYPERLINK("https://www.philgeps.gov.ph/GEPSNONPILOT/Tender/SplashBidNoticeAbstractUI.aspx?menuIndex=3&amp;refID=7159336&amp;Result=3","7159336")</f>
        <v>0</v>
      </c>
      <c r="B4436" t="s">
        <v>1779</v>
      </c>
      <c r="C4436" t="s">
        <v>8107</v>
      </c>
      <c r="D4436" t="s">
        <v>19038</v>
      </c>
      <c r="E4436" t="s">
        <v>19219</v>
      </c>
      <c r="F4436" t="s">
        <v>32831</v>
      </c>
      <c r="G4436" t="s">
        <v>32839</v>
      </c>
      <c r="H4436" t="s">
        <v>32848</v>
      </c>
      <c r="I4436" t="s">
        <v>7416</v>
      </c>
      <c r="J4436" t="s">
        <v>35859</v>
      </c>
      <c r="K4436" t="s">
        <v>42727</v>
      </c>
      <c r="M4436" t="s">
        <v>44905</v>
      </c>
      <c r="N4436" t="s">
        <v>47424</v>
      </c>
      <c r="O4436" t="s">
        <v>47425</v>
      </c>
      <c r="P4436">
        <v>0</v>
      </c>
      <c r="Q4436">
        <v>1</v>
      </c>
      <c r="R4436" t="s">
        <v>47430</v>
      </c>
      <c r="S4436" t="s">
        <v>47549</v>
      </c>
      <c r="T4436" t="s">
        <v>49263</v>
      </c>
      <c r="U4436" t="s">
        <v>53435</v>
      </c>
      <c r="W4436" t="s">
        <v>44905</v>
      </c>
      <c r="X4436" t="s">
        <v>47431</v>
      </c>
    </row>
    <row r="4437" spans="1:24">
      <c r="A4437">
        <f>HYPERLINK("https://www.philgeps.gov.ph/GEPSNONPILOT/Tender/SplashBidNoticeAbstractUI.aspx?menuIndex=3&amp;refID=7159348&amp;Result=3","7159348")</f>
        <v>0</v>
      </c>
      <c r="B4437" t="s">
        <v>1780</v>
      </c>
      <c r="C4437" t="s">
        <v>8108</v>
      </c>
      <c r="D4437" t="s">
        <v>19081</v>
      </c>
      <c r="E4437" t="s">
        <v>23053</v>
      </c>
      <c r="F4437" t="s">
        <v>32831</v>
      </c>
      <c r="G4437" t="s">
        <v>32840</v>
      </c>
      <c r="H4437" t="s">
        <v>32848</v>
      </c>
      <c r="I4437" t="s">
        <v>32958</v>
      </c>
      <c r="J4437" t="s">
        <v>35042</v>
      </c>
      <c r="K4437" t="s">
        <v>42730</v>
      </c>
      <c r="M4437" t="s">
        <v>44906</v>
      </c>
      <c r="N4437" t="s">
        <v>47424</v>
      </c>
      <c r="O4437" t="s">
        <v>47425</v>
      </c>
      <c r="P4437">
        <v>0</v>
      </c>
      <c r="Q4437">
        <v>0</v>
      </c>
      <c r="R4437" t="s">
        <v>47430</v>
      </c>
      <c r="S4437" t="s">
        <v>47549</v>
      </c>
      <c r="T4437" t="s">
        <v>49166</v>
      </c>
      <c r="U4437" t="s">
        <v>53436</v>
      </c>
      <c r="W4437" t="s">
        <v>44906</v>
      </c>
      <c r="X4437" t="s">
        <v>47431</v>
      </c>
    </row>
    <row r="4438" spans="1:24">
      <c r="A4438">
        <f>HYPERLINK("https://www.philgeps.gov.ph/GEPSNONPILOT/Tender/SplashBidNoticeAbstractUI.aspx?menuIndex=3&amp;refID=7159405&amp;Result=3","7159405")</f>
        <v>0</v>
      </c>
      <c r="B4438" t="s">
        <v>1545</v>
      </c>
      <c r="C4438" t="s">
        <v>8109</v>
      </c>
      <c r="D4438" t="s">
        <v>19044</v>
      </c>
      <c r="E4438" t="s">
        <v>23054</v>
      </c>
      <c r="F4438" t="s">
        <v>32831</v>
      </c>
      <c r="G4438" t="s">
        <v>32840</v>
      </c>
      <c r="H4438" t="s">
        <v>32848</v>
      </c>
      <c r="I4438" t="s">
        <v>32881</v>
      </c>
      <c r="J4438" t="s">
        <v>35860</v>
      </c>
      <c r="K4438" t="s">
        <v>42730</v>
      </c>
      <c r="M4438" t="s">
        <v>44649</v>
      </c>
      <c r="N4438" t="s">
        <v>47424</v>
      </c>
      <c r="O4438" t="s">
        <v>47425</v>
      </c>
      <c r="P4438">
        <v>0</v>
      </c>
      <c r="Q4438">
        <v>1</v>
      </c>
      <c r="R4438" t="s">
        <v>47430</v>
      </c>
      <c r="S4438" t="s">
        <v>47549</v>
      </c>
      <c r="T4438" t="s">
        <v>49214</v>
      </c>
      <c r="U4438" t="s">
        <v>53437</v>
      </c>
      <c r="W4438" t="s">
        <v>44649</v>
      </c>
      <c r="X4438" t="s">
        <v>47431</v>
      </c>
    </row>
    <row r="4439" spans="1:24">
      <c r="A4439">
        <f>HYPERLINK("https://www.philgeps.gov.ph/GEPSNONPILOT/Tender/SplashBidNoticeAbstractUI.aspx?menuIndex=3&amp;refID=7159399&amp;Result=3","7159399")</f>
        <v>0</v>
      </c>
      <c r="B4439" t="s">
        <v>1728</v>
      </c>
      <c r="C4439" t="s">
        <v>8110</v>
      </c>
      <c r="D4439" t="s">
        <v>19058</v>
      </c>
      <c r="E4439" t="s">
        <v>23055</v>
      </c>
      <c r="F4439" t="s">
        <v>32831</v>
      </c>
      <c r="G4439" t="s">
        <v>32839</v>
      </c>
      <c r="H4439" t="s">
        <v>32848</v>
      </c>
      <c r="I4439" t="s">
        <v>7416</v>
      </c>
      <c r="J4439" t="s">
        <v>35861</v>
      </c>
      <c r="K4439" t="s">
        <v>42727</v>
      </c>
      <c r="M4439" t="s">
        <v>44851</v>
      </c>
      <c r="N4439" t="s">
        <v>47424</v>
      </c>
      <c r="O4439" t="s">
        <v>47425</v>
      </c>
      <c r="P4439">
        <v>0</v>
      </c>
      <c r="Q4439">
        <v>1</v>
      </c>
      <c r="R4439" t="s">
        <v>47430</v>
      </c>
      <c r="S4439" t="s">
        <v>47549</v>
      </c>
      <c r="T4439" t="s">
        <v>49267</v>
      </c>
      <c r="U4439" t="s">
        <v>53325</v>
      </c>
      <c r="V4439" t="s">
        <v>63114</v>
      </c>
      <c r="W4439" t="s">
        <v>44851</v>
      </c>
      <c r="X4439" t="s">
        <v>47431</v>
      </c>
    </row>
    <row r="4440" spans="1:24">
      <c r="A4440">
        <f>HYPERLINK("https://www.philgeps.gov.ph/GEPSNONPILOT/Tender/SplashBidNoticeAbstractUI.aspx?menuIndex=3&amp;refID=7159398&amp;Result=3","7159398")</f>
        <v>0</v>
      </c>
      <c r="B4440" t="s">
        <v>1781</v>
      </c>
      <c r="C4440" t="s">
        <v>8111</v>
      </c>
      <c r="D4440" t="s">
        <v>19026</v>
      </c>
      <c r="E4440" t="s">
        <v>8111</v>
      </c>
      <c r="F4440" t="s">
        <v>32831</v>
      </c>
      <c r="G4440" t="s">
        <v>32838</v>
      </c>
      <c r="H4440" t="s">
        <v>32848</v>
      </c>
      <c r="I4440" t="s">
        <v>32855</v>
      </c>
      <c r="J4440" t="s">
        <v>35862</v>
      </c>
      <c r="K4440" t="s">
        <v>42732</v>
      </c>
      <c r="M4440" t="s">
        <v>44907</v>
      </c>
      <c r="N4440" t="s">
        <v>47424</v>
      </c>
      <c r="O4440" t="s">
        <v>47425</v>
      </c>
      <c r="P4440">
        <v>0</v>
      </c>
      <c r="Q4440">
        <v>8</v>
      </c>
      <c r="R4440" t="s">
        <v>47430</v>
      </c>
      <c r="S4440" t="s">
        <v>47549</v>
      </c>
      <c r="T4440" t="s">
        <v>49389</v>
      </c>
      <c r="U4440" t="s">
        <v>53438</v>
      </c>
      <c r="W4440" t="s">
        <v>44907</v>
      </c>
      <c r="X4440" t="s">
        <v>47431</v>
      </c>
    </row>
    <row r="4441" spans="1:24">
      <c r="A4441">
        <f>HYPERLINK("https://www.philgeps.gov.ph/GEPSNONPILOT/Tender/SplashBidNoticeAbstractUI.aspx?menuIndex=3&amp;refID=7159358&amp;Result=3","7159358")</f>
        <v>0</v>
      </c>
      <c r="B4441" t="s">
        <v>999</v>
      </c>
      <c r="C4441" t="s">
        <v>8112</v>
      </c>
      <c r="D4441" t="s">
        <v>19017</v>
      </c>
      <c r="E4441" t="s">
        <v>23056</v>
      </c>
      <c r="F4441" t="s">
        <v>32831</v>
      </c>
      <c r="G4441" t="s">
        <v>32839</v>
      </c>
      <c r="H4441" t="s">
        <v>32848</v>
      </c>
      <c r="I4441" t="s">
        <v>32924</v>
      </c>
      <c r="J4441" t="s">
        <v>35863</v>
      </c>
      <c r="K4441" t="s">
        <v>42804</v>
      </c>
      <c r="M4441" t="s">
        <v>44908</v>
      </c>
      <c r="N4441" t="s">
        <v>47424</v>
      </c>
      <c r="O4441" t="s">
        <v>47425</v>
      </c>
      <c r="P4441">
        <v>0</v>
      </c>
      <c r="Q4441">
        <v>8</v>
      </c>
      <c r="R4441" t="s">
        <v>47430</v>
      </c>
      <c r="S4441" t="s">
        <v>47549</v>
      </c>
      <c r="T4441" t="s">
        <v>49323</v>
      </c>
      <c r="U4441" t="s">
        <v>53439</v>
      </c>
      <c r="W4441" t="s">
        <v>44908</v>
      </c>
      <c r="X4441" t="s">
        <v>47431</v>
      </c>
    </row>
    <row r="4442" spans="1:24">
      <c r="A4442">
        <f>HYPERLINK("https://www.philgeps.gov.ph/GEPSNONPILOT/Tender/SplashBidNoticeAbstractUI.aspx?menuIndex=3&amp;refID=7159401&amp;Result=3","7159401")</f>
        <v>0</v>
      </c>
      <c r="B4442" t="s">
        <v>629</v>
      </c>
      <c r="C4442" t="s">
        <v>8113</v>
      </c>
      <c r="D4442" t="s">
        <v>19049</v>
      </c>
      <c r="E4442" t="s">
        <v>23057</v>
      </c>
      <c r="F4442" t="s">
        <v>32831</v>
      </c>
      <c r="G4442" t="s">
        <v>32840</v>
      </c>
      <c r="H4442" t="s">
        <v>32848</v>
      </c>
      <c r="I4442" t="s">
        <v>32907</v>
      </c>
      <c r="J4442" t="s">
        <v>33775</v>
      </c>
      <c r="K4442" t="s">
        <v>42731</v>
      </c>
      <c r="M4442" t="s">
        <v>43646</v>
      </c>
      <c r="N4442" t="s">
        <v>47424</v>
      </c>
      <c r="O4442" t="s">
        <v>47425</v>
      </c>
      <c r="P4442">
        <v>0</v>
      </c>
      <c r="Q4442">
        <v>0</v>
      </c>
      <c r="R4442" t="s">
        <v>47430</v>
      </c>
      <c r="S4442" t="s">
        <v>47549</v>
      </c>
      <c r="T4442" t="s">
        <v>49237</v>
      </c>
      <c r="U4442" t="s">
        <v>53440</v>
      </c>
      <c r="W4442" t="s">
        <v>43646</v>
      </c>
      <c r="X4442" t="s">
        <v>47431</v>
      </c>
    </row>
    <row r="4443" spans="1:24">
      <c r="A4443">
        <f>HYPERLINK("https://www.philgeps.gov.ph/GEPSNONPILOT/Tender/SplashBidNoticeAbstractUI.aspx?menuIndex=3&amp;refID=7159391&amp;Result=3","7159391")</f>
        <v>0</v>
      </c>
      <c r="B4443" t="s">
        <v>1776</v>
      </c>
      <c r="C4443" t="s">
        <v>8114</v>
      </c>
      <c r="E4443" t="s">
        <v>23058</v>
      </c>
      <c r="F4443" t="s">
        <v>32834</v>
      </c>
      <c r="G4443" t="s">
        <v>32840</v>
      </c>
      <c r="H4443" t="s">
        <v>32848</v>
      </c>
      <c r="I4443" t="s">
        <v>5379</v>
      </c>
      <c r="J4443" t="s">
        <v>35864</v>
      </c>
      <c r="K4443" t="s">
        <v>42732</v>
      </c>
      <c r="M4443" t="s">
        <v>44901</v>
      </c>
      <c r="N4443" t="s">
        <v>47424</v>
      </c>
      <c r="O4443" t="s">
        <v>47425</v>
      </c>
      <c r="P4443">
        <v>0</v>
      </c>
      <c r="Q4443">
        <v>2</v>
      </c>
      <c r="R4443" t="s">
        <v>47430</v>
      </c>
      <c r="S4443" t="s">
        <v>47549</v>
      </c>
      <c r="T4443" t="s">
        <v>49198</v>
      </c>
      <c r="U4443" t="s">
        <v>53425</v>
      </c>
      <c r="W4443" t="s">
        <v>44901</v>
      </c>
      <c r="X4443" t="s">
        <v>47431</v>
      </c>
    </row>
    <row r="4444" spans="1:24">
      <c r="A4444">
        <f>HYPERLINK("https://www.philgeps.gov.ph/GEPSNONPILOT/Tender/SplashBidNoticeAbstractUI.aspx?menuIndex=3&amp;refID=7159390&amp;Result=3","7159390")</f>
        <v>0</v>
      </c>
      <c r="B4444" t="s">
        <v>981</v>
      </c>
      <c r="C4444" t="s">
        <v>8115</v>
      </c>
      <c r="D4444" t="s">
        <v>19082</v>
      </c>
      <c r="E4444" t="s">
        <v>19987</v>
      </c>
      <c r="F4444" t="s">
        <v>32831</v>
      </c>
      <c r="G4444" t="s">
        <v>32838</v>
      </c>
      <c r="H4444" t="s">
        <v>32848</v>
      </c>
      <c r="I4444" t="s">
        <v>4446</v>
      </c>
      <c r="J4444" t="s">
        <v>33853</v>
      </c>
      <c r="K4444" t="s">
        <v>42726</v>
      </c>
      <c r="M4444" t="s">
        <v>44030</v>
      </c>
      <c r="N4444" t="s">
        <v>47424</v>
      </c>
      <c r="O4444" t="s">
        <v>47425</v>
      </c>
      <c r="P4444">
        <v>0</v>
      </c>
      <c r="Q4444">
        <v>0</v>
      </c>
      <c r="R4444" t="s">
        <v>47430</v>
      </c>
      <c r="S4444" t="s">
        <v>47549</v>
      </c>
      <c r="T4444" t="s">
        <v>49237</v>
      </c>
      <c r="U4444" t="s">
        <v>53441</v>
      </c>
      <c r="W4444" t="s">
        <v>44030</v>
      </c>
      <c r="X4444" t="s">
        <v>47431</v>
      </c>
    </row>
    <row r="4445" spans="1:24">
      <c r="A4445">
        <f>HYPERLINK("https://www.philgeps.gov.ph/GEPSNONPILOT/Tender/SplashBidNoticeAbstractUI.aspx?menuIndex=3&amp;refID=7159374&amp;Result=3","7159374")</f>
        <v>0</v>
      </c>
      <c r="B4445" t="s">
        <v>674</v>
      </c>
      <c r="C4445" t="s">
        <v>8116</v>
      </c>
      <c r="D4445" t="s">
        <v>19058</v>
      </c>
      <c r="E4445" t="s">
        <v>23059</v>
      </c>
      <c r="F4445" t="s">
        <v>32831</v>
      </c>
      <c r="G4445" t="s">
        <v>32838</v>
      </c>
      <c r="H4445" t="s">
        <v>32848</v>
      </c>
      <c r="I4445" t="s">
        <v>32863</v>
      </c>
      <c r="J4445" t="s">
        <v>35865</v>
      </c>
      <c r="K4445" t="s">
        <v>42732</v>
      </c>
      <c r="M4445" t="s">
        <v>44520</v>
      </c>
      <c r="N4445" t="s">
        <v>47424</v>
      </c>
      <c r="O4445" t="s">
        <v>47425</v>
      </c>
      <c r="P4445">
        <v>0</v>
      </c>
      <c r="Q4445">
        <v>1</v>
      </c>
      <c r="R4445" t="s">
        <v>47430</v>
      </c>
      <c r="S4445" t="s">
        <v>47549</v>
      </c>
      <c r="T4445" t="s">
        <v>49237</v>
      </c>
      <c r="U4445" t="s">
        <v>53442</v>
      </c>
      <c r="W4445" t="s">
        <v>44520</v>
      </c>
      <c r="X4445" t="s">
        <v>47431</v>
      </c>
    </row>
    <row r="4446" spans="1:24">
      <c r="A4446">
        <f>HYPERLINK("https://www.philgeps.gov.ph/GEPSNONPILOT/Tender/SplashBidNoticeAbstractUI.aspx?menuIndex=3&amp;refID=7159384&amp;Result=3","7159384")</f>
        <v>0</v>
      </c>
      <c r="B4446" t="s">
        <v>1782</v>
      </c>
      <c r="C4446" t="s">
        <v>8117</v>
      </c>
      <c r="D4446" t="s">
        <v>19035</v>
      </c>
      <c r="E4446" t="s">
        <v>23060</v>
      </c>
      <c r="F4446" t="s">
        <v>32831</v>
      </c>
      <c r="G4446" t="s">
        <v>32839</v>
      </c>
      <c r="H4446" t="s">
        <v>32848</v>
      </c>
      <c r="I4446" t="s">
        <v>32871</v>
      </c>
      <c r="J4446" t="s">
        <v>33016</v>
      </c>
      <c r="K4446" t="s">
        <v>42748</v>
      </c>
      <c r="M4446" t="s">
        <v>44909</v>
      </c>
      <c r="N4446" t="s">
        <v>47424</v>
      </c>
      <c r="O4446" t="s">
        <v>47425</v>
      </c>
      <c r="P4446">
        <v>0</v>
      </c>
      <c r="Q4446">
        <v>10</v>
      </c>
      <c r="R4446" t="s">
        <v>47430</v>
      </c>
      <c r="S4446" t="s">
        <v>47549</v>
      </c>
      <c r="T4446" t="s">
        <v>49390</v>
      </c>
      <c r="U4446" t="s">
        <v>53443</v>
      </c>
      <c r="W4446" t="s">
        <v>44909</v>
      </c>
      <c r="X4446" t="s">
        <v>47431</v>
      </c>
    </row>
    <row r="4447" spans="1:24">
      <c r="A4447">
        <f>HYPERLINK("https://www.philgeps.gov.ph/GEPSNONPILOT/Tender/SplashBidNoticeAbstractUI.aspx?menuIndex=3&amp;refID=7159392&amp;Result=3","7159392")</f>
        <v>0</v>
      </c>
      <c r="B4447" t="s">
        <v>1753</v>
      </c>
      <c r="C4447" t="s">
        <v>8118</v>
      </c>
      <c r="D4447" t="s">
        <v>19104</v>
      </c>
      <c r="E4447" t="s">
        <v>23061</v>
      </c>
      <c r="F4447" t="s">
        <v>32831</v>
      </c>
      <c r="G4447" t="s">
        <v>32838</v>
      </c>
      <c r="H4447" t="s">
        <v>32848</v>
      </c>
      <c r="I4447" t="s">
        <v>32867</v>
      </c>
      <c r="J4447" t="s">
        <v>35866</v>
      </c>
      <c r="K4447" t="s">
        <v>42727</v>
      </c>
      <c r="M4447" t="s">
        <v>44877</v>
      </c>
      <c r="N4447" t="s">
        <v>47424</v>
      </c>
      <c r="O4447" t="s">
        <v>47425</v>
      </c>
      <c r="P4447">
        <v>0</v>
      </c>
      <c r="Q4447">
        <v>2</v>
      </c>
      <c r="R4447" t="s">
        <v>47430</v>
      </c>
      <c r="S4447" t="s">
        <v>47549</v>
      </c>
      <c r="T4447" t="s">
        <v>49111</v>
      </c>
      <c r="U4447" t="s">
        <v>53444</v>
      </c>
      <c r="W4447" t="s">
        <v>44877</v>
      </c>
      <c r="X4447" t="s">
        <v>47431</v>
      </c>
    </row>
    <row r="4448" spans="1:24">
      <c r="A4448">
        <f>HYPERLINK("https://www.philgeps.gov.ph/GEPSNONPILOT/Tender/SplashBidNoticeAbstractUI.aspx?menuIndex=3&amp;refID=7159383&amp;Result=3","7159383")</f>
        <v>0</v>
      </c>
      <c r="B4448" t="s">
        <v>1441</v>
      </c>
      <c r="C4448" t="s">
        <v>8119</v>
      </c>
      <c r="D4448" t="s">
        <v>19048</v>
      </c>
      <c r="E4448" t="s">
        <v>23062</v>
      </c>
      <c r="F4448" t="s">
        <v>32831</v>
      </c>
      <c r="G4448" t="s">
        <v>32839</v>
      </c>
      <c r="H4448" t="s">
        <v>32848</v>
      </c>
      <c r="I4448" t="s">
        <v>10805</v>
      </c>
      <c r="J4448" t="s">
        <v>33978</v>
      </c>
      <c r="K4448" t="s">
        <v>42727</v>
      </c>
      <c r="M4448" t="s">
        <v>44533</v>
      </c>
      <c r="N4448" t="s">
        <v>47424</v>
      </c>
      <c r="O4448" t="s">
        <v>47425</v>
      </c>
      <c r="P4448">
        <v>0</v>
      </c>
      <c r="Q4448">
        <v>3</v>
      </c>
      <c r="R4448" t="s">
        <v>47430</v>
      </c>
      <c r="S4448" t="s">
        <v>47549</v>
      </c>
      <c r="T4448" t="s">
        <v>49066</v>
      </c>
      <c r="U4448" t="s">
        <v>53445</v>
      </c>
      <c r="W4448" t="s">
        <v>44533</v>
      </c>
      <c r="X4448" t="s">
        <v>47431</v>
      </c>
    </row>
    <row r="4449" spans="1:24">
      <c r="A4449">
        <f>HYPERLINK("https://www.philgeps.gov.ph/GEPSNONPILOT/Tender/SplashBidNoticeAbstractUI.aspx?menuIndex=3&amp;refID=7159395&amp;Result=3","7159395")</f>
        <v>0</v>
      </c>
      <c r="B4449" t="s">
        <v>1783</v>
      </c>
      <c r="C4449" t="s">
        <v>8120</v>
      </c>
      <c r="D4449" t="s">
        <v>19057</v>
      </c>
      <c r="E4449" t="s">
        <v>21879</v>
      </c>
      <c r="F4449" t="s">
        <v>32831</v>
      </c>
      <c r="G4449" t="s">
        <v>32838</v>
      </c>
      <c r="H4449" t="s">
        <v>32850</v>
      </c>
      <c r="I4449" t="s">
        <v>32931</v>
      </c>
      <c r="J4449" t="s">
        <v>33247</v>
      </c>
      <c r="K4449" t="s">
        <v>42731</v>
      </c>
      <c r="M4449" t="s">
        <v>44910</v>
      </c>
      <c r="N4449" t="s">
        <v>47424</v>
      </c>
      <c r="O4449" t="s">
        <v>47425</v>
      </c>
      <c r="P4449">
        <v>0</v>
      </c>
      <c r="Q4449">
        <v>1</v>
      </c>
      <c r="R4449" t="s">
        <v>47430</v>
      </c>
      <c r="S4449" t="s">
        <v>47549</v>
      </c>
      <c r="T4449" t="s">
        <v>49212</v>
      </c>
      <c r="U4449" t="s">
        <v>53446</v>
      </c>
      <c r="W4449" t="s">
        <v>44910</v>
      </c>
      <c r="X4449" t="s">
        <v>47431</v>
      </c>
    </row>
    <row r="4450" spans="1:24">
      <c r="A4450">
        <f>HYPERLINK("https://www.philgeps.gov.ph/GEPSNONPILOT/Tender/SplashBidNoticeAbstractUI.aspx?menuIndex=3&amp;refID=7159371&amp;Result=3","7159371")</f>
        <v>0</v>
      </c>
      <c r="B4450" t="s">
        <v>1753</v>
      </c>
      <c r="C4450" t="s">
        <v>8121</v>
      </c>
      <c r="D4450" t="s">
        <v>19104</v>
      </c>
      <c r="E4450" t="s">
        <v>23063</v>
      </c>
      <c r="F4450" t="s">
        <v>32831</v>
      </c>
      <c r="G4450" t="s">
        <v>32838</v>
      </c>
      <c r="H4450" t="s">
        <v>32848</v>
      </c>
      <c r="I4450" t="s">
        <v>4438</v>
      </c>
      <c r="J4450" t="s">
        <v>35867</v>
      </c>
      <c r="K4450" t="s">
        <v>42727</v>
      </c>
      <c r="M4450" t="s">
        <v>44877</v>
      </c>
      <c r="N4450" t="s">
        <v>47424</v>
      </c>
      <c r="O4450" t="s">
        <v>47425</v>
      </c>
      <c r="P4450">
        <v>0</v>
      </c>
      <c r="Q4450">
        <v>0</v>
      </c>
      <c r="R4450" t="s">
        <v>47430</v>
      </c>
      <c r="S4450" t="s">
        <v>47549</v>
      </c>
      <c r="T4450" t="s">
        <v>49111</v>
      </c>
      <c r="U4450" t="s">
        <v>53447</v>
      </c>
      <c r="W4450" t="s">
        <v>44877</v>
      </c>
      <c r="X4450" t="s">
        <v>47431</v>
      </c>
    </row>
    <row r="4451" spans="1:24">
      <c r="A4451">
        <f>HYPERLINK("https://www.philgeps.gov.ph/GEPSNONPILOT/Tender/SplashBidNoticeAbstractUI.aspx?menuIndex=3&amp;refID=7159434&amp;Result=3","7159434")</f>
        <v>0</v>
      </c>
      <c r="B4451" t="s">
        <v>399</v>
      </c>
      <c r="C4451" t="s">
        <v>7716</v>
      </c>
      <c r="D4451" t="s">
        <v>19017</v>
      </c>
      <c r="E4451" t="s">
        <v>23064</v>
      </c>
      <c r="F4451" t="s">
        <v>32831</v>
      </c>
      <c r="G4451" t="s">
        <v>32840</v>
      </c>
      <c r="H4451" t="s">
        <v>32848</v>
      </c>
      <c r="I4451" t="s">
        <v>10805</v>
      </c>
      <c r="J4451" t="s">
        <v>35868</v>
      </c>
      <c r="K4451" t="s">
        <v>42726</v>
      </c>
      <c r="M4451" t="s">
        <v>43404</v>
      </c>
      <c r="N4451" t="s">
        <v>47424</v>
      </c>
      <c r="O4451" t="s">
        <v>47425</v>
      </c>
      <c r="P4451">
        <v>0</v>
      </c>
      <c r="Q4451">
        <v>7</v>
      </c>
      <c r="R4451" t="s">
        <v>47430</v>
      </c>
      <c r="S4451" t="s">
        <v>47549</v>
      </c>
      <c r="T4451" t="s">
        <v>49107</v>
      </c>
      <c r="U4451" t="s">
        <v>50389</v>
      </c>
      <c r="W4451" t="s">
        <v>43404</v>
      </c>
      <c r="X4451" t="s">
        <v>47431</v>
      </c>
    </row>
    <row r="4452" spans="1:24">
      <c r="A4452">
        <f>HYPERLINK("https://www.philgeps.gov.ph/GEPSNONPILOT/Tender/SplashBidNoticeAbstractUI.aspx?menuIndex=3&amp;refID=7159388&amp;Result=3","7159388")</f>
        <v>0</v>
      </c>
      <c r="B4452" t="s">
        <v>1770</v>
      </c>
      <c r="C4452" t="s">
        <v>8122</v>
      </c>
      <c r="D4452" t="s">
        <v>19058</v>
      </c>
      <c r="E4452" t="s">
        <v>23065</v>
      </c>
      <c r="F4452" t="s">
        <v>32831</v>
      </c>
      <c r="G4452" t="s">
        <v>32840</v>
      </c>
      <c r="H4452" t="s">
        <v>32848</v>
      </c>
      <c r="I4452" t="s">
        <v>4471</v>
      </c>
      <c r="J4452" t="s">
        <v>35869</v>
      </c>
      <c r="K4452" t="s">
        <v>42726</v>
      </c>
      <c r="M4452" t="s">
        <v>44895</v>
      </c>
      <c r="N4452" t="s">
        <v>47424</v>
      </c>
      <c r="O4452" t="s">
        <v>47425</v>
      </c>
      <c r="P4452">
        <v>0</v>
      </c>
      <c r="Q4452">
        <v>0</v>
      </c>
      <c r="R4452" t="s">
        <v>47430</v>
      </c>
      <c r="S4452" t="s">
        <v>47549</v>
      </c>
      <c r="T4452" t="s">
        <v>49080</v>
      </c>
      <c r="U4452" t="s">
        <v>53448</v>
      </c>
      <c r="W4452" t="s">
        <v>44895</v>
      </c>
      <c r="X4452" t="s">
        <v>47431</v>
      </c>
    </row>
    <row r="4453" spans="1:24">
      <c r="A4453">
        <f>HYPERLINK("https://www.philgeps.gov.ph/GEPSNONPILOT/Tender/SplashBidNoticeAbstractUI.aspx?menuIndex=3&amp;refID=7159432&amp;Result=3","7159432")</f>
        <v>0</v>
      </c>
      <c r="B4453" t="s">
        <v>493</v>
      </c>
      <c r="C4453" t="s">
        <v>8123</v>
      </c>
      <c r="D4453" t="s">
        <v>19017</v>
      </c>
      <c r="E4453" t="s">
        <v>23066</v>
      </c>
      <c r="F4453" t="s">
        <v>32831</v>
      </c>
      <c r="G4453" t="s">
        <v>32838</v>
      </c>
      <c r="H4453" t="s">
        <v>32848</v>
      </c>
      <c r="I4453" t="s">
        <v>32881</v>
      </c>
      <c r="J4453" t="s">
        <v>33291</v>
      </c>
      <c r="K4453" t="s">
        <v>42758</v>
      </c>
      <c r="M4453" t="s">
        <v>44911</v>
      </c>
      <c r="N4453" t="s">
        <v>47424</v>
      </c>
      <c r="O4453" t="s">
        <v>47425</v>
      </c>
      <c r="P4453">
        <v>0</v>
      </c>
      <c r="Q4453">
        <v>10</v>
      </c>
      <c r="R4453" t="s">
        <v>47430</v>
      </c>
      <c r="S4453" t="s">
        <v>47549</v>
      </c>
      <c r="T4453" t="s">
        <v>49244</v>
      </c>
      <c r="U4453" t="s">
        <v>53449</v>
      </c>
      <c r="W4453" t="s">
        <v>43498</v>
      </c>
      <c r="X4453" t="s">
        <v>47431</v>
      </c>
    </row>
    <row r="4454" spans="1:24">
      <c r="A4454">
        <f>HYPERLINK("https://www.philgeps.gov.ph/GEPSNONPILOT/Tender/SplashBidNoticeAbstractUI.aspx?menuIndex=3&amp;refID=7159430&amp;Result=3","7159430")</f>
        <v>0</v>
      </c>
      <c r="B4454" t="s">
        <v>1153</v>
      </c>
      <c r="C4454" t="s">
        <v>8124</v>
      </c>
      <c r="D4454" t="s">
        <v>19045</v>
      </c>
      <c r="E4454" t="s">
        <v>23067</v>
      </c>
      <c r="F4454" t="s">
        <v>32831</v>
      </c>
      <c r="G4454" t="s">
        <v>32838</v>
      </c>
      <c r="H4454" t="s">
        <v>32848</v>
      </c>
      <c r="I4454" t="s">
        <v>32859</v>
      </c>
      <c r="J4454" t="s">
        <v>35870</v>
      </c>
      <c r="K4454" t="s">
        <v>42732</v>
      </c>
      <c r="M4454" t="s">
        <v>44217</v>
      </c>
      <c r="N4454" t="s">
        <v>47424</v>
      </c>
      <c r="O4454" t="s">
        <v>47425</v>
      </c>
      <c r="P4454">
        <v>0</v>
      </c>
      <c r="Q4454">
        <v>2</v>
      </c>
      <c r="R4454" t="s">
        <v>47430</v>
      </c>
      <c r="S4454" t="s">
        <v>47549</v>
      </c>
      <c r="T4454" t="s">
        <v>49111</v>
      </c>
      <c r="U4454" t="s">
        <v>53450</v>
      </c>
      <c r="W4454" t="s">
        <v>44217</v>
      </c>
      <c r="X4454" t="s">
        <v>47431</v>
      </c>
    </row>
    <row r="4455" spans="1:24">
      <c r="A4455">
        <f>HYPERLINK("https://www.philgeps.gov.ph/GEPSNONPILOT/Tender/SplashBidNoticeAbstractUI.aspx?menuIndex=3&amp;refID=7159423&amp;Result=3","7159423")</f>
        <v>0</v>
      </c>
      <c r="B4455" t="s">
        <v>1759</v>
      </c>
      <c r="C4455" t="s">
        <v>8125</v>
      </c>
      <c r="D4455" t="s">
        <v>19058</v>
      </c>
      <c r="E4455" t="s">
        <v>23068</v>
      </c>
      <c r="F4455" t="s">
        <v>32831</v>
      </c>
      <c r="G4455" t="s">
        <v>32839</v>
      </c>
      <c r="H4455" t="s">
        <v>32848</v>
      </c>
      <c r="I4455" t="s">
        <v>32857</v>
      </c>
      <c r="J4455" t="s">
        <v>35871</v>
      </c>
      <c r="K4455" t="s">
        <v>42726</v>
      </c>
      <c r="M4455" t="s">
        <v>44883</v>
      </c>
      <c r="N4455" t="s">
        <v>47424</v>
      </c>
      <c r="O4455" t="s">
        <v>47425</v>
      </c>
      <c r="P4455">
        <v>0</v>
      </c>
      <c r="Q4455">
        <v>5</v>
      </c>
      <c r="R4455" t="s">
        <v>47430</v>
      </c>
      <c r="S4455" t="s">
        <v>47549</v>
      </c>
      <c r="T4455" t="s">
        <v>49294</v>
      </c>
      <c r="U4455" t="s">
        <v>53451</v>
      </c>
      <c r="V4455" t="s">
        <v>63115</v>
      </c>
      <c r="W4455" t="s">
        <v>44883</v>
      </c>
      <c r="X4455" t="s">
        <v>47431</v>
      </c>
    </row>
    <row r="4456" spans="1:24">
      <c r="A4456">
        <f>HYPERLINK("https://www.philgeps.gov.ph/GEPSNONPILOT/Tender/SplashBidNoticeAbstractUI.aspx?menuIndex=3&amp;refID=7159435&amp;Result=3","7159435")</f>
        <v>0</v>
      </c>
      <c r="B4456" t="s">
        <v>172</v>
      </c>
      <c r="C4456" t="s">
        <v>8126</v>
      </c>
      <c r="D4456" t="s">
        <v>19022</v>
      </c>
      <c r="E4456" t="s">
        <v>23069</v>
      </c>
      <c r="F4456" t="s">
        <v>32831</v>
      </c>
      <c r="G4456" t="s">
        <v>32838</v>
      </c>
      <c r="H4456" t="s">
        <v>32848</v>
      </c>
      <c r="I4456" t="s">
        <v>32857</v>
      </c>
      <c r="J4456" t="s">
        <v>34188</v>
      </c>
      <c r="K4456" t="s">
        <v>42726</v>
      </c>
      <c r="M4456" t="s">
        <v>43169</v>
      </c>
      <c r="N4456" t="s">
        <v>47424</v>
      </c>
      <c r="O4456" t="s">
        <v>47425</v>
      </c>
      <c r="P4456">
        <v>0</v>
      </c>
      <c r="Q4456">
        <v>0</v>
      </c>
      <c r="R4456" t="s">
        <v>47430</v>
      </c>
      <c r="S4456" t="s">
        <v>47549</v>
      </c>
      <c r="T4456" t="s">
        <v>49141</v>
      </c>
      <c r="U4456" t="s">
        <v>53367</v>
      </c>
      <c r="V4456" t="s">
        <v>63113</v>
      </c>
      <c r="W4456" t="s">
        <v>43169</v>
      </c>
      <c r="X4456" t="s">
        <v>47431</v>
      </c>
    </row>
    <row r="4457" spans="1:24">
      <c r="A4457">
        <f>HYPERLINK("https://www.philgeps.gov.ph/GEPSNONPILOT/Tender/SplashBidNoticeAbstractUI.aspx?menuIndex=3&amp;refID=7159422&amp;Result=3","7159422")</f>
        <v>0</v>
      </c>
      <c r="B4457" t="s">
        <v>263</v>
      </c>
      <c r="C4457" t="s">
        <v>8127</v>
      </c>
      <c r="D4457" t="s">
        <v>19083</v>
      </c>
      <c r="E4457" t="s">
        <v>23070</v>
      </c>
      <c r="F4457" t="s">
        <v>32831</v>
      </c>
      <c r="G4457" t="s">
        <v>32838</v>
      </c>
      <c r="H4457" t="s">
        <v>32848</v>
      </c>
      <c r="I4457" t="s">
        <v>7416</v>
      </c>
      <c r="J4457" t="s">
        <v>35872</v>
      </c>
      <c r="K4457" t="s">
        <v>42727</v>
      </c>
      <c r="M4457" t="s">
        <v>43262</v>
      </c>
      <c r="N4457" t="s">
        <v>47424</v>
      </c>
      <c r="O4457" t="s">
        <v>47425</v>
      </c>
      <c r="P4457">
        <v>0</v>
      </c>
      <c r="Q4457">
        <v>1</v>
      </c>
      <c r="R4457" t="s">
        <v>47430</v>
      </c>
      <c r="S4457" t="s">
        <v>47549</v>
      </c>
      <c r="T4457" t="s">
        <v>49115</v>
      </c>
      <c r="U4457" t="s">
        <v>53452</v>
      </c>
      <c r="W4457" t="s">
        <v>43262</v>
      </c>
      <c r="X4457" t="s">
        <v>47431</v>
      </c>
    </row>
    <row r="4458" spans="1:24">
      <c r="A4458">
        <f>HYPERLINK("https://www.philgeps.gov.ph/GEPSNONPILOT/Tender/SplashBidNoticeAbstractUI.aspx?menuIndex=3&amp;refID=7159420&amp;Result=3","7159420")</f>
        <v>0</v>
      </c>
      <c r="B4458" t="s">
        <v>565</v>
      </c>
      <c r="C4458" t="s">
        <v>8128</v>
      </c>
      <c r="D4458" t="s">
        <v>19020</v>
      </c>
      <c r="E4458" t="s">
        <v>23071</v>
      </c>
      <c r="F4458" t="s">
        <v>32831</v>
      </c>
      <c r="G4458" t="s">
        <v>32838</v>
      </c>
      <c r="H4458" t="s">
        <v>32848</v>
      </c>
      <c r="I4458" t="s">
        <v>4438</v>
      </c>
      <c r="J4458" t="s">
        <v>33162</v>
      </c>
      <c r="K4458" t="s">
        <v>42727</v>
      </c>
      <c r="M4458" t="s">
        <v>44789</v>
      </c>
      <c r="N4458" t="s">
        <v>47424</v>
      </c>
      <c r="O4458" t="s">
        <v>47425</v>
      </c>
      <c r="P4458">
        <v>0</v>
      </c>
      <c r="Q4458">
        <v>3</v>
      </c>
      <c r="R4458" t="s">
        <v>47430</v>
      </c>
      <c r="S4458" t="s">
        <v>47549</v>
      </c>
      <c r="T4458" t="s">
        <v>49391</v>
      </c>
      <c r="U4458" t="s">
        <v>53453</v>
      </c>
      <c r="W4458" t="s">
        <v>44789</v>
      </c>
      <c r="X4458" t="s">
        <v>47431</v>
      </c>
    </row>
    <row r="4459" spans="1:24">
      <c r="A4459">
        <f>HYPERLINK("https://www.philgeps.gov.ph/GEPSNONPILOT/Tender/SplashBidNoticeAbstractUI.aspx?menuIndex=3&amp;refID=7159431&amp;Result=3","7159431")</f>
        <v>0</v>
      </c>
      <c r="B4459" t="s">
        <v>459</v>
      </c>
      <c r="C4459" t="s">
        <v>8129</v>
      </c>
      <c r="D4459" t="s">
        <v>19023</v>
      </c>
      <c r="E4459" t="s">
        <v>23072</v>
      </c>
      <c r="F4459" t="s">
        <v>32831</v>
      </c>
      <c r="G4459" t="s">
        <v>32838</v>
      </c>
      <c r="H4459" t="s">
        <v>32848</v>
      </c>
      <c r="I4459" t="s">
        <v>32857</v>
      </c>
      <c r="J4459" t="s">
        <v>32978</v>
      </c>
      <c r="K4459" t="s">
        <v>42726</v>
      </c>
      <c r="M4459" t="s">
        <v>43464</v>
      </c>
      <c r="N4459" t="s">
        <v>47424</v>
      </c>
      <c r="O4459" t="s">
        <v>47425</v>
      </c>
      <c r="P4459">
        <v>0</v>
      </c>
      <c r="Q4459">
        <v>1</v>
      </c>
      <c r="R4459" t="s">
        <v>47430</v>
      </c>
      <c r="S4459" t="s">
        <v>47549</v>
      </c>
      <c r="T4459" t="s">
        <v>49163</v>
      </c>
      <c r="U4459" t="s">
        <v>53454</v>
      </c>
      <c r="W4459" t="s">
        <v>43464</v>
      </c>
      <c r="X4459" t="s">
        <v>47431</v>
      </c>
    </row>
    <row r="4460" spans="1:24">
      <c r="A4460">
        <f>HYPERLINK("https://www.philgeps.gov.ph/GEPSNONPILOT/Tender/SplashBidNoticeAbstractUI.aspx?menuIndex=3&amp;refID=7159425&amp;Result=3","7159425")</f>
        <v>0</v>
      </c>
      <c r="B4460" t="s">
        <v>1784</v>
      </c>
      <c r="C4460" t="s">
        <v>8130</v>
      </c>
      <c r="D4460" t="s">
        <v>19059</v>
      </c>
      <c r="E4460" t="s">
        <v>19219</v>
      </c>
      <c r="F4460" t="s">
        <v>32831</v>
      </c>
      <c r="G4460" t="s">
        <v>32839</v>
      </c>
      <c r="H4460" t="s">
        <v>32849</v>
      </c>
      <c r="I4460" t="s">
        <v>4177</v>
      </c>
      <c r="J4460" t="s">
        <v>35873</v>
      </c>
      <c r="K4460" t="s">
        <v>42729</v>
      </c>
      <c r="M4460" t="s">
        <v>44912</v>
      </c>
      <c r="N4460" t="s">
        <v>47424</v>
      </c>
      <c r="O4460" t="s">
        <v>47425</v>
      </c>
      <c r="P4460">
        <v>0</v>
      </c>
      <c r="Q4460">
        <v>1</v>
      </c>
      <c r="R4460" t="s">
        <v>47430</v>
      </c>
      <c r="S4460" t="s">
        <v>47549</v>
      </c>
      <c r="T4460" t="s">
        <v>49129</v>
      </c>
      <c r="U4460" t="s">
        <v>53455</v>
      </c>
      <c r="W4460" t="s">
        <v>44912</v>
      </c>
      <c r="X4460" t="s">
        <v>47431</v>
      </c>
    </row>
    <row r="4461" spans="1:24">
      <c r="A4461">
        <f>HYPERLINK("https://www.philgeps.gov.ph/GEPSNONPILOT/Tender/SplashBidNoticeAbstractUI.aspx?menuIndex=3&amp;refID=7159418&amp;Result=3","7159418")</f>
        <v>0</v>
      </c>
      <c r="B4461" t="s">
        <v>668</v>
      </c>
      <c r="C4461" t="s">
        <v>8131</v>
      </c>
      <c r="D4461" t="s">
        <v>19034</v>
      </c>
      <c r="E4461" t="s">
        <v>23073</v>
      </c>
      <c r="F4461" t="s">
        <v>32831</v>
      </c>
      <c r="G4461" t="s">
        <v>32838</v>
      </c>
      <c r="H4461" t="s">
        <v>32848</v>
      </c>
      <c r="I4461" t="s">
        <v>4487</v>
      </c>
      <c r="J4461" t="s">
        <v>35874</v>
      </c>
      <c r="K4461" t="s">
        <v>42727</v>
      </c>
      <c r="M4461" t="s">
        <v>44913</v>
      </c>
      <c r="N4461" t="s">
        <v>47424</v>
      </c>
      <c r="O4461" t="s">
        <v>47425</v>
      </c>
      <c r="P4461">
        <v>0</v>
      </c>
      <c r="Q4461">
        <v>0</v>
      </c>
      <c r="R4461" t="s">
        <v>47430</v>
      </c>
      <c r="S4461" t="s">
        <v>47549</v>
      </c>
      <c r="T4461" t="s">
        <v>49111</v>
      </c>
      <c r="U4461" t="s">
        <v>53456</v>
      </c>
      <c r="W4461" t="s">
        <v>44913</v>
      </c>
      <c r="X4461" t="s">
        <v>47431</v>
      </c>
    </row>
    <row r="4462" spans="1:24">
      <c r="A4462">
        <f>HYPERLINK("https://www.philgeps.gov.ph/GEPSNONPILOT/Tender/SplashBidNoticeAbstractUI.aspx?menuIndex=3&amp;refID=7159417&amp;Result=3","7159417")</f>
        <v>0</v>
      </c>
      <c r="B4462" t="s">
        <v>1149</v>
      </c>
      <c r="C4462" t="s">
        <v>6484</v>
      </c>
      <c r="D4462" t="s">
        <v>19079</v>
      </c>
      <c r="E4462" t="s">
        <v>23074</v>
      </c>
      <c r="F4462" t="s">
        <v>32831</v>
      </c>
      <c r="G4462" t="s">
        <v>32838</v>
      </c>
      <c r="H4462" t="s">
        <v>32848</v>
      </c>
      <c r="I4462" t="s">
        <v>4776</v>
      </c>
      <c r="J4462" t="s">
        <v>35875</v>
      </c>
      <c r="K4462" t="s">
        <v>42731</v>
      </c>
      <c r="M4462" t="s">
        <v>44914</v>
      </c>
      <c r="N4462" t="s">
        <v>47424</v>
      </c>
      <c r="O4462" t="s">
        <v>47425</v>
      </c>
      <c r="P4462">
        <v>0</v>
      </c>
      <c r="Q4462">
        <v>4</v>
      </c>
      <c r="R4462" t="s">
        <v>47430</v>
      </c>
      <c r="S4462" t="s">
        <v>47549</v>
      </c>
      <c r="T4462" t="s">
        <v>49141</v>
      </c>
      <c r="U4462" t="s">
        <v>53457</v>
      </c>
      <c r="W4462" t="s">
        <v>44914</v>
      </c>
      <c r="X4462" t="s">
        <v>47431</v>
      </c>
    </row>
    <row r="4463" spans="1:24">
      <c r="A4463">
        <f>HYPERLINK("https://www.philgeps.gov.ph/GEPSNONPILOT/Tender/SplashBidNoticeAbstractUI.aspx?menuIndex=3&amp;refID=7159421&amp;Result=3","7159421")</f>
        <v>0</v>
      </c>
      <c r="B4463" t="s">
        <v>674</v>
      </c>
      <c r="C4463" t="s">
        <v>8132</v>
      </c>
      <c r="D4463" t="s">
        <v>19058</v>
      </c>
      <c r="E4463" t="s">
        <v>23075</v>
      </c>
      <c r="F4463" t="s">
        <v>32831</v>
      </c>
      <c r="G4463" t="s">
        <v>32840</v>
      </c>
      <c r="H4463" t="s">
        <v>32848</v>
      </c>
      <c r="I4463" t="s">
        <v>7416</v>
      </c>
      <c r="J4463" t="s">
        <v>35876</v>
      </c>
      <c r="K4463" t="s">
        <v>42732</v>
      </c>
      <c r="M4463" t="s">
        <v>43693</v>
      </c>
      <c r="N4463" t="s">
        <v>47424</v>
      </c>
      <c r="O4463" t="s">
        <v>47425</v>
      </c>
      <c r="P4463">
        <v>0</v>
      </c>
      <c r="Q4463">
        <v>0</v>
      </c>
      <c r="R4463" t="s">
        <v>47430</v>
      </c>
      <c r="S4463" t="s">
        <v>47549</v>
      </c>
      <c r="T4463" t="s">
        <v>49237</v>
      </c>
      <c r="U4463" t="s">
        <v>53458</v>
      </c>
      <c r="W4463" t="s">
        <v>43693</v>
      </c>
      <c r="X4463" t="s">
        <v>47431</v>
      </c>
    </row>
    <row r="4464" spans="1:24">
      <c r="A4464">
        <f>HYPERLINK("https://www.philgeps.gov.ph/GEPSNONPILOT/Tender/SplashBidNoticeAbstractUI.aspx?menuIndex=3&amp;refID=7159419&amp;Result=3","7159419")</f>
        <v>0</v>
      </c>
      <c r="B4464" t="s">
        <v>1785</v>
      </c>
      <c r="C4464" t="s">
        <v>8133</v>
      </c>
      <c r="D4464" t="s">
        <v>19054</v>
      </c>
      <c r="E4464" t="s">
        <v>23076</v>
      </c>
      <c r="F4464" t="s">
        <v>32831</v>
      </c>
      <c r="G4464" t="s">
        <v>32838</v>
      </c>
      <c r="H4464" t="s">
        <v>32848</v>
      </c>
      <c r="I4464" t="s">
        <v>7416</v>
      </c>
      <c r="J4464" t="s">
        <v>35877</v>
      </c>
      <c r="K4464" t="s">
        <v>42745</v>
      </c>
      <c r="M4464" t="s">
        <v>44915</v>
      </c>
      <c r="N4464" t="s">
        <v>47424</v>
      </c>
      <c r="O4464" t="s">
        <v>47425</v>
      </c>
      <c r="P4464">
        <v>0</v>
      </c>
      <c r="Q4464">
        <v>0</v>
      </c>
      <c r="R4464" t="s">
        <v>47430</v>
      </c>
      <c r="S4464" t="s">
        <v>47549</v>
      </c>
      <c r="T4464" t="s">
        <v>49104</v>
      </c>
      <c r="U4464" t="s">
        <v>53459</v>
      </c>
      <c r="W4464" t="s">
        <v>44915</v>
      </c>
      <c r="X4464" t="s">
        <v>47431</v>
      </c>
    </row>
    <row r="4465" spans="1:24">
      <c r="A4465">
        <f>HYPERLINK("https://www.philgeps.gov.ph/GEPSNONPILOT/Tender/SplashBidNoticeAbstractUI.aspx?menuIndex=3&amp;refID=7159416&amp;Result=3","7159416")</f>
        <v>0</v>
      </c>
      <c r="B4465" t="s">
        <v>1786</v>
      </c>
      <c r="C4465" t="s">
        <v>8134</v>
      </c>
      <c r="D4465" t="s">
        <v>19057</v>
      </c>
      <c r="E4465" t="s">
        <v>23077</v>
      </c>
      <c r="F4465" t="s">
        <v>32831</v>
      </c>
      <c r="G4465" t="s">
        <v>32839</v>
      </c>
      <c r="H4465" t="s">
        <v>32849</v>
      </c>
      <c r="I4465" t="s">
        <v>4177</v>
      </c>
      <c r="J4465" t="s">
        <v>32980</v>
      </c>
      <c r="K4465" t="s">
        <v>42730</v>
      </c>
      <c r="M4465" t="s">
        <v>44916</v>
      </c>
      <c r="N4465" t="s">
        <v>47424</v>
      </c>
      <c r="O4465" t="s">
        <v>47425</v>
      </c>
      <c r="P4465">
        <v>0</v>
      </c>
      <c r="Q4465">
        <v>0</v>
      </c>
      <c r="R4465" t="s">
        <v>47430</v>
      </c>
      <c r="S4465" t="s">
        <v>47549</v>
      </c>
      <c r="T4465" t="s">
        <v>49129</v>
      </c>
      <c r="U4465" t="s">
        <v>53460</v>
      </c>
      <c r="V4465" t="s">
        <v>63105</v>
      </c>
      <c r="W4465" t="s">
        <v>44916</v>
      </c>
      <c r="X4465" t="s">
        <v>47431</v>
      </c>
    </row>
    <row r="4466" spans="1:24">
      <c r="A4466">
        <f>HYPERLINK("https://www.philgeps.gov.ph/GEPSNONPILOT/Tender/SplashBidNoticeAbstractUI.aspx?menuIndex=3&amp;refID=7159463&amp;Result=3","7159463")</f>
        <v>0</v>
      </c>
      <c r="B4466" t="s">
        <v>262</v>
      </c>
      <c r="C4466" t="s">
        <v>8135</v>
      </c>
      <c r="D4466" t="s">
        <v>19049</v>
      </c>
      <c r="E4466" t="s">
        <v>23078</v>
      </c>
      <c r="F4466" t="s">
        <v>32831</v>
      </c>
      <c r="G4466" t="s">
        <v>32838</v>
      </c>
      <c r="H4466" t="s">
        <v>32848</v>
      </c>
      <c r="I4466" t="s">
        <v>4487</v>
      </c>
      <c r="J4466" t="s">
        <v>32980</v>
      </c>
      <c r="K4466" t="s">
        <v>42726</v>
      </c>
      <c r="M4466" t="s">
        <v>43261</v>
      </c>
      <c r="N4466" t="s">
        <v>47424</v>
      </c>
      <c r="O4466" t="s">
        <v>47425</v>
      </c>
      <c r="P4466">
        <v>0</v>
      </c>
      <c r="Q4466">
        <v>1</v>
      </c>
      <c r="R4466" t="s">
        <v>47430</v>
      </c>
      <c r="S4466" t="s">
        <v>47549</v>
      </c>
      <c r="T4466" t="s">
        <v>49213</v>
      </c>
      <c r="U4466" t="s">
        <v>53461</v>
      </c>
      <c r="W4466" t="s">
        <v>43261</v>
      </c>
      <c r="X4466" t="s">
        <v>47431</v>
      </c>
    </row>
    <row r="4467" spans="1:24">
      <c r="A4467">
        <f>HYPERLINK("https://www.philgeps.gov.ph/GEPSNONPILOT/Tender/SplashBidNoticeAbstractUI.aspx?menuIndex=3&amp;refID=7159459&amp;Result=3","7159459")</f>
        <v>0</v>
      </c>
      <c r="B4467" t="s">
        <v>33</v>
      </c>
      <c r="C4467" t="s">
        <v>8136</v>
      </c>
      <c r="D4467" t="s">
        <v>19024</v>
      </c>
      <c r="E4467" t="s">
        <v>23036</v>
      </c>
      <c r="F4467" t="s">
        <v>32831</v>
      </c>
      <c r="G4467" t="s">
        <v>32839</v>
      </c>
      <c r="H4467" t="s">
        <v>32848</v>
      </c>
      <c r="I4467" t="s">
        <v>4438</v>
      </c>
      <c r="J4467" t="s">
        <v>35878</v>
      </c>
      <c r="K4467" t="s">
        <v>42763</v>
      </c>
      <c r="M4467" t="s">
        <v>43030</v>
      </c>
      <c r="N4467" t="s">
        <v>47424</v>
      </c>
      <c r="O4467" t="s">
        <v>47425</v>
      </c>
      <c r="P4467">
        <v>0</v>
      </c>
      <c r="Q4467">
        <v>0</v>
      </c>
      <c r="R4467" t="s">
        <v>47430</v>
      </c>
      <c r="S4467" t="s">
        <v>47549</v>
      </c>
      <c r="T4467" t="s">
        <v>49188</v>
      </c>
      <c r="U4467" t="s">
        <v>53421</v>
      </c>
      <c r="W4467" t="s">
        <v>43030</v>
      </c>
      <c r="X4467" t="s">
        <v>47431</v>
      </c>
    </row>
    <row r="4468" spans="1:24">
      <c r="A4468">
        <f>HYPERLINK("https://www.philgeps.gov.ph/GEPSNONPILOT/Tender/SplashBidNoticeAbstractUI.aspx?menuIndex=3&amp;refID=7159456&amp;Result=3","7159456")</f>
        <v>0</v>
      </c>
      <c r="B4468" t="s">
        <v>1767</v>
      </c>
      <c r="C4468" t="s">
        <v>8137</v>
      </c>
      <c r="D4468" t="s">
        <v>19088</v>
      </c>
      <c r="E4468" t="s">
        <v>23079</v>
      </c>
      <c r="F4468" t="s">
        <v>32831</v>
      </c>
      <c r="G4468" t="s">
        <v>32840</v>
      </c>
      <c r="H4468" t="s">
        <v>32848</v>
      </c>
      <c r="I4468" t="s">
        <v>32855</v>
      </c>
      <c r="J4468" t="s">
        <v>35879</v>
      </c>
      <c r="K4468" t="s">
        <v>42731</v>
      </c>
      <c r="M4468" t="s">
        <v>44892</v>
      </c>
      <c r="N4468" t="s">
        <v>47424</v>
      </c>
      <c r="O4468" t="s">
        <v>47425</v>
      </c>
      <c r="P4468">
        <v>0</v>
      </c>
      <c r="Q4468">
        <v>8</v>
      </c>
      <c r="R4468" t="s">
        <v>47430</v>
      </c>
      <c r="S4468" t="s">
        <v>47549</v>
      </c>
      <c r="T4468" t="s">
        <v>49100</v>
      </c>
      <c r="U4468" t="s">
        <v>53462</v>
      </c>
      <c r="V4468" t="s">
        <v>63120</v>
      </c>
      <c r="W4468" t="s">
        <v>44892</v>
      </c>
      <c r="X4468" t="s">
        <v>47431</v>
      </c>
    </row>
    <row r="4469" spans="1:24">
      <c r="A4469">
        <f>HYPERLINK("https://www.philgeps.gov.ph/GEPSNONPILOT/Tender/SplashBidNoticeAbstractUI.aspx?menuIndex=3&amp;refID=7159453&amp;Result=3","7159453")</f>
        <v>0</v>
      </c>
      <c r="B4469" t="s">
        <v>1787</v>
      </c>
      <c r="C4469" t="s">
        <v>8138</v>
      </c>
      <c r="E4469" t="s">
        <v>20297</v>
      </c>
      <c r="F4469" t="s">
        <v>32832</v>
      </c>
      <c r="G4469" t="s">
        <v>32838</v>
      </c>
      <c r="H4469" t="s">
        <v>32848</v>
      </c>
      <c r="I4469" t="s">
        <v>32857</v>
      </c>
      <c r="J4469" t="s">
        <v>33193</v>
      </c>
      <c r="K4469" t="s">
        <v>42743</v>
      </c>
      <c r="M4469" t="s">
        <v>44917</v>
      </c>
      <c r="N4469" t="s">
        <v>47424</v>
      </c>
      <c r="O4469" t="s">
        <v>47425</v>
      </c>
      <c r="P4469">
        <v>0</v>
      </c>
      <c r="Q4469">
        <v>7</v>
      </c>
      <c r="R4469" t="s">
        <v>47430</v>
      </c>
      <c r="S4469" t="s">
        <v>47549</v>
      </c>
      <c r="T4469" t="s">
        <v>49198</v>
      </c>
      <c r="U4469" t="s">
        <v>53463</v>
      </c>
      <c r="V4469" t="s">
        <v>53463</v>
      </c>
      <c r="W4469" t="s">
        <v>44917</v>
      </c>
      <c r="X4469" t="s">
        <v>47431</v>
      </c>
    </row>
    <row r="4470" spans="1:24">
      <c r="A4470">
        <f>HYPERLINK("https://www.philgeps.gov.ph/GEPSNONPILOT/Tender/SplashBidNoticeAbstractUI.aspx?menuIndex=3&amp;refID=7159462&amp;Result=3","7159462")</f>
        <v>0</v>
      </c>
      <c r="B4470" t="s">
        <v>1736</v>
      </c>
      <c r="C4470" t="s">
        <v>8139</v>
      </c>
      <c r="D4470" t="s">
        <v>19054</v>
      </c>
      <c r="E4470" t="s">
        <v>23080</v>
      </c>
      <c r="F4470" t="s">
        <v>32831</v>
      </c>
      <c r="G4470" t="s">
        <v>32838</v>
      </c>
      <c r="H4470" t="s">
        <v>32850</v>
      </c>
      <c r="I4470" t="s">
        <v>32863</v>
      </c>
      <c r="J4470" t="s">
        <v>35880</v>
      </c>
      <c r="K4470" t="s">
        <v>42728</v>
      </c>
      <c r="L4470" t="s">
        <v>1736</v>
      </c>
      <c r="M4470" t="s">
        <v>44859</v>
      </c>
      <c r="N4470" t="s">
        <v>47424</v>
      </c>
      <c r="O4470" t="s">
        <v>47425</v>
      </c>
      <c r="P4470">
        <v>0</v>
      </c>
      <c r="Q4470">
        <v>0</v>
      </c>
      <c r="R4470" t="s">
        <v>47430</v>
      </c>
      <c r="S4470" t="s">
        <v>47549</v>
      </c>
      <c r="T4470" t="s">
        <v>49069</v>
      </c>
      <c r="U4470" t="s">
        <v>53464</v>
      </c>
      <c r="V4470" t="s">
        <v>63125</v>
      </c>
      <c r="W4470" t="s">
        <v>44859</v>
      </c>
      <c r="X4470" t="s">
        <v>47431</v>
      </c>
    </row>
    <row r="4471" spans="1:24">
      <c r="A4471">
        <f>HYPERLINK("https://www.philgeps.gov.ph/GEPSNONPILOT/Tender/SplashBidNoticeAbstractUI.aspx?menuIndex=3&amp;refID=7159460&amp;Result=3","7159460")</f>
        <v>0</v>
      </c>
      <c r="B4471" t="s">
        <v>1788</v>
      </c>
      <c r="C4471" t="s">
        <v>8140</v>
      </c>
      <c r="E4471" t="s">
        <v>23081</v>
      </c>
      <c r="F4471" t="s">
        <v>32831</v>
      </c>
      <c r="G4471" t="s">
        <v>32839</v>
      </c>
      <c r="H4471" t="s">
        <v>32849</v>
      </c>
      <c r="I4471" t="s">
        <v>4177</v>
      </c>
      <c r="J4471" t="s">
        <v>35577</v>
      </c>
      <c r="K4471" t="s">
        <v>42732</v>
      </c>
      <c r="M4471" t="s">
        <v>44918</v>
      </c>
      <c r="N4471" t="s">
        <v>47424</v>
      </c>
      <c r="O4471" t="s">
        <v>47425</v>
      </c>
      <c r="P4471">
        <v>0</v>
      </c>
      <c r="Q4471">
        <v>3</v>
      </c>
      <c r="R4471" t="s">
        <v>47430</v>
      </c>
      <c r="S4471" t="s">
        <v>47549</v>
      </c>
      <c r="T4471" t="s">
        <v>49077</v>
      </c>
      <c r="U4471" t="s">
        <v>53465</v>
      </c>
      <c r="W4471" t="s">
        <v>44918</v>
      </c>
      <c r="X4471" t="s">
        <v>47431</v>
      </c>
    </row>
    <row r="4472" spans="1:24">
      <c r="A4472">
        <f>HYPERLINK("https://www.philgeps.gov.ph/GEPSNONPILOT/Tender/SplashBidNoticeAbstractUI.aspx?menuIndex=3&amp;refID=7159464&amp;Result=3","7159464")</f>
        <v>0</v>
      </c>
      <c r="B4472" t="s">
        <v>669</v>
      </c>
      <c r="C4472" t="s">
        <v>5283</v>
      </c>
      <c r="D4472" t="s">
        <v>19022</v>
      </c>
      <c r="E4472" t="s">
        <v>23082</v>
      </c>
      <c r="F4472" t="s">
        <v>32831</v>
      </c>
      <c r="G4472" t="s">
        <v>32838</v>
      </c>
      <c r="H4472" t="s">
        <v>32848</v>
      </c>
      <c r="I4472" t="s">
        <v>9577</v>
      </c>
      <c r="J4472" t="s">
        <v>35881</v>
      </c>
      <c r="K4472" t="s">
        <v>42726</v>
      </c>
      <c r="M4472" t="s">
        <v>43688</v>
      </c>
      <c r="N4472" t="s">
        <v>47424</v>
      </c>
      <c r="O4472" t="s">
        <v>47425</v>
      </c>
      <c r="P4472">
        <v>0</v>
      </c>
      <c r="Q4472">
        <v>0</v>
      </c>
      <c r="R4472" t="s">
        <v>47430</v>
      </c>
      <c r="S4472" t="s">
        <v>47549</v>
      </c>
      <c r="T4472" t="s">
        <v>49214</v>
      </c>
      <c r="U4472" t="s">
        <v>53466</v>
      </c>
      <c r="W4472" t="s">
        <v>43688</v>
      </c>
      <c r="X4472" t="s">
        <v>47431</v>
      </c>
    </row>
    <row r="4473" spans="1:24">
      <c r="A4473">
        <f>HYPERLINK("https://www.philgeps.gov.ph/GEPSNONPILOT/Tender/SplashBidNoticeAbstractUI.aspx?menuIndex=3&amp;refID=7159447&amp;Result=3","7159447")</f>
        <v>0</v>
      </c>
      <c r="B4473" t="s">
        <v>1441</v>
      </c>
      <c r="C4473" t="s">
        <v>8141</v>
      </c>
      <c r="D4473" t="s">
        <v>19048</v>
      </c>
      <c r="E4473" t="s">
        <v>23083</v>
      </c>
      <c r="F4473" t="s">
        <v>32831</v>
      </c>
      <c r="G4473" t="s">
        <v>32839</v>
      </c>
      <c r="H4473" t="s">
        <v>32848</v>
      </c>
      <c r="I4473" t="s">
        <v>4438</v>
      </c>
      <c r="J4473" t="s">
        <v>32980</v>
      </c>
      <c r="K4473" t="s">
        <v>42727</v>
      </c>
      <c r="M4473" t="s">
        <v>44533</v>
      </c>
      <c r="N4473" t="s">
        <v>47424</v>
      </c>
      <c r="O4473" t="s">
        <v>47425</v>
      </c>
      <c r="P4473">
        <v>0</v>
      </c>
      <c r="Q4473">
        <v>1</v>
      </c>
      <c r="R4473" t="s">
        <v>47430</v>
      </c>
      <c r="S4473" t="s">
        <v>47549</v>
      </c>
      <c r="T4473" t="s">
        <v>49066</v>
      </c>
      <c r="U4473" t="s">
        <v>53467</v>
      </c>
      <c r="W4473" t="s">
        <v>44533</v>
      </c>
      <c r="X4473" t="s">
        <v>47431</v>
      </c>
    </row>
    <row r="4474" spans="1:24">
      <c r="A4474">
        <f>HYPERLINK("https://www.philgeps.gov.ph/GEPSNONPILOT/Tender/SplashBidNoticeAbstractUI.aspx?menuIndex=3&amp;refID=7159445&amp;Result=3","7159445")</f>
        <v>0</v>
      </c>
      <c r="B4474" t="s">
        <v>1456</v>
      </c>
      <c r="C4474" t="s">
        <v>8142</v>
      </c>
      <c r="D4474" t="s">
        <v>19075</v>
      </c>
      <c r="E4474" t="s">
        <v>23084</v>
      </c>
      <c r="F4474" t="s">
        <v>32831</v>
      </c>
      <c r="G4474" t="s">
        <v>32839</v>
      </c>
      <c r="H4474" t="s">
        <v>32849</v>
      </c>
      <c r="I4474" t="s">
        <v>4177</v>
      </c>
      <c r="J4474" t="s">
        <v>35882</v>
      </c>
      <c r="K4474" t="s">
        <v>42757</v>
      </c>
      <c r="L4474" t="s">
        <v>1456</v>
      </c>
      <c r="M4474" t="s">
        <v>44548</v>
      </c>
      <c r="N4474" t="s">
        <v>47424</v>
      </c>
      <c r="O4474" t="s">
        <v>47425</v>
      </c>
      <c r="P4474">
        <v>0</v>
      </c>
      <c r="Q4474">
        <v>10</v>
      </c>
      <c r="R4474" t="s">
        <v>47430</v>
      </c>
      <c r="S4474" t="s">
        <v>47549</v>
      </c>
      <c r="T4474" t="s">
        <v>49078</v>
      </c>
      <c r="U4474" t="s">
        <v>53468</v>
      </c>
      <c r="V4474" t="s">
        <v>63126</v>
      </c>
      <c r="W4474" t="s">
        <v>44548</v>
      </c>
      <c r="X4474" t="s">
        <v>47431</v>
      </c>
    </row>
    <row r="4475" spans="1:24">
      <c r="A4475">
        <f>HYPERLINK("https://www.philgeps.gov.ph/GEPSNONPILOT/Tender/SplashBidNoticeAbstractUI.aspx?menuIndex=3&amp;refID=7159499&amp;Result=3","7159499")</f>
        <v>0</v>
      </c>
      <c r="B4475" t="s">
        <v>629</v>
      </c>
      <c r="C4475" t="s">
        <v>4776</v>
      </c>
      <c r="D4475" t="s">
        <v>19049</v>
      </c>
      <c r="E4475" t="s">
        <v>19219</v>
      </c>
      <c r="F4475" t="s">
        <v>32831</v>
      </c>
      <c r="G4475" t="s">
        <v>32840</v>
      </c>
      <c r="H4475" t="s">
        <v>32848</v>
      </c>
      <c r="I4475" t="s">
        <v>4776</v>
      </c>
      <c r="J4475" t="s">
        <v>35883</v>
      </c>
      <c r="K4475" t="s">
        <v>42731</v>
      </c>
      <c r="M4475" t="s">
        <v>43646</v>
      </c>
      <c r="N4475" t="s">
        <v>47424</v>
      </c>
      <c r="O4475" t="s">
        <v>47425</v>
      </c>
      <c r="P4475">
        <v>0</v>
      </c>
      <c r="Q4475">
        <v>0</v>
      </c>
      <c r="R4475" t="s">
        <v>47430</v>
      </c>
      <c r="S4475" t="s">
        <v>47549</v>
      </c>
      <c r="T4475" t="s">
        <v>49237</v>
      </c>
      <c r="U4475" t="s">
        <v>53469</v>
      </c>
      <c r="W4475" t="s">
        <v>43646</v>
      </c>
      <c r="X4475" t="s">
        <v>47431</v>
      </c>
    </row>
    <row r="4476" spans="1:24">
      <c r="A4476">
        <f>HYPERLINK("https://www.philgeps.gov.ph/GEPSNONPILOT/Tender/SplashBidNoticeAbstractUI.aspx?menuIndex=3&amp;refID=7159452&amp;Result=3","7159452")</f>
        <v>0</v>
      </c>
      <c r="B4476" t="s">
        <v>1661</v>
      </c>
      <c r="C4476" t="s">
        <v>8143</v>
      </c>
      <c r="D4476" t="s">
        <v>19063</v>
      </c>
      <c r="E4476" t="s">
        <v>23085</v>
      </c>
      <c r="F4476" t="s">
        <v>32831</v>
      </c>
      <c r="G4476" t="s">
        <v>32839</v>
      </c>
      <c r="H4476" t="s">
        <v>32848</v>
      </c>
      <c r="I4476" t="s">
        <v>4558</v>
      </c>
      <c r="J4476" t="s">
        <v>33018</v>
      </c>
      <c r="K4476" t="s">
        <v>42729</v>
      </c>
      <c r="M4476" t="s">
        <v>44778</v>
      </c>
      <c r="N4476" t="s">
        <v>47424</v>
      </c>
      <c r="O4476" t="s">
        <v>47425</v>
      </c>
      <c r="P4476">
        <v>0</v>
      </c>
      <c r="Q4476">
        <v>0</v>
      </c>
      <c r="R4476" t="s">
        <v>47430</v>
      </c>
      <c r="S4476" t="s">
        <v>47549</v>
      </c>
      <c r="T4476" t="s">
        <v>49129</v>
      </c>
      <c r="U4476" t="s">
        <v>53470</v>
      </c>
      <c r="W4476" t="s">
        <v>44778</v>
      </c>
      <c r="X4476" t="s">
        <v>47431</v>
      </c>
    </row>
    <row r="4477" spans="1:24">
      <c r="A4477">
        <f>HYPERLINK("https://www.philgeps.gov.ph/GEPSNONPILOT/Tender/SplashBidNoticeAbstractUI.aspx?menuIndex=3&amp;refID=7159496&amp;Result=3","7159496")</f>
        <v>0</v>
      </c>
      <c r="B4477" t="s">
        <v>1789</v>
      </c>
      <c r="C4477" t="s">
        <v>8144</v>
      </c>
      <c r="D4477" t="s">
        <v>19030</v>
      </c>
      <c r="E4477" t="s">
        <v>19520</v>
      </c>
      <c r="F4477" t="s">
        <v>32831</v>
      </c>
      <c r="G4477" t="s">
        <v>32839</v>
      </c>
      <c r="H4477" t="s">
        <v>32848</v>
      </c>
      <c r="I4477" t="s">
        <v>7416</v>
      </c>
      <c r="J4477" t="s">
        <v>35884</v>
      </c>
      <c r="K4477" t="s">
        <v>42731</v>
      </c>
      <c r="M4477" t="s">
        <v>44919</v>
      </c>
      <c r="N4477" t="s">
        <v>47424</v>
      </c>
      <c r="O4477" t="s">
        <v>47425</v>
      </c>
      <c r="P4477">
        <v>0</v>
      </c>
      <c r="Q4477">
        <v>2</v>
      </c>
      <c r="R4477" t="s">
        <v>47430</v>
      </c>
      <c r="S4477" t="s">
        <v>47549</v>
      </c>
      <c r="T4477" t="s">
        <v>49129</v>
      </c>
      <c r="U4477" t="s">
        <v>53471</v>
      </c>
      <c r="V4477" t="s">
        <v>63127</v>
      </c>
      <c r="W4477" t="s">
        <v>44919</v>
      </c>
      <c r="X4477" t="s">
        <v>47431</v>
      </c>
    </row>
    <row r="4478" spans="1:24">
      <c r="A4478">
        <f>HYPERLINK("https://www.philgeps.gov.ph/GEPSNONPILOT/Tender/SplashBidNoticeAbstractUI.aspx?menuIndex=3&amp;refID=7159494&amp;Result=3","7159494")</f>
        <v>0</v>
      </c>
      <c r="B4478" t="s">
        <v>669</v>
      </c>
      <c r="C4478" t="s">
        <v>5283</v>
      </c>
      <c r="D4478" t="s">
        <v>19022</v>
      </c>
      <c r="E4478" t="s">
        <v>23086</v>
      </c>
      <c r="F4478" t="s">
        <v>32831</v>
      </c>
      <c r="G4478" t="s">
        <v>32838</v>
      </c>
      <c r="H4478" t="s">
        <v>32848</v>
      </c>
      <c r="I4478" t="s">
        <v>4222</v>
      </c>
      <c r="J4478" t="s">
        <v>33226</v>
      </c>
      <c r="K4478" t="s">
        <v>42726</v>
      </c>
      <c r="M4478" t="s">
        <v>43688</v>
      </c>
      <c r="N4478" t="s">
        <v>47424</v>
      </c>
      <c r="O4478" t="s">
        <v>47425</v>
      </c>
      <c r="P4478">
        <v>0</v>
      </c>
      <c r="Q4478">
        <v>0</v>
      </c>
      <c r="R4478" t="s">
        <v>47430</v>
      </c>
      <c r="S4478" t="s">
        <v>47549</v>
      </c>
      <c r="T4478" t="s">
        <v>49214</v>
      </c>
      <c r="U4478" t="s">
        <v>53472</v>
      </c>
      <c r="W4478" t="s">
        <v>43688</v>
      </c>
      <c r="X4478" t="s">
        <v>47431</v>
      </c>
    </row>
    <row r="4479" spans="1:24">
      <c r="A4479">
        <f>HYPERLINK("https://www.philgeps.gov.ph/GEPSNONPILOT/Tender/SplashBidNoticeAbstractUI.aspx?menuIndex=3&amp;refID=7159492&amp;Result=3","7159492")</f>
        <v>0</v>
      </c>
      <c r="B4479" t="s">
        <v>861</v>
      </c>
      <c r="C4479" t="s">
        <v>8145</v>
      </c>
      <c r="D4479" t="s">
        <v>19041</v>
      </c>
      <c r="E4479" t="s">
        <v>20831</v>
      </c>
      <c r="F4479" t="s">
        <v>32831</v>
      </c>
      <c r="G4479" t="s">
        <v>32838</v>
      </c>
      <c r="H4479" t="s">
        <v>32848</v>
      </c>
      <c r="I4479" t="s">
        <v>7416</v>
      </c>
      <c r="J4479" t="s">
        <v>35885</v>
      </c>
      <c r="K4479" t="s">
        <v>42732</v>
      </c>
      <c r="M4479" t="s">
        <v>43895</v>
      </c>
      <c r="N4479" t="s">
        <v>47424</v>
      </c>
      <c r="O4479" t="s">
        <v>47425</v>
      </c>
      <c r="P4479">
        <v>0</v>
      </c>
      <c r="Q4479">
        <v>0</v>
      </c>
      <c r="R4479" t="s">
        <v>47430</v>
      </c>
      <c r="S4479" t="s">
        <v>47549</v>
      </c>
      <c r="T4479" t="s">
        <v>49100</v>
      </c>
      <c r="U4479" t="s">
        <v>53473</v>
      </c>
      <c r="W4479" t="s">
        <v>43895</v>
      </c>
      <c r="X4479" t="s">
        <v>47431</v>
      </c>
    </row>
    <row r="4480" spans="1:24">
      <c r="A4480">
        <f>HYPERLINK("https://www.philgeps.gov.ph/GEPSNONPILOT/Tender/SplashBidNoticeAbstractUI.aspx?menuIndex=3&amp;refID=7159491&amp;Result=3","7159491")</f>
        <v>0</v>
      </c>
      <c r="B4480" t="s">
        <v>399</v>
      </c>
      <c r="C4480" t="s">
        <v>7716</v>
      </c>
      <c r="D4480" t="s">
        <v>19017</v>
      </c>
      <c r="E4480" t="s">
        <v>23087</v>
      </c>
      <c r="F4480" t="s">
        <v>32831</v>
      </c>
      <c r="G4480" t="s">
        <v>32840</v>
      </c>
      <c r="H4480" t="s">
        <v>32848</v>
      </c>
      <c r="I4480" t="s">
        <v>10805</v>
      </c>
      <c r="J4480" t="s">
        <v>33268</v>
      </c>
      <c r="K4480" t="s">
        <v>42726</v>
      </c>
      <c r="M4480" t="s">
        <v>43404</v>
      </c>
      <c r="N4480" t="s">
        <v>47424</v>
      </c>
      <c r="O4480" t="s">
        <v>47425</v>
      </c>
      <c r="P4480">
        <v>0</v>
      </c>
      <c r="Q4480">
        <v>9</v>
      </c>
      <c r="R4480" t="s">
        <v>47430</v>
      </c>
      <c r="S4480" t="s">
        <v>47549</v>
      </c>
      <c r="T4480" t="s">
        <v>49107</v>
      </c>
      <c r="U4480" t="s">
        <v>50389</v>
      </c>
      <c r="W4480" t="s">
        <v>43404</v>
      </c>
      <c r="X4480" t="s">
        <v>47431</v>
      </c>
    </row>
    <row r="4481" spans="1:24">
      <c r="A4481">
        <f>HYPERLINK("https://www.philgeps.gov.ph/GEPSNONPILOT/Tender/SplashBidNoticeAbstractUI.aspx?menuIndex=3&amp;refID=7159433&amp;Result=3","7159433")</f>
        <v>0</v>
      </c>
      <c r="B4481" t="s">
        <v>1790</v>
      </c>
      <c r="C4481" t="s">
        <v>8146</v>
      </c>
      <c r="D4481" t="s">
        <v>19037</v>
      </c>
      <c r="E4481" t="s">
        <v>19144</v>
      </c>
      <c r="F4481" t="s">
        <v>32831</v>
      </c>
      <c r="G4481" t="s">
        <v>32839</v>
      </c>
      <c r="H4481" t="s">
        <v>32848</v>
      </c>
      <c r="I4481" t="s">
        <v>7416</v>
      </c>
      <c r="J4481" t="s">
        <v>33479</v>
      </c>
      <c r="K4481" t="s">
        <v>42727</v>
      </c>
      <c r="M4481" t="s">
        <v>44920</v>
      </c>
      <c r="N4481" t="s">
        <v>47424</v>
      </c>
      <c r="O4481" t="s">
        <v>47425</v>
      </c>
      <c r="P4481">
        <v>0</v>
      </c>
      <c r="Q4481">
        <v>0</v>
      </c>
      <c r="R4481" t="s">
        <v>47430</v>
      </c>
      <c r="S4481" t="s">
        <v>47549</v>
      </c>
      <c r="T4481" t="s">
        <v>49236</v>
      </c>
      <c r="U4481" t="s">
        <v>53474</v>
      </c>
      <c r="W4481" t="s">
        <v>44920</v>
      </c>
      <c r="X4481" t="s">
        <v>47431</v>
      </c>
    </row>
    <row r="4482" spans="1:24">
      <c r="A4482">
        <f>HYPERLINK("https://www.philgeps.gov.ph/GEPSNONPILOT/Tender/SplashBidNoticeAbstractUI.aspx?menuIndex=3&amp;refID=7159488&amp;Result=3","7159488")</f>
        <v>0</v>
      </c>
      <c r="B4482" t="s">
        <v>1791</v>
      </c>
      <c r="C4482" t="s">
        <v>8147</v>
      </c>
      <c r="D4482" t="s">
        <v>19067</v>
      </c>
      <c r="E4482" t="s">
        <v>23088</v>
      </c>
      <c r="F4482" t="s">
        <v>32831</v>
      </c>
      <c r="G4482" t="s">
        <v>32838</v>
      </c>
      <c r="H4482" t="s">
        <v>32848</v>
      </c>
      <c r="I4482" t="s">
        <v>4222</v>
      </c>
      <c r="J4482" t="s">
        <v>35886</v>
      </c>
      <c r="K4482" t="s">
        <v>42732</v>
      </c>
      <c r="M4482" t="s">
        <v>44921</v>
      </c>
      <c r="N4482" t="s">
        <v>47424</v>
      </c>
      <c r="O4482" t="s">
        <v>47425</v>
      </c>
      <c r="P4482">
        <v>0</v>
      </c>
      <c r="Q4482">
        <v>0</v>
      </c>
      <c r="R4482" t="s">
        <v>47430</v>
      </c>
      <c r="S4482" t="s">
        <v>47549</v>
      </c>
      <c r="T4482" t="s">
        <v>49145</v>
      </c>
      <c r="U4482" t="s">
        <v>53475</v>
      </c>
      <c r="W4482" t="s">
        <v>44921</v>
      </c>
      <c r="X4482" t="s">
        <v>47431</v>
      </c>
    </row>
    <row r="4483" spans="1:24">
      <c r="A4483">
        <f>HYPERLINK("https://www.philgeps.gov.ph/GEPSNONPILOT/Tender/SplashBidNoticeAbstractUI.aspx?menuIndex=3&amp;refID=7159493&amp;Result=3","7159493")</f>
        <v>0</v>
      </c>
      <c r="B4483" t="s">
        <v>33</v>
      </c>
      <c r="C4483" t="s">
        <v>8148</v>
      </c>
      <c r="D4483" t="s">
        <v>19024</v>
      </c>
      <c r="E4483" t="s">
        <v>23089</v>
      </c>
      <c r="F4483" t="s">
        <v>32831</v>
      </c>
      <c r="G4483" t="s">
        <v>32839</v>
      </c>
      <c r="H4483" t="s">
        <v>32848</v>
      </c>
      <c r="I4483" t="s">
        <v>32859</v>
      </c>
      <c r="J4483" t="s">
        <v>35887</v>
      </c>
      <c r="K4483" t="s">
        <v>42730</v>
      </c>
      <c r="M4483" t="s">
        <v>43030</v>
      </c>
      <c r="N4483" t="s">
        <v>47424</v>
      </c>
      <c r="O4483" t="s">
        <v>47425</v>
      </c>
      <c r="P4483">
        <v>0</v>
      </c>
      <c r="Q4483">
        <v>2</v>
      </c>
      <c r="R4483" t="s">
        <v>47430</v>
      </c>
      <c r="S4483" t="s">
        <v>47549</v>
      </c>
      <c r="T4483" t="s">
        <v>49188</v>
      </c>
      <c r="U4483" t="s">
        <v>53476</v>
      </c>
      <c r="W4483" t="s">
        <v>43030</v>
      </c>
      <c r="X4483" t="s">
        <v>47431</v>
      </c>
    </row>
    <row r="4484" spans="1:24">
      <c r="A4484">
        <f>HYPERLINK("https://www.philgeps.gov.ph/GEPSNONPILOT/Tender/SplashBidNoticeAbstractUI.aspx?menuIndex=3&amp;refID=7159486&amp;Result=3","7159486")</f>
        <v>0</v>
      </c>
      <c r="B4484" t="s">
        <v>1149</v>
      </c>
      <c r="C4484" t="s">
        <v>8149</v>
      </c>
      <c r="D4484" t="s">
        <v>19079</v>
      </c>
      <c r="E4484" t="s">
        <v>23090</v>
      </c>
      <c r="F4484" t="s">
        <v>32831</v>
      </c>
      <c r="G4484" t="s">
        <v>32838</v>
      </c>
      <c r="H4484" t="s">
        <v>32848</v>
      </c>
      <c r="I4484" t="s">
        <v>10888</v>
      </c>
      <c r="J4484" t="s">
        <v>34721</v>
      </c>
      <c r="K4484" t="s">
        <v>42731</v>
      </c>
      <c r="M4484" t="s">
        <v>44914</v>
      </c>
      <c r="N4484" t="s">
        <v>47424</v>
      </c>
      <c r="O4484" t="s">
        <v>47425</v>
      </c>
      <c r="P4484">
        <v>0</v>
      </c>
      <c r="Q4484">
        <v>0</v>
      </c>
      <c r="R4484" t="s">
        <v>47430</v>
      </c>
      <c r="S4484" t="s">
        <v>47549</v>
      </c>
      <c r="T4484" t="s">
        <v>49141</v>
      </c>
      <c r="U4484" t="s">
        <v>53477</v>
      </c>
      <c r="W4484" t="s">
        <v>44914</v>
      </c>
      <c r="X4484" t="s">
        <v>47431</v>
      </c>
    </row>
    <row r="4485" spans="1:24">
      <c r="A4485">
        <f>HYPERLINK("https://www.philgeps.gov.ph/GEPSNONPILOT/Tender/SplashBidNoticeAbstractUI.aspx?menuIndex=3&amp;refID=7159449&amp;Result=3","7159449")</f>
        <v>0</v>
      </c>
      <c r="B4485" t="s">
        <v>378</v>
      </c>
      <c r="C4485" t="s">
        <v>4676</v>
      </c>
      <c r="D4485" t="s">
        <v>19074</v>
      </c>
      <c r="E4485" t="s">
        <v>19555</v>
      </c>
      <c r="F4485" t="s">
        <v>32832</v>
      </c>
      <c r="G4485" t="s">
        <v>32838</v>
      </c>
      <c r="H4485" t="s">
        <v>32848</v>
      </c>
      <c r="I4485" t="s">
        <v>32858</v>
      </c>
      <c r="J4485" t="s">
        <v>33564</v>
      </c>
      <c r="K4485" t="s">
        <v>42731</v>
      </c>
      <c r="L4485" t="s">
        <v>378</v>
      </c>
      <c r="M4485" t="s">
        <v>43382</v>
      </c>
      <c r="N4485" t="s">
        <v>47424</v>
      </c>
      <c r="O4485" t="s">
        <v>47425</v>
      </c>
      <c r="P4485">
        <v>0</v>
      </c>
      <c r="Q4485">
        <v>2</v>
      </c>
      <c r="R4485" t="s">
        <v>47430</v>
      </c>
      <c r="S4485" t="s">
        <v>47549</v>
      </c>
      <c r="T4485" t="s">
        <v>49070</v>
      </c>
      <c r="U4485" t="s">
        <v>53478</v>
      </c>
      <c r="W4485" t="s">
        <v>43382</v>
      </c>
      <c r="X4485" t="s">
        <v>47431</v>
      </c>
    </row>
    <row r="4486" spans="1:24">
      <c r="A4486">
        <f>HYPERLINK("https://www.philgeps.gov.ph/GEPSNONPILOT/Tender/SplashBidNoticeAbstractUI.aspx?menuIndex=3&amp;refID=7159397&amp;Result=3","7159397")</f>
        <v>0</v>
      </c>
      <c r="B4486" t="s">
        <v>734</v>
      </c>
      <c r="C4486" t="s">
        <v>8150</v>
      </c>
      <c r="D4486" t="s">
        <v>19034</v>
      </c>
      <c r="E4486" t="s">
        <v>23091</v>
      </c>
      <c r="F4486" t="s">
        <v>32831</v>
      </c>
      <c r="G4486" t="s">
        <v>32839</v>
      </c>
      <c r="H4486" t="s">
        <v>32848</v>
      </c>
      <c r="I4486" t="s">
        <v>32855</v>
      </c>
      <c r="J4486" t="s">
        <v>35888</v>
      </c>
      <c r="K4486" t="s">
        <v>42731</v>
      </c>
      <c r="M4486" t="s">
        <v>44904</v>
      </c>
      <c r="N4486" t="s">
        <v>47424</v>
      </c>
      <c r="O4486" t="s">
        <v>47425</v>
      </c>
      <c r="P4486">
        <v>0</v>
      </c>
      <c r="Q4486">
        <v>7</v>
      </c>
      <c r="R4486" t="s">
        <v>47430</v>
      </c>
      <c r="S4486" t="s">
        <v>47549</v>
      </c>
      <c r="T4486" t="s">
        <v>49338</v>
      </c>
      <c r="U4486" t="s">
        <v>53479</v>
      </c>
      <c r="W4486" t="s">
        <v>44904</v>
      </c>
      <c r="X4486" t="s">
        <v>47431</v>
      </c>
    </row>
    <row r="4487" spans="1:24">
      <c r="A4487">
        <f>HYPERLINK("https://www.philgeps.gov.ph/GEPSNONPILOT/Tender/SplashBidNoticeAbstractUI.aspx?menuIndex=3&amp;refID=7159489&amp;Result=3","7159489")</f>
        <v>0</v>
      </c>
      <c r="B4487" t="s">
        <v>668</v>
      </c>
      <c r="C4487" t="s">
        <v>8151</v>
      </c>
      <c r="D4487" t="s">
        <v>19034</v>
      </c>
      <c r="E4487" t="s">
        <v>23092</v>
      </c>
      <c r="F4487" t="s">
        <v>32831</v>
      </c>
      <c r="G4487" t="s">
        <v>32838</v>
      </c>
      <c r="H4487" t="s">
        <v>32848</v>
      </c>
      <c r="I4487" t="s">
        <v>5379</v>
      </c>
      <c r="J4487" t="s">
        <v>33593</v>
      </c>
      <c r="K4487" t="s">
        <v>42732</v>
      </c>
      <c r="M4487" t="s">
        <v>44913</v>
      </c>
      <c r="N4487" t="s">
        <v>47424</v>
      </c>
      <c r="O4487" t="s">
        <v>47425</v>
      </c>
      <c r="P4487">
        <v>0</v>
      </c>
      <c r="Q4487">
        <v>0</v>
      </c>
      <c r="R4487" t="s">
        <v>47430</v>
      </c>
      <c r="S4487" t="s">
        <v>47549</v>
      </c>
      <c r="T4487" t="s">
        <v>49111</v>
      </c>
      <c r="U4487" t="s">
        <v>53480</v>
      </c>
      <c r="W4487" t="s">
        <v>44913</v>
      </c>
      <c r="X4487" t="s">
        <v>47431</v>
      </c>
    </row>
    <row r="4488" spans="1:24">
      <c r="A4488">
        <f>HYPERLINK("https://www.philgeps.gov.ph/GEPSNONPILOT/Tender/SplashBidNoticeAbstractUI.aspx?menuIndex=3&amp;refID=7159497&amp;Result=3","7159497")</f>
        <v>0</v>
      </c>
      <c r="B4488" t="s">
        <v>913</v>
      </c>
      <c r="C4488" t="s">
        <v>8152</v>
      </c>
      <c r="D4488" t="s">
        <v>19022</v>
      </c>
      <c r="E4488" t="s">
        <v>23048</v>
      </c>
      <c r="F4488" t="s">
        <v>32831</v>
      </c>
      <c r="G4488" t="s">
        <v>32840</v>
      </c>
      <c r="H4488" t="s">
        <v>32848</v>
      </c>
      <c r="I4488" t="s">
        <v>8781</v>
      </c>
      <c r="J4488" t="s">
        <v>35889</v>
      </c>
      <c r="K4488" t="s">
        <v>42729</v>
      </c>
      <c r="M4488" t="s">
        <v>43953</v>
      </c>
      <c r="N4488" t="s">
        <v>47424</v>
      </c>
      <c r="O4488" t="s">
        <v>47425</v>
      </c>
      <c r="P4488">
        <v>0</v>
      </c>
      <c r="Q4488">
        <v>1</v>
      </c>
      <c r="R4488" t="s">
        <v>47430</v>
      </c>
      <c r="S4488" t="s">
        <v>47549</v>
      </c>
      <c r="T4488" t="s">
        <v>49100</v>
      </c>
      <c r="U4488" t="s">
        <v>51374</v>
      </c>
      <c r="W4488" t="s">
        <v>43953</v>
      </c>
      <c r="X4488" t="s">
        <v>47431</v>
      </c>
    </row>
    <row r="4489" spans="1:24">
      <c r="A4489">
        <f>HYPERLINK("https://www.philgeps.gov.ph/GEPSNONPILOT/Tender/SplashBidNoticeAbstractUI.aspx?menuIndex=3&amp;refID=7159485&amp;Result=3","7159485")</f>
        <v>0</v>
      </c>
      <c r="B4489" t="s">
        <v>1767</v>
      </c>
      <c r="C4489" t="s">
        <v>8153</v>
      </c>
      <c r="D4489" t="s">
        <v>19088</v>
      </c>
      <c r="E4489" t="s">
        <v>21427</v>
      </c>
      <c r="F4489" t="s">
        <v>32831</v>
      </c>
      <c r="G4489" t="s">
        <v>32840</v>
      </c>
      <c r="H4489" t="s">
        <v>32848</v>
      </c>
      <c r="I4489" t="s">
        <v>32918</v>
      </c>
      <c r="J4489" t="s">
        <v>33090</v>
      </c>
      <c r="K4489" t="s">
        <v>42730</v>
      </c>
      <c r="M4489" t="s">
        <v>44892</v>
      </c>
      <c r="N4489" t="s">
        <v>47424</v>
      </c>
      <c r="O4489" t="s">
        <v>47425</v>
      </c>
      <c r="P4489">
        <v>0</v>
      </c>
      <c r="Q4489">
        <v>4</v>
      </c>
      <c r="R4489" t="s">
        <v>47430</v>
      </c>
      <c r="S4489" t="s">
        <v>47549</v>
      </c>
      <c r="T4489" t="s">
        <v>49100</v>
      </c>
      <c r="U4489" t="s">
        <v>53462</v>
      </c>
      <c r="V4489" t="s">
        <v>63120</v>
      </c>
      <c r="W4489" t="s">
        <v>44892</v>
      </c>
      <c r="X4489" t="s">
        <v>47431</v>
      </c>
    </row>
    <row r="4490" spans="1:24">
      <c r="A4490">
        <f>HYPERLINK("https://www.philgeps.gov.ph/GEPSNONPILOT/Tender/SplashBidNoticeAbstractUI.aspx?menuIndex=3&amp;refID=7159525&amp;Result=3","7159525")</f>
        <v>0</v>
      </c>
      <c r="B4490" t="s">
        <v>583</v>
      </c>
      <c r="C4490" t="s">
        <v>8154</v>
      </c>
      <c r="D4490" t="s">
        <v>19069</v>
      </c>
      <c r="E4490" t="s">
        <v>23093</v>
      </c>
      <c r="F4490" t="s">
        <v>32831</v>
      </c>
      <c r="G4490" t="s">
        <v>32839</v>
      </c>
      <c r="H4490" t="s">
        <v>32848</v>
      </c>
      <c r="I4490" t="s">
        <v>32859</v>
      </c>
      <c r="J4490" t="s">
        <v>33044</v>
      </c>
      <c r="K4490" t="s">
        <v>42730</v>
      </c>
      <c r="M4490" t="s">
        <v>43594</v>
      </c>
      <c r="N4490" t="s">
        <v>47424</v>
      </c>
      <c r="O4490" t="s">
        <v>47425</v>
      </c>
      <c r="P4490">
        <v>0</v>
      </c>
      <c r="Q4490">
        <v>0</v>
      </c>
      <c r="R4490" t="s">
        <v>47430</v>
      </c>
      <c r="S4490" t="s">
        <v>47549</v>
      </c>
      <c r="T4490" t="s">
        <v>49104</v>
      </c>
      <c r="U4490" t="s">
        <v>53481</v>
      </c>
      <c r="V4490" t="s">
        <v>63097</v>
      </c>
      <c r="W4490" t="s">
        <v>43594</v>
      </c>
      <c r="X4490" t="s">
        <v>47431</v>
      </c>
    </row>
    <row r="4491" spans="1:24">
      <c r="A4491">
        <f>HYPERLINK("https://www.philgeps.gov.ph/GEPSNONPILOT/Tender/SplashBidNoticeAbstractUI.aspx?menuIndex=3&amp;refID=7159522&amp;Result=3","7159522")</f>
        <v>0</v>
      </c>
      <c r="B4491" t="s">
        <v>33</v>
      </c>
      <c r="C4491" t="s">
        <v>8155</v>
      </c>
      <c r="D4491" t="s">
        <v>19024</v>
      </c>
      <c r="E4491" t="s">
        <v>23089</v>
      </c>
      <c r="F4491" t="s">
        <v>32831</v>
      </c>
      <c r="G4491" t="s">
        <v>32839</v>
      </c>
      <c r="H4491" t="s">
        <v>32848</v>
      </c>
      <c r="I4491" t="s">
        <v>32875</v>
      </c>
      <c r="J4491" t="s">
        <v>35890</v>
      </c>
      <c r="K4491" t="s">
        <v>42730</v>
      </c>
      <c r="M4491" t="s">
        <v>43030</v>
      </c>
      <c r="N4491" t="s">
        <v>47424</v>
      </c>
      <c r="O4491" t="s">
        <v>47425</v>
      </c>
      <c r="P4491">
        <v>0</v>
      </c>
      <c r="Q4491">
        <v>0</v>
      </c>
      <c r="R4491" t="s">
        <v>47430</v>
      </c>
      <c r="S4491" t="s">
        <v>47549</v>
      </c>
      <c r="T4491" t="s">
        <v>49188</v>
      </c>
      <c r="U4491" t="s">
        <v>53476</v>
      </c>
      <c r="W4491" t="s">
        <v>43030</v>
      </c>
      <c r="X4491" t="s">
        <v>47431</v>
      </c>
    </row>
    <row r="4492" spans="1:24">
      <c r="A4492">
        <f>HYPERLINK("https://www.philgeps.gov.ph/GEPSNONPILOT/Tender/SplashBidNoticeAbstractUI.aspx?menuIndex=3&amp;refID=7159519&amp;Result=3","7159519")</f>
        <v>0</v>
      </c>
      <c r="B4492" t="s">
        <v>669</v>
      </c>
      <c r="C4492" t="s">
        <v>5283</v>
      </c>
      <c r="D4492" t="s">
        <v>19022</v>
      </c>
      <c r="E4492" t="s">
        <v>23094</v>
      </c>
      <c r="F4492" t="s">
        <v>32831</v>
      </c>
      <c r="G4492" t="s">
        <v>32838</v>
      </c>
      <c r="H4492" t="s">
        <v>32848</v>
      </c>
      <c r="I4492" t="s">
        <v>9577</v>
      </c>
      <c r="J4492" t="s">
        <v>35891</v>
      </c>
      <c r="K4492" t="s">
        <v>42726</v>
      </c>
      <c r="M4492" t="s">
        <v>43688</v>
      </c>
      <c r="N4492" t="s">
        <v>47424</v>
      </c>
      <c r="O4492" t="s">
        <v>47425</v>
      </c>
      <c r="P4492">
        <v>0</v>
      </c>
      <c r="Q4492">
        <v>2</v>
      </c>
      <c r="R4492" t="s">
        <v>47430</v>
      </c>
      <c r="S4492" t="s">
        <v>47549</v>
      </c>
      <c r="T4492" t="s">
        <v>49166</v>
      </c>
      <c r="U4492" t="s">
        <v>53482</v>
      </c>
      <c r="W4492" t="s">
        <v>43688</v>
      </c>
      <c r="X4492" t="s">
        <v>47431</v>
      </c>
    </row>
    <row r="4493" spans="1:24">
      <c r="A4493">
        <f>HYPERLINK("https://www.philgeps.gov.ph/GEPSNONPILOT/Tender/SplashBidNoticeAbstractUI.aspx?menuIndex=3&amp;refID=7159517&amp;Result=3","7159517")</f>
        <v>0</v>
      </c>
      <c r="B4493" t="s">
        <v>172</v>
      </c>
      <c r="C4493" t="s">
        <v>8156</v>
      </c>
      <c r="D4493" t="s">
        <v>19022</v>
      </c>
      <c r="E4493" t="s">
        <v>23095</v>
      </c>
      <c r="F4493" t="s">
        <v>32831</v>
      </c>
      <c r="G4493" t="s">
        <v>32838</v>
      </c>
      <c r="H4493" t="s">
        <v>32848</v>
      </c>
      <c r="I4493" t="s">
        <v>4558</v>
      </c>
      <c r="J4493" t="s">
        <v>34070</v>
      </c>
      <c r="K4493" t="s">
        <v>42726</v>
      </c>
      <c r="M4493" t="s">
        <v>43169</v>
      </c>
      <c r="N4493" t="s">
        <v>47424</v>
      </c>
      <c r="O4493" t="s">
        <v>47425</v>
      </c>
      <c r="P4493">
        <v>0</v>
      </c>
      <c r="Q4493">
        <v>2</v>
      </c>
      <c r="R4493" t="s">
        <v>47430</v>
      </c>
      <c r="S4493" t="s">
        <v>47549</v>
      </c>
      <c r="T4493" t="s">
        <v>49141</v>
      </c>
      <c r="U4493" t="s">
        <v>53367</v>
      </c>
      <c r="V4493" t="s">
        <v>63113</v>
      </c>
      <c r="W4493" t="s">
        <v>43169</v>
      </c>
      <c r="X4493" t="s">
        <v>47431</v>
      </c>
    </row>
    <row r="4494" spans="1:24">
      <c r="A4494">
        <f>HYPERLINK("https://www.philgeps.gov.ph/GEPSNONPILOT/Tender/SplashBidNoticeAbstractUI.aspx?menuIndex=3&amp;refID=7159521&amp;Result=3","7159521")</f>
        <v>0</v>
      </c>
      <c r="B4494" t="s">
        <v>726</v>
      </c>
      <c r="C4494" t="s">
        <v>8157</v>
      </c>
      <c r="E4494" t="s">
        <v>23096</v>
      </c>
      <c r="F4494" t="s">
        <v>32831</v>
      </c>
      <c r="G4494" t="s">
        <v>32839</v>
      </c>
      <c r="H4494" t="s">
        <v>32848</v>
      </c>
      <c r="I4494" t="s">
        <v>4487</v>
      </c>
      <c r="J4494" t="s">
        <v>34733</v>
      </c>
      <c r="K4494" t="s">
        <v>42732</v>
      </c>
      <c r="M4494" t="s">
        <v>44276</v>
      </c>
      <c r="N4494" t="s">
        <v>47424</v>
      </c>
      <c r="O4494" t="s">
        <v>47425</v>
      </c>
      <c r="P4494">
        <v>0</v>
      </c>
      <c r="Q4494">
        <v>16</v>
      </c>
      <c r="R4494" t="s">
        <v>47430</v>
      </c>
      <c r="S4494" t="s">
        <v>47549</v>
      </c>
      <c r="T4494" t="s">
        <v>49319</v>
      </c>
      <c r="U4494" t="s">
        <v>53483</v>
      </c>
      <c r="W4494" t="s">
        <v>44276</v>
      </c>
      <c r="X4494" t="s">
        <v>47431</v>
      </c>
    </row>
    <row r="4495" spans="1:24">
      <c r="A4495">
        <f>HYPERLINK("https://www.philgeps.gov.ph/GEPSNONPILOT/Tender/SplashBidNoticeAbstractUI.aspx?menuIndex=3&amp;refID=7159528&amp;Result=3","7159528")</f>
        <v>0</v>
      </c>
      <c r="B4495" t="s">
        <v>1778</v>
      </c>
      <c r="C4495" t="s">
        <v>8158</v>
      </c>
      <c r="D4495" t="s">
        <v>19046</v>
      </c>
      <c r="E4495" t="s">
        <v>23097</v>
      </c>
      <c r="F4495" t="s">
        <v>32831</v>
      </c>
      <c r="G4495" t="s">
        <v>32839</v>
      </c>
      <c r="H4495" t="s">
        <v>32849</v>
      </c>
      <c r="I4495" t="s">
        <v>4177</v>
      </c>
      <c r="J4495" t="s">
        <v>35892</v>
      </c>
      <c r="K4495" t="s">
        <v>42731</v>
      </c>
      <c r="M4495" t="s">
        <v>44903</v>
      </c>
      <c r="N4495" t="s">
        <v>47424</v>
      </c>
      <c r="O4495" t="s">
        <v>47425</v>
      </c>
      <c r="P4495">
        <v>0</v>
      </c>
      <c r="Q4495">
        <v>4</v>
      </c>
      <c r="R4495" t="s">
        <v>47430</v>
      </c>
      <c r="S4495" t="s">
        <v>47549</v>
      </c>
      <c r="T4495" t="s">
        <v>49236</v>
      </c>
      <c r="U4495" t="s">
        <v>53484</v>
      </c>
      <c r="V4495" t="s">
        <v>63124</v>
      </c>
      <c r="W4495" t="s">
        <v>44903</v>
      </c>
      <c r="X4495" t="s">
        <v>47431</v>
      </c>
    </row>
    <row r="4496" spans="1:24">
      <c r="A4496">
        <f>HYPERLINK("https://www.philgeps.gov.ph/GEPSNONPILOT/Tender/SplashBidNoticeAbstractUI.aspx?menuIndex=3&amp;refID=7159512&amp;Result=3","7159512")</f>
        <v>0</v>
      </c>
      <c r="B4496" t="s">
        <v>668</v>
      </c>
      <c r="C4496" t="s">
        <v>8159</v>
      </c>
      <c r="D4496" t="s">
        <v>19034</v>
      </c>
      <c r="E4496" t="s">
        <v>23098</v>
      </c>
      <c r="F4496" t="s">
        <v>32831</v>
      </c>
      <c r="G4496" t="s">
        <v>32841</v>
      </c>
      <c r="H4496" t="s">
        <v>32848</v>
      </c>
      <c r="I4496" t="s">
        <v>7751</v>
      </c>
      <c r="J4496" t="s">
        <v>33032</v>
      </c>
      <c r="K4496" t="s">
        <v>42730</v>
      </c>
      <c r="M4496" t="s">
        <v>44913</v>
      </c>
      <c r="N4496" t="s">
        <v>47424</v>
      </c>
      <c r="O4496" t="s">
        <v>47425</v>
      </c>
      <c r="P4496">
        <v>0</v>
      </c>
      <c r="Q4496">
        <v>4</v>
      </c>
      <c r="R4496" t="s">
        <v>47430</v>
      </c>
      <c r="S4496" t="s">
        <v>47549</v>
      </c>
      <c r="T4496" t="s">
        <v>49111</v>
      </c>
      <c r="U4496" t="s">
        <v>53485</v>
      </c>
      <c r="W4496" t="s">
        <v>44913</v>
      </c>
      <c r="X4496" t="s">
        <v>47431</v>
      </c>
    </row>
    <row r="4497" spans="1:24">
      <c r="A4497">
        <f>HYPERLINK("https://www.philgeps.gov.ph/GEPSNONPILOT/Tender/SplashBidNoticeAbstractUI.aspx?menuIndex=3&amp;refID=7159527&amp;Result=3","7159527")</f>
        <v>0</v>
      </c>
      <c r="B4497" t="s">
        <v>1441</v>
      </c>
      <c r="C4497" t="s">
        <v>8160</v>
      </c>
      <c r="D4497" t="s">
        <v>19067</v>
      </c>
      <c r="E4497" t="s">
        <v>23099</v>
      </c>
      <c r="F4497" t="s">
        <v>32831</v>
      </c>
      <c r="G4497" t="s">
        <v>32839</v>
      </c>
      <c r="H4497" t="s">
        <v>32848</v>
      </c>
      <c r="I4497" t="s">
        <v>32884</v>
      </c>
      <c r="J4497" t="s">
        <v>33178</v>
      </c>
      <c r="K4497" t="s">
        <v>42727</v>
      </c>
      <c r="M4497" t="s">
        <v>44533</v>
      </c>
      <c r="N4497" t="s">
        <v>47424</v>
      </c>
      <c r="O4497" t="s">
        <v>47425</v>
      </c>
      <c r="P4497">
        <v>0</v>
      </c>
      <c r="Q4497">
        <v>2</v>
      </c>
      <c r="R4497" t="s">
        <v>47430</v>
      </c>
      <c r="S4497" t="s">
        <v>47549</v>
      </c>
      <c r="T4497" t="s">
        <v>49066</v>
      </c>
      <c r="U4497" t="s">
        <v>53486</v>
      </c>
      <c r="W4497" t="s">
        <v>44533</v>
      </c>
      <c r="X4497" t="s">
        <v>47431</v>
      </c>
    </row>
    <row r="4498" spans="1:24">
      <c r="A4498">
        <f>HYPERLINK("https://www.philgeps.gov.ph/GEPSNONPILOT/Tender/SplashBidNoticeAbstractUI.aspx?menuIndex=3&amp;refID=7159523&amp;Result=3","7159523")</f>
        <v>0</v>
      </c>
      <c r="B4498" t="s">
        <v>734</v>
      </c>
      <c r="C4498" t="s">
        <v>8161</v>
      </c>
      <c r="D4498" t="s">
        <v>19034</v>
      </c>
      <c r="E4498" t="s">
        <v>23100</v>
      </c>
      <c r="F4498" t="s">
        <v>32831</v>
      </c>
      <c r="G4498" t="s">
        <v>32839</v>
      </c>
      <c r="H4498" t="s">
        <v>32848</v>
      </c>
      <c r="I4498" t="s">
        <v>4558</v>
      </c>
      <c r="J4498" t="s">
        <v>35893</v>
      </c>
      <c r="K4498" t="s">
        <v>42731</v>
      </c>
      <c r="M4498" t="s">
        <v>44904</v>
      </c>
      <c r="N4498" t="s">
        <v>47424</v>
      </c>
      <c r="O4498" t="s">
        <v>47425</v>
      </c>
      <c r="P4498">
        <v>0</v>
      </c>
      <c r="Q4498">
        <v>1</v>
      </c>
      <c r="R4498" t="s">
        <v>47430</v>
      </c>
      <c r="S4498" t="s">
        <v>47549</v>
      </c>
      <c r="T4498" t="s">
        <v>49338</v>
      </c>
      <c r="U4498" t="s">
        <v>53487</v>
      </c>
      <c r="W4498" t="s">
        <v>44904</v>
      </c>
      <c r="X4498" t="s">
        <v>47431</v>
      </c>
    </row>
    <row r="4499" spans="1:24">
      <c r="A4499">
        <f>HYPERLINK("https://www.philgeps.gov.ph/GEPSNONPILOT/Tender/SplashBidNoticeAbstractUI.aspx?menuIndex=3&amp;refID=7159530&amp;Result=3","7159530")</f>
        <v>0</v>
      </c>
      <c r="B4499" t="s">
        <v>1308</v>
      </c>
      <c r="C4499" t="s">
        <v>8162</v>
      </c>
      <c r="D4499" t="s">
        <v>19020</v>
      </c>
      <c r="E4499" t="s">
        <v>23101</v>
      </c>
      <c r="F4499" t="s">
        <v>32831</v>
      </c>
      <c r="G4499" t="s">
        <v>32839</v>
      </c>
      <c r="H4499" t="s">
        <v>32848</v>
      </c>
      <c r="I4499" t="s">
        <v>10643</v>
      </c>
      <c r="J4499" t="s">
        <v>33424</v>
      </c>
      <c r="K4499" t="s">
        <v>42727</v>
      </c>
      <c r="M4499" t="s">
        <v>44379</v>
      </c>
      <c r="N4499" t="s">
        <v>47424</v>
      </c>
      <c r="O4499" t="s">
        <v>47425</v>
      </c>
      <c r="P4499">
        <v>0</v>
      </c>
      <c r="Q4499">
        <v>1</v>
      </c>
      <c r="R4499" t="s">
        <v>47430</v>
      </c>
      <c r="S4499" t="s">
        <v>47549</v>
      </c>
      <c r="T4499" t="s">
        <v>49276</v>
      </c>
      <c r="U4499" t="s">
        <v>53488</v>
      </c>
      <c r="W4499" t="s">
        <v>44379</v>
      </c>
      <c r="X4499" t="s">
        <v>47431</v>
      </c>
    </row>
    <row r="4500" spans="1:24">
      <c r="A4500">
        <f>HYPERLINK("https://www.philgeps.gov.ph/GEPSNONPILOT/Tender/SplashBidNoticeAbstractUI.aspx?menuIndex=3&amp;refID=7159555&amp;Result=3","7159555")</f>
        <v>0</v>
      </c>
      <c r="B4500" t="s">
        <v>1792</v>
      </c>
      <c r="C4500" t="s">
        <v>8163</v>
      </c>
      <c r="D4500" t="s">
        <v>19062</v>
      </c>
      <c r="E4500" t="s">
        <v>19476</v>
      </c>
      <c r="F4500" t="s">
        <v>32831</v>
      </c>
      <c r="G4500" t="s">
        <v>32839</v>
      </c>
      <c r="H4500" t="s">
        <v>32848</v>
      </c>
      <c r="I4500" t="s">
        <v>7416</v>
      </c>
      <c r="J4500" t="s">
        <v>35894</v>
      </c>
      <c r="K4500" t="s">
        <v>42727</v>
      </c>
      <c r="M4500" t="s">
        <v>44922</v>
      </c>
      <c r="N4500" t="s">
        <v>47424</v>
      </c>
      <c r="O4500" t="s">
        <v>47425</v>
      </c>
      <c r="P4500">
        <v>0</v>
      </c>
      <c r="Q4500">
        <v>0</v>
      </c>
      <c r="R4500" t="s">
        <v>47430</v>
      </c>
      <c r="S4500" t="s">
        <v>47549</v>
      </c>
      <c r="T4500" t="s">
        <v>49073</v>
      </c>
      <c r="U4500" t="s">
        <v>53489</v>
      </c>
      <c r="W4500" t="s">
        <v>44922</v>
      </c>
      <c r="X4500" t="s">
        <v>47431</v>
      </c>
    </row>
    <row r="4501" spans="1:24">
      <c r="A4501">
        <f>HYPERLINK("https://www.philgeps.gov.ph/GEPSNONPILOT/Tender/SplashBidNoticeAbstractUI.aspx?menuIndex=3&amp;refID=7159554&amp;Result=3","7159554")</f>
        <v>0</v>
      </c>
      <c r="B4501" t="s">
        <v>726</v>
      </c>
      <c r="C4501" t="s">
        <v>8164</v>
      </c>
      <c r="E4501" t="s">
        <v>23102</v>
      </c>
      <c r="F4501" t="s">
        <v>32831</v>
      </c>
      <c r="G4501" t="s">
        <v>32839</v>
      </c>
      <c r="H4501" t="s">
        <v>32848</v>
      </c>
      <c r="I4501" t="s">
        <v>32874</v>
      </c>
      <c r="J4501" t="s">
        <v>35895</v>
      </c>
      <c r="K4501" t="s">
        <v>42732</v>
      </c>
      <c r="M4501" t="s">
        <v>44276</v>
      </c>
      <c r="N4501" t="s">
        <v>47424</v>
      </c>
      <c r="O4501" t="s">
        <v>47425</v>
      </c>
      <c r="P4501">
        <v>0</v>
      </c>
      <c r="Q4501">
        <v>20</v>
      </c>
      <c r="R4501" t="s">
        <v>47430</v>
      </c>
      <c r="S4501" t="s">
        <v>47549</v>
      </c>
      <c r="T4501" t="s">
        <v>49319</v>
      </c>
      <c r="U4501" t="s">
        <v>53490</v>
      </c>
      <c r="W4501" t="s">
        <v>44276</v>
      </c>
      <c r="X4501" t="s">
        <v>47431</v>
      </c>
    </row>
    <row r="4502" spans="1:24">
      <c r="A4502">
        <f>HYPERLINK("https://www.philgeps.gov.ph/GEPSNONPILOT/Tender/SplashBidNoticeAbstractUI.aspx?menuIndex=3&amp;refID=7159526&amp;Result=3","7159526")</f>
        <v>0</v>
      </c>
      <c r="B4502" t="s">
        <v>1793</v>
      </c>
      <c r="C4502" t="s">
        <v>8165</v>
      </c>
      <c r="D4502" t="s">
        <v>19060</v>
      </c>
      <c r="E4502" t="s">
        <v>20880</v>
      </c>
      <c r="F4502" t="s">
        <v>32831</v>
      </c>
      <c r="G4502" t="s">
        <v>32839</v>
      </c>
      <c r="H4502" t="s">
        <v>32848</v>
      </c>
      <c r="I4502" t="s">
        <v>32870</v>
      </c>
      <c r="J4502" t="s">
        <v>35896</v>
      </c>
      <c r="K4502" t="s">
        <v>42757</v>
      </c>
      <c r="M4502" t="s">
        <v>44923</v>
      </c>
      <c r="N4502" t="s">
        <v>47424</v>
      </c>
      <c r="O4502" t="s">
        <v>47425</v>
      </c>
      <c r="P4502">
        <v>0</v>
      </c>
      <c r="Q4502">
        <v>0</v>
      </c>
      <c r="R4502" t="s">
        <v>47430</v>
      </c>
      <c r="S4502" t="s">
        <v>47549</v>
      </c>
      <c r="T4502" t="s">
        <v>49058</v>
      </c>
      <c r="U4502" t="s">
        <v>53491</v>
      </c>
      <c r="V4502" t="s">
        <v>63128</v>
      </c>
      <c r="W4502" t="s">
        <v>44923</v>
      </c>
      <c r="X4502" t="s">
        <v>47431</v>
      </c>
    </row>
    <row r="4503" spans="1:24">
      <c r="A4503">
        <f>HYPERLINK("https://www.philgeps.gov.ph/GEPSNONPILOT/Tender/SplashBidNoticeAbstractUI.aspx?menuIndex=3&amp;refID=7159552&amp;Result=3","7159552")</f>
        <v>0</v>
      </c>
      <c r="B4503" t="s">
        <v>669</v>
      </c>
      <c r="C4503" t="s">
        <v>5283</v>
      </c>
      <c r="D4503" t="s">
        <v>19022</v>
      </c>
      <c r="E4503" t="s">
        <v>23103</v>
      </c>
      <c r="F4503" t="s">
        <v>32831</v>
      </c>
      <c r="G4503" t="s">
        <v>32838</v>
      </c>
      <c r="H4503" t="s">
        <v>32848</v>
      </c>
      <c r="I4503" t="s">
        <v>32868</v>
      </c>
      <c r="J4503" t="s">
        <v>33364</v>
      </c>
      <c r="K4503" t="s">
        <v>42726</v>
      </c>
      <c r="M4503" t="s">
        <v>43688</v>
      </c>
      <c r="N4503" t="s">
        <v>47424</v>
      </c>
      <c r="O4503" t="s">
        <v>47425</v>
      </c>
      <c r="P4503">
        <v>0</v>
      </c>
      <c r="Q4503">
        <v>0</v>
      </c>
      <c r="R4503" t="s">
        <v>47430</v>
      </c>
      <c r="S4503" t="s">
        <v>47549</v>
      </c>
      <c r="T4503" t="s">
        <v>49166</v>
      </c>
      <c r="U4503" t="s">
        <v>53492</v>
      </c>
      <c r="W4503" t="s">
        <v>43688</v>
      </c>
      <c r="X4503" t="s">
        <v>47431</v>
      </c>
    </row>
    <row r="4504" spans="1:24">
      <c r="A4504">
        <f>HYPERLINK("https://www.philgeps.gov.ph/GEPSNONPILOT/Tender/SplashBidNoticeAbstractUI.aspx?menuIndex=3&amp;refID=7159404&amp;Result=3","7159404")</f>
        <v>0</v>
      </c>
      <c r="B4504" t="s">
        <v>1767</v>
      </c>
      <c r="C4504" t="s">
        <v>8166</v>
      </c>
      <c r="D4504" t="s">
        <v>19088</v>
      </c>
      <c r="E4504" t="s">
        <v>23104</v>
      </c>
      <c r="F4504" t="s">
        <v>32831</v>
      </c>
      <c r="G4504" t="s">
        <v>32840</v>
      </c>
      <c r="H4504" t="s">
        <v>32848</v>
      </c>
      <c r="I4504" t="s">
        <v>32855</v>
      </c>
      <c r="J4504" t="s">
        <v>35897</v>
      </c>
      <c r="K4504" t="s">
        <v>42731</v>
      </c>
      <c r="M4504" t="s">
        <v>44892</v>
      </c>
      <c r="N4504" t="s">
        <v>47424</v>
      </c>
      <c r="O4504" t="s">
        <v>47425</v>
      </c>
      <c r="P4504">
        <v>0</v>
      </c>
      <c r="Q4504">
        <v>6</v>
      </c>
      <c r="R4504" t="s">
        <v>47430</v>
      </c>
      <c r="S4504" t="s">
        <v>47549</v>
      </c>
      <c r="T4504" t="s">
        <v>49100</v>
      </c>
      <c r="U4504" t="s">
        <v>53493</v>
      </c>
      <c r="V4504" t="s">
        <v>63120</v>
      </c>
      <c r="W4504" t="s">
        <v>44892</v>
      </c>
      <c r="X4504" t="s">
        <v>47431</v>
      </c>
    </row>
    <row r="4505" spans="1:24">
      <c r="A4505">
        <f>HYPERLINK("https://www.philgeps.gov.ph/GEPSNONPILOT/Tender/SplashBidNoticeAbstractUI.aspx?menuIndex=3&amp;refID=7159550&amp;Result=3","7159550")</f>
        <v>0</v>
      </c>
      <c r="B4505" t="s">
        <v>629</v>
      </c>
      <c r="C4505" t="s">
        <v>8167</v>
      </c>
      <c r="D4505" t="s">
        <v>19049</v>
      </c>
      <c r="E4505" t="s">
        <v>23105</v>
      </c>
      <c r="F4505" t="s">
        <v>32831</v>
      </c>
      <c r="G4505" t="s">
        <v>32840</v>
      </c>
      <c r="H4505" t="s">
        <v>32848</v>
      </c>
      <c r="I4505" t="s">
        <v>32906</v>
      </c>
      <c r="J4505" t="s">
        <v>33133</v>
      </c>
      <c r="K4505" t="s">
        <v>42731</v>
      </c>
      <c r="M4505" t="s">
        <v>43646</v>
      </c>
      <c r="N4505" t="s">
        <v>47424</v>
      </c>
      <c r="O4505" t="s">
        <v>47425</v>
      </c>
      <c r="P4505">
        <v>0</v>
      </c>
      <c r="Q4505">
        <v>1</v>
      </c>
      <c r="R4505" t="s">
        <v>47430</v>
      </c>
      <c r="S4505" t="s">
        <v>47549</v>
      </c>
      <c r="T4505" t="s">
        <v>49237</v>
      </c>
      <c r="U4505" t="s">
        <v>53494</v>
      </c>
      <c r="W4505" t="s">
        <v>43646</v>
      </c>
      <c r="X4505" t="s">
        <v>47431</v>
      </c>
    </row>
    <row r="4506" spans="1:24">
      <c r="A4506">
        <f>HYPERLINK("https://www.philgeps.gov.ph/GEPSNONPILOT/Tender/SplashBidNoticeAbstractUI.aspx?menuIndex=3&amp;refID=7159515&amp;Result=3","7159515")</f>
        <v>0</v>
      </c>
      <c r="B4506" t="s">
        <v>1794</v>
      </c>
      <c r="C4506" t="s">
        <v>8168</v>
      </c>
      <c r="D4506" t="s">
        <v>19074</v>
      </c>
      <c r="E4506" t="s">
        <v>23106</v>
      </c>
      <c r="F4506" t="s">
        <v>32831</v>
      </c>
      <c r="G4506" t="s">
        <v>32838</v>
      </c>
      <c r="H4506" t="s">
        <v>32848</v>
      </c>
      <c r="I4506" t="s">
        <v>32883</v>
      </c>
      <c r="J4506" t="s">
        <v>34070</v>
      </c>
      <c r="K4506" t="s">
        <v>42726</v>
      </c>
      <c r="M4506" t="s">
        <v>44924</v>
      </c>
      <c r="N4506" t="s">
        <v>47424</v>
      </c>
      <c r="O4506" t="s">
        <v>47425</v>
      </c>
      <c r="P4506">
        <v>0</v>
      </c>
      <c r="Q4506">
        <v>1</v>
      </c>
      <c r="R4506" t="s">
        <v>47430</v>
      </c>
      <c r="S4506" t="s">
        <v>47549</v>
      </c>
      <c r="T4506" t="s">
        <v>49111</v>
      </c>
      <c r="U4506" t="s">
        <v>53495</v>
      </c>
      <c r="W4506" t="s">
        <v>44924</v>
      </c>
      <c r="X4506" t="s">
        <v>47431</v>
      </c>
    </row>
    <row r="4507" spans="1:24">
      <c r="A4507">
        <f>HYPERLINK("https://www.philgeps.gov.ph/GEPSNONPILOT/Tender/SplashBidNoticeAbstractUI.aspx?menuIndex=3&amp;refID=7159547&amp;Result=3","7159547")</f>
        <v>0</v>
      </c>
      <c r="B4507" t="s">
        <v>1759</v>
      </c>
      <c r="C4507" t="s">
        <v>8169</v>
      </c>
      <c r="D4507" t="s">
        <v>19058</v>
      </c>
      <c r="E4507" t="s">
        <v>23107</v>
      </c>
      <c r="F4507" t="s">
        <v>32831</v>
      </c>
      <c r="G4507" t="s">
        <v>32839</v>
      </c>
      <c r="H4507" t="s">
        <v>32848</v>
      </c>
      <c r="I4507" t="s">
        <v>4558</v>
      </c>
      <c r="J4507" t="s">
        <v>35898</v>
      </c>
      <c r="K4507" t="s">
        <v>42726</v>
      </c>
      <c r="M4507" t="s">
        <v>44883</v>
      </c>
      <c r="N4507" t="s">
        <v>47424</v>
      </c>
      <c r="O4507" t="s">
        <v>47425</v>
      </c>
      <c r="P4507">
        <v>0</v>
      </c>
      <c r="Q4507">
        <v>2</v>
      </c>
      <c r="R4507" t="s">
        <v>47430</v>
      </c>
      <c r="S4507" t="s">
        <v>47549</v>
      </c>
      <c r="T4507" t="s">
        <v>49123</v>
      </c>
      <c r="U4507" t="s">
        <v>53496</v>
      </c>
      <c r="V4507" t="s">
        <v>63115</v>
      </c>
      <c r="W4507" t="s">
        <v>44883</v>
      </c>
      <c r="X4507" t="s">
        <v>47431</v>
      </c>
    </row>
    <row r="4508" spans="1:24">
      <c r="A4508">
        <f>HYPERLINK("https://www.philgeps.gov.ph/GEPSNONPILOT/Tender/SplashBidNoticeAbstractUI.aspx?menuIndex=3&amp;refID=7159543&amp;Result=3","7159543")</f>
        <v>0</v>
      </c>
      <c r="B4508" t="s">
        <v>726</v>
      </c>
      <c r="C4508" t="s">
        <v>8170</v>
      </c>
      <c r="E4508" t="s">
        <v>23108</v>
      </c>
      <c r="F4508" t="s">
        <v>32831</v>
      </c>
      <c r="G4508" t="s">
        <v>32839</v>
      </c>
      <c r="H4508" t="s">
        <v>32848</v>
      </c>
      <c r="I4508" t="s">
        <v>32871</v>
      </c>
      <c r="J4508" t="s">
        <v>34921</v>
      </c>
      <c r="K4508" t="s">
        <v>42732</v>
      </c>
      <c r="M4508" t="s">
        <v>44276</v>
      </c>
      <c r="N4508" t="s">
        <v>47424</v>
      </c>
      <c r="O4508" t="s">
        <v>47425</v>
      </c>
      <c r="P4508">
        <v>0</v>
      </c>
      <c r="Q4508">
        <v>14</v>
      </c>
      <c r="R4508" t="s">
        <v>47430</v>
      </c>
      <c r="S4508" t="s">
        <v>47549</v>
      </c>
      <c r="T4508" t="s">
        <v>49319</v>
      </c>
      <c r="U4508" t="s">
        <v>53497</v>
      </c>
      <c r="W4508" t="s">
        <v>44276</v>
      </c>
      <c r="X4508" t="s">
        <v>47431</v>
      </c>
    </row>
    <row r="4509" spans="1:24">
      <c r="A4509">
        <f>HYPERLINK("https://www.philgeps.gov.ph/GEPSNONPILOT/Tender/SplashBidNoticeAbstractUI.aspx?menuIndex=3&amp;refID=7159510&amp;Result=3","7159510")</f>
        <v>0</v>
      </c>
      <c r="B4509" t="s">
        <v>1795</v>
      </c>
      <c r="C4509" t="s">
        <v>8171</v>
      </c>
      <c r="D4509" t="s">
        <v>19027</v>
      </c>
      <c r="E4509" t="s">
        <v>23109</v>
      </c>
      <c r="F4509" t="s">
        <v>32831</v>
      </c>
      <c r="G4509" t="s">
        <v>32838</v>
      </c>
      <c r="H4509" t="s">
        <v>32848</v>
      </c>
      <c r="I4509" t="s">
        <v>32860</v>
      </c>
      <c r="J4509" t="s">
        <v>33178</v>
      </c>
      <c r="K4509" t="s">
        <v>42731</v>
      </c>
      <c r="M4509" t="s">
        <v>44925</v>
      </c>
      <c r="N4509" t="s">
        <v>47424</v>
      </c>
      <c r="O4509" t="s">
        <v>47425</v>
      </c>
      <c r="P4509">
        <v>0</v>
      </c>
      <c r="Q4509">
        <v>2</v>
      </c>
      <c r="R4509" t="s">
        <v>47430</v>
      </c>
      <c r="S4509" t="s">
        <v>47549</v>
      </c>
      <c r="T4509" t="s">
        <v>49114</v>
      </c>
      <c r="U4509" t="s">
        <v>53498</v>
      </c>
      <c r="W4509" t="s">
        <v>44925</v>
      </c>
      <c r="X4509" t="s">
        <v>47431</v>
      </c>
    </row>
    <row r="4510" spans="1:24">
      <c r="A4510">
        <f>HYPERLINK("https://www.philgeps.gov.ph/GEPSNONPILOT/Tender/SplashBidNoticeAbstractUI.aspx?menuIndex=3&amp;refID=7159541&amp;Result=3","7159541")</f>
        <v>0</v>
      </c>
      <c r="B4510" t="s">
        <v>669</v>
      </c>
      <c r="C4510" t="s">
        <v>8172</v>
      </c>
      <c r="D4510" t="s">
        <v>19022</v>
      </c>
      <c r="E4510" t="s">
        <v>23110</v>
      </c>
      <c r="F4510" t="s">
        <v>32831</v>
      </c>
      <c r="G4510" t="s">
        <v>32838</v>
      </c>
      <c r="H4510" t="s">
        <v>32848</v>
      </c>
      <c r="I4510" t="s">
        <v>32859</v>
      </c>
      <c r="J4510" t="s">
        <v>35899</v>
      </c>
      <c r="K4510" t="s">
        <v>42726</v>
      </c>
      <c r="M4510" t="s">
        <v>43688</v>
      </c>
      <c r="N4510" t="s">
        <v>47424</v>
      </c>
      <c r="O4510" t="s">
        <v>47425</v>
      </c>
      <c r="P4510">
        <v>0</v>
      </c>
      <c r="Q4510">
        <v>2</v>
      </c>
      <c r="R4510" t="s">
        <v>47430</v>
      </c>
      <c r="S4510" t="s">
        <v>47549</v>
      </c>
      <c r="T4510" t="s">
        <v>49166</v>
      </c>
      <c r="U4510" t="s">
        <v>53499</v>
      </c>
      <c r="W4510" t="s">
        <v>43688</v>
      </c>
      <c r="X4510" t="s">
        <v>47431</v>
      </c>
    </row>
    <row r="4511" spans="1:24">
      <c r="A4511">
        <f>HYPERLINK("https://www.philgeps.gov.ph/GEPSNONPILOT/Tender/SplashBidNoticeAbstractUI.aspx?menuIndex=3&amp;refID=7159539&amp;Result=3","7159539")</f>
        <v>0</v>
      </c>
      <c r="B4511" t="s">
        <v>1291</v>
      </c>
      <c r="C4511" t="s">
        <v>8173</v>
      </c>
      <c r="D4511" t="s">
        <v>19023</v>
      </c>
      <c r="E4511" t="s">
        <v>23111</v>
      </c>
      <c r="F4511" t="s">
        <v>32831</v>
      </c>
      <c r="G4511" t="s">
        <v>32839</v>
      </c>
      <c r="H4511" t="s">
        <v>32848</v>
      </c>
      <c r="I4511" t="s">
        <v>32852</v>
      </c>
      <c r="J4511" t="s">
        <v>33561</v>
      </c>
      <c r="K4511" t="s">
        <v>42730</v>
      </c>
      <c r="M4511" t="s">
        <v>44361</v>
      </c>
      <c r="N4511" t="s">
        <v>47424</v>
      </c>
      <c r="O4511" t="s">
        <v>47425</v>
      </c>
      <c r="P4511">
        <v>0</v>
      </c>
      <c r="Q4511">
        <v>4</v>
      </c>
      <c r="R4511" t="s">
        <v>47430</v>
      </c>
      <c r="S4511" t="s">
        <v>47549</v>
      </c>
      <c r="T4511" t="s">
        <v>49219</v>
      </c>
      <c r="U4511" t="s">
        <v>53500</v>
      </c>
      <c r="W4511" t="s">
        <v>44361</v>
      </c>
      <c r="X4511" t="s">
        <v>47431</v>
      </c>
    </row>
    <row r="4512" spans="1:24">
      <c r="A4512">
        <f>HYPERLINK("https://www.philgeps.gov.ph/GEPSNONPILOT/Tender/SplashBidNoticeAbstractUI.aspx?menuIndex=3&amp;refID=7159553&amp;Result=3","7159553")</f>
        <v>0</v>
      </c>
      <c r="B4512" t="s">
        <v>1195</v>
      </c>
      <c r="C4512" t="s">
        <v>4776</v>
      </c>
      <c r="D4512" t="s">
        <v>19019</v>
      </c>
      <c r="E4512" t="s">
        <v>23112</v>
      </c>
      <c r="F4512" t="s">
        <v>32831</v>
      </c>
      <c r="G4512" t="s">
        <v>32838</v>
      </c>
      <c r="H4512" t="s">
        <v>32848</v>
      </c>
      <c r="I4512" t="s">
        <v>4776</v>
      </c>
      <c r="J4512" t="s">
        <v>34032</v>
      </c>
      <c r="K4512" t="s">
        <v>42732</v>
      </c>
      <c r="M4512" t="s">
        <v>44261</v>
      </c>
      <c r="N4512" t="s">
        <v>47424</v>
      </c>
      <c r="O4512" t="s">
        <v>47425</v>
      </c>
      <c r="P4512">
        <v>0</v>
      </c>
      <c r="Q4512">
        <v>1</v>
      </c>
      <c r="R4512" t="s">
        <v>47430</v>
      </c>
      <c r="S4512" t="s">
        <v>47549</v>
      </c>
      <c r="T4512" t="s">
        <v>49145</v>
      </c>
      <c r="U4512" t="s">
        <v>53501</v>
      </c>
      <c r="W4512" t="s">
        <v>44261</v>
      </c>
      <c r="X4512" t="s">
        <v>47431</v>
      </c>
    </row>
    <row r="4513" spans="1:24">
      <c r="A4513">
        <f>HYPERLINK("https://www.philgeps.gov.ph/GEPSNONPILOT/Tender/SplashBidNoticeAbstractUI.aspx?menuIndex=3&amp;refID=7159548&amp;Result=3","7159548")</f>
        <v>0</v>
      </c>
      <c r="B4513" t="s">
        <v>726</v>
      </c>
      <c r="C4513" t="s">
        <v>8174</v>
      </c>
      <c r="E4513" t="s">
        <v>23113</v>
      </c>
      <c r="F4513" t="s">
        <v>32831</v>
      </c>
      <c r="G4513" t="s">
        <v>32839</v>
      </c>
      <c r="H4513" t="s">
        <v>32848</v>
      </c>
      <c r="I4513" t="s">
        <v>32871</v>
      </c>
      <c r="J4513" t="s">
        <v>35900</v>
      </c>
      <c r="K4513" t="s">
        <v>42732</v>
      </c>
      <c r="M4513" t="s">
        <v>44276</v>
      </c>
      <c r="N4513" t="s">
        <v>47424</v>
      </c>
      <c r="O4513" t="s">
        <v>47425</v>
      </c>
      <c r="P4513">
        <v>0</v>
      </c>
      <c r="Q4513">
        <v>10</v>
      </c>
      <c r="R4513" t="s">
        <v>47430</v>
      </c>
      <c r="S4513" t="s">
        <v>47549</v>
      </c>
      <c r="T4513" t="s">
        <v>49319</v>
      </c>
      <c r="U4513" t="s">
        <v>53502</v>
      </c>
      <c r="W4513" t="s">
        <v>44276</v>
      </c>
      <c r="X4513" t="s">
        <v>47431</v>
      </c>
    </row>
    <row r="4514" spans="1:24">
      <c r="A4514">
        <f>HYPERLINK("https://www.philgeps.gov.ph/GEPSNONPILOT/Tender/SplashBidNoticeAbstractUI.aspx?menuIndex=3&amp;refID=7159537&amp;Result=3","7159537")</f>
        <v>0</v>
      </c>
      <c r="B4514" t="s">
        <v>1796</v>
      </c>
      <c r="C4514" t="s">
        <v>8175</v>
      </c>
      <c r="D4514" t="s">
        <v>19022</v>
      </c>
      <c r="E4514" t="s">
        <v>23114</v>
      </c>
      <c r="F4514" t="s">
        <v>32831</v>
      </c>
      <c r="G4514" t="s">
        <v>32842</v>
      </c>
      <c r="H4514" t="s">
        <v>32848</v>
      </c>
      <c r="I4514" t="s">
        <v>9577</v>
      </c>
      <c r="J4514" t="s">
        <v>35901</v>
      </c>
      <c r="K4514" t="s">
        <v>42727</v>
      </c>
      <c r="M4514" t="s">
        <v>44926</v>
      </c>
      <c r="N4514" t="s">
        <v>47424</v>
      </c>
      <c r="O4514" t="s">
        <v>47425</v>
      </c>
      <c r="P4514">
        <v>0</v>
      </c>
      <c r="Q4514">
        <v>1</v>
      </c>
      <c r="R4514" t="s">
        <v>47430</v>
      </c>
      <c r="S4514" t="s">
        <v>47549</v>
      </c>
      <c r="T4514" t="s">
        <v>49123</v>
      </c>
      <c r="U4514" t="s">
        <v>53503</v>
      </c>
      <c r="W4514" t="s">
        <v>44926</v>
      </c>
      <c r="X4514" t="s">
        <v>47431</v>
      </c>
    </row>
    <row r="4515" spans="1:24">
      <c r="A4515">
        <f>HYPERLINK("https://www.philgeps.gov.ph/GEPSNONPILOT/Tender/SplashBidNoticeAbstractUI.aspx?menuIndex=3&amp;refID=7159544&amp;Result=3","7159544")</f>
        <v>0</v>
      </c>
      <c r="B4515" t="s">
        <v>1797</v>
      </c>
      <c r="C4515" t="s">
        <v>8176</v>
      </c>
      <c r="D4515" t="s">
        <v>19078</v>
      </c>
      <c r="E4515" t="s">
        <v>23115</v>
      </c>
      <c r="F4515" t="s">
        <v>32831</v>
      </c>
      <c r="G4515" t="s">
        <v>32838</v>
      </c>
      <c r="H4515" t="s">
        <v>32848</v>
      </c>
      <c r="I4515" t="s">
        <v>32885</v>
      </c>
      <c r="J4515" t="s">
        <v>35902</v>
      </c>
      <c r="K4515" t="s">
        <v>42726</v>
      </c>
      <c r="M4515" t="s">
        <v>44927</v>
      </c>
      <c r="N4515" t="s">
        <v>47424</v>
      </c>
      <c r="O4515" t="s">
        <v>47425</v>
      </c>
      <c r="P4515">
        <v>0</v>
      </c>
      <c r="Q4515">
        <v>3</v>
      </c>
      <c r="R4515" t="s">
        <v>47430</v>
      </c>
      <c r="S4515" t="s">
        <v>47549</v>
      </c>
      <c r="T4515" t="s">
        <v>49237</v>
      </c>
      <c r="U4515" t="s">
        <v>53504</v>
      </c>
      <c r="W4515" t="s">
        <v>44927</v>
      </c>
      <c r="X4515" t="s">
        <v>47431</v>
      </c>
    </row>
    <row r="4516" spans="1:24">
      <c r="A4516">
        <f>HYPERLINK("https://www.philgeps.gov.ph/GEPSNONPILOT/Tender/SplashBidNoticeAbstractUI.aspx?menuIndex=3&amp;refID=7159583&amp;Result=3","7159583")</f>
        <v>0</v>
      </c>
      <c r="B4516" t="s">
        <v>485</v>
      </c>
      <c r="C4516" t="s">
        <v>8177</v>
      </c>
      <c r="D4516" t="s">
        <v>19032</v>
      </c>
      <c r="E4516" t="s">
        <v>22111</v>
      </c>
      <c r="F4516" t="s">
        <v>32831</v>
      </c>
      <c r="G4516" t="s">
        <v>32839</v>
      </c>
      <c r="H4516" t="s">
        <v>32848</v>
      </c>
      <c r="I4516" t="s">
        <v>32857</v>
      </c>
      <c r="J4516" t="s">
        <v>35903</v>
      </c>
      <c r="K4516" t="s">
        <v>42807</v>
      </c>
      <c r="M4516" t="s">
        <v>43490</v>
      </c>
      <c r="N4516" t="s">
        <v>47424</v>
      </c>
      <c r="O4516" t="s">
        <v>47425</v>
      </c>
      <c r="P4516">
        <v>0</v>
      </c>
      <c r="Q4516">
        <v>6</v>
      </c>
      <c r="R4516" t="s">
        <v>47430</v>
      </c>
      <c r="S4516" t="s">
        <v>47549</v>
      </c>
      <c r="T4516" t="s">
        <v>49392</v>
      </c>
      <c r="U4516" t="s">
        <v>53505</v>
      </c>
      <c r="V4516" t="s">
        <v>63129</v>
      </c>
      <c r="W4516" t="s">
        <v>43490</v>
      </c>
      <c r="X4516" t="s">
        <v>47431</v>
      </c>
    </row>
    <row r="4517" spans="1:24">
      <c r="A4517">
        <f>HYPERLINK("https://www.philgeps.gov.ph/GEPSNONPILOT/Tender/SplashBidNoticeAbstractUI.aspx?menuIndex=3&amp;refID=7159582&amp;Result=3","7159582")</f>
        <v>0</v>
      </c>
      <c r="B4517" t="s">
        <v>1798</v>
      </c>
      <c r="C4517" t="s">
        <v>8178</v>
      </c>
      <c r="D4517" t="s">
        <v>19057</v>
      </c>
      <c r="E4517" t="s">
        <v>23116</v>
      </c>
      <c r="F4517" t="s">
        <v>32831</v>
      </c>
      <c r="G4517" t="s">
        <v>32838</v>
      </c>
      <c r="H4517" t="s">
        <v>32848</v>
      </c>
      <c r="I4517" t="s">
        <v>32862</v>
      </c>
      <c r="J4517" t="s">
        <v>33508</v>
      </c>
      <c r="K4517" t="s">
        <v>42732</v>
      </c>
      <c r="M4517" t="s">
        <v>44928</v>
      </c>
      <c r="N4517" t="s">
        <v>47424</v>
      </c>
      <c r="O4517" t="s">
        <v>47425</v>
      </c>
      <c r="P4517">
        <v>0</v>
      </c>
      <c r="Q4517">
        <v>2</v>
      </c>
      <c r="R4517" t="s">
        <v>47430</v>
      </c>
      <c r="S4517" t="s">
        <v>47549</v>
      </c>
      <c r="T4517" t="s">
        <v>49145</v>
      </c>
      <c r="U4517" t="s">
        <v>53506</v>
      </c>
      <c r="W4517" t="s">
        <v>44928</v>
      </c>
      <c r="X4517" t="s">
        <v>47431</v>
      </c>
    </row>
    <row r="4518" spans="1:24">
      <c r="A4518">
        <f>HYPERLINK("https://www.philgeps.gov.ph/GEPSNONPILOT/Tender/SplashBidNoticeAbstractUI.aspx?menuIndex=3&amp;refID=7159580&amp;Result=3","7159580")</f>
        <v>0</v>
      </c>
      <c r="B4518" t="s">
        <v>33</v>
      </c>
      <c r="C4518" t="s">
        <v>8179</v>
      </c>
      <c r="D4518" t="s">
        <v>19024</v>
      </c>
      <c r="E4518" t="s">
        <v>23089</v>
      </c>
      <c r="F4518" t="s">
        <v>32831</v>
      </c>
      <c r="G4518" t="s">
        <v>32839</v>
      </c>
      <c r="H4518" t="s">
        <v>32848</v>
      </c>
      <c r="I4518" t="s">
        <v>4438</v>
      </c>
      <c r="J4518" t="s">
        <v>34868</v>
      </c>
      <c r="K4518" t="s">
        <v>42730</v>
      </c>
      <c r="M4518" t="s">
        <v>43030</v>
      </c>
      <c r="N4518" t="s">
        <v>47424</v>
      </c>
      <c r="O4518" t="s">
        <v>47425</v>
      </c>
      <c r="P4518">
        <v>0</v>
      </c>
      <c r="Q4518">
        <v>0</v>
      </c>
      <c r="R4518" t="s">
        <v>47430</v>
      </c>
      <c r="S4518" t="s">
        <v>47549</v>
      </c>
      <c r="T4518" t="s">
        <v>49188</v>
      </c>
      <c r="U4518" t="s">
        <v>53476</v>
      </c>
      <c r="W4518" t="s">
        <v>43030</v>
      </c>
      <c r="X4518" t="s">
        <v>47431</v>
      </c>
    </row>
    <row r="4519" spans="1:24">
      <c r="A4519">
        <f>HYPERLINK("https://www.philgeps.gov.ph/GEPSNONPILOT/Tender/SplashBidNoticeAbstractUI.aspx?menuIndex=3&amp;refID=7159509&amp;Result=3","7159509")</f>
        <v>0</v>
      </c>
      <c r="B4519" t="s">
        <v>1759</v>
      </c>
      <c r="C4519" t="s">
        <v>8169</v>
      </c>
      <c r="D4519" t="s">
        <v>19058</v>
      </c>
      <c r="E4519" t="s">
        <v>23117</v>
      </c>
      <c r="F4519" t="s">
        <v>32831</v>
      </c>
      <c r="G4519" t="s">
        <v>32839</v>
      </c>
      <c r="H4519" t="s">
        <v>32848</v>
      </c>
      <c r="I4519" t="s">
        <v>4558</v>
      </c>
      <c r="J4519" t="s">
        <v>35904</v>
      </c>
      <c r="K4519" t="s">
        <v>42726</v>
      </c>
      <c r="M4519" t="s">
        <v>44883</v>
      </c>
      <c r="N4519" t="s">
        <v>47424</v>
      </c>
      <c r="O4519" t="s">
        <v>47425</v>
      </c>
      <c r="P4519">
        <v>0</v>
      </c>
      <c r="Q4519">
        <v>2</v>
      </c>
      <c r="R4519" t="s">
        <v>47430</v>
      </c>
      <c r="S4519" t="s">
        <v>47549</v>
      </c>
      <c r="T4519" t="s">
        <v>49294</v>
      </c>
      <c r="U4519" t="s">
        <v>53507</v>
      </c>
      <c r="V4519" t="s">
        <v>63115</v>
      </c>
      <c r="W4519" t="s">
        <v>44883</v>
      </c>
      <c r="X4519" t="s">
        <v>47431</v>
      </c>
    </row>
    <row r="4520" spans="1:24">
      <c r="A4520">
        <f>HYPERLINK("https://www.philgeps.gov.ph/GEPSNONPILOT/Tender/SplashBidNoticeAbstractUI.aspx?menuIndex=3&amp;refID=7159578&amp;Result=3","7159578")</f>
        <v>0</v>
      </c>
      <c r="B4520" t="s">
        <v>1736</v>
      </c>
      <c r="C4520" t="s">
        <v>8180</v>
      </c>
      <c r="D4520" t="s">
        <v>19054</v>
      </c>
      <c r="E4520" t="s">
        <v>23118</v>
      </c>
      <c r="F4520" t="s">
        <v>32831</v>
      </c>
      <c r="G4520" t="s">
        <v>32839</v>
      </c>
      <c r="H4520" t="s">
        <v>32848</v>
      </c>
      <c r="I4520" t="s">
        <v>4438</v>
      </c>
      <c r="J4520" t="s">
        <v>35905</v>
      </c>
      <c r="K4520" t="s">
        <v>42730</v>
      </c>
      <c r="L4520" t="s">
        <v>1736</v>
      </c>
      <c r="M4520" t="s">
        <v>44859</v>
      </c>
      <c r="N4520" t="s">
        <v>47424</v>
      </c>
      <c r="O4520" t="s">
        <v>47425</v>
      </c>
      <c r="P4520">
        <v>0</v>
      </c>
      <c r="Q4520">
        <v>0</v>
      </c>
      <c r="R4520" t="s">
        <v>47430</v>
      </c>
      <c r="S4520" t="s">
        <v>47549</v>
      </c>
      <c r="T4520" t="s">
        <v>49069</v>
      </c>
      <c r="U4520" t="s">
        <v>53508</v>
      </c>
      <c r="V4520" t="s">
        <v>63112</v>
      </c>
      <c r="W4520" t="s">
        <v>44859</v>
      </c>
      <c r="X4520" t="s">
        <v>47431</v>
      </c>
    </row>
    <row r="4521" spans="1:24">
      <c r="A4521">
        <f>HYPERLINK("https://www.philgeps.gov.ph/GEPSNONPILOT/Tender/SplashBidNoticeAbstractUI.aspx?menuIndex=3&amp;refID=7159573&amp;Result=3","7159573")</f>
        <v>0</v>
      </c>
      <c r="B4521" t="s">
        <v>669</v>
      </c>
      <c r="C4521" t="s">
        <v>5283</v>
      </c>
      <c r="D4521" t="s">
        <v>19022</v>
      </c>
      <c r="E4521" t="s">
        <v>23119</v>
      </c>
      <c r="F4521" t="s">
        <v>32831</v>
      </c>
      <c r="G4521" t="s">
        <v>32838</v>
      </c>
      <c r="H4521" t="s">
        <v>32848</v>
      </c>
      <c r="I4521" t="s">
        <v>7878</v>
      </c>
      <c r="J4521" t="s">
        <v>35906</v>
      </c>
      <c r="K4521" t="s">
        <v>42726</v>
      </c>
      <c r="M4521" t="s">
        <v>43688</v>
      </c>
      <c r="N4521" t="s">
        <v>47424</v>
      </c>
      <c r="O4521" t="s">
        <v>47425</v>
      </c>
      <c r="P4521">
        <v>0</v>
      </c>
      <c r="Q4521">
        <v>2</v>
      </c>
      <c r="R4521" t="s">
        <v>47430</v>
      </c>
      <c r="S4521" t="s">
        <v>47549</v>
      </c>
      <c r="T4521" t="s">
        <v>49166</v>
      </c>
      <c r="U4521" t="s">
        <v>53509</v>
      </c>
      <c r="W4521" t="s">
        <v>43688</v>
      </c>
      <c r="X4521" t="s">
        <v>47431</v>
      </c>
    </row>
    <row r="4522" spans="1:24">
      <c r="A4522">
        <f>HYPERLINK("https://www.philgeps.gov.ph/GEPSNONPILOT/Tender/SplashBidNoticeAbstractUI.aspx?menuIndex=3&amp;refID=7159575&amp;Result=3","7159575")</f>
        <v>0</v>
      </c>
      <c r="B4522" t="s">
        <v>623</v>
      </c>
      <c r="C4522" t="s">
        <v>8181</v>
      </c>
      <c r="D4522" t="s">
        <v>19040</v>
      </c>
      <c r="E4522" t="s">
        <v>20383</v>
      </c>
      <c r="F4522" t="s">
        <v>32831</v>
      </c>
      <c r="G4522" t="s">
        <v>32839</v>
      </c>
      <c r="H4522" t="s">
        <v>32849</v>
      </c>
      <c r="I4522" t="s">
        <v>4177</v>
      </c>
      <c r="J4522" t="s">
        <v>35907</v>
      </c>
      <c r="K4522" t="s">
        <v>42791</v>
      </c>
      <c r="M4522" t="s">
        <v>43639</v>
      </c>
      <c r="N4522" t="s">
        <v>47424</v>
      </c>
      <c r="O4522" t="s">
        <v>47425</v>
      </c>
      <c r="P4522">
        <v>0</v>
      </c>
      <c r="Q4522">
        <v>1</v>
      </c>
      <c r="R4522" t="s">
        <v>47430</v>
      </c>
      <c r="S4522" t="s">
        <v>47549</v>
      </c>
      <c r="T4522" t="s">
        <v>49393</v>
      </c>
      <c r="U4522" t="s">
        <v>53510</v>
      </c>
      <c r="W4522" t="s">
        <v>43639</v>
      </c>
      <c r="X4522" t="s">
        <v>47431</v>
      </c>
    </row>
    <row r="4523" spans="1:24">
      <c r="A4523">
        <f>HYPERLINK("https://www.philgeps.gov.ph/GEPSNONPILOT/Tender/SplashBidNoticeAbstractUI.aspx?menuIndex=3&amp;refID=7159574&amp;Result=3","7159574")</f>
        <v>0</v>
      </c>
      <c r="B4523" t="s">
        <v>1778</v>
      </c>
      <c r="C4523" t="s">
        <v>8182</v>
      </c>
      <c r="D4523" t="s">
        <v>19046</v>
      </c>
      <c r="E4523" t="s">
        <v>23120</v>
      </c>
      <c r="F4523" t="s">
        <v>32831</v>
      </c>
      <c r="G4523" t="s">
        <v>32839</v>
      </c>
      <c r="H4523" t="s">
        <v>32848</v>
      </c>
      <c r="I4523" t="s">
        <v>7416</v>
      </c>
      <c r="J4523" t="s">
        <v>34019</v>
      </c>
      <c r="K4523" t="s">
        <v>42731</v>
      </c>
      <c r="M4523" t="s">
        <v>44903</v>
      </c>
      <c r="N4523" t="s">
        <v>47424</v>
      </c>
      <c r="O4523" t="s">
        <v>47425</v>
      </c>
      <c r="P4523">
        <v>0</v>
      </c>
      <c r="Q4523">
        <v>0</v>
      </c>
      <c r="R4523" t="s">
        <v>47430</v>
      </c>
      <c r="S4523" t="s">
        <v>47549</v>
      </c>
      <c r="T4523" t="s">
        <v>49236</v>
      </c>
      <c r="U4523" t="s">
        <v>53511</v>
      </c>
      <c r="V4523" t="s">
        <v>63124</v>
      </c>
      <c r="W4523" t="s">
        <v>44903</v>
      </c>
      <c r="X4523" t="s">
        <v>47431</v>
      </c>
    </row>
    <row r="4524" spans="1:24">
      <c r="A4524">
        <f>HYPERLINK("https://www.philgeps.gov.ph/GEPSNONPILOT/Tender/SplashBidNoticeAbstractUI.aspx?menuIndex=3&amp;refID=7159570&amp;Result=3","7159570")</f>
        <v>0</v>
      </c>
      <c r="B4524" t="s">
        <v>1799</v>
      </c>
      <c r="C4524" t="s">
        <v>8183</v>
      </c>
      <c r="D4524" t="s">
        <v>19071</v>
      </c>
      <c r="E4524" t="s">
        <v>23121</v>
      </c>
      <c r="F4524" t="s">
        <v>32831</v>
      </c>
      <c r="G4524" t="s">
        <v>32838</v>
      </c>
      <c r="H4524" t="s">
        <v>32848</v>
      </c>
      <c r="I4524" t="s">
        <v>32861</v>
      </c>
      <c r="J4524" t="s">
        <v>33133</v>
      </c>
      <c r="K4524" t="s">
        <v>42727</v>
      </c>
      <c r="M4524" t="s">
        <v>44929</v>
      </c>
      <c r="N4524" t="s">
        <v>47424</v>
      </c>
      <c r="O4524" t="s">
        <v>47425</v>
      </c>
      <c r="P4524">
        <v>0</v>
      </c>
      <c r="Q4524">
        <v>3</v>
      </c>
      <c r="R4524" t="s">
        <v>47430</v>
      </c>
      <c r="S4524" t="s">
        <v>47549</v>
      </c>
      <c r="T4524" t="s">
        <v>49089</v>
      </c>
      <c r="U4524" t="s">
        <v>53512</v>
      </c>
      <c r="V4524" t="s">
        <v>63130</v>
      </c>
      <c r="W4524" t="s">
        <v>44929</v>
      </c>
      <c r="X4524" t="s">
        <v>47431</v>
      </c>
    </row>
    <row r="4525" spans="1:24">
      <c r="A4525">
        <f>HYPERLINK("https://www.philgeps.gov.ph/GEPSNONPILOT/Tender/SplashBidNoticeAbstractUI.aspx?menuIndex=3&amp;refID=7159569&amp;Result=3","7159569")</f>
        <v>0</v>
      </c>
      <c r="B4525" t="s">
        <v>172</v>
      </c>
      <c r="C4525" t="s">
        <v>8184</v>
      </c>
      <c r="D4525" t="s">
        <v>19022</v>
      </c>
      <c r="E4525" t="s">
        <v>23122</v>
      </c>
      <c r="F4525" t="s">
        <v>32831</v>
      </c>
      <c r="G4525" t="s">
        <v>32838</v>
      </c>
      <c r="H4525" t="s">
        <v>32848</v>
      </c>
      <c r="I4525" t="s">
        <v>32857</v>
      </c>
      <c r="J4525" t="s">
        <v>33203</v>
      </c>
      <c r="K4525" t="s">
        <v>42726</v>
      </c>
      <c r="M4525" t="s">
        <v>43169</v>
      </c>
      <c r="N4525" t="s">
        <v>47424</v>
      </c>
      <c r="O4525" t="s">
        <v>47425</v>
      </c>
      <c r="P4525">
        <v>0</v>
      </c>
      <c r="Q4525">
        <v>5</v>
      </c>
      <c r="R4525" t="s">
        <v>47430</v>
      </c>
      <c r="S4525" t="s">
        <v>47549</v>
      </c>
      <c r="T4525" t="s">
        <v>49141</v>
      </c>
      <c r="U4525" t="s">
        <v>53367</v>
      </c>
      <c r="V4525" t="s">
        <v>63113</v>
      </c>
      <c r="W4525" t="s">
        <v>43169</v>
      </c>
      <c r="X4525" t="s">
        <v>47431</v>
      </c>
    </row>
    <row r="4526" spans="1:24">
      <c r="A4526">
        <f>HYPERLINK("https://www.philgeps.gov.ph/GEPSNONPILOT/Tender/SplashBidNoticeAbstractUI.aspx?menuIndex=3&amp;refID=7159540&amp;Result=3","7159540")</f>
        <v>0</v>
      </c>
      <c r="B4526" t="s">
        <v>827</v>
      </c>
      <c r="C4526" t="s">
        <v>8185</v>
      </c>
      <c r="D4526" t="s">
        <v>19026</v>
      </c>
      <c r="E4526" t="s">
        <v>23123</v>
      </c>
      <c r="F4526" t="s">
        <v>32831</v>
      </c>
      <c r="G4526" t="s">
        <v>32838</v>
      </c>
      <c r="H4526" t="s">
        <v>32850</v>
      </c>
      <c r="I4526" t="s">
        <v>4776</v>
      </c>
      <c r="J4526" t="s">
        <v>33025</v>
      </c>
      <c r="K4526" t="s">
        <v>42726</v>
      </c>
      <c r="M4526" t="s">
        <v>44930</v>
      </c>
      <c r="N4526" t="s">
        <v>47424</v>
      </c>
      <c r="O4526" t="s">
        <v>47425</v>
      </c>
      <c r="P4526">
        <v>0</v>
      </c>
      <c r="Q4526">
        <v>0</v>
      </c>
      <c r="R4526" t="s">
        <v>47430</v>
      </c>
      <c r="S4526" t="s">
        <v>47549</v>
      </c>
      <c r="T4526" t="s">
        <v>49150</v>
      </c>
      <c r="U4526" t="s">
        <v>53513</v>
      </c>
      <c r="W4526" t="s">
        <v>44930</v>
      </c>
      <c r="X4526" t="s">
        <v>47431</v>
      </c>
    </row>
    <row r="4527" spans="1:24">
      <c r="A4527">
        <f>HYPERLINK("https://www.philgeps.gov.ph/GEPSNONPILOT/Tender/SplashBidNoticeAbstractUI.aspx?menuIndex=3&amp;refID=7159567&amp;Result=3","7159567")</f>
        <v>0</v>
      </c>
      <c r="B4527" t="s">
        <v>1657</v>
      </c>
      <c r="C4527" t="s">
        <v>8186</v>
      </c>
      <c r="D4527" t="s">
        <v>19020</v>
      </c>
      <c r="E4527" t="s">
        <v>23124</v>
      </c>
      <c r="F4527" t="s">
        <v>32831</v>
      </c>
      <c r="G4527" t="s">
        <v>32838</v>
      </c>
      <c r="H4527" t="s">
        <v>32848</v>
      </c>
      <c r="I4527" t="s">
        <v>4776</v>
      </c>
      <c r="J4527" t="s">
        <v>32983</v>
      </c>
      <c r="K4527" t="s">
        <v>42730</v>
      </c>
      <c r="M4527" t="s">
        <v>44774</v>
      </c>
      <c r="N4527" t="s">
        <v>47424</v>
      </c>
      <c r="O4527" t="s">
        <v>47425</v>
      </c>
      <c r="P4527">
        <v>0</v>
      </c>
      <c r="Q4527">
        <v>4</v>
      </c>
      <c r="R4527" t="s">
        <v>47430</v>
      </c>
      <c r="S4527" t="s">
        <v>47549</v>
      </c>
      <c r="T4527" t="s">
        <v>49394</v>
      </c>
      <c r="U4527" t="s">
        <v>53514</v>
      </c>
      <c r="V4527" t="s">
        <v>63131</v>
      </c>
      <c r="W4527" t="s">
        <v>64487</v>
      </c>
      <c r="X4527" t="s">
        <v>47431</v>
      </c>
    </row>
    <row r="4528" spans="1:24">
      <c r="A4528">
        <f>HYPERLINK("https://www.philgeps.gov.ph/GEPSNONPILOT/Tender/SplashBidNoticeAbstractUI.aspx?menuIndex=3&amp;refID=7159577&amp;Result=3","7159577")</f>
        <v>0</v>
      </c>
      <c r="B4528" t="s">
        <v>1800</v>
      </c>
      <c r="C4528" t="s">
        <v>8187</v>
      </c>
      <c r="D4528" t="s">
        <v>19073</v>
      </c>
      <c r="E4528" t="s">
        <v>23125</v>
      </c>
      <c r="F4528" t="s">
        <v>32831</v>
      </c>
      <c r="G4528" t="s">
        <v>32839</v>
      </c>
      <c r="H4528" t="s">
        <v>32848</v>
      </c>
      <c r="I4528" t="s">
        <v>5379</v>
      </c>
      <c r="J4528" t="s">
        <v>33517</v>
      </c>
      <c r="K4528" t="s">
        <v>42738</v>
      </c>
      <c r="M4528" t="s">
        <v>44931</v>
      </c>
      <c r="N4528" t="s">
        <v>47424</v>
      </c>
      <c r="O4528" t="s">
        <v>47425</v>
      </c>
      <c r="P4528">
        <v>0</v>
      </c>
      <c r="Q4528">
        <v>0</v>
      </c>
      <c r="R4528" t="s">
        <v>47430</v>
      </c>
      <c r="S4528" t="s">
        <v>47549</v>
      </c>
      <c r="T4528" t="s">
        <v>49103</v>
      </c>
      <c r="U4528" t="s">
        <v>53515</v>
      </c>
      <c r="W4528" t="s">
        <v>44931</v>
      </c>
      <c r="X4528" t="s">
        <v>47431</v>
      </c>
    </row>
    <row r="4529" spans="1:24">
      <c r="A4529">
        <f>HYPERLINK("https://www.philgeps.gov.ph/GEPSNONPILOT/Tender/SplashBidNoticeAbstractUI.aspx?menuIndex=3&amp;refID=7159564&amp;Result=3","7159564")</f>
        <v>0</v>
      </c>
      <c r="B4529" t="s">
        <v>622</v>
      </c>
      <c r="C4529" t="s">
        <v>8188</v>
      </c>
      <c r="D4529" t="s">
        <v>19095</v>
      </c>
      <c r="E4529" t="s">
        <v>23126</v>
      </c>
      <c r="F4529" t="s">
        <v>32831</v>
      </c>
      <c r="G4529" t="s">
        <v>32838</v>
      </c>
      <c r="H4529" t="s">
        <v>32848</v>
      </c>
      <c r="I4529" t="s">
        <v>4471</v>
      </c>
      <c r="J4529" t="s">
        <v>35012</v>
      </c>
      <c r="K4529" t="s">
        <v>42727</v>
      </c>
      <c r="M4529" t="s">
        <v>43638</v>
      </c>
      <c r="N4529" t="s">
        <v>47424</v>
      </c>
      <c r="O4529" t="s">
        <v>47425</v>
      </c>
      <c r="P4529">
        <v>0</v>
      </c>
      <c r="Q4529">
        <v>1</v>
      </c>
      <c r="R4529" t="s">
        <v>47430</v>
      </c>
      <c r="S4529" t="s">
        <v>47549</v>
      </c>
      <c r="T4529" t="s">
        <v>49395</v>
      </c>
      <c r="U4529" t="s">
        <v>53516</v>
      </c>
      <c r="W4529" t="s">
        <v>43638</v>
      </c>
      <c r="X4529" t="s">
        <v>47431</v>
      </c>
    </row>
    <row r="4530" spans="1:24">
      <c r="A4530">
        <f>HYPERLINK("https://www.philgeps.gov.ph/GEPSNONPILOT/Tender/SplashBidNoticeAbstractUI.aspx?menuIndex=3&amp;refID=7159197&amp;Result=3","7159197")</f>
        <v>0</v>
      </c>
      <c r="B4530" t="s">
        <v>1152</v>
      </c>
      <c r="C4530" t="s">
        <v>8189</v>
      </c>
      <c r="D4530" t="s">
        <v>19038</v>
      </c>
      <c r="E4530" t="s">
        <v>23127</v>
      </c>
      <c r="F4530" t="s">
        <v>32831</v>
      </c>
      <c r="G4530" t="s">
        <v>32838</v>
      </c>
      <c r="H4530" t="s">
        <v>32848</v>
      </c>
      <c r="I4530" t="s">
        <v>4438</v>
      </c>
      <c r="J4530" t="s">
        <v>35908</v>
      </c>
      <c r="K4530" t="s">
        <v>42732</v>
      </c>
      <c r="M4530" t="s">
        <v>44871</v>
      </c>
      <c r="N4530" t="s">
        <v>47424</v>
      </c>
      <c r="O4530" t="s">
        <v>47425</v>
      </c>
      <c r="P4530">
        <v>0</v>
      </c>
      <c r="Q4530">
        <v>1</v>
      </c>
      <c r="R4530" t="s">
        <v>47430</v>
      </c>
      <c r="S4530" t="s">
        <v>47549</v>
      </c>
      <c r="T4530" t="s">
        <v>49237</v>
      </c>
      <c r="U4530" t="s">
        <v>53517</v>
      </c>
      <c r="V4530" t="s">
        <v>63109</v>
      </c>
      <c r="W4530" t="s">
        <v>44871</v>
      </c>
      <c r="X4530" t="s">
        <v>47431</v>
      </c>
    </row>
    <row r="4531" spans="1:24">
      <c r="A4531">
        <f>HYPERLINK("https://www.philgeps.gov.ph/GEPSNONPILOT/Tender/SplashBidNoticeAbstractUI.aspx?menuIndex=3&amp;refID=7159538&amp;Result=3","7159538")</f>
        <v>0</v>
      </c>
      <c r="B4531" t="s">
        <v>1801</v>
      </c>
      <c r="C4531" t="s">
        <v>8190</v>
      </c>
      <c r="D4531" t="s">
        <v>19047</v>
      </c>
      <c r="E4531" t="s">
        <v>23128</v>
      </c>
      <c r="F4531" t="s">
        <v>32831</v>
      </c>
      <c r="G4531" t="s">
        <v>32839</v>
      </c>
      <c r="H4531" t="s">
        <v>32848</v>
      </c>
      <c r="I4531" t="s">
        <v>32853</v>
      </c>
      <c r="J4531" t="s">
        <v>32985</v>
      </c>
      <c r="K4531" t="s">
        <v>42726</v>
      </c>
      <c r="M4531" t="s">
        <v>44932</v>
      </c>
      <c r="N4531" t="s">
        <v>47424</v>
      </c>
      <c r="O4531" t="s">
        <v>47425</v>
      </c>
      <c r="P4531">
        <v>0</v>
      </c>
      <c r="Q4531">
        <v>1</v>
      </c>
      <c r="R4531" t="s">
        <v>47430</v>
      </c>
      <c r="S4531" t="s">
        <v>47549</v>
      </c>
      <c r="T4531" t="s">
        <v>49089</v>
      </c>
      <c r="U4531" t="s">
        <v>53518</v>
      </c>
      <c r="W4531" t="s">
        <v>44932</v>
      </c>
      <c r="X4531" t="s">
        <v>47431</v>
      </c>
    </row>
    <row r="4532" spans="1:24">
      <c r="A4532">
        <f>HYPERLINK("https://www.philgeps.gov.ph/GEPSNONPILOT/Tender/SplashBidNoticeAbstractUI.aspx?menuIndex=3&amp;refID=7159558&amp;Result=3","7159558")</f>
        <v>0</v>
      </c>
      <c r="B4532" t="s">
        <v>904</v>
      </c>
      <c r="C4532" t="s">
        <v>8191</v>
      </c>
      <c r="D4532" t="s">
        <v>19047</v>
      </c>
      <c r="E4532" t="s">
        <v>23129</v>
      </c>
      <c r="F4532" t="s">
        <v>32831</v>
      </c>
      <c r="G4532" t="s">
        <v>32838</v>
      </c>
      <c r="H4532" t="s">
        <v>32848</v>
      </c>
      <c r="I4532" t="s">
        <v>10805</v>
      </c>
      <c r="J4532" t="s">
        <v>35909</v>
      </c>
      <c r="K4532" t="s">
        <v>42759</v>
      </c>
      <c r="M4532" t="s">
        <v>44592</v>
      </c>
      <c r="N4532" t="s">
        <v>47424</v>
      </c>
      <c r="O4532" t="s">
        <v>47425</v>
      </c>
      <c r="P4532">
        <v>0</v>
      </c>
      <c r="Q4532">
        <v>4</v>
      </c>
      <c r="R4532" t="s">
        <v>47430</v>
      </c>
      <c r="S4532" t="s">
        <v>47549</v>
      </c>
      <c r="T4532" t="s">
        <v>49237</v>
      </c>
      <c r="U4532" t="s">
        <v>52713</v>
      </c>
      <c r="V4532" t="s">
        <v>63118</v>
      </c>
      <c r="W4532" t="s">
        <v>44592</v>
      </c>
      <c r="X4532" t="s">
        <v>47431</v>
      </c>
    </row>
    <row r="4533" spans="1:24">
      <c r="A4533">
        <f>HYPERLINK("https://www.philgeps.gov.ph/GEPSNONPILOT/Tender/SplashBidNoticeAbstractUI.aspx?menuIndex=3&amp;refID=7159572&amp;Result=3","7159572")</f>
        <v>0</v>
      </c>
      <c r="B4533" t="s">
        <v>1802</v>
      </c>
      <c r="C4533" t="s">
        <v>8192</v>
      </c>
      <c r="D4533" t="s">
        <v>19062</v>
      </c>
      <c r="E4533" t="s">
        <v>23130</v>
      </c>
      <c r="F4533" t="s">
        <v>32831</v>
      </c>
      <c r="G4533" t="s">
        <v>32838</v>
      </c>
      <c r="H4533" t="s">
        <v>32848</v>
      </c>
      <c r="I4533" t="s">
        <v>4303</v>
      </c>
      <c r="J4533" t="s">
        <v>32978</v>
      </c>
      <c r="K4533" t="s">
        <v>42748</v>
      </c>
      <c r="M4533" t="s">
        <v>44933</v>
      </c>
      <c r="N4533" t="s">
        <v>47424</v>
      </c>
      <c r="O4533" t="s">
        <v>47425</v>
      </c>
      <c r="P4533">
        <v>0</v>
      </c>
      <c r="Q4533">
        <v>3</v>
      </c>
      <c r="R4533" t="s">
        <v>47430</v>
      </c>
      <c r="S4533" t="s">
        <v>47549</v>
      </c>
      <c r="T4533" t="s">
        <v>49141</v>
      </c>
      <c r="U4533" t="s">
        <v>53519</v>
      </c>
      <c r="W4533" t="s">
        <v>44933</v>
      </c>
      <c r="X4533" t="s">
        <v>47431</v>
      </c>
    </row>
    <row r="4534" spans="1:24">
      <c r="A4534">
        <f>HYPERLINK("https://www.philgeps.gov.ph/GEPSNONPILOT/Tender/SplashBidNoticeAbstractUI.aspx?menuIndex=3&amp;refID=7159560&amp;Result=3","7159560")</f>
        <v>0</v>
      </c>
      <c r="B4534" t="s">
        <v>1767</v>
      </c>
      <c r="C4534" t="s">
        <v>8193</v>
      </c>
      <c r="D4534" t="s">
        <v>19088</v>
      </c>
      <c r="E4534" t="s">
        <v>23131</v>
      </c>
      <c r="F4534" t="s">
        <v>32831</v>
      </c>
      <c r="G4534" t="s">
        <v>32840</v>
      </c>
      <c r="H4534" t="s">
        <v>32848</v>
      </c>
      <c r="I4534" t="s">
        <v>32855</v>
      </c>
      <c r="J4534" t="s">
        <v>34329</v>
      </c>
      <c r="K4534" t="s">
        <v>42727</v>
      </c>
      <c r="M4534" t="s">
        <v>44892</v>
      </c>
      <c r="N4534" t="s">
        <v>47424</v>
      </c>
      <c r="O4534" t="s">
        <v>47425</v>
      </c>
      <c r="P4534">
        <v>0</v>
      </c>
      <c r="Q4534">
        <v>10</v>
      </c>
      <c r="R4534" t="s">
        <v>47430</v>
      </c>
      <c r="S4534" t="s">
        <v>47549</v>
      </c>
      <c r="T4534" t="s">
        <v>49100</v>
      </c>
      <c r="U4534" t="s">
        <v>53520</v>
      </c>
      <c r="V4534" t="s">
        <v>63120</v>
      </c>
      <c r="W4534" t="s">
        <v>44892</v>
      </c>
      <c r="X4534" t="s">
        <v>47431</v>
      </c>
    </row>
    <row r="4535" spans="1:24">
      <c r="A4535">
        <f>HYPERLINK("https://www.philgeps.gov.ph/GEPSNONPILOT/Tender/SplashBidNoticeAbstractUI.aspx?menuIndex=3&amp;refID=7159568&amp;Result=3","7159568")</f>
        <v>0</v>
      </c>
      <c r="B4535" t="s">
        <v>1441</v>
      </c>
      <c r="C4535" t="s">
        <v>8194</v>
      </c>
      <c r="D4535" t="s">
        <v>19048</v>
      </c>
      <c r="E4535" t="s">
        <v>23132</v>
      </c>
      <c r="F4535" t="s">
        <v>32831</v>
      </c>
      <c r="G4535" t="s">
        <v>32839</v>
      </c>
      <c r="H4535" t="s">
        <v>32848</v>
      </c>
      <c r="I4535" t="s">
        <v>32870</v>
      </c>
      <c r="J4535" t="s">
        <v>33378</v>
      </c>
      <c r="K4535" t="s">
        <v>42727</v>
      </c>
      <c r="M4535" t="s">
        <v>44533</v>
      </c>
      <c r="N4535" t="s">
        <v>47424</v>
      </c>
      <c r="O4535" t="s">
        <v>47425</v>
      </c>
      <c r="P4535">
        <v>0</v>
      </c>
      <c r="Q4535">
        <v>0</v>
      </c>
      <c r="R4535" t="s">
        <v>47430</v>
      </c>
      <c r="S4535" t="s">
        <v>47549</v>
      </c>
      <c r="T4535" t="s">
        <v>49066</v>
      </c>
      <c r="U4535" t="s">
        <v>53521</v>
      </c>
      <c r="W4535" t="s">
        <v>44533</v>
      </c>
      <c r="X4535" t="s">
        <v>47431</v>
      </c>
    </row>
    <row r="4536" spans="1:24">
      <c r="A4536">
        <f>HYPERLINK("https://www.philgeps.gov.ph/GEPSNONPILOT/Tender/SplashBidNoticeAbstractUI.aspx?menuIndex=3&amp;refID=7159606&amp;Result=3","7159606")</f>
        <v>0</v>
      </c>
      <c r="B4536" t="s">
        <v>1753</v>
      </c>
      <c r="C4536" t="s">
        <v>8195</v>
      </c>
      <c r="D4536" t="s">
        <v>19104</v>
      </c>
      <c r="E4536" t="s">
        <v>23133</v>
      </c>
      <c r="F4536" t="s">
        <v>32831</v>
      </c>
      <c r="G4536" t="s">
        <v>32839</v>
      </c>
      <c r="H4536" t="s">
        <v>32848</v>
      </c>
      <c r="I4536" t="s">
        <v>4558</v>
      </c>
      <c r="J4536" t="s">
        <v>35910</v>
      </c>
      <c r="K4536" t="s">
        <v>42727</v>
      </c>
      <c r="M4536" t="s">
        <v>44877</v>
      </c>
      <c r="N4536" t="s">
        <v>47424</v>
      </c>
      <c r="O4536" t="s">
        <v>47425</v>
      </c>
      <c r="P4536">
        <v>0</v>
      </c>
      <c r="Q4536">
        <v>1</v>
      </c>
      <c r="R4536" t="s">
        <v>47430</v>
      </c>
      <c r="S4536" t="s">
        <v>47549</v>
      </c>
      <c r="T4536" t="s">
        <v>49069</v>
      </c>
      <c r="U4536" t="s">
        <v>53522</v>
      </c>
      <c r="W4536" t="s">
        <v>44877</v>
      </c>
      <c r="X4536" t="s">
        <v>47431</v>
      </c>
    </row>
    <row r="4537" spans="1:24">
      <c r="A4537">
        <f>HYPERLINK("https://www.philgeps.gov.ph/GEPSNONPILOT/Tender/SplashBidNoticeAbstractUI.aspx?menuIndex=3&amp;refID=7159571&amp;Result=3","7159571")</f>
        <v>0</v>
      </c>
      <c r="B4537" t="s">
        <v>1753</v>
      </c>
      <c r="C4537" t="s">
        <v>8196</v>
      </c>
      <c r="D4537" t="s">
        <v>19104</v>
      </c>
      <c r="E4537" t="s">
        <v>23134</v>
      </c>
      <c r="F4537" t="s">
        <v>32831</v>
      </c>
      <c r="G4537" t="s">
        <v>32839</v>
      </c>
      <c r="H4537" t="s">
        <v>32848</v>
      </c>
      <c r="I4537" t="s">
        <v>32857</v>
      </c>
      <c r="J4537" t="s">
        <v>35911</v>
      </c>
      <c r="K4537" t="s">
        <v>42727</v>
      </c>
      <c r="M4537" t="s">
        <v>44877</v>
      </c>
      <c r="N4537" t="s">
        <v>47424</v>
      </c>
      <c r="O4537" t="s">
        <v>47425</v>
      </c>
      <c r="P4537">
        <v>0</v>
      </c>
      <c r="Q4537">
        <v>4</v>
      </c>
      <c r="R4537" t="s">
        <v>47430</v>
      </c>
      <c r="S4537" t="s">
        <v>47549</v>
      </c>
      <c r="T4537" t="s">
        <v>49069</v>
      </c>
      <c r="U4537" t="s">
        <v>53523</v>
      </c>
      <c r="W4537" t="s">
        <v>44877</v>
      </c>
      <c r="X4537" t="s">
        <v>47431</v>
      </c>
    </row>
    <row r="4538" spans="1:24">
      <c r="A4538">
        <f>HYPERLINK("https://www.philgeps.gov.ph/GEPSNONPILOT/Tender/SplashBidNoticeAbstractUI.aspx?menuIndex=3&amp;refID=7159601&amp;Result=3","7159601")</f>
        <v>0</v>
      </c>
      <c r="B4538" t="s">
        <v>629</v>
      </c>
      <c r="C4538" t="s">
        <v>8197</v>
      </c>
      <c r="D4538" t="s">
        <v>19049</v>
      </c>
      <c r="E4538" t="s">
        <v>23135</v>
      </c>
      <c r="F4538" t="s">
        <v>32831</v>
      </c>
      <c r="G4538" t="s">
        <v>32840</v>
      </c>
      <c r="H4538" t="s">
        <v>32848</v>
      </c>
      <c r="I4538" t="s">
        <v>32871</v>
      </c>
      <c r="J4538" t="s">
        <v>35912</v>
      </c>
      <c r="K4538" t="s">
        <v>42731</v>
      </c>
      <c r="M4538" t="s">
        <v>43646</v>
      </c>
      <c r="N4538" t="s">
        <v>47424</v>
      </c>
      <c r="O4538" t="s">
        <v>47425</v>
      </c>
      <c r="P4538">
        <v>0</v>
      </c>
      <c r="Q4538">
        <v>1</v>
      </c>
      <c r="R4538" t="s">
        <v>47430</v>
      </c>
      <c r="S4538" t="s">
        <v>47549</v>
      </c>
      <c r="T4538" t="s">
        <v>49237</v>
      </c>
      <c r="U4538" t="s">
        <v>53524</v>
      </c>
      <c r="W4538" t="s">
        <v>43646</v>
      </c>
      <c r="X4538" t="s">
        <v>47431</v>
      </c>
    </row>
    <row r="4539" spans="1:24">
      <c r="A4539">
        <f>HYPERLINK("https://www.philgeps.gov.ph/GEPSNONPILOT/Tender/SplashBidNoticeAbstractUI.aspx?menuIndex=3&amp;refID=7159602&amp;Result=3","7159602")</f>
        <v>0</v>
      </c>
      <c r="B4539" t="s">
        <v>1767</v>
      </c>
      <c r="C4539" t="s">
        <v>8198</v>
      </c>
      <c r="D4539" t="s">
        <v>19088</v>
      </c>
      <c r="E4539" t="s">
        <v>23136</v>
      </c>
      <c r="F4539" t="s">
        <v>32831</v>
      </c>
      <c r="G4539" t="s">
        <v>32840</v>
      </c>
      <c r="H4539" t="s">
        <v>32848</v>
      </c>
      <c r="I4539" t="s">
        <v>32855</v>
      </c>
      <c r="J4539" t="s">
        <v>33853</v>
      </c>
      <c r="K4539" t="s">
        <v>42731</v>
      </c>
      <c r="M4539" t="s">
        <v>44892</v>
      </c>
      <c r="N4539" t="s">
        <v>47424</v>
      </c>
      <c r="O4539" t="s">
        <v>47425</v>
      </c>
      <c r="P4539">
        <v>0</v>
      </c>
      <c r="Q4539">
        <v>6</v>
      </c>
      <c r="R4539" t="s">
        <v>47430</v>
      </c>
      <c r="S4539" t="s">
        <v>47549</v>
      </c>
      <c r="T4539" t="s">
        <v>49100</v>
      </c>
      <c r="U4539" t="s">
        <v>53462</v>
      </c>
      <c r="V4539" t="s">
        <v>63120</v>
      </c>
      <c r="W4539" t="s">
        <v>44892</v>
      </c>
      <c r="X4539" t="s">
        <v>47431</v>
      </c>
    </row>
    <row r="4540" spans="1:24">
      <c r="A4540">
        <f>HYPERLINK("https://www.philgeps.gov.ph/GEPSNONPILOT/Tender/SplashBidNoticeAbstractUI.aspx?menuIndex=3&amp;refID=7159607&amp;Result=3","7159607")</f>
        <v>0</v>
      </c>
      <c r="B4540" t="s">
        <v>917</v>
      </c>
      <c r="C4540" t="s">
        <v>8199</v>
      </c>
      <c r="D4540" t="s">
        <v>19043</v>
      </c>
      <c r="E4540" t="s">
        <v>23137</v>
      </c>
      <c r="F4540" t="s">
        <v>32831</v>
      </c>
      <c r="G4540" t="s">
        <v>32839</v>
      </c>
      <c r="H4540" t="s">
        <v>32848</v>
      </c>
      <c r="I4540" t="s">
        <v>32857</v>
      </c>
      <c r="J4540" t="s">
        <v>32978</v>
      </c>
      <c r="K4540" t="s">
        <v>42727</v>
      </c>
      <c r="M4540" t="s">
        <v>43958</v>
      </c>
      <c r="N4540" t="s">
        <v>47424</v>
      </c>
      <c r="O4540" t="s">
        <v>47425</v>
      </c>
      <c r="P4540">
        <v>0</v>
      </c>
      <c r="Q4540">
        <v>8</v>
      </c>
      <c r="R4540" t="s">
        <v>47430</v>
      </c>
      <c r="S4540" t="s">
        <v>47549</v>
      </c>
      <c r="T4540" t="s">
        <v>49129</v>
      </c>
      <c r="U4540" t="s">
        <v>53525</v>
      </c>
      <c r="V4540" t="s">
        <v>63132</v>
      </c>
      <c r="W4540" t="s">
        <v>43958</v>
      </c>
      <c r="X4540" t="s">
        <v>47431</v>
      </c>
    </row>
    <row r="4541" spans="1:24">
      <c r="A4541">
        <f>HYPERLINK("https://www.philgeps.gov.ph/GEPSNONPILOT/Tender/SplashBidNoticeAbstractUI.aspx?menuIndex=3&amp;refID=7159599&amp;Result=3","7159599")</f>
        <v>0</v>
      </c>
      <c r="B4541" t="s">
        <v>33</v>
      </c>
      <c r="C4541" t="s">
        <v>8200</v>
      </c>
      <c r="D4541" t="s">
        <v>19024</v>
      </c>
      <c r="E4541" t="s">
        <v>23138</v>
      </c>
      <c r="F4541" t="s">
        <v>32831</v>
      </c>
      <c r="G4541" t="s">
        <v>32839</v>
      </c>
      <c r="H4541" t="s">
        <v>32848</v>
      </c>
      <c r="I4541" t="s">
        <v>32875</v>
      </c>
      <c r="J4541" t="s">
        <v>35913</v>
      </c>
      <c r="K4541" t="s">
        <v>42730</v>
      </c>
      <c r="M4541" t="s">
        <v>43030</v>
      </c>
      <c r="N4541" t="s">
        <v>47424</v>
      </c>
      <c r="O4541" t="s">
        <v>47425</v>
      </c>
      <c r="P4541">
        <v>0</v>
      </c>
      <c r="Q4541">
        <v>0</v>
      </c>
      <c r="R4541" t="s">
        <v>47430</v>
      </c>
      <c r="S4541" t="s">
        <v>47549</v>
      </c>
      <c r="T4541" t="s">
        <v>49188</v>
      </c>
      <c r="U4541" t="s">
        <v>53526</v>
      </c>
      <c r="W4541" t="s">
        <v>43030</v>
      </c>
      <c r="X4541" t="s">
        <v>47431</v>
      </c>
    </row>
    <row r="4542" spans="1:24">
      <c r="A4542">
        <f>HYPERLINK("https://www.philgeps.gov.ph/GEPSNONPILOT/Tender/SplashBidNoticeAbstractUI.aspx?menuIndex=3&amp;refID=7159565&amp;Result=3","7159565")</f>
        <v>0</v>
      </c>
      <c r="B4542" t="s">
        <v>1803</v>
      </c>
      <c r="C4542" t="s">
        <v>8201</v>
      </c>
      <c r="D4542" t="s">
        <v>19077</v>
      </c>
      <c r="E4542" t="s">
        <v>23139</v>
      </c>
      <c r="F4542" t="s">
        <v>32835</v>
      </c>
      <c r="G4542" t="s">
        <v>32838</v>
      </c>
      <c r="H4542" t="s">
        <v>32848</v>
      </c>
      <c r="I4542" t="s">
        <v>14069</v>
      </c>
      <c r="J4542" t="s">
        <v>33133</v>
      </c>
      <c r="K4542" t="s">
        <v>42758</v>
      </c>
      <c r="M4542" t="s">
        <v>44934</v>
      </c>
      <c r="N4542" t="s">
        <v>47424</v>
      </c>
      <c r="O4542" t="s">
        <v>47425</v>
      </c>
      <c r="P4542">
        <v>0</v>
      </c>
      <c r="Q4542">
        <v>2</v>
      </c>
      <c r="R4542" t="s">
        <v>47430</v>
      </c>
      <c r="S4542" t="s">
        <v>47549</v>
      </c>
      <c r="T4542" t="s">
        <v>49089</v>
      </c>
      <c r="U4542" t="s">
        <v>53527</v>
      </c>
      <c r="W4542" t="s">
        <v>44934</v>
      </c>
      <c r="X4542" t="s">
        <v>47431</v>
      </c>
    </row>
    <row r="4543" spans="1:24">
      <c r="A4543">
        <f>HYPERLINK("https://www.philgeps.gov.ph/GEPSNONPILOT/Tender/SplashBidNoticeAbstractUI.aspx?menuIndex=3&amp;refID=7159605&amp;Result=3","7159605")</f>
        <v>0</v>
      </c>
      <c r="B4543" t="s">
        <v>197</v>
      </c>
      <c r="C4543" t="s">
        <v>8202</v>
      </c>
      <c r="D4543" t="s">
        <v>19022</v>
      </c>
      <c r="E4543" t="s">
        <v>19520</v>
      </c>
      <c r="F4543" t="s">
        <v>32831</v>
      </c>
      <c r="G4543" t="s">
        <v>32838</v>
      </c>
      <c r="H4543" t="s">
        <v>32848</v>
      </c>
      <c r="I4543" t="s">
        <v>4446</v>
      </c>
      <c r="J4543" t="s">
        <v>35914</v>
      </c>
      <c r="K4543" t="s">
        <v>42804</v>
      </c>
      <c r="M4543" t="s">
        <v>44935</v>
      </c>
      <c r="N4543" t="s">
        <v>47424</v>
      </c>
      <c r="O4543" t="s">
        <v>47425</v>
      </c>
      <c r="P4543">
        <v>0</v>
      </c>
      <c r="Q4543">
        <v>3</v>
      </c>
      <c r="R4543" t="s">
        <v>47430</v>
      </c>
      <c r="S4543" t="s">
        <v>47549</v>
      </c>
      <c r="T4543" t="s">
        <v>49212</v>
      </c>
      <c r="U4543" t="s">
        <v>53528</v>
      </c>
      <c r="W4543" t="s">
        <v>44935</v>
      </c>
      <c r="X4543" t="s">
        <v>47431</v>
      </c>
    </row>
    <row r="4544" spans="1:24">
      <c r="A4544">
        <f>HYPERLINK("https://www.philgeps.gov.ph/GEPSNONPILOT/Tender/SplashBidNoticeAbstractUI.aspx?menuIndex=3&amp;refID=7159597&amp;Result=3","7159597")</f>
        <v>0</v>
      </c>
      <c r="B4544" t="s">
        <v>663</v>
      </c>
      <c r="C4544" t="s">
        <v>8203</v>
      </c>
      <c r="D4544" t="s">
        <v>19026</v>
      </c>
      <c r="E4544" t="s">
        <v>23140</v>
      </c>
      <c r="F4544" t="s">
        <v>32831</v>
      </c>
      <c r="G4544" t="s">
        <v>32838</v>
      </c>
      <c r="H4544" t="s">
        <v>32848</v>
      </c>
      <c r="I4544" t="s">
        <v>4177</v>
      </c>
      <c r="J4544" t="s">
        <v>35915</v>
      </c>
      <c r="K4544" t="s">
        <v>42732</v>
      </c>
      <c r="M4544" t="s">
        <v>43681</v>
      </c>
      <c r="N4544" t="s">
        <v>47424</v>
      </c>
      <c r="O4544" t="s">
        <v>47425</v>
      </c>
      <c r="P4544">
        <v>0</v>
      </c>
      <c r="Q4544">
        <v>1</v>
      </c>
      <c r="R4544" t="s">
        <v>47430</v>
      </c>
      <c r="S4544" t="s">
        <v>47549</v>
      </c>
      <c r="T4544" t="s">
        <v>49177</v>
      </c>
      <c r="U4544" t="s">
        <v>53529</v>
      </c>
      <c r="W4544" t="s">
        <v>43681</v>
      </c>
      <c r="X4544" t="s">
        <v>47431</v>
      </c>
    </row>
    <row r="4545" spans="1:24">
      <c r="A4545">
        <f>HYPERLINK("https://www.philgeps.gov.ph/GEPSNONPILOT/Tender/SplashBidNoticeAbstractUI.aspx?menuIndex=3&amp;refID=7159595&amp;Result=3","7159595")</f>
        <v>0</v>
      </c>
      <c r="B4545" t="s">
        <v>690</v>
      </c>
      <c r="C4545" t="s">
        <v>8204</v>
      </c>
      <c r="D4545" t="s">
        <v>19022</v>
      </c>
      <c r="E4545" t="s">
        <v>21296</v>
      </c>
      <c r="F4545" t="s">
        <v>32831</v>
      </c>
      <c r="G4545" t="s">
        <v>32838</v>
      </c>
      <c r="H4545" t="s">
        <v>32848</v>
      </c>
      <c r="I4545" t="s">
        <v>32864</v>
      </c>
      <c r="J4545" t="s">
        <v>35916</v>
      </c>
      <c r="K4545" t="s">
        <v>42729</v>
      </c>
      <c r="M4545" t="s">
        <v>43709</v>
      </c>
      <c r="N4545" t="s">
        <v>47424</v>
      </c>
      <c r="O4545" t="s">
        <v>47425</v>
      </c>
      <c r="P4545">
        <v>0</v>
      </c>
      <c r="Q4545">
        <v>7</v>
      </c>
      <c r="R4545" t="s">
        <v>47430</v>
      </c>
      <c r="S4545" t="s">
        <v>47549</v>
      </c>
      <c r="T4545" t="s">
        <v>49111</v>
      </c>
      <c r="U4545" t="s">
        <v>53530</v>
      </c>
      <c r="W4545" t="s">
        <v>43709</v>
      </c>
      <c r="X4545" t="s">
        <v>47431</v>
      </c>
    </row>
    <row r="4546" spans="1:24">
      <c r="A4546">
        <f>HYPERLINK("https://www.philgeps.gov.ph/GEPSNONPILOT/Tender/SplashBidNoticeAbstractUI.aspx?menuIndex=3&amp;refID=7159593&amp;Result=3","7159593")</f>
        <v>0</v>
      </c>
      <c r="B4546" t="s">
        <v>1782</v>
      </c>
      <c r="C4546" t="s">
        <v>8117</v>
      </c>
      <c r="D4546" t="s">
        <v>19035</v>
      </c>
      <c r="E4546" t="s">
        <v>23141</v>
      </c>
      <c r="F4546" t="s">
        <v>32831</v>
      </c>
      <c r="G4546" t="s">
        <v>32839</v>
      </c>
      <c r="H4546" t="s">
        <v>32848</v>
      </c>
      <c r="I4546" t="s">
        <v>32871</v>
      </c>
      <c r="J4546" t="s">
        <v>35917</v>
      </c>
      <c r="K4546" t="s">
        <v>42730</v>
      </c>
      <c r="M4546" t="s">
        <v>44909</v>
      </c>
      <c r="N4546" t="s">
        <v>47424</v>
      </c>
      <c r="O4546" t="s">
        <v>47425</v>
      </c>
      <c r="P4546">
        <v>0</v>
      </c>
      <c r="Q4546">
        <v>10</v>
      </c>
      <c r="R4546" t="s">
        <v>47430</v>
      </c>
      <c r="S4546" t="s">
        <v>47549</v>
      </c>
      <c r="T4546" t="s">
        <v>49390</v>
      </c>
      <c r="U4546" t="s">
        <v>53443</v>
      </c>
      <c r="W4546" t="s">
        <v>44909</v>
      </c>
      <c r="X4546" t="s">
        <v>47431</v>
      </c>
    </row>
    <row r="4547" spans="1:24">
      <c r="A4547">
        <f>HYPERLINK("https://www.philgeps.gov.ph/GEPSNONPILOT/Tender/SplashBidNoticeAbstractUI.aspx?menuIndex=3&amp;refID=7159592&amp;Result=3","7159592")</f>
        <v>0</v>
      </c>
      <c r="B4547" t="s">
        <v>1793</v>
      </c>
      <c r="C4547" t="s">
        <v>8205</v>
      </c>
      <c r="D4547" t="s">
        <v>19060</v>
      </c>
      <c r="E4547" t="s">
        <v>20925</v>
      </c>
      <c r="F4547" t="s">
        <v>32831</v>
      </c>
      <c r="G4547" t="s">
        <v>32839</v>
      </c>
      <c r="H4547" t="s">
        <v>32848</v>
      </c>
      <c r="I4547" t="s">
        <v>7416</v>
      </c>
      <c r="J4547" t="s">
        <v>35918</v>
      </c>
      <c r="K4547" t="s">
        <v>42757</v>
      </c>
      <c r="M4547" t="s">
        <v>44923</v>
      </c>
      <c r="N4547" t="s">
        <v>47424</v>
      </c>
      <c r="O4547" t="s">
        <v>47425</v>
      </c>
      <c r="P4547">
        <v>0</v>
      </c>
      <c r="Q4547">
        <v>0</v>
      </c>
      <c r="R4547" t="s">
        <v>47430</v>
      </c>
      <c r="S4547" t="s">
        <v>47549</v>
      </c>
      <c r="T4547" t="s">
        <v>49058</v>
      </c>
      <c r="U4547" t="s">
        <v>53531</v>
      </c>
      <c r="V4547" t="s">
        <v>63128</v>
      </c>
      <c r="W4547" t="s">
        <v>44923</v>
      </c>
      <c r="X4547" t="s">
        <v>47431</v>
      </c>
    </row>
    <row r="4548" spans="1:24">
      <c r="A4548">
        <f>HYPERLINK("https://www.philgeps.gov.ph/GEPSNONPILOT/Tender/SplashBidNoticeAbstractUI.aspx?menuIndex=3&amp;refID=7159596&amp;Result=3","7159596")</f>
        <v>0</v>
      </c>
      <c r="B4548" t="s">
        <v>1195</v>
      </c>
      <c r="C4548" t="s">
        <v>4431</v>
      </c>
      <c r="D4548" t="s">
        <v>19019</v>
      </c>
      <c r="E4548" t="s">
        <v>23142</v>
      </c>
      <c r="F4548" t="s">
        <v>32831</v>
      </c>
      <c r="G4548" t="s">
        <v>32838</v>
      </c>
      <c r="H4548" t="s">
        <v>32848</v>
      </c>
      <c r="I4548" t="s">
        <v>32857</v>
      </c>
      <c r="J4548" t="s">
        <v>35919</v>
      </c>
      <c r="K4548" t="s">
        <v>42732</v>
      </c>
      <c r="M4548" t="s">
        <v>44261</v>
      </c>
      <c r="N4548" t="s">
        <v>47424</v>
      </c>
      <c r="O4548" t="s">
        <v>47425</v>
      </c>
      <c r="P4548">
        <v>0</v>
      </c>
      <c r="Q4548">
        <v>4</v>
      </c>
      <c r="R4548" t="s">
        <v>47430</v>
      </c>
      <c r="S4548" t="s">
        <v>47549</v>
      </c>
      <c r="T4548" t="s">
        <v>49145</v>
      </c>
      <c r="U4548" t="s">
        <v>53532</v>
      </c>
      <c r="W4548" t="s">
        <v>44261</v>
      </c>
      <c r="X4548" t="s">
        <v>47431</v>
      </c>
    </row>
    <row r="4549" spans="1:24">
      <c r="A4549">
        <f>HYPERLINK("https://www.philgeps.gov.ph/GEPSNONPILOT/Tender/SplashBidNoticeAbstractUI.aspx?menuIndex=3&amp;refID=7159594&amp;Result=3","7159594")</f>
        <v>0</v>
      </c>
      <c r="B4549" t="s">
        <v>1661</v>
      </c>
      <c r="C4549" t="s">
        <v>8206</v>
      </c>
      <c r="D4549" t="s">
        <v>19063</v>
      </c>
      <c r="E4549" t="s">
        <v>23143</v>
      </c>
      <c r="F4549" t="s">
        <v>32831</v>
      </c>
      <c r="G4549" t="s">
        <v>32839</v>
      </c>
      <c r="H4549" t="s">
        <v>32848</v>
      </c>
      <c r="I4549" t="s">
        <v>7416</v>
      </c>
      <c r="J4549" t="s">
        <v>35920</v>
      </c>
      <c r="K4549" t="s">
        <v>42729</v>
      </c>
      <c r="M4549" t="s">
        <v>44778</v>
      </c>
      <c r="N4549" t="s">
        <v>47424</v>
      </c>
      <c r="O4549" t="s">
        <v>47425</v>
      </c>
      <c r="P4549">
        <v>0</v>
      </c>
      <c r="Q4549">
        <v>0</v>
      </c>
      <c r="R4549" t="s">
        <v>47430</v>
      </c>
      <c r="S4549" t="s">
        <v>47549</v>
      </c>
      <c r="T4549" t="s">
        <v>49129</v>
      </c>
      <c r="U4549" t="s">
        <v>53533</v>
      </c>
      <c r="W4549" t="s">
        <v>44778</v>
      </c>
      <c r="X4549" t="s">
        <v>47431</v>
      </c>
    </row>
    <row r="4550" spans="1:24">
      <c r="A4550">
        <f>HYPERLINK("https://www.philgeps.gov.ph/GEPSNONPILOT/Tender/SplashBidNoticeAbstractUI.aspx?menuIndex=3&amp;refID=7159589&amp;Result=3","7159589")</f>
        <v>0</v>
      </c>
      <c r="B4550" t="s">
        <v>1753</v>
      </c>
      <c r="C4550" t="s">
        <v>8207</v>
      </c>
      <c r="D4550" t="s">
        <v>19104</v>
      </c>
      <c r="E4550" t="s">
        <v>23144</v>
      </c>
      <c r="F4550" t="s">
        <v>32831</v>
      </c>
      <c r="G4550" t="s">
        <v>32839</v>
      </c>
      <c r="H4550" t="s">
        <v>32848</v>
      </c>
      <c r="I4550" t="s">
        <v>4558</v>
      </c>
      <c r="J4550" t="s">
        <v>35921</v>
      </c>
      <c r="K4550" t="s">
        <v>42727</v>
      </c>
      <c r="M4550" t="s">
        <v>44877</v>
      </c>
      <c r="N4550" t="s">
        <v>47424</v>
      </c>
      <c r="O4550" t="s">
        <v>47425</v>
      </c>
      <c r="P4550">
        <v>0</v>
      </c>
      <c r="Q4550">
        <v>0</v>
      </c>
      <c r="R4550" t="s">
        <v>47430</v>
      </c>
      <c r="S4550" t="s">
        <v>47549</v>
      </c>
      <c r="T4550" t="s">
        <v>49069</v>
      </c>
      <c r="U4550" t="s">
        <v>53534</v>
      </c>
      <c r="W4550" t="s">
        <v>44877</v>
      </c>
      <c r="X4550" t="s">
        <v>47431</v>
      </c>
    </row>
    <row r="4551" spans="1:24">
      <c r="A4551">
        <f>HYPERLINK("https://www.philgeps.gov.ph/GEPSNONPILOT/Tender/SplashBidNoticeAbstractUI.aspx?menuIndex=3&amp;refID=7159586&amp;Result=3","7159586")</f>
        <v>0</v>
      </c>
      <c r="B4551" t="s">
        <v>726</v>
      </c>
      <c r="C4551" t="s">
        <v>8208</v>
      </c>
      <c r="E4551" t="s">
        <v>23145</v>
      </c>
      <c r="F4551" t="s">
        <v>32831</v>
      </c>
      <c r="G4551" t="s">
        <v>32839</v>
      </c>
      <c r="H4551" t="s">
        <v>32848</v>
      </c>
      <c r="I4551" t="s">
        <v>32892</v>
      </c>
      <c r="J4551" t="s">
        <v>35922</v>
      </c>
      <c r="K4551" t="s">
        <v>42732</v>
      </c>
      <c r="M4551" t="s">
        <v>44276</v>
      </c>
      <c r="N4551" t="s">
        <v>47424</v>
      </c>
      <c r="O4551" t="s">
        <v>47425</v>
      </c>
      <c r="P4551">
        <v>0</v>
      </c>
      <c r="Q4551">
        <v>4</v>
      </c>
      <c r="R4551" t="s">
        <v>47430</v>
      </c>
      <c r="S4551" t="s">
        <v>47549</v>
      </c>
      <c r="T4551" t="s">
        <v>49319</v>
      </c>
      <c r="U4551" t="s">
        <v>53535</v>
      </c>
      <c r="W4551" t="s">
        <v>44276</v>
      </c>
      <c r="X4551" t="s">
        <v>47431</v>
      </c>
    </row>
    <row r="4552" spans="1:24">
      <c r="A4552">
        <f>HYPERLINK("https://www.philgeps.gov.ph/GEPSNONPILOT/Tender/SplashBidNoticeAbstractUI.aspx?menuIndex=3&amp;refID=7159556&amp;Result=3","7159556")</f>
        <v>0</v>
      </c>
      <c r="B4552" t="s">
        <v>1804</v>
      </c>
      <c r="C4552" t="s">
        <v>8209</v>
      </c>
      <c r="D4552" t="s">
        <v>19075</v>
      </c>
      <c r="E4552" t="s">
        <v>19763</v>
      </c>
      <c r="F4552" t="s">
        <v>32831</v>
      </c>
      <c r="G4552" t="s">
        <v>32839</v>
      </c>
      <c r="H4552" t="s">
        <v>32848</v>
      </c>
      <c r="I4552" t="s">
        <v>4438</v>
      </c>
      <c r="J4552" t="s">
        <v>35923</v>
      </c>
      <c r="K4552" t="s">
        <v>42731</v>
      </c>
      <c r="M4552" t="s">
        <v>44936</v>
      </c>
      <c r="N4552" t="s">
        <v>47424</v>
      </c>
      <c r="O4552" t="s">
        <v>47425</v>
      </c>
      <c r="P4552">
        <v>0</v>
      </c>
      <c r="Q4552">
        <v>2</v>
      </c>
      <c r="R4552" t="s">
        <v>47430</v>
      </c>
      <c r="S4552" t="s">
        <v>47549</v>
      </c>
      <c r="T4552" t="s">
        <v>49124</v>
      </c>
      <c r="U4552" t="s">
        <v>53536</v>
      </c>
      <c r="V4552" t="s">
        <v>63133</v>
      </c>
      <c r="W4552" t="s">
        <v>44936</v>
      </c>
      <c r="X4552" t="s">
        <v>47431</v>
      </c>
    </row>
    <row r="4553" spans="1:24">
      <c r="A4553">
        <f>HYPERLINK("https://www.philgeps.gov.ph/GEPSNONPILOT/Tender/SplashBidNoticeAbstractUI.aspx?menuIndex=3&amp;refID=7159590&amp;Result=3","7159590")</f>
        <v>0</v>
      </c>
      <c r="B4553" t="s">
        <v>669</v>
      </c>
      <c r="C4553" t="s">
        <v>5283</v>
      </c>
      <c r="D4553" t="s">
        <v>19022</v>
      </c>
      <c r="E4553" t="s">
        <v>23146</v>
      </c>
      <c r="F4553" t="s">
        <v>32831</v>
      </c>
      <c r="G4553" t="s">
        <v>32843</v>
      </c>
      <c r="H4553" t="s">
        <v>32848</v>
      </c>
      <c r="I4553" t="s">
        <v>4776</v>
      </c>
      <c r="J4553" t="s">
        <v>33133</v>
      </c>
      <c r="K4553" t="s">
        <v>42726</v>
      </c>
      <c r="M4553" t="s">
        <v>43688</v>
      </c>
      <c r="N4553" t="s">
        <v>47424</v>
      </c>
      <c r="O4553" t="s">
        <v>47425</v>
      </c>
      <c r="P4553">
        <v>0</v>
      </c>
      <c r="Q4553">
        <v>0</v>
      </c>
      <c r="R4553" t="s">
        <v>47430</v>
      </c>
      <c r="S4553" t="s">
        <v>47549</v>
      </c>
      <c r="T4553" t="s">
        <v>49166</v>
      </c>
      <c r="U4553" t="s">
        <v>53537</v>
      </c>
      <c r="W4553" t="s">
        <v>43688</v>
      </c>
      <c r="X4553" t="s">
        <v>47431</v>
      </c>
    </row>
    <row r="4554" spans="1:24">
      <c r="A4554">
        <f>HYPERLINK("https://www.philgeps.gov.ph/GEPSNONPILOT/Tender/SplashBidNoticeAbstractUI.aspx?menuIndex=3&amp;refID=7159536&amp;Result=3","7159536")</f>
        <v>0</v>
      </c>
      <c r="B4554" t="s">
        <v>1802</v>
      </c>
      <c r="C4554" t="s">
        <v>8210</v>
      </c>
      <c r="D4554" t="s">
        <v>19062</v>
      </c>
      <c r="E4554" t="s">
        <v>23147</v>
      </c>
      <c r="F4554" t="s">
        <v>32831</v>
      </c>
      <c r="G4554" t="s">
        <v>32838</v>
      </c>
      <c r="H4554" t="s">
        <v>32848</v>
      </c>
      <c r="I4554" t="s">
        <v>4303</v>
      </c>
      <c r="J4554" t="s">
        <v>35028</v>
      </c>
      <c r="K4554" t="s">
        <v>42748</v>
      </c>
      <c r="M4554" t="s">
        <v>44933</v>
      </c>
      <c r="N4554" t="s">
        <v>47424</v>
      </c>
      <c r="O4554" t="s">
        <v>47425</v>
      </c>
      <c r="P4554">
        <v>0</v>
      </c>
      <c r="Q4554">
        <v>0</v>
      </c>
      <c r="R4554" t="s">
        <v>47430</v>
      </c>
      <c r="S4554" t="s">
        <v>47549</v>
      </c>
      <c r="T4554" t="s">
        <v>49141</v>
      </c>
      <c r="U4554" t="s">
        <v>53519</v>
      </c>
      <c r="W4554" t="s">
        <v>44933</v>
      </c>
      <c r="X4554" t="s">
        <v>47431</v>
      </c>
    </row>
    <row r="4555" spans="1:24">
      <c r="A4555">
        <f>HYPERLINK("https://www.philgeps.gov.ph/GEPSNONPILOT/Tender/SplashBidNoticeAbstractUI.aspx?menuIndex=3&amp;refID=7159600&amp;Result=3","7159600")</f>
        <v>0</v>
      </c>
      <c r="B4555" t="s">
        <v>1805</v>
      </c>
      <c r="C4555" t="s">
        <v>8211</v>
      </c>
      <c r="D4555" t="s">
        <v>19060</v>
      </c>
      <c r="E4555" t="s">
        <v>23148</v>
      </c>
      <c r="F4555" t="s">
        <v>32831</v>
      </c>
      <c r="G4555" t="s">
        <v>32840</v>
      </c>
      <c r="H4555" t="s">
        <v>32848</v>
      </c>
      <c r="I4555" t="s">
        <v>9577</v>
      </c>
      <c r="J4555" t="s">
        <v>35924</v>
      </c>
      <c r="K4555" t="s">
        <v>42726</v>
      </c>
      <c r="M4555" t="s">
        <v>44937</v>
      </c>
      <c r="N4555" t="s">
        <v>47424</v>
      </c>
      <c r="O4555" t="s">
        <v>47425</v>
      </c>
      <c r="P4555">
        <v>0</v>
      </c>
      <c r="Q4555">
        <v>1</v>
      </c>
      <c r="R4555" t="s">
        <v>47430</v>
      </c>
      <c r="S4555" t="s">
        <v>47549</v>
      </c>
      <c r="T4555" t="s">
        <v>49091</v>
      </c>
      <c r="U4555" t="s">
        <v>53538</v>
      </c>
      <c r="W4555" t="s">
        <v>44937</v>
      </c>
      <c r="X4555" t="s">
        <v>47431</v>
      </c>
    </row>
    <row r="4556" spans="1:24">
      <c r="A4556">
        <f>HYPERLINK("https://www.philgeps.gov.ph/GEPSNONPILOT/Tender/SplashBidNoticeAbstractUI.aspx?menuIndex=3&amp;refID=7159585&amp;Result=3","7159585")</f>
        <v>0</v>
      </c>
      <c r="B4556" t="s">
        <v>629</v>
      </c>
      <c r="C4556" t="s">
        <v>8113</v>
      </c>
      <c r="D4556" t="s">
        <v>19049</v>
      </c>
      <c r="E4556" t="s">
        <v>23149</v>
      </c>
      <c r="F4556" t="s">
        <v>32831</v>
      </c>
      <c r="G4556" t="s">
        <v>32840</v>
      </c>
      <c r="H4556" t="s">
        <v>32848</v>
      </c>
      <c r="I4556" t="s">
        <v>32907</v>
      </c>
      <c r="J4556" t="s">
        <v>33775</v>
      </c>
      <c r="K4556" t="s">
        <v>42731</v>
      </c>
      <c r="M4556" t="s">
        <v>43646</v>
      </c>
      <c r="N4556" t="s">
        <v>47424</v>
      </c>
      <c r="O4556" t="s">
        <v>47425</v>
      </c>
      <c r="P4556">
        <v>0</v>
      </c>
      <c r="Q4556">
        <v>0</v>
      </c>
      <c r="R4556" t="s">
        <v>47430</v>
      </c>
      <c r="S4556" t="s">
        <v>47549</v>
      </c>
      <c r="T4556" t="s">
        <v>49237</v>
      </c>
      <c r="U4556" t="s">
        <v>53539</v>
      </c>
      <c r="W4556" t="s">
        <v>43646</v>
      </c>
      <c r="X4556" t="s">
        <v>47431</v>
      </c>
    </row>
    <row r="4557" spans="1:24">
      <c r="A4557">
        <f>HYPERLINK("https://www.philgeps.gov.ph/GEPSNONPILOT/Tender/SplashBidNoticeAbstractUI.aspx?menuIndex=3&amp;refID=7159532&amp;Result=3","7159532")</f>
        <v>0</v>
      </c>
      <c r="B4557" t="s">
        <v>726</v>
      </c>
      <c r="C4557" t="s">
        <v>8212</v>
      </c>
      <c r="E4557" t="s">
        <v>23150</v>
      </c>
      <c r="F4557" t="s">
        <v>32831</v>
      </c>
      <c r="G4557" t="s">
        <v>32839</v>
      </c>
      <c r="H4557" t="s">
        <v>32848</v>
      </c>
      <c r="I4557" t="s">
        <v>7751</v>
      </c>
      <c r="J4557" t="s">
        <v>35925</v>
      </c>
      <c r="K4557" t="s">
        <v>42732</v>
      </c>
      <c r="M4557" t="s">
        <v>44276</v>
      </c>
      <c r="N4557" t="s">
        <v>47424</v>
      </c>
      <c r="O4557" t="s">
        <v>47425</v>
      </c>
      <c r="P4557">
        <v>0</v>
      </c>
      <c r="Q4557">
        <v>3</v>
      </c>
      <c r="R4557" t="s">
        <v>47430</v>
      </c>
      <c r="S4557" t="s">
        <v>47549</v>
      </c>
      <c r="T4557" t="s">
        <v>49319</v>
      </c>
      <c r="U4557" t="s">
        <v>53540</v>
      </c>
      <c r="W4557" t="s">
        <v>44276</v>
      </c>
      <c r="X4557" t="s">
        <v>47431</v>
      </c>
    </row>
    <row r="4558" spans="1:24">
      <c r="A4558">
        <f>HYPERLINK("https://www.philgeps.gov.ph/GEPSNONPILOT/Tender/SplashBidNoticeAbstractUI.aspx?menuIndex=3&amp;refID=7159533&amp;Result=3","7159533")</f>
        <v>0</v>
      </c>
      <c r="B4558" t="s">
        <v>282</v>
      </c>
      <c r="C4558" t="s">
        <v>8213</v>
      </c>
      <c r="D4558" t="s">
        <v>19052</v>
      </c>
      <c r="E4558" t="s">
        <v>23151</v>
      </c>
      <c r="F4558" t="s">
        <v>32831</v>
      </c>
      <c r="G4558" t="s">
        <v>32838</v>
      </c>
      <c r="H4558" t="s">
        <v>32848</v>
      </c>
      <c r="I4558" t="s">
        <v>4487</v>
      </c>
      <c r="J4558" t="s">
        <v>35926</v>
      </c>
      <c r="K4558" t="s">
        <v>42731</v>
      </c>
      <c r="M4558" t="s">
        <v>44682</v>
      </c>
      <c r="N4558" t="s">
        <v>47424</v>
      </c>
      <c r="O4558" t="s">
        <v>47425</v>
      </c>
      <c r="P4558">
        <v>0</v>
      </c>
      <c r="Q4558">
        <v>2</v>
      </c>
      <c r="R4558" t="s">
        <v>47430</v>
      </c>
      <c r="S4558" t="s">
        <v>47549</v>
      </c>
      <c r="T4558" t="s">
        <v>49237</v>
      </c>
      <c r="U4558" t="s">
        <v>53541</v>
      </c>
      <c r="W4558" t="s">
        <v>44682</v>
      </c>
      <c r="X4558" t="s">
        <v>47431</v>
      </c>
    </row>
    <row r="4559" spans="1:24">
      <c r="A4559">
        <f>HYPERLINK("https://www.philgeps.gov.ph/GEPSNONPILOT/Tender/SplashBidNoticeAbstractUI.aspx?menuIndex=3&amp;refID=7159534&amp;Result=3","7159534")</f>
        <v>0</v>
      </c>
      <c r="B4559" t="s">
        <v>668</v>
      </c>
      <c r="C4559" t="s">
        <v>8214</v>
      </c>
      <c r="D4559" t="s">
        <v>19034</v>
      </c>
      <c r="E4559" t="s">
        <v>23152</v>
      </c>
      <c r="F4559" t="s">
        <v>32831</v>
      </c>
      <c r="G4559" t="s">
        <v>32838</v>
      </c>
      <c r="H4559" t="s">
        <v>32848</v>
      </c>
      <c r="I4559" t="s">
        <v>32862</v>
      </c>
      <c r="J4559" t="s">
        <v>35927</v>
      </c>
      <c r="K4559" t="s">
        <v>42727</v>
      </c>
      <c r="M4559" t="s">
        <v>44913</v>
      </c>
      <c r="N4559" t="s">
        <v>47424</v>
      </c>
      <c r="O4559" t="s">
        <v>47425</v>
      </c>
      <c r="P4559">
        <v>0</v>
      </c>
      <c r="Q4559">
        <v>0</v>
      </c>
      <c r="R4559" t="s">
        <v>47430</v>
      </c>
      <c r="S4559" t="s">
        <v>47549</v>
      </c>
      <c r="T4559" t="s">
        <v>49111</v>
      </c>
      <c r="U4559" t="s">
        <v>53542</v>
      </c>
      <c r="W4559" t="s">
        <v>44913</v>
      </c>
      <c r="X4559" t="s">
        <v>47431</v>
      </c>
    </row>
    <row r="4560" spans="1:24">
      <c r="A4560">
        <f>HYPERLINK("https://www.philgeps.gov.ph/GEPSNONPILOT/Tender/SplashBidNoticeAbstractUI.aspx?menuIndex=3&amp;refID=7159640&amp;Result=3","7159640")</f>
        <v>0</v>
      </c>
      <c r="B4560" t="s">
        <v>1297</v>
      </c>
      <c r="C4560" t="s">
        <v>5511</v>
      </c>
      <c r="D4560" t="s">
        <v>19033</v>
      </c>
      <c r="E4560" t="s">
        <v>19736</v>
      </c>
      <c r="F4560" t="s">
        <v>32831</v>
      </c>
      <c r="G4560" t="s">
        <v>32840</v>
      </c>
      <c r="H4560" t="s">
        <v>32848</v>
      </c>
      <c r="I4560" t="s">
        <v>7416</v>
      </c>
      <c r="J4560" t="s">
        <v>32980</v>
      </c>
      <c r="K4560" t="s">
        <v>42726</v>
      </c>
      <c r="M4560" t="s">
        <v>44938</v>
      </c>
      <c r="N4560" t="s">
        <v>47424</v>
      </c>
      <c r="O4560" t="s">
        <v>47425</v>
      </c>
      <c r="P4560">
        <v>0</v>
      </c>
      <c r="Q4560">
        <v>0</v>
      </c>
      <c r="R4560" t="s">
        <v>47430</v>
      </c>
      <c r="S4560" t="s">
        <v>47549</v>
      </c>
      <c r="T4560" t="s">
        <v>49061</v>
      </c>
      <c r="U4560" t="s">
        <v>53543</v>
      </c>
      <c r="V4560" t="s">
        <v>63134</v>
      </c>
      <c r="W4560" t="s">
        <v>44938</v>
      </c>
      <c r="X4560" t="s">
        <v>47431</v>
      </c>
    </row>
    <row r="4561" spans="1:24">
      <c r="A4561">
        <f>HYPERLINK("https://www.philgeps.gov.ph/GEPSNONPILOT/Tender/SplashBidNoticeAbstractUI.aspx?menuIndex=3&amp;refID=7159638&amp;Result=3","7159638")</f>
        <v>0</v>
      </c>
      <c r="B4561" t="s">
        <v>1806</v>
      </c>
      <c r="C4561" t="s">
        <v>8215</v>
      </c>
      <c r="D4561" t="s">
        <v>19090</v>
      </c>
      <c r="E4561" t="s">
        <v>23153</v>
      </c>
      <c r="F4561" t="s">
        <v>32831</v>
      </c>
      <c r="G4561" t="s">
        <v>32839</v>
      </c>
      <c r="H4561" t="s">
        <v>32849</v>
      </c>
      <c r="I4561" t="s">
        <v>4177</v>
      </c>
      <c r="J4561" t="s">
        <v>35928</v>
      </c>
      <c r="K4561" t="s">
        <v>42777</v>
      </c>
      <c r="M4561" t="s">
        <v>44939</v>
      </c>
      <c r="N4561" t="s">
        <v>47424</v>
      </c>
      <c r="O4561" t="s">
        <v>47425</v>
      </c>
      <c r="P4561">
        <v>0</v>
      </c>
      <c r="Q4561">
        <v>0</v>
      </c>
      <c r="R4561" t="s">
        <v>47430</v>
      </c>
      <c r="S4561" t="s">
        <v>47549</v>
      </c>
      <c r="T4561" t="s">
        <v>49236</v>
      </c>
      <c r="U4561" t="s">
        <v>53544</v>
      </c>
      <c r="W4561" t="s">
        <v>44939</v>
      </c>
      <c r="X4561" t="s">
        <v>47431</v>
      </c>
    </row>
    <row r="4562" spans="1:24">
      <c r="A4562">
        <f>HYPERLINK("https://www.philgeps.gov.ph/GEPSNONPILOT/Tender/SplashBidNoticeAbstractUI.aspx?menuIndex=3&amp;refID=7159636&amp;Result=3","7159636")</f>
        <v>0</v>
      </c>
      <c r="B4562" t="s">
        <v>1679</v>
      </c>
      <c r="C4562" t="s">
        <v>8216</v>
      </c>
      <c r="D4562" t="s">
        <v>19052</v>
      </c>
      <c r="E4562" t="s">
        <v>23154</v>
      </c>
      <c r="F4562" t="s">
        <v>32831</v>
      </c>
      <c r="G4562" t="s">
        <v>32839</v>
      </c>
      <c r="H4562" t="s">
        <v>32849</v>
      </c>
      <c r="I4562" t="s">
        <v>4177</v>
      </c>
      <c r="J4562" t="s">
        <v>35929</v>
      </c>
      <c r="K4562" t="s">
        <v>42747</v>
      </c>
      <c r="M4562" t="s">
        <v>44797</v>
      </c>
      <c r="N4562" t="s">
        <v>47424</v>
      </c>
      <c r="O4562" t="s">
        <v>47425</v>
      </c>
      <c r="P4562">
        <v>0</v>
      </c>
      <c r="Q4562">
        <v>2</v>
      </c>
      <c r="R4562" t="s">
        <v>47430</v>
      </c>
      <c r="S4562" t="s">
        <v>47549</v>
      </c>
      <c r="T4562" t="s">
        <v>49198</v>
      </c>
      <c r="U4562" t="s">
        <v>53545</v>
      </c>
      <c r="V4562" t="s">
        <v>63135</v>
      </c>
      <c r="W4562" t="s">
        <v>44797</v>
      </c>
      <c r="X4562" t="s">
        <v>47431</v>
      </c>
    </row>
    <row r="4563" spans="1:24">
      <c r="A4563">
        <f>HYPERLINK("https://www.philgeps.gov.ph/GEPSNONPILOT/Tender/SplashBidNoticeAbstractUI.aspx?menuIndex=3&amp;refID=7159643&amp;Result=3","7159643")</f>
        <v>0</v>
      </c>
      <c r="B4563" t="s">
        <v>633</v>
      </c>
      <c r="C4563" t="s">
        <v>8217</v>
      </c>
      <c r="D4563" t="s">
        <v>19062</v>
      </c>
      <c r="E4563" t="s">
        <v>23155</v>
      </c>
      <c r="F4563" t="s">
        <v>32831</v>
      </c>
      <c r="G4563" t="s">
        <v>32839</v>
      </c>
      <c r="H4563" t="s">
        <v>32848</v>
      </c>
      <c r="I4563" t="s">
        <v>7416</v>
      </c>
      <c r="J4563" t="s">
        <v>35930</v>
      </c>
      <c r="K4563" t="s">
        <v>42750</v>
      </c>
      <c r="M4563" t="s">
        <v>43650</v>
      </c>
      <c r="N4563" t="s">
        <v>47424</v>
      </c>
      <c r="O4563" t="s">
        <v>47425</v>
      </c>
      <c r="P4563">
        <v>0</v>
      </c>
      <c r="Q4563">
        <v>0</v>
      </c>
      <c r="R4563" t="s">
        <v>47430</v>
      </c>
      <c r="S4563" t="s">
        <v>47549</v>
      </c>
      <c r="T4563" t="s">
        <v>49057</v>
      </c>
      <c r="U4563" t="s">
        <v>53546</v>
      </c>
      <c r="W4563" t="s">
        <v>43650</v>
      </c>
      <c r="X4563" t="s">
        <v>47431</v>
      </c>
    </row>
    <row r="4564" spans="1:24">
      <c r="A4564">
        <f>HYPERLINK("https://www.philgeps.gov.ph/GEPSNONPILOT/Tender/SplashBidNoticeAbstractUI.aspx?menuIndex=3&amp;refID=7159633&amp;Result=3","7159633")</f>
        <v>0</v>
      </c>
      <c r="B4564" t="s">
        <v>172</v>
      </c>
      <c r="C4564" t="s">
        <v>8218</v>
      </c>
      <c r="D4564" t="s">
        <v>19022</v>
      </c>
      <c r="E4564" t="s">
        <v>23156</v>
      </c>
      <c r="F4564" t="s">
        <v>32831</v>
      </c>
      <c r="G4564" t="s">
        <v>32838</v>
      </c>
      <c r="H4564" t="s">
        <v>32848</v>
      </c>
      <c r="I4564" t="s">
        <v>32857</v>
      </c>
      <c r="J4564" t="s">
        <v>35931</v>
      </c>
      <c r="K4564" t="s">
        <v>42726</v>
      </c>
      <c r="M4564" t="s">
        <v>43169</v>
      </c>
      <c r="N4564" t="s">
        <v>47424</v>
      </c>
      <c r="O4564" t="s">
        <v>47425</v>
      </c>
      <c r="P4564">
        <v>0</v>
      </c>
      <c r="Q4564">
        <v>1</v>
      </c>
      <c r="R4564" t="s">
        <v>47430</v>
      </c>
      <c r="S4564" t="s">
        <v>47549</v>
      </c>
      <c r="T4564" t="s">
        <v>49141</v>
      </c>
      <c r="U4564" t="s">
        <v>53367</v>
      </c>
      <c r="V4564" t="s">
        <v>63113</v>
      </c>
      <c r="W4564" t="s">
        <v>43169</v>
      </c>
      <c r="X4564" t="s">
        <v>47431</v>
      </c>
    </row>
    <row r="4565" spans="1:24">
      <c r="A4565">
        <f>HYPERLINK("https://www.philgeps.gov.ph/GEPSNONPILOT/Tender/SplashBidNoticeAbstractUI.aspx?menuIndex=3&amp;refID=7159630&amp;Result=3","7159630")</f>
        <v>0</v>
      </c>
      <c r="B4565" t="s">
        <v>565</v>
      </c>
      <c r="C4565" t="s">
        <v>8219</v>
      </c>
      <c r="D4565" t="s">
        <v>19032</v>
      </c>
      <c r="E4565" t="s">
        <v>23157</v>
      </c>
      <c r="F4565" t="s">
        <v>32831</v>
      </c>
      <c r="G4565" t="s">
        <v>32838</v>
      </c>
      <c r="H4565" t="s">
        <v>32848</v>
      </c>
      <c r="I4565" t="s">
        <v>32875</v>
      </c>
      <c r="J4565" t="s">
        <v>35932</v>
      </c>
      <c r="K4565" t="s">
        <v>42727</v>
      </c>
      <c r="M4565" t="s">
        <v>44789</v>
      </c>
      <c r="N4565" t="s">
        <v>47424</v>
      </c>
      <c r="O4565" t="s">
        <v>47425</v>
      </c>
      <c r="P4565">
        <v>0</v>
      </c>
      <c r="Q4565">
        <v>1</v>
      </c>
      <c r="R4565" t="s">
        <v>47430</v>
      </c>
      <c r="S4565" t="s">
        <v>47549</v>
      </c>
      <c r="T4565" t="s">
        <v>49089</v>
      </c>
      <c r="U4565" t="s">
        <v>53547</v>
      </c>
      <c r="W4565" t="s">
        <v>44789</v>
      </c>
      <c r="X4565" t="s">
        <v>47431</v>
      </c>
    </row>
    <row r="4566" spans="1:24">
      <c r="A4566">
        <f>HYPERLINK("https://www.philgeps.gov.ph/GEPSNONPILOT/Tender/SplashBidNoticeAbstractUI.aspx?menuIndex=3&amp;refID=7159591&amp;Result=3","7159591")</f>
        <v>0</v>
      </c>
      <c r="B4566" t="s">
        <v>1800</v>
      </c>
      <c r="C4566" t="s">
        <v>8220</v>
      </c>
      <c r="D4566" t="s">
        <v>19073</v>
      </c>
      <c r="E4566" t="s">
        <v>23158</v>
      </c>
      <c r="F4566" t="s">
        <v>32831</v>
      </c>
      <c r="G4566" t="s">
        <v>32839</v>
      </c>
      <c r="H4566" t="s">
        <v>32848</v>
      </c>
      <c r="I4566" t="s">
        <v>10805</v>
      </c>
      <c r="J4566" t="s">
        <v>35104</v>
      </c>
      <c r="K4566" t="s">
        <v>42727</v>
      </c>
      <c r="M4566" t="s">
        <v>44931</v>
      </c>
      <c r="N4566" t="s">
        <v>47424</v>
      </c>
      <c r="O4566" t="s">
        <v>47425</v>
      </c>
      <c r="P4566">
        <v>0</v>
      </c>
      <c r="Q4566">
        <v>2</v>
      </c>
      <c r="R4566" t="s">
        <v>47430</v>
      </c>
      <c r="S4566" t="s">
        <v>47549</v>
      </c>
      <c r="T4566" t="s">
        <v>49103</v>
      </c>
      <c r="U4566" t="s">
        <v>53548</v>
      </c>
      <c r="W4566" t="s">
        <v>44931</v>
      </c>
      <c r="X4566" t="s">
        <v>47431</v>
      </c>
    </row>
    <row r="4567" spans="1:24">
      <c r="A4567">
        <f>HYPERLINK("https://www.philgeps.gov.ph/GEPSNONPILOT/Tender/SplashBidNoticeAbstractUI.aspx?menuIndex=3&amp;refID=7159637&amp;Result=3","7159637")</f>
        <v>0</v>
      </c>
      <c r="B4567" t="s">
        <v>623</v>
      </c>
      <c r="C4567" t="s">
        <v>8221</v>
      </c>
      <c r="D4567" t="s">
        <v>19042</v>
      </c>
      <c r="E4567" t="s">
        <v>22274</v>
      </c>
      <c r="F4567" t="s">
        <v>32831</v>
      </c>
      <c r="G4567" t="s">
        <v>32839</v>
      </c>
      <c r="H4567" t="s">
        <v>32849</v>
      </c>
      <c r="I4567" t="s">
        <v>4177</v>
      </c>
      <c r="J4567" t="s">
        <v>35933</v>
      </c>
      <c r="K4567" t="s">
        <v>42863</v>
      </c>
      <c r="M4567" t="s">
        <v>43639</v>
      </c>
      <c r="N4567" t="s">
        <v>47424</v>
      </c>
      <c r="O4567" t="s">
        <v>47425</v>
      </c>
      <c r="P4567">
        <v>0</v>
      </c>
      <c r="Q4567">
        <v>2</v>
      </c>
      <c r="R4567" t="s">
        <v>47430</v>
      </c>
      <c r="S4567" t="s">
        <v>47549</v>
      </c>
      <c r="T4567" t="s">
        <v>49393</v>
      </c>
      <c r="U4567" t="s">
        <v>53549</v>
      </c>
      <c r="W4567" t="s">
        <v>43639</v>
      </c>
      <c r="X4567" t="s">
        <v>47431</v>
      </c>
    </row>
    <row r="4568" spans="1:24">
      <c r="A4568">
        <f>HYPERLINK("https://www.philgeps.gov.ph/GEPSNONPILOT/Tender/SplashBidNoticeAbstractUI.aspx?menuIndex=3&amp;refID=7159629&amp;Result=3","7159629")</f>
        <v>0</v>
      </c>
      <c r="B4568" t="s">
        <v>1782</v>
      </c>
      <c r="C4568" t="s">
        <v>8117</v>
      </c>
      <c r="D4568" t="s">
        <v>19035</v>
      </c>
      <c r="E4568" t="s">
        <v>23159</v>
      </c>
      <c r="F4568" t="s">
        <v>32831</v>
      </c>
      <c r="G4568" t="s">
        <v>32839</v>
      </c>
      <c r="H4568" t="s">
        <v>32848</v>
      </c>
      <c r="I4568" t="s">
        <v>32871</v>
      </c>
      <c r="J4568" t="s">
        <v>34637</v>
      </c>
      <c r="K4568" t="s">
        <v>42727</v>
      </c>
      <c r="M4568" t="s">
        <v>44909</v>
      </c>
      <c r="N4568" t="s">
        <v>47424</v>
      </c>
      <c r="O4568" t="s">
        <v>47425</v>
      </c>
      <c r="P4568">
        <v>0</v>
      </c>
      <c r="Q4568">
        <v>8</v>
      </c>
      <c r="R4568" t="s">
        <v>47430</v>
      </c>
      <c r="S4568" t="s">
        <v>47549</v>
      </c>
      <c r="T4568" t="s">
        <v>49390</v>
      </c>
      <c r="U4568" t="s">
        <v>53443</v>
      </c>
      <c r="W4568" t="s">
        <v>44909</v>
      </c>
      <c r="X4568" t="s">
        <v>47431</v>
      </c>
    </row>
    <row r="4569" spans="1:24">
      <c r="A4569">
        <f>HYPERLINK("https://www.philgeps.gov.ph/GEPSNONPILOT/Tender/SplashBidNoticeAbstractUI.aspx?menuIndex=3&amp;refID=7159634&amp;Result=3","7159634")</f>
        <v>0</v>
      </c>
      <c r="B4569" t="s">
        <v>231</v>
      </c>
      <c r="C4569" t="s">
        <v>8222</v>
      </c>
      <c r="D4569" t="s">
        <v>19039</v>
      </c>
      <c r="E4569" t="s">
        <v>23160</v>
      </c>
      <c r="F4569" t="s">
        <v>32831</v>
      </c>
      <c r="G4569" t="s">
        <v>32839</v>
      </c>
      <c r="H4569" t="s">
        <v>32848</v>
      </c>
      <c r="I4569" t="s">
        <v>8781</v>
      </c>
      <c r="J4569" t="s">
        <v>35934</v>
      </c>
      <c r="K4569" t="s">
        <v>42747</v>
      </c>
      <c r="M4569" t="s">
        <v>43230</v>
      </c>
      <c r="N4569" t="s">
        <v>47424</v>
      </c>
      <c r="O4569" t="s">
        <v>47425</v>
      </c>
      <c r="P4569">
        <v>0</v>
      </c>
      <c r="Q4569">
        <v>0</v>
      </c>
      <c r="R4569" t="s">
        <v>47430</v>
      </c>
      <c r="S4569" t="s">
        <v>47549</v>
      </c>
      <c r="T4569" t="s">
        <v>49073</v>
      </c>
      <c r="U4569" t="s">
        <v>53550</v>
      </c>
      <c r="W4569" t="s">
        <v>43230</v>
      </c>
      <c r="X4569" t="s">
        <v>47431</v>
      </c>
    </row>
    <row r="4570" spans="1:24">
      <c r="A4570">
        <f>HYPERLINK("https://www.philgeps.gov.ph/GEPSNONPILOT/Tender/SplashBidNoticeAbstractUI.aspx?menuIndex=3&amp;refID=7159625&amp;Result=3","7159625")</f>
        <v>0</v>
      </c>
      <c r="B4570" t="s">
        <v>1807</v>
      </c>
      <c r="C4570" t="s">
        <v>8223</v>
      </c>
      <c r="D4570" t="s">
        <v>19078</v>
      </c>
      <c r="E4570" t="s">
        <v>23161</v>
      </c>
      <c r="F4570" t="s">
        <v>32831</v>
      </c>
      <c r="G4570" t="s">
        <v>32839</v>
      </c>
      <c r="H4570" t="s">
        <v>32848</v>
      </c>
      <c r="I4570" t="s">
        <v>8781</v>
      </c>
      <c r="J4570" t="s">
        <v>35935</v>
      </c>
      <c r="K4570" t="s">
        <v>42730</v>
      </c>
      <c r="M4570" t="s">
        <v>44940</v>
      </c>
      <c r="N4570" t="s">
        <v>47424</v>
      </c>
      <c r="O4570" t="s">
        <v>47425</v>
      </c>
      <c r="P4570">
        <v>0</v>
      </c>
      <c r="Q4570">
        <v>0</v>
      </c>
      <c r="R4570" t="s">
        <v>47430</v>
      </c>
      <c r="S4570" t="s">
        <v>47549</v>
      </c>
      <c r="T4570" t="s">
        <v>49396</v>
      </c>
      <c r="U4570" t="s">
        <v>53551</v>
      </c>
      <c r="V4570" t="s">
        <v>63136</v>
      </c>
      <c r="W4570" t="s">
        <v>44940</v>
      </c>
      <c r="X4570" t="s">
        <v>47431</v>
      </c>
    </row>
    <row r="4571" spans="1:24">
      <c r="A4571">
        <f>HYPERLINK("https://www.philgeps.gov.ph/GEPSNONPILOT/Tender/SplashBidNoticeAbstractUI.aspx?menuIndex=3&amp;refID=7159631&amp;Result=3","7159631")</f>
        <v>0</v>
      </c>
      <c r="B4571" t="s">
        <v>1800</v>
      </c>
      <c r="C4571" t="s">
        <v>8224</v>
      </c>
      <c r="D4571" t="s">
        <v>19073</v>
      </c>
      <c r="E4571" t="s">
        <v>23162</v>
      </c>
      <c r="F4571" t="s">
        <v>32831</v>
      </c>
      <c r="G4571" t="s">
        <v>32838</v>
      </c>
      <c r="H4571" t="s">
        <v>32848</v>
      </c>
      <c r="I4571" t="s">
        <v>32874</v>
      </c>
      <c r="J4571" t="s">
        <v>35936</v>
      </c>
      <c r="K4571" t="s">
        <v>42727</v>
      </c>
      <c r="M4571" t="s">
        <v>44931</v>
      </c>
      <c r="N4571" t="s">
        <v>47424</v>
      </c>
      <c r="O4571" t="s">
        <v>47425</v>
      </c>
      <c r="P4571">
        <v>0</v>
      </c>
      <c r="Q4571">
        <v>13</v>
      </c>
      <c r="R4571" t="s">
        <v>47430</v>
      </c>
      <c r="S4571" t="s">
        <v>47549</v>
      </c>
      <c r="T4571" t="s">
        <v>49229</v>
      </c>
      <c r="U4571" t="s">
        <v>53552</v>
      </c>
      <c r="W4571" t="s">
        <v>44931</v>
      </c>
      <c r="X4571" t="s">
        <v>47431</v>
      </c>
    </row>
    <row r="4572" spans="1:24">
      <c r="A4572">
        <f>HYPERLINK("https://www.philgeps.gov.ph/GEPSNONPILOT/Tender/SplashBidNoticeAbstractUI.aspx?menuIndex=3&amp;refID=7159598&amp;Result=3","7159598")</f>
        <v>0</v>
      </c>
      <c r="B4572" t="s">
        <v>726</v>
      </c>
      <c r="C4572" t="s">
        <v>8225</v>
      </c>
      <c r="E4572" t="s">
        <v>23163</v>
      </c>
      <c r="F4572" t="s">
        <v>32831</v>
      </c>
      <c r="G4572" t="s">
        <v>32839</v>
      </c>
      <c r="H4572" t="s">
        <v>32848</v>
      </c>
      <c r="I4572" t="s">
        <v>32867</v>
      </c>
      <c r="J4572" t="s">
        <v>35937</v>
      </c>
      <c r="K4572" t="s">
        <v>42732</v>
      </c>
      <c r="M4572" t="s">
        <v>44276</v>
      </c>
      <c r="N4572" t="s">
        <v>47424</v>
      </c>
      <c r="O4572" t="s">
        <v>47425</v>
      </c>
      <c r="P4572">
        <v>0</v>
      </c>
      <c r="Q4572">
        <v>5</v>
      </c>
      <c r="R4572" t="s">
        <v>47430</v>
      </c>
      <c r="S4572" t="s">
        <v>47549</v>
      </c>
      <c r="T4572" t="s">
        <v>49319</v>
      </c>
      <c r="U4572" t="s">
        <v>53553</v>
      </c>
      <c r="W4572" t="s">
        <v>44276</v>
      </c>
      <c r="X4572" t="s">
        <v>47431</v>
      </c>
    </row>
    <row r="4573" spans="1:24">
      <c r="A4573">
        <f>HYPERLINK("https://www.philgeps.gov.ph/GEPSNONPILOT/Tender/SplashBidNoticeAbstractUI.aspx?menuIndex=3&amp;refID=7159561&amp;Result=3","7159561")</f>
        <v>0</v>
      </c>
      <c r="B4573" t="s">
        <v>1808</v>
      </c>
      <c r="C4573" t="s">
        <v>8226</v>
      </c>
      <c r="D4573" t="s">
        <v>19044</v>
      </c>
      <c r="E4573" t="s">
        <v>23164</v>
      </c>
      <c r="F4573" t="s">
        <v>32831</v>
      </c>
      <c r="G4573" t="s">
        <v>32840</v>
      </c>
      <c r="H4573" t="s">
        <v>32848</v>
      </c>
      <c r="I4573" t="s">
        <v>4471</v>
      </c>
      <c r="J4573" t="s">
        <v>35938</v>
      </c>
      <c r="K4573" t="s">
        <v>42748</v>
      </c>
      <c r="M4573" t="s">
        <v>44941</v>
      </c>
      <c r="N4573" t="s">
        <v>47424</v>
      </c>
      <c r="O4573" t="s">
        <v>47425</v>
      </c>
      <c r="P4573">
        <v>0</v>
      </c>
      <c r="Q4573">
        <v>0</v>
      </c>
      <c r="R4573" t="s">
        <v>47430</v>
      </c>
      <c r="S4573" t="s">
        <v>47549</v>
      </c>
      <c r="T4573" t="s">
        <v>49177</v>
      </c>
      <c r="U4573" t="s">
        <v>53554</v>
      </c>
      <c r="V4573" t="s">
        <v>63137</v>
      </c>
      <c r="W4573" t="s">
        <v>44941</v>
      </c>
      <c r="X4573" t="s">
        <v>47431</v>
      </c>
    </row>
    <row r="4574" spans="1:24">
      <c r="A4574">
        <f>HYPERLINK("https://www.philgeps.gov.ph/GEPSNONPILOT/Tender/SplashBidNoticeAbstractUI.aspx?menuIndex=3&amp;refID=7159627&amp;Result=3","7159627")</f>
        <v>0</v>
      </c>
      <c r="B4574" t="s">
        <v>1753</v>
      </c>
      <c r="C4574" t="s">
        <v>8227</v>
      </c>
      <c r="D4574" t="s">
        <v>19104</v>
      </c>
      <c r="E4574" t="s">
        <v>23165</v>
      </c>
      <c r="F4574" t="s">
        <v>32831</v>
      </c>
      <c r="G4574" t="s">
        <v>32839</v>
      </c>
      <c r="H4574" t="s">
        <v>32848</v>
      </c>
      <c r="I4574" t="s">
        <v>4558</v>
      </c>
      <c r="J4574" t="s">
        <v>35939</v>
      </c>
      <c r="K4574" t="s">
        <v>42727</v>
      </c>
      <c r="M4574" t="s">
        <v>44877</v>
      </c>
      <c r="N4574" t="s">
        <v>47424</v>
      </c>
      <c r="O4574" t="s">
        <v>47425</v>
      </c>
      <c r="P4574">
        <v>0</v>
      </c>
      <c r="Q4574">
        <v>1</v>
      </c>
      <c r="R4574" t="s">
        <v>47430</v>
      </c>
      <c r="S4574" t="s">
        <v>47549</v>
      </c>
      <c r="T4574" t="s">
        <v>49069</v>
      </c>
      <c r="U4574" t="s">
        <v>53555</v>
      </c>
      <c r="W4574" t="s">
        <v>44877</v>
      </c>
      <c r="X4574" t="s">
        <v>47431</v>
      </c>
    </row>
    <row r="4575" spans="1:24">
      <c r="A4575">
        <f>HYPERLINK("https://www.philgeps.gov.ph/GEPSNONPILOT/Tender/SplashBidNoticeAbstractUI.aspx?menuIndex=3&amp;refID=7159623&amp;Result=3","7159623")</f>
        <v>0</v>
      </c>
      <c r="B4575" t="s">
        <v>726</v>
      </c>
      <c r="C4575" t="s">
        <v>8228</v>
      </c>
      <c r="E4575" t="s">
        <v>23166</v>
      </c>
      <c r="F4575" t="s">
        <v>32831</v>
      </c>
      <c r="G4575" t="s">
        <v>32839</v>
      </c>
      <c r="H4575" t="s">
        <v>32848</v>
      </c>
      <c r="I4575" t="s">
        <v>32914</v>
      </c>
      <c r="J4575" t="s">
        <v>35940</v>
      </c>
      <c r="K4575" t="s">
        <v>42732</v>
      </c>
      <c r="M4575" t="s">
        <v>44276</v>
      </c>
      <c r="N4575" t="s">
        <v>47424</v>
      </c>
      <c r="O4575" t="s">
        <v>47425</v>
      </c>
      <c r="P4575">
        <v>0</v>
      </c>
      <c r="Q4575">
        <v>3</v>
      </c>
      <c r="R4575" t="s">
        <v>47430</v>
      </c>
      <c r="S4575" t="s">
        <v>47549</v>
      </c>
      <c r="T4575" t="s">
        <v>49319</v>
      </c>
      <c r="U4575" t="s">
        <v>53556</v>
      </c>
      <c r="W4575" t="s">
        <v>44276</v>
      </c>
      <c r="X4575" t="s">
        <v>47431</v>
      </c>
    </row>
    <row r="4576" spans="1:24">
      <c r="A4576">
        <f>HYPERLINK("https://www.philgeps.gov.ph/GEPSNONPILOT/Tender/SplashBidNoticeAbstractUI.aspx?menuIndex=3&amp;refID=7159620&amp;Result=3","7159620")</f>
        <v>0</v>
      </c>
      <c r="B4576" t="s">
        <v>1800</v>
      </c>
      <c r="C4576" t="s">
        <v>8229</v>
      </c>
      <c r="D4576" t="s">
        <v>19073</v>
      </c>
      <c r="E4576" t="s">
        <v>23167</v>
      </c>
      <c r="F4576" t="s">
        <v>32831</v>
      </c>
      <c r="G4576" t="s">
        <v>32838</v>
      </c>
      <c r="H4576" t="s">
        <v>32848</v>
      </c>
      <c r="I4576" t="s">
        <v>32862</v>
      </c>
      <c r="J4576" t="s">
        <v>33007</v>
      </c>
      <c r="K4576" t="s">
        <v>42727</v>
      </c>
      <c r="M4576" t="s">
        <v>44931</v>
      </c>
      <c r="N4576" t="s">
        <v>47424</v>
      </c>
      <c r="O4576" t="s">
        <v>47425</v>
      </c>
      <c r="P4576">
        <v>0</v>
      </c>
      <c r="Q4576">
        <v>1</v>
      </c>
      <c r="R4576" t="s">
        <v>47430</v>
      </c>
      <c r="S4576" t="s">
        <v>47549</v>
      </c>
      <c r="T4576" t="s">
        <v>49229</v>
      </c>
      <c r="U4576" t="s">
        <v>53552</v>
      </c>
      <c r="W4576" t="s">
        <v>44931</v>
      </c>
      <c r="X4576" t="s">
        <v>47431</v>
      </c>
    </row>
    <row r="4577" spans="1:24">
      <c r="A4577">
        <f>HYPERLINK("https://www.philgeps.gov.ph/GEPSNONPILOT/Tender/SplashBidNoticeAbstractUI.aspx?menuIndex=3&amp;refID=7159668&amp;Result=3","7159668")</f>
        <v>0</v>
      </c>
      <c r="B4577" t="s">
        <v>1441</v>
      </c>
      <c r="C4577" t="s">
        <v>8230</v>
      </c>
      <c r="D4577" t="s">
        <v>19048</v>
      </c>
      <c r="E4577" t="s">
        <v>23168</v>
      </c>
      <c r="F4577" t="s">
        <v>32831</v>
      </c>
      <c r="G4577" t="s">
        <v>32839</v>
      </c>
      <c r="H4577" t="s">
        <v>32848</v>
      </c>
      <c r="I4577" t="s">
        <v>5379</v>
      </c>
      <c r="J4577" t="s">
        <v>35941</v>
      </c>
      <c r="K4577" t="s">
        <v>42727</v>
      </c>
      <c r="M4577" t="s">
        <v>44533</v>
      </c>
      <c r="N4577" t="s">
        <v>47424</v>
      </c>
      <c r="O4577" t="s">
        <v>47425</v>
      </c>
      <c r="P4577">
        <v>0</v>
      </c>
      <c r="Q4577">
        <v>0</v>
      </c>
      <c r="R4577" t="s">
        <v>47430</v>
      </c>
      <c r="S4577" t="s">
        <v>47549</v>
      </c>
      <c r="T4577" t="s">
        <v>49057</v>
      </c>
      <c r="U4577" t="s">
        <v>53557</v>
      </c>
      <c r="W4577" t="s">
        <v>44533</v>
      </c>
      <c r="X4577" t="s">
        <v>47431</v>
      </c>
    </row>
    <row r="4578" spans="1:24">
      <c r="A4578">
        <f>HYPERLINK("https://www.philgeps.gov.ph/GEPSNONPILOT/Tender/SplashBidNoticeAbstractUI.aspx?menuIndex=3&amp;refID=7159604&amp;Result=3","7159604")</f>
        <v>0</v>
      </c>
      <c r="B4578" t="s">
        <v>726</v>
      </c>
      <c r="C4578" t="s">
        <v>8231</v>
      </c>
      <c r="E4578" t="s">
        <v>23169</v>
      </c>
      <c r="F4578" t="s">
        <v>32831</v>
      </c>
      <c r="G4578" t="s">
        <v>32839</v>
      </c>
      <c r="H4578" t="s">
        <v>32848</v>
      </c>
      <c r="I4578" t="s">
        <v>32856</v>
      </c>
      <c r="J4578" t="s">
        <v>35942</v>
      </c>
      <c r="K4578" t="s">
        <v>42732</v>
      </c>
      <c r="M4578" t="s">
        <v>44276</v>
      </c>
      <c r="N4578" t="s">
        <v>47424</v>
      </c>
      <c r="O4578" t="s">
        <v>47425</v>
      </c>
      <c r="P4578">
        <v>0</v>
      </c>
      <c r="Q4578">
        <v>2</v>
      </c>
      <c r="R4578" t="s">
        <v>47430</v>
      </c>
      <c r="S4578" t="s">
        <v>47549</v>
      </c>
      <c r="T4578" t="s">
        <v>49319</v>
      </c>
      <c r="U4578" t="s">
        <v>53558</v>
      </c>
      <c r="W4578" t="s">
        <v>44276</v>
      </c>
      <c r="X4578" t="s">
        <v>47431</v>
      </c>
    </row>
    <row r="4579" spans="1:24">
      <c r="A4579">
        <f>HYPERLINK("https://www.philgeps.gov.ph/GEPSNONPILOT/Tender/SplashBidNoticeAbstractUI.aspx?menuIndex=3&amp;refID=7159664&amp;Result=3","7159664")</f>
        <v>0</v>
      </c>
      <c r="B4579" t="s">
        <v>1809</v>
      </c>
      <c r="C4579" t="s">
        <v>8232</v>
      </c>
      <c r="D4579" t="s">
        <v>19059</v>
      </c>
      <c r="E4579" t="s">
        <v>23170</v>
      </c>
      <c r="F4579" t="s">
        <v>32831</v>
      </c>
      <c r="G4579" t="s">
        <v>32839</v>
      </c>
      <c r="H4579" t="s">
        <v>32848</v>
      </c>
      <c r="I4579" t="s">
        <v>7416</v>
      </c>
      <c r="J4579" t="s">
        <v>35943</v>
      </c>
      <c r="K4579" t="s">
        <v>42727</v>
      </c>
      <c r="M4579" t="s">
        <v>44942</v>
      </c>
      <c r="N4579" t="s">
        <v>47424</v>
      </c>
      <c r="O4579" t="s">
        <v>47425</v>
      </c>
      <c r="P4579">
        <v>0</v>
      </c>
      <c r="Q4579">
        <v>3</v>
      </c>
      <c r="R4579" t="s">
        <v>47430</v>
      </c>
      <c r="S4579" t="s">
        <v>47549</v>
      </c>
      <c r="T4579" t="s">
        <v>49304</v>
      </c>
      <c r="U4579" t="s">
        <v>53559</v>
      </c>
      <c r="W4579" t="s">
        <v>44942</v>
      </c>
      <c r="X4579" t="s">
        <v>47431</v>
      </c>
    </row>
    <row r="4580" spans="1:24">
      <c r="A4580">
        <f>HYPERLINK("https://www.philgeps.gov.ph/GEPSNONPILOT/Tender/SplashBidNoticeAbstractUI.aspx?menuIndex=3&amp;refID=7159663&amp;Result=3","7159663")</f>
        <v>0</v>
      </c>
      <c r="B4580" t="s">
        <v>1810</v>
      </c>
      <c r="C4580" t="s">
        <v>8233</v>
      </c>
      <c r="D4580" t="s">
        <v>19017</v>
      </c>
      <c r="E4580" t="s">
        <v>23171</v>
      </c>
      <c r="F4580" t="s">
        <v>32831</v>
      </c>
      <c r="G4580" t="s">
        <v>32840</v>
      </c>
      <c r="H4580" t="s">
        <v>32848</v>
      </c>
      <c r="I4580" t="s">
        <v>4558</v>
      </c>
      <c r="J4580" t="s">
        <v>35944</v>
      </c>
      <c r="K4580" t="s">
        <v>42748</v>
      </c>
      <c r="M4580" t="s">
        <v>44943</v>
      </c>
      <c r="N4580" t="s">
        <v>47424</v>
      </c>
      <c r="O4580" t="s">
        <v>47425</v>
      </c>
      <c r="P4580">
        <v>0</v>
      </c>
      <c r="Q4580">
        <v>4</v>
      </c>
      <c r="R4580" t="s">
        <v>47430</v>
      </c>
      <c r="S4580" t="s">
        <v>47549</v>
      </c>
      <c r="T4580" t="s">
        <v>49255</v>
      </c>
      <c r="U4580" t="s">
        <v>53560</v>
      </c>
      <c r="W4580" t="s">
        <v>44943</v>
      </c>
      <c r="X4580" t="s">
        <v>47431</v>
      </c>
    </row>
    <row r="4581" spans="1:24">
      <c r="A4581">
        <f>HYPERLINK("https://www.philgeps.gov.ph/GEPSNONPILOT/Tender/SplashBidNoticeAbstractUI.aspx?menuIndex=3&amp;refID=7159662&amp;Result=3","7159662")</f>
        <v>0</v>
      </c>
      <c r="B4581" t="s">
        <v>1811</v>
      </c>
      <c r="C4581" t="s">
        <v>8234</v>
      </c>
      <c r="D4581" t="s">
        <v>19027</v>
      </c>
      <c r="E4581" t="s">
        <v>23172</v>
      </c>
      <c r="F4581" t="s">
        <v>32831</v>
      </c>
      <c r="G4581" t="s">
        <v>32838</v>
      </c>
      <c r="H4581" t="s">
        <v>32849</v>
      </c>
      <c r="I4581" t="s">
        <v>4177</v>
      </c>
      <c r="J4581" t="s">
        <v>34070</v>
      </c>
      <c r="K4581" t="s">
        <v>42730</v>
      </c>
      <c r="M4581" t="s">
        <v>44944</v>
      </c>
      <c r="N4581" t="s">
        <v>47424</v>
      </c>
      <c r="O4581" t="s">
        <v>47425</v>
      </c>
      <c r="P4581">
        <v>0</v>
      </c>
      <c r="Q4581">
        <v>0</v>
      </c>
      <c r="R4581" t="s">
        <v>47430</v>
      </c>
      <c r="S4581" t="s">
        <v>47549</v>
      </c>
      <c r="T4581" t="s">
        <v>49119</v>
      </c>
      <c r="U4581" t="s">
        <v>53561</v>
      </c>
      <c r="W4581" t="s">
        <v>44944</v>
      </c>
      <c r="X4581" t="s">
        <v>47431</v>
      </c>
    </row>
    <row r="4582" spans="1:24">
      <c r="A4582">
        <f>HYPERLINK("https://www.philgeps.gov.ph/GEPSNONPILOT/Tender/SplashBidNoticeAbstractUI.aspx?menuIndex=3&amp;refID=7159661&amp;Result=3","7159661")</f>
        <v>0</v>
      </c>
      <c r="B4582" t="s">
        <v>1812</v>
      </c>
      <c r="C4582" t="s">
        <v>8235</v>
      </c>
      <c r="D4582" t="s">
        <v>19030</v>
      </c>
      <c r="E4582" t="s">
        <v>23173</v>
      </c>
      <c r="F4582" t="s">
        <v>32831</v>
      </c>
      <c r="G4582" t="s">
        <v>32840</v>
      </c>
      <c r="H4582" t="s">
        <v>32850</v>
      </c>
      <c r="I4582" t="s">
        <v>32864</v>
      </c>
      <c r="J4582" t="s">
        <v>35945</v>
      </c>
      <c r="K4582" t="s">
        <v>42758</v>
      </c>
      <c r="M4582" t="s">
        <v>44945</v>
      </c>
      <c r="N4582" t="s">
        <v>47424</v>
      </c>
      <c r="O4582" t="s">
        <v>47425</v>
      </c>
      <c r="P4582">
        <v>0</v>
      </c>
      <c r="Q4582">
        <v>2</v>
      </c>
      <c r="R4582" t="s">
        <v>47430</v>
      </c>
      <c r="S4582" t="s">
        <v>47549</v>
      </c>
      <c r="T4582" t="s">
        <v>49235</v>
      </c>
      <c r="U4582" t="s">
        <v>53562</v>
      </c>
      <c r="V4582" t="s">
        <v>63138</v>
      </c>
      <c r="W4582" t="s">
        <v>44945</v>
      </c>
      <c r="X4582" t="s">
        <v>47431</v>
      </c>
    </row>
    <row r="4583" spans="1:24">
      <c r="A4583">
        <f>HYPERLINK("https://www.philgeps.gov.ph/GEPSNONPILOT/Tender/SplashBidNoticeAbstractUI.aspx?menuIndex=3&amp;refID=7159658&amp;Result=3","7159658")</f>
        <v>0</v>
      </c>
      <c r="B4583" t="s">
        <v>1441</v>
      </c>
      <c r="C4583" t="s">
        <v>8236</v>
      </c>
      <c r="D4583" t="s">
        <v>19048</v>
      </c>
      <c r="E4583" t="s">
        <v>23174</v>
      </c>
      <c r="F4583" t="s">
        <v>32831</v>
      </c>
      <c r="G4583" t="s">
        <v>32839</v>
      </c>
      <c r="H4583" t="s">
        <v>32849</v>
      </c>
      <c r="I4583" t="s">
        <v>4177</v>
      </c>
      <c r="J4583" t="s">
        <v>35946</v>
      </c>
      <c r="K4583" t="s">
        <v>42729</v>
      </c>
      <c r="M4583" t="s">
        <v>44533</v>
      </c>
      <c r="N4583" t="s">
        <v>47424</v>
      </c>
      <c r="O4583" t="s">
        <v>47425</v>
      </c>
      <c r="P4583">
        <v>0</v>
      </c>
      <c r="Q4583">
        <v>0</v>
      </c>
      <c r="R4583" t="s">
        <v>47430</v>
      </c>
      <c r="S4583" t="s">
        <v>47549</v>
      </c>
      <c r="T4583" t="s">
        <v>49057</v>
      </c>
      <c r="U4583" t="s">
        <v>53563</v>
      </c>
      <c r="W4583" t="s">
        <v>44533</v>
      </c>
      <c r="X4583" t="s">
        <v>47431</v>
      </c>
    </row>
    <row r="4584" spans="1:24">
      <c r="A4584">
        <f>HYPERLINK("https://www.philgeps.gov.ph/GEPSNONPILOT/Tender/SplashBidNoticeAbstractUI.aspx?menuIndex=3&amp;refID=7159656&amp;Result=3","7159656")</f>
        <v>0</v>
      </c>
      <c r="B4584" t="s">
        <v>920</v>
      </c>
      <c r="C4584" t="s">
        <v>8237</v>
      </c>
      <c r="E4584" t="s">
        <v>23175</v>
      </c>
      <c r="F4584" t="s">
        <v>32831</v>
      </c>
      <c r="G4584" t="s">
        <v>32839</v>
      </c>
      <c r="H4584" t="s">
        <v>32849</v>
      </c>
      <c r="I4584" t="s">
        <v>4177</v>
      </c>
      <c r="J4584" t="s">
        <v>32978</v>
      </c>
      <c r="K4584" t="s">
        <v>42732</v>
      </c>
      <c r="M4584" t="s">
        <v>43961</v>
      </c>
      <c r="N4584" t="s">
        <v>47424</v>
      </c>
      <c r="O4584" t="s">
        <v>47425</v>
      </c>
      <c r="P4584">
        <v>0</v>
      </c>
      <c r="Q4584">
        <v>0</v>
      </c>
      <c r="R4584" t="s">
        <v>47430</v>
      </c>
      <c r="S4584" t="s">
        <v>47549</v>
      </c>
      <c r="T4584" t="s">
        <v>49185</v>
      </c>
      <c r="U4584" t="s">
        <v>53564</v>
      </c>
      <c r="V4584" t="s">
        <v>62833</v>
      </c>
      <c r="W4584" t="s">
        <v>43961</v>
      </c>
      <c r="X4584" t="s">
        <v>47431</v>
      </c>
    </row>
    <row r="4585" spans="1:24">
      <c r="A4585">
        <f>HYPERLINK("https://www.philgeps.gov.ph/GEPSNONPILOT/Tender/SplashBidNoticeAbstractUI.aspx?menuIndex=3&amp;refID=7159652&amp;Result=3","7159652")</f>
        <v>0</v>
      </c>
      <c r="B4585" t="s">
        <v>1008</v>
      </c>
      <c r="C4585" t="s">
        <v>8238</v>
      </c>
      <c r="D4585" t="s">
        <v>19030</v>
      </c>
      <c r="E4585" t="s">
        <v>23176</v>
      </c>
      <c r="F4585" t="s">
        <v>32831</v>
      </c>
      <c r="G4585" t="s">
        <v>32840</v>
      </c>
      <c r="H4585" t="s">
        <v>32848</v>
      </c>
      <c r="I4585" t="s">
        <v>32862</v>
      </c>
      <c r="J4585" t="s">
        <v>33175</v>
      </c>
      <c r="K4585" t="s">
        <v>42730</v>
      </c>
      <c r="M4585" t="s">
        <v>44057</v>
      </c>
      <c r="N4585" t="s">
        <v>47424</v>
      </c>
      <c r="O4585" t="s">
        <v>47425</v>
      </c>
      <c r="P4585">
        <v>0</v>
      </c>
      <c r="Q4585">
        <v>0</v>
      </c>
      <c r="R4585" t="s">
        <v>47430</v>
      </c>
      <c r="S4585" t="s">
        <v>47549</v>
      </c>
      <c r="T4585" t="s">
        <v>49066</v>
      </c>
      <c r="U4585" t="s">
        <v>53565</v>
      </c>
      <c r="V4585" t="s">
        <v>63139</v>
      </c>
      <c r="W4585" t="s">
        <v>44057</v>
      </c>
      <c r="X4585" t="s">
        <v>47431</v>
      </c>
    </row>
    <row r="4586" spans="1:24">
      <c r="A4586">
        <f>HYPERLINK("https://www.philgeps.gov.ph/GEPSNONPILOT/Tender/SplashBidNoticeAbstractUI.aspx?menuIndex=3&amp;refID=7159671&amp;Result=3","7159671")</f>
        <v>0</v>
      </c>
      <c r="B4586" t="s">
        <v>1813</v>
      </c>
      <c r="C4586" t="s">
        <v>8239</v>
      </c>
      <c r="D4586" t="s">
        <v>19021</v>
      </c>
      <c r="E4586" t="s">
        <v>23177</v>
      </c>
      <c r="F4586" t="s">
        <v>32831</v>
      </c>
      <c r="G4586" t="s">
        <v>32839</v>
      </c>
      <c r="H4586" t="s">
        <v>32849</v>
      </c>
      <c r="I4586" t="s">
        <v>4177</v>
      </c>
      <c r="J4586" t="s">
        <v>32980</v>
      </c>
      <c r="K4586" t="s">
        <v>42730</v>
      </c>
      <c r="M4586" t="s">
        <v>44946</v>
      </c>
      <c r="N4586" t="s">
        <v>47424</v>
      </c>
      <c r="O4586" t="s">
        <v>47425</v>
      </c>
      <c r="P4586">
        <v>0</v>
      </c>
      <c r="Q4586">
        <v>0</v>
      </c>
      <c r="R4586" t="s">
        <v>47430</v>
      </c>
      <c r="S4586" t="s">
        <v>47549</v>
      </c>
      <c r="T4586" t="s">
        <v>49119</v>
      </c>
      <c r="U4586" t="s">
        <v>53566</v>
      </c>
      <c r="V4586" t="s">
        <v>63140</v>
      </c>
      <c r="W4586" t="s">
        <v>44946</v>
      </c>
      <c r="X4586" t="s">
        <v>47431</v>
      </c>
    </row>
    <row r="4587" spans="1:24">
      <c r="A4587">
        <f>HYPERLINK("https://www.philgeps.gov.ph/GEPSNONPILOT/Tender/SplashBidNoticeAbstractUI.aspx?menuIndex=3&amp;refID=7159659&amp;Result=3","7159659")</f>
        <v>0</v>
      </c>
      <c r="B4587" t="s">
        <v>1814</v>
      </c>
      <c r="C4587" t="s">
        <v>8240</v>
      </c>
      <c r="D4587" t="s">
        <v>19037</v>
      </c>
      <c r="E4587" t="s">
        <v>23178</v>
      </c>
      <c r="F4587" t="s">
        <v>32831</v>
      </c>
      <c r="G4587" t="s">
        <v>32842</v>
      </c>
      <c r="H4587" t="s">
        <v>32848</v>
      </c>
      <c r="I4587" t="s">
        <v>9577</v>
      </c>
      <c r="J4587" t="s">
        <v>35947</v>
      </c>
      <c r="K4587" t="s">
        <v>42731</v>
      </c>
      <c r="M4587" t="s">
        <v>44947</v>
      </c>
      <c r="N4587" t="s">
        <v>47424</v>
      </c>
      <c r="O4587" t="s">
        <v>47425</v>
      </c>
      <c r="P4587">
        <v>0</v>
      </c>
      <c r="Q4587">
        <v>0</v>
      </c>
      <c r="R4587" t="s">
        <v>47430</v>
      </c>
      <c r="S4587" t="s">
        <v>47549</v>
      </c>
      <c r="T4587" t="s">
        <v>49056</v>
      </c>
      <c r="U4587" t="s">
        <v>53567</v>
      </c>
      <c r="W4587" t="s">
        <v>44947</v>
      </c>
      <c r="X4587" t="s">
        <v>47431</v>
      </c>
    </row>
    <row r="4588" spans="1:24">
      <c r="A4588">
        <f>HYPERLINK("https://www.philgeps.gov.ph/GEPSNONPILOT/Tender/SplashBidNoticeAbstractUI.aspx?menuIndex=3&amp;refID=7159669&amp;Result=3","7159669")</f>
        <v>0</v>
      </c>
      <c r="B4588" t="s">
        <v>1297</v>
      </c>
      <c r="C4588" t="s">
        <v>5029</v>
      </c>
      <c r="D4588" t="s">
        <v>19033</v>
      </c>
      <c r="E4588" t="s">
        <v>21188</v>
      </c>
      <c r="F4588" t="s">
        <v>32831</v>
      </c>
      <c r="G4588" t="s">
        <v>32840</v>
      </c>
      <c r="H4588" t="s">
        <v>32848</v>
      </c>
      <c r="I4588" t="s">
        <v>32860</v>
      </c>
      <c r="J4588" t="s">
        <v>35948</v>
      </c>
      <c r="K4588" t="s">
        <v>42726</v>
      </c>
      <c r="M4588" t="s">
        <v>44938</v>
      </c>
      <c r="N4588" t="s">
        <v>47424</v>
      </c>
      <c r="O4588" t="s">
        <v>47425</v>
      </c>
      <c r="P4588">
        <v>0</v>
      </c>
      <c r="Q4588">
        <v>1</v>
      </c>
      <c r="R4588" t="s">
        <v>47430</v>
      </c>
      <c r="S4588" t="s">
        <v>47549</v>
      </c>
      <c r="T4588" t="s">
        <v>49061</v>
      </c>
      <c r="U4588" t="s">
        <v>53568</v>
      </c>
      <c r="V4588" t="s">
        <v>63141</v>
      </c>
      <c r="W4588" t="s">
        <v>44938</v>
      </c>
      <c r="X4588" t="s">
        <v>47431</v>
      </c>
    </row>
    <row r="4589" spans="1:24">
      <c r="A4589">
        <f>HYPERLINK("https://www.philgeps.gov.ph/GEPSNONPILOT/Tender/SplashBidNoticeAbstractUI.aspx?menuIndex=3&amp;refID=7159672&amp;Result=3","7159672")</f>
        <v>0</v>
      </c>
      <c r="B4589" t="s">
        <v>1815</v>
      </c>
      <c r="C4589" t="s">
        <v>8241</v>
      </c>
      <c r="D4589" t="s">
        <v>19044</v>
      </c>
      <c r="E4589" t="s">
        <v>19130</v>
      </c>
      <c r="F4589" t="s">
        <v>32831</v>
      </c>
      <c r="G4589" t="s">
        <v>32839</v>
      </c>
      <c r="H4589" t="s">
        <v>32849</v>
      </c>
      <c r="I4589" t="s">
        <v>4471</v>
      </c>
      <c r="J4589" t="s">
        <v>33044</v>
      </c>
      <c r="K4589" t="s">
        <v>42730</v>
      </c>
      <c r="M4589" t="s">
        <v>44948</v>
      </c>
      <c r="N4589" t="s">
        <v>47424</v>
      </c>
      <c r="O4589" t="s">
        <v>47425</v>
      </c>
      <c r="P4589">
        <v>0</v>
      </c>
      <c r="Q4589">
        <v>1</v>
      </c>
      <c r="R4589" t="s">
        <v>47430</v>
      </c>
      <c r="S4589" t="s">
        <v>47549</v>
      </c>
      <c r="T4589" t="s">
        <v>49357</v>
      </c>
      <c r="U4589" t="s">
        <v>53569</v>
      </c>
      <c r="W4589" t="s">
        <v>44948</v>
      </c>
      <c r="X4589" t="s">
        <v>47431</v>
      </c>
    </row>
    <row r="4590" spans="1:24">
      <c r="A4590">
        <f>HYPERLINK("https://www.philgeps.gov.ph/GEPSNONPILOT/Tender/SplashBidNoticeAbstractUI.aspx?menuIndex=3&amp;refID=7159648&amp;Result=3","7159648")</f>
        <v>0</v>
      </c>
      <c r="B4590" t="s">
        <v>1795</v>
      </c>
      <c r="C4590" t="s">
        <v>8242</v>
      </c>
      <c r="D4590" t="s">
        <v>19027</v>
      </c>
      <c r="E4590" t="s">
        <v>23109</v>
      </c>
      <c r="F4590" t="s">
        <v>32831</v>
      </c>
      <c r="G4590" t="s">
        <v>32838</v>
      </c>
      <c r="H4590" t="s">
        <v>32848</v>
      </c>
      <c r="I4590" t="s">
        <v>7416</v>
      </c>
      <c r="J4590" t="s">
        <v>35949</v>
      </c>
      <c r="K4590" t="s">
        <v>42731</v>
      </c>
      <c r="M4590" t="s">
        <v>44925</v>
      </c>
      <c r="N4590" t="s">
        <v>47424</v>
      </c>
      <c r="O4590" t="s">
        <v>47425</v>
      </c>
      <c r="P4590">
        <v>0</v>
      </c>
      <c r="Q4590">
        <v>0</v>
      </c>
      <c r="R4590" t="s">
        <v>47430</v>
      </c>
      <c r="S4590" t="s">
        <v>47549</v>
      </c>
      <c r="T4590" t="s">
        <v>49114</v>
      </c>
      <c r="U4590" t="s">
        <v>53570</v>
      </c>
      <c r="W4590" t="s">
        <v>44925</v>
      </c>
      <c r="X4590" t="s">
        <v>47431</v>
      </c>
    </row>
    <row r="4591" spans="1:24">
      <c r="A4591">
        <f>HYPERLINK("https://www.philgeps.gov.ph/GEPSNONPILOT/Tender/SplashBidNoticeAbstractUI.aspx?menuIndex=3&amp;refID=7159646&amp;Result=3","7159646")</f>
        <v>0</v>
      </c>
      <c r="B4591" t="s">
        <v>1004</v>
      </c>
      <c r="C4591" t="s">
        <v>8243</v>
      </c>
      <c r="D4591" t="s">
        <v>19050</v>
      </c>
      <c r="E4591" t="s">
        <v>23179</v>
      </c>
      <c r="F4591" t="s">
        <v>32831</v>
      </c>
      <c r="G4591" t="s">
        <v>32839</v>
      </c>
      <c r="H4591" t="s">
        <v>32848</v>
      </c>
      <c r="I4591" t="s">
        <v>32853</v>
      </c>
      <c r="J4591" t="s">
        <v>35950</v>
      </c>
      <c r="K4591" t="s">
        <v>42745</v>
      </c>
      <c r="M4591" t="s">
        <v>44053</v>
      </c>
      <c r="N4591" t="s">
        <v>47424</v>
      </c>
      <c r="O4591" t="s">
        <v>47425</v>
      </c>
      <c r="P4591">
        <v>0</v>
      </c>
      <c r="Q4591">
        <v>3</v>
      </c>
      <c r="R4591" t="s">
        <v>47430</v>
      </c>
      <c r="S4591" t="s">
        <v>47549</v>
      </c>
      <c r="T4591" t="s">
        <v>49181</v>
      </c>
      <c r="U4591" t="s">
        <v>53571</v>
      </c>
      <c r="W4591" t="s">
        <v>44053</v>
      </c>
      <c r="X4591" t="s">
        <v>47431</v>
      </c>
    </row>
    <row r="4592" spans="1:24">
      <c r="A4592">
        <f>HYPERLINK("https://www.philgeps.gov.ph/GEPSNONPILOT/Tender/SplashBidNoticeAbstractUI.aspx?menuIndex=3&amp;refID=7159667&amp;Result=3","7159667")</f>
        <v>0</v>
      </c>
      <c r="B4592" t="s">
        <v>1816</v>
      </c>
      <c r="C4592" t="s">
        <v>8244</v>
      </c>
      <c r="D4592" t="s">
        <v>19038</v>
      </c>
      <c r="E4592" t="s">
        <v>23180</v>
      </c>
      <c r="F4592" t="s">
        <v>32831</v>
      </c>
      <c r="G4592" t="s">
        <v>32840</v>
      </c>
      <c r="H4592" t="s">
        <v>32848</v>
      </c>
      <c r="I4592" t="s">
        <v>4438</v>
      </c>
      <c r="J4592" t="s">
        <v>33578</v>
      </c>
      <c r="K4592" t="s">
        <v>42748</v>
      </c>
      <c r="M4592" t="s">
        <v>44949</v>
      </c>
      <c r="N4592" t="s">
        <v>47424</v>
      </c>
      <c r="O4592" t="s">
        <v>47425</v>
      </c>
      <c r="P4592">
        <v>0</v>
      </c>
      <c r="Q4592">
        <v>0</v>
      </c>
      <c r="R4592" t="s">
        <v>47430</v>
      </c>
      <c r="S4592" t="s">
        <v>47549</v>
      </c>
      <c r="T4592" t="s">
        <v>49238</v>
      </c>
      <c r="U4592" t="s">
        <v>53572</v>
      </c>
      <c r="V4592" t="s">
        <v>63142</v>
      </c>
      <c r="W4592" t="s">
        <v>44949</v>
      </c>
      <c r="X4592" t="s">
        <v>47431</v>
      </c>
    </row>
    <row r="4593" spans="1:24">
      <c r="A4593">
        <f>HYPERLINK("https://www.philgeps.gov.ph/GEPSNONPILOT/Tender/SplashBidNoticeAbstractUI.aspx?menuIndex=3&amp;refID=7159716&amp;Result=3","7159716")</f>
        <v>0</v>
      </c>
      <c r="B4593" t="s">
        <v>1811</v>
      </c>
      <c r="C4593" t="s">
        <v>8245</v>
      </c>
      <c r="D4593" t="s">
        <v>19027</v>
      </c>
      <c r="E4593" t="s">
        <v>23181</v>
      </c>
      <c r="F4593" t="s">
        <v>32831</v>
      </c>
      <c r="G4593" t="s">
        <v>32838</v>
      </c>
      <c r="H4593" t="s">
        <v>32849</v>
      </c>
      <c r="I4593" t="s">
        <v>4177</v>
      </c>
      <c r="J4593" t="s">
        <v>35951</v>
      </c>
      <c r="K4593" t="s">
        <v>42730</v>
      </c>
      <c r="M4593" t="s">
        <v>44944</v>
      </c>
      <c r="N4593" t="s">
        <v>47424</v>
      </c>
      <c r="O4593" t="s">
        <v>47425</v>
      </c>
      <c r="P4593">
        <v>0</v>
      </c>
      <c r="Q4593">
        <v>0</v>
      </c>
      <c r="R4593" t="s">
        <v>47430</v>
      </c>
      <c r="S4593" t="s">
        <v>47549</v>
      </c>
      <c r="T4593" t="s">
        <v>49119</v>
      </c>
      <c r="U4593" t="s">
        <v>53573</v>
      </c>
      <c r="W4593" t="s">
        <v>44944</v>
      </c>
      <c r="X4593" t="s">
        <v>47431</v>
      </c>
    </row>
    <row r="4594" spans="1:24">
      <c r="A4594">
        <f>HYPERLINK("https://www.philgeps.gov.ph/GEPSNONPILOT/Tender/SplashBidNoticeAbstractUI.aspx?menuIndex=3&amp;refID=7159670&amp;Result=3","7159670")</f>
        <v>0</v>
      </c>
      <c r="B4594" t="s">
        <v>1411</v>
      </c>
      <c r="C4594" t="s">
        <v>8246</v>
      </c>
      <c r="D4594" t="s">
        <v>19079</v>
      </c>
      <c r="E4594" t="s">
        <v>23182</v>
      </c>
      <c r="F4594" t="s">
        <v>32831</v>
      </c>
      <c r="G4594" t="s">
        <v>32839</v>
      </c>
      <c r="H4594" t="s">
        <v>32849</v>
      </c>
      <c r="I4594" t="s">
        <v>4177</v>
      </c>
      <c r="J4594" t="s">
        <v>35952</v>
      </c>
      <c r="K4594" t="s">
        <v>42768</v>
      </c>
      <c r="M4594" t="s">
        <v>44498</v>
      </c>
      <c r="N4594" t="s">
        <v>47424</v>
      </c>
      <c r="O4594" t="s">
        <v>47425</v>
      </c>
      <c r="P4594">
        <v>0</v>
      </c>
      <c r="Q4594">
        <v>1</v>
      </c>
      <c r="R4594" t="s">
        <v>47430</v>
      </c>
      <c r="S4594" t="s">
        <v>47549</v>
      </c>
      <c r="T4594" t="s">
        <v>49340</v>
      </c>
      <c r="U4594" t="s">
        <v>53574</v>
      </c>
      <c r="W4594" t="s">
        <v>44498</v>
      </c>
      <c r="X4594" t="s">
        <v>47431</v>
      </c>
    </row>
    <row r="4595" spans="1:24">
      <c r="A4595">
        <f>HYPERLINK("https://www.philgeps.gov.ph/GEPSNONPILOT/Tender/SplashBidNoticeAbstractUI.aspx?menuIndex=3&amp;refID=7159651&amp;Result=3","7159651")</f>
        <v>0</v>
      </c>
      <c r="B4595" t="s">
        <v>1817</v>
      </c>
      <c r="C4595" t="s">
        <v>4255</v>
      </c>
      <c r="D4595" t="s">
        <v>19021</v>
      </c>
      <c r="E4595" t="s">
        <v>23177</v>
      </c>
      <c r="F4595" t="s">
        <v>32831</v>
      </c>
      <c r="G4595" t="s">
        <v>32839</v>
      </c>
      <c r="H4595" t="s">
        <v>32849</v>
      </c>
      <c r="I4595" t="s">
        <v>4177</v>
      </c>
      <c r="J4595" t="s">
        <v>32980</v>
      </c>
      <c r="K4595" t="s">
        <v>42730</v>
      </c>
      <c r="M4595" t="s">
        <v>44950</v>
      </c>
      <c r="N4595" t="s">
        <v>47424</v>
      </c>
      <c r="O4595" t="s">
        <v>47425</v>
      </c>
      <c r="P4595">
        <v>0</v>
      </c>
      <c r="Q4595">
        <v>0</v>
      </c>
      <c r="R4595" t="s">
        <v>47430</v>
      </c>
      <c r="S4595" t="s">
        <v>47549</v>
      </c>
      <c r="T4595" t="s">
        <v>49119</v>
      </c>
      <c r="U4595" t="s">
        <v>53575</v>
      </c>
      <c r="V4595" t="s">
        <v>63140</v>
      </c>
      <c r="W4595" t="s">
        <v>44950</v>
      </c>
      <c r="X4595" t="s">
        <v>47431</v>
      </c>
    </row>
    <row r="4596" spans="1:24">
      <c r="A4596">
        <f>HYPERLINK("https://www.philgeps.gov.ph/GEPSNONPILOT/Tender/SplashBidNoticeAbstractUI.aspx?menuIndex=3&amp;refID=7159711&amp;Result=3","7159711")</f>
        <v>0</v>
      </c>
      <c r="B4596" t="s">
        <v>629</v>
      </c>
      <c r="C4596" t="s">
        <v>8113</v>
      </c>
      <c r="D4596" t="s">
        <v>19049</v>
      </c>
      <c r="E4596" t="s">
        <v>23183</v>
      </c>
      <c r="F4596" t="s">
        <v>32831</v>
      </c>
      <c r="G4596" t="s">
        <v>32840</v>
      </c>
      <c r="H4596" t="s">
        <v>32848</v>
      </c>
      <c r="I4596" t="s">
        <v>32907</v>
      </c>
      <c r="J4596" t="s">
        <v>35953</v>
      </c>
      <c r="K4596" t="s">
        <v>42731</v>
      </c>
      <c r="M4596" t="s">
        <v>43646</v>
      </c>
      <c r="N4596" t="s">
        <v>47424</v>
      </c>
      <c r="O4596" t="s">
        <v>47425</v>
      </c>
      <c r="P4596">
        <v>0</v>
      </c>
      <c r="Q4596">
        <v>0</v>
      </c>
      <c r="R4596" t="s">
        <v>47430</v>
      </c>
      <c r="S4596" t="s">
        <v>47549</v>
      </c>
      <c r="T4596" t="s">
        <v>49237</v>
      </c>
      <c r="U4596" t="s">
        <v>53576</v>
      </c>
      <c r="W4596" t="s">
        <v>43646</v>
      </c>
      <c r="X4596" t="s">
        <v>47431</v>
      </c>
    </row>
    <row r="4597" spans="1:24">
      <c r="A4597">
        <f>HYPERLINK("https://www.philgeps.gov.ph/GEPSNONPILOT/Tender/SplashBidNoticeAbstractUI.aspx?menuIndex=3&amp;refID=7159649&amp;Result=3","7159649")</f>
        <v>0</v>
      </c>
      <c r="B4597" t="s">
        <v>1782</v>
      </c>
      <c r="C4597" t="s">
        <v>8117</v>
      </c>
      <c r="D4597" t="s">
        <v>19035</v>
      </c>
      <c r="E4597" t="s">
        <v>23184</v>
      </c>
      <c r="F4597" t="s">
        <v>32831</v>
      </c>
      <c r="G4597" t="s">
        <v>32839</v>
      </c>
      <c r="H4597" t="s">
        <v>32848</v>
      </c>
      <c r="I4597" t="s">
        <v>32871</v>
      </c>
      <c r="J4597" t="s">
        <v>35954</v>
      </c>
      <c r="K4597" t="s">
        <v>42731</v>
      </c>
      <c r="M4597" t="s">
        <v>44909</v>
      </c>
      <c r="N4597" t="s">
        <v>47424</v>
      </c>
      <c r="O4597" t="s">
        <v>47425</v>
      </c>
      <c r="P4597">
        <v>0</v>
      </c>
      <c r="Q4597">
        <v>9</v>
      </c>
      <c r="R4597" t="s">
        <v>47430</v>
      </c>
      <c r="S4597" t="s">
        <v>47549</v>
      </c>
      <c r="T4597" t="s">
        <v>49390</v>
      </c>
      <c r="U4597" t="s">
        <v>53443</v>
      </c>
      <c r="W4597" t="s">
        <v>44909</v>
      </c>
      <c r="X4597" t="s">
        <v>47431</v>
      </c>
    </row>
    <row r="4598" spans="1:24">
      <c r="A4598">
        <f>HYPERLINK("https://www.philgeps.gov.ph/GEPSNONPILOT/Tender/SplashBidNoticeAbstractUI.aspx?menuIndex=3&amp;refID=7159653&amp;Result=3","7159653")</f>
        <v>0</v>
      </c>
      <c r="B4598" t="s">
        <v>322</v>
      </c>
      <c r="C4598" t="s">
        <v>8247</v>
      </c>
      <c r="D4598" t="s">
        <v>19023</v>
      </c>
      <c r="E4598" t="s">
        <v>19739</v>
      </c>
      <c r="F4598" t="s">
        <v>32831</v>
      </c>
      <c r="G4598" t="s">
        <v>32838</v>
      </c>
      <c r="H4598" t="s">
        <v>32848</v>
      </c>
      <c r="I4598" t="s">
        <v>32857</v>
      </c>
      <c r="J4598" t="s">
        <v>33007</v>
      </c>
      <c r="K4598" t="s">
        <v>42759</v>
      </c>
      <c r="M4598" t="s">
        <v>43325</v>
      </c>
      <c r="N4598" t="s">
        <v>47424</v>
      </c>
      <c r="O4598" t="s">
        <v>47425</v>
      </c>
      <c r="P4598">
        <v>0</v>
      </c>
      <c r="Q4598">
        <v>5</v>
      </c>
      <c r="R4598" t="s">
        <v>47430</v>
      </c>
      <c r="S4598" t="s">
        <v>47549</v>
      </c>
      <c r="T4598" t="s">
        <v>49244</v>
      </c>
      <c r="U4598" t="s">
        <v>53577</v>
      </c>
      <c r="W4598" t="s">
        <v>43325</v>
      </c>
      <c r="X4598" t="s">
        <v>47431</v>
      </c>
    </row>
    <row r="4599" spans="1:24">
      <c r="A4599">
        <f>HYPERLINK("https://www.philgeps.gov.ph/GEPSNONPILOT/Tender/SplashBidNoticeAbstractUI.aspx?menuIndex=3&amp;refID=7159699&amp;Result=3","7159699")</f>
        <v>0</v>
      </c>
      <c r="B4599" t="s">
        <v>1802</v>
      </c>
      <c r="C4599" t="s">
        <v>8248</v>
      </c>
      <c r="D4599" t="s">
        <v>19062</v>
      </c>
      <c r="E4599" t="s">
        <v>23147</v>
      </c>
      <c r="F4599" t="s">
        <v>32831</v>
      </c>
      <c r="G4599" t="s">
        <v>32838</v>
      </c>
      <c r="H4599" t="s">
        <v>32848</v>
      </c>
      <c r="I4599" t="s">
        <v>7416</v>
      </c>
      <c r="J4599" t="s">
        <v>35955</v>
      </c>
      <c r="K4599" t="s">
        <v>42748</v>
      </c>
      <c r="M4599" t="s">
        <v>44933</v>
      </c>
      <c r="N4599" t="s">
        <v>47424</v>
      </c>
      <c r="O4599" t="s">
        <v>47425</v>
      </c>
      <c r="P4599">
        <v>0</v>
      </c>
      <c r="Q4599">
        <v>0</v>
      </c>
      <c r="R4599" t="s">
        <v>47430</v>
      </c>
      <c r="S4599" t="s">
        <v>47549</v>
      </c>
      <c r="T4599" t="s">
        <v>49141</v>
      </c>
      <c r="U4599" t="s">
        <v>53519</v>
      </c>
      <c r="W4599" t="s">
        <v>44933</v>
      </c>
      <c r="X4599" t="s">
        <v>47431</v>
      </c>
    </row>
    <row r="4600" spans="1:24">
      <c r="A4600">
        <f>HYPERLINK("https://www.philgeps.gov.ph/GEPSNONPILOT/Tender/SplashBidNoticeAbstractUI.aspx?menuIndex=3&amp;refID=7159644&amp;Result=3","7159644")</f>
        <v>0</v>
      </c>
      <c r="B4600" t="s">
        <v>1818</v>
      </c>
      <c r="C4600" t="s">
        <v>8249</v>
      </c>
      <c r="D4600" t="s">
        <v>19065</v>
      </c>
      <c r="E4600" t="s">
        <v>23185</v>
      </c>
      <c r="F4600" t="s">
        <v>32831</v>
      </c>
      <c r="G4600" t="s">
        <v>32838</v>
      </c>
      <c r="H4600" t="s">
        <v>32848</v>
      </c>
      <c r="I4600" t="s">
        <v>32938</v>
      </c>
      <c r="J4600" t="s">
        <v>35956</v>
      </c>
      <c r="K4600" t="s">
        <v>42726</v>
      </c>
      <c r="M4600" t="s">
        <v>44951</v>
      </c>
      <c r="N4600" t="s">
        <v>47424</v>
      </c>
      <c r="O4600" t="s">
        <v>47425</v>
      </c>
      <c r="P4600">
        <v>0</v>
      </c>
      <c r="Q4600">
        <v>5</v>
      </c>
      <c r="R4600" t="s">
        <v>47430</v>
      </c>
      <c r="S4600" t="s">
        <v>47549</v>
      </c>
      <c r="T4600" t="s">
        <v>49255</v>
      </c>
      <c r="U4600" t="s">
        <v>53578</v>
      </c>
      <c r="W4600" t="s">
        <v>44951</v>
      </c>
      <c r="X4600" t="s">
        <v>47431</v>
      </c>
    </row>
    <row r="4601" spans="1:24">
      <c r="A4601">
        <f>HYPERLINK("https://www.philgeps.gov.ph/GEPSNONPILOT/Tender/SplashBidNoticeAbstractUI.aspx?menuIndex=3&amp;refID=7159677&amp;Result=3","7159677")</f>
        <v>0</v>
      </c>
      <c r="B4601" t="s">
        <v>1545</v>
      </c>
      <c r="C4601" t="s">
        <v>8250</v>
      </c>
      <c r="D4601" t="s">
        <v>19044</v>
      </c>
      <c r="E4601" t="s">
        <v>23186</v>
      </c>
      <c r="F4601" t="s">
        <v>32831</v>
      </c>
      <c r="G4601" t="s">
        <v>32839</v>
      </c>
      <c r="H4601" t="s">
        <v>32849</v>
      </c>
      <c r="I4601" t="s">
        <v>4177</v>
      </c>
      <c r="J4601" t="s">
        <v>35957</v>
      </c>
      <c r="K4601" t="s">
        <v>42757</v>
      </c>
      <c r="M4601" t="s">
        <v>44649</v>
      </c>
      <c r="N4601" t="s">
        <v>47424</v>
      </c>
      <c r="O4601" t="s">
        <v>47425</v>
      </c>
      <c r="P4601">
        <v>0</v>
      </c>
      <c r="Q4601">
        <v>0</v>
      </c>
      <c r="R4601" t="s">
        <v>47430</v>
      </c>
      <c r="S4601" t="s">
        <v>47549</v>
      </c>
      <c r="T4601" t="s">
        <v>49291</v>
      </c>
      <c r="U4601" t="s">
        <v>53579</v>
      </c>
      <c r="W4601" t="s">
        <v>44649</v>
      </c>
      <c r="X4601" t="s">
        <v>47431</v>
      </c>
    </row>
    <row r="4602" spans="1:24">
      <c r="A4602">
        <f>HYPERLINK("https://www.philgeps.gov.ph/GEPSNONPILOT/Tender/SplashBidNoticeAbstractUI.aspx?menuIndex=3&amp;refID=7159700&amp;Result=3","7159700")</f>
        <v>0</v>
      </c>
      <c r="B4602" t="s">
        <v>96</v>
      </c>
      <c r="C4602" t="s">
        <v>8251</v>
      </c>
      <c r="D4602" t="s">
        <v>19053</v>
      </c>
      <c r="E4602" t="s">
        <v>23187</v>
      </c>
      <c r="F4602" t="s">
        <v>32831</v>
      </c>
      <c r="G4602" t="s">
        <v>32838</v>
      </c>
      <c r="H4602" t="s">
        <v>32848</v>
      </c>
      <c r="I4602" t="s">
        <v>9577</v>
      </c>
      <c r="J4602" t="s">
        <v>34100</v>
      </c>
      <c r="K4602" t="s">
        <v>42760</v>
      </c>
      <c r="M4602" t="s">
        <v>43093</v>
      </c>
      <c r="N4602" t="s">
        <v>47424</v>
      </c>
      <c r="O4602" t="s">
        <v>47425</v>
      </c>
      <c r="P4602">
        <v>0</v>
      </c>
      <c r="Q4602">
        <v>0</v>
      </c>
      <c r="R4602" t="s">
        <v>47430</v>
      </c>
      <c r="S4602" t="s">
        <v>47549</v>
      </c>
      <c r="T4602" t="s">
        <v>49397</v>
      </c>
      <c r="U4602" t="s">
        <v>53580</v>
      </c>
      <c r="W4602" t="s">
        <v>64431</v>
      </c>
      <c r="X4602" t="s">
        <v>47431</v>
      </c>
    </row>
    <row r="4603" spans="1:24">
      <c r="A4603">
        <f>HYPERLINK("https://www.philgeps.gov.ph/GEPSNONPILOT/Tender/SplashBidNoticeAbstractUI.aspx?menuIndex=3&amp;refID=7159692&amp;Result=3","7159692")</f>
        <v>0</v>
      </c>
      <c r="B4603" t="s">
        <v>1819</v>
      </c>
      <c r="C4603" t="s">
        <v>8252</v>
      </c>
      <c r="D4603" t="s">
        <v>19057</v>
      </c>
      <c r="E4603" t="s">
        <v>23188</v>
      </c>
      <c r="F4603" t="s">
        <v>32831</v>
      </c>
      <c r="G4603" t="s">
        <v>32840</v>
      </c>
      <c r="H4603" t="s">
        <v>32848</v>
      </c>
      <c r="I4603" t="s">
        <v>32855</v>
      </c>
      <c r="J4603" t="s">
        <v>33137</v>
      </c>
      <c r="K4603" t="s">
        <v>42727</v>
      </c>
      <c r="M4603" t="s">
        <v>44952</v>
      </c>
      <c r="N4603" t="s">
        <v>47424</v>
      </c>
      <c r="O4603" t="s">
        <v>47425</v>
      </c>
      <c r="P4603">
        <v>0</v>
      </c>
      <c r="Q4603">
        <v>2</v>
      </c>
      <c r="R4603" t="s">
        <v>47430</v>
      </c>
      <c r="S4603" t="s">
        <v>47549</v>
      </c>
      <c r="T4603" t="s">
        <v>49104</v>
      </c>
      <c r="U4603" t="s">
        <v>53581</v>
      </c>
      <c r="W4603" t="s">
        <v>44952</v>
      </c>
      <c r="X4603" t="s">
        <v>47431</v>
      </c>
    </row>
    <row r="4604" spans="1:24">
      <c r="A4604">
        <f>HYPERLINK("https://www.philgeps.gov.ph/GEPSNONPILOT/Tender/SplashBidNoticeAbstractUI.aspx?menuIndex=3&amp;refID=7159690&amp;Result=3","7159690")</f>
        <v>0</v>
      </c>
      <c r="B4604" t="s">
        <v>1716</v>
      </c>
      <c r="C4604" t="s">
        <v>8253</v>
      </c>
      <c r="D4604" t="s">
        <v>19037</v>
      </c>
      <c r="E4604" t="s">
        <v>23189</v>
      </c>
      <c r="F4604" t="s">
        <v>32831</v>
      </c>
      <c r="G4604" t="s">
        <v>32838</v>
      </c>
      <c r="H4604" t="s">
        <v>32848</v>
      </c>
      <c r="I4604" t="s">
        <v>32874</v>
      </c>
      <c r="J4604" t="s">
        <v>35958</v>
      </c>
      <c r="K4604" t="s">
        <v>42727</v>
      </c>
      <c r="M4604" t="s">
        <v>44838</v>
      </c>
      <c r="N4604" t="s">
        <v>47424</v>
      </c>
      <c r="O4604" t="s">
        <v>47425</v>
      </c>
      <c r="P4604">
        <v>0</v>
      </c>
      <c r="Q4604">
        <v>13</v>
      </c>
      <c r="R4604" t="s">
        <v>47430</v>
      </c>
      <c r="S4604" t="s">
        <v>47549</v>
      </c>
      <c r="T4604" t="s">
        <v>49079</v>
      </c>
      <c r="U4604" t="s">
        <v>53582</v>
      </c>
      <c r="W4604" t="s">
        <v>44838</v>
      </c>
      <c r="X4604" t="s">
        <v>47431</v>
      </c>
    </row>
    <row r="4605" spans="1:24">
      <c r="A4605">
        <f>HYPERLINK("https://www.philgeps.gov.ph/GEPSNONPILOT/Tender/SplashBidNoticeAbstractUI.aspx?menuIndex=3&amp;refID=7159696&amp;Result=3","7159696")</f>
        <v>0</v>
      </c>
      <c r="B4605" t="s">
        <v>643</v>
      </c>
      <c r="C4605" t="s">
        <v>8254</v>
      </c>
      <c r="E4605" t="s">
        <v>23190</v>
      </c>
      <c r="F4605" t="s">
        <v>32831</v>
      </c>
      <c r="G4605" t="s">
        <v>32838</v>
      </c>
      <c r="H4605" t="s">
        <v>32848</v>
      </c>
      <c r="I4605" t="s">
        <v>32860</v>
      </c>
      <c r="J4605" t="s">
        <v>35959</v>
      </c>
      <c r="K4605" t="s">
        <v>42727</v>
      </c>
      <c r="M4605" t="s">
        <v>43660</v>
      </c>
      <c r="N4605" t="s">
        <v>47424</v>
      </c>
      <c r="O4605" t="s">
        <v>47425</v>
      </c>
      <c r="P4605">
        <v>0</v>
      </c>
      <c r="Q4605">
        <v>4</v>
      </c>
      <c r="R4605" t="s">
        <v>47430</v>
      </c>
      <c r="S4605" t="s">
        <v>47549</v>
      </c>
      <c r="T4605" t="s">
        <v>49145</v>
      </c>
      <c r="U4605" t="s">
        <v>53583</v>
      </c>
      <c r="W4605" t="s">
        <v>43660</v>
      </c>
      <c r="X4605" t="s">
        <v>47431</v>
      </c>
    </row>
    <row r="4606" spans="1:24">
      <c r="A4606">
        <f>HYPERLINK("https://www.philgeps.gov.ph/GEPSNONPILOT/Tender/SplashBidNoticeAbstractUI.aspx?menuIndex=3&amp;refID=7159689&amp;Result=3","7159689")</f>
        <v>0</v>
      </c>
      <c r="B4606" t="s">
        <v>1441</v>
      </c>
      <c r="C4606" t="s">
        <v>8255</v>
      </c>
      <c r="D4606" t="s">
        <v>19048</v>
      </c>
      <c r="E4606" t="s">
        <v>23191</v>
      </c>
      <c r="F4606" t="s">
        <v>32831</v>
      </c>
      <c r="G4606" t="s">
        <v>32839</v>
      </c>
      <c r="H4606" t="s">
        <v>32848</v>
      </c>
      <c r="I4606" t="s">
        <v>10805</v>
      </c>
      <c r="J4606" t="s">
        <v>35960</v>
      </c>
      <c r="K4606" t="s">
        <v>42727</v>
      </c>
      <c r="M4606" t="s">
        <v>44533</v>
      </c>
      <c r="N4606" t="s">
        <v>47424</v>
      </c>
      <c r="O4606" t="s">
        <v>47425</v>
      </c>
      <c r="P4606">
        <v>0</v>
      </c>
      <c r="Q4606">
        <v>3</v>
      </c>
      <c r="R4606" t="s">
        <v>47430</v>
      </c>
      <c r="S4606" t="s">
        <v>47549</v>
      </c>
      <c r="T4606" t="s">
        <v>49057</v>
      </c>
      <c r="U4606" t="s">
        <v>53584</v>
      </c>
      <c r="W4606" t="s">
        <v>44533</v>
      </c>
      <c r="X4606" t="s">
        <v>47431</v>
      </c>
    </row>
    <row r="4607" spans="1:24">
      <c r="A4607">
        <f>HYPERLINK("https://www.philgeps.gov.ph/GEPSNONPILOT/Tender/SplashBidNoticeAbstractUI.aspx?menuIndex=3&amp;refID=7159709&amp;Result=3","7159709")</f>
        <v>0</v>
      </c>
      <c r="B4607" t="s">
        <v>96</v>
      </c>
      <c r="C4607" t="s">
        <v>8256</v>
      </c>
      <c r="D4607" t="s">
        <v>19053</v>
      </c>
      <c r="E4607" t="s">
        <v>23192</v>
      </c>
      <c r="F4607" t="s">
        <v>32831</v>
      </c>
      <c r="G4607" t="s">
        <v>32839</v>
      </c>
      <c r="H4607" t="s">
        <v>32850</v>
      </c>
      <c r="I4607" t="s">
        <v>7416</v>
      </c>
      <c r="J4607" t="s">
        <v>33257</v>
      </c>
      <c r="K4607" t="s">
        <v>42746</v>
      </c>
      <c r="M4607" t="s">
        <v>43093</v>
      </c>
      <c r="N4607" t="s">
        <v>47424</v>
      </c>
      <c r="O4607" t="s">
        <v>47425</v>
      </c>
      <c r="P4607">
        <v>0</v>
      </c>
      <c r="Q4607">
        <v>0</v>
      </c>
      <c r="R4607" t="s">
        <v>47430</v>
      </c>
      <c r="S4607" t="s">
        <v>47549</v>
      </c>
      <c r="T4607" t="s">
        <v>49152</v>
      </c>
      <c r="U4607" t="s">
        <v>53585</v>
      </c>
      <c r="W4607" t="s">
        <v>64431</v>
      </c>
      <c r="X4607" t="s">
        <v>47431</v>
      </c>
    </row>
    <row r="4608" spans="1:24">
      <c r="A4608">
        <f>HYPERLINK("https://www.philgeps.gov.ph/GEPSNONPILOT/Tender/SplashBidNoticeAbstractUI.aspx?menuIndex=3&amp;refID=7159698&amp;Result=3","7159698")</f>
        <v>0</v>
      </c>
      <c r="B4608" t="s">
        <v>1811</v>
      </c>
      <c r="C4608" t="s">
        <v>8257</v>
      </c>
      <c r="D4608" t="s">
        <v>19027</v>
      </c>
      <c r="E4608" t="s">
        <v>23193</v>
      </c>
      <c r="F4608" t="s">
        <v>32831</v>
      </c>
      <c r="G4608" t="s">
        <v>32838</v>
      </c>
      <c r="H4608" t="s">
        <v>32849</v>
      </c>
      <c r="I4608" t="s">
        <v>4177</v>
      </c>
      <c r="J4608" t="s">
        <v>33500</v>
      </c>
      <c r="K4608" t="s">
        <v>42730</v>
      </c>
      <c r="M4608" t="s">
        <v>44944</v>
      </c>
      <c r="N4608" t="s">
        <v>47424</v>
      </c>
      <c r="O4608" t="s">
        <v>47425</v>
      </c>
      <c r="P4608">
        <v>0</v>
      </c>
      <c r="Q4608">
        <v>0</v>
      </c>
      <c r="R4608" t="s">
        <v>47430</v>
      </c>
      <c r="S4608" t="s">
        <v>47549</v>
      </c>
      <c r="T4608" t="s">
        <v>49119</v>
      </c>
      <c r="U4608" t="s">
        <v>53586</v>
      </c>
      <c r="W4608" t="s">
        <v>44944</v>
      </c>
      <c r="X4608" t="s">
        <v>47431</v>
      </c>
    </row>
    <row r="4609" spans="1:24">
      <c r="A4609">
        <f>HYPERLINK("https://www.philgeps.gov.ph/GEPSNONPILOT/Tender/SplashBidNoticeAbstractUI.aspx?menuIndex=3&amp;refID=7159682&amp;Result=3","7159682")</f>
        <v>0</v>
      </c>
      <c r="B4609" t="s">
        <v>1802</v>
      </c>
      <c r="C4609" t="s">
        <v>8258</v>
      </c>
      <c r="D4609" t="s">
        <v>19062</v>
      </c>
      <c r="E4609" t="s">
        <v>23194</v>
      </c>
      <c r="F4609" t="s">
        <v>32831</v>
      </c>
      <c r="G4609" t="s">
        <v>32838</v>
      </c>
      <c r="H4609" t="s">
        <v>32848</v>
      </c>
      <c r="I4609" t="s">
        <v>7416</v>
      </c>
      <c r="J4609" t="s">
        <v>32976</v>
      </c>
      <c r="K4609" t="s">
        <v>42748</v>
      </c>
      <c r="M4609" t="s">
        <v>44933</v>
      </c>
      <c r="N4609" t="s">
        <v>47424</v>
      </c>
      <c r="O4609" t="s">
        <v>47425</v>
      </c>
      <c r="P4609">
        <v>0</v>
      </c>
      <c r="Q4609">
        <v>0</v>
      </c>
      <c r="R4609" t="s">
        <v>47430</v>
      </c>
      <c r="S4609" t="s">
        <v>47549</v>
      </c>
      <c r="T4609" t="s">
        <v>49141</v>
      </c>
      <c r="U4609" t="s">
        <v>53519</v>
      </c>
      <c r="W4609" t="s">
        <v>44933</v>
      </c>
      <c r="X4609" t="s">
        <v>47431</v>
      </c>
    </row>
    <row r="4610" spans="1:24">
      <c r="A4610">
        <f>HYPERLINK("https://www.philgeps.gov.ph/GEPSNONPILOT/Tender/SplashBidNoticeAbstractUI.aspx?menuIndex=3&amp;refID=7159680&amp;Result=3","7159680")</f>
        <v>0</v>
      </c>
      <c r="B4610" t="s">
        <v>1811</v>
      </c>
      <c r="C4610" t="s">
        <v>8259</v>
      </c>
      <c r="D4610" t="s">
        <v>19027</v>
      </c>
      <c r="E4610" t="s">
        <v>23195</v>
      </c>
      <c r="F4610" t="s">
        <v>32831</v>
      </c>
      <c r="G4610" t="s">
        <v>32838</v>
      </c>
      <c r="H4610" t="s">
        <v>32849</v>
      </c>
      <c r="I4610" t="s">
        <v>4177</v>
      </c>
      <c r="J4610" t="s">
        <v>35961</v>
      </c>
      <c r="K4610" t="s">
        <v>42730</v>
      </c>
      <c r="M4610" t="s">
        <v>44944</v>
      </c>
      <c r="N4610" t="s">
        <v>47424</v>
      </c>
      <c r="O4610" t="s">
        <v>47425</v>
      </c>
      <c r="P4610">
        <v>0</v>
      </c>
      <c r="Q4610">
        <v>0</v>
      </c>
      <c r="R4610" t="s">
        <v>47430</v>
      </c>
      <c r="S4610" t="s">
        <v>47549</v>
      </c>
      <c r="T4610" t="s">
        <v>49119</v>
      </c>
      <c r="U4610" t="s">
        <v>53587</v>
      </c>
      <c r="W4610" t="s">
        <v>44944</v>
      </c>
      <c r="X4610" t="s">
        <v>47431</v>
      </c>
    </row>
    <row r="4611" spans="1:24">
      <c r="A4611">
        <f>HYPERLINK("https://www.philgeps.gov.ph/GEPSNONPILOT/Tender/SplashBidNoticeAbstractUI.aspx?menuIndex=3&amp;refID=7159618&amp;Result=3","7159618")</f>
        <v>0</v>
      </c>
      <c r="B4611" t="s">
        <v>609</v>
      </c>
      <c r="C4611" t="s">
        <v>8260</v>
      </c>
      <c r="D4611" t="s">
        <v>19017</v>
      </c>
      <c r="E4611" t="s">
        <v>23196</v>
      </c>
      <c r="F4611" t="s">
        <v>32831</v>
      </c>
      <c r="G4611" t="s">
        <v>32840</v>
      </c>
      <c r="H4611" t="s">
        <v>32848</v>
      </c>
      <c r="I4611" t="s">
        <v>10805</v>
      </c>
      <c r="J4611" t="s">
        <v>32976</v>
      </c>
      <c r="K4611" t="s">
        <v>42732</v>
      </c>
      <c r="M4611" t="s">
        <v>43623</v>
      </c>
      <c r="N4611" t="s">
        <v>47424</v>
      </c>
      <c r="O4611" t="s">
        <v>47425</v>
      </c>
      <c r="P4611">
        <v>0</v>
      </c>
      <c r="Q4611">
        <v>0</v>
      </c>
      <c r="R4611" t="s">
        <v>47430</v>
      </c>
      <c r="S4611" t="s">
        <v>47549</v>
      </c>
      <c r="T4611" t="s">
        <v>49107</v>
      </c>
      <c r="U4611" t="s">
        <v>53588</v>
      </c>
      <c r="W4611" t="s">
        <v>43623</v>
      </c>
      <c r="X4611" t="s">
        <v>47431</v>
      </c>
    </row>
    <row r="4612" spans="1:24">
      <c r="A4612">
        <f>HYPERLINK("https://www.philgeps.gov.ph/GEPSNONPILOT/Tender/SplashBidNoticeAbstractUI.aspx?menuIndex=3&amp;refID=7159687&amp;Result=3","7159687")</f>
        <v>0</v>
      </c>
      <c r="B4612" t="s">
        <v>1545</v>
      </c>
      <c r="C4612" t="s">
        <v>8261</v>
      </c>
      <c r="D4612" t="s">
        <v>19044</v>
      </c>
      <c r="E4612" t="s">
        <v>23197</v>
      </c>
      <c r="F4612" t="s">
        <v>32831</v>
      </c>
      <c r="G4612" t="s">
        <v>32839</v>
      </c>
      <c r="H4612" t="s">
        <v>32849</v>
      </c>
      <c r="I4612" t="s">
        <v>4177</v>
      </c>
      <c r="J4612" t="s">
        <v>35962</v>
      </c>
      <c r="K4612" t="s">
        <v>42768</v>
      </c>
      <c r="M4612" t="s">
        <v>44649</v>
      </c>
      <c r="N4612" t="s">
        <v>47424</v>
      </c>
      <c r="O4612" t="s">
        <v>47425</v>
      </c>
      <c r="P4612">
        <v>0</v>
      </c>
      <c r="Q4612">
        <v>1</v>
      </c>
      <c r="R4612" t="s">
        <v>47430</v>
      </c>
      <c r="S4612" t="s">
        <v>47549</v>
      </c>
      <c r="T4612" t="s">
        <v>49291</v>
      </c>
      <c r="U4612" t="s">
        <v>53589</v>
      </c>
      <c r="W4612" t="s">
        <v>44649</v>
      </c>
      <c r="X4612" t="s">
        <v>47431</v>
      </c>
    </row>
    <row r="4613" spans="1:24">
      <c r="A4613">
        <f>HYPERLINK("https://www.philgeps.gov.ph/GEPSNONPILOT/Tender/SplashBidNoticeAbstractUI.aspx?menuIndex=3&amp;refID=7159676&amp;Result=3","7159676")</f>
        <v>0</v>
      </c>
      <c r="B4613" t="s">
        <v>96</v>
      </c>
      <c r="C4613" t="s">
        <v>8262</v>
      </c>
      <c r="D4613" t="s">
        <v>19053</v>
      </c>
      <c r="E4613" t="s">
        <v>23198</v>
      </c>
      <c r="F4613" t="s">
        <v>32831</v>
      </c>
      <c r="G4613" t="s">
        <v>32839</v>
      </c>
      <c r="H4613" t="s">
        <v>32848</v>
      </c>
      <c r="I4613" t="s">
        <v>7416</v>
      </c>
      <c r="J4613" t="s">
        <v>33257</v>
      </c>
      <c r="K4613" t="s">
        <v>42730</v>
      </c>
      <c r="M4613" t="s">
        <v>43093</v>
      </c>
      <c r="N4613" t="s">
        <v>47424</v>
      </c>
      <c r="O4613" t="s">
        <v>47425</v>
      </c>
      <c r="P4613">
        <v>0</v>
      </c>
      <c r="Q4613">
        <v>0</v>
      </c>
      <c r="R4613" t="s">
        <v>47430</v>
      </c>
      <c r="S4613" t="s">
        <v>47549</v>
      </c>
      <c r="T4613" t="s">
        <v>49362</v>
      </c>
      <c r="U4613" t="s">
        <v>53590</v>
      </c>
      <c r="W4613" t="s">
        <v>64431</v>
      </c>
      <c r="X4613" t="s">
        <v>47431</v>
      </c>
    </row>
    <row r="4614" spans="1:24">
      <c r="A4614">
        <f>HYPERLINK("https://www.philgeps.gov.ph/GEPSNONPILOT/Tender/SplashBidNoticeAbstractUI.aspx?menuIndex=3&amp;refID=7159753&amp;Result=3","7159753")</f>
        <v>0</v>
      </c>
      <c r="B4614" t="s">
        <v>1820</v>
      </c>
      <c r="C4614" t="s">
        <v>8263</v>
      </c>
      <c r="D4614" t="s">
        <v>19047</v>
      </c>
      <c r="E4614" t="s">
        <v>23199</v>
      </c>
      <c r="F4614" t="s">
        <v>32831</v>
      </c>
      <c r="G4614" t="s">
        <v>32838</v>
      </c>
      <c r="H4614" t="s">
        <v>32848</v>
      </c>
      <c r="I4614" t="s">
        <v>32865</v>
      </c>
      <c r="J4614" t="s">
        <v>33484</v>
      </c>
      <c r="K4614" t="s">
        <v>42732</v>
      </c>
      <c r="M4614" t="s">
        <v>44953</v>
      </c>
      <c r="N4614" t="s">
        <v>47424</v>
      </c>
      <c r="O4614" t="s">
        <v>47425</v>
      </c>
      <c r="P4614">
        <v>0</v>
      </c>
      <c r="Q4614">
        <v>2</v>
      </c>
      <c r="R4614" t="s">
        <v>47430</v>
      </c>
      <c r="S4614" t="s">
        <v>47549</v>
      </c>
      <c r="T4614" t="s">
        <v>49279</v>
      </c>
      <c r="U4614" t="s">
        <v>53591</v>
      </c>
      <c r="W4614" t="s">
        <v>44953</v>
      </c>
      <c r="X4614" t="s">
        <v>47431</v>
      </c>
    </row>
    <row r="4615" spans="1:24">
      <c r="A4615">
        <f>HYPERLINK("https://www.philgeps.gov.ph/GEPSNONPILOT/Tender/SplashBidNoticeAbstractUI.aspx?menuIndex=3&amp;refID=7159749&amp;Result=3","7159749")</f>
        <v>0</v>
      </c>
      <c r="B4615" t="s">
        <v>1679</v>
      </c>
      <c r="C4615" t="s">
        <v>8264</v>
      </c>
      <c r="D4615" t="s">
        <v>19052</v>
      </c>
      <c r="E4615" t="s">
        <v>23200</v>
      </c>
      <c r="F4615" t="s">
        <v>32831</v>
      </c>
      <c r="G4615" t="s">
        <v>32839</v>
      </c>
      <c r="H4615" t="s">
        <v>32849</v>
      </c>
      <c r="I4615" t="s">
        <v>4177</v>
      </c>
      <c r="J4615" t="s">
        <v>35963</v>
      </c>
      <c r="K4615" t="s">
        <v>42729</v>
      </c>
      <c r="M4615" t="s">
        <v>44797</v>
      </c>
      <c r="N4615" t="s">
        <v>47424</v>
      </c>
      <c r="O4615" t="s">
        <v>47425</v>
      </c>
      <c r="P4615">
        <v>0</v>
      </c>
      <c r="Q4615">
        <v>2</v>
      </c>
      <c r="R4615" t="s">
        <v>47430</v>
      </c>
      <c r="S4615" t="s">
        <v>47549</v>
      </c>
      <c r="T4615" t="s">
        <v>49198</v>
      </c>
      <c r="U4615" t="s">
        <v>53592</v>
      </c>
      <c r="V4615" t="s">
        <v>63083</v>
      </c>
      <c r="W4615" t="s">
        <v>44797</v>
      </c>
      <c r="X4615" t="s">
        <v>47431</v>
      </c>
    </row>
    <row r="4616" spans="1:24">
      <c r="A4616">
        <f>HYPERLINK("https://www.philgeps.gov.ph/GEPSNONPILOT/Tender/SplashBidNoticeAbstractUI.aspx?menuIndex=3&amp;refID=7159684&amp;Result=3","7159684")</f>
        <v>0</v>
      </c>
      <c r="B4616" t="s">
        <v>669</v>
      </c>
      <c r="C4616" t="s">
        <v>8265</v>
      </c>
      <c r="D4616" t="s">
        <v>19022</v>
      </c>
      <c r="E4616" t="s">
        <v>23201</v>
      </c>
      <c r="F4616" t="s">
        <v>32831</v>
      </c>
      <c r="G4616" t="s">
        <v>32838</v>
      </c>
      <c r="H4616" t="s">
        <v>32848</v>
      </c>
      <c r="I4616" t="s">
        <v>32881</v>
      </c>
      <c r="J4616" t="s">
        <v>33029</v>
      </c>
      <c r="K4616" t="s">
        <v>42726</v>
      </c>
      <c r="M4616" t="s">
        <v>43688</v>
      </c>
      <c r="N4616" t="s">
        <v>47424</v>
      </c>
      <c r="O4616" t="s">
        <v>47425</v>
      </c>
      <c r="P4616">
        <v>0</v>
      </c>
      <c r="Q4616">
        <v>0</v>
      </c>
      <c r="R4616" t="s">
        <v>47430</v>
      </c>
      <c r="S4616" t="s">
        <v>47549</v>
      </c>
      <c r="T4616" t="s">
        <v>49166</v>
      </c>
      <c r="U4616" t="s">
        <v>53593</v>
      </c>
      <c r="W4616" t="s">
        <v>43688</v>
      </c>
      <c r="X4616" t="s">
        <v>47431</v>
      </c>
    </row>
    <row r="4617" spans="1:24">
      <c r="A4617">
        <f>HYPERLINK("https://www.philgeps.gov.ph/GEPSNONPILOT/Tender/SplashBidNoticeAbstractUI.aspx?menuIndex=3&amp;refID=7159750&amp;Result=3","7159750")</f>
        <v>0</v>
      </c>
      <c r="B4617" t="s">
        <v>744</v>
      </c>
      <c r="C4617" t="s">
        <v>8266</v>
      </c>
      <c r="D4617" t="s">
        <v>19017</v>
      </c>
      <c r="E4617" t="s">
        <v>23202</v>
      </c>
      <c r="F4617" t="s">
        <v>32831</v>
      </c>
      <c r="G4617" t="s">
        <v>32838</v>
      </c>
      <c r="H4617" t="s">
        <v>32848</v>
      </c>
      <c r="I4617" t="s">
        <v>4222</v>
      </c>
      <c r="J4617" t="s">
        <v>35964</v>
      </c>
      <c r="K4617" t="s">
        <v>42726</v>
      </c>
      <c r="M4617" t="s">
        <v>44432</v>
      </c>
      <c r="N4617" t="s">
        <v>47424</v>
      </c>
      <c r="O4617" t="s">
        <v>47425</v>
      </c>
      <c r="P4617">
        <v>0</v>
      </c>
      <c r="Q4617">
        <v>0</v>
      </c>
      <c r="R4617" t="s">
        <v>47430</v>
      </c>
      <c r="S4617" t="s">
        <v>47549</v>
      </c>
      <c r="T4617" t="s">
        <v>49237</v>
      </c>
      <c r="U4617" t="s">
        <v>51041</v>
      </c>
      <c r="W4617" t="s">
        <v>44432</v>
      </c>
      <c r="X4617" t="s">
        <v>47431</v>
      </c>
    </row>
    <row r="4618" spans="1:24">
      <c r="A4618">
        <f>HYPERLINK("https://www.philgeps.gov.ph/GEPSNONPILOT/Tender/SplashBidNoticeAbstractUI.aspx?menuIndex=3&amp;refID=7159744&amp;Result=3","7159744")</f>
        <v>0</v>
      </c>
      <c r="B4618" t="s">
        <v>1821</v>
      </c>
      <c r="C4618" t="s">
        <v>8267</v>
      </c>
      <c r="D4618" t="s">
        <v>19037</v>
      </c>
      <c r="E4618" t="s">
        <v>23203</v>
      </c>
      <c r="F4618" t="s">
        <v>32831</v>
      </c>
      <c r="G4618" t="s">
        <v>32840</v>
      </c>
      <c r="H4618" t="s">
        <v>32850</v>
      </c>
      <c r="I4618" t="s">
        <v>11484</v>
      </c>
      <c r="J4618" t="s">
        <v>35640</v>
      </c>
      <c r="K4618" t="s">
        <v>42726</v>
      </c>
      <c r="M4618" t="s">
        <v>44954</v>
      </c>
      <c r="N4618" t="s">
        <v>47424</v>
      </c>
      <c r="O4618" t="s">
        <v>47425</v>
      </c>
      <c r="P4618">
        <v>0</v>
      </c>
      <c r="Q4618">
        <v>0</v>
      </c>
      <c r="R4618" t="s">
        <v>47430</v>
      </c>
      <c r="S4618" t="s">
        <v>47549</v>
      </c>
      <c r="T4618" t="s">
        <v>49214</v>
      </c>
      <c r="U4618" t="s">
        <v>53594</v>
      </c>
      <c r="W4618" t="s">
        <v>44954</v>
      </c>
      <c r="X4618" t="s">
        <v>47431</v>
      </c>
    </row>
    <row r="4619" spans="1:24">
      <c r="A4619">
        <f>HYPERLINK("https://www.philgeps.gov.ph/GEPSNONPILOT/Tender/SplashBidNoticeAbstractUI.aspx?menuIndex=3&amp;refID=7159695&amp;Result=3","7159695")</f>
        <v>0</v>
      </c>
      <c r="B4619" t="s">
        <v>1411</v>
      </c>
      <c r="C4619" t="s">
        <v>8268</v>
      </c>
      <c r="D4619" t="s">
        <v>19079</v>
      </c>
      <c r="E4619" t="s">
        <v>23204</v>
      </c>
      <c r="F4619" t="s">
        <v>32831</v>
      </c>
      <c r="G4619" t="s">
        <v>32839</v>
      </c>
      <c r="H4619" t="s">
        <v>32849</v>
      </c>
      <c r="I4619" t="s">
        <v>4177</v>
      </c>
      <c r="J4619" t="s">
        <v>35965</v>
      </c>
      <c r="K4619" t="s">
        <v>42864</v>
      </c>
      <c r="M4619" t="s">
        <v>44498</v>
      </c>
      <c r="N4619" t="s">
        <v>47424</v>
      </c>
      <c r="O4619" t="s">
        <v>47425</v>
      </c>
      <c r="P4619">
        <v>0</v>
      </c>
      <c r="Q4619">
        <v>1</v>
      </c>
      <c r="R4619" t="s">
        <v>47430</v>
      </c>
      <c r="S4619" t="s">
        <v>47549</v>
      </c>
      <c r="T4619" t="s">
        <v>49340</v>
      </c>
      <c r="U4619" t="s">
        <v>53595</v>
      </c>
      <c r="W4619" t="s">
        <v>44498</v>
      </c>
      <c r="X4619" t="s">
        <v>47431</v>
      </c>
    </row>
    <row r="4620" spans="1:24">
      <c r="A4620">
        <f>HYPERLINK("https://www.philgeps.gov.ph/GEPSNONPILOT/Tender/SplashBidNoticeAbstractUI.aspx?menuIndex=3&amp;refID=7159743&amp;Result=3","7159743")</f>
        <v>0</v>
      </c>
      <c r="B4620" t="s">
        <v>1822</v>
      </c>
      <c r="C4620" t="s">
        <v>8269</v>
      </c>
      <c r="D4620" t="s">
        <v>19017</v>
      </c>
      <c r="E4620" t="s">
        <v>23205</v>
      </c>
      <c r="F4620" t="s">
        <v>32831</v>
      </c>
      <c r="G4620" t="s">
        <v>32839</v>
      </c>
      <c r="H4620" t="s">
        <v>32848</v>
      </c>
      <c r="I4620" t="s">
        <v>32857</v>
      </c>
      <c r="J4620" t="s">
        <v>33193</v>
      </c>
      <c r="K4620" t="s">
        <v>42727</v>
      </c>
      <c r="M4620" t="s">
        <v>44955</v>
      </c>
      <c r="N4620" t="s">
        <v>47424</v>
      </c>
      <c r="O4620" t="s">
        <v>47425</v>
      </c>
      <c r="P4620">
        <v>0</v>
      </c>
      <c r="Q4620">
        <v>1</v>
      </c>
      <c r="R4620" t="s">
        <v>47430</v>
      </c>
      <c r="S4620" t="s">
        <v>47549</v>
      </c>
      <c r="T4620" t="s">
        <v>49267</v>
      </c>
      <c r="U4620" t="s">
        <v>53596</v>
      </c>
      <c r="W4620" t="s">
        <v>44955</v>
      </c>
      <c r="X4620" t="s">
        <v>47431</v>
      </c>
    </row>
    <row r="4621" spans="1:24">
      <c r="A4621">
        <f>HYPERLINK("https://www.philgeps.gov.ph/GEPSNONPILOT/Tender/SplashBidNoticeAbstractUI.aspx?menuIndex=3&amp;refID=7159741&amp;Result=3","7159741")</f>
        <v>0</v>
      </c>
      <c r="B4621" t="s">
        <v>1806</v>
      </c>
      <c r="C4621" t="s">
        <v>8270</v>
      </c>
      <c r="D4621" t="s">
        <v>19090</v>
      </c>
      <c r="E4621" t="s">
        <v>23206</v>
      </c>
      <c r="F4621" t="s">
        <v>32831</v>
      </c>
      <c r="G4621" t="s">
        <v>32839</v>
      </c>
      <c r="H4621" t="s">
        <v>32849</v>
      </c>
      <c r="I4621" t="s">
        <v>4177</v>
      </c>
      <c r="J4621" t="s">
        <v>35966</v>
      </c>
      <c r="K4621" t="s">
        <v>42865</v>
      </c>
      <c r="M4621" t="s">
        <v>44939</v>
      </c>
      <c r="N4621" t="s">
        <v>47424</v>
      </c>
      <c r="O4621" t="s">
        <v>47425</v>
      </c>
      <c r="P4621">
        <v>0</v>
      </c>
      <c r="Q4621">
        <v>0</v>
      </c>
      <c r="R4621" t="s">
        <v>47430</v>
      </c>
      <c r="S4621" t="s">
        <v>47549</v>
      </c>
      <c r="T4621" t="s">
        <v>49236</v>
      </c>
      <c r="U4621" t="s">
        <v>53544</v>
      </c>
      <c r="W4621" t="s">
        <v>44939</v>
      </c>
      <c r="X4621" t="s">
        <v>47431</v>
      </c>
    </row>
    <row r="4622" spans="1:24">
      <c r="A4622">
        <f>HYPERLINK("https://www.philgeps.gov.ph/GEPSNONPILOT/Tender/SplashBidNoticeAbstractUI.aspx?menuIndex=3&amp;refID=7159748&amp;Result=3","7159748")</f>
        <v>0</v>
      </c>
      <c r="B4622" t="s">
        <v>629</v>
      </c>
      <c r="C4622" t="s">
        <v>8271</v>
      </c>
      <c r="D4622" t="s">
        <v>19049</v>
      </c>
      <c r="E4622" t="s">
        <v>23207</v>
      </c>
      <c r="F4622" t="s">
        <v>32831</v>
      </c>
      <c r="G4622" t="s">
        <v>32840</v>
      </c>
      <c r="H4622" t="s">
        <v>32848</v>
      </c>
      <c r="I4622" t="s">
        <v>32862</v>
      </c>
      <c r="J4622" t="s">
        <v>35967</v>
      </c>
      <c r="K4622" t="s">
        <v>42731</v>
      </c>
      <c r="M4622" t="s">
        <v>43646</v>
      </c>
      <c r="N4622" t="s">
        <v>47424</v>
      </c>
      <c r="O4622" t="s">
        <v>47425</v>
      </c>
      <c r="P4622">
        <v>0</v>
      </c>
      <c r="Q4622">
        <v>0</v>
      </c>
      <c r="R4622" t="s">
        <v>47430</v>
      </c>
      <c r="S4622" t="s">
        <v>47549</v>
      </c>
      <c r="T4622" t="s">
        <v>49237</v>
      </c>
      <c r="U4622" t="s">
        <v>53597</v>
      </c>
      <c r="W4622" t="s">
        <v>43646</v>
      </c>
      <c r="X4622" t="s">
        <v>47431</v>
      </c>
    </row>
    <row r="4623" spans="1:24">
      <c r="A4623">
        <f>HYPERLINK("https://www.philgeps.gov.ph/GEPSNONPILOT/Tender/SplashBidNoticeAbstractUI.aspx?menuIndex=3&amp;refID=7159746&amp;Result=3","7159746")</f>
        <v>0</v>
      </c>
      <c r="B4623" t="s">
        <v>1820</v>
      </c>
      <c r="C4623" t="s">
        <v>8272</v>
      </c>
      <c r="D4623" t="s">
        <v>19047</v>
      </c>
      <c r="E4623" t="s">
        <v>23208</v>
      </c>
      <c r="F4623" t="s">
        <v>32831</v>
      </c>
      <c r="G4623" t="s">
        <v>32838</v>
      </c>
      <c r="H4623" t="s">
        <v>32848</v>
      </c>
      <c r="I4623" t="s">
        <v>32866</v>
      </c>
      <c r="J4623" t="s">
        <v>32976</v>
      </c>
      <c r="K4623" t="s">
        <v>42732</v>
      </c>
      <c r="M4623" t="s">
        <v>44953</v>
      </c>
      <c r="N4623" t="s">
        <v>47424</v>
      </c>
      <c r="O4623" t="s">
        <v>47425</v>
      </c>
      <c r="P4623">
        <v>0</v>
      </c>
      <c r="Q4623">
        <v>3</v>
      </c>
      <c r="R4623" t="s">
        <v>47430</v>
      </c>
      <c r="S4623" t="s">
        <v>47549</v>
      </c>
      <c r="T4623" t="s">
        <v>49279</v>
      </c>
      <c r="U4623" t="s">
        <v>53591</v>
      </c>
      <c r="W4623" t="s">
        <v>44953</v>
      </c>
      <c r="X4623" t="s">
        <v>47431</v>
      </c>
    </row>
    <row r="4624" spans="1:24">
      <c r="A4624">
        <f>HYPERLINK("https://www.philgeps.gov.ph/GEPSNONPILOT/Tender/SplashBidNoticeAbstractUI.aspx?menuIndex=3&amp;refID=7159737&amp;Result=3","7159737")</f>
        <v>0</v>
      </c>
      <c r="B4624" t="s">
        <v>1679</v>
      </c>
      <c r="C4624" t="s">
        <v>8273</v>
      </c>
      <c r="D4624" t="s">
        <v>19052</v>
      </c>
      <c r="E4624" t="s">
        <v>23209</v>
      </c>
      <c r="F4624" t="s">
        <v>32831</v>
      </c>
      <c r="G4624" t="s">
        <v>32839</v>
      </c>
      <c r="H4624" t="s">
        <v>32849</v>
      </c>
      <c r="I4624" t="s">
        <v>4177</v>
      </c>
      <c r="J4624" t="s">
        <v>35929</v>
      </c>
      <c r="K4624" t="s">
        <v>42747</v>
      </c>
      <c r="M4624" t="s">
        <v>44797</v>
      </c>
      <c r="N4624" t="s">
        <v>47424</v>
      </c>
      <c r="O4624" t="s">
        <v>47425</v>
      </c>
      <c r="P4624">
        <v>0</v>
      </c>
      <c r="Q4624">
        <v>2</v>
      </c>
      <c r="R4624" t="s">
        <v>47430</v>
      </c>
      <c r="S4624" t="s">
        <v>47549</v>
      </c>
      <c r="T4624" t="s">
        <v>49198</v>
      </c>
      <c r="U4624" t="s">
        <v>53598</v>
      </c>
      <c r="V4624" t="s">
        <v>63135</v>
      </c>
      <c r="W4624" t="s">
        <v>44797</v>
      </c>
      <c r="X4624" t="s">
        <v>47431</v>
      </c>
    </row>
    <row r="4625" spans="1:24">
      <c r="A4625">
        <f>HYPERLINK("https://www.philgeps.gov.ph/GEPSNONPILOT/Tender/SplashBidNoticeAbstractUI.aspx?menuIndex=3&amp;refID=7159686&amp;Result=3","7159686")</f>
        <v>0</v>
      </c>
      <c r="B4625" t="s">
        <v>629</v>
      </c>
      <c r="C4625" t="s">
        <v>8274</v>
      </c>
      <c r="D4625" t="s">
        <v>19049</v>
      </c>
      <c r="E4625" t="s">
        <v>23210</v>
      </c>
      <c r="F4625" t="s">
        <v>32831</v>
      </c>
      <c r="G4625" t="s">
        <v>32840</v>
      </c>
      <c r="H4625" t="s">
        <v>32848</v>
      </c>
      <c r="I4625" t="s">
        <v>10805</v>
      </c>
      <c r="J4625" t="s">
        <v>35968</v>
      </c>
      <c r="K4625" t="s">
        <v>42731</v>
      </c>
      <c r="M4625" t="s">
        <v>43646</v>
      </c>
      <c r="N4625" t="s">
        <v>47424</v>
      </c>
      <c r="O4625" t="s">
        <v>47425</v>
      </c>
      <c r="P4625">
        <v>0</v>
      </c>
      <c r="Q4625">
        <v>0</v>
      </c>
      <c r="R4625" t="s">
        <v>47430</v>
      </c>
      <c r="S4625" t="s">
        <v>47549</v>
      </c>
      <c r="T4625" t="s">
        <v>49237</v>
      </c>
      <c r="U4625" t="s">
        <v>53599</v>
      </c>
      <c r="W4625" t="s">
        <v>43646</v>
      </c>
      <c r="X4625" t="s">
        <v>47431</v>
      </c>
    </row>
    <row r="4626" spans="1:24">
      <c r="A4626">
        <f>HYPERLINK("https://www.philgeps.gov.ph/GEPSNONPILOT/Tender/SplashBidNoticeAbstractUI.aspx?menuIndex=3&amp;refID=7159734&amp;Result=3","7159734")</f>
        <v>0</v>
      </c>
      <c r="B4626" t="s">
        <v>1487</v>
      </c>
      <c r="C4626" t="s">
        <v>8275</v>
      </c>
      <c r="D4626" t="s">
        <v>19047</v>
      </c>
      <c r="E4626" t="s">
        <v>23211</v>
      </c>
      <c r="F4626" t="s">
        <v>32831</v>
      </c>
      <c r="G4626" t="s">
        <v>32838</v>
      </c>
      <c r="H4626" t="s">
        <v>32848</v>
      </c>
      <c r="I4626" t="s">
        <v>9577</v>
      </c>
      <c r="J4626" t="s">
        <v>33018</v>
      </c>
      <c r="K4626" t="s">
        <v>42758</v>
      </c>
      <c r="M4626" t="s">
        <v>44672</v>
      </c>
      <c r="N4626" t="s">
        <v>47424</v>
      </c>
      <c r="O4626" t="s">
        <v>47425</v>
      </c>
      <c r="P4626">
        <v>0</v>
      </c>
      <c r="Q4626">
        <v>1</v>
      </c>
      <c r="R4626" t="s">
        <v>47430</v>
      </c>
      <c r="S4626" t="s">
        <v>47549</v>
      </c>
      <c r="T4626" t="s">
        <v>49229</v>
      </c>
      <c r="U4626" t="s">
        <v>53600</v>
      </c>
      <c r="W4626" t="s">
        <v>44672</v>
      </c>
      <c r="X4626" t="s">
        <v>47431</v>
      </c>
    </row>
    <row r="4627" spans="1:24">
      <c r="A4627">
        <f>HYPERLINK("https://www.philgeps.gov.ph/GEPSNONPILOT/Tender/SplashBidNoticeAbstractUI.aspx?menuIndex=3&amp;refID=7159727&amp;Result=3","7159727")</f>
        <v>0</v>
      </c>
      <c r="B4627" t="s">
        <v>1823</v>
      </c>
      <c r="C4627" t="s">
        <v>8276</v>
      </c>
      <c r="D4627" t="s">
        <v>19100</v>
      </c>
      <c r="E4627" t="s">
        <v>23212</v>
      </c>
      <c r="F4627" t="s">
        <v>32831</v>
      </c>
      <c r="G4627" t="s">
        <v>32841</v>
      </c>
      <c r="H4627" t="s">
        <v>32848</v>
      </c>
      <c r="I4627" t="s">
        <v>4435</v>
      </c>
      <c r="J4627" t="s">
        <v>35969</v>
      </c>
      <c r="K4627" t="s">
        <v>42727</v>
      </c>
      <c r="M4627" t="s">
        <v>44956</v>
      </c>
      <c r="N4627" t="s">
        <v>47424</v>
      </c>
      <c r="O4627" t="s">
        <v>47425</v>
      </c>
      <c r="P4627">
        <v>0</v>
      </c>
      <c r="Q4627">
        <v>1</v>
      </c>
      <c r="R4627" t="s">
        <v>47430</v>
      </c>
      <c r="S4627" t="s">
        <v>47549</v>
      </c>
      <c r="T4627" t="s">
        <v>49243</v>
      </c>
      <c r="U4627" t="s">
        <v>53601</v>
      </c>
      <c r="W4627" t="s">
        <v>44956</v>
      </c>
      <c r="X4627" t="s">
        <v>47431</v>
      </c>
    </row>
    <row r="4628" spans="1:24">
      <c r="A4628">
        <f>HYPERLINK("https://www.philgeps.gov.ph/GEPSNONPILOT/Tender/SplashBidNoticeAbstractUI.aspx?menuIndex=3&amp;refID=7159735&amp;Result=3","7159735")</f>
        <v>0</v>
      </c>
      <c r="B4628" t="s">
        <v>920</v>
      </c>
      <c r="C4628" t="s">
        <v>8277</v>
      </c>
      <c r="E4628" t="s">
        <v>23213</v>
      </c>
      <c r="F4628" t="s">
        <v>32831</v>
      </c>
      <c r="G4628" t="s">
        <v>32839</v>
      </c>
      <c r="H4628" t="s">
        <v>32849</v>
      </c>
      <c r="I4628" t="s">
        <v>4177</v>
      </c>
      <c r="J4628" t="s">
        <v>35970</v>
      </c>
      <c r="K4628" t="s">
        <v>42732</v>
      </c>
      <c r="M4628" t="s">
        <v>43961</v>
      </c>
      <c r="N4628" t="s">
        <v>47424</v>
      </c>
      <c r="O4628" t="s">
        <v>47425</v>
      </c>
      <c r="P4628">
        <v>0</v>
      </c>
      <c r="Q4628">
        <v>1</v>
      </c>
      <c r="R4628" t="s">
        <v>47430</v>
      </c>
      <c r="S4628" t="s">
        <v>47549</v>
      </c>
      <c r="T4628" t="s">
        <v>49185</v>
      </c>
      <c r="U4628" t="s">
        <v>53602</v>
      </c>
      <c r="V4628" t="s">
        <v>62833</v>
      </c>
      <c r="W4628" t="s">
        <v>43961</v>
      </c>
      <c r="X4628" t="s">
        <v>47431</v>
      </c>
    </row>
    <row r="4629" spans="1:24">
      <c r="A4629">
        <f>HYPERLINK("https://www.philgeps.gov.ph/GEPSNONPILOT/Tender/SplashBidNoticeAbstractUI.aspx?menuIndex=3&amp;refID=7159724&amp;Result=3","7159724")</f>
        <v>0</v>
      </c>
      <c r="B4629" t="s">
        <v>669</v>
      </c>
      <c r="C4629" t="s">
        <v>5283</v>
      </c>
      <c r="D4629" t="s">
        <v>19022</v>
      </c>
      <c r="E4629" t="s">
        <v>23214</v>
      </c>
      <c r="F4629" t="s">
        <v>32831</v>
      </c>
      <c r="G4629" t="s">
        <v>32838</v>
      </c>
      <c r="H4629" t="s">
        <v>32848</v>
      </c>
      <c r="I4629" t="s">
        <v>9577</v>
      </c>
      <c r="J4629" t="s">
        <v>33025</v>
      </c>
      <c r="K4629" t="s">
        <v>42726</v>
      </c>
      <c r="M4629" t="s">
        <v>43688</v>
      </c>
      <c r="N4629" t="s">
        <v>47424</v>
      </c>
      <c r="O4629" t="s">
        <v>47425</v>
      </c>
      <c r="P4629">
        <v>0</v>
      </c>
      <c r="Q4629">
        <v>0</v>
      </c>
      <c r="R4629" t="s">
        <v>47430</v>
      </c>
      <c r="S4629" t="s">
        <v>47549</v>
      </c>
      <c r="T4629" t="s">
        <v>49214</v>
      </c>
      <c r="U4629" t="s">
        <v>53603</v>
      </c>
      <c r="W4629" t="s">
        <v>43688</v>
      </c>
      <c r="X4629" t="s">
        <v>47431</v>
      </c>
    </row>
    <row r="4630" spans="1:24">
      <c r="A4630">
        <f>HYPERLINK("https://www.philgeps.gov.ph/GEPSNONPILOT/Tender/SplashBidNoticeAbstractUI.aspx?menuIndex=3&amp;refID=7159720&amp;Result=3","7159720")</f>
        <v>0</v>
      </c>
      <c r="B4630" t="s">
        <v>1823</v>
      </c>
      <c r="C4630" t="s">
        <v>8278</v>
      </c>
      <c r="D4630" t="s">
        <v>19100</v>
      </c>
      <c r="E4630" t="s">
        <v>23215</v>
      </c>
      <c r="F4630" t="s">
        <v>32831</v>
      </c>
      <c r="G4630" t="s">
        <v>32841</v>
      </c>
      <c r="H4630" t="s">
        <v>32848</v>
      </c>
      <c r="I4630" t="s">
        <v>7416</v>
      </c>
      <c r="J4630" t="s">
        <v>35971</v>
      </c>
      <c r="K4630" t="s">
        <v>42727</v>
      </c>
      <c r="M4630" t="s">
        <v>44956</v>
      </c>
      <c r="N4630" t="s">
        <v>47424</v>
      </c>
      <c r="O4630" t="s">
        <v>47425</v>
      </c>
      <c r="P4630">
        <v>0</v>
      </c>
      <c r="Q4630">
        <v>0</v>
      </c>
      <c r="R4630" t="s">
        <v>47430</v>
      </c>
      <c r="S4630" t="s">
        <v>47549</v>
      </c>
      <c r="T4630" t="s">
        <v>49243</v>
      </c>
      <c r="U4630" t="s">
        <v>53604</v>
      </c>
      <c r="W4630" t="s">
        <v>44956</v>
      </c>
      <c r="X4630" t="s">
        <v>47431</v>
      </c>
    </row>
    <row r="4631" spans="1:24">
      <c r="A4631">
        <f>HYPERLINK("https://www.philgeps.gov.ph/GEPSNONPILOT/Tender/SplashBidNoticeAbstractUI.aspx?menuIndex=3&amp;refID=7159733&amp;Result=3","7159733")</f>
        <v>0</v>
      </c>
      <c r="B4631" t="s">
        <v>1824</v>
      </c>
      <c r="C4631" t="s">
        <v>8279</v>
      </c>
      <c r="D4631" t="s">
        <v>19042</v>
      </c>
      <c r="E4631" t="s">
        <v>23216</v>
      </c>
      <c r="F4631" t="s">
        <v>32831</v>
      </c>
      <c r="G4631" t="s">
        <v>32838</v>
      </c>
      <c r="H4631" t="s">
        <v>32848</v>
      </c>
      <c r="I4631" t="s">
        <v>4438</v>
      </c>
      <c r="J4631" t="s">
        <v>35972</v>
      </c>
      <c r="K4631" t="s">
        <v>42727</v>
      </c>
      <c r="M4631" t="s">
        <v>44957</v>
      </c>
      <c r="N4631" t="s">
        <v>47424</v>
      </c>
      <c r="O4631" t="s">
        <v>47425</v>
      </c>
      <c r="P4631">
        <v>0</v>
      </c>
      <c r="Q4631">
        <v>0</v>
      </c>
      <c r="R4631" t="s">
        <v>47430</v>
      </c>
      <c r="S4631" t="s">
        <v>47549</v>
      </c>
      <c r="T4631" t="s">
        <v>49214</v>
      </c>
      <c r="U4631" t="s">
        <v>53605</v>
      </c>
      <c r="W4631" t="s">
        <v>44957</v>
      </c>
      <c r="X4631" t="s">
        <v>47431</v>
      </c>
    </row>
    <row r="4632" spans="1:24">
      <c r="A4632">
        <f>HYPERLINK("https://www.philgeps.gov.ph/GEPSNONPILOT/Tender/SplashBidNoticeAbstractUI.aspx?menuIndex=3&amp;refID=7159717&amp;Result=3","7159717")</f>
        <v>0</v>
      </c>
      <c r="B4632" t="s">
        <v>1822</v>
      </c>
      <c r="C4632" t="s">
        <v>8269</v>
      </c>
      <c r="D4632" t="s">
        <v>19017</v>
      </c>
      <c r="E4632" t="s">
        <v>23217</v>
      </c>
      <c r="F4632" t="s">
        <v>32831</v>
      </c>
      <c r="G4632" t="s">
        <v>32839</v>
      </c>
      <c r="H4632" t="s">
        <v>32848</v>
      </c>
      <c r="I4632" t="s">
        <v>32857</v>
      </c>
      <c r="J4632" t="s">
        <v>35973</v>
      </c>
      <c r="K4632" t="s">
        <v>42727</v>
      </c>
      <c r="M4632" t="s">
        <v>44955</v>
      </c>
      <c r="N4632" t="s">
        <v>47424</v>
      </c>
      <c r="O4632" t="s">
        <v>47425</v>
      </c>
      <c r="P4632">
        <v>0</v>
      </c>
      <c r="Q4632">
        <v>1</v>
      </c>
      <c r="R4632" t="s">
        <v>47430</v>
      </c>
      <c r="S4632" t="s">
        <v>47549</v>
      </c>
      <c r="T4632" t="s">
        <v>49267</v>
      </c>
      <c r="U4632" t="s">
        <v>53606</v>
      </c>
      <c r="W4632" t="s">
        <v>44955</v>
      </c>
      <c r="X4632" t="s">
        <v>47431</v>
      </c>
    </row>
    <row r="4633" spans="1:24">
      <c r="A4633">
        <f>HYPERLINK("https://www.philgeps.gov.ph/GEPSNONPILOT/Tender/SplashBidNoticeAbstractUI.aspx?menuIndex=3&amp;refID=7159725&amp;Result=3","7159725")</f>
        <v>0</v>
      </c>
      <c r="B4633" t="s">
        <v>1825</v>
      </c>
      <c r="C4633" t="s">
        <v>8280</v>
      </c>
      <c r="D4633" t="s">
        <v>19027</v>
      </c>
      <c r="E4633" t="s">
        <v>23218</v>
      </c>
      <c r="F4633" t="s">
        <v>32832</v>
      </c>
      <c r="G4633" t="s">
        <v>32839</v>
      </c>
      <c r="H4633" t="s">
        <v>32848</v>
      </c>
      <c r="I4633" t="s">
        <v>32858</v>
      </c>
      <c r="J4633" t="s">
        <v>35974</v>
      </c>
      <c r="K4633" t="s">
        <v>42732</v>
      </c>
      <c r="M4633" t="s">
        <v>44958</v>
      </c>
      <c r="N4633" t="s">
        <v>47424</v>
      </c>
      <c r="O4633" t="s">
        <v>47425</v>
      </c>
      <c r="P4633">
        <v>0</v>
      </c>
      <c r="Q4633">
        <v>2</v>
      </c>
      <c r="R4633" t="s">
        <v>47430</v>
      </c>
      <c r="S4633" t="s">
        <v>47549</v>
      </c>
      <c r="T4633" t="s">
        <v>49376</v>
      </c>
      <c r="U4633" t="s">
        <v>53607</v>
      </c>
      <c r="W4633" t="s">
        <v>44958</v>
      </c>
      <c r="X4633" t="s">
        <v>47431</v>
      </c>
    </row>
    <row r="4634" spans="1:24">
      <c r="A4634">
        <f>HYPERLINK("https://www.philgeps.gov.ph/GEPSNONPILOT/Tender/SplashBidNoticeAbstractUI.aspx?menuIndex=3&amp;refID=7159780&amp;Result=3","7159780")</f>
        <v>0</v>
      </c>
      <c r="B4634" t="s">
        <v>1826</v>
      </c>
      <c r="C4634" t="s">
        <v>8281</v>
      </c>
      <c r="D4634" t="s">
        <v>19045</v>
      </c>
      <c r="E4634" t="s">
        <v>19351</v>
      </c>
      <c r="F4634" t="s">
        <v>32831</v>
      </c>
      <c r="G4634" t="s">
        <v>32839</v>
      </c>
      <c r="H4634" t="s">
        <v>32849</v>
      </c>
      <c r="I4634" t="s">
        <v>4177</v>
      </c>
      <c r="J4634" t="s">
        <v>35975</v>
      </c>
      <c r="K4634" t="s">
        <v>42730</v>
      </c>
      <c r="M4634" t="s">
        <v>44959</v>
      </c>
      <c r="N4634" t="s">
        <v>47424</v>
      </c>
      <c r="O4634" t="s">
        <v>47425</v>
      </c>
      <c r="P4634">
        <v>0</v>
      </c>
      <c r="Q4634">
        <v>0</v>
      </c>
      <c r="R4634" t="s">
        <v>47430</v>
      </c>
      <c r="S4634" t="s">
        <v>47549</v>
      </c>
      <c r="T4634" t="s">
        <v>49398</v>
      </c>
      <c r="U4634" t="s">
        <v>53608</v>
      </c>
      <c r="W4634" t="s">
        <v>44959</v>
      </c>
      <c r="X4634" t="s">
        <v>47431</v>
      </c>
    </row>
    <row r="4635" spans="1:24">
      <c r="A4635">
        <f>HYPERLINK("https://www.philgeps.gov.ph/GEPSNONPILOT/Tender/SplashBidNoticeAbstractUI.aspx?menuIndex=3&amp;refID=7159777&amp;Result=3","7159777")</f>
        <v>0</v>
      </c>
      <c r="B4635" t="s">
        <v>967</v>
      </c>
      <c r="C4635" t="s">
        <v>8282</v>
      </c>
      <c r="E4635" t="s">
        <v>23219</v>
      </c>
      <c r="F4635" t="s">
        <v>32831</v>
      </c>
      <c r="G4635" t="s">
        <v>32839</v>
      </c>
      <c r="H4635" t="s">
        <v>14069</v>
      </c>
      <c r="I4635" t="s">
        <v>14069</v>
      </c>
      <c r="J4635" t="s">
        <v>35976</v>
      </c>
      <c r="K4635" t="s">
        <v>42732</v>
      </c>
      <c r="M4635" t="s">
        <v>44013</v>
      </c>
      <c r="N4635" t="s">
        <v>47424</v>
      </c>
      <c r="O4635" t="s">
        <v>47425</v>
      </c>
      <c r="P4635">
        <v>0</v>
      </c>
      <c r="Q4635">
        <v>2</v>
      </c>
      <c r="R4635" t="s">
        <v>47430</v>
      </c>
      <c r="S4635" t="s">
        <v>47549</v>
      </c>
      <c r="T4635" t="s">
        <v>49073</v>
      </c>
      <c r="U4635" t="s">
        <v>53609</v>
      </c>
      <c r="V4635" t="s">
        <v>63143</v>
      </c>
      <c r="W4635" t="s">
        <v>64451</v>
      </c>
      <c r="X4635" t="s">
        <v>47431</v>
      </c>
    </row>
    <row r="4636" spans="1:24">
      <c r="A4636">
        <f>HYPERLINK("https://www.philgeps.gov.ph/GEPSNONPILOT/Tender/SplashBidNoticeAbstractUI.aspx?menuIndex=3&amp;refID=7159736&amp;Result=3","7159736")</f>
        <v>0</v>
      </c>
      <c r="B4636" t="s">
        <v>1811</v>
      </c>
      <c r="C4636" t="s">
        <v>8283</v>
      </c>
      <c r="D4636" t="s">
        <v>19027</v>
      </c>
      <c r="E4636" t="s">
        <v>23220</v>
      </c>
      <c r="F4636" t="s">
        <v>32831</v>
      </c>
      <c r="G4636" t="s">
        <v>32838</v>
      </c>
      <c r="H4636" t="s">
        <v>32849</v>
      </c>
      <c r="I4636" t="s">
        <v>4177</v>
      </c>
      <c r="J4636" t="s">
        <v>35977</v>
      </c>
      <c r="K4636" t="s">
        <v>42730</v>
      </c>
      <c r="M4636" t="s">
        <v>44944</v>
      </c>
      <c r="N4636" t="s">
        <v>47424</v>
      </c>
      <c r="O4636" t="s">
        <v>47425</v>
      </c>
      <c r="P4636">
        <v>0</v>
      </c>
      <c r="Q4636">
        <v>1</v>
      </c>
      <c r="R4636" t="s">
        <v>47430</v>
      </c>
      <c r="S4636" t="s">
        <v>47549</v>
      </c>
      <c r="T4636" t="s">
        <v>49119</v>
      </c>
      <c r="U4636" t="s">
        <v>53610</v>
      </c>
      <c r="W4636" t="s">
        <v>44944</v>
      </c>
      <c r="X4636" t="s">
        <v>47431</v>
      </c>
    </row>
    <row r="4637" spans="1:24">
      <c r="A4637">
        <f>HYPERLINK("https://www.philgeps.gov.ph/GEPSNONPILOT/Tender/SplashBidNoticeAbstractUI.aspx?menuIndex=3&amp;refID=7159774&amp;Result=3","7159774")</f>
        <v>0</v>
      </c>
      <c r="B4637" t="s">
        <v>663</v>
      </c>
      <c r="C4637" t="s">
        <v>8284</v>
      </c>
      <c r="D4637" t="s">
        <v>19026</v>
      </c>
      <c r="E4637" t="s">
        <v>23221</v>
      </c>
      <c r="F4637" t="s">
        <v>32831</v>
      </c>
      <c r="G4637" t="s">
        <v>32840</v>
      </c>
      <c r="H4637" t="s">
        <v>32848</v>
      </c>
      <c r="I4637" t="s">
        <v>32864</v>
      </c>
      <c r="J4637" t="s">
        <v>35978</v>
      </c>
      <c r="K4637" t="s">
        <v>42732</v>
      </c>
      <c r="M4637" t="s">
        <v>43681</v>
      </c>
      <c r="N4637" t="s">
        <v>47424</v>
      </c>
      <c r="O4637" t="s">
        <v>47425</v>
      </c>
      <c r="P4637">
        <v>0</v>
      </c>
      <c r="Q4637">
        <v>4</v>
      </c>
      <c r="R4637" t="s">
        <v>47430</v>
      </c>
      <c r="S4637" t="s">
        <v>47549</v>
      </c>
      <c r="T4637" t="s">
        <v>49177</v>
      </c>
      <c r="U4637" t="s">
        <v>49728</v>
      </c>
      <c r="W4637" t="s">
        <v>43681</v>
      </c>
      <c r="X4637" t="s">
        <v>47431</v>
      </c>
    </row>
    <row r="4638" spans="1:24">
      <c r="A4638">
        <f>HYPERLINK("https://www.philgeps.gov.ph/GEPSNONPILOT/Tender/SplashBidNoticeAbstractUI.aspx?menuIndex=3&amp;refID=7159771&amp;Result=3","7159771")</f>
        <v>0</v>
      </c>
      <c r="B4638" t="s">
        <v>1827</v>
      </c>
      <c r="C4638" t="s">
        <v>8285</v>
      </c>
      <c r="E4638" t="s">
        <v>19983</v>
      </c>
      <c r="F4638" t="s">
        <v>32831</v>
      </c>
      <c r="G4638" t="s">
        <v>32844</v>
      </c>
      <c r="H4638" t="s">
        <v>14069</v>
      </c>
      <c r="I4638" t="s">
        <v>32863</v>
      </c>
      <c r="J4638" t="s">
        <v>35979</v>
      </c>
      <c r="K4638" t="s">
        <v>42763</v>
      </c>
      <c r="M4638" t="s">
        <v>44960</v>
      </c>
      <c r="N4638" t="s">
        <v>47424</v>
      </c>
      <c r="O4638" t="s">
        <v>47425</v>
      </c>
      <c r="P4638">
        <v>0</v>
      </c>
      <c r="Q4638">
        <v>0</v>
      </c>
      <c r="R4638" t="s">
        <v>47430</v>
      </c>
      <c r="S4638" t="s">
        <v>47549</v>
      </c>
      <c r="T4638" t="s">
        <v>49119</v>
      </c>
      <c r="U4638" t="s">
        <v>53611</v>
      </c>
      <c r="W4638" t="s">
        <v>44960</v>
      </c>
      <c r="X4638" t="s">
        <v>47431</v>
      </c>
    </row>
    <row r="4639" spans="1:24">
      <c r="A4639">
        <f>HYPERLINK("https://www.philgeps.gov.ph/GEPSNONPILOT/Tender/SplashBidNoticeAbstractUI.aspx?menuIndex=3&amp;refID=7159779&amp;Result=3","7159779")</f>
        <v>0</v>
      </c>
      <c r="B4639" t="s">
        <v>1679</v>
      </c>
      <c r="C4639" t="s">
        <v>8286</v>
      </c>
      <c r="D4639" t="s">
        <v>19052</v>
      </c>
      <c r="E4639" t="s">
        <v>23222</v>
      </c>
      <c r="F4639" t="s">
        <v>32831</v>
      </c>
      <c r="G4639" t="s">
        <v>32839</v>
      </c>
      <c r="H4639" t="s">
        <v>32849</v>
      </c>
      <c r="I4639" t="s">
        <v>4177</v>
      </c>
      <c r="J4639" t="s">
        <v>35980</v>
      </c>
      <c r="K4639" t="s">
        <v>42730</v>
      </c>
      <c r="M4639" t="s">
        <v>44797</v>
      </c>
      <c r="N4639" t="s">
        <v>47424</v>
      </c>
      <c r="O4639" t="s">
        <v>47425</v>
      </c>
      <c r="P4639">
        <v>0</v>
      </c>
      <c r="Q4639">
        <v>2</v>
      </c>
      <c r="R4639" t="s">
        <v>47430</v>
      </c>
      <c r="S4639" t="s">
        <v>47549</v>
      </c>
      <c r="T4639" t="s">
        <v>49198</v>
      </c>
      <c r="U4639" t="s">
        <v>53612</v>
      </c>
      <c r="V4639" t="s">
        <v>63135</v>
      </c>
      <c r="W4639" t="s">
        <v>44797</v>
      </c>
      <c r="X4639" t="s">
        <v>47431</v>
      </c>
    </row>
    <row r="4640" spans="1:24">
      <c r="A4640">
        <f>HYPERLINK("https://www.philgeps.gov.ph/GEPSNONPILOT/Tender/SplashBidNoticeAbstractUI.aspx?menuIndex=3&amp;refID=7159770&amp;Result=3","7159770")</f>
        <v>0</v>
      </c>
      <c r="B4640" t="s">
        <v>877</v>
      </c>
      <c r="C4640" t="s">
        <v>8287</v>
      </c>
      <c r="D4640" t="s">
        <v>19018</v>
      </c>
      <c r="E4640" t="s">
        <v>23223</v>
      </c>
      <c r="F4640" t="s">
        <v>32831</v>
      </c>
      <c r="G4640" t="s">
        <v>32838</v>
      </c>
      <c r="H4640" t="s">
        <v>32848</v>
      </c>
      <c r="I4640" t="s">
        <v>10805</v>
      </c>
      <c r="J4640" t="s">
        <v>33484</v>
      </c>
      <c r="K4640" t="s">
        <v>42730</v>
      </c>
      <c r="M4640" t="s">
        <v>43911</v>
      </c>
      <c r="N4640" t="s">
        <v>47424</v>
      </c>
      <c r="O4640" t="s">
        <v>47425</v>
      </c>
      <c r="P4640">
        <v>0</v>
      </c>
      <c r="Q4640">
        <v>2</v>
      </c>
      <c r="R4640" t="s">
        <v>47430</v>
      </c>
      <c r="S4640" t="s">
        <v>47549</v>
      </c>
      <c r="T4640" t="s">
        <v>49399</v>
      </c>
      <c r="U4640" t="s">
        <v>53613</v>
      </c>
      <c r="W4640" t="s">
        <v>43911</v>
      </c>
      <c r="X4640" t="s">
        <v>47431</v>
      </c>
    </row>
    <row r="4641" spans="1:24">
      <c r="A4641">
        <f>HYPERLINK("https://www.philgeps.gov.ph/GEPSNONPILOT/Tender/SplashBidNoticeAbstractUI.aspx?menuIndex=3&amp;refID=7159769&amp;Result=3","7159769")</f>
        <v>0</v>
      </c>
      <c r="B4641" t="s">
        <v>1411</v>
      </c>
      <c r="C4641" t="s">
        <v>8288</v>
      </c>
      <c r="D4641" t="s">
        <v>19079</v>
      </c>
      <c r="E4641" t="s">
        <v>23224</v>
      </c>
      <c r="F4641" t="s">
        <v>32831</v>
      </c>
      <c r="G4641" t="s">
        <v>32839</v>
      </c>
      <c r="H4641" t="s">
        <v>32849</v>
      </c>
      <c r="I4641" t="s">
        <v>4177</v>
      </c>
      <c r="J4641" t="s">
        <v>35981</v>
      </c>
      <c r="K4641" t="s">
        <v>42866</v>
      </c>
      <c r="M4641" t="s">
        <v>44498</v>
      </c>
      <c r="N4641" t="s">
        <v>47424</v>
      </c>
      <c r="O4641" t="s">
        <v>47425</v>
      </c>
      <c r="P4641">
        <v>0</v>
      </c>
      <c r="Q4641">
        <v>1</v>
      </c>
      <c r="R4641" t="s">
        <v>47430</v>
      </c>
      <c r="S4641" t="s">
        <v>47549</v>
      </c>
      <c r="T4641" t="s">
        <v>49340</v>
      </c>
      <c r="U4641" t="s">
        <v>53614</v>
      </c>
      <c r="W4641" t="s">
        <v>44498</v>
      </c>
      <c r="X4641" t="s">
        <v>47431</v>
      </c>
    </row>
    <row r="4642" spans="1:24">
      <c r="A4642">
        <f>HYPERLINK("https://www.philgeps.gov.ph/GEPSNONPILOT/Tender/SplashBidNoticeAbstractUI.aspx?menuIndex=3&amp;refID=7159766&amp;Result=3","7159766")</f>
        <v>0</v>
      </c>
      <c r="B4642" t="s">
        <v>144</v>
      </c>
      <c r="C4642" t="s">
        <v>4177</v>
      </c>
      <c r="D4642" t="s">
        <v>19066</v>
      </c>
      <c r="E4642" t="s">
        <v>23225</v>
      </c>
      <c r="F4642" t="s">
        <v>32831</v>
      </c>
      <c r="G4642" t="s">
        <v>32839</v>
      </c>
      <c r="H4642" t="s">
        <v>32849</v>
      </c>
      <c r="I4642" t="s">
        <v>4177</v>
      </c>
      <c r="J4642" t="s">
        <v>35982</v>
      </c>
      <c r="K4642" t="s">
        <v>42732</v>
      </c>
      <c r="M4642" t="s">
        <v>43141</v>
      </c>
      <c r="N4642" t="s">
        <v>47424</v>
      </c>
      <c r="O4642" t="s">
        <v>47425</v>
      </c>
      <c r="P4642">
        <v>0</v>
      </c>
      <c r="Q4642">
        <v>0</v>
      </c>
      <c r="R4642" t="s">
        <v>47430</v>
      </c>
      <c r="S4642" t="s">
        <v>47549</v>
      </c>
      <c r="T4642" t="s">
        <v>49274</v>
      </c>
      <c r="U4642" t="s">
        <v>53615</v>
      </c>
      <c r="W4642" t="s">
        <v>43141</v>
      </c>
      <c r="X4642" t="s">
        <v>47431</v>
      </c>
    </row>
    <row r="4643" spans="1:24">
      <c r="A4643">
        <f>HYPERLINK("https://www.philgeps.gov.ph/GEPSNONPILOT/Tender/SplashBidNoticeAbstractUI.aspx?menuIndex=3&amp;refID=7159739&amp;Result=3","7159739")</f>
        <v>0</v>
      </c>
      <c r="B4643" t="s">
        <v>669</v>
      </c>
      <c r="C4643" t="s">
        <v>5283</v>
      </c>
      <c r="D4643" t="s">
        <v>19022</v>
      </c>
      <c r="E4643" t="s">
        <v>23226</v>
      </c>
      <c r="F4643" t="s">
        <v>32831</v>
      </c>
      <c r="G4643" t="s">
        <v>32838</v>
      </c>
      <c r="H4643" t="s">
        <v>32848</v>
      </c>
      <c r="I4643" t="s">
        <v>4487</v>
      </c>
      <c r="J4643" t="s">
        <v>33133</v>
      </c>
      <c r="K4643" t="s">
        <v>42726</v>
      </c>
      <c r="M4643" t="s">
        <v>43688</v>
      </c>
      <c r="N4643" t="s">
        <v>47424</v>
      </c>
      <c r="O4643" t="s">
        <v>47425</v>
      </c>
      <c r="P4643">
        <v>0</v>
      </c>
      <c r="Q4643">
        <v>0</v>
      </c>
      <c r="R4643" t="s">
        <v>47430</v>
      </c>
      <c r="S4643" t="s">
        <v>47549</v>
      </c>
      <c r="T4643" t="s">
        <v>49214</v>
      </c>
      <c r="U4643" t="s">
        <v>53616</v>
      </c>
      <c r="W4643" t="s">
        <v>43688</v>
      </c>
      <c r="X4643" t="s">
        <v>47431</v>
      </c>
    </row>
    <row r="4644" spans="1:24">
      <c r="A4644">
        <f>HYPERLINK("https://www.philgeps.gov.ph/GEPSNONPILOT/Tender/SplashBidNoticeAbstractUI.aspx?menuIndex=3&amp;refID=7159719&amp;Result=3","7159719")</f>
        <v>0</v>
      </c>
      <c r="B4644" t="s">
        <v>629</v>
      </c>
      <c r="C4644" t="s">
        <v>8289</v>
      </c>
      <c r="D4644" t="s">
        <v>19049</v>
      </c>
      <c r="E4644" t="s">
        <v>23227</v>
      </c>
      <c r="F4644" t="s">
        <v>32831</v>
      </c>
      <c r="G4644" t="s">
        <v>32840</v>
      </c>
      <c r="H4644" t="s">
        <v>32848</v>
      </c>
      <c r="I4644" t="s">
        <v>32860</v>
      </c>
      <c r="J4644" t="s">
        <v>35983</v>
      </c>
      <c r="K4644" t="s">
        <v>42731</v>
      </c>
      <c r="M4644" t="s">
        <v>43646</v>
      </c>
      <c r="N4644" t="s">
        <v>47424</v>
      </c>
      <c r="O4644" t="s">
        <v>47425</v>
      </c>
      <c r="P4644">
        <v>0</v>
      </c>
      <c r="Q4644">
        <v>0</v>
      </c>
      <c r="R4644" t="s">
        <v>47430</v>
      </c>
      <c r="S4644" t="s">
        <v>47549</v>
      </c>
      <c r="T4644" t="s">
        <v>49237</v>
      </c>
      <c r="U4644" t="s">
        <v>53617</v>
      </c>
      <c r="W4644" t="s">
        <v>43646</v>
      </c>
      <c r="X4644" t="s">
        <v>47431</v>
      </c>
    </row>
    <row r="4645" spans="1:24">
      <c r="A4645">
        <f>HYPERLINK("https://www.philgeps.gov.ph/GEPSNONPILOT/Tender/SplashBidNoticeAbstractUI.aspx?menuIndex=3&amp;refID=7159816&amp;Result=3","7159816")</f>
        <v>0</v>
      </c>
      <c r="B4645" t="s">
        <v>1828</v>
      </c>
      <c r="C4645" t="s">
        <v>4672</v>
      </c>
      <c r="D4645" t="s">
        <v>19025</v>
      </c>
      <c r="E4645" t="s">
        <v>19311</v>
      </c>
      <c r="F4645" t="s">
        <v>32831</v>
      </c>
      <c r="G4645" t="s">
        <v>32839</v>
      </c>
      <c r="H4645" t="s">
        <v>32849</v>
      </c>
      <c r="I4645" t="s">
        <v>4177</v>
      </c>
      <c r="J4645" t="s">
        <v>32980</v>
      </c>
      <c r="K4645" t="s">
        <v>42745</v>
      </c>
      <c r="M4645" t="s">
        <v>44961</v>
      </c>
      <c r="N4645" t="s">
        <v>47424</v>
      </c>
      <c r="O4645" t="s">
        <v>47425</v>
      </c>
      <c r="P4645">
        <v>0</v>
      </c>
      <c r="Q4645">
        <v>0</v>
      </c>
      <c r="R4645" t="s">
        <v>47430</v>
      </c>
      <c r="S4645" t="s">
        <v>47549</v>
      </c>
      <c r="T4645" t="s">
        <v>49104</v>
      </c>
      <c r="U4645" t="s">
        <v>53618</v>
      </c>
      <c r="W4645" t="s">
        <v>44961</v>
      </c>
      <c r="X4645" t="s">
        <v>47431</v>
      </c>
    </row>
    <row r="4646" spans="1:24">
      <c r="A4646">
        <f>HYPERLINK("https://www.philgeps.gov.ph/GEPSNONPILOT/Tender/SplashBidNoticeAbstractUI.aspx?menuIndex=3&amp;refID=7159815&amp;Result=3","7159815")</f>
        <v>0</v>
      </c>
      <c r="B4646" t="s">
        <v>1829</v>
      </c>
      <c r="C4646" t="s">
        <v>4255</v>
      </c>
      <c r="D4646" t="s">
        <v>19057</v>
      </c>
      <c r="E4646" t="s">
        <v>23228</v>
      </c>
      <c r="F4646" t="s">
        <v>32831</v>
      </c>
      <c r="G4646" t="s">
        <v>32839</v>
      </c>
      <c r="H4646" t="s">
        <v>32849</v>
      </c>
      <c r="I4646" t="s">
        <v>4177</v>
      </c>
      <c r="J4646" t="s">
        <v>35984</v>
      </c>
      <c r="K4646" t="s">
        <v>42763</v>
      </c>
      <c r="M4646" t="s">
        <v>44962</v>
      </c>
      <c r="N4646" t="s">
        <v>47424</v>
      </c>
      <c r="O4646" t="s">
        <v>47425</v>
      </c>
      <c r="P4646">
        <v>0</v>
      </c>
      <c r="Q4646">
        <v>0</v>
      </c>
      <c r="R4646" t="s">
        <v>47430</v>
      </c>
      <c r="S4646" t="s">
        <v>47549</v>
      </c>
      <c r="T4646" t="s">
        <v>49073</v>
      </c>
      <c r="U4646" t="s">
        <v>53619</v>
      </c>
      <c r="W4646" t="s">
        <v>44962</v>
      </c>
      <c r="X4646" t="s">
        <v>47431</v>
      </c>
    </row>
    <row r="4647" spans="1:24">
      <c r="A4647">
        <f>HYPERLINK("https://www.philgeps.gov.ph/GEPSNONPILOT/Tender/SplashBidNoticeAbstractUI.aspx?menuIndex=3&amp;refID=7159767&amp;Result=3","7159767")</f>
        <v>0</v>
      </c>
      <c r="B4647" t="s">
        <v>1806</v>
      </c>
      <c r="C4647" t="s">
        <v>8290</v>
      </c>
      <c r="D4647" t="s">
        <v>19090</v>
      </c>
      <c r="E4647" t="s">
        <v>23229</v>
      </c>
      <c r="F4647" t="s">
        <v>32831</v>
      </c>
      <c r="G4647" t="s">
        <v>32839</v>
      </c>
      <c r="H4647" t="s">
        <v>32849</v>
      </c>
      <c r="I4647" t="s">
        <v>4177</v>
      </c>
      <c r="J4647" t="s">
        <v>35985</v>
      </c>
      <c r="K4647" t="s">
        <v>42865</v>
      </c>
      <c r="M4647" t="s">
        <v>44939</v>
      </c>
      <c r="N4647" t="s">
        <v>47424</v>
      </c>
      <c r="O4647" t="s">
        <v>47425</v>
      </c>
      <c r="P4647">
        <v>0</v>
      </c>
      <c r="Q4647">
        <v>0</v>
      </c>
      <c r="R4647" t="s">
        <v>47430</v>
      </c>
      <c r="S4647" t="s">
        <v>47549</v>
      </c>
      <c r="T4647" t="s">
        <v>49236</v>
      </c>
      <c r="U4647" t="s">
        <v>53544</v>
      </c>
      <c r="W4647" t="s">
        <v>44939</v>
      </c>
      <c r="X4647" t="s">
        <v>47431</v>
      </c>
    </row>
    <row r="4648" spans="1:24">
      <c r="A4648">
        <f>HYPERLINK("https://www.philgeps.gov.ph/GEPSNONPILOT/Tender/SplashBidNoticeAbstractUI.aspx?menuIndex=3&amp;refID=7159814&amp;Result=3","7159814")</f>
        <v>0</v>
      </c>
      <c r="B4648" t="s">
        <v>895</v>
      </c>
      <c r="C4648" t="s">
        <v>8291</v>
      </c>
      <c r="D4648" t="s">
        <v>19036</v>
      </c>
      <c r="E4648" t="s">
        <v>23230</v>
      </c>
      <c r="F4648" t="s">
        <v>32831</v>
      </c>
      <c r="G4648" t="s">
        <v>32842</v>
      </c>
      <c r="H4648" t="s">
        <v>32848</v>
      </c>
      <c r="I4648" t="s">
        <v>32860</v>
      </c>
      <c r="J4648" t="s">
        <v>35986</v>
      </c>
      <c r="K4648" t="s">
        <v>42727</v>
      </c>
      <c r="M4648" t="s">
        <v>44963</v>
      </c>
      <c r="N4648" t="s">
        <v>47424</v>
      </c>
      <c r="O4648" t="s">
        <v>47425</v>
      </c>
      <c r="P4648">
        <v>0</v>
      </c>
      <c r="Q4648">
        <v>2</v>
      </c>
      <c r="R4648" t="s">
        <v>47430</v>
      </c>
      <c r="S4648" t="s">
        <v>47549</v>
      </c>
      <c r="T4648" t="s">
        <v>49206</v>
      </c>
      <c r="U4648" t="s">
        <v>53620</v>
      </c>
      <c r="W4648" t="s">
        <v>44963</v>
      </c>
      <c r="X4648" t="s">
        <v>47431</v>
      </c>
    </row>
    <row r="4649" spans="1:24">
      <c r="A4649">
        <f>HYPERLINK("https://www.philgeps.gov.ph/GEPSNONPILOT/Tender/SplashBidNoticeAbstractUI.aspx?menuIndex=3&amp;refID=7159812&amp;Result=3","7159812")</f>
        <v>0</v>
      </c>
      <c r="B4649" t="s">
        <v>1830</v>
      </c>
      <c r="C4649" t="s">
        <v>8292</v>
      </c>
      <c r="D4649" t="s">
        <v>19043</v>
      </c>
      <c r="E4649" t="s">
        <v>23231</v>
      </c>
      <c r="F4649" t="s">
        <v>32831</v>
      </c>
      <c r="G4649" t="s">
        <v>32839</v>
      </c>
      <c r="H4649" t="s">
        <v>32848</v>
      </c>
      <c r="I4649" t="s">
        <v>10805</v>
      </c>
      <c r="J4649" t="s">
        <v>35987</v>
      </c>
      <c r="K4649" t="s">
        <v>42730</v>
      </c>
      <c r="M4649" t="s">
        <v>44964</v>
      </c>
      <c r="N4649" t="s">
        <v>47424</v>
      </c>
      <c r="O4649" t="s">
        <v>47425</v>
      </c>
      <c r="P4649">
        <v>0</v>
      </c>
      <c r="Q4649">
        <v>3</v>
      </c>
      <c r="R4649" t="s">
        <v>47430</v>
      </c>
      <c r="S4649" t="s">
        <v>47549</v>
      </c>
      <c r="T4649" t="s">
        <v>49073</v>
      </c>
      <c r="U4649" t="s">
        <v>53621</v>
      </c>
      <c r="V4649" t="s">
        <v>63144</v>
      </c>
      <c r="W4649" t="s">
        <v>44964</v>
      </c>
      <c r="X4649" t="s">
        <v>47431</v>
      </c>
    </row>
    <row r="4650" spans="1:24">
      <c r="A4650">
        <f>HYPERLINK("https://www.philgeps.gov.ph/GEPSNONPILOT/Tender/SplashBidNoticeAbstractUI.aspx?menuIndex=3&amp;refID=7159811&amp;Result=3","7159811")</f>
        <v>0</v>
      </c>
      <c r="B4650" t="s">
        <v>33</v>
      </c>
      <c r="C4650" t="s">
        <v>8293</v>
      </c>
      <c r="D4650" t="s">
        <v>19024</v>
      </c>
      <c r="E4650" t="s">
        <v>23232</v>
      </c>
      <c r="F4650" t="s">
        <v>32831</v>
      </c>
      <c r="G4650" t="s">
        <v>32839</v>
      </c>
      <c r="H4650" t="s">
        <v>32848</v>
      </c>
      <c r="I4650" t="s">
        <v>7416</v>
      </c>
      <c r="J4650" t="s">
        <v>35988</v>
      </c>
      <c r="K4650" t="s">
        <v>42730</v>
      </c>
      <c r="M4650" t="s">
        <v>43030</v>
      </c>
      <c r="N4650" t="s">
        <v>47424</v>
      </c>
      <c r="O4650" t="s">
        <v>47425</v>
      </c>
      <c r="P4650">
        <v>0</v>
      </c>
      <c r="Q4650">
        <v>1</v>
      </c>
      <c r="R4650" t="s">
        <v>47430</v>
      </c>
      <c r="S4650" t="s">
        <v>47549</v>
      </c>
      <c r="T4650" t="s">
        <v>49188</v>
      </c>
      <c r="U4650" t="s">
        <v>53622</v>
      </c>
      <c r="W4650" t="s">
        <v>43030</v>
      </c>
      <c r="X4650" t="s">
        <v>47431</v>
      </c>
    </row>
    <row r="4651" spans="1:24">
      <c r="A4651">
        <f>HYPERLINK("https://www.philgeps.gov.ph/GEPSNONPILOT/Tender/SplashBidNoticeAbstractUI.aspx?menuIndex=3&amp;refID=7159801&amp;Result=3","7159801")</f>
        <v>0</v>
      </c>
      <c r="B4651" t="s">
        <v>1762</v>
      </c>
      <c r="C4651" t="s">
        <v>8294</v>
      </c>
      <c r="D4651" t="s">
        <v>19089</v>
      </c>
      <c r="E4651" t="s">
        <v>23233</v>
      </c>
      <c r="F4651" t="s">
        <v>32831</v>
      </c>
      <c r="G4651" t="s">
        <v>32839</v>
      </c>
      <c r="H4651" t="s">
        <v>32848</v>
      </c>
      <c r="I4651" t="s">
        <v>4776</v>
      </c>
      <c r="J4651" t="s">
        <v>33133</v>
      </c>
      <c r="K4651" t="s">
        <v>42731</v>
      </c>
      <c r="M4651" t="s">
        <v>44886</v>
      </c>
      <c r="N4651" t="s">
        <v>47424</v>
      </c>
      <c r="O4651" t="s">
        <v>47425</v>
      </c>
      <c r="P4651">
        <v>0</v>
      </c>
      <c r="Q4651">
        <v>0</v>
      </c>
      <c r="R4651" t="s">
        <v>47430</v>
      </c>
      <c r="S4651" t="s">
        <v>47549</v>
      </c>
      <c r="T4651" t="s">
        <v>49172</v>
      </c>
      <c r="U4651" t="s">
        <v>53623</v>
      </c>
      <c r="W4651" t="s">
        <v>44886</v>
      </c>
      <c r="X4651" t="s">
        <v>47431</v>
      </c>
    </row>
    <row r="4652" spans="1:24">
      <c r="A4652">
        <f>HYPERLINK("https://www.philgeps.gov.ph/GEPSNONPILOT/Tender/SplashBidNoticeAbstractUI.aspx?menuIndex=3&amp;refID=7159693&amp;Result=3","7159693")</f>
        <v>0</v>
      </c>
      <c r="B4652" t="s">
        <v>632</v>
      </c>
      <c r="C4652" t="s">
        <v>8295</v>
      </c>
      <c r="D4652" t="s">
        <v>19058</v>
      </c>
      <c r="E4652" t="s">
        <v>23234</v>
      </c>
      <c r="F4652" t="s">
        <v>32831</v>
      </c>
      <c r="G4652" t="s">
        <v>32839</v>
      </c>
      <c r="H4652" t="s">
        <v>32848</v>
      </c>
      <c r="I4652" t="s">
        <v>7751</v>
      </c>
      <c r="J4652" t="s">
        <v>33279</v>
      </c>
      <c r="K4652" t="s">
        <v>42726</v>
      </c>
      <c r="M4652" t="s">
        <v>43649</v>
      </c>
      <c r="N4652" t="s">
        <v>47424</v>
      </c>
      <c r="O4652" t="s">
        <v>47425</v>
      </c>
      <c r="P4652">
        <v>0</v>
      </c>
      <c r="Q4652">
        <v>1</v>
      </c>
      <c r="R4652" t="s">
        <v>47430</v>
      </c>
      <c r="S4652" t="s">
        <v>47549</v>
      </c>
      <c r="T4652" t="s">
        <v>49219</v>
      </c>
      <c r="U4652" t="s">
        <v>53624</v>
      </c>
      <c r="W4652" t="s">
        <v>43649</v>
      </c>
      <c r="X4652" t="s">
        <v>47431</v>
      </c>
    </row>
    <row r="4653" spans="1:24">
      <c r="A4653">
        <f>HYPERLINK("https://www.philgeps.gov.ph/GEPSNONPILOT/Tender/SplashBidNoticeAbstractUI.aspx?menuIndex=3&amp;refID=7159772&amp;Result=3","7159772")</f>
        <v>0</v>
      </c>
      <c r="B4653" t="s">
        <v>1831</v>
      </c>
      <c r="C4653" t="s">
        <v>8296</v>
      </c>
      <c r="D4653" t="s">
        <v>19070</v>
      </c>
      <c r="E4653" t="s">
        <v>23235</v>
      </c>
      <c r="F4653" t="s">
        <v>32831</v>
      </c>
      <c r="G4653" t="s">
        <v>32839</v>
      </c>
      <c r="H4653" t="s">
        <v>32849</v>
      </c>
      <c r="I4653" t="s">
        <v>32953</v>
      </c>
      <c r="J4653" t="s">
        <v>33118</v>
      </c>
      <c r="K4653" t="s">
        <v>42730</v>
      </c>
      <c r="M4653" t="s">
        <v>44965</v>
      </c>
      <c r="N4653" t="s">
        <v>47424</v>
      </c>
      <c r="O4653" t="s">
        <v>47425</v>
      </c>
      <c r="P4653">
        <v>0</v>
      </c>
      <c r="Q4653">
        <v>3</v>
      </c>
      <c r="R4653" t="s">
        <v>47430</v>
      </c>
      <c r="S4653" t="s">
        <v>47549</v>
      </c>
      <c r="T4653" t="s">
        <v>49169</v>
      </c>
      <c r="U4653" t="s">
        <v>53625</v>
      </c>
      <c r="V4653" t="s">
        <v>63145</v>
      </c>
      <c r="W4653" t="s">
        <v>44965</v>
      </c>
      <c r="X4653" t="s">
        <v>47431</v>
      </c>
    </row>
    <row r="4654" spans="1:24">
      <c r="A4654">
        <f>HYPERLINK("https://www.philgeps.gov.ph/GEPSNONPILOT/Tender/SplashBidNoticeAbstractUI.aspx?menuIndex=3&amp;refID=7159807&amp;Result=3","7159807")</f>
        <v>0</v>
      </c>
      <c r="B4654" t="s">
        <v>1679</v>
      </c>
      <c r="C4654" t="s">
        <v>8297</v>
      </c>
      <c r="D4654" t="s">
        <v>19052</v>
      </c>
      <c r="E4654" t="s">
        <v>23236</v>
      </c>
      <c r="F4654" t="s">
        <v>32831</v>
      </c>
      <c r="G4654" t="s">
        <v>32839</v>
      </c>
      <c r="H4654" t="s">
        <v>32849</v>
      </c>
      <c r="I4654" t="s">
        <v>4177</v>
      </c>
      <c r="J4654" t="s">
        <v>35989</v>
      </c>
      <c r="K4654" t="s">
        <v>42779</v>
      </c>
      <c r="M4654" t="s">
        <v>44797</v>
      </c>
      <c r="N4654" t="s">
        <v>47424</v>
      </c>
      <c r="O4654" t="s">
        <v>47425</v>
      </c>
      <c r="P4654">
        <v>0</v>
      </c>
      <c r="Q4654">
        <v>2</v>
      </c>
      <c r="R4654" t="s">
        <v>47430</v>
      </c>
      <c r="S4654" t="s">
        <v>47549</v>
      </c>
      <c r="T4654" t="s">
        <v>49198</v>
      </c>
      <c r="U4654" t="s">
        <v>53626</v>
      </c>
      <c r="V4654" t="s">
        <v>63090</v>
      </c>
      <c r="W4654" t="s">
        <v>44797</v>
      </c>
      <c r="X4654" t="s">
        <v>47431</v>
      </c>
    </row>
    <row r="4655" spans="1:24">
      <c r="A4655">
        <f>HYPERLINK("https://www.philgeps.gov.ph/GEPSNONPILOT/Tender/SplashBidNoticeAbstractUI.aspx?menuIndex=3&amp;refID=7159795&amp;Result=3","7159795")</f>
        <v>0</v>
      </c>
      <c r="B4655" t="s">
        <v>1679</v>
      </c>
      <c r="C4655" t="s">
        <v>8298</v>
      </c>
      <c r="D4655" t="s">
        <v>19052</v>
      </c>
      <c r="E4655" t="s">
        <v>23237</v>
      </c>
      <c r="F4655" t="s">
        <v>32831</v>
      </c>
      <c r="G4655" t="s">
        <v>32839</v>
      </c>
      <c r="H4655" t="s">
        <v>32849</v>
      </c>
      <c r="I4655" t="s">
        <v>4177</v>
      </c>
      <c r="J4655" t="s">
        <v>35990</v>
      </c>
      <c r="K4655" t="s">
        <v>42779</v>
      </c>
      <c r="M4655" t="s">
        <v>44797</v>
      </c>
      <c r="N4655" t="s">
        <v>47424</v>
      </c>
      <c r="O4655" t="s">
        <v>47425</v>
      </c>
      <c r="P4655">
        <v>0</v>
      </c>
      <c r="Q4655">
        <v>2</v>
      </c>
      <c r="R4655" t="s">
        <v>47430</v>
      </c>
      <c r="S4655" t="s">
        <v>47549</v>
      </c>
      <c r="T4655" t="s">
        <v>49198</v>
      </c>
      <c r="U4655" t="s">
        <v>53627</v>
      </c>
      <c r="V4655" t="s">
        <v>63090</v>
      </c>
      <c r="W4655" t="s">
        <v>44797</v>
      </c>
      <c r="X4655" t="s">
        <v>47431</v>
      </c>
    </row>
    <row r="4656" spans="1:24">
      <c r="A4656">
        <f>HYPERLINK("https://www.philgeps.gov.ph/GEPSNONPILOT/Tender/SplashBidNoticeAbstractUI.aspx?menuIndex=3&amp;refID=7159794&amp;Result=3","7159794")</f>
        <v>0</v>
      </c>
      <c r="B4656" t="s">
        <v>1668</v>
      </c>
      <c r="C4656" t="s">
        <v>8299</v>
      </c>
      <c r="D4656" t="s">
        <v>19073</v>
      </c>
      <c r="E4656" t="s">
        <v>23238</v>
      </c>
      <c r="F4656" t="s">
        <v>32831</v>
      </c>
      <c r="G4656" t="s">
        <v>32839</v>
      </c>
      <c r="H4656" t="s">
        <v>32848</v>
      </c>
      <c r="I4656" t="s">
        <v>32853</v>
      </c>
      <c r="J4656" t="s">
        <v>35991</v>
      </c>
      <c r="K4656" t="s">
        <v>42731</v>
      </c>
      <c r="M4656" t="s">
        <v>44785</v>
      </c>
      <c r="N4656" t="s">
        <v>47424</v>
      </c>
      <c r="O4656" t="s">
        <v>47425</v>
      </c>
      <c r="P4656">
        <v>0</v>
      </c>
      <c r="Q4656">
        <v>0</v>
      </c>
      <c r="R4656" t="s">
        <v>47430</v>
      </c>
      <c r="S4656" t="s">
        <v>47549</v>
      </c>
      <c r="T4656" t="s">
        <v>49129</v>
      </c>
      <c r="U4656" t="s">
        <v>53628</v>
      </c>
      <c r="W4656" t="s">
        <v>44785</v>
      </c>
      <c r="X4656" t="s">
        <v>47431</v>
      </c>
    </row>
    <row r="4657" spans="1:24">
      <c r="A4657">
        <f>HYPERLINK("https://www.philgeps.gov.ph/GEPSNONPILOT/Tender/SplashBidNoticeAbstractUI.aspx?menuIndex=3&amp;refID=7159798&amp;Result=3","7159798")</f>
        <v>0</v>
      </c>
      <c r="B4657" t="s">
        <v>904</v>
      </c>
      <c r="C4657" t="s">
        <v>8300</v>
      </c>
      <c r="D4657" t="s">
        <v>19047</v>
      </c>
      <c r="E4657" t="s">
        <v>23239</v>
      </c>
      <c r="F4657" t="s">
        <v>32831</v>
      </c>
      <c r="G4657" t="s">
        <v>32838</v>
      </c>
      <c r="H4657" t="s">
        <v>32848</v>
      </c>
      <c r="I4657" t="s">
        <v>32912</v>
      </c>
      <c r="J4657" t="s">
        <v>33279</v>
      </c>
      <c r="K4657" t="s">
        <v>42730</v>
      </c>
      <c r="M4657" t="s">
        <v>44592</v>
      </c>
      <c r="N4657" t="s">
        <v>47424</v>
      </c>
      <c r="O4657" t="s">
        <v>47425</v>
      </c>
      <c r="P4657">
        <v>0</v>
      </c>
      <c r="Q4657">
        <v>6</v>
      </c>
      <c r="R4657" t="s">
        <v>47430</v>
      </c>
      <c r="S4657" t="s">
        <v>47549</v>
      </c>
      <c r="T4657" t="s">
        <v>49237</v>
      </c>
      <c r="U4657" t="s">
        <v>52713</v>
      </c>
      <c r="V4657" t="s">
        <v>63118</v>
      </c>
      <c r="W4657" t="s">
        <v>44592</v>
      </c>
      <c r="X4657" t="s">
        <v>47431</v>
      </c>
    </row>
    <row r="4658" spans="1:24">
      <c r="A4658">
        <f>HYPERLINK("https://www.philgeps.gov.ph/GEPSNONPILOT/Tender/SplashBidNoticeAbstractUI.aspx?menuIndex=3&amp;refID=7159822&amp;Result=3","7159822")</f>
        <v>0</v>
      </c>
      <c r="B4658" t="s">
        <v>663</v>
      </c>
      <c r="C4658" t="s">
        <v>8301</v>
      </c>
      <c r="D4658" t="s">
        <v>19026</v>
      </c>
      <c r="E4658" t="s">
        <v>23240</v>
      </c>
      <c r="F4658" t="s">
        <v>32831</v>
      </c>
      <c r="G4658" t="s">
        <v>32840</v>
      </c>
      <c r="H4658" t="s">
        <v>32848</v>
      </c>
      <c r="I4658" t="s">
        <v>32864</v>
      </c>
      <c r="J4658" t="s">
        <v>33025</v>
      </c>
      <c r="K4658" t="s">
        <v>42732</v>
      </c>
      <c r="M4658" t="s">
        <v>43681</v>
      </c>
      <c r="N4658" t="s">
        <v>47424</v>
      </c>
      <c r="O4658" t="s">
        <v>47425</v>
      </c>
      <c r="P4658">
        <v>0</v>
      </c>
      <c r="Q4658">
        <v>2</v>
      </c>
      <c r="R4658" t="s">
        <v>47430</v>
      </c>
      <c r="S4658" t="s">
        <v>47549</v>
      </c>
      <c r="T4658" t="s">
        <v>49177</v>
      </c>
      <c r="U4658" t="s">
        <v>49728</v>
      </c>
      <c r="W4658" t="s">
        <v>43681</v>
      </c>
      <c r="X4658" t="s">
        <v>47431</v>
      </c>
    </row>
    <row r="4659" spans="1:24">
      <c r="A4659">
        <f>HYPERLINK("https://www.philgeps.gov.ph/GEPSNONPILOT/Tender/SplashBidNoticeAbstractUI.aspx?menuIndex=3&amp;refID=7159796&amp;Result=3","7159796")</f>
        <v>0</v>
      </c>
      <c r="B4659" t="s">
        <v>1764</v>
      </c>
      <c r="C4659" t="s">
        <v>8302</v>
      </c>
      <c r="D4659" t="s">
        <v>19083</v>
      </c>
      <c r="E4659" t="s">
        <v>23241</v>
      </c>
      <c r="F4659" t="s">
        <v>32831</v>
      </c>
      <c r="G4659" t="s">
        <v>32838</v>
      </c>
      <c r="H4659" t="s">
        <v>32848</v>
      </c>
      <c r="I4659" t="s">
        <v>32857</v>
      </c>
      <c r="J4659" t="s">
        <v>35992</v>
      </c>
      <c r="K4659" t="s">
        <v>42758</v>
      </c>
      <c r="L4659" t="s">
        <v>1764</v>
      </c>
      <c r="M4659" t="s">
        <v>44889</v>
      </c>
      <c r="N4659" t="s">
        <v>47424</v>
      </c>
      <c r="O4659" t="s">
        <v>47425</v>
      </c>
      <c r="P4659">
        <v>0</v>
      </c>
      <c r="Q4659">
        <v>2</v>
      </c>
      <c r="R4659" t="s">
        <v>47430</v>
      </c>
      <c r="S4659" t="s">
        <v>47549</v>
      </c>
      <c r="T4659" t="s">
        <v>49400</v>
      </c>
      <c r="U4659" t="s">
        <v>53629</v>
      </c>
      <c r="V4659" t="s">
        <v>63146</v>
      </c>
      <c r="W4659" t="s">
        <v>44889</v>
      </c>
      <c r="X4659" t="s">
        <v>47431</v>
      </c>
    </row>
    <row r="4660" spans="1:24">
      <c r="A4660">
        <f>HYPERLINK("https://www.philgeps.gov.ph/GEPSNONPILOT/Tender/SplashBidNoticeAbstractUI.aspx?menuIndex=3&amp;refID=7159847&amp;Result=3","7159847")</f>
        <v>0</v>
      </c>
      <c r="B4660" t="s">
        <v>1806</v>
      </c>
      <c r="C4660" t="s">
        <v>8303</v>
      </c>
      <c r="D4660" t="s">
        <v>19090</v>
      </c>
      <c r="E4660" t="s">
        <v>23242</v>
      </c>
      <c r="F4660" t="s">
        <v>32831</v>
      </c>
      <c r="G4660" t="s">
        <v>32839</v>
      </c>
      <c r="H4660" t="s">
        <v>32849</v>
      </c>
      <c r="I4660" t="s">
        <v>4177</v>
      </c>
      <c r="J4660" t="s">
        <v>35993</v>
      </c>
      <c r="K4660" t="s">
        <v>42777</v>
      </c>
      <c r="M4660" t="s">
        <v>44939</v>
      </c>
      <c r="N4660" t="s">
        <v>47424</v>
      </c>
      <c r="O4660" t="s">
        <v>47425</v>
      </c>
      <c r="P4660">
        <v>0</v>
      </c>
      <c r="Q4660">
        <v>0</v>
      </c>
      <c r="R4660" t="s">
        <v>47430</v>
      </c>
      <c r="S4660" t="s">
        <v>47549</v>
      </c>
      <c r="T4660" t="s">
        <v>49236</v>
      </c>
      <c r="U4660" t="s">
        <v>53544</v>
      </c>
      <c r="W4660" t="s">
        <v>44939</v>
      </c>
      <c r="X4660" t="s">
        <v>47431</v>
      </c>
    </row>
    <row r="4661" spans="1:24">
      <c r="A4661">
        <f>HYPERLINK("https://www.philgeps.gov.ph/GEPSNONPILOT/Tender/SplashBidNoticeAbstractUI.aspx?menuIndex=3&amp;refID=7159846&amp;Result=3","7159846")</f>
        <v>0</v>
      </c>
      <c r="B4661" t="s">
        <v>1826</v>
      </c>
      <c r="C4661" t="s">
        <v>8304</v>
      </c>
      <c r="D4661" t="s">
        <v>19045</v>
      </c>
      <c r="E4661" t="s">
        <v>19606</v>
      </c>
      <c r="F4661" t="s">
        <v>32831</v>
      </c>
      <c r="G4661" t="s">
        <v>32839</v>
      </c>
      <c r="H4661" t="s">
        <v>32849</v>
      </c>
      <c r="I4661" t="s">
        <v>4177</v>
      </c>
      <c r="J4661" t="s">
        <v>33156</v>
      </c>
      <c r="K4661" t="s">
        <v>42730</v>
      </c>
      <c r="M4661" t="s">
        <v>44959</v>
      </c>
      <c r="N4661" t="s">
        <v>47424</v>
      </c>
      <c r="O4661" t="s">
        <v>47425</v>
      </c>
      <c r="P4661">
        <v>0</v>
      </c>
      <c r="Q4661">
        <v>0</v>
      </c>
      <c r="R4661" t="s">
        <v>47430</v>
      </c>
      <c r="S4661" t="s">
        <v>47549</v>
      </c>
      <c r="T4661" t="s">
        <v>49398</v>
      </c>
      <c r="U4661" t="s">
        <v>53630</v>
      </c>
      <c r="W4661" t="s">
        <v>44959</v>
      </c>
      <c r="X4661" t="s">
        <v>47431</v>
      </c>
    </row>
    <row r="4662" spans="1:24">
      <c r="A4662">
        <f>HYPERLINK("https://www.philgeps.gov.ph/GEPSNONPILOT/Tender/SplashBidNoticeAbstractUI.aspx?menuIndex=3&amp;refID=7159839&amp;Result=3","7159839")</f>
        <v>0</v>
      </c>
      <c r="B4662" t="s">
        <v>895</v>
      </c>
      <c r="C4662" t="s">
        <v>8305</v>
      </c>
      <c r="D4662" t="s">
        <v>19036</v>
      </c>
      <c r="E4662" t="s">
        <v>23243</v>
      </c>
      <c r="F4662" t="s">
        <v>32831</v>
      </c>
      <c r="G4662" t="s">
        <v>32838</v>
      </c>
      <c r="H4662" t="s">
        <v>32848</v>
      </c>
      <c r="I4662" t="s">
        <v>7416</v>
      </c>
      <c r="J4662" t="s">
        <v>35994</v>
      </c>
      <c r="K4662" t="s">
        <v>42727</v>
      </c>
      <c r="M4662" t="s">
        <v>44963</v>
      </c>
      <c r="N4662" t="s">
        <v>47424</v>
      </c>
      <c r="O4662" t="s">
        <v>47425</v>
      </c>
      <c r="P4662">
        <v>0</v>
      </c>
      <c r="Q4662">
        <v>0</v>
      </c>
      <c r="R4662" t="s">
        <v>47430</v>
      </c>
      <c r="S4662" t="s">
        <v>47549</v>
      </c>
      <c r="T4662" t="s">
        <v>49206</v>
      </c>
      <c r="U4662" t="s">
        <v>53631</v>
      </c>
      <c r="W4662" t="s">
        <v>44963</v>
      </c>
      <c r="X4662" t="s">
        <v>47431</v>
      </c>
    </row>
    <row r="4663" spans="1:24">
      <c r="A4663">
        <f>HYPERLINK("https://www.philgeps.gov.ph/GEPSNONPILOT/Tender/SplashBidNoticeAbstractUI.aspx?menuIndex=3&amp;refID=7159765&amp;Result=3","7159765")</f>
        <v>0</v>
      </c>
      <c r="B4663" t="s">
        <v>1820</v>
      </c>
      <c r="C4663" t="s">
        <v>8306</v>
      </c>
      <c r="D4663" t="s">
        <v>19047</v>
      </c>
      <c r="E4663" t="s">
        <v>23244</v>
      </c>
      <c r="F4663" t="s">
        <v>32831</v>
      </c>
      <c r="G4663" t="s">
        <v>32838</v>
      </c>
      <c r="H4663" t="s">
        <v>32848</v>
      </c>
      <c r="I4663" t="s">
        <v>10805</v>
      </c>
      <c r="J4663" t="s">
        <v>33178</v>
      </c>
      <c r="K4663" t="s">
        <v>42732</v>
      </c>
      <c r="M4663" t="s">
        <v>44953</v>
      </c>
      <c r="N4663" t="s">
        <v>47424</v>
      </c>
      <c r="O4663" t="s">
        <v>47425</v>
      </c>
      <c r="P4663">
        <v>0</v>
      </c>
      <c r="Q4663">
        <v>5</v>
      </c>
      <c r="R4663" t="s">
        <v>47430</v>
      </c>
      <c r="S4663" t="s">
        <v>47549</v>
      </c>
      <c r="T4663" t="s">
        <v>49279</v>
      </c>
      <c r="U4663" t="s">
        <v>53591</v>
      </c>
      <c r="W4663" t="s">
        <v>44953</v>
      </c>
      <c r="X4663" t="s">
        <v>47431</v>
      </c>
    </row>
    <row r="4664" spans="1:24">
      <c r="A4664">
        <f>HYPERLINK("https://www.philgeps.gov.ph/GEPSNONPILOT/Tender/SplashBidNoticeAbstractUI.aspx?menuIndex=3&amp;refID=7159775&amp;Result=3","7159775")</f>
        <v>0</v>
      </c>
      <c r="B4664" t="s">
        <v>904</v>
      </c>
      <c r="C4664" t="s">
        <v>8307</v>
      </c>
      <c r="D4664" t="s">
        <v>19047</v>
      </c>
      <c r="E4664" t="s">
        <v>23245</v>
      </c>
      <c r="F4664" t="s">
        <v>32831</v>
      </c>
      <c r="G4664" t="s">
        <v>32838</v>
      </c>
      <c r="H4664" t="s">
        <v>32848</v>
      </c>
      <c r="I4664" t="s">
        <v>9577</v>
      </c>
      <c r="J4664" t="s">
        <v>35995</v>
      </c>
      <c r="K4664" t="s">
        <v>42730</v>
      </c>
      <c r="M4664" t="s">
        <v>44592</v>
      </c>
      <c r="N4664" t="s">
        <v>47424</v>
      </c>
      <c r="O4664" t="s">
        <v>47425</v>
      </c>
      <c r="P4664">
        <v>0</v>
      </c>
      <c r="Q4664">
        <v>4</v>
      </c>
      <c r="R4664" t="s">
        <v>47430</v>
      </c>
      <c r="S4664" t="s">
        <v>47549</v>
      </c>
      <c r="T4664" t="s">
        <v>49237</v>
      </c>
      <c r="U4664" t="s">
        <v>52713</v>
      </c>
      <c r="V4664" t="s">
        <v>63118</v>
      </c>
      <c r="W4664" t="s">
        <v>44592</v>
      </c>
      <c r="X4664" t="s">
        <v>47431</v>
      </c>
    </row>
    <row r="4665" spans="1:24">
      <c r="A4665">
        <f>HYPERLINK("https://www.philgeps.gov.ph/GEPSNONPILOT/Tender/SplashBidNoticeAbstractUI.aspx?menuIndex=3&amp;refID=7159837&amp;Result=3","7159837")</f>
        <v>0</v>
      </c>
      <c r="B4665" t="s">
        <v>904</v>
      </c>
      <c r="C4665" t="s">
        <v>8308</v>
      </c>
      <c r="D4665" t="s">
        <v>19047</v>
      </c>
      <c r="E4665" t="s">
        <v>23246</v>
      </c>
      <c r="F4665" t="s">
        <v>32831</v>
      </c>
      <c r="G4665" t="s">
        <v>32838</v>
      </c>
      <c r="H4665" t="s">
        <v>32848</v>
      </c>
      <c r="I4665" t="s">
        <v>4438</v>
      </c>
      <c r="J4665" t="s">
        <v>35996</v>
      </c>
      <c r="K4665" t="s">
        <v>42730</v>
      </c>
      <c r="M4665" t="s">
        <v>44592</v>
      </c>
      <c r="N4665" t="s">
        <v>47424</v>
      </c>
      <c r="O4665" t="s">
        <v>47425</v>
      </c>
      <c r="P4665">
        <v>0</v>
      </c>
      <c r="Q4665">
        <v>6</v>
      </c>
      <c r="R4665" t="s">
        <v>47430</v>
      </c>
      <c r="S4665" t="s">
        <v>47549</v>
      </c>
      <c r="T4665" t="s">
        <v>49237</v>
      </c>
      <c r="U4665" t="s">
        <v>52713</v>
      </c>
      <c r="V4665" t="s">
        <v>63118</v>
      </c>
      <c r="W4665" t="s">
        <v>44592</v>
      </c>
      <c r="X4665" t="s">
        <v>47431</v>
      </c>
    </row>
    <row r="4666" spans="1:24">
      <c r="A4666">
        <f>HYPERLINK("https://www.philgeps.gov.ph/GEPSNONPILOT/Tender/SplashBidNoticeAbstractUI.aspx?menuIndex=3&amp;refID=7159836&amp;Result=3","7159836")</f>
        <v>0</v>
      </c>
      <c r="B4666" t="s">
        <v>1668</v>
      </c>
      <c r="C4666" t="s">
        <v>8309</v>
      </c>
      <c r="D4666" t="s">
        <v>19073</v>
      </c>
      <c r="E4666" t="s">
        <v>23247</v>
      </c>
      <c r="F4666" t="s">
        <v>32831</v>
      </c>
      <c r="G4666" t="s">
        <v>32839</v>
      </c>
      <c r="H4666" t="s">
        <v>32848</v>
      </c>
      <c r="I4666" t="s">
        <v>4558</v>
      </c>
      <c r="J4666" t="s">
        <v>35997</v>
      </c>
      <c r="K4666" t="s">
        <v>42731</v>
      </c>
      <c r="M4666" t="s">
        <v>44785</v>
      </c>
      <c r="N4666" t="s">
        <v>47424</v>
      </c>
      <c r="O4666" t="s">
        <v>47425</v>
      </c>
      <c r="P4666">
        <v>0</v>
      </c>
      <c r="Q4666">
        <v>0</v>
      </c>
      <c r="R4666" t="s">
        <v>47430</v>
      </c>
      <c r="S4666" t="s">
        <v>47549</v>
      </c>
      <c r="T4666" t="s">
        <v>49129</v>
      </c>
      <c r="U4666" t="s">
        <v>53632</v>
      </c>
      <c r="W4666" t="s">
        <v>44785</v>
      </c>
      <c r="X4666" t="s">
        <v>47431</v>
      </c>
    </row>
    <row r="4667" spans="1:24">
      <c r="A4667">
        <f>HYPERLINK("https://www.philgeps.gov.ph/GEPSNONPILOT/Tender/SplashBidNoticeAbstractUI.aspx?menuIndex=3&amp;refID=7159835&amp;Result=3","7159835")</f>
        <v>0</v>
      </c>
      <c r="B4667" t="s">
        <v>1794</v>
      </c>
      <c r="C4667" t="s">
        <v>8310</v>
      </c>
      <c r="D4667" t="s">
        <v>19074</v>
      </c>
      <c r="E4667" t="s">
        <v>23248</v>
      </c>
      <c r="F4667" t="s">
        <v>32831</v>
      </c>
      <c r="G4667" t="s">
        <v>32838</v>
      </c>
      <c r="H4667" t="s">
        <v>32848</v>
      </c>
      <c r="I4667" t="s">
        <v>32883</v>
      </c>
      <c r="J4667" t="s">
        <v>35998</v>
      </c>
      <c r="K4667" t="s">
        <v>42727</v>
      </c>
      <c r="M4667" t="s">
        <v>44924</v>
      </c>
      <c r="N4667" t="s">
        <v>47424</v>
      </c>
      <c r="O4667" t="s">
        <v>47425</v>
      </c>
      <c r="P4667">
        <v>0</v>
      </c>
      <c r="Q4667">
        <v>5</v>
      </c>
      <c r="R4667" t="s">
        <v>47430</v>
      </c>
      <c r="S4667" t="s">
        <v>47549</v>
      </c>
      <c r="T4667" t="s">
        <v>49111</v>
      </c>
      <c r="U4667" t="s">
        <v>53633</v>
      </c>
      <c r="W4667" t="s">
        <v>44924</v>
      </c>
      <c r="X4667" t="s">
        <v>47431</v>
      </c>
    </row>
    <row r="4668" spans="1:24">
      <c r="A4668">
        <f>HYPERLINK("https://www.philgeps.gov.ph/GEPSNONPILOT/Tender/SplashBidNoticeAbstractUI.aspx?menuIndex=3&amp;refID=7159834&amp;Result=3","7159834")</f>
        <v>0</v>
      </c>
      <c r="B4668" t="s">
        <v>609</v>
      </c>
      <c r="C4668" t="s">
        <v>8311</v>
      </c>
      <c r="D4668" t="s">
        <v>19017</v>
      </c>
      <c r="E4668" t="s">
        <v>23249</v>
      </c>
      <c r="F4668" t="s">
        <v>32831</v>
      </c>
      <c r="G4668" t="s">
        <v>32840</v>
      </c>
      <c r="H4668" t="s">
        <v>32848</v>
      </c>
      <c r="I4668" t="s">
        <v>9577</v>
      </c>
      <c r="J4668" t="s">
        <v>35999</v>
      </c>
      <c r="K4668" t="s">
        <v>42732</v>
      </c>
      <c r="M4668" t="s">
        <v>43623</v>
      </c>
      <c r="N4668" t="s">
        <v>47424</v>
      </c>
      <c r="O4668" t="s">
        <v>47425</v>
      </c>
      <c r="P4668">
        <v>0</v>
      </c>
      <c r="Q4668">
        <v>8</v>
      </c>
      <c r="R4668" t="s">
        <v>47430</v>
      </c>
      <c r="S4668" t="s">
        <v>47549</v>
      </c>
      <c r="T4668" t="s">
        <v>49107</v>
      </c>
      <c r="U4668" t="s">
        <v>53634</v>
      </c>
      <c r="W4668" t="s">
        <v>43623</v>
      </c>
      <c r="X4668" t="s">
        <v>47431</v>
      </c>
    </row>
    <row r="4669" spans="1:24">
      <c r="A4669">
        <f>HYPERLINK("https://www.philgeps.gov.ph/GEPSNONPILOT/Tender/SplashBidNoticeAbstractUI.aspx?menuIndex=3&amp;refID=7159832&amp;Result=3","7159832")</f>
        <v>0</v>
      </c>
      <c r="B4669" t="s">
        <v>1832</v>
      </c>
      <c r="C4669" t="s">
        <v>8312</v>
      </c>
      <c r="D4669" t="s">
        <v>19061</v>
      </c>
      <c r="E4669" t="s">
        <v>23250</v>
      </c>
      <c r="F4669" t="s">
        <v>32831</v>
      </c>
      <c r="G4669" t="s">
        <v>32839</v>
      </c>
      <c r="H4669" t="s">
        <v>32849</v>
      </c>
      <c r="I4669" t="s">
        <v>7416</v>
      </c>
      <c r="J4669" t="s">
        <v>36000</v>
      </c>
      <c r="K4669" t="s">
        <v>42730</v>
      </c>
      <c r="M4669" t="s">
        <v>44966</v>
      </c>
      <c r="N4669" t="s">
        <v>47424</v>
      </c>
      <c r="O4669" t="s">
        <v>47425</v>
      </c>
      <c r="P4669">
        <v>0</v>
      </c>
      <c r="Q4669">
        <v>0</v>
      </c>
      <c r="R4669" t="s">
        <v>47430</v>
      </c>
      <c r="S4669" t="s">
        <v>47549</v>
      </c>
      <c r="T4669" t="s">
        <v>49401</v>
      </c>
      <c r="U4669" t="s">
        <v>53635</v>
      </c>
      <c r="W4669" t="s">
        <v>44966</v>
      </c>
      <c r="X4669" t="s">
        <v>47431</v>
      </c>
    </row>
    <row r="4670" spans="1:24">
      <c r="A4670">
        <f>HYPERLINK("https://www.philgeps.gov.ph/GEPSNONPILOT/Tender/SplashBidNoticeAbstractUI.aspx?menuIndex=3&amp;refID=7159838&amp;Result=3","7159838")</f>
        <v>0</v>
      </c>
      <c r="B4670" t="s">
        <v>1713</v>
      </c>
      <c r="C4670" t="s">
        <v>8313</v>
      </c>
      <c r="D4670" t="s">
        <v>19044</v>
      </c>
      <c r="E4670" t="s">
        <v>23251</v>
      </c>
      <c r="F4670" t="s">
        <v>32831</v>
      </c>
      <c r="G4670" t="s">
        <v>32838</v>
      </c>
      <c r="H4670" t="s">
        <v>32848</v>
      </c>
      <c r="I4670" t="s">
        <v>4487</v>
      </c>
      <c r="J4670" t="s">
        <v>33364</v>
      </c>
      <c r="K4670" t="s">
        <v>42727</v>
      </c>
      <c r="M4670" t="s">
        <v>44835</v>
      </c>
      <c r="N4670" t="s">
        <v>47424</v>
      </c>
      <c r="O4670" t="s">
        <v>47425</v>
      </c>
      <c r="P4670">
        <v>0</v>
      </c>
      <c r="Q4670">
        <v>1</v>
      </c>
      <c r="R4670" t="s">
        <v>47430</v>
      </c>
      <c r="S4670" t="s">
        <v>47549</v>
      </c>
      <c r="T4670" t="s">
        <v>49163</v>
      </c>
      <c r="U4670" t="s">
        <v>53246</v>
      </c>
      <c r="W4670" t="s">
        <v>44835</v>
      </c>
      <c r="X4670" t="s">
        <v>47431</v>
      </c>
    </row>
    <row r="4671" spans="1:24">
      <c r="A4671">
        <f>HYPERLINK("https://www.philgeps.gov.ph/GEPSNONPILOT/Tender/SplashBidNoticeAbstractUI.aspx?menuIndex=3&amp;refID=7159827&amp;Result=3","7159827")</f>
        <v>0</v>
      </c>
      <c r="B4671" t="s">
        <v>1833</v>
      </c>
      <c r="C4671" t="s">
        <v>8314</v>
      </c>
      <c r="D4671" t="s">
        <v>19047</v>
      </c>
      <c r="E4671" t="s">
        <v>22097</v>
      </c>
      <c r="F4671" t="s">
        <v>32831</v>
      </c>
      <c r="G4671" t="s">
        <v>32840</v>
      </c>
      <c r="H4671" t="s">
        <v>32848</v>
      </c>
      <c r="I4671" t="s">
        <v>32855</v>
      </c>
      <c r="J4671" t="s">
        <v>36001</v>
      </c>
      <c r="K4671" t="s">
        <v>42726</v>
      </c>
      <c r="M4671" t="s">
        <v>44967</v>
      </c>
      <c r="N4671" t="s">
        <v>47424</v>
      </c>
      <c r="O4671" t="s">
        <v>47425</v>
      </c>
      <c r="P4671">
        <v>0</v>
      </c>
      <c r="Q4671">
        <v>15</v>
      </c>
      <c r="R4671" t="s">
        <v>47430</v>
      </c>
      <c r="S4671" t="s">
        <v>47549</v>
      </c>
      <c r="T4671" t="s">
        <v>49163</v>
      </c>
      <c r="U4671" t="s">
        <v>53636</v>
      </c>
      <c r="W4671" t="s">
        <v>44967</v>
      </c>
      <c r="X4671" t="s">
        <v>47431</v>
      </c>
    </row>
    <row r="4672" spans="1:24">
      <c r="A4672">
        <f>HYPERLINK("https://www.philgeps.gov.ph/GEPSNONPILOT/Tender/SplashBidNoticeAbstractUI.aspx?menuIndex=3&amp;refID=7159841&amp;Result=3","7159841")</f>
        <v>0</v>
      </c>
      <c r="B4672" t="s">
        <v>1834</v>
      </c>
      <c r="C4672" t="s">
        <v>8315</v>
      </c>
      <c r="D4672" t="s">
        <v>19103</v>
      </c>
      <c r="E4672" t="s">
        <v>20710</v>
      </c>
      <c r="F4672" t="s">
        <v>32831</v>
      </c>
      <c r="G4672" t="s">
        <v>32838</v>
      </c>
      <c r="H4672" t="s">
        <v>32848</v>
      </c>
      <c r="I4672" t="s">
        <v>32859</v>
      </c>
      <c r="J4672" t="s">
        <v>36002</v>
      </c>
      <c r="K4672" t="s">
        <v>42732</v>
      </c>
      <c r="M4672" t="s">
        <v>44968</v>
      </c>
      <c r="N4672" t="s">
        <v>47424</v>
      </c>
      <c r="O4672" t="s">
        <v>47425</v>
      </c>
      <c r="P4672">
        <v>0</v>
      </c>
      <c r="Q4672">
        <v>1</v>
      </c>
      <c r="R4672" t="s">
        <v>47430</v>
      </c>
      <c r="S4672" t="s">
        <v>47549</v>
      </c>
      <c r="T4672" t="s">
        <v>49100</v>
      </c>
      <c r="U4672" t="s">
        <v>53637</v>
      </c>
      <c r="W4672" t="s">
        <v>44968</v>
      </c>
      <c r="X4672" t="s">
        <v>47431</v>
      </c>
    </row>
    <row r="4673" spans="1:24">
      <c r="A4673">
        <f>HYPERLINK("https://www.philgeps.gov.ph/GEPSNONPILOT/Tender/SplashBidNoticeAbstractUI.aspx?menuIndex=3&amp;refID=7159800&amp;Result=3","7159800")</f>
        <v>0</v>
      </c>
      <c r="B4673" t="s">
        <v>967</v>
      </c>
      <c r="C4673" t="s">
        <v>8316</v>
      </c>
      <c r="E4673" t="s">
        <v>23252</v>
      </c>
      <c r="F4673" t="s">
        <v>32831</v>
      </c>
      <c r="G4673" t="s">
        <v>32839</v>
      </c>
      <c r="H4673" t="s">
        <v>14069</v>
      </c>
      <c r="I4673" t="s">
        <v>4177</v>
      </c>
      <c r="J4673" t="s">
        <v>36003</v>
      </c>
      <c r="K4673" t="s">
        <v>42732</v>
      </c>
      <c r="M4673" t="s">
        <v>44013</v>
      </c>
      <c r="N4673" t="s">
        <v>47424</v>
      </c>
      <c r="O4673" t="s">
        <v>47425</v>
      </c>
      <c r="P4673">
        <v>0</v>
      </c>
      <c r="Q4673">
        <v>1</v>
      </c>
      <c r="R4673" t="s">
        <v>47430</v>
      </c>
      <c r="S4673" t="s">
        <v>47549</v>
      </c>
      <c r="T4673" t="s">
        <v>49073</v>
      </c>
      <c r="U4673" t="s">
        <v>53638</v>
      </c>
      <c r="V4673" t="s">
        <v>63147</v>
      </c>
      <c r="W4673" t="s">
        <v>64451</v>
      </c>
      <c r="X4673" t="s">
        <v>47431</v>
      </c>
    </row>
    <row r="4674" spans="1:24">
      <c r="A4674">
        <f>HYPERLINK("https://www.philgeps.gov.ph/GEPSNONPILOT/Tender/SplashBidNoticeAbstractUI.aspx?menuIndex=3&amp;refID=7159825&amp;Result=3","7159825")</f>
        <v>0</v>
      </c>
      <c r="B4674" t="s">
        <v>1835</v>
      </c>
      <c r="C4674" t="s">
        <v>8317</v>
      </c>
      <c r="D4674" t="s">
        <v>19031</v>
      </c>
      <c r="E4674" t="s">
        <v>8317</v>
      </c>
      <c r="F4674" t="s">
        <v>32831</v>
      </c>
      <c r="G4674" t="s">
        <v>32838</v>
      </c>
      <c r="H4674" t="s">
        <v>32848</v>
      </c>
      <c r="I4674" t="s">
        <v>32860</v>
      </c>
      <c r="J4674" t="s">
        <v>36004</v>
      </c>
      <c r="K4674" t="s">
        <v>42726</v>
      </c>
      <c r="M4674" t="s">
        <v>44969</v>
      </c>
      <c r="N4674" t="s">
        <v>47424</v>
      </c>
      <c r="O4674" t="s">
        <v>47425</v>
      </c>
      <c r="P4674">
        <v>0</v>
      </c>
      <c r="Q4674">
        <v>1</v>
      </c>
      <c r="R4674" t="s">
        <v>47430</v>
      </c>
      <c r="S4674" t="s">
        <v>47549</v>
      </c>
      <c r="T4674" t="s">
        <v>49091</v>
      </c>
      <c r="U4674" t="s">
        <v>53639</v>
      </c>
      <c r="W4674" t="s">
        <v>44969</v>
      </c>
      <c r="X4674" t="s">
        <v>47431</v>
      </c>
    </row>
    <row r="4675" spans="1:24">
      <c r="A4675">
        <f>HYPERLINK("https://www.philgeps.gov.ph/GEPSNONPILOT/Tender/SplashBidNoticeAbstractUI.aspx?menuIndex=3&amp;refID=7159833&amp;Result=3","7159833")</f>
        <v>0</v>
      </c>
      <c r="B4675" t="s">
        <v>1808</v>
      </c>
      <c r="C4675" t="s">
        <v>8318</v>
      </c>
      <c r="D4675" t="s">
        <v>19044</v>
      </c>
      <c r="E4675" t="s">
        <v>23253</v>
      </c>
      <c r="F4675" t="s">
        <v>32831</v>
      </c>
      <c r="G4675" t="s">
        <v>32840</v>
      </c>
      <c r="H4675" t="s">
        <v>32848</v>
      </c>
      <c r="I4675" t="s">
        <v>32870</v>
      </c>
      <c r="J4675" t="s">
        <v>35469</v>
      </c>
      <c r="K4675" t="s">
        <v>42748</v>
      </c>
      <c r="M4675" t="s">
        <v>44941</v>
      </c>
      <c r="N4675" t="s">
        <v>47424</v>
      </c>
      <c r="O4675" t="s">
        <v>47425</v>
      </c>
      <c r="P4675">
        <v>0</v>
      </c>
      <c r="Q4675">
        <v>0</v>
      </c>
      <c r="R4675" t="s">
        <v>47430</v>
      </c>
      <c r="S4675" t="s">
        <v>47549</v>
      </c>
      <c r="T4675" t="s">
        <v>49177</v>
      </c>
      <c r="U4675" t="s">
        <v>53640</v>
      </c>
      <c r="V4675" t="s">
        <v>63148</v>
      </c>
      <c r="W4675" t="s">
        <v>44941</v>
      </c>
      <c r="X4675" t="s">
        <v>47431</v>
      </c>
    </row>
    <row r="4676" spans="1:24">
      <c r="A4676">
        <f>HYPERLINK("https://www.philgeps.gov.ph/GEPSNONPILOT/Tender/SplashBidNoticeAbstractUI.aspx?menuIndex=3&amp;refID=7159823&amp;Result=3","7159823")</f>
        <v>0</v>
      </c>
      <c r="B4676" t="s">
        <v>1836</v>
      </c>
      <c r="C4676" t="s">
        <v>8319</v>
      </c>
      <c r="D4676" t="s">
        <v>19038</v>
      </c>
      <c r="E4676" t="s">
        <v>23254</v>
      </c>
      <c r="F4676" t="s">
        <v>32833</v>
      </c>
      <c r="G4676" t="s">
        <v>32839</v>
      </c>
      <c r="H4676" t="s">
        <v>32849</v>
      </c>
      <c r="I4676" t="s">
        <v>4177</v>
      </c>
      <c r="J4676" t="s">
        <v>36005</v>
      </c>
      <c r="K4676" t="s">
        <v>42780</v>
      </c>
      <c r="M4676" t="s">
        <v>44970</v>
      </c>
      <c r="N4676" t="s">
        <v>47424</v>
      </c>
      <c r="O4676" t="s">
        <v>47425</v>
      </c>
      <c r="P4676">
        <v>0</v>
      </c>
      <c r="Q4676">
        <v>3</v>
      </c>
      <c r="R4676" t="s">
        <v>47430</v>
      </c>
      <c r="S4676" t="s">
        <v>47549</v>
      </c>
      <c r="T4676" t="s">
        <v>49221</v>
      </c>
      <c r="U4676" t="s">
        <v>53641</v>
      </c>
      <c r="V4676" t="s">
        <v>63149</v>
      </c>
      <c r="W4676" t="s">
        <v>44970</v>
      </c>
      <c r="X4676" t="s">
        <v>47431</v>
      </c>
    </row>
    <row r="4677" spans="1:24">
      <c r="A4677">
        <f>HYPERLINK("https://www.philgeps.gov.ph/GEPSNONPILOT/Tender/SplashBidNoticeAbstractUI.aspx?menuIndex=3&amp;refID=7159821&amp;Result=3","7159821")</f>
        <v>0</v>
      </c>
      <c r="B4677" t="s">
        <v>1806</v>
      </c>
      <c r="C4677" t="s">
        <v>8320</v>
      </c>
      <c r="D4677" t="s">
        <v>19090</v>
      </c>
      <c r="E4677" t="s">
        <v>23255</v>
      </c>
      <c r="F4677" t="s">
        <v>32831</v>
      </c>
      <c r="G4677" t="s">
        <v>32839</v>
      </c>
      <c r="H4677" t="s">
        <v>32849</v>
      </c>
      <c r="I4677" t="s">
        <v>4177</v>
      </c>
      <c r="J4677" t="s">
        <v>36006</v>
      </c>
      <c r="K4677" t="s">
        <v>42777</v>
      </c>
      <c r="M4677" t="s">
        <v>44939</v>
      </c>
      <c r="N4677" t="s">
        <v>47424</v>
      </c>
      <c r="O4677" t="s">
        <v>47425</v>
      </c>
      <c r="P4677">
        <v>0</v>
      </c>
      <c r="Q4677">
        <v>0</v>
      </c>
      <c r="R4677" t="s">
        <v>47430</v>
      </c>
      <c r="S4677" t="s">
        <v>47549</v>
      </c>
      <c r="T4677" t="s">
        <v>49236</v>
      </c>
      <c r="U4677" t="s">
        <v>53544</v>
      </c>
      <c r="W4677" t="s">
        <v>44939</v>
      </c>
      <c r="X4677" t="s">
        <v>47431</v>
      </c>
    </row>
    <row r="4678" spans="1:24">
      <c r="A4678">
        <f>HYPERLINK("https://www.philgeps.gov.ph/GEPSNONPILOT/Tender/SplashBidNoticeAbstractUI.aspx?menuIndex=3&amp;refID=7159871&amp;Result=3","7159871")</f>
        <v>0</v>
      </c>
      <c r="B4678" t="s">
        <v>726</v>
      </c>
      <c r="C4678" t="s">
        <v>8321</v>
      </c>
      <c r="E4678" t="s">
        <v>23256</v>
      </c>
      <c r="F4678" t="s">
        <v>32831</v>
      </c>
      <c r="G4678" t="s">
        <v>32839</v>
      </c>
      <c r="H4678" t="s">
        <v>32848</v>
      </c>
      <c r="I4678" t="s">
        <v>32857</v>
      </c>
      <c r="J4678" t="s">
        <v>36007</v>
      </c>
      <c r="K4678" t="s">
        <v>42732</v>
      </c>
      <c r="M4678" t="s">
        <v>44276</v>
      </c>
      <c r="N4678" t="s">
        <v>47424</v>
      </c>
      <c r="O4678" t="s">
        <v>47425</v>
      </c>
      <c r="P4678">
        <v>0</v>
      </c>
      <c r="Q4678">
        <v>2</v>
      </c>
      <c r="R4678" t="s">
        <v>47430</v>
      </c>
      <c r="S4678" t="s">
        <v>47549</v>
      </c>
      <c r="T4678" t="s">
        <v>49319</v>
      </c>
      <c r="U4678" t="s">
        <v>53642</v>
      </c>
      <c r="W4678" t="s">
        <v>44276</v>
      </c>
      <c r="X4678" t="s">
        <v>47431</v>
      </c>
    </row>
    <row r="4679" spans="1:24">
      <c r="A4679">
        <f>HYPERLINK("https://www.philgeps.gov.ph/GEPSNONPILOT/Tender/SplashBidNoticeAbstractUI.aspx?menuIndex=3&amp;refID=7159813&amp;Result=3","7159813")</f>
        <v>0</v>
      </c>
      <c r="B4679" t="s">
        <v>262</v>
      </c>
      <c r="C4679" t="s">
        <v>8322</v>
      </c>
      <c r="D4679" t="s">
        <v>19049</v>
      </c>
      <c r="E4679" t="s">
        <v>23257</v>
      </c>
      <c r="F4679" t="s">
        <v>32831</v>
      </c>
      <c r="G4679" t="s">
        <v>32838</v>
      </c>
      <c r="H4679" t="s">
        <v>32848</v>
      </c>
      <c r="I4679" t="s">
        <v>4222</v>
      </c>
      <c r="J4679" t="s">
        <v>36008</v>
      </c>
      <c r="K4679" t="s">
        <v>42726</v>
      </c>
      <c r="M4679" t="s">
        <v>43261</v>
      </c>
      <c r="N4679" t="s">
        <v>47424</v>
      </c>
      <c r="O4679" t="s">
        <v>47425</v>
      </c>
      <c r="P4679">
        <v>0</v>
      </c>
      <c r="Q4679">
        <v>0</v>
      </c>
      <c r="R4679" t="s">
        <v>47430</v>
      </c>
      <c r="S4679" t="s">
        <v>47549</v>
      </c>
      <c r="T4679" t="s">
        <v>49162</v>
      </c>
      <c r="U4679" t="s">
        <v>53643</v>
      </c>
      <c r="W4679" t="s">
        <v>43261</v>
      </c>
      <c r="X4679" t="s">
        <v>47431</v>
      </c>
    </row>
    <row r="4680" spans="1:24">
      <c r="A4680">
        <f>HYPERLINK("https://www.philgeps.gov.ph/GEPSNONPILOT/Tender/SplashBidNoticeAbstractUI.aspx?menuIndex=3&amp;refID=7159870&amp;Result=3","7159870")</f>
        <v>0</v>
      </c>
      <c r="B4680" t="s">
        <v>1837</v>
      </c>
      <c r="C4680" t="s">
        <v>8323</v>
      </c>
      <c r="D4680" t="s">
        <v>19087</v>
      </c>
      <c r="E4680" t="s">
        <v>23258</v>
      </c>
      <c r="F4680" t="s">
        <v>32831</v>
      </c>
      <c r="G4680" t="s">
        <v>32839</v>
      </c>
      <c r="H4680" t="s">
        <v>32849</v>
      </c>
      <c r="I4680" t="s">
        <v>4177</v>
      </c>
      <c r="J4680" t="s">
        <v>36009</v>
      </c>
      <c r="K4680" t="s">
        <v>42829</v>
      </c>
      <c r="M4680" t="s">
        <v>44971</v>
      </c>
      <c r="N4680" t="s">
        <v>47424</v>
      </c>
      <c r="O4680" t="s">
        <v>47425</v>
      </c>
      <c r="P4680">
        <v>0</v>
      </c>
      <c r="Q4680">
        <v>0</v>
      </c>
      <c r="R4680" t="s">
        <v>47430</v>
      </c>
      <c r="S4680" t="s">
        <v>47549</v>
      </c>
      <c r="T4680" t="s">
        <v>49181</v>
      </c>
      <c r="U4680" t="s">
        <v>53644</v>
      </c>
      <c r="V4680" t="s">
        <v>63150</v>
      </c>
      <c r="W4680" t="s">
        <v>44971</v>
      </c>
      <c r="X4680" t="s">
        <v>47431</v>
      </c>
    </row>
    <row r="4681" spans="1:24">
      <c r="A4681">
        <f>HYPERLINK("https://www.philgeps.gov.ph/GEPSNONPILOT/Tender/SplashBidNoticeAbstractUI.aspx?menuIndex=3&amp;refID=7159830&amp;Result=3","7159830")</f>
        <v>0</v>
      </c>
      <c r="B4681" t="s">
        <v>228</v>
      </c>
      <c r="C4681" t="s">
        <v>8324</v>
      </c>
      <c r="D4681" t="s">
        <v>19033</v>
      </c>
      <c r="E4681" t="s">
        <v>23259</v>
      </c>
      <c r="F4681" t="s">
        <v>32831</v>
      </c>
      <c r="G4681" t="s">
        <v>32838</v>
      </c>
      <c r="H4681" t="s">
        <v>32848</v>
      </c>
      <c r="I4681" t="s">
        <v>32863</v>
      </c>
      <c r="J4681" t="s">
        <v>36010</v>
      </c>
      <c r="K4681" t="s">
        <v>42730</v>
      </c>
      <c r="M4681" t="s">
        <v>43791</v>
      </c>
      <c r="N4681" t="s">
        <v>47424</v>
      </c>
      <c r="O4681" t="s">
        <v>47425</v>
      </c>
      <c r="P4681">
        <v>0</v>
      </c>
      <c r="Q4681">
        <v>0</v>
      </c>
      <c r="R4681" t="s">
        <v>47430</v>
      </c>
      <c r="S4681" t="s">
        <v>47549</v>
      </c>
      <c r="T4681" t="s">
        <v>49124</v>
      </c>
      <c r="U4681" t="s">
        <v>53645</v>
      </c>
      <c r="W4681" t="s">
        <v>43791</v>
      </c>
      <c r="X4681" t="s">
        <v>47431</v>
      </c>
    </row>
    <row r="4682" spans="1:24">
      <c r="A4682">
        <f>HYPERLINK("https://www.philgeps.gov.ph/GEPSNONPILOT/Tender/SplashBidNoticeAbstractUI.aspx?menuIndex=3&amp;refID=7159818&amp;Result=3","7159818")</f>
        <v>0</v>
      </c>
      <c r="B4682" t="s">
        <v>726</v>
      </c>
      <c r="C4682" t="s">
        <v>8325</v>
      </c>
      <c r="E4682" t="s">
        <v>23260</v>
      </c>
      <c r="F4682" t="s">
        <v>32831</v>
      </c>
      <c r="G4682" t="s">
        <v>32839</v>
      </c>
      <c r="H4682" t="s">
        <v>32848</v>
      </c>
      <c r="I4682" t="s">
        <v>4776</v>
      </c>
      <c r="J4682" t="s">
        <v>36011</v>
      </c>
      <c r="K4682" t="s">
        <v>42732</v>
      </c>
      <c r="M4682" t="s">
        <v>44276</v>
      </c>
      <c r="N4682" t="s">
        <v>47424</v>
      </c>
      <c r="O4682" t="s">
        <v>47425</v>
      </c>
      <c r="P4682">
        <v>0</v>
      </c>
      <c r="Q4682">
        <v>3</v>
      </c>
      <c r="R4682" t="s">
        <v>47430</v>
      </c>
      <c r="S4682" t="s">
        <v>47549</v>
      </c>
      <c r="T4682" t="s">
        <v>49319</v>
      </c>
      <c r="U4682" t="s">
        <v>53646</v>
      </c>
      <c r="W4682" t="s">
        <v>44276</v>
      </c>
      <c r="X4682" t="s">
        <v>47431</v>
      </c>
    </row>
    <row r="4683" spans="1:24">
      <c r="A4683">
        <f>HYPERLINK("https://www.philgeps.gov.ph/GEPSNONPILOT/Tender/SplashBidNoticeAbstractUI.aspx?menuIndex=3&amp;refID=7159707&amp;Result=3","7159707")</f>
        <v>0</v>
      </c>
      <c r="B4683" t="s">
        <v>669</v>
      </c>
      <c r="C4683" t="s">
        <v>5283</v>
      </c>
      <c r="D4683" t="s">
        <v>19022</v>
      </c>
      <c r="E4683" t="s">
        <v>23261</v>
      </c>
      <c r="F4683" t="s">
        <v>32831</v>
      </c>
      <c r="G4683" t="s">
        <v>32838</v>
      </c>
      <c r="H4683" t="s">
        <v>32848</v>
      </c>
      <c r="I4683" t="s">
        <v>9577</v>
      </c>
      <c r="J4683" t="s">
        <v>36012</v>
      </c>
      <c r="K4683" t="s">
        <v>42726</v>
      </c>
      <c r="M4683" t="s">
        <v>43688</v>
      </c>
      <c r="N4683" t="s">
        <v>47424</v>
      </c>
      <c r="O4683" t="s">
        <v>47425</v>
      </c>
      <c r="P4683">
        <v>0</v>
      </c>
      <c r="Q4683">
        <v>0</v>
      </c>
      <c r="R4683" t="s">
        <v>47430</v>
      </c>
      <c r="S4683" t="s">
        <v>47549</v>
      </c>
      <c r="T4683" t="s">
        <v>49166</v>
      </c>
      <c r="U4683" t="s">
        <v>53647</v>
      </c>
      <c r="W4683" t="s">
        <v>43688</v>
      </c>
      <c r="X4683" t="s">
        <v>47431</v>
      </c>
    </row>
    <row r="4684" spans="1:24">
      <c r="A4684">
        <f>HYPERLINK("https://www.philgeps.gov.ph/GEPSNONPILOT/Tender/SplashBidNoticeAbstractUI.aspx?menuIndex=3&amp;refID=7159864&amp;Result=3","7159864")</f>
        <v>0</v>
      </c>
      <c r="B4684" t="s">
        <v>746</v>
      </c>
      <c r="C4684" t="s">
        <v>8326</v>
      </c>
      <c r="D4684" t="s">
        <v>19078</v>
      </c>
      <c r="E4684" t="s">
        <v>8326</v>
      </c>
      <c r="F4684" t="s">
        <v>32831</v>
      </c>
      <c r="G4684" t="s">
        <v>32839</v>
      </c>
      <c r="H4684" t="s">
        <v>32849</v>
      </c>
      <c r="I4684" t="s">
        <v>4177</v>
      </c>
      <c r="J4684" t="s">
        <v>36013</v>
      </c>
      <c r="K4684" t="s">
        <v>42784</v>
      </c>
      <c r="M4684" t="s">
        <v>43769</v>
      </c>
      <c r="N4684" t="s">
        <v>47424</v>
      </c>
      <c r="O4684" t="s">
        <v>47425</v>
      </c>
      <c r="P4684">
        <v>0</v>
      </c>
      <c r="Q4684">
        <v>0</v>
      </c>
      <c r="R4684" t="s">
        <v>47430</v>
      </c>
      <c r="S4684" t="s">
        <v>47549</v>
      </c>
      <c r="T4684" t="s">
        <v>49065</v>
      </c>
      <c r="U4684" t="s">
        <v>53648</v>
      </c>
      <c r="W4684" t="s">
        <v>43769</v>
      </c>
      <c r="X4684" t="s">
        <v>47431</v>
      </c>
    </row>
    <row r="4685" spans="1:24">
      <c r="A4685">
        <f>HYPERLINK("https://www.philgeps.gov.ph/GEPSNONPILOT/Tender/SplashBidNoticeAbstractUI.aspx?menuIndex=3&amp;refID=7159861&amp;Result=3","7159861")</f>
        <v>0</v>
      </c>
      <c r="B4685" t="s">
        <v>633</v>
      </c>
      <c r="C4685" t="s">
        <v>8327</v>
      </c>
      <c r="D4685" t="s">
        <v>19062</v>
      </c>
      <c r="E4685" t="s">
        <v>23262</v>
      </c>
      <c r="F4685" t="s">
        <v>32831</v>
      </c>
      <c r="G4685" t="s">
        <v>32838</v>
      </c>
      <c r="H4685" t="s">
        <v>32848</v>
      </c>
      <c r="I4685" t="s">
        <v>4438</v>
      </c>
      <c r="J4685" t="s">
        <v>36014</v>
      </c>
      <c r="K4685" t="s">
        <v>42750</v>
      </c>
      <c r="M4685" t="s">
        <v>43650</v>
      </c>
      <c r="N4685" t="s">
        <v>47424</v>
      </c>
      <c r="O4685" t="s">
        <v>47425</v>
      </c>
      <c r="P4685">
        <v>0</v>
      </c>
      <c r="Q4685">
        <v>1</v>
      </c>
      <c r="R4685" t="s">
        <v>47430</v>
      </c>
      <c r="S4685" t="s">
        <v>47549</v>
      </c>
      <c r="T4685" t="s">
        <v>49127</v>
      </c>
      <c r="U4685" t="s">
        <v>53649</v>
      </c>
      <c r="W4685" t="s">
        <v>43650</v>
      </c>
      <c r="X4685" t="s">
        <v>47431</v>
      </c>
    </row>
    <row r="4686" spans="1:24">
      <c r="A4686">
        <f>HYPERLINK("https://www.philgeps.gov.ph/GEPSNONPILOT/Tender/SplashBidNoticeAbstractUI.aspx?menuIndex=3&amp;refID=7159868&amp;Result=3","7159868")</f>
        <v>0</v>
      </c>
      <c r="B4686" t="s">
        <v>1679</v>
      </c>
      <c r="C4686" t="s">
        <v>8328</v>
      </c>
      <c r="D4686" t="s">
        <v>19052</v>
      </c>
      <c r="E4686" t="s">
        <v>23263</v>
      </c>
      <c r="F4686" t="s">
        <v>32831</v>
      </c>
      <c r="G4686" t="s">
        <v>32839</v>
      </c>
      <c r="H4686" t="s">
        <v>32849</v>
      </c>
      <c r="I4686" t="s">
        <v>4177</v>
      </c>
      <c r="J4686" t="s">
        <v>35989</v>
      </c>
      <c r="K4686" t="s">
        <v>42779</v>
      </c>
      <c r="M4686" t="s">
        <v>44797</v>
      </c>
      <c r="N4686" t="s">
        <v>47424</v>
      </c>
      <c r="O4686" t="s">
        <v>47425</v>
      </c>
      <c r="P4686">
        <v>0</v>
      </c>
      <c r="Q4686">
        <v>2</v>
      </c>
      <c r="R4686" t="s">
        <v>47430</v>
      </c>
      <c r="S4686" t="s">
        <v>47549</v>
      </c>
      <c r="T4686" t="s">
        <v>49198</v>
      </c>
      <c r="U4686" t="s">
        <v>53626</v>
      </c>
      <c r="V4686" t="s">
        <v>63090</v>
      </c>
      <c r="W4686" t="s">
        <v>44797</v>
      </c>
      <c r="X4686" t="s">
        <v>47431</v>
      </c>
    </row>
    <row r="4687" spans="1:24">
      <c r="A4687">
        <f>HYPERLINK("https://www.philgeps.gov.ph/GEPSNONPILOT/Tender/SplashBidNoticeAbstractUI.aspx?menuIndex=3&amp;refID=7159860&amp;Result=3","7159860")</f>
        <v>0</v>
      </c>
      <c r="B4687" t="s">
        <v>726</v>
      </c>
      <c r="C4687" t="s">
        <v>8329</v>
      </c>
      <c r="E4687" t="s">
        <v>23264</v>
      </c>
      <c r="F4687" t="s">
        <v>32831</v>
      </c>
      <c r="G4687" t="s">
        <v>32839</v>
      </c>
      <c r="H4687" t="s">
        <v>32848</v>
      </c>
      <c r="I4687" t="s">
        <v>32857</v>
      </c>
      <c r="J4687" t="s">
        <v>36015</v>
      </c>
      <c r="K4687" t="s">
        <v>42732</v>
      </c>
      <c r="M4687" t="s">
        <v>44276</v>
      </c>
      <c r="N4687" t="s">
        <v>47424</v>
      </c>
      <c r="O4687" t="s">
        <v>47425</v>
      </c>
      <c r="P4687">
        <v>0</v>
      </c>
      <c r="Q4687">
        <v>2</v>
      </c>
      <c r="R4687" t="s">
        <v>47430</v>
      </c>
      <c r="S4687" t="s">
        <v>47549</v>
      </c>
      <c r="T4687" t="s">
        <v>49319</v>
      </c>
      <c r="U4687" t="s">
        <v>53650</v>
      </c>
      <c r="W4687" t="s">
        <v>44276</v>
      </c>
      <c r="X4687" t="s">
        <v>47431</v>
      </c>
    </row>
    <row r="4688" spans="1:24">
      <c r="A4688">
        <f>HYPERLINK("https://www.philgeps.gov.ph/GEPSNONPILOT/Tender/SplashBidNoticeAbstractUI.aspx?menuIndex=3&amp;refID=7159857&amp;Result=3","7159857")</f>
        <v>0</v>
      </c>
      <c r="B4688" t="s">
        <v>895</v>
      </c>
      <c r="C4688" t="s">
        <v>8330</v>
      </c>
      <c r="D4688" t="s">
        <v>19036</v>
      </c>
      <c r="E4688" t="s">
        <v>23265</v>
      </c>
      <c r="F4688" t="s">
        <v>32831</v>
      </c>
      <c r="G4688" t="s">
        <v>32842</v>
      </c>
      <c r="H4688" t="s">
        <v>32848</v>
      </c>
      <c r="I4688" t="s">
        <v>4340</v>
      </c>
      <c r="J4688" t="s">
        <v>36016</v>
      </c>
      <c r="K4688" t="s">
        <v>42727</v>
      </c>
      <c r="M4688" t="s">
        <v>44963</v>
      </c>
      <c r="N4688" t="s">
        <v>47424</v>
      </c>
      <c r="O4688" t="s">
        <v>47425</v>
      </c>
      <c r="P4688">
        <v>0</v>
      </c>
      <c r="Q4688">
        <v>2</v>
      </c>
      <c r="R4688" t="s">
        <v>47430</v>
      </c>
      <c r="S4688" t="s">
        <v>47549</v>
      </c>
      <c r="T4688" t="s">
        <v>49206</v>
      </c>
      <c r="U4688" t="s">
        <v>53651</v>
      </c>
      <c r="W4688" t="s">
        <v>44963</v>
      </c>
      <c r="X4688" t="s">
        <v>47431</v>
      </c>
    </row>
    <row r="4689" spans="1:24">
      <c r="A4689">
        <f>HYPERLINK("https://www.philgeps.gov.ph/GEPSNONPILOT/Tender/SplashBidNoticeAbstractUI.aspx?menuIndex=3&amp;refID=7159865&amp;Result=3","7159865")</f>
        <v>0</v>
      </c>
      <c r="B4689" t="s">
        <v>1838</v>
      </c>
      <c r="C4689" t="s">
        <v>8331</v>
      </c>
      <c r="D4689" t="s">
        <v>19049</v>
      </c>
      <c r="E4689" t="s">
        <v>23266</v>
      </c>
      <c r="F4689" t="s">
        <v>32831</v>
      </c>
      <c r="G4689" t="s">
        <v>32839</v>
      </c>
      <c r="H4689" t="s">
        <v>32848</v>
      </c>
      <c r="I4689" t="s">
        <v>7416</v>
      </c>
      <c r="J4689" t="s">
        <v>33087</v>
      </c>
      <c r="K4689" t="s">
        <v>42730</v>
      </c>
      <c r="M4689" t="s">
        <v>44972</v>
      </c>
      <c r="N4689" t="s">
        <v>47424</v>
      </c>
      <c r="O4689" t="s">
        <v>47425</v>
      </c>
      <c r="P4689">
        <v>0</v>
      </c>
      <c r="Q4689">
        <v>0</v>
      </c>
      <c r="R4689" t="s">
        <v>47430</v>
      </c>
      <c r="S4689" t="s">
        <v>47549</v>
      </c>
      <c r="T4689" t="s">
        <v>49091</v>
      </c>
      <c r="U4689" t="s">
        <v>53652</v>
      </c>
      <c r="V4689" t="s">
        <v>63151</v>
      </c>
      <c r="W4689" t="s">
        <v>44972</v>
      </c>
      <c r="X4689" t="s">
        <v>47431</v>
      </c>
    </row>
    <row r="4690" spans="1:24">
      <c r="A4690">
        <f>HYPERLINK("https://www.philgeps.gov.ph/GEPSNONPILOT/Tender/SplashBidNoticeAbstractUI.aspx?menuIndex=3&amp;refID=7159859&amp;Result=3","7159859")</f>
        <v>0</v>
      </c>
      <c r="B4690" t="s">
        <v>1833</v>
      </c>
      <c r="C4690" t="s">
        <v>8332</v>
      </c>
      <c r="D4690" t="s">
        <v>19047</v>
      </c>
      <c r="E4690" t="s">
        <v>20851</v>
      </c>
      <c r="F4690" t="s">
        <v>32831</v>
      </c>
      <c r="G4690" t="s">
        <v>32840</v>
      </c>
      <c r="H4690" t="s">
        <v>32848</v>
      </c>
      <c r="I4690" t="s">
        <v>32855</v>
      </c>
      <c r="J4690" t="s">
        <v>33401</v>
      </c>
      <c r="K4690" t="s">
        <v>42726</v>
      </c>
      <c r="M4690" t="s">
        <v>44967</v>
      </c>
      <c r="N4690" t="s">
        <v>47424</v>
      </c>
      <c r="O4690" t="s">
        <v>47425</v>
      </c>
      <c r="P4690">
        <v>0</v>
      </c>
      <c r="Q4690">
        <v>14</v>
      </c>
      <c r="R4690" t="s">
        <v>47430</v>
      </c>
      <c r="S4690" t="s">
        <v>47549</v>
      </c>
      <c r="T4690" t="s">
        <v>49163</v>
      </c>
      <c r="U4690" t="s">
        <v>53653</v>
      </c>
      <c r="W4690" t="s">
        <v>44967</v>
      </c>
      <c r="X4690" t="s">
        <v>47431</v>
      </c>
    </row>
    <row r="4691" spans="1:24">
      <c r="A4691">
        <f>HYPERLINK("https://www.philgeps.gov.ph/GEPSNONPILOT/Tender/SplashBidNoticeAbstractUI.aspx?menuIndex=3&amp;refID=7159869&amp;Result=3","7159869")</f>
        <v>0</v>
      </c>
      <c r="B4691" t="s">
        <v>1806</v>
      </c>
      <c r="C4691" t="s">
        <v>8333</v>
      </c>
      <c r="D4691" t="s">
        <v>19090</v>
      </c>
      <c r="E4691" t="s">
        <v>23267</v>
      </c>
      <c r="F4691" t="s">
        <v>32831</v>
      </c>
      <c r="G4691" t="s">
        <v>32839</v>
      </c>
      <c r="H4691" t="s">
        <v>32849</v>
      </c>
      <c r="I4691" t="s">
        <v>4177</v>
      </c>
      <c r="J4691" t="s">
        <v>36017</v>
      </c>
      <c r="K4691" t="s">
        <v>42865</v>
      </c>
      <c r="M4691" t="s">
        <v>44939</v>
      </c>
      <c r="N4691" t="s">
        <v>47424</v>
      </c>
      <c r="O4691" t="s">
        <v>47425</v>
      </c>
      <c r="P4691">
        <v>0</v>
      </c>
      <c r="Q4691">
        <v>0</v>
      </c>
      <c r="R4691" t="s">
        <v>47430</v>
      </c>
      <c r="S4691" t="s">
        <v>47549</v>
      </c>
      <c r="T4691" t="s">
        <v>49236</v>
      </c>
      <c r="U4691" t="s">
        <v>53544</v>
      </c>
      <c r="W4691" t="s">
        <v>44939</v>
      </c>
      <c r="X4691" t="s">
        <v>47431</v>
      </c>
    </row>
    <row r="4692" spans="1:24">
      <c r="A4692">
        <f>HYPERLINK("https://www.philgeps.gov.ph/GEPSNONPILOT/Tender/SplashBidNoticeAbstractUI.aspx?menuIndex=3&amp;refID=7159824&amp;Result=3","7159824")</f>
        <v>0</v>
      </c>
      <c r="B4692" t="s">
        <v>1839</v>
      </c>
      <c r="C4692" t="s">
        <v>8334</v>
      </c>
      <c r="D4692" t="s">
        <v>19033</v>
      </c>
      <c r="E4692" t="s">
        <v>23268</v>
      </c>
      <c r="F4692" t="s">
        <v>32831</v>
      </c>
      <c r="G4692" t="s">
        <v>32840</v>
      </c>
      <c r="H4692" t="s">
        <v>32848</v>
      </c>
      <c r="I4692" t="s">
        <v>4776</v>
      </c>
      <c r="J4692" t="s">
        <v>32976</v>
      </c>
      <c r="K4692" t="s">
        <v>42730</v>
      </c>
      <c r="M4692" t="s">
        <v>44973</v>
      </c>
      <c r="N4692" t="s">
        <v>47424</v>
      </c>
      <c r="O4692" t="s">
        <v>47425</v>
      </c>
      <c r="P4692">
        <v>0</v>
      </c>
      <c r="Q4692">
        <v>1</v>
      </c>
      <c r="R4692" t="s">
        <v>47430</v>
      </c>
      <c r="S4692" t="s">
        <v>47549</v>
      </c>
      <c r="T4692" t="s">
        <v>49177</v>
      </c>
      <c r="U4692" t="s">
        <v>53654</v>
      </c>
      <c r="W4692" t="s">
        <v>44973</v>
      </c>
      <c r="X4692" t="s">
        <v>47431</v>
      </c>
    </row>
    <row r="4693" spans="1:24">
      <c r="A4693">
        <f>HYPERLINK("https://www.philgeps.gov.ph/GEPSNONPILOT/Tender/SplashBidNoticeAbstractUI.aspx?menuIndex=3&amp;refID=7159856&amp;Result=3","7159856")</f>
        <v>0</v>
      </c>
      <c r="B4693" t="s">
        <v>478</v>
      </c>
      <c r="C4693" t="s">
        <v>8335</v>
      </c>
      <c r="D4693" t="s">
        <v>19043</v>
      </c>
      <c r="E4693" t="s">
        <v>23269</v>
      </c>
      <c r="F4693" t="s">
        <v>32831</v>
      </c>
      <c r="G4693" t="s">
        <v>32839</v>
      </c>
      <c r="H4693" t="s">
        <v>32849</v>
      </c>
      <c r="I4693" t="s">
        <v>4177</v>
      </c>
      <c r="J4693" t="s">
        <v>36018</v>
      </c>
      <c r="K4693" t="s">
        <v>42865</v>
      </c>
      <c r="M4693" t="s">
        <v>43483</v>
      </c>
      <c r="N4693" t="s">
        <v>47424</v>
      </c>
      <c r="O4693" t="s">
        <v>47425</v>
      </c>
      <c r="P4693">
        <v>0</v>
      </c>
      <c r="Q4693">
        <v>1</v>
      </c>
      <c r="R4693" t="s">
        <v>47430</v>
      </c>
      <c r="S4693" t="s">
        <v>47549</v>
      </c>
      <c r="T4693" t="s">
        <v>49140</v>
      </c>
      <c r="U4693" t="s">
        <v>53655</v>
      </c>
      <c r="W4693" t="s">
        <v>43483</v>
      </c>
      <c r="X4693" t="s">
        <v>47431</v>
      </c>
    </row>
    <row r="4694" spans="1:24">
      <c r="A4694">
        <f>HYPERLINK("https://www.philgeps.gov.ph/GEPSNONPILOT/Tender/SplashBidNoticeAbstractUI.aspx?menuIndex=3&amp;refID=7159855&amp;Result=3","7159855")</f>
        <v>0</v>
      </c>
      <c r="B4694" t="s">
        <v>1840</v>
      </c>
      <c r="C4694" t="s">
        <v>8336</v>
      </c>
      <c r="D4694" t="s">
        <v>19092</v>
      </c>
      <c r="E4694" t="s">
        <v>23270</v>
      </c>
      <c r="F4694" t="s">
        <v>32831</v>
      </c>
      <c r="G4694" t="s">
        <v>32839</v>
      </c>
      <c r="H4694" t="s">
        <v>32848</v>
      </c>
      <c r="I4694" t="s">
        <v>7416</v>
      </c>
      <c r="J4694" t="s">
        <v>36019</v>
      </c>
      <c r="K4694" t="s">
        <v>42729</v>
      </c>
      <c r="M4694" t="s">
        <v>44974</v>
      </c>
      <c r="N4694" t="s">
        <v>47424</v>
      </c>
      <c r="O4694" t="s">
        <v>47425</v>
      </c>
      <c r="P4694">
        <v>0</v>
      </c>
      <c r="Q4694">
        <v>1</v>
      </c>
      <c r="R4694" t="s">
        <v>47430</v>
      </c>
      <c r="S4694" t="s">
        <v>47549</v>
      </c>
      <c r="T4694" t="s">
        <v>49106</v>
      </c>
      <c r="U4694" t="s">
        <v>53656</v>
      </c>
      <c r="W4694" t="s">
        <v>44974</v>
      </c>
      <c r="X4694" t="s">
        <v>47431</v>
      </c>
    </row>
    <row r="4695" spans="1:24">
      <c r="A4695">
        <f>HYPERLINK("https://www.philgeps.gov.ph/GEPSNONPILOT/Tender/SplashBidNoticeAbstractUI.aspx?menuIndex=3&amp;refID=7159867&amp;Result=3","7159867")</f>
        <v>0</v>
      </c>
      <c r="B4695" t="s">
        <v>1841</v>
      </c>
      <c r="C4695" t="s">
        <v>8337</v>
      </c>
      <c r="D4695" t="s">
        <v>19047</v>
      </c>
      <c r="E4695" t="s">
        <v>23271</v>
      </c>
      <c r="F4695" t="s">
        <v>32831</v>
      </c>
      <c r="G4695" t="s">
        <v>32839</v>
      </c>
      <c r="H4695" t="s">
        <v>32848</v>
      </c>
      <c r="I4695" t="s">
        <v>8577</v>
      </c>
      <c r="J4695" t="s">
        <v>33140</v>
      </c>
      <c r="K4695" t="s">
        <v>42746</v>
      </c>
      <c r="M4695" t="s">
        <v>44975</v>
      </c>
      <c r="N4695" t="s">
        <v>47424</v>
      </c>
      <c r="O4695" t="s">
        <v>47425</v>
      </c>
      <c r="P4695">
        <v>0</v>
      </c>
      <c r="Q4695">
        <v>1</v>
      </c>
      <c r="R4695" t="s">
        <v>47430</v>
      </c>
      <c r="S4695" t="s">
        <v>47549</v>
      </c>
      <c r="T4695" t="s">
        <v>49059</v>
      </c>
      <c r="U4695" t="s">
        <v>53657</v>
      </c>
      <c r="W4695" t="s">
        <v>44975</v>
      </c>
      <c r="X4695" t="s">
        <v>47431</v>
      </c>
    </row>
    <row r="4696" spans="1:24">
      <c r="A4696">
        <f>HYPERLINK("https://www.philgeps.gov.ph/GEPSNONPILOT/Tender/SplashBidNoticeAbstractUI.aspx?menuIndex=3&amp;refID=7159853&amp;Result=3","7159853")</f>
        <v>0</v>
      </c>
      <c r="B4696" t="s">
        <v>1842</v>
      </c>
      <c r="C4696" t="s">
        <v>8338</v>
      </c>
      <c r="D4696" t="s">
        <v>19035</v>
      </c>
      <c r="E4696" t="s">
        <v>23272</v>
      </c>
      <c r="F4696" t="s">
        <v>32831</v>
      </c>
      <c r="G4696" t="s">
        <v>32839</v>
      </c>
      <c r="H4696" t="s">
        <v>32848</v>
      </c>
      <c r="I4696" t="s">
        <v>7751</v>
      </c>
      <c r="J4696" t="s">
        <v>36020</v>
      </c>
      <c r="K4696" t="s">
        <v>42730</v>
      </c>
      <c r="M4696" t="s">
        <v>44976</v>
      </c>
      <c r="N4696" t="s">
        <v>47424</v>
      </c>
      <c r="O4696" t="s">
        <v>47425</v>
      </c>
      <c r="P4696">
        <v>0</v>
      </c>
      <c r="Q4696">
        <v>3</v>
      </c>
      <c r="R4696" t="s">
        <v>47430</v>
      </c>
      <c r="S4696" t="s">
        <v>47549</v>
      </c>
      <c r="T4696" t="s">
        <v>49102</v>
      </c>
      <c r="U4696" t="s">
        <v>53658</v>
      </c>
      <c r="W4696" t="s">
        <v>64488</v>
      </c>
      <c r="X4696" t="s">
        <v>47431</v>
      </c>
    </row>
    <row r="4697" spans="1:24">
      <c r="A4697">
        <f>HYPERLINK("https://www.philgeps.gov.ph/GEPSNONPILOT/Tender/SplashBidNoticeAbstractUI.aspx?menuIndex=3&amp;refID=7159852&amp;Result=3","7159852")</f>
        <v>0</v>
      </c>
      <c r="B4697" t="s">
        <v>1831</v>
      </c>
      <c r="C4697" t="s">
        <v>8339</v>
      </c>
      <c r="D4697" t="s">
        <v>19070</v>
      </c>
      <c r="E4697" t="s">
        <v>23273</v>
      </c>
      <c r="F4697" t="s">
        <v>32831</v>
      </c>
      <c r="G4697" t="s">
        <v>32839</v>
      </c>
      <c r="H4697" t="s">
        <v>32848</v>
      </c>
      <c r="I4697" t="s">
        <v>32857</v>
      </c>
      <c r="J4697" t="s">
        <v>33053</v>
      </c>
      <c r="K4697" t="s">
        <v>42730</v>
      </c>
      <c r="M4697" t="s">
        <v>44965</v>
      </c>
      <c r="N4697" t="s">
        <v>47424</v>
      </c>
      <c r="O4697" t="s">
        <v>47425</v>
      </c>
      <c r="P4697">
        <v>0</v>
      </c>
      <c r="Q4697">
        <v>4</v>
      </c>
      <c r="R4697" t="s">
        <v>47430</v>
      </c>
      <c r="S4697" t="s">
        <v>47549</v>
      </c>
      <c r="T4697" t="s">
        <v>49169</v>
      </c>
      <c r="U4697" t="s">
        <v>53659</v>
      </c>
      <c r="W4697" t="s">
        <v>44965</v>
      </c>
      <c r="X4697" t="s">
        <v>47431</v>
      </c>
    </row>
    <row r="4698" spans="1:24">
      <c r="A4698">
        <f>HYPERLINK("https://www.philgeps.gov.ph/GEPSNONPILOT/Tender/SplashBidNoticeAbstractUI.aspx?menuIndex=3&amp;refID=7159896&amp;Result=3","7159896")</f>
        <v>0</v>
      </c>
      <c r="B4698" t="s">
        <v>1843</v>
      </c>
      <c r="C4698" t="s">
        <v>8340</v>
      </c>
      <c r="D4698" t="s">
        <v>19037</v>
      </c>
      <c r="E4698" t="s">
        <v>20737</v>
      </c>
      <c r="F4698" t="s">
        <v>32831</v>
      </c>
      <c r="G4698" t="s">
        <v>32839</v>
      </c>
      <c r="H4698" t="s">
        <v>32848</v>
      </c>
      <c r="I4698" t="s">
        <v>32890</v>
      </c>
      <c r="J4698" t="s">
        <v>35675</v>
      </c>
      <c r="K4698" t="s">
        <v>42727</v>
      </c>
      <c r="M4698" t="s">
        <v>44977</v>
      </c>
      <c r="N4698" t="s">
        <v>47424</v>
      </c>
      <c r="O4698" t="s">
        <v>47425</v>
      </c>
      <c r="P4698">
        <v>0</v>
      </c>
      <c r="Q4698">
        <v>0</v>
      </c>
      <c r="R4698" t="s">
        <v>47430</v>
      </c>
      <c r="S4698" t="s">
        <v>47549</v>
      </c>
      <c r="T4698" t="s">
        <v>49181</v>
      </c>
      <c r="U4698" t="s">
        <v>53660</v>
      </c>
      <c r="V4698" t="s">
        <v>63152</v>
      </c>
      <c r="W4698" t="s">
        <v>44977</v>
      </c>
      <c r="X4698" t="s">
        <v>47431</v>
      </c>
    </row>
    <row r="4699" spans="1:24">
      <c r="A4699">
        <f>HYPERLINK("https://www.philgeps.gov.ph/GEPSNONPILOT/Tender/SplashBidNoticeAbstractUI.aspx?menuIndex=3&amp;refID=7159900&amp;Result=3","7159900")</f>
        <v>0</v>
      </c>
      <c r="B4699" t="s">
        <v>1844</v>
      </c>
      <c r="C4699" t="s">
        <v>8341</v>
      </c>
      <c r="D4699" t="s">
        <v>19104</v>
      </c>
      <c r="E4699" t="s">
        <v>19606</v>
      </c>
      <c r="F4699" t="s">
        <v>32831</v>
      </c>
      <c r="G4699" t="s">
        <v>32839</v>
      </c>
      <c r="H4699" t="s">
        <v>32849</v>
      </c>
      <c r="I4699" t="s">
        <v>4177</v>
      </c>
      <c r="J4699" t="s">
        <v>32980</v>
      </c>
      <c r="K4699" t="s">
        <v>42745</v>
      </c>
      <c r="M4699" t="s">
        <v>44978</v>
      </c>
      <c r="N4699" t="s">
        <v>47424</v>
      </c>
      <c r="O4699" t="s">
        <v>47425</v>
      </c>
      <c r="P4699">
        <v>0</v>
      </c>
      <c r="Q4699">
        <v>0</v>
      </c>
      <c r="R4699" t="s">
        <v>47430</v>
      </c>
      <c r="S4699" t="s">
        <v>47549</v>
      </c>
      <c r="T4699" t="s">
        <v>49105</v>
      </c>
      <c r="U4699" t="s">
        <v>53661</v>
      </c>
      <c r="W4699" t="s">
        <v>44978</v>
      </c>
      <c r="X4699" t="s">
        <v>47431</v>
      </c>
    </row>
    <row r="4700" spans="1:24">
      <c r="A4700">
        <f>HYPERLINK("https://www.philgeps.gov.ph/GEPSNONPILOT/Tender/SplashBidNoticeAbstractUI.aspx?menuIndex=3&amp;refID=7159854&amp;Result=3","7159854")</f>
        <v>0</v>
      </c>
      <c r="B4700" t="s">
        <v>904</v>
      </c>
      <c r="C4700" t="s">
        <v>8342</v>
      </c>
      <c r="D4700" t="s">
        <v>19047</v>
      </c>
      <c r="E4700" t="s">
        <v>23274</v>
      </c>
      <c r="F4700" t="s">
        <v>32831</v>
      </c>
      <c r="G4700" t="s">
        <v>32838</v>
      </c>
      <c r="H4700" t="s">
        <v>32848</v>
      </c>
      <c r="I4700" t="s">
        <v>32930</v>
      </c>
      <c r="J4700" t="s">
        <v>35305</v>
      </c>
      <c r="K4700" t="s">
        <v>42730</v>
      </c>
      <c r="M4700" t="s">
        <v>44592</v>
      </c>
      <c r="N4700" t="s">
        <v>47424</v>
      </c>
      <c r="O4700" t="s">
        <v>47425</v>
      </c>
      <c r="Q4700">
        <v>9</v>
      </c>
      <c r="R4700" t="s">
        <v>47430</v>
      </c>
      <c r="S4700" t="s">
        <v>47553</v>
      </c>
      <c r="T4700" t="s">
        <v>49237</v>
      </c>
      <c r="U4700" t="s">
        <v>52713</v>
      </c>
      <c r="V4700" t="s">
        <v>63118</v>
      </c>
      <c r="W4700" t="s">
        <v>44592</v>
      </c>
      <c r="X4700" t="s">
        <v>47431</v>
      </c>
    </row>
    <row r="4701" spans="1:24">
      <c r="A4701">
        <f>HYPERLINK("https://www.philgeps.gov.ph/GEPSNONPILOT/Tender/SplashBidNoticeAbstractUI.aspx?menuIndex=3&amp;refID=7159894&amp;Result=3","7159894")</f>
        <v>0</v>
      </c>
      <c r="B4701" t="s">
        <v>1668</v>
      </c>
      <c r="C4701" t="s">
        <v>8343</v>
      </c>
      <c r="D4701" t="s">
        <v>19073</v>
      </c>
      <c r="E4701" t="s">
        <v>23275</v>
      </c>
      <c r="F4701" t="s">
        <v>32831</v>
      </c>
      <c r="G4701" t="s">
        <v>32839</v>
      </c>
      <c r="H4701" t="s">
        <v>32848</v>
      </c>
      <c r="I4701" t="s">
        <v>4222</v>
      </c>
      <c r="J4701" t="s">
        <v>36021</v>
      </c>
      <c r="K4701" t="s">
        <v>42731</v>
      </c>
      <c r="M4701" t="s">
        <v>44785</v>
      </c>
      <c r="N4701" t="s">
        <v>47424</v>
      </c>
      <c r="O4701" t="s">
        <v>47425</v>
      </c>
      <c r="P4701">
        <v>0</v>
      </c>
      <c r="Q4701">
        <v>0</v>
      </c>
      <c r="R4701" t="s">
        <v>47430</v>
      </c>
      <c r="S4701" t="s">
        <v>47549</v>
      </c>
      <c r="T4701" t="s">
        <v>49129</v>
      </c>
      <c r="U4701" t="s">
        <v>53662</v>
      </c>
      <c r="W4701" t="s">
        <v>44785</v>
      </c>
      <c r="X4701" t="s">
        <v>47431</v>
      </c>
    </row>
    <row r="4702" spans="1:24">
      <c r="A4702">
        <f>HYPERLINK("https://www.philgeps.gov.ph/GEPSNONPILOT/Tender/SplashBidNoticeAbstractUI.aspx?menuIndex=3&amp;refID=7159901&amp;Result=3","7159901")</f>
        <v>0</v>
      </c>
      <c r="B4702" t="s">
        <v>663</v>
      </c>
      <c r="C4702" t="s">
        <v>8344</v>
      </c>
      <c r="D4702" t="s">
        <v>19026</v>
      </c>
      <c r="E4702" t="s">
        <v>23276</v>
      </c>
      <c r="F4702" t="s">
        <v>32831</v>
      </c>
      <c r="G4702" t="s">
        <v>32840</v>
      </c>
      <c r="H4702" t="s">
        <v>32848</v>
      </c>
      <c r="I4702" t="s">
        <v>32864</v>
      </c>
      <c r="J4702" t="s">
        <v>36022</v>
      </c>
      <c r="K4702" t="s">
        <v>42732</v>
      </c>
      <c r="M4702" t="s">
        <v>43681</v>
      </c>
      <c r="N4702" t="s">
        <v>47424</v>
      </c>
      <c r="O4702" t="s">
        <v>47425</v>
      </c>
      <c r="P4702">
        <v>0</v>
      </c>
      <c r="Q4702">
        <v>5</v>
      </c>
      <c r="R4702" t="s">
        <v>47430</v>
      </c>
      <c r="S4702" t="s">
        <v>47549</v>
      </c>
      <c r="T4702" t="s">
        <v>49177</v>
      </c>
      <c r="U4702" t="s">
        <v>49728</v>
      </c>
      <c r="W4702" t="s">
        <v>43681</v>
      </c>
      <c r="X4702" t="s">
        <v>47431</v>
      </c>
    </row>
    <row r="4703" spans="1:24">
      <c r="A4703">
        <f>HYPERLINK("https://www.philgeps.gov.ph/GEPSNONPILOT/Tender/SplashBidNoticeAbstractUI.aspx?menuIndex=3&amp;refID=7159889&amp;Result=3","7159889")</f>
        <v>0</v>
      </c>
      <c r="B4703" t="s">
        <v>93</v>
      </c>
      <c r="C4703" t="s">
        <v>8345</v>
      </c>
      <c r="D4703" t="s">
        <v>19035</v>
      </c>
      <c r="E4703" t="s">
        <v>23277</v>
      </c>
      <c r="F4703" t="s">
        <v>32835</v>
      </c>
      <c r="G4703" t="s">
        <v>32839</v>
      </c>
      <c r="H4703" t="s">
        <v>32848</v>
      </c>
      <c r="I4703" t="s">
        <v>4558</v>
      </c>
      <c r="J4703" t="s">
        <v>36023</v>
      </c>
      <c r="K4703" t="s">
        <v>42730</v>
      </c>
      <c r="M4703" t="s">
        <v>43090</v>
      </c>
      <c r="N4703" t="s">
        <v>47424</v>
      </c>
      <c r="O4703" t="s">
        <v>47425</v>
      </c>
      <c r="P4703">
        <v>0</v>
      </c>
      <c r="Q4703">
        <v>6</v>
      </c>
      <c r="R4703" t="s">
        <v>47430</v>
      </c>
      <c r="S4703" t="s">
        <v>47549</v>
      </c>
      <c r="T4703" t="s">
        <v>49254</v>
      </c>
      <c r="U4703" t="s">
        <v>53663</v>
      </c>
      <c r="V4703" t="s">
        <v>63153</v>
      </c>
      <c r="W4703" t="s">
        <v>43090</v>
      </c>
      <c r="X4703" t="s">
        <v>47431</v>
      </c>
    </row>
    <row r="4704" spans="1:24">
      <c r="A4704">
        <f>HYPERLINK("https://www.philgeps.gov.ph/GEPSNONPILOT/Tender/SplashBidNoticeAbstractUI.aspx?menuIndex=3&amp;refID=7159891&amp;Result=3","7159891")</f>
        <v>0</v>
      </c>
      <c r="B4704" t="s">
        <v>525</v>
      </c>
      <c r="C4704" t="s">
        <v>8346</v>
      </c>
      <c r="D4704" t="s">
        <v>19029</v>
      </c>
      <c r="E4704" t="s">
        <v>23278</v>
      </c>
      <c r="F4704" t="s">
        <v>32831</v>
      </c>
      <c r="G4704" t="s">
        <v>32839</v>
      </c>
      <c r="H4704" t="s">
        <v>32849</v>
      </c>
      <c r="I4704" t="s">
        <v>4177</v>
      </c>
      <c r="J4704" t="s">
        <v>36024</v>
      </c>
      <c r="K4704" t="s">
        <v>42729</v>
      </c>
      <c r="M4704" t="s">
        <v>43531</v>
      </c>
      <c r="N4704" t="s">
        <v>47424</v>
      </c>
      <c r="O4704" t="s">
        <v>47425</v>
      </c>
      <c r="P4704">
        <v>0</v>
      </c>
      <c r="Q4704">
        <v>0</v>
      </c>
      <c r="R4704" t="s">
        <v>47430</v>
      </c>
      <c r="S4704" t="s">
        <v>47549</v>
      </c>
      <c r="T4704" t="s">
        <v>49078</v>
      </c>
      <c r="U4704" t="s">
        <v>53664</v>
      </c>
      <c r="W4704" t="s">
        <v>43531</v>
      </c>
      <c r="X4704" t="s">
        <v>47431</v>
      </c>
    </row>
    <row r="4705" spans="1:24">
      <c r="A4705">
        <f>HYPERLINK("https://www.philgeps.gov.ph/GEPSNONPILOT/Tender/SplashBidNoticeAbstractUI.aspx?menuIndex=3&amp;refID=7159888&amp;Result=3","7159888")</f>
        <v>0</v>
      </c>
      <c r="B4705" t="s">
        <v>709</v>
      </c>
      <c r="C4705" t="s">
        <v>8347</v>
      </c>
      <c r="D4705" t="s">
        <v>19037</v>
      </c>
      <c r="E4705" t="s">
        <v>23279</v>
      </c>
      <c r="F4705" t="s">
        <v>32831</v>
      </c>
      <c r="G4705" t="s">
        <v>32839</v>
      </c>
      <c r="H4705" t="s">
        <v>32848</v>
      </c>
      <c r="I4705" t="s">
        <v>32874</v>
      </c>
      <c r="J4705" t="s">
        <v>36025</v>
      </c>
      <c r="K4705" t="s">
        <v>42745</v>
      </c>
      <c r="M4705" t="s">
        <v>44979</v>
      </c>
      <c r="N4705" t="s">
        <v>47424</v>
      </c>
      <c r="O4705" t="s">
        <v>47425</v>
      </c>
      <c r="P4705">
        <v>0</v>
      </c>
      <c r="Q4705">
        <v>5</v>
      </c>
      <c r="R4705" t="s">
        <v>47430</v>
      </c>
      <c r="S4705" t="s">
        <v>47549</v>
      </c>
      <c r="T4705" t="s">
        <v>49291</v>
      </c>
      <c r="U4705" t="s">
        <v>53665</v>
      </c>
      <c r="V4705" t="s">
        <v>63154</v>
      </c>
      <c r="W4705" t="s">
        <v>44979</v>
      </c>
      <c r="X4705" t="s">
        <v>47431</v>
      </c>
    </row>
    <row r="4706" spans="1:24">
      <c r="A4706">
        <f>HYPERLINK("https://www.philgeps.gov.ph/GEPSNONPILOT/Tender/SplashBidNoticeAbstractUI.aspx?menuIndex=3&amp;refID=7159886&amp;Result=3","7159886")</f>
        <v>0</v>
      </c>
      <c r="B4706" t="s">
        <v>1845</v>
      </c>
      <c r="C4706" t="s">
        <v>8348</v>
      </c>
      <c r="D4706" t="s">
        <v>19057</v>
      </c>
      <c r="E4706" t="s">
        <v>23280</v>
      </c>
      <c r="F4706" t="s">
        <v>32831</v>
      </c>
      <c r="G4706" t="s">
        <v>32840</v>
      </c>
      <c r="H4706" t="s">
        <v>32848</v>
      </c>
      <c r="I4706" t="s">
        <v>9577</v>
      </c>
      <c r="J4706" t="s">
        <v>36026</v>
      </c>
      <c r="K4706" t="s">
        <v>42732</v>
      </c>
      <c r="M4706" t="s">
        <v>44980</v>
      </c>
      <c r="N4706" t="s">
        <v>47424</v>
      </c>
      <c r="O4706" t="s">
        <v>47425</v>
      </c>
      <c r="P4706">
        <v>0</v>
      </c>
      <c r="Q4706">
        <v>3</v>
      </c>
      <c r="R4706" t="s">
        <v>47430</v>
      </c>
      <c r="S4706" t="s">
        <v>47549</v>
      </c>
      <c r="T4706" t="s">
        <v>49205</v>
      </c>
      <c r="U4706" t="s">
        <v>53666</v>
      </c>
      <c r="W4706" t="s">
        <v>44980</v>
      </c>
      <c r="X4706" t="s">
        <v>47431</v>
      </c>
    </row>
    <row r="4707" spans="1:24">
      <c r="A4707">
        <f>HYPERLINK("https://www.philgeps.gov.ph/GEPSNONPILOT/Tender/SplashBidNoticeAbstractUI.aspx?menuIndex=3&amp;refID=7159903&amp;Result=3","7159903")</f>
        <v>0</v>
      </c>
      <c r="B4707" t="s">
        <v>812</v>
      </c>
      <c r="C4707" t="s">
        <v>8349</v>
      </c>
      <c r="D4707" t="s">
        <v>19050</v>
      </c>
      <c r="E4707" t="s">
        <v>23281</v>
      </c>
      <c r="F4707" t="s">
        <v>32831</v>
      </c>
      <c r="G4707" t="s">
        <v>32838</v>
      </c>
      <c r="H4707" t="s">
        <v>32848</v>
      </c>
      <c r="I4707" t="s">
        <v>9577</v>
      </c>
      <c r="J4707" t="s">
        <v>36027</v>
      </c>
      <c r="K4707" t="s">
        <v>42732</v>
      </c>
      <c r="M4707" t="s">
        <v>43843</v>
      </c>
      <c r="N4707" t="s">
        <v>47424</v>
      </c>
      <c r="O4707" t="s">
        <v>47425</v>
      </c>
      <c r="P4707">
        <v>0</v>
      </c>
      <c r="Q4707">
        <v>2</v>
      </c>
      <c r="R4707" t="s">
        <v>47430</v>
      </c>
      <c r="S4707" t="s">
        <v>47549</v>
      </c>
      <c r="T4707" t="s">
        <v>49166</v>
      </c>
      <c r="U4707" t="s">
        <v>53667</v>
      </c>
      <c r="V4707" t="s">
        <v>62817</v>
      </c>
      <c r="W4707" t="s">
        <v>43843</v>
      </c>
      <c r="X4707" t="s">
        <v>47431</v>
      </c>
    </row>
    <row r="4708" spans="1:24">
      <c r="A4708">
        <f>HYPERLINK("https://www.philgeps.gov.ph/GEPSNONPILOT/Tender/SplashBidNoticeAbstractUI.aspx?menuIndex=3&amp;refID=7159932&amp;Result=3","7159932")</f>
        <v>0</v>
      </c>
      <c r="B4708" t="s">
        <v>93</v>
      </c>
      <c r="C4708" t="s">
        <v>8350</v>
      </c>
      <c r="D4708" t="s">
        <v>19035</v>
      </c>
      <c r="E4708" t="s">
        <v>23282</v>
      </c>
      <c r="F4708" t="s">
        <v>32831</v>
      </c>
      <c r="G4708" t="s">
        <v>32839</v>
      </c>
      <c r="H4708" t="s">
        <v>32848</v>
      </c>
      <c r="I4708" t="s">
        <v>4558</v>
      </c>
      <c r="J4708" t="s">
        <v>36028</v>
      </c>
      <c r="K4708" t="s">
        <v>42730</v>
      </c>
      <c r="M4708" t="s">
        <v>43090</v>
      </c>
      <c r="N4708" t="s">
        <v>47424</v>
      </c>
      <c r="O4708" t="s">
        <v>47425</v>
      </c>
      <c r="P4708">
        <v>0</v>
      </c>
      <c r="Q4708">
        <v>5</v>
      </c>
      <c r="R4708" t="s">
        <v>47430</v>
      </c>
      <c r="S4708" t="s">
        <v>47549</v>
      </c>
      <c r="T4708" t="s">
        <v>49254</v>
      </c>
      <c r="U4708" t="s">
        <v>53663</v>
      </c>
      <c r="V4708" t="s">
        <v>63155</v>
      </c>
      <c r="W4708" t="s">
        <v>43090</v>
      </c>
      <c r="X4708" t="s">
        <v>47431</v>
      </c>
    </row>
    <row r="4709" spans="1:24">
      <c r="A4709">
        <f>HYPERLINK("https://www.philgeps.gov.ph/GEPSNONPILOT/Tender/SplashBidNoticeAbstractUI.aspx?menuIndex=3&amp;refID=7159862&amp;Result=3","7159862")</f>
        <v>0</v>
      </c>
      <c r="B4709" t="s">
        <v>583</v>
      </c>
      <c r="C4709" t="s">
        <v>8351</v>
      </c>
      <c r="D4709" t="s">
        <v>19069</v>
      </c>
      <c r="E4709" t="s">
        <v>23283</v>
      </c>
      <c r="F4709" t="s">
        <v>32831</v>
      </c>
      <c r="G4709" t="s">
        <v>32839</v>
      </c>
      <c r="H4709" t="s">
        <v>32849</v>
      </c>
      <c r="I4709" t="s">
        <v>32859</v>
      </c>
      <c r="J4709" t="s">
        <v>36029</v>
      </c>
      <c r="K4709" t="s">
        <v>42730</v>
      </c>
      <c r="M4709" t="s">
        <v>43594</v>
      </c>
      <c r="N4709" t="s">
        <v>47424</v>
      </c>
      <c r="O4709" t="s">
        <v>47425</v>
      </c>
      <c r="P4709">
        <v>0</v>
      </c>
      <c r="Q4709">
        <v>0</v>
      </c>
      <c r="R4709" t="s">
        <v>47430</v>
      </c>
      <c r="S4709" t="s">
        <v>47549</v>
      </c>
      <c r="T4709" t="s">
        <v>49279</v>
      </c>
      <c r="U4709" t="s">
        <v>53668</v>
      </c>
      <c r="V4709" t="s">
        <v>63097</v>
      </c>
      <c r="W4709" t="s">
        <v>43594</v>
      </c>
      <c r="X4709" t="s">
        <v>47431</v>
      </c>
    </row>
    <row r="4710" spans="1:24">
      <c r="A4710">
        <f>HYPERLINK("https://www.philgeps.gov.ph/GEPSNONPILOT/Tender/SplashBidNoticeAbstractUI.aspx?menuIndex=3&amp;refID=7159892&amp;Result=3","7159892")</f>
        <v>0</v>
      </c>
      <c r="B4710" t="s">
        <v>1834</v>
      </c>
      <c r="C4710" t="s">
        <v>8352</v>
      </c>
      <c r="D4710" t="s">
        <v>19103</v>
      </c>
      <c r="E4710" t="s">
        <v>22359</v>
      </c>
      <c r="F4710" t="s">
        <v>32831</v>
      </c>
      <c r="G4710" t="s">
        <v>32838</v>
      </c>
      <c r="H4710" t="s">
        <v>32848</v>
      </c>
      <c r="I4710" t="s">
        <v>32859</v>
      </c>
      <c r="J4710" t="s">
        <v>33835</v>
      </c>
      <c r="K4710" t="s">
        <v>42732</v>
      </c>
      <c r="M4710" t="s">
        <v>44968</v>
      </c>
      <c r="N4710" t="s">
        <v>47424</v>
      </c>
      <c r="O4710" t="s">
        <v>47425</v>
      </c>
      <c r="P4710">
        <v>0</v>
      </c>
      <c r="Q4710">
        <v>0</v>
      </c>
      <c r="R4710" t="s">
        <v>47430</v>
      </c>
      <c r="S4710" t="s">
        <v>47549</v>
      </c>
      <c r="T4710" t="s">
        <v>49100</v>
      </c>
      <c r="U4710" t="s">
        <v>53669</v>
      </c>
      <c r="W4710" t="s">
        <v>44968</v>
      </c>
      <c r="X4710" t="s">
        <v>47431</v>
      </c>
    </row>
    <row r="4711" spans="1:24">
      <c r="A4711">
        <f>HYPERLINK("https://www.philgeps.gov.ph/GEPSNONPILOT/Tender/SplashBidNoticeAbstractUI.aspx?menuIndex=3&amp;refID=7159941&amp;Result=3","7159941")</f>
        <v>0</v>
      </c>
      <c r="B4711" t="s">
        <v>888</v>
      </c>
      <c r="C4711" t="s">
        <v>8353</v>
      </c>
      <c r="D4711" t="s">
        <v>19067</v>
      </c>
      <c r="E4711" t="s">
        <v>19835</v>
      </c>
      <c r="F4711" t="s">
        <v>32831</v>
      </c>
      <c r="G4711" t="s">
        <v>32839</v>
      </c>
      <c r="H4711" t="s">
        <v>32848</v>
      </c>
      <c r="I4711" t="s">
        <v>9577</v>
      </c>
      <c r="J4711" t="s">
        <v>36030</v>
      </c>
      <c r="K4711" t="s">
        <v>42726</v>
      </c>
      <c r="M4711" t="s">
        <v>43923</v>
      </c>
      <c r="N4711" t="s">
        <v>47424</v>
      </c>
      <c r="O4711" t="s">
        <v>47425</v>
      </c>
      <c r="P4711">
        <v>0</v>
      </c>
      <c r="Q4711">
        <v>6</v>
      </c>
      <c r="R4711" t="s">
        <v>47430</v>
      </c>
      <c r="S4711" t="s">
        <v>47549</v>
      </c>
      <c r="T4711" t="s">
        <v>49119</v>
      </c>
      <c r="U4711" t="s">
        <v>53670</v>
      </c>
      <c r="W4711" t="s">
        <v>43923</v>
      </c>
      <c r="X4711" t="s">
        <v>47431</v>
      </c>
    </row>
    <row r="4712" spans="1:24">
      <c r="A4712">
        <f>HYPERLINK("https://www.philgeps.gov.ph/GEPSNONPILOT/Tender/SplashBidNoticeAbstractUI.aspx?menuIndex=3&amp;refID=7159940&amp;Result=3","7159940")</f>
        <v>0</v>
      </c>
      <c r="B4712" t="s">
        <v>525</v>
      </c>
      <c r="C4712" t="s">
        <v>8354</v>
      </c>
      <c r="D4712" t="s">
        <v>19029</v>
      </c>
      <c r="E4712" t="s">
        <v>23284</v>
      </c>
      <c r="F4712" t="s">
        <v>32831</v>
      </c>
      <c r="G4712" t="s">
        <v>32839</v>
      </c>
      <c r="H4712" t="s">
        <v>32849</v>
      </c>
      <c r="I4712" t="s">
        <v>4177</v>
      </c>
      <c r="J4712" t="s">
        <v>36031</v>
      </c>
      <c r="K4712" t="s">
        <v>42764</v>
      </c>
      <c r="M4712" t="s">
        <v>43531</v>
      </c>
      <c r="N4712" t="s">
        <v>47424</v>
      </c>
      <c r="O4712" t="s">
        <v>47425</v>
      </c>
      <c r="P4712">
        <v>0</v>
      </c>
      <c r="Q4712">
        <v>0</v>
      </c>
      <c r="R4712" t="s">
        <v>47430</v>
      </c>
      <c r="S4712" t="s">
        <v>47549</v>
      </c>
      <c r="T4712" t="s">
        <v>49078</v>
      </c>
      <c r="U4712" t="s">
        <v>53671</v>
      </c>
      <c r="W4712" t="s">
        <v>43531</v>
      </c>
      <c r="X4712" t="s">
        <v>47431</v>
      </c>
    </row>
    <row r="4713" spans="1:24">
      <c r="A4713">
        <f>HYPERLINK("https://www.philgeps.gov.ph/GEPSNONPILOT/Tender/SplashBidNoticeAbstractUI.aspx?menuIndex=3&amp;refID=7159897&amp;Result=3","7159897")</f>
        <v>0</v>
      </c>
      <c r="B4713" t="s">
        <v>1794</v>
      </c>
      <c r="C4713" t="s">
        <v>8355</v>
      </c>
      <c r="D4713" t="s">
        <v>19074</v>
      </c>
      <c r="E4713" t="s">
        <v>23285</v>
      </c>
      <c r="F4713" t="s">
        <v>32831</v>
      </c>
      <c r="G4713" t="s">
        <v>32838</v>
      </c>
      <c r="H4713" t="s">
        <v>32848</v>
      </c>
      <c r="I4713" t="s">
        <v>32883</v>
      </c>
      <c r="J4713" t="s">
        <v>34600</v>
      </c>
      <c r="K4713" t="s">
        <v>42727</v>
      </c>
      <c r="M4713" t="s">
        <v>44924</v>
      </c>
      <c r="N4713" t="s">
        <v>47424</v>
      </c>
      <c r="O4713" t="s">
        <v>47425</v>
      </c>
      <c r="P4713">
        <v>0</v>
      </c>
      <c r="Q4713">
        <v>1</v>
      </c>
      <c r="R4713" t="s">
        <v>47430</v>
      </c>
      <c r="S4713" t="s">
        <v>47549</v>
      </c>
      <c r="T4713" t="s">
        <v>49111</v>
      </c>
      <c r="U4713" t="s">
        <v>53672</v>
      </c>
      <c r="W4713" t="s">
        <v>44924</v>
      </c>
      <c r="X4713" t="s">
        <v>47431</v>
      </c>
    </row>
    <row r="4714" spans="1:24">
      <c r="A4714">
        <f>HYPERLINK("https://www.philgeps.gov.ph/GEPSNONPILOT/Tender/SplashBidNoticeAbstractUI.aspx?menuIndex=3&amp;refID=7159935&amp;Result=3","7159935")</f>
        <v>0</v>
      </c>
      <c r="B4714" t="s">
        <v>1739</v>
      </c>
      <c r="C4714" t="s">
        <v>8356</v>
      </c>
      <c r="D4714" t="s">
        <v>19026</v>
      </c>
      <c r="E4714" t="s">
        <v>23286</v>
      </c>
      <c r="F4714" t="s">
        <v>32831</v>
      </c>
      <c r="G4714" t="s">
        <v>32838</v>
      </c>
      <c r="H4714" t="s">
        <v>32848</v>
      </c>
      <c r="I4714" t="s">
        <v>32878</v>
      </c>
      <c r="J4714" t="s">
        <v>33087</v>
      </c>
      <c r="K4714" t="s">
        <v>42732</v>
      </c>
      <c r="M4714" t="s">
        <v>44862</v>
      </c>
      <c r="N4714" t="s">
        <v>47424</v>
      </c>
      <c r="O4714" t="s">
        <v>47425</v>
      </c>
      <c r="P4714">
        <v>0</v>
      </c>
      <c r="Q4714">
        <v>1</v>
      </c>
      <c r="R4714" t="s">
        <v>47430</v>
      </c>
      <c r="S4714" t="s">
        <v>47549</v>
      </c>
      <c r="T4714" t="s">
        <v>49089</v>
      </c>
      <c r="U4714" t="s">
        <v>53673</v>
      </c>
      <c r="W4714" t="s">
        <v>44862</v>
      </c>
      <c r="X4714" t="s">
        <v>47431</v>
      </c>
    </row>
    <row r="4715" spans="1:24">
      <c r="A4715">
        <f>HYPERLINK("https://www.philgeps.gov.ph/GEPSNONPILOT/Tender/SplashBidNoticeAbstractUI.aspx?menuIndex=3&amp;refID=7159934&amp;Result=3","7159934")</f>
        <v>0</v>
      </c>
      <c r="B4715" t="s">
        <v>895</v>
      </c>
      <c r="C4715" t="s">
        <v>8357</v>
      </c>
      <c r="D4715" t="s">
        <v>19036</v>
      </c>
      <c r="E4715" t="s">
        <v>23287</v>
      </c>
      <c r="F4715" t="s">
        <v>32831</v>
      </c>
      <c r="G4715" t="s">
        <v>32838</v>
      </c>
      <c r="H4715" t="s">
        <v>32848</v>
      </c>
      <c r="I4715" t="s">
        <v>32862</v>
      </c>
      <c r="J4715" t="s">
        <v>36032</v>
      </c>
      <c r="K4715" t="s">
        <v>42727</v>
      </c>
      <c r="M4715" t="s">
        <v>44963</v>
      </c>
      <c r="N4715" t="s">
        <v>47424</v>
      </c>
      <c r="O4715" t="s">
        <v>47425</v>
      </c>
      <c r="P4715">
        <v>0</v>
      </c>
      <c r="Q4715">
        <v>0</v>
      </c>
      <c r="R4715" t="s">
        <v>47430</v>
      </c>
      <c r="S4715" t="s">
        <v>47549</v>
      </c>
      <c r="T4715" t="s">
        <v>49206</v>
      </c>
      <c r="U4715" t="s">
        <v>53674</v>
      </c>
      <c r="W4715" t="s">
        <v>44963</v>
      </c>
      <c r="X4715" t="s">
        <v>47431</v>
      </c>
    </row>
    <row r="4716" spans="1:24">
      <c r="A4716">
        <f>HYPERLINK("https://www.philgeps.gov.ph/GEPSNONPILOT/Tender/SplashBidNoticeAbstractUI.aspx?menuIndex=3&amp;refID=7159926&amp;Result=3","7159926")</f>
        <v>0</v>
      </c>
      <c r="B4716" t="s">
        <v>1275</v>
      </c>
      <c r="C4716" t="s">
        <v>8358</v>
      </c>
      <c r="D4716" t="s">
        <v>19045</v>
      </c>
      <c r="E4716" t="s">
        <v>23288</v>
      </c>
      <c r="F4716" t="s">
        <v>32831</v>
      </c>
      <c r="G4716" t="s">
        <v>32838</v>
      </c>
      <c r="H4716" t="s">
        <v>32848</v>
      </c>
      <c r="I4716" t="s">
        <v>4471</v>
      </c>
      <c r="J4716" t="s">
        <v>33087</v>
      </c>
      <c r="K4716" t="s">
        <v>42742</v>
      </c>
      <c r="M4716" t="s">
        <v>44345</v>
      </c>
      <c r="N4716" t="s">
        <v>47424</v>
      </c>
      <c r="O4716" t="s">
        <v>47425</v>
      </c>
      <c r="P4716">
        <v>0</v>
      </c>
      <c r="Q4716">
        <v>2</v>
      </c>
      <c r="R4716" t="s">
        <v>47430</v>
      </c>
      <c r="S4716" t="s">
        <v>47549</v>
      </c>
      <c r="T4716" t="s">
        <v>49205</v>
      </c>
      <c r="U4716" t="s">
        <v>52182</v>
      </c>
      <c r="W4716" t="s">
        <v>44345</v>
      </c>
      <c r="X4716" t="s">
        <v>47431</v>
      </c>
    </row>
    <row r="4717" spans="1:24">
      <c r="A4717">
        <f>HYPERLINK("https://www.philgeps.gov.ph/GEPSNONPILOT/Tender/SplashBidNoticeAbstractUI.aspx?menuIndex=3&amp;refID=7159944&amp;Result=3","7159944")</f>
        <v>0</v>
      </c>
      <c r="B4717" t="s">
        <v>228</v>
      </c>
      <c r="C4717" t="s">
        <v>8359</v>
      </c>
      <c r="D4717" t="s">
        <v>19033</v>
      </c>
      <c r="E4717" t="s">
        <v>23289</v>
      </c>
      <c r="F4717" t="s">
        <v>32831</v>
      </c>
      <c r="G4717" t="s">
        <v>32838</v>
      </c>
      <c r="H4717" t="s">
        <v>32848</v>
      </c>
      <c r="I4717" t="s">
        <v>32874</v>
      </c>
      <c r="J4717" t="s">
        <v>33855</v>
      </c>
      <c r="K4717" t="s">
        <v>42730</v>
      </c>
      <c r="M4717" t="s">
        <v>43791</v>
      </c>
      <c r="N4717" t="s">
        <v>47424</v>
      </c>
      <c r="O4717" t="s">
        <v>47425</v>
      </c>
      <c r="P4717">
        <v>0</v>
      </c>
      <c r="Q4717">
        <v>6</v>
      </c>
      <c r="R4717" t="s">
        <v>47430</v>
      </c>
      <c r="S4717" t="s">
        <v>47549</v>
      </c>
      <c r="T4717" t="s">
        <v>49124</v>
      </c>
      <c r="U4717" t="s">
        <v>53675</v>
      </c>
      <c r="W4717" t="s">
        <v>43791</v>
      </c>
      <c r="X4717" t="s">
        <v>47431</v>
      </c>
    </row>
    <row r="4718" spans="1:24">
      <c r="A4718">
        <f>HYPERLINK("https://www.philgeps.gov.ph/GEPSNONPILOT/Tender/SplashBidNoticeAbstractUI.aspx?menuIndex=3&amp;refID=7159902&amp;Result=3","7159902")</f>
        <v>0</v>
      </c>
      <c r="B4718" t="s">
        <v>1149</v>
      </c>
      <c r="C4718" t="s">
        <v>6593</v>
      </c>
      <c r="D4718" t="s">
        <v>19079</v>
      </c>
      <c r="E4718" t="s">
        <v>23290</v>
      </c>
      <c r="F4718" t="s">
        <v>32831</v>
      </c>
      <c r="G4718" t="s">
        <v>32838</v>
      </c>
      <c r="H4718" t="s">
        <v>32848</v>
      </c>
      <c r="I4718" t="s">
        <v>32862</v>
      </c>
      <c r="J4718" t="s">
        <v>36033</v>
      </c>
      <c r="K4718" t="s">
        <v>42732</v>
      </c>
      <c r="M4718" t="s">
        <v>44213</v>
      </c>
      <c r="N4718" t="s">
        <v>47424</v>
      </c>
      <c r="O4718" t="s">
        <v>47425</v>
      </c>
      <c r="P4718">
        <v>0</v>
      </c>
      <c r="Q4718">
        <v>0</v>
      </c>
      <c r="R4718" t="s">
        <v>47430</v>
      </c>
      <c r="S4718" t="s">
        <v>47549</v>
      </c>
      <c r="T4718" t="s">
        <v>49061</v>
      </c>
      <c r="U4718" t="s">
        <v>53676</v>
      </c>
      <c r="W4718" t="s">
        <v>44213</v>
      </c>
      <c r="X4718" t="s">
        <v>47431</v>
      </c>
    </row>
    <row r="4719" spans="1:24">
      <c r="A4719">
        <f>HYPERLINK("https://www.philgeps.gov.ph/GEPSNONPILOT/Tender/SplashBidNoticeAbstractUI.aspx?menuIndex=3&amp;refID=7159939&amp;Result=3","7159939")</f>
        <v>0</v>
      </c>
      <c r="B4719" t="s">
        <v>1597</v>
      </c>
      <c r="C4719" t="s">
        <v>8360</v>
      </c>
      <c r="D4719" t="s">
        <v>19031</v>
      </c>
      <c r="E4719" t="s">
        <v>23291</v>
      </c>
      <c r="F4719" t="s">
        <v>32831</v>
      </c>
      <c r="G4719" t="s">
        <v>32838</v>
      </c>
      <c r="H4719" t="s">
        <v>32848</v>
      </c>
      <c r="I4719" t="s">
        <v>32870</v>
      </c>
      <c r="J4719" t="s">
        <v>36034</v>
      </c>
      <c r="K4719" t="s">
        <v>42763</v>
      </c>
      <c r="M4719" t="s">
        <v>44981</v>
      </c>
      <c r="N4719" t="s">
        <v>47424</v>
      </c>
      <c r="O4719" t="s">
        <v>47425</v>
      </c>
      <c r="P4719">
        <v>0</v>
      </c>
      <c r="Q4719">
        <v>0</v>
      </c>
      <c r="R4719" t="s">
        <v>47430</v>
      </c>
      <c r="S4719" t="s">
        <v>47549</v>
      </c>
      <c r="T4719" t="s">
        <v>49108</v>
      </c>
      <c r="U4719" t="s">
        <v>53677</v>
      </c>
      <c r="V4719" t="s">
        <v>63051</v>
      </c>
      <c r="W4719" t="s">
        <v>44981</v>
      </c>
      <c r="X4719" t="s">
        <v>47431</v>
      </c>
    </row>
    <row r="4720" spans="1:24">
      <c r="A4720">
        <f>HYPERLINK("https://www.philgeps.gov.ph/GEPSNONPILOT/Tender/SplashBidNoticeAbstractUI.aspx?menuIndex=3&amp;refID=7159918&amp;Result=3","7159918")</f>
        <v>0</v>
      </c>
      <c r="B4720" t="s">
        <v>677</v>
      </c>
      <c r="C4720" t="s">
        <v>8361</v>
      </c>
      <c r="D4720" t="s">
        <v>19024</v>
      </c>
      <c r="E4720" t="s">
        <v>23292</v>
      </c>
      <c r="F4720" t="s">
        <v>32831</v>
      </c>
      <c r="G4720" t="s">
        <v>32839</v>
      </c>
      <c r="H4720" t="s">
        <v>32848</v>
      </c>
      <c r="I4720" t="s">
        <v>32858</v>
      </c>
      <c r="J4720" t="s">
        <v>36035</v>
      </c>
      <c r="K4720" t="s">
        <v>42730</v>
      </c>
      <c r="M4720" t="s">
        <v>43696</v>
      </c>
      <c r="N4720" t="s">
        <v>47424</v>
      </c>
      <c r="O4720" t="s">
        <v>47425</v>
      </c>
      <c r="P4720">
        <v>0</v>
      </c>
      <c r="Q4720">
        <v>0</v>
      </c>
      <c r="R4720" t="s">
        <v>47430</v>
      </c>
      <c r="S4720" t="s">
        <v>47549</v>
      </c>
      <c r="T4720" t="s">
        <v>49066</v>
      </c>
      <c r="U4720" t="s">
        <v>53678</v>
      </c>
      <c r="W4720" t="s">
        <v>43696</v>
      </c>
      <c r="X4720" t="s">
        <v>47431</v>
      </c>
    </row>
    <row r="4721" spans="1:24">
      <c r="A4721">
        <f>HYPERLINK("https://www.philgeps.gov.ph/GEPSNONPILOT/Tender/SplashBidNoticeAbstractUI.aspx?menuIndex=3&amp;refID=7159914&amp;Result=3","7159914")</f>
        <v>0</v>
      </c>
      <c r="B4721" t="s">
        <v>1831</v>
      </c>
      <c r="C4721" t="s">
        <v>8362</v>
      </c>
      <c r="D4721" t="s">
        <v>19070</v>
      </c>
      <c r="E4721" t="s">
        <v>23293</v>
      </c>
      <c r="F4721" t="s">
        <v>32831</v>
      </c>
      <c r="G4721" t="s">
        <v>32839</v>
      </c>
      <c r="H4721" t="s">
        <v>32848</v>
      </c>
      <c r="I4721" t="s">
        <v>32857</v>
      </c>
      <c r="J4721" t="s">
        <v>36036</v>
      </c>
      <c r="K4721" t="s">
        <v>42730</v>
      </c>
      <c r="M4721" t="s">
        <v>44965</v>
      </c>
      <c r="N4721" t="s">
        <v>47424</v>
      </c>
      <c r="O4721" t="s">
        <v>47425</v>
      </c>
      <c r="P4721">
        <v>0</v>
      </c>
      <c r="Q4721">
        <v>3</v>
      </c>
      <c r="R4721" t="s">
        <v>47430</v>
      </c>
      <c r="S4721" t="s">
        <v>47549</v>
      </c>
      <c r="T4721" t="s">
        <v>49169</v>
      </c>
      <c r="U4721" t="s">
        <v>53625</v>
      </c>
      <c r="W4721" t="s">
        <v>44965</v>
      </c>
      <c r="X4721" t="s">
        <v>47431</v>
      </c>
    </row>
    <row r="4722" spans="1:24">
      <c r="A4722">
        <f>HYPERLINK("https://www.philgeps.gov.ph/GEPSNONPILOT/Tender/SplashBidNoticeAbstractUI.aspx?menuIndex=3&amp;refID=7159921&amp;Result=3","7159921")</f>
        <v>0</v>
      </c>
      <c r="B4722" t="s">
        <v>93</v>
      </c>
      <c r="C4722" t="s">
        <v>8363</v>
      </c>
      <c r="D4722" t="s">
        <v>19035</v>
      </c>
      <c r="E4722" t="s">
        <v>23294</v>
      </c>
      <c r="F4722" t="s">
        <v>32831</v>
      </c>
      <c r="G4722" t="s">
        <v>32839</v>
      </c>
      <c r="H4722" t="s">
        <v>32848</v>
      </c>
      <c r="I4722" t="s">
        <v>4558</v>
      </c>
      <c r="J4722" t="s">
        <v>36037</v>
      </c>
      <c r="K4722" t="s">
        <v>42730</v>
      </c>
      <c r="M4722" t="s">
        <v>43090</v>
      </c>
      <c r="N4722" t="s">
        <v>47424</v>
      </c>
      <c r="O4722" t="s">
        <v>47425</v>
      </c>
      <c r="P4722">
        <v>0</v>
      </c>
      <c r="Q4722">
        <v>6</v>
      </c>
      <c r="R4722" t="s">
        <v>47430</v>
      </c>
      <c r="S4722" t="s">
        <v>47549</v>
      </c>
      <c r="T4722" t="s">
        <v>49254</v>
      </c>
      <c r="U4722" t="s">
        <v>53663</v>
      </c>
      <c r="V4722" t="s">
        <v>63156</v>
      </c>
      <c r="W4722" t="s">
        <v>43090</v>
      </c>
      <c r="X4722" t="s">
        <v>47431</v>
      </c>
    </row>
    <row r="4723" spans="1:24">
      <c r="A4723">
        <f>HYPERLINK("https://www.philgeps.gov.ph/GEPSNONPILOT/Tender/SplashBidNoticeAbstractUI.aspx?menuIndex=3&amp;refID=7159973&amp;Result=3","7159973")</f>
        <v>0</v>
      </c>
      <c r="B4723" t="s">
        <v>1846</v>
      </c>
      <c r="C4723" t="s">
        <v>8364</v>
      </c>
      <c r="D4723" t="s">
        <v>19035</v>
      </c>
      <c r="E4723" t="s">
        <v>23295</v>
      </c>
      <c r="F4723" t="s">
        <v>32831</v>
      </c>
      <c r="G4723" t="s">
        <v>32842</v>
      </c>
      <c r="H4723" t="s">
        <v>32848</v>
      </c>
      <c r="I4723" t="s">
        <v>32864</v>
      </c>
      <c r="J4723" t="s">
        <v>36038</v>
      </c>
      <c r="K4723" t="s">
        <v>42730</v>
      </c>
      <c r="M4723" t="s">
        <v>44982</v>
      </c>
      <c r="N4723" t="s">
        <v>47424</v>
      </c>
      <c r="O4723" t="s">
        <v>47425</v>
      </c>
      <c r="P4723">
        <v>0</v>
      </c>
      <c r="Q4723">
        <v>1</v>
      </c>
      <c r="R4723" t="s">
        <v>47430</v>
      </c>
      <c r="S4723" t="s">
        <v>47549</v>
      </c>
      <c r="T4723" t="s">
        <v>49119</v>
      </c>
      <c r="U4723" t="s">
        <v>53679</v>
      </c>
      <c r="W4723" t="s">
        <v>44982</v>
      </c>
      <c r="X4723" t="s">
        <v>47431</v>
      </c>
    </row>
    <row r="4724" spans="1:24">
      <c r="A4724">
        <f>HYPERLINK("https://www.philgeps.gov.ph/GEPSNONPILOT/Tender/SplashBidNoticeAbstractUI.aspx?menuIndex=3&amp;refID=7159928&amp;Result=3","7159928")</f>
        <v>0</v>
      </c>
      <c r="B4724" t="s">
        <v>194</v>
      </c>
      <c r="C4724" t="s">
        <v>4278</v>
      </c>
      <c r="E4724" t="s">
        <v>23296</v>
      </c>
      <c r="F4724" t="s">
        <v>32831</v>
      </c>
      <c r="G4724" t="s">
        <v>32838</v>
      </c>
      <c r="H4724" t="s">
        <v>32848</v>
      </c>
      <c r="I4724" t="s">
        <v>4776</v>
      </c>
      <c r="J4724" t="s">
        <v>32976</v>
      </c>
      <c r="K4724" t="s">
        <v>42732</v>
      </c>
      <c r="M4724" t="s">
        <v>43192</v>
      </c>
      <c r="N4724" t="s">
        <v>47424</v>
      </c>
      <c r="O4724" t="s">
        <v>47425</v>
      </c>
      <c r="P4724">
        <v>0</v>
      </c>
      <c r="Q4724">
        <v>0</v>
      </c>
      <c r="R4724" t="s">
        <v>47430</v>
      </c>
      <c r="S4724" t="s">
        <v>47549</v>
      </c>
      <c r="T4724" t="s">
        <v>49100</v>
      </c>
      <c r="U4724" t="s">
        <v>53680</v>
      </c>
      <c r="W4724" t="s">
        <v>43192</v>
      </c>
      <c r="X4724" t="s">
        <v>47431</v>
      </c>
    </row>
    <row r="4725" spans="1:24">
      <c r="A4725">
        <f>HYPERLINK("https://www.philgeps.gov.ph/GEPSNONPILOT/Tender/SplashBidNoticeAbstractUI.aspx?menuIndex=3&amp;refID=7159970&amp;Result=3","7159970")</f>
        <v>0</v>
      </c>
      <c r="B4725" t="s">
        <v>1847</v>
      </c>
      <c r="C4725" t="s">
        <v>8365</v>
      </c>
      <c r="D4725" t="s">
        <v>19037</v>
      </c>
      <c r="E4725" t="s">
        <v>23297</v>
      </c>
      <c r="F4725" t="s">
        <v>32831</v>
      </c>
      <c r="G4725" t="s">
        <v>32839</v>
      </c>
      <c r="H4725" t="s">
        <v>32849</v>
      </c>
      <c r="I4725" t="s">
        <v>4177</v>
      </c>
      <c r="J4725" t="s">
        <v>36039</v>
      </c>
      <c r="K4725" t="s">
        <v>42862</v>
      </c>
      <c r="M4725" t="s">
        <v>44983</v>
      </c>
      <c r="N4725" t="s">
        <v>47424</v>
      </c>
      <c r="O4725" t="s">
        <v>47425</v>
      </c>
      <c r="P4725">
        <v>0</v>
      </c>
      <c r="Q4725">
        <v>3</v>
      </c>
      <c r="R4725" t="s">
        <v>47430</v>
      </c>
      <c r="S4725" t="s">
        <v>47549</v>
      </c>
      <c r="T4725" t="s">
        <v>49130</v>
      </c>
      <c r="U4725" t="s">
        <v>53681</v>
      </c>
      <c r="V4725" t="s">
        <v>63157</v>
      </c>
      <c r="W4725" t="s">
        <v>44983</v>
      </c>
      <c r="X4725" t="s">
        <v>47431</v>
      </c>
    </row>
    <row r="4726" spans="1:24">
      <c r="A4726">
        <f>HYPERLINK("https://www.philgeps.gov.ph/GEPSNONPILOT/Tender/SplashBidNoticeAbstractUI.aspx?menuIndex=3&amp;refID=7159933&amp;Result=3","7159933")</f>
        <v>0</v>
      </c>
      <c r="B4726" t="s">
        <v>1704</v>
      </c>
      <c r="C4726" t="s">
        <v>8366</v>
      </c>
      <c r="D4726" t="s">
        <v>19084</v>
      </c>
      <c r="E4726" t="s">
        <v>23298</v>
      </c>
      <c r="F4726" t="s">
        <v>32831</v>
      </c>
      <c r="G4726" t="s">
        <v>32838</v>
      </c>
      <c r="H4726" t="s">
        <v>32848</v>
      </c>
      <c r="I4726" t="s">
        <v>4303</v>
      </c>
      <c r="J4726" t="s">
        <v>36040</v>
      </c>
      <c r="K4726" t="s">
        <v>42731</v>
      </c>
      <c r="M4726" t="s">
        <v>44826</v>
      </c>
      <c r="N4726" t="s">
        <v>47424</v>
      </c>
      <c r="O4726" t="s">
        <v>47425</v>
      </c>
      <c r="P4726">
        <v>0</v>
      </c>
      <c r="Q4726">
        <v>1</v>
      </c>
      <c r="R4726" t="s">
        <v>47430</v>
      </c>
      <c r="S4726" t="s">
        <v>47549</v>
      </c>
      <c r="T4726" t="s">
        <v>49235</v>
      </c>
      <c r="U4726" t="s">
        <v>53229</v>
      </c>
      <c r="V4726" t="s">
        <v>63094</v>
      </c>
      <c r="W4726" t="s">
        <v>44826</v>
      </c>
      <c r="X4726" t="s">
        <v>47431</v>
      </c>
    </row>
    <row r="4727" spans="1:24">
      <c r="A4727">
        <f>HYPERLINK("https://www.philgeps.gov.ph/GEPSNONPILOT/Tender/SplashBidNoticeAbstractUI.aspx?menuIndex=3&amp;refID=7159969&amp;Result=3","7159969")</f>
        <v>0</v>
      </c>
      <c r="B4727" t="s">
        <v>1704</v>
      </c>
      <c r="C4727" t="s">
        <v>8367</v>
      </c>
      <c r="D4727" t="s">
        <v>19084</v>
      </c>
      <c r="E4727" t="s">
        <v>23299</v>
      </c>
      <c r="F4727" t="s">
        <v>32831</v>
      </c>
      <c r="G4727" t="s">
        <v>32838</v>
      </c>
      <c r="H4727" t="s">
        <v>32848</v>
      </c>
      <c r="I4727" t="s">
        <v>4303</v>
      </c>
      <c r="J4727" t="s">
        <v>36041</v>
      </c>
      <c r="K4727" t="s">
        <v>42727</v>
      </c>
      <c r="M4727" t="s">
        <v>44826</v>
      </c>
      <c r="N4727" t="s">
        <v>47424</v>
      </c>
      <c r="O4727" t="s">
        <v>47425</v>
      </c>
      <c r="P4727">
        <v>0</v>
      </c>
      <c r="Q4727">
        <v>2</v>
      </c>
      <c r="R4727" t="s">
        <v>47430</v>
      </c>
      <c r="S4727" t="s">
        <v>47549</v>
      </c>
      <c r="T4727" t="s">
        <v>49235</v>
      </c>
      <c r="U4727" t="s">
        <v>53229</v>
      </c>
      <c r="V4727" t="s">
        <v>63094</v>
      </c>
      <c r="W4727" t="s">
        <v>44826</v>
      </c>
      <c r="X4727" t="s">
        <v>47431</v>
      </c>
    </row>
    <row r="4728" spans="1:24">
      <c r="A4728">
        <f>HYPERLINK("https://www.philgeps.gov.ph/GEPSNONPILOT/Tender/SplashBidNoticeAbstractUI.aspx?menuIndex=3&amp;refID=7159966&amp;Result=3","7159966")</f>
        <v>0</v>
      </c>
      <c r="B4728" t="s">
        <v>67</v>
      </c>
      <c r="C4728" t="s">
        <v>8368</v>
      </c>
      <c r="D4728" t="s">
        <v>19079</v>
      </c>
      <c r="E4728" t="s">
        <v>8368</v>
      </c>
      <c r="F4728" t="s">
        <v>32831</v>
      </c>
      <c r="G4728" t="s">
        <v>32840</v>
      </c>
      <c r="H4728" t="s">
        <v>32848</v>
      </c>
      <c r="I4728" t="s">
        <v>32860</v>
      </c>
      <c r="J4728" t="s">
        <v>33041</v>
      </c>
      <c r="K4728" t="s">
        <v>42730</v>
      </c>
      <c r="M4728" t="s">
        <v>44984</v>
      </c>
      <c r="N4728" t="s">
        <v>47424</v>
      </c>
      <c r="O4728" t="s">
        <v>47425</v>
      </c>
      <c r="P4728">
        <v>0</v>
      </c>
      <c r="Q4728">
        <v>1</v>
      </c>
      <c r="R4728" t="s">
        <v>47430</v>
      </c>
      <c r="S4728" t="s">
        <v>47549</v>
      </c>
      <c r="T4728" t="s">
        <v>49135</v>
      </c>
      <c r="U4728" t="s">
        <v>53682</v>
      </c>
      <c r="W4728" t="s">
        <v>44984</v>
      </c>
      <c r="X4728" t="s">
        <v>47431</v>
      </c>
    </row>
    <row r="4729" spans="1:24">
      <c r="A4729">
        <f>HYPERLINK("https://www.philgeps.gov.ph/GEPSNONPILOT/Tender/SplashBidNoticeAbstractUI.aspx?menuIndex=3&amp;refID=7159895&amp;Result=3","7159895")</f>
        <v>0</v>
      </c>
      <c r="B4729" t="s">
        <v>1149</v>
      </c>
      <c r="C4729" t="s">
        <v>8369</v>
      </c>
      <c r="E4729" t="s">
        <v>23300</v>
      </c>
      <c r="F4729" t="s">
        <v>32831</v>
      </c>
      <c r="G4729" t="s">
        <v>32839</v>
      </c>
      <c r="H4729" t="s">
        <v>32849</v>
      </c>
      <c r="I4729" t="s">
        <v>4177</v>
      </c>
      <c r="J4729" t="s">
        <v>34447</v>
      </c>
      <c r="K4729" t="s">
        <v>42829</v>
      </c>
      <c r="M4729" t="s">
        <v>44985</v>
      </c>
      <c r="N4729" t="s">
        <v>47424</v>
      </c>
      <c r="O4729" t="s">
        <v>47425</v>
      </c>
      <c r="P4729">
        <v>0</v>
      </c>
      <c r="Q4729">
        <v>0</v>
      </c>
      <c r="R4729" t="s">
        <v>47430</v>
      </c>
      <c r="S4729" t="s">
        <v>47549</v>
      </c>
      <c r="T4729" t="s">
        <v>49358</v>
      </c>
      <c r="U4729" t="s">
        <v>53683</v>
      </c>
      <c r="V4729" t="s">
        <v>63158</v>
      </c>
      <c r="W4729" t="s">
        <v>44985</v>
      </c>
      <c r="X4729" t="s">
        <v>47431</v>
      </c>
    </row>
    <row r="4730" spans="1:24">
      <c r="A4730">
        <f>HYPERLINK("https://www.philgeps.gov.ph/GEPSNONPILOT/Tender/SplashBidNoticeAbstractUI.aspx?menuIndex=3&amp;refID=7159968&amp;Result=3","7159968")</f>
        <v>0</v>
      </c>
      <c r="B4730" t="s">
        <v>1385</v>
      </c>
      <c r="C4730" t="s">
        <v>8370</v>
      </c>
      <c r="D4730" t="s">
        <v>19060</v>
      </c>
      <c r="E4730" t="s">
        <v>23301</v>
      </c>
      <c r="F4730" t="s">
        <v>32831</v>
      </c>
      <c r="G4730" t="s">
        <v>32838</v>
      </c>
      <c r="H4730" t="s">
        <v>32850</v>
      </c>
      <c r="I4730" t="s">
        <v>32879</v>
      </c>
      <c r="J4730" t="s">
        <v>33041</v>
      </c>
      <c r="K4730" t="s">
        <v>42730</v>
      </c>
      <c r="M4730" t="s">
        <v>44470</v>
      </c>
      <c r="N4730" t="s">
        <v>47424</v>
      </c>
      <c r="O4730" t="s">
        <v>47425</v>
      </c>
      <c r="P4730">
        <v>0</v>
      </c>
      <c r="Q4730">
        <v>0</v>
      </c>
      <c r="R4730" t="s">
        <v>47430</v>
      </c>
      <c r="S4730" t="s">
        <v>47549</v>
      </c>
      <c r="T4730" t="s">
        <v>49129</v>
      </c>
      <c r="U4730" t="s">
        <v>53684</v>
      </c>
      <c r="V4730" t="s">
        <v>62986</v>
      </c>
      <c r="W4730" t="s">
        <v>44470</v>
      </c>
      <c r="X4730" t="s">
        <v>47431</v>
      </c>
    </row>
    <row r="4731" spans="1:24">
      <c r="A4731">
        <f>HYPERLINK("https://www.philgeps.gov.ph/GEPSNONPILOT/Tender/SplashBidNoticeAbstractUI.aspx?menuIndex=3&amp;refID=7159972&amp;Result=3","7159972")</f>
        <v>0</v>
      </c>
      <c r="B4731" t="s">
        <v>1767</v>
      </c>
      <c r="C4731" t="s">
        <v>8371</v>
      </c>
      <c r="D4731" t="s">
        <v>19088</v>
      </c>
      <c r="E4731" t="s">
        <v>23302</v>
      </c>
      <c r="F4731" t="s">
        <v>32831</v>
      </c>
      <c r="G4731" t="s">
        <v>32840</v>
      </c>
      <c r="H4731" t="s">
        <v>32848</v>
      </c>
      <c r="I4731" t="s">
        <v>32886</v>
      </c>
      <c r="J4731" t="s">
        <v>36042</v>
      </c>
      <c r="K4731" t="s">
        <v>42730</v>
      </c>
      <c r="M4731" t="s">
        <v>44892</v>
      </c>
      <c r="N4731" t="s">
        <v>47424</v>
      </c>
      <c r="O4731" t="s">
        <v>47425</v>
      </c>
      <c r="P4731">
        <v>0</v>
      </c>
      <c r="Q4731">
        <v>5</v>
      </c>
      <c r="R4731" t="s">
        <v>47430</v>
      </c>
      <c r="S4731" t="s">
        <v>47549</v>
      </c>
      <c r="T4731" t="s">
        <v>49100</v>
      </c>
      <c r="U4731" t="s">
        <v>53462</v>
      </c>
      <c r="V4731" t="s">
        <v>63120</v>
      </c>
      <c r="W4731" t="s">
        <v>44892</v>
      </c>
      <c r="X4731" t="s">
        <v>47431</v>
      </c>
    </row>
    <row r="4732" spans="1:24">
      <c r="A4732">
        <f>HYPERLINK("https://www.philgeps.gov.ph/GEPSNONPILOT/Tender/SplashBidNoticeAbstractUI.aspx?menuIndex=3&amp;refID=7159962&amp;Result=3","7159962")</f>
        <v>0</v>
      </c>
      <c r="B4732" t="s">
        <v>1668</v>
      </c>
      <c r="C4732" t="s">
        <v>8372</v>
      </c>
      <c r="D4732" t="s">
        <v>19073</v>
      </c>
      <c r="E4732" t="s">
        <v>23303</v>
      </c>
      <c r="F4732" t="s">
        <v>32831</v>
      </c>
      <c r="G4732" t="s">
        <v>32839</v>
      </c>
      <c r="H4732" t="s">
        <v>32848</v>
      </c>
      <c r="I4732" t="s">
        <v>4222</v>
      </c>
      <c r="J4732" t="s">
        <v>36043</v>
      </c>
      <c r="K4732" t="s">
        <v>42731</v>
      </c>
      <c r="M4732" t="s">
        <v>44785</v>
      </c>
      <c r="N4732" t="s">
        <v>47424</v>
      </c>
      <c r="O4732" t="s">
        <v>47425</v>
      </c>
      <c r="P4732">
        <v>0</v>
      </c>
      <c r="Q4732">
        <v>0</v>
      </c>
      <c r="R4732" t="s">
        <v>47430</v>
      </c>
      <c r="S4732" t="s">
        <v>47549</v>
      </c>
      <c r="T4732" t="s">
        <v>49129</v>
      </c>
      <c r="U4732" t="s">
        <v>53685</v>
      </c>
      <c r="W4732" t="s">
        <v>44785</v>
      </c>
      <c r="X4732" t="s">
        <v>47431</v>
      </c>
    </row>
    <row r="4733" spans="1:24">
      <c r="A4733">
        <f>HYPERLINK("https://www.philgeps.gov.ph/GEPSNONPILOT/Tender/SplashBidNoticeAbstractUI.aspx?menuIndex=3&amp;refID=7159965&amp;Result=3","7159965")</f>
        <v>0</v>
      </c>
      <c r="B4733" t="s">
        <v>1848</v>
      </c>
      <c r="C4733" t="s">
        <v>8373</v>
      </c>
      <c r="D4733" t="s">
        <v>19017</v>
      </c>
      <c r="E4733" t="s">
        <v>23304</v>
      </c>
      <c r="F4733" t="s">
        <v>32831</v>
      </c>
      <c r="G4733" t="s">
        <v>32838</v>
      </c>
      <c r="H4733" t="s">
        <v>32848</v>
      </c>
      <c r="I4733" t="s">
        <v>32867</v>
      </c>
      <c r="J4733" t="s">
        <v>33031</v>
      </c>
      <c r="K4733" t="s">
        <v>42726</v>
      </c>
      <c r="M4733" t="s">
        <v>44986</v>
      </c>
      <c r="N4733" t="s">
        <v>47424</v>
      </c>
      <c r="O4733" t="s">
        <v>47425</v>
      </c>
      <c r="P4733">
        <v>0</v>
      </c>
      <c r="Q4733">
        <v>7</v>
      </c>
      <c r="R4733" t="s">
        <v>47430</v>
      </c>
      <c r="S4733" t="s">
        <v>47549</v>
      </c>
      <c r="T4733" t="s">
        <v>49127</v>
      </c>
      <c r="U4733" t="s">
        <v>53686</v>
      </c>
      <c r="W4733" t="s">
        <v>64489</v>
      </c>
      <c r="X4733" t="s">
        <v>47431</v>
      </c>
    </row>
    <row r="4734" spans="1:24">
      <c r="A4734">
        <f>HYPERLINK("https://www.philgeps.gov.ph/GEPSNONPILOT/Tender/SplashBidNoticeAbstractUI.aspx?menuIndex=3&amp;refID=7159958&amp;Result=3","7159958")</f>
        <v>0</v>
      </c>
      <c r="B4734" t="s">
        <v>1849</v>
      </c>
      <c r="C4734" t="s">
        <v>8374</v>
      </c>
      <c r="D4734" t="s">
        <v>19054</v>
      </c>
      <c r="E4734" t="s">
        <v>23305</v>
      </c>
      <c r="F4734" t="s">
        <v>32831</v>
      </c>
      <c r="G4734" t="s">
        <v>32838</v>
      </c>
      <c r="H4734" t="s">
        <v>32848</v>
      </c>
      <c r="I4734" t="s">
        <v>5379</v>
      </c>
      <c r="J4734" t="s">
        <v>33853</v>
      </c>
      <c r="K4734" t="s">
        <v>42758</v>
      </c>
      <c r="M4734" t="s">
        <v>44987</v>
      </c>
      <c r="N4734" t="s">
        <v>47424</v>
      </c>
      <c r="O4734" t="s">
        <v>47425</v>
      </c>
      <c r="P4734">
        <v>0</v>
      </c>
      <c r="Q4734">
        <v>0</v>
      </c>
      <c r="R4734" t="s">
        <v>47430</v>
      </c>
      <c r="S4734" t="s">
        <v>47549</v>
      </c>
      <c r="T4734" t="s">
        <v>49166</v>
      </c>
      <c r="U4734" t="s">
        <v>53687</v>
      </c>
      <c r="W4734" t="s">
        <v>44987</v>
      </c>
      <c r="X4734" t="s">
        <v>47431</v>
      </c>
    </row>
    <row r="4735" spans="1:24">
      <c r="A4735">
        <f>HYPERLINK("https://www.philgeps.gov.ph/GEPSNONPILOT/Tender/SplashBidNoticeAbstractUI.aspx?menuIndex=3&amp;refID=7159955&amp;Result=3","7159955")</f>
        <v>0</v>
      </c>
      <c r="B4735" t="s">
        <v>194</v>
      </c>
      <c r="C4735" t="s">
        <v>4278</v>
      </c>
      <c r="E4735" t="s">
        <v>23306</v>
      </c>
      <c r="F4735" t="s">
        <v>32831</v>
      </c>
      <c r="G4735" t="s">
        <v>32838</v>
      </c>
      <c r="H4735" t="s">
        <v>32848</v>
      </c>
      <c r="I4735" t="s">
        <v>4776</v>
      </c>
      <c r="J4735" t="s">
        <v>36044</v>
      </c>
      <c r="K4735" t="s">
        <v>42732</v>
      </c>
      <c r="M4735" t="s">
        <v>43192</v>
      </c>
      <c r="N4735" t="s">
        <v>47424</v>
      </c>
      <c r="O4735" t="s">
        <v>47425</v>
      </c>
      <c r="P4735">
        <v>0</v>
      </c>
      <c r="Q4735">
        <v>0</v>
      </c>
      <c r="R4735" t="s">
        <v>47430</v>
      </c>
      <c r="S4735" t="s">
        <v>47549</v>
      </c>
      <c r="T4735" t="s">
        <v>49100</v>
      </c>
      <c r="U4735" t="s">
        <v>53688</v>
      </c>
      <c r="W4735" t="s">
        <v>43192</v>
      </c>
      <c r="X4735" t="s">
        <v>47431</v>
      </c>
    </row>
    <row r="4736" spans="1:24">
      <c r="A4736">
        <f>HYPERLINK("https://www.philgeps.gov.ph/GEPSNONPILOT/Tender/SplashBidNoticeAbstractUI.aspx?menuIndex=3&amp;refID=7159971&amp;Result=3","7159971")</f>
        <v>0</v>
      </c>
      <c r="B4736" t="s">
        <v>1850</v>
      </c>
      <c r="C4736" t="s">
        <v>8375</v>
      </c>
      <c r="D4736" t="s">
        <v>19020</v>
      </c>
      <c r="E4736" t="s">
        <v>23307</v>
      </c>
      <c r="F4736" t="s">
        <v>32831</v>
      </c>
      <c r="G4736" t="s">
        <v>32839</v>
      </c>
      <c r="H4736" t="s">
        <v>32848</v>
      </c>
      <c r="I4736" t="s">
        <v>32949</v>
      </c>
      <c r="J4736" t="s">
        <v>33257</v>
      </c>
      <c r="K4736" t="s">
        <v>42726</v>
      </c>
      <c r="M4736" t="s">
        <v>44988</v>
      </c>
      <c r="N4736" t="s">
        <v>47424</v>
      </c>
      <c r="O4736" t="s">
        <v>47425</v>
      </c>
      <c r="P4736">
        <v>0</v>
      </c>
      <c r="Q4736">
        <v>0</v>
      </c>
      <c r="R4736" t="s">
        <v>47430</v>
      </c>
      <c r="S4736" t="s">
        <v>47549</v>
      </c>
      <c r="T4736" t="s">
        <v>49301</v>
      </c>
      <c r="U4736" t="s">
        <v>53689</v>
      </c>
      <c r="W4736" t="s">
        <v>44988</v>
      </c>
      <c r="X4736" t="s">
        <v>47431</v>
      </c>
    </row>
    <row r="4737" spans="1:24">
      <c r="A4737">
        <f>HYPERLINK("https://www.philgeps.gov.ph/GEPSNONPILOT/Tender/SplashBidNoticeAbstractUI.aspx?menuIndex=3&amp;refID=7159959&amp;Result=3","7159959")</f>
        <v>0</v>
      </c>
      <c r="B4737" t="s">
        <v>1851</v>
      </c>
      <c r="C4737" t="s">
        <v>4255</v>
      </c>
      <c r="E4737" t="s">
        <v>19200</v>
      </c>
      <c r="F4737" t="s">
        <v>32831</v>
      </c>
      <c r="G4737" t="s">
        <v>32839</v>
      </c>
      <c r="H4737" t="s">
        <v>32848</v>
      </c>
      <c r="I4737" t="s">
        <v>4177</v>
      </c>
      <c r="J4737" t="s">
        <v>36045</v>
      </c>
      <c r="K4737" t="s">
        <v>42732</v>
      </c>
      <c r="M4737" t="s">
        <v>44989</v>
      </c>
      <c r="N4737" t="s">
        <v>47424</v>
      </c>
      <c r="O4737" t="s">
        <v>47425</v>
      </c>
      <c r="P4737">
        <v>0</v>
      </c>
      <c r="Q4737">
        <v>0</v>
      </c>
      <c r="R4737" t="s">
        <v>47430</v>
      </c>
      <c r="S4737" t="s">
        <v>47549</v>
      </c>
      <c r="T4737" t="s">
        <v>49073</v>
      </c>
      <c r="U4737" t="s">
        <v>53690</v>
      </c>
      <c r="W4737" t="s">
        <v>44989</v>
      </c>
      <c r="X4737" t="s">
        <v>47431</v>
      </c>
    </row>
    <row r="4738" spans="1:24">
      <c r="A4738">
        <f>HYPERLINK("https://www.philgeps.gov.ph/GEPSNONPILOT/Tender/SplashBidNoticeAbstractUI.aspx?menuIndex=3&amp;refID=7160005&amp;Result=3","7160005")</f>
        <v>0</v>
      </c>
      <c r="B4738" t="s">
        <v>1852</v>
      </c>
      <c r="C4738" t="s">
        <v>8376</v>
      </c>
      <c r="D4738" t="s">
        <v>19062</v>
      </c>
      <c r="E4738" t="s">
        <v>23308</v>
      </c>
      <c r="F4738" t="s">
        <v>32831</v>
      </c>
      <c r="G4738" t="s">
        <v>32842</v>
      </c>
      <c r="H4738" t="s">
        <v>32848</v>
      </c>
      <c r="I4738" t="s">
        <v>32902</v>
      </c>
      <c r="J4738" t="s">
        <v>36046</v>
      </c>
      <c r="K4738" t="s">
        <v>42730</v>
      </c>
      <c r="M4738" t="s">
        <v>44990</v>
      </c>
      <c r="N4738" t="s">
        <v>47424</v>
      </c>
      <c r="O4738" t="s">
        <v>47425</v>
      </c>
      <c r="P4738">
        <v>0</v>
      </c>
      <c r="Q4738">
        <v>20</v>
      </c>
      <c r="R4738" t="s">
        <v>47430</v>
      </c>
      <c r="S4738" t="s">
        <v>47549</v>
      </c>
      <c r="T4738" t="s">
        <v>49198</v>
      </c>
      <c r="U4738" t="s">
        <v>53691</v>
      </c>
      <c r="V4738" t="s">
        <v>63159</v>
      </c>
      <c r="W4738" t="s">
        <v>44990</v>
      </c>
      <c r="X4738" t="s">
        <v>47431</v>
      </c>
    </row>
    <row r="4739" spans="1:24">
      <c r="A4739">
        <f>HYPERLINK("https://www.philgeps.gov.ph/GEPSNONPILOT/Tender/SplashBidNoticeAbstractUI.aspx?menuIndex=3&amp;refID=7160003&amp;Result=3","7160003")</f>
        <v>0</v>
      </c>
      <c r="B4739" t="s">
        <v>1679</v>
      </c>
      <c r="C4739" t="s">
        <v>8377</v>
      </c>
      <c r="D4739" t="s">
        <v>19052</v>
      </c>
      <c r="E4739" t="s">
        <v>23309</v>
      </c>
      <c r="F4739" t="s">
        <v>32831</v>
      </c>
      <c r="G4739" t="s">
        <v>32839</v>
      </c>
      <c r="H4739" t="s">
        <v>32849</v>
      </c>
      <c r="I4739" t="s">
        <v>4177</v>
      </c>
      <c r="J4739" t="s">
        <v>35989</v>
      </c>
      <c r="K4739" t="s">
        <v>42779</v>
      </c>
      <c r="M4739" t="s">
        <v>44797</v>
      </c>
      <c r="N4739" t="s">
        <v>47424</v>
      </c>
      <c r="O4739" t="s">
        <v>47425</v>
      </c>
      <c r="P4739">
        <v>0</v>
      </c>
      <c r="Q4739">
        <v>1</v>
      </c>
      <c r="R4739" t="s">
        <v>47430</v>
      </c>
      <c r="S4739" t="s">
        <v>47549</v>
      </c>
      <c r="T4739" t="s">
        <v>49198</v>
      </c>
      <c r="U4739" t="s">
        <v>53692</v>
      </c>
      <c r="V4739" t="s">
        <v>63090</v>
      </c>
      <c r="W4739" t="s">
        <v>44797</v>
      </c>
      <c r="X4739" t="s">
        <v>47431</v>
      </c>
    </row>
    <row r="4740" spans="1:24">
      <c r="A4740">
        <f>HYPERLINK("https://www.philgeps.gov.ph/GEPSNONPILOT/Tender/SplashBidNoticeAbstractUI.aspx?menuIndex=3&amp;refID=7160002&amp;Result=3","7160002")</f>
        <v>0</v>
      </c>
      <c r="B4740" t="s">
        <v>99</v>
      </c>
      <c r="C4740" t="s">
        <v>8378</v>
      </c>
      <c r="D4740" t="s">
        <v>19054</v>
      </c>
      <c r="E4740" t="s">
        <v>23310</v>
      </c>
      <c r="F4740" t="s">
        <v>32831</v>
      </c>
      <c r="G4740" t="s">
        <v>32839</v>
      </c>
      <c r="H4740" t="s">
        <v>32849</v>
      </c>
      <c r="I4740" t="s">
        <v>4177</v>
      </c>
      <c r="J4740" t="s">
        <v>36047</v>
      </c>
      <c r="K4740" t="s">
        <v>42867</v>
      </c>
      <c r="M4740" t="s">
        <v>43171</v>
      </c>
      <c r="N4740" t="s">
        <v>47424</v>
      </c>
      <c r="O4740" t="s">
        <v>47425</v>
      </c>
      <c r="P4740">
        <v>0</v>
      </c>
      <c r="Q4740">
        <v>10</v>
      </c>
      <c r="R4740" t="s">
        <v>47430</v>
      </c>
      <c r="S4740" t="s">
        <v>47549</v>
      </c>
      <c r="T4740" t="s">
        <v>49221</v>
      </c>
      <c r="U4740" t="s">
        <v>53693</v>
      </c>
      <c r="V4740" t="s">
        <v>62643</v>
      </c>
      <c r="W4740" t="s">
        <v>43171</v>
      </c>
      <c r="X4740" t="s">
        <v>47431</v>
      </c>
    </row>
    <row r="4741" spans="1:24">
      <c r="A4741">
        <f>HYPERLINK("https://www.philgeps.gov.ph/GEPSNONPILOT/Tender/SplashBidNoticeAbstractUI.aspx?menuIndex=3&amp;refID=7160000&amp;Result=3","7160000")</f>
        <v>0</v>
      </c>
      <c r="B4741" t="s">
        <v>67</v>
      </c>
      <c r="C4741" t="s">
        <v>8379</v>
      </c>
      <c r="D4741" t="s">
        <v>19079</v>
      </c>
      <c r="E4741" t="s">
        <v>23311</v>
      </c>
      <c r="F4741" t="s">
        <v>32831</v>
      </c>
      <c r="G4741" t="s">
        <v>32840</v>
      </c>
      <c r="H4741" t="s">
        <v>32848</v>
      </c>
      <c r="I4741" t="s">
        <v>32860</v>
      </c>
      <c r="J4741" t="s">
        <v>34482</v>
      </c>
      <c r="K4741" t="s">
        <v>42730</v>
      </c>
      <c r="M4741" t="s">
        <v>44984</v>
      </c>
      <c r="N4741" t="s">
        <v>47424</v>
      </c>
      <c r="O4741" t="s">
        <v>47425</v>
      </c>
      <c r="P4741">
        <v>0</v>
      </c>
      <c r="Q4741">
        <v>3</v>
      </c>
      <c r="R4741" t="s">
        <v>47430</v>
      </c>
      <c r="S4741" t="s">
        <v>47549</v>
      </c>
      <c r="T4741" t="s">
        <v>49135</v>
      </c>
      <c r="U4741" t="s">
        <v>53694</v>
      </c>
      <c r="W4741" t="s">
        <v>44984</v>
      </c>
      <c r="X4741" t="s">
        <v>47431</v>
      </c>
    </row>
    <row r="4742" spans="1:24">
      <c r="A4742">
        <f>HYPERLINK("https://www.philgeps.gov.ph/GEPSNONPILOT/Tender/SplashBidNoticeAbstractUI.aspx?menuIndex=3&amp;refID=7159998&amp;Result=3","7159998")</f>
        <v>0</v>
      </c>
      <c r="B4742" t="s">
        <v>677</v>
      </c>
      <c r="C4742" t="s">
        <v>8380</v>
      </c>
      <c r="D4742" t="s">
        <v>19024</v>
      </c>
      <c r="E4742" t="s">
        <v>23312</v>
      </c>
      <c r="F4742" t="s">
        <v>32831</v>
      </c>
      <c r="G4742" t="s">
        <v>32839</v>
      </c>
      <c r="H4742" t="s">
        <v>32848</v>
      </c>
      <c r="I4742" t="s">
        <v>5379</v>
      </c>
      <c r="J4742" t="s">
        <v>34129</v>
      </c>
      <c r="K4742" t="s">
        <v>42730</v>
      </c>
      <c r="M4742" t="s">
        <v>43696</v>
      </c>
      <c r="N4742" t="s">
        <v>47424</v>
      </c>
      <c r="O4742" t="s">
        <v>47425</v>
      </c>
      <c r="P4742">
        <v>0</v>
      </c>
      <c r="Q4742">
        <v>0</v>
      </c>
      <c r="R4742" t="s">
        <v>47430</v>
      </c>
      <c r="S4742" t="s">
        <v>47549</v>
      </c>
      <c r="T4742" t="s">
        <v>49066</v>
      </c>
      <c r="U4742" t="s">
        <v>53695</v>
      </c>
      <c r="W4742" t="s">
        <v>43696</v>
      </c>
      <c r="X4742" t="s">
        <v>47431</v>
      </c>
    </row>
    <row r="4743" spans="1:24">
      <c r="A4743">
        <f>HYPERLINK("https://www.philgeps.gov.ph/GEPSNONPILOT/Tender/SplashBidNoticeAbstractUI.aspx?menuIndex=3&amp;refID=7159920&amp;Result=3","7159920")</f>
        <v>0</v>
      </c>
      <c r="B4743" t="s">
        <v>1853</v>
      </c>
      <c r="C4743" t="s">
        <v>8381</v>
      </c>
      <c r="D4743" t="s">
        <v>19075</v>
      </c>
      <c r="E4743" t="s">
        <v>23313</v>
      </c>
      <c r="F4743" t="s">
        <v>32831</v>
      </c>
      <c r="G4743" t="s">
        <v>32838</v>
      </c>
      <c r="H4743" t="s">
        <v>32848</v>
      </c>
      <c r="I4743" t="s">
        <v>32856</v>
      </c>
      <c r="J4743" t="s">
        <v>32980</v>
      </c>
      <c r="K4743" t="s">
        <v>42727</v>
      </c>
      <c r="M4743" t="s">
        <v>44991</v>
      </c>
      <c r="N4743" t="s">
        <v>47424</v>
      </c>
      <c r="O4743" t="s">
        <v>47425</v>
      </c>
      <c r="P4743">
        <v>0</v>
      </c>
      <c r="Q4743">
        <v>1</v>
      </c>
      <c r="R4743" t="s">
        <v>47430</v>
      </c>
      <c r="S4743" t="s">
        <v>47549</v>
      </c>
      <c r="T4743" t="s">
        <v>49061</v>
      </c>
      <c r="U4743" t="s">
        <v>53696</v>
      </c>
      <c r="W4743" t="s">
        <v>44991</v>
      </c>
      <c r="X4743" t="s">
        <v>47431</v>
      </c>
    </row>
    <row r="4744" spans="1:24">
      <c r="A4744">
        <f>HYPERLINK("https://www.philgeps.gov.ph/GEPSNONPILOT/Tender/SplashBidNoticeAbstractUI.aspx?menuIndex=3&amp;refID=7159996&amp;Result=3","7159996")</f>
        <v>0</v>
      </c>
      <c r="B4744" t="s">
        <v>295</v>
      </c>
      <c r="C4744" t="s">
        <v>8382</v>
      </c>
      <c r="D4744" t="s">
        <v>19029</v>
      </c>
      <c r="E4744" t="s">
        <v>23314</v>
      </c>
      <c r="F4744" t="s">
        <v>32834</v>
      </c>
      <c r="G4744" t="s">
        <v>32838</v>
      </c>
      <c r="H4744" t="s">
        <v>32850</v>
      </c>
      <c r="I4744" t="s">
        <v>5379</v>
      </c>
      <c r="J4744" t="s">
        <v>34000</v>
      </c>
      <c r="K4744" t="s">
        <v>42748</v>
      </c>
      <c r="M4744" t="s">
        <v>43914</v>
      </c>
      <c r="N4744" t="s">
        <v>47424</v>
      </c>
      <c r="O4744" t="s">
        <v>47425</v>
      </c>
      <c r="P4744">
        <v>0</v>
      </c>
      <c r="Q4744">
        <v>0</v>
      </c>
      <c r="R4744" t="s">
        <v>47430</v>
      </c>
      <c r="S4744" t="s">
        <v>47549</v>
      </c>
      <c r="T4744" t="s">
        <v>49129</v>
      </c>
      <c r="U4744" t="s">
        <v>53697</v>
      </c>
      <c r="V4744" t="s">
        <v>51102</v>
      </c>
      <c r="W4744" t="s">
        <v>43914</v>
      </c>
      <c r="X4744" t="s">
        <v>47431</v>
      </c>
    </row>
    <row r="4745" spans="1:24">
      <c r="A4745">
        <f>HYPERLINK("https://www.philgeps.gov.ph/GEPSNONPILOT/Tender/SplashBidNoticeAbstractUI.aspx?menuIndex=3&amp;refID=7159993&amp;Result=3","7159993")</f>
        <v>0</v>
      </c>
      <c r="B4745" t="s">
        <v>1854</v>
      </c>
      <c r="C4745" t="s">
        <v>8383</v>
      </c>
      <c r="D4745" t="s">
        <v>19037</v>
      </c>
      <c r="E4745" t="s">
        <v>23315</v>
      </c>
      <c r="F4745" t="s">
        <v>32831</v>
      </c>
      <c r="G4745" t="s">
        <v>32838</v>
      </c>
      <c r="H4745" t="s">
        <v>32848</v>
      </c>
      <c r="I4745" t="s">
        <v>32883</v>
      </c>
      <c r="J4745" t="s">
        <v>36048</v>
      </c>
      <c r="K4745" t="s">
        <v>42730</v>
      </c>
      <c r="M4745" t="s">
        <v>44992</v>
      </c>
      <c r="N4745" t="s">
        <v>47424</v>
      </c>
      <c r="O4745" t="s">
        <v>47425</v>
      </c>
      <c r="P4745">
        <v>0</v>
      </c>
      <c r="Q4745">
        <v>6</v>
      </c>
      <c r="R4745" t="s">
        <v>47430</v>
      </c>
      <c r="S4745" t="s">
        <v>47549</v>
      </c>
      <c r="T4745" t="s">
        <v>49163</v>
      </c>
      <c r="U4745" t="s">
        <v>53698</v>
      </c>
      <c r="W4745" t="s">
        <v>47167</v>
      </c>
      <c r="X4745" t="s">
        <v>47431</v>
      </c>
    </row>
    <row r="4746" spans="1:24">
      <c r="A4746">
        <f>HYPERLINK("https://www.philgeps.gov.ph/GEPSNONPILOT/Tender/SplashBidNoticeAbstractUI.aspx?menuIndex=3&amp;refID=7159992&amp;Result=3","7159992")</f>
        <v>0</v>
      </c>
      <c r="B4746" t="s">
        <v>1855</v>
      </c>
      <c r="C4746" t="s">
        <v>8384</v>
      </c>
      <c r="D4746" t="s">
        <v>19047</v>
      </c>
      <c r="E4746" t="s">
        <v>19203</v>
      </c>
      <c r="F4746" t="s">
        <v>32831</v>
      </c>
      <c r="G4746" t="s">
        <v>32838</v>
      </c>
      <c r="H4746" t="s">
        <v>32848</v>
      </c>
      <c r="I4746" t="s">
        <v>10643</v>
      </c>
      <c r="J4746" t="s">
        <v>36049</v>
      </c>
      <c r="K4746" t="s">
        <v>42748</v>
      </c>
      <c r="L4746" t="s">
        <v>1855</v>
      </c>
      <c r="M4746" t="s">
        <v>44993</v>
      </c>
      <c r="N4746" t="s">
        <v>47424</v>
      </c>
      <c r="O4746" t="s">
        <v>47425</v>
      </c>
      <c r="P4746">
        <v>0</v>
      </c>
      <c r="Q4746">
        <v>5</v>
      </c>
      <c r="R4746" t="s">
        <v>47430</v>
      </c>
      <c r="S4746" t="s">
        <v>47549</v>
      </c>
      <c r="T4746" t="s">
        <v>49119</v>
      </c>
      <c r="U4746" t="s">
        <v>53699</v>
      </c>
      <c r="W4746" t="s">
        <v>44993</v>
      </c>
      <c r="X4746" t="s">
        <v>47431</v>
      </c>
    </row>
    <row r="4747" spans="1:24">
      <c r="A4747">
        <f>HYPERLINK("https://www.philgeps.gov.ph/GEPSNONPILOT/Tender/SplashBidNoticeAbstractUI.aspx?menuIndex=3&amp;refID=7159961&amp;Result=3","7159961")</f>
        <v>0</v>
      </c>
      <c r="B4747" t="s">
        <v>709</v>
      </c>
      <c r="C4747" t="s">
        <v>8385</v>
      </c>
      <c r="D4747" t="s">
        <v>19037</v>
      </c>
      <c r="E4747" t="s">
        <v>23316</v>
      </c>
      <c r="F4747" t="s">
        <v>32831</v>
      </c>
      <c r="G4747" t="s">
        <v>32839</v>
      </c>
      <c r="H4747" t="s">
        <v>32848</v>
      </c>
      <c r="I4747" t="s">
        <v>32857</v>
      </c>
      <c r="J4747" t="s">
        <v>36050</v>
      </c>
      <c r="K4747" t="s">
        <v>42729</v>
      </c>
      <c r="M4747" t="s">
        <v>44979</v>
      </c>
      <c r="N4747" t="s">
        <v>47424</v>
      </c>
      <c r="O4747" t="s">
        <v>47425</v>
      </c>
      <c r="P4747">
        <v>0</v>
      </c>
      <c r="Q4747">
        <v>5</v>
      </c>
      <c r="R4747" t="s">
        <v>47430</v>
      </c>
      <c r="S4747" t="s">
        <v>47549</v>
      </c>
      <c r="T4747" t="s">
        <v>49291</v>
      </c>
      <c r="U4747" t="s">
        <v>53700</v>
      </c>
      <c r="V4747" t="s">
        <v>63160</v>
      </c>
      <c r="W4747" t="s">
        <v>44979</v>
      </c>
      <c r="X4747" t="s">
        <v>47431</v>
      </c>
    </row>
    <row r="4748" spans="1:24">
      <c r="A4748">
        <f>HYPERLINK("https://www.philgeps.gov.ph/GEPSNONPILOT/Tender/SplashBidNoticeAbstractUI.aspx?menuIndex=3&amp;refID=7159987&amp;Result=3","7159987")</f>
        <v>0</v>
      </c>
      <c r="B4748" t="s">
        <v>794</v>
      </c>
      <c r="C4748" t="s">
        <v>8386</v>
      </c>
      <c r="D4748" t="s">
        <v>19088</v>
      </c>
      <c r="E4748" t="s">
        <v>23317</v>
      </c>
      <c r="F4748" t="s">
        <v>32831</v>
      </c>
      <c r="G4748" t="s">
        <v>32839</v>
      </c>
      <c r="H4748" t="s">
        <v>32848</v>
      </c>
      <c r="I4748" t="s">
        <v>32857</v>
      </c>
      <c r="J4748" t="s">
        <v>36051</v>
      </c>
      <c r="K4748" t="s">
        <v>42726</v>
      </c>
      <c r="M4748" t="s">
        <v>43824</v>
      </c>
      <c r="N4748" t="s">
        <v>47424</v>
      </c>
      <c r="O4748" t="s">
        <v>47425</v>
      </c>
      <c r="P4748">
        <v>0</v>
      </c>
      <c r="Q4748">
        <v>10</v>
      </c>
      <c r="R4748" t="s">
        <v>47430</v>
      </c>
      <c r="S4748" t="s">
        <v>47549</v>
      </c>
      <c r="T4748" t="s">
        <v>49077</v>
      </c>
      <c r="U4748" t="s">
        <v>51143</v>
      </c>
      <c r="W4748" t="s">
        <v>43824</v>
      </c>
      <c r="X4748" t="s">
        <v>47431</v>
      </c>
    </row>
    <row r="4749" spans="1:24">
      <c r="A4749">
        <f>HYPERLINK("https://www.philgeps.gov.ph/GEPSNONPILOT/Tender/SplashBidNoticeAbstractUI.aspx?menuIndex=3&amp;refID=7159997&amp;Result=3","7159997")</f>
        <v>0</v>
      </c>
      <c r="B4749" t="s">
        <v>1362</v>
      </c>
      <c r="C4749" t="s">
        <v>8387</v>
      </c>
      <c r="D4749" t="s">
        <v>19017</v>
      </c>
      <c r="E4749" t="s">
        <v>23318</v>
      </c>
      <c r="F4749" t="s">
        <v>32831</v>
      </c>
      <c r="G4749" t="s">
        <v>32838</v>
      </c>
      <c r="H4749" t="s">
        <v>32848</v>
      </c>
      <c r="I4749" t="s">
        <v>32874</v>
      </c>
      <c r="J4749" t="s">
        <v>36052</v>
      </c>
      <c r="K4749" t="s">
        <v>42732</v>
      </c>
      <c r="M4749" t="s">
        <v>44994</v>
      </c>
      <c r="N4749" t="s">
        <v>47424</v>
      </c>
      <c r="O4749" t="s">
        <v>47425</v>
      </c>
      <c r="P4749">
        <v>0</v>
      </c>
      <c r="Q4749">
        <v>21</v>
      </c>
      <c r="R4749" t="s">
        <v>47430</v>
      </c>
      <c r="S4749" t="s">
        <v>47549</v>
      </c>
      <c r="T4749" t="s">
        <v>49163</v>
      </c>
      <c r="U4749" t="s">
        <v>53701</v>
      </c>
      <c r="V4749" t="s">
        <v>63161</v>
      </c>
      <c r="W4749" t="s">
        <v>44994</v>
      </c>
      <c r="X4749" t="s">
        <v>47431</v>
      </c>
    </row>
    <row r="4750" spans="1:24">
      <c r="A4750">
        <f>HYPERLINK("https://www.philgeps.gov.ph/GEPSNONPILOT/Tender/SplashBidNoticeAbstractUI.aspx?menuIndex=3&amp;refID=7159984&amp;Result=3","7159984")</f>
        <v>0</v>
      </c>
      <c r="B4750" t="s">
        <v>1856</v>
      </c>
      <c r="C4750" t="s">
        <v>8388</v>
      </c>
      <c r="D4750" t="s">
        <v>19018</v>
      </c>
      <c r="E4750" t="s">
        <v>23319</v>
      </c>
      <c r="F4750" t="s">
        <v>32831</v>
      </c>
      <c r="G4750" t="s">
        <v>32838</v>
      </c>
      <c r="H4750" t="s">
        <v>32848</v>
      </c>
      <c r="I4750" t="s">
        <v>4177</v>
      </c>
      <c r="J4750" t="s">
        <v>36053</v>
      </c>
      <c r="K4750" t="s">
        <v>42732</v>
      </c>
      <c r="M4750" t="s">
        <v>44995</v>
      </c>
      <c r="N4750" t="s">
        <v>47424</v>
      </c>
      <c r="O4750" t="s">
        <v>47425</v>
      </c>
      <c r="P4750">
        <v>0</v>
      </c>
      <c r="Q4750">
        <v>0</v>
      </c>
      <c r="R4750" t="s">
        <v>47430</v>
      </c>
      <c r="S4750" t="s">
        <v>47549</v>
      </c>
      <c r="T4750" t="s">
        <v>49162</v>
      </c>
      <c r="U4750" t="s">
        <v>53702</v>
      </c>
      <c r="V4750" t="s">
        <v>63162</v>
      </c>
      <c r="W4750" t="s">
        <v>44995</v>
      </c>
      <c r="X4750" t="s">
        <v>47431</v>
      </c>
    </row>
    <row r="4751" spans="1:24">
      <c r="A4751">
        <f>HYPERLINK("https://www.philgeps.gov.ph/GEPSNONPILOT/Tender/SplashBidNoticeAbstractUI.aspx?menuIndex=3&amp;refID=7159994&amp;Result=3","7159994")</f>
        <v>0</v>
      </c>
      <c r="B4751" t="s">
        <v>1375</v>
      </c>
      <c r="C4751" t="s">
        <v>8389</v>
      </c>
      <c r="D4751" t="s">
        <v>19049</v>
      </c>
      <c r="E4751" t="s">
        <v>23320</v>
      </c>
      <c r="F4751" t="s">
        <v>32831</v>
      </c>
      <c r="G4751" t="s">
        <v>32839</v>
      </c>
      <c r="H4751" t="s">
        <v>32848</v>
      </c>
      <c r="I4751" t="s">
        <v>32867</v>
      </c>
      <c r="J4751" t="s">
        <v>36054</v>
      </c>
      <c r="K4751" t="s">
        <v>42730</v>
      </c>
      <c r="M4751" t="s">
        <v>44456</v>
      </c>
      <c r="N4751" t="s">
        <v>47424</v>
      </c>
      <c r="O4751" t="s">
        <v>47425</v>
      </c>
      <c r="P4751">
        <v>0</v>
      </c>
      <c r="Q4751">
        <v>5</v>
      </c>
      <c r="R4751" t="s">
        <v>47430</v>
      </c>
      <c r="S4751" t="s">
        <v>47549</v>
      </c>
      <c r="T4751" t="s">
        <v>49123</v>
      </c>
      <c r="U4751" t="s">
        <v>53703</v>
      </c>
      <c r="W4751" t="s">
        <v>64466</v>
      </c>
      <c r="X4751" t="s">
        <v>47431</v>
      </c>
    </row>
    <row r="4752" spans="1:24">
      <c r="A4752">
        <f>HYPERLINK("https://www.philgeps.gov.ph/GEPSNONPILOT/Tender/SplashBidNoticeAbstractUI.aspx?menuIndex=3&amp;refID=7159981&amp;Result=3","7159981")</f>
        <v>0</v>
      </c>
      <c r="B4752" t="s">
        <v>1857</v>
      </c>
      <c r="C4752" t="s">
        <v>8390</v>
      </c>
      <c r="E4752" t="s">
        <v>23321</v>
      </c>
      <c r="F4752" t="s">
        <v>32831</v>
      </c>
      <c r="G4752" t="s">
        <v>32839</v>
      </c>
      <c r="H4752" t="s">
        <v>32849</v>
      </c>
      <c r="I4752" t="s">
        <v>4177</v>
      </c>
      <c r="J4752" t="s">
        <v>33257</v>
      </c>
      <c r="K4752" t="s">
        <v>42729</v>
      </c>
      <c r="M4752" t="s">
        <v>44996</v>
      </c>
      <c r="N4752" t="s">
        <v>47424</v>
      </c>
      <c r="O4752" t="s">
        <v>47425</v>
      </c>
      <c r="P4752">
        <v>0</v>
      </c>
      <c r="Q4752">
        <v>0</v>
      </c>
      <c r="R4752" t="s">
        <v>47430</v>
      </c>
      <c r="S4752" t="s">
        <v>47549</v>
      </c>
      <c r="T4752" t="s">
        <v>49181</v>
      </c>
      <c r="U4752" t="s">
        <v>53704</v>
      </c>
      <c r="W4752" t="s">
        <v>44996</v>
      </c>
      <c r="X4752" t="s">
        <v>47431</v>
      </c>
    </row>
    <row r="4753" spans="1:24">
      <c r="A4753">
        <f>HYPERLINK("https://www.philgeps.gov.ph/GEPSNONPILOT/Tender/SplashBidNoticeAbstractUI.aspx?menuIndex=3&amp;refID=7159980&amp;Result=3","7159980")</f>
        <v>0</v>
      </c>
      <c r="B4753" t="s">
        <v>623</v>
      </c>
      <c r="C4753" t="s">
        <v>8391</v>
      </c>
      <c r="D4753" t="s">
        <v>19042</v>
      </c>
      <c r="E4753" t="s">
        <v>23322</v>
      </c>
      <c r="F4753" t="s">
        <v>32831</v>
      </c>
      <c r="G4753" t="s">
        <v>32839</v>
      </c>
      <c r="H4753" t="s">
        <v>32849</v>
      </c>
      <c r="I4753" t="s">
        <v>4177</v>
      </c>
      <c r="J4753" t="s">
        <v>36055</v>
      </c>
      <c r="K4753" t="s">
        <v>42868</v>
      </c>
      <c r="M4753" t="s">
        <v>43639</v>
      </c>
      <c r="N4753" t="s">
        <v>47424</v>
      </c>
      <c r="O4753" t="s">
        <v>47425</v>
      </c>
      <c r="P4753">
        <v>0</v>
      </c>
      <c r="Q4753">
        <v>1</v>
      </c>
      <c r="R4753" t="s">
        <v>47430</v>
      </c>
      <c r="S4753" t="s">
        <v>47549</v>
      </c>
      <c r="T4753" t="s">
        <v>49393</v>
      </c>
      <c r="U4753" t="s">
        <v>53705</v>
      </c>
      <c r="W4753" t="s">
        <v>43639</v>
      </c>
      <c r="X4753" t="s">
        <v>47431</v>
      </c>
    </row>
    <row r="4754" spans="1:24">
      <c r="A4754">
        <f>HYPERLINK("https://www.philgeps.gov.ph/GEPSNONPILOT/Tender/SplashBidNoticeAbstractUI.aspx?menuIndex=3&amp;refID=7159828&amp;Result=3","7159828")</f>
        <v>0</v>
      </c>
      <c r="B4754" t="s">
        <v>1858</v>
      </c>
      <c r="C4754" t="s">
        <v>8392</v>
      </c>
      <c r="D4754" t="s">
        <v>19056</v>
      </c>
      <c r="E4754" t="s">
        <v>23323</v>
      </c>
      <c r="F4754" t="s">
        <v>32831</v>
      </c>
      <c r="G4754" t="s">
        <v>32840</v>
      </c>
      <c r="H4754" t="s">
        <v>32848</v>
      </c>
      <c r="I4754" t="s">
        <v>4487</v>
      </c>
      <c r="J4754" t="s">
        <v>33029</v>
      </c>
      <c r="K4754" t="s">
        <v>42748</v>
      </c>
      <c r="M4754" t="s">
        <v>44997</v>
      </c>
      <c r="N4754" t="s">
        <v>47424</v>
      </c>
      <c r="O4754" t="s">
        <v>47425</v>
      </c>
      <c r="P4754">
        <v>0</v>
      </c>
      <c r="Q4754">
        <v>1</v>
      </c>
      <c r="R4754" t="s">
        <v>47430</v>
      </c>
      <c r="S4754" t="s">
        <v>47549</v>
      </c>
      <c r="T4754" t="s">
        <v>49129</v>
      </c>
      <c r="U4754" t="s">
        <v>53706</v>
      </c>
      <c r="W4754" t="s">
        <v>44997</v>
      </c>
      <c r="X4754" t="s">
        <v>47431</v>
      </c>
    </row>
    <row r="4755" spans="1:24">
      <c r="A4755">
        <f>HYPERLINK("https://www.philgeps.gov.ph/GEPSNONPILOT/Tender/SplashBidNoticeAbstractUI.aspx?menuIndex=3&amp;refID=7159954&amp;Result=3","7159954")</f>
        <v>0</v>
      </c>
      <c r="B4755" t="s">
        <v>485</v>
      </c>
      <c r="C4755" t="s">
        <v>8393</v>
      </c>
      <c r="D4755" t="s">
        <v>19032</v>
      </c>
      <c r="E4755" t="s">
        <v>23324</v>
      </c>
      <c r="F4755" t="s">
        <v>32831</v>
      </c>
      <c r="G4755" t="s">
        <v>32839</v>
      </c>
      <c r="H4755" t="s">
        <v>32848</v>
      </c>
      <c r="I4755" t="s">
        <v>9577</v>
      </c>
      <c r="J4755" t="s">
        <v>36056</v>
      </c>
      <c r="K4755" t="s">
        <v>42831</v>
      </c>
      <c r="M4755" t="s">
        <v>43490</v>
      </c>
      <c r="N4755" t="s">
        <v>47424</v>
      </c>
      <c r="O4755" t="s">
        <v>47425</v>
      </c>
      <c r="P4755">
        <v>0</v>
      </c>
      <c r="Q4755">
        <v>0</v>
      </c>
      <c r="R4755" t="s">
        <v>47430</v>
      </c>
      <c r="S4755" t="s">
        <v>47549</v>
      </c>
      <c r="T4755" t="s">
        <v>49402</v>
      </c>
      <c r="U4755" t="s">
        <v>50335</v>
      </c>
      <c r="V4755" t="s">
        <v>63163</v>
      </c>
      <c r="W4755" t="s">
        <v>43490</v>
      </c>
      <c r="X4755" t="s">
        <v>47431</v>
      </c>
    </row>
    <row r="4756" spans="1:24">
      <c r="A4756">
        <f>HYPERLINK("https://www.philgeps.gov.ph/GEPSNONPILOT/Tender/SplashBidNoticeAbstractUI.aspx?menuIndex=3&amp;refID=7159976&amp;Result=3","7159976")</f>
        <v>0</v>
      </c>
      <c r="B4756" t="s">
        <v>1859</v>
      </c>
      <c r="C4756" t="s">
        <v>8394</v>
      </c>
      <c r="D4756" t="s">
        <v>19017</v>
      </c>
      <c r="E4756" t="s">
        <v>23325</v>
      </c>
      <c r="F4756" t="s">
        <v>32831</v>
      </c>
      <c r="G4756" t="s">
        <v>32838</v>
      </c>
      <c r="H4756" t="s">
        <v>32848</v>
      </c>
      <c r="I4756" t="s">
        <v>32864</v>
      </c>
      <c r="J4756" t="s">
        <v>36057</v>
      </c>
      <c r="K4756" t="s">
        <v>42748</v>
      </c>
      <c r="M4756" t="s">
        <v>44998</v>
      </c>
      <c r="N4756" t="s">
        <v>47424</v>
      </c>
      <c r="O4756" t="s">
        <v>47425</v>
      </c>
      <c r="P4756">
        <v>0</v>
      </c>
      <c r="Q4756">
        <v>11</v>
      </c>
      <c r="R4756" t="s">
        <v>47430</v>
      </c>
      <c r="S4756" t="s">
        <v>47549</v>
      </c>
      <c r="T4756" t="s">
        <v>49114</v>
      </c>
      <c r="U4756" t="s">
        <v>53707</v>
      </c>
      <c r="V4756" t="s">
        <v>63164</v>
      </c>
      <c r="W4756" t="s">
        <v>44998</v>
      </c>
      <c r="X4756" t="s">
        <v>47431</v>
      </c>
    </row>
    <row r="4757" spans="1:24">
      <c r="A4757">
        <f>HYPERLINK("https://www.philgeps.gov.ph/GEPSNONPILOT/Tender/SplashBidNoticeAbstractUI.aspx?menuIndex=3&amp;refID=7159975&amp;Result=3","7159975")</f>
        <v>0</v>
      </c>
      <c r="B4757" t="s">
        <v>1860</v>
      </c>
      <c r="C4757" t="s">
        <v>8395</v>
      </c>
      <c r="D4757" t="s">
        <v>19079</v>
      </c>
      <c r="E4757" t="s">
        <v>8395</v>
      </c>
      <c r="F4757" t="s">
        <v>32831</v>
      </c>
      <c r="G4757" t="s">
        <v>32842</v>
      </c>
      <c r="H4757" t="s">
        <v>32848</v>
      </c>
      <c r="I4757" t="s">
        <v>4438</v>
      </c>
      <c r="J4757" t="s">
        <v>36058</v>
      </c>
      <c r="K4757" t="s">
        <v>42732</v>
      </c>
      <c r="M4757" t="s">
        <v>44999</v>
      </c>
      <c r="N4757" t="s">
        <v>47424</v>
      </c>
      <c r="O4757" t="s">
        <v>47425</v>
      </c>
      <c r="P4757">
        <v>0</v>
      </c>
      <c r="Q4757">
        <v>0</v>
      </c>
      <c r="R4757" t="s">
        <v>47430</v>
      </c>
      <c r="S4757" t="s">
        <v>47549</v>
      </c>
      <c r="T4757" t="s">
        <v>49237</v>
      </c>
      <c r="U4757" t="s">
        <v>53708</v>
      </c>
      <c r="W4757" t="s">
        <v>44999</v>
      </c>
      <c r="X4757" t="s">
        <v>47431</v>
      </c>
    </row>
    <row r="4758" spans="1:24">
      <c r="A4758">
        <f>HYPERLINK("https://www.philgeps.gov.ph/GEPSNONPILOT/Tender/SplashBidNoticeAbstractUI.aspx?menuIndex=3&amp;refID=7160030&amp;Result=3","7160030")</f>
        <v>0</v>
      </c>
      <c r="B4758" t="s">
        <v>1704</v>
      </c>
      <c r="C4758" t="s">
        <v>8396</v>
      </c>
      <c r="D4758" t="s">
        <v>19084</v>
      </c>
      <c r="E4758" t="s">
        <v>23326</v>
      </c>
      <c r="F4758" t="s">
        <v>32831</v>
      </c>
      <c r="G4758" t="s">
        <v>32838</v>
      </c>
      <c r="H4758" t="s">
        <v>32848</v>
      </c>
      <c r="I4758" t="s">
        <v>4303</v>
      </c>
      <c r="J4758" t="s">
        <v>36059</v>
      </c>
      <c r="K4758" t="s">
        <v>42727</v>
      </c>
      <c r="M4758" t="s">
        <v>44826</v>
      </c>
      <c r="N4758" t="s">
        <v>47424</v>
      </c>
      <c r="O4758" t="s">
        <v>47425</v>
      </c>
      <c r="P4758">
        <v>0</v>
      </c>
      <c r="Q4758">
        <v>2</v>
      </c>
      <c r="R4758" t="s">
        <v>47430</v>
      </c>
      <c r="S4758" t="s">
        <v>47549</v>
      </c>
      <c r="T4758" t="s">
        <v>49235</v>
      </c>
      <c r="U4758" t="s">
        <v>53229</v>
      </c>
      <c r="V4758" t="s">
        <v>63094</v>
      </c>
      <c r="W4758" t="s">
        <v>44826</v>
      </c>
      <c r="X4758" t="s">
        <v>47431</v>
      </c>
    </row>
    <row r="4759" spans="1:24">
      <c r="A4759">
        <f>HYPERLINK("https://www.philgeps.gov.ph/GEPSNONPILOT/Tender/SplashBidNoticeAbstractUI.aspx?menuIndex=3&amp;refID=7160029&amp;Result=3","7160029")</f>
        <v>0</v>
      </c>
      <c r="B4759" t="s">
        <v>1149</v>
      </c>
      <c r="C4759" t="s">
        <v>8397</v>
      </c>
      <c r="D4759" t="s">
        <v>19079</v>
      </c>
      <c r="E4759" t="s">
        <v>23327</v>
      </c>
      <c r="F4759" t="s">
        <v>32831</v>
      </c>
      <c r="G4759" t="s">
        <v>32838</v>
      </c>
      <c r="H4759" t="s">
        <v>32848</v>
      </c>
      <c r="I4759" t="s">
        <v>4340</v>
      </c>
      <c r="J4759" t="s">
        <v>36060</v>
      </c>
      <c r="K4759" t="s">
        <v>42732</v>
      </c>
      <c r="M4759" t="s">
        <v>44213</v>
      </c>
      <c r="N4759" t="s">
        <v>47424</v>
      </c>
      <c r="O4759" t="s">
        <v>47425</v>
      </c>
      <c r="P4759">
        <v>0</v>
      </c>
      <c r="Q4759">
        <v>1</v>
      </c>
      <c r="R4759" t="s">
        <v>47430</v>
      </c>
      <c r="S4759" t="s">
        <v>47549</v>
      </c>
      <c r="T4759" t="s">
        <v>49061</v>
      </c>
      <c r="U4759" t="s">
        <v>53709</v>
      </c>
      <c r="W4759" t="s">
        <v>44213</v>
      </c>
      <c r="X4759" t="s">
        <v>47431</v>
      </c>
    </row>
    <row r="4760" spans="1:24">
      <c r="A4760">
        <f>HYPERLINK("https://www.philgeps.gov.ph/GEPSNONPILOT/Tender/SplashBidNoticeAbstractUI.aspx?menuIndex=3&amp;refID=7160028&amp;Result=3","7160028")</f>
        <v>0</v>
      </c>
      <c r="B4760" t="s">
        <v>67</v>
      </c>
      <c r="C4760" t="s">
        <v>8398</v>
      </c>
      <c r="D4760" t="s">
        <v>19079</v>
      </c>
      <c r="E4760" t="s">
        <v>8398</v>
      </c>
      <c r="F4760" t="s">
        <v>32831</v>
      </c>
      <c r="G4760" t="s">
        <v>32838</v>
      </c>
      <c r="H4760" t="s">
        <v>32848</v>
      </c>
      <c r="I4760" t="s">
        <v>4487</v>
      </c>
      <c r="J4760" t="s">
        <v>33044</v>
      </c>
      <c r="K4760" t="s">
        <v>42730</v>
      </c>
      <c r="M4760" t="s">
        <v>44984</v>
      </c>
      <c r="N4760" t="s">
        <v>47424</v>
      </c>
      <c r="O4760" t="s">
        <v>47425</v>
      </c>
      <c r="P4760">
        <v>0</v>
      </c>
      <c r="Q4760">
        <v>2</v>
      </c>
      <c r="R4760" t="s">
        <v>47430</v>
      </c>
      <c r="S4760" t="s">
        <v>47549</v>
      </c>
      <c r="T4760" t="s">
        <v>49135</v>
      </c>
      <c r="U4760" t="s">
        <v>53710</v>
      </c>
      <c r="W4760" t="s">
        <v>44984</v>
      </c>
      <c r="X4760" t="s">
        <v>47431</v>
      </c>
    </row>
    <row r="4761" spans="1:24">
      <c r="A4761">
        <f>HYPERLINK("https://www.philgeps.gov.ph/GEPSNONPILOT/Tender/SplashBidNoticeAbstractUI.aspx?menuIndex=3&amp;refID=7160025&amp;Result=3","7160025")</f>
        <v>0</v>
      </c>
      <c r="B4761" t="s">
        <v>1385</v>
      </c>
      <c r="C4761" t="s">
        <v>8399</v>
      </c>
      <c r="D4761" t="s">
        <v>19060</v>
      </c>
      <c r="E4761" t="s">
        <v>23328</v>
      </c>
      <c r="F4761" t="s">
        <v>32831</v>
      </c>
      <c r="G4761" t="s">
        <v>32838</v>
      </c>
      <c r="H4761" t="s">
        <v>32848</v>
      </c>
      <c r="I4761" t="s">
        <v>4438</v>
      </c>
      <c r="J4761" t="s">
        <v>33045</v>
      </c>
      <c r="K4761" t="s">
        <v>42730</v>
      </c>
      <c r="M4761" t="s">
        <v>44470</v>
      </c>
      <c r="N4761" t="s">
        <v>47424</v>
      </c>
      <c r="O4761" t="s">
        <v>47425</v>
      </c>
      <c r="P4761">
        <v>0</v>
      </c>
      <c r="Q4761">
        <v>6</v>
      </c>
      <c r="R4761" t="s">
        <v>47430</v>
      </c>
      <c r="S4761" t="s">
        <v>47549</v>
      </c>
      <c r="T4761" t="s">
        <v>49129</v>
      </c>
      <c r="U4761" t="s">
        <v>53711</v>
      </c>
      <c r="V4761" t="s">
        <v>62982</v>
      </c>
      <c r="W4761" t="s">
        <v>44470</v>
      </c>
      <c r="X4761" t="s">
        <v>47431</v>
      </c>
    </row>
    <row r="4762" spans="1:24">
      <c r="A4762">
        <f>HYPERLINK("https://www.philgeps.gov.ph/GEPSNONPILOT/Tender/SplashBidNoticeAbstractUI.aspx?menuIndex=3&amp;refID=7159978&amp;Result=3","7159978")</f>
        <v>0</v>
      </c>
      <c r="B4762" t="s">
        <v>1861</v>
      </c>
      <c r="C4762" t="s">
        <v>8400</v>
      </c>
      <c r="D4762" t="s">
        <v>19060</v>
      </c>
      <c r="E4762" t="s">
        <v>23329</v>
      </c>
      <c r="F4762" t="s">
        <v>32831</v>
      </c>
      <c r="G4762" t="s">
        <v>32839</v>
      </c>
      <c r="H4762" t="s">
        <v>32849</v>
      </c>
      <c r="I4762" t="s">
        <v>4177</v>
      </c>
      <c r="J4762" t="s">
        <v>33032</v>
      </c>
      <c r="K4762" t="s">
        <v>42780</v>
      </c>
      <c r="M4762" t="s">
        <v>45000</v>
      </c>
      <c r="N4762" t="s">
        <v>47424</v>
      </c>
      <c r="O4762" t="s">
        <v>47425</v>
      </c>
      <c r="P4762">
        <v>0</v>
      </c>
      <c r="Q4762">
        <v>1</v>
      </c>
      <c r="R4762" t="s">
        <v>47430</v>
      </c>
      <c r="S4762" t="s">
        <v>47549</v>
      </c>
      <c r="T4762" t="s">
        <v>49217</v>
      </c>
      <c r="U4762" t="s">
        <v>53712</v>
      </c>
      <c r="W4762" t="s">
        <v>45000</v>
      </c>
      <c r="X4762" t="s">
        <v>47431</v>
      </c>
    </row>
    <row r="4763" spans="1:24">
      <c r="A4763">
        <f>HYPERLINK("https://www.philgeps.gov.ph/GEPSNONPILOT/Tender/SplashBidNoticeAbstractUI.aspx?menuIndex=3&amp;refID=7160022&amp;Result=3","7160022")</f>
        <v>0</v>
      </c>
      <c r="B4763" t="s">
        <v>1854</v>
      </c>
      <c r="C4763" t="s">
        <v>8401</v>
      </c>
      <c r="D4763" t="s">
        <v>19037</v>
      </c>
      <c r="E4763" t="s">
        <v>23330</v>
      </c>
      <c r="F4763" t="s">
        <v>32831</v>
      </c>
      <c r="G4763" t="s">
        <v>32838</v>
      </c>
      <c r="H4763" t="s">
        <v>32848</v>
      </c>
      <c r="I4763" t="s">
        <v>32883</v>
      </c>
      <c r="J4763" t="s">
        <v>33044</v>
      </c>
      <c r="K4763" t="s">
        <v>42730</v>
      </c>
      <c r="M4763" t="s">
        <v>44992</v>
      </c>
      <c r="N4763" t="s">
        <v>47424</v>
      </c>
      <c r="O4763" t="s">
        <v>47425</v>
      </c>
      <c r="P4763">
        <v>0</v>
      </c>
      <c r="Q4763">
        <v>7</v>
      </c>
      <c r="R4763" t="s">
        <v>47430</v>
      </c>
      <c r="S4763" t="s">
        <v>47549</v>
      </c>
      <c r="T4763" t="s">
        <v>49163</v>
      </c>
      <c r="U4763" t="s">
        <v>53713</v>
      </c>
      <c r="W4763" t="s">
        <v>47167</v>
      </c>
      <c r="X4763" t="s">
        <v>47431</v>
      </c>
    </row>
    <row r="4764" spans="1:24">
      <c r="A4764">
        <f>HYPERLINK("https://www.philgeps.gov.ph/GEPSNONPILOT/Tender/SplashBidNoticeAbstractUI.aspx?menuIndex=3&amp;refID=7159967&amp;Result=3","7159967")</f>
        <v>0</v>
      </c>
      <c r="B4764" t="s">
        <v>888</v>
      </c>
      <c r="C4764" t="s">
        <v>8402</v>
      </c>
      <c r="D4764" t="s">
        <v>19067</v>
      </c>
      <c r="E4764" t="s">
        <v>19494</v>
      </c>
      <c r="F4764" t="s">
        <v>32831</v>
      </c>
      <c r="G4764" t="s">
        <v>32839</v>
      </c>
      <c r="H4764" t="s">
        <v>32848</v>
      </c>
      <c r="I4764" t="s">
        <v>9577</v>
      </c>
      <c r="J4764" t="s">
        <v>36061</v>
      </c>
      <c r="K4764" t="s">
        <v>42726</v>
      </c>
      <c r="M4764" t="s">
        <v>43923</v>
      </c>
      <c r="N4764" t="s">
        <v>47424</v>
      </c>
      <c r="O4764" t="s">
        <v>47425</v>
      </c>
      <c r="P4764">
        <v>0</v>
      </c>
      <c r="Q4764">
        <v>7</v>
      </c>
      <c r="R4764" t="s">
        <v>47430</v>
      </c>
      <c r="S4764" t="s">
        <v>47549</v>
      </c>
      <c r="T4764" t="s">
        <v>49119</v>
      </c>
      <c r="U4764" t="s">
        <v>53714</v>
      </c>
      <c r="W4764" t="s">
        <v>43923</v>
      </c>
      <c r="X4764" t="s">
        <v>47431</v>
      </c>
    </row>
    <row r="4765" spans="1:24">
      <c r="A4765">
        <f>HYPERLINK("https://www.philgeps.gov.ph/GEPSNONPILOT/Tender/SplashBidNoticeAbstractUI.aspx?menuIndex=3&amp;refID=7159983&amp;Result=3","7159983")</f>
        <v>0</v>
      </c>
      <c r="B4765" t="s">
        <v>525</v>
      </c>
      <c r="C4765" t="s">
        <v>8403</v>
      </c>
      <c r="D4765" t="s">
        <v>19029</v>
      </c>
      <c r="E4765" t="s">
        <v>8403</v>
      </c>
      <c r="F4765" t="s">
        <v>32831</v>
      </c>
      <c r="G4765" t="s">
        <v>32839</v>
      </c>
      <c r="H4765" t="s">
        <v>32849</v>
      </c>
      <c r="I4765" t="s">
        <v>4177</v>
      </c>
      <c r="J4765" t="s">
        <v>36062</v>
      </c>
      <c r="K4765" t="s">
        <v>42780</v>
      </c>
      <c r="M4765" t="s">
        <v>43531</v>
      </c>
      <c r="N4765" t="s">
        <v>47424</v>
      </c>
      <c r="O4765" t="s">
        <v>47425</v>
      </c>
      <c r="P4765">
        <v>0</v>
      </c>
      <c r="Q4765">
        <v>0</v>
      </c>
      <c r="R4765" t="s">
        <v>47430</v>
      </c>
      <c r="S4765" t="s">
        <v>47549</v>
      </c>
      <c r="T4765" t="s">
        <v>49078</v>
      </c>
      <c r="U4765" t="s">
        <v>53715</v>
      </c>
      <c r="W4765" t="s">
        <v>43531</v>
      </c>
      <c r="X4765" t="s">
        <v>47431</v>
      </c>
    </row>
    <row r="4766" spans="1:24">
      <c r="A4766">
        <f>HYPERLINK("https://www.philgeps.gov.ph/GEPSNONPILOT/Tender/SplashBidNoticeAbstractUI.aspx?menuIndex=3&amp;refID=7160021&amp;Result=3","7160021")</f>
        <v>0</v>
      </c>
      <c r="B4766" t="s">
        <v>1862</v>
      </c>
      <c r="C4766" t="s">
        <v>8404</v>
      </c>
      <c r="D4766" t="s">
        <v>19058</v>
      </c>
      <c r="E4766" t="s">
        <v>23331</v>
      </c>
      <c r="F4766" t="s">
        <v>32831</v>
      </c>
      <c r="G4766" t="s">
        <v>32840</v>
      </c>
      <c r="H4766" t="s">
        <v>32848</v>
      </c>
      <c r="I4766" t="s">
        <v>32860</v>
      </c>
      <c r="J4766" t="s">
        <v>33178</v>
      </c>
      <c r="K4766" t="s">
        <v>42748</v>
      </c>
      <c r="M4766" t="s">
        <v>45001</v>
      </c>
      <c r="N4766" t="s">
        <v>47424</v>
      </c>
      <c r="O4766" t="s">
        <v>47425</v>
      </c>
      <c r="P4766">
        <v>0</v>
      </c>
      <c r="Q4766">
        <v>3</v>
      </c>
      <c r="R4766" t="s">
        <v>47430</v>
      </c>
      <c r="S4766" t="s">
        <v>47549</v>
      </c>
      <c r="T4766" t="s">
        <v>49111</v>
      </c>
      <c r="U4766" t="s">
        <v>53716</v>
      </c>
      <c r="W4766" t="s">
        <v>45001</v>
      </c>
      <c r="X4766" t="s">
        <v>47431</v>
      </c>
    </row>
    <row r="4767" spans="1:24">
      <c r="A4767">
        <f>HYPERLINK("https://www.philgeps.gov.ph/GEPSNONPILOT/Tender/SplashBidNoticeAbstractUI.aspx?menuIndex=3&amp;refID=7160018&amp;Result=3","7160018")</f>
        <v>0</v>
      </c>
      <c r="B4767" t="s">
        <v>525</v>
      </c>
      <c r="C4767" t="s">
        <v>8405</v>
      </c>
      <c r="D4767" t="s">
        <v>19029</v>
      </c>
      <c r="E4767" t="s">
        <v>23332</v>
      </c>
      <c r="F4767" t="s">
        <v>32831</v>
      </c>
      <c r="G4767" t="s">
        <v>32839</v>
      </c>
      <c r="H4767" t="s">
        <v>32849</v>
      </c>
      <c r="I4767" t="s">
        <v>4177</v>
      </c>
      <c r="J4767" t="s">
        <v>36063</v>
      </c>
      <c r="K4767" t="s">
        <v>42773</v>
      </c>
      <c r="M4767" t="s">
        <v>43531</v>
      </c>
      <c r="N4767" t="s">
        <v>47424</v>
      </c>
      <c r="O4767" t="s">
        <v>47425</v>
      </c>
      <c r="P4767">
        <v>0</v>
      </c>
      <c r="Q4767">
        <v>0</v>
      </c>
      <c r="R4767" t="s">
        <v>47430</v>
      </c>
      <c r="S4767" t="s">
        <v>47549</v>
      </c>
      <c r="T4767" t="s">
        <v>49078</v>
      </c>
      <c r="U4767" t="s">
        <v>53717</v>
      </c>
      <c r="W4767" t="s">
        <v>43531</v>
      </c>
      <c r="X4767" t="s">
        <v>47431</v>
      </c>
    </row>
    <row r="4768" spans="1:24">
      <c r="A4768">
        <f>HYPERLINK("https://www.philgeps.gov.ph/GEPSNONPILOT/Tender/SplashBidNoticeAbstractUI.aspx?menuIndex=3&amp;refID=7160026&amp;Result=3","7160026")</f>
        <v>0</v>
      </c>
      <c r="B4768" t="s">
        <v>1852</v>
      </c>
      <c r="C4768" t="s">
        <v>8406</v>
      </c>
      <c r="D4768" t="s">
        <v>19062</v>
      </c>
      <c r="E4768" t="s">
        <v>23333</v>
      </c>
      <c r="F4768" t="s">
        <v>32831</v>
      </c>
      <c r="G4768" t="s">
        <v>32838</v>
      </c>
      <c r="H4768" t="s">
        <v>32848</v>
      </c>
      <c r="I4768" t="s">
        <v>32866</v>
      </c>
      <c r="J4768" t="s">
        <v>33087</v>
      </c>
      <c r="K4768" t="s">
        <v>42730</v>
      </c>
      <c r="M4768" t="s">
        <v>44990</v>
      </c>
      <c r="N4768" t="s">
        <v>47424</v>
      </c>
      <c r="O4768" t="s">
        <v>47425</v>
      </c>
      <c r="P4768">
        <v>0</v>
      </c>
      <c r="Q4768">
        <v>2</v>
      </c>
      <c r="R4768" t="s">
        <v>47430</v>
      </c>
      <c r="S4768" t="s">
        <v>47549</v>
      </c>
      <c r="T4768" t="s">
        <v>49198</v>
      </c>
      <c r="U4768" t="s">
        <v>53718</v>
      </c>
      <c r="V4768" t="s">
        <v>63159</v>
      </c>
      <c r="W4768" t="s">
        <v>44990</v>
      </c>
      <c r="X4768" t="s">
        <v>47431</v>
      </c>
    </row>
    <row r="4769" spans="1:24">
      <c r="A4769">
        <f>HYPERLINK("https://www.philgeps.gov.ph/GEPSNONPILOT/Tender/SplashBidNoticeAbstractUI.aspx?menuIndex=3&amp;refID=7160017&amp;Result=3","7160017")</f>
        <v>0</v>
      </c>
      <c r="B4769" t="s">
        <v>1863</v>
      </c>
      <c r="C4769" t="s">
        <v>8407</v>
      </c>
      <c r="D4769" t="s">
        <v>19041</v>
      </c>
      <c r="E4769" t="s">
        <v>23334</v>
      </c>
      <c r="F4769" t="s">
        <v>32831</v>
      </c>
      <c r="G4769" t="s">
        <v>32838</v>
      </c>
      <c r="H4769" t="s">
        <v>32848</v>
      </c>
      <c r="I4769" t="s">
        <v>32857</v>
      </c>
      <c r="J4769" t="s">
        <v>36053</v>
      </c>
      <c r="K4769" t="s">
        <v>42731</v>
      </c>
      <c r="M4769" t="s">
        <v>45002</v>
      </c>
      <c r="N4769" t="s">
        <v>47424</v>
      </c>
      <c r="O4769" t="s">
        <v>47425</v>
      </c>
      <c r="P4769">
        <v>0</v>
      </c>
      <c r="Q4769">
        <v>2</v>
      </c>
      <c r="R4769" t="s">
        <v>47430</v>
      </c>
      <c r="S4769" t="s">
        <v>47549</v>
      </c>
      <c r="T4769" t="s">
        <v>49403</v>
      </c>
      <c r="U4769" t="s">
        <v>53719</v>
      </c>
      <c r="W4769" t="s">
        <v>45002</v>
      </c>
      <c r="X4769" t="s">
        <v>47431</v>
      </c>
    </row>
    <row r="4770" spans="1:24">
      <c r="A4770">
        <f>HYPERLINK("https://www.philgeps.gov.ph/GEPSNONPILOT/Tender/SplashBidNoticeAbstractUI.aspx?menuIndex=3&amp;refID=7160016&amp;Result=3","7160016")</f>
        <v>0</v>
      </c>
      <c r="B4770" t="s">
        <v>1668</v>
      </c>
      <c r="C4770" t="s">
        <v>8408</v>
      </c>
      <c r="D4770" t="s">
        <v>19073</v>
      </c>
      <c r="E4770" t="s">
        <v>23335</v>
      </c>
      <c r="F4770" t="s">
        <v>32831</v>
      </c>
      <c r="G4770" t="s">
        <v>32839</v>
      </c>
      <c r="H4770" t="s">
        <v>32848</v>
      </c>
      <c r="I4770" t="s">
        <v>7416</v>
      </c>
      <c r="J4770" t="s">
        <v>36064</v>
      </c>
      <c r="K4770" t="s">
        <v>42731</v>
      </c>
      <c r="M4770" t="s">
        <v>44785</v>
      </c>
      <c r="N4770" t="s">
        <v>47424</v>
      </c>
      <c r="O4770" t="s">
        <v>47425</v>
      </c>
      <c r="P4770">
        <v>0</v>
      </c>
      <c r="Q4770">
        <v>0</v>
      </c>
      <c r="R4770" t="s">
        <v>47430</v>
      </c>
      <c r="S4770" t="s">
        <v>47549</v>
      </c>
      <c r="T4770" t="s">
        <v>49129</v>
      </c>
      <c r="U4770" t="s">
        <v>53720</v>
      </c>
      <c r="W4770" t="s">
        <v>44785</v>
      </c>
      <c r="X4770" t="s">
        <v>47431</v>
      </c>
    </row>
    <row r="4771" spans="1:24">
      <c r="A4771">
        <f>HYPERLINK("https://www.philgeps.gov.ph/GEPSNONPILOT/Tender/SplashBidNoticeAbstractUI.aspx?menuIndex=3&amp;refID=7160014&amp;Result=3","7160014")</f>
        <v>0</v>
      </c>
      <c r="B4771" t="s">
        <v>851</v>
      </c>
      <c r="C4771" t="s">
        <v>8409</v>
      </c>
      <c r="D4771" t="s">
        <v>19017</v>
      </c>
      <c r="E4771" t="s">
        <v>23336</v>
      </c>
      <c r="F4771" t="s">
        <v>32831</v>
      </c>
      <c r="G4771" t="s">
        <v>32838</v>
      </c>
      <c r="H4771" t="s">
        <v>32848</v>
      </c>
      <c r="I4771" t="s">
        <v>32911</v>
      </c>
      <c r="J4771" t="s">
        <v>36065</v>
      </c>
      <c r="K4771" t="s">
        <v>42726</v>
      </c>
      <c r="M4771" t="s">
        <v>45003</v>
      </c>
      <c r="N4771" t="s">
        <v>47424</v>
      </c>
      <c r="O4771" t="s">
        <v>47425</v>
      </c>
      <c r="P4771">
        <v>0</v>
      </c>
      <c r="Q4771">
        <v>0</v>
      </c>
      <c r="R4771" t="s">
        <v>47430</v>
      </c>
      <c r="S4771" t="s">
        <v>47549</v>
      </c>
      <c r="T4771" t="s">
        <v>49079</v>
      </c>
      <c r="U4771" t="s">
        <v>53721</v>
      </c>
      <c r="W4771" t="s">
        <v>45003</v>
      </c>
      <c r="X4771" t="s">
        <v>47431</v>
      </c>
    </row>
    <row r="4772" spans="1:24">
      <c r="A4772">
        <f>HYPERLINK("https://www.philgeps.gov.ph/GEPSNONPILOT/Tender/SplashBidNoticeAbstractUI.aspx?menuIndex=3&amp;refID=7160011&amp;Result=3","7160011")</f>
        <v>0</v>
      </c>
      <c r="B4772" t="s">
        <v>1401</v>
      </c>
      <c r="C4772" t="s">
        <v>8410</v>
      </c>
      <c r="D4772" t="s">
        <v>19074</v>
      </c>
      <c r="E4772" t="s">
        <v>23337</v>
      </c>
      <c r="F4772" t="s">
        <v>32831</v>
      </c>
      <c r="G4772" t="s">
        <v>32841</v>
      </c>
      <c r="H4772" t="s">
        <v>32848</v>
      </c>
      <c r="I4772" t="s">
        <v>32931</v>
      </c>
      <c r="J4772" t="s">
        <v>36066</v>
      </c>
      <c r="K4772" t="s">
        <v>42748</v>
      </c>
      <c r="M4772" t="s">
        <v>44486</v>
      </c>
      <c r="N4772" t="s">
        <v>47424</v>
      </c>
      <c r="O4772" t="s">
        <v>47425</v>
      </c>
      <c r="P4772">
        <v>0</v>
      </c>
      <c r="Q4772">
        <v>6</v>
      </c>
      <c r="R4772" t="s">
        <v>47430</v>
      </c>
      <c r="S4772" t="s">
        <v>47549</v>
      </c>
      <c r="T4772" t="s">
        <v>49104</v>
      </c>
      <c r="U4772" t="s">
        <v>50288</v>
      </c>
      <c r="W4772" t="s">
        <v>44486</v>
      </c>
      <c r="X4772" t="s">
        <v>47431</v>
      </c>
    </row>
    <row r="4773" spans="1:24">
      <c r="A4773">
        <f>HYPERLINK("https://www.philgeps.gov.ph/GEPSNONPILOT/Tender/SplashBidNoticeAbstractUI.aspx?menuIndex=3&amp;refID=7160010&amp;Result=3","7160010")</f>
        <v>0</v>
      </c>
      <c r="B4773" t="s">
        <v>1536</v>
      </c>
      <c r="C4773" t="s">
        <v>8411</v>
      </c>
      <c r="E4773" t="s">
        <v>23338</v>
      </c>
      <c r="F4773" t="s">
        <v>32831</v>
      </c>
      <c r="G4773" t="s">
        <v>32841</v>
      </c>
      <c r="H4773" t="s">
        <v>14069</v>
      </c>
      <c r="I4773" t="s">
        <v>14069</v>
      </c>
      <c r="J4773" t="s">
        <v>36067</v>
      </c>
      <c r="K4773" t="s">
        <v>42732</v>
      </c>
      <c r="M4773" t="s">
        <v>45004</v>
      </c>
      <c r="N4773" t="s">
        <v>47424</v>
      </c>
      <c r="O4773" t="s">
        <v>47425</v>
      </c>
      <c r="P4773">
        <v>0</v>
      </c>
      <c r="Q4773">
        <v>0</v>
      </c>
      <c r="R4773" t="s">
        <v>47430</v>
      </c>
      <c r="S4773" t="s">
        <v>47549</v>
      </c>
      <c r="T4773" t="s">
        <v>49396</v>
      </c>
      <c r="U4773" t="s">
        <v>53722</v>
      </c>
      <c r="W4773" t="s">
        <v>45004</v>
      </c>
      <c r="X4773" t="s">
        <v>47431</v>
      </c>
    </row>
    <row r="4774" spans="1:24">
      <c r="A4774">
        <f>HYPERLINK("https://www.philgeps.gov.ph/GEPSNONPILOT/Tender/SplashBidNoticeAbstractUI.aspx?menuIndex=3&amp;refID=7160008&amp;Result=3","7160008")</f>
        <v>0</v>
      </c>
      <c r="B4774" t="s">
        <v>1841</v>
      </c>
      <c r="C4774" t="s">
        <v>8412</v>
      </c>
      <c r="D4774" t="s">
        <v>19047</v>
      </c>
      <c r="E4774" t="s">
        <v>23339</v>
      </c>
      <c r="F4774" t="s">
        <v>32831</v>
      </c>
      <c r="G4774" t="s">
        <v>32839</v>
      </c>
      <c r="H4774" t="s">
        <v>32848</v>
      </c>
      <c r="I4774" t="s">
        <v>7751</v>
      </c>
      <c r="J4774" t="s">
        <v>33279</v>
      </c>
      <c r="K4774" t="s">
        <v>42727</v>
      </c>
      <c r="M4774" t="s">
        <v>44975</v>
      </c>
      <c r="N4774" t="s">
        <v>47424</v>
      </c>
      <c r="O4774" t="s">
        <v>47425</v>
      </c>
      <c r="P4774">
        <v>0</v>
      </c>
      <c r="Q4774">
        <v>0</v>
      </c>
      <c r="R4774" t="s">
        <v>47430</v>
      </c>
      <c r="S4774" t="s">
        <v>47549</v>
      </c>
      <c r="T4774" t="s">
        <v>49059</v>
      </c>
      <c r="U4774" t="s">
        <v>53657</v>
      </c>
      <c r="W4774" t="s">
        <v>44975</v>
      </c>
      <c r="X4774" t="s">
        <v>47431</v>
      </c>
    </row>
    <row r="4775" spans="1:24">
      <c r="A4775">
        <f>HYPERLINK("https://www.philgeps.gov.ph/GEPSNONPILOT/Tender/SplashBidNoticeAbstractUI.aspx?menuIndex=3&amp;refID=7160012&amp;Result=3","7160012")</f>
        <v>0</v>
      </c>
      <c r="B4775" t="s">
        <v>658</v>
      </c>
      <c r="C4775" t="s">
        <v>8413</v>
      </c>
      <c r="D4775" t="s">
        <v>19057</v>
      </c>
      <c r="E4775" t="s">
        <v>23340</v>
      </c>
      <c r="F4775" t="s">
        <v>32831</v>
      </c>
      <c r="G4775" t="s">
        <v>32839</v>
      </c>
      <c r="H4775" t="s">
        <v>32848</v>
      </c>
      <c r="I4775" t="s">
        <v>32925</v>
      </c>
      <c r="J4775" t="s">
        <v>36068</v>
      </c>
      <c r="K4775" t="s">
        <v>42730</v>
      </c>
      <c r="M4775" t="s">
        <v>45005</v>
      </c>
      <c r="N4775" t="s">
        <v>47424</v>
      </c>
      <c r="O4775" t="s">
        <v>47425</v>
      </c>
      <c r="P4775">
        <v>0</v>
      </c>
      <c r="Q4775">
        <v>8</v>
      </c>
      <c r="R4775" t="s">
        <v>47430</v>
      </c>
      <c r="S4775" t="s">
        <v>47549</v>
      </c>
      <c r="T4775" t="s">
        <v>49147</v>
      </c>
      <c r="U4775" t="s">
        <v>53723</v>
      </c>
      <c r="W4775" t="s">
        <v>45005</v>
      </c>
      <c r="X4775" t="s">
        <v>47431</v>
      </c>
    </row>
    <row r="4776" spans="1:24">
      <c r="A4776">
        <f>HYPERLINK("https://www.philgeps.gov.ph/GEPSNONPILOT/Tender/SplashBidNoticeAbstractUI.aspx?menuIndex=3&amp;refID=7160009&amp;Result=3","7160009")</f>
        <v>0</v>
      </c>
      <c r="B4776" t="s">
        <v>67</v>
      </c>
      <c r="C4776" t="s">
        <v>8414</v>
      </c>
      <c r="D4776" t="s">
        <v>19079</v>
      </c>
      <c r="E4776" t="s">
        <v>8414</v>
      </c>
      <c r="F4776" t="s">
        <v>32831</v>
      </c>
      <c r="G4776" t="s">
        <v>32840</v>
      </c>
      <c r="H4776" t="s">
        <v>32848</v>
      </c>
      <c r="I4776" t="s">
        <v>32860</v>
      </c>
      <c r="J4776" t="s">
        <v>34599</v>
      </c>
      <c r="K4776" t="s">
        <v>42730</v>
      </c>
      <c r="M4776" t="s">
        <v>44984</v>
      </c>
      <c r="N4776" t="s">
        <v>47424</v>
      </c>
      <c r="O4776" t="s">
        <v>47425</v>
      </c>
      <c r="P4776">
        <v>0</v>
      </c>
      <c r="Q4776">
        <v>0</v>
      </c>
      <c r="R4776" t="s">
        <v>47430</v>
      </c>
      <c r="S4776" t="s">
        <v>47549</v>
      </c>
      <c r="T4776" t="s">
        <v>49135</v>
      </c>
      <c r="U4776" t="s">
        <v>53724</v>
      </c>
      <c r="W4776" t="s">
        <v>44984</v>
      </c>
      <c r="X4776" t="s">
        <v>47431</v>
      </c>
    </row>
    <row r="4777" spans="1:24">
      <c r="A4777">
        <f>HYPERLINK("https://www.philgeps.gov.ph/GEPSNONPILOT/Tender/SplashBidNoticeAbstractUI.aspx?menuIndex=3&amp;refID=7159979&amp;Result=3","7159979")</f>
        <v>0</v>
      </c>
      <c r="B4777" t="s">
        <v>1597</v>
      </c>
      <c r="C4777" t="s">
        <v>8415</v>
      </c>
      <c r="D4777" t="s">
        <v>19031</v>
      </c>
      <c r="E4777" t="s">
        <v>23341</v>
      </c>
      <c r="F4777" t="s">
        <v>32831</v>
      </c>
      <c r="G4777" t="s">
        <v>32838</v>
      </c>
      <c r="H4777" t="s">
        <v>32848</v>
      </c>
      <c r="I4777" t="s">
        <v>32870</v>
      </c>
      <c r="J4777" t="s">
        <v>36069</v>
      </c>
      <c r="K4777" t="s">
        <v>42763</v>
      </c>
      <c r="M4777" t="s">
        <v>44981</v>
      </c>
      <c r="N4777" t="s">
        <v>47424</v>
      </c>
      <c r="O4777" t="s">
        <v>47425</v>
      </c>
      <c r="P4777">
        <v>0</v>
      </c>
      <c r="Q4777">
        <v>0</v>
      </c>
      <c r="R4777" t="s">
        <v>47430</v>
      </c>
      <c r="S4777" t="s">
        <v>47549</v>
      </c>
      <c r="T4777" t="s">
        <v>49108</v>
      </c>
      <c r="U4777" t="s">
        <v>53677</v>
      </c>
      <c r="V4777" t="s">
        <v>63051</v>
      </c>
      <c r="W4777" t="s">
        <v>44981</v>
      </c>
      <c r="X4777" t="s">
        <v>47431</v>
      </c>
    </row>
    <row r="4778" spans="1:24">
      <c r="A4778">
        <f>HYPERLINK("https://www.philgeps.gov.ph/GEPSNONPILOT/Tender/SplashBidNoticeAbstractUI.aspx?menuIndex=3&amp;refID=7159950&amp;Result=3","7159950")</f>
        <v>0</v>
      </c>
      <c r="B4778" t="s">
        <v>1857</v>
      </c>
      <c r="C4778" t="s">
        <v>8416</v>
      </c>
      <c r="E4778" t="s">
        <v>23342</v>
      </c>
      <c r="F4778" t="s">
        <v>32831</v>
      </c>
      <c r="G4778" t="s">
        <v>32839</v>
      </c>
      <c r="H4778" t="s">
        <v>32849</v>
      </c>
      <c r="I4778" t="s">
        <v>4177</v>
      </c>
      <c r="J4778" t="s">
        <v>33083</v>
      </c>
      <c r="K4778" t="s">
        <v>42766</v>
      </c>
      <c r="M4778" t="s">
        <v>44996</v>
      </c>
      <c r="N4778" t="s">
        <v>47424</v>
      </c>
      <c r="O4778" t="s">
        <v>47425</v>
      </c>
      <c r="P4778">
        <v>0</v>
      </c>
      <c r="Q4778">
        <v>0</v>
      </c>
      <c r="R4778" t="s">
        <v>47430</v>
      </c>
      <c r="S4778" t="s">
        <v>47549</v>
      </c>
      <c r="T4778" t="s">
        <v>49181</v>
      </c>
      <c r="U4778" t="s">
        <v>53725</v>
      </c>
      <c r="W4778" t="s">
        <v>44996</v>
      </c>
      <c r="X4778" t="s">
        <v>47431</v>
      </c>
    </row>
    <row r="4779" spans="1:24">
      <c r="A4779">
        <f>HYPERLINK("https://www.philgeps.gov.ph/GEPSNONPILOT/Tender/SplashBidNoticeAbstractUI.aspx?menuIndex=3&amp;refID=7159948&amp;Result=3","7159948")</f>
        <v>0</v>
      </c>
      <c r="B4779" t="s">
        <v>1860</v>
      </c>
      <c r="C4779" t="s">
        <v>8417</v>
      </c>
      <c r="D4779" t="s">
        <v>19079</v>
      </c>
      <c r="E4779" t="s">
        <v>8417</v>
      </c>
      <c r="F4779" t="s">
        <v>32831</v>
      </c>
      <c r="G4779" t="s">
        <v>32842</v>
      </c>
      <c r="H4779" t="s">
        <v>32848</v>
      </c>
      <c r="I4779" t="s">
        <v>9577</v>
      </c>
      <c r="J4779" t="s">
        <v>36070</v>
      </c>
      <c r="K4779" t="s">
        <v>42732</v>
      </c>
      <c r="M4779" t="s">
        <v>44999</v>
      </c>
      <c r="N4779" t="s">
        <v>47424</v>
      </c>
      <c r="O4779" t="s">
        <v>47425</v>
      </c>
      <c r="P4779">
        <v>0</v>
      </c>
      <c r="Q4779">
        <v>1</v>
      </c>
      <c r="R4779" t="s">
        <v>47430</v>
      </c>
      <c r="S4779" t="s">
        <v>47549</v>
      </c>
      <c r="T4779" t="s">
        <v>49237</v>
      </c>
      <c r="U4779" t="s">
        <v>53726</v>
      </c>
      <c r="W4779" t="s">
        <v>44999</v>
      </c>
      <c r="X4779" t="s">
        <v>47431</v>
      </c>
    </row>
    <row r="4780" spans="1:24">
      <c r="A4780">
        <f>HYPERLINK("https://www.philgeps.gov.ph/GEPSNONPILOT/Tender/SplashBidNoticeAbstractUI.aspx?menuIndex=3&amp;refID=7160013&amp;Result=3","7160013")</f>
        <v>0</v>
      </c>
      <c r="B4780" t="s">
        <v>513</v>
      </c>
      <c r="C4780" t="s">
        <v>8418</v>
      </c>
      <c r="D4780" t="s">
        <v>19018</v>
      </c>
      <c r="E4780" t="s">
        <v>23343</v>
      </c>
      <c r="F4780" t="s">
        <v>32831</v>
      </c>
      <c r="G4780" t="s">
        <v>32838</v>
      </c>
      <c r="H4780" t="s">
        <v>32848</v>
      </c>
      <c r="I4780" t="s">
        <v>32861</v>
      </c>
      <c r="J4780" t="s">
        <v>33044</v>
      </c>
      <c r="K4780" t="s">
        <v>42726</v>
      </c>
      <c r="M4780" t="s">
        <v>43518</v>
      </c>
      <c r="N4780" t="s">
        <v>47424</v>
      </c>
      <c r="O4780" t="s">
        <v>47425</v>
      </c>
      <c r="P4780">
        <v>0</v>
      </c>
      <c r="Q4780">
        <v>5</v>
      </c>
      <c r="R4780" t="s">
        <v>47430</v>
      </c>
      <c r="S4780" t="s">
        <v>47549</v>
      </c>
      <c r="T4780" t="s">
        <v>49214</v>
      </c>
      <c r="U4780" t="s">
        <v>53727</v>
      </c>
      <c r="V4780" t="s">
        <v>63165</v>
      </c>
      <c r="W4780" t="s">
        <v>64441</v>
      </c>
      <c r="X4780" t="s">
        <v>47431</v>
      </c>
    </row>
    <row r="4781" spans="1:24">
      <c r="A4781">
        <f>HYPERLINK("https://www.philgeps.gov.ph/GEPSNONPILOT/Tender/SplashBidNoticeAbstractUI.aspx?menuIndex=3&amp;refID=7160053&amp;Result=3","7160053")</f>
        <v>0</v>
      </c>
      <c r="B4781" t="s">
        <v>1854</v>
      </c>
      <c r="C4781" t="s">
        <v>8419</v>
      </c>
      <c r="D4781" t="s">
        <v>19037</v>
      </c>
      <c r="E4781" t="s">
        <v>23344</v>
      </c>
      <c r="F4781" t="s">
        <v>32831</v>
      </c>
      <c r="G4781" t="s">
        <v>32838</v>
      </c>
      <c r="H4781" t="s">
        <v>32848</v>
      </c>
      <c r="I4781" t="s">
        <v>4435</v>
      </c>
      <c r="J4781" t="s">
        <v>32985</v>
      </c>
      <c r="K4781" t="s">
        <v>42730</v>
      </c>
      <c r="M4781" t="s">
        <v>44992</v>
      </c>
      <c r="N4781" t="s">
        <v>47424</v>
      </c>
      <c r="O4781" t="s">
        <v>47425</v>
      </c>
      <c r="P4781">
        <v>0</v>
      </c>
      <c r="Q4781">
        <v>2</v>
      </c>
      <c r="R4781" t="s">
        <v>47430</v>
      </c>
      <c r="S4781" t="s">
        <v>47549</v>
      </c>
      <c r="T4781" t="s">
        <v>49163</v>
      </c>
      <c r="U4781" t="s">
        <v>53713</v>
      </c>
      <c r="W4781" t="s">
        <v>47167</v>
      </c>
      <c r="X4781" t="s">
        <v>47431</v>
      </c>
    </row>
    <row r="4782" spans="1:24">
      <c r="A4782">
        <f>HYPERLINK("https://www.philgeps.gov.ph/GEPSNONPILOT/Tender/SplashBidNoticeAbstractUI.aspx?menuIndex=3&amp;refID=7159951&amp;Result=3","7159951")</f>
        <v>0</v>
      </c>
      <c r="B4782" t="s">
        <v>1244</v>
      </c>
      <c r="C4782" t="s">
        <v>8420</v>
      </c>
      <c r="D4782" t="s">
        <v>19095</v>
      </c>
      <c r="E4782" t="s">
        <v>23345</v>
      </c>
      <c r="F4782" t="s">
        <v>32831</v>
      </c>
      <c r="G4782" t="s">
        <v>32839</v>
      </c>
      <c r="H4782" t="s">
        <v>32848</v>
      </c>
      <c r="I4782" t="s">
        <v>7416</v>
      </c>
      <c r="J4782" t="s">
        <v>36071</v>
      </c>
      <c r="K4782" t="s">
        <v>42731</v>
      </c>
      <c r="M4782" t="s">
        <v>44314</v>
      </c>
      <c r="N4782" t="s">
        <v>47424</v>
      </c>
      <c r="O4782" t="s">
        <v>47425</v>
      </c>
      <c r="Q4782">
        <v>0</v>
      </c>
      <c r="R4782" t="s">
        <v>47430</v>
      </c>
      <c r="S4782" t="s">
        <v>47554</v>
      </c>
      <c r="T4782" t="s">
        <v>49097</v>
      </c>
      <c r="U4782" t="s">
        <v>53728</v>
      </c>
      <c r="V4782" t="s">
        <v>63166</v>
      </c>
      <c r="W4782" t="s">
        <v>44314</v>
      </c>
      <c r="X4782" t="s">
        <v>47431</v>
      </c>
    </row>
    <row r="4783" spans="1:24">
      <c r="A4783">
        <f>HYPERLINK("https://www.philgeps.gov.ph/GEPSNONPILOT/Tender/SplashBidNoticeAbstractUI.aspx?menuIndex=3&amp;refID=7160062&amp;Result=3","7160062")</f>
        <v>0</v>
      </c>
      <c r="B4783" t="s">
        <v>623</v>
      </c>
      <c r="C4783" t="s">
        <v>8421</v>
      </c>
      <c r="D4783" t="s">
        <v>19042</v>
      </c>
      <c r="E4783" t="s">
        <v>23346</v>
      </c>
      <c r="F4783" t="s">
        <v>32831</v>
      </c>
      <c r="G4783" t="s">
        <v>32839</v>
      </c>
      <c r="H4783" t="s">
        <v>32848</v>
      </c>
      <c r="I4783" t="s">
        <v>4177</v>
      </c>
      <c r="J4783" t="s">
        <v>36072</v>
      </c>
      <c r="K4783" t="s">
        <v>42730</v>
      </c>
      <c r="M4783" t="s">
        <v>43639</v>
      </c>
      <c r="N4783" t="s">
        <v>47424</v>
      </c>
      <c r="O4783" t="s">
        <v>47425</v>
      </c>
      <c r="P4783">
        <v>0</v>
      </c>
      <c r="Q4783">
        <v>1</v>
      </c>
      <c r="R4783" t="s">
        <v>47430</v>
      </c>
      <c r="S4783" t="s">
        <v>47549</v>
      </c>
      <c r="T4783" t="s">
        <v>49393</v>
      </c>
      <c r="U4783" t="s">
        <v>53729</v>
      </c>
      <c r="W4783" t="s">
        <v>43639</v>
      </c>
      <c r="X4783" t="s">
        <v>47431</v>
      </c>
    </row>
    <row r="4784" spans="1:24">
      <c r="A4784">
        <f>HYPERLINK("https://www.philgeps.gov.ph/GEPSNONPILOT/Tender/SplashBidNoticeAbstractUI.aspx?menuIndex=3&amp;refID=7160061&amp;Result=3","7160061")</f>
        <v>0</v>
      </c>
      <c r="B4784" t="s">
        <v>674</v>
      </c>
      <c r="C4784" t="s">
        <v>8422</v>
      </c>
      <c r="D4784" t="s">
        <v>19058</v>
      </c>
      <c r="E4784" t="s">
        <v>23347</v>
      </c>
      <c r="F4784" t="s">
        <v>32831</v>
      </c>
      <c r="G4784" t="s">
        <v>32838</v>
      </c>
      <c r="H4784" t="s">
        <v>32848</v>
      </c>
      <c r="I4784" t="s">
        <v>32857</v>
      </c>
      <c r="J4784" t="s">
        <v>33424</v>
      </c>
      <c r="K4784" t="s">
        <v>42732</v>
      </c>
      <c r="M4784" t="s">
        <v>44520</v>
      </c>
      <c r="N4784" t="s">
        <v>47424</v>
      </c>
      <c r="O4784" t="s">
        <v>47425</v>
      </c>
      <c r="P4784">
        <v>0</v>
      </c>
      <c r="Q4784">
        <v>1</v>
      </c>
      <c r="R4784" t="s">
        <v>47430</v>
      </c>
      <c r="S4784" t="s">
        <v>47549</v>
      </c>
      <c r="T4784" t="s">
        <v>49237</v>
      </c>
      <c r="U4784" t="s">
        <v>53730</v>
      </c>
      <c r="W4784" t="s">
        <v>44520</v>
      </c>
      <c r="X4784" t="s">
        <v>47431</v>
      </c>
    </row>
    <row r="4785" spans="1:24">
      <c r="A4785">
        <f>HYPERLINK("https://www.philgeps.gov.ph/GEPSNONPILOT/Tender/SplashBidNoticeAbstractUI.aspx?menuIndex=3&amp;refID=7159946&amp;Result=3","7159946")</f>
        <v>0</v>
      </c>
      <c r="B4785" t="s">
        <v>1844</v>
      </c>
      <c r="C4785" t="s">
        <v>8423</v>
      </c>
      <c r="D4785" t="s">
        <v>19104</v>
      </c>
      <c r="E4785" t="s">
        <v>19645</v>
      </c>
      <c r="F4785" t="s">
        <v>32831</v>
      </c>
      <c r="G4785" t="s">
        <v>32839</v>
      </c>
      <c r="H4785" t="s">
        <v>32849</v>
      </c>
      <c r="I4785" t="s">
        <v>4177</v>
      </c>
      <c r="J4785" t="s">
        <v>32976</v>
      </c>
      <c r="K4785" t="s">
        <v>42767</v>
      </c>
      <c r="M4785" t="s">
        <v>44978</v>
      </c>
      <c r="N4785" t="s">
        <v>47424</v>
      </c>
      <c r="O4785" t="s">
        <v>47425</v>
      </c>
      <c r="P4785">
        <v>0</v>
      </c>
      <c r="Q4785">
        <v>0</v>
      </c>
      <c r="R4785" t="s">
        <v>47430</v>
      </c>
      <c r="S4785" t="s">
        <v>47549</v>
      </c>
      <c r="T4785" t="s">
        <v>49073</v>
      </c>
      <c r="U4785" t="s">
        <v>53731</v>
      </c>
      <c r="W4785" t="s">
        <v>44978</v>
      </c>
      <c r="X4785" t="s">
        <v>47431</v>
      </c>
    </row>
    <row r="4786" spans="1:24">
      <c r="A4786">
        <f>HYPERLINK("https://www.philgeps.gov.ph/GEPSNONPILOT/Tender/SplashBidNoticeAbstractUI.aspx?menuIndex=3&amp;refID=7160057&amp;Result=3","7160057")</f>
        <v>0</v>
      </c>
      <c r="B4786" t="s">
        <v>1182</v>
      </c>
      <c r="C4786" t="s">
        <v>8424</v>
      </c>
      <c r="D4786" t="s">
        <v>19047</v>
      </c>
      <c r="E4786" t="s">
        <v>23348</v>
      </c>
      <c r="F4786" t="s">
        <v>32831</v>
      </c>
      <c r="G4786" t="s">
        <v>32840</v>
      </c>
      <c r="H4786" t="s">
        <v>32848</v>
      </c>
      <c r="I4786" t="s">
        <v>9577</v>
      </c>
      <c r="J4786" t="s">
        <v>36073</v>
      </c>
      <c r="K4786" t="s">
        <v>42730</v>
      </c>
      <c r="M4786" t="s">
        <v>44248</v>
      </c>
      <c r="N4786" t="s">
        <v>47424</v>
      </c>
      <c r="O4786" t="s">
        <v>47425</v>
      </c>
      <c r="P4786">
        <v>0</v>
      </c>
      <c r="Q4786">
        <v>0</v>
      </c>
      <c r="R4786" t="s">
        <v>47430</v>
      </c>
      <c r="S4786" t="s">
        <v>47549</v>
      </c>
      <c r="T4786" t="s">
        <v>49107</v>
      </c>
      <c r="U4786" t="s">
        <v>53732</v>
      </c>
      <c r="W4786" t="s">
        <v>64461</v>
      </c>
      <c r="X4786" t="s">
        <v>47431</v>
      </c>
    </row>
    <row r="4787" spans="1:24">
      <c r="A4787">
        <f>HYPERLINK("https://www.philgeps.gov.ph/GEPSNONPILOT/Tender/SplashBidNoticeAbstractUI.aspx?menuIndex=3&amp;refID=7160056&amp;Result=3","7160056")</f>
        <v>0</v>
      </c>
      <c r="B4787" t="s">
        <v>1691</v>
      </c>
      <c r="C4787" t="s">
        <v>8425</v>
      </c>
      <c r="D4787" t="s">
        <v>19082</v>
      </c>
      <c r="E4787" t="s">
        <v>23349</v>
      </c>
      <c r="F4787" t="s">
        <v>32831</v>
      </c>
      <c r="G4787" t="s">
        <v>32839</v>
      </c>
      <c r="H4787" t="s">
        <v>32848</v>
      </c>
      <c r="I4787" t="s">
        <v>32913</v>
      </c>
      <c r="J4787" t="s">
        <v>36074</v>
      </c>
      <c r="K4787" t="s">
        <v>42730</v>
      </c>
      <c r="M4787" t="s">
        <v>44811</v>
      </c>
      <c r="N4787" t="s">
        <v>47424</v>
      </c>
      <c r="O4787" t="s">
        <v>47425</v>
      </c>
      <c r="P4787">
        <v>0</v>
      </c>
      <c r="Q4787">
        <v>0</v>
      </c>
      <c r="R4787" t="s">
        <v>47430</v>
      </c>
      <c r="S4787" t="s">
        <v>47549</v>
      </c>
      <c r="T4787" t="s">
        <v>49216</v>
      </c>
      <c r="U4787" t="s">
        <v>53733</v>
      </c>
      <c r="W4787" t="s">
        <v>44811</v>
      </c>
      <c r="X4787" t="s">
        <v>47431</v>
      </c>
    </row>
    <row r="4788" spans="1:24">
      <c r="A4788">
        <f>HYPERLINK("https://www.philgeps.gov.ph/GEPSNONPILOT/Tender/SplashBidNoticeAbstractUI.aspx?menuIndex=3&amp;refID=7160020&amp;Result=3","7160020")</f>
        <v>0</v>
      </c>
      <c r="B4788" t="s">
        <v>895</v>
      </c>
      <c r="C4788" t="s">
        <v>8426</v>
      </c>
      <c r="D4788" t="s">
        <v>19036</v>
      </c>
      <c r="E4788" t="s">
        <v>23350</v>
      </c>
      <c r="F4788" t="s">
        <v>32831</v>
      </c>
      <c r="G4788" t="s">
        <v>32842</v>
      </c>
      <c r="H4788" t="s">
        <v>32848</v>
      </c>
      <c r="I4788" t="s">
        <v>32860</v>
      </c>
      <c r="J4788" t="s">
        <v>36075</v>
      </c>
      <c r="K4788" t="s">
        <v>42727</v>
      </c>
      <c r="M4788" t="s">
        <v>44963</v>
      </c>
      <c r="N4788" t="s">
        <v>47424</v>
      </c>
      <c r="O4788" t="s">
        <v>47425</v>
      </c>
      <c r="P4788">
        <v>0</v>
      </c>
      <c r="Q4788">
        <v>3</v>
      </c>
      <c r="R4788" t="s">
        <v>47430</v>
      </c>
      <c r="S4788" t="s">
        <v>47549</v>
      </c>
      <c r="T4788" t="s">
        <v>49206</v>
      </c>
      <c r="U4788" t="s">
        <v>53734</v>
      </c>
      <c r="W4788" t="s">
        <v>44963</v>
      </c>
      <c r="X4788" t="s">
        <v>47431</v>
      </c>
    </row>
    <row r="4789" spans="1:24">
      <c r="A4789">
        <f>HYPERLINK("https://www.philgeps.gov.ph/GEPSNONPILOT/Tender/SplashBidNoticeAbstractUI.aspx?menuIndex=3&amp;refID=7160052&amp;Result=3","7160052")</f>
        <v>0</v>
      </c>
      <c r="B4789" t="s">
        <v>1864</v>
      </c>
      <c r="C4789" t="s">
        <v>8427</v>
      </c>
      <c r="D4789" t="s">
        <v>19045</v>
      </c>
      <c r="E4789" t="s">
        <v>23351</v>
      </c>
      <c r="F4789" t="s">
        <v>32831</v>
      </c>
      <c r="G4789" t="s">
        <v>32839</v>
      </c>
      <c r="H4789" t="s">
        <v>32848</v>
      </c>
      <c r="I4789" t="s">
        <v>32869</v>
      </c>
      <c r="J4789" t="s">
        <v>36076</v>
      </c>
      <c r="K4789" t="s">
        <v>42730</v>
      </c>
      <c r="M4789" t="s">
        <v>45006</v>
      </c>
      <c r="N4789" t="s">
        <v>47424</v>
      </c>
      <c r="O4789" t="s">
        <v>47425</v>
      </c>
      <c r="P4789">
        <v>0</v>
      </c>
      <c r="Q4789">
        <v>1</v>
      </c>
      <c r="R4789" t="s">
        <v>47430</v>
      </c>
      <c r="S4789" t="s">
        <v>47549</v>
      </c>
      <c r="T4789" t="s">
        <v>49078</v>
      </c>
      <c r="U4789" t="s">
        <v>53735</v>
      </c>
      <c r="W4789" t="s">
        <v>45006</v>
      </c>
      <c r="X4789" t="s">
        <v>47431</v>
      </c>
    </row>
    <row r="4790" spans="1:24">
      <c r="A4790">
        <f>HYPERLINK("https://www.philgeps.gov.ph/GEPSNONPILOT/Tender/SplashBidNoticeAbstractUI.aspx?menuIndex=3&amp;refID=7160024&amp;Result=3","7160024")</f>
        <v>0</v>
      </c>
      <c r="B4790" t="s">
        <v>1679</v>
      </c>
      <c r="C4790" t="s">
        <v>8428</v>
      </c>
      <c r="D4790" t="s">
        <v>19052</v>
      </c>
      <c r="E4790" t="s">
        <v>23352</v>
      </c>
      <c r="F4790" t="s">
        <v>32831</v>
      </c>
      <c r="G4790" t="s">
        <v>32839</v>
      </c>
      <c r="H4790" t="s">
        <v>32849</v>
      </c>
      <c r="I4790" t="s">
        <v>4177</v>
      </c>
      <c r="J4790" t="s">
        <v>36077</v>
      </c>
      <c r="K4790" t="s">
        <v>42730</v>
      </c>
      <c r="M4790" t="s">
        <v>44797</v>
      </c>
      <c r="N4790" t="s">
        <v>47424</v>
      </c>
      <c r="O4790" t="s">
        <v>47425</v>
      </c>
      <c r="P4790">
        <v>0</v>
      </c>
      <c r="Q4790">
        <v>1</v>
      </c>
      <c r="R4790" t="s">
        <v>47430</v>
      </c>
      <c r="S4790" t="s">
        <v>47549</v>
      </c>
      <c r="T4790" t="s">
        <v>49198</v>
      </c>
      <c r="U4790" t="s">
        <v>53736</v>
      </c>
      <c r="V4790" t="s">
        <v>63090</v>
      </c>
      <c r="W4790" t="s">
        <v>44797</v>
      </c>
      <c r="X4790" t="s">
        <v>47431</v>
      </c>
    </row>
    <row r="4791" spans="1:24">
      <c r="A4791">
        <f>HYPERLINK("https://www.philgeps.gov.ph/GEPSNONPILOT/Tender/SplashBidNoticeAbstractUI.aspx?menuIndex=3&amp;refID=7160049&amp;Result=3","7160049")</f>
        <v>0</v>
      </c>
      <c r="B4791" t="s">
        <v>895</v>
      </c>
      <c r="C4791" t="s">
        <v>8429</v>
      </c>
      <c r="D4791" t="s">
        <v>19036</v>
      </c>
      <c r="E4791" t="s">
        <v>23353</v>
      </c>
      <c r="F4791" t="s">
        <v>32831</v>
      </c>
      <c r="G4791" t="s">
        <v>32842</v>
      </c>
      <c r="H4791" t="s">
        <v>32848</v>
      </c>
      <c r="I4791" t="s">
        <v>32860</v>
      </c>
      <c r="J4791" t="s">
        <v>36078</v>
      </c>
      <c r="K4791" t="s">
        <v>42727</v>
      </c>
      <c r="M4791" t="s">
        <v>44963</v>
      </c>
      <c r="N4791" t="s">
        <v>47424</v>
      </c>
      <c r="O4791" t="s">
        <v>47425</v>
      </c>
      <c r="P4791">
        <v>0</v>
      </c>
      <c r="Q4791">
        <v>1</v>
      </c>
      <c r="R4791" t="s">
        <v>47430</v>
      </c>
      <c r="S4791" t="s">
        <v>47549</v>
      </c>
      <c r="T4791" t="s">
        <v>49206</v>
      </c>
      <c r="U4791" t="s">
        <v>53737</v>
      </c>
      <c r="W4791" t="s">
        <v>44963</v>
      </c>
      <c r="X4791" t="s">
        <v>47431</v>
      </c>
    </row>
    <row r="4792" spans="1:24">
      <c r="A4792">
        <f>HYPERLINK("https://www.philgeps.gov.ph/GEPSNONPILOT/Tender/SplashBidNoticeAbstractUI.aspx?menuIndex=3&amp;refID=7160048&amp;Result=3","7160048")</f>
        <v>0</v>
      </c>
      <c r="B4792" t="s">
        <v>1865</v>
      </c>
      <c r="C4792" t="s">
        <v>6526</v>
      </c>
      <c r="D4792" t="s">
        <v>19057</v>
      </c>
      <c r="E4792" t="s">
        <v>23354</v>
      </c>
      <c r="F4792" t="s">
        <v>32831</v>
      </c>
      <c r="G4792" t="s">
        <v>32839</v>
      </c>
      <c r="H4792" t="s">
        <v>32848</v>
      </c>
      <c r="I4792" t="s">
        <v>6526</v>
      </c>
      <c r="J4792" t="s">
        <v>33025</v>
      </c>
      <c r="K4792" t="s">
        <v>42745</v>
      </c>
      <c r="M4792" t="s">
        <v>45007</v>
      </c>
      <c r="N4792" t="s">
        <v>47424</v>
      </c>
      <c r="O4792" t="s">
        <v>47425</v>
      </c>
      <c r="P4792">
        <v>0</v>
      </c>
      <c r="Q4792">
        <v>0</v>
      </c>
      <c r="R4792" t="s">
        <v>47430</v>
      </c>
      <c r="S4792" t="s">
        <v>47549</v>
      </c>
      <c r="T4792" t="s">
        <v>49096</v>
      </c>
      <c r="U4792" t="s">
        <v>53738</v>
      </c>
      <c r="W4792" t="s">
        <v>45007</v>
      </c>
      <c r="X4792" t="s">
        <v>47431</v>
      </c>
    </row>
    <row r="4793" spans="1:24">
      <c r="A4793">
        <f>HYPERLINK("https://www.philgeps.gov.ph/GEPSNONPILOT/Tender/SplashBidNoticeAbstractUI.aspx?menuIndex=3&amp;refID=7160054&amp;Result=3","7160054")</f>
        <v>0</v>
      </c>
      <c r="B4793" t="s">
        <v>759</v>
      </c>
      <c r="C4793" t="s">
        <v>8430</v>
      </c>
      <c r="D4793" t="s">
        <v>19017</v>
      </c>
      <c r="E4793" t="s">
        <v>23355</v>
      </c>
      <c r="F4793" t="s">
        <v>32831</v>
      </c>
      <c r="G4793" t="s">
        <v>32838</v>
      </c>
      <c r="H4793" t="s">
        <v>32848</v>
      </c>
      <c r="I4793" t="s">
        <v>32857</v>
      </c>
      <c r="J4793" t="s">
        <v>36079</v>
      </c>
      <c r="K4793" t="s">
        <v>42727</v>
      </c>
      <c r="M4793" t="s">
        <v>45008</v>
      </c>
      <c r="N4793" t="s">
        <v>47424</v>
      </c>
      <c r="O4793" t="s">
        <v>47425</v>
      </c>
      <c r="P4793">
        <v>0</v>
      </c>
      <c r="Q4793">
        <v>3</v>
      </c>
      <c r="R4793" t="s">
        <v>47430</v>
      </c>
      <c r="S4793" t="s">
        <v>47549</v>
      </c>
      <c r="T4793" t="s">
        <v>49404</v>
      </c>
      <c r="U4793" t="s">
        <v>53739</v>
      </c>
      <c r="W4793" t="s">
        <v>45008</v>
      </c>
      <c r="X4793" t="s">
        <v>47431</v>
      </c>
    </row>
    <row r="4794" spans="1:24">
      <c r="A4794">
        <f>HYPERLINK("https://www.philgeps.gov.ph/GEPSNONPILOT/Tender/SplashBidNoticeAbstractUI.aspx?menuIndex=3&amp;refID=7160043&amp;Result=3","7160043")</f>
        <v>0</v>
      </c>
      <c r="B4794" t="s">
        <v>1857</v>
      </c>
      <c r="C4794" t="s">
        <v>8431</v>
      </c>
      <c r="E4794" t="s">
        <v>23356</v>
      </c>
      <c r="F4794" t="s">
        <v>32831</v>
      </c>
      <c r="G4794" t="s">
        <v>32839</v>
      </c>
      <c r="H4794" t="s">
        <v>32848</v>
      </c>
      <c r="I4794" t="s">
        <v>32857</v>
      </c>
      <c r="J4794" t="s">
        <v>36080</v>
      </c>
      <c r="K4794" t="s">
        <v>42729</v>
      </c>
      <c r="M4794" t="s">
        <v>44996</v>
      </c>
      <c r="N4794" t="s">
        <v>47424</v>
      </c>
      <c r="O4794" t="s">
        <v>47425</v>
      </c>
      <c r="P4794">
        <v>0</v>
      </c>
      <c r="Q4794">
        <v>6</v>
      </c>
      <c r="R4794" t="s">
        <v>47430</v>
      </c>
      <c r="S4794" t="s">
        <v>47549</v>
      </c>
      <c r="T4794" t="s">
        <v>49181</v>
      </c>
      <c r="U4794" t="s">
        <v>53740</v>
      </c>
      <c r="W4794" t="s">
        <v>44996</v>
      </c>
      <c r="X4794" t="s">
        <v>47431</v>
      </c>
    </row>
    <row r="4795" spans="1:24">
      <c r="A4795">
        <f>HYPERLINK("https://www.philgeps.gov.ph/GEPSNONPILOT/Tender/SplashBidNoticeAbstractUI.aspx?menuIndex=3&amp;refID=7160041&amp;Result=3","7160041")</f>
        <v>0</v>
      </c>
      <c r="B4795" t="s">
        <v>1852</v>
      </c>
      <c r="C4795" t="s">
        <v>8432</v>
      </c>
      <c r="D4795" t="s">
        <v>19062</v>
      </c>
      <c r="E4795" t="s">
        <v>23357</v>
      </c>
      <c r="F4795" t="s">
        <v>32831</v>
      </c>
      <c r="G4795" t="s">
        <v>32838</v>
      </c>
      <c r="H4795" t="s">
        <v>32848</v>
      </c>
      <c r="I4795" t="s">
        <v>32866</v>
      </c>
      <c r="J4795" t="s">
        <v>32980</v>
      </c>
      <c r="K4795" t="s">
        <v>42730</v>
      </c>
      <c r="M4795" t="s">
        <v>44990</v>
      </c>
      <c r="N4795" t="s">
        <v>47424</v>
      </c>
      <c r="O4795" t="s">
        <v>47425</v>
      </c>
      <c r="P4795">
        <v>0</v>
      </c>
      <c r="Q4795">
        <v>1</v>
      </c>
      <c r="R4795" t="s">
        <v>47430</v>
      </c>
      <c r="S4795" t="s">
        <v>47549</v>
      </c>
      <c r="T4795" t="s">
        <v>49198</v>
      </c>
      <c r="U4795" t="s">
        <v>53741</v>
      </c>
      <c r="V4795" t="s">
        <v>63159</v>
      </c>
      <c r="W4795" t="s">
        <v>44990</v>
      </c>
      <c r="X4795" t="s">
        <v>47431</v>
      </c>
    </row>
    <row r="4796" spans="1:24">
      <c r="A4796">
        <f>HYPERLINK("https://www.philgeps.gov.ph/GEPSNONPILOT/Tender/SplashBidNoticeAbstractUI.aspx?menuIndex=3&amp;refID=7160058&amp;Result=3","7160058")</f>
        <v>0</v>
      </c>
      <c r="B4796" t="s">
        <v>1866</v>
      </c>
      <c r="C4796" t="s">
        <v>8433</v>
      </c>
      <c r="D4796" t="s">
        <v>19022</v>
      </c>
      <c r="E4796" t="s">
        <v>23358</v>
      </c>
      <c r="F4796" t="s">
        <v>32831</v>
      </c>
      <c r="G4796" t="s">
        <v>32838</v>
      </c>
      <c r="H4796" t="s">
        <v>32848</v>
      </c>
      <c r="I4796" t="s">
        <v>32862</v>
      </c>
      <c r="J4796" t="s">
        <v>36081</v>
      </c>
      <c r="K4796" t="s">
        <v>42730</v>
      </c>
      <c r="M4796" t="s">
        <v>45009</v>
      </c>
      <c r="N4796" t="s">
        <v>47424</v>
      </c>
      <c r="O4796" t="s">
        <v>47425</v>
      </c>
      <c r="P4796">
        <v>0</v>
      </c>
      <c r="Q4796">
        <v>1</v>
      </c>
      <c r="R4796" t="s">
        <v>47430</v>
      </c>
      <c r="S4796" t="s">
        <v>47549</v>
      </c>
      <c r="T4796" t="s">
        <v>49141</v>
      </c>
      <c r="U4796" t="s">
        <v>53742</v>
      </c>
      <c r="V4796" t="s">
        <v>63065</v>
      </c>
      <c r="W4796" t="s">
        <v>45009</v>
      </c>
      <c r="X4796" t="s">
        <v>47431</v>
      </c>
    </row>
    <row r="4797" spans="1:24">
      <c r="A4797">
        <f>HYPERLINK("https://www.philgeps.gov.ph/GEPSNONPILOT/Tender/SplashBidNoticeAbstractUI.aspx?menuIndex=3&amp;refID=7160007&amp;Result=3","7160007")</f>
        <v>0</v>
      </c>
      <c r="B4797" t="s">
        <v>709</v>
      </c>
      <c r="C4797" t="s">
        <v>8434</v>
      </c>
      <c r="D4797" t="s">
        <v>19037</v>
      </c>
      <c r="E4797" t="s">
        <v>23359</v>
      </c>
      <c r="F4797" t="s">
        <v>32831</v>
      </c>
      <c r="G4797" t="s">
        <v>32839</v>
      </c>
      <c r="H4797" t="s">
        <v>32848</v>
      </c>
      <c r="I4797" t="s">
        <v>32857</v>
      </c>
      <c r="J4797" t="s">
        <v>36082</v>
      </c>
      <c r="K4797" t="s">
        <v>42730</v>
      </c>
      <c r="M4797" t="s">
        <v>44979</v>
      </c>
      <c r="N4797" t="s">
        <v>47424</v>
      </c>
      <c r="O4797" t="s">
        <v>47425</v>
      </c>
      <c r="P4797">
        <v>0</v>
      </c>
      <c r="Q4797">
        <v>5</v>
      </c>
      <c r="R4797" t="s">
        <v>47430</v>
      </c>
      <c r="S4797" t="s">
        <v>47549</v>
      </c>
      <c r="T4797" t="s">
        <v>49291</v>
      </c>
      <c r="U4797" t="s">
        <v>53743</v>
      </c>
      <c r="V4797" t="s">
        <v>63167</v>
      </c>
      <c r="W4797" t="s">
        <v>44979</v>
      </c>
      <c r="X4797" t="s">
        <v>47431</v>
      </c>
    </row>
    <row r="4798" spans="1:24">
      <c r="A4798">
        <f>HYPERLINK("https://www.philgeps.gov.ph/GEPSNONPILOT/Tender/SplashBidNoticeAbstractUI.aspx?menuIndex=3&amp;refID=7160042&amp;Result=3","7160042")</f>
        <v>0</v>
      </c>
      <c r="B4798" t="s">
        <v>1867</v>
      </c>
      <c r="C4798" t="s">
        <v>8435</v>
      </c>
      <c r="D4798" t="s">
        <v>19044</v>
      </c>
      <c r="E4798" t="s">
        <v>23360</v>
      </c>
      <c r="F4798" t="s">
        <v>32831</v>
      </c>
      <c r="G4798" t="s">
        <v>32838</v>
      </c>
      <c r="H4798" t="s">
        <v>32848</v>
      </c>
      <c r="I4798" t="s">
        <v>9577</v>
      </c>
      <c r="J4798" t="s">
        <v>33072</v>
      </c>
      <c r="K4798" t="s">
        <v>42731</v>
      </c>
      <c r="M4798" t="s">
        <v>45010</v>
      </c>
      <c r="N4798" t="s">
        <v>47424</v>
      </c>
      <c r="O4798" t="s">
        <v>47425</v>
      </c>
      <c r="P4798">
        <v>0</v>
      </c>
      <c r="Q4798">
        <v>7</v>
      </c>
      <c r="R4798" t="s">
        <v>47430</v>
      </c>
      <c r="S4798" t="s">
        <v>47549</v>
      </c>
      <c r="T4798" t="s">
        <v>49111</v>
      </c>
      <c r="U4798" t="s">
        <v>51143</v>
      </c>
      <c r="W4798" t="s">
        <v>45010</v>
      </c>
      <c r="X4798" t="s">
        <v>47431</v>
      </c>
    </row>
    <row r="4799" spans="1:24">
      <c r="A4799">
        <f>HYPERLINK("https://www.philgeps.gov.ph/GEPSNONPILOT/Tender/SplashBidNoticeAbstractUI.aspx?menuIndex=3&amp;refID=7160086&amp;Result=3","7160086")</f>
        <v>0</v>
      </c>
      <c r="B4799" t="s">
        <v>1868</v>
      </c>
      <c r="C4799" t="s">
        <v>8436</v>
      </c>
      <c r="D4799" t="s">
        <v>19058</v>
      </c>
      <c r="E4799" t="s">
        <v>23361</v>
      </c>
      <c r="F4799" t="s">
        <v>32831</v>
      </c>
      <c r="G4799" t="s">
        <v>32838</v>
      </c>
      <c r="H4799" t="s">
        <v>32848</v>
      </c>
      <c r="I4799" t="s">
        <v>32871</v>
      </c>
      <c r="J4799" t="s">
        <v>33207</v>
      </c>
      <c r="K4799" t="s">
        <v>42732</v>
      </c>
      <c r="M4799" t="s">
        <v>45011</v>
      </c>
      <c r="N4799" t="s">
        <v>47424</v>
      </c>
      <c r="O4799" t="s">
        <v>47425</v>
      </c>
      <c r="P4799">
        <v>0</v>
      </c>
      <c r="Q4799">
        <v>7</v>
      </c>
      <c r="R4799" t="s">
        <v>47430</v>
      </c>
      <c r="S4799" t="s">
        <v>47549</v>
      </c>
      <c r="T4799" t="s">
        <v>49123</v>
      </c>
      <c r="U4799" t="s">
        <v>53744</v>
      </c>
      <c r="W4799" t="s">
        <v>64490</v>
      </c>
      <c r="X4799" t="s">
        <v>47431</v>
      </c>
    </row>
    <row r="4800" spans="1:24">
      <c r="A4800">
        <f>HYPERLINK("https://www.philgeps.gov.ph/GEPSNONPILOT/Tender/SplashBidNoticeAbstractUI.aspx?menuIndex=3&amp;refID=7159989&amp;Result=3","7159989")</f>
        <v>0</v>
      </c>
      <c r="B4800" t="s">
        <v>1842</v>
      </c>
      <c r="C4800" t="s">
        <v>8437</v>
      </c>
      <c r="D4800" t="s">
        <v>19035</v>
      </c>
      <c r="E4800" t="s">
        <v>23362</v>
      </c>
      <c r="F4800" t="s">
        <v>32831</v>
      </c>
      <c r="G4800" t="s">
        <v>32839</v>
      </c>
      <c r="H4800" t="s">
        <v>32849</v>
      </c>
      <c r="I4800" t="s">
        <v>4177</v>
      </c>
      <c r="J4800" t="s">
        <v>36083</v>
      </c>
      <c r="K4800" t="s">
        <v>42727</v>
      </c>
      <c r="M4800" t="s">
        <v>44976</v>
      </c>
      <c r="N4800" t="s">
        <v>47424</v>
      </c>
      <c r="O4800" t="s">
        <v>47425</v>
      </c>
      <c r="P4800">
        <v>0</v>
      </c>
      <c r="Q4800">
        <v>0</v>
      </c>
      <c r="R4800" t="s">
        <v>47430</v>
      </c>
      <c r="S4800" t="s">
        <v>47549</v>
      </c>
      <c r="T4800" t="s">
        <v>49066</v>
      </c>
      <c r="U4800" t="s">
        <v>53745</v>
      </c>
      <c r="W4800" t="s">
        <v>64488</v>
      </c>
      <c r="X4800" t="s">
        <v>47431</v>
      </c>
    </row>
    <row r="4801" spans="1:24">
      <c r="A4801">
        <f>HYPERLINK("https://www.philgeps.gov.ph/GEPSNONPILOT/Tender/SplashBidNoticeAbstractUI.aspx?menuIndex=3&amp;refID=7160080&amp;Result=3","7160080")</f>
        <v>0</v>
      </c>
      <c r="B4801" t="s">
        <v>167</v>
      </c>
      <c r="C4801" t="s">
        <v>8438</v>
      </c>
      <c r="D4801" t="s">
        <v>19069</v>
      </c>
      <c r="E4801" t="s">
        <v>23363</v>
      </c>
      <c r="F4801" t="s">
        <v>32831</v>
      </c>
      <c r="G4801" t="s">
        <v>32839</v>
      </c>
      <c r="H4801" t="s">
        <v>32848</v>
      </c>
      <c r="I4801" t="s">
        <v>4222</v>
      </c>
      <c r="J4801" t="s">
        <v>36084</v>
      </c>
      <c r="K4801" t="s">
        <v>42730</v>
      </c>
      <c r="M4801" t="s">
        <v>43164</v>
      </c>
      <c r="N4801" t="s">
        <v>47424</v>
      </c>
      <c r="O4801" t="s">
        <v>47425</v>
      </c>
      <c r="P4801">
        <v>0</v>
      </c>
      <c r="Q4801">
        <v>1</v>
      </c>
      <c r="R4801" t="s">
        <v>47430</v>
      </c>
      <c r="S4801" t="s">
        <v>47549</v>
      </c>
      <c r="T4801" t="s">
        <v>49181</v>
      </c>
      <c r="U4801" t="s">
        <v>53746</v>
      </c>
      <c r="W4801" t="s">
        <v>43164</v>
      </c>
      <c r="X4801" t="s">
        <v>47431</v>
      </c>
    </row>
    <row r="4802" spans="1:24">
      <c r="A4802">
        <f>HYPERLINK("https://www.philgeps.gov.ph/GEPSNONPILOT/Tender/SplashBidNoticeAbstractUI.aspx?menuIndex=3&amp;refID=7160050&amp;Result=3","7160050")</f>
        <v>0</v>
      </c>
      <c r="B4802" t="s">
        <v>1663</v>
      </c>
      <c r="C4802" t="s">
        <v>8439</v>
      </c>
      <c r="D4802" t="s">
        <v>19083</v>
      </c>
      <c r="E4802" t="s">
        <v>8439</v>
      </c>
      <c r="F4802" t="s">
        <v>32831</v>
      </c>
      <c r="G4802" t="s">
        <v>32838</v>
      </c>
      <c r="H4802" t="s">
        <v>32848</v>
      </c>
      <c r="I4802" t="s">
        <v>10805</v>
      </c>
      <c r="J4802" t="s">
        <v>33031</v>
      </c>
      <c r="K4802" t="s">
        <v>42727</v>
      </c>
      <c r="M4802" t="s">
        <v>44780</v>
      </c>
      <c r="N4802" t="s">
        <v>47424</v>
      </c>
      <c r="O4802" t="s">
        <v>47425</v>
      </c>
      <c r="P4802">
        <v>0</v>
      </c>
      <c r="Q4802">
        <v>1</v>
      </c>
      <c r="R4802" t="s">
        <v>47430</v>
      </c>
      <c r="S4802" t="s">
        <v>47549</v>
      </c>
      <c r="T4802" t="s">
        <v>49089</v>
      </c>
      <c r="U4802" t="s">
        <v>53747</v>
      </c>
      <c r="W4802" t="s">
        <v>44780</v>
      </c>
      <c r="X4802" t="s">
        <v>47431</v>
      </c>
    </row>
    <row r="4803" spans="1:24">
      <c r="A4803">
        <f>HYPERLINK("https://www.philgeps.gov.ph/GEPSNONPILOT/Tender/SplashBidNoticeAbstractUI.aspx?menuIndex=3&amp;refID=7160084&amp;Result=3","7160084")</f>
        <v>0</v>
      </c>
      <c r="B4803" t="s">
        <v>67</v>
      </c>
      <c r="C4803" t="s">
        <v>8440</v>
      </c>
      <c r="D4803" t="s">
        <v>19079</v>
      </c>
      <c r="E4803" t="s">
        <v>8440</v>
      </c>
      <c r="F4803" t="s">
        <v>32831</v>
      </c>
      <c r="G4803" t="s">
        <v>32840</v>
      </c>
      <c r="H4803" t="s">
        <v>32848</v>
      </c>
      <c r="I4803" t="s">
        <v>32860</v>
      </c>
      <c r="J4803" t="s">
        <v>36085</v>
      </c>
      <c r="K4803" t="s">
        <v>42730</v>
      </c>
      <c r="M4803" t="s">
        <v>44984</v>
      </c>
      <c r="N4803" t="s">
        <v>47424</v>
      </c>
      <c r="O4803" t="s">
        <v>47425</v>
      </c>
      <c r="P4803">
        <v>0</v>
      </c>
      <c r="Q4803">
        <v>2</v>
      </c>
      <c r="R4803" t="s">
        <v>47430</v>
      </c>
      <c r="S4803" t="s">
        <v>47549</v>
      </c>
      <c r="T4803" t="s">
        <v>49135</v>
      </c>
      <c r="U4803" t="s">
        <v>53748</v>
      </c>
      <c r="W4803" t="s">
        <v>44984</v>
      </c>
      <c r="X4803" t="s">
        <v>47431</v>
      </c>
    </row>
    <row r="4804" spans="1:24">
      <c r="A4804">
        <f>HYPERLINK("https://www.philgeps.gov.ph/GEPSNONPILOT/Tender/SplashBidNoticeAbstractUI.aspx?menuIndex=3&amp;refID=7160083&amp;Result=3","7160083")</f>
        <v>0</v>
      </c>
      <c r="B4804" t="s">
        <v>1869</v>
      </c>
      <c r="C4804" t="s">
        <v>8441</v>
      </c>
      <c r="D4804" t="s">
        <v>19087</v>
      </c>
      <c r="E4804" t="s">
        <v>23364</v>
      </c>
      <c r="F4804" t="s">
        <v>32831</v>
      </c>
      <c r="G4804" t="s">
        <v>32839</v>
      </c>
      <c r="H4804" t="s">
        <v>32849</v>
      </c>
      <c r="I4804" t="s">
        <v>4177</v>
      </c>
      <c r="J4804" t="s">
        <v>36086</v>
      </c>
      <c r="K4804" t="s">
        <v>42770</v>
      </c>
      <c r="M4804" t="s">
        <v>45012</v>
      </c>
      <c r="N4804" t="s">
        <v>47424</v>
      </c>
      <c r="O4804" t="s">
        <v>47425</v>
      </c>
      <c r="P4804">
        <v>0</v>
      </c>
      <c r="Q4804">
        <v>0</v>
      </c>
      <c r="R4804" t="s">
        <v>47430</v>
      </c>
      <c r="S4804" t="s">
        <v>47549</v>
      </c>
      <c r="T4804" t="s">
        <v>49160</v>
      </c>
      <c r="U4804" t="s">
        <v>53749</v>
      </c>
      <c r="W4804" t="s">
        <v>45012</v>
      </c>
      <c r="X4804" t="s">
        <v>47431</v>
      </c>
    </row>
    <row r="4805" spans="1:24">
      <c r="A4805">
        <f>HYPERLINK("https://www.philgeps.gov.ph/GEPSNONPILOT/Tender/SplashBidNoticeAbstractUI.aspx?menuIndex=3&amp;refID=7160047&amp;Result=3","7160047")</f>
        <v>0</v>
      </c>
      <c r="B4805" t="s">
        <v>583</v>
      </c>
      <c r="C4805" t="s">
        <v>8442</v>
      </c>
      <c r="D4805" t="s">
        <v>19069</v>
      </c>
      <c r="E4805" t="s">
        <v>23365</v>
      </c>
      <c r="F4805" t="s">
        <v>32831</v>
      </c>
      <c r="G4805" t="s">
        <v>32839</v>
      </c>
      <c r="H4805" t="s">
        <v>32848</v>
      </c>
      <c r="I4805" t="s">
        <v>32890</v>
      </c>
      <c r="J4805" t="s">
        <v>36087</v>
      </c>
      <c r="K4805" t="s">
        <v>42730</v>
      </c>
      <c r="M4805" t="s">
        <v>43594</v>
      </c>
      <c r="N4805" t="s">
        <v>47424</v>
      </c>
      <c r="O4805" t="s">
        <v>47425</v>
      </c>
      <c r="P4805">
        <v>0</v>
      </c>
      <c r="Q4805">
        <v>0</v>
      </c>
      <c r="R4805" t="s">
        <v>47430</v>
      </c>
      <c r="S4805" t="s">
        <v>47549</v>
      </c>
      <c r="T4805" t="s">
        <v>49124</v>
      </c>
      <c r="U4805" t="s">
        <v>53750</v>
      </c>
      <c r="V4805" t="s">
        <v>63097</v>
      </c>
      <c r="W4805" t="s">
        <v>43594</v>
      </c>
      <c r="X4805" t="s">
        <v>47431</v>
      </c>
    </row>
    <row r="4806" spans="1:24">
      <c r="A4806">
        <f>HYPERLINK("https://www.philgeps.gov.ph/GEPSNONPILOT/Tender/SplashBidNoticeAbstractUI.aspx?menuIndex=3&amp;refID=7160077&amp;Result=3","7160077")</f>
        <v>0</v>
      </c>
      <c r="B4806" t="s">
        <v>1852</v>
      </c>
      <c r="C4806" t="s">
        <v>8443</v>
      </c>
      <c r="D4806" t="s">
        <v>19062</v>
      </c>
      <c r="E4806" t="s">
        <v>23366</v>
      </c>
      <c r="F4806" t="s">
        <v>32831</v>
      </c>
      <c r="G4806" t="s">
        <v>32842</v>
      </c>
      <c r="H4806" t="s">
        <v>32848</v>
      </c>
      <c r="I4806" t="s">
        <v>32860</v>
      </c>
      <c r="J4806" t="s">
        <v>33119</v>
      </c>
      <c r="K4806" t="s">
        <v>42730</v>
      </c>
      <c r="M4806" t="s">
        <v>44990</v>
      </c>
      <c r="N4806" t="s">
        <v>47424</v>
      </c>
      <c r="O4806" t="s">
        <v>47425</v>
      </c>
      <c r="P4806">
        <v>0</v>
      </c>
      <c r="Q4806">
        <v>7</v>
      </c>
      <c r="R4806" t="s">
        <v>47430</v>
      </c>
      <c r="S4806" t="s">
        <v>47549</v>
      </c>
      <c r="T4806" t="s">
        <v>49198</v>
      </c>
      <c r="U4806" t="s">
        <v>53751</v>
      </c>
      <c r="V4806" t="s">
        <v>63159</v>
      </c>
      <c r="W4806" t="s">
        <v>44990</v>
      </c>
      <c r="X4806" t="s">
        <v>47431</v>
      </c>
    </row>
    <row r="4807" spans="1:24">
      <c r="A4807">
        <f>HYPERLINK("https://www.philgeps.gov.ph/GEPSNONPILOT/Tender/SplashBidNoticeAbstractUI.aspx?menuIndex=3&amp;refID=7160075&amp;Result=3","7160075")</f>
        <v>0</v>
      </c>
      <c r="B4807" t="s">
        <v>406</v>
      </c>
      <c r="C4807" t="s">
        <v>8444</v>
      </c>
      <c r="E4807" t="s">
        <v>23367</v>
      </c>
      <c r="F4807" t="s">
        <v>32831</v>
      </c>
      <c r="G4807" t="s">
        <v>32839</v>
      </c>
      <c r="H4807" t="s">
        <v>32849</v>
      </c>
      <c r="I4807" t="s">
        <v>4177</v>
      </c>
      <c r="J4807" t="s">
        <v>36088</v>
      </c>
      <c r="K4807" t="s">
        <v>42732</v>
      </c>
      <c r="M4807" t="s">
        <v>45013</v>
      </c>
      <c r="N4807" t="s">
        <v>47424</v>
      </c>
      <c r="O4807" t="s">
        <v>47425</v>
      </c>
      <c r="P4807">
        <v>0</v>
      </c>
      <c r="Q4807">
        <v>22</v>
      </c>
      <c r="R4807" t="s">
        <v>47430</v>
      </c>
      <c r="S4807" t="s">
        <v>47549</v>
      </c>
      <c r="T4807" t="s">
        <v>49405</v>
      </c>
      <c r="U4807" t="s">
        <v>53752</v>
      </c>
      <c r="V4807" t="s">
        <v>63168</v>
      </c>
      <c r="W4807" t="s">
        <v>45013</v>
      </c>
      <c r="X4807" t="s">
        <v>47431</v>
      </c>
    </row>
    <row r="4808" spans="1:24">
      <c r="A4808">
        <f>HYPERLINK("https://www.philgeps.gov.ph/GEPSNONPILOT/Tender/SplashBidNoticeAbstractUI.aspx?menuIndex=3&amp;refID=7160079&amp;Result=3","7160079")</f>
        <v>0</v>
      </c>
      <c r="B4808" t="s">
        <v>69</v>
      </c>
      <c r="C4808" t="s">
        <v>8445</v>
      </c>
      <c r="D4808" t="s">
        <v>19021</v>
      </c>
      <c r="E4808" t="s">
        <v>23368</v>
      </c>
      <c r="F4808" t="s">
        <v>32831</v>
      </c>
      <c r="G4808" t="s">
        <v>32838</v>
      </c>
      <c r="H4808" t="s">
        <v>32848</v>
      </c>
      <c r="I4808" t="s">
        <v>32874</v>
      </c>
      <c r="J4808" t="s">
        <v>36089</v>
      </c>
      <c r="K4808" t="s">
        <v>42727</v>
      </c>
      <c r="L4808" t="s">
        <v>69</v>
      </c>
      <c r="M4808" t="s">
        <v>43066</v>
      </c>
      <c r="N4808" t="s">
        <v>47424</v>
      </c>
      <c r="O4808" t="s">
        <v>47425</v>
      </c>
      <c r="P4808">
        <v>0</v>
      </c>
      <c r="Q4808">
        <v>7</v>
      </c>
      <c r="R4808" t="s">
        <v>47430</v>
      </c>
      <c r="S4808" t="s">
        <v>47549</v>
      </c>
      <c r="T4808" t="s">
        <v>49114</v>
      </c>
      <c r="U4808" t="s">
        <v>53753</v>
      </c>
      <c r="W4808" t="s">
        <v>43066</v>
      </c>
      <c r="X4808" t="s">
        <v>47431</v>
      </c>
    </row>
    <row r="4809" spans="1:24">
      <c r="A4809">
        <f>HYPERLINK("https://www.philgeps.gov.ph/GEPSNONPILOT/Tender/SplashBidNoticeAbstractUI.aspx?menuIndex=3&amp;refID=7160078&amp;Result=3","7160078")</f>
        <v>0</v>
      </c>
      <c r="B4809" t="s">
        <v>1839</v>
      </c>
      <c r="C4809" t="s">
        <v>8446</v>
      </c>
      <c r="D4809" t="s">
        <v>19033</v>
      </c>
      <c r="E4809" t="s">
        <v>23369</v>
      </c>
      <c r="F4809" t="s">
        <v>32831</v>
      </c>
      <c r="G4809" t="s">
        <v>32838</v>
      </c>
      <c r="H4809" t="s">
        <v>32848</v>
      </c>
      <c r="I4809" t="s">
        <v>4558</v>
      </c>
      <c r="J4809" t="s">
        <v>33292</v>
      </c>
      <c r="K4809" t="s">
        <v>42730</v>
      </c>
      <c r="M4809" t="s">
        <v>44973</v>
      </c>
      <c r="N4809" t="s">
        <v>47424</v>
      </c>
      <c r="O4809" t="s">
        <v>47425</v>
      </c>
      <c r="P4809">
        <v>0</v>
      </c>
      <c r="Q4809">
        <v>4</v>
      </c>
      <c r="R4809" t="s">
        <v>47430</v>
      </c>
      <c r="S4809" t="s">
        <v>47549</v>
      </c>
      <c r="T4809" t="s">
        <v>49124</v>
      </c>
      <c r="U4809" t="s">
        <v>53754</v>
      </c>
      <c r="W4809" t="s">
        <v>44973</v>
      </c>
      <c r="X4809" t="s">
        <v>47431</v>
      </c>
    </row>
    <row r="4810" spans="1:24">
      <c r="A4810">
        <f>HYPERLINK("https://www.philgeps.gov.ph/GEPSNONPILOT/Tender/SplashBidNoticeAbstractUI.aspx?menuIndex=3&amp;refID=7160070&amp;Result=3","7160070")</f>
        <v>0</v>
      </c>
      <c r="B4810" t="s">
        <v>1870</v>
      </c>
      <c r="C4810" t="s">
        <v>8447</v>
      </c>
      <c r="D4810" t="s">
        <v>19073</v>
      </c>
      <c r="E4810" t="s">
        <v>23370</v>
      </c>
      <c r="F4810" t="s">
        <v>32831</v>
      </c>
      <c r="G4810" t="s">
        <v>32838</v>
      </c>
      <c r="H4810" t="s">
        <v>32848</v>
      </c>
      <c r="I4810" t="s">
        <v>32889</v>
      </c>
      <c r="J4810" t="s">
        <v>36090</v>
      </c>
      <c r="K4810" t="s">
        <v>42730</v>
      </c>
      <c r="M4810" t="s">
        <v>45014</v>
      </c>
      <c r="N4810" t="s">
        <v>47424</v>
      </c>
      <c r="O4810" t="s">
        <v>47425</v>
      </c>
      <c r="P4810">
        <v>0</v>
      </c>
      <c r="Q4810">
        <v>1</v>
      </c>
      <c r="R4810" t="s">
        <v>47430</v>
      </c>
      <c r="S4810" t="s">
        <v>47549</v>
      </c>
      <c r="T4810" t="s">
        <v>49100</v>
      </c>
      <c r="U4810" t="s">
        <v>53755</v>
      </c>
      <c r="W4810" t="s">
        <v>45014</v>
      </c>
      <c r="X4810" t="s">
        <v>47431</v>
      </c>
    </row>
    <row r="4811" spans="1:24">
      <c r="A4811">
        <f>HYPERLINK("https://www.philgeps.gov.ph/GEPSNONPILOT/Tender/SplashBidNoticeAbstractUI.aspx?menuIndex=3&amp;refID=7160121&amp;Result=3","7160121")</f>
        <v>0</v>
      </c>
      <c r="B4811" t="s">
        <v>67</v>
      </c>
      <c r="C4811" t="s">
        <v>8448</v>
      </c>
      <c r="D4811" t="s">
        <v>19079</v>
      </c>
      <c r="E4811" t="s">
        <v>8448</v>
      </c>
      <c r="F4811" t="s">
        <v>32831</v>
      </c>
      <c r="G4811" t="s">
        <v>32840</v>
      </c>
      <c r="H4811" t="s">
        <v>32848</v>
      </c>
      <c r="I4811" t="s">
        <v>32860</v>
      </c>
      <c r="J4811" t="s">
        <v>36091</v>
      </c>
      <c r="K4811" t="s">
        <v>42730</v>
      </c>
      <c r="M4811" t="s">
        <v>44984</v>
      </c>
      <c r="N4811" t="s">
        <v>47424</v>
      </c>
      <c r="O4811" t="s">
        <v>47425</v>
      </c>
      <c r="P4811">
        <v>0</v>
      </c>
      <c r="Q4811">
        <v>2</v>
      </c>
      <c r="R4811" t="s">
        <v>47430</v>
      </c>
      <c r="S4811" t="s">
        <v>47549</v>
      </c>
      <c r="T4811" t="s">
        <v>49135</v>
      </c>
      <c r="U4811" t="s">
        <v>53756</v>
      </c>
      <c r="W4811" t="s">
        <v>44984</v>
      </c>
      <c r="X4811" t="s">
        <v>47431</v>
      </c>
    </row>
    <row r="4812" spans="1:24">
      <c r="A4812">
        <f>HYPERLINK("https://www.philgeps.gov.ph/GEPSNONPILOT/Tender/SplashBidNoticeAbstractUI.aspx?menuIndex=3&amp;refID=7160073&amp;Result=3","7160073")</f>
        <v>0</v>
      </c>
      <c r="B4812" t="s">
        <v>1668</v>
      </c>
      <c r="C4812" t="s">
        <v>8449</v>
      </c>
      <c r="D4812" t="s">
        <v>19073</v>
      </c>
      <c r="E4812" t="s">
        <v>23371</v>
      </c>
      <c r="F4812" t="s">
        <v>32831</v>
      </c>
      <c r="G4812" t="s">
        <v>32839</v>
      </c>
      <c r="H4812" t="s">
        <v>32848</v>
      </c>
      <c r="I4812" t="s">
        <v>7416</v>
      </c>
      <c r="J4812" t="s">
        <v>33279</v>
      </c>
      <c r="K4812" t="s">
        <v>42731</v>
      </c>
      <c r="M4812" t="s">
        <v>44785</v>
      </c>
      <c r="N4812" t="s">
        <v>47424</v>
      </c>
      <c r="O4812" t="s">
        <v>47425</v>
      </c>
      <c r="P4812">
        <v>0</v>
      </c>
      <c r="Q4812">
        <v>0</v>
      </c>
      <c r="R4812" t="s">
        <v>47430</v>
      </c>
      <c r="S4812" t="s">
        <v>47549</v>
      </c>
      <c r="T4812" t="s">
        <v>49129</v>
      </c>
      <c r="U4812" t="s">
        <v>53757</v>
      </c>
      <c r="W4812" t="s">
        <v>44785</v>
      </c>
      <c r="X4812" t="s">
        <v>47431</v>
      </c>
    </row>
    <row r="4813" spans="1:24">
      <c r="A4813">
        <f>HYPERLINK("https://www.philgeps.gov.ph/GEPSNONPILOT/Tender/SplashBidNoticeAbstractUI.aspx?menuIndex=3&amp;refID=7160122&amp;Result=3","7160122")</f>
        <v>0</v>
      </c>
      <c r="B4813" t="s">
        <v>1871</v>
      </c>
      <c r="C4813" t="s">
        <v>8450</v>
      </c>
      <c r="D4813" t="s">
        <v>19031</v>
      </c>
      <c r="E4813" t="s">
        <v>20718</v>
      </c>
      <c r="F4813" t="s">
        <v>32831</v>
      </c>
      <c r="G4813" t="s">
        <v>32839</v>
      </c>
      <c r="H4813" t="s">
        <v>14069</v>
      </c>
      <c r="I4813" t="s">
        <v>32908</v>
      </c>
      <c r="J4813" t="s">
        <v>36092</v>
      </c>
      <c r="K4813" t="s">
        <v>42748</v>
      </c>
      <c r="M4813" t="s">
        <v>45015</v>
      </c>
      <c r="N4813" t="s">
        <v>47424</v>
      </c>
      <c r="O4813" t="s">
        <v>47425</v>
      </c>
      <c r="P4813">
        <v>0</v>
      </c>
      <c r="Q4813">
        <v>0</v>
      </c>
      <c r="R4813" t="s">
        <v>47430</v>
      </c>
      <c r="S4813" t="s">
        <v>47549</v>
      </c>
      <c r="T4813" t="s">
        <v>49119</v>
      </c>
      <c r="U4813" t="s">
        <v>53758</v>
      </c>
      <c r="W4813" t="s">
        <v>45015</v>
      </c>
      <c r="X4813" t="s">
        <v>47431</v>
      </c>
    </row>
    <row r="4814" spans="1:24">
      <c r="A4814">
        <f>HYPERLINK("https://www.philgeps.gov.ph/GEPSNONPILOT/Tender/SplashBidNoticeAbstractUI.aspx?menuIndex=3&amp;refID=7160120&amp;Result=3","7160120")</f>
        <v>0</v>
      </c>
      <c r="B4814" t="s">
        <v>1866</v>
      </c>
      <c r="C4814" t="s">
        <v>8451</v>
      </c>
      <c r="D4814" t="s">
        <v>19022</v>
      </c>
      <c r="E4814" t="s">
        <v>23372</v>
      </c>
      <c r="F4814" t="s">
        <v>32831</v>
      </c>
      <c r="G4814" t="s">
        <v>32838</v>
      </c>
      <c r="H4814" t="s">
        <v>32848</v>
      </c>
      <c r="I4814" t="s">
        <v>32862</v>
      </c>
      <c r="J4814" t="s">
        <v>33148</v>
      </c>
      <c r="K4814" t="s">
        <v>42730</v>
      </c>
      <c r="M4814" t="s">
        <v>45009</v>
      </c>
      <c r="N4814" t="s">
        <v>47424</v>
      </c>
      <c r="O4814" t="s">
        <v>47425</v>
      </c>
      <c r="P4814">
        <v>0</v>
      </c>
      <c r="Q4814">
        <v>0</v>
      </c>
      <c r="R4814" t="s">
        <v>47430</v>
      </c>
      <c r="S4814" t="s">
        <v>47549</v>
      </c>
      <c r="T4814" t="s">
        <v>49141</v>
      </c>
      <c r="U4814" t="s">
        <v>53742</v>
      </c>
      <c r="V4814" t="s">
        <v>63065</v>
      </c>
      <c r="W4814" t="s">
        <v>45009</v>
      </c>
      <c r="X4814" t="s">
        <v>47431</v>
      </c>
    </row>
    <row r="4815" spans="1:24">
      <c r="A4815">
        <f>HYPERLINK("https://www.philgeps.gov.ph/GEPSNONPILOT/Tender/SplashBidNoticeAbstractUI.aspx?menuIndex=3&amp;refID=7160087&amp;Result=3","7160087")</f>
        <v>0</v>
      </c>
      <c r="B4815" t="s">
        <v>759</v>
      </c>
      <c r="C4815" t="s">
        <v>8452</v>
      </c>
      <c r="D4815" t="s">
        <v>19017</v>
      </c>
      <c r="E4815" t="s">
        <v>23373</v>
      </c>
      <c r="F4815" t="s">
        <v>32831</v>
      </c>
      <c r="G4815" t="s">
        <v>32838</v>
      </c>
      <c r="H4815" t="s">
        <v>32848</v>
      </c>
      <c r="I4815" t="s">
        <v>32870</v>
      </c>
      <c r="J4815" t="s">
        <v>36093</v>
      </c>
      <c r="K4815" t="s">
        <v>42731</v>
      </c>
      <c r="M4815" t="s">
        <v>45008</v>
      </c>
      <c r="N4815" t="s">
        <v>47424</v>
      </c>
      <c r="O4815" t="s">
        <v>47425</v>
      </c>
      <c r="P4815">
        <v>0</v>
      </c>
      <c r="Q4815">
        <v>0</v>
      </c>
      <c r="R4815" t="s">
        <v>47430</v>
      </c>
      <c r="S4815" t="s">
        <v>47549</v>
      </c>
      <c r="T4815" t="s">
        <v>49404</v>
      </c>
      <c r="U4815" t="s">
        <v>53759</v>
      </c>
      <c r="W4815" t="s">
        <v>45008</v>
      </c>
      <c r="X4815" t="s">
        <v>47431</v>
      </c>
    </row>
    <row r="4816" spans="1:24">
      <c r="A4816">
        <f>HYPERLINK("https://www.philgeps.gov.ph/GEPSNONPILOT/Tender/SplashBidNoticeAbstractUI.aspx?menuIndex=3&amp;refID=7160117&amp;Result=3","7160117")</f>
        <v>0</v>
      </c>
      <c r="B4816" t="s">
        <v>1872</v>
      </c>
      <c r="C4816" t="s">
        <v>8453</v>
      </c>
      <c r="D4816" t="s">
        <v>19100</v>
      </c>
      <c r="E4816" t="s">
        <v>19494</v>
      </c>
      <c r="F4816" t="s">
        <v>32831</v>
      </c>
      <c r="G4816" t="s">
        <v>32838</v>
      </c>
      <c r="H4816" t="s">
        <v>14069</v>
      </c>
      <c r="I4816" t="s">
        <v>4177</v>
      </c>
      <c r="J4816" t="s">
        <v>36094</v>
      </c>
      <c r="K4816" t="s">
        <v>42869</v>
      </c>
      <c r="M4816" t="s">
        <v>45016</v>
      </c>
      <c r="N4816" t="s">
        <v>47424</v>
      </c>
      <c r="O4816" t="s">
        <v>47425</v>
      </c>
      <c r="P4816">
        <v>0</v>
      </c>
      <c r="Q4816">
        <v>0</v>
      </c>
      <c r="R4816" t="s">
        <v>47430</v>
      </c>
      <c r="S4816" t="s">
        <v>47549</v>
      </c>
      <c r="T4816" t="s">
        <v>49239</v>
      </c>
      <c r="U4816" t="s">
        <v>53760</v>
      </c>
      <c r="W4816" t="s">
        <v>45016</v>
      </c>
      <c r="X4816" t="s">
        <v>47431</v>
      </c>
    </row>
    <row r="4817" spans="1:24">
      <c r="A4817">
        <f>HYPERLINK("https://www.philgeps.gov.ph/GEPSNONPILOT/Tender/SplashBidNoticeAbstractUI.aspx?menuIndex=3&amp;refID=7160074&amp;Result=3","7160074")</f>
        <v>0</v>
      </c>
      <c r="B4817" t="s">
        <v>1873</v>
      </c>
      <c r="C4817" t="s">
        <v>8454</v>
      </c>
      <c r="D4817" t="s">
        <v>19033</v>
      </c>
      <c r="E4817" t="s">
        <v>19984</v>
      </c>
      <c r="F4817" t="s">
        <v>32831</v>
      </c>
      <c r="G4817" t="s">
        <v>32839</v>
      </c>
      <c r="H4817" t="s">
        <v>32849</v>
      </c>
      <c r="I4817" t="s">
        <v>4177</v>
      </c>
      <c r="J4817" t="s">
        <v>33087</v>
      </c>
      <c r="K4817" t="s">
        <v>42727</v>
      </c>
      <c r="M4817" t="s">
        <v>45017</v>
      </c>
      <c r="N4817" t="s">
        <v>47424</v>
      </c>
      <c r="O4817" t="s">
        <v>47425</v>
      </c>
      <c r="P4817">
        <v>0</v>
      </c>
      <c r="Q4817">
        <v>1</v>
      </c>
      <c r="R4817" t="s">
        <v>47430</v>
      </c>
      <c r="S4817" t="s">
        <v>47549</v>
      </c>
      <c r="T4817" t="s">
        <v>49059</v>
      </c>
      <c r="U4817" t="s">
        <v>53761</v>
      </c>
      <c r="W4817" t="s">
        <v>45017</v>
      </c>
      <c r="X4817" t="s">
        <v>47431</v>
      </c>
    </row>
    <row r="4818" spans="1:24">
      <c r="A4818">
        <f>HYPERLINK("https://www.philgeps.gov.ph/GEPSNONPILOT/Tender/SplashBidNoticeAbstractUI.aspx?menuIndex=3&amp;refID=7160115&amp;Result=3","7160115")</f>
        <v>0</v>
      </c>
      <c r="B4818" t="s">
        <v>1864</v>
      </c>
      <c r="C4818" t="s">
        <v>8455</v>
      </c>
      <c r="D4818" t="s">
        <v>19045</v>
      </c>
      <c r="E4818" t="s">
        <v>23374</v>
      </c>
      <c r="F4818" t="s">
        <v>32831</v>
      </c>
      <c r="G4818" t="s">
        <v>32839</v>
      </c>
      <c r="H4818" t="s">
        <v>32848</v>
      </c>
      <c r="I4818" t="s">
        <v>4776</v>
      </c>
      <c r="J4818" t="s">
        <v>33364</v>
      </c>
      <c r="K4818" t="s">
        <v>42730</v>
      </c>
      <c r="M4818" t="s">
        <v>45006</v>
      </c>
      <c r="N4818" t="s">
        <v>47424</v>
      </c>
      <c r="O4818" t="s">
        <v>47425</v>
      </c>
      <c r="P4818">
        <v>0</v>
      </c>
      <c r="Q4818">
        <v>6</v>
      </c>
      <c r="R4818" t="s">
        <v>47430</v>
      </c>
      <c r="S4818" t="s">
        <v>47549</v>
      </c>
      <c r="T4818" t="s">
        <v>49078</v>
      </c>
      <c r="U4818" t="s">
        <v>53762</v>
      </c>
      <c r="W4818" t="s">
        <v>45006</v>
      </c>
      <c r="X4818" t="s">
        <v>47431</v>
      </c>
    </row>
    <row r="4819" spans="1:24">
      <c r="A4819">
        <f>HYPERLINK("https://www.philgeps.gov.ph/GEPSNONPILOT/Tender/SplashBidNoticeAbstractUI.aspx?menuIndex=3&amp;refID=7160114&amp;Result=3","7160114")</f>
        <v>0</v>
      </c>
      <c r="B4819" t="s">
        <v>1874</v>
      </c>
      <c r="C4819" t="s">
        <v>8456</v>
      </c>
      <c r="D4819" t="s">
        <v>19045</v>
      </c>
      <c r="E4819" t="s">
        <v>23375</v>
      </c>
      <c r="F4819" t="s">
        <v>32831</v>
      </c>
      <c r="G4819" t="s">
        <v>32840</v>
      </c>
      <c r="H4819" t="s">
        <v>32848</v>
      </c>
      <c r="I4819" t="s">
        <v>9577</v>
      </c>
      <c r="J4819" t="s">
        <v>33178</v>
      </c>
      <c r="K4819" t="s">
        <v>42732</v>
      </c>
      <c r="M4819" t="s">
        <v>45018</v>
      </c>
      <c r="N4819" t="s">
        <v>47424</v>
      </c>
      <c r="O4819" t="s">
        <v>47425</v>
      </c>
      <c r="P4819">
        <v>0</v>
      </c>
      <c r="Q4819">
        <v>2</v>
      </c>
      <c r="R4819" t="s">
        <v>47430</v>
      </c>
      <c r="S4819" t="s">
        <v>47549</v>
      </c>
      <c r="T4819" t="s">
        <v>49406</v>
      </c>
      <c r="U4819" t="s">
        <v>53763</v>
      </c>
      <c r="W4819" t="s">
        <v>45018</v>
      </c>
      <c r="X4819" t="s">
        <v>47431</v>
      </c>
    </row>
    <row r="4820" spans="1:24">
      <c r="A4820">
        <f>HYPERLINK("https://www.philgeps.gov.ph/GEPSNONPILOT/Tender/SplashBidNoticeAbstractUI.aspx?menuIndex=3&amp;refID=7160106&amp;Result=3","7160106")</f>
        <v>0</v>
      </c>
      <c r="B4820" t="s">
        <v>1875</v>
      </c>
      <c r="C4820" t="s">
        <v>8457</v>
      </c>
      <c r="D4820" t="s">
        <v>19095</v>
      </c>
      <c r="E4820" t="s">
        <v>23376</v>
      </c>
      <c r="F4820" t="s">
        <v>32831</v>
      </c>
      <c r="G4820" t="s">
        <v>32839</v>
      </c>
      <c r="H4820" t="s">
        <v>32848</v>
      </c>
      <c r="I4820" t="s">
        <v>7416</v>
      </c>
      <c r="J4820" t="s">
        <v>36095</v>
      </c>
      <c r="K4820" t="s">
        <v>42750</v>
      </c>
      <c r="M4820" t="s">
        <v>45019</v>
      </c>
      <c r="N4820" t="s">
        <v>47424</v>
      </c>
      <c r="O4820" t="s">
        <v>47425</v>
      </c>
      <c r="P4820">
        <v>0</v>
      </c>
      <c r="Q4820">
        <v>1</v>
      </c>
      <c r="R4820" t="s">
        <v>47430</v>
      </c>
      <c r="S4820" t="s">
        <v>47549</v>
      </c>
      <c r="T4820" t="s">
        <v>49242</v>
      </c>
      <c r="U4820" t="s">
        <v>53764</v>
      </c>
      <c r="W4820" t="s">
        <v>45019</v>
      </c>
      <c r="X4820" t="s">
        <v>47431</v>
      </c>
    </row>
    <row r="4821" spans="1:24">
      <c r="A4821">
        <f>HYPERLINK("https://www.philgeps.gov.ph/GEPSNONPILOT/Tender/SplashBidNoticeAbstractUI.aspx?menuIndex=3&amp;refID=7160104&amp;Result=3","7160104")</f>
        <v>0</v>
      </c>
      <c r="B4821" t="s">
        <v>1876</v>
      </c>
      <c r="C4821" t="s">
        <v>8458</v>
      </c>
      <c r="D4821" t="s">
        <v>19034</v>
      </c>
      <c r="E4821" t="s">
        <v>23377</v>
      </c>
      <c r="F4821" t="s">
        <v>32831</v>
      </c>
      <c r="G4821" t="s">
        <v>32839</v>
      </c>
      <c r="H4821" t="s">
        <v>32849</v>
      </c>
      <c r="I4821" t="s">
        <v>4177</v>
      </c>
      <c r="J4821" t="s">
        <v>33257</v>
      </c>
      <c r="K4821" t="s">
        <v>42729</v>
      </c>
      <c r="M4821" t="s">
        <v>45020</v>
      </c>
      <c r="N4821" t="s">
        <v>47424</v>
      </c>
      <c r="O4821" t="s">
        <v>47425</v>
      </c>
      <c r="P4821">
        <v>0</v>
      </c>
      <c r="Q4821">
        <v>0</v>
      </c>
      <c r="R4821" t="s">
        <v>47430</v>
      </c>
      <c r="S4821" t="s">
        <v>47549</v>
      </c>
      <c r="T4821" t="s">
        <v>49077</v>
      </c>
      <c r="U4821" t="s">
        <v>53765</v>
      </c>
      <c r="W4821" t="s">
        <v>45020</v>
      </c>
      <c r="X4821" t="s">
        <v>47431</v>
      </c>
    </row>
    <row r="4822" spans="1:24">
      <c r="A4822">
        <f>HYPERLINK("https://www.philgeps.gov.ph/GEPSNONPILOT/Tender/SplashBidNoticeAbstractUI.aspx?menuIndex=3&amp;refID=7160082&amp;Result=3","7160082")</f>
        <v>0</v>
      </c>
      <c r="B4822" t="s">
        <v>1877</v>
      </c>
      <c r="C4822" t="s">
        <v>8459</v>
      </c>
      <c r="D4822" t="s">
        <v>19043</v>
      </c>
      <c r="E4822" t="s">
        <v>23378</v>
      </c>
      <c r="F4822" t="s">
        <v>32831</v>
      </c>
      <c r="G4822" t="s">
        <v>32838</v>
      </c>
      <c r="H4822" t="s">
        <v>32848</v>
      </c>
      <c r="I4822" t="s">
        <v>4776</v>
      </c>
      <c r="J4822" t="s">
        <v>36096</v>
      </c>
      <c r="K4822" t="s">
        <v>42727</v>
      </c>
      <c r="M4822" t="s">
        <v>45021</v>
      </c>
      <c r="N4822" t="s">
        <v>47424</v>
      </c>
      <c r="O4822" t="s">
        <v>47425</v>
      </c>
      <c r="P4822">
        <v>0</v>
      </c>
      <c r="Q4822">
        <v>0</v>
      </c>
      <c r="R4822" t="s">
        <v>47430</v>
      </c>
      <c r="S4822" t="s">
        <v>47549</v>
      </c>
      <c r="T4822" t="s">
        <v>49123</v>
      </c>
      <c r="U4822" t="s">
        <v>53766</v>
      </c>
      <c r="W4822" t="s">
        <v>45021</v>
      </c>
      <c r="X4822" t="s">
        <v>47431</v>
      </c>
    </row>
    <row r="4823" spans="1:24">
      <c r="A4823">
        <f>HYPERLINK("https://www.philgeps.gov.ph/GEPSNONPILOT/Tender/SplashBidNoticeAbstractUI.aspx?menuIndex=3&amp;refID=7160100&amp;Result=3","7160100")</f>
        <v>0</v>
      </c>
      <c r="B4823" t="s">
        <v>1878</v>
      </c>
      <c r="C4823" t="s">
        <v>8460</v>
      </c>
      <c r="D4823" t="s">
        <v>19057</v>
      </c>
      <c r="E4823" t="s">
        <v>19130</v>
      </c>
      <c r="F4823" t="s">
        <v>32831</v>
      </c>
      <c r="G4823" t="s">
        <v>32839</v>
      </c>
      <c r="H4823" t="s">
        <v>32850</v>
      </c>
      <c r="I4823" t="s">
        <v>32909</v>
      </c>
      <c r="J4823" t="s">
        <v>33041</v>
      </c>
      <c r="K4823" t="s">
        <v>42726</v>
      </c>
      <c r="M4823" t="s">
        <v>45022</v>
      </c>
      <c r="N4823" t="s">
        <v>47424</v>
      </c>
      <c r="O4823" t="s">
        <v>47425</v>
      </c>
      <c r="P4823">
        <v>0</v>
      </c>
      <c r="Q4823">
        <v>0</v>
      </c>
      <c r="R4823" t="s">
        <v>47430</v>
      </c>
      <c r="S4823" t="s">
        <v>47549</v>
      </c>
      <c r="T4823" t="s">
        <v>49129</v>
      </c>
      <c r="U4823" t="s">
        <v>53767</v>
      </c>
      <c r="W4823" t="s">
        <v>45022</v>
      </c>
      <c r="X4823" t="s">
        <v>47431</v>
      </c>
    </row>
    <row r="4824" spans="1:24">
      <c r="A4824">
        <f>HYPERLINK("https://www.philgeps.gov.ph/GEPSNONPILOT/Tender/SplashBidNoticeAbstractUI.aspx?menuIndex=3&amp;refID=7160097&amp;Result=3","7160097")</f>
        <v>0</v>
      </c>
      <c r="B4824" t="s">
        <v>1879</v>
      </c>
      <c r="C4824" t="s">
        <v>8461</v>
      </c>
      <c r="D4824" t="s">
        <v>19021</v>
      </c>
      <c r="E4824" t="s">
        <v>23379</v>
      </c>
      <c r="F4824" t="s">
        <v>32831</v>
      </c>
      <c r="G4824" t="s">
        <v>32839</v>
      </c>
      <c r="H4824" t="s">
        <v>32849</v>
      </c>
      <c r="I4824" t="s">
        <v>4177</v>
      </c>
      <c r="J4824" t="s">
        <v>36097</v>
      </c>
      <c r="K4824" t="s">
        <v>42729</v>
      </c>
      <c r="L4824" t="s">
        <v>1879</v>
      </c>
      <c r="M4824" t="s">
        <v>45023</v>
      </c>
      <c r="N4824" t="s">
        <v>47424</v>
      </c>
      <c r="O4824" t="s">
        <v>47425</v>
      </c>
      <c r="P4824">
        <v>0</v>
      </c>
      <c r="Q4824">
        <v>14</v>
      </c>
      <c r="R4824" t="s">
        <v>47430</v>
      </c>
      <c r="S4824" t="s">
        <v>47549</v>
      </c>
      <c r="T4824" t="s">
        <v>49407</v>
      </c>
      <c r="U4824" t="s">
        <v>53768</v>
      </c>
      <c r="W4824" t="s">
        <v>45023</v>
      </c>
      <c r="X4824" t="s">
        <v>47431</v>
      </c>
    </row>
    <row r="4825" spans="1:24">
      <c r="A4825">
        <f>HYPERLINK("https://www.philgeps.gov.ph/GEPSNONPILOT/Tender/SplashBidNoticeAbstractUI.aspx?menuIndex=3&amp;refID=7160096&amp;Result=3","7160096")</f>
        <v>0</v>
      </c>
      <c r="B4825" t="s">
        <v>879</v>
      </c>
      <c r="C4825" t="s">
        <v>8462</v>
      </c>
      <c r="D4825" t="s">
        <v>19043</v>
      </c>
      <c r="E4825" t="s">
        <v>20065</v>
      </c>
      <c r="F4825" t="s">
        <v>32831</v>
      </c>
      <c r="G4825" t="s">
        <v>32838</v>
      </c>
      <c r="H4825" t="s">
        <v>32850</v>
      </c>
      <c r="I4825" t="s">
        <v>6526</v>
      </c>
      <c r="J4825" t="s">
        <v>36098</v>
      </c>
      <c r="K4825" t="s">
        <v>42730</v>
      </c>
      <c r="M4825" t="s">
        <v>43913</v>
      </c>
      <c r="N4825" t="s">
        <v>47424</v>
      </c>
      <c r="O4825" t="s">
        <v>47425</v>
      </c>
      <c r="P4825">
        <v>0</v>
      </c>
      <c r="Q4825">
        <v>0</v>
      </c>
      <c r="R4825" t="s">
        <v>47430</v>
      </c>
      <c r="S4825" t="s">
        <v>47549</v>
      </c>
      <c r="T4825" t="s">
        <v>49127</v>
      </c>
      <c r="U4825" t="s">
        <v>53769</v>
      </c>
      <c r="W4825" t="s">
        <v>43913</v>
      </c>
      <c r="X4825" t="s">
        <v>47431</v>
      </c>
    </row>
    <row r="4826" spans="1:24">
      <c r="A4826">
        <f>HYPERLINK("https://www.philgeps.gov.ph/GEPSNONPILOT/Tender/SplashBidNoticeAbstractUI.aspx?menuIndex=3&amp;refID=7160095&amp;Result=3","7160095")</f>
        <v>0</v>
      </c>
      <c r="B4826" t="s">
        <v>1385</v>
      </c>
      <c r="C4826" t="s">
        <v>8463</v>
      </c>
      <c r="D4826" t="s">
        <v>19060</v>
      </c>
      <c r="E4826" t="s">
        <v>23380</v>
      </c>
      <c r="F4826" t="s">
        <v>32831</v>
      </c>
      <c r="G4826" t="s">
        <v>32840</v>
      </c>
      <c r="H4826" t="s">
        <v>32848</v>
      </c>
      <c r="I4826" t="s">
        <v>4438</v>
      </c>
      <c r="J4826" t="s">
        <v>36099</v>
      </c>
      <c r="K4826" t="s">
        <v>42730</v>
      </c>
      <c r="M4826" t="s">
        <v>44470</v>
      </c>
      <c r="N4826" t="s">
        <v>47424</v>
      </c>
      <c r="O4826" t="s">
        <v>47425</v>
      </c>
      <c r="P4826">
        <v>0</v>
      </c>
      <c r="Q4826">
        <v>2</v>
      </c>
      <c r="R4826" t="s">
        <v>47430</v>
      </c>
      <c r="S4826" t="s">
        <v>47549</v>
      </c>
      <c r="T4826" t="s">
        <v>49129</v>
      </c>
      <c r="U4826" t="s">
        <v>53770</v>
      </c>
      <c r="V4826" t="s">
        <v>62982</v>
      </c>
      <c r="W4826" t="s">
        <v>44470</v>
      </c>
      <c r="X4826" t="s">
        <v>47431</v>
      </c>
    </row>
    <row r="4827" spans="1:24">
      <c r="A4827">
        <f>HYPERLINK("https://www.philgeps.gov.ph/GEPSNONPILOT/Tender/SplashBidNoticeAbstractUI.aspx?menuIndex=3&amp;refID=7160119&amp;Result=3","7160119")</f>
        <v>0</v>
      </c>
      <c r="B4827" t="s">
        <v>877</v>
      </c>
      <c r="C4827" t="s">
        <v>5689</v>
      </c>
      <c r="D4827" t="s">
        <v>19018</v>
      </c>
      <c r="E4827" t="s">
        <v>23381</v>
      </c>
      <c r="F4827" t="s">
        <v>32831</v>
      </c>
      <c r="G4827" t="s">
        <v>32838</v>
      </c>
      <c r="H4827" t="s">
        <v>32848</v>
      </c>
      <c r="I4827" t="s">
        <v>10805</v>
      </c>
      <c r="J4827" t="s">
        <v>32979</v>
      </c>
      <c r="K4827" t="s">
        <v>42730</v>
      </c>
      <c r="M4827" t="s">
        <v>43911</v>
      </c>
      <c r="N4827" t="s">
        <v>47424</v>
      </c>
      <c r="O4827" t="s">
        <v>47425</v>
      </c>
      <c r="P4827">
        <v>0</v>
      </c>
      <c r="Q4827">
        <v>6</v>
      </c>
      <c r="R4827" t="s">
        <v>47430</v>
      </c>
      <c r="S4827" t="s">
        <v>47549</v>
      </c>
      <c r="T4827" t="s">
        <v>49116</v>
      </c>
      <c r="U4827" t="s">
        <v>53771</v>
      </c>
      <c r="W4827" t="s">
        <v>43911</v>
      </c>
      <c r="X4827" t="s">
        <v>47431</v>
      </c>
    </row>
    <row r="4828" spans="1:24">
      <c r="A4828">
        <f>HYPERLINK("https://www.philgeps.gov.ph/GEPSNONPILOT/Tender/SplashBidNoticeAbstractUI.aspx?menuIndex=3&amp;refID=7160092&amp;Result=3","7160092")</f>
        <v>0</v>
      </c>
      <c r="B4828" t="s">
        <v>67</v>
      </c>
      <c r="C4828" t="s">
        <v>8464</v>
      </c>
      <c r="D4828" t="s">
        <v>19079</v>
      </c>
      <c r="E4828" t="s">
        <v>8464</v>
      </c>
      <c r="F4828" t="s">
        <v>32831</v>
      </c>
      <c r="G4828" t="s">
        <v>32840</v>
      </c>
      <c r="H4828" t="s">
        <v>32848</v>
      </c>
      <c r="I4828" t="s">
        <v>32860</v>
      </c>
      <c r="J4828" t="s">
        <v>33600</v>
      </c>
      <c r="K4828" t="s">
        <v>42730</v>
      </c>
      <c r="M4828" t="s">
        <v>44984</v>
      </c>
      <c r="N4828" t="s">
        <v>47424</v>
      </c>
      <c r="O4828" t="s">
        <v>47425</v>
      </c>
      <c r="P4828">
        <v>0</v>
      </c>
      <c r="Q4828">
        <v>2</v>
      </c>
      <c r="R4828" t="s">
        <v>47430</v>
      </c>
      <c r="S4828" t="s">
        <v>47549</v>
      </c>
      <c r="T4828" t="s">
        <v>49135</v>
      </c>
      <c r="U4828" t="s">
        <v>53772</v>
      </c>
      <c r="W4828" t="s">
        <v>44984</v>
      </c>
      <c r="X4828" t="s">
        <v>47431</v>
      </c>
    </row>
    <row r="4829" spans="1:24">
      <c r="A4829">
        <f>HYPERLINK("https://www.philgeps.gov.ph/GEPSNONPILOT/Tender/SplashBidNoticeAbstractUI.aspx?menuIndex=3&amp;refID=7160090&amp;Result=3","7160090")</f>
        <v>0</v>
      </c>
      <c r="B4829" t="s">
        <v>1663</v>
      </c>
      <c r="C4829" t="s">
        <v>8465</v>
      </c>
      <c r="D4829" t="s">
        <v>19083</v>
      </c>
      <c r="E4829" t="s">
        <v>8465</v>
      </c>
      <c r="F4829" t="s">
        <v>32831</v>
      </c>
      <c r="G4829" t="s">
        <v>32838</v>
      </c>
      <c r="H4829" t="s">
        <v>32848</v>
      </c>
      <c r="I4829" t="s">
        <v>10805</v>
      </c>
      <c r="J4829" t="s">
        <v>33018</v>
      </c>
      <c r="K4829" t="s">
        <v>42727</v>
      </c>
      <c r="M4829" t="s">
        <v>44780</v>
      </c>
      <c r="N4829" t="s">
        <v>47424</v>
      </c>
      <c r="O4829" t="s">
        <v>47425</v>
      </c>
      <c r="P4829">
        <v>0</v>
      </c>
      <c r="Q4829">
        <v>1</v>
      </c>
      <c r="R4829" t="s">
        <v>47430</v>
      </c>
      <c r="S4829" t="s">
        <v>47549</v>
      </c>
      <c r="T4829" t="s">
        <v>49089</v>
      </c>
      <c r="U4829" t="s">
        <v>53773</v>
      </c>
      <c r="W4829" t="s">
        <v>44780</v>
      </c>
      <c r="X4829" t="s">
        <v>47431</v>
      </c>
    </row>
    <row r="4830" spans="1:24">
      <c r="A4830">
        <f>HYPERLINK("https://www.philgeps.gov.ph/GEPSNONPILOT/Tender/SplashBidNoticeAbstractUI.aspx?menuIndex=3&amp;refID=7160102&amp;Result=3","7160102")</f>
        <v>0</v>
      </c>
      <c r="B4830" t="s">
        <v>1149</v>
      </c>
      <c r="C4830" t="s">
        <v>8466</v>
      </c>
      <c r="D4830" t="s">
        <v>19079</v>
      </c>
      <c r="E4830" t="s">
        <v>23382</v>
      </c>
      <c r="F4830" t="s">
        <v>32831</v>
      </c>
      <c r="G4830" t="s">
        <v>32839</v>
      </c>
      <c r="H4830" t="s">
        <v>32849</v>
      </c>
      <c r="I4830" t="s">
        <v>4177</v>
      </c>
      <c r="J4830" t="s">
        <v>36100</v>
      </c>
      <c r="K4830" t="s">
        <v>42770</v>
      </c>
      <c r="M4830" t="s">
        <v>44985</v>
      </c>
      <c r="N4830" t="s">
        <v>47424</v>
      </c>
      <c r="O4830" t="s">
        <v>47425</v>
      </c>
      <c r="P4830">
        <v>0</v>
      </c>
      <c r="Q4830">
        <v>0</v>
      </c>
      <c r="R4830" t="s">
        <v>47430</v>
      </c>
      <c r="S4830" t="s">
        <v>47549</v>
      </c>
      <c r="T4830" t="s">
        <v>49358</v>
      </c>
      <c r="U4830" t="s">
        <v>53774</v>
      </c>
      <c r="V4830" t="s">
        <v>63158</v>
      </c>
      <c r="W4830" t="s">
        <v>44985</v>
      </c>
      <c r="X4830" t="s">
        <v>47431</v>
      </c>
    </row>
    <row r="4831" spans="1:24">
      <c r="A4831">
        <f>HYPERLINK("https://www.philgeps.gov.ph/GEPSNONPILOT/Tender/SplashBidNoticeAbstractUI.aspx?menuIndex=3&amp;refID=7160072&amp;Result=3","7160072")</f>
        <v>0</v>
      </c>
      <c r="B4831" t="s">
        <v>609</v>
      </c>
      <c r="C4831" t="s">
        <v>5237</v>
      </c>
      <c r="D4831" t="s">
        <v>19017</v>
      </c>
      <c r="E4831" t="s">
        <v>23383</v>
      </c>
      <c r="F4831" t="s">
        <v>32831</v>
      </c>
      <c r="G4831" t="s">
        <v>32840</v>
      </c>
      <c r="H4831" t="s">
        <v>32848</v>
      </c>
      <c r="I4831" t="s">
        <v>32860</v>
      </c>
      <c r="J4831" t="s">
        <v>33923</v>
      </c>
      <c r="K4831" t="s">
        <v>42732</v>
      </c>
      <c r="M4831" t="s">
        <v>43623</v>
      </c>
      <c r="N4831" t="s">
        <v>47424</v>
      </c>
      <c r="O4831" t="s">
        <v>47425</v>
      </c>
      <c r="P4831">
        <v>0</v>
      </c>
      <c r="Q4831">
        <v>13</v>
      </c>
      <c r="R4831" t="s">
        <v>47430</v>
      </c>
      <c r="S4831" t="s">
        <v>47549</v>
      </c>
      <c r="T4831" t="s">
        <v>49107</v>
      </c>
      <c r="U4831" t="s">
        <v>53775</v>
      </c>
      <c r="W4831" t="s">
        <v>43623</v>
      </c>
      <c r="X4831" t="s">
        <v>47431</v>
      </c>
    </row>
    <row r="4832" spans="1:24">
      <c r="A4832">
        <f>HYPERLINK("https://www.philgeps.gov.ph/GEPSNONPILOT/Tender/SplashBidNoticeAbstractUI.aspx?menuIndex=3&amp;refID=7160156&amp;Result=3","7160156")</f>
        <v>0</v>
      </c>
      <c r="B4832" t="s">
        <v>1869</v>
      </c>
      <c r="C4832" t="s">
        <v>8467</v>
      </c>
      <c r="D4832" t="s">
        <v>19087</v>
      </c>
      <c r="E4832" t="s">
        <v>23384</v>
      </c>
      <c r="F4832" t="s">
        <v>32831</v>
      </c>
      <c r="G4832" t="s">
        <v>32839</v>
      </c>
      <c r="H4832" t="s">
        <v>32849</v>
      </c>
      <c r="I4832" t="s">
        <v>4177</v>
      </c>
      <c r="J4832" t="s">
        <v>36101</v>
      </c>
      <c r="K4832" t="s">
        <v>42757</v>
      </c>
      <c r="M4832" t="s">
        <v>45012</v>
      </c>
      <c r="N4832" t="s">
        <v>47424</v>
      </c>
      <c r="O4832" t="s">
        <v>47425</v>
      </c>
      <c r="P4832">
        <v>0</v>
      </c>
      <c r="Q4832">
        <v>0</v>
      </c>
      <c r="R4832" t="s">
        <v>47430</v>
      </c>
      <c r="S4832" t="s">
        <v>47549</v>
      </c>
      <c r="T4832" t="s">
        <v>49160</v>
      </c>
      <c r="U4832" t="s">
        <v>53776</v>
      </c>
      <c r="W4832" t="s">
        <v>45012</v>
      </c>
      <c r="X4832" t="s">
        <v>47431</v>
      </c>
    </row>
    <row r="4833" spans="1:24">
      <c r="A4833">
        <f>HYPERLINK("https://www.philgeps.gov.ph/GEPSNONPILOT/Tender/SplashBidNoticeAbstractUI.aspx?menuIndex=3&amp;refID=7160154&amp;Result=3","7160154")</f>
        <v>0</v>
      </c>
      <c r="B4833" t="s">
        <v>460</v>
      </c>
      <c r="C4833" t="s">
        <v>4142</v>
      </c>
      <c r="D4833" t="s">
        <v>19086</v>
      </c>
      <c r="E4833" t="s">
        <v>23171</v>
      </c>
      <c r="F4833" t="s">
        <v>32831</v>
      </c>
      <c r="G4833" t="s">
        <v>32840</v>
      </c>
      <c r="H4833" t="s">
        <v>32848</v>
      </c>
      <c r="I4833" t="s">
        <v>32857</v>
      </c>
      <c r="J4833" t="s">
        <v>36102</v>
      </c>
      <c r="K4833" t="s">
        <v>42732</v>
      </c>
      <c r="M4833" t="s">
        <v>43465</v>
      </c>
      <c r="N4833" t="s">
        <v>47424</v>
      </c>
      <c r="O4833" t="s">
        <v>47425</v>
      </c>
      <c r="P4833">
        <v>0</v>
      </c>
      <c r="Q4833">
        <v>4</v>
      </c>
      <c r="R4833" t="s">
        <v>47430</v>
      </c>
      <c r="S4833" t="s">
        <v>47549</v>
      </c>
      <c r="T4833" t="s">
        <v>49163</v>
      </c>
      <c r="U4833" t="s">
        <v>53777</v>
      </c>
      <c r="V4833" t="s">
        <v>62728</v>
      </c>
      <c r="W4833" t="s">
        <v>43465</v>
      </c>
      <c r="X4833" t="s">
        <v>47431</v>
      </c>
    </row>
    <row r="4834" spans="1:24">
      <c r="A4834">
        <f>HYPERLINK("https://www.philgeps.gov.ph/GEPSNONPILOT/Tender/SplashBidNoticeAbstractUI.aspx?menuIndex=3&amp;refID=7160088&amp;Result=3","7160088")</f>
        <v>0</v>
      </c>
      <c r="B4834" t="s">
        <v>1149</v>
      </c>
      <c r="C4834" t="s">
        <v>6593</v>
      </c>
      <c r="D4834" t="s">
        <v>19079</v>
      </c>
      <c r="E4834" t="s">
        <v>23385</v>
      </c>
      <c r="F4834" t="s">
        <v>32831</v>
      </c>
      <c r="G4834" t="s">
        <v>32838</v>
      </c>
      <c r="H4834" t="s">
        <v>32848</v>
      </c>
      <c r="I4834" t="s">
        <v>32862</v>
      </c>
      <c r="J4834" t="s">
        <v>36103</v>
      </c>
      <c r="K4834" t="s">
        <v>42732</v>
      </c>
      <c r="M4834" t="s">
        <v>44213</v>
      </c>
      <c r="N4834" t="s">
        <v>47424</v>
      </c>
      <c r="O4834" t="s">
        <v>47425</v>
      </c>
      <c r="P4834">
        <v>0</v>
      </c>
      <c r="Q4834">
        <v>0</v>
      </c>
      <c r="R4834" t="s">
        <v>47430</v>
      </c>
      <c r="S4834" t="s">
        <v>47549</v>
      </c>
      <c r="T4834" t="s">
        <v>49061</v>
      </c>
      <c r="U4834" t="s">
        <v>53778</v>
      </c>
      <c r="W4834" t="s">
        <v>44213</v>
      </c>
      <c r="X4834" t="s">
        <v>47431</v>
      </c>
    </row>
    <row r="4835" spans="1:24">
      <c r="A4835">
        <f>HYPERLINK("https://www.philgeps.gov.ph/GEPSNONPILOT/Tender/SplashBidNoticeAbstractUI.aspx?menuIndex=3&amp;refID=7160149&amp;Result=3","7160149")</f>
        <v>0</v>
      </c>
      <c r="B4835" t="s">
        <v>1880</v>
      </c>
      <c r="C4835" t="s">
        <v>8468</v>
      </c>
      <c r="D4835" t="s">
        <v>19079</v>
      </c>
      <c r="E4835" t="s">
        <v>19208</v>
      </c>
      <c r="F4835" t="s">
        <v>32831</v>
      </c>
      <c r="G4835" t="s">
        <v>32839</v>
      </c>
      <c r="H4835" t="s">
        <v>32848</v>
      </c>
      <c r="I4835" t="s">
        <v>32857</v>
      </c>
      <c r="J4835" t="s">
        <v>36104</v>
      </c>
      <c r="K4835" t="s">
        <v>42730</v>
      </c>
      <c r="M4835" t="s">
        <v>45024</v>
      </c>
      <c r="N4835" t="s">
        <v>47424</v>
      </c>
      <c r="O4835" t="s">
        <v>47425</v>
      </c>
      <c r="P4835">
        <v>0</v>
      </c>
      <c r="Q4835">
        <v>3</v>
      </c>
      <c r="R4835" t="s">
        <v>47430</v>
      </c>
      <c r="S4835" t="s">
        <v>47549</v>
      </c>
      <c r="T4835" t="s">
        <v>49179</v>
      </c>
      <c r="U4835" t="s">
        <v>53779</v>
      </c>
      <c r="W4835" t="s">
        <v>45024</v>
      </c>
      <c r="X4835" t="s">
        <v>47431</v>
      </c>
    </row>
    <row r="4836" spans="1:24">
      <c r="A4836">
        <f>HYPERLINK("https://www.philgeps.gov.ph/GEPSNONPILOT/Tender/SplashBidNoticeAbstractUI.aspx?menuIndex=3&amp;refID=7160055&amp;Result=3","7160055")</f>
        <v>0</v>
      </c>
      <c r="B4836" t="s">
        <v>1881</v>
      </c>
      <c r="C4836" t="s">
        <v>8469</v>
      </c>
      <c r="D4836" t="s">
        <v>19030</v>
      </c>
      <c r="E4836" t="s">
        <v>23386</v>
      </c>
      <c r="F4836" t="s">
        <v>32831</v>
      </c>
      <c r="G4836" t="s">
        <v>32838</v>
      </c>
      <c r="H4836" t="s">
        <v>32848</v>
      </c>
      <c r="I4836" t="s">
        <v>32863</v>
      </c>
      <c r="J4836" t="s">
        <v>36105</v>
      </c>
      <c r="K4836" t="s">
        <v>42727</v>
      </c>
      <c r="M4836" t="s">
        <v>45025</v>
      </c>
      <c r="N4836" t="s">
        <v>47424</v>
      </c>
      <c r="O4836" t="s">
        <v>47425</v>
      </c>
      <c r="P4836">
        <v>0</v>
      </c>
      <c r="Q4836">
        <v>1</v>
      </c>
      <c r="R4836" t="s">
        <v>47430</v>
      </c>
      <c r="S4836" t="s">
        <v>47549</v>
      </c>
      <c r="T4836" t="s">
        <v>49212</v>
      </c>
      <c r="U4836" t="s">
        <v>53780</v>
      </c>
      <c r="W4836" t="s">
        <v>45025</v>
      </c>
      <c r="X4836" t="s">
        <v>47431</v>
      </c>
    </row>
    <row r="4837" spans="1:24">
      <c r="A4837">
        <f>HYPERLINK("https://www.philgeps.gov.ph/GEPSNONPILOT/Tender/SplashBidNoticeAbstractUI.aspx?menuIndex=3&amp;refID=7160148&amp;Result=3","7160148")</f>
        <v>0</v>
      </c>
      <c r="B4837" t="s">
        <v>69</v>
      </c>
      <c r="C4837" t="s">
        <v>8470</v>
      </c>
      <c r="D4837" t="s">
        <v>19021</v>
      </c>
      <c r="E4837" t="s">
        <v>23387</v>
      </c>
      <c r="F4837" t="s">
        <v>32831</v>
      </c>
      <c r="G4837" t="s">
        <v>32838</v>
      </c>
      <c r="H4837" t="s">
        <v>32848</v>
      </c>
      <c r="I4837" t="s">
        <v>4222</v>
      </c>
      <c r="J4837" t="s">
        <v>33041</v>
      </c>
      <c r="K4837" t="s">
        <v>42731</v>
      </c>
      <c r="L4837" t="s">
        <v>69</v>
      </c>
      <c r="M4837" t="s">
        <v>43066</v>
      </c>
      <c r="N4837" t="s">
        <v>47424</v>
      </c>
      <c r="O4837" t="s">
        <v>47425</v>
      </c>
      <c r="P4837">
        <v>0</v>
      </c>
      <c r="Q4837">
        <v>0</v>
      </c>
      <c r="R4837" t="s">
        <v>47430</v>
      </c>
      <c r="S4837" t="s">
        <v>47549</v>
      </c>
      <c r="T4837" t="s">
        <v>49114</v>
      </c>
      <c r="U4837" t="s">
        <v>53781</v>
      </c>
      <c r="W4837" t="s">
        <v>43066</v>
      </c>
      <c r="X4837" t="s">
        <v>47431</v>
      </c>
    </row>
    <row r="4838" spans="1:24">
      <c r="A4838">
        <f>HYPERLINK("https://www.philgeps.gov.ph/GEPSNONPILOT/Tender/SplashBidNoticeAbstractUI.aspx?menuIndex=3&amp;refID=7160155&amp;Result=3","7160155")</f>
        <v>0</v>
      </c>
      <c r="B4838" t="s">
        <v>733</v>
      </c>
      <c r="C4838" t="s">
        <v>8471</v>
      </c>
      <c r="D4838" t="s">
        <v>19034</v>
      </c>
      <c r="E4838" t="s">
        <v>21669</v>
      </c>
      <c r="F4838" t="s">
        <v>32831</v>
      </c>
      <c r="G4838" t="s">
        <v>32839</v>
      </c>
      <c r="H4838" t="s">
        <v>32848</v>
      </c>
      <c r="I4838" t="s">
        <v>7416</v>
      </c>
      <c r="J4838" t="s">
        <v>36106</v>
      </c>
      <c r="K4838" t="s">
        <v>42731</v>
      </c>
      <c r="M4838" t="s">
        <v>43755</v>
      </c>
      <c r="N4838" t="s">
        <v>47424</v>
      </c>
      <c r="O4838" t="s">
        <v>47425</v>
      </c>
      <c r="P4838">
        <v>0</v>
      </c>
      <c r="Q4838">
        <v>1</v>
      </c>
      <c r="R4838" t="s">
        <v>47430</v>
      </c>
      <c r="S4838" t="s">
        <v>47549</v>
      </c>
      <c r="T4838" t="s">
        <v>49129</v>
      </c>
      <c r="U4838" t="s">
        <v>53782</v>
      </c>
      <c r="W4838" t="s">
        <v>43755</v>
      </c>
      <c r="X4838" t="s">
        <v>47431</v>
      </c>
    </row>
    <row r="4839" spans="1:24">
      <c r="A4839">
        <f>HYPERLINK("https://www.philgeps.gov.ph/GEPSNONPILOT/Tender/SplashBidNoticeAbstractUI.aspx?menuIndex=3&amp;refID=7160152&amp;Result=3","7160152")</f>
        <v>0</v>
      </c>
      <c r="B4839" t="s">
        <v>868</v>
      </c>
      <c r="C4839" t="s">
        <v>8472</v>
      </c>
      <c r="D4839" t="s">
        <v>19073</v>
      </c>
      <c r="E4839" t="s">
        <v>23388</v>
      </c>
      <c r="F4839" t="s">
        <v>32831</v>
      </c>
      <c r="G4839" t="s">
        <v>32839</v>
      </c>
      <c r="H4839" t="s">
        <v>32849</v>
      </c>
      <c r="I4839" t="s">
        <v>4177</v>
      </c>
      <c r="J4839" t="s">
        <v>36107</v>
      </c>
      <c r="K4839" t="s">
        <v>42732</v>
      </c>
      <c r="M4839" t="s">
        <v>43902</v>
      </c>
      <c r="N4839" t="s">
        <v>47424</v>
      </c>
      <c r="O4839" t="s">
        <v>47425</v>
      </c>
      <c r="P4839">
        <v>0</v>
      </c>
      <c r="Q4839">
        <v>0</v>
      </c>
      <c r="R4839" t="s">
        <v>47430</v>
      </c>
      <c r="S4839" t="s">
        <v>47549</v>
      </c>
      <c r="T4839" t="s">
        <v>49254</v>
      </c>
      <c r="U4839" t="s">
        <v>53783</v>
      </c>
      <c r="W4839" t="s">
        <v>43902</v>
      </c>
      <c r="X4839" t="s">
        <v>47431</v>
      </c>
    </row>
    <row r="4840" spans="1:24">
      <c r="A4840">
        <f>HYPERLINK("https://www.philgeps.gov.ph/GEPSNONPILOT/Tender/SplashBidNoticeAbstractUI.aspx?menuIndex=3&amp;refID=7160142&amp;Result=3","7160142")</f>
        <v>0</v>
      </c>
      <c r="B4840" t="s">
        <v>1882</v>
      </c>
      <c r="C4840" t="s">
        <v>8473</v>
      </c>
      <c r="D4840" t="s">
        <v>19088</v>
      </c>
      <c r="E4840" t="s">
        <v>21121</v>
      </c>
      <c r="F4840" t="s">
        <v>32831</v>
      </c>
      <c r="G4840" t="s">
        <v>32842</v>
      </c>
      <c r="H4840" t="s">
        <v>32848</v>
      </c>
      <c r="I4840" t="s">
        <v>4776</v>
      </c>
      <c r="J4840" t="s">
        <v>36108</v>
      </c>
      <c r="K4840" t="s">
        <v>42726</v>
      </c>
      <c r="M4840" t="s">
        <v>45026</v>
      </c>
      <c r="N4840" t="s">
        <v>47424</v>
      </c>
      <c r="O4840" t="s">
        <v>47425</v>
      </c>
      <c r="P4840">
        <v>0</v>
      </c>
      <c r="Q4840">
        <v>10</v>
      </c>
      <c r="R4840" t="s">
        <v>47430</v>
      </c>
      <c r="S4840" t="s">
        <v>47549</v>
      </c>
      <c r="T4840" t="s">
        <v>49081</v>
      </c>
      <c r="U4840" t="s">
        <v>53784</v>
      </c>
      <c r="W4840" t="s">
        <v>45026</v>
      </c>
      <c r="X4840" t="s">
        <v>47431</v>
      </c>
    </row>
    <row r="4841" spans="1:24">
      <c r="A4841">
        <f>HYPERLINK("https://www.philgeps.gov.ph/GEPSNONPILOT/Tender/SplashBidNoticeAbstractUI.aspx?menuIndex=3&amp;refID=7160139&amp;Result=3","7160139")</f>
        <v>0</v>
      </c>
      <c r="B4841" t="s">
        <v>1883</v>
      </c>
      <c r="C4841" t="s">
        <v>8474</v>
      </c>
      <c r="D4841" t="s">
        <v>19050</v>
      </c>
      <c r="E4841" t="s">
        <v>23389</v>
      </c>
      <c r="F4841" t="s">
        <v>32831</v>
      </c>
      <c r="G4841" t="s">
        <v>32838</v>
      </c>
      <c r="H4841" t="s">
        <v>32848</v>
      </c>
      <c r="I4841" t="s">
        <v>5667</v>
      </c>
      <c r="J4841" t="s">
        <v>36109</v>
      </c>
      <c r="K4841" t="s">
        <v>42727</v>
      </c>
      <c r="M4841" t="s">
        <v>45027</v>
      </c>
      <c r="N4841" t="s">
        <v>47424</v>
      </c>
      <c r="O4841" t="s">
        <v>47425</v>
      </c>
      <c r="P4841">
        <v>0</v>
      </c>
      <c r="Q4841">
        <v>4</v>
      </c>
      <c r="R4841" t="s">
        <v>47430</v>
      </c>
      <c r="S4841" t="s">
        <v>47549</v>
      </c>
      <c r="T4841" t="s">
        <v>49079</v>
      </c>
      <c r="U4841" t="s">
        <v>53785</v>
      </c>
      <c r="W4841" t="s">
        <v>45027</v>
      </c>
      <c r="X4841" t="s">
        <v>47431</v>
      </c>
    </row>
    <row r="4842" spans="1:24">
      <c r="A4842">
        <f>HYPERLINK("https://www.philgeps.gov.ph/GEPSNONPILOT/Tender/SplashBidNoticeAbstractUI.aspx?menuIndex=3&amp;refID=7160137&amp;Result=3","7160137")</f>
        <v>0</v>
      </c>
      <c r="B4842" t="s">
        <v>1866</v>
      </c>
      <c r="C4842" t="s">
        <v>8475</v>
      </c>
      <c r="D4842" t="s">
        <v>19022</v>
      </c>
      <c r="E4842" t="s">
        <v>8475</v>
      </c>
      <c r="F4842" t="s">
        <v>32831</v>
      </c>
      <c r="G4842" t="s">
        <v>32838</v>
      </c>
      <c r="H4842" t="s">
        <v>32848</v>
      </c>
      <c r="I4842" t="s">
        <v>32860</v>
      </c>
      <c r="J4842" t="s">
        <v>36110</v>
      </c>
      <c r="K4842" t="s">
        <v>42730</v>
      </c>
      <c r="M4842" t="s">
        <v>45009</v>
      </c>
      <c r="N4842" t="s">
        <v>47424</v>
      </c>
      <c r="O4842" t="s">
        <v>47425</v>
      </c>
      <c r="P4842">
        <v>0</v>
      </c>
      <c r="Q4842">
        <v>0</v>
      </c>
      <c r="R4842" t="s">
        <v>47430</v>
      </c>
      <c r="S4842" t="s">
        <v>47549</v>
      </c>
      <c r="T4842" t="s">
        <v>49141</v>
      </c>
      <c r="U4842" t="s">
        <v>53742</v>
      </c>
      <c r="V4842" t="s">
        <v>63065</v>
      </c>
      <c r="W4842" t="s">
        <v>45009</v>
      </c>
      <c r="X4842" t="s">
        <v>47431</v>
      </c>
    </row>
    <row r="4843" spans="1:24">
      <c r="A4843">
        <f>HYPERLINK("https://www.philgeps.gov.ph/GEPSNONPILOT/Tender/SplashBidNoticeAbstractUI.aspx?menuIndex=3&amp;refID=7160194&amp;Result=3","7160194")</f>
        <v>0</v>
      </c>
      <c r="B4843" t="s">
        <v>1385</v>
      </c>
      <c r="C4843" t="s">
        <v>8476</v>
      </c>
      <c r="D4843" t="s">
        <v>19060</v>
      </c>
      <c r="E4843" t="s">
        <v>23390</v>
      </c>
      <c r="F4843" t="s">
        <v>32831</v>
      </c>
      <c r="G4843" t="s">
        <v>32838</v>
      </c>
      <c r="H4843" t="s">
        <v>32848</v>
      </c>
      <c r="I4843" t="s">
        <v>4438</v>
      </c>
      <c r="J4843" t="s">
        <v>36111</v>
      </c>
      <c r="K4843" t="s">
        <v>42730</v>
      </c>
      <c r="M4843" t="s">
        <v>44470</v>
      </c>
      <c r="N4843" t="s">
        <v>47424</v>
      </c>
      <c r="O4843" t="s">
        <v>47425</v>
      </c>
      <c r="P4843">
        <v>0</v>
      </c>
      <c r="Q4843">
        <v>6</v>
      </c>
      <c r="R4843" t="s">
        <v>47430</v>
      </c>
      <c r="S4843" t="s">
        <v>47549</v>
      </c>
      <c r="T4843" t="s">
        <v>49129</v>
      </c>
      <c r="U4843" t="s">
        <v>53786</v>
      </c>
      <c r="V4843" t="s">
        <v>62982</v>
      </c>
      <c r="W4843" t="s">
        <v>44470</v>
      </c>
      <c r="X4843" t="s">
        <v>47431</v>
      </c>
    </row>
    <row r="4844" spans="1:24">
      <c r="A4844">
        <f>HYPERLINK("https://www.philgeps.gov.ph/GEPSNONPILOT/Tender/SplashBidNoticeAbstractUI.aspx?menuIndex=3&amp;refID=7160116&amp;Result=3","7160116")</f>
        <v>0</v>
      </c>
      <c r="B4844" t="s">
        <v>1884</v>
      </c>
      <c r="C4844" t="s">
        <v>8477</v>
      </c>
      <c r="D4844" t="s">
        <v>19068</v>
      </c>
      <c r="E4844" t="s">
        <v>19654</v>
      </c>
      <c r="F4844" t="s">
        <v>32831</v>
      </c>
      <c r="G4844" t="s">
        <v>32838</v>
      </c>
      <c r="H4844" t="s">
        <v>32848</v>
      </c>
      <c r="I4844" t="s">
        <v>32852</v>
      </c>
      <c r="J4844" t="s">
        <v>36112</v>
      </c>
      <c r="K4844" t="s">
        <v>42731</v>
      </c>
      <c r="M4844" t="s">
        <v>45028</v>
      </c>
      <c r="N4844" t="s">
        <v>47424</v>
      </c>
      <c r="O4844" t="s">
        <v>47425</v>
      </c>
      <c r="P4844">
        <v>0</v>
      </c>
      <c r="Q4844">
        <v>4</v>
      </c>
      <c r="R4844" t="s">
        <v>47430</v>
      </c>
      <c r="S4844" t="s">
        <v>47549</v>
      </c>
      <c r="T4844" t="s">
        <v>49119</v>
      </c>
      <c r="U4844" t="s">
        <v>53787</v>
      </c>
      <c r="W4844" t="s">
        <v>45028</v>
      </c>
      <c r="X4844" t="s">
        <v>47431</v>
      </c>
    </row>
    <row r="4845" spans="1:24">
      <c r="A4845">
        <f>HYPERLINK("https://www.philgeps.gov.ph/GEPSNONPILOT/Tender/SplashBidNoticeAbstractUI.aspx?menuIndex=3&amp;refID=7160191&amp;Result=3","7160191")</f>
        <v>0</v>
      </c>
      <c r="B4845" t="s">
        <v>1885</v>
      </c>
      <c r="C4845" t="s">
        <v>8478</v>
      </c>
      <c r="D4845" t="s">
        <v>19095</v>
      </c>
      <c r="E4845" t="s">
        <v>23391</v>
      </c>
      <c r="F4845" t="s">
        <v>32831</v>
      </c>
      <c r="G4845" t="s">
        <v>32838</v>
      </c>
      <c r="H4845" t="s">
        <v>32848</v>
      </c>
      <c r="I4845" t="s">
        <v>32903</v>
      </c>
      <c r="J4845" t="s">
        <v>36113</v>
      </c>
      <c r="K4845" t="s">
        <v>42727</v>
      </c>
      <c r="M4845" t="s">
        <v>45029</v>
      </c>
      <c r="N4845" t="s">
        <v>47424</v>
      </c>
      <c r="O4845" t="s">
        <v>47425</v>
      </c>
      <c r="P4845">
        <v>0</v>
      </c>
      <c r="Q4845">
        <v>1</v>
      </c>
      <c r="R4845" t="s">
        <v>47430</v>
      </c>
      <c r="S4845" t="s">
        <v>47549</v>
      </c>
      <c r="T4845" t="s">
        <v>49100</v>
      </c>
      <c r="U4845" t="s">
        <v>53788</v>
      </c>
      <c r="V4845" t="s">
        <v>63169</v>
      </c>
      <c r="W4845" t="s">
        <v>45029</v>
      </c>
      <c r="X4845" t="s">
        <v>47431</v>
      </c>
    </row>
    <row r="4846" spans="1:24">
      <c r="A4846">
        <f>HYPERLINK("https://www.philgeps.gov.ph/GEPSNONPILOT/Tender/SplashBidNoticeAbstractUI.aspx?menuIndex=3&amp;refID=7160099&amp;Result=3","7160099")</f>
        <v>0</v>
      </c>
      <c r="B4846" t="s">
        <v>1781</v>
      </c>
      <c r="C4846" t="s">
        <v>8479</v>
      </c>
      <c r="D4846" t="s">
        <v>19026</v>
      </c>
      <c r="E4846" t="s">
        <v>23392</v>
      </c>
      <c r="F4846" t="s">
        <v>32831</v>
      </c>
      <c r="G4846" t="s">
        <v>32838</v>
      </c>
      <c r="H4846" t="s">
        <v>32848</v>
      </c>
      <c r="I4846" t="s">
        <v>32884</v>
      </c>
      <c r="J4846" t="s">
        <v>36114</v>
      </c>
      <c r="K4846" t="s">
        <v>42732</v>
      </c>
      <c r="M4846" t="s">
        <v>44907</v>
      </c>
      <c r="N4846" t="s">
        <v>47424</v>
      </c>
      <c r="O4846" t="s">
        <v>47425</v>
      </c>
      <c r="P4846">
        <v>0</v>
      </c>
      <c r="Q4846">
        <v>4</v>
      </c>
      <c r="R4846" t="s">
        <v>47430</v>
      </c>
      <c r="S4846" t="s">
        <v>47549</v>
      </c>
      <c r="T4846" t="s">
        <v>49389</v>
      </c>
      <c r="U4846" t="s">
        <v>53789</v>
      </c>
      <c r="W4846" t="s">
        <v>44907</v>
      </c>
      <c r="X4846" t="s">
        <v>47431</v>
      </c>
    </row>
    <row r="4847" spans="1:24">
      <c r="A4847">
        <f>HYPERLINK("https://www.philgeps.gov.ph/GEPSNONPILOT/Tender/SplashBidNoticeAbstractUI.aspx?menuIndex=3&amp;refID=7160188&amp;Result=3","7160188")</f>
        <v>0</v>
      </c>
      <c r="B4847" t="s">
        <v>454</v>
      </c>
      <c r="C4847" t="s">
        <v>8480</v>
      </c>
      <c r="D4847" t="s">
        <v>19017</v>
      </c>
      <c r="E4847" t="s">
        <v>23393</v>
      </c>
      <c r="F4847" t="s">
        <v>32831</v>
      </c>
      <c r="G4847" t="s">
        <v>32840</v>
      </c>
      <c r="H4847" t="s">
        <v>32848</v>
      </c>
      <c r="I4847" t="s">
        <v>32861</v>
      </c>
      <c r="J4847" t="s">
        <v>36115</v>
      </c>
      <c r="K4847" t="s">
        <v>42726</v>
      </c>
      <c r="M4847" t="s">
        <v>43459</v>
      </c>
      <c r="N4847" t="s">
        <v>47424</v>
      </c>
      <c r="O4847" t="s">
        <v>47425</v>
      </c>
      <c r="P4847">
        <v>0</v>
      </c>
      <c r="Q4847">
        <v>6</v>
      </c>
      <c r="R4847" t="s">
        <v>47430</v>
      </c>
      <c r="S4847" t="s">
        <v>47549</v>
      </c>
      <c r="T4847" t="s">
        <v>49244</v>
      </c>
      <c r="U4847" t="s">
        <v>53790</v>
      </c>
      <c r="V4847" t="s">
        <v>63170</v>
      </c>
      <c r="W4847" t="s">
        <v>43459</v>
      </c>
      <c r="X4847" t="s">
        <v>47431</v>
      </c>
    </row>
    <row r="4848" spans="1:24">
      <c r="A4848">
        <f>HYPERLINK("https://www.philgeps.gov.ph/GEPSNONPILOT/Tender/SplashBidNoticeAbstractUI.aspx?menuIndex=3&amp;refID=7160157&amp;Result=3","7160157")</f>
        <v>0</v>
      </c>
      <c r="B4848" t="s">
        <v>582</v>
      </c>
      <c r="C4848" t="s">
        <v>8481</v>
      </c>
      <c r="D4848" t="s">
        <v>19027</v>
      </c>
      <c r="E4848" t="s">
        <v>23394</v>
      </c>
      <c r="F4848" t="s">
        <v>32831</v>
      </c>
      <c r="G4848" t="s">
        <v>32839</v>
      </c>
      <c r="H4848" t="s">
        <v>32848</v>
      </c>
      <c r="I4848" t="s">
        <v>4558</v>
      </c>
      <c r="J4848" t="s">
        <v>36116</v>
      </c>
      <c r="K4848" t="s">
        <v>42732</v>
      </c>
      <c r="M4848" t="s">
        <v>43593</v>
      </c>
      <c r="N4848" t="s">
        <v>47424</v>
      </c>
      <c r="O4848" t="s">
        <v>47425</v>
      </c>
      <c r="P4848">
        <v>0</v>
      </c>
      <c r="Q4848">
        <v>4</v>
      </c>
      <c r="R4848" t="s">
        <v>47430</v>
      </c>
      <c r="S4848" t="s">
        <v>47549</v>
      </c>
      <c r="T4848" t="s">
        <v>49104</v>
      </c>
      <c r="U4848" t="s">
        <v>53791</v>
      </c>
      <c r="V4848" t="s">
        <v>62761</v>
      </c>
      <c r="W4848" t="s">
        <v>43593</v>
      </c>
      <c r="X4848" t="s">
        <v>47431</v>
      </c>
    </row>
    <row r="4849" spans="1:24">
      <c r="A4849">
        <f>HYPERLINK("https://www.philgeps.gov.ph/GEPSNONPILOT/Tender/SplashBidNoticeAbstractUI.aspx?menuIndex=3&amp;refID=7160147&amp;Result=3","7160147")</f>
        <v>0</v>
      </c>
      <c r="B4849" t="s">
        <v>1385</v>
      </c>
      <c r="C4849" t="s">
        <v>8482</v>
      </c>
      <c r="D4849" t="s">
        <v>19060</v>
      </c>
      <c r="E4849" t="s">
        <v>23395</v>
      </c>
      <c r="F4849" t="s">
        <v>32831</v>
      </c>
      <c r="G4849" t="s">
        <v>32840</v>
      </c>
      <c r="H4849" t="s">
        <v>32848</v>
      </c>
      <c r="I4849" t="s">
        <v>11484</v>
      </c>
      <c r="J4849" t="s">
        <v>36117</v>
      </c>
      <c r="K4849" t="s">
        <v>42730</v>
      </c>
      <c r="M4849" t="s">
        <v>44470</v>
      </c>
      <c r="N4849" t="s">
        <v>47424</v>
      </c>
      <c r="O4849" t="s">
        <v>47425</v>
      </c>
      <c r="P4849">
        <v>0</v>
      </c>
      <c r="Q4849">
        <v>3</v>
      </c>
      <c r="R4849" t="s">
        <v>47430</v>
      </c>
      <c r="S4849" t="s">
        <v>47549</v>
      </c>
      <c r="T4849" t="s">
        <v>49129</v>
      </c>
      <c r="U4849" t="s">
        <v>53792</v>
      </c>
      <c r="V4849" t="s">
        <v>62982</v>
      </c>
      <c r="W4849" t="s">
        <v>44470</v>
      </c>
      <c r="X4849" t="s">
        <v>47431</v>
      </c>
    </row>
    <row r="4850" spans="1:24">
      <c r="A4850">
        <f>HYPERLINK("https://www.philgeps.gov.ph/GEPSNONPILOT/Tender/SplashBidNoticeAbstractUI.aspx?menuIndex=3&amp;refID=7160143&amp;Result=3","7160143")</f>
        <v>0</v>
      </c>
      <c r="B4850" t="s">
        <v>1777</v>
      </c>
      <c r="C4850" t="s">
        <v>8483</v>
      </c>
      <c r="D4850" t="s">
        <v>19074</v>
      </c>
      <c r="E4850" t="s">
        <v>23396</v>
      </c>
      <c r="F4850" t="s">
        <v>32831</v>
      </c>
      <c r="G4850" t="s">
        <v>32839</v>
      </c>
      <c r="H4850" t="s">
        <v>32849</v>
      </c>
      <c r="I4850" t="s">
        <v>4177</v>
      </c>
      <c r="J4850" t="s">
        <v>36118</v>
      </c>
      <c r="K4850" t="s">
        <v>42788</v>
      </c>
      <c r="M4850" t="s">
        <v>44902</v>
      </c>
      <c r="N4850" t="s">
        <v>47424</v>
      </c>
      <c r="O4850" t="s">
        <v>47425</v>
      </c>
      <c r="P4850">
        <v>0</v>
      </c>
      <c r="Q4850">
        <v>0</v>
      </c>
      <c r="R4850" t="s">
        <v>47430</v>
      </c>
      <c r="S4850" t="s">
        <v>47549</v>
      </c>
      <c r="T4850" t="s">
        <v>49408</v>
      </c>
      <c r="U4850" t="s">
        <v>53793</v>
      </c>
      <c r="W4850" t="s">
        <v>44902</v>
      </c>
      <c r="X4850" t="s">
        <v>47431</v>
      </c>
    </row>
    <row r="4851" spans="1:24">
      <c r="A4851">
        <f>HYPERLINK("https://www.philgeps.gov.ph/GEPSNONPILOT/Tender/SplashBidNoticeAbstractUI.aspx?menuIndex=3&amp;refID=7160178&amp;Result=3","7160178")</f>
        <v>0</v>
      </c>
      <c r="B4851" t="s">
        <v>827</v>
      </c>
      <c r="C4851" t="s">
        <v>8484</v>
      </c>
      <c r="D4851" t="s">
        <v>19026</v>
      </c>
      <c r="E4851" t="s">
        <v>23397</v>
      </c>
      <c r="F4851" t="s">
        <v>32831</v>
      </c>
      <c r="G4851" t="s">
        <v>32838</v>
      </c>
      <c r="H4851" t="s">
        <v>32848</v>
      </c>
      <c r="I4851" t="s">
        <v>10888</v>
      </c>
      <c r="J4851" t="s">
        <v>33433</v>
      </c>
      <c r="K4851" t="s">
        <v>42732</v>
      </c>
      <c r="M4851" t="s">
        <v>45030</v>
      </c>
      <c r="N4851" t="s">
        <v>47424</v>
      </c>
      <c r="O4851" t="s">
        <v>47425</v>
      </c>
      <c r="P4851">
        <v>0</v>
      </c>
      <c r="Q4851">
        <v>3</v>
      </c>
      <c r="R4851" t="s">
        <v>47430</v>
      </c>
      <c r="S4851" t="s">
        <v>47549</v>
      </c>
      <c r="T4851" t="s">
        <v>49061</v>
      </c>
      <c r="U4851" t="s">
        <v>53794</v>
      </c>
      <c r="W4851" t="s">
        <v>45030</v>
      </c>
      <c r="X4851" t="s">
        <v>47431</v>
      </c>
    </row>
    <row r="4852" spans="1:24">
      <c r="A4852">
        <f>HYPERLINK("https://www.philgeps.gov.ph/GEPSNONPILOT/Tender/SplashBidNoticeAbstractUI.aspx?menuIndex=3&amp;refID=7160190&amp;Result=3","7160190")</f>
        <v>0</v>
      </c>
      <c r="B4852" t="s">
        <v>583</v>
      </c>
      <c r="C4852" t="s">
        <v>8485</v>
      </c>
      <c r="D4852" t="s">
        <v>19069</v>
      </c>
      <c r="E4852" t="s">
        <v>23398</v>
      </c>
      <c r="F4852" t="s">
        <v>32831</v>
      </c>
      <c r="G4852" t="s">
        <v>32839</v>
      </c>
      <c r="H4852" t="s">
        <v>32848</v>
      </c>
      <c r="I4852" t="s">
        <v>32859</v>
      </c>
      <c r="J4852" t="s">
        <v>33486</v>
      </c>
      <c r="K4852" t="s">
        <v>42730</v>
      </c>
      <c r="M4852" t="s">
        <v>43594</v>
      </c>
      <c r="N4852" t="s">
        <v>47424</v>
      </c>
      <c r="O4852" t="s">
        <v>47425</v>
      </c>
      <c r="P4852">
        <v>0</v>
      </c>
      <c r="Q4852">
        <v>0</v>
      </c>
      <c r="R4852" t="s">
        <v>47430</v>
      </c>
      <c r="S4852" t="s">
        <v>47549</v>
      </c>
      <c r="T4852" t="s">
        <v>49253</v>
      </c>
      <c r="U4852" t="s">
        <v>53795</v>
      </c>
      <c r="V4852" t="s">
        <v>63097</v>
      </c>
      <c r="W4852" t="s">
        <v>43594</v>
      </c>
      <c r="X4852" t="s">
        <v>47431</v>
      </c>
    </row>
    <row r="4853" spans="1:24">
      <c r="A4853">
        <f>HYPERLINK("https://www.philgeps.gov.ph/GEPSNONPILOT/Tender/SplashBidNoticeAbstractUI.aspx?menuIndex=3&amp;refID=7160176&amp;Result=3","7160176")</f>
        <v>0</v>
      </c>
      <c r="B4853" t="s">
        <v>1608</v>
      </c>
      <c r="C4853" t="s">
        <v>8486</v>
      </c>
      <c r="D4853" t="s">
        <v>19058</v>
      </c>
      <c r="E4853" t="s">
        <v>23399</v>
      </c>
      <c r="F4853" t="s">
        <v>32831</v>
      </c>
      <c r="G4853" t="s">
        <v>32839</v>
      </c>
      <c r="H4853" t="s">
        <v>32849</v>
      </c>
      <c r="I4853" t="s">
        <v>4177</v>
      </c>
      <c r="J4853" t="s">
        <v>36119</v>
      </c>
      <c r="K4853" t="s">
        <v>42780</v>
      </c>
      <c r="M4853" t="s">
        <v>44724</v>
      </c>
      <c r="N4853" t="s">
        <v>47424</v>
      </c>
      <c r="O4853" t="s">
        <v>47425</v>
      </c>
      <c r="P4853">
        <v>0</v>
      </c>
      <c r="Q4853">
        <v>0</v>
      </c>
      <c r="R4853" t="s">
        <v>47430</v>
      </c>
      <c r="S4853" t="s">
        <v>47549</v>
      </c>
      <c r="T4853" t="s">
        <v>49077</v>
      </c>
      <c r="U4853" t="s">
        <v>53033</v>
      </c>
      <c r="V4853" t="s">
        <v>63171</v>
      </c>
      <c r="W4853" t="s">
        <v>44724</v>
      </c>
      <c r="X4853" t="s">
        <v>47431</v>
      </c>
    </row>
    <row r="4854" spans="1:24">
      <c r="A4854">
        <f>HYPERLINK("https://www.philgeps.gov.ph/GEPSNONPILOT/Tender/SplashBidNoticeAbstractUI.aspx?menuIndex=3&amp;refID=7160180&amp;Result=3","7160180")</f>
        <v>0</v>
      </c>
      <c r="B4854" t="s">
        <v>70</v>
      </c>
      <c r="C4854" t="s">
        <v>8487</v>
      </c>
      <c r="D4854" t="s">
        <v>19037</v>
      </c>
      <c r="E4854" t="s">
        <v>23400</v>
      </c>
      <c r="F4854" t="s">
        <v>32831</v>
      </c>
      <c r="G4854" t="s">
        <v>32839</v>
      </c>
      <c r="H4854" t="s">
        <v>32848</v>
      </c>
      <c r="I4854" t="s">
        <v>32859</v>
      </c>
      <c r="J4854" t="s">
        <v>36120</v>
      </c>
      <c r="K4854" t="s">
        <v>42731</v>
      </c>
      <c r="M4854" t="s">
        <v>43067</v>
      </c>
      <c r="N4854" t="s">
        <v>47424</v>
      </c>
      <c r="O4854" t="s">
        <v>47425</v>
      </c>
      <c r="P4854">
        <v>0</v>
      </c>
      <c r="Q4854">
        <v>2</v>
      </c>
      <c r="R4854" t="s">
        <v>47430</v>
      </c>
      <c r="S4854" t="s">
        <v>47549</v>
      </c>
      <c r="T4854" t="s">
        <v>49068</v>
      </c>
      <c r="U4854" t="s">
        <v>53796</v>
      </c>
      <c r="W4854" t="s">
        <v>43067</v>
      </c>
      <c r="X4854" t="s">
        <v>47431</v>
      </c>
    </row>
    <row r="4855" spans="1:24">
      <c r="A4855">
        <f>HYPERLINK("https://www.philgeps.gov.ph/GEPSNONPILOT/Tender/SplashBidNoticeAbstractUI.aspx?menuIndex=3&amp;refID=7160179&amp;Result=3","7160179")</f>
        <v>0</v>
      </c>
      <c r="B4855" t="s">
        <v>1151</v>
      </c>
      <c r="C4855" t="s">
        <v>8488</v>
      </c>
      <c r="D4855" t="s">
        <v>19091</v>
      </c>
      <c r="E4855" t="s">
        <v>23401</v>
      </c>
      <c r="F4855" t="s">
        <v>32831</v>
      </c>
      <c r="G4855" t="s">
        <v>32839</v>
      </c>
      <c r="H4855" t="s">
        <v>32849</v>
      </c>
      <c r="I4855" t="s">
        <v>4177</v>
      </c>
      <c r="J4855" t="s">
        <v>33044</v>
      </c>
      <c r="K4855" t="s">
        <v>42791</v>
      </c>
      <c r="M4855" t="s">
        <v>44215</v>
      </c>
      <c r="N4855" t="s">
        <v>47424</v>
      </c>
      <c r="O4855" t="s">
        <v>47425</v>
      </c>
      <c r="P4855">
        <v>0</v>
      </c>
      <c r="Q4855">
        <v>0</v>
      </c>
      <c r="R4855" t="s">
        <v>47430</v>
      </c>
      <c r="S4855" t="s">
        <v>47549</v>
      </c>
      <c r="T4855" t="s">
        <v>49387</v>
      </c>
      <c r="U4855" t="s">
        <v>53797</v>
      </c>
      <c r="W4855" t="s">
        <v>44215</v>
      </c>
      <c r="X4855" t="s">
        <v>47431</v>
      </c>
    </row>
    <row r="4856" spans="1:24">
      <c r="A4856">
        <f>HYPERLINK("https://www.philgeps.gov.ph/GEPSNONPILOT/Tender/SplashBidNoticeAbstractUI.aspx?menuIndex=3&amp;refID=7160170&amp;Result=3","7160170")</f>
        <v>0</v>
      </c>
      <c r="B4856" t="s">
        <v>1149</v>
      </c>
      <c r="C4856" t="s">
        <v>8489</v>
      </c>
      <c r="D4856" t="s">
        <v>19079</v>
      </c>
      <c r="E4856" t="s">
        <v>23402</v>
      </c>
      <c r="F4856" t="s">
        <v>32831</v>
      </c>
      <c r="G4856" t="s">
        <v>32842</v>
      </c>
      <c r="H4856" t="s">
        <v>32848</v>
      </c>
      <c r="I4856" t="s">
        <v>32860</v>
      </c>
      <c r="J4856" t="s">
        <v>36121</v>
      </c>
      <c r="K4856" t="s">
        <v>42732</v>
      </c>
      <c r="M4856" t="s">
        <v>44213</v>
      </c>
      <c r="N4856" t="s">
        <v>47424</v>
      </c>
      <c r="O4856" t="s">
        <v>47425</v>
      </c>
      <c r="P4856">
        <v>0</v>
      </c>
      <c r="Q4856">
        <v>5</v>
      </c>
      <c r="R4856" t="s">
        <v>47430</v>
      </c>
      <c r="S4856" t="s">
        <v>47549</v>
      </c>
      <c r="T4856" t="s">
        <v>49061</v>
      </c>
      <c r="U4856" t="s">
        <v>53798</v>
      </c>
      <c r="W4856" t="s">
        <v>44213</v>
      </c>
      <c r="X4856" t="s">
        <v>47431</v>
      </c>
    </row>
    <row r="4857" spans="1:24">
      <c r="A4857">
        <f>HYPERLINK("https://www.philgeps.gov.ph/GEPSNONPILOT/Tender/SplashBidNoticeAbstractUI.aspx?menuIndex=3&amp;refID=7160166&amp;Result=3","7160166")</f>
        <v>0</v>
      </c>
      <c r="B4857" t="s">
        <v>1875</v>
      </c>
      <c r="C4857" t="s">
        <v>8490</v>
      </c>
      <c r="D4857" t="s">
        <v>19095</v>
      </c>
      <c r="E4857" t="s">
        <v>23403</v>
      </c>
      <c r="F4857" t="s">
        <v>32831</v>
      </c>
      <c r="G4857" t="s">
        <v>32839</v>
      </c>
      <c r="H4857" t="s">
        <v>32849</v>
      </c>
      <c r="I4857" t="s">
        <v>4177</v>
      </c>
      <c r="J4857" t="s">
        <v>36122</v>
      </c>
      <c r="K4857" t="s">
        <v>42750</v>
      </c>
      <c r="M4857" t="s">
        <v>45019</v>
      </c>
      <c r="N4857" t="s">
        <v>47424</v>
      </c>
      <c r="O4857" t="s">
        <v>47425</v>
      </c>
      <c r="P4857">
        <v>0</v>
      </c>
      <c r="Q4857">
        <v>0</v>
      </c>
      <c r="R4857" t="s">
        <v>47430</v>
      </c>
      <c r="S4857" t="s">
        <v>47549</v>
      </c>
      <c r="T4857" t="s">
        <v>49242</v>
      </c>
      <c r="U4857" t="s">
        <v>53799</v>
      </c>
      <c r="W4857" t="s">
        <v>45019</v>
      </c>
      <c r="X4857" t="s">
        <v>47431</v>
      </c>
    </row>
    <row r="4858" spans="1:24">
      <c r="A4858">
        <f>HYPERLINK("https://www.philgeps.gov.ph/GEPSNONPILOT/Tender/SplashBidNoticeAbstractUI.aspx?menuIndex=3&amp;refID=7160186&amp;Result=3","7160186")</f>
        <v>0</v>
      </c>
      <c r="B4858" t="s">
        <v>1375</v>
      </c>
      <c r="C4858" t="s">
        <v>8491</v>
      </c>
      <c r="D4858" t="s">
        <v>19049</v>
      </c>
      <c r="E4858" t="s">
        <v>23404</v>
      </c>
      <c r="F4858" t="s">
        <v>32831</v>
      </c>
      <c r="G4858" t="s">
        <v>32839</v>
      </c>
      <c r="H4858" t="s">
        <v>32848</v>
      </c>
      <c r="I4858" t="s">
        <v>7751</v>
      </c>
      <c r="J4858" t="s">
        <v>36123</v>
      </c>
      <c r="K4858" t="s">
        <v>42730</v>
      </c>
      <c r="M4858" t="s">
        <v>44456</v>
      </c>
      <c r="N4858" t="s">
        <v>47424</v>
      </c>
      <c r="O4858" t="s">
        <v>47425</v>
      </c>
      <c r="P4858">
        <v>0</v>
      </c>
      <c r="Q4858">
        <v>0</v>
      </c>
      <c r="R4858" t="s">
        <v>47430</v>
      </c>
      <c r="S4858" t="s">
        <v>47549</v>
      </c>
      <c r="T4858" t="s">
        <v>49123</v>
      </c>
      <c r="U4858" t="s">
        <v>53703</v>
      </c>
      <c r="W4858" t="s">
        <v>64466</v>
      </c>
      <c r="X4858" t="s">
        <v>47431</v>
      </c>
    </row>
    <row r="4859" spans="1:24">
      <c r="A4859">
        <f>HYPERLINK("https://www.philgeps.gov.ph/GEPSNONPILOT/Tender/SplashBidNoticeAbstractUI.aspx?menuIndex=3&amp;refID=7160174&amp;Result=3","7160174")</f>
        <v>0</v>
      </c>
      <c r="B4859" t="s">
        <v>1876</v>
      </c>
      <c r="C4859" t="s">
        <v>8492</v>
      </c>
      <c r="E4859" t="s">
        <v>23405</v>
      </c>
      <c r="F4859" t="s">
        <v>32831</v>
      </c>
      <c r="G4859" t="s">
        <v>32839</v>
      </c>
      <c r="H4859" t="s">
        <v>32849</v>
      </c>
      <c r="I4859" t="s">
        <v>4177</v>
      </c>
      <c r="J4859" t="s">
        <v>36124</v>
      </c>
      <c r="K4859" t="s">
        <v>42770</v>
      </c>
      <c r="M4859" t="s">
        <v>45020</v>
      </c>
      <c r="N4859" t="s">
        <v>47424</v>
      </c>
      <c r="O4859" t="s">
        <v>47425</v>
      </c>
      <c r="P4859">
        <v>0</v>
      </c>
      <c r="Q4859">
        <v>0</v>
      </c>
      <c r="R4859" t="s">
        <v>47430</v>
      </c>
      <c r="S4859" t="s">
        <v>47549</v>
      </c>
      <c r="T4859" t="s">
        <v>49077</v>
      </c>
      <c r="U4859" t="s">
        <v>53800</v>
      </c>
      <c r="W4859" t="s">
        <v>45020</v>
      </c>
      <c r="X4859" t="s">
        <v>47431</v>
      </c>
    </row>
    <row r="4860" spans="1:24">
      <c r="A4860">
        <f>HYPERLINK("https://www.philgeps.gov.ph/GEPSNONPILOT/Tender/SplashBidNoticeAbstractUI.aspx?menuIndex=3&amp;refID=7160165&amp;Result=3","7160165")</f>
        <v>0</v>
      </c>
      <c r="B4860" t="s">
        <v>1886</v>
      </c>
      <c r="C4860" t="s">
        <v>8493</v>
      </c>
      <c r="D4860" t="s">
        <v>19062</v>
      </c>
      <c r="E4860" t="s">
        <v>23406</v>
      </c>
      <c r="F4860" t="s">
        <v>32831</v>
      </c>
      <c r="G4860" t="s">
        <v>32839</v>
      </c>
      <c r="H4860" t="s">
        <v>32848</v>
      </c>
      <c r="I4860" t="s">
        <v>4776</v>
      </c>
      <c r="J4860" t="s">
        <v>32978</v>
      </c>
      <c r="K4860" t="s">
        <v>42727</v>
      </c>
      <c r="M4860" t="s">
        <v>45031</v>
      </c>
      <c r="N4860" t="s">
        <v>47424</v>
      </c>
      <c r="O4860" t="s">
        <v>47425</v>
      </c>
      <c r="P4860">
        <v>0</v>
      </c>
      <c r="Q4860">
        <v>2</v>
      </c>
      <c r="R4860" t="s">
        <v>47430</v>
      </c>
      <c r="S4860" t="s">
        <v>47549</v>
      </c>
      <c r="T4860" t="s">
        <v>49106</v>
      </c>
      <c r="U4860" t="s">
        <v>53801</v>
      </c>
      <c r="V4860" t="s">
        <v>63172</v>
      </c>
      <c r="W4860" t="s">
        <v>45031</v>
      </c>
      <c r="X4860" t="s">
        <v>47431</v>
      </c>
    </row>
    <row r="4861" spans="1:24">
      <c r="A4861">
        <f>HYPERLINK("https://www.philgeps.gov.ph/GEPSNONPILOT/Tender/SplashBidNoticeAbstractUI.aspx?menuIndex=3&amp;refID=7160112&amp;Result=3","7160112")</f>
        <v>0</v>
      </c>
      <c r="B4861" t="s">
        <v>1887</v>
      </c>
      <c r="C4861" t="s">
        <v>8494</v>
      </c>
      <c r="D4861" t="s">
        <v>19073</v>
      </c>
      <c r="E4861" t="s">
        <v>23407</v>
      </c>
      <c r="F4861" t="s">
        <v>32831</v>
      </c>
      <c r="G4861" t="s">
        <v>32840</v>
      </c>
      <c r="H4861" t="s">
        <v>32848</v>
      </c>
      <c r="I4861" t="s">
        <v>4471</v>
      </c>
      <c r="J4861" t="s">
        <v>33041</v>
      </c>
      <c r="K4861" t="s">
        <v>42726</v>
      </c>
      <c r="M4861" t="s">
        <v>45032</v>
      </c>
      <c r="N4861" t="s">
        <v>47424</v>
      </c>
      <c r="O4861" t="s">
        <v>47425</v>
      </c>
      <c r="P4861">
        <v>0</v>
      </c>
      <c r="Q4861">
        <v>3</v>
      </c>
      <c r="R4861" t="s">
        <v>47430</v>
      </c>
      <c r="S4861" t="s">
        <v>47549</v>
      </c>
      <c r="T4861" t="s">
        <v>49244</v>
      </c>
      <c r="U4861" t="s">
        <v>53802</v>
      </c>
      <c r="W4861" t="s">
        <v>45032</v>
      </c>
      <c r="X4861" t="s">
        <v>47431</v>
      </c>
    </row>
    <row r="4862" spans="1:24">
      <c r="A4862">
        <f>HYPERLINK("https://www.philgeps.gov.ph/GEPSNONPILOT/Tender/SplashBidNoticeAbstractUI.aspx?menuIndex=3&amp;refID=7160162&amp;Result=3","7160162")</f>
        <v>0</v>
      </c>
      <c r="B4862" t="s">
        <v>49</v>
      </c>
      <c r="C4862" t="s">
        <v>8495</v>
      </c>
      <c r="D4862" t="s">
        <v>19037</v>
      </c>
      <c r="E4862" t="s">
        <v>8495</v>
      </c>
      <c r="F4862" t="s">
        <v>32831</v>
      </c>
      <c r="G4862" t="s">
        <v>32839</v>
      </c>
      <c r="H4862" t="s">
        <v>32848</v>
      </c>
      <c r="I4862" t="s">
        <v>32854</v>
      </c>
      <c r="J4862" t="s">
        <v>33430</v>
      </c>
      <c r="K4862" t="s">
        <v>42750</v>
      </c>
      <c r="M4862" t="s">
        <v>45033</v>
      </c>
      <c r="N4862" t="s">
        <v>47424</v>
      </c>
      <c r="O4862" t="s">
        <v>47425</v>
      </c>
      <c r="P4862">
        <v>0</v>
      </c>
      <c r="Q4862">
        <v>0</v>
      </c>
      <c r="R4862" t="s">
        <v>47430</v>
      </c>
      <c r="S4862" t="s">
        <v>47549</v>
      </c>
      <c r="T4862" t="s">
        <v>49179</v>
      </c>
      <c r="U4862" t="s">
        <v>53803</v>
      </c>
      <c r="W4862" t="s">
        <v>45033</v>
      </c>
      <c r="X4862" t="s">
        <v>47431</v>
      </c>
    </row>
    <row r="4863" spans="1:24">
      <c r="A4863">
        <f>HYPERLINK("https://www.philgeps.gov.ph/GEPSNONPILOT/Tender/SplashBidNoticeAbstractUI.aspx?menuIndex=3&amp;refID=7160168&amp;Result=3","7160168")</f>
        <v>0</v>
      </c>
      <c r="B4863" t="s">
        <v>1888</v>
      </c>
      <c r="C4863" t="s">
        <v>8496</v>
      </c>
      <c r="D4863" t="s">
        <v>19081</v>
      </c>
      <c r="E4863" t="s">
        <v>8496</v>
      </c>
      <c r="F4863" t="s">
        <v>32831</v>
      </c>
      <c r="G4863" t="s">
        <v>32842</v>
      </c>
      <c r="H4863" t="s">
        <v>32848</v>
      </c>
      <c r="I4863" t="s">
        <v>9577</v>
      </c>
      <c r="J4863" t="s">
        <v>33424</v>
      </c>
      <c r="K4863" t="s">
        <v>42732</v>
      </c>
      <c r="M4863" t="s">
        <v>45034</v>
      </c>
      <c r="N4863" t="s">
        <v>47424</v>
      </c>
      <c r="O4863" t="s">
        <v>47425</v>
      </c>
      <c r="P4863">
        <v>0</v>
      </c>
      <c r="Q4863">
        <v>1</v>
      </c>
      <c r="R4863" t="s">
        <v>47430</v>
      </c>
      <c r="S4863" t="s">
        <v>47549</v>
      </c>
      <c r="T4863" t="s">
        <v>49163</v>
      </c>
      <c r="U4863" t="s">
        <v>53804</v>
      </c>
      <c r="W4863" t="s">
        <v>45034</v>
      </c>
      <c r="X4863" t="s">
        <v>47431</v>
      </c>
    </row>
    <row r="4864" spans="1:24">
      <c r="A4864">
        <f>HYPERLINK("https://www.philgeps.gov.ph/GEPSNONPILOT/Tender/SplashBidNoticeAbstractUI.aspx?menuIndex=3&amp;refID=7160175&amp;Result=3","7160175")</f>
        <v>0</v>
      </c>
      <c r="B4864" t="s">
        <v>1889</v>
      </c>
      <c r="C4864" t="s">
        <v>8497</v>
      </c>
      <c r="D4864" t="s">
        <v>19027</v>
      </c>
      <c r="E4864" t="s">
        <v>23408</v>
      </c>
      <c r="F4864" t="s">
        <v>32831</v>
      </c>
      <c r="G4864" t="s">
        <v>32838</v>
      </c>
      <c r="H4864" t="s">
        <v>32848</v>
      </c>
      <c r="I4864" t="s">
        <v>4558</v>
      </c>
      <c r="J4864" t="s">
        <v>34735</v>
      </c>
      <c r="K4864" t="s">
        <v>42732</v>
      </c>
      <c r="M4864" t="s">
        <v>45035</v>
      </c>
      <c r="N4864" t="s">
        <v>47424</v>
      </c>
      <c r="O4864" t="s">
        <v>47425</v>
      </c>
      <c r="P4864">
        <v>0</v>
      </c>
      <c r="Q4864">
        <v>0</v>
      </c>
      <c r="R4864" t="s">
        <v>47430</v>
      </c>
      <c r="S4864" t="s">
        <v>47549</v>
      </c>
      <c r="T4864" t="s">
        <v>49114</v>
      </c>
      <c r="U4864" t="s">
        <v>53805</v>
      </c>
      <c r="W4864" t="s">
        <v>45035</v>
      </c>
      <c r="X4864" t="s">
        <v>47431</v>
      </c>
    </row>
    <row r="4865" spans="1:24">
      <c r="A4865">
        <f>HYPERLINK("https://www.philgeps.gov.ph/GEPSNONPILOT/Tender/SplashBidNoticeAbstractUI.aspx?menuIndex=3&amp;refID=7160223&amp;Result=3","7160223")</f>
        <v>0</v>
      </c>
      <c r="B4865" t="s">
        <v>1385</v>
      </c>
      <c r="C4865" t="s">
        <v>8498</v>
      </c>
      <c r="D4865" t="s">
        <v>19060</v>
      </c>
      <c r="E4865" t="s">
        <v>23409</v>
      </c>
      <c r="F4865" t="s">
        <v>32831</v>
      </c>
      <c r="G4865" t="s">
        <v>32840</v>
      </c>
      <c r="H4865" t="s">
        <v>32848</v>
      </c>
      <c r="I4865" t="s">
        <v>4303</v>
      </c>
      <c r="J4865" t="s">
        <v>36125</v>
      </c>
      <c r="K4865" t="s">
        <v>42730</v>
      </c>
      <c r="M4865" t="s">
        <v>44470</v>
      </c>
      <c r="N4865" t="s">
        <v>47424</v>
      </c>
      <c r="O4865" t="s">
        <v>47425</v>
      </c>
      <c r="P4865">
        <v>0</v>
      </c>
      <c r="Q4865">
        <v>1</v>
      </c>
      <c r="R4865" t="s">
        <v>47430</v>
      </c>
      <c r="S4865" t="s">
        <v>47549</v>
      </c>
      <c r="T4865" t="s">
        <v>49129</v>
      </c>
      <c r="U4865" t="s">
        <v>53806</v>
      </c>
      <c r="V4865" t="s">
        <v>62982</v>
      </c>
      <c r="W4865" t="s">
        <v>44470</v>
      </c>
      <c r="X4865" t="s">
        <v>47431</v>
      </c>
    </row>
    <row r="4866" spans="1:24">
      <c r="A4866">
        <f>HYPERLINK("https://www.philgeps.gov.ph/GEPSNONPILOT/Tender/SplashBidNoticeAbstractUI.aspx?menuIndex=3&amp;refID=7160220&amp;Result=3","7160220")</f>
        <v>0</v>
      </c>
      <c r="B4866" t="s">
        <v>1890</v>
      </c>
      <c r="C4866" t="s">
        <v>4090</v>
      </c>
      <c r="D4866" t="s">
        <v>19086</v>
      </c>
      <c r="E4866" t="s">
        <v>19471</v>
      </c>
      <c r="F4866" t="s">
        <v>32831</v>
      </c>
      <c r="G4866" t="s">
        <v>32839</v>
      </c>
      <c r="H4866" t="s">
        <v>32848</v>
      </c>
      <c r="I4866" t="s">
        <v>4487</v>
      </c>
      <c r="J4866" t="s">
        <v>33644</v>
      </c>
      <c r="K4866" t="s">
        <v>42748</v>
      </c>
      <c r="M4866" t="s">
        <v>45036</v>
      </c>
      <c r="N4866" t="s">
        <v>47424</v>
      </c>
      <c r="O4866" t="s">
        <v>47425</v>
      </c>
      <c r="P4866">
        <v>0</v>
      </c>
      <c r="Q4866">
        <v>3</v>
      </c>
      <c r="R4866" t="s">
        <v>47430</v>
      </c>
      <c r="S4866" t="s">
        <v>47549</v>
      </c>
      <c r="T4866" t="s">
        <v>49104</v>
      </c>
      <c r="U4866" t="s">
        <v>53807</v>
      </c>
      <c r="W4866" t="s">
        <v>45036</v>
      </c>
      <c r="X4866" t="s">
        <v>47431</v>
      </c>
    </row>
    <row r="4867" spans="1:24">
      <c r="A4867">
        <f>HYPERLINK("https://www.philgeps.gov.ph/GEPSNONPILOT/Tender/SplashBidNoticeAbstractUI.aspx?menuIndex=3&amp;refID=7160172&amp;Result=3","7160172")</f>
        <v>0</v>
      </c>
      <c r="B4867" t="s">
        <v>1870</v>
      </c>
      <c r="C4867" t="s">
        <v>8499</v>
      </c>
      <c r="D4867" t="s">
        <v>19073</v>
      </c>
      <c r="E4867" t="s">
        <v>23410</v>
      </c>
      <c r="F4867" t="s">
        <v>32831</v>
      </c>
      <c r="G4867" t="s">
        <v>32840</v>
      </c>
      <c r="H4867" t="s">
        <v>32848</v>
      </c>
      <c r="I4867" t="s">
        <v>4487</v>
      </c>
      <c r="J4867" t="s">
        <v>33133</v>
      </c>
      <c r="K4867" t="s">
        <v>42730</v>
      </c>
      <c r="M4867" t="s">
        <v>45014</v>
      </c>
      <c r="N4867" t="s">
        <v>47424</v>
      </c>
      <c r="O4867" t="s">
        <v>47425</v>
      </c>
      <c r="P4867">
        <v>0</v>
      </c>
      <c r="Q4867">
        <v>2</v>
      </c>
      <c r="R4867" t="s">
        <v>47430</v>
      </c>
      <c r="S4867" t="s">
        <v>47549</v>
      </c>
      <c r="T4867" t="s">
        <v>49409</v>
      </c>
      <c r="U4867" t="s">
        <v>53808</v>
      </c>
      <c r="W4867" t="s">
        <v>45014</v>
      </c>
      <c r="X4867" t="s">
        <v>47431</v>
      </c>
    </row>
    <row r="4868" spans="1:24">
      <c r="A4868">
        <f>HYPERLINK("https://www.philgeps.gov.ph/GEPSNONPILOT/Tender/SplashBidNoticeAbstractUI.aspx?menuIndex=3&amp;refID=7160219&amp;Result=3","7160219")</f>
        <v>0</v>
      </c>
      <c r="B4868" t="s">
        <v>1891</v>
      </c>
      <c r="C4868" t="s">
        <v>8500</v>
      </c>
      <c r="D4868" t="s">
        <v>19017</v>
      </c>
      <c r="E4868" t="s">
        <v>23411</v>
      </c>
      <c r="F4868" t="s">
        <v>32831</v>
      </c>
      <c r="G4868" t="s">
        <v>32842</v>
      </c>
      <c r="H4868" t="s">
        <v>32848</v>
      </c>
      <c r="I4868" t="s">
        <v>32862</v>
      </c>
      <c r="J4868" t="s">
        <v>36126</v>
      </c>
      <c r="K4868" t="s">
        <v>42727</v>
      </c>
      <c r="M4868" t="s">
        <v>45037</v>
      </c>
      <c r="N4868" t="s">
        <v>47424</v>
      </c>
      <c r="O4868" t="s">
        <v>47425</v>
      </c>
      <c r="P4868">
        <v>0</v>
      </c>
      <c r="Q4868">
        <v>8</v>
      </c>
      <c r="R4868" t="s">
        <v>47430</v>
      </c>
      <c r="S4868" t="s">
        <v>47549</v>
      </c>
      <c r="T4868" t="s">
        <v>49100</v>
      </c>
      <c r="U4868" t="s">
        <v>53809</v>
      </c>
      <c r="W4868" t="s">
        <v>45037</v>
      </c>
      <c r="X4868" t="s">
        <v>47431</v>
      </c>
    </row>
    <row r="4869" spans="1:24">
      <c r="A4869">
        <f>HYPERLINK("https://www.philgeps.gov.ph/GEPSNONPILOT/Tender/SplashBidNoticeAbstractUI.aspx?menuIndex=3&amp;refID=7160214&amp;Result=3","7160214")</f>
        <v>0</v>
      </c>
      <c r="B4869" t="s">
        <v>1668</v>
      </c>
      <c r="C4869" t="s">
        <v>8501</v>
      </c>
      <c r="D4869" t="s">
        <v>19073</v>
      </c>
      <c r="E4869" t="s">
        <v>23412</v>
      </c>
      <c r="F4869" t="s">
        <v>32831</v>
      </c>
      <c r="G4869" t="s">
        <v>32839</v>
      </c>
      <c r="H4869" t="s">
        <v>32848</v>
      </c>
      <c r="I4869" t="s">
        <v>8781</v>
      </c>
      <c r="J4869" t="s">
        <v>36127</v>
      </c>
      <c r="K4869" t="s">
        <v>42731</v>
      </c>
      <c r="M4869" t="s">
        <v>44785</v>
      </c>
      <c r="N4869" t="s">
        <v>47424</v>
      </c>
      <c r="O4869" t="s">
        <v>47425</v>
      </c>
      <c r="P4869">
        <v>0</v>
      </c>
      <c r="Q4869">
        <v>0</v>
      </c>
      <c r="R4869" t="s">
        <v>47430</v>
      </c>
      <c r="S4869" t="s">
        <v>47549</v>
      </c>
      <c r="T4869" t="s">
        <v>49129</v>
      </c>
      <c r="U4869" t="s">
        <v>53810</v>
      </c>
      <c r="W4869" t="s">
        <v>44785</v>
      </c>
      <c r="X4869" t="s">
        <v>47431</v>
      </c>
    </row>
    <row r="4870" spans="1:24">
      <c r="A4870">
        <f>HYPERLINK("https://www.philgeps.gov.ph/GEPSNONPILOT/Tender/SplashBidNoticeAbstractUI.aspx?menuIndex=3&amp;refID=7160226&amp;Result=3","7160226")</f>
        <v>0</v>
      </c>
      <c r="B4870" t="s">
        <v>1747</v>
      </c>
      <c r="C4870" t="s">
        <v>8502</v>
      </c>
      <c r="D4870" t="s">
        <v>19058</v>
      </c>
      <c r="E4870" t="s">
        <v>23413</v>
      </c>
      <c r="F4870" t="s">
        <v>32831</v>
      </c>
      <c r="G4870" t="s">
        <v>32838</v>
      </c>
      <c r="H4870" t="s">
        <v>32848</v>
      </c>
      <c r="I4870" t="s">
        <v>4487</v>
      </c>
      <c r="J4870" t="s">
        <v>32979</v>
      </c>
      <c r="K4870" t="s">
        <v>42727</v>
      </c>
      <c r="M4870" t="s">
        <v>45038</v>
      </c>
      <c r="N4870" t="s">
        <v>47424</v>
      </c>
      <c r="O4870" t="s">
        <v>47425</v>
      </c>
      <c r="P4870">
        <v>0</v>
      </c>
      <c r="Q4870">
        <v>1</v>
      </c>
      <c r="R4870" t="s">
        <v>47430</v>
      </c>
      <c r="S4870" t="s">
        <v>47549</v>
      </c>
      <c r="T4870" t="s">
        <v>49068</v>
      </c>
      <c r="U4870" t="s">
        <v>53811</v>
      </c>
      <c r="W4870" t="s">
        <v>45038</v>
      </c>
      <c r="X4870" t="s">
        <v>47431</v>
      </c>
    </row>
    <row r="4871" spans="1:24">
      <c r="A4871">
        <f>HYPERLINK("https://www.philgeps.gov.ph/GEPSNONPILOT/Tender/SplashBidNoticeAbstractUI.aspx?menuIndex=3&amp;refID=7160212&amp;Result=3","7160212")</f>
        <v>0</v>
      </c>
      <c r="B4871" t="s">
        <v>1892</v>
      </c>
      <c r="C4871" t="s">
        <v>8503</v>
      </c>
      <c r="D4871" t="s">
        <v>19027</v>
      </c>
      <c r="E4871" t="s">
        <v>23414</v>
      </c>
      <c r="F4871" t="s">
        <v>32831</v>
      </c>
      <c r="G4871" t="s">
        <v>32839</v>
      </c>
      <c r="H4871" t="s">
        <v>32848</v>
      </c>
      <c r="I4871" t="s">
        <v>4177</v>
      </c>
      <c r="J4871" t="s">
        <v>36128</v>
      </c>
      <c r="K4871" t="s">
        <v>42732</v>
      </c>
      <c r="M4871" t="s">
        <v>45039</v>
      </c>
      <c r="N4871" t="s">
        <v>47424</v>
      </c>
      <c r="O4871" t="s">
        <v>47425</v>
      </c>
      <c r="P4871">
        <v>0</v>
      </c>
      <c r="Q4871">
        <v>0</v>
      </c>
      <c r="R4871" t="s">
        <v>47430</v>
      </c>
      <c r="S4871" t="s">
        <v>47549</v>
      </c>
      <c r="T4871" t="s">
        <v>49129</v>
      </c>
      <c r="U4871" t="s">
        <v>53812</v>
      </c>
      <c r="W4871" t="s">
        <v>45039</v>
      </c>
      <c r="X4871" t="s">
        <v>47431</v>
      </c>
    </row>
    <row r="4872" spans="1:24">
      <c r="A4872">
        <f>HYPERLINK("https://www.philgeps.gov.ph/GEPSNONPILOT/Tender/SplashBidNoticeAbstractUI.aspx?menuIndex=3&amp;refID=7160209&amp;Result=3","7160209")</f>
        <v>0</v>
      </c>
      <c r="B4872" t="s">
        <v>69</v>
      </c>
      <c r="C4872" t="s">
        <v>8504</v>
      </c>
      <c r="D4872" t="s">
        <v>19021</v>
      </c>
      <c r="E4872" t="s">
        <v>23415</v>
      </c>
      <c r="F4872" t="s">
        <v>32831</v>
      </c>
      <c r="G4872" t="s">
        <v>32840</v>
      </c>
      <c r="H4872" t="s">
        <v>32848</v>
      </c>
      <c r="I4872" t="s">
        <v>4776</v>
      </c>
      <c r="J4872" t="s">
        <v>32980</v>
      </c>
      <c r="K4872" t="s">
        <v>42727</v>
      </c>
      <c r="L4872" t="s">
        <v>69</v>
      </c>
      <c r="M4872" t="s">
        <v>43066</v>
      </c>
      <c r="N4872" t="s">
        <v>47424</v>
      </c>
      <c r="O4872" t="s">
        <v>47425</v>
      </c>
      <c r="P4872">
        <v>0</v>
      </c>
      <c r="Q4872">
        <v>3</v>
      </c>
      <c r="R4872" t="s">
        <v>47430</v>
      </c>
      <c r="S4872" t="s">
        <v>47549</v>
      </c>
      <c r="T4872" t="s">
        <v>49114</v>
      </c>
      <c r="U4872" t="s">
        <v>53813</v>
      </c>
      <c r="W4872" t="s">
        <v>43066</v>
      </c>
      <c r="X4872" t="s">
        <v>47431</v>
      </c>
    </row>
    <row r="4873" spans="1:24">
      <c r="A4873">
        <f>HYPERLINK("https://www.philgeps.gov.ph/GEPSNONPILOT/Tender/SplashBidNoticeAbstractUI.aspx?menuIndex=3&amp;refID=7160221&amp;Result=3","7160221")</f>
        <v>0</v>
      </c>
      <c r="B4873" t="s">
        <v>1889</v>
      </c>
      <c r="C4873" t="s">
        <v>8505</v>
      </c>
      <c r="D4873" t="s">
        <v>19027</v>
      </c>
      <c r="E4873" t="s">
        <v>23416</v>
      </c>
      <c r="F4873" t="s">
        <v>32831</v>
      </c>
      <c r="G4873" t="s">
        <v>32838</v>
      </c>
      <c r="H4873" t="s">
        <v>32848</v>
      </c>
      <c r="I4873" t="s">
        <v>9577</v>
      </c>
      <c r="J4873" t="s">
        <v>35411</v>
      </c>
      <c r="K4873" t="s">
        <v>42732</v>
      </c>
      <c r="M4873" t="s">
        <v>45035</v>
      </c>
      <c r="N4873" t="s">
        <v>47424</v>
      </c>
      <c r="O4873" t="s">
        <v>47425</v>
      </c>
      <c r="P4873">
        <v>0</v>
      </c>
      <c r="Q4873">
        <v>0</v>
      </c>
      <c r="R4873" t="s">
        <v>47430</v>
      </c>
      <c r="S4873" t="s">
        <v>47549</v>
      </c>
      <c r="T4873" t="s">
        <v>49114</v>
      </c>
      <c r="U4873" t="s">
        <v>53814</v>
      </c>
      <c r="W4873" t="s">
        <v>45035</v>
      </c>
      <c r="X4873" t="s">
        <v>47431</v>
      </c>
    </row>
    <row r="4874" spans="1:24">
      <c r="A4874">
        <f>HYPERLINK("https://www.philgeps.gov.ph/GEPSNONPILOT/Tender/SplashBidNoticeAbstractUI.aspx?menuIndex=3&amp;refID=7160215&amp;Result=3","7160215")</f>
        <v>0</v>
      </c>
      <c r="B4874" t="s">
        <v>1151</v>
      </c>
      <c r="C4874" t="s">
        <v>8506</v>
      </c>
      <c r="D4874" t="s">
        <v>19091</v>
      </c>
      <c r="E4874" t="s">
        <v>23417</v>
      </c>
      <c r="F4874" t="s">
        <v>32831</v>
      </c>
      <c r="G4874" t="s">
        <v>32839</v>
      </c>
      <c r="H4874" t="s">
        <v>32849</v>
      </c>
      <c r="I4874" t="s">
        <v>4177</v>
      </c>
      <c r="J4874" t="s">
        <v>36129</v>
      </c>
      <c r="K4874" t="s">
        <v>42767</v>
      </c>
      <c r="M4874" t="s">
        <v>44215</v>
      </c>
      <c r="N4874" t="s">
        <v>47424</v>
      </c>
      <c r="O4874" t="s">
        <v>47425</v>
      </c>
      <c r="P4874">
        <v>0</v>
      </c>
      <c r="Q4874">
        <v>0</v>
      </c>
      <c r="R4874" t="s">
        <v>47430</v>
      </c>
      <c r="S4874" t="s">
        <v>47549</v>
      </c>
      <c r="T4874" t="s">
        <v>49387</v>
      </c>
      <c r="U4874" t="s">
        <v>53815</v>
      </c>
      <c r="W4874" t="s">
        <v>44215</v>
      </c>
      <c r="X4874" t="s">
        <v>47431</v>
      </c>
    </row>
    <row r="4875" spans="1:24">
      <c r="A4875">
        <f>HYPERLINK("https://www.philgeps.gov.ph/GEPSNONPILOT/Tender/SplashBidNoticeAbstractUI.aspx?menuIndex=3&amp;refID=7160203&amp;Result=3","7160203")</f>
        <v>0</v>
      </c>
      <c r="B4875" t="s">
        <v>1893</v>
      </c>
      <c r="C4875" t="s">
        <v>8507</v>
      </c>
      <c r="D4875" t="s">
        <v>19064</v>
      </c>
      <c r="E4875" t="s">
        <v>23418</v>
      </c>
      <c r="F4875" t="s">
        <v>32831</v>
      </c>
      <c r="G4875" t="s">
        <v>32838</v>
      </c>
      <c r="H4875" t="s">
        <v>32848</v>
      </c>
      <c r="I4875" t="s">
        <v>32869</v>
      </c>
      <c r="J4875" t="s">
        <v>35912</v>
      </c>
      <c r="K4875" t="s">
        <v>42731</v>
      </c>
      <c r="M4875" t="s">
        <v>45040</v>
      </c>
      <c r="N4875" t="s">
        <v>47424</v>
      </c>
      <c r="O4875" t="s">
        <v>47425</v>
      </c>
      <c r="P4875">
        <v>0</v>
      </c>
      <c r="Q4875">
        <v>1</v>
      </c>
      <c r="R4875" t="s">
        <v>47430</v>
      </c>
      <c r="S4875" t="s">
        <v>47549</v>
      </c>
      <c r="T4875" t="s">
        <v>49089</v>
      </c>
      <c r="U4875" t="s">
        <v>53816</v>
      </c>
      <c r="W4875" t="s">
        <v>45040</v>
      </c>
      <c r="X4875" t="s">
        <v>47431</v>
      </c>
    </row>
    <row r="4876" spans="1:24">
      <c r="A4876">
        <f>HYPERLINK("https://www.philgeps.gov.ph/GEPSNONPILOT/Tender/SplashBidNoticeAbstractUI.aspx?menuIndex=3&amp;refID=7160183&amp;Result=3","7160183")</f>
        <v>0</v>
      </c>
      <c r="B4876" t="s">
        <v>1244</v>
      </c>
      <c r="C4876" t="s">
        <v>8508</v>
      </c>
      <c r="D4876" t="s">
        <v>19095</v>
      </c>
      <c r="E4876" t="s">
        <v>23419</v>
      </c>
      <c r="F4876" t="s">
        <v>32831</v>
      </c>
      <c r="G4876" t="s">
        <v>32839</v>
      </c>
      <c r="H4876" t="s">
        <v>32848</v>
      </c>
      <c r="I4876" t="s">
        <v>4776</v>
      </c>
      <c r="J4876" t="s">
        <v>33758</v>
      </c>
      <c r="K4876" t="s">
        <v>42727</v>
      </c>
      <c r="M4876" t="s">
        <v>44314</v>
      </c>
      <c r="N4876" t="s">
        <v>47424</v>
      </c>
      <c r="O4876" t="s">
        <v>47425</v>
      </c>
      <c r="P4876">
        <v>0</v>
      </c>
      <c r="Q4876">
        <v>3</v>
      </c>
      <c r="R4876" t="s">
        <v>47430</v>
      </c>
      <c r="S4876" t="s">
        <v>47549</v>
      </c>
      <c r="T4876" t="s">
        <v>49097</v>
      </c>
      <c r="U4876" t="s">
        <v>53817</v>
      </c>
      <c r="V4876" t="s">
        <v>63166</v>
      </c>
      <c r="W4876" t="s">
        <v>44314</v>
      </c>
      <c r="X4876" t="s">
        <v>47431</v>
      </c>
    </row>
    <row r="4877" spans="1:24">
      <c r="A4877">
        <f>HYPERLINK("https://www.philgeps.gov.ph/GEPSNONPILOT/Tender/SplashBidNoticeAbstractUI.aspx?menuIndex=3&amp;refID=7160211&amp;Result=3","7160211")</f>
        <v>0</v>
      </c>
      <c r="B4877" t="s">
        <v>623</v>
      </c>
      <c r="C4877" t="s">
        <v>8509</v>
      </c>
      <c r="D4877" t="s">
        <v>19042</v>
      </c>
      <c r="E4877" t="s">
        <v>23420</v>
      </c>
      <c r="F4877" t="s">
        <v>32831</v>
      </c>
      <c r="G4877" t="s">
        <v>32839</v>
      </c>
      <c r="H4877" t="s">
        <v>32848</v>
      </c>
      <c r="I4877" t="s">
        <v>9577</v>
      </c>
      <c r="J4877" t="s">
        <v>36130</v>
      </c>
      <c r="K4877" t="s">
        <v>42730</v>
      </c>
      <c r="M4877" t="s">
        <v>43639</v>
      </c>
      <c r="N4877" t="s">
        <v>47424</v>
      </c>
      <c r="O4877" t="s">
        <v>47425</v>
      </c>
      <c r="P4877">
        <v>0</v>
      </c>
      <c r="Q4877">
        <v>4</v>
      </c>
      <c r="R4877" t="s">
        <v>47430</v>
      </c>
      <c r="S4877" t="s">
        <v>47549</v>
      </c>
      <c r="T4877" t="s">
        <v>49393</v>
      </c>
      <c r="U4877" t="s">
        <v>53818</v>
      </c>
      <c r="W4877" t="s">
        <v>43639</v>
      </c>
      <c r="X4877" t="s">
        <v>47431</v>
      </c>
    </row>
    <row r="4878" spans="1:24">
      <c r="A4878">
        <f>HYPERLINK("https://www.philgeps.gov.ph/GEPSNONPILOT/Tender/SplashBidNoticeAbstractUI.aspx?menuIndex=3&amp;refID=7160158&amp;Result=3","7160158")</f>
        <v>0</v>
      </c>
      <c r="B4878" t="s">
        <v>1894</v>
      </c>
      <c r="C4878" t="s">
        <v>8510</v>
      </c>
      <c r="D4878" t="s">
        <v>19031</v>
      </c>
      <c r="E4878" t="s">
        <v>23421</v>
      </c>
      <c r="F4878" t="s">
        <v>32831</v>
      </c>
      <c r="G4878" t="s">
        <v>32839</v>
      </c>
      <c r="H4878" t="s">
        <v>32849</v>
      </c>
      <c r="I4878" t="s">
        <v>4177</v>
      </c>
      <c r="J4878" t="s">
        <v>36131</v>
      </c>
      <c r="K4878" t="s">
        <v>42776</v>
      </c>
      <c r="M4878" t="s">
        <v>45041</v>
      </c>
      <c r="N4878" t="s">
        <v>47424</v>
      </c>
      <c r="O4878" t="s">
        <v>47425</v>
      </c>
      <c r="P4878">
        <v>0</v>
      </c>
      <c r="Q4878">
        <v>7</v>
      </c>
      <c r="R4878" t="s">
        <v>47430</v>
      </c>
      <c r="S4878" t="s">
        <v>47549</v>
      </c>
      <c r="T4878" t="s">
        <v>49091</v>
      </c>
      <c r="U4878" t="s">
        <v>53819</v>
      </c>
      <c r="W4878" t="s">
        <v>45041</v>
      </c>
      <c r="X4878" t="s">
        <v>47431</v>
      </c>
    </row>
    <row r="4879" spans="1:24">
      <c r="A4879">
        <f>HYPERLINK("https://www.philgeps.gov.ph/GEPSNONPILOT/Tender/SplashBidNoticeAbstractUI.aspx?menuIndex=3&amp;refID=7160206&amp;Result=3","7160206")</f>
        <v>0</v>
      </c>
      <c r="B4879" t="s">
        <v>1895</v>
      </c>
      <c r="C4879" t="s">
        <v>8511</v>
      </c>
      <c r="E4879" t="s">
        <v>23422</v>
      </c>
      <c r="F4879" t="s">
        <v>32831</v>
      </c>
      <c r="G4879" t="s">
        <v>32838</v>
      </c>
      <c r="H4879" t="s">
        <v>32848</v>
      </c>
      <c r="I4879" t="s">
        <v>4303</v>
      </c>
      <c r="J4879" t="s">
        <v>36132</v>
      </c>
      <c r="K4879" t="s">
        <v>42732</v>
      </c>
      <c r="M4879" t="s">
        <v>45042</v>
      </c>
      <c r="N4879" t="s">
        <v>47424</v>
      </c>
      <c r="O4879" t="s">
        <v>47425</v>
      </c>
      <c r="P4879">
        <v>0</v>
      </c>
      <c r="Q4879">
        <v>0</v>
      </c>
      <c r="R4879" t="s">
        <v>47430</v>
      </c>
      <c r="S4879" t="s">
        <v>47549</v>
      </c>
      <c r="T4879" t="s">
        <v>49237</v>
      </c>
      <c r="U4879" t="s">
        <v>53820</v>
      </c>
      <c r="W4879" t="s">
        <v>45042</v>
      </c>
      <c r="X4879" t="s">
        <v>47431</v>
      </c>
    </row>
    <row r="4880" spans="1:24">
      <c r="A4880">
        <f>HYPERLINK("https://www.philgeps.gov.ph/GEPSNONPILOT/Tender/SplashBidNoticeAbstractUI.aspx?menuIndex=3&amp;refID=7160205&amp;Result=3","7160205")</f>
        <v>0</v>
      </c>
      <c r="B4880" t="s">
        <v>1896</v>
      </c>
      <c r="C4880" t="s">
        <v>6669</v>
      </c>
      <c r="D4880" t="s">
        <v>19094</v>
      </c>
      <c r="E4880" t="s">
        <v>23423</v>
      </c>
      <c r="F4880" t="s">
        <v>32831</v>
      </c>
      <c r="G4880" t="s">
        <v>32839</v>
      </c>
      <c r="H4880" t="s">
        <v>32848</v>
      </c>
      <c r="I4880" t="s">
        <v>7416</v>
      </c>
      <c r="J4880" t="s">
        <v>36133</v>
      </c>
      <c r="K4880" t="s">
        <v>42730</v>
      </c>
      <c r="M4880" t="s">
        <v>45043</v>
      </c>
      <c r="N4880" t="s">
        <v>47424</v>
      </c>
      <c r="O4880" t="s">
        <v>47425</v>
      </c>
      <c r="P4880">
        <v>0</v>
      </c>
      <c r="Q4880">
        <v>0</v>
      </c>
      <c r="R4880" t="s">
        <v>47430</v>
      </c>
      <c r="S4880" t="s">
        <v>47549</v>
      </c>
      <c r="T4880" t="s">
        <v>49080</v>
      </c>
      <c r="U4880" t="s">
        <v>53821</v>
      </c>
      <c r="W4880" t="s">
        <v>45043</v>
      </c>
      <c r="X4880" t="s">
        <v>47431</v>
      </c>
    </row>
    <row r="4881" spans="1:24">
      <c r="A4881">
        <f>HYPERLINK("https://www.philgeps.gov.ph/GEPSNONPILOT/Tender/SplashBidNoticeAbstractUI.aspx?menuIndex=3&amp;refID=7160250&amp;Result=3","7160250")</f>
        <v>0</v>
      </c>
      <c r="B4881" t="s">
        <v>1841</v>
      </c>
      <c r="C4881" t="s">
        <v>8512</v>
      </c>
      <c r="D4881" t="s">
        <v>19047</v>
      </c>
      <c r="E4881" t="s">
        <v>23424</v>
      </c>
      <c r="F4881" t="s">
        <v>32831</v>
      </c>
      <c r="G4881" t="s">
        <v>32839</v>
      </c>
      <c r="H4881" t="s">
        <v>32849</v>
      </c>
      <c r="I4881" t="s">
        <v>4177</v>
      </c>
      <c r="J4881" t="s">
        <v>36134</v>
      </c>
      <c r="K4881" t="s">
        <v>42745</v>
      </c>
      <c r="M4881" t="s">
        <v>44975</v>
      </c>
      <c r="N4881" t="s">
        <v>47424</v>
      </c>
      <c r="O4881" t="s">
        <v>47425</v>
      </c>
      <c r="P4881">
        <v>0</v>
      </c>
      <c r="Q4881">
        <v>0</v>
      </c>
      <c r="R4881" t="s">
        <v>47430</v>
      </c>
      <c r="S4881" t="s">
        <v>47549</v>
      </c>
      <c r="T4881" t="s">
        <v>49142</v>
      </c>
      <c r="U4881" t="s">
        <v>53657</v>
      </c>
      <c r="W4881" t="s">
        <v>44975</v>
      </c>
      <c r="X4881" t="s">
        <v>47431</v>
      </c>
    </row>
    <row r="4882" spans="1:24">
      <c r="A4882">
        <f>HYPERLINK("https://www.philgeps.gov.ph/GEPSNONPILOT/Tender/SplashBidNoticeAbstractUI.aspx?menuIndex=3&amp;refID=7160213&amp;Result=3","7160213")</f>
        <v>0</v>
      </c>
      <c r="B4882" t="s">
        <v>709</v>
      </c>
      <c r="C4882" t="s">
        <v>8513</v>
      </c>
      <c r="D4882" t="s">
        <v>19037</v>
      </c>
      <c r="E4882" t="s">
        <v>23425</v>
      </c>
      <c r="F4882" t="s">
        <v>32831</v>
      </c>
      <c r="G4882" t="s">
        <v>32839</v>
      </c>
      <c r="H4882" t="s">
        <v>32848</v>
      </c>
      <c r="I4882" t="s">
        <v>32871</v>
      </c>
      <c r="J4882" t="s">
        <v>36135</v>
      </c>
      <c r="K4882" t="s">
        <v>42730</v>
      </c>
      <c r="M4882" t="s">
        <v>44979</v>
      </c>
      <c r="N4882" t="s">
        <v>47424</v>
      </c>
      <c r="O4882" t="s">
        <v>47425</v>
      </c>
      <c r="P4882">
        <v>0</v>
      </c>
      <c r="Q4882">
        <v>28</v>
      </c>
      <c r="R4882" t="s">
        <v>47430</v>
      </c>
      <c r="S4882" t="s">
        <v>47549</v>
      </c>
      <c r="T4882" t="s">
        <v>49291</v>
      </c>
      <c r="U4882" t="s">
        <v>53822</v>
      </c>
      <c r="V4882" t="s">
        <v>63173</v>
      </c>
      <c r="W4882" t="s">
        <v>44979</v>
      </c>
      <c r="X4882" t="s">
        <v>47431</v>
      </c>
    </row>
    <row r="4883" spans="1:24">
      <c r="A4883">
        <f>HYPERLINK("https://www.philgeps.gov.ph/GEPSNONPILOT/Tender/SplashBidNoticeAbstractUI.aspx?menuIndex=3&amp;refID=7160202&amp;Result=3","7160202")</f>
        <v>0</v>
      </c>
      <c r="B4883" t="s">
        <v>1149</v>
      </c>
      <c r="C4883" t="s">
        <v>8514</v>
      </c>
      <c r="D4883" t="s">
        <v>19079</v>
      </c>
      <c r="E4883" t="s">
        <v>23426</v>
      </c>
      <c r="F4883" t="s">
        <v>32831</v>
      </c>
      <c r="G4883" t="s">
        <v>32838</v>
      </c>
      <c r="H4883" t="s">
        <v>32848</v>
      </c>
      <c r="I4883" t="s">
        <v>7416</v>
      </c>
      <c r="J4883" t="s">
        <v>36136</v>
      </c>
      <c r="K4883" t="s">
        <v>42732</v>
      </c>
      <c r="M4883" t="s">
        <v>44213</v>
      </c>
      <c r="N4883" t="s">
        <v>47424</v>
      </c>
      <c r="O4883" t="s">
        <v>47425</v>
      </c>
      <c r="P4883">
        <v>0</v>
      </c>
      <c r="Q4883">
        <v>0</v>
      </c>
      <c r="R4883" t="s">
        <v>47430</v>
      </c>
      <c r="S4883" t="s">
        <v>47549</v>
      </c>
      <c r="T4883" t="s">
        <v>49061</v>
      </c>
      <c r="U4883" t="s">
        <v>53823</v>
      </c>
      <c r="W4883" t="s">
        <v>44213</v>
      </c>
      <c r="X4883" t="s">
        <v>47431</v>
      </c>
    </row>
    <row r="4884" spans="1:24">
      <c r="A4884">
        <f>HYPERLINK("https://www.philgeps.gov.ph/GEPSNONPILOT/Tender/SplashBidNoticeAbstractUI.aspx?menuIndex=3&amp;refID=7160247&amp;Result=3","7160247")</f>
        <v>0</v>
      </c>
      <c r="B4884" t="s">
        <v>877</v>
      </c>
      <c r="C4884" t="s">
        <v>5689</v>
      </c>
      <c r="D4884" t="s">
        <v>19018</v>
      </c>
      <c r="E4884" t="s">
        <v>23427</v>
      </c>
      <c r="F4884" t="s">
        <v>32831</v>
      </c>
      <c r="G4884" t="s">
        <v>32838</v>
      </c>
      <c r="H4884" t="s">
        <v>32848</v>
      </c>
      <c r="I4884" t="s">
        <v>10805</v>
      </c>
      <c r="J4884" t="s">
        <v>33364</v>
      </c>
      <c r="K4884" t="s">
        <v>42730</v>
      </c>
      <c r="M4884" t="s">
        <v>43911</v>
      </c>
      <c r="N4884" t="s">
        <v>47424</v>
      </c>
      <c r="O4884" t="s">
        <v>47425</v>
      </c>
      <c r="P4884">
        <v>0</v>
      </c>
      <c r="Q4884">
        <v>3</v>
      </c>
      <c r="R4884" t="s">
        <v>47430</v>
      </c>
      <c r="S4884" t="s">
        <v>47549</v>
      </c>
      <c r="T4884" t="s">
        <v>49116</v>
      </c>
      <c r="U4884" t="s">
        <v>51301</v>
      </c>
      <c r="W4884" t="s">
        <v>43911</v>
      </c>
      <c r="X4884" t="s">
        <v>47431</v>
      </c>
    </row>
    <row r="4885" spans="1:24">
      <c r="A4885">
        <f>HYPERLINK("https://www.philgeps.gov.ph/GEPSNONPILOT/Tender/SplashBidNoticeAbstractUI.aspx?menuIndex=3&amp;refID=7160246&amp;Result=3","7160246")</f>
        <v>0</v>
      </c>
      <c r="B4885" t="s">
        <v>1151</v>
      </c>
      <c r="C4885" t="s">
        <v>8515</v>
      </c>
      <c r="D4885" t="s">
        <v>19091</v>
      </c>
      <c r="E4885" t="s">
        <v>23428</v>
      </c>
      <c r="F4885" t="s">
        <v>32831</v>
      </c>
      <c r="G4885" t="s">
        <v>32839</v>
      </c>
      <c r="H4885" t="s">
        <v>32849</v>
      </c>
      <c r="I4885" t="s">
        <v>4177</v>
      </c>
      <c r="J4885" t="s">
        <v>32983</v>
      </c>
      <c r="K4885" t="s">
        <v>42727</v>
      </c>
      <c r="M4885" t="s">
        <v>44215</v>
      </c>
      <c r="N4885" t="s">
        <v>47424</v>
      </c>
      <c r="O4885" t="s">
        <v>47425</v>
      </c>
      <c r="P4885">
        <v>0</v>
      </c>
      <c r="Q4885">
        <v>0</v>
      </c>
      <c r="R4885" t="s">
        <v>47430</v>
      </c>
      <c r="S4885" t="s">
        <v>47549</v>
      </c>
      <c r="T4885" t="s">
        <v>49387</v>
      </c>
      <c r="U4885" t="s">
        <v>53824</v>
      </c>
      <c r="W4885" t="s">
        <v>44215</v>
      </c>
      <c r="X4885" t="s">
        <v>47431</v>
      </c>
    </row>
    <row r="4886" spans="1:24">
      <c r="A4886">
        <f>HYPERLINK("https://www.philgeps.gov.ph/GEPSNONPILOT/Tender/SplashBidNoticeAbstractUI.aspx?menuIndex=3&amp;refID=7160163&amp;Result=3","7160163")</f>
        <v>0</v>
      </c>
      <c r="B4886" t="s">
        <v>1863</v>
      </c>
      <c r="C4886" t="s">
        <v>8516</v>
      </c>
      <c r="D4886" t="s">
        <v>19041</v>
      </c>
      <c r="E4886" t="s">
        <v>23429</v>
      </c>
      <c r="F4886" t="s">
        <v>32831</v>
      </c>
      <c r="G4886" t="s">
        <v>32838</v>
      </c>
      <c r="H4886" t="s">
        <v>32848</v>
      </c>
      <c r="I4886" t="s">
        <v>32859</v>
      </c>
      <c r="J4886" t="s">
        <v>33007</v>
      </c>
      <c r="K4886" t="s">
        <v>42731</v>
      </c>
      <c r="M4886" t="s">
        <v>45002</v>
      </c>
      <c r="N4886" t="s">
        <v>47424</v>
      </c>
      <c r="O4886" t="s">
        <v>47425</v>
      </c>
      <c r="P4886">
        <v>0</v>
      </c>
      <c r="Q4886">
        <v>1</v>
      </c>
      <c r="R4886" t="s">
        <v>47430</v>
      </c>
      <c r="S4886" t="s">
        <v>47549</v>
      </c>
      <c r="T4886" t="s">
        <v>49403</v>
      </c>
      <c r="U4886" t="s">
        <v>53825</v>
      </c>
      <c r="W4886" t="s">
        <v>45002</v>
      </c>
      <c r="X4886" t="s">
        <v>47431</v>
      </c>
    </row>
    <row r="4887" spans="1:24">
      <c r="A4887">
        <f>HYPERLINK("https://www.philgeps.gov.ph/GEPSNONPILOT/Tender/SplashBidNoticeAbstractUI.aspx?menuIndex=3&amp;refID=7160249&amp;Result=3","7160249")</f>
        <v>0</v>
      </c>
      <c r="B4887" t="s">
        <v>70</v>
      </c>
      <c r="C4887" t="s">
        <v>8517</v>
      </c>
      <c r="D4887" t="s">
        <v>19037</v>
      </c>
      <c r="E4887" t="s">
        <v>23430</v>
      </c>
      <c r="F4887" t="s">
        <v>32831</v>
      </c>
      <c r="G4887" t="s">
        <v>32839</v>
      </c>
      <c r="H4887" t="s">
        <v>32848</v>
      </c>
      <c r="I4887" t="s">
        <v>7416</v>
      </c>
      <c r="J4887" t="s">
        <v>36137</v>
      </c>
      <c r="K4887" t="s">
        <v>42731</v>
      </c>
      <c r="M4887" t="s">
        <v>43067</v>
      </c>
      <c r="N4887" t="s">
        <v>47424</v>
      </c>
      <c r="O4887" t="s">
        <v>47425</v>
      </c>
      <c r="P4887">
        <v>0</v>
      </c>
      <c r="Q4887">
        <v>0</v>
      </c>
      <c r="R4887" t="s">
        <v>47430</v>
      </c>
      <c r="S4887" t="s">
        <v>47549</v>
      </c>
      <c r="T4887" t="s">
        <v>49410</v>
      </c>
      <c r="U4887" t="s">
        <v>53826</v>
      </c>
      <c r="W4887" t="s">
        <v>43067</v>
      </c>
      <c r="X4887" t="s">
        <v>47431</v>
      </c>
    </row>
    <row r="4888" spans="1:24">
      <c r="A4888">
        <f>HYPERLINK("https://www.philgeps.gov.ph/GEPSNONPILOT/Tender/SplashBidNoticeAbstractUI.aspx?menuIndex=3&amp;refID=7160251&amp;Result=3","7160251")</f>
        <v>0</v>
      </c>
      <c r="B4888" t="s">
        <v>1747</v>
      </c>
      <c r="C4888" t="s">
        <v>8518</v>
      </c>
      <c r="D4888" t="s">
        <v>19058</v>
      </c>
      <c r="E4888" t="s">
        <v>23431</v>
      </c>
      <c r="F4888" t="s">
        <v>32831</v>
      </c>
      <c r="G4888" t="s">
        <v>32838</v>
      </c>
      <c r="H4888" t="s">
        <v>32848</v>
      </c>
      <c r="I4888" t="s">
        <v>6526</v>
      </c>
      <c r="J4888" t="s">
        <v>33041</v>
      </c>
      <c r="K4888" t="s">
        <v>42727</v>
      </c>
      <c r="M4888" t="s">
        <v>45038</v>
      </c>
      <c r="N4888" t="s">
        <v>47424</v>
      </c>
      <c r="O4888" t="s">
        <v>47425</v>
      </c>
      <c r="P4888">
        <v>0</v>
      </c>
      <c r="Q4888">
        <v>1</v>
      </c>
      <c r="R4888" t="s">
        <v>47430</v>
      </c>
      <c r="S4888" t="s">
        <v>47549</v>
      </c>
      <c r="T4888" t="s">
        <v>49068</v>
      </c>
      <c r="U4888" t="s">
        <v>53827</v>
      </c>
      <c r="W4888" t="s">
        <v>45038</v>
      </c>
      <c r="X4888" t="s">
        <v>47431</v>
      </c>
    </row>
    <row r="4889" spans="1:24">
      <c r="A4889">
        <f>HYPERLINK("https://www.philgeps.gov.ph/GEPSNONPILOT/Tender/SplashBidNoticeAbstractUI.aspx?menuIndex=3&amp;refID=7160242&amp;Result=3","7160242")</f>
        <v>0</v>
      </c>
      <c r="B4889" t="s">
        <v>1866</v>
      </c>
      <c r="C4889" t="s">
        <v>8519</v>
      </c>
      <c r="D4889" t="s">
        <v>19022</v>
      </c>
      <c r="E4889" t="s">
        <v>23432</v>
      </c>
      <c r="F4889" t="s">
        <v>32831</v>
      </c>
      <c r="G4889" t="s">
        <v>32838</v>
      </c>
      <c r="H4889" t="s">
        <v>32848</v>
      </c>
      <c r="I4889" t="s">
        <v>32874</v>
      </c>
      <c r="J4889" t="s">
        <v>36138</v>
      </c>
      <c r="K4889" t="s">
        <v>42730</v>
      </c>
      <c r="M4889" t="s">
        <v>45009</v>
      </c>
      <c r="N4889" t="s">
        <v>47424</v>
      </c>
      <c r="O4889" t="s">
        <v>47425</v>
      </c>
      <c r="P4889">
        <v>0</v>
      </c>
      <c r="Q4889">
        <v>5</v>
      </c>
      <c r="R4889" t="s">
        <v>47430</v>
      </c>
      <c r="S4889" t="s">
        <v>47549</v>
      </c>
      <c r="T4889" t="s">
        <v>49141</v>
      </c>
      <c r="U4889" t="s">
        <v>53742</v>
      </c>
      <c r="V4889" t="s">
        <v>63065</v>
      </c>
      <c r="W4889" t="s">
        <v>45009</v>
      </c>
      <c r="X4889" t="s">
        <v>47431</v>
      </c>
    </row>
    <row r="4890" spans="1:24">
      <c r="A4890">
        <f>HYPERLINK("https://www.philgeps.gov.ph/GEPSNONPILOT/Tender/SplashBidNoticeAbstractUI.aspx?menuIndex=3&amp;refID=7160253&amp;Result=3","7160253")</f>
        <v>0</v>
      </c>
      <c r="B4890" t="s">
        <v>69</v>
      </c>
      <c r="C4890" t="s">
        <v>8520</v>
      </c>
      <c r="D4890" t="s">
        <v>19021</v>
      </c>
      <c r="E4890" t="s">
        <v>23433</v>
      </c>
      <c r="F4890" t="s">
        <v>32831</v>
      </c>
      <c r="G4890" t="s">
        <v>32840</v>
      </c>
      <c r="H4890" t="s">
        <v>32848</v>
      </c>
      <c r="I4890" t="s">
        <v>4776</v>
      </c>
      <c r="J4890" t="s">
        <v>33929</v>
      </c>
      <c r="K4890" t="s">
        <v>42727</v>
      </c>
      <c r="L4890" t="s">
        <v>69</v>
      </c>
      <c r="M4890" t="s">
        <v>43066</v>
      </c>
      <c r="N4890" t="s">
        <v>47424</v>
      </c>
      <c r="O4890" t="s">
        <v>47425</v>
      </c>
      <c r="P4890">
        <v>0</v>
      </c>
      <c r="Q4890">
        <v>0</v>
      </c>
      <c r="R4890" t="s">
        <v>47430</v>
      </c>
      <c r="S4890" t="s">
        <v>47549</v>
      </c>
      <c r="T4890" t="s">
        <v>49114</v>
      </c>
      <c r="U4890" t="s">
        <v>53828</v>
      </c>
      <c r="W4890" t="s">
        <v>43066</v>
      </c>
      <c r="X4890" t="s">
        <v>47431</v>
      </c>
    </row>
    <row r="4891" spans="1:24">
      <c r="A4891">
        <f>HYPERLINK("https://www.philgeps.gov.ph/GEPSNONPILOT/Tender/SplashBidNoticeAbstractUI.aspx?menuIndex=3&amp;refID=7160245&amp;Result=3","7160245")</f>
        <v>0</v>
      </c>
      <c r="B4891" t="s">
        <v>794</v>
      </c>
      <c r="C4891" t="s">
        <v>8521</v>
      </c>
      <c r="D4891" t="s">
        <v>19088</v>
      </c>
      <c r="E4891" t="s">
        <v>23434</v>
      </c>
      <c r="F4891" t="s">
        <v>32831</v>
      </c>
      <c r="G4891" t="s">
        <v>32839</v>
      </c>
      <c r="H4891" t="s">
        <v>32848</v>
      </c>
      <c r="I4891" t="s">
        <v>32883</v>
      </c>
      <c r="J4891" t="s">
        <v>36139</v>
      </c>
      <c r="K4891" t="s">
        <v>42726</v>
      </c>
      <c r="M4891" t="s">
        <v>43824</v>
      </c>
      <c r="N4891" t="s">
        <v>47424</v>
      </c>
      <c r="O4891" t="s">
        <v>47425</v>
      </c>
      <c r="P4891">
        <v>0</v>
      </c>
      <c r="Q4891">
        <v>3</v>
      </c>
      <c r="R4891" t="s">
        <v>47430</v>
      </c>
      <c r="S4891" t="s">
        <v>47549</v>
      </c>
      <c r="T4891" t="s">
        <v>49077</v>
      </c>
      <c r="U4891" t="s">
        <v>53829</v>
      </c>
      <c r="W4891" t="s">
        <v>43824</v>
      </c>
      <c r="X4891" t="s">
        <v>47431</v>
      </c>
    </row>
    <row r="4892" spans="1:24">
      <c r="A4892">
        <f>HYPERLINK("https://www.philgeps.gov.ph/GEPSNONPILOT/Tender/SplashBidNoticeAbstractUI.aspx?menuIndex=3&amp;refID=7160236&amp;Result=3","7160236")</f>
        <v>0</v>
      </c>
      <c r="B4892" t="s">
        <v>338</v>
      </c>
      <c r="C4892" t="s">
        <v>8522</v>
      </c>
      <c r="D4892" t="s">
        <v>19019</v>
      </c>
      <c r="E4892" t="s">
        <v>23435</v>
      </c>
      <c r="F4892" t="s">
        <v>32831</v>
      </c>
      <c r="G4892" t="s">
        <v>32840</v>
      </c>
      <c r="H4892" t="s">
        <v>32848</v>
      </c>
      <c r="I4892" t="s">
        <v>32858</v>
      </c>
      <c r="J4892" t="s">
        <v>33292</v>
      </c>
      <c r="K4892" t="s">
        <v>42758</v>
      </c>
      <c r="M4892" t="s">
        <v>45044</v>
      </c>
      <c r="N4892" t="s">
        <v>47424</v>
      </c>
      <c r="O4892" t="s">
        <v>47425</v>
      </c>
      <c r="P4892">
        <v>0</v>
      </c>
      <c r="Q4892">
        <v>3</v>
      </c>
      <c r="R4892" t="s">
        <v>47430</v>
      </c>
      <c r="S4892" t="s">
        <v>47549</v>
      </c>
      <c r="T4892" t="s">
        <v>49145</v>
      </c>
      <c r="U4892" t="s">
        <v>53830</v>
      </c>
      <c r="W4892" t="s">
        <v>45044</v>
      </c>
      <c r="X4892" t="s">
        <v>47431</v>
      </c>
    </row>
    <row r="4893" spans="1:24">
      <c r="A4893">
        <f>HYPERLINK("https://www.philgeps.gov.ph/GEPSNONPILOT/Tender/SplashBidNoticeAbstractUI.aspx?menuIndex=3&amp;refID=7160244&amp;Result=3","7160244")</f>
        <v>0</v>
      </c>
      <c r="B4893" t="s">
        <v>888</v>
      </c>
      <c r="C4893" t="s">
        <v>8523</v>
      </c>
      <c r="D4893" t="s">
        <v>19067</v>
      </c>
      <c r="E4893" t="s">
        <v>19434</v>
      </c>
      <c r="F4893" t="s">
        <v>32831</v>
      </c>
      <c r="G4893" t="s">
        <v>32840</v>
      </c>
      <c r="H4893" t="s">
        <v>32848</v>
      </c>
      <c r="I4893" t="s">
        <v>9577</v>
      </c>
      <c r="J4893" t="s">
        <v>36140</v>
      </c>
      <c r="K4893" t="s">
        <v>42758</v>
      </c>
      <c r="M4893" t="s">
        <v>43923</v>
      </c>
      <c r="N4893" t="s">
        <v>47424</v>
      </c>
      <c r="O4893" t="s">
        <v>47425</v>
      </c>
      <c r="P4893">
        <v>0</v>
      </c>
      <c r="Q4893">
        <v>1</v>
      </c>
      <c r="R4893" t="s">
        <v>47430</v>
      </c>
      <c r="S4893" t="s">
        <v>47549</v>
      </c>
      <c r="T4893" t="s">
        <v>49145</v>
      </c>
      <c r="U4893" t="s">
        <v>53831</v>
      </c>
      <c r="W4893" t="s">
        <v>43923</v>
      </c>
      <c r="X4893" t="s">
        <v>47431</v>
      </c>
    </row>
    <row r="4894" spans="1:24">
      <c r="A4894">
        <f>HYPERLINK("https://www.philgeps.gov.ph/GEPSNONPILOT/Tender/SplashBidNoticeAbstractUI.aspx?menuIndex=3&amp;refID=7160241&amp;Result=3","7160241")</f>
        <v>0</v>
      </c>
      <c r="B4894" t="s">
        <v>1149</v>
      </c>
      <c r="C4894" t="s">
        <v>8524</v>
      </c>
      <c r="D4894" t="s">
        <v>19079</v>
      </c>
      <c r="E4894" t="s">
        <v>23436</v>
      </c>
      <c r="F4894" t="s">
        <v>32831</v>
      </c>
      <c r="G4894" t="s">
        <v>32838</v>
      </c>
      <c r="H4894" t="s">
        <v>32848</v>
      </c>
      <c r="I4894" t="s">
        <v>32884</v>
      </c>
      <c r="J4894" t="s">
        <v>32980</v>
      </c>
      <c r="K4894" t="s">
        <v>42732</v>
      </c>
      <c r="M4894" t="s">
        <v>44213</v>
      </c>
      <c r="N4894" t="s">
        <v>47424</v>
      </c>
      <c r="O4894" t="s">
        <v>47425</v>
      </c>
      <c r="P4894">
        <v>0</v>
      </c>
      <c r="Q4894">
        <v>3</v>
      </c>
      <c r="R4894" t="s">
        <v>47430</v>
      </c>
      <c r="S4894" t="s">
        <v>47549</v>
      </c>
      <c r="T4894" t="s">
        <v>49061</v>
      </c>
      <c r="U4894" t="s">
        <v>53832</v>
      </c>
      <c r="W4894" t="s">
        <v>44213</v>
      </c>
      <c r="X4894" t="s">
        <v>47431</v>
      </c>
    </row>
    <row r="4895" spans="1:24">
      <c r="A4895">
        <f>HYPERLINK("https://www.philgeps.gov.ph/GEPSNONPILOT/Tender/SplashBidNoticeAbstractUI.aspx?menuIndex=3&amp;refID=7160238&amp;Result=3","7160238")</f>
        <v>0</v>
      </c>
      <c r="B4895" t="s">
        <v>1880</v>
      </c>
      <c r="C4895" t="s">
        <v>8525</v>
      </c>
      <c r="D4895" t="s">
        <v>19079</v>
      </c>
      <c r="E4895" t="s">
        <v>19845</v>
      </c>
      <c r="F4895" t="s">
        <v>32831</v>
      </c>
      <c r="G4895" t="s">
        <v>32839</v>
      </c>
      <c r="H4895" t="s">
        <v>32849</v>
      </c>
      <c r="I4895" t="s">
        <v>4177</v>
      </c>
      <c r="J4895" t="s">
        <v>33083</v>
      </c>
      <c r="K4895" t="s">
        <v>42764</v>
      </c>
      <c r="M4895" t="s">
        <v>45024</v>
      </c>
      <c r="N4895" t="s">
        <v>47424</v>
      </c>
      <c r="O4895" t="s">
        <v>47425</v>
      </c>
      <c r="P4895">
        <v>0</v>
      </c>
      <c r="Q4895">
        <v>0</v>
      </c>
      <c r="R4895" t="s">
        <v>47430</v>
      </c>
      <c r="S4895" t="s">
        <v>47549</v>
      </c>
      <c r="T4895" t="s">
        <v>49411</v>
      </c>
      <c r="U4895" t="s">
        <v>53833</v>
      </c>
      <c r="W4895" t="s">
        <v>45024</v>
      </c>
      <c r="X4895" t="s">
        <v>47431</v>
      </c>
    </row>
    <row r="4896" spans="1:24">
      <c r="A4896">
        <f>HYPERLINK("https://www.philgeps.gov.ph/GEPSNONPILOT/Tender/SplashBidNoticeAbstractUI.aspx?menuIndex=3&amp;refID=7160232&amp;Result=3","7160232")</f>
        <v>0</v>
      </c>
      <c r="B4896" t="s">
        <v>525</v>
      </c>
      <c r="C4896" t="s">
        <v>8526</v>
      </c>
      <c r="D4896" t="s">
        <v>19029</v>
      </c>
      <c r="E4896" t="s">
        <v>23437</v>
      </c>
      <c r="F4896" t="s">
        <v>32831</v>
      </c>
      <c r="G4896" t="s">
        <v>32839</v>
      </c>
      <c r="H4896" t="s">
        <v>32849</v>
      </c>
      <c r="I4896" t="s">
        <v>4177</v>
      </c>
      <c r="J4896" t="s">
        <v>36141</v>
      </c>
      <c r="K4896" t="s">
        <v>42752</v>
      </c>
      <c r="M4896" t="s">
        <v>43531</v>
      </c>
      <c r="N4896" t="s">
        <v>47424</v>
      </c>
      <c r="O4896" t="s">
        <v>47425</v>
      </c>
      <c r="P4896">
        <v>0</v>
      </c>
      <c r="Q4896">
        <v>0</v>
      </c>
      <c r="R4896" t="s">
        <v>47430</v>
      </c>
      <c r="S4896" t="s">
        <v>47549</v>
      </c>
      <c r="T4896" t="s">
        <v>49078</v>
      </c>
      <c r="U4896" t="s">
        <v>53834</v>
      </c>
      <c r="W4896" t="s">
        <v>43531</v>
      </c>
      <c r="X4896" t="s">
        <v>47431</v>
      </c>
    </row>
    <row r="4897" spans="1:24">
      <c r="A4897">
        <f>HYPERLINK("https://www.philgeps.gov.ph/GEPSNONPILOT/Tender/SplashBidNoticeAbstractUI.aspx?menuIndex=3&amp;refID=7160248&amp;Result=3","7160248")</f>
        <v>0</v>
      </c>
      <c r="B4897" t="s">
        <v>1897</v>
      </c>
      <c r="C4897" t="s">
        <v>5134</v>
      </c>
      <c r="D4897" t="s">
        <v>19054</v>
      </c>
      <c r="E4897" t="s">
        <v>23438</v>
      </c>
      <c r="F4897" t="s">
        <v>32831</v>
      </c>
      <c r="G4897" t="s">
        <v>32838</v>
      </c>
      <c r="H4897" t="s">
        <v>32848</v>
      </c>
      <c r="I4897" t="s">
        <v>10643</v>
      </c>
      <c r="J4897" t="s">
        <v>36142</v>
      </c>
      <c r="K4897" t="s">
        <v>42732</v>
      </c>
      <c r="M4897" t="s">
        <v>45045</v>
      </c>
      <c r="N4897" t="s">
        <v>47424</v>
      </c>
      <c r="O4897" t="s">
        <v>47425</v>
      </c>
      <c r="P4897">
        <v>0</v>
      </c>
      <c r="Q4897">
        <v>2</v>
      </c>
      <c r="R4897" t="s">
        <v>47430</v>
      </c>
      <c r="S4897" t="s">
        <v>47549</v>
      </c>
      <c r="T4897" t="s">
        <v>49166</v>
      </c>
      <c r="U4897" t="s">
        <v>53835</v>
      </c>
      <c r="W4897" t="s">
        <v>45045</v>
      </c>
      <c r="X4897" t="s">
        <v>47431</v>
      </c>
    </row>
    <row r="4898" spans="1:24">
      <c r="A4898">
        <f>HYPERLINK("https://www.philgeps.gov.ph/GEPSNONPILOT/Tender/SplashBidNoticeAbstractUI.aspx?menuIndex=3&amp;refID=7160243&amp;Result=3","7160243")</f>
        <v>0</v>
      </c>
      <c r="B4898" t="s">
        <v>172</v>
      </c>
      <c r="C4898" t="s">
        <v>8527</v>
      </c>
      <c r="D4898" t="s">
        <v>19022</v>
      </c>
      <c r="E4898" t="s">
        <v>23439</v>
      </c>
      <c r="F4898" t="s">
        <v>32831</v>
      </c>
      <c r="G4898" t="s">
        <v>32838</v>
      </c>
      <c r="H4898" t="s">
        <v>32848</v>
      </c>
      <c r="I4898" t="s">
        <v>4558</v>
      </c>
      <c r="J4898" t="s">
        <v>33162</v>
      </c>
      <c r="K4898" t="s">
        <v>42726</v>
      </c>
      <c r="M4898" t="s">
        <v>43169</v>
      </c>
      <c r="N4898" t="s">
        <v>47424</v>
      </c>
      <c r="O4898" t="s">
        <v>47425</v>
      </c>
      <c r="P4898">
        <v>0</v>
      </c>
      <c r="Q4898">
        <v>3</v>
      </c>
      <c r="R4898" t="s">
        <v>47430</v>
      </c>
      <c r="S4898" t="s">
        <v>47549</v>
      </c>
      <c r="T4898" t="s">
        <v>49141</v>
      </c>
      <c r="U4898" t="s">
        <v>53836</v>
      </c>
      <c r="V4898" t="s">
        <v>63113</v>
      </c>
      <c r="W4898" t="s">
        <v>43169</v>
      </c>
      <c r="X4898" t="s">
        <v>47431</v>
      </c>
    </row>
    <row r="4899" spans="1:24">
      <c r="A4899">
        <f>HYPERLINK("https://www.philgeps.gov.ph/GEPSNONPILOT/Tender/SplashBidNoticeAbstractUI.aspx?menuIndex=3&amp;refID=7160229&amp;Result=3","7160229")</f>
        <v>0</v>
      </c>
      <c r="B4899" t="s">
        <v>1898</v>
      </c>
      <c r="C4899" t="s">
        <v>8528</v>
      </c>
      <c r="E4899" t="s">
        <v>19916</v>
      </c>
      <c r="F4899" t="s">
        <v>32831</v>
      </c>
      <c r="G4899" t="s">
        <v>32838</v>
      </c>
      <c r="H4899" t="s">
        <v>32850</v>
      </c>
      <c r="I4899" t="s">
        <v>32860</v>
      </c>
      <c r="J4899" t="s">
        <v>36143</v>
      </c>
      <c r="K4899" t="s">
        <v>42726</v>
      </c>
      <c r="M4899" t="s">
        <v>45046</v>
      </c>
      <c r="N4899" t="s">
        <v>47424</v>
      </c>
      <c r="O4899" t="s">
        <v>47425</v>
      </c>
      <c r="P4899">
        <v>0</v>
      </c>
      <c r="Q4899">
        <v>2</v>
      </c>
      <c r="R4899" t="s">
        <v>47430</v>
      </c>
      <c r="S4899" t="s">
        <v>47549</v>
      </c>
      <c r="T4899" t="s">
        <v>49073</v>
      </c>
      <c r="U4899" t="s">
        <v>53837</v>
      </c>
      <c r="W4899" t="s">
        <v>45046</v>
      </c>
      <c r="X4899" t="s">
        <v>47431</v>
      </c>
    </row>
    <row r="4900" spans="1:24">
      <c r="A4900">
        <f>HYPERLINK("https://www.philgeps.gov.ph/GEPSNONPILOT/Tender/SplashBidNoticeAbstractUI.aspx?menuIndex=3&amp;refID=7160227&amp;Result=3","7160227")</f>
        <v>0</v>
      </c>
      <c r="B4900" t="s">
        <v>1899</v>
      </c>
      <c r="C4900" t="s">
        <v>8529</v>
      </c>
      <c r="D4900" t="s">
        <v>19062</v>
      </c>
      <c r="E4900" t="s">
        <v>23440</v>
      </c>
      <c r="F4900" t="s">
        <v>32831</v>
      </c>
      <c r="G4900" t="s">
        <v>32839</v>
      </c>
      <c r="H4900" t="s">
        <v>32848</v>
      </c>
      <c r="I4900" t="s">
        <v>32851</v>
      </c>
      <c r="J4900" t="s">
        <v>33040</v>
      </c>
      <c r="K4900" t="s">
        <v>42727</v>
      </c>
      <c r="M4900" t="s">
        <v>45047</v>
      </c>
      <c r="N4900" t="s">
        <v>47424</v>
      </c>
      <c r="O4900" t="s">
        <v>47425</v>
      </c>
      <c r="P4900">
        <v>0</v>
      </c>
      <c r="Q4900">
        <v>0</v>
      </c>
      <c r="R4900" t="s">
        <v>47430</v>
      </c>
      <c r="S4900" t="s">
        <v>47549</v>
      </c>
      <c r="T4900" t="s">
        <v>49123</v>
      </c>
      <c r="U4900" t="s">
        <v>53838</v>
      </c>
      <c r="W4900" t="s">
        <v>45047</v>
      </c>
      <c r="X4900" t="s">
        <v>47431</v>
      </c>
    </row>
    <row r="4901" spans="1:24">
      <c r="A4901">
        <f>HYPERLINK("https://www.philgeps.gov.ph/GEPSNONPILOT/Tender/SplashBidNoticeAbstractUI.aspx?menuIndex=3&amp;refID=7160233&amp;Result=3","7160233")</f>
        <v>0</v>
      </c>
      <c r="B4901" t="s">
        <v>1900</v>
      </c>
      <c r="C4901" t="s">
        <v>8530</v>
      </c>
      <c r="D4901" t="s">
        <v>19038</v>
      </c>
      <c r="E4901" t="s">
        <v>19987</v>
      </c>
      <c r="F4901" t="s">
        <v>32831</v>
      </c>
      <c r="G4901" t="s">
        <v>32839</v>
      </c>
      <c r="H4901" t="s">
        <v>32849</v>
      </c>
      <c r="I4901" t="s">
        <v>4177</v>
      </c>
      <c r="J4901" t="s">
        <v>33083</v>
      </c>
      <c r="K4901" t="s">
        <v>42729</v>
      </c>
      <c r="M4901" t="s">
        <v>45048</v>
      </c>
      <c r="N4901" t="s">
        <v>47424</v>
      </c>
      <c r="O4901" t="s">
        <v>47425</v>
      </c>
      <c r="P4901">
        <v>0</v>
      </c>
      <c r="Q4901">
        <v>0</v>
      </c>
      <c r="R4901" t="s">
        <v>47430</v>
      </c>
      <c r="S4901" t="s">
        <v>47549</v>
      </c>
      <c r="T4901" t="s">
        <v>49245</v>
      </c>
      <c r="U4901" t="s">
        <v>53839</v>
      </c>
      <c r="W4901" t="s">
        <v>45048</v>
      </c>
      <c r="X4901" t="s">
        <v>47431</v>
      </c>
    </row>
    <row r="4902" spans="1:24">
      <c r="A4902">
        <f>HYPERLINK("https://www.philgeps.gov.ph/GEPSNONPILOT/Tender/SplashBidNoticeAbstractUI.aspx?menuIndex=3&amp;refID=7160196&amp;Result=3","7160196")</f>
        <v>0</v>
      </c>
      <c r="B4902" t="s">
        <v>582</v>
      </c>
      <c r="C4902" t="s">
        <v>8531</v>
      </c>
      <c r="D4902" t="s">
        <v>19027</v>
      </c>
      <c r="E4902" t="s">
        <v>23441</v>
      </c>
      <c r="F4902" t="s">
        <v>32831</v>
      </c>
      <c r="G4902" t="s">
        <v>32839</v>
      </c>
      <c r="H4902" t="s">
        <v>32848</v>
      </c>
      <c r="I4902" t="s">
        <v>4471</v>
      </c>
      <c r="J4902" t="s">
        <v>36144</v>
      </c>
      <c r="K4902" t="s">
        <v>42732</v>
      </c>
      <c r="M4902" t="s">
        <v>43593</v>
      </c>
      <c r="N4902" t="s">
        <v>47424</v>
      </c>
      <c r="O4902" t="s">
        <v>47425</v>
      </c>
      <c r="P4902">
        <v>0</v>
      </c>
      <c r="Q4902">
        <v>0</v>
      </c>
      <c r="R4902" t="s">
        <v>47430</v>
      </c>
      <c r="S4902" t="s">
        <v>47549</v>
      </c>
      <c r="T4902" t="s">
        <v>49104</v>
      </c>
      <c r="U4902" t="s">
        <v>53840</v>
      </c>
      <c r="V4902" t="s">
        <v>62761</v>
      </c>
      <c r="W4902" t="s">
        <v>43593</v>
      </c>
      <c r="X4902" t="s">
        <v>47431</v>
      </c>
    </row>
    <row r="4903" spans="1:24">
      <c r="A4903">
        <f>HYPERLINK("https://www.philgeps.gov.ph/GEPSNONPILOT/Tender/SplashBidNoticeAbstractUI.aspx?menuIndex=3&amp;refID=7160134&amp;Result=3","7160134")</f>
        <v>0</v>
      </c>
      <c r="B4903" t="s">
        <v>1889</v>
      </c>
      <c r="C4903" t="s">
        <v>8532</v>
      </c>
      <c r="D4903" t="s">
        <v>19027</v>
      </c>
      <c r="E4903" t="s">
        <v>23442</v>
      </c>
      <c r="F4903" t="s">
        <v>32831</v>
      </c>
      <c r="G4903" t="s">
        <v>32838</v>
      </c>
      <c r="H4903" t="s">
        <v>32848</v>
      </c>
      <c r="I4903" t="s">
        <v>32860</v>
      </c>
      <c r="J4903" t="s">
        <v>36145</v>
      </c>
      <c r="K4903" t="s">
        <v>42732</v>
      </c>
      <c r="M4903" t="s">
        <v>45035</v>
      </c>
      <c r="N4903" t="s">
        <v>47424</v>
      </c>
      <c r="O4903" t="s">
        <v>47425</v>
      </c>
      <c r="P4903">
        <v>0</v>
      </c>
      <c r="Q4903">
        <v>3</v>
      </c>
      <c r="R4903" t="s">
        <v>47430</v>
      </c>
      <c r="S4903" t="s">
        <v>47549</v>
      </c>
      <c r="T4903" t="s">
        <v>49114</v>
      </c>
      <c r="U4903" t="s">
        <v>53841</v>
      </c>
      <c r="W4903" t="s">
        <v>45035</v>
      </c>
      <c r="X4903" t="s">
        <v>47431</v>
      </c>
    </row>
    <row r="4904" spans="1:24">
      <c r="A4904">
        <f>HYPERLINK("https://www.philgeps.gov.ph/GEPSNONPILOT/Tender/SplashBidNoticeAbstractUI.aspx?menuIndex=3&amp;refID=7160133&amp;Result=3","7160133")</f>
        <v>0</v>
      </c>
      <c r="B4904" t="s">
        <v>1781</v>
      </c>
      <c r="C4904" t="s">
        <v>8533</v>
      </c>
      <c r="D4904" t="s">
        <v>19026</v>
      </c>
      <c r="E4904" t="s">
        <v>23443</v>
      </c>
      <c r="F4904" t="s">
        <v>32831</v>
      </c>
      <c r="G4904" t="s">
        <v>32838</v>
      </c>
      <c r="H4904" t="s">
        <v>32848</v>
      </c>
      <c r="I4904" t="s">
        <v>32864</v>
      </c>
      <c r="J4904" t="s">
        <v>36146</v>
      </c>
      <c r="K4904" t="s">
        <v>42732</v>
      </c>
      <c r="M4904" t="s">
        <v>44907</v>
      </c>
      <c r="N4904" t="s">
        <v>47424</v>
      </c>
      <c r="O4904" t="s">
        <v>47425</v>
      </c>
      <c r="P4904">
        <v>0</v>
      </c>
      <c r="Q4904">
        <v>5</v>
      </c>
      <c r="R4904" t="s">
        <v>47430</v>
      </c>
      <c r="S4904" t="s">
        <v>47549</v>
      </c>
      <c r="T4904" t="s">
        <v>49389</v>
      </c>
      <c r="U4904" t="s">
        <v>53842</v>
      </c>
      <c r="W4904" t="s">
        <v>44907</v>
      </c>
      <c r="X4904" t="s">
        <v>47431</v>
      </c>
    </row>
    <row r="4905" spans="1:24">
      <c r="A4905">
        <f>HYPERLINK("https://www.philgeps.gov.ph/GEPSNONPILOT/Tender/SplashBidNoticeAbstractUI.aspx?menuIndex=3&amp;refID=7160201&amp;Result=3","7160201")</f>
        <v>0</v>
      </c>
      <c r="B4905" t="s">
        <v>666</v>
      </c>
      <c r="C4905" t="s">
        <v>8534</v>
      </c>
      <c r="D4905" t="s">
        <v>19034</v>
      </c>
      <c r="E4905" t="s">
        <v>23444</v>
      </c>
      <c r="F4905" t="s">
        <v>32831</v>
      </c>
      <c r="G4905" t="s">
        <v>32839</v>
      </c>
      <c r="H4905" t="s">
        <v>32849</v>
      </c>
      <c r="I4905" t="s">
        <v>4177</v>
      </c>
      <c r="J4905" t="s">
        <v>33794</v>
      </c>
      <c r="K4905" t="s">
        <v>42732</v>
      </c>
      <c r="M4905" t="s">
        <v>43685</v>
      </c>
      <c r="N4905" t="s">
        <v>47424</v>
      </c>
      <c r="O4905" t="s">
        <v>47425</v>
      </c>
      <c r="P4905">
        <v>0</v>
      </c>
      <c r="Q4905">
        <v>0</v>
      </c>
      <c r="R4905" t="s">
        <v>47430</v>
      </c>
      <c r="S4905" t="s">
        <v>47549</v>
      </c>
      <c r="T4905" t="s">
        <v>49071</v>
      </c>
      <c r="U4905" t="s">
        <v>53174</v>
      </c>
      <c r="W4905" t="s">
        <v>43685</v>
      </c>
      <c r="X4905" t="s">
        <v>47431</v>
      </c>
    </row>
    <row r="4906" spans="1:24">
      <c r="A4906">
        <f>HYPERLINK("https://www.philgeps.gov.ph/GEPSNONPILOT/Tender/SplashBidNoticeAbstractUI.aspx?menuIndex=3&amp;refID=7160200&amp;Result=3","7160200")</f>
        <v>0</v>
      </c>
      <c r="B4906" t="s">
        <v>609</v>
      </c>
      <c r="C4906" t="s">
        <v>5237</v>
      </c>
      <c r="D4906" t="s">
        <v>19017</v>
      </c>
      <c r="E4906" t="s">
        <v>23445</v>
      </c>
      <c r="F4906" t="s">
        <v>32831</v>
      </c>
      <c r="G4906" t="s">
        <v>32840</v>
      </c>
      <c r="H4906" t="s">
        <v>32848</v>
      </c>
      <c r="I4906" t="s">
        <v>32860</v>
      </c>
      <c r="J4906" t="s">
        <v>33039</v>
      </c>
      <c r="K4906" t="s">
        <v>42732</v>
      </c>
      <c r="M4906" t="s">
        <v>43623</v>
      </c>
      <c r="N4906" t="s">
        <v>47424</v>
      </c>
      <c r="O4906" t="s">
        <v>47425</v>
      </c>
      <c r="P4906">
        <v>0</v>
      </c>
      <c r="Q4906">
        <v>12</v>
      </c>
      <c r="R4906" t="s">
        <v>47430</v>
      </c>
      <c r="S4906" t="s">
        <v>47549</v>
      </c>
      <c r="T4906" t="s">
        <v>49107</v>
      </c>
      <c r="U4906" t="s">
        <v>53843</v>
      </c>
      <c r="W4906" t="s">
        <v>43623</v>
      </c>
      <c r="X4906" t="s">
        <v>47431</v>
      </c>
    </row>
    <row r="4907" spans="1:24">
      <c r="A4907">
        <f>HYPERLINK("https://www.philgeps.gov.ph/GEPSNONPILOT/Tender/SplashBidNoticeAbstractUI.aspx?menuIndex=3&amp;refID=7160285&amp;Result=3","7160285")</f>
        <v>0</v>
      </c>
      <c r="B4907" t="s">
        <v>1880</v>
      </c>
      <c r="C4907" t="s">
        <v>8535</v>
      </c>
      <c r="D4907" t="s">
        <v>19079</v>
      </c>
      <c r="E4907" t="s">
        <v>19861</v>
      </c>
      <c r="F4907" t="s">
        <v>32831</v>
      </c>
      <c r="G4907" t="s">
        <v>32839</v>
      </c>
      <c r="H4907" t="s">
        <v>32848</v>
      </c>
      <c r="I4907" t="s">
        <v>9577</v>
      </c>
      <c r="J4907" t="s">
        <v>36147</v>
      </c>
      <c r="K4907" t="s">
        <v>42730</v>
      </c>
      <c r="M4907" t="s">
        <v>45024</v>
      </c>
      <c r="N4907" t="s">
        <v>47424</v>
      </c>
      <c r="O4907" t="s">
        <v>47425</v>
      </c>
      <c r="P4907">
        <v>0</v>
      </c>
      <c r="Q4907">
        <v>1</v>
      </c>
      <c r="R4907" t="s">
        <v>47430</v>
      </c>
      <c r="S4907" t="s">
        <v>47549</v>
      </c>
      <c r="T4907" t="s">
        <v>49179</v>
      </c>
      <c r="U4907" t="s">
        <v>53844</v>
      </c>
      <c r="W4907" t="s">
        <v>45024</v>
      </c>
      <c r="X4907" t="s">
        <v>47431</v>
      </c>
    </row>
    <row r="4908" spans="1:24">
      <c r="A4908">
        <f>HYPERLINK("https://www.philgeps.gov.ph/GEPSNONPILOT/Tender/SplashBidNoticeAbstractUI.aspx?menuIndex=3&amp;refID=7160198&amp;Result=3","7160198")</f>
        <v>0</v>
      </c>
      <c r="B4908" t="s">
        <v>1866</v>
      </c>
      <c r="C4908" t="s">
        <v>8536</v>
      </c>
      <c r="D4908" t="s">
        <v>19022</v>
      </c>
      <c r="E4908" t="s">
        <v>23446</v>
      </c>
      <c r="F4908" t="s">
        <v>32831</v>
      </c>
      <c r="G4908" t="s">
        <v>32838</v>
      </c>
      <c r="H4908" t="s">
        <v>32848</v>
      </c>
      <c r="I4908" t="s">
        <v>32860</v>
      </c>
      <c r="J4908" t="s">
        <v>33993</v>
      </c>
      <c r="K4908" t="s">
        <v>42730</v>
      </c>
      <c r="M4908" t="s">
        <v>45009</v>
      </c>
      <c r="N4908" t="s">
        <v>47424</v>
      </c>
      <c r="O4908" t="s">
        <v>47425</v>
      </c>
      <c r="P4908">
        <v>0</v>
      </c>
      <c r="Q4908">
        <v>1</v>
      </c>
      <c r="R4908" t="s">
        <v>47430</v>
      </c>
      <c r="S4908" t="s">
        <v>47549</v>
      </c>
      <c r="T4908" t="s">
        <v>49141</v>
      </c>
      <c r="U4908" t="s">
        <v>53742</v>
      </c>
      <c r="V4908" t="s">
        <v>63065</v>
      </c>
      <c r="W4908" t="s">
        <v>45009</v>
      </c>
      <c r="X4908" t="s">
        <v>47431</v>
      </c>
    </row>
    <row r="4909" spans="1:24">
      <c r="A4909">
        <f>HYPERLINK("https://www.philgeps.gov.ph/GEPSNONPILOT/Tender/SplashBidNoticeAbstractUI.aspx?menuIndex=3&amp;refID=7160195&amp;Result=3","7160195")</f>
        <v>0</v>
      </c>
      <c r="B4909" t="s">
        <v>888</v>
      </c>
      <c r="C4909" t="s">
        <v>8537</v>
      </c>
      <c r="D4909" t="s">
        <v>19067</v>
      </c>
      <c r="E4909" t="s">
        <v>19486</v>
      </c>
      <c r="F4909" t="s">
        <v>32831</v>
      </c>
      <c r="G4909" t="s">
        <v>32840</v>
      </c>
      <c r="H4909" t="s">
        <v>32848</v>
      </c>
      <c r="I4909" t="s">
        <v>32860</v>
      </c>
      <c r="J4909" t="s">
        <v>36148</v>
      </c>
      <c r="K4909" t="s">
        <v>42758</v>
      </c>
      <c r="M4909" t="s">
        <v>43923</v>
      </c>
      <c r="N4909" t="s">
        <v>47424</v>
      </c>
      <c r="O4909" t="s">
        <v>47425</v>
      </c>
      <c r="P4909">
        <v>0</v>
      </c>
      <c r="Q4909">
        <v>0</v>
      </c>
      <c r="R4909" t="s">
        <v>47430</v>
      </c>
      <c r="S4909" t="s">
        <v>47549</v>
      </c>
      <c r="T4909" t="s">
        <v>49145</v>
      </c>
      <c r="U4909" t="s">
        <v>53845</v>
      </c>
      <c r="W4909" t="s">
        <v>43923</v>
      </c>
      <c r="X4909" t="s">
        <v>47431</v>
      </c>
    </row>
    <row r="4910" spans="1:24">
      <c r="A4910">
        <f>HYPERLINK("https://www.philgeps.gov.ph/GEPSNONPILOT/Tender/SplashBidNoticeAbstractUI.aspx?menuIndex=3&amp;refID=7160283&amp;Result=3","7160283")</f>
        <v>0</v>
      </c>
      <c r="B4910" t="s">
        <v>1747</v>
      </c>
      <c r="C4910" t="s">
        <v>8538</v>
      </c>
      <c r="D4910" t="s">
        <v>19058</v>
      </c>
      <c r="E4910" t="s">
        <v>23447</v>
      </c>
      <c r="F4910" t="s">
        <v>32831</v>
      </c>
      <c r="G4910" t="s">
        <v>32838</v>
      </c>
      <c r="H4910" t="s">
        <v>32848</v>
      </c>
      <c r="I4910" t="s">
        <v>4487</v>
      </c>
      <c r="J4910" t="s">
        <v>33162</v>
      </c>
      <c r="K4910" t="s">
        <v>42727</v>
      </c>
      <c r="M4910" t="s">
        <v>45038</v>
      </c>
      <c r="N4910" t="s">
        <v>47424</v>
      </c>
      <c r="O4910" t="s">
        <v>47425</v>
      </c>
      <c r="P4910">
        <v>0</v>
      </c>
      <c r="Q4910">
        <v>1</v>
      </c>
      <c r="R4910" t="s">
        <v>47430</v>
      </c>
      <c r="S4910" t="s">
        <v>47549</v>
      </c>
      <c r="T4910" t="s">
        <v>49068</v>
      </c>
      <c r="U4910" t="s">
        <v>53846</v>
      </c>
      <c r="W4910" t="s">
        <v>45038</v>
      </c>
      <c r="X4910" t="s">
        <v>47431</v>
      </c>
    </row>
    <row r="4911" spans="1:24">
      <c r="A4911">
        <f>HYPERLINK("https://www.philgeps.gov.ph/GEPSNONPILOT/Tender/SplashBidNoticeAbstractUI.aspx?menuIndex=3&amp;refID=7160131&amp;Result=3","7160131")</f>
        <v>0</v>
      </c>
      <c r="B4911" t="s">
        <v>1901</v>
      </c>
      <c r="C4911" t="s">
        <v>8539</v>
      </c>
      <c r="D4911" t="s">
        <v>19034</v>
      </c>
      <c r="E4911" t="s">
        <v>19130</v>
      </c>
      <c r="F4911" t="s">
        <v>32831</v>
      </c>
      <c r="G4911" t="s">
        <v>32841</v>
      </c>
      <c r="H4911" t="s">
        <v>32848</v>
      </c>
      <c r="I4911" t="s">
        <v>32868</v>
      </c>
      <c r="J4911" t="s">
        <v>33433</v>
      </c>
      <c r="K4911" t="s">
        <v>42730</v>
      </c>
      <c r="M4911" t="s">
        <v>45049</v>
      </c>
      <c r="N4911" t="s">
        <v>47424</v>
      </c>
      <c r="O4911" t="s">
        <v>47425</v>
      </c>
      <c r="P4911">
        <v>0</v>
      </c>
      <c r="Q4911">
        <v>0</v>
      </c>
      <c r="R4911" t="s">
        <v>47430</v>
      </c>
      <c r="S4911" t="s">
        <v>47549</v>
      </c>
      <c r="T4911" t="s">
        <v>49198</v>
      </c>
      <c r="U4911" t="s">
        <v>53847</v>
      </c>
      <c r="W4911" t="s">
        <v>45049</v>
      </c>
      <c r="X4911" t="s">
        <v>47431</v>
      </c>
    </row>
    <row r="4912" spans="1:24">
      <c r="A4912">
        <f>HYPERLINK("https://www.philgeps.gov.ph/GEPSNONPILOT/Tender/SplashBidNoticeAbstractUI.aspx?menuIndex=3&amp;refID=7160279&amp;Result=3","7160279")</f>
        <v>0</v>
      </c>
      <c r="B4912" t="s">
        <v>246</v>
      </c>
      <c r="C4912" t="s">
        <v>8540</v>
      </c>
      <c r="E4912" t="s">
        <v>23448</v>
      </c>
      <c r="F4912" t="s">
        <v>32831</v>
      </c>
      <c r="G4912" t="s">
        <v>32839</v>
      </c>
      <c r="H4912" t="s">
        <v>32849</v>
      </c>
      <c r="I4912" t="s">
        <v>4177</v>
      </c>
      <c r="J4912" t="s">
        <v>36149</v>
      </c>
      <c r="K4912" t="s">
        <v>42732</v>
      </c>
      <c r="M4912" t="s">
        <v>43245</v>
      </c>
      <c r="N4912" t="s">
        <v>47424</v>
      </c>
      <c r="O4912" t="s">
        <v>47425</v>
      </c>
      <c r="P4912">
        <v>0</v>
      </c>
      <c r="Q4912">
        <v>6</v>
      </c>
      <c r="R4912" t="s">
        <v>47430</v>
      </c>
      <c r="S4912" t="s">
        <v>47549</v>
      </c>
      <c r="T4912" t="s">
        <v>49412</v>
      </c>
      <c r="U4912" t="s">
        <v>53848</v>
      </c>
      <c r="V4912" t="s">
        <v>63174</v>
      </c>
      <c r="W4912" t="s">
        <v>43245</v>
      </c>
      <c r="X4912" t="s">
        <v>47431</v>
      </c>
    </row>
    <row r="4913" spans="1:24">
      <c r="A4913">
        <f>HYPERLINK("https://www.philgeps.gov.ph/GEPSNONPILOT/Tender/SplashBidNoticeAbstractUI.aspx?menuIndex=3&amp;refID=7160276&amp;Result=3","7160276")</f>
        <v>0</v>
      </c>
      <c r="B4913" t="s">
        <v>1661</v>
      </c>
      <c r="C4913" t="s">
        <v>8541</v>
      </c>
      <c r="D4913" t="s">
        <v>19063</v>
      </c>
      <c r="E4913" t="s">
        <v>23449</v>
      </c>
      <c r="F4913" t="s">
        <v>32831</v>
      </c>
      <c r="G4913" t="s">
        <v>32839</v>
      </c>
      <c r="H4913" t="s">
        <v>32848</v>
      </c>
      <c r="I4913" t="s">
        <v>7416</v>
      </c>
      <c r="J4913" t="s">
        <v>36150</v>
      </c>
      <c r="K4913" t="s">
        <v>42729</v>
      </c>
      <c r="M4913" t="s">
        <v>44778</v>
      </c>
      <c r="N4913" t="s">
        <v>47424</v>
      </c>
      <c r="O4913" t="s">
        <v>47425</v>
      </c>
      <c r="P4913">
        <v>0</v>
      </c>
      <c r="Q4913">
        <v>0</v>
      </c>
      <c r="R4913" t="s">
        <v>47430</v>
      </c>
      <c r="S4913" t="s">
        <v>47549</v>
      </c>
      <c r="T4913" t="s">
        <v>49129</v>
      </c>
      <c r="U4913" t="s">
        <v>53849</v>
      </c>
      <c r="W4913" t="s">
        <v>44778</v>
      </c>
      <c r="X4913" t="s">
        <v>47431</v>
      </c>
    </row>
    <row r="4914" spans="1:24">
      <c r="A4914">
        <f>HYPERLINK("https://www.philgeps.gov.ph/GEPSNONPILOT/Tender/SplashBidNoticeAbstractUI.aspx?menuIndex=3&amp;refID=7160273&amp;Result=3","7160273")</f>
        <v>0</v>
      </c>
      <c r="B4914" t="s">
        <v>352</v>
      </c>
      <c r="C4914" t="s">
        <v>8542</v>
      </c>
      <c r="D4914" t="s">
        <v>19017</v>
      </c>
      <c r="E4914" t="s">
        <v>23450</v>
      </c>
      <c r="F4914" t="s">
        <v>32831</v>
      </c>
      <c r="G4914" t="s">
        <v>32839</v>
      </c>
      <c r="H4914" t="s">
        <v>32850</v>
      </c>
      <c r="I4914" t="s">
        <v>32953</v>
      </c>
      <c r="J4914" t="s">
        <v>34447</v>
      </c>
      <c r="K4914" t="s">
        <v>42870</v>
      </c>
      <c r="M4914" t="s">
        <v>43871</v>
      </c>
      <c r="N4914" t="s">
        <v>47424</v>
      </c>
      <c r="O4914" t="s">
        <v>47425</v>
      </c>
      <c r="P4914">
        <v>0</v>
      </c>
      <c r="Q4914">
        <v>6</v>
      </c>
      <c r="R4914" t="s">
        <v>47430</v>
      </c>
      <c r="S4914" t="s">
        <v>47549</v>
      </c>
      <c r="T4914" t="s">
        <v>49072</v>
      </c>
      <c r="U4914" t="s">
        <v>53850</v>
      </c>
      <c r="W4914" t="s">
        <v>43871</v>
      </c>
      <c r="X4914" t="s">
        <v>47431</v>
      </c>
    </row>
    <row r="4915" spans="1:24">
      <c r="A4915">
        <f>HYPERLINK("https://www.philgeps.gov.ph/GEPSNONPILOT/Tender/SplashBidNoticeAbstractUI.aspx?menuIndex=3&amp;refID=7160270&amp;Result=3","7160270")</f>
        <v>0</v>
      </c>
      <c r="B4915" t="s">
        <v>1866</v>
      </c>
      <c r="C4915" t="s">
        <v>8543</v>
      </c>
      <c r="D4915" t="s">
        <v>19022</v>
      </c>
      <c r="E4915" t="s">
        <v>23451</v>
      </c>
      <c r="F4915" t="s">
        <v>32831</v>
      </c>
      <c r="G4915" t="s">
        <v>32838</v>
      </c>
      <c r="H4915" t="s">
        <v>32848</v>
      </c>
      <c r="I4915" t="s">
        <v>4776</v>
      </c>
      <c r="J4915" t="s">
        <v>36151</v>
      </c>
      <c r="K4915" t="s">
        <v>42730</v>
      </c>
      <c r="M4915" t="s">
        <v>45009</v>
      </c>
      <c r="N4915" t="s">
        <v>47424</v>
      </c>
      <c r="O4915" t="s">
        <v>47425</v>
      </c>
      <c r="P4915">
        <v>0</v>
      </c>
      <c r="Q4915">
        <v>2</v>
      </c>
      <c r="R4915" t="s">
        <v>47430</v>
      </c>
      <c r="S4915" t="s">
        <v>47549</v>
      </c>
      <c r="T4915" t="s">
        <v>49141</v>
      </c>
      <c r="U4915" t="s">
        <v>53742</v>
      </c>
      <c r="V4915" t="s">
        <v>63065</v>
      </c>
      <c r="W4915" t="s">
        <v>45009</v>
      </c>
      <c r="X4915" t="s">
        <v>47431</v>
      </c>
    </row>
    <row r="4916" spans="1:24">
      <c r="A4916">
        <f>HYPERLINK("https://www.philgeps.gov.ph/GEPSNONPILOT/Tender/SplashBidNoticeAbstractUI.aspx?menuIndex=3&amp;refID=7160280&amp;Result=3","7160280")</f>
        <v>0</v>
      </c>
      <c r="B4916" t="s">
        <v>1679</v>
      </c>
      <c r="C4916" t="s">
        <v>8544</v>
      </c>
      <c r="D4916" t="s">
        <v>19052</v>
      </c>
      <c r="E4916" t="s">
        <v>23452</v>
      </c>
      <c r="F4916" t="s">
        <v>32831</v>
      </c>
      <c r="G4916" t="s">
        <v>32839</v>
      </c>
      <c r="H4916" t="s">
        <v>32849</v>
      </c>
      <c r="I4916" t="s">
        <v>4177</v>
      </c>
      <c r="J4916" t="s">
        <v>36152</v>
      </c>
      <c r="K4916" t="s">
        <v>42773</v>
      </c>
      <c r="M4916" t="s">
        <v>44797</v>
      </c>
      <c r="N4916" t="s">
        <v>47424</v>
      </c>
      <c r="O4916" t="s">
        <v>47425</v>
      </c>
      <c r="P4916">
        <v>0</v>
      </c>
      <c r="Q4916">
        <v>1</v>
      </c>
      <c r="R4916" t="s">
        <v>47430</v>
      </c>
      <c r="S4916" t="s">
        <v>47549</v>
      </c>
      <c r="T4916" t="s">
        <v>49198</v>
      </c>
      <c r="U4916" t="s">
        <v>53851</v>
      </c>
      <c r="V4916" t="s">
        <v>63135</v>
      </c>
      <c r="W4916" t="s">
        <v>44797</v>
      </c>
      <c r="X4916" t="s">
        <v>47431</v>
      </c>
    </row>
    <row r="4917" spans="1:24">
      <c r="A4917">
        <f>HYPERLINK("https://www.philgeps.gov.ph/GEPSNONPILOT/Tender/SplashBidNoticeAbstractUI.aspx?menuIndex=3&amp;refID=7160266&amp;Result=3","7160266")</f>
        <v>0</v>
      </c>
      <c r="B4917" t="s">
        <v>1847</v>
      </c>
      <c r="C4917" t="s">
        <v>8545</v>
      </c>
      <c r="D4917" t="s">
        <v>19037</v>
      </c>
      <c r="E4917" t="s">
        <v>23297</v>
      </c>
      <c r="F4917" t="s">
        <v>32831</v>
      </c>
      <c r="G4917" t="s">
        <v>32839</v>
      </c>
      <c r="H4917" t="s">
        <v>32849</v>
      </c>
      <c r="I4917" t="s">
        <v>4177</v>
      </c>
      <c r="J4917" t="s">
        <v>36153</v>
      </c>
      <c r="K4917" t="s">
        <v>42770</v>
      </c>
      <c r="M4917" t="s">
        <v>44983</v>
      </c>
      <c r="N4917" t="s">
        <v>47424</v>
      </c>
      <c r="O4917" t="s">
        <v>47425</v>
      </c>
      <c r="P4917">
        <v>0</v>
      </c>
      <c r="Q4917">
        <v>4</v>
      </c>
      <c r="R4917" t="s">
        <v>47430</v>
      </c>
      <c r="S4917" t="s">
        <v>47549</v>
      </c>
      <c r="T4917" t="s">
        <v>49130</v>
      </c>
      <c r="U4917" t="s">
        <v>53852</v>
      </c>
      <c r="V4917" t="s">
        <v>63175</v>
      </c>
      <c r="W4917" t="s">
        <v>44983</v>
      </c>
      <c r="X4917" t="s">
        <v>47431</v>
      </c>
    </row>
    <row r="4918" spans="1:24">
      <c r="A4918">
        <f>HYPERLINK("https://www.philgeps.gov.ph/GEPSNONPILOT/Tender/SplashBidNoticeAbstractUI.aspx?menuIndex=3&amp;refID=7160235&amp;Result=3","7160235")</f>
        <v>0</v>
      </c>
      <c r="B4918" t="s">
        <v>1864</v>
      </c>
      <c r="C4918" t="s">
        <v>8546</v>
      </c>
      <c r="D4918" t="s">
        <v>19045</v>
      </c>
      <c r="E4918" t="s">
        <v>23453</v>
      </c>
      <c r="F4918" t="s">
        <v>32831</v>
      </c>
      <c r="G4918" t="s">
        <v>32839</v>
      </c>
      <c r="H4918" t="s">
        <v>32848</v>
      </c>
      <c r="I4918" t="s">
        <v>4776</v>
      </c>
      <c r="J4918" t="s">
        <v>33292</v>
      </c>
      <c r="K4918" t="s">
        <v>42730</v>
      </c>
      <c r="M4918" t="s">
        <v>45006</v>
      </c>
      <c r="N4918" t="s">
        <v>47424</v>
      </c>
      <c r="O4918" t="s">
        <v>47425</v>
      </c>
      <c r="P4918">
        <v>0</v>
      </c>
      <c r="Q4918">
        <v>0</v>
      </c>
      <c r="R4918" t="s">
        <v>47430</v>
      </c>
      <c r="S4918" t="s">
        <v>47549</v>
      </c>
      <c r="T4918" t="s">
        <v>49078</v>
      </c>
      <c r="U4918" t="s">
        <v>53853</v>
      </c>
      <c r="W4918" t="s">
        <v>45006</v>
      </c>
      <c r="X4918" t="s">
        <v>47431</v>
      </c>
    </row>
    <row r="4919" spans="1:24">
      <c r="A4919">
        <f>HYPERLINK("https://www.philgeps.gov.ph/GEPSNONPILOT/Tender/SplashBidNoticeAbstractUI.aspx?menuIndex=3&amp;refID=7160265&amp;Result=3","7160265")</f>
        <v>0</v>
      </c>
      <c r="B4919" t="s">
        <v>1385</v>
      </c>
      <c r="C4919" t="s">
        <v>8547</v>
      </c>
      <c r="D4919" t="s">
        <v>19060</v>
      </c>
      <c r="E4919" t="s">
        <v>23454</v>
      </c>
      <c r="F4919" t="s">
        <v>32831</v>
      </c>
      <c r="G4919" t="s">
        <v>32840</v>
      </c>
      <c r="H4919" t="s">
        <v>32848</v>
      </c>
      <c r="I4919" t="s">
        <v>4438</v>
      </c>
      <c r="J4919" t="s">
        <v>36154</v>
      </c>
      <c r="K4919" t="s">
        <v>42730</v>
      </c>
      <c r="M4919" t="s">
        <v>44470</v>
      </c>
      <c r="N4919" t="s">
        <v>47424</v>
      </c>
      <c r="O4919" t="s">
        <v>47425</v>
      </c>
      <c r="P4919">
        <v>0</v>
      </c>
      <c r="Q4919">
        <v>1</v>
      </c>
      <c r="R4919" t="s">
        <v>47430</v>
      </c>
      <c r="S4919" t="s">
        <v>47549</v>
      </c>
      <c r="T4919" t="s">
        <v>49129</v>
      </c>
      <c r="U4919" t="s">
        <v>53854</v>
      </c>
      <c r="V4919" t="s">
        <v>62982</v>
      </c>
      <c r="W4919" t="s">
        <v>44470</v>
      </c>
      <c r="X4919" t="s">
        <v>47431</v>
      </c>
    </row>
    <row r="4920" spans="1:24">
      <c r="A4920">
        <f>HYPERLINK("https://www.philgeps.gov.ph/GEPSNONPILOT/Tender/SplashBidNoticeAbstractUI.aspx?menuIndex=3&amp;refID=7160263&amp;Result=3","7160263")</f>
        <v>0</v>
      </c>
      <c r="B4920" t="s">
        <v>435</v>
      </c>
      <c r="C4920" t="s">
        <v>8548</v>
      </c>
      <c r="D4920" t="s">
        <v>19060</v>
      </c>
      <c r="E4920" t="s">
        <v>23455</v>
      </c>
      <c r="F4920" t="s">
        <v>32831</v>
      </c>
      <c r="G4920" t="s">
        <v>32839</v>
      </c>
      <c r="H4920" t="s">
        <v>32848</v>
      </c>
      <c r="I4920" t="s">
        <v>7751</v>
      </c>
      <c r="J4920" t="s">
        <v>33707</v>
      </c>
      <c r="K4920" t="s">
        <v>42729</v>
      </c>
      <c r="M4920" t="s">
        <v>43440</v>
      </c>
      <c r="N4920" t="s">
        <v>47424</v>
      </c>
      <c r="O4920" t="s">
        <v>47425</v>
      </c>
      <c r="Q4920">
        <v>4</v>
      </c>
      <c r="R4920" t="s">
        <v>47430</v>
      </c>
      <c r="S4920" t="s">
        <v>47555</v>
      </c>
      <c r="T4920" t="s">
        <v>49413</v>
      </c>
      <c r="U4920" t="s">
        <v>53855</v>
      </c>
      <c r="V4920" t="s">
        <v>63176</v>
      </c>
      <c r="W4920" t="s">
        <v>43440</v>
      </c>
      <c r="X4920" t="s">
        <v>47431</v>
      </c>
    </row>
    <row r="4921" spans="1:24">
      <c r="A4921">
        <f>HYPERLINK("https://www.philgeps.gov.ph/GEPSNONPILOT/Tender/SplashBidNoticeAbstractUI.aspx?menuIndex=3&amp;refID=7160281&amp;Result=3","7160281")</f>
        <v>0</v>
      </c>
      <c r="B4921" t="s">
        <v>1876</v>
      </c>
      <c r="C4921" t="s">
        <v>8549</v>
      </c>
      <c r="D4921" t="s">
        <v>19034</v>
      </c>
      <c r="E4921" t="s">
        <v>23456</v>
      </c>
      <c r="F4921" t="s">
        <v>32831</v>
      </c>
      <c r="G4921" t="s">
        <v>32839</v>
      </c>
      <c r="H4921" t="s">
        <v>32849</v>
      </c>
      <c r="I4921" t="s">
        <v>4177</v>
      </c>
      <c r="J4921" t="s">
        <v>33140</v>
      </c>
      <c r="K4921" t="s">
        <v>42747</v>
      </c>
      <c r="M4921" t="s">
        <v>45020</v>
      </c>
      <c r="N4921" t="s">
        <v>47424</v>
      </c>
      <c r="O4921" t="s">
        <v>47425</v>
      </c>
      <c r="P4921">
        <v>0</v>
      </c>
      <c r="Q4921">
        <v>0</v>
      </c>
      <c r="R4921" t="s">
        <v>47430</v>
      </c>
      <c r="S4921" t="s">
        <v>47549</v>
      </c>
      <c r="T4921" t="s">
        <v>49077</v>
      </c>
      <c r="U4921" t="s">
        <v>53856</v>
      </c>
      <c r="W4921" t="s">
        <v>45020</v>
      </c>
      <c r="X4921" t="s">
        <v>47431</v>
      </c>
    </row>
    <row r="4922" spans="1:24">
      <c r="A4922">
        <f>HYPERLINK("https://www.philgeps.gov.ph/GEPSNONPILOT/Tender/SplashBidNoticeAbstractUI.aspx?menuIndex=3&amp;refID=7160259&amp;Result=3","7160259")</f>
        <v>0</v>
      </c>
      <c r="B4922" t="s">
        <v>851</v>
      </c>
      <c r="C4922" t="s">
        <v>8550</v>
      </c>
      <c r="D4922" t="s">
        <v>19017</v>
      </c>
      <c r="E4922" t="s">
        <v>23457</v>
      </c>
      <c r="F4922" t="s">
        <v>32831</v>
      </c>
      <c r="G4922" t="s">
        <v>32838</v>
      </c>
      <c r="H4922" t="s">
        <v>32848</v>
      </c>
      <c r="I4922" t="s">
        <v>10805</v>
      </c>
      <c r="J4922" t="s">
        <v>33568</v>
      </c>
      <c r="K4922" t="s">
        <v>42726</v>
      </c>
      <c r="M4922" t="s">
        <v>45050</v>
      </c>
      <c r="N4922" t="s">
        <v>47424</v>
      </c>
      <c r="O4922" t="s">
        <v>47425</v>
      </c>
      <c r="P4922">
        <v>0</v>
      </c>
      <c r="Q4922">
        <v>3</v>
      </c>
      <c r="R4922" t="s">
        <v>47430</v>
      </c>
      <c r="S4922" t="s">
        <v>47549</v>
      </c>
      <c r="T4922" t="s">
        <v>49214</v>
      </c>
      <c r="U4922" t="s">
        <v>53857</v>
      </c>
      <c r="W4922" t="s">
        <v>45050</v>
      </c>
      <c r="X4922" t="s">
        <v>47431</v>
      </c>
    </row>
    <row r="4923" spans="1:24">
      <c r="A4923">
        <f>HYPERLINK("https://www.philgeps.gov.ph/GEPSNONPILOT/Tender/SplashBidNoticeAbstractUI.aspx?menuIndex=3&amp;refID=7160268&amp;Result=3","7160268")</f>
        <v>0</v>
      </c>
      <c r="B4923" t="s">
        <v>49</v>
      </c>
      <c r="C4923" t="s">
        <v>8551</v>
      </c>
      <c r="D4923" t="s">
        <v>19037</v>
      </c>
      <c r="E4923" t="s">
        <v>8551</v>
      </c>
      <c r="F4923" t="s">
        <v>32831</v>
      </c>
      <c r="G4923" t="s">
        <v>32839</v>
      </c>
      <c r="H4923" t="s">
        <v>32848</v>
      </c>
      <c r="I4923" t="s">
        <v>10888</v>
      </c>
      <c r="J4923" t="s">
        <v>36155</v>
      </c>
      <c r="K4923" t="s">
        <v>42750</v>
      </c>
      <c r="M4923" t="s">
        <v>45033</v>
      </c>
      <c r="N4923" t="s">
        <v>47424</v>
      </c>
      <c r="O4923" t="s">
        <v>47425</v>
      </c>
      <c r="P4923">
        <v>0</v>
      </c>
      <c r="Q4923">
        <v>0</v>
      </c>
      <c r="R4923" t="s">
        <v>47430</v>
      </c>
      <c r="S4923" t="s">
        <v>47549</v>
      </c>
      <c r="T4923" t="s">
        <v>49104</v>
      </c>
      <c r="U4923" t="s">
        <v>53858</v>
      </c>
      <c r="W4923" t="s">
        <v>45033</v>
      </c>
      <c r="X4923" t="s">
        <v>47431</v>
      </c>
    </row>
    <row r="4924" spans="1:24">
      <c r="A4924">
        <f>HYPERLINK("https://www.philgeps.gov.ph/GEPSNONPILOT/Tender/SplashBidNoticeAbstractUI.aspx?menuIndex=3&amp;refID=7160256&amp;Result=3","7160256")</f>
        <v>0</v>
      </c>
      <c r="B4924" t="s">
        <v>1726</v>
      </c>
      <c r="C4924" t="s">
        <v>8552</v>
      </c>
      <c r="D4924" t="s">
        <v>19042</v>
      </c>
      <c r="E4924" t="s">
        <v>23008</v>
      </c>
      <c r="F4924" t="s">
        <v>32831</v>
      </c>
      <c r="G4924" t="s">
        <v>32840</v>
      </c>
      <c r="H4924" t="s">
        <v>32848</v>
      </c>
      <c r="I4924" t="s">
        <v>32877</v>
      </c>
      <c r="J4924" t="s">
        <v>36156</v>
      </c>
      <c r="K4924" t="s">
        <v>42731</v>
      </c>
      <c r="M4924" t="s">
        <v>44849</v>
      </c>
      <c r="N4924" t="s">
        <v>47424</v>
      </c>
      <c r="O4924" t="s">
        <v>47425</v>
      </c>
      <c r="P4924">
        <v>0</v>
      </c>
      <c r="Q4924">
        <v>0</v>
      </c>
      <c r="R4924" t="s">
        <v>47430</v>
      </c>
      <c r="S4924" t="s">
        <v>47549</v>
      </c>
      <c r="T4924" t="s">
        <v>49237</v>
      </c>
      <c r="U4924" t="s">
        <v>53859</v>
      </c>
      <c r="W4924" t="s">
        <v>44849</v>
      </c>
      <c r="X4924" t="s">
        <v>47431</v>
      </c>
    </row>
    <row r="4925" spans="1:24">
      <c r="A4925">
        <f>HYPERLINK("https://www.philgeps.gov.ph/GEPSNONPILOT/Tender/SplashBidNoticeAbstractUI.aspx?menuIndex=3&amp;refID=7160318&amp;Result=3","7160318")</f>
        <v>0</v>
      </c>
      <c r="B4925" t="s">
        <v>312</v>
      </c>
      <c r="C4925" t="s">
        <v>8553</v>
      </c>
      <c r="D4925" t="s">
        <v>19018</v>
      </c>
      <c r="E4925" t="s">
        <v>23458</v>
      </c>
      <c r="F4925" t="s">
        <v>32831</v>
      </c>
      <c r="G4925" t="s">
        <v>32838</v>
      </c>
      <c r="H4925" t="s">
        <v>32848</v>
      </c>
      <c r="I4925" t="s">
        <v>4222</v>
      </c>
      <c r="J4925" t="s">
        <v>33090</v>
      </c>
      <c r="K4925" t="s">
        <v>42730</v>
      </c>
      <c r="M4925" t="s">
        <v>43314</v>
      </c>
      <c r="N4925" t="s">
        <v>47424</v>
      </c>
      <c r="O4925" t="s">
        <v>47425</v>
      </c>
      <c r="P4925">
        <v>0</v>
      </c>
      <c r="Q4925">
        <v>0</v>
      </c>
      <c r="R4925" t="s">
        <v>47430</v>
      </c>
      <c r="S4925" t="s">
        <v>47549</v>
      </c>
      <c r="T4925" t="s">
        <v>49141</v>
      </c>
      <c r="U4925" t="s">
        <v>50225</v>
      </c>
      <c r="W4925" t="s">
        <v>43314</v>
      </c>
      <c r="X4925" t="s">
        <v>47431</v>
      </c>
    </row>
    <row r="4926" spans="1:24">
      <c r="A4926">
        <f>HYPERLINK("https://www.philgeps.gov.ph/GEPSNONPILOT/Tender/SplashBidNoticeAbstractUI.aspx?menuIndex=3&amp;refID=7160264&amp;Result=3","7160264")</f>
        <v>0</v>
      </c>
      <c r="B4926" t="s">
        <v>1895</v>
      </c>
      <c r="C4926" t="s">
        <v>8554</v>
      </c>
      <c r="E4926" t="s">
        <v>23459</v>
      </c>
      <c r="F4926" t="s">
        <v>32831</v>
      </c>
      <c r="G4926" t="s">
        <v>32838</v>
      </c>
      <c r="H4926" t="s">
        <v>32848</v>
      </c>
      <c r="I4926" t="s">
        <v>10805</v>
      </c>
      <c r="J4926" t="s">
        <v>32980</v>
      </c>
      <c r="K4926" t="s">
        <v>42732</v>
      </c>
      <c r="M4926" t="s">
        <v>45042</v>
      </c>
      <c r="N4926" t="s">
        <v>47424</v>
      </c>
      <c r="O4926" t="s">
        <v>47425</v>
      </c>
      <c r="P4926">
        <v>0</v>
      </c>
      <c r="Q4926">
        <v>1</v>
      </c>
      <c r="R4926" t="s">
        <v>47430</v>
      </c>
      <c r="S4926" t="s">
        <v>47549</v>
      </c>
      <c r="T4926" t="s">
        <v>49237</v>
      </c>
      <c r="U4926" t="s">
        <v>53860</v>
      </c>
      <c r="W4926" t="s">
        <v>45042</v>
      </c>
      <c r="X4926" t="s">
        <v>47431</v>
      </c>
    </row>
    <row r="4927" spans="1:24">
      <c r="A4927">
        <f>HYPERLINK("https://www.philgeps.gov.ph/GEPSNONPILOT/Tender/SplashBidNoticeAbstractUI.aspx?menuIndex=3&amp;refID=7160317&amp;Result=3","7160317")</f>
        <v>0</v>
      </c>
      <c r="B4927" t="s">
        <v>1151</v>
      </c>
      <c r="C4927" t="s">
        <v>8555</v>
      </c>
      <c r="E4927" t="s">
        <v>23460</v>
      </c>
      <c r="F4927" t="s">
        <v>32831</v>
      </c>
      <c r="G4927" t="s">
        <v>32839</v>
      </c>
      <c r="H4927" t="s">
        <v>32849</v>
      </c>
      <c r="I4927" t="s">
        <v>4177</v>
      </c>
      <c r="J4927" t="s">
        <v>36157</v>
      </c>
      <c r="K4927" t="s">
        <v>42754</v>
      </c>
      <c r="M4927" t="s">
        <v>44215</v>
      </c>
      <c r="N4927" t="s">
        <v>47424</v>
      </c>
      <c r="O4927" t="s">
        <v>47425</v>
      </c>
      <c r="P4927">
        <v>0</v>
      </c>
      <c r="Q4927">
        <v>0</v>
      </c>
      <c r="R4927" t="s">
        <v>47430</v>
      </c>
      <c r="S4927" t="s">
        <v>47549</v>
      </c>
      <c r="T4927" t="s">
        <v>49216</v>
      </c>
      <c r="U4927" t="s">
        <v>51939</v>
      </c>
      <c r="W4927" t="s">
        <v>44215</v>
      </c>
      <c r="X4927" t="s">
        <v>47431</v>
      </c>
    </row>
    <row r="4928" spans="1:24">
      <c r="A4928">
        <f>HYPERLINK("https://www.philgeps.gov.ph/GEPSNONPILOT/Tender/SplashBidNoticeAbstractUI.aspx?menuIndex=3&amp;refID=7160272&amp;Result=3","7160272")</f>
        <v>0</v>
      </c>
      <c r="B4928" t="s">
        <v>513</v>
      </c>
      <c r="C4928" t="s">
        <v>8556</v>
      </c>
      <c r="D4928" t="s">
        <v>19018</v>
      </c>
      <c r="E4928" t="s">
        <v>23461</v>
      </c>
      <c r="F4928" t="s">
        <v>32831</v>
      </c>
      <c r="G4928" t="s">
        <v>32838</v>
      </c>
      <c r="H4928" t="s">
        <v>32848</v>
      </c>
      <c r="I4928" t="s">
        <v>4558</v>
      </c>
      <c r="J4928" t="s">
        <v>36158</v>
      </c>
      <c r="K4928" t="s">
        <v>42726</v>
      </c>
      <c r="M4928" t="s">
        <v>43518</v>
      </c>
      <c r="N4928" t="s">
        <v>47424</v>
      </c>
      <c r="O4928" t="s">
        <v>47425</v>
      </c>
      <c r="P4928">
        <v>0</v>
      </c>
      <c r="Q4928">
        <v>0</v>
      </c>
      <c r="R4928" t="s">
        <v>47430</v>
      </c>
      <c r="S4928" t="s">
        <v>47549</v>
      </c>
      <c r="T4928" t="s">
        <v>49214</v>
      </c>
      <c r="U4928" t="s">
        <v>50599</v>
      </c>
      <c r="W4928" t="s">
        <v>64441</v>
      </c>
      <c r="X4928" t="s">
        <v>47431</v>
      </c>
    </row>
    <row r="4929" spans="1:24">
      <c r="A4929">
        <f>HYPERLINK("https://www.philgeps.gov.ph/GEPSNONPILOT/Tender/SplashBidNoticeAbstractUI.aspx?menuIndex=3&amp;refID=7160315&amp;Result=3","7160315")</f>
        <v>0</v>
      </c>
      <c r="B4929" t="s">
        <v>1385</v>
      </c>
      <c r="C4929" t="s">
        <v>8557</v>
      </c>
      <c r="D4929" t="s">
        <v>19060</v>
      </c>
      <c r="E4929" t="s">
        <v>23462</v>
      </c>
      <c r="F4929" t="s">
        <v>32831</v>
      </c>
      <c r="G4929" t="s">
        <v>32838</v>
      </c>
      <c r="H4929" t="s">
        <v>32848</v>
      </c>
      <c r="I4929" t="s">
        <v>32851</v>
      </c>
      <c r="J4929" t="s">
        <v>33044</v>
      </c>
      <c r="K4929" t="s">
        <v>42730</v>
      </c>
      <c r="M4929" t="s">
        <v>44470</v>
      </c>
      <c r="N4929" t="s">
        <v>47424</v>
      </c>
      <c r="O4929" t="s">
        <v>47425</v>
      </c>
      <c r="P4929">
        <v>0</v>
      </c>
      <c r="Q4929">
        <v>9</v>
      </c>
      <c r="R4929" t="s">
        <v>47430</v>
      </c>
      <c r="S4929" t="s">
        <v>47549</v>
      </c>
      <c r="T4929" t="s">
        <v>49129</v>
      </c>
      <c r="U4929" t="s">
        <v>53861</v>
      </c>
      <c r="V4929" t="s">
        <v>62982</v>
      </c>
      <c r="W4929" t="s">
        <v>44470</v>
      </c>
      <c r="X4929" t="s">
        <v>47431</v>
      </c>
    </row>
    <row r="4930" spans="1:24">
      <c r="A4930">
        <f>HYPERLINK("https://www.philgeps.gov.ph/GEPSNONPILOT/Tender/SplashBidNoticeAbstractUI.aspx?menuIndex=3&amp;refID=7160257&amp;Result=3","7160257")</f>
        <v>0</v>
      </c>
      <c r="B4930" t="s">
        <v>876</v>
      </c>
      <c r="C4930" t="s">
        <v>8558</v>
      </c>
      <c r="D4930" t="s">
        <v>19033</v>
      </c>
      <c r="E4930" t="s">
        <v>23463</v>
      </c>
      <c r="F4930" t="s">
        <v>32831</v>
      </c>
      <c r="G4930" t="s">
        <v>32840</v>
      </c>
      <c r="H4930" t="s">
        <v>32848</v>
      </c>
      <c r="I4930" t="s">
        <v>7416</v>
      </c>
      <c r="J4930" t="s">
        <v>36159</v>
      </c>
      <c r="K4930" t="s">
        <v>42727</v>
      </c>
      <c r="M4930" t="s">
        <v>43910</v>
      </c>
      <c r="N4930" t="s">
        <v>47424</v>
      </c>
      <c r="O4930" t="s">
        <v>47425</v>
      </c>
      <c r="P4930">
        <v>0</v>
      </c>
      <c r="Q4930">
        <v>0</v>
      </c>
      <c r="R4930" t="s">
        <v>47430</v>
      </c>
      <c r="S4930" t="s">
        <v>47549</v>
      </c>
      <c r="T4930" t="s">
        <v>49166</v>
      </c>
      <c r="U4930" t="s">
        <v>53862</v>
      </c>
      <c r="W4930" t="s">
        <v>43910</v>
      </c>
      <c r="X4930" t="s">
        <v>47431</v>
      </c>
    </row>
    <row r="4931" spans="1:24">
      <c r="A4931">
        <f>HYPERLINK("https://www.philgeps.gov.ph/GEPSNONPILOT/Tender/SplashBidNoticeAbstractUI.aspx?menuIndex=3&amp;refID=7160278&amp;Result=3","7160278")</f>
        <v>0</v>
      </c>
      <c r="B4931" t="s">
        <v>1149</v>
      </c>
      <c r="C4931" t="s">
        <v>6593</v>
      </c>
      <c r="D4931" t="s">
        <v>19079</v>
      </c>
      <c r="E4931" t="s">
        <v>23464</v>
      </c>
      <c r="F4931" t="s">
        <v>32831</v>
      </c>
      <c r="G4931" t="s">
        <v>32838</v>
      </c>
      <c r="H4931" t="s">
        <v>32848</v>
      </c>
      <c r="I4931" t="s">
        <v>32862</v>
      </c>
      <c r="J4931" t="s">
        <v>36160</v>
      </c>
      <c r="K4931" t="s">
        <v>42732</v>
      </c>
      <c r="M4931" t="s">
        <v>44213</v>
      </c>
      <c r="N4931" t="s">
        <v>47424</v>
      </c>
      <c r="O4931" t="s">
        <v>47425</v>
      </c>
      <c r="P4931">
        <v>0</v>
      </c>
      <c r="Q4931">
        <v>1</v>
      </c>
      <c r="R4931" t="s">
        <v>47430</v>
      </c>
      <c r="S4931" t="s">
        <v>47549</v>
      </c>
      <c r="T4931" t="s">
        <v>49061</v>
      </c>
      <c r="U4931" t="s">
        <v>53863</v>
      </c>
      <c r="W4931" t="s">
        <v>44213</v>
      </c>
      <c r="X4931" t="s">
        <v>47431</v>
      </c>
    </row>
    <row r="4932" spans="1:24">
      <c r="A4932">
        <f>HYPERLINK("https://www.philgeps.gov.ph/GEPSNONPILOT/Tender/SplashBidNoticeAbstractUI.aspx?menuIndex=3&amp;refID=7160313&amp;Result=3","7160313")</f>
        <v>0</v>
      </c>
      <c r="B4932" t="s">
        <v>101</v>
      </c>
      <c r="C4932" t="s">
        <v>8559</v>
      </c>
      <c r="D4932" t="s">
        <v>19055</v>
      </c>
      <c r="E4932" t="s">
        <v>23465</v>
      </c>
      <c r="F4932" t="s">
        <v>32831</v>
      </c>
      <c r="G4932" t="s">
        <v>32840</v>
      </c>
      <c r="H4932" t="s">
        <v>32848</v>
      </c>
      <c r="I4932" t="s">
        <v>32860</v>
      </c>
      <c r="J4932" t="s">
        <v>36161</v>
      </c>
      <c r="K4932" t="s">
        <v>42731</v>
      </c>
      <c r="M4932" t="s">
        <v>43098</v>
      </c>
      <c r="N4932" t="s">
        <v>47424</v>
      </c>
      <c r="O4932" t="s">
        <v>47425</v>
      </c>
      <c r="P4932">
        <v>0</v>
      </c>
      <c r="Q4932">
        <v>5</v>
      </c>
      <c r="R4932" t="s">
        <v>47430</v>
      </c>
      <c r="S4932" t="s">
        <v>47549</v>
      </c>
      <c r="T4932" t="s">
        <v>49163</v>
      </c>
      <c r="U4932" t="s">
        <v>53864</v>
      </c>
      <c r="W4932" t="s">
        <v>43098</v>
      </c>
      <c r="X4932" t="s">
        <v>47431</v>
      </c>
    </row>
    <row r="4933" spans="1:24">
      <c r="A4933">
        <f>HYPERLINK("https://www.philgeps.gov.ph/GEPSNONPILOT/Tender/SplashBidNoticeAbstractUI.aspx?menuIndex=3&amp;refID=7160311&amp;Result=3","7160311")</f>
        <v>0</v>
      </c>
      <c r="B4933" t="s">
        <v>1149</v>
      </c>
      <c r="C4933" t="s">
        <v>8560</v>
      </c>
      <c r="D4933" t="s">
        <v>19079</v>
      </c>
      <c r="E4933" t="s">
        <v>23466</v>
      </c>
      <c r="F4933" t="s">
        <v>32831</v>
      </c>
      <c r="G4933" t="s">
        <v>32838</v>
      </c>
      <c r="H4933" t="s">
        <v>32848</v>
      </c>
      <c r="I4933" t="s">
        <v>4222</v>
      </c>
      <c r="J4933" t="s">
        <v>36162</v>
      </c>
      <c r="K4933" t="s">
        <v>42732</v>
      </c>
      <c r="M4933" t="s">
        <v>44213</v>
      </c>
      <c r="N4933" t="s">
        <v>47424</v>
      </c>
      <c r="O4933" t="s">
        <v>47425</v>
      </c>
      <c r="P4933">
        <v>0</v>
      </c>
      <c r="Q4933">
        <v>0</v>
      </c>
      <c r="R4933" t="s">
        <v>47430</v>
      </c>
      <c r="S4933" t="s">
        <v>47549</v>
      </c>
      <c r="T4933" t="s">
        <v>49061</v>
      </c>
      <c r="U4933" t="s">
        <v>53865</v>
      </c>
      <c r="W4933" t="s">
        <v>44213</v>
      </c>
      <c r="X4933" t="s">
        <v>47431</v>
      </c>
    </row>
    <row r="4934" spans="1:24">
      <c r="A4934">
        <f>HYPERLINK("https://www.philgeps.gov.ph/GEPSNONPILOT/Tender/SplashBidNoticeAbstractUI.aspx?menuIndex=3&amp;refID=7160310&amp;Result=3","7160310")</f>
        <v>0</v>
      </c>
      <c r="B4934" t="s">
        <v>113</v>
      </c>
      <c r="C4934" t="s">
        <v>8561</v>
      </c>
      <c r="D4934" t="s">
        <v>19027</v>
      </c>
      <c r="E4934" t="s">
        <v>19870</v>
      </c>
      <c r="F4934" t="s">
        <v>32831</v>
      </c>
      <c r="G4934" t="s">
        <v>32838</v>
      </c>
      <c r="H4934" t="s">
        <v>32848</v>
      </c>
      <c r="I4934" t="s">
        <v>32857</v>
      </c>
      <c r="J4934" t="s">
        <v>36163</v>
      </c>
      <c r="K4934" t="s">
        <v>42731</v>
      </c>
      <c r="M4934" t="s">
        <v>43110</v>
      </c>
      <c r="N4934" t="s">
        <v>47424</v>
      </c>
      <c r="O4934" t="s">
        <v>47425</v>
      </c>
      <c r="P4934">
        <v>0</v>
      </c>
      <c r="Q4934">
        <v>5</v>
      </c>
      <c r="R4934" t="s">
        <v>47430</v>
      </c>
      <c r="S4934" t="s">
        <v>47549</v>
      </c>
      <c r="T4934" t="s">
        <v>49166</v>
      </c>
      <c r="U4934" t="s">
        <v>53866</v>
      </c>
      <c r="W4934" t="s">
        <v>47317</v>
      </c>
      <c r="X4934" t="s">
        <v>47431</v>
      </c>
    </row>
    <row r="4935" spans="1:24">
      <c r="A4935">
        <f>HYPERLINK("https://www.philgeps.gov.ph/GEPSNONPILOT/Tender/SplashBidNoticeAbstractUI.aspx?menuIndex=3&amp;refID=7160237&amp;Result=3","7160237")</f>
        <v>0</v>
      </c>
      <c r="B4935" t="s">
        <v>1902</v>
      </c>
      <c r="C4935" t="s">
        <v>8562</v>
      </c>
      <c r="D4935" t="s">
        <v>19027</v>
      </c>
      <c r="E4935" t="s">
        <v>23467</v>
      </c>
      <c r="F4935" t="s">
        <v>32831</v>
      </c>
      <c r="G4935" t="s">
        <v>32838</v>
      </c>
      <c r="H4935" t="s">
        <v>32850</v>
      </c>
      <c r="I4935" t="s">
        <v>32860</v>
      </c>
      <c r="J4935" t="s">
        <v>36164</v>
      </c>
      <c r="K4935" t="s">
        <v>42748</v>
      </c>
      <c r="M4935" t="s">
        <v>45051</v>
      </c>
      <c r="N4935" t="s">
        <v>47424</v>
      </c>
      <c r="O4935" t="s">
        <v>47425</v>
      </c>
      <c r="P4935">
        <v>0</v>
      </c>
      <c r="Q4935">
        <v>1</v>
      </c>
      <c r="R4935" t="s">
        <v>47430</v>
      </c>
      <c r="S4935" t="s">
        <v>47549</v>
      </c>
      <c r="T4935" t="s">
        <v>49145</v>
      </c>
      <c r="U4935" t="s">
        <v>53867</v>
      </c>
      <c r="V4935" t="s">
        <v>63177</v>
      </c>
      <c r="W4935" t="s">
        <v>45051</v>
      </c>
      <c r="X4935" t="s">
        <v>47431</v>
      </c>
    </row>
    <row r="4936" spans="1:24">
      <c r="A4936">
        <f>HYPERLINK("https://www.philgeps.gov.ph/GEPSNONPILOT/Tender/SplashBidNoticeAbstractUI.aspx?menuIndex=3&amp;refID=7160308&amp;Result=3","7160308")</f>
        <v>0</v>
      </c>
      <c r="B4936" t="s">
        <v>888</v>
      </c>
      <c r="C4936" t="s">
        <v>8563</v>
      </c>
      <c r="D4936" t="s">
        <v>19067</v>
      </c>
      <c r="E4936" t="s">
        <v>19471</v>
      </c>
      <c r="F4936" t="s">
        <v>32831</v>
      </c>
      <c r="G4936" t="s">
        <v>32840</v>
      </c>
      <c r="H4936" t="s">
        <v>32848</v>
      </c>
      <c r="I4936" t="s">
        <v>11484</v>
      </c>
      <c r="J4936" t="s">
        <v>33861</v>
      </c>
      <c r="K4936" t="s">
        <v>42758</v>
      </c>
      <c r="M4936" t="s">
        <v>43923</v>
      </c>
      <c r="N4936" t="s">
        <v>47424</v>
      </c>
      <c r="O4936" t="s">
        <v>47425</v>
      </c>
      <c r="P4936">
        <v>0</v>
      </c>
      <c r="Q4936">
        <v>1</v>
      </c>
      <c r="R4936" t="s">
        <v>47430</v>
      </c>
      <c r="S4936" t="s">
        <v>47549</v>
      </c>
      <c r="T4936" t="s">
        <v>49145</v>
      </c>
      <c r="U4936" t="s">
        <v>53868</v>
      </c>
      <c r="W4936" t="s">
        <v>43923</v>
      </c>
      <c r="X4936" t="s">
        <v>47431</v>
      </c>
    </row>
    <row r="4937" spans="1:24">
      <c r="A4937">
        <f>HYPERLINK("https://www.philgeps.gov.ph/GEPSNONPILOT/Tender/SplashBidNoticeAbstractUI.aspx?menuIndex=3&amp;refID=7160306&amp;Result=3","7160306")</f>
        <v>0</v>
      </c>
      <c r="B4937" t="s">
        <v>1903</v>
      </c>
      <c r="C4937" t="s">
        <v>8564</v>
      </c>
      <c r="D4937" t="s">
        <v>19088</v>
      </c>
      <c r="E4937" t="s">
        <v>23468</v>
      </c>
      <c r="F4937" t="s">
        <v>32831</v>
      </c>
      <c r="G4937" t="s">
        <v>32839</v>
      </c>
      <c r="H4937" t="s">
        <v>32848</v>
      </c>
      <c r="I4937" t="s">
        <v>7416</v>
      </c>
      <c r="J4937" t="s">
        <v>36165</v>
      </c>
      <c r="K4937" t="s">
        <v>42775</v>
      </c>
      <c r="M4937" t="s">
        <v>45052</v>
      </c>
      <c r="N4937" t="s">
        <v>47424</v>
      </c>
      <c r="O4937" t="s">
        <v>47425</v>
      </c>
      <c r="P4937">
        <v>0</v>
      </c>
      <c r="Q4937">
        <v>0</v>
      </c>
      <c r="R4937" t="s">
        <v>47430</v>
      </c>
      <c r="S4937" t="s">
        <v>47549</v>
      </c>
      <c r="T4937" t="s">
        <v>49319</v>
      </c>
      <c r="U4937" t="s">
        <v>53869</v>
      </c>
      <c r="W4937" t="s">
        <v>45052</v>
      </c>
      <c r="X4937" t="s">
        <v>47431</v>
      </c>
    </row>
    <row r="4938" spans="1:24">
      <c r="A4938">
        <f>HYPERLINK("https://www.philgeps.gov.ph/GEPSNONPILOT/Tender/SplashBidNoticeAbstractUI.aspx?menuIndex=3&amp;refID=7160305&amp;Result=3","7160305")</f>
        <v>0</v>
      </c>
      <c r="B4938" t="s">
        <v>1895</v>
      </c>
      <c r="C4938" t="s">
        <v>8565</v>
      </c>
      <c r="E4938" t="s">
        <v>23469</v>
      </c>
      <c r="F4938" t="s">
        <v>32831</v>
      </c>
      <c r="G4938" t="s">
        <v>32838</v>
      </c>
      <c r="H4938" t="s">
        <v>32848</v>
      </c>
      <c r="I4938" t="s">
        <v>32857</v>
      </c>
      <c r="J4938" t="s">
        <v>36166</v>
      </c>
      <c r="K4938" t="s">
        <v>42732</v>
      </c>
      <c r="M4938" t="s">
        <v>45042</v>
      </c>
      <c r="N4938" t="s">
        <v>47424</v>
      </c>
      <c r="O4938" t="s">
        <v>47425</v>
      </c>
      <c r="P4938">
        <v>0</v>
      </c>
      <c r="Q4938">
        <v>0</v>
      </c>
      <c r="R4938" t="s">
        <v>47430</v>
      </c>
      <c r="S4938" t="s">
        <v>47549</v>
      </c>
      <c r="T4938" t="s">
        <v>49237</v>
      </c>
      <c r="U4938" t="s">
        <v>53870</v>
      </c>
      <c r="W4938" t="s">
        <v>45042</v>
      </c>
      <c r="X4938" t="s">
        <v>47431</v>
      </c>
    </row>
    <row r="4939" spans="1:24">
      <c r="A4939">
        <f>HYPERLINK("https://www.philgeps.gov.ph/GEPSNONPILOT/Tender/SplashBidNoticeAbstractUI.aspx?menuIndex=3&amp;refID=7160284&amp;Result=3","7160284")</f>
        <v>0</v>
      </c>
      <c r="B4939" t="s">
        <v>868</v>
      </c>
      <c r="C4939" t="s">
        <v>8566</v>
      </c>
      <c r="D4939" t="s">
        <v>19073</v>
      </c>
      <c r="E4939" t="s">
        <v>23470</v>
      </c>
      <c r="F4939" t="s">
        <v>32831</v>
      </c>
      <c r="G4939" t="s">
        <v>32839</v>
      </c>
      <c r="H4939" t="s">
        <v>32848</v>
      </c>
      <c r="I4939" t="s">
        <v>10805</v>
      </c>
      <c r="J4939" t="s">
        <v>33044</v>
      </c>
      <c r="K4939" t="s">
        <v>42732</v>
      </c>
      <c r="M4939" t="s">
        <v>43902</v>
      </c>
      <c r="N4939" t="s">
        <v>47424</v>
      </c>
      <c r="O4939" t="s">
        <v>47425</v>
      </c>
      <c r="P4939">
        <v>0</v>
      </c>
      <c r="Q4939">
        <v>1</v>
      </c>
      <c r="R4939" t="s">
        <v>47430</v>
      </c>
      <c r="S4939" t="s">
        <v>47549</v>
      </c>
      <c r="T4939" t="s">
        <v>49123</v>
      </c>
      <c r="U4939" t="s">
        <v>53871</v>
      </c>
      <c r="W4939" t="s">
        <v>43902</v>
      </c>
      <c r="X4939" t="s">
        <v>47431</v>
      </c>
    </row>
    <row r="4940" spans="1:24">
      <c r="A4940">
        <f>HYPERLINK("https://www.philgeps.gov.ph/GEPSNONPILOT/Tender/SplashBidNoticeAbstractUI.aspx?menuIndex=3&amp;refID=7160296&amp;Result=3","7160296")</f>
        <v>0</v>
      </c>
      <c r="B4940" t="s">
        <v>1668</v>
      </c>
      <c r="C4940" t="s">
        <v>8567</v>
      </c>
      <c r="E4940" t="s">
        <v>23471</v>
      </c>
      <c r="F4940" t="s">
        <v>32831</v>
      </c>
      <c r="G4940" t="s">
        <v>32839</v>
      </c>
      <c r="H4940" t="s">
        <v>32848</v>
      </c>
      <c r="I4940" t="s">
        <v>32884</v>
      </c>
      <c r="J4940" t="s">
        <v>36084</v>
      </c>
      <c r="K4940" t="s">
        <v>42745</v>
      </c>
      <c r="M4940" t="s">
        <v>44785</v>
      </c>
      <c r="N4940" t="s">
        <v>47424</v>
      </c>
      <c r="O4940" t="s">
        <v>47425</v>
      </c>
      <c r="P4940">
        <v>0</v>
      </c>
      <c r="Q4940">
        <v>3</v>
      </c>
      <c r="R4940" t="s">
        <v>47430</v>
      </c>
      <c r="S4940" t="s">
        <v>47549</v>
      </c>
      <c r="T4940" t="s">
        <v>49077</v>
      </c>
      <c r="U4940" t="s">
        <v>53872</v>
      </c>
      <c r="W4940" t="s">
        <v>44785</v>
      </c>
      <c r="X4940" t="s">
        <v>47431</v>
      </c>
    </row>
    <row r="4941" spans="1:24">
      <c r="A4941">
        <f>HYPERLINK("https://www.philgeps.gov.ph/GEPSNONPILOT/Tender/SplashBidNoticeAbstractUI.aspx?menuIndex=3&amp;refID=7160314&amp;Result=3","7160314")</f>
        <v>0</v>
      </c>
      <c r="B4941" t="s">
        <v>868</v>
      </c>
      <c r="C4941" t="s">
        <v>8568</v>
      </c>
      <c r="D4941" t="s">
        <v>19073</v>
      </c>
      <c r="E4941" t="s">
        <v>23472</v>
      </c>
      <c r="F4941" t="s">
        <v>32831</v>
      </c>
      <c r="G4941" t="s">
        <v>32839</v>
      </c>
      <c r="H4941" t="s">
        <v>32848</v>
      </c>
      <c r="I4941" t="s">
        <v>4487</v>
      </c>
      <c r="J4941" t="s">
        <v>35033</v>
      </c>
      <c r="K4941" t="s">
        <v>42732</v>
      </c>
      <c r="M4941" t="s">
        <v>43902</v>
      </c>
      <c r="N4941" t="s">
        <v>47424</v>
      </c>
      <c r="O4941" t="s">
        <v>47425</v>
      </c>
      <c r="P4941">
        <v>0</v>
      </c>
      <c r="Q4941">
        <v>2</v>
      </c>
      <c r="R4941" t="s">
        <v>47430</v>
      </c>
      <c r="S4941" t="s">
        <v>47549</v>
      </c>
      <c r="T4941" t="s">
        <v>49123</v>
      </c>
      <c r="U4941" t="s">
        <v>53873</v>
      </c>
      <c r="W4941" t="s">
        <v>43902</v>
      </c>
      <c r="X4941" t="s">
        <v>47431</v>
      </c>
    </row>
    <row r="4942" spans="1:24">
      <c r="A4942">
        <f>HYPERLINK("https://www.philgeps.gov.ph/GEPSNONPILOT/Tender/SplashBidNoticeAbstractUI.aspx?menuIndex=3&amp;refID=7160295&amp;Result=3","7160295")</f>
        <v>0</v>
      </c>
      <c r="B4942" t="s">
        <v>1904</v>
      </c>
      <c r="C4942" t="s">
        <v>5171</v>
      </c>
      <c r="D4942" t="s">
        <v>19049</v>
      </c>
      <c r="E4942" t="s">
        <v>23473</v>
      </c>
      <c r="F4942" t="s">
        <v>32831</v>
      </c>
      <c r="G4942" t="s">
        <v>32838</v>
      </c>
      <c r="H4942" t="s">
        <v>32848</v>
      </c>
      <c r="I4942" t="s">
        <v>9577</v>
      </c>
      <c r="J4942" t="s">
        <v>36167</v>
      </c>
      <c r="K4942" t="s">
        <v>42732</v>
      </c>
      <c r="M4942" t="s">
        <v>45053</v>
      </c>
      <c r="N4942" t="s">
        <v>47424</v>
      </c>
      <c r="O4942" t="s">
        <v>47425</v>
      </c>
      <c r="P4942">
        <v>0</v>
      </c>
      <c r="Q4942">
        <v>0</v>
      </c>
      <c r="R4942" t="s">
        <v>47430</v>
      </c>
      <c r="S4942" t="s">
        <v>47549</v>
      </c>
      <c r="T4942" t="s">
        <v>49145</v>
      </c>
      <c r="U4942" t="s">
        <v>50335</v>
      </c>
      <c r="W4942" t="s">
        <v>45053</v>
      </c>
      <c r="X4942" t="s">
        <v>47431</v>
      </c>
    </row>
    <row r="4943" spans="1:24">
      <c r="A4943">
        <f>HYPERLINK("https://www.philgeps.gov.ph/GEPSNONPILOT/Tender/SplashBidNoticeAbstractUI.aspx?menuIndex=3&amp;refID=7160307&amp;Result=3","7160307")</f>
        <v>0</v>
      </c>
      <c r="B4943" t="s">
        <v>1893</v>
      </c>
      <c r="C4943" t="s">
        <v>8569</v>
      </c>
      <c r="D4943" t="s">
        <v>19064</v>
      </c>
      <c r="E4943" t="s">
        <v>23474</v>
      </c>
      <c r="F4943" t="s">
        <v>32831</v>
      </c>
      <c r="G4943" t="s">
        <v>32838</v>
      </c>
      <c r="H4943" t="s">
        <v>32848</v>
      </c>
      <c r="I4943" t="s">
        <v>32852</v>
      </c>
      <c r="J4943" t="s">
        <v>33078</v>
      </c>
      <c r="K4943" t="s">
        <v>42731</v>
      </c>
      <c r="M4943" t="s">
        <v>45040</v>
      </c>
      <c r="N4943" t="s">
        <v>47424</v>
      </c>
      <c r="O4943" t="s">
        <v>47425</v>
      </c>
      <c r="P4943">
        <v>0</v>
      </c>
      <c r="Q4943">
        <v>3</v>
      </c>
      <c r="R4943" t="s">
        <v>47430</v>
      </c>
      <c r="S4943" t="s">
        <v>47549</v>
      </c>
      <c r="T4943" t="s">
        <v>49089</v>
      </c>
      <c r="U4943" t="s">
        <v>53874</v>
      </c>
      <c r="W4943" t="s">
        <v>45040</v>
      </c>
      <c r="X4943" t="s">
        <v>47431</v>
      </c>
    </row>
    <row r="4944" spans="1:24">
      <c r="A4944">
        <f>HYPERLINK("https://www.philgeps.gov.ph/GEPSNONPILOT/Tender/SplashBidNoticeAbstractUI.aspx?menuIndex=3&amp;refID=7160294&amp;Result=3","7160294")</f>
        <v>0</v>
      </c>
      <c r="B4944" t="s">
        <v>1750</v>
      </c>
      <c r="C4944" t="s">
        <v>8570</v>
      </c>
      <c r="D4944" t="s">
        <v>19038</v>
      </c>
      <c r="E4944" t="s">
        <v>20902</v>
      </c>
      <c r="F4944" t="s">
        <v>32831</v>
      </c>
      <c r="G4944" t="s">
        <v>32840</v>
      </c>
      <c r="H4944" t="s">
        <v>32848</v>
      </c>
      <c r="I4944" t="s">
        <v>32857</v>
      </c>
      <c r="J4944" t="s">
        <v>35288</v>
      </c>
      <c r="K4944" t="s">
        <v>42748</v>
      </c>
      <c r="M4944" t="s">
        <v>44874</v>
      </c>
      <c r="N4944" t="s">
        <v>47424</v>
      </c>
      <c r="O4944" t="s">
        <v>47425</v>
      </c>
      <c r="P4944">
        <v>0</v>
      </c>
      <c r="Q4944">
        <v>0</v>
      </c>
      <c r="R4944" t="s">
        <v>47430</v>
      </c>
      <c r="S4944" t="s">
        <v>47549</v>
      </c>
      <c r="T4944" t="s">
        <v>49146</v>
      </c>
      <c r="U4944" t="s">
        <v>53875</v>
      </c>
      <c r="W4944" t="s">
        <v>44874</v>
      </c>
      <c r="X4944" t="s">
        <v>47431</v>
      </c>
    </row>
    <row r="4945" spans="1:24">
      <c r="A4945">
        <f>HYPERLINK("https://www.philgeps.gov.ph/GEPSNONPILOT/Tender/SplashBidNoticeAbstractUI.aspx?menuIndex=3&amp;refID=7160303&amp;Result=3","7160303")</f>
        <v>0</v>
      </c>
      <c r="B4945" t="s">
        <v>1350</v>
      </c>
      <c r="C4945" t="s">
        <v>6860</v>
      </c>
      <c r="D4945" t="s">
        <v>19062</v>
      </c>
      <c r="E4945" t="s">
        <v>19144</v>
      </c>
      <c r="F4945" t="s">
        <v>32831</v>
      </c>
      <c r="G4945" t="s">
        <v>32840</v>
      </c>
      <c r="H4945" t="s">
        <v>32848</v>
      </c>
      <c r="I4945" t="s">
        <v>32860</v>
      </c>
      <c r="J4945" t="s">
        <v>33133</v>
      </c>
      <c r="K4945" t="s">
        <v>42758</v>
      </c>
      <c r="M4945" t="s">
        <v>44424</v>
      </c>
      <c r="N4945" t="s">
        <v>47424</v>
      </c>
      <c r="O4945" t="s">
        <v>47425</v>
      </c>
      <c r="P4945">
        <v>0</v>
      </c>
      <c r="Q4945">
        <v>0</v>
      </c>
      <c r="R4945" t="s">
        <v>47430</v>
      </c>
      <c r="S4945" t="s">
        <v>47549</v>
      </c>
      <c r="T4945" t="s">
        <v>49145</v>
      </c>
      <c r="U4945" t="s">
        <v>53876</v>
      </c>
      <c r="W4945" t="s">
        <v>44424</v>
      </c>
      <c r="X4945" t="s">
        <v>47431</v>
      </c>
    </row>
    <row r="4946" spans="1:24">
      <c r="A4946">
        <f>HYPERLINK("https://www.philgeps.gov.ph/GEPSNONPILOT/Tender/SplashBidNoticeAbstractUI.aspx?menuIndex=3&amp;refID=7160130&amp;Result=3","7160130")</f>
        <v>0</v>
      </c>
      <c r="B4946" t="s">
        <v>876</v>
      </c>
      <c r="C4946" t="s">
        <v>8571</v>
      </c>
      <c r="D4946" t="s">
        <v>19033</v>
      </c>
      <c r="E4946" t="s">
        <v>23475</v>
      </c>
      <c r="F4946" t="s">
        <v>32831</v>
      </c>
      <c r="G4946" t="s">
        <v>32840</v>
      </c>
      <c r="H4946" t="s">
        <v>32848</v>
      </c>
      <c r="I4946" t="s">
        <v>32859</v>
      </c>
      <c r="J4946" t="s">
        <v>33025</v>
      </c>
      <c r="K4946" t="s">
        <v>42727</v>
      </c>
      <c r="M4946" t="s">
        <v>43910</v>
      </c>
      <c r="N4946" t="s">
        <v>47424</v>
      </c>
      <c r="O4946" t="s">
        <v>47425</v>
      </c>
      <c r="P4946">
        <v>0</v>
      </c>
      <c r="Q4946">
        <v>5</v>
      </c>
      <c r="R4946" t="s">
        <v>47430</v>
      </c>
      <c r="S4946" t="s">
        <v>47549</v>
      </c>
      <c r="T4946" t="s">
        <v>49166</v>
      </c>
      <c r="U4946" t="s">
        <v>53877</v>
      </c>
      <c r="W4946" t="s">
        <v>43910</v>
      </c>
      <c r="X4946" t="s">
        <v>47431</v>
      </c>
    </row>
    <row r="4947" spans="1:24">
      <c r="A4947">
        <f>HYPERLINK("https://www.philgeps.gov.ph/GEPSNONPILOT/Tender/SplashBidNoticeAbstractUI.aspx?menuIndex=3&amp;refID=7160316&amp;Result=3","7160316")</f>
        <v>0</v>
      </c>
      <c r="B4947" t="s">
        <v>1897</v>
      </c>
      <c r="C4947" t="s">
        <v>5134</v>
      </c>
      <c r="D4947" t="s">
        <v>19054</v>
      </c>
      <c r="E4947" t="s">
        <v>23476</v>
      </c>
      <c r="F4947" t="s">
        <v>32831</v>
      </c>
      <c r="G4947" t="s">
        <v>32840</v>
      </c>
      <c r="H4947" t="s">
        <v>32848</v>
      </c>
      <c r="I4947" t="s">
        <v>10643</v>
      </c>
      <c r="J4947" t="s">
        <v>36168</v>
      </c>
      <c r="K4947" t="s">
        <v>42732</v>
      </c>
      <c r="M4947" t="s">
        <v>45045</v>
      </c>
      <c r="N4947" t="s">
        <v>47424</v>
      </c>
      <c r="O4947" t="s">
        <v>47425</v>
      </c>
      <c r="P4947">
        <v>0</v>
      </c>
      <c r="Q4947">
        <v>0</v>
      </c>
      <c r="R4947" t="s">
        <v>47430</v>
      </c>
      <c r="S4947" t="s">
        <v>47549</v>
      </c>
      <c r="T4947" t="s">
        <v>49166</v>
      </c>
      <c r="U4947" t="s">
        <v>53835</v>
      </c>
      <c r="W4947" t="s">
        <v>45045</v>
      </c>
      <c r="X4947" t="s">
        <v>47431</v>
      </c>
    </row>
    <row r="4948" spans="1:24">
      <c r="A4948">
        <f>HYPERLINK("https://www.philgeps.gov.ph/GEPSNONPILOT/Tender/SplashBidNoticeAbstractUI.aspx?menuIndex=3&amp;refID=7160127&amp;Result=3","7160127")</f>
        <v>0</v>
      </c>
      <c r="B4948" t="s">
        <v>1668</v>
      </c>
      <c r="C4948" t="s">
        <v>8572</v>
      </c>
      <c r="D4948" t="s">
        <v>19073</v>
      </c>
      <c r="E4948" t="s">
        <v>23477</v>
      </c>
      <c r="F4948" t="s">
        <v>32831</v>
      </c>
      <c r="G4948" t="s">
        <v>32839</v>
      </c>
      <c r="H4948" t="s">
        <v>32848</v>
      </c>
      <c r="I4948" t="s">
        <v>6526</v>
      </c>
      <c r="J4948" t="s">
        <v>36169</v>
      </c>
      <c r="K4948" t="s">
        <v>42731</v>
      </c>
      <c r="M4948" t="s">
        <v>44785</v>
      </c>
      <c r="N4948" t="s">
        <v>47424</v>
      </c>
      <c r="O4948" t="s">
        <v>47425</v>
      </c>
      <c r="P4948">
        <v>0</v>
      </c>
      <c r="Q4948">
        <v>0</v>
      </c>
      <c r="R4948" t="s">
        <v>47430</v>
      </c>
      <c r="S4948" t="s">
        <v>47549</v>
      </c>
      <c r="T4948" t="s">
        <v>49129</v>
      </c>
      <c r="U4948" t="s">
        <v>53878</v>
      </c>
      <c r="W4948" t="s">
        <v>44785</v>
      </c>
      <c r="X4948" t="s">
        <v>47431</v>
      </c>
    </row>
    <row r="4949" spans="1:24">
      <c r="A4949">
        <f>HYPERLINK("https://www.philgeps.gov.ph/GEPSNONPILOT/Tender/SplashBidNoticeAbstractUI.aspx?menuIndex=3&amp;refID=7160126&amp;Result=3","7160126")</f>
        <v>0</v>
      </c>
      <c r="B4949" t="s">
        <v>1362</v>
      </c>
      <c r="C4949" t="s">
        <v>8573</v>
      </c>
      <c r="D4949" t="s">
        <v>19017</v>
      </c>
      <c r="E4949" t="s">
        <v>23478</v>
      </c>
      <c r="F4949" t="s">
        <v>32831</v>
      </c>
      <c r="G4949" t="s">
        <v>32838</v>
      </c>
      <c r="H4949" t="s">
        <v>32848</v>
      </c>
      <c r="I4949" t="s">
        <v>32874</v>
      </c>
      <c r="J4949" t="s">
        <v>33077</v>
      </c>
      <c r="K4949" t="s">
        <v>42732</v>
      </c>
      <c r="M4949" t="s">
        <v>44994</v>
      </c>
      <c r="N4949" t="s">
        <v>47424</v>
      </c>
      <c r="O4949" t="s">
        <v>47425</v>
      </c>
      <c r="P4949">
        <v>0</v>
      </c>
      <c r="Q4949">
        <v>12</v>
      </c>
      <c r="R4949" t="s">
        <v>47430</v>
      </c>
      <c r="S4949" t="s">
        <v>47549</v>
      </c>
      <c r="T4949" t="s">
        <v>49163</v>
      </c>
      <c r="U4949" t="s">
        <v>53879</v>
      </c>
      <c r="V4949" t="s">
        <v>63178</v>
      </c>
      <c r="W4949" t="s">
        <v>44994</v>
      </c>
      <c r="X4949" t="s">
        <v>47431</v>
      </c>
    </row>
    <row r="4950" spans="1:24">
      <c r="A4950">
        <f>HYPERLINK("https://www.philgeps.gov.ph/GEPSNONPILOT/Tender/SplashBidNoticeAbstractUI.aspx?menuIndex=3&amp;refID=7160300&amp;Result=3","7160300")</f>
        <v>0</v>
      </c>
      <c r="B4950" t="s">
        <v>60</v>
      </c>
      <c r="C4950" t="s">
        <v>8574</v>
      </c>
      <c r="D4950" t="s">
        <v>19042</v>
      </c>
      <c r="E4950" t="s">
        <v>23479</v>
      </c>
      <c r="F4950" t="s">
        <v>32831</v>
      </c>
      <c r="G4950" t="s">
        <v>32839</v>
      </c>
      <c r="H4950" t="s">
        <v>32848</v>
      </c>
      <c r="I4950" t="s">
        <v>32871</v>
      </c>
      <c r="J4950" t="s">
        <v>36170</v>
      </c>
      <c r="K4950" t="s">
        <v>42726</v>
      </c>
      <c r="M4950" t="s">
        <v>43057</v>
      </c>
      <c r="N4950" t="s">
        <v>47424</v>
      </c>
      <c r="O4950" t="s">
        <v>47425</v>
      </c>
      <c r="P4950">
        <v>0</v>
      </c>
      <c r="Q4950">
        <v>9</v>
      </c>
      <c r="R4950" t="s">
        <v>47430</v>
      </c>
      <c r="S4950" t="s">
        <v>47549</v>
      </c>
      <c r="T4950" t="s">
        <v>49334</v>
      </c>
      <c r="U4950" t="s">
        <v>53880</v>
      </c>
      <c r="W4950" t="s">
        <v>43057</v>
      </c>
      <c r="X4950" t="s">
        <v>47431</v>
      </c>
    </row>
    <row r="4951" spans="1:24">
      <c r="A4951">
        <f>HYPERLINK("https://www.philgeps.gov.ph/GEPSNONPILOT/Tender/SplashBidNoticeAbstractUI.aspx?menuIndex=3&amp;refID=7160341&amp;Result=3","7160341")</f>
        <v>0</v>
      </c>
      <c r="B4951" t="s">
        <v>1905</v>
      </c>
      <c r="C4951" t="s">
        <v>8575</v>
      </c>
      <c r="E4951" t="s">
        <v>23480</v>
      </c>
      <c r="F4951" t="s">
        <v>32831</v>
      </c>
      <c r="G4951" t="s">
        <v>32838</v>
      </c>
      <c r="H4951" t="s">
        <v>32848</v>
      </c>
      <c r="I4951" t="s">
        <v>4471</v>
      </c>
      <c r="J4951" t="s">
        <v>32978</v>
      </c>
      <c r="K4951" t="s">
        <v>42732</v>
      </c>
      <c r="M4951" t="s">
        <v>45054</v>
      </c>
      <c r="N4951" t="s">
        <v>47424</v>
      </c>
      <c r="O4951" t="s">
        <v>47425</v>
      </c>
      <c r="P4951">
        <v>0</v>
      </c>
      <c r="Q4951">
        <v>2</v>
      </c>
      <c r="R4951" t="s">
        <v>47430</v>
      </c>
      <c r="S4951" t="s">
        <v>47549</v>
      </c>
      <c r="T4951" t="s">
        <v>49056</v>
      </c>
      <c r="U4951" t="s">
        <v>53881</v>
      </c>
      <c r="W4951" t="s">
        <v>45054</v>
      </c>
      <c r="X4951" t="s">
        <v>47431</v>
      </c>
    </row>
    <row r="4952" spans="1:24">
      <c r="A4952">
        <f>HYPERLINK("https://www.philgeps.gov.ph/GEPSNONPILOT/Tender/SplashBidNoticeAbstractUI.aspx?menuIndex=3&amp;refID=7160348&amp;Result=3","7160348")</f>
        <v>0</v>
      </c>
      <c r="B4952" t="s">
        <v>1151</v>
      </c>
      <c r="C4952" t="s">
        <v>8576</v>
      </c>
      <c r="D4952" t="s">
        <v>19091</v>
      </c>
      <c r="E4952" t="s">
        <v>23481</v>
      </c>
      <c r="F4952" t="s">
        <v>32831</v>
      </c>
      <c r="G4952" t="s">
        <v>32839</v>
      </c>
      <c r="H4952" t="s">
        <v>32849</v>
      </c>
      <c r="I4952" t="s">
        <v>4177</v>
      </c>
      <c r="J4952" t="s">
        <v>36171</v>
      </c>
      <c r="K4952" t="s">
        <v>42727</v>
      </c>
      <c r="M4952" t="s">
        <v>44215</v>
      </c>
      <c r="N4952" t="s">
        <v>47424</v>
      </c>
      <c r="O4952" t="s">
        <v>47425</v>
      </c>
      <c r="P4952">
        <v>0</v>
      </c>
      <c r="Q4952">
        <v>0</v>
      </c>
      <c r="R4952" t="s">
        <v>47430</v>
      </c>
      <c r="S4952" t="s">
        <v>47549</v>
      </c>
      <c r="T4952" t="s">
        <v>49387</v>
      </c>
      <c r="U4952" t="s">
        <v>51939</v>
      </c>
      <c r="W4952" t="s">
        <v>44215</v>
      </c>
      <c r="X4952" t="s">
        <v>47431</v>
      </c>
    </row>
    <row r="4953" spans="1:24">
      <c r="A4953">
        <f>HYPERLINK("https://www.philgeps.gov.ph/GEPSNONPILOT/Tender/SplashBidNoticeAbstractUI.aspx?menuIndex=3&amp;refID=7160290&amp;Result=3","7160290")</f>
        <v>0</v>
      </c>
      <c r="B4953" t="s">
        <v>1884</v>
      </c>
      <c r="C4953" t="s">
        <v>8577</v>
      </c>
      <c r="D4953" t="s">
        <v>19068</v>
      </c>
      <c r="E4953" t="s">
        <v>23482</v>
      </c>
      <c r="F4953" t="s">
        <v>32831</v>
      </c>
      <c r="G4953" t="s">
        <v>32840</v>
      </c>
      <c r="H4953" t="s">
        <v>32848</v>
      </c>
      <c r="I4953" t="s">
        <v>8577</v>
      </c>
      <c r="J4953" t="s">
        <v>36172</v>
      </c>
      <c r="K4953" t="s">
        <v>42731</v>
      </c>
      <c r="M4953" t="s">
        <v>45028</v>
      </c>
      <c r="N4953" t="s">
        <v>47424</v>
      </c>
      <c r="O4953" t="s">
        <v>47425</v>
      </c>
      <c r="P4953">
        <v>0</v>
      </c>
      <c r="Q4953">
        <v>2</v>
      </c>
      <c r="R4953" t="s">
        <v>47430</v>
      </c>
      <c r="S4953" t="s">
        <v>47549</v>
      </c>
      <c r="T4953" t="s">
        <v>49119</v>
      </c>
      <c r="U4953" t="s">
        <v>53882</v>
      </c>
      <c r="W4953" t="s">
        <v>45028</v>
      </c>
      <c r="X4953" t="s">
        <v>47431</v>
      </c>
    </row>
    <row r="4954" spans="1:24">
      <c r="A4954">
        <f>HYPERLINK("https://www.philgeps.gov.ph/GEPSNONPILOT/Tender/SplashBidNoticeAbstractUI.aspx?menuIndex=3&amp;refID=7160347&amp;Result=3","7160347")</f>
        <v>0</v>
      </c>
      <c r="B4954" t="s">
        <v>226</v>
      </c>
      <c r="C4954" t="s">
        <v>8578</v>
      </c>
      <c r="D4954" t="s">
        <v>19049</v>
      </c>
      <c r="E4954" t="s">
        <v>23483</v>
      </c>
      <c r="F4954" t="s">
        <v>32831</v>
      </c>
      <c r="G4954" t="s">
        <v>32839</v>
      </c>
      <c r="H4954" t="s">
        <v>32849</v>
      </c>
      <c r="I4954" t="s">
        <v>4177</v>
      </c>
      <c r="J4954" t="s">
        <v>33072</v>
      </c>
      <c r="K4954" t="s">
        <v>42825</v>
      </c>
      <c r="M4954" t="s">
        <v>43224</v>
      </c>
      <c r="N4954" t="s">
        <v>47424</v>
      </c>
      <c r="O4954" t="s">
        <v>47425</v>
      </c>
      <c r="P4954">
        <v>0</v>
      </c>
      <c r="Q4954">
        <v>0</v>
      </c>
      <c r="R4954" t="s">
        <v>47430</v>
      </c>
      <c r="S4954" t="s">
        <v>47549</v>
      </c>
      <c r="T4954" t="s">
        <v>49267</v>
      </c>
      <c r="U4954" t="s">
        <v>53883</v>
      </c>
      <c r="W4954" t="s">
        <v>43224</v>
      </c>
      <c r="X4954" t="s">
        <v>47431</v>
      </c>
    </row>
    <row r="4955" spans="1:24">
      <c r="A4955">
        <f>HYPERLINK("https://www.philgeps.gov.ph/GEPSNONPILOT/Tender/SplashBidNoticeAbstractUI.aspx?menuIndex=3&amp;refID=7160345&amp;Result=3","7160345")</f>
        <v>0</v>
      </c>
      <c r="B4955" t="s">
        <v>1906</v>
      </c>
      <c r="C4955" t="s">
        <v>8579</v>
      </c>
      <c r="D4955" t="s">
        <v>19048</v>
      </c>
      <c r="E4955" t="s">
        <v>23484</v>
      </c>
      <c r="F4955" t="s">
        <v>32831</v>
      </c>
      <c r="G4955" t="s">
        <v>32838</v>
      </c>
      <c r="H4955" t="s">
        <v>32848</v>
      </c>
      <c r="I4955" t="s">
        <v>32921</v>
      </c>
      <c r="J4955" t="s">
        <v>36173</v>
      </c>
      <c r="K4955" t="s">
        <v>42732</v>
      </c>
      <c r="M4955" t="s">
        <v>45055</v>
      </c>
      <c r="N4955" t="s">
        <v>47424</v>
      </c>
      <c r="O4955" t="s">
        <v>47425</v>
      </c>
      <c r="P4955">
        <v>0</v>
      </c>
      <c r="Q4955">
        <v>0</v>
      </c>
      <c r="R4955" t="s">
        <v>47430</v>
      </c>
      <c r="S4955" t="s">
        <v>47549</v>
      </c>
      <c r="T4955" t="s">
        <v>49116</v>
      </c>
      <c r="U4955" t="s">
        <v>53884</v>
      </c>
      <c r="W4955" t="s">
        <v>64491</v>
      </c>
      <c r="X4955" t="s">
        <v>47431</v>
      </c>
    </row>
    <row r="4956" spans="1:24">
      <c r="A4956">
        <f>HYPERLINK("https://www.philgeps.gov.ph/GEPSNONPILOT/Tender/SplashBidNoticeAbstractUI.aspx?menuIndex=3&amp;refID=7160343&amp;Result=3","7160343")</f>
        <v>0</v>
      </c>
      <c r="B4956" t="s">
        <v>1750</v>
      </c>
      <c r="C4956" t="s">
        <v>8580</v>
      </c>
      <c r="D4956" t="s">
        <v>19038</v>
      </c>
      <c r="E4956" t="s">
        <v>20965</v>
      </c>
      <c r="F4956" t="s">
        <v>32831</v>
      </c>
      <c r="G4956" t="s">
        <v>32840</v>
      </c>
      <c r="H4956" t="s">
        <v>32848</v>
      </c>
      <c r="I4956" t="s">
        <v>4438</v>
      </c>
      <c r="J4956" t="s">
        <v>33771</v>
      </c>
      <c r="K4956" t="s">
        <v>42748</v>
      </c>
      <c r="M4956" t="s">
        <v>44874</v>
      </c>
      <c r="N4956" t="s">
        <v>47424</v>
      </c>
      <c r="O4956" t="s">
        <v>47425</v>
      </c>
      <c r="P4956">
        <v>0</v>
      </c>
      <c r="Q4956">
        <v>0</v>
      </c>
      <c r="R4956" t="s">
        <v>47430</v>
      </c>
      <c r="S4956" t="s">
        <v>47549</v>
      </c>
      <c r="T4956" t="s">
        <v>49146</v>
      </c>
      <c r="U4956" t="s">
        <v>53885</v>
      </c>
      <c r="W4956" t="s">
        <v>44874</v>
      </c>
      <c r="X4956" t="s">
        <v>47431</v>
      </c>
    </row>
    <row r="4957" spans="1:24">
      <c r="A4957">
        <f>HYPERLINK("https://www.philgeps.gov.ph/GEPSNONPILOT/Tender/SplashBidNoticeAbstractUI.aspx?menuIndex=3&amp;refID=7160342&amp;Result=3","7160342")</f>
        <v>0</v>
      </c>
      <c r="B4957" t="s">
        <v>49</v>
      </c>
      <c r="C4957" t="s">
        <v>8581</v>
      </c>
      <c r="D4957" t="s">
        <v>19037</v>
      </c>
      <c r="E4957" t="s">
        <v>8581</v>
      </c>
      <c r="F4957" t="s">
        <v>32831</v>
      </c>
      <c r="G4957" t="s">
        <v>32839</v>
      </c>
      <c r="H4957" t="s">
        <v>32848</v>
      </c>
      <c r="I4957" t="s">
        <v>4776</v>
      </c>
      <c r="J4957" t="s">
        <v>36174</v>
      </c>
      <c r="K4957" t="s">
        <v>42750</v>
      </c>
      <c r="M4957" t="s">
        <v>45033</v>
      </c>
      <c r="N4957" t="s">
        <v>47424</v>
      </c>
      <c r="O4957" t="s">
        <v>47425</v>
      </c>
      <c r="P4957">
        <v>0</v>
      </c>
      <c r="Q4957">
        <v>0</v>
      </c>
      <c r="R4957" t="s">
        <v>47430</v>
      </c>
      <c r="S4957" t="s">
        <v>47549</v>
      </c>
      <c r="T4957" t="s">
        <v>49179</v>
      </c>
      <c r="U4957" t="s">
        <v>53886</v>
      </c>
      <c r="W4957" t="s">
        <v>45033</v>
      </c>
      <c r="X4957" t="s">
        <v>47431</v>
      </c>
    </row>
    <row r="4958" spans="1:24">
      <c r="A4958">
        <f>HYPERLINK("https://www.philgeps.gov.ph/GEPSNONPILOT/Tender/SplashBidNoticeAbstractUI.aspx?menuIndex=3&amp;refID=7160338&amp;Result=3","7160338")</f>
        <v>0</v>
      </c>
      <c r="B4958" t="s">
        <v>1903</v>
      </c>
      <c r="C4958" t="s">
        <v>8582</v>
      </c>
      <c r="D4958" t="s">
        <v>19088</v>
      </c>
      <c r="E4958" t="s">
        <v>23485</v>
      </c>
      <c r="F4958" t="s">
        <v>32831</v>
      </c>
      <c r="G4958" t="s">
        <v>32839</v>
      </c>
      <c r="H4958" t="s">
        <v>32848</v>
      </c>
      <c r="I4958" t="s">
        <v>32860</v>
      </c>
      <c r="J4958" t="s">
        <v>36175</v>
      </c>
      <c r="K4958" t="s">
        <v>42775</v>
      </c>
      <c r="M4958" t="s">
        <v>45052</v>
      </c>
      <c r="N4958" t="s">
        <v>47424</v>
      </c>
      <c r="O4958" t="s">
        <v>47425</v>
      </c>
      <c r="P4958">
        <v>0</v>
      </c>
      <c r="Q4958">
        <v>1</v>
      </c>
      <c r="R4958" t="s">
        <v>47430</v>
      </c>
      <c r="S4958" t="s">
        <v>47549</v>
      </c>
      <c r="T4958" t="s">
        <v>49319</v>
      </c>
      <c r="U4958" t="s">
        <v>53869</v>
      </c>
      <c r="W4958" t="s">
        <v>45052</v>
      </c>
      <c r="X4958" t="s">
        <v>47431</v>
      </c>
    </row>
    <row r="4959" spans="1:24">
      <c r="A4959">
        <f>HYPERLINK("https://www.philgeps.gov.ph/GEPSNONPILOT/Tender/SplashBidNoticeAbstractUI.aspx?menuIndex=3&amp;refID=7160337&amp;Result=3","7160337")</f>
        <v>0</v>
      </c>
      <c r="B4959" t="s">
        <v>1564</v>
      </c>
      <c r="C4959" t="s">
        <v>8583</v>
      </c>
      <c r="D4959" t="s">
        <v>19049</v>
      </c>
      <c r="E4959" t="s">
        <v>23486</v>
      </c>
      <c r="F4959" t="s">
        <v>32831</v>
      </c>
      <c r="G4959" t="s">
        <v>32838</v>
      </c>
      <c r="H4959" t="s">
        <v>32848</v>
      </c>
      <c r="I4959" t="s">
        <v>4222</v>
      </c>
      <c r="J4959" t="s">
        <v>36176</v>
      </c>
      <c r="K4959" t="s">
        <v>42759</v>
      </c>
      <c r="M4959" t="s">
        <v>44673</v>
      </c>
      <c r="N4959" t="s">
        <v>47424</v>
      </c>
      <c r="O4959" t="s">
        <v>47425</v>
      </c>
      <c r="P4959">
        <v>0</v>
      </c>
      <c r="Q4959">
        <v>1</v>
      </c>
      <c r="R4959" t="s">
        <v>47430</v>
      </c>
      <c r="S4959" t="s">
        <v>47549</v>
      </c>
      <c r="T4959" t="s">
        <v>49104</v>
      </c>
      <c r="U4959" t="s">
        <v>53887</v>
      </c>
      <c r="W4959" t="s">
        <v>44673</v>
      </c>
      <c r="X4959" t="s">
        <v>47431</v>
      </c>
    </row>
    <row r="4960" spans="1:24">
      <c r="A4960">
        <f>HYPERLINK("https://www.philgeps.gov.ph/GEPSNONPILOT/Tender/SplashBidNoticeAbstractUI.aspx?menuIndex=3&amp;refID=7160350&amp;Result=3","7160350")</f>
        <v>0</v>
      </c>
      <c r="B4960" t="s">
        <v>1385</v>
      </c>
      <c r="C4960" t="s">
        <v>8584</v>
      </c>
      <c r="D4960" t="s">
        <v>19060</v>
      </c>
      <c r="E4960" t="s">
        <v>23487</v>
      </c>
      <c r="F4960" t="s">
        <v>32831</v>
      </c>
      <c r="G4960" t="s">
        <v>32840</v>
      </c>
      <c r="H4960" t="s">
        <v>32848</v>
      </c>
      <c r="I4960" t="s">
        <v>4438</v>
      </c>
      <c r="J4960" t="s">
        <v>32980</v>
      </c>
      <c r="K4960" t="s">
        <v>42730</v>
      </c>
      <c r="M4960" t="s">
        <v>44470</v>
      </c>
      <c r="N4960" t="s">
        <v>47424</v>
      </c>
      <c r="O4960" t="s">
        <v>47425</v>
      </c>
      <c r="P4960">
        <v>0</v>
      </c>
      <c r="Q4960">
        <v>1</v>
      </c>
      <c r="R4960" t="s">
        <v>47430</v>
      </c>
      <c r="S4960" t="s">
        <v>47549</v>
      </c>
      <c r="T4960" t="s">
        <v>49129</v>
      </c>
      <c r="U4960" t="s">
        <v>53888</v>
      </c>
      <c r="V4960" t="s">
        <v>62982</v>
      </c>
      <c r="W4960" t="s">
        <v>44470</v>
      </c>
      <c r="X4960" t="s">
        <v>47431</v>
      </c>
    </row>
    <row r="4961" spans="1:24">
      <c r="A4961">
        <f>HYPERLINK("https://www.philgeps.gov.ph/GEPSNONPILOT/Tender/SplashBidNoticeAbstractUI.aspx?menuIndex=3&amp;refID=7160335&amp;Result=3","7160335")</f>
        <v>0</v>
      </c>
      <c r="B4961" t="s">
        <v>1897</v>
      </c>
      <c r="C4961" t="s">
        <v>5134</v>
      </c>
      <c r="D4961" t="s">
        <v>19054</v>
      </c>
      <c r="E4961" t="s">
        <v>23488</v>
      </c>
      <c r="F4961" t="s">
        <v>32831</v>
      </c>
      <c r="G4961" t="s">
        <v>32840</v>
      </c>
      <c r="H4961" t="s">
        <v>32848</v>
      </c>
      <c r="I4961" t="s">
        <v>10643</v>
      </c>
      <c r="J4961" t="s">
        <v>36177</v>
      </c>
      <c r="K4961" t="s">
        <v>42732</v>
      </c>
      <c r="M4961" t="s">
        <v>45045</v>
      </c>
      <c r="N4961" t="s">
        <v>47424</v>
      </c>
      <c r="O4961" t="s">
        <v>47425</v>
      </c>
      <c r="P4961">
        <v>0</v>
      </c>
      <c r="Q4961">
        <v>0</v>
      </c>
      <c r="R4961" t="s">
        <v>47430</v>
      </c>
      <c r="S4961" t="s">
        <v>47549</v>
      </c>
      <c r="T4961" t="s">
        <v>49166</v>
      </c>
      <c r="U4961" t="s">
        <v>53835</v>
      </c>
      <c r="W4961" t="s">
        <v>45045</v>
      </c>
      <c r="X4961" t="s">
        <v>47431</v>
      </c>
    </row>
    <row r="4962" spans="1:24">
      <c r="A4962">
        <f>HYPERLINK("https://www.philgeps.gov.ph/GEPSNONPILOT/Tender/SplashBidNoticeAbstractUI.aspx?menuIndex=3&amp;refID=7160125&amp;Result=3","7160125")</f>
        <v>0</v>
      </c>
      <c r="B4962" t="s">
        <v>1907</v>
      </c>
      <c r="C4962" t="s">
        <v>8585</v>
      </c>
      <c r="E4962" t="s">
        <v>23489</v>
      </c>
      <c r="F4962" t="s">
        <v>32831</v>
      </c>
      <c r="G4962" t="s">
        <v>32838</v>
      </c>
      <c r="H4962" t="s">
        <v>32848</v>
      </c>
      <c r="I4962" t="s">
        <v>4776</v>
      </c>
      <c r="J4962" t="s">
        <v>33198</v>
      </c>
      <c r="K4962" t="s">
        <v>42732</v>
      </c>
      <c r="M4962" t="s">
        <v>45056</v>
      </c>
      <c r="N4962" t="s">
        <v>47424</v>
      </c>
      <c r="O4962" t="s">
        <v>47425</v>
      </c>
      <c r="P4962">
        <v>0</v>
      </c>
      <c r="Q4962">
        <v>0</v>
      </c>
      <c r="R4962" t="s">
        <v>47430</v>
      </c>
      <c r="S4962" t="s">
        <v>47549</v>
      </c>
      <c r="T4962" t="s">
        <v>49145</v>
      </c>
      <c r="U4962" t="s">
        <v>53889</v>
      </c>
      <c r="W4962" t="s">
        <v>45056</v>
      </c>
      <c r="X4962" t="s">
        <v>47431</v>
      </c>
    </row>
    <row r="4963" spans="1:24">
      <c r="A4963">
        <f>HYPERLINK("https://www.philgeps.gov.ph/GEPSNONPILOT/Tender/SplashBidNoticeAbstractUI.aspx?menuIndex=3&amp;refID=7160333&amp;Result=3","7160333")</f>
        <v>0</v>
      </c>
      <c r="B4963" t="s">
        <v>1881</v>
      </c>
      <c r="C4963" t="s">
        <v>8586</v>
      </c>
      <c r="D4963" t="s">
        <v>19030</v>
      </c>
      <c r="E4963" t="s">
        <v>23490</v>
      </c>
      <c r="F4963" t="s">
        <v>32831</v>
      </c>
      <c r="G4963" t="s">
        <v>32838</v>
      </c>
      <c r="H4963" t="s">
        <v>32848</v>
      </c>
      <c r="I4963" t="s">
        <v>32882</v>
      </c>
      <c r="J4963" t="s">
        <v>36178</v>
      </c>
      <c r="K4963" t="s">
        <v>42727</v>
      </c>
      <c r="M4963" t="s">
        <v>45025</v>
      </c>
      <c r="N4963" t="s">
        <v>47424</v>
      </c>
      <c r="O4963" t="s">
        <v>47425</v>
      </c>
      <c r="P4963">
        <v>0</v>
      </c>
      <c r="Q4963">
        <v>8</v>
      </c>
      <c r="R4963" t="s">
        <v>47430</v>
      </c>
      <c r="S4963" t="s">
        <v>47549</v>
      </c>
      <c r="T4963" t="s">
        <v>49212</v>
      </c>
      <c r="U4963" t="s">
        <v>53890</v>
      </c>
      <c r="W4963" t="s">
        <v>45025</v>
      </c>
      <c r="X4963" t="s">
        <v>47431</v>
      </c>
    </row>
    <row r="4964" spans="1:24">
      <c r="A4964">
        <f>HYPERLINK("https://www.philgeps.gov.ph/GEPSNONPILOT/Tender/SplashBidNoticeAbstractUI.aspx?menuIndex=3&amp;refID=7160344&amp;Result=3","7160344")</f>
        <v>0</v>
      </c>
      <c r="B4964" t="s">
        <v>1850</v>
      </c>
      <c r="C4964" t="s">
        <v>8587</v>
      </c>
      <c r="D4964" t="s">
        <v>19020</v>
      </c>
      <c r="E4964" t="s">
        <v>23491</v>
      </c>
      <c r="F4964" t="s">
        <v>32831</v>
      </c>
      <c r="G4964" t="s">
        <v>32839</v>
      </c>
      <c r="H4964" t="s">
        <v>32848</v>
      </c>
      <c r="I4964" t="s">
        <v>32902</v>
      </c>
      <c r="J4964" t="s">
        <v>36179</v>
      </c>
      <c r="K4964" t="s">
        <v>42726</v>
      </c>
      <c r="M4964" t="s">
        <v>44988</v>
      </c>
      <c r="N4964" t="s">
        <v>47424</v>
      </c>
      <c r="O4964" t="s">
        <v>47425</v>
      </c>
      <c r="P4964">
        <v>0</v>
      </c>
      <c r="Q4964">
        <v>6</v>
      </c>
      <c r="R4964" t="s">
        <v>47430</v>
      </c>
      <c r="S4964" t="s">
        <v>47549</v>
      </c>
      <c r="T4964" t="s">
        <v>49301</v>
      </c>
      <c r="U4964" t="s">
        <v>53891</v>
      </c>
      <c r="W4964" t="s">
        <v>44988</v>
      </c>
      <c r="X4964" t="s">
        <v>47431</v>
      </c>
    </row>
    <row r="4965" spans="1:24">
      <c r="A4965">
        <f>HYPERLINK("https://www.philgeps.gov.ph/GEPSNONPILOT/Tender/SplashBidNoticeAbstractUI.aspx?menuIndex=3&amp;refID=7160332&amp;Result=3","7160332")</f>
        <v>0</v>
      </c>
      <c r="B4965" t="s">
        <v>1679</v>
      </c>
      <c r="C4965" t="s">
        <v>8588</v>
      </c>
      <c r="D4965" t="s">
        <v>19052</v>
      </c>
      <c r="E4965" t="s">
        <v>23492</v>
      </c>
      <c r="F4965" t="s">
        <v>32831</v>
      </c>
      <c r="G4965" t="s">
        <v>32839</v>
      </c>
      <c r="H4965" t="s">
        <v>32849</v>
      </c>
      <c r="I4965" t="s">
        <v>4177</v>
      </c>
      <c r="J4965" t="s">
        <v>36180</v>
      </c>
      <c r="K4965" t="s">
        <v>42747</v>
      </c>
      <c r="M4965" t="s">
        <v>44797</v>
      </c>
      <c r="N4965" t="s">
        <v>47424</v>
      </c>
      <c r="O4965" t="s">
        <v>47425</v>
      </c>
      <c r="P4965">
        <v>0</v>
      </c>
      <c r="Q4965">
        <v>1</v>
      </c>
      <c r="R4965" t="s">
        <v>47430</v>
      </c>
      <c r="S4965" t="s">
        <v>47549</v>
      </c>
      <c r="T4965" t="s">
        <v>49198</v>
      </c>
      <c r="U4965" t="s">
        <v>53892</v>
      </c>
      <c r="V4965" t="s">
        <v>63135</v>
      </c>
      <c r="W4965" t="s">
        <v>44797</v>
      </c>
      <c r="X4965" t="s">
        <v>47431</v>
      </c>
    </row>
    <row r="4966" spans="1:24">
      <c r="A4966">
        <f>HYPERLINK("https://www.philgeps.gov.ph/GEPSNONPILOT/Tender/SplashBidNoticeAbstractUI.aspx?menuIndex=3&amp;refID=7160330&amp;Result=3","7160330")</f>
        <v>0</v>
      </c>
      <c r="B4966" t="s">
        <v>1872</v>
      </c>
      <c r="C4966" t="s">
        <v>8589</v>
      </c>
      <c r="D4966" t="s">
        <v>19100</v>
      </c>
      <c r="E4966" t="s">
        <v>19486</v>
      </c>
      <c r="F4966" t="s">
        <v>32831</v>
      </c>
      <c r="G4966" t="s">
        <v>32838</v>
      </c>
      <c r="H4966" t="s">
        <v>32849</v>
      </c>
      <c r="I4966" t="s">
        <v>4177</v>
      </c>
      <c r="J4966" t="s">
        <v>36181</v>
      </c>
      <c r="K4966" t="s">
        <v>42869</v>
      </c>
      <c r="M4966" t="s">
        <v>45016</v>
      </c>
      <c r="N4966" t="s">
        <v>47424</v>
      </c>
      <c r="O4966" t="s">
        <v>47425</v>
      </c>
      <c r="P4966">
        <v>0</v>
      </c>
      <c r="Q4966">
        <v>0</v>
      </c>
      <c r="R4966" t="s">
        <v>47430</v>
      </c>
      <c r="S4966" t="s">
        <v>47549</v>
      </c>
      <c r="T4966" t="s">
        <v>49239</v>
      </c>
      <c r="U4966" t="s">
        <v>53893</v>
      </c>
      <c r="W4966" t="s">
        <v>45016</v>
      </c>
      <c r="X4966" t="s">
        <v>47431</v>
      </c>
    </row>
    <row r="4967" spans="1:24">
      <c r="A4967">
        <f>HYPERLINK("https://www.philgeps.gov.ph/GEPSNONPILOT/Tender/SplashBidNoticeAbstractUI.aspx?menuIndex=3&amp;refID=7160377&amp;Result=3","7160377")</f>
        <v>0</v>
      </c>
      <c r="B4967" t="s">
        <v>1747</v>
      </c>
      <c r="C4967" t="s">
        <v>8590</v>
      </c>
      <c r="D4967" t="s">
        <v>19058</v>
      </c>
      <c r="E4967" t="s">
        <v>23493</v>
      </c>
      <c r="F4967" t="s">
        <v>32831</v>
      </c>
      <c r="G4967" t="s">
        <v>32838</v>
      </c>
      <c r="H4967" t="s">
        <v>32848</v>
      </c>
      <c r="I4967" t="s">
        <v>4487</v>
      </c>
      <c r="J4967" t="s">
        <v>35100</v>
      </c>
      <c r="K4967" t="s">
        <v>42727</v>
      </c>
      <c r="M4967" t="s">
        <v>45038</v>
      </c>
      <c r="N4967" t="s">
        <v>47424</v>
      </c>
      <c r="O4967" t="s">
        <v>47425</v>
      </c>
      <c r="P4967">
        <v>0</v>
      </c>
      <c r="Q4967">
        <v>1</v>
      </c>
      <c r="R4967" t="s">
        <v>47430</v>
      </c>
      <c r="S4967" t="s">
        <v>47549</v>
      </c>
      <c r="T4967" t="s">
        <v>49068</v>
      </c>
      <c r="U4967" t="s">
        <v>53894</v>
      </c>
      <c r="W4967" t="s">
        <v>45038</v>
      </c>
      <c r="X4967" t="s">
        <v>47431</v>
      </c>
    </row>
    <row r="4968" spans="1:24">
      <c r="A4968">
        <f>HYPERLINK("https://www.philgeps.gov.ph/GEPSNONPILOT/Tender/SplashBidNoticeAbstractUI.aspx?menuIndex=3&amp;refID=7160336&amp;Result=3","7160336")</f>
        <v>0</v>
      </c>
      <c r="B4968" t="s">
        <v>1747</v>
      </c>
      <c r="C4968" t="s">
        <v>8591</v>
      </c>
      <c r="D4968" t="s">
        <v>19058</v>
      </c>
      <c r="E4968" t="s">
        <v>23494</v>
      </c>
      <c r="F4968" t="s">
        <v>32831</v>
      </c>
      <c r="G4968" t="s">
        <v>32838</v>
      </c>
      <c r="H4968" t="s">
        <v>32848</v>
      </c>
      <c r="I4968" t="s">
        <v>6526</v>
      </c>
      <c r="J4968" t="s">
        <v>36182</v>
      </c>
      <c r="K4968" t="s">
        <v>42727</v>
      </c>
      <c r="M4968" t="s">
        <v>45038</v>
      </c>
      <c r="N4968" t="s">
        <v>47424</v>
      </c>
      <c r="O4968" t="s">
        <v>47425</v>
      </c>
      <c r="P4968">
        <v>0</v>
      </c>
      <c r="Q4968">
        <v>0</v>
      </c>
      <c r="R4968" t="s">
        <v>47430</v>
      </c>
      <c r="S4968" t="s">
        <v>47549</v>
      </c>
      <c r="T4968" t="s">
        <v>49068</v>
      </c>
      <c r="U4968" t="s">
        <v>53895</v>
      </c>
      <c r="W4968" t="s">
        <v>45038</v>
      </c>
      <c r="X4968" t="s">
        <v>47431</v>
      </c>
    </row>
    <row r="4969" spans="1:24">
      <c r="A4969">
        <f>HYPERLINK("https://www.philgeps.gov.ph/GEPSNONPILOT/Tender/SplashBidNoticeAbstractUI.aspx?menuIndex=3&amp;refID=7160376&amp;Result=3","7160376")</f>
        <v>0</v>
      </c>
      <c r="B4969" t="s">
        <v>1908</v>
      </c>
      <c r="C4969" t="s">
        <v>8592</v>
      </c>
      <c r="D4969" t="s">
        <v>19049</v>
      </c>
      <c r="E4969" t="s">
        <v>23495</v>
      </c>
      <c r="F4969" t="s">
        <v>32831</v>
      </c>
      <c r="G4969" t="s">
        <v>32839</v>
      </c>
      <c r="H4969" t="s">
        <v>32849</v>
      </c>
      <c r="I4969" t="s">
        <v>4177</v>
      </c>
      <c r="J4969" t="s">
        <v>36183</v>
      </c>
      <c r="K4969" t="s">
        <v>42855</v>
      </c>
      <c r="M4969" t="s">
        <v>45057</v>
      </c>
      <c r="N4969" t="s">
        <v>47424</v>
      </c>
      <c r="O4969" t="s">
        <v>47425</v>
      </c>
      <c r="P4969">
        <v>0</v>
      </c>
      <c r="Q4969">
        <v>2</v>
      </c>
      <c r="R4969" t="s">
        <v>47430</v>
      </c>
      <c r="S4969" t="s">
        <v>47549</v>
      </c>
      <c r="T4969" t="s">
        <v>49077</v>
      </c>
      <c r="U4969" t="s">
        <v>53896</v>
      </c>
      <c r="W4969" t="s">
        <v>45057</v>
      </c>
      <c r="X4969" t="s">
        <v>47431</v>
      </c>
    </row>
    <row r="4970" spans="1:24">
      <c r="A4970">
        <f>HYPERLINK("https://www.philgeps.gov.ph/GEPSNONPILOT/Tender/SplashBidNoticeAbstractUI.aspx?menuIndex=3&amp;refID=7160374&amp;Result=3","7160374")</f>
        <v>0</v>
      </c>
      <c r="B4970" t="s">
        <v>100</v>
      </c>
      <c r="C4970" t="s">
        <v>8593</v>
      </c>
      <c r="D4970" t="s">
        <v>19017</v>
      </c>
      <c r="E4970" t="s">
        <v>23496</v>
      </c>
      <c r="F4970" t="s">
        <v>32831</v>
      </c>
      <c r="G4970" t="s">
        <v>32840</v>
      </c>
      <c r="H4970" t="s">
        <v>32848</v>
      </c>
      <c r="I4970" t="s">
        <v>4303</v>
      </c>
      <c r="J4970" t="s">
        <v>33292</v>
      </c>
      <c r="K4970" t="s">
        <v>42731</v>
      </c>
      <c r="M4970" t="s">
        <v>45058</v>
      </c>
      <c r="N4970" t="s">
        <v>47424</v>
      </c>
      <c r="O4970" t="s">
        <v>47425</v>
      </c>
      <c r="P4970">
        <v>0</v>
      </c>
      <c r="Q4970">
        <v>8</v>
      </c>
      <c r="R4970" t="s">
        <v>47430</v>
      </c>
      <c r="S4970" t="s">
        <v>47549</v>
      </c>
      <c r="T4970" t="s">
        <v>49374</v>
      </c>
      <c r="U4970" t="s">
        <v>53897</v>
      </c>
      <c r="V4970" t="s">
        <v>63021</v>
      </c>
      <c r="W4970" t="s">
        <v>45058</v>
      </c>
      <c r="X4970" t="s">
        <v>47431</v>
      </c>
    </row>
    <row r="4971" spans="1:24">
      <c r="A4971">
        <f>HYPERLINK("https://www.philgeps.gov.ph/GEPSNONPILOT/Tender/SplashBidNoticeAbstractUI.aspx?menuIndex=3&amp;refID=7160298&amp;Result=3","7160298")</f>
        <v>0</v>
      </c>
      <c r="B4971" t="s">
        <v>680</v>
      </c>
      <c r="C4971" t="s">
        <v>8594</v>
      </c>
      <c r="D4971" t="s">
        <v>19018</v>
      </c>
      <c r="E4971" t="s">
        <v>20463</v>
      </c>
      <c r="F4971" t="s">
        <v>32831</v>
      </c>
      <c r="G4971" t="s">
        <v>32838</v>
      </c>
      <c r="H4971" t="s">
        <v>32848</v>
      </c>
      <c r="I4971" t="s">
        <v>32881</v>
      </c>
      <c r="J4971" t="s">
        <v>32980</v>
      </c>
      <c r="K4971" t="s">
        <v>42726</v>
      </c>
      <c r="M4971" t="s">
        <v>45059</v>
      </c>
      <c r="N4971" t="s">
        <v>47424</v>
      </c>
      <c r="O4971" t="s">
        <v>47425</v>
      </c>
      <c r="P4971">
        <v>0</v>
      </c>
      <c r="Q4971">
        <v>1</v>
      </c>
      <c r="R4971" t="s">
        <v>47430</v>
      </c>
      <c r="S4971" t="s">
        <v>47549</v>
      </c>
      <c r="T4971" t="s">
        <v>49114</v>
      </c>
      <c r="U4971" t="s">
        <v>53898</v>
      </c>
      <c r="W4971" t="s">
        <v>45059</v>
      </c>
      <c r="X4971" t="s">
        <v>47431</v>
      </c>
    </row>
    <row r="4972" spans="1:24">
      <c r="A4972">
        <f>HYPERLINK("https://www.philgeps.gov.ph/GEPSNONPILOT/Tender/SplashBidNoticeAbstractUI.aspx?menuIndex=3&amp;refID=7160373&amp;Result=3","7160373")</f>
        <v>0</v>
      </c>
      <c r="B4972" t="s">
        <v>1909</v>
      </c>
      <c r="C4972" t="s">
        <v>8595</v>
      </c>
      <c r="D4972" t="s">
        <v>19088</v>
      </c>
      <c r="E4972" t="s">
        <v>23497</v>
      </c>
      <c r="F4972" t="s">
        <v>32831</v>
      </c>
      <c r="G4972" t="s">
        <v>32839</v>
      </c>
      <c r="H4972" t="s">
        <v>32848</v>
      </c>
      <c r="I4972" t="s">
        <v>4487</v>
      </c>
      <c r="J4972" t="s">
        <v>36184</v>
      </c>
      <c r="K4972" t="s">
        <v>42730</v>
      </c>
      <c r="M4972" t="s">
        <v>45060</v>
      </c>
      <c r="N4972" t="s">
        <v>47424</v>
      </c>
      <c r="O4972" t="s">
        <v>47425</v>
      </c>
      <c r="P4972">
        <v>0</v>
      </c>
      <c r="Q4972">
        <v>8</v>
      </c>
      <c r="R4972" t="s">
        <v>47430</v>
      </c>
      <c r="S4972" t="s">
        <v>47549</v>
      </c>
      <c r="T4972" t="s">
        <v>49254</v>
      </c>
      <c r="U4972" t="s">
        <v>53899</v>
      </c>
      <c r="V4972" t="s">
        <v>63179</v>
      </c>
      <c r="W4972" t="s">
        <v>45060</v>
      </c>
      <c r="X4972" t="s">
        <v>47431</v>
      </c>
    </row>
    <row r="4973" spans="1:24">
      <c r="A4973">
        <f>HYPERLINK("https://www.philgeps.gov.ph/GEPSNONPILOT/Tender/SplashBidNoticeAbstractUI.aspx?menuIndex=3&amp;refID=7160370&amp;Result=3","7160370")</f>
        <v>0</v>
      </c>
      <c r="B4973" t="s">
        <v>1876</v>
      </c>
      <c r="C4973" t="s">
        <v>8596</v>
      </c>
      <c r="D4973" t="s">
        <v>19034</v>
      </c>
      <c r="E4973" t="s">
        <v>23498</v>
      </c>
      <c r="F4973" t="s">
        <v>32831</v>
      </c>
      <c r="G4973" t="s">
        <v>32839</v>
      </c>
      <c r="H4973" t="s">
        <v>32849</v>
      </c>
      <c r="I4973" t="s">
        <v>4177</v>
      </c>
      <c r="J4973" t="s">
        <v>36185</v>
      </c>
      <c r="K4973" t="s">
        <v>42747</v>
      </c>
      <c r="M4973" t="s">
        <v>45020</v>
      </c>
      <c r="N4973" t="s">
        <v>47424</v>
      </c>
      <c r="O4973" t="s">
        <v>47425</v>
      </c>
      <c r="P4973">
        <v>0</v>
      </c>
      <c r="Q4973">
        <v>0</v>
      </c>
      <c r="R4973" t="s">
        <v>47430</v>
      </c>
      <c r="S4973" t="s">
        <v>47549</v>
      </c>
      <c r="T4973" t="s">
        <v>49077</v>
      </c>
      <c r="U4973" t="s">
        <v>53856</v>
      </c>
      <c r="W4973" t="s">
        <v>45020</v>
      </c>
      <c r="X4973" t="s">
        <v>47431</v>
      </c>
    </row>
    <row r="4974" spans="1:24">
      <c r="A4974">
        <f>HYPERLINK("https://www.philgeps.gov.ph/GEPSNONPILOT/Tender/SplashBidNoticeAbstractUI.aspx?menuIndex=3&amp;refID=7160372&amp;Result=3","7160372")</f>
        <v>0</v>
      </c>
      <c r="B4974" t="s">
        <v>1679</v>
      </c>
      <c r="C4974" t="s">
        <v>8597</v>
      </c>
      <c r="D4974" t="s">
        <v>19052</v>
      </c>
      <c r="E4974" t="s">
        <v>23499</v>
      </c>
      <c r="F4974" t="s">
        <v>32831</v>
      </c>
      <c r="G4974" t="s">
        <v>32839</v>
      </c>
      <c r="H4974" t="s">
        <v>32849</v>
      </c>
      <c r="I4974" t="s">
        <v>4177</v>
      </c>
      <c r="J4974" t="s">
        <v>36186</v>
      </c>
      <c r="K4974" t="s">
        <v>42730</v>
      </c>
      <c r="M4974" t="s">
        <v>44797</v>
      </c>
      <c r="N4974" t="s">
        <v>47424</v>
      </c>
      <c r="O4974" t="s">
        <v>47425</v>
      </c>
      <c r="P4974">
        <v>0</v>
      </c>
      <c r="Q4974">
        <v>1</v>
      </c>
      <c r="R4974" t="s">
        <v>47430</v>
      </c>
      <c r="S4974" t="s">
        <v>47549</v>
      </c>
      <c r="T4974" t="s">
        <v>49198</v>
      </c>
      <c r="U4974" t="s">
        <v>53900</v>
      </c>
      <c r="V4974" t="s">
        <v>63090</v>
      </c>
      <c r="W4974" t="s">
        <v>44797</v>
      </c>
      <c r="X4974" t="s">
        <v>47431</v>
      </c>
    </row>
    <row r="4975" spans="1:24">
      <c r="A4975">
        <f>HYPERLINK("https://www.philgeps.gov.ph/GEPSNONPILOT/Tender/SplashBidNoticeAbstractUI.aspx?menuIndex=3&amp;refID=7160368&amp;Result=3","7160368")</f>
        <v>0</v>
      </c>
      <c r="B4975" t="s">
        <v>1895</v>
      </c>
      <c r="C4975" t="s">
        <v>8598</v>
      </c>
      <c r="E4975" t="s">
        <v>23500</v>
      </c>
      <c r="F4975" t="s">
        <v>32831</v>
      </c>
      <c r="G4975" t="s">
        <v>32838</v>
      </c>
      <c r="H4975" t="s">
        <v>32848</v>
      </c>
      <c r="I4975" t="s">
        <v>4303</v>
      </c>
      <c r="J4975" t="s">
        <v>33854</v>
      </c>
      <c r="K4975" t="s">
        <v>42732</v>
      </c>
      <c r="M4975" t="s">
        <v>45042</v>
      </c>
      <c r="N4975" t="s">
        <v>47424</v>
      </c>
      <c r="O4975" t="s">
        <v>47425</v>
      </c>
      <c r="P4975">
        <v>0</v>
      </c>
      <c r="Q4975">
        <v>0</v>
      </c>
      <c r="R4975" t="s">
        <v>47430</v>
      </c>
      <c r="S4975" t="s">
        <v>47549</v>
      </c>
      <c r="T4975" t="s">
        <v>49237</v>
      </c>
      <c r="U4975" t="s">
        <v>53901</v>
      </c>
      <c r="W4975" t="s">
        <v>45042</v>
      </c>
      <c r="X4975" t="s">
        <v>47431</v>
      </c>
    </row>
    <row r="4976" spans="1:24">
      <c r="A4976">
        <f>HYPERLINK("https://www.philgeps.gov.ph/GEPSNONPILOT/Tender/SplashBidNoticeAbstractUI.aspx?menuIndex=3&amp;refID=7160288&amp;Result=3","7160288")</f>
        <v>0</v>
      </c>
      <c r="B4976" t="s">
        <v>1151</v>
      </c>
      <c r="C4976" t="s">
        <v>8599</v>
      </c>
      <c r="D4976" t="s">
        <v>19091</v>
      </c>
      <c r="E4976" t="s">
        <v>23501</v>
      </c>
      <c r="F4976" t="s">
        <v>32831</v>
      </c>
      <c r="G4976" t="s">
        <v>32839</v>
      </c>
      <c r="H4976" t="s">
        <v>32849</v>
      </c>
      <c r="I4976" t="s">
        <v>4177</v>
      </c>
      <c r="J4976" t="s">
        <v>33087</v>
      </c>
      <c r="K4976" t="s">
        <v>42752</v>
      </c>
      <c r="M4976" t="s">
        <v>44215</v>
      </c>
      <c r="N4976" t="s">
        <v>47424</v>
      </c>
      <c r="O4976" t="s">
        <v>47425</v>
      </c>
      <c r="P4976">
        <v>0</v>
      </c>
      <c r="Q4976">
        <v>0</v>
      </c>
      <c r="R4976" t="s">
        <v>47430</v>
      </c>
      <c r="S4976" t="s">
        <v>47549</v>
      </c>
      <c r="T4976" t="s">
        <v>49387</v>
      </c>
      <c r="U4976" t="s">
        <v>51939</v>
      </c>
      <c r="W4976" t="s">
        <v>44215</v>
      </c>
      <c r="X4976" t="s">
        <v>47431</v>
      </c>
    </row>
    <row r="4977" spans="1:24">
      <c r="A4977">
        <f>HYPERLINK("https://www.philgeps.gov.ph/GEPSNONPILOT/Tender/SplashBidNoticeAbstractUI.aspx?menuIndex=3&amp;refID=7160362&amp;Result=3","7160362")</f>
        <v>0</v>
      </c>
      <c r="B4977" t="s">
        <v>1910</v>
      </c>
      <c r="C4977" t="s">
        <v>8600</v>
      </c>
      <c r="E4977" t="s">
        <v>23502</v>
      </c>
      <c r="F4977" t="s">
        <v>32831</v>
      </c>
      <c r="G4977" t="s">
        <v>32838</v>
      </c>
      <c r="H4977" t="s">
        <v>32848</v>
      </c>
      <c r="I4977" t="s">
        <v>14069</v>
      </c>
      <c r="J4977" t="s">
        <v>36125</v>
      </c>
      <c r="K4977" t="s">
        <v>42732</v>
      </c>
      <c r="M4977" t="s">
        <v>45061</v>
      </c>
      <c r="N4977" t="s">
        <v>47424</v>
      </c>
      <c r="O4977" t="s">
        <v>47425</v>
      </c>
      <c r="P4977">
        <v>0</v>
      </c>
      <c r="Q4977">
        <v>4</v>
      </c>
      <c r="R4977" t="s">
        <v>47430</v>
      </c>
      <c r="S4977" t="s">
        <v>47549</v>
      </c>
      <c r="T4977" t="s">
        <v>49111</v>
      </c>
      <c r="U4977" t="s">
        <v>53902</v>
      </c>
      <c r="W4977" t="s">
        <v>45061</v>
      </c>
      <c r="X4977" t="s">
        <v>47431</v>
      </c>
    </row>
    <row r="4978" spans="1:24">
      <c r="A4978">
        <f>HYPERLINK("https://www.philgeps.gov.ph/GEPSNONPILOT/Tender/SplashBidNoticeAbstractUI.aspx?menuIndex=3&amp;refID=7160375&amp;Result=3","7160375")</f>
        <v>0</v>
      </c>
      <c r="B4978" t="s">
        <v>323</v>
      </c>
      <c r="C4978" t="s">
        <v>8601</v>
      </c>
      <c r="D4978" t="s">
        <v>19081</v>
      </c>
      <c r="E4978" t="s">
        <v>23503</v>
      </c>
      <c r="F4978" t="s">
        <v>32831</v>
      </c>
      <c r="G4978" t="s">
        <v>32838</v>
      </c>
      <c r="H4978" t="s">
        <v>32848</v>
      </c>
      <c r="I4978" t="s">
        <v>4177</v>
      </c>
      <c r="J4978" t="s">
        <v>33087</v>
      </c>
      <c r="K4978" t="s">
        <v>42726</v>
      </c>
      <c r="M4978" t="s">
        <v>45062</v>
      </c>
      <c r="N4978" t="s">
        <v>47424</v>
      </c>
      <c r="O4978" t="s">
        <v>47425</v>
      </c>
      <c r="P4978">
        <v>0</v>
      </c>
      <c r="Q4978">
        <v>0</v>
      </c>
      <c r="R4978" t="s">
        <v>47430</v>
      </c>
      <c r="S4978" t="s">
        <v>47549</v>
      </c>
      <c r="T4978" t="s">
        <v>49108</v>
      </c>
      <c r="U4978" t="s">
        <v>53903</v>
      </c>
      <c r="W4978" t="s">
        <v>45062</v>
      </c>
      <c r="X4978" t="s">
        <v>47431</v>
      </c>
    </row>
    <row r="4979" spans="1:24">
      <c r="A4979">
        <f>HYPERLINK("https://www.philgeps.gov.ph/GEPSNONPILOT/Tender/SplashBidNoticeAbstractUI.aspx?menuIndex=3&amp;refID=7160361&amp;Result=3","7160361")</f>
        <v>0</v>
      </c>
      <c r="B4979" t="s">
        <v>1770</v>
      </c>
      <c r="C4979" t="s">
        <v>8602</v>
      </c>
      <c r="D4979" t="s">
        <v>19058</v>
      </c>
      <c r="E4979" t="s">
        <v>23504</v>
      </c>
      <c r="F4979" t="s">
        <v>32831</v>
      </c>
      <c r="G4979" t="s">
        <v>32840</v>
      </c>
      <c r="H4979" t="s">
        <v>32848</v>
      </c>
      <c r="I4979" t="s">
        <v>7416</v>
      </c>
      <c r="J4979" t="s">
        <v>36187</v>
      </c>
      <c r="K4979" t="s">
        <v>42726</v>
      </c>
      <c r="M4979" t="s">
        <v>44895</v>
      </c>
      <c r="N4979" t="s">
        <v>47424</v>
      </c>
      <c r="O4979" t="s">
        <v>47425</v>
      </c>
      <c r="P4979">
        <v>0</v>
      </c>
      <c r="Q4979">
        <v>0</v>
      </c>
      <c r="R4979" t="s">
        <v>47430</v>
      </c>
      <c r="S4979" t="s">
        <v>47549</v>
      </c>
      <c r="T4979" t="s">
        <v>49129</v>
      </c>
      <c r="U4979" t="s">
        <v>53904</v>
      </c>
      <c r="W4979" t="s">
        <v>44895</v>
      </c>
      <c r="X4979" t="s">
        <v>47431</v>
      </c>
    </row>
    <row r="4980" spans="1:24">
      <c r="A4980">
        <f>HYPERLINK("https://www.philgeps.gov.ph/GEPSNONPILOT/Tender/SplashBidNoticeAbstractUI.aspx?menuIndex=3&amp;refID=7160371&amp;Result=3","7160371")</f>
        <v>0</v>
      </c>
      <c r="B4980" t="s">
        <v>60</v>
      </c>
      <c r="C4980" t="s">
        <v>8603</v>
      </c>
      <c r="D4980" t="s">
        <v>19042</v>
      </c>
      <c r="E4980" t="s">
        <v>23505</v>
      </c>
      <c r="F4980" t="s">
        <v>32831</v>
      </c>
      <c r="G4980" t="s">
        <v>32839</v>
      </c>
      <c r="H4980" t="s">
        <v>32848</v>
      </c>
      <c r="I4980" t="s">
        <v>32894</v>
      </c>
      <c r="J4980" t="s">
        <v>36188</v>
      </c>
      <c r="K4980" t="s">
        <v>42726</v>
      </c>
      <c r="M4980" t="s">
        <v>43057</v>
      </c>
      <c r="N4980" t="s">
        <v>47424</v>
      </c>
      <c r="O4980" t="s">
        <v>47425</v>
      </c>
      <c r="P4980">
        <v>0</v>
      </c>
      <c r="Q4980">
        <v>1</v>
      </c>
      <c r="R4980" t="s">
        <v>47430</v>
      </c>
      <c r="S4980" t="s">
        <v>47549</v>
      </c>
      <c r="T4980" t="s">
        <v>49334</v>
      </c>
      <c r="U4980" t="s">
        <v>53905</v>
      </c>
      <c r="W4980" t="s">
        <v>43057</v>
      </c>
      <c r="X4980" t="s">
        <v>47431</v>
      </c>
    </row>
    <row r="4981" spans="1:24">
      <c r="A4981">
        <f>HYPERLINK("https://www.philgeps.gov.ph/GEPSNONPILOT/Tender/SplashBidNoticeAbstractUI.aspx?menuIndex=3&amp;refID=7160356&amp;Result=3","7160356")</f>
        <v>0</v>
      </c>
      <c r="B4981" t="s">
        <v>744</v>
      </c>
      <c r="C4981" t="s">
        <v>8604</v>
      </c>
      <c r="D4981" t="s">
        <v>19017</v>
      </c>
      <c r="E4981" t="s">
        <v>23506</v>
      </c>
      <c r="F4981" t="s">
        <v>32831</v>
      </c>
      <c r="G4981" t="s">
        <v>32838</v>
      </c>
      <c r="H4981" t="s">
        <v>32848</v>
      </c>
      <c r="I4981" t="s">
        <v>7819</v>
      </c>
      <c r="J4981" t="s">
        <v>35305</v>
      </c>
      <c r="K4981" t="s">
        <v>42726</v>
      </c>
      <c r="M4981" t="s">
        <v>44432</v>
      </c>
      <c r="N4981" t="s">
        <v>47424</v>
      </c>
      <c r="O4981" t="s">
        <v>47425</v>
      </c>
      <c r="P4981">
        <v>0</v>
      </c>
      <c r="Q4981">
        <v>0</v>
      </c>
      <c r="R4981" t="s">
        <v>47430</v>
      </c>
      <c r="S4981" t="s">
        <v>47549</v>
      </c>
      <c r="T4981" t="s">
        <v>49237</v>
      </c>
      <c r="U4981" t="s">
        <v>53906</v>
      </c>
      <c r="W4981" t="s">
        <v>44432</v>
      </c>
      <c r="X4981" t="s">
        <v>47431</v>
      </c>
    </row>
    <row r="4982" spans="1:24">
      <c r="A4982">
        <f>HYPERLINK("https://www.philgeps.gov.ph/GEPSNONPILOT/Tender/SplashBidNoticeAbstractUI.aspx?menuIndex=3&amp;refID=7160363&amp;Result=3","7160363")</f>
        <v>0</v>
      </c>
      <c r="B4982" t="s">
        <v>1911</v>
      </c>
      <c r="C4982" t="s">
        <v>8605</v>
      </c>
      <c r="D4982" t="s">
        <v>19023</v>
      </c>
      <c r="E4982" t="s">
        <v>23507</v>
      </c>
      <c r="F4982" t="s">
        <v>32831</v>
      </c>
      <c r="G4982" t="s">
        <v>32839</v>
      </c>
      <c r="H4982" t="s">
        <v>14069</v>
      </c>
      <c r="I4982" t="s">
        <v>14069</v>
      </c>
      <c r="J4982" t="s">
        <v>36189</v>
      </c>
      <c r="K4982" t="s">
        <v>42729</v>
      </c>
      <c r="M4982" t="s">
        <v>45063</v>
      </c>
      <c r="N4982" t="s">
        <v>47424</v>
      </c>
      <c r="O4982" t="s">
        <v>47425</v>
      </c>
      <c r="P4982">
        <v>0</v>
      </c>
      <c r="Q4982">
        <v>6</v>
      </c>
      <c r="R4982" t="s">
        <v>47430</v>
      </c>
      <c r="S4982" t="s">
        <v>47549</v>
      </c>
      <c r="T4982" t="s">
        <v>49090</v>
      </c>
      <c r="U4982" t="s">
        <v>53907</v>
      </c>
      <c r="W4982" t="s">
        <v>45063</v>
      </c>
      <c r="X4982" t="s">
        <v>47431</v>
      </c>
    </row>
    <row r="4983" spans="1:24">
      <c r="A4983">
        <f>HYPERLINK("https://www.philgeps.gov.ph/GEPSNONPILOT/Tender/SplashBidNoticeAbstractUI.aspx?menuIndex=3&amp;refID=7160254&amp;Result=3","7160254")</f>
        <v>0</v>
      </c>
      <c r="B4983" t="s">
        <v>609</v>
      </c>
      <c r="C4983" t="s">
        <v>8606</v>
      </c>
      <c r="D4983" t="s">
        <v>19017</v>
      </c>
      <c r="E4983" t="s">
        <v>23508</v>
      </c>
      <c r="F4983" t="s">
        <v>32831</v>
      </c>
      <c r="G4983" t="s">
        <v>32840</v>
      </c>
      <c r="H4983" t="s">
        <v>32848</v>
      </c>
      <c r="I4983" t="s">
        <v>32860</v>
      </c>
      <c r="J4983" t="s">
        <v>36190</v>
      </c>
      <c r="K4983" t="s">
        <v>42732</v>
      </c>
      <c r="M4983" t="s">
        <v>43623</v>
      </c>
      <c r="N4983" t="s">
        <v>47424</v>
      </c>
      <c r="O4983" t="s">
        <v>47425</v>
      </c>
      <c r="P4983">
        <v>0</v>
      </c>
      <c r="Q4983">
        <v>12</v>
      </c>
      <c r="R4983" t="s">
        <v>47430</v>
      </c>
      <c r="S4983" t="s">
        <v>47549</v>
      </c>
      <c r="T4983" t="s">
        <v>49107</v>
      </c>
      <c r="U4983" t="s">
        <v>53908</v>
      </c>
      <c r="W4983" t="s">
        <v>43623</v>
      </c>
      <c r="X4983" t="s">
        <v>47431</v>
      </c>
    </row>
    <row r="4984" spans="1:24">
      <c r="A4984">
        <f>HYPERLINK("https://www.philgeps.gov.ph/GEPSNONPILOT/Tender/SplashBidNoticeAbstractUI.aspx?menuIndex=3&amp;refID=7160366&amp;Result=3","7160366")</f>
        <v>0</v>
      </c>
      <c r="B4984" t="s">
        <v>1747</v>
      </c>
      <c r="C4984" t="s">
        <v>8607</v>
      </c>
      <c r="D4984" t="s">
        <v>19058</v>
      </c>
      <c r="E4984" t="s">
        <v>23509</v>
      </c>
      <c r="F4984" t="s">
        <v>32831</v>
      </c>
      <c r="G4984" t="s">
        <v>32838</v>
      </c>
      <c r="H4984" t="s">
        <v>32848</v>
      </c>
      <c r="I4984" t="s">
        <v>6526</v>
      </c>
      <c r="J4984" t="s">
        <v>36191</v>
      </c>
      <c r="K4984" t="s">
        <v>42727</v>
      </c>
      <c r="M4984" t="s">
        <v>45038</v>
      </c>
      <c r="N4984" t="s">
        <v>47424</v>
      </c>
      <c r="O4984" t="s">
        <v>47425</v>
      </c>
      <c r="P4984">
        <v>0</v>
      </c>
      <c r="Q4984">
        <v>0</v>
      </c>
      <c r="R4984" t="s">
        <v>47430</v>
      </c>
      <c r="S4984" t="s">
        <v>47549</v>
      </c>
      <c r="T4984" t="s">
        <v>49068</v>
      </c>
      <c r="U4984" t="s">
        <v>53909</v>
      </c>
      <c r="W4984" t="s">
        <v>45038</v>
      </c>
      <c r="X4984" t="s">
        <v>47431</v>
      </c>
    </row>
    <row r="4985" spans="1:24">
      <c r="A4985">
        <f>HYPERLINK("https://www.philgeps.gov.ph/GEPSNONPILOT/Tender/SplashBidNoticeAbstractUI.aspx?menuIndex=3&amp;refID=7160403&amp;Result=3","7160403")</f>
        <v>0</v>
      </c>
      <c r="B4985" t="s">
        <v>1912</v>
      </c>
      <c r="C4985" t="s">
        <v>8608</v>
      </c>
      <c r="D4985" t="s">
        <v>19090</v>
      </c>
      <c r="E4985" t="s">
        <v>23510</v>
      </c>
      <c r="F4985" t="s">
        <v>32831</v>
      </c>
      <c r="G4985" t="s">
        <v>32838</v>
      </c>
      <c r="H4985" t="s">
        <v>32850</v>
      </c>
      <c r="I4985" t="s">
        <v>5379</v>
      </c>
      <c r="J4985" t="s">
        <v>33364</v>
      </c>
      <c r="K4985" t="s">
        <v>42759</v>
      </c>
      <c r="M4985" t="s">
        <v>45064</v>
      </c>
      <c r="N4985" t="s">
        <v>47424</v>
      </c>
      <c r="O4985" t="s">
        <v>47425</v>
      </c>
      <c r="P4985">
        <v>0</v>
      </c>
      <c r="Q4985">
        <v>0</v>
      </c>
      <c r="R4985" t="s">
        <v>47430</v>
      </c>
      <c r="S4985" t="s">
        <v>47549</v>
      </c>
      <c r="T4985" t="s">
        <v>49237</v>
      </c>
      <c r="U4985" t="s">
        <v>53910</v>
      </c>
      <c r="W4985" t="s">
        <v>45064</v>
      </c>
      <c r="X4985" t="s">
        <v>47431</v>
      </c>
    </row>
    <row r="4986" spans="1:24">
      <c r="A4986">
        <f>HYPERLINK("https://www.philgeps.gov.ph/GEPSNONPILOT/Tender/SplashBidNoticeAbstractUI.aspx?menuIndex=3&amp;refID=7160401&amp;Result=3","7160401")</f>
        <v>0</v>
      </c>
      <c r="B4986" t="s">
        <v>744</v>
      </c>
      <c r="C4986" t="s">
        <v>8609</v>
      </c>
      <c r="D4986" t="s">
        <v>19017</v>
      </c>
      <c r="E4986" t="s">
        <v>23511</v>
      </c>
      <c r="F4986" t="s">
        <v>32831</v>
      </c>
      <c r="G4986" t="s">
        <v>32838</v>
      </c>
      <c r="H4986" t="s">
        <v>32848</v>
      </c>
      <c r="I4986" t="s">
        <v>10805</v>
      </c>
      <c r="J4986" t="s">
        <v>36192</v>
      </c>
      <c r="K4986" t="s">
        <v>42726</v>
      </c>
      <c r="M4986" t="s">
        <v>44432</v>
      </c>
      <c r="N4986" t="s">
        <v>47424</v>
      </c>
      <c r="O4986" t="s">
        <v>47425</v>
      </c>
      <c r="P4986">
        <v>0</v>
      </c>
      <c r="Q4986">
        <v>0</v>
      </c>
      <c r="R4986" t="s">
        <v>47430</v>
      </c>
      <c r="S4986" t="s">
        <v>47549</v>
      </c>
      <c r="T4986" t="s">
        <v>49237</v>
      </c>
      <c r="U4986" t="s">
        <v>53911</v>
      </c>
      <c r="W4986" t="s">
        <v>44432</v>
      </c>
      <c r="X4986" t="s">
        <v>47431</v>
      </c>
    </row>
    <row r="4987" spans="1:24">
      <c r="A4987">
        <f>HYPERLINK("https://www.philgeps.gov.ph/GEPSNONPILOT/Tender/SplashBidNoticeAbstractUI.aspx?menuIndex=3&amp;refID=7160359&amp;Result=3","7160359")</f>
        <v>0</v>
      </c>
      <c r="B4987" t="s">
        <v>1322</v>
      </c>
      <c r="C4987" t="s">
        <v>5582</v>
      </c>
      <c r="D4987" t="s">
        <v>19068</v>
      </c>
      <c r="E4987" t="s">
        <v>23512</v>
      </c>
      <c r="F4987" t="s">
        <v>32831</v>
      </c>
      <c r="G4987" t="s">
        <v>32839</v>
      </c>
      <c r="H4987" t="s">
        <v>32848</v>
      </c>
      <c r="I4987" t="s">
        <v>32860</v>
      </c>
      <c r="J4987" t="s">
        <v>36193</v>
      </c>
      <c r="K4987" t="s">
        <v>42745</v>
      </c>
      <c r="M4987" t="s">
        <v>44393</v>
      </c>
      <c r="N4987" t="s">
        <v>47424</v>
      </c>
      <c r="O4987" t="s">
        <v>47425</v>
      </c>
      <c r="P4987">
        <v>0</v>
      </c>
      <c r="Q4987">
        <v>1</v>
      </c>
      <c r="R4987" t="s">
        <v>47430</v>
      </c>
      <c r="S4987" t="s">
        <v>47549</v>
      </c>
      <c r="T4987" t="s">
        <v>49106</v>
      </c>
      <c r="U4987" t="s">
        <v>52584</v>
      </c>
      <c r="V4987" t="s">
        <v>63180</v>
      </c>
      <c r="W4987" t="s">
        <v>44393</v>
      </c>
      <c r="X4987" t="s">
        <v>47431</v>
      </c>
    </row>
    <row r="4988" spans="1:24">
      <c r="A4988">
        <f>HYPERLINK("https://www.philgeps.gov.ph/GEPSNONPILOT/Tender/SplashBidNoticeAbstractUI.aspx?menuIndex=3&amp;refID=7160369&amp;Result=3","7160369")</f>
        <v>0</v>
      </c>
      <c r="B4988" t="s">
        <v>1913</v>
      </c>
      <c r="C4988" t="s">
        <v>8610</v>
      </c>
      <c r="D4988" t="s">
        <v>19018</v>
      </c>
      <c r="E4988" t="s">
        <v>23513</v>
      </c>
      <c r="F4988" t="s">
        <v>32831</v>
      </c>
      <c r="G4988" t="s">
        <v>32840</v>
      </c>
      <c r="H4988" t="s">
        <v>32848</v>
      </c>
      <c r="I4988" t="s">
        <v>7416</v>
      </c>
      <c r="J4988" t="s">
        <v>36194</v>
      </c>
      <c r="K4988" t="s">
        <v>42726</v>
      </c>
      <c r="M4988" t="s">
        <v>45065</v>
      </c>
      <c r="N4988" t="s">
        <v>47424</v>
      </c>
      <c r="O4988" t="s">
        <v>47425</v>
      </c>
      <c r="P4988">
        <v>0</v>
      </c>
      <c r="Q4988">
        <v>0</v>
      </c>
      <c r="R4988" t="s">
        <v>47430</v>
      </c>
      <c r="S4988" t="s">
        <v>47549</v>
      </c>
      <c r="T4988" t="s">
        <v>49111</v>
      </c>
      <c r="U4988" t="s">
        <v>53912</v>
      </c>
      <c r="W4988" t="s">
        <v>45065</v>
      </c>
      <c r="X4988" t="s">
        <v>47431</v>
      </c>
    </row>
    <row r="4989" spans="1:24">
      <c r="A4989">
        <f>HYPERLINK("https://www.philgeps.gov.ph/GEPSNONPILOT/Tender/SplashBidNoticeAbstractUI.aspx?menuIndex=3&amp;refID=7160398&amp;Result=3","7160398")</f>
        <v>0</v>
      </c>
      <c r="B4989" t="s">
        <v>100</v>
      </c>
      <c r="C4989" t="s">
        <v>8611</v>
      </c>
      <c r="D4989" t="s">
        <v>19017</v>
      </c>
      <c r="E4989" t="s">
        <v>23514</v>
      </c>
      <c r="F4989" t="s">
        <v>32831</v>
      </c>
      <c r="G4989" t="s">
        <v>32838</v>
      </c>
      <c r="H4989" t="s">
        <v>32848</v>
      </c>
      <c r="I4989" t="s">
        <v>32863</v>
      </c>
      <c r="J4989" t="s">
        <v>33077</v>
      </c>
      <c r="K4989" t="s">
        <v>42731</v>
      </c>
      <c r="M4989" t="s">
        <v>45058</v>
      </c>
      <c r="N4989" t="s">
        <v>47424</v>
      </c>
      <c r="O4989" t="s">
        <v>47425</v>
      </c>
      <c r="P4989">
        <v>0</v>
      </c>
      <c r="Q4989">
        <v>0</v>
      </c>
      <c r="R4989" t="s">
        <v>47430</v>
      </c>
      <c r="S4989" t="s">
        <v>47549</v>
      </c>
      <c r="T4989" t="s">
        <v>49374</v>
      </c>
      <c r="U4989" t="s">
        <v>53913</v>
      </c>
      <c r="V4989" t="s">
        <v>63021</v>
      </c>
      <c r="W4989" t="s">
        <v>45058</v>
      </c>
      <c r="X4989" t="s">
        <v>47431</v>
      </c>
    </row>
    <row r="4990" spans="1:24">
      <c r="A4990">
        <f>HYPERLINK("https://www.philgeps.gov.ph/GEPSNONPILOT/Tender/SplashBidNoticeAbstractUI.aspx?menuIndex=3&amp;refID=7160397&amp;Result=3","7160397")</f>
        <v>0</v>
      </c>
      <c r="B4990" t="s">
        <v>1914</v>
      </c>
      <c r="C4990" t="s">
        <v>8612</v>
      </c>
      <c r="D4990" t="s">
        <v>19062</v>
      </c>
      <c r="E4990" t="s">
        <v>23515</v>
      </c>
      <c r="F4990" t="s">
        <v>32831</v>
      </c>
      <c r="G4990" t="s">
        <v>32838</v>
      </c>
      <c r="H4990" t="s">
        <v>32848</v>
      </c>
      <c r="I4990" t="s">
        <v>8781</v>
      </c>
      <c r="J4990" t="s">
        <v>33044</v>
      </c>
      <c r="K4990" t="s">
        <v>42748</v>
      </c>
      <c r="M4990" t="s">
        <v>45066</v>
      </c>
      <c r="N4990" t="s">
        <v>47424</v>
      </c>
      <c r="O4990" t="s">
        <v>47425</v>
      </c>
      <c r="P4990">
        <v>0</v>
      </c>
      <c r="Q4990">
        <v>0</v>
      </c>
      <c r="R4990" t="s">
        <v>47430</v>
      </c>
      <c r="S4990" t="s">
        <v>47549</v>
      </c>
      <c r="T4990" t="s">
        <v>49107</v>
      </c>
      <c r="U4990" t="s">
        <v>53914</v>
      </c>
      <c r="W4990" t="s">
        <v>45066</v>
      </c>
      <c r="X4990" t="s">
        <v>47431</v>
      </c>
    </row>
    <row r="4991" spans="1:24">
      <c r="A4991">
        <f>HYPERLINK("https://www.philgeps.gov.ph/GEPSNONPILOT/Tender/SplashBidNoticeAbstractUI.aspx?menuIndex=3&amp;refID=7160395&amp;Result=3","7160395")</f>
        <v>0</v>
      </c>
      <c r="B4991" t="s">
        <v>1915</v>
      </c>
      <c r="C4991" t="s">
        <v>8613</v>
      </c>
      <c r="D4991" t="s">
        <v>19030</v>
      </c>
      <c r="E4991" t="s">
        <v>23516</v>
      </c>
      <c r="F4991" t="s">
        <v>32831</v>
      </c>
      <c r="G4991" t="s">
        <v>32839</v>
      </c>
      <c r="H4991" t="s">
        <v>32849</v>
      </c>
      <c r="I4991" t="s">
        <v>4177</v>
      </c>
      <c r="J4991" t="s">
        <v>36195</v>
      </c>
      <c r="K4991" t="s">
        <v>42871</v>
      </c>
      <c r="M4991" t="s">
        <v>45067</v>
      </c>
      <c r="N4991" t="s">
        <v>47424</v>
      </c>
      <c r="O4991" t="s">
        <v>47425</v>
      </c>
      <c r="P4991">
        <v>0</v>
      </c>
      <c r="Q4991">
        <v>7</v>
      </c>
      <c r="R4991" t="s">
        <v>47430</v>
      </c>
      <c r="S4991" t="s">
        <v>47549</v>
      </c>
      <c r="T4991" t="s">
        <v>49181</v>
      </c>
      <c r="U4991" t="s">
        <v>53915</v>
      </c>
      <c r="W4991" t="s">
        <v>64492</v>
      </c>
      <c r="X4991" t="s">
        <v>47431</v>
      </c>
    </row>
    <row r="4992" spans="1:24">
      <c r="A4992">
        <f>HYPERLINK("https://www.philgeps.gov.ph/GEPSNONPILOT/Tender/SplashBidNoticeAbstractUI.aspx?menuIndex=3&amp;refID=7160378&amp;Result=3","7160378")</f>
        <v>0</v>
      </c>
      <c r="B4992" t="s">
        <v>1916</v>
      </c>
      <c r="C4992" t="s">
        <v>8614</v>
      </c>
      <c r="D4992" t="s">
        <v>19030</v>
      </c>
      <c r="E4992" t="s">
        <v>19520</v>
      </c>
      <c r="F4992" t="s">
        <v>32831</v>
      </c>
      <c r="G4992" t="s">
        <v>32840</v>
      </c>
      <c r="H4992" t="s">
        <v>32848</v>
      </c>
      <c r="I4992" t="s">
        <v>32864</v>
      </c>
      <c r="J4992" t="s">
        <v>33026</v>
      </c>
      <c r="K4992" t="s">
        <v>42732</v>
      </c>
      <c r="M4992" t="s">
        <v>45068</v>
      </c>
      <c r="N4992" t="s">
        <v>47424</v>
      </c>
      <c r="O4992" t="s">
        <v>47425</v>
      </c>
      <c r="P4992">
        <v>0</v>
      </c>
      <c r="Q4992">
        <v>3</v>
      </c>
      <c r="R4992" t="s">
        <v>47430</v>
      </c>
      <c r="S4992" t="s">
        <v>47549</v>
      </c>
      <c r="T4992" t="s">
        <v>49229</v>
      </c>
      <c r="U4992" t="s">
        <v>53916</v>
      </c>
      <c r="W4992" t="s">
        <v>45068</v>
      </c>
      <c r="X4992" t="s">
        <v>47431</v>
      </c>
    </row>
    <row r="4993" spans="1:24">
      <c r="A4993">
        <f>HYPERLINK("https://www.philgeps.gov.ph/GEPSNONPILOT/Tender/SplashBidNoticeAbstractUI.aspx?menuIndex=3&amp;refID=7160394&amp;Result=3","7160394")</f>
        <v>0</v>
      </c>
      <c r="B4993" t="s">
        <v>60</v>
      </c>
      <c r="C4993" t="s">
        <v>8615</v>
      </c>
      <c r="D4993" t="s">
        <v>19042</v>
      </c>
      <c r="E4993" t="s">
        <v>23517</v>
      </c>
      <c r="F4993" t="s">
        <v>32831</v>
      </c>
      <c r="G4993" t="s">
        <v>32839</v>
      </c>
      <c r="H4993" t="s">
        <v>32848</v>
      </c>
      <c r="I4993" t="s">
        <v>7416</v>
      </c>
      <c r="J4993" t="s">
        <v>36196</v>
      </c>
      <c r="K4993" t="s">
        <v>42726</v>
      </c>
      <c r="M4993" t="s">
        <v>43057</v>
      </c>
      <c r="N4993" t="s">
        <v>47424</v>
      </c>
      <c r="O4993" t="s">
        <v>47425</v>
      </c>
      <c r="P4993">
        <v>0</v>
      </c>
      <c r="Q4993">
        <v>0</v>
      </c>
      <c r="R4993" t="s">
        <v>47430</v>
      </c>
      <c r="S4993" t="s">
        <v>47549</v>
      </c>
      <c r="T4993" t="s">
        <v>49334</v>
      </c>
      <c r="U4993" t="s">
        <v>53917</v>
      </c>
      <c r="W4993" t="s">
        <v>43057</v>
      </c>
      <c r="X4993" t="s">
        <v>47431</v>
      </c>
    </row>
    <row r="4994" spans="1:24">
      <c r="A4994">
        <f>HYPERLINK("https://www.philgeps.gov.ph/GEPSNONPILOT/Tender/SplashBidNoticeAbstractUI.aspx?menuIndex=3&amp;refID=7160393&amp;Result=3","7160393")</f>
        <v>0</v>
      </c>
      <c r="B4994" t="s">
        <v>1917</v>
      </c>
      <c r="C4994" t="s">
        <v>8616</v>
      </c>
      <c r="D4994" t="s">
        <v>19050</v>
      </c>
      <c r="E4994" t="s">
        <v>23518</v>
      </c>
      <c r="F4994" t="s">
        <v>32831</v>
      </c>
      <c r="G4994" t="s">
        <v>32839</v>
      </c>
      <c r="H4994" t="s">
        <v>32848</v>
      </c>
      <c r="I4994" t="s">
        <v>7416</v>
      </c>
      <c r="J4994" t="s">
        <v>33072</v>
      </c>
      <c r="K4994" t="s">
        <v>42730</v>
      </c>
      <c r="M4994" t="s">
        <v>45069</v>
      </c>
      <c r="N4994" t="s">
        <v>47424</v>
      </c>
      <c r="O4994" t="s">
        <v>47425</v>
      </c>
      <c r="P4994">
        <v>0</v>
      </c>
      <c r="Q4994">
        <v>0</v>
      </c>
      <c r="R4994" t="s">
        <v>47430</v>
      </c>
      <c r="S4994" t="s">
        <v>47549</v>
      </c>
      <c r="T4994" t="s">
        <v>49128</v>
      </c>
      <c r="U4994" t="s">
        <v>53918</v>
      </c>
      <c r="W4994" t="s">
        <v>45069</v>
      </c>
      <c r="X4994" t="s">
        <v>47431</v>
      </c>
    </row>
    <row r="4995" spans="1:24">
      <c r="A4995">
        <f>HYPERLINK("https://www.philgeps.gov.ph/GEPSNONPILOT/Tender/SplashBidNoticeAbstractUI.aspx?menuIndex=3&amp;refID=7160392&amp;Result=3","7160392")</f>
        <v>0</v>
      </c>
      <c r="B4995" t="s">
        <v>1918</v>
      </c>
      <c r="C4995" t="s">
        <v>8617</v>
      </c>
      <c r="D4995" t="s">
        <v>19037</v>
      </c>
      <c r="E4995" t="s">
        <v>23519</v>
      </c>
      <c r="F4995" t="s">
        <v>32831</v>
      </c>
      <c r="G4995" t="s">
        <v>32840</v>
      </c>
      <c r="H4995" t="s">
        <v>32848</v>
      </c>
      <c r="I4995" t="s">
        <v>9577</v>
      </c>
      <c r="J4995" t="s">
        <v>36197</v>
      </c>
      <c r="K4995" t="s">
        <v>42758</v>
      </c>
      <c r="M4995" t="s">
        <v>45070</v>
      </c>
      <c r="N4995" t="s">
        <v>47424</v>
      </c>
      <c r="O4995" t="s">
        <v>47425</v>
      </c>
      <c r="P4995">
        <v>0</v>
      </c>
      <c r="Q4995">
        <v>0</v>
      </c>
      <c r="R4995" t="s">
        <v>47430</v>
      </c>
      <c r="S4995" t="s">
        <v>47549</v>
      </c>
      <c r="T4995" t="s">
        <v>49163</v>
      </c>
      <c r="U4995" t="s">
        <v>53919</v>
      </c>
      <c r="W4995" t="s">
        <v>45070</v>
      </c>
      <c r="X4995" t="s">
        <v>47431</v>
      </c>
    </row>
    <row r="4996" spans="1:24">
      <c r="A4996">
        <f>HYPERLINK("https://www.philgeps.gov.ph/GEPSNONPILOT/Tender/SplashBidNoticeAbstractUI.aspx?menuIndex=3&amp;refID=7160387&amp;Result=3","7160387")</f>
        <v>0</v>
      </c>
      <c r="B4996" t="s">
        <v>1723</v>
      </c>
      <c r="C4996" t="s">
        <v>8618</v>
      </c>
      <c r="D4996" t="s">
        <v>19024</v>
      </c>
      <c r="E4996" t="s">
        <v>23520</v>
      </c>
      <c r="F4996" t="s">
        <v>32831</v>
      </c>
      <c r="G4996" t="s">
        <v>32838</v>
      </c>
      <c r="H4996" t="s">
        <v>32848</v>
      </c>
      <c r="I4996" t="s">
        <v>14069</v>
      </c>
      <c r="J4996" t="s">
        <v>33479</v>
      </c>
      <c r="K4996" t="s">
        <v>42773</v>
      </c>
      <c r="M4996" t="s">
        <v>44846</v>
      </c>
      <c r="N4996" t="s">
        <v>47424</v>
      </c>
      <c r="O4996" t="s">
        <v>47425</v>
      </c>
      <c r="P4996">
        <v>0</v>
      </c>
      <c r="Q4996">
        <v>1</v>
      </c>
      <c r="R4996" t="s">
        <v>47430</v>
      </c>
      <c r="S4996" t="s">
        <v>47549</v>
      </c>
      <c r="T4996" t="s">
        <v>49170</v>
      </c>
      <c r="U4996" t="s">
        <v>53920</v>
      </c>
      <c r="W4996" t="s">
        <v>44846</v>
      </c>
      <c r="X4996" t="s">
        <v>47431</v>
      </c>
    </row>
    <row r="4997" spans="1:24">
      <c r="A4997">
        <f>HYPERLINK("https://www.philgeps.gov.ph/GEPSNONPILOT/Tender/SplashBidNoticeAbstractUI.aspx?menuIndex=3&amp;refID=7160399&amp;Result=3","7160399")</f>
        <v>0</v>
      </c>
      <c r="B4997" t="s">
        <v>323</v>
      </c>
      <c r="C4997" t="s">
        <v>8619</v>
      </c>
      <c r="D4997" t="s">
        <v>19081</v>
      </c>
      <c r="E4997" t="s">
        <v>23521</v>
      </c>
      <c r="F4997" t="s">
        <v>32831</v>
      </c>
      <c r="G4997" t="s">
        <v>32838</v>
      </c>
      <c r="H4997" t="s">
        <v>14069</v>
      </c>
      <c r="I4997" t="s">
        <v>14069</v>
      </c>
      <c r="J4997" t="s">
        <v>33162</v>
      </c>
      <c r="K4997" t="s">
        <v>42738</v>
      </c>
      <c r="M4997" t="s">
        <v>43326</v>
      </c>
      <c r="N4997" t="s">
        <v>47424</v>
      </c>
      <c r="O4997" t="s">
        <v>47425</v>
      </c>
      <c r="P4997">
        <v>0</v>
      </c>
      <c r="Q4997">
        <v>1</v>
      </c>
      <c r="R4997" t="s">
        <v>47430</v>
      </c>
      <c r="S4997" t="s">
        <v>47549</v>
      </c>
      <c r="T4997" t="s">
        <v>49108</v>
      </c>
      <c r="U4997" t="s">
        <v>53921</v>
      </c>
      <c r="W4997" t="s">
        <v>43326</v>
      </c>
      <c r="X4997" t="s">
        <v>47431</v>
      </c>
    </row>
    <row r="4998" spans="1:24">
      <c r="A4998">
        <f>HYPERLINK("https://www.philgeps.gov.ph/GEPSNONPILOT/Tender/SplashBidNoticeAbstractUI.aspx?menuIndex=3&amp;refID=7160386&amp;Result=3","7160386")</f>
        <v>0</v>
      </c>
      <c r="B4998" t="s">
        <v>1919</v>
      </c>
      <c r="C4998" t="s">
        <v>8620</v>
      </c>
      <c r="D4998" t="s">
        <v>19073</v>
      </c>
      <c r="E4998" t="s">
        <v>20435</v>
      </c>
      <c r="F4998" t="s">
        <v>32831</v>
      </c>
      <c r="G4998" t="s">
        <v>32839</v>
      </c>
      <c r="H4998" t="s">
        <v>32848</v>
      </c>
      <c r="I4998" t="s">
        <v>32851</v>
      </c>
      <c r="J4998" t="s">
        <v>33041</v>
      </c>
      <c r="K4998" t="s">
        <v>42731</v>
      </c>
      <c r="M4998" t="s">
        <v>45071</v>
      </c>
      <c r="N4998" t="s">
        <v>47424</v>
      </c>
      <c r="O4998" t="s">
        <v>47425</v>
      </c>
      <c r="P4998">
        <v>0</v>
      </c>
      <c r="Q4998">
        <v>0</v>
      </c>
      <c r="R4998" t="s">
        <v>47430</v>
      </c>
      <c r="S4998" t="s">
        <v>47549</v>
      </c>
      <c r="T4998" t="s">
        <v>49119</v>
      </c>
      <c r="U4998" t="s">
        <v>53922</v>
      </c>
      <c r="W4998" t="s">
        <v>45071</v>
      </c>
      <c r="X4998" t="s">
        <v>47431</v>
      </c>
    </row>
    <row r="4999" spans="1:24">
      <c r="A4999">
        <f>HYPERLINK("https://www.philgeps.gov.ph/GEPSNONPILOT/Tender/SplashBidNoticeAbstractUI.aspx?menuIndex=3&amp;refID=7160385&amp;Result=3","7160385")</f>
        <v>0</v>
      </c>
      <c r="B4999" t="s">
        <v>1149</v>
      </c>
      <c r="C4999" t="s">
        <v>8621</v>
      </c>
      <c r="D4999" t="s">
        <v>19079</v>
      </c>
      <c r="E4999" t="s">
        <v>23522</v>
      </c>
      <c r="F4999" t="s">
        <v>32831</v>
      </c>
      <c r="G4999" t="s">
        <v>32839</v>
      </c>
      <c r="H4999" t="s">
        <v>32849</v>
      </c>
      <c r="I4999" t="s">
        <v>4177</v>
      </c>
      <c r="J4999" t="s">
        <v>36198</v>
      </c>
      <c r="K4999" t="s">
        <v>42872</v>
      </c>
      <c r="M4999" t="s">
        <v>44985</v>
      </c>
      <c r="N4999" t="s">
        <v>47424</v>
      </c>
      <c r="O4999" t="s">
        <v>47425</v>
      </c>
      <c r="P4999">
        <v>0</v>
      </c>
      <c r="Q4999">
        <v>0</v>
      </c>
      <c r="R4999" t="s">
        <v>47430</v>
      </c>
      <c r="S4999" t="s">
        <v>47549</v>
      </c>
      <c r="T4999" t="s">
        <v>49358</v>
      </c>
      <c r="U4999" t="s">
        <v>53923</v>
      </c>
      <c r="V4999" t="s">
        <v>63158</v>
      </c>
      <c r="W4999" t="s">
        <v>44985</v>
      </c>
      <c r="X4999" t="s">
        <v>47431</v>
      </c>
    </row>
    <row r="5000" spans="1:24">
      <c r="A5000">
        <f>HYPERLINK("https://www.philgeps.gov.ph/GEPSNONPILOT/Tender/SplashBidNoticeAbstractUI.aspx?menuIndex=3&amp;refID=7160334&amp;Result=3","7160334")</f>
        <v>0</v>
      </c>
      <c r="B5000" t="s">
        <v>1895</v>
      </c>
      <c r="C5000" t="s">
        <v>8622</v>
      </c>
      <c r="E5000" t="s">
        <v>23523</v>
      </c>
      <c r="F5000" t="s">
        <v>32831</v>
      </c>
      <c r="G5000" t="s">
        <v>32838</v>
      </c>
      <c r="H5000" t="s">
        <v>32848</v>
      </c>
      <c r="I5000" t="s">
        <v>4438</v>
      </c>
      <c r="J5000" t="s">
        <v>32980</v>
      </c>
      <c r="K5000" t="s">
        <v>42732</v>
      </c>
      <c r="M5000" t="s">
        <v>45042</v>
      </c>
      <c r="N5000" t="s">
        <v>47424</v>
      </c>
      <c r="O5000" t="s">
        <v>47425</v>
      </c>
      <c r="P5000">
        <v>0</v>
      </c>
      <c r="Q5000">
        <v>0</v>
      </c>
      <c r="R5000" t="s">
        <v>47430</v>
      </c>
      <c r="S5000" t="s">
        <v>47549</v>
      </c>
      <c r="T5000" t="s">
        <v>49237</v>
      </c>
      <c r="U5000" t="s">
        <v>53924</v>
      </c>
      <c r="W5000" t="s">
        <v>45042</v>
      </c>
      <c r="X5000" t="s">
        <v>47431</v>
      </c>
    </row>
    <row r="5001" spans="1:24">
      <c r="A5001">
        <f>HYPERLINK("https://www.philgeps.gov.ph/GEPSNONPILOT/Tender/SplashBidNoticeAbstractUI.aspx?menuIndex=3&amp;refID=7160380&amp;Result=3","7160380")</f>
        <v>0</v>
      </c>
      <c r="B5001" t="s">
        <v>663</v>
      </c>
      <c r="C5001" t="s">
        <v>8623</v>
      </c>
      <c r="D5001" t="s">
        <v>19026</v>
      </c>
      <c r="E5001" t="s">
        <v>23524</v>
      </c>
      <c r="F5001" t="s">
        <v>32831</v>
      </c>
      <c r="G5001" t="s">
        <v>32840</v>
      </c>
      <c r="H5001" t="s">
        <v>32848</v>
      </c>
      <c r="I5001" t="s">
        <v>32864</v>
      </c>
      <c r="J5001" t="s">
        <v>36199</v>
      </c>
      <c r="K5001" t="s">
        <v>42732</v>
      </c>
      <c r="M5001" t="s">
        <v>43681</v>
      </c>
      <c r="N5001" t="s">
        <v>47424</v>
      </c>
      <c r="O5001" t="s">
        <v>47425</v>
      </c>
      <c r="P5001">
        <v>0</v>
      </c>
      <c r="Q5001">
        <v>2</v>
      </c>
      <c r="R5001" t="s">
        <v>47430</v>
      </c>
      <c r="S5001" t="s">
        <v>47549</v>
      </c>
      <c r="T5001" t="s">
        <v>49177</v>
      </c>
      <c r="U5001" t="s">
        <v>49728</v>
      </c>
      <c r="W5001" t="s">
        <v>43681</v>
      </c>
      <c r="X5001" t="s">
        <v>47431</v>
      </c>
    </row>
    <row r="5002" spans="1:24">
      <c r="A5002">
        <f>HYPERLINK("https://www.philgeps.gov.ph/GEPSNONPILOT/Tender/SplashBidNoticeAbstractUI.aspx?menuIndex=3&amp;refID=7160389&amp;Result=3","7160389")</f>
        <v>0</v>
      </c>
      <c r="B5002" t="s">
        <v>1498</v>
      </c>
      <c r="C5002" t="s">
        <v>8624</v>
      </c>
      <c r="D5002" t="s">
        <v>19017</v>
      </c>
      <c r="E5002" t="s">
        <v>23525</v>
      </c>
      <c r="F5002" t="s">
        <v>32831</v>
      </c>
      <c r="G5002" t="s">
        <v>32838</v>
      </c>
      <c r="H5002" t="s">
        <v>32848</v>
      </c>
      <c r="I5002" t="s">
        <v>4487</v>
      </c>
      <c r="J5002" t="s">
        <v>33867</v>
      </c>
      <c r="K5002" t="s">
        <v>42747</v>
      </c>
      <c r="M5002" t="s">
        <v>45072</v>
      </c>
      <c r="N5002" t="s">
        <v>47424</v>
      </c>
      <c r="O5002" t="s">
        <v>47425</v>
      </c>
      <c r="P5002">
        <v>0</v>
      </c>
      <c r="Q5002">
        <v>6</v>
      </c>
      <c r="R5002" t="s">
        <v>47430</v>
      </c>
      <c r="S5002" t="s">
        <v>47549</v>
      </c>
      <c r="T5002" t="s">
        <v>49056</v>
      </c>
      <c r="U5002" t="s">
        <v>53925</v>
      </c>
      <c r="V5002" t="s">
        <v>63181</v>
      </c>
      <c r="W5002" t="s">
        <v>45072</v>
      </c>
      <c r="X5002" t="s">
        <v>47431</v>
      </c>
    </row>
    <row r="5003" spans="1:24">
      <c r="A5003">
        <f>HYPERLINK("https://www.philgeps.gov.ph/GEPSNONPILOT/Tender/SplashBidNoticeAbstractUI.aspx?menuIndex=3&amp;refID=7160400&amp;Result=3","7160400")</f>
        <v>0</v>
      </c>
      <c r="B5003" t="s">
        <v>1747</v>
      </c>
      <c r="C5003" t="s">
        <v>8625</v>
      </c>
      <c r="D5003" t="s">
        <v>19058</v>
      </c>
      <c r="E5003" t="s">
        <v>23526</v>
      </c>
      <c r="F5003" t="s">
        <v>32831</v>
      </c>
      <c r="G5003" t="s">
        <v>32838</v>
      </c>
      <c r="H5003" t="s">
        <v>32848</v>
      </c>
      <c r="I5003" t="s">
        <v>4438</v>
      </c>
      <c r="J5003" t="s">
        <v>36200</v>
      </c>
      <c r="K5003" t="s">
        <v>42727</v>
      </c>
      <c r="M5003" t="s">
        <v>45038</v>
      </c>
      <c r="N5003" t="s">
        <v>47424</v>
      </c>
      <c r="O5003" t="s">
        <v>47425</v>
      </c>
      <c r="P5003">
        <v>0</v>
      </c>
      <c r="Q5003">
        <v>1</v>
      </c>
      <c r="R5003" t="s">
        <v>47430</v>
      </c>
      <c r="S5003" t="s">
        <v>47549</v>
      </c>
      <c r="T5003" t="s">
        <v>49068</v>
      </c>
      <c r="U5003" t="s">
        <v>53926</v>
      </c>
      <c r="W5003" t="s">
        <v>45038</v>
      </c>
      <c r="X5003" t="s">
        <v>47431</v>
      </c>
    </row>
    <row r="5004" spans="1:24">
      <c r="A5004">
        <f>HYPERLINK("https://www.philgeps.gov.ph/GEPSNONPILOT/Tender/SplashBidNoticeAbstractUI.aspx?menuIndex=3&amp;refID=7160353&amp;Result=3","7160353")</f>
        <v>0</v>
      </c>
      <c r="B5004" t="s">
        <v>60</v>
      </c>
      <c r="C5004" t="s">
        <v>8626</v>
      </c>
      <c r="D5004" t="s">
        <v>19042</v>
      </c>
      <c r="E5004" t="s">
        <v>23527</v>
      </c>
      <c r="F5004" t="s">
        <v>32831</v>
      </c>
      <c r="G5004" t="s">
        <v>32839</v>
      </c>
      <c r="H5004" t="s">
        <v>32848</v>
      </c>
      <c r="I5004" t="s">
        <v>32894</v>
      </c>
      <c r="J5004" t="s">
        <v>36201</v>
      </c>
      <c r="K5004" t="s">
        <v>42726</v>
      </c>
      <c r="M5004" t="s">
        <v>43057</v>
      </c>
      <c r="N5004" t="s">
        <v>47424</v>
      </c>
      <c r="O5004" t="s">
        <v>47425</v>
      </c>
      <c r="P5004">
        <v>0</v>
      </c>
      <c r="Q5004">
        <v>1</v>
      </c>
      <c r="R5004" t="s">
        <v>47430</v>
      </c>
      <c r="S5004" t="s">
        <v>47549</v>
      </c>
      <c r="T5004" t="s">
        <v>49334</v>
      </c>
      <c r="U5004" t="s">
        <v>53927</v>
      </c>
      <c r="W5004" t="s">
        <v>43057</v>
      </c>
      <c r="X5004" t="s">
        <v>47431</v>
      </c>
    </row>
    <row r="5005" spans="1:24">
      <c r="A5005">
        <f>HYPERLINK("https://www.philgeps.gov.ph/GEPSNONPILOT/Tender/SplashBidNoticeAbstractUI.aspx?menuIndex=3&amp;refID=7160352&amp;Result=3","7160352")</f>
        <v>0</v>
      </c>
      <c r="B5005" t="s">
        <v>609</v>
      </c>
      <c r="C5005" t="s">
        <v>5237</v>
      </c>
      <c r="D5005" t="s">
        <v>19017</v>
      </c>
      <c r="E5005" t="s">
        <v>23528</v>
      </c>
      <c r="F5005" t="s">
        <v>32831</v>
      </c>
      <c r="G5005" t="s">
        <v>32840</v>
      </c>
      <c r="H5005" t="s">
        <v>32848</v>
      </c>
      <c r="I5005" t="s">
        <v>32860</v>
      </c>
      <c r="J5005" t="s">
        <v>33568</v>
      </c>
      <c r="K5005" t="s">
        <v>42732</v>
      </c>
      <c r="M5005" t="s">
        <v>43623</v>
      </c>
      <c r="N5005" t="s">
        <v>47424</v>
      </c>
      <c r="O5005" t="s">
        <v>47425</v>
      </c>
      <c r="P5005">
        <v>0</v>
      </c>
      <c r="Q5005">
        <v>8</v>
      </c>
      <c r="R5005" t="s">
        <v>47430</v>
      </c>
      <c r="S5005" t="s">
        <v>47549</v>
      </c>
      <c r="T5005" t="s">
        <v>49107</v>
      </c>
      <c r="U5005" t="s">
        <v>53928</v>
      </c>
      <c r="W5005" t="s">
        <v>43623</v>
      </c>
      <c r="X5005" t="s">
        <v>47431</v>
      </c>
    </row>
    <row r="5006" spans="1:24">
      <c r="A5006">
        <f>HYPERLINK("https://www.philgeps.gov.ph/GEPSNONPILOT/Tender/SplashBidNoticeAbstractUI.aspx?menuIndex=3&amp;refID=7160396&amp;Result=3","7160396")</f>
        <v>0</v>
      </c>
      <c r="B5006" t="s">
        <v>609</v>
      </c>
      <c r="C5006" t="s">
        <v>5237</v>
      </c>
      <c r="D5006" t="s">
        <v>19017</v>
      </c>
      <c r="E5006" t="s">
        <v>23529</v>
      </c>
      <c r="F5006" t="s">
        <v>32831</v>
      </c>
      <c r="G5006" t="s">
        <v>32840</v>
      </c>
      <c r="H5006" t="s">
        <v>32848</v>
      </c>
      <c r="I5006" t="s">
        <v>32860</v>
      </c>
      <c r="J5006" t="s">
        <v>33041</v>
      </c>
      <c r="K5006" t="s">
        <v>42732</v>
      </c>
      <c r="M5006" t="s">
        <v>43623</v>
      </c>
      <c r="N5006" t="s">
        <v>47424</v>
      </c>
      <c r="O5006" t="s">
        <v>47425</v>
      </c>
      <c r="P5006">
        <v>0</v>
      </c>
      <c r="Q5006">
        <v>11</v>
      </c>
      <c r="R5006" t="s">
        <v>47430</v>
      </c>
      <c r="S5006" t="s">
        <v>47549</v>
      </c>
      <c r="T5006" t="s">
        <v>49107</v>
      </c>
      <c r="U5006" t="s">
        <v>53929</v>
      </c>
      <c r="W5006" t="s">
        <v>43623</v>
      </c>
      <c r="X5006" t="s">
        <v>47431</v>
      </c>
    </row>
    <row r="5007" spans="1:24">
      <c r="A5007">
        <f>HYPERLINK("https://www.philgeps.gov.ph/GEPSNONPILOT/Tender/SplashBidNoticeAbstractUI.aspx?menuIndex=3&amp;refID=7160384&amp;Result=3","7160384")</f>
        <v>0</v>
      </c>
      <c r="B5007" t="s">
        <v>1661</v>
      </c>
      <c r="C5007" t="s">
        <v>8627</v>
      </c>
      <c r="D5007" t="s">
        <v>19063</v>
      </c>
      <c r="E5007" t="s">
        <v>23530</v>
      </c>
      <c r="F5007" t="s">
        <v>32831</v>
      </c>
      <c r="G5007" t="s">
        <v>32839</v>
      </c>
      <c r="H5007" t="s">
        <v>32848</v>
      </c>
      <c r="I5007" t="s">
        <v>7416</v>
      </c>
      <c r="J5007" t="s">
        <v>36202</v>
      </c>
      <c r="K5007" t="s">
        <v>42729</v>
      </c>
      <c r="M5007" t="s">
        <v>44778</v>
      </c>
      <c r="N5007" t="s">
        <v>47424</v>
      </c>
      <c r="O5007" t="s">
        <v>47425</v>
      </c>
      <c r="P5007">
        <v>0</v>
      </c>
      <c r="Q5007">
        <v>0</v>
      </c>
      <c r="R5007" t="s">
        <v>47430</v>
      </c>
      <c r="S5007" t="s">
        <v>47549</v>
      </c>
      <c r="T5007" t="s">
        <v>49129</v>
      </c>
      <c r="U5007" t="s">
        <v>53930</v>
      </c>
      <c r="W5007" t="s">
        <v>44778</v>
      </c>
      <c r="X5007" t="s">
        <v>47431</v>
      </c>
    </row>
    <row r="5008" spans="1:24">
      <c r="A5008">
        <f>HYPERLINK("https://www.philgeps.gov.ph/GEPSNONPILOT/Tender/SplashBidNoticeAbstractUI.aspx?menuIndex=3&amp;refID=7160321&amp;Result=3","7160321")</f>
        <v>0</v>
      </c>
      <c r="B5008" t="s">
        <v>1920</v>
      </c>
      <c r="C5008" t="s">
        <v>8628</v>
      </c>
      <c r="D5008" t="s">
        <v>19026</v>
      </c>
      <c r="E5008" t="s">
        <v>23531</v>
      </c>
      <c r="F5008" t="s">
        <v>32831</v>
      </c>
      <c r="G5008" t="s">
        <v>32840</v>
      </c>
      <c r="H5008" t="s">
        <v>32848</v>
      </c>
      <c r="I5008" t="s">
        <v>10805</v>
      </c>
      <c r="J5008" t="s">
        <v>33007</v>
      </c>
      <c r="K5008" t="s">
        <v>42804</v>
      </c>
      <c r="M5008" t="s">
        <v>45073</v>
      </c>
      <c r="N5008" t="s">
        <v>47424</v>
      </c>
      <c r="O5008" t="s">
        <v>47425</v>
      </c>
      <c r="P5008">
        <v>0</v>
      </c>
      <c r="Q5008">
        <v>0</v>
      </c>
      <c r="R5008" t="s">
        <v>47430</v>
      </c>
      <c r="S5008" t="s">
        <v>47549</v>
      </c>
      <c r="T5008" t="s">
        <v>49386</v>
      </c>
      <c r="U5008" t="s">
        <v>53931</v>
      </c>
      <c r="V5008" t="s">
        <v>63182</v>
      </c>
      <c r="W5008" t="s">
        <v>45073</v>
      </c>
      <c r="X5008" t="s">
        <v>47431</v>
      </c>
    </row>
    <row r="5009" spans="1:24">
      <c r="A5009">
        <f>HYPERLINK("https://www.philgeps.gov.ph/GEPSNONPILOT/Tender/SplashBidNoticeAbstractUI.aspx?menuIndex=3&amp;refID=7160319&amp;Result=3","7160319")</f>
        <v>0</v>
      </c>
      <c r="B5009" t="s">
        <v>60</v>
      </c>
      <c r="C5009" t="s">
        <v>8626</v>
      </c>
      <c r="D5009" t="s">
        <v>19042</v>
      </c>
      <c r="E5009" t="s">
        <v>23532</v>
      </c>
      <c r="F5009" t="s">
        <v>32831</v>
      </c>
      <c r="G5009" t="s">
        <v>32839</v>
      </c>
      <c r="H5009" t="s">
        <v>32848</v>
      </c>
      <c r="I5009" t="s">
        <v>32894</v>
      </c>
      <c r="J5009" t="s">
        <v>36203</v>
      </c>
      <c r="K5009" t="s">
        <v>42726</v>
      </c>
      <c r="M5009" t="s">
        <v>43057</v>
      </c>
      <c r="N5009" t="s">
        <v>47424</v>
      </c>
      <c r="O5009" t="s">
        <v>47425</v>
      </c>
      <c r="P5009">
        <v>0</v>
      </c>
      <c r="Q5009">
        <v>1</v>
      </c>
      <c r="R5009" t="s">
        <v>47430</v>
      </c>
      <c r="S5009" t="s">
        <v>47549</v>
      </c>
      <c r="T5009" t="s">
        <v>49334</v>
      </c>
      <c r="U5009" t="s">
        <v>53932</v>
      </c>
      <c r="W5009" t="s">
        <v>43057</v>
      </c>
      <c r="X5009" t="s">
        <v>47431</v>
      </c>
    </row>
    <row r="5010" spans="1:24">
      <c r="A5010">
        <f>HYPERLINK("https://www.philgeps.gov.ph/GEPSNONPILOT/Tender/SplashBidNoticeAbstractUI.aspx?menuIndex=3&amp;refID=7160124&amp;Result=3","7160124")</f>
        <v>0</v>
      </c>
      <c r="B5010" t="s">
        <v>709</v>
      </c>
      <c r="C5010" t="s">
        <v>8629</v>
      </c>
      <c r="D5010" t="s">
        <v>19037</v>
      </c>
      <c r="E5010" t="s">
        <v>23533</v>
      </c>
      <c r="F5010" t="s">
        <v>32831</v>
      </c>
      <c r="G5010" t="s">
        <v>32839</v>
      </c>
      <c r="H5010" t="s">
        <v>32848</v>
      </c>
      <c r="I5010" t="s">
        <v>4558</v>
      </c>
      <c r="J5010" t="s">
        <v>36204</v>
      </c>
      <c r="K5010" t="s">
        <v>42730</v>
      </c>
      <c r="M5010" t="s">
        <v>44979</v>
      </c>
      <c r="N5010" t="s">
        <v>47424</v>
      </c>
      <c r="O5010" t="s">
        <v>47425</v>
      </c>
      <c r="P5010">
        <v>0</v>
      </c>
      <c r="Q5010">
        <v>4</v>
      </c>
      <c r="R5010" t="s">
        <v>47430</v>
      </c>
      <c r="S5010" t="s">
        <v>47549</v>
      </c>
      <c r="T5010" t="s">
        <v>49291</v>
      </c>
      <c r="U5010" t="s">
        <v>53933</v>
      </c>
      <c r="V5010" t="s">
        <v>63183</v>
      </c>
      <c r="W5010" t="s">
        <v>44979</v>
      </c>
      <c r="X5010" t="s">
        <v>47431</v>
      </c>
    </row>
    <row r="5011" spans="1:24">
      <c r="A5011">
        <f>HYPERLINK("https://www.philgeps.gov.ph/GEPSNONPILOT/Tender/SplashBidNoticeAbstractUI.aspx?menuIndex=3&amp;refID=7160068&amp;Result=3","7160068")</f>
        <v>0</v>
      </c>
      <c r="B5011" t="s">
        <v>459</v>
      </c>
      <c r="C5011" t="s">
        <v>8630</v>
      </c>
      <c r="D5011" t="s">
        <v>19023</v>
      </c>
      <c r="E5011" t="s">
        <v>23534</v>
      </c>
      <c r="F5011" t="s">
        <v>32831</v>
      </c>
      <c r="G5011" t="s">
        <v>32839</v>
      </c>
      <c r="H5011" t="s">
        <v>32848</v>
      </c>
      <c r="I5011" t="s">
        <v>32860</v>
      </c>
      <c r="J5011" t="s">
        <v>33241</v>
      </c>
      <c r="K5011" t="s">
        <v>42730</v>
      </c>
      <c r="M5011" t="s">
        <v>43464</v>
      </c>
      <c r="N5011" t="s">
        <v>47424</v>
      </c>
      <c r="O5011" t="s">
        <v>47425</v>
      </c>
      <c r="P5011">
        <v>0</v>
      </c>
      <c r="Q5011">
        <v>0</v>
      </c>
      <c r="R5011" t="s">
        <v>47430</v>
      </c>
      <c r="S5011" t="s">
        <v>47549</v>
      </c>
      <c r="T5011" t="s">
        <v>49123</v>
      </c>
      <c r="U5011" t="s">
        <v>53934</v>
      </c>
      <c r="V5011" t="s">
        <v>62882</v>
      </c>
      <c r="W5011" t="s">
        <v>43464</v>
      </c>
      <c r="X5011" t="s">
        <v>47431</v>
      </c>
    </row>
    <row r="5012" spans="1:24">
      <c r="A5012">
        <f>HYPERLINK("https://www.philgeps.gov.ph/GEPSNONPILOT/Tender/SplashBidNoticeAbstractUI.aspx?menuIndex=3&amp;refID=7160066&amp;Result=3","7160066")</f>
        <v>0</v>
      </c>
      <c r="B5012" t="s">
        <v>1385</v>
      </c>
      <c r="C5012" t="s">
        <v>8631</v>
      </c>
      <c r="D5012" t="s">
        <v>19060</v>
      </c>
      <c r="E5012" t="s">
        <v>23535</v>
      </c>
      <c r="F5012" t="s">
        <v>32831</v>
      </c>
      <c r="G5012" t="s">
        <v>32838</v>
      </c>
      <c r="H5012" t="s">
        <v>32850</v>
      </c>
      <c r="I5012" t="s">
        <v>32899</v>
      </c>
      <c r="J5012" t="s">
        <v>33044</v>
      </c>
      <c r="K5012" t="s">
        <v>42729</v>
      </c>
      <c r="M5012" t="s">
        <v>44470</v>
      </c>
      <c r="N5012" t="s">
        <v>47424</v>
      </c>
      <c r="O5012" t="s">
        <v>47425</v>
      </c>
      <c r="P5012">
        <v>0</v>
      </c>
      <c r="Q5012">
        <v>1</v>
      </c>
      <c r="R5012" t="s">
        <v>47430</v>
      </c>
      <c r="S5012" t="s">
        <v>47549</v>
      </c>
      <c r="T5012" t="s">
        <v>49129</v>
      </c>
      <c r="U5012" t="s">
        <v>53935</v>
      </c>
      <c r="V5012" t="s">
        <v>62982</v>
      </c>
      <c r="W5012" t="s">
        <v>44470</v>
      </c>
      <c r="X5012" t="s">
        <v>47431</v>
      </c>
    </row>
    <row r="5013" spans="1:24">
      <c r="A5013">
        <f>HYPERLINK("https://www.philgeps.gov.ph/GEPSNONPILOT/Tender/SplashBidNoticeAbstractUI.aspx?menuIndex=3&amp;refID=7160383&amp;Result=3","7160383")</f>
        <v>0</v>
      </c>
      <c r="B5013" t="s">
        <v>1921</v>
      </c>
      <c r="C5013" t="s">
        <v>8632</v>
      </c>
      <c r="E5013" t="s">
        <v>23536</v>
      </c>
      <c r="F5013" t="s">
        <v>32831</v>
      </c>
      <c r="G5013" t="s">
        <v>32838</v>
      </c>
      <c r="H5013" t="s">
        <v>32848</v>
      </c>
      <c r="I5013" t="s">
        <v>32864</v>
      </c>
      <c r="J5013" t="s">
        <v>36205</v>
      </c>
      <c r="K5013" t="s">
        <v>42732</v>
      </c>
      <c r="M5013" t="s">
        <v>45074</v>
      </c>
      <c r="N5013" t="s">
        <v>47424</v>
      </c>
      <c r="O5013" t="s">
        <v>47425</v>
      </c>
      <c r="P5013">
        <v>0</v>
      </c>
      <c r="Q5013">
        <v>1</v>
      </c>
      <c r="R5013" t="s">
        <v>47430</v>
      </c>
      <c r="S5013" t="s">
        <v>47549</v>
      </c>
      <c r="T5013" t="s">
        <v>49061</v>
      </c>
      <c r="U5013" t="s">
        <v>53936</v>
      </c>
      <c r="W5013" t="s">
        <v>45074</v>
      </c>
      <c r="X5013" t="s">
        <v>47431</v>
      </c>
    </row>
    <row r="5014" spans="1:24">
      <c r="A5014">
        <f>HYPERLINK("https://www.philgeps.gov.ph/GEPSNONPILOT/Tender/SplashBidNoticeAbstractUI.aspx?menuIndex=3&amp;refID=7160065&amp;Result=3","7160065")</f>
        <v>0</v>
      </c>
      <c r="B5014" t="s">
        <v>1852</v>
      </c>
      <c r="C5014" t="s">
        <v>8633</v>
      </c>
      <c r="D5014" t="s">
        <v>19062</v>
      </c>
      <c r="E5014" t="s">
        <v>23537</v>
      </c>
      <c r="F5014" t="s">
        <v>32831</v>
      </c>
      <c r="G5014" t="s">
        <v>32842</v>
      </c>
      <c r="H5014" t="s">
        <v>32848</v>
      </c>
      <c r="I5014" t="s">
        <v>4558</v>
      </c>
      <c r="J5014" t="s">
        <v>33090</v>
      </c>
      <c r="K5014" t="s">
        <v>42730</v>
      </c>
      <c r="M5014" t="s">
        <v>44990</v>
      </c>
      <c r="N5014" t="s">
        <v>47424</v>
      </c>
      <c r="O5014" t="s">
        <v>47425</v>
      </c>
      <c r="P5014">
        <v>0</v>
      </c>
      <c r="Q5014">
        <v>1</v>
      </c>
      <c r="R5014" t="s">
        <v>47430</v>
      </c>
      <c r="S5014" t="s">
        <v>47549</v>
      </c>
      <c r="T5014" t="s">
        <v>49198</v>
      </c>
      <c r="U5014" t="s">
        <v>53937</v>
      </c>
      <c r="V5014" t="s">
        <v>63159</v>
      </c>
      <c r="W5014" t="s">
        <v>44990</v>
      </c>
      <c r="X5014" t="s">
        <v>47431</v>
      </c>
    </row>
    <row r="5015" spans="1:24">
      <c r="A5015">
        <f>HYPERLINK("https://www.philgeps.gov.ph/GEPSNONPILOT/Tender/SplashBidNoticeAbstractUI.aspx?menuIndex=3&amp;refID=7160320&amp;Result=3","7160320")</f>
        <v>0</v>
      </c>
      <c r="B5015" t="s">
        <v>609</v>
      </c>
      <c r="C5015" t="s">
        <v>8634</v>
      </c>
      <c r="D5015" t="s">
        <v>19017</v>
      </c>
      <c r="E5015" t="s">
        <v>23538</v>
      </c>
      <c r="F5015" t="s">
        <v>32831</v>
      </c>
      <c r="G5015" t="s">
        <v>32840</v>
      </c>
      <c r="H5015" t="s">
        <v>32848</v>
      </c>
      <c r="I5015" t="s">
        <v>32860</v>
      </c>
      <c r="J5015" t="s">
        <v>33479</v>
      </c>
      <c r="K5015" t="s">
        <v>42732</v>
      </c>
      <c r="M5015" t="s">
        <v>43623</v>
      </c>
      <c r="N5015" t="s">
        <v>47424</v>
      </c>
      <c r="O5015" t="s">
        <v>47425</v>
      </c>
      <c r="P5015">
        <v>0</v>
      </c>
      <c r="Q5015">
        <v>6</v>
      </c>
      <c r="R5015" t="s">
        <v>47430</v>
      </c>
      <c r="S5015" t="s">
        <v>47549</v>
      </c>
      <c r="T5015" t="s">
        <v>49107</v>
      </c>
      <c r="U5015" t="s">
        <v>53938</v>
      </c>
      <c r="W5015" t="s">
        <v>43623</v>
      </c>
      <c r="X5015" t="s">
        <v>47431</v>
      </c>
    </row>
    <row r="5016" spans="1:24">
      <c r="A5016">
        <f>HYPERLINK("https://www.philgeps.gov.ph/GEPSNONPILOT/Tender/SplashBidNoticeAbstractUI.aspx?menuIndex=3&amp;refID=7160438&amp;Result=3","7160438")</f>
        <v>0</v>
      </c>
      <c r="B5016" t="s">
        <v>1922</v>
      </c>
      <c r="C5016" t="s">
        <v>8635</v>
      </c>
      <c r="D5016" t="s">
        <v>19027</v>
      </c>
      <c r="E5016" t="s">
        <v>19665</v>
      </c>
      <c r="F5016" t="s">
        <v>32831</v>
      </c>
      <c r="G5016" t="s">
        <v>32839</v>
      </c>
      <c r="H5016" t="s">
        <v>32849</v>
      </c>
      <c r="I5016" t="s">
        <v>4177</v>
      </c>
      <c r="J5016" t="s">
        <v>36206</v>
      </c>
      <c r="K5016" t="s">
        <v>42763</v>
      </c>
      <c r="M5016" t="s">
        <v>45075</v>
      </c>
      <c r="N5016" t="s">
        <v>47424</v>
      </c>
      <c r="O5016" t="s">
        <v>47425</v>
      </c>
      <c r="P5016">
        <v>0</v>
      </c>
      <c r="Q5016">
        <v>3</v>
      </c>
      <c r="R5016" t="s">
        <v>47430</v>
      </c>
      <c r="S5016" t="s">
        <v>47549</v>
      </c>
      <c r="T5016" t="s">
        <v>49071</v>
      </c>
      <c r="U5016" t="s">
        <v>53939</v>
      </c>
      <c r="W5016" t="s">
        <v>45075</v>
      </c>
      <c r="X5016" t="s">
        <v>47431</v>
      </c>
    </row>
    <row r="5017" spans="1:24">
      <c r="A5017">
        <f>HYPERLINK("https://www.philgeps.gov.ph/GEPSNONPILOT/Tender/SplashBidNoticeAbstractUI.aspx?menuIndex=3&amp;refID=7160326&amp;Result=3","7160326")</f>
        <v>0</v>
      </c>
      <c r="B5017" t="s">
        <v>1923</v>
      </c>
      <c r="C5017" t="s">
        <v>8636</v>
      </c>
      <c r="D5017" t="s">
        <v>19022</v>
      </c>
      <c r="E5017" t="s">
        <v>19555</v>
      </c>
      <c r="F5017" t="s">
        <v>32831</v>
      </c>
      <c r="G5017" t="s">
        <v>32838</v>
      </c>
      <c r="H5017" t="s">
        <v>32848</v>
      </c>
      <c r="I5017" t="s">
        <v>32864</v>
      </c>
      <c r="J5017" t="s">
        <v>36207</v>
      </c>
      <c r="K5017" t="s">
        <v>42726</v>
      </c>
      <c r="M5017" t="s">
        <v>45076</v>
      </c>
      <c r="N5017" t="s">
        <v>47424</v>
      </c>
      <c r="O5017" t="s">
        <v>47425</v>
      </c>
      <c r="P5017">
        <v>0</v>
      </c>
      <c r="Q5017">
        <v>3</v>
      </c>
      <c r="R5017" t="s">
        <v>47430</v>
      </c>
      <c r="S5017" t="s">
        <v>47549</v>
      </c>
      <c r="T5017" t="s">
        <v>49116</v>
      </c>
      <c r="U5017" t="s">
        <v>53940</v>
      </c>
      <c r="W5017" t="s">
        <v>45076</v>
      </c>
      <c r="X5017" t="s">
        <v>47431</v>
      </c>
    </row>
    <row r="5018" spans="1:24">
      <c r="A5018">
        <f>HYPERLINK("https://www.philgeps.gov.ph/GEPSNONPILOT/Tender/SplashBidNoticeAbstractUI.aspx?menuIndex=3&amp;refID=7160427&amp;Result=3","7160427")</f>
        <v>0</v>
      </c>
      <c r="B5018" t="s">
        <v>1924</v>
      </c>
      <c r="C5018" t="s">
        <v>8637</v>
      </c>
      <c r="D5018" t="s">
        <v>19017</v>
      </c>
      <c r="E5018" t="s">
        <v>19208</v>
      </c>
      <c r="F5018" t="s">
        <v>32831</v>
      </c>
      <c r="G5018" t="s">
        <v>32838</v>
      </c>
      <c r="H5018" t="s">
        <v>32848</v>
      </c>
      <c r="I5018" t="s">
        <v>32864</v>
      </c>
      <c r="J5018" t="s">
        <v>36208</v>
      </c>
      <c r="K5018" t="s">
        <v>42760</v>
      </c>
      <c r="M5018" t="s">
        <v>45077</v>
      </c>
      <c r="N5018" t="s">
        <v>47424</v>
      </c>
      <c r="O5018" t="s">
        <v>47425</v>
      </c>
      <c r="P5018">
        <v>0</v>
      </c>
      <c r="Q5018">
        <v>2</v>
      </c>
      <c r="R5018" t="s">
        <v>47430</v>
      </c>
      <c r="S5018" t="s">
        <v>47549</v>
      </c>
      <c r="T5018" t="s">
        <v>49235</v>
      </c>
      <c r="U5018" t="s">
        <v>53941</v>
      </c>
      <c r="W5018" t="s">
        <v>45077</v>
      </c>
      <c r="X5018" t="s">
        <v>47431</v>
      </c>
    </row>
    <row r="5019" spans="1:24">
      <c r="A5019">
        <f>HYPERLINK("https://www.philgeps.gov.ph/GEPSNONPILOT/Tender/SplashBidNoticeAbstractUI.aspx?menuIndex=3&amp;refID=7160434&amp;Result=3","7160434")</f>
        <v>0</v>
      </c>
      <c r="B5019" t="s">
        <v>1925</v>
      </c>
      <c r="C5019" t="s">
        <v>8638</v>
      </c>
      <c r="D5019" t="s">
        <v>19088</v>
      </c>
      <c r="E5019" t="s">
        <v>23539</v>
      </c>
      <c r="F5019" t="s">
        <v>32831</v>
      </c>
      <c r="G5019" t="s">
        <v>32839</v>
      </c>
      <c r="H5019" t="s">
        <v>32849</v>
      </c>
      <c r="I5019" t="s">
        <v>4177</v>
      </c>
      <c r="J5019" t="s">
        <v>33445</v>
      </c>
      <c r="K5019" t="s">
        <v>42747</v>
      </c>
      <c r="M5019" t="s">
        <v>45078</v>
      </c>
      <c r="N5019" t="s">
        <v>47424</v>
      </c>
      <c r="O5019" t="s">
        <v>47425</v>
      </c>
      <c r="P5019">
        <v>0</v>
      </c>
      <c r="Q5019">
        <v>1</v>
      </c>
      <c r="R5019" t="s">
        <v>47430</v>
      </c>
      <c r="S5019" t="s">
        <v>47549</v>
      </c>
      <c r="T5019" t="s">
        <v>49123</v>
      </c>
      <c r="U5019" t="s">
        <v>53942</v>
      </c>
      <c r="W5019" t="s">
        <v>45078</v>
      </c>
      <c r="X5019" t="s">
        <v>47431</v>
      </c>
    </row>
    <row r="5020" spans="1:24">
      <c r="A5020">
        <f>HYPERLINK("https://www.philgeps.gov.ph/GEPSNONPILOT/Tender/SplashBidNoticeAbstractUI.aspx?menuIndex=3&amp;refID=7160354&amp;Result=3","7160354")</f>
        <v>0</v>
      </c>
      <c r="B5020" t="s">
        <v>1926</v>
      </c>
      <c r="C5020" t="s">
        <v>4925</v>
      </c>
      <c r="D5020" t="s">
        <v>19023</v>
      </c>
      <c r="F5020" t="s">
        <v>32831</v>
      </c>
      <c r="G5020" t="s">
        <v>32838</v>
      </c>
      <c r="H5020" t="s">
        <v>32848</v>
      </c>
      <c r="I5020" t="s">
        <v>32869</v>
      </c>
      <c r="J5020" t="s">
        <v>36209</v>
      </c>
      <c r="K5020" t="s">
        <v>42804</v>
      </c>
      <c r="M5020" t="s">
        <v>45079</v>
      </c>
      <c r="N5020" t="s">
        <v>47424</v>
      </c>
      <c r="O5020" t="s">
        <v>47425</v>
      </c>
      <c r="P5020">
        <v>0</v>
      </c>
      <c r="Q5020">
        <v>0</v>
      </c>
      <c r="R5020" t="s">
        <v>47430</v>
      </c>
      <c r="S5020" t="s">
        <v>47549</v>
      </c>
      <c r="T5020" t="s">
        <v>49125</v>
      </c>
      <c r="U5020" t="s">
        <v>53943</v>
      </c>
      <c r="W5020" t="s">
        <v>45079</v>
      </c>
      <c r="X5020" t="s">
        <v>47431</v>
      </c>
    </row>
    <row r="5021" spans="1:24">
      <c r="A5021">
        <f>HYPERLINK("https://www.philgeps.gov.ph/GEPSNONPILOT/Tender/SplashBidNoticeAbstractUI.aspx?menuIndex=3&amp;refID=7160432&amp;Result=3","7160432")</f>
        <v>0</v>
      </c>
      <c r="B5021" t="s">
        <v>478</v>
      </c>
      <c r="C5021" t="s">
        <v>8639</v>
      </c>
      <c r="D5021" t="s">
        <v>19043</v>
      </c>
      <c r="E5021" t="s">
        <v>23540</v>
      </c>
      <c r="F5021" t="s">
        <v>32831</v>
      </c>
      <c r="G5021" t="s">
        <v>32839</v>
      </c>
      <c r="H5021" t="s">
        <v>32849</v>
      </c>
      <c r="I5021" t="s">
        <v>4177</v>
      </c>
      <c r="J5021" t="s">
        <v>36210</v>
      </c>
      <c r="K5021" t="s">
        <v>42829</v>
      </c>
      <c r="M5021" t="s">
        <v>43483</v>
      </c>
      <c r="N5021" t="s">
        <v>47424</v>
      </c>
      <c r="O5021" t="s">
        <v>47425</v>
      </c>
      <c r="P5021">
        <v>0</v>
      </c>
      <c r="Q5021">
        <v>1</v>
      </c>
      <c r="R5021" t="s">
        <v>47430</v>
      </c>
      <c r="S5021" t="s">
        <v>47549</v>
      </c>
      <c r="T5021" t="s">
        <v>49140</v>
      </c>
      <c r="U5021" t="s">
        <v>53944</v>
      </c>
      <c r="W5021" t="s">
        <v>43483</v>
      </c>
      <c r="X5021" t="s">
        <v>47431</v>
      </c>
    </row>
    <row r="5022" spans="1:24">
      <c r="A5022">
        <f>HYPERLINK("https://www.philgeps.gov.ph/GEPSNONPILOT/Tender/SplashBidNoticeAbstractUI.aspx?menuIndex=3&amp;refID=7160425&amp;Result=3","7160425")</f>
        <v>0</v>
      </c>
      <c r="B5022" t="s">
        <v>60</v>
      </c>
      <c r="C5022" t="s">
        <v>8640</v>
      </c>
      <c r="D5022" t="s">
        <v>19042</v>
      </c>
      <c r="E5022" t="s">
        <v>23541</v>
      </c>
      <c r="F5022" t="s">
        <v>32831</v>
      </c>
      <c r="G5022" t="s">
        <v>32839</v>
      </c>
      <c r="H5022" t="s">
        <v>32848</v>
      </c>
      <c r="I5022" t="s">
        <v>7416</v>
      </c>
      <c r="J5022" t="s">
        <v>36211</v>
      </c>
      <c r="K5022" t="s">
        <v>42726</v>
      </c>
      <c r="M5022" t="s">
        <v>43057</v>
      </c>
      <c r="N5022" t="s">
        <v>47424</v>
      </c>
      <c r="O5022" t="s">
        <v>47425</v>
      </c>
      <c r="P5022">
        <v>0</v>
      </c>
      <c r="Q5022">
        <v>1</v>
      </c>
      <c r="R5022" t="s">
        <v>47430</v>
      </c>
      <c r="S5022" t="s">
        <v>47549</v>
      </c>
      <c r="T5022" t="s">
        <v>49334</v>
      </c>
      <c r="U5022" t="s">
        <v>53945</v>
      </c>
      <c r="W5022" t="s">
        <v>43057</v>
      </c>
      <c r="X5022" t="s">
        <v>47431</v>
      </c>
    </row>
    <row r="5023" spans="1:24">
      <c r="A5023">
        <f>HYPERLINK("https://www.philgeps.gov.ph/GEPSNONPILOT/Tender/SplashBidNoticeAbstractUI.aspx?menuIndex=3&amp;refID=7160436&amp;Result=3","7160436")</f>
        <v>0</v>
      </c>
      <c r="B5023" t="s">
        <v>1747</v>
      </c>
      <c r="C5023" t="s">
        <v>8641</v>
      </c>
      <c r="D5023" t="s">
        <v>19058</v>
      </c>
      <c r="E5023" t="s">
        <v>23542</v>
      </c>
      <c r="F5023" t="s">
        <v>32831</v>
      </c>
      <c r="G5023" t="s">
        <v>32838</v>
      </c>
      <c r="H5023" t="s">
        <v>32848</v>
      </c>
      <c r="I5023" t="s">
        <v>4438</v>
      </c>
      <c r="J5023" t="s">
        <v>36212</v>
      </c>
      <c r="K5023" t="s">
        <v>42727</v>
      </c>
      <c r="M5023" t="s">
        <v>45038</v>
      </c>
      <c r="N5023" t="s">
        <v>47424</v>
      </c>
      <c r="O5023" t="s">
        <v>47425</v>
      </c>
      <c r="P5023">
        <v>0</v>
      </c>
      <c r="Q5023">
        <v>0</v>
      </c>
      <c r="R5023" t="s">
        <v>47430</v>
      </c>
      <c r="S5023" t="s">
        <v>47549</v>
      </c>
      <c r="T5023" t="s">
        <v>49068</v>
      </c>
      <c r="U5023" t="s">
        <v>53946</v>
      </c>
      <c r="W5023" t="s">
        <v>45038</v>
      </c>
      <c r="X5023" t="s">
        <v>47431</v>
      </c>
    </row>
    <row r="5024" spans="1:24">
      <c r="A5024">
        <f>HYPERLINK("https://www.philgeps.gov.ph/GEPSNONPILOT/Tender/SplashBidNoticeAbstractUI.aspx?menuIndex=3&amp;refID=7160067&amp;Result=3","7160067")</f>
        <v>0</v>
      </c>
      <c r="B5024" t="s">
        <v>709</v>
      </c>
      <c r="C5024" t="s">
        <v>8642</v>
      </c>
      <c r="D5024" t="s">
        <v>19037</v>
      </c>
      <c r="E5024" t="s">
        <v>23543</v>
      </c>
      <c r="F5024" t="s">
        <v>32831</v>
      </c>
      <c r="G5024" t="s">
        <v>32839</v>
      </c>
      <c r="H5024" t="s">
        <v>32848</v>
      </c>
      <c r="I5024" t="s">
        <v>4558</v>
      </c>
      <c r="J5024" t="s">
        <v>36213</v>
      </c>
      <c r="K5024" t="s">
        <v>42730</v>
      </c>
      <c r="M5024" t="s">
        <v>44979</v>
      </c>
      <c r="N5024" t="s">
        <v>47424</v>
      </c>
      <c r="O5024" t="s">
        <v>47425</v>
      </c>
      <c r="P5024">
        <v>0</v>
      </c>
      <c r="Q5024">
        <v>7</v>
      </c>
      <c r="R5024" t="s">
        <v>47430</v>
      </c>
      <c r="S5024" t="s">
        <v>47549</v>
      </c>
      <c r="T5024" t="s">
        <v>49291</v>
      </c>
      <c r="U5024" t="s">
        <v>53947</v>
      </c>
      <c r="V5024" t="s">
        <v>63184</v>
      </c>
      <c r="W5024" t="s">
        <v>44979</v>
      </c>
      <c r="X5024" t="s">
        <v>47431</v>
      </c>
    </row>
    <row r="5025" spans="1:24">
      <c r="A5025">
        <f>HYPERLINK("https://www.philgeps.gov.ph/GEPSNONPILOT/Tender/SplashBidNoticeAbstractUI.aspx?menuIndex=3&amp;refID=7160435&amp;Result=3","7160435")</f>
        <v>0</v>
      </c>
      <c r="B5025" t="s">
        <v>1872</v>
      </c>
      <c r="C5025" t="s">
        <v>8643</v>
      </c>
      <c r="D5025" t="s">
        <v>19100</v>
      </c>
      <c r="E5025" t="s">
        <v>19434</v>
      </c>
      <c r="F5025" t="s">
        <v>32831</v>
      </c>
      <c r="G5025" t="s">
        <v>32838</v>
      </c>
      <c r="H5025" t="s">
        <v>32849</v>
      </c>
      <c r="I5025" t="s">
        <v>4177</v>
      </c>
      <c r="J5025" t="s">
        <v>33087</v>
      </c>
      <c r="K5025" t="s">
        <v>42869</v>
      </c>
      <c r="M5025" t="s">
        <v>45016</v>
      </c>
      <c r="N5025" t="s">
        <v>47424</v>
      </c>
      <c r="O5025" t="s">
        <v>47425</v>
      </c>
      <c r="P5025">
        <v>0</v>
      </c>
      <c r="Q5025">
        <v>0</v>
      </c>
      <c r="R5025" t="s">
        <v>47430</v>
      </c>
      <c r="S5025" t="s">
        <v>47549</v>
      </c>
      <c r="T5025" t="s">
        <v>49239</v>
      </c>
      <c r="U5025" t="s">
        <v>53948</v>
      </c>
      <c r="W5025" t="s">
        <v>45016</v>
      </c>
      <c r="X5025" t="s">
        <v>47431</v>
      </c>
    </row>
    <row r="5026" spans="1:24">
      <c r="A5026">
        <f>HYPERLINK("https://www.philgeps.gov.ph/GEPSNONPILOT/Tender/SplashBidNoticeAbstractUI.aspx?menuIndex=3&amp;refID=7160379&amp;Result=3","7160379")</f>
        <v>0</v>
      </c>
      <c r="B5026" t="s">
        <v>794</v>
      </c>
      <c r="C5026" t="s">
        <v>8644</v>
      </c>
      <c r="D5026" t="s">
        <v>19088</v>
      </c>
      <c r="E5026" t="s">
        <v>23544</v>
      </c>
      <c r="F5026" t="s">
        <v>32831</v>
      </c>
      <c r="G5026" t="s">
        <v>32839</v>
      </c>
      <c r="H5026" t="s">
        <v>32848</v>
      </c>
      <c r="I5026" t="s">
        <v>32875</v>
      </c>
      <c r="J5026" t="s">
        <v>36214</v>
      </c>
      <c r="K5026" t="s">
        <v>42726</v>
      </c>
      <c r="M5026" t="s">
        <v>43824</v>
      </c>
      <c r="N5026" t="s">
        <v>47424</v>
      </c>
      <c r="O5026" t="s">
        <v>47425</v>
      </c>
      <c r="P5026">
        <v>0</v>
      </c>
      <c r="Q5026">
        <v>0</v>
      </c>
      <c r="R5026" t="s">
        <v>47430</v>
      </c>
      <c r="S5026" t="s">
        <v>47549</v>
      </c>
      <c r="T5026" t="s">
        <v>49077</v>
      </c>
      <c r="U5026" t="s">
        <v>51143</v>
      </c>
      <c r="W5026" t="s">
        <v>43824</v>
      </c>
      <c r="X5026" t="s">
        <v>47431</v>
      </c>
    </row>
    <row r="5027" spans="1:24">
      <c r="A5027">
        <f>HYPERLINK("https://www.philgeps.gov.ph/GEPSNONPILOT/Tender/SplashBidNoticeAbstractUI.aspx?menuIndex=3&amp;refID=7160428&amp;Result=3","7160428")</f>
        <v>0</v>
      </c>
      <c r="B5027" t="s">
        <v>1629</v>
      </c>
      <c r="C5027" t="s">
        <v>8645</v>
      </c>
      <c r="D5027" t="s">
        <v>19021</v>
      </c>
      <c r="E5027" t="s">
        <v>23545</v>
      </c>
      <c r="F5027" t="s">
        <v>32831</v>
      </c>
      <c r="G5027" t="s">
        <v>32840</v>
      </c>
      <c r="H5027" t="s">
        <v>32848</v>
      </c>
      <c r="I5027" t="s">
        <v>4776</v>
      </c>
      <c r="J5027" t="s">
        <v>33078</v>
      </c>
      <c r="K5027" t="s">
        <v>42732</v>
      </c>
      <c r="M5027" t="s">
        <v>44745</v>
      </c>
      <c r="N5027" t="s">
        <v>47424</v>
      </c>
      <c r="O5027" t="s">
        <v>47425</v>
      </c>
      <c r="P5027">
        <v>0</v>
      </c>
      <c r="Q5027">
        <v>6</v>
      </c>
      <c r="R5027" t="s">
        <v>47430</v>
      </c>
      <c r="S5027" t="s">
        <v>47549</v>
      </c>
      <c r="T5027" t="s">
        <v>49107</v>
      </c>
      <c r="U5027" t="s">
        <v>53949</v>
      </c>
      <c r="V5027" t="s">
        <v>63069</v>
      </c>
      <c r="W5027" t="s">
        <v>44745</v>
      </c>
      <c r="X5027" t="s">
        <v>47431</v>
      </c>
    </row>
    <row r="5028" spans="1:24">
      <c r="A5028">
        <f>HYPERLINK("https://www.philgeps.gov.ph/GEPSNONPILOT/Tender/SplashBidNoticeAbstractUI.aspx?menuIndex=3&amp;refID=7160351&amp;Result=3","7160351")</f>
        <v>0</v>
      </c>
      <c r="B5028" t="s">
        <v>888</v>
      </c>
      <c r="C5028" t="s">
        <v>8646</v>
      </c>
      <c r="D5028" t="s">
        <v>19067</v>
      </c>
      <c r="E5028" t="s">
        <v>19161</v>
      </c>
      <c r="F5028" t="s">
        <v>32831</v>
      </c>
      <c r="G5028" t="s">
        <v>32840</v>
      </c>
      <c r="H5028" t="s">
        <v>32848</v>
      </c>
      <c r="I5028" t="s">
        <v>9577</v>
      </c>
      <c r="J5028" t="s">
        <v>34543</v>
      </c>
      <c r="K5028" t="s">
        <v>42758</v>
      </c>
      <c r="M5028" t="s">
        <v>43923</v>
      </c>
      <c r="N5028" t="s">
        <v>47424</v>
      </c>
      <c r="O5028" t="s">
        <v>47425</v>
      </c>
      <c r="P5028">
        <v>0</v>
      </c>
      <c r="Q5028">
        <v>3</v>
      </c>
      <c r="R5028" t="s">
        <v>47430</v>
      </c>
      <c r="S5028" t="s">
        <v>47549</v>
      </c>
      <c r="T5028" t="s">
        <v>49145</v>
      </c>
      <c r="U5028" t="s">
        <v>53950</v>
      </c>
      <c r="W5028" t="s">
        <v>43923</v>
      </c>
      <c r="X5028" t="s">
        <v>47431</v>
      </c>
    </row>
    <row r="5029" spans="1:24">
      <c r="A5029">
        <f>HYPERLINK("https://www.philgeps.gov.ph/GEPSNONPILOT/Tender/SplashBidNoticeAbstractUI.aspx?menuIndex=3&amp;refID=7160423&amp;Result=3","7160423")</f>
        <v>0</v>
      </c>
      <c r="B5029" t="s">
        <v>1927</v>
      </c>
      <c r="C5029" t="s">
        <v>8647</v>
      </c>
      <c r="D5029" t="s">
        <v>19018</v>
      </c>
      <c r="E5029" t="s">
        <v>23546</v>
      </c>
      <c r="F5029" t="s">
        <v>32831</v>
      </c>
      <c r="G5029" t="s">
        <v>32838</v>
      </c>
      <c r="H5029" t="s">
        <v>32848</v>
      </c>
      <c r="I5029" t="s">
        <v>7751</v>
      </c>
      <c r="J5029" t="s">
        <v>36215</v>
      </c>
      <c r="K5029" t="s">
        <v>42727</v>
      </c>
      <c r="M5029" t="s">
        <v>45080</v>
      </c>
      <c r="N5029" t="s">
        <v>47424</v>
      </c>
      <c r="O5029" t="s">
        <v>47425</v>
      </c>
      <c r="P5029">
        <v>0</v>
      </c>
      <c r="Q5029">
        <v>0</v>
      </c>
      <c r="R5029" t="s">
        <v>47430</v>
      </c>
      <c r="S5029" t="s">
        <v>47549</v>
      </c>
      <c r="T5029" t="s">
        <v>49056</v>
      </c>
      <c r="U5029" t="s">
        <v>53951</v>
      </c>
      <c r="W5029" t="s">
        <v>45080</v>
      </c>
      <c r="X5029" t="s">
        <v>47431</v>
      </c>
    </row>
    <row r="5030" spans="1:24">
      <c r="A5030">
        <f>HYPERLINK("https://www.philgeps.gov.ph/GEPSNONPILOT/Tender/SplashBidNoticeAbstractUI.aspx?menuIndex=3&amp;refID=7160421&amp;Result=3","7160421")</f>
        <v>0</v>
      </c>
      <c r="B5030" t="s">
        <v>868</v>
      </c>
      <c r="C5030" t="s">
        <v>8648</v>
      </c>
      <c r="D5030" t="s">
        <v>19073</v>
      </c>
      <c r="E5030" t="s">
        <v>23547</v>
      </c>
      <c r="F5030" t="s">
        <v>32831</v>
      </c>
      <c r="G5030" t="s">
        <v>32839</v>
      </c>
      <c r="H5030" t="s">
        <v>32848</v>
      </c>
      <c r="I5030" t="s">
        <v>7751</v>
      </c>
      <c r="J5030" t="s">
        <v>33018</v>
      </c>
      <c r="K5030" t="s">
        <v>42732</v>
      </c>
      <c r="M5030" t="s">
        <v>43902</v>
      </c>
      <c r="N5030" t="s">
        <v>47424</v>
      </c>
      <c r="O5030" t="s">
        <v>47425</v>
      </c>
      <c r="P5030">
        <v>0</v>
      </c>
      <c r="Q5030">
        <v>1</v>
      </c>
      <c r="R5030" t="s">
        <v>47430</v>
      </c>
      <c r="S5030" t="s">
        <v>47549</v>
      </c>
      <c r="T5030" t="s">
        <v>49123</v>
      </c>
      <c r="U5030" t="s">
        <v>53952</v>
      </c>
      <c r="W5030" t="s">
        <v>43902</v>
      </c>
      <c r="X5030" t="s">
        <v>47431</v>
      </c>
    </row>
    <row r="5031" spans="1:24">
      <c r="A5031">
        <f>HYPERLINK("https://www.philgeps.gov.ph/GEPSNONPILOT/Tender/SplashBidNoticeAbstractUI.aspx?menuIndex=3&amp;refID=7160422&amp;Result=3","7160422")</f>
        <v>0</v>
      </c>
      <c r="B5031" t="s">
        <v>100</v>
      </c>
      <c r="C5031" t="s">
        <v>8649</v>
      </c>
      <c r="D5031" t="s">
        <v>19017</v>
      </c>
      <c r="E5031" t="s">
        <v>23548</v>
      </c>
      <c r="F5031" t="s">
        <v>32831</v>
      </c>
      <c r="G5031" t="s">
        <v>32838</v>
      </c>
      <c r="H5031" t="s">
        <v>32848</v>
      </c>
      <c r="I5031" t="s">
        <v>32863</v>
      </c>
      <c r="J5031" t="s">
        <v>33951</v>
      </c>
      <c r="K5031" t="s">
        <v>42731</v>
      </c>
      <c r="M5031" t="s">
        <v>45058</v>
      </c>
      <c r="N5031" t="s">
        <v>47424</v>
      </c>
      <c r="O5031" t="s">
        <v>47425</v>
      </c>
      <c r="P5031">
        <v>0</v>
      </c>
      <c r="Q5031">
        <v>1</v>
      </c>
      <c r="R5031" t="s">
        <v>47430</v>
      </c>
      <c r="S5031" t="s">
        <v>47549</v>
      </c>
      <c r="T5031" t="s">
        <v>49374</v>
      </c>
      <c r="U5031" t="s">
        <v>53953</v>
      </c>
      <c r="V5031" t="s">
        <v>63021</v>
      </c>
      <c r="W5031" t="s">
        <v>45058</v>
      </c>
      <c r="X5031" t="s">
        <v>47431</v>
      </c>
    </row>
    <row r="5032" spans="1:24">
      <c r="A5032">
        <f>HYPERLINK("https://www.philgeps.gov.ph/GEPSNONPILOT/Tender/SplashBidNoticeAbstractUI.aspx?menuIndex=3&amp;refID=7160426&amp;Result=3","7160426")</f>
        <v>0</v>
      </c>
      <c r="B5032" t="s">
        <v>1928</v>
      </c>
      <c r="C5032" t="s">
        <v>8650</v>
      </c>
      <c r="D5032" t="s">
        <v>19026</v>
      </c>
      <c r="E5032" t="s">
        <v>23549</v>
      </c>
      <c r="F5032" t="s">
        <v>32831</v>
      </c>
      <c r="G5032" t="s">
        <v>32838</v>
      </c>
      <c r="H5032" t="s">
        <v>32848</v>
      </c>
      <c r="I5032" t="s">
        <v>4487</v>
      </c>
      <c r="J5032" t="s">
        <v>33812</v>
      </c>
      <c r="K5032" t="s">
        <v>42730</v>
      </c>
      <c r="M5032" t="s">
        <v>45081</v>
      </c>
      <c r="N5032" t="s">
        <v>47424</v>
      </c>
      <c r="O5032" t="s">
        <v>47425</v>
      </c>
      <c r="P5032">
        <v>0</v>
      </c>
      <c r="Q5032">
        <v>0</v>
      </c>
      <c r="R5032" t="s">
        <v>47430</v>
      </c>
      <c r="S5032" t="s">
        <v>47549</v>
      </c>
      <c r="T5032" t="s">
        <v>49125</v>
      </c>
      <c r="U5032" t="s">
        <v>53954</v>
      </c>
      <c r="W5032" t="s">
        <v>45081</v>
      </c>
      <c r="X5032" t="s">
        <v>47431</v>
      </c>
    </row>
    <row r="5033" spans="1:24">
      <c r="A5033">
        <f>HYPERLINK("https://www.philgeps.gov.ph/GEPSNONPILOT/Tender/SplashBidNoticeAbstractUI.aspx?menuIndex=3&amp;refID=7160459&amp;Result=3","7160459")</f>
        <v>0</v>
      </c>
      <c r="B5033" t="s">
        <v>1880</v>
      </c>
      <c r="C5033" t="s">
        <v>8651</v>
      </c>
      <c r="D5033" t="s">
        <v>19079</v>
      </c>
      <c r="E5033" t="s">
        <v>23550</v>
      </c>
      <c r="F5033" t="s">
        <v>32831</v>
      </c>
      <c r="G5033" t="s">
        <v>32838</v>
      </c>
      <c r="H5033" t="s">
        <v>32848</v>
      </c>
      <c r="I5033" t="s">
        <v>32874</v>
      </c>
      <c r="J5033" t="s">
        <v>34247</v>
      </c>
      <c r="K5033" t="s">
        <v>42730</v>
      </c>
      <c r="M5033" t="s">
        <v>45024</v>
      </c>
      <c r="N5033" t="s">
        <v>47424</v>
      </c>
      <c r="O5033" t="s">
        <v>47425</v>
      </c>
      <c r="P5033">
        <v>0</v>
      </c>
      <c r="Q5033">
        <v>3</v>
      </c>
      <c r="R5033" t="s">
        <v>47430</v>
      </c>
      <c r="S5033" t="s">
        <v>47549</v>
      </c>
      <c r="T5033" t="s">
        <v>49123</v>
      </c>
      <c r="U5033" t="s">
        <v>53955</v>
      </c>
      <c r="W5033" t="s">
        <v>45024</v>
      </c>
      <c r="X5033" t="s">
        <v>47431</v>
      </c>
    </row>
    <row r="5034" spans="1:24">
      <c r="A5034">
        <f>HYPERLINK("https://www.philgeps.gov.ph/GEPSNONPILOT/Tender/SplashBidNoticeAbstractUI.aspx?menuIndex=3&amp;refID=7160466&amp;Result=3","7160466")</f>
        <v>0</v>
      </c>
      <c r="B5034" t="s">
        <v>49</v>
      </c>
      <c r="C5034" t="s">
        <v>8652</v>
      </c>
      <c r="D5034" t="s">
        <v>19037</v>
      </c>
      <c r="E5034" t="s">
        <v>23551</v>
      </c>
      <c r="F5034" t="s">
        <v>32831</v>
      </c>
      <c r="G5034" t="s">
        <v>32839</v>
      </c>
      <c r="H5034" t="s">
        <v>32848</v>
      </c>
      <c r="I5034" t="s">
        <v>9577</v>
      </c>
      <c r="J5034" t="s">
        <v>33007</v>
      </c>
      <c r="K5034" t="s">
        <v>42750</v>
      </c>
      <c r="M5034" t="s">
        <v>45033</v>
      </c>
      <c r="N5034" t="s">
        <v>47424</v>
      </c>
      <c r="O5034" t="s">
        <v>47425</v>
      </c>
      <c r="P5034">
        <v>0</v>
      </c>
      <c r="Q5034">
        <v>0</v>
      </c>
      <c r="R5034" t="s">
        <v>47430</v>
      </c>
      <c r="S5034" t="s">
        <v>47549</v>
      </c>
      <c r="T5034" t="s">
        <v>49104</v>
      </c>
      <c r="U5034" t="s">
        <v>53956</v>
      </c>
      <c r="W5034" t="s">
        <v>45033</v>
      </c>
      <c r="X5034" t="s">
        <v>47431</v>
      </c>
    </row>
    <row r="5035" spans="1:24">
      <c r="A5035">
        <f>HYPERLINK("https://www.philgeps.gov.ph/GEPSNONPILOT/Tender/SplashBidNoticeAbstractUI.aspx?menuIndex=3&amp;refID=7160454&amp;Result=3","7160454")</f>
        <v>0</v>
      </c>
      <c r="B5035" t="s">
        <v>1929</v>
      </c>
      <c r="C5035" t="s">
        <v>8653</v>
      </c>
      <c r="D5035" t="s">
        <v>19056</v>
      </c>
      <c r="E5035" t="s">
        <v>23552</v>
      </c>
      <c r="F5035" t="s">
        <v>32831</v>
      </c>
      <c r="G5035" t="s">
        <v>32839</v>
      </c>
      <c r="H5035" t="s">
        <v>32849</v>
      </c>
      <c r="I5035" t="s">
        <v>4177</v>
      </c>
      <c r="J5035" t="s">
        <v>36216</v>
      </c>
      <c r="K5035" t="s">
        <v>42737</v>
      </c>
      <c r="M5035" t="s">
        <v>45082</v>
      </c>
      <c r="N5035" t="s">
        <v>47424</v>
      </c>
      <c r="O5035" t="s">
        <v>47425</v>
      </c>
      <c r="P5035">
        <v>0</v>
      </c>
      <c r="Q5035">
        <v>0</v>
      </c>
      <c r="R5035" t="s">
        <v>47430</v>
      </c>
      <c r="S5035" t="s">
        <v>47549</v>
      </c>
      <c r="T5035" t="s">
        <v>49129</v>
      </c>
      <c r="U5035" t="s">
        <v>53957</v>
      </c>
      <c r="W5035" t="s">
        <v>45082</v>
      </c>
      <c r="X5035" t="s">
        <v>47431</v>
      </c>
    </row>
    <row r="5036" spans="1:24">
      <c r="A5036">
        <f>HYPERLINK("https://www.philgeps.gov.ph/GEPSNONPILOT/Tender/SplashBidNoticeAbstractUI.aspx?menuIndex=3&amp;refID=7160455&amp;Result=3","7160455")</f>
        <v>0</v>
      </c>
      <c r="B5036" t="s">
        <v>920</v>
      </c>
      <c r="C5036" t="s">
        <v>7586</v>
      </c>
      <c r="E5036" t="s">
        <v>23553</v>
      </c>
      <c r="F5036" t="s">
        <v>32831</v>
      </c>
      <c r="G5036" t="s">
        <v>32838</v>
      </c>
      <c r="H5036" t="s">
        <v>32848</v>
      </c>
      <c r="I5036" t="s">
        <v>9577</v>
      </c>
      <c r="J5036" t="s">
        <v>35768</v>
      </c>
      <c r="K5036" t="s">
        <v>42732</v>
      </c>
      <c r="M5036" t="s">
        <v>43961</v>
      </c>
      <c r="N5036" t="s">
        <v>47424</v>
      </c>
      <c r="O5036" t="s">
        <v>47425</v>
      </c>
      <c r="P5036">
        <v>0</v>
      </c>
      <c r="Q5036">
        <v>1</v>
      </c>
      <c r="R5036" t="s">
        <v>47430</v>
      </c>
      <c r="S5036" t="s">
        <v>47549</v>
      </c>
      <c r="T5036" t="s">
        <v>49108</v>
      </c>
      <c r="U5036" t="s">
        <v>51396</v>
      </c>
      <c r="W5036" t="s">
        <v>43961</v>
      </c>
      <c r="X5036" t="s">
        <v>47431</v>
      </c>
    </row>
    <row r="5037" spans="1:24">
      <c r="A5037">
        <f>HYPERLINK("https://www.philgeps.gov.ph/GEPSNONPILOT/Tender/SplashBidNoticeAbstractUI.aspx?menuIndex=3&amp;refID=7160453&amp;Result=3","7160453")</f>
        <v>0</v>
      </c>
      <c r="B5037" t="s">
        <v>744</v>
      </c>
      <c r="C5037" t="s">
        <v>8654</v>
      </c>
      <c r="D5037" t="s">
        <v>19017</v>
      </c>
      <c r="E5037" t="s">
        <v>23554</v>
      </c>
      <c r="F5037" t="s">
        <v>32831</v>
      </c>
      <c r="G5037" t="s">
        <v>32838</v>
      </c>
      <c r="H5037" t="s">
        <v>32848</v>
      </c>
      <c r="I5037" t="s">
        <v>11484</v>
      </c>
      <c r="J5037" t="s">
        <v>36217</v>
      </c>
      <c r="K5037" t="s">
        <v>42726</v>
      </c>
      <c r="M5037" t="s">
        <v>44432</v>
      </c>
      <c r="N5037" t="s">
        <v>47424</v>
      </c>
      <c r="O5037" t="s">
        <v>47425</v>
      </c>
      <c r="P5037">
        <v>0</v>
      </c>
      <c r="Q5037">
        <v>0</v>
      </c>
      <c r="R5037" t="s">
        <v>47430</v>
      </c>
      <c r="S5037" t="s">
        <v>47549</v>
      </c>
      <c r="T5037" t="s">
        <v>49237</v>
      </c>
      <c r="U5037" t="s">
        <v>53958</v>
      </c>
      <c r="W5037" t="s">
        <v>44432</v>
      </c>
      <c r="X5037" t="s">
        <v>47431</v>
      </c>
    </row>
    <row r="5038" spans="1:24">
      <c r="A5038">
        <f>HYPERLINK("https://www.philgeps.gov.ph/GEPSNONPILOT/Tender/SplashBidNoticeAbstractUI.aspx?menuIndex=3&amp;refID=7160451&amp;Result=3","7160451")</f>
        <v>0</v>
      </c>
      <c r="B5038" t="s">
        <v>1841</v>
      </c>
      <c r="C5038" t="s">
        <v>8655</v>
      </c>
      <c r="D5038" t="s">
        <v>19047</v>
      </c>
      <c r="E5038" t="s">
        <v>23555</v>
      </c>
      <c r="F5038" t="s">
        <v>32831</v>
      </c>
      <c r="G5038" t="s">
        <v>32839</v>
      </c>
      <c r="H5038" t="s">
        <v>32849</v>
      </c>
      <c r="I5038" t="s">
        <v>4177</v>
      </c>
      <c r="J5038" t="s">
        <v>36218</v>
      </c>
      <c r="K5038" t="s">
        <v>42745</v>
      </c>
      <c r="M5038" t="s">
        <v>44975</v>
      </c>
      <c r="N5038" t="s">
        <v>47424</v>
      </c>
      <c r="O5038" t="s">
        <v>47425</v>
      </c>
      <c r="P5038">
        <v>0</v>
      </c>
      <c r="Q5038">
        <v>0</v>
      </c>
      <c r="R5038" t="s">
        <v>47430</v>
      </c>
      <c r="S5038" t="s">
        <v>47549</v>
      </c>
      <c r="T5038" t="s">
        <v>49142</v>
      </c>
      <c r="U5038" t="s">
        <v>53657</v>
      </c>
      <c r="W5038" t="s">
        <v>44975</v>
      </c>
      <c r="X5038" t="s">
        <v>47431</v>
      </c>
    </row>
    <row r="5039" spans="1:24">
      <c r="A5039">
        <f>HYPERLINK("https://www.philgeps.gov.ph/GEPSNONPILOT/Tender/SplashBidNoticeAbstractUI.aspx?menuIndex=3&amp;refID=7160424&amp;Result=3","7160424")</f>
        <v>0</v>
      </c>
      <c r="B5039" t="s">
        <v>962</v>
      </c>
      <c r="C5039" t="s">
        <v>8656</v>
      </c>
      <c r="E5039" t="s">
        <v>23556</v>
      </c>
      <c r="F5039" t="s">
        <v>32831</v>
      </c>
      <c r="G5039" t="s">
        <v>32838</v>
      </c>
      <c r="H5039" t="s">
        <v>32849</v>
      </c>
      <c r="I5039" t="s">
        <v>4303</v>
      </c>
      <c r="J5039" t="s">
        <v>36219</v>
      </c>
      <c r="K5039" t="s">
        <v>42732</v>
      </c>
      <c r="M5039" t="s">
        <v>44008</v>
      </c>
      <c r="N5039" t="s">
        <v>47424</v>
      </c>
      <c r="O5039" t="s">
        <v>47425</v>
      </c>
      <c r="P5039">
        <v>0</v>
      </c>
      <c r="Q5039">
        <v>0</v>
      </c>
      <c r="R5039" t="s">
        <v>47430</v>
      </c>
      <c r="S5039" t="s">
        <v>47549</v>
      </c>
      <c r="T5039" t="s">
        <v>49056</v>
      </c>
      <c r="U5039" t="s">
        <v>53959</v>
      </c>
      <c r="W5039" t="s">
        <v>44008</v>
      </c>
      <c r="X5039" t="s">
        <v>47431</v>
      </c>
    </row>
    <row r="5040" spans="1:24">
      <c r="A5040">
        <f>HYPERLINK("https://www.philgeps.gov.ph/GEPSNONPILOT/Tender/SplashBidNoticeAbstractUI.aspx?menuIndex=3&amp;refID=7160460&amp;Result=3","7160460")</f>
        <v>0</v>
      </c>
      <c r="B5040" t="s">
        <v>633</v>
      </c>
      <c r="C5040" t="s">
        <v>8657</v>
      </c>
      <c r="D5040" t="s">
        <v>19062</v>
      </c>
      <c r="E5040" t="s">
        <v>23211</v>
      </c>
      <c r="F5040" t="s">
        <v>32831</v>
      </c>
      <c r="G5040" t="s">
        <v>32839</v>
      </c>
      <c r="H5040" t="s">
        <v>32849</v>
      </c>
      <c r="I5040" t="s">
        <v>4177</v>
      </c>
      <c r="J5040" t="s">
        <v>33279</v>
      </c>
      <c r="K5040" t="s">
        <v>42730</v>
      </c>
      <c r="M5040" t="s">
        <v>43650</v>
      </c>
      <c r="N5040" t="s">
        <v>47424</v>
      </c>
      <c r="O5040" t="s">
        <v>47425</v>
      </c>
      <c r="P5040">
        <v>0</v>
      </c>
      <c r="Q5040">
        <v>0</v>
      </c>
      <c r="R5040" t="s">
        <v>47430</v>
      </c>
      <c r="S5040" t="s">
        <v>47549</v>
      </c>
      <c r="T5040" t="s">
        <v>49057</v>
      </c>
      <c r="U5040" t="s">
        <v>53960</v>
      </c>
      <c r="W5040" t="s">
        <v>43650</v>
      </c>
      <c r="X5040" t="s">
        <v>47431</v>
      </c>
    </row>
    <row r="5041" spans="1:24">
      <c r="A5041">
        <f>HYPERLINK("https://www.philgeps.gov.ph/GEPSNONPILOT/Tender/SplashBidNoticeAbstractUI.aspx?menuIndex=3&amp;refID=7160448&amp;Result=3","7160448")</f>
        <v>0</v>
      </c>
      <c r="B5041" t="s">
        <v>1930</v>
      </c>
      <c r="C5041" t="s">
        <v>8658</v>
      </c>
      <c r="D5041" t="s">
        <v>19033</v>
      </c>
      <c r="E5041" t="s">
        <v>23557</v>
      </c>
      <c r="F5041" t="s">
        <v>32831</v>
      </c>
      <c r="G5041" t="s">
        <v>32839</v>
      </c>
      <c r="H5041" t="s">
        <v>32848</v>
      </c>
      <c r="I5041" t="s">
        <v>7819</v>
      </c>
      <c r="J5041" t="s">
        <v>36220</v>
      </c>
      <c r="K5041" t="s">
        <v>42731</v>
      </c>
      <c r="M5041" t="s">
        <v>45083</v>
      </c>
      <c r="N5041" t="s">
        <v>47424</v>
      </c>
      <c r="O5041" t="s">
        <v>47425</v>
      </c>
      <c r="P5041">
        <v>0</v>
      </c>
      <c r="Q5041">
        <v>1</v>
      </c>
      <c r="R5041" t="s">
        <v>47430</v>
      </c>
      <c r="S5041" t="s">
        <v>47549</v>
      </c>
      <c r="T5041" t="s">
        <v>49181</v>
      </c>
      <c r="U5041" t="s">
        <v>53961</v>
      </c>
      <c r="V5041" t="s">
        <v>63185</v>
      </c>
      <c r="W5041" t="s">
        <v>45083</v>
      </c>
      <c r="X5041" t="s">
        <v>47431</v>
      </c>
    </row>
    <row r="5042" spans="1:24">
      <c r="A5042">
        <f>HYPERLINK("https://www.philgeps.gov.ph/GEPSNONPILOT/Tender/SplashBidNoticeAbstractUI.aspx?menuIndex=3&amp;refID=7160495&amp;Result=3","7160495")</f>
        <v>0</v>
      </c>
      <c r="B5042" t="s">
        <v>1931</v>
      </c>
      <c r="C5042" t="s">
        <v>8659</v>
      </c>
      <c r="D5042" t="s">
        <v>19041</v>
      </c>
      <c r="E5042" t="s">
        <v>23558</v>
      </c>
      <c r="F5042" t="s">
        <v>32831</v>
      </c>
      <c r="G5042" t="s">
        <v>32839</v>
      </c>
      <c r="H5042" t="s">
        <v>32848</v>
      </c>
      <c r="I5042" t="s">
        <v>32874</v>
      </c>
      <c r="J5042" t="s">
        <v>36221</v>
      </c>
      <c r="K5042" t="s">
        <v>42732</v>
      </c>
      <c r="M5042" t="s">
        <v>45084</v>
      </c>
      <c r="N5042" t="s">
        <v>47424</v>
      </c>
      <c r="O5042" t="s">
        <v>47425</v>
      </c>
      <c r="P5042">
        <v>0</v>
      </c>
      <c r="Q5042">
        <v>10</v>
      </c>
      <c r="R5042" t="s">
        <v>47430</v>
      </c>
      <c r="S5042" t="s">
        <v>47549</v>
      </c>
      <c r="T5042" t="s">
        <v>49175</v>
      </c>
      <c r="U5042" t="s">
        <v>53962</v>
      </c>
      <c r="W5042" t="s">
        <v>45084</v>
      </c>
      <c r="X5042" t="s">
        <v>47431</v>
      </c>
    </row>
    <row r="5043" spans="1:24">
      <c r="A5043">
        <f>HYPERLINK("https://www.philgeps.gov.ph/GEPSNONPILOT/Tender/SplashBidNoticeAbstractUI.aspx?menuIndex=3&amp;refID=7160452&amp;Result=3","7160452")</f>
        <v>0</v>
      </c>
      <c r="B5043" t="s">
        <v>1927</v>
      </c>
      <c r="C5043" t="s">
        <v>8660</v>
      </c>
      <c r="D5043" t="s">
        <v>19018</v>
      </c>
      <c r="E5043" t="s">
        <v>23559</v>
      </c>
      <c r="F5043" t="s">
        <v>32831</v>
      </c>
      <c r="G5043" t="s">
        <v>32838</v>
      </c>
      <c r="H5043" t="s">
        <v>32848</v>
      </c>
      <c r="I5043" t="s">
        <v>7751</v>
      </c>
      <c r="J5043" t="s">
        <v>36215</v>
      </c>
      <c r="K5043" t="s">
        <v>42727</v>
      </c>
      <c r="M5043" t="s">
        <v>45080</v>
      </c>
      <c r="N5043" t="s">
        <v>47424</v>
      </c>
      <c r="O5043" t="s">
        <v>47425</v>
      </c>
      <c r="P5043">
        <v>0</v>
      </c>
      <c r="Q5043">
        <v>0</v>
      </c>
      <c r="R5043" t="s">
        <v>47430</v>
      </c>
      <c r="S5043" t="s">
        <v>47549</v>
      </c>
      <c r="T5043" t="s">
        <v>49056</v>
      </c>
      <c r="U5043" t="s">
        <v>53951</v>
      </c>
      <c r="W5043" t="s">
        <v>45080</v>
      </c>
      <c r="X5043" t="s">
        <v>47431</v>
      </c>
    </row>
    <row r="5044" spans="1:24">
      <c r="A5044">
        <f>HYPERLINK("https://www.philgeps.gov.ph/GEPSNONPILOT/Tender/SplashBidNoticeAbstractUI.aspx?menuIndex=3&amp;refID=7160494&amp;Result=3","7160494")</f>
        <v>0</v>
      </c>
      <c r="B5044" t="s">
        <v>1932</v>
      </c>
      <c r="C5044" t="s">
        <v>8661</v>
      </c>
      <c r="D5044" t="s">
        <v>19081</v>
      </c>
      <c r="E5044" t="s">
        <v>19351</v>
      </c>
      <c r="F5044" t="s">
        <v>32831</v>
      </c>
      <c r="G5044" t="s">
        <v>32839</v>
      </c>
      <c r="H5044" t="s">
        <v>32848</v>
      </c>
      <c r="I5044" t="s">
        <v>7416</v>
      </c>
      <c r="J5044" t="s">
        <v>36222</v>
      </c>
      <c r="K5044" t="s">
        <v>42767</v>
      </c>
      <c r="M5044" t="s">
        <v>45085</v>
      </c>
      <c r="N5044" t="s">
        <v>47424</v>
      </c>
      <c r="O5044" t="s">
        <v>47425</v>
      </c>
      <c r="P5044">
        <v>0</v>
      </c>
      <c r="Q5044">
        <v>0</v>
      </c>
      <c r="R5044" t="s">
        <v>47430</v>
      </c>
      <c r="S5044" t="s">
        <v>47549</v>
      </c>
      <c r="T5044" t="s">
        <v>49124</v>
      </c>
      <c r="U5044" t="s">
        <v>53963</v>
      </c>
      <c r="W5044" t="s">
        <v>45085</v>
      </c>
      <c r="X5044" t="s">
        <v>47431</v>
      </c>
    </row>
    <row r="5045" spans="1:24">
      <c r="A5045">
        <f>HYPERLINK("https://www.philgeps.gov.ph/GEPSNONPILOT/Tender/SplashBidNoticeAbstractUI.aspx?menuIndex=3&amp;refID=7160492&amp;Result=3","7160492")</f>
        <v>0</v>
      </c>
      <c r="B5045" t="s">
        <v>927</v>
      </c>
      <c r="C5045" t="s">
        <v>8662</v>
      </c>
      <c r="D5045" t="s">
        <v>19031</v>
      </c>
      <c r="E5045" t="s">
        <v>23560</v>
      </c>
      <c r="F5045" t="s">
        <v>32831</v>
      </c>
      <c r="G5045" t="s">
        <v>32838</v>
      </c>
      <c r="H5045" t="s">
        <v>32848</v>
      </c>
      <c r="I5045" t="s">
        <v>32859</v>
      </c>
      <c r="J5045" t="s">
        <v>33311</v>
      </c>
      <c r="K5045" t="s">
        <v>42732</v>
      </c>
      <c r="M5045" t="s">
        <v>43968</v>
      </c>
      <c r="N5045" t="s">
        <v>47424</v>
      </c>
      <c r="O5045" t="s">
        <v>47425</v>
      </c>
      <c r="P5045">
        <v>0</v>
      </c>
      <c r="Q5045">
        <v>0</v>
      </c>
      <c r="R5045" t="s">
        <v>47430</v>
      </c>
      <c r="S5045" t="s">
        <v>47549</v>
      </c>
      <c r="T5045" t="s">
        <v>49056</v>
      </c>
      <c r="U5045" t="s">
        <v>53964</v>
      </c>
      <c r="W5045" t="s">
        <v>43968</v>
      </c>
      <c r="X5045" t="s">
        <v>47431</v>
      </c>
    </row>
    <row r="5046" spans="1:24">
      <c r="A5046">
        <f>HYPERLINK("https://www.philgeps.gov.ph/GEPSNONPILOT/Tender/SplashBidNoticeAbstractUI.aspx?menuIndex=3&amp;refID=7160461&amp;Result=3","7160461")</f>
        <v>0</v>
      </c>
      <c r="B5046" t="s">
        <v>1933</v>
      </c>
      <c r="C5046" t="s">
        <v>8663</v>
      </c>
      <c r="D5046" t="s">
        <v>19027</v>
      </c>
      <c r="E5046" t="s">
        <v>19863</v>
      </c>
      <c r="F5046" t="s">
        <v>32831</v>
      </c>
      <c r="G5046" t="s">
        <v>32842</v>
      </c>
      <c r="H5046" t="s">
        <v>32848</v>
      </c>
      <c r="I5046" t="s">
        <v>9577</v>
      </c>
      <c r="J5046" t="s">
        <v>32985</v>
      </c>
      <c r="K5046" t="s">
        <v>42732</v>
      </c>
      <c r="M5046" t="s">
        <v>45086</v>
      </c>
      <c r="N5046" t="s">
        <v>47424</v>
      </c>
      <c r="O5046" t="s">
        <v>47425</v>
      </c>
      <c r="P5046">
        <v>0</v>
      </c>
      <c r="Q5046">
        <v>1</v>
      </c>
      <c r="R5046" t="s">
        <v>47430</v>
      </c>
      <c r="S5046" t="s">
        <v>47549</v>
      </c>
      <c r="T5046" t="s">
        <v>49056</v>
      </c>
      <c r="U5046" t="s">
        <v>53965</v>
      </c>
      <c r="W5046" t="s">
        <v>45086</v>
      </c>
      <c r="X5046" t="s">
        <v>47431</v>
      </c>
    </row>
    <row r="5047" spans="1:24">
      <c r="A5047">
        <f>HYPERLINK("https://www.philgeps.gov.ph/GEPSNONPILOT/Tender/SplashBidNoticeAbstractUI.aspx?menuIndex=3&amp;refID=7160491&amp;Result=3","7160491")</f>
        <v>0</v>
      </c>
      <c r="B5047" t="s">
        <v>1904</v>
      </c>
      <c r="C5047" t="s">
        <v>5171</v>
      </c>
      <c r="D5047" t="s">
        <v>19049</v>
      </c>
      <c r="E5047" t="s">
        <v>23561</v>
      </c>
      <c r="F5047" t="s">
        <v>32831</v>
      </c>
      <c r="G5047" t="s">
        <v>32838</v>
      </c>
      <c r="H5047" t="s">
        <v>32848</v>
      </c>
      <c r="I5047" t="s">
        <v>9577</v>
      </c>
      <c r="J5047" t="s">
        <v>34534</v>
      </c>
      <c r="K5047" t="s">
        <v>42732</v>
      </c>
      <c r="M5047" t="s">
        <v>45053</v>
      </c>
      <c r="N5047" t="s">
        <v>47424</v>
      </c>
      <c r="O5047" t="s">
        <v>47425</v>
      </c>
      <c r="P5047">
        <v>0</v>
      </c>
      <c r="Q5047">
        <v>0</v>
      </c>
      <c r="R5047" t="s">
        <v>47430</v>
      </c>
      <c r="S5047" t="s">
        <v>47549</v>
      </c>
      <c r="T5047" t="s">
        <v>49414</v>
      </c>
      <c r="U5047" t="s">
        <v>50335</v>
      </c>
      <c r="W5047" t="s">
        <v>45053</v>
      </c>
      <c r="X5047" t="s">
        <v>47431</v>
      </c>
    </row>
    <row r="5048" spans="1:24">
      <c r="A5048">
        <f>HYPERLINK("https://www.philgeps.gov.ph/GEPSNONPILOT/Tender/SplashBidNoticeAbstractUI.aspx?menuIndex=3&amp;refID=7160490&amp;Result=3","7160490")</f>
        <v>0</v>
      </c>
      <c r="B5048" t="s">
        <v>1934</v>
      </c>
      <c r="C5048" t="s">
        <v>8664</v>
      </c>
      <c r="D5048" t="s">
        <v>19057</v>
      </c>
      <c r="E5048" t="s">
        <v>23562</v>
      </c>
      <c r="F5048" t="s">
        <v>32831</v>
      </c>
      <c r="G5048" t="s">
        <v>32840</v>
      </c>
      <c r="H5048" t="s">
        <v>32848</v>
      </c>
      <c r="I5048" t="s">
        <v>11484</v>
      </c>
      <c r="J5048" t="s">
        <v>33031</v>
      </c>
      <c r="K5048" t="s">
        <v>42759</v>
      </c>
      <c r="M5048" t="s">
        <v>45087</v>
      </c>
      <c r="N5048" t="s">
        <v>47424</v>
      </c>
      <c r="O5048" t="s">
        <v>47425</v>
      </c>
      <c r="P5048">
        <v>0</v>
      </c>
      <c r="Q5048">
        <v>4</v>
      </c>
      <c r="R5048" t="s">
        <v>47430</v>
      </c>
      <c r="S5048" t="s">
        <v>47549</v>
      </c>
      <c r="T5048" t="s">
        <v>49089</v>
      </c>
      <c r="U5048" t="s">
        <v>53966</v>
      </c>
      <c r="V5048" t="s">
        <v>63186</v>
      </c>
      <c r="W5048" t="s">
        <v>45087</v>
      </c>
      <c r="X5048" t="s">
        <v>47431</v>
      </c>
    </row>
    <row r="5049" spans="1:24">
      <c r="A5049">
        <f>HYPERLINK("https://www.philgeps.gov.ph/GEPSNONPILOT/Tender/SplashBidNoticeAbstractUI.aspx?menuIndex=3&amp;refID=7160483&amp;Result=3","7160483")</f>
        <v>0</v>
      </c>
      <c r="B5049" t="s">
        <v>680</v>
      </c>
      <c r="C5049" t="s">
        <v>8665</v>
      </c>
      <c r="E5049" t="s">
        <v>23563</v>
      </c>
      <c r="F5049" t="s">
        <v>32831</v>
      </c>
      <c r="G5049" t="s">
        <v>32838</v>
      </c>
      <c r="H5049" t="s">
        <v>32848</v>
      </c>
      <c r="I5049" t="s">
        <v>32894</v>
      </c>
      <c r="J5049" t="s">
        <v>36223</v>
      </c>
      <c r="K5049" t="s">
        <v>42732</v>
      </c>
      <c r="M5049" t="s">
        <v>44134</v>
      </c>
      <c r="N5049" t="s">
        <v>47424</v>
      </c>
      <c r="O5049" t="s">
        <v>47425</v>
      </c>
      <c r="P5049">
        <v>0</v>
      </c>
      <c r="Q5049">
        <v>2</v>
      </c>
      <c r="R5049" t="s">
        <v>47430</v>
      </c>
      <c r="S5049" t="s">
        <v>47549</v>
      </c>
      <c r="T5049" t="s">
        <v>49079</v>
      </c>
      <c r="U5049" t="s">
        <v>51745</v>
      </c>
      <c r="W5049" t="s">
        <v>44134</v>
      </c>
      <c r="X5049" t="s">
        <v>47431</v>
      </c>
    </row>
    <row r="5050" spans="1:24">
      <c r="A5050">
        <f>HYPERLINK("https://www.philgeps.gov.ph/GEPSNONPILOT/Tender/SplashBidNoticeAbstractUI.aspx?menuIndex=3&amp;refID=7160464&amp;Result=3","7160464")</f>
        <v>0</v>
      </c>
      <c r="B5050" t="s">
        <v>983</v>
      </c>
      <c r="C5050" t="s">
        <v>8666</v>
      </c>
      <c r="D5050" t="s">
        <v>19028</v>
      </c>
      <c r="E5050" t="s">
        <v>23564</v>
      </c>
      <c r="F5050" t="s">
        <v>32831</v>
      </c>
      <c r="G5050" t="s">
        <v>32838</v>
      </c>
      <c r="H5050" t="s">
        <v>32848</v>
      </c>
      <c r="I5050" t="s">
        <v>32858</v>
      </c>
      <c r="J5050" t="s">
        <v>33090</v>
      </c>
      <c r="K5050" t="s">
        <v>42758</v>
      </c>
      <c r="M5050" t="s">
        <v>45088</v>
      </c>
      <c r="N5050" t="s">
        <v>47424</v>
      </c>
      <c r="O5050" t="s">
        <v>47425</v>
      </c>
      <c r="P5050">
        <v>0</v>
      </c>
      <c r="Q5050">
        <v>1</v>
      </c>
      <c r="R5050" t="s">
        <v>47430</v>
      </c>
      <c r="S5050" t="s">
        <v>47549</v>
      </c>
      <c r="T5050" t="s">
        <v>49237</v>
      </c>
      <c r="U5050" t="s">
        <v>53967</v>
      </c>
      <c r="W5050" t="s">
        <v>45088</v>
      </c>
      <c r="X5050" t="s">
        <v>47431</v>
      </c>
    </row>
    <row r="5051" spans="1:24">
      <c r="A5051">
        <f>HYPERLINK("https://www.philgeps.gov.ph/GEPSNONPILOT/Tender/SplashBidNoticeAbstractUI.aspx?menuIndex=3&amp;refID=7160482&amp;Result=3","7160482")</f>
        <v>0</v>
      </c>
      <c r="B5051" t="s">
        <v>693</v>
      </c>
      <c r="C5051" t="s">
        <v>8667</v>
      </c>
      <c r="D5051" t="s">
        <v>19073</v>
      </c>
      <c r="E5051" t="s">
        <v>23565</v>
      </c>
      <c r="F5051" t="s">
        <v>32831</v>
      </c>
      <c r="G5051" t="s">
        <v>32839</v>
      </c>
      <c r="H5051" t="s">
        <v>32848</v>
      </c>
      <c r="I5051" t="s">
        <v>32857</v>
      </c>
      <c r="J5051" t="s">
        <v>36224</v>
      </c>
      <c r="K5051" t="s">
        <v>42731</v>
      </c>
      <c r="M5051" t="s">
        <v>44145</v>
      </c>
      <c r="N5051" t="s">
        <v>47424</v>
      </c>
      <c r="O5051" t="s">
        <v>47425</v>
      </c>
      <c r="P5051">
        <v>0</v>
      </c>
      <c r="Q5051">
        <v>5</v>
      </c>
      <c r="R5051" t="s">
        <v>47430</v>
      </c>
      <c r="S5051" t="s">
        <v>47549</v>
      </c>
      <c r="T5051" t="s">
        <v>49195</v>
      </c>
      <c r="U5051" t="s">
        <v>53968</v>
      </c>
      <c r="V5051" t="s">
        <v>63187</v>
      </c>
      <c r="W5051" t="s">
        <v>64457</v>
      </c>
      <c r="X5051" t="s">
        <v>47431</v>
      </c>
    </row>
    <row r="5052" spans="1:24">
      <c r="A5052">
        <f>HYPERLINK("https://www.philgeps.gov.ph/GEPSNONPILOT/Tender/SplashBidNoticeAbstractUI.aspx?menuIndex=3&amp;refID=7160449&amp;Result=3","7160449")</f>
        <v>0</v>
      </c>
      <c r="B5052" t="s">
        <v>1934</v>
      </c>
      <c r="C5052" t="s">
        <v>8668</v>
      </c>
      <c r="D5052" t="s">
        <v>19057</v>
      </c>
      <c r="E5052" t="s">
        <v>23562</v>
      </c>
      <c r="F5052" t="s">
        <v>32831</v>
      </c>
      <c r="G5052" t="s">
        <v>32840</v>
      </c>
      <c r="H5052" t="s">
        <v>32848</v>
      </c>
      <c r="I5052" t="s">
        <v>11484</v>
      </c>
      <c r="J5052" t="s">
        <v>33031</v>
      </c>
      <c r="K5052" t="s">
        <v>42759</v>
      </c>
      <c r="M5052" t="s">
        <v>45087</v>
      </c>
      <c r="N5052" t="s">
        <v>47424</v>
      </c>
      <c r="O5052" t="s">
        <v>47425</v>
      </c>
      <c r="P5052">
        <v>0</v>
      </c>
      <c r="Q5052">
        <v>4</v>
      </c>
      <c r="R5052" t="s">
        <v>47430</v>
      </c>
      <c r="S5052" t="s">
        <v>47549</v>
      </c>
      <c r="T5052" t="s">
        <v>49089</v>
      </c>
      <c r="U5052" t="s">
        <v>53966</v>
      </c>
      <c r="V5052" t="s">
        <v>53471</v>
      </c>
      <c r="W5052" t="s">
        <v>45087</v>
      </c>
      <c r="X5052" t="s">
        <v>47431</v>
      </c>
    </row>
    <row r="5053" spans="1:24">
      <c r="A5053">
        <f>HYPERLINK("https://www.philgeps.gov.ph/GEPSNONPILOT/Tender/SplashBidNoticeAbstractUI.aspx?menuIndex=3&amp;refID=7160467&amp;Result=3","7160467")</f>
        <v>0</v>
      </c>
      <c r="B5053" t="s">
        <v>1935</v>
      </c>
      <c r="C5053" t="s">
        <v>8669</v>
      </c>
      <c r="D5053" t="s">
        <v>19044</v>
      </c>
      <c r="E5053" t="s">
        <v>23566</v>
      </c>
      <c r="F5053" t="s">
        <v>32831</v>
      </c>
      <c r="G5053" t="s">
        <v>32838</v>
      </c>
      <c r="H5053" t="s">
        <v>32848</v>
      </c>
      <c r="I5053" t="s">
        <v>4303</v>
      </c>
      <c r="J5053" t="s">
        <v>36225</v>
      </c>
      <c r="K5053" t="s">
        <v>42758</v>
      </c>
      <c r="M5053" t="s">
        <v>45089</v>
      </c>
      <c r="N5053" t="s">
        <v>47424</v>
      </c>
      <c r="O5053" t="s">
        <v>47425</v>
      </c>
      <c r="P5053">
        <v>0</v>
      </c>
      <c r="Q5053">
        <v>0</v>
      </c>
      <c r="R5053" t="s">
        <v>47430</v>
      </c>
      <c r="S5053" t="s">
        <v>47549</v>
      </c>
      <c r="T5053" t="s">
        <v>49415</v>
      </c>
      <c r="U5053" t="s">
        <v>53969</v>
      </c>
      <c r="W5053" t="s">
        <v>45089</v>
      </c>
      <c r="X5053" t="s">
        <v>47431</v>
      </c>
    </row>
    <row r="5054" spans="1:24">
      <c r="A5054">
        <f>HYPERLINK("https://www.philgeps.gov.ph/GEPSNONPILOT/Tender/SplashBidNoticeAbstractUI.aspx?menuIndex=3&amp;refID=7160487&amp;Result=3","7160487")</f>
        <v>0</v>
      </c>
      <c r="B5054" t="s">
        <v>1679</v>
      </c>
      <c r="C5054" t="s">
        <v>8670</v>
      </c>
      <c r="D5054" t="s">
        <v>19052</v>
      </c>
      <c r="E5054" t="s">
        <v>23567</v>
      </c>
      <c r="F5054" t="s">
        <v>32831</v>
      </c>
      <c r="G5054" t="s">
        <v>32839</v>
      </c>
      <c r="H5054" t="s">
        <v>32849</v>
      </c>
      <c r="I5054" t="s">
        <v>4177</v>
      </c>
      <c r="J5054" t="s">
        <v>33016</v>
      </c>
      <c r="K5054" t="s">
        <v>42770</v>
      </c>
      <c r="M5054" t="s">
        <v>44797</v>
      </c>
      <c r="N5054" t="s">
        <v>47424</v>
      </c>
      <c r="O5054" t="s">
        <v>47425</v>
      </c>
      <c r="P5054">
        <v>0</v>
      </c>
      <c r="Q5054">
        <v>1</v>
      </c>
      <c r="R5054" t="s">
        <v>47430</v>
      </c>
      <c r="S5054" t="s">
        <v>47549</v>
      </c>
      <c r="T5054" t="s">
        <v>49198</v>
      </c>
      <c r="U5054" t="s">
        <v>53970</v>
      </c>
      <c r="V5054" t="s">
        <v>63083</v>
      </c>
      <c r="W5054" t="s">
        <v>44797</v>
      </c>
      <c r="X5054" t="s">
        <v>47431</v>
      </c>
    </row>
    <row r="5055" spans="1:24">
      <c r="A5055">
        <f>HYPERLINK("https://www.philgeps.gov.ph/GEPSNONPILOT/Tender/SplashBidNoticeAbstractUI.aspx?menuIndex=3&amp;refID=7160485&amp;Result=3","7160485")</f>
        <v>0</v>
      </c>
      <c r="B5055" t="s">
        <v>609</v>
      </c>
      <c r="C5055" t="s">
        <v>8671</v>
      </c>
      <c r="D5055" t="s">
        <v>19017</v>
      </c>
      <c r="E5055" t="s">
        <v>23568</v>
      </c>
      <c r="F5055" t="s">
        <v>32831</v>
      </c>
      <c r="G5055" t="s">
        <v>32840</v>
      </c>
      <c r="H5055" t="s">
        <v>32848</v>
      </c>
      <c r="I5055" t="s">
        <v>10805</v>
      </c>
      <c r="J5055" t="s">
        <v>33090</v>
      </c>
      <c r="K5055" t="s">
        <v>42732</v>
      </c>
      <c r="M5055" t="s">
        <v>43623</v>
      </c>
      <c r="N5055" t="s">
        <v>47424</v>
      </c>
      <c r="O5055" t="s">
        <v>47425</v>
      </c>
      <c r="P5055">
        <v>0</v>
      </c>
      <c r="Q5055">
        <v>16</v>
      </c>
      <c r="R5055" t="s">
        <v>47430</v>
      </c>
      <c r="S5055" t="s">
        <v>47549</v>
      </c>
      <c r="T5055" t="s">
        <v>49107</v>
      </c>
      <c r="U5055" t="s">
        <v>53971</v>
      </c>
      <c r="W5055" t="s">
        <v>43623</v>
      </c>
      <c r="X5055" t="s">
        <v>47431</v>
      </c>
    </row>
    <row r="5056" spans="1:24">
      <c r="A5056">
        <f>HYPERLINK("https://www.philgeps.gov.ph/GEPSNONPILOT/Tender/SplashBidNoticeAbstractUI.aspx?menuIndex=3&amp;refID=7160476&amp;Result=3","7160476")</f>
        <v>0</v>
      </c>
      <c r="B5056" t="s">
        <v>1894</v>
      </c>
      <c r="C5056" t="s">
        <v>8672</v>
      </c>
      <c r="D5056" t="s">
        <v>19031</v>
      </c>
      <c r="E5056" t="s">
        <v>23569</v>
      </c>
      <c r="F5056" t="s">
        <v>32831</v>
      </c>
      <c r="G5056" t="s">
        <v>32838</v>
      </c>
      <c r="H5056" t="s">
        <v>32848</v>
      </c>
      <c r="I5056" t="s">
        <v>32859</v>
      </c>
      <c r="J5056" t="s">
        <v>36226</v>
      </c>
      <c r="K5056" t="s">
        <v>42730</v>
      </c>
      <c r="M5056" t="s">
        <v>45041</v>
      </c>
      <c r="N5056" t="s">
        <v>47424</v>
      </c>
      <c r="O5056" t="s">
        <v>47425</v>
      </c>
      <c r="P5056">
        <v>0</v>
      </c>
      <c r="Q5056">
        <v>0</v>
      </c>
      <c r="R5056" t="s">
        <v>47430</v>
      </c>
      <c r="S5056" t="s">
        <v>47549</v>
      </c>
      <c r="T5056" t="s">
        <v>49108</v>
      </c>
      <c r="U5056" t="s">
        <v>53972</v>
      </c>
      <c r="W5056" t="s">
        <v>45041</v>
      </c>
      <c r="X5056" t="s">
        <v>47431</v>
      </c>
    </row>
    <row r="5057" spans="1:24">
      <c r="A5057">
        <f>HYPERLINK("https://www.philgeps.gov.ph/GEPSNONPILOT/Tender/SplashBidNoticeAbstractUI.aspx?menuIndex=3&amp;refID=7160474&amp;Result=3","7160474")</f>
        <v>0</v>
      </c>
      <c r="B5057" t="s">
        <v>1629</v>
      </c>
      <c r="C5057" t="s">
        <v>8673</v>
      </c>
      <c r="E5057" t="s">
        <v>23545</v>
      </c>
      <c r="F5057" t="s">
        <v>32831</v>
      </c>
      <c r="G5057" t="s">
        <v>32838</v>
      </c>
      <c r="H5057" t="s">
        <v>32848</v>
      </c>
      <c r="I5057" t="s">
        <v>32857</v>
      </c>
      <c r="J5057" t="s">
        <v>36227</v>
      </c>
      <c r="K5057" t="s">
        <v>42732</v>
      </c>
      <c r="M5057" t="s">
        <v>44745</v>
      </c>
      <c r="N5057" t="s">
        <v>47424</v>
      </c>
      <c r="O5057" t="s">
        <v>47425</v>
      </c>
      <c r="P5057">
        <v>0</v>
      </c>
      <c r="Q5057">
        <v>0</v>
      </c>
      <c r="R5057" t="s">
        <v>47430</v>
      </c>
      <c r="S5057" t="s">
        <v>47549</v>
      </c>
      <c r="T5057" t="s">
        <v>49107</v>
      </c>
      <c r="U5057" t="s">
        <v>53973</v>
      </c>
      <c r="V5057" t="s">
        <v>63069</v>
      </c>
      <c r="W5057" t="s">
        <v>44745</v>
      </c>
      <c r="X5057" t="s">
        <v>47431</v>
      </c>
    </row>
    <row r="5058" spans="1:24">
      <c r="A5058">
        <f>HYPERLINK("https://www.philgeps.gov.ph/GEPSNONPILOT/Tender/SplashBidNoticeAbstractUI.aspx?menuIndex=3&amp;refID=7160472&amp;Result=3","7160472")</f>
        <v>0</v>
      </c>
      <c r="B5058" t="s">
        <v>100</v>
      </c>
      <c r="C5058" t="s">
        <v>8674</v>
      </c>
      <c r="D5058" t="s">
        <v>19017</v>
      </c>
      <c r="E5058" t="s">
        <v>23570</v>
      </c>
      <c r="F5058" t="s">
        <v>32831</v>
      </c>
      <c r="G5058" t="s">
        <v>32838</v>
      </c>
      <c r="H5058" t="s">
        <v>32848</v>
      </c>
      <c r="I5058" t="s">
        <v>32863</v>
      </c>
      <c r="J5058" t="s">
        <v>36228</v>
      </c>
      <c r="K5058" t="s">
        <v>42731</v>
      </c>
      <c r="M5058" t="s">
        <v>45058</v>
      </c>
      <c r="N5058" t="s">
        <v>47424</v>
      </c>
      <c r="O5058" t="s">
        <v>47425</v>
      </c>
      <c r="P5058">
        <v>0</v>
      </c>
      <c r="Q5058">
        <v>0</v>
      </c>
      <c r="R5058" t="s">
        <v>47430</v>
      </c>
      <c r="S5058" t="s">
        <v>47549</v>
      </c>
      <c r="T5058" t="s">
        <v>49416</v>
      </c>
      <c r="U5058" t="s">
        <v>53974</v>
      </c>
      <c r="V5058" t="s">
        <v>63021</v>
      </c>
      <c r="W5058" t="s">
        <v>45058</v>
      </c>
      <c r="X5058" t="s">
        <v>47431</v>
      </c>
    </row>
    <row r="5059" spans="1:24">
      <c r="A5059">
        <f>HYPERLINK("https://www.philgeps.gov.ph/GEPSNONPILOT/Tender/SplashBidNoticeAbstractUI.aspx?menuIndex=3&amp;refID=7160520&amp;Result=3","7160520")</f>
        <v>0</v>
      </c>
      <c r="B5059" t="s">
        <v>868</v>
      </c>
      <c r="C5059" t="s">
        <v>8675</v>
      </c>
      <c r="D5059" t="s">
        <v>19073</v>
      </c>
      <c r="E5059" t="s">
        <v>22896</v>
      </c>
      <c r="F5059" t="s">
        <v>32831</v>
      </c>
      <c r="G5059" t="s">
        <v>32839</v>
      </c>
      <c r="H5059" t="s">
        <v>32848</v>
      </c>
      <c r="I5059" t="s">
        <v>7751</v>
      </c>
      <c r="J5059" t="s">
        <v>32976</v>
      </c>
      <c r="K5059" t="s">
        <v>42732</v>
      </c>
      <c r="M5059" t="s">
        <v>43902</v>
      </c>
      <c r="N5059" t="s">
        <v>47424</v>
      </c>
      <c r="O5059" t="s">
        <v>47425</v>
      </c>
      <c r="P5059">
        <v>0</v>
      </c>
      <c r="Q5059">
        <v>1</v>
      </c>
      <c r="R5059" t="s">
        <v>47430</v>
      </c>
      <c r="S5059" t="s">
        <v>47549</v>
      </c>
      <c r="T5059" t="s">
        <v>49123</v>
      </c>
      <c r="U5059" t="s">
        <v>53975</v>
      </c>
      <c r="W5059" t="s">
        <v>43902</v>
      </c>
      <c r="X5059" t="s">
        <v>47431</v>
      </c>
    </row>
    <row r="5060" spans="1:24">
      <c r="A5060">
        <f>HYPERLINK("https://www.philgeps.gov.ph/GEPSNONPILOT/Tender/SplashBidNoticeAbstractUI.aspx?menuIndex=3&amp;refID=7160450&amp;Result=3","7160450")</f>
        <v>0</v>
      </c>
      <c r="B5060" t="s">
        <v>478</v>
      </c>
      <c r="C5060" t="s">
        <v>8676</v>
      </c>
      <c r="D5060" t="s">
        <v>19043</v>
      </c>
      <c r="E5060" t="s">
        <v>23571</v>
      </c>
      <c r="F5060" t="s">
        <v>32831</v>
      </c>
      <c r="G5060" t="s">
        <v>32839</v>
      </c>
      <c r="H5060" t="s">
        <v>32849</v>
      </c>
      <c r="I5060" t="s">
        <v>4177</v>
      </c>
      <c r="J5060" t="s">
        <v>36229</v>
      </c>
      <c r="K5060" t="s">
        <v>42737</v>
      </c>
      <c r="M5060" t="s">
        <v>43483</v>
      </c>
      <c r="N5060" t="s">
        <v>47424</v>
      </c>
      <c r="O5060" t="s">
        <v>47425</v>
      </c>
      <c r="P5060">
        <v>0</v>
      </c>
      <c r="Q5060">
        <v>1</v>
      </c>
      <c r="R5060" t="s">
        <v>47430</v>
      </c>
      <c r="S5060" t="s">
        <v>47549</v>
      </c>
      <c r="T5060" t="s">
        <v>49140</v>
      </c>
      <c r="U5060" t="s">
        <v>53976</v>
      </c>
      <c r="W5060" t="s">
        <v>43483</v>
      </c>
      <c r="X5060" t="s">
        <v>47431</v>
      </c>
    </row>
    <row r="5061" spans="1:24">
      <c r="A5061">
        <f>HYPERLINK("https://www.philgeps.gov.ph/GEPSNONPILOT/Tender/SplashBidNoticeAbstractUI.aspx?menuIndex=3&amp;refID=7160480&amp;Result=3","7160480")</f>
        <v>0</v>
      </c>
      <c r="B5061" t="s">
        <v>876</v>
      </c>
      <c r="C5061" t="s">
        <v>8677</v>
      </c>
      <c r="D5061" t="s">
        <v>19033</v>
      </c>
      <c r="E5061" t="s">
        <v>23572</v>
      </c>
      <c r="F5061" t="s">
        <v>32831</v>
      </c>
      <c r="G5061" t="s">
        <v>32839</v>
      </c>
      <c r="H5061" t="s">
        <v>32848</v>
      </c>
      <c r="I5061" t="s">
        <v>7819</v>
      </c>
      <c r="J5061" t="s">
        <v>33118</v>
      </c>
      <c r="K5061" t="s">
        <v>42730</v>
      </c>
      <c r="M5061" t="s">
        <v>43910</v>
      </c>
      <c r="N5061" t="s">
        <v>47424</v>
      </c>
      <c r="O5061" t="s">
        <v>47425</v>
      </c>
      <c r="P5061">
        <v>0</v>
      </c>
      <c r="Q5061">
        <v>2</v>
      </c>
      <c r="R5061" t="s">
        <v>47430</v>
      </c>
      <c r="S5061" t="s">
        <v>47549</v>
      </c>
      <c r="T5061" t="s">
        <v>49325</v>
      </c>
      <c r="U5061" t="s">
        <v>53977</v>
      </c>
      <c r="W5061" t="s">
        <v>43910</v>
      </c>
      <c r="X5061" t="s">
        <v>47431</v>
      </c>
    </row>
    <row r="5062" spans="1:24">
      <c r="A5062">
        <f>HYPERLINK("https://www.philgeps.gov.ph/GEPSNONPILOT/Tender/SplashBidNoticeAbstractUI.aspx?menuIndex=3&amp;refID=7160484&amp;Result=3","7160484")</f>
        <v>0</v>
      </c>
      <c r="B5062" t="s">
        <v>886</v>
      </c>
      <c r="C5062" t="s">
        <v>8678</v>
      </c>
      <c r="E5062" t="s">
        <v>23573</v>
      </c>
      <c r="F5062" t="s">
        <v>32831</v>
      </c>
      <c r="G5062" t="s">
        <v>32838</v>
      </c>
      <c r="H5062" t="s">
        <v>32849</v>
      </c>
      <c r="I5062" t="s">
        <v>4177</v>
      </c>
      <c r="J5062" t="s">
        <v>36230</v>
      </c>
      <c r="K5062" t="s">
        <v>42732</v>
      </c>
      <c r="M5062" t="s">
        <v>45090</v>
      </c>
      <c r="N5062" t="s">
        <v>47424</v>
      </c>
      <c r="O5062" t="s">
        <v>47425</v>
      </c>
      <c r="P5062">
        <v>0</v>
      </c>
      <c r="Q5062">
        <v>1</v>
      </c>
      <c r="R5062" t="s">
        <v>47430</v>
      </c>
      <c r="S5062" t="s">
        <v>47549</v>
      </c>
      <c r="T5062" t="s">
        <v>49125</v>
      </c>
      <c r="U5062" t="s">
        <v>50084</v>
      </c>
      <c r="V5062" t="s">
        <v>63188</v>
      </c>
      <c r="W5062" t="s">
        <v>45090</v>
      </c>
      <c r="X5062" t="s">
        <v>47431</v>
      </c>
    </row>
    <row r="5063" spans="1:24">
      <c r="A5063">
        <f>HYPERLINK("https://www.philgeps.gov.ph/GEPSNONPILOT/Tender/SplashBidNoticeAbstractUI.aspx?menuIndex=3&amp;refID=7160516&amp;Result=3","7160516")</f>
        <v>0</v>
      </c>
      <c r="B5063" t="s">
        <v>92</v>
      </c>
      <c r="C5063" t="s">
        <v>8679</v>
      </c>
      <c r="D5063" t="s">
        <v>19051</v>
      </c>
      <c r="E5063" t="s">
        <v>19260</v>
      </c>
      <c r="F5063" t="s">
        <v>32831</v>
      </c>
      <c r="G5063" t="s">
        <v>32839</v>
      </c>
      <c r="H5063" t="s">
        <v>32849</v>
      </c>
      <c r="I5063" t="s">
        <v>4177</v>
      </c>
      <c r="J5063" t="s">
        <v>36231</v>
      </c>
      <c r="K5063" t="s">
        <v>42732</v>
      </c>
      <c r="M5063" t="s">
        <v>43089</v>
      </c>
      <c r="N5063" t="s">
        <v>47424</v>
      </c>
      <c r="O5063" t="s">
        <v>47425</v>
      </c>
      <c r="P5063">
        <v>0</v>
      </c>
      <c r="Q5063">
        <v>0</v>
      </c>
      <c r="R5063" t="s">
        <v>47430</v>
      </c>
      <c r="S5063" t="s">
        <v>47549</v>
      </c>
      <c r="T5063" t="s">
        <v>49181</v>
      </c>
      <c r="U5063" t="s">
        <v>53978</v>
      </c>
      <c r="V5063" t="s">
        <v>63189</v>
      </c>
      <c r="W5063" t="s">
        <v>43089</v>
      </c>
      <c r="X5063" t="s">
        <v>47431</v>
      </c>
    </row>
    <row r="5064" spans="1:24">
      <c r="A5064">
        <f>HYPERLINK("https://www.philgeps.gov.ph/GEPSNONPILOT/Tender/SplashBidNoticeAbstractUI.aspx?menuIndex=3&amp;refID=7160513&amp;Result=3","7160513")</f>
        <v>0</v>
      </c>
      <c r="B5064" t="s">
        <v>1869</v>
      </c>
      <c r="C5064" t="s">
        <v>8680</v>
      </c>
      <c r="D5064" t="s">
        <v>19087</v>
      </c>
      <c r="E5064" t="s">
        <v>23574</v>
      </c>
      <c r="F5064" t="s">
        <v>32831</v>
      </c>
      <c r="G5064" t="s">
        <v>32839</v>
      </c>
      <c r="H5064" t="s">
        <v>32849</v>
      </c>
      <c r="I5064" t="s">
        <v>32855</v>
      </c>
      <c r="J5064" t="s">
        <v>36232</v>
      </c>
      <c r="K5064" t="s">
        <v>42770</v>
      </c>
      <c r="M5064" t="s">
        <v>45012</v>
      </c>
      <c r="N5064" t="s">
        <v>47424</v>
      </c>
      <c r="O5064" t="s">
        <v>47425</v>
      </c>
      <c r="P5064">
        <v>0</v>
      </c>
      <c r="Q5064">
        <v>2</v>
      </c>
      <c r="R5064" t="s">
        <v>47430</v>
      </c>
      <c r="S5064" t="s">
        <v>47549</v>
      </c>
      <c r="T5064" t="s">
        <v>49160</v>
      </c>
      <c r="U5064" t="s">
        <v>53979</v>
      </c>
      <c r="W5064" t="s">
        <v>45012</v>
      </c>
      <c r="X5064" t="s">
        <v>47431</v>
      </c>
    </row>
    <row r="5065" spans="1:24">
      <c r="A5065">
        <f>HYPERLINK("https://www.philgeps.gov.ph/GEPSNONPILOT/Tender/SplashBidNoticeAbstractUI.aspx?menuIndex=3&amp;refID=7160512&amp;Result=3","7160512")</f>
        <v>0</v>
      </c>
      <c r="B5065" t="s">
        <v>1929</v>
      </c>
      <c r="C5065" t="s">
        <v>8681</v>
      </c>
      <c r="D5065" t="s">
        <v>19056</v>
      </c>
      <c r="E5065" t="s">
        <v>23575</v>
      </c>
      <c r="F5065" t="s">
        <v>32831</v>
      </c>
      <c r="G5065" t="s">
        <v>32839</v>
      </c>
      <c r="H5065" t="s">
        <v>32850</v>
      </c>
      <c r="I5065" t="s">
        <v>10888</v>
      </c>
      <c r="J5065" t="s">
        <v>36233</v>
      </c>
      <c r="K5065" t="s">
        <v>42727</v>
      </c>
      <c r="M5065" t="s">
        <v>45082</v>
      </c>
      <c r="N5065" t="s">
        <v>47424</v>
      </c>
      <c r="O5065" t="s">
        <v>47425</v>
      </c>
      <c r="P5065">
        <v>0</v>
      </c>
      <c r="Q5065">
        <v>0</v>
      </c>
      <c r="R5065" t="s">
        <v>47430</v>
      </c>
      <c r="S5065" t="s">
        <v>47549</v>
      </c>
      <c r="T5065" t="s">
        <v>49129</v>
      </c>
      <c r="U5065" t="s">
        <v>53980</v>
      </c>
      <c r="W5065" t="s">
        <v>45082</v>
      </c>
      <c r="X5065" t="s">
        <v>47431</v>
      </c>
    </row>
    <row r="5066" spans="1:24">
      <c r="A5066">
        <f>HYPERLINK("https://www.philgeps.gov.ph/GEPSNONPILOT/Tender/SplashBidNoticeAbstractUI.aspx?menuIndex=3&amp;refID=7160511&amp;Result=3","7160511")</f>
        <v>0</v>
      </c>
      <c r="B5066" t="s">
        <v>1936</v>
      </c>
      <c r="C5066" t="s">
        <v>8682</v>
      </c>
      <c r="D5066" t="s">
        <v>19095</v>
      </c>
      <c r="E5066" t="s">
        <v>23576</v>
      </c>
      <c r="F5066" t="s">
        <v>32831</v>
      </c>
      <c r="G5066" t="s">
        <v>32838</v>
      </c>
      <c r="H5066" t="s">
        <v>32848</v>
      </c>
      <c r="I5066" t="s">
        <v>32864</v>
      </c>
      <c r="J5066" t="s">
        <v>36234</v>
      </c>
      <c r="K5066" t="s">
        <v>42726</v>
      </c>
      <c r="M5066" t="s">
        <v>45091</v>
      </c>
      <c r="N5066" t="s">
        <v>47424</v>
      </c>
      <c r="O5066" t="s">
        <v>47425</v>
      </c>
      <c r="P5066">
        <v>0</v>
      </c>
      <c r="Q5066">
        <v>1</v>
      </c>
      <c r="R5066" t="s">
        <v>47430</v>
      </c>
      <c r="S5066" t="s">
        <v>47549</v>
      </c>
      <c r="T5066" t="s">
        <v>49166</v>
      </c>
      <c r="U5066" t="s">
        <v>53981</v>
      </c>
      <c r="W5066" t="s">
        <v>45091</v>
      </c>
      <c r="X5066" t="s">
        <v>47431</v>
      </c>
    </row>
    <row r="5067" spans="1:24">
      <c r="A5067">
        <f>HYPERLINK("https://www.philgeps.gov.ph/GEPSNONPILOT/Tender/SplashBidNoticeAbstractUI.aspx?menuIndex=3&amp;refID=7160510&amp;Result=3","7160510")</f>
        <v>0</v>
      </c>
      <c r="B5067" t="s">
        <v>1781</v>
      </c>
      <c r="C5067" t="s">
        <v>8683</v>
      </c>
      <c r="D5067" t="s">
        <v>19026</v>
      </c>
      <c r="E5067" t="s">
        <v>23577</v>
      </c>
      <c r="F5067" t="s">
        <v>32831</v>
      </c>
      <c r="G5067" t="s">
        <v>32838</v>
      </c>
      <c r="H5067" t="s">
        <v>32848</v>
      </c>
      <c r="I5067" t="s">
        <v>32912</v>
      </c>
      <c r="J5067" t="s">
        <v>34917</v>
      </c>
      <c r="K5067" t="s">
        <v>42732</v>
      </c>
      <c r="M5067" t="s">
        <v>44907</v>
      </c>
      <c r="N5067" t="s">
        <v>47424</v>
      </c>
      <c r="O5067" t="s">
        <v>47425</v>
      </c>
      <c r="P5067">
        <v>0</v>
      </c>
      <c r="Q5067">
        <v>4</v>
      </c>
      <c r="R5067" t="s">
        <v>47430</v>
      </c>
      <c r="S5067" t="s">
        <v>47549</v>
      </c>
      <c r="T5067" t="s">
        <v>49417</v>
      </c>
      <c r="U5067" t="s">
        <v>53982</v>
      </c>
      <c r="W5067" t="s">
        <v>44907</v>
      </c>
      <c r="X5067" t="s">
        <v>47431</v>
      </c>
    </row>
    <row r="5068" spans="1:24">
      <c r="A5068">
        <f>HYPERLINK("https://www.philgeps.gov.ph/GEPSNONPILOT/Tender/SplashBidNoticeAbstractUI.aspx?menuIndex=3&amp;refID=7160509&amp;Result=3","7160509")</f>
        <v>0</v>
      </c>
      <c r="B5068" t="s">
        <v>920</v>
      </c>
      <c r="C5068" t="s">
        <v>4967</v>
      </c>
      <c r="E5068" t="s">
        <v>23578</v>
      </c>
      <c r="F5068" t="s">
        <v>32831</v>
      </c>
      <c r="G5068" t="s">
        <v>32838</v>
      </c>
      <c r="H5068" t="s">
        <v>32848</v>
      </c>
      <c r="I5068" t="s">
        <v>4776</v>
      </c>
      <c r="J5068" t="s">
        <v>33657</v>
      </c>
      <c r="K5068" t="s">
        <v>42732</v>
      </c>
      <c r="M5068" t="s">
        <v>43961</v>
      </c>
      <c r="N5068" t="s">
        <v>47424</v>
      </c>
      <c r="O5068" t="s">
        <v>47425</v>
      </c>
      <c r="P5068">
        <v>0</v>
      </c>
      <c r="Q5068">
        <v>2</v>
      </c>
      <c r="R5068" t="s">
        <v>47430</v>
      </c>
      <c r="S5068" t="s">
        <v>47549</v>
      </c>
      <c r="T5068" t="s">
        <v>49108</v>
      </c>
      <c r="U5068" t="s">
        <v>51396</v>
      </c>
      <c r="W5068" t="s">
        <v>43961</v>
      </c>
      <c r="X5068" t="s">
        <v>47431</v>
      </c>
    </row>
    <row r="5069" spans="1:24">
      <c r="A5069">
        <f>HYPERLINK("https://www.philgeps.gov.ph/GEPSNONPILOT/Tender/SplashBidNoticeAbstractUI.aspx?menuIndex=3&amp;refID=7160508&amp;Result=3","7160508")</f>
        <v>0</v>
      </c>
      <c r="B5069" t="s">
        <v>1937</v>
      </c>
      <c r="C5069" t="s">
        <v>8684</v>
      </c>
      <c r="D5069" t="s">
        <v>19093</v>
      </c>
      <c r="E5069" t="s">
        <v>23579</v>
      </c>
      <c r="F5069" t="s">
        <v>32831</v>
      </c>
      <c r="G5069" t="s">
        <v>32839</v>
      </c>
      <c r="H5069" t="s">
        <v>32849</v>
      </c>
      <c r="I5069" t="s">
        <v>4177</v>
      </c>
      <c r="J5069" t="s">
        <v>36235</v>
      </c>
      <c r="K5069" t="s">
        <v>42761</v>
      </c>
      <c r="M5069" t="s">
        <v>45092</v>
      </c>
      <c r="N5069" t="s">
        <v>47424</v>
      </c>
      <c r="O5069" t="s">
        <v>47425</v>
      </c>
      <c r="P5069">
        <v>0</v>
      </c>
      <c r="Q5069">
        <v>0</v>
      </c>
      <c r="R5069" t="s">
        <v>47430</v>
      </c>
      <c r="S5069" t="s">
        <v>47549</v>
      </c>
      <c r="T5069" t="s">
        <v>49319</v>
      </c>
      <c r="U5069" t="s">
        <v>53983</v>
      </c>
      <c r="V5069" t="s">
        <v>63190</v>
      </c>
      <c r="W5069" t="s">
        <v>45092</v>
      </c>
      <c r="X5069" t="s">
        <v>47431</v>
      </c>
    </row>
    <row r="5070" spans="1:24">
      <c r="A5070">
        <f>HYPERLINK("https://www.philgeps.gov.ph/GEPSNONPILOT/Tender/SplashBidNoticeAbstractUI.aspx?menuIndex=3&amp;refID=7160519&amp;Result=3","7160519")</f>
        <v>0</v>
      </c>
      <c r="B5070" t="s">
        <v>1938</v>
      </c>
      <c r="C5070" t="s">
        <v>8394</v>
      </c>
      <c r="D5070" t="s">
        <v>19017</v>
      </c>
      <c r="E5070" t="s">
        <v>23580</v>
      </c>
      <c r="F5070" t="s">
        <v>32831</v>
      </c>
      <c r="G5070" t="s">
        <v>32840</v>
      </c>
      <c r="H5070" t="s">
        <v>32848</v>
      </c>
      <c r="I5070" t="s">
        <v>32863</v>
      </c>
      <c r="J5070" t="s">
        <v>33078</v>
      </c>
      <c r="K5070" t="s">
        <v>42748</v>
      </c>
      <c r="M5070" t="s">
        <v>45093</v>
      </c>
      <c r="N5070" t="s">
        <v>47424</v>
      </c>
      <c r="O5070" t="s">
        <v>47425</v>
      </c>
      <c r="P5070">
        <v>0</v>
      </c>
      <c r="Q5070">
        <v>5</v>
      </c>
      <c r="R5070" t="s">
        <v>47430</v>
      </c>
      <c r="S5070" t="s">
        <v>47549</v>
      </c>
      <c r="T5070" t="s">
        <v>49116</v>
      </c>
      <c r="U5070" t="s">
        <v>53984</v>
      </c>
      <c r="W5070" t="s">
        <v>45093</v>
      </c>
      <c r="X5070" t="s">
        <v>47431</v>
      </c>
    </row>
    <row r="5071" spans="1:24">
      <c r="A5071">
        <f>HYPERLINK("https://www.philgeps.gov.ph/GEPSNONPILOT/Tender/SplashBidNoticeAbstractUI.aspx?menuIndex=3&amp;refID=7160505&amp;Result=3","7160505")</f>
        <v>0</v>
      </c>
      <c r="B5071" t="s">
        <v>1927</v>
      </c>
      <c r="C5071" t="s">
        <v>8685</v>
      </c>
      <c r="D5071" t="s">
        <v>19018</v>
      </c>
      <c r="E5071" t="s">
        <v>23581</v>
      </c>
      <c r="F5071" t="s">
        <v>32831</v>
      </c>
      <c r="G5071" t="s">
        <v>32838</v>
      </c>
      <c r="H5071" t="s">
        <v>32848</v>
      </c>
      <c r="I5071" t="s">
        <v>7416</v>
      </c>
      <c r="J5071" t="s">
        <v>36236</v>
      </c>
      <c r="K5071" t="s">
        <v>42727</v>
      </c>
      <c r="M5071" t="s">
        <v>45080</v>
      </c>
      <c r="N5071" t="s">
        <v>47424</v>
      </c>
      <c r="O5071" t="s">
        <v>47425</v>
      </c>
      <c r="P5071">
        <v>0</v>
      </c>
      <c r="Q5071">
        <v>1</v>
      </c>
      <c r="R5071" t="s">
        <v>47430</v>
      </c>
      <c r="S5071" t="s">
        <v>47549</v>
      </c>
      <c r="T5071" t="s">
        <v>49056</v>
      </c>
      <c r="U5071" t="s">
        <v>53951</v>
      </c>
      <c r="W5071" t="s">
        <v>45080</v>
      </c>
      <c r="X5071" t="s">
        <v>47431</v>
      </c>
    </row>
    <row r="5072" spans="1:24">
      <c r="A5072">
        <f>HYPERLINK("https://www.philgeps.gov.ph/GEPSNONPILOT/Tender/SplashBidNoticeAbstractUI.aspx?menuIndex=3&amp;refID=7160518&amp;Result=3","7160518")</f>
        <v>0</v>
      </c>
      <c r="B5072" t="s">
        <v>1657</v>
      </c>
      <c r="C5072" t="s">
        <v>8686</v>
      </c>
      <c r="D5072" t="s">
        <v>19020</v>
      </c>
      <c r="E5072" t="s">
        <v>23582</v>
      </c>
      <c r="F5072" t="s">
        <v>32831</v>
      </c>
      <c r="G5072" t="s">
        <v>32838</v>
      </c>
      <c r="H5072" t="s">
        <v>32848</v>
      </c>
      <c r="I5072" t="s">
        <v>4776</v>
      </c>
      <c r="J5072" t="s">
        <v>33133</v>
      </c>
      <c r="K5072" t="s">
        <v>42730</v>
      </c>
      <c r="M5072" t="s">
        <v>44774</v>
      </c>
      <c r="N5072" t="s">
        <v>47424</v>
      </c>
      <c r="O5072" t="s">
        <v>47425</v>
      </c>
      <c r="P5072">
        <v>0</v>
      </c>
      <c r="Q5072">
        <v>0</v>
      </c>
      <c r="R5072" t="s">
        <v>47430</v>
      </c>
      <c r="S5072" t="s">
        <v>47549</v>
      </c>
      <c r="T5072" t="s">
        <v>49394</v>
      </c>
      <c r="U5072" t="s">
        <v>53985</v>
      </c>
      <c r="V5072" t="s">
        <v>63131</v>
      </c>
      <c r="W5072" t="s">
        <v>64487</v>
      </c>
      <c r="X5072" t="s">
        <v>47431</v>
      </c>
    </row>
    <row r="5073" spans="1:24">
      <c r="A5073">
        <f>HYPERLINK("https://www.philgeps.gov.ph/GEPSNONPILOT/Tender/SplashBidNoticeAbstractUI.aspx?menuIndex=3&amp;refID=7160517&amp;Result=3","7160517")</f>
        <v>0</v>
      </c>
      <c r="B5073" t="s">
        <v>1895</v>
      </c>
      <c r="C5073" t="s">
        <v>8687</v>
      </c>
      <c r="E5073" t="s">
        <v>23583</v>
      </c>
      <c r="F5073" t="s">
        <v>32831</v>
      </c>
      <c r="G5073" t="s">
        <v>32838</v>
      </c>
      <c r="H5073" t="s">
        <v>32848</v>
      </c>
      <c r="I5073" t="s">
        <v>5379</v>
      </c>
      <c r="J5073" t="s">
        <v>36237</v>
      </c>
      <c r="K5073" t="s">
        <v>42732</v>
      </c>
      <c r="M5073" t="s">
        <v>45042</v>
      </c>
      <c r="N5073" t="s">
        <v>47424</v>
      </c>
      <c r="O5073" t="s">
        <v>47425</v>
      </c>
      <c r="P5073">
        <v>0</v>
      </c>
      <c r="Q5073">
        <v>0</v>
      </c>
      <c r="R5073" t="s">
        <v>47430</v>
      </c>
      <c r="S5073" t="s">
        <v>47549</v>
      </c>
      <c r="T5073" t="s">
        <v>49237</v>
      </c>
      <c r="U5073" t="s">
        <v>53986</v>
      </c>
      <c r="W5073" t="s">
        <v>45042</v>
      </c>
      <c r="X5073" t="s">
        <v>47431</v>
      </c>
    </row>
    <row r="5074" spans="1:24">
      <c r="A5074">
        <f>HYPERLINK("https://www.philgeps.gov.ph/GEPSNONPILOT/Tender/SplashBidNoticeAbstractUI.aspx?menuIndex=3&amp;refID=7160499&amp;Result=3","7160499")</f>
        <v>0</v>
      </c>
      <c r="B5074" t="s">
        <v>1919</v>
      </c>
      <c r="C5074" t="s">
        <v>8688</v>
      </c>
      <c r="D5074" t="s">
        <v>19073</v>
      </c>
      <c r="E5074" t="s">
        <v>21509</v>
      </c>
      <c r="F5074" t="s">
        <v>32831</v>
      </c>
      <c r="G5074" t="s">
        <v>32839</v>
      </c>
      <c r="H5074" t="s">
        <v>32848</v>
      </c>
      <c r="I5074" t="s">
        <v>32854</v>
      </c>
      <c r="J5074" t="s">
        <v>36238</v>
      </c>
      <c r="K5074" t="s">
        <v>42731</v>
      </c>
      <c r="M5074" t="s">
        <v>45071</v>
      </c>
      <c r="N5074" t="s">
        <v>47424</v>
      </c>
      <c r="O5074" t="s">
        <v>47425</v>
      </c>
      <c r="P5074">
        <v>0</v>
      </c>
      <c r="Q5074">
        <v>0</v>
      </c>
      <c r="R5074" t="s">
        <v>47430</v>
      </c>
      <c r="S5074" t="s">
        <v>47549</v>
      </c>
      <c r="T5074" t="s">
        <v>49119</v>
      </c>
      <c r="U5074" t="s">
        <v>53987</v>
      </c>
      <c r="W5074" t="s">
        <v>45071</v>
      </c>
      <c r="X5074" t="s">
        <v>47431</v>
      </c>
    </row>
    <row r="5075" spans="1:24">
      <c r="A5075">
        <f>HYPERLINK("https://www.philgeps.gov.ph/GEPSNONPILOT/Tender/SplashBidNoticeAbstractUI.aspx?menuIndex=3&amp;refID=7160498&amp;Result=3","7160498")</f>
        <v>0</v>
      </c>
      <c r="B5075" t="s">
        <v>962</v>
      </c>
      <c r="C5075" t="s">
        <v>8689</v>
      </c>
      <c r="E5075" t="s">
        <v>23584</v>
      </c>
      <c r="F5075" t="s">
        <v>32831</v>
      </c>
      <c r="G5075" t="s">
        <v>32838</v>
      </c>
      <c r="H5075" t="s">
        <v>32848</v>
      </c>
      <c r="I5075" t="s">
        <v>32860</v>
      </c>
      <c r="J5075" t="s">
        <v>33084</v>
      </c>
      <c r="K5075" t="s">
        <v>42732</v>
      </c>
      <c r="M5075" t="s">
        <v>44008</v>
      </c>
      <c r="N5075" t="s">
        <v>47424</v>
      </c>
      <c r="O5075" t="s">
        <v>47425</v>
      </c>
      <c r="P5075">
        <v>0</v>
      </c>
      <c r="Q5075">
        <v>1</v>
      </c>
      <c r="R5075" t="s">
        <v>47430</v>
      </c>
      <c r="S5075" t="s">
        <v>47549</v>
      </c>
      <c r="T5075" t="s">
        <v>49056</v>
      </c>
      <c r="U5075" t="s">
        <v>53988</v>
      </c>
      <c r="W5075" t="s">
        <v>44008</v>
      </c>
      <c r="X5075" t="s">
        <v>47431</v>
      </c>
    </row>
    <row r="5076" spans="1:24">
      <c r="A5076">
        <f>HYPERLINK("https://www.philgeps.gov.ph/GEPSNONPILOT/Tender/SplashBidNoticeAbstractUI.aspx?menuIndex=3&amp;refID=7160545&amp;Result=3","7160545")</f>
        <v>0</v>
      </c>
      <c r="B5076" t="s">
        <v>1939</v>
      </c>
      <c r="C5076" t="s">
        <v>8690</v>
      </c>
      <c r="D5076" t="s">
        <v>19067</v>
      </c>
      <c r="E5076" t="s">
        <v>23585</v>
      </c>
      <c r="F5076" t="s">
        <v>32831</v>
      </c>
      <c r="G5076" t="s">
        <v>32840</v>
      </c>
      <c r="H5076" t="s">
        <v>32848</v>
      </c>
      <c r="I5076" t="s">
        <v>7416</v>
      </c>
      <c r="J5076" t="s">
        <v>33087</v>
      </c>
      <c r="K5076" t="s">
        <v>42745</v>
      </c>
      <c r="M5076" t="s">
        <v>45094</v>
      </c>
      <c r="N5076" t="s">
        <v>47424</v>
      </c>
      <c r="O5076" t="s">
        <v>47425</v>
      </c>
      <c r="P5076">
        <v>0</v>
      </c>
      <c r="Q5076">
        <v>0</v>
      </c>
      <c r="R5076" t="s">
        <v>47430</v>
      </c>
      <c r="S5076" t="s">
        <v>47549</v>
      </c>
      <c r="T5076" t="s">
        <v>49212</v>
      </c>
      <c r="U5076" t="s">
        <v>51543</v>
      </c>
      <c r="W5076" t="s">
        <v>45094</v>
      </c>
      <c r="X5076" t="s">
        <v>47431</v>
      </c>
    </row>
    <row r="5077" spans="1:24">
      <c r="A5077">
        <f>HYPERLINK("https://www.philgeps.gov.ph/GEPSNONPILOT/Tender/SplashBidNoticeAbstractUI.aspx?menuIndex=3&amp;refID=7160504&amp;Result=3","7160504")</f>
        <v>0</v>
      </c>
      <c r="B5077" t="s">
        <v>1940</v>
      </c>
      <c r="C5077" t="s">
        <v>5029</v>
      </c>
      <c r="D5077" t="s">
        <v>19085</v>
      </c>
      <c r="E5077" t="s">
        <v>23586</v>
      </c>
      <c r="F5077" t="s">
        <v>32831</v>
      </c>
      <c r="G5077" t="s">
        <v>32840</v>
      </c>
      <c r="H5077" t="s">
        <v>32848</v>
      </c>
      <c r="I5077" t="s">
        <v>9577</v>
      </c>
      <c r="J5077" t="s">
        <v>36239</v>
      </c>
      <c r="K5077" t="s">
        <v>42726</v>
      </c>
      <c r="M5077" t="s">
        <v>45095</v>
      </c>
      <c r="N5077" t="s">
        <v>47424</v>
      </c>
      <c r="O5077" t="s">
        <v>47425</v>
      </c>
      <c r="P5077">
        <v>0</v>
      </c>
      <c r="Q5077">
        <v>0</v>
      </c>
      <c r="R5077" t="s">
        <v>47430</v>
      </c>
      <c r="S5077" t="s">
        <v>47549</v>
      </c>
      <c r="T5077" t="s">
        <v>49123</v>
      </c>
      <c r="U5077" t="s">
        <v>53989</v>
      </c>
      <c r="W5077" t="s">
        <v>45095</v>
      </c>
      <c r="X5077" t="s">
        <v>47431</v>
      </c>
    </row>
    <row r="5078" spans="1:24">
      <c r="A5078">
        <f>HYPERLINK("https://www.philgeps.gov.ph/GEPSNONPILOT/Tender/SplashBidNoticeAbstractUI.aspx?menuIndex=3&amp;refID=7160502&amp;Result=3","7160502")</f>
        <v>0</v>
      </c>
      <c r="B5078" t="s">
        <v>1322</v>
      </c>
      <c r="C5078" t="s">
        <v>8691</v>
      </c>
      <c r="D5078" t="s">
        <v>19068</v>
      </c>
      <c r="E5078" t="s">
        <v>23587</v>
      </c>
      <c r="F5078" t="s">
        <v>32831</v>
      </c>
      <c r="G5078" t="s">
        <v>32839</v>
      </c>
      <c r="H5078" t="s">
        <v>32848</v>
      </c>
      <c r="I5078" t="s">
        <v>32925</v>
      </c>
      <c r="J5078" t="s">
        <v>33193</v>
      </c>
      <c r="K5078" t="s">
        <v>42730</v>
      </c>
      <c r="M5078" t="s">
        <v>44393</v>
      </c>
      <c r="N5078" t="s">
        <v>47424</v>
      </c>
      <c r="O5078" t="s">
        <v>47425</v>
      </c>
      <c r="P5078">
        <v>0</v>
      </c>
      <c r="Q5078">
        <v>6</v>
      </c>
      <c r="R5078" t="s">
        <v>47430</v>
      </c>
      <c r="S5078" t="s">
        <v>47549</v>
      </c>
      <c r="T5078" t="s">
        <v>49106</v>
      </c>
      <c r="U5078" t="s">
        <v>53990</v>
      </c>
      <c r="V5078" t="s">
        <v>63180</v>
      </c>
      <c r="W5078" t="s">
        <v>44393</v>
      </c>
      <c r="X5078" t="s">
        <v>47431</v>
      </c>
    </row>
    <row r="5079" spans="1:24">
      <c r="A5079">
        <f>HYPERLINK("https://www.philgeps.gov.ph/GEPSNONPILOT/Tender/SplashBidNoticeAbstractUI.aspx?menuIndex=3&amp;refID=7160556&amp;Result=3","7160556")</f>
        <v>0</v>
      </c>
      <c r="B5079" t="s">
        <v>1941</v>
      </c>
      <c r="C5079" t="s">
        <v>8692</v>
      </c>
      <c r="D5079" t="s">
        <v>19095</v>
      </c>
      <c r="E5079" t="s">
        <v>23588</v>
      </c>
      <c r="F5079" t="s">
        <v>32833</v>
      </c>
      <c r="G5079" t="s">
        <v>32839</v>
      </c>
      <c r="H5079" t="s">
        <v>32848</v>
      </c>
      <c r="I5079" t="s">
        <v>32854</v>
      </c>
      <c r="J5079" t="s">
        <v>35751</v>
      </c>
      <c r="K5079" t="s">
        <v>42727</v>
      </c>
      <c r="M5079" t="s">
        <v>45096</v>
      </c>
      <c r="N5079" t="s">
        <v>47424</v>
      </c>
      <c r="O5079" t="s">
        <v>47425</v>
      </c>
      <c r="P5079">
        <v>0</v>
      </c>
      <c r="Q5079">
        <v>2</v>
      </c>
      <c r="R5079" t="s">
        <v>47430</v>
      </c>
      <c r="S5079" t="s">
        <v>47549</v>
      </c>
      <c r="T5079" t="s">
        <v>49173</v>
      </c>
      <c r="U5079" t="s">
        <v>53991</v>
      </c>
      <c r="W5079" t="s">
        <v>45096</v>
      </c>
      <c r="X5079" t="s">
        <v>47431</v>
      </c>
    </row>
    <row r="5080" spans="1:24">
      <c r="A5080">
        <f>HYPERLINK("https://www.philgeps.gov.ph/GEPSNONPILOT/Tender/SplashBidNoticeAbstractUI.aspx?menuIndex=3&amp;refID=7160515&amp;Result=3","7160515")</f>
        <v>0</v>
      </c>
      <c r="B5080" t="s">
        <v>1320</v>
      </c>
      <c r="C5080" t="s">
        <v>8693</v>
      </c>
      <c r="D5080" t="s">
        <v>19085</v>
      </c>
      <c r="E5080" t="s">
        <v>23589</v>
      </c>
      <c r="F5080" t="s">
        <v>32831</v>
      </c>
      <c r="G5080" t="s">
        <v>32838</v>
      </c>
      <c r="H5080" t="s">
        <v>32848</v>
      </c>
      <c r="I5080" t="s">
        <v>32862</v>
      </c>
      <c r="J5080" t="s">
        <v>33041</v>
      </c>
      <c r="K5080" t="s">
        <v>42731</v>
      </c>
      <c r="M5080" t="s">
        <v>44391</v>
      </c>
      <c r="N5080" t="s">
        <v>47424</v>
      </c>
      <c r="O5080" t="s">
        <v>47425</v>
      </c>
      <c r="P5080">
        <v>0</v>
      </c>
      <c r="Q5080">
        <v>0</v>
      </c>
      <c r="R5080" t="s">
        <v>47430</v>
      </c>
      <c r="S5080" t="s">
        <v>47549</v>
      </c>
      <c r="T5080" t="s">
        <v>49073</v>
      </c>
      <c r="U5080" t="s">
        <v>53992</v>
      </c>
      <c r="W5080" t="s">
        <v>44391</v>
      </c>
      <c r="X5080" t="s">
        <v>47431</v>
      </c>
    </row>
    <row r="5081" spans="1:24">
      <c r="A5081">
        <f>HYPERLINK("https://www.philgeps.gov.ph/GEPSNONPILOT/Tender/SplashBidNoticeAbstractUI.aspx?menuIndex=3&amp;refID=7160555&amp;Result=3","7160555")</f>
        <v>0</v>
      </c>
      <c r="B5081" t="s">
        <v>1927</v>
      </c>
      <c r="C5081" t="s">
        <v>8694</v>
      </c>
      <c r="D5081" t="s">
        <v>19018</v>
      </c>
      <c r="E5081" t="s">
        <v>23590</v>
      </c>
      <c r="F5081" t="s">
        <v>32831</v>
      </c>
      <c r="G5081" t="s">
        <v>32838</v>
      </c>
      <c r="H5081" t="s">
        <v>32848</v>
      </c>
      <c r="I5081" t="s">
        <v>7416</v>
      </c>
      <c r="J5081" t="s">
        <v>36240</v>
      </c>
      <c r="K5081" t="s">
        <v>42727</v>
      </c>
      <c r="M5081" t="s">
        <v>45080</v>
      </c>
      <c r="N5081" t="s">
        <v>47424</v>
      </c>
      <c r="O5081" t="s">
        <v>47425</v>
      </c>
      <c r="P5081">
        <v>0</v>
      </c>
      <c r="Q5081">
        <v>1</v>
      </c>
      <c r="R5081" t="s">
        <v>47430</v>
      </c>
      <c r="S5081" t="s">
        <v>47549</v>
      </c>
      <c r="T5081" t="s">
        <v>49056</v>
      </c>
      <c r="U5081" t="s">
        <v>53951</v>
      </c>
      <c r="W5081" t="s">
        <v>45080</v>
      </c>
      <c r="X5081" t="s">
        <v>47431</v>
      </c>
    </row>
    <row r="5082" spans="1:24">
      <c r="A5082">
        <f>HYPERLINK("https://www.philgeps.gov.ph/GEPSNONPILOT/Tender/SplashBidNoticeAbstractUI.aspx?menuIndex=3&amp;refID=7160554&amp;Result=3","7160554")</f>
        <v>0</v>
      </c>
      <c r="B5082" t="s">
        <v>1886</v>
      </c>
      <c r="C5082" t="s">
        <v>8695</v>
      </c>
      <c r="D5082" t="s">
        <v>19062</v>
      </c>
      <c r="E5082" t="s">
        <v>23591</v>
      </c>
      <c r="F5082" t="s">
        <v>32831</v>
      </c>
      <c r="G5082" t="s">
        <v>32841</v>
      </c>
      <c r="H5082" t="s">
        <v>32848</v>
      </c>
      <c r="I5082" t="s">
        <v>4222</v>
      </c>
      <c r="J5082" t="s">
        <v>36241</v>
      </c>
      <c r="K5082" t="s">
        <v>42731</v>
      </c>
      <c r="M5082" t="s">
        <v>45031</v>
      </c>
      <c r="N5082" t="s">
        <v>47424</v>
      </c>
      <c r="O5082" t="s">
        <v>47425</v>
      </c>
      <c r="P5082">
        <v>0</v>
      </c>
      <c r="Q5082">
        <v>0</v>
      </c>
      <c r="R5082" t="s">
        <v>47430</v>
      </c>
      <c r="S5082" t="s">
        <v>47549</v>
      </c>
      <c r="T5082" t="s">
        <v>49089</v>
      </c>
      <c r="U5082" t="s">
        <v>53993</v>
      </c>
      <c r="V5082" t="s">
        <v>63191</v>
      </c>
      <c r="W5082" t="s">
        <v>45031</v>
      </c>
      <c r="X5082" t="s">
        <v>47431</v>
      </c>
    </row>
    <row r="5083" spans="1:24">
      <c r="A5083">
        <f>HYPERLINK("https://www.philgeps.gov.ph/GEPSNONPILOT/Tender/SplashBidNoticeAbstractUI.aspx?menuIndex=3&amp;refID=7160497&amp;Result=3","7160497")</f>
        <v>0</v>
      </c>
      <c r="B5083" t="s">
        <v>1942</v>
      </c>
      <c r="C5083" t="s">
        <v>8696</v>
      </c>
      <c r="D5083" t="s">
        <v>19080</v>
      </c>
      <c r="E5083" t="s">
        <v>23592</v>
      </c>
      <c r="F5083" t="s">
        <v>32831</v>
      </c>
      <c r="G5083" t="s">
        <v>32839</v>
      </c>
      <c r="H5083" t="s">
        <v>32848</v>
      </c>
      <c r="I5083" t="s">
        <v>32860</v>
      </c>
      <c r="J5083" t="s">
        <v>36242</v>
      </c>
      <c r="K5083" t="s">
        <v>42730</v>
      </c>
      <c r="M5083" t="s">
        <v>45097</v>
      </c>
      <c r="N5083" t="s">
        <v>47424</v>
      </c>
      <c r="O5083" t="s">
        <v>47425</v>
      </c>
      <c r="P5083">
        <v>0</v>
      </c>
      <c r="Q5083">
        <v>5</v>
      </c>
      <c r="R5083" t="s">
        <v>47430</v>
      </c>
      <c r="S5083" t="s">
        <v>47549</v>
      </c>
      <c r="T5083" t="s">
        <v>49319</v>
      </c>
      <c r="U5083" t="s">
        <v>53994</v>
      </c>
      <c r="W5083" t="s">
        <v>45097</v>
      </c>
      <c r="X5083" t="s">
        <v>47431</v>
      </c>
    </row>
    <row r="5084" spans="1:24">
      <c r="A5084">
        <f>HYPERLINK("https://www.philgeps.gov.ph/GEPSNONPILOT/Tender/SplashBidNoticeAbstractUI.aspx?menuIndex=3&amp;refID=7160550&amp;Result=3","7160550")</f>
        <v>0</v>
      </c>
      <c r="B5084" t="s">
        <v>1629</v>
      </c>
      <c r="C5084" t="s">
        <v>8697</v>
      </c>
      <c r="D5084" t="s">
        <v>19021</v>
      </c>
      <c r="E5084" t="s">
        <v>23593</v>
      </c>
      <c r="F5084" t="s">
        <v>32831</v>
      </c>
      <c r="G5084" t="s">
        <v>32840</v>
      </c>
      <c r="H5084" t="s">
        <v>32848</v>
      </c>
      <c r="I5084" t="s">
        <v>7416</v>
      </c>
      <c r="J5084" t="s">
        <v>32979</v>
      </c>
      <c r="K5084" t="s">
        <v>42732</v>
      </c>
      <c r="M5084" t="s">
        <v>44745</v>
      </c>
      <c r="N5084" t="s">
        <v>47424</v>
      </c>
      <c r="O5084" t="s">
        <v>47425</v>
      </c>
      <c r="P5084">
        <v>0</v>
      </c>
      <c r="Q5084">
        <v>1</v>
      </c>
      <c r="R5084" t="s">
        <v>47430</v>
      </c>
      <c r="S5084" t="s">
        <v>47549</v>
      </c>
      <c r="T5084" t="s">
        <v>49107</v>
      </c>
      <c r="U5084" t="s">
        <v>53995</v>
      </c>
      <c r="V5084" t="s">
        <v>63069</v>
      </c>
      <c r="W5084" t="s">
        <v>44745</v>
      </c>
      <c r="X5084" t="s">
        <v>47431</v>
      </c>
    </row>
    <row r="5085" spans="1:24">
      <c r="A5085">
        <f>HYPERLINK("https://www.philgeps.gov.ph/GEPSNONPILOT/Tender/SplashBidNoticeAbstractUI.aspx?menuIndex=3&amp;refID=7160479&amp;Result=3","7160479")</f>
        <v>0</v>
      </c>
      <c r="B5085" t="s">
        <v>1927</v>
      </c>
      <c r="C5085" t="s">
        <v>8698</v>
      </c>
      <c r="D5085" t="s">
        <v>19018</v>
      </c>
      <c r="E5085" t="s">
        <v>23594</v>
      </c>
      <c r="F5085" t="s">
        <v>32831</v>
      </c>
      <c r="G5085" t="s">
        <v>32838</v>
      </c>
      <c r="H5085" t="s">
        <v>32848</v>
      </c>
      <c r="I5085" t="s">
        <v>7751</v>
      </c>
      <c r="J5085" t="s">
        <v>36243</v>
      </c>
      <c r="K5085" t="s">
        <v>42727</v>
      </c>
      <c r="M5085" t="s">
        <v>45080</v>
      </c>
      <c r="N5085" t="s">
        <v>47424</v>
      </c>
      <c r="O5085" t="s">
        <v>47425</v>
      </c>
      <c r="P5085">
        <v>0</v>
      </c>
      <c r="Q5085">
        <v>0</v>
      </c>
      <c r="R5085" t="s">
        <v>47430</v>
      </c>
      <c r="S5085" t="s">
        <v>47549</v>
      </c>
      <c r="T5085" t="s">
        <v>49056</v>
      </c>
      <c r="U5085" t="s">
        <v>53951</v>
      </c>
      <c r="W5085" t="s">
        <v>45080</v>
      </c>
      <c r="X5085" t="s">
        <v>47431</v>
      </c>
    </row>
    <row r="5086" spans="1:24">
      <c r="A5086">
        <f>HYPERLINK("https://www.philgeps.gov.ph/GEPSNONPILOT/Tender/SplashBidNoticeAbstractUI.aspx?menuIndex=3&amp;refID=7160542&amp;Result=3","7160542")</f>
        <v>0</v>
      </c>
      <c r="B5086" t="s">
        <v>529</v>
      </c>
      <c r="C5086" t="s">
        <v>8699</v>
      </c>
      <c r="D5086" t="s">
        <v>19078</v>
      </c>
      <c r="E5086" t="s">
        <v>23595</v>
      </c>
      <c r="F5086" t="s">
        <v>32831</v>
      </c>
      <c r="G5086" t="s">
        <v>32839</v>
      </c>
      <c r="H5086" t="s">
        <v>32848</v>
      </c>
      <c r="I5086" t="s">
        <v>32864</v>
      </c>
      <c r="J5086" t="s">
        <v>36244</v>
      </c>
      <c r="K5086" t="s">
        <v>42747</v>
      </c>
      <c r="M5086" t="s">
        <v>43535</v>
      </c>
      <c r="N5086" t="s">
        <v>47424</v>
      </c>
      <c r="O5086" t="s">
        <v>47425</v>
      </c>
      <c r="P5086">
        <v>0</v>
      </c>
      <c r="Q5086">
        <v>5</v>
      </c>
      <c r="R5086" t="s">
        <v>47430</v>
      </c>
      <c r="S5086" t="s">
        <v>47549</v>
      </c>
      <c r="T5086" t="s">
        <v>49185</v>
      </c>
      <c r="U5086" t="s">
        <v>53996</v>
      </c>
      <c r="W5086" t="s">
        <v>43535</v>
      </c>
      <c r="X5086" t="s">
        <v>47431</v>
      </c>
    </row>
    <row r="5087" spans="1:24">
      <c r="A5087">
        <f>HYPERLINK("https://www.philgeps.gov.ph/GEPSNONPILOT/Tender/SplashBidNoticeAbstractUI.aspx?menuIndex=3&amp;refID=7160535&amp;Result=3","7160535")</f>
        <v>0</v>
      </c>
      <c r="B5087" t="s">
        <v>666</v>
      </c>
      <c r="C5087" t="s">
        <v>8700</v>
      </c>
      <c r="D5087" t="s">
        <v>19034</v>
      </c>
      <c r="E5087" t="s">
        <v>23596</v>
      </c>
      <c r="F5087" t="s">
        <v>32831</v>
      </c>
      <c r="G5087" t="s">
        <v>32838</v>
      </c>
      <c r="H5087" t="s">
        <v>32848</v>
      </c>
      <c r="I5087" t="s">
        <v>32857</v>
      </c>
      <c r="J5087" t="s">
        <v>33254</v>
      </c>
      <c r="K5087" t="s">
        <v>42732</v>
      </c>
      <c r="M5087" t="s">
        <v>43685</v>
      </c>
      <c r="N5087" t="s">
        <v>47424</v>
      </c>
      <c r="O5087" t="s">
        <v>47425</v>
      </c>
      <c r="P5087">
        <v>0</v>
      </c>
      <c r="Q5087">
        <v>1</v>
      </c>
      <c r="R5087" t="s">
        <v>47430</v>
      </c>
      <c r="S5087" t="s">
        <v>47549</v>
      </c>
      <c r="T5087" t="s">
        <v>49069</v>
      </c>
      <c r="U5087" t="s">
        <v>51043</v>
      </c>
      <c r="W5087" t="s">
        <v>43685</v>
      </c>
      <c r="X5087" t="s">
        <v>47431</v>
      </c>
    </row>
    <row r="5088" spans="1:24">
      <c r="A5088">
        <f>HYPERLINK("https://www.philgeps.gov.ph/GEPSNONPILOT/Tender/SplashBidNoticeAbstractUI.aspx?menuIndex=3&amp;refID=7160481&amp;Result=3","7160481")</f>
        <v>0</v>
      </c>
      <c r="B5088" t="s">
        <v>920</v>
      </c>
      <c r="C5088" t="s">
        <v>8701</v>
      </c>
      <c r="E5088" t="s">
        <v>23597</v>
      </c>
      <c r="F5088" t="s">
        <v>32831</v>
      </c>
      <c r="G5088" t="s">
        <v>32838</v>
      </c>
      <c r="H5088" t="s">
        <v>32848</v>
      </c>
      <c r="I5088" t="s">
        <v>7416</v>
      </c>
      <c r="J5088" t="s">
        <v>36245</v>
      </c>
      <c r="K5088" t="s">
        <v>42732</v>
      </c>
      <c r="M5088" t="s">
        <v>43961</v>
      </c>
      <c r="N5088" t="s">
        <v>47424</v>
      </c>
      <c r="O5088" t="s">
        <v>47425</v>
      </c>
      <c r="P5088">
        <v>0</v>
      </c>
      <c r="Q5088">
        <v>0</v>
      </c>
      <c r="R5088" t="s">
        <v>47430</v>
      </c>
      <c r="S5088" t="s">
        <v>47549</v>
      </c>
      <c r="T5088" t="s">
        <v>49108</v>
      </c>
      <c r="U5088" t="s">
        <v>51396</v>
      </c>
      <c r="W5088" t="s">
        <v>43961</v>
      </c>
      <c r="X5088" t="s">
        <v>47431</v>
      </c>
    </row>
    <row r="5089" spans="1:24">
      <c r="A5089">
        <f>HYPERLINK("https://www.philgeps.gov.ph/GEPSNONPILOT/Tender/SplashBidNoticeAbstractUI.aspx?menuIndex=3&amp;refID=7160548&amp;Result=3","7160548")</f>
        <v>0</v>
      </c>
      <c r="B5089" t="s">
        <v>160</v>
      </c>
      <c r="C5089" t="s">
        <v>8702</v>
      </c>
      <c r="D5089" t="s">
        <v>19025</v>
      </c>
      <c r="E5089" t="s">
        <v>23598</v>
      </c>
      <c r="F5089" t="s">
        <v>32831</v>
      </c>
      <c r="G5089" t="s">
        <v>32838</v>
      </c>
      <c r="H5089" t="s">
        <v>32848</v>
      </c>
      <c r="I5089" t="s">
        <v>32935</v>
      </c>
      <c r="J5089" t="s">
        <v>36246</v>
      </c>
      <c r="K5089" t="s">
        <v>42770</v>
      </c>
      <c r="M5089" t="s">
        <v>45098</v>
      </c>
      <c r="N5089" t="s">
        <v>47424</v>
      </c>
      <c r="O5089" t="s">
        <v>47425</v>
      </c>
      <c r="P5089">
        <v>0</v>
      </c>
      <c r="Q5089">
        <v>4</v>
      </c>
      <c r="R5089" t="s">
        <v>47430</v>
      </c>
      <c r="S5089" t="s">
        <v>47549</v>
      </c>
      <c r="T5089" t="s">
        <v>49239</v>
      </c>
      <c r="U5089" t="s">
        <v>53997</v>
      </c>
      <c r="W5089" t="s">
        <v>45098</v>
      </c>
      <c r="X5089" t="s">
        <v>47431</v>
      </c>
    </row>
    <row r="5090" spans="1:24">
      <c r="A5090">
        <f>HYPERLINK("https://www.philgeps.gov.ph/GEPSNONPILOT/Tender/SplashBidNoticeAbstractUI.aspx?menuIndex=3&amp;refID=7160551&amp;Result=3","7160551")</f>
        <v>0</v>
      </c>
      <c r="B5090" t="s">
        <v>513</v>
      </c>
      <c r="C5090" t="s">
        <v>8703</v>
      </c>
      <c r="D5090" t="s">
        <v>19018</v>
      </c>
      <c r="E5090" t="s">
        <v>23599</v>
      </c>
      <c r="F5090" t="s">
        <v>32831</v>
      </c>
      <c r="G5090" t="s">
        <v>32838</v>
      </c>
      <c r="H5090" t="s">
        <v>32848</v>
      </c>
      <c r="I5090" t="s">
        <v>9577</v>
      </c>
      <c r="J5090" t="s">
        <v>36247</v>
      </c>
      <c r="K5090" t="s">
        <v>42726</v>
      </c>
      <c r="M5090" t="s">
        <v>43518</v>
      </c>
      <c r="N5090" t="s">
        <v>47424</v>
      </c>
      <c r="O5090" t="s">
        <v>47425</v>
      </c>
      <c r="P5090">
        <v>0</v>
      </c>
      <c r="Q5090">
        <v>1</v>
      </c>
      <c r="R5090" t="s">
        <v>47430</v>
      </c>
      <c r="S5090" t="s">
        <v>47549</v>
      </c>
      <c r="T5090" t="s">
        <v>49214</v>
      </c>
      <c r="U5090" t="s">
        <v>50599</v>
      </c>
      <c r="W5090" t="s">
        <v>64441</v>
      </c>
      <c r="X5090" t="s">
        <v>47431</v>
      </c>
    </row>
    <row r="5091" spans="1:24">
      <c r="A5091">
        <f>HYPERLINK("https://www.philgeps.gov.ph/GEPSNONPILOT/Tender/SplashBidNoticeAbstractUI.aspx?menuIndex=3&amp;refID=7160532&amp;Result=3","7160532")</f>
        <v>0</v>
      </c>
      <c r="B5091" t="s">
        <v>365</v>
      </c>
      <c r="C5091" t="s">
        <v>8704</v>
      </c>
      <c r="D5091" t="s">
        <v>19020</v>
      </c>
      <c r="E5091" t="s">
        <v>23600</v>
      </c>
      <c r="F5091" t="s">
        <v>32831</v>
      </c>
      <c r="G5091" t="s">
        <v>32838</v>
      </c>
      <c r="H5091" t="s">
        <v>32848</v>
      </c>
      <c r="I5091" t="s">
        <v>32860</v>
      </c>
      <c r="J5091" t="s">
        <v>36248</v>
      </c>
      <c r="K5091" t="s">
        <v>42730</v>
      </c>
      <c r="M5091" t="s">
        <v>43369</v>
      </c>
      <c r="N5091" t="s">
        <v>47424</v>
      </c>
      <c r="O5091" t="s">
        <v>47425</v>
      </c>
      <c r="P5091">
        <v>0</v>
      </c>
      <c r="Q5091">
        <v>4</v>
      </c>
      <c r="R5091" t="s">
        <v>47430</v>
      </c>
      <c r="S5091" t="s">
        <v>47549</v>
      </c>
      <c r="T5091" t="s">
        <v>49235</v>
      </c>
      <c r="U5091" t="s">
        <v>50332</v>
      </c>
      <c r="V5091" t="s">
        <v>63192</v>
      </c>
      <c r="W5091" t="s">
        <v>43369</v>
      </c>
      <c r="X5091" t="s">
        <v>47431</v>
      </c>
    </row>
    <row r="5092" spans="1:24">
      <c r="A5092">
        <f>HYPERLINK("https://www.philgeps.gov.ph/GEPSNONPILOT/Tender/SplashBidNoticeAbstractUI.aspx?menuIndex=3&amp;refID=7160537&amp;Result=3","7160537")</f>
        <v>0</v>
      </c>
      <c r="B5092" t="s">
        <v>864</v>
      </c>
      <c r="C5092" t="s">
        <v>8705</v>
      </c>
      <c r="D5092" t="s">
        <v>19021</v>
      </c>
      <c r="E5092" t="s">
        <v>23601</v>
      </c>
      <c r="F5092" t="s">
        <v>32831</v>
      </c>
      <c r="G5092" t="s">
        <v>32838</v>
      </c>
      <c r="H5092" t="s">
        <v>32848</v>
      </c>
      <c r="I5092" t="s">
        <v>4438</v>
      </c>
      <c r="J5092" t="s">
        <v>32980</v>
      </c>
      <c r="K5092" t="s">
        <v>42727</v>
      </c>
      <c r="M5092" t="s">
        <v>45099</v>
      </c>
      <c r="N5092" t="s">
        <v>47424</v>
      </c>
      <c r="O5092" t="s">
        <v>47425</v>
      </c>
      <c r="P5092">
        <v>0</v>
      </c>
      <c r="Q5092">
        <v>1</v>
      </c>
      <c r="R5092" t="s">
        <v>47430</v>
      </c>
      <c r="S5092" t="s">
        <v>47549</v>
      </c>
      <c r="T5092" t="s">
        <v>49124</v>
      </c>
      <c r="U5092" t="s">
        <v>53998</v>
      </c>
      <c r="W5092" t="s">
        <v>45099</v>
      </c>
      <c r="X5092" t="s">
        <v>47431</v>
      </c>
    </row>
    <row r="5093" spans="1:24">
      <c r="A5093">
        <f>HYPERLINK("https://www.philgeps.gov.ph/GEPSNONPILOT/Tender/SplashBidNoticeAbstractUI.aspx?menuIndex=3&amp;refID=7160531&amp;Result=3","7160531")</f>
        <v>0</v>
      </c>
      <c r="B5093" t="s">
        <v>1862</v>
      </c>
      <c r="C5093" t="s">
        <v>8706</v>
      </c>
      <c r="D5093" t="s">
        <v>19058</v>
      </c>
      <c r="E5093" t="s">
        <v>23602</v>
      </c>
      <c r="F5093" t="s">
        <v>32831</v>
      </c>
      <c r="G5093" t="s">
        <v>32840</v>
      </c>
      <c r="H5093" t="s">
        <v>32848</v>
      </c>
      <c r="I5093" t="s">
        <v>32860</v>
      </c>
      <c r="J5093" t="s">
        <v>33286</v>
      </c>
      <c r="K5093" t="s">
        <v>42748</v>
      </c>
      <c r="M5093" t="s">
        <v>45001</v>
      </c>
      <c r="N5093" t="s">
        <v>47424</v>
      </c>
      <c r="O5093" t="s">
        <v>47425</v>
      </c>
      <c r="P5093">
        <v>0</v>
      </c>
      <c r="Q5093">
        <v>2</v>
      </c>
      <c r="R5093" t="s">
        <v>47430</v>
      </c>
      <c r="S5093" t="s">
        <v>47549</v>
      </c>
      <c r="T5093" t="s">
        <v>49111</v>
      </c>
      <c r="U5093" t="s">
        <v>53999</v>
      </c>
      <c r="W5093" t="s">
        <v>45001</v>
      </c>
      <c r="X5093" t="s">
        <v>47431</v>
      </c>
    </row>
    <row r="5094" spans="1:24">
      <c r="A5094">
        <f>HYPERLINK("https://www.philgeps.gov.ph/GEPSNONPILOT/Tender/SplashBidNoticeAbstractUI.aspx?menuIndex=3&amp;refID=7160526&amp;Result=3","7160526")</f>
        <v>0</v>
      </c>
      <c r="B5094" t="s">
        <v>1661</v>
      </c>
      <c r="C5094" t="s">
        <v>8707</v>
      </c>
      <c r="D5094" t="s">
        <v>19063</v>
      </c>
      <c r="E5094" t="s">
        <v>23603</v>
      </c>
      <c r="F5094" t="s">
        <v>32831</v>
      </c>
      <c r="G5094" t="s">
        <v>32839</v>
      </c>
      <c r="H5094" t="s">
        <v>32848</v>
      </c>
      <c r="I5094" t="s">
        <v>7416</v>
      </c>
      <c r="J5094" t="s">
        <v>36249</v>
      </c>
      <c r="K5094" t="s">
        <v>42729</v>
      </c>
      <c r="M5094" t="s">
        <v>44778</v>
      </c>
      <c r="N5094" t="s">
        <v>47424</v>
      </c>
      <c r="O5094" t="s">
        <v>47425</v>
      </c>
      <c r="P5094">
        <v>0</v>
      </c>
      <c r="Q5094">
        <v>0</v>
      </c>
      <c r="R5094" t="s">
        <v>47430</v>
      </c>
      <c r="S5094" t="s">
        <v>47549</v>
      </c>
      <c r="T5094" t="s">
        <v>49129</v>
      </c>
      <c r="U5094" t="s">
        <v>54000</v>
      </c>
      <c r="W5094" t="s">
        <v>44778</v>
      </c>
      <c r="X5094" t="s">
        <v>47431</v>
      </c>
    </row>
    <row r="5095" spans="1:24">
      <c r="A5095">
        <f>HYPERLINK("https://www.philgeps.gov.ph/GEPSNONPILOT/Tender/SplashBidNoticeAbstractUI.aspx?menuIndex=3&amp;refID=7160524&amp;Result=3","7160524")</f>
        <v>0</v>
      </c>
      <c r="B5095" t="s">
        <v>1880</v>
      </c>
      <c r="C5095" t="s">
        <v>8708</v>
      </c>
      <c r="D5095" t="s">
        <v>19079</v>
      </c>
      <c r="E5095" t="s">
        <v>23604</v>
      </c>
      <c r="F5095" t="s">
        <v>32831</v>
      </c>
      <c r="G5095" t="s">
        <v>32838</v>
      </c>
      <c r="H5095" t="s">
        <v>32848</v>
      </c>
      <c r="I5095" t="s">
        <v>32874</v>
      </c>
      <c r="J5095" t="s">
        <v>33090</v>
      </c>
      <c r="K5095" t="s">
        <v>42730</v>
      </c>
      <c r="M5095" t="s">
        <v>45024</v>
      </c>
      <c r="N5095" t="s">
        <v>47424</v>
      </c>
      <c r="O5095" t="s">
        <v>47425</v>
      </c>
      <c r="P5095">
        <v>0</v>
      </c>
      <c r="Q5095">
        <v>5</v>
      </c>
      <c r="R5095" t="s">
        <v>47430</v>
      </c>
      <c r="S5095" t="s">
        <v>47549</v>
      </c>
      <c r="T5095" t="s">
        <v>49123</v>
      </c>
      <c r="U5095" t="s">
        <v>54001</v>
      </c>
      <c r="W5095" t="s">
        <v>45024</v>
      </c>
      <c r="X5095" t="s">
        <v>47431</v>
      </c>
    </row>
    <row r="5096" spans="1:24">
      <c r="A5096">
        <f>HYPERLINK("https://www.philgeps.gov.ph/GEPSNONPILOT/Tender/SplashBidNoticeAbstractUI.aspx?menuIndex=3&amp;refID=7160533&amp;Result=3","7160533")</f>
        <v>0</v>
      </c>
      <c r="B5096" t="s">
        <v>1927</v>
      </c>
      <c r="C5096" t="s">
        <v>8709</v>
      </c>
      <c r="D5096" t="s">
        <v>19018</v>
      </c>
      <c r="E5096" t="s">
        <v>23605</v>
      </c>
      <c r="F5096" t="s">
        <v>32831</v>
      </c>
      <c r="G5096" t="s">
        <v>32838</v>
      </c>
      <c r="H5096" t="s">
        <v>32848</v>
      </c>
      <c r="I5096" t="s">
        <v>7416</v>
      </c>
      <c r="J5096" t="s">
        <v>36250</v>
      </c>
      <c r="K5096" t="s">
        <v>42727</v>
      </c>
      <c r="M5096" t="s">
        <v>45080</v>
      </c>
      <c r="N5096" t="s">
        <v>47424</v>
      </c>
      <c r="O5096" t="s">
        <v>47425</v>
      </c>
      <c r="P5096">
        <v>0</v>
      </c>
      <c r="Q5096">
        <v>1</v>
      </c>
      <c r="R5096" t="s">
        <v>47430</v>
      </c>
      <c r="S5096" t="s">
        <v>47549</v>
      </c>
      <c r="T5096" t="s">
        <v>49056</v>
      </c>
      <c r="U5096" t="s">
        <v>53951</v>
      </c>
      <c r="W5096" t="s">
        <v>45080</v>
      </c>
      <c r="X5096" t="s">
        <v>47431</v>
      </c>
    </row>
    <row r="5097" spans="1:24">
      <c r="A5097">
        <f>HYPERLINK("https://www.philgeps.gov.ph/GEPSNONPILOT/Tender/SplashBidNoticeAbstractUI.aspx?menuIndex=3&amp;refID=7160521&amp;Result=3","7160521")</f>
        <v>0</v>
      </c>
      <c r="B5097" t="s">
        <v>1872</v>
      </c>
      <c r="C5097" t="s">
        <v>8710</v>
      </c>
      <c r="D5097" t="s">
        <v>19100</v>
      </c>
      <c r="E5097" t="s">
        <v>19471</v>
      </c>
      <c r="F5097" t="s">
        <v>32831</v>
      </c>
      <c r="G5097" t="s">
        <v>32838</v>
      </c>
      <c r="H5097" t="s">
        <v>32849</v>
      </c>
      <c r="I5097" t="s">
        <v>4177</v>
      </c>
      <c r="J5097" t="s">
        <v>35579</v>
      </c>
      <c r="K5097" t="s">
        <v>42869</v>
      </c>
      <c r="M5097" t="s">
        <v>45016</v>
      </c>
      <c r="N5097" t="s">
        <v>47424</v>
      </c>
      <c r="O5097" t="s">
        <v>47425</v>
      </c>
      <c r="P5097">
        <v>0</v>
      </c>
      <c r="Q5097">
        <v>0</v>
      </c>
      <c r="R5097" t="s">
        <v>47430</v>
      </c>
      <c r="S5097" t="s">
        <v>47549</v>
      </c>
      <c r="T5097" t="s">
        <v>49239</v>
      </c>
      <c r="U5097" t="s">
        <v>54002</v>
      </c>
      <c r="W5097" t="s">
        <v>45016</v>
      </c>
      <c r="X5097" t="s">
        <v>47431</v>
      </c>
    </row>
    <row r="5098" spans="1:24">
      <c r="A5098">
        <f>HYPERLINK("https://www.philgeps.gov.ph/GEPSNONPILOT/Tender/SplashBidNoticeAbstractUI.aspx?menuIndex=3&amp;refID=7160501&amp;Result=3","7160501")</f>
        <v>0</v>
      </c>
      <c r="B5098" t="s">
        <v>478</v>
      </c>
      <c r="C5098" t="s">
        <v>8711</v>
      </c>
      <c r="D5098" t="s">
        <v>19043</v>
      </c>
      <c r="E5098" t="s">
        <v>23606</v>
      </c>
      <c r="F5098" t="s">
        <v>32831</v>
      </c>
      <c r="G5098" t="s">
        <v>32839</v>
      </c>
      <c r="H5098" t="s">
        <v>32848</v>
      </c>
      <c r="I5098" t="s">
        <v>4438</v>
      </c>
      <c r="J5098" t="s">
        <v>36251</v>
      </c>
      <c r="K5098" t="s">
        <v>42727</v>
      </c>
      <c r="M5098" t="s">
        <v>43483</v>
      </c>
      <c r="N5098" t="s">
        <v>47424</v>
      </c>
      <c r="O5098" t="s">
        <v>47425</v>
      </c>
      <c r="P5098">
        <v>0</v>
      </c>
      <c r="Q5098">
        <v>0</v>
      </c>
      <c r="R5098" t="s">
        <v>47430</v>
      </c>
      <c r="S5098" t="s">
        <v>47549</v>
      </c>
      <c r="T5098" t="s">
        <v>49140</v>
      </c>
      <c r="U5098" t="s">
        <v>54003</v>
      </c>
      <c r="W5098" t="s">
        <v>43483</v>
      </c>
      <c r="X5098" t="s">
        <v>47431</v>
      </c>
    </row>
    <row r="5099" spans="1:24">
      <c r="A5099">
        <f>HYPERLINK("https://www.philgeps.gov.ph/GEPSNONPILOT/Tender/SplashBidNoticeAbstractUI.aspx?menuIndex=3&amp;refID=7160470&amp;Result=3","7160470")</f>
        <v>0</v>
      </c>
      <c r="B5099" t="s">
        <v>1937</v>
      </c>
      <c r="C5099" t="s">
        <v>8712</v>
      </c>
      <c r="D5099" t="s">
        <v>19093</v>
      </c>
      <c r="E5099" t="s">
        <v>23607</v>
      </c>
      <c r="F5099" t="s">
        <v>32831</v>
      </c>
      <c r="G5099" t="s">
        <v>32839</v>
      </c>
      <c r="H5099" t="s">
        <v>32849</v>
      </c>
      <c r="I5099" t="s">
        <v>4177</v>
      </c>
      <c r="J5099" t="s">
        <v>36252</v>
      </c>
      <c r="K5099" t="s">
        <v>42730</v>
      </c>
      <c r="M5099" t="s">
        <v>45092</v>
      </c>
      <c r="N5099" t="s">
        <v>47424</v>
      </c>
      <c r="O5099" t="s">
        <v>47425</v>
      </c>
      <c r="P5099">
        <v>0</v>
      </c>
      <c r="Q5099">
        <v>0</v>
      </c>
      <c r="R5099" t="s">
        <v>47430</v>
      </c>
      <c r="S5099" t="s">
        <v>47549</v>
      </c>
      <c r="T5099" t="s">
        <v>49319</v>
      </c>
      <c r="U5099" t="s">
        <v>53983</v>
      </c>
      <c r="V5099" t="s">
        <v>63193</v>
      </c>
      <c r="W5099" t="s">
        <v>45092</v>
      </c>
      <c r="X5099" t="s">
        <v>47431</v>
      </c>
    </row>
    <row r="5100" spans="1:24">
      <c r="A5100">
        <f>HYPERLINK("https://www.philgeps.gov.ph/GEPSNONPILOT/Tender/SplashBidNoticeAbstractUI.aspx?menuIndex=3&amp;refID=7160468&amp;Result=3","7160468")</f>
        <v>0</v>
      </c>
      <c r="B5100" t="s">
        <v>1750</v>
      </c>
      <c r="C5100" t="s">
        <v>8713</v>
      </c>
      <c r="D5100" t="s">
        <v>19038</v>
      </c>
      <c r="E5100" t="s">
        <v>23608</v>
      </c>
      <c r="F5100" t="s">
        <v>32831</v>
      </c>
      <c r="G5100" t="s">
        <v>32840</v>
      </c>
      <c r="H5100" t="s">
        <v>32848</v>
      </c>
      <c r="I5100" t="s">
        <v>32857</v>
      </c>
      <c r="J5100" t="s">
        <v>33433</v>
      </c>
      <c r="K5100" t="s">
        <v>42748</v>
      </c>
      <c r="M5100" t="s">
        <v>44874</v>
      </c>
      <c r="N5100" t="s">
        <v>47424</v>
      </c>
      <c r="O5100" t="s">
        <v>47425</v>
      </c>
      <c r="P5100">
        <v>0</v>
      </c>
      <c r="Q5100">
        <v>0</v>
      </c>
      <c r="R5100" t="s">
        <v>47430</v>
      </c>
      <c r="S5100" t="s">
        <v>47549</v>
      </c>
      <c r="T5100" t="s">
        <v>49146</v>
      </c>
      <c r="U5100" t="s">
        <v>54004</v>
      </c>
      <c r="W5100" t="s">
        <v>44874</v>
      </c>
      <c r="X5100" t="s">
        <v>47431</v>
      </c>
    </row>
    <row r="5101" spans="1:24">
      <c r="A5101">
        <f>HYPERLINK("https://www.philgeps.gov.ph/GEPSNONPILOT/Tender/SplashBidNoticeAbstractUI.aspx?menuIndex=3&amp;refID=7160527&amp;Result=3","7160527")</f>
        <v>0</v>
      </c>
      <c r="B5101" t="s">
        <v>1564</v>
      </c>
      <c r="C5101" t="s">
        <v>8714</v>
      </c>
      <c r="D5101" t="s">
        <v>19049</v>
      </c>
      <c r="E5101" t="s">
        <v>23486</v>
      </c>
      <c r="F5101" t="s">
        <v>32831</v>
      </c>
      <c r="G5101" t="s">
        <v>32838</v>
      </c>
      <c r="H5101" t="s">
        <v>32848</v>
      </c>
      <c r="I5101" t="s">
        <v>32878</v>
      </c>
      <c r="J5101" t="s">
        <v>36253</v>
      </c>
      <c r="K5101" t="s">
        <v>42726</v>
      </c>
      <c r="M5101" t="s">
        <v>44673</v>
      </c>
      <c r="N5101" t="s">
        <v>47424</v>
      </c>
      <c r="O5101" t="s">
        <v>47425</v>
      </c>
      <c r="P5101">
        <v>0</v>
      </c>
      <c r="Q5101">
        <v>1</v>
      </c>
      <c r="R5101" t="s">
        <v>47430</v>
      </c>
      <c r="S5101" t="s">
        <v>47549</v>
      </c>
      <c r="T5101" t="s">
        <v>49104</v>
      </c>
      <c r="U5101" t="s">
        <v>54005</v>
      </c>
      <c r="W5101" t="s">
        <v>44673</v>
      </c>
      <c r="X5101" t="s">
        <v>47431</v>
      </c>
    </row>
    <row r="5102" spans="1:24">
      <c r="A5102">
        <f>HYPERLINK("https://www.philgeps.gov.ph/GEPSNONPILOT/Tender/SplashBidNoticeAbstractUI.aspx?menuIndex=3&amp;refID=7160447&amp;Result=3","7160447")</f>
        <v>0</v>
      </c>
      <c r="B5102" t="s">
        <v>1770</v>
      </c>
      <c r="C5102" t="s">
        <v>8715</v>
      </c>
      <c r="D5102" t="s">
        <v>19058</v>
      </c>
      <c r="E5102" t="s">
        <v>23609</v>
      </c>
      <c r="F5102" t="s">
        <v>32831</v>
      </c>
      <c r="G5102" t="s">
        <v>32840</v>
      </c>
      <c r="H5102" t="s">
        <v>32848</v>
      </c>
      <c r="I5102" t="s">
        <v>4471</v>
      </c>
      <c r="J5102" t="s">
        <v>33951</v>
      </c>
      <c r="K5102" t="s">
        <v>42726</v>
      </c>
      <c r="M5102" t="s">
        <v>44895</v>
      </c>
      <c r="N5102" t="s">
        <v>47424</v>
      </c>
      <c r="O5102" t="s">
        <v>47425</v>
      </c>
      <c r="P5102">
        <v>0</v>
      </c>
      <c r="Q5102">
        <v>0</v>
      </c>
      <c r="R5102" t="s">
        <v>47430</v>
      </c>
      <c r="S5102" t="s">
        <v>47549</v>
      </c>
      <c r="T5102" t="s">
        <v>49129</v>
      </c>
      <c r="U5102" t="s">
        <v>54006</v>
      </c>
      <c r="W5102" t="s">
        <v>44895</v>
      </c>
      <c r="X5102" t="s">
        <v>47431</v>
      </c>
    </row>
    <row r="5103" spans="1:24">
      <c r="A5103">
        <f>HYPERLINK("https://www.philgeps.gov.ph/GEPSNONPILOT/Tender/SplashBidNoticeAbstractUI.aspx?menuIndex=3&amp;refID=7160444&amp;Result=3","7160444")</f>
        <v>0</v>
      </c>
      <c r="B5103" t="s">
        <v>60</v>
      </c>
      <c r="C5103" t="s">
        <v>8716</v>
      </c>
      <c r="D5103" t="s">
        <v>19042</v>
      </c>
      <c r="E5103" t="s">
        <v>23610</v>
      </c>
      <c r="F5103" t="s">
        <v>32831</v>
      </c>
      <c r="G5103" t="s">
        <v>32839</v>
      </c>
      <c r="H5103" t="s">
        <v>32848</v>
      </c>
      <c r="I5103" t="s">
        <v>10805</v>
      </c>
      <c r="J5103" t="s">
        <v>36254</v>
      </c>
      <c r="K5103" t="s">
        <v>42726</v>
      </c>
      <c r="M5103" t="s">
        <v>43057</v>
      </c>
      <c r="N5103" t="s">
        <v>47424</v>
      </c>
      <c r="O5103" t="s">
        <v>47425</v>
      </c>
      <c r="P5103">
        <v>0</v>
      </c>
      <c r="Q5103">
        <v>6</v>
      </c>
      <c r="R5103" t="s">
        <v>47430</v>
      </c>
      <c r="S5103" t="s">
        <v>47549</v>
      </c>
      <c r="T5103" t="s">
        <v>49334</v>
      </c>
      <c r="U5103" t="s">
        <v>54007</v>
      </c>
      <c r="W5103" t="s">
        <v>43057</v>
      </c>
      <c r="X5103" t="s">
        <v>47431</v>
      </c>
    </row>
    <row r="5104" spans="1:24">
      <c r="A5104">
        <f>HYPERLINK("https://www.philgeps.gov.ph/GEPSNONPILOT/Tender/SplashBidNoticeAbstractUI.aspx?menuIndex=3&amp;refID=7160443&amp;Result=3","7160443")</f>
        <v>0</v>
      </c>
      <c r="B5104" t="s">
        <v>1943</v>
      </c>
      <c r="C5104" t="s">
        <v>6098</v>
      </c>
      <c r="D5104" t="s">
        <v>19062</v>
      </c>
      <c r="E5104" t="s">
        <v>19787</v>
      </c>
      <c r="F5104" t="s">
        <v>32831</v>
      </c>
      <c r="G5104" t="s">
        <v>32842</v>
      </c>
      <c r="H5104" t="s">
        <v>32848</v>
      </c>
      <c r="I5104" t="s">
        <v>32860</v>
      </c>
      <c r="J5104" t="s">
        <v>32980</v>
      </c>
      <c r="K5104" t="s">
        <v>42758</v>
      </c>
      <c r="L5104" t="s">
        <v>1943</v>
      </c>
      <c r="M5104" t="s">
        <v>45100</v>
      </c>
      <c r="N5104" t="s">
        <v>47424</v>
      </c>
      <c r="O5104" t="s">
        <v>47425</v>
      </c>
      <c r="P5104">
        <v>0</v>
      </c>
      <c r="Q5104">
        <v>0</v>
      </c>
      <c r="R5104" t="s">
        <v>47430</v>
      </c>
      <c r="S5104" t="s">
        <v>47549</v>
      </c>
      <c r="T5104" t="s">
        <v>49145</v>
      </c>
      <c r="U5104" t="s">
        <v>54008</v>
      </c>
      <c r="W5104" t="s">
        <v>45100</v>
      </c>
      <c r="X5104" t="s">
        <v>47431</v>
      </c>
    </row>
    <row r="5105" spans="1:24">
      <c r="A5105">
        <f>HYPERLINK("https://www.philgeps.gov.ph/GEPSNONPILOT/Tender/SplashBidNoticeAbstractUI.aspx?menuIndex=3&amp;refID=7160440&amp;Result=3","7160440")</f>
        <v>0</v>
      </c>
      <c r="B5105" t="s">
        <v>1935</v>
      </c>
      <c r="C5105" t="s">
        <v>8717</v>
      </c>
      <c r="D5105" t="s">
        <v>19044</v>
      </c>
      <c r="E5105" t="s">
        <v>23611</v>
      </c>
      <c r="F5105" t="s">
        <v>32831</v>
      </c>
      <c r="G5105" t="s">
        <v>32838</v>
      </c>
      <c r="H5105" t="s">
        <v>32848</v>
      </c>
      <c r="I5105" t="s">
        <v>8781</v>
      </c>
      <c r="J5105" t="s">
        <v>33771</v>
      </c>
      <c r="K5105" t="s">
        <v>42758</v>
      </c>
      <c r="M5105" t="s">
        <v>45089</v>
      </c>
      <c r="N5105" t="s">
        <v>47424</v>
      </c>
      <c r="O5105" t="s">
        <v>47425</v>
      </c>
      <c r="P5105">
        <v>0</v>
      </c>
      <c r="Q5105">
        <v>0</v>
      </c>
      <c r="R5105" t="s">
        <v>47430</v>
      </c>
      <c r="S5105" t="s">
        <v>47549</v>
      </c>
      <c r="T5105" t="s">
        <v>49415</v>
      </c>
      <c r="U5105" t="s">
        <v>54009</v>
      </c>
      <c r="W5105" t="s">
        <v>45089</v>
      </c>
      <c r="X5105" t="s">
        <v>47431</v>
      </c>
    </row>
    <row r="5106" spans="1:24">
      <c r="A5106">
        <f>HYPERLINK("https://www.philgeps.gov.ph/GEPSNONPILOT/Tender/SplashBidNoticeAbstractUI.aspx?menuIndex=3&amp;refID=7160530&amp;Result=3","7160530")</f>
        <v>0</v>
      </c>
      <c r="B5106" t="s">
        <v>1944</v>
      </c>
      <c r="C5106" t="s">
        <v>8718</v>
      </c>
      <c r="E5106" t="s">
        <v>23612</v>
      </c>
      <c r="F5106" t="s">
        <v>32831</v>
      </c>
      <c r="G5106" t="s">
        <v>32838</v>
      </c>
      <c r="H5106" t="s">
        <v>32848</v>
      </c>
      <c r="I5106" t="s">
        <v>32862</v>
      </c>
      <c r="J5106" t="s">
        <v>36255</v>
      </c>
      <c r="K5106" t="s">
        <v>42732</v>
      </c>
      <c r="M5106" t="s">
        <v>45101</v>
      </c>
      <c r="N5106" t="s">
        <v>47424</v>
      </c>
      <c r="O5106" t="s">
        <v>47425</v>
      </c>
      <c r="P5106">
        <v>0</v>
      </c>
      <c r="Q5106">
        <v>2</v>
      </c>
      <c r="R5106" t="s">
        <v>47430</v>
      </c>
      <c r="S5106" t="s">
        <v>47549</v>
      </c>
      <c r="T5106" t="s">
        <v>49104</v>
      </c>
      <c r="U5106" t="s">
        <v>54010</v>
      </c>
      <c r="W5106" t="s">
        <v>45101</v>
      </c>
      <c r="X5106" t="s">
        <v>47431</v>
      </c>
    </row>
    <row r="5107" spans="1:24">
      <c r="A5107">
        <f>HYPERLINK("https://www.philgeps.gov.ph/GEPSNONPILOT/Tender/SplashBidNoticeAbstractUI.aspx?menuIndex=3&amp;refID=7160569&amp;Result=3","7160569")</f>
        <v>0</v>
      </c>
      <c r="B5107" t="s">
        <v>868</v>
      </c>
      <c r="C5107" t="s">
        <v>8719</v>
      </c>
      <c r="D5107" t="s">
        <v>19073</v>
      </c>
      <c r="E5107" t="s">
        <v>22956</v>
      </c>
      <c r="F5107" t="s">
        <v>32831</v>
      </c>
      <c r="G5107" t="s">
        <v>32839</v>
      </c>
      <c r="H5107" t="s">
        <v>32848</v>
      </c>
      <c r="I5107" t="s">
        <v>7751</v>
      </c>
      <c r="J5107" t="s">
        <v>36256</v>
      </c>
      <c r="K5107" t="s">
        <v>42732</v>
      </c>
      <c r="M5107" t="s">
        <v>43902</v>
      </c>
      <c r="N5107" t="s">
        <v>47424</v>
      </c>
      <c r="O5107" t="s">
        <v>47425</v>
      </c>
      <c r="P5107">
        <v>0</v>
      </c>
      <c r="Q5107">
        <v>1</v>
      </c>
      <c r="R5107" t="s">
        <v>47430</v>
      </c>
      <c r="S5107" t="s">
        <v>47549</v>
      </c>
      <c r="T5107" t="s">
        <v>49123</v>
      </c>
      <c r="U5107" t="s">
        <v>54011</v>
      </c>
      <c r="W5107" t="s">
        <v>43902</v>
      </c>
      <c r="X5107" t="s">
        <v>47431</v>
      </c>
    </row>
    <row r="5108" spans="1:24">
      <c r="A5108">
        <f>HYPERLINK("https://www.philgeps.gov.ph/GEPSNONPILOT/Tender/SplashBidNoticeAbstractUI.aspx?menuIndex=3&amp;refID=7160469&amp;Result=3","7160469")</f>
        <v>0</v>
      </c>
      <c r="B5108" t="s">
        <v>1939</v>
      </c>
      <c r="C5108" t="s">
        <v>8720</v>
      </c>
      <c r="D5108" t="s">
        <v>19067</v>
      </c>
      <c r="E5108" t="s">
        <v>23613</v>
      </c>
      <c r="F5108" t="s">
        <v>32831</v>
      </c>
      <c r="G5108" t="s">
        <v>32840</v>
      </c>
      <c r="H5108" t="s">
        <v>32848</v>
      </c>
      <c r="I5108" t="s">
        <v>7416</v>
      </c>
      <c r="J5108" t="s">
        <v>33193</v>
      </c>
      <c r="K5108" t="s">
        <v>42745</v>
      </c>
      <c r="M5108" t="s">
        <v>45094</v>
      </c>
      <c r="N5108" t="s">
        <v>47424</v>
      </c>
      <c r="O5108" t="s">
        <v>47425</v>
      </c>
      <c r="P5108">
        <v>0</v>
      </c>
      <c r="Q5108">
        <v>0</v>
      </c>
      <c r="R5108" t="s">
        <v>47430</v>
      </c>
      <c r="S5108" t="s">
        <v>47549</v>
      </c>
      <c r="T5108" t="s">
        <v>49212</v>
      </c>
      <c r="U5108" t="s">
        <v>51543</v>
      </c>
      <c r="W5108" t="s">
        <v>45094</v>
      </c>
      <c r="X5108" t="s">
        <v>47431</v>
      </c>
    </row>
    <row r="5109" spans="1:24">
      <c r="A5109">
        <f>HYPERLINK("https://www.philgeps.gov.ph/GEPSNONPILOT/Tender/SplashBidNoticeAbstractUI.aspx?menuIndex=3&amp;refID=7160583&amp;Result=3","7160583")</f>
        <v>0</v>
      </c>
      <c r="B5109" t="s">
        <v>1905</v>
      </c>
      <c r="C5109" t="s">
        <v>8721</v>
      </c>
      <c r="E5109" t="s">
        <v>23614</v>
      </c>
      <c r="F5109" t="s">
        <v>32831</v>
      </c>
      <c r="G5109" t="s">
        <v>32838</v>
      </c>
      <c r="H5109" t="s">
        <v>32848</v>
      </c>
      <c r="I5109" t="s">
        <v>6526</v>
      </c>
      <c r="J5109" t="s">
        <v>35321</v>
      </c>
      <c r="K5109" t="s">
        <v>42732</v>
      </c>
      <c r="M5109" t="s">
        <v>45054</v>
      </c>
      <c r="N5109" t="s">
        <v>47424</v>
      </c>
      <c r="O5109" t="s">
        <v>47425</v>
      </c>
      <c r="P5109">
        <v>0</v>
      </c>
      <c r="Q5109">
        <v>0</v>
      </c>
      <c r="R5109" t="s">
        <v>47430</v>
      </c>
      <c r="S5109" t="s">
        <v>47549</v>
      </c>
      <c r="T5109" t="s">
        <v>49056</v>
      </c>
      <c r="U5109" t="s">
        <v>54012</v>
      </c>
      <c r="W5109" t="s">
        <v>45054</v>
      </c>
      <c r="X5109" t="s">
        <v>47431</v>
      </c>
    </row>
    <row r="5110" spans="1:24">
      <c r="A5110">
        <f>HYPERLINK("https://www.philgeps.gov.ph/GEPSNONPILOT/Tender/SplashBidNoticeAbstractUI.aspx?menuIndex=3&amp;refID=7160445&amp;Result=3","7160445")</f>
        <v>0</v>
      </c>
      <c r="B5110" t="s">
        <v>1945</v>
      </c>
      <c r="C5110" t="s">
        <v>8722</v>
      </c>
      <c r="D5110" t="s">
        <v>19074</v>
      </c>
      <c r="E5110" t="s">
        <v>19203</v>
      </c>
      <c r="F5110" t="s">
        <v>32831</v>
      </c>
      <c r="G5110" t="s">
        <v>32840</v>
      </c>
      <c r="H5110" t="s">
        <v>32848</v>
      </c>
      <c r="I5110" t="s">
        <v>4303</v>
      </c>
      <c r="J5110" t="s">
        <v>36257</v>
      </c>
      <c r="K5110" t="s">
        <v>42726</v>
      </c>
      <c r="M5110" t="s">
        <v>45102</v>
      </c>
      <c r="N5110" t="s">
        <v>47424</v>
      </c>
      <c r="O5110" t="s">
        <v>47425</v>
      </c>
      <c r="P5110">
        <v>0</v>
      </c>
      <c r="Q5110">
        <v>0</v>
      </c>
      <c r="R5110" t="s">
        <v>47430</v>
      </c>
      <c r="S5110" t="s">
        <v>47549</v>
      </c>
      <c r="T5110" t="s">
        <v>49198</v>
      </c>
      <c r="U5110" t="s">
        <v>54013</v>
      </c>
      <c r="W5110" t="s">
        <v>45102</v>
      </c>
      <c r="X5110" t="s">
        <v>47431</v>
      </c>
    </row>
    <row r="5111" spans="1:24">
      <c r="A5111">
        <f>HYPERLINK("https://www.philgeps.gov.ph/GEPSNONPILOT/Tender/SplashBidNoticeAbstractUI.aspx?menuIndex=3&amp;refID=7160496&amp;Result=3","7160496")</f>
        <v>0</v>
      </c>
      <c r="B5111" t="s">
        <v>1839</v>
      </c>
      <c r="C5111" t="s">
        <v>8723</v>
      </c>
      <c r="D5111" t="s">
        <v>19033</v>
      </c>
      <c r="E5111" t="s">
        <v>23615</v>
      </c>
      <c r="F5111" t="s">
        <v>32831</v>
      </c>
      <c r="G5111" t="s">
        <v>32839</v>
      </c>
      <c r="H5111" t="s">
        <v>32848</v>
      </c>
      <c r="I5111" t="s">
        <v>32852</v>
      </c>
      <c r="J5111" t="s">
        <v>32978</v>
      </c>
      <c r="K5111" t="s">
        <v>42730</v>
      </c>
      <c r="M5111" t="s">
        <v>44973</v>
      </c>
      <c r="N5111" t="s">
        <v>47424</v>
      </c>
      <c r="O5111" t="s">
        <v>47425</v>
      </c>
      <c r="P5111">
        <v>0</v>
      </c>
      <c r="Q5111">
        <v>4</v>
      </c>
      <c r="R5111" t="s">
        <v>47430</v>
      </c>
      <c r="S5111" t="s">
        <v>47549</v>
      </c>
      <c r="T5111" t="s">
        <v>49109</v>
      </c>
      <c r="U5111" t="s">
        <v>54014</v>
      </c>
      <c r="W5111" t="s">
        <v>44973</v>
      </c>
      <c r="X5111" t="s">
        <v>47431</v>
      </c>
    </row>
    <row r="5112" spans="1:24">
      <c r="A5112">
        <f>HYPERLINK("https://www.philgeps.gov.ph/GEPSNONPILOT/Tender/SplashBidNoticeAbstractUI.aspx?menuIndex=3&amp;refID=7160581&amp;Result=3","7160581")</f>
        <v>0</v>
      </c>
      <c r="B5112" t="s">
        <v>1918</v>
      </c>
      <c r="C5112" t="s">
        <v>8724</v>
      </c>
      <c r="D5112" t="s">
        <v>19037</v>
      </c>
      <c r="E5112" t="s">
        <v>23616</v>
      </c>
      <c r="F5112" t="s">
        <v>32831</v>
      </c>
      <c r="G5112" t="s">
        <v>32840</v>
      </c>
      <c r="H5112" t="s">
        <v>32848</v>
      </c>
      <c r="I5112" t="s">
        <v>32860</v>
      </c>
      <c r="J5112" t="s">
        <v>33175</v>
      </c>
      <c r="K5112" t="s">
        <v>42758</v>
      </c>
      <c r="M5112" t="s">
        <v>45070</v>
      </c>
      <c r="N5112" t="s">
        <v>47424</v>
      </c>
      <c r="O5112" t="s">
        <v>47425</v>
      </c>
      <c r="P5112">
        <v>0</v>
      </c>
      <c r="Q5112">
        <v>0</v>
      </c>
      <c r="R5112" t="s">
        <v>47430</v>
      </c>
      <c r="S5112" t="s">
        <v>47549</v>
      </c>
      <c r="T5112" t="s">
        <v>49163</v>
      </c>
      <c r="U5112" t="s">
        <v>54015</v>
      </c>
      <c r="W5112" t="s">
        <v>45070</v>
      </c>
      <c r="X5112" t="s">
        <v>47431</v>
      </c>
    </row>
    <row r="5113" spans="1:24">
      <c r="A5113">
        <f>HYPERLINK("https://www.philgeps.gov.ph/GEPSNONPILOT/Tender/SplashBidNoticeAbstractUI.aspx?menuIndex=3&amp;refID=7160578&amp;Result=3","7160578")</f>
        <v>0</v>
      </c>
      <c r="B5113" t="s">
        <v>920</v>
      </c>
      <c r="C5113" t="s">
        <v>8725</v>
      </c>
      <c r="E5113" t="s">
        <v>23617</v>
      </c>
      <c r="F5113" t="s">
        <v>32831</v>
      </c>
      <c r="G5113" t="s">
        <v>32838</v>
      </c>
      <c r="H5113" t="s">
        <v>32848</v>
      </c>
      <c r="I5113" t="s">
        <v>4776</v>
      </c>
      <c r="J5113" t="s">
        <v>36258</v>
      </c>
      <c r="K5113" t="s">
        <v>42732</v>
      </c>
      <c r="M5113" t="s">
        <v>43961</v>
      </c>
      <c r="N5113" t="s">
        <v>47424</v>
      </c>
      <c r="O5113" t="s">
        <v>47425</v>
      </c>
      <c r="P5113">
        <v>0</v>
      </c>
      <c r="Q5113">
        <v>0</v>
      </c>
      <c r="R5113" t="s">
        <v>47430</v>
      </c>
      <c r="S5113" t="s">
        <v>47549</v>
      </c>
      <c r="T5113" t="s">
        <v>49108</v>
      </c>
      <c r="U5113" t="s">
        <v>51396</v>
      </c>
      <c r="W5113" t="s">
        <v>43961</v>
      </c>
      <c r="X5113" t="s">
        <v>47431</v>
      </c>
    </row>
    <row r="5114" spans="1:24">
      <c r="A5114">
        <f>HYPERLINK("https://www.philgeps.gov.ph/GEPSNONPILOT/Tender/SplashBidNoticeAbstractUI.aspx?menuIndex=3&amp;refID=7160442&amp;Result=3","7160442")</f>
        <v>0</v>
      </c>
      <c r="B5114" t="s">
        <v>851</v>
      </c>
      <c r="C5114" t="s">
        <v>8726</v>
      </c>
      <c r="D5114" t="s">
        <v>19017</v>
      </c>
      <c r="E5114" t="s">
        <v>23618</v>
      </c>
      <c r="F5114" t="s">
        <v>32831</v>
      </c>
      <c r="G5114" t="s">
        <v>32838</v>
      </c>
      <c r="H5114" t="s">
        <v>32848</v>
      </c>
      <c r="I5114" t="s">
        <v>4340</v>
      </c>
      <c r="J5114" t="s">
        <v>36259</v>
      </c>
      <c r="K5114" t="s">
        <v>42726</v>
      </c>
      <c r="M5114" t="s">
        <v>45050</v>
      </c>
      <c r="N5114" t="s">
        <v>47424</v>
      </c>
      <c r="O5114" t="s">
        <v>47425</v>
      </c>
      <c r="P5114">
        <v>0</v>
      </c>
      <c r="Q5114">
        <v>3</v>
      </c>
      <c r="R5114" t="s">
        <v>47430</v>
      </c>
      <c r="S5114" t="s">
        <v>47549</v>
      </c>
      <c r="T5114" t="s">
        <v>49214</v>
      </c>
      <c r="U5114" t="s">
        <v>54016</v>
      </c>
      <c r="W5114" t="s">
        <v>45050</v>
      </c>
      <c r="X5114" t="s">
        <v>47431</v>
      </c>
    </row>
    <row r="5115" spans="1:24">
      <c r="A5115">
        <f>HYPERLINK("https://www.philgeps.gov.ph/GEPSNONPILOT/Tender/SplashBidNoticeAbstractUI.aspx?menuIndex=3&amp;refID=7160576&amp;Result=3","7160576")</f>
        <v>0</v>
      </c>
      <c r="B5115" t="s">
        <v>1894</v>
      </c>
      <c r="C5115" t="s">
        <v>8727</v>
      </c>
      <c r="D5115" t="s">
        <v>19031</v>
      </c>
      <c r="E5115" t="s">
        <v>23619</v>
      </c>
      <c r="F5115" t="s">
        <v>32831</v>
      </c>
      <c r="G5115" t="s">
        <v>32838</v>
      </c>
      <c r="H5115" t="s">
        <v>32848</v>
      </c>
      <c r="I5115" t="s">
        <v>9281</v>
      </c>
      <c r="J5115" t="s">
        <v>33041</v>
      </c>
      <c r="K5115" t="s">
        <v>42730</v>
      </c>
      <c r="M5115" t="s">
        <v>45041</v>
      </c>
      <c r="N5115" t="s">
        <v>47424</v>
      </c>
      <c r="O5115" t="s">
        <v>47425</v>
      </c>
      <c r="P5115">
        <v>0</v>
      </c>
      <c r="Q5115">
        <v>1</v>
      </c>
      <c r="R5115" t="s">
        <v>47430</v>
      </c>
      <c r="S5115" t="s">
        <v>47549</v>
      </c>
      <c r="T5115" t="s">
        <v>49108</v>
      </c>
      <c r="U5115" t="s">
        <v>53972</v>
      </c>
      <c r="W5115" t="s">
        <v>45041</v>
      </c>
      <c r="X5115" t="s">
        <v>47431</v>
      </c>
    </row>
    <row r="5116" spans="1:24">
      <c r="A5116">
        <f>HYPERLINK("https://www.philgeps.gov.ph/GEPSNONPILOT/Tender/SplashBidNoticeAbstractUI.aspx?menuIndex=3&amp;refID=7160529&amp;Result=3","7160529")</f>
        <v>0</v>
      </c>
      <c r="B5116" t="s">
        <v>1946</v>
      </c>
      <c r="C5116" t="s">
        <v>8728</v>
      </c>
      <c r="D5116" t="s">
        <v>19037</v>
      </c>
      <c r="E5116" t="s">
        <v>23620</v>
      </c>
      <c r="F5116" t="s">
        <v>32831</v>
      </c>
      <c r="G5116" t="s">
        <v>32839</v>
      </c>
      <c r="H5116" t="s">
        <v>32849</v>
      </c>
      <c r="I5116" t="s">
        <v>4177</v>
      </c>
      <c r="J5116" t="s">
        <v>32978</v>
      </c>
      <c r="K5116" t="s">
        <v>42729</v>
      </c>
      <c r="M5116" t="s">
        <v>45103</v>
      </c>
      <c r="N5116" t="s">
        <v>47424</v>
      </c>
      <c r="O5116" t="s">
        <v>47425</v>
      </c>
      <c r="P5116">
        <v>0</v>
      </c>
      <c r="Q5116">
        <v>0</v>
      </c>
      <c r="R5116" t="s">
        <v>47430</v>
      </c>
      <c r="S5116" t="s">
        <v>47549</v>
      </c>
      <c r="T5116" t="s">
        <v>49080</v>
      </c>
      <c r="U5116" t="s">
        <v>54017</v>
      </c>
      <c r="W5116" t="s">
        <v>64493</v>
      </c>
      <c r="X5116" t="s">
        <v>47431</v>
      </c>
    </row>
    <row r="5117" spans="1:24">
      <c r="A5117">
        <f>HYPERLINK("https://www.philgeps.gov.ph/GEPSNONPILOT/Tender/SplashBidNoticeAbstractUI.aspx?menuIndex=3&amp;refID=7160575&amp;Result=3","7160575")</f>
        <v>0</v>
      </c>
      <c r="B5117" t="s">
        <v>1947</v>
      </c>
      <c r="C5117" t="s">
        <v>8729</v>
      </c>
      <c r="D5117" t="s">
        <v>19022</v>
      </c>
      <c r="E5117" t="s">
        <v>23621</v>
      </c>
      <c r="F5117" t="s">
        <v>32831</v>
      </c>
      <c r="G5117" t="s">
        <v>32838</v>
      </c>
      <c r="H5117" t="s">
        <v>32848</v>
      </c>
      <c r="I5117" t="s">
        <v>32860</v>
      </c>
      <c r="J5117" t="s">
        <v>36260</v>
      </c>
      <c r="K5117" t="s">
        <v>42726</v>
      </c>
      <c r="M5117" t="s">
        <v>45104</v>
      </c>
      <c r="N5117" t="s">
        <v>47424</v>
      </c>
      <c r="O5117" t="s">
        <v>47425</v>
      </c>
      <c r="P5117">
        <v>0</v>
      </c>
      <c r="Q5117">
        <v>4</v>
      </c>
      <c r="R5117" t="s">
        <v>47430</v>
      </c>
      <c r="S5117" t="s">
        <v>47549</v>
      </c>
      <c r="T5117" t="s">
        <v>49134</v>
      </c>
      <c r="U5117" t="s">
        <v>54018</v>
      </c>
      <c r="W5117" t="s">
        <v>45104</v>
      </c>
      <c r="X5117" t="s">
        <v>47431</v>
      </c>
    </row>
    <row r="5118" spans="1:24">
      <c r="A5118">
        <f>HYPERLINK("https://www.philgeps.gov.ph/GEPSNONPILOT/Tender/SplashBidNoticeAbstractUI.aspx?menuIndex=3&amp;refID=7160570&amp;Result=3","7160570")</f>
        <v>0</v>
      </c>
      <c r="B5118" t="s">
        <v>1928</v>
      </c>
      <c r="C5118" t="s">
        <v>8730</v>
      </c>
      <c r="D5118" t="s">
        <v>19026</v>
      </c>
      <c r="E5118" t="s">
        <v>23622</v>
      </c>
      <c r="F5118" t="s">
        <v>32831</v>
      </c>
      <c r="G5118" t="s">
        <v>32843</v>
      </c>
      <c r="H5118" t="s">
        <v>32848</v>
      </c>
      <c r="I5118" t="s">
        <v>32890</v>
      </c>
      <c r="J5118" t="s">
        <v>34331</v>
      </c>
      <c r="K5118" t="s">
        <v>42730</v>
      </c>
      <c r="M5118" t="s">
        <v>45081</v>
      </c>
      <c r="N5118" t="s">
        <v>47424</v>
      </c>
      <c r="O5118" t="s">
        <v>47425</v>
      </c>
      <c r="P5118">
        <v>0</v>
      </c>
      <c r="Q5118">
        <v>0</v>
      </c>
      <c r="R5118" t="s">
        <v>47430</v>
      </c>
      <c r="S5118" t="s">
        <v>47549</v>
      </c>
      <c r="T5118" t="s">
        <v>49125</v>
      </c>
      <c r="U5118" t="s">
        <v>54019</v>
      </c>
      <c r="W5118" t="s">
        <v>45081</v>
      </c>
      <c r="X5118" t="s">
        <v>47431</v>
      </c>
    </row>
    <row r="5119" spans="1:24">
      <c r="A5119">
        <f>HYPERLINK("https://www.philgeps.gov.ph/GEPSNONPILOT/Tender/SplashBidNoticeAbstractUI.aspx?menuIndex=3&amp;refID=7160567&amp;Result=3","7160567")</f>
        <v>0</v>
      </c>
      <c r="B5119" t="s">
        <v>888</v>
      </c>
      <c r="C5119" t="s">
        <v>8731</v>
      </c>
      <c r="D5119" t="s">
        <v>19067</v>
      </c>
      <c r="E5119" t="s">
        <v>20958</v>
      </c>
      <c r="F5119" t="s">
        <v>32831</v>
      </c>
      <c r="G5119" t="s">
        <v>32840</v>
      </c>
      <c r="H5119" t="s">
        <v>32848</v>
      </c>
      <c r="I5119" t="s">
        <v>32860</v>
      </c>
      <c r="J5119" t="s">
        <v>36261</v>
      </c>
      <c r="K5119" t="s">
        <v>42758</v>
      </c>
      <c r="M5119" t="s">
        <v>43923</v>
      </c>
      <c r="N5119" t="s">
        <v>47424</v>
      </c>
      <c r="O5119" t="s">
        <v>47425</v>
      </c>
      <c r="P5119">
        <v>0</v>
      </c>
      <c r="Q5119">
        <v>0</v>
      </c>
      <c r="R5119" t="s">
        <v>47430</v>
      </c>
      <c r="S5119" t="s">
        <v>47549</v>
      </c>
      <c r="T5119" t="s">
        <v>49145</v>
      </c>
      <c r="U5119" t="s">
        <v>54020</v>
      </c>
      <c r="W5119" t="s">
        <v>43923</v>
      </c>
      <c r="X5119" t="s">
        <v>47431</v>
      </c>
    </row>
    <row r="5120" spans="1:24">
      <c r="A5120">
        <f>HYPERLINK("https://www.philgeps.gov.ph/GEPSNONPILOT/Tender/SplashBidNoticeAbstractUI.aspx?menuIndex=3&amp;refID=7160563&amp;Result=3","7160563")</f>
        <v>0</v>
      </c>
      <c r="B5120" t="s">
        <v>1895</v>
      </c>
      <c r="C5120" t="s">
        <v>8732</v>
      </c>
      <c r="E5120" t="s">
        <v>23623</v>
      </c>
      <c r="F5120" t="s">
        <v>32831</v>
      </c>
      <c r="G5120" t="s">
        <v>32842</v>
      </c>
      <c r="H5120" t="s">
        <v>32848</v>
      </c>
      <c r="I5120" t="s">
        <v>9577</v>
      </c>
      <c r="J5120" t="s">
        <v>33041</v>
      </c>
      <c r="K5120" t="s">
        <v>42732</v>
      </c>
      <c r="M5120" t="s">
        <v>45042</v>
      </c>
      <c r="N5120" t="s">
        <v>47424</v>
      </c>
      <c r="O5120" t="s">
        <v>47425</v>
      </c>
      <c r="P5120">
        <v>0</v>
      </c>
      <c r="Q5120">
        <v>0</v>
      </c>
      <c r="R5120" t="s">
        <v>47430</v>
      </c>
      <c r="S5120" t="s">
        <v>47549</v>
      </c>
      <c r="T5120" t="s">
        <v>49237</v>
      </c>
      <c r="U5120" t="s">
        <v>54021</v>
      </c>
      <c r="W5120" t="s">
        <v>45042</v>
      </c>
      <c r="X5120" t="s">
        <v>47431</v>
      </c>
    </row>
    <row r="5121" spans="1:24">
      <c r="A5121">
        <f>HYPERLINK("https://www.philgeps.gov.ph/GEPSNONPILOT/Tender/SplashBidNoticeAbstractUI.aspx?menuIndex=3&amp;refID=7160582&amp;Result=3","7160582")</f>
        <v>0</v>
      </c>
      <c r="B5121" t="s">
        <v>92</v>
      </c>
      <c r="C5121" t="s">
        <v>8733</v>
      </c>
      <c r="D5121" t="s">
        <v>19051</v>
      </c>
      <c r="E5121" t="s">
        <v>19260</v>
      </c>
      <c r="F5121" t="s">
        <v>32831</v>
      </c>
      <c r="G5121" t="s">
        <v>32839</v>
      </c>
      <c r="H5121" t="s">
        <v>32849</v>
      </c>
      <c r="I5121" t="s">
        <v>4177</v>
      </c>
      <c r="J5121" t="s">
        <v>33644</v>
      </c>
      <c r="K5121" t="s">
        <v>42732</v>
      </c>
      <c r="M5121" t="s">
        <v>43089</v>
      </c>
      <c r="N5121" t="s">
        <v>47424</v>
      </c>
      <c r="O5121" t="s">
        <v>47425</v>
      </c>
      <c r="P5121">
        <v>0</v>
      </c>
      <c r="Q5121">
        <v>0</v>
      </c>
      <c r="R5121" t="s">
        <v>47430</v>
      </c>
      <c r="S5121" t="s">
        <v>47549</v>
      </c>
      <c r="T5121" t="s">
        <v>49181</v>
      </c>
      <c r="U5121" t="s">
        <v>54022</v>
      </c>
      <c r="V5121" t="s">
        <v>63189</v>
      </c>
      <c r="W5121" t="s">
        <v>43089</v>
      </c>
      <c r="X5121" t="s">
        <v>47431</v>
      </c>
    </row>
    <row r="5122" spans="1:24">
      <c r="A5122">
        <f>HYPERLINK("https://www.philgeps.gov.ph/GEPSNONPILOT/Tender/SplashBidNoticeAbstractUI.aspx?menuIndex=3&amp;refID=7160580&amp;Result=3","7160580")</f>
        <v>0</v>
      </c>
      <c r="B5122" t="s">
        <v>1948</v>
      </c>
      <c r="C5122" t="s">
        <v>8734</v>
      </c>
      <c r="D5122" t="s">
        <v>19062</v>
      </c>
      <c r="E5122" t="s">
        <v>23624</v>
      </c>
      <c r="F5122" t="s">
        <v>32831</v>
      </c>
      <c r="G5122" t="s">
        <v>32838</v>
      </c>
      <c r="H5122" t="s">
        <v>32848</v>
      </c>
      <c r="I5122" t="s">
        <v>32858</v>
      </c>
      <c r="J5122" t="s">
        <v>36262</v>
      </c>
      <c r="K5122" t="s">
        <v>42726</v>
      </c>
      <c r="M5122" t="s">
        <v>45105</v>
      </c>
      <c r="N5122" t="s">
        <v>47424</v>
      </c>
      <c r="O5122" t="s">
        <v>47425</v>
      </c>
      <c r="P5122">
        <v>0</v>
      </c>
      <c r="Q5122">
        <v>1</v>
      </c>
      <c r="R5122" t="s">
        <v>47430</v>
      </c>
      <c r="S5122" t="s">
        <v>47549</v>
      </c>
      <c r="T5122" t="s">
        <v>49235</v>
      </c>
      <c r="U5122" t="s">
        <v>54023</v>
      </c>
      <c r="W5122" t="s">
        <v>45105</v>
      </c>
      <c r="X5122" t="s">
        <v>47431</v>
      </c>
    </row>
    <row r="5123" spans="1:24">
      <c r="A5123">
        <f>HYPERLINK("https://www.philgeps.gov.ph/GEPSNONPILOT/Tender/SplashBidNoticeAbstractUI.aspx?menuIndex=3&amp;refID=7160560&amp;Result=3","7160560")</f>
        <v>0</v>
      </c>
      <c r="B5123" t="s">
        <v>1949</v>
      </c>
      <c r="C5123" t="s">
        <v>8735</v>
      </c>
      <c r="D5123" t="s">
        <v>19045</v>
      </c>
      <c r="E5123" t="s">
        <v>23625</v>
      </c>
      <c r="F5123" t="s">
        <v>32831</v>
      </c>
      <c r="G5123" t="s">
        <v>32840</v>
      </c>
      <c r="H5123" t="s">
        <v>32848</v>
      </c>
      <c r="I5123" t="s">
        <v>32860</v>
      </c>
      <c r="J5123" t="s">
        <v>36263</v>
      </c>
      <c r="K5123" t="s">
        <v>42727</v>
      </c>
      <c r="M5123" t="s">
        <v>45106</v>
      </c>
      <c r="N5123" t="s">
        <v>47424</v>
      </c>
      <c r="O5123" t="s">
        <v>47425</v>
      </c>
      <c r="P5123">
        <v>0</v>
      </c>
      <c r="Q5123">
        <v>7</v>
      </c>
      <c r="R5123" t="s">
        <v>47430</v>
      </c>
      <c r="S5123" t="s">
        <v>47549</v>
      </c>
      <c r="T5123" t="s">
        <v>49166</v>
      </c>
      <c r="U5123" t="s">
        <v>54024</v>
      </c>
      <c r="W5123" t="s">
        <v>45106</v>
      </c>
      <c r="X5123" t="s">
        <v>47431</v>
      </c>
    </row>
    <row r="5124" spans="1:24">
      <c r="A5124">
        <f>HYPERLINK("https://www.philgeps.gov.ph/GEPSNONPILOT/Tender/SplashBidNoticeAbstractUI.aspx?menuIndex=3&amp;refID=7160571&amp;Result=3","7160571")</f>
        <v>0</v>
      </c>
      <c r="B5124" t="s">
        <v>1919</v>
      </c>
      <c r="C5124" t="s">
        <v>8736</v>
      </c>
      <c r="D5124" t="s">
        <v>19073</v>
      </c>
      <c r="E5124" t="s">
        <v>23626</v>
      </c>
      <c r="F5124" t="s">
        <v>32831</v>
      </c>
      <c r="G5124" t="s">
        <v>32839</v>
      </c>
      <c r="H5124" t="s">
        <v>32848</v>
      </c>
      <c r="I5124" t="s">
        <v>7416</v>
      </c>
      <c r="J5124" t="s">
        <v>36264</v>
      </c>
      <c r="K5124" t="s">
        <v>42731</v>
      </c>
      <c r="M5124" t="s">
        <v>45071</v>
      </c>
      <c r="N5124" t="s">
        <v>47424</v>
      </c>
      <c r="O5124" t="s">
        <v>47425</v>
      </c>
      <c r="P5124">
        <v>0</v>
      </c>
      <c r="Q5124">
        <v>0</v>
      </c>
      <c r="R5124" t="s">
        <v>47430</v>
      </c>
      <c r="S5124" t="s">
        <v>47549</v>
      </c>
      <c r="T5124" t="s">
        <v>49119</v>
      </c>
      <c r="U5124" t="s">
        <v>54025</v>
      </c>
      <c r="W5124" t="s">
        <v>45071</v>
      </c>
      <c r="X5124" t="s">
        <v>47431</v>
      </c>
    </row>
    <row r="5125" spans="1:24">
      <c r="A5125">
        <f>HYPERLINK("https://www.philgeps.gov.ph/GEPSNONPILOT/Tender/SplashBidNoticeAbstractUI.aspx?menuIndex=3&amp;refID=7160559&amp;Result=3","7160559")</f>
        <v>0</v>
      </c>
      <c r="B5125" t="s">
        <v>478</v>
      </c>
      <c r="C5125" t="s">
        <v>4090</v>
      </c>
      <c r="D5125" t="s">
        <v>19043</v>
      </c>
      <c r="E5125" t="s">
        <v>23627</v>
      </c>
      <c r="F5125" t="s">
        <v>32831</v>
      </c>
      <c r="G5125" t="s">
        <v>32839</v>
      </c>
      <c r="H5125" t="s">
        <v>32848</v>
      </c>
      <c r="I5125" t="s">
        <v>4776</v>
      </c>
      <c r="J5125" t="s">
        <v>36265</v>
      </c>
      <c r="K5125" t="s">
        <v>42727</v>
      </c>
      <c r="M5125" t="s">
        <v>43483</v>
      </c>
      <c r="N5125" t="s">
        <v>47424</v>
      </c>
      <c r="O5125" t="s">
        <v>47425</v>
      </c>
      <c r="P5125">
        <v>0</v>
      </c>
      <c r="Q5125">
        <v>5</v>
      </c>
      <c r="R5125" t="s">
        <v>47430</v>
      </c>
      <c r="S5125" t="s">
        <v>47549</v>
      </c>
      <c r="T5125" t="s">
        <v>49140</v>
      </c>
      <c r="U5125" t="s">
        <v>54026</v>
      </c>
      <c r="W5125" t="s">
        <v>43483</v>
      </c>
      <c r="X5125" t="s">
        <v>47431</v>
      </c>
    </row>
    <row r="5126" spans="1:24">
      <c r="A5126">
        <f>HYPERLINK("https://www.philgeps.gov.ph/GEPSNONPILOT/Tender/SplashBidNoticeAbstractUI.aspx?menuIndex=3&amp;refID=7160558&amp;Result=3","7160558")</f>
        <v>0</v>
      </c>
      <c r="B5126" t="s">
        <v>1679</v>
      </c>
      <c r="C5126" t="s">
        <v>8737</v>
      </c>
      <c r="D5126" t="s">
        <v>19052</v>
      </c>
      <c r="E5126" t="s">
        <v>23628</v>
      </c>
      <c r="F5126" t="s">
        <v>32831</v>
      </c>
      <c r="G5126" t="s">
        <v>32839</v>
      </c>
      <c r="H5126" t="s">
        <v>32849</v>
      </c>
      <c r="I5126" t="s">
        <v>4177</v>
      </c>
      <c r="J5126" t="s">
        <v>36266</v>
      </c>
      <c r="K5126" t="s">
        <v>42770</v>
      </c>
      <c r="M5126" t="s">
        <v>44797</v>
      </c>
      <c r="N5126" t="s">
        <v>47424</v>
      </c>
      <c r="O5126" t="s">
        <v>47425</v>
      </c>
      <c r="P5126">
        <v>0</v>
      </c>
      <c r="Q5126">
        <v>2</v>
      </c>
      <c r="R5126" t="s">
        <v>47430</v>
      </c>
      <c r="S5126" t="s">
        <v>47549</v>
      </c>
      <c r="T5126" t="s">
        <v>49198</v>
      </c>
      <c r="U5126" t="s">
        <v>54027</v>
      </c>
      <c r="V5126" t="s">
        <v>63083</v>
      </c>
      <c r="W5126" t="s">
        <v>44797</v>
      </c>
      <c r="X5126" t="s">
        <v>47431</v>
      </c>
    </row>
    <row r="5127" spans="1:24">
      <c r="A5127">
        <f>HYPERLINK("https://www.philgeps.gov.ph/GEPSNONPILOT/Tender/SplashBidNoticeAbstractUI.aspx?menuIndex=3&amp;refID=7160557&amp;Result=3","7160557")</f>
        <v>0</v>
      </c>
      <c r="B5127" t="s">
        <v>1950</v>
      </c>
      <c r="C5127" t="s">
        <v>8738</v>
      </c>
      <c r="D5127" t="s">
        <v>19074</v>
      </c>
      <c r="E5127" t="s">
        <v>23629</v>
      </c>
      <c r="F5127" t="s">
        <v>32831</v>
      </c>
      <c r="G5127" t="s">
        <v>32838</v>
      </c>
      <c r="H5127" t="s">
        <v>32848</v>
      </c>
      <c r="I5127" t="s">
        <v>32874</v>
      </c>
      <c r="J5127" t="s">
        <v>35125</v>
      </c>
      <c r="K5127" t="s">
        <v>42763</v>
      </c>
      <c r="M5127" t="s">
        <v>45107</v>
      </c>
      <c r="N5127" t="s">
        <v>47424</v>
      </c>
      <c r="O5127" t="s">
        <v>47425</v>
      </c>
      <c r="P5127">
        <v>0</v>
      </c>
      <c r="Q5127">
        <v>10</v>
      </c>
      <c r="R5127" t="s">
        <v>47430</v>
      </c>
      <c r="S5127" t="s">
        <v>47549</v>
      </c>
      <c r="T5127" t="s">
        <v>49166</v>
      </c>
      <c r="U5127" t="s">
        <v>54028</v>
      </c>
      <c r="V5127" t="s">
        <v>63194</v>
      </c>
      <c r="W5127" t="s">
        <v>45107</v>
      </c>
      <c r="X5127" t="s">
        <v>47431</v>
      </c>
    </row>
    <row r="5128" spans="1:24">
      <c r="A5128">
        <f>HYPERLINK("https://www.philgeps.gov.ph/GEPSNONPILOT/Tender/SplashBidNoticeAbstractUI.aspx?menuIndex=3&amp;refID=7160439&amp;Result=3","7160439")</f>
        <v>0</v>
      </c>
      <c r="B5128" t="s">
        <v>100</v>
      </c>
      <c r="C5128" t="s">
        <v>8739</v>
      </c>
      <c r="D5128" t="s">
        <v>19017</v>
      </c>
      <c r="E5128" t="s">
        <v>23630</v>
      </c>
      <c r="F5128" t="s">
        <v>32831</v>
      </c>
      <c r="G5128" t="s">
        <v>32838</v>
      </c>
      <c r="H5128" t="s">
        <v>32848</v>
      </c>
      <c r="I5128" t="s">
        <v>32863</v>
      </c>
      <c r="J5128" t="s">
        <v>33929</v>
      </c>
      <c r="K5128" t="s">
        <v>42731</v>
      </c>
      <c r="M5128" t="s">
        <v>45058</v>
      </c>
      <c r="N5128" t="s">
        <v>47424</v>
      </c>
      <c r="O5128" t="s">
        <v>47425</v>
      </c>
      <c r="P5128">
        <v>0</v>
      </c>
      <c r="Q5128">
        <v>0</v>
      </c>
      <c r="R5128" t="s">
        <v>47430</v>
      </c>
      <c r="S5128" t="s">
        <v>47549</v>
      </c>
      <c r="T5128" t="s">
        <v>49374</v>
      </c>
      <c r="U5128" t="s">
        <v>54029</v>
      </c>
      <c r="V5128" t="s">
        <v>63021</v>
      </c>
      <c r="W5128" t="s">
        <v>45058</v>
      </c>
      <c r="X5128" t="s">
        <v>47431</v>
      </c>
    </row>
    <row r="5129" spans="1:24">
      <c r="A5129">
        <f>HYPERLINK("https://www.philgeps.gov.ph/GEPSNONPILOT/Tender/SplashBidNoticeAbstractUI.aspx?menuIndex=3&amp;refID=7160420&amp;Result=3","7160420")</f>
        <v>0</v>
      </c>
      <c r="B5129" t="s">
        <v>1951</v>
      </c>
      <c r="C5129" t="s">
        <v>8740</v>
      </c>
      <c r="D5129" t="s">
        <v>19084</v>
      </c>
      <c r="E5129" t="s">
        <v>23631</v>
      </c>
      <c r="F5129" t="s">
        <v>32831</v>
      </c>
      <c r="G5129" t="s">
        <v>32842</v>
      </c>
      <c r="H5129" t="s">
        <v>32848</v>
      </c>
      <c r="I5129" t="s">
        <v>32860</v>
      </c>
      <c r="J5129" t="s">
        <v>36267</v>
      </c>
      <c r="K5129" t="s">
        <v>42730</v>
      </c>
      <c r="M5129" t="s">
        <v>45108</v>
      </c>
      <c r="N5129" t="s">
        <v>47424</v>
      </c>
      <c r="O5129" t="s">
        <v>47425</v>
      </c>
      <c r="P5129">
        <v>0</v>
      </c>
      <c r="Q5129">
        <v>0</v>
      </c>
      <c r="R5129" t="s">
        <v>47430</v>
      </c>
      <c r="S5129" t="s">
        <v>47549</v>
      </c>
      <c r="T5129" t="s">
        <v>49214</v>
      </c>
      <c r="U5129" t="s">
        <v>54030</v>
      </c>
      <c r="W5129" t="s">
        <v>45108</v>
      </c>
      <c r="X5129" t="s">
        <v>47431</v>
      </c>
    </row>
    <row r="5130" spans="1:24">
      <c r="A5130">
        <f>HYPERLINK("https://www.philgeps.gov.ph/GEPSNONPILOT/Tender/SplashBidNoticeAbstractUI.aspx?menuIndex=3&amp;refID=7160534&amp;Result=3","7160534")</f>
        <v>0</v>
      </c>
      <c r="B5130" t="s">
        <v>1750</v>
      </c>
      <c r="C5130" t="s">
        <v>8253</v>
      </c>
      <c r="D5130" t="s">
        <v>19038</v>
      </c>
      <c r="E5130" t="s">
        <v>23632</v>
      </c>
      <c r="F5130" t="s">
        <v>32831</v>
      </c>
      <c r="G5130" t="s">
        <v>32840</v>
      </c>
      <c r="H5130" t="s">
        <v>32848</v>
      </c>
      <c r="I5130" t="s">
        <v>32874</v>
      </c>
      <c r="J5130" t="s">
        <v>33430</v>
      </c>
      <c r="K5130" t="s">
        <v>42727</v>
      </c>
      <c r="M5130" t="s">
        <v>44874</v>
      </c>
      <c r="N5130" t="s">
        <v>47424</v>
      </c>
      <c r="O5130" t="s">
        <v>47425</v>
      </c>
      <c r="P5130">
        <v>0</v>
      </c>
      <c r="Q5130">
        <v>1</v>
      </c>
      <c r="R5130" t="s">
        <v>47430</v>
      </c>
      <c r="S5130" t="s">
        <v>47549</v>
      </c>
      <c r="T5130" t="s">
        <v>49079</v>
      </c>
      <c r="U5130" t="s">
        <v>54031</v>
      </c>
      <c r="W5130" t="s">
        <v>44874</v>
      </c>
      <c r="X5130" t="s">
        <v>47431</v>
      </c>
    </row>
    <row r="5131" spans="1:24">
      <c r="A5131">
        <f>HYPERLINK("https://www.philgeps.gov.ph/GEPSNONPILOT/Tender/SplashBidNoticeAbstractUI.aspx?menuIndex=3&amp;refID=7160419&amp;Result=3","7160419")</f>
        <v>0</v>
      </c>
      <c r="B5131" t="s">
        <v>1937</v>
      </c>
      <c r="C5131" t="s">
        <v>8741</v>
      </c>
      <c r="D5131" t="s">
        <v>19093</v>
      </c>
      <c r="E5131" t="s">
        <v>23633</v>
      </c>
      <c r="F5131" t="s">
        <v>32831</v>
      </c>
      <c r="G5131" t="s">
        <v>32839</v>
      </c>
      <c r="H5131" t="s">
        <v>32849</v>
      </c>
      <c r="I5131" t="s">
        <v>4177</v>
      </c>
      <c r="J5131" t="s">
        <v>36268</v>
      </c>
      <c r="K5131" t="s">
        <v>42730</v>
      </c>
      <c r="M5131" t="s">
        <v>45092</v>
      </c>
      <c r="N5131" t="s">
        <v>47424</v>
      </c>
      <c r="O5131" t="s">
        <v>47425</v>
      </c>
      <c r="P5131">
        <v>0</v>
      </c>
      <c r="Q5131">
        <v>0</v>
      </c>
      <c r="R5131" t="s">
        <v>47430</v>
      </c>
      <c r="S5131" t="s">
        <v>47549</v>
      </c>
      <c r="T5131" t="s">
        <v>49319</v>
      </c>
      <c r="U5131" t="s">
        <v>53983</v>
      </c>
      <c r="V5131" t="s">
        <v>63195</v>
      </c>
      <c r="W5131" t="s">
        <v>45092</v>
      </c>
      <c r="X5131" t="s">
        <v>47431</v>
      </c>
    </row>
    <row r="5132" spans="1:24">
      <c r="A5132">
        <f>HYPERLINK("https://www.philgeps.gov.ph/GEPSNONPILOT/Tender/SplashBidNoticeAbstractUI.aspx?menuIndex=3&amp;refID=7160408&amp;Result=3","7160408")</f>
        <v>0</v>
      </c>
      <c r="B5132" t="s">
        <v>152</v>
      </c>
      <c r="C5132" t="s">
        <v>8742</v>
      </c>
      <c r="D5132" t="s">
        <v>19068</v>
      </c>
      <c r="E5132" t="s">
        <v>23634</v>
      </c>
      <c r="F5132" t="s">
        <v>32831</v>
      </c>
      <c r="G5132" t="s">
        <v>32838</v>
      </c>
      <c r="H5132" t="s">
        <v>32848</v>
      </c>
      <c r="I5132" t="s">
        <v>32869</v>
      </c>
      <c r="J5132" t="s">
        <v>33162</v>
      </c>
      <c r="K5132" t="s">
        <v>42745</v>
      </c>
      <c r="M5132" t="s">
        <v>43149</v>
      </c>
      <c r="N5132" t="s">
        <v>47424</v>
      </c>
      <c r="O5132" t="s">
        <v>47425</v>
      </c>
      <c r="P5132">
        <v>0</v>
      </c>
      <c r="Q5132">
        <v>1</v>
      </c>
      <c r="R5132" t="s">
        <v>47430</v>
      </c>
      <c r="S5132" t="s">
        <v>47549</v>
      </c>
      <c r="T5132" t="s">
        <v>49163</v>
      </c>
      <c r="U5132" t="s">
        <v>54032</v>
      </c>
      <c r="W5132" t="s">
        <v>43149</v>
      </c>
      <c r="X5132" t="s">
        <v>47431</v>
      </c>
    </row>
    <row r="5133" spans="1:24">
      <c r="A5133">
        <f>HYPERLINK("https://www.philgeps.gov.ph/GEPSNONPILOT/Tender/SplashBidNoticeAbstractUI.aspx?menuIndex=3&amp;refID=7160568&amp;Result=3","7160568")</f>
        <v>0</v>
      </c>
      <c r="B5133" t="s">
        <v>693</v>
      </c>
      <c r="C5133" t="s">
        <v>8743</v>
      </c>
      <c r="D5133" t="s">
        <v>19073</v>
      </c>
      <c r="E5133" t="s">
        <v>23635</v>
      </c>
      <c r="F5133" t="s">
        <v>32831</v>
      </c>
      <c r="G5133" t="s">
        <v>32839</v>
      </c>
      <c r="H5133" t="s">
        <v>32848</v>
      </c>
      <c r="I5133" t="s">
        <v>32863</v>
      </c>
      <c r="J5133" t="s">
        <v>35952</v>
      </c>
      <c r="K5133" t="s">
        <v>42731</v>
      </c>
      <c r="M5133" t="s">
        <v>44145</v>
      </c>
      <c r="N5133" t="s">
        <v>47424</v>
      </c>
      <c r="O5133" t="s">
        <v>47425</v>
      </c>
      <c r="P5133">
        <v>0</v>
      </c>
      <c r="Q5133">
        <v>1</v>
      </c>
      <c r="R5133" t="s">
        <v>47430</v>
      </c>
      <c r="S5133" t="s">
        <v>47549</v>
      </c>
      <c r="T5133" t="s">
        <v>49195</v>
      </c>
      <c r="U5133" t="s">
        <v>53968</v>
      </c>
      <c r="V5133" t="s">
        <v>63187</v>
      </c>
      <c r="W5133" t="s">
        <v>64457</v>
      </c>
      <c r="X5133" t="s">
        <v>47431</v>
      </c>
    </row>
    <row r="5134" spans="1:24">
      <c r="A5134">
        <f>HYPERLINK("https://www.philgeps.gov.ph/GEPSNONPILOT/Tender/SplashBidNoticeAbstractUI.aspx?menuIndex=3&amp;refID=7160411&amp;Result=3","7160411")</f>
        <v>0</v>
      </c>
      <c r="B5134" t="s">
        <v>513</v>
      </c>
      <c r="C5134" t="s">
        <v>8556</v>
      </c>
      <c r="D5134" t="s">
        <v>19018</v>
      </c>
      <c r="E5134" t="s">
        <v>23636</v>
      </c>
      <c r="F5134" t="s">
        <v>32831</v>
      </c>
      <c r="G5134" t="s">
        <v>32838</v>
      </c>
      <c r="H5134" t="s">
        <v>32848</v>
      </c>
      <c r="I5134" t="s">
        <v>4558</v>
      </c>
      <c r="J5134" t="s">
        <v>36269</v>
      </c>
      <c r="K5134" t="s">
        <v>42726</v>
      </c>
      <c r="M5134" t="s">
        <v>43518</v>
      </c>
      <c r="N5134" t="s">
        <v>47424</v>
      </c>
      <c r="O5134" t="s">
        <v>47425</v>
      </c>
      <c r="P5134">
        <v>0</v>
      </c>
      <c r="Q5134">
        <v>1</v>
      </c>
      <c r="R5134" t="s">
        <v>47430</v>
      </c>
      <c r="S5134" t="s">
        <v>47549</v>
      </c>
      <c r="T5134" t="s">
        <v>49214</v>
      </c>
      <c r="U5134" t="s">
        <v>50599</v>
      </c>
      <c r="W5134" t="s">
        <v>64441</v>
      </c>
      <c r="X5134" t="s">
        <v>47431</v>
      </c>
    </row>
    <row r="5135" spans="1:24">
      <c r="A5135">
        <f>HYPERLINK("https://www.philgeps.gov.ph/GEPSNONPILOT/Tender/SplashBidNoticeAbstractUI.aspx?menuIndex=3&amp;refID=7160407&amp;Result=3","7160407")</f>
        <v>0</v>
      </c>
      <c r="B5135" t="s">
        <v>1322</v>
      </c>
      <c r="C5135" t="s">
        <v>8744</v>
      </c>
      <c r="D5135" t="s">
        <v>19068</v>
      </c>
      <c r="E5135" t="s">
        <v>23637</v>
      </c>
      <c r="F5135" t="s">
        <v>32831</v>
      </c>
      <c r="G5135" t="s">
        <v>32839</v>
      </c>
      <c r="H5135" t="s">
        <v>32848</v>
      </c>
      <c r="I5135" t="s">
        <v>32860</v>
      </c>
      <c r="J5135" t="s">
        <v>36270</v>
      </c>
      <c r="K5135" t="s">
        <v>42745</v>
      </c>
      <c r="M5135" t="s">
        <v>44393</v>
      </c>
      <c r="N5135" t="s">
        <v>47424</v>
      </c>
      <c r="O5135" t="s">
        <v>47425</v>
      </c>
      <c r="P5135">
        <v>0</v>
      </c>
      <c r="Q5135">
        <v>2</v>
      </c>
      <c r="R5135" t="s">
        <v>47430</v>
      </c>
      <c r="S5135" t="s">
        <v>47549</v>
      </c>
      <c r="T5135" t="s">
        <v>49106</v>
      </c>
      <c r="U5135" t="s">
        <v>54033</v>
      </c>
      <c r="V5135" t="s">
        <v>63180</v>
      </c>
      <c r="W5135" t="s">
        <v>44393</v>
      </c>
      <c r="X5135" t="s">
        <v>47431</v>
      </c>
    </row>
    <row r="5136" spans="1:24">
      <c r="A5136">
        <f>HYPERLINK("https://www.philgeps.gov.ph/GEPSNONPILOT/Tender/SplashBidNoticeAbstractUI.aspx?menuIndex=3&amp;refID=7160404&amp;Result=3","7160404")</f>
        <v>0</v>
      </c>
      <c r="B5136" t="s">
        <v>1895</v>
      </c>
      <c r="C5136" t="s">
        <v>8745</v>
      </c>
      <c r="E5136" t="s">
        <v>23638</v>
      </c>
      <c r="F5136" t="s">
        <v>32831</v>
      </c>
      <c r="G5136" t="s">
        <v>32838</v>
      </c>
      <c r="H5136" t="s">
        <v>32848</v>
      </c>
      <c r="I5136" t="s">
        <v>4303</v>
      </c>
      <c r="J5136" t="s">
        <v>33490</v>
      </c>
      <c r="K5136" t="s">
        <v>42732</v>
      </c>
      <c r="M5136" t="s">
        <v>45042</v>
      </c>
      <c r="N5136" t="s">
        <v>47424</v>
      </c>
      <c r="O5136" t="s">
        <v>47425</v>
      </c>
      <c r="P5136">
        <v>0</v>
      </c>
      <c r="Q5136">
        <v>0</v>
      </c>
      <c r="R5136" t="s">
        <v>47430</v>
      </c>
      <c r="S5136" t="s">
        <v>47549</v>
      </c>
      <c r="T5136" t="s">
        <v>49237</v>
      </c>
      <c r="U5136" t="s">
        <v>54034</v>
      </c>
      <c r="W5136" t="s">
        <v>45042</v>
      </c>
      <c r="X5136" t="s">
        <v>47431</v>
      </c>
    </row>
    <row r="5137" spans="1:24">
      <c r="A5137">
        <f>HYPERLINK("https://www.philgeps.gov.ph/GEPSNONPILOT/Tender/SplashBidNoticeAbstractUI.aspx?menuIndex=3&amp;refID=7160064&amp;Result=3","7160064")</f>
        <v>0</v>
      </c>
      <c r="B5137" t="s">
        <v>791</v>
      </c>
      <c r="C5137" t="s">
        <v>8746</v>
      </c>
      <c r="D5137" t="s">
        <v>19034</v>
      </c>
      <c r="E5137" t="s">
        <v>23639</v>
      </c>
      <c r="F5137" t="s">
        <v>32831</v>
      </c>
      <c r="G5137" t="s">
        <v>32839</v>
      </c>
      <c r="H5137" t="s">
        <v>32848</v>
      </c>
      <c r="I5137" t="s">
        <v>9577</v>
      </c>
      <c r="J5137" t="s">
        <v>36271</v>
      </c>
      <c r="K5137" t="s">
        <v>42742</v>
      </c>
      <c r="M5137" t="s">
        <v>43821</v>
      </c>
      <c r="N5137" t="s">
        <v>47424</v>
      </c>
      <c r="O5137" t="s">
        <v>47425</v>
      </c>
      <c r="P5137">
        <v>0</v>
      </c>
      <c r="Q5137">
        <v>0</v>
      </c>
      <c r="R5137" t="s">
        <v>47430</v>
      </c>
      <c r="S5137" t="s">
        <v>47549</v>
      </c>
      <c r="T5137" t="s">
        <v>49129</v>
      </c>
      <c r="U5137" t="s">
        <v>53039</v>
      </c>
      <c r="W5137" t="s">
        <v>43821</v>
      </c>
      <c r="X5137" t="s">
        <v>47431</v>
      </c>
    </row>
    <row r="5138" spans="1:24">
      <c r="A5138">
        <f>HYPERLINK("https://www.philgeps.gov.ph/GEPSNONPILOT/Tender/SplashBidNoticeAbstractUI.aspx?menuIndex=3&amp;refID=7160564&amp;Result=3","7160564")</f>
        <v>0</v>
      </c>
      <c r="B5138" t="s">
        <v>1608</v>
      </c>
      <c r="C5138" t="s">
        <v>8747</v>
      </c>
      <c r="D5138" t="s">
        <v>19058</v>
      </c>
      <c r="E5138" t="s">
        <v>23640</v>
      </c>
      <c r="F5138" t="s">
        <v>32831</v>
      </c>
      <c r="G5138" t="s">
        <v>32839</v>
      </c>
      <c r="H5138" t="s">
        <v>32849</v>
      </c>
      <c r="I5138" t="s">
        <v>4177</v>
      </c>
      <c r="J5138" t="s">
        <v>36272</v>
      </c>
      <c r="K5138" t="s">
        <v>42873</v>
      </c>
      <c r="M5138" t="s">
        <v>44724</v>
      </c>
      <c r="N5138" t="s">
        <v>47424</v>
      </c>
      <c r="O5138" t="s">
        <v>47425</v>
      </c>
      <c r="P5138">
        <v>0</v>
      </c>
      <c r="Q5138">
        <v>0</v>
      </c>
      <c r="R5138" t="s">
        <v>47430</v>
      </c>
      <c r="S5138" t="s">
        <v>47549</v>
      </c>
      <c r="T5138" t="s">
        <v>49077</v>
      </c>
      <c r="U5138" t="s">
        <v>53033</v>
      </c>
      <c r="V5138" t="s">
        <v>63196</v>
      </c>
      <c r="W5138" t="s">
        <v>44724</v>
      </c>
      <c r="X5138" t="s">
        <v>47431</v>
      </c>
    </row>
    <row r="5139" spans="1:24">
      <c r="A5139">
        <f>HYPERLINK("https://www.philgeps.gov.ph/GEPSNONPILOT/Tender/SplashBidNoticeAbstractUI.aspx?menuIndex=3&amp;refID=7160040&amp;Result=3","7160040")</f>
        <v>0</v>
      </c>
      <c r="B5139" t="s">
        <v>1952</v>
      </c>
      <c r="C5139" t="s">
        <v>8748</v>
      </c>
      <c r="D5139" t="s">
        <v>19061</v>
      </c>
      <c r="E5139" t="s">
        <v>19845</v>
      </c>
      <c r="F5139" t="s">
        <v>32831</v>
      </c>
      <c r="G5139" t="s">
        <v>32842</v>
      </c>
      <c r="H5139" t="s">
        <v>32848</v>
      </c>
      <c r="I5139" t="s">
        <v>32860</v>
      </c>
      <c r="J5139" t="s">
        <v>36273</v>
      </c>
      <c r="K5139" t="s">
        <v>42732</v>
      </c>
      <c r="M5139" t="s">
        <v>45109</v>
      </c>
      <c r="N5139" t="s">
        <v>47424</v>
      </c>
      <c r="O5139" t="s">
        <v>47425</v>
      </c>
      <c r="P5139">
        <v>0</v>
      </c>
      <c r="Q5139">
        <v>6</v>
      </c>
      <c r="R5139" t="s">
        <v>47430</v>
      </c>
      <c r="S5139" t="s">
        <v>47549</v>
      </c>
      <c r="T5139" t="s">
        <v>49124</v>
      </c>
      <c r="U5139" t="s">
        <v>54035</v>
      </c>
      <c r="V5139" t="s">
        <v>63197</v>
      </c>
      <c r="W5139" t="s">
        <v>45109</v>
      </c>
      <c r="X5139" t="s">
        <v>47431</v>
      </c>
    </row>
    <row r="5140" spans="1:24">
      <c r="A5140">
        <f>HYPERLINK("https://www.philgeps.gov.ph/GEPSNONPILOT/Tender/SplashBidNoticeAbstractUI.aspx?menuIndex=3&amp;refID=7160039&amp;Result=3","7160039")</f>
        <v>0</v>
      </c>
      <c r="B5140" t="s">
        <v>69</v>
      </c>
      <c r="C5140" t="s">
        <v>8749</v>
      </c>
      <c r="D5140" t="s">
        <v>19021</v>
      </c>
      <c r="E5140" t="s">
        <v>23641</v>
      </c>
      <c r="F5140" t="s">
        <v>32831</v>
      </c>
      <c r="G5140" t="s">
        <v>32842</v>
      </c>
      <c r="H5140" t="s">
        <v>32848</v>
      </c>
      <c r="I5140" t="s">
        <v>9577</v>
      </c>
      <c r="J5140" t="s">
        <v>36274</v>
      </c>
      <c r="K5140" t="s">
        <v>42727</v>
      </c>
      <c r="L5140" t="s">
        <v>69</v>
      </c>
      <c r="M5140" t="s">
        <v>43066</v>
      </c>
      <c r="N5140" t="s">
        <v>47424</v>
      </c>
      <c r="O5140" t="s">
        <v>47425</v>
      </c>
      <c r="P5140">
        <v>0</v>
      </c>
      <c r="Q5140">
        <v>2</v>
      </c>
      <c r="R5140" t="s">
        <v>47430</v>
      </c>
      <c r="S5140" t="s">
        <v>47549</v>
      </c>
      <c r="T5140" t="s">
        <v>49114</v>
      </c>
      <c r="U5140" t="s">
        <v>54036</v>
      </c>
      <c r="W5140" t="s">
        <v>43066</v>
      </c>
      <c r="X5140" t="s">
        <v>47431</v>
      </c>
    </row>
    <row r="5141" spans="1:24">
      <c r="A5141">
        <f>HYPERLINK("https://www.philgeps.gov.ph/GEPSNONPILOT/Tender/SplashBidNoticeAbstractUI.aspx?menuIndex=3&amp;refID=7160033&amp;Result=3","7160033")</f>
        <v>0</v>
      </c>
      <c r="B5141" t="s">
        <v>1321</v>
      </c>
      <c r="C5141" t="s">
        <v>8750</v>
      </c>
      <c r="D5141" t="s">
        <v>19074</v>
      </c>
      <c r="E5141" t="s">
        <v>23642</v>
      </c>
      <c r="F5141" t="s">
        <v>32831</v>
      </c>
      <c r="G5141" t="s">
        <v>32839</v>
      </c>
      <c r="H5141" t="s">
        <v>32849</v>
      </c>
      <c r="I5141" t="s">
        <v>4177</v>
      </c>
      <c r="J5141" t="s">
        <v>36275</v>
      </c>
      <c r="K5141" t="s">
        <v>42874</v>
      </c>
      <c r="M5141" t="s">
        <v>44392</v>
      </c>
      <c r="N5141" t="s">
        <v>47424</v>
      </c>
      <c r="O5141" t="s">
        <v>47425</v>
      </c>
      <c r="P5141">
        <v>0</v>
      </c>
      <c r="Q5141">
        <v>1</v>
      </c>
      <c r="R5141" t="s">
        <v>47430</v>
      </c>
      <c r="S5141" t="s">
        <v>47549</v>
      </c>
      <c r="T5141" t="s">
        <v>49181</v>
      </c>
      <c r="U5141" t="s">
        <v>54037</v>
      </c>
      <c r="V5141" t="s">
        <v>63198</v>
      </c>
      <c r="W5141" t="s">
        <v>44392</v>
      </c>
      <c r="X5141" t="s">
        <v>47431</v>
      </c>
    </row>
    <row r="5142" spans="1:24">
      <c r="A5142">
        <f>HYPERLINK("https://www.philgeps.gov.ph/GEPSNONPILOT/Tender/SplashBidNoticeAbstractUI.aspx?menuIndex=3&amp;refID=7159911&amp;Result=3","7159911")</f>
        <v>0</v>
      </c>
      <c r="B5142" t="s">
        <v>1829</v>
      </c>
      <c r="C5142" t="s">
        <v>8751</v>
      </c>
      <c r="D5142" t="s">
        <v>19057</v>
      </c>
      <c r="E5142" t="s">
        <v>23643</v>
      </c>
      <c r="F5142" t="s">
        <v>32831</v>
      </c>
      <c r="G5142" t="s">
        <v>32839</v>
      </c>
      <c r="H5142" t="s">
        <v>32850</v>
      </c>
      <c r="I5142" t="s">
        <v>4177</v>
      </c>
      <c r="J5142" t="s">
        <v>36276</v>
      </c>
      <c r="K5142" t="s">
        <v>42729</v>
      </c>
      <c r="M5142" t="s">
        <v>44962</v>
      </c>
      <c r="N5142" t="s">
        <v>47424</v>
      </c>
      <c r="O5142" t="s">
        <v>47425</v>
      </c>
      <c r="P5142">
        <v>0</v>
      </c>
      <c r="Q5142">
        <v>0</v>
      </c>
      <c r="R5142" t="s">
        <v>47430</v>
      </c>
      <c r="S5142" t="s">
        <v>47549</v>
      </c>
      <c r="T5142" t="s">
        <v>49073</v>
      </c>
      <c r="U5142" t="s">
        <v>54038</v>
      </c>
      <c r="W5142" t="s">
        <v>44962</v>
      </c>
      <c r="X5142" t="s">
        <v>47431</v>
      </c>
    </row>
    <row r="5143" spans="1:24">
      <c r="A5143">
        <f>HYPERLINK("https://www.philgeps.gov.ph/GEPSNONPILOT/Tender/SplashBidNoticeAbstractUI.aspx?menuIndex=3&amp;refID=7160063&amp;Result=3","7160063")</f>
        <v>0</v>
      </c>
      <c r="B5143" t="s">
        <v>525</v>
      </c>
      <c r="C5143" t="s">
        <v>8752</v>
      </c>
      <c r="D5143" t="s">
        <v>19029</v>
      </c>
      <c r="E5143" t="s">
        <v>23644</v>
      </c>
      <c r="F5143" t="s">
        <v>32831</v>
      </c>
      <c r="G5143" t="s">
        <v>32839</v>
      </c>
      <c r="H5143" t="s">
        <v>32849</v>
      </c>
      <c r="I5143" t="s">
        <v>4177</v>
      </c>
      <c r="J5143" t="s">
        <v>36277</v>
      </c>
      <c r="K5143" t="s">
        <v>42875</v>
      </c>
      <c r="M5143" t="s">
        <v>43531</v>
      </c>
      <c r="N5143" t="s">
        <v>47424</v>
      </c>
      <c r="O5143" t="s">
        <v>47425</v>
      </c>
      <c r="P5143">
        <v>0</v>
      </c>
      <c r="Q5143">
        <v>1</v>
      </c>
      <c r="R5143" t="s">
        <v>47430</v>
      </c>
      <c r="S5143" t="s">
        <v>47549</v>
      </c>
      <c r="T5143" t="s">
        <v>49078</v>
      </c>
      <c r="U5143" t="s">
        <v>54039</v>
      </c>
      <c r="W5143" t="s">
        <v>43531</v>
      </c>
      <c r="X5143" t="s">
        <v>47431</v>
      </c>
    </row>
    <row r="5144" spans="1:24">
      <c r="A5144">
        <f>HYPERLINK("https://www.philgeps.gov.ph/GEPSNONPILOT/Tender/SplashBidNoticeAbstractUI.aspx?menuIndex=3&amp;refID=7159910&amp;Result=3","7159910")</f>
        <v>0</v>
      </c>
      <c r="B5144" t="s">
        <v>93</v>
      </c>
      <c r="C5144" t="s">
        <v>8753</v>
      </c>
      <c r="D5144" t="s">
        <v>19035</v>
      </c>
      <c r="E5144" t="s">
        <v>23645</v>
      </c>
      <c r="F5144" t="s">
        <v>32831</v>
      </c>
      <c r="G5144" t="s">
        <v>32839</v>
      </c>
      <c r="H5144" t="s">
        <v>32848</v>
      </c>
      <c r="I5144" t="s">
        <v>4558</v>
      </c>
      <c r="J5144" t="s">
        <v>36278</v>
      </c>
      <c r="K5144" t="s">
        <v>42730</v>
      </c>
      <c r="M5144" t="s">
        <v>43090</v>
      </c>
      <c r="N5144" t="s">
        <v>47424</v>
      </c>
      <c r="O5144" t="s">
        <v>47425</v>
      </c>
      <c r="P5144">
        <v>0</v>
      </c>
      <c r="Q5144">
        <v>5</v>
      </c>
      <c r="R5144" t="s">
        <v>47430</v>
      </c>
      <c r="S5144" t="s">
        <v>47549</v>
      </c>
      <c r="T5144" t="s">
        <v>49254</v>
      </c>
      <c r="U5144" t="s">
        <v>53663</v>
      </c>
      <c r="V5144" t="s">
        <v>63199</v>
      </c>
      <c r="W5144" t="s">
        <v>43090</v>
      </c>
      <c r="X5144" t="s">
        <v>47431</v>
      </c>
    </row>
    <row r="5145" spans="1:24">
      <c r="A5145">
        <f>HYPERLINK("https://www.philgeps.gov.ph/GEPSNONPILOT/Tender/SplashBidNoticeAbstractUI.aspx?menuIndex=3&amp;refID=7159909&amp;Result=3","7159909")</f>
        <v>0</v>
      </c>
      <c r="B5145" t="s">
        <v>1953</v>
      </c>
      <c r="C5145" t="s">
        <v>8754</v>
      </c>
      <c r="E5145" t="s">
        <v>23646</v>
      </c>
      <c r="F5145" t="s">
        <v>32831</v>
      </c>
      <c r="G5145" t="s">
        <v>32839</v>
      </c>
      <c r="H5145" t="s">
        <v>32848</v>
      </c>
      <c r="I5145" t="s">
        <v>4776</v>
      </c>
      <c r="J5145" t="s">
        <v>33083</v>
      </c>
      <c r="K5145" t="s">
        <v>42747</v>
      </c>
      <c r="M5145" t="s">
        <v>45110</v>
      </c>
      <c r="N5145" t="s">
        <v>47424</v>
      </c>
      <c r="O5145" t="s">
        <v>47425</v>
      </c>
      <c r="P5145">
        <v>0</v>
      </c>
      <c r="Q5145">
        <v>0</v>
      </c>
      <c r="R5145" t="s">
        <v>47430</v>
      </c>
      <c r="S5145" t="s">
        <v>47549</v>
      </c>
      <c r="T5145" t="s">
        <v>49065</v>
      </c>
      <c r="U5145" t="s">
        <v>54040</v>
      </c>
      <c r="W5145" t="s">
        <v>45110</v>
      </c>
      <c r="X5145" t="s">
        <v>47431</v>
      </c>
    </row>
    <row r="5146" spans="1:24">
      <c r="A5146">
        <f>HYPERLINK("https://www.philgeps.gov.ph/GEPSNONPILOT/Tender/SplashBidNoticeAbstractUI.aspx?menuIndex=3&amp;refID=7160416&amp;Result=3","7160416")</f>
        <v>0</v>
      </c>
      <c r="B5146" t="s">
        <v>1904</v>
      </c>
      <c r="C5146" t="s">
        <v>8755</v>
      </c>
      <c r="D5146" t="s">
        <v>19049</v>
      </c>
      <c r="E5146" t="s">
        <v>23647</v>
      </c>
      <c r="F5146" t="s">
        <v>32831</v>
      </c>
      <c r="G5146" t="s">
        <v>32838</v>
      </c>
      <c r="H5146" t="s">
        <v>32848</v>
      </c>
      <c r="I5146" t="s">
        <v>9577</v>
      </c>
      <c r="J5146" t="s">
        <v>33957</v>
      </c>
      <c r="K5146" t="s">
        <v>42732</v>
      </c>
      <c r="M5146" t="s">
        <v>45053</v>
      </c>
      <c r="N5146" t="s">
        <v>47424</v>
      </c>
      <c r="O5146" t="s">
        <v>47425</v>
      </c>
      <c r="P5146">
        <v>0</v>
      </c>
      <c r="Q5146">
        <v>0</v>
      </c>
      <c r="R5146" t="s">
        <v>47430</v>
      </c>
      <c r="S5146" t="s">
        <v>47549</v>
      </c>
      <c r="T5146" t="s">
        <v>49145</v>
      </c>
      <c r="U5146" t="s">
        <v>54041</v>
      </c>
      <c r="W5146" t="s">
        <v>45053</v>
      </c>
      <c r="X5146" t="s">
        <v>47431</v>
      </c>
    </row>
    <row r="5147" spans="1:24">
      <c r="A5147">
        <f>HYPERLINK("https://www.philgeps.gov.ph/GEPSNONPILOT/Tender/SplashBidNoticeAbstractUI.aspx?menuIndex=3&amp;refID=7159945&amp;Result=3","7159945")</f>
        <v>0</v>
      </c>
      <c r="B5147" t="s">
        <v>1362</v>
      </c>
      <c r="C5147" t="s">
        <v>8756</v>
      </c>
      <c r="D5147" t="s">
        <v>19017</v>
      </c>
      <c r="E5147" t="s">
        <v>23648</v>
      </c>
      <c r="F5147" t="s">
        <v>32831</v>
      </c>
      <c r="G5147" t="s">
        <v>32838</v>
      </c>
      <c r="H5147" t="s">
        <v>32848</v>
      </c>
      <c r="I5147" t="s">
        <v>32874</v>
      </c>
      <c r="J5147" t="s">
        <v>36279</v>
      </c>
      <c r="K5147" t="s">
        <v>42732</v>
      </c>
      <c r="M5147" t="s">
        <v>44994</v>
      </c>
      <c r="N5147" t="s">
        <v>47424</v>
      </c>
      <c r="O5147" t="s">
        <v>47425</v>
      </c>
      <c r="P5147">
        <v>0</v>
      </c>
      <c r="Q5147">
        <v>20</v>
      </c>
      <c r="R5147" t="s">
        <v>47430</v>
      </c>
      <c r="S5147" t="s">
        <v>47549</v>
      </c>
      <c r="T5147" t="s">
        <v>49163</v>
      </c>
      <c r="U5147" t="s">
        <v>54042</v>
      </c>
      <c r="V5147" t="s">
        <v>63161</v>
      </c>
      <c r="W5147" t="s">
        <v>44994</v>
      </c>
      <c r="X5147" t="s">
        <v>47431</v>
      </c>
    </row>
    <row r="5148" spans="1:24">
      <c r="A5148">
        <f>HYPERLINK("https://www.philgeps.gov.ph/GEPSNONPILOT/Tender/SplashBidNoticeAbstractUI.aspx?menuIndex=3&amp;refID=7159882&amp;Result=3","7159882")</f>
        <v>0</v>
      </c>
      <c r="B5148" t="s">
        <v>1679</v>
      </c>
      <c r="C5148" t="s">
        <v>8757</v>
      </c>
      <c r="D5148" t="s">
        <v>19052</v>
      </c>
      <c r="E5148" t="s">
        <v>23649</v>
      </c>
      <c r="F5148" t="s">
        <v>32831</v>
      </c>
      <c r="G5148" t="s">
        <v>32839</v>
      </c>
      <c r="H5148" t="s">
        <v>32849</v>
      </c>
      <c r="I5148" t="s">
        <v>4177</v>
      </c>
      <c r="J5148" t="s">
        <v>35989</v>
      </c>
      <c r="K5148" t="s">
        <v>42779</v>
      </c>
      <c r="M5148" t="s">
        <v>44797</v>
      </c>
      <c r="N5148" t="s">
        <v>47424</v>
      </c>
      <c r="O5148" t="s">
        <v>47425</v>
      </c>
      <c r="P5148">
        <v>0</v>
      </c>
      <c r="Q5148">
        <v>2</v>
      </c>
      <c r="R5148" t="s">
        <v>47430</v>
      </c>
      <c r="S5148" t="s">
        <v>47549</v>
      </c>
      <c r="T5148" t="s">
        <v>49198</v>
      </c>
      <c r="U5148" t="s">
        <v>53626</v>
      </c>
      <c r="V5148" t="s">
        <v>63090</v>
      </c>
      <c r="W5148" t="s">
        <v>44797</v>
      </c>
      <c r="X5148" t="s">
        <v>47431</v>
      </c>
    </row>
    <row r="5149" spans="1:24">
      <c r="A5149">
        <f>HYPERLINK("https://www.philgeps.gov.ph/GEPSNONPILOT/Tender/SplashBidNoticeAbstractUI.aspx?menuIndex=3&amp;refID=7159881&amp;Result=3","7159881")</f>
        <v>0</v>
      </c>
      <c r="B5149" t="s">
        <v>1954</v>
      </c>
      <c r="C5149" t="s">
        <v>8758</v>
      </c>
      <c r="D5149" t="s">
        <v>19034</v>
      </c>
      <c r="E5149" t="s">
        <v>19144</v>
      </c>
      <c r="F5149" t="s">
        <v>32831</v>
      </c>
      <c r="G5149" t="s">
        <v>32839</v>
      </c>
      <c r="H5149" t="s">
        <v>32849</v>
      </c>
      <c r="I5149" t="s">
        <v>4177</v>
      </c>
      <c r="J5149" t="s">
        <v>33087</v>
      </c>
      <c r="K5149" t="s">
        <v>42825</v>
      </c>
      <c r="M5149" t="s">
        <v>45111</v>
      </c>
      <c r="N5149" t="s">
        <v>47424</v>
      </c>
      <c r="O5149" t="s">
        <v>47425</v>
      </c>
      <c r="P5149">
        <v>0</v>
      </c>
      <c r="Q5149">
        <v>0</v>
      </c>
      <c r="R5149" t="s">
        <v>47430</v>
      </c>
      <c r="S5149" t="s">
        <v>47549</v>
      </c>
      <c r="T5149" t="s">
        <v>49080</v>
      </c>
      <c r="U5149" t="s">
        <v>54043</v>
      </c>
      <c r="W5149" t="s">
        <v>47421</v>
      </c>
      <c r="X5149" t="s">
        <v>47431</v>
      </c>
    </row>
    <row r="5150" spans="1:24">
      <c r="A5150">
        <f>HYPERLINK("https://www.philgeps.gov.ph/GEPSNONPILOT/Tender/SplashBidNoticeAbstractUI.aspx?menuIndex=3&amp;refID=7160034&amp;Result=3","7160034")</f>
        <v>0</v>
      </c>
      <c r="B5150" t="s">
        <v>391</v>
      </c>
      <c r="C5150" t="s">
        <v>8759</v>
      </c>
      <c r="D5150" t="s">
        <v>19090</v>
      </c>
      <c r="E5150" t="s">
        <v>23650</v>
      </c>
      <c r="F5150" t="s">
        <v>32831</v>
      </c>
      <c r="G5150" t="s">
        <v>32843</v>
      </c>
      <c r="H5150" t="s">
        <v>32848</v>
      </c>
      <c r="I5150" t="s">
        <v>4438</v>
      </c>
      <c r="J5150" t="s">
        <v>36280</v>
      </c>
      <c r="K5150" t="s">
        <v>42758</v>
      </c>
      <c r="M5150" t="s">
        <v>43396</v>
      </c>
      <c r="N5150" t="s">
        <v>47424</v>
      </c>
      <c r="O5150" t="s">
        <v>47425</v>
      </c>
      <c r="P5150">
        <v>0</v>
      </c>
      <c r="Q5150">
        <v>1</v>
      </c>
      <c r="R5150" t="s">
        <v>47430</v>
      </c>
      <c r="S5150" t="s">
        <v>47549</v>
      </c>
      <c r="T5150" t="s">
        <v>49237</v>
      </c>
      <c r="U5150" t="s">
        <v>54044</v>
      </c>
      <c r="W5150" t="s">
        <v>43396</v>
      </c>
      <c r="X5150" t="s">
        <v>47431</v>
      </c>
    </row>
    <row r="5151" spans="1:24">
      <c r="A5151">
        <f>HYPERLINK("https://www.philgeps.gov.ph/GEPSNONPILOT/Tender/SplashBidNoticeAbstractUI.aspx?menuIndex=3&amp;refID=7159908&amp;Result=3","7159908")</f>
        <v>0</v>
      </c>
      <c r="B5151" t="s">
        <v>1830</v>
      </c>
      <c r="C5151" t="s">
        <v>8760</v>
      </c>
      <c r="D5151" t="s">
        <v>19043</v>
      </c>
      <c r="E5151" t="s">
        <v>23651</v>
      </c>
      <c r="F5151" t="s">
        <v>32831</v>
      </c>
      <c r="G5151" t="s">
        <v>32839</v>
      </c>
      <c r="H5151" t="s">
        <v>32848</v>
      </c>
      <c r="I5151" t="s">
        <v>32857</v>
      </c>
      <c r="J5151" t="s">
        <v>35849</v>
      </c>
      <c r="K5151" t="s">
        <v>42730</v>
      </c>
      <c r="M5151" t="s">
        <v>44964</v>
      </c>
      <c r="N5151" t="s">
        <v>47424</v>
      </c>
      <c r="O5151" t="s">
        <v>47425</v>
      </c>
      <c r="P5151">
        <v>0</v>
      </c>
      <c r="Q5151">
        <v>1</v>
      </c>
      <c r="R5151" t="s">
        <v>47430</v>
      </c>
      <c r="S5151" t="s">
        <v>47549</v>
      </c>
      <c r="T5151" t="s">
        <v>49073</v>
      </c>
      <c r="U5151" t="s">
        <v>54045</v>
      </c>
      <c r="V5151" t="s">
        <v>63144</v>
      </c>
      <c r="W5151" t="s">
        <v>44964</v>
      </c>
      <c r="X5151" t="s">
        <v>47431</v>
      </c>
    </row>
    <row r="5152" spans="1:24">
      <c r="A5152">
        <f>HYPERLINK("https://www.philgeps.gov.ph/GEPSNONPILOT/Tender/SplashBidNoticeAbstractUI.aspx?menuIndex=3&amp;refID=7159875&amp;Result=3","7159875")</f>
        <v>0</v>
      </c>
      <c r="B5152" t="s">
        <v>1707</v>
      </c>
      <c r="C5152" t="s">
        <v>8761</v>
      </c>
      <c r="D5152" t="s">
        <v>19074</v>
      </c>
      <c r="E5152" t="s">
        <v>23652</v>
      </c>
      <c r="F5152" t="s">
        <v>32831</v>
      </c>
      <c r="G5152" t="s">
        <v>32839</v>
      </c>
      <c r="H5152" t="s">
        <v>32849</v>
      </c>
      <c r="I5152" t="s">
        <v>4177</v>
      </c>
      <c r="J5152" t="s">
        <v>36281</v>
      </c>
      <c r="K5152" t="s">
        <v>42757</v>
      </c>
      <c r="M5152" t="s">
        <v>44829</v>
      </c>
      <c r="N5152" t="s">
        <v>47424</v>
      </c>
      <c r="O5152" t="s">
        <v>47425</v>
      </c>
      <c r="P5152">
        <v>0</v>
      </c>
      <c r="Q5152">
        <v>0</v>
      </c>
      <c r="R5152" t="s">
        <v>47430</v>
      </c>
      <c r="S5152" t="s">
        <v>47549</v>
      </c>
      <c r="T5152" t="s">
        <v>49147</v>
      </c>
      <c r="U5152" t="s">
        <v>54046</v>
      </c>
      <c r="W5152" t="s">
        <v>44829</v>
      </c>
      <c r="X5152" t="s">
        <v>47431</v>
      </c>
    </row>
    <row r="5153" spans="1:24">
      <c r="A5153">
        <f>HYPERLINK("https://www.philgeps.gov.ph/GEPSNONPILOT/Tender/SplashBidNoticeAbstractUI.aspx?menuIndex=3&amp;refID=7159885&amp;Result=3","7159885")</f>
        <v>0</v>
      </c>
      <c r="B5153" t="s">
        <v>588</v>
      </c>
      <c r="C5153" t="s">
        <v>8762</v>
      </c>
      <c r="D5153" t="s">
        <v>19051</v>
      </c>
      <c r="E5153" t="s">
        <v>23653</v>
      </c>
      <c r="F5153" t="s">
        <v>32831</v>
      </c>
      <c r="G5153" t="s">
        <v>32839</v>
      </c>
      <c r="H5153" t="s">
        <v>32848</v>
      </c>
      <c r="I5153" t="s">
        <v>32857</v>
      </c>
      <c r="J5153" t="s">
        <v>36282</v>
      </c>
      <c r="K5153" t="s">
        <v>42732</v>
      </c>
      <c r="M5153" t="s">
        <v>45112</v>
      </c>
      <c r="N5153" t="s">
        <v>47424</v>
      </c>
      <c r="O5153" t="s">
        <v>47425</v>
      </c>
      <c r="P5153">
        <v>0</v>
      </c>
      <c r="Q5153">
        <v>3</v>
      </c>
      <c r="R5153" t="s">
        <v>47430</v>
      </c>
      <c r="S5153" t="s">
        <v>47549</v>
      </c>
      <c r="T5153" t="s">
        <v>49069</v>
      </c>
      <c r="U5153" t="s">
        <v>54047</v>
      </c>
      <c r="W5153" t="s">
        <v>45112</v>
      </c>
      <c r="X5153" t="s">
        <v>47431</v>
      </c>
    </row>
    <row r="5154" spans="1:24">
      <c r="A5154">
        <f>HYPERLINK("https://www.philgeps.gov.ph/GEPSNONPILOT/Tender/SplashBidNoticeAbstractUI.aspx?menuIndex=3&amp;refID=7159874&amp;Result=3","7159874")</f>
        <v>0</v>
      </c>
      <c r="B5154" t="s">
        <v>1149</v>
      </c>
      <c r="C5154" t="s">
        <v>8763</v>
      </c>
      <c r="D5154" t="s">
        <v>19079</v>
      </c>
      <c r="E5154" t="s">
        <v>23654</v>
      </c>
      <c r="F5154" t="s">
        <v>32831</v>
      </c>
      <c r="G5154" t="s">
        <v>32838</v>
      </c>
      <c r="H5154" t="s">
        <v>32848</v>
      </c>
      <c r="I5154" t="s">
        <v>4558</v>
      </c>
      <c r="J5154" t="s">
        <v>34100</v>
      </c>
      <c r="K5154" t="s">
        <v>42732</v>
      </c>
      <c r="M5154" t="s">
        <v>44213</v>
      </c>
      <c r="N5154" t="s">
        <v>47424</v>
      </c>
      <c r="O5154" t="s">
        <v>47425</v>
      </c>
      <c r="P5154">
        <v>0</v>
      </c>
      <c r="Q5154">
        <v>0</v>
      </c>
      <c r="R5154" t="s">
        <v>47430</v>
      </c>
      <c r="S5154" t="s">
        <v>47549</v>
      </c>
      <c r="T5154" t="s">
        <v>49061</v>
      </c>
      <c r="U5154" t="s">
        <v>54048</v>
      </c>
      <c r="W5154" t="s">
        <v>44213</v>
      </c>
      <c r="X5154" t="s">
        <v>47431</v>
      </c>
    </row>
    <row r="5155" spans="1:24">
      <c r="A5155">
        <f>HYPERLINK("https://www.philgeps.gov.ph/GEPSNONPILOT/Tender/SplashBidNoticeAbstractUI.aspx?menuIndex=3&amp;refID=7159849&amp;Result=3","7159849")</f>
        <v>0</v>
      </c>
      <c r="B5155" t="s">
        <v>1955</v>
      </c>
      <c r="C5155" t="s">
        <v>8764</v>
      </c>
      <c r="D5155" t="s">
        <v>19045</v>
      </c>
      <c r="E5155" t="s">
        <v>23655</v>
      </c>
      <c r="F5155" t="s">
        <v>32831</v>
      </c>
      <c r="G5155" t="s">
        <v>32839</v>
      </c>
      <c r="H5155" t="s">
        <v>32848</v>
      </c>
      <c r="I5155" t="s">
        <v>32854</v>
      </c>
      <c r="J5155" t="s">
        <v>32980</v>
      </c>
      <c r="K5155" t="s">
        <v>42760</v>
      </c>
      <c r="M5155" t="s">
        <v>45113</v>
      </c>
      <c r="N5155" t="s">
        <v>47424</v>
      </c>
      <c r="O5155" t="s">
        <v>47425</v>
      </c>
      <c r="P5155">
        <v>0</v>
      </c>
      <c r="Q5155">
        <v>1</v>
      </c>
      <c r="R5155" t="s">
        <v>47430</v>
      </c>
      <c r="S5155" t="s">
        <v>47549</v>
      </c>
      <c r="T5155" t="s">
        <v>49119</v>
      </c>
      <c r="U5155" t="s">
        <v>54049</v>
      </c>
      <c r="W5155" t="s">
        <v>45113</v>
      </c>
      <c r="X5155" t="s">
        <v>47431</v>
      </c>
    </row>
    <row r="5156" spans="1:24">
      <c r="A5156">
        <f>HYPERLINK("https://www.philgeps.gov.ph/GEPSNONPILOT/Tender/SplashBidNoticeAbstractUI.aspx?menuIndex=3&amp;refID=7160562&amp;Result=3","7160562")</f>
        <v>0</v>
      </c>
      <c r="B5156" t="s">
        <v>936</v>
      </c>
      <c r="C5156" t="s">
        <v>8765</v>
      </c>
      <c r="D5156" t="s">
        <v>19088</v>
      </c>
      <c r="E5156" t="s">
        <v>23656</v>
      </c>
      <c r="F5156" t="s">
        <v>32831</v>
      </c>
      <c r="G5156" t="s">
        <v>32839</v>
      </c>
      <c r="H5156" t="s">
        <v>32848</v>
      </c>
      <c r="I5156" t="s">
        <v>11727</v>
      </c>
      <c r="J5156" t="s">
        <v>36283</v>
      </c>
      <c r="K5156" t="s">
        <v>42732</v>
      </c>
      <c r="M5156" t="s">
        <v>43978</v>
      </c>
      <c r="N5156" t="s">
        <v>47424</v>
      </c>
      <c r="O5156" t="s">
        <v>47425</v>
      </c>
      <c r="P5156">
        <v>0</v>
      </c>
      <c r="Q5156">
        <v>4</v>
      </c>
      <c r="R5156" t="s">
        <v>47430</v>
      </c>
      <c r="S5156" t="s">
        <v>47549</v>
      </c>
      <c r="T5156" t="s">
        <v>49089</v>
      </c>
      <c r="U5156" t="s">
        <v>54050</v>
      </c>
      <c r="W5156" t="s">
        <v>43978</v>
      </c>
      <c r="X5156" t="s">
        <v>47431</v>
      </c>
    </row>
    <row r="5157" spans="1:24">
      <c r="A5157">
        <f>HYPERLINK("https://www.philgeps.gov.ph/GEPSNONPILOT/Tender/SplashBidNoticeAbstractUI.aspx?menuIndex=3&amp;refID=7159879&amp;Result=3","7159879")</f>
        <v>0</v>
      </c>
      <c r="B5157" t="s">
        <v>1956</v>
      </c>
      <c r="C5157" t="s">
        <v>8766</v>
      </c>
      <c r="D5157" t="s">
        <v>19074</v>
      </c>
      <c r="E5157" t="s">
        <v>23657</v>
      </c>
      <c r="F5157" t="s">
        <v>32831</v>
      </c>
      <c r="G5157" t="s">
        <v>32839</v>
      </c>
      <c r="H5157" t="s">
        <v>32848</v>
      </c>
      <c r="I5157" t="s">
        <v>7416</v>
      </c>
      <c r="J5157" t="s">
        <v>36284</v>
      </c>
      <c r="K5157" t="s">
        <v>42747</v>
      </c>
      <c r="M5157" t="s">
        <v>45114</v>
      </c>
      <c r="N5157" t="s">
        <v>47424</v>
      </c>
      <c r="O5157" t="s">
        <v>47425</v>
      </c>
      <c r="P5157">
        <v>0</v>
      </c>
      <c r="Q5157">
        <v>1</v>
      </c>
      <c r="R5157" t="s">
        <v>47430</v>
      </c>
      <c r="S5157" t="s">
        <v>47549</v>
      </c>
      <c r="T5157" t="s">
        <v>49418</v>
      </c>
      <c r="U5157" t="s">
        <v>54051</v>
      </c>
      <c r="W5157" t="s">
        <v>45114</v>
      </c>
      <c r="X5157" t="s">
        <v>47431</v>
      </c>
    </row>
    <row r="5158" spans="1:24">
      <c r="A5158">
        <f>HYPERLINK("https://www.philgeps.gov.ph/GEPSNONPILOT/Tender/SplashBidNoticeAbstractUI.aspx?menuIndex=3&amp;refID=7159848&amp;Result=3","7159848")</f>
        <v>0</v>
      </c>
      <c r="B5158" t="s">
        <v>1765</v>
      </c>
      <c r="C5158" t="s">
        <v>8767</v>
      </c>
      <c r="E5158" t="s">
        <v>23658</v>
      </c>
      <c r="F5158" t="s">
        <v>32831</v>
      </c>
      <c r="G5158" t="s">
        <v>32839</v>
      </c>
      <c r="H5158" t="s">
        <v>32849</v>
      </c>
      <c r="I5158" t="s">
        <v>4177</v>
      </c>
      <c r="J5158" t="s">
        <v>36285</v>
      </c>
      <c r="K5158" t="s">
        <v>42732</v>
      </c>
      <c r="M5158" t="s">
        <v>44890</v>
      </c>
      <c r="N5158" t="s">
        <v>47424</v>
      </c>
      <c r="O5158" t="s">
        <v>47425</v>
      </c>
      <c r="P5158">
        <v>0</v>
      </c>
      <c r="Q5158">
        <v>10</v>
      </c>
      <c r="R5158" t="s">
        <v>47430</v>
      </c>
      <c r="S5158" t="s">
        <v>47549</v>
      </c>
      <c r="T5158" t="s">
        <v>49387</v>
      </c>
      <c r="U5158" t="s">
        <v>54052</v>
      </c>
      <c r="V5158" t="s">
        <v>63119</v>
      </c>
      <c r="W5158" t="s">
        <v>44890</v>
      </c>
      <c r="X5158" t="s">
        <v>47431</v>
      </c>
    </row>
    <row r="5159" spans="1:24">
      <c r="A5159">
        <f>HYPERLINK("https://www.philgeps.gov.ph/GEPSNONPILOT/Tender/SplashBidNoticeAbstractUI.aspx?menuIndex=3&amp;refID=7159792&amp;Result=3","7159792")</f>
        <v>0</v>
      </c>
      <c r="B5159" t="s">
        <v>623</v>
      </c>
      <c r="C5159" t="s">
        <v>8768</v>
      </c>
      <c r="D5159" t="s">
        <v>19042</v>
      </c>
      <c r="E5159" t="s">
        <v>23659</v>
      </c>
      <c r="F5159" t="s">
        <v>32831</v>
      </c>
      <c r="G5159" t="s">
        <v>32839</v>
      </c>
      <c r="H5159" t="s">
        <v>32849</v>
      </c>
      <c r="I5159" t="s">
        <v>4177</v>
      </c>
      <c r="J5159" t="s">
        <v>36286</v>
      </c>
      <c r="K5159" t="s">
        <v>42809</v>
      </c>
      <c r="M5159" t="s">
        <v>43639</v>
      </c>
      <c r="N5159" t="s">
        <v>47424</v>
      </c>
      <c r="O5159" t="s">
        <v>47425</v>
      </c>
      <c r="P5159">
        <v>0</v>
      </c>
      <c r="Q5159">
        <v>1</v>
      </c>
      <c r="R5159" t="s">
        <v>47430</v>
      </c>
      <c r="S5159" t="s">
        <v>47549</v>
      </c>
      <c r="T5159" t="s">
        <v>49393</v>
      </c>
      <c r="U5159" t="s">
        <v>54053</v>
      </c>
      <c r="W5159" t="s">
        <v>43639</v>
      </c>
      <c r="X5159" t="s">
        <v>47431</v>
      </c>
    </row>
    <row r="5160" spans="1:24">
      <c r="A5160">
        <f>HYPERLINK("https://www.philgeps.gov.ph/GEPSNONPILOT/Tender/SplashBidNoticeAbstractUI.aspx?menuIndex=3&amp;refID=7159851&amp;Result=3","7159851")</f>
        <v>0</v>
      </c>
      <c r="B5160" t="s">
        <v>1844</v>
      </c>
      <c r="C5160" t="s">
        <v>8769</v>
      </c>
      <c r="D5160" t="s">
        <v>19104</v>
      </c>
      <c r="E5160" t="s">
        <v>19351</v>
      </c>
      <c r="F5160" t="s">
        <v>32831</v>
      </c>
      <c r="G5160" t="s">
        <v>32839</v>
      </c>
      <c r="H5160" t="s">
        <v>32849</v>
      </c>
      <c r="I5160" t="s">
        <v>4177</v>
      </c>
      <c r="J5160" t="s">
        <v>32980</v>
      </c>
      <c r="K5160" t="s">
        <v>42731</v>
      </c>
      <c r="M5160" t="s">
        <v>44978</v>
      </c>
      <c r="N5160" t="s">
        <v>47424</v>
      </c>
      <c r="O5160" t="s">
        <v>47425</v>
      </c>
      <c r="P5160">
        <v>0</v>
      </c>
      <c r="Q5160">
        <v>0</v>
      </c>
      <c r="R5160" t="s">
        <v>47430</v>
      </c>
      <c r="S5160" t="s">
        <v>47549</v>
      </c>
      <c r="T5160" t="s">
        <v>49109</v>
      </c>
      <c r="U5160" t="s">
        <v>54054</v>
      </c>
      <c r="W5160" t="s">
        <v>44978</v>
      </c>
      <c r="X5160" t="s">
        <v>47431</v>
      </c>
    </row>
    <row r="5161" spans="1:24">
      <c r="A5161">
        <f>HYPERLINK("https://www.philgeps.gov.ph/GEPSNONPILOT/Tender/SplashBidNoticeAbstractUI.aspx?menuIndex=3&amp;refID=7160561&amp;Result=3","7160561")</f>
        <v>0</v>
      </c>
      <c r="B5161" t="s">
        <v>1957</v>
      </c>
      <c r="C5161" t="s">
        <v>8770</v>
      </c>
      <c r="D5161" t="s">
        <v>19089</v>
      </c>
      <c r="E5161" t="s">
        <v>23660</v>
      </c>
      <c r="F5161" t="s">
        <v>32831</v>
      </c>
      <c r="G5161" t="s">
        <v>32840</v>
      </c>
      <c r="H5161" t="s">
        <v>32848</v>
      </c>
      <c r="I5161" t="s">
        <v>7416</v>
      </c>
      <c r="J5161" t="s">
        <v>35531</v>
      </c>
      <c r="K5161" t="s">
        <v>42730</v>
      </c>
      <c r="M5161" t="s">
        <v>45115</v>
      </c>
      <c r="N5161" t="s">
        <v>47424</v>
      </c>
      <c r="O5161" t="s">
        <v>47425</v>
      </c>
      <c r="P5161">
        <v>0</v>
      </c>
      <c r="Q5161">
        <v>1</v>
      </c>
      <c r="R5161" t="s">
        <v>47430</v>
      </c>
      <c r="S5161" t="s">
        <v>47549</v>
      </c>
      <c r="T5161" t="s">
        <v>49104</v>
      </c>
      <c r="U5161" t="s">
        <v>54055</v>
      </c>
      <c r="W5161" t="s">
        <v>45115</v>
      </c>
      <c r="X5161" t="s">
        <v>47431</v>
      </c>
    </row>
    <row r="5162" spans="1:24">
      <c r="A5162">
        <f>HYPERLINK("https://www.philgeps.gov.ph/GEPSNONPILOT/Tender/SplashBidNoticeAbstractUI.aspx?menuIndex=3&amp;refID=7160618&amp;Result=3","7160618")</f>
        <v>0</v>
      </c>
      <c r="B5162" t="s">
        <v>1903</v>
      </c>
      <c r="C5162" t="s">
        <v>8771</v>
      </c>
      <c r="D5162" t="s">
        <v>19088</v>
      </c>
      <c r="E5162" t="s">
        <v>23661</v>
      </c>
      <c r="F5162" t="s">
        <v>32831</v>
      </c>
      <c r="G5162" t="s">
        <v>32839</v>
      </c>
      <c r="H5162" t="s">
        <v>32848</v>
      </c>
      <c r="I5162" t="s">
        <v>32863</v>
      </c>
      <c r="J5162" t="s">
        <v>36287</v>
      </c>
      <c r="K5162" t="s">
        <v>42807</v>
      </c>
      <c r="M5162" t="s">
        <v>45052</v>
      </c>
      <c r="N5162" t="s">
        <v>47424</v>
      </c>
      <c r="O5162" t="s">
        <v>47425</v>
      </c>
      <c r="P5162">
        <v>0</v>
      </c>
      <c r="Q5162">
        <v>0</v>
      </c>
      <c r="R5162" t="s">
        <v>47430</v>
      </c>
      <c r="S5162" t="s">
        <v>47549</v>
      </c>
      <c r="T5162" t="s">
        <v>49319</v>
      </c>
      <c r="U5162" t="s">
        <v>53869</v>
      </c>
      <c r="W5162" t="s">
        <v>45052</v>
      </c>
      <c r="X5162" t="s">
        <v>47431</v>
      </c>
    </row>
    <row r="5163" spans="1:24">
      <c r="A5163">
        <f>HYPERLINK("https://www.philgeps.gov.ph/GEPSNONPILOT/Tender/SplashBidNoticeAbstractUI.aspx?menuIndex=3&amp;refID=7159880&amp;Result=3","7159880")</f>
        <v>0</v>
      </c>
      <c r="B5163" t="s">
        <v>1150</v>
      </c>
      <c r="C5163" t="s">
        <v>8772</v>
      </c>
      <c r="D5163" t="s">
        <v>19095</v>
      </c>
      <c r="E5163" t="s">
        <v>23662</v>
      </c>
      <c r="F5163" t="s">
        <v>32831</v>
      </c>
      <c r="G5163" t="s">
        <v>32839</v>
      </c>
      <c r="H5163" t="s">
        <v>32849</v>
      </c>
      <c r="I5163" t="s">
        <v>4177</v>
      </c>
      <c r="J5163" t="s">
        <v>35331</v>
      </c>
      <c r="K5163" t="s">
        <v>42812</v>
      </c>
      <c r="M5163" t="s">
        <v>45116</v>
      </c>
      <c r="N5163" t="s">
        <v>47424</v>
      </c>
      <c r="O5163" t="s">
        <v>47425</v>
      </c>
      <c r="P5163">
        <v>0</v>
      </c>
      <c r="Q5163">
        <v>0</v>
      </c>
      <c r="R5163" t="s">
        <v>47430</v>
      </c>
      <c r="S5163" t="s">
        <v>47549</v>
      </c>
      <c r="T5163" t="s">
        <v>49267</v>
      </c>
      <c r="U5163" t="s">
        <v>54056</v>
      </c>
      <c r="V5163" t="s">
        <v>50989</v>
      </c>
      <c r="W5163" t="s">
        <v>45116</v>
      </c>
      <c r="X5163" t="s">
        <v>47431</v>
      </c>
    </row>
    <row r="5164" spans="1:24">
      <c r="A5164">
        <f>HYPERLINK("https://www.philgeps.gov.ph/GEPSNONPILOT/Tender/SplashBidNoticeAbstractUI.aspx?menuIndex=3&amp;refID=7159877&amp;Result=3","7159877")</f>
        <v>0</v>
      </c>
      <c r="B5164" t="s">
        <v>1765</v>
      </c>
      <c r="C5164" t="s">
        <v>8773</v>
      </c>
      <c r="E5164" t="s">
        <v>23663</v>
      </c>
      <c r="F5164" t="s">
        <v>32831</v>
      </c>
      <c r="G5164" t="s">
        <v>32839</v>
      </c>
      <c r="H5164" t="s">
        <v>32849</v>
      </c>
      <c r="I5164" t="s">
        <v>4177</v>
      </c>
      <c r="J5164" t="s">
        <v>36288</v>
      </c>
      <c r="K5164" t="s">
        <v>42732</v>
      </c>
      <c r="M5164" t="s">
        <v>44890</v>
      </c>
      <c r="N5164" t="s">
        <v>47424</v>
      </c>
      <c r="O5164" t="s">
        <v>47425</v>
      </c>
      <c r="P5164">
        <v>0</v>
      </c>
      <c r="Q5164">
        <v>21</v>
      </c>
      <c r="R5164" t="s">
        <v>47430</v>
      </c>
      <c r="S5164" t="s">
        <v>47549</v>
      </c>
      <c r="T5164" t="s">
        <v>49387</v>
      </c>
      <c r="U5164" t="s">
        <v>54057</v>
      </c>
      <c r="V5164" t="s">
        <v>63119</v>
      </c>
      <c r="W5164" t="s">
        <v>44890</v>
      </c>
      <c r="X5164" t="s">
        <v>47431</v>
      </c>
    </row>
    <row r="5165" spans="1:24">
      <c r="A5165">
        <f>HYPERLINK("https://www.philgeps.gov.ph/GEPSNONPILOT/Tender/SplashBidNoticeAbstractUI.aspx?menuIndex=3&amp;refID=7160614&amp;Result=3","7160614")</f>
        <v>0</v>
      </c>
      <c r="B5165" t="s">
        <v>888</v>
      </c>
      <c r="C5165" t="s">
        <v>8774</v>
      </c>
      <c r="D5165" t="s">
        <v>19067</v>
      </c>
      <c r="E5165" t="s">
        <v>20463</v>
      </c>
      <c r="F5165" t="s">
        <v>32831</v>
      </c>
      <c r="G5165" t="s">
        <v>32840</v>
      </c>
      <c r="H5165" t="s">
        <v>32848</v>
      </c>
      <c r="I5165" t="s">
        <v>4776</v>
      </c>
      <c r="J5165" t="s">
        <v>36289</v>
      </c>
      <c r="K5165" t="s">
        <v>42758</v>
      </c>
      <c r="M5165" t="s">
        <v>43923</v>
      </c>
      <c r="N5165" t="s">
        <v>47424</v>
      </c>
      <c r="O5165" t="s">
        <v>47425</v>
      </c>
      <c r="P5165">
        <v>0</v>
      </c>
      <c r="Q5165">
        <v>0</v>
      </c>
      <c r="R5165" t="s">
        <v>47430</v>
      </c>
      <c r="S5165" t="s">
        <v>47549</v>
      </c>
      <c r="T5165" t="s">
        <v>49145</v>
      </c>
      <c r="U5165" t="s">
        <v>54058</v>
      </c>
      <c r="W5165" t="s">
        <v>43923</v>
      </c>
      <c r="X5165" t="s">
        <v>47431</v>
      </c>
    </row>
    <row r="5166" spans="1:24">
      <c r="A5166">
        <f>HYPERLINK("https://www.philgeps.gov.ph/GEPSNONPILOT/Tender/SplashBidNoticeAbstractUI.aspx?menuIndex=3&amp;refID=7160610&amp;Result=3","7160610")</f>
        <v>0</v>
      </c>
      <c r="B5166" t="s">
        <v>1657</v>
      </c>
      <c r="C5166" t="s">
        <v>8775</v>
      </c>
      <c r="D5166" t="s">
        <v>19020</v>
      </c>
      <c r="E5166" t="s">
        <v>23664</v>
      </c>
      <c r="F5166" t="s">
        <v>32831</v>
      </c>
      <c r="G5166" t="s">
        <v>32838</v>
      </c>
      <c r="H5166" t="s">
        <v>32848</v>
      </c>
      <c r="I5166" t="s">
        <v>4776</v>
      </c>
      <c r="J5166" t="s">
        <v>33007</v>
      </c>
      <c r="K5166" t="s">
        <v>42730</v>
      </c>
      <c r="M5166" t="s">
        <v>44774</v>
      </c>
      <c r="N5166" t="s">
        <v>47424</v>
      </c>
      <c r="O5166" t="s">
        <v>47425</v>
      </c>
      <c r="P5166">
        <v>0</v>
      </c>
      <c r="Q5166">
        <v>0</v>
      </c>
      <c r="R5166" t="s">
        <v>47430</v>
      </c>
      <c r="S5166" t="s">
        <v>47549</v>
      </c>
      <c r="T5166" t="s">
        <v>49394</v>
      </c>
      <c r="U5166" t="s">
        <v>54059</v>
      </c>
      <c r="V5166" t="s">
        <v>63131</v>
      </c>
      <c r="W5166" t="s">
        <v>64487</v>
      </c>
      <c r="X5166" t="s">
        <v>47431</v>
      </c>
    </row>
    <row r="5167" spans="1:24">
      <c r="A5167">
        <f>HYPERLINK("https://www.philgeps.gov.ph/GEPSNONPILOT/Tender/SplashBidNoticeAbstractUI.aspx?menuIndex=3&amp;refID=7160612&amp;Result=3","7160612")</f>
        <v>0</v>
      </c>
      <c r="B5167" t="s">
        <v>1957</v>
      </c>
      <c r="C5167" t="s">
        <v>8776</v>
      </c>
      <c r="D5167" t="s">
        <v>19089</v>
      </c>
      <c r="E5167" t="s">
        <v>23665</v>
      </c>
      <c r="F5167" t="s">
        <v>32831</v>
      </c>
      <c r="G5167" t="s">
        <v>32840</v>
      </c>
      <c r="H5167" t="s">
        <v>32848</v>
      </c>
      <c r="I5167" t="s">
        <v>7416</v>
      </c>
      <c r="J5167" t="s">
        <v>36290</v>
      </c>
      <c r="K5167" t="s">
        <v>42730</v>
      </c>
      <c r="M5167" t="s">
        <v>45115</v>
      </c>
      <c r="N5167" t="s">
        <v>47424</v>
      </c>
      <c r="O5167" t="s">
        <v>47425</v>
      </c>
      <c r="P5167">
        <v>0</v>
      </c>
      <c r="Q5167">
        <v>1</v>
      </c>
      <c r="R5167" t="s">
        <v>47430</v>
      </c>
      <c r="S5167" t="s">
        <v>47549</v>
      </c>
      <c r="T5167" t="s">
        <v>49104</v>
      </c>
      <c r="U5167" t="s">
        <v>54055</v>
      </c>
      <c r="W5167" t="s">
        <v>45115</v>
      </c>
      <c r="X5167" t="s">
        <v>47431</v>
      </c>
    </row>
    <row r="5168" spans="1:24">
      <c r="A5168">
        <f>HYPERLINK("https://www.philgeps.gov.ph/GEPSNONPILOT/Tender/SplashBidNoticeAbstractUI.aspx?menuIndex=3&amp;refID=7160607&amp;Result=3","7160607")</f>
        <v>0</v>
      </c>
      <c r="B5168" t="s">
        <v>586</v>
      </c>
      <c r="C5168" t="s">
        <v>8777</v>
      </c>
      <c r="D5168" t="s">
        <v>19028</v>
      </c>
      <c r="E5168" t="s">
        <v>23666</v>
      </c>
      <c r="F5168" t="s">
        <v>32831</v>
      </c>
      <c r="G5168" t="s">
        <v>32841</v>
      </c>
      <c r="H5168" t="s">
        <v>32849</v>
      </c>
      <c r="I5168" t="s">
        <v>4177</v>
      </c>
      <c r="J5168" t="s">
        <v>33078</v>
      </c>
      <c r="K5168" t="s">
        <v>42743</v>
      </c>
      <c r="M5168" t="s">
        <v>43597</v>
      </c>
      <c r="N5168" t="s">
        <v>47424</v>
      </c>
      <c r="O5168" t="s">
        <v>47425</v>
      </c>
      <c r="P5168">
        <v>0</v>
      </c>
      <c r="Q5168">
        <v>0</v>
      </c>
      <c r="R5168" t="s">
        <v>47430</v>
      </c>
      <c r="S5168" t="s">
        <v>47549</v>
      </c>
      <c r="T5168" t="s">
        <v>49198</v>
      </c>
      <c r="U5168" t="s">
        <v>54060</v>
      </c>
      <c r="W5168" t="s">
        <v>43597</v>
      </c>
      <c r="X5168" t="s">
        <v>47431</v>
      </c>
    </row>
    <row r="5169" spans="1:24">
      <c r="A5169">
        <f>HYPERLINK("https://www.philgeps.gov.ph/GEPSNONPILOT/Tender/SplashBidNoticeAbstractUI.aspx?menuIndex=3&amp;refID=7160605&amp;Result=3","7160605")</f>
        <v>0</v>
      </c>
      <c r="B5169" t="s">
        <v>1941</v>
      </c>
      <c r="C5169" t="s">
        <v>8778</v>
      </c>
      <c r="D5169" t="s">
        <v>19095</v>
      </c>
      <c r="E5169" t="s">
        <v>23667</v>
      </c>
      <c r="F5169" t="s">
        <v>32833</v>
      </c>
      <c r="G5169" t="s">
        <v>32839</v>
      </c>
      <c r="H5169" t="s">
        <v>32848</v>
      </c>
      <c r="I5169" t="s">
        <v>4558</v>
      </c>
      <c r="J5169" t="s">
        <v>36291</v>
      </c>
      <c r="K5169" t="s">
        <v>42727</v>
      </c>
      <c r="M5169" t="s">
        <v>45096</v>
      </c>
      <c r="N5169" t="s">
        <v>47424</v>
      </c>
      <c r="O5169" t="s">
        <v>47425</v>
      </c>
      <c r="P5169">
        <v>0</v>
      </c>
      <c r="Q5169">
        <v>1</v>
      </c>
      <c r="R5169" t="s">
        <v>47430</v>
      </c>
      <c r="S5169" t="s">
        <v>47549</v>
      </c>
      <c r="T5169" t="s">
        <v>49173</v>
      </c>
      <c r="U5169" t="s">
        <v>54061</v>
      </c>
      <c r="W5169" t="s">
        <v>45096</v>
      </c>
      <c r="X5169" t="s">
        <v>47431</v>
      </c>
    </row>
    <row r="5170" spans="1:24">
      <c r="A5170">
        <f>HYPERLINK("https://www.philgeps.gov.ph/GEPSNONPILOT/Tender/SplashBidNoticeAbstractUI.aspx?menuIndex=3&amp;refID=7160616&amp;Result=3","7160616")</f>
        <v>0</v>
      </c>
      <c r="B5170" t="s">
        <v>1958</v>
      </c>
      <c r="C5170" t="s">
        <v>8779</v>
      </c>
      <c r="D5170" t="s">
        <v>19056</v>
      </c>
      <c r="E5170" t="s">
        <v>23668</v>
      </c>
      <c r="F5170" t="s">
        <v>32831</v>
      </c>
      <c r="G5170" t="s">
        <v>32838</v>
      </c>
      <c r="H5170" t="s">
        <v>32848</v>
      </c>
      <c r="I5170" t="s">
        <v>32905</v>
      </c>
      <c r="J5170" t="s">
        <v>36292</v>
      </c>
      <c r="K5170" t="s">
        <v>42774</v>
      </c>
      <c r="M5170" t="s">
        <v>45117</v>
      </c>
      <c r="N5170" t="s">
        <v>47424</v>
      </c>
      <c r="O5170" t="s">
        <v>47425</v>
      </c>
      <c r="P5170">
        <v>0</v>
      </c>
      <c r="Q5170">
        <v>2</v>
      </c>
      <c r="R5170" t="s">
        <v>47430</v>
      </c>
      <c r="S5170" t="s">
        <v>47549</v>
      </c>
      <c r="T5170" t="s">
        <v>49163</v>
      </c>
      <c r="U5170" t="s">
        <v>54062</v>
      </c>
      <c r="W5170" t="s">
        <v>45117</v>
      </c>
      <c r="X5170" t="s">
        <v>47431</v>
      </c>
    </row>
    <row r="5171" spans="1:24">
      <c r="A5171">
        <f>HYPERLINK("https://www.philgeps.gov.ph/GEPSNONPILOT/Tender/SplashBidNoticeAbstractUI.aspx?menuIndex=3&amp;refID=7160603&amp;Result=3","7160603")</f>
        <v>0</v>
      </c>
      <c r="B5171" t="s">
        <v>1756</v>
      </c>
      <c r="C5171" t="s">
        <v>8780</v>
      </c>
      <c r="D5171" t="s">
        <v>19021</v>
      </c>
      <c r="E5171" t="s">
        <v>23669</v>
      </c>
      <c r="F5171" t="s">
        <v>32831</v>
      </c>
      <c r="G5171" t="s">
        <v>32840</v>
      </c>
      <c r="H5171" t="s">
        <v>32848</v>
      </c>
      <c r="I5171" t="s">
        <v>5379</v>
      </c>
      <c r="J5171" t="s">
        <v>36293</v>
      </c>
      <c r="K5171" t="s">
        <v>42748</v>
      </c>
      <c r="M5171" t="s">
        <v>44880</v>
      </c>
      <c r="N5171" t="s">
        <v>47424</v>
      </c>
      <c r="O5171" t="s">
        <v>47425</v>
      </c>
      <c r="P5171">
        <v>0</v>
      </c>
      <c r="Q5171">
        <v>0</v>
      </c>
      <c r="R5171" t="s">
        <v>47430</v>
      </c>
      <c r="S5171" t="s">
        <v>47549</v>
      </c>
      <c r="T5171" t="s">
        <v>49100</v>
      </c>
      <c r="U5171" t="s">
        <v>54063</v>
      </c>
      <c r="W5171" t="s">
        <v>44880</v>
      </c>
      <c r="X5171" t="s">
        <v>47431</v>
      </c>
    </row>
    <row r="5172" spans="1:24">
      <c r="A5172">
        <f>HYPERLINK("https://www.philgeps.gov.ph/GEPSNONPILOT/Tender/SplashBidNoticeAbstractUI.aspx?menuIndex=3&amp;refID=7160600&amp;Result=3","7160600")</f>
        <v>0</v>
      </c>
      <c r="B5172" t="s">
        <v>1914</v>
      </c>
      <c r="C5172" t="s">
        <v>8781</v>
      </c>
      <c r="D5172" t="s">
        <v>19062</v>
      </c>
      <c r="E5172" t="s">
        <v>23670</v>
      </c>
      <c r="F5172" t="s">
        <v>32831</v>
      </c>
      <c r="G5172" t="s">
        <v>32838</v>
      </c>
      <c r="H5172" t="s">
        <v>32848</v>
      </c>
      <c r="I5172" t="s">
        <v>8781</v>
      </c>
      <c r="J5172" t="s">
        <v>33044</v>
      </c>
      <c r="K5172" t="s">
        <v>42748</v>
      </c>
      <c r="M5172" t="s">
        <v>45066</v>
      </c>
      <c r="N5172" t="s">
        <v>47424</v>
      </c>
      <c r="O5172" t="s">
        <v>47425</v>
      </c>
      <c r="P5172">
        <v>0</v>
      </c>
      <c r="Q5172">
        <v>0</v>
      </c>
      <c r="R5172" t="s">
        <v>47430</v>
      </c>
      <c r="S5172" t="s">
        <v>47549</v>
      </c>
      <c r="T5172" t="s">
        <v>49107</v>
      </c>
      <c r="U5172" t="s">
        <v>54064</v>
      </c>
      <c r="W5172" t="s">
        <v>45066</v>
      </c>
      <c r="X5172" t="s">
        <v>47431</v>
      </c>
    </row>
    <row r="5173" spans="1:24">
      <c r="A5173">
        <f>HYPERLINK("https://www.philgeps.gov.ph/GEPSNONPILOT/Tender/SplashBidNoticeAbstractUI.aspx?menuIndex=3&amp;refID=7160596&amp;Result=3","7160596")</f>
        <v>0</v>
      </c>
      <c r="B5173" t="s">
        <v>1959</v>
      </c>
      <c r="C5173" t="s">
        <v>8782</v>
      </c>
      <c r="D5173" t="s">
        <v>19038</v>
      </c>
      <c r="E5173" t="s">
        <v>19476</v>
      </c>
      <c r="F5173" t="s">
        <v>32833</v>
      </c>
      <c r="G5173" t="s">
        <v>32839</v>
      </c>
      <c r="H5173" t="s">
        <v>32849</v>
      </c>
      <c r="I5173" t="s">
        <v>4177</v>
      </c>
      <c r="J5173" t="s">
        <v>33044</v>
      </c>
      <c r="K5173" t="s">
        <v>42727</v>
      </c>
      <c r="M5173" t="s">
        <v>45118</v>
      </c>
      <c r="N5173" t="s">
        <v>47424</v>
      </c>
      <c r="O5173" t="s">
        <v>47425</v>
      </c>
      <c r="P5173">
        <v>0</v>
      </c>
      <c r="Q5173">
        <v>0</v>
      </c>
      <c r="R5173" t="s">
        <v>47430</v>
      </c>
      <c r="S5173" t="s">
        <v>47549</v>
      </c>
      <c r="T5173" t="s">
        <v>49149</v>
      </c>
      <c r="U5173" t="s">
        <v>54065</v>
      </c>
      <c r="W5173" t="s">
        <v>45118</v>
      </c>
      <c r="X5173" t="s">
        <v>47431</v>
      </c>
    </row>
    <row r="5174" spans="1:24">
      <c r="A5174">
        <f>HYPERLINK("https://www.philgeps.gov.ph/GEPSNONPILOT/Tender/SplashBidNoticeAbstractUI.aspx?menuIndex=3&amp;refID=7160599&amp;Result=3","7160599")</f>
        <v>0</v>
      </c>
      <c r="B5174" t="s">
        <v>693</v>
      </c>
      <c r="C5174" t="s">
        <v>8783</v>
      </c>
      <c r="D5174" t="s">
        <v>19073</v>
      </c>
      <c r="E5174" t="s">
        <v>23671</v>
      </c>
      <c r="F5174" t="s">
        <v>32831</v>
      </c>
      <c r="G5174" t="s">
        <v>32839</v>
      </c>
      <c r="H5174" t="s">
        <v>32848</v>
      </c>
      <c r="I5174" t="s">
        <v>7751</v>
      </c>
      <c r="J5174" t="s">
        <v>36294</v>
      </c>
      <c r="K5174" t="s">
        <v>42731</v>
      </c>
      <c r="M5174" t="s">
        <v>44145</v>
      </c>
      <c r="N5174" t="s">
        <v>47424</v>
      </c>
      <c r="O5174" t="s">
        <v>47425</v>
      </c>
      <c r="P5174">
        <v>0</v>
      </c>
      <c r="Q5174">
        <v>1</v>
      </c>
      <c r="R5174" t="s">
        <v>47430</v>
      </c>
      <c r="S5174" t="s">
        <v>47549</v>
      </c>
      <c r="T5174" t="s">
        <v>49195</v>
      </c>
      <c r="U5174" t="s">
        <v>53968</v>
      </c>
      <c r="V5174" t="s">
        <v>63187</v>
      </c>
      <c r="W5174" t="s">
        <v>64457</v>
      </c>
      <c r="X5174" t="s">
        <v>47431</v>
      </c>
    </row>
    <row r="5175" spans="1:24">
      <c r="A5175">
        <f>HYPERLINK("https://www.philgeps.gov.ph/GEPSNONPILOT/Tender/SplashBidNoticeAbstractUI.aspx?menuIndex=3&amp;refID=7160593&amp;Result=3","7160593")</f>
        <v>0</v>
      </c>
      <c r="B5175" t="s">
        <v>1322</v>
      </c>
      <c r="C5175" t="s">
        <v>8784</v>
      </c>
      <c r="D5175" t="s">
        <v>19068</v>
      </c>
      <c r="E5175" t="s">
        <v>23672</v>
      </c>
      <c r="F5175" t="s">
        <v>32831</v>
      </c>
      <c r="G5175" t="s">
        <v>32839</v>
      </c>
      <c r="H5175" t="s">
        <v>32848</v>
      </c>
      <c r="I5175" t="s">
        <v>10805</v>
      </c>
      <c r="J5175" t="s">
        <v>33424</v>
      </c>
      <c r="K5175" t="s">
        <v>42730</v>
      </c>
      <c r="M5175" t="s">
        <v>44393</v>
      </c>
      <c r="N5175" t="s">
        <v>47424</v>
      </c>
      <c r="O5175" t="s">
        <v>47425</v>
      </c>
      <c r="P5175">
        <v>0</v>
      </c>
      <c r="Q5175">
        <v>0</v>
      </c>
      <c r="R5175" t="s">
        <v>47430</v>
      </c>
      <c r="S5175" t="s">
        <v>47549</v>
      </c>
      <c r="T5175" t="s">
        <v>49106</v>
      </c>
      <c r="U5175" t="s">
        <v>54066</v>
      </c>
      <c r="V5175" t="s">
        <v>63180</v>
      </c>
      <c r="W5175" t="s">
        <v>44393</v>
      </c>
      <c r="X5175" t="s">
        <v>47431</v>
      </c>
    </row>
    <row r="5176" spans="1:24">
      <c r="A5176">
        <f>HYPERLINK("https://www.philgeps.gov.ph/GEPSNONPILOT/Tender/SplashBidNoticeAbstractUI.aspx?menuIndex=3&amp;refID=7160617&amp;Result=3","7160617")</f>
        <v>0</v>
      </c>
      <c r="B5176" t="s">
        <v>1448</v>
      </c>
      <c r="C5176" t="s">
        <v>8785</v>
      </c>
      <c r="D5176" t="s">
        <v>19026</v>
      </c>
      <c r="E5176" t="s">
        <v>22301</v>
      </c>
      <c r="F5176" t="s">
        <v>32831</v>
      </c>
      <c r="G5176" t="s">
        <v>32839</v>
      </c>
      <c r="H5176" t="s">
        <v>32848</v>
      </c>
      <c r="I5176" t="s">
        <v>4487</v>
      </c>
      <c r="J5176" t="s">
        <v>33465</v>
      </c>
      <c r="K5176" t="s">
        <v>42876</v>
      </c>
      <c r="M5176" t="s">
        <v>44540</v>
      </c>
      <c r="N5176" t="s">
        <v>47424</v>
      </c>
      <c r="O5176" t="s">
        <v>47425</v>
      </c>
      <c r="P5176">
        <v>0</v>
      </c>
      <c r="Q5176">
        <v>6</v>
      </c>
      <c r="R5176" t="s">
        <v>47430</v>
      </c>
      <c r="S5176" t="s">
        <v>47549</v>
      </c>
      <c r="T5176" t="s">
        <v>49291</v>
      </c>
      <c r="U5176" t="s">
        <v>54067</v>
      </c>
      <c r="W5176" t="s">
        <v>44540</v>
      </c>
      <c r="X5176" t="s">
        <v>47431</v>
      </c>
    </row>
    <row r="5177" spans="1:24">
      <c r="A5177">
        <f>HYPERLINK("https://www.philgeps.gov.ph/GEPSNONPILOT/Tender/SplashBidNoticeAbstractUI.aspx?menuIndex=3&amp;refID=7160588&amp;Result=3","7160588")</f>
        <v>0</v>
      </c>
      <c r="B5177" t="s">
        <v>536</v>
      </c>
      <c r="C5177" t="s">
        <v>8786</v>
      </c>
      <c r="D5177" t="s">
        <v>19030</v>
      </c>
      <c r="E5177" t="s">
        <v>23673</v>
      </c>
      <c r="F5177" t="s">
        <v>32831</v>
      </c>
      <c r="G5177" t="s">
        <v>32840</v>
      </c>
      <c r="H5177" t="s">
        <v>32848</v>
      </c>
      <c r="I5177" t="s">
        <v>4776</v>
      </c>
      <c r="J5177" t="s">
        <v>33041</v>
      </c>
      <c r="K5177" t="s">
        <v>42726</v>
      </c>
      <c r="M5177" t="s">
        <v>43542</v>
      </c>
      <c r="N5177" t="s">
        <v>47424</v>
      </c>
      <c r="O5177" t="s">
        <v>47425</v>
      </c>
      <c r="P5177">
        <v>0</v>
      </c>
      <c r="Q5177">
        <v>6</v>
      </c>
      <c r="R5177" t="s">
        <v>47430</v>
      </c>
      <c r="S5177" t="s">
        <v>47549</v>
      </c>
      <c r="T5177" t="s">
        <v>49163</v>
      </c>
      <c r="U5177" t="s">
        <v>54068</v>
      </c>
      <c r="V5177" t="s">
        <v>62748</v>
      </c>
      <c r="W5177" t="s">
        <v>43542</v>
      </c>
      <c r="X5177" t="s">
        <v>47431</v>
      </c>
    </row>
    <row r="5178" spans="1:24">
      <c r="A5178">
        <f>HYPERLINK("https://www.philgeps.gov.ph/GEPSNONPILOT/Tender/SplashBidNoticeAbstractUI.aspx?menuIndex=3&amp;refID=7160608&amp;Result=3","7160608")</f>
        <v>0</v>
      </c>
      <c r="B5178" t="s">
        <v>160</v>
      </c>
      <c r="C5178" t="s">
        <v>8787</v>
      </c>
      <c r="D5178" t="s">
        <v>19068</v>
      </c>
      <c r="E5178" t="s">
        <v>23674</v>
      </c>
      <c r="F5178" t="s">
        <v>32831</v>
      </c>
      <c r="G5178" t="s">
        <v>32838</v>
      </c>
      <c r="H5178" t="s">
        <v>32848</v>
      </c>
      <c r="I5178" t="s">
        <v>4438</v>
      </c>
      <c r="J5178" t="s">
        <v>34100</v>
      </c>
      <c r="K5178" t="s">
        <v>42729</v>
      </c>
      <c r="M5178" t="s">
        <v>45098</v>
      </c>
      <c r="N5178" t="s">
        <v>47424</v>
      </c>
      <c r="O5178" t="s">
        <v>47425</v>
      </c>
      <c r="P5178">
        <v>0</v>
      </c>
      <c r="Q5178">
        <v>8</v>
      </c>
      <c r="R5178" t="s">
        <v>47430</v>
      </c>
      <c r="S5178" t="s">
        <v>47549</v>
      </c>
      <c r="T5178" t="s">
        <v>49239</v>
      </c>
      <c r="U5178" t="s">
        <v>53997</v>
      </c>
      <c r="W5178" t="s">
        <v>45098</v>
      </c>
      <c r="X5178" t="s">
        <v>47431</v>
      </c>
    </row>
    <row r="5179" spans="1:24">
      <c r="A5179">
        <f>HYPERLINK("https://www.philgeps.gov.ph/GEPSNONPILOT/Tender/SplashBidNoticeAbstractUI.aspx?menuIndex=3&amp;refID=7160597&amp;Result=3","7160597")</f>
        <v>0</v>
      </c>
      <c r="B5179" t="s">
        <v>478</v>
      </c>
      <c r="C5179" t="s">
        <v>4226</v>
      </c>
      <c r="D5179" t="s">
        <v>19043</v>
      </c>
      <c r="E5179" t="s">
        <v>23675</v>
      </c>
      <c r="F5179" t="s">
        <v>32831</v>
      </c>
      <c r="G5179" t="s">
        <v>32839</v>
      </c>
      <c r="H5179" t="s">
        <v>32848</v>
      </c>
      <c r="I5179" t="s">
        <v>9577</v>
      </c>
      <c r="J5179" t="s">
        <v>36295</v>
      </c>
      <c r="K5179" t="s">
        <v>42727</v>
      </c>
      <c r="M5179" t="s">
        <v>43483</v>
      </c>
      <c r="N5179" t="s">
        <v>47424</v>
      </c>
      <c r="O5179" t="s">
        <v>47425</v>
      </c>
      <c r="P5179">
        <v>0</v>
      </c>
      <c r="Q5179">
        <v>2</v>
      </c>
      <c r="R5179" t="s">
        <v>47430</v>
      </c>
      <c r="S5179" t="s">
        <v>47549</v>
      </c>
      <c r="T5179" t="s">
        <v>49140</v>
      </c>
      <c r="U5179" t="s">
        <v>54069</v>
      </c>
      <c r="W5179" t="s">
        <v>43483</v>
      </c>
      <c r="X5179" t="s">
        <v>47431</v>
      </c>
    </row>
    <row r="5180" spans="1:24">
      <c r="A5180">
        <f>HYPERLINK("https://www.philgeps.gov.ph/GEPSNONPILOT/Tender/SplashBidNoticeAbstractUI.aspx?menuIndex=3&amp;refID=7160595&amp;Result=3","7160595")</f>
        <v>0</v>
      </c>
      <c r="B5180" t="s">
        <v>1960</v>
      </c>
      <c r="C5180" t="s">
        <v>8788</v>
      </c>
      <c r="D5180" t="s">
        <v>19052</v>
      </c>
      <c r="E5180" t="s">
        <v>23676</v>
      </c>
      <c r="F5180" t="s">
        <v>32831</v>
      </c>
      <c r="G5180" t="s">
        <v>32839</v>
      </c>
      <c r="H5180" t="s">
        <v>32848</v>
      </c>
      <c r="I5180" t="s">
        <v>4303</v>
      </c>
      <c r="J5180" t="s">
        <v>36296</v>
      </c>
      <c r="K5180" t="s">
        <v>42732</v>
      </c>
      <c r="M5180" t="s">
        <v>45119</v>
      </c>
      <c r="N5180" t="s">
        <v>47424</v>
      </c>
      <c r="O5180" t="s">
        <v>47425</v>
      </c>
      <c r="P5180">
        <v>0</v>
      </c>
      <c r="Q5180">
        <v>2</v>
      </c>
      <c r="R5180" t="s">
        <v>47430</v>
      </c>
      <c r="S5180" t="s">
        <v>47549</v>
      </c>
      <c r="T5180" t="s">
        <v>49181</v>
      </c>
      <c r="U5180" t="s">
        <v>54070</v>
      </c>
      <c r="W5180" t="s">
        <v>45119</v>
      </c>
      <c r="X5180" t="s">
        <v>47431</v>
      </c>
    </row>
    <row r="5181" spans="1:24">
      <c r="A5181">
        <f>HYPERLINK("https://www.philgeps.gov.ph/GEPSNONPILOT/Tender/SplashBidNoticeAbstractUI.aspx?menuIndex=3&amp;refID=7159793&amp;Result=3","7159793")</f>
        <v>0</v>
      </c>
      <c r="B5181" t="s">
        <v>1806</v>
      </c>
      <c r="C5181" t="s">
        <v>8789</v>
      </c>
      <c r="D5181" t="s">
        <v>19090</v>
      </c>
      <c r="E5181" t="s">
        <v>23677</v>
      </c>
      <c r="F5181" t="s">
        <v>32831</v>
      </c>
      <c r="G5181" t="s">
        <v>32839</v>
      </c>
      <c r="H5181" t="s">
        <v>32849</v>
      </c>
      <c r="I5181" t="s">
        <v>4177</v>
      </c>
      <c r="J5181" t="s">
        <v>36297</v>
      </c>
      <c r="K5181" t="s">
        <v>42777</v>
      </c>
      <c r="M5181" t="s">
        <v>44939</v>
      </c>
      <c r="N5181" t="s">
        <v>47424</v>
      </c>
      <c r="O5181" t="s">
        <v>47425</v>
      </c>
      <c r="P5181">
        <v>0</v>
      </c>
      <c r="Q5181">
        <v>0</v>
      </c>
      <c r="R5181" t="s">
        <v>47430</v>
      </c>
      <c r="S5181" t="s">
        <v>47549</v>
      </c>
      <c r="T5181" t="s">
        <v>49236</v>
      </c>
      <c r="U5181" t="s">
        <v>53544</v>
      </c>
      <c r="W5181" t="s">
        <v>44939</v>
      </c>
      <c r="X5181" t="s">
        <v>47431</v>
      </c>
    </row>
    <row r="5182" spans="1:24">
      <c r="A5182">
        <f>HYPERLINK("https://www.philgeps.gov.ph/GEPSNONPILOT/Tender/SplashBidNoticeAbstractUI.aspx?menuIndex=3&amp;refID=7160619&amp;Result=3","7160619")</f>
        <v>0</v>
      </c>
      <c r="B5182" t="s">
        <v>1961</v>
      </c>
      <c r="C5182" t="s">
        <v>5582</v>
      </c>
      <c r="D5182" t="s">
        <v>19078</v>
      </c>
      <c r="E5182" t="s">
        <v>23678</v>
      </c>
      <c r="F5182" t="s">
        <v>32831</v>
      </c>
      <c r="G5182" t="s">
        <v>32842</v>
      </c>
      <c r="H5182" t="s">
        <v>32848</v>
      </c>
      <c r="I5182" t="s">
        <v>9577</v>
      </c>
      <c r="J5182" t="s">
        <v>36298</v>
      </c>
      <c r="K5182" t="s">
        <v>42731</v>
      </c>
      <c r="M5182" t="s">
        <v>45120</v>
      </c>
      <c r="N5182" t="s">
        <v>47424</v>
      </c>
      <c r="O5182" t="s">
        <v>47425</v>
      </c>
      <c r="P5182">
        <v>0</v>
      </c>
      <c r="Q5182">
        <v>0</v>
      </c>
      <c r="R5182" t="s">
        <v>47430</v>
      </c>
      <c r="S5182" t="s">
        <v>47549</v>
      </c>
      <c r="T5182" t="s">
        <v>49237</v>
      </c>
      <c r="U5182" t="s">
        <v>54071</v>
      </c>
      <c r="W5182" t="s">
        <v>45120</v>
      </c>
      <c r="X5182" t="s">
        <v>47431</v>
      </c>
    </row>
    <row r="5183" spans="1:24">
      <c r="A5183">
        <f>HYPERLINK("https://www.philgeps.gov.ph/GEPSNONPILOT/Tender/SplashBidNoticeAbstractUI.aspx?menuIndex=3&amp;refID=7160586&amp;Result=3","7160586")</f>
        <v>0</v>
      </c>
      <c r="B5183" t="s">
        <v>1661</v>
      </c>
      <c r="C5183" t="s">
        <v>8790</v>
      </c>
      <c r="D5183" t="s">
        <v>19063</v>
      </c>
      <c r="E5183" t="s">
        <v>23679</v>
      </c>
      <c r="F5183" t="s">
        <v>32831</v>
      </c>
      <c r="G5183" t="s">
        <v>32839</v>
      </c>
      <c r="H5183" t="s">
        <v>32848</v>
      </c>
      <c r="I5183" t="s">
        <v>4222</v>
      </c>
      <c r="J5183" t="s">
        <v>36299</v>
      </c>
      <c r="K5183" t="s">
        <v>42729</v>
      </c>
      <c r="M5183" t="s">
        <v>44778</v>
      </c>
      <c r="N5183" t="s">
        <v>47424</v>
      </c>
      <c r="O5183" t="s">
        <v>47425</v>
      </c>
      <c r="P5183">
        <v>0</v>
      </c>
      <c r="Q5183">
        <v>0</v>
      </c>
      <c r="R5183" t="s">
        <v>47430</v>
      </c>
      <c r="S5183" t="s">
        <v>47549</v>
      </c>
      <c r="T5183" t="s">
        <v>49129</v>
      </c>
      <c r="U5183" t="s">
        <v>54072</v>
      </c>
      <c r="W5183" t="s">
        <v>44778</v>
      </c>
      <c r="X5183" t="s">
        <v>47431</v>
      </c>
    </row>
    <row r="5184" spans="1:24">
      <c r="A5184">
        <f>HYPERLINK("https://www.philgeps.gov.ph/GEPSNONPILOT/Tender/SplashBidNoticeAbstractUI.aspx?menuIndex=3&amp;refID=7160611&amp;Result=3","7160611")</f>
        <v>0</v>
      </c>
      <c r="B5184" t="s">
        <v>1962</v>
      </c>
      <c r="C5184" t="s">
        <v>8791</v>
      </c>
      <c r="D5184" t="s">
        <v>19017</v>
      </c>
      <c r="E5184" t="s">
        <v>23680</v>
      </c>
      <c r="F5184" t="s">
        <v>32831</v>
      </c>
      <c r="G5184" t="s">
        <v>32839</v>
      </c>
      <c r="H5184" t="s">
        <v>32848</v>
      </c>
      <c r="I5184" t="s">
        <v>4776</v>
      </c>
      <c r="J5184" t="s">
        <v>36300</v>
      </c>
      <c r="K5184" t="s">
        <v>42747</v>
      </c>
      <c r="M5184" t="s">
        <v>45121</v>
      </c>
      <c r="N5184" t="s">
        <v>47424</v>
      </c>
      <c r="O5184" t="s">
        <v>47425</v>
      </c>
      <c r="P5184">
        <v>0</v>
      </c>
      <c r="Q5184">
        <v>7</v>
      </c>
      <c r="R5184" t="s">
        <v>47430</v>
      </c>
      <c r="S5184" t="s">
        <v>47549</v>
      </c>
      <c r="T5184" t="s">
        <v>49342</v>
      </c>
      <c r="U5184" t="s">
        <v>54073</v>
      </c>
      <c r="W5184" t="s">
        <v>45121</v>
      </c>
      <c r="X5184" t="s">
        <v>47431</v>
      </c>
    </row>
    <row r="5185" spans="1:24">
      <c r="A5185">
        <f>HYPERLINK("https://www.philgeps.gov.ph/GEPSNONPILOT/Tender/SplashBidNoticeAbstractUI.aspx?menuIndex=3&amp;refID=7160651&amp;Result=3","7160651")</f>
        <v>0</v>
      </c>
      <c r="B5185" t="s">
        <v>693</v>
      </c>
      <c r="C5185" t="s">
        <v>8792</v>
      </c>
      <c r="D5185" t="s">
        <v>19073</v>
      </c>
      <c r="E5185" t="s">
        <v>23681</v>
      </c>
      <c r="F5185" t="s">
        <v>32831</v>
      </c>
      <c r="G5185" t="s">
        <v>32839</v>
      </c>
      <c r="H5185" t="s">
        <v>32848</v>
      </c>
      <c r="I5185" t="s">
        <v>4487</v>
      </c>
      <c r="J5185" t="s">
        <v>33315</v>
      </c>
      <c r="K5185" t="s">
        <v>42731</v>
      </c>
      <c r="M5185" t="s">
        <v>44145</v>
      </c>
      <c r="N5185" t="s">
        <v>47424</v>
      </c>
      <c r="O5185" t="s">
        <v>47425</v>
      </c>
      <c r="P5185">
        <v>0</v>
      </c>
      <c r="Q5185">
        <v>2</v>
      </c>
      <c r="R5185" t="s">
        <v>47430</v>
      </c>
      <c r="S5185" t="s">
        <v>47549</v>
      </c>
      <c r="T5185" t="s">
        <v>49195</v>
      </c>
      <c r="U5185" t="s">
        <v>53968</v>
      </c>
      <c r="V5185" t="s">
        <v>63187</v>
      </c>
      <c r="W5185" t="s">
        <v>64457</v>
      </c>
      <c r="X5185" t="s">
        <v>47431</v>
      </c>
    </row>
    <row r="5186" spans="1:24">
      <c r="A5186">
        <f>HYPERLINK("https://www.philgeps.gov.ph/GEPSNONPILOT/Tender/SplashBidNoticeAbstractUI.aspx?menuIndex=3&amp;refID=7160649&amp;Result=3","7160649")</f>
        <v>0</v>
      </c>
      <c r="B5186" t="s">
        <v>1872</v>
      </c>
      <c r="C5186" t="s">
        <v>8793</v>
      </c>
      <c r="D5186" t="s">
        <v>19100</v>
      </c>
      <c r="E5186" t="s">
        <v>19161</v>
      </c>
      <c r="F5186" t="s">
        <v>32831</v>
      </c>
      <c r="G5186" t="s">
        <v>32838</v>
      </c>
      <c r="H5186" t="s">
        <v>32848</v>
      </c>
      <c r="I5186" t="s">
        <v>32892</v>
      </c>
      <c r="J5186" t="s">
        <v>36301</v>
      </c>
      <c r="K5186" t="s">
        <v>42869</v>
      </c>
      <c r="M5186" t="s">
        <v>45016</v>
      </c>
      <c r="N5186" t="s">
        <v>47424</v>
      </c>
      <c r="O5186" t="s">
        <v>47425</v>
      </c>
      <c r="P5186">
        <v>0</v>
      </c>
      <c r="Q5186">
        <v>0</v>
      </c>
      <c r="R5186" t="s">
        <v>47430</v>
      </c>
      <c r="S5186" t="s">
        <v>47549</v>
      </c>
      <c r="T5186" t="s">
        <v>49239</v>
      </c>
      <c r="U5186" t="s">
        <v>54074</v>
      </c>
      <c r="W5186" t="s">
        <v>45016</v>
      </c>
      <c r="X5186" t="s">
        <v>47431</v>
      </c>
    </row>
    <row r="5187" spans="1:24">
      <c r="A5187">
        <f>HYPERLINK("https://www.philgeps.gov.ph/GEPSNONPILOT/Tender/SplashBidNoticeAbstractUI.aspx?menuIndex=3&amp;refID=7160643&amp;Result=3","7160643")</f>
        <v>0</v>
      </c>
      <c r="B5187" t="s">
        <v>1679</v>
      </c>
      <c r="C5187" t="s">
        <v>8794</v>
      </c>
      <c r="D5187" t="s">
        <v>19052</v>
      </c>
      <c r="E5187" t="s">
        <v>23682</v>
      </c>
      <c r="F5187" t="s">
        <v>32831</v>
      </c>
      <c r="G5187" t="s">
        <v>32839</v>
      </c>
      <c r="H5187" t="s">
        <v>32849</v>
      </c>
      <c r="I5187" t="s">
        <v>4177</v>
      </c>
      <c r="J5187" t="s">
        <v>36302</v>
      </c>
      <c r="K5187" t="s">
        <v>42757</v>
      </c>
      <c r="M5187" t="s">
        <v>44797</v>
      </c>
      <c r="N5187" t="s">
        <v>47424</v>
      </c>
      <c r="O5187" t="s">
        <v>47425</v>
      </c>
      <c r="P5187">
        <v>0</v>
      </c>
      <c r="Q5187">
        <v>2</v>
      </c>
      <c r="R5187" t="s">
        <v>47430</v>
      </c>
      <c r="S5187" t="s">
        <v>47549</v>
      </c>
      <c r="T5187" t="s">
        <v>49198</v>
      </c>
      <c r="U5187" t="s">
        <v>54075</v>
      </c>
      <c r="V5187" t="s">
        <v>63083</v>
      </c>
      <c r="W5187" t="s">
        <v>44797</v>
      </c>
      <c r="X5187" t="s">
        <v>47431</v>
      </c>
    </row>
    <row r="5188" spans="1:24">
      <c r="A5188">
        <f>HYPERLINK("https://www.philgeps.gov.ph/GEPSNONPILOT/Tender/SplashBidNoticeAbstractUI.aspx?menuIndex=3&amp;refID=7160642&amp;Result=3","7160642")</f>
        <v>0</v>
      </c>
      <c r="B5188" t="s">
        <v>1847</v>
      </c>
      <c r="C5188" t="s">
        <v>8795</v>
      </c>
      <c r="D5188" t="s">
        <v>19037</v>
      </c>
      <c r="E5188" t="s">
        <v>23683</v>
      </c>
      <c r="F5188" t="s">
        <v>32831</v>
      </c>
      <c r="G5188" t="s">
        <v>32839</v>
      </c>
      <c r="H5188" t="s">
        <v>32848</v>
      </c>
      <c r="I5188" t="s">
        <v>4558</v>
      </c>
      <c r="J5188" t="s">
        <v>36303</v>
      </c>
      <c r="K5188" t="s">
        <v>42731</v>
      </c>
      <c r="M5188" t="s">
        <v>44983</v>
      </c>
      <c r="N5188" t="s">
        <v>47424</v>
      </c>
      <c r="O5188" t="s">
        <v>47425</v>
      </c>
      <c r="P5188">
        <v>0</v>
      </c>
      <c r="Q5188">
        <v>5</v>
      </c>
      <c r="R5188" t="s">
        <v>47430</v>
      </c>
      <c r="S5188" t="s">
        <v>47549</v>
      </c>
      <c r="T5188" t="s">
        <v>49130</v>
      </c>
      <c r="U5188" t="s">
        <v>54076</v>
      </c>
      <c r="V5188" t="s">
        <v>63200</v>
      </c>
      <c r="W5188" t="s">
        <v>44983</v>
      </c>
      <c r="X5188" t="s">
        <v>47431</v>
      </c>
    </row>
    <row r="5189" spans="1:24">
      <c r="A5189">
        <f>HYPERLINK("https://www.philgeps.gov.ph/GEPSNONPILOT/Tender/SplashBidNoticeAbstractUI.aspx?menuIndex=3&amp;refID=7160641&amp;Result=3","7160641")</f>
        <v>0</v>
      </c>
      <c r="B5189" t="s">
        <v>460</v>
      </c>
      <c r="C5189" t="s">
        <v>8796</v>
      </c>
      <c r="D5189" t="s">
        <v>19086</v>
      </c>
      <c r="E5189" t="s">
        <v>23684</v>
      </c>
      <c r="F5189" t="s">
        <v>32831</v>
      </c>
      <c r="G5189" t="s">
        <v>32839</v>
      </c>
      <c r="H5189" t="s">
        <v>32849</v>
      </c>
      <c r="I5189" t="s">
        <v>4177</v>
      </c>
      <c r="J5189" t="s">
        <v>36304</v>
      </c>
      <c r="K5189" t="s">
        <v>42757</v>
      </c>
      <c r="M5189" t="s">
        <v>45122</v>
      </c>
      <c r="N5189" t="s">
        <v>47424</v>
      </c>
      <c r="O5189" t="s">
        <v>47425</v>
      </c>
      <c r="P5189">
        <v>0</v>
      </c>
      <c r="Q5189">
        <v>0</v>
      </c>
      <c r="R5189" t="s">
        <v>47430</v>
      </c>
      <c r="S5189" t="s">
        <v>47549</v>
      </c>
      <c r="T5189" t="s">
        <v>49147</v>
      </c>
      <c r="U5189" t="s">
        <v>54077</v>
      </c>
      <c r="W5189" t="s">
        <v>45122</v>
      </c>
      <c r="X5189" t="s">
        <v>47431</v>
      </c>
    </row>
    <row r="5190" spans="1:24">
      <c r="A5190">
        <f>HYPERLINK("https://www.philgeps.gov.ph/GEPSNONPILOT/Tender/SplashBidNoticeAbstractUI.aspx?menuIndex=3&amp;refID=7159788&amp;Result=3","7159788")</f>
        <v>0</v>
      </c>
      <c r="B5190" t="s">
        <v>1963</v>
      </c>
      <c r="C5190" t="s">
        <v>8797</v>
      </c>
      <c r="D5190" t="s">
        <v>19037</v>
      </c>
      <c r="E5190" t="s">
        <v>23685</v>
      </c>
      <c r="F5190" t="s">
        <v>32831</v>
      </c>
      <c r="G5190" t="s">
        <v>32840</v>
      </c>
      <c r="H5190" t="s">
        <v>32848</v>
      </c>
      <c r="I5190" t="s">
        <v>32874</v>
      </c>
      <c r="J5190" t="s">
        <v>36305</v>
      </c>
      <c r="K5190" t="s">
        <v>42732</v>
      </c>
      <c r="M5190" t="s">
        <v>45123</v>
      </c>
      <c r="N5190" t="s">
        <v>47424</v>
      </c>
      <c r="O5190" t="s">
        <v>47425</v>
      </c>
      <c r="P5190">
        <v>0</v>
      </c>
      <c r="Q5190">
        <v>13</v>
      </c>
      <c r="R5190" t="s">
        <v>47430</v>
      </c>
      <c r="S5190" t="s">
        <v>47549</v>
      </c>
      <c r="T5190" t="s">
        <v>49419</v>
      </c>
      <c r="U5190" t="s">
        <v>54078</v>
      </c>
      <c r="V5190" t="s">
        <v>63201</v>
      </c>
      <c r="W5190" t="s">
        <v>45123</v>
      </c>
      <c r="X5190" t="s">
        <v>47431</v>
      </c>
    </row>
    <row r="5191" spans="1:24">
      <c r="A5191">
        <f>HYPERLINK("https://www.philgeps.gov.ph/GEPSNONPILOT/Tender/SplashBidNoticeAbstractUI.aspx?menuIndex=3&amp;refID=7160639&amp;Result=3","7160639")</f>
        <v>0</v>
      </c>
      <c r="B5191" t="s">
        <v>1903</v>
      </c>
      <c r="C5191" t="s">
        <v>8798</v>
      </c>
      <c r="D5191" t="s">
        <v>19088</v>
      </c>
      <c r="E5191" t="s">
        <v>23686</v>
      </c>
      <c r="F5191" t="s">
        <v>32831</v>
      </c>
      <c r="G5191" t="s">
        <v>32839</v>
      </c>
      <c r="H5191" t="s">
        <v>32848</v>
      </c>
      <c r="I5191" t="s">
        <v>8577</v>
      </c>
      <c r="J5191" t="s">
        <v>36306</v>
      </c>
      <c r="K5191" t="s">
        <v>42731</v>
      </c>
      <c r="M5191" t="s">
        <v>45052</v>
      </c>
      <c r="N5191" t="s">
        <v>47424</v>
      </c>
      <c r="O5191" t="s">
        <v>47425</v>
      </c>
      <c r="P5191">
        <v>0</v>
      </c>
      <c r="Q5191">
        <v>9</v>
      </c>
      <c r="R5191" t="s">
        <v>47430</v>
      </c>
      <c r="S5191" t="s">
        <v>47549</v>
      </c>
      <c r="T5191" t="s">
        <v>49319</v>
      </c>
      <c r="U5191" t="s">
        <v>53869</v>
      </c>
      <c r="W5191" t="s">
        <v>45052</v>
      </c>
      <c r="X5191" t="s">
        <v>47431</v>
      </c>
    </row>
    <row r="5192" spans="1:24">
      <c r="A5192">
        <f>HYPERLINK("https://www.philgeps.gov.ph/GEPSNONPILOT/Tender/SplashBidNoticeAbstractUI.aspx?menuIndex=3&amp;refID=7160638&amp;Result=3","7160638")</f>
        <v>0</v>
      </c>
      <c r="B5192" t="s">
        <v>693</v>
      </c>
      <c r="C5192" t="s">
        <v>8799</v>
      </c>
      <c r="D5192" t="s">
        <v>19073</v>
      </c>
      <c r="E5192" t="s">
        <v>20444</v>
      </c>
      <c r="F5192" t="s">
        <v>32831</v>
      </c>
      <c r="G5192" t="s">
        <v>32840</v>
      </c>
      <c r="H5192" t="s">
        <v>32848</v>
      </c>
      <c r="I5192" t="s">
        <v>9577</v>
      </c>
      <c r="J5192" t="s">
        <v>36307</v>
      </c>
      <c r="K5192" t="s">
        <v>42731</v>
      </c>
      <c r="M5192" t="s">
        <v>43712</v>
      </c>
      <c r="N5192" t="s">
        <v>47424</v>
      </c>
      <c r="O5192" t="s">
        <v>47425</v>
      </c>
      <c r="P5192">
        <v>0</v>
      </c>
      <c r="Q5192">
        <v>1</v>
      </c>
      <c r="R5192" t="s">
        <v>47430</v>
      </c>
      <c r="S5192" t="s">
        <v>47549</v>
      </c>
      <c r="T5192" t="s">
        <v>49108</v>
      </c>
      <c r="U5192" t="s">
        <v>54079</v>
      </c>
      <c r="W5192" t="s">
        <v>43712</v>
      </c>
      <c r="X5192" t="s">
        <v>47431</v>
      </c>
    </row>
    <row r="5193" spans="1:24">
      <c r="A5193">
        <f>HYPERLINK("https://www.philgeps.gov.ph/GEPSNONPILOT/Tender/SplashBidNoticeAbstractUI.aspx?menuIndex=3&amp;refID=7160637&amp;Result=3","7160637")</f>
        <v>0</v>
      </c>
      <c r="B5193" t="s">
        <v>100</v>
      </c>
      <c r="C5193" t="s">
        <v>8800</v>
      </c>
      <c r="D5193" t="s">
        <v>19017</v>
      </c>
      <c r="E5193" t="s">
        <v>23687</v>
      </c>
      <c r="F5193" t="s">
        <v>32831</v>
      </c>
      <c r="G5193" t="s">
        <v>32840</v>
      </c>
      <c r="H5193" t="s">
        <v>32848</v>
      </c>
      <c r="I5193" t="s">
        <v>4303</v>
      </c>
      <c r="J5193" t="s">
        <v>36308</v>
      </c>
      <c r="K5193" t="s">
        <v>42731</v>
      </c>
      <c r="M5193" t="s">
        <v>45058</v>
      </c>
      <c r="N5193" t="s">
        <v>47424</v>
      </c>
      <c r="O5193" t="s">
        <v>47425</v>
      </c>
      <c r="P5193">
        <v>0</v>
      </c>
      <c r="Q5193">
        <v>0</v>
      </c>
      <c r="R5193" t="s">
        <v>47430</v>
      </c>
      <c r="S5193" t="s">
        <v>47549</v>
      </c>
      <c r="T5193" t="s">
        <v>49374</v>
      </c>
      <c r="U5193" t="s">
        <v>54080</v>
      </c>
      <c r="V5193" t="s">
        <v>63021</v>
      </c>
      <c r="W5193" t="s">
        <v>45058</v>
      </c>
      <c r="X5193" t="s">
        <v>47431</v>
      </c>
    </row>
    <row r="5194" spans="1:24">
      <c r="A5194">
        <f>HYPERLINK("https://www.philgeps.gov.ph/GEPSNONPILOT/Tender/SplashBidNoticeAbstractUI.aspx?menuIndex=3&amp;refID=7160636&amp;Result=3","7160636")</f>
        <v>0</v>
      </c>
      <c r="B5194" t="s">
        <v>1964</v>
      </c>
      <c r="C5194" t="s">
        <v>8801</v>
      </c>
      <c r="D5194" t="s">
        <v>19019</v>
      </c>
      <c r="E5194" t="s">
        <v>23688</v>
      </c>
      <c r="F5194" t="s">
        <v>32831</v>
      </c>
      <c r="G5194" t="s">
        <v>32838</v>
      </c>
      <c r="H5194" t="s">
        <v>32848</v>
      </c>
      <c r="I5194" t="s">
        <v>32852</v>
      </c>
      <c r="J5194" t="s">
        <v>33893</v>
      </c>
      <c r="K5194" t="s">
        <v>42804</v>
      </c>
      <c r="M5194" t="s">
        <v>45124</v>
      </c>
      <c r="N5194" t="s">
        <v>47424</v>
      </c>
      <c r="O5194" t="s">
        <v>47425</v>
      </c>
      <c r="P5194">
        <v>0</v>
      </c>
      <c r="Q5194">
        <v>1</v>
      </c>
      <c r="R5194" t="s">
        <v>47430</v>
      </c>
      <c r="S5194" t="s">
        <v>47549</v>
      </c>
      <c r="T5194" t="s">
        <v>49177</v>
      </c>
      <c r="U5194" t="s">
        <v>54081</v>
      </c>
      <c r="W5194" t="s">
        <v>45124</v>
      </c>
      <c r="X5194" t="s">
        <v>47431</v>
      </c>
    </row>
    <row r="5195" spans="1:24">
      <c r="A5195">
        <f>HYPERLINK("https://www.philgeps.gov.ph/GEPSNONPILOT/Tender/SplashBidNoticeAbstractUI.aspx?menuIndex=3&amp;refID=7160634&amp;Result=3","7160634")</f>
        <v>0</v>
      </c>
      <c r="B5195" t="s">
        <v>1595</v>
      </c>
      <c r="C5195" t="s">
        <v>8802</v>
      </c>
      <c r="D5195" t="s">
        <v>19022</v>
      </c>
      <c r="E5195" t="s">
        <v>23689</v>
      </c>
      <c r="F5195" t="s">
        <v>32831</v>
      </c>
      <c r="G5195" t="s">
        <v>32839</v>
      </c>
      <c r="H5195" t="s">
        <v>32849</v>
      </c>
      <c r="I5195" t="s">
        <v>4177</v>
      </c>
      <c r="J5195" t="s">
        <v>36309</v>
      </c>
      <c r="K5195" t="s">
        <v>42877</v>
      </c>
      <c r="M5195" t="s">
        <v>44709</v>
      </c>
      <c r="N5195" t="s">
        <v>47424</v>
      </c>
      <c r="O5195" t="s">
        <v>47425</v>
      </c>
      <c r="P5195">
        <v>0</v>
      </c>
      <c r="Q5195">
        <v>1</v>
      </c>
      <c r="R5195" t="s">
        <v>47430</v>
      </c>
      <c r="S5195" t="s">
        <v>47549</v>
      </c>
      <c r="T5195" t="s">
        <v>49319</v>
      </c>
      <c r="U5195" t="s">
        <v>54082</v>
      </c>
      <c r="W5195" t="s">
        <v>44709</v>
      </c>
      <c r="X5195" t="s">
        <v>47431</v>
      </c>
    </row>
    <row r="5196" spans="1:24">
      <c r="A5196">
        <f>HYPERLINK("https://www.philgeps.gov.ph/GEPSNONPILOT/Tender/SplashBidNoticeAbstractUI.aspx?menuIndex=3&amp;refID=7160633&amp;Result=3","7160633")</f>
        <v>0</v>
      </c>
      <c r="B5196" t="s">
        <v>1358</v>
      </c>
      <c r="C5196" t="s">
        <v>8803</v>
      </c>
      <c r="D5196" t="s">
        <v>19068</v>
      </c>
      <c r="E5196" t="s">
        <v>23690</v>
      </c>
      <c r="F5196" t="s">
        <v>32831</v>
      </c>
      <c r="G5196" t="s">
        <v>32841</v>
      </c>
      <c r="H5196" t="s">
        <v>32848</v>
      </c>
      <c r="I5196" t="s">
        <v>32867</v>
      </c>
      <c r="J5196" t="s">
        <v>33989</v>
      </c>
      <c r="K5196" t="s">
        <v>42730</v>
      </c>
      <c r="M5196" t="s">
        <v>44435</v>
      </c>
      <c r="N5196" t="s">
        <v>47424</v>
      </c>
      <c r="O5196" t="s">
        <v>47425</v>
      </c>
      <c r="P5196">
        <v>0</v>
      </c>
      <c r="Q5196">
        <v>0</v>
      </c>
      <c r="R5196" t="s">
        <v>47430</v>
      </c>
      <c r="S5196" t="s">
        <v>47549</v>
      </c>
      <c r="T5196" t="s">
        <v>49291</v>
      </c>
      <c r="U5196" t="s">
        <v>54083</v>
      </c>
      <c r="V5196" t="s">
        <v>63202</v>
      </c>
      <c r="W5196" t="s">
        <v>44435</v>
      </c>
      <c r="X5196" t="s">
        <v>47431</v>
      </c>
    </row>
    <row r="5197" spans="1:24">
      <c r="A5197">
        <f>HYPERLINK("https://www.philgeps.gov.ph/GEPSNONPILOT/Tender/SplashBidNoticeAbstractUI.aspx?menuIndex=3&amp;refID=7160630&amp;Result=3","7160630")</f>
        <v>0</v>
      </c>
      <c r="B5197" t="s">
        <v>868</v>
      </c>
      <c r="C5197" t="s">
        <v>8804</v>
      </c>
      <c r="D5197" t="s">
        <v>19073</v>
      </c>
      <c r="E5197" t="s">
        <v>19414</v>
      </c>
      <c r="F5197" t="s">
        <v>32831</v>
      </c>
      <c r="G5197" t="s">
        <v>32839</v>
      </c>
      <c r="H5197" t="s">
        <v>32848</v>
      </c>
      <c r="I5197" t="s">
        <v>4487</v>
      </c>
      <c r="J5197" t="s">
        <v>33490</v>
      </c>
      <c r="K5197" t="s">
        <v>42732</v>
      </c>
      <c r="M5197" t="s">
        <v>43902</v>
      </c>
      <c r="N5197" t="s">
        <v>47424</v>
      </c>
      <c r="O5197" t="s">
        <v>47425</v>
      </c>
      <c r="P5197">
        <v>0</v>
      </c>
      <c r="Q5197">
        <v>1</v>
      </c>
      <c r="R5197" t="s">
        <v>47430</v>
      </c>
      <c r="S5197" t="s">
        <v>47549</v>
      </c>
      <c r="T5197" t="s">
        <v>49123</v>
      </c>
      <c r="U5197" t="s">
        <v>54084</v>
      </c>
      <c r="W5197" t="s">
        <v>43902</v>
      </c>
      <c r="X5197" t="s">
        <v>47431</v>
      </c>
    </row>
    <row r="5198" spans="1:24">
      <c r="A5198">
        <f>HYPERLINK("https://www.philgeps.gov.ph/GEPSNONPILOT/Tender/SplashBidNoticeAbstractUI.aspx?menuIndex=3&amp;refID=7159906&amp;Result=3","7159906")</f>
        <v>0</v>
      </c>
      <c r="B5198" t="s">
        <v>1965</v>
      </c>
      <c r="C5198" t="s">
        <v>8805</v>
      </c>
      <c r="D5198" t="s">
        <v>19086</v>
      </c>
      <c r="E5198" t="s">
        <v>23691</v>
      </c>
      <c r="F5198" t="s">
        <v>32831</v>
      </c>
      <c r="G5198" t="s">
        <v>32838</v>
      </c>
      <c r="H5198" t="s">
        <v>32848</v>
      </c>
      <c r="I5198" t="s">
        <v>9577</v>
      </c>
      <c r="J5198" t="s">
        <v>33315</v>
      </c>
      <c r="K5198" t="s">
        <v>42748</v>
      </c>
      <c r="M5198" t="s">
        <v>45125</v>
      </c>
      <c r="N5198" t="s">
        <v>47424</v>
      </c>
      <c r="O5198" t="s">
        <v>47425</v>
      </c>
      <c r="P5198">
        <v>0</v>
      </c>
      <c r="Q5198">
        <v>10</v>
      </c>
      <c r="R5198" t="s">
        <v>47430</v>
      </c>
      <c r="S5198" t="s">
        <v>47549</v>
      </c>
      <c r="T5198" t="s">
        <v>49111</v>
      </c>
      <c r="U5198" t="s">
        <v>54085</v>
      </c>
      <c r="W5198" t="s">
        <v>45125</v>
      </c>
      <c r="X5198" t="s">
        <v>47431</v>
      </c>
    </row>
    <row r="5199" spans="1:24">
      <c r="A5199">
        <f>HYPERLINK("https://www.philgeps.gov.ph/GEPSNONPILOT/Tender/SplashBidNoticeAbstractUI.aspx?menuIndex=3&amp;refID=7160644&amp;Result=3","7160644")</f>
        <v>0</v>
      </c>
      <c r="B5199" t="s">
        <v>632</v>
      </c>
      <c r="C5199" t="s">
        <v>8806</v>
      </c>
      <c r="D5199" t="s">
        <v>19058</v>
      </c>
      <c r="E5199" t="s">
        <v>23692</v>
      </c>
      <c r="F5199" t="s">
        <v>32831</v>
      </c>
      <c r="G5199" t="s">
        <v>32838</v>
      </c>
      <c r="H5199" t="s">
        <v>32848</v>
      </c>
      <c r="I5199" t="s">
        <v>32870</v>
      </c>
      <c r="J5199" t="s">
        <v>36310</v>
      </c>
      <c r="K5199" t="s">
        <v>42726</v>
      </c>
      <c r="M5199" t="s">
        <v>43649</v>
      </c>
      <c r="N5199" t="s">
        <v>47424</v>
      </c>
      <c r="O5199" t="s">
        <v>47425</v>
      </c>
      <c r="P5199">
        <v>0</v>
      </c>
      <c r="Q5199">
        <v>0</v>
      </c>
      <c r="R5199" t="s">
        <v>47430</v>
      </c>
      <c r="S5199" t="s">
        <v>47549</v>
      </c>
      <c r="T5199" t="s">
        <v>49243</v>
      </c>
      <c r="U5199" t="s">
        <v>54086</v>
      </c>
      <c r="V5199" t="s">
        <v>63203</v>
      </c>
      <c r="W5199" t="s">
        <v>43649</v>
      </c>
      <c r="X5199" t="s">
        <v>47431</v>
      </c>
    </row>
    <row r="5200" spans="1:24">
      <c r="A5200">
        <f>HYPERLINK("https://www.philgeps.gov.ph/GEPSNONPILOT/Tender/SplashBidNoticeAbstractUI.aspx?menuIndex=3&amp;refID=7160624&amp;Result=3","7160624")</f>
        <v>0</v>
      </c>
      <c r="B5200" t="s">
        <v>1948</v>
      </c>
      <c r="C5200" t="s">
        <v>8807</v>
      </c>
      <c r="D5200" t="s">
        <v>19062</v>
      </c>
      <c r="E5200" t="s">
        <v>23693</v>
      </c>
      <c r="F5200" t="s">
        <v>32831</v>
      </c>
      <c r="G5200" t="s">
        <v>32838</v>
      </c>
      <c r="H5200" t="s">
        <v>32848</v>
      </c>
      <c r="I5200" t="s">
        <v>32858</v>
      </c>
      <c r="J5200" t="s">
        <v>36311</v>
      </c>
      <c r="K5200" t="s">
        <v>42726</v>
      </c>
      <c r="M5200" t="s">
        <v>45105</v>
      </c>
      <c r="N5200" t="s">
        <v>47424</v>
      </c>
      <c r="O5200" t="s">
        <v>47425</v>
      </c>
      <c r="P5200">
        <v>0</v>
      </c>
      <c r="Q5200">
        <v>0</v>
      </c>
      <c r="R5200" t="s">
        <v>47430</v>
      </c>
      <c r="S5200" t="s">
        <v>47549</v>
      </c>
      <c r="T5200" t="s">
        <v>49235</v>
      </c>
      <c r="U5200" t="s">
        <v>54087</v>
      </c>
      <c r="W5200" t="s">
        <v>45105</v>
      </c>
      <c r="X5200" t="s">
        <v>47431</v>
      </c>
    </row>
    <row r="5201" spans="1:24">
      <c r="A5201">
        <f>HYPERLINK("https://www.philgeps.gov.ph/GEPSNONPILOT/Tender/SplashBidNoticeAbstractUI.aspx?menuIndex=3&amp;refID=7160652&amp;Result=3","7160652")</f>
        <v>0</v>
      </c>
      <c r="B5201" t="s">
        <v>1657</v>
      </c>
      <c r="C5201" t="s">
        <v>8808</v>
      </c>
      <c r="D5201" t="s">
        <v>19020</v>
      </c>
      <c r="E5201" t="s">
        <v>23694</v>
      </c>
      <c r="F5201" t="s">
        <v>32831</v>
      </c>
      <c r="G5201" t="s">
        <v>32838</v>
      </c>
      <c r="H5201" t="s">
        <v>32848</v>
      </c>
      <c r="I5201" t="s">
        <v>6526</v>
      </c>
      <c r="J5201" t="s">
        <v>32983</v>
      </c>
      <c r="K5201" t="s">
        <v>42730</v>
      </c>
      <c r="M5201" t="s">
        <v>44774</v>
      </c>
      <c r="N5201" t="s">
        <v>47424</v>
      </c>
      <c r="O5201" t="s">
        <v>47425</v>
      </c>
      <c r="P5201">
        <v>0</v>
      </c>
      <c r="Q5201">
        <v>0</v>
      </c>
      <c r="R5201" t="s">
        <v>47430</v>
      </c>
      <c r="S5201" t="s">
        <v>47549</v>
      </c>
      <c r="T5201" t="s">
        <v>49394</v>
      </c>
      <c r="U5201" t="s">
        <v>54088</v>
      </c>
      <c r="V5201" t="s">
        <v>63131</v>
      </c>
      <c r="W5201" t="s">
        <v>64487</v>
      </c>
      <c r="X5201" t="s">
        <v>47431</v>
      </c>
    </row>
    <row r="5202" spans="1:24">
      <c r="A5202">
        <f>HYPERLINK("https://www.philgeps.gov.ph/GEPSNONPILOT/Tender/SplashBidNoticeAbstractUI.aspx?menuIndex=3&amp;refID=7160673&amp;Result=3","7160673")</f>
        <v>0</v>
      </c>
      <c r="B5202" t="s">
        <v>1661</v>
      </c>
      <c r="C5202" t="s">
        <v>8809</v>
      </c>
      <c r="D5202" t="s">
        <v>19063</v>
      </c>
      <c r="E5202" t="s">
        <v>23695</v>
      </c>
      <c r="F5202" t="s">
        <v>32831</v>
      </c>
      <c r="G5202" t="s">
        <v>32838</v>
      </c>
      <c r="H5202" t="s">
        <v>32848</v>
      </c>
      <c r="I5202" t="s">
        <v>4438</v>
      </c>
      <c r="J5202" t="s">
        <v>33077</v>
      </c>
      <c r="K5202" t="s">
        <v>42729</v>
      </c>
      <c r="M5202" t="s">
        <v>44778</v>
      </c>
      <c r="N5202" t="s">
        <v>47424</v>
      </c>
      <c r="O5202" t="s">
        <v>47425</v>
      </c>
      <c r="P5202">
        <v>0</v>
      </c>
      <c r="Q5202">
        <v>0</v>
      </c>
      <c r="R5202" t="s">
        <v>47430</v>
      </c>
      <c r="S5202" t="s">
        <v>47549</v>
      </c>
      <c r="T5202" t="s">
        <v>49420</v>
      </c>
      <c r="U5202" t="s">
        <v>54089</v>
      </c>
      <c r="W5202" t="s">
        <v>44778</v>
      </c>
      <c r="X5202" t="s">
        <v>47431</v>
      </c>
    </row>
    <row r="5203" spans="1:24">
      <c r="A5203">
        <f>HYPERLINK("https://www.philgeps.gov.ph/GEPSNONPILOT/Tender/SplashBidNoticeAbstractUI.aspx?menuIndex=3&amp;refID=7160681&amp;Result=3","7160681")</f>
        <v>0</v>
      </c>
      <c r="B5203" t="s">
        <v>868</v>
      </c>
      <c r="C5203" t="s">
        <v>8810</v>
      </c>
      <c r="D5203" t="s">
        <v>19073</v>
      </c>
      <c r="E5203" t="s">
        <v>23696</v>
      </c>
      <c r="F5203" t="s">
        <v>32831</v>
      </c>
      <c r="G5203" t="s">
        <v>32839</v>
      </c>
      <c r="H5203" t="s">
        <v>32848</v>
      </c>
      <c r="I5203" t="s">
        <v>10805</v>
      </c>
      <c r="J5203" t="s">
        <v>33794</v>
      </c>
      <c r="K5203" t="s">
        <v>42732</v>
      </c>
      <c r="M5203" t="s">
        <v>43902</v>
      </c>
      <c r="N5203" t="s">
        <v>47424</v>
      </c>
      <c r="O5203" t="s">
        <v>47425</v>
      </c>
      <c r="P5203">
        <v>0</v>
      </c>
      <c r="Q5203">
        <v>12</v>
      </c>
      <c r="R5203" t="s">
        <v>47430</v>
      </c>
      <c r="S5203" t="s">
        <v>47549</v>
      </c>
      <c r="T5203" t="s">
        <v>49254</v>
      </c>
      <c r="U5203" t="s">
        <v>54090</v>
      </c>
      <c r="W5203" t="s">
        <v>43902</v>
      </c>
      <c r="X5203" t="s">
        <v>47431</v>
      </c>
    </row>
    <row r="5204" spans="1:24">
      <c r="A5204">
        <f>HYPERLINK("https://www.philgeps.gov.ph/GEPSNONPILOT/Tender/SplashBidNoticeAbstractUI.aspx?menuIndex=3&amp;refID=7160680&amp;Result=3","7160680")</f>
        <v>0</v>
      </c>
      <c r="B5204" t="s">
        <v>100</v>
      </c>
      <c r="C5204" t="s">
        <v>8811</v>
      </c>
      <c r="D5204" t="s">
        <v>19017</v>
      </c>
      <c r="E5204" t="s">
        <v>23697</v>
      </c>
      <c r="F5204" t="s">
        <v>32831</v>
      </c>
      <c r="G5204" t="s">
        <v>32840</v>
      </c>
      <c r="H5204" t="s">
        <v>32848</v>
      </c>
      <c r="I5204" t="s">
        <v>4303</v>
      </c>
      <c r="J5204" t="s">
        <v>33702</v>
      </c>
      <c r="K5204" t="s">
        <v>42731</v>
      </c>
      <c r="M5204" t="s">
        <v>45058</v>
      </c>
      <c r="N5204" t="s">
        <v>47424</v>
      </c>
      <c r="O5204" t="s">
        <v>47425</v>
      </c>
      <c r="P5204">
        <v>0</v>
      </c>
      <c r="Q5204">
        <v>1</v>
      </c>
      <c r="R5204" t="s">
        <v>47430</v>
      </c>
      <c r="S5204" t="s">
        <v>47549</v>
      </c>
      <c r="T5204" t="s">
        <v>49374</v>
      </c>
      <c r="U5204" t="s">
        <v>54091</v>
      </c>
      <c r="V5204" t="s">
        <v>63021</v>
      </c>
      <c r="W5204" t="s">
        <v>45058</v>
      </c>
      <c r="X5204" t="s">
        <v>47431</v>
      </c>
    </row>
    <row r="5205" spans="1:24">
      <c r="A5205">
        <f>HYPERLINK("https://www.philgeps.gov.ph/GEPSNONPILOT/Tender/SplashBidNoticeAbstractUI.aspx?menuIndex=3&amp;refID=7160584&amp;Result=3","7160584")</f>
        <v>0</v>
      </c>
      <c r="B5205" t="s">
        <v>1903</v>
      </c>
      <c r="C5205" t="s">
        <v>8812</v>
      </c>
      <c r="D5205" t="s">
        <v>19088</v>
      </c>
      <c r="E5205" t="s">
        <v>23698</v>
      </c>
      <c r="F5205" t="s">
        <v>32831</v>
      </c>
      <c r="G5205" t="s">
        <v>32839</v>
      </c>
      <c r="H5205" t="s">
        <v>32848</v>
      </c>
      <c r="I5205" t="s">
        <v>32856</v>
      </c>
      <c r="J5205" t="s">
        <v>36312</v>
      </c>
      <c r="K5205" t="s">
        <v>42731</v>
      </c>
      <c r="M5205" t="s">
        <v>45052</v>
      </c>
      <c r="N5205" t="s">
        <v>47424</v>
      </c>
      <c r="O5205" t="s">
        <v>47425</v>
      </c>
      <c r="P5205">
        <v>0</v>
      </c>
      <c r="Q5205">
        <v>4</v>
      </c>
      <c r="R5205" t="s">
        <v>47430</v>
      </c>
      <c r="S5205" t="s">
        <v>47549</v>
      </c>
      <c r="T5205" t="s">
        <v>49319</v>
      </c>
      <c r="U5205" t="s">
        <v>53869</v>
      </c>
      <c r="W5205" t="s">
        <v>45052</v>
      </c>
      <c r="X5205" t="s">
        <v>47431</v>
      </c>
    </row>
    <row r="5206" spans="1:24">
      <c r="A5206">
        <f>HYPERLINK("https://www.philgeps.gov.ph/GEPSNONPILOT/Tender/SplashBidNoticeAbstractUI.aspx?menuIndex=3&amp;refID=7160679&amp;Result=3","7160679")</f>
        <v>0</v>
      </c>
      <c r="B5206" t="s">
        <v>1966</v>
      </c>
      <c r="C5206" t="s">
        <v>8813</v>
      </c>
      <c r="D5206" t="s">
        <v>19042</v>
      </c>
      <c r="E5206" t="s">
        <v>23699</v>
      </c>
      <c r="F5206" t="s">
        <v>32831</v>
      </c>
      <c r="G5206" t="s">
        <v>32838</v>
      </c>
      <c r="H5206" t="s">
        <v>32848</v>
      </c>
      <c r="I5206" t="s">
        <v>32874</v>
      </c>
      <c r="J5206" t="s">
        <v>36313</v>
      </c>
      <c r="K5206" t="s">
        <v>42730</v>
      </c>
      <c r="M5206" t="s">
        <v>45126</v>
      </c>
      <c r="N5206" t="s">
        <v>47424</v>
      </c>
      <c r="O5206" t="s">
        <v>47425</v>
      </c>
      <c r="P5206">
        <v>0</v>
      </c>
      <c r="Q5206">
        <v>15</v>
      </c>
      <c r="R5206" t="s">
        <v>47430</v>
      </c>
      <c r="S5206" t="s">
        <v>47549</v>
      </c>
      <c r="T5206" t="s">
        <v>49061</v>
      </c>
      <c r="U5206" t="s">
        <v>54092</v>
      </c>
      <c r="W5206" t="s">
        <v>45126</v>
      </c>
      <c r="X5206" t="s">
        <v>47431</v>
      </c>
    </row>
    <row r="5207" spans="1:24">
      <c r="A5207">
        <f>HYPERLINK("https://www.philgeps.gov.ph/GEPSNONPILOT/Tender/SplashBidNoticeAbstractUI.aspx?menuIndex=3&amp;refID=7160678&amp;Result=3","7160678")</f>
        <v>0</v>
      </c>
      <c r="B5207" t="s">
        <v>1967</v>
      </c>
      <c r="C5207" t="s">
        <v>8814</v>
      </c>
      <c r="D5207" t="s">
        <v>19049</v>
      </c>
      <c r="E5207" t="s">
        <v>23700</v>
      </c>
      <c r="F5207" t="s">
        <v>32831</v>
      </c>
      <c r="G5207" t="s">
        <v>32838</v>
      </c>
      <c r="H5207" t="s">
        <v>32848</v>
      </c>
      <c r="I5207" t="s">
        <v>32860</v>
      </c>
      <c r="J5207" t="s">
        <v>36314</v>
      </c>
      <c r="K5207" t="s">
        <v>42730</v>
      </c>
      <c r="M5207" t="s">
        <v>45127</v>
      </c>
      <c r="N5207" t="s">
        <v>47424</v>
      </c>
      <c r="O5207" t="s">
        <v>47425</v>
      </c>
      <c r="P5207">
        <v>0</v>
      </c>
      <c r="Q5207">
        <v>2</v>
      </c>
      <c r="R5207" t="s">
        <v>47430</v>
      </c>
      <c r="S5207" t="s">
        <v>47549</v>
      </c>
      <c r="T5207" t="s">
        <v>49239</v>
      </c>
      <c r="U5207" t="s">
        <v>54093</v>
      </c>
      <c r="W5207" t="s">
        <v>45127</v>
      </c>
      <c r="X5207" t="s">
        <v>47431</v>
      </c>
    </row>
    <row r="5208" spans="1:24">
      <c r="A5208">
        <f>HYPERLINK("https://www.philgeps.gov.ph/GEPSNONPILOT/Tender/SplashBidNoticeAbstractUI.aspx?menuIndex=3&amp;refID=7160677&amp;Result=3","7160677")</f>
        <v>0</v>
      </c>
      <c r="B5208" t="s">
        <v>1968</v>
      </c>
      <c r="C5208" t="s">
        <v>8815</v>
      </c>
      <c r="D5208" t="s">
        <v>19037</v>
      </c>
      <c r="E5208" t="s">
        <v>23701</v>
      </c>
      <c r="F5208" t="s">
        <v>32831</v>
      </c>
      <c r="G5208" t="s">
        <v>32840</v>
      </c>
      <c r="H5208" t="s">
        <v>32848</v>
      </c>
      <c r="I5208" t="s">
        <v>4471</v>
      </c>
      <c r="J5208" t="s">
        <v>33508</v>
      </c>
      <c r="K5208" t="s">
        <v>42748</v>
      </c>
      <c r="M5208" t="s">
        <v>45128</v>
      </c>
      <c r="N5208" t="s">
        <v>47424</v>
      </c>
      <c r="O5208" t="s">
        <v>47425</v>
      </c>
      <c r="P5208">
        <v>0</v>
      </c>
      <c r="Q5208">
        <v>0</v>
      </c>
      <c r="R5208" t="s">
        <v>47430</v>
      </c>
      <c r="S5208" t="s">
        <v>47549</v>
      </c>
      <c r="T5208" t="s">
        <v>49100</v>
      </c>
      <c r="U5208" t="s">
        <v>54094</v>
      </c>
      <c r="W5208" t="s">
        <v>45128</v>
      </c>
      <c r="X5208" t="s">
        <v>47431</v>
      </c>
    </row>
    <row r="5209" spans="1:24">
      <c r="A5209">
        <f>HYPERLINK("https://www.philgeps.gov.ph/GEPSNONPILOT/Tender/SplashBidNoticeAbstractUI.aspx?menuIndex=3&amp;refID=7160676&amp;Result=3","7160676")</f>
        <v>0</v>
      </c>
      <c r="B5209" t="s">
        <v>1969</v>
      </c>
      <c r="C5209" t="s">
        <v>8816</v>
      </c>
      <c r="D5209" t="s">
        <v>19047</v>
      </c>
      <c r="E5209" t="s">
        <v>23702</v>
      </c>
      <c r="F5209" t="s">
        <v>32831</v>
      </c>
      <c r="G5209" t="s">
        <v>32840</v>
      </c>
      <c r="H5209" t="s">
        <v>32848</v>
      </c>
      <c r="I5209" t="s">
        <v>4222</v>
      </c>
      <c r="J5209" t="s">
        <v>36315</v>
      </c>
      <c r="K5209" t="s">
        <v>42758</v>
      </c>
      <c r="M5209" t="s">
        <v>45129</v>
      </c>
      <c r="N5209" t="s">
        <v>47424</v>
      </c>
      <c r="O5209" t="s">
        <v>47425</v>
      </c>
      <c r="P5209">
        <v>0</v>
      </c>
      <c r="Q5209">
        <v>0</v>
      </c>
      <c r="R5209" t="s">
        <v>47430</v>
      </c>
      <c r="S5209" t="s">
        <v>47549</v>
      </c>
      <c r="T5209" t="s">
        <v>49091</v>
      </c>
      <c r="U5209" t="s">
        <v>54095</v>
      </c>
      <c r="W5209" t="s">
        <v>64494</v>
      </c>
      <c r="X5209" t="s">
        <v>47431</v>
      </c>
    </row>
    <row r="5210" spans="1:24">
      <c r="A5210">
        <f>HYPERLINK("https://www.philgeps.gov.ph/GEPSNONPILOT/Tender/SplashBidNoticeAbstractUI.aspx?menuIndex=3&amp;refID=7160672&amp;Result=3","7160672")</f>
        <v>0</v>
      </c>
      <c r="B5210" t="s">
        <v>888</v>
      </c>
      <c r="C5210" t="s">
        <v>8817</v>
      </c>
      <c r="D5210" t="s">
        <v>19067</v>
      </c>
      <c r="E5210" t="s">
        <v>20319</v>
      </c>
      <c r="F5210" t="s">
        <v>32831</v>
      </c>
      <c r="G5210" t="s">
        <v>32840</v>
      </c>
      <c r="H5210" t="s">
        <v>32848</v>
      </c>
      <c r="I5210" t="s">
        <v>32860</v>
      </c>
      <c r="J5210" t="s">
        <v>36316</v>
      </c>
      <c r="K5210" t="s">
        <v>42758</v>
      </c>
      <c r="M5210" t="s">
        <v>43923</v>
      </c>
      <c r="N5210" t="s">
        <v>47424</v>
      </c>
      <c r="O5210" t="s">
        <v>47425</v>
      </c>
      <c r="P5210">
        <v>0</v>
      </c>
      <c r="Q5210">
        <v>1</v>
      </c>
      <c r="R5210" t="s">
        <v>47430</v>
      </c>
      <c r="S5210" t="s">
        <v>47549</v>
      </c>
      <c r="T5210" t="s">
        <v>49145</v>
      </c>
      <c r="U5210" t="s">
        <v>54096</v>
      </c>
      <c r="W5210" t="s">
        <v>43923</v>
      </c>
      <c r="X5210" t="s">
        <v>47431</v>
      </c>
    </row>
    <row r="5211" spans="1:24">
      <c r="A5211">
        <f>HYPERLINK("https://www.philgeps.gov.ph/GEPSNONPILOT/Tender/SplashBidNoticeAbstractUI.aspx?menuIndex=3&amp;refID=7160668&amp;Result=3","7160668")</f>
        <v>0</v>
      </c>
      <c r="B5211" t="s">
        <v>1970</v>
      </c>
      <c r="C5211" t="s">
        <v>8818</v>
      </c>
      <c r="D5211" t="s">
        <v>19052</v>
      </c>
      <c r="E5211" t="s">
        <v>23703</v>
      </c>
      <c r="F5211" t="s">
        <v>32831</v>
      </c>
      <c r="G5211" t="s">
        <v>32839</v>
      </c>
      <c r="H5211" t="s">
        <v>32849</v>
      </c>
      <c r="I5211" t="s">
        <v>4177</v>
      </c>
      <c r="J5211" t="s">
        <v>36317</v>
      </c>
      <c r="K5211" t="s">
        <v>42729</v>
      </c>
      <c r="M5211" t="s">
        <v>45130</v>
      </c>
      <c r="N5211" t="s">
        <v>47424</v>
      </c>
      <c r="O5211" t="s">
        <v>47425</v>
      </c>
      <c r="P5211">
        <v>0</v>
      </c>
      <c r="Q5211">
        <v>0</v>
      </c>
      <c r="R5211" t="s">
        <v>47430</v>
      </c>
      <c r="S5211" t="s">
        <v>47549</v>
      </c>
      <c r="T5211" t="s">
        <v>49421</v>
      </c>
      <c r="U5211" t="s">
        <v>54097</v>
      </c>
      <c r="W5211" t="s">
        <v>45130</v>
      </c>
      <c r="X5211" t="s">
        <v>47431</v>
      </c>
    </row>
    <row r="5212" spans="1:24">
      <c r="A5212">
        <f>HYPERLINK("https://www.philgeps.gov.ph/GEPSNONPILOT/Tender/SplashBidNoticeAbstractUI.aspx?menuIndex=3&amp;refID=7160666&amp;Result=3","7160666")</f>
        <v>0</v>
      </c>
      <c r="B5212" t="s">
        <v>1944</v>
      </c>
      <c r="C5212" t="s">
        <v>8819</v>
      </c>
      <c r="E5212" t="s">
        <v>23704</v>
      </c>
      <c r="F5212" t="s">
        <v>32831</v>
      </c>
      <c r="G5212" t="s">
        <v>32838</v>
      </c>
      <c r="H5212" t="s">
        <v>32848</v>
      </c>
      <c r="I5212" t="s">
        <v>9577</v>
      </c>
      <c r="J5212" t="s">
        <v>36318</v>
      </c>
      <c r="K5212" t="s">
        <v>42732</v>
      </c>
      <c r="M5212" t="s">
        <v>45101</v>
      </c>
      <c r="N5212" t="s">
        <v>47424</v>
      </c>
      <c r="O5212" t="s">
        <v>47425</v>
      </c>
      <c r="P5212">
        <v>0</v>
      </c>
      <c r="Q5212">
        <v>6</v>
      </c>
      <c r="R5212" t="s">
        <v>47430</v>
      </c>
      <c r="S5212" t="s">
        <v>47549</v>
      </c>
      <c r="T5212" t="s">
        <v>49104</v>
      </c>
      <c r="U5212" t="s">
        <v>54098</v>
      </c>
      <c r="W5212" t="s">
        <v>45101</v>
      </c>
      <c r="X5212" t="s">
        <v>47431</v>
      </c>
    </row>
    <row r="5213" spans="1:24">
      <c r="A5213">
        <f>HYPERLINK("https://www.philgeps.gov.ph/GEPSNONPILOT/Tender/SplashBidNoticeAbstractUI.aspx?menuIndex=3&amp;refID=7160665&amp;Result=3","7160665")</f>
        <v>0</v>
      </c>
      <c r="B5213" t="s">
        <v>1903</v>
      </c>
      <c r="C5213" t="s">
        <v>8820</v>
      </c>
      <c r="D5213" t="s">
        <v>19088</v>
      </c>
      <c r="E5213" t="s">
        <v>23705</v>
      </c>
      <c r="F5213" t="s">
        <v>32831</v>
      </c>
      <c r="G5213" t="s">
        <v>32839</v>
      </c>
      <c r="H5213" t="s">
        <v>32848</v>
      </c>
      <c r="I5213" t="s">
        <v>32871</v>
      </c>
      <c r="J5213" t="s">
        <v>36319</v>
      </c>
      <c r="K5213" t="s">
        <v>42745</v>
      </c>
      <c r="M5213" t="s">
        <v>45052</v>
      </c>
      <c r="N5213" t="s">
        <v>47424</v>
      </c>
      <c r="O5213" t="s">
        <v>47425</v>
      </c>
      <c r="P5213">
        <v>0</v>
      </c>
      <c r="Q5213">
        <v>20</v>
      </c>
      <c r="R5213" t="s">
        <v>47430</v>
      </c>
      <c r="S5213" t="s">
        <v>47549</v>
      </c>
      <c r="T5213" t="s">
        <v>49319</v>
      </c>
      <c r="U5213" t="s">
        <v>53869</v>
      </c>
      <c r="W5213" t="s">
        <v>45052</v>
      </c>
      <c r="X5213" t="s">
        <v>47431</v>
      </c>
    </row>
    <row r="5214" spans="1:24">
      <c r="A5214">
        <f>HYPERLINK("https://www.philgeps.gov.ph/GEPSNONPILOT/Tender/SplashBidNoticeAbstractUI.aspx?menuIndex=3&amp;refID=7160662&amp;Result=3","7160662")</f>
        <v>0</v>
      </c>
      <c r="B5214" t="s">
        <v>920</v>
      </c>
      <c r="C5214" t="s">
        <v>8821</v>
      </c>
      <c r="E5214" t="s">
        <v>23706</v>
      </c>
      <c r="F5214" t="s">
        <v>32831</v>
      </c>
      <c r="G5214" t="s">
        <v>32838</v>
      </c>
      <c r="H5214" t="s">
        <v>32848</v>
      </c>
      <c r="I5214" t="s">
        <v>4558</v>
      </c>
      <c r="J5214" t="s">
        <v>33812</v>
      </c>
      <c r="K5214" t="s">
        <v>42732</v>
      </c>
      <c r="M5214" t="s">
        <v>43961</v>
      </c>
      <c r="N5214" t="s">
        <v>47424</v>
      </c>
      <c r="O5214" t="s">
        <v>47425</v>
      </c>
      <c r="P5214">
        <v>0</v>
      </c>
      <c r="Q5214">
        <v>0</v>
      </c>
      <c r="R5214" t="s">
        <v>47430</v>
      </c>
      <c r="S5214" t="s">
        <v>47549</v>
      </c>
      <c r="T5214" t="s">
        <v>49108</v>
      </c>
      <c r="U5214" t="s">
        <v>51396</v>
      </c>
      <c r="W5214" t="s">
        <v>43961</v>
      </c>
      <c r="X5214" t="s">
        <v>47431</v>
      </c>
    </row>
    <row r="5215" spans="1:24">
      <c r="A5215">
        <f>HYPERLINK("https://www.philgeps.gov.ph/GEPSNONPILOT/Tender/SplashBidNoticeAbstractUI.aspx?menuIndex=3&amp;refID=7160661&amp;Result=3","7160661")</f>
        <v>0</v>
      </c>
      <c r="B5215" t="s">
        <v>693</v>
      </c>
      <c r="C5215" t="s">
        <v>8822</v>
      </c>
      <c r="D5215" t="s">
        <v>19073</v>
      </c>
      <c r="E5215" t="s">
        <v>20444</v>
      </c>
      <c r="F5215" t="s">
        <v>32831</v>
      </c>
      <c r="G5215" t="s">
        <v>32840</v>
      </c>
      <c r="H5215" t="s">
        <v>32848</v>
      </c>
      <c r="I5215" t="s">
        <v>7751</v>
      </c>
      <c r="J5215" t="s">
        <v>33978</v>
      </c>
      <c r="K5215" t="s">
        <v>42731</v>
      </c>
      <c r="M5215" t="s">
        <v>43712</v>
      </c>
      <c r="N5215" t="s">
        <v>47424</v>
      </c>
      <c r="O5215" t="s">
        <v>47425</v>
      </c>
      <c r="P5215">
        <v>0</v>
      </c>
      <c r="Q5215">
        <v>0</v>
      </c>
      <c r="R5215" t="s">
        <v>47430</v>
      </c>
      <c r="S5215" t="s">
        <v>47549</v>
      </c>
      <c r="T5215" t="s">
        <v>49108</v>
      </c>
      <c r="U5215" t="s">
        <v>54099</v>
      </c>
      <c r="W5215" t="s">
        <v>43712</v>
      </c>
      <c r="X5215" t="s">
        <v>47431</v>
      </c>
    </row>
    <row r="5216" spans="1:24">
      <c r="A5216">
        <f>HYPERLINK("https://www.philgeps.gov.ph/GEPSNONPILOT/Tender/SplashBidNoticeAbstractUI.aspx?menuIndex=3&amp;refID=7160631&amp;Result=3","7160631")</f>
        <v>0</v>
      </c>
      <c r="B5216" t="s">
        <v>536</v>
      </c>
      <c r="C5216" t="s">
        <v>8823</v>
      </c>
      <c r="D5216" t="s">
        <v>19030</v>
      </c>
      <c r="E5216" t="s">
        <v>23707</v>
      </c>
      <c r="F5216" t="s">
        <v>32831</v>
      </c>
      <c r="G5216" t="s">
        <v>32840</v>
      </c>
      <c r="H5216" t="s">
        <v>32848</v>
      </c>
      <c r="I5216" t="s">
        <v>7416</v>
      </c>
      <c r="J5216" t="s">
        <v>36320</v>
      </c>
      <c r="K5216" t="s">
        <v>42726</v>
      </c>
      <c r="M5216" t="s">
        <v>43542</v>
      </c>
      <c r="N5216" t="s">
        <v>47424</v>
      </c>
      <c r="O5216" t="s">
        <v>47425</v>
      </c>
      <c r="P5216">
        <v>0</v>
      </c>
      <c r="Q5216">
        <v>6</v>
      </c>
      <c r="R5216" t="s">
        <v>47430</v>
      </c>
      <c r="S5216" t="s">
        <v>47549</v>
      </c>
      <c r="T5216" t="s">
        <v>49163</v>
      </c>
      <c r="U5216" t="s">
        <v>54100</v>
      </c>
      <c r="V5216" t="s">
        <v>62748</v>
      </c>
      <c r="W5216" t="s">
        <v>43542</v>
      </c>
      <c r="X5216" t="s">
        <v>47431</v>
      </c>
    </row>
    <row r="5217" spans="1:24">
      <c r="A5217">
        <f>HYPERLINK("https://www.philgeps.gov.ph/GEPSNONPILOT/Tender/SplashBidNoticeAbstractUI.aspx?menuIndex=3&amp;refID=7160660&amp;Result=3","7160660")</f>
        <v>0</v>
      </c>
      <c r="B5217" t="s">
        <v>160</v>
      </c>
      <c r="C5217" t="s">
        <v>8824</v>
      </c>
      <c r="D5217" t="s">
        <v>19068</v>
      </c>
      <c r="E5217" t="s">
        <v>23708</v>
      </c>
      <c r="F5217" t="s">
        <v>32831</v>
      </c>
      <c r="G5217" t="s">
        <v>32838</v>
      </c>
      <c r="H5217" t="s">
        <v>32848</v>
      </c>
      <c r="I5217" t="s">
        <v>4438</v>
      </c>
      <c r="J5217" t="s">
        <v>34061</v>
      </c>
      <c r="K5217" t="s">
        <v>42730</v>
      </c>
      <c r="M5217" t="s">
        <v>45098</v>
      </c>
      <c r="N5217" t="s">
        <v>47424</v>
      </c>
      <c r="O5217" t="s">
        <v>47425</v>
      </c>
      <c r="P5217">
        <v>0</v>
      </c>
      <c r="Q5217">
        <v>6</v>
      </c>
      <c r="R5217" t="s">
        <v>47430</v>
      </c>
      <c r="S5217" t="s">
        <v>47549</v>
      </c>
      <c r="T5217" t="s">
        <v>49239</v>
      </c>
      <c r="U5217" t="s">
        <v>53997</v>
      </c>
      <c r="W5217" t="s">
        <v>45098</v>
      </c>
      <c r="X5217" t="s">
        <v>47431</v>
      </c>
    </row>
    <row r="5218" spans="1:24">
      <c r="A5218">
        <f>HYPERLINK("https://www.philgeps.gov.ph/GEPSNONPILOT/Tender/SplashBidNoticeAbstractUI.aspx?menuIndex=3&amp;refID=7160656&amp;Result=3","7160656")</f>
        <v>0</v>
      </c>
      <c r="B5218" t="s">
        <v>247</v>
      </c>
      <c r="C5218" t="s">
        <v>8825</v>
      </c>
      <c r="D5218" t="s">
        <v>19026</v>
      </c>
      <c r="E5218" t="s">
        <v>23709</v>
      </c>
      <c r="F5218" t="s">
        <v>32831</v>
      </c>
      <c r="G5218" t="s">
        <v>32842</v>
      </c>
      <c r="H5218" t="s">
        <v>32848</v>
      </c>
      <c r="I5218" t="s">
        <v>32859</v>
      </c>
      <c r="J5218" t="s">
        <v>36321</v>
      </c>
      <c r="K5218" t="s">
        <v>42732</v>
      </c>
      <c r="M5218" t="s">
        <v>43246</v>
      </c>
      <c r="N5218" t="s">
        <v>47424</v>
      </c>
      <c r="O5218" t="s">
        <v>47425</v>
      </c>
      <c r="P5218">
        <v>0</v>
      </c>
      <c r="Q5218">
        <v>1</v>
      </c>
      <c r="R5218" t="s">
        <v>47430</v>
      </c>
      <c r="S5218" t="s">
        <v>47549</v>
      </c>
      <c r="T5218" t="s">
        <v>49166</v>
      </c>
      <c r="U5218" t="s">
        <v>54101</v>
      </c>
      <c r="W5218" t="s">
        <v>43246</v>
      </c>
      <c r="X5218" t="s">
        <v>47431</v>
      </c>
    </row>
    <row r="5219" spans="1:24">
      <c r="A5219">
        <f>HYPERLINK("https://www.philgeps.gov.ph/GEPSNONPILOT/Tender/SplashBidNoticeAbstractUI.aspx?menuIndex=3&amp;refID=7160664&amp;Result=3","7160664")</f>
        <v>0</v>
      </c>
      <c r="B5219" t="s">
        <v>100</v>
      </c>
      <c r="C5219" t="s">
        <v>8826</v>
      </c>
      <c r="D5219" t="s">
        <v>19017</v>
      </c>
      <c r="E5219" t="s">
        <v>23710</v>
      </c>
      <c r="F5219" t="s">
        <v>32831</v>
      </c>
      <c r="G5219" t="s">
        <v>32840</v>
      </c>
      <c r="H5219" t="s">
        <v>32848</v>
      </c>
      <c r="I5219" t="s">
        <v>4303</v>
      </c>
      <c r="J5219" t="s">
        <v>34735</v>
      </c>
      <c r="K5219" t="s">
        <v>42731</v>
      </c>
      <c r="M5219" t="s">
        <v>45058</v>
      </c>
      <c r="N5219" t="s">
        <v>47424</v>
      </c>
      <c r="O5219" t="s">
        <v>47425</v>
      </c>
      <c r="P5219">
        <v>0</v>
      </c>
      <c r="Q5219">
        <v>2</v>
      </c>
      <c r="R5219" t="s">
        <v>47430</v>
      </c>
      <c r="S5219" t="s">
        <v>47549</v>
      </c>
      <c r="T5219" t="s">
        <v>49374</v>
      </c>
      <c r="U5219" t="s">
        <v>54102</v>
      </c>
      <c r="V5219" t="s">
        <v>63021</v>
      </c>
      <c r="W5219" t="s">
        <v>45058</v>
      </c>
      <c r="X5219" t="s">
        <v>47431</v>
      </c>
    </row>
    <row r="5220" spans="1:24">
      <c r="A5220">
        <f>HYPERLINK("https://www.philgeps.gov.ph/GEPSNONPILOT/Tender/SplashBidNoticeAbstractUI.aspx?menuIndex=3&amp;refID=7160620&amp;Result=3","7160620")</f>
        <v>0</v>
      </c>
      <c r="B5220" t="s">
        <v>1971</v>
      </c>
      <c r="C5220" t="s">
        <v>8827</v>
      </c>
      <c r="D5220" t="s">
        <v>19018</v>
      </c>
      <c r="E5220" t="s">
        <v>19234</v>
      </c>
      <c r="F5220" t="s">
        <v>32831</v>
      </c>
      <c r="G5220" t="s">
        <v>32839</v>
      </c>
      <c r="H5220" t="s">
        <v>32848</v>
      </c>
      <c r="I5220" t="s">
        <v>10805</v>
      </c>
      <c r="J5220" t="s">
        <v>33100</v>
      </c>
      <c r="K5220" t="s">
        <v>42731</v>
      </c>
      <c r="M5220" t="s">
        <v>45131</v>
      </c>
      <c r="N5220" t="s">
        <v>47424</v>
      </c>
      <c r="O5220" t="s">
        <v>47425</v>
      </c>
      <c r="P5220">
        <v>0</v>
      </c>
      <c r="Q5220">
        <v>0</v>
      </c>
      <c r="R5220" t="s">
        <v>47430</v>
      </c>
      <c r="S5220" t="s">
        <v>47549</v>
      </c>
      <c r="T5220" t="s">
        <v>49124</v>
      </c>
      <c r="U5220" t="s">
        <v>54103</v>
      </c>
      <c r="W5220" t="s">
        <v>45131</v>
      </c>
      <c r="X5220" t="s">
        <v>47431</v>
      </c>
    </row>
    <row r="5221" spans="1:24">
      <c r="A5221">
        <f>HYPERLINK("https://www.philgeps.gov.ph/GEPSNONPILOT/Tender/SplashBidNoticeAbstractUI.aspx?menuIndex=3&amp;refID=7159791&amp;Result=3","7159791")</f>
        <v>0</v>
      </c>
      <c r="B5221" t="s">
        <v>1949</v>
      </c>
      <c r="C5221" t="s">
        <v>8828</v>
      </c>
      <c r="D5221" t="s">
        <v>19045</v>
      </c>
      <c r="E5221" t="s">
        <v>23711</v>
      </c>
      <c r="F5221" t="s">
        <v>32831</v>
      </c>
      <c r="G5221" t="s">
        <v>32839</v>
      </c>
      <c r="H5221" t="s">
        <v>32848</v>
      </c>
      <c r="I5221" t="s">
        <v>4222</v>
      </c>
      <c r="J5221" t="s">
        <v>36322</v>
      </c>
      <c r="K5221" t="s">
        <v>42738</v>
      </c>
      <c r="M5221" t="s">
        <v>45132</v>
      </c>
      <c r="N5221" t="s">
        <v>47424</v>
      </c>
      <c r="O5221" t="s">
        <v>47425</v>
      </c>
      <c r="P5221">
        <v>0</v>
      </c>
      <c r="Q5221">
        <v>7</v>
      </c>
      <c r="R5221" t="s">
        <v>47430</v>
      </c>
      <c r="S5221" t="s">
        <v>47549</v>
      </c>
      <c r="T5221" t="s">
        <v>49422</v>
      </c>
      <c r="U5221" t="s">
        <v>54104</v>
      </c>
      <c r="W5221" t="s">
        <v>45132</v>
      </c>
      <c r="X5221" t="s">
        <v>47431</v>
      </c>
    </row>
    <row r="5222" spans="1:24">
      <c r="A5222">
        <f>HYPERLINK("https://www.philgeps.gov.ph/GEPSNONPILOT/Tender/SplashBidNoticeAbstractUI.aspx?menuIndex=3&amp;refID=7160627&amp;Result=3","7160627")</f>
        <v>0</v>
      </c>
      <c r="B5222" t="s">
        <v>693</v>
      </c>
      <c r="C5222" t="s">
        <v>8829</v>
      </c>
      <c r="D5222" t="s">
        <v>19073</v>
      </c>
      <c r="E5222" t="s">
        <v>23712</v>
      </c>
      <c r="F5222" t="s">
        <v>32831</v>
      </c>
      <c r="G5222" t="s">
        <v>32839</v>
      </c>
      <c r="H5222" t="s">
        <v>32848</v>
      </c>
      <c r="I5222" t="s">
        <v>4558</v>
      </c>
      <c r="J5222" t="s">
        <v>36323</v>
      </c>
      <c r="K5222" t="s">
        <v>42731</v>
      </c>
      <c r="M5222" t="s">
        <v>44145</v>
      </c>
      <c r="N5222" t="s">
        <v>47424</v>
      </c>
      <c r="O5222" t="s">
        <v>47425</v>
      </c>
      <c r="P5222">
        <v>0</v>
      </c>
      <c r="Q5222">
        <v>1</v>
      </c>
      <c r="R5222" t="s">
        <v>47430</v>
      </c>
      <c r="S5222" t="s">
        <v>47549</v>
      </c>
      <c r="T5222" t="s">
        <v>49195</v>
      </c>
      <c r="U5222" t="s">
        <v>53968</v>
      </c>
      <c r="V5222" t="s">
        <v>63187</v>
      </c>
      <c r="W5222" t="s">
        <v>64457</v>
      </c>
      <c r="X5222" t="s">
        <v>47431</v>
      </c>
    </row>
    <row r="5223" spans="1:24">
      <c r="A5223">
        <f>HYPERLINK("https://www.philgeps.gov.ph/GEPSNONPILOT/Tender/SplashBidNoticeAbstractUI.aspx?menuIndex=3&amp;refID=7159786&amp;Result=3","7159786")</f>
        <v>0</v>
      </c>
      <c r="B5223" t="s">
        <v>1972</v>
      </c>
      <c r="C5223" t="s">
        <v>8830</v>
      </c>
      <c r="D5223" t="s">
        <v>19045</v>
      </c>
      <c r="E5223" t="s">
        <v>23713</v>
      </c>
      <c r="F5223" t="s">
        <v>32831</v>
      </c>
      <c r="G5223" t="s">
        <v>32838</v>
      </c>
      <c r="H5223" t="s">
        <v>32848</v>
      </c>
      <c r="I5223" t="s">
        <v>32902</v>
      </c>
      <c r="J5223" t="s">
        <v>34903</v>
      </c>
      <c r="K5223" t="s">
        <v>42727</v>
      </c>
      <c r="M5223" t="s">
        <v>45133</v>
      </c>
      <c r="N5223" t="s">
        <v>47424</v>
      </c>
      <c r="O5223" t="s">
        <v>47425</v>
      </c>
      <c r="P5223">
        <v>0</v>
      </c>
      <c r="Q5223">
        <v>13</v>
      </c>
      <c r="R5223" t="s">
        <v>47430</v>
      </c>
      <c r="S5223" t="s">
        <v>47549</v>
      </c>
      <c r="T5223" t="s">
        <v>49162</v>
      </c>
      <c r="U5223" t="s">
        <v>54105</v>
      </c>
      <c r="W5223" t="s">
        <v>45133</v>
      </c>
      <c r="X5223" t="s">
        <v>47431</v>
      </c>
    </row>
    <row r="5224" spans="1:24">
      <c r="A5224">
        <f>HYPERLINK("https://www.philgeps.gov.ph/GEPSNONPILOT/Tender/SplashBidNoticeAbstractUI.aspx?menuIndex=3&amp;refID=7160658&amp;Result=3","7160658")</f>
        <v>0</v>
      </c>
      <c r="B5224" t="s">
        <v>1947</v>
      </c>
      <c r="C5224" t="s">
        <v>8831</v>
      </c>
      <c r="D5224" t="s">
        <v>19022</v>
      </c>
      <c r="E5224" t="s">
        <v>23714</v>
      </c>
      <c r="F5224" t="s">
        <v>32831</v>
      </c>
      <c r="G5224" t="s">
        <v>32838</v>
      </c>
      <c r="H5224" t="s">
        <v>32848</v>
      </c>
      <c r="I5224" t="s">
        <v>32860</v>
      </c>
      <c r="J5224" t="s">
        <v>36324</v>
      </c>
      <c r="K5224" t="s">
        <v>42726</v>
      </c>
      <c r="M5224" t="s">
        <v>45104</v>
      </c>
      <c r="N5224" t="s">
        <v>47424</v>
      </c>
      <c r="O5224" t="s">
        <v>47425</v>
      </c>
      <c r="P5224">
        <v>0</v>
      </c>
      <c r="Q5224">
        <v>2</v>
      </c>
      <c r="R5224" t="s">
        <v>47430</v>
      </c>
      <c r="S5224" t="s">
        <v>47549</v>
      </c>
      <c r="T5224" t="s">
        <v>49134</v>
      </c>
      <c r="U5224" t="s">
        <v>54106</v>
      </c>
      <c r="W5224" t="s">
        <v>45104</v>
      </c>
      <c r="X5224" t="s">
        <v>47431</v>
      </c>
    </row>
    <row r="5225" spans="1:24">
      <c r="A5225">
        <f>HYPERLINK("https://www.philgeps.gov.ph/GEPSNONPILOT/Tender/SplashBidNoticeAbstractUI.aspx?menuIndex=3&amp;refID=7159783&amp;Result=3","7159783")</f>
        <v>0</v>
      </c>
      <c r="B5225" t="s">
        <v>1832</v>
      </c>
      <c r="C5225" t="s">
        <v>8832</v>
      </c>
      <c r="D5225" t="s">
        <v>19061</v>
      </c>
      <c r="E5225" t="s">
        <v>23715</v>
      </c>
      <c r="F5225" t="s">
        <v>32831</v>
      </c>
      <c r="G5225" t="s">
        <v>32839</v>
      </c>
      <c r="H5225" t="s">
        <v>32849</v>
      </c>
      <c r="I5225" t="s">
        <v>7416</v>
      </c>
      <c r="J5225" t="s">
        <v>36325</v>
      </c>
      <c r="K5225" t="s">
        <v>42730</v>
      </c>
      <c r="M5225" t="s">
        <v>44966</v>
      </c>
      <c r="N5225" t="s">
        <v>47424</v>
      </c>
      <c r="O5225" t="s">
        <v>47425</v>
      </c>
      <c r="P5225">
        <v>0</v>
      </c>
      <c r="Q5225">
        <v>0</v>
      </c>
      <c r="R5225" t="s">
        <v>47430</v>
      </c>
      <c r="S5225" t="s">
        <v>47549</v>
      </c>
      <c r="T5225" t="s">
        <v>49198</v>
      </c>
      <c r="U5225" t="s">
        <v>54107</v>
      </c>
      <c r="W5225" t="s">
        <v>44966</v>
      </c>
      <c r="X5225" t="s">
        <v>47431</v>
      </c>
    </row>
    <row r="5226" spans="1:24">
      <c r="A5226">
        <f>HYPERLINK("https://www.philgeps.gov.ph/GEPSNONPILOT/Tender/SplashBidNoticeAbstractUI.aspx?menuIndex=3&amp;refID=7160663&amp;Result=3","7160663")</f>
        <v>0</v>
      </c>
      <c r="B5226" t="s">
        <v>460</v>
      </c>
      <c r="C5226" t="s">
        <v>8833</v>
      </c>
      <c r="D5226" t="s">
        <v>19086</v>
      </c>
      <c r="E5226" t="s">
        <v>23716</v>
      </c>
      <c r="F5226" t="s">
        <v>32831</v>
      </c>
      <c r="G5226" t="s">
        <v>32839</v>
      </c>
      <c r="H5226" t="s">
        <v>32849</v>
      </c>
      <c r="I5226" t="s">
        <v>4177</v>
      </c>
      <c r="J5226" t="s">
        <v>36326</v>
      </c>
      <c r="K5226" t="s">
        <v>42757</v>
      </c>
      <c r="M5226" t="s">
        <v>45122</v>
      </c>
      <c r="N5226" t="s">
        <v>47424</v>
      </c>
      <c r="O5226" t="s">
        <v>47425</v>
      </c>
      <c r="P5226">
        <v>0</v>
      </c>
      <c r="Q5226">
        <v>0</v>
      </c>
      <c r="R5226" t="s">
        <v>47430</v>
      </c>
      <c r="S5226" t="s">
        <v>47549</v>
      </c>
      <c r="T5226" t="s">
        <v>49147</v>
      </c>
      <c r="U5226" t="s">
        <v>54108</v>
      </c>
      <c r="W5226" t="s">
        <v>45122</v>
      </c>
      <c r="X5226" t="s">
        <v>47431</v>
      </c>
    </row>
    <row r="5227" spans="1:24">
      <c r="A5227">
        <f>HYPERLINK("https://www.philgeps.gov.ph/GEPSNONPILOT/Tender/SplashBidNoticeAbstractUI.aspx?menuIndex=3&amp;refID=7160657&amp;Result=3","7160657")</f>
        <v>0</v>
      </c>
      <c r="B5227" t="s">
        <v>323</v>
      </c>
      <c r="C5227" t="s">
        <v>8834</v>
      </c>
      <c r="D5227" t="s">
        <v>19081</v>
      </c>
      <c r="E5227" t="s">
        <v>23717</v>
      </c>
      <c r="F5227" t="s">
        <v>32831</v>
      </c>
      <c r="G5227" t="s">
        <v>32838</v>
      </c>
      <c r="H5227" t="s">
        <v>32848</v>
      </c>
      <c r="I5227" t="s">
        <v>32883</v>
      </c>
      <c r="J5227" t="s">
        <v>32983</v>
      </c>
      <c r="K5227" t="s">
        <v>42726</v>
      </c>
      <c r="M5227" t="s">
        <v>45062</v>
      </c>
      <c r="N5227" t="s">
        <v>47424</v>
      </c>
      <c r="O5227" t="s">
        <v>47425</v>
      </c>
      <c r="P5227">
        <v>0</v>
      </c>
      <c r="Q5227">
        <v>1</v>
      </c>
      <c r="R5227" t="s">
        <v>47430</v>
      </c>
      <c r="S5227" t="s">
        <v>47549</v>
      </c>
      <c r="T5227" t="s">
        <v>49108</v>
      </c>
      <c r="U5227" t="s">
        <v>54109</v>
      </c>
      <c r="W5227" t="s">
        <v>45062</v>
      </c>
      <c r="X5227" t="s">
        <v>47431</v>
      </c>
    </row>
    <row r="5228" spans="1:24">
      <c r="A5228">
        <f>HYPERLINK("https://www.philgeps.gov.ph/GEPSNONPILOT/Tender/SplashBidNoticeAbstractUI.aspx?menuIndex=3&amp;refID=7160713&amp;Result=3","7160713")</f>
        <v>0</v>
      </c>
      <c r="B5228" t="s">
        <v>1973</v>
      </c>
      <c r="C5228" t="s">
        <v>8835</v>
      </c>
      <c r="D5228" t="s">
        <v>19088</v>
      </c>
      <c r="E5228" t="s">
        <v>23718</v>
      </c>
      <c r="F5228" t="s">
        <v>32831</v>
      </c>
      <c r="G5228" t="s">
        <v>32838</v>
      </c>
      <c r="H5228" t="s">
        <v>32848</v>
      </c>
      <c r="I5228" t="s">
        <v>7416</v>
      </c>
      <c r="J5228" t="s">
        <v>35371</v>
      </c>
      <c r="K5228" t="s">
        <v>42726</v>
      </c>
      <c r="M5228" t="s">
        <v>45134</v>
      </c>
      <c r="N5228" t="s">
        <v>47424</v>
      </c>
      <c r="O5228" t="s">
        <v>47425</v>
      </c>
      <c r="P5228">
        <v>0</v>
      </c>
      <c r="Q5228">
        <v>1</v>
      </c>
      <c r="R5228" t="s">
        <v>47430</v>
      </c>
      <c r="S5228" t="s">
        <v>47549</v>
      </c>
      <c r="T5228" t="s">
        <v>49166</v>
      </c>
      <c r="U5228" t="s">
        <v>54110</v>
      </c>
      <c r="V5228" t="s">
        <v>63204</v>
      </c>
      <c r="W5228" t="s">
        <v>45134</v>
      </c>
      <c r="X5228" t="s">
        <v>47431</v>
      </c>
    </row>
    <row r="5229" spans="1:24">
      <c r="A5229">
        <f>HYPERLINK("https://www.philgeps.gov.ph/GEPSNONPILOT/Tender/SplashBidNoticeAbstractUI.aspx?menuIndex=3&amp;refID=7160710&amp;Result=3","7160710")</f>
        <v>0</v>
      </c>
      <c r="B5229" t="s">
        <v>291</v>
      </c>
      <c r="C5229" t="s">
        <v>8836</v>
      </c>
      <c r="D5229" t="s">
        <v>19061</v>
      </c>
      <c r="E5229" t="s">
        <v>23719</v>
      </c>
      <c r="F5229" t="s">
        <v>32831</v>
      </c>
      <c r="G5229" t="s">
        <v>32839</v>
      </c>
      <c r="H5229" t="s">
        <v>32848</v>
      </c>
      <c r="I5229" t="s">
        <v>4222</v>
      </c>
      <c r="J5229" t="s">
        <v>36327</v>
      </c>
      <c r="K5229" t="s">
        <v>42732</v>
      </c>
      <c r="M5229" t="s">
        <v>43292</v>
      </c>
      <c r="N5229" t="s">
        <v>47424</v>
      </c>
      <c r="O5229" t="s">
        <v>47425</v>
      </c>
      <c r="P5229">
        <v>0</v>
      </c>
      <c r="Q5229">
        <v>0</v>
      </c>
      <c r="R5229" t="s">
        <v>47430</v>
      </c>
      <c r="S5229" t="s">
        <v>47549</v>
      </c>
      <c r="T5229" t="s">
        <v>49066</v>
      </c>
      <c r="U5229" t="s">
        <v>54111</v>
      </c>
      <c r="W5229" t="s">
        <v>43292</v>
      </c>
      <c r="X5229" t="s">
        <v>47431</v>
      </c>
    </row>
    <row r="5230" spans="1:24">
      <c r="A5230">
        <f>HYPERLINK("https://www.philgeps.gov.ph/GEPSNONPILOT/Tender/SplashBidNoticeAbstractUI.aspx?menuIndex=3&amp;refID=7159784&amp;Result=3","7159784")</f>
        <v>0</v>
      </c>
      <c r="B5230" t="s">
        <v>895</v>
      </c>
      <c r="C5230" t="s">
        <v>8837</v>
      </c>
      <c r="D5230" t="s">
        <v>19036</v>
      </c>
      <c r="E5230" t="s">
        <v>23720</v>
      </c>
      <c r="F5230" t="s">
        <v>32831</v>
      </c>
      <c r="G5230" t="s">
        <v>32842</v>
      </c>
      <c r="H5230" t="s">
        <v>32848</v>
      </c>
      <c r="I5230" t="s">
        <v>32860</v>
      </c>
      <c r="J5230" t="s">
        <v>36328</v>
      </c>
      <c r="K5230" t="s">
        <v>42727</v>
      </c>
      <c r="M5230" t="s">
        <v>44963</v>
      </c>
      <c r="N5230" t="s">
        <v>47424</v>
      </c>
      <c r="O5230" t="s">
        <v>47425</v>
      </c>
      <c r="P5230">
        <v>0</v>
      </c>
      <c r="Q5230">
        <v>3</v>
      </c>
      <c r="R5230" t="s">
        <v>47430</v>
      </c>
      <c r="S5230" t="s">
        <v>47549</v>
      </c>
      <c r="T5230" t="s">
        <v>49206</v>
      </c>
      <c r="U5230" t="s">
        <v>54112</v>
      </c>
      <c r="W5230" t="s">
        <v>44963</v>
      </c>
      <c r="X5230" t="s">
        <v>47431</v>
      </c>
    </row>
    <row r="5231" spans="1:24">
      <c r="A5231">
        <f>HYPERLINK("https://www.philgeps.gov.ph/GEPSNONPILOT/Tender/SplashBidNoticeAbstractUI.aspx?menuIndex=3&amp;refID=7160622&amp;Result=3","7160622")</f>
        <v>0</v>
      </c>
      <c r="B5231" t="s">
        <v>920</v>
      </c>
      <c r="C5231" t="s">
        <v>7586</v>
      </c>
      <c r="E5231" t="s">
        <v>23721</v>
      </c>
      <c r="F5231" t="s">
        <v>32831</v>
      </c>
      <c r="G5231" t="s">
        <v>32838</v>
      </c>
      <c r="H5231" t="s">
        <v>32848</v>
      </c>
      <c r="I5231" t="s">
        <v>4776</v>
      </c>
      <c r="J5231" t="s">
        <v>36329</v>
      </c>
      <c r="K5231" t="s">
        <v>42732</v>
      </c>
      <c r="M5231" t="s">
        <v>43961</v>
      </c>
      <c r="N5231" t="s">
        <v>47424</v>
      </c>
      <c r="O5231" t="s">
        <v>47425</v>
      </c>
      <c r="P5231">
        <v>0</v>
      </c>
      <c r="Q5231">
        <v>1</v>
      </c>
      <c r="R5231" t="s">
        <v>47430</v>
      </c>
      <c r="S5231" t="s">
        <v>47549</v>
      </c>
      <c r="T5231" t="s">
        <v>49108</v>
      </c>
      <c r="U5231" t="s">
        <v>51396</v>
      </c>
      <c r="W5231" t="s">
        <v>43961</v>
      </c>
      <c r="X5231" t="s">
        <v>47431</v>
      </c>
    </row>
    <row r="5232" spans="1:24">
      <c r="A5232">
        <f>HYPERLINK("https://www.philgeps.gov.ph/GEPSNONPILOT/Tender/SplashBidNoticeAbstractUI.aspx?menuIndex=3&amp;refID=7160706&amp;Result=3","7160706")</f>
        <v>0</v>
      </c>
      <c r="B5232" t="s">
        <v>1974</v>
      </c>
      <c r="C5232" t="s">
        <v>8838</v>
      </c>
      <c r="D5232" t="s">
        <v>19048</v>
      </c>
      <c r="E5232" t="s">
        <v>20453</v>
      </c>
      <c r="F5232" t="s">
        <v>32831</v>
      </c>
      <c r="G5232" t="s">
        <v>32838</v>
      </c>
      <c r="H5232" t="s">
        <v>32848</v>
      </c>
      <c r="I5232" t="s">
        <v>4776</v>
      </c>
      <c r="J5232" t="s">
        <v>36330</v>
      </c>
      <c r="K5232" t="s">
        <v>42732</v>
      </c>
      <c r="M5232" t="s">
        <v>45135</v>
      </c>
      <c r="N5232" t="s">
        <v>47424</v>
      </c>
      <c r="O5232" t="s">
        <v>47425</v>
      </c>
      <c r="P5232">
        <v>0</v>
      </c>
      <c r="Q5232">
        <v>7</v>
      </c>
      <c r="R5232" t="s">
        <v>47430</v>
      </c>
      <c r="S5232" t="s">
        <v>47549</v>
      </c>
      <c r="T5232" t="s">
        <v>49089</v>
      </c>
      <c r="U5232" t="s">
        <v>54113</v>
      </c>
      <c r="W5232" t="s">
        <v>45135</v>
      </c>
      <c r="X5232" t="s">
        <v>47431</v>
      </c>
    </row>
    <row r="5233" spans="1:24">
      <c r="A5233">
        <f>HYPERLINK("https://www.philgeps.gov.ph/GEPSNONPILOT/Tender/SplashBidNoticeAbstractUI.aspx?menuIndex=3&amp;refID=7160704&amp;Result=3","7160704")</f>
        <v>0</v>
      </c>
      <c r="B5233" t="s">
        <v>892</v>
      </c>
      <c r="C5233" t="s">
        <v>8839</v>
      </c>
      <c r="D5233" t="s">
        <v>19083</v>
      </c>
      <c r="E5233" t="s">
        <v>23722</v>
      </c>
      <c r="F5233" t="s">
        <v>32831</v>
      </c>
      <c r="G5233" t="s">
        <v>32840</v>
      </c>
      <c r="H5233" t="s">
        <v>32848</v>
      </c>
      <c r="I5233" t="s">
        <v>32911</v>
      </c>
      <c r="J5233" t="s">
        <v>33087</v>
      </c>
      <c r="K5233" t="s">
        <v>42727</v>
      </c>
      <c r="M5233" t="s">
        <v>43927</v>
      </c>
      <c r="N5233" t="s">
        <v>47424</v>
      </c>
      <c r="O5233" t="s">
        <v>47425</v>
      </c>
      <c r="P5233">
        <v>0</v>
      </c>
      <c r="Q5233">
        <v>2</v>
      </c>
      <c r="R5233" t="s">
        <v>47430</v>
      </c>
      <c r="S5233" t="s">
        <v>47549</v>
      </c>
      <c r="T5233" t="s">
        <v>49108</v>
      </c>
      <c r="U5233" t="s">
        <v>54114</v>
      </c>
      <c r="W5233" t="s">
        <v>43927</v>
      </c>
      <c r="X5233" t="s">
        <v>47431</v>
      </c>
    </row>
    <row r="5234" spans="1:24">
      <c r="A5234">
        <f>HYPERLINK("https://www.philgeps.gov.ph/GEPSNONPILOT/Tender/SplashBidNoticeAbstractUI.aspx?menuIndex=3&amp;refID=7160632&amp;Result=3","7160632")</f>
        <v>0</v>
      </c>
      <c r="B5234" t="s">
        <v>247</v>
      </c>
      <c r="C5234" t="s">
        <v>5441</v>
      </c>
      <c r="D5234" t="s">
        <v>19026</v>
      </c>
      <c r="E5234" t="s">
        <v>23723</v>
      </c>
      <c r="F5234" t="s">
        <v>32831</v>
      </c>
      <c r="G5234" t="s">
        <v>32842</v>
      </c>
      <c r="H5234" t="s">
        <v>32848</v>
      </c>
      <c r="I5234" t="s">
        <v>9577</v>
      </c>
      <c r="J5234" t="s">
        <v>36331</v>
      </c>
      <c r="K5234" t="s">
        <v>42732</v>
      </c>
      <c r="M5234" t="s">
        <v>43246</v>
      </c>
      <c r="N5234" t="s">
        <v>47424</v>
      </c>
      <c r="O5234" t="s">
        <v>47425</v>
      </c>
      <c r="P5234">
        <v>0</v>
      </c>
      <c r="Q5234">
        <v>1</v>
      </c>
      <c r="R5234" t="s">
        <v>47430</v>
      </c>
      <c r="S5234" t="s">
        <v>47549</v>
      </c>
      <c r="T5234" t="s">
        <v>49166</v>
      </c>
      <c r="U5234" t="s">
        <v>54115</v>
      </c>
      <c r="W5234" t="s">
        <v>43246</v>
      </c>
      <c r="X5234" t="s">
        <v>47431</v>
      </c>
    </row>
    <row r="5235" spans="1:24">
      <c r="A5235">
        <f>HYPERLINK("https://www.philgeps.gov.ph/GEPSNONPILOT/Tender/SplashBidNoticeAbstractUI.aspx?menuIndex=3&amp;refID=7160703&amp;Result=3","7160703")</f>
        <v>0</v>
      </c>
      <c r="B5235" t="s">
        <v>365</v>
      </c>
      <c r="C5235" t="s">
        <v>8840</v>
      </c>
      <c r="D5235" t="s">
        <v>19020</v>
      </c>
      <c r="E5235" t="s">
        <v>23724</v>
      </c>
      <c r="F5235" t="s">
        <v>32831</v>
      </c>
      <c r="G5235" t="s">
        <v>32838</v>
      </c>
      <c r="H5235" t="s">
        <v>32848</v>
      </c>
      <c r="I5235" t="s">
        <v>4340</v>
      </c>
      <c r="J5235" t="s">
        <v>36332</v>
      </c>
      <c r="K5235" t="s">
        <v>42730</v>
      </c>
      <c r="M5235" t="s">
        <v>43369</v>
      </c>
      <c r="N5235" t="s">
        <v>47424</v>
      </c>
      <c r="O5235" t="s">
        <v>47425</v>
      </c>
      <c r="P5235">
        <v>0</v>
      </c>
      <c r="Q5235">
        <v>2</v>
      </c>
      <c r="R5235" t="s">
        <v>47430</v>
      </c>
      <c r="S5235" t="s">
        <v>47549</v>
      </c>
      <c r="T5235" t="s">
        <v>49235</v>
      </c>
      <c r="U5235" t="s">
        <v>50332</v>
      </c>
      <c r="V5235" t="s">
        <v>63205</v>
      </c>
      <c r="W5235" t="s">
        <v>43369</v>
      </c>
      <c r="X5235" t="s">
        <v>47431</v>
      </c>
    </row>
    <row r="5236" spans="1:24">
      <c r="A5236">
        <f>HYPERLINK("https://www.philgeps.gov.ph/GEPSNONPILOT/Tender/SplashBidNoticeAbstractUI.aspx?menuIndex=3&amp;refID=7160701&amp;Result=3","7160701")</f>
        <v>0</v>
      </c>
      <c r="B5236" t="s">
        <v>1967</v>
      </c>
      <c r="C5236" t="s">
        <v>8841</v>
      </c>
      <c r="D5236" t="s">
        <v>19049</v>
      </c>
      <c r="E5236" t="s">
        <v>23725</v>
      </c>
      <c r="F5236" t="s">
        <v>32831</v>
      </c>
      <c r="G5236" t="s">
        <v>32838</v>
      </c>
      <c r="H5236" t="s">
        <v>32848</v>
      </c>
      <c r="I5236" t="s">
        <v>32857</v>
      </c>
      <c r="J5236" t="s">
        <v>36333</v>
      </c>
      <c r="K5236" t="s">
        <v>42730</v>
      </c>
      <c r="M5236" t="s">
        <v>45127</v>
      </c>
      <c r="N5236" t="s">
        <v>47424</v>
      </c>
      <c r="O5236" t="s">
        <v>47425</v>
      </c>
      <c r="P5236">
        <v>0</v>
      </c>
      <c r="Q5236">
        <v>5</v>
      </c>
      <c r="R5236" t="s">
        <v>47430</v>
      </c>
      <c r="S5236" t="s">
        <v>47549</v>
      </c>
      <c r="T5236" t="s">
        <v>49239</v>
      </c>
      <c r="U5236" t="s">
        <v>54116</v>
      </c>
      <c r="W5236" t="s">
        <v>45127</v>
      </c>
      <c r="X5236" t="s">
        <v>47431</v>
      </c>
    </row>
    <row r="5237" spans="1:24">
      <c r="A5237">
        <f>HYPERLINK("https://www.philgeps.gov.ph/GEPSNONPILOT/Tender/SplashBidNoticeAbstractUI.aspx?menuIndex=3&amp;refID=7159762&amp;Result=3","7159762")</f>
        <v>0</v>
      </c>
      <c r="B5237" t="s">
        <v>33</v>
      </c>
      <c r="C5237" t="s">
        <v>8842</v>
      </c>
      <c r="D5237" t="s">
        <v>19024</v>
      </c>
      <c r="E5237" t="s">
        <v>23232</v>
      </c>
      <c r="F5237" t="s">
        <v>32831</v>
      </c>
      <c r="G5237" t="s">
        <v>32839</v>
      </c>
      <c r="H5237" t="s">
        <v>32848</v>
      </c>
      <c r="I5237" t="s">
        <v>4487</v>
      </c>
      <c r="J5237" t="s">
        <v>36334</v>
      </c>
      <c r="K5237" t="s">
        <v>42730</v>
      </c>
      <c r="M5237" t="s">
        <v>43030</v>
      </c>
      <c r="N5237" t="s">
        <v>47424</v>
      </c>
      <c r="O5237" t="s">
        <v>47425</v>
      </c>
      <c r="P5237">
        <v>0</v>
      </c>
      <c r="Q5237">
        <v>6</v>
      </c>
      <c r="R5237" t="s">
        <v>47430</v>
      </c>
      <c r="S5237" t="s">
        <v>47549</v>
      </c>
      <c r="T5237" t="s">
        <v>49188</v>
      </c>
      <c r="U5237" t="s">
        <v>53622</v>
      </c>
      <c r="W5237" t="s">
        <v>43030</v>
      </c>
      <c r="X5237" t="s">
        <v>47431</v>
      </c>
    </row>
    <row r="5238" spans="1:24">
      <c r="A5238">
        <f>HYPERLINK("https://www.philgeps.gov.ph/GEPSNONPILOT/Tender/SplashBidNoticeAbstractUI.aspx?menuIndex=3&amp;refID=7160715&amp;Result=3","7160715")</f>
        <v>0</v>
      </c>
      <c r="B5238" t="s">
        <v>793</v>
      </c>
      <c r="C5238" t="s">
        <v>8843</v>
      </c>
      <c r="D5238" t="s">
        <v>19048</v>
      </c>
      <c r="E5238" t="s">
        <v>23726</v>
      </c>
      <c r="F5238" t="s">
        <v>32831</v>
      </c>
      <c r="G5238" t="s">
        <v>32838</v>
      </c>
      <c r="H5238" t="s">
        <v>32848</v>
      </c>
      <c r="I5238" t="s">
        <v>4438</v>
      </c>
      <c r="J5238" t="s">
        <v>36335</v>
      </c>
      <c r="K5238" t="s">
        <v>42727</v>
      </c>
      <c r="M5238" t="s">
        <v>43823</v>
      </c>
      <c r="N5238" t="s">
        <v>47424</v>
      </c>
      <c r="O5238" t="s">
        <v>47425</v>
      </c>
      <c r="P5238">
        <v>0</v>
      </c>
      <c r="Q5238">
        <v>1</v>
      </c>
      <c r="R5238" t="s">
        <v>47430</v>
      </c>
      <c r="S5238" t="s">
        <v>47549</v>
      </c>
      <c r="T5238" t="s">
        <v>49123</v>
      </c>
      <c r="U5238" t="s">
        <v>54117</v>
      </c>
      <c r="W5238" t="s">
        <v>43823</v>
      </c>
      <c r="X5238" t="s">
        <v>47431</v>
      </c>
    </row>
    <row r="5239" spans="1:24">
      <c r="A5239">
        <f>HYPERLINK("https://www.philgeps.gov.ph/GEPSNONPILOT/Tender/SplashBidNoticeAbstractUI.aspx?menuIndex=3&amp;refID=7160707&amp;Result=3","7160707")</f>
        <v>0</v>
      </c>
      <c r="B5239" t="s">
        <v>1893</v>
      </c>
      <c r="C5239" t="s">
        <v>8844</v>
      </c>
      <c r="D5239" t="s">
        <v>19064</v>
      </c>
      <c r="E5239" t="s">
        <v>23727</v>
      </c>
      <c r="F5239" t="s">
        <v>32831</v>
      </c>
      <c r="G5239" t="s">
        <v>32838</v>
      </c>
      <c r="H5239" t="s">
        <v>32848</v>
      </c>
      <c r="I5239" t="s">
        <v>32867</v>
      </c>
      <c r="J5239" t="s">
        <v>35837</v>
      </c>
      <c r="K5239" t="s">
        <v>42731</v>
      </c>
      <c r="M5239" t="s">
        <v>45040</v>
      </c>
      <c r="N5239" t="s">
        <v>47424</v>
      </c>
      <c r="O5239" t="s">
        <v>47425</v>
      </c>
      <c r="P5239">
        <v>0</v>
      </c>
      <c r="Q5239">
        <v>2</v>
      </c>
      <c r="R5239" t="s">
        <v>47430</v>
      </c>
      <c r="S5239" t="s">
        <v>47549</v>
      </c>
      <c r="T5239" t="s">
        <v>49089</v>
      </c>
      <c r="U5239" t="s">
        <v>54118</v>
      </c>
      <c r="W5239" t="s">
        <v>45040</v>
      </c>
      <c r="X5239" t="s">
        <v>47431</v>
      </c>
    </row>
    <row r="5240" spans="1:24">
      <c r="A5240">
        <f>HYPERLINK("https://www.philgeps.gov.ph/GEPSNONPILOT/Tender/SplashBidNoticeAbstractUI.aspx?menuIndex=3&amp;refID=7160746&amp;Result=3","7160746")</f>
        <v>0</v>
      </c>
      <c r="B5240" t="s">
        <v>793</v>
      </c>
      <c r="C5240" t="s">
        <v>8845</v>
      </c>
      <c r="D5240" t="s">
        <v>19048</v>
      </c>
      <c r="E5240" t="s">
        <v>23728</v>
      </c>
      <c r="F5240" t="s">
        <v>32831</v>
      </c>
      <c r="G5240" t="s">
        <v>32838</v>
      </c>
      <c r="H5240" t="s">
        <v>32848</v>
      </c>
      <c r="I5240" t="s">
        <v>32883</v>
      </c>
      <c r="J5240" t="s">
        <v>34095</v>
      </c>
      <c r="K5240" t="s">
        <v>42730</v>
      </c>
      <c r="M5240" t="s">
        <v>43823</v>
      </c>
      <c r="N5240" t="s">
        <v>47424</v>
      </c>
      <c r="O5240" t="s">
        <v>47425</v>
      </c>
      <c r="P5240">
        <v>0</v>
      </c>
      <c r="Q5240">
        <v>4</v>
      </c>
      <c r="R5240" t="s">
        <v>47430</v>
      </c>
      <c r="S5240" t="s">
        <v>47549</v>
      </c>
      <c r="T5240" t="s">
        <v>49123</v>
      </c>
      <c r="U5240" t="s">
        <v>54119</v>
      </c>
      <c r="W5240" t="s">
        <v>43823</v>
      </c>
      <c r="X5240" t="s">
        <v>47431</v>
      </c>
    </row>
    <row r="5241" spans="1:24">
      <c r="A5241">
        <f>HYPERLINK("https://www.philgeps.gov.ph/GEPSNONPILOT/Tender/SplashBidNoticeAbstractUI.aspx?menuIndex=3&amp;refID=7160705&amp;Result=3","7160705")</f>
        <v>0</v>
      </c>
      <c r="B5241" t="s">
        <v>693</v>
      </c>
      <c r="C5241" t="s">
        <v>8846</v>
      </c>
      <c r="D5241" t="s">
        <v>19073</v>
      </c>
      <c r="E5241" t="s">
        <v>20444</v>
      </c>
      <c r="F5241" t="s">
        <v>32831</v>
      </c>
      <c r="G5241" t="s">
        <v>32840</v>
      </c>
      <c r="H5241" t="s">
        <v>32848</v>
      </c>
      <c r="I5241" t="s">
        <v>4303</v>
      </c>
      <c r="J5241" t="s">
        <v>33993</v>
      </c>
      <c r="K5241" t="s">
        <v>42731</v>
      </c>
      <c r="M5241" t="s">
        <v>43712</v>
      </c>
      <c r="N5241" t="s">
        <v>47424</v>
      </c>
      <c r="O5241" t="s">
        <v>47425</v>
      </c>
      <c r="P5241">
        <v>0</v>
      </c>
      <c r="Q5241">
        <v>0</v>
      </c>
      <c r="R5241" t="s">
        <v>47430</v>
      </c>
      <c r="S5241" t="s">
        <v>47549</v>
      </c>
      <c r="T5241" t="s">
        <v>49108</v>
      </c>
      <c r="U5241" t="s">
        <v>54120</v>
      </c>
      <c r="W5241" t="s">
        <v>43712</v>
      </c>
      <c r="X5241" t="s">
        <v>47431</v>
      </c>
    </row>
    <row r="5242" spans="1:24">
      <c r="A5242">
        <f>HYPERLINK("https://www.philgeps.gov.ph/GEPSNONPILOT/Tender/SplashBidNoticeAbstractUI.aspx?menuIndex=3&amp;refID=7160712&amp;Result=3","7160712")</f>
        <v>0</v>
      </c>
      <c r="B5242" t="s">
        <v>1961</v>
      </c>
      <c r="C5242" t="s">
        <v>8847</v>
      </c>
      <c r="D5242" t="s">
        <v>19078</v>
      </c>
      <c r="E5242" t="s">
        <v>23729</v>
      </c>
      <c r="F5242" t="s">
        <v>32831</v>
      </c>
      <c r="G5242" t="s">
        <v>32842</v>
      </c>
      <c r="H5242" t="s">
        <v>32848</v>
      </c>
      <c r="I5242" t="s">
        <v>32857</v>
      </c>
      <c r="J5242" t="s">
        <v>36336</v>
      </c>
      <c r="K5242" t="s">
        <v>42731</v>
      </c>
      <c r="M5242" t="s">
        <v>45120</v>
      </c>
      <c r="N5242" t="s">
        <v>47424</v>
      </c>
      <c r="O5242" t="s">
        <v>47425</v>
      </c>
      <c r="P5242">
        <v>0</v>
      </c>
      <c r="Q5242">
        <v>3</v>
      </c>
      <c r="R5242" t="s">
        <v>47430</v>
      </c>
      <c r="S5242" t="s">
        <v>47549</v>
      </c>
      <c r="T5242" t="s">
        <v>49237</v>
      </c>
      <c r="U5242" t="s">
        <v>54121</v>
      </c>
      <c r="W5242" t="s">
        <v>45120</v>
      </c>
      <c r="X5242" t="s">
        <v>47431</v>
      </c>
    </row>
    <row r="5243" spans="1:24">
      <c r="A5243">
        <f>HYPERLINK("https://www.philgeps.gov.ph/GEPSNONPILOT/Tender/SplashBidNoticeAbstractUI.aspx?menuIndex=3&amp;refID=7159764&amp;Result=3","7159764")</f>
        <v>0</v>
      </c>
      <c r="B5243" t="s">
        <v>1679</v>
      </c>
      <c r="C5243" t="s">
        <v>8848</v>
      </c>
      <c r="D5243" t="s">
        <v>19052</v>
      </c>
      <c r="E5243" t="s">
        <v>23730</v>
      </c>
      <c r="F5243" t="s">
        <v>32831</v>
      </c>
      <c r="G5243" t="s">
        <v>32839</v>
      </c>
      <c r="H5243" t="s">
        <v>32849</v>
      </c>
      <c r="I5243" t="s">
        <v>4177</v>
      </c>
      <c r="J5243" t="s">
        <v>35980</v>
      </c>
      <c r="K5243" t="s">
        <v>42730</v>
      </c>
      <c r="M5243" t="s">
        <v>44797</v>
      </c>
      <c r="N5243" t="s">
        <v>47424</v>
      </c>
      <c r="O5243" t="s">
        <v>47425</v>
      </c>
      <c r="P5243">
        <v>0</v>
      </c>
      <c r="Q5243">
        <v>2</v>
      </c>
      <c r="R5243" t="s">
        <v>47430</v>
      </c>
      <c r="S5243" t="s">
        <v>47549</v>
      </c>
      <c r="T5243" t="s">
        <v>49198</v>
      </c>
      <c r="U5243" t="s">
        <v>53612</v>
      </c>
      <c r="V5243" t="s">
        <v>63135</v>
      </c>
      <c r="W5243" t="s">
        <v>44797</v>
      </c>
      <c r="X5243" t="s">
        <v>47431</v>
      </c>
    </row>
    <row r="5244" spans="1:24">
      <c r="A5244">
        <f>HYPERLINK("https://www.philgeps.gov.ph/GEPSNONPILOT/Tender/SplashBidNoticeAbstractUI.aspx?menuIndex=3&amp;refID=7160740&amp;Result=3","7160740")</f>
        <v>0</v>
      </c>
      <c r="B5244" t="s">
        <v>1950</v>
      </c>
      <c r="C5244" t="s">
        <v>8849</v>
      </c>
      <c r="D5244" t="s">
        <v>19074</v>
      </c>
      <c r="E5244" t="s">
        <v>23731</v>
      </c>
      <c r="F5244" t="s">
        <v>32831</v>
      </c>
      <c r="G5244" t="s">
        <v>32838</v>
      </c>
      <c r="H5244" t="s">
        <v>32848</v>
      </c>
      <c r="I5244" t="s">
        <v>32874</v>
      </c>
      <c r="J5244" t="s">
        <v>36337</v>
      </c>
      <c r="K5244" t="s">
        <v>42763</v>
      </c>
      <c r="M5244" t="s">
        <v>45107</v>
      </c>
      <c r="N5244" t="s">
        <v>47424</v>
      </c>
      <c r="O5244" t="s">
        <v>47425</v>
      </c>
      <c r="P5244">
        <v>0</v>
      </c>
      <c r="Q5244">
        <v>3</v>
      </c>
      <c r="R5244" t="s">
        <v>47430</v>
      </c>
      <c r="S5244" t="s">
        <v>47549</v>
      </c>
      <c r="T5244" t="s">
        <v>49166</v>
      </c>
      <c r="U5244" t="s">
        <v>54028</v>
      </c>
      <c r="V5244" t="s">
        <v>63194</v>
      </c>
      <c r="W5244" t="s">
        <v>45107</v>
      </c>
      <c r="X5244" t="s">
        <v>47431</v>
      </c>
    </row>
    <row r="5245" spans="1:24">
      <c r="A5245">
        <f>HYPERLINK("https://www.philgeps.gov.ph/GEPSNONPILOT/Tender/SplashBidNoticeAbstractUI.aspx?menuIndex=3&amp;refID=7160698&amp;Result=3","7160698")</f>
        <v>0</v>
      </c>
      <c r="B5245" t="s">
        <v>460</v>
      </c>
      <c r="C5245" t="s">
        <v>8850</v>
      </c>
      <c r="D5245" t="s">
        <v>19086</v>
      </c>
      <c r="E5245" t="s">
        <v>23732</v>
      </c>
      <c r="F5245" t="s">
        <v>32831</v>
      </c>
      <c r="G5245" t="s">
        <v>32839</v>
      </c>
      <c r="H5245" t="s">
        <v>32849</v>
      </c>
      <c r="I5245" t="s">
        <v>4177</v>
      </c>
      <c r="J5245" t="s">
        <v>36338</v>
      </c>
      <c r="K5245" t="s">
        <v>42757</v>
      </c>
      <c r="M5245" t="s">
        <v>45122</v>
      </c>
      <c r="N5245" t="s">
        <v>47424</v>
      </c>
      <c r="O5245" t="s">
        <v>47425</v>
      </c>
      <c r="P5245">
        <v>0</v>
      </c>
      <c r="Q5245">
        <v>0</v>
      </c>
      <c r="R5245" t="s">
        <v>47430</v>
      </c>
      <c r="S5245" t="s">
        <v>47549</v>
      </c>
      <c r="T5245" t="s">
        <v>49147</v>
      </c>
      <c r="U5245" t="s">
        <v>54122</v>
      </c>
      <c r="W5245" t="s">
        <v>45122</v>
      </c>
      <c r="X5245" t="s">
        <v>47431</v>
      </c>
    </row>
    <row r="5246" spans="1:24">
      <c r="A5246">
        <f>HYPERLINK("https://www.philgeps.gov.ph/GEPSNONPILOT/Tender/SplashBidNoticeAbstractUI.aspx?menuIndex=3&amp;refID=7160739&amp;Result=3","7160739")</f>
        <v>0</v>
      </c>
      <c r="B5246" t="s">
        <v>1841</v>
      </c>
      <c r="C5246" t="s">
        <v>8851</v>
      </c>
      <c r="D5246" t="s">
        <v>19047</v>
      </c>
      <c r="E5246" t="s">
        <v>23733</v>
      </c>
      <c r="F5246" t="s">
        <v>32831</v>
      </c>
      <c r="G5246" t="s">
        <v>32839</v>
      </c>
      <c r="H5246" t="s">
        <v>32849</v>
      </c>
      <c r="I5246" t="s">
        <v>4177</v>
      </c>
      <c r="J5246" t="s">
        <v>33549</v>
      </c>
      <c r="K5246" t="s">
        <v>42746</v>
      </c>
      <c r="M5246" t="s">
        <v>44975</v>
      </c>
      <c r="N5246" t="s">
        <v>47424</v>
      </c>
      <c r="O5246" t="s">
        <v>47425</v>
      </c>
      <c r="P5246">
        <v>0</v>
      </c>
      <c r="Q5246">
        <v>1</v>
      </c>
      <c r="R5246" t="s">
        <v>47430</v>
      </c>
      <c r="S5246" t="s">
        <v>47549</v>
      </c>
      <c r="T5246" t="s">
        <v>49254</v>
      </c>
      <c r="U5246" t="s">
        <v>53657</v>
      </c>
      <c r="W5246" t="s">
        <v>44975</v>
      </c>
      <c r="X5246" t="s">
        <v>47431</v>
      </c>
    </row>
    <row r="5247" spans="1:24">
      <c r="A5247">
        <f>HYPERLINK("https://www.philgeps.gov.ph/GEPSNONPILOT/Tender/SplashBidNoticeAbstractUI.aspx?menuIndex=3&amp;refID=7160736&amp;Result=3","7160736")</f>
        <v>0</v>
      </c>
      <c r="B5247" t="s">
        <v>1975</v>
      </c>
      <c r="C5247" t="s">
        <v>8852</v>
      </c>
      <c r="D5247" t="s">
        <v>19037</v>
      </c>
      <c r="E5247" t="s">
        <v>23734</v>
      </c>
      <c r="F5247" t="s">
        <v>32831</v>
      </c>
      <c r="G5247" t="s">
        <v>32838</v>
      </c>
      <c r="H5247" t="s">
        <v>32848</v>
      </c>
      <c r="I5247" t="s">
        <v>32911</v>
      </c>
      <c r="J5247" t="s">
        <v>36339</v>
      </c>
      <c r="K5247" t="s">
        <v>42730</v>
      </c>
      <c r="M5247" t="s">
        <v>45136</v>
      </c>
      <c r="N5247" t="s">
        <v>47424</v>
      </c>
      <c r="O5247" t="s">
        <v>47425</v>
      </c>
      <c r="P5247">
        <v>0</v>
      </c>
      <c r="Q5247">
        <v>0</v>
      </c>
      <c r="R5247" t="s">
        <v>47430</v>
      </c>
      <c r="S5247" t="s">
        <v>47549</v>
      </c>
      <c r="T5247" t="s">
        <v>49100</v>
      </c>
      <c r="U5247" t="s">
        <v>54123</v>
      </c>
      <c r="W5247" t="s">
        <v>45136</v>
      </c>
      <c r="X5247" t="s">
        <v>47431</v>
      </c>
    </row>
    <row r="5248" spans="1:24">
      <c r="A5248">
        <f>HYPERLINK("https://www.philgeps.gov.ph/GEPSNONPILOT/Tender/SplashBidNoticeAbstractUI.aspx?menuIndex=3&amp;refID=7160744&amp;Result=3","7160744")</f>
        <v>0</v>
      </c>
      <c r="B5248" t="s">
        <v>1974</v>
      </c>
      <c r="C5248" t="s">
        <v>8853</v>
      </c>
      <c r="D5248" t="s">
        <v>19048</v>
      </c>
      <c r="E5248" t="s">
        <v>20440</v>
      </c>
      <c r="F5248" t="s">
        <v>32831</v>
      </c>
      <c r="G5248" t="s">
        <v>32842</v>
      </c>
      <c r="H5248" t="s">
        <v>32848</v>
      </c>
      <c r="I5248" t="s">
        <v>9577</v>
      </c>
      <c r="J5248" t="s">
        <v>36340</v>
      </c>
      <c r="K5248" t="s">
        <v>42732</v>
      </c>
      <c r="M5248" t="s">
        <v>45135</v>
      </c>
      <c r="N5248" t="s">
        <v>47424</v>
      </c>
      <c r="O5248" t="s">
        <v>47425</v>
      </c>
      <c r="P5248">
        <v>0</v>
      </c>
      <c r="Q5248">
        <v>2</v>
      </c>
      <c r="R5248" t="s">
        <v>47430</v>
      </c>
      <c r="S5248" t="s">
        <v>47549</v>
      </c>
      <c r="T5248" t="s">
        <v>49089</v>
      </c>
      <c r="U5248" t="s">
        <v>54124</v>
      </c>
      <c r="W5248" t="s">
        <v>45135</v>
      </c>
      <c r="X5248" t="s">
        <v>47431</v>
      </c>
    </row>
    <row r="5249" spans="1:24">
      <c r="A5249">
        <f>HYPERLINK("https://www.philgeps.gov.ph/GEPSNONPILOT/Tender/SplashBidNoticeAbstractUI.aspx?menuIndex=3&amp;refID=7160743&amp;Result=3","7160743")</f>
        <v>0</v>
      </c>
      <c r="B5249" t="s">
        <v>936</v>
      </c>
      <c r="C5249" t="s">
        <v>8854</v>
      </c>
      <c r="D5249" t="s">
        <v>19088</v>
      </c>
      <c r="E5249" t="s">
        <v>23735</v>
      </c>
      <c r="F5249" t="s">
        <v>32831</v>
      </c>
      <c r="G5249" t="s">
        <v>32839</v>
      </c>
      <c r="H5249" t="s">
        <v>32849</v>
      </c>
      <c r="I5249" t="s">
        <v>4177</v>
      </c>
      <c r="J5249" t="s">
        <v>33111</v>
      </c>
      <c r="K5249" t="s">
        <v>42732</v>
      </c>
      <c r="M5249" t="s">
        <v>43978</v>
      </c>
      <c r="N5249" t="s">
        <v>47424</v>
      </c>
      <c r="O5249" t="s">
        <v>47425</v>
      </c>
      <c r="P5249">
        <v>0</v>
      </c>
      <c r="Q5249">
        <v>0</v>
      </c>
      <c r="R5249" t="s">
        <v>47430</v>
      </c>
      <c r="S5249" t="s">
        <v>47549</v>
      </c>
      <c r="T5249" t="s">
        <v>49089</v>
      </c>
      <c r="U5249" t="s">
        <v>54125</v>
      </c>
      <c r="W5249" t="s">
        <v>43978</v>
      </c>
      <c r="X5249" t="s">
        <v>47431</v>
      </c>
    </row>
    <row r="5250" spans="1:24">
      <c r="A5250">
        <f>HYPERLINK("https://www.philgeps.gov.ph/GEPSNONPILOT/Tender/SplashBidNoticeAbstractUI.aspx?menuIndex=3&amp;refID=7160708&amp;Result=3","7160708")</f>
        <v>0</v>
      </c>
      <c r="B5250" t="s">
        <v>101</v>
      </c>
      <c r="C5250" t="s">
        <v>8855</v>
      </c>
      <c r="D5250" t="s">
        <v>19055</v>
      </c>
      <c r="E5250" t="s">
        <v>23736</v>
      </c>
      <c r="F5250" t="s">
        <v>32831</v>
      </c>
      <c r="G5250" t="s">
        <v>32839</v>
      </c>
      <c r="H5250" t="s">
        <v>32848</v>
      </c>
      <c r="I5250" t="s">
        <v>32860</v>
      </c>
      <c r="J5250" t="s">
        <v>36341</v>
      </c>
      <c r="K5250" t="s">
        <v>42731</v>
      </c>
      <c r="M5250" t="s">
        <v>43098</v>
      </c>
      <c r="N5250" t="s">
        <v>47424</v>
      </c>
      <c r="O5250" t="s">
        <v>47425</v>
      </c>
      <c r="P5250">
        <v>0</v>
      </c>
      <c r="Q5250">
        <v>4</v>
      </c>
      <c r="R5250" t="s">
        <v>47430</v>
      </c>
      <c r="S5250" t="s">
        <v>47549</v>
      </c>
      <c r="T5250" t="s">
        <v>49216</v>
      </c>
      <c r="U5250" t="s">
        <v>54126</v>
      </c>
      <c r="W5250" t="s">
        <v>43098</v>
      </c>
      <c r="X5250" t="s">
        <v>47431</v>
      </c>
    </row>
    <row r="5251" spans="1:24">
      <c r="A5251">
        <f>HYPERLINK("https://www.philgeps.gov.ph/GEPSNONPILOT/Tender/SplashBidNoticeAbstractUI.aspx?menuIndex=3&amp;refID=7160730&amp;Result=3","7160730")</f>
        <v>0</v>
      </c>
      <c r="B5251" t="s">
        <v>693</v>
      </c>
      <c r="C5251" t="s">
        <v>8856</v>
      </c>
      <c r="D5251" t="s">
        <v>19073</v>
      </c>
      <c r="E5251" t="s">
        <v>23737</v>
      </c>
      <c r="F5251" t="s">
        <v>32831</v>
      </c>
      <c r="G5251" t="s">
        <v>32839</v>
      </c>
      <c r="H5251" t="s">
        <v>32848</v>
      </c>
      <c r="I5251" t="s">
        <v>4303</v>
      </c>
      <c r="J5251" t="s">
        <v>36342</v>
      </c>
      <c r="K5251" t="s">
        <v>42731</v>
      </c>
      <c r="M5251" t="s">
        <v>44145</v>
      </c>
      <c r="N5251" t="s">
        <v>47424</v>
      </c>
      <c r="O5251" t="s">
        <v>47425</v>
      </c>
      <c r="P5251">
        <v>0</v>
      </c>
      <c r="Q5251">
        <v>1</v>
      </c>
      <c r="R5251" t="s">
        <v>47430</v>
      </c>
      <c r="S5251" t="s">
        <v>47549</v>
      </c>
      <c r="T5251" t="s">
        <v>49195</v>
      </c>
      <c r="U5251" t="s">
        <v>53968</v>
      </c>
      <c r="V5251" t="s">
        <v>63187</v>
      </c>
      <c r="W5251" t="s">
        <v>64457</v>
      </c>
      <c r="X5251" t="s">
        <v>47431</v>
      </c>
    </row>
    <row r="5252" spans="1:24">
      <c r="A5252">
        <f>HYPERLINK("https://www.philgeps.gov.ph/GEPSNONPILOT/Tender/SplashBidNoticeAbstractUI.aspx?menuIndex=3&amp;refID=7160729&amp;Result=3","7160729")</f>
        <v>0</v>
      </c>
      <c r="B5252" t="s">
        <v>868</v>
      </c>
      <c r="C5252" t="s">
        <v>8857</v>
      </c>
      <c r="D5252" t="s">
        <v>19073</v>
      </c>
      <c r="E5252" t="s">
        <v>23738</v>
      </c>
      <c r="F5252" t="s">
        <v>32831</v>
      </c>
      <c r="G5252" t="s">
        <v>32839</v>
      </c>
      <c r="H5252" t="s">
        <v>32848</v>
      </c>
      <c r="I5252" t="s">
        <v>32923</v>
      </c>
      <c r="J5252" t="s">
        <v>33055</v>
      </c>
      <c r="K5252" t="s">
        <v>42732</v>
      </c>
      <c r="M5252" t="s">
        <v>43902</v>
      </c>
      <c r="N5252" t="s">
        <v>47424</v>
      </c>
      <c r="O5252" t="s">
        <v>47425</v>
      </c>
      <c r="P5252">
        <v>0</v>
      </c>
      <c r="Q5252">
        <v>9</v>
      </c>
      <c r="R5252" t="s">
        <v>47430</v>
      </c>
      <c r="S5252" t="s">
        <v>47549</v>
      </c>
      <c r="T5252" t="s">
        <v>49254</v>
      </c>
      <c r="U5252" t="s">
        <v>54127</v>
      </c>
      <c r="W5252" t="s">
        <v>43902</v>
      </c>
      <c r="X5252" t="s">
        <v>47431</v>
      </c>
    </row>
    <row r="5253" spans="1:24">
      <c r="A5253">
        <f>HYPERLINK("https://www.philgeps.gov.ph/GEPSNONPILOT/Tender/SplashBidNoticeAbstractUI.aspx?menuIndex=3&amp;refID=7160724&amp;Result=3","7160724")</f>
        <v>0</v>
      </c>
      <c r="B5253" t="s">
        <v>762</v>
      </c>
      <c r="C5253" t="s">
        <v>8858</v>
      </c>
      <c r="E5253" t="s">
        <v>23739</v>
      </c>
      <c r="F5253" t="s">
        <v>32831</v>
      </c>
      <c r="G5253" t="s">
        <v>32838</v>
      </c>
      <c r="H5253" t="s">
        <v>32848</v>
      </c>
      <c r="I5253" t="s">
        <v>5379</v>
      </c>
      <c r="J5253" t="s">
        <v>36293</v>
      </c>
      <c r="K5253" t="s">
        <v>42732</v>
      </c>
      <c r="M5253" t="s">
        <v>44842</v>
      </c>
      <c r="N5253" t="s">
        <v>47424</v>
      </c>
      <c r="O5253" t="s">
        <v>47425</v>
      </c>
      <c r="P5253">
        <v>0</v>
      </c>
      <c r="Q5253">
        <v>0</v>
      </c>
      <c r="R5253" t="s">
        <v>47430</v>
      </c>
      <c r="S5253" t="s">
        <v>47549</v>
      </c>
      <c r="T5253" t="s">
        <v>49069</v>
      </c>
      <c r="U5253" t="s">
        <v>53256</v>
      </c>
      <c r="W5253" t="s">
        <v>44842</v>
      </c>
      <c r="X5253" t="s">
        <v>47431</v>
      </c>
    </row>
    <row r="5254" spans="1:24">
      <c r="A5254">
        <f>HYPERLINK("https://www.philgeps.gov.ph/GEPSNONPILOT/Tender/SplashBidNoticeAbstractUI.aspx?menuIndex=3&amp;refID=7160722&amp;Result=3","7160722")</f>
        <v>0</v>
      </c>
      <c r="B5254" t="s">
        <v>1976</v>
      </c>
      <c r="C5254" t="s">
        <v>8859</v>
      </c>
      <c r="D5254" t="s">
        <v>19034</v>
      </c>
      <c r="E5254" t="s">
        <v>23740</v>
      </c>
      <c r="F5254" t="s">
        <v>32831</v>
      </c>
      <c r="G5254" t="s">
        <v>32839</v>
      </c>
      <c r="H5254" t="s">
        <v>32849</v>
      </c>
      <c r="I5254" t="s">
        <v>4177</v>
      </c>
      <c r="J5254" t="s">
        <v>36343</v>
      </c>
      <c r="K5254" t="s">
        <v>42830</v>
      </c>
      <c r="M5254" t="s">
        <v>45137</v>
      </c>
      <c r="N5254" t="s">
        <v>47424</v>
      </c>
      <c r="O5254" t="s">
        <v>47425</v>
      </c>
      <c r="P5254">
        <v>0</v>
      </c>
      <c r="Q5254">
        <v>1</v>
      </c>
      <c r="R5254" t="s">
        <v>47430</v>
      </c>
      <c r="S5254" t="s">
        <v>47549</v>
      </c>
      <c r="T5254" t="s">
        <v>49393</v>
      </c>
      <c r="U5254" t="s">
        <v>54128</v>
      </c>
      <c r="W5254" t="s">
        <v>45137</v>
      </c>
      <c r="X5254" t="s">
        <v>47431</v>
      </c>
    </row>
    <row r="5255" spans="1:24">
      <c r="A5255">
        <f>HYPERLINK("https://www.philgeps.gov.ph/GEPSNONPILOT/Tender/SplashBidNoticeAbstractUI.aspx?menuIndex=3&amp;refID=7160716&amp;Result=3","7160716")</f>
        <v>0</v>
      </c>
      <c r="B5255" t="s">
        <v>1406</v>
      </c>
      <c r="C5255" t="s">
        <v>8860</v>
      </c>
      <c r="D5255" t="s">
        <v>19034</v>
      </c>
      <c r="E5255" t="s">
        <v>23741</v>
      </c>
      <c r="F5255" t="s">
        <v>32831</v>
      </c>
      <c r="G5255" t="s">
        <v>32838</v>
      </c>
      <c r="H5255" t="s">
        <v>32848</v>
      </c>
      <c r="I5255" t="s">
        <v>32857</v>
      </c>
      <c r="J5255" t="s">
        <v>36344</v>
      </c>
      <c r="K5255" t="s">
        <v>42758</v>
      </c>
      <c r="M5255" t="s">
        <v>44492</v>
      </c>
      <c r="N5255" t="s">
        <v>47424</v>
      </c>
      <c r="O5255" t="s">
        <v>47425</v>
      </c>
      <c r="P5255">
        <v>0</v>
      </c>
      <c r="Q5255">
        <v>5</v>
      </c>
      <c r="R5255" t="s">
        <v>47430</v>
      </c>
      <c r="S5255" t="s">
        <v>47549</v>
      </c>
      <c r="T5255" t="s">
        <v>49235</v>
      </c>
      <c r="U5255" t="s">
        <v>52475</v>
      </c>
      <c r="W5255" t="s">
        <v>44492</v>
      </c>
      <c r="X5255" t="s">
        <v>47431</v>
      </c>
    </row>
    <row r="5256" spans="1:24">
      <c r="A5256">
        <f>HYPERLINK("https://www.philgeps.gov.ph/GEPSNONPILOT/Tender/SplashBidNoticeAbstractUI.aspx?menuIndex=3&amp;refID=7160718&amp;Result=3","7160718")</f>
        <v>0</v>
      </c>
      <c r="B5256" t="s">
        <v>1977</v>
      </c>
      <c r="C5256" t="s">
        <v>8861</v>
      </c>
      <c r="D5256" t="s">
        <v>19073</v>
      </c>
      <c r="E5256" t="s">
        <v>23742</v>
      </c>
      <c r="F5256" t="s">
        <v>32831</v>
      </c>
      <c r="G5256" t="s">
        <v>32841</v>
      </c>
      <c r="H5256" t="s">
        <v>32848</v>
      </c>
      <c r="I5256" t="s">
        <v>4438</v>
      </c>
      <c r="J5256" t="s">
        <v>36345</v>
      </c>
      <c r="K5256" t="s">
        <v>42732</v>
      </c>
      <c r="M5256" t="s">
        <v>45138</v>
      </c>
      <c r="N5256" t="s">
        <v>47424</v>
      </c>
      <c r="O5256" t="s">
        <v>47425</v>
      </c>
      <c r="P5256">
        <v>0</v>
      </c>
      <c r="Q5256">
        <v>0</v>
      </c>
      <c r="R5256" t="s">
        <v>47430</v>
      </c>
      <c r="S5256" t="s">
        <v>47549</v>
      </c>
      <c r="T5256" t="s">
        <v>49239</v>
      </c>
      <c r="U5256" t="s">
        <v>54129</v>
      </c>
      <c r="W5256" t="s">
        <v>45138</v>
      </c>
      <c r="X5256" t="s">
        <v>47431</v>
      </c>
    </row>
    <row r="5257" spans="1:24">
      <c r="A5257">
        <f>HYPERLINK("https://www.philgeps.gov.ph/GEPSNONPILOT/Tender/SplashBidNoticeAbstractUI.aspx?menuIndex=3&amp;refID=7160721&amp;Result=3","7160721")</f>
        <v>0</v>
      </c>
      <c r="B5257" t="s">
        <v>1978</v>
      </c>
      <c r="C5257" t="s">
        <v>8862</v>
      </c>
      <c r="D5257" t="s">
        <v>19017</v>
      </c>
      <c r="E5257" t="s">
        <v>21818</v>
      </c>
      <c r="F5257" t="s">
        <v>32831</v>
      </c>
      <c r="G5257" t="s">
        <v>32838</v>
      </c>
      <c r="H5257" t="s">
        <v>32848</v>
      </c>
      <c r="I5257" t="s">
        <v>9577</v>
      </c>
      <c r="J5257" t="s">
        <v>36346</v>
      </c>
      <c r="K5257" t="s">
        <v>42726</v>
      </c>
      <c r="M5257" t="s">
        <v>45139</v>
      </c>
      <c r="N5257" t="s">
        <v>47424</v>
      </c>
      <c r="O5257" t="s">
        <v>47425</v>
      </c>
      <c r="P5257">
        <v>0</v>
      </c>
      <c r="Q5257">
        <v>6</v>
      </c>
      <c r="R5257" t="s">
        <v>47430</v>
      </c>
      <c r="S5257" t="s">
        <v>47549</v>
      </c>
      <c r="T5257" t="s">
        <v>49100</v>
      </c>
      <c r="U5257" t="s">
        <v>54130</v>
      </c>
      <c r="W5257" t="s">
        <v>45139</v>
      </c>
      <c r="X5257" t="s">
        <v>47431</v>
      </c>
    </row>
    <row r="5258" spans="1:24">
      <c r="A5258">
        <f>HYPERLINK("https://www.philgeps.gov.ph/GEPSNONPILOT/Tender/SplashBidNoticeAbstractUI.aspx?menuIndex=3&amp;refID=7160719&amp;Result=3","7160719")</f>
        <v>0</v>
      </c>
      <c r="B5258" t="s">
        <v>460</v>
      </c>
      <c r="C5258" t="s">
        <v>8863</v>
      </c>
      <c r="D5258" t="s">
        <v>19086</v>
      </c>
      <c r="E5258" t="s">
        <v>23743</v>
      </c>
      <c r="F5258" t="s">
        <v>32831</v>
      </c>
      <c r="G5258" t="s">
        <v>32839</v>
      </c>
      <c r="H5258" t="s">
        <v>32849</v>
      </c>
      <c r="I5258" t="s">
        <v>4177</v>
      </c>
      <c r="J5258" t="s">
        <v>34733</v>
      </c>
      <c r="K5258" t="s">
        <v>42757</v>
      </c>
      <c r="M5258" t="s">
        <v>45122</v>
      </c>
      <c r="N5258" t="s">
        <v>47424</v>
      </c>
      <c r="O5258" t="s">
        <v>47425</v>
      </c>
      <c r="P5258">
        <v>0</v>
      </c>
      <c r="Q5258">
        <v>0</v>
      </c>
      <c r="R5258" t="s">
        <v>47430</v>
      </c>
      <c r="S5258" t="s">
        <v>47549</v>
      </c>
      <c r="T5258" t="s">
        <v>49147</v>
      </c>
      <c r="U5258" t="s">
        <v>54131</v>
      </c>
      <c r="W5258" t="s">
        <v>45122</v>
      </c>
      <c r="X5258" t="s">
        <v>47431</v>
      </c>
    </row>
    <row r="5259" spans="1:24">
      <c r="A5259">
        <f>HYPERLINK("https://www.philgeps.gov.ph/GEPSNONPILOT/Tender/SplashBidNoticeAbstractUI.aspx?menuIndex=3&amp;refID=7160734&amp;Result=3","7160734")</f>
        <v>0</v>
      </c>
      <c r="B5259" t="s">
        <v>1320</v>
      </c>
      <c r="C5259" t="s">
        <v>8864</v>
      </c>
      <c r="D5259" t="s">
        <v>19085</v>
      </c>
      <c r="E5259" t="s">
        <v>23744</v>
      </c>
      <c r="F5259" t="s">
        <v>32831</v>
      </c>
      <c r="G5259" t="s">
        <v>32838</v>
      </c>
      <c r="H5259" t="s">
        <v>32848</v>
      </c>
      <c r="I5259" t="s">
        <v>32947</v>
      </c>
      <c r="J5259" t="s">
        <v>33041</v>
      </c>
      <c r="K5259" t="s">
        <v>42731</v>
      </c>
      <c r="M5259" t="s">
        <v>44391</v>
      </c>
      <c r="N5259" t="s">
        <v>47424</v>
      </c>
      <c r="O5259" t="s">
        <v>47425</v>
      </c>
      <c r="P5259">
        <v>0</v>
      </c>
      <c r="Q5259">
        <v>0</v>
      </c>
      <c r="R5259" t="s">
        <v>47430</v>
      </c>
      <c r="S5259" t="s">
        <v>47549</v>
      </c>
      <c r="T5259" t="s">
        <v>49073</v>
      </c>
      <c r="U5259" t="s">
        <v>54132</v>
      </c>
      <c r="W5259" t="s">
        <v>44391</v>
      </c>
      <c r="X5259" t="s">
        <v>47431</v>
      </c>
    </row>
    <row r="5260" spans="1:24">
      <c r="A5260">
        <f>HYPERLINK("https://www.philgeps.gov.ph/GEPSNONPILOT/Tender/SplashBidNoticeAbstractUI.aspx?menuIndex=3&amp;refID=7160694&amp;Result=3","7160694")</f>
        <v>0</v>
      </c>
      <c r="B5260" t="s">
        <v>338</v>
      </c>
      <c r="C5260" t="s">
        <v>5171</v>
      </c>
      <c r="D5260" t="s">
        <v>19019</v>
      </c>
      <c r="E5260" t="s">
        <v>23745</v>
      </c>
      <c r="F5260" t="s">
        <v>32831</v>
      </c>
      <c r="G5260" t="s">
        <v>32842</v>
      </c>
      <c r="H5260" t="s">
        <v>32850</v>
      </c>
      <c r="I5260" t="s">
        <v>9577</v>
      </c>
      <c r="J5260" t="s">
        <v>33950</v>
      </c>
      <c r="K5260" t="s">
        <v>42758</v>
      </c>
      <c r="M5260" t="s">
        <v>45140</v>
      </c>
      <c r="N5260" t="s">
        <v>47424</v>
      </c>
      <c r="O5260" t="s">
        <v>47425</v>
      </c>
      <c r="P5260">
        <v>0</v>
      </c>
      <c r="Q5260">
        <v>2</v>
      </c>
      <c r="R5260" t="s">
        <v>47430</v>
      </c>
      <c r="S5260" t="s">
        <v>47549</v>
      </c>
      <c r="T5260" t="s">
        <v>49114</v>
      </c>
      <c r="U5260" t="s">
        <v>54133</v>
      </c>
      <c r="W5260" t="s">
        <v>45140</v>
      </c>
      <c r="X5260" t="s">
        <v>47431</v>
      </c>
    </row>
    <row r="5261" spans="1:24">
      <c r="A5261">
        <f>HYPERLINK("https://www.philgeps.gov.ph/GEPSNONPILOT/Tender/SplashBidNoticeAbstractUI.aspx?menuIndex=3&amp;refID=7160732&amp;Result=3","7160732")</f>
        <v>0</v>
      </c>
      <c r="B5261" t="s">
        <v>460</v>
      </c>
      <c r="C5261" t="s">
        <v>8865</v>
      </c>
      <c r="D5261" t="s">
        <v>19086</v>
      </c>
      <c r="E5261" t="s">
        <v>23746</v>
      </c>
      <c r="F5261" t="s">
        <v>32831</v>
      </c>
      <c r="G5261" t="s">
        <v>32839</v>
      </c>
      <c r="H5261" t="s">
        <v>32849</v>
      </c>
      <c r="I5261" t="s">
        <v>4177</v>
      </c>
      <c r="J5261" t="s">
        <v>35913</v>
      </c>
      <c r="K5261" t="s">
        <v>42757</v>
      </c>
      <c r="M5261" t="s">
        <v>45122</v>
      </c>
      <c r="N5261" t="s">
        <v>47424</v>
      </c>
      <c r="O5261" t="s">
        <v>47425</v>
      </c>
      <c r="P5261">
        <v>0</v>
      </c>
      <c r="Q5261">
        <v>0</v>
      </c>
      <c r="R5261" t="s">
        <v>47430</v>
      </c>
      <c r="S5261" t="s">
        <v>47549</v>
      </c>
      <c r="T5261" t="s">
        <v>49147</v>
      </c>
      <c r="U5261" t="s">
        <v>54134</v>
      </c>
      <c r="W5261" t="s">
        <v>45122</v>
      </c>
      <c r="X5261" t="s">
        <v>47431</v>
      </c>
    </row>
    <row r="5262" spans="1:24">
      <c r="A5262">
        <f>HYPERLINK("https://www.philgeps.gov.ph/GEPSNONPILOT/Tender/SplashBidNoticeAbstractUI.aspx?menuIndex=3&amp;refID=7160779&amp;Result=3","7160779")</f>
        <v>0</v>
      </c>
      <c r="B5262" t="s">
        <v>793</v>
      </c>
      <c r="C5262" t="s">
        <v>8866</v>
      </c>
      <c r="D5262" t="s">
        <v>19048</v>
      </c>
      <c r="E5262" t="s">
        <v>23747</v>
      </c>
      <c r="F5262" t="s">
        <v>32831</v>
      </c>
      <c r="G5262" t="s">
        <v>32838</v>
      </c>
      <c r="H5262" t="s">
        <v>32848</v>
      </c>
      <c r="I5262" t="s">
        <v>6526</v>
      </c>
      <c r="J5262" t="s">
        <v>36347</v>
      </c>
      <c r="K5262" t="s">
        <v>42727</v>
      </c>
      <c r="M5262" t="s">
        <v>43823</v>
      </c>
      <c r="N5262" t="s">
        <v>47424</v>
      </c>
      <c r="O5262" t="s">
        <v>47425</v>
      </c>
      <c r="P5262">
        <v>0</v>
      </c>
      <c r="Q5262">
        <v>1</v>
      </c>
      <c r="R5262" t="s">
        <v>47430</v>
      </c>
      <c r="S5262" t="s">
        <v>47549</v>
      </c>
      <c r="T5262" t="s">
        <v>49123</v>
      </c>
      <c r="U5262" t="s">
        <v>54135</v>
      </c>
      <c r="W5262" t="s">
        <v>43823</v>
      </c>
      <c r="X5262" t="s">
        <v>47431</v>
      </c>
    </row>
    <row r="5263" spans="1:24">
      <c r="A5263">
        <f>HYPERLINK("https://www.philgeps.gov.ph/GEPSNONPILOT/Tender/SplashBidNoticeAbstractUI.aspx?menuIndex=3&amp;refID=7160717&amp;Result=3","7160717")</f>
        <v>0</v>
      </c>
      <c r="B5263" t="s">
        <v>1979</v>
      </c>
      <c r="C5263" t="s">
        <v>8867</v>
      </c>
      <c r="D5263" t="s">
        <v>19045</v>
      </c>
      <c r="E5263" t="s">
        <v>23748</v>
      </c>
      <c r="F5263" t="s">
        <v>32832</v>
      </c>
      <c r="G5263" t="s">
        <v>32838</v>
      </c>
      <c r="H5263" t="s">
        <v>32849</v>
      </c>
      <c r="I5263" t="s">
        <v>4177</v>
      </c>
      <c r="J5263" t="s">
        <v>33706</v>
      </c>
      <c r="K5263" t="s">
        <v>42726</v>
      </c>
      <c r="M5263" t="s">
        <v>45141</v>
      </c>
      <c r="N5263" t="s">
        <v>47424</v>
      </c>
      <c r="O5263" t="s">
        <v>47425</v>
      </c>
      <c r="P5263">
        <v>0</v>
      </c>
      <c r="Q5263">
        <v>0</v>
      </c>
      <c r="R5263" t="s">
        <v>47430</v>
      </c>
      <c r="S5263" t="s">
        <v>47549</v>
      </c>
      <c r="T5263" t="s">
        <v>49069</v>
      </c>
      <c r="U5263" t="s">
        <v>54136</v>
      </c>
      <c r="W5263" t="s">
        <v>45141</v>
      </c>
      <c r="X5263" t="s">
        <v>47431</v>
      </c>
    </row>
    <row r="5264" spans="1:24">
      <c r="A5264">
        <f>HYPERLINK("https://www.philgeps.gov.ph/GEPSNONPILOT/Tender/SplashBidNoticeAbstractUI.aspx?menuIndex=3&amp;refID=7160696&amp;Result=3","7160696")</f>
        <v>0</v>
      </c>
      <c r="B5264" t="s">
        <v>693</v>
      </c>
      <c r="C5264" t="s">
        <v>8868</v>
      </c>
      <c r="D5264" t="s">
        <v>19073</v>
      </c>
      <c r="E5264" t="s">
        <v>23749</v>
      </c>
      <c r="F5264" t="s">
        <v>32831</v>
      </c>
      <c r="G5264" t="s">
        <v>32839</v>
      </c>
      <c r="H5264" t="s">
        <v>32848</v>
      </c>
      <c r="I5264" t="s">
        <v>32912</v>
      </c>
      <c r="J5264" t="s">
        <v>36348</v>
      </c>
      <c r="K5264" t="s">
        <v>42731</v>
      </c>
      <c r="M5264" t="s">
        <v>44145</v>
      </c>
      <c r="N5264" t="s">
        <v>47424</v>
      </c>
      <c r="O5264" t="s">
        <v>47425</v>
      </c>
      <c r="P5264">
        <v>0</v>
      </c>
      <c r="Q5264">
        <v>3</v>
      </c>
      <c r="R5264" t="s">
        <v>47430</v>
      </c>
      <c r="S5264" t="s">
        <v>47549</v>
      </c>
      <c r="T5264" t="s">
        <v>49195</v>
      </c>
      <c r="U5264" t="s">
        <v>53968</v>
      </c>
      <c r="V5264" t="s">
        <v>63187</v>
      </c>
      <c r="W5264" t="s">
        <v>64457</v>
      </c>
      <c r="X5264" t="s">
        <v>47431</v>
      </c>
    </row>
    <row r="5265" spans="1:24">
      <c r="A5265">
        <f>HYPERLINK("https://www.philgeps.gov.ph/GEPSNONPILOT/Tender/SplashBidNoticeAbstractUI.aspx?menuIndex=3&amp;refID=7160775&amp;Result=3","7160775")</f>
        <v>0</v>
      </c>
      <c r="B5265" t="s">
        <v>1977</v>
      </c>
      <c r="C5265" t="s">
        <v>5046</v>
      </c>
      <c r="D5265" t="s">
        <v>19073</v>
      </c>
      <c r="E5265" t="s">
        <v>23750</v>
      </c>
      <c r="F5265" t="s">
        <v>32831</v>
      </c>
      <c r="G5265" t="s">
        <v>32838</v>
      </c>
      <c r="H5265" t="s">
        <v>32848</v>
      </c>
      <c r="I5265" t="s">
        <v>32861</v>
      </c>
      <c r="J5265" t="s">
        <v>33031</v>
      </c>
      <c r="K5265" t="s">
        <v>42732</v>
      </c>
      <c r="M5265" t="s">
        <v>45138</v>
      </c>
      <c r="N5265" t="s">
        <v>47424</v>
      </c>
      <c r="O5265" t="s">
        <v>47425</v>
      </c>
      <c r="P5265">
        <v>0</v>
      </c>
      <c r="Q5265">
        <v>8</v>
      </c>
      <c r="R5265" t="s">
        <v>47430</v>
      </c>
      <c r="S5265" t="s">
        <v>47549</v>
      </c>
      <c r="T5265" t="s">
        <v>49239</v>
      </c>
      <c r="U5265" t="s">
        <v>54137</v>
      </c>
      <c r="W5265" t="s">
        <v>45138</v>
      </c>
      <c r="X5265" t="s">
        <v>47431</v>
      </c>
    </row>
    <row r="5266" spans="1:24">
      <c r="A5266">
        <f>HYPERLINK("https://www.philgeps.gov.ph/GEPSNONPILOT/Tender/SplashBidNoticeAbstractUI.aspx?menuIndex=3&amp;refID=7160774&amp;Result=3","7160774")</f>
        <v>0</v>
      </c>
      <c r="B5266" t="s">
        <v>1699</v>
      </c>
      <c r="C5266" t="s">
        <v>8869</v>
      </c>
      <c r="D5266" t="s">
        <v>19044</v>
      </c>
      <c r="E5266" t="s">
        <v>23751</v>
      </c>
      <c r="F5266" t="s">
        <v>32831</v>
      </c>
      <c r="G5266" t="s">
        <v>32839</v>
      </c>
      <c r="H5266" t="s">
        <v>32848</v>
      </c>
      <c r="I5266" t="s">
        <v>7416</v>
      </c>
      <c r="J5266" t="s">
        <v>36349</v>
      </c>
      <c r="K5266" t="s">
        <v>42727</v>
      </c>
      <c r="M5266" t="s">
        <v>44820</v>
      </c>
      <c r="N5266" t="s">
        <v>47424</v>
      </c>
      <c r="O5266" t="s">
        <v>47425</v>
      </c>
      <c r="P5266">
        <v>0</v>
      </c>
      <c r="Q5266">
        <v>0</v>
      </c>
      <c r="R5266" t="s">
        <v>47430</v>
      </c>
      <c r="S5266" t="s">
        <v>47549</v>
      </c>
      <c r="T5266" t="s">
        <v>49104</v>
      </c>
      <c r="U5266" t="s">
        <v>54138</v>
      </c>
      <c r="W5266" t="s">
        <v>44820</v>
      </c>
      <c r="X5266" t="s">
        <v>47431</v>
      </c>
    </row>
    <row r="5267" spans="1:24">
      <c r="A5267">
        <f>HYPERLINK("https://www.philgeps.gov.ph/GEPSNONPILOT/Tender/SplashBidNoticeAbstractUI.aspx?menuIndex=3&amp;refID=7160780&amp;Result=3","7160780")</f>
        <v>0</v>
      </c>
      <c r="B5267" t="s">
        <v>1657</v>
      </c>
      <c r="C5267" t="s">
        <v>8870</v>
      </c>
      <c r="D5267" t="s">
        <v>19020</v>
      </c>
      <c r="E5267" t="s">
        <v>23752</v>
      </c>
      <c r="F5267" t="s">
        <v>32831</v>
      </c>
      <c r="G5267" t="s">
        <v>32838</v>
      </c>
      <c r="H5267" t="s">
        <v>32848</v>
      </c>
      <c r="I5267" t="s">
        <v>32851</v>
      </c>
      <c r="J5267" t="s">
        <v>33077</v>
      </c>
      <c r="K5267" t="s">
        <v>42750</v>
      </c>
      <c r="M5267" t="s">
        <v>44774</v>
      </c>
      <c r="N5267" t="s">
        <v>47424</v>
      </c>
      <c r="O5267" t="s">
        <v>47425</v>
      </c>
      <c r="P5267">
        <v>0</v>
      </c>
      <c r="Q5267">
        <v>0</v>
      </c>
      <c r="R5267" t="s">
        <v>47430</v>
      </c>
      <c r="S5267" t="s">
        <v>47549</v>
      </c>
      <c r="T5267" t="s">
        <v>49394</v>
      </c>
      <c r="U5267" t="s">
        <v>54139</v>
      </c>
      <c r="V5267" t="s">
        <v>63131</v>
      </c>
      <c r="W5267" t="s">
        <v>64487</v>
      </c>
      <c r="X5267" t="s">
        <v>47431</v>
      </c>
    </row>
    <row r="5268" spans="1:24">
      <c r="A5268">
        <f>HYPERLINK("https://www.philgeps.gov.ph/GEPSNONPILOT/Tender/SplashBidNoticeAbstractUI.aspx?menuIndex=3&amp;refID=7160741&amp;Result=3","7160741")</f>
        <v>0</v>
      </c>
      <c r="B5268" t="s">
        <v>674</v>
      </c>
      <c r="C5268" t="s">
        <v>8871</v>
      </c>
      <c r="D5268" t="s">
        <v>19058</v>
      </c>
      <c r="E5268" t="s">
        <v>23753</v>
      </c>
      <c r="F5268" t="s">
        <v>32831</v>
      </c>
      <c r="G5268" t="s">
        <v>32838</v>
      </c>
      <c r="H5268" t="s">
        <v>32848</v>
      </c>
      <c r="I5268" t="s">
        <v>32860</v>
      </c>
      <c r="J5268" t="s">
        <v>36350</v>
      </c>
      <c r="K5268" t="s">
        <v>42732</v>
      </c>
      <c r="M5268" t="s">
        <v>44520</v>
      </c>
      <c r="N5268" t="s">
        <v>47424</v>
      </c>
      <c r="O5268" t="s">
        <v>47425</v>
      </c>
      <c r="P5268">
        <v>0</v>
      </c>
      <c r="Q5268">
        <v>0</v>
      </c>
      <c r="R5268" t="s">
        <v>47430</v>
      </c>
      <c r="S5268" t="s">
        <v>47549</v>
      </c>
      <c r="T5268" t="s">
        <v>49237</v>
      </c>
      <c r="U5268" t="s">
        <v>54140</v>
      </c>
      <c r="W5268" t="s">
        <v>44520</v>
      </c>
      <c r="X5268" t="s">
        <v>47431</v>
      </c>
    </row>
    <row r="5269" spans="1:24">
      <c r="A5269">
        <f>HYPERLINK("https://www.philgeps.gov.ph/GEPSNONPILOT/Tender/SplashBidNoticeAbstractUI.aspx?menuIndex=3&amp;refID=7160769&amp;Result=3","7160769")</f>
        <v>0</v>
      </c>
      <c r="B5269" t="s">
        <v>693</v>
      </c>
      <c r="C5269" t="s">
        <v>8872</v>
      </c>
      <c r="D5269" t="s">
        <v>19073</v>
      </c>
      <c r="E5269" t="s">
        <v>20444</v>
      </c>
      <c r="F5269" t="s">
        <v>32831</v>
      </c>
      <c r="G5269" t="s">
        <v>32840</v>
      </c>
      <c r="H5269" t="s">
        <v>32848</v>
      </c>
      <c r="I5269" t="s">
        <v>4471</v>
      </c>
      <c r="J5269" t="s">
        <v>36351</v>
      </c>
      <c r="K5269" t="s">
        <v>42731</v>
      </c>
      <c r="M5269" t="s">
        <v>43712</v>
      </c>
      <c r="N5269" t="s">
        <v>47424</v>
      </c>
      <c r="O5269" t="s">
        <v>47425</v>
      </c>
      <c r="P5269">
        <v>0</v>
      </c>
      <c r="Q5269">
        <v>0</v>
      </c>
      <c r="R5269" t="s">
        <v>47430</v>
      </c>
      <c r="S5269" t="s">
        <v>47549</v>
      </c>
      <c r="T5269" t="s">
        <v>49108</v>
      </c>
      <c r="U5269" t="s">
        <v>54141</v>
      </c>
      <c r="W5269" t="s">
        <v>43712</v>
      </c>
      <c r="X5269" t="s">
        <v>47431</v>
      </c>
    </row>
    <row r="5270" spans="1:24">
      <c r="A5270">
        <f>HYPERLINK("https://www.philgeps.gov.ph/GEPSNONPILOT/Tender/SplashBidNoticeAbstractUI.aspx?menuIndex=3&amp;refID=7160776&amp;Result=3","7160776")</f>
        <v>0</v>
      </c>
      <c r="B5270" t="s">
        <v>1456</v>
      </c>
      <c r="C5270" t="s">
        <v>8873</v>
      </c>
      <c r="D5270" t="s">
        <v>19075</v>
      </c>
      <c r="E5270" t="s">
        <v>23754</v>
      </c>
      <c r="F5270" t="s">
        <v>32831</v>
      </c>
      <c r="G5270" t="s">
        <v>32839</v>
      </c>
      <c r="H5270" t="s">
        <v>32848</v>
      </c>
      <c r="I5270" t="s">
        <v>32867</v>
      </c>
      <c r="J5270" t="s">
        <v>36352</v>
      </c>
      <c r="K5270" t="s">
        <v>42727</v>
      </c>
      <c r="L5270" t="s">
        <v>1456</v>
      </c>
      <c r="M5270" t="s">
        <v>44548</v>
      </c>
      <c r="N5270" t="s">
        <v>47424</v>
      </c>
      <c r="O5270" t="s">
        <v>47425</v>
      </c>
      <c r="P5270">
        <v>0</v>
      </c>
      <c r="Q5270">
        <v>4</v>
      </c>
      <c r="R5270" t="s">
        <v>47430</v>
      </c>
      <c r="S5270" t="s">
        <v>47549</v>
      </c>
      <c r="T5270" t="s">
        <v>49066</v>
      </c>
      <c r="U5270" t="s">
        <v>53468</v>
      </c>
      <c r="V5270" t="s">
        <v>63206</v>
      </c>
      <c r="W5270" t="s">
        <v>44548</v>
      </c>
      <c r="X5270" t="s">
        <v>47431</v>
      </c>
    </row>
    <row r="5271" spans="1:24">
      <c r="A5271">
        <f>HYPERLINK("https://www.philgeps.gov.ph/GEPSNONPILOT/Tender/SplashBidNoticeAbstractUI.aspx?menuIndex=3&amp;refID=7160768&amp;Result=3","7160768")</f>
        <v>0</v>
      </c>
      <c r="B5271" t="s">
        <v>1661</v>
      </c>
      <c r="C5271" t="s">
        <v>8874</v>
      </c>
      <c r="D5271" t="s">
        <v>19063</v>
      </c>
      <c r="E5271" t="s">
        <v>23755</v>
      </c>
      <c r="F5271" t="s">
        <v>32831</v>
      </c>
      <c r="G5271" t="s">
        <v>32839</v>
      </c>
      <c r="H5271" t="s">
        <v>32848</v>
      </c>
      <c r="I5271" t="s">
        <v>9577</v>
      </c>
      <c r="J5271" t="s">
        <v>36353</v>
      </c>
      <c r="K5271" t="s">
        <v>42729</v>
      </c>
      <c r="M5271" t="s">
        <v>44778</v>
      </c>
      <c r="N5271" t="s">
        <v>47424</v>
      </c>
      <c r="O5271" t="s">
        <v>47425</v>
      </c>
      <c r="P5271">
        <v>0</v>
      </c>
      <c r="Q5271">
        <v>1</v>
      </c>
      <c r="R5271" t="s">
        <v>47430</v>
      </c>
      <c r="S5271" t="s">
        <v>47549</v>
      </c>
      <c r="T5271" t="s">
        <v>49303</v>
      </c>
      <c r="U5271" t="s">
        <v>54142</v>
      </c>
      <c r="W5271" t="s">
        <v>44778</v>
      </c>
      <c r="X5271" t="s">
        <v>47431</v>
      </c>
    </row>
    <row r="5272" spans="1:24">
      <c r="A5272">
        <f>HYPERLINK("https://www.philgeps.gov.ph/GEPSNONPILOT/Tender/SplashBidNoticeAbstractUI.aspx?menuIndex=3&amp;refID=7160778&amp;Result=3","7160778")</f>
        <v>0</v>
      </c>
      <c r="B5272" t="s">
        <v>888</v>
      </c>
      <c r="C5272" t="s">
        <v>8875</v>
      </c>
      <c r="D5272" t="s">
        <v>19067</v>
      </c>
      <c r="E5272" t="s">
        <v>20035</v>
      </c>
      <c r="F5272" t="s">
        <v>32831</v>
      </c>
      <c r="G5272" t="s">
        <v>32840</v>
      </c>
      <c r="H5272" t="s">
        <v>32848</v>
      </c>
      <c r="I5272" t="s">
        <v>32860</v>
      </c>
      <c r="J5272" t="s">
        <v>36354</v>
      </c>
      <c r="K5272" t="s">
        <v>42758</v>
      </c>
      <c r="M5272" t="s">
        <v>43923</v>
      </c>
      <c r="N5272" t="s">
        <v>47424</v>
      </c>
      <c r="O5272" t="s">
        <v>47425</v>
      </c>
      <c r="P5272">
        <v>0</v>
      </c>
      <c r="Q5272">
        <v>0</v>
      </c>
      <c r="R5272" t="s">
        <v>47430</v>
      </c>
      <c r="S5272" t="s">
        <v>47549</v>
      </c>
      <c r="T5272" t="s">
        <v>49145</v>
      </c>
      <c r="U5272" t="s">
        <v>54143</v>
      </c>
      <c r="W5272" t="s">
        <v>43923</v>
      </c>
      <c r="X5272" t="s">
        <v>47431</v>
      </c>
    </row>
    <row r="5273" spans="1:24">
      <c r="A5273">
        <f>HYPERLINK("https://www.philgeps.gov.ph/GEPSNONPILOT/Tender/SplashBidNoticeAbstractUI.aspx?menuIndex=3&amp;refID=7160765&amp;Result=3","7160765")</f>
        <v>0</v>
      </c>
      <c r="B5273" t="s">
        <v>1845</v>
      </c>
      <c r="C5273" t="s">
        <v>8876</v>
      </c>
      <c r="D5273" t="s">
        <v>19057</v>
      </c>
      <c r="E5273" t="s">
        <v>23756</v>
      </c>
      <c r="F5273" t="s">
        <v>32831</v>
      </c>
      <c r="G5273" t="s">
        <v>32838</v>
      </c>
      <c r="H5273" t="s">
        <v>32848</v>
      </c>
      <c r="I5273" t="s">
        <v>4222</v>
      </c>
      <c r="J5273" t="s">
        <v>36355</v>
      </c>
      <c r="K5273" t="s">
        <v>42732</v>
      </c>
      <c r="M5273" t="s">
        <v>44980</v>
      </c>
      <c r="N5273" t="s">
        <v>47424</v>
      </c>
      <c r="O5273" t="s">
        <v>47425</v>
      </c>
      <c r="P5273">
        <v>0</v>
      </c>
      <c r="Q5273">
        <v>2</v>
      </c>
      <c r="R5273" t="s">
        <v>47430</v>
      </c>
      <c r="S5273" t="s">
        <v>47549</v>
      </c>
      <c r="T5273" t="s">
        <v>49205</v>
      </c>
      <c r="U5273" t="s">
        <v>54144</v>
      </c>
      <c r="W5273" t="s">
        <v>44980</v>
      </c>
      <c r="X5273" t="s">
        <v>47431</v>
      </c>
    </row>
    <row r="5274" spans="1:24">
      <c r="A5274">
        <f>HYPERLINK("https://www.philgeps.gov.ph/GEPSNONPILOT/Tender/SplashBidNoticeAbstractUI.aspx?menuIndex=3&amp;refID=7160772&amp;Result=3","7160772")</f>
        <v>0</v>
      </c>
      <c r="B5274" t="s">
        <v>1980</v>
      </c>
      <c r="C5274" t="s">
        <v>8877</v>
      </c>
      <c r="D5274" t="s">
        <v>19052</v>
      </c>
      <c r="E5274" t="s">
        <v>19203</v>
      </c>
      <c r="F5274" t="s">
        <v>32831</v>
      </c>
      <c r="G5274" t="s">
        <v>32839</v>
      </c>
      <c r="H5274" t="s">
        <v>32848</v>
      </c>
      <c r="I5274" t="s">
        <v>32852</v>
      </c>
      <c r="J5274" t="s">
        <v>32985</v>
      </c>
      <c r="K5274" t="s">
        <v>42727</v>
      </c>
      <c r="M5274" t="s">
        <v>45142</v>
      </c>
      <c r="N5274" t="s">
        <v>47424</v>
      </c>
      <c r="O5274" t="s">
        <v>47425</v>
      </c>
      <c r="P5274">
        <v>0</v>
      </c>
      <c r="Q5274">
        <v>3</v>
      </c>
      <c r="R5274" t="s">
        <v>47430</v>
      </c>
      <c r="S5274" t="s">
        <v>47549</v>
      </c>
      <c r="T5274" t="s">
        <v>49129</v>
      </c>
      <c r="U5274" t="s">
        <v>54145</v>
      </c>
      <c r="V5274" t="s">
        <v>63207</v>
      </c>
      <c r="W5274" t="s">
        <v>45142</v>
      </c>
      <c r="X5274" t="s">
        <v>47431</v>
      </c>
    </row>
    <row r="5275" spans="1:24">
      <c r="A5275">
        <f>HYPERLINK("https://www.philgeps.gov.ph/GEPSNONPILOT/Tender/SplashBidNoticeAbstractUI.aspx?menuIndex=3&amp;refID=7160758&amp;Result=3","7160758")</f>
        <v>0</v>
      </c>
      <c r="B5275" t="s">
        <v>1942</v>
      </c>
      <c r="C5275" t="s">
        <v>8878</v>
      </c>
      <c r="D5275" t="s">
        <v>19080</v>
      </c>
      <c r="E5275" t="s">
        <v>23757</v>
      </c>
      <c r="F5275" t="s">
        <v>32831</v>
      </c>
      <c r="G5275" t="s">
        <v>32839</v>
      </c>
      <c r="H5275" t="s">
        <v>32848</v>
      </c>
      <c r="I5275" t="s">
        <v>9577</v>
      </c>
      <c r="J5275" t="s">
        <v>36356</v>
      </c>
      <c r="K5275" t="s">
        <v>42727</v>
      </c>
      <c r="M5275" t="s">
        <v>45097</v>
      </c>
      <c r="N5275" t="s">
        <v>47424</v>
      </c>
      <c r="O5275" t="s">
        <v>47425</v>
      </c>
      <c r="P5275">
        <v>0</v>
      </c>
      <c r="Q5275">
        <v>2</v>
      </c>
      <c r="R5275" t="s">
        <v>47430</v>
      </c>
      <c r="S5275" t="s">
        <v>47549</v>
      </c>
      <c r="T5275" t="s">
        <v>49319</v>
      </c>
      <c r="U5275" t="s">
        <v>54146</v>
      </c>
      <c r="W5275" t="s">
        <v>45097</v>
      </c>
      <c r="X5275" t="s">
        <v>47431</v>
      </c>
    </row>
    <row r="5276" spans="1:24">
      <c r="A5276">
        <f>HYPERLINK("https://www.philgeps.gov.ph/GEPSNONPILOT/Tender/SplashBidNoticeAbstractUI.aspx?menuIndex=3&amp;refID=7160781&amp;Result=3","7160781")</f>
        <v>0</v>
      </c>
      <c r="B5276" t="s">
        <v>693</v>
      </c>
      <c r="C5276" t="s">
        <v>8879</v>
      </c>
      <c r="D5276" t="s">
        <v>19073</v>
      </c>
      <c r="E5276" t="s">
        <v>20444</v>
      </c>
      <c r="F5276" t="s">
        <v>32831</v>
      </c>
      <c r="G5276" t="s">
        <v>32840</v>
      </c>
      <c r="H5276" t="s">
        <v>32848</v>
      </c>
      <c r="I5276" t="s">
        <v>32867</v>
      </c>
      <c r="J5276" t="s">
        <v>36357</v>
      </c>
      <c r="K5276" t="s">
        <v>42731</v>
      </c>
      <c r="M5276" t="s">
        <v>43712</v>
      </c>
      <c r="N5276" t="s">
        <v>47424</v>
      </c>
      <c r="O5276" t="s">
        <v>47425</v>
      </c>
      <c r="P5276">
        <v>0</v>
      </c>
      <c r="Q5276">
        <v>1</v>
      </c>
      <c r="R5276" t="s">
        <v>47430</v>
      </c>
      <c r="S5276" t="s">
        <v>47549</v>
      </c>
      <c r="T5276" t="s">
        <v>49108</v>
      </c>
      <c r="U5276" t="s">
        <v>54147</v>
      </c>
      <c r="W5276" t="s">
        <v>43712</v>
      </c>
      <c r="X5276" t="s">
        <v>47431</v>
      </c>
    </row>
    <row r="5277" spans="1:24">
      <c r="A5277">
        <f>HYPERLINK("https://www.philgeps.gov.ph/GEPSNONPILOT/Tender/SplashBidNoticeAbstractUI.aspx?menuIndex=3&amp;refID=7160770&amp;Result=3","7160770")</f>
        <v>0</v>
      </c>
      <c r="B5277" t="s">
        <v>1893</v>
      </c>
      <c r="C5277" t="s">
        <v>8880</v>
      </c>
      <c r="D5277" t="s">
        <v>19064</v>
      </c>
      <c r="E5277" t="s">
        <v>23758</v>
      </c>
      <c r="F5277" t="s">
        <v>32831</v>
      </c>
      <c r="G5277" t="s">
        <v>32838</v>
      </c>
      <c r="H5277" t="s">
        <v>32848</v>
      </c>
      <c r="I5277" t="s">
        <v>4471</v>
      </c>
      <c r="J5277" t="s">
        <v>36358</v>
      </c>
      <c r="K5277" t="s">
        <v>42731</v>
      </c>
      <c r="M5277" t="s">
        <v>45040</v>
      </c>
      <c r="N5277" t="s">
        <v>47424</v>
      </c>
      <c r="O5277" t="s">
        <v>47425</v>
      </c>
      <c r="P5277">
        <v>0</v>
      </c>
      <c r="Q5277">
        <v>2</v>
      </c>
      <c r="R5277" t="s">
        <v>47430</v>
      </c>
      <c r="S5277" t="s">
        <v>47549</v>
      </c>
      <c r="T5277" t="s">
        <v>49089</v>
      </c>
      <c r="U5277" t="s">
        <v>54118</v>
      </c>
      <c r="W5277" t="s">
        <v>45040</v>
      </c>
      <c r="X5277" t="s">
        <v>47431</v>
      </c>
    </row>
    <row r="5278" spans="1:24">
      <c r="A5278">
        <f>HYPERLINK("https://www.philgeps.gov.ph/GEPSNONPILOT/Tender/SplashBidNoticeAbstractUI.aspx?menuIndex=3&amp;refID=7160714&amp;Result=3","7160714")</f>
        <v>0</v>
      </c>
      <c r="B5278" t="s">
        <v>1967</v>
      </c>
      <c r="C5278" t="s">
        <v>8881</v>
      </c>
      <c r="D5278" t="s">
        <v>19049</v>
      </c>
      <c r="E5278" t="s">
        <v>23759</v>
      </c>
      <c r="F5278" t="s">
        <v>32831</v>
      </c>
      <c r="G5278" t="s">
        <v>32838</v>
      </c>
      <c r="H5278" t="s">
        <v>32848</v>
      </c>
      <c r="I5278" t="s">
        <v>32860</v>
      </c>
      <c r="J5278" t="s">
        <v>36359</v>
      </c>
      <c r="K5278" t="s">
        <v>42730</v>
      </c>
      <c r="M5278" t="s">
        <v>45127</v>
      </c>
      <c r="N5278" t="s">
        <v>47424</v>
      </c>
      <c r="O5278" t="s">
        <v>47425</v>
      </c>
      <c r="P5278">
        <v>0</v>
      </c>
      <c r="Q5278">
        <v>2</v>
      </c>
      <c r="R5278" t="s">
        <v>47430</v>
      </c>
      <c r="S5278" t="s">
        <v>47549</v>
      </c>
      <c r="T5278" t="s">
        <v>49239</v>
      </c>
      <c r="U5278" t="s">
        <v>54148</v>
      </c>
      <c r="W5278" t="s">
        <v>45127</v>
      </c>
      <c r="X5278" t="s">
        <v>47431</v>
      </c>
    </row>
    <row r="5279" spans="1:24">
      <c r="A5279">
        <f>HYPERLINK("https://www.philgeps.gov.ph/GEPSNONPILOT/Tender/SplashBidNoticeAbstractUI.aspx?menuIndex=3&amp;refID=7160807&amp;Result=3","7160807")</f>
        <v>0</v>
      </c>
      <c r="B5279" t="s">
        <v>1907</v>
      </c>
      <c r="C5279" t="s">
        <v>8882</v>
      </c>
      <c r="E5279" t="s">
        <v>23760</v>
      </c>
      <c r="F5279" t="s">
        <v>32831</v>
      </c>
      <c r="G5279" t="s">
        <v>32840</v>
      </c>
      <c r="H5279" t="s">
        <v>32848</v>
      </c>
      <c r="I5279" t="s">
        <v>32860</v>
      </c>
      <c r="J5279" t="s">
        <v>36360</v>
      </c>
      <c r="K5279" t="s">
        <v>42732</v>
      </c>
      <c r="M5279" t="s">
        <v>45056</v>
      </c>
      <c r="N5279" t="s">
        <v>47424</v>
      </c>
      <c r="O5279" t="s">
        <v>47425</v>
      </c>
      <c r="P5279">
        <v>0</v>
      </c>
      <c r="Q5279">
        <v>6</v>
      </c>
      <c r="R5279" t="s">
        <v>47430</v>
      </c>
      <c r="S5279" t="s">
        <v>47549</v>
      </c>
      <c r="T5279" t="s">
        <v>49145</v>
      </c>
      <c r="U5279" t="s">
        <v>53889</v>
      </c>
      <c r="W5279" t="s">
        <v>45056</v>
      </c>
      <c r="X5279" t="s">
        <v>47431</v>
      </c>
    </row>
    <row r="5280" spans="1:24">
      <c r="A5280">
        <f>HYPERLINK("https://www.philgeps.gov.ph/GEPSNONPILOT/Tender/SplashBidNoticeAbstractUI.aspx?menuIndex=3&amp;refID=7160806&amp;Result=3","7160806")</f>
        <v>0</v>
      </c>
      <c r="B5280" t="s">
        <v>693</v>
      </c>
      <c r="C5280" t="s">
        <v>8883</v>
      </c>
      <c r="D5280" t="s">
        <v>19073</v>
      </c>
      <c r="E5280" t="s">
        <v>20444</v>
      </c>
      <c r="F5280" t="s">
        <v>32831</v>
      </c>
      <c r="G5280" t="s">
        <v>32840</v>
      </c>
      <c r="H5280" t="s">
        <v>32848</v>
      </c>
      <c r="I5280" t="s">
        <v>4303</v>
      </c>
      <c r="J5280" t="s">
        <v>36361</v>
      </c>
      <c r="K5280" t="s">
        <v>42731</v>
      </c>
      <c r="M5280" t="s">
        <v>43712</v>
      </c>
      <c r="N5280" t="s">
        <v>47424</v>
      </c>
      <c r="O5280" t="s">
        <v>47425</v>
      </c>
      <c r="P5280">
        <v>0</v>
      </c>
      <c r="Q5280">
        <v>0</v>
      </c>
      <c r="R5280" t="s">
        <v>47430</v>
      </c>
      <c r="S5280" t="s">
        <v>47549</v>
      </c>
      <c r="T5280" t="s">
        <v>49108</v>
      </c>
      <c r="U5280" t="s">
        <v>54149</v>
      </c>
      <c r="W5280" t="s">
        <v>43712</v>
      </c>
      <c r="X5280" t="s">
        <v>47431</v>
      </c>
    </row>
    <row r="5281" spans="1:24">
      <c r="A5281">
        <f>HYPERLINK("https://www.philgeps.gov.ph/GEPSNONPILOT/Tender/SplashBidNoticeAbstractUI.aspx?menuIndex=3&amp;refID=7160764&amp;Result=3","7160764")</f>
        <v>0</v>
      </c>
      <c r="B5281" t="s">
        <v>1976</v>
      </c>
      <c r="C5281" t="s">
        <v>8884</v>
      </c>
      <c r="D5281" t="s">
        <v>19034</v>
      </c>
      <c r="E5281" t="s">
        <v>23761</v>
      </c>
      <c r="F5281" t="s">
        <v>32831</v>
      </c>
      <c r="G5281" t="s">
        <v>32839</v>
      </c>
      <c r="H5281" t="s">
        <v>32849</v>
      </c>
      <c r="I5281" t="s">
        <v>4177</v>
      </c>
      <c r="J5281" t="s">
        <v>36362</v>
      </c>
      <c r="K5281" t="s">
        <v>42878</v>
      </c>
      <c r="M5281" t="s">
        <v>45137</v>
      </c>
      <c r="N5281" t="s">
        <v>47424</v>
      </c>
      <c r="O5281" t="s">
        <v>47425</v>
      </c>
      <c r="P5281">
        <v>0</v>
      </c>
      <c r="Q5281">
        <v>0</v>
      </c>
      <c r="R5281" t="s">
        <v>47430</v>
      </c>
      <c r="S5281" t="s">
        <v>47549</v>
      </c>
      <c r="T5281" t="s">
        <v>49393</v>
      </c>
      <c r="U5281" t="s">
        <v>54150</v>
      </c>
      <c r="W5281" t="s">
        <v>45137</v>
      </c>
      <c r="X5281" t="s">
        <v>47431</v>
      </c>
    </row>
    <row r="5282" spans="1:24">
      <c r="A5282">
        <f>HYPERLINK("https://www.philgeps.gov.ph/GEPSNONPILOT/Tender/SplashBidNoticeAbstractUI.aspx?menuIndex=3&amp;refID=7160804&amp;Result=3","7160804")</f>
        <v>0</v>
      </c>
      <c r="B5282" t="s">
        <v>861</v>
      </c>
      <c r="C5282" t="s">
        <v>8885</v>
      </c>
      <c r="D5282" t="s">
        <v>19041</v>
      </c>
      <c r="E5282" t="s">
        <v>23762</v>
      </c>
      <c r="F5282" t="s">
        <v>32831</v>
      </c>
      <c r="G5282" t="s">
        <v>32840</v>
      </c>
      <c r="H5282" t="s">
        <v>32848</v>
      </c>
      <c r="I5282" t="s">
        <v>32863</v>
      </c>
      <c r="J5282" t="s">
        <v>36363</v>
      </c>
      <c r="K5282" t="s">
        <v>42732</v>
      </c>
      <c r="M5282" t="s">
        <v>43895</v>
      </c>
      <c r="N5282" t="s">
        <v>47424</v>
      </c>
      <c r="O5282" t="s">
        <v>47425</v>
      </c>
      <c r="P5282">
        <v>0</v>
      </c>
      <c r="Q5282">
        <v>0</v>
      </c>
      <c r="R5282" t="s">
        <v>47430</v>
      </c>
      <c r="S5282" t="s">
        <v>47549</v>
      </c>
      <c r="T5282" t="s">
        <v>49423</v>
      </c>
      <c r="U5282" t="s">
        <v>54151</v>
      </c>
      <c r="W5282" t="s">
        <v>43895</v>
      </c>
      <c r="X5282" t="s">
        <v>47431</v>
      </c>
    </row>
    <row r="5283" spans="1:24">
      <c r="A5283">
        <f>HYPERLINK("https://www.philgeps.gov.ph/GEPSNONPILOT/Tender/SplashBidNoticeAbstractUI.aspx?menuIndex=3&amp;refID=7160800&amp;Result=3","7160800")</f>
        <v>0</v>
      </c>
      <c r="B5283" t="s">
        <v>1981</v>
      </c>
      <c r="C5283" t="s">
        <v>8886</v>
      </c>
      <c r="E5283" t="s">
        <v>23763</v>
      </c>
      <c r="F5283" t="s">
        <v>32831</v>
      </c>
      <c r="G5283" t="s">
        <v>32842</v>
      </c>
      <c r="H5283" t="s">
        <v>32848</v>
      </c>
      <c r="I5283" t="s">
        <v>32860</v>
      </c>
      <c r="J5283" t="s">
        <v>36364</v>
      </c>
      <c r="K5283" t="s">
        <v>42726</v>
      </c>
      <c r="M5283" t="s">
        <v>45143</v>
      </c>
      <c r="N5283" t="s">
        <v>47424</v>
      </c>
      <c r="O5283" t="s">
        <v>47425</v>
      </c>
      <c r="P5283">
        <v>0</v>
      </c>
      <c r="Q5283">
        <v>1</v>
      </c>
      <c r="R5283" t="s">
        <v>47430</v>
      </c>
      <c r="S5283" t="s">
        <v>47549</v>
      </c>
      <c r="T5283" t="s">
        <v>49145</v>
      </c>
      <c r="U5283" t="s">
        <v>54152</v>
      </c>
      <c r="W5283" t="s">
        <v>45143</v>
      </c>
      <c r="X5283" t="s">
        <v>47431</v>
      </c>
    </row>
    <row r="5284" spans="1:24">
      <c r="A5284">
        <f>HYPERLINK("https://www.philgeps.gov.ph/GEPSNONPILOT/Tender/SplashBidNoticeAbstractUI.aspx?menuIndex=3&amp;refID=7160763&amp;Result=3","7160763")</f>
        <v>0</v>
      </c>
      <c r="B5284" t="s">
        <v>1317</v>
      </c>
      <c r="C5284" t="s">
        <v>8887</v>
      </c>
      <c r="D5284" t="s">
        <v>19074</v>
      </c>
      <c r="E5284" t="s">
        <v>23764</v>
      </c>
      <c r="F5284" t="s">
        <v>32831</v>
      </c>
      <c r="G5284" t="s">
        <v>32841</v>
      </c>
      <c r="H5284" t="s">
        <v>32848</v>
      </c>
      <c r="I5284" t="s">
        <v>4776</v>
      </c>
      <c r="J5284" t="s">
        <v>33257</v>
      </c>
      <c r="K5284" t="s">
        <v>42727</v>
      </c>
      <c r="M5284" t="s">
        <v>44388</v>
      </c>
      <c r="N5284" t="s">
        <v>47424</v>
      </c>
      <c r="O5284" t="s">
        <v>47425</v>
      </c>
      <c r="P5284">
        <v>0</v>
      </c>
      <c r="Q5284">
        <v>7</v>
      </c>
      <c r="R5284" t="s">
        <v>47430</v>
      </c>
      <c r="S5284" t="s">
        <v>47549</v>
      </c>
      <c r="T5284" t="s">
        <v>49056</v>
      </c>
      <c r="U5284" t="s">
        <v>54153</v>
      </c>
      <c r="W5284" t="s">
        <v>44388</v>
      </c>
      <c r="X5284" t="s">
        <v>47431</v>
      </c>
    </row>
    <row r="5285" spans="1:24">
      <c r="A5285">
        <f>HYPERLINK("https://www.philgeps.gov.ph/GEPSNONPILOT/Tender/SplashBidNoticeAbstractUI.aspx?menuIndex=3&amp;refID=7160805&amp;Result=3","7160805")</f>
        <v>0</v>
      </c>
      <c r="B5285" t="s">
        <v>1982</v>
      </c>
      <c r="C5285" t="s">
        <v>8888</v>
      </c>
      <c r="D5285" t="s">
        <v>19080</v>
      </c>
      <c r="E5285" t="s">
        <v>23765</v>
      </c>
      <c r="F5285" t="s">
        <v>32831</v>
      </c>
      <c r="G5285" t="s">
        <v>32840</v>
      </c>
      <c r="H5285" t="s">
        <v>32848</v>
      </c>
      <c r="I5285" t="s">
        <v>32864</v>
      </c>
      <c r="J5285" t="s">
        <v>33497</v>
      </c>
      <c r="K5285" t="s">
        <v>42727</v>
      </c>
      <c r="M5285" t="s">
        <v>45144</v>
      </c>
      <c r="N5285" t="s">
        <v>47424</v>
      </c>
      <c r="O5285" t="s">
        <v>47425</v>
      </c>
      <c r="P5285">
        <v>0</v>
      </c>
      <c r="Q5285">
        <v>0</v>
      </c>
      <c r="R5285" t="s">
        <v>47430</v>
      </c>
      <c r="S5285" t="s">
        <v>47549</v>
      </c>
      <c r="T5285" t="s">
        <v>49270</v>
      </c>
      <c r="U5285" t="s">
        <v>54154</v>
      </c>
      <c r="V5285" t="s">
        <v>62754</v>
      </c>
      <c r="W5285" t="s">
        <v>45144</v>
      </c>
      <c r="X5285" t="s">
        <v>47431</v>
      </c>
    </row>
    <row r="5286" spans="1:24">
      <c r="A5286">
        <f>HYPERLINK("https://www.philgeps.gov.ph/GEPSNONPILOT/Tender/SplashBidNoticeAbstractUI.aspx?menuIndex=3&amp;refID=7160801&amp;Result=3","7160801")</f>
        <v>0</v>
      </c>
      <c r="B5286" t="s">
        <v>1983</v>
      </c>
      <c r="C5286" t="s">
        <v>8889</v>
      </c>
      <c r="E5286" t="s">
        <v>22446</v>
      </c>
      <c r="F5286" t="s">
        <v>32831</v>
      </c>
      <c r="G5286" t="s">
        <v>32838</v>
      </c>
      <c r="H5286" t="s">
        <v>32848</v>
      </c>
      <c r="I5286" t="s">
        <v>9577</v>
      </c>
      <c r="J5286" t="s">
        <v>36365</v>
      </c>
      <c r="K5286" t="s">
        <v>42732</v>
      </c>
      <c r="M5286" t="s">
        <v>45145</v>
      </c>
      <c r="N5286" t="s">
        <v>47424</v>
      </c>
      <c r="O5286" t="s">
        <v>47425</v>
      </c>
      <c r="P5286">
        <v>0</v>
      </c>
      <c r="Q5286">
        <v>2</v>
      </c>
      <c r="R5286" t="s">
        <v>47430</v>
      </c>
      <c r="S5286" t="s">
        <v>47549</v>
      </c>
      <c r="T5286" t="s">
        <v>49196</v>
      </c>
      <c r="U5286" t="s">
        <v>54155</v>
      </c>
      <c r="W5286" t="s">
        <v>45145</v>
      </c>
      <c r="X5286" t="s">
        <v>47431</v>
      </c>
    </row>
    <row r="5287" spans="1:24">
      <c r="A5287">
        <f>HYPERLINK("https://www.philgeps.gov.ph/GEPSNONPILOT/Tender/SplashBidNoticeAbstractUI.aspx?menuIndex=3&amp;refID=7160808&amp;Result=3","7160808")</f>
        <v>0</v>
      </c>
      <c r="B5287" t="s">
        <v>937</v>
      </c>
      <c r="C5287" t="s">
        <v>8890</v>
      </c>
      <c r="D5287" t="s">
        <v>19022</v>
      </c>
      <c r="E5287" t="s">
        <v>19845</v>
      </c>
      <c r="F5287" t="s">
        <v>32831</v>
      </c>
      <c r="G5287" t="s">
        <v>32838</v>
      </c>
      <c r="H5287" t="s">
        <v>32850</v>
      </c>
      <c r="I5287" t="s">
        <v>32864</v>
      </c>
      <c r="J5287" t="s">
        <v>36366</v>
      </c>
      <c r="K5287" t="s">
        <v>42760</v>
      </c>
      <c r="M5287" t="s">
        <v>43979</v>
      </c>
      <c r="N5287" t="s">
        <v>47424</v>
      </c>
      <c r="O5287" t="s">
        <v>47425</v>
      </c>
      <c r="P5287">
        <v>0</v>
      </c>
      <c r="Q5287">
        <v>5</v>
      </c>
      <c r="R5287" t="s">
        <v>47430</v>
      </c>
      <c r="S5287" t="s">
        <v>47549</v>
      </c>
      <c r="T5287" t="s">
        <v>49145</v>
      </c>
      <c r="U5287" t="s">
        <v>54156</v>
      </c>
      <c r="W5287" t="s">
        <v>43979</v>
      </c>
      <c r="X5287" t="s">
        <v>47431</v>
      </c>
    </row>
    <row r="5288" spans="1:24">
      <c r="A5288">
        <f>HYPERLINK("https://www.philgeps.gov.ph/GEPSNONPILOT/Tender/SplashBidNoticeAbstractUI.aspx?menuIndex=3&amp;refID=7160759&amp;Result=3","7160759")</f>
        <v>0</v>
      </c>
      <c r="B5288" t="s">
        <v>688</v>
      </c>
      <c r="C5288" t="s">
        <v>4859</v>
      </c>
      <c r="E5288" t="s">
        <v>23766</v>
      </c>
      <c r="F5288" t="s">
        <v>32831</v>
      </c>
      <c r="G5288" t="s">
        <v>32840</v>
      </c>
      <c r="H5288" t="s">
        <v>32848</v>
      </c>
      <c r="I5288" t="s">
        <v>9577</v>
      </c>
      <c r="J5288" t="s">
        <v>36367</v>
      </c>
      <c r="K5288" t="s">
        <v>42732</v>
      </c>
      <c r="M5288" t="s">
        <v>43707</v>
      </c>
      <c r="N5288" t="s">
        <v>47424</v>
      </c>
      <c r="O5288" t="s">
        <v>47425</v>
      </c>
      <c r="P5288">
        <v>0</v>
      </c>
      <c r="Q5288">
        <v>1</v>
      </c>
      <c r="R5288" t="s">
        <v>47430</v>
      </c>
      <c r="S5288" t="s">
        <v>47549</v>
      </c>
      <c r="T5288" t="s">
        <v>49259</v>
      </c>
      <c r="U5288" t="s">
        <v>51307</v>
      </c>
      <c r="W5288" t="s">
        <v>43707</v>
      </c>
      <c r="X5288" t="s">
        <v>47431</v>
      </c>
    </row>
    <row r="5289" spans="1:24">
      <c r="A5289">
        <f>HYPERLINK("https://www.philgeps.gov.ph/GEPSNONPILOT/Tender/SplashBidNoticeAbstractUI.aspx?menuIndex=3&amp;refID=7160794&amp;Result=3","7160794")</f>
        <v>0</v>
      </c>
      <c r="B5289" t="s">
        <v>1914</v>
      </c>
      <c r="C5289" t="s">
        <v>7987</v>
      </c>
      <c r="D5289" t="s">
        <v>19062</v>
      </c>
      <c r="E5289" t="s">
        <v>23767</v>
      </c>
      <c r="F5289" t="s">
        <v>32831</v>
      </c>
      <c r="G5289" t="s">
        <v>32838</v>
      </c>
      <c r="H5289" t="s">
        <v>32848</v>
      </c>
      <c r="I5289" t="s">
        <v>4340</v>
      </c>
      <c r="J5289" t="s">
        <v>36368</v>
      </c>
      <c r="K5289" t="s">
        <v>42748</v>
      </c>
      <c r="M5289" t="s">
        <v>45066</v>
      </c>
      <c r="N5289" t="s">
        <v>47424</v>
      </c>
      <c r="O5289" t="s">
        <v>47425</v>
      </c>
      <c r="P5289">
        <v>0</v>
      </c>
      <c r="Q5289">
        <v>2</v>
      </c>
      <c r="R5289" t="s">
        <v>47430</v>
      </c>
      <c r="S5289" t="s">
        <v>47549</v>
      </c>
      <c r="T5289" t="s">
        <v>49107</v>
      </c>
      <c r="U5289" t="s">
        <v>54157</v>
      </c>
      <c r="W5289" t="s">
        <v>45066</v>
      </c>
      <c r="X5289" t="s">
        <v>47431</v>
      </c>
    </row>
    <row r="5290" spans="1:24">
      <c r="A5290">
        <f>HYPERLINK("https://www.philgeps.gov.ph/GEPSNONPILOT/Tender/SplashBidNoticeAbstractUI.aspx?menuIndex=3&amp;refID=7160797&amp;Result=3","7160797")</f>
        <v>0</v>
      </c>
      <c r="B5290" t="s">
        <v>1984</v>
      </c>
      <c r="C5290" t="s">
        <v>8891</v>
      </c>
      <c r="E5290" t="s">
        <v>19404</v>
      </c>
      <c r="F5290" t="s">
        <v>32833</v>
      </c>
      <c r="G5290" t="s">
        <v>32840</v>
      </c>
      <c r="H5290" t="s">
        <v>32848</v>
      </c>
      <c r="I5290" t="s">
        <v>11484</v>
      </c>
      <c r="J5290" t="s">
        <v>33067</v>
      </c>
      <c r="K5290" t="s">
        <v>42732</v>
      </c>
      <c r="M5290" t="s">
        <v>45146</v>
      </c>
      <c r="N5290" t="s">
        <v>47424</v>
      </c>
      <c r="O5290" t="s">
        <v>47425</v>
      </c>
      <c r="P5290">
        <v>0</v>
      </c>
      <c r="Q5290">
        <v>0</v>
      </c>
      <c r="R5290" t="s">
        <v>47430</v>
      </c>
      <c r="S5290" t="s">
        <v>47549</v>
      </c>
      <c r="T5290" t="s">
        <v>49198</v>
      </c>
      <c r="U5290" t="s">
        <v>54158</v>
      </c>
      <c r="W5290" t="s">
        <v>45146</v>
      </c>
      <c r="X5290" t="s">
        <v>47431</v>
      </c>
    </row>
    <row r="5291" spans="1:24">
      <c r="A5291">
        <f>HYPERLINK("https://www.philgeps.gov.ph/GEPSNONPILOT/Tender/SplashBidNoticeAbstractUI.aspx?menuIndex=3&amp;refID=7160791&amp;Result=3","7160791")</f>
        <v>0</v>
      </c>
      <c r="B5291" t="s">
        <v>1976</v>
      </c>
      <c r="C5291" t="s">
        <v>8892</v>
      </c>
      <c r="D5291" t="s">
        <v>19034</v>
      </c>
      <c r="E5291" t="s">
        <v>23768</v>
      </c>
      <c r="F5291" t="s">
        <v>32831</v>
      </c>
      <c r="G5291" t="s">
        <v>32839</v>
      </c>
      <c r="H5291" t="s">
        <v>32849</v>
      </c>
      <c r="I5291" t="s">
        <v>4177</v>
      </c>
      <c r="J5291" t="s">
        <v>35331</v>
      </c>
      <c r="K5291" t="s">
        <v>42879</v>
      </c>
      <c r="M5291" t="s">
        <v>45137</v>
      </c>
      <c r="N5291" t="s">
        <v>47424</v>
      </c>
      <c r="O5291" t="s">
        <v>47425</v>
      </c>
      <c r="P5291">
        <v>0</v>
      </c>
      <c r="Q5291">
        <v>0</v>
      </c>
      <c r="R5291" t="s">
        <v>47430</v>
      </c>
      <c r="S5291" t="s">
        <v>47549</v>
      </c>
      <c r="T5291" t="s">
        <v>49393</v>
      </c>
      <c r="U5291" t="s">
        <v>54159</v>
      </c>
      <c r="W5291" t="s">
        <v>45137</v>
      </c>
      <c r="X5291" t="s">
        <v>47431</v>
      </c>
    </row>
    <row r="5292" spans="1:24">
      <c r="A5292">
        <f>HYPERLINK("https://www.philgeps.gov.ph/GEPSNONPILOT/Tender/SplashBidNoticeAbstractUI.aspx?menuIndex=3&amp;refID=7160799&amp;Result=3","7160799")</f>
        <v>0</v>
      </c>
      <c r="B5292" t="s">
        <v>1985</v>
      </c>
      <c r="C5292" t="s">
        <v>8893</v>
      </c>
      <c r="D5292" t="s">
        <v>19037</v>
      </c>
      <c r="E5292" t="s">
        <v>20297</v>
      </c>
      <c r="F5292" t="s">
        <v>32831</v>
      </c>
      <c r="G5292" t="s">
        <v>32839</v>
      </c>
      <c r="H5292" t="s">
        <v>32848</v>
      </c>
      <c r="I5292" t="s">
        <v>7416</v>
      </c>
      <c r="J5292" t="s">
        <v>36369</v>
      </c>
      <c r="K5292" t="s">
        <v>42732</v>
      </c>
      <c r="M5292" t="s">
        <v>45147</v>
      </c>
      <c r="N5292" t="s">
        <v>47424</v>
      </c>
      <c r="O5292" t="s">
        <v>47425</v>
      </c>
      <c r="P5292">
        <v>0</v>
      </c>
      <c r="Q5292">
        <v>0</v>
      </c>
      <c r="R5292" t="s">
        <v>47430</v>
      </c>
      <c r="S5292" t="s">
        <v>47549</v>
      </c>
      <c r="T5292" t="s">
        <v>49193</v>
      </c>
      <c r="U5292" t="s">
        <v>54160</v>
      </c>
      <c r="V5292" t="s">
        <v>63208</v>
      </c>
      <c r="W5292" t="s">
        <v>45147</v>
      </c>
      <c r="X5292" t="s">
        <v>47431</v>
      </c>
    </row>
    <row r="5293" spans="1:24">
      <c r="A5293">
        <f>HYPERLINK("https://www.philgeps.gov.ph/GEPSNONPILOT/Tender/SplashBidNoticeAbstractUI.aspx?menuIndex=3&amp;refID=7160790&amp;Result=3","7160790")</f>
        <v>0</v>
      </c>
      <c r="B5293" t="s">
        <v>1630</v>
      </c>
      <c r="C5293" t="s">
        <v>8894</v>
      </c>
      <c r="D5293" t="s">
        <v>19021</v>
      </c>
      <c r="E5293" t="s">
        <v>23769</v>
      </c>
      <c r="F5293" t="s">
        <v>32831</v>
      </c>
      <c r="G5293" t="s">
        <v>32839</v>
      </c>
      <c r="H5293" t="s">
        <v>32849</v>
      </c>
      <c r="I5293" t="s">
        <v>4177</v>
      </c>
      <c r="J5293" t="s">
        <v>36370</v>
      </c>
      <c r="K5293" t="s">
        <v>42880</v>
      </c>
      <c r="M5293" t="s">
        <v>44746</v>
      </c>
      <c r="N5293" t="s">
        <v>47424</v>
      </c>
      <c r="O5293" t="s">
        <v>47425</v>
      </c>
      <c r="P5293">
        <v>0</v>
      </c>
      <c r="Q5293">
        <v>21</v>
      </c>
      <c r="R5293" t="s">
        <v>47430</v>
      </c>
      <c r="S5293" t="s">
        <v>47549</v>
      </c>
      <c r="T5293" t="s">
        <v>49139</v>
      </c>
      <c r="U5293" t="s">
        <v>54161</v>
      </c>
      <c r="W5293" t="s">
        <v>44746</v>
      </c>
      <c r="X5293" t="s">
        <v>47431</v>
      </c>
    </row>
    <row r="5294" spans="1:24">
      <c r="A5294">
        <f>HYPERLINK("https://www.philgeps.gov.ph/GEPSNONPILOT/Tender/SplashBidNoticeAbstractUI.aspx?menuIndex=3&amp;refID=7160793&amp;Result=3","7160793")</f>
        <v>0</v>
      </c>
      <c r="B5294" t="s">
        <v>1447</v>
      </c>
      <c r="C5294" t="s">
        <v>8895</v>
      </c>
      <c r="D5294" t="s">
        <v>19057</v>
      </c>
      <c r="E5294" t="s">
        <v>23770</v>
      </c>
      <c r="F5294" t="s">
        <v>32831</v>
      </c>
      <c r="G5294" t="s">
        <v>32839</v>
      </c>
      <c r="H5294" t="s">
        <v>32849</v>
      </c>
      <c r="I5294" t="s">
        <v>4177</v>
      </c>
      <c r="J5294" t="s">
        <v>33078</v>
      </c>
      <c r="K5294" t="s">
        <v>42727</v>
      </c>
      <c r="M5294" t="s">
        <v>44539</v>
      </c>
      <c r="N5294" t="s">
        <v>47424</v>
      </c>
      <c r="O5294" t="s">
        <v>47425</v>
      </c>
      <c r="P5294">
        <v>0</v>
      </c>
      <c r="Q5294">
        <v>0</v>
      </c>
      <c r="R5294" t="s">
        <v>47430</v>
      </c>
      <c r="S5294" t="s">
        <v>47549</v>
      </c>
      <c r="T5294" t="s">
        <v>49129</v>
      </c>
      <c r="U5294" t="s">
        <v>54162</v>
      </c>
      <c r="V5294" t="s">
        <v>63209</v>
      </c>
      <c r="W5294" t="s">
        <v>44539</v>
      </c>
      <c r="X5294" t="s">
        <v>47431</v>
      </c>
    </row>
    <row r="5295" spans="1:24">
      <c r="A5295">
        <f>HYPERLINK("https://www.philgeps.gov.ph/GEPSNONPILOT/Tender/SplashBidNoticeAbstractUI.aspx?menuIndex=3&amp;refID=7160792&amp;Result=3","7160792")</f>
        <v>0</v>
      </c>
      <c r="B5295" t="s">
        <v>936</v>
      </c>
      <c r="C5295" t="s">
        <v>8896</v>
      </c>
      <c r="D5295" t="s">
        <v>19088</v>
      </c>
      <c r="E5295" t="s">
        <v>23771</v>
      </c>
      <c r="F5295" t="s">
        <v>32831</v>
      </c>
      <c r="G5295" t="s">
        <v>32839</v>
      </c>
      <c r="H5295" t="s">
        <v>32849</v>
      </c>
      <c r="I5295" t="s">
        <v>4177</v>
      </c>
      <c r="J5295" t="s">
        <v>34870</v>
      </c>
      <c r="K5295" t="s">
        <v>42732</v>
      </c>
      <c r="M5295" t="s">
        <v>43978</v>
      </c>
      <c r="N5295" t="s">
        <v>47424</v>
      </c>
      <c r="O5295" t="s">
        <v>47425</v>
      </c>
      <c r="P5295">
        <v>0</v>
      </c>
      <c r="Q5295">
        <v>0</v>
      </c>
      <c r="R5295" t="s">
        <v>47430</v>
      </c>
      <c r="S5295" t="s">
        <v>47549</v>
      </c>
      <c r="T5295" t="s">
        <v>49089</v>
      </c>
      <c r="U5295" t="s">
        <v>54163</v>
      </c>
      <c r="W5295" t="s">
        <v>43978</v>
      </c>
      <c r="X5295" t="s">
        <v>47431</v>
      </c>
    </row>
    <row r="5296" spans="1:24">
      <c r="A5296">
        <f>HYPERLINK("https://www.philgeps.gov.ph/GEPSNONPILOT/Tender/SplashBidNoticeAbstractUI.aspx?menuIndex=3&amp;refID=7160795&amp;Result=3","7160795")</f>
        <v>0</v>
      </c>
      <c r="B5296" t="s">
        <v>895</v>
      </c>
      <c r="C5296" t="s">
        <v>8897</v>
      </c>
      <c r="D5296" t="s">
        <v>19036</v>
      </c>
      <c r="E5296" t="s">
        <v>23772</v>
      </c>
      <c r="F5296" t="s">
        <v>32831</v>
      </c>
      <c r="G5296" t="s">
        <v>32842</v>
      </c>
      <c r="H5296" t="s">
        <v>32848</v>
      </c>
      <c r="I5296" t="s">
        <v>32860</v>
      </c>
      <c r="J5296" t="s">
        <v>36371</v>
      </c>
      <c r="K5296" t="s">
        <v>42727</v>
      </c>
      <c r="M5296" t="s">
        <v>44963</v>
      </c>
      <c r="N5296" t="s">
        <v>47424</v>
      </c>
      <c r="O5296" t="s">
        <v>47425</v>
      </c>
      <c r="P5296">
        <v>0</v>
      </c>
      <c r="Q5296">
        <v>4</v>
      </c>
      <c r="R5296" t="s">
        <v>47430</v>
      </c>
      <c r="S5296" t="s">
        <v>47549</v>
      </c>
      <c r="T5296" t="s">
        <v>49206</v>
      </c>
      <c r="U5296" t="s">
        <v>54164</v>
      </c>
      <c r="W5296" t="s">
        <v>44963</v>
      </c>
      <c r="X5296" t="s">
        <v>47431</v>
      </c>
    </row>
    <row r="5297" spans="1:24">
      <c r="A5297">
        <f>HYPERLINK("https://www.philgeps.gov.ph/GEPSNONPILOT/Tender/SplashBidNoticeAbstractUI.aspx?menuIndex=3&amp;refID=7160753&amp;Result=3","7160753")</f>
        <v>0</v>
      </c>
      <c r="B5297" t="s">
        <v>1872</v>
      </c>
      <c r="C5297" t="s">
        <v>8898</v>
      </c>
      <c r="D5297" t="s">
        <v>19100</v>
      </c>
      <c r="E5297" t="s">
        <v>20958</v>
      </c>
      <c r="F5297" t="s">
        <v>32831</v>
      </c>
      <c r="G5297" t="s">
        <v>32838</v>
      </c>
      <c r="H5297" t="s">
        <v>32850</v>
      </c>
      <c r="I5297" t="s">
        <v>32864</v>
      </c>
      <c r="J5297" t="s">
        <v>36372</v>
      </c>
      <c r="K5297" t="s">
        <v>42745</v>
      </c>
      <c r="M5297" t="s">
        <v>45016</v>
      </c>
      <c r="N5297" t="s">
        <v>47424</v>
      </c>
      <c r="O5297" t="s">
        <v>47425</v>
      </c>
      <c r="P5297">
        <v>0</v>
      </c>
      <c r="Q5297">
        <v>0</v>
      </c>
      <c r="R5297" t="s">
        <v>47430</v>
      </c>
      <c r="S5297" t="s">
        <v>47549</v>
      </c>
      <c r="T5297" t="s">
        <v>49239</v>
      </c>
      <c r="U5297" t="s">
        <v>54165</v>
      </c>
      <c r="W5297" t="s">
        <v>45016</v>
      </c>
      <c r="X5297" t="s">
        <v>47431</v>
      </c>
    </row>
    <row r="5298" spans="1:24">
      <c r="A5298">
        <f>HYPERLINK("https://www.philgeps.gov.ph/GEPSNONPILOT/Tender/SplashBidNoticeAbstractUI.aspx?menuIndex=3&amp;refID=7160786&amp;Result=3","7160786")</f>
        <v>0</v>
      </c>
      <c r="B5298" t="s">
        <v>733</v>
      </c>
      <c r="C5298" t="s">
        <v>8899</v>
      </c>
      <c r="D5298" t="s">
        <v>19034</v>
      </c>
      <c r="E5298" t="s">
        <v>21669</v>
      </c>
      <c r="F5298" t="s">
        <v>32831</v>
      </c>
      <c r="G5298" t="s">
        <v>32839</v>
      </c>
      <c r="H5298" t="s">
        <v>32848</v>
      </c>
      <c r="I5298" t="s">
        <v>4558</v>
      </c>
      <c r="J5298" t="s">
        <v>36373</v>
      </c>
      <c r="K5298" t="s">
        <v>42731</v>
      </c>
      <c r="L5298" t="s">
        <v>733</v>
      </c>
      <c r="M5298" t="s">
        <v>43755</v>
      </c>
      <c r="N5298" t="s">
        <v>47424</v>
      </c>
      <c r="O5298" t="s">
        <v>47425</v>
      </c>
      <c r="P5298">
        <v>0</v>
      </c>
      <c r="Q5298">
        <v>1</v>
      </c>
      <c r="R5298" t="s">
        <v>47430</v>
      </c>
      <c r="S5298" t="s">
        <v>47549</v>
      </c>
      <c r="T5298" t="s">
        <v>49129</v>
      </c>
      <c r="U5298" t="s">
        <v>54166</v>
      </c>
      <c r="W5298" t="s">
        <v>43755</v>
      </c>
      <c r="X5298" t="s">
        <v>47431</v>
      </c>
    </row>
    <row r="5299" spans="1:24">
      <c r="A5299">
        <f>HYPERLINK("https://www.philgeps.gov.ph/GEPSNONPILOT/Tender/SplashBidNoticeAbstractUI.aspx?menuIndex=3&amp;refID=7160747&amp;Result=3","7160747")</f>
        <v>0</v>
      </c>
      <c r="B5299" t="s">
        <v>460</v>
      </c>
      <c r="C5299" t="s">
        <v>8900</v>
      </c>
      <c r="D5299" t="s">
        <v>19086</v>
      </c>
      <c r="E5299" t="s">
        <v>23773</v>
      </c>
      <c r="F5299" t="s">
        <v>32831</v>
      </c>
      <c r="G5299" t="s">
        <v>32839</v>
      </c>
      <c r="H5299" t="s">
        <v>32849</v>
      </c>
      <c r="I5299" t="s">
        <v>4177</v>
      </c>
      <c r="J5299" t="s">
        <v>34447</v>
      </c>
      <c r="K5299" t="s">
        <v>42757</v>
      </c>
      <c r="M5299" t="s">
        <v>45122</v>
      </c>
      <c r="N5299" t="s">
        <v>47424</v>
      </c>
      <c r="O5299" t="s">
        <v>47425</v>
      </c>
      <c r="P5299">
        <v>0</v>
      </c>
      <c r="Q5299">
        <v>0</v>
      </c>
      <c r="R5299" t="s">
        <v>47430</v>
      </c>
      <c r="S5299" t="s">
        <v>47549</v>
      </c>
      <c r="T5299" t="s">
        <v>49147</v>
      </c>
      <c r="U5299" t="s">
        <v>54167</v>
      </c>
      <c r="W5299" t="s">
        <v>45122</v>
      </c>
      <c r="X5299" t="s">
        <v>47431</v>
      </c>
    </row>
    <row r="5300" spans="1:24">
      <c r="A5300">
        <f>HYPERLINK("https://www.philgeps.gov.ph/GEPSNONPILOT/Tender/SplashBidNoticeAbstractUI.aspx?menuIndex=3&amp;refID=7160692&amp;Result=3","7160692")</f>
        <v>0</v>
      </c>
      <c r="B5300" t="s">
        <v>936</v>
      </c>
      <c r="C5300" t="s">
        <v>8901</v>
      </c>
      <c r="D5300" t="s">
        <v>19088</v>
      </c>
      <c r="E5300" t="s">
        <v>23774</v>
      </c>
      <c r="F5300" t="s">
        <v>32831</v>
      </c>
      <c r="G5300" t="s">
        <v>32839</v>
      </c>
      <c r="H5300" t="s">
        <v>32849</v>
      </c>
      <c r="I5300" t="s">
        <v>4177</v>
      </c>
      <c r="J5300" t="s">
        <v>36374</v>
      </c>
      <c r="K5300" t="s">
        <v>42732</v>
      </c>
      <c r="M5300" t="s">
        <v>43978</v>
      </c>
      <c r="N5300" t="s">
        <v>47424</v>
      </c>
      <c r="O5300" t="s">
        <v>47425</v>
      </c>
      <c r="P5300">
        <v>0</v>
      </c>
      <c r="Q5300">
        <v>0</v>
      </c>
      <c r="R5300" t="s">
        <v>47430</v>
      </c>
      <c r="S5300" t="s">
        <v>47549</v>
      </c>
      <c r="T5300" t="s">
        <v>49089</v>
      </c>
      <c r="U5300" t="s">
        <v>54168</v>
      </c>
      <c r="W5300" t="s">
        <v>43978</v>
      </c>
      <c r="X5300" t="s">
        <v>47431</v>
      </c>
    </row>
    <row r="5301" spans="1:24">
      <c r="A5301">
        <f>HYPERLINK("https://www.philgeps.gov.ph/GEPSNONPILOT/Tender/SplashBidNoticeAbstractUI.aspx?menuIndex=3&amp;refID=7160754&amp;Result=3","7160754")</f>
        <v>0</v>
      </c>
      <c r="B5301" t="s">
        <v>956</v>
      </c>
      <c r="C5301" t="s">
        <v>8902</v>
      </c>
      <c r="D5301" t="s">
        <v>19038</v>
      </c>
      <c r="E5301" t="s">
        <v>23775</v>
      </c>
      <c r="F5301" t="s">
        <v>32831</v>
      </c>
      <c r="G5301" t="s">
        <v>32838</v>
      </c>
      <c r="H5301" t="s">
        <v>32848</v>
      </c>
      <c r="I5301" t="s">
        <v>7751</v>
      </c>
      <c r="J5301" t="s">
        <v>33031</v>
      </c>
      <c r="K5301" t="s">
        <v>42732</v>
      </c>
      <c r="M5301" t="s">
        <v>44002</v>
      </c>
      <c r="N5301" t="s">
        <v>47424</v>
      </c>
      <c r="O5301" t="s">
        <v>47425</v>
      </c>
      <c r="P5301">
        <v>0</v>
      </c>
      <c r="Q5301">
        <v>0</v>
      </c>
      <c r="R5301" t="s">
        <v>47430</v>
      </c>
      <c r="S5301" t="s">
        <v>47549</v>
      </c>
      <c r="T5301" t="s">
        <v>49166</v>
      </c>
      <c r="U5301" t="s">
        <v>54169</v>
      </c>
      <c r="W5301" t="s">
        <v>44002</v>
      </c>
      <c r="X5301" t="s">
        <v>47431</v>
      </c>
    </row>
    <row r="5302" spans="1:24">
      <c r="A5302">
        <f>HYPERLINK("https://www.philgeps.gov.ph/GEPSNONPILOT/Tender/SplashBidNoticeAbstractUI.aspx?menuIndex=3&amp;refID=7160686&amp;Result=3","7160686")</f>
        <v>0</v>
      </c>
      <c r="B5302" t="s">
        <v>1986</v>
      </c>
      <c r="C5302" t="s">
        <v>8903</v>
      </c>
      <c r="D5302" t="s">
        <v>19043</v>
      </c>
      <c r="E5302" t="s">
        <v>23776</v>
      </c>
      <c r="F5302" t="s">
        <v>32831</v>
      </c>
      <c r="G5302" t="s">
        <v>32839</v>
      </c>
      <c r="H5302" t="s">
        <v>32850</v>
      </c>
      <c r="I5302" t="s">
        <v>7751</v>
      </c>
      <c r="J5302" t="s">
        <v>33553</v>
      </c>
      <c r="K5302" t="s">
        <v>42747</v>
      </c>
      <c r="M5302" t="s">
        <v>45148</v>
      </c>
      <c r="N5302" t="s">
        <v>47424</v>
      </c>
      <c r="O5302" t="s">
        <v>47425</v>
      </c>
      <c r="Q5302">
        <v>6</v>
      </c>
      <c r="R5302" t="s">
        <v>47430</v>
      </c>
      <c r="S5302" t="s">
        <v>47556</v>
      </c>
      <c r="T5302" t="s">
        <v>49210</v>
      </c>
      <c r="U5302" t="s">
        <v>54170</v>
      </c>
      <c r="V5302" t="s">
        <v>63210</v>
      </c>
      <c r="W5302" t="s">
        <v>45148</v>
      </c>
      <c r="X5302" t="s">
        <v>47431</v>
      </c>
    </row>
    <row r="5303" spans="1:24">
      <c r="A5303">
        <f>HYPERLINK("https://www.philgeps.gov.ph/GEPSNONPILOT/Tender/SplashBidNoticeAbstractUI.aspx?menuIndex=3&amp;refID=7160757&amp;Result=3","7160757")</f>
        <v>0</v>
      </c>
      <c r="B5303" t="s">
        <v>1406</v>
      </c>
      <c r="C5303" t="s">
        <v>8904</v>
      </c>
      <c r="D5303" t="s">
        <v>19034</v>
      </c>
      <c r="E5303" t="s">
        <v>23777</v>
      </c>
      <c r="F5303" t="s">
        <v>32831</v>
      </c>
      <c r="G5303" t="s">
        <v>32838</v>
      </c>
      <c r="H5303" t="s">
        <v>32848</v>
      </c>
      <c r="I5303" t="s">
        <v>7878</v>
      </c>
      <c r="J5303" t="s">
        <v>36375</v>
      </c>
      <c r="K5303" t="s">
        <v>42759</v>
      </c>
      <c r="M5303" t="s">
        <v>44492</v>
      </c>
      <c r="N5303" t="s">
        <v>47424</v>
      </c>
      <c r="O5303" t="s">
        <v>47425</v>
      </c>
      <c r="P5303">
        <v>0</v>
      </c>
      <c r="Q5303">
        <v>0</v>
      </c>
      <c r="R5303" t="s">
        <v>47430</v>
      </c>
      <c r="S5303" t="s">
        <v>47549</v>
      </c>
      <c r="T5303" t="s">
        <v>49235</v>
      </c>
      <c r="U5303" t="s">
        <v>54171</v>
      </c>
      <c r="W5303" t="s">
        <v>44492</v>
      </c>
      <c r="X5303" t="s">
        <v>47431</v>
      </c>
    </row>
    <row r="5304" spans="1:24">
      <c r="A5304">
        <f>HYPERLINK("https://www.philgeps.gov.ph/GEPSNONPILOT/Tender/SplashBidNoticeAbstractUI.aspx?menuIndex=3&amp;refID=7160842&amp;Result=3","7160842")</f>
        <v>0</v>
      </c>
      <c r="B5304" t="s">
        <v>1823</v>
      </c>
      <c r="C5304" t="s">
        <v>8905</v>
      </c>
      <c r="D5304" t="s">
        <v>19100</v>
      </c>
      <c r="E5304" t="s">
        <v>23778</v>
      </c>
      <c r="F5304" t="s">
        <v>32831</v>
      </c>
      <c r="G5304" t="s">
        <v>32838</v>
      </c>
      <c r="H5304" t="s">
        <v>32848</v>
      </c>
      <c r="I5304" t="s">
        <v>32852</v>
      </c>
      <c r="J5304" t="s">
        <v>33026</v>
      </c>
      <c r="K5304" t="s">
        <v>42727</v>
      </c>
      <c r="M5304" t="s">
        <v>44956</v>
      </c>
      <c r="N5304" t="s">
        <v>47424</v>
      </c>
      <c r="O5304" t="s">
        <v>47425</v>
      </c>
      <c r="P5304">
        <v>0</v>
      </c>
      <c r="Q5304">
        <v>0</v>
      </c>
      <c r="R5304" t="s">
        <v>47430</v>
      </c>
      <c r="S5304" t="s">
        <v>47549</v>
      </c>
      <c r="T5304" t="s">
        <v>49243</v>
      </c>
      <c r="U5304" t="s">
        <v>54172</v>
      </c>
      <c r="W5304" t="s">
        <v>44956</v>
      </c>
      <c r="X5304" t="s">
        <v>47431</v>
      </c>
    </row>
    <row r="5305" spans="1:24">
      <c r="A5305">
        <f>HYPERLINK("https://www.philgeps.gov.ph/GEPSNONPILOT/Tender/SplashBidNoticeAbstractUI.aspx?menuIndex=3&amp;refID=7160690&amp;Result=3","7160690")</f>
        <v>0</v>
      </c>
      <c r="B5305" t="s">
        <v>762</v>
      </c>
      <c r="C5305" t="s">
        <v>8906</v>
      </c>
      <c r="E5305" t="s">
        <v>23779</v>
      </c>
      <c r="F5305" t="s">
        <v>32831</v>
      </c>
      <c r="G5305" t="s">
        <v>32838</v>
      </c>
      <c r="H5305" t="s">
        <v>32848</v>
      </c>
      <c r="I5305" t="s">
        <v>4438</v>
      </c>
      <c r="J5305" t="s">
        <v>36376</v>
      </c>
      <c r="K5305" t="s">
        <v>42732</v>
      </c>
      <c r="M5305" t="s">
        <v>44842</v>
      </c>
      <c r="N5305" t="s">
        <v>47424</v>
      </c>
      <c r="O5305" t="s">
        <v>47425</v>
      </c>
      <c r="P5305">
        <v>0</v>
      </c>
      <c r="Q5305">
        <v>0</v>
      </c>
      <c r="R5305" t="s">
        <v>47430</v>
      </c>
      <c r="S5305" t="s">
        <v>47549</v>
      </c>
      <c r="T5305" t="s">
        <v>49104</v>
      </c>
      <c r="U5305" t="s">
        <v>53256</v>
      </c>
      <c r="W5305" t="s">
        <v>44842</v>
      </c>
      <c r="X5305" t="s">
        <v>47431</v>
      </c>
    </row>
    <row r="5306" spans="1:24">
      <c r="A5306">
        <f>HYPERLINK("https://www.philgeps.gov.ph/GEPSNONPILOT/Tender/SplashBidNoticeAbstractUI.aspx?menuIndex=3&amp;refID=7160782&amp;Result=3","7160782")</f>
        <v>0</v>
      </c>
      <c r="B5306" t="s">
        <v>954</v>
      </c>
      <c r="C5306" t="s">
        <v>8907</v>
      </c>
      <c r="D5306" t="s">
        <v>19043</v>
      </c>
      <c r="E5306" t="s">
        <v>23780</v>
      </c>
      <c r="F5306" t="s">
        <v>32831</v>
      </c>
      <c r="G5306" t="s">
        <v>32839</v>
      </c>
      <c r="H5306" t="s">
        <v>32848</v>
      </c>
      <c r="I5306" t="s">
        <v>4487</v>
      </c>
      <c r="J5306" t="s">
        <v>33039</v>
      </c>
      <c r="K5306" t="s">
        <v>42726</v>
      </c>
      <c r="M5306" t="s">
        <v>44000</v>
      </c>
      <c r="N5306" t="s">
        <v>47424</v>
      </c>
      <c r="O5306" t="s">
        <v>47425</v>
      </c>
      <c r="P5306">
        <v>0</v>
      </c>
      <c r="Q5306">
        <v>3</v>
      </c>
      <c r="R5306" t="s">
        <v>47430</v>
      </c>
      <c r="S5306" t="s">
        <v>47549</v>
      </c>
      <c r="T5306" t="s">
        <v>49376</v>
      </c>
      <c r="U5306" t="s">
        <v>54173</v>
      </c>
      <c r="V5306" t="s">
        <v>63079</v>
      </c>
      <c r="W5306" t="s">
        <v>44000</v>
      </c>
      <c r="X5306" t="s">
        <v>47431</v>
      </c>
    </row>
    <row r="5307" spans="1:24">
      <c r="A5307">
        <f>HYPERLINK("https://www.philgeps.gov.ph/GEPSNONPILOT/Tender/SplashBidNoticeAbstractUI.aspx?menuIndex=3&amp;refID=7160796&amp;Result=3","7160796")</f>
        <v>0</v>
      </c>
      <c r="B5307" t="s">
        <v>1977</v>
      </c>
      <c r="C5307" t="s">
        <v>8908</v>
      </c>
      <c r="D5307" t="s">
        <v>19073</v>
      </c>
      <c r="E5307" t="s">
        <v>23781</v>
      </c>
      <c r="F5307" t="s">
        <v>32831</v>
      </c>
      <c r="G5307" t="s">
        <v>32838</v>
      </c>
      <c r="H5307" t="s">
        <v>32848</v>
      </c>
      <c r="I5307" t="s">
        <v>4438</v>
      </c>
      <c r="J5307" t="s">
        <v>36377</v>
      </c>
      <c r="K5307" t="s">
        <v>42732</v>
      </c>
      <c r="M5307" t="s">
        <v>45149</v>
      </c>
      <c r="N5307" t="s">
        <v>47424</v>
      </c>
      <c r="O5307" t="s">
        <v>47425</v>
      </c>
      <c r="P5307">
        <v>0</v>
      </c>
      <c r="Q5307">
        <v>1</v>
      </c>
      <c r="R5307" t="s">
        <v>47430</v>
      </c>
      <c r="S5307" t="s">
        <v>47549</v>
      </c>
      <c r="T5307" t="s">
        <v>49239</v>
      </c>
      <c r="U5307" t="s">
        <v>54137</v>
      </c>
      <c r="W5307" t="s">
        <v>45149</v>
      </c>
      <c r="X5307" t="s">
        <v>47431</v>
      </c>
    </row>
    <row r="5308" spans="1:24">
      <c r="A5308">
        <f>HYPERLINK("https://www.philgeps.gov.ph/GEPSNONPILOT/Tender/SplashBidNoticeAbstractUI.aspx?menuIndex=3&amp;refID=7160771&amp;Result=3","7160771")</f>
        <v>0</v>
      </c>
      <c r="B5308" t="s">
        <v>1987</v>
      </c>
      <c r="C5308" t="s">
        <v>8909</v>
      </c>
      <c r="D5308" t="s">
        <v>19027</v>
      </c>
      <c r="E5308" t="s">
        <v>23782</v>
      </c>
      <c r="F5308" t="s">
        <v>32831</v>
      </c>
      <c r="G5308" t="s">
        <v>32839</v>
      </c>
      <c r="H5308" t="s">
        <v>32849</v>
      </c>
      <c r="I5308" t="s">
        <v>4177</v>
      </c>
      <c r="J5308" t="s">
        <v>36378</v>
      </c>
      <c r="K5308" t="s">
        <v>42746</v>
      </c>
      <c r="M5308" t="s">
        <v>45150</v>
      </c>
      <c r="N5308" t="s">
        <v>47424</v>
      </c>
      <c r="O5308" t="s">
        <v>47425</v>
      </c>
      <c r="P5308">
        <v>0</v>
      </c>
      <c r="Q5308">
        <v>2</v>
      </c>
      <c r="R5308" t="s">
        <v>47430</v>
      </c>
      <c r="S5308" t="s">
        <v>47549</v>
      </c>
      <c r="T5308" t="s">
        <v>49334</v>
      </c>
      <c r="U5308" t="s">
        <v>54174</v>
      </c>
      <c r="W5308" t="s">
        <v>45150</v>
      </c>
      <c r="X5308" t="s">
        <v>47431</v>
      </c>
    </row>
    <row r="5309" spans="1:24">
      <c r="A5309">
        <f>HYPERLINK("https://www.philgeps.gov.ph/GEPSNONPILOT/Tender/SplashBidNoticeAbstractUI.aspx?menuIndex=3&amp;refID=7160837&amp;Result=3","7160837")</f>
        <v>0</v>
      </c>
      <c r="B5309" t="s">
        <v>1937</v>
      </c>
      <c r="C5309" t="s">
        <v>8910</v>
      </c>
      <c r="D5309" t="s">
        <v>19093</v>
      </c>
      <c r="E5309" t="s">
        <v>23783</v>
      </c>
      <c r="F5309" t="s">
        <v>32831</v>
      </c>
      <c r="G5309" t="s">
        <v>32839</v>
      </c>
      <c r="H5309" t="s">
        <v>32849</v>
      </c>
      <c r="I5309" t="s">
        <v>4177</v>
      </c>
      <c r="J5309" t="s">
        <v>36379</v>
      </c>
      <c r="K5309" t="s">
        <v>42770</v>
      </c>
      <c r="M5309" t="s">
        <v>45092</v>
      </c>
      <c r="N5309" t="s">
        <v>47424</v>
      </c>
      <c r="O5309" t="s">
        <v>47425</v>
      </c>
      <c r="P5309">
        <v>0</v>
      </c>
      <c r="Q5309">
        <v>0</v>
      </c>
      <c r="R5309" t="s">
        <v>47430</v>
      </c>
      <c r="S5309" t="s">
        <v>47549</v>
      </c>
      <c r="T5309" t="s">
        <v>49319</v>
      </c>
      <c r="U5309" t="s">
        <v>53983</v>
      </c>
      <c r="V5309" t="s">
        <v>63211</v>
      </c>
      <c r="W5309" t="s">
        <v>45092</v>
      </c>
      <c r="X5309" t="s">
        <v>47431</v>
      </c>
    </row>
    <row r="5310" spans="1:24">
      <c r="A5310">
        <f>HYPERLINK("https://www.philgeps.gov.ph/GEPSNONPILOT/Tender/SplashBidNoticeAbstractUI.aspx?menuIndex=3&amp;refID=7160828&amp;Result=3","7160828")</f>
        <v>0</v>
      </c>
      <c r="B5310" t="s">
        <v>793</v>
      </c>
      <c r="C5310" t="s">
        <v>8911</v>
      </c>
      <c r="D5310" t="s">
        <v>19048</v>
      </c>
      <c r="E5310" t="s">
        <v>23784</v>
      </c>
      <c r="F5310" t="s">
        <v>32831</v>
      </c>
      <c r="G5310" t="s">
        <v>32838</v>
      </c>
      <c r="H5310" t="s">
        <v>32848</v>
      </c>
      <c r="I5310" t="s">
        <v>32863</v>
      </c>
      <c r="J5310" t="s">
        <v>36380</v>
      </c>
      <c r="K5310" t="s">
        <v>42738</v>
      </c>
      <c r="M5310" t="s">
        <v>43823</v>
      </c>
      <c r="N5310" t="s">
        <v>47424</v>
      </c>
      <c r="O5310" t="s">
        <v>47425</v>
      </c>
      <c r="P5310">
        <v>0</v>
      </c>
      <c r="Q5310">
        <v>0</v>
      </c>
      <c r="R5310" t="s">
        <v>47430</v>
      </c>
      <c r="S5310" t="s">
        <v>47549</v>
      </c>
      <c r="T5310" t="s">
        <v>49123</v>
      </c>
      <c r="U5310" t="s">
        <v>54175</v>
      </c>
      <c r="W5310" t="s">
        <v>43823</v>
      </c>
      <c r="X5310" t="s">
        <v>47431</v>
      </c>
    </row>
    <row r="5311" spans="1:24">
      <c r="A5311">
        <f>HYPERLINK("https://www.philgeps.gov.ph/GEPSNONPILOT/Tender/SplashBidNoticeAbstractUI.aspx?menuIndex=3&amp;refID=7160827&amp;Result=3","7160827")</f>
        <v>0</v>
      </c>
      <c r="B5311" t="s">
        <v>936</v>
      </c>
      <c r="C5311" t="s">
        <v>8912</v>
      </c>
      <c r="D5311" t="s">
        <v>19088</v>
      </c>
      <c r="E5311" t="s">
        <v>23785</v>
      </c>
      <c r="F5311" t="s">
        <v>32831</v>
      </c>
      <c r="G5311" t="s">
        <v>32839</v>
      </c>
      <c r="H5311" t="s">
        <v>32849</v>
      </c>
      <c r="I5311" t="s">
        <v>4177</v>
      </c>
      <c r="J5311" t="s">
        <v>33249</v>
      </c>
      <c r="K5311" t="s">
        <v>42732</v>
      </c>
      <c r="M5311" t="s">
        <v>43978</v>
      </c>
      <c r="N5311" t="s">
        <v>47424</v>
      </c>
      <c r="O5311" t="s">
        <v>47425</v>
      </c>
      <c r="P5311">
        <v>0</v>
      </c>
      <c r="Q5311">
        <v>0</v>
      </c>
      <c r="R5311" t="s">
        <v>47430</v>
      </c>
      <c r="S5311" t="s">
        <v>47549</v>
      </c>
      <c r="T5311" t="s">
        <v>49089</v>
      </c>
      <c r="U5311" t="s">
        <v>54176</v>
      </c>
      <c r="W5311" t="s">
        <v>43978</v>
      </c>
      <c r="X5311" t="s">
        <v>47431</v>
      </c>
    </row>
    <row r="5312" spans="1:24">
      <c r="A5312">
        <f>HYPERLINK("https://www.philgeps.gov.ph/GEPSNONPILOT/Tender/SplashBidNoticeAbstractUI.aspx?menuIndex=3&amp;refID=7160685&amp;Result=3","7160685")</f>
        <v>0</v>
      </c>
      <c r="B5312" t="s">
        <v>1845</v>
      </c>
      <c r="C5312" t="s">
        <v>8876</v>
      </c>
      <c r="D5312" t="s">
        <v>19057</v>
      </c>
      <c r="E5312" t="s">
        <v>23786</v>
      </c>
      <c r="F5312" t="s">
        <v>32831</v>
      </c>
      <c r="G5312" t="s">
        <v>32838</v>
      </c>
      <c r="H5312" t="s">
        <v>32848</v>
      </c>
      <c r="I5312" t="s">
        <v>4222</v>
      </c>
      <c r="J5312" t="s">
        <v>36381</v>
      </c>
      <c r="K5312" t="s">
        <v>42732</v>
      </c>
      <c r="M5312" t="s">
        <v>44980</v>
      </c>
      <c r="N5312" t="s">
        <v>47424</v>
      </c>
      <c r="O5312" t="s">
        <v>47425</v>
      </c>
      <c r="P5312">
        <v>0</v>
      </c>
      <c r="Q5312">
        <v>2</v>
      </c>
      <c r="R5312" t="s">
        <v>47430</v>
      </c>
      <c r="S5312" t="s">
        <v>47549</v>
      </c>
      <c r="T5312" t="s">
        <v>49205</v>
      </c>
      <c r="U5312" t="s">
        <v>54144</v>
      </c>
      <c r="W5312" t="s">
        <v>44980</v>
      </c>
      <c r="X5312" t="s">
        <v>47431</v>
      </c>
    </row>
    <row r="5313" spans="1:24">
      <c r="A5313">
        <f>HYPERLINK("https://www.philgeps.gov.ph/GEPSNONPILOT/Tender/SplashBidNoticeAbstractUI.aspx?menuIndex=3&amp;refID=7160826&amp;Result=3","7160826")</f>
        <v>0</v>
      </c>
      <c r="B5313" t="s">
        <v>693</v>
      </c>
      <c r="C5313" t="s">
        <v>8913</v>
      </c>
      <c r="D5313" t="s">
        <v>19073</v>
      </c>
      <c r="E5313" t="s">
        <v>20444</v>
      </c>
      <c r="F5313" t="s">
        <v>32831</v>
      </c>
      <c r="G5313" t="s">
        <v>32838</v>
      </c>
      <c r="H5313" t="s">
        <v>32848</v>
      </c>
      <c r="I5313" t="s">
        <v>32912</v>
      </c>
      <c r="J5313" t="s">
        <v>36382</v>
      </c>
      <c r="K5313" t="s">
        <v>42731</v>
      </c>
      <c r="M5313" t="s">
        <v>43712</v>
      </c>
      <c r="N5313" t="s">
        <v>47424</v>
      </c>
      <c r="O5313" t="s">
        <v>47425</v>
      </c>
      <c r="P5313">
        <v>0</v>
      </c>
      <c r="Q5313">
        <v>0</v>
      </c>
      <c r="R5313" t="s">
        <v>47430</v>
      </c>
      <c r="S5313" t="s">
        <v>47549</v>
      </c>
      <c r="T5313" t="s">
        <v>49108</v>
      </c>
      <c r="U5313" t="s">
        <v>54177</v>
      </c>
      <c r="W5313" t="s">
        <v>43712</v>
      </c>
      <c r="X5313" t="s">
        <v>47431</v>
      </c>
    </row>
    <row r="5314" spans="1:24">
      <c r="A5314">
        <f>HYPERLINK("https://www.philgeps.gov.ph/GEPSNONPILOT/Tender/SplashBidNoticeAbstractUI.aspx?menuIndex=3&amp;refID=7160823&amp;Result=3","7160823")</f>
        <v>0</v>
      </c>
      <c r="B5314" t="s">
        <v>827</v>
      </c>
      <c r="C5314" t="s">
        <v>8914</v>
      </c>
      <c r="D5314" t="s">
        <v>19026</v>
      </c>
      <c r="E5314" t="s">
        <v>23787</v>
      </c>
      <c r="F5314" t="s">
        <v>32831</v>
      </c>
      <c r="G5314" t="s">
        <v>32838</v>
      </c>
      <c r="H5314" t="s">
        <v>32848</v>
      </c>
      <c r="I5314" t="s">
        <v>10805</v>
      </c>
      <c r="J5314" t="s">
        <v>36383</v>
      </c>
      <c r="K5314" t="s">
        <v>42726</v>
      </c>
      <c r="M5314" t="s">
        <v>44930</v>
      </c>
      <c r="N5314" t="s">
        <v>47424</v>
      </c>
      <c r="O5314" t="s">
        <v>47425</v>
      </c>
      <c r="P5314">
        <v>0</v>
      </c>
      <c r="Q5314">
        <v>1</v>
      </c>
      <c r="R5314" t="s">
        <v>47430</v>
      </c>
      <c r="S5314" t="s">
        <v>47549</v>
      </c>
      <c r="T5314" t="s">
        <v>49150</v>
      </c>
      <c r="U5314" t="s">
        <v>54178</v>
      </c>
      <c r="W5314" t="s">
        <v>44930</v>
      </c>
      <c r="X5314" t="s">
        <v>47431</v>
      </c>
    </row>
    <row r="5315" spans="1:24">
      <c r="A5315">
        <f>HYPERLINK("https://www.philgeps.gov.ph/GEPSNONPILOT/Tender/SplashBidNoticeAbstractUI.aspx?menuIndex=3&amp;refID=7160835&amp;Result=3","7160835")</f>
        <v>0</v>
      </c>
      <c r="B5315" t="s">
        <v>1894</v>
      </c>
      <c r="C5315" t="s">
        <v>8915</v>
      </c>
      <c r="D5315" t="s">
        <v>19031</v>
      </c>
      <c r="E5315" t="s">
        <v>23788</v>
      </c>
      <c r="F5315" t="s">
        <v>32831</v>
      </c>
      <c r="G5315" t="s">
        <v>32838</v>
      </c>
      <c r="H5315" t="s">
        <v>32848</v>
      </c>
      <c r="I5315" t="s">
        <v>32883</v>
      </c>
      <c r="J5315" t="s">
        <v>33041</v>
      </c>
      <c r="K5315" t="s">
        <v>42730</v>
      </c>
      <c r="M5315" t="s">
        <v>45041</v>
      </c>
      <c r="N5315" t="s">
        <v>47424</v>
      </c>
      <c r="O5315" t="s">
        <v>47425</v>
      </c>
      <c r="P5315">
        <v>0</v>
      </c>
      <c r="Q5315">
        <v>0</v>
      </c>
      <c r="R5315" t="s">
        <v>47430</v>
      </c>
      <c r="S5315" t="s">
        <v>47549</v>
      </c>
      <c r="T5315" t="s">
        <v>49108</v>
      </c>
      <c r="U5315" t="s">
        <v>53972</v>
      </c>
      <c r="W5315" t="s">
        <v>45041</v>
      </c>
      <c r="X5315" t="s">
        <v>47431</v>
      </c>
    </row>
    <row r="5316" spans="1:24">
      <c r="A5316">
        <f>HYPERLINK("https://www.philgeps.gov.ph/GEPSNONPILOT/Tender/SplashBidNoticeAbstractUI.aspx?menuIndex=3&amp;refID=7160822&amp;Result=3","7160822")</f>
        <v>0</v>
      </c>
      <c r="B5316" t="s">
        <v>689</v>
      </c>
      <c r="C5316" t="s">
        <v>8916</v>
      </c>
      <c r="E5316" t="s">
        <v>23789</v>
      </c>
      <c r="F5316" t="s">
        <v>32831</v>
      </c>
      <c r="G5316" t="s">
        <v>32839</v>
      </c>
      <c r="H5316" t="s">
        <v>32848</v>
      </c>
      <c r="I5316" t="s">
        <v>32864</v>
      </c>
      <c r="J5316" t="s">
        <v>36384</v>
      </c>
      <c r="K5316" t="s">
        <v>42732</v>
      </c>
      <c r="M5316" t="s">
        <v>45151</v>
      </c>
      <c r="N5316" t="s">
        <v>47424</v>
      </c>
      <c r="O5316" t="s">
        <v>47425</v>
      </c>
      <c r="P5316">
        <v>0</v>
      </c>
      <c r="Q5316">
        <v>11</v>
      </c>
      <c r="R5316" t="s">
        <v>47430</v>
      </c>
      <c r="S5316" t="s">
        <v>47549</v>
      </c>
      <c r="T5316" t="s">
        <v>49188</v>
      </c>
      <c r="U5316" t="s">
        <v>54179</v>
      </c>
      <c r="W5316" t="s">
        <v>45151</v>
      </c>
      <c r="X5316" t="s">
        <v>47431</v>
      </c>
    </row>
    <row r="5317" spans="1:24">
      <c r="A5317">
        <f>HYPERLINK("https://www.philgeps.gov.ph/GEPSNONPILOT/Tender/SplashBidNoticeAbstractUI.aspx?menuIndex=3&amp;refID=7160820&amp;Result=3","7160820")</f>
        <v>0</v>
      </c>
      <c r="B5317" t="s">
        <v>1976</v>
      </c>
      <c r="C5317" t="s">
        <v>8917</v>
      </c>
      <c r="D5317" t="s">
        <v>19034</v>
      </c>
      <c r="E5317" t="s">
        <v>23790</v>
      </c>
      <c r="F5317" t="s">
        <v>32831</v>
      </c>
      <c r="G5317" t="s">
        <v>32839</v>
      </c>
      <c r="H5317" t="s">
        <v>32849</v>
      </c>
      <c r="I5317" t="s">
        <v>4177</v>
      </c>
      <c r="J5317" t="s">
        <v>36385</v>
      </c>
      <c r="K5317" t="s">
        <v>42733</v>
      </c>
      <c r="M5317" t="s">
        <v>45137</v>
      </c>
      <c r="N5317" t="s">
        <v>47424</v>
      </c>
      <c r="O5317" t="s">
        <v>47425</v>
      </c>
      <c r="P5317">
        <v>0</v>
      </c>
      <c r="Q5317">
        <v>0</v>
      </c>
      <c r="R5317" t="s">
        <v>47430</v>
      </c>
      <c r="S5317" t="s">
        <v>47549</v>
      </c>
      <c r="T5317" t="s">
        <v>49077</v>
      </c>
      <c r="U5317" t="s">
        <v>54180</v>
      </c>
      <c r="W5317" t="s">
        <v>45137</v>
      </c>
      <c r="X5317" t="s">
        <v>47431</v>
      </c>
    </row>
    <row r="5318" spans="1:24">
      <c r="A5318">
        <f>HYPERLINK("https://www.philgeps.gov.ph/GEPSNONPILOT/Tender/SplashBidNoticeAbstractUI.aspx?menuIndex=3&amp;refID=7160831&amp;Result=3","7160831")</f>
        <v>0</v>
      </c>
      <c r="B5318" t="s">
        <v>1456</v>
      </c>
      <c r="C5318" t="s">
        <v>8918</v>
      </c>
      <c r="D5318" t="s">
        <v>19075</v>
      </c>
      <c r="E5318" t="s">
        <v>23791</v>
      </c>
      <c r="F5318" t="s">
        <v>32831</v>
      </c>
      <c r="G5318" t="s">
        <v>32839</v>
      </c>
      <c r="H5318" t="s">
        <v>32848</v>
      </c>
      <c r="I5318" t="s">
        <v>32856</v>
      </c>
      <c r="J5318" t="s">
        <v>36386</v>
      </c>
      <c r="K5318" t="s">
        <v>42727</v>
      </c>
      <c r="L5318" t="s">
        <v>1456</v>
      </c>
      <c r="M5318" t="s">
        <v>44548</v>
      </c>
      <c r="N5318" t="s">
        <v>47424</v>
      </c>
      <c r="O5318" t="s">
        <v>47425</v>
      </c>
      <c r="P5318">
        <v>0</v>
      </c>
      <c r="Q5318">
        <v>3</v>
      </c>
      <c r="R5318" t="s">
        <v>47430</v>
      </c>
      <c r="S5318" t="s">
        <v>47549</v>
      </c>
      <c r="T5318" t="s">
        <v>49066</v>
      </c>
      <c r="U5318" t="s">
        <v>53468</v>
      </c>
      <c r="V5318" t="s">
        <v>63206</v>
      </c>
      <c r="W5318" t="s">
        <v>44548</v>
      </c>
      <c r="X5318" t="s">
        <v>47431</v>
      </c>
    </row>
    <row r="5319" spans="1:24">
      <c r="A5319">
        <f>HYPERLINK("https://www.philgeps.gov.ph/GEPSNONPILOT/Tender/SplashBidNoticeAbstractUI.aspx?menuIndex=3&amp;refID=7160825&amp;Result=3","7160825")</f>
        <v>0</v>
      </c>
      <c r="B5319" t="s">
        <v>1988</v>
      </c>
      <c r="C5319" t="s">
        <v>8919</v>
      </c>
      <c r="D5319" t="s">
        <v>19071</v>
      </c>
      <c r="E5319" t="s">
        <v>23792</v>
      </c>
      <c r="F5319" t="s">
        <v>32833</v>
      </c>
      <c r="G5319" t="s">
        <v>32840</v>
      </c>
      <c r="H5319" t="s">
        <v>32848</v>
      </c>
      <c r="I5319" t="s">
        <v>7416</v>
      </c>
      <c r="J5319" t="s">
        <v>36387</v>
      </c>
      <c r="K5319" t="s">
        <v>42727</v>
      </c>
      <c r="M5319" t="s">
        <v>45152</v>
      </c>
      <c r="N5319" t="s">
        <v>47424</v>
      </c>
      <c r="O5319" t="s">
        <v>47425</v>
      </c>
      <c r="P5319">
        <v>0</v>
      </c>
      <c r="Q5319">
        <v>0</v>
      </c>
      <c r="R5319" t="s">
        <v>47430</v>
      </c>
      <c r="S5319" t="s">
        <v>47549</v>
      </c>
      <c r="T5319" t="s">
        <v>49214</v>
      </c>
      <c r="U5319" t="s">
        <v>54181</v>
      </c>
      <c r="W5319" t="s">
        <v>45152</v>
      </c>
      <c r="X5319" t="s">
        <v>47431</v>
      </c>
    </row>
    <row r="5320" spans="1:24">
      <c r="A5320">
        <f>HYPERLINK("https://www.philgeps.gov.ph/GEPSNONPILOT/Tender/SplashBidNoticeAbstractUI.aspx?menuIndex=3&amp;refID=7160784&amp;Result=3","7160784")</f>
        <v>0</v>
      </c>
      <c r="B5320" t="s">
        <v>1989</v>
      </c>
      <c r="C5320" t="s">
        <v>8920</v>
      </c>
      <c r="D5320" t="s">
        <v>19032</v>
      </c>
      <c r="E5320" t="s">
        <v>19219</v>
      </c>
      <c r="F5320" t="s">
        <v>32831</v>
      </c>
      <c r="G5320" t="s">
        <v>32839</v>
      </c>
      <c r="H5320" t="s">
        <v>32849</v>
      </c>
      <c r="I5320" t="s">
        <v>4177</v>
      </c>
      <c r="J5320" t="s">
        <v>36388</v>
      </c>
      <c r="K5320" t="s">
        <v>42746</v>
      </c>
      <c r="M5320" t="s">
        <v>45153</v>
      </c>
      <c r="N5320" t="s">
        <v>47424</v>
      </c>
      <c r="O5320" t="s">
        <v>47425</v>
      </c>
      <c r="P5320">
        <v>0</v>
      </c>
      <c r="Q5320">
        <v>0</v>
      </c>
      <c r="R5320" t="s">
        <v>47430</v>
      </c>
      <c r="S5320" t="s">
        <v>47549</v>
      </c>
      <c r="T5320" t="s">
        <v>49129</v>
      </c>
      <c r="U5320" t="s">
        <v>54182</v>
      </c>
      <c r="W5320" t="s">
        <v>45153</v>
      </c>
      <c r="X5320" t="s">
        <v>47431</v>
      </c>
    </row>
    <row r="5321" spans="1:24">
      <c r="A5321">
        <f>HYPERLINK("https://www.philgeps.gov.ph/GEPSNONPILOT/Tender/SplashBidNoticeAbstractUI.aspx?menuIndex=3&amp;refID=7160877&amp;Result=3","7160877")</f>
        <v>0</v>
      </c>
      <c r="B5321" t="s">
        <v>1423</v>
      </c>
      <c r="C5321" t="s">
        <v>8921</v>
      </c>
      <c r="D5321" t="s">
        <v>19020</v>
      </c>
      <c r="E5321" t="s">
        <v>23793</v>
      </c>
      <c r="F5321" t="s">
        <v>32831</v>
      </c>
      <c r="G5321" t="s">
        <v>32840</v>
      </c>
      <c r="H5321" t="s">
        <v>32848</v>
      </c>
      <c r="I5321" t="s">
        <v>32851</v>
      </c>
      <c r="J5321" t="s">
        <v>36389</v>
      </c>
      <c r="K5321" t="s">
        <v>42758</v>
      </c>
      <c r="M5321" t="s">
        <v>44512</v>
      </c>
      <c r="N5321" t="s">
        <v>47424</v>
      </c>
      <c r="O5321" t="s">
        <v>47425</v>
      </c>
      <c r="P5321">
        <v>0</v>
      </c>
      <c r="Q5321">
        <v>1</v>
      </c>
      <c r="R5321" t="s">
        <v>47430</v>
      </c>
      <c r="S5321" t="s">
        <v>47549</v>
      </c>
      <c r="T5321" t="s">
        <v>49244</v>
      </c>
      <c r="U5321" t="s">
        <v>54183</v>
      </c>
      <c r="W5321" t="s">
        <v>44512</v>
      </c>
      <c r="X5321" t="s">
        <v>47431</v>
      </c>
    </row>
    <row r="5322" spans="1:24">
      <c r="A5322">
        <f>HYPERLINK("https://www.philgeps.gov.ph/GEPSNONPILOT/Tender/SplashBidNoticeAbstractUI.aspx?menuIndex=3&amp;refID=7160824&amp;Result=3","7160824")</f>
        <v>0</v>
      </c>
      <c r="B5322" t="s">
        <v>1077</v>
      </c>
      <c r="C5322" t="s">
        <v>8922</v>
      </c>
      <c r="D5322" t="s">
        <v>19067</v>
      </c>
      <c r="E5322" t="s">
        <v>23794</v>
      </c>
      <c r="F5322" t="s">
        <v>32831</v>
      </c>
      <c r="G5322" t="s">
        <v>32838</v>
      </c>
      <c r="H5322" t="s">
        <v>32848</v>
      </c>
      <c r="I5322" t="s">
        <v>6526</v>
      </c>
      <c r="J5322" t="s">
        <v>33930</v>
      </c>
      <c r="K5322" t="s">
        <v>42727</v>
      </c>
      <c r="M5322" t="s">
        <v>44135</v>
      </c>
      <c r="N5322" t="s">
        <v>47424</v>
      </c>
      <c r="O5322" t="s">
        <v>47425</v>
      </c>
      <c r="P5322">
        <v>0</v>
      </c>
      <c r="Q5322">
        <v>0</v>
      </c>
      <c r="R5322" t="s">
        <v>47430</v>
      </c>
      <c r="S5322" t="s">
        <v>47549</v>
      </c>
      <c r="T5322" t="s">
        <v>49163</v>
      </c>
      <c r="U5322" t="s">
        <v>54184</v>
      </c>
      <c r="V5322" t="s">
        <v>63212</v>
      </c>
      <c r="W5322" t="s">
        <v>44135</v>
      </c>
      <c r="X5322" t="s">
        <v>47431</v>
      </c>
    </row>
    <row r="5323" spans="1:24">
      <c r="A5323">
        <f>HYPERLINK("https://www.philgeps.gov.ph/GEPSNONPILOT/Tender/SplashBidNoticeAbstractUI.aspx?menuIndex=3&amp;refID=7160875&amp;Result=3","7160875")</f>
        <v>0</v>
      </c>
      <c r="B5323" t="s">
        <v>1987</v>
      </c>
      <c r="C5323" t="s">
        <v>8923</v>
      </c>
      <c r="D5323" t="s">
        <v>19027</v>
      </c>
      <c r="E5323" t="s">
        <v>23795</v>
      </c>
      <c r="F5323" t="s">
        <v>32831</v>
      </c>
      <c r="G5323" t="s">
        <v>32839</v>
      </c>
      <c r="H5323" t="s">
        <v>32849</v>
      </c>
      <c r="I5323" t="s">
        <v>4177</v>
      </c>
      <c r="J5323" t="s">
        <v>36378</v>
      </c>
      <c r="K5323" t="s">
        <v>42746</v>
      </c>
      <c r="M5323" t="s">
        <v>45150</v>
      </c>
      <c r="N5323" t="s">
        <v>47424</v>
      </c>
      <c r="O5323" t="s">
        <v>47425</v>
      </c>
      <c r="P5323">
        <v>0</v>
      </c>
      <c r="Q5323">
        <v>2</v>
      </c>
      <c r="R5323" t="s">
        <v>47430</v>
      </c>
      <c r="S5323" t="s">
        <v>47549</v>
      </c>
      <c r="T5323" t="s">
        <v>49334</v>
      </c>
      <c r="U5323" t="s">
        <v>54185</v>
      </c>
      <c r="W5323" t="s">
        <v>45150</v>
      </c>
      <c r="X5323" t="s">
        <v>47431</v>
      </c>
    </row>
    <row r="5324" spans="1:24">
      <c r="A5324">
        <f>HYPERLINK("https://www.philgeps.gov.ph/GEPSNONPILOT/Tender/SplashBidNoticeAbstractUI.aspx?menuIndex=3&amp;refID=7160874&amp;Result=3","7160874")</f>
        <v>0</v>
      </c>
      <c r="B5324" t="s">
        <v>311</v>
      </c>
      <c r="C5324" t="s">
        <v>8924</v>
      </c>
      <c r="D5324" t="s">
        <v>19064</v>
      </c>
      <c r="E5324" t="s">
        <v>23796</v>
      </c>
      <c r="F5324" t="s">
        <v>32831</v>
      </c>
      <c r="G5324" t="s">
        <v>32838</v>
      </c>
      <c r="H5324" t="s">
        <v>32848</v>
      </c>
      <c r="I5324" t="s">
        <v>4558</v>
      </c>
      <c r="J5324" t="s">
        <v>36390</v>
      </c>
      <c r="K5324" t="s">
        <v>42763</v>
      </c>
      <c r="M5324" t="s">
        <v>43313</v>
      </c>
      <c r="N5324" t="s">
        <v>47424</v>
      </c>
      <c r="O5324" t="s">
        <v>47425</v>
      </c>
      <c r="P5324">
        <v>0</v>
      </c>
      <c r="Q5324">
        <v>1</v>
      </c>
      <c r="R5324" t="s">
        <v>47430</v>
      </c>
      <c r="S5324" t="s">
        <v>47549</v>
      </c>
      <c r="T5324" t="s">
        <v>49077</v>
      </c>
      <c r="U5324" t="s">
        <v>54186</v>
      </c>
      <c r="W5324" t="s">
        <v>43313</v>
      </c>
      <c r="X5324" t="s">
        <v>47431</v>
      </c>
    </row>
    <row r="5325" spans="1:24">
      <c r="A5325">
        <f>HYPERLINK("https://www.philgeps.gov.ph/GEPSNONPILOT/Tender/SplashBidNoticeAbstractUI.aspx?menuIndex=3&amp;refID=7160871&amp;Result=3","7160871")</f>
        <v>0</v>
      </c>
      <c r="B5325" t="s">
        <v>1115</v>
      </c>
      <c r="C5325" t="s">
        <v>8925</v>
      </c>
      <c r="D5325" t="s">
        <v>19017</v>
      </c>
      <c r="E5325" t="s">
        <v>23797</v>
      </c>
      <c r="F5325" t="s">
        <v>32831</v>
      </c>
      <c r="G5325" t="s">
        <v>32838</v>
      </c>
      <c r="H5325" t="s">
        <v>32848</v>
      </c>
      <c r="I5325" t="s">
        <v>32852</v>
      </c>
      <c r="J5325" t="s">
        <v>36391</v>
      </c>
      <c r="K5325" t="s">
        <v>42732</v>
      </c>
      <c r="M5325" t="s">
        <v>45154</v>
      </c>
      <c r="N5325" t="s">
        <v>47424</v>
      </c>
      <c r="O5325" t="s">
        <v>47425</v>
      </c>
      <c r="P5325">
        <v>0</v>
      </c>
      <c r="Q5325">
        <v>12</v>
      </c>
      <c r="R5325" t="s">
        <v>47430</v>
      </c>
      <c r="S5325" t="s">
        <v>47549</v>
      </c>
      <c r="T5325" t="s">
        <v>49081</v>
      </c>
      <c r="U5325" t="s">
        <v>52954</v>
      </c>
      <c r="V5325" t="s">
        <v>63213</v>
      </c>
      <c r="W5325" t="s">
        <v>45154</v>
      </c>
      <c r="X5325" t="s">
        <v>47431</v>
      </c>
    </row>
    <row r="5326" spans="1:24">
      <c r="A5326">
        <f>HYPERLINK("https://www.philgeps.gov.ph/GEPSNONPILOT/Tender/SplashBidNoticeAbstractUI.aspx?menuIndex=3&amp;refID=7160866&amp;Result=3","7160866")</f>
        <v>0</v>
      </c>
      <c r="B5326" t="s">
        <v>1596</v>
      </c>
      <c r="C5326" t="s">
        <v>8926</v>
      </c>
      <c r="D5326" t="s">
        <v>19045</v>
      </c>
      <c r="E5326" t="s">
        <v>23798</v>
      </c>
      <c r="F5326" t="s">
        <v>32831</v>
      </c>
      <c r="G5326" t="s">
        <v>32838</v>
      </c>
      <c r="H5326" t="s">
        <v>32848</v>
      </c>
      <c r="I5326" t="s">
        <v>14069</v>
      </c>
      <c r="J5326" t="s">
        <v>33067</v>
      </c>
      <c r="K5326" t="s">
        <v>42757</v>
      </c>
      <c r="M5326" t="s">
        <v>44710</v>
      </c>
      <c r="N5326" t="s">
        <v>47424</v>
      </c>
      <c r="O5326" t="s">
        <v>47425</v>
      </c>
      <c r="P5326">
        <v>0</v>
      </c>
      <c r="Q5326">
        <v>2</v>
      </c>
      <c r="R5326" t="s">
        <v>47430</v>
      </c>
      <c r="S5326" t="s">
        <v>47549</v>
      </c>
      <c r="T5326" t="s">
        <v>49107</v>
      </c>
      <c r="U5326" t="s">
        <v>54187</v>
      </c>
      <c r="W5326" t="s">
        <v>44710</v>
      </c>
      <c r="X5326" t="s">
        <v>47431</v>
      </c>
    </row>
    <row r="5327" spans="1:24">
      <c r="A5327">
        <f>HYPERLINK("https://www.philgeps.gov.ph/GEPSNONPILOT/Tender/SplashBidNoticeAbstractUI.aspx?menuIndex=3&amp;refID=7160865&amp;Result=3","7160865")</f>
        <v>0</v>
      </c>
      <c r="B5327" t="s">
        <v>1823</v>
      </c>
      <c r="C5327" t="s">
        <v>8927</v>
      </c>
      <c r="D5327" t="s">
        <v>19100</v>
      </c>
      <c r="E5327" t="s">
        <v>23799</v>
      </c>
      <c r="F5327" t="s">
        <v>32831</v>
      </c>
      <c r="G5327" t="s">
        <v>32838</v>
      </c>
      <c r="H5327" t="s">
        <v>32848</v>
      </c>
      <c r="I5327" t="s">
        <v>32852</v>
      </c>
      <c r="J5327" t="s">
        <v>33026</v>
      </c>
      <c r="K5327" t="s">
        <v>42727</v>
      </c>
      <c r="M5327" t="s">
        <v>44956</v>
      </c>
      <c r="N5327" t="s">
        <v>47424</v>
      </c>
      <c r="O5327" t="s">
        <v>47425</v>
      </c>
      <c r="P5327">
        <v>0</v>
      </c>
      <c r="Q5327">
        <v>0</v>
      </c>
      <c r="R5327" t="s">
        <v>47430</v>
      </c>
      <c r="S5327" t="s">
        <v>47549</v>
      </c>
      <c r="T5327" t="s">
        <v>49243</v>
      </c>
      <c r="U5327" t="s">
        <v>54172</v>
      </c>
      <c r="W5327" t="s">
        <v>44956</v>
      </c>
      <c r="X5327" t="s">
        <v>47431</v>
      </c>
    </row>
    <row r="5328" spans="1:24">
      <c r="A5328">
        <f>HYPERLINK("https://www.philgeps.gov.ph/GEPSNONPILOT/Tender/SplashBidNoticeAbstractUI.aspx?menuIndex=3&amp;refID=7160864&amp;Result=3","7160864")</f>
        <v>0</v>
      </c>
      <c r="B5328" t="s">
        <v>60</v>
      </c>
      <c r="C5328" t="s">
        <v>8928</v>
      </c>
      <c r="D5328" t="s">
        <v>19042</v>
      </c>
      <c r="E5328" t="s">
        <v>23800</v>
      </c>
      <c r="F5328" t="s">
        <v>32831</v>
      </c>
      <c r="G5328" t="s">
        <v>32839</v>
      </c>
      <c r="H5328" t="s">
        <v>32849</v>
      </c>
      <c r="I5328" t="s">
        <v>4177</v>
      </c>
      <c r="J5328" t="s">
        <v>36392</v>
      </c>
      <c r="K5328" t="s">
        <v>42797</v>
      </c>
      <c r="M5328" t="s">
        <v>43740</v>
      </c>
      <c r="N5328" t="s">
        <v>47424</v>
      </c>
      <c r="O5328" t="s">
        <v>47425</v>
      </c>
      <c r="P5328">
        <v>0</v>
      </c>
      <c r="Q5328">
        <v>0</v>
      </c>
      <c r="R5328" t="s">
        <v>47430</v>
      </c>
      <c r="S5328" t="s">
        <v>47549</v>
      </c>
      <c r="T5328" t="s">
        <v>49358</v>
      </c>
      <c r="U5328" t="s">
        <v>54188</v>
      </c>
      <c r="W5328" t="s">
        <v>43740</v>
      </c>
      <c r="X5328" t="s">
        <v>47431</v>
      </c>
    </row>
    <row r="5329" spans="1:24">
      <c r="A5329">
        <f>HYPERLINK("https://www.philgeps.gov.ph/GEPSNONPILOT/Tender/SplashBidNoticeAbstractUI.aspx?menuIndex=3&amp;refID=7160860&amp;Result=3","7160860")</f>
        <v>0</v>
      </c>
      <c r="B5329" t="s">
        <v>1630</v>
      </c>
      <c r="C5329" t="s">
        <v>8929</v>
      </c>
      <c r="D5329" t="s">
        <v>19021</v>
      </c>
      <c r="E5329" t="s">
        <v>23801</v>
      </c>
      <c r="F5329" t="s">
        <v>32831</v>
      </c>
      <c r="G5329" t="s">
        <v>32839</v>
      </c>
      <c r="H5329" t="s">
        <v>32848</v>
      </c>
      <c r="I5329" t="s">
        <v>7416</v>
      </c>
      <c r="J5329" t="s">
        <v>36393</v>
      </c>
      <c r="K5329" t="s">
        <v>42730</v>
      </c>
      <c r="M5329" t="s">
        <v>44746</v>
      </c>
      <c r="N5329" t="s">
        <v>47424</v>
      </c>
      <c r="O5329" t="s">
        <v>47425</v>
      </c>
      <c r="P5329">
        <v>0</v>
      </c>
      <c r="Q5329">
        <v>4</v>
      </c>
      <c r="R5329" t="s">
        <v>47430</v>
      </c>
      <c r="S5329" t="s">
        <v>47549</v>
      </c>
      <c r="T5329" t="s">
        <v>49139</v>
      </c>
      <c r="U5329" t="s">
        <v>54189</v>
      </c>
      <c r="W5329" t="s">
        <v>44746</v>
      </c>
      <c r="X5329" t="s">
        <v>47431</v>
      </c>
    </row>
    <row r="5330" spans="1:24">
      <c r="A5330">
        <f>HYPERLINK("https://www.philgeps.gov.ph/GEPSNONPILOT/Tender/SplashBidNoticeAbstractUI.aspx?menuIndex=3&amp;refID=7160818&amp;Result=3","7160818")</f>
        <v>0</v>
      </c>
      <c r="B5330" t="s">
        <v>1014</v>
      </c>
      <c r="C5330" t="s">
        <v>8930</v>
      </c>
      <c r="D5330" t="s">
        <v>19100</v>
      </c>
      <c r="E5330" t="s">
        <v>23802</v>
      </c>
      <c r="F5330" t="s">
        <v>32831</v>
      </c>
      <c r="G5330" t="s">
        <v>32840</v>
      </c>
      <c r="H5330" t="s">
        <v>32848</v>
      </c>
      <c r="I5330" t="s">
        <v>9577</v>
      </c>
      <c r="J5330" t="s">
        <v>36394</v>
      </c>
      <c r="K5330" t="s">
        <v>42730</v>
      </c>
      <c r="M5330" t="s">
        <v>45155</v>
      </c>
      <c r="N5330" t="s">
        <v>47424</v>
      </c>
      <c r="O5330" t="s">
        <v>47425</v>
      </c>
      <c r="P5330">
        <v>0</v>
      </c>
      <c r="Q5330">
        <v>1</v>
      </c>
      <c r="R5330" t="s">
        <v>47430</v>
      </c>
      <c r="S5330" t="s">
        <v>47549</v>
      </c>
      <c r="T5330" t="s">
        <v>49056</v>
      </c>
      <c r="U5330" t="s">
        <v>54190</v>
      </c>
      <c r="W5330" t="s">
        <v>45155</v>
      </c>
      <c r="X5330" t="s">
        <v>47431</v>
      </c>
    </row>
    <row r="5331" spans="1:24">
      <c r="A5331">
        <f>HYPERLINK("https://www.philgeps.gov.ph/GEPSNONPILOT/Tender/SplashBidNoticeAbstractUI.aspx?menuIndex=3&amp;refID=7160868&amp;Result=3","7160868")</f>
        <v>0</v>
      </c>
      <c r="B5331" t="s">
        <v>1937</v>
      </c>
      <c r="C5331" t="s">
        <v>8931</v>
      </c>
      <c r="D5331" t="s">
        <v>19093</v>
      </c>
      <c r="E5331" t="s">
        <v>23803</v>
      </c>
      <c r="F5331" t="s">
        <v>32831</v>
      </c>
      <c r="G5331" t="s">
        <v>32839</v>
      </c>
      <c r="H5331" t="s">
        <v>32849</v>
      </c>
      <c r="I5331" t="s">
        <v>4177</v>
      </c>
      <c r="J5331" t="s">
        <v>36395</v>
      </c>
      <c r="K5331" t="s">
        <v>42768</v>
      </c>
      <c r="M5331" t="s">
        <v>45092</v>
      </c>
      <c r="N5331" t="s">
        <v>47424</v>
      </c>
      <c r="O5331" t="s">
        <v>47425</v>
      </c>
      <c r="P5331">
        <v>0</v>
      </c>
      <c r="Q5331">
        <v>0</v>
      </c>
      <c r="R5331" t="s">
        <v>47430</v>
      </c>
      <c r="S5331" t="s">
        <v>47549</v>
      </c>
      <c r="T5331" t="s">
        <v>49319</v>
      </c>
      <c r="U5331" t="s">
        <v>53983</v>
      </c>
      <c r="V5331" t="s">
        <v>63214</v>
      </c>
      <c r="W5331" t="s">
        <v>45092</v>
      </c>
      <c r="X5331" t="s">
        <v>47431</v>
      </c>
    </row>
    <row r="5332" spans="1:24">
      <c r="A5332">
        <f>HYPERLINK("https://www.philgeps.gov.ph/GEPSNONPILOT/Tender/SplashBidNoticeAbstractUI.aspx?menuIndex=3&amp;refID=7160854&amp;Result=3","7160854")</f>
        <v>0</v>
      </c>
      <c r="B5332" t="s">
        <v>693</v>
      </c>
      <c r="C5332" t="s">
        <v>8932</v>
      </c>
      <c r="D5332" t="s">
        <v>19073</v>
      </c>
      <c r="E5332" t="s">
        <v>20444</v>
      </c>
      <c r="F5332" t="s">
        <v>32831</v>
      </c>
      <c r="G5332" t="s">
        <v>32838</v>
      </c>
      <c r="H5332" t="s">
        <v>32848</v>
      </c>
      <c r="I5332" t="s">
        <v>32859</v>
      </c>
      <c r="J5332" t="s">
        <v>36396</v>
      </c>
      <c r="K5332" t="s">
        <v>42731</v>
      </c>
      <c r="M5332" t="s">
        <v>43712</v>
      </c>
      <c r="N5332" t="s">
        <v>47424</v>
      </c>
      <c r="O5332" t="s">
        <v>47425</v>
      </c>
      <c r="P5332">
        <v>0</v>
      </c>
      <c r="Q5332">
        <v>0</v>
      </c>
      <c r="R5332" t="s">
        <v>47430</v>
      </c>
      <c r="S5332" t="s">
        <v>47549</v>
      </c>
      <c r="T5332" t="s">
        <v>49108</v>
      </c>
      <c r="U5332" t="s">
        <v>54191</v>
      </c>
      <c r="W5332" t="s">
        <v>43712</v>
      </c>
      <c r="X5332" t="s">
        <v>47431</v>
      </c>
    </row>
    <row r="5333" spans="1:24">
      <c r="A5333">
        <f>HYPERLINK("https://www.philgeps.gov.ph/GEPSNONPILOT/Tender/SplashBidNoticeAbstractUI.aspx?menuIndex=3&amp;refID=7160819&amp;Result=3","7160819")</f>
        <v>0</v>
      </c>
      <c r="B5333" t="s">
        <v>1987</v>
      </c>
      <c r="C5333" t="s">
        <v>8933</v>
      </c>
      <c r="D5333" t="s">
        <v>19027</v>
      </c>
      <c r="E5333" t="s">
        <v>23804</v>
      </c>
      <c r="F5333" t="s">
        <v>32831</v>
      </c>
      <c r="G5333" t="s">
        <v>32839</v>
      </c>
      <c r="H5333" t="s">
        <v>32849</v>
      </c>
      <c r="I5333" t="s">
        <v>4177</v>
      </c>
      <c r="J5333" t="s">
        <v>36378</v>
      </c>
      <c r="K5333" t="s">
        <v>42746</v>
      </c>
      <c r="M5333" t="s">
        <v>45150</v>
      </c>
      <c r="N5333" t="s">
        <v>47424</v>
      </c>
      <c r="O5333" t="s">
        <v>47425</v>
      </c>
      <c r="P5333">
        <v>0</v>
      </c>
      <c r="Q5333">
        <v>2</v>
      </c>
      <c r="R5333" t="s">
        <v>47430</v>
      </c>
      <c r="S5333" t="s">
        <v>47549</v>
      </c>
      <c r="T5333" t="s">
        <v>49334</v>
      </c>
      <c r="U5333" t="s">
        <v>54192</v>
      </c>
      <c r="W5333" t="s">
        <v>45150</v>
      </c>
      <c r="X5333" t="s">
        <v>47431</v>
      </c>
    </row>
    <row r="5334" spans="1:24">
      <c r="A5334">
        <f>HYPERLINK("https://www.philgeps.gov.ph/GEPSNONPILOT/Tender/SplashBidNoticeAbstractUI.aspx?menuIndex=3&amp;refID=7160821&amp;Result=3","7160821")</f>
        <v>0</v>
      </c>
      <c r="B5334" t="s">
        <v>451</v>
      </c>
      <c r="C5334" t="s">
        <v>4699</v>
      </c>
      <c r="D5334" t="s">
        <v>19057</v>
      </c>
      <c r="E5334" t="s">
        <v>23805</v>
      </c>
      <c r="F5334" t="s">
        <v>32831</v>
      </c>
      <c r="G5334" t="s">
        <v>32839</v>
      </c>
      <c r="H5334" t="s">
        <v>32848</v>
      </c>
      <c r="I5334" t="s">
        <v>9577</v>
      </c>
      <c r="J5334" t="s">
        <v>36397</v>
      </c>
      <c r="K5334" t="s">
        <v>42732</v>
      </c>
      <c r="M5334" t="s">
        <v>43456</v>
      </c>
      <c r="N5334" t="s">
        <v>47424</v>
      </c>
      <c r="O5334" t="s">
        <v>47425</v>
      </c>
      <c r="P5334">
        <v>0</v>
      </c>
      <c r="Q5334">
        <v>3</v>
      </c>
      <c r="R5334" t="s">
        <v>47430</v>
      </c>
      <c r="S5334" t="s">
        <v>47549</v>
      </c>
      <c r="T5334" t="s">
        <v>49147</v>
      </c>
      <c r="U5334" t="s">
        <v>54193</v>
      </c>
      <c r="V5334" t="s">
        <v>63215</v>
      </c>
      <c r="W5334" t="s">
        <v>43456</v>
      </c>
      <c r="X5334" t="s">
        <v>47431</v>
      </c>
    </row>
    <row r="5335" spans="1:24">
      <c r="A5335">
        <f>HYPERLINK("https://www.philgeps.gov.ph/GEPSNONPILOT/Tender/SplashBidNoticeAbstractUI.aspx?menuIndex=3&amp;refID=7160856&amp;Result=3","7160856")</f>
        <v>0</v>
      </c>
      <c r="B5335" t="s">
        <v>1845</v>
      </c>
      <c r="C5335" t="s">
        <v>8876</v>
      </c>
      <c r="D5335" t="s">
        <v>19057</v>
      </c>
      <c r="E5335" t="s">
        <v>23806</v>
      </c>
      <c r="F5335" t="s">
        <v>32831</v>
      </c>
      <c r="G5335" t="s">
        <v>32838</v>
      </c>
      <c r="H5335" t="s">
        <v>32848</v>
      </c>
      <c r="I5335" t="s">
        <v>32853</v>
      </c>
      <c r="J5335" t="s">
        <v>36398</v>
      </c>
      <c r="K5335" t="s">
        <v>42732</v>
      </c>
      <c r="M5335" t="s">
        <v>44980</v>
      </c>
      <c r="N5335" t="s">
        <v>47424</v>
      </c>
      <c r="O5335" t="s">
        <v>47425</v>
      </c>
      <c r="P5335">
        <v>0</v>
      </c>
      <c r="Q5335">
        <v>1</v>
      </c>
      <c r="R5335" t="s">
        <v>47430</v>
      </c>
      <c r="S5335" t="s">
        <v>47549</v>
      </c>
      <c r="T5335" t="s">
        <v>49205</v>
      </c>
      <c r="U5335" t="s">
        <v>54144</v>
      </c>
      <c r="W5335" t="s">
        <v>44980</v>
      </c>
      <c r="X5335" t="s">
        <v>47431</v>
      </c>
    </row>
    <row r="5336" spans="1:24">
      <c r="A5336">
        <f>HYPERLINK("https://www.philgeps.gov.ph/GEPSNONPILOT/Tender/SplashBidNoticeAbstractUI.aspx?menuIndex=3&amp;refID=7160904&amp;Result=3","7160904")</f>
        <v>0</v>
      </c>
      <c r="B5336" t="s">
        <v>1986</v>
      </c>
      <c r="C5336" t="s">
        <v>8934</v>
      </c>
      <c r="D5336" t="s">
        <v>19043</v>
      </c>
      <c r="E5336" t="s">
        <v>23807</v>
      </c>
      <c r="F5336" t="s">
        <v>32831</v>
      </c>
      <c r="G5336" t="s">
        <v>32839</v>
      </c>
      <c r="H5336" t="s">
        <v>32848</v>
      </c>
      <c r="I5336" t="s">
        <v>9577</v>
      </c>
      <c r="J5336" t="s">
        <v>36399</v>
      </c>
      <c r="K5336" t="s">
        <v>42727</v>
      </c>
      <c r="M5336" t="s">
        <v>45148</v>
      </c>
      <c r="N5336" t="s">
        <v>47424</v>
      </c>
      <c r="O5336" t="s">
        <v>47425</v>
      </c>
      <c r="P5336">
        <v>0</v>
      </c>
      <c r="Q5336">
        <v>1</v>
      </c>
      <c r="R5336" t="s">
        <v>47430</v>
      </c>
      <c r="S5336" t="s">
        <v>47549</v>
      </c>
      <c r="T5336" t="s">
        <v>49210</v>
      </c>
      <c r="U5336" t="s">
        <v>54194</v>
      </c>
      <c r="V5336" t="s">
        <v>63216</v>
      </c>
      <c r="W5336" t="s">
        <v>45148</v>
      </c>
      <c r="X5336" t="s">
        <v>47431</v>
      </c>
    </row>
    <row r="5337" spans="1:24">
      <c r="A5337">
        <f>HYPERLINK("https://www.philgeps.gov.ph/GEPSNONPILOT/Tender/SplashBidNoticeAbstractUI.aspx?menuIndex=3&amp;refID=7160862&amp;Result=3","7160862")</f>
        <v>0</v>
      </c>
      <c r="B5337" t="s">
        <v>1841</v>
      </c>
      <c r="C5337" t="s">
        <v>8935</v>
      </c>
      <c r="D5337" t="s">
        <v>19047</v>
      </c>
      <c r="E5337" t="s">
        <v>23808</v>
      </c>
      <c r="F5337" t="s">
        <v>32831</v>
      </c>
      <c r="G5337" t="s">
        <v>32845</v>
      </c>
      <c r="H5337" t="s">
        <v>32849</v>
      </c>
      <c r="I5337" t="s">
        <v>4177</v>
      </c>
      <c r="J5337" t="s">
        <v>33011</v>
      </c>
      <c r="K5337" t="s">
        <v>42746</v>
      </c>
      <c r="M5337" t="s">
        <v>44975</v>
      </c>
      <c r="N5337" t="s">
        <v>47424</v>
      </c>
      <c r="O5337" t="s">
        <v>47425</v>
      </c>
      <c r="P5337">
        <v>0</v>
      </c>
      <c r="Q5337">
        <v>1</v>
      </c>
      <c r="R5337" t="s">
        <v>47430</v>
      </c>
      <c r="S5337" t="s">
        <v>47549</v>
      </c>
      <c r="T5337" t="s">
        <v>49254</v>
      </c>
      <c r="U5337" t="s">
        <v>53657</v>
      </c>
      <c r="W5337" t="s">
        <v>44975</v>
      </c>
      <c r="X5337" t="s">
        <v>47431</v>
      </c>
    </row>
    <row r="5338" spans="1:24">
      <c r="A5338">
        <f>HYPERLINK("https://www.philgeps.gov.ph/GEPSNONPILOT/Tender/SplashBidNoticeAbstractUI.aspx?menuIndex=3&amp;refID=7160903&amp;Result=3","7160903")</f>
        <v>0</v>
      </c>
      <c r="B5338" t="s">
        <v>460</v>
      </c>
      <c r="C5338" t="s">
        <v>8936</v>
      </c>
      <c r="D5338" t="s">
        <v>19086</v>
      </c>
      <c r="E5338" t="s">
        <v>23809</v>
      </c>
      <c r="F5338" t="s">
        <v>32831</v>
      </c>
      <c r="G5338" t="s">
        <v>32839</v>
      </c>
      <c r="H5338" t="s">
        <v>32848</v>
      </c>
      <c r="I5338" t="s">
        <v>32874</v>
      </c>
      <c r="J5338" t="s">
        <v>36400</v>
      </c>
      <c r="K5338" t="s">
        <v>42732</v>
      </c>
      <c r="M5338" t="s">
        <v>43465</v>
      </c>
      <c r="N5338" t="s">
        <v>47424</v>
      </c>
      <c r="O5338" t="s">
        <v>47425</v>
      </c>
      <c r="P5338">
        <v>0</v>
      </c>
      <c r="Q5338">
        <v>10</v>
      </c>
      <c r="R5338" t="s">
        <v>47430</v>
      </c>
      <c r="S5338" t="s">
        <v>47549</v>
      </c>
      <c r="T5338" t="s">
        <v>49267</v>
      </c>
      <c r="U5338" t="s">
        <v>54195</v>
      </c>
      <c r="V5338" t="s">
        <v>63217</v>
      </c>
      <c r="W5338" t="s">
        <v>43465</v>
      </c>
      <c r="X5338" t="s">
        <v>47431</v>
      </c>
    </row>
    <row r="5339" spans="1:24">
      <c r="A5339">
        <f>HYPERLINK("https://www.philgeps.gov.ph/GEPSNONPILOT/Tender/SplashBidNoticeAbstractUI.aspx?menuIndex=3&amp;refID=7160838&amp;Result=3","7160838")</f>
        <v>0</v>
      </c>
      <c r="B5339" t="s">
        <v>1990</v>
      </c>
      <c r="C5339" t="s">
        <v>8937</v>
      </c>
      <c r="D5339" t="s">
        <v>19075</v>
      </c>
      <c r="E5339" t="s">
        <v>23810</v>
      </c>
      <c r="F5339" t="s">
        <v>32831</v>
      </c>
      <c r="G5339" t="s">
        <v>32838</v>
      </c>
      <c r="H5339" t="s">
        <v>32849</v>
      </c>
      <c r="I5339" t="s">
        <v>4487</v>
      </c>
      <c r="J5339" t="s">
        <v>36401</v>
      </c>
      <c r="K5339" t="s">
        <v>42881</v>
      </c>
      <c r="M5339" t="s">
        <v>45156</v>
      </c>
      <c r="N5339" t="s">
        <v>47424</v>
      </c>
      <c r="O5339" t="s">
        <v>47425</v>
      </c>
      <c r="P5339">
        <v>0</v>
      </c>
      <c r="Q5339">
        <v>2</v>
      </c>
      <c r="R5339" t="s">
        <v>47430</v>
      </c>
      <c r="S5339" t="s">
        <v>47549</v>
      </c>
      <c r="T5339" t="s">
        <v>49056</v>
      </c>
      <c r="U5339" t="s">
        <v>54196</v>
      </c>
      <c r="W5339" t="s">
        <v>45156</v>
      </c>
      <c r="X5339" t="s">
        <v>47431</v>
      </c>
    </row>
    <row r="5340" spans="1:24">
      <c r="A5340">
        <f>HYPERLINK("https://www.philgeps.gov.ph/GEPSNONPILOT/Tender/SplashBidNoticeAbstractUI.aspx?menuIndex=3&amp;refID=7160906&amp;Result=3","7160906")</f>
        <v>0</v>
      </c>
      <c r="B5340" t="s">
        <v>1991</v>
      </c>
      <c r="C5340" t="s">
        <v>8938</v>
      </c>
      <c r="D5340" t="s">
        <v>19044</v>
      </c>
      <c r="E5340" t="s">
        <v>23811</v>
      </c>
      <c r="F5340" t="s">
        <v>32831</v>
      </c>
      <c r="G5340" t="s">
        <v>32839</v>
      </c>
      <c r="H5340" t="s">
        <v>32848</v>
      </c>
      <c r="I5340" t="s">
        <v>32919</v>
      </c>
      <c r="J5340" t="s">
        <v>36402</v>
      </c>
      <c r="K5340" t="s">
        <v>42726</v>
      </c>
      <c r="M5340" t="s">
        <v>45157</v>
      </c>
      <c r="N5340" t="s">
        <v>47424</v>
      </c>
      <c r="O5340" t="s">
        <v>47425</v>
      </c>
      <c r="P5340">
        <v>0</v>
      </c>
      <c r="Q5340">
        <v>0</v>
      </c>
      <c r="R5340" t="s">
        <v>47430</v>
      </c>
      <c r="S5340" t="s">
        <v>47549</v>
      </c>
      <c r="T5340" t="s">
        <v>49291</v>
      </c>
      <c r="U5340" t="s">
        <v>54197</v>
      </c>
      <c r="W5340" t="s">
        <v>45157</v>
      </c>
      <c r="X5340" t="s">
        <v>47431</v>
      </c>
    </row>
    <row r="5341" spans="1:24">
      <c r="A5341">
        <f>HYPERLINK("https://www.philgeps.gov.ph/GEPSNONPILOT/Tender/SplashBidNoticeAbstractUI.aspx?menuIndex=3&amp;refID=7160905&amp;Result=3","7160905")</f>
        <v>0</v>
      </c>
      <c r="B5341" t="s">
        <v>1992</v>
      </c>
      <c r="C5341" t="s">
        <v>8939</v>
      </c>
      <c r="D5341" t="s">
        <v>19103</v>
      </c>
      <c r="E5341" t="s">
        <v>23812</v>
      </c>
      <c r="F5341" t="s">
        <v>32831</v>
      </c>
      <c r="G5341" t="s">
        <v>32838</v>
      </c>
      <c r="H5341" t="s">
        <v>14069</v>
      </c>
      <c r="I5341" t="s">
        <v>5379</v>
      </c>
      <c r="J5341" t="s">
        <v>34012</v>
      </c>
      <c r="K5341" t="s">
        <v>42798</v>
      </c>
      <c r="M5341" t="s">
        <v>45158</v>
      </c>
      <c r="N5341" t="s">
        <v>47424</v>
      </c>
      <c r="O5341" t="s">
        <v>47425</v>
      </c>
      <c r="P5341">
        <v>0</v>
      </c>
      <c r="Q5341">
        <v>0</v>
      </c>
      <c r="R5341" t="s">
        <v>47430</v>
      </c>
      <c r="S5341" t="s">
        <v>47549</v>
      </c>
      <c r="T5341" t="s">
        <v>49235</v>
      </c>
      <c r="U5341" t="s">
        <v>54198</v>
      </c>
      <c r="W5341" t="s">
        <v>45158</v>
      </c>
      <c r="X5341" t="s">
        <v>47431</v>
      </c>
    </row>
    <row r="5342" spans="1:24">
      <c r="A5342">
        <f>HYPERLINK("https://www.philgeps.gov.ph/GEPSNONPILOT/Tender/SplashBidNoticeAbstractUI.aspx?menuIndex=3&amp;refID=7160893&amp;Result=3","7160893")</f>
        <v>0</v>
      </c>
      <c r="B5342" t="s">
        <v>1966</v>
      </c>
      <c r="C5342" t="s">
        <v>8940</v>
      </c>
      <c r="D5342" t="s">
        <v>19017</v>
      </c>
      <c r="E5342" t="s">
        <v>23813</v>
      </c>
      <c r="F5342" t="s">
        <v>32831</v>
      </c>
      <c r="G5342" t="s">
        <v>32838</v>
      </c>
      <c r="H5342" t="s">
        <v>32848</v>
      </c>
      <c r="I5342" t="s">
        <v>32874</v>
      </c>
      <c r="J5342" t="s">
        <v>36403</v>
      </c>
      <c r="K5342" t="s">
        <v>42730</v>
      </c>
      <c r="M5342" t="s">
        <v>45126</v>
      </c>
      <c r="N5342" t="s">
        <v>47424</v>
      </c>
      <c r="O5342" t="s">
        <v>47425</v>
      </c>
      <c r="P5342">
        <v>0</v>
      </c>
      <c r="Q5342">
        <v>17</v>
      </c>
      <c r="R5342" t="s">
        <v>47430</v>
      </c>
      <c r="S5342" t="s">
        <v>47549</v>
      </c>
      <c r="T5342" t="s">
        <v>49061</v>
      </c>
      <c r="U5342" t="s">
        <v>54199</v>
      </c>
      <c r="W5342" t="s">
        <v>45126</v>
      </c>
      <c r="X5342" t="s">
        <v>47431</v>
      </c>
    </row>
    <row r="5343" spans="1:24">
      <c r="A5343">
        <f>HYPERLINK("https://www.philgeps.gov.ph/GEPSNONPILOT/Tender/SplashBidNoticeAbstractUI.aspx?menuIndex=3&amp;refID=7160890&amp;Result=3","7160890")</f>
        <v>0</v>
      </c>
      <c r="B5343" t="s">
        <v>693</v>
      </c>
      <c r="C5343" t="s">
        <v>8941</v>
      </c>
      <c r="D5343" t="s">
        <v>19073</v>
      </c>
      <c r="E5343" t="s">
        <v>20444</v>
      </c>
      <c r="F5343" t="s">
        <v>32831</v>
      </c>
      <c r="G5343" t="s">
        <v>32838</v>
      </c>
      <c r="H5343" t="s">
        <v>32848</v>
      </c>
      <c r="I5343" t="s">
        <v>32912</v>
      </c>
      <c r="J5343" t="s">
        <v>34203</v>
      </c>
      <c r="K5343" t="s">
        <v>42731</v>
      </c>
      <c r="M5343" t="s">
        <v>43712</v>
      </c>
      <c r="N5343" t="s">
        <v>47424</v>
      </c>
      <c r="O5343" t="s">
        <v>47425</v>
      </c>
      <c r="P5343">
        <v>0</v>
      </c>
      <c r="Q5343">
        <v>0</v>
      </c>
      <c r="R5343" t="s">
        <v>47430</v>
      </c>
      <c r="S5343" t="s">
        <v>47549</v>
      </c>
      <c r="T5343" t="s">
        <v>49108</v>
      </c>
      <c r="U5343" t="s">
        <v>54200</v>
      </c>
      <c r="W5343" t="s">
        <v>43712</v>
      </c>
      <c r="X5343" t="s">
        <v>47431</v>
      </c>
    </row>
    <row r="5344" spans="1:24">
      <c r="A5344">
        <f>HYPERLINK("https://www.philgeps.gov.ph/GEPSNONPILOT/Tender/SplashBidNoticeAbstractUI.aspx?menuIndex=3&amp;refID=7160859&amp;Result=3","7160859")</f>
        <v>0</v>
      </c>
      <c r="B5344" t="s">
        <v>147</v>
      </c>
      <c r="C5344" t="s">
        <v>8942</v>
      </c>
      <c r="D5344" t="s">
        <v>19067</v>
      </c>
      <c r="E5344" t="s">
        <v>23814</v>
      </c>
      <c r="F5344" t="s">
        <v>32831</v>
      </c>
      <c r="G5344" t="s">
        <v>32839</v>
      </c>
      <c r="H5344" t="s">
        <v>32848</v>
      </c>
      <c r="I5344" t="s">
        <v>9577</v>
      </c>
      <c r="J5344" t="s">
        <v>36404</v>
      </c>
      <c r="K5344" t="s">
        <v>42730</v>
      </c>
      <c r="M5344" t="s">
        <v>43144</v>
      </c>
      <c r="N5344" t="s">
        <v>47424</v>
      </c>
      <c r="O5344" t="s">
        <v>47425</v>
      </c>
      <c r="P5344">
        <v>0</v>
      </c>
      <c r="Q5344">
        <v>1</v>
      </c>
      <c r="R5344" t="s">
        <v>47430</v>
      </c>
      <c r="S5344" t="s">
        <v>47549</v>
      </c>
      <c r="T5344" t="s">
        <v>49106</v>
      </c>
      <c r="U5344" t="s">
        <v>54201</v>
      </c>
      <c r="W5344" t="s">
        <v>43144</v>
      </c>
      <c r="X5344" t="s">
        <v>47431</v>
      </c>
    </row>
    <row r="5345" spans="1:24">
      <c r="A5345">
        <f>HYPERLINK("https://www.philgeps.gov.ph/GEPSNONPILOT/Tender/SplashBidNoticeAbstractUI.aspx?menuIndex=3&amp;refID=7160887&amp;Result=3","7160887")</f>
        <v>0</v>
      </c>
      <c r="B5345" t="s">
        <v>1823</v>
      </c>
      <c r="C5345" t="s">
        <v>8943</v>
      </c>
      <c r="D5345" t="s">
        <v>19100</v>
      </c>
      <c r="E5345" t="s">
        <v>23815</v>
      </c>
      <c r="F5345" t="s">
        <v>32831</v>
      </c>
      <c r="G5345" t="s">
        <v>32838</v>
      </c>
      <c r="H5345" t="s">
        <v>32848</v>
      </c>
      <c r="I5345" t="s">
        <v>32862</v>
      </c>
      <c r="J5345" t="s">
        <v>32983</v>
      </c>
      <c r="K5345" t="s">
        <v>42727</v>
      </c>
      <c r="M5345" t="s">
        <v>44956</v>
      </c>
      <c r="N5345" t="s">
        <v>47424</v>
      </c>
      <c r="O5345" t="s">
        <v>47425</v>
      </c>
      <c r="P5345">
        <v>0</v>
      </c>
      <c r="Q5345">
        <v>0</v>
      </c>
      <c r="R5345" t="s">
        <v>47430</v>
      </c>
      <c r="S5345" t="s">
        <v>47549</v>
      </c>
      <c r="T5345" t="s">
        <v>49243</v>
      </c>
      <c r="U5345" t="s">
        <v>54172</v>
      </c>
      <c r="W5345" t="s">
        <v>44956</v>
      </c>
      <c r="X5345" t="s">
        <v>47431</v>
      </c>
    </row>
    <row r="5346" spans="1:24">
      <c r="A5346">
        <f>HYPERLINK("https://www.philgeps.gov.ph/GEPSNONPILOT/Tender/SplashBidNoticeAbstractUI.aspx?menuIndex=3&amp;refID=7160832&amp;Result=3","7160832")</f>
        <v>0</v>
      </c>
      <c r="B5346" t="s">
        <v>1986</v>
      </c>
      <c r="C5346" t="s">
        <v>8944</v>
      </c>
      <c r="D5346" t="s">
        <v>19043</v>
      </c>
      <c r="E5346" t="s">
        <v>23816</v>
      </c>
      <c r="F5346" t="s">
        <v>32831</v>
      </c>
      <c r="G5346" t="s">
        <v>32839</v>
      </c>
      <c r="H5346" t="s">
        <v>32848</v>
      </c>
      <c r="I5346" t="s">
        <v>4303</v>
      </c>
      <c r="J5346" t="s">
        <v>36405</v>
      </c>
      <c r="K5346" t="s">
        <v>42727</v>
      </c>
      <c r="M5346" t="s">
        <v>45148</v>
      </c>
      <c r="N5346" t="s">
        <v>47424</v>
      </c>
      <c r="O5346" t="s">
        <v>47425</v>
      </c>
      <c r="P5346">
        <v>0</v>
      </c>
      <c r="Q5346">
        <v>1</v>
      </c>
      <c r="R5346" t="s">
        <v>47430</v>
      </c>
      <c r="S5346" t="s">
        <v>47549</v>
      </c>
      <c r="T5346" t="s">
        <v>49210</v>
      </c>
      <c r="U5346" t="s">
        <v>54202</v>
      </c>
      <c r="V5346" t="s">
        <v>63216</v>
      </c>
      <c r="W5346" t="s">
        <v>45148</v>
      </c>
      <c r="X5346" t="s">
        <v>47431</v>
      </c>
    </row>
    <row r="5347" spans="1:24">
      <c r="A5347">
        <f>HYPERLINK("https://www.philgeps.gov.ph/GEPSNONPILOT/Tender/SplashBidNoticeAbstractUI.aspx?menuIndex=3&amp;refID=7160891&amp;Result=3","7160891")</f>
        <v>0</v>
      </c>
      <c r="B5347" t="s">
        <v>599</v>
      </c>
      <c r="C5347" t="s">
        <v>8945</v>
      </c>
      <c r="D5347" t="s">
        <v>19049</v>
      </c>
      <c r="E5347" t="s">
        <v>23817</v>
      </c>
      <c r="F5347" t="s">
        <v>32832</v>
      </c>
      <c r="G5347" t="s">
        <v>32842</v>
      </c>
      <c r="H5347" t="s">
        <v>32848</v>
      </c>
      <c r="I5347" t="s">
        <v>32860</v>
      </c>
      <c r="J5347" t="s">
        <v>36406</v>
      </c>
      <c r="K5347" t="s">
        <v>42732</v>
      </c>
      <c r="M5347" t="s">
        <v>43613</v>
      </c>
      <c r="N5347" t="s">
        <v>47424</v>
      </c>
      <c r="O5347" t="s">
        <v>47425</v>
      </c>
      <c r="P5347">
        <v>0</v>
      </c>
      <c r="Q5347">
        <v>8</v>
      </c>
      <c r="R5347" t="s">
        <v>47430</v>
      </c>
      <c r="S5347" t="s">
        <v>47549</v>
      </c>
      <c r="T5347" t="s">
        <v>49119</v>
      </c>
      <c r="U5347" t="s">
        <v>54203</v>
      </c>
      <c r="W5347" t="s">
        <v>43613</v>
      </c>
      <c r="X5347" t="s">
        <v>47431</v>
      </c>
    </row>
    <row r="5348" spans="1:24">
      <c r="A5348">
        <f>HYPERLINK("https://www.philgeps.gov.ph/GEPSNONPILOT/Tender/SplashBidNoticeAbstractUI.aspx?menuIndex=3&amp;refID=7160899&amp;Result=3","7160899")</f>
        <v>0</v>
      </c>
      <c r="B5348" t="s">
        <v>1993</v>
      </c>
      <c r="C5348" t="s">
        <v>8946</v>
      </c>
      <c r="D5348" t="s">
        <v>19054</v>
      </c>
      <c r="E5348" t="s">
        <v>23818</v>
      </c>
      <c r="F5348" t="s">
        <v>32831</v>
      </c>
      <c r="G5348" t="s">
        <v>32838</v>
      </c>
      <c r="H5348" t="s">
        <v>32848</v>
      </c>
      <c r="I5348" t="s">
        <v>32860</v>
      </c>
      <c r="J5348" t="s">
        <v>36407</v>
      </c>
      <c r="K5348" t="s">
        <v>42730</v>
      </c>
      <c r="M5348" t="s">
        <v>45159</v>
      </c>
      <c r="N5348" t="s">
        <v>47424</v>
      </c>
      <c r="O5348" t="s">
        <v>47425</v>
      </c>
      <c r="P5348">
        <v>0</v>
      </c>
      <c r="Q5348">
        <v>3</v>
      </c>
      <c r="R5348" t="s">
        <v>47430</v>
      </c>
      <c r="S5348" t="s">
        <v>47549</v>
      </c>
      <c r="T5348" t="s">
        <v>49108</v>
      </c>
      <c r="U5348" t="s">
        <v>54204</v>
      </c>
      <c r="W5348" t="s">
        <v>45159</v>
      </c>
      <c r="X5348" t="s">
        <v>47431</v>
      </c>
    </row>
    <row r="5349" spans="1:24">
      <c r="A5349">
        <f>HYPERLINK("https://www.philgeps.gov.ph/GEPSNONPILOT/Tender/SplashBidNoticeAbstractUI.aspx?menuIndex=3&amp;refID=7160946&amp;Result=3","7160946")</f>
        <v>0</v>
      </c>
      <c r="B5349" t="s">
        <v>1596</v>
      </c>
      <c r="C5349" t="s">
        <v>8947</v>
      </c>
      <c r="D5349" t="s">
        <v>19045</v>
      </c>
      <c r="E5349" t="s">
        <v>23819</v>
      </c>
      <c r="F5349" t="s">
        <v>32831</v>
      </c>
      <c r="G5349" t="s">
        <v>32841</v>
      </c>
      <c r="H5349" t="s">
        <v>32849</v>
      </c>
      <c r="I5349" t="s">
        <v>4177</v>
      </c>
      <c r="J5349" t="s">
        <v>36408</v>
      </c>
      <c r="K5349" t="s">
        <v>42882</v>
      </c>
      <c r="M5349" t="s">
        <v>45160</v>
      </c>
      <c r="N5349" t="s">
        <v>47424</v>
      </c>
      <c r="O5349" t="s">
        <v>47425</v>
      </c>
      <c r="P5349">
        <v>0</v>
      </c>
      <c r="Q5349">
        <v>0</v>
      </c>
      <c r="R5349" t="s">
        <v>47430</v>
      </c>
      <c r="S5349" t="s">
        <v>47549</v>
      </c>
      <c r="T5349" t="s">
        <v>49135</v>
      </c>
      <c r="U5349" t="s">
        <v>54205</v>
      </c>
      <c r="W5349" t="s">
        <v>45160</v>
      </c>
      <c r="X5349" t="s">
        <v>47431</v>
      </c>
    </row>
    <row r="5350" spans="1:24">
      <c r="A5350">
        <f>HYPERLINK("https://www.philgeps.gov.ph/GEPSNONPILOT/Tender/SplashBidNoticeAbstractUI.aspx?menuIndex=3&amp;refID=7160944&amp;Result=3","7160944")</f>
        <v>0</v>
      </c>
      <c r="B5350" t="s">
        <v>674</v>
      </c>
      <c r="C5350" t="s">
        <v>8948</v>
      </c>
      <c r="D5350" t="s">
        <v>19058</v>
      </c>
      <c r="E5350" t="s">
        <v>23820</v>
      </c>
      <c r="F5350" t="s">
        <v>32831</v>
      </c>
      <c r="G5350" t="s">
        <v>32840</v>
      </c>
      <c r="H5350" t="s">
        <v>32848</v>
      </c>
      <c r="I5350" t="s">
        <v>7416</v>
      </c>
      <c r="J5350" t="s">
        <v>36409</v>
      </c>
      <c r="K5350" t="s">
        <v>42732</v>
      </c>
      <c r="M5350" t="s">
        <v>43693</v>
      </c>
      <c r="N5350" t="s">
        <v>47424</v>
      </c>
      <c r="O5350" t="s">
        <v>47425</v>
      </c>
      <c r="P5350">
        <v>0</v>
      </c>
      <c r="Q5350">
        <v>0</v>
      </c>
      <c r="R5350" t="s">
        <v>47430</v>
      </c>
      <c r="S5350" t="s">
        <v>47549</v>
      </c>
      <c r="T5350" t="s">
        <v>49237</v>
      </c>
      <c r="U5350" t="s">
        <v>54206</v>
      </c>
      <c r="W5350" t="s">
        <v>43693</v>
      </c>
      <c r="X5350" t="s">
        <v>47431</v>
      </c>
    </row>
    <row r="5351" spans="1:24">
      <c r="A5351">
        <f>HYPERLINK("https://www.philgeps.gov.ph/GEPSNONPILOT/Tender/SplashBidNoticeAbstractUI.aspx?menuIndex=3&amp;refID=7160885&amp;Result=3","7160885")</f>
        <v>0</v>
      </c>
      <c r="B5351" t="s">
        <v>1994</v>
      </c>
      <c r="C5351" t="s">
        <v>8949</v>
      </c>
      <c r="D5351" t="s">
        <v>19045</v>
      </c>
      <c r="E5351" t="s">
        <v>23821</v>
      </c>
      <c r="F5351" t="s">
        <v>32831</v>
      </c>
      <c r="G5351" t="s">
        <v>32838</v>
      </c>
      <c r="H5351" t="s">
        <v>32849</v>
      </c>
      <c r="I5351" t="s">
        <v>4177</v>
      </c>
      <c r="J5351" t="s">
        <v>32980</v>
      </c>
      <c r="K5351" t="s">
        <v>42732</v>
      </c>
      <c r="M5351" t="s">
        <v>45161</v>
      </c>
      <c r="N5351" t="s">
        <v>47424</v>
      </c>
      <c r="O5351" t="s">
        <v>47425</v>
      </c>
      <c r="P5351">
        <v>0</v>
      </c>
      <c r="Q5351">
        <v>1</v>
      </c>
      <c r="R5351" t="s">
        <v>47430</v>
      </c>
      <c r="S5351" t="s">
        <v>47549</v>
      </c>
      <c r="T5351" t="s">
        <v>49123</v>
      </c>
      <c r="U5351" t="s">
        <v>54207</v>
      </c>
      <c r="W5351" t="s">
        <v>45161</v>
      </c>
      <c r="X5351" t="s">
        <v>47431</v>
      </c>
    </row>
    <row r="5352" spans="1:24">
      <c r="A5352">
        <f>HYPERLINK("https://www.philgeps.gov.ph/GEPSNONPILOT/Tender/SplashBidNoticeAbstractUI.aspx?menuIndex=3&amp;refID=7160884&amp;Result=3","7160884")</f>
        <v>0</v>
      </c>
      <c r="B5352" t="s">
        <v>1995</v>
      </c>
      <c r="C5352" t="s">
        <v>8950</v>
      </c>
      <c r="D5352" t="s">
        <v>19062</v>
      </c>
      <c r="E5352" t="s">
        <v>19476</v>
      </c>
      <c r="F5352" t="s">
        <v>32831</v>
      </c>
      <c r="G5352" t="s">
        <v>32839</v>
      </c>
      <c r="H5352" t="s">
        <v>32848</v>
      </c>
      <c r="I5352" t="s">
        <v>32870</v>
      </c>
      <c r="J5352" t="s">
        <v>36410</v>
      </c>
      <c r="K5352" t="s">
        <v>42727</v>
      </c>
      <c r="M5352" t="s">
        <v>45162</v>
      </c>
      <c r="N5352" t="s">
        <v>47424</v>
      </c>
      <c r="O5352" t="s">
        <v>47425</v>
      </c>
      <c r="P5352">
        <v>0</v>
      </c>
      <c r="Q5352">
        <v>0</v>
      </c>
      <c r="R5352" t="s">
        <v>47430</v>
      </c>
      <c r="S5352" t="s">
        <v>47549</v>
      </c>
      <c r="T5352" t="s">
        <v>49104</v>
      </c>
      <c r="U5352" t="s">
        <v>54208</v>
      </c>
      <c r="W5352" t="s">
        <v>64495</v>
      </c>
      <c r="X5352" t="s">
        <v>47431</v>
      </c>
    </row>
    <row r="5353" spans="1:24">
      <c r="A5353">
        <f>HYPERLINK("https://www.philgeps.gov.ph/GEPSNONPILOT/Tender/SplashBidNoticeAbstractUI.aspx?menuIndex=3&amp;refID=7160941&amp;Result=3","7160941")</f>
        <v>0</v>
      </c>
      <c r="B5353" t="s">
        <v>1261</v>
      </c>
      <c r="C5353" t="s">
        <v>8951</v>
      </c>
      <c r="D5353" t="s">
        <v>19040</v>
      </c>
      <c r="E5353" t="s">
        <v>23822</v>
      </c>
      <c r="F5353" t="s">
        <v>32831</v>
      </c>
      <c r="G5353" t="s">
        <v>32838</v>
      </c>
      <c r="H5353" t="s">
        <v>32848</v>
      </c>
      <c r="I5353" t="s">
        <v>4776</v>
      </c>
      <c r="J5353" t="s">
        <v>36411</v>
      </c>
      <c r="K5353" t="s">
        <v>42727</v>
      </c>
      <c r="M5353" t="s">
        <v>44331</v>
      </c>
      <c r="N5353" t="s">
        <v>47424</v>
      </c>
      <c r="O5353" t="s">
        <v>47425</v>
      </c>
      <c r="P5353">
        <v>0</v>
      </c>
      <c r="Q5353">
        <v>0</v>
      </c>
      <c r="R5353" t="s">
        <v>47430</v>
      </c>
      <c r="S5353" t="s">
        <v>47549</v>
      </c>
      <c r="T5353" t="s">
        <v>49212</v>
      </c>
      <c r="U5353" t="s">
        <v>54209</v>
      </c>
      <c r="W5353" t="s">
        <v>44331</v>
      </c>
      <c r="X5353" t="s">
        <v>47431</v>
      </c>
    </row>
    <row r="5354" spans="1:24">
      <c r="A5354">
        <f>HYPERLINK("https://www.philgeps.gov.ph/GEPSNONPILOT/Tender/SplashBidNoticeAbstractUI.aspx?menuIndex=3&amp;refID=7160929&amp;Result=3","7160929")</f>
        <v>0</v>
      </c>
      <c r="B5354" t="s">
        <v>1996</v>
      </c>
      <c r="C5354" t="s">
        <v>8952</v>
      </c>
      <c r="D5354" t="s">
        <v>19027</v>
      </c>
      <c r="E5354" t="s">
        <v>23823</v>
      </c>
      <c r="F5354" t="s">
        <v>32831</v>
      </c>
      <c r="G5354" t="s">
        <v>32840</v>
      </c>
      <c r="H5354" t="s">
        <v>32848</v>
      </c>
      <c r="I5354" t="s">
        <v>32855</v>
      </c>
      <c r="J5354" t="s">
        <v>33041</v>
      </c>
      <c r="K5354" t="s">
        <v>42727</v>
      </c>
      <c r="M5354" t="s">
        <v>45163</v>
      </c>
      <c r="N5354" t="s">
        <v>47424</v>
      </c>
      <c r="O5354" t="s">
        <v>47425</v>
      </c>
      <c r="P5354">
        <v>0</v>
      </c>
      <c r="Q5354">
        <v>8</v>
      </c>
      <c r="R5354" t="s">
        <v>47430</v>
      </c>
      <c r="S5354" t="s">
        <v>47549</v>
      </c>
      <c r="T5354" t="s">
        <v>49163</v>
      </c>
      <c r="U5354" t="s">
        <v>54210</v>
      </c>
      <c r="V5354" t="s">
        <v>63218</v>
      </c>
      <c r="W5354" t="s">
        <v>45163</v>
      </c>
      <c r="X5354" t="s">
        <v>47431</v>
      </c>
    </row>
    <row r="5355" spans="1:24">
      <c r="A5355">
        <f>HYPERLINK("https://www.philgeps.gov.ph/GEPSNONPILOT/Tender/SplashBidNoticeAbstractUI.aspx?menuIndex=3&amp;refID=7160924&amp;Result=3","7160924")</f>
        <v>0</v>
      </c>
      <c r="B5355" t="s">
        <v>820</v>
      </c>
      <c r="C5355" t="s">
        <v>8953</v>
      </c>
      <c r="E5355" t="s">
        <v>23824</v>
      </c>
      <c r="F5355" t="s">
        <v>32831</v>
      </c>
      <c r="G5355" t="s">
        <v>32838</v>
      </c>
      <c r="H5355" t="s">
        <v>32848</v>
      </c>
      <c r="I5355" t="s">
        <v>4303</v>
      </c>
      <c r="J5355" t="s">
        <v>36412</v>
      </c>
      <c r="K5355" t="s">
        <v>42732</v>
      </c>
      <c r="M5355" t="s">
        <v>43851</v>
      </c>
      <c r="N5355" t="s">
        <v>47424</v>
      </c>
      <c r="O5355" t="s">
        <v>47425</v>
      </c>
      <c r="P5355">
        <v>0</v>
      </c>
      <c r="Q5355">
        <v>0</v>
      </c>
      <c r="R5355" t="s">
        <v>47430</v>
      </c>
      <c r="S5355" t="s">
        <v>47549</v>
      </c>
      <c r="T5355" t="s">
        <v>49328</v>
      </c>
      <c r="U5355" t="s">
        <v>54211</v>
      </c>
      <c r="W5355" t="s">
        <v>43851</v>
      </c>
      <c r="X5355" t="s">
        <v>47431</v>
      </c>
    </row>
    <row r="5356" spans="1:24">
      <c r="A5356">
        <f>HYPERLINK("https://www.philgeps.gov.ph/GEPSNONPILOT/Tender/SplashBidNoticeAbstractUI.aspx?menuIndex=3&amp;refID=7160896&amp;Result=3","7160896")</f>
        <v>0</v>
      </c>
      <c r="B5356" t="s">
        <v>1100</v>
      </c>
      <c r="C5356" t="s">
        <v>8954</v>
      </c>
      <c r="D5356" t="s">
        <v>19062</v>
      </c>
      <c r="E5356" t="s">
        <v>23825</v>
      </c>
      <c r="F5356" t="s">
        <v>32831</v>
      </c>
      <c r="G5356" t="s">
        <v>32841</v>
      </c>
      <c r="H5356" t="s">
        <v>32849</v>
      </c>
      <c r="I5356" t="s">
        <v>4177</v>
      </c>
      <c r="J5356" t="s">
        <v>36413</v>
      </c>
      <c r="K5356" t="s">
        <v>42763</v>
      </c>
      <c r="M5356" t="s">
        <v>44160</v>
      </c>
      <c r="N5356" t="s">
        <v>47424</v>
      </c>
      <c r="O5356" t="s">
        <v>47425</v>
      </c>
      <c r="P5356">
        <v>0</v>
      </c>
      <c r="Q5356">
        <v>1</v>
      </c>
      <c r="R5356" t="s">
        <v>47430</v>
      </c>
      <c r="S5356" t="s">
        <v>47549</v>
      </c>
      <c r="T5356" t="s">
        <v>49107</v>
      </c>
      <c r="U5356" t="s">
        <v>54212</v>
      </c>
      <c r="V5356" t="s">
        <v>63219</v>
      </c>
      <c r="W5356" t="s">
        <v>44160</v>
      </c>
      <c r="X5356" t="s">
        <v>47431</v>
      </c>
    </row>
    <row r="5357" spans="1:24">
      <c r="A5357">
        <f>HYPERLINK("https://www.philgeps.gov.ph/GEPSNONPILOT/Tender/SplashBidNoticeAbstractUI.aspx?menuIndex=3&amp;refID=7160922&amp;Result=3","7160922")</f>
        <v>0</v>
      </c>
      <c r="B5357" t="s">
        <v>1894</v>
      </c>
      <c r="C5357" t="s">
        <v>8955</v>
      </c>
      <c r="D5357" t="s">
        <v>19031</v>
      </c>
      <c r="E5357" t="s">
        <v>23826</v>
      </c>
      <c r="F5357" t="s">
        <v>32831</v>
      </c>
      <c r="G5357" t="s">
        <v>32838</v>
      </c>
      <c r="H5357" t="s">
        <v>32848</v>
      </c>
      <c r="I5357" t="s">
        <v>4438</v>
      </c>
      <c r="J5357" t="s">
        <v>36414</v>
      </c>
      <c r="K5357" t="s">
        <v>42730</v>
      </c>
      <c r="M5357" t="s">
        <v>45041</v>
      </c>
      <c r="N5357" t="s">
        <v>47424</v>
      </c>
      <c r="O5357" t="s">
        <v>47425</v>
      </c>
      <c r="P5357">
        <v>0</v>
      </c>
      <c r="Q5357">
        <v>1</v>
      </c>
      <c r="R5357" t="s">
        <v>47430</v>
      </c>
      <c r="S5357" t="s">
        <v>47549</v>
      </c>
      <c r="T5357" t="s">
        <v>49108</v>
      </c>
      <c r="U5357" t="s">
        <v>53972</v>
      </c>
      <c r="W5357" t="s">
        <v>45041</v>
      </c>
      <c r="X5357" t="s">
        <v>47431</v>
      </c>
    </row>
    <row r="5358" spans="1:24">
      <c r="A5358">
        <f>HYPERLINK("https://www.philgeps.gov.ph/GEPSNONPILOT/Tender/SplashBidNoticeAbstractUI.aspx?menuIndex=3&amp;refID=7160943&amp;Result=3","7160943")</f>
        <v>0</v>
      </c>
      <c r="B5358" t="s">
        <v>674</v>
      </c>
      <c r="C5358" t="s">
        <v>8956</v>
      </c>
      <c r="D5358" t="s">
        <v>19058</v>
      </c>
      <c r="E5358" t="s">
        <v>23827</v>
      </c>
      <c r="F5358" t="s">
        <v>32831</v>
      </c>
      <c r="G5358" t="s">
        <v>32838</v>
      </c>
      <c r="H5358" t="s">
        <v>32848</v>
      </c>
      <c r="I5358" t="s">
        <v>32863</v>
      </c>
      <c r="J5358" t="s">
        <v>36415</v>
      </c>
      <c r="K5358" t="s">
        <v>42732</v>
      </c>
      <c r="M5358" t="s">
        <v>44520</v>
      </c>
      <c r="N5358" t="s">
        <v>47424</v>
      </c>
      <c r="O5358" t="s">
        <v>47425</v>
      </c>
      <c r="P5358">
        <v>0</v>
      </c>
      <c r="Q5358">
        <v>0</v>
      </c>
      <c r="R5358" t="s">
        <v>47430</v>
      </c>
      <c r="S5358" t="s">
        <v>47549</v>
      </c>
      <c r="T5358" t="s">
        <v>49237</v>
      </c>
      <c r="U5358" t="s">
        <v>54213</v>
      </c>
      <c r="W5358" t="s">
        <v>44520</v>
      </c>
      <c r="X5358" t="s">
        <v>47431</v>
      </c>
    </row>
    <row r="5359" spans="1:24">
      <c r="A5359">
        <f>HYPERLINK("https://www.philgeps.gov.ph/GEPSNONPILOT/Tender/SplashBidNoticeAbstractUI.aspx?menuIndex=3&amp;refID=7160919&amp;Result=3","7160919")</f>
        <v>0</v>
      </c>
      <c r="B5359" t="s">
        <v>1966</v>
      </c>
      <c r="C5359" t="s">
        <v>8957</v>
      </c>
      <c r="D5359" t="s">
        <v>19060</v>
      </c>
      <c r="E5359" t="s">
        <v>23828</v>
      </c>
      <c r="F5359" t="s">
        <v>32831</v>
      </c>
      <c r="G5359" t="s">
        <v>32838</v>
      </c>
      <c r="H5359" t="s">
        <v>32848</v>
      </c>
      <c r="I5359" t="s">
        <v>32874</v>
      </c>
      <c r="J5359" t="s">
        <v>36416</v>
      </c>
      <c r="K5359" t="s">
        <v>42730</v>
      </c>
      <c r="M5359" t="s">
        <v>45126</v>
      </c>
      <c r="N5359" t="s">
        <v>47424</v>
      </c>
      <c r="O5359" t="s">
        <v>47425</v>
      </c>
      <c r="P5359">
        <v>0</v>
      </c>
      <c r="Q5359">
        <v>21</v>
      </c>
      <c r="R5359" t="s">
        <v>47430</v>
      </c>
      <c r="S5359" t="s">
        <v>47549</v>
      </c>
      <c r="T5359" t="s">
        <v>49061</v>
      </c>
      <c r="U5359" t="s">
        <v>54199</v>
      </c>
      <c r="W5359" t="s">
        <v>45126</v>
      </c>
      <c r="X5359" t="s">
        <v>47431</v>
      </c>
    </row>
    <row r="5360" spans="1:24">
      <c r="A5360">
        <f>HYPERLINK("https://www.philgeps.gov.ph/GEPSNONPILOT/Tender/SplashBidNoticeAbstractUI.aspx?menuIndex=3&amp;refID=7160966&amp;Result=3","7160966")</f>
        <v>0</v>
      </c>
      <c r="B5360" t="s">
        <v>693</v>
      </c>
      <c r="C5360" t="s">
        <v>8958</v>
      </c>
      <c r="D5360" t="s">
        <v>19073</v>
      </c>
      <c r="E5360" t="s">
        <v>20444</v>
      </c>
      <c r="F5360" t="s">
        <v>32831</v>
      </c>
      <c r="G5360" t="s">
        <v>32840</v>
      </c>
      <c r="H5360" t="s">
        <v>32848</v>
      </c>
      <c r="I5360" t="s">
        <v>32862</v>
      </c>
      <c r="J5360" t="s">
        <v>33714</v>
      </c>
      <c r="K5360" t="s">
        <v>42731</v>
      </c>
      <c r="M5360" t="s">
        <v>43712</v>
      </c>
      <c r="N5360" t="s">
        <v>47424</v>
      </c>
      <c r="O5360" t="s">
        <v>47425</v>
      </c>
      <c r="P5360">
        <v>0</v>
      </c>
      <c r="Q5360">
        <v>0</v>
      </c>
      <c r="R5360" t="s">
        <v>47430</v>
      </c>
      <c r="S5360" t="s">
        <v>47549</v>
      </c>
      <c r="T5360" t="s">
        <v>49108</v>
      </c>
      <c r="U5360" t="s">
        <v>54214</v>
      </c>
      <c r="W5360" t="s">
        <v>43712</v>
      </c>
      <c r="X5360" t="s">
        <v>47431</v>
      </c>
    </row>
    <row r="5361" spans="1:24">
      <c r="A5361">
        <f>HYPERLINK("https://www.philgeps.gov.ph/GEPSNONPILOT/Tender/SplashBidNoticeAbstractUI.aspx?menuIndex=3&amp;refID=7160930&amp;Result=3","7160930")</f>
        <v>0</v>
      </c>
      <c r="B5361" t="s">
        <v>1203</v>
      </c>
      <c r="C5361" t="s">
        <v>8959</v>
      </c>
      <c r="D5361" t="s">
        <v>19029</v>
      </c>
      <c r="E5361" t="s">
        <v>8959</v>
      </c>
      <c r="F5361" t="s">
        <v>32831</v>
      </c>
      <c r="G5361" t="s">
        <v>32840</v>
      </c>
      <c r="H5361" t="s">
        <v>32848</v>
      </c>
      <c r="I5361" t="s">
        <v>4776</v>
      </c>
      <c r="J5361" t="s">
        <v>36417</v>
      </c>
      <c r="K5361" t="s">
        <v>42758</v>
      </c>
      <c r="L5361" t="s">
        <v>1203</v>
      </c>
      <c r="M5361" t="s">
        <v>44270</v>
      </c>
      <c r="N5361" t="s">
        <v>47424</v>
      </c>
      <c r="O5361" t="s">
        <v>47425</v>
      </c>
      <c r="P5361">
        <v>0</v>
      </c>
      <c r="Q5361">
        <v>0</v>
      </c>
      <c r="R5361" t="s">
        <v>47430</v>
      </c>
      <c r="S5361" t="s">
        <v>47549</v>
      </c>
      <c r="T5361" t="s">
        <v>49235</v>
      </c>
      <c r="U5361" t="s">
        <v>54215</v>
      </c>
      <c r="W5361" t="s">
        <v>44270</v>
      </c>
      <c r="X5361" t="s">
        <v>47431</v>
      </c>
    </row>
    <row r="5362" spans="1:24">
      <c r="A5362">
        <f>HYPERLINK("https://www.philgeps.gov.ph/GEPSNONPILOT/Tender/SplashBidNoticeAbstractUI.aspx?menuIndex=3&amp;refID=7160928&amp;Result=3","7160928")</f>
        <v>0</v>
      </c>
      <c r="B5362" t="s">
        <v>342</v>
      </c>
      <c r="C5362" t="s">
        <v>8960</v>
      </c>
      <c r="D5362" t="s">
        <v>19047</v>
      </c>
      <c r="E5362" t="s">
        <v>23829</v>
      </c>
      <c r="F5362" t="s">
        <v>32831</v>
      </c>
      <c r="G5362" t="s">
        <v>32838</v>
      </c>
      <c r="H5362" t="s">
        <v>32848</v>
      </c>
      <c r="I5362" t="s">
        <v>32862</v>
      </c>
      <c r="J5362" t="s">
        <v>36418</v>
      </c>
      <c r="K5362" t="s">
        <v>42727</v>
      </c>
      <c r="M5362" t="s">
        <v>43345</v>
      </c>
      <c r="N5362" t="s">
        <v>47424</v>
      </c>
      <c r="O5362" t="s">
        <v>47425</v>
      </c>
      <c r="P5362">
        <v>0</v>
      </c>
      <c r="Q5362">
        <v>1</v>
      </c>
      <c r="R5362" t="s">
        <v>47430</v>
      </c>
      <c r="S5362" t="s">
        <v>47549</v>
      </c>
      <c r="T5362" t="s">
        <v>49237</v>
      </c>
      <c r="U5362" t="s">
        <v>50291</v>
      </c>
      <c r="W5362" t="s">
        <v>64436</v>
      </c>
      <c r="X5362" t="s">
        <v>47431</v>
      </c>
    </row>
    <row r="5363" spans="1:24">
      <c r="A5363">
        <f>HYPERLINK("https://www.philgeps.gov.ph/GEPSNONPILOT/Tender/SplashBidNoticeAbstractUI.aspx?menuIndex=3&amp;refID=7160972&amp;Result=3","7160972")</f>
        <v>0</v>
      </c>
      <c r="B5363" t="s">
        <v>827</v>
      </c>
      <c r="C5363" t="s">
        <v>8961</v>
      </c>
      <c r="D5363" t="s">
        <v>19026</v>
      </c>
      <c r="E5363" t="s">
        <v>23830</v>
      </c>
      <c r="F5363" t="s">
        <v>32831</v>
      </c>
      <c r="G5363" t="s">
        <v>32841</v>
      </c>
      <c r="H5363" t="s">
        <v>32848</v>
      </c>
      <c r="I5363" t="s">
        <v>32861</v>
      </c>
      <c r="J5363" t="s">
        <v>36419</v>
      </c>
      <c r="K5363" t="s">
        <v>42730</v>
      </c>
      <c r="M5363" t="s">
        <v>43858</v>
      </c>
      <c r="N5363" t="s">
        <v>47424</v>
      </c>
      <c r="O5363" t="s">
        <v>47425</v>
      </c>
      <c r="P5363">
        <v>0</v>
      </c>
      <c r="Q5363">
        <v>4</v>
      </c>
      <c r="R5363" t="s">
        <v>47430</v>
      </c>
      <c r="S5363" t="s">
        <v>47549</v>
      </c>
      <c r="T5363" t="s">
        <v>49198</v>
      </c>
      <c r="U5363" t="s">
        <v>54216</v>
      </c>
      <c r="W5363" t="s">
        <v>43858</v>
      </c>
      <c r="X5363" t="s">
        <v>47431</v>
      </c>
    </row>
    <row r="5364" spans="1:24">
      <c r="A5364">
        <f>HYPERLINK("https://www.philgeps.gov.ph/GEPSNONPILOT/Tender/SplashBidNoticeAbstractUI.aspx?menuIndex=3&amp;refID=7160970&amp;Result=3","7160970")</f>
        <v>0</v>
      </c>
      <c r="B5364" t="s">
        <v>60</v>
      </c>
      <c r="C5364" t="s">
        <v>8962</v>
      </c>
      <c r="D5364" t="s">
        <v>19042</v>
      </c>
      <c r="E5364" t="s">
        <v>23831</v>
      </c>
      <c r="F5364" t="s">
        <v>32831</v>
      </c>
      <c r="G5364" t="s">
        <v>32839</v>
      </c>
      <c r="H5364" t="s">
        <v>32849</v>
      </c>
      <c r="I5364" t="s">
        <v>4177</v>
      </c>
      <c r="J5364" t="s">
        <v>36420</v>
      </c>
      <c r="K5364" t="s">
        <v>42743</v>
      </c>
      <c r="M5364" t="s">
        <v>43740</v>
      </c>
      <c r="N5364" t="s">
        <v>47424</v>
      </c>
      <c r="O5364" t="s">
        <v>47425</v>
      </c>
      <c r="P5364">
        <v>0</v>
      </c>
      <c r="Q5364">
        <v>0</v>
      </c>
      <c r="R5364" t="s">
        <v>47430</v>
      </c>
      <c r="S5364" t="s">
        <v>47549</v>
      </c>
      <c r="T5364" t="s">
        <v>49358</v>
      </c>
      <c r="U5364" t="s">
        <v>54217</v>
      </c>
      <c r="W5364" t="s">
        <v>43740</v>
      </c>
      <c r="X5364" t="s">
        <v>47431</v>
      </c>
    </row>
    <row r="5365" spans="1:24">
      <c r="A5365">
        <f>HYPERLINK("https://www.philgeps.gov.ph/GEPSNONPILOT/Tender/SplashBidNoticeAbstractUI.aspx?menuIndex=3&amp;refID=7160945&amp;Result=3","7160945")</f>
        <v>0</v>
      </c>
      <c r="B5365" t="s">
        <v>693</v>
      </c>
      <c r="C5365" t="s">
        <v>8963</v>
      </c>
      <c r="D5365" t="s">
        <v>19073</v>
      </c>
      <c r="E5365" t="s">
        <v>20444</v>
      </c>
      <c r="F5365" t="s">
        <v>32831</v>
      </c>
      <c r="G5365" t="s">
        <v>32840</v>
      </c>
      <c r="H5365" t="s">
        <v>32848</v>
      </c>
      <c r="I5365" t="s">
        <v>32870</v>
      </c>
      <c r="J5365" t="s">
        <v>36421</v>
      </c>
      <c r="K5365" t="s">
        <v>42731</v>
      </c>
      <c r="M5365" t="s">
        <v>43712</v>
      </c>
      <c r="N5365" t="s">
        <v>47424</v>
      </c>
      <c r="O5365" t="s">
        <v>47425</v>
      </c>
      <c r="P5365">
        <v>0</v>
      </c>
      <c r="Q5365">
        <v>0</v>
      </c>
      <c r="R5365" t="s">
        <v>47430</v>
      </c>
      <c r="S5365" t="s">
        <v>47549</v>
      </c>
      <c r="T5365" t="s">
        <v>49108</v>
      </c>
      <c r="U5365" t="s">
        <v>54218</v>
      </c>
      <c r="W5365" t="s">
        <v>43712</v>
      </c>
      <c r="X5365" t="s">
        <v>47431</v>
      </c>
    </row>
    <row r="5366" spans="1:24">
      <c r="A5366">
        <f>HYPERLINK("https://www.philgeps.gov.ph/GEPSNONPILOT/Tender/SplashBidNoticeAbstractUI.aspx?menuIndex=3&amp;refID=7160900&amp;Result=3","7160900")</f>
        <v>0</v>
      </c>
      <c r="B5366" t="s">
        <v>820</v>
      </c>
      <c r="C5366" t="s">
        <v>8964</v>
      </c>
      <c r="E5366" t="s">
        <v>23832</v>
      </c>
      <c r="F5366" t="s">
        <v>32831</v>
      </c>
      <c r="G5366" t="s">
        <v>32838</v>
      </c>
      <c r="H5366" t="s">
        <v>32848</v>
      </c>
      <c r="I5366" t="s">
        <v>4471</v>
      </c>
      <c r="J5366" t="s">
        <v>36422</v>
      </c>
      <c r="K5366" t="s">
        <v>42732</v>
      </c>
      <c r="M5366" t="s">
        <v>43851</v>
      </c>
      <c r="N5366" t="s">
        <v>47424</v>
      </c>
      <c r="O5366" t="s">
        <v>47425</v>
      </c>
      <c r="P5366">
        <v>0</v>
      </c>
      <c r="Q5366">
        <v>0</v>
      </c>
      <c r="R5366" t="s">
        <v>47430</v>
      </c>
      <c r="S5366" t="s">
        <v>47549</v>
      </c>
      <c r="T5366" t="s">
        <v>49328</v>
      </c>
      <c r="U5366" t="s">
        <v>54219</v>
      </c>
      <c r="W5366" t="s">
        <v>43851</v>
      </c>
      <c r="X5366" t="s">
        <v>47431</v>
      </c>
    </row>
    <row r="5367" spans="1:24">
      <c r="A5367">
        <f>HYPERLINK("https://www.philgeps.gov.ph/GEPSNONPILOT/Tender/SplashBidNoticeAbstractUI.aspx?menuIndex=3&amp;refID=7160963&amp;Result=3","7160963")</f>
        <v>0</v>
      </c>
      <c r="B5367" t="s">
        <v>936</v>
      </c>
      <c r="C5367" t="s">
        <v>8965</v>
      </c>
      <c r="D5367" t="s">
        <v>19088</v>
      </c>
      <c r="E5367" t="s">
        <v>23833</v>
      </c>
      <c r="F5367" t="s">
        <v>32831</v>
      </c>
      <c r="G5367" t="s">
        <v>32839</v>
      </c>
      <c r="H5367" t="s">
        <v>32849</v>
      </c>
      <c r="I5367" t="s">
        <v>4177</v>
      </c>
      <c r="J5367" t="s">
        <v>33032</v>
      </c>
      <c r="K5367" t="s">
        <v>42732</v>
      </c>
      <c r="M5367" t="s">
        <v>43978</v>
      </c>
      <c r="N5367" t="s">
        <v>47424</v>
      </c>
      <c r="O5367" t="s">
        <v>47425</v>
      </c>
      <c r="P5367">
        <v>0</v>
      </c>
      <c r="Q5367">
        <v>0</v>
      </c>
      <c r="R5367" t="s">
        <v>47430</v>
      </c>
      <c r="S5367" t="s">
        <v>47549</v>
      </c>
      <c r="T5367" t="s">
        <v>49089</v>
      </c>
      <c r="U5367" t="s">
        <v>54220</v>
      </c>
      <c r="W5367" t="s">
        <v>43978</v>
      </c>
      <c r="X5367" t="s">
        <v>47431</v>
      </c>
    </row>
    <row r="5368" spans="1:24">
      <c r="A5368">
        <f>HYPERLINK("https://www.philgeps.gov.ph/GEPSNONPILOT/Tender/SplashBidNoticeAbstractUI.aspx?menuIndex=3&amp;refID=7160961&amp;Result=3","7160961")</f>
        <v>0</v>
      </c>
      <c r="B5368" t="s">
        <v>103</v>
      </c>
      <c r="C5368" t="s">
        <v>8966</v>
      </c>
      <c r="D5368" t="s">
        <v>19056</v>
      </c>
      <c r="E5368" t="s">
        <v>23834</v>
      </c>
      <c r="F5368" t="s">
        <v>32831</v>
      </c>
      <c r="G5368" t="s">
        <v>32838</v>
      </c>
      <c r="H5368" t="s">
        <v>32848</v>
      </c>
      <c r="I5368" t="s">
        <v>4438</v>
      </c>
      <c r="J5368" t="s">
        <v>33148</v>
      </c>
      <c r="K5368" t="s">
        <v>42742</v>
      </c>
      <c r="L5368" t="s">
        <v>103</v>
      </c>
      <c r="M5368" t="s">
        <v>43100</v>
      </c>
      <c r="N5368" t="s">
        <v>47424</v>
      </c>
      <c r="O5368" t="s">
        <v>47425</v>
      </c>
      <c r="P5368">
        <v>0</v>
      </c>
      <c r="Q5368">
        <v>1</v>
      </c>
      <c r="R5368" t="s">
        <v>47430</v>
      </c>
      <c r="S5368" t="s">
        <v>47549</v>
      </c>
      <c r="T5368" t="s">
        <v>49116</v>
      </c>
      <c r="U5368" t="s">
        <v>49808</v>
      </c>
      <c r="W5368" t="s">
        <v>43100</v>
      </c>
      <c r="X5368" t="s">
        <v>47431</v>
      </c>
    </row>
    <row r="5369" spans="1:24">
      <c r="A5369">
        <f>HYPERLINK("https://www.philgeps.gov.ph/GEPSNONPILOT/Tender/SplashBidNoticeAbstractUI.aspx?menuIndex=3&amp;refID=7160959&amp;Result=3","7160959")</f>
        <v>0</v>
      </c>
      <c r="B5369" t="s">
        <v>1810</v>
      </c>
      <c r="C5369" t="s">
        <v>8967</v>
      </c>
      <c r="D5369" t="s">
        <v>19017</v>
      </c>
      <c r="E5369" t="s">
        <v>22306</v>
      </c>
      <c r="F5369" t="s">
        <v>32831</v>
      </c>
      <c r="G5369" t="s">
        <v>32838</v>
      </c>
      <c r="H5369" t="s">
        <v>32848</v>
      </c>
      <c r="I5369" t="s">
        <v>4487</v>
      </c>
      <c r="J5369" t="s">
        <v>33193</v>
      </c>
      <c r="K5369" t="s">
        <v>42807</v>
      </c>
      <c r="M5369" t="s">
        <v>44943</v>
      </c>
      <c r="N5369" t="s">
        <v>47424</v>
      </c>
      <c r="O5369" t="s">
        <v>47425</v>
      </c>
      <c r="P5369">
        <v>0</v>
      </c>
      <c r="Q5369">
        <v>1</v>
      </c>
      <c r="R5369" t="s">
        <v>47430</v>
      </c>
      <c r="S5369" t="s">
        <v>47549</v>
      </c>
      <c r="T5369" t="s">
        <v>49253</v>
      </c>
      <c r="U5369" t="s">
        <v>54221</v>
      </c>
      <c r="W5369" t="s">
        <v>44943</v>
      </c>
      <c r="X5369" t="s">
        <v>47431</v>
      </c>
    </row>
    <row r="5370" spans="1:24">
      <c r="A5370">
        <f>HYPERLINK("https://www.philgeps.gov.ph/GEPSNONPILOT/Tender/SplashBidNoticeAbstractUI.aspx?menuIndex=3&amp;refID=7160971&amp;Result=3","7160971")</f>
        <v>0</v>
      </c>
      <c r="B5370" t="s">
        <v>1997</v>
      </c>
      <c r="C5370" t="s">
        <v>8968</v>
      </c>
      <c r="D5370" t="s">
        <v>19061</v>
      </c>
      <c r="E5370" t="s">
        <v>23835</v>
      </c>
      <c r="F5370" t="s">
        <v>32831</v>
      </c>
      <c r="G5370" t="s">
        <v>32839</v>
      </c>
      <c r="H5370" t="s">
        <v>32848</v>
      </c>
      <c r="I5370" t="s">
        <v>4177</v>
      </c>
      <c r="J5370" t="s">
        <v>36423</v>
      </c>
      <c r="K5370" t="s">
        <v>42750</v>
      </c>
      <c r="M5370" t="s">
        <v>45164</v>
      </c>
      <c r="N5370" t="s">
        <v>47424</v>
      </c>
      <c r="O5370" t="s">
        <v>47425</v>
      </c>
      <c r="P5370">
        <v>0</v>
      </c>
      <c r="Q5370">
        <v>0</v>
      </c>
      <c r="R5370" t="s">
        <v>47430</v>
      </c>
      <c r="S5370" t="s">
        <v>47549</v>
      </c>
      <c r="T5370" t="s">
        <v>49288</v>
      </c>
      <c r="U5370" t="s">
        <v>54222</v>
      </c>
      <c r="W5370" t="s">
        <v>45164</v>
      </c>
      <c r="X5370" t="s">
        <v>47431</v>
      </c>
    </row>
    <row r="5371" spans="1:24">
      <c r="A5371">
        <f>HYPERLINK("https://www.philgeps.gov.ph/GEPSNONPILOT/Tender/SplashBidNoticeAbstractUI.aspx?menuIndex=3&amp;refID=7160969&amp;Result=3","7160969")</f>
        <v>0</v>
      </c>
      <c r="B5371" t="s">
        <v>674</v>
      </c>
      <c r="C5371" t="s">
        <v>8969</v>
      </c>
      <c r="D5371" t="s">
        <v>19058</v>
      </c>
      <c r="E5371" t="s">
        <v>23836</v>
      </c>
      <c r="F5371" t="s">
        <v>32831</v>
      </c>
      <c r="G5371" t="s">
        <v>32840</v>
      </c>
      <c r="H5371" t="s">
        <v>32848</v>
      </c>
      <c r="I5371" t="s">
        <v>9577</v>
      </c>
      <c r="J5371" t="s">
        <v>36424</v>
      </c>
      <c r="K5371" t="s">
        <v>42732</v>
      </c>
      <c r="M5371" t="s">
        <v>44520</v>
      </c>
      <c r="N5371" t="s">
        <v>47424</v>
      </c>
      <c r="O5371" t="s">
        <v>47425</v>
      </c>
      <c r="P5371">
        <v>0</v>
      </c>
      <c r="Q5371">
        <v>0</v>
      </c>
      <c r="R5371" t="s">
        <v>47430</v>
      </c>
      <c r="S5371" t="s">
        <v>47549</v>
      </c>
      <c r="T5371" t="s">
        <v>49237</v>
      </c>
      <c r="U5371" t="s">
        <v>54223</v>
      </c>
      <c r="W5371" t="s">
        <v>44520</v>
      </c>
      <c r="X5371" t="s">
        <v>47431</v>
      </c>
    </row>
    <row r="5372" spans="1:24">
      <c r="A5372">
        <f>HYPERLINK("https://www.philgeps.gov.ph/GEPSNONPILOT/Tender/SplashBidNoticeAbstractUI.aspx?menuIndex=3&amp;refID=7160956&amp;Result=3","7160956")</f>
        <v>0</v>
      </c>
      <c r="B5372" t="s">
        <v>793</v>
      </c>
      <c r="C5372" t="s">
        <v>8970</v>
      </c>
      <c r="D5372" t="s">
        <v>19048</v>
      </c>
      <c r="E5372" t="s">
        <v>23837</v>
      </c>
      <c r="F5372" t="s">
        <v>32831</v>
      </c>
      <c r="G5372" t="s">
        <v>32838</v>
      </c>
      <c r="H5372" t="s">
        <v>32848</v>
      </c>
      <c r="I5372" t="s">
        <v>4303</v>
      </c>
      <c r="J5372" t="s">
        <v>36425</v>
      </c>
      <c r="K5372" t="s">
        <v>42727</v>
      </c>
      <c r="M5372" t="s">
        <v>43823</v>
      </c>
      <c r="N5372" t="s">
        <v>47424</v>
      </c>
      <c r="O5372" t="s">
        <v>47425</v>
      </c>
      <c r="P5372">
        <v>0</v>
      </c>
      <c r="Q5372">
        <v>1</v>
      </c>
      <c r="R5372" t="s">
        <v>47430</v>
      </c>
      <c r="S5372" t="s">
        <v>47549</v>
      </c>
      <c r="T5372" t="s">
        <v>49123</v>
      </c>
      <c r="U5372" t="s">
        <v>54224</v>
      </c>
      <c r="W5372" t="s">
        <v>43823</v>
      </c>
      <c r="X5372" t="s">
        <v>47431</v>
      </c>
    </row>
    <row r="5373" spans="1:24">
      <c r="A5373">
        <f>HYPERLINK("https://www.philgeps.gov.ph/GEPSNONPILOT/Tender/SplashBidNoticeAbstractUI.aspx?menuIndex=3&amp;refID=7160901&amp;Result=3","7160901")</f>
        <v>0</v>
      </c>
      <c r="B5373" t="s">
        <v>1839</v>
      </c>
      <c r="C5373" t="s">
        <v>8971</v>
      </c>
      <c r="D5373" t="s">
        <v>19033</v>
      </c>
      <c r="E5373" t="s">
        <v>23838</v>
      </c>
      <c r="F5373" t="s">
        <v>32831</v>
      </c>
      <c r="G5373" t="s">
        <v>32839</v>
      </c>
      <c r="H5373" t="s">
        <v>32849</v>
      </c>
      <c r="I5373" t="s">
        <v>4177</v>
      </c>
      <c r="J5373" t="s">
        <v>33044</v>
      </c>
      <c r="K5373" t="s">
        <v>42729</v>
      </c>
      <c r="M5373" t="s">
        <v>44973</v>
      </c>
      <c r="N5373" t="s">
        <v>47424</v>
      </c>
      <c r="O5373" t="s">
        <v>47425</v>
      </c>
      <c r="P5373">
        <v>0</v>
      </c>
      <c r="Q5373">
        <v>0</v>
      </c>
      <c r="R5373" t="s">
        <v>47430</v>
      </c>
      <c r="S5373" t="s">
        <v>47549</v>
      </c>
      <c r="T5373" t="s">
        <v>49109</v>
      </c>
      <c r="U5373" t="s">
        <v>54225</v>
      </c>
      <c r="W5373" t="s">
        <v>44973</v>
      </c>
      <c r="X5373" t="s">
        <v>47431</v>
      </c>
    </row>
    <row r="5374" spans="1:24">
      <c r="A5374">
        <f>HYPERLINK("https://www.philgeps.gov.ph/GEPSNONPILOT/Tender/SplashBidNoticeAbstractUI.aspx?menuIndex=3&amp;refID=7160955&amp;Result=3","7160955")</f>
        <v>0</v>
      </c>
      <c r="B5374" t="s">
        <v>1823</v>
      </c>
      <c r="C5374" t="s">
        <v>8972</v>
      </c>
      <c r="D5374" t="s">
        <v>19100</v>
      </c>
      <c r="E5374" t="s">
        <v>23839</v>
      </c>
      <c r="F5374" t="s">
        <v>32831</v>
      </c>
      <c r="G5374" t="s">
        <v>32841</v>
      </c>
      <c r="H5374" t="s">
        <v>32848</v>
      </c>
      <c r="I5374" t="s">
        <v>4340</v>
      </c>
      <c r="J5374" t="s">
        <v>36426</v>
      </c>
      <c r="K5374" t="s">
        <v>42727</v>
      </c>
      <c r="M5374" t="s">
        <v>44956</v>
      </c>
      <c r="N5374" t="s">
        <v>47424</v>
      </c>
      <c r="O5374" t="s">
        <v>47425</v>
      </c>
      <c r="P5374">
        <v>0</v>
      </c>
      <c r="Q5374">
        <v>0</v>
      </c>
      <c r="R5374" t="s">
        <v>47430</v>
      </c>
      <c r="S5374" t="s">
        <v>47549</v>
      </c>
      <c r="T5374" t="s">
        <v>49243</v>
      </c>
      <c r="U5374" t="s">
        <v>54226</v>
      </c>
      <c r="W5374" t="s">
        <v>44956</v>
      </c>
      <c r="X5374" t="s">
        <v>47431</v>
      </c>
    </row>
    <row r="5375" spans="1:24">
      <c r="A5375">
        <f>HYPERLINK("https://www.philgeps.gov.ph/GEPSNONPILOT/Tender/SplashBidNoticeAbstractUI.aspx?menuIndex=3&amp;refID=7160918&amp;Result=3","7160918")</f>
        <v>0</v>
      </c>
      <c r="B5375" t="s">
        <v>1998</v>
      </c>
      <c r="C5375" t="s">
        <v>5165</v>
      </c>
      <c r="E5375" t="s">
        <v>19342</v>
      </c>
      <c r="F5375" t="s">
        <v>32832</v>
      </c>
      <c r="G5375" t="s">
        <v>32839</v>
      </c>
      <c r="H5375" t="s">
        <v>32848</v>
      </c>
      <c r="I5375" t="s">
        <v>7416</v>
      </c>
      <c r="J5375" t="s">
        <v>36427</v>
      </c>
      <c r="K5375" t="s">
        <v>42732</v>
      </c>
      <c r="M5375" t="s">
        <v>45165</v>
      </c>
      <c r="N5375" t="s">
        <v>47424</v>
      </c>
      <c r="O5375" t="s">
        <v>47425</v>
      </c>
      <c r="P5375">
        <v>0</v>
      </c>
      <c r="Q5375">
        <v>0</v>
      </c>
      <c r="R5375" t="s">
        <v>47430</v>
      </c>
      <c r="S5375" t="s">
        <v>47549</v>
      </c>
      <c r="T5375" t="s">
        <v>49424</v>
      </c>
      <c r="U5375" t="s">
        <v>49870</v>
      </c>
      <c r="W5375" t="s">
        <v>45165</v>
      </c>
      <c r="X5375" t="s">
        <v>47431</v>
      </c>
    </row>
    <row r="5376" spans="1:24">
      <c r="A5376">
        <f>HYPERLINK("https://www.philgeps.gov.ph/GEPSNONPILOT/Tender/SplashBidNoticeAbstractUI.aspx?menuIndex=3&amp;refID=7160951&amp;Result=3","7160951")</f>
        <v>0</v>
      </c>
      <c r="B5376" t="s">
        <v>1999</v>
      </c>
      <c r="C5376" t="s">
        <v>8973</v>
      </c>
      <c r="E5376" t="s">
        <v>23840</v>
      </c>
      <c r="F5376" t="s">
        <v>32831</v>
      </c>
      <c r="G5376" t="s">
        <v>32839</v>
      </c>
      <c r="H5376" t="s">
        <v>32848</v>
      </c>
      <c r="I5376" t="s">
        <v>7751</v>
      </c>
      <c r="J5376" t="s">
        <v>33528</v>
      </c>
      <c r="K5376" t="s">
        <v>42729</v>
      </c>
      <c r="M5376" t="s">
        <v>45166</v>
      </c>
      <c r="N5376" t="s">
        <v>47424</v>
      </c>
      <c r="O5376" t="s">
        <v>47425</v>
      </c>
      <c r="P5376">
        <v>0</v>
      </c>
      <c r="Q5376">
        <v>6</v>
      </c>
      <c r="R5376" t="s">
        <v>47430</v>
      </c>
      <c r="S5376" t="s">
        <v>47549</v>
      </c>
      <c r="T5376" t="s">
        <v>49425</v>
      </c>
      <c r="U5376" t="s">
        <v>54227</v>
      </c>
      <c r="W5376" t="s">
        <v>45166</v>
      </c>
      <c r="X5376" t="s">
        <v>47431</v>
      </c>
    </row>
    <row r="5377" spans="1:24">
      <c r="A5377">
        <f>HYPERLINK("https://www.philgeps.gov.ph/GEPSNONPILOT/Tender/SplashBidNoticeAbstractUI.aspx?menuIndex=3&amp;refID=7160960&amp;Result=3","7160960")</f>
        <v>0</v>
      </c>
      <c r="B5377" t="s">
        <v>2000</v>
      </c>
      <c r="C5377" t="s">
        <v>8974</v>
      </c>
      <c r="D5377" t="s">
        <v>19081</v>
      </c>
      <c r="E5377" t="s">
        <v>23841</v>
      </c>
      <c r="F5377" t="s">
        <v>32831</v>
      </c>
      <c r="G5377" t="s">
        <v>32839</v>
      </c>
      <c r="H5377" t="s">
        <v>32848</v>
      </c>
      <c r="I5377" t="s">
        <v>4776</v>
      </c>
      <c r="J5377" t="s">
        <v>36428</v>
      </c>
      <c r="K5377" t="s">
        <v>42763</v>
      </c>
      <c r="M5377" t="s">
        <v>45167</v>
      </c>
      <c r="N5377" t="s">
        <v>47424</v>
      </c>
      <c r="O5377" t="s">
        <v>47425</v>
      </c>
      <c r="P5377">
        <v>0</v>
      </c>
      <c r="Q5377">
        <v>3</v>
      </c>
      <c r="R5377" t="s">
        <v>47430</v>
      </c>
      <c r="S5377" t="s">
        <v>47549</v>
      </c>
      <c r="T5377" t="s">
        <v>49291</v>
      </c>
      <c r="U5377" t="s">
        <v>54228</v>
      </c>
      <c r="W5377" t="s">
        <v>45167</v>
      </c>
      <c r="X5377" t="s">
        <v>47431</v>
      </c>
    </row>
    <row r="5378" spans="1:24">
      <c r="A5378">
        <f>HYPERLINK("https://www.philgeps.gov.ph/GEPSNONPILOT/Tender/SplashBidNoticeAbstractUI.aspx?menuIndex=3&amp;refID=7160950&amp;Result=3","7160950")</f>
        <v>0</v>
      </c>
      <c r="B5378" t="s">
        <v>1218</v>
      </c>
      <c r="C5378" t="s">
        <v>8975</v>
      </c>
      <c r="D5378" t="s">
        <v>19030</v>
      </c>
      <c r="E5378" t="s">
        <v>23842</v>
      </c>
      <c r="F5378" t="s">
        <v>32831</v>
      </c>
      <c r="G5378" t="s">
        <v>32840</v>
      </c>
      <c r="H5378" t="s">
        <v>32848</v>
      </c>
      <c r="I5378" t="s">
        <v>32861</v>
      </c>
      <c r="J5378" t="s">
        <v>36429</v>
      </c>
      <c r="K5378" t="s">
        <v>42732</v>
      </c>
      <c r="M5378" t="s">
        <v>44286</v>
      </c>
      <c r="N5378" t="s">
        <v>47424</v>
      </c>
      <c r="O5378" t="s">
        <v>47425</v>
      </c>
      <c r="P5378">
        <v>0</v>
      </c>
      <c r="Q5378">
        <v>16</v>
      </c>
      <c r="R5378" t="s">
        <v>47430</v>
      </c>
      <c r="S5378" t="s">
        <v>47549</v>
      </c>
      <c r="T5378" t="s">
        <v>49124</v>
      </c>
      <c r="U5378" t="s">
        <v>54229</v>
      </c>
      <c r="V5378" t="s">
        <v>62926</v>
      </c>
      <c r="W5378" t="s">
        <v>44286</v>
      </c>
      <c r="X5378" t="s">
        <v>47431</v>
      </c>
    </row>
    <row r="5379" spans="1:24">
      <c r="A5379">
        <f>HYPERLINK("https://www.philgeps.gov.ph/GEPSNONPILOT/Tender/SplashBidNoticeAbstractUI.aspx?menuIndex=3&amp;refID=7160949&amp;Result=3","7160949")</f>
        <v>0</v>
      </c>
      <c r="B5379" t="s">
        <v>1333</v>
      </c>
      <c r="C5379" t="s">
        <v>8976</v>
      </c>
      <c r="D5379" t="s">
        <v>19042</v>
      </c>
      <c r="E5379" t="s">
        <v>23843</v>
      </c>
      <c r="F5379" t="s">
        <v>32831</v>
      </c>
      <c r="G5379" t="s">
        <v>32839</v>
      </c>
      <c r="H5379" t="s">
        <v>32849</v>
      </c>
      <c r="I5379" t="s">
        <v>4177</v>
      </c>
      <c r="J5379" t="s">
        <v>32978</v>
      </c>
      <c r="K5379" t="s">
        <v>42790</v>
      </c>
      <c r="M5379" t="s">
        <v>44405</v>
      </c>
      <c r="N5379" t="s">
        <v>47424</v>
      </c>
      <c r="O5379" t="s">
        <v>47425</v>
      </c>
      <c r="P5379">
        <v>0</v>
      </c>
      <c r="Q5379">
        <v>0</v>
      </c>
      <c r="R5379" t="s">
        <v>47430</v>
      </c>
      <c r="S5379" t="s">
        <v>47549</v>
      </c>
      <c r="T5379" t="s">
        <v>49154</v>
      </c>
      <c r="U5379" t="s">
        <v>54230</v>
      </c>
      <c r="V5379" t="s">
        <v>63220</v>
      </c>
      <c r="W5379" t="s">
        <v>44405</v>
      </c>
      <c r="X5379" t="s">
        <v>47431</v>
      </c>
    </row>
    <row r="5380" spans="1:24">
      <c r="A5380">
        <f>HYPERLINK("https://www.philgeps.gov.ph/GEPSNONPILOT/Tender/SplashBidNoticeAbstractUI.aspx?menuIndex=3&amp;refID=7160948&amp;Result=3","7160948")</f>
        <v>0</v>
      </c>
      <c r="B5380" t="s">
        <v>961</v>
      </c>
      <c r="C5380" t="s">
        <v>8977</v>
      </c>
      <c r="D5380" t="s">
        <v>19021</v>
      </c>
      <c r="E5380" t="s">
        <v>23844</v>
      </c>
      <c r="F5380" t="s">
        <v>32831</v>
      </c>
      <c r="G5380" t="s">
        <v>32839</v>
      </c>
      <c r="H5380" t="s">
        <v>32849</v>
      </c>
      <c r="I5380" t="s">
        <v>4177</v>
      </c>
      <c r="J5380" t="s">
        <v>33118</v>
      </c>
      <c r="K5380" t="s">
        <v>42746</v>
      </c>
      <c r="M5380" t="s">
        <v>44007</v>
      </c>
      <c r="N5380" t="s">
        <v>47424</v>
      </c>
      <c r="O5380" t="s">
        <v>47425</v>
      </c>
      <c r="P5380">
        <v>0</v>
      </c>
      <c r="Q5380">
        <v>82</v>
      </c>
      <c r="R5380" t="s">
        <v>47430</v>
      </c>
      <c r="S5380" t="s">
        <v>47549</v>
      </c>
      <c r="T5380" t="s">
        <v>49119</v>
      </c>
      <c r="U5380" t="s">
        <v>54231</v>
      </c>
      <c r="W5380" t="s">
        <v>44007</v>
      </c>
      <c r="X5380" t="s">
        <v>47431</v>
      </c>
    </row>
    <row r="5381" spans="1:24">
      <c r="A5381">
        <f>HYPERLINK("https://www.philgeps.gov.ph/GEPSNONPILOT/Tender/SplashBidNoticeAbstractUI.aspx?menuIndex=3&amp;refID=7160917&amp;Result=3","7160917")</f>
        <v>0</v>
      </c>
      <c r="B5381" t="s">
        <v>103</v>
      </c>
      <c r="C5381" t="s">
        <v>8978</v>
      </c>
      <c r="D5381" t="s">
        <v>19056</v>
      </c>
      <c r="E5381" t="s">
        <v>23845</v>
      </c>
      <c r="F5381" t="s">
        <v>32831</v>
      </c>
      <c r="G5381" t="s">
        <v>32840</v>
      </c>
      <c r="H5381" t="s">
        <v>32848</v>
      </c>
      <c r="I5381" t="s">
        <v>10805</v>
      </c>
      <c r="J5381" t="s">
        <v>33067</v>
      </c>
      <c r="K5381" t="s">
        <v>42742</v>
      </c>
      <c r="L5381" t="s">
        <v>103</v>
      </c>
      <c r="M5381" t="s">
        <v>43100</v>
      </c>
      <c r="N5381" t="s">
        <v>47424</v>
      </c>
      <c r="O5381" t="s">
        <v>47425</v>
      </c>
      <c r="P5381">
        <v>0</v>
      </c>
      <c r="Q5381">
        <v>5</v>
      </c>
      <c r="R5381" t="s">
        <v>47430</v>
      </c>
      <c r="S5381" t="s">
        <v>47549</v>
      </c>
      <c r="T5381" t="s">
        <v>49116</v>
      </c>
      <c r="U5381" t="s">
        <v>49808</v>
      </c>
      <c r="W5381" t="s">
        <v>43100</v>
      </c>
      <c r="X5381" t="s">
        <v>47431</v>
      </c>
    </row>
    <row r="5382" spans="1:24">
      <c r="A5382">
        <f>HYPERLINK("https://www.philgeps.gov.ph/GEPSNONPILOT/Tender/SplashBidNoticeAbstractUI.aspx?menuIndex=3&amp;refID=7160957&amp;Result=3","7160957")</f>
        <v>0</v>
      </c>
      <c r="B5382" t="s">
        <v>1942</v>
      </c>
      <c r="C5382" t="s">
        <v>8979</v>
      </c>
      <c r="D5382" t="s">
        <v>19080</v>
      </c>
      <c r="E5382" t="s">
        <v>23846</v>
      </c>
      <c r="F5382" t="s">
        <v>32831</v>
      </c>
      <c r="G5382" t="s">
        <v>32839</v>
      </c>
      <c r="H5382" t="s">
        <v>32848</v>
      </c>
      <c r="I5382" t="s">
        <v>32860</v>
      </c>
      <c r="J5382" t="s">
        <v>36430</v>
      </c>
      <c r="K5382" t="s">
        <v>42727</v>
      </c>
      <c r="M5382" t="s">
        <v>45097</v>
      </c>
      <c r="N5382" t="s">
        <v>47424</v>
      </c>
      <c r="O5382" t="s">
        <v>47425</v>
      </c>
      <c r="P5382">
        <v>0</v>
      </c>
      <c r="Q5382">
        <v>1</v>
      </c>
      <c r="R5382" t="s">
        <v>47430</v>
      </c>
      <c r="S5382" t="s">
        <v>47549</v>
      </c>
      <c r="T5382" t="s">
        <v>49319</v>
      </c>
      <c r="U5382" t="s">
        <v>54232</v>
      </c>
      <c r="W5382" t="s">
        <v>45097</v>
      </c>
      <c r="X5382" t="s">
        <v>47431</v>
      </c>
    </row>
    <row r="5383" spans="1:24">
      <c r="A5383">
        <f>HYPERLINK("https://www.philgeps.gov.ph/GEPSNONPILOT/Tender/SplashBidNoticeAbstractUI.aspx?menuIndex=3&amp;refID=7160916&amp;Result=3","7160916")</f>
        <v>0</v>
      </c>
      <c r="B5383" t="s">
        <v>1479</v>
      </c>
      <c r="C5383" t="s">
        <v>8980</v>
      </c>
      <c r="D5383" t="s">
        <v>19027</v>
      </c>
      <c r="E5383" t="s">
        <v>23847</v>
      </c>
      <c r="F5383" t="s">
        <v>32831</v>
      </c>
      <c r="G5383" t="s">
        <v>32838</v>
      </c>
      <c r="H5383" t="s">
        <v>32848</v>
      </c>
      <c r="I5383" t="s">
        <v>32884</v>
      </c>
      <c r="J5383" t="s">
        <v>36431</v>
      </c>
      <c r="K5383" t="s">
        <v>42727</v>
      </c>
      <c r="M5383" t="s">
        <v>44572</v>
      </c>
      <c r="N5383" t="s">
        <v>47424</v>
      </c>
      <c r="O5383" t="s">
        <v>47425</v>
      </c>
      <c r="P5383">
        <v>0</v>
      </c>
      <c r="Q5383">
        <v>1</v>
      </c>
      <c r="R5383" t="s">
        <v>47430</v>
      </c>
      <c r="S5383" t="s">
        <v>47549</v>
      </c>
      <c r="T5383" t="s">
        <v>49129</v>
      </c>
      <c r="U5383" t="s">
        <v>52674</v>
      </c>
      <c r="W5383" t="s">
        <v>44572</v>
      </c>
      <c r="X5383" t="s">
        <v>47431</v>
      </c>
    </row>
    <row r="5384" spans="1:24">
      <c r="A5384">
        <f>HYPERLINK("https://www.philgeps.gov.ph/GEPSNONPILOT/Tender/SplashBidNoticeAbstractUI.aspx?menuIndex=3&amp;refID=7160915&amp;Result=3","7160915")</f>
        <v>0</v>
      </c>
      <c r="B5384" t="s">
        <v>693</v>
      </c>
      <c r="C5384" t="s">
        <v>8981</v>
      </c>
      <c r="D5384" t="s">
        <v>19073</v>
      </c>
      <c r="E5384" t="s">
        <v>20444</v>
      </c>
      <c r="F5384" t="s">
        <v>32831</v>
      </c>
      <c r="G5384" t="s">
        <v>32840</v>
      </c>
      <c r="H5384" t="s">
        <v>32848</v>
      </c>
      <c r="I5384" t="s">
        <v>4303</v>
      </c>
      <c r="J5384" t="s">
        <v>33853</v>
      </c>
      <c r="K5384" t="s">
        <v>42731</v>
      </c>
      <c r="M5384" t="s">
        <v>43712</v>
      </c>
      <c r="N5384" t="s">
        <v>47424</v>
      </c>
      <c r="O5384" t="s">
        <v>47425</v>
      </c>
      <c r="P5384">
        <v>0</v>
      </c>
      <c r="Q5384">
        <v>1</v>
      </c>
      <c r="R5384" t="s">
        <v>47430</v>
      </c>
      <c r="S5384" t="s">
        <v>47549</v>
      </c>
      <c r="T5384" t="s">
        <v>49108</v>
      </c>
      <c r="U5384" t="s">
        <v>54233</v>
      </c>
      <c r="W5384" t="s">
        <v>43712</v>
      </c>
      <c r="X5384" t="s">
        <v>47431</v>
      </c>
    </row>
    <row r="5385" spans="1:24">
      <c r="A5385">
        <f>HYPERLINK("https://www.philgeps.gov.ph/GEPSNONPILOT/Tender/SplashBidNoticeAbstractUI.aspx?menuIndex=3&amp;refID=7160912&amp;Result=3","7160912")</f>
        <v>0</v>
      </c>
      <c r="B5385" t="s">
        <v>855</v>
      </c>
      <c r="C5385" t="s">
        <v>8982</v>
      </c>
      <c r="E5385" t="s">
        <v>23848</v>
      </c>
      <c r="F5385" t="s">
        <v>32831</v>
      </c>
      <c r="G5385" t="s">
        <v>32838</v>
      </c>
      <c r="H5385" t="s">
        <v>32848</v>
      </c>
      <c r="I5385" t="s">
        <v>4487</v>
      </c>
      <c r="J5385" t="s">
        <v>36432</v>
      </c>
      <c r="K5385" t="s">
        <v>42732</v>
      </c>
      <c r="M5385" t="s">
        <v>44429</v>
      </c>
      <c r="N5385" t="s">
        <v>47424</v>
      </c>
      <c r="O5385" t="s">
        <v>47425</v>
      </c>
      <c r="P5385">
        <v>0</v>
      </c>
      <c r="Q5385">
        <v>6</v>
      </c>
      <c r="R5385" t="s">
        <v>47430</v>
      </c>
      <c r="S5385" t="s">
        <v>47549</v>
      </c>
      <c r="T5385" t="s">
        <v>49115</v>
      </c>
      <c r="U5385" t="s">
        <v>51102</v>
      </c>
      <c r="W5385" t="s">
        <v>44429</v>
      </c>
      <c r="X5385" t="s">
        <v>47431</v>
      </c>
    </row>
    <row r="5386" spans="1:24">
      <c r="A5386">
        <f>HYPERLINK("https://www.philgeps.gov.ph/GEPSNONPILOT/Tender/SplashBidNoticeAbstractUI.aspx?menuIndex=3&amp;refID=7160910&amp;Result=3","7160910")</f>
        <v>0</v>
      </c>
      <c r="B5386" t="s">
        <v>413</v>
      </c>
      <c r="C5386" t="s">
        <v>8983</v>
      </c>
      <c r="D5386" t="s">
        <v>19017</v>
      </c>
      <c r="E5386" t="s">
        <v>23849</v>
      </c>
      <c r="F5386" t="s">
        <v>32831</v>
      </c>
      <c r="G5386" t="s">
        <v>32840</v>
      </c>
      <c r="H5386" t="s">
        <v>32848</v>
      </c>
      <c r="I5386" t="s">
        <v>32874</v>
      </c>
      <c r="J5386" t="s">
        <v>36433</v>
      </c>
      <c r="K5386" t="s">
        <v>42727</v>
      </c>
      <c r="M5386" t="s">
        <v>43418</v>
      </c>
      <c r="N5386" t="s">
        <v>47424</v>
      </c>
      <c r="O5386" t="s">
        <v>47425</v>
      </c>
      <c r="P5386">
        <v>0</v>
      </c>
      <c r="Q5386">
        <v>7</v>
      </c>
      <c r="R5386" t="s">
        <v>47430</v>
      </c>
      <c r="S5386" t="s">
        <v>47549</v>
      </c>
      <c r="T5386" t="s">
        <v>49239</v>
      </c>
      <c r="U5386" t="s">
        <v>54234</v>
      </c>
      <c r="V5386" t="s">
        <v>62872</v>
      </c>
      <c r="W5386" t="s">
        <v>64454</v>
      </c>
      <c r="X5386" t="s">
        <v>47431</v>
      </c>
    </row>
    <row r="5387" spans="1:24">
      <c r="A5387">
        <f>HYPERLINK("https://www.philgeps.gov.ph/GEPSNONPILOT/Tender/SplashBidNoticeAbstractUI.aspx?menuIndex=3&amp;refID=7160908&amp;Result=3","7160908")</f>
        <v>0</v>
      </c>
      <c r="B5387" t="s">
        <v>1293</v>
      </c>
      <c r="C5387" t="s">
        <v>8984</v>
      </c>
      <c r="D5387" t="s">
        <v>19088</v>
      </c>
      <c r="E5387" t="s">
        <v>23850</v>
      </c>
      <c r="F5387" t="s">
        <v>32831</v>
      </c>
      <c r="G5387" t="s">
        <v>32838</v>
      </c>
      <c r="H5387" t="s">
        <v>32848</v>
      </c>
      <c r="I5387" t="s">
        <v>9577</v>
      </c>
      <c r="J5387" t="s">
        <v>36434</v>
      </c>
      <c r="K5387" t="s">
        <v>42730</v>
      </c>
      <c r="M5387" t="s">
        <v>44363</v>
      </c>
      <c r="N5387" t="s">
        <v>47424</v>
      </c>
      <c r="O5387" t="s">
        <v>47425</v>
      </c>
      <c r="P5387">
        <v>0</v>
      </c>
      <c r="Q5387">
        <v>4</v>
      </c>
      <c r="R5387" t="s">
        <v>47430</v>
      </c>
      <c r="S5387" t="s">
        <v>47549</v>
      </c>
      <c r="T5387" t="s">
        <v>49150</v>
      </c>
      <c r="U5387" t="s">
        <v>54235</v>
      </c>
      <c r="W5387" t="s">
        <v>44363</v>
      </c>
      <c r="X5387" t="s">
        <v>47431</v>
      </c>
    </row>
    <row r="5388" spans="1:24">
      <c r="A5388">
        <f>HYPERLINK("https://www.philgeps.gov.ph/GEPSNONPILOT/Tender/SplashBidNoticeAbstractUI.aspx?menuIndex=3&amp;refID=7160947&amp;Result=3","7160947")</f>
        <v>0</v>
      </c>
      <c r="B5388" t="s">
        <v>1293</v>
      </c>
      <c r="C5388" t="s">
        <v>8985</v>
      </c>
      <c r="D5388" t="s">
        <v>19088</v>
      </c>
      <c r="E5388" t="s">
        <v>23851</v>
      </c>
      <c r="F5388" t="s">
        <v>32831</v>
      </c>
      <c r="G5388" t="s">
        <v>32838</v>
      </c>
      <c r="H5388" t="s">
        <v>32848</v>
      </c>
      <c r="I5388" t="s">
        <v>32867</v>
      </c>
      <c r="J5388" t="s">
        <v>33090</v>
      </c>
      <c r="K5388" t="s">
        <v>42730</v>
      </c>
      <c r="M5388" t="s">
        <v>44363</v>
      </c>
      <c r="N5388" t="s">
        <v>47424</v>
      </c>
      <c r="O5388" t="s">
        <v>47425</v>
      </c>
      <c r="P5388">
        <v>0</v>
      </c>
      <c r="Q5388">
        <v>7</v>
      </c>
      <c r="R5388" t="s">
        <v>47430</v>
      </c>
      <c r="S5388" t="s">
        <v>47549</v>
      </c>
      <c r="T5388" t="s">
        <v>49150</v>
      </c>
      <c r="U5388" t="s">
        <v>54235</v>
      </c>
      <c r="W5388" t="s">
        <v>44363</v>
      </c>
      <c r="X5388" t="s">
        <v>47431</v>
      </c>
    </row>
    <row r="5389" spans="1:24">
      <c r="A5389">
        <f>HYPERLINK("https://www.philgeps.gov.ph/GEPSNONPILOT/Tender/SplashBidNoticeAbstractUI.aspx?menuIndex=3&amp;refID=7160962&amp;Result=3","7160962")</f>
        <v>0</v>
      </c>
      <c r="B5389" t="s">
        <v>674</v>
      </c>
      <c r="C5389" t="s">
        <v>8986</v>
      </c>
      <c r="D5389" t="s">
        <v>19058</v>
      </c>
      <c r="E5389" t="s">
        <v>23852</v>
      </c>
      <c r="F5389" t="s">
        <v>32831</v>
      </c>
      <c r="G5389" t="s">
        <v>32840</v>
      </c>
      <c r="H5389" t="s">
        <v>32848</v>
      </c>
      <c r="I5389" t="s">
        <v>9577</v>
      </c>
      <c r="J5389" t="s">
        <v>36435</v>
      </c>
      <c r="K5389" t="s">
        <v>42732</v>
      </c>
      <c r="M5389" t="s">
        <v>44520</v>
      </c>
      <c r="N5389" t="s">
        <v>47424</v>
      </c>
      <c r="O5389" t="s">
        <v>47425</v>
      </c>
      <c r="P5389">
        <v>0</v>
      </c>
      <c r="Q5389">
        <v>0</v>
      </c>
      <c r="R5389" t="s">
        <v>47430</v>
      </c>
      <c r="S5389" t="s">
        <v>47549</v>
      </c>
      <c r="T5389" t="s">
        <v>49237</v>
      </c>
      <c r="U5389" t="s">
        <v>54236</v>
      </c>
      <c r="W5389" t="s">
        <v>44520</v>
      </c>
      <c r="X5389" t="s">
        <v>47431</v>
      </c>
    </row>
    <row r="5390" spans="1:24">
      <c r="A5390">
        <f>HYPERLINK("https://www.philgeps.gov.ph/GEPSNONPILOT/Tender/SplashBidNoticeAbstractUI.aspx?menuIndex=3&amp;refID=7160883&amp;Result=3","7160883")</f>
        <v>0</v>
      </c>
      <c r="B5390" t="s">
        <v>2001</v>
      </c>
      <c r="C5390" t="s">
        <v>8987</v>
      </c>
      <c r="D5390" t="s">
        <v>19037</v>
      </c>
      <c r="E5390" t="s">
        <v>23853</v>
      </c>
      <c r="F5390" t="s">
        <v>32831</v>
      </c>
      <c r="G5390" t="s">
        <v>32839</v>
      </c>
      <c r="H5390" t="s">
        <v>32848</v>
      </c>
      <c r="I5390" t="s">
        <v>4438</v>
      </c>
      <c r="J5390" t="s">
        <v>33072</v>
      </c>
      <c r="K5390" t="s">
        <v>42726</v>
      </c>
      <c r="M5390" t="s">
        <v>45168</v>
      </c>
      <c r="N5390" t="s">
        <v>47424</v>
      </c>
      <c r="O5390" t="s">
        <v>47425</v>
      </c>
      <c r="P5390">
        <v>0</v>
      </c>
      <c r="Q5390">
        <v>2</v>
      </c>
      <c r="R5390" t="s">
        <v>47430</v>
      </c>
      <c r="S5390" t="s">
        <v>47549</v>
      </c>
      <c r="T5390" t="s">
        <v>49068</v>
      </c>
      <c r="U5390" t="s">
        <v>54237</v>
      </c>
      <c r="W5390" t="s">
        <v>45168</v>
      </c>
      <c r="X5390" t="s">
        <v>47431</v>
      </c>
    </row>
    <row r="5391" spans="1:24">
      <c r="A5391">
        <f>HYPERLINK("https://www.philgeps.gov.ph/GEPSNONPILOT/Tender/SplashBidNoticeAbstractUI.aspx?menuIndex=3&amp;refID=7160954&amp;Result=3","7160954")</f>
        <v>0</v>
      </c>
      <c r="B5391" t="s">
        <v>2002</v>
      </c>
      <c r="C5391" t="s">
        <v>8988</v>
      </c>
      <c r="D5391" t="s">
        <v>19077</v>
      </c>
      <c r="E5391" t="s">
        <v>23854</v>
      </c>
      <c r="F5391" t="s">
        <v>32831</v>
      </c>
      <c r="G5391" t="s">
        <v>32839</v>
      </c>
      <c r="H5391" t="s">
        <v>32848</v>
      </c>
      <c r="I5391" t="s">
        <v>32940</v>
      </c>
      <c r="J5391" t="s">
        <v>36436</v>
      </c>
      <c r="K5391" t="s">
        <v>42770</v>
      </c>
      <c r="M5391" t="s">
        <v>45169</v>
      </c>
      <c r="N5391" t="s">
        <v>47424</v>
      </c>
      <c r="O5391" t="s">
        <v>47425</v>
      </c>
      <c r="P5391">
        <v>0</v>
      </c>
      <c r="Q5391">
        <v>1</v>
      </c>
      <c r="R5391" t="s">
        <v>47430</v>
      </c>
      <c r="S5391" t="s">
        <v>47549</v>
      </c>
      <c r="T5391" t="s">
        <v>49137</v>
      </c>
      <c r="U5391" t="s">
        <v>54238</v>
      </c>
      <c r="W5391" t="s">
        <v>45169</v>
      </c>
      <c r="X5391" t="s">
        <v>47431</v>
      </c>
    </row>
    <row r="5392" spans="1:24">
      <c r="A5392">
        <f>HYPERLINK("https://www.philgeps.gov.ph/GEPSNONPILOT/Tender/SplashBidNoticeAbstractUI.aspx?menuIndex=3&amp;refID=7160880&amp;Result=3","7160880")</f>
        <v>0</v>
      </c>
      <c r="B5392" t="s">
        <v>342</v>
      </c>
      <c r="C5392" t="s">
        <v>8989</v>
      </c>
      <c r="D5392" t="s">
        <v>19047</v>
      </c>
      <c r="E5392" t="s">
        <v>23855</v>
      </c>
      <c r="F5392" t="s">
        <v>32831</v>
      </c>
      <c r="G5392" t="s">
        <v>32838</v>
      </c>
      <c r="H5392" t="s">
        <v>32848</v>
      </c>
      <c r="I5392" t="s">
        <v>32862</v>
      </c>
      <c r="J5392" t="s">
        <v>36437</v>
      </c>
      <c r="K5392" t="s">
        <v>42727</v>
      </c>
      <c r="M5392" t="s">
        <v>43345</v>
      </c>
      <c r="N5392" t="s">
        <v>47424</v>
      </c>
      <c r="O5392" t="s">
        <v>47425</v>
      </c>
      <c r="P5392">
        <v>0</v>
      </c>
      <c r="Q5392">
        <v>0</v>
      </c>
      <c r="R5392" t="s">
        <v>47430</v>
      </c>
      <c r="S5392" t="s">
        <v>47549</v>
      </c>
      <c r="T5392" t="s">
        <v>49237</v>
      </c>
      <c r="U5392" t="s">
        <v>50291</v>
      </c>
      <c r="W5392" t="s">
        <v>64436</v>
      </c>
      <c r="X5392" t="s">
        <v>47431</v>
      </c>
    </row>
    <row r="5393" spans="1:24">
      <c r="A5393">
        <f>HYPERLINK("https://www.philgeps.gov.ph/GEPSNONPILOT/Tender/SplashBidNoticeAbstractUI.aspx?menuIndex=3&amp;refID=7160909&amp;Result=3","7160909")</f>
        <v>0</v>
      </c>
      <c r="B5393" t="s">
        <v>266</v>
      </c>
      <c r="C5393" t="s">
        <v>8990</v>
      </c>
      <c r="D5393" t="s">
        <v>19040</v>
      </c>
      <c r="E5393" t="s">
        <v>23856</v>
      </c>
      <c r="F5393" t="s">
        <v>32831</v>
      </c>
      <c r="G5393" t="s">
        <v>32841</v>
      </c>
      <c r="H5393" t="s">
        <v>32848</v>
      </c>
      <c r="I5393" t="s">
        <v>32875</v>
      </c>
      <c r="J5393" t="s">
        <v>36438</v>
      </c>
      <c r="K5393" t="s">
        <v>42730</v>
      </c>
      <c r="M5393" t="s">
        <v>43265</v>
      </c>
      <c r="N5393" t="s">
        <v>47424</v>
      </c>
      <c r="O5393" t="s">
        <v>47425</v>
      </c>
      <c r="P5393">
        <v>0</v>
      </c>
      <c r="Q5393">
        <v>1</v>
      </c>
      <c r="R5393" t="s">
        <v>47430</v>
      </c>
      <c r="S5393" t="s">
        <v>47549</v>
      </c>
      <c r="T5393" t="s">
        <v>49073</v>
      </c>
      <c r="U5393" t="s">
        <v>54239</v>
      </c>
      <c r="V5393" t="s">
        <v>63221</v>
      </c>
      <c r="W5393" t="s">
        <v>43265</v>
      </c>
      <c r="X5393" t="s">
        <v>47431</v>
      </c>
    </row>
    <row r="5394" spans="1:24">
      <c r="A5394">
        <f>HYPERLINK("https://www.philgeps.gov.ph/GEPSNONPILOT/Tender/SplashBidNoticeAbstractUI.aspx?menuIndex=3&amp;refID=7160851&amp;Result=3","7160851")</f>
        <v>0</v>
      </c>
      <c r="B5394" t="s">
        <v>876</v>
      </c>
      <c r="C5394" t="s">
        <v>8991</v>
      </c>
      <c r="D5394" t="s">
        <v>19033</v>
      </c>
      <c r="E5394" t="s">
        <v>23857</v>
      </c>
      <c r="F5394" t="s">
        <v>32831</v>
      </c>
      <c r="G5394" t="s">
        <v>32839</v>
      </c>
      <c r="H5394" t="s">
        <v>32848</v>
      </c>
      <c r="I5394" t="s">
        <v>7819</v>
      </c>
      <c r="J5394" t="s">
        <v>33118</v>
      </c>
      <c r="K5394" t="s">
        <v>42730</v>
      </c>
      <c r="M5394" t="s">
        <v>43910</v>
      </c>
      <c r="N5394" t="s">
        <v>47424</v>
      </c>
      <c r="O5394" t="s">
        <v>47425</v>
      </c>
      <c r="P5394">
        <v>0</v>
      </c>
      <c r="Q5394">
        <v>0</v>
      </c>
      <c r="R5394" t="s">
        <v>47430</v>
      </c>
      <c r="S5394" t="s">
        <v>47549</v>
      </c>
      <c r="T5394" t="s">
        <v>49319</v>
      </c>
      <c r="U5394" t="s">
        <v>53977</v>
      </c>
      <c r="W5394" t="s">
        <v>43910</v>
      </c>
      <c r="X5394" t="s">
        <v>47431</v>
      </c>
    </row>
    <row r="5395" spans="1:24">
      <c r="A5395">
        <f>HYPERLINK("https://www.philgeps.gov.ph/GEPSNONPILOT/Tender/SplashBidNoticeAbstractUI.aspx?menuIndex=3&amp;refID=7160850&amp;Result=3","7160850")</f>
        <v>0</v>
      </c>
      <c r="B5395" t="s">
        <v>1993</v>
      </c>
      <c r="C5395" t="s">
        <v>8992</v>
      </c>
      <c r="D5395" t="s">
        <v>19054</v>
      </c>
      <c r="E5395" t="s">
        <v>23858</v>
      </c>
      <c r="F5395" t="s">
        <v>32831</v>
      </c>
      <c r="G5395" t="s">
        <v>32838</v>
      </c>
      <c r="H5395" t="s">
        <v>32848</v>
      </c>
      <c r="I5395" t="s">
        <v>32920</v>
      </c>
      <c r="J5395" t="s">
        <v>34100</v>
      </c>
      <c r="K5395" t="s">
        <v>42883</v>
      </c>
      <c r="M5395" t="s">
        <v>45159</v>
      </c>
      <c r="N5395" t="s">
        <v>47424</v>
      </c>
      <c r="O5395" t="s">
        <v>47425</v>
      </c>
      <c r="P5395">
        <v>0</v>
      </c>
      <c r="Q5395">
        <v>4</v>
      </c>
      <c r="R5395" t="s">
        <v>47430</v>
      </c>
      <c r="S5395" t="s">
        <v>47549</v>
      </c>
      <c r="T5395" t="s">
        <v>49108</v>
      </c>
      <c r="U5395" t="s">
        <v>54240</v>
      </c>
      <c r="W5395" t="s">
        <v>45159</v>
      </c>
      <c r="X5395" t="s">
        <v>47431</v>
      </c>
    </row>
    <row r="5396" spans="1:24">
      <c r="A5396">
        <f>HYPERLINK("https://www.philgeps.gov.ph/GEPSNONPILOT/Tender/SplashBidNoticeAbstractUI.aspx?menuIndex=3&amp;refID=7160882&amp;Result=3","7160882")</f>
        <v>0</v>
      </c>
      <c r="B5396" t="s">
        <v>2003</v>
      </c>
      <c r="C5396" t="s">
        <v>8993</v>
      </c>
      <c r="E5396" t="s">
        <v>19342</v>
      </c>
      <c r="F5396" t="s">
        <v>32832</v>
      </c>
      <c r="G5396" t="s">
        <v>32839</v>
      </c>
      <c r="H5396" t="s">
        <v>32848</v>
      </c>
      <c r="I5396" t="s">
        <v>7416</v>
      </c>
      <c r="J5396" t="s">
        <v>36439</v>
      </c>
      <c r="K5396" t="s">
        <v>42732</v>
      </c>
      <c r="M5396" t="s">
        <v>45170</v>
      </c>
      <c r="N5396" t="s">
        <v>47424</v>
      </c>
      <c r="O5396" t="s">
        <v>47425</v>
      </c>
      <c r="P5396">
        <v>0</v>
      </c>
      <c r="Q5396">
        <v>0</v>
      </c>
      <c r="R5396" t="s">
        <v>47430</v>
      </c>
      <c r="S5396" t="s">
        <v>47549</v>
      </c>
      <c r="T5396" t="s">
        <v>49193</v>
      </c>
      <c r="U5396" t="s">
        <v>49870</v>
      </c>
      <c r="W5396" t="s">
        <v>45170</v>
      </c>
      <c r="X5396" t="s">
        <v>47431</v>
      </c>
    </row>
    <row r="5397" spans="1:24">
      <c r="A5397">
        <f>HYPERLINK("https://www.philgeps.gov.ph/GEPSNONPILOT/Tender/SplashBidNoticeAbstractUI.aspx?menuIndex=3&amp;refID=7160879&amp;Result=3","7160879")</f>
        <v>0</v>
      </c>
      <c r="B5397" t="s">
        <v>855</v>
      </c>
      <c r="C5397" t="s">
        <v>8994</v>
      </c>
      <c r="E5397" t="s">
        <v>23859</v>
      </c>
      <c r="F5397" t="s">
        <v>32831</v>
      </c>
      <c r="G5397" t="s">
        <v>32838</v>
      </c>
      <c r="H5397" t="s">
        <v>32848</v>
      </c>
      <c r="I5397" t="s">
        <v>4558</v>
      </c>
      <c r="J5397" t="s">
        <v>36440</v>
      </c>
      <c r="K5397" t="s">
        <v>42732</v>
      </c>
      <c r="M5397" t="s">
        <v>44429</v>
      </c>
      <c r="N5397" t="s">
        <v>47424</v>
      </c>
      <c r="O5397" t="s">
        <v>47425</v>
      </c>
      <c r="P5397">
        <v>0</v>
      </c>
      <c r="Q5397">
        <v>7</v>
      </c>
      <c r="R5397" t="s">
        <v>47430</v>
      </c>
      <c r="S5397" t="s">
        <v>47549</v>
      </c>
      <c r="T5397" t="s">
        <v>49115</v>
      </c>
      <c r="U5397" t="s">
        <v>51102</v>
      </c>
      <c r="W5397" t="s">
        <v>44429</v>
      </c>
      <c r="X5397" t="s">
        <v>47431</v>
      </c>
    </row>
    <row r="5398" spans="1:24">
      <c r="A5398">
        <f>HYPERLINK("https://www.philgeps.gov.ph/GEPSNONPILOT/Tender/SplashBidNoticeAbstractUI.aspx?menuIndex=3&amp;refID=7160952&amp;Result=3","7160952")</f>
        <v>0</v>
      </c>
      <c r="B5398" t="s">
        <v>1894</v>
      </c>
      <c r="C5398" t="s">
        <v>8995</v>
      </c>
      <c r="D5398" t="s">
        <v>19031</v>
      </c>
      <c r="E5398" t="s">
        <v>23860</v>
      </c>
      <c r="F5398" t="s">
        <v>32831</v>
      </c>
      <c r="G5398" t="s">
        <v>32838</v>
      </c>
      <c r="H5398" t="s">
        <v>32848</v>
      </c>
      <c r="I5398" t="s">
        <v>4438</v>
      </c>
      <c r="J5398" t="s">
        <v>36441</v>
      </c>
      <c r="K5398" t="s">
        <v>42730</v>
      </c>
      <c r="M5398" t="s">
        <v>45041</v>
      </c>
      <c r="N5398" t="s">
        <v>47424</v>
      </c>
      <c r="O5398" t="s">
        <v>47425</v>
      </c>
      <c r="P5398">
        <v>0</v>
      </c>
      <c r="Q5398">
        <v>0</v>
      </c>
      <c r="R5398" t="s">
        <v>47430</v>
      </c>
      <c r="S5398" t="s">
        <v>47549</v>
      </c>
      <c r="T5398" t="s">
        <v>49108</v>
      </c>
      <c r="U5398" t="s">
        <v>53972</v>
      </c>
      <c r="W5398" t="s">
        <v>45041</v>
      </c>
      <c r="X5398" t="s">
        <v>47431</v>
      </c>
    </row>
    <row r="5399" spans="1:24">
      <c r="A5399">
        <f>HYPERLINK("https://www.philgeps.gov.ph/GEPSNONPILOT/Tender/SplashBidNoticeAbstractUI.aspx?menuIndex=3&amp;refID=7160846&amp;Result=3","7160846")</f>
        <v>0</v>
      </c>
      <c r="B5399" t="s">
        <v>1966</v>
      </c>
      <c r="C5399" t="s">
        <v>8996</v>
      </c>
      <c r="D5399" t="s">
        <v>19017</v>
      </c>
      <c r="E5399" t="s">
        <v>23861</v>
      </c>
      <c r="F5399" t="s">
        <v>32831</v>
      </c>
      <c r="G5399" t="s">
        <v>32838</v>
      </c>
      <c r="H5399" t="s">
        <v>32848</v>
      </c>
      <c r="I5399" t="s">
        <v>32874</v>
      </c>
      <c r="J5399" t="s">
        <v>36442</v>
      </c>
      <c r="K5399" t="s">
        <v>42763</v>
      </c>
      <c r="M5399" t="s">
        <v>45126</v>
      </c>
      <c r="N5399" t="s">
        <v>47424</v>
      </c>
      <c r="O5399" t="s">
        <v>47425</v>
      </c>
      <c r="P5399">
        <v>0</v>
      </c>
      <c r="Q5399">
        <v>15</v>
      </c>
      <c r="R5399" t="s">
        <v>47430</v>
      </c>
      <c r="S5399" t="s">
        <v>47549</v>
      </c>
      <c r="T5399" t="s">
        <v>49061</v>
      </c>
      <c r="U5399" t="s">
        <v>54199</v>
      </c>
      <c r="W5399" t="s">
        <v>45126</v>
      </c>
      <c r="X5399" t="s">
        <v>47431</v>
      </c>
    </row>
    <row r="5400" spans="1:24">
      <c r="A5400">
        <f>HYPERLINK("https://www.philgeps.gov.ph/GEPSNONPILOT/Tender/SplashBidNoticeAbstractUI.aspx?menuIndex=3&amp;refID=7160911&amp;Result=3","7160911")</f>
        <v>0</v>
      </c>
      <c r="B5400" t="s">
        <v>1823</v>
      </c>
      <c r="C5400" t="s">
        <v>8997</v>
      </c>
      <c r="D5400" t="s">
        <v>19100</v>
      </c>
      <c r="E5400" t="s">
        <v>23862</v>
      </c>
      <c r="F5400" t="s">
        <v>32831</v>
      </c>
      <c r="G5400" t="s">
        <v>32838</v>
      </c>
      <c r="H5400" t="s">
        <v>32848</v>
      </c>
      <c r="I5400" t="s">
        <v>32862</v>
      </c>
      <c r="J5400" t="s">
        <v>36443</v>
      </c>
      <c r="K5400" t="s">
        <v>42727</v>
      </c>
      <c r="M5400" t="s">
        <v>44956</v>
      </c>
      <c r="N5400" t="s">
        <v>47424</v>
      </c>
      <c r="O5400" t="s">
        <v>47425</v>
      </c>
      <c r="P5400">
        <v>0</v>
      </c>
      <c r="Q5400">
        <v>0</v>
      </c>
      <c r="R5400" t="s">
        <v>47430</v>
      </c>
      <c r="S5400" t="s">
        <v>47549</v>
      </c>
      <c r="T5400" t="s">
        <v>49243</v>
      </c>
      <c r="U5400" t="s">
        <v>54172</v>
      </c>
      <c r="W5400" t="s">
        <v>44956</v>
      </c>
      <c r="X5400" t="s">
        <v>47431</v>
      </c>
    </row>
    <row r="5401" spans="1:24">
      <c r="A5401">
        <f>HYPERLINK("https://www.philgeps.gov.ph/GEPSNONPILOT/Tender/SplashBidNoticeAbstractUI.aspx?menuIndex=3&amp;refID=7160845&amp;Result=3","7160845")</f>
        <v>0</v>
      </c>
      <c r="B5401" t="s">
        <v>92</v>
      </c>
      <c r="C5401" t="s">
        <v>8998</v>
      </c>
      <c r="D5401" t="s">
        <v>19051</v>
      </c>
      <c r="E5401" t="s">
        <v>19260</v>
      </c>
      <c r="F5401" t="s">
        <v>32831</v>
      </c>
      <c r="G5401" t="s">
        <v>32839</v>
      </c>
      <c r="H5401" t="s">
        <v>32849</v>
      </c>
      <c r="I5401" t="s">
        <v>4177</v>
      </c>
      <c r="J5401" t="s">
        <v>32985</v>
      </c>
      <c r="K5401" t="s">
        <v>42732</v>
      </c>
      <c r="M5401" t="s">
        <v>43089</v>
      </c>
      <c r="N5401" t="s">
        <v>47424</v>
      </c>
      <c r="O5401" t="s">
        <v>47425</v>
      </c>
      <c r="P5401">
        <v>0</v>
      </c>
      <c r="Q5401">
        <v>0</v>
      </c>
      <c r="R5401" t="s">
        <v>47430</v>
      </c>
      <c r="S5401" t="s">
        <v>47549</v>
      </c>
      <c r="T5401" t="s">
        <v>49181</v>
      </c>
      <c r="U5401" t="s">
        <v>54241</v>
      </c>
      <c r="V5401" t="s">
        <v>63222</v>
      </c>
      <c r="W5401" t="s">
        <v>43089</v>
      </c>
      <c r="X5401" t="s">
        <v>47431</v>
      </c>
    </row>
    <row r="5402" spans="1:24">
      <c r="A5402">
        <f>HYPERLINK("https://www.philgeps.gov.ph/GEPSNONPILOT/Tender/SplashBidNoticeAbstractUI.aspx?menuIndex=3&amp;refID=7160844&amp;Result=3","7160844")</f>
        <v>0</v>
      </c>
      <c r="B5402" t="s">
        <v>2004</v>
      </c>
      <c r="C5402" t="s">
        <v>8999</v>
      </c>
      <c r="D5402" t="s">
        <v>19023</v>
      </c>
      <c r="E5402" t="s">
        <v>23863</v>
      </c>
      <c r="F5402" t="s">
        <v>32831</v>
      </c>
      <c r="G5402" t="s">
        <v>32838</v>
      </c>
      <c r="H5402" t="s">
        <v>32848</v>
      </c>
      <c r="I5402" t="s">
        <v>10888</v>
      </c>
      <c r="J5402" t="s">
        <v>36444</v>
      </c>
      <c r="K5402" t="s">
        <v>42726</v>
      </c>
      <c r="M5402" t="s">
        <v>45171</v>
      </c>
      <c r="N5402" t="s">
        <v>47424</v>
      </c>
      <c r="O5402" t="s">
        <v>47425</v>
      </c>
      <c r="P5402">
        <v>0</v>
      </c>
      <c r="Q5402">
        <v>9</v>
      </c>
      <c r="R5402" t="s">
        <v>47430</v>
      </c>
      <c r="S5402" t="s">
        <v>47549</v>
      </c>
      <c r="T5402" t="s">
        <v>49111</v>
      </c>
      <c r="U5402" t="s">
        <v>54242</v>
      </c>
      <c r="W5402" t="s">
        <v>45171</v>
      </c>
      <c r="X5402" t="s">
        <v>47431</v>
      </c>
    </row>
    <row r="5403" spans="1:24">
      <c r="A5403">
        <f>HYPERLINK("https://www.philgeps.gov.ph/GEPSNONPILOT/Tender/SplashBidNoticeAbstractUI.aspx?menuIndex=3&amp;refID=7160998&amp;Result=3","7160998")</f>
        <v>0</v>
      </c>
      <c r="B5403" t="s">
        <v>342</v>
      </c>
      <c r="C5403" t="s">
        <v>9000</v>
      </c>
      <c r="D5403" t="s">
        <v>19047</v>
      </c>
      <c r="E5403" t="s">
        <v>23864</v>
      </c>
      <c r="F5403" t="s">
        <v>32831</v>
      </c>
      <c r="G5403" t="s">
        <v>32838</v>
      </c>
      <c r="H5403" t="s">
        <v>32848</v>
      </c>
      <c r="I5403" t="s">
        <v>32862</v>
      </c>
      <c r="J5403" t="s">
        <v>36445</v>
      </c>
      <c r="K5403" t="s">
        <v>42727</v>
      </c>
      <c r="M5403" t="s">
        <v>43345</v>
      </c>
      <c r="N5403" t="s">
        <v>47424</v>
      </c>
      <c r="O5403" t="s">
        <v>47425</v>
      </c>
      <c r="P5403">
        <v>0</v>
      </c>
      <c r="Q5403">
        <v>0</v>
      </c>
      <c r="R5403" t="s">
        <v>47430</v>
      </c>
      <c r="S5403" t="s">
        <v>47549</v>
      </c>
      <c r="T5403" t="s">
        <v>49237</v>
      </c>
      <c r="U5403" t="s">
        <v>50291</v>
      </c>
      <c r="W5403" t="s">
        <v>64436</v>
      </c>
      <c r="X5403" t="s">
        <v>47431</v>
      </c>
    </row>
    <row r="5404" spans="1:24">
      <c r="A5404">
        <f>HYPERLINK("https://www.philgeps.gov.ph/GEPSNONPILOT/Tender/SplashBidNoticeAbstractUI.aspx?menuIndex=3&amp;refID=7160849&amp;Result=3","7160849")</f>
        <v>0</v>
      </c>
      <c r="B5404" t="s">
        <v>2005</v>
      </c>
      <c r="C5404" t="s">
        <v>9001</v>
      </c>
      <c r="D5404" t="s">
        <v>19052</v>
      </c>
      <c r="E5404" t="s">
        <v>23865</v>
      </c>
      <c r="F5404" t="s">
        <v>32831</v>
      </c>
      <c r="G5404" t="s">
        <v>32838</v>
      </c>
      <c r="H5404" t="s">
        <v>32848</v>
      </c>
      <c r="I5404" t="s">
        <v>32910</v>
      </c>
      <c r="J5404" t="s">
        <v>33311</v>
      </c>
      <c r="K5404" t="s">
        <v>42730</v>
      </c>
      <c r="M5404" t="s">
        <v>45172</v>
      </c>
      <c r="N5404" t="s">
        <v>47424</v>
      </c>
      <c r="O5404" t="s">
        <v>47425</v>
      </c>
      <c r="P5404">
        <v>0</v>
      </c>
      <c r="Q5404">
        <v>2</v>
      </c>
      <c r="R5404" t="s">
        <v>47430</v>
      </c>
      <c r="S5404" t="s">
        <v>47549</v>
      </c>
      <c r="T5404" t="s">
        <v>49141</v>
      </c>
      <c r="U5404" t="s">
        <v>54243</v>
      </c>
      <c r="V5404" t="s">
        <v>63223</v>
      </c>
      <c r="W5404" t="s">
        <v>45172</v>
      </c>
      <c r="X5404" t="s">
        <v>47431</v>
      </c>
    </row>
    <row r="5405" spans="1:24">
      <c r="A5405">
        <f>HYPERLINK("https://www.philgeps.gov.ph/GEPSNONPILOT/Tender/SplashBidNoticeAbstractUI.aspx?menuIndex=3&amp;refID=7160996&amp;Result=3","7160996")</f>
        <v>0</v>
      </c>
      <c r="B5405" t="s">
        <v>2006</v>
      </c>
      <c r="C5405" t="s">
        <v>9002</v>
      </c>
      <c r="D5405" t="s">
        <v>19017</v>
      </c>
      <c r="E5405" t="s">
        <v>23866</v>
      </c>
      <c r="F5405" t="s">
        <v>32831</v>
      </c>
      <c r="G5405" t="s">
        <v>32838</v>
      </c>
      <c r="H5405" t="s">
        <v>32848</v>
      </c>
      <c r="I5405" t="s">
        <v>32869</v>
      </c>
      <c r="J5405" t="s">
        <v>36446</v>
      </c>
      <c r="K5405" t="s">
        <v>42727</v>
      </c>
      <c r="M5405" t="s">
        <v>45173</v>
      </c>
      <c r="N5405" t="s">
        <v>47424</v>
      </c>
      <c r="O5405" t="s">
        <v>47425</v>
      </c>
      <c r="P5405">
        <v>0</v>
      </c>
      <c r="Q5405">
        <v>2</v>
      </c>
      <c r="R5405" t="s">
        <v>47430</v>
      </c>
      <c r="S5405" t="s">
        <v>47549</v>
      </c>
      <c r="T5405" t="s">
        <v>49116</v>
      </c>
      <c r="U5405" t="s">
        <v>54244</v>
      </c>
      <c r="W5405" t="s">
        <v>45173</v>
      </c>
      <c r="X5405" t="s">
        <v>47431</v>
      </c>
    </row>
    <row r="5406" spans="1:24">
      <c r="A5406">
        <f>HYPERLINK("https://www.philgeps.gov.ph/GEPSNONPILOT/Tender/SplashBidNoticeAbstractUI.aspx?menuIndex=3&amp;refID=7160995&amp;Result=3","7160995")</f>
        <v>0</v>
      </c>
      <c r="B5406" t="s">
        <v>2007</v>
      </c>
      <c r="C5406" t="s">
        <v>9003</v>
      </c>
      <c r="D5406" t="s">
        <v>19017</v>
      </c>
      <c r="E5406" t="s">
        <v>23867</v>
      </c>
      <c r="F5406" t="s">
        <v>32831</v>
      </c>
      <c r="G5406" t="s">
        <v>32838</v>
      </c>
      <c r="H5406" t="s">
        <v>32848</v>
      </c>
      <c r="I5406" t="s">
        <v>4438</v>
      </c>
      <c r="J5406" t="s">
        <v>36447</v>
      </c>
      <c r="K5406" t="s">
        <v>42763</v>
      </c>
      <c r="M5406" t="s">
        <v>45174</v>
      </c>
      <c r="N5406" t="s">
        <v>47424</v>
      </c>
      <c r="O5406" t="s">
        <v>47425</v>
      </c>
      <c r="P5406">
        <v>0</v>
      </c>
      <c r="Q5406">
        <v>5</v>
      </c>
      <c r="R5406" t="s">
        <v>47430</v>
      </c>
      <c r="S5406" t="s">
        <v>47549</v>
      </c>
      <c r="T5406" t="s">
        <v>49244</v>
      </c>
      <c r="U5406" t="s">
        <v>54245</v>
      </c>
      <c r="W5406" t="s">
        <v>45174</v>
      </c>
      <c r="X5406" t="s">
        <v>47431</v>
      </c>
    </row>
    <row r="5407" spans="1:24">
      <c r="A5407">
        <f>HYPERLINK("https://www.philgeps.gov.ph/GEPSNONPILOT/Tender/SplashBidNoticeAbstractUI.aspx?menuIndex=3&amp;refID=7160881&amp;Result=3","7160881")</f>
        <v>0</v>
      </c>
      <c r="B5407" t="s">
        <v>1894</v>
      </c>
      <c r="C5407" t="s">
        <v>9004</v>
      </c>
      <c r="D5407" t="s">
        <v>19031</v>
      </c>
      <c r="E5407" t="s">
        <v>23868</v>
      </c>
      <c r="F5407" t="s">
        <v>32831</v>
      </c>
      <c r="G5407" t="s">
        <v>32838</v>
      </c>
      <c r="H5407" t="s">
        <v>32848</v>
      </c>
      <c r="I5407" t="s">
        <v>4438</v>
      </c>
      <c r="J5407" t="s">
        <v>36448</v>
      </c>
      <c r="K5407" t="s">
        <v>42730</v>
      </c>
      <c r="M5407" t="s">
        <v>45041</v>
      </c>
      <c r="N5407" t="s">
        <v>47424</v>
      </c>
      <c r="O5407" t="s">
        <v>47425</v>
      </c>
      <c r="P5407">
        <v>0</v>
      </c>
      <c r="Q5407">
        <v>1</v>
      </c>
      <c r="R5407" t="s">
        <v>47430</v>
      </c>
      <c r="S5407" t="s">
        <v>47549</v>
      </c>
      <c r="T5407" t="s">
        <v>49108</v>
      </c>
      <c r="U5407" t="s">
        <v>53972</v>
      </c>
      <c r="W5407" t="s">
        <v>45041</v>
      </c>
      <c r="X5407" t="s">
        <v>47431</v>
      </c>
    </row>
    <row r="5408" spans="1:24">
      <c r="A5408">
        <f>HYPERLINK("https://www.philgeps.gov.ph/GEPSNONPILOT/Tender/SplashBidNoticeAbstractUI.aspx?menuIndex=3&amp;refID=7160992&amp;Result=3","7160992")</f>
        <v>0</v>
      </c>
      <c r="B5408" t="s">
        <v>147</v>
      </c>
      <c r="C5408" t="s">
        <v>9005</v>
      </c>
      <c r="D5408" t="s">
        <v>19067</v>
      </c>
      <c r="E5408" t="s">
        <v>23869</v>
      </c>
      <c r="F5408" t="s">
        <v>32831</v>
      </c>
      <c r="G5408" t="s">
        <v>32839</v>
      </c>
      <c r="H5408" t="s">
        <v>32848</v>
      </c>
      <c r="I5408" t="s">
        <v>32853</v>
      </c>
      <c r="J5408" t="s">
        <v>32978</v>
      </c>
      <c r="K5408" t="s">
        <v>42730</v>
      </c>
      <c r="M5408" t="s">
        <v>43144</v>
      </c>
      <c r="N5408" t="s">
        <v>47424</v>
      </c>
      <c r="O5408" t="s">
        <v>47425</v>
      </c>
      <c r="P5408">
        <v>0</v>
      </c>
      <c r="Q5408">
        <v>0</v>
      </c>
      <c r="R5408" t="s">
        <v>47430</v>
      </c>
      <c r="S5408" t="s">
        <v>47549</v>
      </c>
      <c r="T5408" t="s">
        <v>49106</v>
      </c>
      <c r="U5408" t="s">
        <v>54246</v>
      </c>
      <c r="W5408" t="s">
        <v>43144</v>
      </c>
      <c r="X5408" t="s">
        <v>47431</v>
      </c>
    </row>
    <row r="5409" spans="1:24">
      <c r="A5409">
        <f>HYPERLINK("https://www.philgeps.gov.ph/GEPSNONPILOT/Tender/SplashBidNoticeAbstractUI.aspx?menuIndex=3&amp;refID=7160990&amp;Result=3","7160990")</f>
        <v>0</v>
      </c>
      <c r="B5409" t="s">
        <v>1847</v>
      </c>
      <c r="C5409" t="s">
        <v>9006</v>
      </c>
      <c r="D5409" t="s">
        <v>19037</v>
      </c>
      <c r="E5409" t="s">
        <v>23870</v>
      </c>
      <c r="F5409" t="s">
        <v>32831</v>
      </c>
      <c r="G5409" t="s">
        <v>32839</v>
      </c>
      <c r="H5409" t="s">
        <v>32848</v>
      </c>
      <c r="I5409" t="s">
        <v>9577</v>
      </c>
      <c r="J5409" t="s">
        <v>36449</v>
      </c>
      <c r="K5409" t="s">
        <v>42731</v>
      </c>
      <c r="M5409" t="s">
        <v>44983</v>
      </c>
      <c r="N5409" t="s">
        <v>47424</v>
      </c>
      <c r="O5409" t="s">
        <v>47425</v>
      </c>
      <c r="P5409">
        <v>0</v>
      </c>
      <c r="Q5409">
        <v>3</v>
      </c>
      <c r="R5409" t="s">
        <v>47430</v>
      </c>
      <c r="S5409" t="s">
        <v>47549</v>
      </c>
      <c r="T5409" t="s">
        <v>49130</v>
      </c>
      <c r="U5409" t="s">
        <v>54247</v>
      </c>
      <c r="V5409" t="s">
        <v>63224</v>
      </c>
      <c r="W5409" t="s">
        <v>44983</v>
      </c>
      <c r="X5409" t="s">
        <v>47431</v>
      </c>
    </row>
    <row r="5410" spans="1:24">
      <c r="A5410">
        <f>HYPERLINK("https://www.philgeps.gov.ph/GEPSNONPILOT/Tender/SplashBidNoticeAbstractUI.aspx?menuIndex=3&amp;refID=7160987&amp;Result=3","7160987")</f>
        <v>0</v>
      </c>
      <c r="B5410" t="s">
        <v>2008</v>
      </c>
      <c r="C5410" t="s">
        <v>9007</v>
      </c>
      <c r="D5410" t="s">
        <v>19084</v>
      </c>
      <c r="E5410" t="s">
        <v>23871</v>
      </c>
      <c r="F5410" t="s">
        <v>32831</v>
      </c>
      <c r="G5410" t="s">
        <v>32838</v>
      </c>
      <c r="H5410" t="s">
        <v>32848</v>
      </c>
      <c r="I5410" t="s">
        <v>7416</v>
      </c>
      <c r="J5410" t="s">
        <v>36450</v>
      </c>
      <c r="K5410" t="s">
        <v>42758</v>
      </c>
      <c r="M5410" t="s">
        <v>45175</v>
      </c>
      <c r="N5410" t="s">
        <v>47424</v>
      </c>
      <c r="O5410" t="s">
        <v>47425</v>
      </c>
      <c r="P5410">
        <v>0</v>
      </c>
      <c r="Q5410">
        <v>0</v>
      </c>
      <c r="R5410" t="s">
        <v>47430</v>
      </c>
      <c r="S5410" t="s">
        <v>47549</v>
      </c>
      <c r="T5410" t="s">
        <v>49166</v>
      </c>
      <c r="U5410" t="s">
        <v>50296</v>
      </c>
      <c r="W5410" t="s">
        <v>45175</v>
      </c>
      <c r="X5410" t="s">
        <v>47431</v>
      </c>
    </row>
    <row r="5411" spans="1:24">
      <c r="A5411">
        <f>HYPERLINK("https://www.philgeps.gov.ph/GEPSNONPILOT/Tender/SplashBidNoticeAbstractUI.aspx?menuIndex=3&amp;refID=7161000&amp;Result=3","7161000")</f>
        <v>0</v>
      </c>
      <c r="B5411" t="s">
        <v>2009</v>
      </c>
      <c r="C5411" t="s">
        <v>9008</v>
      </c>
      <c r="D5411" t="s">
        <v>19061</v>
      </c>
      <c r="E5411" t="s">
        <v>20718</v>
      </c>
      <c r="F5411" t="s">
        <v>32831</v>
      </c>
      <c r="G5411" t="s">
        <v>32840</v>
      </c>
      <c r="H5411" t="s">
        <v>32848</v>
      </c>
      <c r="I5411" t="s">
        <v>32884</v>
      </c>
      <c r="J5411" t="s">
        <v>36451</v>
      </c>
      <c r="K5411" t="s">
        <v>42729</v>
      </c>
      <c r="M5411" t="s">
        <v>45176</v>
      </c>
      <c r="N5411" t="s">
        <v>47424</v>
      </c>
      <c r="O5411" t="s">
        <v>47425</v>
      </c>
      <c r="P5411">
        <v>0</v>
      </c>
      <c r="Q5411">
        <v>2</v>
      </c>
      <c r="R5411" t="s">
        <v>47430</v>
      </c>
      <c r="S5411" t="s">
        <v>47549</v>
      </c>
      <c r="T5411" t="s">
        <v>49162</v>
      </c>
      <c r="U5411" t="s">
        <v>54248</v>
      </c>
      <c r="W5411" t="s">
        <v>45176</v>
      </c>
      <c r="X5411" t="s">
        <v>47431</v>
      </c>
    </row>
    <row r="5412" spans="1:24">
      <c r="A5412">
        <f>HYPERLINK("https://www.philgeps.gov.ph/GEPSNONPILOT/Tender/SplashBidNoticeAbstractUI.aspx?menuIndex=3&amp;refID=7160985&amp;Result=3","7160985")</f>
        <v>0</v>
      </c>
      <c r="B5412" t="s">
        <v>2010</v>
      </c>
      <c r="C5412" t="s">
        <v>9009</v>
      </c>
      <c r="D5412" t="s">
        <v>19079</v>
      </c>
      <c r="E5412" t="s">
        <v>23872</v>
      </c>
      <c r="F5412" t="s">
        <v>32831</v>
      </c>
      <c r="G5412" t="s">
        <v>32839</v>
      </c>
      <c r="H5412" t="s">
        <v>32849</v>
      </c>
      <c r="I5412" t="s">
        <v>7416</v>
      </c>
      <c r="J5412" t="s">
        <v>36452</v>
      </c>
      <c r="K5412" t="s">
        <v>42781</v>
      </c>
      <c r="M5412" t="s">
        <v>45177</v>
      </c>
      <c r="N5412" t="s">
        <v>47424</v>
      </c>
      <c r="O5412" t="s">
        <v>47425</v>
      </c>
      <c r="P5412">
        <v>0</v>
      </c>
      <c r="Q5412">
        <v>0</v>
      </c>
      <c r="R5412" t="s">
        <v>47430</v>
      </c>
      <c r="S5412" t="s">
        <v>47549</v>
      </c>
      <c r="T5412" t="s">
        <v>49196</v>
      </c>
      <c r="U5412" t="s">
        <v>54249</v>
      </c>
      <c r="W5412" t="s">
        <v>45177</v>
      </c>
      <c r="X5412" t="s">
        <v>47431</v>
      </c>
    </row>
    <row r="5413" spans="1:24">
      <c r="A5413">
        <f>HYPERLINK("https://www.philgeps.gov.ph/GEPSNONPILOT/Tender/SplashBidNoticeAbstractUI.aspx?menuIndex=3&amp;refID=7160983&amp;Result=3","7160983")</f>
        <v>0</v>
      </c>
      <c r="B5413" t="s">
        <v>2011</v>
      </c>
      <c r="C5413" t="s">
        <v>9010</v>
      </c>
      <c r="D5413" t="s">
        <v>19027</v>
      </c>
      <c r="E5413" t="s">
        <v>22699</v>
      </c>
      <c r="F5413" t="s">
        <v>32831</v>
      </c>
      <c r="G5413" t="s">
        <v>32839</v>
      </c>
      <c r="H5413" t="s">
        <v>32848</v>
      </c>
      <c r="I5413" t="s">
        <v>32864</v>
      </c>
      <c r="J5413" t="s">
        <v>36453</v>
      </c>
      <c r="K5413" t="s">
        <v>42731</v>
      </c>
      <c r="M5413" t="s">
        <v>45178</v>
      </c>
      <c r="N5413" t="s">
        <v>47424</v>
      </c>
      <c r="O5413" t="s">
        <v>47425</v>
      </c>
      <c r="P5413">
        <v>0</v>
      </c>
      <c r="Q5413">
        <v>0</v>
      </c>
      <c r="R5413" t="s">
        <v>47430</v>
      </c>
      <c r="S5413" t="s">
        <v>47549</v>
      </c>
      <c r="T5413" t="s">
        <v>49387</v>
      </c>
      <c r="U5413" t="s">
        <v>54250</v>
      </c>
      <c r="W5413" t="s">
        <v>45178</v>
      </c>
      <c r="X5413" t="s">
        <v>47431</v>
      </c>
    </row>
    <row r="5414" spans="1:24">
      <c r="A5414">
        <f>HYPERLINK("https://www.philgeps.gov.ph/GEPSNONPILOT/Tender/SplashBidNoticeAbstractUI.aspx?menuIndex=3&amp;refID=7160878&amp;Result=3","7160878")</f>
        <v>0</v>
      </c>
      <c r="B5414" t="s">
        <v>2012</v>
      </c>
      <c r="C5414" t="s">
        <v>9011</v>
      </c>
      <c r="D5414" t="s">
        <v>19095</v>
      </c>
      <c r="E5414" t="s">
        <v>23873</v>
      </c>
      <c r="F5414" t="s">
        <v>32831</v>
      </c>
      <c r="G5414" t="s">
        <v>32839</v>
      </c>
      <c r="H5414" t="s">
        <v>32848</v>
      </c>
      <c r="I5414" t="s">
        <v>4776</v>
      </c>
      <c r="J5414" t="s">
        <v>34095</v>
      </c>
      <c r="K5414" t="s">
        <v>42732</v>
      </c>
      <c r="L5414" t="s">
        <v>2012</v>
      </c>
      <c r="M5414" t="s">
        <v>45179</v>
      </c>
      <c r="N5414" t="s">
        <v>47424</v>
      </c>
      <c r="O5414" t="s">
        <v>47425</v>
      </c>
      <c r="P5414">
        <v>0</v>
      </c>
      <c r="Q5414">
        <v>3</v>
      </c>
      <c r="R5414" t="s">
        <v>47430</v>
      </c>
      <c r="S5414" t="s">
        <v>47549</v>
      </c>
      <c r="T5414" t="s">
        <v>49089</v>
      </c>
      <c r="U5414" t="s">
        <v>54251</v>
      </c>
      <c r="W5414" t="s">
        <v>45179</v>
      </c>
      <c r="X5414" t="s">
        <v>47431</v>
      </c>
    </row>
    <row r="5415" spans="1:24">
      <c r="A5415">
        <f>HYPERLINK("https://www.philgeps.gov.ph/GEPSNONPILOT/Tender/SplashBidNoticeAbstractUI.aspx?menuIndex=3&amp;refID=7160988&amp;Result=3","7160988")</f>
        <v>0</v>
      </c>
      <c r="B5415" t="s">
        <v>2013</v>
      </c>
      <c r="C5415" t="s">
        <v>9012</v>
      </c>
      <c r="E5415" t="s">
        <v>19342</v>
      </c>
      <c r="F5415" t="s">
        <v>32832</v>
      </c>
      <c r="G5415" t="s">
        <v>32839</v>
      </c>
      <c r="H5415" t="s">
        <v>32848</v>
      </c>
      <c r="I5415" t="s">
        <v>7416</v>
      </c>
      <c r="J5415" t="s">
        <v>35469</v>
      </c>
      <c r="K5415" t="s">
        <v>42732</v>
      </c>
      <c r="M5415" t="s">
        <v>45180</v>
      </c>
      <c r="N5415" t="s">
        <v>47424</v>
      </c>
      <c r="O5415" t="s">
        <v>47425</v>
      </c>
      <c r="P5415">
        <v>0</v>
      </c>
      <c r="Q5415">
        <v>0</v>
      </c>
      <c r="R5415" t="s">
        <v>47430</v>
      </c>
      <c r="S5415" t="s">
        <v>47549</v>
      </c>
      <c r="T5415" t="s">
        <v>49160</v>
      </c>
      <c r="U5415" t="s">
        <v>49870</v>
      </c>
      <c r="W5415" t="s">
        <v>45180</v>
      </c>
      <c r="X5415" t="s">
        <v>47431</v>
      </c>
    </row>
    <row r="5416" spans="1:24">
      <c r="A5416">
        <f>HYPERLINK("https://www.philgeps.gov.ph/GEPSNONPILOT/Tender/SplashBidNoticeAbstractUI.aspx?menuIndex=3&amp;refID=7160979&amp;Result=3","7160979")</f>
        <v>0</v>
      </c>
      <c r="B5416" t="s">
        <v>103</v>
      </c>
      <c r="C5416" t="s">
        <v>9013</v>
      </c>
      <c r="D5416" t="s">
        <v>19056</v>
      </c>
      <c r="E5416" t="s">
        <v>23874</v>
      </c>
      <c r="F5416" t="s">
        <v>32831</v>
      </c>
      <c r="G5416" t="s">
        <v>32842</v>
      </c>
      <c r="H5416" t="s">
        <v>32848</v>
      </c>
      <c r="I5416" t="s">
        <v>10805</v>
      </c>
      <c r="J5416" t="s">
        <v>36454</v>
      </c>
      <c r="K5416" t="s">
        <v>42742</v>
      </c>
      <c r="L5416" t="s">
        <v>103</v>
      </c>
      <c r="M5416" t="s">
        <v>43100</v>
      </c>
      <c r="N5416" t="s">
        <v>47424</v>
      </c>
      <c r="O5416" t="s">
        <v>47425</v>
      </c>
      <c r="P5416">
        <v>0</v>
      </c>
      <c r="Q5416">
        <v>3</v>
      </c>
      <c r="R5416" t="s">
        <v>47430</v>
      </c>
      <c r="S5416" t="s">
        <v>47549</v>
      </c>
      <c r="T5416" t="s">
        <v>49116</v>
      </c>
      <c r="U5416" t="s">
        <v>49808</v>
      </c>
      <c r="W5416" t="s">
        <v>43100</v>
      </c>
      <c r="X5416" t="s">
        <v>47431</v>
      </c>
    </row>
    <row r="5417" spans="1:24">
      <c r="A5417">
        <f>HYPERLINK("https://www.philgeps.gov.ph/GEPSNONPILOT/Tender/SplashBidNoticeAbstractUI.aspx?menuIndex=3&amp;refID=7160997&amp;Result=3","7160997")</f>
        <v>0</v>
      </c>
      <c r="B5417" t="s">
        <v>924</v>
      </c>
      <c r="C5417" t="s">
        <v>9014</v>
      </c>
      <c r="D5417" t="s">
        <v>19059</v>
      </c>
      <c r="E5417" t="s">
        <v>23875</v>
      </c>
      <c r="F5417" t="s">
        <v>32831</v>
      </c>
      <c r="G5417" t="s">
        <v>32839</v>
      </c>
      <c r="H5417" t="s">
        <v>32849</v>
      </c>
      <c r="I5417" t="s">
        <v>4177</v>
      </c>
      <c r="J5417" t="s">
        <v>36455</v>
      </c>
      <c r="K5417" t="s">
        <v>42730</v>
      </c>
      <c r="M5417" t="s">
        <v>43965</v>
      </c>
      <c r="N5417" t="s">
        <v>47424</v>
      </c>
      <c r="O5417" t="s">
        <v>47425</v>
      </c>
      <c r="P5417">
        <v>0</v>
      </c>
      <c r="Q5417">
        <v>0</v>
      </c>
      <c r="R5417" t="s">
        <v>47430</v>
      </c>
      <c r="S5417" t="s">
        <v>47549</v>
      </c>
      <c r="T5417" t="s">
        <v>49398</v>
      </c>
      <c r="U5417" t="s">
        <v>54252</v>
      </c>
      <c r="V5417" t="s">
        <v>63225</v>
      </c>
      <c r="W5417" t="s">
        <v>43965</v>
      </c>
      <c r="X5417" t="s">
        <v>47431</v>
      </c>
    </row>
    <row r="5418" spans="1:24">
      <c r="A5418">
        <f>HYPERLINK("https://www.philgeps.gov.ph/GEPSNONPILOT/Tender/SplashBidNoticeAbstractUI.aspx?menuIndex=3&amp;refID=7160976&amp;Result=3","7160976")</f>
        <v>0</v>
      </c>
      <c r="B5418" t="s">
        <v>1218</v>
      </c>
      <c r="C5418" t="s">
        <v>9015</v>
      </c>
      <c r="D5418" t="s">
        <v>19030</v>
      </c>
      <c r="E5418" t="s">
        <v>23876</v>
      </c>
      <c r="F5418" t="s">
        <v>32831</v>
      </c>
      <c r="G5418" t="s">
        <v>32840</v>
      </c>
      <c r="H5418" t="s">
        <v>32848</v>
      </c>
      <c r="I5418" t="s">
        <v>10805</v>
      </c>
      <c r="J5418" t="s">
        <v>36456</v>
      </c>
      <c r="K5418" t="s">
        <v>42732</v>
      </c>
      <c r="M5418" t="s">
        <v>44286</v>
      </c>
      <c r="N5418" t="s">
        <v>47424</v>
      </c>
      <c r="O5418" t="s">
        <v>47425</v>
      </c>
      <c r="P5418">
        <v>0</v>
      </c>
      <c r="Q5418">
        <v>4</v>
      </c>
      <c r="R5418" t="s">
        <v>47430</v>
      </c>
      <c r="S5418" t="s">
        <v>47549</v>
      </c>
      <c r="T5418" t="s">
        <v>49124</v>
      </c>
      <c r="U5418" t="s">
        <v>54253</v>
      </c>
      <c r="V5418" t="s">
        <v>62926</v>
      </c>
      <c r="W5418" t="s">
        <v>44286</v>
      </c>
      <c r="X5418" t="s">
        <v>47431</v>
      </c>
    </row>
    <row r="5419" spans="1:24">
      <c r="A5419">
        <f>HYPERLINK("https://www.philgeps.gov.ph/GEPSNONPILOT/Tender/SplashBidNoticeAbstractUI.aspx?menuIndex=3&amp;refID=7160973&amp;Result=3","7160973")</f>
        <v>0</v>
      </c>
      <c r="B5419" t="s">
        <v>876</v>
      </c>
      <c r="C5419" t="s">
        <v>9016</v>
      </c>
      <c r="D5419" t="s">
        <v>19033</v>
      </c>
      <c r="E5419" t="s">
        <v>23877</v>
      </c>
      <c r="F5419" t="s">
        <v>32831</v>
      </c>
      <c r="G5419" t="s">
        <v>32839</v>
      </c>
      <c r="H5419" t="s">
        <v>32848</v>
      </c>
      <c r="I5419" t="s">
        <v>7819</v>
      </c>
      <c r="J5419" t="s">
        <v>33044</v>
      </c>
      <c r="K5419" t="s">
        <v>42730</v>
      </c>
      <c r="M5419" t="s">
        <v>43910</v>
      </c>
      <c r="N5419" t="s">
        <v>47424</v>
      </c>
      <c r="O5419" t="s">
        <v>47425</v>
      </c>
      <c r="P5419">
        <v>0</v>
      </c>
      <c r="Q5419">
        <v>4</v>
      </c>
      <c r="R5419" t="s">
        <v>47430</v>
      </c>
      <c r="S5419" t="s">
        <v>47549</v>
      </c>
      <c r="T5419" t="s">
        <v>49319</v>
      </c>
      <c r="U5419" t="s">
        <v>53977</v>
      </c>
      <c r="W5419" t="s">
        <v>43910</v>
      </c>
      <c r="X5419" t="s">
        <v>47431</v>
      </c>
    </row>
    <row r="5420" spans="1:24">
      <c r="A5420">
        <f>HYPERLINK("https://www.philgeps.gov.ph/GEPSNONPILOT/Tender/SplashBidNoticeAbstractUI.aspx?menuIndex=3&amp;refID=7160815&amp;Result=3","7160815")</f>
        <v>0</v>
      </c>
      <c r="B5420" t="s">
        <v>2014</v>
      </c>
      <c r="C5420" t="s">
        <v>9017</v>
      </c>
      <c r="D5420" t="s">
        <v>19047</v>
      </c>
      <c r="E5420" t="s">
        <v>23878</v>
      </c>
      <c r="F5420" t="s">
        <v>32831</v>
      </c>
      <c r="G5420" t="s">
        <v>32840</v>
      </c>
      <c r="H5420" t="s">
        <v>32848</v>
      </c>
      <c r="I5420" t="s">
        <v>32932</v>
      </c>
      <c r="J5420" t="s">
        <v>36457</v>
      </c>
      <c r="K5420" t="s">
        <v>42727</v>
      </c>
      <c r="M5420" t="s">
        <v>45181</v>
      </c>
      <c r="N5420" t="s">
        <v>47424</v>
      </c>
      <c r="O5420" t="s">
        <v>47425</v>
      </c>
      <c r="P5420">
        <v>0</v>
      </c>
      <c r="Q5420">
        <v>0</v>
      </c>
      <c r="R5420" t="s">
        <v>47430</v>
      </c>
      <c r="S5420" t="s">
        <v>47549</v>
      </c>
      <c r="T5420" t="s">
        <v>49111</v>
      </c>
      <c r="U5420" t="s">
        <v>54254</v>
      </c>
      <c r="W5420" t="s">
        <v>45181</v>
      </c>
      <c r="X5420" t="s">
        <v>47431</v>
      </c>
    </row>
    <row r="5421" spans="1:24">
      <c r="A5421">
        <f>HYPERLINK("https://www.philgeps.gov.ph/GEPSNONPILOT/Tender/SplashBidNoticeAbstractUI.aspx?menuIndex=3&amp;refID=7160981&amp;Result=3","7160981")</f>
        <v>0</v>
      </c>
      <c r="B5421" t="s">
        <v>2015</v>
      </c>
      <c r="C5421" t="s">
        <v>9018</v>
      </c>
      <c r="D5421" t="s">
        <v>19049</v>
      </c>
      <c r="E5421" t="s">
        <v>19215</v>
      </c>
      <c r="F5421" t="s">
        <v>32831</v>
      </c>
      <c r="G5421" t="s">
        <v>32839</v>
      </c>
      <c r="H5421" t="s">
        <v>32849</v>
      </c>
      <c r="I5421" t="s">
        <v>4177</v>
      </c>
      <c r="J5421" t="s">
        <v>36458</v>
      </c>
      <c r="K5421" t="s">
        <v>42729</v>
      </c>
      <c r="M5421" t="s">
        <v>45182</v>
      </c>
      <c r="N5421" t="s">
        <v>47424</v>
      </c>
      <c r="O5421" t="s">
        <v>47425</v>
      </c>
      <c r="P5421">
        <v>0</v>
      </c>
      <c r="Q5421">
        <v>19</v>
      </c>
      <c r="R5421" t="s">
        <v>47430</v>
      </c>
      <c r="S5421" t="s">
        <v>47549</v>
      </c>
      <c r="T5421" t="s">
        <v>49065</v>
      </c>
      <c r="U5421" t="s">
        <v>54255</v>
      </c>
      <c r="W5421" t="s">
        <v>45182</v>
      </c>
      <c r="X5421" t="s">
        <v>47431</v>
      </c>
    </row>
    <row r="5422" spans="1:24">
      <c r="A5422">
        <f>HYPERLINK("https://www.philgeps.gov.ph/GEPSNONPILOT/Tender/SplashBidNoticeAbstractUI.aspx?menuIndex=3&amp;refID=7160977&amp;Result=3","7160977")</f>
        <v>0</v>
      </c>
      <c r="B5422" t="s">
        <v>855</v>
      </c>
      <c r="C5422" t="s">
        <v>9019</v>
      </c>
      <c r="E5422" t="s">
        <v>23879</v>
      </c>
      <c r="F5422" t="s">
        <v>32831</v>
      </c>
      <c r="G5422" t="s">
        <v>32838</v>
      </c>
      <c r="H5422" t="s">
        <v>32849</v>
      </c>
      <c r="I5422" t="s">
        <v>4177</v>
      </c>
      <c r="J5422" t="s">
        <v>36459</v>
      </c>
      <c r="K5422" t="s">
        <v>42732</v>
      </c>
      <c r="M5422" t="s">
        <v>44429</v>
      </c>
      <c r="N5422" t="s">
        <v>47424</v>
      </c>
      <c r="O5422" t="s">
        <v>47425</v>
      </c>
      <c r="Q5422">
        <v>1</v>
      </c>
      <c r="R5422" t="s">
        <v>47430</v>
      </c>
      <c r="S5422" t="s">
        <v>47557</v>
      </c>
      <c r="T5422" t="s">
        <v>49115</v>
      </c>
      <c r="U5422" t="s">
        <v>51102</v>
      </c>
      <c r="W5422" t="s">
        <v>44429</v>
      </c>
      <c r="X5422" t="s">
        <v>47431</v>
      </c>
    </row>
    <row r="5423" spans="1:24">
      <c r="A5423">
        <f>HYPERLINK("https://www.philgeps.gov.ph/GEPSNONPILOT/Tender/SplashBidNoticeAbstractUI.aspx?menuIndex=3&amp;refID=7160974&amp;Result=3","7160974")</f>
        <v>0</v>
      </c>
      <c r="B5423" t="s">
        <v>266</v>
      </c>
      <c r="C5423" t="s">
        <v>9020</v>
      </c>
      <c r="E5423" t="s">
        <v>23880</v>
      </c>
      <c r="F5423" t="s">
        <v>32831</v>
      </c>
      <c r="G5423" t="s">
        <v>32841</v>
      </c>
      <c r="H5423" t="s">
        <v>32848</v>
      </c>
      <c r="I5423" t="s">
        <v>32875</v>
      </c>
      <c r="J5423" t="s">
        <v>36460</v>
      </c>
      <c r="K5423" t="s">
        <v>42730</v>
      </c>
      <c r="M5423" t="s">
        <v>43265</v>
      </c>
      <c r="N5423" t="s">
        <v>47424</v>
      </c>
      <c r="O5423" t="s">
        <v>47425</v>
      </c>
      <c r="P5423">
        <v>0</v>
      </c>
      <c r="Q5423">
        <v>1</v>
      </c>
      <c r="R5423" t="s">
        <v>47430</v>
      </c>
      <c r="S5423" t="s">
        <v>47549</v>
      </c>
      <c r="T5423" t="s">
        <v>49073</v>
      </c>
      <c r="U5423" t="s">
        <v>54256</v>
      </c>
      <c r="V5423" t="s">
        <v>63221</v>
      </c>
      <c r="W5423" t="s">
        <v>43265</v>
      </c>
      <c r="X5423" t="s">
        <v>47431</v>
      </c>
    </row>
    <row r="5424" spans="1:24">
      <c r="A5424">
        <f>HYPERLINK("https://www.philgeps.gov.ph/GEPSNONPILOT/Tender/SplashBidNoticeAbstractUI.aspx?menuIndex=3&amp;refID=7160982&amp;Result=3","7160982")</f>
        <v>0</v>
      </c>
      <c r="B5424" t="s">
        <v>2016</v>
      </c>
      <c r="C5424" t="s">
        <v>9021</v>
      </c>
      <c r="D5424" t="s">
        <v>19045</v>
      </c>
      <c r="E5424" t="s">
        <v>23881</v>
      </c>
      <c r="F5424" t="s">
        <v>32831</v>
      </c>
      <c r="G5424" t="s">
        <v>32838</v>
      </c>
      <c r="H5424" t="s">
        <v>32848</v>
      </c>
      <c r="I5424" t="s">
        <v>4303</v>
      </c>
      <c r="J5424" t="s">
        <v>36461</v>
      </c>
      <c r="K5424" t="s">
        <v>42732</v>
      </c>
      <c r="M5424" t="s">
        <v>45183</v>
      </c>
      <c r="N5424" t="s">
        <v>47424</v>
      </c>
      <c r="O5424" t="s">
        <v>47425</v>
      </c>
      <c r="P5424">
        <v>0</v>
      </c>
      <c r="Q5424">
        <v>1</v>
      </c>
      <c r="R5424" t="s">
        <v>47430</v>
      </c>
      <c r="S5424" t="s">
        <v>47549</v>
      </c>
      <c r="T5424" t="s">
        <v>49123</v>
      </c>
      <c r="U5424" t="s">
        <v>52605</v>
      </c>
      <c r="W5424" t="s">
        <v>45183</v>
      </c>
      <c r="X5424" t="s">
        <v>47431</v>
      </c>
    </row>
    <row r="5425" spans="1:24">
      <c r="A5425">
        <f>HYPERLINK("https://www.philgeps.gov.ph/GEPSNONPILOT/Tender/SplashBidNoticeAbstractUI.aspx?menuIndex=3&amp;refID=7161029&amp;Result=3","7161029")</f>
        <v>0</v>
      </c>
      <c r="B5425" t="s">
        <v>2017</v>
      </c>
      <c r="C5425" t="s">
        <v>9022</v>
      </c>
      <c r="E5425" t="s">
        <v>19342</v>
      </c>
      <c r="F5425" t="s">
        <v>32832</v>
      </c>
      <c r="G5425" t="s">
        <v>32839</v>
      </c>
      <c r="H5425" t="s">
        <v>32848</v>
      </c>
      <c r="I5425" t="s">
        <v>7416</v>
      </c>
      <c r="J5425" t="s">
        <v>36462</v>
      </c>
      <c r="K5425" t="s">
        <v>42732</v>
      </c>
      <c r="M5425" t="s">
        <v>45184</v>
      </c>
      <c r="N5425" t="s">
        <v>47424</v>
      </c>
      <c r="O5425" t="s">
        <v>47425</v>
      </c>
      <c r="P5425">
        <v>0</v>
      </c>
      <c r="Q5425">
        <v>0</v>
      </c>
      <c r="R5425" t="s">
        <v>47430</v>
      </c>
      <c r="S5425" t="s">
        <v>47549</v>
      </c>
      <c r="T5425" t="s">
        <v>49424</v>
      </c>
      <c r="U5425" t="s">
        <v>49870</v>
      </c>
      <c r="W5425" t="s">
        <v>45184</v>
      </c>
      <c r="X5425" t="s">
        <v>47431</v>
      </c>
    </row>
    <row r="5426" spans="1:24">
      <c r="A5426">
        <f>HYPERLINK("https://www.philgeps.gov.ph/GEPSNONPILOT/Tender/SplashBidNoticeAbstractUI.aspx?menuIndex=3&amp;refID=7160814&amp;Result=3","7160814")</f>
        <v>0</v>
      </c>
      <c r="B5426" t="s">
        <v>311</v>
      </c>
      <c r="C5426" t="s">
        <v>9023</v>
      </c>
      <c r="D5426" t="s">
        <v>19048</v>
      </c>
      <c r="E5426" t="s">
        <v>23882</v>
      </c>
      <c r="F5426" t="s">
        <v>32831</v>
      </c>
      <c r="G5426" t="s">
        <v>32838</v>
      </c>
      <c r="H5426" t="s">
        <v>32848</v>
      </c>
      <c r="I5426" t="s">
        <v>32861</v>
      </c>
      <c r="J5426" t="s">
        <v>36463</v>
      </c>
      <c r="K5426" t="s">
        <v>42763</v>
      </c>
      <c r="M5426" t="s">
        <v>43313</v>
      </c>
      <c r="N5426" t="s">
        <v>47424</v>
      </c>
      <c r="O5426" t="s">
        <v>47425</v>
      </c>
      <c r="P5426">
        <v>0</v>
      </c>
      <c r="Q5426">
        <v>1</v>
      </c>
      <c r="R5426" t="s">
        <v>47430</v>
      </c>
      <c r="S5426" t="s">
        <v>47549</v>
      </c>
      <c r="T5426" t="s">
        <v>49077</v>
      </c>
      <c r="U5426" t="s">
        <v>54186</v>
      </c>
      <c r="W5426" t="s">
        <v>43313</v>
      </c>
      <c r="X5426" t="s">
        <v>47431</v>
      </c>
    </row>
    <row r="5427" spans="1:24">
      <c r="A5427">
        <f>HYPERLINK("https://www.philgeps.gov.ph/GEPSNONPILOT/Tender/SplashBidNoticeAbstractUI.aspx?menuIndex=3&amp;refID=7161026&amp;Result=3","7161026")</f>
        <v>0</v>
      </c>
      <c r="B5427" t="s">
        <v>1761</v>
      </c>
      <c r="C5427" t="s">
        <v>9024</v>
      </c>
      <c r="D5427" t="s">
        <v>19081</v>
      </c>
      <c r="E5427" t="s">
        <v>23883</v>
      </c>
      <c r="F5427" t="s">
        <v>32831</v>
      </c>
      <c r="G5427" t="s">
        <v>32838</v>
      </c>
      <c r="H5427" t="s">
        <v>32848</v>
      </c>
      <c r="I5427" t="s">
        <v>10805</v>
      </c>
      <c r="J5427" t="s">
        <v>33296</v>
      </c>
      <c r="K5427" t="s">
        <v>42731</v>
      </c>
      <c r="M5427" t="s">
        <v>44885</v>
      </c>
      <c r="N5427" t="s">
        <v>47424</v>
      </c>
      <c r="O5427" t="s">
        <v>47425</v>
      </c>
      <c r="P5427">
        <v>0</v>
      </c>
      <c r="Q5427">
        <v>1</v>
      </c>
      <c r="R5427" t="s">
        <v>47430</v>
      </c>
      <c r="S5427" t="s">
        <v>47549</v>
      </c>
      <c r="T5427" t="s">
        <v>49166</v>
      </c>
      <c r="U5427" t="s">
        <v>54257</v>
      </c>
      <c r="V5427" t="s">
        <v>63226</v>
      </c>
      <c r="W5427" t="s">
        <v>44885</v>
      </c>
      <c r="X5427" t="s">
        <v>47431</v>
      </c>
    </row>
    <row r="5428" spans="1:24">
      <c r="A5428">
        <f>HYPERLINK("https://www.philgeps.gov.ph/GEPSNONPILOT/Tender/SplashBidNoticeAbstractUI.aspx?menuIndex=3&amp;refID=7161025&amp;Result=3","7161025")</f>
        <v>0</v>
      </c>
      <c r="B5428" t="s">
        <v>827</v>
      </c>
      <c r="C5428" t="s">
        <v>9025</v>
      </c>
      <c r="D5428" t="s">
        <v>19026</v>
      </c>
      <c r="E5428" t="s">
        <v>23884</v>
      </c>
      <c r="F5428" t="s">
        <v>32831</v>
      </c>
      <c r="G5428" t="s">
        <v>32841</v>
      </c>
      <c r="H5428" t="s">
        <v>32848</v>
      </c>
      <c r="I5428" t="s">
        <v>4438</v>
      </c>
      <c r="J5428" t="s">
        <v>33644</v>
      </c>
      <c r="K5428" t="s">
        <v>42779</v>
      </c>
      <c r="M5428" t="s">
        <v>43858</v>
      </c>
      <c r="N5428" t="s">
        <v>47424</v>
      </c>
      <c r="O5428" t="s">
        <v>47425</v>
      </c>
      <c r="P5428">
        <v>0</v>
      </c>
      <c r="Q5428">
        <v>3</v>
      </c>
      <c r="R5428" t="s">
        <v>47430</v>
      </c>
      <c r="S5428" t="s">
        <v>47549</v>
      </c>
      <c r="T5428" t="s">
        <v>49198</v>
      </c>
      <c r="U5428" t="s">
        <v>54258</v>
      </c>
      <c r="W5428" t="s">
        <v>43858</v>
      </c>
      <c r="X5428" t="s">
        <v>47431</v>
      </c>
    </row>
    <row r="5429" spans="1:24">
      <c r="A5429">
        <f>HYPERLINK("https://www.philgeps.gov.ph/GEPSNONPILOT/Tender/SplashBidNoticeAbstractUI.aspx?menuIndex=3&amp;refID=7161023&amp;Result=3","7161023")</f>
        <v>0</v>
      </c>
      <c r="B5429" t="s">
        <v>895</v>
      </c>
      <c r="C5429" t="s">
        <v>9026</v>
      </c>
      <c r="D5429" t="s">
        <v>19036</v>
      </c>
      <c r="E5429" t="s">
        <v>23885</v>
      </c>
      <c r="F5429" t="s">
        <v>32831</v>
      </c>
      <c r="G5429" t="s">
        <v>32838</v>
      </c>
      <c r="H5429" t="s">
        <v>32848</v>
      </c>
      <c r="I5429" t="s">
        <v>32862</v>
      </c>
      <c r="J5429" t="s">
        <v>36464</v>
      </c>
      <c r="K5429" t="s">
        <v>42727</v>
      </c>
      <c r="M5429" t="s">
        <v>44963</v>
      </c>
      <c r="N5429" t="s">
        <v>47424</v>
      </c>
      <c r="O5429" t="s">
        <v>47425</v>
      </c>
      <c r="P5429">
        <v>0</v>
      </c>
      <c r="Q5429">
        <v>0</v>
      </c>
      <c r="R5429" t="s">
        <v>47430</v>
      </c>
      <c r="S5429" t="s">
        <v>47549</v>
      </c>
      <c r="T5429" t="s">
        <v>49206</v>
      </c>
      <c r="U5429" t="s">
        <v>54259</v>
      </c>
      <c r="W5429" t="s">
        <v>44963</v>
      </c>
      <c r="X5429" t="s">
        <v>47431</v>
      </c>
    </row>
    <row r="5430" spans="1:24">
      <c r="A5430">
        <f>HYPERLINK("https://www.philgeps.gov.ph/GEPSNONPILOT/Tender/SplashBidNoticeAbstractUI.aspx?menuIndex=3&amp;refID=7161019&amp;Result=3","7161019")</f>
        <v>0</v>
      </c>
      <c r="B5430" t="s">
        <v>413</v>
      </c>
      <c r="C5430" t="s">
        <v>9027</v>
      </c>
      <c r="D5430" t="s">
        <v>19017</v>
      </c>
      <c r="E5430" t="s">
        <v>23886</v>
      </c>
      <c r="F5430" t="s">
        <v>32831</v>
      </c>
      <c r="G5430" t="s">
        <v>32838</v>
      </c>
      <c r="H5430" t="s">
        <v>32850</v>
      </c>
      <c r="I5430" t="s">
        <v>32874</v>
      </c>
      <c r="J5430" t="s">
        <v>33279</v>
      </c>
      <c r="K5430" t="s">
        <v>42727</v>
      </c>
      <c r="M5430" t="s">
        <v>43418</v>
      </c>
      <c r="N5430" t="s">
        <v>47424</v>
      </c>
      <c r="O5430" t="s">
        <v>47425</v>
      </c>
      <c r="P5430">
        <v>0</v>
      </c>
      <c r="Q5430">
        <v>1</v>
      </c>
      <c r="R5430" t="s">
        <v>47430</v>
      </c>
      <c r="S5430" t="s">
        <v>47549</v>
      </c>
      <c r="T5430" t="s">
        <v>49239</v>
      </c>
      <c r="U5430" t="s">
        <v>54260</v>
      </c>
      <c r="V5430" t="s">
        <v>62872</v>
      </c>
      <c r="W5430" t="s">
        <v>64454</v>
      </c>
      <c r="X5430" t="s">
        <v>47431</v>
      </c>
    </row>
    <row r="5431" spans="1:24">
      <c r="A5431">
        <f>HYPERLINK("https://www.philgeps.gov.ph/GEPSNONPILOT/Tender/SplashBidNoticeAbstractUI.aspx?menuIndex=3&amp;refID=7160986&amp;Result=3","7160986")</f>
        <v>0</v>
      </c>
      <c r="B5431" t="s">
        <v>693</v>
      </c>
      <c r="C5431" t="s">
        <v>9028</v>
      </c>
      <c r="D5431" t="s">
        <v>19073</v>
      </c>
      <c r="E5431" t="s">
        <v>20444</v>
      </c>
      <c r="F5431" t="s">
        <v>32831</v>
      </c>
      <c r="G5431" t="s">
        <v>32840</v>
      </c>
      <c r="H5431" t="s">
        <v>32848</v>
      </c>
      <c r="I5431" t="s">
        <v>32862</v>
      </c>
      <c r="J5431" t="s">
        <v>36162</v>
      </c>
      <c r="K5431" t="s">
        <v>42731</v>
      </c>
      <c r="M5431" t="s">
        <v>43712</v>
      </c>
      <c r="N5431" t="s">
        <v>47424</v>
      </c>
      <c r="O5431" t="s">
        <v>47425</v>
      </c>
      <c r="P5431">
        <v>0</v>
      </c>
      <c r="Q5431">
        <v>0</v>
      </c>
      <c r="R5431" t="s">
        <v>47430</v>
      </c>
      <c r="S5431" t="s">
        <v>47549</v>
      </c>
      <c r="T5431" t="s">
        <v>49108</v>
      </c>
      <c r="U5431" t="s">
        <v>54261</v>
      </c>
      <c r="W5431" t="s">
        <v>43712</v>
      </c>
      <c r="X5431" t="s">
        <v>47431</v>
      </c>
    </row>
    <row r="5432" spans="1:24">
      <c r="A5432">
        <f>HYPERLINK("https://www.philgeps.gov.ph/GEPSNONPILOT/Tender/SplashBidNoticeAbstractUI.aspx?menuIndex=3&amp;refID=7161028&amp;Result=3","7161028")</f>
        <v>0</v>
      </c>
      <c r="B5432" t="s">
        <v>1316</v>
      </c>
      <c r="C5432" t="s">
        <v>9029</v>
      </c>
      <c r="D5432" t="s">
        <v>19035</v>
      </c>
      <c r="E5432" t="s">
        <v>23887</v>
      </c>
      <c r="F5432" t="s">
        <v>32831</v>
      </c>
      <c r="G5432" t="s">
        <v>32839</v>
      </c>
      <c r="H5432" t="s">
        <v>32848</v>
      </c>
      <c r="I5432" t="s">
        <v>4487</v>
      </c>
      <c r="J5432" t="s">
        <v>36465</v>
      </c>
      <c r="K5432" t="s">
        <v>42748</v>
      </c>
      <c r="M5432" t="s">
        <v>44387</v>
      </c>
      <c r="N5432" t="s">
        <v>47424</v>
      </c>
      <c r="O5432" t="s">
        <v>47425</v>
      </c>
      <c r="P5432">
        <v>0</v>
      </c>
      <c r="Q5432">
        <v>5</v>
      </c>
      <c r="R5432" t="s">
        <v>47430</v>
      </c>
      <c r="S5432" t="s">
        <v>47549</v>
      </c>
      <c r="T5432" t="s">
        <v>49070</v>
      </c>
      <c r="U5432" t="s">
        <v>54262</v>
      </c>
      <c r="W5432" t="s">
        <v>44387</v>
      </c>
      <c r="X5432" t="s">
        <v>47431</v>
      </c>
    </row>
    <row r="5433" spans="1:24">
      <c r="A5433">
        <f>HYPERLINK("https://www.philgeps.gov.ph/GEPSNONPILOT/Tender/SplashBidNoticeAbstractUI.aspx?menuIndex=3&amp;refID=7161016&amp;Result=3","7161016")</f>
        <v>0</v>
      </c>
      <c r="B5433" t="s">
        <v>266</v>
      </c>
      <c r="C5433" t="s">
        <v>9030</v>
      </c>
      <c r="E5433" t="s">
        <v>23888</v>
      </c>
      <c r="F5433" t="s">
        <v>32831</v>
      </c>
      <c r="G5433" t="s">
        <v>32841</v>
      </c>
      <c r="H5433" t="s">
        <v>32848</v>
      </c>
      <c r="I5433" t="s">
        <v>32890</v>
      </c>
      <c r="J5433" t="s">
        <v>36466</v>
      </c>
      <c r="K5433" t="s">
        <v>42730</v>
      </c>
      <c r="M5433" t="s">
        <v>43265</v>
      </c>
      <c r="N5433" t="s">
        <v>47424</v>
      </c>
      <c r="O5433" t="s">
        <v>47425</v>
      </c>
      <c r="P5433">
        <v>0</v>
      </c>
      <c r="Q5433">
        <v>2</v>
      </c>
      <c r="R5433" t="s">
        <v>47430</v>
      </c>
      <c r="S5433" t="s">
        <v>47549</v>
      </c>
      <c r="T5433" t="s">
        <v>49073</v>
      </c>
      <c r="U5433" t="s">
        <v>54263</v>
      </c>
      <c r="V5433" t="s">
        <v>63221</v>
      </c>
      <c r="W5433" t="s">
        <v>43265</v>
      </c>
      <c r="X5433" t="s">
        <v>47431</v>
      </c>
    </row>
    <row r="5434" spans="1:24">
      <c r="A5434">
        <f>HYPERLINK("https://www.philgeps.gov.ph/GEPSNONPILOT/Tender/SplashBidNoticeAbstractUI.aspx?menuIndex=3&amp;refID=7161013&amp;Result=3","7161013")</f>
        <v>0</v>
      </c>
      <c r="B5434" t="s">
        <v>693</v>
      </c>
      <c r="C5434" t="s">
        <v>9031</v>
      </c>
      <c r="D5434" t="s">
        <v>19073</v>
      </c>
      <c r="E5434" t="s">
        <v>20444</v>
      </c>
      <c r="F5434" t="s">
        <v>32831</v>
      </c>
      <c r="G5434" t="s">
        <v>32840</v>
      </c>
      <c r="H5434" t="s">
        <v>32848</v>
      </c>
      <c r="I5434" t="s">
        <v>32862</v>
      </c>
      <c r="J5434" t="s">
        <v>34110</v>
      </c>
      <c r="K5434" t="s">
        <v>42731</v>
      </c>
      <c r="M5434" t="s">
        <v>43712</v>
      </c>
      <c r="N5434" t="s">
        <v>47424</v>
      </c>
      <c r="O5434" t="s">
        <v>47425</v>
      </c>
      <c r="P5434">
        <v>0</v>
      </c>
      <c r="Q5434">
        <v>0</v>
      </c>
      <c r="R5434" t="s">
        <v>47430</v>
      </c>
      <c r="S5434" t="s">
        <v>47549</v>
      </c>
      <c r="T5434" t="s">
        <v>49108</v>
      </c>
      <c r="U5434" t="s">
        <v>54264</v>
      </c>
      <c r="W5434" t="s">
        <v>43712</v>
      </c>
      <c r="X5434" t="s">
        <v>47431</v>
      </c>
    </row>
    <row r="5435" spans="1:24">
      <c r="A5435">
        <f>HYPERLINK("https://www.philgeps.gov.ph/GEPSNONPILOT/Tender/SplashBidNoticeAbstractUI.aspx?menuIndex=3&amp;refID=7161017&amp;Result=3","7161017")</f>
        <v>0</v>
      </c>
      <c r="B5435" t="s">
        <v>2018</v>
      </c>
      <c r="C5435" t="s">
        <v>9032</v>
      </c>
      <c r="D5435" t="s">
        <v>19074</v>
      </c>
      <c r="E5435" t="s">
        <v>23889</v>
      </c>
      <c r="F5435" t="s">
        <v>32831</v>
      </c>
      <c r="G5435" t="s">
        <v>32839</v>
      </c>
      <c r="H5435" t="s">
        <v>32848</v>
      </c>
      <c r="I5435" t="s">
        <v>32861</v>
      </c>
      <c r="J5435" t="s">
        <v>33087</v>
      </c>
      <c r="K5435" t="s">
        <v>42727</v>
      </c>
      <c r="M5435" t="s">
        <v>45185</v>
      </c>
      <c r="N5435" t="s">
        <v>47424</v>
      </c>
      <c r="O5435" t="s">
        <v>47425</v>
      </c>
      <c r="P5435">
        <v>0</v>
      </c>
      <c r="Q5435">
        <v>5</v>
      </c>
      <c r="R5435" t="s">
        <v>47430</v>
      </c>
      <c r="S5435" t="s">
        <v>47549</v>
      </c>
      <c r="T5435" t="s">
        <v>49364</v>
      </c>
      <c r="U5435" t="s">
        <v>54265</v>
      </c>
      <c r="W5435" t="s">
        <v>45185</v>
      </c>
      <c r="X5435" t="s">
        <v>47431</v>
      </c>
    </row>
    <row r="5436" spans="1:24">
      <c r="A5436">
        <f>HYPERLINK("https://www.philgeps.gov.ph/GEPSNONPILOT/Tender/SplashBidNoticeAbstractUI.aspx?menuIndex=3&amp;refID=7161011&amp;Result=3","7161011")</f>
        <v>0</v>
      </c>
      <c r="B5436" t="s">
        <v>1218</v>
      </c>
      <c r="C5436" t="s">
        <v>9033</v>
      </c>
      <c r="D5436" t="s">
        <v>19030</v>
      </c>
      <c r="E5436" t="s">
        <v>23890</v>
      </c>
      <c r="F5436" t="s">
        <v>32831</v>
      </c>
      <c r="G5436" t="s">
        <v>32840</v>
      </c>
      <c r="H5436" t="s">
        <v>32848</v>
      </c>
      <c r="I5436" t="s">
        <v>32874</v>
      </c>
      <c r="J5436" t="s">
        <v>36467</v>
      </c>
      <c r="K5436" t="s">
        <v>42732</v>
      </c>
      <c r="M5436" t="s">
        <v>44286</v>
      </c>
      <c r="N5436" t="s">
        <v>47424</v>
      </c>
      <c r="O5436" t="s">
        <v>47425</v>
      </c>
      <c r="P5436">
        <v>0</v>
      </c>
      <c r="Q5436">
        <v>23</v>
      </c>
      <c r="R5436" t="s">
        <v>47430</v>
      </c>
      <c r="S5436" t="s">
        <v>47549</v>
      </c>
      <c r="T5436" t="s">
        <v>49124</v>
      </c>
      <c r="U5436" t="s">
        <v>54266</v>
      </c>
      <c r="V5436" t="s">
        <v>62926</v>
      </c>
      <c r="W5436" t="s">
        <v>44286</v>
      </c>
      <c r="X5436" t="s">
        <v>47431</v>
      </c>
    </row>
    <row r="5437" spans="1:24">
      <c r="A5437">
        <f>HYPERLINK("https://www.philgeps.gov.ph/GEPSNONPILOT/Tender/SplashBidNoticeAbstractUI.aspx?menuIndex=3&amp;refID=7161015&amp;Result=3","7161015")</f>
        <v>0</v>
      </c>
      <c r="B5437" t="s">
        <v>182</v>
      </c>
      <c r="C5437" t="s">
        <v>9034</v>
      </c>
      <c r="D5437" t="s">
        <v>19057</v>
      </c>
      <c r="E5437" t="s">
        <v>23891</v>
      </c>
      <c r="F5437" t="s">
        <v>32831</v>
      </c>
      <c r="G5437" t="s">
        <v>32839</v>
      </c>
      <c r="H5437" t="s">
        <v>32848</v>
      </c>
      <c r="I5437" t="s">
        <v>4438</v>
      </c>
      <c r="J5437" t="s">
        <v>33812</v>
      </c>
      <c r="K5437" t="s">
        <v>42732</v>
      </c>
      <c r="M5437" t="s">
        <v>43180</v>
      </c>
      <c r="N5437" t="s">
        <v>47424</v>
      </c>
      <c r="O5437" t="s">
        <v>47425</v>
      </c>
      <c r="P5437">
        <v>0</v>
      </c>
      <c r="Q5437">
        <v>0</v>
      </c>
      <c r="R5437" t="s">
        <v>47430</v>
      </c>
      <c r="S5437" t="s">
        <v>47549</v>
      </c>
      <c r="T5437" t="s">
        <v>49123</v>
      </c>
      <c r="U5437" t="s">
        <v>54267</v>
      </c>
      <c r="W5437" t="s">
        <v>43180</v>
      </c>
      <c r="X5437" t="s">
        <v>47431</v>
      </c>
    </row>
    <row r="5438" spans="1:24">
      <c r="A5438">
        <f>HYPERLINK("https://www.philgeps.gov.ph/GEPSNONPILOT/Tender/SplashBidNoticeAbstractUI.aspx?menuIndex=3&amp;refID=7161018&amp;Result=3","7161018")</f>
        <v>0</v>
      </c>
      <c r="B5438" t="s">
        <v>2019</v>
      </c>
      <c r="C5438" t="s">
        <v>9035</v>
      </c>
      <c r="D5438" t="s">
        <v>19088</v>
      </c>
      <c r="E5438" t="s">
        <v>20463</v>
      </c>
      <c r="F5438" t="s">
        <v>32831</v>
      </c>
      <c r="G5438" t="s">
        <v>32840</v>
      </c>
      <c r="H5438" t="s">
        <v>32848</v>
      </c>
      <c r="I5438" t="s">
        <v>4438</v>
      </c>
      <c r="J5438" t="s">
        <v>32985</v>
      </c>
      <c r="K5438" t="s">
        <v>42726</v>
      </c>
      <c r="M5438" t="s">
        <v>45186</v>
      </c>
      <c r="N5438" t="s">
        <v>47424</v>
      </c>
      <c r="O5438" t="s">
        <v>47425</v>
      </c>
      <c r="P5438">
        <v>0</v>
      </c>
      <c r="Q5438">
        <v>5</v>
      </c>
      <c r="R5438" t="s">
        <v>47430</v>
      </c>
      <c r="S5438" t="s">
        <v>47549</v>
      </c>
      <c r="T5438" t="s">
        <v>49119</v>
      </c>
      <c r="U5438" t="s">
        <v>54268</v>
      </c>
      <c r="W5438" t="s">
        <v>45186</v>
      </c>
      <c r="X5438" t="s">
        <v>47431</v>
      </c>
    </row>
    <row r="5439" spans="1:24">
      <c r="A5439">
        <f>HYPERLINK("https://www.philgeps.gov.ph/GEPSNONPILOT/Tender/SplashBidNoticeAbstractUI.aspx?menuIndex=3&amp;refID=7161060&amp;Result=3","7161060")</f>
        <v>0</v>
      </c>
      <c r="B5439" t="s">
        <v>1907</v>
      </c>
      <c r="C5439" t="s">
        <v>9036</v>
      </c>
      <c r="E5439" t="s">
        <v>23892</v>
      </c>
      <c r="F5439" t="s">
        <v>32831</v>
      </c>
      <c r="G5439" t="s">
        <v>32840</v>
      </c>
      <c r="H5439" t="s">
        <v>32848</v>
      </c>
      <c r="I5439" t="s">
        <v>32860</v>
      </c>
      <c r="J5439" t="s">
        <v>36468</v>
      </c>
      <c r="K5439" t="s">
        <v>42732</v>
      </c>
      <c r="M5439" t="s">
        <v>45056</v>
      </c>
      <c r="N5439" t="s">
        <v>47424</v>
      </c>
      <c r="O5439" t="s">
        <v>47425</v>
      </c>
      <c r="P5439">
        <v>0</v>
      </c>
      <c r="Q5439">
        <v>0</v>
      </c>
      <c r="R5439" t="s">
        <v>47430</v>
      </c>
      <c r="S5439" t="s">
        <v>47549</v>
      </c>
      <c r="T5439" t="s">
        <v>49145</v>
      </c>
      <c r="U5439" t="s">
        <v>53889</v>
      </c>
      <c r="W5439" t="s">
        <v>45056</v>
      </c>
      <c r="X5439" t="s">
        <v>47431</v>
      </c>
    </row>
    <row r="5440" spans="1:24">
      <c r="A5440">
        <f>HYPERLINK("https://www.philgeps.gov.ph/GEPSNONPILOT/Tender/SplashBidNoticeAbstractUI.aspx?menuIndex=3&amp;refID=7160847&amp;Result=3","7160847")</f>
        <v>0</v>
      </c>
      <c r="B5440" t="s">
        <v>2020</v>
      </c>
      <c r="C5440" t="s">
        <v>9037</v>
      </c>
      <c r="D5440" t="s">
        <v>19047</v>
      </c>
      <c r="E5440" t="s">
        <v>23893</v>
      </c>
      <c r="F5440" t="s">
        <v>32832</v>
      </c>
      <c r="G5440" t="s">
        <v>32838</v>
      </c>
      <c r="H5440" t="s">
        <v>32848</v>
      </c>
      <c r="I5440" t="s">
        <v>32860</v>
      </c>
      <c r="J5440" t="s">
        <v>36469</v>
      </c>
      <c r="K5440" t="s">
        <v>42727</v>
      </c>
      <c r="M5440" t="s">
        <v>45187</v>
      </c>
      <c r="N5440" t="s">
        <v>47424</v>
      </c>
      <c r="O5440" t="s">
        <v>47425</v>
      </c>
      <c r="P5440">
        <v>0</v>
      </c>
      <c r="Q5440">
        <v>4</v>
      </c>
      <c r="R5440" t="s">
        <v>47430</v>
      </c>
      <c r="S5440" t="s">
        <v>47549</v>
      </c>
      <c r="T5440" t="s">
        <v>49119</v>
      </c>
      <c r="U5440" t="s">
        <v>54269</v>
      </c>
      <c r="V5440" t="s">
        <v>63227</v>
      </c>
      <c r="W5440" t="s">
        <v>45187</v>
      </c>
      <c r="X5440" t="s">
        <v>47431</v>
      </c>
    </row>
    <row r="5441" spans="1:24">
      <c r="A5441">
        <f>HYPERLINK("https://www.philgeps.gov.ph/GEPSNONPILOT/Tender/SplashBidNoticeAbstractUI.aspx?menuIndex=3&amp;refID=7161058&amp;Result=3","7161058")</f>
        <v>0</v>
      </c>
      <c r="B5441" t="s">
        <v>731</v>
      </c>
      <c r="C5441" t="s">
        <v>9038</v>
      </c>
      <c r="D5441" t="s">
        <v>19086</v>
      </c>
      <c r="E5441" t="s">
        <v>23894</v>
      </c>
      <c r="F5441" t="s">
        <v>32831</v>
      </c>
      <c r="G5441" t="s">
        <v>32838</v>
      </c>
      <c r="H5441" t="s">
        <v>32850</v>
      </c>
      <c r="I5441" t="s">
        <v>7416</v>
      </c>
      <c r="J5441" t="s">
        <v>36470</v>
      </c>
      <c r="K5441" t="s">
        <v>42726</v>
      </c>
      <c r="M5441" t="s">
        <v>43753</v>
      </c>
      <c r="N5441" t="s">
        <v>47424</v>
      </c>
      <c r="O5441" t="s">
        <v>47425</v>
      </c>
      <c r="P5441">
        <v>0</v>
      </c>
      <c r="Q5441">
        <v>0</v>
      </c>
      <c r="R5441" t="s">
        <v>47430</v>
      </c>
      <c r="S5441" t="s">
        <v>47549</v>
      </c>
      <c r="T5441" t="s">
        <v>49237</v>
      </c>
      <c r="U5441" t="s">
        <v>51018</v>
      </c>
      <c r="W5441" t="s">
        <v>43753</v>
      </c>
      <c r="X5441" t="s">
        <v>47431</v>
      </c>
    </row>
    <row r="5442" spans="1:24">
      <c r="A5442">
        <f>HYPERLINK("https://www.philgeps.gov.ph/GEPSNONPILOT/Tender/SplashBidNoticeAbstractUI.aspx?menuIndex=3&amp;refID=7161057&amp;Result=3","7161057")</f>
        <v>0</v>
      </c>
      <c r="B5442" t="s">
        <v>1824</v>
      </c>
      <c r="C5442" t="s">
        <v>9039</v>
      </c>
      <c r="D5442" t="s">
        <v>19042</v>
      </c>
      <c r="E5442" t="s">
        <v>23895</v>
      </c>
      <c r="F5442" t="s">
        <v>32831</v>
      </c>
      <c r="G5442" t="s">
        <v>32838</v>
      </c>
      <c r="H5442" t="s">
        <v>32848</v>
      </c>
      <c r="I5442" t="s">
        <v>4303</v>
      </c>
      <c r="J5442" t="s">
        <v>36471</v>
      </c>
      <c r="K5442" t="s">
        <v>42727</v>
      </c>
      <c r="M5442" t="s">
        <v>44957</v>
      </c>
      <c r="N5442" t="s">
        <v>47424</v>
      </c>
      <c r="O5442" t="s">
        <v>47425</v>
      </c>
      <c r="P5442">
        <v>0</v>
      </c>
      <c r="Q5442">
        <v>0</v>
      </c>
      <c r="R5442" t="s">
        <v>47430</v>
      </c>
      <c r="S5442" t="s">
        <v>47549</v>
      </c>
      <c r="T5442" t="s">
        <v>49214</v>
      </c>
      <c r="U5442" t="s">
        <v>54270</v>
      </c>
      <c r="W5442" t="s">
        <v>44957</v>
      </c>
      <c r="X5442" t="s">
        <v>47431</v>
      </c>
    </row>
    <row r="5443" spans="1:24">
      <c r="A5443">
        <f>HYPERLINK("https://www.philgeps.gov.ph/GEPSNONPILOT/Tender/SplashBidNoticeAbstractUI.aspx?menuIndex=3&amp;refID=7161056&amp;Result=3","7161056")</f>
        <v>0</v>
      </c>
      <c r="B5443" t="s">
        <v>961</v>
      </c>
      <c r="C5443" t="s">
        <v>9040</v>
      </c>
      <c r="D5443" t="s">
        <v>19021</v>
      </c>
      <c r="E5443" t="s">
        <v>23896</v>
      </c>
      <c r="F5443" t="s">
        <v>32831</v>
      </c>
      <c r="G5443" t="s">
        <v>32839</v>
      </c>
      <c r="H5443" t="s">
        <v>32849</v>
      </c>
      <c r="I5443" t="s">
        <v>4177</v>
      </c>
      <c r="J5443" t="s">
        <v>33083</v>
      </c>
      <c r="K5443" t="s">
        <v>42884</v>
      </c>
      <c r="M5443" t="s">
        <v>44007</v>
      </c>
      <c r="N5443" t="s">
        <v>47424</v>
      </c>
      <c r="O5443" t="s">
        <v>47425</v>
      </c>
      <c r="P5443">
        <v>0</v>
      </c>
      <c r="Q5443">
        <v>84</v>
      </c>
      <c r="R5443" t="s">
        <v>47430</v>
      </c>
      <c r="S5443" t="s">
        <v>47549</v>
      </c>
      <c r="T5443" t="s">
        <v>49119</v>
      </c>
      <c r="U5443" t="s">
        <v>54271</v>
      </c>
      <c r="W5443" t="s">
        <v>44007</v>
      </c>
      <c r="X5443" t="s">
        <v>47431</v>
      </c>
    </row>
    <row r="5444" spans="1:24">
      <c r="A5444">
        <f>HYPERLINK("https://www.philgeps.gov.ph/GEPSNONPILOT/Tender/SplashBidNoticeAbstractUI.aspx?menuIndex=3&amp;refID=7161053&amp;Result=3","7161053")</f>
        <v>0</v>
      </c>
      <c r="B5444" t="s">
        <v>342</v>
      </c>
      <c r="C5444" t="s">
        <v>9041</v>
      </c>
      <c r="D5444" t="s">
        <v>19047</v>
      </c>
      <c r="E5444" t="s">
        <v>23897</v>
      </c>
      <c r="F5444" t="s">
        <v>32831</v>
      </c>
      <c r="G5444" t="s">
        <v>32838</v>
      </c>
      <c r="H5444" t="s">
        <v>32848</v>
      </c>
      <c r="I5444" t="s">
        <v>32862</v>
      </c>
      <c r="J5444" t="s">
        <v>36472</v>
      </c>
      <c r="K5444" t="s">
        <v>42727</v>
      </c>
      <c r="M5444" t="s">
        <v>43345</v>
      </c>
      <c r="N5444" t="s">
        <v>47424</v>
      </c>
      <c r="O5444" t="s">
        <v>47425</v>
      </c>
      <c r="P5444">
        <v>0</v>
      </c>
      <c r="Q5444">
        <v>0</v>
      </c>
      <c r="R5444" t="s">
        <v>47430</v>
      </c>
      <c r="S5444" t="s">
        <v>47549</v>
      </c>
      <c r="T5444" t="s">
        <v>49237</v>
      </c>
      <c r="U5444" t="s">
        <v>50291</v>
      </c>
      <c r="W5444" t="s">
        <v>64436</v>
      </c>
      <c r="X5444" t="s">
        <v>47431</v>
      </c>
    </row>
    <row r="5445" spans="1:24">
      <c r="A5445">
        <f>HYPERLINK("https://www.philgeps.gov.ph/GEPSNONPILOT/Tender/SplashBidNoticeAbstractUI.aspx?menuIndex=3&amp;refID=7161052&amp;Result=3","7161052")</f>
        <v>0</v>
      </c>
      <c r="B5445" t="s">
        <v>273</v>
      </c>
      <c r="C5445" t="s">
        <v>5379</v>
      </c>
      <c r="D5445" t="s">
        <v>19060</v>
      </c>
      <c r="E5445" t="s">
        <v>23898</v>
      </c>
      <c r="F5445" t="s">
        <v>32831</v>
      </c>
      <c r="G5445" t="s">
        <v>32838</v>
      </c>
      <c r="H5445" t="s">
        <v>32848</v>
      </c>
      <c r="I5445" t="s">
        <v>5379</v>
      </c>
      <c r="J5445" t="s">
        <v>35864</v>
      </c>
      <c r="K5445" t="s">
        <v>42740</v>
      </c>
      <c r="M5445" t="s">
        <v>43272</v>
      </c>
      <c r="N5445" t="s">
        <v>47424</v>
      </c>
      <c r="O5445" t="s">
        <v>47425</v>
      </c>
      <c r="P5445">
        <v>0</v>
      </c>
      <c r="Q5445">
        <v>0</v>
      </c>
      <c r="R5445" t="s">
        <v>47430</v>
      </c>
      <c r="S5445" t="s">
        <v>47549</v>
      </c>
      <c r="T5445" t="s">
        <v>49111</v>
      </c>
      <c r="U5445" t="s">
        <v>53109</v>
      </c>
      <c r="V5445" t="s">
        <v>62674</v>
      </c>
      <c r="W5445" t="s">
        <v>43272</v>
      </c>
      <c r="X5445" t="s">
        <v>47431</v>
      </c>
    </row>
    <row r="5446" spans="1:24">
      <c r="A5446">
        <f>HYPERLINK("https://www.philgeps.gov.ph/GEPSNONPILOT/Tender/SplashBidNoticeAbstractUI.aspx?menuIndex=3&amp;refID=7161048&amp;Result=3","7161048")</f>
        <v>0</v>
      </c>
      <c r="B5446" t="s">
        <v>1596</v>
      </c>
      <c r="C5446" t="s">
        <v>9042</v>
      </c>
      <c r="D5446" t="s">
        <v>19045</v>
      </c>
      <c r="E5446" t="s">
        <v>23899</v>
      </c>
      <c r="F5446" t="s">
        <v>32831</v>
      </c>
      <c r="G5446" t="s">
        <v>32838</v>
      </c>
      <c r="H5446" t="s">
        <v>32849</v>
      </c>
      <c r="I5446" t="s">
        <v>4177</v>
      </c>
      <c r="J5446" t="s">
        <v>36473</v>
      </c>
      <c r="K5446" t="s">
        <v>42747</v>
      </c>
      <c r="M5446" t="s">
        <v>45160</v>
      </c>
      <c r="N5446" t="s">
        <v>47424</v>
      </c>
      <c r="O5446" t="s">
        <v>47425</v>
      </c>
      <c r="P5446">
        <v>0</v>
      </c>
      <c r="Q5446">
        <v>0</v>
      </c>
      <c r="R5446" t="s">
        <v>47430</v>
      </c>
      <c r="S5446" t="s">
        <v>47549</v>
      </c>
      <c r="T5446" t="s">
        <v>49107</v>
      </c>
      <c r="U5446" t="s">
        <v>54272</v>
      </c>
      <c r="W5446" t="s">
        <v>45160</v>
      </c>
      <c r="X5446" t="s">
        <v>47431</v>
      </c>
    </row>
    <row r="5447" spans="1:24">
      <c r="A5447">
        <f>HYPERLINK("https://www.philgeps.gov.ph/GEPSNONPILOT/Tender/SplashBidNoticeAbstractUI.aspx?menuIndex=3&amp;refID=7161047&amp;Result=3","7161047")</f>
        <v>0</v>
      </c>
      <c r="B5447" t="s">
        <v>2021</v>
      </c>
      <c r="C5447" t="s">
        <v>9043</v>
      </c>
      <c r="D5447" t="s">
        <v>19021</v>
      </c>
      <c r="E5447" t="s">
        <v>23900</v>
      </c>
      <c r="F5447" t="s">
        <v>32831</v>
      </c>
      <c r="G5447" t="s">
        <v>32839</v>
      </c>
      <c r="H5447" t="s">
        <v>32848</v>
      </c>
      <c r="I5447" t="s">
        <v>4558</v>
      </c>
      <c r="J5447" t="s">
        <v>36474</v>
      </c>
      <c r="K5447" t="s">
        <v>42730</v>
      </c>
      <c r="M5447" t="s">
        <v>45188</v>
      </c>
      <c r="N5447" t="s">
        <v>47424</v>
      </c>
      <c r="O5447" t="s">
        <v>47425</v>
      </c>
      <c r="P5447">
        <v>0</v>
      </c>
      <c r="Q5447">
        <v>8</v>
      </c>
      <c r="R5447" t="s">
        <v>47430</v>
      </c>
      <c r="S5447" t="s">
        <v>47549</v>
      </c>
      <c r="T5447" t="s">
        <v>49072</v>
      </c>
      <c r="U5447" t="s">
        <v>54273</v>
      </c>
      <c r="W5447" t="s">
        <v>45188</v>
      </c>
      <c r="X5447" t="s">
        <v>47431</v>
      </c>
    </row>
    <row r="5448" spans="1:24">
      <c r="A5448">
        <f>HYPERLINK("https://www.philgeps.gov.ph/GEPSNONPILOT/Tender/SplashBidNoticeAbstractUI.aspx?menuIndex=3&amp;refID=7161043&amp;Result=3","7161043")</f>
        <v>0</v>
      </c>
      <c r="B5448" t="s">
        <v>1893</v>
      </c>
      <c r="C5448" t="s">
        <v>9044</v>
      </c>
      <c r="D5448" t="s">
        <v>19064</v>
      </c>
      <c r="E5448" t="s">
        <v>23901</v>
      </c>
      <c r="F5448" t="s">
        <v>32831</v>
      </c>
      <c r="G5448" t="s">
        <v>32840</v>
      </c>
      <c r="H5448" t="s">
        <v>32848</v>
      </c>
      <c r="I5448" t="s">
        <v>4435</v>
      </c>
      <c r="J5448" t="s">
        <v>36475</v>
      </c>
      <c r="K5448" t="s">
        <v>42731</v>
      </c>
      <c r="M5448" t="s">
        <v>45040</v>
      </c>
      <c r="N5448" t="s">
        <v>47424</v>
      </c>
      <c r="O5448" t="s">
        <v>47425</v>
      </c>
      <c r="P5448">
        <v>0</v>
      </c>
      <c r="Q5448">
        <v>0</v>
      </c>
      <c r="R5448" t="s">
        <v>47430</v>
      </c>
      <c r="S5448" t="s">
        <v>47549</v>
      </c>
      <c r="T5448" t="s">
        <v>49089</v>
      </c>
      <c r="U5448" t="s">
        <v>54274</v>
      </c>
      <c r="W5448" t="s">
        <v>45040</v>
      </c>
      <c r="X5448" t="s">
        <v>47431</v>
      </c>
    </row>
    <row r="5449" spans="1:24">
      <c r="A5449">
        <f>HYPERLINK("https://www.philgeps.gov.ph/GEPSNONPILOT/Tender/SplashBidNoticeAbstractUI.aspx?menuIndex=3&amp;refID=7161051&amp;Result=3","7161051")</f>
        <v>0</v>
      </c>
      <c r="B5449" t="s">
        <v>266</v>
      </c>
      <c r="C5449" t="s">
        <v>9045</v>
      </c>
      <c r="E5449" t="s">
        <v>23902</v>
      </c>
      <c r="F5449" t="s">
        <v>32831</v>
      </c>
      <c r="G5449" t="s">
        <v>32841</v>
      </c>
      <c r="H5449" t="s">
        <v>32848</v>
      </c>
      <c r="I5449" t="s">
        <v>32890</v>
      </c>
      <c r="J5449" t="s">
        <v>36476</v>
      </c>
      <c r="K5449" t="s">
        <v>42730</v>
      </c>
      <c r="M5449" t="s">
        <v>43265</v>
      </c>
      <c r="N5449" t="s">
        <v>47424</v>
      </c>
      <c r="O5449" t="s">
        <v>47425</v>
      </c>
      <c r="P5449">
        <v>0</v>
      </c>
      <c r="Q5449">
        <v>0</v>
      </c>
      <c r="R5449" t="s">
        <v>47430</v>
      </c>
      <c r="S5449" t="s">
        <v>47549</v>
      </c>
      <c r="T5449" t="s">
        <v>49073</v>
      </c>
      <c r="U5449" t="s">
        <v>54275</v>
      </c>
      <c r="V5449" t="s">
        <v>63221</v>
      </c>
      <c r="W5449" t="s">
        <v>43265</v>
      </c>
      <c r="X5449" t="s">
        <v>47431</v>
      </c>
    </row>
    <row r="5450" spans="1:24">
      <c r="A5450">
        <f>HYPERLINK("https://www.philgeps.gov.ph/GEPSNONPILOT/Tender/SplashBidNoticeAbstractUI.aspx?menuIndex=3&amp;refID=7161012&amp;Result=3","7161012")</f>
        <v>0</v>
      </c>
      <c r="B5450" t="s">
        <v>2008</v>
      </c>
      <c r="C5450" t="s">
        <v>9046</v>
      </c>
      <c r="D5450" t="s">
        <v>19084</v>
      </c>
      <c r="E5450" t="s">
        <v>19983</v>
      </c>
      <c r="F5450" t="s">
        <v>32831</v>
      </c>
      <c r="G5450" t="s">
        <v>32838</v>
      </c>
      <c r="H5450" t="s">
        <v>32848</v>
      </c>
      <c r="I5450" t="s">
        <v>7416</v>
      </c>
      <c r="J5450" t="s">
        <v>36477</v>
      </c>
      <c r="K5450" t="s">
        <v>42758</v>
      </c>
      <c r="M5450" t="s">
        <v>45175</v>
      </c>
      <c r="N5450" t="s">
        <v>47424</v>
      </c>
      <c r="O5450" t="s">
        <v>47425</v>
      </c>
      <c r="P5450">
        <v>0</v>
      </c>
      <c r="Q5450">
        <v>0</v>
      </c>
      <c r="R5450" t="s">
        <v>47430</v>
      </c>
      <c r="S5450" t="s">
        <v>47549</v>
      </c>
      <c r="T5450" t="s">
        <v>49166</v>
      </c>
      <c r="U5450" t="s">
        <v>50296</v>
      </c>
      <c r="W5450" t="s">
        <v>45175</v>
      </c>
      <c r="X5450" t="s">
        <v>47431</v>
      </c>
    </row>
    <row r="5451" spans="1:24">
      <c r="A5451">
        <f>HYPERLINK("https://www.philgeps.gov.ph/GEPSNONPILOT/Tender/SplashBidNoticeAbstractUI.aspx?menuIndex=3&amp;refID=7161040&amp;Result=3","7161040")</f>
        <v>0</v>
      </c>
      <c r="B5451" t="s">
        <v>1977</v>
      </c>
      <c r="C5451" t="s">
        <v>9047</v>
      </c>
      <c r="E5451" t="s">
        <v>23903</v>
      </c>
      <c r="F5451" t="s">
        <v>32831</v>
      </c>
      <c r="G5451" t="s">
        <v>32838</v>
      </c>
      <c r="H5451" t="s">
        <v>32848</v>
      </c>
      <c r="I5451" t="s">
        <v>4438</v>
      </c>
      <c r="J5451" t="s">
        <v>36478</v>
      </c>
      <c r="K5451" t="s">
        <v>42732</v>
      </c>
      <c r="M5451" t="s">
        <v>45189</v>
      </c>
      <c r="N5451" t="s">
        <v>47424</v>
      </c>
      <c r="O5451" t="s">
        <v>47425</v>
      </c>
      <c r="P5451">
        <v>0</v>
      </c>
      <c r="Q5451">
        <v>1</v>
      </c>
      <c r="R5451" t="s">
        <v>47430</v>
      </c>
      <c r="S5451" t="s">
        <v>47549</v>
      </c>
      <c r="T5451" t="s">
        <v>49239</v>
      </c>
      <c r="U5451" t="s">
        <v>54129</v>
      </c>
      <c r="W5451" t="s">
        <v>45189</v>
      </c>
      <c r="X5451" t="s">
        <v>47431</v>
      </c>
    </row>
    <row r="5452" spans="1:24">
      <c r="A5452">
        <f>HYPERLINK("https://www.philgeps.gov.ph/GEPSNONPILOT/Tender/SplashBidNoticeAbstractUI.aspx?menuIndex=3&amp;refID=7161039&amp;Result=3","7161039")</f>
        <v>0</v>
      </c>
      <c r="B5452" t="s">
        <v>693</v>
      </c>
      <c r="C5452" t="s">
        <v>9048</v>
      </c>
      <c r="D5452" t="s">
        <v>19073</v>
      </c>
      <c r="E5452" t="s">
        <v>20444</v>
      </c>
      <c r="F5452" t="s">
        <v>32831</v>
      </c>
      <c r="G5452" t="s">
        <v>32840</v>
      </c>
      <c r="H5452" t="s">
        <v>32848</v>
      </c>
      <c r="I5452" t="s">
        <v>32862</v>
      </c>
      <c r="J5452" t="s">
        <v>36479</v>
      </c>
      <c r="K5452" t="s">
        <v>42731</v>
      </c>
      <c r="M5452" t="s">
        <v>43712</v>
      </c>
      <c r="N5452" t="s">
        <v>47424</v>
      </c>
      <c r="O5452" t="s">
        <v>47425</v>
      </c>
      <c r="P5452">
        <v>0</v>
      </c>
      <c r="Q5452">
        <v>0</v>
      </c>
      <c r="R5452" t="s">
        <v>47430</v>
      </c>
      <c r="S5452" t="s">
        <v>47549</v>
      </c>
      <c r="T5452" t="s">
        <v>49108</v>
      </c>
      <c r="U5452" t="s">
        <v>54276</v>
      </c>
      <c r="W5452" t="s">
        <v>43712</v>
      </c>
      <c r="X5452" t="s">
        <v>47431</v>
      </c>
    </row>
    <row r="5453" spans="1:24">
      <c r="A5453">
        <f>HYPERLINK("https://www.philgeps.gov.ph/GEPSNONPILOT/Tender/SplashBidNoticeAbstractUI.aspx?menuIndex=3&amp;refID=7161021&amp;Result=3","7161021")</f>
        <v>0</v>
      </c>
      <c r="B5453" t="s">
        <v>2022</v>
      </c>
      <c r="C5453" t="s">
        <v>9049</v>
      </c>
      <c r="D5453" t="s">
        <v>19045</v>
      </c>
      <c r="E5453" t="s">
        <v>23904</v>
      </c>
      <c r="F5453" t="s">
        <v>32831</v>
      </c>
      <c r="G5453" t="s">
        <v>32838</v>
      </c>
      <c r="H5453" t="s">
        <v>32848</v>
      </c>
      <c r="I5453" t="s">
        <v>4303</v>
      </c>
      <c r="J5453" t="s">
        <v>33605</v>
      </c>
      <c r="K5453" t="s">
        <v>42732</v>
      </c>
      <c r="M5453" t="s">
        <v>45190</v>
      </c>
      <c r="N5453" t="s">
        <v>47424</v>
      </c>
      <c r="O5453" t="s">
        <v>47425</v>
      </c>
      <c r="P5453">
        <v>0</v>
      </c>
      <c r="Q5453">
        <v>0</v>
      </c>
      <c r="R5453" t="s">
        <v>47430</v>
      </c>
      <c r="S5453" t="s">
        <v>47549</v>
      </c>
      <c r="T5453" t="s">
        <v>49123</v>
      </c>
      <c r="U5453" t="s">
        <v>54277</v>
      </c>
      <c r="W5453" t="s">
        <v>45190</v>
      </c>
      <c r="X5453" t="s">
        <v>47431</v>
      </c>
    </row>
    <row r="5454" spans="1:24">
      <c r="A5454">
        <f>HYPERLINK("https://www.philgeps.gov.ph/GEPSNONPILOT/Tender/SplashBidNoticeAbstractUI.aspx?menuIndex=3&amp;refID=7161037&amp;Result=3","7161037")</f>
        <v>0</v>
      </c>
      <c r="B5454" t="s">
        <v>1293</v>
      </c>
      <c r="C5454" t="s">
        <v>9050</v>
      </c>
      <c r="D5454" t="s">
        <v>19088</v>
      </c>
      <c r="E5454" t="s">
        <v>23905</v>
      </c>
      <c r="F5454" t="s">
        <v>32831</v>
      </c>
      <c r="G5454" t="s">
        <v>32838</v>
      </c>
      <c r="H5454" t="s">
        <v>32848</v>
      </c>
      <c r="I5454" t="s">
        <v>32857</v>
      </c>
      <c r="J5454" t="s">
        <v>36480</v>
      </c>
      <c r="K5454" t="s">
        <v>42730</v>
      </c>
      <c r="M5454" t="s">
        <v>44363</v>
      </c>
      <c r="N5454" t="s">
        <v>47424</v>
      </c>
      <c r="O5454" t="s">
        <v>47425</v>
      </c>
      <c r="P5454">
        <v>0</v>
      </c>
      <c r="Q5454">
        <v>4</v>
      </c>
      <c r="R5454" t="s">
        <v>47430</v>
      </c>
      <c r="S5454" t="s">
        <v>47549</v>
      </c>
      <c r="T5454" t="s">
        <v>49150</v>
      </c>
      <c r="U5454" t="s">
        <v>54278</v>
      </c>
      <c r="W5454" t="s">
        <v>44363</v>
      </c>
      <c r="X5454" t="s">
        <v>47431</v>
      </c>
    </row>
    <row r="5455" spans="1:24">
      <c r="A5455">
        <f>HYPERLINK("https://www.philgeps.gov.ph/GEPSNONPILOT/Tender/SplashBidNoticeAbstractUI.aspx?menuIndex=3&amp;refID=7161036&amp;Result=3","7161036")</f>
        <v>0</v>
      </c>
      <c r="B5455" t="s">
        <v>1968</v>
      </c>
      <c r="C5455" t="s">
        <v>9051</v>
      </c>
      <c r="D5455" t="s">
        <v>19037</v>
      </c>
      <c r="E5455" t="s">
        <v>23906</v>
      </c>
      <c r="F5455" t="s">
        <v>32831</v>
      </c>
      <c r="G5455" t="s">
        <v>32840</v>
      </c>
      <c r="H5455" t="s">
        <v>32848</v>
      </c>
      <c r="I5455" t="s">
        <v>7416</v>
      </c>
      <c r="J5455" t="s">
        <v>36481</v>
      </c>
      <c r="K5455" t="s">
        <v>42748</v>
      </c>
      <c r="M5455" t="s">
        <v>45128</v>
      </c>
      <c r="N5455" t="s">
        <v>47424</v>
      </c>
      <c r="O5455" t="s">
        <v>47425</v>
      </c>
      <c r="P5455">
        <v>0</v>
      </c>
      <c r="Q5455">
        <v>0</v>
      </c>
      <c r="R5455" t="s">
        <v>47430</v>
      </c>
      <c r="S5455" t="s">
        <v>47549</v>
      </c>
      <c r="T5455" t="s">
        <v>49100</v>
      </c>
      <c r="U5455" t="s">
        <v>54279</v>
      </c>
      <c r="W5455" t="s">
        <v>45128</v>
      </c>
      <c r="X5455" t="s">
        <v>47431</v>
      </c>
    </row>
    <row r="5456" spans="1:24">
      <c r="A5456">
        <f>HYPERLINK("https://www.philgeps.gov.ph/GEPSNONPILOT/Tender/SplashBidNoticeAbstractUI.aspx?menuIndex=3&amp;refID=7161032&amp;Result=3","7161032")</f>
        <v>0</v>
      </c>
      <c r="B5456" t="s">
        <v>103</v>
      </c>
      <c r="C5456" t="s">
        <v>9052</v>
      </c>
      <c r="D5456" t="s">
        <v>19056</v>
      </c>
      <c r="E5456" t="s">
        <v>23907</v>
      </c>
      <c r="F5456" t="s">
        <v>32831</v>
      </c>
      <c r="G5456" t="s">
        <v>32838</v>
      </c>
      <c r="H5456" t="s">
        <v>32848</v>
      </c>
      <c r="I5456" t="s">
        <v>10805</v>
      </c>
      <c r="J5456" t="s">
        <v>36482</v>
      </c>
      <c r="K5456" t="s">
        <v>42742</v>
      </c>
      <c r="L5456" t="s">
        <v>103</v>
      </c>
      <c r="M5456" t="s">
        <v>43100</v>
      </c>
      <c r="N5456" t="s">
        <v>47424</v>
      </c>
      <c r="O5456" t="s">
        <v>47425</v>
      </c>
      <c r="P5456">
        <v>0</v>
      </c>
      <c r="Q5456">
        <v>3</v>
      </c>
      <c r="R5456" t="s">
        <v>47430</v>
      </c>
      <c r="S5456" t="s">
        <v>47549</v>
      </c>
      <c r="T5456" t="s">
        <v>49116</v>
      </c>
      <c r="U5456" t="s">
        <v>49808</v>
      </c>
      <c r="W5456" t="s">
        <v>43100</v>
      </c>
      <c r="X5456" t="s">
        <v>47431</v>
      </c>
    </row>
    <row r="5457" spans="1:24">
      <c r="A5457">
        <f>HYPERLINK("https://www.philgeps.gov.ph/GEPSNONPILOT/Tender/SplashBidNoticeAbstractUI.aspx?menuIndex=3&amp;refID=7161080&amp;Result=3","7161080")</f>
        <v>0</v>
      </c>
      <c r="B5457" t="s">
        <v>450</v>
      </c>
      <c r="C5457" t="s">
        <v>9053</v>
      </c>
      <c r="D5457" t="s">
        <v>19074</v>
      </c>
      <c r="E5457" t="s">
        <v>23908</v>
      </c>
      <c r="F5457" t="s">
        <v>32831</v>
      </c>
      <c r="G5457" t="s">
        <v>32839</v>
      </c>
      <c r="H5457" t="s">
        <v>32848</v>
      </c>
      <c r="I5457" t="s">
        <v>32862</v>
      </c>
      <c r="J5457" t="s">
        <v>32983</v>
      </c>
      <c r="K5457" t="s">
        <v>42726</v>
      </c>
      <c r="M5457" t="s">
        <v>43455</v>
      </c>
      <c r="N5457" t="s">
        <v>47424</v>
      </c>
      <c r="O5457" t="s">
        <v>47425</v>
      </c>
      <c r="P5457">
        <v>0</v>
      </c>
      <c r="Q5457">
        <v>0</v>
      </c>
      <c r="R5457" t="s">
        <v>47430</v>
      </c>
      <c r="S5457" t="s">
        <v>47549</v>
      </c>
      <c r="T5457" t="s">
        <v>49112</v>
      </c>
      <c r="U5457" t="s">
        <v>54280</v>
      </c>
      <c r="W5457" t="s">
        <v>64437</v>
      </c>
      <c r="X5457" t="s">
        <v>47431</v>
      </c>
    </row>
    <row r="5458" spans="1:24">
      <c r="A5458">
        <f>HYPERLINK("https://www.philgeps.gov.ph/GEPSNONPILOT/Tender/SplashBidNoticeAbstractUI.aspx?menuIndex=3&amp;refID=7161100&amp;Result=3","7161100")</f>
        <v>0</v>
      </c>
      <c r="B5458" t="s">
        <v>731</v>
      </c>
      <c r="C5458" t="s">
        <v>9054</v>
      </c>
      <c r="D5458" t="s">
        <v>19086</v>
      </c>
      <c r="E5458" t="s">
        <v>23909</v>
      </c>
      <c r="F5458" t="s">
        <v>32831</v>
      </c>
      <c r="G5458" t="s">
        <v>32838</v>
      </c>
      <c r="H5458" t="s">
        <v>32848</v>
      </c>
      <c r="I5458" t="s">
        <v>4558</v>
      </c>
      <c r="J5458" t="s">
        <v>36483</v>
      </c>
      <c r="K5458" t="s">
        <v>42726</v>
      </c>
      <c r="M5458" t="s">
        <v>43753</v>
      </c>
      <c r="N5458" t="s">
        <v>47424</v>
      </c>
      <c r="O5458" t="s">
        <v>47425</v>
      </c>
      <c r="P5458">
        <v>0</v>
      </c>
      <c r="Q5458">
        <v>1</v>
      </c>
      <c r="R5458" t="s">
        <v>47430</v>
      </c>
      <c r="S5458" t="s">
        <v>47549</v>
      </c>
      <c r="T5458" t="s">
        <v>49237</v>
      </c>
      <c r="U5458" t="s">
        <v>51018</v>
      </c>
      <c r="W5458" t="s">
        <v>43753</v>
      </c>
      <c r="X5458" t="s">
        <v>47431</v>
      </c>
    </row>
    <row r="5459" spans="1:24">
      <c r="A5459">
        <f>HYPERLINK("https://www.philgeps.gov.ph/GEPSNONPILOT/Tender/SplashBidNoticeAbstractUI.aspx?menuIndex=3&amp;refID=7161045&amp;Result=3","7161045")</f>
        <v>0</v>
      </c>
      <c r="B5459" t="s">
        <v>1490</v>
      </c>
      <c r="C5459" t="s">
        <v>9055</v>
      </c>
      <c r="D5459" t="s">
        <v>19042</v>
      </c>
      <c r="E5459" t="s">
        <v>23910</v>
      </c>
      <c r="F5459" t="s">
        <v>32831</v>
      </c>
      <c r="G5459" t="s">
        <v>32839</v>
      </c>
      <c r="H5459" t="s">
        <v>32848</v>
      </c>
      <c r="I5459" t="s">
        <v>32931</v>
      </c>
      <c r="J5459" t="s">
        <v>36484</v>
      </c>
      <c r="K5459" t="s">
        <v>42732</v>
      </c>
      <c r="M5459" t="s">
        <v>44586</v>
      </c>
      <c r="N5459" t="s">
        <v>47424</v>
      </c>
      <c r="O5459" t="s">
        <v>47425</v>
      </c>
      <c r="P5459">
        <v>0</v>
      </c>
      <c r="Q5459">
        <v>9</v>
      </c>
      <c r="R5459" t="s">
        <v>47430</v>
      </c>
      <c r="S5459" t="s">
        <v>47549</v>
      </c>
      <c r="T5459" t="s">
        <v>49095</v>
      </c>
      <c r="U5459" t="s">
        <v>54281</v>
      </c>
      <c r="W5459" t="s">
        <v>44586</v>
      </c>
      <c r="X5459" t="s">
        <v>47431</v>
      </c>
    </row>
    <row r="5460" spans="1:24">
      <c r="A5460">
        <f>HYPERLINK("https://www.philgeps.gov.ph/GEPSNONPILOT/Tender/SplashBidNoticeAbstractUI.aspx?menuIndex=3&amp;refID=7161092&amp;Result=3","7161092")</f>
        <v>0</v>
      </c>
      <c r="B5460" t="s">
        <v>1596</v>
      </c>
      <c r="C5460" t="s">
        <v>9056</v>
      </c>
      <c r="D5460" t="s">
        <v>19045</v>
      </c>
      <c r="E5460" t="s">
        <v>23911</v>
      </c>
      <c r="F5460" t="s">
        <v>32831</v>
      </c>
      <c r="G5460" t="s">
        <v>32838</v>
      </c>
      <c r="H5460" t="s">
        <v>32849</v>
      </c>
      <c r="I5460" t="s">
        <v>4177</v>
      </c>
      <c r="J5460" t="s">
        <v>36485</v>
      </c>
      <c r="K5460" t="s">
        <v>42744</v>
      </c>
      <c r="M5460" t="s">
        <v>45160</v>
      </c>
      <c r="N5460" t="s">
        <v>47424</v>
      </c>
      <c r="O5460" t="s">
        <v>47425</v>
      </c>
      <c r="P5460">
        <v>0</v>
      </c>
      <c r="Q5460">
        <v>0</v>
      </c>
      <c r="R5460" t="s">
        <v>47430</v>
      </c>
      <c r="S5460" t="s">
        <v>47549</v>
      </c>
      <c r="T5460" t="s">
        <v>49107</v>
      </c>
      <c r="U5460" t="s">
        <v>54282</v>
      </c>
      <c r="W5460" t="s">
        <v>45160</v>
      </c>
      <c r="X5460" t="s">
        <v>47431</v>
      </c>
    </row>
    <row r="5461" spans="1:24">
      <c r="A5461">
        <f>HYPERLINK("https://www.philgeps.gov.ph/GEPSNONPILOT/Tender/SplashBidNoticeAbstractUI.aspx?menuIndex=3&amp;refID=7161035&amp;Result=3","7161035")</f>
        <v>0</v>
      </c>
      <c r="B5461" t="s">
        <v>342</v>
      </c>
      <c r="C5461" t="s">
        <v>9057</v>
      </c>
      <c r="D5461" t="s">
        <v>19047</v>
      </c>
      <c r="E5461" t="s">
        <v>23912</v>
      </c>
      <c r="F5461" t="s">
        <v>32831</v>
      </c>
      <c r="G5461" t="s">
        <v>32838</v>
      </c>
      <c r="H5461" t="s">
        <v>32848</v>
      </c>
      <c r="I5461" t="s">
        <v>32862</v>
      </c>
      <c r="J5461" t="s">
        <v>36486</v>
      </c>
      <c r="K5461" t="s">
        <v>42727</v>
      </c>
      <c r="M5461" t="s">
        <v>43345</v>
      </c>
      <c r="N5461" t="s">
        <v>47424</v>
      </c>
      <c r="O5461" t="s">
        <v>47425</v>
      </c>
      <c r="P5461">
        <v>0</v>
      </c>
      <c r="Q5461">
        <v>0</v>
      </c>
      <c r="R5461" t="s">
        <v>47430</v>
      </c>
      <c r="S5461" t="s">
        <v>47549</v>
      </c>
      <c r="T5461" t="s">
        <v>49237</v>
      </c>
      <c r="U5461" t="s">
        <v>50291</v>
      </c>
      <c r="W5461" t="s">
        <v>64436</v>
      </c>
      <c r="X5461" t="s">
        <v>47431</v>
      </c>
    </row>
    <row r="5462" spans="1:24">
      <c r="A5462">
        <f>HYPERLINK("https://www.philgeps.gov.ph/GEPSNONPILOT/Tender/SplashBidNoticeAbstractUI.aspx?menuIndex=3&amp;refID=7161089&amp;Result=3","7161089")</f>
        <v>0</v>
      </c>
      <c r="B5462" t="s">
        <v>1719</v>
      </c>
      <c r="C5462" t="s">
        <v>9058</v>
      </c>
      <c r="D5462" t="s">
        <v>19027</v>
      </c>
      <c r="E5462" t="s">
        <v>23913</v>
      </c>
      <c r="F5462" t="s">
        <v>32833</v>
      </c>
      <c r="G5462" t="s">
        <v>32840</v>
      </c>
      <c r="H5462" t="s">
        <v>32848</v>
      </c>
      <c r="I5462" t="s">
        <v>32879</v>
      </c>
      <c r="J5462" t="s">
        <v>33383</v>
      </c>
      <c r="K5462" t="s">
        <v>42748</v>
      </c>
      <c r="M5462" t="s">
        <v>44841</v>
      </c>
      <c r="N5462" t="s">
        <v>47424</v>
      </c>
      <c r="O5462" t="s">
        <v>47425</v>
      </c>
      <c r="P5462">
        <v>0</v>
      </c>
      <c r="Q5462">
        <v>1</v>
      </c>
      <c r="R5462" t="s">
        <v>47430</v>
      </c>
      <c r="S5462" t="s">
        <v>47549</v>
      </c>
      <c r="T5462" t="s">
        <v>49119</v>
      </c>
      <c r="U5462" t="s">
        <v>54283</v>
      </c>
      <c r="W5462" t="s">
        <v>44841</v>
      </c>
      <c r="X5462" t="s">
        <v>47431</v>
      </c>
    </row>
    <row r="5463" spans="1:24">
      <c r="A5463">
        <f>HYPERLINK("https://www.philgeps.gov.ph/GEPSNONPILOT/Tender/SplashBidNoticeAbstractUI.aspx?menuIndex=3&amp;refID=7160809&amp;Result=3","7160809")</f>
        <v>0</v>
      </c>
      <c r="B5463" t="s">
        <v>2023</v>
      </c>
      <c r="C5463" t="s">
        <v>9059</v>
      </c>
      <c r="D5463" t="s">
        <v>19053</v>
      </c>
      <c r="E5463" t="s">
        <v>23914</v>
      </c>
      <c r="F5463" t="s">
        <v>32831</v>
      </c>
      <c r="G5463" t="s">
        <v>32839</v>
      </c>
      <c r="H5463" t="s">
        <v>32848</v>
      </c>
      <c r="I5463" t="s">
        <v>4222</v>
      </c>
      <c r="J5463" t="s">
        <v>36487</v>
      </c>
      <c r="K5463" t="s">
        <v>42885</v>
      </c>
      <c r="L5463" t="s">
        <v>2023</v>
      </c>
      <c r="M5463" t="s">
        <v>45191</v>
      </c>
      <c r="N5463" t="s">
        <v>47424</v>
      </c>
      <c r="O5463" t="s">
        <v>47425</v>
      </c>
      <c r="P5463">
        <v>0</v>
      </c>
      <c r="Q5463">
        <v>0</v>
      </c>
      <c r="R5463" t="s">
        <v>47430</v>
      </c>
      <c r="S5463" t="s">
        <v>47549</v>
      </c>
      <c r="T5463" t="s">
        <v>49216</v>
      </c>
      <c r="U5463" t="s">
        <v>54284</v>
      </c>
      <c r="W5463" t="s">
        <v>45191</v>
      </c>
      <c r="X5463" t="s">
        <v>47431</v>
      </c>
    </row>
    <row r="5464" spans="1:24">
      <c r="A5464">
        <f>HYPERLINK("https://www.philgeps.gov.ph/GEPSNONPILOT/Tender/SplashBidNoticeAbstractUI.aspx?menuIndex=3&amp;refID=7161086&amp;Result=3","7161086")</f>
        <v>0</v>
      </c>
      <c r="B5464" t="s">
        <v>654</v>
      </c>
      <c r="C5464" t="s">
        <v>9060</v>
      </c>
      <c r="D5464" t="s">
        <v>19071</v>
      </c>
      <c r="E5464" t="s">
        <v>23915</v>
      </c>
      <c r="F5464" t="s">
        <v>32831</v>
      </c>
      <c r="G5464" t="s">
        <v>32839</v>
      </c>
      <c r="H5464" t="s">
        <v>32848</v>
      </c>
      <c r="I5464" t="s">
        <v>9577</v>
      </c>
      <c r="J5464" t="s">
        <v>36488</v>
      </c>
      <c r="K5464" t="s">
        <v>42731</v>
      </c>
      <c r="M5464" t="s">
        <v>43672</v>
      </c>
      <c r="N5464" t="s">
        <v>47424</v>
      </c>
      <c r="O5464" t="s">
        <v>47425</v>
      </c>
      <c r="P5464">
        <v>0</v>
      </c>
      <c r="Q5464">
        <v>0</v>
      </c>
      <c r="R5464" t="s">
        <v>47430</v>
      </c>
      <c r="S5464" t="s">
        <v>47549</v>
      </c>
      <c r="T5464" t="s">
        <v>49148</v>
      </c>
      <c r="U5464" t="s">
        <v>54285</v>
      </c>
      <c r="W5464" t="s">
        <v>43672</v>
      </c>
      <c r="X5464" t="s">
        <v>47431</v>
      </c>
    </row>
    <row r="5465" spans="1:24">
      <c r="A5465">
        <f>HYPERLINK("https://www.philgeps.gov.ph/GEPSNONPILOT/Tender/SplashBidNoticeAbstractUI.aspx?menuIndex=3&amp;refID=7161055&amp;Result=3","7161055")</f>
        <v>0</v>
      </c>
      <c r="B5465" t="s">
        <v>103</v>
      </c>
      <c r="C5465" t="s">
        <v>9061</v>
      </c>
      <c r="D5465" t="s">
        <v>19056</v>
      </c>
      <c r="E5465" t="s">
        <v>23916</v>
      </c>
      <c r="F5465" t="s">
        <v>32831</v>
      </c>
      <c r="G5465" t="s">
        <v>32838</v>
      </c>
      <c r="H5465" t="s">
        <v>32848</v>
      </c>
      <c r="I5465" t="s">
        <v>10805</v>
      </c>
      <c r="J5465" t="s">
        <v>36489</v>
      </c>
      <c r="K5465" t="s">
        <v>42742</v>
      </c>
      <c r="L5465" t="s">
        <v>103</v>
      </c>
      <c r="M5465" t="s">
        <v>43100</v>
      </c>
      <c r="N5465" t="s">
        <v>47424</v>
      </c>
      <c r="O5465" t="s">
        <v>47425</v>
      </c>
      <c r="P5465">
        <v>0</v>
      </c>
      <c r="Q5465">
        <v>3</v>
      </c>
      <c r="R5465" t="s">
        <v>47430</v>
      </c>
      <c r="S5465" t="s">
        <v>47549</v>
      </c>
      <c r="T5465" t="s">
        <v>49116</v>
      </c>
      <c r="U5465" t="s">
        <v>49808</v>
      </c>
      <c r="W5465" t="s">
        <v>43100</v>
      </c>
      <c r="X5465" t="s">
        <v>47431</v>
      </c>
    </row>
    <row r="5466" spans="1:24">
      <c r="A5466">
        <f>HYPERLINK("https://www.philgeps.gov.ph/GEPSNONPILOT/Tender/SplashBidNoticeAbstractUI.aspx?menuIndex=3&amp;refID=7161084&amp;Result=3","7161084")</f>
        <v>0</v>
      </c>
      <c r="B5466" t="s">
        <v>266</v>
      </c>
      <c r="C5466" t="s">
        <v>9062</v>
      </c>
      <c r="D5466" t="s">
        <v>19042</v>
      </c>
      <c r="E5466" t="s">
        <v>23917</v>
      </c>
      <c r="F5466" t="s">
        <v>32831</v>
      </c>
      <c r="G5466" t="s">
        <v>32841</v>
      </c>
      <c r="H5466" t="s">
        <v>32849</v>
      </c>
      <c r="I5466" t="s">
        <v>4177</v>
      </c>
      <c r="J5466" t="s">
        <v>36490</v>
      </c>
      <c r="K5466" t="s">
        <v>42770</v>
      </c>
      <c r="M5466" t="s">
        <v>43265</v>
      </c>
      <c r="N5466" t="s">
        <v>47424</v>
      </c>
      <c r="O5466" t="s">
        <v>47425</v>
      </c>
      <c r="P5466">
        <v>0</v>
      </c>
      <c r="Q5466">
        <v>4</v>
      </c>
      <c r="R5466" t="s">
        <v>47430</v>
      </c>
      <c r="S5466" t="s">
        <v>47549</v>
      </c>
      <c r="T5466" t="s">
        <v>49073</v>
      </c>
      <c r="U5466" t="s">
        <v>54286</v>
      </c>
      <c r="V5466" t="s">
        <v>63221</v>
      </c>
      <c r="W5466" t="s">
        <v>43265</v>
      </c>
      <c r="X5466" t="s">
        <v>47431</v>
      </c>
    </row>
    <row r="5467" spans="1:24">
      <c r="A5467">
        <f>HYPERLINK("https://www.philgeps.gov.ph/GEPSNONPILOT/Tender/SplashBidNoticeAbstractUI.aspx?menuIndex=3&amp;refID=7161094&amp;Result=3","7161094")</f>
        <v>0</v>
      </c>
      <c r="B5467" t="s">
        <v>876</v>
      </c>
      <c r="C5467" t="s">
        <v>9063</v>
      </c>
      <c r="D5467" t="s">
        <v>19033</v>
      </c>
      <c r="E5467" t="s">
        <v>23918</v>
      </c>
      <c r="F5467" t="s">
        <v>32831</v>
      </c>
      <c r="G5467" t="s">
        <v>32839</v>
      </c>
      <c r="H5467" t="s">
        <v>32848</v>
      </c>
      <c r="I5467" t="s">
        <v>32886</v>
      </c>
      <c r="J5467" t="s">
        <v>35553</v>
      </c>
      <c r="K5467" t="s">
        <v>42820</v>
      </c>
      <c r="M5467" t="s">
        <v>43910</v>
      </c>
      <c r="N5467" t="s">
        <v>47424</v>
      </c>
      <c r="O5467" t="s">
        <v>47425</v>
      </c>
      <c r="P5467">
        <v>0</v>
      </c>
      <c r="Q5467">
        <v>3</v>
      </c>
      <c r="R5467" t="s">
        <v>47430</v>
      </c>
      <c r="S5467" t="s">
        <v>47549</v>
      </c>
      <c r="T5467" t="s">
        <v>49319</v>
      </c>
      <c r="U5467" t="s">
        <v>53977</v>
      </c>
      <c r="W5467" t="s">
        <v>43910</v>
      </c>
      <c r="X5467" t="s">
        <v>47431</v>
      </c>
    </row>
    <row r="5468" spans="1:24">
      <c r="A5468">
        <f>HYPERLINK("https://www.philgeps.gov.ph/GEPSNONPILOT/Tender/SplashBidNoticeAbstractUI.aspx?menuIndex=3&amp;refID=7161041&amp;Result=3","7161041")</f>
        <v>0</v>
      </c>
      <c r="B5468" t="s">
        <v>793</v>
      </c>
      <c r="C5468" t="s">
        <v>9064</v>
      </c>
      <c r="D5468" t="s">
        <v>19048</v>
      </c>
      <c r="E5468" t="s">
        <v>23919</v>
      </c>
      <c r="F5468" t="s">
        <v>32831</v>
      </c>
      <c r="G5468" t="s">
        <v>32838</v>
      </c>
      <c r="H5468" t="s">
        <v>32848</v>
      </c>
      <c r="I5468" t="s">
        <v>32857</v>
      </c>
      <c r="J5468" t="s">
        <v>36491</v>
      </c>
      <c r="K5468" t="s">
        <v>42730</v>
      </c>
      <c r="M5468" t="s">
        <v>43823</v>
      </c>
      <c r="N5468" t="s">
        <v>47424</v>
      </c>
      <c r="O5468" t="s">
        <v>47425</v>
      </c>
      <c r="P5468">
        <v>0</v>
      </c>
      <c r="Q5468">
        <v>2</v>
      </c>
      <c r="R5468" t="s">
        <v>47430</v>
      </c>
      <c r="S5468" t="s">
        <v>47549</v>
      </c>
      <c r="T5468" t="s">
        <v>49123</v>
      </c>
      <c r="U5468" t="s">
        <v>54287</v>
      </c>
      <c r="W5468" t="s">
        <v>43823</v>
      </c>
      <c r="X5468" t="s">
        <v>47431</v>
      </c>
    </row>
    <row r="5469" spans="1:24">
      <c r="A5469">
        <f>HYPERLINK("https://www.philgeps.gov.ph/GEPSNONPILOT/Tender/SplashBidNoticeAbstractUI.aspx?menuIndex=3&amp;refID=7161087&amp;Result=3","7161087")</f>
        <v>0</v>
      </c>
      <c r="B5469" t="s">
        <v>342</v>
      </c>
      <c r="C5469" t="s">
        <v>9065</v>
      </c>
      <c r="D5469" t="s">
        <v>19047</v>
      </c>
      <c r="E5469" t="s">
        <v>23920</v>
      </c>
      <c r="F5469" t="s">
        <v>32831</v>
      </c>
      <c r="G5469" t="s">
        <v>32838</v>
      </c>
      <c r="H5469" t="s">
        <v>32848</v>
      </c>
      <c r="I5469" t="s">
        <v>32862</v>
      </c>
      <c r="J5469" t="s">
        <v>36492</v>
      </c>
      <c r="K5469" t="s">
        <v>42727</v>
      </c>
      <c r="M5469" t="s">
        <v>43345</v>
      </c>
      <c r="N5469" t="s">
        <v>47424</v>
      </c>
      <c r="O5469" t="s">
        <v>47425</v>
      </c>
      <c r="P5469">
        <v>0</v>
      </c>
      <c r="Q5469">
        <v>0</v>
      </c>
      <c r="R5469" t="s">
        <v>47430</v>
      </c>
      <c r="S5469" t="s">
        <v>47549</v>
      </c>
      <c r="T5469" t="s">
        <v>49237</v>
      </c>
      <c r="U5469" t="s">
        <v>50291</v>
      </c>
      <c r="W5469" t="s">
        <v>64436</v>
      </c>
      <c r="X5469" t="s">
        <v>47431</v>
      </c>
    </row>
    <row r="5470" spans="1:24">
      <c r="A5470">
        <f>HYPERLINK("https://www.philgeps.gov.ph/GEPSNONPILOT/Tender/SplashBidNoticeAbstractUI.aspx?menuIndex=3&amp;refID=7160989&amp;Result=3","7160989")</f>
        <v>0</v>
      </c>
      <c r="B5470" t="s">
        <v>2024</v>
      </c>
      <c r="C5470" t="s">
        <v>9066</v>
      </c>
      <c r="D5470" t="s">
        <v>19031</v>
      </c>
      <c r="E5470" t="s">
        <v>19888</v>
      </c>
      <c r="F5470" t="s">
        <v>32831</v>
      </c>
      <c r="G5470" t="s">
        <v>32840</v>
      </c>
      <c r="H5470" t="s">
        <v>32848</v>
      </c>
      <c r="I5470" t="s">
        <v>4471</v>
      </c>
      <c r="J5470" t="s">
        <v>33309</v>
      </c>
      <c r="K5470" t="s">
        <v>42732</v>
      </c>
      <c r="M5470" t="s">
        <v>45192</v>
      </c>
      <c r="N5470" t="s">
        <v>47424</v>
      </c>
      <c r="O5470" t="s">
        <v>47425</v>
      </c>
      <c r="P5470">
        <v>0</v>
      </c>
      <c r="Q5470">
        <v>1</v>
      </c>
      <c r="R5470" t="s">
        <v>47430</v>
      </c>
      <c r="S5470" t="s">
        <v>47549</v>
      </c>
      <c r="T5470" t="s">
        <v>49061</v>
      </c>
      <c r="U5470" t="s">
        <v>54288</v>
      </c>
      <c r="W5470" t="s">
        <v>45192</v>
      </c>
      <c r="X5470" t="s">
        <v>47431</v>
      </c>
    </row>
    <row r="5471" spans="1:24">
      <c r="A5471">
        <f>HYPERLINK("https://www.philgeps.gov.ph/GEPSNONPILOT/Tender/SplashBidNoticeAbstractUI.aspx?menuIndex=3&amp;refID=7161132&amp;Result=3","7161132")</f>
        <v>0</v>
      </c>
      <c r="B5471" t="s">
        <v>2025</v>
      </c>
      <c r="C5471" t="s">
        <v>9067</v>
      </c>
      <c r="D5471" t="s">
        <v>19064</v>
      </c>
      <c r="E5471" t="s">
        <v>23921</v>
      </c>
      <c r="F5471" t="s">
        <v>32831</v>
      </c>
      <c r="G5471" t="s">
        <v>32839</v>
      </c>
      <c r="H5471" t="s">
        <v>32848</v>
      </c>
      <c r="I5471" t="s">
        <v>7416</v>
      </c>
      <c r="J5471" t="s">
        <v>36493</v>
      </c>
      <c r="K5471" t="s">
        <v>42731</v>
      </c>
      <c r="M5471" t="s">
        <v>45193</v>
      </c>
      <c r="N5471" t="s">
        <v>47424</v>
      </c>
      <c r="O5471" t="s">
        <v>47425</v>
      </c>
      <c r="P5471">
        <v>0</v>
      </c>
      <c r="Q5471">
        <v>1</v>
      </c>
      <c r="R5471" t="s">
        <v>47430</v>
      </c>
      <c r="S5471" t="s">
        <v>47549</v>
      </c>
      <c r="T5471" t="s">
        <v>49175</v>
      </c>
      <c r="U5471" t="s">
        <v>54289</v>
      </c>
      <c r="W5471" t="s">
        <v>45193</v>
      </c>
      <c r="X5471" t="s">
        <v>47431</v>
      </c>
    </row>
    <row r="5472" spans="1:24">
      <c r="A5472">
        <f>HYPERLINK("https://www.philgeps.gov.ph/GEPSNONPILOT/Tender/SplashBidNoticeAbstractUI.aspx?menuIndex=3&amp;refID=7161127&amp;Result=3","7161127")</f>
        <v>0</v>
      </c>
      <c r="B5472" t="s">
        <v>827</v>
      </c>
      <c r="C5472" t="s">
        <v>9068</v>
      </c>
      <c r="D5472" t="s">
        <v>19026</v>
      </c>
      <c r="E5472" t="s">
        <v>23922</v>
      </c>
      <c r="F5472" t="s">
        <v>32831</v>
      </c>
      <c r="G5472" t="s">
        <v>32839</v>
      </c>
      <c r="H5472" t="s">
        <v>32848</v>
      </c>
      <c r="I5472" t="s">
        <v>32959</v>
      </c>
      <c r="J5472" t="s">
        <v>36494</v>
      </c>
      <c r="K5472" t="s">
        <v>42730</v>
      </c>
      <c r="M5472" t="s">
        <v>43858</v>
      </c>
      <c r="N5472" t="s">
        <v>47424</v>
      </c>
      <c r="O5472" t="s">
        <v>47425</v>
      </c>
      <c r="P5472">
        <v>0</v>
      </c>
      <c r="Q5472">
        <v>5</v>
      </c>
      <c r="R5472" t="s">
        <v>47430</v>
      </c>
      <c r="S5472" t="s">
        <v>47549</v>
      </c>
      <c r="T5472" t="s">
        <v>49198</v>
      </c>
      <c r="U5472" t="s">
        <v>54290</v>
      </c>
      <c r="W5472" t="s">
        <v>43858</v>
      </c>
      <c r="X5472" t="s">
        <v>47431</v>
      </c>
    </row>
    <row r="5473" spans="1:24">
      <c r="A5473">
        <f>HYPERLINK("https://www.philgeps.gov.ph/GEPSNONPILOT/Tender/SplashBidNoticeAbstractUI.aspx?menuIndex=3&amp;refID=7161076&amp;Result=3","7161076")</f>
        <v>0</v>
      </c>
      <c r="B5473" t="s">
        <v>103</v>
      </c>
      <c r="C5473" t="s">
        <v>9069</v>
      </c>
      <c r="D5473" t="s">
        <v>19056</v>
      </c>
      <c r="E5473" t="s">
        <v>23923</v>
      </c>
      <c r="F5473" t="s">
        <v>32831</v>
      </c>
      <c r="G5473" t="s">
        <v>32838</v>
      </c>
      <c r="H5473" t="s">
        <v>32848</v>
      </c>
      <c r="I5473" t="s">
        <v>10805</v>
      </c>
      <c r="J5473" t="s">
        <v>36495</v>
      </c>
      <c r="K5473" t="s">
        <v>42742</v>
      </c>
      <c r="L5473" t="s">
        <v>103</v>
      </c>
      <c r="M5473" t="s">
        <v>43100</v>
      </c>
      <c r="N5473" t="s">
        <v>47424</v>
      </c>
      <c r="O5473" t="s">
        <v>47425</v>
      </c>
      <c r="P5473">
        <v>0</v>
      </c>
      <c r="Q5473">
        <v>2</v>
      </c>
      <c r="R5473" t="s">
        <v>47430</v>
      </c>
      <c r="S5473" t="s">
        <v>47549</v>
      </c>
      <c r="T5473" t="s">
        <v>49116</v>
      </c>
      <c r="U5473" t="s">
        <v>49808</v>
      </c>
      <c r="W5473" t="s">
        <v>43100</v>
      </c>
      <c r="X5473" t="s">
        <v>47431</v>
      </c>
    </row>
    <row r="5474" spans="1:24">
      <c r="A5474">
        <f>HYPERLINK("https://www.philgeps.gov.ph/GEPSNONPILOT/Tender/SplashBidNoticeAbstractUI.aspx?menuIndex=3&amp;refID=7161126&amp;Result=3","7161126")</f>
        <v>0</v>
      </c>
      <c r="B5474" t="s">
        <v>2007</v>
      </c>
      <c r="C5474" t="s">
        <v>9070</v>
      </c>
      <c r="D5474" t="s">
        <v>19017</v>
      </c>
      <c r="E5474" t="s">
        <v>23924</v>
      </c>
      <c r="F5474" t="s">
        <v>32831</v>
      </c>
      <c r="G5474" t="s">
        <v>32838</v>
      </c>
      <c r="H5474" t="s">
        <v>32848</v>
      </c>
      <c r="I5474" t="s">
        <v>32867</v>
      </c>
      <c r="J5474" t="s">
        <v>36496</v>
      </c>
      <c r="K5474" t="s">
        <v>42730</v>
      </c>
      <c r="M5474" t="s">
        <v>45174</v>
      </c>
      <c r="N5474" t="s">
        <v>47424</v>
      </c>
      <c r="O5474" t="s">
        <v>47425</v>
      </c>
      <c r="P5474">
        <v>0</v>
      </c>
      <c r="Q5474">
        <v>17</v>
      </c>
      <c r="R5474" t="s">
        <v>47430</v>
      </c>
      <c r="S5474" t="s">
        <v>47549</v>
      </c>
      <c r="T5474" t="s">
        <v>49244</v>
      </c>
      <c r="U5474" t="s">
        <v>54245</v>
      </c>
      <c r="W5474" t="s">
        <v>45174</v>
      </c>
      <c r="X5474" t="s">
        <v>47431</v>
      </c>
    </row>
    <row r="5475" spans="1:24">
      <c r="A5475">
        <f>HYPERLINK("https://www.philgeps.gov.ph/GEPSNONPILOT/Tender/SplashBidNoticeAbstractUI.aspx?menuIndex=3&amp;refID=7161099&amp;Result=3","7161099")</f>
        <v>0</v>
      </c>
      <c r="B5475" t="s">
        <v>1614</v>
      </c>
      <c r="C5475" t="s">
        <v>9071</v>
      </c>
      <c r="D5475" t="s">
        <v>19064</v>
      </c>
      <c r="E5475" t="s">
        <v>23925</v>
      </c>
      <c r="F5475" t="s">
        <v>32831</v>
      </c>
      <c r="G5475" t="s">
        <v>32839</v>
      </c>
      <c r="H5475" t="s">
        <v>32849</v>
      </c>
      <c r="I5475" t="s">
        <v>4177</v>
      </c>
      <c r="J5475" t="s">
        <v>36497</v>
      </c>
      <c r="K5475" t="s">
        <v>42779</v>
      </c>
      <c r="M5475" t="s">
        <v>44730</v>
      </c>
      <c r="N5475" t="s">
        <v>47424</v>
      </c>
      <c r="O5475" t="s">
        <v>47425</v>
      </c>
      <c r="P5475">
        <v>0</v>
      </c>
      <c r="Q5475">
        <v>2</v>
      </c>
      <c r="R5475" t="s">
        <v>47430</v>
      </c>
      <c r="S5475" t="s">
        <v>47549</v>
      </c>
      <c r="T5475" t="s">
        <v>49132</v>
      </c>
      <c r="U5475" t="s">
        <v>54291</v>
      </c>
      <c r="W5475" t="s">
        <v>64478</v>
      </c>
      <c r="X5475" t="s">
        <v>47431</v>
      </c>
    </row>
    <row r="5476" spans="1:24">
      <c r="A5476">
        <f>HYPERLINK("https://www.philgeps.gov.ph/GEPSNONPILOT/Tender/SplashBidNoticeAbstractUI.aspx?menuIndex=3&amp;refID=7161131&amp;Result=3","7161131")</f>
        <v>0</v>
      </c>
      <c r="B5476" t="s">
        <v>693</v>
      </c>
      <c r="C5476" t="s">
        <v>9072</v>
      </c>
      <c r="D5476" t="s">
        <v>19073</v>
      </c>
      <c r="E5476" t="s">
        <v>20444</v>
      </c>
      <c r="F5476" t="s">
        <v>32831</v>
      </c>
      <c r="G5476" t="s">
        <v>32840</v>
      </c>
      <c r="H5476" t="s">
        <v>32848</v>
      </c>
      <c r="I5476" t="s">
        <v>32923</v>
      </c>
      <c r="J5476" t="s">
        <v>34283</v>
      </c>
      <c r="K5476" t="s">
        <v>42731</v>
      </c>
      <c r="M5476" t="s">
        <v>43712</v>
      </c>
      <c r="N5476" t="s">
        <v>47424</v>
      </c>
      <c r="O5476" t="s">
        <v>47425</v>
      </c>
      <c r="P5476">
        <v>0</v>
      </c>
      <c r="Q5476">
        <v>2</v>
      </c>
      <c r="R5476" t="s">
        <v>47430</v>
      </c>
      <c r="S5476" t="s">
        <v>47549</v>
      </c>
      <c r="T5476" t="s">
        <v>49108</v>
      </c>
      <c r="U5476" t="s">
        <v>54292</v>
      </c>
      <c r="W5476" t="s">
        <v>43712</v>
      </c>
      <c r="X5476" t="s">
        <v>47431</v>
      </c>
    </row>
    <row r="5477" spans="1:24">
      <c r="A5477">
        <f>HYPERLINK("https://www.philgeps.gov.ph/GEPSNONPILOT/Tender/SplashBidNoticeAbstractUI.aspx?menuIndex=3&amp;refID=7161123&amp;Result=3","7161123")</f>
        <v>0</v>
      </c>
      <c r="B5477" t="s">
        <v>1358</v>
      </c>
      <c r="C5477" t="s">
        <v>9073</v>
      </c>
      <c r="D5477" t="s">
        <v>19068</v>
      </c>
      <c r="E5477" t="s">
        <v>23926</v>
      </c>
      <c r="F5477" t="s">
        <v>32831</v>
      </c>
      <c r="G5477" t="s">
        <v>32839</v>
      </c>
      <c r="H5477" t="s">
        <v>32848</v>
      </c>
      <c r="I5477" t="s">
        <v>9577</v>
      </c>
      <c r="J5477" t="s">
        <v>36498</v>
      </c>
      <c r="K5477" t="s">
        <v>42730</v>
      </c>
      <c r="M5477" t="s">
        <v>44435</v>
      </c>
      <c r="N5477" t="s">
        <v>47424</v>
      </c>
      <c r="O5477" t="s">
        <v>47425</v>
      </c>
      <c r="P5477">
        <v>0</v>
      </c>
      <c r="Q5477">
        <v>0</v>
      </c>
      <c r="R5477" t="s">
        <v>47430</v>
      </c>
      <c r="S5477" t="s">
        <v>47549</v>
      </c>
      <c r="T5477" t="s">
        <v>49291</v>
      </c>
      <c r="U5477" t="s">
        <v>54293</v>
      </c>
      <c r="V5477" t="s">
        <v>62969</v>
      </c>
      <c r="W5477" t="s">
        <v>44435</v>
      </c>
      <c r="X5477" t="s">
        <v>47431</v>
      </c>
    </row>
    <row r="5478" spans="1:24">
      <c r="A5478">
        <f>HYPERLINK("https://www.philgeps.gov.ph/GEPSNONPILOT/Tender/SplashBidNoticeAbstractUI.aspx?menuIndex=3&amp;refID=7161125&amp;Result=3","7161125")</f>
        <v>0</v>
      </c>
      <c r="B5478" t="s">
        <v>2026</v>
      </c>
      <c r="C5478" t="s">
        <v>9074</v>
      </c>
      <c r="D5478" t="s">
        <v>19019</v>
      </c>
      <c r="E5478" t="s">
        <v>23927</v>
      </c>
      <c r="F5478" t="s">
        <v>32831</v>
      </c>
      <c r="G5478" t="s">
        <v>32838</v>
      </c>
      <c r="H5478" t="s">
        <v>32848</v>
      </c>
      <c r="I5478" t="s">
        <v>4776</v>
      </c>
      <c r="J5478" t="s">
        <v>33148</v>
      </c>
      <c r="K5478" t="s">
        <v>42732</v>
      </c>
      <c r="M5478" t="s">
        <v>45194</v>
      </c>
      <c r="N5478" t="s">
        <v>47424</v>
      </c>
      <c r="O5478" t="s">
        <v>47425</v>
      </c>
      <c r="P5478">
        <v>0</v>
      </c>
      <c r="Q5478">
        <v>2</v>
      </c>
      <c r="R5478" t="s">
        <v>47430</v>
      </c>
      <c r="S5478" t="s">
        <v>47549</v>
      </c>
      <c r="T5478" t="s">
        <v>49127</v>
      </c>
      <c r="U5478" t="s">
        <v>54294</v>
      </c>
      <c r="W5478" t="s">
        <v>45194</v>
      </c>
      <c r="X5478" t="s">
        <v>47431</v>
      </c>
    </row>
    <row r="5479" spans="1:24">
      <c r="A5479">
        <f>HYPERLINK("https://www.philgeps.gov.ph/GEPSNONPILOT/Tender/SplashBidNoticeAbstractUI.aspx?menuIndex=3&amp;refID=7161120&amp;Result=3","7161120")</f>
        <v>0</v>
      </c>
      <c r="B5479" t="s">
        <v>2027</v>
      </c>
      <c r="C5479" t="s">
        <v>9075</v>
      </c>
      <c r="D5479" t="s">
        <v>19080</v>
      </c>
      <c r="E5479" t="s">
        <v>23928</v>
      </c>
      <c r="F5479" t="s">
        <v>32831</v>
      </c>
      <c r="G5479" t="s">
        <v>32841</v>
      </c>
      <c r="H5479" t="s">
        <v>32848</v>
      </c>
      <c r="I5479" t="s">
        <v>7416</v>
      </c>
      <c r="J5479" t="s">
        <v>36499</v>
      </c>
      <c r="K5479" t="s">
        <v>42730</v>
      </c>
      <c r="M5479" t="s">
        <v>45195</v>
      </c>
      <c r="N5479" t="s">
        <v>47424</v>
      </c>
      <c r="O5479" t="s">
        <v>47425</v>
      </c>
      <c r="P5479">
        <v>0</v>
      </c>
      <c r="Q5479">
        <v>0</v>
      </c>
      <c r="R5479" t="s">
        <v>47430</v>
      </c>
      <c r="S5479" t="s">
        <v>47549</v>
      </c>
      <c r="T5479" t="s">
        <v>49328</v>
      </c>
      <c r="U5479" t="s">
        <v>54295</v>
      </c>
      <c r="W5479" t="s">
        <v>45195</v>
      </c>
      <c r="X5479" t="s">
        <v>47431</v>
      </c>
    </row>
    <row r="5480" spans="1:24">
      <c r="A5480">
        <f>HYPERLINK("https://www.philgeps.gov.ph/GEPSNONPILOT/Tender/SplashBidNoticeAbstractUI.aspx?menuIndex=3&amp;refID=7161114&amp;Result=3","7161114")</f>
        <v>0</v>
      </c>
      <c r="B5480" t="s">
        <v>937</v>
      </c>
      <c r="C5480" t="s">
        <v>9076</v>
      </c>
      <c r="D5480" t="s">
        <v>19090</v>
      </c>
      <c r="E5480" t="s">
        <v>19541</v>
      </c>
      <c r="F5480" t="s">
        <v>32831</v>
      </c>
      <c r="G5480" t="s">
        <v>32838</v>
      </c>
      <c r="H5480" t="s">
        <v>32848</v>
      </c>
      <c r="I5480" t="s">
        <v>32910</v>
      </c>
      <c r="J5480" t="s">
        <v>33338</v>
      </c>
      <c r="K5480" t="s">
        <v>42759</v>
      </c>
      <c r="M5480" t="s">
        <v>43979</v>
      </c>
      <c r="N5480" t="s">
        <v>47424</v>
      </c>
      <c r="O5480" t="s">
        <v>47425</v>
      </c>
      <c r="P5480">
        <v>0</v>
      </c>
      <c r="Q5480">
        <v>0</v>
      </c>
      <c r="R5480" t="s">
        <v>47430</v>
      </c>
      <c r="S5480" t="s">
        <v>47549</v>
      </c>
      <c r="T5480" t="s">
        <v>49145</v>
      </c>
      <c r="U5480" t="s">
        <v>54296</v>
      </c>
      <c r="W5480" t="s">
        <v>43979</v>
      </c>
      <c r="X5480" t="s">
        <v>47431</v>
      </c>
    </row>
    <row r="5481" spans="1:24">
      <c r="A5481">
        <f>HYPERLINK("https://www.philgeps.gov.ph/GEPSNONPILOT/Tender/SplashBidNoticeAbstractUI.aspx?menuIndex=3&amp;refID=7161124&amp;Result=3","7161124")</f>
        <v>0</v>
      </c>
      <c r="B5481" t="s">
        <v>1283</v>
      </c>
      <c r="C5481" t="s">
        <v>9077</v>
      </c>
      <c r="D5481" t="s">
        <v>19017</v>
      </c>
      <c r="E5481" t="s">
        <v>23929</v>
      </c>
      <c r="F5481" t="s">
        <v>32831</v>
      </c>
      <c r="G5481" t="s">
        <v>32838</v>
      </c>
      <c r="H5481" t="s">
        <v>32849</v>
      </c>
      <c r="I5481" t="s">
        <v>32885</v>
      </c>
      <c r="J5481" t="s">
        <v>36500</v>
      </c>
      <c r="K5481" t="s">
        <v>42748</v>
      </c>
      <c r="M5481" t="s">
        <v>44353</v>
      </c>
      <c r="N5481" t="s">
        <v>47424</v>
      </c>
      <c r="O5481" t="s">
        <v>47425</v>
      </c>
      <c r="P5481">
        <v>0</v>
      </c>
      <c r="Q5481">
        <v>4</v>
      </c>
      <c r="R5481" t="s">
        <v>47430</v>
      </c>
      <c r="S5481" t="s">
        <v>47549</v>
      </c>
      <c r="T5481" t="s">
        <v>49198</v>
      </c>
      <c r="U5481" t="s">
        <v>54297</v>
      </c>
      <c r="W5481" t="s">
        <v>44353</v>
      </c>
      <c r="X5481" t="s">
        <v>47431</v>
      </c>
    </row>
    <row r="5482" spans="1:24">
      <c r="A5482">
        <f>HYPERLINK("https://www.philgeps.gov.ph/GEPSNONPILOT/Tender/SplashBidNoticeAbstractUI.aspx?menuIndex=3&amp;refID=7161113&amp;Result=3","7161113")</f>
        <v>0</v>
      </c>
      <c r="B5482" t="s">
        <v>179</v>
      </c>
      <c r="C5482" t="s">
        <v>9078</v>
      </c>
      <c r="D5482" t="s">
        <v>19062</v>
      </c>
      <c r="E5482" t="s">
        <v>23930</v>
      </c>
      <c r="F5482" t="s">
        <v>32831</v>
      </c>
      <c r="G5482" t="s">
        <v>32838</v>
      </c>
      <c r="H5482" t="s">
        <v>32848</v>
      </c>
      <c r="I5482" t="s">
        <v>32859</v>
      </c>
      <c r="J5482" t="s">
        <v>32980</v>
      </c>
      <c r="K5482" t="s">
        <v>42731</v>
      </c>
      <c r="M5482" t="s">
        <v>43177</v>
      </c>
      <c r="N5482" t="s">
        <v>47424</v>
      </c>
      <c r="O5482" t="s">
        <v>47425</v>
      </c>
      <c r="P5482">
        <v>0</v>
      </c>
      <c r="Q5482">
        <v>0</v>
      </c>
      <c r="R5482" t="s">
        <v>47430</v>
      </c>
      <c r="S5482" t="s">
        <v>47549</v>
      </c>
      <c r="T5482" t="s">
        <v>49163</v>
      </c>
      <c r="U5482" t="s">
        <v>54298</v>
      </c>
      <c r="W5482" t="s">
        <v>43177</v>
      </c>
      <c r="X5482" t="s">
        <v>47431</v>
      </c>
    </row>
    <row r="5483" spans="1:24">
      <c r="A5483">
        <f>HYPERLINK("https://www.philgeps.gov.ph/GEPSNONPILOT/Tender/SplashBidNoticeAbstractUI.aspx?menuIndex=3&amp;refID=7161111&amp;Result=3","7161111")</f>
        <v>0</v>
      </c>
      <c r="B5483" t="s">
        <v>2028</v>
      </c>
      <c r="C5483" t="s">
        <v>9079</v>
      </c>
      <c r="D5483" t="s">
        <v>19095</v>
      </c>
      <c r="E5483" t="s">
        <v>23931</v>
      </c>
      <c r="F5483" t="s">
        <v>32831</v>
      </c>
      <c r="G5483" t="s">
        <v>32839</v>
      </c>
      <c r="H5483" t="s">
        <v>32848</v>
      </c>
      <c r="I5483" t="s">
        <v>7416</v>
      </c>
      <c r="J5483" t="s">
        <v>33364</v>
      </c>
      <c r="K5483" t="s">
        <v>42726</v>
      </c>
      <c r="M5483" t="s">
        <v>45196</v>
      </c>
      <c r="N5483" t="s">
        <v>47424</v>
      </c>
      <c r="O5483" t="s">
        <v>47425</v>
      </c>
      <c r="P5483">
        <v>0</v>
      </c>
      <c r="Q5483">
        <v>0</v>
      </c>
      <c r="R5483" t="s">
        <v>47430</v>
      </c>
      <c r="S5483" t="s">
        <v>47549</v>
      </c>
      <c r="T5483" t="s">
        <v>49104</v>
      </c>
      <c r="U5483" t="s">
        <v>54299</v>
      </c>
      <c r="V5483" t="s">
        <v>63228</v>
      </c>
      <c r="W5483" t="s">
        <v>45196</v>
      </c>
      <c r="X5483" t="s">
        <v>47431</v>
      </c>
    </row>
    <row r="5484" spans="1:24">
      <c r="A5484">
        <f>HYPERLINK("https://www.philgeps.gov.ph/GEPSNONPILOT/Tender/SplashBidNoticeAbstractUI.aspx?menuIndex=3&amp;refID=7161108&amp;Result=3","7161108")</f>
        <v>0</v>
      </c>
      <c r="B5484" t="s">
        <v>295</v>
      </c>
      <c r="C5484" t="s">
        <v>9080</v>
      </c>
      <c r="D5484" t="s">
        <v>19029</v>
      </c>
      <c r="E5484" t="s">
        <v>23932</v>
      </c>
      <c r="F5484" t="s">
        <v>32834</v>
      </c>
      <c r="G5484" t="s">
        <v>32838</v>
      </c>
      <c r="H5484" t="s">
        <v>32850</v>
      </c>
      <c r="I5484" t="s">
        <v>5379</v>
      </c>
      <c r="J5484" t="s">
        <v>34641</v>
      </c>
      <c r="K5484" t="s">
        <v>42758</v>
      </c>
      <c r="M5484" t="s">
        <v>43914</v>
      </c>
      <c r="N5484" t="s">
        <v>47424</v>
      </c>
      <c r="O5484" t="s">
        <v>47425</v>
      </c>
      <c r="P5484">
        <v>0</v>
      </c>
      <c r="Q5484">
        <v>0</v>
      </c>
      <c r="R5484" t="s">
        <v>47430</v>
      </c>
      <c r="S5484" t="s">
        <v>47549</v>
      </c>
      <c r="T5484" t="s">
        <v>49129</v>
      </c>
      <c r="U5484" t="s">
        <v>54300</v>
      </c>
      <c r="V5484" t="s">
        <v>51102</v>
      </c>
      <c r="W5484" t="s">
        <v>43914</v>
      </c>
      <c r="X5484" t="s">
        <v>47431</v>
      </c>
    </row>
    <row r="5485" spans="1:24">
      <c r="A5485">
        <f>HYPERLINK("https://www.philgeps.gov.ph/GEPSNONPILOT/Tender/SplashBidNoticeAbstractUI.aspx?menuIndex=3&amp;refID=7161071&amp;Result=3","7161071")</f>
        <v>0</v>
      </c>
      <c r="B5485" t="s">
        <v>60</v>
      </c>
      <c r="C5485" t="s">
        <v>9081</v>
      </c>
      <c r="D5485" t="s">
        <v>19042</v>
      </c>
      <c r="E5485" t="s">
        <v>23933</v>
      </c>
      <c r="F5485" t="s">
        <v>32831</v>
      </c>
      <c r="G5485" t="s">
        <v>32839</v>
      </c>
      <c r="H5485" t="s">
        <v>32849</v>
      </c>
      <c r="I5485" t="s">
        <v>4177</v>
      </c>
      <c r="J5485" t="s">
        <v>36501</v>
      </c>
      <c r="K5485" t="s">
        <v>42787</v>
      </c>
      <c r="M5485" t="s">
        <v>43740</v>
      </c>
      <c r="N5485" t="s">
        <v>47424</v>
      </c>
      <c r="O5485" t="s">
        <v>47425</v>
      </c>
      <c r="P5485">
        <v>0</v>
      </c>
      <c r="Q5485">
        <v>1</v>
      </c>
      <c r="R5485" t="s">
        <v>47430</v>
      </c>
      <c r="S5485" t="s">
        <v>47549</v>
      </c>
      <c r="T5485" t="s">
        <v>49358</v>
      </c>
      <c r="U5485" t="s">
        <v>54301</v>
      </c>
      <c r="W5485" t="s">
        <v>43740</v>
      </c>
      <c r="X5485" t="s">
        <v>47431</v>
      </c>
    </row>
    <row r="5486" spans="1:24">
      <c r="A5486">
        <f>HYPERLINK("https://www.philgeps.gov.ph/GEPSNONPILOT/Tender/SplashBidNoticeAbstractUI.aspx?menuIndex=3&amp;refID=7161117&amp;Result=3","7161117")</f>
        <v>0</v>
      </c>
      <c r="B5486" t="s">
        <v>1316</v>
      </c>
      <c r="C5486" t="s">
        <v>9082</v>
      </c>
      <c r="D5486" t="s">
        <v>19035</v>
      </c>
      <c r="E5486" t="s">
        <v>23934</v>
      </c>
      <c r="F5486" t="s">
        <v>32831</v>
      </c>
      <c r="G5486" t="s">
        <v>32839</v>
      </c>
      <c r="H5486" t="s">
        <v>32848</v>
      </c>
      <c r="I5486" t="s">
        <v>4487</v>
      </c>
      <c r="J5486" t="s">
        <v>35602</v>
      </c>
      <c r="K5486" t="s">
        <v>42748</v>
      </c>
      <c r="M5486" t="s">
        <v>44387</v>
      </c>
      <c r="N5486" t="s">
        <v>47424</v>
      </c>
      <c r="O5486" t="s">
        <v>47425</v>
      </c>
      <c r="P5486">
        <v>0</v>
      </c>
      <c r="Q5486">
        <v>3</v>
      </c>
      <c r="R5486" t="s">
        <v>47430</v>
      </c>
      <c r="S5486" t="s">
        <v>47549</v>
      </c>
      <c r="T5486" t="s">
        <v>49198</v>
      </c>
      <c r="U5486" t="s">
        <v>54302</v>
      </c>
      <c r="W5486" t="s">
        <v>44387</v>
      </c>
      <c r="X5486" t="s">
        <v>47431</v>
      </c>
    </row>
    <row r="5487" spans="1:24">
      <c r="A5487">
        <f>HYPERLINK("https://www.philgeps.gov.ph/GEPSNONPILOT/Tender/SplashBidNoticeAbstractUI.aspx?menuIndex=3&amp;refID=7161119&amp;Result=3","7161119")</f>
        <v>0</v>
      </c>
      <c r="B5487" t="s">
        <v>689</v>
      </c>
      <c r="C5487" t="s">
        <v>9083</v>
      </c>
      <c r="E5487" t="s">
        <v>23935</v>
      </c>
      <c r="F5487" t="s">
        <v>32831</v>
      </c>
      <c r="G5487" t="s">
        <v>32839</v>
      </c>
      <c r="H5487" t="s">
        <v>32848</v>
      </c>
      <c r="I5487" t="s">
        <v>4487</v>
      </c>
      <c r="J5487" t="s">
        <v>36502</v>
      </c>
      <c r="K5487" t="s">
        <v>42732</v>
      </c>
      <c r="M5487" t="s">
        <v>45151</v>
      </c>
      <c r="N5487" t="s">
        <v>47424</v>
      </c>
      <c r="O5487" t="s">
        <v>47425</v>
      </c>
      <c r="P5487">
        <v>0</v>
      </c>
      <c r="Q5487">
        <v>12</v>
      </c>
      <c r="R5487" t="s">
        <v>47430</v>
      </c>
      <c r="S5487" t="s">
        <v>47549</v>
      </c>
      <c r="T5487" t="s">
        <v>49188</v>
      </c>
      <c r="U5487" t="s">
        <v>54303</v>
      </c>
      <c r="W5487" t="s">
        <v>45151</v>
      </c>
      <c r="X5487" t="s">
        <v>47431</v>
      </c>
    </row>
    <row r="5488" spans="1:24">
      <c r="A5488">
        <f>HYPERLINK("https://www.philgeps.gov.ph/GEPSNONPILOT/Tender/SplashBidNoticeAbstractUI.aspx?menuIndex=3&amp;refID=7161106&amp;Result=3","7161106")</f>
        <v>0</v>
      </c>
      <c r="B5488" t="s">
        <v>961</v>
      </c>
      <c r="C5488" t="s">
        <v>9084</v>
      </c>
      <c r="D5488" t="s">
        <v>19021</v>
      </c>
      <c r="E5488" t="s">
        <v>23936</v>
      </c>
      <c r="F5488" t="s">
        <v>32831</v>
      </c>
      <c r="G5488" t="s">
        <v>32839</v>
      </c>
      <c r="H5488" t="s">
        <v>32849</v>
      </c>
      <c r="I5488" t="s">
        <v>4177</v>
      </c>
      <c r="J5488" t="s">
        <v>36503</v>
      </c>
      <c r="K5488" t="s">
        <v>42843</v>
      </c>
      <c r="M5488" t="s">
        <v>44007</v>
      </c>
      <c r="N5488" t="s">
        <v>47424</v>
      </c>
      <c r="O5488" t="s">
        <v>47425</v>
      </c>
      <c r="P5488">
        <v>0</v>
      </c>
      <c r="Q5488">
        <v>84</v>
      </c>
      <c r="R5488" t="s">
        <v>47430</v>
      </c>
      <c r="S5488" t="s">
        <v>47549</v>
      </c>
      <c r="T5488" t="s">
        <v>49119</v>
      </c>
      <c r="U5488" t="s">
        <v>54304</v>
      </c>
      <c r="W5488" t="s">
        <v>44007</v>
      </c>
      <c r="X5488" t="s">
        <v>47431</v>
      </c>
    </row>
    <row r="5489" spans="1:24">
      <c r="A5489">
        <f>HYPERLINK("https://www.philgeps.gov.ph/GEPSNONPILOT/Tender/SplashBidNoticeAbstractUI.aspx?menuIndex=3&amp;refID=7161105&amp;Result=3","7161105")</f>
        <v>0</v>
      </c>
      <c r="B5489" t="s">
        <v>2029</v>
      </c>
      <c r="C5489" t="s">
        <v>9085</v>
      </c>
      <c r="D5489" t="s">
        <v>19067</v>
      </c>
      <c r="E5489" t="s">
        <v>23937</v>
      </c>
      <c r="F5489" t="s">
        <v>32831</v>
      </c>
      <c r="G5489" t="s">
        <v>32840</v>
      </c>
      <c r="H5489" t="s">
        <v>32848</v>
      </c>
      <c r="I5489" t="s">
        <v>6526</v>
      </c>
      <c r="J5489" t="s">
        <v>36504</v>
      </c>
      <c r="K5489" t="s">
        <v>42732</v>
      </c>
      <c r="M5489" t="s">
        <v>45197</v>
      </c>
      <c r="N5489" t="s">
        <v>47424</v>
      </c>
      <c r="O5489" t="s">
        <v>47425</v>
      </c>
      <c r="P5489">
        <v>0</v>
      </c>
      <c r="Q5489">
        <v>1</v>
      </c>
      <c r="R5489" t="s">
        <v>47430</v>
      </c>
      <c r="S5489" t="s">
        <v>47549</v>
      </c>
      <c r="T5489" t="s">
        <v>49111</v>
      </c>
      <c r="U5489" t="s">
        <v>54305</v>
      </c>
      <c r="W5489" t="s">
        <v>45197</v>
      </c>
      <c r="X5489" t="s">
        <v>47431</v>
      </c>
    </row>
    <row r="5490" spans="1:24">
      <c r="A5490">
        <f>HYPERLINK("https://www.philgeps.gov.ph/GEPSNONPILOT/Tender/SplashBidNoticeAbstractUI.aspx?menuIndex=3&amp;refID=7161134&amp;Result=3","7161134")</f>
        <v>0</v>
      </c>
      <c r="B5490" t="s">
        <v>2008</v>
      </c>
      <c r="C5490" t="s">
        <v>9086</v>
      </c>
      <c r="D5490" t="s">
        <v>19084</v>
      </c>
      <c r="E5490" t="s">
        <v>23938</v>
      </c>
      <c r="F5490" t="s">
        <v>32831</v>
      </c>
      <c r="G5490" t="s">
        <v>32838</v>
      </c>
      <c r="H5490" t="s">
        <v>32848</v>
      </c>
      <c r="I5490" t="s">
        <v>4438</v>
      </c>
      <c r="J5490" t="s">
        <v>32983</v>
      </c>
      <c r="K5490" t="s">
        <v>42727</v>
      </c>
      <c r="M5490" t="s">
        <v>45175</v>
      </c>
      <c r="N5490" t="s">
        <v>47424</v>
      </c>
      <c r="O5490" t="s">
        <v>47425</v>
      </c>
      <c r="P5490">
        <v>0</v>
      </c>
      <c r="Q5490">
        <v>0</v>
      </c>
      <c r="R5490" t="s">
        <v>47430</v>
      </c>
      <c r="S5490" t="s">
        <v>47549</v>
      </c>
      <c r="T5490" t="s">
        <v>49166</v>
      </c>
      <c r="U5490" t="s">
        <v>54306</v>
      </c>
      <c r="W5490" t="s">
        <v>45175</v>
      </c>
      <c r="X5490" t="s">
        <v>47431</v>
      </c>
    </row>
    <row r="5491" spans="1:24">
      <c r="A5491">
        <f>HYPERLINK("https://www.philgeps.gov.ph/GEPSNONPILOT/Tender/SplashBidNoticeAbstractUI.aspx?menuIndex=3&amp;refID=7161175&amp;Result=3","7161175")</f>
        <v>0</v>
      </c>
      <c r="B5491" t="s">
        <v>1799</v>
      </c>
      <c r="C5491" t="s">
        <v>9087</v>
      </c>
      <c r="D5491" t="s">
        <v>19071</v>
      </c>
      <c r="E5491" t="s">
        <v>23939</v>
      </c>
      <c r="F5491" t="s">
        <v>32831</v>
      </c>
      <c r="G5491" t="s">
        <v>32839</v>
      </c>
      <c r="H5491" t="s">
        <v>32848</v>
      </c>
      <c r="I5491" t="s">
        <v>32870</v>
      </c>
      <c r="J5491" t="s">
        <v>36505</v>
      </c>
      <c r="K5491" t="s">
        <v>42730</v>
      </c>
      <c r="M5491" t="s">
        <v>44929</v>
      </c>
      <c r="N5491" t="s">
        <v>47424</v>
      </c>
      <c r="O5491" t="s">
        <v>47425</v>
      </c>
      <c r="P5491">
        <v>0</v>
      </c>
      <c r="Q5491">
        <v>0</v>
      </c>
      <c r="R5491" t="s">
        <v>47430</v>
      </c>
      <c r="S5491" t="s">
        <v>47549</v>
      </c>
      <c r="T5491" t="s">
        <v>49089</v>
      </c>
      <c r="U5491" t="s">
        <v>54307</v>
      </c>
      <c r="V5491" t="s">
        <v>62833</v>
      </c>
      <c r="W5491" t="s">
        <v>44929</v>
      </c>
      <c r="X5491" t="s">
        <v>47431</v>
      </c>
    </row>
    <row r="5492" spans="1:24">
      <c r="A5492">
        <f>HYPERLINK("https://www.philgeps.gov.ph/GEPSNONPILOT/Tender/SplashBidNoticeAbstractUI.aspx?menuIndex=3&amp;refID=7161166&amp;Result=3","7161166")</f>
        <v>0</v>
      </c>
      <c r="B5492" t="s">
        <v>2030</v>
      </c>
      <c r="C5492" t="s">
        <v>9088</v>
      </c>
      <c r="D5492" t="s">
        <v>19088</v>
      </c>
      <c r="E5492" t="s">
        <v>23940</v>
      </c>
      <c r="F5492" t="s">
        <v>32831</v>
      </c>
      <c r="G5492" t="s">
        <v>32839</v>
      </c>
      <c r="H5492" t="s">
        <v>32850</v>
      </c>
      <c r="I5492" t="s">
        <v>5667</v>
      </c>
      <c r="J5492" t="s">
        <v>33016</v>
      </c>
      <c r="K5492" t="s">
        <v>42730</v>
      </c>
      <c r="M5492" t="s">
        <v>45198</v>
      </c>
      <c r="N5492" t="s">
        <v>47424</v>
      </c>
      <c r="O5492" t="s">
        <v>47425</v>
      </c>
      <c r="P5492">
        <v>0</v>
      </c>
      <c r="Q5492">
        <v>2</v>
      </c>
      <c r="R5492" t="s">
        <v>47430</v>
      </c>
      <c r="S5492" t="s">
        <v>47549</v>
      </c>
      <c r="T5492" t="s">
        <v>49158</v>
      </c>
      <c r="U5492" t="s">
        <v>54308</v>
      </c>
      <c r="W5492" t="s">
        <v>45198</v>
      </c>
      <c r="X5492" t="s">
        <v>47431</v>
      </c>
    </row>
    <row r="5493" spans="1:24">
      <c r="A5493">
        <f>HYPERLINK("https://www.philgeps.gov.ph/GEPSNONPILOT/Tender/SplashBidNoticeAbstractUI.aspx?menuIndex=3&amp;refID=7161170&amp;Result=3","7161170")</f>
        <v>0</v>
      </c>
      <c r="B5493" t="s">
        <v>2007</v>
      </c>
      <c r="C5493" t="s">
        <v>9089</v>
      </c>
      <c r="D5493" t="s">
        <v>19017</v>
      </c>
      <c r="E5493" t="s">
        <v>23941</v>
      </c>
      <c r="F5493" t="s">
        <v>32831</v>
      </c>
      <c r="G5493" t="s">
        <v>32838</v>
      </c>
      <c r="H5493" t="s">
        <v>32848</v>
      </c>
      <c r="I5493" t="s">
        <v>10643</v>
      </c>
      <c r="J5493" t="s">
        <v>36506</v>
      </c>
      <c r="K5493" t="s">
        <v>42730</v>
      </c>
      <c r="M5493" t="s">
        <v>45174</v>
      </c>
      <c r="N5493" t="s">
        <v>47424</v>
      </c>
      <c r="O5493" t="s">
        <v>47425</v>
      </c>
      <c r="P5493">
        <v>0</v>
      </c>
      <c r="Q5493">
        <v>11</v>
      </c>
      <c r="R5493" t="s">
        <v>47430</v>
      </c>
      <c r="S5493" t="s">
        <v>47549</v>
      </c>
      <c r="T5493" t="s">
        <v>49244</v>
      </c>
      <c r="U5493" t="s">
        <v>54245</v>
      </c>
      <c r="W5493" t="s">
        <v>45174</v>
      </c>
      <c r="X5493" t="s">
        <v>47431</v>
      </c>
    </row>
    <row r="5494" spans="1:24">
      <c r="A5494">
        <f>HYPERLINK("https://www.philgeps.gov.ph/GEPSNONPILOT/Tender/SplashBidNoticeAbstractUI.aspx?menuIndex=3&amp;refID=7161109&amp;Result=3","7161109")</f>
        <v>0</v>
      </c>
      <c r="B5494" t="s">
        <v>2031</v>
      </c>
      <c r="C5494" t="s">
        <v>9090</v>
      </c>
      <c r="D5494" t="s">
        <v>19060</v>
      </c>
      <c r="E5494" t="s">
        <v>23942</v>
      </c>
      <c r="F5494" t="s">
        <v>32831</v>
      </c>
      <c r="G5494" t="s">
        <v>32841</v>
      </c>
      <c r="H5494" t="s">
        <v>32848</v>
      </c>
      <c r="I5494" t="s">
        <v>32855</v>
      </c>
      <c r="J5494" t="s">
        <v>36507</v>
      </c>
      <c r="K5494" t="s">
        <v>42729</v>
      </c>
      <c r="M5494" t="s">
        <v>45199</v>
      </c>
      <c r="N5494" t="s">
        <v>47424</v>
      </c>
      <c r="O5494" t="s">
        <v>47425</v>
      </c>
      <c r="P5494">
        <v>0</v>
      </c>
      <c r="Q5494">
        <v>7</v>
      </c>
      <c r="R5494" t="s">
        <v>47430</v>
      </c>
      <c r="S5494" t="s">
        <v>47549</v>
      </c>
      <c r="T5494" t="s">
        <v>49210</v>
      </c>
      <c r="U5494" t="s">
        <v>54309</v>
      </c>
      <c r="W5494" t="s">
        <v>45199</v>
      </c>
      <c r="X5494" t="s">
        <v>47431</v>
      </c>
    </row>
    <row r="5495" spans="1:24">
      <c r="A5495">
        <f>HYPERLINK("https://www.philgeps.gov.ph/GEPSNONPILOT/Tender/SplashBidNoticeAbstractUI.aspx?menuIndex=3&amp;refID=7161167&amp;Result=3","7161167")</f>
        <v>0</v>
      </c>
      <c r="B5495" t="s">
        <v>324</v>
      </c>
      <c r="C5495" t="s">
        <v>9091</v>
      </c>
      <c r="D5495" t="s">
        <v>19049</v>
      </c>
      <c r="E5495" t="s">
        <v>23943</v>
      </c>
      <c r="F5495" t="s">
        <v>32831</v>
      </c>
      <c r="G5495" t="s">
        <v>32839</v>
      </c>
      <c r="H5495" t="s">
        <v>32848</v>
      </c>
      <c r="I5495" t="s">
        <v>32875</v>
      </c>
      <c r="J5495" t="s">
        <v>36508</v>
      </c>
      <c r="K5495" t="s">
        <v>42747</v>
      </c>
      <c r="M5495" t="s">
        <v>43327</v>
      </c>
      <c r="N5495" t="s">
        <v>47424</v>
      </c>
      <c r="O5495" t="s">
        <v>47425</v>
      </c>
      <c r="P5495">
        <v>0</v>
      </c>
      <c r="Q5495">
        <v>2</v>
      </c>
      <c r="R5495" t="s">
        <v>47430</v>
      </c>
      <c r="S5495" t="s">
        <v>47549</v>
      </c>
      <c r="T5495" t="s">
        <v>49334</v>
      </c>
      <c r="U5495" t="s">
        <v>54310</v>
      </c>
      <c r="W5495" t="s">
        <v>43327</v>
      </c>
      <c r="X5495" t="s">
        <v>47431</v>
      </c>
    </row>
    <row r="5496" spans="1:24">
      <c r="A5496">
        <f>HYPERLINK("https://www.philgeps.gov.ph/GEPSNONPILOT/Tender/SplashBidNoticeAbstractUI.aspx?menuIndex=3&amp;refID=7161164&amp;Result=3","7161164")</f>
        <v>0</v>
      </c>
      <c r="B5496" t="s">
        <v>1596</v>
      </c>
      <c r="C5496" t="s">
        <v>9092</v>
      </c>
      <c r="D5496" t="s">
        <v>19045</v>
      </c>
      <c r="E5496" t="s">
        <v>23944</v>
      </c>
      <c r="F5496" t="s">
        <v>32831</v>
      </c>
      <c r="G5496" t="s">
        <v>32838</v>
      </c>
      <c r="H5496" t="s">
        <v>32849</v>
      </c>
      <c r="I5496" t="s">
        <v>4177</v>
      </c>
      <c r="J5496" t="s">
        <v>36509</v>
      </c>
      <c r="K5496" t="s">
        <v>42823</v>
      </c>
      <c r="M5496" t="s">
        <v>45160</v>
      </c>
      <c r="N5496" t="s">
        <v>47424</v>
      </c>
      <c r="O5496" t="s">
        <v>47425</v>
      </c>
      <c r="P5496">
        <v>0</v>
      </c>
      <c r="Q5496">
        <v>0</v>
      </c>
      <c r="R5496" t="s">
        <v>47430</v>
      </c>
      <c r="S5496" t="s">
        <v>47549</v>
      </c>
      <c r="T5496" t="s">
        <v>49107</v>
      </c>
      <c r="U5496" t="s">
        <v>54311</v>
      </c>
      <c r="W5496" t="s">
        <v>45160</v>
      </c>
      <c r="X5496" t="s">
        <v>47431</v>
      </c>
    </row>
    <row r="5497" spans="1:24">
      <c r="A5497">
        <f>HYPERLINK("https://www.philgeps.gov.ph/GEPSNONPILOT/Tender/SplashBidNoticeAbstractUI.aspx?menuIndex=3&amp;refID=7161155&amp;Result=3","7161155")</f>
        <v>0</v>
      </c>
      <c r="B5497" t="s">
        <v>693</v>
      </c>
      <c r="C5497" t="s">
        <v>9093</v>
      </c>
      <c r="D5497" t="s">
        <v>19073</v>
      </c>
      <c r="E5497" t="s">
        <v>20444</v>
      </c>
      <c r="F5497" t="s">
        <v>32831</v>
      </c>
      <c r="G5497" t="s">
        <v>32840</v>
      </c>
      <c r="H5497" t="s">
        <v>32848</v>
      </c>
      <c r="I5497" t="s">
        <v>4487</v>
      </c>
      <c r="J5497" t="s">
        <v>33031</v>
      </c>
      <c r="K5497" t="s">
        <v>42731</v>
      </c>
      <c r="M5497" t="s">
        <v>43712</v>
      </c>
      <c r="N5497" t="s">
        <v>47424</v>
      </c>
      <c r="O5497" t="s">
        <v>47425</v>
      </c>
      <c r="P5497">
        <v>0</v>
      </c>
      <c r="Q5497">
        <v>0</v>
      </c>
      <c r="R5497" t="s">
        <v>47430</v>
      </c>
      <c r="S5497" t="s">
        <v>47549</v>
      </c>
      <c r="T5497" t="s">
        <v>49108</v>
      </c>
      <c r="U5497" t="s">
        <v>54312</v>
      </c>
      <c r="W5497" t="s">
        <v>43712</v>
      </c>
      <c r="X5497" t="s">
        <v>47431</v>
      </c>
    </row>
    <row r="5498" spans="1:24">
      <c r="A5498">
        <f>HYPERLINK("https://www.philgeps.gov.ph/GEPSNONPILOT/Tender/SplashBidNoticeAbstractUI.aspx?menuIndex=3&amp;refID=7161073&amp;Result=3","7161073")</f>
        <v>0</v>
      </c>
      <c r="B5498" t="s">
        <v>1358</v>
      </c>
      <c r="C5498" t="s">
        <v>9094</v>
      </c>
      <c r="D5498" t="s">
        <v>19068</v>
      </c>
      <c r="E5498" t="s">
        <v>23945</v>
      </c>
      <c r="F5498" t="s">
        <v>32831</v>
      </c>
      <c r="G5498" t="s">
        <v>32841</v>
      </c>
      <c r="H5498" t="s">
        <v>32848</v>
      </c>
      <c r="I5498" t="s">
        <v>32892</v>
      </c>
      <c r="J5498" t="s">
        <v>32983</v>
      </c>
      <c r="K5498" t="s">
        <v>42730</v>
      </c>
      <c r="M5498" t="s">
        <v>44435</v>
      </c>
      <c r="N5498" t="s">
        <v>47424</v>
      </c>
      <c r="O5498" t="s">
        <v>47425</v>
      </c>
      <c r="P5498">
        <v>0</v>
      </c>
      <c r="Q5498">
        <v>2</v>
      </c>
      <c r="R5498" t="s">
        <v>47430</v>
      </c>
      <c r="S5498" t="s">
        <v>47549</v>
      </c>
      <c r="T5498" t="s">
        <v>49291</v>
      </c>
      <c r="U5498" t="s">
        <v>54313</v>
      </c>
      <c r="V5498" t="s">
        <v>63229</v>
      </c>
      <c r="W5498" t="s">
        <v>44435</v>
      </c>
      <c r="X5498" t="s">
        <v>47431</v>
      </c>
    </row>
    <row r="5499" spans="1:24">
      <c r="A5499">
        <f>HYPERLINK("https://www.philgeps.gov.ph/GEPSNONPILOT/Tender/SplashBidNoticeAbstractUI.aspx?menuIndex=3&amp;refID=7161165&amp;Result=3","7161165")</f>
        <v>0</v>
      </c>
      <c r="B5499" t="s">
        <v>719</v>
      </c>
      <c r="C5499" t="s">
        <v>9095</v>
      </c>
      <c r="D5499" t="s">
        <v>19017</v>
      </c>
      <c r="E5499" t="s">
        <v>23946</v>
      </c>
      <c r="F5499" t="s">
        <v>32831</v>
      </c>
      <c r="G5499" t="s">
        <v>32838</v>
      </c>
      <c r="H5499" t="s">
        <v>32848</v>
      </c>
      <c r="I5499" t="s">
        <v>32884</v>
      </c>
      <c r="J5499" t="s">
        <v>32976</v>
      </c>
      <c r="K5499" t="s">
        <v>42732</v>
      </c>
      <c r="M5499" t="s">
        <v>45200</v>
      </c>
      <c r="N5499" t="s">
        <v>47424</v>
      </c>
      <c r="O5499" t="s">
        <v>47425</v>
      </c>
      <c r="P5499">
        <v>0</v>
      </c>
      <c r="Q5499">
        <v>5</v>
      </c>
      <c r="R5499" t="s">
        <v>47430</v>
      </c>
      <c r="S5499" t="s">
        <v>47549</v>
      </c>
      <c r="T5499" t="s">
        <v>49104</v>
      </c>
      <c r="U5499" t="s">
        <v>54314</v>
      </c>
      <c r="W5499" t="s">
        <v>45200</v>
      </c>
      <c r="X5499" t="s">
        <v>47431</v>
      </c>
    </row>
    <row r="5500" spans="1:24">
      <c r="A5500">
        <f>HYPERLINK("https://www.philgeps.gov.ph/GEPSNONPILOT/Tender/SplashBidNoticeAbstractUI.aspx?menuIndex=3&amp;refID=7161107&amp;Result=3","7161107")</f>
        <v>0</v>
      </c>
      <c r="B5500" t="s">
        <v>1824</v>
      </c>
      <c r="C5500" t="s">
        <v>9096</v>
      </c>
      <c r="D5500" t="s">
        <v>19042</v>
      </c>
      <c r="E5500" t="s">
        <v>23947</v>
      </c>
      <c r="F5500" t="s">
        <v>32831</v>
      </c>
      <c r="G5500" t="s">
        <v>32841</v>
      </c>
      <c r="H5500" t="s">
        <v>32848</v>
      </c>
      <c r="I5500" t="s">
        <v>7751</v>
      </c>
      <c r="J5500" t="s">
        <v>33083</v>
      </c>
      <c r="K5500" t="s">
        <v>42729</v>
      </c>
      <c r="M5500" t="s">
        <v>44957</v>
      </c>
      <c r="N5500" t="s">
        <v>47424</v>
      </c>
      <c r="O5500" t="s">
        <v>47425</v>
      </c>
      <c r="P5500">
        <v>0</v>
      </c>
      <c r="Q5500">
        <v>1</v>
      </c>
      <c r="R5500" t="s">
        <v>47430</v>
      </c>
      <c r="S5500" t="s">
        <v>47549</v>
      </c>
      <c r="T5500" t="s">
        <v>49214</v>
      </c>
      <c r="U5500" t="s">
        <v>54315</v>
      </c>
      <c r="W5500" t="s">
        <v>44957</v>
      </c>
      <c r="X5500" t="s">
        <v>47431</v>
      </c>
    </row>
    <row r="5501" spans="1:24">
      <c r="A5501">
        <f>HYPERLINK("https://www.philgeps.gov.ph/GEPSNONPILOT/Tender/SplashBidNoticeAbstractUI.aspx?menuIndex=3&amp;refID=7161161&amp;Result=3","7161161")</f>
        <v>0</v>
      </c>
      <c r="B5501" t="s">
        <v>2032</v>
      </c>
      <c r="C5501" t="s">
        <v>9097</v>
      </c>
      <c r="D5501" t="s">
        <v>19062</v>
      </c>
      <c r="E5501" t="s">
        <v>23948</v>
      </c>
      <c r="F5501" t="s">
        <v>32831</v>
      </c>
      <c r="G5501" t="s">
        <v>32839</v>
      </c>
      <c r="H5501" t="s">
        <v>32848</v>
      </c>
      <c r="I5501" t="s">
        <v>32858</v>
      </c>
      <c r="J5501" t="s">
        <v>36510</v>
      </c>
      <c r="K5501" t="s">
        <v>42758</v>
      </c>
      <c r="M5501" t="s">
        <v>45201</v>
      </c>
      <c r="N5501" t="s">
        <v>47424</v>
      </c>
      <c r="O5501" t="s">
        <v>47425</v>
      </c>
      <c r="P5501">
        <v>0</v>
      </c>
      <c r="Q5501">
        <v>0</v>
      </c>
      <c r="R5501" t="s">
        <v>47430</v>
      </c>
      <c r="S5501" t="s">
        <v>47549</v>
      </c>
      <c r="T5501" t="s">
        <v>49124</v>
      </c>
      <c r="U5501" t="s">
        <v>54316</v>
      </c>
      <c r="W5501" t="s">
        <v>45201</v>
      </c>
      <c r="X5501" t="s">
        <v>47431</v>
      </c>
    </row>
    <row r="5502" spans="1:24">
      <c r="A5502">
        <f>HYPERLINK("https://www.philgeps.gov.ph/GEPSNONPILOT/Tender/SplashBidNoticeAbstractUI.aspx?menuIndex=3&amp;refID=7161074&amp;Result=3","7161074")</f>
        <v>0</v>
      </c>
      <c r="B5502" t="s">
        <v>1218</v>
      </c>
      <c r="C5502" t="s">
        <v>9098</v>
      </c>
      <c r="D5502" t="s">
        <v>19030</v>
      </c>
      <c r="E5502" t="s">
        <v>23949</v>
      </c>
      <c r="F5502" t="s">
        <v>32831</v>
      </c>
      <c r="G5502" t="s">
        <v>32838</v>
      </c>
      <c r="H5502" t="s">
        <v>32848</v>
      </c>
      <c r="I5502" t="s">
        <v>32863</v>
      </c>
      <c r="J5502" t="s">
        <v>36511</v>
      </c>
      <c r="K5502" t="s">
        <v>42732</v>
      </c>
      <c r="M5502" t="s">
        <v>44286</v>
      </c>
      <c r="N5502" t="s">
        <v>47424</v>
      </c>
      <c r="O5502" t="s">
        <v>47425</v>
      </c>
      <c r="P5502">
        <v>0</v>
      </c>
      <c r="Q5502">
        <v>1</v>
      </c>
      <c r="R5502" t="s">
        <v>47430</v>
      </c>
      <c r="S5502" t="s">
        <v>47549</v>
      </c>
      <c r="T5502" t="s">
        <v>49124</v>
      </c>
      <c r="U5502" t="s">
        <v>54317</v>
      </c>
      <c r="V5502" t="s">
        <v>63230</v>
      </c>
      <c r="W5502" t="s">
        <v>44286</v>
      </c>
      <c r="X5502" t="s">
        <v>47431</v>
      </c>
    </row>
    <row r="5503" spans="1:24">
      <c r="A5503">
        <f>HYPERLINK("https://www.philgeps.gov.ph/GEPSNONPILOT/Tender/SplashBidNoticeAbstractUI.aspx?menuIndex=3&amp;refID=7161110&amp;Result=3","7161110")</f>
        <v>0</v>
      </c>
      <c r="B5503" t="s">
        <v>1218</v>
      </c>
      <c r="C5503" t="s">
        <v>9099</v>
      </c>
      <c r="D5503" t="s">
        <v>19030</v>
      </c>
      <c r="E5503" t="s">
        <v>23950</v>
      </c>
      <c r="F5503" t="s">
        <v>32831</v>
      </c>
      <c r="G5503" t="s">
        <v>32840</v>
      </c>
      <c r="H5503" t="s">
        <v>32848</v>
      </c>
      <c r="I5503" t="s">
        <v>32938</v>
      </c>
      <c r="J5503" t="s">
        <v>33078</v>
      </c>
      <c r="K5503" t="s">
        <v>42732</v>
      </c>
      <c r="M5503" t="s">
        <v>44286</v>
      </c>
      <c r="N5503" t="s">
        <v>47424</v>
      </c>
      <c r="O5503" t="s">
        <v>47425</v>
      </c>
      <c r="P5503">
        <v>0</v>
      </c>
      <c r="Q5503">
        <v>9</v>
      </c>
      <c r="R5503" t="s">
        <v>47430</v>
      </c>
      <c r="S5503" t="s">
        <v>47549</v>
      </c>
      <c r="T5503" t="s">
        <v>49124</v>
      </c>
      <c r="U5503" t="s">
        <v>54318</v>
      </c>
      <c r="V5503" t="s">
        <v>62926</v>
      </c>
      <c r="W5503" t="s">
        <v>44286</v>
      </c>
      <c r="X5503" t="s">
        <v>47431</v>
      </c>
    </row>
    <row r="5504" spans="1:24">
      <c r="A5504">
        <f>HYPERLINK("https://www.philgeps.gov.ph/GEPSNONPILOT/Tender/SplashBidNoticeAbstractUI.aspx?menuIndex=3&amp;refID=7161204&amp;Result=3","7161204")</f>
        <v>0</v>
      </c>
      <c r="B5504" t="s">
        <v>693</v>
      </c>
      <c r="C5504" t="s">
        <v>9100</v>
      </c>
      <c r="D5504" t="s">
        <v>19073</v>
      </c>
      <c r="E5504" t="s">
        <v>20444</v>
      </c>
      <c r="F5504" t="s">
        <v>32831</v>
      </c>
      <c r="G5504" t="s">
        <v>32840</v>
      </c>
      <c r="H5504" t="s">
        <v>32848</v>
      </c>
      <c r="I5504" t="s">
        <v>4558</v>
      </c>
      <c r="J5504" t="s">
        <v>36512</v>
      </c>
      <c r="K5504" t="s">
        <v>42731</v>
      </c>
      <c r="M5504" t="s">
        <v>43712</v>
      </c>
      <c r="N5504" t="s">
        <v>47424</v>
      </c>
      <c r="O5504" t="s">
        <v>47425</v>
      </c>
      <c r="P5504">
        <v>0</v>
      </c>
      <c r="Q5504">
        <v>0</v>
      </c>
      <c r="R5504" t="s">
        <v>47430</v>
      </c>
      <c r="S5504" t="s">
        <v>47549</v>
      </c>
      <c r="T5504" t="s">
        <v>49108</v>
      </c>
      <c r="U5504" t="s">
        <v>54319</v>
      </c>
      <c r="W5504" t="s">
        <v>43712</v>
      </c>
      <c r="X5504" t="s">
        <v>47431</v>
      </c>
    </row>
    <row r="5505" spans="1:24">
      <c r="A5505">
        <f>HYPERLINK("https://www.philgeps.gov.ph/GEPSNONPILOT/Tender/SplashBidNoticeAbstractUI.aspx?menuIndex=3&amp;refID=7161153&amp;Result=3","7161153")</f>
        <v>0</v>
      </c>
      <c r="B5505" t="s">
        <v>391</v>
      </c>
      <c r="C5505" t="s">
        <v>9101</v>
      </c>
      <c r="D5505" t="s">
        <v>19090</v>
      </c>
      <c r="E5505" t="s">
        <v>23951</v>
      </c>
      <c r="F5505" t="s">
        <v>32831</v>
      </c>
      <c r="G5505" t="s">
        <v>32838</v>
      </c>
      <c r="H5505" t="s">
        <v>32848</v>
      </c>
      <c r="I5505" t="s">
        <v>32858</v>
      </c>
      <c r="J5505" t="s">
        <v>36513</v>
      </c>
      <c r="K5505" t="s">
        <v>42758</v>
      </c>
      <c r="M5505" t="s">
        <v>43396</v>
      </c>
      <c r="N5505" t="s">
        <v>47424</v>
      </c>
      <c r="O5505" t="s">
        <v>47425</v>
      </c>
      <c r="P5505">
        <v>0</v>
      </c>
      <c r="Q5505">
        <v>0</v>
      </c>
      <c r="R5505" t="s">
        <v>47430</v>
      </c>
      <c r="S5505" t="s">
        <v>47549</v>
      </c>
      <c r="T5505" t="s">
        <v>49237</v>
      </c>
      <c r="U5505" t="s">
        <v>54320</v>
      </c>
      <c r="W5505" t="s">
        <v>43396</v>
      </c>
      <c r="X5505" t="s">
        <v>47431</v>
      </c>
    </row>
    <row r="5506" spans="1:24">
      <c r="A5506">
        <f>HYPERLINK("https://www.philgeps.gov.ph/GEPSNONPILOT/Tender/SplashBidNoticeAbstractUI.aspx?menuIndex=3&amp;refID=7161201&amp;Result=3","7161201")</f>
        <v>0</v>
      </c>
      <c r="B5506" t="s">
        <v>194</v>
      </c>
      <c r="C5506" t="s">
        <v>9102</v>
      </c>
      <c r="E5506" t="s">
        <v>23952</v>
      </c>
      <c r="F5506" t="s">
        <v>32831</v>
      </c>
      <c r="G5506" t="s">
        <v>32838</v>
      </c>
      <c r="H5506" t="s">
        <v>32848</v>
      </c>
      <c r="I5506" t="s">
        <v>32870</v>
      </c>
      <c r="J5506" t="s">
        <v>34070</v>
      </c>
      <c r="K5506" t="s">
        <v>42732</v>
      </c>
      <c r="M5506" t="s">
        <v>43192</v>
      </c>
      <c r="N5506" t="s">
        <v>47424</v>
      </c>
      <c r="O5506" t="s">
        <v>47425</v>
      </c>
      <c r="P5506">
        <v>0</v>
      </c>
      <c r="Q5506">
        <v>0</v>
      </c>
      <c r="R5506" t="s">
        <v>47430</v>
      </c>
      <c r="S5506" t="s">
        <v>47549</v>
      </c>
      <c r="T5506" t="s">
        <v>49100</v>
      </c>
      <c r="U5506" t="s">
        <v>54321</v>
      </c>
      <c r="W5506" t="s">
        <v>43192</v>
      </c>
      <c r="X5506" t="s">
        <v>47431</v>
      </c>
    </row>
    <row r="5507" spans="1:24">
      <c r="A5507">
        <f>HYPERLINK("https://www.philgeps.gov.ph/GEPSNONPILOT/Tender/SplashBidNoticeAbstractUI.aspx?menuIndex=3&amp;refID=7161199&amp;Result=3","7161199")</f>
        <v>0</v>
      </c>
      <c r="B5507" t="s">
        <v>2033</v>
      </c>
      <c r="C5507" t="s">
        <v>4142</v>
      </c>
      <c r="D5507" t="s">
        <v>19065</v>
      </c>
      <c r="E5507" t="s">
        <v>23953</v>
      </c>
      <c r="F5507" t="s">
        <v>32831</v>
      </c>
      <c r="G5507" t="s">
        <v>32840</v>
      </c>
      <c r="H5507" t="s">
        <v>32848</v>
      </c>
      <c r="I5507" t="s">
        <v>32857</v>
      </c>
      <c r="J5507" t="s">
        <v>33087</v>
      </c>
      <c r="K5507" t="s">
        <v>42758</v>
      </c>
      <c r="M5507" t="s">
        <v>45202</v>
      </c>
      <c r="N5507" t="s">
        <v>47424</v>
      </c>
      <c r="O5507" t="s">
        <v>47425</v>
      </c>
      <c r="P5507">
        <v>0</v>
      </c>
      <c r="Q5507">
        <v>6</v>
      </c>
      <c r="R5507" t="s">
        <v>47430</v>
      </c>
      <c r="S5507" t="s">
        <v>47549</v>
      </c>
      <c r="T5507" t="s">
        <v>49332</v>
      </c>
      <c r="U5507" t="s">
        <v>54322</v>
      </c>
      <c r="W5507" t="s">
        <v>45202</v>
      </c>
      <c r="X5507" t="s">
        <v>47431</v>
      </c>
    </row>
    <row r="5508" spans="1:24">
      <c r="A5508">
        <f>HYPERLINK("https://www.philgeps.gov.ph/GEPSNONPILOT/Tender/SplashBidNoticeAbstractUI.aspx?menuIndex=3&amp;refID=7161198&amp;Result=3","7161198")</f>
        <v>0</v>
      </c>
      <c r="B5508" t="s">
        <v>832</v>
      </c>
      <c r="C5508" t="s">
        <v>9103</v>
      </c>
      <c r="D5508" t="s">
        <v>19101</v>
      </c>
      <c r="E5508" t="s">
        <v>23954</v>
      </c>
      <c r="F5508" t="s">
        <v>32831</v>
      </c>
      <c r="G5508" t="s">
        <v>32839</v>
      </c>
      <c r="H5508" t="s">
        <v>32848</v>
      </c>
      <c r="I5508" t="s">
        <v>32925</v>
      </c>
      <c r="J5508" t="s">
        <v>36514</v>
      </c>
      <c r="K5508" t="s">
        <v>42729</v>
      </c>
      <c r="M5508" t="s">
        <v>44445</v>
      </c>
      <c r="N5508" t="s">
        <v>47424</v>
      </c>
      <c r="O5508" t="s">
        <v>47425</v>
      </c>
      <c r="Q5508">
        <v>5</v>
      </c>
      <c r="R5508" t="s">
        <v>47430</v>
      </c>
      <c r="S5508" t="s">
        <v>47558</v>
      </c>
      <c r="T5508" t="s">
        <v>49338</v>
      </c>
      <c r="U5508" t="s">
        <v>54323</v>
      </c>
      <c r="V5508" t="s">
        <v>63231</v>
      </c>
      <c r="W5508" t="s">
        <v>44445</v>
      </c>
      <c r="X5508" t="s">
        <v>47431</v>
      </c>
    </row>
    <row r="5509" spans="1:24">
      <c r="A5509">
        <f>HYPERLINK("https://www.philgeps.gov.ph/GEPSNONPILOT/Tender/SplashBidNoticeAbstractUI.aspx?menuIndex=3&amp;refID=7161197&amp;Result=3","7161197")</f>
        <v>0</v>
      </c>
      <c r="B5509" t="s">
        <v>311</v>
      </c>
      <c r="C5509" t="s">
        <v>9104</v>
      </c>
      <c r="D5509" t="s">
        <v>19064</v>
      </c>
      <c r="E5509" t="s">
        <v>23955</v>
      </c>
      <c r="F5509" t="s">
        <v>32831</v>
      </c>
      <c r="G5509" t="s">
        <v>32838</v>
      </c>
      <c r="H5509" t="s">
        <v>32848</v>
      </c>
      <c r="I5509" t="s">
        <v>32853</v>
      </c>
      <c r="J5509" t="s">
        <v>33385</v>
      </c>
      <c r="K5509" t="s">
        <v>42763</v>
      </c>
      <c r="M5509" t="s">
        <v>43313</v>
      </c>
      <c r="N5509" t="s">
        <v>47424</v>
      </c>
      <c r="O5509" t="s">
        <v>47425</v>
      </c>
      <c r="P5509">
        <v>0</v>
      </c>
      <c r="Q5509">
        <v>0</v>
      </c>
      <c r="R5509" t="s">
        <v>47430</v>
      </c>
      <c r="S5509" t="s">
        <v>47549</v>
      </c>
      <c r="T5509" t="s">
        <v>49077</v>
      </c>
      <c r="U5509" t="s">
        <v>54186</v>
      </c>
      <c r="W5509" t="s">
        <v>43313</v>
      </c>
      <c r="X5509" t="s">
        <v>47431</v>
      </c>
    </row>
    <row r="5510" spans="1:24">
      <c r="A5510">
        <f>HYPERLINK("https://www.philgeps.gov.ph/GEPSNONPILOT/Tender/SplashBidNoticeAbstractUI.aspx?menuIndex=3&amp;refID=7161193&amp;Result=3","7161193")</f>
        <v>0</v>
      </c>
      <c r="B5510" t="s">
        <v>1679</v>
      </c>
      <c r="C5510" t="s">
        <v>9105</v>
      </c>
      <c r="D5510" t="s">
        <v>19052</v>
      </c>
      <c r="E5510" t="s">
        <v>23956</v>
      </c>
      <c r="F5510" t="s">
        <v>32831</v>
      </c>
      <c r="G5510" t="s">
        <v>32839</v>
      </c>
      <c r="H5510" t="s">
        <v>32849</v>
      </c>
      <c r="I5510" t="s">
        <v>4177</v>
      </c>
      <c r="J5510" t="s">
        <v>36515</v>
      </c>
      <c r="K5510" t="s">
        <v>42773</v>
      </c>
      <c r="M5510" t="s">
        <v>44797</v>
      </c>
      <c r="N5510" t="s">
        <v>47424</v>
      </c>
      <c r="O5510" t="s">
        <v>47425</v>
      </c>
      <c r="P5510">
        <v>0</v>
      </c>
      <c r="Q5510">
        <v>1</v>
      </c>
      <c r="R5510" t="s">
        <v>47430</v>
      </c>
      <c r="S5510" t="s">
        <v>47549</v>
      </c>
      <c r="T5510" t="s">
        <v>49198</v>
      </c>
      <c r="U5510" t="s">
        <v>54324</v>
      </c>
      <c r="V5510" t="s">
        <v>63135</v>
      </c>
      <c r="W5510" t="s">
        <v>44797</v>
      </c>
      <c r="X5510" t="s">
        <v>47431</v>
      </c>
    </row>
    <row r="5511" spans="1:24">
      <c r="A5511">
        <f>HYPERLINK("https://www.philgeps.gov.ph/GEPSNONPILOT/Tender/SplashBidNoticeAbstractUI.aspx?menuIndex=3&amp;refID=7161191&amp;Result=3","7161191")</f>
        <v>0</v>
      </c>
      <c r="B5511" t="s">
        <v>1130</v>
      </c>
      <c r="C5511" t="s">
        <v>9106</v>
      </c>
      <c r="D5511" t="s">
        <v>19045</v>
      </c>
      <c r="E5511" t="s">
        <v>23957</v>
      </c>
      <c r="F5511" t="s">
        <v>32831</v>
      </c>
      <c r="G5511" t="s">
        <v>32838</v>
      </c>
      <c r="H5511" t="s">
        <v>32849</v>
      </c>
      <c r="I5511" t="s">
        <v>4177</v>
      </c>
      <c r="J5511" t="s">
        <v>36516</v>
      </c>
      <c r="K5511" t="s">
        <v>42730</v>
      </c>
      <c r="M5511" t="s">
        <v>44191</v>
      </c>
      <c r="N5511" t="s">
        <v>47424</v>
      </c>
      <c r="O5511" t="s">
        <v>47425</v>
      </c>
      <c r="P5511">
        <v>0</v>
      </c>
      <c r="Q5511">
        <v>0</v>
      </c>
      <c r="R5511" t="s">
        <v>47430</v>
      </c>
      <c r="S5511" t="s">
        <v>47549</v>
      </c>
      <c r="T5511" t="s">
        <v>49237</v>
      </c>
      <c r="U5511" t="s">
        <v>54325</v>
      </c>
      <c r="W5511" t="s">
        <v>44191</v>
      </c>
      <c r="X5511" t="s">
        <v>47431</v>
      </c>
    </row>
    <row r="5512" spans="1:24">
      <c r="A5512">
        <f>HYPERLINK("https://www.philgeps.gov.ph/GEPSNONPILOT/Tender/SplashBidNoticeAbstractUI.aspx?menuIndex=3&amp;refID=7161188&amp;Result=3","7161188")</f>
        <v>0</v>
      </c>
      <c r="B5512" t="s">
        <v>920</v>
      </c>
      <c r="C5512" t="s">
        <v>9107</v>
      </c>
      <c r="E5512" t="s">
        <v>23958</v>
      </c>
      <c r="F5512" t="s">
        <v>32831</v>
      </c>
      <c r="G5512" t="s">
        <v>32838</v>
      </c>
      <c r="H5512" t="s">
        <v>32848</v>
      </c>
      <c r="I5512" t="s">
        <v>32857</v>
      </c>
      <c r="J5512" t="s">
        <v>36517</v>
      </c>
      <c r="K5512" t="s">
        <v>42732</v>
      </c>
      <c r="M5512" t="s">
        <v>43961</v>
      </c>
      <c r="N5512" t="s">
        <v>47424</v>
      </c>
      <c r="O5512" t="s">
        <v>47425</v>
      </c>
      <c r="P5512">
        <v>0</v>
      </c>
      <c r="Q5512">
        <v>16</v>
      </c>
      <c r="R5512" t="s">
        <v>47430</v>
      </c>
      <c r="S5512" t="s">
        <v>47549</v>
      </c>
      <c r="T5512" t="s">
        <v>49111</v>
      </c>
      <c r="U5512" t="s">
        <v>54326</v>
      </c>
      <c r="W5512" t="s">
        <v>43961</v>
      </c>
      <c r="X5512" t="s">
        <v>47431</v>
      </c>
    </row>
    <row r="5513" spans="1:24">
      <c r="A5513">
        <f>HYPERLINK("https://www.philgeps.gov.ph/GEPSNONPILOT/Tender/SplashBidNoticeAbstractUI.aspx?menuIndex=3&amp;refID=7161195&amp;Result=3","7161195")</f>
        <v>0</v>
      </c>
      <c r="B5513" t="s">
        <v>693</v>
      </c>
      <c r="C5513" t="s">
        <v>9108</v>
      </c>
      <c r="D5513" t="s">
        <v>19073</v>
      </c>
      <c r="E5513" t="s">
        <v>20444</v>
      </c>
      <c r="F5513" t="s">
        <v>32831</v>
      </c>
      <c r="G5513" t="s">
        <v>32840</v>
      </c>
      <c r="H5513" t="s">
        <v>32848</v>
      </c>
      <c r="I5513" t="s">
        <v>32901</v>
      </c>
      <c r="J5513" t="s">
        <v>35177</v>
      </c>
      <c r="K5513" t="s">
        <v>42731</v>
      </c>
      <c r="M5513" t="s">
        <v>43712</v>
      </c>
      <c r="N5513" t="s">
        <v>47424</v>
      </c>
      <c r="O5513" t="s">
        <v>47425</v>
      </c>
      <c r="P5513">
        <v>0</v>
      </c>
      <c r="Q5513">
        <v>0</v>
      </c>
      <c r="R5513" t="s">
        <v>47430</v>
      </c>
      <c r="S5513" t="s">
        <v>47549</v>
      </c>
      <c r="T5513" t="s">
        <v>49108</v>
      </c>
      <c r="U5513" t="s">
        <v>54327</v>
      </c>
      <c r="W5513" t="s">
        <v>43712</v>
      </c>
      <c r="X5513" t="s">
        <v>47431</v>
      </c>
    </row>
    <row r="5514" spans="1:24">
      <c r="A5514">
        <f>HYPERLINK("https://www.philgeps.gov.ph/GEPSNONPILOT/Tender/SplashBidNoticeAbstractUI.aspx?menuIndex=3&amp;refID=7161183&amp;Result=3","7161183")</f>
        <v>0</v>
      </c>
      <c r="B5514" t="s">
        <v>2033</v>
      </c>
      <c r="C5514" t="s">
        <v>4142</v>
      </c>
      <c r="D5514" t="s">
        <v>19065</v>
      </c>
      <c r="E5514" t="s">
        <v>23953</v>
      </c>
      <c r="F5514" t="s">
        <v>32831</v>
      </c>
      <c r="G5514" t="s">
        <v>32840</v>
      </c>
      <c r="H5514" t="s">
        <v>32848</v>
      </c>
      <c r="I5514" t="s">
        <v>32857</v>
      </c>
      <c r="J5514" t="s">
        <v>36518</v>
      </c>
      <c r="K5514" t="s">
        <v>42758</v>
      </c>
      <c r="M5514" t="s">
        <v>45202</v>
      </c>
      <c r="N5514" t="s">
        <v>47424</v>
      </c>
      <c r="O5514" t="s">
        <v>47425</v>
      </c>
      <c r="P5514">
        <v>0</v>
      </c>
      <c r="Q5514">
        <v>5</v>
      </c>
      <c r="R5514" t="s">
        <v>47430</v>
      </c>
      <c r="S5514" t="s">
        <v>47549</v>
      </c>
      <c r="T5514" t="s">
        <v>49332</v>
      </c>
      <c r="U5514" t="s">
        <v>54328</v>
      </c>
      <c r="W5514" t="s">
        <v>45202</v>
      </c>
      <c r="X5514" t="s">
        <v>47431</v>
      </c>
    </row>
    <row r="5515" spans="1:24">
      <c r="A5515">
        <f>HYPERLINK("https://www.philgeps.gov.ph/GEPSNONPILOT/Tender/SplashBidNoticeAbstractUI.aspx?menuIndex=3&amp;refID=7161160&amp;Result=3","7161160")</f>
        <v>0</v>
      </c>
      <c r="B5515" t="s">
        <v>2034</v>
      </c>
      <c r="C5515" t="s">
        <v>9109</v>
      </c>
      <c r="D5515" t="s">
        <v>19045</v>
      </c>
      <c r="E5515" t="s">
        <v>23959</v>
      </c>
      <c r="F5515" t="s">
        <v>32831</v>
      </c>
      <c r="G5515" t="s">
        <v>32838</v>
      </c>
      <c r="H5515" t="s">
        <v>32848</v>
      </c>
      <c r="I5515" t="s">
        <v>32903</v>
      </c>
      <c r="J5515" t="s">
        <v>33041</v>
      </c>
      <c r="K5515" t="s">
        <v>42731</v>
      </c>
      <c r="M5515" t="s">
        <v>45203</v>
      </c>
      <c r="N5515" t="s">
        <v>47424</v>
      </c>
      <c r="O5515" t="s">
        <v>47425</v>
      </c>
      <c r="P5515">
        <v>0</v>
      </c>
      <c r="Q5515">
        <v>0</v>
      </c>
      <c r="R5515" t="s">
        <v>47430</v>
      </c>
      <c r="S5515" t="s">
        <v>47549</v>
      </c>
      <c r="T5515" t="s">
        <v>49163</v>
      </c>
      <c r="U5515" t="s">
        <v>54329</v>
      </c>
      <c r="W5515" t="s">
        <v>45203</v>
      </c>
      <c r="X5515" t="s">
        <v>47431</v>
      </c>
    </row>
    <row r="5516" spans="1:24">
      <c r="A5516">
        <f>HYPERLINK("https://www.philgeps.gov.ph/GEPSNONPILOT/Tender/SplashBidNoticeAbstractUI.aspx?menuIndex=3&amp;refID=7161186&amp;Result=3","7161186")</f>
        <v>0</v>
      </c>
      <c r="B5516" t="s">
        <v>2035</v>
      </c>
      <c r="C5516" t="s">
        <v>9110</v>
      </c>
      <c r="D5516" t="s">
        <v>19045</v>
      </c>
      <c r="E5516" t="s">
        <v>19311</v>
      </c>
      <c r="F5516" t="s">
        <v>32831</v>
      </c>
      <c r="G5516" t="s">
        <v>32840</v>
      </c>
      <c r="H5516" t="s">
        <v>32848</v>
      </c>
      <c r="I5516" t="s">
        <v>4776</v>
      </c>
      <c r="J5516" t="s">
        <v>36519</v>
      </c>
      <c r="K5516" t="s">
        <v>42726</v>
      </c>
      <c r="M5516" t="s">
        <v>45204</v>
      </c>
      <c r="N5516" t="s">
        <v>47424</v>
      </c>
      <c r="O5516" t="s">
        <v>47425</v>
      </c>
      <c r="P5516">
        <v>0</v>
      </c>
      <c r="Q5516">
        <v>3</v>
      </c>
      <c r="R5516" t="s">
        <v>47430</v>
      </c>
      <c r="S5516" t="s">
        <v>47549</v>
      </c>
      <c r="T5516" t="s">
        <v>49119</v>
      </c>
      <c r="U5516" t="s">
        <v>54330</v>
      </c>
      <c r="W5516" t="s">
        <v>45204</v>
      </c>
      <c r="X5516" t="s">
        <v>47431</v>
      </c>
    </row>
    <row r="5517" spans="1:24">
      <c r="A5517">
        <f>HYPERLINK("https://www.philgeps.gov.ph/GEPSNONPILOT/Tender/SplashBidNoticeAbstractUI.aspx?menuIndex=3&amp;refID=7161181&amp;Result=3","7161181")</f>
        <v>0</v>
      </c>
      <c r="B5517" t="s">
        <v>2036</v>
      </c>
      <c r="C5517" t="s">
        <v>9111</v>
      </c>
      <c r="D5517" t="s">
        <v>19062</v>
      </c>
      <c r="E5517" t="s">
        <v>23960</v>
      </c>
      <c r="F5517" t="s">
        <v>32831</v>
      </c>
      <c r="G5517" t="s">
        <v>32839</v>
      </c>
      <c r="H5517" t="s">
        <v>32848</v>
      </c>
      <c r="I5517" t="s">
        <v>32862</v>
      </c>
      <c r="J5517" t="s">
        <v>36520</v>
      </c>
      <c r="K5517" t="s">
        <v>42727</v>
      </c>
      <c r="M5517" t="s">
        <v>45205</v>
      </c>
      <c r="N5517" t="s">
        <v>47424</v>
      </c>
      <c r="O5517" t="s">
        <v>47425</v>
      </c>
      <c r="P5517">
        <v>0</v>
      </c>
      <c r="Q5517">
        <v>1</v>
      </c>
      <c r="R5517" t="s">
        <v>47430</v>
      </c>
      <c r="S5517" t="s">
        <v>47549</v>
      </c>
      <c r="T5517" t="s">
        <v>49104</v>
      </c>
      <c r="U5517" t="s">
        <v>54331</v>
      </c>
      <c r="V5517" t="s">
        <v>63232</v>
      </c>
      <c r="W5517" t="s">
        <v>45205</v>
      </c>
      <c r="X5517" t="s">
        <v>47431</v>
      </c>
    </row>
    <row r="5518" spans="1:24">
      <c r="A5518">
        <f>HYPERLINK("https://www.philgeps.gov.ph/GEPSNONPILOT/Tender/SplashBidNoticeAbstractUI.aspx?menuIndex=3&amp;refID=7161152&amp;Result=3","7161152")</f>
        <v>0</v>
      </c>
      <c r="B5518" t="s">
        <v>689</v>
      </c>
      <c r="C5518" t="s">
        <v>9112</v>
      </c>
      <c r="E5518" t="s">
        <v>23961</v>
      </c>
      <c r="F5518" t="s">
        <v>32831</v>
      </c>
      <c r="G5518" t="s">
        <v>32839</v>
      </c>
      <c r="H5518" t="s">
        <v>32848</v>
      </c>
      <c r="I5518" t="s">
        <v>4487</v>
      </c>
      <c r="J5518" t="s">
        <v>36521</v>
      </c>
      <c r="K5518" t="s">
        <v>42732</v>
      </c>
      <c r="M5518" t="s">
        <v>45151</v>
      </c>
      <c r="N5518" t="s">
        <v>47424</v>
      </c>
      <c r="O5518" t="s">
        <v>47425</v>
      </c>
      <c r="P5518">
        <v>0</v>
      </c>
      <c r="Q5518">
        <v>13</v>
      </c>
      <c r="R5518" t="s">
        <v>47430</v>
      </c>
      <c r="S5518" t="s">
        <v>47549</v>
      </c>
      <c r="T5518" t="s">
        <v>49188</v>
      </c>
      <c r="U5518" t="s">
        <v>54332</v>
      </c>
      <c r="W5518" t="s">
        <v>45151</v>
      </c>
      <c r="X5518" t="s">
        <v>47431</v>
      </c>
    </row>
    <row r="5519" spans="1:24">
      <c r="A5519">
        <f>HYPERLINK("https://www.philgeps.gov.ph/GEPSNONPILOT/Tender/SplashBidNoticeAbstractUI.aspx?menuIndex=3&amp;refID=7161180&amp;Result=3","7161180")</f>
        <v>0</v>
      </c>
      <c r="B5519" t="s">
        <v>1366</v>
      </c>
      <c r="C5519" t="s">
        <v>9113</v>
      </c>
      <c r="D5519" t="s">
        <v>19024</v>
      </c>
      <c r="E5519" t="s">
        <v>23962</v>
      </c>
      <c r="F5519" t="s">
        <v>32831</v>
      </c>
      <c r="G5519" t="s">
        <v>32839</v>
      </c>
      <c r="H5519" t="s">
        <v>32848</v>
      </c>
      <c r="I5519" t="s">
        <v>4438</v>
      </c>
      <c r="J5519" t="s">
        <v>36522</v>
      </c>
      <c r="K5519" t="s">
        <v>42732</v>
      </c>
      <c r="M5519" t="s">
        <v>44446</v>
      </c>
      <c r="N5519" t="s">
        <v>47424</v>
      </c>
      <c r="O5519" t="s">
        <v>47425</v>
      </c>
      <c r="P5519">
        <v>0</v>
      </c>
      <c r="Q5519">
        <v>0</v>
      </c>
      <c r="R5519" t="s">
        <v>47430</v>
      </c>
      <c r="S5519" t="s">
        <v>47549</v>
      </c>
      <c r="T5519" t="s">
        <v>49073</v>
      </c>
      <c r="U5519" t="s">
        <v>54333</v>
      </c>
      <c r="W5519" t="s">
        <v>44446</v>
      </c>
      <c r="X5519" t="s">
        <v>47431</v>
      </c>
    </row>
    <row r="5520" spans="1:24">
      <c r="A5520">
        <f>HYPERLINK("https://www.philgeps.gov.ph/GEPSNONPILOT/Tender/SplashBidNoticeAbstractUI.aspx?menuIndex=3&amp;refID=7161179&amp;Result=3","7161179")</f>
        <v>0</v>
      </c>
      <c r="B5520" t="s">
        <v>2031</v>
      </c>
      <c r="C5520" t="s">
        <v>9114</v>
      </c>
      <c r="D5520" t="s">
        <v>19060</v>
      </c>
      <c r="E5520" t="s">
        <v>23963</v>
      </c>
      <c r="F5520" t="s">
        <v>32831</v>
      </c>
      <c r="G5520" t="s">
        <v>32841</v>
      </c>
      <c r="H5520" t="s">
        <v>32848</v>
      </c>
      <c r="I5520" t="s">
        <v>32855</v>
      </c>
      <c r="J5520" t="s">
        <v>36523</v>
      </c>
      <c r="K5520" t="s">
        <v>42729</v>
      </c>
      <c r="M5520" t="s">
        <v>45199</v>
      </c>
      <c r="N5520" t="s">
        <v>47424</v>
      </c>
      <c r="O5520" t="s">
        <v>47425</v>
      </c>
      <c r="P5520">
        <v>0</v>
      </c>
      <c r="Q5520">
        <v>8</v>
      </c>
      <c r="R5520" t="s">
        <v>47430</v>
      </c>
      <c r="S5520" t="s">
        <v>47549</v>
      </c>
      <c r="T5520" t="s">
        <v>49210</v>
      </c>
      <c r="U5520" t="s">
        <v>54334</v>
      </c>
      <c r="W5520" t="s">
        <v>45199</v>
      </c>
      <c r="X5520" t="s">
        <v>47431</v>
      </c>
    </row>
    <row r="5521" spans="1:24">
      <c r="A5521">
        <f>HYPERLINK("https://www.philgeps.gov.ph/GEPSNONPILOT/Tender/SplashBidNoticeAbstractUI.aspx?menuIndex=3&amp;refID=7161178&amp;Result=3","7161178")</f>
        <v>0</v>
      </c>
      <c r="B5521" t="s">
        <v>1293</v>
      </c>
      <c r="C5521" t="s">
        <v>9115</v>
      </c>
      <c r="D5521" t="s">
        <v>19088</v>
      </c>
      <c r="E5521" t="s">
        <v>23964</v>
      </c>
      <c r="F5521" t="s">
        <v>32831</v>
      </c>
      <c r="G5521" t="s">
        <v>32838</v>
      </c>
      <c r="H5521" t="s">
        <v>32848</v>
      </c>
      <c r="I5521" t="s">
        <v>32867</v>
      </c>
      <c r="J5521" t="s">
        <v>36524</v>
      </c>
      <c r="K5521" t="s">
        <v>42730</v>
      </c>
      <c r="M5521" t="s">
        <v>44363</v>
      </c>
      <c r="N5521" t="s">
        <v>47424</v>
      </c>
      <c r="O5521" t="s">
        <v>47425</v>
      </c>
      <c r="P5521">
        <v>0</v>
      </c>
      <c r="Q5521">
        <v>12</v>
      </c>
      <c r="R5521" t="s">
        <v>47430</v>
      </c>
      <c r="S5521" t="s">
        <v>47549</v>
      </c>
      <c r="T5521" t="s">
        <v>49150</v>
      </c>
      <c r="U5521" t="s">
        <v>54335</v>
      </c>
      <c r="W5521" t="s">
        <v>44363</v>
      </c>
      <c r="X5521" t="s">
        <v>47431</v>
      </c>
    </row>
    <row r="5522" spans="1:24">
      <c r="A5522">
        <f>HYPERLINK("https://www.philgeps.gov.ph/GEPSNONPILOT/Tender/SplashBidNoticeAbstractUI.aspx?menuIndex=3&amp;refID=7161184&amp;Result=3","7161184")</f>
        <v>0</v>
      </c>
      <c r="B5522" t="s">
        <v>2026</v>
      </c>
      <c r="C5522" t="s">
        <v>9116</v>
      </c>
      <c r="D5522" t="s">
        <v>19019</v>
      </c>
      <c r="E5522" t="s">
        <v>23965</v>
      </c>
      <c r="F5522" t="s">
        <v>32831</v>
      </c>
      <c r="G5522" t="s">
        <v>32838</v>
      </c>
      <c r="H5522" t="s">
        <v>32848</v>
      </c>
      <c r="I5522" t="s">
        <v>4776</v>
      </c>
      <c r="J5522" t="s">
        <v>36525</v>
      </c>
      <c r="K5522" t="s">
        <v>42732</v>
      </c>
      <c r="M5522" t="s">
        <v>45194</v>
      </c>
      <c r="N5522" t="s">
        <v>47424</v>
      </c>
      <c r="O5522" t="s">
        <v>47425</v>
      </c>
      <c r="P5522">
        <v>0</v>
      </c>
      <c r="Q5522">
        <v>0</v>
      </c>
      <c r="R5522" t="s">
        <v>47430</v>
      </c>
      <c r="S5522" t="s">
        <v>47549</v>
      </c>
      <c r="T5522" t="s">
        <v>49127</v>
      </c>
      <c r="U5522" t="s">
        <v>54336</v>
      </c>
      <c r="W5522" t="s">
        <v>45194</v>
      </c>
      <c r="X5522" t="s">
        <v>47431</v>
      </c>
    </row>
    <row r="5523" spans="1:24">
      <c r="A5523">
        <f>HYPERLINK("https://www.philgeps.gov.ph/GEPSNONPILOT/Tender/SplashBidNoticeAbstractUI.aspx?menuIndex=3&amp;refID=7161147&amp;Result=3","7161147")</f>
        <v>0</v>
      </c>
      <c r="B5523" t="s">
        <v>731</v>
      </c>
      <c r="C5523" t="s">
        <v>9117</v>
      </c>
      <c r="D5523" t="s">
        <v>19086</v>
      </c>
      <c r="E5523" t="s">
        <v>23966</v>
      </c>
      <c r="F5523" t="s">
        <v>32831</v>
      </c>
      <c r="G5523" t="s">
        <v>32838</v>
      </c>
      <c r="H5523" t="s">
        <v>32848</v>
      </c>
      <c r="I5523" t="s">
        <v>32857</v>
      </c>
      <c r="J5523" t="s">
        <v>36526</v>
      </c>
      <c r="K5523" t="s">
        <v>42726</v>
      </c>
      <c r="M5523" t="s">
        <v>43753</v>
      </c>
      <c r="N5523" t="s">
        <v>47424</v>
      </c>
      <c r="O5523" t="s">
        <v>47425</v>
      </c>
      <c r="P5523">
        <v>0</v>
      </c>
      <c r="Q5523">
        <v>5</v>
      </c>
      <c r="R5523" t="s">
        <v>47430</v>
      </c>
      <c r="S5523" t="s">
        <v>47549</v>
      </c>
      <c r="T5523" t="s">
        <v>49237</v>
      </c>
      <c r="U5523" t="s">
        <v>51018</v>
      </c>
      <c r="W5523" t="s">
        <v>43753</v>
      </c>
      <c r="X5523" t="s">
        <v>47431</v>
      </c>
    </row>
    <row r="5524" spans="1:24">
      <c r="A5524">
        <f>HYPERLINK("https://www.philgeps.gov.ph/GEPSNONPILOT/Tender/SplashBidNoticeAbstractUI.aspx?menuIndex=3&amp;refID=7161246&amp;Result=3","7161246")</f>
        <v>0</v>
      </c>
      <c r="B5524" t="s">
        <v>920</v>
      </c>
      <c r="C5524" t="s">
        <v>9118</v>
      </c>
      <c r="E5524" t="s">
        <v>23967</v>
      </c>
      <c r="F5524" t="s">
        <v>32831</v>
      </c>
      <c r="G5524" t="s">
        <v>32838</v>
      </c>
      <c r="H5524" t="s">
        <v>32848</v>
      </c>
      <c r="I5524" t="s">
        <v>9577</v>
      </c>
      <c r="J5524" t="s">
        <v>36527</v>
      </c>
      <c r="K5524" t="s">
        <v>42732</v>
      </c>
      <c r="M5524" t="s">
        <v>43961</v>
      </c>
      <c r="N5524" t="s">
        <v>47424</v>
      </c>
      <c r="O5524" t="s">
        <v>47425</v>
      </c>
      <c r="P5524">
        <v>0</v>
      </c>
      <c r="Q5524">
        <v>2</v>
      </c>
      <c r="R5524" t="s">
        <v>47430</v>
      </c>
      <c r="S5524" t="s">
        <v>47549</v>
      </c>
      <c r="T5524" t="s">
        <v>49111</v>
      </c>
      <c r="U5524" t="s">
        <v>51396</v>
      </c>
      <c r="W5524" t="s">
        <v>43961</v>
      </c>
      <c r="X5524" t="s">
        <v>47431</v>
      </c>
    </row>
    <row r="5525" spans="1:24">
      <c r="A5525">
        <f>HYPERLINK("https://www.philgeps.gov.ph/GEPSNONPILOT/Tender/SplashBidNoticeAbstractUI.aspx?menuIndex=3&amp;refID=7161182&amp;Result=3","7161182")</f>
        <v>0</v>
      </c>
      <c r="B5525" t="s">
        <v>2037</v>
      </c>
      <c r="C5525" t="s">
        <v>9119</v>
      </c>
      <c r="D5525" t="s">
        <v>19044</v>
      </c>
      <c r="E5525" t="s">
        <v>19987</v>
      </c>
      <c r="F5525" t="s">
        <v>32831</v>
      </c>
      <c r="G5525" t="s">
        <v>32839</v>
      </c>
      <c r="H5525" t="s">
        <v>32848</v>
      </c>
      <c r="I5525" t="s">
        <v>7751</v>
      </c>
      <c r="J5525" t="s">
        <v>36528</v>
      </c>
      <c r="K5525" t="s">
        <v>42729</v>
      </c>
      <c r="M5525" t="s">
        <v>45206</v>
      </c>
      <c r="N5525" t="s">
        <v>47424</v>
      </c>
      <c r="O5525" t="s">
        <v>47425</v>
      </c>
      <c r="P5525">
        <v>0</v>
      </c>
      <c r="Q5525">
        <v>3</v>
      </c>
      <c r="R5525" t="s">
        <v>47430</v>
      </c>
      <c r="S5525" t="s">
        <v>47549</v>
      </c>
      <c r="T5525" t="s">
        <v>49181</v>
      </c>
      <c r="U5525" t="s">
        <v>54337</v>
      </c>
      <c r="V5525" t="s">
        <v>63233</v>
      </c>
      <c r="W5525" t="s">
        <v>45206</v>
      </c>
      <c r="X5525" t="s">
        <v>47431</v>
      </c>
    </row>
    <row r="5526" spans="1:24">
      <c r="A5526">
        <f>HYPERLINK("https://www.philgeps.gov.ph/GEPSNONPILOT/Tender/SplashBidNoticeAbstractUI.aspx?menuIndex=3&amp;refID=7161243&amp;Result=3","7161243")</f>
        <v>0</v>
      </c>
      <c r="B5526" t="s">
        <v>2038</v>
      </c>
      <c r="C5526" t="s">
        <v>9120</v>
      </c>
      <c r="D5526" t="s">
        <v>19037</v>
      </c>
      <c r="E5526" t="s">
        <v>23968</v>
      </c>
      <c r="F5526" t="s">
        <v>32831</v>
      </c>
      <c r="G5526" t="s">
        <v>32840</v>
      </c>
      <c r="H5526" t="s">
        <v>32848</v>
      </c>
      <c r="I5526" t="s">
        <v>32862</v>
      </c>
      <c r="J5526" t="s">
        <v>35102</v>
      </c>
      <c r="K5526" t="s">
        <v>42745</v>
      </c>
      <c r="M5526" t="s">
        <v>45207</v>
      </c>
      <c r="N5526" t="s">
        <v>47424</v>
      </c>
      <c r="O5526" t="s">
        <v>47425</v>
      </c>
      <c r="P5526">
        <v>0</v>
      </c>
      <c r="Q5526">
        <v>2</v>
      </c>
      <c r="R5526" t="s">
        <v>47430</v>
      </c>
      <c r="S5526" t="s">
        <v>47549</v>
      </c>
      <c r="T5526" t="s">
        <v>49129</v>
      </c>
      <c r="U5526" t="s">
        <v>54338</v>
      </c>
      <c r="V5526" t="s">
        <v>63234</v>
      </c>
      <c r="W5526" t="s">
        <v>45207</v>
      </c>
      <c r="X5526" t="s">
        <v>47431</v>
      </c>
    </row>
    <row r="5527" spans="1:24">
      <c r="A5527">
        <f>HYPERLINK("https://www.philgeps.gov.ph/GEPSNONPILOT/Tender/SplashBidNoticeAbstractUI.aspx?menuIndex=3&amp;refID=7161150&amp;Result=3","7161150")</f>
        <v>0</v>
      </c>
      <c r="B5527" t="s">
        <v>2039</v>
      </c>
      <c r="C5527" t="s">
        <v>9121</v>
      </c>
      <c r="D5527" t="s">
        <v>19080</v>
      </c>
      <c r="E5527" t="s">
        <v>23969</v>
      </c>
      <c r="F5527" t="s">
        <v>32831</v>
      </c>
      <c r="G5527" t="s">
        <v>32838</v>
      </c>
      <c r="H5527" t="s">
        <v>32848</v>
      </c>
      <c r="I5527" t="s">
        <v>6526</v>
      </c>
      <c r="J5527" t="s">
        <v>36529</v>
      </c>
      <c r="K5527" t="s">
        <v>42732</v>
      </c>
      <c r="M5527" t="s">
        <v>45208</v>
      </c>
      <c r="N5527" t="s">
        <v>47424</v>
      </c>
      <c r="O5527" t="s">
        <v>47425</v>
      </c>
      <c r="P5527">
        <v>0</v>
      </c>
      <c r="Q5527">
        <v>0</v>
      </c>
      <c r="R5527" t="s">
        <v>47430</v>
      </c>
      <c r="S5527" t="s">
        <v>47549</v>
      </c>
      <c r="T5527" t="s">
        <v>49426</v>
      </c>
      <c r="U5527" t="s">
        <v>54339</v>
      </c>
      <c r="W5527" t="s">
        <v>45208</v>
      </c>
      <c r="X5527" t="s">
        <v>47431</v>
      </c>
    </row>
    <row r="5528" spans="1:24">
      <c r="A5528">
        <f>HYPERLINK("https://www.philgeps.gov.ph/GEPSNONPILOT/Tender/SplashBidNoticeAbstractUI.aspx?menuIndex=3&amp;refID=7161241&amp;Result=3","7161241")</f>
        <v>0</v>
      </c>
      <c r="B5528" t="s">
        <v>1447</v>
      </c>
      <c r="C5528" t="s">
        <v>9122</v>
      </c>
      <c r="D5528" t="s">
        <v>19057</v>
      </c>
      <c r="E5528" t="s">
        <v>23970</v>
      </c>
      <c r="F5528" t="s">
        <v>32831</v>
      </c>
      <c r="G5528" t="s">
        <v>32839</v>
      </c>
      <c r="H5528" t="s">
        <v>32848</v>
      </c>
      <c r="I5528" t="s">
        <v>6526</v>
      </c>
      <c r="J5528" t="s">
        <v>33072</v>
      </c>
      <c r="K5528" t="s">
        <v>42726</v>
      </c>
      <c r="M5528" t="s">
        <v>44539</v>
      </c>
      <c r="N5528" t="s">
        <v>47424</v>
      </c>
      <c r="O5528" t="s">
        <v>47425</v>
      </c>
      <c r="P5528">
        <v>0</v>
      </c>
      <c r="Q5528">
        <v>0</v>
      </c>
      <c r="R5528" t="s">
        <v>47430</v>
      </c>
      <c r="S5528" t="s">
        <v>47549</v>
      </c>
      <c r="T5528" t="s">
        <v>49129</v>
      </c>
      <c r="U5528" t="s">
        <v>54340</v>
      </c>
      <c r="V5528" t="s">
        <v>63235</v>
      </c>
      <c r="W5528" t="s">
        <v>44539</v>
      </c>
      <c r="X5528" t="s">
        <v>47431</v>
      </c>
    </row>
    <row r="5529" spans="1:24">
      <c r="A5529">
        <f>HYPERLINK("https://www.philgeps.gov.ph/GEPSNONPILOT/Tender/SplashBidNoticeAbstractUI.aspx?menuIndex=3&amp;refID=7161177&amp;Result=3","7161177")</f>
        <v>0</v>
      </c>
      <c r="B5529" t="s">
        <v>693</v>
      </c>
      <c r="C5529" t="s">
        <v>9123</v>
      </c>
      <c r="D5529" t="s">
        <v>19073</v>
      </c>
      <c r="E5529" t="s">
        <v>20444</v>
      </c>
      <c r="F5529" t="s">
        <v>32831</v>
      </c>
      <c r="G5529" t="s">
        <v>32840</v>
      </c>
      <c r="H5529" t="s">
        <v>32848</v>
      </c>
      <c r="I5529" t="s">
        <v>32862</v>
      </c>
      <c r="J5529" t="s">
        <v>36530</v>
      </c>
      <c r="K5529" t="s">
        <v>42731</v>
      </c>
      <c r="M5529" t="s">
        <v>43712</v>
      </c>
      <c r="N5529" t="s">
        <v>47424</v>
      </c>
      <c r="O5529" t="s">
        <v>47425</v>
      </c>
      <c r="P5529">
        <v>0</v>
      </c>
      <c r="Q5529">
        <v>0</v>
      </c>
      <c r="R5529" t="s">
        <v>47430</v>
      </c>
      <c r="S5529" t="s">
        <v>47549</v>
      </c>
      <c r="T5529" t="s">
        <v>49108</v>
      </c>
      <c r="U5529" t="s">
        <v>54341</v>
      </c>
      <c r="W5529" t="s">
        <v>43712</v>
      </c>
      <c r="X5529" t="s">
        <v>47431</v>
      </c>
    </row>
    <row r="5530" spans="1:24">
      <c r="A5530">
        <f>HYPERLINK("https://www.philgeps.gov.ph/GEPSNONPILOT/Tender/SplashBidNoticeAbstractUI.aspx?menuIndex=3&amp;refID=7161185&amp;Result=3","7161185")</f>
        <v>0</v>
      </c>
      <c r="B5530" t="s">
        <v>1490</v>
      </c>
      <c r="C5530" t="s">
        <v>9124</v>
      </c>
      <c r="D5530" t="s">
        <v>19042</v>
      </c>
      <c r="E5530" t="s">
        <v>20737</v>
      </c>
      <c r="F5530" t="s">
        <v>32831</v>
      </c>
      <c r="G5530" t="s">
        <v>32839</v>
      </c>
      <c r="H5530" t="s">
        <v>32848</v>
      </c>
      <c r="I5530" t="s">
        <v>9577</v>
      </c>
      <c r="J5530" t="s">
        <v>36531</v>
      </c>
      <c r="K5530" t="s">
        <v>42732</v>
      </c>
      <c r="M5530" t="s">
        <v>44586</v>
      </c>
      <c r="N5530" t="s">
        <v>47424</v>
      </c>
      <c r="O5530" t="s">
        <v>47425</v>
      </c>
      <c r="P5530">
        <v>0</v>
      </c>
      <c r="Q5530">
        <v>1</v>
      </c>
      <c r="R5530" t="s">
        <v>47430</v>
      </c>
      <c r="S5530" t="s">
        <v>47549</v>
      </c>
      <c r="T5530" t="s">
        <v>49427</v>
      </c>
      <c r="U5530" t="s">
        <v>54342</v>
      </c>
      <c r="W5530" t="s">
        <v>44586</v>
      </c>
      <c r="X5530" t="s">
        <v>47431</v>
      </c>
    </row>
    <row r="5531" spans="1:24">
      <c r="A5531">
        <f>HYPERLINK("https://www.philgeps.gov.ph/GEPSNONPILOT/Tender/SplashBidNoticeAbstractUI.aspx?menuIndex=3&amp;refID=7161239&amp;Result=3","7161239")</f>
        <v>0</v>
      </c>
      <c r="B5531" t="s">
        <v>2040</v>
      </c>
      <c r="C5531" t="s">
        <v>9125</v>
      </c>
      <c r="D5531" t="s">
        <v>19038</v>
      </c>
      <c r="E5531" t="s">
        <v>19130</v>
      </c>
      <c r="F5531" t="s">
        <v>32831</v>
      </c>
      <c r="G5531" t="s">
        <v>32840</v>
      </c>
      <c r="H5531" t="s">
        <v>32848</v>
      </c>
      <c r="I5531" t="s">
        <v>4438</v>
      </c>
      <c r="J5531" t="s">
        <v>36532</v>
      </c>
      <c r="K5531" t="s">
        <v>42758</v>
      </c>
      <c r="M5531" t="s">
        <v>45209</v>
      </c>
      <c r="N5531" t="s">
        <v>47424</v>
      </c>
      <c r="O5531" t="s">
        <v>47425</v>
      </c>
      <c r="P5531">
        <v>0</v>
      </c>
      <c r="Q5531">
        <v>0</v>
      </c>
      <c r="R5531" t="s">
        <v>47430</v>
      </c>
      <c r="S5531" t="s">
        <v>47549</v>
      </c>
      <c r="T5531" t="s">
        <v>49108</v>
      </c>
      <c r="U5531" t="s">
        <v>54343</v>
      </c>
      <c r="W5531" t="s">
        <v>45209</v>
      </c>
      <c r="X5531" t="s">
        <v>47431</v>
      </c>
    </row>
    <row r="5532" spans="1:24">
      <c r="A5532">
        <f>HYPERLINK("https://www.philgeps.gov.ph/GEPSNONPILOT/Tender/SplashBidNoticeAbstractUI.aspx?menuIndex=3&amp;refID=7161234&amp;Result=3","7161234")</f>
        <v>0</v>
      </c>
      <c r="B5532" t="s">
        <v>391</v>
      </c>
      <c r="C5532" t="s">
        <v>9126</v>
      </c>
      <c r="D5532" t="s">
        <v>19090</v>
      </c>
      <c r="E5532" t="s">
        <v>23971</v>
      </c>
      <c r="F5532" t="s">
        <v>32831</v>
      </c>
      <c r="G5532" t="s">
        <v>32838</v>
      </c>
      <c r="H5532" t="s">
        <v>32848</v>
      </c>
      <c r="I5532" t="s">
        <v>32858</v>
      </c>
      <c r="J5532" t="s">
        <v>36533</v>
      </c>
      <c r="K5532" t="s">
        <v>42758</v>
      </c>
      <c r="M5532" t="s">
        <v>43396</v>
      </c>
      <c r="N5532" t="s">
        <v>47424</v>
      </c>
      <c r="O5532" t="s">
        <v>47425</v>
      </c>
      <c r="P5532">
        <v>0</v>
      </c>
      <c r="Q5532">
        <v>1</v>
      </c>
      <c r="R5532" t="s">
        <v>47430</v>
      </c>
      <c r="S5532" t="s">
        <v>47549</v>
      </c>
      <c r="T5532" t="s">
        <v>49237</v>
      </c>
      <c r="U5532" t="s">
        <v>54344</v>
      </c>
      <c r="W5532" t="s">
        <v>43396</v>
      </c>
      <c r="X5532" t="s">
        <v>47431</v>
      </c>
    </row>
    <row r="5533" spans="1:24">
      <c r="A5533">
        <f>HYPERLINK("https://www.philgeps.gov.ph/GEPSNONPILOT/Tender/SplashBidNoticeAbstractUI.aspx?menuIndex=3&amp;refID=7161233&amp;Result=3","7161233")</f>
        <v>0</v>
      </c>
      <c r="B5533" t="s">
        <v>832</v>
      </c>
      <c r="C5533" t="s">
        <v>9127</v>
      </c>
      <c r="D5533" t="s">
        <v>19088</v>
      </c>
      <c r="E5533" t="s">
        <v>23972</v>
      </c>
      <c r="F5533" t="s">
        <v>32831</v>
      </c>
      <c r="G5533" t="s">
        <v>32839</v>
      </c>
      <c r="H5533" t="s">
        <v>32849</v>
      </c>
      <c r="I5533" t="s">
        <v>4177</v>
      </c>
      <c r="J5533" t="s">
        <v>36534</v>
      </c>
      <c r="K5533" t="s">
        <v>42780</v>
      </c>
      <c r="M5533" t="s">
        <v>44445</v>
      </c>
      <c r="N5533" t="s">
        <v>47424</v>
      </c>
      <c r="O5533" t="s">
        <v>47425</v>
      </c>
      <c r="Q5533">
        <v>2</v>
      </c>
      <c r="R5533" t="s">
        <v>47430</v>
      </c>
      <c r="S5533" t="s">
        <v>47559</v>
      </c>
      <c r="T5533" t="s">
        <v>49338</v>
      </c>
      <c r="U5533" t="s">
        <v>54323</v>
      </c>
      <c r="V5533" t="s">
        <v>63236</v>
      </c>
      <c r="W5533" t="s">
        <v>44445</v>
      </c>
      <c r="X5533" t="s">
        <v>47431</v>
      </c>
    </row>
    <row r="5534" spans="1:24">
      <c r="A5534">
        <f>HYPERLINK("https://www.philgeps.gov.ph/GEPSNONPILOT/Tender/SplashBidNoticeAbstractUI.aspx?menuIndex=3&amp;refID=7161240&amp;Result=3","7161240")</f>
        <v>0</v>
      </c>
      <c r="B5534" t="s">
        <v>2041</v>
      </c>
      <c r="C5534" t="s">
        <v>9128</v>
      </c>
      <c r="D5534" t="s">
        <v>19090</v>
      </c>
      <c r="E5534" t="s">
        <v>22713</v>
      </c>
      <c r="F5534" t="s">
        <v>32831</v>
      </c>
      <c r="G5534" t="s">
        <v>32839</v>
      </c>
      <c r="H5534" t="s">
        <v>32848</v>
      </c>
      <c r="I5534" t="s">
        <v>32867</v>
      </c>
      <c r="J5534" t="s">
        <v>36535</v>
      </c>
      <c r="K5534" t="s">
        <v>42742</v>
      </c>
      <c r="M5534" t="s">
        <v>45210</v>
      </c>
      <c r="N5534" t="s">
        <v>47424</v>
      </c>
      <c r="O5534" t="s">
        <v>47425</v>
      </c>
      <c r="P5534">
        <v>0</v>
      </c>
      <c r="Q5534">
        <v>10</v>
      </c>
      <c r="R5534" t="s">
        <v>47430</v>
      </c>
      <c r="S5534" t="s">
        <v>47549</v>
      </c>
      <c r="T5534" t="s">
        <v>49189</v>
      </c>
      <c r="U5534" t="s">
        <v>54345</v>
      </c>
      <c r="W5534" t="s">
        <v>64496</v>
      </c>
      <c r="X5534" t="s">
        <v>47431</v>
      </c>
    </row>
    <row r="5535" spans="1:24">
      <c r="A5535">
        <f>HYPERLINK("https://www.philgeps.gov.ph/GEPSNONPILOT/Tender/SplashBidNoticeAbstractUI.aspx?menuIndex=3&amp;refID=7161227&amp;Result=3","7161227")</f>
        <v>0</v>
      </c>
      <c r="B5535" t="s">
        <v>1483</v>
      </c>
      <c r="C5535" t="s">
        <v>9129</v>
      </c>
      <c r="D5535" t="s">
        <v>19048</v>
      </c>
      <c r="E5535" t="s">
        <v>23973</v>
      </c>
      <c r="F5535" t="s">
        <v>32831</v>
      </c>
      <c r="G5535" t="s">
        <v>32838</v>
      </c>
      <c r="H5535" t="s">
        <v>32848</v>
      </c>
      <c r="I5535" t="s">
        <v>6526</v>
      </c>
      <c r="J5535" t="s">
        <v>33677</v>
      </c>
      <c r="K5535" t="s">
        <v>42745</v>
      </c>
      <c r="M5535" t="s">
        <v>44577</v>
      </c>
      <c r="N5535" t="s">
        <v>47424</v>
      </c>
      <c r="O5535" t="s">
        <v>47425</v>
      </c>
      <c r="P5535">
        <v>0</v>
      </c>
      <c r="Q5535">
        <v>0</v>
      </c>
      <c r="R5535" t="s">
        <v>47430</v>
      </c>
      <c r="S5535" t="s">
        <v>47549</v>
      </c>
      <c r="T5535" t="s">
        <v>49205</v>
      </c>
      <c r="U5535" t="s">
        <v>54346</v>
      </c>
      <c r="V5535" t="s">
        <v>63237</v>
      </c>
      <c r="W5535" t="s">
        <v>44577</v>
      </c>
      <c r="X5535" t="s">
        <v>47431</v>
      </c>
    </row>
    <row r="5536" spans="1:24">
      <c r="A5536">
        <f>HYPERLINK("https://www.philgeps.gov.ph/GEPSNONPILOT/Tender/SplashBidNoticeAbstractUI.aspx?menuIndex=3&amp;refID=7161238&amp;Result=3","7161238")</f>
        <v>0</v>
      </c>
      <c r="B5536" t="s">
        <v>693</v>
      </c>
      <c r="C5536" t="s">
        <v>9130</v>
      </c>
      <c r="D5536" t="s">
        <v>19073</v>
      </c>
      <c r="E5536" t="s">
        <v>20444</v>
      </c>
      <c r="F5536" t="s">
        <v>32831</v>
      </c>
      <c r="G5536" t="s">
        <v>32840</v>
      </c>
      <c r="H5536" t="s">
        <v>32848</v>
      </c>
      <c r="I5536" t="s">
        <v>32870</v>
      </c>
      <c r="J5536" t="s">
        <v>33088</v>
      </c>
      <c r="K5536" t="s">
        <v>42731</v>
      </c>
      <c r="M5536" t="s">
        <v>43712</v>
      </c>
      <c r="N5536" t="s">
        <v>47424</v>
      </c>
      <c r="O5536" t="s">
        <v>47425</v>
      </c>
      <c r="P5536">
        <v>0</v>
      </c>
      <c r="Q5536">
        <v>0</v>
      </c>
      <c r="R5536" t="s">
        <v>47430</v>
      </c>
      <c r="S5536" t="s">
        <v>47549</v>
      </c>
      <c r="T5536" t="s">
        <v>49108</v>
      </c>
      <c r="U5536" t="s">
        <v>54347</v>
      </c>
      <c r="W5536" t="s">
        <v>43712</v>
      </c>
      <c r="X5536" t="s">
        <v>47431</v>
      </c>
    </row>
    <row r="5537" spans="1:24">
      <c r="A5537">
        <f>HYPERLINK("https://www.philgeps.gov.ph/GEPSNONPILOT/Tender/SplashBidNoticeAbstractUI.aspx?menuIndex=3&amp;refID=7161223&amp;Result=3","7161223")</f>
        <v>0</v>
      </c>
      <c r="B5537" t="s">
        <v>920</v>
      </c>
      <c r="C5537" t="s">
        <v>9131</v>
      </c>
      <c r="E5537" t="s">
        <v>23974</v>
      </c>
      <c r="F5537" t="s">
        <v>32831</v>
      </c>
      <c r="G5537" t="s">
        <v>32838</v>
      </c>
      <c r="H5537" t="s">
        <v>32848</v>
      </c>
      <c r="I5537" t="s">
        <v>7416</v>
      </c>
      <c r="J5537" t="s">
        <v>36527</v>
      </c>
      <c r="K5537" t="s">
        <v>42732</v>
      </c>
      <c r="M5537" t="s">
        <v>43961</v>
      </c>
      <c r="N5537" t="s">
        <v>47424</v>
      </c>
      <c r="O5537" t="s">
        <v>47425</v>
      </c>
      <c r="P5537">
        <v>0</v>
      </c>
      <c r="Q5537">
        <v>2</v>
      </c>
      <c r="R5537" t="s">
        <v>47430</v>
      </c>
      <c r="S5537" t="s">
        <v>47549</v>
      </c>
      <c r="T5537" t="s">
        <v>49111</v>
      </c>
      <c r="U5537" t="s">
        <v>51396</v>
      </c>
      <c r="W5537" t="s">
        <v>43961</v>
      </c>
      <c r="X5537" t="s">
        <v>47431</v>
      </c>
    </row>
    <row r="5538" spans="1:24">
      <c r="A5538">
        <f>HYPERLINK("https://www.philgeps.gov.ph/GEPSNONPILOT/Tender/SplashBidNoticeAbstractUI.aspx?menuIndex=3&amp;refID=7161222&amp;Result=3","7161222")</f>
        <v>0</v>
      </c>
      <c r="B5538" t="s">
        <v>832</v>
      </c>
      <c r="C5538" t="s">
        <v>9132</v>
      </c>
      <c r="D5538" t="s">
        <v>19101</v>
      </c>
      <c r="E5538" t="s">
        <v>23975</v>
      </c>
      <c r="F5538" t="s">
        <v>32831</v>
      </c>
      <c r="G5538" t="s">
        <v>32839</v>
      </c>
      <c r="H5538" t="s">
        <v>32848</v>
      </c>
      <c r="I5538" t="s">
        <v>32925</v>
      </c>
      <c r="J5538" t="s">
        <v>36536</v>
      </c>
      <c r="K5538" t="s">
        <v>42729</v>
      </c>
      <c r="M5538" t="s">
        <v>44445</v>
      </c>
      <c r="N5538" t="s">
        <v>47424</v>
      </c>
      <c r="O5538" t="s">
        <v>47425</v>
      </c>
      <c r="Q5538">
        <v>6</v>
      </c>
      <c r="R5538" t="s">
        <v>47430</v>
      </c>
      <c r="S5538" t="s">
        <v>47560</v>
      </c>
      <c r="T5538" t="s">
        <v>49338</v>
      </c>
      <c r="U5538" t="s">
        <v>54323</v>
      </c>
      <c r="V5538" t="s">
        <v>63238</v>
      </c>
      <c r="W5538" t="s">
        <v>44445</v>
      </c>
      <c r="X5538" t="s">
        <v>47431</v>
      </c>
    </row>
    <row r="5539" spans="1:24">
      <c r="A5539">
        <f>HYPERLINK("https://www.philgeps.gov.ph/GEPSNONPILOT/Tender/SplashBidNoticeAbstractUI.aspx?menuIndex=3&amp;refID=7161219&amp;Result=3","7161219")</f>
        <v>0</v>
      </c>
      <c r="B5539" t="s">
        <v>693</v>
      </c>
      <c r="C5539" t="s">
        <v>9133</v>
      </c>
      <c r="D5539" t="s">
        <v>19073</v>
      </c>
      <c r="E5539" t="s">
        <v>20444</v>
      </c>
      <c r="F5539" t="s">
        <v>32831</v>
      </c>
      <c r="G5539" t="s">
        <v>32840</v>
      </c>
      <c r="H5539" t="s">
        <v>32848</v>
      </c>
      <c r="I5539" t="s">
        <v>32870</v>
      </c>
      <c r="J5539" t="s">
        <v>33232</v>
      </c>
      <c r="K5539" t="s">
        <v>42731</v>
      </c>
      <c r="M5539" t="s">
        <v>43712</v>
      </c>
      <c r="N5539" t="s">
        <v>47424</v>
      </c>
      <c r="O5539" t="s">
        <v>47425</v>
      </c>
      <c r="P5539">
        <v>0</v>
      </c>
      <c r="Q5539">
        <v>0</v>
      </c>
      <c r="R5539" t="s">
        <v>47430</v>
      </c>
      <c r="S5539" t="s">
        <v>47549</v>
      </c>
      <c r="T5539" t="s">
        <v>49108</v>
      </c>
      <c r="U5539" t="s">
        <v>54348</v>
      </c>
      <c r="W5539" t="s">
        <v>43712</v>
      </c>
      <c r="X5539" t="s">
        <v>47431</v>
      </c>
    </row>
    <row r="5540" spans="1:24">
      <c r="A5540">
        <f>HYPERLINK("https://www.philgeps.gov.ph/GEPSNONPILOT/Tender/SplashBidNoticeAbstractUI.aspx?menuIndex=3&amp;refID=7161215&amp;Result=3","7161215")</f>
        <v>0</v>
      </c>
      <c r="B5540" t="s">
        <v>293</v>
      </c>
      <c r="C5540" t="s">
        <v>9134</v>
      </c>
      <c r="D5540" t="s">
        <v>19074</v>
      </c>
      <c r="E5540" t="s">
        <v>23976</v>
      </c>
      <c r="F5540" t="s">
        <v>32831</v>
      </c>
      <c r="G5540" t="s">
        <v>32838</v>
      </c>
      <c r="H5540" t="s">
        <v>32848</v>
      </c>
      <c r="I5540" t="s">
        <v>9577</v>
      </c>
      <c r="J5540" t="s">
        <v>36537</v>
      </c>
      <c r="K5540" t="s">
        <v>42727</v>
      </c>
      <c r="M5540" t="s">
        <v>44294</v>
      </c>
      <c r="N5540" t="s">
        <v>47424</v>
      </c>
      <c r="O5540" t="s">
        <v>47425</v>
      </c>
      <c r="P5540">
        <v>0</v>
      </c>
      <c r="Q5540">
        <v>0</v>
      </c>
      <c r="R5540" t="s">
        <v>47430</v>
      </c>
      <c r="S5540" t="s">
        <v>47549</v>
      </c>
      <c r="T5540" t="s">
        <v>49056</v>
      </c>
      <c r="U5540" t="s">
        <v>54349</v>
      </c>
      <c r="W5540" t="s">
        <v>44294</v>
      </c>
      <c r="X5540" t="s">
        <v>47431</v>
      </c>
    </row>
    <row r="5541" spans="1:24">
      <c r="A5541">
        <f>HYPERLINK("https://www.philgeps.gov.ph/GEPSNONPILOT/Tender/SplashBidNoticeAbstractUI.aspx?menuIndex=3&amp;refID=7161209&amp;Result=3","7161209")</f>
        <v>0</v>
      </c>
      <c r="B5541" t="s">
        <v>2026</v>
      </c>
      <c r="C5541" t="s">
        <v>9135</v>
      </c>
      <c r="D5541" t="s">
        <v>19019</v>
      </c>
      <c r="E5541" t="s">
        <v>23977</v>
      </c>
      <c r="F5541" t="s">
        <v>32831</v>
      </c>
      <c r="G5541" t="s">
        <v>32840</v>
      </c>
      <c r="H5541" t="s">
        <v>32848</v>
      </c>
      <c r="I5541" t="s">
        <v>4776</v>
      </c>
      <c r="J5541" t="s">
        <v>32983</v>
      </c>
      <c r="K5541" t="s">
        <v>42732</v>
      </c>
      <c r="M5541" t="s">
        <v>45194</v>
      </c>
      <c r="N5541" t="s">
        <v>47424</v>
      </c>
      <c r="O5541" t="s">
        <v>47425</v>
      </c>
      <c r="P5541">
        <v>0</v>
      </c>
      <c r="Q5541">
        <v>5</v>
      </c>
      <c r="R5541" t="s">
        <v>47430</v>
      </c>
      <c r="S5541" t="s">
        <v>47549</v>
      </c>
      <c r="T5541" t="s">
        <v>49127</v>
      </c>
      <c r="U5541" t="s">
        <v>54350</v>
      </c>
      <c r="W5541" t="s">
        <v>45194</v>
      </c>
      <c r="X5541" t="s">
        <v>47431</v>
      </c>
    </row>
    <row r="5542" spans="1:24">
      <c r="A5542">
        <f>HYPERLINK("https://www.philgeps.gov.ph/GEPSNONPILOT/Tender/SplashBidNoticeAbstractUI.aspx?menuIndex=3&amp;refID=7161208&amp;Result=3","7161208")</f>
        <v>0</v>
      </c>
      <c r="B5542" t="s">
        <v>832</v>
      </c>
      <c r="C5542" t="s">
        <v>9136</v>
      </c>
      <c r="D5542" t="s">
        <v>19101</v>
      </c>
      <c r="E5542" t="s">
        <v>23978</v>
      </c>
      <c r="F5542" t="s">
        <v>32831</v>
      </c>
      <c r="G5542" t="s">
        <v>32839</v>
      </c>
      <c r="H5542" t="s">
        <v>32848</v>
      </c>
      <c r="I5542" t="s">
        <v>32925</v>
      </c>
      <c r="J5542" t="s">
        <v>36538</v>
      </c>
      <c r="K5542" t="s">
        <v>42729</v>
      </c>
      <c r="M5542" t="s">
        <v>44445</v>
      </c>
      <c r="N5542" t="s">
        <v>47424</v>
      </c>
      <c r="O5542" t="s">
        <v>47425</v>
      </c>
      <c r="Q5542">
        <v>5</v>
      </c>
      <c r="R5542" t="s">
        <v>47430</v>
      </c>
      <c r="S5542" t="s">
        <v>47561</v>
      </c>
      <c r="T5542" t="s">
        <v>49338</v>
      </c>
      <c r="U5542" t="s">
        <v>54323</v>
      </c>
      <c r="V5542" t="s">
        <v>63231</v>
      </c>
      <c r="W5542" t="s">
        <v>44445</v>
      </c>
      <c r="X5542" t="s">
        <v>47431</v>
      </c>
    </row>
    <row r="5543" spans="1:24">
      <c r="A5543">
        <f>HYPERLINK("https://www.philgeps.gov.ph/GEPSNONPILOT/Tender/SplashBidNoticeAbstractUI.aspx?menuIndex=3&amp;refID=7161206&amp;Result=3","7161206")</f>
        <v>0</v>
      </c>
      <c r="B5543" t="s">
        <v>2042</v>
      </c>
      <c r="C5543" t="s">
        <v>9137</v>
      </c>
      <c r="D5543" t="s">
        <v>19026</v>
      </c>
      <c r="E5543" t="s">
        <v>23979</v>
      </c>
      <c r="F5543" t="s">
        <v>32831</v>
      </c>
      <c r="G5543" t="s">
        <v>32840</v>
      </c>
      <c r="H5543" t="s">
        <v>32848</v>
      </c>
      <c r="I5543" t="s">
        <v>32864</v>
      </c>
      <c r="J5543" t="s">
        <v>36539</v>
      </c>
      <c r="K5543" t="s">
        <v>42726</v>
      </c>
      <c r="M5543" t="s">
        <v>45211</v>
      </c>
      <c r="N5543" t="s">
        <v>47424</v>
      </c>
      <c r="O5543" t="s">
        <v>47425</v>
      </c>
      <c r="Q5543">
        <v>2</v>
      </c>
      <c r="R5543" t="s">
        <v>47430</v>
      </c>
      <c r="S5543" t="s">
        <v>47562</v>
      </c>
      <c r="T5543" t="s">
        <v>49145</v>
      </c>
      <c r="U5543" t="s">
        <v>54351</v>
      </c>
      <c r="W5543" t="s">
        <v>45211</v>
      </c>
      <c r="X5543" t="s">
        <v>47431</v>
      </c>
    </row>
    <row r="5544" spans="1:24">
      <c r="A5544">
        <f>HYPERLINK("https://www.philgeps.gov.ph/GEPSNONPILOT/Tender/SplashBidNoticeAbstractUI.aspx?menuIndex=3&amp;refID=7161236&amp;Result=3","7161236")</f>
        <v>0</v>
      </c>
      <c r="B5544" t="s">
        <v>319</v>
      </c>
      <c r="C5544" t="s">
        <v>9138</v>
      </c>
      <c r="D5544" t="s">
        <v>19044</v>
      </c>
      <c r="E5544" t="s">
        <v>23980</v>
      </c>
      <c r="F5544" t="s">
        <v>32831</v>
      </c>
      <c r="G5544" t="s">
        <v>32838</v>
      </c>
      <c r="H5544" t="s">
        <v>32848</v>
      </c>
      <c r="I5544" t="s">
        <v>32909</v>
      </c>
      <c r="J5544" t="s">
        <v>35118</v>
      </c>
      <c r="K5544" t="s">
        <v>42729</v>
      </c>
      <c r="M5544" t="s">
        <v>43321</v>
      </c>
      <c r="N5544" t="s">
        <v>47424</v>
      </c>
      <c r="O5544" t="s">
        <v>47425</v>
      </c>
      <c r="P5544">
        <v>0</v>
      </c>
      <c r="Q5544">
        <v>3</v>
      </c>
      <c r="R5544" t="s">
        <v>47430</v>
      </c>
      <c r="S5544" t="s">
        <v>47549</v>
      </c>
      <c r="T5544" t="s">
        <v>49129</v>
      </c>
      <c r="U5544" t="s">
        <v>54352</v>
      </c>
      <c r="W5544" t="s">
        <v>43321</v>
      </c>
      <c r="X5544" t="s">
        <v>47431</v>
      </c>
    </row>
    <row r="5545" spans="1:24">
      <c r="A5545">
        <f>HYPERLINK("https://www.philgeps.gov.ph/GEPSNONPILOT/Tender/SplashBidNoticeAbstractUI.aspx?menuIndex=3&amp;refID=7161146&amp;Result=3","7161146")</f>
        <v>0</v>
      </c>
      <c r="B5545" t="s">
        <v>2036</v>
      </c>
      <c r="C5545" t="s">
        <v>9139</v>
      </c>
      <c r="D5545" t="s">
        <v>19062</v>
      </c>
      <c r="E5545" t="s">
        <v>23981</v>
      </c>
      <c r="F5545" t="s">
        <v>32831</v>
      </c>
      <c r="G5545" t="s">
        <v>32839</v>
      </c>
      <c r="H5545" t="s">
        <v>32850</v>
      </c>
      <c r="I5545" t="s">
        <v>32863</v>
      </c>
      <c r="J5545" t="s">
        <v>36540</v>
      </c>
      <c r="K5545" t="s">
        <v>42727</v>
      </c>
      <c r="M5545" t="s">
        <v>45205</v>
      </c>
      <c r="N5545" t="s">
        <v>47424</v>
      </c>
      <c r="O5545" t="s">
        <v>47425</v>
      </c>
      <c r="P5545">
        <v>0</v>
      </c>
      <c r="Q5545">
        <v>0</v>
      </c>
      <c r="R5545" t="s">
        <v>47430</v>
      </c>
      <c r="S5545" t="s">
        <v>47549</v>
      </c>
      <c r="T5545" t="s">
        <v>49104</v>
      </c>
      <c r="U5545" t="s">
        <v>54353</v>
      </c>
      <c r="V5545" t="s">
        <v>63232</v>
      </c>
      <c r="W5545" t="s">
        <v>45205</v>
      </c>
      <c r="X5545" t="s">
        <v>47431</v>
      </c>
    </row>
    <row r="5546" spans="1:24">
      <c r="A5546">
        <f>HYPERLINK("https://www.philgeps.gov.ph/GEPSNONPILOT/Tender/SplashBidNoticeAbstractUI.aspx?menuIndex=3&amp;refID=7161245&amp;Result=3","7161245")</f>
        <v>0</v>
      </c>
      <c r="B5546" t="s">
        <v>2043</v>
      </c>
      <c r="C5546" t="s">
        <v>9140</v>
      </c>
      <c r="D5546" t="s">
        <v>19047</v>
      </c>
      <c r="E5546" t="s">
        <v>23982</v>
      </c>
      <c r="F5546" t="s">
        <v>32831</v>
      </c>
      <c r="G5546" t="s">
        <v>32838</v>
      </c>
      <c r="H5546" t="s">
        <v>32850</v>
      </c>
      <c r="I5546" t="s">
        <v>4303</v>
      </c>
      <c r="J5546" t="s">
        <v>36541</v>
      </c>
      <c r="K5546" t="s">
        <v>42730</v>
      </c>
      <c r="M5546" t="s">
        <v>45212</v>
      </c>
      <c r="N5546" t="s">
        <v>47424</v>
      </c>
      <c r="O5546" t="s">
        <v>47425</v>
      </c>
      <c r="P5546">
        <v>0</v>
      </c>
      <c r="Q5546">
        <v>0</v>
      </c>
      <c r="R5546" t="s">
        <v>47430</v>
      </c>
      <c r="S5546" t="s">
        <v>47549</v>
      </c>
      <c r="T5546" t="s">
        <v>49119</v>
      </c>
      <c r="U5546" t="s">
        <v>54354</v>
      </c>
      <c r="W5546" t="s">
        <v>45212</v>
      </c>
      <c r="X5546" t="s">
        <v>47431</v>
      </c>
    </row>
    <row r="5547" spans="1:24">
      <c r="A5547">
        <f>HYPERLINK("https://www.philgeps.gov.ph/GEPSNONPILOT/Tender/SplashBidNoticeAbstractUI.aspx?menuIndex=3&amp;refID=7161143&amp;Result=3","7161143")</f>
        <v>0</v>
      </c>
      <c r="B5547" t="s">
        <v>1799</v>
      </c>
      <c r="C5547" t="s">
        <v>9141</v>
      </c>
      <c r="D5547" t="s">
        <v>19071</v>
      </c>
      <c r="E5547" t="s">
        <v>23939</v>
      </c>
      <c r="F5547" t="s">
        <v>32831</v>
      </c>
      <c r="G5547" t="s">
        <v>32839</v>
      </c>
      <c r="H5547" t="s">
        <v>32848</v>
      </c>
      <c r="I5547" t="s">
        <v>32856</v>
      </c>
      <c r="J5547" t="s">
        <v>36542</v>
      </c>
      <c r="K5547" t="s">
        <v>42730</v>
      </c>
      <c r="M5547" t="s">
        <v>44929</v>
      </c>
      <c r="N5547" t="s">
        <v>47424</v>
      </c>
      <c r="O5547" t="s">
        <v>47425</v>
      </c>
      <c r="P5547">
        <v>0</v>
      </c>
      <c r="Q5547">
        <v>1</v>
      </c>
      <c r="R5547" t="s">
        <v>47430</v>
      </c>
      <c r="S5547" t="s">
        <v>47549</v>
      </c>
      <c r="T5547" t="s">
        <v>49089</v>
      </c>
      <c r="U5547" t="s">
        <v>54355</v>
      </c>
      <c r="V5547" t="s">
        <v>62833</v>
      </c>
      <c r="W5547" t="s">
        <v>44929</v>
      </c>
      <c r="X5547" t="s">
        <v>47431</v>
      </c>
    </row>
    <row r="5548" spans="1:24">
      <c r="A5548">
        <f>HYPERLINK("https://www.philgeps.gov.ph/GEPSNONPILOT/Tender/SplashBidNoticeAbstractUI.aspx?menuIndex=3&amp;refID=7161149&amp;Result=3","7161149")</f>
        <v>0</v>
      </c>
      <c r="B5548" t="s">
        <v>60</v>
      </c>
      <c r="C5548" t="s">
        <v>9142</v>
      </c>
      <c r="D5548" t="s">
        <v>19042</v>
      </c>
      <c r="E5548" t="s">
        <v>23983</v>
      </c>
      <c r="F5548" t="s">
        <v>32831</v>
      </c>
      <c r="G5548" t="s">
        <v>32839</v>
      </c>
      <c r="H5548" t="s">
        <v>32849</v>
      </c>
      <c r="I5548" t="s">
        <v>4177</v>
      </c>
      <c r="J5548" t="s">
        <v>36543</v>
      </c>
      <c r="K5548" t="s">
        <v>42832</v>
      </c>
      <c r="M5548" t="s">
        <v>43740</v>
      </c>
      <c r="N5548" t="s">
        <v>47424</v>
      </c>
      <c r="O5548" t="s">
        <v>47425</v>
      </c>
      <c r="P5548">
        <v>0</v>
      </c>
      <c r="Q5548">
        <v>0</v>
      </c>
      <c r="R5548" t="s">
        <v>47430</v>
      </c>
      <c r="S5548" t="s">
        <v>47549</v>
      </c>
      <c r="T5548" t="s">
        <v>49358</v>
      </c>
      <c r="U5548" t="s">
        <v>54356</v>
      </c>
      <c r="W5548" t="s">
        <v>43740</v>
      </c>
      <c r="X5548" t="s">
        <v>47431</v>
      </c>
    </row>
    <row r="5549" spans="1:24">
      <c r="A5549">
        <f>HYPERLINK("https://www.philgeps.gov.ph/GEPSNONPILOT/Tender/SplashBidNoticeAbstractUI.aspx?menuIndex=3&amp;refID=7161139&amp;Result=3","7161139")</f>
        <v>0</v>
      </c>
      <c r="B5549" t="s">
        <v>338</v>
      </c>
      <c r="C5549" t="s">
        <v>9143</v>
      </c>
      <c r="D5549" t="s">
        <v>19019</v>
      </c>
      <c r="E5549" t="s">
        <v>23984</v>
      </c>
      <c r="F5549" t="s">
        <v>32831</v>
      </c>
      <c r="G5549" t="s">
        <v>32840</v>
      </c>
      <c r="H5549" t="s">
        <v>32848</v>
      </c>
      <c r="I5549" t="s">
        <v>32864</v>
      </c>
      <c r="J5549" t="s">
        <v>32980</v>
      </c>
      <c r="K5549" t="s">
        <v>42726</v>
      </c>
      <c r="M5549" t="s">
        <v>45213</v>
      </c>
      <c r="N5549" t="s">
        <v>47424</v>
      </c>
      <c r="O5549" t="s">
        <v>47425</v>
      </c>
      <c r="P5549">
        <v>0</v>
      </c>
      <c r="Q5549">
        <v>2</v>
      </c>
      <c r="R5549" t="s">
        <v>47430</v>
      </c>
      <c r="S5549" t="s">
        <v>47549</v>
      </c>
      <c r="T5549" t="s">
        <v>49145</v>
      </c>
      <c r="U5549" t="s">
        <v>54357</v>
      </c>
      <c r="W5549" t="s">
        <v>45213</v>
      </c>
      <c r="X5549" t="s">
        <v>47431</v>
      </c>
    </row>
    <row r="5550" spans="1:24">
      <c r="A5550">
        <f>HYPERLINK("https://www.philgeps.gov.ph/GEPSNONPILOT/Tender/SplashBidNoticeAbstractUI.aspx?menuIndex=3&amp;refID=7161101&amp;Result=3","7161101")</f>
        <v>0</v>
      </c>
      <c r="B5550" t="s">
        <v>693</v>
      </c>
      <c r="C5550" t="s">
        <v>9144</v>
      </c>
      <c r="D5550" t="s">
        <v>19073</v>
      </c>
      <c r="E5550" t="s">
        <v>20444</v>
      </c>
      <c r="F5550" t="s">
        <v>32831</v>
      </c>
      <c r="G5550" t="s">
        <v>32840</v>
      </c>
      <c r="H5550" t="s">
        <v>32848</v>
      </c>
      <c r="I5550" t="s">
        <v>32943</v>
      </c>
      <c r="J5550" t="s">
        <v>36544</v>
      </c>
      <c r="K5550" t="s">
        <v>42731</v>
      </c>
      <c r="M5550" t="s">
        <v>43712</v>
      </c>
      <c r="N5550" t="s">
        <v>47424</v>
      </c>
      <c r="O5550" t="s">
        <v>47425</v>
      </c>
      <c r="P5550">
        <v>0</v>
      </c>
      <c r="Q5550">
        <v>0</v>
      </c>
      <c r="R5550" t="s">
        <v>47430</v>
      </c>
      <c r="S5550" t="s">
        <v>47549</v>
      </c>
      <c r="T5550" t="s">
        <v>49108</v>
      </c>
      <c r="U5550" t="s">
        <v>54358</v>
      </c>
      <c r="W5550" t="s">
        <v>43712</v>
      </c>
      <c r="X5550" t="s">
        <v>47431</v>
      </c>
    </row>
    <row r="5551" spans="1:24">
      <c r="A5551">
        <f>HYPERLINK("https://www.philgeps.gov.ph/GEPSNONPILOT/Tender/SplashBidNoticeAbstractUI.aspx?menuIndex=3&amp;refID=7161069&amp;Result=3","7161069")</f>
        <v>0</v>
      </c>
      <c r="B5551" t="s">
        <v>342</v>
      </c>
      <c r="C5551" t="s">
        <v>9145</v>
      </c>
      <c r="D5551" t="s">
        <v>19047</v>
      </c>
      <c r="E5551" t="s">
        <v>23985</v>
      </c>
      <c r="F5551" t="s">
        <v>32831</v>
      </c>
      <c r="G5551" t="s">
        <v>32838</v>
      </c>
      <c r="H5551" t="s">
        <v>32848</v>
      </c>
      <c r="I5551" t="s">
        <v>32862</v>
      </c>
      <c r="J5551" t="s">
        <v>34807</v>
      </c>
      <c r="K5551" t="s">
        <v>42727</v>
      </c>
      <c r="M5551" t="s">
        <v>43345</v>
      </c>
      <c r="N5551" t="s">
        <v>47424</v>
      </c>
      <c r="O5551" t="s">
        <v>47425</v>
      </c>
      <c r="P5551">
        <v>0</v>
      </c>
      <c r="Q5551">
        <v>0</v>
      </c>
      <c r="R5551" t="s">
        <v>47430</v>
      </c>
      <c r="S5551" t="s">
        <v>47549</v>
      </c>
      <c r="T5551" t="s">
        <v>49237</v>
      </c>
      <c r="U5551" t="s">
        <v>50291</v>
      </c>
      <c r="W5551" t="s">
        <v>64436</v>
      </c>
      <c r="X5551" t="s">
        <v>47431</v>
      </c>
    </row>
    <row r="5552" spans="1:24">
      <c r="A5552">
        <f>HYPERLINK("https://www.philgeps.gov.ph/GEPSNONPILOT/Tender/SplashBidNoticeAbstractUI.aspx?menuIndex=3&amp;refID=7161068&amp;Result=3","7161068")</f>
        <v>0</v>
      </c>
      <c r="B5552" t="s">
        <v>266</v>
      </c>
      <c r="C5552" t="s">
        <v>9146</v>
      </c>
      <c r="E5552" t="s">
        <v>23986</v>
      </c>
      <c r="F5552" t="s">
        <v>32831</v>
      </c>
      <c r="G5552" t="s">
        <v>32841</v>
      </c>
      <c r="H5552" t="s">
        <v>32848</v>
      </c>
      <c r="I5552" t="s">
        <v>32890</v>
      </c>
      <c r="J5552" t="s">
        <v>36545</v>
      </c>
      <c r="K5552" t="s">
        <v>42730</v>
      </c>
      <c r="M5552" t="s">
        <v>43265</v>
      </c>
      <c r="N5552" t="s">
        <v>47424</v>
      </c>
      <c r="O5552" t="s">
        <v>47425</v>
      </c>
      <c r="P5552">
        <v>0</v>
      </c>
      <c r="Q5552">
        <v>0</v>
      </c>
      <c r="R5552" t="s">
        <v>47430</v>
      </c>
      <c r="S5552" t="s">
        <v>47549</v>
      </c>
      <c r="T5552" t="s">
        <v>49073</v>
      </c>
      <c r="U5552" t="s">
        <v>54359</v>
      </c>
      <c r="V5552" t="s">
        <v>63221</v>
      </c>
      <c r="W5552" t="s">
        <v>43265</v>
      </c>
      <c r="X5552" t="s">
        <v>47431</v>
      </c>
    </row>
    <row r="5553" spans="1:24">
      <c r="A5553">
        <f>HYPERLINK("https://www.philgeps.gov.ph/GEPSNONPILOT/Tender/SplashBidNoticeAbstractUI.aspx?menuIndex=3&amp;refID=7161067&amp;Result=3","7161067")</f>
        <v>0</v>
      </c>
      <c r="B5553" t="s">
        <v>2031</v>
      </c>
      <c r="C5553" t="s">
        <v>9147</v>
      </c>
      <c r="D5553" t="s">
        <v>19060</v>
      </c>
      <c r="E5553" t="s">
        <v>23987</v>
      </c>
      <c r="F5553" t="s">
        <v>32831</v>
      </c>
      <c r="G5553" t="s">
        <v>32841</v>
      </c>
      <c r="H5553" t="s">
        <v>32848</v>
      </c>
      <c r="I5553" t="s">
        <v>32948</v>
      </c>
      <c r="J5553" t="s">
        <v>36546</v>
      </c>
      <c r="K5553" t="s">
        <v>42729</v>
      </c>
      <c r="M5553" t="s">
        <v>45199</v>
      </c>
      <c r="N5553" t="s">
        <v>47424</v>
      </c>
      <c r="O5553" t="s">
        <v>47425</v>
      </c>
      <c r="P5553">
        <v>0</v>
      </c>
      <c r="Q5553">
        <v>3</v>
      </c>
      <c r="R5553" t="s">
        <v>47430</v>
      </c>
      <c r="S5553" t="s">
        <v>47549</v>
      </c>
      <c r="T5553" t="s">
        <v>49210</v>
      </c>
      <c r="U5553" t="s">
        <v>54360</v>
      </c>
      <c r="W5553" t="s">
        <v>45199</v>
      </c>
      <c r="X5553" t="s">
        <v>47431</v>
      </c>
    </row>
    <row r="5554" spans="1:24">
      <c r="A5554">
        <f>HYPERLINK("https://www.philgeps.gov.ph/GEPSNONPILOT/Tender/SplashBidNoticeAbstractUI.aspx?menuIndex=3&amp;refID=7161066&amp;Result=3","7161066")</f>
        <v>0</v>
      </c>
      <c r="B5554" t="s">
        <v>2044</v>
      </c>
      <c r="C5554" t="s">
        <v>9148</v>
      </c>
      <c r="D5554" t="s">
        <v>19045</v>
      </c>
      <c r="E5554" t="s">
        <v>23988</v>
      </c>
      <c r="F5554" t="s">
        <v>32831</v>
      </c>
      <c r="G5554" t="s">
        <v>32839</v>
      </c>
      <c r="H5554" t="s">
        <v>32848</v>
      </c>
      <c r="I5554" t="s">
        <v>32874</v>
      </c>
      <c r="J5554" t="s">
        <v>36547</v>
      </c>
      <c r="K5554" t="s">
        <v>42763</v>
      </c>
      <c r="M5554" t="s">
        <v>45214</v>
      </c>
      <c r="N5554" t="s">
        <v>47424</v>
      </c>
      <c r="O5554" t="s">
        <v>47425</v>
      </c>
      <c r="P5554">
        <v>0</v>
      </c>
      <c r="Q5554">
        <v>38</v>
      </c>
      <c r="R5554" t="s">
        <v>47430</v>
      </c>
      <c r="S5554" t="s">
        <v>47549</v>
      </c>
      <c r="T5554" t="s">
        <v>49291</v>
      </c>
      <c r="U5554" t="s">
        <v>54361</v>
      </c>
      <c r="W5554" t="s">
        <v>45214</v>
      </c>
      <c r="X5554" t="s">
        <v>47431</v>
      </c>
    </row>
    <row r="5555" spans="1:24">
      <c r="A5555">
        <f>HYPERLINK("https://www.philgeps.gov.ph/GEPSNONPILOT/Tender/SplashBidNoticeAbstractUI.aspx?menuIndex=3&amp;refID=7161142&amp;Result=3","7161142")</f>
        <v>0</v>
      </c>
      <c r="B5555" t="s">
        <v>2045</v>
      </c>
      <c r="C5555" t="s">
        <v>9149</v>
      </c>
      <c r="D5555" t="s">
        <v>19095</v>
      </c>
      <c r="E5555" t="s">
        <v>23989</v>
      </c>
      <c r="F5555" t="s">
        <v>32831</v>
      </c>
      <c r="G5555" t="s">
        <v>32839</v>
      </c>
      <c r="H5555" t="s">
        <v>32848</v>
      </c>
      <c r="I5555" t="s">
        <v>7416</v>
      </c>
      <c r="J5555" t="s">
        <v>36548</v>
      </c>
      <c r="K5555" t="s">
        <v>42727</v>
      </c>
      <c r="M5555" t="s">
        <v>45215</v>
      </c>
      <c r="N5555" t="s">
        <v>47424</v>
      </c>
      <c r="O5555" t="s">
        <v>47425</v>
      </c>
      <c r="P5555">
        <v>0</v>
      </c>
      <c r="Q5555">
        <v>0</v>
      </c>
      <c r="R5555" t="s">
        <v>47430</v>
      </c>
      <c r="S5555" t="s">
        <v>47549</v>
      </c>
      <c r="T5555" t="s">
        <v>49393</v>
      </c>
      <c r="U5555" t="s">
        <v>54362</v>
      </c>
      <c r="W5555" t="s">
        <v>45215</v>
      </c>
      <c r="X5555" t="s">
        <v>47431</v>
      </c>
    </row>
    <row r="5556" spans="1:24">
      <c r="A5556">
        <f>HYPERLINK("https://www.philgeps.gov.ph/GEPSNONPILOT/Tender/SplashBidNoticeAbstractUI.aspx?menuIndex=3&amp;refID=7161064&amp;Result=3","7161064")</f>
        <v>0</v>
      </c>
      <c r="B5556" t="s">
        <v>888</v>
      </c>
      <c r="C5556" t="s">
        <v>9150</v>
      </c>
      <c r="D5556" t="s">
        <v>19067</v>
      </c>
      <c r="E5556" t="s">
        <v>19796</v>
      </c>
      <c r="F5556" t="s">
        <v>32831</v>
      </c>
      <c r="G5556" t="s">
        <v>32840</v>
      </c>
      <c r="H5556" t="s">
        <v>32848</v>
      </c>
      <c r="I5556" t="s">
        <v>32860</v>
      </c>
      <c r="J5556" t="s">
        <v>36549</v>
      </c>
      <c r="K5556" t="s">
        <v>42758</v>
      </c>
      <c r="M5556" t="s">
        <v>43923</v>
      </c>
      <c r="N5556" t="s">
        <v>47424</v>
      </c>
      <c r="O5556" t="s">
        <v>47425</v>
      </c>
      <c r="P5556">
        <v>0</v>
      </c>
      <c r="Q5556">
        <v>1</v>
      </c>
      <c r="R5556" t="s">
        <v>47430</v>
      </c>
      <c r="S5556" t="s">
        <v>47549</v>
      </c>
      <c r="T5556" t="s">
        <v>49145</v>
      </c>
      <c r="U5556" t="s">
        <v>54363</v>
      </c>
      <c r="W5556" t="s">
        <v>43923</v>
      </c>
      <c r="X5556" t="s">
        <v>47431</v>
      </c>
    </row>
    <row r="5557" spans="1:24">
      <c r="A5557">
        <f>HYPERLINK("https://www.philgeps.gov.ph/GEPSNONPILOT/Tender/SplashBidNoticeAbstractUI.aspx?menuIndex=3&amp;refID=7161063&amp;Result=3","7161063")</f>
        <v>0</v>
      </c>
      <c r="B5557" t="s">
        <v>2046</v>
      </c>
      <c r="C5557" t="s">
        <v>9151</v>
      </c>
      <c r="E5557" t="s">
        <v>19342</v>
      </c>
      <c r="F5557" t="s">
        <v>32832</v>
      </c>
      <c r="G5557" t="s">
        <v>32839</v>
      </c>
      <c r="H5557" t="s">
        <v>32848</v>
      </c>
      <c r="I5557" t="s">
        <v>7416</v>
      </c>
      <c r="J5557" t="s">
        <v>36550</v>
      </c>
      <c r="K5557" t="s">
        <v>42732</v>
      </c>
      <c r="M5557" t="s">
        <v>45216</v>
      </c>
      <c r="N5557" t="s">
        <v>47424</v>
      </c>
      <c r="O5557" t="s">
        <v>47425</v>
      </c>
      <c r="P5557">
        <v>0</v>
      </c>
      <c r="Q5557">
        <v>0</v>
      </c>
      <c r="R5557" t="s">
        <v>47430</v>
      </c>
      <c r="S5557" t="s">
        <v>47549</v>
      </c>
      <c r="T5557" t="s">
        <v>49424</v>
      </c>
      <c r="U5557" t="s">
        <v>49870</v>
      </c>
      <c r="W5557" t="s">
        <v>45216</v>
      </c>
      <c r="X5557" t="s">
        <v>47431</v>
      </c>
    </row>
    <row r="5558" spans="1:24">
      <c r="A5558">
        <f>HYPERLINK("https://www.philgeps.gov.ph/GEPSNONPILOT/Tender/SplashBidNoticeAbstractUI.aspx?menuIndex=3&amp;refID=7161031&amp;Result=3","7161031")</f>
        <v>0</v>
      </c>
      <c r="B5558" t="s">
        <v>1646</v>
      </c>
      <c r="C5558" t="s">
        <v>9152</v>
      </c>
      <c r="D5558" t="s">
        <v>19020</v>
      </c>
      <c r="E5558" t="s">
        <v>23990</v>
      </c>
      <c r="F5558" t="s">
        <v>32831</v>
      </c>
      <c r="G5558" t="s">
        <v>32840</v>
      </c>
      <c r="H5558" t="s">
        <v>32848</v>
      </c>
      <c r="I5558" t="s">
        <v>7416</v>
      </c>
      <c r="J5558" t="s">
        <v>36551</v>
      </c>
      <c r="K5558" t="s">
        <v>42730</v>
      </c>
      <c r="M5558" t="s">
        <v>44763</v>
      </c>
      <c r="N5558" t="s">
        <v>47424</v>
      </c>
      <c r="O5558" t="s">
        <v>47425</v>
      </c>
      <c r="P5558">
        <v>0</v>
      </c>
      <c r="Q5558">
        <v>1</v>
      </c>
      <c r="R5558" t="s">
        <v>47430</v>
      </c>
      <c r="S5558" t="s">
        <v>47549</v>
      </c>
      <c r="T5558" t="s">
        <v>49212</v>
      </c>
      <c r="U5558" t="s">
        <v>54364</v>
      </c>
      <c r="W5558" t="s">
        <v>44763</v>
      </c>
      <c r="X5558" t="s">
        <v>47431</v>
      </c>
    </row>
    <row r="5559" spans="1:24">
      <c r="A5559">
        <f>HYPERLINK("https://www.philgeps.gov.ph/GEPSNONPILOT/Tender/SplashBidNoticeAbstractUI.aspx?menuIndex=3&amp;refID=7161220&amp;Result=3","7161220")</f>
        <v>0</v>
      </c>
      <c r="B5559" t="s">
        <v>1679</v>
      </c>
      <c r="C5559" t="s">
        <v>9153</v>
      </c>
      <c r="D5559" t="s">
        <v>19052</v>
      </c>
      <c r="E5559" t="s">
        <v>23991</v>
      </c>
      <c r="F5559" t="s">
        <v>32831</v>
      </c>
      <c r="G5559" t="s">
        <v>32839</v>
      </c>
      <c r="H5559" t="s">
        <v>32849</v>
      </c>
      <c r="I5559" t="s">
        <v>4177</v>
      </c>
      <c r="J5559" t="s">
        <v>36552</v>
      </c>
      <c r="K5559" t="s">
        <v>42770</v>
      </c>
      <c r="M5559" t="s">
        <v>44797</v>
      </c>
      <c r="N5559" t="s">
        <v>47424</v>
      </c>
      <c r="O5559" t="s">
        <v>47425</v>
      </c>
      <c r="P5559">
        <v>0</v>
      </c>
      <c r="Q5559">
        <v>1</v>
      </c>
      <c r="R5559" t="s">
        <v>47430</v>
      </c>
      <c r="S5559" t="s">
        <v>47549</v>
      </c>
      <c r="T5559" t="s">
        <v>49198</v>
      </c>
      <c r="U5559" t="s">
        <v>53970</v>
      </c>
      <c r="V5559" t="s">
        <v>63083</v>
      </c>
      <c r="W5559" t="s">
        <v>44797</v>
      </c>
      <c r="X5559" t="s">
        <v>47431</v>
      </c>
    </row>
    <row r="5560" spans="1:24">
      <c r="A5560">
        <f>HYPERLINK("https://www.philgeps.gov.ph/GEPSNONPILOT/Tender/SplashBidNoticeAbstractUI.aspx?menuIndex=3&amp;refID=7161205&amp;Result=3","7161205")</f>
        <v>0</v>
      </c>
      <c r="B5560" t="s">
        <v>1614</v>
      </c>
      <c r="C5560" t="s">
        <v>9154</v>
      </c>
      <c r="D5560" t="s">
        <v>19064</v>
      </c>
      <c r="E5560" t="s">
        <v>23992</v>
      </c>
      <c r="F5560" t="s">
        <v>32831</v>
      </c>
      <c r="G5560" t="s">
        <v>32839</v>
      </c>
      <c r="H5560" t="s">
        <v>32848</v>
      </c>
      <c r="I5560" t="s">
        <v>7416</v>
      </c>
      <c r="J5560" t="s">
        <v>36553</v>
      </c>
      <c r="K5560" t="s">
        <v>42727</v>
      </c>
      <c r="M5560" t="s">
        <v>44730</v>
      </c>
      <c r="N5560" t="s">
        <v>47424</v>
      </c>
      <c r="O5560" t="s">
        <v>47425</v>
      </c>
      <c r="P5560">
        <v>0</v>
      </c>
      <c r="Q5560">
        <v>0</v>
      </c>
      <c r="R5560" t="s">
        <v>47430</v>
      </c>
      <c r="S5560" t="s">
        <v>47549</v>
      </c>
      <c r="T5560" t="s">
        <v>49132</v>
      </c>
      <c r="U5560" t="s">
        <v>54365</v>
      </c>
      <c r="W5560" t="s">
        <v>64478</v>
      </c>
      <c r="X5560" t="s">
        <v>47431</v>
      </c>
    </row>
    <row r="5561" spans="1:24">
      <c r="A5561">
        <f>HYPERLINK("https://www.philgeps.gov.ph/GEPSNONPILOT/Tender/SplashBidNoticeAbstractUI.aspx?menuIndex=3&amp;refID=7161141&amp;Result=3","7161141")</f>
        <v>0</v>
      </c>
      <c r="B5561" t="s">
        <v>1218</v>
      </c>
      <c r="C5561" t="s">
        <v>9155</v>
      </c>
      <c r="D5561" t="s">
        <v>19030</v>
      </c>
      <c r="E5561" t="s">
        <v>23993</v>
      </c>
      <c r="F5561" t="s">
        <v>32831</v>
      </c>
      <c r="G5561" t="s">
        <v>32840</v>
      </c>
      <c r="H5561" t="s">
        <v>32848</v>
      </c>
      <c r="I5561" t="s">
        <v>32857</v>
      </c>
      <c r="J5561" t="s">
        <v>36554</v>
      </c>
      <c r="K5561" t="s">
        <v>42732</v>
      </c>
      <c r="M5561" t="s">
        <v>44286</v>
      </c>
      <c r="N5561" t="s">
        <v>47424</v>
      </c>
      <c r="O5561" t="s">
        <v>47425</v>
      </c>
      <c r="P5561">
        <v>0</v>
      </c>
      <c r="Q5561">
        <v>14</v>
      </c>
      <c r="R5561" t="s">
        <v>47430</v>
      </c>
      <c r="S5561" t="s">
        <v>47549</v>
      </c>
      <c r="T5561" t="s">
        <v>49124</v>
      </c>
      <c r="U5561" t="s">
        <v>54366</v>
      </c>
      <c r="V5561" t="s">
        <v>62926</v>
      </c>
      <c r="W5561" t="s">
        <v>44286</v>
      </c>
      <c r="X5561" t="s">
        <v>47431</v>
      </c>
    </row>
    <row r="5562" spans="1:24">
      <c r="A5562">
        <f>HYPERLINK("https://www.philgeps.gov.ph/GEPSNONPILOT/Tender/SplashBidNoticeAbstractUI.aspx?menuIndex=3&amp;refID=7161190&amp;Result=3","7161190")</f>
        <v>0</v>
      </c>
      <c r="B5562" t="s">
        <v>952</v>
      </c>
      <c r="C5562" t="s">
        <v>9156</v>
      </c>
      <c r="D5562" t="s">
        <v>19022</v>
      </c>
      <c r="E5562" t="s">
        <v>23994</v>
      </c>
      <c r="F5562" t="s">
        <v>32831</v>
      </c>
      <c r="G5562" t="s">
        <v>32839</v>
      </c>
      <c r="H5562" t="s">
        <v>32848</v>
      </c>
      <c r="I5562" t="s">
        <v>32857</v>
      </c>
      <c r="J5562" t="s">
        <v>34437</v>
      </c>
      <c r="K5562" t="s">
        <v>42779</v>
      </c>
      <c r="M5562" t="s">
        <v>43998</v>
      </c>
      <c r="N5562" t="s">
        <v>47424</v>
      </c>
      <c r="O5562" t="s">
        <v>47425</v>
      </c>
      <c r="P5562">
        <v>0</v>
      </c>
      <c r="Q5562">
        <v>3</v>
      </c>
      <c r="R5562" t="s">
        <v>47430</v>
      </c>
      <c r="S5562" t="s">
        <v>47549</v>
      </c>
      <c r="T5562" t="s">
        <v>49160</v>
      </c>
      <c r="U5562" t="s">
        <v>54367</v>
      </c>
      <c r="W5562" t="s">
        <v>43998</v>
      </c>
      <c r="X5562" t="s">
        <v>47431</v>
      </c>
    </row>
    <row r="5563" spans="1:24">
      <c r="A5563">
        <f>HYPERLINK("https://www.philgeps.gov.ph/GEPSNONPILOT/Tender/SplashBidNoticeAbstractUI.aspx?menuIndex=3&amp;refID=7161005&amp;Result=3","7161005")</f>
        <v>0</v>
      </c>
      <c r="B5563" t="s">
        <v>103</v>
      </c>
      <c r="C5563" t="s">
        <v>9157</v>
      </c>
      <c r="D5563" t="s">
        <v>19056</v>
      </c>
      <c r="E5563" t="s">
        <v>23995</v>
      </c>
      <c r="F5563" t="s">
        <v>32831</v>
      </c>
      <c r="G5563" t="s">
        <v>32838</v>
      </c>
      <c r="H5563" t="s">
        <v>32848</v>
      </c>
      <c r="I5563" t="s">
        <v>10805</v>
      </c>
      <c r="J5563" t="s">
        <v>33041</v>
      </c>
      <c r="K5563" t="s">
        <v>42742</v>
      </c>
      <c r="L5563" t="s">
        <v>103</v>
      </c>
      <c r="M5563" t="s">
        <v>43100</v>
      </c>
      <c r="N5563" t="s">
        <v>47424</v>
      </c>
      <c r="O5563" t="s">
        <v>47425</v>
      </c>
      <c r="P5563">
        <v>0</v>
      </c>
      <c r="Q5563">
        <v>1</v>
      </c>
      <c r="R5563" t="s">
        <v>47430</v>
      </c>
      <c r="S5563" t="s">
        <v>47549</v>
      </c>
      <c r="T5563" t="s">
        <v>49141</v>
      </c>
      <c r="U5563" t="s">
        <v>49808</v>
      </c>
      <c r="W5563" t="s">
        <v>43100</v>
      </c>
      <c r="X5563" t="s">
        <v>47431</v>
      </c>
    </row>
    <row r="5564" spans="1:24">
      <c r="A5564">
        <f>HYPERLINK("https://www.philgeps.gov.ph/GEPSNONPILOT/Tender/SplashBidNoticeAbstractUI.aspx?menuIndex=3&amp;refID=7161003&amp;Result=3","7161003")</f>
        <v>0</v>
      </c>
      <c r="B5564" t="s">
        <v>2021</v>
      </c>
      <c r="C5564" t="s">
        <v>9158</v>
      </c>
      <c r="D5564" t="s">
        <v>19021</v>
      </c>
      <c r="E5564" t="s">
        <v>22035</v>
      </c>
      <c r="F5564" t="s">
        <v>32831</v>
      </c>
      <c r="G5564" t="s">
        <v>32839</v>
      </c>
      <c r="H5564" t="s">
        <v>32848</v>
      </c>
      <c r="I5564" t="s">
        <v>4471</v>
      </c>
      <c r="J5564" t="s">
        <v>36555</v>
      </c>
      <c r="K5564" t="s">
        <v>42730</v>
      </c>
      <c r="M5564" t="s">
        <v>45188</v>
      </c>
      <c r="N5564" t="s">
        <v>47424</v>
      </c>
      <c r="O5564" t="s">
        <v>47425</v>
      </c>
      <c r="P5564">
        <v>0</v>
      </c>
      <c r="Q5564">
        <v>7</v>
      </c>
      <c r="R5564" t="s">
        <v>47430</v>
      </c>
      <c r="S5564" t="s">
        <v>47549</v>
      </c>
      <c r="T5564" t="s">
        <v>49072</v>
      </c>
      <c r="U5564" t="s">
        <v>54368</v>
      </c>
      <c r="W5564" t="s">
        <v>45188</v>
      </c>
      <c r="X5564" t="s">
        <v>47431</v>
      </c>
    </row>
    <row r="5565" spans="1:24">
      <c r="A5565">
        <f>HYPERLINK("https://www.philgeps.gov.ph/GEPSNONPILOT/Tender/SplashBidNoticeAbstractUI.aspx?menuIndex=3&amp;refID=7161061&amp;Result=3","7161061")</f>
        <v>0</v>
      </c>
      <c r="B5565" t="s">
        <v>693</v>
      </c>
      <c r="C5565" t="s">
        <v>9159</v>
      </c>
      <c r="D5565" t="s">
        <v>19073</v>
      </c>
      <c r="E5565" t="s">
        <v>20444</v>
      </c>
      <c r="F5565" t="s">
        <v>32831</v>
      </c>
      <c r="G5565" t="s">
        <v>32840</v>
      </c>
      <c r="H5565" t="s">
        <v>32848</v>
      </c>
      <c r="I5565" t="s">
        <v>4222</v>
      </c>
      <c r="J5565" t="s">
        <v>36556</v>
      </c>
      <c r="K5565" t="s">
        <v>42731</v>
      </c>
      <c r="M5565" t="s">
        <v>43712</v>
      </c>
      <c r="N5565" t="s">
        <v>47424</v>
      </c>
      <c r="O5565" t="s">
        <v>47425</v>
      </c>
      <c r="P5565">
        <v>0</v>
      </c>
      <c r="Q5565">
        <v>0</v>
      </c>
      <c r="R5565" t="s">
        <v>47430</v>
      </c>
      <c r="S5565" t="s">
        <v>47549</v>
      </c>
      <c r="T5565" t="s">
        <v>49108</v>
      </c>
      <c r="U5565" t="s">
        <v>54369</v>
      </c>
      <c r="W5565" t="s">
        <v>43712</v>
      </c>
      <c r="X5565" t="s">
        <v>47431</v>
      </c>
    </row>
    <row r="5566" spans="1:24">
      <c r="A5566">
        <f>HYPERLINK("https://www.philgeps.gov.ph/GEPSNONPILOT/Tender/SplashBidNoticeAbstractUI.aspx?menuIndex=3&amp;refID=7160684&amp;Result=3","7160684")</f>
        <v>0</v>
      </c>
      <c r="B5566" t="s">
        <v>152</v>
      </c>
      <c r="C5566" t="s">
        <v>9160</v>
      </c>
      <c r="D5566" t="s">
        <v>19068</v>
      </c>
      <c r="E5566" t="s">
        <v>23996</v>
      </c>
      <c r="F5566" t="s">
        <v>32831</v>
      </c>
      <c r="G5566" t="s">
        <v>32838</v>
      </c>
      <c r="H5566" t="s">
        <v>32848</v>
      </c>
      <c r="I5566" t="s">
        <v>7416</v>
      </c>
      <c r="J5566" t="s">
        <v>36557</v>
      </c>
      <c r="K5566" t="s">
        <v>42731</v>
      </c>
      <c r="M5566" t="s">
        <v>43149</v>
      </c>
      <c r="N5566" t="s">
        <v>47424</v>
      </c>
      <c r="O5566" t="s">
        <v>47425</v>
      </c>
      <c r="P5566">
        <v>0</v>
      </c>
      <c r="Q5566">
        <v>0</v>
      </c>
      <c r="R5566" t="s">
        <v>47430</v>
      </c>
      <c r="S5566" t="s">
        <v>47549</v>
      </c>
      <c r="T5566" t="s">
        <v>49163</v>
      </c>
      <c r="U5566" t="s">
        <v>54370</v>
      </c>
      <c r="W5566" t="s">
        <v>43149</v>
      </c>
      <c r="X5566" t="s">
        <v>47431</v>
      </c>
    </row>
    <row r="5567" spans="1:24">
      <c r="A5567">
        <f>HYPERLINK("https://www.philgeps.gov.ph/GEPSNONPILOT/Tender/SplashBidNoticeAbstractUI.aspx?menuIndex=3&amp;refID=7160683&amp;Result=3","7160683")</f>
        <v>0</v>
      </c>
      <c r="B5567" t="s">
        <v>460</v>
      </c>
      <c r="C5567" t="s">
        <v>9161</v>
      </c>
      <c r="D5567" t="s">
        <v>19086</v>
      </c>
      <c r="E5567" t="s">
        <v>23997</v>
      </c>
      <c r="F5567" t="s">
        <v>32831</v>
      </c>
      <c r="G5567" t="s">
        <v>32839</v>
      </c>
      <c r="H5567" t="s">
        <v>32849</v>
      </c>
      <c r="I5567" t="s">
        <v>4177</v>
      </c>
      <c r="J5567" t="s">
        <v>36338</v>
      </c>
      <c r="K5567" t="s">
        <v>42757</v>
      </c>
      <c r="M5567" t="s">
        <v>45122</v>
      </c>
      <c r="N5567" t="s">
        <v>47424</v>
      </c>
      <c r="O5567" t="s">
        <v>47425</v>
      </c>
      <c r="P5567">
        <v>0</v>
      </c>
      <c r="Q5567">
        <v>0</v>
      </c>
      <c r="R5567" t="s">
        <v>47430</v>
      </c>
      <c r="S5567" t="s">
        <v>47549</v>
      </c>
      <c r="T5567" t="s">
        <v>49147</v>
      </c>
      <c r="U5567" t="s">
        <v>54371</v>
      </c>
      <c r="W5567" t="s">
        <v>45122</v>
      </c>
      <c r="X5567" t="s">
        <v>47431</v>
      </c>
    </row>
    <row r="5568" spans="1:24">
      <c r="A5568">
        <f>HYPERLINK("https://www.philgeps.gov.ph/GEPSNONPILOT/Tender/SplashBidNoticeAbstractUI.aspx?menuIndex=3&amp;refID=7161007&amp;Result=3","7161007")</f>
        <v>0</v>
      </c>
      <c r="B5568" t="s">
        <v>1093</v>
      </c>
      <c r="C5568" t="s">
        <v>9162</v>
      </c>
      <c r="D5568" t="s">
        <v>19017</v>
      </c>
      <c r="E5568" t="s">
        <v>23998</v>
      </c>
      <c r="F5568" t="s">
        <v>32831</v>
      </c>
      <c r="G5568" t="s">
        <v>32842</v>
      </c>
      <c r="H5568" t="s">
        <v>32848</v>
      </c>
      <c r="I5568" t="s">
        <v>9577</v>
      </c>
      <c r="J5568" t="s">
        <v>36558</v>
      </c>
      <c r="K5568" t="s">
        <v>42732</v>
      </c>
      <c r="M5568" t="s">
        <v>44573</v>
      </c>
      <c r="N5568" t="s">
        <v>47424</v>
      </c>
      <c r="O5568" t="s">
        <v>47425</v>
      </c>
      <c r="P5568">
        <v>0</v>
      </c>
      <c r="Q5568">
        <v>7</v>
      </c>
      <c r="R5568" t="s">
        <v>47430</v>
      </c>
      <c r="S5568" t="s">
        <v>47549</v>
      </c>
      <c r="T5568" t="s">
        <v>49229</v>
      </c>
      <c r="U5568" t="s">
        <v>54372</v>
      </c>
      <c r="W5568" t="s">
        <v>44573</v>
      </c>
      <c r="X5568" t="s">
        <v>47431</v>
      </c>
    </row>
    <row r="5569" spans="1:24">
      <c r="A5569">
        <f>HYPERLINK("https://www.philgeps.gov.ph/GEPSNONPILOT/Tender/SplashBidNoticeAbstractUI.aspx?menuIndex=3&amp;refID=7159760&amp;Result=3","7159760")</f>
        <v>0</v>
      </c>
      <c r="B5569" t="s">
        <v>1822</v>
      </c>
      <c r="C5569" t="s">
        <v>8269</v>
      </c>
      <c r="D5569" t="s">
        <v>19017</v>
      </c>
      <c r="E5569" t="s">
        <v>23999</v>
      </c>
      <c r="F5569" t="s">
        <v>32831</v>
      </c>
      <c r="G5569" t="s">
        <v>32839</v>
      </c>
      <c r="H5569" t="s">
        <v>32848</v>
      </c>
      <c r="I5569" t="s">
        <v>32857</v>
      </c>
      <c r="J5569" t="s">
        <v>36559</v>
      </c>
      <c r="K5569" t="s">
        <v>42727</v>
      </c>
      <c r="M5569" t="s">
        <v>44955</v>
      </c>
      <c r="N5569" t="s">
        <v>47424</v>
      </c>
      <c r="O5569" t="s">
        <v>47425</v>
      </c>
      <c r="P5569">
        <v>0</v>
      </c>
      <c r="Q5569">
        <v>4</v>
      </c>
      <c r="R5569" t="s">
        <v>47430</v>
      </c>
      <c r="S5569" t="s">
        <v>47549</v>
      </c>
      <c r="T5569" t="s">
        <v>49267</v>
      </c>
      <c r="U5569" t="s">
        <v>54373</v>
      </c>
      <c r="W5569" t="s">
        <v>44955</v>
      </c>
      <c r="X5569" t="s">
        <v>47431</v>
      </c>
    </row>
    <row r="5570" spans="1:24">
      <c r="A5570">
        <f>HYPERLINK("https://www.philgeps.gov.ph/GEPSNONPILOT/Tender/SplashBidNoticeAbstractUI.aspx?menuIndex=3&amp;refID=7161004&amp;Result=3","7161004")</f>
        <v>0</v>
      </c>
      <c r="B5570" t="s">
        <v>935</v>
      </c>
      <c r="C5570" t="s">
        <v>9163</v>
      </c>
      <c r="D5570" t="s">
        <v>19044</v>
      </c>
      <c r="E5570" t="s">
        <v>24000</v>
      </c>
      <c r="F5570" t="s">
        <v>32831</v>
      </c>
      <c r="G5570" t="s">
        <v>32838</v>
      </c>
      <c r="H5570" t="s">
        <v>32848</v>
      </c>
      <c r="I5570" t="s">
        <v>32864</v>
      </c>
      <c r="J5570" t="s">
        <v>33087</v>
      </c>
      <c r="K5570" t="s">
        <v>42732</v>
      </c>
      <c r="M5570" t="s">
        <v>43977</v>
      </c>
      <c r="N5570" t="s">
        <v>47424</v>
      </c>
      <c r="O5570" t="s">
        <v>47425</v>
      </c>
      <c r="P5570">
        <v>0</v>
      </c>
      <c r="Q5570">
        <v>6</v>
      </c>
      <c r="R5570" t="s">
        <v>47430</v>
      </c>
      <c r="S5570" t="s">
        <v>47549</v>
      </c>
      <c r="T5570" t="s">
        <v>49214</v>
      </c>
      <c r="U5570" t="s">
        <v>54374</v>
      </c>
      <c r="W5570" t="s">
        <v>43977</v>
      </c>
      <c r="X5570" t="s">
        <v>47431</v>
      </c>
    </row>
    <row r="5571" spans="1:24">
      <c r="A5571">
        <f>HYPERLINK("https://www.philgeps.gov.ph/GEPSNONPILOT/Tender/SplashBidNoticeAbstractUI.aspx?menuIndex=3&amp;refID=7159758&amp;Result=3","7159758")</f>
        <v>0</v>
      </c>
      <c r="B5571" t="s">
        <v>1811</v>
      </c>
      <c r="C5571" t="s">
        <v>9164</v>
      </c>
      <c r="D5571" t="s">
        <v>19027</v>
      </c>
      <c r="E5571" t="s">
        <v>24001</v>
      </c>
      <c r="F5571" t="s">
        <v>32831</v>
      </c>
      <c r="G5571" t="s">
        <v>32838</v>
      </c>
      <c r="H5571" t="s">
        <v>32849</v>
      </c>
      <c r="I5571" t="s">
        <v>4177</v>
      </c>
      <c r="J5571" t="s">
        <v>34203</v>
      </c>
      <c r="K5571" t="s">
        <v>42730</v>
      </c>
      <c r="M5571" t="s">
        <v>44944</v>
      </c>
      <c r="N5571" t="s">
        <v>47424</v>
      </c>
      <c r="O5571" t="s">
        <v>47425</v>
      </c>
      <c r="P5571">
        <v>0</v>
      </c>
      <c r="Q5571">
        <v>0</v>
      </c>
      <c r="R5571" t="s">
        <v>47430</v>
      </c>
      <c r="S5571" t="s">
        <v>47549</v>
      </c>
      <c r="T5571" t="s">
        <v>49119</v>
      </c>
      <c r="U5571" t="s">
        <v>54375</v>
      </c>
      <c r="W5571" t="s">
        <v>44944</v>
      </c>
      <c r="X5571" t="s">
        <v>47431</v>
      </c>
    </row>
    <row r="5572" spans="1:24">
      <c r="A5572">
        <f>HYPERLINK("https://www.philgeps.gov.ph/GEPSNONPILOT/Tender/SplashBidNoticeAbstractUI.aspx?menuIndex=3&amp;refID=7161009&amp;Result=3","7161009")</f>
        <v>0</v>
      </c>
      <c r="B5572" t="s">
        <v>1756</v>
      </c>
      <c r="C5572" t="s">
        <v>9165</v>
      </c>
      <c r="D5572" t="s">
        <v>19021</v>
      </c>
      <c r="E5572" t="s">
        <v>24002</v>
      </c>
      <c r="F5572" t="s">
        <v>32831</v>
      </c>
      <c r="G5572" t="s">
        <v>32840</v>
      </c>
      <c r="H5572" t="s">
        <v>32848</v>
      </c>
      <c r="I5572" t="s">
        <v>5379</v>
      </c>
      <c r="J5572" t="s">
        <v>33086</v>
      </c>
      <c r="K5572" t="s">
        <v>42748</v>
      </c>
      <c r="M5572" t="s">
        <v>44880</v>
      </c>
      <c r="N5572" t="s">
        <v>47424</v>
      </c>
      <c r="O5572" t="s">
        <v>47425</v>
      </c>
      <c r="P5572">
        <v>0</v>
      </c>
      <c r="Q5572">
        <v>0</v>
      </c>
      <c r="R5572" t="s">
        <v>47430</v>
      </c>
      <c r="S5572" t="s">
        <v>47549</v>
      </c>
      <c r="T5572" t="s">
        <v>49100</v>
      </c>
      <c r="U5572" t="s">
        <v>54376</v>
      </c>
      <c r="W5572" t="s">
        <v>44880</v>
      </c>
      <c r="X5572" t="s">
        <v>47431</v>
      </c>
    </row>
    <row r="5573" spans="1:24">
      <c r="A5573">
        <f>HYPERLINK("https://www.philgeps.gov.ph/GEPSNONPILOT/Tender/SplashBidNoticeAbstractUI.aspx?menuIndex=3&amp;refID=7159754&amp;Result=3","7159754")</f>
        <v>0</v>
      </c>
      <c r="B5573" t="s">
        <v>669</v>
      </c>
      <c r="C5573" t="s">
        <v>5283</v>
      </c>
      <c r="D5573" t="s">
        <v>19022</v>
      </c>
      <c r="E5573" t="s">
        <v>24003</v>
      </c>
      <c r="F5573" t="s">
        <v>32831</v>
      </c>
      <c r="G5573" t="s">
        <v>32838</v>
      </c>
      <c r="H5573" t="s">
        <v>32848</v>
      </c>
      <c r="I5573" t="s">
        <v>4438</v>
      </c>
      <c r="J5573" t="s">
        <v>36560</v>
      </c>
      <c r="K5573" t="s">
        <v>42726</v>
      </c>
      <c r="M5573" t="s">
        <v>43688</v>
      </c>
      <c r="N5573" t="s">
        <v>47424</v>
      </c>
      <c r="O5573" t="s">
        <v>47425</v>
      </c>
      <c r="P5573">
        <v>0</v>
      </c>
      <c r="Q5573">
        <v>1</v>
      </c>
      <c r="R5573" t="s">
        <v>47430</v>
      </c>
      <c r="S5573" t="s">
        <v>47549</v>
      </c>
      <c r="T5573" t="s">
        <v>49111</v>
      </c>
      <c r="U5573" t="s">
        <v>54377</v>
      </c>
      <c r="W5573" t="s">
        <v>43688</v>
      </c>
      <c r="X5573" t="s">
        <v>47431</v>
      </c>
    </row>
    <row r="5574" spans="1:24">
      <c r="A5574">
        <f>HYPERLINK("https://www.philgeps.gov.ph/GEPSNONPILOT/Tender/SplashBidNoticeAbstractUI.aspx?menuIndex=3&amp;refID=7159617&amp;Result=3","7159617")</f>
        <v>0</v>
      </c>
      <c r="B5574" t="s">
        <v>1833</v>
      </c>
      <c r="C5574" t="s">
        <v>9166</v>
      </c>
      <c r="D5574" t="s">
        <v>19047</v>
      </c>
      <c r="E5574" t="s">
        <v>22699</v>
      </c>
      <c r="F5574" t="s">
        <v>32831</v>
      </c>
      <c r="G5574" t="s">
        <v>32840</v>
      </c>
      <c r="H5574" t="s">
        <v>32848</v>
      </c>
      <c r="I5574" t="s">
        <v>32855</v>
      </c>
      <c r="J5574" t="s">
        <v>34816</v>
      </c>
      <c r="K5574" t="s">
        <v>42726</v>
      </c>
      <c r="M5574" t="s">
        <v>44967</v>
      </c>
      <c r="N5574" t="s">
        <v>47424</v>
      </c>
      <c r="O5574" t="s">
        <v>47425</v>
      </c>
      <c r="P5574">
        <v>0</v>
      </c>
      <c r="Q5574">
        <v>16</v>
      </c>
      <c r="R5574" t="s">
        <v>47430</v>
      </c>
      <c r="S5574" t="s">
        <v>47549</v>
      </c>
      <c r="T5574" t="s">
        <v>49163</v>
      </c>
      <c r="U5574" t="s">
        <v>54378</v>
      </c>
      <c r="W5574" t="s">
        <v>44967</v>
      </c>
      <c r="X5574" t="s">
        <v>47431</v>
      </c>
    </row>
    <row r="5575" spans="1:24">
      <c r="A5575">
        <f>HYPERLINK("https://www.philgeps.gov.ph/GEPSNONPILOT/Tender/SplashBidNoticeAbstractUI.aspx?menuIndex=3&amp;refID=7159759&amp;Result=3","7159759")</f>
        <v>0</v>
      </c>
      <c r="B5575" t="s">
        <v>609</v>
      </c>
      <c r="C5575" t="s">
        <v>9167</v>
      </c>
      <c r="D5575" t="s">
        <v>19017</v>
      </c>
      <c r="E5575" t="s">
        <v>24004</v>
      </c>
      <c r="F5575" t="s">
        <v>32831</v>
      </c>
      <c r="G5575" t="s">
        <v>32840</v>
      </c>
      <c r="H5575" t="s">
        <v>32848</v>
      </c>
      <c r="I5575" t="s">
        <v>32933</v>
      </c>
      <c r="J5575" t="s">
        <v>36561</v>
      </c>
      <c r="K5575" t="s">
        <v>42732</v>
      </c>
      <c r="M5575" t="s">
        <v>43623</v>
      </c>
      <c r="N5575" t="s">
        <v>47424</v>
      </c>
      <c r="O5575" t="s">
        <v>47425</v>
      </c>
      <c r="P5575">
        <v>0</v>
      </c>
      <c r="Q5575">
        <v>15</v>
      </c>
      <c r="R5575" t="s">
        <v>47430</v>
      </c>
      <c r="S5575" t="s">
        <v>47549</v>
      </c>
      <c r="T5575" t="s">
        <v>49107</v>
      </c>
      <c r="U5575" t="s">
        <v>54379</v>
      </c>
      <c r="W5575" t="s">
        <v>43623</v>
      </c>
      <c r="X5575" t="s">
        <v>47431</v>
      </c>
    </row>
    <row r="5576" spans="1:24">
      <c r="A5576">
        <f>HYPERLINK("https://www.philgeps.gov.ph/GEPSNONPILOT/Tender/SplashBidNoticeAbstractUI.aspx?menuIndex=3&amp;refID=7159615&amp;Result=3","7159615")</f>
        <v>0</v>
      </c>
      <c r="B5576" t="s">
        <v>1806</v>
      </c>
      <c r="C5576" t="s">
        <v>9168</v>
      </c>
      <c r="D5576" t="s">
        <v>19090</v>
      </c>
      <c r="E5576" t="s">
        <v>24005</v>
      </c>
      <c r="F5576" t="s">
        <v>32831</v>
      </c>
      <c r="G5576" t="s">
        <v>32839</v>
      </c>
      <c r="H5576" t="s">
        <v>32849</v>
      </c>
      <c r="I5576" t="s">
        <v>4177</v>
      </c>
      <c r="J5576" t="s">
        <v>36562</v>
      </c>
      <c r="K5576" t="s">
        <v>42865</v>
      </c>
      <c r="M5576" t="s">
        <v>44939</v>
      </c>
      <c r="N5576" t="s">
        <v>47424</v>
      </c>
      <c r="O5576" t="s">
        <v>47425</v>
      </c>
      <c r="P5576">
        <v>0</v>
      </c>
      <c r="Q5576">
        <v>0</v>
      </c>
      <c r="R5576" t="s">
        <v>47430</v>
      </c>
      <c r="S5576" t="s">
        <v>47549</v>
      </c>
      <c r="T5576" t="s">
        <v>49236</v>
      </c>
      <c r="U5576" t="s">
        <v>53544</v>
      </c>
      <c r="W5576" t="s">
        <v>44939</v>
      </c>
      <c r="X5576" t="s">
        <v>47431</v>
      </c>
    </row>
    <row r="5577" spans="1:24">
      <c r="A5577">
        <f>HYPERLINK("https://www.philgeps.gov.ph/GEPSNONPILOT/Tender/SplashBidNoticeAbstractUI.aspx?menuIndex=3&amp;refID=7161001&amp;Result=3","7161001")</f>
        <v>0</v>
      </c>
      <c r="B5577" t="s">
        <v>827</v>
      </c>
      <c r="C5577" t="s">
        <v>9169</v>
      </c>
      <c r="D5577" t="s">
        <v>19026</v>
      </c>
      <c r="E5577" t="s">
        <v>24006</v>
      </c>
      <c r="F5577" t="s">
        <v>32831</v>
      </c>
      <c r="G5577" t="s">
        <v>32841</v>
      </c>
      <c r="H5577" t="s">
        <v>32848</v>
      </c>
      <c r="I5577" t="s">
        <v>4487</v>
      </c>
      <c r="J5577" t="s">
        <v>36563</v>
      </c>
      <c r="K5577" t="s">
        <v>42730</v>
      </c>
      <c r="M5577" t="s">
        <v>43858</v>
      </c>
      <c r="N5577" t="s">
        <v>47424</v>
      </c>
      <c r="O5577" t="s">
        <v>47425</v>
      </c>
      <c r="P5577">
        <v>0</v>
      </c>
      <c r="Q5577">
        <v>5</v>
      </c>
      <c r="R5577" t="s">
        <v>47430</v>
      </c>
      <c r="S5577" t="s">
        <v>47549</v>
      </c>
      <c r="T5577" t="s">
        <v>49198</v>
      </c>
      <c r="U5577" t="s">
        <v>54380</v>
      </c>
      <c r="W5577" t="s">
        <v>43858</v>
      </c>
      <c r="X5577" t="s">
        <v>47431</v>
      </c>
    </row>
    <row r="5578" spans="1:24">
      <c r="A5578">
        <f>HYPERLINK("https://www.philgeps.gov.ph/GEPSNONPILOT/Tender/SplashBidNoticeAbstractUI.aspx?menuIndex=3&amp;refID=7160682&amp;Result=3","7160682")</f>
        <v>0</v>
      </c>
      <c r="B5578" t="s">
        <v>693</v>
      </c>
      <c r="C5578" t="s">
        <v>9170</v>
      </c>
      <c r="D5578" t="s">
        <v>19073</v>
      </c>
      <c r="E5578" t="s">
        <v>20444</v>
      </c>
      <c r="F5578" t="s">
        <v>32831</v>
      </c>
      <c r="G5578" t="s">
        <v>32840</v>
      </c>
      <c r="H5578" t="s">
        <v>32848</v>
      </c>
      <c r="I5578" t="s">
        <v>32862</v>
      </c>
      <c r="J5578" t="s">
        <v>34132</v>
      </c>
      <c r="K5578" t="s">
        <v>42731</v>
      </c>
      <c r="M5578" t="s">
        <v>43712</v>
      </c>
      <c r="N5578" t="s">
        <v>47424</v>
      </c>
      <c r="O5578" t="s">
        <v>47425</v>
      </c>
      <c r="P5578">
        <v>0</v>
      </c>
      <c r="Q5578">
        <v>0</v>
      </c>
      <c r="R5578" t="s">
        <v>47430</v>
      </c>
      <c r="S5578" t="s">
        <v>47549</v>
      </c>
      <c r="T5578" t="s">
        <v>49108</v>
      </c>
      <c r="U5578" t="s">
        <v>54381</v>
      </c>
      <c r="W5578" t="s">
        <v>43712</v>
      </c>
      <c r="X5578" t="s">
        <v>47431</v>
      </c>
    </row>
    <row r="5579" spans="1:24">
      <c r="A5579">
        <f>HYPERLINK("https://www.philgeps.gov.ph/GEPSNONPILOT/Tender/SplashBidNoticeAbstractUI.aspx?menuIndex=3&amp;refID=7159616&amp;Result=3","7159616")</f>
        <v>0</v>
      </c>
      <c r="B5579" t="s">
        <v>2047</v>
      </c>
      <c r="C5579" t="s">
        <v>9171</v>
      </c>
      <c r="D5579" t="s">
        <v>19023</v>
      </c>
      <c r="E5579" t="s">
        <v>22757</v>
      </c>
      <c r="F5579" t="s">
        <v>32831</v>
      </c>
      <c r="G5579" t="s">
        <v>32839</v>
      </c>
      <c r="H5579" t="s">
        <v>32848</v>
      </c>
      <c r="I5579" t="s">
        <v>4776</v>
      </c>
      <c r="J5579" t="s">
        <v>34061</v>
      </c>
      <c r="K5579" t="s">
        <v>42779</v>
      </c>
      <c r="M5579" t="s">
        <v>45217</v>
      </c>
      <c r="N5579" t="s">
        <v>47424</v>
      </c>
      <c r="O5579" t="s">
        <v>47425</v>
      </c>
      <c r="P5579">
        <v>0</v>
      </c>
      <c r="Q5579">
        <v>6</v>
      </c>
      <c r="R5579" t="s">
        <v>47430</v>
      </c>
      <c r="S5579" t="s">
        <v>47549</v>
      </c>
      <c r="T5579" t="s">
        <v>49124</v>
      </c>
      <c r="U5579" t="s">
        <v>54382</v>
      </c>
      <c r="W5579" t="s">
        <v>45217</v>
      </c>
      <c r="X5579" t="s">
        <v>47431</v>
      </c>
    </row>
    <row r="5580" spans="1:24">
      <c r="A5580">
        <f>HYPERLINK("https://www.philgeps.gov.ph/GEPSNONPILOT/Tender/SplashBidNoticeAbstractUI.aspx?menuIndex=3&amp;refID=7159757&amp;Result=3","7159757")</f>
        <v>0</v>
      </c>
      <c r="B5580" t="s">
        <v>1361</v>
      </c>
      <c r="C5580" t="s">
        <v>9172</v>
      </c>
      <c r="D5580" t="s">
        <v>19017</v>
      </c>
      <c r="E5580" t="s">
        <v>24007</v>
      </c>
      <c r="F5580" t="s">
        <v>32831</v>
      </c>
      <c r="G5580" t="s">
        <v>32838</v>
      </c>
      <c r="H5580" t="s">
        <v>32848</v>
      </c>
      <c r="I5580" t="s">
        <v>32857</v>
      </c>
      <c r="J5580" t="s">
        <v>32976</v>
      </c>
      <c r="K5580" t="s">
        <v>42726</v>
      </c>
      <c r="M5580" t="s">
        <v>44439</v>
      </c>
      <c r="N5580" t="s">
        <v>47424</v>
      </c>
      <c r="O5580" t="s">
        <v>47425</v>
      </c>
      <c r="P5580">
        <v>0</v>
      </c>
      <c r="Q5580">
        <v>1</v>
      </c>
      <c r="R5580" t="s">
        <v>47430</v>
      </c>
      <c r="S5580" t="s">
        <v>47549</v>
      </c>
      <c r="T5580" t="s">
        <v>49253</v>
      </c>
      <c r="U5580" t="s">
        <v>54383</v>
      </c>
      <c r="W5580" t="s">
        <v>44439</v>
      </c>
      <c r="X5580" t="s">
        <v>47431</v>
      </c>
    </row>
    <row r="5581" spans="1:24">
      <c r="A5581">
        <f>HYPERLINK("https://www.philgeps.gov.ph/GEPSNONPILOT/Tender/SplashBidNoticeAbstractUI.aspx?menuIndex=3&amp;refID=7159614&amp;Result=3","7159614")</f>
        <v>0</v>
      </c>
      <c r="B5581" t="s">
        <v>1863</v>
      </c>
      <c r="C5581" t="s">
        <v>9173</v>
      </c>
      <c r="D5581" t="s">
        <v>19041</v>
      </c>
      <c r="E5581" t="s">
        <v>24008</v>
      </c>
      <c r="F5581" t="s">
        <v>32831</v>
      </c>
      <c r="G5581" t="s">
        <v>32839</v>
      </c>
      <c r="H5581" t="s">
        <v>32848</v>
      </c>
      <c r="I5581" t="s">
        <v>7751</v>
      </c>
      <c r="J5581" t="s">
        <v>36020</v>
      </c>
      <c r="K5581" t="s">
        <v>42745</v>
      </c>
      <c r="M5581" t="s">
        <v>45002</v>
      </c>
      <c r="N5581" t="s">
        <v>47424</v>
      </c>
      <c r="O5581" t="s">
        <v>47425</v>
      </c>
      <c r="P5581">
        <v>0</v>
      </c>
      <c r="Q5581">
        <v>3</v>
      </c>
      <c r="R5581" t="s">
        <v>47430</v>
      </c>
      <c r="S5581" t="s">
        <v>47549</v>
      </c>
      <c r="T5581" t="s">
        <v>49428</v>
      </c>
      <c r="U5581" t="s">
        <v>54384</v>
      </c>
      <c r="V5581" t="s">
        <v>63239</v>
      </c>
      <c r="W5581" t="s">
        <v>45002</v>
      </c>
      <c r="X5581" t="s">
        <v>47431</v>
      </c>
    </row>
    <row r="5582" spans="1:24">
      <c r="A5582">
        <f>HYPERLINK("https://www.philgeps.gov.ph/GEPSNONPILOT/Tender/SplashBidNoticeAbstractUI.aspx?menuIndex=3&amp;refID=7159761&amp;Result=3","7159761")</f>
        <v>0</v>
      </c>
      <c r="B5582" t="s">
        <v>904</v>
      </c>
      <c r="C5582" t="s">
        <v>9174</v>
      </c>
      <c r="D5582" t="s">
        <v>19047</v>
      </c>
      <c r="E5582" t="s">
        <v>24009</v>
      </c>
      <c r="F5582" t="s">
        <v>32831</v>
      </c>
      <c r="G5582" t="s">
        <v>32838</v>
      </c>
      <c r="H5582" t="s">
        <v>32848</v>
      </c>
      <c r="I5582" t="s">
        <v>4487</v>
      </c>
      <c r="J5582" t="s">
        <v>36564</v>
      </c>
      <c r="K5582" t="s">
        <v>42759</v>
      </c>
      <c r="M5582" t="s">
        <v>44592</v>
      </c>
      <c r="N5582" t="s">
        <v>47424</v>
      </c>
      <c r="O5582" t="s">
        <v>47425</v>
      </c>
      <c r="P5582">
        <v>0</v>
      </c>
      <c r="Q5582">
        <v>6</v>
      </c>
      <c r="R5582" t="s">
        <v>47430</v>
      </c>
      <c r="S5582" t="s">
        <v>47549</v>
      </c>
      <c r="T5582" t="s">
        <v>49237</v>
      </c>
      <c r="U5582" t="s">
        <v>52713</v>
      </c>
      <c r="V5582" t="s">
        <v>63118</v>
      </c>
      <c r="W5582" t="s">
        <v>44592</v>
      </c>
      <c r="X5582" t="s">
        <v>47431</v>
      </c>
    </row>
    <row r="5583" spans="1:24">
      <c r="A5583">
        <f>HYPERLINK("https://www.philgeps.gov.ph/GEPSNONPILOT/Tender/SplashBidNoticeAbstractUI.aspx?menuIndex=3&amp;refID=7159505&amp;Result=3","7159505")</f>
        <v>0</v>
      </c>
      <c r="B5583" t="s">
        <v>2048</v>
      </c>
      <c r="C5583" t="s">
        <v>9175</v>
      </c>
      <c r="D5583" t="s">
        <v>19023</v>
      </c>
      <c r="E5583" t="s">
        <v>24010</v>
      </c>
      <c r="F5583" t="s">
        <v>32831</v>
      </c>
      <c r="G5583" t="s">
        <v>32839</v>
      </c>
      <c r="H5583" t="s">
        <v>32849</v>
      </c>
      <c r="I5583" t="s">
        <v>4177</v>
      </c>
      <c r="J5583" t="s">
        <v>33087</v>
      </c>
      <c r="K5583" t="s">
        <v>42727</v>
      </c>
      <c r="M5583" t="s">
        <v>45218</v>
      </c>
      <c r="N5583" t="s">
        <v>47424</v>
      </c>
      <c r="O5583" t="s">
        <v>47425</v>
      </c>
      <c r="P5583">
        <v>0</v>
      </c>
      <c r="Q5583">
        <v>0</v>
      </c>
      <c r="R5583" t="s">
        <v>47430</v>
      </c>
      <c r="S5583" t="s">
        <v>47549</v>
      </c>
      <c r="T5583" t="s">
        <v>49104</v>
      </c>
      <c r="U5583" t="s">
        <v>54385</v>
      </c>
      <c r="W5583" t="s">
        <v>45218</v>
      </c>
      <c r="X5583" t="s">
        <v>47431</v>
      </c>
    </row>
    <row r="5584" spans="1:24">
      <c r="A5584">
        <f>HYPERLINK("https://www.philgeps.gov.ph/GEPSNONPILOT/Tender/SplashBidNoticeAbstractUI.aspx?menuIndex=3&amp;refID=7159502&amp;Result=3","7159502")</f>
        <v>0</v>
      </c>
      <c r="B5584" t="s">
        <v>262</v>
      </c>
      <c r="C5584" t="s">
        <v>8051</v>
      </c>
      <c r="D5584" t="s">
        <v>19049</v>
      </c>
      <c r="E5584" t="s">
        <v>24011</v>
      </c>
      <c r="F5584" t="s">
        <v>32831</v>
      </c>
      <c r="G5584" t="s">
        <v>32838</v>
      </c>
      <c r="H5584" t="s">
        <v>32848</v>
      </c>
      <c r="I5584" t="s">
        <v>6526</v>
      </c>
      <c r="J5584" t="s">
        <v>36565</v>
      </c>
      <c r="K5584" t="s">
        <v>42726</v>
      </c>
      <c r="M5584" t="s">
        <v>43261</v>
      </c>
      <c r="N5584" t="s">
        <v>47424</v>
      </c>
      <c r="O5584" t="s">
        <v>47425</v>
      </c>
      <c r="P5584">
        <v>0</v>
      </c>
      <c r="Q5584">
        <v>0</v>
      </c>
      <c r="R5584" t="s">
        <v>47430</v>
      </c>
      <c r="S5584" t="s">
        <v>47549</v>
      </c>
      <c r="T5584" t="s">
        <v>49429</v>
      </c>
      <c r="U5584" t="s">
        <v>54386</v>
      </c>
      <c r="W5584" t="s">
        <v>43261</v>
      </c>
      <c r="X5584" t="s">
        <v>47431</v>
      </c>
    </row>
    <row r="5585" spans="1:24">
      <c r="A5585">
        <f>HYPERLINK("https://www.philgeps.gov.ph/GEPSNONPILOT/Tender/SplashBidNoticeAbstractUI.aspx?menuIndex=3&amp;refID=7159501&amp;Result=3","7159501")</f>
        <v>0</v>
      </c>
      <c r="B5585" t="s">
        <v>2025</v>
      </c>
      <c r="C5585" t="s">
        <v>9176</v>
      </c>
      <c r="D5585" t="s">
        <v>19064</v>
      </c>
      <c r="E5585" t="s">
        <v>24012</v>
      </c>
      <c r="F5585" t="s">
        <v>32831</v>
      </c>
      <c r="G5585" t="s">
        <v>32840</v>
      </c>
      <c r="H5585" t="s">
        <v>32848</v>
      </c>
      <c r="I5585" t="s">
        <v>7416</v>
      </c>
      <c r="J5585" t="s">
        <v>36566</v>
      </c>
      <c r="K5585" t="s">
        <v>42731</v>
      </c>
      <c r="M5585" t="s">
        <v>45193</v>
      </c>
      <c r="N5585" t="s">
        <v>47424</v>
      </c>
      <c r="O5585" t="s">
        <v>47425</v>
      </c>
      <c r="P5585">
        <v>0</v>
      </c>
      <c r="Q5585">
        <v>0</v>
      </c>
      <c r="R5585" t="s">
        <v>47430</v>
      </c>
      <c r="S5585" t="s">
        <v>47549</v>
      </c>
      <c r="T5585" t="s">
        <v>49210</v>
      </c>
      <c r="U5585" t="s">
        <v>54387</v>
      </c>
      <c r="W5585" t="s">
        <v>45193</v>
      </c>
      <c r="X5585" t="s">
        <v>47431</v>
      </c>
    </row>
    <row r="5586" spans="1:24">
      <c r="A5586">
        <f>HYPERLINK("https://www.philgeps.gov.ph/GEPSNONPILOT/Tender/SplashBidNoticeAbstractUI.aspx?menuIndex=3&amp;refID=7159612&amp;Result=3","7159612")</f>
        <v>0</v>
      </c>
      <c r="B5586" t="s">
        <v>904</v>
      </c>
      <c r="C5586" t="s">
        <v>9177</v>
      </c>
      <c r="D5586" t="s">
        <v>19047</v>
      </c>
      <c r="E5586" t="s">
        <v>24013</v>
      </c>
      <c r="F5586" t="s">
        <v>32831</v>
      </c>
      <c r="G5586" t="s">
        <v>32838</v>
      </c>
      <c r="H5586" t="s">
        <v>32848</v>
      </c>
      <c r="I5586" t="s">
        <v>10643</v>
      </c>
      <c r="J5586" t="s">
        <v>36567</v>
      </c>
      <c r="K5586" t="s">
        <v>42727</v>
      </c>
      <c r="M5586" t="s">
        <v>44592</v>
      </c>
      <c r="N5586" t="s">
        <v>47424</v>
      </c>
      <c r="O5586" t="s">
        <v>47425</v>
      </c>
      <c r="P5586">
        <v>0</v>
      </c>
      <c r="Q5586">
        <v>4</v>
      </c>
      <c r="R5586" t="s">
        <v>47430</v>
      </c>
      <c r="S5586" t="s">
        <v>47549</v>
      </c>
      <c r="T5586" t="s">
        <v>49237</v>
      </c>
      <c r="U5586" t="s">
        <v>52713</v>
      </c>
      <c r="V5586" t="s">
        <v>63118</v>
      </c>
      <c r="W5586" t="s">
        <v>44592</v>
      </c>
      <c r="X5586" t="s">
        <v>47431</v>
      </c>
    </row>
    <row r="5587" spans="1:24">
      <c r="A5587">
        <f>HYPERLINK("https://www.philgeps.gov.ph/GEPSNONPILOT/Tender/SplashBidNoticeAbstractUI.aspx?menuIndex=3&amp;refID=7159503&amp;Result=3","7159503")</f>
        <v>0</v>
      </c>
      <c r="B5587" t="s">
        <v>1791</v>
      </c>
      <c r="C5587" t="s">
        <v>9178</v>
      </c>
      <c r="D5587" t="s">
        <v>19067</v>
      </c>
      <c r="E5587" t="s">
        <v>24014</v>
      </c>
      <c r="F5587" t="s">
        <v>32831</v>
      </c>
      <c r="G5587" t="s">
        <v>32838</v>
      </c>
      <c r="H5587" t="s">
        <v>32848</v>
      </c>
      <c r="I5587" t="s">
        <v>11484</v>
      </c>
      <c r="J5587" t="s">
        <v>32983</v>
      </c>
      <c r="K5587" t="s">
        <v>42732</v>
      </c>
      <c r="M5587" t="s">
        <v>44921</v>
      </c>
      <c r="N5587" t="s">
        <v>47424</v>
      </c>
      <c r="O5587" t="s">
        <v>47425</v>
      </c>
      <c r="P5587">
        <v>0</v>
      </c>
      <c r="Q5587">
        <v>1</v>
      </c>
      <c r="R5587" t="s">
        <v>47430</v>
      </c>
      <c r="S5587" t="s">
        <v>47549</v>
      </c>
      <c r="T5587" t="s">
        <v>49145</v>
      </c>
      <c r="U5587" t="s">
        <v>54388</v>
      </c>
      <c r="W5587" t="s">
        <v>44921</v>
      </c>
      <c r="X5587" t="s">
        <v>47431</v>
      </c>
    </row>
    <row r="5588" spans="1:24">
      <c r="A5588">
        <f>HYPERLINK("https://www.philgeps.gov.ph/GEPSNONPILOT/Tender/SplashBidNoticeAbstractUI.aspx?menuIndex=3&amp;refID=7159507&amp;Result=3","7159507")</f>
        <v>0</v>
      </c>
      <c r="B5588" t="s">
        <v>399</v>
      </c>
      <c r="C5588" t="s">
        <v>7716</v>
      </c>
      <c r="D5588" t="s">
        <v>19017</v>
      </c>
      <c r="E5588" t="s">
        <v>24015</v>
      </c>
      <c r="F5588" t="s">
        <v>32831</v>
      </c>
      <c r="G5588" t="s">
        <v>32840</v>
      </c>
      <c r="H5588" t="s">
        <v>32848</v>
      </c>
      <c r="I5588" t="s">
        <v>10805</v>
      </c>
      <c r="J5588" t="s">
        <v>36568</v>
      </c>
      <c r="K5588" t="s">
        <v>42726</v>
      </c>
      <c r="M5588" t="s">
        <v>43404</v>
      </c>
      <c r="N5588" t="s">
        <v>47424</v>
      </c>
      <c r="O5588" t="s">
        <v>47425</v>
      </c>
      <c r="P5588">
        <v>0</v>
      </c>
      <c r="Q5588">
        <v>12</v>
      </c>
      <c r="R5588" t="s">
        <v>47430</v>
      </c>
      <c r="S5588" t="s">
        <v>47549</v>
      </c>
      <c r="T5588" t="s">
        <v>49107</v>
      </c>
      <c r="U5588" t="s">
        <v>50389</v>
      </c>
      <c r="W5588" t="s">
        <v>43404</v>
      </c>
      <c r="X5588" t="s">
        <v>47431</v>
      </c>
    </row>
    <row r="5589" spans="1:24">
      <c r="A5589">
        <f>HYPERLINK("https://www.philgeps.gov.ph/GEPSNONPILOT/Tender/SplashBidNoticeAbstractUI.aspx?menuIndex=3&amp;refID=7159482&amp;Result=3","7159482")</f>
        <v>0</v>
      </c>
      <c r="B5589" t="s">
        <v>1786</v>
      </c>
      <c r="C5589" t="s">
        <v>9179</v>
      </c>
      <c r="D5589" t="s">
        <v>19057</v>
      </c>
      <c r="E5589" t="s">
        <v>24016</v>
      </c>
      <c r="F5589" t="s">
        <v>32831</v>
      </c>
      <c r="G5589" t="s">
        <v>32839</v>
      </c>
      <c r="H5589" t="s">
        <v>32849</v>
      </c>
      <c r="I5589" t="s">
        <v>4177</v>
      </c>
      <c r="J5589" t="s">
        <v>33087</v>
      </c>
      <c r="K5589" t="s">
        <v>42730</v>
      </c>
      <c r="M5589" t="s">
        <v>44916</v>
      </c>
      <c r="N5589" t="s">
        <v>47424</v>
      </c>
      <c r="O5589" t="s">
        <v>47425</v>
      </c>
      <c r="P5589">
        <v>0</v>
      </c>
      <c r="Q5589">
        <v>1</v>
      </c>
      <c r="R5589" t="s">
        <v>47430</v>
      </c>
      <c r="S5589" t="s">
        <v>47549</v>
      </c>
      <c r="T5589" t="s">
        <v>49129</v>
      </c>
      <c r="U5589" t="s">
        <v>54389</v>
      </c>
      <c r="V5589" t="s">
        <v>63105</v>
      </c>
      <c r="W5589" t="s">
        <v>44916</v>
      </c>
      <c r="X5589" t="s">
        <v>47431</v>
      </c>
    </row>
    <row r="5590" spans="1:24">
      <c r="A5590">
        <f>HYPERLINK("https://www.philgeps.gov.ph/GEPSNONPILOT/Tender/SplashBidNoticeAbstractUI.aspx?menuIndex=3&amp;refID=7159500&amp;Result=3","7159500")</f>
        <v>0</v>
      </c>
      <c r="B5590" t="s">
        <v>1724</v>
      </c>
      <c r="C5590" t="s">
        <v>9180</v>
      </c>
      <c r="D5590" t="s">
        <v>19069</v>
      </c>
      <c r="E5590" t="s">
        <v>24017</v>
      </c>
      <c r="F5590" t="s">
        <v>32831</v>
      </c>
      <c r="G5590" t="s">
        <v>32843</v>
      </c>
      <c r="H5590" t="s">
        <v>32848</v>
      </c>
      <c r="I5590" t="s">
        <v>32857</v>
      </c>
      <c r="J5590" t="s">
        <v>36569</v>
      </c>
      <c r="K5590" t="s">
        <v>42726</v>
      </c>
      <c r="M5590" t="s">
        <v>44847</v>
      </c>
      <c r="N5590" t="s">
        <v>47424</v>
      </c>
      <c r="O5590" t="s">
        <v>47425</v>
      </c>
      <c r="P5590">
        <v>0</v>
      </c>
      <c r="Q5590">
        <v>1</v>
      </c>
      <c r="R5590" t="s">
        <v>47430</v>
      </c>
      <c r="S5590" t="s">
        <v>47549</v>
      </c>
      <c r="T5590" t="s">
        <v>49089</v>
      </c>
      <c r="U5590" t="s">
        <v>54390</v>
      </c>
      <c r="W5590" t="s">
        <v>44847</v>
      </c>
      <c r="X5590" t="s">
        <v>47431</v>
      </c>
    </row>
    <row r="5591" spans="1:24">
      <c r="A5591">
        <f>HYPERLINK("https://www.philgeps.gov.ph/GEPSNONPILOT/Tender/SplashBidNoticeAbstractUI.aspx?menuIndex=3&amp;refID=7159477&amp;Result=3","7159477")</f>
        <v>0</v>
      </c>
      <c r="B5591" t="s">
        <v>1752</v>
      </c>
      <c r="C5591" t="s">
        <v>9181</v>
      </c>
      <c r="D5591" t="s">
        <v>19033</v>
      </c>
      <c r="E5591" t="s">
        <v>24018</v>
      </c>
      <c r="F5591" t="s">
        <v>32831</v>
      </c>
      <c r="G5591" t="s">
        <v>32840</v>
      </c>
      <c r="H5591" t="s">
        <v>32848</v>
      </c>
      <c r="I5591" t="s">
        <v>9577</v>
      </c>
      <c r="J5591" t="s">
        <v>33026</v>
      </c>
      <c r="K5591" t="s">
        <v>42758</v>
      </c>
      <c r="M5591" t="s">
        <v>44876</v>
      </c>
      <c r="N5591" t="s">
        <v>47424</v>
      </c>
      <c r="O5591" t="s">
        <v>47425</v>
      </c>
      <c r="P5591">
        <v>0</v>
      </c>
      <c r="Q5591">
        <v>1</v>
      </c>
      <c r="R5591" t="s">
        <v>47430</v>
      </c>
      <c r="S5591" t="s">
        <v>47549</v>
      </c>
      <c r="T5591" t="s">
        <v>49163</v>
      </c>
      <c r="U5591" t="s">
        <v>54391</v>
      </c>
      <c r="W5591" t="s">
        <v>44876</v>
      </c>
      <c r="X5591" t="s">
        <v>47431</v>
      </c>
    </row>
    <row r="5592" spans="1:24">
      <c r="A5592">
        <f>HYPERLINK("https://www.philgeps.gov.ph/GEPSNONPILOT/Tender/SplashBidNoticeAbstractUI.aspx?menuIndex=3&amp;refID=7159483&amp;Result=3","7159483")</f>
        <v>0</v>
      </c>
      <c r="B5592" t="s">
        <v>1789</v>
      </c>
      <c r="C5592" t="s">
        <v>9182</v>
      </c>
      <c r="D5592" t="s">
        <v>19030</v>
      </c>
      <c r="E5592" t="s">
        <v>19311</v>
      </c>
      <c r="F5592" t="s">
        <v>32831</v>
      </c>
      <c r="G5592" t="s">
        <v>32839</v>
      </c>
      <c r="H5592" t="s">
        <v>32848</v>
      </c>
      <c r="I5592" t="s">
        <v>7416</v>
      </c>
      <c r="J5592" t="s">
        <v>36570</v>
      </c>
      <c r="K5592" t="s">
        <v>42731</v>
      </c>
      <c r="M5592" t="s">
        <v>44919</v>
      </c>
      <c r="N5592" t="s">
        <v>47424</v>
      </c>
      <c r="O5592" t="s">
        <v>47425</v>
      </c>
      <c r="P5592">
        <v>0</v>
      </c>
      <c r="Q5592">
        <v>1</v>
      </c>
      <c r="R5592" t="s">
        <v>47430</v>
      </c>
      <c r="S5592" t="s">
        <v>47549</v>
      </c>
      <c r="T5592" t="s">
        <v>49129</v>
      </c>
      <c r="U5592" t="s">
        <v>53471</v>
      </c>
      <c r="V5592" t="s">
        <v>63127</v>
      </c>
      <c r="W5592" t="s">
        <v>44919</v>
      </c>
      <c r="X5592" t="s">
        <v>47431</v>
      </c>
    </row>
    <row r="5593" spans="1:24">
      <c r="A5593">
        <f>HYPERLINK("https://www.philgeps.gov.ph/GEPSNONPILOT/Tender/SplashBidNoticeAbstractUI.aspx?menuIndex=3&amp;refID=7159531&amp;Result=3","7159531")</f>
        <v>0</v>
      </c>
      <c r="B5593" t="s">
        <v>1750</v>
      </c>
      <c r="C5593" t="s">
        <v>9183</v>
      </c>
      <c r="D5593" t="s">
        <v>19038</v>
      </c>
      <c r="E5593" t="s">
        <v>20141</v>
      </c>
      <c r="F5593" t="s">
        <v>32831</v>
      </c>
      <c r="G5593" t="s">
        <v>32839</v>
      </c>
      <c r="H5593" t="s">
        <v>32848</v>
      </c>
      <c r="I5593" t="s">
        <v>4438</v>
      </c>
      <c r="J5593" t="s">
        <v>36571</v>
      </c>
      <c r="K5593" t="s">
        <v>42727</v>
      </c>
      <c r="M5593" t="s">
        <v>44874</v>
      </c>
      <c r="N5593" t="s">
        <v>47424</v>
      </c>
      <c r="O5593" t="s">
        <v>47425</v>
      </c>
      <c r="P5593">
        <v>0</v>
      </c>
      <c r="Q5593">
        <v>4</v>
      </c>
      <c r="R5593" t="s">
        <v>47430</v>
      </c>
      <c r="S5593" t="s">
        <v>47549</v>
      </c>
      <c r="T5593" t="s">
        <v>49430</v>
      </c>
      <c r="U5593" t="s">
        <v>54392</v>
      </c>
      <c r="W5593" t="s">
        <v>44874</v>
      </c>
      <c r="X5593" t="s">
        <v>47431</v>
      </c>
    </row>
    <row r="5594" spans="1:24">
      <c r="A5594">
        <f>HYPERLINK("https://www.philgeps.gov.ph/GEPSNONPILOT/Tender/SplashBidNoticeAbstractUI.aspx?menuIndex=3&amp;refID=7159471&amp;Result=3","7159471")</f>
        <v>0</v>
      </c>
      <c r="B5594" t="s">
        <v>399</v>
      </c>
      <c r="C5594" t="s">
        <v>7716</v>
      </c>
      <c r="D5594" t="s">
        <v>19017</v>
      </c>
      <c r="E5594" t="s">
        <v>24019</v>
      </c>
      <c r="F5594" t="s">
        <v>32831</v>
      </c>
      <c r="G5594" t="s">
        <v>32840</v>
      </c>
      <c r="H5594" t="s">
        <v>32848</v>
      </c>
      <c r="I5594" t="s">
        <v>10805</v>
      </c>
      <c r="J5594" t="s">
        <v>33775</v>
      </c>
      <c r="K5594" t="s">
        <v>42726</v>
      </c>
      <c r="M5594" t="s">
        <v>43404</v>
      </c>
      <c r="N5594" t="s">
        <v>47424</v>
      </c>
      <c r="O5594" t="s">
        <v>47425</v>
      </c>
      <c r="P5594">
        <v>0</v>
      </c>
      <c r="Q5594">
        <v>8</v>
      </c>
      <c r="R5594" t="s">
        <v>47430</v>
      </c>
      <c r="S5594" t="s">
        <v>47549</v>
      </c>
      <c r="T5594" t="s">
        <v>49107</v>
      </c>
      <c r="U5594" t="s">
        <v>50389</v>
      </c>
      <c r="W5594" t="s">
        <v>43404</v>
      </c>
      <c r="X5594" t="s">
        <v>47431</v>
      </c>
    </row>
    <row r="5595" spans="1:24">
      <c r="A5595">
        <f>HYPERLINK("https://www.philgeps.gov.ph/GEPSNONPILOT/Tender/SplashBidNoticeAbstractUI.aspx?menuIndex=3&amp;refID=7159468&amp;Result=3","7159468")</f>
        <v>0</v>
      </c>
      <c r="B5595" t="s">
        <v>668</v>
      </c>
      <c r="C5595" t="s">
        <v>9184</v>
      </c>
      <c r="D5595" t="s">
        <v>19034</v>
      </c>
      <c r="E5595" t="s">
        <v>24020</v>
      </c>
      <c r="F5595" t="s">
        <v>32831</v>
      </c>
      <c r="G5595" t="s">
        <v>32838</v>
      </c>
      <c r="H5595" t="s">
        <v>32848</v>
      </c>
      <c r="I5595" t="s">
        <v>5379</v>
      </c>
      <c r="J5595" t="s">
        <v>33090</v>
      </c>
      <c r="K5595" t="s">
        <v>42732</v>
      </c>
      <c r="M5595" t="s">
        <v>44913</v>
      </c>
      <c r="N5595" t="s">
        <v>47424</v>
      </c>
      <c r="O5595" t="s">
        <v>47425</v>
      </c>
      <c r="P5595">
        <v>0</v>
      </c>
      <c r="Q5595">
        <v>0</v>
      </c>
      <c r="R5595" t="s">
        <v>47430</v>
      </c>
      <c r="S5595" t="s">
        <v>47549</v>
      </c>
      <c r="T5595" t="s">
        <v>49111</v>
      </c>
      <c r="U5595" t="s">
        <v>54393</v>
      </c>
      <c r="W5595" t="s">
        <v>44913</v>
      </c>
      <c r="X5595" t="s">
        <v>47431</v>
      </c>
    </row>
    <row r="5596" spans="1:24">
      <c r="A5596">
        <f>HYPERLINK("https://www.philgeps.gov.ph/GEPSNONPILOT/Tender/SplashBidNoticeAbstractUI.aspx?menuIndex=3&amp;refID=7159479&amp;Result=3","7159479")</f>
        <v>0</v>
      </c>
      <c r="B5596" t="s">
        <v>2049</v>
      </c>
      <c r="C5596" t="s">
        <v>6518</v>
      </c>
      <c r="D5596" t="s">
        <v>19030</v>
      </c>
      <c r="E5596" t="s">
        <v>24021</v>
      </c>
      <c r="F5596" t="s">
        <v>32831</v>
      </c>
      <c r="G5596" t="s">
        <v>32840</v>
      </c>
      <c r="H5596" t="s">
        <v>32848</v>
      </c>
      <c r="I5596" t="s">
        <v>4487</v>
      </c>
      <c r="J5596" t="s">
        <v>36572</v>
      </c>
      <c r="K5596" t="s">
        <v>42776</v>
      </c>
      <c r="M5596" t="s">
        <v>45219</v>
      </c>
      <c r="N5596" t="s">
        <v>47424</v>
      </c>
      <c r="O5596" t="s">
        <v>47425</v>
      </c>
      <c r="P5596">
        <v>0</v>
      </c>
      <c r="Q5596">
        <v>1</v>
      </c>
      <c r="R5596" t="s">
        <v>47430</v>
      </c>
      <c r="S5596" t="s">
        <v>47549</v>
      </c>
      <c r="T5596" t="s">
        <v>49080</v>
      </c>
      <c r="U5596" t="s">
        <v>54394</v>
      </c>
      <c r="W5596" t="s">
        <v>45219</v>
      </c>
      <c r="X5596" t="s">
        <v>47431</v>
      </c>
    </row>
    <row r="5597" spans="1:24">
      <c r="A5597">
        <f>HYPERLINK("https://www.philgeps.gov.ph/GEPSNONPILOT/Tender/SplashBidNoticeAbstractUI.aspx?menuIndex=3&amp;refID=7159484&amp;Result=3","7159484")</f>
        <v>0</v>
      </c>
      <c r="B5597" t="s">
        <v>2050</v>
      </c>
      <c r="C5597" t="s">
        <v>9185</v>
      </c>
      <c r="D5597" t="s">
        <v>19018</v>
      </c>
      <c r="E5597" t="s">
        <v>22413</v>
      </c>
      <c r="F5597" t="s">
        <v>32831</v>
      </c>
      <c r="G5597" t="s">
        <v>32840</v>
      </c>
      <c r="H5597" t="s">
        <v>32848</v>
      </c>
      <c r="I5597" t="s">
        <v>32858</v>
      </c>
      <c r="J5597" t="s">
        <v>36573</v>
      </c>
      <c r="K5597" t="s">
        <v>42748</v>
      </c>
      <c r="M5597" t="s">
        <v>45220</v>
      </c>
      <c r="N5597" t="s">
        <v>47424</v>
      </c>
      <c r="O5597" t="s">
        <v>47425</v>
      </c>
      <c r="P5597">
        <v>0</v>
      </c>
      <c r="Q5597">
        <v>0</v>
      </c>
      <c r="R5597" t="s">
        <v>47430</v>
      </c>
      <c r="S5597" t="s">
        <v>47549</v>
      </c>
      <c r="T5597" t="s">
        <v>49141</v>
      </c>
      <c r="U5597" t="s">
        <v>54395</v>
      </c>
      <c r="W5597" t="s">
        <v>45220</v>
      </c>
      <c r="X5597" t="s">
        <v>47431</v>
      </c>
    </row>
    <row r="5598" spans="1:24">
      <c r="A5598">
        <f>HYPERLINK("https://www.philgeps.gov.ph/GEPSNONPILOT/Tender/SplashBidNoticeAbstractUI.aspx?menuIndex=3&amp;refID=7159443&amp;Result=3","7159443")</f>
        <v>0</v>
      </c>
      <c r="B5598" t="s">
        <v>669</v>
      </c>
      <c r="C5598" t="s">
        <v>9186</v>
      </c>
      <c r="D5598" t="s">
        <v>19022</v>
      </c>
      <c r="E5598" t="s">
        <v>24022</v>
      </c>
      <c r="F5598" t="s">
        <v>32831</v>
      </c>
      <c r="G5598" t="s">
        <v>32838</v>
      </c>
      <c r="H5598" t="s">
        <v>32848</v>
      </c>
      <c r="I5598" t="s">
        <v>32874</v>
      </c>
      <c r="J5598" t="s">
        <v>33090</v>
      </c>
      <c r="K5598" t="s">
        <v>42726</v>
      </c>
      <c r="M5598" t="s">
        <v>43688</v>
      </c>
      <c r="N5598" t="s">
        <v>47424</v>
      </c>
      <c r="O5598" t="s">
        <v>47425</v>
      </c>
      <c r="P5598">
        <v>0</v>
      </c>
      <c r="Q5598">
        <v>11</v>
      </c>
      <c r="R5598" t="s">
        <v>47430</v>
      </c>
      <c r="S5598" t="s">
        <v>47549</v>
      </c>
      <c r="T5598" t="s">
        <v>49214</v>
      </c>
      <c r="U5598" t="s">
        <v>54396</v>
      </c>
      <c r="W5598" t="s">
        <v>43688</v>
      </c>
      <c r="X5598" t="s">
        <v>47431</v>
      </c>
    </row>
    <row r="5599" spans="1:24">
      <c r="A5599">
        <f>HYPERLINK("https://www.philgeps.gov.ph/GEPSNONPILOT/Tender/SplashBidNoticeAbstractUI.aspx?menuIndex=3&amp;refID=7159442&amp;Result=3","7159442")</f>
        <v>0</v>
      </c>
      <c r="B5599" t="s">
        <v>1679</v>
      </c>
      <c r="C5599" t="s">
        <v>9187</v>
      </c>
      <c r="D5599" t="s">
        <v>19052</v>
      </c>
      <c r="E5599" t="s">
        <v>24023</v>
      </c>
      <c r="F5599" t="s">
        <v>32831</v>
      </c>
      <c r="G5599" t="s">
        <v>32839</v>
      </c>
      <c r="H5599" t="s">
        <v>32848</v>
      </c>
      <c r="I5599" t="s">
        <v>9577</v>
      </c>
      <c r="J5599" t="s">
        <v>36574</v>
      </c>
      <c r="K5599" t="s">
        <v>42731</v>
      </c>
      <c r="M5599" t="s">
        <v>44797</v>
      </c>
      <c r="N5599" t="s">
        <v>47424</v>
      </c>
      <c r="O5599" t="s">
        <v>47425</v>
      </c>
      <c r="P5599">
        <v>0</v>
      </c>
      <c r="Q5599">
        <v>0</v>
      </c>
      <c r="R5599" t="s">
        <v>47430</v>
      </c>
      <c r="S5599" t="s">
        <v>47549</v>
      </c>
      <c r="T5599" t="s">
        <v>49129</v>
      </c>
      <c r="U5599" t="s">
        <v>54397</v>
      </c>
      <c r="V5599" t="s">
        <v>63090</v>
      </c>
      <c r="W5599" t="s">
        <v>44797</v>
      </c>
      <c r="X5599" t="s">
        <v>47431</v>
      </c>
    </row>
    <row r="5600" spans="1:24">
      <c r="A5600">
        <f>HYPERLINK("https://www.philgeps.gov.ph/GEPSNONPILOT/Tender/SplashBidNoticeAbstractUI.aspx?menuIndex=3&amp;refID=7159441&amp;Result=3","7159441")</f>
        <v>0</v>
      </c>
      <c r="B5600" t="s">
        <v>33</v>
      </c>
      <c r="C5600" t="s">
        <v>9188</v>
      </c>
      <c r="D5600" t="s">
        <v>19024</v>
      </c>
      <c r="E5600" t="s">
        <v>23036</v>
      </c>
      <c r="F5600" t="s">
        <v>32831</v>
      </c>
      <c r="G5600" t="s">
        <v>32839</v>
      </c>
      <c r="H5600" t="s">
        <v>32848</v>
      </c>
      <c r="I5600" t="s">
        <v>32958</v>
      </c>
      <c r="J5600" t="s">
        <v>36575</v>
      </c>
      <c r="K5600" t="s">
        <v>42763</v>
      </c>
      <c r="M5600" t="s">
        <v>43030</v>
      </c>
      <c r="N5600" t="s">
        <v>47424</v>
      </c>
      <c r="O5600" t="s">
        <v>47425</v>
      </c>
      <c r="P5600">
        <v>0</v>
      </c>
      <c r="Q5600">
        <v>0</v>
      </c>
      <c r="R5600" t="s">
        <v>47430</v>
      </c>
      <c r="S5600" t="s">
        <v>47549</v>
      </c>
      <c r="T5600" t="s">
        <v>49188</v>
      </c>
      <c r="U5600" t="s">
        <v>53421</v>
      </c>
      <c r="W5600" t="s">
        <v>43030</v>
      </c>
      <c r="X5600" t="s">
        <v>47431</v>
      </c>
    </row>
    <row r="5601" spans="1:24">
      <c r="A5601">
        <f>HYPERLINK("https://www.philgeps.gov.ph/GEPSNONPILOT/Tender/SplashBidNoticeAbstractUI.aspx?menuIndex=3&amp;refID=7159506&amp;Result=3","7159506")</f>
        <v>0</v>
      </c>
      <c r="B5601" t="s">
        <v>1750</v>
      </c>
      <c r="C5601" t="s">
        <v>9189</v>
      </c>
      <c r="D5601" t="s">
        <v>19038</v>
      </c>
      <c r="E5601" t="s">
        <v>20163</v>
      </c>
      <c r="F5601" t="s">
        <v>32831</v>
      </c>
      <c r="G5601" t="s">
        <v>32839</v>
      </c>
      <c r="H5601" t="s">
        <v>32848</v>
      </c>
      <c r="I5601" t="s">
        <v>7751</v>
      </c>
      <c r="J5601" t="s">
        <v>32983</v>
      </c>
      <c r="K5601" t="s">
        <v>42727</v>
      </c>
      <c r="M5601" t="s">
        <v>44874</v>
      </c>
      <c r="N5601" t="s">
        <v>47424</v>
      </c>
      <c r="O5601" t="s">
        <v>47425</v>
      </c>
      <c r="P5601">
        <v>0</v>
      </c>
      <c r="Q5601">
        <v>0</v>
      </c>
      <c r="R5601" t="s">
        <v>47430</v>
      </c>
      <c r="S5601" t="s">
        <v>47549</v>
      </c>
      <c r="T5601" t="s">
        <v>49430</v>
      </c>
      <c r="U5601" t="s">
        <v>54398</v>
      </c>
      <c r="W5601" t="s">
        <v>44874</v>
      </c>
      <c r="X5601" t="s">
        <v>47431</v>
      </c>
    </row>
    <row r="5602" spans="1:24">
      <c r="A5602">
        <f>HYPERLINK("https://www.philgeps.gov.ph/GEPSNONPILOT/Tender/SplashBidNoticeAbstractUI.aspx?menuIndex=3&amp;refID=7159437&amp;Result=3","7159437")</f>
        <v>0</v>
      </c>
      <c r="B5602" t="s">
        <v>1214</v>
      </c>
      <c r="C5602" t="s">
        <v>9190</v>
      </c>
      <c r="D5602" t="s">
        <v>19038</v>
      </c>
      <c r="E5602" t="s">
        <v>20722</v>
      </c>
      <c r="F5602" t="s">
        <v>32831</v>
      </c>
      <c r="G5602" t="s">
        <v>32842</v>
      </c>
      <c r="H5602" t="s">
        <v>32850</v>
      </c>
      <c r="I5602" t="s">
        <v>7751</v>
      </c>
      <c r="J5602" t="s">
        <v>33334</v>
      </c>
      <c r="K5602" t="s">
        <v>42731</v>
      </c>
      <c r="M5602" t="s">
        <v>44282</v>
      </c>
      <c r="N5602" t="s">
        <v>47424</v>
      </c>
      <c r="O5602" t="s">
        <v>47425</v>
      </c>
      <c r="P5602">
        <v>0</v>
      </c>
      <c r="Q5602">
        <v>0</v>
      </c>
      <c r="R5602" t="s">
        <v>47430</v>
      </c>
      <c r="S5602" t="s">
        <v>47549</v>
      </c>
      <c r="T5602" t="s">
        <v>49056</v>
      </c>
      <c r="U5602" t="s">
        <v>54399</v>
      </c>
      <c r="W5602" t="s">
        <v>44282</v>
      </c>
      <c r="X5602" t="s">
        <v>47431</v>
      </c>
    </row>
    <row r="5603" spans="1:24">
      <c r="A5603">
        <f>HYPERLINK("https://www.philgeps.gov.ph/GEPSNONPILOT/Tender/SplashBidNoticeAbstractUI.aspx?menuIndex=3&amp;refID=7159472&amp;Result=3","7159472")</f>
        <v>0</v>
      </c>
      <c r="B5603" t="s">
        <v>1755</v>
      </c>
      <c r="C5603" t="s">
        <v>9191</v>
      </c>
      <c r="D5603" t="s">
        <v>19027</v>
      </c>
      <c r="E5603" t="s">
        <v>19802</v>
      </c>
      <c r="F5603" t="s">
        <v>32831</v>
      </c>
      <c r="G5603" t="s">
        <v>32839</v>
      </c>
      <c r="H5603" t="s">
        <v>32848</v>
      </c>
      <c r="I5603" t="s">
        <v>9577</v>
      </c>
      <c r="J5603" t="s">
        <v>34431</v>
      </c>
      <c r="K5603" t="s">
        <v>42759</v>
      </c>
      <c r="M5603" t="s">
        <v>44879</v>
      </c>
      <c r="N5603" t="s">
        <v>47424</v>
      </c>
      <c r="O5603" t="s">
        <v>47425</v>
      </c>
      <c r="P5603">
        <v>0</v>
      </c>
      <c r="Q5603">
        <v>1</v>
      </c>
      <c r="R5603" t="s">
        <v>47430</v>
      </c>
      <c r="S5603" t="s">
        <v>47549</v>
      </c>
      <c r="T5603" t="s">
        <v>49077</v>
      </c>
      <c r="U5603" t="s">
        <v>54400</v>
      </c>
      <c r="W5603" t="s">
        <v>44879</v>
      </c>
      <c r="X5603" t="s">
        <v>47431</v>
      </c>
    </row>
    <row r="5604" spans="1:24">
      <c r="A5604">
        <f>HYPERLINK("https://www.philgeps.gov.ph/GEPSNONPILOT/Tender/SplashBidNoticeAbstractUI.aspx?menuIndex=3&amp;refID=7159439&amp;Result=3","7159439")</f>
        <v>0</v>
      </c>
      <c r="B5604" t="s">
        <v>668</v>
      </c>
      <c r="C5604" t="s">
        <v>9192</v>
      </c>
      <c r="D5604" t="s">
        <v>19034</v>
      </c>
      <c r="E5604" t="s">
        <v>24024</v>
      </c>
      <c r="F5604" t="s">
        <v>32831</v>
      </c>
      <c r="G5604" t="s">
        <v>32838</v>
      </c>
      <c r="H5604" t="s">
        <v>32848</v>
      </c>
      <c r="I5604" t="s">
        <v>32862</v>
      </c>
      <c r="J5604" t="s">
        <v>36576</v>
      </c>
      <c r="K5604" t="s">
        <v>42748</v>
      </c>
      <c r="M5604" t="s">
        <v>44913</v>
      </c>
      <c r="N5604" t="s">
        <v>47424</v>
      </c>
      <c r="O5604" t="s">
        <v>47425</v>
      </c>
      <c r="P5604">
        <v>0</v>
      </c>
      <c r="Q5604">
        <v>0</v>
      </c>
      <c r="R5604" t="s">
        <v>47430</v>
      </c>
      <c r="S5604" t="s">
        <v>47549</v>
      </c>
      <c r="T5604" t="s">
        <v>49111</v>
      </c>
      <c r="U5604" t="s">
        <v>54401</v>
      </c>
      <c r="W5604" t="s">
        <v>44913</v>
      </c>
      <c r="X5604" t="s">
        <v>47431</v>
      </c>
    </row>
    <row r="5605" spans="1:24">
      <c r="A5605">
        <f>HYPERLINK("https://www.philgeps.gov.ph/GEPSNONPILOT/Tender/SplashBidNoticeAbstractUI.aspx?menuIndex=3&amp;refID=7159438&amp;Result=3","7159438")</f>
        <v>0</v>
      </c>
      <c r="B5605" t="s">
        <v>2051</v>
      </c>
      <c r="C5605" t="s">
        <v>9193</v>
      </c>
      <c r="D5605" t="s">
        <v>19017</v>
      </c>
      <c r="E5605" t="s">
        <v>9193</v>
      </c>
      <c r="F5605" t="s">
        <v>32831</v>
      </c>
      <c r="G5605" t="s">
        <v>32840</v>
      </c>
      <c r="H5605" t="s">
        <v>32848</v>
      </c>
      <c r="I5605" t="s">
        <v>4558</v>
      </c>
      <c r="J5605" t="s">
        <v>35842</v>
      </c>
      <c r="K5605" t="s">
        <v>42726</v>
      </c>
      <c r="M5605" t="s">
        <v>45221</v>
      </c>
      <c r="N5605" t="s">
        <v>47424</v>
      </c>
      <c r="O5605" t="s">
        <v>47425</v>
      </c>
      <c r="P5605">
        <v>0</v>
      </c>
      <c r="Q5605">
        <v>8</v>
      </c>
      <c r="R5605" t="s">
        <v>47430</v>
      </c>
      <c r="S5605" t="s">
        <v>47549</v>
      </c>
      <c r="T5605" t="s">
        <v>49415</v>
      </c>
      <c r="U5605" t="s">
        <v>54402</v>
      </c>
      <c r="W5605" t="s">
        <v>45221</v>
      </c>
      <c r="X5605" t="s">
        <v>47431</v>
      </c>
    </row>
    <row r="5606" spans="1:24">
      <c r="A5606">
        <f>HYPERLINK("https://www.philgeps.gov.ph/GEPSNONPILOT/Tender/SplashBidNoticeAbstractUI.aspx?menuIndex=3&amp;refID=7159413&amp;Result=3","7159413")</f>
        <v>0</v>
      </c>
      <c r="B5606" t="s">
        <v>1776</v>
      </c>
      <c r="C5606" t="s">
        <v>9194</v>
      </c>
      <c r="E5606" t="s">
        <v>24025</v>
      </c>
      <c r="F5606" t="s">
        <v>32834</v>
      </c>
      <c r="G5606" t="s">
        <v>32840</v>
      </c>
      <c r="H5606" t="s">
        <v>32848</v>
      </c>
      <c r="I5606" t="s">
        <v>5379</v>
      </c>
      <c r="J5606" t="s">
        <v>33691</v>
      </c>
      <c r="K5606" t="s">
        <v>42732</v>
      </c>
      <c r="M5606" t="s">
        <v>44901</v>
      </c>
      <c r="N5606" t="s">
        <v>47424</v>
      </c>
      <c r="O5606" t="s">
        <v>47425</v>
      </c>
      <c r="P5606">
        <v>0</v>
      </c>
      <c r="Q5606">
        <v>2</v>
      </c>
      <c r="R5606" t="s">
        <v>47430</v>
      </c>
      <c r="S5606" t="s">
        <v>47549</v>
      </c>
      <c r="T5606" t="s">
        <v>49198</v>
      </c>
      <c r="U5606" t="s">
        <v>53425</v>
      </c>
      <c r="W5606" t="s">
        <v>44901</v>
      </c>
      <c r="X5606" t="s">
        <v>47431</v>
      </c>
    </row>
    <row r="5607" spans="1:24">
      <c r="A5607">
        <f>HYPERLINK("https://www.philgeps.gov.ph/GEPSNONPILOT/Tender/SplashBidNoticeAbstractUI.aspx?menuIndex=3&amp;refID=7159411&amp;Result=3","7159411")</f>
        <v>0</v>
      </c>
      <c r="B5607" t="s">
        <v>33</v>
      </c>
      <c r="C5607" t="s">
        <v>9195</v>
      </c>
      <c r="D5607" t="s">
        <v>19024</v>
      </c>
      <c r="E5607" t="s">
        <v>23036</v>
      </c>
      <c r="F5607" t="s">
        <v>32831</v>
      </c>
      <c r="G5607" t="s">
        <v>32839</v>
      </c>
      <c r="H5607" t="s">
        <v>32848</v>
      </c>
      <c r="I5607" t="s">
        <v>32875</v>
      </c>
      <c r="J5607" t="s">
        <v>36577</v>
      </c>
      <c r="K5607" t="s">
        <v>42763</v>
      </c>
      <c r="M5607" t="s">
        <v>43030</v>
      </c>
      <c r="N5607" t="s">
        <v>47424</v>
      </c>
      <c r="O5607" t="s">
        <v>47425</v>
      </c>
      <c r="P5607">
        <v>0</v>
      </c>
      <c r="Q5607">
        <v>0</v>
      </c>
      <c r="R5607" t="s">
        <v>47430</v>
      </c>
      <c r="S5607" t="s">
        <v>47549</v>
      </c>
      <c r="T5607" t="s">
        <v>49188</v>
      </c>
      <c r="U5607" t="s">
        <v>53421</v>
      </c>
      <c r="W5607" t="s">
        <v>43030</v>
      </c>
      <c r="X5607" t="s">
        <v>47431</v>
      </c>
    </row>
    <row r="5608" spans="1:24">
      <c r="A5608">
        <f>HYPERLINK("https://www.philgeps.gov.ph/GEPSNONPILOT/Tender/SplashBidNoticeAbstractUI.aspx?menuIndex=3&amp;refID=7159409&amp;Result=3","7159409")</f>
        <v>0</v>
      </c>
      <c r="B5608" t="s">
        <v>399</v>
      </c>
      <c r="C5608" t="s">
        <v>7716</v>
      </c>
      <c r="D5608" t="s">
        <v>19017</v>
      </c>
      <c r="E5608" t="s">
        <v>24026</v>
      </c>
      <c r="F5608" t="s">
        <v>32831</v>
      </c>
      <c r="G5608" t="s">
        <v>32840</v>
      </c>
      <c r="H5608" t="s">
        <v>32848</v>
      </c>
      <c r="I5608" t="s">
        <v>10805</v>
      </c>
      <c r="J5608" t="s">
        <v>36578</v>
      </c>
      <c r="K5608" t="s">
        <v>42726</v>
      </c>
      <c r="M5608" t="s">
        <v>43404</v>
      </c>
      <c r="N5608" t="s">
        <v>47424</v>
      </c>
      <c r="O5608" t="s">
        <v>47425</v>
      </c>
      <c r="P5608">
        <v>0</v>
      </c>
      <c r="Q5608">
        <v>10</v>
      </c>
      <c r="R5608" t="s">
        <v>47430</v>
      </c>
      <c r="S5608" t="s">
        <v>47549</v>
      </c>
      <c r="T5608" t="s">
        <v>49107</v>
      </c>
      <c r="U5608" t="s">
        <v>50389</v>
      </c>
      <c r="W5608" t="s">
        <v>43404</v>
      </c>
      <c r="X5608" t="s">
        <v>47431</v>
      </c>
    </row>
    <row r="5609" spans="1:24">
      <c r="A5609">
        <f>HYPERLINK("https://www.philgeps.gov.ph/GEPSNONPILOT/Tender/SplashBidNoticeAbstractUI.aspx?menuIndex=3&amp;refID=7159382&amp;Result=3","7159382")</f>
        <v>0</v>
      </c>
      <c r="B5609" t="s">
        <v>668</v>
      </c>
      <c r="C5609" t="s">
        <v>9196</v>
      </c>
      <c r="D5609" t="s">
        <v>19034</v>
      </c>
      <c r="E5609" t="s">
        <v>24027</v>
      </c>
      <c r="F5609" t="s">
        <v>32831</v>
      </c>
      <c r="G5609" t="s">
        <v>32838</v>
      </c>
      <c r="H5609" t="s">
        <v>32848</v>
      </c>
      <c r="I5609" t="s">
        <v>4776</v>
      </c>
      <c r="J5609" t="s">
        <v>32980</v>
      </c>
      <c r="K5609" t="s">
        <v>42748</v>
      </c>
      <c r="M5609" t="s">
        <v>44913</v>
      </c>
      <c r="N5609" t="s">
        <v>47424</v>
      </c>
      <c r="O5609" t="s">
        <v>47425</v>
      </c>
      <c r="P5609">
        <v>0</v>
      </c>
      <c r="Q5609">
        <v>3</v>
      </c>
      <c r="R5609" t="s">
        <v>47430</v>
      </c>
      <c r="S5609" t="s">
        <v>47549</v>
      </c>
      <c r="T5609" t="s">
        <v>49111</v>
      </c>
      <c r="U5609" t="s">
        <v>54403</v>
      </c>
      <c r="W5609" t="s">
        <v>44913</v>
      </c>
      <c r="X5609" t="s">
        <v>47431</v>
      </c>
    </row>
    <row r="5610" spans="1:24">
      <c r="A5610">
        <f>HYPERLINK("https://www.philgeps.gov.ph/GEPSNONPILOT/Tender/SplashBidNoticeAbstractUI.aspx?menuIndex=3&amp;refID=7159440&amp;Result=3","7159440")</f>
        <v>0</v>
      </c>
      <c r="B5610" t="s">
        <v>629</v>
      </c>
      <c r="C5610" t="s">
        <v>8289</v>
      </c>
      <c r="D5610" t="s">
        <v>19049</v>
      </c>
      <c r="E5610" t="s">
        <v>24028</v>
      </c>
      <c r="F5610" t="s">
        <v>32831</v>
      </c>
      <c r="G5610" t="s">
        <v>32840</v>
      </c>
      <c r="H5610" t="s">
        <v>32848</v>
      </c>
      <c r="I5610" t="s">
        <v>32860</v>
      </c>
      <c r="J5610" t="s">
        <v>36579</v>
      </c>
      <c r="K5610" t="s">
        <v>42731</v>
      </c>
      <c r="M5610" t="s">
        <v>43646</v>
      </c>
      <c r="N5610" t="s">
        <v>47424</v>
      </c>
      <c r="O5610" t="s">
        <v>47425</v>
      </c>
      <c r="P5610">
        <v>0</v>
      </c>
      <c r="Q5610">
        <v>0</v>
      </c>
      <c r="R5610" t="s">
        <v>47430</v>
      </c>
      <c r="S5610" t="s">
        <v>47549</v>
      </c>
      <c r="T5610" t="s">
        <v>49237</v>
      </c>
      <c r="U5610" t="s">
        <v>54404</v>
      </c>
      <c r="W5610" t="s">
        <v>43646</v>
      </c>
      <c r="X5610" t="s">
        <v>47431</v>
      </c>
    </row>
    <row r="5611" spans="1:24">
      <c r="A5611">
        <f>HYPERLINK("https://www.philgeps.gov.ph/GEPSNONPILOT/Tender/SplashBidNoticeAbstractUI.aspx?menuIndex=3&amp;refID=7159381&amp;Result=3","7159381")</f>
        <v>0</v>
      </c>
      <c r="B5611" t="s">
        <v>2052</v>
      </c>
      <c r="C5611" t="s">
        <v>9197</v>
      </c>
      <c r="D5611" t="s">
        <v>19025</v>
      </c>
      <c r="E5611" t="s">
        <v>19311</v>
      </c>
      <c r="F5611" t="s">
        <v>32831</v>
      </c>
      <c r="G5611" t="s">
        <v>32839</v>
      </c>
      <c r="H5611" t="s">
        <v>32849</v>
      </c>
      <c r="I5611" t="s">
        <v>4177</v>
      </c>
      <c r="J5611" t="s">
        <v>33087</v>
      </c>
      <c r="K5611" t="s">
        <v>42745</v>
      </c>
      <c r="M5611" t="s">
        <v>45222</v>
      </c>
      <c r="N5611" t="s">
        <v>47424</v>
      </c>
      <c r="O5611" t="s">
        <v>47425</v>
      </c>
      <c r="P5611">
        <v>0</v>
      </c>
      <c r="Q5611">
        <v>0</v>
      </c>
      <c r="R5611" t="s">
        <v>47430</v>
      </c>
      <c r="S5611" t="s">
        <v>47549</v>
      </c>
      <c r="T5611" t="s">
        <v>49104</v>
      </c>
      <c r="U5611" t="s">
        <v>54405</v>
      </c>
      <c r="W5611" t="s">
        <v>45222</v>
      </c>
      <c r="X5611" t="s">
        <v>47431</v>
      </c>
    </row>
    <row r="5612" spans="1:24">
      <c r="A5612">
        <f>HYPERLINK("https://www.philgeps.gov.ph/GEPSNONPILOT/Tender/SplashBidNoticeAbstractUI.aspx?menuIndex=3&amp;refID=7159378&amp;Result=3","7159378")</f>
        <v>0</v>
      </c>
      <c r="B5612" t="s">
        <v>669</v>
      </c>
      <c r="C5612" t="s">
        <v>5283</v>
      </c>
      <c r="D5612" t="s">
        <v>19022</v>
      </c>
      <c r="E5612" t="s">
        <v>24029</v>
      </c>
      <c r="F5612" t="s">
        <v>32831</v>
      </c>
      <c r="G5612" t="s">
        <v>32838</v>
      </c>
      <c r="H5612" t="s">
        <v>32848</v>
      </c>
      <c r="I5612" t="s">
        <v>4438</v>
      </c>
      <c r="J5612" t="s">
        <v>36580</v>
      </c>
      <c r="K5612" t="s">
        <v>42726</v>
      </c>
      <c r="M5612" t="s">
        <v>43688</v>
      </c>
      <c r="N5612" t="s">
        <v>47424</v>
      </c>
      <c r="O5612" t="s">
        <v>47425</v>
      </c>
      <c r="P5612">
        <v>0</v>
      </c>
      <c r="Q5612">
        <v>0</v>
      </c>
      <c r="R5612" t="s">
        <v>47430</v>
      </c>
      <c r="S5612" t="s">
        <v>47549</v>
      </c>
      <c r="T5612" t="s">
        <v>49166</v>
      </c>
      <c r="U5612" t="s">
        <v>54406</v>
      </c>
      <c r="W5612" t="s">
        <v>43688</v>
      </c>
      <c r="X5612" t="s">
        <v>47431</v>
      </c>
    </row>
    <row r="5613" spans="1:24">
      <c r="A5613">
        <f>HYPERLINK("https://www.philgeps.gov.ph/GEPSNONPILOT/Tender/SplashBidNoticeAbstractUI.aspx?menuIndex=3&amp;refID=7159414&amp;Result=3","7159414")</f>
        <v>0</v>
      </c>
      <c r="B5613" t="s">
        <v>2053</v>
      </c>
      <c r="C5613" t="s">
        <v>9198</v>
      </c>
      <c r="D5613" t="s">
        <v>19031</v>
      </c>
      <c r="E5613" t="s">
        <v>9198</v>
      </c>
      <c r="F5613" t="s">
        <v>32831</v>
      </c>
      <c r="G5613" t="s">
        <v>32838</v>
      </c>
      <c r="H5613" t="s">
        <v>32848</v>
      </c>
      <c r="I5613" t="s">
        <v>32855</v>
      </c>
      <c r="J5613" t="s">
        <v>36581</v>
      </c>
      <c r="K5613" t="s">
        <v>42727</v>
      </c>
      <c r="M5613" t="s">
        <v>45223</v>
      </c>
      <c r="N5613" t="s">
        <v>47424</v>
      </c>
      <c r="O5613" t="s">
        <v>47425</v>
      </c>
      <c r="P5613">
        <v>0</v>
      </c>
      <c r="Q5613">
        <v>1</v>
      </c>
      <c r="R5613" t="s">
        <v>47430</v>
      </c>
      <c r="S5613" t="s">
        <v>47549</v>
      </c>
      <c r="T5613" t="s">
        <v>49141</v>
      </c>
      <c r="U5613" t="s">
        <v>54407</v>
      </c>
      <c r="W5613" t="s">
        <v>45223</v>
      </c>
      <c r="X5613" t="s">
        <v>47431</v>
      </c>
    </row>
    <row r="5614" spans="1:24">
      <c r="A5614">
        <f>HYPERLINK("https://www.philgeps.gov.ph/GEPSNONPILOT/Tender/SplashBidNoticeAbstractUI.aspx?menuIndex=3&amp;refID=7159473&amp;Result=3","7159473")</f>
        <v>0</v>
      </c>
      <c r="B5614" t="s">
        <v>1792</v>
      </c>
      <c r="C5614" t="s">
        <v>9199</v>
      </c>
      <c r="D5614" t="s">
        <v>19062</v>
      </c>
      <c r="E5614" t="s">
        <v>19520</v>
      </c>
      <c r="F5614" t="s">
        <v>32831</v>
      </c>
      <c r="G5614" t="s">
        <v>32839</v>
      </c>
      <c r="H5614" t="s">
        <v>32848</v>
      </c>
      <c r="I5614" t="s">
        <v>7416</v>
      </c>
      <c r="J5614" t="s">
        <v>36582</v>
      </c>
      <c r="K5614" t="s">
        <v>42727</v>
      </c>
      <c r="M5614" t="s">
        <v>44922</v>
      </c>
      <c r="N5614" t="s">
        <v>47424</v>
      </c>
      <c r="O5614" t="s">
        <v>47425</v>
      </c>
      <c r="P5614">
        <v>0</v>
      </c>
      <c r="Q5614">
        <v>0</v>
      </c>
      <c r="R5614" t="s">
        <v>47430</v>
      </c>
      <c r="S5614" t="s">
        <v>47549</v>
      </c>
      <c r="T5614" t="s">
        <v>49105</v>
      </c>
      <c r="U5614" t="s">
        <v>54408</v>
      </c>
      <c r="W5614" t="s">
        <v>44922</v>
      </c>
      <c r="X5614" t="s">
        <v>47431</v>
      </c>
    </row>
    <row r="5615" spans="1:24">
      <c r="A5615">
        <f>HYPERLINK("https://www.philgeps.gov.ph/GEPSNONPILOT/Tender/SplashBidNoticeAbstractUI.aspx?menuIndex=3&amp;refID=7159380&amp;Result=3","7159380")</f>
        <v>0</v>
      </c>
      <c r="B5615" t="s">
        <v>2022</v>
      </c>
      <c r="C5615" t="s">
        <v>9200</v>
      </c>
      <c r="D5615" t="s">
        <v>19045</v>
      </c>
      <c r="E5615" t="s">
        <v>24030</v>
      </c>
      <c r="F5615" t="s">
        <v>32831</v>
      </c>
      <c r="G5615" t="s">
        <v>32838</v>
      </c>
      <c r="H5615" t="s">
        <v>32848</v>
      </c>
      <c r="I5615" t="s">
        <v>8577</v>
      </c>
      <c r="J5615" t="s">
        <v>33087</v>
      </c>
      <c r="K5615" t="s">
        <v>42732</v>
      </c>
      <c r="M5615" t="s">
        <v>45190</v>
      </c>
      <c r="N5615" t="s">
        <v>47424</v>
      </c>
      <c r="O5615" t="s">
        <v>47425</v>
      </c>
      <c r="P5615">
        <v>0</v>
      </c>
      <c r="Q5615">
        <v>0</v>
      </c>
      <c r="R5615" t="s">
        <v>47430</v>
      </c>
      <c r="S5615" t="s">
        <v>47549</v>
      </c>
      <c r="T5615" t="s">
        <v>49123</v>
      </c>
      <c r="U5615" t="s">
        <v>54409</v>
      </c>
      <c r="W5615" t="s">
        <v>45190</v>
      </c>
      <c r="X5615" t="s">
        <v>47431</v>
      </c>
    </row>
    <row r="5616" spans="1:24">
      <c r="A5616">
        <f>HYPERLINK("https://www.philgeps.gov.ph/GEPSNONPILOT/Tender/SplashBidNoticeAbstractUI.aspx?menuIndex=3&amp;refID=7159196&amp;Result=3","7159196")</f>
        <v>0</v>
      </c>
      <c r="B5616" t="s">
        <v>295</v>
      </c>
      <c r="C5616" t="s">
        <v>9201</v>
      </c>
      <c r="D5616" t="s">
        <v>19029</v>
      </c>
      <c r="E5616" t="s">
        <v>24031</v>
      </c>
      <c r="F5616" t="s">
        <v>32831</v>
      </c>
      <c r="G5616" t="s">
        <v>32838</v>
      </c>
      <c r="H5616" t="s">
        <v>32848</v>
      </c>
      <c r="I5616" t="s">
        <v>32863</v>
      </c>
      <c r="J5616" t="s">
        <v>36583</v>
      </c>
      <c r="K5616" t="s">
        <v>42726</v>
      </c>
      <c r="M5616" t="s">
        <v>43914</v>
      </c>
      <c r="N5616" t="s">
        <v>47424</v>
      </c>
      <c r="O5616" t="s">
        <v>47425</v>
      </c>
      <c r="P5616">
        <v>0</v>
      </c>
      <c r="Q5616">
        <v>0</v>
      </c>
      <c r="R5616" t="s">
        <v>47430</v>
      </c>
      <c r="S5616" t="s">
        <v>47549</v>
      </c>
      <c r="T5616" t="s">
        <v>49119</v>
      </c>
      <c r="U5616" t="s">
        <v>54410</v>
      </c>
      <c r="W5616" t="s">
        <v>43914</v>
      </c>
      <c r="X5616" t="s">
        <v>47431</v>
      </c>
    </row>
    <row r="5617" spans="1:24">
      <c r="A5617">
        <f>HYPERLINK("https://www.philgeps.gov.ph/GEPSNONPILOT/Tender/SplashBidNoticeAbstractUI.aspx?menuIndex=3&amp;refID=7159436&amp;Result=3","7159436")</f>
        <v>0</v>
      </c>
      <c r="B5617" t="s">
        <v>2054</v>
      </c>
      <c r="C5617" t="s">
        <v>9202</v>
      </c>
      <c r="D5617" t="s">
        <v>19023</v>
      </c>
      <c r="E5617" t="s">
        <v>24032</v>
      </c>
      <c r="F5617" t="s">
        <v>32831</v>
      </c>
      <c r="G5617" t="s">
        <v>32839</v>
      </c>
      <c r="H5617" t="s">
        <v>32848</v>
      </c>
      <c r="I5617" t="s">
        <v>32856</v>
      </c>
      <c r="J5617" t="s">
        <v>33139</v>
      </c>
      <c r="K5617" t="s">
        <v>42726</v>
      </c>
      <c r="M5617" t="s">
        <v>45224</v>
      </c>
      <c r="N5617" t="s">
        <v>47424</v>
      </c>
      <c r="O5617" t="s">
        <v>47425</v>
      </c>
      <c r="P5617">
        <v>0</v>
      </c>
      <c r="Q5617">
        <v>2</v>
      </c>
      <c r="R5617" t="s">
        <v>47430</v>
      </c>
      <c r="S5617" t="s">
        <v>47549</v>
      </c>
      <c r="T5617" t="s">
        <v>49069</v>
      </c>
      <c r="U5617" t="s">
        <v>54411</v>
      </c>
      <c r="W5617" t="s">
        <v>45224</v>
      </c>
      <c r="X5617" t="s">
        <v>47431</v>
      </c>
    </row>
    <row r="5618" spans="1:24">
      <c r="A5618">
        <f>HYPERLINK("https://www.philgeps.gov.ph/GEPSNONPILOT/Tender/SplashBidNoticeAbstractUI.aspx?menuIndex=3&amp;refID=7159379&amp;Result=3","7159379")</f>
        <v>0</v>
      </c>
      <c r="B5618" t="s">
        <v>2055</v>
      </c>
      <c r="C5618" t="s">
        <v>9203</v>
      </c>
      <c r="D5618" t="s">
        <v>19091</v>
      </c>
      <c r="E5618" t="s">
        <v>19203</v>
      </c>
      <c r="F5618" t="s">
        <v>32831</v>
      </c>
      <c r="G5618" t="s">
        <v>32839</v>
      </c>
      <c r="H5618" t="s">
        <v>32849</v>
      </c>
      <c r="I5618" t="s">
        <v>4177</v>
      </c>
      <c r="J5618" t="s">
        <v>32980</v>
      </c>
      <c r="K5618" t="s">
        <v>42727</v>
      </c>
      <c r="M5618" t="s">
        <v>45225</v>
      </c>
      <c r="N5618" t="s">
        <v>47424</v>
      </c>
      <c r="O5618" t="s">
        <v>47425</v>
      </c>
      <c r="P5618">
        <v>0</v>
      </c>
      <c r="Q5618">
        <v>0</v>
      </c>
      <c r="R5618" t="s">
        <v>47430</v>
      </c>
      <c r="S5618" t="s">
        <v>47549</v>
      </c>
      <c r="T5618" t="s">
        <v>49278</v>
      </c>
      <c r="U5618" t="s">
        <v>54412</v>
      </c>
      <c r="W5618" t="s">
        <v>45225</v>
      </c>
      <c r="X5618" t="s">
        <v>47431</v>
      </c>
    </row>
    <row r="5619" spans="1:24">
      <c r="A5619">
        <f>HYPERLINK("https://www.philgeps.gov.ph/GEPSNONPILOT/Tender/SplashBidNoticeAbstractUI.aspx?menuIndex=3&amp;refID=7159194&amp;Result=3","7159194")</f>
        <v>0</v>
      </c>
      <c r="B5619" t="s">
        <v>734</v>
      </c>
      <c r="C5619" t="s">
        <v>9204</v>
      </c>
      <c r="D5619" t="s">
        <v>19034</v>
      </c>
      <c r="E5619" t="s">
        <v>24033</v>
      </c>
      <c r="F5619" t="s">
        <v>32831</v>
      </c>
      <c r="G5619" t="s">
        <v>32839</v>
      </c>
      <c r="H5619" t="s">
        <v>32848</v>
      </c>
      <c r="I5619" t="s">
        <v>32860</v>
      </c>
      <c r="J5619" t="s">
        <v>36584</v>
      </c>
      <c r="K5619" t="s">
        <v>42731</v>
      </c>
      <c r="M5619" t="s">
        <v>44904</v>
      </c>
      <c r="N5619" t="s">
        <v>47424</v>
      </c>
      <c r="O5619" t="s">
        <v>47425</v>
      </c>
      <c r="P5619">
        <v>0</v>
      </c>
      <c r="Q5619">
        <v>1</v>
      </c>
      <c r="R5619" t="s">
        <v>47430</v>
      </c>
      <c r="S5619" t="s">
        <v>47549</v>
      </c>
      <c r="T5619" t="s">
        <v>49338</v>
      </c>
      <c r="U5619" t="s">
        <v>54413</v>
      </c>
      <c r="W5619" t="s">
        <v>44904</v>
      </c>
      <c r="X5619" t="s">
        <v>47431</v>
      </c>
    </row>
    <row r="5620" spans="1:24">
      <c r="A5620">
        <f>HYPERLINK("https://www.philgeps.gov.ph/GEPSNONPILOT/Tender/SplashBidNoticeAbstractUI.aspx?menuIndex=3&amp;refID=7161278&amp;Result=3","7161278")</f>
        <v>0</v>
      </c>
      <c r="B5620" t="s">
        <v>311</v>
      </c>
      <c r="C5620" t="s">
        <v>9205</v>
      </c>
      <c r="D5620" t="s">
        <v>19064</v>
      </c>
      <c r="E5620" t="s">
        <v>24034</v>
      </c>
      <c r="F5620" t="s">
        <v>32831</v>
      </c>
      <c r="G5620" t="s">
        <v>32838</v>
      </c>
      <c r="H5620" t="s">
        <v>32848</v>
      </c>
      <c r="I5620" t="s">
        <v>5379</v>
      </c>
      <c r="J5620" t="s">
        <v>36585</v>
      </c>
      <c r="K5620" t="s">
        <v>42763</v>
      </c>
      <c r="M5620" t="s">
        <v>43313</v>
      </c>
      <c r="N5620" t="s">
        <v>47424</v>
      </c>
      <c r="O5620" t="s">
        <v>47425</v>
      </c>
      <c r="P5620">
        <v>0</v>
      </c>
      <c r="Q5620">
        <v>0</v>
      </c>
      <c r="R5620" t="s">
        <v>47430</v>
      </c>
      <c r="S5620" t="s">
        <v>47549</v>
      </c>
      <c r="T5620" t="s">
        <v>49077</v>
      </c>
      <c r="U5620" t="s">
        <v>54186</v>
      </c>
      <c r="W5620" t="s">
        <v>43313</v>
      </c>
      <c r="X5620" t="s">
        <v>47431</v>
      </c>
    </row>
    <row r="5621" spans="1:24">
      <c r="A5621">
        <f>HYPERLINK("https://www.philgeps.gov.ph/GEPSNONPILOT/Tender/SplashBidNoticeAbstractUI.aspx?menuIndex=3&amp;refID=7159377&amp;Result=3","7159377")</f>
        <v>0</v>
      </c>
      <c r="B5621" t="s">
        <v>2056</v>
      </c>
      <c r="C5621" t="s">
        <v>9206</v>
      </c>
      <c r="D5621" t="s">
        <v>19030</v>
      </c>
      <c r="E5621" t="s">
        <v>19802</v>
      </c>
      <c r="F5621" t="s">
        <v>32831</v>
      </c>
      <c r="G5621" t="s">
        <v>32842</v>
      </c>
      <c r="H5621" t="s">
        <v>32848</v>
      </c>
      <c r="I5621" t="s">
        <v>32860</v>
      </c>
      <c r="J5621" t="s">
        <v>36586</v>
      </c>
      <c r="K5621" t="s">
        <v>42748</v>
      </c>
      <c r="M5621" t="s">
        <v>45226</v>
      </c>
      <c r="N5621" t="s">
        <v>47424</v>
      </c>
      <c r="O5621" t="s">
        <v>47425</v>
      </c>
      <c r="P5621">
        <v>0</v>
      </c>
      <c r="Q5621">
        <v>3</v>
      </c>
      <c r="R5621" t="s">
        <v>47430</v>
      </c>
      <c r="S5621" t="s">
        <v>47549</v>
      </c>
      <c r="T5621" t="s">
        <v>49235</v>
      </c>
      <c r="U5621" t="s">
        <v>54414</v>
      </c>
      <c r="W5621" t="s">
        <v>45226</v>
      </c>
      <c r="X5621" t="s">
        <v>47431</v>
      </c>
    </row>
    <row r="5622" spans="1:24">
      <c r="A5622">
        <f>HYPERLINK("https://www.philgeps.gov.ph/GEPSNONPILOT/Tender/SplashBidNoticeAbstractUI.aspx?menuIndex=3&amp;refID=7161276&amp;Result=3","7161276")</f>
        <v>0</v>
      </c>
      <c r="B5622" t="s">
        <v>693</v>
      </c>
      <c r="C5622" t="s">
        <v>9207</v>
      </c>
      <c r="D5622" t="s">
        <v>19073</v>
      </c>
      <c r="E5622" t="s">
        <v>20444</v>
      </c>
      <c r="F5622" t="s">
        <v>32831</v>
      </c>
      <c r="G5622" t="s">
        <v>32840</v>
      </c>
      <c r="H5622" t="s">
        <v>32848</v>
      </c>
      <c r="I5622" t="s">
        <v>32859</v>
      </c>
      <c r="J5622" t="s">
        <v>33119</v>
      </c>
      <c r="K5622" t="s">
        <v>42731</v>
      </c>
      <c r="M5622" t="s">
        <v>43712</v>
      </c>
      <c r="N5622" t="s">
        <v>47424</v>
      </c>
      <c r="O5622" t="s">
        <v>47425</v>
      </c>
      <c r="P5622">
        <v>0</v>
      </c>
      <c r="Q5622">
        <v>1</v>
      </c>
      <c r="R5622" t="s">
        <v>47430</v>
      </c>
      <c r="S5622" t="s">
        <v>47549</v>
      </c>
      <c r="T5622" t="s">
        <v>49108</v>
      </c>
      <c r="U5622" t="s">
        <v>54415</v>
      </c>
      <c r="W5622" t="s">
        <v>43712</v>
      </c>
      <c r="X5622" t="s">
        <v>47431</v>
      </c>
    </row>
    <row r="5623" spans="1:24">
      <c r="A5623">
        <f>HYPERLINK("https://www.philgeps.gov.ph/GEPSNONPILOT/Tender/SplashBidNoticeAbstractUI.aspx?menuIndex=3&amp;refID=7161273&amp;Result=3","7161273")</f>
        <v>0</v>
      </c>
      <c r="B5623" t="s">
        <v>2057</v>
      </c>
      <c r="C5623" t="s">
        <v>9208</v>
      </c>
      <c r="D5623" t="s">
        <v>19019</v>
      </c>
      <c r="E5623" t="s">
        <v>19311</v>
      </c>
      <c r="F5623" t="s">
        <v>32831</v>
      </c>
      <c r="G5623" t="s">
        <v>32838</v>
      </c>
      <c r="H5623" t="s">
        <v>32848</v>
      </c>
      <c r="I5623" t="s">
        <v>32858</v>
      </c>
      <c r="J5623" t="s">
        <v>35367</v>
      </c>
      <c r="K5623" t="s">
        <v>42745</v>
      </c>
      <c r="M5623" t="s">
        <v>45227</v>
      </c>
      <c r="N5623" t="s">
        <v>47424</v>
      </c>
      <c r="O5623" t="s">
        <v>47425</v>
      </c>
      <c r="P5623">
        <v>0</v>
      </c>
      <c r="Q5623">
        <v>2</v>
      </c>
      <c r="R5623" t="s">
        <v>47430</v>
      </c>
      <c r="S5623" t="s">
        <v>47549</v>
      </c>
      <c r="T5623" t="s">
        <v>49406</v>
      </c>
      <c r="U5623" t="s">
        <v>54416</v>
      </c>
      <c r="W5623" t="s">
        <v>45227</v>
      </c>
      <c r="X5623" t="s">
        <v>47431</v>
      </c>
    </row>
    <row r="5624" spans="1:24">
      <c r="A5624">
        <f>HYPERLINK("https://www.philgeps.gov.ph/GEPSNONPILOT/Tender/SplashBidNoticeAbstractUI.aspx?menuIndex=3&amp;refID=7159444&amp;Result=3","7159444")</f>
        <v>0</v>
      </c>
      <c r="B5624" t="s">
        <v>1443</v>
      </c>
      <c r="C5624" t="s">
        <v>9209</v>
      </c>
      <c r="D5624" t="s">
        <v>19058</v>
      </c>
      <c r="E5624" t="s">
        <v>24035</v>
      </c>
      <c r="F5624" t="s">
        <v>32831</v>
      </c>
      <c r="G5624" t="s">
        <v>32839</v>
      </c>
      <c r="H5624" t="s">
        <v>14069</v>
      </c>
      <c r="I5624" t="s">
        <v>14069</v>
      </c>
      <c r="J5624" t="s">
        <v>36587</v>
      </c>
      <c r="K5624" t="s">
        <v>42747</v>
      </c>
      <c r="M5624" t="s">
        <v>44535</v>
      </c>
      <c r="N5624" t="s">
        <v>47424</v>
      </c>
      <c r="O5624" t="s">
        <v>47425</v>
      </c>
      <c r="P5624">
        <v>0</v>
      </c>
      <c r="Q5624">
        <v>4</v>
      </c>
      <c r="R5624" t="s">
        <v>47430</v>
      </c>
      <c r="S5624" t="s">
        <v>47549</v>
      </c>
      <c r="T5624" t="s">
        <v>49431</v>
      </c>
      <c r="U5624" t="s">
        <v>54417</v>
      </c>
      <c r="W5624" t="s">
        <v>44535</v>
      </c>
      <c r="X5624" t="s">
        <v>47431</v>
      </c>
    </row>
    <row r="5625" spans="1:24">
      <c r="A5625">
        <f>HYPERLINK("https://www.philgeps.gov.ph/GEPSNONPILOT/Tender/SplashBidNoticeAbstractUI.aspx?menuIndex=3&amp;refID=7161271&amp;Result=3","7161271")</f>
        <v>0</v>
      </c>
      <c r="B5625" t="s">
        <v>2030</v>
      </c>
      <c r="C5625" t="s">
        <v>9210</v>
      </c>
      <c r="D5625" t="s">
        <v>19088</v>
      </c>
      <c r="E5625" t="s">
        <v>24036</v>
      </c>
      <c r="F5625" t="s">
        <v>32831</v>
      </c>
      <c r="G5625" t="s">
        <v>32840</v>
      </c>
      <c r="H5625" t="s">
        <v>32848</v>
      </c>
      <c r="I5625" t="s">
        <v>32855</v>
      </c>
      <c r="J5625" t="s">
        <v>33978</v>
      </c>
      <c r="K5625" t="s">
        <v>42730</v>
      </c>
      <c r="M5625" t="s">
        <v>45198</v>
      </c>
      <c r="N5625" t="s">
        <v>47424</v>
      </c>
      <c r="O5625" t="s">
        <v>47425</v>
      </c>
      <c r="P5625">
        <v>0</v>
      </c>
      <c r="Q5625">
        <v>8</v>
      </c>
      <c r="R5625" t="s">
        <v>47430</v>
      </c>
      <c r="S5625" t="s">
        <v>47549</v>
      </c>
      <c r="T5625" t="s">
        <v>49214</v>
      </c>
      <c r="U5625" t="s">
        <v>54418</v>
      </c>
      <c r="W5625" t="s">
        <v>45198</v>
      </c>
      <c r="X5625" t="s">
        <v>47431</v>
      </c>
    </row>
    <row r="5626" spans="1:24">
      <c r="A5626">
        <f>HYPERLINK("https://www.philgeps.gov.ph/GEPSNONPILOT/Tender/SplashBidNoticeAbstractUI.aspx?menuIndex=3&amp;refID=7161282&amp;Result=3","7161282")</f>
        <v>0</v>
      </c>
      <c r="B5626" t="s">
        <v>103</v>
      </c>
      <c r="C5626" t="s">
        <v>9211</v>
      </c>
      <c r="D5626" t="s">
        <v>19056</v>
      </c>
      <c r="E5626" t="s">
        <v>24037</v>
      </c>
      <c r="F5626" t="s">
        <v>32831</v>
      </c>
      <c r="G5626" t="s">
        <v>32838</v>
      </c>
      <c r="H5626" t="s">
        <v>32848</v>
      </c>
      <c r="I5626" t="s">
        <v>10805</v>
      </c>
      <c r="J5626" t="s">
        <v>34761</v>
      </c>
      <c r="K5626" t="s">
        <v>42742</v>
      </c>
      <c r="L5626" t="s">
        <v>103</v>
      </c>
      <c r="M5626" t="s">
        <v>43100</v>
      </c>
      <c r="N5626" t="s">
        <v>47424</v>
      </c>
      <c r="O5626" t="s">
        <v>47425</v>
      </c>
      <c r="P5626">
        <v>0</v>
      </c>
      <c r="Q5626">
        <v>2</v>
      </c>
      <c r="R5626" t="s">
        <v>47430</v>
      </c>
      <c r="S5626" t="s">
        <v>47549</v>
      </c>
      <c r="T5626" t="s">
        <v>49115</v>
      </c>
      <c r="U5626" t="s">
        <v>49808</v>
      </c>
      <c r="W5626" t="s">
        <v>43100</v>
      </c>
      <c r="X5626" t="s">
        <v>47431</v>
      </c>
    </row>
    <row r="5627" spans="1:24">
      <c r="A5627">
        <f>HYPERLINK("https://www.philgeps.gov.ph/GEPSNONPILOT/Tender/SplashBidNoticeAbstractUI.aspx?menuIndex=3&amp;refID=7159408&amp;Result=3","7159408")</f>
        <v>0</v>
      </c>
      <c r="B5627" t="s">
        <v>2058</v>
      </c>
      <c r="C5627" t="s">
        <v>9212</v>
      </c>
      <c r="D5627" t="s">
        <v>19018</v>
      </c>
      <c r="E5627" t="s">
        <v>24038</v>
      </c>
      <c r="F5627" t="s">
        <v>32831</v>
      </c>
      <c r="G5627" t="s">
        <v>32838</v>
      </c>
      <c r="H5627" t="s">
        <v>32848</v>
      </c>
      <c r="I5627" t="s">
        <v>32870</v>
      </c>
      <c r="J5627" t="s">
        <v>36588</v>
      </c>
      <c r="K5627" t="s">
        <v>42726</v>
      </c>
      <c r="M5627" t="s">
        <v>45228</v>
      </c>
      <c r="N5627" t="s">
        <v>47424</v>
      </c>
      <c r="O5627" t="s">
        <v>47425</v>
      </c>
      <c r="P5627">
        <v>0</v>
      </c>
      <c r="Q5627">
        <v>0</v>
      </c>
      <c r="R5627" t="s">
        <v>47430</v>
      </c>
      <c r="S5627" t="s">
        <v>47549</v>
      </c>
      <c r="T5627" t="s">
        <v>49141</v>
      </c>
      <c r="U5627" t="s">
        <v>54419</v>
      </c>
      <c r="W5627" t="s">
        <v>45228</v>
      </c>
      <c r="X5627" t="s">
        <v>47431</v>
      </c>
    </row>
    <row r="5628" spans="1:24">
      <c r="A5628">
        <f>HYPERLINK("https://www.philgeps.gov.ph/GEPSNONPILOT/Tender/SplashBidNoticeAbstractUI.aspx?menuIndex=3&amp;refID=7161274&amp;Result=3","7161274")</f>
        <v>0</v>
      </c>
      <c r="B5628" t="s">
        <v>391</v>
      </c>
      <c r="C5628" t="s">
        <v>9213</v>
      </c>
      <c r="D5628" t="s">
        <v>19090</v>
      </c>
      <c r="E5628" t="s">
        <v>21710</v>
      </c>
      <c r="F5628" t="s">
        <v>32831</v>
      </c>
      <c r="G5628" t="s">
        <v>32838</v>
      </c>
      <c r="H5628" t="s">
        <v>32848</v>
      </c>
      <c r="I5628" t="s">
        <v>32858</v>
      </c>
      <c r="J5628" t="s">
        <v>32978</v>
      </c>
      <c r="K5628" t="s">
        <v>42758</v>
      </c>
      <c r="M5628" t="s">
        <v>43396</v>
      </c>
      <c r="N5628" t="s">
        <v>47424</v>
      </c>
      <c r="O5628" t="s">
        <v>47425</v>
      </c>
      <c r="P5628">
        <v>0</v>
      </c>
      <c r="Q5628">
        <v>1</v>
      </c>
      <c r="R5628" t="s">
        <v>47430</v>
      </c>
      <c r="S5628" t="s">
        <v>47549</v>
      </c>
      <c r="T5628" t="s">
        <v>49237</v>
      </c>
      <c r="U5628" t="s">
        <v>54420</v>
      </c>
      <c r="W5628" t="s">
        <v>43396</v>
      </c>
      <c r="X5628" t="s">
        <v>47431</v>
      </c>
    </row>
    <row r="5629" spans="1:24">
      <c r="A5629">
        <f>HYPERLINK("https://www.philgeps.gov.ph/GEPSNONPILOT/Tender/SplashBidNoticeAbstractUI.aspx?menuIndex=3&amp;refID=7161263&amp;Result=3","7161263")</f>
        <v>0</v>
      </c>
      <c r="B5629" t="s">
        <v>2059</v>
      </c>
      <c r="C5629" t="s">
        <v>9214</v>
      </c>
      <c r="D5629" t="s">
        <v>19057</v>
      </c>
      <c r="E5629" t="s">
        <v>24039</v>
      </c>
      <c r="F5629" t="s">
        <v>32831</v>
      </c>
      <c r="G5629" t="s">
        <v>32839</v>
      </c>
      <c r="H5629" t="s">
        <v>32848</v>
      </c>
      <c r="I5629" t="s">
        <v>32874</v>
      </c>
      <c r="J5629" t="s">
        <v>36589</v>
      </c>
      <c r="K5629" t="s">
        <v>42732</v>
      </c>
      <c r="M5629" t="s">
        <v>45229</v>
      </c>
      <c r="N5629" t="s">
        <v>47424</v>
      </c>
      <c r="O5629" t="s">
        <v>47425</v>
      </c>
      <c r="P5629">
        <v>0</v>
      </c>
      <c r="Q5629">
        <v>11</v>
      </c>
      <c r="R5629" t="s">
        <v>47430</v>
      </c>
      <c r="S5629" t="s">
        <v>47549</v>
      </c>
      <c r="T5629" t="s">
        <v>49295</v>
      </c>
      <c r="U5629" t="s">
        <v>54421</v>
      </c>
      <c r="W5629" t="s">
        <v>45229</v>
      </c>
      <c r="X5629" t="s">
        <v>47431</v>
      </c>
    </row>
    <row r="5630" spans="1:24">
      <c r="A5630">
        <f>HYPERLINK("https://www.philgeps.gov.ph/GEPSNONPILOT/Tender/SplashBidNoticeAbstractUI.aspx?menuIndex=3&amp;refID=7161262&amp;Result=3","7161262")</f>
        <v>0</v>
      </c>
      <c r="B5630" t="s">
        <v>2060</v>
      </c>
      <c r="C5630" t="s">
        <v>9215</v>
      </c>
      <c r="D5630" t="s">
        <v>19026</v>
      </c>
      <c r="E5630" t="s">
        <v>20035</v>
      </c>
      <c r="F5630" t="s">
        <v>32831</v>
      </c>
      <c r="G5630" t="s">
        <v>32838</v>
      </c>
      <c r="H5630" t="s">
        <v>32848</v>
      </c>
      <c r="I5630" t="s">
        <v>7416</v>
      </c>
      <c r="J5630" t="s">
        <v>36590</v>
      </c>
      <c r="K5630" t="s">
        <v>42726</v>
      </c>
      <c r="M5630" t="s">
        <v>45230</v>
      </c>
      <c r="N5630" t="s">
        <v>47424</v>
      </c>
      <c r="O5630" t="s">
        <v>47425</v>
      </c>
      <c r="P5630">
        <v>0</v>
      </c>
      <c r="Q5630">
        <v>0</v>
      </c>
      <c r="R5630" t="s">
        <v>47430</v>
      </c>
      <c r="S5630" t="s">
        <v>47549</v>
      </c>
      <c r="T5630" t="s">
        <v>49141</v>
      </c>
      <c r="U5630" t="s">
        <v>54422</v>
      </c>
      <c r="W5630" t="s">
        <v>45230</v>
      </c>
      <c r="X5630" t="s">
        <v>47431</v>
      </c>
    </row>
    <row r="5631" spans="1:24">
      <c r="A5631">
        <f>HYPERLINK("https://www.philgeps.gov.ph/GEPSNONPILOT/Tender/SplashBidNoticeAbstractUI.aspx?menuIndex=3&amp;refID=7161269&amp;Result=3","7161269")</f>
        <v>0</v>
      </c>
      <c r="B5631" t="s">
        <v>1931</v>
      </c>
      <c r="C5631" t="s">
        <v>9216</v>
      </c>
      <c r="D5631" t="s">
        <v>19041</v>
      </c>
      <c r="E5631" t="s">
        <v>24040</v>
      </c>
      <c r="F5631" t="s">
        <v>32831</v>
      </c>
      <c r="G5631" t="s">
        <v>32839</v>
      </c>
      <c r="H5631" t="s">
        <v>32848</v>
      </c>
      <c r="I5631" t="s">
        <v>7819</v>
      </c>
      <c r="J5631" t="s">
        <v>33139</v>
      </c>
      <c r="K5631" t="s">
        <v>42732</v>
      </c>
      <c r="M5631" t="s">
        <v>45084</v>
      </c>
      <c r="N5631" t="s">
        <v>47424</v>
      </c>
      <c r="O5631" t="s">
        <v>47425</v>
      </c>
      <c r="P5631">
        <v>0</v>
      </c>
      <c r="Q5631">
        <v>0</v>
      </c>
      <c r="R5631" t="s">
        <v>47430</v>
      </c>
      <c r="S5631" t="s">
        <v>47549</v>
      </c>
      <c r="T5631" t="s">
        <v>49175</v>
      </c>
      <c r="U5631" t="s">
        <v>54423</v>
      </c>
      <c r="W5631" t="s">
        <v>45084</v>
      </c>
      <c r="X5631" t="s">
        <v>47431</v>
      </c>
    </row>
    <row r="5632" spans="1:24">
      <c r="A5632">
        <f>HYPERLINK("https://www.philgeps.gov.ph/GEPSNONPILOT/Tender/SplashBidNoticeAbstractUI.aspx?menuIndex=3&amp;refID=7161259&amp;Result=3","7161259")</f>
        <v>0</v>
      </c>
      <c r="B5632" t="s">
        <v>728</v>
      </c>
      <c r="C5632" t="s">
        <v>9217</v>
      </c>
      <c r="D5632" t="s">
        <v>19047</v>
      </c>
      <c r="E5632" t="s">
        <v>19870</v>
      </c>
      <c r="F5632" t="s">
        <v>32831</v>
      </c>
      <c r="G5632" t="s">
        <v>32840</v>
      </c>
      <c r="H5632" t="s">
        <v>32848</v>
      </c>
      <c r="I5632" t="s">
        <v>4487</v>
      </c>
      <c r="J5632" t="s">
        <v>36591</v>
      </c>
      <c r="K5632" t="s">
        <v>42727</v>
      </c>
      <c r="M5632" t="s">
        <v>43750</v>
      </c>
      <c r="N5632" t="s">
        <v>47424</v>
      </c>
      <c r="O5632" t="s">
        <v>47425</v>
      </c>
      <c r="P5632">
        <v>0</v>
      </c>
      <c r="Q5632">
        <v>0</v>
      </c>
      <c r="R5632" t="s">
        <v>47430</v>
      </c>
      <c r="S5632" t="s">
        <v>47549</v>
      </c>
      <c r="T5632" t="s">
        <v>49237</v>
      </c>
      <c r="U5632" t="s">
        <v>54424</v>
      </c>
      <c r="W5632" t="s">
        <v>43750</v>
      </c>
      <c r="X5632" t="s">
        <v>47431</v>
      </c>
    </row>
    <row r="5633" spans="1:24">
      <c r="A5633">
        <f>HYPERLINK("https://www.philgeps.gov.ph/GEPSNONPILOT/Tender/SplashBidNoticeAbstractUI.aspx?menuIndex=3&amp;refID=7161267&amp;Result=3","7161267")</f>
        <v>0</v>
      </c>
      <c r="B5633" t="s">
        <v>2059</v>
      </c>
      <c r="C5633" t="s">
        <v>9218</v>
      </c>
      <c r="D5633" t="s">
        <v>19057</v>
      </c>
      <c r="E5633" t="s">
        <v>24041</v>
      </c>
      <c r="F5633" t="s">
        <v>32831</v>
      </c>
      <c r="G5633" t="s">
        <v>32839</v>
      </c>
      <c r="H5633" t="s">
        <v>32848</v>
      </c>
      <c r="I5633" t="s">
        <v>32864</v>
      </c>
      <c r="J5633" t="s">
        <v>36592</v>
      </c>
      <c r="K5633" t="s">
        <v>42732</v>
      </c>
      <c r="M5633" t="s">
        <v>45229</v>
      </c>
      <c r="N5633" t="s">
        <v>47424</v>
      </c>
      <c r="O5633" t="s">
        <v>47425</v>
      </c>
      <c r="P5633">
        <v>0</v>
      </c>
      <c r="Q5633">
        <v>2</v>
      </c>
      <c r="R5633" t="s">
        <v>47430</v>
      </c>
      <c r="S5633" t="s">
        <v>47549</v>
      </c>
      <c r="T5633" t="s">
        <v>49295</v>
      </c>
      <c r="U5633" t="s">
        <v>54425</v>
      </c>
      <c r="W5633" t="s">
        <v>45229</v>
      </c>
      <c r="X5633" t="s">
        <v>47431</v>
      </c>
    </row>
    <row r="5634" spans="1:24">
      <c r="A5634">
        <f>HYPERLINK("https://www.philgeps.gov.ph/GEPSNONPILOT/Tender/SplashBidNoticeAbstractUI.aspx?menuIndex=3&amp;refID=7161258&amp;Result=3","7161258")</f>
        <v>0</v>
      </c>
      <c r="B5634" t="s">
        <v>2059</v>
      </c>
      <c r="C5634" t="s">
        <v>9219</v>
      </c>
      <c r="D5634" t="s">
        <v>19057</v>
      </c>
      <c r="E5634" t="s">
        <v>24042</v>
      </c>
      <c r="F5634" t="s">
        <v>32831</v>
      </c>
      <c r="G5634" t="s">
        <v>32839</v>
      </c>
      <c r="H5634" t="s">
        <v>32848</v>
      </c>
      <c r="I5634" t="s">
        <v>4303</v>
      </c>
      <c r="J5634" t="s">
        <v>36593</v>
      </c>
      <c r="K5634" t="s">
        <v>42732</v>
      </c>
      <c r="M5634" t="s">
        <v>45229</v>
      </c>
      <c r="N5634" t="s">
        <v>47424</v>
      </c>
      <c r="O5634" t="s">
        <v>47425</v>
      </c>
      <c r="P5634">
        <v>0</v>
      </c>
      <c r="Q5634">
        <v>0</v>
      </c>
      <c r="R5634" t="s">
        <v>47430</v>
      </c>
      <c r="S5634" t="s">
        <v>47549</v>
      </c>
      <c r="T5634" t="s">
        <v>49295</v>
      </c>
      <c r="U5634" t="s">
        <v>54426</v>
      </c>
      <c r="W5634" t="s">
        <v>45229</v>
      </c>
      <c r="X5634" t="s">
        <v>47431</v>
      </c>
    </row>
    <row r="5635" spans="1:24">
      <c r="A5635">
        <f>HYPERLINK("https://www.philgeps.gov.ph/GEPSNONPILOT/Tender/SplashBidNoticeAbstractUI.aspx?menuIndex=3&amp;refID=7161283&amp;Result=3","7161283")</f>
        <v>0</v>
      </c>
      <c r="B5635" t="s">
        <v>2061</v>
      </c>
      <c r="C5635" t="s">
        <v>9220</v>
      </c>
      <c r="D5635" t="s">
        <v>19045</v>
      </c>
      <c r="E5635" t="s">
        <v>24043</v>
      </c>
      <c r="F5635" t="s">
        <v>32831</v>
      </c>
      <c r="G5635" t="s">
        <v>32839</v>
      </c>
      <c r="H5635" t="s">
        <v>32849</v>
      </c>
      <c r="I5635" t="s">
        <v>4177</v>
      </c>
      <c r="J5635" t="s">
        <v>35952</v>
      </c>
      <c r="K5635" t="s">
        <v>42780</v>
      </c>
      <c r="M5635" t="s">
        <v>45231</v>
      </c>
      <c r="N5635" t="s">
        <v>47424</v>
      </c>
      <c r="O5635" t="s">
        <v>47425</v>
      </c>
      <c r="P5635">
        <v>0</v>
      </c>
      <c r="Q5635">
        <v>1</v>
      </c>
      <c r="R5635" t="s">
        <v>47430</v>
      </c>
      <c r="S5635" t="s">
        <v>47549</v>
      </c>
      <c r="T5635" t="s">
        <v>49432</v>
      </c>
      <c r="U5635" t="s">
        <v>54427</v>
      </c>
      <c r="V5635" t="s">
        <v>63240</v>
      </c>
      <c r="W5635" t="s">
        <v>45231</v>
      </c>
      <c r="X5635" t="s">
        <v>47431</v>
      </c>
    </row>
    <row r="5636" spans="1:24">
      <c r="A5636">
        <f>HYPERLINK("https://www.philgeps.gov.ph/GEPSNONPILOT/Tender/SplashBidNoticeAbstractUI.aspx?menuIndex=3&amp;refID=7161324&amp;Result=3","7161324")</f>
        <v>0</v>
      </c>
      <c r="B5636" t="s">
        <v>2062</v>
      </c>
      <c r="C5636" t="s">
        <v>9221</v>
      </c>
      <c r="D5636" t="s">
        <v>19057</v>
      </c>
      <c r="E5636" t="s">
        <v>24044</v>
      </c>
      <c r="F5636" t="s">
        <v>32831</v>
      </c>
      <c r="G5636" t="s">
        <v>32840</v>
      </c>
      <c r="H5636" t="s">
        <v>32848</v>
      </c>
      <c r="I5636" t="s">
        <v>32858</v>
      </c>
      <c r="J5636" t="s">
        <v>36594</v>
      </c>
      <c r="K5636" t="s">
        <v>42731</v>
      </c>
      <c r="M5636" t="s">
        <v>45232</v>
      </c>
      <c r="N5636" t="s">
        <v>47424</v>
      </c>
      <c r="O5636" t="s">
        <v>47425</v>
      </c>
      <c r="P5636">
        <v>0</v>
      </c>
      <c r="Q5636">
        <v>6</v>
      </c>
      <c r="R5636" t="s">
        <v>47430</v>
      </c>
      <c r="S5636" t="s">
        <v>47549</v>
      </c>
      <c r="T5636" t="s">
        <v>49237</v>
      </c>
      <c r="U5636" t="s">
        <v>54428</v>
      </c>
      <c r="V5636" t="s">
        <v>63241</v>
      </c>
      <c r="W5636" t="s">
        <v>45232</v>
      </c>
      <c r="X5636" t="s">
        <v>47431</v>
      </c>
    </row>
    <row r="5637" spans="1:24">
      <c r="A5637">
        <f>HYPERLINK("https://www.philgeps.gov.ph/GEPSNONPILOT/Tender/SplashBidNoticeAbstractUI.aspx?menuIndex=3&amp;refID=7161322&amp;Result=3","7161322")</f>
        <v>0</v>
      </c>
      <c r="B5637" t="s">
        <v>2063</v>
      </c>
      <c r="C5637" t="s">
        <v>9222</v>
      </c>
      <c r="D5637" t="s">
        <v>19091</v>
      </c>
      <c r="E5637" t="s">
        <v>24045</v>
      </c>
      <c r="F5637" t="s">
        <v>32831</v>
      </c>
      <c r="G5637" t="s">
        <v>32838</v>
      </c>
      <c r="H5637" t="s">
        <v>32850</v>
      </c>
      <c r="I5637" t="s">
        <v>32885</v>
      </c>
      <c r="J5637" t="s">
        <v>36595</v>
      </c>
      <c r="K5637" t="s">
        <v>42727</v>
      </c>
      <c r="M5637" t="s">
        <v>45233</v>
      </c>
      <c r="N5637" t="s">
        <v>47424</v>
      </c>
      <c r="O5637" t="s">
        <v>47425</v>
      </c>
      <c r="P5637">
        <v>0</v>
      </c>
      <c r="Q5637">
        <v>0</v>
      </c>
      <c r="R5637" t="s">
        <v>47430</v>
      </c>
      <c r="S5637" t="s">
        <v>47549</v>
      </c>
      <c r="T5637" t="s">
        <v>49056</v>
      </c>
      <c r="U5637" t="s">
        <v>54429</v>
      </c>
      <c r="W5637" t="s">
        <v>45233</v>
      </c>
      <c r="X5637" t="s">
        <v>47431</v>
      </c>
    </row>
    <row r="5638" spans="1:24">
      <c r="A5638">
        <f>HYPERLINK("https://www.philgeps.gov.ph/GEPSNONPILOT/Tender/SplashBidNoticeAbstractUI.aspx?menuIndex=3&amp;refID=7159195&amp;Result=3","7159195")</f>
        <v>0</v>
      </c>
      <c r="B5638" t="s">
        <v>2064</v>
      </c>
      <c r="C5638" t="s">
        <v>9223</v>
      </c>
      <c r="D5638" t="s">
        <v>19022</v>
      </c>
      <c r="E5638" t="s">
        <v>24046</v>
      </c>
      <c r="F5638" t="s">
        <v>32831</v>
      </c>
      <c r="G5638" t="s">
        <v>32838</v>
      </c>
      <c r="H5638" t="s">
        <v>32848</v>
      </c>
      <c r="I5638" t="s">
        <v>32864</v>
      </c>
      <c r="J5638" t="s">
        <v>33078</v>
      </c>
      <c r="K5638" t="s">
        <v>42726</v>
      </c>
      <c r="M5638" t="s">
        <v>45234</v>
      </c>
      <c r="N5638" t="s">
        <v>47424</v>
      </c>
      <c r="O5638" t="s">
        <v>47425</v>
      </c>
      <c r="P5638">
        <v>0</v>
      </c>
      <c r="Q5638">
        <v>10</v>
      </c>
      <c r="R5638" t="s">
        <v>47430</v>
      </c>
      <c r="S5638" t="s">
        <v>47549</v>
      </c>
      <c r="T5638" t="s">
        <v>49089</v>
      </c>
      <c r="U5638" t="s">
        <v>54430</v>
      </c>
      <c r="V5638" t="s">
        <v>63242</v>
      </c>
      <c r="W5638" t="s">
        <v>45234</v>
      </c>
      <c r="X5638" t="s">
        <v>47431</v>
      </c>
    </row>
    <row r="5639" spans="1:24">
      <c r="A5639">
        <f>HYPERLINK("https://www.philgeps.gov.ph/GEPSNONPILOT/Tender/SplashBidNoticeAbstractUI.aspx?menuIndex=3&amp;refID=7161260&amp;Result=3","7161260")</f>
        <v>0</v>
      </c>
      <c r="B5639" t="s">
        <v>2065</v>
      </c>
      <c r="C5639" t="s">
        <v>9224</v>
      </c>
      <c r="D5639" t="s">
        <v>19017</v>
      </c>
      <c r="E5639" t="s">
        <v>24047</v>
      </c>
      <c r="F5639" t="s">
        <v>32831</v>
      </c>
      <c r="G5639" t="s">
        <v>32842</v>
      </c>
      <c r="H5639" t="s">
        <v>32848</v>
      </c>
      <c r="I5639" t="s">
        <v>4558</v>
      </c>
      <c r="J5639" t="s">
        <v>36569</v>
      </c>
      <c r="K5639" t="s">
        <v>42726</v>
      </c>
      <c r="M5639" t="s">
        <v>45235</v>
      </c>
      <c r="N5639" t="s">
        <v>47424</v>
      </c>
      <c r="O5639" t="s">
        <v>47425</v>
      </c>
      <c r="P5639">
        <v>0</v>
      </c>
      <c r="Q5639">
        <v>4</v>
      </c>
      <c r="R5639" t="s">
        <v>47430</v>
      </c>
      <c r="S5639" t="s">
        <v>47549</v>
      </c>
      <c r="T5639" t="s">
        <v>49127</v>
      </c>
      <c r="U5639" t="s">
        <v>54431</v>
      </c>
      <c r="V5639" t="s">
        <v>63243</v>
      </c>
      <c r="W5639" t="s">
        <v>45235</v>
      </c>
      <c r="X5639" t="s">
        <v>47431</v>
      </c>
    </row>
    <row r="5640" spans="1:24">
      <c r="A5640">
        <f>HYPERLINK("https://www.philgeps.gov.ph/GEPSNONPILOT/Tender/SplashBidNoticeAbstractUI.aspx?menuIndex=3&amp;refID=7159375&amp;Result=3","7159375")</f>
        <v>0</v>
      </c>
      <c r="B5640" t="s">
        <v>1728</v>
      </c>
      <c r="C5640" t="s">
        <v>9225</v>
      </c>
      <c r="D5640" t="s">
        <v>19058</v>
      </c>
      <c r="E5640" t="s">
        <v>24048</v>
      </c>
      <c r="F5640" t="s">
        <v>32831</v>
      </c>
      <c r="G5640" t="s">
        <v>32839</v>
      </c>
      <c r="H5640" t="s">
        <v>32848</v>
      </c>
      <c r="I5640" t="s">
        <v>32857</v>
      </c>
      <c r="J5640" t="s">
        <v>34930</v>
      </c>
      <c r="K5640" t="s">
        <v>42727</v>
      </c>
      <c r="M5640" t="s">
        <v>44851</v>
      </c>
      <c r="N5640" t="s">
        <v>47424</v>
      </c>
      <c r="O5640" t="s">
        <v>47425</v>
      </c>
      <c r="P5640">
        <v>0</v>
      </c>
      <c r="Q5640">
        <v>3</v>
      </c>
      <c r="R5640" t="s">
        <v>47430</v>
      </c>
      <c r="S5640" t="s">
        <v>47549</v>
      </c>
      <c r="T5640" t="s">
        <v>49123</v>
      </c>
      <c r="U5640" t="s">
        <v>53325</v>
      </c>
      <c r="W5640" t="s">
        <v>44851</v>
      </c>
      <c r="X5640" t="s">
        <v>47431</v>
      </c>
    </row>
    <row r="5641" spans="1:24">
      <c r="A5641">
        <f>HYPERLINK("https://www.philgeps.gov.ph/GEPSNONPILOT/Tender/SplashBidNoticeAbstractUI.aspx?menuIndex=3&amp;refID=7161264&amp;Result=3","7161264")</f>
        <v>0</v>
      </c>
      <c r="B5641" t="s">
        <v>391</v>
      </c>
      <c r="C5641" t="s">
        <v>9226</v>
      </c>
      <c r="D5641" t="s">
        <v>19090</v>
      </c>
      <c r="E5641" t="s">
        <v>21710</v>
      </c>
      <c r="F5641" t="s">
        <v>32831</v>
      </c>
      <c r="G5641" t="s">
        <v>32838</v>
      </c>
      <c r="H5641" t="s">
        <v>32848</v>
      </c>
      <c r="I5641" t="s">
        <v>32858</v>
      </c>
      <c r="J5641" t="s">
        <v>36596</v>
      </c>
      <c r="K5641" t="s">
        <v>42758</v>
      </c>
      <c r="M5641" t="s">
        <v>43396</v>
      </c>
      <c r="N5641" t="s">
        <v>47424</v>
      </c>
      <c r="O5641" t="s">
        <v>47425</v>
      </c>
      <c r="P5641">
        <v>0</v>
      </c>
      <c r="Q5641">
        <v>1</v>
      </c>
      <c r="R5641" t="s">
        <v>47430</v>
      </c>
      <c r="S5641" t="s">
        <v>47549</v>
      </c>
      <c r="T5641" t="s">
        <v>49237</v>
      </c>
      <c r="U5641" t="s">
        <v>54432</v>
      </c>
      <c r="W5641" t="s">
        <v>43396</v>
      </c>
      <c r="X5641" t="s">
        <v>47431</v>
      </c>
    </row>
    <row r="5642" spans="1:24">
      <c r="A5642">
        <f>HYPERLINK("https://www.philgeps.gov.ph/GEPSNONPILOT/Tender/SplashBidNoticeAbstractUI.aspx?menuIndex=3&amp;refID=7161311&amp;Result=3","7161311")</f>
        <v>0</v>
      </c>
      <c r="B5642" t="s">
        <v>311</v>
      </c>
      <c r="C5642" t="s">
        <v>9227</v>
      </c>
      <c r="D5642" t="s">
        <v>19064</v>
      </c>
      <c r="E5642" t="s">
        <v>24049</v>
      </c>
      <c r="F5642" t="s">
        <v>32831</v>
      </c>
      <c r="G5642" t="s">
        <v>32838</v>
      </c>
      <c r="H5642" t="s">
        <v>32848</v>
      </c>
      <c r="I5642" t="s">
        <v>9577</v>
      </c>
      <c r="J5642" t="s">
        <v>36597</v>
      </c>
      <c r="K5642" t="s">
        <v>42763</v>
      </c>
      <c r="M5642" t="s">
        <v>43313</v>
      </c>
      <c r="N5642" t="s">
        <v>47424</v>
      </c>
      <c r="O5642" t="s">
        <v>47425</v>
      </c>
      <c r="P5642">
        <v>0</v>
      </c>
      <c r="Q5642">
        <v>0</v>
      </c>
      <c r="R5642" t="s">
        <v>47430</v>
      </c>
      <c r="S5642" t="s">
        <v>47549</v>
      </c>
      <c r="T5642" t="s">
        <v>49077</v>
      </c>
      <c r="U5642" t="s">
        <v>54186</v>
      </c>
      <c r="W5642" t="s">
        <v>43313</v>
      </c>
      <c r="X5642" t="s">
        <v>47431</v>
      </c>
    </row>
    <row r="5643" spans="1:24">
      <c r="A5643">
        <f>HYPERLINK("https://www.philgeps.gov.ph/GEPSNONPILOT/Tender/SplashBidNoticeAbstractUI.aspx?menuIndex=3&amp;refID=7161261&amp;Result=3","7161261")</f>
        <v>0</v>
      </c>
      <c r="B5643" t="s">
        <v>693</v>
      </c>
      <c r="C5643" t="s">
        <v>9228</v>
      </c>
      <c r="D5643" t="s">
        <v>19073</v>
      </c>
      <c r="E5643" t="s">
        <v>20444</v>
      </c>
      <c r="F5643" t="s">
        <v>32831</v>
      </c>
      <c r="G5643" t="s">
        <v>32840</v>
      </c>
      <c r="H5643" t="s">
        <v>32848</v>
      </c>
      <c r="I5643" t="s">
        <v>32861</v>
      </c>
      <c r="J5643" t="s">
        <v>36598</v>
      </c>
      <c r="K5643" t="s">
        <v>42731</v>
      </c>
      <c r="M5643" t="s">
        <v>43712</v>
      </c>
      <c r="N5643" t="s">
        <v>47424</v>
      </c>
      <c r="O5643" t="s">
        <v>47425</v>
      </c>
      <c r="P5643">
        <v>0</v>
      </c>
      <c r="Q5643">
        <v>2</v>
      </c>
      <c r="R5643" t="s">
        <v>47430</v>
      </c>
      <c r="S5643" t="s">
        <v>47549</v>
      </c>
      <c r="T5643" t="s">
        <v>49108</v>
      </c>
      <c r="U5643" t="s">
        <v>54433</v>
      </c>
      <c r="W5643" t="s">
        <v>43712</v>
      </c>
      <c r="X5643" t="s">
        <v>47431</v>
      </c>
    </row>
    <row r="5644" spans="1:24">
      <c r="A5644">
        <f>HYPERLINK("https://www.philgeps.gov.ph/GEPSNONPILOT/Tender/SplashBidNoticeAbstractUI.aspx?menuIndex=3&amp;refID=7161319&amp;Result=3","7161319")</f>
        <v>0</v>
      </c>
      <c r="B5644" t="s">
        <v>103</v>
      </c>
      <c r="C5644" t="s">
        <v>9229</v>
      </c>
      <c r="D5644" t="s">
        <v>19056</v>
      </c>
      <c r="E5644" t="s">
        <v>24050</v>
      </c>
      <c r="F5644" t="s">
        <v>32831</v>
      </c>
      <c r="G5644" t="s">
        <v>32838</v>
      </c>
      <c r="H5644" t="s">
        <v>32848</v>
      </c>
      <c r="I5644" t="s">
        <v>4177</v>
      </c>
      <c r="J5644" t="s">
        <v>36599</v>
      </c>
      <c r="K5644" t="s">
        <v>42730</v>
      </c>
      <c r="L5644" t="s">
        <v>103</v>
      </c>
      <c r="M5644" t="s">
        <v>43100</v>
      </c>
      <c r="N5644" t="s">
        <v>47424</v>
      </c>
      <c r="O5644" t="s">
        <v>47425</v>
      </c>
      <c r="P5644">
        <v>0</v>
      </c>
      <c r="Q5644">
        <v>3</v>
      </c>
      <c r="R5644" t="s">
        <v>47430</v>
      </c>
      <c r="S5644" t="s">
        <v>47549</v>
      </c>
      <c r="T5644" t="s">
        <v>49116</v>
      </c>
      <c r="U5644" t="s">
        <v>54434</v>
      </c>
      <c r="W5644" t="s">
        <v>43100</v>
      </c>
      <c r="X5644" t="s">
        <v>47431</v>
      </c>
    </row>
    <row r="5645" spans="1:24">
      <c r="A5645">
        <f>HYPERLINK("https://www.philgeps.gov.ph/GEPSNONPILOT/Tender/SplashBidNoticeAbstractUI.aspx?menuIndex=3&amp;refID=7161303&amp;Result=3","7161303")</f>
        <v>0</v>
      </c>
      <c r="B5645" t="s">
        <v>2066</v>
      </c>
      <c r="C5645" t="s">
        <v>9230</v>
      </c>
      <c r="D5645" t="s">
        <v>19062</v>
      </c>
      <c r="E5645" t="s">
        <v>24051</v>
      </c>
      <c r="F5645" t="s">
        <v>32831</v>
      </c>
      <c r="G5645" t="s">
        <v>32838</v>
      </c>
      <c r="H5645" t="s">
        <v>32848</v>
      </c>
      <c r="I5645" t="s">
        <v>32860</v>
      </c>
      <c r="J5645" t="s">
        <v>36600</v>
      </c>
      <c r="K5645" t="s">
        <v>42759</v>
      </c>
      <c r="L5645" t="s">
        <v>2066</v>
      </c>
      <c r="M5645" t="s">
        <v>45236</v>
      </c>
      <c r="N5645" t="s">
        <v>47424</v>
      </c>
      <c r="O5645" t="s">
        <v>47425</v>
      </c>
      <c r="P5645">
        <v>0</v>
      </c>
      <c r="Q5645">
        <v>5</v>
      </c>
      <c r="R5645" t="s">
        <v>47430</v>
      </c>
      <c r="S5645" t="s">
        <v>47549</v>
      </c>
      <c r="T5645" t="s">
        <v>49091</v>
      </c>
      <c r="U5645" t="s">
        <v>54435</v>
      </c>
      <c r="V5645" t="s">
        <v>63244</v>
      </c>
      <c r="W5645" t="s">
        <v>45236</v>
      </c>
      <c r="X5645" t="s">
        <v>47431</v>
      </c>
    </row>
    <row r="5646" spans="1:24">
      <c r="A5646">
        <f>HYPERLINK("https://www.philgeps.gov.ph/GEPSNONPILOT/Tender/SplashBidNoticeAbstractUI.aspx?menuIndex=3&amp;refID=7161314&amp;Result=3","7161314")</f>
        <v>0</v>
      </c>
      <c r="B5646" t="s">
        <v>1454</v>
      </c>
      <c r="C5646" t="s">
        <v>9231</v>
      </c>
      <c r="D5646" t="s">
        <v>19052</v>
      </c>
      <c r="E5646" t="s">
        <v>24052</v>
      </c>
      <c r="F5646" t="s">
        <v>32831</v>
      </c>
      <c r="G5646" t="s">
        <v>32839</v>
      </c>
      <c r="H5646" t="s">
        <v>32848</v>
      </c>
      <c r="I5646" t="s">
        <v>32901</v>
      </c>
      <c r="J5646" t="s">
        <v>36601</v>
      </c>
      <c r="K5646" t="s">
        <v>42780</v>
      </c>
      <c r="M5646" t="s">
        <v>44546</v>
      </c>
      <c r="N5646" t="s">
        <v>47424</v>
      </c>
      <c r="O5646" t="s">
        <v>47425</v>
      </c>
      <c r="P5646">
        <v>0</v>
      </c>
      <c r="Q5646">
        <v>7</v>
      </c>
      <c r="R5646" t="s">
        <v>47430</v>
      </c>
      <c r="S5646" t="s">
        <v>47549</v>
      </c>
      <c r="T5646" t="s">
        <v>49222</v>
      </c>
      <c r="U5646" t="s">
        <v>54436</v>
      </c>
      <c r="W5646" t="s">
        <v>44546</v>
      </c>
      <c r="X5646" t="s">
        <v>47431</v>
      </c>
    </row>
    <row r="5647" spans="1:24">
      <c r="A5647">
        <f>HYPERLINK("https://www.philgeps.gov.ph/GEPSNONPILOT/Tender/SplashBidNoticeAbstractUI.aspx?menuIndex=3&amp;refID=7161296&amp;Result=3","7161296")</f>
        <v>0</v>
      </c>
      <c r="B5647" t="s">
        <v>103</v>
      </c>
      <c r="C5647" t="s">
        <v>9232</v>
      </c>
      <c r="D5647" t="s">
        <v>19056</v>
      </c>
      <c r="E5647" t="s">
        <v>24053</v>
      </c>
      <c r="F5647" t="s">
        <v>32831</v>
      </c>
      <c r="G5647" t="s">
        <v>32842</v>
      </c>
      <c r="H5647" t="s">
        <v>32848</v>
      </c>
      <c r="I5647" t="s">
        <v>32860</v>
      </c>
      <c r="J5647" t="s">
        <v>36602</v>
      </c>
      <c r="K5647" t="s">
        <v>42742</v>
      </c>
      <c r="L5647" t="s">
        <v>103</v>
      </c>
      <c r="M5647" t="s">
        <v>43100</v>
      </c>
      <c r="N5647" t="s">
        <v>47424</v>
      </c>
      <c r="O5647" t="s">
        <v>47425</v>
      </c>
      <c r="P5647">
        <v>0</v>
      </c>
      <c r="Q5647">
        <v>4</v>
      </c>
      <c r="R5647" t="s">
        <v>47430</v>
      </c>
      <c r="S5647" t="s">
        <v>47549</v>
      </c>
      <c r="T5647" t="s">
        <v>49115</v>
      </c>
      <c r="U5647" t="s">
        <v>49808</v>
      </c>
      <c r="W5647" t="s">
        <v>43100</v>
      </c>
      <c r="X5647" t="s">
        <v>47431</v>
      </c>
    </row>
    <row r="5648" spans="1:24">
      <c r="A5648">
        <f>HYPERLINK("https://www.philgeps.gov.ph/GEPSNONPILOT/Tender/SplashBidNoticeAbstractUI.aspx?menuIndex=3&amp;refID=7161308&amp;Result=3","7161308")</f>
        <v>0</v>
      </c>
      <c r="B5648" t="s">
        <v>547</v>
      </c>
      <c r="C5648" t="s">
        <v>9233</v>
      </c>
      <c r="D5648" t="s">
        <v>19045</v>
      </c>
      <c r="E5648" t="s">
        <v>24054</v>
      </c>
      <c r="F5648" t="s">
        <v>32831</v>
      </c>
      <c r="G5648" t="s">
        <v>32838</v>
      </c>
      <c r="H5648" t="s">
        <v>32848</v>
      </c>
      <c r="I5648" t="s">
        <v>10805</v>
      </c>
      <c r="J5648" t="s">
        <v>36603</v>
      </c>
      <c r="K5648" t="s">
        <v>42759</v>
      </c>
      <c r="M5648" t="s">
        <v>43553</v>
      </c>
      <c r="N5648" t="s">
        <v>47424</v>
      </c>
      <c r="O5648" t="s">
        <v>47425</v>
      </c>
      <c r="P5648">
        <v>0</v>
      </c>
      <c r="Q5648">
        <v>0</v>
      </c>
      <c r="R5648" t="s">
        <v>47430</v>
      </c>
      <c r="S5648" t="s">
        <v>47549</v>
      </c>
      <c r="T5648" t="s">
        <v>49111</v>
      </c>
      <c r="U5648" t="s">
        <v>50672</v>
      </c>
      <c r="W5648" t="s">
        <v>43553</v>
      </c>
      <c r="X5648" t="s">
        <v>47431</v>
      </c>
    </row>
    <row r="5649" spans="1:24">
      <c r="A5649">
        <f>HYPERLINK("https://www.philgeps.gov.ph/GEPSNONPILOT/Tender/SplashBidNoticeAbstractUI.aspx?menuIndex=3&amp;refID=7161292&amp;Result=3","7161292")</f>
        <v>0</v>
      </c>
      <c r="B5649" t="s">
        <v>718</v>
      </c>
      <c r="C5649" t="s">
        <v>9234</v>
      </c>
      <c r="D5649" t="s">
        <v>19017</v>
      </c>
      <c r="E5649" t="s">
        <v>24055</v>
      </c>
      <c r="F5649" t="s">
        <v>32831</v>
      </c>
      <c r="G5649" t="s">
        <v>32838</v>
      </c>
      <c r="H5649" t="s">
        <v>32848</v>
      </c>
      <c r="I5649" t="s">
        <v>32867</v>
      </c>
      <c r="J5649" t="s">
        <v>36604</v>
      </c>
      <c r="K5649" t="s">
        <v>42747</v>
      </c>
      <c r="M5649" t="s">
        <v>43738</v>
      </c>
      <c r="N5649" t="s">
        <v>47424</v>
      </c>
      <c r="O5649" t="s">
        <v>47425</v>
      </c>
      <c r="P5649">
        <v>0</v>
      </c>
      <c r="Q5649">
        <v>13</v>
      </c>
      <c r="R5649" t="s">
        <v>47430</v>
      </c>
      <c r="S5649" t="s">
        <v>47549</v>
      </c>
      <c r="T5649" t="s">
        <v>49270</v>
      </c>
      <c r="U5649" t="s">
        <v>54437</v>
      </c>
      <c r="V5649" t="s">
        <v>63245</v>
      </c>
      <c r="W5649" t="s">
        <v>43738</v>
      </c>
      <c r="X5649" t="s">
        <v>47431</v>
      </c>
    </row>
    <row r="5650" spans="1:24">
      <c r="A5650">
        <f>HYPERLINK("https://www.philgeps.gov.ph/GEPSNONPILOT/Tender/SplashBidNoticeAbstractUI.aspx?menuIndex=3&amp;refID=7161317&amp;Result=3","7161317")</f>
        <v>0</v>
      </c>
      <c r="B5650" t="s">
        <v>1054</v>
      </c>
      <c r="C5650" t="s">
        <v>9235</v>
      </c>
      <c r="E5650" t="s">
        <v>24056</v>
      </c>
      <c r="F5650" t="s">
        <v>32831</v>
      </c>
      <c r="G5650" t="s">
        <v>32838</v>
      </c>
      <c r="H5650" t="s">
        <v>32848</v>
      </c>
      <c r="I5650" t="s">
        <v>32912</v>
      </c>
      <c r="J5650" t="s">
        <v>33497</v>
      </c>
      <c r="K5650" t="s">
        <v>42732</v>
      </c>
      <c r="M5650" t="s">
        <v>44111</v>
      </c>
      <c r="N5650" t="s">
        <v>47424</v>
      </c>
      <c r="O5650" t="s">
        <v>47425</v>
      </c>
      <c r="P5650">
        <v>0</v>
      </c>
      <c r="Q5650">
        <v>10</v>
      </c>
      <c r="R5650" t="s">
        <v>47430</v>
      </c>
      <c r="S5650" t="s">
        <v>47549</v>
      </c>
      <c r="T5650" t="s">
        <v>49239</v>
      </c>
      <c r="U5650" t="s">
        <v>51715</v>
      </c>
      <c r="W5650" t="s">
        <v>44111</v>
      </c>
      <c r="X5650" t="s">
        <v>47431</v>
      </c>
    </row>
    <row r="5651" spans="1:24">
      <c r="A5651">
        <f>HYPERLINK("https://www.philgeps.gov.ph/GEPSNONPILOT/Tender/SplashBidNoticeAbstractUI.aspx?menuIndex=3&amp;refID=7161291&amp;Result=3","7161291")</f>
        <v>0</v>
      </c>
      <c r="B5651" t="s">
        <v>1474</v>
      </c>
      <c r="C5651" t="s">
        <v>9236</v>
      </c>
      <c r="D5651" t="s">
        <v>19066</v>
      </c>
      <c r="E5651" t="s">
        <v>24057</v>
      </c>
      <c r="F5651" t="s">
        <v>32831</v>
      </c>
      <c r="G5651" t="s">
        <v>32839</v>
      </c>
      <c r="H5651" t="s">
        <v>32848</v>
      </c>
      <c r="I5651" t="s">
        <v>32870</v>
      </c>
      <c r="J5651" t="s">
        <v>36605</v>
      </c>
      <c r="K5651" t="s">
        <v>42731</v>
      </c>
      <c r="M5651" t="s">
        <v>44567</v>
      </c>
      <c r="N5651" t="s">
        <v>47424</v>
      </c>
      <c r="O5651" t="s">
        <v>47425</v>
      </c>
      <c r="P5651">
        <v>0</v>
      </c>
      <c r="Q5651">
        <v>0</v>
      </c>
      <c r="R5651" t="s">
        <v>47430</v>
      </c>
      <c r="S5651" t="s">
        <v>47549</v>
      </c>
      <c r="T5651" t="s">
        <v>49089</v>
      </c>
      <c r="U5651" t="s">
        <v>54438</v>
      </c>
      <c r="W5651" t="s">
        <v>44567</v>
      </c>
      <c r="X5651" t="s">
        <v>47431</v>
      </c>
    </row>
    <row r="5652" spans="1:24">
      <c r="A5652">
        <f>HYPERLINK("https://www.philgeps.gov.ph/GEPSNONPILOT/Tender/SplashBidNoticeAbstractUI.aspx?menuIndex=3&amp;refID=7161306&amp;Result=3","7161306")</f>
        <v>0</v>
      </c>
      <c r="B5652" t="s">
        <v>103</v>
      </c>
      <c r="C5652" t="s">
        <v>9237</v>
      </c>
      <c r="D5652" t="s">
        <v>19056</v>
      </c>
      <c r="E5652" t="s">
        <v>24058</v>
      </c>
      <c r="F5652" t="s">
        <v>32831</v>
      </c>
      <c r="G5652" t="s">
        <v>32838</v>
      </c>
      <c r="H5652" t="s">
        <v>32848</v>
      </c>
      <c r="I5652" t="s">
        <v>5379</v>
      </c>
      <c r="J5652" t="s">
        <v>33041</v>
      </c>
      <c r="K5652" t="s">
        <v>42759</v>
      </c>
      <c r="L5652" t="s">
        <v>103</v>
      </c>
      <c r="M5652" t="s">
        <v>43100</v>
      </c>
      <c r="N5652" t="s">
        <v>47424</v>
      </c>
      <c r="O5652" t="s">
        <v>47425</v>
      </c>
      <c r="P5652">
        <v>0</v>
      </c>
      <c r="Q5652">
        <v>0</v>
      </c>
      <c r="R5652" t="s">
        <v>47430</v>
      </c>
      <c r="S5652" t="s">
        <v>47549</v>
      </c>
      <c r="T5652" t="s">
        <v>49116</v>
      </c>
      <c r="U5652" t="s">
        <v>49808</v>
      </c>
      <c r="W5652" t="s">
        <v>43100</v>
      </c>
      <c r="X5652" t="s">
        <v>47431</v>
      </c>
    </row>
    <row r="5653" spans="1:24">
      <c r="A5653">
        <f>HYPERLINK("https://www.philgeps.gov.ph/GEPSNONPILOT/Tender/SplashBidNoticeAbstractUI.aspx?menuIndex=3&amp;refID=7161289&amp;Result=3","7161289")</f>
        <v>0</v>
      </c>
      <c r="B5653" t="s">
        <v>2067</v>
      </c>
      <c r="C5653" t="s">
        <v>9238</v>
      </c>
      <c r="D5653" t="s">
        <v>19037</v>
      </c>
      <c r="E5653" t="s">
        <v>24059</v>
      </c>
      <c r="F5653" t="s">
        <v>32831</v>
      </c>
      <c r="G5653" t="s">
        <v>32839</v>
      </c>
      <c r="H5653" t="s">
        <v>14069</v>
      </c>
      <c r="I5653" t="s">
        <v>14069</v>
      </c>
      <c r="J5653" t="s">
        <v>36606</v>
      </c>
      <c r="K5653" t="s">
        <v>42770</v>
      </c>
      <c r="M5653" t="s">
        <v>45237</v>
      </c>
      <c r="N5653" t="s">
        <v>47424</v>
      </c>
      <c r="O5653" t="s">
        <v>47425</v>
      </c>
      <c r="P5653">
        <v>0</v>
      </c>
      <c r="Q5653">
        <v>2</v>
      </c>
      <c r="R5653" t="s">
        <v>47430</v>
      </c>
      <c r="S5653" t="s">
        <v>47549</v>
      </c>
      <c r="T5653" t="s">
        <v>49129</v>
      </c>
      <c r="U5653" t="s">
        <v>54439</v>
      </c>
      <c r="W5653" t="s">
        <v>45237</v>
      </c>
      <c r="X5653" t="s">
        <v>47431</v>
      </c>
    </row>
    <row r="5654" spans="1:24">
      <c r="A5654">
        <f>HYPERLINK("https://www.philgeps.gov.ph/GEPSNONPILOT/Tender/SplashBidNoticeAbstractUI.aspx?menuIndex=3&amp;refID=7161288&amp;Result=3","7161288")</f>
        <v>0</v>
      </c>
      <c r="B5654" t="s">
        <v>413</v>
      </c>
      <c r="C5654" t="s">
        <v>9239</v>
      </c>
      <c r="D5654" t="s">
        <v>19017</v>
      </c>
      <c r="E5654" t="s">
        <v>24060</v>
      </c>
      <c r="F5654" t="s">
        <v>32831</v>
      </c>
      <c r="G5654" t="s">
        <v>32840</v>
      </c>
      <c r="H5654" t="s">
        <v>32848</v>
      </c>
      <c r="I5654" t="s">
        <v>32874</v>
      </c>
      <c r="J5654" t="s">
        <v>33140</v>
      </c>
      <c r="K5654" t="s">
        <v>42727</v>
      </c>
      <c r="M5654" t="s">
        <v>43418</v>
      </c>
      <c r="N5654" t="s">
        <v>47424</v>
      </c>
      <c r="O5654" t="s">
        <v>47425</v>
      </c>
      <c r="P5654">
        <v>0</v>
      </c>
      <c r="Q5654">
        <v>11</v>
      </c>
      <c r="R5654" t="s">
        <v>47430</v>
      </c>
      <c r="S5654" t="s">
        <v>47549</v>
      </c>
      <c r="T5654" t="s">
        <v>49239</v>
      </c>
      <c r="U5654" t="s">
        <v>54440</v>
      </c>
      <c r="V5654" t="s">
        <v>62872</v>
      </c>
      <c r="W5654" t="s">
        <v>64454</v>
      </c>
      <c r="X5654" t="s">
        <v>47431</v>
      </c>
    </row>
    <row r="5655" spans="1:24">
      <c r="A5655">
        <f>HYPERLINK("https://www.philgeps.gov.ph/GEPSNONPILOT/Tender/SplashBidNoticeAbstractUI.aspx?menuIndex=3&amp;refID=7161307&amp;Result=3","7161307")</f>
        <v>0</v>
      </c>
      <c r="B5655" t="s">
        <v>1004</v>
      </c>
      <c r="C5655" t="s">
        <v>9240</v>
      </c>
      <c r="D5655" t="s">
        <v>19050</v>
      </c>
      <c r="E5655" t="s">
        <v>24061</v>
      </c>
      <c r="F5655" t="s">
        <v>32831</v>
      </c>
      <c r="G5655" t="s">
        <v>32838</v>
      </c>
      <c r="H5655" t="s">
        <v>32848</v>
      </c>
      <c r="I5655" t="s">
        <v>4340</v>
      </c>
      <c r="J5655" t="s">
        <v>36607</v>
      </c>
      <c r="K5655" t="s">
        <v>42745</v>
      </c>
      <c r="M5655" t="s">
        <v>44053</v>
      </c>
      <c r="N5655" t="s">
        <v>47424</v>
      </c>
      <c r="O5655" t="s">
        <v>47425</v>
      </c>
      <c r="P5655">
        <v>0</v>
      </c>
      <c r="Q5655">
        <v>0</v>
      </c>
      <c r="R5655" t="s">
        <v>47430</v>
      </c>
      <c r="S5655" t="s">
        <v>47549</v>
      </c>
      <c r="T5655" t="s">
        <v>49056</v>
      </c>
      <c r="U5655" t="s">
        <v>54441</v>
      </c>
      <c r="W5655" t="s">
        <v>44053</v>
      </c>
      <c r="X5655" t="s">
        <v>47431</v>
      </c>
    </row>
    <row r="5656" spans="1:24">
      <c r="A5656">
        <f>HYPERLINK("https://www.philgeps.gov.ph/GEPSNONPILOT/Tender/SplashBidNoticeAbstractUI.aspx?menuIndex=3&amp;refID=7161253&amp;Result=3","7161253")</f>
        <v>0</v>
      </c>
      <c r="B5656" t="s">
        <v>2059</v>
      </c>
      <c r="C5656" t="s">
        <v>9241</v>
      </c>
      <c r="D5656" t="s">
        <v>19057</v>
      </c>
      <c r="E5656" t="s">
        <v>24062</v>
      </c>
      <c r="F5656" t="s">
        <v>32831</v>
      </c>
      <c r="G5656" t="s">
        <v>32839</v>
      </c>
      <c r="H5656" t="s">
        <v>32848</v>
      </c>
      <c r="I5656" t="s">
        <v>32862</v>
      </c>
      <c r="J5656" t="s">
        <v>36608</v>
      </c>
      <c r="K5656" t="s">
        <v>42732</v>
      </c>
      <c r="M5656" t="s">
        <v>45229</v>
      </c>
      <c r="N5656" t="s">
        <v>47424</v>
      </c>
      <c r="O5656" t="s">
        <v>47425</v>
      </c>
      <c r="P5656">
        <v>0</v>
      </c>
      <c r="Q5656">
        <v>0</v>
      </c>
      <c r="R5656" t="s">
        <v>47430</v>
      </c>
      <c r="S5656" t="s">
        <v>47549</v>
      </c>
      <c r="T5656" t="s">
        <v>49295</v>
      </c>
      <c r="U5656" t="s">
        <v>54442</v>
      </c>
      <c r="W5656" t="s">
        <v>45229</v>
      </c>
      <c r="X5656" t="s">
        <v>47431</v>
      </c>
    </row>
    <row r="5657" spans="1:24">
      <c r="A5657">
        <f>HYPERLINK("https://www.philgeps.gov.ph/GEPSNONPILOT/Tender/SplashBidNoticeAbstractUI.aspx?menuIndex=3&amp;refID=7161247&amp;Result=3","7161247")</f>
        <v>0</v>
      </c>
      <c r="B5657" t="s">
        <v>693</v>
      </c>
      <c r="C5657" t="s">
        <v>9242</v>
      </c>
      <c r="D5657" t="s">
        <v>19073</v>
      </c>
      <c r="E5657" t="s">
        <v>20444</v>
      </c>
      <c r="F5657" t="s">
        <v>32831</v>
      </c>
      <c r="G5657" t="s">
        <v>32840</v>
      </c>
      <c r="H5657" t="s">
        <v>32848</v>
      </c>
      <c r="I5657" t="s">
        <v>32870</v>
      </c>
      <c r="J5657" t="s">
        <v>33040</v>
      </c>
      <c r="K5657" t="s">
        <v>42731</v>
      </c>
      <c r="M5657" t="s">
        <v>43712</v>
      </c>
      <c r="N5657" t="s">
        <v>47424</v>
      </c>
      <c r="O5657" t="s">
        <v>47425</v>
      </c>
      <c r="P5657">
        <v>0</v>
      </c>
      <c r="Q5657">
        <v>0</v>
      </c>
      <c r="R5657" t="s">
        <v>47430</v>
      </c>
      <c r="S5657" t="s">
        <v>47549</v>
      </c>
      <c r="T5657" t="s">
        <v>49108</v>
      </c>
      <c r="U5657" t="s">
        <v>54443</v>
      </c>
      <c r="W5657" t="s">
        <v>43712</v>
      </c>
      <c r="X5657" t="s">
        <v>47431</v>
      </c>
    </row>
    <row r="5658" spans="1:24">
      <c r="A5658">
        <f>HYPERLINK("https://www.philgeps.gov.ph/GEPSNONPILOT/Tender/SplashBidNoticeAbstractUI.aspx?menuIndex=3&amp;refID=7161313&amp;Result=3","7161313")</f>
        <v>0</v>
      </c>
      <c r="B5658" t="s">
        <v>2068</v>
      </c>
      <c r="C5658" t="s">
        <v>9243</v>
      </c>
      <c r="D5658" t="s">
        <v>19068</v>
      </c>
      <c r="E5658" t="s">
        <v>24063</v>
      </c>
      <c r="F5658" t="s">
        <v>32831</v>
      </c>
      <c r="G5658" t="s">
        <v>32839</v>
      </c>
      <c r="H5658" t="s">
        <v>32848</v>
      </c>
      <c r="I5658" t="s">
        <v>32858</v>
      </c>
      <c r="J5658" t="s">
        <v>32978</v>
      </c>
      <c r="K5658" t="s">
        <v>42745</v>
      </c>
      <c r="M5658" t="s">
        <v>45238</v>
      </c>
      <c r="N5658" t="s">
        <v>47424</v>
      </c>
      <c r="O5658" t="s">
        <v>47425</v>
      </c>
      <c r="P5658">
        <v>0</v>
      </c>
      <c r="Q5658">
        <v>0</v>
      </c>
      <c r="R5658" t="s">
        <v>47430</v>
      </c>
      <c r="S5658" t="s">
        <v>47549</v>
      </c>
      <c r="T5658" t="s">
        <v>49104</v>
      </c>
      <c r="U5658" t="s">
        <v>54444</v>
      </c>
      <c r="V5658" t="s">
        <v>63246</v>
      </c>
      <c r="W5658" t="s">
        <v>45238</v>
      </c>
      <c r="X5658" t="s">
        <v>47431</v>
      </c>
    </row>
    <row r="5659" spans="1:24">
      <c r="A5659">
        <f>HYPERLINK("https://www.philgeps.gov.ph/GEPSNONPILOT/Tender/SplashBidNoticeAbstractUI.aspx?menuIndex=3&amp;refID=7161284&amp;Result=3","7161284")</f>
        <v>0</v>
      </c>
      <c r="B5659" t="s">
        <v>1488</v>
      </c>
      <c r="C5659" t="s">
        <v>9244</v>
      </c>
      <c r="D5659" t="s">
        <v>19081</v>
      </c>
      <c r="E5659" t="s">
        <v>24064</v>
      </c>
      <c r="F5659" t="s">
        <v>32831</v>
      </c>
      <c r="G5659" t="s">
        <v>32838</v>
      </c>
      <c r="H5659" t="s">
        <v>32848</v>
      </c>
      <c r="I5659" t="s">
        <v>32926</v>
      </c>
      <c r="J5659" t="s">
        <v>36609</v>
      </c>
      <c r="K5659" t="s">
        <v>42760</v>
      </c>
      <c r="M5659" t="s">
        <v>44582</v>
      </c>
      <c r="N5659" t="s">
        <v>47424</v>
      </c>
      <c r="O5659" t="s">
        <v>47425</v>
      </c>
      <c r="P5659">
        <v>0</v>
      </c>
      <c r="Q5659">
        <v>0</v>
      </c>
      <c r="R5659" t="s">
        <v>47430</v>
      </c>
      <c r="S5659" t="s">
        <v>47549</v>
      </c>
      <c r="T5659" t="s">
        <v>49237</v>
      </c>
      <c r="U5659" t="s">
        <v>54445</v>
      </c>
      <c r="V5659" t="s">
        <v>63247</v>
      </c>
      <c r="W5659" t="s">
        <v>44582</v>
      </c>
      <c r="X5659" t="s">
        <v>47431</v>
      </c>
    </row>
    <row r="5660" spans="1:24">
      <c r="A5660">
        <f>HYPERLINK("https://www.philgeps.gov.ph/GEPSNONPILOT/Tender/SplashBidNoticeAbstractUI.aspx?menuIndex=3&amp;refID=7159171&amp;Result=3","7159171")</f>
        <v>0</v>
      </c>
      <c r="B5660" t="s">
        <v>2069</v>
      </c>
      <c r="C5660" t="s">
        <v>9245</v>
      </c>
      <c r="D5660" t="s">
        <v>19057</v>
      </c>
      <c r="E5660" t="s">
        <v>24065</v>
      </c>
      <c r="F5660" t="s">
        <v>32831</v>
      </c>
      <c r="G5660" t="s">
        <v>32842</v>
      </c>
      <c r="H5660" t="s">
        <v>32848</v>
      </c>
      <c r="I5660" t="s">
        <v>32879</v>
      </c>
      <c r="J5660" t="s">
        <v>36610</v>
      </c>
      <c r="K5660" t="s">
        <v>42748</v>
      </c>
      <c r="M5660" t="s">
        <v>45239</v>
      </c>
      <c r="N5660" t="s">
        <v>47424</v>
      </c>
      <c r="O5660" t="s">
        <v>47425</v>
      </c>
      <c r="P5660">
        <v>0</v>
      </c>
      <c r="Q5660">
        <v>7</v>
      </c>
      <c r="R5660" t="s">
        <v>47430</v>
      </c>
      <c r="S5660" t="s">
        <v>47549</v>
      </c>
      <c r="T5660" t="s">
        <v>49235</v>
      </c>
      <c r="U5660" t="s">
        <v>54446</v>
      </c>
      <c r="W5660" t="s">
        <v>45239</v>
      </c>
      <c r="X5660" t="s">
        <v>47431</v>
      </c>
    </row>
    <row r="5661" spans="1:24">
      <c r="A5661">
        <f>HYPERLINK("https://www.philgeps.gov.ph/GEPSNONPILOT/Tender/SplashBidNoticeAbstractUI.aspx?menuIndex=3&amp;refID=7159167&amp;Result=3","7159167")</f>
        <v>0</v>
      </c>
      <c r="B5661" t="s">
        <v>2070</v>
      </c>
      <c r="C5661" t="s">
        <v>4090</v>
      </c>
      <c r="D5661" t="s">
        <v>19045</v>
      </c>
      <c r="E5661" t="s">
        <v>24066</v>
      </c>
      <c r="F5661" t="s">
        <v>32831</v>
      </c>
      <c r="G5661" t="s">
        <v>32842</v>
      </c>
      <c r="H5661" t="s">
        <v>32848</v>
      </c>
      <c r="I5661" t="s">
        <v>4776</v>
      </c>
      <c r="J5661" t="s">
        <v>36611</v>
      </c>
      <c r="K5661" t="s">
        <v>42745</v>
      </c>
      <c r="M5661" t="s">
        <v>45240</v>
      </c>
      <c r="N5661" t="s">
        <v>47424</v>
      </c>
      <c r="O5661" t="s">
        <v>47425</v>
      </c>
      <c r="P5661">
        <v>0</v>
      </c>
      <c r="Q5661">
        <v>2</v>
      </c>
      <c r="R5661" t="s">
        <v>47430</v>
      </c>
      <c r="S5661" t="s">
        <v>47549</v>
      </c>
      <c r="T5661" t="s">
        <v>49119</v>
      </c>
      <c r="U5661" t="s">
        <v>54447</v>
      </c>
      <c r="W5661" t="s">
        <v>45240</v>
      </c>
      <c r="X5661" t="s">
        <v>47431</v>
      </c>
    </row>
    <row r="5662" spans="1:24">
      <c r="A5662">
        <f>HYPERLINK("https://www.philgeps.gov.ph/GEPSNONPILOT/Tender/SplashBidNoticeAbstractUI.aspx?menuIndex=3&amp;refID=7161295&amp;Result=3","7161295")</f>
        <v>0</v>
      </c>
      <c r="B5662" t="s">
        <v>2071</v>
      </c>
      <c r="C5662" t="s">
        <v>9246</v>
      </c>
      <c r="D5662" t="s">
        <v>19056</v>
      </c>
      <c r="E5662" t="s">
        <v>24067</v>
      </c>
      <c r="F5662" t="s">
        <v>32831</v>
      </c>
      <c r="G5662" t="s">
        <v>32838</v>
      </c>
      <c r="H5662" t="s">
        <v>32848</v>
      </c>
      <c r="I5662" t="s">
        <v>4303</v>
      </c>
      <c r="J5662" t="s">
        <v>36612</v>
      </c>
      <c r="K5662" t="s">
        <v>42730</v>
      </c>
      <c r="M5662" t="s">
        <v>45241</v>
      </c>
      <c r="N5662" t="s">
        <v>47424</v>
      </c>
      <c r="O5662" t="s">
        <v>47425</v>
      </c>
      <c r="P5662">
        <v>0</v>
      </c>
      <c r="Q5662">
        <v>0</v>
      </c>
      <c r="R5662" t="s">
        <v>47430</v>
      </c>
      <c r="S5662" t="s">
        <v>47549</v>
      </c>
      <c r="T5662" t="s">
        <v>49056</v>
      </c>
      <c r="U5662" t="s">
        <v>54448</v>
      </c>
      <c r="W5662" t="s">
        <v>45241</v>
      </c>
      <c r="X5662" t="s">
        <v>47431</v>
      </c>
    </row>
    <row r="5663" spans="1:24">
      <c r="A5663">
        <f>HYPERLINK("https://www.philgeps.gov.ph/GEPSNONPILOT/Tender/SplashBidNoticeAbstractUI.aspx?menuIndex=3&amp;refID=7161352&amp;Result=3","7161352")</f>
        <v>0</v>
      </c>
      <c r="B5663" t="s">
        <v>2072</v>
      </c>
      <c r="C5663" t="s">
        <v>9247</v>
      </c>
      <c r="D5663" t="s">
        <v>19045</v>
      </c>
      <c r="E5663" t="s">
        <v>24068</v>
      </c>
      <c r="F5663" t="s">
        <v>32831</v>
      </c>
      <c r="G5663" t="s">
        <v>32839</v>
      </c>
      <c r="H5663" t="s">
        <v>32849</v>
      </c>
      <c r="I5663" t="s">
        <v>7416</v>
      </c>
      <c r="J5663" t="s">
        <v>33026</v>
      </c>
      <c r="K5663" t="s">
        <v>42730</v>
      </c>
      <c r="M5663" t="s">
        <v>45242</v>
      </c>
      <c r="N5663" t="s">
        <v>47424</v>
      </c>
      <c r="O5663" t="s">
        <v>47425</v>
      </c>
      <c r="P5663">
        <v>0</v>
      </c>
      <c r="Q5663">
        <v>0</v>
      </c>
      <c r="R5663" t="s">
        <v>47430</v>
      </c>
      <c r="S5663" t="s">
        <v>47549</v>
      </c>
      <c r="T5663" t="s">
        <v>49198</v>
      </c>
      <c r="U5663" t="s">
        <v>54449</v>
      </c>
      <c r="W5663" t="s">
        <v>45242</v>
      </c>
      <c r="X5663" t="s">
        <v>47431</v>
      </c>
    </row>
    <row r="5664" spans="1:24">
      <c r="A5664">
        <f>HYPERLINK("https://www.philgeps.gov.ph/GEPSNONPILOT/Tender/SplashBidNoticeAbstractUI.aspx?menuIndex=3&amp;refID=7161249&amp;Result=3","7161249")</f>
        <v>0</v>
      </c>
      <c r="B5664" t="s">
        <v>2059</v>
      </c>
      <c r="C5664" t="s">
        <v>9248</v>
      </c>
      <c r="D5664" t="s">
        <v>19057</v>
      </c>
      <c r="E5664" t="s">
        <v>24069</v>
      </c>
      <c r="F5664" t="s">
        <v>32831</v>
      </c>
      <c r="G5664" t="s">
        <v>32839</v>
      </c>
      <c r="H5664" t="s">
        <v>32848</v>
      </c>
      <c r="I5664" t="s">
        <v>4438</v>
      </c>
      <c r="J5664" t="s">
        <v>36613</v>
      </c>
      <c r="K5664" t="s">
        <v>42732</v>
      </c>
      <c r="M5664" t="s">
        <v>45229</v>
      </c>
      <c r="N5664" t="s">
        <v>47424</v>
      </c>
      <c r="O5664" t="s">
        <v>47425</v>
      </c>
      <c r="P5664">
        <v>0</v>
      </c>
      <c r="Q5664">
        <v>1</v>
      </c>
      <c r="R5664" t="s">
        <v>47430</v>
      </c>
      <c r="S5664" t="s">
        <v>47549</v>
      </c>
      <c r="T5664" t="s">
        <v>49295</v>
      </c>
      <c r="U5664" t="s">
        <v>54450</v>
      </c>
      <c r="W5664" t="s">
        <v>45229</v>
      </c>
      <c r="X5664" t="s">
        <v>47431</v>
      </c>
    </row>
    <row r="5665" spans="1:24">
      <c r="A5665">
        <f>HYPERLINK("https://www.philgeps.gov.ph/GEPSNONPILOT/Tender/SplashBidNoticeAbstractUI.aspx?menuIndex=3&amp;refID=7159193&amp;Result=3","7159193")</f>
        <v>0</v>
      </c>
      <c r="B5665" t="s">
        <v>609</v>
      </c>
      <c r="C5665" t="s">
        <v>9249</v>
      </c>
      <c r="D5665" t="s">
        <v>19017</v>
      </c>
      <c r="E5665" t="s">
        <v>24070</v>
      </c>
      <c r="F5665" t="s">
        <v>32831</v>
      </c>
      <c r="G5665" t="s">
        <v>32840</v>
      </c>
      <c r="H5665" t="s">
        <v>32848</v>
      </c>
      <c r="I5665" t="s">
        <v>32857</v>
      </c>
      <c r="J5665" t="s">
        <v>35744</v>
      </c>
      <c r="K5665" t="s">
        <v>42732</v>
      </c>
      <c r="M5665" t="s">
        <v>43623</v>
      </c>
      <c r="N5665" t="s">
        <v>47424</v>
      </c>
      <c r="O5665" t="s">
        <v>47425</v>
      </c>
      <c r="P5665">
        <v>0</v>
      </c>
      <c r="Q5665">
        <v>3</v>
      </c>
      <c r="R5665" t="s">
        <v>47430</v>
      </c>
      <c r="S5665" t="s">
        <v>47549</v>
      </c>
      <c r="T5665" t="s">
        <v>49107</v>
      </c>
      <c r="U5665" t="s">
        <v>54451</v>
      </c>
      <c r="W5665" t="s">
        <v>43623</v>
      </c>
      <c r="X5665" t="s">
        <v>47431</v>
      </c>
    </row>
    <row r="5666" spans="1:24">
      <c r="A5666">
        <f>HYPERLINK("https://www.philgeps.gov.ph/GEPSNONPILOT/Tender/SplashBidNoticeAbstractUI.aspx?menuIndex=3&amp;refID=7161257&amp;Result=3","7161257")</f>
        <v>0</v>
      </c>
      <c r="B5666" t="s">
        <v>689</v>
      </c>
      <c r="C5666" t="s">
        <v>9250</v>
      </c>
      <c r="E5666" t="s">
        <v>24071</v>
      </c>
      <c r="F5666" t="s">
        <v>32831</v>
      </c>
      <c r="G5666" t="s">
        <v>32839</v>
      </c>
      <c r="H5666" t="s">
        <v>32848</v>
      </c>
      <c r="I5666" t="s">
        <v>4487</v>
      </c>
      <c r="J5666" t="s">
        <v>36614</v>
      </c>
      <c r="K5666" t="s">
        <v>42732</v>
      </c>
      <c r="M5666" t="s">
        <v>45151</v>
      </c>
      <c r="N5666" t="s">
        <v>47424</v>
      </c>
      <c r="O5666" t="s">
        <v>47425</v>
      </c>
      <c r="P5666">
        <v>0</v>
      </c>
      <c r="Q5666">
        <v>1</v>
      </c>
      <c r="R5666" t="s">
        <v>47430</v>
      </c>
      <c r="S5666" t="s">
        <v>47549</v>
      </c>
      <c r="T5666" t="s">
        <v>49188</v>
      </c>
      <c r="U5666" t="s">
        <v>54452</v>
      </c>
      <c r="W5666" t="s">
        <v>45151</v>
      </c>
      <c r="X5666" t="s">
        <v>47431</v>
      </c>
    </row>
    <row r="5667" spans="1:24">
      <c r="A5667">
        <f>HYPERLINK("https://www.philgeps.gov.ph/GEPSNONPILOT/Tender/SplashBidNoticeAbstractUI.aspx?menuIndex=3&amp;refID=7161363&amp;Result=3","7161363")</f>
        <v>0</v>
      </c>
      <c r="B5667" t="s">
        <v>2073</v>
      </c>
      <c r="C5667" t="s">
        <v>9251</v>
      </c>
      <c r="D5667" t="s">
        <v>19061</v>
      </c>
      <c r="E5667" t="s">
        <v>24072</v>
      </c>
      <c r="F5667" t="s">
        <v>32831</v>
      </c>
      <c r="G5667" t="s">
        <v>32839</v>
      </c>
      <c r="H5667" t="s">
        <v>32848</v>
      </c>
      <c r="I5667" t="s">
        <v>32862</v>
      </c>
      <c r="J5667" t="s">
        <v>36615</v>
      </c>
      <c r="K5667" t="s">
        <v>42727</v>
      </c>
      <c r="M5667" t="s">
        <v>45243</v>
      </c>
      <c r="N5667" t="s">
        <v>47424</v>
      </c>
      <c r="O5667" t="s">
        <v>47425</v>
      </c>
      <c r="P5667">
        <v>0</v>
      </c>
      <c r="Q5667">
        <v>1</v>
      </c>
      <c r="R5667" t="s">
        <v>47430</v>
      </c>
      <c r="S5667" t="s">
        <v>47549</v>
      </c>
      <c r="T5667" t="s">
        <v>49236</v>
      </c>
      <c r="U5667" t="s">
        <v>54453</v>
      </c>
      <c r="W5667" t="s">
        <v>45243</v>
      </c>
      <c r="X5667" t="s">
        <v>47431</v>
      </c>
    </row>
    <row r="5668" spans="1:24">
      <c r="A5668">
        <f>HYPERLINK("https://www.philgeps.gov.ph/GEPSNONPILOT/Tender/SplashBidNoticeAbstractUI.aspx?menuIndex=3&amp;refID=7161362&amp;Result=3","7161362")</f>
        <v>0</v>
      </c>
      <c r="B5668" t="s">
        <v>1548</v>
      </c>
      <c r="C5668" t="s">
        <v>9252</v>
      </c>
      <c r="D5668" t="s">
        <v>19029</v>
      </c>
      <c r="E5668" t="s">
        <v>24073</v>
      </c>
      <c r="F5668" t="s">
        <v>32831</v>
      </c>
      <c r="G5668" t="s">
        <v>32838</v>
      </c>
      <c r="H5668" t="s">
        <v>32848</v>
      </c>
      <c r="I5668" t="s">
        <v>4438</v>
      </c>
      <c r="J5668" t="s">
        <v>36616</v>
      </c>
      <c r="K5668" t="s">
        <v>42748</v>
      </c>
      <c r="M5668" t="s">
        <v>44654</v>
      </c>
      <c r="N5668" t="s">
        <v>47424</v>
      </c>
      <c r="O5668" t="s">
        <v>47425</v>
      </c>
      <c r="P5668">
        <v>0</v>
      </c>
      <c r="Q5668">
        <v>2</v>
      </c>
      <c r="R5668" t="s">
        <v>47430</v>
      </c>
      <c r="S5668" t="s">
        <v>47549</v>
      </c>
      <c r="T5668" t="s">
        <v>49166</v>
      </c>
      <c r="U5668" t="s">
        <v>54454</v>
      </c>
      <c r="W5668" t="s">
        <v>44654</v>
      </c>
      <c r="X5668" t="s">
        <v>47431</v>
      </c>
    </row>
    <row r="5669" spans="1:24">
      <c r="A5669">
        <f>HYPERLINK("https://www.philgeps.gov.ph/GEPSNONPILOT/Tender/SplashBidNoticeAbstractUI.aspx?menuIndex=3&amp;refID=7161365&amp;Result=3","7161365")</f>
        <v>0</v>
      </c>
      <c r="B5669" t="s">
        <v>1482</v>
      </c>
      <c r="C5669" t="s">
        <v>9253</v>
      </c>
      <c r="D5669" t="s">
        <v>19018</v>
      </c>
      <c r="E5669" t="s">
        <v>24074</v>
      </c>
      <c r="F5669" t="s">
        <v>32831</v>
      </c>
      <c r="G5669" t="s">
        <v>32838</v>
      </c>
      <c r="H5669" t="s">
        <v>32848</v>
      </c>
      <c r="I5669" t="s">
        <v>4776</v>
      </c>
      <c r="J5669" t="s">
        <v>32985</v>
      </c>
      <c r="K5669" t="s">
        <v>42731</v>
      </c>
      <c r="M5669" t="s">
        <v>44576</v>
      </c>
      <c r="N5669" t="s">
        <v>47424</v>
      </c>
      <c r="O5669" t="s">
        <v>47425</v>
      </c>
      <c r="P5669">
        <v>0</v>
      </c>
      <c r="Q5669">
        <v>2</v>
      </c>
      <c r="R5669" t="s">
        <v>47430</v>
      </c>
      <c r="S5669" t="s">
        <v>47549</v>
      </c>
      <c r="T5669" t="s">
        <v>49237</v>
      </c>
      <c r="U5669" t="s">
        <v>54455</v>
      </c>
      <c r="V5669" t="s">
        <v>63248</v>
      </c>
      <c r="W5669" t="s">
        <v>44576</v>
      </c>
      <c r="X5669" t="s">
        <v>47431</v>
      </c>
    </row>
    <row r="5670" spans="1:24">
      <c r="A5670">
        <f>HYPERLINK("https://www.philgeps.gov.ph/GEPSNONPILOT/Tender/SplashBidNoticeAbstractUI.aspx?menuIndex=3&amp;refID=7161302&amp;Result=3","7161302")</f>
        <v>0</v>
      </c>
      <c r="B5670" t="s">
        <v>2074</v>
      </c>
      <c r="C5670" t="s">
        <v>9254</v>
      </c>
      <c r="D5670" t="s">
        <v>19081</v>
      </c>
      <c r="E5670" t="s">
        <v>24075</v>
      </c>
      <c r="F5670" t="s">
        <v>32831</v>
      </c>
      <c r="G5670" t="s">
        <v>32838</v>
      </c>
      <c r="H5670" t="s">
        <v>32848</v>
      </c>
      <c r="I5670" t="s">
        <v>5379</v>
      </c>
      <c r="J5670" t="s">
        <v>34188</v>
      </c>
      <c r="K5670" t="s">
        <v>42745</v>
      </c>
      <c r="M5670" t="s">
        <v>45244</v>
      </c>
      <c r="N5670" t="s">
        <v>47424</v>
      </c>
      <c r="O5670" t="s">
        <v>47425</v>
      </c>
      <c r="P5670">
        <v>0</v>
      </c>
      <c r="Q5670">
        <v>0</v>
      </c>
      <c r="R5670" t="s">
        <v>47430</v>
      </c>
      <c r="S5670" t="s">
        <v>47549</v>
      </c>
      <c r="T5670" t="s">
        <v>49107</v>
      </c>
      <c r="U5670" t="s">
        <v>54456</v>
      </c>
      <c r="W5670" t="s">
        <v>45244</v>
      </c>
      <c r="X5670" t="s">
        <v>47431</v>
      </c>
    </row>
    <row r="5671" spans="1:24">
      <c r="A5671">
        <f>HYPERLINK("https://www.philgeps.gov.ph/GEPSNONPILOT/Tender/SplashBidNoticeAbstractUI.aspx?menuIndex=3&amp;refID=7161354&amp;Result=3","7161354")</f>
        <v>0</v>
      </c>
      <c r="B5671" t="s">
        <v>1548</v>
      </c>
      <c r="C5671" t="s">
        <v>9255</v>
      </c>
      <c r="D5671" t="s">
        <v>19029</v>
      </c>
      <c r="E5671" t="s">
        <v>24076</v>
      </c>
      <c r="F5671" t="s">
        <v>32831</v>
      </c>
      <c r="G5671" t="s">
        <v>32838</v>
      </c>
      <c r="H5671" t="s">
        <v>32848</v>
      </c>
      <c r="I5671" t="s">
        <v>4487</v>
      </c>
      <c r="J5671" t="s">
        <v>33198</v>
      </c>
      <c r="K5671" t="s">
        <v>42748</v>
      </c>
      <c r="M5671" t="s">
        <v>44654</v>
      </c>
      <c r="N5671" t="s">
        <v>47424</v>
      </c>
      <c r="O5671" t="s">
        <v>47425</v>
      </c>
      <c r="P5671">
        <v>0</v>
      </c>
      <c r="Q5671">
        <v>2</v>
      </c>
      <c r="R5671" t="s">
        <v>47430</v>
      </c>
      <c r="S5671" t="s">
        <v>47549</v>
      </c>
      <c r="T5671" t="s">
        <v>49166</v>
      </c>
      <c r="U5671" t="s">
        <v>54457</v>
      </c>
      <c r="W5671" t="s">
        <v>44654</v>
      </c>
      <c r="X5671" t="s">
        <v>47431</v>
      </c>
    </row>
    <row r="5672" spans="1:24">
      <c r="A5672">
        <f>HYPERLINK("https://www.philgeps.gov.ph/GEPSNONPILOT/Tender/SplashBidNoticeAbstractUI.aspx?menuIndex=3&amp;refID=7161360&amp;Result=3","7161360")</f>
        <v>0</v>
      </c>
      <c r="B5672" t="s">
        <v>1937</v>
      </c>
      <c r="C5672" t="s">
        <v>9256</v>
      </c>
      <c r="D5672" t="s">
        <v>19093</v>
      </c>
      <c r="E5672" t="s">
        <v>24077</v>
      </c>
      <c r="F5672" t="s">
        <v>32831</v>
      </c>
      <c r="G5672" t="s">
        <v>32840</v>
      </c>
      <c r="H5672" t="s">
        <v>32848</v>
      </c>
      <c r="I5672" t="s">
        <v>4776</v>
      </c>
      <c r="J5672" t="s">
        <v>36617</v>
      </c>
      <c r="K5672" t="s">
        <v>42727</v>
      </c>
      <c r="M5672" t="s">
        <v>45092</v>
      </c>
      <c r="N5672" t="s">
        <v>47424</v>
      </c>
      <c r="O5672" t="s">
        <v>47425</v>
      </c>
      <c r="P5672">
        <v>0</v>
      </c>
      <c r="Q5672">
        <v>1</v>
      </c>
      <c r="R5672" t="s">
        <v>47430</v>
      </c>
      <c r="S5672" t="s">
        <v>47549</v>
      </c>
      <c r="T5672" t="s">
        <v>49104</v>
      </c>
      <c r="U5672" t="s">
        <v>54458</v>
      </c>
      <c r="W5672" t="s">
        <v>45092</v>
      </c>
      <c r="X5672" t="s">
        <v>47431</v>
      </c>
    </row>
    <row r="5673" spans="1:24">
      <c r="A5673">
        <f>HYPERLINK("https://www.philgeps.gov.ph/GEPSNONPILOT/Tender/SplashBidNoticeAbstractUI.aspx?menuIndex=3&amp;refID=7159170&amp;Result=3","7159170")</f>
        <v>0</v>
      </c>
      <c r="B5673" t="s">
        <v>1196</v>
      </c>
      <c r="C5673" t="s">
        <v>9257</v>
      </c>
      <c r="D5673" t="s">
        <v>19043</v>
      </c>
      <c r="E5673" t="s">
        <v>24078</v>
      </c>
      <c r="F5673" t="s">
        <v>32831</v>
      </c>
      <c r="G5673" t="s">
        <v>32839</v>
      </c>
      <c r="H5673" t="s">
        <v>32848</v>
      </c>
      <c r="I5673" t="s">
        <v>7751</v>
      </c>
      <c r="J5673" t="s">
        <v>32983</v>
      </c>
      <c r="K5673" t="s">
        <v>42732</v>
      </c>
      <c r="M5673" t="s">
        <v>44262</v>
      </c>
      <c r="N5673" t="s">
        <v>47424</v>
      </c>
      <c r="O5673" t="s">
        <v>47425</v>
      </c>
      <c r="P5673">
        <v>0</v>
      </c>
      <c r="Q5673">
        <v>0</v>
      </c>
      <c r="R5673" t="s">
        <v>47430</v>
      </c>
      <c r="S5673" t="s">
        <v>47549</v>
      </c>
      <c r="T5673" t="s">
        <v>49123</v>
      </c>
      <c r="U5673" t="s">
        <v>54459</v>
      </c>
      <c r="W5673" t="s">
        <v>44262</v>
      </c>
      <c r="X5673" t="s">
        <v>47431</v>
      </c>
    </row>
    <row r="5674" spans="1:24">
      <c r="A5674">
        <f>HYPERLINK("https://www.philgeps.gov.ph/GEPSNONPILOT/Tender/SplashBidNoticeAbstractUI.aspx?menuIndex=3&amp;refID=7161346&amp;Result=3","7161346")</f>
        <v>0</v>
      </c>
      <c r="B5674" t="s">
        <v>2063</v>
      </c>
      <c r="C5674" t="s">
        <v>9258</v>
      </c>
      <c r="D5674" t="s">
        <v>19091</v>
      </c>
      <c r="E5674" t="s">
        <v>24079</v>
      </c>
      <c r="F5674" t="s">
        <v>32831</v>
      </c>
      <c r="G5674" t="s">
        <v>32838</v>
      </c>
      <c r="H5674" t="s">
        <v>32850</v>
      </c>
      <c r="I5674" t="s">
        <v>6526</v>
      </c>
      <c r="J5674" t="s">
        <v>36618</v>
      </c>
      <c r="K5674" t="s">
        <v>42730</v>
      </c>
      <c r="M5674" t="s">
        <v>45233</v>
      </c>
      <c r="N5674" t="s">
        <v>47424</v>
      </c>
      <c r="O5674" t="s">
        <v>47425</v>
      </c>
      <c r="P5674">
        <v>0</v>
      </c>
      <c r="Q5674">
        <v>0</v>
      </c>
      <c r="R5674" t="s">
        <v>47430</v>
      </c>
      <c r="S5674" t="s">
        <v>47549</v>
      </c>
      <c r="T5674" t="s">
        <v>49056</v>
      </c>
      <c r="U5674" t="s">
        <v>54460</v>
      </c>
      <c r="W5674" t="s">
        <v>45233</v>
      </c>
      <c r="X5674" t="s">
        <v>47431</v>
      </c>
    </row>
    <row r="5675" spans="1:24">
      <c r="A5675">
        <f>HYPERLINK("https://www.philgeps.gov.ph/GEPSNONPILOT/Tender/SplashBidNoticeAbstractUI.aspx?menuIndex=3&amp;refID=7161357&amp;Result=3","7161357")</f>
        <v>0</v>
      </c>
      <c r="B5675" t="s">
        <v>2044</v>
      </c>
      <c r="C5675" t="s">
        <v>9259</v>
      </c>
      <c r="D5675" t="s">
        <v>19045</v>
      </c>
      <c r="E5675" t="s">
        <v>24080</v>
      </c>
      <c r="F5675" t="s">
        <v>32831</v>
      </c>
      <c r="G5675" t="s">
        <v>32838</v>
      </c>
      <c r="H5675" t="s">
        <v>32848</v>
      </c>
      <c r="I5675" t="s">
        <v>32864</v>
      </c>
      <c r="J5675" t="s">
        <v>36619</v>
      </c>
      <c r="K5675" t="s">
        <v>42731</v>
      </c>
      <c r="M5675" t="s">
        <v>45245</v>
      </c>
      <c r="N5675" t="s">
        <v>47424</v>
      </c>
      <c r="O5675" t="s">
        <v>47425</v>
      </c>
      <c r="P5675">
        <v>0</v>
      </c>
      <c r="Q5675">
        <v>10</v>
      </c>
      <c r="R5675" t="s">
        <v>47430</v>
      </c>
      <c r="S5675" t="s">
        <v>47549</v>
      </c>
      <c r="T5675" t="s">
        <v>49237</v>
      </c>
      <c r="U5675" t="s">
        <v>54461</v>
      </c>
      <c r="W5675" t="s">
        <v>45245</v>
      </c>
      <c r="X5675" t="s">
        <v>47431</v>
      </c>
    </row>
    <row r="5676" spans="1:24">
      <c r="A5676">
        <f>HYPERLINK("https://www.philgeps.gov.ph/GEPSNONPILOT/Tender/SplashBidNoticeAbstractUI.aspx?menuIndex=3&amp;refID=7161341&amp;Result=3","7161341")</f>
        <v>0</v>
      </c>
      <c r="B5676" t="s">
        <v>2075</v>
      </c>
      <c r="C5676" t="s">
        <v>9260</v>
      </c>
      <c r="D5676" t="s">
        <v>19027</v>
      </c>
      <c r="E5676" t="s">
        <v>24081</v>
      </c>
      <c r="F5676" t="s">
        <v>32831</v>
      </c>
      <c r="G5676" t="s">
        <v>32838</v>
      </c>
      <c r="H5676" t="s">
        <v>32848</v>
      </c>
      <c r="I5676" t="s">
        <v>32858</v>
      </c>
      <c r="J5676" t="s">
        <v>36620</v>
      </c>
      <c r="K5676" t="s">
        <v>42731</v>
      </c>
      <c r="M5676" t="s">
        <v>45246</v>
      </c>
      <c r="N5676" t="s">
        <v>47424</v>
      </c>
      <c r="O5676" t="s">
        <v>47425</v>
      </c>
      <c r="P5676">
        <v>0</v>
      </c>
      <c r="Q5676">
        <v>1</v>
      </c>
      <c r="R5676" t="s">
        <v>47430</v>
      </c>
      <c r="S5676" t="s">
        <v>47549</v>
      </c>
      <c r="T5676" t="s">
        <v>49114</v>
      </c>
      <c r="U5676" t="s">
        <v>54462</v>
      </c>
      <c r="V5676" t="s">
        <v>63249</v>
      </c>
      <c r="W5676" t="s">
        <v>45246</v>
      </c>
      <c r="X5676" t="s">
        <v>47431</v>
      </c>
    </row>
    <row r="5677" spans="1:24">
      <c r="A5677">
        <f>HYPERLINK("https://www.philgeps.gov.ph/GEPSNONPILOT/Tender/SplashBidNoticeAbstractUI.aspx?menuIndex=3&amp;refID=7161367&amp;Result=3","7161367")</f>
        <v>0</v>
      </c>
      <c r="B5677" t="s">
        <v>547</v>
      </c>
      <c r="C5677" t="s">
        <v>9261</v>
      </c>
      <c r="D5677" t="s">
        <v>19045</v>
      </c>
      <c r="E5677" t="s">
        <v>24082</v>
      </c>
      <c r="F5677" t="s">
        <v>32831</v>
      </c>
      <c r="G5677" t="s">
        <v>32838</v>
      </c>
      <c r="H5677" t="s">
        <v>32848</v>
      </c>
      <c r="I5677" t="s">
        <v>4776</v>
      </c>
      <c r="J5677" t="s">
        <v>34468</v>
      </c>
      <c r="K5677" t="s">
        <v>42759</v>
      </c>
      <c r="M5677" t="s">
        <v>43553</v>
      </c>
      <c r="N5677" t="s">
        <v>47424</v>
      </c>
      <c r="O5677" t="s">
        <v>47425</v>
      </c>
      <c r="P5677">
        <v>0</v>
      </c>
      <c r="Q5677">
        <v>2</v>
      </c>
      <c r="R5677" t="s">
        <v>47430</v>
      </c>
      <c r="S5677" t="s">
        <v>47549</v>
      </c>
      <c r="T5677" t="s">
        <v>49111</v>
      </c>
      <c r="U5677" t="s">
        <v>50672</v>
      </c>
      <c r="W5677" t="s">
        <v>43553</v>
      </c>
      <c r="X5677" t="s">
        <v>47431</v>
      </c>
    </row>
    <row r="5678" spans="1:24">
      <c r="A5678">
        <f>HYPERLINK("https://www.philgeps.gov.ph/GEPSNONPILOT/Tender/SplashBidNoticeAbstractUI.aspx?menuIndex=3&amp;refID=7161337&amp;Result=3","7161337")</f>
        <v>0</v>
      </c>
      <c r="B5678" t="s">
        <v>103</v>
      </c>
      <c r="C5678" t="s">
        <v>9262</v>
      </c>
      <c r="D5678" t="s">
        <v>19056</v>
      </c>
      <c r="E5678" t="s">
        <v>24083</v>
      </c>
      <c r="F5678" t="s">
        <v>32831</v>
      </c>
      <c r="G5678" t="s">
        <v>32838</v>
      </c>
      <c r="H5678" t="s">
        <v>32848</v>
      </c>
      <c r="I5678" t="s">
        <v>32852</v>
      </c>
      <c r="J5678" t="s">
        <v>36621</v>
      </c>
      <c r="K5678" t="s">
        <v>42794</v>
      </c>
      <c r="L5678" t="s">
        <v>103</v>
      </c>
      <c r="M5678" t="s">
        <v>43100</v>
      </c>
      <c r="N5678" t="s">
        <v>47424</v>
      </c>
      <c r="O5678" t="s">
        <v>47425</v>
      </c>
      <c r="P5678">
        <v>0</v>
      </c>
      <c r="Q5678">
        <v>3</v>
      </c>
      <c r="R5678" t="s">
        <v>47430</v>
      </c>
      <c r="S5678" t="s">
        <v>47549</v>
      </c>
      <c r="T5678" t="s">
        <v>49116</v>
      </c>
      <c r="U5678" t="s">
        <v>54463</v>
      </c>
      <c r="W5678" t="s">
        <v>43100</v>
      </c>
      <c r="X5678" t="s">
        <v>47431</v>
      </c>
    </row>
    <row r="5679" spans="1:24">
      <c r="A5679">
        <f>HYPERLINK("https://www.philgeps.gov.ph/GEPSNONPILOT/Tender/SplashBidNoticeAbstractUI.aspx?menuIndex=3&amp;refID=7161353&amp;Result=3","7161353")</f>
        <v>0</v>
      </c>
      <c r="B5679" t="s">
        <v>2076</v>
      </c>
      <c r="C5679" t="s">
        <v>9263</v>
      </c>
      <c r="D5679" t="s">
        <v>19060</v>
      </c>
      <c r="E5679" t="s">
        <v>24084</v>
      </c>
      <c r="F5679" t="s">
        <v>32831</v>
      </c>
      <c r="G5679" t="s">
        <v>32839</v>
      </c>
      <c r="H5679" t="s">
        <v>32849</v>
      </c>
      <c r="I5679" t="s">
        <v>4177</v>
      </c>
      <c r="J5679" t="s">
        <v>36622</v>
      </c>
      <c r="K5679" t="s">
        <v>42730</v>
      </c>
      <c r="M5679" t="s">
        <v>45247</v>
      </c>
      <c r="N5679" t="s">
        <v>47424</v>
      </c>
      <c r="O5679" t="s">
        <v>47425</v>
      </c>
      <c r="P5679">
        <v>0</v>
      </c>
      <c r="Q5679">
        <v>2</v>
      </c>
      <c r="R5679" t="s">
        <v>47430</v>
      </c>
      <c r="S5679" t="s">
        <v>47549</v>
      </c>
      <c r="T5679" t="s">
        <v>49123</v>
      </c>
      <c r="U5679" t="s">
        <v>54464</v>
      </c>
      <c r="W5679" t="s">
        <v>45247</v>
      </c>
      <c r="X5679" t="s">
        <v>47431</v>
      </c>
    </row>
    <row r="5680" spans="1:24">
      <c r="A5680">
        <f>HYPERLINK("https://www.philgeps.gov.ph/GEPSNONPILOT/Tender/SplashBidNoticeAbstractUI.aspx?menuIndex=3&amp;refID=7161344&amp;Result=3","7161344")</f>
        <v>0</v>
      </c>
      <c r="B5680" t="s">
        <v>2077</v>
      </c>
      <c r="C5680" t="s">
        <v>9264</v>
      </c>
      <c r="D5680" t="s">
        <v>19045</v>
      </c>
      <c r="E5680" t="s">
        <v>24085</v>
      </c>
      <c r="F5680" t="s">
        <v>32831</v>
      </c>
      <c r="G5680" t="s">
        <v>32838</v>
      </c>
      <c r="H5680" t="s">
        <v>32848</v>
      </c>
      <c r="I5680" t="s">
        <v>9577</v>
      </c>
      <c r="J5680" t="s">
        <v>36623</v>
      </c>
      <c r="K5680" t="s">
        <v>42747</v>
      </c>
      <c r="M5680" t="s">
        <v>45248</v>
      </c>
      <c r="N5680" t="s">
        <v>47424</v>
      </c>
      <c r="O5680" t="s">
        <v>47425</v>
      </c>
      <c r="P5680">
        <v>0</v>
      </c>
      <c r="Q5680">
        <v>3</v>
      </c>
      <c r="R5680" t="s">
        <v>47430</v>
      </c>
      <c r="S5680" t="s">
        <v>47549</v>
      </c>
      <c r="T5680" t="s">
        <v>49151</v>
      </c>
      <c r="U5680" t="s">
        <v>54465</v>
      </c>
      <c r="W5680" t="s">
        <v>45248</v>
      </c>
      <c r="X5680" t="s">
        <v>47431</v>
      </c>
    </row>
    <row r="5681" spans="1:24">
      <c r="A5681">
        <f>HYPERLINK("https://www.philgeps.gov.ph/GEPSNONPILOT/Tender/SplashBidNoticeAbstractUI.aspx?menuIndex=3&amp;refID=7161343&amp;Result=3","7161343")</f>
        <v>0</v>
      </c>
      <c r="B5681" t="s">
        <v>2078</v>
      </c>
      <c r="C5681" t="s">
        <v>9265</v>
      </c>
      <c r="D5681" t="s">
        <v>19081</v>
      </c>
      <c r="E5681" t="s">
        <v>24086</v>
      </c>
      <c r="F5681" t="s">
        <v>32831</v>
      </c>
      <c r="G5681" t="s">
        <v>32839</v>
      </c>
      <c r="H5681" t="s">
        <v>32848</v>
      </c>
      <c r="I5681" t="s">
        <v>32854</v>
      </c>
      <c r="J5681" t="s">
        <v>36624</v>
      </c>
      <c r="K5681" t="s">
        <v>42727</v>
      </c>
      <c r="M5681" t="s">
        <v>45249</v>
      </c>
      <c r="N5681" t="s">
        <v>47424</v>
      </c>
      <c r="O5681" t="s">
        <v>47425</v>
      </c>
      <c r="P5681">
        <v>0</v>
      </c>
      <c r="Q5681">
        <v>2</v>
      </c>
      <c r="R5681" t="s">
        <v>47430</v>
      </c>
      <c r="S5681" t="s">
        <v>47549</v>
      </c>
      <c r="T5681" t="s">
        <v>49105</v>
      </c>
      <c r="U5681" t="s">
        <v>54466</v>
      </c>
      <c r="W5681" t="s">
        <v>45249</v>
      </c>
      <c r="X5681" t="s">
        <v>47431</v>
      </c>
    </row>
    <row r="5682" spans="1:24">
      <c r="A5682">
        <f>HYPERLINK("https://www.philgeps.gov.ph/GEPSNONPILOT/Tender/SplashBidNoticeAbstractUI.aspx?menuIndex=3&amp;refID=7161396&amp;Result=3","7161396")</f>
        <v>0</v>
      </c>
      <c r="B5682" t="s">
        <v>2079</v>
      </c>
      <c r="C5682" t="s">
        <v>9266</v>
      </c>
      <c r="D5682" t="s">
        <v>19042</v>
      </c>
      <c r="E5682" t="s">
        <v>19520</v>
      </c>
      <c r="F5682" t="s">
        <v>32831</v>
      </c>
      <c r="G5682" t="s">
        <v>32839</v>
      </c>
      <c r="H5682" t="s">
        <v>32848</v>
      </c>
      <c r="I5682" t="s">
        <v>7416</v>
      </c>
      <c r="J5682" t="s">
        <v>36625</v>
      </c>
      <c r="K5682" t="s">
        <v>42732</v>
      </c>
      <c r="M5682" t="s">
        <v>45250</v>
      </c>
      <c r="N5682" t="s">
        <v>47424</v>
      </c>
      <c r="O5682" t="s">
        <v>47425</v>
      </c>
      <c r="P5682">
        <v>0</v>
      </c>
      <c r="Q5682">
        <v>0</v>
      </c>
      <c r="R5682" t="s">
        <v>47430</v>
      </c>
      <c r="S5682" t="s">
        <v>47549</v>
      </c>
      <c r="T5682" t="s">
        <v>49129</v>
      </c>
      <c r="U5682" t="s">
        <v>54467</v>
      </c>
      <c r="W5682" t="s">
        <v>45250</v>
      </c>
      <c r="X5682" t="s">
        <v>47431</v>
      </c>
    </row>
    <row r="5683" spans="1:24">
      <c r="A5683">
        <f>HYPERLINK("https://www.philgeps.gov.ph/GEPSNONPILOT/Tender/SplashBidNoticeAbstractUI.aspx?menuIndex=3&amp;refID=7161336&amp;Result=3","7161336")</f>
        <v>0</v>
      </c>
      <c r="B5683" t="s">
        <v>2080</v>
      </c>
      <c r="C5683" t="s">
        <v>9267</v>
      </c>
      <c r="D5683" t="s">
        <v>19017</v>
      </c>
      <c r="E5683" t="s">
        <v>24087</v>
      </c>
      <c r="F5683" t="s">
        <v>32831</v>
      </c>
      <c r="G5683" t="s">
        <v>32840</v>
      </c>
      <c r="H5683" t="s">
        <v>32848</v>
      </c>
      <c r="I5683" t="s">
        <v>32912</v>
      </c>
      <c r="J5683" t="s">
        <v>36626</v>
      </c>
      <c r="K5683" t="s">
        <v>42727</v>
      </c>
      <c r="M5683" t="s">
        <v>45251</v>
      </c>
      <c r="N5683" t="s">
        <v>47424</v>
      </c>
      <c r="O5683" t="s">
        <v>47425</v>
      </c>
      <c r="P5683">
        <v>0</v>
      </c>
      <c r="Q5683">
        <v>0</v>
      </c>
      <c r="R5683" t="s">
        <v>47430</v>
      </c>
      <c r="S5683" t="s">
        <v>47549</v>
      </c>
      <c r="T5683" t="s">
        <v>49270</v>
      </c>
      <c r="U5683" t="s">
        <v>54468</v>
      </c>
      <c r="W5683" t="s">
        <v>45251</v>
      </c>
      <c r="X5683" t="s">
        <v>47431</v>
      </c>
    </row>
    <row r="5684" spans="1:24">
      <c r="A5684">
        <f>HYPERLINK("https://www.philgeps.gov.ph/GEPSNONPILOT/Tender/SplashBidNoticeAbstractUI.aspx?menuIndex=3&amp;refID=7161400&amp;Result=3","7161400")</f>
        <v>0</v>
      </c>
      <c r="B5684" t="s">
        <v>619</v>
      </c>
      <c r="C5684" t="s">
        <v>5200</v>
      </c>
      <c r="D5684" t="s">
        <v>19027</v>
      </c>
      <c r="E5684" t="s">
        <v>19854</v>
      </c>
      <c r="F5684" t="s">
        <v>32831</v>
      </c>
      <c r="G5684" t="s">
        <v>32840</v>
      </c>
      <c r="H5684" t="s">
        <v>32848</v>
      </c>
      <c r="I5684" t="s">
        <v>10643</v>
      </c>
      <c r="J5684" t="s">
        <v>36627</v>
      </c>
      <c r="K5684" t="s">
        <v>42758</v>
      </c>
      <c r="M5684" t="s">
        <v>43635</v>
      </c>
      <c r="N5684" t="s">
        <v>47424</v>
      </c>
      <c r="O5684" t="s">
        <v>47425</v>
      </c>
      <c r="P5684">
        <v>0</v>
      </c>
      <c r="Q5684">
        <v>2</v>
      </c>
      <c r="R5684" t="s">
        <v>47430</v>
      </c>
      <c r="S5684" t="s">
        <v>47549</v>
      </c>
      <c r="T5684" t="s">
        <v>49163</v>
      </c>
      <c r="U5684" t="s">
        <v>54469</v>
      </c>
      <c r="W5684" t="s">
        <v>43635</v>
      </c>
      <c r="X5684" t="s">
        <v>47431</v>
      </c>
    </row>
    <row r="5685" spans="1:24">
      <c r="A5685">
        <f>HYPERLINK("https://www.philgeps.gov.ph/GEPSNONPILOT/Tender/SplashBidNoticeAbstractUI.aspx?menuIndex=3&amp;refID=7161390&amp;Result=3","7161390")</f>
        <v>0</v>
      </c>
      <c r="B5685" t="s">
        <v>311</v>
      </c>
      <c r="C5685" t="s">
        <v>9268</v>
      </c>
      <c r="D5685" t="s">
        <v>19064</v>
      </c>
      <c r="E5685" t="s">
        <v>24088</v>
      </c>
      <c r="F5685" t="s">
        <v>32831</v>
      </c>
      <c r="G5685" t="s">
        <v>32838</v>
      </c>
      <c r="H5685" t="s">
        <v>32848</v>
      </c>
      <c r="I5685" t="s">
        <v>4222</v>
      </c>
      <c r="J5685" t="s">
        <v>36628</v>
      </c>
      <c r="K5685" t="s">
        <v>42763</v>
      </c>
      <c r="M5685" t="s">
        <v>43313</v>
      </c>
      <c r="N5685" t="s">
        <v>47424</v>
      </c>
      <c r="O5685" t="s">
        <v>47425</v>
      </c>
      <c r="P5685">
        <v>0</v>
      </c>
      <c r="Q5685">
        <v>0</v>
      </c>
      <c r="R5685" t="s">
        <v>47430</v>
      </c>
      <c r="S5685" t="s">
        <v>47549</v>
      </c>
      <c r="T5685" t="s">
        <v>49077</v>
      </c>
      <c r="U5685" t="s">
        <v>54186</v>
      </c>
      <c r="W5685" t="s">
        <v>43313</v>
      </c>
      <c r="X5685" t="s">
        <v>47431</v>
      </c>
    </row>
    <row r="5686" spans="1:24">
      <c r="A5686">
        <f>HYPERLINK("https://www.philgeps.gov.ph/GEPSNONPILOT/Tender/SplashBidNoticeAbstractUI.aspx?menuIndex=3&amp;refID=7161389&amp;Result=3","7161389")</f>
        <v>0</v>
      </c>
      <c r="B5686" t="s">
        <v>2073</v>
      </c>
      <c r="C5686" t="s">
        <v>9269</v>
      </c>
      <c r="D5686" t="s">
        <v>19061</v>
      </c>
      <c r="E5686" t="s">
        <v>24089</v>
      </c>
      <c r="F5686" t="s">
        <v>32831</v>
      </c>
      <c r="G5686" t="s">
        <v>32839</v>
      </c>
      <c r="H5686" t="s">
        <v>32848</v>
      </c>
      <c r="I5686" t="s">
        <v>32862</v>
      </c>
      <c r="J5686" t="s">
        <v>36629</v>
      </c>
      <c r="K5686" t="s">
        <v>42727</v>
      </c>
      <c r="M5686" t="s">
        <v>45243</v>
      </c>
      <c r="N5686" t="s">
        <v>47424</v>
      </c>
      <c r="O5686" t="s">
        <v>47425</v>
      </c>
      <c r="P5686">
        <v>0</v>
      </c>
      <c r="Q5686">
        <v>1</v>
      </c>
      <c r="R5686" t="s">
        <v>47430</v>
      </c>
      <c r="S5686" t="s">
        <v>47549</v>
      </c>
      <c r="T5686" t="s">
        <v>49236</v>
      </c>
      <c r="U5686" t="s">
        <v>54453</v>
      </c>
      <c r="W5686" t="s">
        <v>45243</v>
      </c>
      <c r="X5686" t="s">
        <v>47431</v>
      </c>
    </row>
    <row r="5687" spans="1:24">
      <c r="A5687">
        <f>HYPERLINK("https://www.philgeps.gov.ph/GEPSNONPILOT/Tender/SplashBidNoticeAbstractUI.aspx?menuIndex=3&amp;refID=7161355&amp;Result=3","7161355")</f>
        <v>0</v>
      </c>
      <c r="B5687" t="s">
        <v>2073</v>
      </c>
      <c r="C5687" t="s">
        <v>9270</v>
      </c>
      <c r="D5687" t="s">
        <v>19061</v>
      </c>
      <c r="E5687" t="s">
        <v>24090</v>
      </c>
      <c r="F5687" t="s">
        <v>32831</v>
      </c>
      <c r="G5687" t="s">
        <v>32839</v>
      </c>
      <c r="H5687" t="s">
        <v>32848</v>
      </c>
      <c r="I5687" t="s">
        <v>9577</v>
      </c>
      <c r="J5687" t="s">
        <v>36630</v>
      </c>
      <c r="K5687" t="s">
        <v>42730</v>
      </c>
      <c r="M5687" t="s">
        <v>45243</v>
      </c>
      <c r="N5687" t="s">
        <v>47424</v>
      </c>
      <c r="O5687" t="s">
        <v>47425</v>
      </c>
      <c r="P5687">
        <v>0</v>
      </c>
      <c r="Q5687">
        <v>0</v>
      </c>
      <c r="R5687" t="s">
        <v>47430</v>
      </c>
      <c r="S5687" t="s">
        <v>47549</v>
      </c>
      <c r="T5687" t="s">
        <v>49236</v>
      </c>
      <c r="U5687" t="s">
        <v>54453</v>
      </c>
      <c r="W5687" t="s">
        <v>45243</v>
      </c>
      <c r="X5687" t="s">
        <v>47431</v>
      </c>
    </row>
    <row r="5688" spans="1:24">
      <c r="A5688">
        <f>HYPERLINK("https://www.philgeps.gov.ph/GEPSNONPILOT/Tender/SplashBidNoticeAbstractUI.aspx?menuIndex=3&amp;refID=7161393&amp;Result=3","7161393")</f>
        <v>0</v>
      </c>
      <c r="B5688" t="s">
        <v>1962</v>
      </c>
      <c r="C5688" t="s">
        <v>9271</v>
      </c>
      <c r="D5688" t="s">
        <v>19017</v>
      </c>
      <c r="E5688" t="s">
        <v>24091</v>
      </c>
      <c r="F5688" t="s">
        <v>32831</v>
      </c>
      <c r="G5688" t="s">
        <v>32839</v>
      </c>
      <c r="H5688" t="s">
        <v>32848</v>
      </c>
      <c r="I5688" t="s">
        <v>4487</v>
      </c>
      <c r="J5688" t="s">
        <v>36631</v>
      </c>
      <c r="K5688" t="s">
        <v>42747</v>
      </c>
      <c r="M5688" t="s">
        <v>45121</v>
      </c>
      <c r="N5688" t="s">
        <v>47424</v>
      </c>
      <c r="O5688" t="s">
        <v>47425</v>
      </c>
      <c r="P5688">
        <v>0</v>
      </c>
      <c r="Q5688">
        <v>11</v>
      </c>
      <c r="R5688" t="s">
        <v>47430</v>
      </c>
      <c r="S5688" t="s">
        <v>47549</v>
      </c>
      <c r="T5688" t="s">
        <v>49132</v>
      </c>
      <c r="U5688" t="s">
        <v>54470</v>
      </c>
      <c r="W5688" t="s">
        <v>45121</v>
      </c>
      <c r="X5688" t="s">
        <v>47431</v>
      </c>
    </row>
    <row r="5689" spans="1:24">
      <c r="A5689">
        <f>HYPERLINK("https://www.philgeps.gov.ph/GEPSNONPILOT/Tender/SplashBidNoticeAbstractUI.aspx?menuIndex=3&amp;refID=7161386&amp;Result=3","7161386")</f>
        <v>0</v>
      </c>
      <c r="B5689" t="s">
        <v>2081</v>
      </c>
      <c r="C5689" t="s">
        <v>9272</v>
      </c>
      <c r="D5689" t="s">
        <v>19042</v>
      </c>
      <c r="E5689" t="s">
        <v>24092</v>
      </c>
      <c r="F5689" t="s">
        <v>32831</v>
      </c>
      <c r="G5689" t="s">
        <v>32839</v>
      </c>
      <c r="H5689" t="s">
        <v>32848</v>
      </c>
      <c r="I5689" t="s">
        <v>32886</v>
      </c>
      <c r="J5689" t="s">
        <v>33007</v>
      </c>
      <c r="K5689" t="s">
        <v>42726</v>
      </c>
      <c r="M5689" t="s">
        <v>45252</v>
      </c>
      <c r="N5689" t="s">
        <v>47424</v>
      </c>
      <c r="O5689" t="s">
        <v>47425</v>
      </c>
      <c r="P5689">
        <v>0</v>
      </c>
      <c r="Q5689">
        <v>0</v>
      </c>
      <c r="R5689" t="s">
        <v>47430</v>
      </c>
      <c r="S5689" t="s">
        <v>47549</v>
      </c>
      <c r="T5689" t="s">
        <v>49198</v>
      </c>
      <c r="U5689" t="s">
        <v>54471</v>
      </c>
      <c r="W5689" t="s">
        <v>45252</v>
      </c>
      <c r="X5689" t="s">
        <v>47431</v>
      </c>
    </row>
    <row r="5690" spans="1:24">
      <c r="A5690">
        <f>HYPERLINK("https://www.philgeps.gov.ph/GEPSNONPILOT/Tender/SplashBidNoticeAbstractUI.aspx?menuIndex=3&amp;refID=7161382&amp;Result=3","7161382")</f>
        <v>0</v>
      </c>
      <c r="B5690" t="s">
        <v>2073</v>
      </c>
      <c r="C5690" t="s">
        <v>9273</v>
      </c>
      <c r="D5690" t="s">
        <v>19061</v>
      </c>
      <c r="E5690" t="s">
        <v>24093</v>
      </c>
      <c r="F5690" t="s">
        <v>32831</v>
      </c>
      <c r="G5690" t="s">
        <v>32839</v>
      </c>
      <c r="H5690" t="s">
        <v>32848</v>
      </c>
      <c r="I5690" t="s">
        <v>7416</v>
      </c>
      <c r="J5690" t="s">
        <v>36632</v>
      </c>
      <c r="K5690" t="s">
        <v>42730</v>
      </c>
      <c r="M5690" t="s">
        <v>45243</v>
      </c>
      <c r="N5690" t="s">
        <v>47424</v>
      </c>
      <c r="O5690" t="s">
        <v>47425</v>
      </c>
      <c r="P5690">
        <v>0</v>
      </c>
      <c r="Q5690">
        <v>1</v>
      </c>
      <c r="R5690" t="s">
        <v>47430</v>
      </c>
      <c r="S5690" t="s">
        <v>47549</v>
      </c>
      <c r="T5690" t="s">
        <v>49236</v>
      </c>
      <c r="U5690" t="s">
        <v>54453</v>
      </c>
      <c r="W5690" t="s">
        <v>45243</v>
      </c>
      <c r="X5690" t="s">
        <v>47431</v>
      </c>
    </row>
    <row r="5691" spans="1:24">
      <c r="A5691">
        <f>HYPERLINK("https://www.philgeps.gov.ph/GEPSNONPILOT/Tender/SplashBidNoticeAbstractUI.aspx?menuIndex=3&amp;refID=7161397&amp;Result=3","7161397")</f>
        <v>0</v>
      </c>
      <c r="B5691" t="s">
        <v>2082</v>
      </c>
      <c r="C5691" t="s">
        <v>9274</v>
      </c>
      <c r="D5691" t="s">
        <v>19065</v>
      </c>
      <c r="E5691" t="s">
        <v>21181</v>
      </c>
      <c r="F5691" t="s">
        <v>32831</v>
      </c>
      <c r="G5691" t="s">
        <v>32839</v>
      </c>
      <c r="H5691" t="s">
        <v>32849</v>
      </c>
      <c r="I5691" t="s">
        <v>4177</v>
      </c>
      <c r="J5691" t="s">
        <v>33111</v>
      </c>
      <c r="K5691" t="s">
        <v>42770</v>
      </c>
      <c r="M5691" t="s">
        <v>45253</v>
      </c>
      <c r="N5691" t="s">
        <v>47424</v>
      </c>
      <c r="O5691" t="s">
        <v>47425</v>
      </c>
      <c r="P5691">
        <v>0</v>
      </c>
      <c r="Q5691">
        <v>1</v>
      </c>
      <c r="R5691" t="s">
        <v>47430</v>
      </c>
      <c r="S5691" t="s">
        <v>47549</v>
      </c>
      <c r="T5691" t="s">
        <v>49291</v>
      </c>
      <c r="U5691" t="s">
        <v>54472</v>
      </c>
      <c r="W5691" t="s">
        <v>64497</v>
      </c>
      <c r="X5691" t="s">
        <v>47431</v>
      </c>
    </row>
    <row r="5692" spans="1:24">
      <c r="A5692">
        <f>HYPERLINK("https://www.philgeps.gov.ph/GEPSNONPILOT/Tender/SplashBidNoticeAbstractUI.aspx?menuIndex=3&amp;refID=7161378&amp;Result=3","7161378")</f>
        <v>0</v>
      </c>
      <c r="B5692" t="s">
        <v>547</v>
      </c>
      <c r="C5692" t="s">
        <v>9261</v>
      </c>
      <c r="D5692" t="s">
        <v>19045</v>
      </c>
      <c r="E5692" t="s">
        <v>24094</v>
      </c>
      <c r="F5692" t="s">
        <v>32831</v>
      </c>
      <c r="G5692" t="s">
        <v>32838</v>
      </c>
      <c r="H5692" t="s">
        <v>32848</v>
      </c>
      <c r="I5692" t="s">
        <v>4776</v>
      </c>
      <c r="J5692" t="s">
        <v>36633</v>
      </c>
      <c r="K5692" t="s">
        <v>42759</v>
      </c>
      <c r="M5692" t="s">
        <v>43553</v>
      </c>
      <c r="N5692" t="s">
        <v>47424</v>
      </c>
      <c r="O5692" t="s">
        <v>47425</v>
      </c>
      <c r="P5692">
        <v>0</v>
      </c>
      <c r="Q5692">
        <v>3</v>
      </c>
      <c r="R5692" t="s">
        <v>47430</v>
      </c>
      <c r="S5692" t="s">
        <v>47549</v>
      </c>
      <c r="T5692" t="s">
        <v>49111</v>
      </c>
      <c r="U5692" t="s">
        <v>50672</v>
      </c>
      <c r="W5692" t="s">
        <v>43553</v>
      </c>
      <c r="X5692" t="s">
        <v>47431</v>
      </c>
    </row>
    <row r="5693" spans="1:24">
      <c r="A5693">
        <f>HYPERLINK("https://www.philgeps.gov.ph/GEPSNONPILOT/Tender/SplashBidNoticeAbstractUI.aspx?menuIndex=3&amp;refID=7161252&amp;Result=3","7161252")</f>
        <v>0</v>
      </c>
      <c r="B5693" t="s">
        <v>391</v>
      </c>
      <c r="C5693" t="s">
        <v>9275</v>
      </c>
      <c r="D5693" t="s">
        <v>19090</v>
      </c>
      <c r="E5693" t="s">
        <v>24095</v>
      </c>
      <c r="F5693" t="s">
        <v>32831</v>
      </c>
      <c r="G5693" t="s">
        <v>32838</v>
      </c>
      <c r="H5693" t="s">
        <v>32848</v>
      </c>
      <c r="I5693" t="s">
        <v>32858</v>
      </c>
      <c r="J5693" t="s">
        <v>36634</v>
      </c>
      <c r="K5693" t="s">
        <v>42758</v>
      </c>
      <c r="M5693" t="s">
        <v>43396</v>
      </c>
      <c r="N5693" t="s">
        <v>47424</v>
      </c>
      <c r="O5693" t="s">
        <v>47425</v>
      </c>
      <c r="P5693">
        <v>0</v>
      </c>
      <c r="Q5693">
        <v>1</v>
      </c>
      <c r="R5693" t="s">
        <v>47430</v>
      </c>
      <c r="S5693" t="s">
        <v>47549</v>
      </c>
      <c r="T5693" t="s">
        <v>49237</v>
      </c>
      <c r="U5693" t="s">
        <v>54473</v>
      </c>
      <c r="W5693" t="s">
        <v>43396</v>
      </c>
      <c r="X5693" t="s">
        <v>47431</v>
      </c>
    </row>
    <row r="5694" spans="1:24">
      <c r="A5694">
        <f>HYPERLINK("https://www.philgeps.gov.ph/GEPSNONPILOT/Tender/SplashBidNoticeAbstractUI.aspx?menuIndex=3&amp;refID=7161433&amp;Result=3","7161433")</f>
        <v>0</v>
      </c>
      <c r="B5694" t="s">
        <v>2083</v>
      </c>
      <c r="C5694" t="s">
        <v>9276</v>
      </c>
      <c r="D5694" t="s">
        <v>19047</v>
      </c>
      <c r="E5694" t="s">
        <v>24096</v>
      </c>
      <c r="F5694" t="s">
        <v>32831</v>
      </c>
      <c r="G5694" t="s">
        <v>32838</v>
      </c>
      <c r="H5694" t="s">
        <v>32848</v>
      </c>
      <c r="I5694" t="s">
        <v>32860</v>
      </c>
      <c r="J5694" t="s">
        <v>36635</v>
      </c>
      <c r="K5694" t="s">
        <v>42758</v>
      </c>
      <c r="M5694" t="s">
        <v>45254</v>
      </c>
      <c r="N5694" t="s">
        <v>47424</v>
      </c>
      <c r="O5694" t="s">
        <v>47425</v>
      </c>
      <c r="P5694">
        <v>0</v>
      </c>
      <c r="Q5694">
        <v>5</v>
      </c>
      <c r="R5694" t="s">
        <v>47430</v>
      </c>
      <c r="S5694" t="s">
        <v>47549</v>
      </c>
      <c r="T5694" t="s">
        <v>49212</v>
      </c>
      <c r="U5694" t="s">
        <v>54474</v>
      </c>
      <c r="W5694" t="s">
        <v>45254</v>
      </c>
      <c r="X5694" t="s">
        <v>47431</v>
      </c>
    </row>
    <row r="5695" spans="1:24">
      <c r="A5695">
        <f>HYPERLINK("https://www.philgeps.gov.ph/GEPSNONPILOT/Tender/SplashBidNoticeAbstractUI.aspx?menuIndex=3&amp;refID=7161384&amp;Result=3","7161384")</f>
        <v>0</v>
      </c>
      <c r="B5695" t="s">
        <v>1016</v>
      </c>
      <c r="C5695" t="s">
        <v>9277</v>
      </c>
      <c r="D5695" t="s">
        <v>19062</v>
      </c>
      <c r="E5695" t="s">
        <v>24097</v>
      </c>
      <c r="F5695" t="s">
        <v>32831</v>
      </c>
      <c r="G5695" t="s">
        <v>32838</v>
      </c>
      <c r="H5695" t="s">
        <v>32848</v>
      </c>
      <c r="I5695" t="s">
        <v>4776</v>
      </c>
      <c r="J5695" t="s">
        <v>33133</v>
      </c>
      <c r="K5695" t="s">
        <v>42727</v>
      </c>
      <c r="M5695" t="s">
        <v>44066</v>
      </c>
      <c r="N5695" t="s">
        <v>47424</v>
      </c>
      <c r="O5695" t="s">
        <v>47425</v>
      </c>
      <c r="P5695">
        <v>0</v>
      </c>
      <c r="Q5695">
        <v>2</v>
      </c>
      <c r="R5695" t="s">
        <v>47430</v>
      </c>
      <c r="S5695" t="s">
        <v>47549</v>
      </c>
      <c r="T5695" t="s">
        <v>49061</v>
      </c>
      <c r="U5695" t="s">
        <v>54475</v>
      </c>
      <c r="V5695" t="s">
        <v>63250</v>
      </c>
      <c r="W5695" t="s">
        <v>44066</v>
      </c>
      <c r="X5695" t="s">
        <v>47431</v>
      </c>
    </row>
    <row r="5696" spans="1:24">
      <c r="A5696">
        <f>HYPERLINK("https://www.philgeps.gov.ph/GEPSNONPILOT/Tender/SplashBidNoticeAbstractUI.aspx?menuIndex=3&amp;refID=7161381&amp;Result=3","7161381")</f>
        <v>0</v>
      </c>
      <c r="B5696" t="s">
        <v>1016</v>
      </c>
      <c r="C5696" t="s">
        <v>9278</v>
      </c>
      <c r="D5696" t="s">
        <v>19062</v>
      </c>
      <c r="E5696" t="s">
        <v>24098</v>
      </c>
      <c r="F5696" t="s">
        <v>32831</v>
      </c>
      <c r="G5696" t="s">
        <v>32838</v>
      </c>
      <c r="H5696" t="s">
        <v>32848</v>
      </c>
      <c r="I5696" t="s">
        <v>6526</v>
      </c>
      <c r="J5696" t="s">
        <v>34238</v>
      </c>
      <c r="K5696" t="s">
        <v>42727</v>
      </c>
      <c r="M5696" t="s">
        <v>44066</v>
      </c>
      <c r="N5696" t="s">
        <v>47424</v>
      </c>
      <c r="O5696" t="s">
        <v>47425</v>
      </c>
      <c r="P5696">
        <v>0</v>
      </c>
      <c r="Q5696">
        <v>0</v>
      </c>
      <c r="R5696" t="s">
        <v>47430</v>
      </c>
      <c r="S5696" t="s">
        <v>47549</v>
      </c>
      <c r="T5696" t="s">
        <v>49061</v>
      </c>
      <c r="U5696" t="s">
        <v>54476</v>
      </c>
      <c r="V5696" t="s">
        <v>63250</v>
      </c>
      <c r="W5696" t="s">
        <v>44066</v>
      </c>
      <c r="X5696" t="s">
        <v>47431</v>
      </c>
    </row>
    <row r="5697" spans="1:24">
      <c r="A5697">
        <f>HYPERLINK("https://www.philgeps.gov.ph/GEPSNONPILOT/Tender/SplashBidNoticeAbstractUI.aspx?menuIndex=3&amp;refID=7161432&amp;Result=3","7161432")</f>
        <v>0</v>
      </c>
      <c r="B5697" t="s">
        <v>1482</v>
      </c>
      <c r="C5697" t="s">
        <v>9279</v>
      </c>
      <c r="D5697" t="s">
        <v>19018</v>
      </c>
      <c r="E5697" t="s">
        <v>24099</v>
      </c>
      <c r="F5697" t="s">
        <v>32831</v>
      </c>
      <c r="G5697" t="s">
        <v>32838</v>
      </c>
      <c r="H5697" t="s">
        <v>32848</v>
      </c>
      <c r="I5697" t="s">
        <v>4438</v>
      </c>
      <c r="J5697" t="s">
        <v>36636</v>
      </c>
      <c r="K5697" t="s">
        <v>42731</v>
      </c>
      <c r="M5697" t="s">
        <v>44576</v>
      </c>
      <c r="N5697" t="s">
        <v>47424</v>
      </c>
      <c r="O5697" t="s">
        <v>47425</v>
      </c>
      <c r="P5697">
        <v>0</v>
      </c>
      <c r="Q5697">
        <v>1</v>
      </c>
      <c r="R5697" t="s">
        <v>47430</v>
      </c>
      <c r="S5697" t="s">
        <v>47549</v>
      </c>
      <c r="T5697" t="s">
        <v>49237</v>
      </c>
      <c r="U5697" t="s">
        <v>54477</v>
      </c>
      <c r="V5697" t="s">
        <v>63251</v>
      </c>
      <c r="W5697" t="s">
        <v>44576</v>
      </c>
      <c r="X5697" t="s">
        <v>47431</v>
      </c>
    </row>
    <row r="5698" spans="1:24">
      <c r="A5698">
        <f>HYPERLINK("https://www.philgeps.gov.ph/GEPSNONPILOT/Tender/SplashBidNoticeAbstractUI.aspx?menuIndex=3&amp;refID=7161387&amp;Result=3","7161387")</f>
        <v>0</v>
      </c>
      <c r="B5698" t="s">
        <v>547</v>
      </c>
      <c r="C5698" t="s">
        <v>9280</v>
      </c>
      <c r="D5698" t="s">
        <v>19045</v>
      </c>
      <c r="E5698" t="s">
        <v>24100</v>
      </c>
      <c r="F5698" t="s">
        <v>32831</v>
      </c>
      <c r="G5698" t="s">
        <v>32838</v>
      </c>
      <c r="H5698" t="s">
        <v>32848</v>
      </c>
      <c r="I5698" t="s">
        <v>4222</v>
      </c>
      <c r="J5698" t="s">
        <v>33119</v>
      </c>
      <c r="K5698" t="s">
        <v>42759</v>
      </c>
      <c r="M5698" t="s">
        <v>43553</v>
      </c>
      <c r="N5698" t="s">
        <v>47424</v>
      </c>
      <c r="O5698" t="s">
        <v>47425</v>
      </c>
      <c r="P5698">
        <v>0</v>
      </c>
      <c r="Q5698">
        <v>2</v>
      </c>
      <c r="R5698" t="s">
        <v>47430</v>
      </c>
      <c r="S5698" t="s">
        <v>47549</v>
      </c>
      <c r="T5698" t="s">
        <v>49111</v>
      </c>
      <c r="U5698" t="s">
        <v>54478</v>
      </c>
      <c r="W5698" t="s">
        <v>43553</v>
      </c>
      <c r="X5698" t="s">
        <v>47431</v>
      </c>
    </row>
    <row r="5699" spans="1:24">
      <c r="A5699">
        <f>HYPERLINK("https://www.philgeps.gov.ph/GEPSNONPILOT/Tender/SplashBidNoticeAbstractUI.aspx?menuIndex=3&amp;refID=7161423&amp;Result=3","7161423")</f>
        <v>0</v>
      </c>
      <c r="B5699" t="s">
        <v>2084</v>
      </c>
      <c r="C5699" t="s">
        <v>9281</v>
      </c>
      <c r="D5699" t="s">
        <v>19054</v>
      </c>
      <c r="E5699" t="s">
        <v>24101</v>
      </c>
      <c r="F5699" t="s">
        <v>32831</v>
      </c>
      <c r="G5699" t="s">
        <v>32838</v>
      </c>
      <c r="H5699" t="s">
        <v>32848</v>
      </c>
      <c r="I5699" t="s">
        <v>9281</v>
      </c>
      <c r="J5699" t="s">
        <v>33593</v>
      </c>
      <c r="K5699" t="s">
        <v>42763</v>
      </c>
      <c r="M5699" t="s">
        <v>45255</v>
      </c>
      <c r="N5699" t="s">
        <v>47424</v>
      </c>
      <c r="O5699" t="s">
        <v>47425</v>
      </c>
      <c r="P5699">
        <v>0</v>
      </c>
      <c r="Q5699">
        <v>3</v>
      </c>
      <c r="R5699" t="s">
        <v>47430</v>
      </c>
      <c r="S5699" t="s">
        <v>47549</v>
      </c>
      <c r="T5699" t="s">
        <v>49111</v>
      </c>
      <c r="U5699" t="s">
        <v>54479</v>
      </c>
      <c r="W5699" t="s">
        <v>45255</v>
      </c>
      <c r="X5699" t="s">
        <v>47431</v>
      </c>
    </row>
    <row r="5700" spans="1:24">
      <c r="A5700">
        <f>HYPERLINK("https://www.philgeps.gov.ph/GEPSNONPILOT/Tender/SplashBidNoticeAbstractUI.aspx?menuIndex=3&amp;refID=7161421&amp;Result=3","7161421")</f>
        <v>0</v>
      </c>
      <c r="B5700" t="s">
        <v>311</v>
      </c>
      <c r="C5700" t="s">
        <v>9282</v>
      </c>
      <c r="D5700" t="s">
        <v>19064</v>
      </c>
      <c r="E5700" t="s">
        <v>24102</v>
      </c>
      <c r="F5700" t="s">
        <v>32831</v>
      </c>
      <c r="G5700" t="s">
        <v>32838</v>
      </c>
      <c r="H5700" t="s">
        <v>32848</v>
      </c>
      <c r="I5700" t="s">
        <v>32870</v>
      </c>
      <c r="J5700" t="s">
        <v>36637</v>
      </c>
      <c r="K5700" t="s">
        <v>42763</v>
      </c>
      <c r="M5700" t="s">
        <v>43313</v>
      </c>
      <c r="N5700" t="s">
        <v>47424</v>
      </c>
      <c r="O5700" t="s">
        <v>47425</v>
      </c>
      <c r="P5700">
        <v>0</v>
      </c>
      <c r="Q5700">
        <v>0</v>
      </c>
      <c r="R5700" t="s">
        <v>47430</v>
      </c>
      <c r="S5700" t="s">
        <v>47549</v>
      </c>
      <c r="T5700" t="s">
        <v>49077</v>
      </c>
      <c r="U5700" t="s">
        <v>54186</v>
      </c>
      <c r="W5700" t="s">
        <v>43313</v>
      </c>
      <c r="X5700" t="s">
        <v>47431</v>
      </c>
    </row>
    <row r="5701" spans="1:24">
      <c r="A5701">
        <f>HYPERLINK("https://www.philgeps.gov.ph/GEPSNONPILOT/Tender/SplashBidNoticeAbstractUI.aspx?menuIndex=3&amp;refID=7161391&amp;Result=3","7161391")</f>
        <v>0</v>
      </c>
      <c r="B5701" t="s">
        <v>1482</v>
      </c>
      <c r="C5701" t="s">
        <v>9283</v>
      </c>
      <c r="D5701" t="s">
        <v>19018</v>
      </c>
      <c r="E5701" t="s">
        <v>24103</v>
      </c>
      <c r="F5701" t="s">
        <v>32831</v>
      </c>
      <c r="G5701" t="s">
        <v>32838</v>
      </c>
      <c r="H5701" t="s">
        <v>32848</v>
      </c>
      <c r="I5701" t="s">
        <v>32862</v>
      </c>
      <c r="J5701" t="s">
        <v>33951</v>
      </c>
      <c r="K5701" t="s">
        <v>42731</v>
      </c>
      <c r="M5701" t="s">
        <v>44576</v>
      </c>
      <c r="N5701" t="s">
        <v>47424</v>
      </c>
      <c r="O5701" t="s">
        <v>47425</v>
      </c>
      <c r="P5701">
        <v>0</v>
      </c>
      <c r="Q5701">
        <v>0</v>
      </c>
      <c r="R5701" t="s">
        <v>47430</v>
      </c>
      <c r="S5701" t="s">
        <v>47549</v>
      </c>
      <c r="T5701" t="s">
        <v>49237</v>
      </c>
      <c r="U5701" t="s">
        <v>54480</v>
      </c>
      <c r="V5701" t="s">
        <v>63252</v>
      </c>
      <c r="W5701" t="s">
        <v>44576</v>
      </c>
      <c r="X5701" t="s">
        <v>47431</v>
      </c>
    </row>
    <row r="5702" spans="1:24">
      <c r="A5702">
        <f>HYPERLINK("https://www.philgeps.gov.ph/GEPSNONPILOT/Tender/SplashBidNoticeAbstractUI.aspx?menuIndex=3&amp;refID=7161418&amp;Result=3","7161418")</f>
        <v>0</v>
      </c>
      <c r="B5702" t="s">
        <v>1482</v>
      </c>
      <c r="C5702" t="s">
        <v>9284</v>
      </c>
      <c r="D5702" t="s">
        <v>19018</v>
      </c>
      <c r="E5702" t="s">
        <v>24104</v>
      </c>
      <c r="F5702" t="s">
        <v>32831</v>
      </c>
      <c r="G5702" t="s">
        <v>32838</v>
      </c>
      <c r="H5702" t="s">
        <v>32848</v>
      </c>
      <c r="I5702" t="s">
        <v>32862</v>
      </c>
      <c r="J5702" t="s">
        <v>34782</v>
      </c>
      <c r="K5702" t="s">
        <v>42731</v>
      </c>
      <c r="M5702" t="s">
        <v>44576</v>
      </c>
      <c r="N5702" t="s">
        <v>47424</v>
      </c>
      <c r="O5702" t="s">
        <v>47425</v>
      </c>
      <c r="P5702">
        <v>0</v>
      </c>
      <c r="Q5702">
        <v>0</v>
      </c>
      <c r="R5702" t="s">
        <v>47430</v>
      </c>
      <c r="S5702" t="s">
        <v>47549</v>
      </c>
      <c r="T5702" t="s">
        <v>49237</v>
      </c>
      <c r="U5702" t="s">
        <v>54481</v>
      </c>
      <c r="V5702" t="s">
        <v>63251</v>
      </c>
      <c r="W5702" t="s">
        <v>44576</v>
      </c>
      <c r="X5702" t="s">
        <v>47431</v>
      </c>
    </row>
    <row r="5703" spans="1:24">
      <c r="A5703">
        <f>HYPERLINK("https://www.philgeps.gov.ph/GEPSNONPILOT/Tender/SplashBidNoticeAbstractUI.aspx?menuIndex=3&amp;refID=7161415&amp;Result=3","7161415")</f>
        <v>0</v>
      </c>
      <c r="B5703" t="s">
        <v>2085</v>
      </c>
      <c r="C5703" t="s">
        <v>9285</v>
      </c>
      <c r="D5703" t="s">
        <v>19079</v>
      </c>
      <c r="E5703" t="s">
        <v>19979</v>
      </c>
      <c r="F5703" t="s">
        <v>32831</v>
      </c>
      <c r="G5703" t="s">
        <v>32839</v>
      </c>
      <c r="H5703" t="s">
        <v>32849</v>
      </c>
      <c r="I5703" t="s">
        <v>4177</v>
      </c>
      <c r="J5703" t="s">
        <v>36638</v>
      </c>
      <c r="K5703" t="s">
        <v>42747</v>
      </c>
      <c r="M5703" t="s">
        <v>45256</v>
      </c>
      <c r="N5703" t="s">
        <v>47424</v>
      </c>
      <c r="O5703" t="s">
        <v>47425</v>
      </c>
      <c r="P5703">
        <v>0</v>
      </c>
      <c r="Q5703">
        <v>0</v>
      </c>
      <c r="R5703" t="s">
        <v>47430</v>
      </c>
      <c r="S5703" t="s">
        <v>47549</v>
      </c>
      <c r="T5703" t="s">
        <v>49077</v>
      </c>
      <c r="U5703" t="s">
        <v>54482</v>
      </c>
      <c r="V5703" t="s">
        <v>63253</v>
      </c>
      <c r="W5703" t="s">
        <v>45256</v>
      </c>
      <c r="X5703" t="s">
        <v>47431</v>
      </c>
    </row>
    <row r="5704" spans="1:24">
      <c r="A5704">
        <f>HYPERLINK("https://www.philgeps.gov.ph/GEPSNONPILOT/Tender/SplashBidNoticeAbstractUI.aspx?menuIndex=3&amp;refID=7161431&amp;Result=3","7161431")</f>
        <v>0</v>
      </c>
      <c r="B5704" t="s">
        <v>2084</v>
      </c>
      <c r="C5704" t="s">
        <v>9286</v>
      </c>
      <c r="D5704" t="s">
        <v>19054</v>
      </c>
      <c r="E5704" t="s">
        <v>24105</v>
      </c>
      <c r="F5704" t="s">
        <v>32831</v>
      </c>
      <c r="G5704" t="s">
        <v>32838</v>
      </c>
      <c r="H5704" t="s">
        <v>32848</v>
      </c>
      <c r="I5704" t="s">
        <v>32890</v>
      </c>
      <c r="J5704" t="s">
        <v>33193</v>
      </c>
      <c r="K5704" t="s">
        <v>42770</v>
      </c>
      <c r="M5704" t="s">
        <v>45255</v>
      </c>
      <c r="N5704" t="s">
        <v>47424</v>
      </c>
      <c r="O5704" t="s">
        <v>47425</v>
      </c>
      <c r="P5704">
        <v>0</v>
      </c>
      <c r="Q5704">
        <v>0</v>
      </c>
      <c r="R5704" t="s">
        <v>47430</v>
      </c>
      <c r="S5704" t="s">
        <v>47549</v>
      </c>
      <c r="T5704" t="s">
        <v>49111</v>
      </c>
      <c r="U5704" t="s">
        <v>54483</v>
      </c>
      <c r="W5704" t="s">
        <v>45255</v>
      </c>
      <c r="X5704" t="s">
        <v>47431</v>
      </c>
    </row>
    <row r="5705" spans="1:24">
      <c r="A5705">
        <f>HYPERLINK("https://www.philgeps.gov.ph/GEPSNONPILOT/Tender/SplashBidNoticeAbstractUI.aspx?menuIndex=3&amp;refID=7161434&amp;Result=3","7161434")</f>
        <v>0</v>
      </c>
      <c r="B5705" t="s">
        <v>2082</v>
      </c>
      <c r="C5705" t="s">
        <v>9287</v>
      </c>
      <c r="D5705" t="s">
        <v>19065</v>
      </c>
      <c r="E5705" t="s">
        <v>21242</v>
      </c>
      <c r="F5705" t="s">
        <v>32831</v>
      </c>
      <c r="G5705" t="s">
        <v>32839</v>
      </c>
      <c r="H5705" t="s">
        <v>32849</v>
      </c>
      <c r="I5705" t="s">
        <v>4177</v>
      </c>
      <c r="J5705" t="s">
        <v>33111</v>
      </c>
      <c r="K5705" t="s">
        <v>42770</v>
      </c>
      <c r="M5705" t="s">
        <v>45253</v>
      </c>
      <c r="N5705" t="s">
        <v>47424</v>
      </c>
      <c r="O5705" t="s">
        <v>47425</v>
      </c>
      <c r="P5705">
        <v>0</v>
      </c>
      <c r="Q5705">
        <v>0</v>
      </c>
      <c r="R5705" t="s">
        <v>47430</v>
      </c>
      <c r="S5705" t="s">
        <v>47549</v>
      </c>
      <c r="T5705" t="s">
        <v>49291</v>
      </c>
      <c r="U5705" t="s">
        <v>54484</v>
      </c>
      <c r="W5705" t="s">
        <v>64497</v>
      </c>
      <c r="X5705" t="s">
        <v>47431</v>
      </c>
    </row>
    <row r="5706" spans="1:24">
      <c r="A5706">
        <f>HYPERLINK("https://www.philgeps.gov.ph/GEPSNONPILOT/Tender/SplashBidNoticeAbstractUI.aspx?menuIndex=3&amp;refID=7161413&amp;Result=3","7161413")</f>
        <v>0</v>
      </c>
      <c r="B5706" t="s">
        <v>2082</v>
      </c>
      <c r="C5706" t="s">
        <v>9288</v>
      </c>
      <c r="D5706" t="s">
        <v>19065</v>
      </c>
      <c r="E5706" t="s">
        <v>22183</v>
      </c>
      <c r="F5706" t="s">
        <v>32831</v>
      </c>
      <c r="G5706" t="s">
        <v>32839</v>
      </c>
      <c r="H5706" t="s">
        <v>32849</v>
      </c>
      <c r="I5706" t="s">
        <v>4177</v>
      </c>
      <c r="J5706" t="s">
        <v>33066</v>
      </c>
      <c r="K5706" t="s">
        <v>42770</v>
      </c>
      <c r="M5706" t="s">
        <v>45253</v>
      </c>
      <c r="N5706" t="s">
        <v>47424</v>
      </c>
      <c r="O5706" t="s">
        <v>47425</v>
      </c>
      <c r="P5706">
        <v>0</v>
      </c>
      <c r="Q5706">
        <v>1</v>
      </c>
      <c r="R5706" t="s">
        <v>47430</v>
      </c>
      <c r="S5706" t="s">
        <v>47549</v>
      </c>
      <c r="T5706" t="s">
        <v>49291</v>
      </c>
      <c r="U5706" t="s">
        <v>54485</v>
      </c>
      <c r="W5706" t="s">
        <v>64497</v>
      </c>
      <c r="X5706" t="s">
        <v>47431</v>
      </c>
    </row>
    <row r="5707" spans="1:24">
      <c r="A5707">
        <f>HYPERLINK("https://www.philgeps.gov.ph/GEPSNONPILOT/Tender/SplashBidNoticeAbstractUI.aspx?menuIndex=3&amp;refID=7161419&amp;Result=3","7161419")</f>
        <v>0</v>
      </c>
      <c r="B5707" t="s">
        <v>2082</v>
      </c>
      <c r="C5707" t="s">
        <v>9289</v>
      </c>
      <c r="D5707" t="s">
        <v>19065</v>
      </c>
      <c r="E5707" t="s">
        <v>24106</v>
      </c>
      <c r="F5707" t="s">
        <v>32831</v>
      </c>
      <c r="G5707" t="s">
        <v>32839</v>
      </c>
      <c r="H5707" t="s">
        <v>32849</v>
      </c>
      <c r="I5707" t="s">
        <v>4177</v>
      </c>
      <c r="J5707" t="s">
        <v>34860</v>
      </c>
      <c r="K5707" t="s">
        <v>42780</v>
      </c>
      <c r="M5707" t="s">
        <v>45253</v>
      </c>
      <c r="N5707" t="s">
        <v>47424</v>
      </c>
      <c r="O5707" t="s">
        <v>47425</v>
      </c>
      <c r="P5707">
        <v>0</v>
      </c>
      <c r="Q5707">
        <v>0</v>
      </c>
      <c r="R5707" t="s">
        <v>47430</v>
      </c>
      <c r="S5707" t="s">
        <v>47549</v>
      </c>
      <c r="T5707" t="s">
        <v>49291</v>
      </c>
      <c r="U5707" t="s">
        <v>54486</v>
      </c>
      <c r="W5707" t="s">
        <v>64497</v>
      </c>
      <c r="X5707" t="s">
        <v>47431</v>
      </c>
    </row>
    <row r="5708" spans="1:24">
      <c r="A5708">
        <f>HYPERLINK("https://www.philgeps.gov.ph/GEPSNONPILOT/Tender/SplashBidNoticeAbstractUI.aspx?menuIndex=3&amp;refID=7161409&amp;Result=3","7161409")</f>
        <v>0</v>
      </c>
      <c r="B5708" t="s">
        <v>1482</v>
      </c>
      <c r="C5708" t="s">
        <v>9290</v>
      </c>
      <c r="D5708" t="s">
        <v>19018</v>
      </c>
      <c r="E5708" t="s">
        <v>24107</v>
      </c>
      <c r="F5708" t="s">
        <v>32831</v>
      </c>
      <c r="G5708" t="s">
        <v>32838</v>
      </c>
      <c r="H5708" t="s">
        <v>32848</v>
      </c>
      <c r="I5708" t="s">
        <v>32862</v>
      </c>
      <c r="J5708" t="s">
        <v>33402</v>
      </c>
      <c r="K5708" t="s">
        <v>42731</v>
      </c>
      <c r="M5708" t="s">
        <v>44576</v>
      </c>
      <c r="N5708" t="s">
        <v>47424</v>
      </c>
      <c r="O5708" t="s">
        <v>47425</v>
      </c>
      <c r="P5708">
        <v>0</v>
      </c>
      <c r="Q5708">
        <v>2</v>
      </c>
      <c r="R5708" t="s">
        <v>47430</v>
      </c>
      <c r="S5708" t="s">
        <v>47549</v>
      </c>
      <c r="T5708" t="s">
        <v>49237</v>
      </c>
      <c r="U5708" t="s">
        <v>54487</v>
      </c>
      <c r="V5708" t="s">
        <v>63251</v>
      </c>
      <c r="W5708" t="s">
        <v>44576</v>
      </c>
      <c r="X5708" t="s">
        <v>47431</v>
      </c>
    </row>
    <row r="5709" spans="1:24">
      <c r="A5709">
        <f>HYPERLINK("https://www.philgeps.gov.ph/GEPSNONPILOT/Tender/SplashBidNoticeAbstractUI.aspx?menuIndex=3&amp;refID=7161460&amp;Result=3","7161460")</f>
        <v>0</v>
      </c>
      <c r="B5709" t="s">
        <v>1055</v>
      </c>
      <c r="C5709" t="s">
        <v>4699</v>
      </c>
      <c r="D5709" t="s">
        <v>19017</v>
      </c>
      <c r="E5709" t="s">
        <v>24108</v>
      </c>
      <c r="F5709" t="s">
        <v>32831</v>
      </c>
      <c r="G5709" t="s">
        <v>32840</v>
      </c>
      <c r="H5709" t="s">
        <v>32848</v>
      </c>
      <c r="I5709" t="s">
        <v>32860</v>
      </c>
      <c r="J5709" t="s">
        <v>36639</v>
      </c>
      <c r="K5709" t="s">
        <v>42732</v>
      </c>
      <c r="M5709" t="s">
        <v>44112</v>
      </c>
      <c r="N5709" t="s">
        <v>47424</v>
      </c>
      <c r="O5709" t="s">
        <v>47425</v>
      </c>
      <c r="P5709">
        <v>0</v>
      </c>
      <c r="Q5709">
        <v>11</v>
      </c>
      <c r="R5709" t="s">
        <v>47430</v>
      </c>
      <c r="S5709" t="s">
        <v>47549</v>
      </c>
      <c r="T5709" t="s">
        <v>49214</v>
      </c>
      <c r="U5709" t="s">
        <v>52781</v>
      </c>
      <c r="W5709" t="s">
        <v>44112</v>
      </c>
      <c r="X5709" t="s">
        <v>47431</v>
      </c>
    </row>
    <row r="5710" spans="1:24">
      <c r="A5710">
        <f>HYPERLINK("https://www.philgeps.gov.ph/GEPSNONPILOT/Tender/SplashBidNoticeAbstractUI.aspx?menuIndex=3&amp;refID=7161392&amp;Result=3","7161392")</f>
        <v>0</v>
      </c>
      <c r="B5710" t="s">
        <v>2044</v>
      </c>
      <c r="C5710" t="s">
        <v>9291</v>
      </c>
      <c r="D5710" t="s">
        <v>19045</v>
      </c>
      <c r="E5710" t="s">
        <v>24109</v>
      </c>
      <c r="F5710" t="s">
        <v>32831</v>
      </c>
      <c r="G5710" t="s">
        <v>32842</v>
      </c>
      <c r="H5710" t="s">
        <v>32848</v>
      </c>
      <c r="I5710" t="s">
        <v>4487</v>
      </c>
      <c r="J5710" t="s">
        <v>33714</v>
      </c>
      <c r="K5710" t="s">
        <v>42727</v>
      </c>
      <c r="M5710" t="s">
        <v>45245</v>
      </c>
      <c r="N5710" t="s">
        <v>47424</v>
      </c>
      <c r="O5710" t="s">
        <v>47425</v>
      </c>
      <c r="P5710">
        <v>0</v>
      </c>
      <c r="Q5710">
        <v>0</v>
      </c>
      <c r="R5710" t="s">
        <v>47430</v>
      </c>
      <c r="S5710" t="s">
        <v>47549</v>
      </c>
      <c r="T5710" t="s">
        <v>49237</v>
      </c>
      <c r="U5710" t="s">
        <v>54488</v>
      </c>
      <c r="W5710" t="s">
        <v>45245</v>
      </c>
      <c r="X5710" t="s">
        <v>47431</v>
      </c>
    </row>
    <row r="5711" spans="1:24">
      <c r="A5711">
        <f>HYPERLINK("https://www.philgeps.gov.ph/GEPSNONPILOT/Tender/SplashBidNoticeAbstractUI.aspx?menuIndex=3&amp;refID=7161458&amp;Result=3","7161458")</f>
        <v>0</v>
      </c>
      <c r="B5711" t="s">
        <v>851</v>
      </c>
      <c r="C5711" t="s">
        <v>9292</v>
      </c>
      <c r="D5711" t="s">
        <v>19017</v>
      </c>
      <c r="E5711" t="s">
        <v>23618</v>
      </c>
      <c r="F5711" t="s">
        <v>32831</v>
      </c>
      <c r="G5711" t="s">
        <v>32838</v>
      </c>
      <c r="H5711" t="s">
        <v>32848</v>
      </c>
      <c r="I5711" t="s">
        <v>9577</v>
      </c>
      <c r="J5711" t="s">
        <v>33364</v>
      </c>
      <c r="K5711" t="s">
        <v>42726</v>
      </c>
      <c r="M5711" t="s">
        <v>45050</v>
      </c>
      <c r="N5711" t="s">
        <v>47424</v>
      </c>
      <c r="O5711" t="s">
        <v>47425</v>
      </c>
      <c r="P5711">
        <v>0</v>
      </c>
      <c r="Q5711">
        <v>11</v>
      </c>
      <c r="R5711" t="s">
        <v>47430</v>
      </c>
      <c r="S5711" t="s">
        <v>47549</v>
      </c>
      <c r="T5711" t="s">
        <v>49214</v>
      </c>
      <c r="U5711" t="s">
        <v>54489</v>
      </c>
      <c r="W5711" t="s">
        <v>45050</v>
      </c>
      <c r="X5711" t="s">
        <v>47431</v>
      </c>
    </row>
    <row r="5712" spans="1:24">
      <c r="A5712">
        <f>HYPERLINK("https://www.philgeps.gov.ph/GEPSNONPILOT/Tender/SplashBidNoticeAbstractUI.aspx?menuIndex=3&amp;refID=7161455&amp;Result=3","7161455")</f>
        <v>0</v>
      </c>
      <c r="B5712" t="s">
        <v>2086</v>
      </c>
      <c r="C5712" t="s">
        <v>9293</v>
      </c>
      <c r="D5712" t="s">
        <v>19017</v>
      </c>
      <c r="E5712" t="s">
        <v>24110</v>
      </c>
      <c r="F5712" t="s">
        <v>32831</v>
      </c>
      <c r="G5712" t="s">
        <v>32839</v>
      </c>
      <c r="H5712" t="s">
        <v>32849</v>
      </c>
      <c r="I5712" t="s">
        <v>4177</v>
      </c>
      <c r="J5712" t="s">
        <v>36640</v>
      </c>
      <c r="K5712" t="s">
        <v>42729</v>
      </c>
      <c r="M5712" t="s">
        <v>45257</v>
      </c>
      <c r="N5712" t="s">
        <v>47424</v>
      </c>
      <c r="O5712" t="s">
        <v>47425</v>
      </c>
      <c r="P5712">
        <v>0</v>
      </c>
      <c r="Q5712">
        <v>3</v>
      </c>
      <c r="R5712" t="s">
        <v>47430</v>
      </c>
      <c r="S5712" t="s">
        <v>47549</v>
      </c>
      <c r="T5712" t="s">
        <v>49433</v>
      </c>
      <c r="U5712" t="s">
        <v>54490</v>
      </c>
      <c r="W5712" t="s">
        <v>45257</v>
      </c>
      <c r="X5712" t="s">
        <v>47431</v>
      </c>
    </row>
    <row r="5713" spans="1:24">
      <c r="A5713">
        <f>HYPERLINK("https://www.philgeps.gov.ph/GEPSNONPILOT/Tender/SplashBidNoticeAbstractUI.aspx?menuIndex=3&amp;refID=7161459&amp;Result=3","7161459")</f>
        <v>0</v>
      </c>
      <c r="B5713" t="s">
        <v>1667</v>
      </c>
      <c r="C5713" t="s">
        <v>9294</v>
      </c>
      <c r="D5713" t="s">
        <v>19027</v>
      </c>
      <c r="E5713" t="s">
        <v>24111</v>
      </c>
      <c r="F5713" t="s">
        <v>32831</v>
      </c>
      <c r="G5713" t="s">
        <v>32838</v>
      </c>
      <c r="H5713" t="s">
        <v>32848</v>
      </c>
      <c r="I5713" t="s">
        <v>4776</v>
      </c>
      <c r="J5713" t="s">
        <v>36641</v>
      </c>
      <c r="K5713" t="s">
        <v>42748</v>
      </c>
      <c r="M5713" t="s">
        <v>44784</v>
      </c>
      <c r="N5713" t="s">
        <v>47424</v>
      </c>
      <c r="O5713" t="s">
        <v>47425</v>
      </c>
      <c r="P5713">
        <v>0</v>
      </c>
      <c r="Q5713">
        <v>0</v>
      </c>
      <c r="R5713" t="s">
        <v>47430</v>
      </c>
      <c r="S5713" t="s">
        <v>47549</v>
      </c>
      <c r="T5713" t="s">
        <v>49177</v>
      </c>
      <c r="U5713" t="s">
        <v>53158</v>
      </c>
      <c r="W5713" t="s">
        <v>44784</v>
      </c>
      <c r="X5713" t="s">
        <v>47431</v>
      </c>
    </row>
    <row r="5714" spans="1:24">
      <c r="A5714">
        <f>HYPERLINK("https://www.philgeps.gov.ph/GEPSNONPILOT/Tender/SplashBidNoticeAbstractUI.aspx?menuIndex=3&amp;refID=7161452&amp;Result=3","7161452")</f>
        <v>0</v>
      </c>
      <c r="B5714" t="s">
        <v>2073</v>
      </c>
      <c r="C5714" t="s">
        <v>9295</v>
      </c>
      <c r="D5714" t="s">
        <v>19061</v>
      </c>
      <c r="E5714" t="s">
        <v>24112</v>
      </c>
      <c r="F5714" t="s">
        <v>32831</v>
      </c>
      <c r="G5714" t="s">
        <v>32839</v>
      </c>
      <c r="H5714" t="s">
        <v>32848</v>
      </c>
      <c r="I5714" t="s">
        <v>7416</v>
      </c>
      <c r="J5714" t="s">
        <v>36642</v>
      </c>
      <c r="K5714" t="s">
        <v>42730</v>
      </c>
      <c r="M5714" t="s">
        <v>45243</v>
      </c>
      <c r="N5714" t="s">
        <v>47424</v>
      </c>
      <c r="O5714" t="s">
        <v>47425</v>
      </c>
      <c r="P5714">
        <v>0</v>
      </c>
      <c r="Q5714">
        <v>2</v>
      </c>
      <c r="R5714" t="s">
        <v>47430</v>
      </c>
      <c r="S5714" t="s">
        <v>47549</v>
      </c>
      <c r="T5714" t="s">
        <v>49065</v>
      </c>
      <c r="U5714" t="s">
        <v>54491</v>
      </c>
      <c r="W5714" t="s">
        <v>45243</v>
      </c>
      <c r="X5714" t="s">
        <v>47431</v>
      </c>
    </row>
    <row r="5715" spans="1:24">
      <c r="A5715">
        <f>HYPERLINK("https://www.philgeps.gov.ph/GEPSNONPILOT/Tender/SplashBidNoticeAbstractUI.aspx?menuIndex=3&amp;refID=7161451&amp;Result=3","7161451")</f>
        <v>0</v>
      </c>
      <c r="B5715" t="s">
        <v>851</v>
      </c>
      <c r="C5715" t="s">
        <v>4699</v>
      </c>
      <c r="D5715" t="s">
        <v>19017</v>
      </c>
      <c r="E5715" t="s">
        <v>23618</v>
      </c>
      <c r="F5715" t="s">
        <v>32831</v>
      </c>
      <c r="G5715" t="s">
        <v>32838</v>
      </c>
      <c r="H5715" t="s">
        <v>32848</v>
      </c>
      <c r="I5715" t="s">
        <v>9577</v>
      </c>
      <c r="J5715" t="s">
        <v>36643</v>
      </c>
      <c r="K5715" t="s">
        <v>42726</v>
      </c>
      <c r="M5715" t="s">
        <v>45050</v>
      </c>
      <c r="N5715" t="s">
        <v>47424</v>
      </c>
      <c r="O5715" t="s">
        <v>47425</v>
      </c>
      <c r="P5715">
        <v>0</v>
      </c>
      <c r="Q5715">
        <v>3</v>
      </c>
      <c r="R5715" t="s">
        <v>47430</v>
      </c>
      <c r="S5715" t="s">
        <v>47549</v>
      </c>
      <c r="T5715" t="s">
        <v>49214</v>
      </c>
      <c r="U5715" t="s">
        <v>54492</v>
      </c>
      <c r="W5715" t="s">
        <v>45050</v>
      </c>
      <c r="X5715" t="s">
        <v>47431</v>
      </c>
    </row>
    <row r="5716" spans="1:24">
      <c r="A5716">
        <f>HYPERLINK("https://www.philgeps.gov.ph/GEPSNONPILOT/Tender/SplashBidNoticeAbstractUI.aspx?menuIndex=3&amp;refID=7161426&amp;Result=3","7161426")</f>
        <v>0</v>
      </c>
      <c r="B5716" t="s">
        <v>2087</v>
      </c>
      <c r="C5716" t="s">
        <v>9296</v>
      </c>
      <c r="D5716" t="s">
        <v>19052</v>
      </c>
      <c r="E5716" t="s">
        <v>24113</v>
      </c>
      <c r="F5716" t="s">
        <v>32831</v>
      </c>
      <c r="G5716" t="s">
        <v>32839</v>
      </c>
      <c r="H5716" t="s">
        <v>32848</v>
      </c>
      <c r="I5716" t="s">
        <v>32862</v>
      </c>
      <c r="J5716" t="s">
        <v>36644</v>
      </c>
      <c r="K5716" t="s">
        <v>42770</v>
      </c>
      <c r="M5716" t="s">
        <v>45258</v>
      </c>
      <c r="N5716" t="s">
        <v>47424</v>
      </c>
      <c r="O5716" t="s">
        <v>47425</v>
      </c>
      <c r="P5716">
        <v>0</v>
      </c>
      <c r="Q5716">
        <v>0</v>
      </c>
      <c r="R5716" t="s">
        <v>47430</v>
      </c>
      <c r="S5716" t="s">
        <v>47549</v>
      </c>
      <c r="T5716" t="s">
        <v>49179</v>
      </c>
      <c r="U5716" t="s">
        <v>54493</v>
      </c>
      <c r="V5716" t="s">
        <v>63254</v>
      </c>
      <c r="W5716" t="s">
        <v>45258</v>
      </c>
      <c r="X5716" t="s">
        <v>47431</v>
      </c>
    </row>
    <row r="5717" spans="1:24">
      <c r="A5717">
        <f>HYPERLINK("https://www.philgeps.gov.ph/GEPSNONPILOT/Tender/SplashBidNoticeAbstractUI.aspx?menuIndex=3&amp;refID=7161450&amp;Result=3","7161450")</f>
        <v>0</v>
      </c>
      <c r="B5717" t="s">
        <v>2084</v>
      </c>
      <c r="C5717" t="s">
        <v>4435</v>
      </c>
      <c r="D5717" t="s">
        <v>19054</v>
      </c>
      <c r="E5717" t="s">
        <v>24114</v>
      </c>
      <c r="F5717" t="s">
        <v>32831</v>
      </c>
      <c r="G5717" t="s">
        <v>32838</v>
      </c>
      <c r="H5717" t="s">
        <v>32848</v>
      </c>
      <c r="I5717" t="s">
        <v>4435</v>
      </c>
      <c r="J5717" t="s">
        <v>33677</v>
      </c>
      <c r="K5717" t="s">
        <v>42747</v>
      </c>
      <c r="M5717" t="s">
        <v>45255</v>
      </c>
      <c r="N5717" t="s">
        <v>47424</v>
      </c>
      <c r="O5717" t="s">
        <v>47425</v>
      </c>
      <c r="P5717">
        <v>0</v>
      </c>
      <c r="Q5717">
        <v>1</v>
      </c>
      <c r="R5717" t="s">
        <v>47430</v>
      </c>
      <c r="S5717" t="s">
        <v>47549</v>
      </c>
      <c r="T5717" t="s">
        <v>49111</v>
      </c>
      <c r="U5717" t="s">
        <v>54494</v>
      </c>
      <c r="W5717" t="s">
        <v>45255</v>
      </c>
      <c r="X5717" t="s">
        <v>47431</v>
      </c>
    </row>
    <row r="5718" spans="1:24">
      <c r="A5718">
        <f>HYPERLINK("https://www.philgeps.gov.ph/GEPSNONPILOT/Tender/SplashBidNoticeAbstractUI.aspx?menuIndex=3&amp;refID=7161454&amp;Result=3","7161454")</f>
        <v>0</v>
      </c>
      <c r="B5718" t="s">
        <v>2082</v>
      </c>
      <c r="C5718" t="s">
        <v>9297</v>
      </c>
      <c r="D5718" t="s">
        <v>19065</v>
      </c>
      <c r="E5718" t="s">
        <v>24115</v>
      </c>
      <c r="F5718" t="s">
        <v>32831</v>
      </c>
      <c r="G5718" t="s">
        <v>32839</v>
      </c>
      <c r="H5718" t="s">
        <v>32849</v>
      </c>
      <c r="I5718" t="s">
        <v>4177</v>
      </c>
      <c r="J5718" t="s">
        <v>36645</v>
      </c>
      <c r="K5718" t="s">
        <v>42728</v>
      </c>
      <c r="M5718" t="s">
        <v>45253</v>
      </c>
      <c r="N5718" t="s">
        <v>47424</v>
      </c>
      <c r="O5718" t="s">
        <v>47425</v>
      </c>
      <c r="P5718">
        <v>0</v>
      </c>
      <c r="Q5718">
        <v>0</v>
      </c>
      <c r="R5718" t="s">
        <v>47430</v>
      </c>
      <c r="S5718" t="s">
        <v>47549</v>
      </c>
      <c r="T5718" t="s">
        <v>49291</v>
      </c>
      <c r="U5718" t="s">
        <v>54495</v>
      </c>
      <c r="W5718" t="s">
        <v>64497</v>
      </c>
      <c r="X5718" t="s">
        <v>47431</v>
      </c>
    </row>
    <row r="5719" spans="1:24">
      <c r="A5719">
        <f>HYPERLINK("https://www.philgeps.gov.ph/GEPSNONPILOT/Tender/SplashBidNoticeAbstractUI.aspx?menuIndex=3&amp;refID=7161448&amp;Result=3","7161448")</f>
        <v>0</v>
      </c>
      <c r="B5719" t="s">
        <v>1070</v>
      </c>
      <c r="C5719" t="s">
        <v>9298</v>
      </c>
      <c r="D5719" t="s">
        <v>19021</v>
      </c>
      <c r="E5719" t="s">
        <v>24116</v>
      </c>
      <c r="F5719" t="s">
        <v>32831</v>
      </c>
      <c r="G5719" t="s">
        <v>32845</v>
      </c>
      <c r="H5719" t="s">
        <v>32848</v>
      </c>
      <c r="I5719" t="s">
        <v>7416</v>
      </c>
      <c r="J5719" t="s">
        <v>36646</v>
      </c>
      <c r="K5719" t="s">
        <v>42727</v>
      </c>
      <c r="M5719" t="s">
        <v>45259</v>
      </c>
      <c r="N5719" t="s">
        <v>47424</v>
      </c>
      <c r="O5719" t="s">
        <v>47425</v>
      </c>
      <c r="P5719">
        <v>0</v>
      </c>
      <c r="Q5719">
        <v>3</v>
      </c>
      <c r="R5719" t="s">
        <v>47430</v>
      </c>
      <c r="S5719" t="s">
        <v>47549</v>
      </c>
      <c r="T5719" t="s">
        <v>49407</v>
      </c>
      <c r="U5719" t="s">
        <v>54496</v>
      </c>
      <c r="V5719" t="s">
        <v>63255</v>
      </c>
      <c r="W5719" t="s">
        <v>45259</v>
      </c>
      <c r="X5719" t="s">
        <v>47431</v>
      </c>
    </row>
    <row r="5720" spans="1:24">
      <c r="A5720">
        <f>HYPERLINK("https://www.philgeps.gov.ph/GEPSNONPILOT/Tender/SplashBidNoticeAbstractUI.aspx?menuIndex=3&amp;refID=7161480&amp;Result=3","7161480")</f>
        <v>0</v>
      </c>
      <c r="B5720" t="s">
        <v>2088</v>
      </c>
      <c r="C5720" t="s">
        <v>9299</v>
      </c>
      <c r="D5720" t="s">
        <v>19044</v>
      </c>
      <c r="E5720" t="s">
        <v>21818</v>
      </c>
      <c r="F5720" t="s">
        <v>32831</v>
      </c>
      <c r="G5720" t="s">
        <v>32839</v>
      </c>
      <c r="H5720" t="s">
        <v>32848</v>
      </c>
      <c r="I5720" t="s">
        <v>32925</v>
      </c>
      <c r="J5720" t="s">
        <v>33066</v>
      </c>
      <c r="K5720" t="s">
        <v>42747</v>
      </c>
      <c r="M5720" t="s">
        <v>45260</v>
      </c>
      <c r="N5720" t="s">
        <v>47424</v>
      </c>
      <c r="O5720" t="s">
        <v>47425</v>
      </c>
      <c r="P5720">
        <v>0</v>
      </c>
      <c r="Q5720">
        <v>11</v>
      </c>
      <c r="R5720" t="s">
        <v>47430</v>
      </c>
      <c r="S5720" t="s">
        <v>47549</v>
      </c>
      <c r="T5720" t="s">
        <v>49319</v>
      </c>
      <c r="U5720" t="s">
        <v>54497</v>
      </c>
      <c r="W5720" t="s">
        <v>45260</v>
      </c>
      <c r="X5720" t="s">
        <v>47431</v>
      </c>
    </row>
    <row r="5721" spans="1:24">
      <c r="A5721">
        <f>HYPERLINK("https://www.philgeps.gov.ph/GEPSNONPILOT/Tender/SplashBidNoticeAbstractUI.aspx?menuIndex=3&amp;refID=7161411&amp;Result=3","7161411")</f>
        <v>0</v>
      </c>
      <c r="B5721" t="s">
        <v>2073</v>
      </c>
      <c r="C5721" t="s">
        <v>9300</v>
      </c>
      <c r="D5721" t="s">
        <v>19061</v>
      </c>
      <c r="E5721" t="s">
        <v>24117</v>
      </c>
      <c r="F5721" t="s">
        <v>32831</v>
      </c>
      <c r="G5721" t="s">
        <v>32839</v>
      </c>
      <c r="H5721" t="s">
        <v>32848</v>
      </c>
      <c r="I5721" t="s">
        <v>7416</v>
      </c>
      <c r="J5721" t="s">
        <v>36647</v>
      </c>
      <c r="K5721" t="s">
        <v>42730</v>
      </c>
      <c r="M5721" t="s">
        <v>45243</v>
      </c>
      <c r="N5721" t="s">
        <v>47424</v>
      </c>
      <c r="O5721" t="s">
        <v>47425</v>
      </c>
      <c r="P5721">
        <v>0</v>
      </c>
      <c r="Q5721">
        <v>1</v>
      </c>
      <c r="R5721" t="s">
        <v>47430</v>
      </c>
      <c r="S5721" t="s">
        <v>47549</v>
      </c>
      <c r="T5721" t="s">
        <v>49065</v>
      </c>
      <c r="U5721" t="s">
        <v>54491</v>
      </c>
      <c r="W5721" t="s">
        <v>45243</v>
      </c>
      <c r="X5721" t="s">
        <v>47431</v>
      </c>
    </row>
    <row r="5722" spans="1:24">
      <c r="A5722">
        <f>HYPERLINK("https://www.philgeps.gov.ph/GEPSNONPILOT/Tender/SplashBidNoticeAbstractUI.aspx?menuIndex=3&amp;refID=7161485&amp;Result=3","7161485")</f>
        <v>0</v>
      </c>
      <c r="B5722" t="s">
        <v>2088</v>
      </c>
      <c r="C5722" t="s">
        <v>9301</v>
      </c>
      <c r="D5722" t="s">
        <v>19044</v>
      </c>
      <c r="E5722" t="s">
        <v>22315</v>
      </c>
      <c r="F5722" t="s">
        <v>32831</v>
      </c>
      <c r="G5722" t="s">
        <v>32839</v>
      </c>
      <c r="H5722" t="s">
        <v>32848</v>
      </c>
      <c r="I5722" t="s">
        <v>32925</v>
      </c>
      <c r="J5722" t="s">
        <v>33078</v>
      </c>
      <c r="K5722" t="s">
        <v>42747</v>
      </c>
      <c r="M5722" t="s">
        <v>45260</v>
      </c>
      <c r="N5722" t="s">
        <v>47424</v>
      </c>
      <c r="O5722" t="s">
        <v>47425</v>
      </c>
      <c r="P5722">
        <v>0</v>
      </c>
      <c r="Q5722">
        <v>7</v>
      </c>
      <c r="R5722" t="s">
        <v>47430</v>
      </c>
      <c r="S5722" t="s">
        <v>47549</v>
      </c>
      <c r="T5722" t="s">
        <v>49319</v>
      </c>
      <c r="U5722" t="s">
        <v>54498</v>
      </c>
      <c r="W5722" t="s">
        <v>45260</v>
      </c>
      <c r="X5722" t="s">
        <v>47431</v>
      </c>
    </row>
    <row r="5723" spans="1:24">
      <c r="A5723">
        <f>HYPERLINK("https://www.philgeps.gov.ph/GEPSNONPILOT/Tender/SplashBidNoticeAbstractUI.aspx?menuIndex=3&amp;refID=7161445&amp;Result=3","7161445")</f>
        <v>0</v>
      </c>
      <c r="B5723" t="s">
        <v>2088</v>
      </c>
      <c r="C5723" t="s">
        <v>9302</v>
      </c>
      <c r="D5723" t="s">
        <v>19044</v>
      </c>
      <c r="E5723" t="s">
        <v>23676</v>
      </c>
      <c r="F5723" t="s">
        <v>32831</v>
      </c>
      <c r="G5723" t="s">
        <v>32839</v>
      </c>
      <c r="H5723" t="s">
        <v>32849</v>
      </c>
      <c r="I5723" t="s">
        <v>4177</v>
      </c>
      <c r="J5723" t="s">
        <v>36648</v>
      </c>
      <c r="K5723" t="s">
        <v>42747</v>
      </c>
      <c r="M5723" t="s">
        <v>45260</v>
      </c>
      <c r="N5723" t="s">
        <v>47424</v>
      </c>
      <c r="O5723" t="s">
        <v>47425</v>
      </c>
      <c r="P5723">
        <v>0</v>
      </c>
      <c r="Q5723">
        <v>0</v>
      </c>
      <c r="R5723" t="s">
        <v>47430</v>
      </c>
      <c r="S5723" t="s">
        <v>47549</v>
      </c>
      <c r="T5723" t="s">
        <v>49319</v>
      </c>
      <c r="U5723" t="s">
        <v>54499</v>
      </c>
      <c r="W5723" t="s">
        <v>45260</v>
      </c>
      <c r="X5723" t="s">
        <v>47431</v>
      </c>
    </row>
    <row r="5724" spans="1:24">
      <c r="A5724">
        <f>HYPERLINK("https://www.philgeps.gov.ph/GEPSNONPILOT/Tender/SplashBidNoticeAbstractUI.aspx?menuIndex=3&amp;refID=7161484&amp;Result=3","7161484")</f>
        <v>0</v>
      </c>
      <c r="B5724" t="s">
        <v>430</v>
      </c>
      <c r="C5724" t="s">
        <v>9303</v>
      </c>
      <c r="D5724" t="s">
        <v>19092</v>
      </c>
      <c r="E5724" t="s">
        <v>24118</v>
      </c>
      <c r="F5724" t="s">
        <v>32831</v>
      </c>
      <c r="G5724" t="s">
        <v>32840</v>
      </c>
      <c r="H5724" t="s">
        <v>32848</v>
      </c>
      <c r="I5724" t="s">
        <v>10643</v>
      </c>
      <c r="J5724" t="s">
        <v>36649</v>
      </c>
      <c r="K5724" t="s">
        <v>42726</v>
      </c>
      <c r="M5724" t="s">
        <v>43435</v>
      </c>
      <c r="N5724" t="s">
        <v>47424</v>
      </c>
      <c r="O5724" t="s">
        <v>47425</v>
      </c>
      <c r="P5724">
        <v>0</v>
      </c>
      <c r="Q5724">
        <v>1</v>
      </c>
      <c r="R5724" t="s">
        <v>47430</v>
      </c>
      <c r="S5724" t="s">
        <v>47549</v>
      </c>
      <c r="T5724" t="s">
        <v>49079</v>
      </c>
      <c r="U5724" t="s">
        <v>54500</v>
      </c>
      <c r="W5724" t="s">
        <v>43435</v>
      </c>
      <c r="X5724" t="s">
        <v>47431</v>
      </c>
    </row>
    <row r="5725" spans="1:24">
      <c r="A5725">
        <f>HYPERLINK("https://www.philgeps.gov.ph/GEPSNONPILOT/Tender/SplashBidNoticeAbstractUI.aspx?menuIndex=3&amp;refID=7161483&amp;Result=3","7161483")</f>
        <v>0</v>
      </c>
      <c r="B5725" t="s">
        <v>2082</v>
      </c>
      <c r="C5725" t="s">
        <v>9304</v>
      </c>
      <c r="D5725" t="s">
        <v>19065</v>
      </c>
      <c r="E5725" t="s">
        <v>24119</v>
      </c>
      <c r="F5725" t="s">
        <v>32831</v>
      </c>
      <c r="G5725" t="s">
        <v>32839</v>
      </c>
      <c r="H5725" t="s">
        <v>32848</v>
      </c>
      <c r="I5725" t="s">
        <v>7751</v>
      </c>
      <c r="J5725" t="s">
        <v>33024</v>
      </c>
      <c r="K5725" t="s">
        <v>42747</v>
      </c>
      <c r="M5725" t="s">
        <v>45253</v>
      </c>
      <c r="N5725" t="s">
        <v>47424</v>
      </c>
      <c r="O5725" t="s">
        <v>47425</v>
      </c>
      <c r="P5725">
        <v>0</v>
      </c>
      <c r="Q5725">
        <v>3</v>
      </c>
      <c r="R5725" t="s">
        <v>47430</v>
      </c>
      <c r="S5725" t="s">
        <v>47549</v>
      </c>
      <c r="T5725" t="s">
        <v>49291</v>
      </c>
      <c r="U5725" t="s">
        <v>54501</v>
      </c>
      <c r="W5725" t="s">
        <v>64497</v>
      </c>
      <c r="X5725" t="s">
        <v>47431</v>
      </c>
    </row>
    <row r="5726" spans="1:24">
      <c r="A5726">
        <f>HYPERLINK("https://www.philgeps.gov.ph/GEPSNONPILOT/Tender/SplashBidNoticeAbstractUI.aspx?menuIndex=3&amp;refID=7161482&amp;Result=3","7161482")</f>
        <v>0</v>
      </c>
      <c r="B5726" t="s">
        <v>2089</v>
      </c>
      <c r="C5726" t="s">
        <v>9305</v>
      </c>
      <c r="E5726" t="s">
        <v>24120</v>
      </c>
      <c r="F5726" t="s">
        <v>32831</v>
      </c>
      <c r="G5726" t="s">
        <v>32838</v>
      </c>
      <c r="H5726" t="s">
        <v>32848</v>
      </c>
      <c r="I5726" t="s">
        <v>32950</v>
      </c>
      <c r="J5726" t="s">
        <v>33118</v>
      </c>
      <c r="K5726" t="s">
        <v>42732</v>
      </c>
      <c r="M5726" t="s">
        <v>45261</v>
      </c>
      <c r="N5726" t="s">
        <v>47424</v>
      </c>
      <c r="O5726" t="s">
        <v>47425</v>
      </c>
      <c r="P5726">
        <v>0</v>
      </c>
      <c r="Q5726">
        <v>11</v>
      </c>
      <c r="R5726" t="s">
        <v>47430</v>
      </c>
      <c r="S5726" t="s">
        <v>47549</v>
      </c>
      <c r="T5726" t="s">
        <v>49211</v>
      </c>
      <c r="U5726" t="s">
        <v>54502</v>
      </c>
      <c r="W5726" t="s">
        <v>64498</v>
      </c>
      <c r="X5726" t="s">
        <v>47431</v>
      </c>
    </row>
    <row r="5727" spans="1:24">
      <c r="A5727">
        <f>HYPERLINK("https://www.philgeps.gov.ph/GEPSNONPILOT/Tender/SplashBidNoticeAbstractUI.aspx?menuIndex=3&amp;refID=7161447&amp;Result=3","7161447")</f>
        <v>0</v>
      </c>
      <c r="B5727" t="s">
        <v>1482</v>
      </c>
      <c r="C5727" t="s">
        <v>9306</v>
      </c>
      <c r="D5727" t="s">
        <v>19018</v>
      </c>
      <c r="E5727" t="s">
        <v>24121</v>
      </c>
      <c r="F5727" t="s">
        <v>32831</v>
      </c>
      <c r="G5727" t="s">
        <v>32838</v>
      </c>
      <c r="H5727" t="s">
        <v>32848</v>
      </c>
      <c r="I5727" t="s">
        <v>10805</v>
      </c>
      <c r="J5727" t="s">
        <v>33175</v>
      </c>
      <c r="K5727" t="s">
        <v>42731</v>
      </c>
      <c r="M5727" t="s">
        <v>44576</v>
      </c>
      <c r="N5727" t="s">
        <v>47424</v>
      </c>
      <c r="O5727" t="s">
        <v>47425</v>
      </c>
      <c r="P5727">
        <v>0</v>
      </c>
      <c r="Q5727">
        <v>3</v>
      </c>
      <c r="R5727" t="s">
        <v>47430</v>
      </c>
      <c r="S5727" t="s">
        <v>47549</v>
      </c>
      <c r="T5727" t="s">
        <v>49237</v>
      </c>
      <c r="U5727" t="s">
        <v>54503</v>
      </c>
      <c r="V5727" t="s">
        <v>63256</v>
      </c>
      <c r="W5727" t="s">
        <v>44576</v>
      </c>
      <c r="X5727" t="s">
        <v>47431</v>
      </c>
    </row>
    <row r="5728" spans="1:24">
      <c r="A5728">
        <f>HYPERLINK("https://www.philgeps.gov.ph/GEPSNONPILOT/Tender/SplashBidNoticeAbstractUI.aspx?menuIndex=3&amp;refID=7161429&amp;Result=3","7161429")</f>
        <v>0</v>
      </c>
      <c r="B5728" t="s">
        <v>2090</v>
      </c>
      <c r="C5728" t="s">
        <v>9307</v>
      </c>
      <c r="D5728" t="s">
        <v>19045</v>
      </c>
      <c r="E5728" t="s">
        <v>24122</v>
      </c>
      <c r="F5728" t="s">
        <v>32833</v>
      </c>
      <c r="G5728" t="s">
        <v>32839</v>
      </c>
      <c r="H5728" t="s">
        <v>32848</v>
      </c>
      <c r="I5728" t="s">
        <v>7416</v>
      </c>
      <c r="J5728" t="s">
        <v>33486</v>
      </c>
      <c r="K5728" t="s">
        <v>42731</v>
      </c>
      <c r="M5728" t="s">
        <v>45262</v>
      </c>
      <c r="N5728" t="s">
        <v>47424</v>
      </c>
      <c r="O5728" t="s">
        <v>47425</v>
      </c>
      <c r="P5728">
        <v>0</v>
      </c>
      <c r="Q5728">
        <v>0</v>
      </c>
      <c r="R5728" t="s">
        <v>47430</v>
      </c>
      <c r="S5728" t="s">
        <v>47549</v>
      </c>
      <c r="T5728" t="s">
        <v>49398</v>
      </c>
      <c r="U5728" t="s">
        <v>54504</v>
      </c>
      <c r="V5728" t="s">
        <v>63257</v>
      </c>
      <c r="W5728" t="s">
        <v>45262</v>
      </c>
      <c r="X5728" t="s">
        <v>47431</v>
      </c>
    </row>
    <row r="5729" spans="1:24">
      <c r="A5729">
        <f>HYPERLINK("https://www.philgeps.gov.ph/GEPSNONPILOT/Tender/SplashBidNoticeAbstractUI.aspx?menuIndex=3&amp;refID=7161479&amp;Result=3","7161479")</f>
        <v>0</v>
      </c>
      <c r="B5729" t="s">
        <v>1530</v>
      </c>
      <c r="C5729" t="s">
        <v>9308</v>
      </c>
      <c r="D5729" t="s">
        <v>19073</v>
      </c>
      <c r="E5729" t="s">
        <v>24123</v>
      </c>
      <c r="F5729" t="s">
        <v>32831</v>
      </c>
      <c r="G5729" t="s">
        <v>32840</v>
      </c>
      <c r="H5729" t="s">
        <v>32848</v>
      </c>
      <c r="I5729" t="s">
        <v>32860</v>
      </c>
      <c r="J5729" t="s">
        <v>33087</v>
      </c>
      <c r="K5729" t="s">
        <v>42748</v>
      </c>
      <c r="M5729" t="s">
        <v>44633</v>
      </c>
      <c r="N5729" t="s">
        <v>47424</v>
      </c>
      <c r="O5729" t="s">
        <v>47425</v>
      </c>
      <c r="P5729">
        <v>0</v>
      </c>
      <c r="Q5729">
        <v>2</v>
      </c>
      <c r="R5729" t="s">
        <v>47430</v>
      </c>
      <c r="S5729" t="s">
        <v>47549</v>
      </c>
      <c r="T5729" t="s">
        <v>49107</v>
      </c>
      <c r="U5729" t="s">
        <v>54505</v>
      </c>
      <c r="V5729" t="s">
        <v>63258</v>
      </c>
      <c r="W5729" t="s">
        <v>44633</v>
      </c>
      <c r="X5729" t="s">
        <v>47431</v>
      </c>
    </row>
    <row r="5730" spans="1:24">
      <c r="A5730">
        <f>HYPERLINK("https://www.philgeps.gov.ph/GEPSNONPILOT/Tender/SplashBidNoticeAbstractUI.aspx?menuIndex=3&amp;refID=7161475&amp;Result=3","7161475")</f>
        <v>0</v>
      </c>
      <c r="B5730" t="s">
        <v>2082</v>
      </c>
      <c r="C5730" t="s">
        <v>9309</v>
      </c>
      <c r="D5730" t="s">
        <v>19065</v>
      </c>
      <c r="E5730" t="s">
        <v>21314</v>
      </c>
      <c r="F5730" t="s">
        <v>32831</v>
      </c>
      <c r="G5730" t="s">
        <v>32839</v>
      </c>
      <c r="H5730" t="s">
        <v>32848</v>
      </c>
      <c r="I5730" t="s">
        <v>7751</v>
      </c>
      <c r="J5730" t="s">
        <v>33032</v>
      </c>
      <c r="K5730" t="s">
        <v>42747</v>
      </c>
      <c r="M5730" t="s">
        <v>45253</v>
      </c>
      <c r="N5730" t="s">
        <v>47424</v>
      </c>
      <c r="O5730" t="s">
        <v>47425</v>
      </c>
      <c r="P5730">
        <v>0</v>
      </c>
      <c r="Q5730">
        <v>5</v>
      </c>
      <c r="R5730" t="s">
        <v>47430</v>
      </c>
      <c r="S5730" t="s">
        <v>47549</v>
      </c>
      <c r="T5730" t="s">
        <v>49291</v>
      </c>
      <c r="U5730" t="s">
        <v>54506</v>
      </c>
      <c r="W5730" t="s">
        <v>64497</v>
      </c>
      <c r="X5730" t="s">
        <v>47431</v>
      </c>
    </row>
    <row r="5731" spans="1:24">
      <c r="A5731">
        <f>HYPERLINK("https://www.philgeps.gov.ph/GEPSNONPILOT/Tender/SplashBidNoticeAbstractUI.aspx?menuIndex=3&amp;refID=7161474&amp;Result=3","7161474")</f>
        <v>0</v>
      </c>
      <c r="B5731" t="s">
        <v>2088</v>
      </c>
      <c r="C5731" t="s">
        <v>9310</v>
      </c>
      <c r="D5731" t="s">
        <v>19044</v>
      </c>
      <c r="E5731" t="s">
        <v>20737</v>
      </c>
      <c r="F5731" t="s">
        <v>32831</v>
      </c>
      <c r="G5731" t="s">
        <v>32839</v>
      </c>
      <c r="H5731" t="s">
        <v>32849</v>
      </c>
      <c r="I5731" t="s">
        <v>4177</v>
      </c>
      <c r="J5731" t="s">
        <v>33923</v>
      </c>
      <c r="K5731" t="s">
        <v>42770</v>
      </c>
      <c r="M5731" t="s">
        <v>45260</v>
      </c>
      <c r="N5731" t="s">
        <v>47424</v>
      </c>
      <c r="O5731" t="s">
        <v>47425</v>
      </c>
      <c r="P5731">
        <v>0</v>
      </c>
      <c r="Q5731">
        <v>0</v>
      </c>
      <c r="R5731" t="s">
        <v>47430</v>
      </c>
      <c r="S5731" t="s">
        <v>47549</v>
      </c>
      <c r="T5731" t="s">
        <v>49319</v>
      </c>
      <c r="U5731" t="s">
        <v>54507</v>
      </c>
      <c r="W5731" t="s">
        <v>45260</v>
      </c>
      <c r="X5731" t="s">
        <v>47431</v>
      </c>
    </row>
    <row r="5732" spans="1:24">
      <c r="A5732">
        <f>HYPERLINK("https://www.philgeps.gov.ph/GEPSNONPILOT/Tender/SplashBidNoticeAbstractUI.aspx?menuIndex=3&amp;refID=7161473&amp;Result=3","7161473")</f>
        <v>0</v>
      </c>
      <c r="B5732" t="s">
        <v>2091</v>
      </c>
      <c r="C5732" t="s">
        <v>9311</v>
      </c>
      <c r="D5732" t="s">
        <v>19023</v>
      </c>
      <c r="E5732" t="s">
        <v>24124</v>
      </c>
      <c r="F5732" t="s">
        <v>32831</v>
      </c>
      <c r="G5732" t="s">
        <v>32839</v>
      </c>
      <c r="H5732" t="s">
        <v>32849</v>
      </c>
      <c r="I5732" t="s">
        <v>4177</v>
      </c>
      <c r="J5732" t="s">
        <v>36330</v>
      </c>
      <c r="K5732" t="s">
        <v>42798</v>
      </c>
      <c r="M5732" t="s">
        <v>45263</v>
      </c>
      <c r="N5732" t="s">
        <v>47424</v>
      </c>
      <c r="O5732" t="s">
        <v>47425</v>
      </c>
      <c r="P5732">
        <v>0</v>
      </c>
      <c r="Q5732">
        <v>0</v>
      </c>
      <c r="R5732" t="s">
        <v>47430</v>
      </c>
      <c r="S5732" t="s">
        <v>47549</v>
      </c>
      <c r="T5732" t="s">
        <v>49211</v>
      </c>
      <c r="U5732" t="s">
        <v>54508</v>
      </c>
      <c r="W5732" t="s">
        <v>45263</v>
      </c>
      <c r="X5732" t="s">
        <v>47431</v>
      </c>
    </row>
    <row r="5733" spans="1:24">
      <c r="A5733">
        <f>HYPERLINK("https://www.philgeps.gov.ph/GEPSNONPILOT/Tender/SplashBidNoticeAbstractUI.aspx?menuIndex=3&amp;refID=7161476&amp;Result=3","7161476")</f>
        <v>0</v>
      </c>
      <c r="B5733" t="s">
        <v>1482</v>
      </c>
      <c r="C5733" t="s">
        <v>9312</v>
      </c>
      <c r="D5733" t="s">
        <v>19018</v>
      </c>
      <c r="E5733" t="s">
        <v>24125</v>
      </c>
      <c r="F5733" t="s">
        <v>32831</v>
      </c>
      <c r="G5733" t="s">
        <v>32838</v>
      </c>
      <c r="H5733" t="s">
        <v>32848</v>
      </c>
      <c r="I5733" t="s">
        <v>32874</v>
      </c>
      <c r="J5733" t="s">
        <v>34930</v>
      </c>
      <c r="K5733" t="s">
        <v>42731</v>
      </c>
      <c r="M5733" t="s">
        <v>44576</v>
      </c>
      <c r="N5733" t="s">
        <v>47424</v>
      </c>
      <c r="O5733" t="s">
        <v>47425</v>
      </c>
      <c r="P5733">
        <v>0</v>
      </c>
      <c r="Q5733">
        <v>5</v>
      </c>
      <c r="R5733" t="s">
        <v>47430</v>
      </c>
      <c r="S5733" t="s">
        <v>47549</v>
      </c>
      <c r="T5733" t="s">
        <v>49145</v>
      </c>
      <c r="U5733" t="s">
        <v>54509</v>
      </c>
      <c r="V5733" t="s">
        <v>63256</v>
      </c>
      <c r="W5733" t="s">
        <v>44576</v>
      </c>
      <c r="X5733" t="s">
        <v>47431</v>
      </c>
    </row>
    <row r="5734" spans="1:24">
      <c r="A5734">
        <f>HYPERLINK("https://www.philgeps.gov.ph/GEPSNONPILOT/Tender/SplashBidNoticeAbstractUI.aspx?menuIndex=3&amp;refID=7161516&amp;Result=3","7161516")</f>
        <v>0</v>
      </c>
      <c r="B5734" t="s">
        <v>2082</v>
      </c>
      <c r="C5734" t="s">
        <v>9313</v>
      </c>
      <c r="D5734" t="s">
        <v>19065</v>
      </c>
      <c r="E5734" t="s">
        <v>24126</v>
      </c>
      <c r="F5734" t="s">
        <v>32831</v>
      </c>
      <c r="G5734" t="s">
        <v>32839</v>
      </c>
      <c r="H5734" t="s">
        <v>32848</v>
      </c>
      <c r="I5734" t="s">
        <v>4558</v>
      </c>
      <c r="J5734" t="s">
        <v>32978</v>
      </c>
      <c r="K5734" t="s">
        <v>42747</v>
      </c>
      <c r="M5734" t="s">
        <v>45253</v>
      </c>
      <c r="N5734" t="s">
        <v>47424</v>
      </c>
      <c r="O5734" t="s">
        <v>47425</v>
      </c>
      <c r="P5734">
        <v>0</v>
      </c>
      <c r="Q5734">
        <v>4</v>
      </c>
      <c r="R5734" t="s">
        <v>47430</v>
      </c>
      <c r="S5734" t="s">
        <v>47549</v>
      </c>
      <c r="T5734" t="s">
        <v>49291</v>
      </c>
      <c r="U5734" t="s">
        <v>54510</v>
      </c>
      <c r="W5734" t="s">
        <v>64497</v>
      </c>
      <c r="X5734" t="s">
        <v>47431</v>
      </c>
    </row>
    <row r="5735" spans="1:24">
      <c r="A5735">
        <f>HYPERLINK("https://www.philgeps.gov.ph/GEPSNONPILOT/Tender/SplashBidNoticeAbstractUI.aspx?menuIndex=3&amp;refID=7161513&amp;Result=3","7161513")</f>
        <v>0</v>
      </c>
      <c r="B5735" t="s">
        <v>2092</v>
      </c>
      <c r="C5735" t="s">
        <v>9314</v>
      </c>
      <c r="D5735" t="s">
        <v>19038</v>
      </c>
      <c r="E5735" t="s">
        <v>24127</v>
      </c>
      <c r="F5735" t="s">
        <v>32831</v>
      </c>
      <c r="G5735" t="s">
        <v>32840</v>
      </c>
      <c r="H5735" t="s">
        <v>32848</v>
      </c>
      <c r="I5735" t="s">
        <v>4438</v>
      </c>
      <c r="J5735" t="s">
        <v>33292</v>
      </c>
      <c r="K5735" t="s">
        <v>42748</v>
      </c>
      <c r="M5735" t="s">
        <v>45264</v>
      </c>
      <c r="N5735" t="s">
        <v>47424</v>
      </c>
      <c r="O5735" t="s">
        <v>47425</v>
      </c>
      <c r="P5735">
        <v>0</v>
      </c>
      <c r="Q5735">
        <v>0</v>
      </c>
      <c r="R5735" t="s">
        <v>47430</v>
      </c>
      <c r="S5735" t="s">
        <v>47549</v>
      </c>
      <c r="T5735" t="s">
        <v>49214</v>
      </c>
      <c r="U5735" t="s">
        <v>54511</v>
      </c>
      <c r="V5735" t="s">
        <v>63259</v>
      </c>
      <c r="W5735" t="s">
        <v>45264</v>
      </c>
      <c r="X5735" t="s">
        <v>47431</v>
      </c>
    </row>
    <row r="5736" spans="1:24">
      <c r="A5736">
        <f>HYPERLINK("https://www.philgeps.gov.ph/GEPSNONPILOT/Tender/SplashBidNoticeAbstractUI.aspx?menuIndex=3&amp;refID=7161511&amp;Result=3","7161511")</f>
        <v>0</v>
      </c>
      <c r="B5736" t="s">
        <v>2093</v>
      </c>
      <c r="C5736" t="s">
        <v>9315</v>
      </c>
      <c r="D5736" t="s">
        <v>19078</v>
      </c>
      <c r="E5736" t="s">
        <v>24128</v>
      </c>
      <c r="F5736" t="s">
        <v>32831</v>
      </c>
      <c r="G5736" t="s">
        <v>32839</v>
      </c>
      <c r="H5736" t="s">
        <v>14069</v>
      </c>
      <c r="I5736" t="s">
        <v>4177</v>
      </c>
      <c r="J5736" t="s">
        <v>36650</v>
      </c>
      <c r="K5736" t="s">
        <v>42770</v>
      </c>
      <c r="M5736" t="s">
        <v>45265</v>
      </c>
      <c r="N5736" t="s">
        <v>47424</v>
      </c>
      <c r="O5736" t="s">
        <v>47425</v>
      </c>
      <c r="P5736">
        <v>0</v>
      </c>
      <c r="Q5736">
        <v>0</v>
      </c>
      <c r="R5736" t="s">
        <v>47430</v>
      </c>
      <c r="S5736" t="s">
        <v>47549</v>
      </c>
      <c r="T5736" t="s">
        <v>49119</v>
      </c>
      <c r="U5736" t="s">
        <v>54512</v>
      </c>
      <c r="W5736" t="s">
        <v>45265</v>
      </c>
      <c r="X5736" t="s">
        <v>47431</v>
      </c>
    </row>
    <row r="5737" spans="1:24">
      <c r="A5737">
        <f>HYPERLINK("https://www.philgeps.gov.ph/GEPSNONPILOT/Tender/SplashBidNoticeAbstractUI.aspx?menuIndex=3&amp;refID=7161478&amp;Result=3","7161478")</f>
        <v>0</v>
      </c>
      <c r="B5737" t="s">
        <v>2087</v>
      </c>
      <c r="C5737" t="s">
        <v>9316</v>
      </c>
      <c r="D5737" t="s">
        <v>19052</v>
      </c>
      <c r="E5737" t="s">
        <v>24129</v>
      </c>
      <c r="F5737" t="s">
        <v>32831</v>
      </c>
      <c r="G5737" t="s">
        <v>32839</v>
      </c>
      <c r="H5737" t="s">
        <v>32848</v>
      </c>
      <c r="I5737" t="s">
        <v>32862</v>
      </c>
      <c r="J5737" t="s">
        <v>34860</v>
      </c>
      <c r="K5737" t="s">
        <v>42770</v>
      </c>
      <c r="M5737" t="s">
        <v>45258</v>
      </c>
      <c r="N5737" t="s">
        <v>47424</v>
      </c>
      <c r="O5737" t="s">
        <v>47425</v>
      </c>
      <c r="P5737">
        <v>0</v>
      </c>
      <c r="Q5737">
        <v>3</v>
      </c>
      <c r="R5737" t="s">
        <v>47430</v>
      </c>
      <c r="S5737" t="s">
        <v>47549</v>
      </c>
      <c r="T5737" t="s">
        <v>49179</v>
      </c>
      <c r="U5737" t="s">
        <v>54513</v>
      </c>
      <c r="V5737" t="s">
        <v>63260</v>
      </c>
      <c r="W5737" t="s">
        <v>45258</v>
      </c>
      <c r="X5737" t="s">
        <v>47431</v>
      </c>
    </row>
    <row r="5738" spans="1:24">
      <c r="A5738">
        <f>HYPERLINK("https://www.philgeps.gov.ph/GEPSNONPILOT/Tender/SplashBidNoticeAbstractUI.aspx?menuIndex=3&amp;refID=7161509&amp;Result=3","7161509")</f>
        <v>0</v>
      </c>
      <c r="B5738" t="s">
        <v>2089</v>
      </c>
      <c r="C5738" t="s">
        <v>9317</v>
      </c>
      <c r="E5738" t="s">
        <v>24130</v>
      </c>
      <c r="F5738" t="s">
        <v>32831</v>
      </c>
      <c r="G5738" t="s">
        <v>32838</v>
      </c>
      <c r="H5738" t="s">
        <v>32848</v>
      </c>
      <c r="I5738" t="s">
        <v>32950</v>
      </c>
      <c r="J5738" t="s">
        <v>33118</v>
      </c>
      <c r="K5738" t="s">
        <v>42732</v>
      </c>
      <c r="M5738" t="s">
        <v>45266</v>
      </c>
      <c r="N5738" t="s">
        <v>47424</v>
      </c>
      <c r="O5738" t="s">
        <v>47425</v>
      </c>
      <c r="P5738">
        <v>0</v>
      </c>
      <c r="Q5738">
        <v>7</v>
      </c>
      <c r="R5738" t="s">
        <v>47430</v>
      </c>
      <c r="S5738" t="s">
        <v>47549</v>
      </c>
      <c r="T5738" t="s">
        <v>49211</v>
      </c>
      <c r="U5738" t="s">
        <v>54514</v>
      </c>
      <c r="W5738" t="s">
        <v>64498</v>
      </c>
      <c r="X5738" t="s">
        <v>47431</v>
      </c>
    </row>
    <row r="5739" spans="1:24">
      <c r="A5739">
        <f>HYPERLINK("https://www.philgeps.gov.ph/GEPSNONPILOT/Tender/SplashBidNoticeAbstractUI.aspx?menuIndex=3&amp;refID=7161507&amp;Result=3","7161507")</f>
        <v>0</v>
      </c>
      <c r="B5739" t="s">
        <v>1361</v>
      </c>
      <c r="C5739" t="s">
        <v>9318</v>
      </c>
      <c r="D5739" t="s">
        <v>19017</v>
      </c>
      <c r="E5739" t="s">
        <v>24131</v>
      </c>
      <c r="F5739" t="s">
        <v>32831</v>
      </c>
      <c r="G5739" t="s">
        <v>32838</v>
      </c>
      <c r="H5739" t="s">
        <v>32848</v>
      </c>
      <c r="I5739" t="s">
        <v>32864</v>
      </c>
      <c r="J5739" t="s">
        <v>33430</v>
      </c>
      <c r="K5739" t="s">
        <v>42726</v>
      </c>
      <c r="M5739" t="s">
        <v>44439</v>
      </c>
      <c r="N5739" t="s">
        <v>47424</v>
      </c>
      <c r="O5739" t="s">
        <v>47425</v>
      </c>
      <c r="P5739">
        <v>0</v>
      </c>
      <c r="Q5739">
        <v>14</v>
      </c>
      <c r="R5739" t="s">
        <v>47430</v>
      </c>
      <c r="S5739" t="s">
        <v>47549</v>
      </c>
      <c r="T5739" t="s">
        <v>49113</v>
      </c>
      <c r="U5739" t="s">
        <v>54515</v>
      </c>
      <c r="W5739" t="s">
        <v>44439</v>
      </c>
      <c r="X5739" t="s">
        <v>47431</v>
      </c>
    </row>
    <row r="5740" spans="1:24">
      <c r="A5740">
        <f>HYPERLINK("https://www.philgeps.gov.ph/GEPSNONPILOT/Tender/SplashBidNoticeAbstractUI.aspx?menuIndex=3&amp;refID=7161481&amp;Result=3","7161481")</f>
        <v>0</v>
      </c>
      <c r="B5740" t="s">
        <v>1482</v>
      </c>
      <c r="C5740" t="s">
        <v>9319</v>
      </c>
      <c r="D5740" t="s">
        <v>19018</v>
      </c>
      <c r="E5740" t="s">
        <v>24132</v>
      </c>
      <c r="F5740" t="s">
        <v>32831</v>
      </c>
      <c r="G5740" t="s">
        <v>32838</v>
      </c>
      <c r="H5740" t="s">
        <v>32848</v>
      </c>
      <c r="I5740" t="s">
        <v>4303</v>
      </c>
      <c r="J5740" t="s">
        <v>33086</v>
      </c>
      <c r="K5740" t="s">
        <v>42731</v>
      </c>
      <c r="M5740" t="s">
        <v>44576</v>
      </c>
      <c r="N5740" t="s">
        <v>47424</v>
      </c>
      <c r="O5740" t="s">
        <v>47425</v>
      </c>
      <c r="P5740">
        <v>0</v>
      </c>
      <c r="Q5740">
        <v>0</v>
      </c>
      <c r="R5740" t="s">
        <v>47430</v>
      </c>
      <c r="S5740" t="s">
        <v>47549</v>
      </c>
      <c r="T5740" t="s">
        <v>49237</v>
      </c>
      <c r="U5740" t="s">
        <v>54516</v>
      </c>
      <c r="V5740" t="s">
        <v>63261</v>
      </c>
      <c r="W5740" t="s">
        <v>44576</v>
      </c>
      <c r="X5740" t="s">
        <v>47431</v>
      </c>
    </row>
    <row r="5741" spans="1:24">
      <c r="A5741">
        <f>HYPERLINK("https://www.philgeps.gov.ph/GEPSNONPILOT/Tender/SplashBidNoticeAbstractUI.aspx?menuIndex=3&amp;refID=7161512&amp;Result=3","7161512")</f>
        <v>0</v>
      </c>
      <c r="B5741" t="s">
        <v>2094</v>
      </c>
      <c r="C5741" t="s">
        <v>9320</v>
      </c>
      <c r="D5741" t="s">
        <v>19017</v>
      </c>
      <c r="E5741" t="s">
        <v>19351</v>
      </c>
      <c r="F5741" t="s">
        <v>32833</v>
      </c>
      <c r="G5741" t="s">
        <v>32842</v>
      </c>
      <c r="H5741" t="s">
        <v>32848</v>
      </c>
      <c r="I5741" t="s">
        <v>32858</v>
      </c>
      <c r="J5741" t="s">
        <v>36651</v>
      </c>
      <c r="K5741" t="s">
        <v>42731</v>
      </c>
      <c r="M5741" t="s">
        <v>45267</v>
      </c>
      <c r="N5741" t="s">
        <v>47424</v>
      </c>
      <c r="O5741" t="s">
        <v>47425</v>
      </c>
      <c r="P5741">
        <v>0</v>
      </c>
      <c r="Q5741">
        <v>5</v>
      </c>
      <c r="R5741" t="s">
        <v>47430</v>
      </c>
      <c r="S5741" t="s">
        <v>47549</v>
      </c>
      <c r="T5741" t="s">
        <v>49119</v>
      </c>
      <c r="U5741" t="s">
        <v>54517</v>
      </c>
      <c r="W5741" t="s">
        <v>45267</v>
      </c>
      <c r="X5741" t="s">
        <v>47431</v>
      </c>
    </row>
    <row r="5742" spans="1:24">
      <c r="A5742">
        <f>HYPERLINK("https://www.philgeps.gov.ph/GEPSNONPILOT/Tender/SplashBidNoticeAbstractUI.aspx?menuIndex=3&amp;refID=7161502&amp;Result=3","7161502")</f>
        <v>0</v>
      </c>
      <c r="B5742" t="s">
        <v>2095</v>
      </c>
      <c r="C5742" t="s">
        <v>9321</v>
      </c>
      <c r="D5742" t="s">
        <v>19094</v>
      </c>
      <c r="E5742" t="s">
        <v>24133</v>
      </c>
      <c r="F5742" t="s">
        <v>32831</v>
      </c>
      <c r="G5742" t="s">
        <v>32838</v>
      </c>
      <c r="H5742" t="s">
        <v>32848</v>
      </c>
      <c r="I5742" t="s">
        <v>5379</v>
      </c>
      <c r="J5742" t="s">
        <v>36652</v>
      </c>
      <c r="K5742" t="s">
        <v>42731</v>
      </c>
      <c r="M5742" t="s">
        <v>45268</v>
      </c>
      <c r="N5742" t="s">
        <v>47424</v>
      </c>
      <c r="O5742" t="s">
        <v>47425</v>
      </c>
      <c r="P5742">
        <v>0</v>
      </c>
      <c r="Q5742">
        <v>0</v>
      </c>
      <c r="R5742" t="s">
        <v>47430</v>
      </c>
      <c r="S5742" t="s">
        <v>47549</v>
      </c>
      <c r="T5742" t="s">
        <v>49214</v>
      </c>
      <c r="U5742" t="s">
        <v>54518</v>
      </c>
      <c r="W5742" t="s">
        <v>45268</v>
      </c>
      <c r="X5742" t="s">
        <v>47431</v>
      </c>
    </row>
    <row r="5743" spans="1:24">
      <c r="A5743">
        <f>HYPERLINK("https://www.philgeps.gov.ph/GEPSNONPILOT/Tender/SplashBidNoticeAbstractUI.aspx?menuIndex=3&amp;refID=7161501&amp;Result=3","7161501")</f>
        <v>0</v>
      </c>
      <c r="B5743" t="s">
        <v>584</v>
      </c>
      <c r="C5743" t="s">
        <v>9322</v>
      </c>
      <c r="D5743" t="s">
        <v>19101</v>
      </c>
      <c r="E5743" t="s">
        <v>24134</v>
      </c>
      <c r="F5743" t="s">
        <v>32831</v>
      </c>
      <c r="G5743" t="s">
        <v>32839</v>
      </c>
      <c r="H5743" t="s">
        <v>32850</v>
      </c>
      <c r="I5743" t="s">
        <v>32904</v>
      </c>
      <c r="J5743" t="s">
        <v>36653</v>
      </c>
      <c r="K5743" t="s">
        <v>42738</v>
      </c>
      <c r="M5743" t="s">
        <v>45269</v>
      </c>
      <c r="N5743" t="s">
        <v>47424</v>
      </c>
      <c r="O5743" t="s">
        <v>47425</v>
      </c>
      <c r="P5743">
        <v>0</v>
      </c>
      <c r="Q5743">
        <v>5</v>
      </c>
      <c r="R5743" t="s">
        <v>47430</v>
      </c>
      <c r="S5743" t="s">
        <v>47549</v>
      </c>
      <c r="T5743" t="s">
        <v>49319</v>
      </c>
      <c r="U5743" t="s">
        <v>54519</v>
      </c>
      <c r="W5743" t="s">
        <v>45269</v>
      </c>
      <c r="X5743" t="s">
        <v>47431</v>
      </c>
    </row>
    <row r="5744" spans="1:24">
      <c r="A5744">
        <f>HYPERLINK("https://www.philgeps.gov.ph/GEPSNONPILOT/Tender/SplashBidNoticeAbstractUI.aspx?menuIndex=3&amp;refID=7161456&amp;Result=3","7161456")</f>
        <v>0</v>
      </c>
      <c r="B5744" t="s">
        <v>2073</v>
      </c>
      <c r="C5744" t="s">
        <v>9323</v>
      </c>
      <c r="D5744" t="s">
        <v>19061</v>
      </c>
      <c r="E5744" t="s">
        <v>24135</v>
      </c>
      <c r="F5744" t="s">
        <v>32831</v>
      </c>
      <c r="G5744" t="s">
        <v>32839</v>
      </c>
      <c r="H5744" t="s">
        <v>32848</v>
      </c>
      <c r="I5744" t="s">
        <v>4776</v>
      </c>
      <c r="J5744" t="s">
        <v>36654</v>
      </c>
      <c r="K5744" t="s">
        <v>42730</v>
      </c>
      <c r="M5744" t="s">
        <v>45243</v>
      </c>
      <c r="N5744" t="s">
        <v>47424</v>
      </c>
      <c r="O5744" t="s">
        <v>47425</v>
      </c>
      <c r="P5744">
        <v>0</v>
      </c>
      <c r="Q5744">
        <v>2</v>
      </c>
      <c r="R5744" t="s">
        <v>47430</v>
      </c>
      <c r="S5744" t="s">
        <v>47549</v>
      </c>
      <c r="T5744" t="s">
        <v>49065</v>
      </c>
      <c r="U5744" t="s">
        <v>54491</v>
      </c>
      <c r="W5744" t="s">
        <v>45243</v>
      </c>
      <c r="X5744" t="s">
        <v>47431</v>
      </c>
    </row>
    <row r="5745" spans="1:24">
      <c r="A5745">
        <f>HYPERLINK("https://www.philgeps.gov.ph/GEPSNONPILOT/Tender/SplashBidNoticeAbstractUI.aspx?menuIndex=3&amp;refID=7161500&amp;Result=3","7161500")</f>
        <v>0</v>
      </c>
      <c r="B5745" t="s">
        <v>2093</v>
      </c>
      <c r="C5745" t="s">
        <v>9324</v>
      </c>
      <c r="D5745" t="s">
        <v>19078</v>
      </c>
      <c r="E5745" t="s">
        <v>24136</v>
      </c>
      <c r="F5745" t="s">
        <v>32831</v>
      </c>
      <c r="G5745" t="s">
        <v>32839</v>
      </c>
      <c r="H5745" t="s">
        <v>32849</v>
      </c>
      <c r="I5745" t="s">
        <v>4177</v>
      </c>
      <c r="J5745" t="s">
        <v>36655</v>
      </c>
      <c r="K5745" t="s">
        <v>42770</v>
      </c>
      <c r="M5745" t="s">
        <v>45265</v>
      </c>
      <c r="N5745" t="s">
        <v>47424</v>
      </c>
      <c r="O5745" t="s">
        <v>47425</v>
      </c>
      <c r="P5745">
        <v>0</v>
      </c>
      <c r="Q5745">
        <v>0</v>
      </c>
      <c r="R5745" t="s">
        <v>47430</v>
      </c>
      <c r="S5745" t="s">
        <v>47549</v>
      </c>
      <c r="T5745" t="s">
        <v>49119</v>
      </c>
      <c r="U5745" t="s">
        <v>54520</v>
      </c>
      <c r="W5745" t="s">
        <v>45265</v>
      </c>
      <c r="X5745" t="s">
        <v>47431</v>
      </c>
    </row>
    <row r="5746" spans="1:24">
      <c r="A5746">
        <f>HYPERLINK("https://www.philgeps.gov.ph/GEPSNONPILOT/Tender/SplashBidNoticeAbstractUI.aspx?menuIndex=3&amp;refID=7161497&amp;Result=3","7161497")</f>
        <v>0</v>
      </c>
      <c r="B5746" t="s">
        <v>2089</v>
      </c>
      <c r="C5746" t="s">
        <v>9325</v>
      </c>
      <c r="E5746" t="s">
        <v>24137</v>
      </c>
      <c r="F5746" t="s">
        <v>32831</v>
      </c>
      <c r="G5746" t="s">
        <v>32838</v>
      </c>
      <c r="H5746" t="s">
        <v>32848</v>
      </c>
      <c r="I5746" t="s">
        <v>32950</v>
      </c>
      <c r="J5746" t="s">
        <v>33078</v>
      </c>
      <c r="K5746" t="s">
        <v>42732</v>
      </c>
      <c r="M5746" t="s">
        <v>45266</v>
      </c>
      <c r="N5746" t="s">
        <v>47424</v>
      </c>
      <c r="O5746" t="s">
        <v>47425</v>
      </c>
      <c r="P5746">
        <v>0</v>
      </c>
      <c r="Q5746">
        <v>10</v>
      </c>
      <c r="R5746" t="s">
        <v>47430</v>
      </c>
      <c r="S5746" t="s">
        <v>47549</v>
      </c>
      <c r="T5746" t="s">
        <v>49211</v>
      </c>
      <c r="U5746" t="s">
        <v>54521</v>
      </c>
      <c r="W5746" t="s">
        <v>64498</v>
      </c>
      <c r="X5746" t="s">
        <v>47431</v>
      </c>
    </row>
    <row r="5747" spans="1:24">
      <c r="A5747">
        <f>HYPERLINK("https://www.philgeps.gov.ph/GEPSNONPILOT/Tender/SplashBidNoticeAbstractUI.aspx?menuIndex=3&amp;refID=7161503&amp;Result=3","7161503")</f>
        <v>0</v>
      </c>
      <c r="B5747" t="s">
        <v>2082</v>
      </c>
      <c r="C5747" t="s">
        <v>9326</v>
      </c>
      <c r="D5747" t="s">
        <v>19065</v>
      </c>
      <c r="E5747" t="s">
        <v>24138</v>
      </c>
      <c r="F5747" t="s">
        <v>32831</v>
      </c>
      <c r="G5747" t="s">
        <v>32839</v>
      </c>
      <c r="H5747" t="s">
        <v>32848</v>
      </c>
      <c r="I5747" t="s">
        <v>4558</v>
      </c>
      <c r="J5747" t="s">
        <v>36656</v>
      </c>
      <c r="K5747" t="s">
        <v>42747</v>
      </c>
      <c r="M5747" t="s">
        <v>45253</v>
      </c>
      <c r="N5747" t="s">
        <v>47424</v>
      </c>
      <c r="O5747" t="s">
        <v>47425</v>
      </c>
      <c r="P5747">
        <v>0</v>
      </c>
      <c r="Q5747">
        <v>4</v>
      </c>
      <c r="R5747" t="s">
        <v>47430</v>
      </c>
      <c r="S5747" t="s">
        <v>47549</v>
      </c>
      <c r="T5747" t="s">
        <v>49291</v>
      </c>
      <c r="U5747" t="s">
        <v>54522</v>
      </c>
      <c r="W5747" t="s">
        <v>64497</v>
      </c>
      <c r="X5747" t="s">
        <v>47431</v>
      </c>
    </row>
    <row r="5748" spans="1:24">
      <c r="A5748">
        <f>HYPERLINK("https://www.philgeps.gov.ph/GEPSNONPILOT/Tender/SplashBidNoticeAbstractUI.aspx?menuIndex=3&amp;refID=7161453&amp;Result=3","7161453")</f>
        <v>0</v>
      </c>
      <c r="B5748" t="s">
        <v>1055</v>
      </c>
      <c r="C5748" t="s">
        <v>9327</v>
      </c>
      <c r="D5748" t="s">
        <v>19017</v>
      </c>
      <c r="E5748" t="s">
        <v>24139</v>
      </c>
      <c r="F5748" t="s">
        <v>32831</v>
      </c>
      <c r="G5748" t="s">
        <v>32840</v>
      </c>
      <c r="H5748" t="s">
        <v>32848</v>
      </c>
      <c r="I5748" t="s">
        <v>4487</v>
      </c>
      <c r="J5748" t="s">
        <v>34375</v>
      </c>
      <c r="K5748" t="s">
        <v>42732</v>
      </c>
      <c r="M5748" t="s">
        <v>44112</v>
      </c>
      <c r="N5748" t="s">
        <v>47424</v>
      </c>
      <c r="O5748" t="s">
        <v>47425</v>
      </c>
      <c r="P5748">
        <v>0</v>
      </c>
      <c r="Q5748">
        <v>23</v>
      </c>
      <c r="R5748" t="s">
        <v>47430</v>
      </c>
      <c r="S5748" t="s">
        <v>47549</v>
      </c>
      <c r="T5748" t="s">
        <v>49214</v>
      </c>
      <c r="U5748" t="s">
        <v>52781</v>
      </c>
      <c r="W5748" t="s">
        <v>44112</v>
      </c>
      <c r="X5748" t="s">
        <v>47431</v>
      </c>
    </row>
    <row r="5749" spans="1:24">
      <c r="A5749">
        <f>HYPERLINK("https://www.philgeps.gov.ph/GEPSNONPILOT/Tender/SplashBidNoticeAbstractUI.aspx?menuIndex=3&amp;refID=7161539&amp;Result=3","7161539")</f>
        <v>0</v>
      </c>
      <c r="B5749" t="s">
        <v>2096</v>
      </c>
      <c r="C5749" t="s">
        <v>9328</v>
      </c>
      <c r="D5749" t="s">
        <v>19023</v>
      </c>
      <c r="E5749" t="s">
        <v>20152</v>
      </c>
      <c r="F5749" t="s">
        <v>32831</v>
      </c>
      <c r="G5749" t="s">
        <v>32839</v>
      </c>
      <c r="H5749" t="s">
        <v>32850</v>
      </c>
      <c r="I5749" t="s">
        <v>7751</v>
      </c>
      <c r="J5749" t="s">
        <v>33040</v>
      </c>
      <c r="K5749" t="s">
        <v>42726</v>
      </c>
      <c r="M5749" t="s">
        <v>45270</v>
      </c>
      <c r="N5749" t="s">
        <v>47424</v>
      </c>
      <c r="O5749" t="s">
        <v>47425</v>
      </c>
      <c r="P5749">
        <v>0</v>
      </c>
      <c r="Q5749">
        <v>0</v>
      </c>
      <c r="R5749" t="s">
        <v>47430</v>
      </c>
      <c r="S5749" t="s">
        <v>47549</v>
      </c>
      <c r="T5749" t="s">
        <v>49119</v>
      </c>
      <c r="U5749" t="s">
        <v>54523</v>
      </c>
      <c r="W5749" t="s">
        <v>64499</v>
      </c>
      <c r="X5749" t="s">
        <v>47431</v>
      </c>
    </row>
    <row r="5750" spans="1:24">
      <c r="A5750">
        <f>HYPERLINK("https://www.philgeps.gov.ph/GEPSNONPILOT/Tender/SplashBidNoticeAbstractUI.aspx?menuIndex=3&amp;refID=7161538&amp;Result=3","7161538")</f>
        <v>0</v>
      </c>
      <c r="B5750" t="s">
        <v>889</v>
      </c>
      <c r="C5750" t="s">
        <v>9329</v>
      </c>
      <c r="D5750" t="s">
        <v>19047</v>
      </c>
      <c r="E5750" t="s">
        <v>24140</v>
      </c>
      <c r="F5750" t="s">
        <v>32831</v>
      </c>
      <c r="G5750" t="s">
        <v>32838</v>
      </c>
      <c r="H5750" t="s">
        <v>32848</v>
      </c>
      <c r="I5750" t="s">
        <v>4438</v>
      </c>
      <c r="J5750" t="s">
        <v>36657</v>
      </c>
      <c r="K5750" t="s">
        <v>42825</v>
      </c>
      <c r="M5750" t="s">
        <v>43924</v>
      </c>
      <c r="N5750" t="s">
        <v>47424</v>
      </c>
      <c r="O5750" t="s">
        <v>47425</v>
      </c>
      <c r="P5750">
        <v>0</v>
      </c>
      <c r="Q5750">
        <v>6</v>
      </c>
      <c r="R5750" t="s">
        <v>47430</v>
      </c>
      <c r="S5750" t="s">
        <v>47549</v>
      </c>
      <c r="T5750" t="s">
        <v>49162</v>
      </c>
      <c r="U5750" t="s">
        <v>54524</v>
      </c>
      <c r="V5750" t="s">
        <v>63262</v>
      </c>
      <c r="W5750" t="s">
        <v>43924</v>
      </c>
      <c r="X5750" t="s">
        <v>47431</v>
      </c>
    </row>
    <row r="5751" spans="1:24">
      <c r="A5751">
        <f>HYPERLINK("https://www.philgeps.gov.ph/GEPSNONPILOT/Tender/SplashBidNoticeAbstractUI.aspx?menuIndex=3&amp;refID=7161537&amp;Result=3","7161537")</f>
        <v>0</v>
      </c>
      <c r="B5751" t="s">
        <v>2093</v>
      </c>
      <c r="C5751" t="s">
        <v>9330</v>
      </c>
      <c r="D5751" t="s">
        <v>19078</v>
      </c>
      <c r="E5751" t="s">
        <v>24141</v>
      </c>
      <c r="F5751" t="s">
        <v>32831</v>
      </c>
      <c r="G5751" t="s">
        <v>32839</v>
      </c>
      <c r="H5751" t="s">
        <v>32849</v>
      </c>
      <c r="I5751" t="s">
        <v>4177</v>
      </c>
      <c r="J5751" t="s">
        <v>36658</v>
      </c>
      <c r="K5751" t="s">
        <v>42751</v>
      </c>
      <c r="M5751" t="s">
        <v>45265</v>
      </c>
      <c r="N5751" t="s">
        <v>47424</v>
      </c>
      <c r="O5751" t="s">
        <v>47425</v>
      </c>
      <c r="P5751">
        <v>0</v>
      </c>
      <c r="Q5751">
        <v>1</v>
      </c>
      <c r="R5751" t="s">
        <v>47430</v>
      </c>
      <c r="S5751" t="s">
        <v>47549</v>
      </c>
      <c r="T5751" t="s">
        <v>49119</v>
      </c>
      <c r="U5751" t="s">
        <v>54525</v>
      </c>
      <c r="W5751" t="s">
        <v>45265</v>
      </c>
      <c r="X5751" t="s">
        <v>47431</v>
      </c>
    </row>
    <row r="5752" spans="1:24">
      <c r="A5752">
        <f>HYPERLINK("https://www.philgeps.gov.ph/GEPSNONPILOT/Tender/SplashBidNoticeAbstractUI.aspx?menuIndex=3&amp;refID=7161534&amp;Result=3","7161534")</f>
        <v>0</v>
      </c>
      <c r="B5752" t="s">
        <v>2097</v>
      </c>
      <c r="C5752" t="s">
        <v>9331</v>
      </c>
      <c r="D5752" t="s">
        <v>19086</v>
      </c>
      <c r="E5752" t="s">
        <v>24142</v>
      </c>
      <c r="F5752" t="s">
        <v>32831</v>
      </c>
      <c r="G5752" t="s">
        <v>32839</v>
      </c>
      <c r="H5752" t="s">
        <v>32849</v>
      </c>
      <c r="I5752" t="s">
        <v>4177</v>
      </c>
      <c r="J5752" t="s">
        <v>34637</v>
      </c>
      <c r="K5752" t="s">
        <v>42746</v>
      </c>
      <c r="M5752" t="s">
        <v>45271</v>
      </c>
      <c r="N5752" t="s">
        <v>47424</v>
      </c>
      <c r="O5752" t="s">
        <v>47425</v>
      </c>
      <c r="P5752">
        <v>0</v>
      </c>
      <c r="Q5752">
        <v>0</v>
      </c>
      <c r="R5752" t="s">
        <v>47430</v>
      </c>
      <c r="S5752" t="s">
        <v>47549</v>
      </c>
      <c r="T5752" t="s">
        <v>49263</v>
      </c>
      <c r="U5752" t="s">
        <v>54526</v>
      </c>
      <c r="V5752" t="s">
        <v>63263</v>
      </c>
      <c r="W5752" t="s">
        <v>45271</v>
      </c>
      <c r="X5752" t="s">
        <v>47431</v>
      </c>
    </row>
    <row r="5753" spans="1:24">
      <c r="A5753">
        <f>HYPERLINK("https://www.philgeps.gov.ph/GEPSNONPILOT/Tender/SplashBidNoticeAbstractUI.aspx?menuIndex=3&amp;refID=7161496&amp;Result=3","7161496")</f>
        <v>0</v>
      </c>
      <c r="B5753" t="s">
        <v>2076</v>
      </c>
      <c r="C5753" t="s">
        <v>9332</v>
      </c>
      <c r="D5753" t="s">
        <v>19060</v>
      </c>
      <c r="E5753" t="s">
        <v>24143</v>
      </c>
      <c r="F5753" t="s">
        <v>32831</v>
      </c>
      <c r="G5753" t="s">
        <v>32839</v>
      </c>
      <c r="H5753" t="s">
        <v>32849</v>
      </c>
      <c r="I5753" t="s">
        <v>4177</v>
      </c>
      <c r="J5753" t="s">
        <v>36659</v>
      </c>
      <c r="K5753" t="s">
        <v>42730</v>
      </c>
      <c r="M5753" t="s">
        <v>45247</v>
      </c>
      <c r="N5753" t="s">
        <v>47424</v>
      </c>
      <c r="O5753" t="s">
        <v>47425</v>
      </c>
      <c r="P5753">
        <v>0</v>
      </c>
      <c r="Q5753">
        <v>2</v>
      </c>
      <c r="R5753" t="s">
        <v>47430</v>
      </c>
      <c r="S5753" t="s">
        <v>47549</v>
      </c>
      <c r="T5753" t="s">
        <v>49123</v>
      </c>
      <c r="U5753" t="s">
        <v>54527</v>
      </c>
      <c r="W5753" t="s">
        <v>45247</v>
      </c>
      <c r="X5753" t="s">
        <v>47431</v>
      </c>
    </row>
    <row r="5754" spans="1:24">
      <c r="A5754">
        <f>HYPERLINK("https://www.philgeps.gov.ph/GEPSNONPILOT/Tender/SplashBidNoticeAbstractUI.aspx?menuIndex=3&amp;refID=7161533&amp;Result=3","7161533")</f>
        <v>0</v>
      </c>
      <c r="B5754" t="s">
        <v>2098</v>
      </c>
      <c r="C5754" t="s">
        <v>4850</v>
      </c>
      <c r="D5754" t="s">
        <v>19017</v>
      </c>
      <c r="E5754" t="s">
        <v>24144</v>
      </c>
      <c r="F5754" t="s">
        <v>32832</v>
      </c>
      <c r="G5754" t="s">
        <v>32838</v>
      </c>
      <c r="H5754" t="s">
        <v>32848</v>
      </c>
      <c r="I5754" t="s">
        <v>32858</v>
      </c>
      <c r="J5754" t="s">
        <v>33014</v>
      </c>
      <c r="K5754" t="s">
        <v>42726</v>
      </c>
      <c r="M5754" t="s">
        <v>45272</v>
      </c>
      <c r="N5754" t="s">
        <v>47424</v>
      </c>
      <c r="O5754" t="s">
        <v>47425</v>
      </c>
      <c r="P5754">
        <v>0</v>
      </c>
      <c r="Q5754">
        <v>5</v>
      </c>
      <c r="R5754" t="s">
        <v>47430</v>
      </c>
      <c r="S5754" t="s">
        <v>47549</v>
      </c>
      <c r="T5754" t="s">
        <v>49124</v>
      </c>
      <c r="U5754" t="s">
        <v>54528</v>
      </c>
      <c r="W5754" t="s">
        <v>45272</v>
      </c>
      <c r="X5754" t="s">
        <v>47431</v>
      </c>
    </row>
    <row r="5755" spans="1:24">
      <c r="A5755">
        <f>HYPERLINK("https://www.philgeps.gov.ph/GEPSNONPILOT/Tender/SplashBidNoticeAbstractUI.aspx?menuIndex=3&amp;refID=7161531&amp;Result=3","7161531")</f>
        <v>0</v>
      </c>
      <c r="B5755" t="s">
        <v>2096</v>
      </c>
      <c r="C5755" t="s">
        <v>9333</v>
      </c>
      <c r="D5755" t="s">
        <v>19023</v>
      </c>
      <c r="E5755" t="s">
        <v>19144</v>
      </c>
      <c r="F5755" t="s">
        <v>32831</v>
      </c>
      <c r="G5755" t="s">
        <v>32839</v>
      </c>
      <c r="H5755" t="s">
        <v>32848</v>
      </c>
      <c r="I5755" t="s">
        <v>7416</v>
      </c>
      <c r="J5755" t="s">
        <v>34600</v>
      </c>
      <c r="K5755" t="s">
        <v>42726</v>
      </c>
      <c r="M5755" t="s">
        <v>45270</v>
      </c>
      <c r="N5755" t="s">
        <v>47424</v>
      </c>
      <c r="O5755" t="s">
        <v>47425</v>
      </c>
      <c r="P5755">
        <v>0</v>
      </c>
      <c r="Q5755">
        <v>0</v>
      </c>
      <c r="R5755" t="s">
        <v>47430</v>
      </c>
      <c r="S5755" t="s">
        <v>47549</v>
      </c>
      <c r="T5755" t="s">
        <v>49119</v>
      </c>
      <c r="U5755" t="s">
        <v>54529</v>
      </c>
      <c r="W5755" t="s">
        <v>64499</v>
      </c>
      <c r="X5755" t="s">
        <v>47431</v>
      </c>
    </row>
    <row r="5756" spans="1:24">
      <c r="A5756">
        <f>HYPERLINK("https://www.philgeps.gov.ph/GEPSNONPILOT/Tender/SplashBidNoticeAbstractUI.aspx?menuIndex=3&amp;refID=7161540&amp;Result=3","7161540")</f>
        <v>0</v>
      </c>
      <c r="B5756" t="s">
        <v>2099</v>
      </c>
      <c r="C5756" t="s">
        <v>9334</v>
      </c>
      <c r="D5756" t="s">
        <v>19078</v>
      </c>
      <c r="E5756" t="s">
        <v>24145</v>
      </c>
      <c r="F5756" t="s">
        <v>32831</v>
      </c>
      <c r="G5756" t="s">
        <v>32838</v>
      </c>
      <c r="H5756" t="s">
        <v>32848</v>
      </c>
      <c r="I5756" t="s">
        <v>4446</v>
      </c>
      <c r="J5756" t="s">
        <v>33087</v>
      </c>
      <c r="K5756" t="s">
        <v>42726</v>
      </c>
      <c r="M5756" t="s">
        <v>45273</v>
      </c>
      <c r="N5756" t="s">
        <v>47424</v>
      </c>
      <c r="O5756" t="s">
        <v>47425</v>
      </c>
      <c r="P5756">
        <v>0</v>
      </c>
      <c r="Q5756">
        <v>0</v>
      </c>
      <c r="R5756" t="s">
        <v>47430</v>
      </c>
      <c r="S5756" t="s">
        <v>47549</v>
      </c>
      <c r="T5756" t="s">
        <v>49111</v>
      </c>
      <c r="U5756" t="s">
        <v>54530</v>
      </c>
      <c r="W5756" t="s">
        <v>45273</v>
      </c>
      <c r="X5756" t="s">
        <v>47431</v>
      </c>
    </row>
    <row r="5757" spans="1:24">
      <c r="A5757">
        <f>HYPERLINK("https://www.philgeps.gov.ph/GEPSNONPILOT/Tender/SplashBidNoticeAbstractUI.aspx?menuIndex=3&amp;refID=7161528&amp;Result=3","7161528")</f>
        <v>0</v>
      </c>
      <c r="B5757" t="s">
        <v>2093</v>
      </c>
      <c r="C5757" t="s">
        <v>9335</v>
      </c>
      <c r="D5757" t="s">
        <v>19078</v>
      </c>
      <c r="E5757" t="s">
        <v>24146</v>
      </c>
      <c r="F5757" t="s">
        <v>32831</v>
      </c>
      <c r="G5757" t="s">
        <v>32839</v>
      </c>
      <c r="H5757" t="s">
        <v>32849</v>
      </c>
      <c r="I5757" t="s">
        <v>4177</v>
      </c>
      <c r="J5757" t="s">
        <v>36660</v>
      </c>
      <c r="K5757" t="s">
        <v>42728</v>
      </c>
      <c r="M5757" t="s">
        <v>45265</v>
      </c>
      <c r="N5757" t="s">
        <v>47424</v>
      </c>
      <c r="O5757" t="s">
        <v>47425</v>
      </c>
      <c r="P5757">
        <v>0</v>
      </c>
      <c r="Q5757">
        <v>1</v>
      </c>
      <c r="R5757" t="s">
        <v>47430</v>
      </c>
      <c r="S5757" t="s">
        <v>47549</v>
      </c>
      <c r="T5757" t="s">
        <v>49119</v>
      </c>
      <c r="U5757" t="s">
        <v>54531</v>
      </c>
      <c r="W5757" t="s">
        <v>45265</v>
      </c>
      <c r="X5757" t="s">
        <v>47431</v>
      </c>
    </row>
    <row r="5758" spans="1:24">
      <c r="A5758">
        <f>HYPERLINK("https://www.philgeps.gov.ph/GEPSNONPILOT/Tender/SplashBidNoticeAbstractUI.aspx?menuIndex=3&amp;refID=7161527&amp;Result=3","7161527")</f>
        <v>0</v>
      </c>
      <c r="B5758" t="s">
        <v>2100</v>
      </c>
      <c r="C5758" t="s">
        <v>9336</v>
      </c>
      <c r="D5758" t="s">
        <v>19057</v>
      </c>
      <c r="E5758" t="s">
        <v>19211</v>
      </c>
      <c r="F5758" t="s">
        <v>32831</v>
      </c>
      <c r="G5758" t="s">
        <v>32839</v>
      </c>
      <c r="H5758" t="s">
        <v>32849</v>
      </c>
      <c r="I5758" t="s">
        <v>4177</v>
      </c>
      <c r="J5758" t="s">
        <v>32980</v>
      </c>
      <c r="K5758" t="s">
        <v>42779</v>
      </c>
      <c r="M5758" t="s">
        <v>45274</v>
      </c>
      <c r="N5758" t="s">
        <v>47424</v>
      </c>
      <c r="O5758" t="s">
        <v>47425</v>
      </c>
      <c r="P5758">
        <v>0</v>
      </c>
      <c r="Q5758">
        <v>0</v>
      </c>
      <c r="R5758" t="s">
        <v>47430</v>
      </c>
      <c r="S5758" t="s">
        <v>47549</v>
      </c>
      <c r="T5758" t="s">
        <v>49198</v>
      </c>
      <c r="U5758" t="s">
        <v>54532</v>
      </c>
      <c r="W5758" t="s">
        <v>45274</v>
      </c>
      <c r="X5758" t="s">
        <v>47431</v>
      </c>
    </row>
    <row r="5759" spans="1:24">
      <c r="A5759">
        <f>HYPERLINK("https://www.philgeps.gov.ph/GEPSNONPILOT/Tender/SplashBidNoticeAbstractUI.aspx?menuIndex=3&amp;refID=7161526&amp;Result=3","7161526")</f>
        <v>0</v>
      </c>
      <c r="B5759" t="s">
        <v>2062</v>
      </c>
      <c r="C5759" t="s">
        <v>9337</v>
      </c>
      <c r="D5759" t="s">
        <v>19057</v>
      </c>
      <c r="E5759" t="s">
        <v>24147</v>
      </c>
      <c r="F5759" t="s">
        <v>32831</v>
      </c>
      <c r="G5759" t="s">
        <v>32840</v>
      </c>
      <c r="H5759" t="s">
        <v>32848</v>
      </c>
      <c r="I5759" t="s">
        <v>4438</v>
      </c>
      <c r="J5759" t="s">
        <v>35088</v>
      </c>
      <c r="K5759" t="s">
        <v>42731</v>
      </c>
      <c r="M5759" t="s">
        <v>45232</v>
      </c>
      <c r="N5759" t="s">
        <v>47424</v>
      </c>
      <c r="O5759" t="s">
        <v>47425</v>
      </c>
      <c r="P5759">
        <v>0</v>
      </c>
      <c r="Q5759">
        <v>7</v>
      </c>
      <c r="R5759" t="s">
        <v>47430</v>
      </c>
      <c r="S5759" t="s">
        <v>47549</v>
      </c>
      <c r="T5759" t="s">
        <v>49237</v>
      </c>
      <c r="U5759" t="s">
        <v>54533</v>
      </c>
      <c r="V5759" t="s">
        <v>63264</v>
      </c>
      <c r="W5759" t="s">
        <v>45232</v>
      </c>
      <c r="X5759" t="s">
        <v>47431</v>
      </c>
    </row>
    <row r="5760" spans="1:24">
      <c r="A5760">
        <f>HYPERLINK("https://www.philgeps.gov.ph/GEPSNONPILOT/Tender/SplashBidNoticeAbstractUI.aspx?menuIndex=3&amp;refID=7161562&amp;Result=3","7161562")</f>
        <v>0</v>
      </c>
      <c r="B5760" t="s">
        <v>990</v>
      </c>
      <c r="C5760" t="s">
        <v>9338</v>
      </c>
      <c r="D5760" t="s">
        <v>19035</v>
      </c>
      <c r="E5760" t="s">
        <v>24148</v>
      </c>
      <c r="F5760" t="s">
        <v>32831</v>
      </c>
      <c r="G5760" t="s">
        <v>32838</v>
      </c>
      <c r="H5760" t="s">
        <v>32848</v>
      </c>
      <c r="I5760" t="s">
        <v>32864</v>
      </c>
      <c r="J5760" t="s">
        <v>33993</v>
      </c>
      <c r="K5760" t="s">
        <v>42758</v>
      </c>
      <c r="M5760" t="s">
        <v>44039</v>
      </c>
      <c r="N5760" t="s">
        <v>47424</v>
      </c>
      <c r="O5760" t="s">
        <v>47425</v>
      </c>
      <c r="P5760">
        <v>0</v>
      </c>
      <c r="Q5760">
        <v>1</v>
      </c>
      <c r="R5760" t="s">
        <v>47430</v>
      </c>
      <c r="S5760" t="s">
        <v>47549</v>
      </c>
      <c r="T5760" t="s">
        <v>49163</v>
      </c>
      <c r="U5760" t="s">
        <v>51561</v>
      </c>
      <c r="W5760" t="s">
        <v>44039</v>
      </c>
      <c r="X5760" t="s">
        <v>47431</v>
      </c>
    </row>
    <row r="5761" spans="1:24">
      <c r="A5761">
        <f>HYPERLINK("https://www.philgeps.gov.ph/GEPSNONPILOT/Tender/SplashBidNoticeAbstractUI.aspx?menuIndex=3&amp;refID=7161505&amp;Result=3","7161505")</f>
        <v>0</v>
      </c>
      <c r="B5761" t="s">
        <v>2041</v>
      </c>
      <c r="C5761" t="s">
        <v>9339</v>
      </c>
      <c r="D5761" t="s">
        <v>19090</v>
      </c>
      <c r="E5761" t="s">
        <v>22705</v>
      </c>
      <c r="F5761" t="s">
        <v>32831</v>
      </c>
      <c r="G5761" t="s">
        <v>32839</v>
      </c>
      <c r="H5761" t="s">
        <v>32848</v>
      </c>
      <c r="I5761" t="s">
        <v>4487</v>
      </c>
      <c r="J5761" t="s">
        <v>36661</v>
      </c>
      <c r="K5761" t="s">
        <v>42742</v>
      </c>
      <c r="M5761" t="s">
        <v>45210</v>
      </c>
      <c r="N5761" t="s">
        <v>47424</v>
      </c>
      <c r="O5761" t="s">
        <v>47425</v>
      </c>
      <c r="P5761">
        <v>0</v>
      </c>
      <c r="Q5761">
        <v>2</v>
      </c>
      <c r="R5761" t="s">
        <v>47430</v>
      </c>
      <c r="S5761" t="s">
        <v>47549</v>
      </c>
      <c r="T5761" t="s">
        <v>49434</v>
      </c>
      <c r="U5761" t="s">
        <v>54534</v>
      </c>
      <c r="W5761" t="s">
        <v>64496</v>
      </c>
      <c r="X5761" t="s">
        <v>47431</v>
      </c>
    </row>
    <row r="5762" spans="1:24">
      <c r="A5762">
        <f>HYPERLINK("https://www.philgeps.gov.ph/GEPSNONPILOT/Tender/SplashBidNoticeAbstractUI.aspx?menuIndex=3&amp;refID=7161510&amp;Result=3","7161510")</f>
        <v>0</v>
      </c>
      <c r="B5762" t="s">
        <v>2101</v>
      </c>
      <c r="C5762" t="s">
        <v>9340</v>
      </c>
      <c r="D5762" t="s">
        <v>19017</v>
      </c>
      <c r="E5762" t="s">
        <v>24149</v>
      </c>
      <c r="F5762" t="s">
        <v>32833</v>
      </c>
      <c r="G5762" t="s">
        <v>32838</v>
      </c>
      <c r="H5762" t="s">
        <v>32848</v>
      </c>
      <c r="I5762" t="s">
        <v>32860</v>
      </c>
      <c r="J5762" t="s">
        <v>33087</v>
      </c>
      <c r="K5762" t="s">
        <v>42726</v>
      </c>
      <c r="M5762" t="s">
        <v>45275</v>
      </c>
      <c r="N5762" t="s">
        <v>47424</v>
      </c>
      <c r="O5762" t="s">
        <v>47425</v>
      </c>
      <c r="P5762">
        <v>0</v>
      </c>
      <c r="Q5762">
        <v>3</v>
      </c>
      <c r="R5762" t="s">
        <v>47430</v>
      </c>
      <c r="S5762" t="s">
        <v>47549</v>
      </c>
      <c r="T5762" t="s">
        <v>49124</v>
      </c>
      <c r="U5762" t="s">
        <v>54535</v>
      </c>
      <c r="W5762" t="s">
        <v>45275</v>
      </c>
      <c r="X5762" t="s">
        <v>47431</v>
      </c>
    </row>
    <row r="5763" spans="1:24">
      <c r="A5763">
        <f>HYPERLINK("https://www.philgeps.gov.ph/GEPSNONPILOT/Tender/SplashBidNoticeAbstractUI.aspx?menuIndex=3&amp;refID=7161417&amp;Result=3","7161417")</f>
        <v>0</v>
      </c>
      <c r="B5763" t="s">
        <v>413</v>
      </c>
      <c r="C5763" t="s">
        <v>9341</v>
      </c>
      <c r="D5763" t="s">
        <v>19017</v>
      </c>
      <c r="E5763" t="s">
        <v>24150</v>
      </c>
      <c r="F5763" t="s">
        <v>32831</v>
      </c>
      <c r="G5763" t="s">
        <v>32840</v>
      </c>
      <c r="H5763" t="s">
        <v>32848</v>
      </c>
      <c r="I5763" t="s">
        <v>32874</v>
      </c>
      <c r="J5763" t="s">
        <v>36662</v>
      </c>
      <c r="K5763" t="s">
        <v>42727</v>
      </c>
      <c r="M5763" t="s">
        <v>43418</v>
      </c>
      <c r="N5763" t="s">
        <v>47424</v>
      </c>
      <c r="O5763" t="s">
        <v>47425</v>
      </c>
      <c r="P5763">
        <v>0</v>
      </c>
      <c r="Q5763">
        <v>8</v>
      </c>
      <c r="R5763" t="s">
        <v>47430</v>
      </c>
      <c r="S5763" t="s">
        <v>47549</v>
      </c>
      <c r="T5763" t="s">
        <v>49239</v>
      </c>
      <c r="U5763" t="s">
        <v>54536</v>
      </c>
      <c r="V5763" t="s">
        <v>62872</v>
      </c>
      <c r="W5763" t="s">
        <v>64454</v>
      </c>
      <c r="X5763" t="s">
        <v>47431</v>
      </c>
    </row>
    <row r="5764" spans="1:24">
      <c r="A5764">
        <f>HYPERLINK("https://www.philgeps.gov.ph/GEPSNONPILOT/Tender/SplashBidNoticeAbstractUI.aspx?menuIndex=3&amp;refID=7161525&amp;Result=3","7161525")</f>
        <v>0</v>
      </c>
      <c r="B5764" t="s">
        <v>2102</v>
      </c>
      <c r="C5764" t="s">
        <v>9342</v>
      </c>
      <c r="D5764" t="s">
        <v>19092</v>
      </c>
      <c r="E5764" t="s">
        <v>24151</v>
      </c>
      <c r="F5764" t="s">
        <v>32831</v>
      </c>
      <c r="G5764" t="s">
        <v>32838</v>
      </c>
      <c r="H5764" t="s">
        <v>32848</v>
      </c>
      <c r="I5764" t="s">
        <v>9577</v>
      </c>
      <c r="J5764" t="s">
        <v>36663</v>
      </c>
      <c r="K5764" t="s">
        <v>42732</v>
      </c>
      <c r="M5764" t="s">
        <v>45276</v>
      </c>
      <c r="N5764" t="s">
        <v>47424</v>
      </c>
      <c r="O5764" t="s">
        <v>47425</v>
      </c>
      <c r="P5764">
        <v>0</v>
      </c>
      <c r="Q5764">
        <v>3</v>
      </c>
      <c r="R5764" t="s">
        <v>47430</v>
      </c>
      <c r="S5764" t="s">
        <v>47549</v>
      </c>
      <c r="T5764" t="s">
        <v>49114</v>
      </c>
      <c r="U5764" t="s">
        <v>54537</v>
      </c>
      <c r="W5764" t="s">
        <v>45276</v>
      </c>
      <c r="X5764" t="s">
        <v>47431</v>
      </c>
    </row>
    <row r="5765" spans="1:24">
      <c r="A5765">
        <f>HYPERLINK("https://www.philgeps.gov.ph/GEPSNONPILOT/Tender/SplashBidNoticeAbstractUI.aspx?menuIndex=3&amp;refID=7161558&amp;Result=3","7161558")</f>
        <v>0</v>
      </c>
      <c r="B5765" t="s">
        <v>2103</v>
      </c>
      <c r="C5765" t="s">
        <v>9343</v>
      </c>
      <c r="D5765" t="s">
        <v>19021</v>
      </c>
      <c r="E5765" t="s">
        <v>24152</v>
      </c>
      <c r="F5765" t="s">
        <v>32831</v>
      </c>
      <c r="G5765" t="s">
        <v>32839</v>
      </c>
      <c r="H5765" t="s">
        <v>32849</v>
      </c>
      <c r="I5765" t="s">
        <v>32852</v>
      </c>
      <c r="J5765" t="s">
        <v>36664</v>
      </c>
      <c r="K5765" t="s">
        <v>42770</v>
      </c>
      <c r="M5765" t="s">
        <v>45277</v>
      </c>
      <c r="N5765" t="s">
        <v>47424</v>
      </c>
      <c r="O5765" t="s">
        <v>47425</v>
      </c>
      <c r="P5765">
        <v>0</v>
      </c>
      <c r="Q5765">
        <v>5</v>
      </c>
      <c r="R5765" t="s">
        <v>47430</v>
      </c>
      <c r="S5765" t="s">
        <v>47549</v>
      </c>
      <c r="T5765" t="s">
        <v>49435</v>
      </c>
      <c r="U5765" t="s">
        <v>54538</v>
      </c>
      <c r="W5765" t="s">
        <v>45277</v>
      </c>
      <c r="X5765" t="s">
        <v>47431</v>
      </c>
    </row>
    <row r="5766" spans="1:24">
      <c r="A5766">
        <f>HYPERLINK("https://www.philgeps.gov.ph/GEPSNONPILOT/Tender/SplashBidNoticeAbstractUI.aspx?menuIndex=3&amp;refID=7161536&amp;Result=3","7161536")</f>
        <v>0</v>
      </c>
      <c r="B5766" t="s">
        <v>2104</v>
      </c>
      <c r="C5766" t="s">
        <v>9344</v>
      </c>
      <c r="D5766" t="s">
        <v>19026</v>
      </c>
      <c r="E5766" t="s">
        <v>24153</v>
      </c>
      <c r="F5766" t="s">
        <v>32831</v>
      </c>
      <c r="G5766" t="s">
        <v>32840</v>
      </c>
      <c r="H5766" t="s">
        <v>32849</v>
      </c>
      <c r="I5766" t="s">
        <v>4177</v>
      </c>
      <c r="J5766" t="s">
        <v>34043</v>
      </c>
      <c r="K5766" t="s">
        <v>42731</v>
      </c>
      <c r="M5766" t="s">
        <v>45278</v>
      </c>
      <c r="N5766" t="s">
        <v>47424</v>
      </c>
      <c r="O5766" t="s">
        <v>47425</v>
      </c>
      <c r="P5766">
        <v>0</v>
      </c>
      <c r="Q5766">
        <v>1</v>
      </c>
      <c r="R5766" t="s">
        <v>47430</v>
      </c>
      <c r="S5766" t="s">
        <v>47549</v>
      </c>
      <c r="T5766" t="s">
        <v>49108</v>
      </c>
      <c r="U5766" t="s">
        <v>54539</v>
      </c>
      <c r="W5766" t="s">
        <v>45278</v>
      </c>
      <c r="X5766" t="s">
        <v>47431</v>
      </c>
    </row>
    <row r="5767" spans="1:24">
      <c r="A5767">
        <f>HYPERLINK("https://www.philgeps.gov.ph/GEPSNONPILOT/Tender/SplashBidNoticeAbstractUI.aspx?menuIndex=3&amp;refID=7161555&amp;Result=3","7161555")</f>
        <v>0</v>
      </c>
      <c r="B5767" t="s">
        <v>889</v>
      </c>
      <c r="C5767" t="s">
        <v>9345</v>
      </c>
      <c r="D5767" t="s">
        <v>19047</v>
      </c>
      <c r="E5767" t="s">
        <v>24154</v>
      </c>
      <c r="F5767" t="s">
        <v>32831</v>
      </c>
      <c r="G5767" t="s">
        <v>32838</v>
      </c>
      <c r="H5767" t="s">
        <v>32848</v>
      </c>
      <c r="I5767" t="s">
        <v>4776</v>
      </c>
      <c r="J5767" t="s">
        <v>33044</v>
      </c>
      <c r="K5767" t="s">
        <v>42750</v>
      </c>
      <c r="M5767" t="s">
        <v>43924</v>
      </c>
      <c r="N5767" t="s">
        <v>47424</v>
      </c>
      <c r="O5767" t="s">
        <v>47425</v>
      </c>
      <c r="P5767">
        <v>0</v>
      </c>
      <c r="Q5767">
        <v>4</v>
      </c>
      <c r="R5767" t="s">
        <v>47430</v>
      </c>
      <c r="S5767" t="s">
        <v>47549</v>
      </c>
      <c r="T5767" t="s">
        <v>49162</v>
      </c>
      <c r="U5767" t="s">
        <v>54540</v>
      </c>
      <c r="V5767" t="s">
        <v>62831</v>
      </c>
      <c r="W5767" t="s">
        <v>43924</v>
      </c>
      <c r="X5767" t="s">
        <v>47431</v>
      </c>
    </row>
    <row r="5768" spans="1:24">
      <c r="A5768">
        <f>HYPERLINK("https://www.philgeps.gov.ph/GEPSNONPILOT/Tender/SplashBidNoticeAbstractUI.aspx?menuIndex=3&amp;refID=7161556&amp;Result=3","7161556")</f>
        <v>0</v>
      </c>
      <c r="B5768" t="s">
        <v>2105</v>
      </c>
      <c r="C5768" t="s">
        <v>9346</v>
      </c>
      <c r="D5768" t="s">
        <v>19057</v>
      </c>
      <c r="E5768" t="s">
        <v>24155</v>
      </c>
      <c r="F5768" t="s">
        <v>32831</v>
      </c>
      <c r="G5768" t="s">
        <v>32839</v>
      </c>
      <c r="H5768" t="s">
        <v>32849</v>
      </c>
      <c r="I5768" t="s">
        <v>4177</v>
      </c>
      <c r="J5768" t="s">
        <v>32978</v>
      </c>
      <c r="K5768" t="s">
        <v>42730</v>
      </c>
      <c r="M5768" t="s">
        <v>45279</v>
      </c>
      <c r="N5768" t="s">
        <v>47424</v>
      </c>
      <c r="O5768" t="s">
        <v>47425</v>
      </c>
      <c r="P5768">
        <v>0</v>
      </c>
      <c r="Q5768">
        <v>0</v>
      </c>
      <c r="R5768" t="s">
        <v>47430</v>
      </c>
      <c r="S5768" t="s">
        <v>47549</v>
      </c>
      <c r="T5768" t="s">
        <v>49103</v>
      </c>
      <c r="U5768" t="s">
        <v>54541</v>
      </c>
      <c r="W5768" t="s">
        <v>45279</v>
      </c>
      <c r="X5768" t="s">
        <v>47431</v>
      </c>
    </row>
    <row r="5769" spans="1:24">
      <c r="A5769">
        <f>HYPERLINK("https://www.philgeps.gov.ph/GEPSNONPILOT/Tender/SplashBidNoticeAbstractUI.aspx?menuIndex=3&amp;refID=7161529&amp;Result=3","7161529")</f>
        <v>0</v>
      </c>
      <c r="B5769" t="s">
        <v>2092</v>
      </c>
      <c r="C5769" t="s">
        <v>9347</v>
      </c>
      <c r="D5769" t="s">
        <v>19038</v>
      </c>
      <c r="E5769" t="s">
        <v>24156</v>
      </c>
      <c r="F5769" t="s">
        <v>32831</v>
      </c>
      <c r="G5769" t="s">
        <v>32840</v>
      </c>
      <c r="H5769" t="s">
        <v>32848</v>
      </c>
      <c r="I5769" t="s">
        <v>32884</v>
      </c>
      <c r="J5769" t="s">
        <v>33508</v>
      </c>
      <c r="K5769" t="s">
        <v>42748</v>
      </c>
      <c r="M5769" t="s">
        <v>45264</v>
      </c>
      <c r="N5769" t="s">
        <v>47424</v>
      </c>
      <c r="O5769" t="s">
        <v>47425</v>
      </c>
      <c r="P5769">
        <v>0</v>
      </c>
      <c r="Q5769">
        <v>1</v>
      </c>
      <c r="R5769" t="s">
        <v>47430</v>
      </c>
      <c r="S5769" t="s">
        <v>47549</v>
      </c>
      <c r="T5769" t="s">
        <v>49436</v>
      </c>
      <c r="U5769" t="s">
        <v>54542</v>
      </c>
      <c r="V5769" t="s">
        <v>63259</v>
      </c>
      <c r="W5769" t="s">
        <v>45264</v>
      </c>
      <c r="X5769" t="s">
        <v>47431</v>
      </c>
    </row>
    <row r="5770" spans="1:24">
      <c r="A5770">
        <f>HYPERLINK("https://www.philgeps.gov.ph/GEPSNONPILOT/Tender/SplashBidNoticeAbstractUI.aspx?menuIndex=3&amp;refID=7161559&amp;Result=3","7161559")</f>
        <v>0</v>
      </c>
      <c r="B5770" t="s">
        <v>889</v>
      </c>
      <c r="C5770" t="s">
        <v>9348</v>
      </c>
      <c r="D5770" t="s">
        <v>19047</v>
      </c>
      <c r="E5770" t="s">
        <v>24157</v>
      </c>
      <c r="F5770" t="s">
        <v>32831</v>
      </c>
      <c r="G5770" t="s">
        <v>32838</v>
      </c>
      <c r="H5770" t="s">
        <v>32848</v>
      </c>
      <c r="I5770" t="s">
        <v>4438</v>
      </c>
      <c r="J5770" t="s">
        <v>36665</v>
      </c>
      <c r="K5770" t="s">
        <v>42726</v>
      </c>
      <c r="M5770" t="s">
        <v>43924</v>
      </c>
      <c r="N5770" t="s">
        <v>47424</v>
      </c>
      <c r="O5770" t="s">
        <v>47425</v>
      </c>
      <c r="P5770">
        <v>0</v>
      </c>
      <c r="Q5770">
        <v>2</v>
      </c>
      <c r="R5770" t="s">
        <v>47430</v>
      </c>
      <c r="S5770" t="s">
        <v>47549</v>
      </c>
      <c r="T5770" t="s">
        <v>49162</v>
      </c>
      <c r="U5770" t="s">
        <v>54543</v>
      </c>
      <c r="V5770" t="s">
        <v>62831</v>
      </c>
      <c r="W5770" t="s">
        <v>43924</v>
      </c>
      <c r="X5770" t="s">
        <v>47431</v>
      </c>
    </row>
    <row r="5771" spans="1:24">
      <c r="A5771">
        <f>HYPERLINK("https://www.philgeps.gov.ph/GEPSNONPILOT/Tender/SplashBidNoticeAbstractUI.aspx?menuIndex=3&amp;refID=7161601&amp;Result=3","7161601")</f>
        <v>0</v>
      </c>
      <c r="B5771" t="s">
        <v>2106</v>
      </c>
      <c r="C5771" t="s">
        <v>9349</v>
      </c>
      <c r="D5771" t="s">
        <v>19057</v>
      </c>
      <c r="E5771" t="s">
        <v>24158</v>
      </c>
      <c r="F5771" t="s">
        <v>32831</v>
      </c>
      <c r="G5771" t="s">
        <v>32838</v>
      </c>
      <c r="H5771" t="s">
        <v>32848</v>
      </c>
      <c r="I5771" t="s">
        <v>32857</v>
      </c>
      <c r="J5771" t="s">
        <v>36666</v>
      </c>
      <c r="K5771" t="s">
        <v>42759</v>
      </c>
      <c r="M5771" t="s">
        <v>45280</v>
      </c>
      <c r="N5771" t="s">
        <v>47424</v>
      </c>
      <c r="O5771" t="s">
        <v>47425</v>
      </c>
      <c r="P5771">
        <v>0</v>
      </c>
      <c r="Q5771">
        <v>3</v>
      </c>
      <c r="R5771" t="s">
        <v>47430</v>
      </c>
      <c r="S5771" t="s">
        <v>47549</v>
      </c>
      <c r="T5771" t="s">
        <v>49145</v>
      </c>
      <c r="U5771" t="s">
        <v>54544</v>
      </c>
      <c r="W5771" t="s">
        <v>45280</v>
      </c>
      <c r="X5771" t="s">
        <v>47431</v>
      </c>
    </row>
    <row r="5772" spans="1:24">
      <c r="A5772">
        <f>HYPERLINK("https://www.philgeps.gov.ph/GEPSNONPILOT/Tender/SplashBidNoticeAbstractUI.aspx?menuIndex=3&amp;refID=7161599&amp;Result=3","7161599")</f>
        <v>0</v>
      </c>
      <c r="B5772" t="s">
        <v>2107</v>
      </c>
      <c r="C5772" t="s">
        <v>9350</v>
      </c>
      <c r="D5772" t="s">
        <v>19100</v>
      </c>
      <c r="E5772" t="s">
        <v>24159</v>
      </c>
      <c r="F5772" t="s">
        <v>32831</v>
      </c>
      <c r="G5772" t="s">
        <v>32839</v>
      </c>
      <c r="H5772" t="s">
        <v>32848</v>
      </c>
      <c r="I5772" t="s">
        <v>6526</v>
      </c>
      <c r="J5772" t="s">
        <v>36667</v>
      </c>
      <c r="K5772" t="s">
        <v>42727</v>
      </c>
      <c r="M5772" t="s">
        <v>45281</v>
      </c>
      <c r="N5772" t="s">
        <v>47424</v>
      </c>
      <c r="O5772" t="s">
        <v>47425</v>
      </c>
      <c r="P5772">
        <v>0</v>
      </c>
      <c r="Q5772">
        <v>0</v>
      </c>
      <c r="R5772" t="s">
        <v>47430</v>
      </c>
      <c r="S5772" t="s">
        <v>47549</v>
      </c>
      <c r="T5772" t="s">
        <v>49188</v>
      </c>
      <c r="U5772" t="s">
        <v>54545</v>
      </c>
      <c r="W5772" t="s">
        <v>45281</v>
      </c>
      <c r="X5772" t="s">
        <v>47431</v>
      </c>
    </row>
    <row r="5773" spans="1:24">
      <c r="A5773">
        <f>HYPERLINK("https://www.philgeps.gov.ph/GEPSNONPILOT/Tender/SplashBidNoticeAbstractUI.aspx?menuIndex=3&amp;refID=7161598&amp;Result=3","7161598")</f>
        <v>0</v>
      </c>
      <c r="B5773" t="s">
        <v>1361</v>
      </c>
      <c r="C5773" t="s">
        <v>9351</v>
      </c>
      <c r="D5773" t="s">
        <v>19017</v>
      </c>
      <c r="E5773" t="s">
        <v>24160</v>
      </c>
      <c r="F5773" t="s">
        <v>32831</v>
      </c>
      <c r="G5773" t="s">
        <v>32842</v>
      </c>
      <c r="H5773" t="s">
        <v>32848</v>
      </c>
      <c r="I5773" t="s">
        <v>9577</v>
      </c>
      <c r="J5773" t="s">
        <v>36668</v>
      </c>
      <c r="K5773" t="s">
        <v>42726</v>
      </c>
      <c r="M5773" t="s">
        <v>44439</v>
      </c>
      <c r="N5773" t="s">
        <v>47424</v>
      </c>
      <c r="O5773" t="s">
        <v>47425</v>
      </c>
      <c r="P5773">
        <v>0</v>
      </c>
      <c r="Q5773">
        <v>10</v>
      </c>
      <c r="R5773" t="s">
        <v>47430</v>
      </c>
      <c r="S5773" t="s">
        <v>47549</v>
      </c>
      <c r="T5773" t="s">
        <v>49116</v>
      </c>
      <c r="U5773" t="s">
        <v>54546</v>
      </c>
      <c r="W5773" t="s">
        <v>44439</v>
      </c>
      <c r="X5773" t="s">
        <v>47431</v>
      </c>
    </row>
    <row r="5774" spans="1:24">
      <c r="A5774">
        <f>HYPERLINK("https://www.philgeps.gov.ph/GEPSNONPILOT/Tender/SplashBidNoticeAbstractUI.aspx?menuIndex=3&amp;refID=7161554&amp;Result=3","7161554")</f>
        <v>0</v>
      </c>
      <c r="B5774" t="s">
        <v>2108</v>
      </c>
      <c r="C5774" t="s">
        <v>9352</v>
      </c>
      <c r="D5774" t="s">
        <v>19031</v>
      </c>
      <c r="E5774" t="s">
        <v>24161</v>
      </c>
      <c r="F5774" t="s">
        <v>32831</v>
      </c>
      <c r="G5774" t="s">
        <v>32839</v>
      </c>
      <c r="H5774" t="s">
        <v>32848</v>
      </c>
      <c r="I5774" t="s">
        <v>4177</v>
      </c>
      <c r="J5774" t="s">
        <v>36669</v>
      </c>
      <c r="K5774" t="s">
        <v>42766</v>
      </c>
      <c r="M5774" t="s">
        <v>45282</v>
      </c>
      <c r="N5774" t="s">
        <v>47424</v>
      </c>
      <c r="O5774" t="s">
        <v>47425</v>
      </c>
      <c r="P5774">
        <v>0</v>
      </c>
      <c r="Q5774">
        <v>3</v>
      </c>
      <c r="R5774" t="s">
        <v>47430</v>
      </c>
      <c r="S5774" t="s">
        <v>47549</v>
      </c>
      <c r="T5774" t="s">
        <v>49196</v>
      </c>
      <c r="U5774" t="s">
        <v>54547</v>
      </c>
      <c r="W5774" t="s">
        <v>45282</v>
      </c>
      <c r="X5774" t="s">
        <v>47431</v>
      </c>
    </row>
    <row r="5775" spans="1:24">
      <c r="A5775">
        <f>HYPERLINK("https://www.philgeps.gov.ph/GEPSNONPILOT/Tender/SplashBidNoticeAbstractUI.aspx?menuIndex=3&amp;refID=7161594&amp;Result=3","7161594")</f>
        <v>0</v>
      </c>
      <c r="B5775" t="s">
        <v>2107</v>
      </c>
      <c r="C5775" t="s">
        <v>9353</v>
      </c>
      <c r="D5775" t="s">
        <v>19100</v>
      </c>
      <c r="E5775" t="s">
        <v>24162</v>
      </c>
      <c r="F5775" t="s">
        <v>32831</v>
      </c>
      <c r="G5775" t="s">
        <v>32839</v>
      </c>
      <c r="H5775" t="s">
        <v>32848</v>
      </c>
      <c r="I5775" t="s">
        <v>32860</v>
      </c>
      <c r="J5775" t="s">
        <v>36670</v>
      </c>
      <c r="K5775" t="s">
        <v>42727</v>
      </c>
      <c r="M5775" t="s">
        <v>45281</v>
      </c>
      <c r="N5775" t="s">
        <v>47424</v>
      </c>
      <c r="O5775" t="s">
        <v>47425</v>
      </c>
      <c r="P5775">
        <v>0</v>
      </c>
      <c r="Q5775">
        <v>0</v>
      </c>
      <c r="R5775" t="s">
        <v>47430</v>
      </c>
      <c r="S5775" t="s">
        <v>47549</v>
      </c>
      <c r="T5775" t="s">
        <v>49188</v>
      </c>
      <c r="U5775" t="s">
        <v>54545</v>
      </c>
      <c r="W5775" t="s">
        <v>45281</v>
      </c>
      <c r="X5775" t="s">
        <v>47431</v>
      </c>
    </row>
    <row r="5776" spans="1:24">
      <c r="A5776">
        <f>HYPERLINK("https://www.philgeps.gov.ph/GEPSNONPILOT/Tender/SplashBidNoticeAbstractUI.aspx?menuIndex=3&amp;refID=7161553&amp;Result=3","7161553")</f>
        <v>0</v>
      </c>
      <c r="B5776" t="s">
        <v>2109</v>
      </c>
      <c r="C5776" t="s">
        <v>9354</v>
      </c>
      <c r="D5776" t="s">
        <v>19023</v>
      </c>
      <c r="E5776" t="s">
        <v>20202</v>
      </c>
      <c r="F5776" t="s">
        <v>32831</v>
      </c>
      <c r="G5776" t="s">
        <v>32839</v>
      </c>
      <c r="H5776" t="s">
        <v>32848</v>
      </c>
      <c r="I5776" t="s">
        <v>7416</v>
      </c>
      <c r="J5776" t="s">
        <v>33090</v>
      </c>
      <c r="K5776" t="s">
        <v>42758</v>
      </c>
      <c r="M5776" t="s">
        <v>45283</v>
      </c>
      <c r="N5776" t="s">
        <v>47424</v>
      </c>
      <c r="O5776" t="s">
        <v>47425</v>
      </c>
      <c r="P5776">
        <v>0</v>
      </c>
      <c r="Q5776">
        <v>0</v>
      </c>
      <c r="R5776" t="s">
        <v>47430</v>
      </c>
      <c r="S5776" t="s">
        <v>47549</v>
      </c>
      <c r="T5776" t="s">
        <v>49119</v>
      </c>
      <c r="U5776" t="s">
        <v>54548</v>
      </c>
      <c r="W5776" t="s">
        <v>64500</v>
      </c>
      <c r="X5776" t="s">
        <v>47431</v>
      </c>
    </row>
    <row r="5777" spans="1:24">
      <c r="A5777">
        <f>HYPERLINK("https://www.philgeps.gov.ph/GEPSNONPILOT/Tender/SplashBidNoticeAbstractUI.aspx?menuIndex=3&amp;refID=7161593&amp;Result=3","7161593")</f>
        <v>0</v>
      </c>
      <c r="B5777" t="s">
        <v>2107</v>
      </c>
      <c r="C5777" t="s">
        <v>9355</v>
      </c>
      <c r="D5777" t="s">
        <v>19100</v>
      </c>
      <c r="E5777" t="s">
        <v>24163</v>
      </c>
      <c r="F5777" t="s">
        <v>32831</v>
      </c>
      <c r="G5777" t="s">
        <v>32839</v>
      </c>
      <c r="H5777" t="s">
        <v>32848</v>
      </c>
      <c r="I5777" t="s">
        <v>32852</v>
      </c>
      <c r="J5777" t="s">
        <v>36671</v>
      </c>
      <c r="K5777" t="s">
        <v>42727</v>
      </c>
      <c r="M5777" t="s">
        <v>45281</v>
      </c>
      <c r="N5777" t="s">
        <v>47424</v>
      </c>
      <c r="O5777" t="s">
        <v>47425</v>
      </c>
      <c r="P5777">
        <v>0</v>
      </c>
      <c r="Q5777">
        <v>0</v>
      </c>
      <c r="R5777" t="s">
        <v>47430</v>
      </c>
      <c r="S5777" t="s">
        <v>47549</v>
      </c>
      <c r="T5777" t="s">
        <v>49188</v>
      </c>
      <c r="U5777" t="s">
        <v>54549</v>
      </c>
      <c r="W5777" t="s">
        <v>45281</v>
      </c>
      <c r="X5777" t="s">
        <v>47431</v>
      </c>
    </row>
    <row r="5778" spans="1:24">
      <c r="A5778">
        <f>HYPERLINK("https://www.philgeps.gov.ph/GEPSNONPILOT/Tender/SplashBidNoticeAbstractUI.aspx?menuIndex=3&amp;refID=7161589&amp;Result=3","7161589")</f>
        <v>0</v>
      </c>
      <c r="B5778" t="s">
        <v>2110</v>
      </c>
      <c r="C5778" t="s">
        <v>9356</v>
      </c>
      <c r="E5778" t="s">
        <v>24164</v>
      </c>
      <c r="F5778" t="s">
        <v>32831</v>
      </c>
      <c r="G5778" t="s">
        <v>32839</v>
      </c>
      <c r="H5778" t="s">
        <v>32848</v>
      </c>
      <c r="I5778" t="s">
        <v>4471</v>
      </c>
      <c r="J5778" t="s">
        <v>33305</v>
      </c>
      <c r="K5778" t="s">
        <v>42731</v>
      </c>
      <c r="M5778" t="s">
        <v>45284</v>
      </c>
      <c r="N5778" t="s">
        <v>47424</v>
      </c>
      <c r="O5778" t="s">
        <v>47425</v>
      </c>
      <c r="P5778">
        <v>0</v>
      </c>
      <c r="Q5778">
        <v>0</v>
      </c>
      <c r="R5778" t="s">
        <v>47430</v>
      </c>
      <c r="S5778" t="s">
        <v>47549</v>
      </c>
      <c r="T5778" t="s">
        <v>49080</v>
      </c>
      <c r="U5778" t="s">
        <v>54550</v>
      </c>
      <c r="W5778" t="s">
        <v>45284</v>
      </c>
      <c r="X5778" t="s">
        <v>47431</v>
      </c>
    </row>
    <row r="5779" spans="1:24">
      <c r="A5779">
        <f>HYPERLINK("https://www.philgeps.gov.ph/GEPSNONPILOT/Tender/SplashBidNoticeAbstractUI.aspx?menuIndex=3&amp;refID=7161585&amp;Result=3","7161585")</f>
        <v>0</v>
      </c>
      <c r="B5779" t="s">
        <v>2106</v>
      </c>
      <c r="C5779" t="s">
        <v>9357</v>
      </c>
      <c r="D5779" t="s">
        <v>19057</v>
      </c>
      <c r="E5779" t="s">
        <v>24165</v>
      </c>
      <c r="F5779" t="s">
        <v>32831</v>
      </c>
      <c r="G5779" t="s">
        <v>32838</v>
      </c>
      <c r="H5779" t="s">
        <v>32848</v>
      </c>
      <c r="I5779" t="s">
        <v>4340</v>
      </c>
      <c r="J5779" t="s">
        <v>36672</v>
      </c>
      <c r="K5779" t="s">
        <v>42759</v>
      </c>
      <c r="M5779" t="s">
        <v>45280</v>
      </c>
      <c r="N5779" t="s">
        <v>47424</v>
      </c>
      <c r="O5779" t="s">
        <v>47425</v>
      </c>
      <c r="P5779">
        <v>0</v>
      </c>
      <c r="Q5779">
        <v>3</v>
      </c>
      <c r="R5779" t="s">
        <v>47430</v>
      </c>
      <c r="S5779" t="s">
        <v>47549</v>
      </c>
      <c r="T5779" t="s">
        <v>49145</v>
      </c>
      <c r="U5779" t="s">
        <v>54551</v>
      </c>
      <c r="W5779" t="s">
        <v>45280</v>
      </c>
      <c r="X5779" t="s">
        <v>47431</v>
      </c>
    </row>
    <row r="5780" spans="1:24">
      <c r="A5780">
        <f>HYPERLINK("https://www.philgeps.gov.ph/GEPSNONPILOT/Tender/SplashBidNoticeAbstractUI.aspx?menuIndex=3&amp;refID=7161563&amp;Result=3","7161563")</f>
        <v>0</v>
      </c>
      <c r="B5780" t="s">
        <v>2111</v>
      </c>
      <c r="C5780" t="s">
        <v>9358</v>
      </c>
      <c r="E5780" t="s">
        <v>24166</v>
      </c>
      <c r="F5780" t="s">
        <v>32831</v>
      </c>
      <c r="G5780" t="s">
        <v>32839</v>
      </c>
      <c r="H5780" t="s">
        <v>32850</v>
      </c>
      <c r="I5780" t="s">
        <v>32920</v>
      </c>
      <c r="J5780" t="s">
        <v>36673</v>
      </c>
      <c r="K5780" t="s">
        <v>42883</v>
      </c>
      <c r="M5780" t="s">
        <v>45285</v>
      </c>
      <c r="N5780" t="s">
        <v>47424</v>
      </c>
      <c r="O5780" t="s">
        <v>47425</v>
      </c>
      <c r="P5780">
        <v>0</v>
      </c>
      <c r="Q5780">
        <v>4</v>
      </c>
      <c r="R5780" t="s">
        <v>47430</v>
      </c>
      <c r="S5780" t="s">
        <v>47549</v>
      </c>
      <c r="T5780" t="s">
        <v>49181</v>
      </c>
      <c r="U5780" t="s">
        <v>54552</v>
      </c>
      <c r="V5780" t="s">
        <v>63265</v>
      </c>
      <c r="W5780" t="s">
        <v>45285</v>
      </c>
      <c r="X5780" t="s">
        <v>47431</v>
      </c>
    </row>
    <row r="5781" spans="1:24">
      <c r="A5781">
        <f>HYPERLINK("https://www.philgeps.gov.ph/GEPSNONPILOT/Tender/SplashBidNoticeAbstractUI.aspx?menuIndex=3&amp;refID=7161592&amp;Result=3","7161592")</f>
        <v>0</v>
      </c>
      <c r="B5781" t="s">
        <v>889</v>
      </c>
      <c r="C5781" t="s">
        <v>9359</v>
      </c>
      <c r="D5781" t="s">
        <v>19047</v>
      </c>
      <c r="E5781" t="s">
        <v>24167</v>
      </c>
      <c r="F5781" t="s">
        <v>32831</v>
      </c>
      <c r="G5781" t="s">
        <v>32842</v>
      </c>
      <c r="H5781" t="s">
        <v>32848</v>
      </c>
      <c r="I5781" t="s">
        <v>4340</v>
      </c>
      <c r="J5781" t="s">
        <v>36674</v>
      </c>
      <c r="K5781" t="s">
        <v>42750</v>
      </c>
      <c r="M5781" t="s">
        <v>43924</v>
      </c>
      <c r="N5781" t="s">
        <v>47424</v>
      </c>
      <c r="O5781" t="s">
        <v>47425</v>
      </c>
      <c r="P5781">
        <v>0</v>
      </c>
      <c r="Q5781">
        <v>4</v>
      </c>
      <c r="R5781" t="s">
        <v>47430</v>
      </c>
      <c r="S5781" t="s">
        <v>47549</v>
      </c>
      <c r="T5781" t="s">
        <v>49162</v>
      </c>
      <c r="U5781" t="s">
        <v>54553</v>
      </c>
      <c r="V5781" t="s">
        <v>62831</v>
      </c>
      <c r="W5781" t="s">
        <v>43924</v>
      </c>
      <c r="X5781" t="s">
        <v>47431</v>
      </c>
    </row>
    <row r="5782" spans="1:24">
      <c r="A5782">
        <f>HYPERLINK("https://www.philgeps.gov.ph/GEPSNONPILOT/Tender/SplashBidNoticeAbstractUI.aspx?menuIndex=3&amp;refID=7161582&amp;Result=3","7161582")</f>
        <v>0</v>
      </c>
      <c r="B5782" t="s">
        <v>1218</v>
      </c>
      <c r="C5782" t="s">
        <v>9360</v>
      </c>
      <c r="D5782" t="s">
        <v>19030</v>
      </c>
      <c r="E5782" t="s">
        <v>24168</v>
      </c>
      <c r="F5782" t="s">
        <v>32831</v>
      </c>
      <c r="G5782" t="s">
        <v>32839</v>
      </c>
      <c r="H5782" t="s">
        <v>32848</v>
      </c>
      <c r="I5782" t="s">
        <v>4487</v>
      </c>
      <c r="J5782" t="s">
        <v>36675</v>
      </c>
      <c r="K5782" t="s">
        <v>42729</v>
      </c>
      <c r="M5782" t="s">
        <v>44286</v>
      </c>
      <c r="N5782" t="s">
        <v>47424</v>
      </c>
      <c r="O5782" t="s">
        <v>47425</v>
      </c>
      <c r="P5782">
        <v>0</v>
      </c>
      <c r="Q5782">
        <v>7</v>
      </c>
      <c r="R5782" t="s">
        <v>47430</v>
      </c>
      <c r="S5782" t="s">
        <v>47549</v>
      </c>
      <c r="T5782" t="s">
        <v>49319</v>
      </c>
      <c r="U5782" t="s">
        <v>54554</v>
      </c>
      <c r="V5782" t="s">
        <v>63266</v>
      </c>
      <c r="W5782" t="s">
        <v>44286</v>
      </c>
      <c r="X5782" t="s">
        <v>47431</v>
      </c>
    </row>
    <row r="5783" spans="1:24">
      <c r="A5783">
        <f>HYPERLINK("https://www.philgeps.gov.ph/GEPSNONPILOT/Tender/SplashBidNoticeAbstractUI.aspx?menuIndex=3&amp;refID=7161557&amp;Result=3","7161557")</f>
        <v>0</v>
      </c>
      <c r="B5783" t="s">
        <v>2102</v>
      </c>
      <c r="C5783" t="s">
        <v>9361</v>
      </c>
      <c r="D5783" t="s">
        <v>19092</v>
      </c>
      <c r="E5783" t="s">
        <v>24169</v>
      </c>
      <c r="F5783" t="s">
        <v>32831</v>
      </c>
      <c r="G5783" t="s">
        <v>32838</v>
      </c>
      <c r="H5783" t="s">
        <v>32848</v>
      </c>
      <c r="I5783" t="s">
        <v>9577</v>
      </c>
      <c r="J5783" t="s">
        <v>33812</v>
      </c>
      <c r="K5783" t="s">
        <v>42732</v>
      </c>
      <c r="M5783" t="s">
        <v>45276</v>
      </c>
      <c r="N5783" t="s">
        <v>47424</v>
      </c>
      <c r="O5783" t="s">
        <v>47425</v>
      </c>
      <c r="P5783">
        <v>0</v>
      </c>
      <c r="Q5783">
        <v>1</v>
      </c>
      <c r="R5783" t="s">
        <v>47430</v>
      </c>
      <c r="S5783" t="s">
        <v>47549</v>
      </c>
      <c r="T5783" t="s">
        <v>49114</v>
      </c>
      <c r="U5783" t="s">
        <v>54555</v>
      </c>
      <c r="W5783" t="s">
        <v>45276</v>
      </c>
      <c r="X5783" t="s">
        <v>47431</v>
      </c>
    </row>
    <row r="5784" spans="1:24">
      <c r="A5784">
        <f>HYPERLINK("https://www.philgeps.gov.ph/GEPSNONPILOT/Tender/SplashBidNoticeAbstractUI.aspx?menuIndex=3&amp;refID=7161579&amp;Result=3","7161579")</f>
        <v>0</v>
      </c>
      <c r="B5784" t="s">
        <v>1556</v>
      </c>
      <c r="C5784" t="s">
        <v>9362</v>
      </c>
      <c r="D5784" t="s">
        <v>19023</v>
      </c>
      <c r="E5784" t="s">
        <v>20202</v>
      </c>
      <c r="F5784" t="s">
        <v>32831</v>
      </c>
      <c r="G5784" t="s">
        <v>32841</v>
      </c>
      <c r="H5784" t="s">
        <v>32848</v>
      </c>
      <c r="I5784" t="s">
        <v>7416</v>
      </c>
      <c r="J5784" t="s">
        <v>32976</v>
      </c>
      <c r="K5784" t="s">
        <v>42758</v>
      </c>
      <c r="M5784" t="s">
        <v>44663</v>
      </c>
      <c r="N5784" t="s">
        <v>47424</v>
      </c>
      <c r="O5784" t="s">
        <v>47425</v>
      </c>
      <c r="P5784">
        <v>0</v>
      </c>
      <c r="Q5784">
        <v>0</v>
      </c>
      <c r="R5784" t="s">
        <v>47430</v>
      </c>
      <c r="S5784" t="s">
        <v>47549</v>
      </c>
      <c r="T5784" t="s">
        <v>49119</v>
      </c>
      <c r="U5784" t="s">
        <v>54529</v>
      </c>
      <c r="W5784" t="s">
        <v>64475</v>
      </c>
      <c r="X5784" t="s">
        <v>47431</v>
      </c>
    </row>
    <row r="5785" spans="1:24">
      <c r="A5785">
        <f>HYPERLINK("https://www.philgeps.gov.ph/GEPSNONPILOT/Tender/SplashBidNoticeAbstractUI.aspx?menuIndex=3&amp;refID=7161595&amp;Result=3","7161595")</f>
        <v>0</v>
      </c>
      <c r="B5785" t="s">
        <v>192</v>
      </c>
      <c r="C5785" t="s">
        <v>9363</v>
      </c>
      <c r="D5785" t="s">
        <v>19057</v>
      </c>
      <c r="E5785" t="s">
        <v>21319</v>
      </c>
      <c r="F5785" t="s">
        <v>32831</v>
      </c>
      <c r="G5785" t="s">
        <v>32838</v>
      </c>
      <c r="H5785" t="s">
        <v>32848</v>
      </c>
      <c r="I5785" t="s">
        <v>32874</v>
      </c>
      <c r="J5785" t="s">
        <v>33029</v>
      </c>
      <c r="K5785" t="s">
        <v>42730</v>
      </c>
      <c r="M5785" t="s">
        <v>43190</v>
      </c>
      <c r="N5785" t="s">
        <v>47424</v>
      </c>
      <c r="O5785" t="s">
        <v>47425</v>
      </c>
      <c r="P5785">
        <v>0</v>
      </c>
      <c r="Q5785">
        <v>2</v>
      </c>
      <c r="R5785" t="s">
        <v>47430</v>
      </c>
      <c r="S5785" t="s">
        <v>47549</v>
      </c>
      <c r="T5785" t="s">
        <v>49100</v>
      </c>
      <c r="U5785" t="s">
        <v>54556</v>
      </c>
      <c r="W5785" t="s">
        <v>43190</v>
      </c>
      <c r="X5785" t="s">
        <v>47431</v>
      </c>
    </row>
    <row r="5786" spans="1:24">
      <c r="A5786">
        <f>HYPERLINK("https://www.philgeps.gov.ph/GEPSNONPILOT/Tender/SplashBidNoticeAbstractUI.aspx?menuIndex=3&amp;refID=7161584&amp;Result=3","7161584")</f>
        <v>0</v>
      </c>
      <c r="B5786" t="s">
        <v>2111</v>
      </c>
      <c r="C5786" t="s">
        <v>9364</v>
      </c>
      <c r="E5786" t="s">
        <v>24170</v>
      </c>
      <c r="F5786" t="s">
        <v>32831</v>
      </c>
      <c r="G5786" t="s">
        <v>32839</v>
      </c>
      <c r="H5786" t="s">
        <v>32850</v>
      </c>
      <c r="I5786" t="s">
        <v>32920</v>
      </c>
      <c r="J5786" t="s">
        <v>36676</v>
      </c>
      <c r="K5786" t="s">
        <v>42883</v>
      </c>
      <c r="M5786" t="s">
        <v>45285</v>
      </c>
      <c r="N5786" t="s">
        <v>47424</v>
      </c>
      <c r="O5786" t="s">
        <v>47425</v>
      </c>
      <c r="P5786">
        <v>0</v>
      </c>
      <c r="Q5786">
        <v>4</v>
      </c>
      <c r="R5786" t="s">
        <v>47430</v>
      </c>
      <c r="S5786" t="s">
        <v>47549</v>
      </c>
      <c r="T5786" t="s">
        <v>49217</v>
      </c>
      <c r="U5786" t="s">
        <v>54557</v>
      </c>
      <c r="V5786" t="s">
        <v>63267</v>
      </c>
      <c r="W5786" t="s">
        <v>45285</v>
      </c>
      <c r="X5786" t="s">
        <v>47431</v>
      </c>
    </row>
    <row r="5787" spans="1:24">
      <c r="A5787">
        <f>HYPERLINK("https://www.philgeps.gov.ph/GEPSNONPILOT/Tender/SplashBidNoticeAbstractUI.aspx?menuIndex=3&amp;refID=7161581&amp;Result=3","7161581")</f>
        <v>0</v>
      </c>
      <c r="B5787" t="s">
        <v>1097</v>
      </c>
      <c r="C5787" t="s">
        <v>9365</v>
      </c>
      <c r="D5787" t="s">
        <v>19077</v>
      </c>
      <c r="E5787" t="s">
        <v>24171</v>
      </c>
      <c r="F5787" t="s">
        <v>32831</v>
      </c>
      <c r="G5787" t="s">
        <v>32840</v>
      </c>
      <c r="H5787" t="s">
        <v>32848</v>
      </c>
      <c r="I5787" t="s">
        <v>10805</v>
      </c>
      <c r="J5787" t="s">
        <v>34155</v>
      </c>
      <c r="K5787" t="s">
        <v>42731</v>
      </c>
      <c r="M5787" t="s">
        <v>44156</v>
      </c>
      <c r="N5787" t="s">
        <v>47424</v>
      </c>
      <c r="O5787" t="s">
        <v>47425</v>
      </c>
      <c r="P5787">
        <v>0</v>
      </c>
      <c r="Q5787">
        <v>3</v>
      </c>
      <c r="R5787" t="s">
        <v>47430</v>
      </c>
      <c r="S5787" t="s">
        <v>47549</v>
      </c>
      <c r="T5787" t="s">
        <v>49079</v>
      </c>
      <c r="U5787" t="s">
        <v>54558</v>
      </c>
      <c r="W5787" t="s">
        <v>44156</v>
      </c>
      <c r="X5787" t="s">
        <v>47431</v>
      </c>
    </row>
    <row r="5788" spans="1:24">
      <c r="A5788">
        <f>HYPERLINK("https://www.philgeps.gov.ph/GEPSNONPILOT/Tender/SplashBidNoticeAbstractUI.aspx?menuIndex=3&amp;refID=7161572&amp;Result=3","7161572")</f>
        <v>0</v>
      </c>
      <c r="B5788" t="s">
        <v>2112</v>
      </c>
      <c r="C5788" t="s">
        <v>9366</v>
      </c>
      <c r="D5788" t="s">
        <v>19061</v>
      </c>
      <c r="E5788" t="s">
        <v>24172</v>
      </c>
      <c r="F5788" t="s">
        <v>32832</v>
      </c>
      <c r="G5788" t="s">
        <v>32839</v>
      </c>
      <c r="H5788" t="s">
        <v>32848</v>
      </c>
      <c r="I5788" t="s">
        <v>32852</v>
      </c>
      <c r="J5788" t="s">
        <v>32980</v>
      </c>
      <c r="K5788" t="s">
        <v>42731</v>
      </c>
      <c r="M5788" t="s">
        <v>45286</v>
      </c>
      <c r="N5788" t="s">
        <v>47424</v>
      </c>
      <c r="O5788" t="s">
        <v>47425</v>
      </c>
      <c r="P5788">
        <v>0</v>
      </c>
      <c r="Q5788">
        <v>0</v>
      </c>
      <c r="R5788" t="s">
        <v>47430</v>
      </c>
      <c r="S5788" t="s">
        <v>47549</v>
      </c>
      <c r="T5788" t="s">
        <v>49200</v>
      </c>
      <c r="U5788" t="s">
        <v>54559</v>
      </c>
      <c r="W5788" t="s">
        <v>45286</v>
      </c>
      <c r="X5788" t="s">
        <v>47431</v>
      </c>
    </row>
    <row r="5789" spans="1:24">
      <c r="A5789">
        <f>HYPERLINK("https://www.philgeps.gov.ph/GEPSNONPILOT/Tender/SplashBidNoticeAbstractUI.aspx?menuIndex=3&amp;refID=7161570&amp;Result=3","7161570")</f>
        <v>0</v>
      </c>
      <c r="B5789" t="s">
        <v>2108</v>
      </c>
      <c r="C5789" t="s">
        <v>9367</v>
      </c>
      <c r="D5789" t="s">
        <v>19031</v>
      </c>
      <c r="E5789" t="s">
        <v>24173</v>
      </c>
      <c r="F5789" t="s">
        <v>32831</v>
      </c>
      <c r="G5789" t="s">
        <v>32841</v>
      </c>
      <c r="H5789" t="s">
        <v>32848</v>
      </c>
      <c r="I5789" t="s">
        <v>11484</v>
      </c>
      <c r="J5789" t="s">
        <v>33867</v>
      </c>
      <c r="K5789" t="s">
        <v>42727</v>
      </c>
      <c r="M5789" t="s">
        <v>45282</v>
      </c>
      <c r="N5789" t="s">
        <v>47424</v>
      </c>
      <c r="O5789" t="s">
        <v>47425</v>
      </c>
      <c r="P5789">
        <v>0</v>
      </c>
      <c r="Q5789">
        <v>4</v>
      </c>
      <c r="R5789" t="s">
        <v>47430</v>
      </c>
      <c r="S5789" t="s">
        <v>47549</v>
      </c>
      <c r="T5789" t="s">
        <v>49106</v>
      </c>
      <c r="U5789" t="s">
        <v>54560</v>
      </c>
      <c r="W5789" t="s">
        <v>45282</v>
      </c>
      <c r="X5789" t="s">
        <v>47431</v>
      </c>
    </row>
    <row r="5790" spans="1:24">
      <c r="A5790">
        <f>HYPERLINK("https://www.philgeps.gov.ph/GEPSNONPILOT/Tender/SplashBidNoticeAbstractUI.aspx?menuIndex=3&amp;refID=7161566&amp;Result=3","7161566")</f>
        <v>0</v>
      </c>
      <c r="B5790" t="s">
        <v>889</v>
      </c>
      <c r="C5790" t="s">
        <v>9368</v>
      </c>
      <c r="D5790" t="s">
        <v>19047</v>
      </c>
      <c r="E5790" t="s">
        <v>24174</v>
      </c>
      <c r="F5790" t="s">
        <v>32831</v>
      </c>
      <c r="G5790" t="s">
        <v>32838</v>
      </c>
      <c r="H5790" t="s">
        <v>32848</v>
      </c>
      <c r="I5790" t="s">
        <v>32857</v>
      </c>
      <c r="J5790" t="s">
        <v>36677</v>
      </c>
      <c r="K5790" t="s">
        <v>42726</v>
      </c>
      <c r="M5790" t="s">
        <v>43924</v>
      </c>
      <c r="N5790" t="s">
        <v>47424</v>
      </c>
      <c r="O5790" t="s">
        <v>47425</v>
      </c>
      <c r="P5790">
        <v>0</v>
      </c>
      <c r="Q5790">
        <v>5</v>
      </c>
      <c r="R5790" t="s">
        <v>47430</v>
      </c>
      <c r="S5790" t="s">
        <v>47549</v>
      </c>
      <c r="T5790" t="s">
        <v>49162</v>
      </c>
      <c r="U5790" t="s">
        <v>54561</v>
      </c>
      <c r="V5790" t="s">
        <v>62831</v>
      </c>
      <c r="W5790" t="s">
        <v>43924</v>
      </c>
      <c r="X5790" t="s">
        <v>47431</v>
      </c>
    </row>
    <row r="5791" spans="1:24">
      <c r="A5791">
        <f>HYPERLINK("https://www.philgeps.gov.ph/GEPSNONPILOT/Tender/SplashBidNoticeAbstractUI.aspx?menuIndex=3&amp;refID=7161633&amp;Result=3","7161633")</f>
        <v>0</v>
      </c>
      <c r="B5791" t="s">
        <v>803</v>
      </c>
      <c r="C5791" t="s">
        <v>9369</v>
      </c>
      <c r="D5791" t="s">
        <v>19090</v>
      </c>
      <c r="E5791" t="s">
        <v>24175</v>
      </c>
      <c r="F5791" t="s">
        <v>32831</v>
      </c>
      <c r="G5791" t="s">
        <v>32838</v>
      </c>
      <c r="H5791" t="s">
        <v>32848</v>
      </c>
      <c r="I5791" t="s">
        <v>9577</v>
      </c>
      <c r="J5791" t="s">
        <v>36678</v>
      </c>
      <c r="K5791" t="s">
        <v>42726</v>
      </c>
      <c r="M5791" t="s">
        <v>43834</v>
      </c>
      <c r="N5791" t="s">
        <v>47424</v>
      </c>
      <c r="O5791" t="s">
        <v>47425</v>
      </c>
      <c r="P5791">
        <v>0</v>
      </c>
      <c r="Q5791">
        <v>4</v>
      </c>
      <c r="R5791" t="s">
        <v>47430</v>
      </c>
      <c r="S5791" t="s">
        <v>47549</v>
      </c>
      <c r="T5791" t="s">
        <v>49150</v>
      </c>
      <c r="U5791" t="s">
        <v>54562</v>
      </c>
      <c r="W5791" t="s">
        <v>43834</v>
      </c>
      <c r="X5791" t="s">
        <v>47431</v>
      </c>
    </row>
    <row r="5792" spans="1:24">
      <c r="A5792">
        <f>HYPERLINK("https://www.philgeps.gov.ph/GEPSNONPILOT/Tender/SplashBidNoticeAbstractUI.aspx?menuIndex=3&amp;refID=7161632&amp;Result=3","7161632")</f>
        <v>0</v>
      </c>
      <c r="B5792" t="s">
        <v>2113</v>
      </c>
      <c r="C5792" t="s">
        <v>9370</v>
      </c>
      <c r="D5792" t="s">
        <v>19017</v>
      </c>
      <c r="E5792" t="s">
        <v>24176</v>
      </c>
      <c r="F5792" t="s">
        <v>32831</v>
      </c>
      <c r="G5792" t="s">
        <v>32839</v>
      </c>
      <c r="H5792" t="s">
        <v>32849</v>
      </c>
      <c r="I5792" t="s">
        <v>4177</v>
      </c>
      <c r="J5792" t="s">
        <v>36679</v>
      </c>
      <c r="K5792" t="s">
        <v>42770</v>
      </c>
      <c r="M5792" t="s">
        <v>45287</v>
      </c>
      <c r="N5792" t="s">
        <v>47424</v>
      </c>
      <c r="O5792" t="s">
        <v>47425</v>
      </c>
      <c r="P5792">
        <v>0</v>
      </c>
      <c r="Q5792">
        <v>10</v>
      </c>
      <c r="R5792" t="s">
        <v>47430</v>
      </c>
      <c r="S5792" t="s">
        <v>47549</v>
      </c>
      <c r="T5792" t="s">
        <v>49291</v>
      </c>
      <c r="U5792" t="s">
        <v>54563</v>
      </c>
      <c r="W5792" t="s">
        <v>45287</v>
      </c>
      <c r="X5792" t="s">
        <v>47431</v>
      </c>
    </row>
    <row r="5793" spans="1:24">
      <c r="A5793">
        <f>HYPERLINK("https://www.philgeps.gov.ph/GEPSNONPILOT/Tender/SplashBidNoticeAbstractUI.aspx?menuIndex=3&amp;refID=7161561&amp;Result=3","7161561")</f>
        <v>0</v>
      </c>
      <c r="B5793" t="s">
        <v>2109</v>
      </c>
      <c r="C5793" t="s">
        <v>9371</v>
      </c>
      <c r="D5793" t="s">
        <v>19023</v>
      </c>
      <c r="E5793" t="s">
        <v>19979</v>
      </c>
      <c r="F5793" t="s">
        <v>32831</v>
      </c>
      <c r="G5793" t="s">
        <v>32839</v>
      </c>
      <c r="H5793" t="s">
        <v>32848</v>
      </c>
      <c r="I5793" t="s">
        <v>32856</v>
      </c>
      <c r="J5793" t="s">
        <v>33007</v>
      </c>
      <c r="K5793" t="s">
        <v>42760</v>
      </c>
      <c r="M5793" t="s">
        <v>45283</v>
      </c>
      <c r="N5793" t="s">
        <v>47424</v>
      </c>
      <c r="O5793" t="s">
        <v>47425</v>
      </c>
      <c r="P5793">
        <v>0</v>
      </c>
      <c r="Q5793">
        <v>2</v>
      </c>
      <c r="R5793" t="s">
        <v>47430</v>
      </c>
      <c r="S5793" t="s">
        <v>47549</v>
      </c>
      <c r="T5793" t="s">
        <v>49119</v>
      </c>
      <c r="U5793" t="s">
        <v>54564</v>
      </c>
      <c r="W5793" t="s">
        <v>64500</v>
      </c>
      <c r="X5793" t="s">
        <v>47431</v>
      </c>
    </row>
    <row r="5794" spans="1:24">
      <c r="A5794">
        <f>HYPERLINK("https://www.philgeps.gov.ph/GEPSNONPILOT/Tender/SplashBidNoticeAbstractUI.aspx?menuIndex=3&amp;refID=7161574&amp;Result=3","7161574")</f>
        <v>0</v>
      </c>
      <c r="B5794" t="s">
        <v>2114</v>
      </c>
      <c r="C5794" t="s">
        <v>9372</v>
      </c>
      <c r="D5794" t="s">
        <v>19038</v>
      </c>
      <c r="E5794" t="s">
        <v>19311</v>
      </c>
      <c r="F5794" t="s">
        <v>32831</v>
      </c>
      <c r="G5794" t="s">
        <v>32839</v>
      </c>
      <c r="H5794" t="s">
        <v>32848</v>
      </c>
      <c r="I5794" t="s">
        <v>7416</v>
      </c>
      <c r="J5794" t="s">
        <v>36680</v>
      </c>
      <c r="K5794" t="s">
        <v>42727</v>
      </c>
      <c r="M5794" t="s">
        <v>45288</v>
      </c>
      <c r="N5794" t="s">
        <v>47424</v>
      </c>
      <c r="O5794" t="s">
        <v>47425</v>
      </c>
      <c r="P5794">
        <v>0</v>
      </c>
      <c r="Q5794">
        <v>1</v>
      </c>
      <c r="R5794" t="s">
        <v>47430</v>
      </c>
      <c r="S5794" t="s">
        <v>47549</v>
      </c>
      <c r="T5794" t="s">
        <v>49124</v>
      </c>
      <c r="U5794" t="s">
        <v>54565</v>
      </c>
      <c r="W5794" t="s">
        <v>45288</v>
      </c>
      <c r="X5794" t="s">
        <v>47431</v>
      </c>
    </row>
    <row r="5795" spans="1:24">
      <c r="A5795">
        <f>HYPERLINK("https://www.philgeps.gov.ph/GEPSNONPILOT/Tender/SplashBidNoticeAbstractUI.aspx?menuIndex=3&amp;refID=7161627&amp;Result=3","7161627")</f>
        <v>0</v>
      </c>
      <c r="B5795" t="s">
        <v>2115</v>
      </c>
      <c r="C5795" t="s">
        <v>9373</v>
      </c>
      <c r="D5795" t="s">
        <v>19079</v>
      </c>
      <c r="E5795" t="s">
        <v>21569</v>
      </c>
      <c r="F5795" t="s">
        <v>32831</v>
      </c>
      <c r="G5795" t="s">
        <v>32838</v>
      </c>
      <c r="H5795" t="s">
        <v>32848</v>
      </c>
      <c r="I5795" t="s">
        <v>32911</v>
      </c>
      <c r="J5795" t="s">
        <v>36681</v>
      </c>
      <c r="K5795" t="s">
        <v>42732</v>
      </c>
      <c r="M5795" t="s">
        <v>45289</v>
      </c>
      <c r="N5795" t="s">
        <v>47424</v>
      </c>
      <c r="O5795" t="s">
        <v>47425</v>
      </c>
      <c r="P5795">
        <v>0</v>
      </c>
      <c r="Q5795">
        <v>0</v>
      </c>
      <c r="R5795" t="s">
        <v>47430</v>
      </c>
      <c r="S5795" t="s">
        <v>47549</v>
      </c>
      <c r="T5795" t="s">
        <v>49111</v>
      </c>
      <c r="U5795" t="s">
        <v>51962</v>
      </c>
      <c r="W5795" t="s">
        <v>45289</v>
      </c>
      <c r="X5795" t="s">
        <v>47431</v>
      </c>
    </row>
    <row r="5796" spans="1:24">
      <c r="A5796">
        <f>HYPERLINK("https://www.philgeps.gov.ph/GEPSNONPILOT/Tender/SplashBidNoticeAbstractUI.aspx?menuIndex=3&amp;refID=7161626&amp;Result=3","7161626")</f>
        <v>0</v>
      </c>
      <c r="B5796" t="s">
        <v>2113</v>
      </c>
      <c r="C5796" t="s">
        <v>9374</v>
      </c>
      <c r="D5796" t="s">
        <v>19017</v>
      </c>
      <c r="E5796" t="s">
        <v>24177</v>
      </c>
      <c r="F5796" t="s">
        <v>32831</v>
      </c>
      <c r="G5796" t="s">
        <v>32839</v>
      </c>
      <c r="H5796" t="s">
        <v>32849</v>
      </c>
      <c r="I5796" t="s">
        <v>4177</v>
      </c>
      <c r="J5796" t="s">
        <v>36682</v>
      </c>
      <c r="K5796" t="s">
        <v>42729</v>
      </c>
      <c r="M5796" t="s">
        <v>45287</v>
      </c>
      <c r="N5796" t="s">
        <v>47424</v>
      </c>
      <c r="O5796" t="s">
        <v>47425</v>
      </c>
      <c r="P5796">
        <v>0</v>
      </c>
      <c r="Q5796">
        <v>18</v>
      </c>
      <c r="R5796" t="s">
        <v>47430</v>
      </c>
      <c r="S5796" t="s">
        <v>47549</v>
      </c>
      <c r="T5796" t="s">
        <v>49291</v>
      </c>
      <c r="U5796" t="s">
        <v>54566</v>
      </c>
      <c r="W5796" t="s">
        <v>45287</v>
      </c>
      <c r="X5796" t="s">
        <v>47431</v>
      </c>
    </row>
    <row r="5797" spans="1:24">
      <c r="A5797">
        <f>HYPERLINK("https://www.philgeps.gov.ph/GEPSNONPILOT/Tender/SplashBidNoticeAbstractUI.aspx?menuIndex=3&amp;refID=7161625&amp;Result=3","7161625")</f>
        <v>0</v>
      </c>
      <c r="B5797" t="s">
        <v>2116</v>
      </c>
      <c r="C5797" t="s">
        <v>9375</v>
      </c>
      <c r="D5797" t="s">
        <v>19027</v>
      </c>
      <c r="E5797" t="s">
        <v>19863</v>
      </c>
      <c r="F5797" t="s">
        <v>32831</v>
      </c>
      <c r="G5797" t="s">
        <v>32839</v>
      </c>
      <c r="H5797" t="s">
        <v>32848</v>
      </c>
      <c r="I5797" t="s">
        <v>32860</v>
      </c>
      <c r="J5797" t="s">
        <v>36683</v>
      </c>
      <c r="K5797" t="s">
        <v>42759</v>
      </c>
      <c r="M5797" t="s">
        <v>45290</v>
      </c>
      <c r="N5797" t="s">
        <v>47424</v>
      </c>
      <c r="O5797" t="s">
        <v>47425</v>
      </c>
      <c r="P5797">
        <v>0</v>
      </c>
      <c r="Q5797">
        <v>1</v>
      </c>
      <c r="R5797" t="s">
        <v>47430</v>
      </c>
      <c r="S5797" t="s">
        <v>47549</v>
      </c>
      <c r="T5797" t="s">
        <v>49323</v>
      </c>
      <c r="U5797" t="s">
        <v>54567</v>
      </c>
      <c r="W5797" t="s">
        <v>45290</v>
      </c>
      <c r="X5797" t="s">
        <v>47431</v>
      </c>
    </row>
    <row r="5798" spans="1:24">
      <c r="A5798">
        <f>HYPERLINK("https://www.philgeps.gov.ph/GEPSNONPILOT/Tender/SplashBidNoticeAbstractUI.aspx?menuIndex=3&amp;refID=7161586&amp;Result=3","7161586")</f>
        <v>0</v>
      </c>
      <c r="B5798" t="s">
        <v>889</v>
      </c>
      <c r="C5798" t="s">
        <v>9376</v>
      </c>
      <c r="D5798" t="s">
        <v>19047</v>
      </c>
      <c r="E5798" t="s">
        <v>24178</v>
      </c>
      <c r="F5798" t="s">
        <v>32831</v>
      </c>
      <c r="G5798" t="s">
        <v>32838</v>
      </c>
      <c r="H5798" t="s">
        <v>32848</v>
      </c>
      <c r="I5798" t="s">
        <v>32854</v>
      </c>
      <c r="J5798" t="s">
        <v>35668</v>
      </c>
      <c r="K5798" t="s">
        <v>42726</v>
      </c>
      <c r="M5798" t="s">
        <v>43924</v>
      </c>
      <c r="N5798" t="s">
        <v>47424</v>
      </c>
      <c r="O5798" t="s">
        <v>47425</v>
      </c>
      <c r="P5798">
        <v>0</v>
      </c>
      <c r="Q5798">
        <v>4</v>
      </c>
      <c r="R5798" t="s">
        <v>47430</v>
      </c>
      <c r="S5798" t="s">
        <v>47549</v>
      </c>
      <c r="T5798" t="s">
        <v>49162</v>
      </c>
      <c r="U5798" t="s">
        <v>54568</v>
      </c>
      <c r="V5798" t="s">
        <v>62831</v>
      </c>
      <c r="W5798" t="s">
        <v>43924</v>
      </c>
      <c r="X5798" t="s">
        <v>47431</v>
      </c>
    </row>
    <row r="5799" spans="1:24">
      <c r="A5799">
        <f>HYPERLINK("https://www.philgeps.gov.ph/GEPSNONPILOT/Tender/SplashBidNoticeAbstractUI.aspx?menuIndex=3&amp;refID=7161622&amp;Result=3","7161622")</f>
        <v>0</v>
      </c>
      <c r="B5799" t="s">
        <v>670</v>
      </c>
      <c r="C5799" t="s">
        <v>9377</v>
      </c>
      <c r="D5799" t="s">
        <v>19049</v>
      </c>
      <c r="E5799" t="s">
        <v>24179</v>
      </c>
      <c r="F5799" t="s">
        <v>32831</v>
      </c>
      <c r="G5799" t="s">
        <v>32839</v>
      </c>
      <c r="H5799" t="s">
        <v>32849</v>
      </c>
      <c r="I5799" t="s">
        <v>4177</v>
      </c>
      <c r="J5799" t="s">
        <v>36684</v>
      </c>
      <c r="K5799" t="s">
        <v>42728</v>
      </c>
      <c r="M5799" t="s">
        <v>43689</v>
      </c>
      <c r="N5799" t="s">
        <v>47424</v>
      </c>
      <c r="O5799" t="s">
        <v>47425</v>
      </c>
      <c r="P5799">
        <v>0</v>
      </c>
      <c r="Q5799">
        <v>2</v>
      </c>
      <c r="R5799" t="s">
        <v>47430</v>
      </c>
      <c r="S5799" t="s">
        <v>47549</v>
      </c>
      <c r="T5799" t="s">
        <v>49437</v>
      </c>
      <c r="U5799" t="s">
        <v>54569</v>
      </c>
      <c r="V5799" t="s">
        <v>63268</v>
      </c>
      <c r="W5799" t="s">
        <v>43689</v>
      </c>
      <c r="X5799" t="s">
        <v>47431</v>
      </c>
    </row>
    <row r="5800" spans="1:24">
      <c r="A5800">
        <f>HYPERLINK("https://www.philgeps.gov.ph/GEPSNONPILOT/Tender/SplashBidNoticeAbstractUI.aspx?menuIndex=3&amp;refID=7161621&amp;Result=3","7161621")</f>
        <v>0</v>
      </c>
      <c r="B5800" t="s">
        <v>2113</v>
      </c>
      <c r="C5800" t="s">
        <v>9378</v>
      </c>
      <c r="D5800" t="s">
        <v>19017</v>
      </c>
      <c r="E5800" t="s">
        <v>24180</v>
      </c>
      <c r="F5800" t="s">
        <v>32831</v>
      </c>
      <c r="G5800" t="s">
        <v>32839</v>
      </c>
      <c r="H5800" t="s">
        <v>32849</v>
      </c>
      <c r="I5800" t="s">
        <v>4177</v>
      </c>
      <c r="J5800" t="s">
        <v>36685</v>
      </c>
      <c r="K5800" t="s">
        <v>42731</v>
      </c>
      <c r="M5800" t="s">
        <v>45287</v>
      </c>
      <c r="N5800" t="s">
        <v>47424</v>
      </c>
      <c r="O5800" t="s">
        <v>47425</v>
      </c>
      <c r="P5800">
        <v>0</v>
      </c>
      <c r="Q5800">
        <v>4</v>
      </c>
      <c r="R5800" t="s">
        <v>47430</v>
      </c>
      <c r="S5800" t="s">
        <v>47549</v>
      </c>
      <c r="T5800" t="s">
        <v>49291</v>
      </c>
      <c r="U5800" t="s">
        <v>54570</v>
      </c>
      <c r="W5800" t="s">
        <v>45287</v>
      </c>
      <c r="X5800" t="s">
        <v>47431</v>
      </c>
    </row>
    <row r="5801" spans="1:24">
      <c r="A5801">
        <f>HYPERLINK("https://www.philgeps.gov.ph/GEPSNONPILOT/Tender/SplashBidNoticeAbstractUI.aspx?menuIndex=3&amp;refID=7161613&amp;Result=3","7161613")</f>
        <v>0</v>
      </c>
      <c r="B5801" t="s">
        <v>889</v>
      </c>
      <c r="C5801" t="s">
        <v>9379</v>
      </c>
      <c r="D5801" t="s">
        <v>19047</v>
      </c>
      <c r="E5801" t="s">
        <v>24181</v>
      </c>
      <c r="F5801" t="s">
        <v>32831</v>
      </c>
      <c r="G5801" t="s">
        <v>32838</v>
      </c>
      <c r="H5801" t="s">
        <v>32848</v>
      </c>
      <c r="I5801" t="s">
        <v>4438</v>
      </c>
      <c r="J5801" t="s">
        <v>36686</v>
      </c>
      <c r="K5801" t="s">
        <v>42726</v>
      </c>
      <c r="M5801" t="s">
        <v>43924</v>
      </c>
      <c r="N5801" t="s">
        <v>47424</v>
      </c>
      <c r="O5801" t="s">
        <v>47425</v>
      </c>
      <c r="P5801">
        <v>0</v>
      </c>
      <c r="Q5801">
        <v>5</v>
      </c>
      <c r="R5801" t="s">
        <v>47430</v>
      </c>
      <c r="S5801" t="s">
        <v>47549</v>
      </c>
      <c r="T5801" t="s">
        <v>49162</v>
      </c>
      <c r="U5801" t="s">
        <v>54571</v>
      </c>
      <c r="V5801" t="s">
        <v>62831</v>
      </c>
      <c r="W5801" t="s">
        <v>43924</v>
      </c>
      <c r="X5801" t="s">
        <v>47431</v>
      </c>
    </row>
    <row r="5802" spans="1:24">
      <c r="A5802">
        <f>HYPERLINK("https://www.philgeps.gov.ph/GEPSNONPILOT/Tender/SplashBidNoticeAbstractUI.aspx?menuIndex=3&amp;refID=7161583&amp;Result=3","7161583")</f>
        <v>0</v>
      </c>
      <c r="B5802" t="s">
        <v>889</v>
      </c>
      <c r="C5802" t="s">
        <v>9380</v>
      </c>
      <c r="D5802" t="s">
        <v>19047</v>
      </c>
      <c r="E5802" t="s">
        <v>24182</v>
      </c>
      <c r="F5802" t="s">
        <v>32831</v>
      </c>
      <c r="G5802" t="s">
        <v>32838</v>
      </c>
      <c r="H5802" t="s">
        <v>32848</v>
      </c>
      <c r="I5802" t="s">
        <v>32859</v>
      </c>
      <c r="J5802" t="s">
        <v>36687</v>
      </c>
      <c r="K5802" t="s">
        <v>42726</v>
      </c>
      <c r="M5802" t="s">
        <v>43924</v>
      </c>
      <c r="N5802" t="s">
        <v>47424</v>
      </c>
      <c r="O5802" t="s">
        <v>47425</v>
      </c>
      <c r="P5802">
        <v>0</v>
      </c>
      <c r="Q5802">
        <v>3</v>
      </c>
      <c r="R5802" t="s">
        <v>47430</v>
      </c>
      <c r="S5802" t="s">
        <v>47549</v>
      </c>
      <c r="T5802" t="s">
        <v>49162</v>
      </c>
      <c r="U5802" t="s">
        <v>54572</v>
      </c>
      <c r="V5802" t="s">
        <v>62831</v>
      </c>
      <c r="W5802" t="s">
        <v>43924</v>
      </c>
      <c r="X5802" t="s">
        <v>47431</v>
      </c>
    </row>
    <row r="5803" spans="1:24">
      <c r="A5803">
        <f>HYPERLINK("https://www.philgeps.gov.ph/GEPSNONPILOT/Tender/SplashBidNoticeAbstractUI.aspx?menuIndex=3&amp;refID=7161612&amp;Result=3","7161612")</f>
        <v>0</v>
      </c>
      <c r="B5803" t="s">
        <v>85</v>
      </c>
      <c r="C5803" t="s">
        <v>9381</v>
      </c>
      <c r="D5803" t="s">
        <v>19028</v>
      </c>
      <c r="E5803" t="s">
        <v>19250</v>
      </c>
      <c r="F5803" t="s">
        <v>32831</v>
      </c>
      <c r="G5803" t="s">
        <v>32839</v>
      </c>
      <c r="H5803" t="s">
        <v>32848</v>
      </c>
      <c r="I5803" t="s">
        <v>4222</v>
      </c>
      <c r="J5803" t="s">
        <v>33118</v>
      </c>
      <c r="K5803" t="s">
        <v>42758</v>
      </c>
      <c r="M5803" t="s">
        <v>43082</v>
      </c>
      <c r="N5803" t="s">
        <v>47424</v>
      </c>
      <c r="O5803" t="s">
        <v>47425</v>
      </c>
      <c r="P5803">
        <v>0</v>
      </c>
      <c r="Q5803">
        <v>2</v>
      </c>
      <c r="R5803" t="s">
        <v>47430</v>
      </c>
      <c r="S5803" t="s">
        <v>47549</v>
      </c>
      <c r="T5803" t="s">
        <v>49112</v>
      </c>
      <c r="U5803" t="s">
        <v>54573</v>
      </c>
      <c r="W5803" t="s">
        <v>43082</v>
      </c>
      <c r="X5803" t="s">
        <v>47431</v>
      </c>
    </row>
    <row r="5804" spans="1:24">
      <c r="A5804">
        <f>HYPERLINK("https://www.philgeps.gov.ph/GEPSNONPILOT/Tender/SplashBidNoticeAbstractUI.aspx?menuIndex=3&amp;refID=7161611&amp;Result=3","7161611")</f>
        <v>0</v>
      </c>
      <c r="B5804" t="s">
        <v>2117</v>
      </c>
      <c r="C5804" t="s">
        <v>5379</v>
      </c>
      <c r="D5804" t="s">
        <v>19021</v>
      </c>
      <c r="E5804" t="s">
        <v>24183</v>
      </c>
      <c r="F5804" t="s">
        <v>32833</v>
      </c>
      <c r="G5804" t="s">
        <v>32838</v>
      </c>
      <c r="H5804" t="s">
        <v>32848</v>
      </c>
      <c r="I5804" t="s">
        <v>5379</v>
      </c>
      <c r="J5804" t="s">
        <v>33692</v>
      </c>
      <c r="K5804" t="s">
        <v>42758</v>
      </c>
      <c r="M5804" t="s">
        <v>45291</v>
      </c>
      <c r="N5804" t="s">
        <v>47424</v>
      </c>
      <c r="O5804" t="s">
        <v>47425</v>
      </c>
      <c r="P5804">
        <v>0</v>
      </c>
      <c r="Q5804">
        <v>1</v>
      </c>
      <c r="R5804" t="s">
        <v>47430</v>
      </c>
      <c r="S5804" t="s">
        <v>47549</v>
      </c>
      <c r="T5804" t="s">
        <v>49104</v>
      </c>
      <c r="U5804" t="s">
        <v>54574</v>
      </c>
      <c r="W5804" t="s">
        <v>45291</v>
      </c>
      <c r="X5804" t="s">
        <v>47431</v>
      </c>
    </row>
    <row r="5805" spans="1:24">
      <c r="A5805">
        <f>HYPERLINK("https://www.philgeps.gov.ph/GEPSNONPILOT/Tender/SplashBidNoticeAbstractUI.aspx?menuIndex=3&amp;refID=7161610&amp;Result=3","7161610")</f>
        <v>0</v>
      </c>
      <c r="B5805" t="s">
        <v>889</v>
      </c>
      <c r="C5805" t="s">
        <v>9382</v>
      </c>
      <c r="D5805" t="s">
        <v>19047</v>
      </c>
      <c r="E5805" t="s">
        <v>24184</v>
      </c>
      <c r="F5805" t="s">
        <v>32831</v>
      </c>
      <c r="G5805" t="s">
        <v>32842</v>
      </c>
      <c r="H5805" t="s">
        <v>32848</v>
      </c>
      <c r="I5805" t="s">
        <v>4340</v>
      </c>
      <c r="J5805" t="s">
        <v>36688</v>
      </c>
      <c r="K5805" t="s">
        <v>42726</v>
      </c>
      <c r="M5805" t="s">
        <v>43924</v>
      </c>
      <c r="N5805" t="s">
        <v>47424</v>
      </c>
      <c r="O5805" t="s">
        <v>47425</v>
      </c>
      <c r="P5805">
        <v>0</v>
      </c>
      <c r="Q5805">
        <v>3</v>
      </c>
      <c r="R5805" t="s">
        <v>47430</v>
      </c>
      <c r="S5805" t="s">
        <v>47549</v>
      </c>
      <c r="T5805" t="s">
        <v>49162</v>
      </c>
      <c r="U5805" t="s">
        <v>54575</v>
      </c>
      <c r="V5805" t="s">
        <v>62831</v>
      </c>
      <c r="W5805" t="s">
        <v>43924</v>
      </c>
      <c r="X5805" t="s">
        <v>47431</v>
      </c>
    </row>
    <row r="5806" spans="1:24">
      <c r="A5806">
        <f>HYPERLINK("https://www.philgeps.gov.ph/GEPSNONPILOT/Tender/SplashBidNoticeAbstractUI.aspx?menuIndex=3&amp;refID=7161614&amp;Result=3","7161614")</f>
        <v>0</v>
      </c>
      <c r="B5806" t="s">
        <v>2110</v>
      </c>
      <c r="C5806" t="s">
        <v>9383</v>
      </c>
      <c r="E5806" t="s">
        <v>24185</v>
      </c>
      <c r="F5806" t="s">
        <v>32831</v>
      </c>
      <c r="G5806" t="s">
        <v>32839</v>
      </c>
      <c r="H5806" t="s">
        <v>32848</v>
      </c>
      <c r="I5806" t="s">
        <v>4177</v>
      </c>
      <c r="J5806" t="s">
        <v>32978</v>
      </c>
      <c r="K5806" t="s">
        <v>42729</v>
      </c>
      <c r="M5806" t="s">
        <v>45284</v>
      </c>
      <c r="N5806" t="s">
        <v>47424</v>
      </c>
      <c r="O5806" t="s">
        <v>47425</v>
      </c>
      <c r="P5806">
        <v>0</v>
      </c>
      <c r="Q5806">
        <v>0</v>
      </c>
      <c r="R5806" t="s">
        <v>47430</v>
      </c>
      <c r="S5806" t="s">
        <v>47549</v>
      </c>
      <c r="T5806" t="s">
        <v>49236</v>
      </c>
      <c r="U5806" t="s">
        <v>54576</v>
      </c>
      <c r="W5806" t="s">
        <v>45284</v>
      </c>
      <c r="X5806" t="s">
        <v>47431</v>
      </c>
    </row>
    <row r="5807" spans="1:24">
      <c r="A5807">
        <f>HYPERLINK("https://www.philgeps.gov.ph/GEPSNONPILOT/Tender/SplashBidNoticeAbstractUI.aspx?menuIndex=3&amp;refID=7161606&amp;Result=3","7161606")</f>
        <v>0</v>
      </c>
      <c r="B5807" t="s">
        <v>2118</v>
      </c>
      <c r="C5807" t="s">
        <v>9384</v>
      </c>
      <c r="D5807" t="s">
        <v>19034</v>
      </c>
      <c r="E5807" t="s">
        <v>19311</v>
      </c>
      <c r="F5807" t="s">
        <v>32831</v>
      </c>
      <c r="G5807" t="s">
        <v>32839</v>
      </c>
      <c r="H5807" t="s">
        <v>32848</v>
      </c>
      <c r="I5807" t="s">
        <v>7416</v>
      </c>
      <c r="J5807" t="s">
        <v>36689</v>
      </c>
      <c r="K5807" t="s">
        <v>42727</v>
      </c>
      <c r="M5807" t="s">
        <v>45292</v>
      </c>
      <c r="N5807" t="s">
        <v>47424</v>
      </c>
      <c r="O5807" t="s">
        <v>47425</v>
      </c>
      <c r="P5807">
        <v>0</v>
      </c>
      <c r="Q5807">
        <v>0</v>
      </c>
      <c r="R5807" t="s">
        <v>47430</v>
      </c>
      <c r="S5807" t="s">
        <v>47549</v>
      </c>
      <c r="T5807" t="s">
        <v>49129</v>
      </c>
      <c r="U5807" t="s">
        <v>54577</v>
      </c>
      <c r="W5807" t="s">
        <v>45292</v>
      </c>
      <c r="X5807" t="s">
        <v>47431</v>
      </c>
    </row>
    <row r="5808" spans="1:24">
      <c r="A5808">
        <f>HYPERLINK("https://www.philgeps.gov.ph/GEPSNONPILOT/Tender/SplashBidNoticeAbstractUI.aspx?menuIndex=3&amp;refID=7161605&amp;Result=3","7161605")</f>
        <v>0</v>
      </c>
      <c r="B5808" t="s">
        <v>889</v>
      </c>
      <c r="C5808" t="s">
        <v>9385</v>
      </c>
      <c r="D5808" t="s">
        <v>19047</v>
      </c>
      <c r="E5808" t="s">
        <v>24186</v>
      </c>
      <c r="F5808" t="s">
        <v>32831</v>
      </c>
      <c r="G5808" t="s">
        <v>32838</v>
      </c>
      <c r="H5808" t="s">
        <v>32848</v>
      </c>
      <c r="I5808" t="s">
        <v>4438</v>
      </c>
      <c r="J5808" t="s">
        <v>36690</v>
      </c>
      <c r="K5808" t="s">
        <v>42726</v>
      </c>
      <c r="M5808" t="s">
        <v>43924</v>
      </c>
      <c r="N5808" t="s">
        <v>47424</v>
      </c>
      <c r="O5808" t="s">
        <v>47425</v>
      </c>
      <c r="P5808">
        <v>0</v>
      </c>
      <c r="Q5808">
        <v>2</v>
      </c>
      <c r="R5808" t="s">
        <v>47430</v>
      </c>
      <c r="S5808" t="s">
        <v>47549</v>
      </c>
      <c r="T5808" t="s">
        <v>49162</v>
      </c>
      <c r="U5808" t="s">
        <v>54578</v>
      </c>
      <c r="V5808" t="s">
        <v>62831</v>
      </c>
      <c r="W5808" t="s">
        <v>43924</v>
      </c>
      <c r="X5808" t="s">
        <v>47431</v>
      </c>
    </row>
    <row r="5809" spans="1:24">
      <c r="A5809">
        <f>HYPERLINK("https://www.philgeps.gov.ph/GEPSNONPILOT/Tender/SplashBidNoticeAbstractUI.aspx?menuIndex=3&amp;refID=7161602&amp;Result=3","7161602")</f>
        <v>0</v>
      </c>
      <c r="B5809" t="s">
        <v>2110</v>
      </c>
      <c r="C5809" t="s">
        <v>9386</v>
      </c>
      <c r="E5809" t="s">
        <v>24187</v>
      </c>
      <c r="F5809" t="s">
        <v>32831</v>
      </c>
      <c r="G5809" t="s">
        <v>32839</v>
      </c>
      <c r="H5809" t="s">
        <v>32848</v>
      </c>
      <c r="I5809" t="s">
        <v>10643</v>
      </c>
      <c r="J5809" t="s">
        <v>33044</v>
      </c>
      <c r="K5809" t="s">
        <v>42731</v>
      </c>
      <c r="M5809" t="s">
        <v>45284</v>
      </c>
      <c r="N5809" t="s">
        <v>47424</v>
      </c>
      <c r="O5809" t="s">
        <v>47425</v>
      </c>
      <c r="P5809">
        <v>0</v>
      </c>
      <c r="Q5809">
        <v>1</v>
      </c>
      <c r="R5809" t="s">
        <v>47430</v>
      </c>
      <c r="S5809" t="s">
        <v>47549</v>
      </c>
      <c r="T5809" t="s">
        <v>49080</v>
      </c>
      <c r="U5809" t="s">
        <v>54579</v>
      </c>
      <c r="W5809" t="s">
        <v>45284</v>
      </c>
      <c r="X5809" t="s">
        <v>47431</v>
      </c>
    </row>
    <row r="5810" spans="1:24">
      <c r="A5810">
        <f>HYPERLINK("https://www.philgeps.gov.ph/GEPSNONPILOT/Tender/SplashBidNoticeAbstractUI.aspx?menuIndex=3&amp;refID=7161631&amp;Result=3","7161631")</f>
        <v>0</v>
      </c>
      <c r="B5810" t="s">
        <v>2119</v>
      </c>
      <c r="C5810" t="s">
        <v>9387</v>
      </c>
      <c r="D5810" t="s">
        <v>19044</v>
      </c>
      <c r="E5810" t="s">
        <v>19161</v>
      </c>
      <c r="F5810" t="s">
        <v>32831</v>
      </c>
      <c r="G5810" t="s">
        <v>32839</v>
      </c>
      <c r="H5810" t="s">
        <v>32849</v>
      </c>
      <c r="I5810" t="s">
        <v>4177</v>
      </c>
      <c r="J5810" t="s">
        <v>33087</v>
      </c>
      <c r="K5810" t="s">
        <v>42745</v>
      </c>
      <c r="M5810" t="s">
        <v>45293</v>
      </c>
      <c r="N5810" t="s">
        <v>47424</v>
      </c>
      <c r="O5810" t="s">
        <v>47425</v>
      </c>
      <c r="P5810">
        <v>0</v>
      </c>
      <c r="Q5810">
        <v>0</v>
      </c>
      <c r="R5810" t="s">
        <v>47430</v>
      </c>
      <c r="S5810" t="s">
        <v>47549</v>
      </c>
      <c r="T5810" t="s">
        <v>49129</v>
      </c>
      <c r="U5810" t="s">
        <v>54580</v>
      </c>
      <c r="W5810" t="s">
        <v>45293</v>
      </c>
      <c r="X5810" t="s">
        <v>47431</v>
      </c>
    </row>
    <row r="5811" spans="1:24">
      <c r="A5811">
        <f>HYPERLINK("https://www.philgeps.gov.ph/GEPSNONPILOT/Tender/SplashBidNoticeAbstractUI.aspx?menuIndex=3&amp;refID=7161618&amp;Result=3","7161618")</f>
        <v>0</v>
      </c>
      <c r="B5811" t="s">
        <v>2120</v>
      </c>
      <c r="C5811" t="s">
        <v>9388</v>
      </c>
      <c r="D5811" t="s">
        <v>19021</v>
      </c>
      <c r="E5811" t="s">
        <v>24188</v>
      </c>
      <c r="F5811" t="s">
        <v>32831</v>
      </c>
      <c r="G5811" t="s">
        <v>32839</v>
      </c>
      <c r="H5811" t="s">
        <v>32849</v>
      </c>
      <c r="I5811" t="s">
        <v>4177</v>
      </c>
      <c r="J5811" t="s">
        <v>33279</v>
      </c>
      <c r="K5811" t="s">
        <v>42729</v>
      </c>
      <c r="M5811" t="s">
        <v>45294</v>
      </c>
      <c r="N5811" t="s">
        <v>47424</v>
      </c>
      <c r="O5811" t="s">
        <v>47425</v>
      </c>
      <c r="P5811">
        <v>0</v>
      </c>
      <c r="Q5811">
        <v>1</v>
      </c>
      <c r="R5811" t="s">
        <v>47430</v>
      </c>
      <c r="S5811" t="s">
        <v>47549</v>
      </c>
      <c r="T5811" t="s">
        <v>49124</v>
      </c>
      <c r="U5811" t="s">
        <v>54581</v>
      </c>
      <c r="V5811" t="s">
        <v>63269</v>
      </c>
      <c r="W5811" t="s">
        <v>45294</v>
      </c>
      <c r="X5811" t="s">
        <v>47431</v>
      </c>
    </row>
    <row r="5812" spans="1:24">
      <c r="A5812">
        <f>HYPERLINK("https://www.philgeps.gov.ph/GEPSNONPILOT/Tender/SplashBidNoticeAbstractUI.aspx?menuIndex=3&amp;refID=7161549&amp;Result=3","7161549")</f>
        <v>0</v>
      </c>
      <c r="B5812" t="s">
        <v>2121</v>
      </c>
      <c r="C5812" t="s">
        <v>9389</v>
      </c>
      <c r="D5812" t="s">
        <v>19022</v>
      </c>
      <c r="E5812" t="s">
        <v>19555</v>
      </c>
      <c r="F5812" t="s">
        <v>32833</v>
      </c>
      <c r="G5812" t="s">
        <v>32840</v>
      </c>
      <c r="H5812" t="s">
        <v>32848</v>
      </c>
      <c r="I5812" t="s">
        <v>32858</v>
      </c>
      <c r="J5812" t="s">
        <v>36691</v>
      </c>
      <c r="K5812" t="s">
        <v>42759</v>
      </c>
      <c r="M5812" t="s">
        <v>45295</v>
      </c>
      <c r="N5812" t="s">
        <v>47424</v>
      </c>
      <c r="O5812" t="s">
        <v>47425</v>
      </c>
      <c r="P5812">
        <v>0</v>
      </c>
      <c r="Q5812">
        <v>2</v>
      </c>
      <c r="R5812" t="s">
        <v>47430</v>
      </c>
      <c r="S5812" t="s">
        <v>47549</v>
      </c>
      <c r="T5812" t="s">
        <v>49177</v>
      </c>
      <c r="U5812" t="s">
        <v>54582</v>
      </c>
      <c r="W5812" t="s">
        <v>45295</v>
      </c>
      <c r="X5812" t="s">
        <v>47431</v>
      </c>
    </row>
    <row r="5813" spans="1:24">
      <c r="A5813">
        <f>HYPERLINK("https://www.philgeps.gov.ph/GEPSNONPILOT/Tender/SplashBidNoticeAbstractUI.aspx?menuIndex=3&amp;refID=7161548&amp;Result=3","7161548")</f>
        <v>0</v>
      </c>
      <c r="B5813" t="s">
        <v>2105</v>
      </c>
      <c r="C5813" t="s">
        <v>9390</v>
      </c>
      <c r="D5813" t="s">
        <v>19057</v>
      </c>
      <c r="E5813" t="s">
        <v>24189</v>
      </c>
      <c r="F5813" t="s">
        <v>32831</v>
      </c>
      <c r="G5813" t="s">
        <v>32839</v>
      </c>
      <c r="H5813" t="s">
        <v>32849</v>
      </c>
      <c r="I5813" t="s">
        <v>4177</v>
      </c>
      <c r="J5813" t="s">
        <v>33118</v>
      </c>
      <c r="K5813" t="s">
        <v>42729</v>
      </c>
      <c r="M5813" t="s">
        <v>45279</v>
      </c>
      <c r="N5813" t="s">
        <v>47424</v>
      </c>
      <c r="O5813" t="s">
        <v>47425</v>
      </c>
      <c r="P5813">
        <v>0</v>
      </c>
      <c r="Q5813">
        <v>1</v>
      </c>
      <c r="R5813" t="s">
        <v>47430</v>
      </c>
      <c r="S5813" t="s">
        <v>47549</v>
      </c>
      <c r="T5813" t="s">
        <v>49376</v>
      </c>
      <c r="U5813" t="s">
        <v>54583</v>
      </c>
      <c r="W5813" t="s">
        <v>45279</v>
      </c>
      <c r="X5813" t="s">
        <v>47431</v>
      </c>
    </row>
    <row r="5814" spans="1:24">
      <c r="A5814">
        <f>HYPERLINK("https://www.philgeps.gov.ph/GEPSNONPILOT/Tender/SplashBidNoticeAbstractUI.aspx?menuIndex=3&amp;refID=7161547&amp;Result=3","7161547")</f>
        <v>0</v>
      </c>
      <c r="B5814" t="s">
        <v>569</v>
      </c>
      <c r="C5814" t="s">
        <v>9391</v>
      </c>
      <c r="D5814" t="s">
        <v>19056</v>
      </c>
      <c r="E5814" t="s">
        <v>24190</v>
      </c>
      <c r="F5814" t="s">
        <v>32831</v>
      </c>
      <c r="G5814" t="s">
        <v>32839</v>
      </c>
      <c r="H5814" t="s">
        <v>32850</v>
      </c>
      <c r="I5814" t="s">
        <v>5379</v>
      </c>
      <c r="J5814" t="s">
        <v>36692</v>
      </c>
      <c r="K5814" t="s">
        <v>42726</v>
      </c>
      <c r="M5814" t="s">
        <v>45296</v>
      </c>
      <c r="N5814" t="s">
        <v>47424</v>
      </c>
      <c r="O5814" t="s">
        <v>47425</v>
      </c>
      <c r="P5814">
        <v>0</v>
      </c>
      <c r="Q5814">
        <v>1</v>
      </c>
      <c r="R5814" t="s">
        <v>47430</v>
      </c>
      <c r="S5814" t="s">
        <v>47549</v>
      </c>
      <c r="T5814" t="s">
        <v>49181</v>
      </c>
      <c r="U5814" t="s">
        <v>54584</v>
      </c>
      <c r="W5814" t="s">
        <v>45296</v>
      </c>
      <c r="X5814" t="s">
        <v>47431</v>
      </c>
    </row>
    <row r="5815" spans="1:24">
      <c r="A5815">
        <f>HYPERLINK("https://www.philgeps.gov.ph/GEPSNONPILOT/Tender/SplashBidNoticeAbstractUI.aspx?menuIndex=3&amp;refID=7161546&amp;Result=3","7161546")</f>
        <v>0</v>
      </c>
      <c r="B5815" t="s">
        <v>2122</v>
      </c>
      <c r="C5815" t="s">
        <v>9392</v>
      </c>
      <c r="D5815" t="s">
        <v>19045</v>
      </c>
      <c r="E5815" t="s">
        <v>24191</v>
      </c>
      <c r="F5815" t="s">
        <v>32831</v>
      </c>
      <c r="G5815" t="s">
        <v>32843</v>
      </c>
      <c r="H5815" t="s">
        <v>32849</v>
      </c>
      <c r="I5815" t="s">
        <v>7416</v>
      </c>
      <c r="J5815" t="s">
        <v>32983</v>
      </c>
      <c r="K5815" t="s">
        <v>42730</v>
      </c>
      <c r="M5815" t="s">
        <v>45297</v>
      </c>
      <c r="N5815" t="s">
        <v>47424</v>
      </c>
      <c r="O5815" t="s">
        <v>47425</v>
      </c>
      <c r="P5815">
        <v>0</v>
      </c>
      <c r="Q5815">
        <v>0</v>
      </c>
      <c r="R5815" t="s">
        <v>47430</v>
      </c>
      <c r="S5815" t="s">
        <v>47549</v>
      </c>
      <c r="T5815" t="s">
        <v>49080</v>
      </c>
      <c r="U5815" t="s">
        <v>54585</v>
      </c>
      <c r="V5815" t="s">
        <v>63270</v>
      </c>
      <c r="W5815" t="s">
        <v>45297</v>
      </c>
      <c r="X5815" t="s">
        <v>47431</v>
      </c>
    </row>
    <row r="5816" spans="1:24">
      <c r="A5816">
        <f>HYPERLINK("https://www.philgeps.gov.ph/GEPSNONPILOT/Tender/SplashBidNoticeAbstractUI.aspx?menuIndex=3&amp;refID=7161609&amp;Result=3","7161609")</f>
        <v>0</v>
      </c>
      <c r="B5816" t="s">
        <v>2106</v>
      </c>
      <c r="C5816" t="s">
        <v>9393</v>
      </c>
      <c r="D5816" t="s">
        <v>19057</v>
      </c>
      <c r="E5816" t="s">
        <v>24192</v>
      </c>
      <c r="F5816" t="s">
        <v>32831</v>
      </c>
      <c r="G5816" t="s">
        <v>32838</v>
      </c>
      <c r="H5816" t="s">
        <v>32848</v>
      </c>
      <c r="I5816" t="s">
        <v>32860</v>
      </c>
      <c r="J5816" t="s">
        <v>36693</v>
      </c>
      <c r="K5816" t="s">
        <v>42759</v>
      </c>
      <c r="M5816" t="s">
        <v>45280</v>
      </c>
      <c r="N5816" t="s">
        <v>47424</v>
      </c>
      <c r="O5816" t="s">
        <v>47425</v>
      </c>
      <c r="P5816">
        <v>0</v>
      </c>
      <c r="Q5816">
        <v>6</v>
      </c>
      <c r="R5816" t="s">
        <v>47430</v>
      </c>
      <c r="S5816" t="s">
        <v>47549</v>
      </c>
      <c r="T5816" t="s">
        <v>49145</v>
      </c>
      <c r="U5816" t="s">
        <v>54586</v>
      </c>
      <c r="W5816" t="s">
        <v>45280</v>
      </c>
      <c r="X5816" t="s">
        <v>47431</v>
      </c>
    </row>
    <row r="5817" spans="1:24">
      <c r="A5817">
        <f>HYPERLINK("https://www.philgeps.gov.ph/GEPSNONPILOT/Tender/SplashBidNoticeAbstractUI.aspx?menuIndex=3&amp;refID=7161551&amp;Result=3","7161551")</f>
        <v>0</v>
      </c>
      <c r="B5817" t="s">
        <v>2105</v>
      </c>
      <c r="C5817" t="s">
        <v>9394</v>
      </c>
      <c r="D5817" t="s">
        <v>19057</v>
      </c>
      <c r="E5817" t="s">
        <v>24193</v>
      </c>
      <c r="F5817" t="s">
        <v>32831</v>
      </c>
      <c r="G5817" t="s">
        <v>32839</v>
      </c>
      <c r="H5817" t="s">
        <v>32849</v>
      </c>
      <c r="I5817" t="s">
        <v>4177</v>
      </c>
      <c r="J5817" t="s">
        <v>32978</v>
      </c>
      <c r="K5817" t="s">
        <v>42730</v>
      </c>
      <c r="M5817" t="s">
        <v>45279</v>
      </c>
      <c r="N5817" t="s">
        <v>47424</v>
      </c>
      <c r="O5817" t="s">
        <v>47425</v>
      </c>
      <c r="P5817">
        <v>0</v>
      </c>
      <c r="Q5817">
        <v>1</v>
      </c>
      <c r="R5817" t="s">
        <v>47430</v>
      </c>
      <c r="S5817" t="s">
        <v>47549</v>
      </c>
      <c r="T5817" t="s">
        <v>49103</v>
      </c>
      <c r="U5817" t="s">
        <v>54587</v>
      </c>
      <c r="W5817" t="s">
        <v>45279</v>
      </c>
      <c r="X5817" t="s">
        <v>47431</v>
      </c>
    </row>
    <row r="5818" spans="1:24">
      <c r="A5818">
        <f>HYPERLINK("https://www.philgeps.gov.ph/GEPSNONPILOT/Tender/SplashBidNoticeAbstractUI.aspx?menuIndex=3&amp;refID=7161550&amp;Result=3","7161550")</f>
        <v>0</v>
      </c>
      <c r="B5818" t="s">
        <v>889</v>
      </c>
      <c r="C5818" t="s">
        <v>9395</v>
      </c>
      <c r="D5818" t="s">
        <v>19047</v>
      </c>
      <c r="E5818" t="s">
        <v>24194</v>
      </c>
      <c r="F5818" t="s">
        <v>32831</v>
      </c>
      <c r="G5818" t="s">
        <v>32838</v>
      </c>
      <c r="H5818" t="s">
        <v>32848</v>
      </c>
      <c r="I5818" t="s">
        <v>4438</v>
      </c>
      <c r="J5818" t="s">
        <v>33468</v>
      </c>
      <c r="K5818" t="s">
        <v>42730</v>
      </c>
      <c r="M5818" t="s">
        <v>43924</v>
      </c>
      <c r="N5818" t="s">
        <v>47424</v>
      </c>
      <c r="O5818" t="s">
        <v>47425</v>
      </c>
      <c r="P5818">
        <v>0</v>
      </c>
      <c r="Q5818">
        <v>1</v>
      </c>
      <c r="R5818" t="s">
        <v>47430</v>
      </c>
      <c r="S5818" t="s">
        <v>47549</v>
      </c>
      <c r="T5818" t="s">
        <v>49162</v>
      </c>
      <c r="U5818" t="s">
        <v>54588</v>
      </c>
      <c r="V5818" t="s">
        <v>62831</v>
      </c>
      <c r="W5818" t="s">
        <v>43924</v>
      </c>
      <c r="X5818" t="s">
        <v>47431</v>
      </c>
    </row>
    <row r="5819" spans="1:24">
      <c r="A5819">
        <f>HYPERLINK("https://www.philgeps.gov.ph/GEPSNONPILOT/Tender/SplashBidNoticeAbstractUI.aspx?menuIndex=3&amp;refID=7161662&amp;Result=3","7161662")</f>
        <v>0</v>
      </c>
      <c r="B5819" t="s">
        <v>1522</v>
      </c>
      <c r="C5819" t="s">
        <v>9396</v>
      </c>
      <c r="D5819" t="s">
        <v>19084</v>
      </c>
      <c r="E5819" t="s">
        <v>24195</v>
      </c>
      <c r="F5819" t="s">
        <v>32831</v>
      </c>
      <c r="G5819" t="s">
        <v>32839</v>
      </c>
      <c r="H5819" t="s">
        <v>32849</v>
      </c>
      <c r="I5819" t="s">
        <v>4177</v>
      </c>
      <c r="J5819" t="s">
        <v>33111</v>
      </c>
      <c r="K5819" t="s">
        <v>42865</v>
      </c>
      <c r="L5819" t="s">
        <v>1522</v>
      </c>
      <c r="M5819" t="s">
        <v>44623</v>
      </c>
      <c r="N5819" t="s">
        <v>47424</v>
      </c>
      <c r="O5819" t="s">
        <v>47425</v>
      </c>
      <c r="P5819">
        <v>0</v>
      </c>
      <c r="Q5819">
        <v>2</v>
      </c>
      <c r="R5819" t="s">
        <v>47430</v>
      </c>
      <c r="S5819" t="s">
        <v>47549</v>
      </c>
      <c r="T5819" t="s">
        <v>49291</v>
      </c>
      <c r="U5819" t="s">
        <v>54589</v>
      </c>
      <c r="W5819" t="s">
        <v>44623</v>
      </c>
      <c r="X5819" t="s">
        <v>47431</v>
      </c>
    </row>
    <row r="5820" spans="1:24">
      <c r="A5820">
        <f>HYPERLINK("https://www.philgeps.gov.ph/GEPSNONPILOT/Tender/SplashBidNoticeAbstractUI.aspx?menuIndex=3&amp;refID=7161661&amp;Result=3","7161661")</f>
        <v>0</v>
      </c>
      <c r="B5820" t="s">
        <v>2115</v>
      </c>
      <c r="C5820" t="s">
        <v>9397</v>
      </c>
      <c r="D5820" t="s">
        <v>19079</v>
      </c>
      <c r="E5820" t="s">
        <v>19684</v>
      </c>
      <c r="F5820" t="s">
        <v>32831</v>
      </c>
      <c r="G5820" t="s">
        <v>32838</v>
      </c>
      <c r="H5820" t="s">
        <v>32848</v>
      </c>
      <c r="I5820" t="s">
        <v>32911</v>
      </c>
      <c r="J5820" t="s">
        <v>34385</v>
      </c>
      <c r="K5820" t="s">
        <v>42732</v>
      </c>
      <c r="M5820" t="s">
        <v>45289</v>
      </c>
      <c r="N5820" t="s">
        <v>47424</v>
      </c>
      <c r="O5820" t="s">
        <v>47425</v>
      </c>
      <c r="P5820">
        <v>0</v>
      </c>
      <c r="Q5820">
        <v>0</v>
      </c>
      <c r="R5820" t="s">
        <v>47430</v>
      </c>
      <c r="S5820" t="s">
        <v>47549</v>
      </c>
      <c r="T5820" t="s">
        <v>49111</v>
      </c>
      <c r="U5820" t="s">
        <v>51962</v>
      </c>
      <c r="W5820" t="s">
        <v>45289</v>
      </c>
      <c r="X5820" t="s">
        <v>47431</v>
      </c>
    </row>
    <row r="5821" spans="1:24">
      <c r="A5821">
        <f>HYPERLINK("https://www.philgeps.gov.ph/GEPSNONPILOT/Tender/SplashBidNoticeAbstractUI.aspx?menuIndex=3&amp;refID=7161660&amp;Result=3","7161660")</f>
        <v>0</v>
      </c>
      <c r="B5821" t="s">
        <v>85</v>
      </c>
      <c r="C5821" t="s">
        <v>9398</v>
      </c>
      <c r="D5821" t="s">
        <v>19028</v>
      </c>
      <c r="E5821" t="s">
        <v>24196</v>
      </c>
      <c r="F5821" t="s">
        <v>32831</v>
      </c>
      <c r="G5821" t="s">
        <v>32840</v>
      </c>
      <c r="H5821" t="s">
        <v>32848</v>
      </c>
      <c r="I5821" t="s">
        <v>32860</v>
      </c>
      <c r="J5821" t="s">
        <v>33087</v>
      </c>
      <c r="K5821" t="s">
        <v>42758</v>
      </c>
      <c r="M5821" t="s">
        <v>43082</v>
      </c>
      <c r="N5821" t="s">
        <v>47424</v>
      </c>
      <c r="O5821" t="s">
        <v>47425</v>
      </c>
      <c r="P5821">
        <v>0</v>
      </c>
      <c r="Q5821">
        <v>0</v>
      </c>
      <c r="R5821" t="s">
        <v>47430</v>
      </c>
      <c r="S5821" t="s">
        <v>47549</v>
      </c>
      <c r="T5821" t="s">
        <v>49104</v>
      </c>
      <c r="U5821" t="s">
        <v>54590</v>
      </c>
      <c r="W5821" t="s">
        <v>43082</v>
      </c>
      <c r="X5821" t="s">
        <v>47431</v>
      </c>
    </row>
    <row r="5822" spans="1:24">
      <c r="A5822">
        <f>HYPERLINK("https://www.philgeps.gov.ph/GEPSNONPILOT/Tender/SplashBidNoticeAbstractUI.aspx?menuIndex=3&amp;refID=7161659&amp;Result=3","7161659")</f>
        <v>0</v>
      </c>
      <c r="B5822" t="s">
        <v>338</v>
      </c>
      <c r="C5822" t="s">
        <v>9399</v>
      </c>
      <c r="D5822" t="s">
        <v>19019</v>
      </c>
      <c r="E5822" t="s">
        <v>24197</v>
      </c>
      <c r="F5822" t="s">
        <v>32831</v>
      </c>
      <c r="G5822" t="s">
        <v>32840</v>
      </c>
      <c r="H5822" t="s">
        <v>32848</v>
      </c>
      <c r="I5822" t="s">
        <v>32864</v>
      </c>
      <c r="J5822" t="s">
        <v>33595</v>
      </c>
      <c r="K5822" t="s">
        <v>42726</v>
      </c>
      <c r="M5822" t="s">
        <v>44635</v>
      </c>
      <c r="N5822" t="s">
        <v>47424</v>
      </c>
      <c r="O5822" t="s">
        <v>47425</v>
      </c>
      <c r="P5822">
        <v>0</v>
      </c>
      <c r="Q5822">
        <v>1</v>
      </c>
      <c r="R5822" t="s">
        <v>47430</v>
      </c>
      <c r="S5822" t="s">
        <v>47549</v>
      </c>
      <c r="T5822" t="s">
        <v>49145</v>
      </c>
      <c r="U5822" t="s">
        <v>54591</v>
      </c>
      <c r="W5822" t="s">
        <v>44635</v>
      </c>
      <c r="X5822" t="s">
        <v>47431</v>
      </c>
    </row>
    <row r="5823" spans="1:24">
      <c r="A5823">
        <f>HYPERLINK("https://www.philgeps.gov.ph/GEPSNONPILOT/Tender/SplashBidNoticeAbstractUI.aspx?menuIndex=3&amp;refID=7161658&amp;Result=3","7161658")</f>
        <v>0</v>
      </c>
      <c r="B5823" t="s">
        <v>410</v>
      </c>
      <c r="C5823" t="s">
        <v>9400</v>
      </c>
      <c r="D5823" t="s">
        <v>19031</v>
      </c>
      <c r="E5823" t="s">
        <v>24198</v>
      </c>
      <c r="F5823" t="s">
        <v>32831</v>
      </c>
      <c r="G5823" t="s">
        <v>32838</v>
      </c>
      <c r="H5823" t="s">
        <v>32848</v>
      </c>
      <c r="I5823" t="s">
        <v>7416</v>
      </c>
      <c r="J5823" t="s">
        <v>36694</v>
      </c>
      <c r="K5823" t="s">
        <v>42730</v>
      </c>
      <c r="M5823" t="s">
        <v>43415</v>
      </c>
      <c r="N5823" t="s">
        <v>47424</v>
      </c>
      <c r="O5823" t="s">
        <v>47425</v>
      </c>
      <c r="P5823">
        <v>0</v>
      </c>
      <c r="Q5823">
        <v>0</v>
      </c>
      <c r="R5823" t="s">
        <v>47430</v>
      </c>
      <c r="S5823" t="s">
        <v>47549</v>
      </c>
      <c r="T5823" t="s">
        <v>49059</v>
      </c>
      <c r="U5823" t="s">
        <v>54592</v>
      </c>
      <c r="V5823" t="s">
        <v>63271</v>
      </c>
      <c r="W5823" t="s">
        <v>43415</v>
      </c>
      <c r="X5823" t="s">
        <v>47431</v>
      </c>
    </row>
    <row r="5824" spans="1:24">
      <c r="A5824">
        <f>HYPERLINK("https://www.philgeps.gov.ph/GEPSNONPILOT/Tender/SplashBidNoticeAbstractUI.aspx?menuIndex=3&amp;refID=7161630&amp;Result=3","7161630")</f>
        <v>0</v>
      </c>
      <c r="B5824" t="s">
        <v>2123</v>
      </c>
      <c r="C5824" t="s">
        <v>9388</v>
      </c>
      <c r="D5824" t="s">
        <v>19021</v>
      </c>
      <c r="E5824" t="s">
        <v>20202</v>
      </c>
      <c r="F5824" t="s">
        <v>32831</v>
      </c>
      <c r="G5824" t="s">
        <v>32839</v>
      </c>
      <c r="H5824" t="s">
        <v>32849</v>
      </c>
      <c r="I5824" t="s">
        <v>4177</v>
      </c>
      <c r="J5824" t="s">
        <v>32980</v>
      </c>
      <c r="K5824" t="s">
        <v>42730</v>
      </c>
      <c r="M5824" t="s">
        <v>45298</v>
      </c>
      <c r="N5824" t="s">
        <v>47424</v>
      </c>
      <c r="O5824" t="s">
        <v>47425</v>
      </c>
      <c r="P5824">
        <v>0</v>
      </c>
      <c r="Q5824">
        <v>1</v>
      </c>
      <c r="R5824" t="s">
        <v>47430</v>
      </c>
      <c r="S5824" t="s">
        <v>47549</v>
      </c>
      <c r="T5824" t="s">
        <v>49124</v>
      </c>
      <c r="U5824" t="s">
        <v>54593</v>
      </c>
      <c r="V5824" t="s">
        <v>63272</v>
      </c>
      <c r="W5824" t="s">
        <v>45298</v>
      </c>
      <c r="X5824" t="s">
        <v>47431</v>
      </c>
    </row>
    <row r="5825" spans="1:24">
      <c r="A5825">
        <f>HYPERLINK("https://www.philgeps.gov.ph/GEPSNONPILOT/Tender/SplashBidNoticeAbstractUI.aspx?menuIndex=3&amp;refID=7161653&amp;Result=3","7161653")</f>
        <v>0</v>
      </c>
      <c r="B5825" t="s">
        <v>2110</v>
      </c>
      <c r="C5825" t="s">
        <v>9401</v>
      </c>
      <c r="E5825" t="s">
        <v>24199</v>
      </c>
      <c r="F5825" t="s">
        <v>32831</v>
      </c>
      <c r="G5825" t="s">
        <v>32839</v>
      </c>
      <c r="H5825" t="s">
        <v>32848</v>
      </c>
      <c r="I5825" t="s">
        <v>7416</v>
      </c>
      <c r="J5825" t="s">
        <v>35246</v>
      </c>
      <c r="K5825" t="s">
        <v>42731</v>
      </c>
      <c r="M5825" t="s">
        <v>45284</v>
      </c>
      <c r="N5825" t="s">
        <v>47424</v>
      </c>
      <c r="O5825" t="s">
        <v>47425</v>
      </c>
      <c r="P5825">
        <v>0</v>
      </c>
      <c r="Q5825">
        <v>0</v>
      </c>
      <c r="R5825" t="s">
        <v>47430</v>
      </c>
      <c r="S5825" t="s">
        <v>47549</v>
      </c>
      <c r="T5825" t="s">
        <v>49080</v>
      </c>
      <c r="U5825" t="s">
        <v>54594</v>
      </c>
      <c r="W5825" t="s">
        <v>45284</v>
      </c>
      <c r="X5825" t="s">
        <v>47431</v>
      </c>
    </row>
    <row r="5826" spans="1:24">
      <c r="A5826">
        <f>HYPERLINK("https://www.philgeps.gov.ph/GEPSNONPILOT/Tender/SplashBidNoticeAbstractUI.aspx?menuIndex=3&amp;refID=7161655&amp;Result=3","7161655")</f>
        <v>0</v>
      </c>
      <c r="B5826" t="s">
        <v>2115</v>
      </c>
      <c r="C5826" t="s">
        <v>9402</v>
      </c>
      <c r="D5826" t="s">
        <v>19079</v>
      </c>
      <c r="E5826" t="s">
        <v>22069</v>
      </c>
      <c r="F5826" t="s">
        <v>32831</v>
      </c>
      <c r="G5826" t="s">
        <v>32838</v>
      </c>
      <c r="H5826" t="s">
        <v>32848</v>
      </c>
      <c r="I5826" t="s">
        <v>32911</v>
      </c>
      <c r="J5826" t="s">
        <v>36695</v>
      </c>
      <c r="K5826" t="s">
        <v>42732</v>
      </c>
      <c r="M5826" t="s">
        <v>45289</v>
      </c>
      <c r="N5826" t="s">
        <v>47424</v>
      </c>
      <c r="O5826" t="s">
        <v>47425</v>
      </c>
      <c r="P5826">
        <v>0</v>
      </c>
      <c r="Q5826">
        <v>0</v>
      </c>
      <c r="R5826" t="s">
        <v>47430</v>
      </c>
      <c r="S5826" t="s">
        <v>47549</v>
      </c>
      <c r="T5826" t="s">
        <v>49111</v>
      </c>
      <c r="U5826" t="s">
        <v>51962</v>
      </c>
      <c r="W5826" t="s">
        <v>45289</v>
      </c>
      <c r="X5826" t="s">
        <v>47431</v>
      </c>
    </row>
    <row r="5827" spans="1:24">
      <c r="A5827">
        <f>HYPERLINK("https://www.philgeps.gov.ph/GEPSNONPILOT/Tender/SplashBidNoticeAbstractUI.aspx?menuIndex=3&amp;refID=7161544&amp;Result=3","7161544")</f>
        <v>0</v>
      </c>
      <c r="B5827" t="s">
        <v>889</v>
      </c>
      <c r="C5827" t="s">
        <v>9403</v>
      </c>
      <c r="D5827" t="s">
        <v>19047</v>
      </c>
      <c r="E5827" t="s">
        <v>24200</v>
      </c>
      <c r="F5827" t="s">
        <v>32831</v>
      </c>
      <c r="G5827" t="s">
        <v>32838</v>
      </c>
      <c r="H5827" t="s">
        <v>32848</v>
      </c>
      <c r="I5827" t="s">
        <v>32864</v>
      </c>
      <c r="J5827" t="s">
        <v>36696</v>
      </c>
      <c r="K5827" t="s">
        <v>42779</v>
      </c>
      <c r="M5827" t="s">
        <v>43924</v>
      </c>
      <c r="N5827" t="s">
        <v>47424</v>
      </c>
      <c r="O5827" t="s">
        <v>47425</v>
      </c>
      <c r="P5827">
        <v>0</v>
      </c>
      <c r="Q5827">
        <v>4</v>
      </c>
      <c r="R5827" t="s">
        <v>47430</v>
      </c>
      <c r="S5827" t="s">
        <v>47549</v>
      </c>
      <c r="T5827" t="s">
        <v>49162</v>
      </c>
      <c r="U5827" t="s">
        <v>54595</v>
      </c>
      <c r="V5827" t="s">
        <v>62831</v>
      </c>
      <c r="W5827" t="s">
        <v>43924</v>
      </c>
      <c r="X5827" t="s">
        <v>47431</v>
      </c>
    </row>
    <row r="5828" spans="1:24">
      <c r="A5828">
        <f>HYPERLINK("https://www.philgeps.gov.ph/GEPSNONPILOT/Tender/SplashBidNoticeAbstractUI.aspx?menuIndex=3&amp;refID=7161543&amp;Result=3","7161543")</f>
        <v>0</v>
      </c>
      <c r="B5828" t="s">
        <v>569</v>
      </c>
      <c r="C5828" t="s">
        <v>4699</v>
      </c>
      <c r="D5828" t="s">
        <v>19056</v>
      </c>
      <c r="E5828" t="s">
        <v>24201</v>
      </c>
      <c r="F5828" t="s">
        <v>32831</v>
      </c>
      <c r="G5828" t="s">
        <v>32839</v>
      </c>
      <c r="H5828" t="s">
        <v>32848</v>
      </c>
      <c r="I5828" t="s">
        <v>9577</v>
      </c>
      <c r="J5828" t="s">
        <v>36697</v>
      </c>
      <c r="K5828" t="s">
        <v>42732</v>
      </c>
      <c r="M5828" t="s">
        <v>45296</v>
      </c>
      <c r="N5828" t="s">
        <v>47424</v>
      </c>
      <c r="O5828" t="s">
        <v>47425</v>
      </c>
      <c r="P5828">
        <v>0</v>
      </c>
      <c r="Q5828">
        <v>2</v>
      </c>
      <c r="R5828" t="s">
        <v>47430</v>
      </c>
      <c r="S5828" t="s">
        <v>47549</v>
      </c>
      <c r="T5828" t="s">
        <v>49181</v>
      </c>
      <c r="U5828" t="s">
        <v>54596</v>
      </c>
      <c r="W5828" t="s">
        <v>45296</v>
      </c>
      <c r="X5828" t="s">
        <v>47431</v>
      </c>
    </row>
    <row r="5829" spans="1:24">
      <c r="A5829">
        <f>HYPERLINK("https://www.philgeps.gov.ph/GEPSNONPILOT/Tender/SplashBidNoticeAbstractUI.aspx?menuIndex=3&amp;refID=7161608&amp;Result=3","7161608")</f>
        <v>0</v>
      </c>
      <c r="B5829" t="s">
        <v>2124</v>
      </c>
      <c r="C5829" t="s">
        <v>9388</v>
      </c>
      <c r="D5829" t="s">
        <v>19021</v>
      </c>
      <c r="E5829" t="s">
        <v>19654</v>
      </c>
      <c r="F5829" t="s">
        <v>32831</v>
      </c>
      <c r="G5829" t="s">
        <v>32839</v>
      </c>
      <c r="H5829" t="s">
        <v>32849</v>
      </c>
      <c r="I5829" t="s">
        <v>4177</v>
      </c>
      <c r="J5829" t="s">
        <v>36698</v>
      </c>
      <c r="K5829" t="s">
        <v>42730</v>
      </c>
      <c r="M5829" t="s">
        <v>45299</v>
      </c>
      <c r="N5829" t="s">
        <v>47424</v>
      </c>
      <c r="O5829" t="s">
        <v>47425</v>
      </c>
      <c r="P5829">
        <v>0</v>
      </c>
      <c r="Q5829">
        <v>1</v>
      </c>
      <c r="R5829" t="s">
        <v>47430</v>
      </c>
      <c r="S5829" t="s">
        <v>47549</v>
      </c>
      <c r="T5829" t="s">
        <v>49124</v>
      </c>
      <c r="U5829" t="s">
        <v>54597</v>
      </c>
      <c r="V5829" t="s">
        <v>63273</v>
      </c>
      <c r="W5829" t="s">
        <v>45299</v>
      </c>
      <c r="X5829" t="s">
        <v>47431</v>
      </c>
    </row>
    <row r="5830" spans="1:24">
      <c r="A5830">
        <f>HYPERLINK("https://www.philgeps.gov.ph/GEPSNONPILOT/Tender/SplashBidNoticeAbstractUI.aspx?menuIndex=3&amp;refID=7161649&amp;Result=3","7161649")</f>
        <v>0</v>
      </c>
      <c r="B5830" t="s">
        <v>2115</v>
      </c>
      <c r="C5830" t="s">
        <v>9404</v>
      </c>
      <c r="D5830" t="s">
        <v>19079</v>
      </c>
      <c r="E5830" t="s">
        <v>24202</v>
      </c>
      <c r="F5830" t="s">
        <v>32831</v>
      </c>
      <c r="G5830" t="s">
        <v>32838</v>
      </c>
      <c r="H5830" t="s">
        <v>32848</v>
      </c>
      <c r="I5830" t="s">
        <v>32911</v>
      </c>
      <c r="J5830" t="s">
        <v>36350</v>
      </c>
      <c r="K5830" t="s">
        <v>42732</v>
      </c>
      <c r="M5830" t="s">
        <v>45289</v>
      </c>
      <c r="N5830" t="s">
        <v>47424</v>
      </c>
      <c r="O5830" t="s">
        <v>47425</v>
      </c>
      <c r="P5830">
        <v>0</v>
      </c>
      <c r="Q5830">
        <v>0</v>
      </c>
      <c r="R5830" t="s">
        <v>47430</v>
      </c>
      <c r="S5830" t="s">
        <v>47549</v>
      </c>
      <c r="T5830" t="s">
        <v>49111</v>
      </c>
      <c r="U5830" t="s">
        <v>51962</v>
      </c>
      <c r="W5830" t="s">
        <v>45289</v>
      </c>
      <c r="X5830" t="s">
        <v>47431</v>
      </c>
    </row>
    <row r="5831" spans="1:24">
      <c r="A5831">
        <f>HYPERLINK("https://www.philgeps.gov.ph/GEPSNONPILOT/Tender/SplashBidNoticeAbstractUI.aspx?menuIndex=3&amp;refID=7161646&amp;Result=3","7161646")</f>
        <v>0</v>
      </c>
      <c r="B5831" t="s">
        <v>2125</v>
      </c>
      <c r="C5831" t="s">
        <v>9405</v>
      </c>
      <c r="D5831" t="s">
        <v>19027</v>
      </c>
      <c r="E5831" t="s">
        <v>24203</v>
      </c>
      <c r="F5831" t="s">
        <v>32831</v>
      </c>
      <c r="G5831" t="s">
        <v>32838</v>
      </c>
      <c r="H5831" t="s">
        <v>32848</v>
      </c>
      <c r="I5831" t="s">
        <v>32912</v>
      </c>
      <c r="J5831" t="s">
        <v>33578</v>
      </c>
      <c r="K5831" t="s">
        <v>42730</v>
      </c>
      <c r="M5831" t="s">
        <v>45300</v>
      </c>
      <c r="N5831" t="s">
        <v>47424</v>
      </c>
      <c r="O5831" t="s">
        <v>47425</v>
      </c>
      <c r="P5831">
        <v>0</v>
      </c>
      <c r="Q5831">
        <v>0</v>
      </c>
      <c r="R5831" t="s">
        <v>47430</v>
      </c>
      <c r="S5831" t="s">
        <v>47549</v>
      </c>
      <c r="T5831" t="s">
        <v>49150</v>
      </c>
      <c r="U5831" t="s">
        <v>54598</v>
      </c>
      <c r="W5831" t="s">
        <v>64501</v>
      </c>
      <c r="X5831" t="s">
        <v>47431</v>
      </c>
    </row>
    <row r="5832" spans="1:24">
      <c r="A5832">
        <f>HYPERLINK("https://www.philgeps.gov.ph/GEPSNONPILOT/Tender/SplashBidNoticeAbstractUI.aspx?menuIndex=3&amp;refID=7161643&amp;Result=3","7161643")</f>
        <v>0</v>
      </c>
      <c r="B5832" t="s">
        <v>2110</v>
      </c>
      <c r="C5832" t="s">
        <v>9406</v>
      </c>
      <c r="E5832" t="s">
        <v>24204</v>
      </c>
      <c r="F5832" t="s">
        <v>32831</v>
      </c>
      <c r="G5832" t="s">
        <v>32839</v>
      </c>
      <c r="H5832" t="s">
        <v>32848</v>
      </c>
      <c r="I5832" t="s">
        <v>6526</v>
      </c>
      <c r="J5832" t="s">
        <v>36699</v>
      </c>
      <c r="K5832" t="s">
        <v>42731</v>
      </c>
      <c r="M5832" t="s">
        <v>45284</v>
      </c>
      <c r="N5832" t="s">
        <v>47424</v>
      </c>
      <c r="O5832" t="s">
        <v>47425</v>
      </c>
      <c r="P5832">
        <v>0</v>
      </c>
      <c r="Q5832">
        <v>0</v>
      </c>
      <c r="R5832" t="s">
        <v>47430</v>
      </c>
      <c r="S5832" t="s">
        <v>47549</v>
      </c>
      <c r="T5832" t="s">
        <v>49080</v>
      </c>
      <c r="U5832" t="s">
        <v>54599</v>
      </c>
      <c r="W5832" t="s">
        <v>45284</v>
      </c>
      <c r="X5832" t="s">
        <v>47431</v>
      </c>
    </row>
    <row r="5833" spans="1:24">
      <c r="A5833">
        <f>HYPERLINK("https://www.philgeps.gov.ph/GEPSNONPILOT/Tender/SplashBidNoticeAbstractUI.aspx?menuIndex=3&amp;refID=7161639&amp;Result=3","7161639")</f>
        <v>0</v>
      </c>
      <c r="B5833" t="s">
        <v>2126</v>
      </c>
      <c r="C5833" t="s">
        <v>9407</v>
      </c>
      <c r="D5833" t="s">
        <v>19021</v>
      </c>
      <c r="E5833" t="s">
        <v>20152</v>
      </c>
      <c r="F5833" t="s">
        <v>32831</v>
      </c>
      <c r="G5833" t="s">
        <v>32839</v>
      </c>
      <c r="H5833" t="s">
        <v>32849</v>
      </c>
      <c r="I5833" t="s">
        <v>4177</v>
      </c>
      <c r="J5833" t="s">
        <v>36700</v>
      </c>
      <c r="K5833" t="s">
        <v>42763</v>
      </c>
      <c r="M5833" t="s">
        <v>45301</v>
      </c>
      <c r="N5833" t="s">
        <v>47424</v>
      </c>
      <c r="O5833" t="s">
        <v>47425</v>
      </c>
      <c r="P5833">
        <v>0</v>
      </c>
      <c r="Q5833">
        <v>0</v>
      </c>
      <c r="R5833" t="s">
        <v>47430</v>
      </c>
      <c r="S5833" t="s">
        <v>47549</v>
      </c>
      <c r="T5833" t="s">
        <v>49119</v>
      </c>
      <c r="U5833" t="s">
        <v>54600</v>
      </c>
      <c r="V5833" t="s">
        <v>63274</v>
      </c>
      <c r="W5833" t="s">
        <v>45301</v>
      </c>
      <c r="X5833" t="s">
        <v>47431</v>
      </c>
    </row>
    <row r="5834" spans="1:24">
      <c r="A5834">
        <f>HYPERLINK("https://www.philgeps.gov.ph/GEPSNONPILOT/Tender/SplashBidNoticeAbstractUI.aspx?menuIndex=3&amp;refID=7161577&amp;Result=3","7161577")</f>
        <v>0</v>
      </c>
      <c r="B5834" t="s">
        <v>2127</v>
      </c>
      <c r="C5834" t="s">
        <v>9408</v>
      </c>
      <c r="D5834" t="s">
        <v>19062</v>
      </c>
      <c r="E5834" t="s">
        <v>19838</v>
      </c>
      <c r="F5834" t="s">
        <v>32833</v>
      </c>
      <c r="G5834" t="s">
        <v>32838</v>
      </c>
      <c r="H5834" t="s">
        <v>32848</v>
      </c>
      <c r="I5834" t="s">
        <v>32858</v>
      </c>
      <c r="J5834" t="s">
        <v>36701</v>
      </c>
      <c r="K5834" t="s">
        <v>42758</v>
      </c>
      <c r="M5834" t="s">
        <v>45302</v>
      </c>
      <c r="N5834" t="s">
        <v>47424</v>
      </c>
      <c r="O5834" t="s">
        <v>47425</v>
      </c>
      <c r="P5834">
        <v>0</v>
      </c>
      <c r="Q5834">
        <v>0</v>
      </c>
      <c r="R5834" t="s">
        <v>47430</v>
      </c>
      <c r="S5834" t="s">
        <v>47549</v>
      </c>
      <c r="T5834" t="s">
        <v>49109</v>
      </c>
      <c r="U5834" t="s">
        <v>54601</v>
      </c>
      <c r="W5834" t="s">
        <v>45302</v>
      </c>
      <c r="X5834" t="s">
        <v>47431</v>
      </c>
    </row>
    <row r="5835" spans="1:24">
      <c r="A5835">
        <f>HYPERLINK("https://www.philgeps.gov.ph/GEPSNONPILOT/Tender/SplashBidNoticeAbstractUI.aspx?menuIndex=3&amp;refID=7161657&amp;Result=3","7161657")</f>
        <v>0</v>
      </c>
      <c r="B5835" t="s">
        <v>2128</v>
      </c>
      <c r="C5835" t="s">
        <v>9409</v>
      </c>
      <c r="D5835" t="s">
        <v>19075</v>
      </c>
      <c r="E5835" t="s">
        <v>24205</v>
      </c>
      <c r="F5835" t="s">
        <v>32831</v>
      </c>
      <c r="G5835" t="s">
        <v>32838</v>
      </c>
      <c r="H5835" t="s">
        <v>32848</v>
      </c>
      <c r="I5835" t="s">
        <v>32860</v>
      </c>
      <c r="J5835" t="s">
        <v>36702</v>
      </c>
      <c r="K5835" t="s">
        <v>42726</v>
      </c>
      <c r="M5835" t="s">
        <v>45303</v>
      </c>
      <c r="N5835" t="s">
        <v>47424</v>
      </c>
      <c r="O5835" t="s">
        <v>47425</v>
      </c>
      <c r="P5835">
        <v>0</v>
      </c>
      <c r="Q5835">
        <v>4</v>
      </c>
      <c r="R5835" t="s">
        <v>47430</v>
      </c>
      <c r="S5835" t="s">
        <v>47549</v>
      </c>
      <c r="T5835" t="s">
        <v>49124</v>
      </c>
      <c r="U5835" t="s">
        <v>54602</v>
      </c>
      <c r="W5835" t="s">
        <v>45303</v>
      </c>
      <c r="X5835" t="s">
        <v>47431</v>
      </c>
    </row>
    <row r="5836" spans="1:24">
      <c r="A5836">
        <f>HYPERLINK("https://www.philgeps.gov.ph/GEPSNONPILOT/Tender/SplashBidNoticeAbstractUI.aspx?menuIndex=3&amp;refID=7161638&amp;Result=3","7161638")</f>
        <v>0</v>
      </c>
      <c r="B5836" t="s">
        <v>85</v>
      </c>
      <c r="C5836" t="s">
        <v>9410</v>
      </c>
      <c r="D5836" t="s">
        <v>19028</v>
      </c>
      <c r="E5836" t="s">
        <v>24206</v>
      </c>
      <c r="F5836" t="s">
        <v>32831</v>
      </c>
      <c r="G5836" t="s">
        <v>32840</v>
      </c>
      <c r="H5836" t="s">
        <v>32848</v>
      </c>
      <c r="I5836" t="s">
        <v>32860</v>
      </c>
      <c r="J5836" t="s">
        <v>36703</v>
      </c>
      <c r="K5836" t="s">
        <v>42758</v>
      </c>
      <c r="M5836" t="s">
        <v>43082</v>
      </c>
      <c r="N5836" t="s">
        <v>47424</v>
      </c>
      <c r="O5836" t="s">
        <v>47425</v>
      </c>
      <c r="P5836">
        <v>0</v>
      </c>
      <c r="Q5836">
        <v>0</v>
      </c>
      <c r="R5836" t="s">
        <v>47430</v>
      </c>
      <c r="S5836" t="s">
        <v>47549</v>
      </c>
      <c r="T5836" t="s">
        <v>49104</v>
      </c>
      <c r="U5836" t="s">
        <v>54603</v>
      </c>
      <c r="W5836" t="s">
        <v>43082</v>
      </c>
      <c r="X5836" t="s">
        <v>47431</v>
      </c>
    </row>
    <row r="5837" spans="1:24">
      <c r="A5837">
        <f>HYPERLINK("https://www.philgeps.gov.ph/GEPSNONPILOT/Tender/SplashBidNoticeAbstractUI.aspx?menuIndex=3&amp;refID=7161637&amp;Result=3","7161637")</f>
        <v>0</v>
      </c>
      <c r="B5837" t="s">
        <v>2113</v>
      </c>
      <c r="C5837" t="s">
        <v>9411</v>
      </c>
      <c r="D5837" t="s">
        <v>19017</v>
      </c>
      <c r="E5837" t="s">
        <v>24207</v>
      </c>
      <c r="F5837" t="s">
        <v>32831</v>
      </c>
      <c r="G5837" t="s">
        <v>32839</v>
      </c>
      <c r="H5837" t="s">
        <v>32849</v>
      </c>
      <c r="I5837" t="s">
        <v>4177</v>
      </c>
      <c r="J5837" t="s">
        <v>36704</v>
      </c>
      <c r="K5837" t="s">
        <v>42862</v>
      </c>
      <c r="M5837" t="s">
        <v>45287</v>
      </c>
      <c r="N5837" t="s">
        <v>47424</v>
      </c>
      <c r="O5837" t="s">
        <v>47425</v>
      </c>
      <c r="P5837">
        <v>0</v>
      </c>
      <c r="Q5837">
        <v>8</v>
      </c>
      <c r="R5837" t="s">
        <v>47430</v>
      </c>
      <c r="S5837" t="s">
        <v>47549</v>
      </c>
      <c r="T5837" t="s">
        <v>49291</v>
      </c>
      <c r="U5837" t="s">
        <v>54604</v>
      </c>
      <c r="W5837" t="s">
        <v>45287</v>
      </c>
      <c r="X5837" t="s">
        <v>47431</v>
      </c>
    </row>
    <row r="5838" spans="1:24">
      <c r="A5838">
        <f>HYPERLINK("https://www.philgeps.gov.ph/GEPSNONPILOT/Tender/SplashBidNoticeAbstractUI.aspx?menuIndex=3&amp;refID=7161636&amp;Result=3","7161636")</f>
        <v>0</v>
      </c>
      <c r="B5838" t="s">
        <v>2110</v>
      </c>
      <c r="C5838" t="s">
        <v>9412</v>
      </c>
      <c r="E5838" t="s">
        <v>24208</v>
      </c>
      <c r="F5838" t="s">
        <v>32831</v>
      </c>
      <c r="G5838" t="s">
        <v>32839</v>
      </c>
      <c r="H5838" t="s">
        <v>32848</v>
      </c>
      <c r="I5838" t="s">
        <v>32862</v>
      </c>
      <c r="J5838" t="s">
        <v>32983</v>
      </c>
      <c r="K5838" t="s">
        <v>42731</v>
      </c>
      <c r="M5838" t="s">
        <v>45284</v>
      </c>
      <c r="N5838" t="s">
        <v>47424</v>
      </c>
      <c r="O5838" t="s">
        <v>47425</v>
      </c>
      <c r="P5838">
        <v>0</v>
      </c>
      <c r="Q5838">
        <v>0</v>
      </c>
      <c r="R5838" t="s">
        <v>47430</v>
      </c>
      <c r="S5838" t="s">
        <v>47549</v>
      </c>
      <c r="T5838" t="s">
        <v>49080</v>
      </c>
      <c r="U5838" t="s">
        <v>54605</v>
      </c>
      <c r="W5838" t="s">
        <v>45284</v>
      </c>
      <c r="X5838" t="s">
        <v>47431</v>
      </c>
    </row>
    <row r="5839" spans="1:24">
      <c r="A5839">
        <f>HYPERLINK("https://www.philgeps.gov.ph/GEPSNONPILOT/Tender/SplashBidNoticeAbstractUI.aspx?menuIndex=3&amp;refID=7161642&amp;Result=3","7161642")</f>
        <v>0</v>
      </c>
      <c r="B5839" t="s">
        <v>2129</v>
      </c>
      <c r="C5839" t="s">
        <v>9413</v>
      </c>
      <c r="D5839" t="s">
        <v>19021</v>
      </c>
      <c r="E5839" t="s">
        <v>24209</v>
      </c>
      <c r="F5839" t="s">
        <v>32831</v>
      </c>
      <c r="G5839" t="s">
        <v>32840</v>
      </c>
      <c r="H5839" t="s">
        <v>32848</v>
      </c>
      <c r="I5839" t="s">
        <v>32860</v>
      </c>
      <c r="J5839" t="s">
        <v>36705</v>
      </c>
      <c r="K5839" t="s">
        <v>42732</v>
      </c>
      <c r="M5839" t="s">
        <v>45304</v>
      </c>
      <c r="N5839" t="s">
        <v>47424</v>
      </c>
      <c r="O5839" t="s">
        <v>47425</v>
      </c>
      <c r="P5839">
        <v>0</v>
      </c>
      <c r="Q5839">
        <v>1</v>
      </c>
      <c r="R5839" t="s">
        <v>47430</v>
      </c>
      <c r="S5839" t="s">
        <v>47549</v>
      </c>
      <c r="T5839" t="s">
        <v>49104</v>
      </c>
      <c r="U5839" t="s">
        <v>54606</v>
      </c>
      <c r="W5839" t="s">
        <v>45304</v>
      </c>
      <c r="X5839" t="s">
        <v>47431</v>
      </c>
    </row>
    <row r="5840" spans="1:24">
      <c r="A5840">
        <f>HYPERLINK("https://www.philgeps.gov.ph/GEPSNONPILOT/Tender/SplashBidNoticeAbstractUI.aspx?menuIndex=3&amp;refID=7161641&amp;Result=3","7161641")</f>
        <v>0</v>
      </c>
      <c r="B5840" t="s">
        <v>2115</v>
      </c>
      <c r="C5840" t="s">
        <v>9414</v>
      </c>
      <c r="D5840" t="s">
        <v>19079</v>
      </c>
      <c r="E5840" t="s">
        <v>21606</v>
      </c>
      <c r="F5840" t="s">
        <v>32831</v>
      </c>
      <c r="G5840" t="s">
        <v>32838</v>
      </c>
      <c r="H5840" t="s">
        <v>32848</v>
      </c>
      <c r="I5840" t="s">
        <v>32911</v>
      </c>
      <c r="J5840" t="s">
        <v>36706</v>
      </c>
      <c r="K5840" t="s">
        <v>42732</v>
      </c>
      <c r="M5840" t="s">
        <v>45289</v>
      </c>
      <c r="N5840" t="s">
        <v>47424</v>
      </c>
      <c r="O5840" t="s">
        <v>47425</v>
      </c>
      <c r="P5840">
        <v>0</v>
      </c>
      <c r="Q5840">
        <v>0</v>
      </c>
      <c r="R5840" t="s">
        <v>47430</v>
      </c>
      <c r="S5840" t="s">
        <v>47549</v>
      </c>
      <c r="T5840" t="s">
        <v>49111</v>
      </c>
      <c r="U5840" t="s">
        <v>51962</v>
      </c>
      <c r="W5840" t="s">
        <v>45289</v>
      </c>
      <c r="X5840" t="s">
        <v>47431</v>
      </c>
    </row>
    <row r="5841" spans="1:24">
      <c r="A5841">
        <f>HYPERLINK("https://www.philgeps.gov.ph/GEPSNONPILOT/Tender/SplashBidNoticeAbstractUI.aspx?menuIndex=3&amp;refID=7161689&amp;Result=3","7161689")</f>
        <v>0</v>
      </c>
      <c r="B5841" t="s">
        <v>410</v>
      </c>
      <c r="C5841" t="s">
        <v>9415</v>
      </c>
      <c r="D5841" t="s">
        <v>19031</v>
      </c>
      <c r="E5841" t="s">
        <v>24210</v>
      </c>
      <c r="F5841" t="s">
        <v>32831</v>
      </c>
      <c r="G5841" t="s">
        <v>32838</v>
      </c>
      <c r="H5841" t="s">
        <v>32848</v>
      </c>
      <c r="I5841" t="s">
        <v>32884</v>
      </c>
      <c r="J5841" t="s">
        <v>34340</v>
      </c>
      <c r="K5841" t="s">
        <v>42730</v>
      </c>
      <c r="M5841" t="s">
        <v>43415</v>
      </c>
      <c r="N5841" t="s">
        <v>47424</v>
      </c>
      <c r="O5841" t="s">
        <v>47425</v>
      </c>
      <c r="P5841">
        <v>0</v>
      </c>
      <c r="Q5841">
        <v>1</v>
      </c>
      <c r="R5841" t="s">
        <v>47430</v>
      </c>
      <c r="S5841" t="s">
        <v>47549</v>
      </c>
      <c r="T5841" t="s">
        <v>49059</v>
      </c>
      <c r="U5841" t="s">
        <v>54607</v>
      </c>
      <c r="V5841" t="s">
        <v>63275</v>
      </c>
      <c r="W5841" t="s">
        <v>43415</v>
      </c>
      <c r="X5841" t="s">
        <v>47431</v>
      </c>
    </row>
    <row r="5842" spans="1:24">
      <c r="A5842">
        <f>HYPERLINK("https://www.philgeps.gov.ph/GEPSNONPILOT/Tender/SplashBidNoticeAbstractUI.aspx?menuIndex=3&amp;refID=7161687&amp;Result=3","7161687")</f>
        <v>0</v>
      </c>
      <c r="B5842" t="s">
        <v>2130</v>
      </c>
      <c r="C5842" t="s">
        <v>9416</v>
      </c>
      <c r="D5842" t="s">
        <v>19017</v>
      </c>
      <c r="E5842" t="s">
        <v>24211</v>
      </c>
      <c r="F5842" t="s">
        <v>32831</v>
      </c>
      <c r="G5842" t="s">
        <v>32840</v>
      </c>
      <c r="H5842" t="s">
        <v>32848</v>
      </c>
      <c r="I5842" t="s">
        <v>32931</v>
      </c>
      <c r="J5842" t="s">
        <v>36707</v>
      </c>
      <c r="K5842" t="s">
        <v>42727</v>
      </c>
      <c r="M5842" t="s">
        <v>45305</v>
      </c>
      <c r="N5842" t="s">
        <v>47424</v>
      </c>
      <c r="O5842" t="s">
        <v>47425</v>
      </c>
      <c r="P5842">
        <v>0</v>
      </c>
      <c r="Q5842">
        <v>9</v>
      </c>
      <c r="R5842" t="s">
        <v>47430</v>
      </c>
      <c r="S5842" t="s">
        <v>47549</v>
      </c>
      <c r="T5842" t="s">
        <v>49212</v>
      </c>
      <c r="U5842" t="s">
        <v>54608</v>
      </c>
      <c r="V5842" t="s">
        <v>63276</v>
      </c>
      <c r="W5842" t="s">
        <v>45305</v>
      </c>
      <c r="X5842" t="s">
        <v>47431</v>
      </c>
    </row>
    <row r="5843" spans="1:24">
      <c r="A5843">
        <f>HYPERLINK("https://www.philgeps.gov.ph/GEPSNONPILOT/Tender/SplashBidNoticeAbstractUI.aspx?menuIndex=3&amp;refID=7161686&amp;Result=3","7161686")</f>
        <v>0</v>
      </c>
      <c r="B5843" t="s">
        <v>1620</v>
      </c>
      <c r="C5843" t="s">
        <v>9417</v>
      </c>
      <c r="D5843" t="s">
        <v>19017</v>
      </c>
      <c r="E5843" t="s">
        <v>24212</v>
      </c>
      <c r="F5843" t="s">
        <v>32831</v>
      </c>
      <c r="G5843" t="s">
        <v>32839</v>
      </c>
      <c r="H5843" t="s">
        <v>32848</v>
      </c>
      <c r="I5843" t="s">
        <v>4438</v>
      </c>
      <c r="J5843" t="s">
        <v>36708</v>
      </c>
      <c r="K5843" t="s">
        <v>42726</v>
      </c>
      <c r="M5843" t="s">
        <v>44736</v>
      </c>
      <c r="N5843" t="s">
        <v>47424</v>
      </c>
      <c r="O5843" t="s">
        <v>47425</v>
      </c>
      <c r="P5843">
        <v>0</v>
      </c>
      <c r="Q5843">
        <v>4</v>
      </c>
      <c r="R5843" t="s">
        <v>47430</v>
      </c>
      <c r="S5843" t="s">
        <v>47549</v>
      </c>
      <c r="T5843" t="s">
        <v>49123</v>
      </c>
      <c r="U5843" t="s">
        <v>54609</v>
      </c>
      <c r="V5843" t="s">
        <v>63064</v>
      </c>
      <c r="W5843" t="s">
        <v>44736</v>
      </c>
      <c r="X5843" t="s">
        <v>47431</v>
      </c>
    </row>
    <row r="5844" spans="1:24">
      <c r="A5844">
        <f>HYPERLINK("https://www.philgeps.gov.ph/GEPSNONPILOT/Tender/SplashBidNoticeAbstractUI.aspx?menuIndex=3&amp;refID=7161673&amp;Result=3","7161673")</f>
        <v>0</v>
      </c>
      <c r="B5844" t="s">
        <v>1555</v>
      </c>
      <c r="C5844" t="s">
        <v>9418</v>
      </c>
      <c r="D5844" t="s">
        <v>19083</v>
      </c>
      <c r="E5844" t="s">
        <v>24213</v>
      </c>
      <c r="F5844" t="s">
        <v>32831</v>
      </c>
      <c r="G5844" t="s">
        <v>32838</v>
      </c>
      <c r="H5844" t="s">
        <v>32848</v>
      </c>
      <c r="I5844" t="s">
        <v>32864</v>
      </c>
      <c r="J5844" t="s">
        <v>36709</v>
      </c>
      <c r="K5844" t="s">
        <v>42742</v>
      </c>
      <c r="M5844" t="s">
        <v>44662</v>
      </c>
      <c r="N5844" t="s">
        <v>47424</v>
      </c>
      <c r="O5844" t="s">
        <v>47425</v>
      </c>
      <c r="P5844">
        <v>0</v>
      </c>
      <c r="Q5844">
        <v>10</v>
      </c>
      <c r="R5844" t="s">
        <v>47430</v>
      </c>
      <c r="S5844" t="s">
        <v>47549</v>
      </c>
      <c r="T5844" t="s">
        <v>49111</v>
      </c>
      <c r="U5844" t="s">
        <v>54610</v>
      </c>
      <c r="V5844" t="s">
        <v>63277</v>
      </c>
      <c r="W5844" t="s">
        <v>44662</v>
      </c>
      <c r="X5844" t="s">
        <v>47431</v>
      </c>
    </row>
    <row r="5845" spans="1:24">
      <c r="A5845">
        <f>HYPERLINK("https://www.philgeps.gov.ph/GEPSNONPILOT/Tender/SplashBidNoticeAbstractUI.aspx?menuIndex=3&amp;refID=7161683&amp;Result=3","7161683")</f>
        <v>0</v>
      </c>
      <c r="B5845" t="s">
        <v>832</v>
      </c>
      <c r="C5845" t="s">
        <v>9419</v>
      </c>
      <c r="D5845" t="s">
        <v>19101</v>
      </c>
      <c r="E5845" t="s">
        <v>24214</v>
      </c>
      <c r="F5845" t="s">
        <v>32831</v>
      </c>
      <c r="G5845" t="s">
        <v>32839</v>
      </c>
      <c r="H5845" t="s">
        <v>32848</v>
      </c>
      <c r="I5845" t="s">
        <v>32925</v>
      </c>
      <c r="J5845" t="s">
        <v>33055</v>
      </c>
      <c r="K5845" t="s">
        <v>42763</v>
      </c>
      <c r="M5845" t="s">
        <v>44445</v>
      </c>
      <c r="N5845" t="s">
        <v>47424</v>
      </c>
      <c r="O5845" t="s">
        <v>47425</v>
      </c>
      <c r="P5845">
        <v>0</v>
      </c>
      <c r="Q5845">
        <v>7</v>
      </c>
      <c r="R5845" t="s">
        <v>47430</v>
      </c>
      <c r="S5845" t="s">
        <v>47549</v>
      </c>
      <c r="T5845" t="s">
        <v>49334</v>
      </c>
      <c r="U5845" t="s">
        <v>54611</v>
      </c>
      <c r="V5845" t="s">
        <v>63278</v>
      </c>
      <c r="W5845" t="s">
        <v>44445</v>
      </c>
      <c r="X5845" t="s">
        <v>47431</v>
      </c>
    </row>
    <row r="5846" spans="1:24">
      <c r="A5846">
        <f>HYPERLINK("https://www.philgeps.gov.ph/GEPSNONPILOT/Tender/SplashBidNoticeAbstractUI.aspx?menuIndex=3&amp;refID=7161652&amp;Result=3","7161652")</f>
        <v>0</v>
      </c>
      <c r="B5846" t="s">
        <v>2130</v>
      </c>
      <c r="C5846" t="s">
        <v>9420</v>
      </c>
      <c r="D5846" t="s">
        <v>19017</v>
      </c>
      <c r="E5846" t="s">
        <v>24215</v>
      </c>
      <c r="F5846" t="s">
        <v>32831</v>
      </c>
      <c r="G5846" t="s">
        <v>32840</v>
      </c>
      <c r="H5846" t="s">
        <v>32848</v>
      </c>
      <c r="I5846" t="s">
        <v>4776</v>
      </c>
      <c r="J5846" t="s">
        <v>34129</v>
      </c>
      <c r="K5846" t="s">
        <v>42727</v>
      </c>
      <c r="M5846" t="s">
        <v>45305</v>
      </c>
      <c r="N5846" t="s">
        <v>47424</v>
      </c>
      <c r="O5846" t="s">
        <v>47425</v>
      </c>
      <c r="P5846">
        <v>0</v>
      </c>
      <c r="Q5846">
        <v>8</v>
      </c>
      <c r="R5846" t="s">
        <v>47430</v>
      </c>
      <c r="S5846" t="s">
        <v>47549</v>
      </c>
      <c r="T5846" t="s">
        <v>49212</v>
      </c>
      <c r="U5846" t="s">
        <v>54612</v>
      </c>
      <c r="V5846" t="s">
        <v>63279</v>
      </c>
      <c r="W5846" t="s">
        <v>45305</v>
      </c>
      <c r="X5846" t="s">
        <v>47431</v>
      </c>
    </row>
    <row r="5847" spans="1:24">
      <c r="A5847">
        <f>HYPERLINK("https://www.philgeps.gov.ph/GEPSNONPILOT/Tender/SplashBidNoticeAbstractUI.aspx?menuIndex=3&amp;refID=7161688&amp;Result=3","7161688")</f>
        <v>0</v>
      </c>
      <c r="B5847" t="s">
        <v>1543</v>
      </c>
      <c r="C5847" t="s">
        <v>9421</v>
      </c>
      <c r="D5847" t="s">
        <v>19104</v>
      </c>
      <c r="E5847" t="s">
        <v>24216</v>
      </c>
      <c r="F5847" t="s">
        <v>32831</v>
      </c>
      <c r="G5847" t="s">
        <v>32839</v>
      </c>
      <c r="H5847" t="s">
        <v>32849</v>
      </c>
      <c r="I5847" t="s">
        <v>4177</v>
      </c>
      <c r="J5847" t="s">
        <v>33087</v>
      </c>
      <c r="K5847" t="s">
        <v>42727</v>
      </c>
      <c r="M5847" t="s">
        <v>44647</v>
      </c>
      <c r="N5847" t="s">
        <v>47424</v>
      </c>
      <c r="O5847" t="s">
        <v>47425</v>
      </c>
      <c r="P5847">
        <v>0</v>
      </c>
      <c r="Q5847">
        <v>0</v>
      </c>
      <c r="R5847" t="s">
        <v>47430</v>
      </c>
      <c r="S5847" t="s">
        <v>47549</v>
      </c>
      <c r="T5847" t="s">
        <v>49301</v>
      </c>
      <c r="U5847" t="s">
        <v>54613</v>
      </c>
      <c r="V5847" t="s">
        <v>63280</v>
      </c>
      <c r="W5847" t="s">
        <v>44647</v>
      </c>
      <c r="X5847" t="s">
        <v>47431</v>
      </c>
    </row>
    <row r="5848" spans="1:24">
      <c r="A5848">
        <f>HYPERLINK("https://www.philgeps.gov.ph/GEPSNONPILOT/Tender/SplashBidNoticeAbstractUI.aspx?menuIndex=3&amp;refID=7161676&amp;Result=3","7161676")</f>
        <v>0</v>
      </c>
      <c r="B5848" t="s">
        <v>2125</v>
      </c>
      <c r="C5848" t="s">
        <v>9422</v>
      </c>
      <c r="D5848" t="s">
        <v>19027</v>
      </c>
      <c r="E5848" t="s">
        <v>24217</v>
      </c>
      <c r="F5848" t="s">
        <v>32831</v>
      </c>
      <c r="G5848" t="s">
        <v>32838</v>
      </c>
      <c r="H5848" t="s">
        <v>32848</v>
      </c>
      <c r="I5848" t="s">
        <v>32855</v>
      </c>
      <c r="J5848" t="s">
        <v>36710</v>
      </c>
      <c r="K5848" t="s">
        <v>42730</v>
      </c>
      <c r="M5848" t="s">
        <v>45300</v>
      </c>
      <c r="N5848" t="s">
        <v>47424</v>
      </c>
      <c r="O5848" t="s">
        <v>47425</v>
      </c>
      <c r="P5848">
        <v>0</v>
      </c>
      <c r="Q5848">
        <v>11</v>
      </c>
      <c r="R5848" t="s">
        <v>47430</v>
      </c>
      <c r="S5848" t="s">
        <v>47549</v>
      </c>
      <c r="T5848" t="s">
        <v>49150</v>
      </c>
      <c r="U5848" t="s">
        <v>54614</v>
      </c>
      <c r="W5848" t="s">
        <v>64501</v>
      </c>
      <c r="X5848" t="s">
        <v>47431</v>
      </c>
    </row>
    <row r="5849" spans="1:24">
      <c r="A5849">
        <f>HYPERLINK("https://www.philgeps.gov.ph/GEPSNONPILOT/Tender/SplashBidNoticeAbstractUI.aspx?menuIndex=3&amp;refID=7161640&amp;Result=3","7161640")</f>
        <v>0</v>
      </c>
      <c r="B5849" t="s">
        <v>2113</v>
      </c>
      <c r="C5849" t="s">
        <v>9423</v>
      </c>
      <c r="D5849" t="s">
        <v>19017</v>
      </c>
      <c r="E5849" t="s">
        <v>24218</v>
      </c>
      <c r="F5849" t="s">
        <v>32831</v>
      </c>
      <c r="G5849" t="s">
        <v>32839</v>
      </c>
      <c r="H5849" t="s">
        <v>32849</v>
      </c>
      <c r="I5849" t="s">
        <v>4177</v>
      </c>
      <c r="J5849" t="s">
        <v>36711</v>
      </c>
      <c r="K5849" t="s">
        <v>42780</v>
      </c>
      <c r="M5849" t="s">
        <v>45287</v>
      </c>
      <c r="N5849" t="s">
        <v>47424</v>
      </c>
      <c r="O5849" t="s">
        <v>47425</v>
      </c>
      <c r="P5849">
        <v>0</v>
      </c>
      <c r="Q5849">
        <v>8</v>
      </c>
      <c r="R5849" t="s">
        <v>47430</v>
      </c>
      <c r="S5849" t="s">
        <v>47549</v>
      </c>
      <c r="T5849" t="s">
        <v>49291</v>
      </c>
      <c r="U5849" t="s">
        <v>54615</v>
      </c>
      <c r="W5849" t="s">
        <v>45287</v>
      </c>
      <c r="X5849" t="s">
        <v>47431</v>
      </c>
    </row>
    <row r="5850" spans="1:24">
      <c r="A5850">
        <f>HYPERLINK("https://www.philgeps.gov.ph/GEPSNONPILOT/Tender/SplashBidNoticeAbstractUI.aspx?menuIndex=3&amp;refID=7161681&amp;Result=3","7161681")</f>
        <v>0</v>
      </c>
      <c r="B5850" t="s">
        <v>2131</v>
      </c>
      <c r="C5850" t="s">
        <v>9424</v>
      </c>
      <c r="D5850" t="s">
        <v>19027</v>
      </c>
      <c r="E5850" t="s">
        <v>24219</v>
      </c>
      <c r="F5850" t="s">
        <v>32831</v>
      </c>
      <c r="G5850" t="s">
        <v>32838</v>
      </c>
      <c r="H5850" t="s">
        <v>32849</v>
      </c>
      <c r="I5850" t="s">
        <v>7416</v>
      </c>
      <c r="J5850" t="s">
        <v>33771</v>
      </c>
      <c r="K5850" t="s">
        <v>42759</v>
      </c>
      <c r="M5850" t="s">
        <v>45306</v>
      </c>
      <c r="N5850" t="s">
        <v>47424</v>
      </c>
      <c r="O5850" t="s">
        <v>47425</v>
      </c>
      <c r="P5850">
        <v>0</v>
      </c>
      <c r="Q5850">
        <v>0</v>
      </c>
      <c r="R5850" t="s">
        <v>47430</v>
      </c>
      <c r="S5850" t="s">
        <v>47549</v>
      </c>
      <c r="T5850" t="s">
        <v>49438</v>
      </c>
      <c r="U5850" t="s">
        <v>54616</v>
      </c>
      <c r="W5850" t="s">
        <v>45306</v>
      </c>
      <c r="X5850" t="s">
        <v>47431</v>
      </c>
    </row>
    <row r="5851" spans="1:24">
      <c r="A5851">
        <f>HYPERLINK("https://www.philgeps.gov.ph/GEPSNONPILOT/Tender/SplashBidNoticeAbstractUI.aspx?menuIndex=3&amp;refID=7161650&amp;Result=3","7161650")</f>
        <v>0</v>
      </c>
      <c r="B5851" t="s">
        <v>338</v>
      </c>
      <c r="C5851" t="s">
        <v>9425</v>
      </c>
      <c r="D5851" t="s">
        <v>19019</v>
      </c>
      <c r="E5851" t="s">
        <v>21710</v>
      </c>
      <c r="F5851" t="s">
        <v>32831</v>
      </c>
      <c r="G5851" t="s">
        <v>32842</v>
      </c>
      <c r="H5851" t="s">
        <v>32848</v>
      </c>
      <c r="I5851" t="s">
        <v>32857</v>
      </c>
      <c r="J5851" t="s">
        <v>36453</v>
      </c>
      <c r="K5851" t="s">
        <v>42758</v>
      </c>
      <c r="M5851" t="s">
        <v>45307</v>
      </c>
      <c r="N5851" t="s">
        <v>47424</v>
      </c>
      <c r="O5851" t="s">
        <v>47425</v>
      </c>
      <c r="P5851">
        <v>0</v>
      </c>
      <c r="Q5851">
        <v>2</v>
      </c>
      <c r="R5851" t="s">
        <v>47430</v>
      </c>
      <c r="S5851" t="s">
        <v>47549</v>
      </c>
      <c r="T5851" t="s">
        <v>49145</v>
      </c>
      <c r="U5851" t="s">
        <v>54617</v>
      </c>
      <c r="W5851" t="s">
        <v>45307</v>
      </c>
      <c r="X5851" t="s">
        <v>47431</v>
      </c>
    </row>
    <row r="5852" spans="1:24">
      <c r="A5852">
        <f>HYPERLINK("https://www.philgeps.gov.ph/GEPSNONPILOT/Tender/SplashBidNoticeAbstractUI.aspx?menuIndex=3&amp;refID=7161677&amp;Result=3","7161677")</f>
        <v>0</v>
      </c>
      <c r="B5852" t="s">
        <v>72</v>
      </c>
      <c r="C5852" t="s">
        <v>9426</v>
      </c>
      <c r="D5852" t="s">
        <v>19027</v>
      </c>
      <c r="E5852" t="s">
        <v>24220</v>
      </c>
      <c r="F5852" t="s">
        <v>32831</v>
      </c>
      <c r="G5852" t="s">
        <v>32839</v>
      </c>
      <c r="H5852" t="s">
        <v>32849</v>
      </c>
      <c r="I5852" t="s">
        <v>4177</v>
      </c>
      <c r="J5852" t="s">
        <v>36712</v>
      </c>
      <c r="K5852" t="s">
        <v>42770</v>
      </c>
      <c r="M5852" t="s">
        <v>43069</v>
      </c>
      <c r="N5852" t="s">
        <v>47424</v>
      </c>
      <c r="O5852" t="s">
        <v>47425</v>
      </c>
      <c r="P5852">
        <v>0</v>
      </c>
      <c r="Q5852">
        <v>5</v>
      </c>
      <c r="R5852" t="s">
        <v>47430</v>
      </c>
      <c r="S5852" t="s">
        <v>47549</v>
      </c>
      <c r="T5852" t="s">
        <v>49154</v>
      </c>
      <c r="U5852" t="s">
        <v>54618</v>
      </c>
      <c r="W5852" t="s">
        <v>64485</v>
      </c>
      <c r="X5852" t="s">
        <v>47431</v>
      </c>
    </row>
    <row r="5853" spans="1:24">
      <c r="A5853">
        <f>HYPERLINK("https://www.philgeps.gov.ph/GEPSNONPILOT/Tender/SplashBidNoticeAbstractUI.aspx?menuIndex=3&amp;refID=7161669&amp;Result=3","7161669")</f>
        <v>0</v>
      </c>
      <c r="B5853" t="s">
        <v>1620</v>
      </c>
      <c r="C5853" t="s">
        <v>9427</v>
      </c>
      <c r="D5853" t="s">
        <v>19017</v>
      </c>
      <c r="E5853" t="s">
        <v>24221</v>
      </c>
      <c r="F5853" t="s">
        <v>32831</v>
      </c>
      <c r="G5853" t="s">
        <v>32839</v>
      </c>
      <c r="H5853" t="s">
        <v>32848</v>
      </c>
      <c r="I5853" t="s">
        <v>4303</v>
      </c>
      <c r="J5853" t="s">
        <v>32983</v>
      </c>
      <c r="K5853" t="s">
        <v>42726</v>
      </c>
      <c r="M5853" t="s">
        <v>44736</v>
      </c>
      <c r="N5853" t="s">
        <v>47424</v>
      </c>
      <c r="O5853" t="s">
        <v>47425</v>
      </c>
      <c r="P5853">
        <v>0</v>
      </c>
      <c r="Q5853">
        <v>4</v>
      </c>
      <c r="R5853" t="s">
        <v>47430</v>
      </c>
      <c r="S5853" t="s">
        <v>47549</v>
      </c>
      <c r="T5853" t="s">
        <v>49439</v>
      </c>
      <c r="U5853" t="s">
        <v>54619</v>
      </c>
      <c r="V5853" t="s">
        <v>63064</v>
      </c>
      <c r="W5853" t="s">
        <v>44736</v>
      </c>
      <c r="X5853" t="s">
        <v>47431</v>
      </c>
    </row>
    <row r="5854" spans="1:24">
      <c r="A5854">
        <f>HYPERLINK("https://www.philgeps.gov.ph/GEPSNONPILOT/Tender/SplashBidNoticeAbstractUI.aspx?menuIndex=3&amp;refID=7161667&amp;Result=3","7161667")</f>
        <v>0</v>
      </c>
      <c r="B5854" t="s">
        <v>410</v>
      </c>
      <c r="C5854" t="s">
        <v>9428</v>
      </c>
      <c r="D5854" t="s">
        <v>19031</v>
      </c>
      <c r="E5854" t="s">
        <v>24222</v>
      </c>
      <c r="F5854" t="s">
        <v>32831</v>
      </c>
      <c r="G5854" t="s">
        <v>32838</v>
      </c>
      <c r="H5854" t="s">
        <v>32848</v>
      </c>
      <c r="I5854" t="s">
        <v>4776</v>
      </c>
      <c r="J5854" t="s">
        <v>36713</v>
      </c>
      <c r="K5854" t="s">
        <v>42730</v>
      </c>
      <c r="M5854" t="s">
        <v>43415</v>
      </c>
      <c r="N5854" t="s">
        <v>47424</v>
      </c>
      <c r="O5854" t="s">
        <v>47425</v>
      </c>
      <c r="P5854">
        <v>0</v>
      </c>
      <c r="Q5854">
        <v>1</v>
      </c>
      <c r="R5854" t="s">
        <v>47430</v>
      </c>
      <c r="S5854" t="s">
        <v>47549</v>
      </c>
      <c r="T5854" t="s">
        <v>49059</v>
      </c>
      <c r="U5854" t="s">
        <v>54620</v>
      </c>
      <c r="V5854" t="s">
        <v>63281</v>
      </c>
      <c r="W5854" t="s">
        <v>43415</v>
      </c>
      <c r="X5854" t="s">
        <v>47431</v>
      </c>
    </row>
    <row r="5855" spans="1:24">
      <c r="A5855">
        <f>HYPERLINK("https://www.philgeps.gov.ph/GEPSNONPILOT/Tender/SplashBidNoticeAbstractUI.aspx?menuIndex=3&amp;refID=7161665&amp;Result=3","7161665")</f>
        <v>0</v>
      </c>
      <c r="B5855" t="s">
        <v>410</v>
      </c>
      <c r="C5855" t="s">
        <v>9429</v>
      </c>
      <c r="D5855" t="s">
        <v>19031</v>
      </c>
      <c r="E5855" t="s">
        <v>24223</v>
      </c>
      <c r="F5855" t="s">
        <v>32831</v>
      </c>
      <c r="G5855" t="s">
        <v>32838</v>
      </c>
      <c r="H5855" t="s">
        <v>32848</v>
      </c>
      <c r="I5855" t="s">
        <v>4776</v>
      </c>
      <c r="J5855" t="s">
        <v>33657</v>
      </c>
      <c r="K5855" t="s">
        <v>42730</v>
      </c>
      <c r="M5855" t="s">
        <v>43415</v>
      </c>
      <c r="N5855" t="s">
        <v>47424</v>
      </c>
      <c r="O5855" t="s">
        <v>47425</v>
      </c>
      <c r="P5855">
        <v>0</v>
      </c>
      <c r="Q5855">
        <v>2</v>
      </c>
      <c r="R5855" t="s">
        <v>47430</v>
      </c>
      <c r="S5855" t="s">
        <v>47549</v>
      </c>
      <c r="T5855" t="s">
        <v>49059</v>
      </c>
      <c r="U5855" t="s">
        <v>54621</v>
      </c>
      <c r="V5855" t="s">
        <v>63282</v>
      </c>
      <c r="W5855" t="s">
        <v>43415</v>
      </c>
      <c r="X5855" t="s">
        <v>47431</v>
      </c>
    </row>
    <row r="5856" spans="1:24">
      <c r="A5856">
        <f>HYPERLINK("https://www.philgeps.gov.ph/GEPSNONPILOT/Tender/SplashBidNoticeAbstractUI.aspx?menuIndex=3&amp;refID=7161672&amp;Result=3","7161672")</f>
        <v>0</v>
      </c>
      <c r="B5856" t="s">
        <v>832</v>
      </c>
      <c r="C5856" t="s">
        <v>9430</v>
      </c>
      <c r="D5856" t="s">
        <v>19101</v>
      </c>
      <c r="E5856" t="s">
        <v>24224</v>
      </c>
      <c r="F5856" t="s">
        <v>32831</v>
      </c>
      <c r="G5856" t="s">
        <v>32839</v>
      </c>
      <c r="H5856" t="s">
        <v>32848</v>
      </c>
      <c r="I5856" t="s">
        <v>32925</v>
      </c>
      <c r="J5856" t="s">
        <v>36714</v>
      </c>
      <c r="K5856" t="s">
        <v>42770</v>
      </c>
      <c r="M5856" t="s">
        <v>44445</v>
      </c>
      <c r="N5856" t="s">
        <v>47424</v>
      </c>
      <c r="O5856" t="s">
        <v>47425</v>
      </c>
      <c r="P5856">
        <v>0</v>
      </c>
      <c r="Q5856">
        <v>4</v>
      </c>
      <c r="R5856" t="s">
        <v>47430</v>
      </c>
      <c r="S5856" t="s">
        <v>47549</v>
      </c>
      <c r="T5856" t="s">
        <v>49334</v>
      </c>
      <c r="U5856" t="s">
        <v>54611</v>
      </c>
      <c r="V5856" t="s">
        <v>63231</v>
      </c>
      <c r="W5856" t="s">
        <v>44445</v>
      </c>
      <c r="X5856" t="s">
        <v>47431</v>
      </c>
    </row>
    <row r="5857" spans="1:24">
      <c r="A5857">
        <f>HYPERLINK("https://www.philgeps.gov.ph/GEPSNONPILOT/Tender/SplashBidNoticeAbstractUI.aspx?menuIndex=3&amp;refID=7161664&amp;Result=3","7161664")</f>
        <v>0</v>
      </c>
      <c r="B5857" t="s">
        <v>2131</v>
      </c>
      <c r="C5857" t="s">
        <v>9431</v>
      </c>
      <c r="D5857" t="s">
        <v>19027</v>
      </c>
      <c r="E5857" t="s">
        <v>24075</v>
      </c>
      <c r="F5857" t="s">
        <v>32831</v>
      </c>
      <c r="G5857" t="s">
        <v>32838</v>
      </c>
      <c r="H5857" t="s">
        <v>32848</v>
      </c>
      <c r="I5857" t="s">
        <v>11727</v>
      </c>
      <c r="J5857" t="s">
        <v>33509</v>
      </c>
      <c r="K5857" t="s">
        <v>42759</v>
      </c>
      <c r="M5857" t="s">
        <v>45306</v>
      </c>
      <c r="N5857" t="s">
        <v>47424</v>
      </c>
      <c r="O5857" t="s">
        <v>47425</v>
      </c>
      <c r="P5857">
        <v>0</v>
      </c>
      <c r="Q5857">
        <v>1</v>
      </c>
      <c r="R5857" t="s">
        <v>47430</v>
      </c>
      <c r="S5857" t="s">
        <v>47549</v>
      </c>
      <c r="T5857" t="s">
        <v>49440</v>
      </c>
      <c r="U5857" t="s">
        <v>54622</v>
      </c>
      <c r="W5857" t="s">
        <v>45306</v>
      </c>
      <c r="X5857" t="s">
        <v>47431</v>
      </c>
    </row>
    <row r="5858" spans="1:24">
      <c r="A5858">
        <f>HYPERLINK("https://www.philgeps.gov.ph/GEPSNONPILOT/Tender/SplashBidNoticeAbstractUI.aspx?menuIndex=3&amp;refID=7161671&amp;Result=3","7161671")</f>
        <v>0</v>
      </c>
      <c r="B5858" t="s">
        <v>188</v>
      </c>
      <c r="C5858" t="s">
        <v>9432</v>
      </c>
      <c r="D5858" t="s">
        <v>19035</v>
      </c>
      <c r="E5858" t="s">
        <v>24225</v>
      </c>
      <c r="F5858" t="s">
        <v>32831</v>
      </c>
      <c r="G5858" t="s">
        <v>32839</v>
      </c>
      <c r="H5858" t="s">
        <v>32848</v>
      </c>
      <c r="I5858" t="s">
        <v>32949</v>
      </c>
      <c r="J5858" t="s">
        <v>33528</v>
      </c>
      <c r="K5858" t="s">
        <v>42747</v>
      </c>
      <c r="M5858" t="s">
        <v>43186</v>
      </c>
      <c r="N5858" t="s">
        <v>47424</v>
      </c>
      <c r="O5858" t="s">
        <v>47425</v>
      </c>
      <c r="P5858">
        <v>0</v>
      </c>
      <c r="Q5858">
        <v>1</v>
      </c>
      <c r="R5858" t="s">
        <v>47430</v>
      </c>
      <c r="S5858" t="s">
        <v>47549</v>
      </c>
      <c r="T5858" t="s">
        <v>49236</v>
      </c>
      <c r="U5858" t="s">
        <v>54623</v>
      </c>
      <c r="V5858" t="s">
        <v>63283</v>
      </c>
      <c r="W5858" t="s">
        <v>43186</v>
      </c>
      <c r="X5858" t="s">
        <v>47431</v>
      </c>
    </row>
    <row r="5859" spans="1:24">
      <c r="A5859">
        <f>HYPERLINK("https://www.philgeps.gov.ph/GEPSNONPILOT/Tender/SplashBidNoticeAbstractUI.aspx?menuIndex=3&amp;refID=7161668&amp;Result=3","7161668")</f>
        <v>0</v>
      </c>
      <c r="B5859" t="s">
        <v>387</v>
      </c>
      <c r="C5859" t="s">
        <v>9433</v>
      </c>
      <c r="D5859" t="s">
        <v>19045</v>
      </c>
      <c r="E5859" t="s">
        <v>19311</v>
      </c>
      <c r="F5859" t="s">
        <v>32831</v>
      </c>
      <c r="G5859" t="s">
        <v>32838</v>
      </c>
      <c r="H5859" t="s">
        <v>32848</v>
      </c>
      <c r="I5859" t="s">
        <v>4303</v>
      </c>
      <c r="J5859" t="s">
        <v>36715</v>
      </c>
      <c r="K5859" t="s">
        <v>42727</v>
      </c>
      <c r="M5859" t="s">
        <v>43391</v>
      </c>
      <c r="N5859" t="s">
        <v>47424</v>
      </c>
      <c r="O5859" t="s">
        <v>47425</v>
      </c>
      <c r="P5859">
        <v>0</v>
      </c>
      <c r="Q5859">
        <v>0</v>
      </c>
      <c r="R5859" t="s">
        <v>47430</v>
      </c>
      <c r="S5859" t="s">
        <v>47549</v>
      </c>
      <c r="T5859" t="s">
        <v>49114</v>
      </c>
      <c r="U5859" t="s">
        <v>54624</v>
      </c>
      <c r="W5859" t="s">
        <v>43391</v>
      </c>
      <c r="X5859" t="s">
        <v>47431</v>
      </c>
    </row>
    <row r="5860" spans="1:24">
      <c r="A5860">
        <f>HYPERLINK("https://www.philgeps.gov.ph/GEPSNONPILOT/Tender/SplashBidNoticeAbstractUI.aspx?menuIndex=3&amp;refID=7161722&amp;Result=3","7161722")</f>
        <v>0</v>
      </c>
      <c r="B5860" t="s">
        <v>799</v>
      </c>
      <c r="C5860" t="s">
        <v>9434</v>
      </c>
      <c r="D5860" t="s">
        <v>19042</v>
      </c>
      <c r="E5860" t="s">
        <v>24226</v>
      </c>
      <c r="F5860" t="s">
        <v>32831</v>
      </c>
      <c r="G5860" t="s">
        <v>32838</v>
      </c>
      <c r="H5860" t="s">
        <v>32848</v>
      </c>
      <c r="I5860" t="s">
        <v>32864</v>
      </c>
      <c r="J5860" t="s">
        <v>36716</v>
      </c>
      <c r="K5860" t="s">
        <v>42732</v>
      </c>
      <c r="M5860" t="s">
        <v>43829</v>
      </c>
      <c r="N5860" t="s">
        <v>47424</v>
      </c>
      <c r="O5860" t="s">
        <v>47425</v>
      </c>
      <c r="Q5860">
        <v>5</v>
      </c>
      <c r="R5860" t="s">
        <v>47430</v>
      </c>
      <c r="S5860" t="s">
        <v>47563</v>
      </c>
      <c r="T5860" t="s">
        <v>49127</v>
      </c>
      <c r="U5860" t="s">
        <v>54625</v>
      </c>
      <c r="W5860" t="s">
        <v>43829</v>
      </c>
      <c r="X5860" t="s">
        <v>47431</v>
      </c>
    </row>
    <row r="5861" spans="1:24">
      <c r="A5861">
        <f>HYPERLINK("https://www.philgeps.gov.ph/GEPSNONPILOT/Tender/SplashBidNoticeAbstractUI.aspx?menuIndex=3&amp;refID=7161720&amp;Result=3","7161720")</f>
        <v>0</v>
      </c>
      <c r="B5861" t="s">
        <v>2132</v>
      </c>
      <c r="C5861" t="s">
        <v>9435</v>
      </c>
      <c r="D5861" t="s">
        <v>19027</v>
      </c>
      <c r="E5861" t="s">
        <v>19343</v>
      </c>
      <c r="F5861" t="s">
        <v>32831</v>
      </c>
      <c r="G5861" t="s">
        <v>32841</v>
      </c>
      <c r="H5861" t="s">
        <v>32848</v>
      </c>
      <c r="I5861" t="s">
        <v>9577</v>
      </c>
      <c r="J5861" t="s">
        <v>33970</v>
      </c>
      <c r="K5861" t="s">
        <v>42758</v>
      </c>
      <c r="M5861" t="s">
        <v>45308</v>
      </c>
      <c r="N5861" t="s">
        <v>47424</v>
      </c>
      <c r="O5861" t="s">
        <v>47425</v>
      </c>
      <c r="P5861">
        <v>0</v>
      </c>
      <c r="Q5861">
        <v>1</v>
      </c>
      <c r="R5861" t="s">
        <v>47430</v>
      </c>
      <c r="S5861" t="s">
        <v>47549</v>
      </c>
      <c r="T5861" t="s">
        <v>49125</v>
      </c>
      <c r="U5861" t="s">
        <v>54626</v>
      </c>
      <c r="W5861" t="s">
        <v>45308</v>
      </c>
      <c r="X5861" t="s">
        <v>47431</v>
      </c>
    </row>
    <row r="5862" spans="1:24">
      <c r="A5862">
        <f>HYPERLINK("https://www.philgeps.gov.ph/GEPSNONPILOT/Tender/SplashBidNoticeAbstractUI.aspx?menuIndex=3&amp;refID=7161674&amp;Result=3","7161674")</f>
        <v>0</v>
      </c>
      <c r="B5862" t="s">
        <v>2133</v>
      </c>
      <c r="C5862" t="s">
        <v>9436</v>
      </c>
      <c r="D5862" t="s">
        <v>19077</v>
      </c>
      <c r="E5862" t="s">
        <v>24227</v>
      </c>
      <c r="F5862" t="s">
        <v>32831</v>
      </c>
      <c r="G5862" t="s">
        <v>32839</v>
      </c>
      <c r="H5862" t="s">
        <v>32848</v>
      </c>
      <c r="I5862" t="s">
        <v>7751</v>
      </c>
      <c r="J5862" t="s">
        <v>33016</v>
      </c>
      <c r="K5862" t="s">
        <v>42730</v>
      </c>
      <c r="M5862" t="s">
        <v>45309</v>
      </c>
      <c r="N5862" t="s">
        <v>47424</v>
      </c>
      <c r="O5862" t="s">
        <v>47425</v>
      </c>
      <c r="P5862">
        <v>0</v>
      </c>
      <c r="Q5862">
        <v>1</v>
      </c>
      <c r="R5862" t="s">
        <v>47430</v>
      </c>
      <c r="S5862" t="s">
        <v>47549</v>
      </c>
      <c r="T5862" t="s">
        <v>49088</v>
      </c>
      <c r="U5862" t="s">
        <v>54627</v>
      </c>
      <c r="W5862" t="s">
        <v>45309</v>
      </c>
      <c r="X5862" t="s">
        <v>47431</v>
      </c>
    </row>
    <row r="5863" spans="1:24">
      <c r="A5863">
        <f>HYPERLINK("https://www.philgeps.gov.ph/GEPSNONPILOT/Tender/SplashBidNoticeAbstractUI.aspx?menuIndex=3&amp;refID=7161718&amp;Result=3","7161718")</f>
        <v>0</v>
      </c>
      <c r="B5863" t="s">
        <v>584</v>
      </c>
      <c r="C5863" t="s">
        <v>9437</v>
      </c>
      <c r="E5863" t="s">
        <v>24228</v>
      </c>
      <c r="F5863" t="s">
        <v>32831</v>
      </c>
      <c r="G5863" t="s">
        <v>32839</v>
      </c>
      <c r="H5863" t="s">
        <v>32848</v>
      </c>
      <c r="I5863" t="s">
        <v>4487</v>
      </c>
      <c r="J5863" t="s">
        <v>34447</v>
      </c>
      <c r="K5863" t="s">
        <v>42886</v>
      </c>
      <c r="M5863" t="s">
        <v>45310</v>
      </c>
      <c r="N5863" t="s">
        <v>47424</v>
      </c>
      <c r="O5863" t="s">
        <v>47425</v>
      </c>
      <c r="P5863">
        <v>0</v>
      </c>
      <c r="Q5863">
        <v>13</v>
      </c>
      <c r="R5863" t="s">
        <v>47430</v>
      </c>
      <c r="S5863" t="s">
        <v>47549</v>
      </c>
      <c r="T5863" t="s">
        <v>49319</v>
      </c>
      <c r="U5863" t="s">
        <v>54628</v>
      </c>
      <c r="W5863" t="s">
        <v>45310</v>
      </c>
      <c r="X5863" t="s">
        <v>47431</v>
      </c>
    </row>
    <row r="5864" spans="1:24">
      <c r="A5864">
        <f>HYPERLINK("https://www.philgeps.gov.ph/GEPSNONPILOT/Tender/SplashBidNoticeAbstractUI.aspx?menuIndex=3&amp;refID=7161717&amp;Result=3","7161717")</f>
        <v>0</v>
      </c>
      <c r="B5864" t="s">
        <v>1620</v>
      </c>
      <c r="C5864" t="s">
        <v>9438</v>
      </c>
      <c r="D5864" t="s">
        <v>19017</v>
      </c>
      <c r="E5864" t="s">
        <v>24229</v>
      </c>
      <c r="F5864" t="s">
        <v>32831</v>
      </c>
      <c r="G5864" t="s">
        <v>32839</v>
      </c>
      <c r="H5864" t="s">
        <v>32848</v>
      </c>
      <c r="I5864" t="s">
        <v>4222</v>
      </c>
      <c r="J5864" t="s">
        <v>33087</v>
      </c>
      <c r="K5864" t="s">
        <v>42726</v>
      </c>
      <c r="M5864" t="s">
        <v>44736</v>
      </c>
      <c r="N5864" t="s">
        <v>47424</v>
      </c>
      <c r="O5864" t="s">
        <v>47425</v>
      </c>
      <c r="P5864">
        <v>0</v>
      </c>
      <c r="Q5864">
        <v>2</v>
      </c>
      <c r="R5864" t="s">
        <v>47430</v>
      </c>
      <c r="S5864" t="s">
        <v>47549</v>
      </c>
      <c r="T5864" t="s">
        <v>49123</v>
      </c>
      <c r="U5864" t="s">
        <v>54629</v>
      </c>
      <c r="V5864" t="s">
        <v>63064</v>
      </c>
      <c r="W5864" t="s">
        <v>44736</v>
      </c>
      <c r="X5864" t="s">
        <v>47431</v>
      </c>
    </row>
    <row r="5865" spans="1:24">
      <c r="A5865">
        <f>HYPERLINK("https://www.philgeps.gov.ph/GEPSNONPILOT/Tender/SplashBidNoticeAbstractUI.aspx?menuIndex=3&amp;refID=7161709&amp;Result=3","7161709")</f>
        <v>0</v>
      </c>
      <c r="B5865" t="s">
        <v>2065</v>
      </c>
      <c r="C5865" t="s">
        <v>9439</v>
      </c>
      <c r="D5865" t="s">
        <v>19017</v>
      </c>
      <c r="E5865" t="s">
        <v>24230</v>
      </c>
      <c r="F5865" t="s">
        <v>32831</v>
      </c>
      <c r="G5865" t="s">
        <v>32839</v>
      </c>
      <c r="H5865" t="s">
        <v>32848</v>
      </c>
      <c r="I5865" t="s">
        <v>4487</v>
      </c>
      <c r="J5865" t="s">
        <v>36717</v>
      </c>
      <c r="K5865" t="s">
        <v>42830</v>
      </c>
      <c r="M5865" t="s">
        <v>45311</v>
      </c>
      <c r="N5865" t="s">
        <v>47424</v>
      </c>
      <c r="O5865" t="s">
        <v>47425</v>
      </c>
      <c r="Q5865">
        <v>16</v>
      </c>
      <c r="R5865" t="s">
        <v>47430</v>
      </c>
      <c r="S5865" t="s">
        <v>47564</v>
      </c>
      <c r="T5865" t="s">
        <v>49184</v>
      </c>
      <c r="U5865" t="s">
        <v>54630</v>
      </c>
      <c r="V5865" t="s">
        <v>63284</v>
      </c>
      <c r="W5865" t="s">
        <v>45311</v>
      </c>
      <c r="X5865" t="s">
        <v>47431</v>
      </c>
    </row>
    <row r="5866" spans="1:24">
      <c r="A5866">
        <f>HYPERLINK("https://www.philgeps.gov.ph/GEPSNONPILOT/Tender/SplashBidNoticeAbstractUI.aspx?menuIndex=3&amp;refID=7161715&amp;Result=3","7161715")</f>
        <v>0</v>
      </c>
      <c r="B5866" t="s">
        <v>2134</v>
      </c>
      <c r="C5866" t="s">
        <v>9440</v>
      </c>
      <c r="D5866" t="s">
        <v>19075</v>
      </c>
      <c r="E5866" t="s">
        <v>21246</v>
      </c>
      <c r="F5866" t="s">
        <v>32831</v>
      </c>
      <c r="G5866" t="s">
        <v>32840</v>
      </c>
      <c r="H5866" t="s">
        <v>32848</v>
      </c>
      <c r="I5866" t="s">
        <v>32858</v>
      </c>
      <c r="J5866" t="s">
        <v>33007</v>
      </c>
      <c r="K5866" t="s">
        <v>42760</v>
      </c>
      <c r="M5866" t="s">
        <v>45312</v>
      </c>
      <c r="N5866" t="s">
        <v>47424</v>
      </c>
      <c r="O5866" t="s">
        <v>47425</v>
      </c>
      <c r="P5866">
        <v>0</v>
      </c>
      <c r="Q5866">
        <v>1</v>
      </c>
      <c r="R5866" t="s">
        <v>47430</v>
      </c>
      <c r="S5866" t="s">
        <v>47549</v>
      </c>
      <c r="T5866" t="s">
        <v>49061</v>
      </c>
      <c r="U5866" t="s">
        <v>54631</v>
      </c>
      <c r="W5866" t="s">
        <v>45312</v>
      </c>
      <c r="X5866" t="s">
        <v>47431</v>
      </c>
    </row>
    <row r="5867" spans="1:24">
      <c r="A5867">
        <f>HYPERLINK("https://www.philgeps.gov.ph/GEPSNONPILOT/Tender/SplashBidNoticeAbstractUI.aspx?menuIndex=3&amp;refID=7161712&amp;Result=3","7161712")</f>
        <v>0</v>
      </c>
      <c r="B5867" t="s">
        <v>2134</v>
      </c>
      <c r="C5867" t="s">
        <v>9441</v>
      </c>
      <c r="D5867" t="s">
        <v>19075</v>
      </c>
      <c r="E5867" t="s">
        <v>22714</v>
      </c>
      <c r="F5867" t="s">
        <v>32831</v>
      </c>
      <c r="G5867" t="s">
        <v>32840</v>
      </c>
      <c r="H5867" t="s">
        <v>32848</v>
      </c>
      <c r="I5867" t="s">
        <v>32858</v>
      </c>
      <c r="J5867" t="s">
        <v>33140</v>
      </c>
      <c r="K5867" t="s">
        <v>42760</v>
      </c>
      <c r="M5867" t="s">
        <v>45312</v>
      </c>
      <c r="N5867" t="s">
        <v>47424</v>
      </c>
      <c r="O5867" t="s">
        <v>47425</v>
      </c>
      <c r="P5867">
        <v>0</v>
      </c>
      <c r="Q5867">
        <v>2</v>
      </c>
      <c r="R5867" t="s">
        <v>47430</v>
      </c>
      <c r="S5867" t="s">
        <v>47549</v>
      </c>
      <c r="T5867" t="s">
        <v>49061</v>
      </c>
      <c r="U5867" t="s">
        <v>54632</v>
      </c>
      <c r="W5867" t="s">
        <v>45312</v>
      </c>
      <c r="X5867" t="s">
        <v>47431</v>
      </c>
    </row>
    <row r="5868" spans="1:24">
      <c r="A5868">
        <f>HYPERLINK("https://www.philgeps.gov.ph/GEPSNONPILOT/Tender/SplashBidNoticeAbstractUI.aspx?menuIndex=3&amp;refID=7161703&amp;Result=3","7161703")</f>
        <v>0</v>
      </c>
      <c r="B5868" t="s">
        <v>72</v>
      </c>
      <c r="C5868" t="s">
        <v>9442</v>
      </c>
      <c r="D5868" t="s">
        <v>19027</v>
      </c>
      <c r="E5868" t="s">
        <v>24231</v>
      </c>
      <c r="F5868" t="s">
        <v>32831</v>
      </c>
      <c r="G5868" t="s">
        <v>32839</v>
      </c>
      <c r="H5868" t="s">
        <v>32849</v>
      </c>
      <c r="I5868" t="s">
        <v>32852</v>
      </c>
      <c r="J5868" t="s">
        <v>33465</v>
      </c>
      <c r="K5868" t="s">
        <v>42770</v>
      </c>
      <c r="M5868" t="s">
        <v>43069</v>
      </c>
      <c r="N5868" t="s">
        <v>47424</v>
      </c>
      <c r="O5868" t="s">
        <v>47425</v>
      </c>
      <c r="P5868">
        <v>0</v>
      </c>
      <c r="Q5868">
        <v>4</v>
      </c>
      <c r="R5868" t="s">
        <v>47430</v>
      </c>
      <c r="S5868" t="s">
        <v>47549</v>
      </c>
      <c r="T5868" t="s">
        <v>49154</v>
      </c>
      <c r="U5868" t="s">
        <v>54633</v>
      </c>
      <c r="W5868" t="s">
        <v>64485</v>
      </c>
      <c r="X5868" t="s">
        <v>47431</v>
      </c>
    </row>
    <row r="5869" spans="1:24">
      <c r="A5869">
        <f>HYPERLINK("https://www.philgeps.gov.ph/GEPSNONPILOT/Tender/SplashBidNoticeAbstractUI.aspx?menuIndex=3&amp;refID=7161675&amp;Result=3","7161675")</f>
        <v>0</v>
      </c>
      <c r="B5869" t="s">
        <v>2130</v>
      </c>
      <c r="C5869" t="s">
        <v>9443</v>
      </c>
      <c r="D5869" t="s">
        <v>19017</v>
      </c>
      <c r="E5869" t="s">
        <v>24232</v>
      </c>
      <c r="F5869" t="s">
        <v>32831</v>
      </c>
      <c r="G5869" t="s">
        <v>32840</v>
      </c>
      <c r="H5869" t="s">
        <v>32848</v>
      </c>
      <c r="I5869" t="s">
        <v>10643</v>
      </c>
      <c r="J5869" t="s">
        <v>36718</v>
      </c>
      <c r="K5869" t="s">
        <v>42727</v>
      </c>
      <c r="M5869" t="s">
        <v>45305</v>
      </c>
      <c r="N5869" t="s">
        <v>47424</v>
      </c>
      <c r="O5869" t="s">
        <v>47425</v>
      </c>
      <c r="P5869">
        <v>0</v>
      </c>
      <c r="Q5869">
        <v>1</v>
      </c>
      <c r="R5869" t="s">
        <v>47430</v>
      </c>
      <c r="S5869" t="s">
        <v>47549</v>
      </c>
      <c r="T5869" t="s">
        <v>49212</v>
      </c>
      <c r="U5869" t="s">
        <v>54634</v>
      </c>
      <c r="V5869" t="s">
        <v>63285</v>
      </c>
      <c r="W5869" t="s">
        <v>45305</v>
      </c>
      <c r="X5869" t="s">
        <v>47431</v>
      </c>
    </row>
    <row r="5870" spans="1:24">
      <c r="A5870">
        <f>HYPERLINK("https://www.philgeps.gov.ph/GEPSNONPILOT/Tender/SplashBidNoticeAbstractUI.aspx?menuIndex=3&amp;refID=7161702&amp;Result=3","7161702")</f>
        <v>0</v>
      </c>
      <c r="B5870" t="s">
        <v>1620</v>
      </c>
      <c r="C5870" t="s">
        <v>9444</v>
      </c>
      <c r="D5870" t="s">
        <v>19017</v>
      </c>
      <c r="E5870" t="s">
        <v>24233</v>
      </c>
      <c r="F5870" t="s">
        <v>32831</v>
      </c>
      <c r="G5870" t="s">
        <v>32839</v>
      </c>
      <c r="H5870" t="s">
        <v>32848</v>
      </c>
      <c r="I5870" t="s">
        <v>4438</v>
      </c>
      <c r="J5870" t="s">
        <v>32983</v>
      </c>
      <c r="K5870" t="s">
        <v>42726</v>
      </c>
      <c r="M5870" t="s">
        <v>44736</v>
      </c>
      <c r="N5870" t="s">
        <v>47424</v>
      </c>
      <c r="O5870" t="s">
        <v>47425</v>
      </c>
      <c r="P5870">
        <v>0</v>
      </c>
      <c r="Q5870">
        <v>4</v>
      </c>
      <c r="R5870" t="s">
        <v>47430</v>
      </c>
      <c r="S5870" t="s">
        <v>47549</v>
      </c>
      <c r="T5870" t="s">
        <v>49123</v>
      </c>
      <c r="U5870" t="s">
        <v>54635</v>
      </c>
      <c r="V5870" t="s">
        <v>63064</v>
      </c>
      <c r="W5870" t="s">
        <v>44736</v>
      </c>
      <c r="X5870" t="s">
        <v>47431</v>
      </c>
    </row>
    <row r="5871" spans="1:24">
      <c r="A5871">
        <f>HYPERLINK("https://www.philgeps.gov.ph/GEPSNONPILOT/Tender/SplashBidNoticeAbstractUI.aspx?menuIndex=3&amp;refID=7161719&amp;Result=3","7161719")</f>
        <v>0</v>
      </c>
      <c r="B5871" t="s">
        <v>2134</v>
      </c>
      <c r="C5871" t="s">
        <v>9445</v>
      </c>
      <c r="D5871" t="s">
        <v>19075</v>
      </c>
      <c r="E5871" t="s">
        <v>20079</v>
      </c>
      <c r="F5871" t="s">
        <v>32831</v>
      </c>
      <c r="G5871" t="s">
        <v>32840</v>
      </c>
      <c r="H5871" t="s">
        <v>32848</v>
      </c>
      <c r="I5871" t="s">
        <v>32858</v>
      </c>
      <c r="J5871" t="s">
        <v>33007</v>
      </c>
      <c r="K5871" t="s">
        <v>42760</v>
      </c>
      <c r="M5871" t="s">
        <v>45312</v>
      </c>
      <c r="N5871" t="s">
        <v>47424</v>
      </c>
      <c r="O5871" t="s">
        <v>47425</v>
      </c>
      <c r="P5871">
        <v>0</v>
      </c>
      <c r="Q5871">
        <v>1</v>
      </c>
      <c r="R5871" t="s">
        <v>47430</v>
      </c>
      <c r="S5871" t="s">
        <v>47549</v>
      </c>
      <c r="T5871" t="s">
        <v>49061</v>
      </c>
      <c r="U5871" t="s">
        <v>54636</v>
      </c>
      <c r="W5871" t="s">
        <v>45312</v>
      </c>
      <c r="X5871" t="s">
        <v>47431</v>
      </c>
    </row>
    <row r="5872" spans="1:24">
      <c r="A5872">
        <f>HYPERLINK("https://www.philgeps.gov.ph/GEPSNONPILOT/Tender/SplashBidNoticeAbstractUI.aspx?menuIndex=3&amp;refID=7161716&amp;Result=3","7161716")</f>
        <v>0</v>
      </c>
      <c r="B5872" t="s">
        <v>483</v>
      </c>
      <c r="C5872" t="s">
        <v>9446</v>
      </c>
      <c r="D5872" t="s">
        <v>19021</v>
      </c>
      <c r="E5872" t="s">
        <v>24234</v>
      </c>
      <c r="F5872" t="s">
        <v>32831</v>
      </c>
      <c r="G5872" t="s">
        <v>32840</v>
      </c>
      <c r="H5872" t="s">
        <v>32848</v>
      </c>
      <c r="I5872" t="s">
        <v>10643</v>
      </c>
      <c r="J5872" t="s">
        <v>34095</v>
      </c>
      <c r="K5872" t="s">
        <v>42726</v>
      </c>
      <c r="M5872" t="s">
        <v>43488</v>
      </c>
      <c r="N5872" t="s">
        <v>47424</v>
      </c>
      <c r="O5872" t="s">
        <v>47425</v>
      </c>
      <c r="P5872">
        <v>0</v>
      </c>
      <c r="Q5872">
        <v>0</v>
      </c>
      <c r="R5872" t="s">
        <v>47430</v>
      </c>
      <c r="S5872" t="s">
        <v>47549</v>
      </c>
      <c r="T5872" t="s">
        <v>49212</v>
      </c>
      <c r="U5872" t="s">
        <v>54637</v>
      </c>
      <c r="W5872" t="s">
        <v>43488</v>
      </c>
      <c r="X5872" t="s">
        <v>47431</v>
      </c>
    </row>
    <row r="5873" spans="1:24">
      <c r="A5873">
        <f>HYPERLINK("https://www.philgeps.gov.ph/GEPSNONPILOT/Tender/SplashBidNoticeAbstractUI.aspx?menuIndex=3&amp;refID=7161723&amp;Result=3","7161723")</f>
        <v>0</v>
      </c>
      <c r="B5873" t="s">
        <v>72</v>
      </c>
      <c r="C5873" t="s">
        <v>9447</v>
      </c>
      <c r="D5873" t="s">
        <v>19027</v>
      </c>
      <c r="E5873" t="s">
        <v>24235</v>
      </c>
      <c r="F5873" t="s">
        <v>32831</v>
      </c>
      <c r="G5873" t="s">
        <v>32839</v>
      </c>
      <c r="H5873" t="s">
        <v>32849</v>
      </c>
      <c r="I5873" t="s">
        <v>4177</v>
      </c>
      <c r="J5873" t="s">
        <v>34860</v>
      </c>
      <c r="K5873" t="s">
        <v>42757</v>
      </c>
      <c r="M5873" t="s">
        <v>43069</v>
      </c>
      <c r="N5873" t="s">
        <v>47424</v>
      </c>
      <c r="O5873" t="s">
        <v>47425</v>
      </c>
      <c r="P5873">
        <v>0</v>
      </c>
      <c r="Q5873">
        <v>4</v>
      </c>
      <c r="R5873" t="s">
        <v>47430</v>
      </c>
      <c r="S5873" t="s">
        <v>47549</v>
      </c>
      <c r="T5873" t="s">
        <v>49154</v>
      </c>
      <c r="U5873" t="s">
        <v>54638</v>
      </c>
      <c r="W5873" t="s">
        <v>64485</v>
      </c>
      <c r="X5873" t="s">
        <v>47431</v>
      </c>
    </row>
    <row r="5874" spans="1:24">
      <c r="A5874">
        <f>HYPERLINK("https://www.philgeps.gov.ph/GEPSNONPILOT/Tender/SplashBidNoticeAbstractUI.aspx?menuIndex=3&amp;refID=7161705&amp;Result=3","7161705")</f>
        <v>0</v>
      </c>
      <c r="B5874" t="s">
        <v>1620</v>
      </c>
      <c r="C5874" t="s">
        <v>9448</v>
      </c>
      <c r="D5874" t="s">
        <v>19017</v>
      </c>
      <c r="E5874" t="s">
        <v>24236</v>
      </c>
      <c r="F5874" t="s">
        <v>32831</v>
      </c>
      <c r="G5874" t="s">
        <v>32839</v>
      </c>
      <c r="H5874" t="s">
        <v>32848</v>
      </c>
      <c r="I5874" t="s">
        <v>4438</v>
      </c>
      <c r="J5874" t="s">
        <v>36719</v>
      </c>
      <c r="K5874" t="s">
        <v>42726</v>
      </c>
      <c r="M5874" t="s">
        <v>44736</v>
      </c>
      <c r="N5874" t="s">
        <v>47424</v>
      </c>
      <c r="O5874" t="s">
        <v>47425</v>
      </c>
      <c r="P5874">
        <v>0</v>
      </c>
      <c r="Q5874">
        <v>4</v>
      </c>
      <c r="R5874" t="s">
        <v>47430</v>
      </c>
      <c r="S5874" t="s">
        <v>47549</v>
      </c>
      <c r="T5874" t="s">
        <v>49123</v>
      </c>
      <c r="U5874" t="s">
        <v>54639</v>
      </c>
      <c r="V5874" t="s">
        <v>63064</v>
      </c>
      <c r="W5874" t="s">
        <v>44736</v>
      </c>
      <c r="X5874" t="s">
        <v>47431</v>
      </c>
    </row>
    <row r="5875" spans="1:24">
      <c r="A5875">
        <f>HYPERLINK("https://www.philgeps.gov.ph/GEPSNONPILOT/Tender/SplashBidNoticeAbstractUI.aspx?menuIndex=3&amp;refID=7161766&amp;Result=3","7161766")</f>
        <v>0</v>
      </c>
      <c r="B5875" t="s">
        <v>2135</v>
      </c>
      <c r="C5875" t="s">
        <v>9449</v>
      </c>
      <c r="D5875" t="s">
        <v>19027</v>
      </c>
      <c r="E5875" t="s">
        <v>24237</v>
      </c>
      <c r="F5875" t="s">
        <v>32831</v>
      </c>
      <c r="G5875" t="s">
        <v>32838</v>
      </c>
      <c r="H5875" t="s">
        <v>32848</v>
      </c>
      <c r="I5875" t="s">
        <v>4438</v>
      </c>
      <c r="J5875" t="s">
        <v>36720</v>
      </c>
      <c r="K5875" t="s">
        <v>42730</v>
      </c>
      <c r="M5875" t="s">
        <v>45313</v>
      </c>
      <c r="N5875" t="s">
        <v>47424</v>
      </c>
      <c r="O5875" t="s">
        <v>47425</v>
      </c>
      <c r="P5875">
        <v>0</v>
      </c>
      <c r="Q5875">
        <v>2</v>
      </c>
      <c r="R5875" t="s">
        <v>47430</v>
      </c>
      <c r="S5875" t="s">
        <v>47549</v>
      </c>
      <c r="T5875" t="s">
        <v>49123</v>
      </c>
      <c r="U5875" t="s">
        <v>54640</v>
      </c>
      <c r="V5875" t="s">
        <v>50832</v>
      </c>
      <c r="W5875" t="s">
        <v>64502</v>
      </c>
      <c r="X5875" t="s">
        <v>47431</v>
      </c>
    </row>
    <row r="5876" spans="1:24">
      <c r="A5876">
        <f>HYPERLINK("https://www.philgeps.gov.ph/GEPSNONPILOT/Tender/SplashBidNoticeAbstractUI.aspx?menuIndex=3&amp;refID=7161756&amp;Result=3","7161756")</f>
        <v>0</v>
      </c>
      <c r="B5876" t="s">
        <v>2136</v>
      </c>
      <c r="C5876" t="s">
        <v>9450</v>
      </c>
      <c r="D5876" t="s">
        <v>19085</v>
      </c>
      <c r="E5876" t="s">
        <v>24238</v>
      </c>
      <c r="F5876" t="s">
        <v>32831</v>
      </c>
      <c r="G5876" t="s">
        <v>32838</v>
      </c>
      <c r="H5876" t="s">
        <v>32848</v>
      </c>
      <c r="I5876" t="s">
        <v>7416</v>
      </c>
      <c r="J5876" t="s">
        <v>36721</v>
      </c>
      <c r="K5876" t="s">
        <v>42726</v>
      </c>
      <c r="M5876" t="s">
        <v>45314</v>
      </c>
      <c r="N5876" t="s">
        <v>47424</v>
      </c>
      <c r="O5876" t="s">
        <v>47425</v>
      </c>
      <c r="P5876">
        <v>0</v>
      </c>
      <c r="Q5876">
        <v>0</v>
      </c>
      <c r="R5876" t="s">
        <v>47430</v>
      </c>
      <c r="S5876" t="s">
        <v>47549</v>
      </c>
      <c r="T5876" t="s">
        <v>49125</v>
      </c>
      <c r="U5876" t="s">
        <v>54641</v>
      </c>
      <c r="W5876" t="s">
        <v>45314</v>
      </c>
      <c r="X5876" t="s">
        <v>47431</v>
      </c>
    </row>
    <row r="5877" spans="1:24">
      <c r="A5877">
        <f>HYPERLINK("https://www.philgeps.gov.ph/GEPSNONPILOT/Tender/SplashBidNoticeAbstractUI.aspx?menuIndex=3&amp;refID=7161698&amp;Result=3","7161698")</f>
        <v>0</v>
      </c>
      <c r="B5877" t="s">
        <v>2130</v>
      </c>
      <c r="C5877" t="s">
        <v>9451</v>
      </c>
      <c r="D5877" t="s">
        <v>19017</v>
      </c>
      <c r="E5877" t="s">
        <v>24239</v>
      </c>
      <c r="F5877" t="s">
        <v>32831</v>
      </c>
      <c r="G5877" t="s">
        <v>32840</v>
      </c>
      <c r="H5877" t="s">
        <v>32848</v>
      </c>
      <c r="I5877" t="s">
        <v>32869</v>
      </c>
      <c r="J5877" t="s">
        <v>36722</v>
      </c>
      <c r="K5877" t="s">
        <v>42727</v>
      </c>
      <c r="M5877" t="s">
        <v>45305</v>
      </c>
      <c r="N5877" t="s">
        <v>47424</v>
      </c>
      <c r="O5877" t="s">
        <v>47425</v>
      </c>
      <c r="P5877">
        <v>0</v>
      </c>
      <c r="Q5877">
        <v>2</v>
      </c>
      <c r="R5877" t="s">
        <v>47430</v>
      </c>
      <c r="S5877" t="s">
        <v>47549</v>
      </c>
      <c r="T5877" t="s">
        <v>49212</v>
      </c>
      <c r="U5877" t="s">
        <v>54642</v>
      </c>
      <c r="V5877" t="s">
        <v>63286</v>
      </c>
      <c r="W5877" t="s">
        <v>45305</v>
      </c>
      <c r="X5877" t="s">
        <v>47431</v>
      </c>
    </row>
    <row r="5878" spans="1:24">
      <c r="A5878">
        <f>HYPERLINK("https://www.philgeps.gov.ph/GEPSNONPILOT/Tender/SplashBidNoticeAbstractUI.aspx?menuIndex=3&amp;refID=7161748&amp;Result=3","7161748")</f>
        <v>0</v>
      </c>
      <c r="B5878" t="s">
        <v>2136</v>
      </c>
      <c r="C5878" t="s">
        <v>9452</v>
      </c>
      <c r="D5878" t="s">
        <v>19085</v>
      </c>
      <c r="E5878" t="s">
        <v>24240</v>
      </c>
      <c r="F5878" t="s">
        <v>32831</v>
      </c>
      <c r="G5878" t="s">
        <v>32838</v>
      </c>
      <c r="H5878" t="s">
        <v>32848</v>
      </c>
      <c r="I5878" t="s">
        <v>7416</v>
      </c>
      <c r="J5878" t="s">
        <v>36723</v>
      </c>
      <c r="K5878" t="s">
        <v>42726</v>
      </c>
      <c r="M5878" t="s">
        <v>45314</v>
      </c>
      <c r="N5878" t="s">
        <v>47424</v>
      </c>
      <c r="O5878" t="s">
        <v>47425</v>
      </c>
      <c r="P5878">
        <v>0</v>
      </c>
      <c r="Q5878">
        <v>0</v>
      </c>
      <c r="R5878" t="s">
        <v>47430</v>
      </c>
      <c r="S5878" t="s">
        <v>47549</v>
      </c>
      <c r="T5878" t="s">
        <v>49125</v>
      </c>
      <c r="U5878" t="s">
        <v>54643</v>
      </c>
      <c r="W5878" t="s">
        <v>45314</v>
      </c>
      <c r="X5878" t="s">
        <v>47431</v>
      </c>
    </row>
    <row r="5879" spans="1:24">
      <c r="A5879">
        <f>HYPERLINK("https://www.philgeps.gov.ph/GEPSNONPILOT/Tender/SplashBidNoticeAbstractUI.aspx?menuIndex=3&amp;refID=7161696&amp;Result=3","7161696")</f>
        <v>0</v>
      </c>
      <c r="B5879" t="s">
        <v>2137</v>
      </c>
      <c r="C5879" t="s">
        <v>9453</v>
      </c>
      <c r="D5879" t="s">
        <v>19033</v>
      </c>
      <c r="E5879" t="s">
        <v>24241</v>
      </c>
      <c r="F5879" t="s">
        <v>32831</v>
      </c>
      <c r="G5879" t="s">
        <v>32839</v>
      </c>
      <c r="H5879" t="s">
        <v>32849</v>
      </c>
      <c r="I5879" t="s">
        <v>4177</v>
      </c>
      <c r="J5879" t="s">
        <v>36724</v>
      </c>
      <c r="K5879" t="s">
        <v>42757</v>
      </c>
      <c r="M5879" t="s">
        <v>45315</v>
      </c>
      <c r="N5879" t="s">
        <v>47424</v>
      </c>
      <c r="O5879" t="s">
        <v>47425</v>
      </c>
      <c r="P5879">
        <v>0</v>
      </c>
      <c r="Q5879">
        <v>1</v>
      </c>
      <c r="R5879" t="s">
        <v>47430</v>
      </c>
      <c r="S5879" t="s">
        <v>47549</v>
      </c>
      <c r="T5879" t="s">
        <v>49441</v>
      </c>
      <c r="U5879" t="s">
        <v>54644</v>
      </c>
      <c r="W5879" t="s">
        <v>45315</v>
      </c>
      <c r="X5879" t="s">
        <v>47431</v>
      </c>
    </row>
    <row r="5880" spans="1:24">
      <c r="A5880">
        <f>HYPERLINK("https://www.philgeps.gov.ph/GEPSNONPILOT/Tender/SplashBidNoticeAbstractUI.aspx?menuIndex=3&amp;refID=7161747&amp;Result=3","7161747")</f>
        <v>0</v>
      </c>
      <c r="B5880" t="s">
        <v>2135</v>
      </c>
      <c r="C5880" t="s">
        <v>9454</v>
      </c>
      <c r="D5880" t="s">
        <v>19027</v>
      </c>
      <c r="E5880" t="s">
        <v>24242</v>
      </c>
      <c r="F5880" t="s">
        <v>32831</v>
      </c>
      <c r="G5880" t="s">
        <v>32838</v>
      </c>
      <c r="H5880" t="s">
        <v>32848</v>
      </c>
      <c r="I5880" t="s">
        <v>4438</v>
      </c>
      <c r="J5880" t="s">
        <v>36725</v>
      </c>
      <c r="K5880" t="s">
        <v>42730</v>
      </c>
      <c r="M5880" t="s">
        <v>45313</v>
      </c>
      <c r="N5880" t="s">
        <v>47424</v>
      </c>
      <c r="O5880" t="s">
        <v>47425</v>
      </c>
      <c r="P5880">
        <v>0</v>
      </c>
      <c r="Q5880">
        <v>2</v>
      </c>
      <c r="R5880" t="s">
        <v>47430</v>
      </c>
      <c r="S5880" t="s">
        <v>47549</v>
      </c>
      <c r="T5880" t="s">
        <v>49123</v>
      </c>
      <c r="U5880" t="s">
        <v>54645</v>
      </c>
      <c r="V5880" t="s">
        <v>50832</v>
      </c>
      <c r="W5880" t="s">
        <v>64502</v>
      </c>
      <c r="X5880" t="s">
        <v>47431</v>
      </c>
    </row>
    <row r="5881" spans="1:24">
      <c r="A5881">
        <f>HYPERLINK("https://www.philgeps.gov.ph/GEPSNONPILOT/Tender/SplashBidNoticeAbstractUI.aspx?menuIndex=3&amp;refID=7161740&amp;Result=3","7161740")</f>
        <v>0</v>
      </c>
      <c r="B5881" t="s">
        <v>84</v>
      </c>
      <c r="C5881" t="s">
        <v>9455</v>
      </c>
      <c r="E5881" t="s">
        <v>24243</v>
      </c>
      <c r="F5881" t="s">
        <v>32831</v>
      </c>
      <c r="G5881" t="s">
        <v>32838</v>
      </c>
      <c r="H5881" t="s">
        <v>32848</v>
      </c>
      <c r="I5881" t="s">
        <v>32919</v>
      </c>
      <c r="J5881" t="s">
        <v>33292</v>
      </c>
      <c r="K5881" t="s">
        <v>42732</v>
      </c>
      <c r="M5881" t="s">
        <v>43081</v>
      </c>
      <c r="N5881" t="s">
        <v>47424</v>
      </c>
      <c r="O5881" t="s">
        <v>47425</v>
      </c>
      <c r="P5881">
        <v>0</v>
      </c>
      <c r="Q5881">
        <v>0</v>
      </c>
      <c r="R5881" t="s">
        <v>47430</v>
      </c>
      <c r="S5881" t="s">
        <v>47549</v>
      </c>
      <c r="T5881" t="s">
        <v>49104</v>
      </c>
      <c r="U5881" t="s">
        <v>49781</v>
      </c>
      <c r="W5881" t="s">
        <v>43081</v>
      </c>
      <c r="X5881" t="s">
        <v>47431</v>
      </c>
    </row>
    <row r="5882" spans="1:24">
      <c r="A5882">
        <f>HYPERLINK("https://www.philgeps.gov.ph/GEPSNONPILOT/Tender/SplashBidNoticeAbstractUI.aspx?menuIndex=3&amp;refID=7161751&amp;Result=3","7161751")</f>
        <v>0</v>
      </c>
      <c r="B5882" t="s">
        <v>2137</v>
      </c>
      <c r="C5882" t="s">
        <v>9456</v>
      </c>
      <c r="D5882" t="s">
        <v>19033</v>
      </c>
      <c r="E5882" t="s">
        <v>24244</v>
      </c>
      <c r="F5882" t="s">
        <v>32831</v>
      </c>
      <c r="G5882" t="s">
        <v>32839</v>
      </c>
      <c r="H5882" t="s">
        <v>32848</v>
      </c>
      <c r="I5882" t="s">
        <v>7416</v>
      </c>
      <c r="J5882" t="s">
        <v>36726</v>
      </c>
      <c r="K5882" t="s">
        <v>42727</v>
      </c>
      <c r="M5882" t="s">
        <v>45315</v>
      </c>
      <c r="N5882" t="s">
        <v>47424</v>
      </c>
      <c r="O5882" t="s">
        <v>47425</v>
      </c>
      <c r="P5882">
        <v>0</v>
      </c>
      <c r="Q5882">
        <v>0</v>
      </c>
      <c r="R5882" t="s">
        <v>47430</v>
      </c>
      <c r="S5882" t="s">
        <v>47549</v>
      </c>
      <c r="T5882" t="s">
        <v>49119</v>
      </c>
      <c r="U5882" t="s">
        <v>54646</v>
      </c>
      <c r="W5882" t="s">
        <v>45315</v>
      </c>
      <c r="X5882" t="s">
        <v>47431</v>
      </c>
    </row>
    <row r="5883" spans="1:24">
      <c r="A5883">
        <f>HYPERLINK("https://www.philgeps.gov.ph/GEPSNONPILOT/Tender/SplashBidNoticeAbstractUI.aspx?menuIndex=3&amp;refID=7161739&amp;Result=3","7161739")</f>
        <v>0</v>
      </c>
      <c r="B5883" t="s">
        <v>2134</v>
      </c>
      <c r="C5883" t="s">
        <v>9457</v>
      </c>
      <c r="D5883" t="s">
        <v>19075</v>
      </c>
      <c r="E5883" t="s">
        <v>24245</v>
      </c>
      <c r="F5883" t="s">
        <v>32831</v>
      </c>
      <c r="G5883" t="s">
        <v>32840</v>
      </c>
      <c r="H5883" t="s">
        <v>32848</v>
      </c>
      <c r="I5883" t="s">
        <v>32858</v>
      </c>
      <c r="J5883" t="s">
        <v>36727</v>
      </c>
      <c r="K5883" t="s">
        <v>42758</v>
      </c>
      <c r="M5883" t="s">
        <v>45312</v>
      </c>
      <c r="N5883" t="s">
        <v>47424</v>
      </c>
      <c r="O5883" t="s">
        <v>47425</v>
      </c>
      <c r="P5883">
        <v>0</v>
      </c>
      <c r="Q5883">
        <v>1</v>
      </c>
      <c r="R5883" t="s">
        <v>47430</v>
      </c>
      <c r="S5883" t="s">
        <v>47549</v>
      </c>
      <c r="T5883" t="s">
        <v>49079</v>
      </c>
      <c r="U5883" t="s">
        <v>54647</v>
      </c>
      <c r="V5883" t="s">
        <v>63287</v>
      </c>
      <c r="W5883" t="s">
        <v>45312</v>
      </c>
      <c r="X5883" t="s">
        <v>47431</v>
      </c>
    </row>
    <row r="5884" spans="1:24">
      <c r="A5884">
        <f>HYPERLINK("https://www.philgeps.gov.ph/GEPSNONPILOT/Tender/SplashBidNoticeAbstractUI.aspx?menuIndex=3&amp;refID=7161744&amp;Result=3","7161744")</f>
        <v>0</v>
      </c>
      <c r="B5884" t="s">
        <v>2136</v>
      </c>
      <c r="C5884" t="s">
        <v>9458</v>
      </c>
      <c r="D5884" t="s">
        <v>19085</v>
      </c>
      <c r="E5884" t="s">
        <v>24246</v>
      </c>
      <c r="F5884" t="s">
        <v>32831</v>
      </c>
      <c r="G5884" t="s">
        <v>32838</v>
      </c>
      <c r="H5884" t="s">
        <v>32848</v>
      </c>
      <c r="I5884" t="s">
        <v>7416</v>
      </c>
      <c r="J5884" t="s">
        <v>34900</v>
      </c>
      <c r="K5884" t="s">
        <v>42726</v>
      </c>
      <c r="M5884" t="s">
        <v>45314</v>
      </c>
      <c r="N5884" t="s">
        <v>47424</v>
      </c>
      <c r="O5884" t="s">
        <v>47425</v>
      </c>
      <c r="P5884">
        <v>0</v>
      </c>
      <c r="Q5884">
        <v>0</v>
      </c>
      <c r="R5884" t="s">
        <v>47430</v>
      </c>
      <c r="S5884" t="s">
        <v>47549</v>
      </c>
      <c r="T5884" t="s">
        <v>49125</v>
      </c>
      <c r="U5884" t="s">
        <v>54648</v>
      </c>
      <c r="W5884" t="s">
        <v>45314</v>
      </c>
      <c r="X5884" t="s">
        <v>47431</v>
      </c>
    </row>
    <row r="5885" spans="1:24">
      <c r="A5885">
        <f>HYPERLINK("https://www.philgeps.gov.ph/GEPSNONPILOT/Tender/SplashBidNoticeAbstractUI.aspx?menuIndex=3&amp;refID=7161708&amp;Result=3","7161708")</f>
        <v>0</v>
      </c>
      <c r="B5885" t="s">
        <v>1620</v>
      </c>
      <c r="C5885" t="s">
        <v>9459</v>
      </c>
      <c r="D5885" t="s">
        <v>19017</v>
      </c>
      <c r="E5885" t="s">
        <v>24247</v>
      </c>
      <c r="F5885" t="s">
        <v>32831</v>
      </c>
      <c r="G5885" t="s">
        <v>32839</v>
      </c>
      <c r="H5885" t="s">
        <v>32848</v>
      </c>
      <c r="I5885" t="s">
        <v>4438</v>
      </c>
      <c r="J5885" t="s">
        <v>32983</v>
      </c>
      <c r="K5885" t="s">
        <v>42726</v>
      </c>
      <c r="M5885" t="s">
        <v>44736</v>
      </c>
      <c r="N5885" t="s">
        <v>47424</v>
      </c>
      <c r="O5885" t="s">
        <v>47425</v>
      </c>
      <c r="P5885">
        <v>0</v>
      </c>
      <c r="Q5885">
        <v>4</v>
      </c>
      <c r="R5885" t="s">
        <v>47430</v>
      </c>
      <c r="S5885" t="s">
        <v>47549</v>
      </c>
      <c r="T5885" t="s">
        <v>49123</v>
      </c>
      <c r="U5885" t="s">
        <v>54649</v>
      </c>
      <c r="V5885" t="s">
        <v>63064</v>
      </c>
      <c r="W5885" t="s">
        <v>44736</v>
      </c>
      <c r="X5885" t="s">
        <v>47431</v>
      </c>
    </row>
    <row r="5886" spans="1:24">
      <c r="A5886">
        <f>HYPERLINK("https://www.philgeps.gov.ph/GEPSNONPILOT/Tender/SplashBidNoticeAbstractUI.aspx?menuIndex=3&amp;refID=7161734&amp;Result=3","7161734")</f>
        <v>0</v>
      </c>
      <c r="B5886" t="s">
        <v>2134</v>
      </c>
      <c r="C5886" t="s">
        <v>9460</v>
      </c>
      <c r="D5886" t="s">
        <v>19075</v>
      </c>
      <c r="E5886" t="s">
        <v>19494</v>
      </c>
      <c r="F5886" t="s">
        <v>32831</v>
      </c>
      <c r="G5886" t="s">
        <v>32840</v>
      </c>
      <c r="H5886" t="s">
        <v>32848</v>
      </c>
      <c r="I5886" t="s">
        <v>32858</v>
      </c>
      <c r="J5886" t="s">
        <v>36728</v>
      </c>
      <c r="K5886" t="s">
        <v>42758</v>
      </c>
      <c r="M5886" t="s">
        <v>45312</v>
      </c>
      <c r="N5886" t="s">
        <v>47424</v>
      </c>
      <c r="O5886" t="s">
        <v>47425</v>
      </c>
      <c r="P5886">
        <v>0</v>
      </c>
      <c r="Q5886">
        <v>1</v>
      </c>
      <c r="R5886" t="s">
        <v>47430</v>
      </c>
      <c r="S5886" t="s">
        <v>47549</v>
      </c>
      <c r="T5886" t="s">
        <v>49061</v>
      </c>
      <c r="U5886" t="s">
        <v>54650</v>
      </c>
      <c r="W5886" t="s">
        <v>45312</v>
      </c>
      <c r="X5886" t="s">
        <v>47431</v>
      </c>
    </row>
    <row r="5887" spans="1:24">
      <c r="A5887">
        <f>HYPERLINK("https://www.philgeps.gov.ph/GEPSNONPILOT/Tender/SplashBidNoticeAbstractUI.aspx?menuIndex=3&amp;refID=7161743&amp;Result=3","7161743")</f>
        <v>0</v>
      </c>
      <c r="B5887" t="s">
        <v>2138</v>
      </c>
      <c r="C5887" t="s">
        <v>9461</v>
      </c>
      <c r="D5887" t="s">
        <v>19017</v>
      </c>
      <c r="E5887" t="s">
        <v>20035</v>
      </c>
      <c r="F5887" t="s">
        <v>32831</v>
      </c>
      <c r="G5887" t="s">
        <v>32839</v>
      </c>
      <c r="H5887" t="s">
        <v>32850</v>
      </c>
      <c r="I5887" t="s">
        <v>10888</v>
      </c>
      <c r="J5887" t="s">
        <v>33794</v>
      </c>
      <c r="K5887" t="s">
        <v>42730</v>
      </c>
      <c r="M5887" t="s">
        <v>45316</v>
      </c>
      <c r="N5887" t="s">
        <v>47424</v>
      </c>
      <c r="O5887" t="s">
        <v>47425</v>
      </c>
      <c r="P5887">
        <v>0</v>
      </c>
      <c r="Q5887">
        <v>8</v>
      </c>
      <c r="R5887" t="s">
        <v>47430</v>
      </c>
      <c r="S5887" t="s">
        <v>47549</v>
      </c>
      <c r="T5887" t="s">
        <v>49104</v>
      </c>
      <c r="U5887" t="s">
        <v>54651</v>
      </c>
      <c r="W5887" t="s">
        <v>45316</v>
      </c>
      <c r="X5887" t="s">
        <v>47431</v>
      </c>
    </row>
    <row r="5888" spans="1:24">
      <c r="A5888">
        <f>HYPERLINK("https://www.philgeps.gov.ph/GEPSNONPILOT/Tender/SplashBidNoticeAbstractUI.aspx?menuIndex=3&amp;refID=7161750&amp;Result=3","7161750")</f>
        <v>0</v>
      </c>
      <c r="B5888" t="s">
        <v>84</v>
      </c>
      <c r="C5888" t="s">
        <v>9462</v>
      </c>
      <c r="E5888" t="s">
        <v>24248</v>
      </c>
      <c r="F5888" t="s">
        <v>32831</v>
      </c>
      <c r="G5888" t="s">
        <v>32838</v>
      </c>
      <c r="H5888" t="s">
        <v>32848</v>
      </c>
      <c r="I5888" t="s">
        <v>10643</v>
      </c>
      <c r="J5888" t="s">
        <v>33508</v>
      </c>
      <c r="K5888" t="s">
        <v>42732</v>
      </c>
      <c r="M5888" t="s">
        <v>43081</v>
      </c>
      <c r="N5888" t="s">
        <v>47424</v>
      </c>
      <c r="O5888" t="s">
        <v>47425</v>
      </c>
      <c r="P5888">
        <v>0</v>
      </c>
      <c r="Q5888">
        <v>1</v>
      </c>
      <c r="R5888" t="s">
        <v>47430</v>
      </c>
      <c r="S5888" t="s">
        <v>47549</v>
      </c>
      <c r="T5888" t="s">
        <v>49104</v>
      </c>
      <c r="U5888" t="s">
        <v>49781</v>
      </c>
      <c r="W5888" t="s">
        <v>43081</v>
      </c>
      <c r="X5888" t="s">
        <v>47431</v>
      </c>
    </row>
    <row r="5889" spans="1:24">
      <c r="A5889">
        <f>HYPERLINK("https://www.philgeps.gov.ph/GEPSNONPILOT/Tender/SplashBidNoticeAbstractUI.aspx?menuIndex=3&amp;refID=7134559&amp;Result=3","7134559")</f>
        <v>0</v>
      </c>
      <c r="B5889" t="s">
        <v>2139</v>
      </c>
      <c r="C5889" t="s">
        <v>9463</v>
      </c>
      <c r="D5889" t="s">
        <v>19017</v>
      </c>
      <c r="E5889" t="s">
        <v>24249</v>
      </c>
      <c r="F5889" t="s">
        <v>32831</v>
      </c>
      <c r="G5889" t="s">
        <v>32839</v>
      </c>
      <c r="H5889" t="s">
        <v>32848</v>
      </c>
      <c r="I5889" t="s">
        <v>4558</v>
      </c>
      <c r="J5889" t="s">
        <v>36729</v>
      </c>
      <c r="K5889" t="s">
        <v>42726</v>
      </c>
      <c r="M5889" t="s">
        <v>45317</v>
      </c>
      <c r="N5889" t="s">
        <v>47424</v>
      </c>
      <c r="O5889" t="s">
        <v>47425</v>
      </c>
      <c r="P5889">
        <v>0</v>
      </c>
      <c r="Q5889">
        <v>10</v>
      </c>
      <c r="R5889" t="s">
        <v>47431</v>
      </c>
      <c r="S5889" t="s">
        <v>47565</v>
      </c>
      <c r="T5889" t="s">
        <v>49228</v>
      </c>
      <c r="U5889" t="s">
        <v>54652</v>
      </c>
      <c r="W5889" t="s">
        <v>45317</v>
      </c>
      <c r="X5889" t="s">
        <v>47444</v>
      </c>
    </row>
    <row r="5890" spans="1:24">
      <c r="A5890">
        <f>HYPERLINK("https://www.philgeps.gov.ph/GEPSNONPILOT/Tender/SplashBidNoticeAbstractUI.aspx?menuIndex=3&amp;refID=7161738&amp;Result=3","7161738")</f>
        <v>0</v>
      </c>
      <c r="B5890" t="s">
        <v>2140</v>
      </c>
      <c r="C5890" t="s">
        <v>9464</v>
      </c>
      <c r="D5890" t="s">
        <v>19026</v>
      </c>
      <c r="E5890" t="s">
        <v>24250</v>
      </c>
      <c r="F5890" t="s">
        <v>32831</v>
      </c>
      <c r="G5890" t="s">
        <v>32839</v>
      </c>
      <c r="H5890" t="s">
        <v>32850</v>
      </c>
      <c r="I5890" t="s">
        <v>32863</v>
      </c>
      <c r="J5890" t="s">
        <v>36730</v>
      </c>
      <c r="K5890" t="s">
        <v>42887</v>
      </c>
      <c r="M5890" t="s">
        <v>45318</v>
      </c>
      <c r="N5890" t="s">
        <v>47424</v>
      </c>
      <c r="O5890" t="s">
        <v>47425</v>
      </c>
      <c r="P5890">
        <v>0</v>
      </c>
      <c r="Q5890">
        <v>3</v>
      </c>
      <c r="R5890" t="s">
        <v>47430</v>
      </c>
      <c r="S5890" t="s">
        <v>47549</v>
      </c>
      <c r="T5890" t="s">
        <v>49442</v>
      </c>
      <c r="U5890" t="s">
        <v>54653</v>
      </c>
      <c r="W5890" t="s">
        <v>45318</v>
      </c>
      <c r="X5890" t="s">
        <v>47431</v>
      </c>
    </row>
    <row r="5891" spans="1:24">
      <c r="A5891">
        <f>HYPERLINK("https://www.philgeps.gov.ph/GEPSNONPILOT/Tender/SplashBidNoticeAbstractUI.aspx?menuIndex=3&amp;refID=7161735&amp;Result=3","7161735")</f>
        <v>0</v>
      </c>
      <c r="B5891" t="s">
        <v>2141</v>
      </c>
      <c r="C5891" t="s">
        <v>9465</v>
      </c>
      <c r="D5891" t="s">
        <v>19047</v>
      </c>
      <c r="E5891" t="s">
        <v>19476</v>
      </c>
      <c r="F5891" t="s">
        <v>32831</v>
      </c>
      <c r="G5891" t="s">
        <v>32838</v>
      </c>
      <c r="H5891" t="s">
        <v>32848</v>
      </c>
      <c r="I5891" t="s">
        <v>32860</v>
      </c>
      <c r="J5891" t="s">
        <v>36731</v>
      </c>
      <c r="K5891" t="s">
        <v>42748</v>
      </c>
      <c r="M5891" t="s">
        <v>45319</v>
      </c>
      <c r="N5891" t="s">
        <v>47424</v>
      </c>
      <c r="O5891" t="s">
        <v>47425</v>
      </c>
      <c r="P5891">
        <v>0</v>
      </c>
      <c r="Q5891">
        <v>2</v>
      </c>
      <c r="R5891" t="s">
        <v>47430</v>
      </c>
      <c r="S5891" t="s">
        <v>47549</v>
      </c>
      <c r="T5891" t="s">
        <v>49108</v>
      </c>
      <c r="U5891" t="s">
        <v>54654</v>
      </c>
      <c r="W5891" t="s">
        <v>45319</v>
      </c>
      <c r="X5891" t="s">
        <v>47431</v>
      </c>
    </row>
    <row r="5892" spans="1:24">
      <c r="A5892">
        <f>HYPERLINK("https://www.philgeps.gov.ph/GEPSNONPILOT/Tender/SplashBidNoticeAbstractUI.aspx?menuIndex=3&amp;refID=7161663&amp;Result=3","7161663")</f>
        <v>0</v>
      </c>
      <c r="B5892" t="s">
        <v>1120</v>
      </c>
      <c r="C5892" t="s">
        <v>9466</v>
      </c>
      <c r="E5892" t="s">
        <v>24251</v>
      </c>
      <c r="F5892" t="s">
        <v>32831</v>
      </c>
      <c r="G5892" t="s">
        <v>32838</v>
      </c>
      <c r="H5892" t="s">
        <v>32850</v>
      </c>
      <c r="I5892" t="s">
        <v>32928</v>
      </c>
      <c r="J5892" t="s">
        <v>36732</v>
      </c>
      <c r="K5892" t="s">
        <v>42738</v>
      </c>
      <c r="M5892" t="s">
        <v>44180</v>
      </c>
      <c r="N5892" t="s">
        <v>47424</v>
      </c>
      <c r="O5892" t="s">
        <v>47425</v>
      </c>
      <c r="P5892">
        <v>0</v>
      </c>
      <c r="Q5892">
        <v>8</v>
      </c>
      <c r="R5892" t="s">
        <v>47430</v>
      </c>
      <c r="S5892" t="s">
        <v>47549</v>
      </c>
      <c r="T5892" t="s">
        <v>49237</v>
      </c>
      <c r="U5892" t="s">
        <v>54655</v>
      </c>
      <c r="W5892" t="s">
        <v>44180</v>
      </c>
      <c r="X5892" t="s">
        <v>47431</v>
      </c>
    </row>
    <row r="5893" spans="1:24">
      <c r="A5893">
        <f>HYPERLINK("https://www.philgeps.gov.ph/GEPSNONPILOT/Tender/SplashBidNoticeAbstractUI.aspx?menuIndex=3&amp;refID=7138415&amp;Result=3","7138415")</f>
        <v>0</v>
      </c>
      <c r="B5893" t="s">
        <v>2142</v>
      </c>
      <c r="C5893" t="s">
        <v>9467</v>
      </c>
      <c r="D5893" t="s">
        <v>19048</v>
      </c>
      <c r="E5893" t="s">
        <v>20054</v>
      </c>
      <c r="F5893" t="s">
        <v>32831</v>
      </c>
      <c r="G5893" t="s">
        <v>32839</v>
      </c>
      <c r="H5893" t="s">
        <v>32849</v>
      </c>
      <c r="I5893" t="s">
        <v>4177</v>
      </c>
      <c r="J5893" t="s">
        <v>36733</v>
      </c>
      <c r="K5893" t="s">
        <v>42761</v>
      </c>
      <c r="M5893" t="s">
        <v>45320</v>
      </c>
      <c r="N5893" t="s">
        <v>47424</v>
      </c>
      <c r="O5893" t="s">
        <v>47425</v>
      </c>
      <c r="P5893">
        <v>0</v>
      </c>
      <c r="Q5893">
        <v>0</v>
      </c>
      <c r="R5893" t="s">
        <v>47431</v>
      </c>
      <c r="S5893" t="s">
        <v>47565</v>
      </c>
      <c r="T5893" t="s">
        <v>49160</v>
      </c>
      <c r="U5893" t="s">
        <v>54656</v>
      </c>
      <c r="W5893" t="s">
        <v>45320</v>
      </c>
      <c r="X5893" t="s">
        <v>47441</v>
      </c>
    </row>
    <row r="5894" spans="1:24">
      <c r="A5894">
        <f>HYPERLINK("https://www.philgeps.gov.ph/GEPSNONPILOT/Tender/SplashBidNoticeAbstractUI.aspx?menuIndex=3&amp;refID=7161732&amp;Result=3","7161732")</f>
        <v>0</v>
      </c>
      <c r="B5894" t="s">
        <v>2136</v>
      </c>
      <c r="C5894" t="s">
        <v>9468</v>
      </c>
      <c r="D5894" t="s">
        <v>19085</v>
      </c>
      <c r="E5894" t="s">
        <v>24252</v>
      </c>
      <c r="F5894" t="s">
        <v>32831</v>
      </c>
      <c r="G5894" t="s">
        <v>32838</v>
      </c>
      <c r="H5894" t="s">
        <v>32848</v>
      </c>
      <c r="I5894" t="s">
        <v>7416</v>
      </c>
      <c r="J5894" t="s">
        <v>36734</v>
      </c>
      <c r="K5894" t="s">
        <v>42726</v>
      </c>
      <c r="M5894" t="s">
        <v>45314</v>
      </c>
      <c r="N5894" t="s">
        <v>47424</v>
      </c>
      <c r="O5894" t="s">
        <v>47425</v>
      </c>
      <c r="P5894">
        <v>0</v>
      </c>
      <c r="Q5894">
        <v>0</v>
      </c>
      <c r="R5894" t="s">
        <v>47430</v>
      </c>
      <c r="S5894" t="s">
        <v>47549</v>
      </c>
      <c r="T5894" t="s">
        <v>49125</v>
      </c>
      <c r="U5894" t="s">
        <v>54657</v>
      </c>
      <c r="W5894" t="s">
        <v>45314</v>
      </c>
      <c r="X5894" t="s">
        <v>47431</v>
      </c>
    </row>
    <row r="5895" spans="1:24">
      <c r="A5895">
        <f>HYPERLINK("https://www.philgeps.gov.ph/GEPSNONPILOT/Tender/SplashBidNoticeAbstractUI.aspx?menuIndex=3&amp;refID=7132782&amp;Result=3","7132782")</f>
        <v>0</v>
      </c>
      <c r="B5895" t="s">
        <v>2143</v>
      </c>
      <c r="C5895" t="s">
        <v>9469</v>
      </c>
      <c r="D5895" t="s">
        <v>19062</v>
      </c>
      <c r="E5895" t="s">
        <v>24253</v>
      </c>
      <c r="F5895" t="s">
        <v>32831</v>
      </c>
      <c r="G5895" t="s">
        <v>32840</v>
      </c>
      <c r="H5895" t="s">
        <v>32848</v>
      </c>
      <c r="I5895" t="s">
        <v>4438</v>
      </c>
      <c r="J5895" t="s">
        <v>34264</v>
      </c>
      <c r="K5895" t="s">
        <v>42732</v>
      </c>
      <c r="M5895" t="s">
        <v>45321</v>
      </c>
      <c r="N5895" t="s">
        <v>47424</v>
      </c>
      <c r="O5895" t="s">
        <v>47425</v>
      </c>
      <c r="P5895">
        <v>0</v>
      </c>
      <c r="Q5895">
        <v>1</v>
      </c>
      <c r="R5895" t="s">
        <v>47431</v>
      </c>
      <c r="S5895" t="s">
        <v>47565</v>
      </c>
      <c r="T5895" t="s">
        <v>49443</v>
      </c>
      <c r="U5895" t="s">
        <v>54658</v>
      </c>
      <c r="W5895" t="s">
        <v>45321</v>
      </c>
      <c r="X5895" t="s">
        <v>47444</v>
      </c>
    </row>
    <row r="5896" spans="1:24">
      <c r="A5896">
        <f>HYPERLINK("https://www.philgeps.gov.ph/GEPSNONPILOT/Tender/SplashBidNoticeAbstractUI.aspx?menuIndex=3&amp;refID=7132769&amp;Result=3","7132769")</f>
        <v>0</v>
      </c>
      <c r="B5896" t="s">
        <v>2143</v>
      </c>
      <c r="C5896" t="s">
        <v>9470</v>
      </c>
      <c r="E5896" t="s">
        <v>24254</v>
      </c>
      <c r="F5896" t="s">
        <v>32831</v>
      </c>
      <c r="G5896" t="s">
        <v>32840</v>
      </c>
      <c r="H5896" t="s">
        <v>32848</v>
      </c>
      <c r="I5896" t="s">
        <v>4438</v>
      </c>
      <c r="J5896" t="s">
        <v>36735</v>
      </c>
      <c r="K5896" t="s">
        <v>42732</v>
      </c>
      <c r="M5896" t="s">
        <v>45322</v>
      </c>
      <c r="N5896" t="s">
        <v>47424</v>
      </c>
      <c r="O5896" t="s">
        <v>47425</v>
      </c>
      <c r="P5896">
        <v>0</v>
      </c>
      <c r="Q5896">
        <v>2</v>
      </c>
      <c r="R5896" t="s">
        <v>47431</v>
      </c>
      <c r="S5896" t="s">
        <v>47565</v>
      </c>
      <c r="T5896" t="s">
        <v>49255</v>
      </c>
      <c r="U5896" t="s">
        <v>54659</v>
      </c>
      <c r="W5896" t="s">
        <v>45322</v>
      </c>
      <c r="X5896" t="s">
        <v>47444</v>
      </c>
    </row>
    <row r="5897" spans="1:24">
      <c r="A5897">
        <f>HYPERLINK("https://www.philgeps.gov.ph/GEPSNONPILOT/Tender/SplashBidNoticeAbstractUI.aspx?menuIndex=3&amp;refID=7161679&amp;Result=3","7161679")</f>
        <v>0</v>
      </c>
      <c r="B5897" t="s">
        <v>410</v>
      </c>
      <c r="C5897" t="s">
        <v>9471</v>
      </c>
      <c r="D5897" t="s">
        <v>19031</v>
      </c>
      <c r="E5897" t="s">
        <v>21144</v>
      </c>
      <c r="F5897" t="s">
        <v>32831</v>
      </c>
      <c r="G5897" t="s">
        <v>32842</v>
      </c>
      <c r="H5897" t="s">
        <v>32848</v>
      </c>
      <c r="I5897" t="s">
        <v>32860</v>
      </c>
      <c r="J5897" t="s">
        <v>36736</v>
      </c>
      <c r="K5897" t="s">
        <v>42730</v>
      </c>
      <c r="M5897" t="s">
        <v>43415</v>
      </c>
      <c r="N5897" t="s">
        <v>47424</v>
      </c>
      <c r="O5897" t="s">
        <v>47425</v>
      </c>
      <c r="P5897">
        <v>0</v>
      </c>
      <c r="Q5897">
        <v>0</v>
      </c>
      <c r="R5897" t="s">
        <v>47430</v>
      </c>
      <c r="S5897" t="s">
        <v>47549</v>
      </c>
      <c r="T5897" t="s">
        <v>49059</v>
      </c>
      <c r="U5897" t="s">
        <v>54660</v>
      </c>
      <c r="V5897" t="s">
        <v>63288</v>
      </c>
      <c r="W5897" t="s">
        <v>43415</v>
      </c>
      <c r="X5897" t="s">
        <v>47431</v>
      </c>
    </row>
    <row r="5898" spans="1:24">
      <c r="A5898">
        <f>HYPERLINK("https://www.philgeps.gov.ph/GEPSNONPILOT/Tender/SplashBidNoticeAbstractUI.aspx?menuIndex=3&amp;refID=7120778-2&amp;Result=3","7120778-2")</f>
        <v>0</v>
      </c>
      <c r="B5898" t="s">
        <v>2144</v>
      </c>
      <c r="C5898" t="s">
        <v>9472</v>
      </c>
      <c r="D5898" t="s">
        <v>19041</v>
      </c>
      <c r="E5898" t="s">
        <v>24255</v>
      </c>
      <c r="F5898" t="s">
        <v>32831</v>
      </c>
      <c r="G5898" t="s">
        <v>32845</v>
      </c>
      <c r="H5898" t="s">
        <v>14069</v>
      </c>
      <c r="I5898" t="s">
        <v>14069</v>
      </c>
      <c r="J5898" t="s">
        <v>36737</v>
      </c>
      <c r="K5898" t="s">
        <v>42729</v>
      </c>
      <c r="M5898" t="s">
        <v>45323</v>
      </c>
      <c r="N5898" t="s">
        <v>47424</v>
      </c>
      <c r="O5898" t="s">
        <v>47425</v>
      </c>
      <c r="P5898">
        <v>0</v>
      </c>
      <c r="Q5898">
        <v>1</v>
      </c>
      <c r="R5898" t="s">
        <v>47431</v>
      </c>
      <c r="S5898" t="s">
        <v>47565</v>
      </c>
      <c r="T5898" t="s">
        <v>49323</v>
      </c>
      <c r="U5898" t="s">
        <v>54661</v>
      </c>
      <c r="W5898" t="s">
        <v>45323</v>
      </c>
      <c r="X5898" t="s">
        <v>47433</v>
      </c>
    </row>
    <row r="5899" spans="1:24">
      <c r="A5899">
        <f>HYPERLINK("https://www.philgeps.gov.ph/GEPSNONPILOT/Tender/SplashBidNoticeAbstractUI.aspx?menuIndex=3&amp;refID=7110874&amp;Result=3","7110874")</f>
        <v>0</v>
      </c>
      <c r="B5899" t="s">
        <v>1553</v>
      </c>
      <c r="C5899" t="s">
        <v>9473</v>
      </c>
      <c r="D5899" t="s">
        <v>19027</v>
      </c>
      <c r="E5899" t="s">
        <v>20783</v>
      </c>
      <c r="F5899" t="s">
        <v>32831</v>
      </c>
      <c r="G5899" t="s">
        <v>32839</v>
      </c>
      <c r="H5899" t="s">
        <v>32848</v>
      </c>
      <c r="I5899" t="s">
        <v>7416</v>
      </c>
      <c r="J5899" t="s">
        <v>36738</v>
      </c>
      <c r="K5899" t="s">
        <v>42732</v>
      </c>
      <c r="M5899" t="s">
        <v>44660</v>
      </c>
      <c r="N5899" t="s">
        <v>47424</v>
      </c>
      <c r="O5899" t="s">
        <v>47425</v>
      </c>
      <c r="P5899">
        <v>0</v>
      </c>
      <c r="Q5899">
        <v>1</v>
      </c>
      <c r="R5899" t="s">
        <v>47431</v>
      </c>
      <c r="S5899" t="s">
        <v>47565</v>
      </c>
      <c r="T5899" t="s">
        <v>49291</v>
      </c>
      <c r="U5899" t="s">
        <v>54662</v>
      </c>
      <c r="W5899" t="s">
        <v>44660</v>
      </c>
      <c r="X5899" t="s">
        <v>47453</v>
      </c>
    </row>
    <row r="5900" spans="1:24">
      <c r="A5900">
        <f>HYPERLINK("https://www.philgeps.gov.ph/GEPSNONPILOT/Tender/SplashBidNoticeAbstractUI.aspx?menuIndex=3&amp;refID=7133361&amp;Result=3","7133361")</f>
        <v>0</v>
      </c>
      <c r="B5900" t="s">
        <v>272</v>
      </c>
      <c r="C5900" t="s">
        <v>9474</v>
      </c>
      <c r="D5900" t="s">
        <v>19077</v>
      </c>
      <c r="E5900" t="s">
        <v>24256</v>
      </c>
      <c r="F5900" t="s">
        <v>32831</v>
      </c>
      <c r="G5900" t="s">
        <v>32838</v>
      </c>
      <c r="H5900" t="s">
        <v>32848</v>
      </c>
      <c r="I5900" t="s">
        <v>4438</v>
      </c>
      <c r="J5900" t="s">
        <v>36233</v>
      </c>
      <c r="K5900" t="s">
        <v>42732</v>
      </c>
      <c r="M5900" t="s">
        <v>45324</v>
      </c>
      <c r="N5900" t="s">
        <v>47424</v>
      </c>
      <c r="O5900" t="s">
        <v>47425</v>
      </c>
      <c r="P5900">
        <v>0</v>
      </c>
      <c r="Q5900">
        <v>2</v>
      </c>
      <c r="R5900" t="s">
        <v>47431</v>
      </c>
      <c r="S5900" t="s">
        <v>47565</v>
      </c>
      <c r="T5900" t="s">
        <v>49079</v>
      </c>
      <c r="U5900" t="s">
        <v>54663</v>
      </c>
      <c r="W5900" t="s">
        <v>45324</v>
      </c>
      <c r="X5900" t="s">
        <v>47444</v>
      </c>
    </row>
    <row r="5901" spans="1:24">
      <c r="A5901">
        <f>HYPERLINK("https://www.philgeps.gov.ph/GEPSNONPILOT/Tender/SplashBidNoticeAbstractUI.aspx?menuIndex=3&amp;refID=7139324&amp;Result=3","7139324")</f>
        <v>0</v>
      </c>
      <c r="B5901" t="s">
        <v>2145</v>
      </c>
      <c r="C5901" t="s">
        <v>7454</v>
      </c>
      <c r="D5901" t="s">
        <v>19091</v>
      </c>
      <c r="E5901" t="s">
        <v>24257</v>
      </c>
      <c r="F5901" t="s">
        <v>32831</v>
      </c>
      <c r="G5901" t="s">
        <v>32839</v>
      </c>
      <c r="H5901" t="s">
        <v>32849</v>
      </c>
      <c r="I5901" t="s">
        <v>4177</v>
      </c>
      <c r="J5901" t="s">
        <v>33090</v>
      </c>
      <c r="K5901" t="s">
        <v>42767</v>
      </c>
      <c r="M5901" t="s">
        <v>45325</v>
      </c>
      <c r="N5901" t="s">
        <v>47424</v>
      </c>
      <c r="O5901" t="s">
        <v>47425</v>
      </c>
      <c r="P5901">
        <v>0</v>
      </c>
      <c r="Q5901">
        <v>0</v>
      </c>
      <c r="R5901" t="s">
        <v>47431</v>
      </c>
      <c r="S5901" t="s">
        <v>47565</v>
      </c>
      <c r="T5901" t="s">
        <v>49056</v>
      </c>
      <c r="U5901" t="s">
        <v>54664</v>
      </c>
      <c r="W5901" t="s">
        <v>45325</v>
      </c>
      <c r="X5901" t="s">
        <v>47440</v>
      </c>
    </row>
    <row r="5902" spans="1:24">
      <c r="A5902">
        <f>HYPERLINK("https://www.philgeps.gov.ph/GEPSNONPILOT/Tender/SplashBidNoticeAbstractUI.aspx?menuIndex=3&amp;refID=7002914-2&amp;Result=3","7002914-2")</f>
        <v>0</v>
      </c>
      <c r="B5902" t="s">
        <v>2146</v>
      </c>
      <c r="C5902" t="s">
        <v>9475</v>
      </c>
      <c r="D5902" t="s">
        <v>19092</v>
      </c>
      <c r="E5902" t="s">
        <v>24258</v>
      </c>
      <c r="F5902" t="s">
        <v>32831</v>
      </c>
      <c r="G5902" t="s">
        <v>32842</v>
      </c>
      <c r="H5902" t="s">
        <v>32848</v>
      </c>
      <c r="I5902" t="s">
        <v>32874</v>
      </c>
      <c r="J5902" t="s">
        <v>33133</v>
      </c>
      <c r="K5902" t="s">
        <v>42730</v>
      </c>
      <c r="M5902" t="s">
        <v>45326</v>
      </c>
      <c r="N5902" t="s">
        <v>47424</v>
      </c>
      <c r="O5902" t="s">
        <v>47425</v>
      </c>
      <c r="P5902">
        <v>0</v>
      </c>
      <c r="Q5902">
        <v>3</v>
      </c>
      <c r="R5902" t="s">
        <v>47431</v>
      </c>
      <c r="S5902" t="s">
        <v>47565</v>
      </c>
      <c r="T5902" t="s">
        <v>49127</v>
      </c>
      <c r="U5902" t="s">
        <v>54665</v>
      </c>
      <c r="W5902" t="s">
        <v>45326</v>
      </c>
      <c r="X5902" t="s">
        <v>47432</v>
      </c>
    </row>
    <row r="5903" spans="1:24">
      <c r="A5903">
        <f>HYPERLINK("https://www.philgeps.gov.ph/GEPSNONPILOT/Tender/SplashBidNoticeAbstractUI.aspx?menuIndex=3&amp;refID=7139190&amp;Result=3","7139190")</f>
        <v>0</v>
      </c>
      <c r="B5903" t="s">
        <v>2147</v>
      </c>
      <c r="C5903" t="s">
        <v>7743</v>
      </c>
      <c r="D5903" t="s">
        <v>19086</v>
      </c>
      <c r="E5903" t="s">
        <v>19861</v>
      </c>
      <c r="F5903" t="s">
        <v>32831</v>
      </c>
      <c r="G5903" t="s">
        <v>32839</v>
      </c>
      <c r="H5903" t="s">
        <v>32849</v>
      </c>
      <c r="I5903" t="s">
        <v>4177</v>
      </c>
      <c r="J5903" t="s">
        <v>36739</v>
      </c>
      <c r="K5903" t="s">
        <v>42730</v>
      </c>
      <c r="M5903" t="s">
        <v>45327</v>
      </c>
      <c r="N5903" t="s">
        <v>47424</v>
      </c>
      <c r="O5903" t="s">
        <v>47425</v>
      </c>
      <c r="P5903">
        <v>0</v>
      </c>
      <c r="Q5903">
        <v>1</v>
      </c>
      <c r="R5903" t="s">
        <v>47431</v>
      </c>
      <c r="S5903" t="s">
        <v>47565</v>
      </c>
      <c r="T5903" t="s">
        <v>49125</v>
      </c>
      <c r="U5903" t="s">
        <v>54666</v>
      </c>
      <c r="W5903" t="s">
        <v>64503</v>
      </c>
      <c r="X5903" t="s">
        <v>47440</v>
      </c>
    </row>
    <row r="5904" spans="1:24">
      <c r="A5904">
        <f>HYPERLINK("https://www.philgeps.gov.ph/GEPSNONPILOT/Tender/SplashBidNoticeAbstractUI.aspx?menuIndex=3&amp;refID=7161776&amp;Result=3","7161776")</f>
        <v>0</v>
      </c>
      <c r="B5904" t="s">
        <v>84</v>
      </c>
      <c r="C5904" t="s">
        <v>9476</v>
      </c>
      <c r="E5904" t="s">
        <v>24259</v>
      </c>
      <c r="F5904" t="s">
        <v>32831</v>
      </c>
      <c r="G5904" t="s">
        <v>32838</v>
      </c>
      <c r="H5904" t="s">
        <v>32848</v>
      </c>
      <c r="I5904" t="s">
        <v>32905</v>
      </c>
      <c r="J5904" t="s">
        <v>33702</v>
      </c>
      <c r="K5904" t="s">
        <v>42732</v>
      </c>
      <c r="M5904" t="s">
        <v>43081</v>
      </c>
      <c r="N5904" t="s">
        <v>47424</v>
      </c>
      <c r="O5904" t="s">
        <v>47425</v>
      </c>
      <c r="P5904">
        <v>0</v>
      </c>
      <c r="Q5904">
        <v>0</v>
      </c>
      <c r="R5904" t="s">
        <v>47430</v>
      </c>
      <c r="S5904" t="s">
        <v>47549</v>
      </c>
      <c r="T5904" t="s">
        <v>49104</v>
      </c>
      <c r="U5904" t="s">
        <v>49781</v>
      </c>
      <c r="W5904" t="s">
        <v>43081</v>
      </c>
      <c r="X5904" t="s">
        <v>47431</v>
      </c>
    </row>
    <row r="5905" spans="1:24">
      <c r="A5905">
        <f>HYPERLINK("https://www.philgeps.gov.ph/GEPSNONPILOT/Tender/SplashBidNoticeAbstractUI.aspx?menuIndex=3&amp;refID=7149378&amp;Result=3","7149378")</f>
        <v>0</v>
      </c>
      <c r="B5905" t="s">
        <v>2148</v>
      </c>
      <c r="C5905" t="s">
        <v>9477</v>
      </c>
      <c r="D5905" t="s">
        <v>19038</v>
      </c>
      <c r="E5905" t="s">
        <v>24260</v>
      </c>
      <c r="F5905" t="s">
        <v>32831</v>
      </c>
      <c r="G5905" t="s">
        <v>32839</v>
      </c>
      <c r="H5905" t="s">
        <v>32849</v>
      </c>
      <c r="I5905" t="s">
        <v>4177</v>
      </c>
      <c r="J5905" t="s">
        <v>33083</v>
      </c>
      <c r="K5905" t="s">
        <v>42728</v>
      </c>
      <c r="M5905" t="s">
        <v>45328</v>
      </c>
      <c r="N5905" t="s">
        <v>47424</v>
      </c>
      <c r="O5905" t="s">
        <v>47425</v>
      </c>
      <c r="P5905">
        <v>0</v>
      </c>
      <c r="Q5905">
        <v>2</v>
      </c>
      <c r="R5905" t="s">
        <v>47431</v>
      </c>
      <c r="S5905" t="s">
        <v>47565</v>
      </c>
      <c r="T5905" t="s">
        <v>49444</v>
      </c>
      <c r="U5905" t="s">
        <v>54667</v>
      </c>
      <c r="W5905" t="s">
        <v>45328</v>
      </c>
      <c r="X5905" t="s">
        <v>47434</v>
      </c>
    </row>
    <row r="5906" spans="1:24">
      <c r="A5906">
        <f>HYPERLINK("https://www.philgeps.gov.ph/GEPSNONPILOT/Tender/SplashBidNoticeAbstractUI.aspx?menuIndex=3&amp;refID=7084407-2&amp;Result=3","7084407-2")</f>
        <v>0</v>
      </c>
      <c r="B5906" t="s">
        <v>1587</v>
      </c>
      <c r="C5906" t="s">
        <v>9478</v>
      </c>
      <c r="D5906" t="s">
        <v>19057</v>
      </c>
      <c r="E5906" t="s">
        <v>24261</v>
      </c>
      <c r="F5906" t="s">
        <v>32831</v>
      </c>
      <c r="G5906" t="s">
        <v>32839</v>
      </c>
      <c r="H5906" t="s">
        <v>14069</v>
      </c>
      <c r="I5906" t="s">
        <v>14069</v>
      </c>
      <c r="J5906" t="s">
        <v>36740</v>
      </c>
      <c r="K5906" t="s">
        <v>42751</v>
      </c>
      <c r="L5906" t="s">
        <v>43019</v>
      </c>
      <c r="M5906" t="s">
        <v>44700</v>
      </c>
      <c r="N5906" t="s">
        <v>47424</v>
      </c>
      <c r="O5906" t="s">
        <v>47425</v>
      </c>
      <c r="P5906">
        <v>0</v>
      </c>
      <c r="Q5906">
        <v>0</v>
      </c>
      <c r="R5906" t="s">
        <v>47431</v>
      </c>
      <c r="S5906" t="s">
        <v>47565</v>
      </c>
      <c r="T5906" t="s">
        <v>49056</v>
      </c>
      <c r="U5906" t="s">
        <v>54668</v>
      </c>
      <c r="W5906" t="s">
        <v>44700</v>
      </c>
      <c r="X5906" t="s">
        <v>47432</v>
      </c>
    </row>
    <row r="5907" spans="1:24">
      <c r="A5907">
        <f>HYPERLINK("https://www.philgeps.gov.ph/GEPSNONPILOT/Tender/SplashBidNoticeAbstractUI.aspx?menuIndex=3&amp;refID=6820698&amp;Result=3","6820698")</f>
        <v>0</v>
      </c>
      <c r="B5907" t="s">
        <v>2149</v>
      </c>
      <c r="C5907" t="s">
        <v>9479</v>
      </c>
      <c r="D5907" t="s">
        <v>19043</v>
      </c>
      <c r="E5907" t="s">
        <v>24262</v>
      </c>
      <c r="F5907" t="s">
        <v>32831</v>
      </c>
      <c r="G5907" t="s">
        <v>32840</v>
      </c>
      <c r="H5907" t="s">
        <v>32848</v>
      </c>
      <c r="I5907" t="s">
        <v>7416</v>
      </c>
      <c r="J5907" t="s">
        <v>36741</v>
      </c>
      <c r="K5907" t="s">
        <v>42748</v>
      </c>
      <c r="M5907" t="s">
        <v>45329</v>
      </c>
      <c r="N5907" t="s">
        <v>47424</v>
      </c>
      <c r="O5907" t="s">
        <v>47425</v>
      </c>
      <c r="P5907">
        <v>0</v>
      </c>
      <c r="Q5907">
        <v>0</v>
      </c>
      <c r="R5907" t="s">
        <v>47431</v>
      </c>
      <c r="S5907" t="s">
        <v>47565</v>
      </c>
      <c r="T5907" t="s">
        <v>49056</v>
      </c>
      <c r="U5907" t="s">
        <v>54669</v>
      </c>
      <c r="W5907" t="s">
        <v>45329</v>
      </c>
      <c r="X5907" t="s">
        <v>64571</v>
      </c>
    </row>
    <row r="5908" spans="1:24">
      <c r="A5908">
        <f>HYPERLINK("https://www.philgeps.gov.ph/GEPSNONPILOT/Tender/SplashBidNoticeAbstractUI.aspx?menuIndex=3&amp;refID=7149232&amp;Result=3","7149232")</f>
        <v>0</v>
      </c>
      <c r="B5908" t="s">
        <v>998</v>
      </c>
      <c r="C5908" t="s">
        <v>9480</v>
      </c>
      <c r="D5908" t="s">
        <v>19049</v>
      </c>
      <c r="E5908" t="s">
        <v>24263</v>
      </c>
      <c r="F5908" t="s">
        <v>32831</v>
      </c>
      <c r="G5908" t="s">
        <v>32839</v>
      </c>
      <c r="H5908" t="s">
        <v>32848</v>
      </c>
      <c r="I5908" t="s">
        <v>4558</v>
      </c>
      <c r="J5908" t="s">
        <v>36742</v>
      </c>
      <c r="K5908" t="s">
        <v>42730</v>
      </c>
      <c r="M5908" t="s">
        <v>45330</v>
      </c>
      <c r="N5908" t="s">
        <v>47424</v>
      </c>
      <c r="O5908" t="s">
        <v>47425</v>
      </c>
      <c r="P5908">
        <v>0</v>
      </c>
      <c r="Q5908">
        <v>17</v>
      </c>
      <c r="R5908" t="s">
        <v>47431</v>
      </c>
      <c r="S5908" t="s">
        <v>47565</v>
      </c>
      <c r="T5908" t="s">
        <v>49077</v>
      </c>
      <c r="U5908" t="s">
        <v>54670</v>
      </c>
      <c r="W5908" t="s">
        <v>45330</v>
      </c>
      <c r="X5908" t="s">
        <v>47434</v>
      </c>
    </row>
    <row r="5909" spans="1:24">
      <c r="A5909">
        <f>HYPERLINK("https://www.philgeps.gov.ph/GEPSNONPILOT/Tender/SplashBidNoticeAbstractUI.aspx?menuIndex=3&amp;refID=7148717&amp;Result=3","7148717")</f>
        <v>0</v>
      </c>
      <c r="B5909" t="s">
        <v>2150</v>
      </c>
      <c r="C5909" t="s">
        <v>9481</v>
      </c>
      <c r="D5909" t="s">
        <v>19044</v>
      </c>
      <c r="E5909" t="s">
        <v>24264</v>
      </c>
      <c r="F5909" t="s">
        <v>32831</v>
      </c>
      <c r="G5909" t="s">
        <v>32839</v>
      </c>
      <c r="H5909" t="s">
        <v>32848</v>
      </c>
      <c r="I5909" t="s">
        <v>7751</v>
      </c>
      <c r="J5909" t="s">
        <v>32978</v>
      </c>
      <c r="K5909" t="s">
        <v>42727</v>
      </c>
      <c r="M5909" t="s">
        <v>45331</v>
      </c>
      <c r="N5909" t="s">
        <v>47424</v>
      </c>
      <c r="O5909" t="s">
        <v>47425</v>
      </c>
      <c r="P5909">
        <v>0</v>
      </c>
      <c r="Q5909">
        <v>1</v>
      </c>
      <c r="R5909" t="s">
        <v>47431</v>
      </c>
      <c r="S5909" t="s">
        <v>47565</v>
      </c>
      <c r="T5909" t="s">
        <v>49319</v>
      </c>
      <c r="U5909" t="s">
        <v>54671</v>
      </c>
      <c r="W5909" t="s">
        <v>45331</v>
      </c>
      <c r="X5909" t="s">
        <v>47436</v>
      </c>
    </row>
    <row r="5910" spans="1:24">
      <c r="A5910">
        <f>HYPERLINK("https://www.philgeps.gov.ph/GEPSNONPILOT/Tender/SplashBidNoticeAbstractUI.aspx?menuIndex=3&amp;refID=7137525&amp;Result=3","7137525")</f>
        <v>0</v>
      </c>
      <c r="B5910" t="s">
        <v>2151</v>
      </c>
      <c r="C5910" t="s">
        <v>9482</v>
      </c>
      <c r="D5910" t="s">
        <v>19054</v>
      </c>
      <c r="E5910" t="s">
        <v>24265</v>
      </c>
      <c r="F5910" t="s">
        <v>32831</v>
      </c>
      <c r="G5910" t="s">
        <v>32839</v>
      </c>
      <c r="H5910" t="s">
        <v>32848</v>
      </c>
      <c r="I5910" t="s">
        <v>4776</v>
      </c>
      <c r="J5910" t="s">
        <v>36743</v>
      </c>
      <c r="K5910" t="s">
        <v>42763</v>
      </c>
      <c r="M5910" t="s">
        <v>45332</v>
      </c>
      <c r="N5910" t="s">
        <v>47424</v>
      </c>
      <c r="O5910" t="s">
        <v>47425</v>
      </c>
      <c r="P5910">
        <v>0</v>
      </c>
      <c r="Q5910">
        <v>2</v>
      </c>
      <c r="R5910" t="s">
        <v>47431</v>
      </c>
      <c r="S5910" t="s">
        <v>47565</v>
      </c>
      <c r="T5910" t="s">
        <v>49160</v>
      </c>
      <c r="U5910" t="s">
        <v>54672</v>
      </c>
      <c r="W5910" t="s">
        <v>45332</v>
      </c>
      <c r="X5910" t="s">
        <v>47441</v>
      </c>
    </row>
    <row r="5911" spans="1:24">
      <c r="A5911">
        <f>HYPERLINK("https://www.philgeps.gov.ph/GEPSNONPILOT/Tender/SplashBidNoticeAbstractUI.aspx?menuIndex=3&amp;refID=7148647&amp;Result=3","7148647")</f>
        <v>0</v>
      </c>
      <c r="B5911" t="s">
        <v>2152</v>
      </c>
      <c r="C5911" t="s">
        <v>9483</v>
      </c>
      <c r="D5911" t="s">
        <v>19044</v>
      </c>
      <c r="E5911" t="s">
        <v>24266</v>
      </c>
      <c r="F5911" t="s">
        <v>32831</v>
      </c>
      <c r="G5911" t="s">
        <v>32839</v>
      </c>
      <c r="H5911" t="s">
        <v>32848</v>
      </c>
      <c r="I5911" t="s">
        <v>4303</v>
      </c>
      <c r="J5911" t="s">
        <v>36744</v>
      </c>
      <c r="K5911" t="s">
        <v>42727</v>
      </c>
      <c r="M5911" t="s">
        <v>45333</v>
      </c>
      <c r="N5911" t="s">
        <v>47424</v>
      </c>
      <c r="O5911" t="s">
        <v>47425</v>
      </c>
      <c r="P5911">
        <v>0</v>
      </c>
      <c r="Q5911">
        <v>1</v>
      </c>
      <c r="R5911" t="s">
        <v>47431</v>
      </c>
      <c r="S5911" t="s">
        <v>47565</v>
      </c>
      <c r="T5911" t="s">
        <v>49319</v>
      </c>
      <c r="U5911" t="s">
        <v>54673</v>
      </c>
      <c r="W5911" t="s">
        <v>45333</v>
      </c>
      <c r="X5911" t="s">
        <v>47436</v>
      </c>
    </row>
    <row r="5912" spans="1:24">
      <c r="A5912">
        <f>HYPERLINK("https://www.philgeps.gov.ph/GEPSNONPILOT/Tender/SplashBidNoticeAbstractUI.aspx?menuIndex=3&amp;refID=7146658&amp;Result=3","7146658")</f>
        <v>0</v>
      </c>
      <c r="B5912" t="s">
        <v>1589</v>
      </c>
      <c r="C5912" t="s">
        <v>9484</v>
      </c>
      <c r="D5912" t="s">
        <v>19044</v>
      </c>
      <c r="E5912" t="s">
        <v>24267</v>
      </c>
      <c r="F5912" t="s">
        <v>32831</v>
      </c>
      <c r="G5912" t="s">
        <v>32839</v>
      </c>
      <c r="H5912" t="s">
        <v>32849</v>
      </c>
      <c r="I5912" t="s">
        <v>4177</v>
      </c>
      <c r="J5912" t="s">
        <v>36745</v>
      </c>
      <c r="K5912" t="s">
        <v>42747</v>
      </c>
      <c r="M5912" t="s">
        <v>44703</v>
      </c>
      <c r="N5912" t="s">
        <v>47424</v>
      </c>
      <c r="O5912" t="s">
        <v>47425</v>
      </c>
      <c r="P5912">
        <v>0</v>
      </c>
      <c r="Q5912">
        <v>0</v>
      </c>
      <c r="R5912" t="s">
        <v>47431</v>
      </c>
      <c r="S5912" t="s">
        <v>47565</v>
      </c>
      <c r="T5912" t="s">
        <v>49221</v>
      </c>
      <c r="U5912" t="s">
        <v>54674</v>
      </c>
      <c r="W5912" t="s">
        <v>44703</v>
      </c>
      <c r="X5912" t="s">
        <v>47438</v>
      </c>
    </row>
    <row r="5913" spans="1:24">
      <c r="A5913">
        <f>HYPERLINK("https://www.philgeps.gov.ph/GEPSNONPILOT/Tender/SplashBidNoticeAbstractUI.aspx?menuIndex=3&amp;refID=7148726&amp;Result=3","7148726")</f>
        <v>0</v>
      </c>
      <c r="B5913" t="s">
        <v>2153</v>
      </c>
      <c r="C5913" t="s">
        <v>9485</v>
      </c>
      <c r="D5913" t="s">
        <v>19044</v>
      </c>
      <c r="E5913" t="s">
        <v>24268</v>
      </c>
      <c r="F5913" t="s">
        <v>32831</v>
      </c>
      <c r="G5913" t="s">
        <v>32839</v>
      </c>
      <c r="H5913" t="s">
        <v>32848</v>
      </c>
      <c r="I5913" t="s">
        <v>7751</v>
      </c>
      <c r="J5913" t="s">
        <v>33279</v>
      </c>
      <c r="K5913" t="s">
        <v>42727</v>
      </c>
      <c r="M5913" t="s">
        <v>45334</v>
      </c>
      <c r="N5913" t="s">
        <v>47424</v>
      </c>
      <c r="O5913" t="s">
        <v>47425</v>
      </c>
      <c r="P5913">
        <v>0</v>
      </c>
      <c r="Q5913">
        <v>1</v>
      </c>
      <c r="R5913" t="s">
        <v>47431</v>
      </c>
      <c r="S5913" t="s">
        <v>47565</v>
      </c>
      <c r="T5913" t="s">
        <v>49319</v>
      </c>
      <c r="U5913" t="s">
        <v>54675</v>
      </c>
      <c r="W5913" t="s">
        <v>45334</v>
      </c>
      <c r="X5913" t="s">
        <v>47436</v>
      </c>
    </row>
    <row r="5914" spans="1:24">
      <c r="A5914">
        <f>HYPERLINK("https://www.philgeps.gov.ph/GEPSNONPILOT/Tender/SplashBidNoticeAbstractUI.aspx?menuIndex=3&amp;refID=7146609&amp;Result=3","7146609")</f>
        <v>0</v>
      </c>
      <c r="B5914" t="s">
        <v>1589</v>
      </c>
      <c r="C5914" t="s">
        <v>9486</v>
      </c>
      <c r="D5914" t="s">
        <v>19044</v>
      </c>
      <c r="E5914" t="s">
        <v>24269</v>
      </c>
      <c r="F5914" t="s">
        <v>32831</v>
      </c>
      <c r="G5914" t="s">
        <v>32839</v>
      </c>
      <c r="H5914" t="s">
        <v>32849</v>
      </c>
      <c r="I5914" t="s">
        <v>4177</v>
      </c>
      <c r="J5914" t="s">
        <v>36746</v>
      </c>
      <c r="K5914" t="s">
        <v>42747</v>
      </c>
      <c r="M5914" t="s">
        <v>44703</v>
      </c>
      <c r="N5914" t="s">
        <v>47424</v>
      </c>
      <c r="O5914" t="s">
        <v>47425</v>
      </c>
      <c r="P5914">
        <v>0</v>
      </c>
      <c r="Q5914">
        <v>0</v>
      </c>
      <c r="R5914" t="s">
        <v>47431</v>
      </c>
      <c r="S5914" t="s">
        <v>47565</v>
      </c>
      <c r="T5914" t="s">
        <v>49221</v>
      </c>
      <c r="U5914" t="s">
        <v>54676</v>
      </c>
      <c r="W5914" t="s">
        <v>44703</v>
      </c>
      <c r="X5914" t="s">
        <v>47438</v>
      </c>
    </row>
    <row r="5915" spans="1:24">
      <c r="A5915">
        <f>HYPERLINK("https://www.philgeps.gov.ph/GEPSNONPILOT/Tender/SplashBidNoticeAbstractUI.aspx?menuIndex=3&amp;refID=7147516&amp;Result=3","7147516")</f>
        <v>0</v>
      </c>
      <c r="B5915" t="s">
        <v>2154</v>
      </c>
      <c r="C5915" t="s">
        <v>9487</v>
      </c>
      <c r="D5915" t="s">
        <v>19031</v>
      </c>
      <c r="E5915" t="s">
        <v>24270</v>
      </c>
      <c r="F5915" t="s">
        <v>32831</v>
      </c>
      <c r="G5915" t="s">
        <v>32839</v>
      </c>
      <c r="H5915" t="s">
        <v>32848</v>
      </c>
      <c r="I5915" t="s">
        <v>32855</v>
      </c>
      <c r="J5915" t="s">
        <v>36747</v>
      </c>
      <c r="K5915" t="s">
        <v>42727</v>
      </c>
      <c r="M5915" t="s">
        <v>45335</v>
      </c>
      <c r="N5915" t="s">
        <v>47424</v>
      </c>
      <c r="O5915" t="s">
        <v>47425</v>
      </c>
      <c r="P5915">
        <v>0</v>
      </c>
      <c r="Q5915">
        <v>11</v>
      </c>
      <c r="R5915" t="s">
        <v>47431</v>
      </c>
      <c r="S5915" t="s">
        <v>47565</v>
      </c>
      <c r="T5915" t="s">
        <v>49251</v>
      </c>
      <c r="U5915" t="s">
        <v>54677</v>
      </c>
      <c r="W5915" t="s">
        <v>45335</v>
      </c>
      <c r="X5915" t="s">
        <v>47438</v>
      </c>
    </row>
    <row r="5916" spans="1:24">
      <c r="A5916">
        <f>HYPERLINK("https://www.philgeps.gov.ph/GEPSNONPILOT/Tender/SplashBidNoticeAbstractUI.aspx?menuIndex=3&amp;refID=7149254&amp;Result=3","7149254")</f>
        <v>0</v>
      </c>
      <c r="B5916" t="s">
        <v>2155</v>
      </c>
      <c r="C5916" t="s">
        <v>9488</v>
      </c>
      <c r="D5916" t="s">
        <v>19021</v>
      </c>
      <c r="E5916" t="s">
        <v>24271</v>
      </c>
      <c r="F5916" t="s">
        <v>32831</v>
      </c>
      <c r="G5916" t="s">
        <v>32839</v>
      </c>
      <c r="H5916" t="s">
        <v>32849</v>
      </c>
      <c r="I5916" t="s">
        <v>4177</v>
      </c>
      <c r="J5916" t="s">
        <v>33083</v>
      </c>
      <c r="K5916" t="s">
        <v>42732</v>
      </c>
      <c r="M5916" t="s">
        <v>45336</v>
      </c>
      <c r="N5916" t="s">
        <v>47424</v>
      </c>
      <c r="O5916" t="s">
        <v>47425</v>
      </c>
      <c r="P5916">
        <v>0</v>
      </c>
      <c r="Q5916">
        <v>10</v>
      </c>
      <c r="R5916" t="s">
        <v>47431</v>
      </c>
      <c r="S5916" t="s">
        <v>47565</v>
      </c>
      <c r="T5916" t="s">
        <v>49108</v>
      </c>
      <c r="U5916" t="s">
        <v>54678</v>
      </c>
      <c r="W5916" t="s">
        <v>45336</v>
      </c>
      <c r="X5916" t="s">
        <v>47434</v>
      </c>
    </row>
    <row r="5917" spans="1:24">
      <c r="A5917">
        <f>HYPERLINK("https://www.philgeps.gov.ph/GEPSNONPILOT/Tender/SplashBidNoticeAbstractUI.aspx?menuIndex=3&amp;refID=7141032&amp;Result=3","7141032")</f>
        <v>0</v>
      </c>
      <c r="B5917" t="s">
        <v>1155</v>
      </c>
      <c r="C5917" t="s">
        <v>9489</v>
      </c>
      <c r="D5917" t="s">
        <v>19034</v>
      </c>
      <c r="E5917" t="s">
        <v>24272</v>
      </c>
      <c r="F5917" t="s">
        <v>32831</v>
      </c>
      <c r="G5917" t="s">
        <v>32839</v>
      </c>
      <c r="H5917" t="s">
        <v>32849</v>
      </c>
      <c r="I5917" t="s">
        <v>4177</v>
      </c>
      <c r="J5917" t="s">
        <v>36748</v>
      </c>
      <c r="K5917" t="s">
        <v>42728</v>
      </c>
      <c r="M5917" t="s">
        <v>44220</v>
      </c>
      <c r="N5917" t="s">
        <v>47424</v>
      </c>
      <c r="O5917" t="s">
        <v>47425</v>
      </c>
      <c r="P5917">
        <v>0</v>
      </c>
      <c r="Q5917">
        <v>0</v>
      </c>
      <c r="R5917" t="s">
        <v>47431</v>
      </c>
      <c r="S5917" t="s">
        <v>47565</v>
      </c>
      <c r="T5917" t="s">
        <v>49358</v>
      </c>
      <c r="U5917" t="s">
        <v>54679</v>
      </c>
      <c r="W5917" t="s">
        <v>44220</v>
      </c>
      <c r="X5917" t="s">
        <v>47440</v>
      </c>
    </row>
    <row r="5918" spans="1:24">
      <c r="A5918">
        <f>HYPERLINK("https://www.philgeps.gov.ph/GEPSNONPILOT/Tender/SplashBidNoticeAbstractUI.aspx?menuIndex=3&amp;refID=7140997&amp;Result=3","7140997")</f>
        <v>0</v>
      </c>
      <c r="B5918" t="s">
        <v>1155</v>
      </c>
      <c r="C5918" t="s">
        <v>9490</v>
      </c>
      <c r="D5918" t="s">
        <v>19034</v>
      </c>
      <c r="E5918" t="s">
        <v>24273</v>
      </c>
      <c r="F5918" t="s">
        <v>32831</v>
      </c>
      <c r="G5918" t="s">
        <v>32839</v>
      </c>
      <c r="H5918" t="s">
        <v>32849</v>
      </c>
      <c r="I5918" t="s">
        <v>4177</v>
      </c>
      <c r="J5918" t="s">
        <v>34921</v>
      </c>
      <c r="K5918" t="s">
        <v>42757</v>
      </c>
      <c r="M5918" t="s">
        <v>44220</v>
      </c>
      <c r="N5918" t="s">
        <v>47424</v>
      </c>
      <c r="O5918" t="s">
        <v>47425</v>
      </c>
      <c r="P5918">
        <v>0</v>
      </c>
      <c r="Q5918">
        <v>0</v>
      </c>
      <c r="R5918" t="s">
        <v>47431</v>
      </c>
      <c r="S5918" t="s">
        <v>47565</v>
      </c>
      <c r="T5918" t="s">
        <v>49358</v>
      </c>
      <c r="U5918" t="s">
        <v>54680</v>
      </c>
      <c r="W5918" t="s">
        <v>44220</v>
      </c>
      <c r="X5918" t="s">
        <v>47440</v>
      </c>
    </row>
    <row r="5919" spans="1:24">
      <c r="A5919">
        <f>HYPERLINK("https://www.philgeps.gov.ph/GEPSNONPILOT/Tender/SplashBidNoticeAbstractUI.aspx?menuIndex=3&amp;refID=7145664&amp;Result=3","7145664")</f>
        <v>0</v>
      </c>
      <c r="B5919" t="s">
        <v>2156</v>
      </c>
      <c r="C5919" t="s">
        <v>9491</v>
      </c>
      <c r="E5919" t="s">
        <v>24274</v>
      </c>
      <c r="F5919" t="s">
        <v>32831</v>
      </c>
      <c r="G5919" t="s">
        <v>32840</v>
      </c>
      <c r="H5919" t="s">
        <v>32848</v>
      </c>
      <c r="I5919" t="s">
        <v>9577</v>
      </c>
      <c r="J5919" t="s">
        <v>33721</v>
      </c>
      <c r="K5919" t="s">
        <v>42758</v>
      </c>
      <c r="M5919" t="s">
        <v>45337</v>
      </c>
      <c r="N5919" t="s">
        <v>47424</v>
      </c>
      <c r="O5919" t="s">
        <v>47425</v>
      </c>
      <c r="P5919">
        <v>0</v>
      </c>
      <c r="Q5919">
        <v>3</v>
      </c>
      <c r="R5919" t="s">
        <v>47431</v>
      </c>
      <c r="S5919" t="s">
        <v>47565</v>
      </c>
      <c r="T5919" t="s">
        <v>49145</v>
      </c>
      <c r="U5919" t="s">
        <v>54681</v>
      </c>
      <c r="W5919" t="s">
        <v>45337</v>
      </c>
      <c r="X5919" t="s">
        <v>47438</v>
      </c>
    </row>
    <row r="5920" spans="1:24">
      <c r="A5920">
        <f>HYPERLINK("https://www.philgeps.gov.ph/GEPSNONPILOT/Tender/SplashBidNoticeAbstractUI.aspx?menuIndex=3&amp;refID=7140031&amp;Result=3","7140031")</f>
        <v>0</v>
      </c>
      <c r="B5920" t="s">
        <v>2157</v>
      </c>
      <c r="C5920" t="s">
        <v>9492</v>
      </c>
      <c r="E5920" t="s">
        <v>24275</v>
      </c>
      <c r="F5920" t="s">
        <v>32831</v>
      </c>
      <c r="G5920" t="s">
        <v>32839</v>
      </c>
      <c r="H5920" t="s">
        <v>32849</v>
      </c>
      <c r="I5920" t="s">
        <v>4177</v>
      </c>
      <c r="J5920" t="s">
        <v>33044</v>
      </c>
      <c r="K5920" t="s">
        <v>42727</v>
      </c>
      <c r="M5920" t="s">
        <v>44657</v>
      </c>
      <c r="N5920" t="s">
        <v>47424</v>
      </c>
      <c r="O5920" t="s">
        <v>47425</v>
      </c>
      <c r="P5920">
        <v>0</v>
      </c>
      <c r="Q5920">
        <v>0</v>
      </c>
      <c r="R5920" t="s">
        <v>47431</v>
      </c>
      <c r="S5920" t="s">
        <v>47565</v>
      </c>
      <c r="T5920" t="s">
        <v>49125</v>
      </c>
      <c r="U5920" t="s">
        <v>54682</v>
      </c>
      <c r="W5920" t="s">
        <v>44657</v>
      </c>
      <c r="X5920" t="s">
        <v>47440</v>
      </c>
    </row>
    <row r="5921" spans="1:24">
      <c r="A5921">
        <f>HYPERLINK("https://www.philgeps.gov.ph/GEPSNONPILOT/Tender/SplashBidNoticeAbstractUI.aspx?menuIndex=3&amp;refID=7130619&amp;Result=3","7130619")</f>
        <v>0</v>
      </c>
      <c r="B5921" t="s">
        <v>2158</v>
      </c>
      <c r="C5921" t="s">
        <v>9493</v>
      </c>
      <c r="D5921" t="s">
        <v>19086</v>
      </c>
      <c r="E5921" t="s">
        <v>24276</v>
      </c>
      <c r="F5921" t="s">
        <v>32831</v>
      </c>
      <c r="G5921" t="s">
        <v>32838</v>
      </c>
      <c r="H5921" t="s">
        <v>32849</v>
      </c>
      <c r="I5921" t="s">
        <v>4177</v>
      </c>
      <c r="J5921" t="s">
        <v>36749</v>
      </c>
      <c r="K5921" t="s">
        <v>42726</v>
      </c>
      <c r="M5921" t="s">
        <v>45338</v>
      </c>
      <c r="N5921" t="s">
        <v>47424</v>
      </c>
      <c r="O5921" t="s">
        <v>47425</v>
      </c>
      <c r="P5921">
        <v>0</v>
      </c>
      <c r="Q5921">
        <v>0</v>
      </c>
      <c r="R5921" t="s">
        <v>47431</v>
      </c>
      <c r="S5921" t="s">
        <v>47565</v>
      </c>
      <c r="T5921" t="s">
        <v>49150</v>
      </c>
      <c r="U5921" t="s">
        <v>54683</v>
      </c>
      <c r="W5921" t="s">
        <v>45338</v>
      </c>
      <c r="X5921" t="s">
        <v>47445</v>
      </c>
    </row>
    <row r="5922" spans="1:24">
      <c r="A5922">
        <f>HYPERLINK("https://www.philgeps.gov.ph/GEPSNONPILOT/Tender/SplashBidNoticeAbstractUI.aspx?menuIndex=3&amp;refID=7139467&amp;Result=3","7139467")</f>
        <v>0</v>
      </c>
      <c r="B5922" t="s">
        <v>2159</v>
      </c>
      <c r="C5922" t="s">
        <v>9492</v>
      </c>
      <c r="E5922" t="s">
        <v>24277</v>
      </c>
      <c r="F5922" t="s">
        <v>32831</v>
      </c>
      <c r="G5922" t="s">
        <v>32839</v>
      </c>
      <c r="H5922" t="s">
        <v>32849</v>
      </c>
      <c r="I5922" t="s">
        <v>4177</v>
      </c>
      <c r="J5922" t="s">
        <v>36750</v>
      </c>
      <c r="K5922" t="s">
        <v>42736</v>
      </c>
      <c r="M5922" t="s">
        <v>44657</v>
      </c>
      <c r="N5922" t="s">
        <v>47424</v>
      </c>
      <c r="O5922" t="s">
        <v>47425</v>
      </c>
      <c r="P5922">
        <v>0</v>
      </c>
      <c r="Q5922">
        <v>0</v>
      </c>
      <c r="R5922" t="s">
        <v>47431</v>
      </c>
      <c r="S5922" t="s">
        <v>47565</v>
      </c>
      <c r="T5922" t="s">
        <v>49125</v>
      </c>
      <c r="U5922" t="s">
        <v>54684</v>
      </c>
      <c r="W5922" t="s">
        <v>44657</v>
      </c>
      <c r="X5922" t="s">
        <v>47440</v>
      </c>
    </row>
    <row r="5923" spans="1:24">
      <c r="A5923">
        <f>HYPERLINK("https://www.philgeps.gov.ph/GEPSNONPILOT/Tender/SplashBidNoticeAbstractUI.aspx?menuIndex=3&amp;refID=7150850&amp;Result=3","7150850")</f>
        <v>0</v>
      </c>
      <c r="B5923" t="s">
        <v>2160</v>
      </c>
      <c r="C5923" t="s">
        <v>9494</v>
      </c>
      <c r="D5923" t="s">
        <v>19029</v>
      </c>
      <c r="E5923" t="s">
        <v>24278</v>
      </c>
      <c r="F5923" t="s">
        <v>32831</v>
      </c>
      <c r="G5923" t="s">
        <v>32839</v>
      </c>
      <c r="H5923" t="s">
        <v>32849</v>
      </c>
      <c r="I5923" t="s">
        <v>4177</v>
      </c>
      <c r="J5923" t="s">
        <v>36751</v>
      </c>
      <c r="K5923" t="s">
        <v>42731</v>
      </c>
      <c r="M5923" t="s">
        <v>45339</v>
      </c>
      <c r="N5923" t="s">
        <v>47424</v>
      </c>
      <c r="O5923" t="s">
        <v>47425</v>
      </c>
      <c r="P5923">
        <v>0</v>
      </c>
      <c r="Q5923">
        <v>0</v>
      </c>
      <c r="R5923" t="s">
        <v>47431</v>
      </c>
      <c r="S5923" t="s">
        <v>47565</v>
      </c>
      <c r="T5923" t="s">
        <v>49181</v>
      </c>
      <c r="U5923" t="s">
        <v>54685</v>
      </c>
      <c r="W5923" t="s">
        <v>45339</v>
      </c>
      <c r="X5923" t="s">
        <v>47434</v>
      </c>
    </row>
    <row r="5924" spans="1:24">
      <c r="A5924">
        <f>HYPERLINK("https://www.philgeps.gov.ph/GEPSNONPILOT/Tender/SplashBidNoticeAbstractUI.aspx?menuIndex=3&amp;refID=7146489&amp;Result=3","7146489")</f>
        <v>0</v>
      </c>
      <c r="B5924" t="s">
        <v>2161</v>
      </c>
      <c r="C5924" t="s">
        <v>9495</v>
      </c>
      <c r="D5924" t="s">
        <v>19082</v>
      </c>
      <c r="E5924" t="s">
        <v>24279</v>
      </c>
      <c r="F5924" t="s">
        <v>32831</v>
      </c>
      <c r="G5924" t="s">
        <v>32839</v>
      </c>
      <c r="H5924" t="s">
        <v>32848</v>
      </c>
      <c r="I5924" t="s">
        <v>4776</v>
      </c>
      <c r="J5924" t="s">
        <v>33044</v>
      </c>
      <c r="K5924" t="s">
        <v>42730</v>
      </c>
      <c r="M5924" t="s">
        <v>45340</v>
      </c>
      <c r="N5924" t="s">
        <v>47424</v>
      </c>
      <c r="O5924" t="s">
        <v>47425</v>
      </c>
      <c r="P5924">
        <v>0</v>
      </c>
      <c r="Q5924">
        <v>3</v>
      </c>
      <c r="R5924" t="s">
        <v>47431</v>
      </c>
      <c r="S5924" t="s">
        <v>47565</v>
      </c>
      <c r="T5924" t="s">
        <v>49193</v>
      </c>
      <c r="U5924" t="s">
        <v>54686</v>
      </c>
      <c r="W5924" t="s">
        <v>45340</v>
      </c>
      <c r="X5924" t="s">
        <v>47438</v>
      </c>
    </row>
    <row r="5925" spans="1:24">
      <c r="A5925">
        <f>HYPERLINK("https://www.philgeps.gov.ph/GEPSNONPILOT/Tender/SplashBidNoticeAbstractUI.aspx?menuIndex=3&amp;refID=7140052&amp;Result=3","7140052")</f>
        <v>0</v>
      </c>
      <c r="B5925" t="s">
        <v>2162</v>
      </c>
      <c r="C5925" t="s">
        <v>9492</v>
      </c>
      <c r="E5925" t="s">
        <v>24280</v>
      </c>
      <c r="F5925" t="s">
        <v>32831</v>
      </c>
      <c r="G5925" t="s">
        <v>32839</v>
      </c>
      <c r="H5925" t="s">
        <v>32849</v>
      </c>
      <c r="I5925" t="s">
        <v>4177</v>
      </c>
      <c r="J5925" t="s">
        <v>33364</v>
      </c>
      <c r="K5925" t="s">
        <v>42726</v>
      </c>
      <c r="M5925" t="s">
        <v>44657</v>
      </c>
      <c r="N5925" t="s">
        <v>47424</v>
      </c>
      <c r="O5925" t="s">
        <v>47425</v>
      </c>
      <c r="P5925">
        <v>0</v>
      </c>
      <c r="Q5925">
        <v>0</v>
      </c>
      <c r="R5925" t="s">
        <v>47431</v>
      </c>
      <c r="S5925" t="s">
        <v>47565</v>
      </c>
      <c r="T5925" t="s">
        <v>49125</v>
      </c>
      <c r="U5925" t="s">
        <v>54687</v>
      </c>
      <c r="W5925" t="s">
        <v>44657</v>
      </c>
      <c r="X5925" t="s">
        <v>47440</v>
      </c>
    </row>
    <row r="5926" spans="1:24">
      <c r="A5926">
        <f>HYPERLINK("https://www.philgeps.gov.ph/GEPSNONPILOT/Tender/SplashBidNoticeAbstractUI.aspx?menuIndex=3&amp;refID=7139173&amp;Result=3","7139173")</f>
        <v>0</v>
      </c>
      <c r="B5926" t="s">
        <v>2147</v>
      </c>
      <c r="C5926" t="s">
        <v>7743</v>
      </c>
      <c r="D5926" t="s">
        <v>19086</v>
      </c>
      <c r="E5926" t="s">
        <v>19854</v>
      </c>
      <c r="F5926" t="s">
        <v>32831</v>
      </c>
      <c r="G5926" t="s">
        <v>32839</v>
      </c>
      <c r="H5926" t="s">
        <v>32849</v>
      </c>
      <c r="I5926" t="s">
        <v>4177</v>
      </c>
      <c r="J5926" t="s">
        <v>36752</v>
      </c>
      <c r="K5926" t="s">
        <v>42730</v>
      </c>
      <c r="M5926" t="s">
        <v>45327</v>
      </c>
      <c r="N5926" t="s">
        <v>47424</v>
      </c>
      <c r="O5926" t="s">
        <v>47425</v>
      </c>
      <c r="P5926">
        <v>0</v>
      </c>
      <c r="Q5926">
        <v>0</v>
      </c>
      <c r="R5926" t="s">
        <v>47431</v>
      </c>
      <c r="S5926" t="s">
        <v>47565</v>
      </c>
      <c r="T5926" t="s">
        <v>49125</v>
      </c>
      <c r="U5926" t="s">
        <v>54688</v>
      </c>
      <c r="W5926" t="s">
        <v>64503</v>
      </c>
      <c r="X5926" t="s">
        <v>47440</v>
      </c>
    </row>
    <row r="5927" spans="1:24">
      <c r="A5927">
        <f>HYPERLINK("https://www.philgeps.gov.ph/GEPSNONPILOT/Tender/SplashBidNoticeAbstractUI.aspx?menuIndex=3&amp;refID=7151251&amp;Result=3","7151251")</f>
        <v>0</v>
      </c>
      <c r="B5927" t="s">
        <v>2163</v>
      </c>
      <c r="C5927" t="s">
        <v>9496</v>
      </c>
      <c r="D5927" t="s">
        <v>19033</v>
      </c>
      <c r="E5927" t="s">
        <v>20948</v>
      </c>
      <c r="F5927" t="s">
        <v>32831</v>
      </c>
      <c r="G5927" t="s">
        <v>32839</v>
      </c>
      <c r="H5927" t="s">
        <v>32848</v>
      </c>
      <c r="I5927" t="s">
        <v>7416</v>
      </c>
      <c r="J5927" t="s">
        <v>36753</v>
      </c>
      <c r="K5927" t="s">
        <v>42727</v>
      </c>
      <c r="M5927" t="s">
        <v>45341</v>
      </c>
      <c r="N5927" t="s">
        <v>47424</v>
      </c>
      <c r="O5927" t="s">
        <v>47425</v>
      </c>
      <c r="P5927">
        <v>0</v>
      </c>
      <c r="Q5927">
        <v>0</v>
      </c>
      <c r="R5927" t="s">
        <v>47431</v>
      </c>
      <c r="S5927" t="s">
        <v>47565</v>
      </c>
      <c r="T5927" t="s">
        <v>49123</v>
      </c>
      <c r="U5927" t="s">
        <v>54689</v>
      </c>
      <c r="V5927" t="s">
        <v>63289</v>
      </c>
      <c r="W5927" t="s">
        <v>45341</v>
      </c>
      <c r="X5927" t="s">
        <v>47434</v>
      </c>
    </row>
    <row r="5928" spans="1:24">
      <c r="A5928">
        <f>HYPERLINK("https://www.philgeps.gov.ph/GEPSNONPILOT/Tender/SplashBidNoticeAbstractUI.aspx?menuIndex=3&amp;refID=7141075&amp;Result=3","7141075")</f>
        <v>0</v>
      </c>
      <c r="B5928" t="s">
        <v>1155</v>
      </c>
      <c r="C5928" t="s">
        <v>9497</v>
      </c>
      <c r="D5928" t="s">
        <v>19034</v>
      </c>
      <c r="E5928" t="s">
        <v>24281</v>
      </c>
      <c r="F5928" t="s">
        <v>32831</v>
      </c>
      <c r="G5928" t="s">
        <v>32839</v>
      </c>
      <c r="H5928" t="s">
        <v>32849</v>
      </c>
      <c r="I5928" t="s">
        <v>4177</v>
      </c>
      <c r="J5928" t="s">
        <v>36754</v>
      </c>
      <c r="K5928" t="s">
        <v>42729</v>
      </c>
      <c r="M5928" t="s">
        <v>44220</v>
      </c>
      <c r="N5928" t="s">
        <v>47424</v>
      </c>
      <c r="O5928" t="s">
        <v>47425</v>
      </c>
      <c r="P5928">
        <v>0</v>
      </c>
      <c r="Q5928">
        <v>0</v>
      </c>
      <c r="R5928" t="s">
        <v>47431</v>
      </c>
      <c r="S5928" t="s">
        <v>47565</v>
      </c>
      <c r="T5928" t="s">
        <v>49358</v>
      </c>
      <c r="U5928" t="s">
        <v>54690</v>
      </c>
      <c r="W5928" t="s">
        <v>44220</v>
      </c>
      <c r="X5928" t="s">
        <v>47440</v>
      </c>
    </row>
    <row r="5929" spans="1:24">
      <c r="A5929">
        <f>HYPERLINK("https://www.philgeps.gov.ph/GEPSNONPILOT/Tender/SplashBidNoticeAbstractUI.aspx?menuIndex=3&amp;refID=7150992&amp;Result=3","7150992")</f>
        <v>0</v>
      </c>
      <c r="B5929" t="s">
        <v>2164</v>
      </c>
      <c r="C5929" t="s">
        <v>9498</v>
      </c>
      <c r="D5929" t="s">
        <v>19020</v>
      </c>
      <c r="E5929" t="s">
        <v>24282</v>
      </c>
      <c r="F5929" t="s">
        <v>32831</v>
      </c>
      <c r="G5929" t="s">
        <v>32839</v>
      </c>
      <c r="H5929" t="s">
        <v>14069</v>
      </c>
      <c r="I5929" t="s">
        <v>14069</v>
      </c>
      <c r="J5929" t="s">
        <v>32980</v>
      </c>
      <c r="K5929" t="s">
        <v>42731</v>
      </c>
      <c r="M5929" t="s">
        <v>45342</v>
      </c>
      <c r="N5929" t="s">
        <v>47424</v>
      </c>
      <c r="O5929" t="s">
        <v>47425</v>
      </c>
      <c r="P5929">
        <v>0</v>
      </c>
      <c r="Q5929">
        <v>0</v>
      </c>
      <c r="R5929" t="s">
        <v>47431</v>
      </c>
      <c r="S5929" t="s">
        <v>47565</v>
      </c>
      <c r="T5929" t="s">
        <v>49445</v>
      </c>
      <c r="U5929" t="s">
        <v>54691</v>
      </c>
      <c r="W5929" t="s">
        <v>45342</v>
      </c>
      <c r="X5929" t="s">
        <v>47434</v>
      </c>
    </row>
    <row r="5930" spans="1:24">
      <c r="A5930">
        <f>HYPERLINK("https://www.philgeps.gov.ph/GEPSNONPILOT/Tender/SplashBidNoticeAbstractUI.aspx?menuIndex=3&amp;refID=7139426&amp;Result=3","7139426")</f>
        <v>0</v>
      </c>
      <c r="B5930" t="s">
        <v>2165</v>
      </c>
      <c r="C5930" t="s">
        <v>9492</v>
      </c>
      <c r="E5930" t="s">
        <v>24283</v>
      </c>
      <c r="F5930" t="s">
        <v>32831</v>
      </c>
      <c r="G5930" t="s">
        <v>32839</v>
      </c>
      <c r="H5930" t="s">
        <v>32849</v>
      </c>
      <c r="I5930" t="s">
        <v>4177</v>
      </c>
      <c r="J5930" t="s">
        <v>33044</v>
      </c>
      <c r="K5930" t="s">
        <v>42727</v>
      </c>
      <c r="M5930" t="s">
        <v>45343</v>
      </c>
      <c r="N5930" t="s">
        <v>47424</v>
      </c>
      <c r="O5930" t="s">
        <v>47425</v>
      </c>
      <c r="P5930">
        <v>0</v>
      </c>
      <c r="Q5930">
        <v>0</v>
      </c>
      <c r="R5930" t="s">
        <v>47431</v>
      </c>
      <c r="S5930" t="s">
        <v>47565</v>
      </c>
      <c r="T5930" t="s">
        <v>49125</v>
      </c>
      <c r="U5930" t="s">
        <v>54692</v>
      </c>
      <c r="W5930" t="s">
        <v>45343</v>
      </c>
      <c r="X5930" t="s">
        <v>47440</v>
      </c>
    </row>
    <row r="5931" spans="1:24">
      <c r="A5931">
        <f>HYPERLINK("https://www.philgeps.gov.ph/GEPSNONPILOT/Tender/SplashBidNoticeAbstractUI.aspx?menuIndex=3&amp;refID=7145603&amp;Result=3","7145603")</f>
        <v>0</v>
      </c>
      <c r="B5931" t="s">
        <v>2166</v>
      </c>
      <c r="C5931" t="s">
        <v>9499</v>
      </c>
      <c r="D5931" t="s">
        <v>19058</v>
      </c>
      <c r="E5931" t="s">
        <v>19751</v>
      </c>
      <c r="F5931" t="s">
        <v>32832</v>
      </c>
      <c r="G5931" t="s">
        <v>32839</v>
      </c>
      <c r="H5931" t="s">
        <v>32848</v>
      </c>
      <c r="I5931" t="s">
        <v>7751</v>
      </c>
      <c r="J5931" t="s">
        <v>36755</v>
      </c>
      <c r="K5931" t="s">
        <v>42731</v>
      </c>
      <c r="M5931" t="s">
        <v>45344</v>
      </c>
      <c r="N5931" t="s">
        <v>47424</v>
      </c>
      <c r="O5931" t="s">
        <v>47425</v>
      </c>
      <c r="P5931">
        <v>0</v>
      </c>
      <c r="Q5931">
        <v>2</v>
      </c>
      <c r="R5931" t="s">
        <v>47431</v>
      </c>
      <c r="S5931" t="s">
        <v>47565</v>
      </c>
      <c r="T5931" t="s">
        <v>49274</v>
      </c>
      <c r="U5931" t="s">
        <v>54693</v>
      </c>
      <c r="V5931" t="s">
        <v>63290</v>
      </c>
      <c r="W5931" t="s">
        <v>45344</v>
      </c>
      <c r="X5931" t="s">
        <v>47438</v>
      </c>
    </row>
    <row r="5932" spans="1:24">
      <c r="A5932">
        <f>HYPERLINK("https://www.philgeps.gov.ph/GEPSNONPILOT/Tender/SplashBidNoticeAbstractUI.aspx?menuIndex=3&amp;refID=7150735&amp;Result=3","7150735")</f>
        <v>0</v>
      </c>
      <c r="B5932" t="s">
        <v>2167</v>
      </c>
      <c r="C5932" t="s">
        <v>9500</v>
      </c>
      <c r="D5932" t="s">
        <v>19017</v>
      </c>
      <c r="E5932" t="s">
        <v>24284</v>
      </c>
      <c r="F5932" t="s">
        <v>32833</v>
      </c>
      <c r="G5932" t="s">
        <v>32839</v>
      </c>
      <c r="H5932" t="s">
        <v>32849</v>
      </c>
      <c r="I5932" t="s">
        <v>4177</v>
      </c>
      <c r="J5932" t="s">
        <v>36756</v>
      </c>
      <c r="K5932" t="s">
        <v>42730</v>
      </c>
      <c r="M5932" t="s">
        <v>45345</v>
      </c>
      <c r="N5932" t="s">
        <v>47424</v>
      </c>
      <c r="O5932" t="s">
        <v>47425</v>
      </c>
      <c r="P5932">
        <v>0</v>
      </c>
      <c r="Q5932">
        <v>0</v>
      </c>
      <c r="R5932" t="s">
        <v>47431</v>
      </c>
      <c r="S5932" t="s">
        <v>47565</v>
      </c>
      <c r="T5932" t="s">
        <v>49310</v>
      </c>
      <c r="U5932" t="s">
        <v>54694</v>
      </c>
      <c r="V5932" t="s">
        <v>63291</v>
      </c>
      <c r="W5932" t="s">
        <v>45345</v>
      </c>
      <c r="X5932" t="s">
        <v>47434</v>
      </c>
    </row>
    <row r="5933" spans="1:24">
      <c r="A5933">
        <f>HYPERLINK("https://www.philgeps.gov.ph/GEPSNONPILOT/Tender/SplashBidNoticeAbstractUI.aspx?menuIndex=3&amp;refID=7150641&amp;Result=3","7150641")</f>
        <v>0</v>
      </c>
      <c r="B5933" t="s">
        <v>2167</v>
      </c>
      <c r="C5933" t="s">
        <v>9501</v>
      </c>
      <c r="D5933" t="s">
        <v>19017</v>
      </c>
      <c r="E5933" t="s">
        <v>24285</v>
      </c>
      <c r="F5933" t="s">
        <v>32833</v>
      </c>
      <c r="G5933" t="s">
        <v>32839</v>
      </c>
      <c r="H5933" t="s">
        <v>32849</v>
      </c>
      <c r="I5933" t="s">
        <v>4177</v>
      </c>
      <c r="J5933" t="s">
        <v>36757</v>
      </c>
      <c r="K5933" t="s">
        <v>42730</v>
      </c>
      <c r="M5933" t="s">
        <v>45345</v>
      </c>
      <c r="N5933" t="s">
        <v>47424</v>
      </c>
      <c r="O5933" t="s">
        <v>47425</v>
      </c>
      <c r="P5933">
        <v>0</v>
      </c>
      <c r="Q5933">
        <v>0</v>
      </c>
      <c r="R5933" t="s">
        <v>47431</v>
      </c>
      <c r="S5933" t="s">
        <v>47565</v>
      </c>
      <c r="T5933" t="s">
        <v>49310</v>
      </c>
      <c r="U5933" t="s">
        <v>54694</v>
      </c>
      <c r="V5933" t="s">
        <v>63291</v>
      </c>
      <c r="W5933" t="s">
        <v>45345</v>
      </c>
      <c r="X5933" t="s">
        <v>47434</v>
      </c>
    </row>
    <row r="5934" spans="1:24">
      <c r="A5934">
        <f>HYPERLINK("https://www.philgeps.gov.ph/GEPSNONPILOT/Tender/SplashBidNoticeAbstractUI.aspx?menuIndex=3&amp;refID=7151291&amp;Result=3","7151291")</f>
        <v>0</v>
      </c>
      <c r="B5934" t="s">
        <v>2168</v>
      </c>
      <c r="C5934" t="s">
        <v>9502</v>
      </c>
      <c r="D5934" t="s">
        <v>19045</v>
      </c>
      <c r="E5934" t="s">
        <v>24286</v>
      </c>
      <c r="F5934" t="s">
        <v>32831</v>
      </c>
      <c r="G5934" t="s">
        <v>32838</v>
      </c>
      <c r="H5934" t="s">
        <v>32848</v>
      </c>
      <c r="I5934" t="s">
        <v>32854</v>
      </c>
      <c r="J5934" t="s">
        <v>36758</v>
      </c>
      <c r="K5934" t="s">
        <v>42730</v>
      </c>
      <c r="M5934" t="s">
        <v>45346</v>
      </c>
      <c r="N5934" t="s">
        <v>47424</v>
      </c>
      <c r="O5934" t="s">
        <v>47425</v>
      </c>
      <c r="P5934">
        <v>0</v>
      </c>
      <c r="Q5934">
        <v>1</v>
      </c>
      <c r="R5934" t="s">
        <v>47431</v>
      </c>
      <c r="S5934" t="s">
        <v>47565</v>
      </c>
      <c r="T5934" t="s">
        <v>49106</v>
      </c>
      <c r="U5934" t="s">
        <v>54695</v>
      </c>
      <c r="W5934" t="s">
        <v>45346</v>
      </c>
      <c r="X5934" t="s">
        <v>47434</v>
      </c>
    </row>
    <row r="5935" spans="1:24">
      <c r="A5935">
        <f>HYPERLINK("https://www.philgeps.gov.ph/GEPSNONPILOT/Tender/SplashBidNoticeAbstractUI.aspx?menuIndex=3&amp;refID=7151125&amp;Result=3","7151125")</f>
        <v>0</v>
      </c>
      <c r="B5935" t="s">
        <v>2168</v>
      </c>
      <c r="C5935" t="s">
        <v>9503</v>
      </c>
      <c r="D5935" t="s">
        <v>19045</v>
      </c>
      <c r="E5935" t="s">
        <v>24287</v>
      </c>
      <c r="F5935" t="s">
        <v>32831</v>
      </c>
      <c r="G5935" t="s">
        <v>32840</v>
      </c>
      <c r="H5935" t="s">
        <v>32848</v>
      </c>
      <c r="I5935" t="s">
        <v>32862</v>
      </c>
      <c r="J5935" t="s">
        <v>36759</v>
      </c>
      <c r="K5935" t="s">
        <v>42730</v>
      </c>
      <c r="M5935" t="s">
        <v>45346</v>
      </c>
      <c r="N5935" t="s">
        <v>47424</v>
      </c>
      <c r="O5935" t="s">
        <v>47425</v>
      </c>
      <c r="P5935">
        <v>0</v>
      </c>
      <c r="Q5935">
        <v>1</v>
      </c>
      <c r="R5935" t="s">
        <v>47431</v>
      </c>
      <c r="S5935" t="s">
        <v>47565</v>
      </c>
      <c r="T5935" t="s">
        <v>49106</v>
      </c>
      <c r="U5935" t="s">
        <v>54696</v>
      </c>
      <c r="W5935" t="s">
        <v>45346</v>
      </c>
      <c r="X5935" t="s">
        <v>47434</v>
      </c>
    </row>
    <row r="5936" spans="1:24">
      <c r="A5936">
        <f>HYPERLINK("https://www.philgeps.gov.ph/GEPSNONPILOT/Tender/SplashBidNoticeAbstractUI.aspx?menuIndex=3&amp;refID=7150692&amp;Result=3","7150692")</f>
        <v>0</v>
      </c>
      <c r="B5936" t="s">
        <v>2167</v>
      </c>
      <c r="C5936" t="s">
        <v>9504</v>
      </c>
      <c r="D5936" t="s">
        <v>19017</v>
      </c>
      <c r="E5936" t="s">
        <v>24288</v>
      </c>
      <c r="F5936" t="s">
        <v>32833</v>
      </c>
      <c r="G5936" t="s">
        <v>32839</v>
      </c>
      <c r="H5936" t="s">
        <v>32849</v>
      </c>
      <c r="I5936" t="s">
        <v>4177</v>
      </c>
      <c r="J5936" t="s">
        <v>36760</v>
      </c>
      <c r="K5936" t="s">
        <v>42730</v>
      </c>
      <c r="M5936" t="s">
        <v>45345</v>
      </c>
      <c r="N5936" t="s">
        <v>47424</v>
      </c>
      <c r="O5936" t="s">
        <v>47425</v>
      </c>
      <c r="P5936">
        <v>0</v>
      </c>
      <c r="Q5936">
        <v>0</v>
      </c>
      <c r="R5936" t="s">
        <v>47431</v>
      </c>
      <c r="S5936" t="s">
        <v>47565</v>
      </c>
      <c r="T5936" t="s">
        <v>49310</v>
      </c>
      <c r="U5936" t="s">
        <v>54694</v>
      </c>
      <c r="V5936" t="s">
        <v>63291</v>
      </c>
      <c r="W5936" t="s">
        <v>45345</v>
      </c>
      <c r="X5936" t="s">
        <v>47434</v>
      </c>
    </row>
    <row r="5937" spans="1:24">
      <c r="A5937">
        <f>HYPERLINK("https://www.philgeps.gov.ph/GEPSNONPILOT/Tender/SplashBidNoticeAbstractUI.aspx?menuIndex=3&amp;refID=7148727&amp;Result=3","7148727")</f>
        <v>0</v>
      </c>
      <c r="B5937" t="s">
        <v>2169</v>
      </c>
      <c r="C5937" t="s">
        <v>9505</v>
      </c>
      <c r="D5937" t="s">
        <v>19044</v>
      </c>
      <c r="E5937" t="s">
        <v>24289</v>
      </c>
      <c r="F5937" t="s">
        <v>32831</v>
      </c>
      <c r="G5937" t="s">
        <v>32839</v>
      </c>
      <c r="H5937" t="s">
        <v>32848</v>
      </c>
      <c r="I5937" t="s">
        <v>4303</v>
      </c>
      <c r="J5937" t="s">
        <v>36761</v>
      </c>
      <c r="K5937" t="s">
        <v>42727</v>
      </c>
      <c r="M5937" t="s">
        <v>45347</v>
      </c>
      <c r="N5937" t="s">
        <v>47424</v>
      </c>
      <c r="O5937" t="s">
        <v>47425</v>
      </c>
      <c r="P5937">
        <v>0</v>
      </c>
      <c r="Q5937">
        <v>1</v>
      </c>
      <c r="R5937" t="s">
        <v>47431</v>
      </c>
      <c r="S5937" t="s">
        <v>47565</v>
      </c>
      <c r="T5937" t="s">
        <v>49319</v>
      </c>
      <c r="U5937" t="s">
        <v>54697</v>
      </c>
      <c r="W5937" t="s">
        <v>45347</v>
      </c>
      <c r="X5937" t="s">
        <v>47436</v>
      </c>
    </row>
    <row r="5938" spans="1:24">
      <c r="A5938">
        <f>HYPERLINK("https://www.philgeps.gov.ph/GEPSNONPILOT/Tender/SplashBidNoticeAbstractUI.aspx?menuIndex=3&amp;refID=7149808&amp;Result=3","7149808")</f>
        <v>0</v>
      </c>
      <c r="B5938" t="s">
        <v>571</v>
      </c>
      <c r="C5938" t="s">
        <v>9506</v>
      </c>
      <c r="D5938" t="s">
        <v>19027</v>
      </c>
      <c r="E5938" t="s">
        <v>24290</v>
      </c>
      <c r="F5938" t="s">
        <v>32831</v>
      </c>
      <c r="G5938" t="s">
        <v>32840</v>
      </c>
      <c r="H5938" t="s">
        <v>32848</v>
      </c>
      <c r="I5938" t="s">
        <v>4776</v>
      </c>
      <c r="J5938" t="s">
        <v>35104</v>
      </c>
      <c r="K5938" t="s">
        <v>42731</v>
      </c>
      <c r="M5938" t="s">
        <v>43581</v>
      </c>
      <c r="N5938" t="s">
        <v>47424</v>
      </c>
      <c r="O5938" t="s">
        <v>47425</v>
      </c>
      <c r="P5938">
        <v>0</v>
      </c>
      <c r="Q5938">
        <v>4</v>
      </c>
      <c r="R5938" t="s">
        <v>47431</v>
      </c>
      <c r="S5938" t="s">
        <v>47565</v>
      </c>
      <c r="T5938" t="s">
        <v>49114</v>
      </c>
      <c r="U5938" t="s">
        <v>54698</v>
      </c>
      <c r="V5938" t="s">
        <v>62817</v>
      </c>
      <c r="W5938" t="s">
        <v>43581</v>
      </c>
      <c r="X5938" t="s">
        <v>47434</v>
      </c>
    </row>
    <row r="5939" spans="1:24">
      <c r="A5939">
        <f>HYPERLINK("https://www.philgeps.gov.ph/GEPSNONPILOT/Tender/SplashBidNoticeAbstractUI.aspx?menuIndex=3&amp;refID=7150916&amp;Result=3","7150916")</f>
        <v>0</v>
      </c>
      <c r="B5939" t="s">
        <v>2160</v>
      </c>
      <c r="C5939" t="s">
        <v>9507</v>
      </c>
      <c r="D5939" t="s">
        <v>19029</v>
      </c>
      <c r="E5939" t="s">
        <v>24291</v>
      </c>
      <c r="F5939" t="s">
        <v>32831</v>
      </c>
      <c r="G5939" t="s">
        <v>32839</v>
      </c>
      <c r="H5939" t="s">
        <v>32849</v>
      </c>
      <c r="I5939" t="s">
        <v>4177</v>
      </c>
      <c r="J5939" t="s">
        <v>36762</v>
      </c>
      <c r="K5939" t="s">
        <v>42745</v>
      </c>
      <c r="M5939" t="s">
        <v>45339</v>
      </c>
      <c r="N5939" t="s">
        <v>47424</v>
      </c>
      <c r="O5939" t="s">
        <v>47425</v>
      </c>
      <c r="P5939">
        <v>0</v>
      </c>
      <c r="Q5939">
        <v>0</v>
      </c>
      <c r="R5939" t="s">
        <v>47431</v>
      </c>
      <c r="S5939" t="s">
        <v>47565</v>
      </c>
      <c r="T5939" t="s">
        <v>49181</v>
      </c>
      <c r="U5939" t="s">
        <v>54685</v>
      </c>
      <c r="W5939" t="s">
        <v>45339</v>
      </c>
      <c r="X5939" t="s">
        <v>47434</v>
      </c>
    </row>
    <row r="5940" spans="1:24">
      <c r="A5940">
        <f>HYPERLINK("https://www.philgeps.gov.ph/GEPSNONPILOT/Tender/SplashBidNoticeAbstractUI.aspx?menuIndex=3&amp;refID=7150286&amp;Result=3","7150286")</f>
        <v>0</v>
      </c>
      <c r="B5940" t="s">
        <v>37</v>
      </c>
      <c r="C5940" t="s">
        <v>9508</v>
      </c>
      <c r="D5940" t="s">
        <v>19027</v>
      </c>
      <c r="E5940" t="s">
        <v>24292</v>
      </c>
      <c r="F5940" t="s">
        <v>32831</v>
      </c>
      <c r="G5940" t="s">
        <v>32839</v>
      </c>
      <c r="H5940" t="s">
        <v>32848</v>
      </c>
      <c r="I5940" t="s">
        <v>7751</v>
      </c>
      <c r="J5940" t="s">
        <v>33721</v>
      </c>
      <c r="K5940" t="s">
        <v>42732</v>
      </c>
      <c r="M5940" t="s">
        <v>43034</v>
      </c>
      <c r="N5940" t="s">
        <v>47424</v>
      </c>
      <c r="O5940" t="s">
        <v>47425</v>
      </c>
      <c r="P5940">
        <v>0</v>
      </c>
      <c r="Q5940">
        <v>0</v>
      </c>
      <c r="R5940" t="s">
        <v>47431</v>
      </c>
      <c r="S5940" t="s">
        <v>47565</v>
      </c>
      <c r="T5940" t="s">
        <v>49108</v>
      </c>
      <c r="U5940" t="s">
        <v>49709</v>
      </c>
      <c r="W5940" t="s">
        <v>43034</v>
      </c>
      <c r="X5940" t="s">
        <v>47434</v>
      </c>
    </row>
    <row r="5941" spans="1:24">
      <c r="A5941">
        <f>HYPERLINK("https://www.philgeps.gov.ph/GEPSNONPILOT/Tender/SplashBidNoticeAbstractUI.aspx?menuIndex=3&amp;refID=7149747&amp;Result=3","7149747")</f>
        <v>0</v>
      </c>
      <c r="B5941" t="s">
        <v>571</v>
      </c>
      <c r="C5941" t="s">
        <v>9509</v>
      </c>
      <c r="D5941" t="s">
        <v>19027</v>
      </c>
      <c r="E5941" t="s">
        <v>24293</v>
      </c>
      <c r="F5941" t="s">
        <v>32831</v>
      </c>
      <c r="G5941" t="s">
        <v>32840</v>
      </c>
      <c r="H5941" t="s">
        <v>32848</v>
      </c>
      <c r="I5941" t="s">
        <v>32856</v>
      </c>
      <c r="J5941" t="s">
        <v>33241</v>
      </c>
      <c r="K5941" t="s">
        <v>42727</v>
      </c>
      <c r="M5941" t="s">
        <v>43581</v>
      </c>
      <c r="N5941" t="s">
        <v>47424</v>
      </c>
      <c r="O5941" t="s">
        <v>47425</v>
      </c>
      <c r="P5941">
        <v>0</v>
      </c>
      <c r="Q5941">
        <v>1</v>
      </c>
      <c r="R5941" t="s">
        <v>47431</v>
      </c>
      <c r="S5941" t="s">
        <v>47565</v>
      </c>
      <c r="T5941" t="s">
        <v>49114</v>
      </c>
      <c r="U5941" t="s">
        <v>54699</v>
      </c>
      <c r="V5941" t="s">
        <v>62817</v>
      </c>
      <c r="W5941" t="s">
        <v>43581</v>
      </c>
      <c r="X5941" t="s">
        <v>47434</v>
      </c>
    </row>
    <row r="5942" spans="1:24">
      <c r="A5942">
        <f>HYPERLINK("https://www.philgeps.gov.ph/GEPSNONPILOT/Tender/SplashBidNoticeAbstractUI.aspx?menuIndex=3&amp;refID=7152387&amp;Result=3","7152387")</f>
        <v>0</v>
      </c>
      <c r="B5942" t="s">
        <v>2170</v>
      </c>
      <c r="C5942" t="s">
        <v>8556</v>
      </c>
      <c r="D5942" t="s">
        <v>19066</v>
      </c>
      <c r="E5942" t="s">
        <v>24294</v>
      </c>
      <c r="F5942" t="s">
        <v>32831</v>
      </c>
      <c r="G5942" t="s">
        <v>32839</v>
      </c>
      <c r="H5942" t="s">
        <v>32848</v>
      </c>
      <c r="I5942" t="s">
        <v>4558</v>
      </c>
      <c r="J5942" t="s">
        <v>36763</v>
      </c>
      <c r="K5942" t="s">
        <v>42726</v>
      </c>
      <c r="M5942" t="s">
        <v>45348</v>
      </c>
      <c r="N5942" t="s">
        <v>47424</v>
      </c>
      <c r="O5942" t="s">
        <v>47425</v>
      </c>
      <c r="P5942">
        <v>0</v>
      </c>
      <c r="Q5942">
        <v>2</v>
      </c>
      <c r="R5942" t="s">
        <v>47431</v>
      </c>
      <c r="S5942" t="s">
        <v>47565</v>
      </c>
      <c r="T5942" t="s">
        <v>49108</v>
      </c>
      <c r="U5942" t="s">
        <v>54700</v>
      </c>
      <c r="W5942" t="s">
        <v>45348</v>
      </c>
      <c r="X5942" t="s">
        <v>47433</v>
      </c>
    </row>
    <row r="5943" spans="1:24">
      <c r="A5943">
        <f>HYPERLINK("https://www.philgeps.gov.ph/GEPSNONPILOT/Tender/SplashBidNoticeAbstractUI.aspx?menuIndex=3&amp;refID=7152374&amp;Result=3","7152374")</f>
        <v>0</v>
      </c>
      <c r="B5943" t="s">
        <v>2171</v>
      </c>
      <c r="C5943" t="s">
        <v>9510</v>
      </c>
      <c r="E5943" t="s">
        <v>24295</v>
      </c>
      <c r="F5943" t="s">
        <v>32831</v>
      </c>
      <c r="G5943" t="s">
        <v>32839</v>
      </c>
      <c r="H5943" t="s">
        <v>32848</v>
      </c>
      <c r="I5943" t="s">
        <v>32855</v>
      </c>
      <c r="J5943" t="s">
        <v>36764</v>
      </c>
      <c r="K5943" t="s">
        <v>42730</v>
      </c>
      <c r="M5943" t="s">
        <v>45349</v>
      </c>
      <c r="N5943" t="s">
        <v>47424</v>
      </c>
      <c r="O5943" t="s">
        <v>47425</v>
      </c>
      <c r="P5943">
        <v>0</v>
      </c>
      <c r="Q5943">
        <v>10</v>
      </c>
      <c r="R5943" t="s">
        <v>47431</v>
      </c>
      <c r="S5943" t="s">
        <v>47565</v>
      </c>
      <c r="T5943" t="s">
        <v>49100</v>
      </c>
      <c r="U5943" t="s">
        <v>54701</v>
      </c>
      <c r="W5943" t="s">
        <v>45349</v>
      </c>
      <c r="X5943" t="s">
        <v>47433</v>
      </c>
    </row>
    <row r="5944" spans="1:24">
      <c r="A5944">
        <f>HYPERLINK("https://www.philgeps.gov.ph/GEPSNONPILOT/Tender/SplashBidNoticeAbstractUI.aspx?menuIndex=3&amp;refID=7150493&amp;Result=3","7150493")</f>
        <v>0</v>
      </c>
      <c r="B5944" t="s">
        <v>2172</v>
      </c>
      <c r="C5944" t="s">
        <v>9511</v>
      </c>
      <c r="D5944" t="s">
        <v>19029</v>
      </c>
      <c r="E5944" t="s">
        <v>24296</v>
      </c>
      <c r="F5944" t="s">
        <v>32831</v>
      </c>
      <c r="G5944" t="s">
        <v>32839</v>
      </c>
      <c r="H5944" t="s">
        <v>32849</v>
      </c>
      <c r="I5944" t="s">
        <v>4177</v>
      </c>
      <c r="J5944" t="s">
        <v>36765</v>
      </c>
      <c r="K5944" t="s">
        <v>42731</v>
      </c>
      <c r="M5944" t="s">
        <v>45350</v>
      </c>
      <c r="N5944" t="s">
        <v>47424</v>
      </c>
      <c r="O5944" t="s">
        <v>47425</v>
      </c>
      <c r="P5944">
        <v>0</v>
      </c>
      <c r="Q5944">
        <v>0</v>
      </c>
      <c r="R5944" t="s">
        <v>47431</v>
      </c>
      <c r="S5944" t="s">
        <v>47565</v>
      </c>
      <c r="T5944" t="s">
        <v>49181</v>
      </c>
      <c r="U5944" t="s">
        <v>54685</v>
      </c>
      <c r="W5944" t="s">
        <v>45350</v>
      </c>
      <c r="X5944" t="s">
        <v>47434</v>
      </c>
    </row>
    <row r="5945" spans="1:24">
      <c r="A5945">
        <f>HYPERLINK("https://www.philgeps.gov.ph/GEPSNONPILOT/Tender/SplashBidNoticeAbstractUI.aspx?menuIndex=3&amp;refID=7152305&amp;Result=3","7152305")</f>
        <v>0</v>
      </c>
      <c r="B5945" t="s">
        <v>2170</v>
      </c>
      <c r="C5945" t="s">
        <v>9512</v>
      </c>
      <c r="D5945" t="s">
        <v>19066</v>
      </c>
      <c r="E5945" t="s">
        <v>24297</v>
      </c>
      <c r="F5945" t="s">
        <v>32831</v>
      </c>
      <c r="G5945" t="s">
        <v>32839</v>
      </c>
      <c r="H5945" t="s">
        <v>32848</v>
      </c>
      <c r="I5945" t="s">
        <v>32857</v>
      </c>
      <c r="J5945" t="s">
        <v>33435</v>
      </c>
      <c r="K5945" t="s">
        <v>42726</v>
      </c>
      <c r="M5945" t="s">
        <v>45348</v>
      </c>
      <c r="N5945" t="s">
        <v>47424</v>
      </c>
      <c r="O5945" t="s">
        <v>47425</v>
      </c>
      <c r="P5945">
        <v>0</v>
      </c>
      <c r="Q5945">
        <v>2</v>
      </c>
      <c r="R5945" t="s">
        <v>47431</v>
      </c>
      <c r="S5945" t="s">
        <v>47565</v>
      </c>
      <c r="T5945" t="s">
        <v>49108</v>
      </c>
      <c r="U5945" t="s">
        <v>54700</v>
      </c>
      <c r="W5945" t="s">
        <v>45348</v>
      </c>
      <c r="X5945" t="s">
        <v>47433</v>
      </c>
    </row>
    <row r="5946" spans="1:24">
      <c r="A5946">
        <f>HYPERLINK("https://www.philgeps.gov.ph/GEPSNONPILOT/Tender/SplashBidNoticeAbstractUI.aspx?menuIndex=3&amp;refID=7152278&amp;Result=3","7152278")</f>
        <v>0</v>
      </c>
      <c r="B5946" t="s">
        <v>2170</v>
      </c>
      <c r="C5946" t="s">
        <v>9513</v>
      </c>
      <c r="D5946" t="s">
        <v>19066</v>
      </c>
      <c r="E5946" t="s">
        <v>24298</v>
      </c>
      <c r="F5946" t="s">
        <v>32831</v>
      </c>
      <c r="G5946" t="s">
        <v>32839</v>
      </c>
      <c r="H5946" t="s">
        <v>32848</v>
      </c>
      <c r="I5946" t="s">
        <v>32857</v>
      </c>
      <c r="J5946" t="s">
        <v>36766</v>
      </c>
      <c r="K5946" t="s">
        <v>42726</v>
      </c>
      <c r="M5946" t="s">
        <v>45348</v>
      </c>
      <c r="N5946" t="s">
        <v>47424</v>
      </c>
      <c r="O5946" t="s">
        <v>47425</v>
      </c>
      <c r="P5946">
        <v>0</v>
      </c>
      <c r="Q5946">
        <v>10</v>
      </c>
      <c r="R5946" t="s">
        <v>47431</v>
      </c>
      <c r="S5946" t="s">
        <v>47565</v>
      </c>
      <c r="T5946" t="s">
        <v>49108</v>
      </c>
      <c r="U5946" t="s">
        <v>54700</v>
      </c>
      <c r="W5946" t="s">
        <v>45348</v>
      </c>
      <c r="X5946" t="s">
        <v>47433</v>
      </c>
    </row>
    <row r="5947" spans="1:24">
      <c r="A5947">
        <f>HYPERLINK("https://www.philgeps.gov.ph/GEPSNONPILOT/Tender/SplashBidNoticeAbstractUI.aspx?menuIndex=3&amp;refID=7152188&amp;Result=3","7152188")</f>
        <v>0</v>
      </c>
      <c r="B5947" t="s">
        <v>2173</v>
      </c>
      <c r="C5947" t="s">
        <v>9514</v>
      </c>
      <c r="D5947" t="s">
        <v>19030</v>
      </c>
      <c r="E5947" t="s">
        <v>24299</v>
      </c>
      <c r="F5947" t="s">
        <v>32831</v>
      </c>
      <c r="G5947" t="s">
        <v>32839</v>
      </c>
      <c r="H5947" t="s">
        <v>32848</v>
      </c>
      <c r="I5947" t="s">
        <v>32874</v>
      </c>
      <c r="J5947" t="s">
        <v>36767</v>
      </c>
      <c r="K5947" t="s">
        <v>42726</v>
      </c>
      <c r="M5947" t="s">
        <v>45351</v>
      </c>
      <c r="N5947" t="s">
        <v>47424</v>
      </c>
      <c r="O5947" t="s">
        <v>47425</v>
      </c>
      <c r="P5947">
        <v>0</v>
      </c>
      <c r="Q5947">
        <v>10</v>
      </c>
      <c r="R5947" t="s">
        <v>47431</v>
      </c>
      <c r="S5947" t="s">
        <v>47565</v>
      </c>
      <c r="T5947" t="s">
        <v>49079</v>
      </c>
      <c r="U5947" t="s">
        <v>54702</v>
      </c>
      <c r="W5947" t="s">
        <v>45351</v>
      </c>
      <c r="X5947" t="s">
        <v>47434</v>
      </c>
    </row>
    <row r="5948" spans="1:24">
      <c r="A5948">
        <f>HYPERLINK("https://www.philgeps.gov.ph/GEPSNONPILOT/Tender/SplashBidNoticeAbstractUI.aspx?menuIndex=3&amp;refID=7152180&amp;Result=3","7152180")</f>
        <v>0</v>
      </c>
      <c r="B5948" t="s">
        <v>2173</v>
      </c>
      <c r="C5948" t="s">
        <v>9515</v>
      </c>
      <c r="D5948" t="s">
        <v>19030</v>
      </c>
      <c r="E5948" t="s">
        <v>24299</v>
      </c>
      <c r="F5948" t="s">
        <v>32831</v>
      </c>
      <c r="G5948" t="s">
        <v>32839</v>
      </c>
      <c r="H5948" t="s">
        <v>32848</v>
      </c>
      <c r="I5948" t="s">
        <v>32919</v>
      </c>
      <c r="J5948" t="s">
        <v>36768</v>
      </c>
      <c r="K5948" t="s">
        <v>42726</v>
      </c>
      <c r="M5948" t="s">
        <v>45351</v>
      </c>
      <c r="N5948" t="s">
        <v>47424</v>
      </c>
      <c r="O5948" t="s">
        <v>47425</v>
      </c>
      <c r="P5948">
        <v>0</v>
      </c>
      <c r="Q5948">
        <v>1</v>
      </c>
      <c r="R5948" t="s">
        <v>47431</v>
      </c>
      <c r="S5948" t="s">
        <v>47565</v>
      </c>
      <c r="T5948" t="s">
        <v>49079</v>
      </c>
      <c r="U5948" t="s">
        <v>54703</v>
      </c>
      <c r="W5948" t="s">
        <v>45351</v>
      </c>
      <c r="X5948" t="s">
        <v>47434</v>
      </c>
    </row>
    <row r="5949" spans="1:24">
      <c r="A5949">
        <f>HYPERLINK("https://www.philgeps.gov.ph/GEPSNONPILOT/Tender/SplashBidNoticeAbstractUI.aspx?menuIndex=3&amp;refID=7152170&amp;Result=3","7152170")</f>
        <v>0</v>
      </c>
      <c r="B5949" t="s">
        <v>2173</v>
      </c>
      <c r="C5949" t="s">
        <v>9516</v>
      </c>
      <c r="D5949" t="s">
        <v>19030</v>
      </c>
      <c r="E5949" t="s">
        <v>24299</v>
      </c>
      <c r="F5949" t="s">
        <v>32831</v>
      </c>
      <c r="G5949" t="s">
        <v>32839</v>
      </c>
      <c r="H5949" t="s">
        <v>32848</v>
      </c>
      <c r="I5949" t="s">
        <v>32874</v>
      </c>
      <c r="J5949" t="s">
        <v>36769</v>
      </c>
      <c r="K5949" t="s">
        <v>42726</v>
      </c>
      <c r="M5949" t="s">
        <v>45351</v>
      </c>
      <c r="N5949" t="s">
        <v>47424</v>
      </c>
      <c r="O5949" t="s">
        <v>47425</v>
      </c>
      <c r="P5949">
        <v>0</v>
      </c>
      <c r="Q5949">
        <v>15</v>
      </c>
      <c r="R5949" t="s">
        <v>47431</v>
      </c>
      <c r="S5949" t="s">
        <v>47565</v>
      </c>
      <c r="T5949" t="s">
        <v>49061</v>
      </c>
      <c r="U5949" t="s">
        <v>54704</v>
      </c>
      <c r="W5949" t="s">
        <v>45351</v>
      </c>
      <c r="X5949" t="s">
        <v>47434</v>
      </c>
    </row>
    <row r="5950" spans="1:24">
      <c r="A5950">
        <f>HYPERLINK("https://www.philgeps.gov.ph/GEPSNONPILOT/Tender/SplashBidNoticeAbstractUI.aspx?menuIndex=3&amp;refID=7152179&amp;Result=3","7152179")</f>
        <v>0</v>
      </c>
      <c r="B5950" t="s">
        <v>2173</v>
      </c>
      <c r="C5950" t="s">
        <v>9517</v>
      </c>
      <c r="D5950" t="s">
        <v>19030</v>
      </c>
      <c r="E5950" t="s">
        <v>24299</v>
      </c>
      <c r="F5950" t="s">
        <v>32831</v>
      </c>
      <c r="G5950" t="s">
        <v>32839</v>
      </c>
      <c r="H5950" t="s">
        <v>32848</v>
      </c>
      <c r="I5950" t="s">
        <v>4435</v>
      </c>
      <c r="J5950" t="s">
        <v>36770</v>
      </c>
      <c r="K5950" t="s">
        <v>42727</v>
      </c>
      <c r="M5950" t="s">
        <v>45351</v>
      </c>
      <c r="N5950" t="s">
        <v>47424</v>
      </c>
      <c r="O5950" t="s">
        <v>47425</v>
      </c>
      <c r="P5950">
        <v>0</v>
      </c>
      <c r="Q5950">
        <v>5</v>
      </c>
      <c r="R5950" t="s">
        <v>47431</v>
      </c>
      <c r="S5950" t="s">
        <v>47565</v>
      </c>
      <c r="T5950" t="s">
        <v>49061</v>
      </c>
      <c r="U5950" t="s">
        <v>54705</v>
      </c>
      <c r="W5950" t="s">
        <v>45351</v>
      </c>
      <c r="X5950" t="s">
        <v>47434</v>
      </c>
    </row>
    <row r="5951" spans="1:24">
      <c r="A5951">
        <f>HYPERLINK("https://www.philgeps.gov.ph/GEPSNONPILOT/Tender/SplashBidNoticeAbstractUI.aspx?menuIndex=3&amp;refID=7150768&amp;Result=3","7150768")</f>
        <v>0</v>
      </c>
      <c r="B5951" t="s">
        <v>2174</v>
      </c>
      <c r="C5951" t="s">
        <v>9518</v>
      </c>
      <c r="D5951" t="s">
        <v>19022</v>
      </c>
      <c r="E5951" t="s">
        <v>24300</v>
      </c>
      <c r="F5951" t="s">
        <v>32831</v>
      </c>
      <c r="G5951" t="s">
        <v>32838</v>
      </c>
      <c r="H5951" t="s">
        <v>32848</v>
      </c>
      <c r="I5951" t="s">
        <v>32864</v>
      </c>
      <c r="J5951" t="s">
        <v>36771</v>
      </c>
      <c r="K5951" t="s">
        <v>42776</v>
      </c>
      <c r="M5951" t="s">
        <v>45352</v>
      </c>
      <c r="N5951" t="s">
        <v>47424</v>
      </c>
      <c r="O5951" t="s">
        <v>47425</v>
      </c>
      <c r="P5951">
        <v>0</v>
      </c>
      <c r="Q5951">
        <v>7</v>
      </c>
      <c r="R5951" t="s">
        <v>47431</v>
      </c>
      <c r="S5951" t="s">
        <v>47565</v>
      </c>
      <c r="T5951" t="s">
        <v>49108</v>
      </c>
      <c r="U5951" t="s">
        <v>54706</v>
      </c>
      <c r="W5951" t="s">
        <v>45352</v>
      </c>
      <c r="X5951" t="s">
        <v>47434</v>
      </c>
    </row>
    <row r="5952" spans="1:24">
      <c r="A5952">
        <f>HYPERLINK("https://www.philgeps.gov.ph/GEPSNONPILOT/Tender/SplashBidNoticeAbstractUI.aspx?menuIndex=3&amp;refID=7152093&amp;Result=3","7152093")</f>
        <v>0</v>
      </c>
      <c r="B5952" t="s">
        <v>2175</v>
      </c>
      <c r="C5952" t="s">
        <v>9519</v>
      </c>
      <c r="D5952" t="s">
        <v>19017</v>
      </c>
      <c r="E5952" t="s">
        <v>24301</v>
      </c>
      <c r="F5952" t="s">
        <v>32831</v>
      </c>
      <c r="G5952" t="s">
        <v>32839</v>
      </c>
      <c r="H5952" t="s">
        <v>32848</v>
      </c>
      <c r="I5952" t="s">
        <v>4438</v>
      </c>
      <c r="J5952" t="s">
        <v>36772</v>
      </c>
      <c r="K5952" t="s">
        <v>42776</v>
      </c>
      <c r="M5952" t="s">
        <v>45353</v>
      </c>
      <c r="N5952" t="s">
        <v>47424</v>
      </c>
      <c r="O5952" t="s">
        <v>47425</v>
      </c>
      <c r="P5952">
        <v>0</v>
      </c>
      <c r="Q5952">
        <v>6</v>
      </c>
      <c r="R5952" t="s">
        <v>47431</v>
      </c>
      <c r="S5952" t="s">
        <v>47565</v>
      </c>
      <c r="T5952" t="s">
        <v>49204</v>
      </c>
      <c r="U5952" t="s">
        <v>54707</v>
      </c>
      <c r="W5952" t="s">
        <v>45353</v>
      </c>
      <c r="X5952" t="s">
        <v>47434</v>
      </c>
    </row>
    <row r="5953" spans="1:24">
      <c r="A5953">
        <f>HYPERLINK("https://www.philgeps.gov.ph/GEPSNONPILOT/Tender/SplashBidNoticeAbstractUI.aspx?menuIndex=3&amp;refID=7152090&amp;Result=3","7152090")</f>
        <v>0</v>
      </c>
      <c r="B5953" t="s">
        <v>2175</v>
      </c>
      <c r="C5953" t="s">
        <v>9520</v>
      </c>
      <c r="E5953" t="s">
        <v>24302</v>
      </c>
      <c r="F5953" t="s">
        <v>32831</v>
      </c>
      <c r="G5953" t="s">
        <v>32839</v>
      </c>
      <c r="H5953" t="s">
        <v>32848</v>
      </c>
      <c r="I5953" t="s">
        <v>4438</v>
      </c>
      <c r="J5953" t="s">
        <v>36773</v>
      </c>
      <c r="K5953" t="s">
        <v>42776</v>
      </c>
      <c r="M5953" t="s">
        <v>45353</v>
      </c>
      <c r="N5953" t="s">
        <v>47424</v>
      </c>
      <c r="O5953" t="s">
        <v>47425</v>
      </c>
      <c r="P5953">
        <v>0</v>
      </c>
      <c r="Q5953">
        <v>6</v>
      </c>
      <c r="R5953" t="s">
        <v>47431</v>
      </c>
      <c r="S5953" t="s">
        <v>47565</v>
      </c>
      <c r="T5953" t="s">
        <v>49084</v>
      </c>
      <c r="U5953" t="s">
        <v>54708</v>
      </c>
      <c r="W5953" t="s">
        <v>45353</v>
      </c>
      <c r="X5953" t="s">
        <v>47434</v>
      </c>
    </row>
    <row r="5954" spans="1:24">
      <c r="A5954">
        <f>HYPERLINK("https://www.philgeps.gov.ph/GEPSNONPILOT/Tender/SplashBidNoticeAbstractUI.aspx?menuIndex=3&amp;refID=7149527&amp;Result=3","7149527")</f>
        <v>0</v>
      </c>
      <c r="B5954" t="s">
        <v>2176</v>
      </c>
      <c r="C5954" t="s">
        <v>9521</v>
      </c>
      <c r="D5954" t="s">
        <v>19022</v>
      </c>
      <c r="E5954" t="s">
        <v>24303</v>
      </c>
      <c r="F5954" t="s">
        <v>32831</v>
      </c>
      <c r="G5954" t="s">
        <v>32843</v>
      </c>
      <c r="H5954" t="s">
        <v>32848</v>
      </c>
      <c r="I5954" t="s">
        <v>7416</v>
      </c>
      <c r="J5954" t="s">
        <v>36774</v>
      </c>
      <c r="K5954" t="s">
        <v>42730</v>
      </c>
      <c r="M5954" t="s">
        <v>45354</v>
      </c>
      <c r="N5954" t="s">
        <v>47424</v>
      </c>
      <c r="O5954" t="s">
        <v>47425</v>
      </c>
      <c r="P5954">
        <v>0</v>
      </c>
      <c r="Q5954">
        <v>0</v>
      </c>
      <c r="R5954" t="s">
        <v>47431</v>
      </c>
      <c r="S5954" t="s">
        <v>47565</v>
      </c>
      <c r="T5954" t="s">
        <v>49320</v>
      </c>
      <c r="U5954" t="s">
        <v>54709</v>
      </c>
      <c r="W5954" t="s">
        <v>45354</v>
      </c>
      <c r="X5954" t="s">
        <v>47434</v>
      </c>
    </row>
    <row r="5955" spans="1:24">
      <c r="A5955">
        <f>HYPERLINK("https://www.philgeps.gov.ph/GEPSNONPILOT/Tender/SplashBidNoticeAbstractUI.aspx?menuIndex=3&amp;refID=7152077&amp;Result=3","7152077")</f>
        <v>0</v>
      </c>
      <c r="B5955" t="s">
        <v>2175</v>
      </c>
      <c r="C5955" t="s">
        <v>9522</v>
      </c>
      <c r="D5955" t="s">
        <v>19017</v>
      </c>
      <c r="E5955" t="s">
        <v>24304</v>
      </c>
      <c r="F5955" t="s">
        <v>32831</v>
      </c>
      <c r="G5955" t="s">
        <v>32839</v>
      </c>
      <c r="H5955" t="s">
        <v>32848</v>
      </c>
      <c r="I5955" t="s">
        <v>4438</v>
      </c>
      <c r="J5955" t="s">
        <v>33087</v>
      </c>
      <c r="K5955" t="s">
        <v>42776</v>
      </c>
      <c r="M5955" t="s">
        <v>45353</v>
      </c>
      <c r="N5955" t="s">
        <v>47424</v>
      </c>
      <c r="O5955" t="s">
        <v>47425</v>
      </c>
      <c r="P5955">
        <v>0</v>
      </c>
      <c r="Q5955">
        <v>3</v>
      </c>
      <c r="R5955" t="s">
        <v>47431</v>
      </c>
      <c r="S5955" t="s">
        <v>47565</v>
      </c>
      <c r="T5955" t="s">
        <v>49204</v>
      </c>
      <c r="U5955" t="s">
        <v>54710</v>
      </c>
      <c r="W5955" t="s">
        <v>45353</v>
      </c>
      <c r="X5955" t="s">
        <v>47434</v>
      </c>
    </row>
    <row r="5956" spans="1:24">
      <c r="A5956">
        <f>HYPERLINK("https://www.philgeps.gov.ph/GEPSNONPILOT/Tender/SplashBidNoticeAbstractUI.aspx?menuIndex=3&amp;refID=7152059&amp;Result=3","7152059")</f>
        <v>0</v>
      </c>
      <c r="B5956" t="s">
        <v>2175</v>
      </c>
      <c r="C5956" t="s">
        <v>9523</v>
      </c>
      <c r="D5956" t="s">
        <v>19017</v>
      </c>
      <c r="E5956" t="s">
        <v>24305</v>
      </c>
      <c r="F5956" t="s">
        <v>32831</v>
      </c>
      <c r="G5956" t="s">
        <v>32839</v>
      </c>
      <c r="H5956" t="s">
        <v>32848</v>
      </c>
      <c r="I5956" t="s">
        <v>4438</v>
      </c>
      <c r="J5956" t="s">
        <v>36775</v>
      </c>
      <c r="K5956" t="s">
        <v>42776</v>
      </c>
      <c r="M5956" t="s">
        <v>45353</v>
      </c>
      <c r="N5956" t="s">
        <v>47424</v>
      </c>
      <c r="O5956" t="s">
        <v>47425</v>
      </c>
      <c r="P5956">
        <v>0</v>
      </c>
      <c r="Q5956">
        <v>2</v>
      </c>
      <c r="R5956" t="s">
        <v>47431</v>
      </c>
      <c r="S5956" t="s">
        <v>47565</v>
      </c>
      <c r="T5956" t="s">
        <v>49204</v>
      </c>
      <c r="U5956" t="s">
        <v>54711</v>
      </c>
      <c r="W5956" t="s">
        <v>45353</v>
      </c>
      <c r="X5956" t="s">
        <v>47434</v>
      </c>
    </row>
    <row r="5957" spans="1:24">
      <c r="A5957">
        <f>HYPERLINK("https://www.philgeps.gov.ph/GEPSNONPILOT/Tender/SplashBidNoticeAbstractUI.aspx?menuIndex=3&amp;refID=7151624&amp;Result=3","7151624")</f>
        <v>0</v>
      </c>
      <c r="B5957" t="s">
        <v>1469</v>
      </c>
      <c r="C5957" t="s">
        <v>9524</v>
      </c>
      <c r="D5957" t="s">
        <v>19043</v>
      </c>
      <c r="E5957" t="s">
        <v>24306</v>
      </c>
      <c r="F5957" t="s">
        <v>32831</v>
      </c>
      <c r="G5957" t="s">
        <v>32839</v>
      </c>
      <c r="H5957" t="s">
        <v>32848</v>
      </c>
      <c r="I5957" t="s">
        <v>4438</v>
      </c>
      <c r="J5957" t="s">
        <v>36776</v>
      </c>
      <c r="K5957" t="s">
        <v>42730</v>
      </c>
      <c r="M5957" t="s">
        <v>44562</v>
      </c>
      <c r="N5957" t="s">
        <v>47424</v>
      </c>
      <c r="O5957" t="s">
        <v>47425</v>
      </c>
      <c r="P5957">
        <v>0</v>
      </c>
      <c r="Q5957">
        <v>2</v>
      </c>
      <c r="R5957" t="s">
        <v>47431</v>
      </c>
      <c r="S5957" t="s">
        <v>47565</v>
      </c>
      <c r="T5957" t="s">
        <v>49216</v>
      </c>
      <c r="U5957" t="s">
        <v>54712</v>
      </c>
      <c r="W5957" t="s">
        <v>44562</v>
      </c>
      <c r="X5957" t="s">
        <v>47434</v>
      </c>
    </row>
    <row r="5958" spans="1:24">
      <c r="A5958">
        <f>HYPERLINK("https://www.philgeps.gov.ph/GEPSNONPILOT/Tender/SplashBidNoticeAbstractUI.aspx?menuIndex=3&amp;refID=7151347&amp;Result=3","7151347")</f>
        <v>0</v>
      </c>
      <c r="B5958" t="s">
        <v>2168</v>
      </c>
      <c r="C5958" t="s">
        <v>9525</v>
      </c>
      <c r="D5958" t="s">
        <v>19045</v>
      </c>
      <c r="E5958" t="s">
        <v>24307</v>
      </c>
      <c r="F5958" t="s">
        <v>32831</v>
      </c>
      <c r="G5958" t="s">
        <v>32838</v>
      </c>
      <c r="H5958" t="s">
        <v>32848</v>
      </c>
      <c r="I5958" t="s">
        <v>32856</v>
      </c>
      <c r="J5958" t="s">
        <v>33850</v>
      </c>
      <c r="K5958" t="s">
        <v>42727</v>
      </c>
      <c r="M5958" t="s">
        <v>45346</v>
      </c>
      <c r="N5958" t="s">
        <v>47424</v>
      </c>
      <c r="O5958" t="s">
        <v>47425</v>
      </c>
      <c r="P5958">
        <v>0</v>
      </c>
      <c r="Q5958">
        <v>3</v>
      </c>
      <c r="R5958" t="s">
        <v>47431</v>
      </c>
      <c r="S5958" t="s">
        <v>47565</v>
      </c>
      <c r="T5958" t="s">
        <v>49106</v>
      </c>
      <c r="U5958" t="s">
        <v>54695</v>
      </c>
      <c r="W5958" t="s">
        <v>45346</v>
      </c>
      <c r="X5958" t="s">
        <v>47434</v>
      </c>
    </row>
    <row r="5959" spans="1:24">
      <c r="A5959">
        <f>HYPERLINK("https://www.philgeps.gov.ph/GEPSNONPILOT/Tender/SplashBidNoticeAbstractUI.aspx?menuIndex=3&amp;refID=7152084&amp;Result=3","7152084")</f>
        <v>0</v>
      </c>
      <c r="B5959" t="s">
        <v>2175</v>
      </c>
      <c r="C5959" t="s">
        <v>9526</v>
      </c>
      <c r="D5959" t="s">
        <v>19017</v>
      </c>
      <c r="E5959" t="s">
        <v>24308</v>
      </c>
      <c r="F5959" t="s">
        <v>32831</v>
      </c>
      <c r="G5959" t="s">
        <v>32839</v>
      </c>
      <c r="H5959" t="s">
        <v>32848</v>
      </c>
      <c r="I5959" t="s">
        <v>4438</v>
      </c>
      <c r="J5959" t="s">
        <v>36777</v>
      </c>
      <c r="K5959" t="s">
        <v>42776</v>
      </c>
      <c r="M5959" t="s">
        <v>45353</v>
      </c>
      <c r="N5959" t="s">
        <v>47424</v>
      </c>
      <c r="O5959" t="s">
        <v>47425</v>
      </c>
      <c r="P5959">
        <v>0</v>
      </c>
      <c r="Q5959">
        <v>2</v>
      </c>
      <c r="R5959" t="s">
        <v>47431</v>
      </c>
      <c r="S5959" t="s">
        <v>47565</v>
      </c>
      <c r="T5959" t="s">
        <v>49204</v>
      </c>
      <c r="U5959" t="s">
        <v>54713</v>
      </c>
      <c r="W5959" t="s">
        <v>45353</v>
      </c>
      <c r="X5959" t="s">
        <v>47434</v>
      </c>
    </row>
    <row r="5960" spans="1:24">
      <c r="A5960">
        <f>HYPERLINK("https://www.philgeps.gov.ph/GEPSNONPILOT/Tender/SplashBidNoticeAbstractUI.aspx?menuIndex=3&amp;refID=7151302&amp;Result=3","7151302")</f>
        <v>0</v>
      </c>
      <c r="B5960" t="s">
        <v>1202</v>
      </c>
      <c r="C5960" t="s">
        <v>9527</v>
      </c>
      <c r="D5960" t="s">
        <v>19029</v>
      </c>
      <c r="E5960" t="s">
        <v>24309</v>
      </c>
      <c r="F5960" t="s">
        <v>32831</v>
      </c>
      <c r="G5960" t="s">
        <v>32838</v>
      </c>
      <c r="H5960" t="s">
        <v>32848</v>
      </c>
      <c r="I5960" t="s">
        <v>9577</v>
      </c>
      <c r="J5960" t="s">
        <v>36778</v>
      </c>
      <c r="K5960" t="s">
        <v>42730</v>
      </c>
      <c r="M5960" t="s">
        <v>45355</v>
      </c>
      <c r="N5960" t="s">
        <v>47424</v>
      </c>
      <c r="O5960" t="s">
        <v>47425</v>
      </c>
      <c r="P5960">
        <v>0</v>
      </c>
      <c r="Q5960">
        <v>4</v>
      </c>
      <c r="R5960" t="s">
        <v>47431</v>
      </c>
      <c r="S5960" t="s">
        <v>47565</v>
      </c>
      <c r="T5960" t="s">
        <v>49114</v>
      </c>
      <c r="U5960" t="s">
        <v>54714</v>
      </c>
      <c r="V5960" t="s">
        <v>63292</v>
      </c>
      <c r="W5960" t="s">
        <v>45355</v>
      </c>
      <c r="X5960" t="s">
        <v>47434</v>
      </c>
    </row>
    <row r="5961" spans="1:24">
      <c r="A5961">
        <f>HYPERLINK("https://www.philgeps.gov.ph/GEPSNONPILOT/Tender/SplashBidNoticeAbstractUI.aspx?menuIndex=3&amp;refID=7152071&amp;Result=3","7152071")</f>
        <v>0</v>
      </c>
      <c r="B5961" t="s">
        <v>2175</v>
      </c>
      <c r="C5961" t="s">
        <v>9528</v>
      </c>
      <c r="D5961" t="s">
        <v>19017</v>
      </c>
      <c r="E5961" t="s">
        <v>24310</v>
      </c>
      <c r="F5961" t="s">
        <v>32831</v>
      </c>
      <c r="G5961" t="s">
        <v>32839</v>
      </c>
      <c r="H5961" t="s">
        <v>32848</v>
      </c>
      <c r="I5961" t="s">
        <v>4438</v>
      </c>
      <c r="J5961" t="s">
        <v>33083</v>
      </c>
      <c r="K5961" t="s">
        <v>42776</v>
      </c>
      <c r="M5961" t="s">
        <v>45353</v>
      </c>
      <c r="N5961" t="s">
        <v>47424</v>
      </c>
      <c r="O5961" t="s">
        <v>47425</v>
      </c>
      <c r="P5961">
        <v>0</v>
      </c>
      <c r="Q5961">
        <v>3</v>
      </c>
      <c r="R5961" t="s">
        <v>47431</v>
      </c>
      <c r="S5961" t="s">
        <v>47565</v>
      </c>
      <c r="T5961" t="s">
        <v>49204</v>
      </c>
      <c r="U5961" t="s">
        <v>54715</v>
      </c>
      <c r="W5961" t="s">
        <v>45353</v>
      </c>
      <c r="X5961" t="s">
        <v>47434</v>
      </c>
    </row>
    <row r="5962" spans="1:24">
      <c r="A5962">
        <f>HYPERLINK("https://www.philgeps.gov.ph/GEPSNONPILOT/Tender/SplashBidNoticeAbstractUI.aspx?menuIndex=3&amp;refID=7152034&amp;Result=3","7152034")</f>
        <v>0</v>
      </c>
      <c r="B5962" t="s">
        <v>2175</v>
      </c>
      <c r="C5962" t="s">
        <v>5582</v>
      </c>
      <c r="D5962" t="s">
        <v>19017</v>
      </c>
      <c r="E5962" t="s">
        <v>24311</v>
      </c>
      <c r="F5962" t="s">
        <v>32831</v>
      </c>
      <c r="G5962" t="s">
        <v>32839</v>
      </c>
      <c r="H5962" t="s">
        <v>32848</v>
      </c>
      <c r="I5962" t="s">
        <v>4438</v>
      </c>
      <c r="J5962" t="s">
        <v>33561</v>
      </c>
      <c r="K5962" t="s">
        <v>42776</v>
      </c>
      <c r="M5962" t="s">
        <v>45353</v>
      </c>
      <c r="N5962" t="s">
        <v>47424</v>
      </c>
      <c r="O5962" t="s">
        <v>47425</v>
      </c>
      <c r="P5962">
        <v>0</v>
      </c>
      <c r="Q5962">
        <v>5</v>
      </c>
      <c r="R5962" t="s">
        <v>47431</v>
      </c>
      <c r="S5962" t="s">
        <v>47565</v>
      </c>
      <c r="T5962" t="s">
        <v>49204</v>
      </c>
      <c r="U5962" t="s">
        <v>54716</v>
      </c>
      <c r="W5962" t="s">
        <v>45353</v>
      </c>
      <c r="X5962" t="s">
        <v>47434</v>
      </c>
    </row>
    <row r="5963" spans="1:24">
      <c r="A5963">
        <f>HYPERLINK("https://www.philgeps.gov.ph/GEPSNONPILOT/Tender/SplashBidNoticeAbstractUI.aspx?menuIndex=3&amp;refID=7149445&amp;Result=3","7149445")</f>
        <v>0</v>
      </c>
      <c r="B5963" t="s">
        <v>2176</v>
      </c>
      <c r="C5963" t="s">
        <v>9529</v>
      </c>
      <c r="D5963" t="s">
        <v>19022</v>
      </c>
      <c r="E5963" t="s">
        <v>24312</v>
      </c>
      <c r="F5963" t="s">
        <v>32831</v>
      </c>
      <c r="G5963" t="s">
        <v>32839</v>
      </c>
      <c r="H5963" t="s">
        <v>32848</v>
      </c>
      <c r="I5963" t="s">
        <v>32858</v>
      </c>
      <c r="J5963" t="s">
        <v>34348</v>
      </c>
      <c r="K5963" t="s">
        <v>42730</v>
      </c>
      <c r="M5963" t="s">
        <v>45354</v>
      </c>
      <c r="N5963" t="s">
        <v>47424</v>
      </c>
      <c r="O5963" t="s">
        <v>47425</v>
      </c>
      <c r="P5963">
        <v>0</v>
      </c>
      <c r="Q5963">
        <v>6</v>
      </c>
      <c r="R5963" t="s">
        <v>47431</v>
      </c>
      <c r="S5963" t="s">
        <v>47565</v>
      </c>
      <c r="T5963" t="s">
        <v>49446</v>
      </c>
      <c r="U5963" t="s">
        <v>54717</v>
      </c>
      <c r="W5963" t="s">
        <v>45354</v>
      </c>
      <c r="X5963" t="s">
        <v>47434</v>
      </c>
    </row>
    <row r="5964" spans="1:24">
      <c r="A5964">
        <f>HYPERLINK("https://www.philgeps.gov.ph/GEPSNONPILOT/Tender/SplashBidNoticeAbstractUI.aspx?menuIndex=3&amp;refID=7152105&amp;Result=3","7152105")</f>
        <v>0</v>
      </c>
      <c r="B5964" t="s">
        <v>2175</v>
      </c>
      <c r="C5964" t="s">
        <v>9530</v>
      </c>
      <c r="D5964" t="s">
        <v>19017</v>
      </c>
      <c r="E5964" t="s">
        <v>24313</v>
      </c>
      <c r="F5964" t="s">
        <v>32831</v>
      </c>
      <c r="G5964" t="s">
        <v>32839</v>
      </c>
      <c r="H5964" t="s">
        <v>32848</v>
      </c>
      <c r="I5964" t="s">
        <v>4438</v>
      </c>
      <c r="J5964" t="s">
        <v>36779</v>
      </c>
      <c r="K5964" t="s">
        <v>42776</v>
      </c>
      <c r="M5964" t="s">
        <v>45353</v>
      </c>
      <c r="N5964" t="s">
        <v>47424</v>
      </c>
      <c r="O5964" t="s">
        <v>47425</v>
      </c>
      <c r="P5964">
        <v>0</v>
      </c>
      <c r="Q5964">
        <v>2</v>
      </c>
      <c r="R5964" t="s">
        <v>47431</v>
      </c>
      <c r="S5964" t="s">
        <v>47565</v>
      </c>
      <c r="T5964" t="s">
        <v>49204</v>
      </c>
      <c r="U5964" t="s">
        <v>54718</v>
      </c>
      <c r="W5964" t="s">
        <v>45353</v>
      </c>
      <c r="X5964" t="s">
        <v>47434</v>
      </c>
    </row>
    <row r="5965" spans="1:24">
      <c r="A5965">
        <f>HYPERLINK("https://www.philgeps.gov.ph/GEPSNONPILOT/Tender/SplashBidNoticeAbstractUI.aspx?menuIndex=3&amp;refID=7152676&amp;Result=3","7152676")</f>
        <v>0</v>
      </c>
      <c r="B5965" t="s">
        <v>2170</v>
      </c>
      <c r="C5965" t="s">
        <v>9531</v>
      </c>
      <c r="D5965" t="s">
        <v>19066</v>
      </c>
      <c r="E5965" t="s">
        <v>24314</v>
      </c>
      <c r="F5965" t="s">
        <v>32831</v>
      </c>
      <c r="G5965" t="s">
        <v>32839</v>
      </c>
      <c r="H5965" t="s">
        <v>32848</v>
      </c>
      <c r="I5965" t="s">
        <v>10805</v>
      </c>
      <c r="J5965" t="s">
        <v>35347</v>
      </c>
      <c r="K5965" t="s">
        <v>42726</v>
      </c>
      <c r="M5965" t="s">
        <v>45348</v>
      </c>
      <c r="N5965" t="s">
        <v>47424</v>
      </c>
      <c r="O5965" t="s">
        <v>47425</v>
      </c>
      <c r="P5965">
        <v>0</v>
      </c>
      <c r="Q5965">
        <v>2</v>
      </c>
      <c r="R5965" t="s">
        <v>47431</v>
      </c>
      <c r="S5965" t="s">
        <v>47565</v>
      </c>
      <c r="T5965" t="s">
        <v>49108</v>
      </c>
      <c r="U5965" t="s">
        <v>54700</v>
      </c>
      <c r="W5965" t="s">
        <v>45348</v>
      </c>
      <c r="X5965" t="s">
        <v>47433</v>
      </c>
    </row>
    <row r="5966" spans="1:24">
      <c r="A5966">
        <f>HYPERLINK("https://www.philgeps.gov.ph/GEPSNONPILOT/Tender/SplashBidNoticeAbstractUI.aspx?menuIndex=3&amp;refID=7152101&amp;Result=3","7152101")</f>
        <v>0</v>
      </c>
      <c r="B5966" t="s">
        <v>2175</v>
      </c>
      <c r="C5966" t="s">
        <v>9532</v>
      </c>
      <c r="D5966" t="s">
        <v>19017</v>
      </c>
      <c r="E5966" t="s">
        <v>24315</v>
      </c>
      <c r="F5966" t="s">
        <v>32831</v>
      </c>
      <c r="G5966" t="s">
        <v>32839</v>
      </c>
      <c r="H5966" t="s">
        <v>32848</v>
      </c>
      <c r="I5966" t="s">
        <v>4438</v>
      </c>
      <c r="J5966" t="s">
        <v>34329</v>
      </c>
      <c r="K5966" t="s">
        <v>42776</v>
      </c>
      <c r="M5966" t="s">
        <v>45353</v>
      </c>
      <c r="N5966" t="s">
        <v>47424</v>
      </c>
      <c r="O5966" t="s">
        <v>47425</v>
      </c>
      <c r="P5966">
        <v>0</v>
      </c>
      <c r="Q5966">
        <v>3</v>
      </c>
      <c r="R5966" t="s">
        <v>47431</v>
      </c>
      <c r="S5966" t="s">
        <v>47565</v>
      </c>
      <c r="T5966" t="s">
        <v>49204</v>
      </c>
      <c r="U5966" t="s">
        <v>54719</v>
      </c>
      <c r="W5966" t="s">
        <v>45353</v>
      </c>
      <c r="X5966" t="s">
        <v>47434</v>
      </c>
    </row>
    <row r="5967" spans="1:24">
      <c r="A5967">
        <f>HYPERLINK("https://www.philgeps.gov.ph/GEPSNONPILOT/Tender/SplashBidNoticeAbstractUI.aspx?menuIndex=3&amp;refID=7152665&amp;Result=3","7152665")</f>
        <v>0</v>
      </c>
      <c r="B5967" t="s">
        <v>2177</v>
      </c>
      <c r="C5967" t="s">
        <v>4522</v>
      </c>
      <c r="D5967" t="s">
        <v>19073</v>
      </c>
      <c r="E5967" t="s">
        <v>19434</v>
      </c>
      <c r="F5967" t="s">
        <v>32831</v>
      </c>
      <c r="G5967" t="s">
        <v>32839</v>
      </c>
      <c r="H5967" t="s">
        <v>32848</v>
      </c>
      <c r="I5967" t="s">
        <v>9577</v>
      </c>
      <c r="J5967" t="s">
        <v>36780</v>
      </c>
      <c r="K5967" t="s">
        <v>42726</v>
      </c>
      <c r="M5967" t="s">
        <v>45356</v>
      </c>
      <c r="N5967" t="s">
        <v>47424</v>
      </c>
      <c r="O5967" t="s">
        <v>47425</v>
      </c>
      <c r="P5967">
        <v>0</v>
      </c>
      <c r="Q5967">
        <v>2</v>
      </c>
      <c r="R5967" t="s">
        <v>47431</v>
      </c>
      <c r="S5967" t="s">
        <v>47565</v>
      </c>
      <c r="T5967" t="s">
        <v>49198</v>
      </c>
      <c r="U5967" t="s">
        <v>54720</v>
      </c>
      <c r="W5967" t="s">
        <v>45356</v>
      </c>
      <c r="X5967" t="s">
        <v>47433</v>
      </c>
    </row>
    <row r="5968" spans="1:24">
      <c r="A5968">
        <f>HYPERLINK("https://www.philgeps.gov.ph/GEPSNONPILOT/Tender/SplashBidNoticeAbstractUI.aspx?menuIndex=3&amp;refID=7150097&amp;Result=3","7150097")</f>
        <v>0</v>
      </c>
      <c r="B5968" t="s">
        <v>1145</v>
      </c>
      <c r="C5968" t="s">
        <v>9533</v>
      </c>
      <c r="D5968" t="s">
        <v>19021</v>
      </c>
      <c r="E5968" t="s">
        <v>23676</v>
      </c>
      <c r="F5968" t="s">
        <v>32833</v>
      </c>
      <c r="G5968" t="s">
        <v>32840</v>
      </c>
      <c r="H5968" t="s">
        <v>32848</v>
      </c>
      <c r="I5968" t="s">
        <v>32860</v>
      </c>
      <c r="J5968" t="s">
        <v>36781</v>
      </c>
      <c r="K5968" t="s">
        <v>42726</v>
      </c>
      <c r="M5968" t="s">
        <v>44209</v>
      </c>
      <c r="N5968" t="s">
        <v>47424</v>
      </c>
      <c r="O5968" t="s">
        <v>47425</v>
      </c>
      <c r="P5968">
        <v>0</v>
      </c>
      <c r="Q5968">
        <v>2</v>
      </c>
      <c r="R5968" t="s">
        <v>47431</v>
      </c>
      <c r="S5968" t="s">
        <v>47565</v>
      </c>
      <c r="T5968" t="s">
        <v>49235</v>
      </c>
      <c r="U5968" t="s">
        <v>54721</v>
      </c>
      <c r="W5968" t="s">
        <v>44209</v>
      </c>
      <c r="X5968" t="s">
        <v>47434</v>
      </c>
    </row>
    <row r="5969" spans="1:24">
      <c r="A5969">
        <f>HYPERLINK("https://www.philgeps.gov.ph/GEPSNONPILOT/Tender/SplashBidNoticeAbstractUI.aspx?menuIndex=3&amp;refID=7149471&amp;Result=3","7149471")</f>
        <v>0</v>
      </c>
      <c r="B5969" t="s">
        <v>2148</v>
      </c>
      <c r="C5969" t="s">
        <v>9534</v>
      </c>
      <c r="D5969" t="s">
        <v>19038</v>
      </c>
      <c r="E5969" t="s">
        <v>24316</v>
      </c>
      <c r="F5969" t="s">
        <v>32831</v>
      </c>
      <c r="G5969" t="s">
        <v>32839</v>
      </c>
      <c r="H5969" t="s">
        <v>32849</v>
      </c>
      <c r="I5969" t="s">
        <v>4177</v>
      </c>
      <c r="J5969" t="s">
        <v>33032</v>
      </c>
      <c r="K5969" t="s">
        <v>42805</v>
      </c>
      <c r="M5969" t="s">
        <v>45328</v>
      </c>
      <c r="N5969" t="s">
        <v>47424</v>
      </c>
      <c r="O5969" t="s">
        <v>47425</v>
      </c>
      <c r="P5969">
        <v>0</v>
      </c>
      <c r="Q5969">
        <v>2</v>
      </c>
      <c r="R5969" t="s">
        <v>47431</v>
      </c>
      <c r="S5969" t="s">
        <v>47565</v>
      </c>
      <c r="T5969" t="s">
        <v>49444</v>
      </c>
      <c r="U5969" t="s">
        <v>54722</v>
      </c>
      <c r="W5969" t="s">
        <v>45328</v>
      </c>
      <c r="X5969" t="s">
        <v>47434</v>
      </c>
    </row>
    <row r="5970" spans="1:24">
      <c r="A5970">
        <f>HYPERLINK("https://www.philgeps.gov.ph/GEPSNONPILOT/Tender/SplashBidNoticeAbstractUI.aspx?menuIndex=3&amp;refID=7152613&amp;Result=3","7152613")</f>
        <v>0</v>
      </c>
      <c r="B5970" t="s">
        <v>1762</v>
      </c>
      <c r="C5970" t="s">
        <v>9535</v>
      </c>
      <c r="D5970" t="s">
        <v>19089</v>
      </c>
      <c r="E5970" t="s">
        <v>24317</v>
      </c>
      <c r="F5970" t="s">
        <v>32831</v>
      </c>
      <c r="G5970" t="s">
        <v>32839</v>
      </c>
      <c r="H5970" t="s">
        <v>32848</v>
      </c>
      <c r="I5970" t="s">
        <v>32862</v>
      </c>
      <c r="J5970" t="s">
        <v>34079</v>
      </c>
      <c r="K5970" t="s">
        <v>42730</v>
      </c>
      <c r="M5970" t="s">
        <v>44886</v>
      </c>
      <c r="N5970" t="s">
        <v>47424</v>
      </c>
      <c r="O5970" t="s">
        <v>47425</v>
      </c>
      <c r="P5970">
        <v>0</v>
      </c>
      <c r="Q5970">
        <v>0</v>
      </c>
      <c r="R5970" t="s">
        <v>47431</v>
      </c>
      <c r="S5970" t="s">
        <v>47565</v>
      </c>
      <c r="T5970" t="s">
        <v>49108</v>
      </c>
      <c r="U5970" t="s">
        <v>54723</v>
      </c>
      <c r="W5970" t="s">
        <v>44886</v>
      </c>
      <c r="X5970" t="s">
        <v>47433</v>
      </c>
    </row>
    <row r="5971" spans="1:24">
      <c r="A5971">
        <f>HYPERLINK("https://www.philgeps.gov.ph/GEPSNONPILOT/Tender/SplashBidNoticeAbstractUI.aspx?menuIndex=3&amp;refID=7152399&amp;Result=3","7152399")</f>
        <v>0</v>
      </c>
      <c r="B5971" t="s">
        <v>2178</v>
      </c>
      <c r="C5971" t="s">
        <v>9536</v>
      </c>
      <c r="D5971" t="s">
        <v>19047</v>
      </c>
      <c r="E5971" t="s">
        <v>24318</v>
      </c>
      <c r="F5971" t="s">
        <v>32831</v>
      </c>
      <c r="G5971" t="s">
        <v>32838</v>
      </c>
      <c r="H5971" t="s">
        <v>32848</v>
      </c>
      <c r="I5971" t="s">
        <v>4438</v>
      </c>
      <c r="J5971" t="s">
        <v>36782</v>
      </c>
      <c r="K5971" t="s">
        <v>42744</v>
      </c>
      <c r="M5971" t="s">
        <v>45357</v>
      </c>
      <c r="N5971" t="s">
        <v>47424</v>
      </c>
      <c r="O5971" t="s">
        <v>47425</v>
      </c>
      <c r="P5971">
        <v>0</v>
      </c>
      <c r="Q5971">
        <v>4</v>
      </c>
      <c r="R5971" t="s">
        <v>47431</v>
      </c>
      <c r="S5971" t="s">
        <v>47565</v>
      </c>
      <c r="T5971" t="s">
        <v>49243</v>
      </c>
      <c r="U5971" t="s">
        <v>54724</v>
      </c>
      <c r="V5971" t="s">
        <v>63293</v>
      </c>
      <c r="W5971" t="s">
        <v>45357</v>
      </c>
      <c r="X5971" t="s">
        <v>47433</v>
      </c>
    </row>
    <row r="5972" spans="1:24">
      <c r="A5972">
        <f>HYPERLINK("https://www.philgeps.gov.ph/GEPSNONPILOT/Tender/SplashBidNoticeAbstractUI.aspx?menuIndex=3&amp;refID=7152592&amp;Result=3","7152592")</f>
        <v>0</v>
      </c>
      <c r="B5972" t="s">
        <v>1762</v>
      </c>
      <c r="C5972" t="s">
        <v>9537</v>
      </c>
      <c r="D5972" t="s">
        <v>19089</v>
      </c>
      <c r="E5972" t="s">
        <v>24319</v>
      </c>
      <c r="F5972" t="s">
        <v>32831</v>
      </c>
      <c r="G5972" t="s">
        <v>32839</v>
      </c>
      <c r="H5972" t="s">
        <v>32848</v>
      </c>
      <c r="I5972" t="s">
        <v>32870</v>
      </c>
      <c r="J5972" t="s">
        <v>36783</v>
      </c>
      <c r="K5972" t="s">
        <v>42731</v>
      </c>
      <c r="M5972" t="s">
        <v>44886</v>
      </c>
      <c r="N5972" t="s">
        <v>47424</v>
      </c>
      <c r="O5972" t="s">
        <v>47425</v>
      </c>
      <c r="P5972">
        <v>0</v>
      </c>
      <c r="Q5972">
        <v>0</v>
      </c>
      <c r="R5972" t="s">
        <v>47431</v>
      </c>
      <c r="S5972" t="s">
        <v>47565</v>
      </c>
      <c r="T5972" t="s">
        <v>49108</v>
      </c>
      <c r="U5972" t="s">
        <v>54725</v>
      </c>
      <c r="W5972" t="s">
        <v>44886</v>
      </c>
      <c r="X5972" t="s">
        <v>47433</v>
      </c>
    </row>
    <row r="5973" spans="1:24">
      <c r="A5973">
        <f>HYPERLINK("https://www.philgeps.gov.ph/GEPSNONPILOT/Tender/SplashBidNoticeAbstractUI.aspx?menuIndex=3&amp;refID=7152588&amp;Result=3","7152588")</f>
        <v>0</v>
      </c>
      <c r="B5973" t="s">
        <v>2179</v>
      </c>
      <c r="C5973" t="s">
        <v>9538</v>
      </c>
      <c r="D5973" t="s">
        <v>19031</v>
      </c>
      <c r="E5973" t="s">
        <v>20432</v>
      </c>
      <c r="F5973" t="s">
        <v>32831</v>
      </c>
      <c r="G5973" t="s">
        <v>32839</v>
      </c>
      <c r="H5973" t="s">
        <v>32848</v>
      </c>
      <c r="I5973" t="s">
        <v>32925</v>
      </c>
      <c r="J5973" t="s">
        <v>36784</v>
      </c>
      <c r="K5973" t="s">
        <v>42727</v>
      </c>
      <c r="M5973" t="s">
        <v>45358</v>
      </c>
      <c r="N5973" t="s">
        <v>47424</v>
      </c>
      <c r="O5973" t="s">
        <v>47425</v>
      </c>
      <c r="P5973">
        <v>0</v>
      </c>
      <c r="Q5973">
        <v>4</v>
      </c>
      <c r="R5973" t="s">
        <v>47431</v>
      </c>
      <c r="S5973" t="s">
        <v>47565</v>
      </c>
      <c r="T5973" t="s">
        <v>49200</v>
      </c>
      <c r="U5973" t="s">
        <v>54726</v>
      </c>
      <c r="W5973" t="s">
        <v>45358</v>
      </c>
      <c r="X5973" t="s">
        <v>47433</v>
      </c>
    </row>
    <row r="5974" spans="1:24">
      <c r="A5974">
        <f>HYPERLINK("https://www.philgeps.gov.ph/GEPSNONPILOT/Tender/SplashBidNoticeAbstractUI.aspx?menuIndex=3&amp;refID=7152579&amp;Result=3","7152579")</f>
        <v>0</v>
      </c>
      <c r="B5974" t="s">
        <v>2170</v>
      </c>
      <c r="C5974" t="s">
        <v>9539</v>
      </c>
      <c r="D5974" t="s">
        <v>19066</v>
      </c>
      <c r="E5974" t="s">
        <v>24320</v>
      </c>
      <c r="F5974" t="s">
        <v>32831</v>
      </c>
      <c r="G5974" t="s">
        <v>32839</v>
      </c>
      <c r="H5974" t="s">
        <v>32848</v>
      </c>
      <c r="I5974" t="s">
        <v>4222</v>
      </c>
      <c r="J5974" t="s">
        <v>35578</v>
      </c>
      <c r="K5974" t="s">
        <v>42726</v>
      </c>
      <c r="M5974" t="s">
        <v>45348</v>
      </c>
      <c r="N5974" t="s">
        <v>47424</v>
      </c>
      <c r="O5974" t="s">
        <v>47425</v>
      </c>
      <c r="P5974">
        <v>0</v>
      </c>
      <c r="Q5974">
        <v>0</v>
      </c>
      <c r="R5974" t="s">
        <v>47431</v>
      </c>
      <c r="S5974" t="s">
        <v>47565</v>
      </c>
      <c r="T5974" t="s">
        <v>49108</v>
      </c>
      <c r="U5974" t="s">
        <v>54700</v>
      </c>
      <c r="W5974" t="s">
        <v>45348</v>
      </c>
      <c r="X5974" t="s">
        <v>47433</v>
      </c>
    </row>
    <row r="5975" spans="1:24">
      <c r="A5975">
        <f>HYPERLINK("https://www.philgeps.gov.ph/GEPSNONPILOT/Tender/SplashBidNoticeAbstractUI.aspx?menuIndex=3&amp;refID=7152538&amp;Result=3","7152538")</f>
        <v>0</v>
      </c>
      <c r="B5975" t="s">
        <v>129</v>
      </c>
      <c r="C5975" t="s">
        <v>9540</v>
      </c>
      <c r="D5975" t="s">
        <v>19107</v>
      </c>
      <c r="E5975" t="s">
        <v>24321</v>
      </c>
      <c r="F5975" t="s">
        <v>32831</v>
      </c>
      <c r="G5975" t="s">
        <v>32839</v>
      </c>
      <c r="H5975" t="s">
        <v>14069</v>
      </c>
      <c r="I5975" t="s">
        <v>14069</v>
      </c>
      <c r="J5975" t="s">
        <v>36785</v>
      </c>
      <c r="K5975" t="s">
        <v>42876</v>
      </c>
      <c r="M5975" t="s">
        <v>45359</v>
      </c>
      <c r="N5975" t="s">
        <v>47424</v>
      </c>
      <c r="O5975" t="s">
        <v>47425</v>
      </c>
      <c r="P5975">
        <v>0</v>
      </c>
      <c r="Q5975">
        <v>5</v>
      </c>
      <c r="R5975" t="s">
        <v>47431</v>
      </c>
      <c r="S5975" t="s">
        <v>47565</v>
      </c>
      <c r="T5975" t="s">
        <v>49056</v>
      </c>
      <c r="U5975" t="s">
        <v>54727</v>
      </c>
      <c r="V5975" t="s">
        <v>51143</v>
      </c>
      <c r="W5975" t="s">
        <v>45359</v>
      </c>
      <c r="X5975" t="s">
        <v>47433</v>
      </c>
    </row>
    <row r="5976" spans="1:24">
      <c r="A5976">
        <f>HYPERLINK("https://www.philgeps.gov.ph/GEPSNONPILOT/Tender/SplashBidNoticeAbstractUI.aspx?menuIndex=3&amp;refID=7152535&amp;Result=3","7152535")</f>
        <v>0</v>
      </c>
      <c r="B5976" t="s">
        <v>2170</v>
      </c>
      <c r="C5976" t="s">
        <v>9541</v>
      </c>
      <c r="D5976" t="s">
        <v>19066</v>
      </c>
      <c r="E5976" t="s">
        <v>24322</v>
      </c>
      <c r="F5976" t="s">
        <v>32831</v>
      </c>
      <c r="G5976" t="s">
        <v>32839</v>
      </c>
      <c r="H5976" t="s">
        <v>32848</v>
      </c>
      <c r="I5976" t="s">
        <v>32857</v>
      </c>
      <c r="J5976" t="s">
        <v>36786</v>
      </c>
      <c r="K5976" t="s">
        <v>42726</v>
      </c>
      <c r="M5976" t="s">
        <v>45348</v>
      </c>
      <c r="N5976" t="s">
        <v>47424</v>
      </c>
      <c r="O5976" t="s">
        <v>47425</v>
      </c>
      <c r="P5976">
        <v>0</v>
      </c>
      <c r="Q5976">
        <v>3</v>
      </c>
      <c r="R5976" t="s">
        <v>47431</v>
      </c>
      <c r="S5976" t="s">
        <v>47565</v>
      </c>
      <c r="T5976" t="s">
        <v>49108</v>
      </c>
      <c r="U5976" t="s">
        <v>54700</v>
      </c>
      <c r="W5976" t="s">
        <v>45348</v>
      </c>
      <c r="X5976" t="s">
        <v>47433</v>
      </c>
    </row>
    <row r="5977" spans="1:24">
      <c r="A5977">
        <f>HYPERLINK("https://www.philgeps.gov.ph/GEPSNONPILOT/Tender/SplashBidNoticeAbstractUI.aspx?menuIndex=3&amp;refID=7152485&amp;Result=3","7152485")</f>
        <v>0</v>
      </c>
      <c r="B5977" t="s">
        <v>129</v>
      </c>
      <c r="C5977" t="s">
        <v>9542</v>
      </c>
      <c r="D5977" t="s">
        <v>19026</v>
      </c>
      <c r="E5977" t="s">
        <v>24323</v>
      </c>
      <c r="F5977" t="s">
        <v>32831</v>
      </c>
      <c r="G5977" t="s">
        <v>32839</v>
      </c>
      <c r="H5977" t="s">
        <v>32849</v>
      </c>
      <c r="I5977" t="s">
        <v>4177</v>
      </c>
      <c r="J5977" t="s">
        <v>36787</v>
      </c>
      <c r="K5977" t="s">
        <v>42757</v>
      </c>
      <c r="M5977" t="s">
        <v>45359</v>
      </c>
      <c r="N5977" t="s">
        <v>47424</v>
      </c>
      <c r="O5977" t="s">
        <v>47425</v>
      </c>
      <c r="P5977">
        <v>0</v>
      </c>
      <c r="Q5977">
        <v>11</v>
      </c>
      <c r="R5977" t="s">
        <v>47431</v>
      </c>
      <c r="S5977" t="s">
        <v>47565</v>
      </c>
      <c r="T5977" t="s">
        <v>49236</v>
      </c>
      <c r="U5977" t="s">
        <v>54728</v>
      </c>
      <c r="V5977" t="s">
        <v>63294</v>
      </c>
      <c r="W5977" t="s">
        <v>45359</v>
      </c>
      <c r="X5977" t="s">
        <v>47433</v>
      </c>
    </row>
    <row r="5978" spans="1:24">
      <c r="A5978">
        <f>HYPERLINK("https://www.philgeps.gov.ph/GEPSNONPILOT/Tender/SplashBidNoticeAbstractUI.aspx?menuIndex=3&amp;refID=7152607&amp;Result=3","7152607")</f>
        <v>0</v>
      </c>
      <c r="B5978" t="s">
        <v>2180</v>
      </c>
      <c r="C5978" t="s">
        <v>9543</v>
      </c>
      <c r="D5978" t="s">
        <v>19037</v>
      </c>
      <c r="E5978" t="s">
        <v>24324</v>
      </c>
      <c r="F5978" t="s">
        <v>32831</v>
      </c>
      <c r="G5978" t="s">
        <v>32838</v>
      </c>
      <c r="H5978" t="s">
        <v>32848</v>
      </c>
      <c r="I5978" t="s">
        <v>32856</v>
      </c>
      <c r="J5978" t="s">
        <v>34070</v>
      </c>
      <c r="K5978" t="s">
        <v>42731</v>
      </c>
      <c r="M5978" t="s">
        <v>45360</v>
      </c>
      <c r="N5978" t="s">
        <v>47424</v>
      </c>
      <c r="O5978" t="s">
        <v>47425</v>
      </c>
      <c r="P5978">
        <v>0</v>
      </c>
      <c r="Q5978">
        <v>0</v>
      </c>
      <c r="R5978" t="s">
        <v>47431</v>
      </c>
      <c r="S5978" t="s">
        <v>47565</v>
      </c>
      <c r="T5978" t="s">
        <v>49239</v>
      </c>
      <c r="U5978" t="s">
        <v>54729</v>
      </c>
      <c r="W5978" t="s">
        <v>45360</v>
      </c>
      <c r="X5978" t="s">
        <v>47433</v>
      </c>
    </row>
    <row r="5979" spans="1:24">
      <c r="A5979">
        <f>HYPERLINK("https://www.philgeps.gov.ph/GEPSNONPILOT/Tender/SplashBidNoticeAbstractUI.aspx?menuIndex=3&amp;refID=7152448&amp;Result=3","7152448")</f>
        <v>0</v>
      </c>
      <c r="B5979" t="s">
        <v>2178</v>
      </c>
      <c r="C5979" t="s">
        <v>9544</v>
      </c>
      <c r="D5979" t="s">
        <v>19047</v>
      </c>
      <c r="E5979" t="s">
        <v>24325</v>
      </c>
      <c r="F5979" t="s">
        <v>32831</v>
      </c>
      <c r="G5979" t="s">
        <v>32838</v>
      </c>
      <c r="H5979" t="s">
        <v>32848</v>
      </c>
      <c r="I5979" t="s">
        <v>32883</v>
      </c>
      <c r="J5979" t="s">
        <v>36788</v>
      </c>
      <c r="K5979" t="s">
        <v>42744</v>
      </c>
      <c r="M5979" t="s">
        <v>45357</v>
      </c>
      <c r="N5979" t="s">
        <v>47424</v>
      </c>
      <c r="O5979" t="s">
        <v>47425</v>
      </c>
      <c r="P5979">
        <v>0</v>
      </c>
      <c r="Q5979">
        <v>2</v>
      </c>
      <c r="R5979" t="s">
        <v>47431</v>
      </c>
      <c r="S5979" t="s">
        <v>47565</v>
      </c>
      <c r="T5979" t="s">
        <v>49243</v>
      </c>
      <c r="U5979" t="s">
        <v>54730</v>
      </c>
      <c r="V5979" t="s">
        <v>63293</v>
      </c>
      <c r="W5979" t="s">
        <v>45357</v>
      </c>
      <c r="X5979" t="s">
        <v>47433</v>
      </c>
    </row>
    <row r="5980" spans="1:24">
      <c r="A5980">
        <f>HYPERLINK("https://www.philgeps.gov.ph/GEPSNONPILOT/Tender/SplashBidNoticeAbstractUI.aspx?menuIndex=3&amp;refID=7152630&amp;Result=3","7152630")</f>
        <v>0</v>
      </c>
      <c r="B5980" t="s">
        <v>2181</v>
      </c>
      <c r="C5980" t="s">
        <v>9545</v>
      </c>
      <c r="D5980" t="s">
        <v>19085</v>
      </c>
      <c r="E5980" t="s">
        <v>24326</v>
      </c>
      <c r="F5980" t="s">
        <v>32831</v>
      </c>
      <c r="G5980" t="s">
        <v>32839</v>
      </c>
      <c r="H5980" t="s">
        <v>32849</v>
      </c>
      <c r="I5980" t="s">
        <v>4177</v>
      </c>
      <c r="J5980" t="s">
        <v>33016</v>
      </c>
      <c r="K5980" t="s">
        <v>42770</v>
      </c>
      <c r="M5980" t="s">
        <v>45361</v>
      </c>
      <c r="N5980" t="s">
        <v>47424</v>
      </c>
      <c r="O5980" t="s">
        <v>47425</v>
      </c>
      <c r="P5980">
        <v>0</v>
      </c>
      <c r="Q5980">
        <v>0</v>
      </c>
      <c r="R5980" t="s">
        <v>47431</v>
      </c>
      <c r="S5980" t="s">
        <v>47565</v>
      </c>
      <c r="T5980" t="s">
        <v>49302</v>
      </c>
      <c r="U5980" t="s">
        <v>54731</v>
      </c>
      <c r="W5980" t="s">
        <v>45361</v>
      </c>
      <c r="X5980" t="s">
        <v>47433</v>
      </c>
    </row>
    <row r="5981" spans="1:24">
      <c r="A5981">
        <f>HYPERLINK("https://www.philgeps.gov.ph/GEPSNONPILOT/Tender/SplashBidNoticeAbstractUI.aspx?menuIndex=3&amp;refID=7152434&amp;Result=3","7152434")</f>
        <v>0</v>
      </c>
      <c r="B5981" t="s">
        <v>2170</v>
      </c>
      <c r="C5981" t="s">
        <v>9541</v>
      </c>
      <c r="D5981" t="s">
        <v>19066</v>
      </c>
      <c r="E5981" t="s">
        <v>24327</v>
      </c>
      <c r="F5981" t="s">
        <v>32831</v>
      </c>
      <c r="G5981" t="s">
        <v>32839</v>
      </c>
      <c r="H5981" t="s">
        <v>32848</v>
      </c>
      <c r="I5981" t="s">
        <v>32857</v>
      </c>
      <c r="J5981" t="s">
        <v>36789</v>
      </c>
      <c r="K5981" t="s">
        <v>42726</v>
      </c>
      <c r="M5981" t="s">
        <v>45348</v>
      </c>
      <c r="N5981" t="s">
        <v>47424</v>
      </c>
      <c r="O5981" t="s">
        <v>47425</v>
      </c>
      <c r="P5981">
        <v>0</v>
      </c>
      <c r="Q5981">
        <v>4</v>
      </c>
      <c r="R5981" t="s">
        <v>47431</v>
      </c>
      <c r="S5981" t="s">
        <v>47565</v>
      </c>
      <c r="T5981" t="s">
        <v>49108</v>
      </c>
      <c r="U5981" t="s">
        <v>54700</v>
      </c>
      <c r="W5981" t="s">
        <v>45348</v>
      </c>
      <c r="X5981" t="s">
        <v>47433</v>
      </c>
    </row>
    <row r="5982" spans="1:24">
      <c r="A5982">
        <f>HYPERLINK("https://www.philgeps.gov.ph/GEPSNONPILOT/Tender/SplashBidNoticeAbstractUI.aspx?menuIndex=3&amp;refID=7152431&amp;Result=3","7152431")</f>
        <v>0</v>
      </c>
      <c r="B5982" t="s">
        <v>2182</v>
      </c>
      <c r="C5982" t="s">
        <v>9546</v>
      </c>
      <c r="D5982" t="s">
        <v>19021</v>
      </c>
      <c r="E5982" t="s">
        <v>24328</v>
      </c>
      <c r="F5982" t="s">
        <v>32831</v>
      </c>
      <c r="G5982" t="s">
        <v>32838</v>
      </c>
      <c r="H5982" t="s">
        <v>32848</v>
      </c>
      <c r="I5982" t="s">
        <v>32856</v>
      </c>
      <c r="J5982" t="s">
        <v>36790</v>
      </c>
      <c r="K5982" t="s">
        <v>42732</v>
      </c>
      <c r="M5982" t="s">
        <v>45362</v>
      </c>
      <c r="N5982" t="s">
        <v>47424</v>
      </c>
      <c r="O5982" t="s">
        <v>47425</v>
      </c>
      <c r="P5982">
        <v>0</v>
      </c>
      <c r="Q5982">
        <v>1</v>
      </c>
      <c r="R5982" t="s">
        <v>47431</v>
      </c>
      <c r="S5982" t="s">
        <v>47565</v>
      </c>
      <c r="T5982" t="s">
        <v>49061</v>
      </c>
      <c r="U5982" t="s">
        <v>54732</v>
      </c>
      <c r="W5982" t="s">
        <v>45362</v>
      </c>
      <c r="X5982" t="s">
        <v>47433</v>
      </c>
    </row>
    <row r="5983" spans="1:24">
      <c r="A5983">
        <f>HYPERLINK("https://www.philgeps.gov.ph/GEPSNONPILOT/Tender/SplashBidNoticeAbstractUI.aspx?menuIndex=3&amp;refID=7152418&amp;Result=3","7152418")</f>
        <v>0</v>
      </c>
      <c r="B5983" t="s">
        <v>2178</v>
      </c>
      <c r="C5983" t="s">
        <v>9547</v>
      </c>
      <c r="D5983" t="s">
        <v>19047</v>
      </c>
      <c r="E5983" t="s">
        <v>24329</v>
      </c>
      <c r="F5983" t="s">
        <v>32831</v>
      </c>
      <c r="G5983" t="s">
        <v>32838</v>
      </c>
      <c r="H5983" t="s">
        <v>32850</v>
      </c>
      <c r="I5983" t="s">
        <v>32883</v>
      </c>
      <c r="J5983" t="s">
        <v>32980</v>
      </c>
      <c r="K5983" t="s">
        <v>42730</v>
      </c>
      <c r="M5983" t="s">
        <v>45357</v>
      </c>
      <c r="N5983" t="s">
        <v>47424</v>
      </c>
      <c r="O5983" t="s">
        <v>47425</v>
      </c>
      <c r="P5983">
        <v>0</v>
      </c>
      <c r="Q5983">
        <v>1</v>
      </c>
      <c r="R5983" t="s">
        <v>47431</v>
      </c>
      <c r="S5983" t="s">
        <v>47565</v>
      </c>
      <c r="T5983" t="s">
        <v>49243</v>
      </c>
      <c r="U5983" t="s">
        <v>54733</v>
      </c>
      <c r="V5983" t="s">
        <v>62754</v>
      </c>
      <c r="W5983" t="s">
        <v>45357</v>
      </c>
      <c r="X5983" t="s">
        <v>47433</v>
      </c>
    </row>
    <row r="5984" spans="1:24">
      <c r="A5984">
        <f>HYPERLINK("https://www.philgeps.gov.ph/GEPSNONPILOT/Tender/SplashBidNoticeAbstractUI.aspx?menuIndex=3&amp;refID=7149395&amp;Result=3","7149395")</f>
        <v>0</v>
      </c>
      <c r="B5984" t="s">
        <v>2176</v>
      </c>
      <c r="C5984" t="s">
        <v>9548</v>
      </c>
      <c r="D5984" t="s">
        <v>19022</v>
      </c>
      <c r="E5984" t="s">
        <v>24330</v>
      </c>
      <c r="F5984" t="s">
        <v>32831</v>
      </c>
      <c r="G5984" t="s">
        <v>32839</v>
      </c>
      <c r="H5984" t="s">
        <v>32849</v>
      </c>
      <c r="I5984" t="s">
        <v>4177</v>
      </c>
      <c r="J5984" t="s">
        <v>34921</v>
      </c>
      <c r="K5984" t="s">
        <v>42880</v>
      </c>
      <c r="M5984" t="s">
        <v>45354</v>
      </c>
      <c r="N5984" t="s">
        <v>47424</v>
      </c>
      <c r="O5984" t="s">
        <v>47425</v>
      </c>
      <c r="P5984">
        <v>0</v>
      </c>
      <c r="Q5984">
        <v>0</v>
      </c>
      <c r="R5984" t="s">
        <v>47431</v>
      </c>
      <c r="S5984" t="s">
        <v>47565</v>
      </c>
      <c r="T5984" t="s">
        <v>49179</v>
      </c>
      <c r="U5984" t="s">
        <v>54734</v>
      </c>
      <c r="W5984" t="s">
        <v>45354</v>
      </c>
      <c r="X5984" t="s">
        <v>47434</v>
      </c>
    </row>
    <row r="5985" spans="1:24">
      <c r="A5985">
        <f>HYPERLINK("https://www.philgeps.gov.ph/GEPSNONPILOT/Tender/SplashBidNoticeAbstractUI.aspx?menuIndex=3&amp;refID=7152498&amp;Result=3","7152498")</f>
        <v>0</v>
      </c>
      <c r="B5985" t="s">
        <v>2170</v>
      </c>
      <c r="C5985" t="s">
        <v>9541</v>
      </c>
      <c r="D5985" t="s">
        <v>19066</v>
      </c>
      <c r="E5985" t="s">
        <v>24331</v>
      </c>
      <c r="F5985" t="s">
        <v>32831</v>
      </c>
      <c r="G5985" t="s">
        <v>32839</v>
      </c>
      <c r="H5985" t="s">
        <v>32848</v>
      </c>
      <c r="I5985" t="s">
        <v>32857</v>
      </c>
      <c r="J5985" t="s">
        <v>33029</v>
      </c>
      <c r="K5985" t="s">
        <v>42726</v>
      </c>
      <c r="M5985" t="s">
        <v>45348</v>
      </c>
      <c r="N5985" t="s">
        <v>47424</v>
      </c>
      <c r="O5985" t="s">
        <v>47425</v>
      </c>
      <c r="P5985">
        <v>0</v>
      </c>
      <c r="Q5985">
        <v>1</v>
      </c>
      <c r="R5985" t="s">
        <v>47431</v>
      </c>
      <c r="S5985" t="s">
        <v>47565</v>
      </c>
      <c r="T5985" t="s">
        <v>49108</v>
      </c>
      <c r="U5985" t="s">
        <v>54700</v>
      </c>
      <c r="W5985" t="s">
        <v>45348</v>
      </c>
      <c r="X5985" t="s">
        <v>47433</v>
      </c>
    </row>
    <row r="5986" spans="1:24">
      <c r="A5986">
        <f>HYPERLINK("https://www.philgeps.gov.ph/GEPSNONPILOT/Tender/SplashBidNoticeAbstractUI.aspx?menuIndex=3&amp;refID=7161773&amp;Result=3","7161773")</f>
        <v>0</v>
      </c>
      <c r="B5986" t="s">
        <v>1018</v>
      </c>
      <c r="C5986" t="s">
        <v>9549</v>
      </c>
      <c r="E5986" t="s">
        <v>24332</v>
      </c>
      <c r="F5986" t="s">
        <v>32831</v>
      </c>
      <c r="G5986" t="s">
        <v>32839</v>
      </c>
      <c r="H5986" t="s">
        <v>32848</v>
      </c>
      <c r="I5986" t="s">
        <v>32870</v>
      </c>
      <c r="J5986" t="s">
        <v>36791</v>
      </c>
      <c r="K5986" t="s">
        <v>42732</v>
      </c>
      <c r="M5986" t="s">
        <v>44068</v>
      </c>
      <c r="N5986" t="s">
        <v>47424</v>
      </c>
      <c r="O5986" t="s">
        <v>47425</v>
      </c>
      <c r="P5986">
        <v>0</v>
      </c>
      <c r="Q5986">
        <v>1</v>
      </c>
      <c r="R5986" t="s">
        <v>47430</v>
      </c>
      <c r="S5986" t="s">
        <v>47549</v>
      </c>
      <c r="T5986" t="s">
        <v>49103</v>
      </c>
      <c r="U5986" t="s">
        <v>54735</v>
      </c>
      <c r="V5986" t="s">
        <v>62866</v>
      </c>
      <c r="W5986" t="s">
        <v>44068</v>
      </c>
      <c r="X5986" t="s">
        <v>47431</v>
      </c>
    </row>
    <row r="5987" spans="1:24">
      <c r="A5987">
        <f>HYPERLINK("https://www.philgeps.gov.ph/GEPSNONPILOT/Tender/SplashBidNoticeAbstractUI.aspx?menuIndex=3&amp;refID=7152636&amp;Result=3","7152636")</f>
        <v>0</v>
      </c>
      <c r="B5987" t="s">
        <v>2170</v>
      </c>
      <c r="C5987" t="s">
        <v>9550</v>
      </c>
      <c r="D5987" t="s">
        <v>19066</v>
      </c>
      <c r="E5987" t="s">
        <v>24333</v>
      </c>
      <c r="F5987" t="s">
        <v>32831</v>
      </c>
      <c r="G5987" t="s">
        <v>32839</v>
      </c>
      <c r="H5987" t="s">
        <v>32848</v>
      </c>
      <c r="I5987" t="s">
        <v>10805</v>
      </c>
      <c r="J5987" t="s">
        <v>36767</v>
      </c>
      <c r="K5987" t="s">
        <v>42726</v>
      </c>
      <c r="M5987" t="s">
        <v>45348</v>
      </c>
      <c r="N5987" t="s">
        <v>47424</v>
      </c>
      <c r="O5987" t="s">
        <v>47425</v>
      </c>
      <c r="P5987">
        <v>0</v>
      </c>
      <c r="Q5987">
        <v>2</v>
      </c>
      <c r="R5987" t="s">
        <v>47431</v>
      </c>
      <c r="S5987" t="s">
        <v>47565</v>
      </c>
      <c r="T5987" t="s">
        <v>49108</v>
      </c>
      <c r="U5987" t="s">
        <v>54700</v>
      </c>
      <c r="W5987" t="s">
        <v>45348</v>
      </c>
      <c r="X5987" t="s">
        <v>47433</v>
      </c>
    </row>
    <row r="5988" spans="1:24">
      <c r="A5988">
        <f>HYPERLINK("https://www.philgeps.gov.ph/GEPSNONPILOT/Tender/SplashBidNoticeAbstractUI.aspx?menuIndex=3&amp;refID=7161770&amp;Result=3","7161770")</f>
        <v>0</v>
      </c>
      <c r="B5988" t="s">
        <v>960</v>
      </c>
      <c r="C5988" t="s">
        <v>9551</v>
      </c>
      <c r="D5988" t="s">
        <v>19017</v>
      </c>
      <c r="E5988" t="s">
        <v>24334</v>
      </c>
      <c r="F5988" t="s">
        <v>32831</v>
      </c>
      <c r="G5988" t="s">
        <v>32838</v>
      </c>
      <c r="H5988" t="s">
        <v>32850</v>
      </c>
      <c r="I5988" t="s">
        <v>32917</v>
      </c>
      <c r="J5988" t="s">
        <v>36792</v>
      </c>
      <c r="K5988" t="s">
        <v>42730</v>
      </c>
      <c r="M5988" t="s">
        <v>44410</v>
      </c>
      <c r="N5988" t="s">
        <v>47424</v>
      </c>
      <c r="O5988" t="s">
        <v>47425</v>
      </c>
      <c r="P5988">
        <v>0</v>
      </c>
      <c r="Q5988">
        <v>1</v>
      </c>
      <c r="R5988" t="s">
        <v>47430</v>
      </c>
      <c r="S5988" t="s">
        <v>47549</v>
      </c>
      <c r="T5988" t="s">
        <v>49103</v>
      </c>
      <c r="U5988" t="s">
        <v>54736</v>
      </c>
      <c r="W5988" t="s">
        <v>44410</v>
      </c>
      <c r="X5988" t="s">
        <v>47431</v>
      </c>
    </row>
    <row r="5989" spans="1:24">
      <c r="A5989">
        <f>HYPERLINK("https://www.philgeps.gov.ph/GEPSNONPILOT/Tender/SplashBidNoticeAbstractUI.aspx?menuIndex=3&amp;refID=7161731&amp;Result=3","7161731")</f>
        <v>0</v>
      </c>
      <c r="B5989" t="s">
        <v>387</v>
      </c>
      <c r="C5989" t="s">
        <v>9552</v>
      </c>
      <c r="D5989" t="s">
        <v>19069</v>
      </c>
      <c r="E5989" t="s">
        <v>19494</v>
      </c>
      <c r="F5989" t="s">
        <v>32831</v>
      </c>
      <c r="G5989" t="s">
        <v>32838</v>
      </c>
      <c r="H5989" t="s">
        <v>32848</v>
      </c>
      <c r="I5989" t="s">
        <v>32881</v>
      </c>
      <c r="J5989" t="s">
        <v>36793</v>
      </c>
      <c r="K5989" t="s">
        <v>42727</v>
      </c>
      <c r="M5989" t="s">
        <v>43391</v>
      </c>
      <c r="N5989" t="s">
        <v>47424</v>
      </c>
      <c r="O5989" t="s">
        <v>47425</v>
      </c>
      <c r="P5989">
        <v>0</v>
      </c>
      <c r="Q5989">
        <v>0</v>
      </c>
      <c r="R5989" t="s">
        <v>47430</v>
      </c>
      <c r="S5989" t="s">
        <v>47549</v>
      </c>
      <c r="T5989" t="s">
        <v>49079</v>
      </c>
      <c r="U5989" t="s">
        <v>54737</v>
      </c>
      <c r="W5989" t="s">
        <v>43391</v>
      </c>
      <c r="X5989" t="s">
        <v>47431</v>
      </c>
    </row>
    <row r="5990" spans="1:24">
      <c r="A5990">
        <f>HYPERLINK("https://www.philgeps.gov.ph/GEPSNONPILOT/Tender/SplashBidNoticeAbstractUI.aspx?menuIndex=3&amp;refID=7161726&amp;Result=3","7161726")</f>
        <v>0</v>
      </c>
      <c r="B5990" t="s">
        <v>2137</v>
      </c>
      <c r="C5990" t="s">
        <v>9553</v>
      </c>
      <c r="D5990" t="s">
        <v>19033</v>
      </c>
      <c r="E5990" t="s">
        <v>24335</v>
      </c>
      <c r="F5990" t="s">
        <v>32831</v>
      </c>
      <c r="G5990" t="s">
        <v>32839</v>
      </c>
      <c r="H5990" t="s">
        <v>32848</v>
      </c>
      <c r="I5990" t="s">
        <v>32864</v>
      </c>
      <c r="J5990" t="s">
        <v>36794</v>
      </c>
      <c r="K5990" t="s">
        <v>42731</v>
      </c>
      <c r="M5990" t="s">
        <v>45315</v>
      </c>
      <c r="N5990" t="s">
        <v>47424</v>
      </c>
      <c r="O5990" t="s">
        <v>47425</v>
      </c>
      <c r="P5990">
        <v>0</v>
      </c>
      <c r="Q5990">
        <v>3</v>
      </c>
      <c r="R5990" t="s">
        <v>47430</v>
      </c>
      <c r="S5990" t="s">
        <v>47549</v>
      </c>
      <c r="T5990" t="s">
        <v>49441</v>
      </c>
      <c r="U5990" t="s">
        <v>54738</v>
      </c>
      <c r="W5990" t="s">
        <v>45315</v>
      </c>
      <c r="X5990" t="s">
        <v>47431</v>
      </c>
    </row>
    <row r="5991" spans="1:24">
      <c r="A5991">
        <f>HYPERLINK("https://www.philgeps.gov.ph/GEPSNONPILOT/Tender/SplashBidNoticeAbstractUI.aspx?menuIndex=3&amp;refID=7161725&amp;Result=3","7161725")</f>
        <v>0</v>
      </c>
      <c r="B5991" t="s">
        <v>1620</v>
      </c>
      <c r="C5991" t="s">
        <v>9554</v>
      </c>
      <c r="D5991" t="s">
        <v>19017</v>
      </c>
      <c r="E5991" t="s">
        <v>24336</v>
      </c>
      <c r="F5991" t="s">
        <v>32831</v>
      </c>
      <c r="G5991" t="s">
        <v>32839</v>
      </c>
      <c r="H5991" t="s">
        <v>32848</v>
      </c>
      <c r="I5991" t="s">
        <v>4303</v>
      </c>
      <c r="J5991" t="s">
        <v>32980</v>
      </c>
      <c r="K5991" t="s">
        <v>42726</v>
      </c>
      <c r="M5991" t="s">
        <v>44736</v>
      </c>
      <c r="N5991" t="s">
        <v>47424</v>
      </c>
      <c r="O5991" t="s">
        <v>47425</v>
      </c>
      <c r="P5991">
        <v>0</v>
      </c>
      <c r="Q5991">
        <v>4</v>
      </c>
      <c r="R5991" t="s">
        <v>47430</v>
      </c>
      <c r="S5991" t="s">
        <v>47549</v>
      </c>
      <c r="T5991" t="s">
        <v>49123</v>
      </c>
      <c r="U5991" t="s">
        <v>54739</v>
      </c>
      <c r="V5991" t="s">
        <v>63064</v>
      </c>
      <c r="W5991" t="s">
        <v>44736</v>
      </c>
      <c r="X5991" t="s">
        <v>47431</v>
      </c>
    </row>
    <row r="5992" spans="1:24">
      <c r="A5992">
        <f>HYPERLINK("https://www.philgeps.gov.ph/GEPSNONPILOT/Tender/SplashBidNoticeAbstractUI.aspx?menuIndex=3&amp;refID=7161772&amp;Result=3","7161772")</f>
        <v>0</v>
      </c>
      <c r="B5992" t="s">
        <v>84</v>
      </c>
      <c r="C5992" t="s">
        <v>9555</v>
      </c>
      <c r="E5992" t="s">
        <v>24337</v>
      </c>
      <c r="F5992" t="s">
        <v>32831</v>
      </c>
      <c r="G5992" t="s">
        <v>32838</v>
      </c>
      <c r="H5992" t="s">
        <v>32848</v>
      </c>
      <c r="I5992" t="s">
        <v>32885</v>
      </c>
      <c r="J5992" t="s">
        <v>34735</v>
      </c>
      <c r="K5992" t="s">
        <v>42732</v>
      </c>
      <c r="M5992" t="s">
        <v>43081</v>
      </c>
      <c r="N5992" t="s">
        <v>47424</v>
      </c>
      <c r="O5992" t="s">
        <v>47425</v>
      </c>
      <c r="P5992">
        <v>0</v>
      </c>
      <c r="Q5992">
        <v>0</v>
      </c>
      <c r="R5992" t="s">
        <v>47430</v>
      </c>
      <c r="S5992" t="s">
        <v>47549</v>
      </c>
      <c r="T5992" t="s">
        <v>49104</v>
      </c>
      <c r="U5992" t="s">
        <v>49781</v>
      </c>
      <c r="W5992" t="s">
        <v>43081</v>
      </c>
      <c r="X5992" t="s">
        <v>47431</v>
      </c>
    </row>
    <row r="5993" spans="1:24">
      <c r="A5993">
        <f>HYPERLINK("https://www.philgeps.gov.ph/GEPSNONPILOT/Tender/SplashBidNoticeAbstractUI.aspx?menuIndex=3&amp;refID=7161724&amp;Result=3","7161724")</f>
        <v>0</v>
      </c>
      <c r="B5993" t="s">
        <v>2137</v>
      </c>
      <c r="C5993" t="s">
        <v>9556</v>
      </c>
      <c r="D5993" t="s">
        <v>19033</v>
      </c>
      <c r="E5993" t="s">
        <v>24338</v>
      </c>
      <c r="F5993" t="s">
        <v>32831</v>
      </c>
      <c r="G5993" t="s">
        <v>32839</v>
      </c>
      <c r="H5993" t="s">
        <v>32848</v>
      </c>
      <c r="I5993" t="s">
        <v>32864</v>
      </c>
      <c r="J5993" t="s">
        <v>36795</v>
      </c>
      <c r="K5993" t="s">
        <v>42730</v>
      </c>
      <c r="M5993" t="s">
        <v>45315</v>
      </c>
      <c r="N5993" t="s">
        <v>47424</v>
      </c>
      <c r="O5993" t="s">
        <v>47425</v>
      </c>
      <c r="P5993">
        <v>0</v>
      </c>
      <c r="Q5993">
        <v>3</v>
      </c>
      <c r="R5993" t="s">
        <v>47430</v>
      </c>
      <c r="S5993" t="s">
        <v>47549</v>
      </c>
      <c r="T5993" t="s">
        <v>49441</v>
      </c>
      <c r="U5993" t="s">
        <v>54740</v>
      </c>
      <c r="W5993" t="s">
        <v>45315</v>
      </c>
      <c r="X5993" t="s">
        <v>47431</v>
      </c>
    </row>
    <row r="5994" spans="1:24">
      <c r="A5994">
        <f>HYPERLINK("https://www.philgeps.gov.ph/GEPSNONPILOT/Tender/SplashBidNoticeAbstractUI.aspx?menuIndex=3&amp;refID=7161693&amp;Result=3","7161693")</f>
        <v>0</v>
      </c>
      <c r="B5994" t="s">
        <v>442</v>
      </c>
      <c r="C5994" t="s">
        <v>9557</v>
      </c>
      <c r="D5994" t="s">
        <v>19017</v>
      </c>
      <c r="E5994" t="s">
        <v>24339</v>
      </c>
      <c r="F5994" t="s">
        <v>32831</v>
      </c>
      <c r="G5994" t="s">
        <v>32840</v>
      </c>
      <c r="H5994" t="s">
        <v>32848</v>
      </c>
      <c r="I5994" t="s">
        <v>32866</v>
      </c>
      <c r="J5994" t="s">
        <v>33007</v>
      </c>
      <c r="K5994" t="s">
        <v>42732</v>
      </c>
      <c r="M5994" t="s">
        <v>43447</v>
      </c>
      <c r="N5994" t="s">
        <v>47424</v>
      </c>
      <c r="O5994" t="s">
        <v>47425</v>
      </c>
      <c r="P5994">
        <v>0</v>
      </c>
      <c r="Q5994">
        <v>3</v>
      </c>
      <c r="R5994" t="s">
        <v>47430</v>
      </c>
      <c r="S5994" t="s">
        <v>47549</v>
      </c>
      <c r="T5994" t="s">
        <v>49212</v>
      </c>
      <c r="U5994" t="s">
        <v>54741</v>
      </c>
      <c r="W5994" t="s">
        <v>43447</v>
      </c>
      <c r="X5994" t="s">
        <v>47431</v>
      </c>
    </row>
    <row r="5995" spans="1:24">
      <c r="A5995">
        <f>HYPERLINK("https://www.philgeps.gov.ph/GEPSNONPILOT/Tender/SplashBidNoticeAbstractUI.aspx?menuIndex=3&amp;refID=7161727&amp;Result=3","7161727")</f>
        <v>0</v>
      </c>
      <c r="B5995" t="s">
        <v>2134</v>
      </c>
      <c r="C5995" t="s">
        <v>9558</v>
      </c>
      <c r="D5995" t="s">
        <v>19075</v>
      </c>
      <c r="E5995" t="s">
        <v>19826</v>
      </c>
      <c r="F5995" t="s">
        <v>32831</v>
      </c>
      <c r="G5995" t="s">
        <v>32840</v>
      </c>
      <c r="H5995" t="s">
        <v>32848</v>
      </c>
      <c r="I5995" t="s">
        <v>32858</v>
      </c>
      <c r="J5995" t="s">
        <v>35288</v>
      </c>
      <c r="K5995" t="s">
        <v>42760</v>
      </c>
      <c r="M5995" t="s">
        <v>45312</v>
      </c>
      <c r="N5995" t="s">
        <v>47424</v>
      </c>
      <c r="O5995" t="s">
        <v>47425</v>
      </c>
      <c r="P5995">
        <v>0</v>
      </c>
      <c r="Q5995">
        <v>1</v>
      </c>
      <c r="R5995" t="s">
        <v>47430</v>
      </c>
      <c r="S5995" t="s">
        <v>47549</v>
      </c>
      <c r="T5995" t="s">
        <v>49061</v>
      </c>
      <c r="U5995" t="s">
        <v>54742</v>
      </c>
      <c r="V5995" t="s">
        <v>63287</v>
      </c>
      <c r="W5995" t="s">
        <v>45312</v>
      </c>
      <c r="X5995" t="s">
        <v>47431</v>
      </c>
    </row>
    <row r="5996" spans="1:24">
      <c r="A5996">
        <f>HYPERLINK("https://www.philgeps.gov.ph/GEPSNONPILOT/Tender/SplashBidNoticeAbstractUI.aspx?menuIndex=3&amp;refID=7161775&amp;Result=3","7161775")</f>
        <v>0</v>
      </c>
      <c r="B5996" t="s">
        <v>960</v>
      </c>
      <c r="C5996" t="s">
        <v>9559</v>
      </c>
      <c r="D5996" t="s">
        <v>19017</v>
      </c>
      <c r="E5996" t="s">
        <v>24340</v>
      </c>
      <c r="F5996" t="s">
        <v>32831</v>
      </c>
      <c r="G5996" t="s">
        <v>32838</v>
      </c>
      <c r="H5996" t="s">
        <v>32848</v>
      </c>
      <c r="I5996" t="s">
        <v>4776</v>
      </c>
      <c r="J5996" t="s">
        <v>34063</v>
      </c>
      <c r="K5996" t="s">
        <v>42730</v>
      </c>
      <c r="M5996" t="s">
        <v>44410</v>
      </c>
      <c r="N5996" t="s">
        <v>47424</v>
      </c>
      <c r="O5996" t="s">
        <v>47425</v>
      </c>
      <c r="P5996">
        <v>0</v>
      </c>
      <c r="Q5996">
        <v>6</v>
      </c>
      <c r="R5996" t="s">
        <v>47430</v>
      </c>
      <c r="S5996" t="s">
        <v>47549</v>
      </c>
      <c r="T5996" t="s">
        <v>49103</v>
      </c>
      <c r="U5996" t="s">
        <v>54736</v>
      </c>
      <c r="W5996" t="s">
        <v>44410</v>
      </c>
      <c r="X5996" t="s">
        <v>47431</v>
      </c>
    </row>
    <row r="5997" spans="1:24">
      <c r="A5997">
        <f>HYPERLINK("https://www.philgeps.gov.ph/GEPSNONPILOT/Tender/SplashBidNoticeAbstractUI.aspx?menuIndex=3&amp;refID=7161690&amp;Result=3","7161690")</f>
        <v>0</v>
      </c>
      <c r="B5997" t="s">
        <v>2137</v>
      </c>
      <c r="C5997" t="s">
        <v>9560</v>
      </c>
      <c r="D5997" t="s">
        <v>19033</v>
      </c>
      <c r="E5997" t="s">
        <v>24341</v>
      </c>
      <c r="F5997" t="s">
        <v>32831</v>
      </c>
      <c r="G5997" t="s">
        <v>32839</v>
      </c>
      <c r="H5997" t="s">
        <v>32849</v>
      </c>
      <c r="I5997" t="s">
        <v>4177</v>
      </c>
      <c r="J5997" t="s">
        <v>36796</v>
      </c>
      <c r="K5997" t="s">
        <v>42770</v>
      </c>
      <c r="M5997" t="s">
        <v>45315</v>
      </c>
      <c r="N5997" t="s">
        <v>47424</v>
      </c>
      <c r="O5997" t="s">
        <v>47425</v>
      </c>
      <c r="P5997">
        <v>0</v>
      </c>
      <c r="Q5997">
        <v>1</v>
      </c>
      <c r="R5997" t="s">
        <v>47430</v>
      </c>
      <c r="S5997" t="s">
        <v>47549</v>
      </c>
      <c r="T5997" t="s">
        <v>49441</v>
      </c>
      <c r="U5997" t="s">
        <v>54743</v>
      </c>
      <c r="W5997" t="s">
        <v>45315</v>
      </c>
      <c r="X5997" t="s">
        <v>47431</v>
      </c>
    </row>
    <row r="5998" spans="1:24">
      <c r="A5998">
        <f>HYPERLINK("https://www.philgeps.gov.ph/GEPSNONPILOT/Tender/SplashBidNoticeAbstractUI.aspx?menuIndex=3&amp;refID=7161542&amp;Result=3","7161542")</f>
        <v>0</v>
      </c>
      <c r="B5998" t="s">
        <v>373</v>
      </c>
      <c r="C5998" t="s">
        <v>9561</v>
      </c>
      <c r="D5998" t="s">
        <v>19062</v>
      </c>
      <c r="E5998" t="s">
        <v>19211</v>
      </c>
      <c r="F5998" t="s">
        <v>32831</v>
      </c>
      <c r="G5998" t="s">
        <v>32839</v>
      </c>
      <c r="H5998" t="s">
        <v>32848</v>
      </c>
      <c r="I5998" t="s">
        <v>32858</v>
      </c>
      <c r="J5998" t="s">
        <v>36797</v>
      </c>
      <c r="K5998" t="s">
        <v>42758</v>
      </c>
      <c r="M5998" t="s">
        <v>43377</v>
      </c>
      <c r="N5998" t="s">
        <v>47424</v>
      </c>
      <c r="O5998" t="s">
        <v>47425</v>
      </c>
      <c r="P5998">
        <v>0</v>
      </c>
      <c r="Q5998">
        <v>0</v>
      </c>
      <c r="R5998" t="s">
        <v>47430</v>
      </c>
      <c r="S5998" t="s">
        <v>47549</v>
      </c>
      <c r="T5998" t="s">
        <v>49263</v>
      </c>
      <c r="U5998" t="s">
        <v>54744</v>
      </c>
      <c r="W5998" t="s">
        <v>43377</v>
      </c>
      <c r="X5998" t="s">
        <v>47431</v>
      </c>
    </row>
    <row r="5999" spans="1:24">
      <c r="A5999">
        <f>HYPERLINK("https://www.philgeps.gov.ph/GEPSNONPILOT/Tender/SplashBidNoticeAbstractUI.aspx?menuIndex=3&amp;refID=7161541&amp;Result=3","7161541")</f>
        <v>0</v>
      </c>
      <c r="B5999" t="s">
        <v>2105</v>
      </c>
      <c r="C5999" t="s">
        <v>9562</v>
      </c>
      <c r="D5999" t="s">
        <v>19057</v>
      </c>
      <c r="E5999" t="s">
        <v>24342</v>
      </c>
      <c r="F5999" t="s">
        <v>32831</v>
      </c>
      <c r="G5999" t="s">
        <v>32839</v>
      </c>
      <c r="H5999" t="s">
        <v>32849</v>
      </c>
      <c r="I5999" t="s">
        <v>4177</v>
      </c>
      <c r="J5999" t="s">
        <v>32978</v>
      </c>
      <c r="K5999" t="s">
        <v>42730</v>
      </c>
      <c r="M5999" t="s">
        <v>45279</v>
      </c>
      <c r="N5999" t="s">
        <v>47424</v>
      </c>
      <c r="O5999" t="s">
        <v>47425</v>
      </c>
      <c r="P5999">
        <v>0</v>
      </c>
      <c r="Q5999">
        <v>0</v>
      </c>
      <c r="R5999" t="s">
        <v>47430</v>
      </c>
      <c r="S5999" t="s">
        <v>47549</v>
      </c>
      <c r="T5999" t="s">
        <v>49103</v>
      </c>
      <c r="U5999" t="s">
        <v>54745</v>
      </c>
      <c r="W5999" t="s">
        <v>45279</v>
      </c>
      <c r="X5999" t="s">
        <v>47431</v>
      </c>
    </row>
    <row r="6000" spans="1:24">
      <c r="A6000">
        <f>HYPERLINK("https://www.philgeps.gov.ph/GEPSNONPILOT/Tender/SplashBidNoticeAbstractUI.aspx?menuIndex=3&amp;refID=7161691&amp;Result=3","7161691")</f>
        <v>0</v>
      </c>
      <c r="B6000" t="s">
        <v>85</v>
      </c>
      <c r="C6000" t="s">
        <v>9563</v>
      </c>
      <c r="D6000" t="s">
        <v>19028</v>
      </c>
      <c r="E6000" t="s">
        <v>24343</v>
      </c>
      <c r="F6000" t="s">
        <v>32831</v>
      </c>
      <c r="G6000" t="s">
        <v>32840</v>
      </c>
      <c r="H6000" t="s">
        <v>32848</v>
      </c>
      <c r="I6000" t="s">
        <v>32860</v>
      </c>
      <c r="J6000" t="s">
        <v>32980</v>
      </c>
      <c r="K6000" t="s">
        <v>42758</v>
      </c>
      <c r="M6000" t="s">
        <v>43082</v>
      </c>
      <c r="N6000" t="s">
        <v>47424</v>
      </c>
      <c r="O6000" t="s">
        <v>47425</v>
      </c>
      <c r="P6000">
        <v>0</v>
      </c>
      <c r="Q6000">
        <v>0</v>
      </c>
      <c r="R6000" t="s">
        <v>47430</v>
      </c>
      <c r="S6000" t="s">
        <v>47549</v>
      </c>
      <c r="T6000" t="s">
        <v>49104</v>
      </c>
      <c r="U6000" t="s">
        <v>49783</v>
      </c>
      <c r="W6000" t="s">
        <v>43082</v>
      </c>
      <c r="X6000" t="s">
        <v>47431</v>
      </c>
    </row>
    <row r="6001" spans="1:24">
      <c r="A6001">
        <f>HYPERLINK("https://www.philgeps.gov.ph/GEPSNONPILOT/Tender/SplashBidNoticeAbstractUI.aspx?menuIndex=3&amp;refID=7161523&amp;Result=3","7161523")</f>
        <v>0</v>
      </c>
      <c r="B6001" t="s">
        <v>2082</v>
      </c>
      <c r="C6001" t="s">
        <v>9564</v>
      </c>
      <c r="D6001" t="s">
        <v>19065</v>
      </c>
      <c r="E6001" t="s">
        <v>21531</v>
      </c>
      <c r="F6001" t="s">
        <v>32831</v>
      </c>
      <c r="G6001" t="s">
        <v>32839</v>
      </c>
      <c r="H6001" t="s">
        <v>32848</v>
      </c>
      <c r="I6001" t="s">
        <v>32857</v>
      </c>
      <c r="J6001" t="s">
        <v>35347</v>
      </c>
      <c r="K6001" t="s">
        <v>42747</v>
      </c>
      <c r="M6001" t="s">
        <v>45253</v>
      </c>
      <c r="N6001" t="s">
        <v>47424</v>
      </c>
      <c r="O6001" t="s">
        <v>47425</v>
      </c>
      <c r="P6001">
        <v>0</v>
      </c>
      <c r="Q6001">
        <v>5</v>
      </c>
      <c r="R6001" t="s">
        <v>47430</v>
      </c>
      <c r="S6001" t="s">
        <v>47549</v>
      </c>
      <c r="T6001" t="s">
        <v>49291</v>
      </c>
      <c r="U6001" t="s">
        <v>54746</v>
      </c>
      <c r="W6001" t="s">
        <v>64497</v>
      </c>
      <c r="X6001" t="s">
        <v>47431</v>
      </c>
    </row>
    <row r="6002" spans="1:24">
      <c r="A6002">
        <f>HYPERLINK("https://www.philgeps.gov.ph/GEPSNONPILOT/Tender/SplashBidNoticeAbstractUI.aspx?menuIndex=3&amp;refID=7161694&amp;Result=3","7161694")</f>
        <v>0</v>
      </c>
      <c r="B6002" t="s">
        <v>72</v>
      </c>
      <c r="C6002" t="s">
        <v>9565</v>
      </c>
      <c r="D6002" t="s">
        <v>19027</v>
      </c>
      <c r="E6002" t="s">
        <v>24344</v>
      </c>
      <c r="F6002" t="s">
        <v>32831</v>
      </c>
      <c r="G6002" t="s">
        <v>32839</v>
      </c>
      <c r="H6002" t="s">
        <v>32849</v>
      </c>
      <c r="I6002" t="s">
        <v>4177</v>
      </c>
      <c r="J6002" t="s">
        <v>36798</v>
      </c>
      <c r="K6002" t="s">
        <v>42757</v>
      </c>
      <c r="M6002" t="s">
        <v>43069</v>
      </c>
      <c r="N6002" t="s">
        <v>47424</v>
      </c>
      <c r="O6002" t="s">
        <v>47425</v>
      </c>
      <c r="P6002">
        <v>0</v>
      </c>
      <c r="Q6002">
        <v>4</v>
      </c>
      <c r="R6002" t="s">
        <v>47430</v>
      </c>
      <c r="S6002" t="s">
        <v>47549</v>
      </c>
      <c r="T6002" t="s">
        <v>49154</v>
      </c>
      <c r="U6002" t="s">
        <v>54747</v>
      </c>
      <c r="W6002" t="s">
        <v>64485</v>
      </c>
      <c r="X6002" t="s">
        <v>47431</v>
      </c>
    </row>
    <row r="6003" spans="1:24">
      <c r="A6003">
        <f>HYPERLINK("https://www.philgeps.gov.ph/GEPSNONPILOT/Tender/SplashBidNoticeAbstractUI.aspx?menuIndex=3&amp;refID=7161521&amp;Result=3","7161521")</f>
        <v>0</v>
      </c>
      <c r="B6003" t="s">
        <v>2183</v>
      </c>
      <c r="C6003" t="s">
        <v>9566</v>
      </c>
      <c r="D6003" t="s">
        <v>19057</v>
      </c>
      <c r="E6003" t="s">
        <v>19211</v>
      </c>
      <c r="F6003" t="s">
        <v>32831</v>
      </c>
      <c r="G6003" t="s">
        <v>32839</v>
      </c>
      <c r="H6003" t="s">
        <v>32849</v>
      </c>
      <c r="I6003" t="s">
        <v>4177</v>
      </c>
      <c r="J6003" t="s">
        <v>33072</v>
      </c>
      <c r="K6003" t="s">
        <v>42779</v>
      </c>
      <c r="M6003" t="s">
        <v>45363</v>
      </c>
      <c r="N6003" t="s">
        <v>47424</v>
      </c>
      <c r="O6003" t="s">
        <v>47425</v>
      </c>
      <c r="P6003">
        <v>0</v>
      </c>
      <c r="Q6003">
        <v>0</v>
      </c>
      <c r="R6003" t="s">
        <v>47430</v>
      </c>
      <c r="S6003" t="s">
        <v>47549</v>
      </c>
      <c r="T6003" t="s">
        <v>49198</v>
      </c>
      <c r="U6003" t="s">
        <v>54748</v>
      </c>
      <c r="W6003" t="s">
        <v>45363</v>
      </c>
      <c r="X6003" t="s">
        <v>47431</v>
      </c>
    </row>
    <row r="6004" spans="1:24">
      <c r="A6004">
        <f>HYPERLINK("https://www.philgeps.gov.ph/GEPSNONPILOT/Tender/SplashBidNoticeAbstractUI.aspx?menuIndex=3&amp;refID=7161520&amp;Result=3","7161520")</f>
        <v>0</v>
      </c>
      <c r="B6004" t="s">
        <v>2092</v>
      </c>
      <c r="C6004" t="s">
        <v>9567</v>
      </c>
      <c r="D6004" t="s">
        <v>19038</v>
      </c>
      <c r="E6004" t="s">
        <v>24345</v>
      </c>
      <c r="F6004" t="s">
        <v>32831</v>
      </c>
      <c r="G6004" t="s">
        <v>32840</v>
      </c>
      <c r="H6004" t="s">
        <v>32848</v>
      </c>
      <c r="I6004" t="s">
        <v>4435</v>
      </c>
      <c r="J6004" t="s">
        <v>36799</v>
      </c>
      <c r="K6004" t="s">
        <v>42748</v>
      </c>
      <c r="M6004" t="s">
        <v>45264</v>
      </c>
      <c r="N6004" t="s">
        <v>47424</v>
      </c>
      <c r="O6004" t="s">
        <v>47425</v>
      </c>
      <c r="P6004">
        <v>0</v>
      </c>
      <c r="Q6004">
        <v>0</v>
      </c>
      <c r="R6004" t="s">
        <v>47430</v>
      </c>
      <c r="S6004" t="s">
        <v>47549</v>
      </c>
      <c r="T6004" t="s">
        <v>49447</v>
      </c>
      <c r="U6004" t="s">
        <v>54749</v>
      </c>
      <c r="V6004" t="s">
        <v>63259</v>
      </c>
      <c r="W6004" t="s">
        <v>45264</v>
      </c>
      <c r="X6004" t="s">
        <v>47431</v>
      </c>
    </row>
    <row r="6005" spans="1:24">
      <c r="A6005">
        <f>HYPERLINK("https://www.philgeps.gov.ph/GEPSNONPILOT/Tender/SplashBidNoticeAbstractUI.aspx?menuIndex=3&amp;refID=7161518&amp;Result=3","7161518")</f>
        <v>0</v>
      </c>
      <c r="B6005" t="s">
        <v>2093</v>
      </c>
      <c r="C6005" t="s">
        <v>9568</v>
      </c>
      <c r="D6005" t="s">
        <v>19078</v>
      </c>
      <c r="E6005" t="s">
        <v>24346</v>
      </c>
      <c r="F6005" t="s">
        <v>32831</v>
      </c>
      <c r="G6005" t="s">
        <v>32839</v>
      </c>
      <c r="H6005" t="s">
        <v>32849</v>
      </c>
      <c r="I6005" t="s">
        <v>4177</v>
      </c>
      <c r="J6005" t="s">
        <v>36800</v>
      </c>
      <c r="K6005" t="s">
        <v>42763</v>
      </c>
      <c r="M6005" t="s">
        <v>45265</v>
      </c>
      <c r="N6005" t="s">
        <v>47424</v>
      </c>
      <c r="O6005" t="s">
        <v>47425</v>
      </c>
      <c r="P6005">
        <v>0</v>
      </c>
      <c r="Q6005">
        <v>1</v>
      </c>
      <c r="R6005" t="s">
        <v>47430</v>
      </c>
      <c r="S6005" t="s">
        <v>47549</v>
      </c>
      <c r="T6005" t="s">
        <v>49119</v>
      </c>
      <c r="U6005" t="s">
        <v>54750</v>
      </c>
      <c r="W6005" t="s">
        <v>45265</v>
      </c>
      <c r="X6005" t="s">
        <v>47431</v>
      </c>
    </row>
    <row r="6006" spans="1:24">
      <c r="A6006">
        <f>HYPERLINK("https://www.philgeps.gov.ph/GEPSNONPILOT/Tender/SplashBidNoticeAbstractUI.aspx?menuIndex=3&amp;refID=7161517&amp;Result=3","7161517")</f>
        <v>0</v>
      </c>
      <c r="B6006" t="s">
        <v>2183</v>
      </c>
      <c r="C6006" t="s">
        <v>9569</v>
      </c>
      <c r="D6006" t="s">
        <v>19057</v>
      </c>
      <c r="E6006" t="s">
        <v>19203</v>
      </c>
      <c r="F6006" t="s">
        <v>32831</v>
      </c>
      <c r="G6006" t="s">
        <v>32839</v>
      </c>
      <c r="H6006" t="s">
        <v>32848</v>
      </c>
      <c r="I6006" t="s">
        <v>8577</v>
      </c>
      <c r="J6006" t="s">
        <v>33403</v>
      </c>
      <c r="K6006" t="s">
        <v>42727</v>
      </c>
      <c r="M6006" t="s">
        <v>45363</v>
      </c>
      <c r="N6006" t="s">
        <v>47424</v>
      </c>
      <c r="O6006" t="s">
        <v>47425</v>
      </c>
      <c r="P6006">
        <v>0</v>
      </c>
      <c r="Q6006">
        <v>1</v>
      </c>
      <c r="R6006" t="s">
        <v>47430</v>
      </c>
      <c r="S6006" t="s">
        <v>47549</v>
      </c>
      <c r="T6006" t="s">
        <v>49198</v>
      </c>
      <c r="U6006" t="s">
        <v>54751</v>
      </c>
      <c r="W6006" t="s">
        <v>45363</v>
      </c>
      <c r="X6006" t="s">
        <v>47431</v>
      </c>
    </row>
    <row r="6007" spans="1:24">
      <c r="A6007">
        <f>HYPERLINK("https://www.philgeps.gov.ph/GEPSNONPILOT/Tender/SplashBidNoticeAbstractUI.aspx?menuIndex=3&amp;refID=7161522&amp;Result=3","7161522")</f>
        <v>0</v>
      </c>
      <c r="B6007" t="s">
        <v>2076</v>
      </c>
      <c r="C6007" t="s">
        <v>9570</v>
      </c>
      <c r="D6007" t="s">
        <v>19060</v>
      </c>
      <c r="E6007" t="s">
        <v>24347</v>
      </c>
      <c r="F6007" t="s">
        <v>32831</v>
      </c>
      <c r="G6007" t="s">
        <v>32839</v>
      </c>
      <c r="H6007" t="s">
        <v>32849</v>
      </c>
      <c r="I6007" t="s">
        <v>4177</v>
      </c>
      <c r="J6007" t="s">
        <v>33041</v>
      </c>
      <c r="K6007" t="s">
        <v>42730</v>
      </c>
      <c r="M6007" t="s">
        <v>45247</v>
      </c>
      <c r="N6007" t="s">
        <v>47424</v>
      </c>
      <c r="O6007" t="s">
        <v>47425</v>
      </c>
      <c r="P6007">
        <v>0</v>
      </c>
      <c r="Q6007">
        <v>2</v>
      </c>
      <c r="R6007" t="s">
        <v>47430</v>
      </c>
      <c r="S6007" t="s">
        <v>47549</v>
      </c>
      <c r="T6007" t="s">
        <v>49123</v>
      </c>
      <c r="U6007" t="s">
        <v>54752</v>
      </c>
      <c r="W6007" t="s">
        <v>45247</v>
      </c>
      <c r="X6007" t="s">
        <v>47431</v>
      </c>
    </row>
    <row r="6008" spans="1:24">
      <c r="A6008">
        <f>HYPERLINK("https://www.philgeps.gov.ph/GEPSNONPILOT/Tender/SplashBidNoticeAbstractUI.aspx?menuIndex=3&amp;refID=7161494&amp;Result=3","7161494")</f>
        <v>0</v>
      </c>
      <c r="B6008" t="s">
        <v>2082</v>
      </c>
      <c r="C6008" t="s">
        <v>9571</v>
      </c>
      <c r="D6008" t="s">
        <v>19065</v>
      </c>
      <c r="E6008" t="s">
        <v>24348</v>
      </c>
      <c r="F6008" t="s">
        <v>32831</v>
      </c>
      <c r="G6008" t="s">
        <v>32839</v>
      </c>
      <c r="H6008" t="s">
        <v>32848</v>
      </c>
      <c r="I6008" t="s">
        <v>32852</v>
      </c>
      <c r="J6008" t="s">
        <v>33279</v>
      </c>
      <c r="K6008" t="s">
        <v>42747</v>
      </c>
      <c r="M6008" t="s">
        <v>45253</v>
      </c>
      <c r="N6008" t="s">
        <v>47424</v>
      </c>
      <c r="O6008" t="s">
        <v>47425</v>
      </c>
      <c r="P6008">
        <v>0</v>
      </c>
      <c r="Q6008">
        <v>5</v>
      </c>
      <c r="R6008" t="s">
        <v>47430</v>
      </c>
      <c r="S6008" t="s">
        <v>47549</v>
      </c>
      <c r="T6008" t="s">
        <v>49291</v>
      </c>
      <c r="U6008" t="s">
        <v>54753</v>
      </c>
      <c r="W6008" t="s">
        <v>64497</v>
      </c>
      <c r="X6008" t="s">
        <v>47431</v>
      </c>
    </row>
    <row r="6009" spans="1:24">
      <c r="A6009">
        <f>HYPERLINK("https://www.philgeps.gov.ph/GEPSNONPILOT/Tender/SplashBidNoticeAbstractUI.aspx?menuIndex=3&amp;refID=7161493&amp;Result=3","7161493")</f>
        <v>0</v>
      </c>
      <c r="B6009" t="s">
        <v>2089</v>
      </c>
      <c r="C6009" t="s">
        <v>9572</v>
      </c>
      <c r="E6009" t="s">
        <v>24349</v>
      </c>
      <c r="F6009" t="s">
        <v>32831</v>
      </c>
      <c r="G6009" t="s">
        <v>32838</v>
      </c>
      <c r="H6009" t="s">
        <v>32848</v>
      </c>
      <c r="I6009" t="s">
        <v>32950</v>
      </c>
      <c r="J6009" t="s">
        <v>33118</v>
      </c>
      <c r="K6009" t="s">
        <v>42732</v>
      </c>
      <c r="M6009" t="s">
        <v>45266</v>
      </c>
      <c r="N6009" t="s">
        <v>47424</v>
      </c>
      <c r="O6009" t="s">
        <v>47425</v>
      </c>
      <c r="P6009">
        <v>0</v>
      </c>
      <c r="Q6009">
        <v>7</v>
      </c>
      <c r="R6009" t="s">
        <v>47430</v>
      </c>
      <c r="S6009" t="s">
        <v>47549</v>
      </c>
      <c r="T6009" t="s">
        <v>49211</v>
      </c>
      <c r="U6009" t="s">
        <v>54754</v>
      </c>
      <c r="W6009" t="s">
        <v>64498</v>
      </c>
      <c r="X6009" t="s">
        <v>47431</v>
      </c>
    </row>
    <row r="6010" spans="1:24">
      <c r="A6010">
        <f>HYPERLINK("https://www.philgeps.gov.ph/GEPSNONPILOT/Tender/SplashBidNoticeAbstractUI.aspx?menuIndex=3&amp;refID=7161491&amp;Result=3","7161491")</f>
        <v>0</v>
      </c>
      <c r="B6010" t="s">
        <v>584</v>
      </c>
      <c r="C6010" t="s">
        <v>9573</v>
      </c>
      <c r="D6010" t="s">
        <v>19101</v>
      </c>
      <c r="E6010" t="s">
        <v>24350</v>
      </c>
      <c r="F6010" t="s">
        <v>32831</v>
      </c>
      <c r="G6010" t="s">
        <v>32839</v>
      </c>
      <c r="H6010" t="s">
        <v>32850</v>
      </c>
      <c r="I6010" t="s">
        <v>32863</v>
      </c>
      <c r="J6010" t="s">
        <v>36801</v>
      </c>
      <c r="K6010" t="s">
        <v>42738</v>
      </c>
      <c r="M6010" t="s">
        <v>45269</v>
      </c>
      <c r="N6010" t="s">
        <v>47424</v>
      </c>
      <c r="O6010" t="s">
        <v>47425</v>
      </c>
      <c r="P6010">
        <v>0</v>
      </c>
      <c r="Q6010">
        <v>1</v>
      </c>
      <c r="R6010" t="s">
        <v>47430</v>
      </c>
      <c r="S6010" t="s">
        <v>47549</v>
      </c>
      <c r="T6010" t="s">
        <v>49319</v>
      </c>
      <c r="U6010" t="s">
        <v>54755</v>
      </c>
      <c r="W6010" t="s">
        <v>45269</v>
      </c>
      <c r="X6010" t="s">
        <v>47431</v>
      </c>
    </row>
    <row r="6011" spans="1:24">
      <c r="A6011">
        <f>HYPERLINK("https://www.philgeps.gov.ph/GEPSNONPILOT/Tender/SplashBidNoticeAbstractUI.aspx?menuIndex=3&amp;refID=7161519&amp;Result=3","7161519")</f>
        <v>0</v>
      </c>
      <c r="B6011" t="s">
        <v>2184</v>
      </c>
      <c r="C6011" t="s">
        <v>9574</v>
      </c>
      <c r="D6011" t="s">
        <v>19018</v>
      </c>
      <c r="E6011" t="s">
        <v>24351</v>
      </c>
      <c r="F6011" t="s">
        <v>32831</v>
      </c>
      <c r="G6011" t="s">
        <v>32838</v>
      </c>
      <c r="H6011" t="s">
        <v>32850</v>
      </c>
      <c r="I6011" t="s">
        <v>32899</v>
      </c>
      <c r="J6011" t="s">
        <v>33078</v>
      </c>
      <c r="K6011" t="s">
        <v>42763</v>
      </c>
      <c r="M6011" t="s">
        <v>45364</v>
      </c>
      <c r="N6011" t="s">
        <v>47424</v>
      </c>
      <c r="O6011" t="s">
        <v>47425</v>
      </c>
      <c r="P6011">
        <v>0</v>
      </c>
      <c r="Q6011">
        <v>2</v>
      </c>
      <c r="R6011" t="s">
        <v>47430</v>
      </c>
      <c r="S6011" t="s">
        <v>47549</v>
      </c>
      <c r="T6011" t="s">
        <v>49214</v>
      </c>
      <c r="U6011" t="s">
        <v>54756</v>
      </c>
      <c r="V6011" t="s">
        <v>63295</v>
      </c>
      <c r="W6011" t="s">
        <v>45364</v>
      </c>
      <c r="X6011" t="s">
        <v>47431</v>
      </c>
    </row>
    <row r="6012" spans="1:24">
      <c r="A6012">
        <f>HYPERLINK("https://www.philgeps.gov.ph/GEPSNONPILOT/Tender/SplashBidNoticeAbstractUI.aspx?menuIndex=3&amp;refID=7161490&amp;Result=3","7161490")</f>
        <v>0</v>
      </c>
      <c r="B6012" t="s">
        <v>2088</v>
      </c>
      <c r="C6012" t="s">
        <v>9575</v>
      </c>
      <c r="D6012" t="s">
        <v>19044</v>
      </c>
      <c r="E6012" t="s">
        <v>22880</v>
      </c>
      <c r="F6012" t="s">
        <v>32831</v>
      </c>
      <c r="G6012" t="s">
        <v>32839</v>
      </c>
      <c r="H6012" t="s">
        <v>32848</v>
      </c>
      <c r="I6012" t="s">
        <v>7751</v>
      </c>
      <c r="J6012" t="s">
        <v>33016</v>
      </c>
      <c r="K6012" t="s">
        <v>42747</v>
      </c>
      <c r="M6012" t="s">
        <v>45260</v>
      </c>
      <c r="N6012" t="s">
        <v>47424</v>
      </c>
      <c r="O6012" t="s">
        <v>47425</v>
      </c>
      <c r="P6012">
        <v>0</v>
      </c>
      <c r="Q6012">
        <v>3</v>
      </c>
      <c r="R6012" t="s">
        <v>47430</v>
      </c>
      <c r="S6012" t="s">
        <v>47549</v>
      </c>
      <c r="T6012" t="s">
        <v>49319</v>
      </c>
      <c r="U6012" t="s">
        <v>54757</v>
      </c>
      <c r="W6012" t="s">
        <v>45260</v>
      </c>
      <c r="X6012" t="s">
        <v>47431</v>
      </c>
    </row>
    <row r="6013" spans="1:24">
      <c r="A6013">
        <f>HYPERLINK("https://www.philgeps.gov.ph/GEPSNONPILOT/Tender/SplashBidNoticeAbstractUI.aspx?menuIndex=3&amp;refID=7161487&amp;Result=3","7161487")</f>
        <v>0</v>
      </c>
      <c r="B6013" t="s">
        <v>2185</v>
      </c>
      <c r="C6013" t="s">
        <v>9576</v>
      </c>
      <c r="D6013" t="s">
        <v>19062</v>
      </c>
      <c r="E6013" t="s">
        <v>24352</v>
      </c>
      <c r="F6013" t="s">
        <v>32833</v>
      </c>
      <c r="G6013" t="s">
        <v>32842</v>
      </c>
      <c r="H6013" t="s">
        <v>32848</v>
      </c>
      <c r="I6013" t="s">
        <v>4438</v>
      </c>
      <c r="J6013" t="s">
        <v>36802</v>
      </c>
      <c r="K6013" t="s">
        <v>42760</v>
      </c>
      <c r="M6013" t="s">
        <v>45365</v>
      </c>
      <c r="N6013" t="s">
        <v>47424</v>
      </c>
      <c r="O6013" t="s">
        <v>47425</v>
      </c>
      <c r="P6013">
        <v>0</v>
      </c>
      <c r="Q6013">
        <v>0</v>
      </c>
      <c r="R6013" t="s">
        <v>47430</v>
      </c>
      <c r="S6013" t="s">
        <v>47549</v>
      </c>
      <c r="T6013" t="s">
        <v>49119</v>
      </c>
      <c r="U6013" t="s">
        <v>54758</v>
      </c>
      <c r="W6013" t="s">
        <v>45365</v>
      </c>
      <c r="X6013" t="s">
        <v>47431</v>
      </c>
    </row>
    <row r="6014" spans="1:24">
      <c r="A6014">
        <f>HYPERLINK("https://www.philgeps.gov.ph/GEPSNONPILOT/Tender/SplashBidNoticeAbstractUI.aspx?menuIndex=3&amp;refID=7161486&amp;Result=3","7161486")</f>
        <v>0</v>
      </c>
      <c r="B6014" t="s">
        <v>2186</v>
      </c>
      <c r="C6014" t="s">
        <v>9577</v>
      </c>
      <c r="D6014" t="s">
        <v>19049</v>
      </c>
      <c r="E6014" t="s">
        <v>20054</v>
      </c>
      <c r="F6014" t="s">
        <v>32831</v>
      </c>
      <c r="G6014" t="s">
        <v>32840</v>
      </c>
      <c r="H6014" t="s">
        <v>32848</v>
      </c>
      <c r="I6014" t="s">
        <v>9577</v>
      </c>
      <c r="J6014" t="s">
        <v>34532</v>
      </c>
      <c r="K6014" t="s">
        <v>42758</v>
      </c>
      <c r="M6014" t="s">
        <v>45366</v>
      </c>
      <c r="N6014" t="s">
        <v>47424</v>
      </c>
      <c r="O6014" t="s">
        <v>47425</v>
      </c>
      <c r="P6014">
        <v>0</v>
      </c>
      <c r="Q6014">
        <v>0</v>
      </c>
      <c r="R6014" t="s">
        <v>47430</v>
      </c>
      <c r="S6014" t="s">
        <v>47549</v>
      </c>
      <c r="T6014" t="s">
        <v>49145</v>
      </c>
      <c r="U6014" t="s">
        <v>54759</v>
      </c>
      <c r="W6014" t="s">
        <v>45366</v>
      </c>
      <c r="X6014" t="s">
        <v>47431</v>
      </c>
    </row>
    <row r="6015" spans="1:24">
      <c r="A6015">
        <f>HYPERLINK("https://www.philgeps.gov.ph/GEPSNONPILOT/Tender/SplashBidNoticeAbstractUI.aspx?menuIndex=3&amp;refID=7161471&amp;Result=3","7161471")</f>
        <v>0</v>
      </c>
      <c r="B6015" t="s">
        <v>2082</v>
      </c>
      <c r="C6015" t="s">
        <v>9578</v>
      </c>
      <c r="D6015" t="s">
        <v>19065</v>
      </c>
      <c r="E6015" t="s">
        <v>21292</v>
      </c>
      <c r="F6015" t="s">
        <v>32831</v>
      </c>
      <c r="G6015" t="s">
        <v>32839</v>
      </c>
      <c r="H6015" t="s">
        <v>32848</v>
      </c>
      <c r="I6015" t="s">
        <v>32883</v>
      </c>
      <c r="J6015" t="s">
        <v>33644</v>
      </c>
      <c r="K6015" t="s">
        <v>42747</v>
      </c>
      <c r="M6015" t="s">
        <v>45253</v>
      </c>
      <c r="N6015" t="s">
        <v>47424</v>
      </c>
      <c r="O6015" t="s">
        <v>47425</v>
      </c>
      <c r="P6015">
        <v>0</v>
      </c>
      <c r="Q6015">
        <v>4</v>
      </c>
      <c r="R6015" t="s">
        <v>47430</v>
      </c>
      <c r="S6015" t="s">
        <v>47549</v>
      </c>
      <c r="T6015" t="s">
        <v>49291</v>
      </c>
      <c r="U6015" t="s">
        <v>54760</v>
      </c>
      <c r="W6015" t="s">
        <v>64497</v>
      </c>
      <c r="X6015" t="s">
        <v>47431</v>
      </c>
    </row>
    <row r="6016" spans="1:24">
      <c r="A6016">
        <f>HYPERLINK("https://www.philgeps.gov.ph/GEPSNONPILOT/Tender/SplashBidNoticeAbstractUI.aspx?menuIndex=3&amp;refID=7161467&amp;Result=3","7161467")</f>
        <v>0</v>
      </c>
      <c r="B6016" t="s">
        <v>2187</v>
      </c>
      <c r="C6016" t="s">
        <v>9340</v>
      </c>
      <c r="E6016" t="s">
        <v>24149</v>
      </c>
      <c r="F6016" t="s">
        <v>32833</v>
      </c>
      <c r="G6016" t="s">
        <v>32838</v>
      </c>
      <c r="H6016" t="s">
        <v>32848</v>
      </c>
      <c r="I6016" t="s">
        <v>32860</v>
      </c>
      <c r="J6016" t="s">
        <v>33703</v>
      </c>
      <c r="K6016" t="s">
        <v>42726</v>
      </c>
      <c r="M6016" t="s">
        <v>45367</v>
      </c>
      <c r="N6016" t="s">
        <v>47424</v>
      </c>
      <c r="O6016" t="s">
        <v>47425</v>
      </c>
      <c r="P6016">
        <v>0</v>
      </c>
      <c r="Q6016">
        <v>4</v>
      </c>
      <c r="R6016" t="s">
        <v>47430</v>
      </c>
      <c r="S6016" t="s">
        <v>47549</v>
      </c>
      <c r="T6016" t="s">
        <v>49124</v>
      </c>
      <c r="U6016" t="s">
        <v>54761</v>
      </c>
      <c r="W6016" t="s">
        <v>45367</v>
      </c>
      <c r="X6016" t="s">
        <v>47431</v>
      </c>
    </row>
    <row r="6017" spans="1:24">
      <c r="A6017">
        <f>HYPERLINK("https://www.philgeps.gov.ph/GEPSNONPILOT/Tender/SplashBidNoticeAbstractUI.aspx?menuIndex=3&amp;refID=7161692&amp;Result=3","7161692")</f>
        <v>0</v>
      </c>
      <c r="B6017" t="s">
        <v>487</v>
      </c>
      <c r="C6017" t="s">
        <v>9579</v>
      </c>
      <c r="D6017" t="s">
        <v>19018</v>
      </c>
      <c r="E6017" t="s">
        <v>20013</v>
      </c>
      <c r="F6017" t="s">
        <v>32832</v>
      </c>
      <c r="G6017" t="s">
        <v>32840</v>
      </c>
      <c r="H6017" t="s">
        <v>32848</v>
      </c>
      <c r="I6017" t="s">
        <v>4438</v>
      </c>
      <c r="J6017" t="s">
        <v>33044</v>
      </c>
      <c r="K6017" t="s">
        <v>42804</v>
      </c>
      <c r="M6017" t="s">
        <v>43492</v>
      </c>
      <c r="N6017" t="s">
        <v>47424</v>
      </c>
      <c r="O6017" t="s">
        <v>47425</v>
      </c>
      <c r="P6017">
        <v>0</v>
      </c>
      <c r="Q6017">
        <v>0</v>
      </c>
      <c r="R6017" t="s">
        <v>47430</v>
      </c>
      <c r="S6017" t="s">
        <v>47549</v>
      </c>
      <c r="T6017" t="s">
        <v>49114</v>
      </c>
      <c r="U6017" t="s">
        <v>54762</v>
      </c>
      <c r="W6017" t="s">
        <v>43492</v>
      </c>
      <c r="X6017" t="s">
        <v>47431</v>
      </c>
    </row>
    <row r="6018" spans="1:24">
      <c r="A6018">
        <f>HYPERLINK("https://www.philgeps.gov.ph/GEPSNONPILOT/Tender/SplashBidNoticeAbstractUI.aspx?menuIndex=3&amp;refID=7161466&amp;Result=3","7161466")</f>
        <v>0</v>
      </c>
      <c r="B6018" t="s">
        <v>311</v>
      </c>
      <c r="C6018" t="s">
        <v>9580</v>
      </c>
      <c r="D6018" t="s">
        <v>19064</v>
      </c>
      <c r="E6018" t="s">
        <v>24353</v>
      </c>
      <c r="F6018" t="s">
        <v>32831</v>
      </c>
      <c r="G6018" t="s">
        <v>32838</v>
      </c>
      <c r="H6018" t="s">
        <v>32848</v>
      </c>
      <c r="I6018" t="s">
        <v>32853</v>
      </c>
      <c r="J6018" t="s">
        <v>36803</v>
      </c>
      <c r="K6018" t="s">
        <v>42763</v>
      </c>
      <c r="M6018" t="s">
        <v>43313</v>
      </c>
      <c r="N6018" t="s">
        <v>47424</v>
      </c>
      <c r="O6018" t="s">
        <v>47425</v>
      </c>
      <c r="P6018">
        <v>0</v>
      </c>
      <c r="Q6018">
        <v>0</v>
      </c>
      <c r="R6018" t="s">
        <v>47430</v>
      </c>
      <c r="S6018" t="s">
        <v>47549</v>
      </c>
      <c r="T6018" t="s">
        <v>49077</v>
      </c>
      <c r="U6018" t="s">
        <v>54186</v>
      </c>
      <c r="W6018" t="s">
        <v>43313</v>
      </c>
      <c r="X6018" t="s">
        <v>47431</v>
      </c>
    </row>
    <row r="6019" spans="1:24">
      <c r="A6019">
        <f>HYPERLINK("https://www.philgeps.gov.ph/GEPSNONPILOT/Tender/SplashBidNoticeAbstractUI.aspx?menuIndex=3&amp;refID=7161472&amp;Result=3","7161472")</f>
        <v>0</v>
      </c>
      <c r="B6019" t="s">
        <v>2188</v>
      </c>
      <c r="C6019" t="s">
        <v>9581</v>
      </c>
      <c r="D6019" t="s">
        <v>19017</v>
      </c>
      <c r="E6019" t="s">
        <v>24354</v>
      </c>
      <c r="F6019" t="s">
        <v>32831</v>
      </c>
      <c r="G6019" t="s">
        <v>32838</v>
      </c>
      <c r="H6019" t="s">
        <v>32848</v>
      </c>
      <c r="I6019" t="s">
        <v>5379</v>
      </c>
      <c r="J6019" t="s">
        <v>32976</v>
      </c>
      <c r="K6019" t="s">
        <v>42732</v>
      </c>
      <c r="M6019" t="s">
        <v>45368</v>
      </c>
      <c r="N6019" t="s">
        <v>47424</v>
      </c>
      <c r="O6019" t="s">
        <v>47425</v>
      </c>
      <c r="P6019">
        <v>0</v>
      </c>
      <c r="Q6019">
        <v>1</v>
      </c>
      <c r="R6019" t="s">
        <v>47430</v>
      </c>
      <c r="S6019" t="s">
        <v>47549</v>
      </c>
      <c r="T6019" t="s">
        <v>49141</v>
      </c>
      <c r="U6019" t="s">
        <v>50323</v>
      </c>
      <c r="W6019" t="s">
        <v>45368</v>
      </c>
      <c r="X6019" t="s">
        <v>47431</v>
      </c>
    </row>
    <row r="6020" spans="1:24">
      <c r="A6020">
        <f>HYPERLINK("https://www.philgeps.gov.ph/GEPSNONPILOT/Tender/SplashBidNoticeAbstractUI.aspx?menuIndex=3&amp;refID=7161469&amp;Result=3","7161469")</f>
        <v>0</v>
      </c>
      <c r="B6020" t="s">
        <v>1482</v>
      </c>
      <c r="C6020" t="s">
        <v>9582</v>
      </c>
      <c r="D6020" t="s">
        <v>19018</v>
      </c>
      <c r="E6020" t="s">
        <v>24355</v>
      </c>
      <c r="F6020" t="s">
        <v>32831</v>
      </c>
      <c r="G6020" t="s">
        <v>32838</v>
      </c>
      <c r="H6020" t="s">
        <v>32848</v>
      </c>
      <c r="I6020" t="s">
        <v>32874</v>
      </c>
      <c r="J6020" t="s">
        <v>36804</v>
      </c>
      <c r="K6020" t="s">
        <v>42731</v>
      </c>
      <c r="M6020" t="s">
        <v>44576</v>
      </c>
      <c r="N6020" t="s">
        <v>47424</v>
      </c>
      <c r="O6020" t="s">
        <v>47425</v>
      </c>
      <c r="P6020">
        <v>0</v>
      </c>
      <c r="Q6020">
        <v>4</v>
      </c>
      <c r="R6020" t="s">
        <v>47430</v>
      </c>
      <c r="S6020" t="s">
        <v>47549</v>
      </c>
      <c r="T6020" t="s">
        <v>49237</v>
      </c>
      <c r="U6020" t="s">
        <v>54763</v>
      </c>
      <c r="V6020" t="s">
        <v>63256</v>
      </c>
      <c r="W6020" t="s">
        <v>44576</v>
      </c>
      <c r="X6020" t="s">
        <v>47431</v>
      </c>
    </row>
    <row r="6021" spans="1:24">
      <c r="A6021">
        <f>HYPERLINK("https://www.philgeps.gov.ph/GEPSNONPILOT/Tender/SplashBidNoticeAbstractUI.aspx?menuIndex=3&amp;refID=7161461&amp;Result=3","7161461")</f>
        <v>0</v>
      </c>
      <c r="B6021" t="s">
        <v>311</v>
      </c>
      <c r="C6021" t="s">
        <v>9583</v>
      </c>
      <c r="D6021" t="s">
        <v>19064</v>
      </c>
      <c r="E6021" t="s">
        <v>24356</v>
      </c>
      <c r="F6021" t="s">
        <v>32831</v>
      </c>
      <c r="G6021" t="s">
        <v>32838</v>
      </c>
      <c r="H6021" t="s">
        <v>32848</v>
      </c>
      <c r="I6021" t="s">
        <v>5379</v>
      </c>
      <c r="J6021" t="s">
        <v>36805</v>
      </c>
      <c r="K6021" t="s">
        <v>42763</v>
      </c>
      <c r="M6021" t="s">
        <v>43313</v>
      </c>
      <c r="N6021" t="s">
        <v>47424</v>
      </c>
      <c r="O6021" t="s">
        <v>47425</v>
      </c>
      <c r="P6021">
        <v>0</v>
      </c>
      <c r="Q6021">
        <v>0</v>
      </c>
      <c r="R6021" t="s">
        <v>47430</v>
      </c>
      <c r="S6021" t="s">
        <v>47549</v>
      </c>
      <c r="T6021" t="s">
        <v>49077</v>
      </c>
      <c r="U6021" t="s">
        <v>54186</v>
      </c>
      <c r="W6021" t="s">
        <v>43313</v>
      </c>
      <c r="X6021" t="s">
        <v>47431</v>
      </c>
    </row>
    <row r="6022" spans="1:24">
      <c r="A6022">
        <f>HYPERLINK("https://www.philgeps.gov.ph/GEPSNONPILOT/Tender/SplashBidNoticeAbstractUI.aspx?menuIndex=3&amp;refID=7161444&amp;Result=3","7161444")</f>
        <v>0</v>
      </c>
      <c r="B6022" t="s">
        <v>2189</v>
      </c>
      <c r="C6022" t="s">
        <v>9584</v>
      </c>
      <c r="D6022" t="s">
        <v>19057</v>
      </c>
      <c r="E6022" t="s">
        <v>24357</v>
      </c>
      <c r="F6022" t="s">
        <v>32831</v>
      </c>
      <c r="G6022" t="s">
        <v>32841</v>
      </c>
      <c r="H6022" t="s">
        <v>32848</v>
      </c>
      <c r="I6022" t="s">
        <v>7751</v>
      </c>
      <c r="J6022" t="s">
        <v>34188</v>
      </c>
      <c r="K6022" t="s">
        <v>42726</v>
      </c>
      <c r="M6022" t="s">
        <v>45369</v>
      </c>
      <c r="N6022" t="s">
        <v>47424</v>
      </c>
      <c r="O6022" t="s">
        <v>47425</v>
      </c>
      <c r="P6022">
        <v>0</v>
      </c>
      <c r="Q6022">
        <v>0</v>
      </c>
      <c r="R6022" t="s">
        <v>47430</v>
      </c>
      <c r="S6022" t="s">
        <v>47549</v>
      </c>
      <c r="T6022" t="s">
        <v>49096</v>
      </c>
      <c r="U6022" t="s">
        <v>54764</v>
      </c>
      <c r="W6022" t="s">
        <v>45369</v>
      </c>
      <c r="X6022" t="s">
        <v>47431</v>
      </c>
    </row>
    <row r="6023" spans="1:24">
      <c r="A6023">
        <f>HYPERLINK("https://www.philgeps.gov.ph/GEPSNONPILOT/Tender/SplashBidNoticeAbstractUI.aspx?menuIndex=3&amp;refID=7152467&amp;Result=3","7152467")</f>
        <v>0</v>
      </c>
      <c r="B6023" t="s">
        <v>2178</v>
      </c>
      <c r="C6023" t="s">
        <v>9585</v>
      </c>
      <c r="D6023" t="s">
        <v>19047</v>
      </c>
      <c r="E6023" t="s">
        <v>24358</v>
      </c>
      <c r="F6023" t="s">
        <v>32831</v>
      </c>
      <c r="G6023" t="s">
        <v>32838</v>
      </c>
      <c r="H6023" t="s">
        <v>32850</v>
      </c>
      <c r="I6023" t="s">
        <v>7416</v>
      </c>
      <c r="J6023" t="s">
        <v>36806</v>
      </c>
      <c r="K6023" t="s">
        <v>42730</v>
      </c>
      <c r="M6023" t="s">
        <v>45357</v>
      </c>
      <c r="N6023" t="s">
        <v>47424</v>
      </c>
      <c r="O6023" t="s">
        <v>47425</v>
      </c>
      <c r="P6023">
        <v>0</v>
      </c>
      <c r="Q6023">
        <v>4</v>
      </c>
      <c r="R6023" t="s">
        <v>47431</v>
      </c>
      <c r="S6023" t="s">
        <v>47565</v>
      </c>
      <c r="T6023" t="s">
        <v>49243</v>
      </c>
      <c r="U6023" t="s">
        <v>54765</v>
      </c>
      <c r="V6023" t="s">
        <v>63293</v>
      </c>
      <c r="W6023" t="s">
        <v>45357</v>
      </c>
      <c r="X6023" t="s">
        <v>47433</v>
      </c>
    </row>
    <row r="6024" spans="1:24">
      <c r="A6024">
        <f>HYPERLINK("https://www.philgeps.gov.ph/GEPSNONPILOT/Tender/SplashBidNoticeAbstractUI.aspx?menuIndex=3&amp;refID=7161442&amp;Result=3","7161442")</f>
        <v>0</v>
      </c>
      <c r="B6024" t="s">
        <v>1093</v>
      </c>
      <c r="C6024" t="s">
        <v>9586</v>
      </c>
      <c r="D6024" t="s">
        <v>19017</v>
      </c>
      <c r="E6024" t="s">
        <v>24359</v>
      </c>
      <c r="F6024" t="s">
        <v>32831</v>
      </c>
      <c r="G6024" t="s">
        <v>32842</v>
      </c>
      <c r="H6024" t="s">
        <v>32848</v>
      </c>
      <c r="I6024" t="s">
        <v>32854</v>
      </c>
      <c r="J6024" t="s">
        <v>33853</v>
      </c>
      <c r="K6024" t="s">
        <v>42732</v>
      </c>
      <c r="M6024" t="s">
        <v>44573</v>
      </c>
      <c r="N6024" t="s">
        <v>47424</v>
      </c>
      <c r="O6024" t="s">
        <v>47425</v>
      </c>
      <c r="P6024">
        <v>0</v>
      </c>
      <c r="Q6024">
        <v>0</v>
      </c>
      <c r="R6024" t="s">
        <v>47430</v>
      </c>
      <c r="S6024" t="s">
        <v>47549</v>
      </c>
      <c r="T6024" t="s">
        <v>49229</v>
      </c>
      <c r="U6024" t="s">
        <v>54766</v>
      </c>
      <c r="W6024" t="s">
        <v>44573</v>
      </c>
      <c r="X6024" t="s">
        <v>47431</v>
      </c>
    </row>
    <row r="6025" spans="1:24">
      <c r="A6025">
        <f>HYPERLINK("https://www.philgeps.gov.ph/GEPSNONPILOT/Tender/SplashBidNoticeAbstractUI.aspx?menuIndex=3&amp;refID=7161440&amp;Result=3","7161440")</f>
        <v>0</v>
      </c>
      <c r="B6025" t="s">
        <v>2084</v>
      </c>
      <c r="C6025" t="s">
        <v>9587</v>
      </c>
      <c r="D6025" t="s">
        <v>19054</v>
      </c>
      <c r="E6025" t="s">
        <v>24360</v>
      </c>
      <c r="F6025" t="s">
        <v>32831</v>
      </c>
      <c r="G6025" t="s">
        <v>32838</v>
      </c>
      <c r="H6025" t="s">
        <v>32848</v>
      </c>
      <c r="I6025" t="s">
        <v>32898</v>
      </c>
      <c r="J6025" t="s">
        <v>33067</v>
      </c>
      <c r="K6025" t="s">
        <v>42729</v>
      </c>
      <c r="M6025" t="s">
        <v>45255</v>
      </c>
      <c r="N6025" t="s">
        <v>47424</v>
      </c>
      <c r="O6025" t="s">
        <v>47425</v>
      </c>
      <c r="P6025">
        <v>0</v>
      </c>
      <c r="Q6025">
        <v>3</v>
      </c>
      <c r="R6025" t="s">
        <v>47430</v>
      </c>
      <c r="S6025" t="s">
        <v>47549</v>
      </c>
      <c r="T6025" t="s">
        <v>49111</v>
      </c>
      <c r="U6025" t="s">
        <v>54767</v>
      </c>
      <c r="W6025" t="s">
        <v>45255</v>
      </c>
      <c r="X6025" t="s">
        <v>47431</v>
      </c>
    </row>
    <row r="6026" spans="1:24">
      <c r="A6026">
        <f>HYPERLINK("https://www.philgeps.gov.ph/GEPSNONPILOT/Tender/SplashBidNoticeAbstractUI.aspx?menuIndex=3&amp;refID=7161436&amp;Result=3","7161436")</f>
        <v>0</v>
      </c>
      <c r="B6026" t="s">
        <v>33</v>
      </c>
      <c r="C6026" t="s">
        <v>9588</v>
      </c>
      <c r="D6026" t="s">
        <v>19024</v>
      </c>
      <c r="E6026" t="s">
        <v>24361</v>
      </c>
      <c r="F6026" t="s">
        <v>32831</v>
      </c>
      <c r="G6026" t="s">
        <v>32839</v>
      </c>
      <c r="H6026" t="s">
        <v>32848</v>
      </c>
      <c r="I6026" t="s">
        <v>32856</v>
      </c>
      <c r="J6026" t="s">
        <v>34755</v>
      </c>
      <c r="K6026" t="s">
        <v>42730</v>
      </c>
      <c r="M6026" t="s">
        <v>43030</v>
      </c>
      <c r="N6026" t="s">
        <v>47424</v>
      </c>
      <c r="O6026" t="s">
        <v>47425</v>
      </c>
      <c r="P6026">
        <v>0</v>
      </c>
      <c r="Q6026">
        <v>3</v>
      </c>
      <c r="R6026" t="s">
        <v>47430</v>
      </c>
      <c r="S6026" t="s">
        <v>47549</v>
      </c>
      <c r="T6026" t="s">
        <v>49188</v>
      </c>
      <c r="U6026" t="s">
        <v>54768</v>
      </c>
      <c r="W6026" t="s">
        <v>43030</v>
      </c>
      <c r="X6026" t="s">
        <v>47431</v>
      </c>
    </row>
    <row r="6027" spans="1:24">
      <c r="A6027">
        <f>HYPERLINK("https://www.philgeps.gov.ph/GEPSNONPILOT/Tender/SplashBidNoticeAbstractUI.aspx?menuIndex=3&amp;refID=7161435&amp;Result=3","7161435")</f>
        <v>0</v>
      </c>
      <c r="B6027" t="s">
        <v>413</v>
      </c>
      <c r="C6027" t="s">
        <v>8983</v>
      </c>
      <c r="D6027" t="s">
        <v>19017</v>
      </c>
      <c r="E6027" t="s">
        <v>23849</v>
      </c>
      <c r="F6027" t="s">
        <v>32831</v>
      </c>
      <c r="G6027" t="s">
        <v>32840</v>
      </c>
      <c r="H6027" t="s">
        <v>32848</v>
      </c>
      <c r="I6027" t="s">
        <v>32874</v>
      </c>
      <c r="J6027" t="s">
        <v>36433</v>
      </c>
      <c r="K6027" t="s">
        <v>42727</v>
      </c>
      <c r="M6027" t="s">
        <v>43418</v>
      </c>
      <c r="N6027" t="s">
        <v>47424</v>
      </c>
      <c r="O6027" t="s">
        <v>47425</v>
      </c>
      <c r="P6027">
        <v>0</v>
      </c>
      <c r="Q6027">
        <v>5</v>
      </c>
      <c r="R6027" t="s">
        <v>47430</v>
      </c>
      <c r="S6027" t="s">
        <v>47549</v>
      </c>
      <c r="T6027" t="s">
        <v>49239</v>
      </c>
      <c r="U6027" t="s">
        <v>54234</v>
      </c>
      <c r="V6027" t="s">
        <v>62872</v>
      </c>
      <c r="W6027" t="s">
        <v>64454</v>
      </c>
      <c r="X6027" t="s">
        <v>47431</v>
      </c>
    </row>
    <row r="6028" spans="1:24">
      <c r="A6028">
        <f>HYPERLINK("https://www.philgeps.gov.ph/GEPSNONPILOT/Tender/SplashBidNoticeAbstractUI.aspx?menuIndex=3&amp;refID=7161462&amp;Result=3","7161462")</f>
        <v>0</v>
      </c>
      <c r="B6028" t="s">
        <v>2082</v>
      </c>
      <c r="C6028" t="s">
        <v>9589</v>
      </c>
      <c r="D6028" t="s">
        <v>19065</v>
      </c>
      <c r="E6028" t="s">
        <v>21319</v>
      </c>
      <c r="F6028" t="s">
        <v>32831</v>
      </c>
      <c r="G6028" t="s">
        <v>32839</v>
      </c>
      <c r="H6028" t="s">
        <v>32849</v>
      </c>
      <c r="I6028" t="s">
        <v>4177</v>
      </c>
      <c r="J6028" t="s">
        <v>36807</v>
      </c>
      <c r="K6028" t="s">
        <v>42763</v>
      </c>
      <c r="M6028" t="s">
        <v>45253</v>
      </c>
      <c r="N6028" t="s">
        <v>47424</v>
      </c>
      <c r="O6028" t="s">
        <v>47425</v>
      </c>
      <c r="P6028">
        <v>0</v>
      </c>
      <c r="Q6028">
        <v>0</v>
      </c>
      <c r="R6028" t="s">
        <v>47430</v>
      </c>
      <c r="S6028" t="s">
        <v>47549</v>
      </c>
      <c r="T6028" t="s">
        <v>49291</v>
      </c>
      <c r="U6028" t="s">
        <v>54769</v>
      </c>
      <c r="W6028" t="s">
        <v>64497</v>
      </c>
      <c r="X6028" t="s">
        <v>47431</v>
      </c>
    </row>
    <row r="6029" spans="1:24">
      <c r="A6029">
        <f>HYPERLINK("https://www.philgeps.gov.ph/GEPSNONPILOT/Tender/SplashBidNoticeAbstractUI.aspx?menuIndex=3&amp;refID=7161406&amp;Result=3","7161406")</f>
        <v>0</v>
      </c>
      <c r="B6029" t="s">
        <v>2190</v>
      </c>
      <c r="C6029" t="s">
        <v>9590</v>
      </c>
      <c r="D6029" t="s">
        <v>19022</v>
      </c>
      <c r="E6029" t="s">
        <v>24362</v>
      </c>
      <c r="F6029" t="s">
        <v>32831</v>
      </c>
      <c r="G6029" t="s">
        <v>32839</v>
      </c>
      <c r="H6029" t="s">
        <v>32848</v>
      </c>
      <c r="I6029" t="s">
        <v>9577</v>
      </c>
      <c r="J6029" t="s">
        <v>36808</v>
      </c>
      <c r="K6029" t="s">
        <v>42731</v>
      </c>
      <c r="M6029" t="s">
        <v>45370</v>
      </c>
      <c r="N6029" t="s">
        <v>47424</v>
      </c>
      <c r="O6029" t="s">
        <v>47425</v>
      </c>
      <c r="P6029">
        <v>0</v>
      </c>
      <c r="Q6029">
        <v>2</v>
      </c>
      <c r="R6029" t="s">
        <v>47430</v>
      </c>
      <c r="S6029" t="s">
        <v>47549</v>
      </c>
      <c r="T6029" t="s">
        <v>49071</v>
      </c>
      <c r="U6029" t="s">
        <v>54770</v>
      </c>
      <c r="V6029" t="s">
        <v>63296</v>
      </c>
      <c r="W6029" t="s">
        <v>45370</v>
      </c>
      <c r="X6029" t="s">
        <v>47431</v>
      </c>
    </row>
    <row r="6030" spans="1:24">
      <c r="A6030">
        <f>HYPERLINK("https://www.philgeps.gov.ph/GEPSNONPILOT/Tender/SplashBidNoticeAbstractUI.aspx?menuIndex=3&amp;refID=7161404&amp;Result=3","7161404")</f>
        <v>0</v>
      </c>
      <c r="B6030" t="s">
        <v>2191</v>
      </c>
      <c r="C6030" t="s">
        <v>4859</v>
      </c>
      <c r="D6030" t="s">
        <v>19047</v>
      </c>
      <c r="E6030" t="s">
        <v>24363</v>
      </c>
      <c r="F6030" t="s">
        <v>32831</v>
      </c>
      <c r="G6030" t="s">
        <v>32838</v>
      </c>
      <c r="H6030" t="s">
        <v>32848</v>
      </c>
      <c r="I6030" t="s">
        <v>9577</v>
      </c>
      <c r="J6030" t="s">
        <v>33929</v>
      </c>
      <c r="K6030" t="s">
        <v>42758</v>
      </c>
      <c r="M6030" t="s">
        <v>45371</v>
      </c>
      <c r="N6030" t="s">
        <v>47424</v>
      </c>
      <c r="O6030" t="s">
        <v>47425</v>
      </c>
      <c r="P6030">
        <v>0</v>
      </c>
      <c r="Q6030">
        <v>1</v>
      </c>
      <c r="R6030" t="s">
        <v>47430</v>
      </c>
      <c r="S6030" t="s">
        <v>47549</v>
      </c>
      <c r="T6030" t="s">
        <v>49114</v>
      </c>
      <c r="U6030" t="s">
        <v>54771</v>
      </c>
      <c r="W6030" t="s">
        <v>45371</v>
      </c>
      <c r="X6030" t="s">
        <v>47431</v>
      </c>
    </row>
    <row r="6031" spans="1:24">
      <c r="A6031">
        <f>HYPERLINK("https://www.philgeps.gov.ph/GEPSNONPILOT/Tender/SplashBidNoticeAbstractUI.aspx?menuIndex=3&amp;refID=7152731&amp;Result=3","7152731")</f>
        <v>0</v>
      </c>
      <c r="B6031" t="s">
        <v>1221</v>
      </c>
      <c r="C6031" t="s">
        <v>9591</v>
      </c>
      <c r="E6031" t="s">
        <v>24364</v>
      </c>
      <c r="F6031" t="s">
        <v>32831</v>
      </c>
      <c r="G6031" t="s">
        <v>32839</v>
      </c>
      <c r="H6031" t="s">
        <v>32849</v>
      </c>
      <c r="I6031" t="s">
        <v>4177</v>
      </c>
      <c r="J6031" t="s">
        <v>36809</v>
      </c>
      <c r="K6031" t="s">
        <v>42732</v>
      </c>
      <c r="M6031" t="s">
        <v>44289</v>
      </c>
      <c r="N6031" t="s">
        <v>47424</v>
      </c>
      <c r="O6031" t="s">
        <v>47425</v>
      </c>
      <c r="P6031">
        <v>0</v>
      </c>
      <c r="Q6031">
        <v>3</v>
      </c>
      <c r="R6031" t="s">
        <v>47431</v>
      </c>
      <c r="S6031" t="s">
        <v>47565</v>
      </c>
      <c r="T6031" t="s">
        <v>49338</v>
      </c>
      <c r="U6031" t="s">
        <v>54772</v>
      </c>
      <c r="V6031" t="s">
        <v>63297</v>
      </c>
      <c r="W6031" t="s">
        <v>44289</v>
      </c>
      <c r="X6031" t="s">
        <v>47433</v>
      </c>
    </row>
    <row r="6032" spans="1:24">
      <c r="A6032">
        <f>HYPERLINK("https://www.philgeps.gov.ph/GEPSNONPILOT/Tender/SplashBidNoticeAbstractUI.aspx?menuIndex=3&amp;refID=7161443&amp;Result=3","7161443")</f>
        <v>0</v>
      </c>
      <c r="B6032" t="s">
        <v>2090</v>
      </c>
      <c r="C6032" t="s">
        <v>9592</v>
      </c>
      <c r="D6032" t="s">
        <v>19045</v>
      </c>
      <c r="E6032" t="s">
        <v>24365</v>
      </c>
      <c r="F6032" t="s">
        <v>32833</v>
      </c>
      <c r="G6032" t="s">
        <v>32839</v>
      </c>
      <c r="H6032" t="s">
        <v>32848</v>
      </c>
      <c r="I6032" t="s">
        <v>7416</v>
      </c>
      <c r="J6032" t="s">
        <v>36810</v>
      </c>
      <c r="K6032" t="s">
        <v>42731</v>
      </c>
      <c r="M6032" t="s">
        <v>45262</v>
      </c>
      <c r="N6032" t="s">
        <v>47424</v>
      </c>
      <c r="O6032" t="s">
        <v>47425</v>
      </c>
      <c r="P6032">
        <v>0</v>
      </c>
      <c r="Q6032">
        <v>0</v>
      </c>
      <c r="R6032" t="s">
        <v>47430</v>
      </c>
      <c r="S6032" t="s">
        <v>47549</v>
      </c>
      <c r="T6032" t="s">
        <v>49398</v>
      </c>
      <c r="U6032" t="s">
        <v>54773</v>
      </c>
      <c r="V6032" t="s">
        <v>63298</v>
      </c>
      <c r="W6032" t="s">
        <v>45262</v>
      </c>
      <c r="X6032" t="s">
        <v>47431</v>
      </c>
    </row>
    <row r="6033" spans="1:24">
      <c r="A6033">
        <f>HYPERLINK("https://www.philgeps.gov.ph/GEPSNONPILOT/Tender/SplashBidNoticeAbstractUI.aspx?menuIndex=3&amp;refID=7161464&amp;Result=3","7161464")</f>
        <v>0</v>
      </c>
      <c r="B6033" t="s">
        <v>2088</v>
      </c>
      <c r="C6033" t="s">
        <v>9593</v>
      </c>
      <c r="D6033" t="s">
        <v>19044</v>
      </c>
      <c r="E6033" t="s">
        <v>23910</v>
      </c>
      <c r="F6033" t="s">
        <v>32831</v>
      </c>
      <c r="G6033" t="s">
        <v>32839</v>
      </c>
      <c r="H6033" t="s">
        <v>32849</v>
      </c>
      <c r="I6033" t="s">
        <v>4177</v>
      </c>
      <c r="J6033" t="s">
        <v>36811</v>
      </c>
      <c r="K6033" t="s">
        <v>42770</v>
      </c>
      <c r="M6033" t="s">
        <v>45260</v>
      </c>
      <c r="N6033" t="s">
        <v>47424</v>
      </c>
      <c r="O6033" t="s">
        <v>47425</v>
      </c>
      <c r="P6033">
        <v>0</v>
      </c>
      <c r="Q6033">
        <v>0</v>
      </c>
      <c r="R6033" t="s">
        <v>47430</v>
      </c>
      <c r="S6033" t="s">
        <v>47549</v>
      </c>
      <c r="T6033" t="s">
        <v>49319</v>
      </c>
      <c r="U6033" t="s">
        <v>54774</v>
      </c>
      <c r="W6033" t="s">
        <v>45260</v>
      </c>
      <c r="X6033" t="s">
        <v>47431</v>
      </c>
    </row>
    <row r="6034" spans="1:24">
      <c r="A6034">
        <f>HYPERLINK("https://www.philgeps.gov.ph/GEPSNONPILOT/Tender/SplashBidNoticeAbstractUI.aspx?menuIndex=3&amp;refID=7161441&amp;Result=3","7161441")</f>
        <v>0</v>
      </c>
      <c r="B6034" t="s">
        <v>2073</v>
      </c>
      <c r="C6034" t="s">
        <v>9594</v>
      </c>
      <c r="D6034" t="s">
        <v>19061</v>
      </c>
      <c r="E6034" t="s">
        <v>24366</v>
      </c>
      <c r="F6034" t="s">
        <v>32831</v>
      </c>
      <c r="G6034" t="s">
        <v>32839</v>
      </c>
      <c r="H6034" t="s">
        <v>32848</v>
      </c>
      <c r="I6034" t="s">
        <v>7416</v>
      </c>
      <c r="J6034" t="s">
        <v>36812</v>
      </c>
      <c r="K6034" t="s">
        <v>42730</v>
      </c>
      <c r="M6034" t="s">
        <v>45243</v>
      </c>
      <c r="N6034" t="s">
        <v>47424</v>
      </c>
      <c r="O6034" t="s">
        <v>47425</v>
      </c>
      <c r="P6034">
        <v>0</v>
      </c>
      <c r="Q6034">
        <v>2</v>
      </c>
      <c r="R6034" t="s">
        <v>47430</v>
      </c>
      <c r="S6034" t="s">
        <v>47549</v>
      </c>
      <c r="T6034" t="s">
        <v>49065</v>
      </c>
      <c r="U6034" t="s">
        <v>54491</v>
      </c>
      <c r="W6034" t="s">
        <v>45243</v>
      </c>
      <c r="X6034" t="s">
        <v>47431</v>
      </c>
    </row>
    <row r="6035" spans="1:24">
      <c r="A6035">
        <f>HYPERLINK("https://www.philgeps.gov.ph/GEPSNONPILOT/Tender/SplashBidNoticeAbstractUI.aspx?menuIndex=3&amp;refID=7161373&amp;Result=3","7161373")</f>
        <v>0</v>
      </c>
      <c r="B6035" t="s">
        <v>1962</v>
      </c>
      <c r="C6035" t="s">
        <v>9595</v>
      </c>
      <c r="D6035" t="s">
        <v>19017</v>
      </c>
      <c r="E6035" t="s">
        <v>24367</v>
      </c>
      <c r="F6035" t="s">
        <v>32831</v>
      </c>
      <c r="G6035" t="s">
        <v>32839</v>
      </c>
      <c r="H6035" t="s">
        <v>32848</v>
      </c>
      <c r="I6035" t="s">
        <v>4487</v>
      </c>
      <c r="J6035" t="s">
        <v>36813</v>
      </c>
      <c r="K6035" t="s">
        <v>42747</v>
      </c>
      <c r="M6035" t="s">
        <v>45121</v>
      </c>
      <c r="N6035" t="s">
        <v>47424</v>
      </c>
      <c r="O6035" t="s">
        <v>47425</v>
      </c>
      <c r="P6035">
        <v>0</v>
      </c>
      <c r="Q6035">
        <v>25</v>
      </c>
      <c r="R6035" t="s">
        <v>47430</v>
      </c>
      <c r="S6035" t="s">
        <v>47549</v>
      </c>
      <c r="T6035" t="s">
        <v>49267</v>
      </c>
      <c r="U6035" t="s">
        <v>54775</v>
      </c>
      <c r="W6035" t="s">
        <v>45121</v>
      </c>
      <c r="X6035" t="s">
        <v>47431</v>
      </c>
    </row>
    <row r="6036" spans="1:24">
      <c r="A6036">
        <f>HYPERLINK("https://www.philgeps.gov.ph/GEPSNONPILOT/Tender/SplashBidNoticeAbstractUI.aspx?menuIndex=3&amp;refID=7151201&amp;Result=3","7151201")</f>
        <v>0</v>
      </c>
      <c r="B6036" t="s">
        <v>2168</v>
      </c>
      <c r="C6036" t="s">
        <v>9596</v>
      </c>
      <c r="D6036" t="s">
        <v>19045</v>
      </c>
      <c r="E6036" t="s">
        <v>24368</v>
      </c>
      <c r="F6036" t="s">
        <v>32831</v>
      </c>
      <c r="G6036" t="s">
        <v>32840</v>
      </c>
      <c r="H6036" t="s">
        <v>32848</v>
      </c>
      <c r="I6036" t="s">
        <v>32862</v>
      </c>
      <c r="J6036" t="s">
        <v>36814</v>
      </c>
      <c r="K6036" t="s">
        <v>42730</v>
      </c>
      <c r="M6036" t="s">
        <v>45346</v>
      </c>
      <c r="N6036" t="s">
        <v>47424</v>
      </c>
      <c r="O6036" t="s">
        <v>47425</v>
      </c>
      <c r="P6036">
        <v>0</v>
      </c>
      <c r="Q6036">
        <v>1</v>
      </c>
      <c r="R6036" t="s">
        <v>47431</v>
      </c>
      <c r="S6036" t="s">
        <v>47565</v>
      </c>
      <c r="T6036" t="s">
        <v>49106</v>
      </c>
      <c r="U6036" t="s">
        <v>54696</v>
      </c>
      <c r="W6036" t="s">
        <v>45346</v>
      </c>
      <c r="X6036" t="s">
        <v>47434</v>
      </c>
    </row>
    <row r="6037" spans="1:24">
      <c r="A6037">
        <f>HYPERLINK("https://www.philgeps.gov.ph/GEPSNONPILOT/Tender/SplashBidNoticeAbstractUI.aspx?menuIndex=3&amp;refID=7161401&amp;Result=3","7161401")</f>
        <v>0</v>
      </c>
      <c r="B6037" t="s">
        <v>236</v>
      </c>
      <c r="C6037" t="s">
        <v>9597</v>
      </c>
      <c r="D6037" t="s">
        <v>19074</v>
      </c>
      <c r="E6037" t="s">
        <v>24369</v>
      </c>
      <c r="F6037" t="s">
        <v>32831</v>
      </c>
      <c r="G6037" t="s">
        <v>32839</v>
      </c>
      <c r="H6037" t="s">
        <v>32848</v>
      </c>
      <c r="I6037" t="s">
        <v>7416</v>
      </c>
      <c r="J6037" t="s">
        <v>36815</v>
      </c>
      <c r="K6037" t="s">
        <v>42763</v>
      </c>
      <c r="M6037" t="s">
        <v>43235</v>
      </c>
      <c r="N6037" t="s">
        <v>47424</v>
      </c>
      <c r="O6037" t="s">
        <v>47425</v>
      </c>
      <c r="P6037">
        <v>0</v>
      </c>
      <c r="Q6037">
        <v>2</v>
      </c>
      <c r="R6037" t="s">
        <v>47430</v>
      </c>
      <c r="S6037" t="s">
        <v>47549</v>
      </c>
      <c r="T6037" t="s">
        <v>49407</v>
      </c>
      <c r="U6037" t="s">
        <v>50066</v>
      </c>
      <c r="W6037" t="s">
        <v>43235</v>
      </c>
      <c r="X6037" t="s">
        <v>47431</v>
      </c>
    </row>
    <row r="6038" spans="1:24">
      <c r="A6038">
        <f>HYPERLINK("https://www.philgeps.gov.ph/GEPSNONPILOT/Tender/SplashBidNoticeAbstractUI.aspx?menuIndex=3&amp;refID=7161372&amp;Result=3","7161372")</f>
        <v>0</v>
      </c>
      <c r="B6038" t="s">
        <v>311</v>
      </c>
      <c r="C6038" t="s">
        <v>9598</v>
      </c>
      <c r="D6038" t="s">
        <v>19064</v>
      </c>
      <c r="E6038" t="s">
        <v>24370</v>
      </c>
      <c r="F6038" t="s">
        <v>32831</v>
      </c>
      <c r="G6038" t="s">
        <v>32838</v>
      </c>
      <c r="H6038" t="s">
        <v>32848</v>
      </c>
      <c r="I6038" t="s">
        <v>32861</v>
      </c>
      <c r="J6038" t="s">
        <v>36816</v>
      </c>
      <c r="K6038" t="s">
        <v>42763</v>
      </c>
      <c r="M6038" t="s">
        <v>43313</v>
      </c>
      <c r="N6038" t="s">
        <v>47424</v>
      </c>
      <c r="O6038" t="s">
        <v>47425</v>
      </c>
      <c r="P6038">
        <v>0</v>
      </c>
      <c r="Q6038">
        <v>0</v>
      </c>
      <c r="R6038" t="s">
        <v>47430</v>
      </c>
      <c r="S6038" t="s">
        <v>47549</v>
      </c>
      <c r="T6038" t="s">
        <v>49077</v>
      </c>
      <c r="U6038" t="s">
        <v>54186</v>
      </c>
      <c r="W6038" t="s">
        <v>43313</v>
      </c>
      <c r="X6038" t="s">
        <v>47431</v>
      </c>
    </row>
    <row r="6039" spans="1:24">
      <c r="A6039">
        <f>HYPERLINK("https://www.philgeps.gov.ph/GEPSNONPILOT/Tender/SplashBidNoticeAbstractUI.aspx?menuIndex=3&amp;refID=7152928&amp;Result=3","7152928")</f>
        <v>0</v>
      </c>
      <c r="B6039" t="s">
        <v>1762</v>
      </c>
      <c r="C6039" t="s">
        <v>9599</v>
      </c>
      <c r="D6039" t="s">
        <v>19089</v>
      </c>
      <c r="E6039" t="s">
        <v>24371</v>
      </c>
      <c r="F6039" t="s">
        <v>32831</v>
      </c>
      <c r="G6039" t="s">
        <v>32839</v>
      </c>
      <c r="H6039" t="s">
        <v>32848</v>
      </c>
      <c r="I6039" t="s">
        <v>32862</v>
      </c>
      <c r="J6039" t="s">
        <v>36817</v>
      </c>
      <c r="K6039" t="s">
        <v>42731</v>
      </c>
      <c r="M6039" t="s">
        <v>44886</v>
      </c>
      <c r="N6039" t="s">
        <v>47424</v>
      </c>
      <c r="O6039" t="s">
        <v>47425</v>
      </c>
      <c r="P6039">
        <v>0</v>
      </c>
      <c r="Q6039">
        <v>1</v>
      </c>
      <c r="R6039" t="s">
        <v>47431</v>
      </c>
      <c r="S6039" t="s">
        <v>47565</v>
      </c>
      <c r="T6039" t="s">
        <v>49108</v>
      </c>
      <c r="U6039" t="s">
        <v>54776</v>
      </c>
      <c r="W6039" t="s">
        <v>44886</v>
      </c>
      <c r="X6039" t="s">
        <v>47433</v>
      </c>
    </row>
    <row r="6040" spans="1:24">
      <c r="A6040">
        <f>HYPERLINK("https://www.philgeps.gov.ph/GEPSNONPILOT/Tender/SplashBidNoticeAbstractUI.aspx?menuIndex=3&amp;refID=7153125&amp;Result=3","7153125")</f>
        <v>0</v>
      </c>
      <c r="B6040" t="s">
        <v>2192</v>
      </c>
      <c r="C6040" t="s">
        <v>9600</v>
      </c>
      <c r="D6040" t="s">
        <v>19037</v>
      </c>
      <c r="E6040" t="s">
        <v>24372</v>
      </c>
      <c r="F6040" t="s">
        <v>32831</v>
      </c>
      <c r="G6040" t="s">
        <v>32839</v>
      </c>
      <c r="H6040" t="s">
        <v>32848</v>
      </c>
      <c r="I6040" t="s">
        <v>7416</v>
      </c>
      <c r="J6040" t="s">
        <v>36818</v>
      </c>
      <c r="K6040" t="s">
        <v>42731</v>
      </c>
      <c r="M6040" t="s">
        <v>45372</v>
      </c>
      <c r="N6040" t="s">
        <v>47424</v>
      </c>
      <c r="O6040" t="s">
        <v>47425</v>
      </c>
      <c r="P6040">
        <v>0</v>
      </c>
      <c r="Q6040">
        <v>0</v>
      </c>
      <c r="R6040" t="s">
        <v>47431</v>
      </c>
      <c r="S6040" t="s">
        <v>47565</v>
      </c>
      <c r="T6040" t="s">
        <v>49108</v>
      </c>
      <c r="U6040" t="s">
        <v>54777</v>
      </c>
      <c r="W6040" t="s">
        <v>45372</v>
      </c>
      <c r="X6040" t="s">
        <v>47433</v>
      </c>
    </row>
    <row r="6041" spans="1:24">
      <c r="A6041">
        <f>HYPERLINK("https://www.philgeps.gov.ph/GEPSNONPILOT/Tender/SplashBidNoticeAbstractUI.aspx?menuIndex=3&amp;refID=7161403&amp;Result=3","7161403")</f>
        <v>0</v>
      </c>
      <c r="B6041" t="s">
        <v>2073</v>
      </c>
      <c r="C6041" t="s">
        <v>9601</v>
      </c>
      <c r="D6041" t="s">
        <v>19061</v>
      </c>
      <c r="E6041" t="s">
        <v>24373</v>
      </c>
      <c r="F6041" t="s">
        <v>32831</v>
      </c>
      <c r="G6041" t="s">
        <v>32839</v>
      </c>
      <c r="H6041" t="s">
        <v>32848</v>
      </c>
      <c r="I6041" t="s">
        <v>7416</v>
      </c>
      <c r="J6041" t="s">
        <v>36819</v>
      </c>
      <c r="K6041" t="s">
        <v>42730</v>
      </c>
      <c r="M6041" t="s">
        <v>45243</v>
      </c>
      <c r="N6041" t="s">
        <v>47424</v>
      </c>
      <c r="O6041" t="s">
        <v>47425</v>
      </c>
      <c r="P6041">
        <v>0</v>
      </c>
      <c r="Q6041">
        <v>0</v>
      </c>
      <c r="R6041" t="s">
        <v>47430</v>
      </c>
      <c r="S6041" t="s">
        <v>47549</v>
      </c>
      <c r="T6041" t="s">
        <v>49065</v>
      </c>
      <c r="U6041" t="s">
        <v>54491</v>
      </c>
      <c r="W6041" t="s">
        <v>45243</v>
      </c>
      <c r="X6041" t="s">
        <v>47431</v>
      </c>
    </row>
    <row r="6042" spans="1:24">
      <c r="A6042">
        <f>HYPERLINK("https://www.philgeps.gov.ph/GEPSNONPILOT/Tender/SplashBidNoticeAbstractUI.aspx?menuIndex=3&amp;refID=7161376&amp;Result=3","7161376")</f>
        <v>0</v>
      </c>
      <c r="B6042" t="s">
        <v>413</v>
      </c>
      <c r="C6042" t="s">
        <v>9602</v>
      </c>
      <c r="D6042" t="s">
        <v>19017</v>
      </c>
      <c r="E6042" t="s">
        <v>24374</v>
      </c>
      <c r="F6042" t="s">
        <v>32831</v>
      </c>
      <c r="G6042" t="s">
        <v>32840</v>
      </c>
      <c r="H6042" t="s">
        <v>32848</v>
      </c>
      <c r="I6042" t="s">
        <v>32874</v>
      </c>
      <c r="J6042" t="s">
        <v>36820</v>
      </c>
      <c r="K6042" t="s">
        <v>42727</v>
      </c>
      <c r="M6042" t="s">
        <v>43418</v>
      </c>
      <c r="N6042" t="s">
        <v>47424</v>
      </c>
      <c r="O6042" t="s">
        <v>47425</v>
      </c>
      <c r="P6042">
        <v>0</v>
      </c>
      <c r="Q6042">
        <v>9</v>
      </c>
      <c r="R6042" t="s">
        <v>47430</v>
      </c>
      <c r="S6042" t="s">
        <v>47549</v>
      </c>
      <c r="T6042" t="s">
        <v>49239</v>
      </c>
      <c r="U6042" t="s">
        <v>54778</v>
      </c>
      <c r="V6042" t="s">
        <v>62872</v>
      </c>
      <c r="W6042" t="s">
        <v>64454</v>
      </c>
      <c r="X6042" t="s">
        <v>47431</v>
      </c>
    </row>
    <row r="6043" spans="1:24">
      <c r="A6043">
        <f>HYPERLINK("https://www.philgeps.gov.ph/GEPSNONPILOT/Tender/SplashBidNoticeAbstractUI.aspx?menuIndex=3&amp;refID=7161374&amp;Result=3","7161374")</f>
        <v>0</v>
      </c>
      <c r="B6043" t="s">
        <v>1548</v>
      </c>
      <c r="C6043" t="s">
        <v>9603</v>
      </c>
      <c r="D6043" t="s">
        <v>19029</v>
      </c>
      <c r="E6043" t="s">
        <v>24375</v>
      </c>
      <c r="F6043" t="s">
        <v>32831</v>
      </c>
      <c r="G6043" t="s">
        <v>32838</v>
      </c>
      <c r="H6043" t="s">
        <v>32848</v>
      </c>
      <c r="I6043" t="s">
        <v>32910</v>
      </c>
      <c r="J6043" t="s">
        <v>36821</v>
      </c>
      <c r="K6043" t="s">
        <v>42748</v>
      </c>
      <c r="M6043" t="s">
        <v>44654</v>
      </c>
      <c r="N6043" t="s">
        <v>47424</v>
      </c>
      <c r="O6043" t="s">
        <v>47425</v>
      </c>
      <c r="P6043">
        <v>0</v>
      </c>
      <c r="Q6043">
        <v>3</v>
      </c>
      <c r="R6043" t="s">
        <v>47430</v>
      </c>
      <c r="S6043" t="s">
        <v>47549</v>
      </c>
      <c r="T6043" t="s">
        <v>49166</v>
      </c>
      <c r="U6043" t="s">
        <v>54779</v>
      </c>
      <c r="W6043" t="s">
        <v>44654</v>
      </c>
      <c r="X6043" t="s">
        <v>47431</v>
      </c>
    </row>
    <row r="6044" spans="1:24">
      <c r="A6044">
        <f>HYPERLINK("https://www.philgeps.gov.ph/GEPSNONPILOT/Tender/SplashBidNoticeAbstractUI.aspx?menuIndex=3&amp;refID=7153058&amp;Result=3","7153058")</f>
        <v>0</v>
      </c>
      <c r="B6044" t="s">
        <v>1872</v>
      </c>
      <c r="C6044" t="s">
        <v>9604</v>
      </c>
      <c r="D6044" t="s">
        <v>19100</v>
      </c>
      <c r="E6044" t="s">
        <v>19311</v>
      </c>
      <c r="F6044" t="s">
        <v>32831</v>
      </c>
      <c r="G6044" t="s">
        <v>32838</v>
      </c>
      <c r="H6044" t="s">
        <v>32848</v>
      </c>
      <c r="I6044" t="s">
        <v>10805</v>
      </c>
      <c r="J6044" t="s">
        <v>36822</v>
      </c>
      <c r="K6044" t="s">
        <v>42745</v>
      </c>
      <c r="M6044" t="s">
        <v>45016</v>
      </c>
      <c r="N6044" t="s">
        <v>47424</v>
      </c>
      <c r="O6044" t="s">
        <v>47425</v>
      </c>
      <c r="P6044">
        <v>0</v>
      </c>
      <c r="Q6044">
        <v>0</v>
      </c>
      <c r="R6044" t="s">
        <v>47431</v>
      </c>
      <c r="S6044" t="s">
        <v>47565</v>
      </c>
      <c r="T6044" t="s">
        <v>49239</v>
      </c>
      <c r="U6044" t="s">
        <v>54780</v>
      </c>
      <c r="W6044" t="s">
        <v>45016</v>
      </c>
      <c r="X6044" t="s">
        <v>47433</v>
      </c>
    </row>
    <row r="6045" spans="1:24">
      <c r="A6045">
        <f>HYPERLINK("https://www.philgeps.gov.ph/GEPSNONPILOT/Tender/SplashBidNoticeAbstractUI.aspx?menuIndex=3&amp;refID=7153043&amp;Result=3","7153043")</f>
        <v>0</v>
      </c>
      <c r="B6045" t="s">
        <v>598</v>
      </c>
      <c r="C6045" t="s">
        <v>9605</v>
      </c>
      <c r="E6045" t="s">
        <v>24376</v>
      </c>
      <c r="F6045" t="s">
        <v>32831</v>
      </c>
      <c r="G6045" t="s">
        <v>32839</v>
      </c>
      <c r="H6045" t="s">
        <v>32848</v>
      </c>
      <c r="I6045" t="s">
        <v>4487</v>
      </c>
      <c r="J6045" t="s">
        <v>36823</v>
      </c>
      <c r="K6045" t="s">
        <v>42732</v>
      </c>
      <c r="M6045" t="s">
        <v>43991</v>
      </c>
      <c r="N6045" t="s">
        <v>47424</v>
      </c>
      <c r="O6045" t="s">
        <v>47425</v>
      </c>
      <c r="P6045">
        <v>0</v>
      </c>
      <c r="Q6045">
        <v>27</v>
      </c>
      <c r="R6045" t="s">
        <v>47431</v>
      </c>
      <c r="S6045" t="s">
        <v>47565</v>
      </c>
      <c r="T6045" t="s">
        <v>49396</v>
      </c>
      <c r="U6045" t="s">
        <v>54781</v>
      </c>
      <c r="W6045" t="s">
        <v>43991</v>
      </c>
      <c r="X6045" t="s">
        <v>47433</v>
      </c>
    </row>
    <row r="6046" spans="1:24">
      <c r="A6046">
        <f>HYPERLINK("https://www.philgeps.gov.ph/GEPSNONPILOT/Tender/SplashBidNoticeAbstractUI.aspx?menuIndex=3&amp;refID=7152956&amp;Result=3","7152956")</f>
        <v>0</v>
      </c>
      <c r="B6046" t="s">
        <v>485</v>
      </c>
      <c r="C6046" t="s">
        <v>9606</v>
      </c>
      <c r="D6046" t="s">
        <v>19032</v>
      </c>
      <c r="E6046" t="s">
        <v>24377</v>
      </c>
      <c r="F6046" t="s">
        <v>32831</v>
      </c>
      <c r="G6046" t="s">
        <v>32838</v>
      </c>
      <c r="H6046" t="s">
        <v>32848</v>
      </c>
      <c r="I6046" t="s">
        <v>4776</v>
      </c>
      <c r="J6046" t="s">
        <v>33041</v>
      </c>
      <c r="K6046" t="s">
        <v>42726</v>
      </c>
      <c r="M6046" t="s">
        <v>43490</v>
      </c>
      <c r="N6046" t="s">
        <v>47424</v>
      </c>
      <c r="O6046" t="s">
        <v>47425</v>
      </c>
      <c r="P6046">
        <v>0</v>
      </c>
      <c r="Q6046">
        <v>0</v>
      </c>
      <c r="R6046" t="s">
        <v>47431</v>
      </c>
      <c r="S6046" t="s">
        <v>47565</v>
      </c>
      <c r="T6046" t="s">
        <v>49448</v>
      </c>
      <c r="U6046" t="s">
        <v>54782</v>
      </c>
      <c r="V6046" t="s">
        <v>63299</v>
      </c>
      <c r="W6046" t="s">
        <v>43490</v>
      </c>
      <c r="X6046" t="s">
        <v>47433</v>
      </c>
    </row>
    <row r="6047" spans="1:24">
      <c r="A6047">
        <f>HYPERLINK("https://www.philgeps.gov.ph/GEPSNONPILOT/Tender/SplashBidNoticeAbstractUI.aspx?menuIndex=3&amp;refID=7161369&amp;Result=3","7161369")</f>
        <v>0</v>
      </c>
      <c r="B6047" t="s">
        <v>1937</v>
      </c>
      <c r="C6047" t="s">
        <v>9607</v>
      </c>
      <c r="D6047" t="s">
        <v>19093</v>
      </c>
      <c r="E6047" t="s">
        <v>22922</v>
      </c>
      <c r="F6047" t="s">
        <v>32831</v>
      </c>
      <c r="G6047" t="s">
        <v>32840</v>
      </c>
      <c r="H6047" t="s">
        <v>32848</v>
      </c>
      <c r="I6047" t="s">
        <v>32870</v>
      </c>
      <c r="J6047" t="s">
        <v>33156</v>
      </c>
      <c r="K6047" t="s">
        <v>42727</v>
      </c>
      <c r="M6047" t="s">
        <v>45092</v>
      </c>
      <c r="N6047" t="s">
        <v>47424</v>
      </c>
      <c r="O6047" t="s">
        <v>47425</v>
      </c>
      <c r="P6047">
        <v>0</v>
      </c>
      <c r="Q6047">
        <v>0</v>
      </c>
      <c r="R6047" t="s">
        <v>47430</v>
      </c>
      <c r="S6047" t="s">
        <v>47549</v>
      </c>
      <c r="T6047" t="s">
        <v>49104</v>
      </c>
      <c r="U6047" t="s">
        <v>54458</v>
      </c>
      <c r="W6047" t="s">
        <v>45092</v>
      </c>
      <c r="X6047" t="s">
        <v>47431</v>
      </c>
    </row>
    <row r="6048" spans="1:24">
      <c r="A6048">
        <f>HYPERLINK("https://www.philgeps.gov.ph/GEPSNONPILOT/Tender/SplashBidNoticeAbstractUI.aspx?menuIndex=3&amp;refID=7161375&amp;Result=3","7161375")</f>
        <v>0</v>
      </c>
      <c r="B6048" t="s">
        <v>2073</v>
      </c>
      <c r="C6048" t="s">
        <v>9608</v>
      </c>
      <c r="D6048" t="s">
        <v>19061</v>
      </c>
      <c r="E6048" t="s">
        <v>24378</v>
      </c>
      <c r="F6048" t="s">
        <v>32831</v>
      </c>
      <c r="G6048" t="s">
        <v>32839</v>
      </c>
      <c r="H6048" t="s">
        <v>32848</v>
      </c>
      <c r="I6048" t="s">
        <v>32870</v>
      </c>
      <c r="J6048" t="s">
        <v>36824</v>
      </c>
      <c r="K6048" t="s">
        <v>42727</v>
      </c>
      <c r="M6048" t="s">
        <v>45243</v>
      </c>
      <c r="N6048" t="s">
        <v>47424</v>
      </c>
      <c r="O6048" t="s">
        <v>47425</v>
      </c>
      <c r="P6048">
        <v>0</v>
      </c>
      <c r="Q6048">
        <v>0</v>
      </c>
      <c r="R6048" t="s">
        <v>47430</v>
      </c>
      <c r="S6048" t="s">
        <v>47549</v>
      </c>
      <c r="T6048" t="s">
        <v>49236</v>
      </c>
      <c r="U6048" t="s">
        <v>54453</v>
      </c>
      <c r="W6048" t="s">
        <v>45243</v>
      </c>
      <c r="X6048" t="s">
        <v>47431</v>
      </c>
    </row>
    <row r="6049" spans="1:24">
      <c r="A6049">
        <f>HYPERLINK("https://www.philgeps.gov.ph/GEPSNONPILOT/Tender/SplashBidNoticeAbstractUI.aspx?menuIndex=3&amp;refID=7152918&amp;Result=3","7152918")</f>
        <v>0</v>
      </c>
      <c r="B6049" t="s">
        <v>72</v>
      </c>
      <c r="C6049" t="s">
        <v>9609</v>
      </c>
      <c r="D6049" t="s">
        <v>19027</v>
      </c>
      <c r="E6049" t="s">
        <v>24379</v>
      </c>
      <c r="F6049" t="s">
        <v>32831</v>
      </c>
      <c r="G6049" t="s">
        <v>32839</v>
      </c>
      <c r="H6049" t="s">
        <v>32848</v>
      </c>
      <c r="I6049" t="s">
        <v>4558</v>
      </c>
      <c r="J6049" t="s">
        <v>33455</v>
      </c>
      <c r="K6049" t="s">
        <v>42745</v>
      </c>
      <c r="M6049" t="s">
        <v>43069</v>
      </c>
      <c r="N6049" t="s">
        <v>47424</v>
      </c>
      <c r="O6049" t="s">
        <v>47425</v>
      </c>
      <c r="P6049">
        <v>0</v>
      </c>
      <c r="Q6049">
        <v>3</v>
      </c>
      <c r="R6049" t="s">
        <v>47431</v>
      </c>
      <c r="S6049" t="s">
        <v>47565</v>
      </c>
      <c r="T6049" t="s">
        <v>49087</v>
      </c>
      <c r="U6049" t="s">
        <v>49763</v>
      </c>
      <c r="W6049" t="s">
        <v>64429</v>
      </c>
      <c r="X6049" t="s">
        <v>47433</v>
      </c>
    </row>
    <row r="6050" spans="1:24">
      <c r="A6050">
        <f>HYPERLINK("https://www.philgeps.gov.ph/GEPSNONPILOT/Tender/SplashBidNoticeAbstractUI.aspx?menuIndex=3&amp;refID=7152860&amp;Result=3","7152860")</f>
        <v>0</v>
      </c>
      <c r="B6050" t="s">
        <v>2193</v>
      </c>
      <c r="C6050" t="s">
        <v>9610</v>
      </c>
      <c r="D6050" t="s">
        <v>19034</v>
      </c>
      <c r="E6050" t="s">
        <v>19665</v>
      </c>
      <c r="F6050" t="s">
        <v>32831</v>
      </c>
      <c r="G6050" t="s">
        <v>32838</v>
      </c>
      <c r="H6050" t="s">
        <v>32848</v>
      </c>
      <c r="I6050" t="s">
        <v>32928</v>
      </c>
      <c r="J6050" t="s">
        <v>32980</v>
      </c>
      <c r="K6050" t="s">
        <v>42760</v>
      </c>
      <c r="M6050" t="s">
        <v>45373</v>
      </c>
      <c r="N6050" t="s">
        <v>47424</v>
      </c>
      <c r="O6050" t="s">
        <v>47425</v>
      </c>
      <c r="P6050">
        <v>0</v>
      </c>
      <c r="Q6050">
        <v>0</v>
      </c>
      <c r="R6050" t="s">
        <v>47431</v>
      </c>
      <c r="S6050" t="s">
        <v>47565</v>
      </c>
      <c r="T6050" t="s">
        <v>49237</v>
      </c>
      <c r="U6050" t="s">
        <v>54783</v>
      </c>
      <c r="W6050" t="s">
        <v>45373</v>
      </c>
      <c r="X6050" t="s">
        <v>47433</v>
      </c>
    </row>
    <row r="6051" spans="1:24">
      <c r="A6051">
        <f>HYPERLINK("https://www.philgeps.gov.ph/GEPSNONPILOT/Tender/SplashBidNoticeAbstractUI.aspx?menuIndex=3&amp;refID=7152854&amp;Result=3","7152854")</f>
        <v>0</v>
      </c>
      <c r="B6051" t="s">
        <v>2194</v>
      </c>
      <c r="C6051" t="s">
        <v>9611</v>
      </c>
      <c r="D6051" t="s">
        <v>19054</v>
      </c>
      <c r="E6051" t="s">
        <v>24380</v>
      </c>
      <c r="F6051" t="s">
        <v>32831</v>
      </c>
      <c r="G6051" t="s">
        <v>32839</v>
      </c>
      <c r="H6051" t="s">
        <v>32848</v>
      </c>
      <c r="I6051" t="s">
        <v>32860</v>
      </c>
      <c r="J6051" t="s">
        <v>36825</v>
      </c>
      <c r="K6051" t="s">
        <v>42726</v>
      </c>
      <c r="M6051" t="s">
        <v>45374</v>
      </c>
      <c r="N6051" t="s">
        <v>47424</v>
      </c>
      <c r="O6051" t="s">
        <v>47425</v>
      </c>
      <c r="P6051">
        <v>0</v>
      </c>
      <c r="Q6051">
        <v>0</v>
      </c>
      <c r="R6051" t="s">
        <v>47431</v>
      </c>
      <c r="S6051" t="s">
        <v>47565</v>
      </c>
      <c r="T6051" t="s">
        <v>49061</v>
      </c>
      <c r="U6051" t="s">
        <v>54784</v>
      </c>
      <c r="W6051" t="s">
        <v>45374</v>
      </c>
      <c r="X6051" t="s">
        <v>47433</v>
      </c>
    </row>
    <row r="6052" spans="1:24">
      <c r="A6052">
        <f>HYPERLINK("https://www.philgeps.gov.ph/GEPSNONPILOT/Tender/SplashBidNoticeAbstractUI.aspx?menuIndex=3&amp;refID=7153089&amp;Result=3","7153089")</f>
        <v>0</v>
      </c>
      <c r="B6052" t="s">
        <v>1762</v>
      </c>
      <c r="C6052" t="s">
        <v>9612</v>
      </c>
      <c r="D6052" t="s">
        <v>19089</v>
      </c>
      <c r="E6052" t="s">
        <v>24381</v>
      </c>
      <c r="F6052" t="s">
        <v>32831</v>
      </c>
      <c r="G6052" t="s">
        <v>32839</v>
      </c>
      <c r="H6052" t="s">
        <v>32848</v>
      </c>
      <c r="I6052" t="s">
        <v>32857</v>
      </c>
      <c r="J6052" t="s">
        <v>36826</v>
      </c>
      <c r="K6052" t="s">
        <v>42731</v>
      </c>
      <c r="M6052" t="s">
        <v>44886</v>
      </c>
      <c r="N6052" t="s">
        <v>47424</v>
      </c>
      <c r="O6052" t="s">
        <v>47425</v>
      </c>
      <c r="P6052">
        <v>0</v>
      </c>
      <c r="Q6052">
        <v>6</v>
      </c>
      <c r="R6052" t="s">
        <v>47431</v>
      </c>
      <c r="S6052" t="s">
        <v>47565</v>
      </c>
      <c r="T6052" t="s">
        <v>49108</v>
      </c>
      <c r="U6052" t="s">
        <v>54785</v>
      </c>
      <c r="W6052" t="s">
        <v>44886</v>
      </c>
      <c r="X6052" t="s">
        <v>47433</v>
      </c>
    </row>
    <row r="6053" spans="1:24">
      <c r="A6053">
        <f>HYPERLINK("https://www.philgeps.gov.ph/GEPSNONPILOT/Tender/SplashBidNoticeAbstractUI.aspx?menuIndex=3&amp;refID=7153021&amp;Result=3","7153021")</f>
        <v>0</v>
      </c>
      <c r="B6053" t="s">
        <v>2192</v>
      </c>
      <c r="C6053" t="s">
        <v>9613</v>
      </c>
      <c r="D6053" t="s">
        <v>19037</v>
      </c>
      <c r="E6053" t="s">
        <v>24382</v>
      </c>
      <c r="F6053" t="s">
        <v>32831</v>
      </c>
      <c r="G6053" t="s">
        <v>32839</v>
      </c>
      <c r="H6053" t="s">
        <v>32848</v>
      </c>
      <c r="I6053" t="s">
        <v>4776</v>
      </c>
      <c r="J6053" t="s">
        <v>36827</v>
      </c>
      <c r="K6053" t="s">
        <v>42731</v>
      </c>
      <c r="M6053" t="s">
        <v>45372</v>
      </c>
      <c r="N6053" t="s">
        <v>47424</v>
      </c>
      <c r="O6053" t="s">
        <v>47425</v>
      </c>
      <c r="P6053">
        <v>0</v>
      </c>
      <c r="Q6053">
        <v>3</v>
      </c>
      <c r="R6053" t="s">
        <v>47431</v>
      </c>
      <c r="S6053" t="s">
        <v>47565</v>
      </c>
      <c r="T6053" t="s">
        <v>49108</v>
      </c>
      <c r="U6053" t="s">
        <v>54786</v>
      </c>
      <c r="W6053" t="s">
        <v>45372</v>
      </c>
      <c r="X6053" t="s">
        <v>47433</v>
      </c>
    </row>
    <row r="6054" spans="1:24">
      <c r="A6054">
        <f>HYPERLINK("https://www.philgeps.gov.ph/GEPSNONPILOT/Tender/SplashBidNoticeAbstractUI.aspx?menuIndex=3&amp;refID=7152818&amp;Result=3","7152818")</f>
        <v>0</v>
      </c>
      <c r="B6054" t="s">
        <v>951</v>
      </c>
      <c r="C6054" t="s">
        <v>9614</v>
      </c>
      <c r="D6054" t="s">
        <v>19043</v>
      </c>
      <c r="E6054" t="s">
        <v>24383</v>
      </c>
      <c r="F6054" t="s">
        <v>32831</v>
      </c>
      <c r="G6054" t="s">
        <v>32839</v>
      </c>
      <c r="H6054" t="s">
        <v>32848</v>
      </c>
      <c r="I6054" t="s">
        <v>7751</v>
      </c>
      <c r="J6054" t="s">
        <v>33524</v>
      </c>
      <c r="K6054" t="s">
        <v>42730</v>
      </c>
      <c r="M6054" t="s">
        <v>43997</v>
      </c>
      <c r="N6054" t="s">
        <v>47424</v>
      </c>
      <c r="O6054" t="s">
        <v>47425</v>
      </c>
      <c r="P6054">
        <v>0</v>
      </c>
      <c r="Q6054">
        <v>4</v>
      </c>
      <c r="R6054" t="s">
        <v>47431</v>
      </c>
      <c r="S6054" t="s">
        <v>47565</v>
      </c>
      <c r="T6054" t="s">
        <v>49199</v>
      </c>
      <c r="U6054" t="s">
        <v>54787</v>
      </c>
      <c r="W6054" t="s">
        <v>43997</v>
      </c>
      <c r="X6054" t="s">
        <v>47433</v>
      </c>
    </row>
    <row r="6055" spans="1:24">
      <c r="A6055">
        <f>HYPERLINK("https://www.philgeps.gov.ph/GEPSNONPILOT/Tender/SplashBidNoticeAbstractUI.aspx?menuIndex=3&amp;refID=7152976&amp;Result=3","7152976")</f>
        <v>0</v>
      </c>
      <c r="B6055" t="s">
        <v>1762</v>
      </c>
      <c r="C6055" t="s">
        <v>9615</v>
      </c>
      <c r="D6055" t="s">
        <v>19089</v>
      </c>
      <c r="E6055" t="s">
        <v>24384</v>
      </c>
      <c r="F6055" t="s">
        <v>32831</v>
      </c>
      <c r="G6055" t="s">
        <v>32839</v>
      </c>
      <c r="H6055" t="s">
        <v>32848</v>
      </c>
      <c r="I6055" t="s">
        <v>32892</v>
      </c>
      <c r="J6055" t="s">
        <v>36828</v>
      </c>
      <c r="K6055" t="s">
        <v>42731</v>
      </c>
      <c r="M6055" t="s">
        <v>44886</v>
      </c>
      <c r="N6055" t="s">
        <v>47424</v>
      </c>
      <c r="O6055" t="s">
        <v>47425</v>
      </c>
      <c r="P6055">
        <v>0</v>
      </c>
      <c r="Q6055">
        <v>1</v>
      </c>
      <c r="R6055" t="s">
        <v>47431</v>
      </c>
      <c r="S6055" t="s">
        <v>47565</v>
      </c>
      <c r="T6055" t="s">
        <v>49108</v>
      </c>
      <c r="U6055" t="s">
        <v>54788</v>
      </c>
      <c r="W6055" t="s">
        <v>44886</v>
      </c>
      <c r="X6055" t="s">
        <v>47433</v>
      </c>
    </row>
    <row r="6056" spans="1:24">
      <c r="A6056">
        <f>HYPERLINK("https://www.philgeps.gov.ph/GEPSNONPILOT/Tender/SplashBidNoticeAbstractUI.aspx?menuIndex=3&amp;refID=7152796&amp;Result=3","7152796")</f>
        <v>0</v>
      </c>
      <c r="B6056" t="s">
        <v>1221</v>
      </c>
      <c r="C6056" t="s">
        <v>9616</v>
      </c>
      <c r="E6056" t="s">
        <v>24385</v>
      </c>
      <c r="F6056" t="s">
        <v>32831</v>
      </c>
      <c r="G6056" t="s">
        <v>32839</v>
      </c>
      <c r="H6056" t="s">
        <v>32849</v>
      </c>
      <c r="I6056" t="s">
        <v>4177</v>
      </c>
      <c r="J6056" t="s">
        <v>36829</v>
      </c>
      <c r="K6056" t="s">
        <v>42732</v>
      </c>
      <c r="M6056" t="s">
        <v>44289</v>
      </c>
      <c r="N6056" t="s">
        <v>47424</v>
      </c>
      <c r="O6056" t="s">
        <v>47425</v>
      </c>
      <c r="P6056">
        <v>0</v>
      </c>
      <c r="Q6056">
        <v>1</v>
      </c>
      <c r="R6056" t="s">
        <v>47431</v>
      </c>
      <c r="S6056" t="s">
        <v>47565</v>
      </c>
      <c r="T6056" t="s">
        <v>49338</v>
      </c>
      <c r="U6056" t="s">
        <v>54789</v>
      </c>
      <c r="V6056" t="s">
        <v>63297</v>
      </c>
      <c r="W6056" t="s">
        <v>44289</v>
      </c>
      <c r="X6056" t="s">
        <v>47433</v>
      </c>
    </row>
    <row r="6057" spans="1:24">
      <c r="A6057">
        <f>HYPERLINK("https://www.philgeps.gov.ph/GEPSNONPILOT/Tender/SplashBidNoticeAbstractUI.aspx?menuIndex=3&amp;refID=7153440&amp;Result=3","7153440")</f>
        <v>0</v>
      </c>
      <c r="B6057" t="s">
        <v>34</v>
      </c>
      <c r="C6057" t="s">
        <v>9617</v>
      </c>
      <c r="E6057" t="s">
        <v>24386</v>
      </c>
      <c r="F6057" t="s">
        <v>32831</v>
      </c>
      <c r="G6057" t="s">
        <v>32839</v>
      </c>
      <c r="H6057" t="s">
        <v>32849</v>
      </c>
      <c r="I6057" t="s">
        <v>4177</v>
      </c>
      <c r="J6057" t="s">
        <v>36830</v>
      </c>
      <c r="K6057" t="s">
        <v>42766</v>
      </c>
      <c r="M6057" t="s">
        <v>44653</v>
      </c>
      <c r="N6057" t="s">
        <v>47424</v>
      </c>
      <c r="O6057" t="s">
        <v>47425</v>
      </c>
      <c r="P6057">
        <v>0</v>
      </c>
      <c r="Q6057">
        <v>0</v>
      </c>
      <c r="R6057" t="s">
        <v>47431</v>
      </c>
      <c r="S6057" t="s">
        <v>47565</v>
      </c>
      <c r="T6057" t="s">
        <v>49267</v>
      </c>
      <c r="U6057" t="s">
        <v>54790</v>
      </c>
      <c r="W6057" t="s">
        <v>44653</v>
      </c>
      <c r="X6057" t="s">
        <v>47433</v>
      </c>
    </row>
    <row r="6058" spans="1:24">
      <c r="A6058">
        <f>HYPERLINK("https://www.philgeps.gov.ph/GEPSNONPILOT/Tender/SplashBidNoticeAbstractUI.aspx?menuIndex=3&amp;refID=7153421&amp;Result=3","7153421")</f>
        <v>0</v>
      </c>
      <c r="B6058" t="s">
        <v>34</v>
      </c>
      <c r="C6058" t="s">
        <v>9618</v>
      </c>
      <c r="E6058" t="s">
        <v>24387</v>
      </c>
      <c r="F6058" t="s">
        <v>32831</v>
      </c>
      <c r="G6058" t="s">
        <v>32839</v>
      </c>
      <c r="H6058" t="s">
        <v>32849</v>
      </c>
      <c r="I6058" t="s">
        <v>4177</v>
      </c>
      <c r="J6058" t="s">
        <v>36831</v>
      </c>
      <c r="K6058" t="s">
        <v>42763</v>
      </c>
      <c r="M6058" t="s">
        <v>44653</v>
      </c>
      <c r="N6058" t="s">
        <v>47424</v>
      </c>
      <c r="O6058" t="s">
        <v>47425</v>
      </c>
      <c r="P6058">
        <v>0</v>
      </c>
      <c r="Q6058">
        <v>0</v>
      </c>
      <c r="R6058" t="s">
        <v>47431</v>
      </c>
      <c r="S6058" t="s">
        <v>47565</v>
      </c>
      <c r="T6058" t="s">
        <v>49267</v>
      </c>
      <c r="U6058" t="s">
        <v>54791</v>
      </c>
      <c r="W6058" t="s">
        <v>44653</v>
      </c>
      <c r="X6058" t="s">
        <v>47433</v>
      </c>
    </row>
    <row r="6059" spans="1:24">
      <c r="A6059">
        <f>HYPERLINK("https://www.philgeps.gov.ph/GEPSNONPILOT/Tender/SplashBidNoticeAbstractUI.aspx?menuIndex=3&amp;refID=7152821&amp;Result=3","7152821")</f>
        <v>0</v>
      </c>
      <c r="B6059" t="s">
        <v>37</v>
      </c>
      <c r="C6059" t="s">
        <v>9619</v>
      </c>
      <c r="D6059" t="s">
        <v>19027</v>
      </c>
      <c r="E6059" t="s">
        <v>24388</v>
      </c>
      <c r="F6059" t="s">
        <v>32831</v>
      </c>
      <c r="G6059" t="s">
        <v>32839</v>
      </c>
      <c r="H6059" t="s">
        <v>32848</v>
      </c>
      <c r="I6059" t="s">
        <v>4487</v>
      </c>
      <c r="J6059" t="s">
        <v>33025</v>
      </c>
      <c r="K6059" t="s">
        <v>42732</v>
      </c>
      <c r="M6059" t="s">
        <v>43034</v>
      </c>
      <c r="N6059" t="s">
        <v>47424</v>
      </c>
      <c r="O6059" t="s">
        <v>47425</v>
      </c>
      <c r="P6059">
        <v>0</v>
      </c>
      <c r="Q6059">
        <v>2</v>
      </c>
      <c r="R6059" t="s">
        <v>47431</v>
      </c>
      <c r="S6059" t="s">
        <v>47565</v>
      </c>
      <c r="T6059" t="s">
        <v>49108</v>
      </c>
      <c r="U6059" t="s">
        <v>49709</v>
      </c>
      <c r="W6059" t="s">
        <v>43034</v>
      </c>
      <c r="X6059" t="s">
        <v>47433</v>
      </c>
    </row>
    <row r="6060" spans="1:24">
      <c r="A6060">
        <f>HYPERLINK("https://www.philgeps.gov.ph/GEPSNONPILOT/Tender/SplashBidNoticeAbstractUI.aspx?menuIndex=3&amp;refID=7153394&amp;Result=3","7153394")</f>
        <v>0</v>
      </c>
      <c r="B6060" t="s">
        <v>34</v>
      </c>
      <c r="C6060" t="s">
        <v>9620</v>
      </c>
      <c r="E6060" t="s">
        <v>24389</v>
      </c>
      <c r="F6060" t="s">
        <v>32831</v>
      </c>
      <c r="G6060" t="s">
        <v>32839</v>
      </c>
      <c r="H6060" t="s">
        <v>32849</v>
      </c>
      <c r="I6060" t="s">
        <v>4177</v>
      </c>
      <c r="J6060" t="s">
        <v>36832</v>
      </c>
      <c r="K6060" t="s">
        <v>42888</v>
      </c>
      <c r="M6060" t="s">
        <v>44653</v>
      </c>
      <c r="N6060" t="s">
        <v>47424</v>
      </c>
      <c r="O6060" t="s">
        <v>47425</v>
      </c>
      <c r="P6060">
        <v>0</v>
      </c>
      <c r="Q6060">
        <v>1</v>
      </c>
      <c r="R6060" t="s">
        <v>47431</v>
      </c>
      <c r="S6060" t="s">
        <v>47565</v>
      </c>
      <c r="T6060" t="s">
        <v>49267</v>
      </c>
      <c r="U6060" t="s">
        <v>54792</v>
      </c>
      <c r="W6060" t="s">
        <v>44653</v>
      </c>
      <c r="X6060" t="s">
        <v>47433</v>
      </c>
    </row>
    <row r="6061" spans="1:24">
      <c r="A6061">
        <f>HYPERLINK("https://www.philgeps.gov.ph/GEPSNONPILOT/Tender/SplashBidNoticeAbstractUI.aspx?menuIndex=3&amp;refID=7153410&amp;Result=3","7153410")</f>
        <v>0</v>
      </c>
      <c r="B6061" t="s">
        <v>2195</v>
      </c>
      <c r="C6061" t="s">
        <v>9621</v>
      </c>
      <c r="D6061" t="s">
        <v>19045</v>
      </c>
      <c r="E6061" t="s">
        <v>24390</v>
      </c>
      <c r="F6061" t="s">
        <v>32831</v>
      </c>
      <c r="G6061" t="s">
        <v>32839</v>
      </c>
      <c r="H6061" t="s">
        <v>32849</v>
      </c>
      <c r="I6061" t="s">
        <v>4177</v>
      </c>
      <c r="J6061" t="s">
        <v>34155</v>
      </c>
      <c r="K6061" t="s">
        <v>42770</v>
      </c>
      <c r="M6061" t="s">
        <v>45375</v>
      </c>
      <c r="N6061" t="s">
        <v>47424</v>
      </c>
      <c r="O6061" t="s">
        <v>47425</v>
      </c>
      <c r="P6061">
        <v>0</v>
      </c>
      <c r="Q6061">
        <v>1</v>
      </c>
      <c r="R6061" t="s">
        <v>47431</v>
      </c>
      <c r="S6061" t="s">
        <v>47565</v>
      </c>
      <c r="T6061" t="s">
        <v>49077</v>
      </c>
      <c r="U6061" t="s">
        <v>54793</v>
      </c>
      <c r="W6061" t="s">
        <v>45375</v>
      </c>
      <c r="X6061" t="s">
        <v>47433</v>
      </c>
    </row>
    <row r="6062" spans="1:24">
      <c r="A6062">
        <f>HYPERLINK("https://www.philgeps.gov.ph/GEPSNONPILOT/Tender/SplashBidNoticeAbstractUI.aspx?menuIndex=3&amp;refID=7153385&amp;Result=3","7153385")</f>
        <v>0</v>
      </c>
      <c r="B6062" t="s">
        <v>2192</v>
      </c>
      <c r="C6062" t="s">
        <v>9622</v>
      </c>
      <c r="D6062" t="s">
        <v>19037</v>
      </c>
      <c r="E6062" t="s">
        <v>24391</v>
      </c>
      <c r="F6062" t="s">
        <v>32831</v>
      </c>
      <c r="G6062" t="s">
        <v>32839</v>
      </c>
      <c r="H6062" t="s">
        <v>32849</v>
      </c>
      <c r="I6062" t="s">
        <v>4177</v>
      </c>
      <c r="J6062" t="s">
        <v>32978</v>
      </c>
      <c r="K6062" t="s">
        <v>42736</v>
      </c>
      <c r="M6062" t="s">
        <v>45372</v>
      </c>
      <c r="N6062" t="s">
        <v>47424</v>
      </c>
      <c r="O6062" t="s">
        <v>47425</v>
      </c>
      <c r="P6062">
        <v>0</v>
      </c>
      <c r="Q6062">
        <v>0</v>
      </c>
      <c r="R6062" t="s">
        <v>47431</v>
      </c>
      <c r="S6062" t="s">
        <v>47565</v>
      </c>
      <c r="T6062" t="s">
        <v>49108</v>
      </c>
      <c r="U6062" t="s">
        <v>54794</v>
      </c>
      <c r="W6062" t="s">
        <v>45372</v>
      </c>
      <c r="X6062" t="s">
        <v>47433</v>
      </c>
    </row>
    <row r="6063" spans="1:24">
      <c r="A6063">
        <f>HYPERLINK("https://www.philgeps.gov.ph/GEPSNONPILOT/Tender/SplashBidNoticeAbstractUI.aspx?menuIndex=3&amp;refID=7152848&amp;Result=3","7152848")</f>
        <v>0</v>
      </c>
      <c r="B6063" t="s">
        <v>2180</v>
      </c>
      <c r="C6063" t="s">
        <v>9623</v>
      </c>
      <c r="D6063" t="s">
        <v>19037</v>
      </c>
      <c r="E6063" t="s">
        <v>24392</v>
      </c>
      <c r="F6063" t="s">
        <v>32831</v>
      </c>
      <c r="G6063" t="s">
        <v>32838</v>
      </c>
      <c r="H6063" t="s">
        <v>32848</v>
      </c>
      <c r="I6063" t="s">
        <v>32854</v>
      </c>
      <c r="J6063" t="s">
        <v>36833</v>
      </c>
      <c r="K6063" t="s">
        <v>42731</v>
      </c>
      <c r="M6063" t="s">
        <v>45360</v>
      </c>
      <c r="N6063" t="s">
        <v>47424</v>
      </c>
      <c r="O6063" t="s">
        <v>47425</v>
      </c>
      <c r="P6063">
        <v>0</v>
      </c>
      <c r="Q6063">
        <v>1</v>
      </c>
      <c r="R6063" t="s">
        <v>47431</v>
      </c>
      <c r="S6063" t="s">
        <v>47565</v>
      </c>
      <c r="T6063" t="s">
        <v>49239</v>
      </c>
      <c r="U6063" t="s">
        <v>54795</v>
      </c>
      <c r="W6063" t="s">
        <v>45360</v>
      </c>
      <c r="X6063" t="s">
        <v>47433</v>
      </c>
    </row>
    <row r="6064" spans="1:24">
      <c r="A6064">
        <f>HYPERLINK("https://www.philgeps.gov.ph/GEPSNONPILOT/Tender/SplashBidNoticeAbstractUI.aspx?menuIndex=3&amp;refID=7153379&amp;Result=3","7153379")</f>
        <v>0</v>
      </c>
      <c r="B6064" t="s">
        <v>34</v>
      </c>
      <c r="C6064" t="s">
        <v>9624</v>
      </c>
      <c r="E6064" t="s">
        <v>24393</v>
      </c>
      <c r="F6064" t="s">
        <v>32831</v>
      </c>
      <c r="G6064" t="s">
        <v>32839</v>
      </c>
      <c r="H6064" t="s">
        <v>32849</v>
      </c>
      <c r="I6064" t="s">
        <v>4177</v>
      </c>
      <c r="J6064" t="s">
        <v>36834</v>
      </c>
      <c r="K6064" t="s">
        <v>42781</v>
      </c>
      <c r="M6064" t="s">
        <v>44653</v>
      </c>
      <c r="N6064" t="s">
        <v>47424</v>
      </c>
      <c r="O6064" t="s">
        <v>47425</v>
      </c>
      <c r="P6064">
        <v>0</v>
      </c>
      <c r="Q6064">
        <v>1</v>
      </c>
      <c r="R6064" t="s">
        <v>47431</v>
      </c>
      <c r="S6064" t="s">
        <v>47565</v>
      </c>
      <c r="T6064" t="s">
        <v>49267</v>
      </c>
      <c r="U6064" t="s">
        <v>54796</v>
      </c>
      <c r="W6064" t="s">
        <v>44653</v>
      </c>
      <c r="X6064" t="s">
        <v>47433</v>
      </c>
    </row>
    <row r="6065" spans="1:24">
      <c r="A6065">
        <f>HYPERLINK("https://www.philgeps.gov.ph/GEPSNONPILOT/Tender/SplashBidNoticeAbstractUI.aspx?menuIndex=3&amp;refID=7153331&amp;Result=3","7153331")</f>
        <v>0</v>
      </c>
      <c r="B6065" t="s">
        <v>72</v>
      </c>
      <c r="C6065" t="s">
        <v>9625</v>
      </c>
      <c r="D6065" t="s">
        <v>19027</v>
      </c>
      <c r="E6065" t="s">
        <v>24394</v>
      </c>
      <c r="F6065" t="s">
        <v>32831</v>
      </c>
      <c r="G6065" t="s">
        <v>32839</v>
      </c>
      <c r="H6065" t="s">
        <v>32848</v>
      </c>
      <c r="I6065" t="s">
        <v>6526</v>
      </c>
      <c r="J6065" t="s">
        <v>36835</v>
      </c>
      <c r="K6065" t="s">
        <v>42745</v>
      </c>
      <c r="M6065" t="s">
        <v>43069</v>
      </c>
      <c r="N6065" t="s">
        <v>47424</v>
      </c>
      <c r="O6065" t="s">
        <v>47425</v>
      </c>
      <c r="P6065">
        <v>0</v>
      </c>
      <c r="Q6065">
        <v>0</v>
      </c>
      <c r="R6065" t="s">
        <v>47431</v>
      </c>
      <c r="S6065" t="s">
        <v>47565</v>
      </c>
      <c r="T6065" t="s">
        <v>49087</v>
      </c>
      <c r="U6065" t="s">
        <v>49763</v>
      </c>
      <c r="W6065" t="s">
        <v>64429</v>
      </c>
      <c r="X6065" t="s">
        <v>47433</v>
      </c>
    </row>
    <row r="6066" spans="1:24">
      <c r="A6066">
        <f>HYPERLINK("https://www.philgeps.gov.ph/GEPSNONPILOT/Tender/SplashBidNoticeAbstractUI.aspx?menuIndex=3&amp;refID=7153323&amp;Result=3","7153323")</f>
        <v>0</v>
      </c>
      <c r="B6066" t="s">
        <v>2196</v>
      </c>
      <c r="C6066" t="s">
        <v>9626</v>
      </c>
      <c r="D6066" t="s">
        <v>19049</v>
      </c>
      <c r="E6066" t="s">
        <v>19520</v>
      </c>
      <c r="F6066" t="s">
        <v>32831</v>
      </c>
      <c r="G6066" t="s">
        <v>32839</v>
      </c>
      <c r="H6066" t="s">
        <v>32848</v>
      </c>
      <c r="I6066" t="s">
        <v>7416</v>
      </c>
      <c r="J6066" t="s">
        <v>36836</v>
      </c>
      <c r="K6066" t="s">
        <v>42726</v>
      </c>
      <c r="M6066" t="s">
        <v>45376</v>
      </c>
      <c r="N6066" t="s">
        <v>47424</v>
      </c>
      <c r="O6066" t="s">
        <v>47425</v>
      </c>
      <c r="P6066">
        <v>0</v>
      </c>
      <c r="Q6066">
        <v>0</v>
      </c>
      <c r="R6066" t="s">
        <v>47431</v>
      </c>
      <c r="S6066" t="s">
        <v>47565</v>
      </c>
      <c r="T6066" t="s">
        <v>49159</v>
      </c>
      <c r="U6066" t="s">
        <v>54797</v>
      </c>
      <c r="W6066" t="s">
        <v>45376</v>
      </c>
      <c r="X6066" t="s">
        <v>47433</v>
      </c>
    </row>
    <row r="6067" spans="1:24">
      <c r="A6067">
        <f>HYPERLINK("https://www.philgeps.gov.ph/GEPSNONPILOT/Tender/SplashBidNoticeAbstractUI.aspx?menuIndex=3&amp;refID=7153314&amp;Result=3","7153314")</f>
        <v>0</v>
      </c>
      <c r="B6067" t="s">
        <v>2192</v>
      </c>
      <c r="C6067" t="s">
        <v>9627</v>
      </c>
      <c r="D6067" t="s">
        <v>19037</v>
      </c>
      <c r="E6067" t="s">
        <v>24395</v>
      </c>
      <c r="F6067" t="s">
        <v>32831</v>
      </c>
      <c r="G6067" t="s">
        <v>32839</v>
      </c>
      <c r="H6067" t="s">
        <v>32849</v>
      </c>
      <c r="I6067" t="s">
        <v>4177</v>
      </c>
      <c r="J6067" t="s">
        <v>32978</v>
      </c>
      <c r="K6067" t="s">
        <v>42746</v>
      </c>
      <c r="M6067" t="s">
        <v>45372</v>
      </c>
      <c r="N6067" t="s">
        <v>47424</v>
      </c>
      <c r="O6067" t="s">
        <v>47425</v>
      </c>
      <c r="P6067">
        <v>0</v>
      </c>
      <c r="Q6067">
        <v>0</v>
      </c>
      <c r="R6067" t="s">
        <v>47431</v>
      </c>
      <c r="S6067" t="s">
        <v>47565</v>
      </c>
      <c r="T6067" t="s">
        <v>49108</v>
      </c>
      <c r="U6067" t="s">
        <v>54798</v>
      </c>
      <c r="W6067" t="s">
        <v>45372</v>
      </c>
      <c r="X6067" t="s">
        <v>47433</v>
      </c>
    </row>
    <row r="6068" spans="1:24">
      <c r="A6068">
        <f>HYPERLINK("https://www.philgeps.gov.ph/GEPSNONPILOT/Tender/SplashBidNoticeAbstractUI.aspx?menuIndex=3&amp;refID=7153408&amp;Result=3","7153408")</f>
        <v>0</v>
      </c>
      <c r="B6068" t="s">
        <v>2197</v>
      </c>
      <c r="C6068" t="s">
        <v>9628</v>
      </c>
      <c r="D6068" t="s">
        <v>19029</v>
      </c>
      <c r="E6068" t="s">
        <v>24396</v>
      </c>
      <c r="F6068" t="s">
        <v>32831</v>
      </c>
      <c r="G6068" t="s">
        <v>32839</v>
      </c>
      <c r="H6068" t="s">
        <v>32849</v>
      </c>
      <c r="I6068" t="s">
        <v>4177</v>
      </c>
      <c r="J6068" t="s">
        <v>36837</v>
      </c>
      <c r="K6068" t="s">
        <v>42743</v>
      </c>
      <c r="M6068" t="s">
        <v>45377</v>
      </c>
      <c r="N6068" t="s">
        <v>47424</v>
      </c>
      <c r="O6068" t="s">
        <v>47425</v>
      </c>
      <c r="P6068">
        <v>0</v>
      </c>
      <c r="Q6068">
        <v>0</v>
      </c>
      <c r="R6068" t="s">
        <v>47431</v>
      </c>
      <c r="S6068" t="s">
        <v>47565</v>
      </c>
      <c r="T6068" t="s">
        <v>49181</v>
      </c>
      <c r="U6068" t="s">
        <v>54685</v>
      </c>
      <c r="W6068" t="s">
        <v>45377</v>
      </c>
      <c r="X6068" t="s">
        <v>47433</v>
      </c>
    </row>
    <row r="6069" spans="1:24">
      <c r="A6069">
        <f>HYPERLINK("https://www.philgeps.gov.ph/GEPSNONPILOT/Tender/SplashBidNoticeAbstractUI.aspx?menuIndex=3&amp;refID=7153342&amp;Result=3","7153342")</f>
        <v>0</v>
      </c>
      <c r="B6069" t="s">
        <v>2192</v>
      </c>
      <c r="C6069" t="s">
        <v>9629</v>
      </c>
      <c r="D6069" t="s">
        <v>19037</v>
      </c>
      <c r="E6069" t="s">
        <v>24397</v>
      </c>
      <c r="F6069" t="s">
        <v>32831</v>
      </c>
      <c r="G6069" t="s">
        <v>32839</v>
      </c>
      <c r="H6069" t="s">
        <v>32849</v>
      </c>
      <c r="I6069" t="s">
        <v>4177</v>
      </c>
      <c r="J6069" t="s">
        <v>32978</v>
      </c>
      <c r="K6069" t="s">
        <v>42730</v>
      </c>
      <c r="M6069" t="s">
        <v>45372</v>
      </c>
      <c r="N6069" t="s">
        <v>47424</v>
      </c>
      <c r="O6069" t="s">
        <v>47425</v>
      </c>
      <c r="P6069">
        <v>0</v>
      </c>
      <c r="Q6069">
        <v>0</v>
      </c>
      <c r="R6069" t="s">
        <v>47431</v>
      </c>
      <c r="S6069" t="s">
        <v>47565</v>
      </c>
      <c r="T6069" t="s">
        <v>49108</v>
      </c>
      <c r="U6069" t="s">
        <v>54799</v>
      </c>
      <c r="W6069" t="s">
        <v>45372</v>
      </c>
      <c r="X6069" t="s">
        <v>47433</v>
      </c>
    </row>
    <row r="6070" spans="1:24">
      <c r="A6070">
        <f>HYPERLINK("https://www.philgeps.gov.ph/GEPSNONPILOT/Tender/SplashBidNoticeAbstractUI.aspx?menuIndex=3&amp;refID=7153295&amp;Result=3","7153295")</f>
        <v>0</v>
      </c>
      <c r="B6070" t="s">
        <v>2192</v>
      </c>
      <c r="C6070" t="s">
        <v>9630</v>
      </c>
      <c r="D6070" t="s">
        <v>19037</v>
      </c>
      <c r="E6070" t="s">
        <v>24398</v>
      </c>
      <c r="F6070" t="s">
        <v>32831</v>
      </c>
      <c r="G6070" t="s">
        <v>32839</v>
      </c>
      <c r="H6070" t="s">
        <v>32849</v>
      </c>
      <c r="I6070" t="s">
        <v>4177</v>
      </c>
      <c r="J6070" t="s">
        <v>32978</v>
      </c>
      <c r="K6070" t="s">
        <v>42743</v>
      </c>
      <c r="M6070" t="s">
        <v>45372</v>
      </c>
      <c r="N6070" t="s">
        <v>47424</v>
      </c>
      <c r="O6070" t="s">
        <v>47425</v>
      </c>
      <c r="P6070">
        <v>0</v>
      </c>
      <c r="Q6070">
        <v>0</v>
      </c>
      <c r="R6070" t="s">
        <v>47431</v>
      </c>
      <c r="S6070" t="s">
        <v>47565</v>
      </c>
      <c r="T6070" t="s">
        <v>49108</v>
      </c>
      <c r="U6070" t="s">
        <v>54800</v>
      </c>
      <c r="W6070" t="s">
        <v>45372</v>
      </c>
      <c r="X6070" t="s">
        <v>47433</v>
      </c>
    </row>
    <row r="6071" spans="1:24">
      <c r="A6071">
        <f>HYPERLINK("https://www.philgeps.gov.ph/GEPSNONPILOT/Tender/SplashBidNoticeAbstractUI.aspx?menuIndex=3&amp;refID=7153278&amp;Result=3","7153278")</f>
        <v>0</v>
      </c>
      <c r="B6071" t="s">
        <v>2180</v>
      </c>
      <c r="C6071" t="s">
        <v>9631</v>
      </c>
      <c r="D6071" t="s">
        <v>19037</v>
      </c>
      <c r="E6071" t="s">
        <v>24399</v>
      </c>
      <c r="F6071" t="s">
        <v>32831</v>
      </c>
      <c r="G6071" t="s">
        <v>32838</v>
      </c>
      <c r="H6071" t="s">
        <v>32849</v>
      </c>
      <c r="I6071" t="s">
        <v>6526</v>
      </c>
      <c r="J6071" t="s">
        <v>36838</v>
      </c>
      <c r="K6071" t="s">
        <v>42732</v>
      </c>
      <c r="M6071" t="s">
        <v>45360</v>
      </c>
      <c r="N6071" t="s">
        <v>47424</v>
      </c>
      <c r="O6071" t="s">
        <v>47425</v>
      </c>
      <c r="P6071">
        <v>0</v>
      </c>
      <c r="Q6071">
        <v>0</v>
      </c>
      <c r="R6071" t="s">
        <v>47431</v>
      </c>
      <c r="S6071" t="s">
        <v>47565</v>
      </c>
      <c r="T6071" t="s">
        <v>49239</v>
      </c>
      <c r="U6071" t="s">
        <v>54801</v>
      </c>
      <c r="W6071" t="s">
        <v>45360</v>
      </c>
      <c r="X6071" t="s">
        <v>47433</v>
      </c>
    </row>
    <row r="6072" spans="1:24">
      <c r="A6072">
        <f>HYPERLINK("https://www.philgeps.gov.ph/GEPSNONPILOT/Tender/SplashBidNoticeAbstractUI.aspx?menuIndex=3&amp;refID=7153182&amp;Result=3","7153182")</f>
        <v>0</v>
      </c>
      <c r="B6072" t="s">
        <v>72</v>
      </c>
      <c r="C6072" t="s">
        <v>9632</v>
      </c>
      <c r="D6072" t="s">
        <v>19027</v>
      </c>
      <c r="E6072" t="s">
        <v>24400</v>
      </c>
      <c r="F6072" t="s">
        <v>32831</v>
      </c>
      <c r="G6072" t="s">
        <v>32839</v>
      </c>
      <c r="H6072" t="s">
        <v>32848</v>
      </c>
      <c r="I6072" t="s">
        <v>4776</v>
      </c>
      <c r="J6072" t="s">
        <v>32980</v>
      </c>
      <c r="K6072" t="s">
        <v>42745</v>
      </c>
      <c r="M6072" t="s">
        <v>43069</v>
      </c>
      <c r="N6072" t="s">
        <v>47424</v>
      </c>
      <c r="O6072" t="s">
        <v>47425</v>
      </c>
      <c r="P6072">
        <v>0</v>
      </c>
      <c r="Q6072">
        <v>4</v>
      </c>
      <c r="R6072" t="s">
        <v>47431</v>
      </c>
      <c r="S6072" t="s">
        <v>47565</v>
      </c>
      <c r="T6072" t="s">
        <v>49087</v>
      </c>
      <c r="U6072" t="s">
        <v>49763</v>
      </c>
      <c r="W6072" t="s">
        <v>64429</v>
      </c>
      <c r="X6072" t="s">
        <v>47433</v>
      </c>
    </row>
    <row r="6073" spans="1:24">
      <c r="A6073">
        <f>HYPERLINK("https://www.philgeps.gov.ph/GEPSNONPILOT/Tender/SplashBidNoticeAbstractUI.aspx?menuIndex=3&amp;refID=7153172&amp;Result=3","7153172")</f>
        <v>0</v>
      </c>
      <c r="B6073" t="s">
        <v>2197</v>
      </c>
      <c r="C6073" t="s">
        <v>9633</v>
      </c>
      <c r="E6073" t="s">
        <v>24401</v>
      </c>
      <c r="F6073" t="s">
        <v>32831</v>
      </c>
      <c r="G6073" t="s">
        <v>32839</v>
      </c>
      <c r="H6073" t="s">
        <v>32849</v>
      </c>
      <c r="I6073" t="s">
        <v>32852</v>
      </c>
      <c r="J6073" t="s">
        <v>36839</v>
      </c>
      <c r="K6073" t="s">
        <v>42743</v>
      </c>
      <c r="M6073" t="s">
        <v>45377</v>
      </c>
      <c r="N6073" t="s">
        <v>47424</v>
      </c>
      <c r="O6073" t="s">
        <v>47425</v>
      </c>
      <c r="P6073">
        <v>0</v>
      </c>
      <c r="Q6073">
        <v>0</v>
      </c>
      <c r="R6073" t="s">
        <v>47431</v>
      </c>
      <c r="S6073" t="s">
        <v>47565</v>
      </c>
      <c r="T6073" t="s">
        <v>49216</v>
      </c>
      <c r="U6073" t="s">
        <v>54685</v>
      </c>
      <c r="W6073" t="s">
        <v>45377</v>
      </c>
      <c r="X6073" t="s">
        <v>47433</v>
      </c>
    </row>
    <row r="6074" spans="1:24">
      <c r="A6074">
        <f>HYPERLINK("https://www.philgeps.gov.ph/GEPSNONPILOT/Tender/SplashBidNoticeAbstractUI.aspx?menuIndex=3&amp;refID=7153201&amp;Result=3","7153201")</f>
        <v>0</v>
      </c>
      <c r="B6074" t="s">
        <v>72</v>
      </c>
      <c r="C6074" t="s">
        <v>9634</v>
      </c>
      <c r="D6074" t="s">
        <v>19027</v>
      </c>
      <c r="E6074" t="s">
        <v>24402</v>
      </c>
      <c r="F6074" t="s">
        <v>32831</v>
      </c>
      <c r="G6074" t="s">
        <v>32839</v>
      </c>
      <c r="H6074" t="s">
        <v>32848</v>
      </c>
      <c r="I6074" t="s">
        <v>32864</v>
      </c>
      <c r="J6074" t="s">
        <v>36840</v>
      </c>
      <c r="K6074" t="s">
        <v>42745</v>
      </c>
      <c r="M6074" t="s">
        <v>43069</v>
      </c>
      <c r="N6074" t="s">
        <v>47424</v>
      </c>
      <c r="O6074" t="s">
        <v>47425</v>
      </c>
      <c r="P6074">
        <v>0</v>
      </c>
      <c r="Q6074">
        <v>4</v>
      </c>
      <c r="R6074" t="s">
        <v>47431</v>
      </c>
      <c r="S6074" t="s">
        <v>47565</v>
      </c>
      <c r="T6074" t="s">
        <v>49087</v>
      </c>
      <c r="U6074" t="s">
        <v>49763</v>
      </c>
      <c r="W6074" t="s">
        <v>64429</v>
      </c>
      <c r="X6074" t="s">
        <v>47433</v>
      </c>
    </row>
    <row r="6075" spans="1:24">
      <c r="A6075">
        <f>HYPERLINK("https://www.philgeps.gov.ph/GEPSNONPILOT/Tender/SplashBidNoticeAbstractUI.aspx?menuIndex=3&amp;refID=7153354&amp;Result=3","7153354")</f>
        <v>0</v>
      </c>
      <c r="B6075" t="s">
        <v>1366</v>
      </c>
      <c r="C6075" t="s">
        <v>9635</v>
      </c>
      <c r="D6075" t="s">
        <v>19024</v>
      </c>
      <c r="E6075" t="s">
        <v>24403</v>
      </c>
      <c r="F6075" t="s">
        <v>32831</v>
      </c>
      <c r="G6075" t="s">
        <v>32839</v>
      </c>
      <c r="H6075" t="s">
        <v>32848</v>
      </c>
      <c r="I6075" t="s">
        <v>32857</v>
      </c>
      <c r="J6075" t="s">
        <v>36841</v>
      </c>
      <c r="K6075" t="s">
        <v>42732</v>
      </c>
      <c r="M6075" t="s">
        <v>44446</v>
      </c>
      <c r="N6075" t="s">
        <v>47424</v>
      </c>
      <c r="O6075" t="s">
        <v>47425</v>
      </c>
      <c r="P6075">
        <v>0</v>
      </c>
      <c r="Q6075">
        <v>2</v>
      </c>
      <c r="R6075" t="s">
        <v>47431</v>
      </c>
      <c r="S6075" t="s">
        <v>47565</v>
      </c>
      <c r="T6075" t="s">
        <v>49323</v>
      </c>
      <c r="U6075" t="s">
        <v>54802</v>
      </c>
      <c r="W6075" t="s">
        <v>44446</v>
      </c>
      <c r="X6075" t="s">
        <v>47433</v>
      </c>
    </row>
    <row r="6076" spans="1:24">
      <c r="A6076">
        <f>HYPERLINK("https://www.philgeps.gov.ph/GEPSNONPILOT/Tender/SplashBidNoticeAbstractUI.aspx?menuIndex=3&amp;refID=7153632&amp;Result=3","7153632")</f>
        <v>0</v>
      </c>
      <c r="B6076" t="s">
        <v>2195</v>
      </c>
      <c r="C6076" t="s">
        <v>9636</v>
      </c>
      <c r="D6076" t="s">
        <v>19045</v>
      </c>
      <c r="E6076" t="s">
        <v>24404</v>
      </c>
      <c r="F6076" t="s">
        <v>32831</v>
      </c>
      <c r="G6076" t="s">
        <v>32839</v>
      </c>
      <c r="H6076" t="s">
        <v>32849</v>
      </c>
      <c r="I6076" t="s">
        <v>4177</v>
      </c>
      <c r="J6076" t="s">
        <v>32978</v>
      </c>
      <c r="K6076" t="s">
        <v>42729</v>
      </c>
      <c r="M6076" t="s">
        <v>45375</v>
      </c>
      <c r="N6076" t="s">
        <v>47424</v>
      </c>
      <c r="O6076" t="s">
        <v>47425</v>
      </c>
      <c r="P6076">
        <v>0</v>
      </c>
      <c r="Q6076">
        <v>0</v>
      </c>
      <c r="R6076" t="s">
        <v>47431</v>
      </c>
      <c r="S6076" t="s">
        <v>47565</v>
      </c>
      <c r="T6076" t="s">
        <v>49363</v>
      </c>
      <c r="U6076" t="s">
        <v>54803</v>
      </c>
      <c r="W6076" t="s">
        <v>45375</v>
      </c>
      <c r="X6076" t="s">
        <v>47433</v>
      </c>
    </row>
    <row r="6077" spans="1:24">
      <c r="A6077">
        <f>HYPERLINK("https://www.philgeps.gov.ph/GEPSNONPILOT/Tender/SplashBidNoticeAbstractUI.aspx?menuIndex=3&amp;refID=7153268&amp;Result=3","7153268")</f>
        <v>0</v>
      </c>
      <c r="B6077" t="s">
        <v>2198</v>
      </c>
      <c r="C6077" t="s">
        <v>9637</v>
      </c>
      <c r="D6077" t="s">
        <v>19017</v>
      </c>
      <c r="E6077" t="s">
        <v>24405</v>
      </c>
      <c r="F6077" t="s">
        <v>32831</v>
      </c>
      <c r="G6077" t="s">
        <v>32838</v>
      </c>
      <c r="H6077" t="s">
        <v>14069</v>
      </c>
      <c r="I6077" t="s">
        <v>14069</v>
      </c>
      <c r="J6077" t="s">
        <v>36842</v>
      </c>
      <c r="K6077" t="s">
        <v>42732</v>
      </c>
      <c r="M6077" t="s">
        <v>45378</v>
      </c>
      <c r="N6077" t="s">
        <v>47424</v>
      </c>
      <c r="O6077" t="s">
        <v>47425</v>
      </c>
      <c r="P6077">
        <v>0</v>
      </c>
      <c r="Q6077">
        <v>5</v>
      </c>
      <c r="R6077" t="s">
        <v>47431</v>
      </c>
      <c r="S6077" t="s">
        <v>47565</v>
      </c>
      <c r="T6077" t="s">
        <v>49061</v>
      </c>
      <c r="U6077" t="s">
        <v>54804</v>
      </c>
      <c r="W6077" t="s">
        <v>64504</v>
      </c>
      <c r="X6077" t="s">
        <v>47433</v>
      </c>
    </row>
    <row r="6078" spans="1:24">
      <c r="A6078">
        <f>HYPERLINK("https://www.philgeps.gov.ph/GEPSNONPILOT/Tender/SplashBidNoticeAbstractUI.aspx?menuIndex=3&amp;refID=7153624&amp;Result=3","7153624")</f>
        <v>0</v>
      </c>
      <c r="B6078" t="s">
        <v>1849</v>
      </c>
      <c r="C6078" t="s">
        <v>9638</v>
      </c>
      <c r="D6078" t="s">
        <v>19054</v>
      </c>
      <c r="E6078" t="s">
        <v>24406</v>
      </c>
      <c r="F6078" t="s">
        <v>32831</v>
      </c>
      <c r="G6078" t="s">
        <v>32838</v>
      </c>
      <c r="H6078" t="s">
        <v>32848</v>
      </c>
      <c r="I6078" t="s">
        <v>32870</v>
      </c>
      <c r="J6078" t="s">
        <v>36843</v>
      </c>
      <c r="K6078" t="s">
        <v>42727</v>
      </c>
      <c r="M6078" t="s">
        <v>44987</v>
      </c>
      <c r="N6078" t="s">
        <v>47424</v>
      </c>
      <c r="O6078" t="s">
        <v>47425</v>
      </c>
      <c r="P6078">
        <v>0</v>
      </c>
      <c r="Q6078">
        <v>0</v>
      </c>
      <c r="R6078" t="s">
        <v>47431</v>
      </c>
      <c r="S6078" t="s">
        <v>47565</v>
      </c>
      <c r="T6078" t="s">
        <v>49166</v>
      </c>
      <c r="U6078" t="s">
        <v>54805</v>
      </c>
      <c r="W6078" t="s">
        <v>44987</v>
      </c>
      <c r="X6078" t="s">
        <v>47433</v>
      </c>
    </row>
    <row r="6079" spans="1:24">
      <c r="A6079">
        <f>HYPERLINK("https://www.philgeps.gov.ph/GEPSNONPILOT/Tender/SplashBidNoticeAbstractUI.aspx?menuIndex=3&amp;refID=7153571&amp;Result=3","7153571")</f>
        <v>0</v>
      </c>
      <c r="B6079" t="s">
        <v>2192</v>
      </c>
      <c r="C6079" t="s">
        <v>9639</v>
      </c>
      <c r="D6079" t="s">
        <v>19037</v>
      </c>
      <c r="E6079" t="s">
        <v>24407</v>
      </c>
      <c r="F6079" t="s">
        <v>32831</v>
      </c>
      <c r="G6079" t="s">
        <v>32839</v>
      </c>
      <c r="H6079" t="s">
        <v>32849</v>
      </c>
      <c r="I6079" t="s">
        <v>4177</v>
      </c>
      <c r="J6079" t="s">
        <v>34921</v>
      </c>
      <c r="K6079" t="s">
        <v>42873</v>
      </c>
      <c r="M6079" t="s">
        <v>45372</v>
      </c>
      <c r="N6079" t="s">
        <v>47424</v>
      </c>
      <c r="O6079" t="s">
        <v>47425</v>
      </c>
      <c r="P6079">
        <v>0</v>
      </c>
      <c r="Q6079">
        <v>0</v>
      </c>
      <c r="R6079" t="s">
        <v>47431</v>
      </c>
      <c r="S6079" t="s">
        <v>47565</v>
      </c>
      <c r="T6079" t="s">
        <v>49291</v>
      </c>
      <c r="U6079" t="s">
        <v>54806</v>
      </c>
      <c r="W6079" t="s">
        <v>45372</v>
      </c>
      <c r="X6079" t="s">
        <v>47433</v>
      </c>
    </row>
    <row r="6080" spans="1:24">
      <c r="A6080">
        <f>HYPERLINK("https://www.philgeps.gov.ph/GEPSNONPILOT/Tender/SplashBidNoticeAbstractUI.aspx?menuIndex=3&amp;refID=7152897&amp;Result=3","7152897")</f>
        <v>0</v>
      </c>
      <c r="B6080" t="s">
        <v>72</v>
      </c>
      <c r="C6080" t="s">
        <v>9640</v>
      </c>
      <c r="D6080" t="s">
        <v>19027</v>
      </c>
      <c r="E6080" t="s">
        <v>24408</v>
      </c>
      <c r="F6080" t="s">
        <v>32831</v>
      </c>
      <c r="G6080" t="s">
        <v>32839</v>
      </c>
      <c r="H6080" t="s">
        <v>32848</v>
      </c>
      <c r="I6080" t="s">
        <v>32920</v>
      </c>
      <c r="J6080" t="s">
        <v>33860</v>
      </c>
      <c r="K6080" t="s">
        <v>42745</v>
      </c>
      <c r="M6080" t="s">
        <v>43069</v>
      </c>
      <c r="N6080" t="s">
        <v>47424</v>
      </c>
      <c r="O6080" t="s">
        <v>47425</v>
      </c>
      <c r="P6080">
        <v>0</v>
      </c>
      <c r="Q6080">
        <v>2</v>
      </c>
      <c r="R6080" t="s">
        <v>47431</v>
      </c>
      <c r="S6080" t="s">
        <v>47565</v>
      </c>
      <c r="T6080" t="s">
        <v>49087</v>
      </c>
      <c r="U6080" t="s">
        <v>49763</v>
      </c>
      <c r="W6080" t="s">
        <v>64429</v>
      </c>
      <c r="X6080" t="s">
        <v>47433</v>
      </c>
    </row>
    <row r="6081" spans="1:24">
      <c r="A6081">
        <f>HYPERLINK("https://www.philgeps.gov.ph/GEPSNONPILOT/Tender/SplashBidNoticeAbstractUI.aspx?menuIndex=3&amp;refID=7153578&amp;Result=3","7153578")</f>
        <v>0</v>
      </c>
      <c r="B6081" t="s">
        <v>1849</v>
      </c>
      <c r="C6081" t="s">
        <v>9641</v>
      </c>
      <c r="D6081" t="s">
        <v>19054</v>
      </c>
      <c r="E6081" t="s">
        <v>24409</v>
      </c>
      <c r="F6081" t="s">
        <v>32831</v>
      </c>
      <c r="G6081" t="s">
        <v>32838</v>
      </c>
      <c r="H6081" t="s">
        <v>32848</v>
      </c>
      <c r="I6081" t="s">
        <v>10805</v>
      </c>
      <c r="J6081" t="s">
        <v>36844</v>
      </c>
      <c r="K6081" t="s">
        <v>42727</v>
      </c>
      <c r="M6081" t="s">
        <v>44987</v>
      </c>
      <c r="N6081" t="s">
        <v>47424</v>
      </c>
      <c r="O6081" t="s">
        <v>47425</v>
      </c>
      <c r="P6081">
        <v>0</v>
      </c>
      <c r="Q6081">
        <v>0</v>
      </c>
      <c r="R6081" t="s">
        <v>47431</v>
      </c>
      <c r="S6081" t="s">
        <v>47565</v>
      </c>
      <c r="T6081" t="s">
        <v>49166</v>
      </c>
      <c r="U6081" t="s">
        <v>54807</v>
      </c>
      <c r="W6081" t="s">
        <v>44987</v>
      </c>
      <c r="X6081" t="s">
        <v>47433</v>
      </c>
    </row>
    <row r="6082" spans="1:24">
      <c r="A6082">
        <f>HYPERLINK("https://www.philgeps.gov.ph/GEPSNONPILOT/Tender/SplashBidNoticeAbstractUI.aspx?menuIndex=3&amp;refID=7153640&amp;Result=3","7153640")</f>
        <v>0</v>
      </c>
      <c r="B6082" t="s">
        <v>1849</v>
      </c>
      <c r="C6082" t="s">
        <v>9642</v>
      </c>
      <c r="D6082" t="s">
        <v>19054</v>
      </c>
      <c r="E6082" t="s">
        <v>24410</v>
      </c>
      <c r="F6082" t="s">
        <v>32831</v>
      </c>
      <c r="G6082" t="s">
        <v>32838</v>
      </c>
      <c r="H6082" t="s">
        <v>32848</v>
      </c>
      <c r="I6082" t="s">
        <v>32870</v>
      </c>
      <c r="J6082" t="s">
        <v>33077</v>
      </c>
      <c r="K6082" t="s">
        <v>42727</v>
      </c>
      <c r="M6082" t="s">
        <v>44987</v>
      </c>
      <c r="N6082" t="s">
        <v>47424</v>
      </c>
      <c r="O6082" t="s">
        <v>47425</v>
      </c>
      <c r="P6082">
        <v>0</v>
      </c>
      <c r="Q6082">
        <v>0</v>
      </c>
      <c r="R6082" t="s">
        <v>47431</v>
      </c>
      <c r="S6082" t="s">
        <v>47565</v>
      </c>
      <c r="T6082" t="s">
        <v>49166</v>
      </c>
      <c r="U6082" t="s">
        <v>54808</v>
      </c>
      <c r="W6082" t="s">
        <v>44987</v>
      </c>
      <c r="X6082" t="s">
        <v>47433</v>
      </c>
    </row>
    <row r="6083" spans="1:24">
      <c r="A6083">
        <f>HYPERLINK("https://www.philgeps.gov.ph/GEPSNONPILOT/Tender/SplashBidNoticeAbstractUI.aspx?menuIndex=3&amp;refID=7153532&amp;Result=3","7153532")</f>
        <v>0</v>
      </c>
      <c r="B6083" t="s">
        <v>72</v>
      </c>
      <c r="C6083" t="s">
        <v>9643</v>
      </c>
      <c r="D6083" t="s">
        <v>19027</v>
      </c>
      <c r="E6083" t="s">
        <v>24411</v>
      </c>
      <c r="F6083" t="s">
        <v>32831</v>
      </c>
      <c r="G6083" t="s">
        <v>32839</v>
      </c>
      <c r="H6083" t="s">
        <v>32848</v>
      </c>
      <c r="I6083" t="s">
        <v>4487</v>
      </c>
      <c r="J6083" t="s">
        <v>36845</v>
      </c>
      <c r="K6083" t="s">
        <v>42745</v>
      </c>
      <c r="M6083" t="s">
        <v>43069</v>
      </c>
      <c r="N6083" t="s">
        <v>47424</v>
      </c>
      <c r="O6083" t="s">
        <v>47425</v>
      </c>
      <c r="P6083">
        <v>0</v>
      </c>
      <c r="Q6083">
        <v>4</v>
      </c>
      <c r="R6083" t="s">
        <v>47431</v>
      </c>
      <c r="S6083" t="s">
        <v>47565</v>
      </c>
      <c r="T6083" t="s">
        <v>49087</v>
      </c>
      <c r="U6083" t="s">
        <v>49763</v>
      </c>
      <c r="W6083" t="s">
        <v>64429</v>
      </c>
      <c r="X6083" t="s">
        <v>47433</v>
      </c>
    </row>
    <row r="6084" spans="1:24">
      <c r="A6084">
        <f>HYPERLINK("https://www.philgeps.gov.ph/GEPSNONPILOT/Tender/SplashBidNoticeAbstractUI.aspx?menuIndex=3&amp;refID=7153528&amp;Result=3","7153528")</f>
        <v>0</v>
      </c>
      <c r="B6084" t="s">
        <v>2192</v>
      </c>
      <c r="C6084" t="s">
        <v>9644</v>
      </c>
      <c r="D6084" t="s">
        <v>19037</v>
      </c>
      <c r="E6084" t="s">
        <v>24412</v>
      </c>
      <c r="F6084" t="s">
        <v>32831</v>
      </c>
      <c r="G6084" t="s">
        <v>32839</v>
      </c>
      <c r="H6084" t="s">
        <v>32849</v>
      </c>
      <c r="I6084" t="s">
        <v>4177</v>
      </c>
      <c r="J6084" t="s">
        <v>33339</v>
      </c>
      <c r="K6084" t="s">
        <v>42761</v>
      </c>
      <c r="M6084" t="s">
        <v>45372</v>
      </c>
      <c r="N6084" t="s">
        <v>47424</v>
      </c>
      <c r="O6084" t="s">
        <v>47425</v>
      </c>
      <c r="P6084">
        <v>0</v>
      </c>
      <c r="Q6084">
        <v>0</v>
      </c>
      <c r="R6084" t="s">
        <v>47431</v>
      </c>
      <c r="S6084" t="s">
        <v>47565</v>
      </c>
      <c r="T6084" t="s">
        <v>49291</v>
      </c>
      <c r="U6084" t="s">
        <v>54809</v>
      </c>
      <c r="W6084" t="s">
        <v>45372</v>
      </c>
      <c r="X6084" t="s">
        <v>47433</v>
      </c>
    </row>
    <row r="6085" spans="1:24">
      <c r="A6085">
        <f>HYPERLINK("https://www.philgeps.gov.ph/GEPSNONPILOT/Tender/SplashBidNoticeAbstractUI.aspx?menuIndex=3&amp;refID=7153520&amp;Result=3","7153520")</f>
        <v>0</v>
      </c>
      <c r="B6085" t="s">
        <v>34</v>
      </c>
      <c r="C6085" t="s">
        <v>9645</v>
      </c>
      <c r="E6085" t="s">
        <v>24413</v>
      </c>
      <c r="F6085" t="s">
        <v>32831</v>
      </c>
      <c r="G6085" t="s">
        <v>32839</v>
      </c>
      <c r="H6085" t="s">
        <v>32849</v>
      </c>
      <c r="I6085" t="s">
        <v>4177</v>
      </c>
      <c r="J6085" t="s">
        <v>36846</v>
      </c>
      <c r="K6085" t="s">
        <v>42788</v>
      </c>
      <c r="M6085" t="s">
        <v>44653</v>
      </c>
      <c r="N6085" t="s">
        <v>47424</v>
      </c>
      <c r="O6085" t="s">
        <v>47425</v>
      </c>
      <c r="P6085">
        <v>0</v>
      </c>
      <c r="Q6085">
        <v>0</v>
      </c>
      <c r="R6085" t="s">
        <v>47431</v>
      </c>
      <c r="S6085" t="s">
        <v>47565</v>
      </c>
      <c r="T6085" t="s">
        <v>49267</v>
      </c>
      <c r="U6085" t="s">
        <v>54810</v>
      </c>
      <c r="W6085" t="s">
        <v>44653</v>
      </c>
      <c r="X6085" t="s">
        <v>47433</v>
      </c>
    </row>
    <row r="6086" spans="1:24">
      <c r="A6086">
        <f>HYPERLINK("https://www.philgeps.gov.ph/GEPSNONPILOT/Tender/SplashBidNoticeAbstractUI.aspx?menuIndex=3&amp;refID=7153493&amp;Result=3","7153493")</f>
        <v>0</v>
      </c>
      <c r="B6086" t="s">
        <v>34</v>
      </c>
      <c r="C6086" t="s">
        <v>9646</v>
      </c>
      <c r="E6086" t="s">
        <v>24414</v>
      </c>
      <c r="F6086" t="s">
        <v>32831</v>
      </c>
      <c r="G6086" t="s">
        <v>32839</v>
      </c>
      <c r="H6086" t="s">
        <v>32849</v>
      </c>
      <c r="I6086" t="s">
        <v>4177</v>
      </c>
      <c r="J6086" t="s">
        <v>36847</v>
      </c>
      <c r="K6086" t="s">
        <v>42764</v>
      </c>
      <c r="M6086" t="s">
        <v>44653</v>
      </c>
      <c r="N6086" t="s">
        <v>47424</v>
      </c>
      <c r="O6086" t="s">
        <v>47425</v>
      </c>
      <c r="P6086">
        <v>0</v>
      </c>
      <c r="Q6086">
        <v>0</v>
      </c>
      <c r="R6086" t="s">
        <v>47431</v>
      </c>
      <c r="S6086" t="s">
        <v>47565</v>
      </c>
      <c r="T6086" t="s">
        <v>49267</v>
      </c>
      <c r="U6086" t="s">
        <v>54811</v>
      </c>
      <c r="W6086" t="s">
        <v>44653</v>
      </c>
      <c r="X6086" t="s">
        <v>47433</v>
      </c>
    </row>
    <row r="6087" spans="1:24">
      <c r="A6087">
        <f>HYPERLINK("https://www.philgeps.gov.ph/GEPSNONPILOT/Tender/SplashBidNoticeAbstractUI.aspx?menuIndex=3&amp;refID=7153482&amp;Result=3","7153482")</f>
        <v>0</v>
      </c>
      <c r="B6087" t="s">
        <v>2167</v>
      </c>
      <c r="C6087" t="s">
        <v>9647</v>
      </c>
      <c r="D6087" t="s">
        <v>19017</v>
      </c>
      <c r="E6087" t="s">
        <v>24415</v>
      </c>
      <c r="F6087" t="s">
        <v>32833</v>
      </c>
      <c r="G6087" t="s">
        <v>32839</v>
      </c>
      <c r="H6087" t="s">
        <v>32848</v>
      </c>
      <c r="I6087" t="s">
        <v>32869</v>
      </c>
      <c r="J6087" t="s">
        <v>33258</v>
      </c>
      <c r="K6087" t="s">
        <v>42726</v>
      </c>
      <c r="M6087" t="s">
        <v>45345</v>
      </c>
      <c r="N6087" t="s">
        <v>47424</v>
      </c>
      <c r="O6087" t="s">
        <v>47425</v>
      </c>
      <c r="P6087">
        <v>0</v>
      </c>
      <c r="Q6087">
        <v>0</v>
      </c>
      <c r="R6087" t="s">
        <v>47431</v>
      </c>
      <c r="S6087" t="s">
        <v>47565</v>
      </c>
      <c r="T6087" t="s">
        <v>49310</v>
      </c>
      <c r="U6087" t="s">
        <v>54694</v>
      </c>
      <c r="V6087" t="s">
        <v>63291</v>
      </c>
      <c r="W6087" t="s">
        <v>45345</v>
      </c>
      <c r="X6087" t="s">
        <v>47433</v>
      </c>
    </row>
    <row r="6088" spans="1:24">
      <c r="A6088">
        <f>HYPERLINK("https://www.philgeps.gov.ph/GEPSNONPILOT/Tender/SplashBidNoticeAbstractUI.aspx?menuIndex=3&amp;refID=7153475&amp;Result=3","7153475")</f>
        <v>0</v>
      </c>
      <c r="B6088" t="s">
        <v>72</v>
      </c>
      <c r="C6088" t="s">
        <v>9648</v>
      </c>
      <c r="D6088" t="s">
        <v>19027</v>
      </c>
      <c r="E6088" t="s">
        <v>24416</v>
      </c>
      <c r="F6088" t="s">
        <v>32831</v>
      </c>
      <c r="G6088" t="s">
        <v>32839</v>
      </c>
      <c r="H6088" t="s">
        <v>32848</v>
      </c>
      <c r="I6088" t="s">
        <v>4776</v>
      </c>
      <c r="J6088" t="s">
        <v>33072</v>
      </c>
      <c r="K6088" t="s">
        <v>42745</v>
      </c>
      <c r="M6088" t="s">
        <v>43069</v>
      </c>
      <c r="N6088" t="s">
        <v>47424</v>
      </c>
      <c r="O6088" t="s">
        <v>47425</v>
      </c>
      <c r="P6088">
        <v>0</v>
      </c>
      <c r="Q6088">
        <v>6</v>
      </c>
      <c r="R6088" t="s">
        <v>47431</v>
      </c>
      <c r="S6088" t="s">
        <v>47565</v>
      </c>
      <c r="T6088" t="s">
        <v>49087</v>
      </c>
      <c r="U6088" t="s">
        <v>49763</v>
      </c>
      <c r="W6088" t="s">
        <v>64429</v>
      </c>
      <c r="X6088" t="s">
        <v>47433</v>
      </c>
    </row>
    <row r="6089" spans="1:24">
      <c r="A6089">
        <f>HYPERLINK("https://www.philgeps.gov.ph/GEPSNONPILOT/Tender/SplashBidNoticeAbstractUI.aspx?menuIndex=3&amp;refID=7153526&amp;Result=3","7153526")</f>
        <v>0</v>
      </c>
      <c r="B6089" t="s">
        <v>1849</v>
      </c>
      <c r="C6089" t="s">
        <v>9649</v>
      </c>
      <c r="D6089" t="s">
        <v>19054</v>
      </c>
      <c r="E6089" t="s">
        <v>24417</v>
      </c>
      <c r="F6089" t="s">
        <v>32831</v>
      </c>
      <c r="G6089" t="s">
        <v>32838</v>
      </c>
      <c r="H6089" t="s">
        <v>32848</v>
      </c>
      <c r="I6089" t="s">
        <v>7416</v>
      </c>
      <c r="J6089" t="s">
        <v>34824</v>
      </c>
      <c r="K6089" t="s">
        <v>42727</v>
      </c>
      <c r="M6089" t="s">
        <v>44987</v>
      </c>
      <c r="N6089" t="s">
        <v>47424</v>
      </c>
      <c r="O6089" t="s">
        <v>47425</v>
      </c>
      <c r="P6089">
        <v>0</v>
      </c>
      <c r="Q6089">
        <v>0</v>
      </c>
      <c r="R6089" t="s">
        <v>47431</v>
      </c>
      <c r="S6089" t="s">
        <v>47565</v>
      </c>
      <c r="T6089" t="s">
        <v>49166</v>
      </c>
      <c r="U6089" t="s">
        <v>54812</v>
      </c>
      <c r="W6089" t="s">
        <v>44987</v>
      </c>
      <c r="X6089" t="s">
        <v>47433</v>
      </c>
    </row>
    <row r="6090" spans="1:24">
      <c r="A6090">
        <f>HYPERLINK("https://www.philgeps.gov.ph/GEPSNONPILOT/Tender/SplashBidNoticeAbstractUI.aspx?menuIndex=3&amp;refID=7153562&amp;Result=3","7153562")</f>
        <v>0</v>
      </c>
      <c r="B6090" t="s">
        <v>2167</v>
      </c>
      <c r="C6090" t="s">
        <v>9650</v>
      </c>
      <c r="D6090" t="s">
        <v>19017</v>
      </c>
      <c r="E6090" t="s">
        <v>24418</v>
      </c>
      <c r="F6090" t="s">
        <v>32833</v>
      </c>
      <c r="G6090" t="s">
        <v>32839</v>
      </c>
      <c r="H6090" t="s">
        <v>32848</v>
      </c>
      <c r="I6090" t="s">
        <v>4776</v>
      </c>
      <c r="J6090" t="s">
        <v>32980</v>
      </c>
      <c r="K6090" t="s">
        <v>42726</v>
      </c>
      <c r="M6090" t="s">
        <v>45345</v>
      </c>
      <c r="N6090" t="s">
        <v>47424</v>
      </c>
      <c r="O6090" t="s">
        <v>47425</v>
      </c>
      <c r="P6090">
        <v>0</v>
      </c>
      <c r="Q6090">
        <v>2</v>
      </c>
      <c r="R6090" t="s">
        <v>47431</v>
      </c>
      <c r="S6090" t="s">
        <v>47565</v>
      </c>
      <c r="T6090" t="s">
        <v>49310</v>
      </c>
      <c r="U6090" t="s">
        <v>54694</v>
      </c>
      <c r="V6090" t="s">
        <v>63291</v>
      </c>
      <c r="W6090" t="s">
        <v>45345</v>
      </c>
      <c r="X6090" t="s">
        <v>47433</v>
      </c>
    </row>
    <row r="6091" spans="1:24">
      <c r="A6091">
        <f>HYPERLINK("https://www.philgeps.gov.ph/GEPSNONPILOT/Tender/SplashBidNoticeAbstractUI.aspx?menuIndex=3&amp;refID=7154097&amp;Result=3","7154097")</f>
        <v>0</v>
      </c>
      <c r="B6091" t="s">
        <v>1185</v>
      </c>
      <c r="C6091" t="s">
        <v>9651</v>
      </c>
      <c r="D6091" t="s">
        <v>19080</v>
      </c>
      <c r="E6091" t="s">
        <v>24419</v>
      </c>
      <c r="F6091" t="s">
        <v>32831</v>
      </c>
      <c r="G6091" t="s">
        <v>32839</v>
      </c>
      <c r="H6091" t="s">
        <v>32849</v>
      </c>
      <c r="I6091" t="s">
        <v>7416</v>
      </c>
      <c r="J6091" t="s">
        <v>33078</v>
      </c>
      <c r="K6091" t="s">
        <v>42729</v>
      </c>
      <c r="M6091" t="s">
        <v>44251</v>
      </c>
      <c r="N6091" t="s">
        <v>47424</v>
      </c>
      <c r="O6091" t="s">
        <v>47425</v>
      </c>
      <c r="P6091">
        <v>0</v>
      </c>
      <c r="Q6091">
        <v>0</v>
      </c>
      <c r="R6091" t="s">
        <v>47431</v>
      </c>
      <c r="S6091" t="s">
        <v>47565</v>
      </c>
      <c r="T6091" t="s">
        <v>49086</v>
      </c>
      <c r="U6091" t="s">
        <v>54813</v>
      </c>
      <c r="V6091" t="s">
        <v>62917</v>
      </c>
      <c r="W6091" t="s">
        <v>44251</v>
      </c>
      <c r="X6091" t="s">
        <v>47433</v>
      </c>
    </row>
    <row r="6092" spans="1:24">
      <c r="A6092">
        <f>HYPERLINK("https://www.philgeps.gov.ph/GEPSNONPILOT/Tender/SplashBidNoticeAbstractUI.aspx?menuIndex=3&amp;refID=7154075&amp;Result=3","7154075")</f>
        <v>0</v>
      </c>
      <c r="B6092" t="s">
        <v>2199</v>
      </c>
      <c r="C6092" t="s">
        <v>9652</v>
      </c>
      <c r="D6092" t="s">
        <v>19077</v>
      </c>
      <c r="E6092" t="s">
        <v>19203</v>
      </c>
      <c r="F6092" t="s">
        <v>32834</v>
      </c>
      <c r="G6092" t="s">
        <v>32839</v>
      </c>
      <c r="H6092" t="s">
        <v>32848</v>
      </c>
      <c r="I6092" t="s">
        <v>4471</v>
      </c>
      <c r="J6092" t="s">
        <v>32983</v>
      </c>
      <c r="K6092" t="s">
        <v>42748</v>
      </c>
      <c r="M6092" t="s">
        <v>45379</v>
      </c>
      <c r="N6092" t="s">
        <v>47424</v>
      </c>
      <c r="O6092" t="s">
        <v>47425</v>
      </c>
      <c r="P6092">
        <v>0</v>
      </c>
      <c r="Q6092">
        <v>1</v>
      </c>
      <c r="R6092" t="s">
        <v>47431</v>
      </c>
      <c r="S6092" t="s">
        <v>47565</v>
      </c>
      <c r="T6092" t="s">
        <v>49449</v>
      </c>
      <c r="U6092" t="s">
        <v>54814</v>
      </c>
      <c r="W6092" t="s">
        <v>45379</v>
      </c>
      <c r="X6092" t="s">
        <v>47433</v>
      </c>
    </row>
    <row r="6093" spans="1:24">
      <c r="A6093">
        <f>HYPERLINK("https://www.philgeps.gov.ph/GEPSNONPILOT/Tender/SplashBidNoticeAbstractUI.aspx?menuIndex=3&amp;refID=7153982&amp;Result=3","7153982")</f>
        <v>0</v>
      </c>
      <c r="B6093" t="s">
        <v>362</v>
      </c>
      <c r="C6093" t="s">
        <v>9653</v>
      </c>
      <c r="D6093" t="s">
        <v>19023</v>
      </c>
      <c r="E6093" t="s">
        <v>24420</v>
      </c>
      <c r="F6093" t="s">
        <v>32831</v>
      </c>
      <c r="G6093" t="s">
        <v>32839</v>
      </c>
      <c r="H6093" t="s">
        <v>32849</v>
      </c>
      <c r="I6093" t="s">
        <v>4177</v>
      </c>
      <c r="J6093" t="s">
        <v>36848</v>
      </c>
      <c r="K6093" t="s">
        <v>42784</v>
      </c>
      <c r="M6093" t="s">
        <v>43366</v>
      </c>
      <c r="N6093" t="s">
        <v>47424</v>
      </c>
      <c r="O6093" t="s">
        <v>47425</v>
      </c>
      <c r="P6093">
        <v>0</v>
      </c>
      <c r="Q6093">
        <v>0</v>
      </c>
      <c r="R6093" t="s">
        <v>47431</v>
      </c>
      <c r="S6093" t="s">
        <v>47565</v>
      </c>
      <c r="T6093" t="s">
        <v>49175</v>
      </c>
      <c r="U6093" t="s">
        <v>54815</v>
      </c>
      <c r="W6093" t="s">
        <v>43366</v>
      </c>
      <c r="X6093" t="s">
        <v>47433</v>
      </c>
    </row>
    <row r="6094" spans="1:24">
      <c r="A6094">
        <f>HYPERLINK("https://www.philgeps.gov.ph/GEPSNONPILOT/Tender/SplashBidNoticeAbstractUI.aspx?menuIndex=3&amp;refID=7153557&amp;Result=3","7153557")</f>
        <v>0</v>
      </c>
      <c r="B6094" t="s">
        <v>34</v>
      </c>
      <c r="C6094" t="s">
        <v>9654</v>
      </c>
      <c r="E6094" t="s">
        <v>24421</v>
      </c>
      <c r="F6094" t="s">
        <v>32831</v>
      </c>
      <c r="G6094" t="s">
        <v>32839</v>
      </c>
      <c r="H6094" t="s">
        <v>32849</v>
      </c>
      <c r="I6094" t="s">
        <v>4177</v>
      </c>
      <c r="J6094" t="s">
        <v>36849</v>
      </c>
      <c r="K6094" t="s">
        <v>42836</v>
      </c>
      <c r="M6094" t="s">
        <v>44653</v>
      </c>
      <c r="N6094" t="s">
        <v>47424</v>
      </c>
      <c r="O6094" t="s">
        <v>47425</v>
      </c>
      <c r="P6094">
        <v>0</v>
      </c>
      <c r="Q6094">
        <v>0</v>
      </c>
      <c r="R6094" t="s">
        <v>47431</v>
      </c>
      <c r="S6094" t="s">
        <v>47565</v>
      </c>
      <c r="T6094" t="s">
        <v>49267</v>
      </c>
      <c r="U6094" t="s">
        <v>54816</v>
      </c>
      <c r="W6094" t="s">
        <v>44653</v>
      </c>
      <c r="X6094" t="s">
        <v>47433</v>
      </c>
    </row>
    <row r="6095" spans="1:24">
      <c r="A6095">
        <f>HYPERLINK("https://www.philgeps.gov.ph/GEPSNONPILOT/Tender/SplashBidNoticeAbstractUI.aspx?menuIndex=3&amp;refID=7154033&amp;Result=3","7154033")</f>
        <v>0</v>
      </c>
      <c r="B6095" t="s">
        <v>1765</v>
      </c>
      <c r="C6095" t="s">
        <v>9655</v>
      </c>
      <c r="E6095" t="s">
        <v>24422</v>
      </c>
      <c r="F6095" t="s">
        <v>32831</v>
      </c>
      <c r="G6095" t="s">
        <v>32840</v>
      </c>
      <c r="H6095" t="s">
        <v>32848</v>
      </c>
      <c r="I6095" t="s">
        <v>9577</v>
      </c>
      <c r="J6095" t="s">
        <v>36850</v>
      </c>
      <c r="K6095" t="s">
        <v>42732</v>
      </c>
      <c r="M6095" t="s">
        <v>44890</v>
      </c>
      <c r="N6095" t="s">
        <v>47424</v>
      </c>
      <c r="O6095" t="s">
        <v>47425</v>
      </c>
      <c r="P6095">
        <v>0</v>
      </c>
      <c r="Q6095">
        <v>0</v>
      </c>
      <c r="R6095" t="s">
        <v>47431</v>
      </c>
      <c r="S6095" t="s">
        <v>47565</v>
      </c>
      <c r="T6095" t="s">
        <v>49177</v>
      </c>
      <c r="U6095" t="s">
        <v>54817</v>
      </c>
      <c r="V6095" t="s">
        <v>63300</v>
      </c>
      <c r="W6095" t="s">
        <v>44890</v>
      </c>
      <c r="X6095" t="s">
        <v>47433</v>
      </c>
    </row>
    <row r="6096" spans="1:24">
      <c r="A6096">
        <f>HYPERLINK("https://www.philgeps.gov.ph/GEPSNONPILOT/Tender/SplashBidNoticeAbstractUI.aspx?menuIndex=3&amp;refID=7153902&amp;Result=3","7153902")</f>
        <v>0</v>
      </c>
      <c r="B6096" t="s">
        <v>2200</v>
      </c>
      <c r="C6096" t="s">
        <v>9656</v>
      </c>
      <c r="D6096" t="s">
        <v>19033</v>
      </c>
      <c r="E6096" t="s">
        <v>24423</v>
      </c>
      <c r="F6096" t="s">
        <v>32831</v>
      </c>
      <c r="G6096" t="s">
        <v>32838</v>
      </c>
      <c r="H6096" t="s">
        <v>32848</v>
      </c>
      <c r="I6096" t="s">
        <v>32953</v>
      </c>
      <c r="J6096" t="s">
        <v>36851</v>
      </c>
      <c r="K6096" t="s">
        <v>42730</v>
      </c>
      <c r="M6096" t="s">
        <v>45380</v>
      </c>
      <c r="N6096" t="s">
        <v>47424</v>
      </c>
      <c r="O6096" t="s">
        <v>47425</v>
      </c>
      <c r="P6096">
        <v>0</v>
      </c>
      <c r="Q6096">
        <v>8</v>
      </c>
      <c r="R6096" t="s">
        <v>47431</v>
      </c>
      <c r="S6096" t="s">
        <v>47565</v>
      </c>
      <c r="T6096" t="s">
        <v>49111</v>
      </c>
      <c r="U6096" t="s">
        <v>54818</v>
      </c>
      <c r="W6096" t="s">
        <v>45380</v>
      </c>
      <c r="X6096" t="s">
        <v>47433</v>
      </c>
    </row>
    <row r="6097" spans="1:24">
      <c r="A6097">
        <f>HYPERLINK("https://www.philgeps.gov.ph/GEPSNONPILOT/Tender/SplashBidNoticeAbstractUI.aspx?menuIndex=3&amp;refID=7153895&amp;Result=3","7153895")</f>
        <v>0</v>
      </c>
      <c r="B6097" t="s">
        <v>1765</v>
      </c>
      <c r="C6097" t="s">
        <v>9657</v>
      </c>
      <c r="E6097" t="s">
        <v>24424</v>
      </c>
      <c r="F6097" t="s">
        <v>32831</v>
      </c>
      <c r="G6097" t="s">
        <v>32840</v>
      </c>
      <c r="H6097" t="s">
        <v>32848</v>
      </c>
      <c r="I6097" t="s">
        <v>9577</v>
      </c>
      <c r="J6097" t="s">
        <v>36852</v>
      </c>
      <c r="K6097" t="s">
        <v>42732</v>
      </c>
      <c r="M6097" t="s">
        <v>44890</v>
      </c>
      <c r="N6097" t="s">
        <v>47424</v>
      </c>
      <c r="O6097" t="s">
        <v>47425</v>
      </c>
      <c r="P6097">
        <v>0</v>
      </c>
      <c r="Q6097">
        <v>0</v>
      </c>
      <c r="R6097" t="s">
        <v>47431</v>
      </c>
      <c r="S6097" t="s">
        <v>47565</v>
      </c>
      <c r="T6097" t="s">
        <v>49177</v>
      </c>
      <c r="U6097" t="s">
        <v>54819</v>
      </c>
      <c r="V6097" t="s">
        <v>63300</v>
      </c>
      <c r="W6097" t="s">
        <v>44890</v>
      </c>
      <c r="X6097" t="s">
        <v>47433</v>
      </c>
    </row>
    <row r="6098" spans="1:24">
      <c r="A6098">
        <f>HYPERLINK("https://www.philgeps.gov.ph/GEPSNONPILOT/Tender/SplashBidNoticeAbstractUI.aspx?menuIndex=3&amp;refID=7153887&amp;Result=3","7153887")</f>
        <v>0</v>
      </c>
      <c r="B6098" t="s">
        <v>2201</v>
      </c>
      <c r="C6098" t="s">
        <v>9658</v>
      </c>
      <c r="D6098" t="s">
        <v>19017</v>
      </c>
      <c r="E6098" t="s">
        <v>20779</v>
      </c>
      <c r="F6098" t="s">
        <v>32831</v>
      </c>
      <c r="G6098" t="s">
        <v>32838</v>
      </c>
      <c r="H6098" t="s">
        <v>32848</v>
      </c>
      <c r="I6098" t="s">
        <v>32864</v>
      </c>
      <c r="J6098" t="s">
        <v>36853</v>
      </c>
      <c r="K6098" t="s">
        <v>42727</v>
      </c>
      <c r="M6098" t="s">
        <v>45381</v>
      </c>
      <c r="N6098" t="s">
        <v>47424</v>
      </c>
      <c r="O6098" t="s">
        <v>47425</v>
      </c>
      <c r="P6098">
        <v>0</v>
      </c>
      <c r="Q6098">
        <v>7</v>
      </c>
      <c r="R6098" t="s">
        <v>47431</v>
      </c>
      <c r="S6098" t="s">
        <v>47565</v>
      </c>
      <c r="T6098" t="s">
        <v>49114</v>
      </c>
      <c r="U6098" t="s">
        <v>54820</v>
      </c>
      <c r="V6098" t="s">
        <v>63301</v>
      </c>
      <c r="W6098" t="s">
        <v>45381</v>
      </c>
      <c r="X6098" t="s">
        <v>47433</v>
      </c>
    </row>
    <row r="6099" spans="1:24">
      <c r="A6099">
        <f>HYPERLINK("https://www.philgeps.gov.ph/GEPSNONPILOT/Tender/SplashBidNoticeAbstractUI.aspx?menuIndex=3&amp;refID=7153886&amp;Result=3","7153886")</f>
        <v>0</v>
      </c>
      <c r="B6099" t="s">
        <v>2202</v>
      </c>
      <c r="C6099" t="s">
        <v>5554</v>
      </c>
      <c r="D6099" t="s">
        <v>19022</v>
      </c>
      <c r="E6099" t="s">
        <v>20717</v>
      </c>
      <c r="F6099" t="s">
        <v>32831</v>
      </c>
      <c r="G6099" t="s">
        <v>32838</v>
      </c>
      <c r="H6099" t="s">
        <v>32848</v>
      </c>
      <c r="I6099" t="s">
        <v>4446</v>
      </c>
      <c r="J6099" t="s">
        <v>36854</v>
      </c>
      <c r="K6099" t="s">
        <v>42732</v>
      </c>
      <c r="M6099" t="s">
        <v>45382</v>
      </c>
      <c r="N6099" t="s">
        <v>47424</v>
      </c>
      <c r="O6099" t="s">
        <v>47425</v>
      </c>
      <c r="P6099">
        <v>0</v>
      </c>
      <c r="Q6099">
        <v>5</v>
      </c>
      <c r="R6099" t="s">
        <v>47431</v>
      </c>
      <c r="S6099" t="s">
        <v>47565</v>
      </c>
      <c r="T6099" t="s">
        <v>49079</v>
      </c>
      <c r="U6099" t="s">
        <v>54821</v>
      </c>
      <c r="W6099" t="s">
        <v>45382</v>
      </c>
      <c r="X6099" t="s">
        <v>47433</v>
      </c>
    </row>
    <row r="6100" spans="1:24">
      <c r="A6100">
        <f>HYPERLINK("https://www.philgeps.gov.ph/GEPSNONPILOT/Tender/SplashBidNoticeAbstractUI.aspx?menuIndex=3&amp;refID=7153855&amp;Result=3","7153855")</f>
        <v>0</v>
      </c>
      <c r="B6100" t="s">
        <v>2192</v>
      </c>
      <c r="C6100" t="s">
        <v>9659</v>
      </c>
      <c r="D6100" t="s">
        <v>19037</v>
      </c>
      <c r="E6100" t="s">
        <v>24425</v>
      </c>
      <c r="F6100" t="s">
        <v>32831</v>
      </c>
      <c r="G6100" t="s">
        <v>32839</v>
      </c>
      <c r="H6100" t="s">
        <v>32849</v>
      </c>
      <c r="I6100" t="s">
        <v>4177</v>
      </c>
      <c r="J6100" t="s">
        <v>36855</v>
      </c>
      <c r="K6100" t="s">
        <v>42889</v>
      </c>
      <c r="M6100" t="s">
        <v>45372</v>
      </c>
      <c r="N6100" t="s">
        <v>47424</v>
      </c>
      <c r="O6100" t="s">
        <v>47425</v>
      </c>
      <c r="P6100">
        <v>0</v>
      </c>
      <c r="Q6100">
        <v>0</v>
      </c>
      <c r="R6100" t="s">
        <v>47431</v>
      </c>
      <c r="S6100" t="s">
        <v>47565</v>
      </c>
      <c r="T6100" t="s">
        <v>49291</v>
      </c>
      <c r="U6100" t="s">
        <v>54822</v>
      </c>
      <c r="W6100" t="s">
        <v>45372</v>
      </c>
      <c r="X6100" t="s">
        <v>47433</v>
      </c>
    </row>
    <row r="6101" spans="1:24">
      <c r="A6101">
        <f>HYPERLINK("https://www.philgeps.gov.ph/GEPSNONPILOT/Tender/SplashBidNoticeAbstractUI.aspx?menuIndex=3&amp;refID=7153852&amp;Result=3","7153852")</f>
        <v>0</v>
      </c>
      <c r="B6101" t="s">
        <v>1849</v>
      </c>
      <c r="C6101" t="s">
        <v>9660</v>
      </c>
      <c r="D6101" t="s">
        <v>19054</v>
      </c>
      <c r="E6101" t="s">
        <v>24426</v>
      </c>
      <c r="F6101" t="s">
        <v>32831</v>
      </c>
      <c r="G6101" t="s">
        <v>32838</v>
      </c>
      <c r="H6101" t="s">
        <v>32848</v>
      </c>
      <c r="I6101" t="s">
        <v>8781</v>
      </c>
      <c r="J6101" t="s">
        <v>36856</v>
      </c>
      <c r="K6101" t="s">
        <v>42727</v>
      </c>
      <c r="M6101" t="s">
        <v>44987</v>
      </c>
      <c r="N6101" t="s">
        <v>47424</v>
      </c>
      <c r="O6101" t="s">
        <v>47425</v>
      </c>
      <c r="P6101">
        <v>0</v>
      </c>
      <c r="Q6101">
        <v>1</v>
      </c>
      <c r="R6101" t="s">
        <v>47431</v>
      </c>
      <c r="S6101" t="s">
        <v>47565</v>
      </c>
      <c r="T6101" t="s">
        <v>49166</v>
      </c>
      <c r="U6101" t="s">
        <v>54823</v>
      </c>
      <c r="W6101" t="s">
        <v>44987</v>
      </c>
      <c r="X6101" t="s">
        <v>47433</v>
      </c>
    </row>
    <row r="6102" spans="1:24">
      <c r="A6102">
        <f>HYPERLINK("https://www.philgeps.gov.ph/GEPSNONPILOT/Tender/SplashBidNoticeAbstractUI.aspx?menuIndex=3&amp;refID=7153848&amp;Result=3","7153848")</f>
        <v>0</v>
      </c>
      <c r="B6102" t="s">
        <v>2203</v>
      </c>
      <c r="C6102" t="s">
        <v>9661</v>
      </c>
      <c r="D6102" t="s">
        <v>19045</v>
      </c>
      <c r="E6102" t="s">
        <v>24427</v>
      </c>
      <c r="F6102" t="s">
        <v>32831</v>
      </c>
      <c r="G6102" t="s">
        <v>32839</v>
      </c>
      <c r="H6102" t="s">
        <v>32849</v>
      </c>
      <c r="I6102" t="s">
        <v>4177</v>
      </c>
      <c r="J6102" t="s">
        <v>33087</v>
      </c>
      <c r="K6102" t="s">
        <v>42730</v>
      </c>
      <c r="M6102" t="s">
        <v>45383</v>
      </c>
      <c r="N6102" t="s">
        <v>47424</v>
      </c>
      <c r="O6102" t="s">
        <v>47425</v>
      </c>
      <c r="P6102">
        <v>0</v>
      </c>
      <c r="Q6102">
        <v>0</v>
      </c>
      <c r="R6102" t="s">
        <v>47431</v>
      </c>
      <c r="S6102" t="s">
        <v>47565</v>
      </c>
      <c r="T6102" t="s">
        <v>49450</v>
      </c>
      <c r="U6102" t="s">
        <v>54824</v>
      </c>
      <c r="W6102" t="s">
        <v>45383</v>
      </c>
      <c r="X6102" t="s">
        <v>47433</v>
      </c>
    </row>
    <row r="6103" spans="1:24">
      <c r="A6103">
        <f>HYPERLINK("https://www.philgeps.gov.ph/GEPSNONPILOT/Tender/SplashBidNoticeAbstractUI.aspx?menuIndex=3&amp;refID=7153768&amp;Result=3","7153768")</f>
        <v>0</v>
      </c>
      <c r="B6103" t="s">
        <v>1849</v>
      </c>
      <c r="C6103" t="s">
        <v>9662</v>
      </c>
      <c r="D6103" t="s">
        <v>19054</v>
      </c>
      <c r="E6103" t="s">
        <v>24428</v>
      </c>
      <c r="F6103" t="s">
        <v>32831</v>
      </c>
      <c r="G6103" t="s">
        <v>32838</v>
      </c>
      <c r="H6103" t="s">
        <v>32848</v>
      </c>
      <c r="I6103" t="s">
        <v>10805</v>
      </c>
      <c r="J6103" t="s">
        <v>33402</v>
      </c>
      <c r="K6103" t="s">
        <v>42727</v>
      </c>
      <c r="M6103" t="s">
        <v>44987</v>
      </c>
      <c r="N6103" t="s">
        <v>47424</v>
      </c>
      <c r="O6103" t="s">
        <v>47425</v>
      </c>
      <c r="P6103">
        <v>0</v>
      </c>
      <c r="Q6103">
        <v>0</v>
      </c>
      <c r="R6103" t="s">
        <v>47431</v>
      </c>
      <c r="S6103" t="s">
        <v>47565</v>
      </c>
      <c r="T6103" t="s">
        <v>49166</v>
      </c>
      <c r="U6103" t="s">
        <v>54825</v>
      </c>
      <c r="W6103" t="s">
        <v>44987</v>
      </c>
      <c r="X6103" t="s">
        <v>47433</v>
      </c>
    </row>
    <row r="6104" spans="1:24">
      <c r="A6104">
        <f>HYPERLINK("https://www.philgeps.gov.ph/GEPSNONPILOT/Tender/SplashBidNoticeAbstractUI.aspx?menuIndex=3&amp;refID=7153943&amp;Result=3","7153943")</f>
        <v>0</v>
      </c>
      <c r="B6104" t="s">
        <v>1849</v>
      </c>
      <c r="C6104" t="s">
        <v>9663</v>
      </c>
      <c r="D6104" t="s">
        <v>19054</v>
      </c>
      <c r="E6104" t="s">
        <v>24429</v>
      </c>
      <c r="F6104" t="s">
        <v>32831</v>
      </c>
      <c r="G6104" t="s">
        <v>32838</v>
      </c>
      <c r="H6104" t="s">
        <v>32848</v>
      </c>
      <c r="I6104" t="s">
        <v>32890</v>
      </c>
      <c r="J6104" t="s">
        <v>35203</v>
      </c>
      <c r="K6104" t="s">
        <v>42727</v>
      </c>
      <c r="M6104" t="s">
        <v>44987</v>
      </c>
      <c r="N6104" t="s">
        <v>47424</v>
      </c>
      <c r="O6104" t="s">
        <v>47425</v>
      </c>
      <c r="P6104">
        <v>0</v>
      </c>
      <c r="Q6104">
        <v>0</v>
      </c>
      <c r="R6104" t="s">
        <v>47431</v>
      </c>
      <c r="S6104" t="s">
        <v>47565</v>
      </c>
      <c r="T6104" t="s">
        <v>49166</v>
      </c>
      <c r="U6104" t="s">
        <v>54826</v>
      </c>
      <c r="W6104" t="s">
        <v>44987</v>
      </c>
      <c r="X6104" t="s">
        <v>47433</v>
      </c>
    </row>
    <row r="6105" spans="1:24">
      <c r="A6105">
        <f>HYPERLINK("https://www.philgeps.gov.ph/GEPSNONPILOT/Tender/SplashBidNoticeAbstractUI.aspx?menuIndex=3&amp;refID=7153752&amp;Result=3","7153752")</f>
        <v>0</v>
      </c>
      <c r="B6105" t="s">
        <v>2204</v>
      </c>
      <c r="C6105" t="s">
        <v>9664</v>
      </c>
      <c r="D6105" t="s">
        <v>19021</v>
      </c>
      <c r="E6105" t="s">
        <v>24430</v>
      </c>
      <c r="F6105" t="s">
        <v>32831</v>
      </c>
      <c r="G6105" t="s">
        <v>32841</v>
      </c>
      <c r="H6105" t="s">
        <v>32848</v>
      </c>
      <c r="I6105" t="s">
        <v>32862</v>
      </c>
      <c r="J6105" t="s">
        <v>36857</v>
      </c>
      <c r="K6105" t="s">
        <v>42730</v>
      </c>
      <c r="M6105" t="s">
        <v>45384</v>
      </c>
      <c r="N6105" t="s">
        <v>47424</v>
      </c>
      <c r="O6105" t="s">
        <v>47425</v>
      </c>
      <c r="P6105">
        <v>0</v>
      </c>
      <c r="Q6105">
        <v>0</v>
      </c>
      <c r="R6105" t="s">
        <v>47431</v>
      </c>
      <c r="S6105" t="s">
        <v>47565</v>
      </c>
      <c r="T6105" t="s">
        <v>49295</v>
      </c>
      <c r="U6105" t="s">
        <v>54827</v>
      </c>
      <c r="W6105" t="s">
        <v>45384</v>
      </c>
      <c r="X6105" t="s">
        <v>47433</v>
      </c>
    </row>
    <row r="6106" spans="1:24">
      <c r="A6106">
        <f>HYPERLINK("https://www.philgeps.gov.ph/GEPSNONPILOT/Tender/SplashBidNoticeAbstractUI.aspx?menuIndex=3&amp;refID=7154398&amp;Result=3","7154398")</f>
        <v>0</v>
      </c>
      <c r="B6106" t="s">
        <v>952</v>
      </c>
      <c r="C6106" t="s">
        <v>9665</v>
      </c>
      <c r="D6106" t="s">
        <v>19022</v>
      </c>
      <c r="E6106" t="s">
        <v>24431</v>
      </c>
      <c r="F6106" t="s">
        <v>32831</v>
      </c>
      <c r="G6106" t="s">
        <v>32839</v>
      </c>
      <c r="H6106" t="s">
        <v>32848</v>
      </c>
      <c r="I6106" t="s">
        <v>32860</v>
      </c>
      <c r="J6106" t="s">
        <v>36858</v>
      </c>
      <c r="K6106" t="s">
        <v>42779</v>
      </c>
      <c r="M6106" t="s">
        <v>43998</v>
      </c>
      <c r="N6106" t="s">
        <v>47424</v>
      </c>
      <c r="O6106" t="s">
        <v>47425</v>
      </c>
      <c r="P6106">
        <v>0</v>
      </c>
      <c r="Q6106">
        <v>6</v>
      </c>
      <c r="R6106" t="s">
        <v>47431</v>
      </c>
      <c r="S6106" t="s">
        <v>47565</v>
      </c>
      <c r="T6106" t="s">
        <v>49160</v>
      </c>
      <c r="U6106" t="s">
        <v>54828</v>
      </c>
      <c r="W6106" t="s">
        <v>43998</v>
      </c>
      <c r="X6106" t="s">
        <v>47433</v>
      </c>
    </row>
    <row r="6107" spans="1:24">
      <c r="A6107">
        <f>HYPERLINK("https://www.philgeps.gov.ph/GEPSNONPILOT/Tender/SplashBidNoticeAbstractUI.aspx?menuIndex=3&amp;refID=7154600&amp;Result=3","7154600")</f>
        <v>0</v>
      </c>
      <c r="B6107" t="s">
        <v>2205</v>
      </c>
      <c r="C6107" t="s">
        <v>9666</v>
      </c>
      <c r="D6107" t="s">
        <v>19080</v>
      </c>
      <c r="E6107" t="s">
        <v>24432</v>
      </c>
      <c r="F6107" t="s">
        <v>32831</v>
      </c>
      <c r="G6107" t="s">
        <v>32839</v>
      </c>
      <c r="H6107" t="s">
        <v>32848</v>
      </c>
      <c r="I6107" t="s">
        <v>32852</v>
      </c>
      <c r="J6107" t="s">
        <v>36859</v>
      </c>
      <c r="K6107" t="s">
        <v>42732</v>
      </c>
      <c r="M6107" t="s">
        <v>45385</v>
      </c>
      <c r="N6107" t="s">
        <v>47424</v>
      </c>
      <c r="O6107" t="s">
        <v>47425</v>
      </c>
      <c r="P6107">
        <v>0</v>
      </c>
      <c r="Q6107">
        <v>0</v>
      </c>
      <c r="R6107" t="s">
        <v>47431</v>
      </c>
      <c r="S6107" t="s">
        <v>47565</v>
      </c>
      <c r="T6107" t="s">
        <v>49451</v>
      </c>
      <c r="U6107" t="s">
        <v>54829</v>
      </c>
      <c r="W6107" t="s">
        <v>45385</v>
      </c>
      <c r="X6107" t="s">
        <v>47433</v>
      </c>
    </row>
    <row r="6108" spans="1:24">
      <c r="A6108">
        <f>HYPERLINK("https://www.philgeps.gov.ph/GEPSNONPILOT/Tender/SplashBidNoticeAbstractUI.aspx?menuIndex=3&amp;refID=7154532&amp;Result=3","7154532")</f>
        <v>0</v>
      </c>
      <c r="B6108" t="s">
        <v>2206</v>
      </c>
      <c r="C6108" t="s">
        <v>9667</v>
      </c>
      <c r="D6108" t="s">
        <v>19026</v>
      </c>
      <c r="E6108" t="s">
        <v>24433</v>
      </c>
      <c r="F6108" t="s">
        <v>32831</v>
      </c>
      <c r="G6108" t="s">
        <v>32838</v>
      </c>
      <c r="H6108" t="s">
        <v>32848</v>
      </c>
      <c r="I6108" t="s">
        <v>4776</v>
      </c>
      <c r="J6108" t="s">
        <v>34129</v>
      </c>
      <c r="K6108" t="s">
        <v>42730</v>
      </c>
      <c r="M6108" t="s">
        <v>45386</v>
      </c>
      <c r="N6108" t="s">
        <v>47424</v>
      </c>
      <c r="O6108" t="s">
        <v>47425</v>
      </c>
      <c r="P6108">
        <v>0</v>
      </c>
      <c r="Q6108">
        <v>2</v>
      </c>
      <c r="R6108" t="s">
        <v>47431</v>
      </c>
      <c r="S6108" t="s">
        <v>47565</v>
      </c>
      <c r="T6108" t="s">
        <v>49303</v>
      </c>
      <c r="U6108" t="s">
        <v>54830</v>
      </c>
      <c r="W6108" t="s">
        <v>45386</v>
      </c>
      <c r="X6108" t="s">
        <v>47433</v>
      </c>
    </row>
    <row r="6109" spans="1:24">
      <c r="A6109">
        <f>HYPERLINK("https://www.philgeps.gov.ph/GEPSNONPILOT/Tender/SplashBidNoticeAbstractUI.aspx?menuIndex=3&amp;refID=7153754&amp;Result=3","7153754")</f>
        <v>0</v>
      </c>
      <c r="B6109" t="s">
        <v>2194</v>
      </c>
      <c r="C6109" t="s">
        <v>9668</v>
      </c>
      <c r="D6109" t="s">
        <v>19054</v>
      </c>
      <c r="E6109" t="s">
        <v>24434</v>
      </c>
      <c r="F6109" t="s">
        <v>32831</v>
      </c>
      <c r="G6109" t="s">
        <v>32839</v>
      </c>
      <c r="H6109" t="s">
        <v>32848</v>
      </c>
      <c r="I6109" t="s">
        <v>6526</v>
      </c>
      <c r="J6109" t="s">
        <v>36860</v>
      </c>
      <c r="K6109" t="s">
        <v>42726</v>
      </c>
      <c r="M6109" t="s">
        <v>45374</v>
      </c>
      <c r="N6109" t="s">
        <v>47424</v>
      </c>
      <c r="O6109" t="s">
        <v>47425</v>
      </c>
      <c r="P6109">
        <v>0</v>
      </c>
      <c r="Q6109">
        <v>0</v>
      </c>
      <c r="R6109" t="s">
        <v>47431</v>
      </c>
      <c r="S6109" t="s">
        <v>47565</v>
      </c>
      <c r="T6109" t="s">
        <v>49061</v>
      </c>
      <c r="U6109" t="s">
        <v>54831</v>
      </c>
      <c r="W6109" t="s">
        <v>45374</v>
      </c>
      <c r="X6109" t="s">
        <v>47433</v>
      </c>
    </row>
    <row r="6110" spans="1:24">
      <c r="A6110">
        <f>HYPERLINK("https://www.philgeps.gov.ph/GEPSNONPILOT/Tender/SplashBidNoticeAbstractUI.aspx?menuIndex=3&amp;refID=7153480&amp;Result=3","7153480")</f>
        <v>0</v>
      </c>
      <c r="B6110" t="s">
        <v>2194</v>
      </c>
      <c r="C6110" t="s">
        <v>9669</v>
      </c>
      <c r="D6110" t="s">
        <v>19054</v>
      </c>
      <c r="E6110" t="s">
        <v>24435</v>
      </c>
      <c r="F6110" t="s">
        <v>32831</v>
      </c>
      <c r="G6110" t="s">
        <v>32839</v>
      </c>
      <c r="H6110" t="s">
        <v>32850</v>
      </c>
      <c r="I6110" t="s">
        <v>32857</v>
      </c>
      <c r="J6110" t="s">
        <v>36861</v>
      </c>
      <c r="K6110" t="s">
        <v>42726</v>
      </c>
      <c r="M6110" t="s">
        <v>45374</v>
      </c>
      <c r="N6110" t="s">
        <v>47424</v>
      </c>
      <c r="O6110" t="s">
        <v>47425</v>
      </c>
      <c r="P6110">
        <v>0</v>
      </c>
      <c r="Q6110">
        <v>6</v>
      </c>
      <c r="R6110" t="s">
        <v>47431</v>
      </c>
      <c r="S6110" t="s">
        <v>47565</v>
      </c>
      <c r="T6110" t="s">
        <v>49061</v>
      </c>
      <c r="U6110" t="s">
        <v>54832</v>
      </c>
      <c r="W6110" t="s">
        <v>45374</v>
      </c>
      <c r="X6110" t="s">
        <v>47433</v>
      </c>
    </row>
    <row r="6111" spans="1:24">
      <c r="A6111">
        <f>HYPERLINK("https://www.philgeps.gov.ph/GEPSNONPILOT/Tender/SplashBidNoticeAbstractUI.aspx?menuIndex=3&amp;refID=7153915&amp;Result=3","7153915")</f>
        <v>0</v>
      </c>
      <c r="B6111" t="s">
        <v>2192</v>
      </c>
      <c r="C6111" t="s">
        <v>9670</v>
      </c>
      <c r="D6111" t="s">
        <v>19037</v>
      </c>
      <c r="E6111" t="s">
        <v>24436</v>
      </c>
      <c r="F6111" t="s">
        <v>32831</v>
      </c>
      <c r="G6111" t="s">
        <v>32839</v>
      </c>
      <c r="H6111" t="s">
        <v>32849</v>
      </c>
      <c r="I6111" t="s">
        <v>4177</v>
      </c>
      <c r="J6111" t="s">
        <v>33524</v>
      </c>
      <c r="K6111" t="s">
        <v>42770</v>
      </c>
      <c r="M6111" t="s">
        <v>45372</v>
      </c>
      <c r="N6111" t="s">
        <v>47424</v>
      </c>
      <c r="O6111" t="s">
        <v>47425</v>
      </c>
      <c r="P6111">
        <v>0</v>
      </c>
      <c r="Q6111">
        <v>0</v>
      </c>
      <c r="R6111" t="s">
        <v>47431</v>
      </c>
      <c r="S6111" t="s">
        <v>47565</v>
      </c>
      <c r="T6111" t="s">
        <v>49291</v>
      </c>
      <c r="U6111" t="s">
        <v>54833</v>
      </c>
      <c r="W6111" t="s">
        <v>45372</v>
      </c>
      <c r="X6111" t="s">
        <v>47433</v>
      </c>
    </row>
    <row r="6112" spans="1:24">
      <c r="A6112">
        <f>HYPERLINK("https://www.philgeps.gov.ph/GEPSNONPILOT/Tender/SplashBidNoticeAbstractUI.aspx?menuIndex=3&amp;refID=7154392&amp;Result=3","7154392")</f>
        <v>0</v>
      </c>
      <c r="B6112" t="s">
        <v>2205</v>
      </c>
      <c r="C6112" t="s">
        <v>9671</v>
      </c>
      <c r="D6112" t="s">
        <v>19080</v>
      </c>
      <c r="E6112" t="s">
        <v>24437</v>
      </c>
      <c r="F6112" t="s">
        <v>32831</v>
      </c>
      <c r="G6112" t="s">
        <v>32839</v>
      </c>
      <c r="H6112" t="s">
        <v>32848</v>
      </c>
      <c r="I6112" t="s">
        <v>7416</v>
      </c>
      <c r="J6112" t="s">
        <v>36862</v>
      </c>
      <c r="K6112" t="s">
        <v>42732</v>
      </c>
      <c r="M6112" t="s">
        <v>45385</v>
      </c>
      <c r="N6112" t="s">
        <v>47424</v>
      </c>
      <c r="O6112" t="s">
        <v>47425</v>
      </c>
      <c r="P6112">
        <v>0</v>
      </c>
      <c r="Q6112">
        <v>0</v>
      </c>
      <c r="R6112" t="s">
        <v>47431</v>
      </c>
      <c r="S6112" t="s">
        <v>47565</v>
      </c>
      <c r="T6112" t="s">
        <v>49451</v>
      </c>
      <c r="U6112" t="s">
        <v>54834</v>
      </c>
      <c r="W6112" t="s">
        <v>45385</v>
      </c>
      <c r="X6112" t="s">
        <v>47433</v>
      </c>
    </row>
    <row r="6113" spans="1:24">
      <c r="A6113">
        <f>HYPERLINK("https://www.philgeps.gov.ph/GEPSNONPILOT/Tender/SplashBidNoticeAbstractUI.aspx?menuIndex=3&amp;refID=7154385&amp;Result=3","7154385")</f>
        <v>0</v>
      </c>
      <c r="B6113" t="s">
        <v>1765</v>
      </c>
      <c r="C6113" t="s">
        <v>9672</v>
      </c>
      <c r="E6113" t="s">
        <v>24438</v>
      </c>
      <c r="F6113" t="s">
        <v>32831</v>
      </c>
      <c r="G6113" t="s">
        <v>32840</v>
      </c>
      <c r="H6113" t="s">
        <v>32848</v>
      </c>
      <c r="I6113" t="s">
        <v>9577</v>
      </c>
      <c r="J6113" t="s">
        <v>33077</v>
      </c>
      <c r="K6113" t="s">
        <v>42732</v>
      </c>
      <c r="M6113" t="s">
        <v>44890</v>
      </c>
      <c r="N6113" t="s">
        <v>47424</v>
      </c>
      <c r="O6113" t="s">
        <v>47425</v>
      </c>
      <c r="P6113">
        <v>0</v>
      </c>
      <c r="Q6113">
        <v>0</v>
      </c>
      <c r="R6113" t="s">
        <v>47431</v>
      </c>
      <c r="S6113" t="s">
        <v>47565</v>
      </c>
      <c r="T6113" t="s">
        <v>49177</v>
      </c>
      <c r="U6113" t="s">
        <v>54835</v>
      </c>
      <c r="V6113" t="s">
        <v>63300</v>
      </c>
      <c r="W6113" t="s">
        <v>44890</v>
      </c>
      <c r="X6113" t="s">
        <v>47433</v>
      </c>
    </row>
    <row r="6114" spans="1:24">
      <c r="A6114">
        <f>HYPERLINK("https://www.philgeps.gov.ph/GEPSNONPILOT/Tender/SplashBidNoticeAbstractUI.aspx?menuIndex=3&amp;refID=7154338&amp;Result=3","7154338")</f>
        <v>0</v>
      </c>
      <c r="B6114" t="s">
        <v>2207</v>
      </c>
      <c r="C6114" t="s">
        <v>9673</v>
      </c>
      <c r="D6114" t="s">
        <v>19074</v>
      </c>
      <c r="E6114" t="s">
        <v>24439</v>
      </c>
      <c r="F6114" t="s">
        <v>32831</v>
      </c>
      <c r="G6114" t="s">
        <v>32839</v>
      </c>
      <c r="H6114" t="s">
        <v>32849</v>
      </c>
      <c r="I6114" t="s">
        <v>4177</v>
      </c>
      <c r="J6114" t="s">
        <v>36863</v>
      </c>
      <c r="K6114" t="s">
        <v>42779</v>
      </c>
      <c r="M6114" t="s">
        <v>45387</v>
      </c>
      <c r="N6114" t="s">
        <v>47424</v>
      </c>
      <c r="O6114" t="s">
        <v>47425</v>
      </c>
      <c r="P6114">
        <v>0</v>
      </c>
      <c r="Q6114">
        <v>0</v>
      </c>
      <c r="R6114" t="s">
        <v>47431</v>
      </c>
      <c r="S6114" t="s">
        <v>47565</v>
      </c>
      <c r="T6114" t="s">
        <v>49127</v>
      </c>
      <c r="U6114" t="s">
        <v>54836</v>
      </c>
      <c r="W6114" t="s">
        <v>45387</v>
      </c>
      <c r="X6114" t="s">
        <v>47433</v>
      </c>
    </row>
    <row r="6115" spans="1:24">
      <c r="A6115">
        <f>HYPERLINK("https://www.philgeps.gov.ph/GEPSNONPILOT/Tender/SplashBidNoticeAbstractUI.aspx?menuIndex=3&amp;refID=7154441&amp;Result=3","7154441")</f>
        <v>0</v>
      </c>
      <c r="B6115" t="s">
        <v>571</v>
      </c>
      <c r="C6115" t="s">
        <v>9674</v>
      </c>
      <c r="D6115" t="s">
        <v>19027</v>
      </c>
      <c r="E6115" t="s">
        <v>24440</v>
      </c>
      <c r="F6115" t="s">
        <v>32831</v>
      </c>
      <c r="G6115" t="s">
        <v>32840</v>
      </c>
      <c r="H6115" t="s">
        <v>32848</v>
      </c>
      <c r="I6115" t="s">
        <v>32931</v>
      </c>
      <c r="J6115" t="s">
        <v>33490</v>
      </c>
      <c r="K6115" t="s">
        <v>42727</v>
      </c>
      <c r="M6115" t="s">
        <v>43581</v>
      </c>
      <c r="N6115" t="s">
        <v>47424</v>
      </c>
      <c r="O6115" t="s">
        <v>47425</v>
      </c>
      <c r="P6115">
        <v>0</v>
      </c>
      <c r="Q6115">
        <v>10</v>
      </c>
      <c r="R6115" t="s">
        <v>47431</v>
      </c>
      <c r="S6115" t="s">
        <v>47565</v>
      </c>
      <c r="T6115" t="s">
        <v>49114</v>
      </c>
      <c r="U6115" t="s">
        <v>54837</v>
      </c>
      <c r="V6115" t="s">
        <v>62817</v>
      </c>
      <c r="W6115" t="s">
        <v>43581</v>
      </c>
      <c r="X6115" t="s">
        <v>47433</v>
      </c>
    </row>
    <row r="6116" spans="1:24">
      <c r="A6116">
        <f>HYPERLINK("https://www.philgeps.gov.ph/GEPSNONPILOT/Tender/SplashBidNoticeAbstractUI.aspx?menuIndex=3&amp;refID=7154214&amp;Result=3","7154214")</f>
        <v>0</v>
      </c>
      <c r="B6116" t="s">
        <v>1022</v>
      </c>
      <c r="C6116" t="s">
        <v>9675</v>
      </c>
      <c r="E6116" t="s">
        <v>24441</v>
      </c>
      <c r="F6116" t="s">
        <v>32831</v>
      </c>
      <c r="G6116" t="s">
        <v>32839</v>
      </c>
      <c r="H6116" t="s">
        <v>32848</v>
      </c>
      <c r="I6116" t="s">
        <v>32945</v>
      </c>
      <c r="J6116" t="s">
        <v>36864</v>
      </c>
      <c r="K6116" t="s">
        <v>42732</v>
      </c>
      <c r="M6116" t="s">
        <v>44072</v>
      </c>
      <c r="N6116" t="s">
        <v>47424</v>
      </c>
      <c r="O6116" t="s">
        <v>47425</v>
      </c>
      <c r="P6116">
        <v>0</v>
      </c>
      <c r="Q6116">
        <v>8</v>
      </c>
      <c r="R6116" t="s">
        <v>47431</v>
      </c>
      <c r="S6116" t="s">
        <v>47565</v>
      </c>
      <c r="T6116" t="s">
        <v>49319</v>
      </c>
      <c r="U6116" t="s">
        <v>54838</v>
      </c>
      <c r="W6116" t="s">
        <v>64453</v>
      </c>
      <c r="X6116" t="s">
        <v>47433</v>
      </c>
    </row>
    <row r="6117" spans="1:24">
      <c r="A6117">
        <f>HYPERLINK("https://www.philgeps.gov.ph/GEPSNONPILOT/Tender/SplashBidNoticeAbstractUI.aspx?menuIndex=3&amp;refID=7154204&amp;Result=3","7154204")</f>
        <v>0</v>
      </c>
      <c r="B6117" t="s">
        <v>362</v>
      </c>
      <c r="C6117" t="s">
        <v>9676</v>
      </c>
      <c r="D6117" t="s">
        <v>19023</v>
      </c>
      <c r="E6117" t="s">
        <v>24442</v>
      </c>
      <c r="F6117" t="s">
        <v>32831</v>
      </c>
      <c r="G6117" t="s">
        <v>32839</v>
      </c>
      <c r="H6117" t="s">
        <v>32848</v>
      </c>
      <c r="I6117" t="s">
        <v>4177</v>
      </c>
      <c r="J6117" t="s">
        <v>36865</v>
      </c>
      <c r="K6117" t="s">
        <v>42747</v>
      </c>
      <c r="M6117" t="s">
        <v>43366</v>
      </c>
      <c r="N6117" t="s">
        <v>47424</v>
      </c>
      <c r="O6117" t="s">
        <v>47425</v>
      </c>
      <c r="P6117">
        <v>0</v>
      </c>
      <c r="Q6117">
        <v>0</v>
      </c>
      <c r="R6117" t="s">
        <v>47431</v>
      </c>
      <c r="S6117" t="s">
        <v>47565</v>
      </c>
      <c r="T6117" t="s">
        <v>49175</v>
      </c>
      <c r="U6117" t="s">
        <v>54839</v>
      </c>
      <c r="W6117" t="s">
        <v>43366</v>
      </c>
      <c r="X6117" t="s">
        <v>47433</v>
      </c>
    </row>
    <row r="6118" spans="1:24">
      <c r="A6118">
        <f>HYPERLINK("https://www.philgeps.gov.ph/GEPSNONPILOT/Tender/SplashBidNoticeAbstractUI.aspx?menuIndex=3&amp;refID=7154201&amp;Result=3","7154201")</f>
        <v>0</v>
      </c>
      <c r="B6118" t="s">
        <v>598</v>
      </c>
      <c r="C6118" t="s">
        <v>9677</v>
      </c>
      <c r="E6118" t="s">
        <v>24443</v>
      </c>
      <c r="F6118" t="s">
        <v>32831</v>
      </c>
      <c r="G6118" t="s">
        <v>32839</v>
      </c>
      <c r="H6118" t="s">
        <v>32848</v>
      </c>
      <c r="I6118" t="s">
        <v>4487</v>
      </c>
      <c r="J6118" t="s">
        <v>33024</v>
      </c>
      <c r="K6118" t="s">
        <v>42732</v>
      </c>
      <c r="M6118" t="s">
        <v>43991</v>
      </c>
      <c r="N6118" t="s">
        <v>47424</v>
      </c>
      <c r="O6118" t="s">
        <v>47425</v>
      </c>
      <c r="P6118">
        <v>0</v>
      </c>
      <c r="Q6118">
        <v>26</v>
      </c>
      <c r="R6118" t="s">
        <v>47431</v>
      </c>
      <c r="S6118" t="s">
        <v>47565</v>
      </c>
      <c r="T6118" t="s">
        <v>49396</v>
      </c>
      <c r="U6118" t="s">
        <v>54781</v>
      </c>
      <c r="W6118" t="s">
        <v>43991</v>
      </c>
      <c r="X6118" t="s">
        <v>47433</v>
      </c>
    </row>
    <row r="6119" spans="1:24">
      <c r="A6119">
        <f>HYPERLINK("https://www.philgeps.gov.ph/GEPSNONPILOT/Tender/SplashBidNoticeAbstractUI.aspx?menuIndex=3&amp;refID=7153586&amp;Result=3","7153586")</f>
        <v>0</v>
      </c>
      <c r="B6119" t="s">
        <v>34</v>
      </c>
      <c r="C6119" t="s">
        <v>9678</v>
      </c>
      <c r="E6119" t="s">
        <v>24444</v>
      </c>
      <c r="F6119" t="s">
        <v>32831</v>
      </c>
      <c r="G6119" t="s">
        <v>32839</v>
      </c>
      <c r="H6119" t="s">
        <v>32849</v>
      </c>
      <c r="I6119" t="s">
        <v>4177</v>
      </c>
      <c r="J6119" t="s">
        <v>36866</v>
      </c>
      <c r="K6119" t="s">
        <v>42835</v>
      </c>
      <c r="M6119" t="s">
        <v>44653</v>
      </c>
      <c r="N6119" t="s">
        <v>47424</v>
      </c>
      <c r="O6119" t="s">
        <v>47425</v>
      </c>
      <c r="P6119">
        <v>0</v>
      </c>
      <c r="Q6119">
        <v>0</v>
      </c>
      <c r="R6119" t="s">
        <v>47431</v>
      </c>
      <c r="S6119" t="s">
        <v>47565</v>
      </c>
      <c r="T6119" t="s">
        <v>49267</v>
      </c>
      <c r="U6119" t="s">
        <v>54840</v>
      </c>
      <c r="W6119" t="s">
        <v>44653</v>
      </c>
      <c r="X6119" t="s">
        <v>47433</v>
      </c>
    </row>
    <row r="6120" spans="1:24">
      <c r="A6120">
        <f>HYPERLINK("https://www.philgeps.gov.ph/GEPSNONPILOT/Tender/SplashBidNoticeAbstractUI.aspx?menuIndex=3&amp;refID=7154185&amp;Result=3","7154185")</f>
        <v>0</v>
      </c>
      <c r="B6120" t="s">
        <v>2194</v>
      </c>
      <c r="C6120" t="s">
        <v>9679</v>
      </c>
      <c r="D6120" t="s">
        <v>19054</v>
      </c>
      <c r="E6120" t="s">
        <v>24445</v>
      </c>
      <c r="F6120" t="s">
        <v>32831</v>
      </c>
      <c r="G6120" t="s">
        <v>32839</v>
      </c>
      <c r="H6120" t="s">
        <v>32848</v>
      </c>
      <c r="I6120" t="s">
        <v>4776</v>
      </c>
      <c r="J6120" t="s">
        <v>36867</v>
      </c>
      <c r="K6120" t="s">
        <v>42726</v>
      </c>
      <c r="M6120" t="s">
        <v>45374</v>
      </c>
      <c r="N6120" t="s">
        <v>47424</v>
      </c>
      <c r="O6120" t="s">
        <v>47425</v>
      </c>
      <c r="P6120">
        <v>0</v>
      </c>
      <c r="Q6120">
        <v>0</v>
      </c>
      <c r="R6120" t="s">
        <v>47431</v>
      </c>
      <c r="S6120" t="s">
        <v>47565</v>
      </c>
      <c r="T6120" t="s">
        <v>49061</v>
      </c>
      <c r="U6120" t="s">
        <v>54841</v>
      </c>
      <c r="W6120" t="s">
        <v>45374</v>
      </c>
      <c r="X6120" t="s">
        <v>47433</v>
      </c>
    </row>
    <row r="6121" spans="1:24">
      <c r="A6121">
        <f>HYPERLINK("https://www.philgeps.gov.ph/GEPSNONPILOT/Tender/SplashBidNoticeAbstractUI.aspx?menuIndex=3&amp;refID=7154282&amp;Result=3","7154282")</f>
        <v>0</v>
      </c>
      <c r="B6121" t="s">
        <v>1849</v>
      </c>
      <c r="C6121" t="s">
        <v>9680</v>
      </c>
      <c r="D6121" t="s">
        <v>19054</v>
      </c>
      <c r="E6121" t="s">
        <v>24446</v>
      </c>
      <c r="F6121" t="s">
        <v>32831</v>
      </c>
      <c r="G6121" t="s">
        <v>32838</v>
      </c>
      <c r="H6121" t="s">
        <v>32848</v>
      </c>
      <c r="I6121" t="s">
        <v>7416</v>
      </c>
      <c r="J6121" t="s">
        <v>36868</v>
      </c>
      <c r="K6121" t="s">
        <v>42727</v>
      </c>
      <c r="M6121" t="s">
        <v>44987</v>
      </c>
      <c r="N6121" t="s">
        <v>47424</v>
      </c>
      <c r="O6121" t="s">
        <v>47425</v>
      </c>
      <c r="P6121">
        <v>0</v>
      </c>
      <c r="Q6121">
        <v>0</v>
      </c>
      <c r="R6121" t="s">
        <v>47431</v>
      </c>
      <c r="S6121" t="s">
        <v>47565</v>
      </c>
      <c r="T6121" t="s">
        <v>49166</v>
      </c>
      <c r="U6121" t="s">
        <v>54842</v>
      </c>
      <c r="W6121" t="s">
        <v>44987</v>
      </c>
      <c r="X6121" t="s">
        <v>47433</v>
      </c>
    </row>
    <row r="6122" spans="1:24">
      <c r="A6122">
        <f>HYPERLINK("https://www.philgeps.gov.ph/GEPSNONPILOT/Tender/SplashBidNoticeAbstractUI.aspx?menuIndex=3&amp;refID=7154148&amp;Result=3","7154148")</f>
        <v>0</v>
      </c>
      <c r="B6122" t="s">
        <v>2200</v>
      </c>
      <c r="C6122" t="s">
        <v>9681</v>
      </c>
      <c r="D6122" t="s">
        <v>19033</v>
      </c>
      <c r="E6122" t="s">
        <v>24447</v>
      </c>
      <c r="F6122" t="s">
        <v>32831</v>
      </c>
      <c r="G6122" t="s">
        <v>32838</v>
      </c>
      <c r="H6122" t="s">
        <v>32848</v>
      </c>
      <c r="I6122" t="s">
        <v>32863</v>
      </c>
      <c r="J6122" t="s">
        <v>34348</v>
      </c>
      <c r="K6122" t="s">
        <v>42730</v>
      </c>
      <c r="M6122" t="s">
        <v>45380</v>
      </c>
      <c r="N6122" t="s">
        <v>47424</v>
      </c>
      <c r="O6122" t="s">
        <v>47425</v>
      </c>
      <c r="P6122">
        <v>0</v>
      </c>
      <c r="Q6122">
        <v>3</v>
      </c>
      <c r="R6122" t="s">
        <v>47431</v>
      </c>
      <c r="S6122" t="s">
        <v>47565</v>
      </c>
      <c r="T6122" t="s">
        <v>49111</v>
      </c>
      <c r="U6122" t="s">
        <v>54843</v>
      </c>
      <c r="W6122" t="s">
        <v>45380</v>
      </c>
      <c r="X6122" t="s">
        <v>47433</v>
      </c>
    </row>
    <row r="6123" spans="1:24">
      <c r="A6123">
        <f>HYPERLINK("https://www.philgeps.gov.ph/GEPSNONPILOT/Tender/SplashBidNoticeAbstractUI.aspx?menuIndex=3&amp;refID=7154375&amp;Result=3","7154375")</f>
        <v>0</v>
      </c>
      <c r="B6123" t="s">
        <v>598</v>
      </c>
      <c r="C6123" t="s">
        <v>9682</v>
      </c>
      <c r="E6123" t="s">
        <v>24448</v>
      </c>
      <c r="F6123" t="s">
        <v>32831</v>
      </c>
      <c r="G6123" t="s">
        <v>32839</v>
      </c>
      <c r="H6123" t="s">
        <v>32848</v>
      </c>
      <c r="I6123" t="s">
        <v>4487</v>
      </c>
      <c r="J6123" t="s">
        <v>33118</v>
      </c>
      <c r="K6123" t="s">
        <v>42732</v>
      </c>
      <c r="M6123" t="s">
        <v>43991</v>
      </c>
      <c r="N6123" t="s">
        <v>47424</v>
      </c>
      <c r="O6123" t="s">
        <v>47425</v>
      </c>
      <c r="P6123">
        <v>0</v>
      </c>
      <c r="Q6123">
        <v>12</v>
      </c>
      <c r="R6123" t="s">
        <v>47431</v>
      </c>
      <c r="S6123" t="s">
        <v>47565</v>
      </c>
      <c r="T6123" t="s">
        <v>49396</v>
      </c>
      <c r="U6123" t="s">
        <v>54781</v>
      </c>
      <c r="W6123" t="s">
        <v>43991</v>
      </c>
      <c r="X6123" t="s">
        <v>47433</v>
      </c>
    </row>
    <row r="6124" spans="1:24">
      <c r="A6124">
        <f>HYPERLINK("https://www.philgeps.gov.ph/GEPSNONPILOT/Tender/SplashBidNoticeAbstractUI.aspx?menuIndex=3&amp;refID=7154429&amp;Result=3","7154429")</f>
        <v>0</v>
      </c>
      <c r="B6124" t="s">
        <v>1849</v>
      </c>
      <c r="C6124" t="s">
        <v>9683</v>
      </c>
      <c r="D6124" t="s">
        <v>19054</v>
      </c>
      <c r="E6124" t="s">
        <v>24449</v>
      </c>
      <c r="F6124" t="s">
        <v>32831</v>
      </c>
      <c r="G6124" t="s">
        <v>32838</v>
      </c>
      <c r="H6124" t="s">
        <v>32848</v>
      </c>
      <c r="I6124" t="s">
        <v>4471</v>
      </c>
      <c r="J6124" t="s">
        <v>33133</v>
      </c>
      <c r="K6124" t="s">
        <v>42727</v>
      </c>
      <c r="M6124" t="s">
        <v>44987</v>
      </c>
      <c r="N6124" t="s">
        <v>47424</v>
      </c>
      <c r="O6124" t="s">
        <v>47425</v>
      </c>
      <c r="P6124">
        <v>0</v>
      </c>
      <c r="Q6124">
        <v>1</v>
      </c>
      <c r="R6124" t="s">
        <v>47431</v>
      </c>
      <c r="S6124" t="s">
        <v>47565</v>
      </c>
      <c r="T6124" t="s">
        <v>49166</v>
      </c>
      <c r="U6124" t="s">
        <v>54844</v>
      </c>
      <c r="W6124" t="s">
        <v>44987</v>
      </c>
      <c r="X6124" t="s">
        <v>47433</v>
      </c>
    </row>
    <row r="6125" spans="1:24">
      <c r="A6125">
        <f>HYPERLINK("https://www.philgeps.gov.ph/GEPSNONPILOT/Tender/SplashBidNoticeAbstractUI.aspx?menuIndex=3&amp;refID=7154322&amp;Result=3","7154322")</f>
        <v>0</v>
      </c>
      <c r="B6125" t="s">
        <v>2206</v>
      </c>
      <c r="C6125" t="s">
        <v>9684</v>
      </c>
      <c r="D6125" t="s">
        <v>19026</v>
      </c>
      <c r="E6125" t="s">
        <v>24450</v>
      </c>
      <c r="F6125" t="s">
        <v>32831</v>
      </c>
      <c r="G6125" t="s">
        <v>32838</v>
      </c>
      <c r="H6125" t="s">
        <v>32848</v>
      </c>
      <c r="I6125" t="s">
        <v>10805</v>
      </c>
      <c r="J6125" t="s">
        <v>36869</v>
      </c>
      <c r="K6125" t="s">
        <v>42730</v>
      </c>
      <c r="M6125" t="s">
        <v>45386</v>
      </c>
      <c r="N6125" t="s">
        <v>47424</v>
      </c>
      <c r="O6125" t="s">
        <v>47425</v>
      </c>
      <c r="P6125">
        <v>0</v>
      </c>
      <c r="Q6125">
        <v>4</v>
      </c>
      <c r="R6125" t="s">
        <v>47431</v>
      </c>
      <c r="S6125" t="s">
        <v>47565</v>
      </c>
      <c r="T6125" t="s">
        <v>49129</v>
      </c>
      <c r="U6125" t="s">
        <v>54830</v>
      </c>
      <c r="W6125" t="s">
        <v>45386</v>
      </c>
      <c r="X6125" t="s">
        <v>47433</v>
      </c>
    </row>
    <row r="6126" spans="1:24">
      <c r="A6126">
        <f>HYPERLINK("https://www.philgeps.gov.ph/GEPSNONPILOT/Tender/SplashBidNoticeAbstractUI.aspx?menuIndex=3&amp;refID=7155084&amp;Result=3","7155084")</f>
        <v>0</v>
      </c>
      <c r="B6126" t="s">
        <v>2208</v>
      </c>
      <c r="C6126" t="s">
        <v>9685</v>
      </c>
      <c r="D6126" t="s">
        <v>19057</v>
      </c>
      <c r="E6126" t="s">
        <v>24451</v>
      </c>
      <c r="F6126" t="s">
        <v>32831</v>
      </c>
      <c r="G6126" t="s">
        <v>32839</v>
      </c>
      <c r="H6126" t="s">
        <v>32848</v>
      </c>
      <c r="I6126" t="s">
        <v>9577</v>
      </c>
      <c r="J6126" t="s">
        <v>36870</v>
      </c>
      <c r="K6126" t="s">
        <v>42727</v>
      </c>
      <c r="M6126" t="s">
        <v>45388</v>
      </c>
      <c r="N6126" t="s">
        <v>47424</v>
      </c>
      <c r="O6126" t="s">
        <v>47425</v>
      </c>
      <c r="P6126">
        <v>0</v>
      </c>
      <c r="Q6126">
        <v>1</v>
      </c>
      <c r="R6126" t="s">
        <v>47431</v>
      </c>
      <c r="S6126" t="s">
        <v>47565</v>
      </c>
      <c r="T6126" t="s">
        <v>49401</v>
      </c>
      <c r="U6126" t="s">
        <v>54845</v>
      </c>
      <c r="W6126" t="s">
        <v>45388</v>
      </c>
      <c r="X6126" t="s">
        <v>47433</v>
      </c>
    </row>
    <row r="6127" spans="1:24">
      <c r="A6127">
        <f>HYPERLINK("https://www.philgeps.gov.ph/GEPSNONPILOT/Tender/SplashBidNoticeAbstractUI.aspx?menuIndex=3&amp;refID=7154172&amp;Result=3","7154172")</f>
        <v>0</v>
      </c>
      <c r="B6127" t="s">
        <v>254</v>
      </c>
      <c r="C6127" t="s">
        <v>9686</v>
      </c>
      <c r="D6127" t="s">
        <v>19067</v>
      </c>
      <c r="E6127" t="s">
        <v>24452</v>
      </c>
      <c r="F6127" t="s">
        <v>32833</v>
      </c>
      <c r="G6127" t="s">
        <v>32839</v>
      </c>
      <c r="H6127" t="s">
        <v>32848</v>
      </c>
      <c r="I6127" t="s">
        <v>7751</v>
      </c>
      <c r="J6127" t="s">
        <v>36871</v>
      </c>
      <c r="K6127" t="s">
        <v>42727</v>
      </c>
      <c r="L6127" t="s">
        <v>254</v>
      </c>
      <c r="M6127" t="s">
        <v>43253</v>
      </c>
      <c r="N6127" t="s">
        <v>47424</v>
      </c>
      <c r="O6127" t="s">
        <v>47425</v>
      </c>
      <c r="Q6127">
        <v>3</v>
      </c>
      <c r="R6127" t="s">
        <v>47431</v>
      </c>
      <c r="S6127" t="s">
        <v>47566</v>
      </c>
      <c r="T6127" t="s">
        <v>49160</v>
      </c>
      <c r="U6127" t="s">
        <v>54846</v>
      </c>
      <c r="W6127" t="s">
        <v>43253</v>
      </c>
      <c r="X6127" t="s">
        <v>47433</v>
      </c>
    </row>
    <row r="6128" spans="1:24">
      <c r="A6128">
        <f>HYPERLINK("https://www.philgeps.gov.ph/GEPSNONPILOT/Tender/SplashBidNoticeAbstractUI.aspx?menuIndex=3&amp;refID=7155209&amp;Result=3","7155209")</f>
        <v>0</v>
      </c>
      <c r="B6128" t="s">
        <v>2209</v>
      </c>
      <c r="C6128" t="s">
        <v>9687</v>
      </c>
      <c r="D6128" t="s">
        <v>19042</v>
      </c>
      <c r="E6128" t="s">
        <v>19203</v>
      </c>
      <c r="F6128" t="s">
        <v>32831</v>
      </c>
      <c r="G6128" t="s">
        <v>32839</v>
      </c>
      <c r="H6128" t="s">
        <v>32848</v>
      </c>
      <c r="I6128" t="s">
        <v>4471</v>
      </c>
      <c r="J6128" t="s">
        <v>36872</v>
      </c>
      <c r="K6128" t="s">
        <v>42730</v>
      </c>
      <c r="M6128" t="s">
        <v>45389</v>
      </c>
      <c r="N6128" t="s">
        <v>47424</v>
      </c>
      <c r="O6128" t="s">
        <v>47425</v>
      </c>
      <c r="P6128">
        <v>0</v>
      </c>
      <c r="Q6128">
        <v>2</v>
      </c>
      <c r="R6128" t="s">
        <v>47431</v>
      </c>
      <c r="S6128" t="s">
        <v>47565</v>
      </c>
      <c r="T6128" t="s">
        <v>49077</v>
      </c>
      <c r="U6128" t="s">
        <v>54847</v>
      </c>
      <c r="W6128" t="s">
        <v>45389</v>
      </c>
      <c r="X6128" t="s">
        <v>47433</v>
      </c>
    </row>
    <row r="6129" spans="1:24">
      <c r="A6129">
        <f>HYPERLINK("https://www.philgeps.gov.ph/GEPSNONPILOT/Tender/SplashBidNoticeAbstractUI.aspx?menuIndex=3&amp;refID=7155009&amp;Result=3","7155009")</f>
        <v>0</v>
      </c>
      <c r="B6129" t="s">
        <v>1100</v>
      </c>
      <c r="C6129" t="s">
        <v>9688</v>
      </c>
      <c r="D6129" t="s">
        <v>19062</v>
      </c>
      <c r="E6129" t="s">
        <v>24453</v>
      </c>
      <c r="F6129" t="s">
        <v>32831</v>
      </c>
      <c r="G6129" t="s">
        <v>32839</v>
      </c>
      <c r="H6129" t="s">
        <v>32848</v>
      </c>
      <c r="I6129" t="s">
        <v>32852</v>
      </c>
      <c r="J6129" t="s">
        <v>36873</v>
      </c>
      <c r="K6129" t="s">
        <v>42747</v>
      </c>
      <c r="M6129" t="s">
        <v>44160</v>
      </c>
      <c r="N6129" t="s">
        <v>47424</v>
      </c>
      <c r="O6129" t="s">
        <v>47425</v>
      </c>
      <c r="P6129">
        <v>0</v>
      </c>
      <c r="Q6129">
        <v>4</v>
      </c>
      <c r="R6129" t="s">
        <v>47431</v>
      </c>
      <c r="S6129" t="s">
        <v>47565</v>
      </c>
      <c r="T6129" t="s">
        <v>49452</v>
      </c>
      <c r="U6129" t="s">
        <v>54848</v>
      </c>
      <c r="V6129" t="s">
        <v>63219</v>
      </c>
      <c r="W6129" t="s">
        <v>44160</v>
      </c>
      <c r="X6129" t="s">
        <v>47433</v>
      </c>
    </row>
    <row r="6130" spans="1:24">
      <c r="A6130">
        <f>HYPERLINK("https://www.philgeps.gov.ph/GEPSNONPILOT/Tender/SplashBidNoticeAbstractUI.aspx?menuIndex=3&amp;refID=7161405&amp;Result=3","7161405")</f>
        <v>0</v>
      </c>
      <c r="B6130" t="s">
        <v>2073</v>
      </c>
      <c r="C6130" t="s">
        <v>9689</v>
      </c>
      <c r="D6130" t="s">
        <v>19061</v>
      </c>
      <c r="E6130" t="s">
        <v>24454</v>
      </c>
      <c r="F6130" t="s">
        <v>32831</v>
      </c>
      <c r="G6130" t="s">
        <v>32839</v>
      </c>
      <c r="H6130" t="s">
        <v>32848</v>
      </c>
      <c r="I6130" t="s">
        <v>7416</v>
      </c>
      <c r="J6130" t="s">
        <v>36874</v>
      </c>
      <c r="K6130" t="s">
        <v>42730</v>
      </c>
      <c r="M6130" t="s">
        <v>45243</v>
      </c>
      <c r="N6130" t="s">
        <v>47424</v>
      </c>
      <c r="O6130" t="s">
        <v>47425</v>
      </c>
      <c r="P6130">
        <v>0</v>
      </c>
      <c r="Q6130">
        <v>0</v>
      </c>
      <c r="R6130" t="s">
        <v>47430</v>
      </c>
      <c r="S6130" t="s">
        <v>47549</v>
      </c>
      <c r="T6130" t="s">
        <v>49065</v>
      </c>
      <c r="U6130" t="s">
        <v>54491</v>
      </c>
      <c r="W6130" t="s">
        <v>45243</v>
      </c>
      <c r="X6130" t="s">
        <v>47431</v>
      </c>
    </row>
    <row r="6131" spans="1:24">
      <c r="A6131">
        <f>HYPERLINK("https://www.philgeps.gov.ph/GEPSNONPILOT/Tender/SplashBidNoticeAbstractUI.aspx?menuIndex=3&amp;refID=7154988&amp;Result=3","7154988")</f>
        <v>0</v>
      </c>
      <c r="B6131" t="s">
        <v>2210</v>
      </c>
      <c r="C6131" t="s">
        <v>9690</v>
      </c>
      <c r="D6131" t="s">
        <v>19091</v>
      </c>
      <c r="E6131" t="s">
        <v>24455</v>
      </c>
      <c r="F6131" t="s">
        <v>32831</v>
      </c>
      <c r="G6131" t="s">
        <v>32839</v>
      </c>
      <c r="H6131" t="s">
        <v>32849</v>
      </c>
      <c r="I6131" t="s">
        <v>4177</v>
      </c>
      <c r="J6131" t="s">
        <v>33072</v>
      </c>
      <c r="K6131" t="s">
        <v>42729</v>
      </c>
      <c r="M6131" t="s">
        <v>45390</v>
      </c>
      <c r="N6131" t="s">
        <v>47424</v>
      </c>
      <c r="O6131" t="s">
        <v>47425</v>
      </c>
      <c r="P6131">
        <v>0</v>
      </c>
      <c r="Q6131">
        <v>1</v>
      </c>
      <c r="R6131" t="s">
        <v>47431</v>
      </c>
      <c r="S6131" t="s">
        <v>47565</v>
      </c>
      <c r="T6131" t="s">
        <v>49139</v>
      </c>
      <c r="U6131" t="s">
        <v>54849</v>
      </c>
      <c r="W6131" t="s">
        <v>45390</v>
      </c>
      <c r="X6131" t="s">
        <v>47433</v>
      </c>
    </row>
    <row r="6132" spans="1:24">
      <c r="A6132">
        <f>HYPERLINK("https://www.philgeps.gov.ph/GEPSNONPILOT/Tender/SplashBidNoticeAbstractUI.aspx?menuIndex=3&amp;refID=7155227&amp;Result=3","7155227")</f>
        <v>0</v>
      </c>
      <c r="B6132" t="s">
        <v>595</v>
      </c>
      <c r="C6132" t="s">
        <v>9691</v>
      </c>
      <c r="D6132" t="s">
        <v>19043</v>
      </c>
      <c r="E6132" t="s">
        <v>24456</v>
      </c>
      <c r="F6132" t="s">
        <v>32831</v>
      </c>
      <c r="G6132" t="s">
        <v>32839</v>
      </c>
      <c r="H6132" t="s">
        <v>32848</v>
      </c>
      <c r="I6132" t="s">
        <v>4487</v>
      </c>
      <c r="J6132" t="s">
        <v>36875</v>
      </c>
      <c r="K6132" t="s">
        <v>42731</v>
      </c>
      <c r="M6132" t="s">
        <v>43608</v>
      </c>
      <c r="N6132" t="s">
        <v>47424</v>
      </c>
      <c r="O6132" t="s">
        <v>47425</v>
      </c>
      <c r="P6132">
        <v>0</v>
      </c>
      <c r="Q6132">
        <v>3</v>
      </c>
      <c r="R6132" t="s">
        <v>47431</v>
      </c>
      <c r="S6132" t="s">
        <v>47565</v>
      </c>
      <c r="T6132" t="s">
        <v>49209</v>
      </c>
      <c r="U6132" t="s">
        <v>54850</v>
      </c>
      <c r="V6132" t="s">
        <v>62765</v>
      </c>
      <c r="W6132" t="s">
        <v>43608</v>
      </c>
      <c r="X6132" t="s">
        <v>47433</v>
      </c>
    </row>
    <row r="6133" spans="1:24">
      <c r="A6133">
        <f>HYPERLINK("https://www.philgeps.gov.ph/GEPSNONPILOT/Tender/SplashBidNoticeAbstractUI.aspx?menuIndex=3&amp;refID=7154863&amp;Result=3","7154863")</f>
        <v>0</v>
      </c>
      <c r="B6133" t="s">
        <v>2211</v>
      </c>
      <c r="C6133" t="s">
        <v>9692</v>
      </c>
      <c r="D6133" t="s">
        <v>19104</v>
      </c>
      <c r="E6133" t="s">
        <v>21897</v>
      </c>
      <c r="F6133" t="s">
        <v>32831</v>
      </c>
      <c r="G6133" t="s">
        <v>32838</v>
      </c>
      <c r="H6133" t="s">
        <v>32848</v>
      </c>
      <c r="I6133" t="s">
        <v>7416</v>
      </c>
      <c r="J6133" t="s">
        <v>36876</v>
      </c>
      <c r="K6133" t="s">
        <v>42727</v>
      </c>
      <c r="M6133" t="s">
        <v>45391</v>
      </c>
      <c r="N6133" t="s">
        <v>47424</v>
      </c>
      <c r="O6133" t="s">
        <v>47425</v>
      </c>
      <c r="P6133">
        <v>0</v>
      </c>
      <c r="Q6133">
        <v>0</v>
      </c>
      <c r="R6133" t="s">
        <v>47431</v>
      </c>
      <c r="S6133" t="s">
        <v>47565</v>
      </c>
      <c r="T6133" t="s">
        <v>49056</v>
      </c>
      <c r="U6133" t="s">
        <v>54851</v>
      </c>
      <c r="V6133" t="s">
        <v>63302</v>
      </c>
      <c r="W6133" t="s">
        <v>45391</v>
      </c>
      <c r="X6133" t="s">
        <v>47433</v>
      </c>
    </row>
    <row r="6134" spans="1:24">
      <c r="A6134">
        <f>HYPERLINK("https://www.philgeps.gov.ph/GEPSNONPILOT/Tender/SplashBidNoticeAbstractUI.aspx?menuIndex=3&amp;refID=7155200&amp;Result=3","7155200")</f>
        <v>0</v>
      </c>
      <c r="B6134" t="s">
        <v>2212</v>
      </c>
      <c r="C6134" t="s">
        <v>9693</v>
      </c>
      <c r="D6134" t="s">
        <v>19033</v>
      </c>
      <c r="E6134" t="s">
        <v>24457</v>
      </c>
      <c r="F6134" t="s">
        <v>32831</v>
      </c>
      <c r="G6134" t="s">
        <v>32839</v>
      </c>
      <c r="H6134" t="s">
        <v>32848</v>
      </c>
      <c r="I6134" t="s">
        <v>7751</v>
      </c>
      <c r="J6134" t="s">
        <v>33415</v>
      </c>
      <c r="K6134" t="s">
        <v>42732</v>
      </c>
      <c r="M6134" t="s">
        <v>45392</v>
      </c>
      <c r="N6134" t="s">
        <v>47424</v>
      </c>
      <c r="O6134" t="s">
        <v>47425</v>
      </c>
      <c r="P6134">
        <v>0</v>
      </c>
      <c r="Q6134">
        <v>1</v>
      </c>
      <c r="R6134" t="s">
        <v>47431</v>
      </c>
      <c r="S6134" t="s">
        <v>47565</v>
      </c>
      <c r="T6134" t="s">
        <v>49100</v>
      </c>
      <c r="U6134" t="s">
        <v>54852</v>
      </c>
      <c r="W6134" t="s">
        <v>45392</v>
      </c>
      <c r="X6134" t="s">
        <v>47433</v>
      </c>
    </row>
    <row r="6135" spans="1:24">
      <c r="A6135">
        <f>HYPERLINK("https://www.philgeps.gov.ph/GEPSNONPILOT/Tender/SplashBidNoticeAbstractUI.aspx?menuIndex=3&amp;refID=7154855&amp;Result=3","7154855")</f>
        <v>0</v>
      </c>
      <c r="B6135" t="s">
        <v>2067</v>
      </c>
      <c r="C6135" t="s">
        <v>9694</v>
      </c>
      <c r="D6135" t="s">
        <v>19037</v>
      </c>
      <c r="E6135" t="s">
        <v>24458</v>
      </c>
      <c r="F6135" t="s">
        <v>32831</v>
      </c>
      <c r="G6135" t="s">
        <v>32839</v>
      </c>
      <c r="H6135" t="s">
        <v>32848</v>
      </c>
      <c r="I6135" t="s">
        <v>32860</v>
      </c>
      <c r="J6135" t="s">
        <v>34347</v>
      </c>
      <c r="K6135" t="s">
        <v>42727</v>
      </c>
      <c r="M6135" t="s">
        <v>45237</v>
      </c>
      <c r="N6135" t="s">
        <v>47424</v>
      </c>
      <c r="O6135" t="s">
        <v>47425</v>
      </c>
      <c r="P6135">
        <v>0</v>
      </c>
      <c r="Q6135">
        <v>0</v>
      </c>
      <c r="R6135" t="s">
        <v>47431</v>
      </c>
      <c r="S6135" t="s">
        <v>47565</v>
      </c>
      <c r="T6135" t="s">
        <v>49056</v>
      </c>
      <c r="U6135" t="s">
        <v>54853</v>
      </c>
      <c r="W6135" t="s">
        <v>45237</v>
      </c>
      <c r="X6135" t="s">
        <v>47433</v>
      </c>
    </row>
    <row r="6136" spans="1:24">
      <c r="A6136">
        <f>HYPERLINK("https://www.philgeps.gov.ph/GEPSNONPILOT/Tender/SplashBidNoticeAbstractUI.aspx?menuIndex=3&amp;refID=7155259&amp;Result=3","7155259")</f>
        <v>0</v>
      </c>
      <c r="B6136" t="s">
        <v>2213</v>
      </c>
      <c r="C6136" t="s">
        <v>9695</v>
      </c>
      <c r="D6136" t="s">
        <v>19037</v>
      </c>
      <c r="E6136" t="s">
        <v>20297</v>
      </c>
      <c r="F6136" t="s">
        <v>32831</v>
      </c>
      <c r="G6136" t="s">
        <v>32839</v>
      </c>
      <c r="H6136" t="s">
        <v>32848</v>
      </c>
      <c r="I6136" t="s">
        <v>7416</v>
      </c>
      <c r="J6136" t="s">
        <v>36877</v>
      </c>
      <c r="K6136" t="s">
        <v>42731</v>
      </c>
      <c r="M6136" t="s">
        <v>45393</v>
      </c>
      <c r="N6136" t="s">
        <v>47424</v>
      </c>
      <c r="O6136" t="s">
        <v>47425</v>
      </c>
      <c r="P6136">
        <v>0</v>
      </c>
      <c r="Q6136">
        <v>0</v>
      </c>
      <c r="R6136" t="s">
        <v>47431</v>
      </c>
      <c r="S6136" t="s">
        <v>47565</v>
      </c>
      <c r="T6136" t="s">
        <v>49144</v>
      </c>
      <c r="U6136" t="s">
        <v>54854</v>
      </c>
      <c r="V6136" t="s">
        <v>63303</v>
      </c>
      <c r="W6136" t="s">
        <v>45393</v>
      </c>
      <c r="X6136" t="s">
        <v>47432</v>
      </c>
    </row>
    <row r="6137" spans="1:24">
      <c r="A6137">
        <f>HYPERLINK("https://www.philgeps.gov.ph/GEPSNONPILOT/Tender/SplashBidNoticeAbstractUI.aspx?menuIndex=3&amp;refID=7155037&amp;Result=3","7155037")</f>
        <v>0</v>
      </c>
      <c r="B6137" t="s">
        <v>2214</v>
      </c>
      <c r="C6137" t="s">
        <v>9696</v>
      </c>
      <c r="D6137" t="s">
        <v>19025</v>
      </c>
      <c r="E6137" t="s">
        <v>24459</v>
      </c>
      <c r="F6137" t="s">
        <v>32831</v>
      </c>
      <c r="G6137" t="s">
        <v>32839</v>
      </c>
      <c r="H6137" t="s">
        <v>32849</v>
      </c>
      <c r="I6137" t="s">
        <v>4177</v>
      </c>
      <c r="J6137" t="s">
        <v>33468</v>
      </c>
      <c r="K6137" t="s">
        <v>42732</v>
      </c>
      <c r="M6137" t="s">
        <v>45394</v>
      </c>
      <c r="N6137" t="s">
        <v>47424</v>
      </c>
      <c r="O6137" t="s">
        <v>47425</v>
      </c>
      <c r="P6137">
        <v>0</v>
      </c>
      <c r="Q6137">
        <v>0</v>
      </c>
      <c r="R6137" t="s">
        <v>47431</v>
      </c>
      <c r="S6137" t="s">
        <v>47565</v>
      </c>
      <c r="T6137" t="s">
        <v>49077</v>
      </c>
      <c r="U6137" t="s">
        <v>54855</v>
      </c>
      <c r="W6137" t="s">
        <v>45394</v>
      </c>
      <c r="X6137" t="s">
        <v>47433</v>
      </c>
    </row>
    <row r="6138" spans="1:24">
      <c r="A6138">
        <f>HYPERLINK("https://www.philgeps.gov.ph/GEPSNONPILOT/Tender/SplashBidNoticeAbstractUI.aspx?menuIndex=3&amp;refID=7155279&amp;Result=3","7155279")</f>
        <v>0</v>
      </c>
      <c r="B6138" t="s">
        <v>2215</v>
      </c>
      <c r="C6138" t="s">
        <v>9697</v>
      </c>
      <c r="D6138" t="s">
        <v>19077</v>
      </c>
      <c r="E6138" t="s">
        <v>24460</v>
      </c>
      <c r="F6138" t="s">
        <v>32831</v>
      </c>
      <c r="G6138" t="s">
        <v>32839</v>
      </c>
      <c r="H6138" t="s">
        <v>32849</v>
      </c>
      <c r="I6138" t="s">
        <v>4177</v>
      </c>
      <c r="J6138" t="s">
        <v>36878</v>
      </c>
      <c r="K6138" t="s">
        <v>42890</v>
      </c>
      <c r="M6138" t="s">
        <v>45395</v>
      </c>
      <c r="N6138" t="s">
        <v>47424</v>
      </c>
      <c r="O6138" t="s">
        <v>47425</v>
      </c>
      <c r="P6138">
        <v>0</v>
      </c>
      <c r="Q6138">
        <v>1</v>
      </c>
      <c r="R6138" t="s">
        <v>47431</v>
      </c>
      <c r="S6138" t="s">
        <v>47565</v>
      </c>
      <c r="T6138" t="s">
        <v>49236</v>
      </c>
      <c r="U6138" t="s">
        <v>54856</v>
      </c>
      <c r="W6138" t="s">
        <v>45395</v>
      </c>
      <c r="X6138" t="s">
        <v>47432</v>
      </c>
    </row>
    <row r="6139" spans="1:24">
      <c r="A6139">
        <f>HYPERLINK("https://www.philgeps.gov.ph/GEPSNONPILOT/Tender/SplashBidNoticeAbstractUI.aspx?menuIndex=3&amp;refID=7155005&amp;Result=3","7155005")</f>
        <v>0</v>
      </c>
      <c r="B6139" t="s">
        <v>2216</v>
      </c>
      <c r="C6139" t="s">
        <v>9698</v>
      </c>
      <c r="E6139" t="s">
        <v>24461</v>
      </c>
      <c r="F6139" t="s">
        <v>32831</v>
      </c>
      <c r="G6139" t="s">
        <v>32839</v>
      </c>
      <c r="H6139" t="s">
        <v>32849</v>
      </c>
      <c r="I6139" t="s">
        <v>32852</v>
      </c>
      <c r="J6139" t="s">
        <v>36879</v>
      </c>
      <c r="K6139" t="s">
        <v>42750</v>
      </c>
      <c r="M6139" t="s">
        <v>45396</v>
      </c>
      <c r="N6139" t="s">
        <v>47424</v>
      </c>
      <c r="O6139" t="s">
        <v>47425</v>
      </c>
      <c r="P6139">
        <v>0</v>
      </c>
      <c r="Q6139">
        <v>2</v>
      </c>
      <c r="R6139" t="s">
        <v>47431</v>
      </c>
      <c r="S6139" t="s">
        <v>47565</v>
      </c>
      <c r="T6139" t="s">
        <v>49066</v>
      </c>
      <c r="U6139" t="s">
        <v>54857</v>
      </c>
      <c r="W6139" t="s">
        <v>45396</v>
      </c>
      <c r="X6139" t="s">
        <v>47433</v>
      </c>
    </row>
    <row r="6140" spans="1:24">
      <c r="A6140">
        <f>HYPERLINK("https://www.philgeps.gov.ph/GEPSNONPILOT/Tender/SplashBidNoticeAbstractUI.aspx?menuIndex=3&amp;refID=7155278&amp;Result=3","7155278")</f>
        <v>0</v>
      </c>
      <c r="B6140" t="s">
        <v>2217</v>
      </c>
      <c r="C6140" t="s">
        <v>9699</v>
      </c>
      <c r="D6140" t="s">
        <v>19017</v>
      </c>
      <c r="E6140" t="s">
        <v>19311</v>
      </c>
      <c r="F6140" t="s">
        <v>32831</v>
      </c>
      <c r="G6140" t="s">
        <v>32838</v>
      </c>
      <c r="H6140" t="s">
        <v>32848</v>
      </c>
      <c r="I6140" t="s">
        <v>32864</v>
      </c>
      <c r="J6140" t="s">
        <v>33364</v>
      </c>
      <c r="K6140" t="s">
        <v>42730</v>
      </c>
      <c r="M6140" t="s">
        <v>45397</v>
      </c>
      <c r="N6140" t="s">
        <v>47424</v>
      </c>
      <c r="O6140" t="s">
        <v>47425</v>
      </c>
      <c r="P6140">
        <v>0</v>
      </c>
      <c r="Q6140">
        <v>10</v>
      </c>
      <c r="R6140" t="s">
        <v>47431</v>
      </c>
      <c r="S6140" t="s">
        <v>47565</v>
      </c>
      <c r="T6140" t="s">
        <v>49163</v>
      </c>
      <c r="U6140" t="s">
        <v>54858</v>
      </c>
      <c r="V6140" t="s">
        <v>63304</v>
      </c>
      <c r="W6140" t="s">
        <v>45397</v>
      </c>
      <c r="X6140" t="s">
        <v>47432</v>
      </c>
    </row>
    <row r="6141" spans="1:24">
      <c r="A6141">
        <f>HYPERLINK("https://www.philgeps.gov.ph/GEPSNONPILOT/Tender/SplashBidNoticeAbstractUI.aspx?menuIndex=3&amp;refID=7155275&amp;Result=3","7155275")</f>
        <v>0</v>
      </c>
      <c r="B6141" t="s">
        <v>512</v>
      </c>
      <c r="C6141" t="s">
        <v>9700</v>
      </c>
      <c r="D6141" t="s">
        <v>19018</v>
      </c>
      <c r="E6141" t="s">
        <v>9700</v>
      </c>
      <c r="F6141" t="s">
        <v>32831</v>
      </c>
      <c r="G6141" t="s">
        <v>32838</v>
      </c>
      <c r="H6141" t="s">
        <v>32848</v>
      </c>
      <c r="I6141" t="s">
        <v>9577</v>
      </c>
      <c r="J6141" t="s">
        <v>36880</v>
      </c>
      <c r="K6141" t="s">
        <v>42727</v>
      </c>
      <c r="M6141" t="s">
        <v>43517</v>
      </c>
      <c r="N6141" t="s">
        <v>47424</v>
      </c>
      <c r="O6141" t="s">
        <v>47425</v>
      </c>
      <c r="P6141">
        <v>0</v>
      </c>
      <c r="Q6141">
        <v>1</v>
      </c>
      <c r="R6141" t="s">
        <v>47431</v>
      </c>
      <c r="S6141" t="s">
        <v>47565</v>
      </c>
      <c r="T6141" t="s">
        <v>49111</v>
      </c>
      <c r="U6141" t="s">
        <v>54859</v>
      </c>
      <c r="W6141" t="s">
        <v>43517</v>
      </c>
      <c r="X6141" t="s">
        <v>47432</v>
      </c>
    </row>
    <row r="6142" spans="1:24">
      <c r="A6142">
        <f>HYPERLINK("https://www.philgeps.gov.ph/GEPSNONPILOT/Tender/SplashBidNoticeAbstractUI.aspx?menuIndex=3&amp;refID=7154897&amp;Result=3","7154897")</f>
        <v>0</v>
      </c>
      <c r="B6142" t="s">
        <v>1100</v>
      </c>
      <c r="C6142" t="s">
        <v>9701</v>
      </c>
      <c r="D6142" t="s">
        <v>19062</v>
      </c>
      <c r="E6142" t="s">
        <v>24462</v>
      </c>
      <c r="F6142" t="s">
        <v>32831</v>
      </c>
      <c r="G6142" t="s">
        <v>32839</v>
      </c>
      <c r="H6142" t="s">
        <v>32848</v>
      </c>
      <c r="I6142" t="s">
        <v>32852</v>
      </c>
      <c r="J6142" t="s">
        <v>36881</v>
      </c>
      <c r="K6142" t="s">
        <v>42747</v>
      </c>
      <c r="M6142" t="s">
        <v>44160</v>
      </c>
      <c r="N6142" t="s">
        <v>47424</v>
      </c>
      <c r="O6142" t="s">
        <v>47425</v>
      </c>
      <c r="P6142">
        <v>0</v>
      </c>
      <c r="Q6142">
        <v>4</v>
      </c>
      <c r="R6142" t="s">
        <v>47431</v>
      </c>
      <c r="S6142" t="s">
        <v>47565</v>
      </c>
      <c r="T6142" t="s">
        <v>49452</v>
      </c>
      <c r="U6142" t="s">
        <v>54860</v>
      </c>
      <c r="V6142" t="s">
        <v>63219</v>
      </c>
      <c r="W6142" t="s">
        <v>44160</v>
      </c>
      <c r="X6142" t="s">
        <v>47433</v>
      </c>
    </row>
    <row r="6143" spans="1:24">
      <c r="A6143">
        <f>HYPERLINK("https://www.philgeps.gov.ph/GEPSNONPILOT/Tender/SplashBidNoticeAbstractUI.aspx?menuIndex=3&amp;refID=7155266&amp;Result=3","7155266")</f>
        <v>0</v>
      </c>
      <c r="B6143" t="s">
        <v>2218</v>
      </c>
      <c r="C6143" t="s">
        <v>9702</v>
      </c>
      <c r="D6143" t="s">
        <v>19045</v>
      </c>
      <c r="E6143" t="s">
        <v>20769</v>
      </c>
      <c r="F6143" t="s">
        <v>32831</v>
      </c>
      <c r="G6143" t="s">
        <v>32839</v>
      </c>
      <c r="H6143" t="s">
        <v>32849</v>
      </c>
      <c r="I6143" t="s">
        <v>32852</v>
      </c>
      <c r="J6143" t="s">
        <v>36882</v>
      </c>
      <c r="K6143" t="s">
        <v>42732</v>
      </c>
      <c r="M6143" t="s">
        <v>45398</v>
      </c>
      <c r="N6143" t="s">
        <v>47424</v>
      </c>
      <c r="O6143" t="s">
        <v>47425</v>
      </c>
      <c r="P6143">
        <v>0</v>
      </c>
      <c r="Q6143">
        <v>0</v>
      </c>
      <c r="R6143" t="s">
        <v>47431</v>
      </c>
      <c r="S6143" t="s">
        <v>47565</v>
      </c>
      <c r="T6143" t="s">
        <v>49323</v>
      </c>
      <c r="U6143" t="s">
        <v>54861</v>
      </c>
      <c r="W6143" t="s">
        <v>45398</v>
      </c>
      <c r="X6143" t="s">
        <v>47432</v>
      </c>
    </row>
    <row r="6144" spans="1:24">
      <c r="A6144">
        <f>HYPERLINK("https://www.philgeps.gov.ph/GEPSNONPILOT/Tender/SplashBidNoticeAbstractUI.aspx?menuIndex=3&amp;refID=7153086&amp;Result=3","7153086")</f>
        <v>0</v>
      </c>
      <c r="B6144" t="s">
        <v>2192</v>
      </c>
      <c r="C6144" t="s">
        <v>9703</v>
      </c>
      <c r="D6144" t="s">
        <v>19037</v>
      </c>
      <c r="E6144" t="s">
        <v>24463</v>
      </c>
      <c r="F6144" t="s">
        <v>32831</v>
      </c>
      <c r="G6144" t="s">
        <v>32839</v>
      </c>
      <c r="H6144" t="s">
        <v>32848</v>
      </c>
      <c r="I6144" t="s">
        <v>32861</v>
      </c>
      <c r="J6144" t="s">
        <v>36883</v>
      </c>
      <c r="K6144" t="s">
        <v>42731</v>
      </c>
      <c r="M6144" t="s">
        <v>45372</v>
      </c>
      <c r="N6144" t="s">
        <v>47424</v>
      </c>
      <c r="O6144" t="s">
        <v>47425</v>
      </c>
      <c r="P6144">
        <v>0</v>
      </c>
      <c r="Q6144">
        <v>11</v>
      </c>
      <c r="R6144" t="s">
        <v>47431</v>
      </c>
      <c r="S6144" t="s">
        <v>47565</v>
      </c>
      <c r="T6144" t="s">
        <v>49291</v>
      </c>
      <c r="U6144" t="s">
        <v>54862</v>
      </c>
      <c r="W6144" t="s">
        <v>45372</v>
      </c>
      <c r="X6144" t="s">
        <v>47433</v>
      </c>
    </row>
    <row r="6145" spans="1:24">
      <c r="A6145">
        <f>HYPERLINK("https://www.philgeps.gov.ph/GEPSNONPILOT/Tender/SplashBidNoticeAbstractUI.aspx?menuIndex=3&amp;refID=7155263&amp;Result=3","7155263")</f>
        <v>0</v>
      </c>
      <c r="B6145" t="s">
        <v>2219</v>
      </c>
      <c r="C6145" t="s">
        <v>9704</v>
      </c>
      <c r="D6145" t="s">
        <v>19091</v>
      </c>
      <c r="E6145" t="s">
        <v>24464</v>
      </c>
      <c r="F6145" t="s">
        <v>32831</v>
      </c>
      <c r="G6145" t="s">
        <v>32838</v>
      </c>
      <c r="H6145" t="s">
        <v>32848</v>
      </c>
      <c r="I6145" t="s">
        <v>5379</v>
      </c>
      <c r="J6145" t="s">
        <v>36884</v>
      </c>
      <c r="K6145" t="s">
        <v>42726</v>
      </c>
      <c r="M6145" t="s">
        <v>45399</v>
      </c>
      <c r="N6145" t="s">
        <v>47424</v>
      </c>
      <c r="O6145" t="s">
        <v>47425</v>
      </c>
      <c r="P6145">
        <v>0</v>
      </c>
      <c r="Q6145">
        <v>0</v>
      </c>
      <c r="R6145" t="s">
        <v>47431</v>
      </c>
      <c r="S6145" t="s">
        <v>47565</v>
      </c>
      <c r="T6145" t="s">
        <v>49056</v>
      </c>
      <c r="U6145" t="s">
        <v>54863</v>
      </c>
      <c r="W6145" t="s">
        <v>45399</v>
      </c>
      <c r="X6145" t="s">
        <v>47432</v>
      </c>
    </row>
    <row r="6146" spans="1:24">
      <c r="A6146">
        <f>HYPERLINK("https://www.philgeps.gov.ph/GEPSNONPILOT/Tender/SplashBidNoticeAbstractUI.aspx?menuIndex=3&amp;refID=7155262&amp;Result=3","7155262")</f>
        <v>0</v>
      </c>
      <c r="B6146" t="s">
        <v>2212</v>
      </c>
      <c r="C6146" t="s">
        <v>9705</v>
      </c>
      <c r="D6146" t="s">
        <v>19033</v>
      </c>
      <c r="E6146" t="s">
        <v>24465</v>
      </c>
      <c r="F6146" t="s">
        <v>32831</v>
      </c>
      <c r="G6146" t="s">
        <v>32839</v>
      </c>
      <c r="H6146" t="s">
        <v>32848</v>
      </c>
      <c r="I6146" t="s">
        <v>32852</v>
      </c>
      <c r="J6146" t="s">
        <v>36885</v>
      </c>
      <c r="K6146" t="s">
        <v>42732</v>
      </c>
      <c r="M6146" t="s">
        <v>45392</v>
      </c>
      <c r="N6146" t="s">
        <v>47424</v>
      </c>
      <c r="O6146" t="s">
        <v>47425</v>
      </c>
      <c r="P6146">
        <v>0</v>
      </c>
      <c r="Q6146">
        <v>2</v>
      </c>
      <c r="R6146" t="s">
        <v>47431</v>
      </c>
      <c r="S6146" t="s">
        <v>47565</v>
      </c>
      <c r="T6146" t="s">
        <v>49100</v>
      </c>
      <c r="U6146" t="s">
        <v>54864</v>
      </c>
      <c r="W6146" t="s">
        <v>45392</v>
      </c>
      <c r="X6146" t="s">
        <v>47432</v>
      </c>
    </row>
    <row r="6147" spans="1:24">
      <c r="A6147">
        <f>HYPERLINK("https://www.philgeps.gov.ph/GEPSNONPILOT/Tender/SplashBidNoticeAbstractUI.aspx?menuIndex=3&amp;refID=7155260&amp;Result=3","7155260")</f>
        <v>0</v>
      </c>
      <c r="B6147" t="s">
        <v>2220</v>
      </c>
      <c r="C6147" t="s">
        <v>9706</v>
      </c>
      <c r="D6147" t="s">
        <v>19062</v>
      </c>
      <c r="E6147" t="s">
        <v>24466</v>
      </c>
      <c r="F6147" t="s">
        <v>32831</v>
      </c>
      <c r="G6147" t="s">
        <v>32838</v>
      </c>
      <c r="H6147" t="s">
        <v>32848</v>
      </c>
      <c r="I6147" t="s">
        <v>32870</v>
      </c>
      <c r="J6147" t="s">
        <v>34207</v>
      </c>
      <c r="K6147" t="s">
        <v>42730</v>
      </c>
      <c r="M6147" t="s">
        <v>45400</v>
      </c>
      <c r="N6147" t="s">
        <v>47424</v>
      </c>
      <c r="O6147" t="s">
        <v>47425</v>
      </c>
      <c r="P6147">
        <v>0</v>
      </c>
      <c r="Q6147">
        <v>1</v>
      </c>
      <c r="R6147" t="s">
        <v>47431</v>
      </c>
      <c r="S6147" t="s">
        <v>47565</v>
      </c>
      <c r="T6147" t="s">
        <v>49214</v>
      </c>
      <c r="U6147" t="s">
        <v>54865</v>
      </c>
      <c r="W6147" t="s">
        <v>45400</v>
      </c>
      <c r="X6147" t="s">
        <v>47432</v>
      </c>
    </row>
    <row r="6148" spans="1:24">
      <c r="A6148">
        <f>HYPERLINK("https://www.philgeps.gov.ph/GEPSNONPILOT/Tender/SplashBidNoticeAbstractUI.aspx?menuIndex=3&amp;refID=7155258&amp;Result=3","7155258")</f>
        <v>0</v>
      </c>
      <c r="B6148" t="s">
        <v>2220</v>
      </c>
      <c r="C6148" t="s">
        <v>9707</v>
      </c>
      <c r="D6148" t="s">
        <v>19062</v>
      </c>
      <c r="E6148" t="s">
        <v>24467</v>
      </c>
      <c r="F6148" t="s">
        <v>32831</v>
      </c>
      <c r="G6148" t="s">
        <v>32838</v>
      </c>
      <c r="H6148" t="s">
        <v>32848</v>
      </c>
      <c r="I6148" t="s">
        <v>7416</v>
      </c>
      <c r="J6148" t="s">
        <v>36886</v>
      </c>
      <c r="K6148" t="s">
        <v>42730</v>
      </c>
      <c r="M6148" t="s">
        <v>45400</v>
      </c>
      <c r="N6148" t="s">
        <v>47424</v>
      </c>
      <c r="O6148" t="s">
        <v>47425</v>
      </c>
      <c r="P6148">
        <v>0</v>
      </c>
      <c r="Q6148">
        <v>3</v>
      </c>
      <c r="R6148" t="s">
        <v>47431</v>
      </c>
      <c r="S6148" t="s">
        <v>47565</v>
      </c>
      <c r="T6148" t="s">
        <v>49214</v>
      </c>
      <c r="U6148" t="s">
        <v>54865</v>
      </c>
      <c r="W6148" t="s">
        <v>45400</v>
      </c>
      <c r="X6148" t="s">
        <v>47432</v>
      </c>
    </row>
    <row r="6149" spans="1:24">
      <c r="A6149">
        <f>HYPERLINK("https://www.philgeps.gov.ph/GEPSNONPILOT/Tender/SplashBidNoticeAbstractUI.aspx?menuIndex=3&amp;refID=7155272&amp;Result=3","7155272")</f>
        <v>0</v>
      </c>
      <c r="B6149" t="s">
        <v>2221</v>
      </c>
      <c r="C6149" t="s">
        <v>9708</v>
      </c>
      <c r="D6149" t="s">
        <v>19031</v>
      </c>
      <c r="E6149" t="s">
        <v>24468</v>
      </c>
      <c r="F6149" t="s">
        <v>32831</v>
      </c>
      <c r="G6149" t="s">
        <v>32838</v>
      </c>
      <c r="H6149" t="s">
        <v>32848</v>
      </c>
      <c r="I6149" t="s">
        <v>4438</v>
      </c>
      <c r="J6149" t="s">
        <v>36887</v>
      </c>
      <c r="K6149" t="s">
        <v>42731</v>
      </c>
      <c r="M6149" t="s">
        <v>45401</v>
      </c>
      <c r="N6149" t="s">
        <v>47424</v>
      </c>
      <c r="O6149" t="s">
        <v>47425</v>
      </c>
      <c r="P6149">
        <v>0</v>
      </c>
      <c r="Q6149">
        <v>0</v>
      </c>
      <c r="R6149" t="s">
        <v>47431</v>
      </c>
      <c r="S6149" t="s">
        <v>47565</v>
      </c>
      <c r="T6149" t="s">
        <v>49205</v>
      </c>
      <c r="U6149" t="s">
        <v>54866</v>
      </c>
      <c r="W6149" t="s">
        <v>45401</v>
      </c>
      <c r="X6149" t="s">
        <v>47432</v>
      </c>
    </row>
    <row r="6150" spans="1:24">
      <c r="A6150">
        <f>HYPERLINK("https://www.philgeps.gov.ph/GEPSNONPILOT/Tender/SplashBidNoticeAbstractUI.aspx?menuIndex=3&amp;refID=7155268&amp;Result=3","7155268")</f>
        <v>0</v>
      </c>
      <c r="B6150" t="s">
        <v>2222</v>
      </c>
      <c r="C6150" t="s">
        <v>9709</v>
      </c>
      <c r="D6150" t="s">
        <v>19018</v>
      </c>
      <c r="E6150" t="s">
        <v>19311</v>
      </c>
      <c r="F6150" t="s">
        <v>32831</v>
      </c>
      <c r="G6150" t="s">
        <v>32839</v>
      </c>
      <c r="H6150" t="s">
        <v>32848</v>
      </c>
      <c r="I6150" t="s">
        <v>7751</v>
      </c>
      <c r="J6150" t="s">
        <v>33257</v>
      </c>
      <c r="K6150" t="s">
        <v>42727</v>
      </c>
      <c r="M6150" t="s">
        <v>45402</v>
      </c>
      <c r="N6150" t="s">
        <v>47424</v>
      </c>
      <c r="O6150" t="s">
        <v>47425</v>
      </c>
      <c r="P6150">
        <v>0</v>
      </c>
      <c r="Q6150">
        <v>2</v>
      </c>
      <c r="R6150" t="s">
        <v>47431</v>
      </c>
      <c r="S6150" t="s">
        <v>47565</v>
      </c>
      <c r="T6150" t="s">
        <v>49056</v>
      </c>
      <c r="U6150" t="s">
        <v>54867</v>
      </c>
      <c r="V6150" t="s">
        <v>63305</v>
      </c>
      <c r="W6150" t="s">
        <v>45402</v>
      </c>
      <c r="X6150" t="s">
        <v>47432</v>
      </c>
    </row>
    <row r="6151" spans="1:24">
      <c r="A6151">
        <f>HYPERLINK("https://www.philgeps.gov.ph/GEPSNONPILOT/Tender/SplashBidNoticeAbstractUI.aspx?menuIndex=3&amp;refID=7155254&amp;Result=3","7155254")</f>
        <v>0</v>
      </c>
      <c r="B6151" t="s">
        <v>2223</v>
      </c>
      <c r="C6151" t="s">
        <v>9710</v>
      </c>
      <c r="D6151" t="s">
        <v>19023</v>
      </c>
      <c r="E6151" t="s">
        <v>24469</v>
      </c>
      <c r="F6151" t="s">
        <v>32836</v>
      </c>
      <c r="G6151" t="s">
        <v>32838</v>
      </c>
      <c r="H6151" t="s">
        <v>32848</v>
      </c>
      <c r="I6151" t="s">
        <v>4776</v>
      </c>
      <c r="J6151" t="s">
        <v>33175</v>
      </c>
      <c r="K6151" t="s">
        <v>42759</v>
      </c>
      <c r="M6151" t="s">
        <v>45403</v>
      </c>
      <c r="N6151" t="s">
        <v>47424</v>
      </c>
      <c r="O6151" t="s">
        <v>47425</v>
      </c>
      <c r="P6151">
        <v>0</v>
      </c>
      <c r="Q6151">
        <v>2</v>
      </c>
      <c r="R6151" t="s">
        <v>47431</v>
      </c>
      <c r="S6151" t="s">
        <v>47565</v>
      </c>
      <c r="T6151" t="s">
        <v>49125</v>
      </c>
      <c r="U6151" t="s">
        <v>54868</v>
      </c>
      <c r="W6151" t="s">
        <v>45403</v>
      </c>
      <c r="X6151" t="s">
        <v>47432</v>
      </c>
    </row>
    <row r="6152" spans="1:24">
      <c r="A6152">
        <f>HYPERLINK("https://www.philgeps.gov.ph/GEPSNONPILOT/Tender/SplashBidNoticeAbstractUI.aspx?menuIndex=3&amp;refID=7155252&amp;Result=3","7155252")</f>
        <v>0</v>
      </c>
      <c r="B6152" t="s">
        <v>2224</v>
      </c>
      <c r="C6152" t="s">
        <v>9711</v>
      </c>
      <c r="D6152" t="s">
        <v>19044</v>
      </c>
      <c r="E6152" t="s">
        <v>24470</v>
      </c>
      <c r="F6152" t="s">
        <v>32831</v>
      </c>
      <c r="G6152" t="s">
        <v>32839</v>
      </c>
      <c r="H6152" t="s">
        <v>32848</v>
      </c>
      <c r="I6152" t="s">
        <v>7416</v>
      </c>
      <c r="J6152" t="s">
        <v>36888</v>
      </c>
      <c r="K6152" t="s">
        <v>42730</v>
      </c>
      <c r="M6152" t="s">
        <v>45404</v>
      </c>
      <c r="N6152" t="s">
        <v>47424</v>
      </c>
      <c r="O6152" t="s">
        <v>47425</v>
      </c>
      <c r="P6152">
        <v>0</v>
      </c>
      <c r="Q6152">
        <v>0</v>
      </c>
      <c r="R6152" t="s">
        <v>47431</v>
      </c>
      <c r="S6152" t="s">
        <v>47565</v>
      </c>
      <c r="T6152" t="s">
        <v>49089</v>
      </c>
      <c r="U6152" t="s">
        <v>54869</v>
      </c>
      <c r="W6152" t="s">
        <v>45404</v>
      </c>
      <c r="X6152" t="s">
        <v>47432</v>
      </c>
    </row>
    <row r="6153" spans="1:24">
      <c r="A6153">
        <f>HYPERLINK("https://www.philgeps.gov.ph/GEPSNONPILOT/Tender/SplashBidNoticeAbstractUI.aspx?menuIndex=3&amp;refID=7154851&amp;Result=3","7154851")</f>
        <v>0</v>
      </c>
      <c r="B6153" t="s">
        <v>598</v>
      </c>
      <c r="C6153" t="s">
        <v>9712</v>
      </c>
      <c r="E6153" t="s">
        <v>24471</v>
      </c>
      <c r="F6153" t="s">
        <v>32831</v>
      </c>
      <c r="G6153" t="s">
        <v>32839</v>
      </c>
      <c r="H6153" t="s">
        <v>32848</v>
      </c>
      <c r="I6153" t="s">
        <v>4487</v>
      </c>
      <c r="J6153" t="s">
        <v>36005</v>
      </c>
      <c r="K6153" t="s">
        <v>42732</v>
      </c>
      <c r="M6153" t="s">
        <v>43991</v>
      </c>
      <c r="N6153" t="s">
        <v>47424</v>
      </c>
      <c r="O6153" t="s">
        <v>47425</v>
      </c>
      <c r="P6153">
        <v>0</v>
      </c>
      <c r="Q6153">
        <v>18</v>
      </c>
      <c r="R6153" t="s">
        <v>47431</v>
      </c>
      <c r="S6153" t="s">
        <v>47565</v>
      </c>
      <c r="T6153" t="s">
        <v>49396</v>
      </c>
      <c r="U6153" t="s">
        <v>54781</v>
      </c>
      <c r="W6153" t="s">
        <v>43991</v>
      </c>
      <c r="X6153" t="s">
        <v>47433</v>
      </c>
    </row>
    <row r="6154" spans="1:24">
      <c r="A6154">
        <f>HYPERLINK("https://www.philgeps.gov.ph/GEPSNONPILOT/Tender/SplashBidNoticeAbstractUI.aspx?menuIndex=3&amp;refID=7155249&amp;Result=3","7155249")</f>
        <v>0</v>
      </c>
      <c r="B6154" t="s">
        <v>2225</v>
      </c>
      <c r="C6154" t="s">
        <v>9713</v>
      </c>
      <c r="E6154" t="s">
        <v>24472</v>
      </c>
      <c r="F6154" t="s">
        <v>32831</v>
      </c>
      <c r="G6154" t="s">
        <v>32839</v>
      </c>
      <c r="H6154" t="s">
        <v>32849</v>
      </c>
      <c r="I6154" t="s">
        <v>4177</v>
      </c>
      <c r="J6154" t="s">
        <v>36889</v>
      </c>
      <c r="K6154" t="s">
        <v>42735</v>
      </c>
      <c r="M6154" t="s">
        <v>45405</v>
      </c>
      <c r="N6154" t="s">
        <v>47424</v>
      </c>
      <c r="O6154" t="s">
        <v>47425</v>
      </c>
      <c r="P6154">
        <v>0</v>
      </c>
      <c r="Q6154">
        <v>0</v>
      </c>
      <c r="R6154" t="s">
        <v>47431</v>
      </c>
      <c r="S6154" t="s">
        <v>47565</v>
      </c>
      <c r="T6154" t="s">
        <v>49123</v>
      </c>
      <c r="U6154" t="s">
        <v>54870</v>
      </c>
      <c r="W6154" t="s">
        <v>45405</v>
      </c>
      <c r="X6154" t="s">
        <v>47432</v>
      </c>
    </row>
    <row r="6155" spans="1:24">
      <c r="A6155">
        <f>HYPERLINK("https://www.philgeps.gov.ph/GEPSNONPILOT/Tender/SplashBidNoticeAbstractUI.aspx?menuIndex=3&amp;refID=7155246&amp;Result=3","7155246")</f>
        <v>0</v>
      </c>
      <c r="B6155" t="s">
        <v>2226</v>
      </c>
      <c r="C6155" t="s">
        <v>9714</v>
      </c>
      <c r="D6155" t="s">
        <v>19050</v>
      </c>
      <c r="E6155" t="s">
        <v>24473</v>
      </c>
      <c r="F6155" t="s">
        <v>32831</v>
      </c>
      <c r="G6155" t="s">
        <v>32839</v>
      </c>
      <c r="H6155" t="s">
        <v>32848</v>
      </c>
      <c r="I6155" t="s">
        <v>32856</v>
      </c>
      <c r="J6155" t="s">
        <v>36890</v>
      </c>
      <c r="K6155" t="s">
        <v>42727</v>
      </c>
      <c r="M6155" t="s">
        <v>45406</v>
      </c>
      <c r="N6155" t="s">
        <v>47424</v>
      </c>
      <c r="O6155" t="s">
        <v>47425</v>
      </c>
      <c r="P6155">
        <v>0</v>
      </c>
      <c r="Q6155">
        <v>1</v>
      </c>
      <c r="R6155" t="s">
        <v>47431</v>
      </c>
      <c r="S6155" t="s">
        <v>47565</v>
      </c>
      <c r="T6155" t="s">
        <v>49056</v>
      </c>
      <c r="U6155" t="s">
        <v>54871</v>
      </c>
      <c r="W6155" t="s">
        <v>45406</v>
      </c>
      <c r="X6155" t="s">
        <v>47432</v>
      </c>
    </row>
    <row r="6156" spans="1:24">
      <c r="A6156">
        <f>HYPERLINK("https://www.philgeps.gov.ph/GEPSNONPILOT/Tender/SplashBidNoticeAbstractUI.aspx?menuIndex=3&amp;refID=7154844&amp;Result=3","7154844")</f>
        <v>0</v>
      </c>
      <c r="B6156" t="s">
        <v>2224</v>
      </c>
      <c r="C6156" t="s">
        <v>9715</v>
      </c>
      <c r="D6156" t="s">
        <v>19044</v>
      </c>
      <c r="E6156" t="s">
        <v>24474</v>
      </c>
      <c r="F6156" t="s">
        <v>32831</v>
      </c>
      <c r="G6156" t="s">
        <v>32839</v>
      </c>
      <c r="H6156" t="s">
        <v>32848</v>
      </c>
      <c r="I6156" t="s">
        <v>7416</v>
      </c>
      <c r="J6156" t="s">
        <v>36891</v>
      </c>
      <c r="K6156" t="s">
        <v>42730</v>
      </c>
      <c r="M6156" t="s">
        <v>45404</v>
      </c>
      <c r="N6156" t="s">
        <v>47424</v>
      </c>
      <c r="O6156" t="s">
        <v>47425</v>
      </c>
      <c r="P6156">
        <v>0</v>
      </c>
      <c r="Q6156">
        <v>0</v>
      </c>
      <c r="R6156" t="s">
        <v>47431</v>
      </c>
      <c r="S6156" t="s">
        <v>47565</v>
      </c>
      <c r="T6156" t="s">
        <v>49453</v>
      </c>
      <c r="U6156" t="s">
        <v>54872</v>
      </c>
      <c r="W6156" t="s">
        <v>45404</v>
      </c>
      <c r="X6156" t="s">
        <v>47433</v>
      </c>
    </row>
    <row r="6157" spans="1:24">
      <c r="A6157">
        <f>HYPERLINK("https://www.philgeps.gov.ph/GEPSNONPILOT/Tender/SplashBidNoticeAbstractUI.aspx?menuIndex=3&amp;refID=7155257&amp;Result=3","7155257")</f>
        <v>0</v>
      </c>
      <c r="B6157" t="s">
        <v>2220</v>
      </c>
      <c r="C6157" t="s">
        <v>9716</v>
      </c>
      <c r="D6157" t="s">
        <v>19062</v>
      </c>
      <c r="E6157" t="s">
        <v>24475</v>
      </c>
      <c r="F6157" t="s">
        <v>32831</v>
      </c>
      <c r="G6157" t="s">
        <v>32838</v>
      </c>
      <c r="H6157" t="s">
        <v>32848</v>
      </c>
      <c r="I6157" t="s">
        <v>4303</v>
      </c>
      <c r="J6157" t="s">
        <v>36892</v>
      </c>
      <c r="K6157" t="s">
        <v>42730</v>
      </c>
      <c r="M6157" t="s">
        <v>45400</v>
      </c>
      <c r="N6157" t="s">
        <v>47424</v>
      </c>
      <c r="O6157" t="s">
        <v>47425</v>
      </c>
      <c r="P6157">
        <v>0</v>
      </c>
      <c r="Q6157">
        <v>4</v>
      </c>
      <c r="R6157" t="s">
        <v>47431</v>
      </c>
      <c r="S6157" t="s">
        <v>47565</v>
      </c>
      <c r="T6157" t="s">
        <v>49214</v>
      </c>
      <c r="U6157" t="s">
        <v>54865</v>
      </c>
      <c r="W6157" t="s">
        <v>45400</v>
      </c>
      <c r="X6157" t="s">
        <v>47432</v>
      </c>
    </row>
    <row r="6158" spans="1:24">
      <c r="A6158">
        <f>HYPERLINK("https://www.philgeps.gov.ph/GEPSNONPILOT/Tender/SplashBidNoticeAbstractUI.aspx?menuIndex=3&amp;refID=7155255&amp;Result=3","7155255")</f>
        <v>0</v>
      </c>
      <c r="B6158" t="s">
        <v>2181</v>
      </c>
      <c r="C6158" t="s">
        <v>9717</v>
      </c>
      <c r="D6158" t="s">
        <v>19085</v>
      </c>
      <c r="E6158" t="s">
        <v>24476</v>
      </c>
      <c r="F6158" t="s">
        <v>32831</v>
      </c>
      <c r="G6158" t="s">
        <v>32839</v>
      </c>
      <c r="H6158" t="s">
        <v>32849</v>
      </c>
      <c r="I6158" t="s">
        <v>4177</v>
      </c>
      <c r="J6158" t="s">
        <v>33016</v>
      </c>
      <c r="K6158" t="s">
        <v>42770</v>
      </c>
      <c r="M6158" t="s">
        <v>45361</v>
      </c>
      <c r="N6158" t="s">
        <v>47424</v>
      </c>
      <c r="O6158" t="s">
        <v>47425</v>
      </c>
      <c r="P6158">
        <v>0</v>
      </c>
      <c r="Q6158">
        <v>0</v>
      </c>
      <c r="R6158" t="s">
        <v>47431</v>
      </c>
      <c r="S6158" t="s">
        <v>47565</v>
      </c>
      <c r="T6158" t="s">
        <v>49302</v>
      </c>
      <c r="U6158" t="s">
        <v>54731</v>
      </c>
      <c r="W6158" t="s">
        <v>45361</v>
      </c>
      <c r="X6158" t="s">
        <v>47432</v>
      </c>
    </row>
    <row r="6159" spans="1:24">
      <c r="A6159">
        <f>HYPERLINK("https://www.philgeps.gov.ph/GEPSNONPILOT/Tender/SplashBidNoticeAbstractUI.aspx?menuIndex=3&amp;refID=7155243&amp;Result=3","7155243")</f>
        <v>0</v>
      </c>
      <c r="B6159" t="s">
        <v>192</v>
      </c>
      <c r="C6159" t="s">
        <v>9718</v>
      </c>
      <c r="D6159" t="s">
        <v>19057</v>
      </c>
      <c r="E6159" t="s">
        <v>24477</v>
      </c>
      <c r="F6159" t="s">
        <v>32831</v>
      </c>
      <c r="G6159" t="s">
        <v>32839</v>
      </c>
      <c r="H6159" t="s">
        <v>32848</v>
      </c>
      <c r="I6159" t="s">
        <v>7751</v>
      </c>
      <c r="J6159" t="s">
        <v>33257</v>
      </c>
      <c r="K6159" t="s">
        <v>42730</v>
      </c>
      <c r="M6159" t="s">
        <v>43190</v>
      </c>
      <c r="N6159" t="s">
        <v>47424</v>
      </c>
      <c r="O6159" t="s">
        <v>47425</v>
      </c>
      <c r="P6159">
        <v>0</v>
      </c>
      <c r="Q6159">
        <v>5</v>
      </c>
      <c r="R6159" t="s">
        <v>47431</v>
      </c>
      <c r="S6159" t="s">
        <v>47565</v>
      </c>
      <c r="T6159" t="s">
        <v>49118</v>
      </c>
      <c r="U6159" t="s">
        <v>54873</v>
      </c>
      <c r="W6159" t="s">
        <v>43190</v>
      </c>
      <c r="X6159" t="s">
        <v>47433</v>
      </c>
    </row>
    <row r="6160" spans="1:24">
      <c r="A6160">
        <f>HYPERLINK("https://www.philgeps.gov.ph/GEPSNONPILOT/Tender/SplashBidNoticeAbstractUI.aspx?menuIndex=3&amp;refID=7155281&amp;Result=3","7155281")</f>
        <v>0</v>
      </c>
      <c r="B6160" t="s">
        <v>512</v>
      </c>
      <c r="C6160" t="s">
        <v>9719</v>
      </c>
      <c r="D6160" t="s">
        <v>19018</v>
      </c>
      <c r="E6160" t="s">
        <v>24478</v>
      </c>
      <c r="F6160" t="s">
        <v>32831</v>
      </c>
      <c r="G6160" t="s">
        <v>32838</v>
      </c>
      <c r="H6160" t="s">
        <v>32848</v>
      </c>
      <c r="I6160" t="s">
        <v>4340</v>
      </c>
      <c r="J6160" t="s">
        <v>36893</v>
      </c>
      <c r="K6160" t="s">
        <v>42727</v>
      </c>
      <c r="M6160" t="s">
        <v>43517</v>
      </c>
      <c r="N6160" t="s">
        <v>47424</v>
      </c>
      <c r="O6160" t="s">
        <v>47425</v>
      </c>
      <c r="P6160">
        <v>0</v>
      </c>
      <c r="Q6160">
        <v>1</v>
      </c>
      <c r="R6160" t="s">
        <v>47431</v>
      </c>
      <c r="S6160" t="s">
        <v>47565</v>
      </c>
      <c r="T6160" t="s">
        <v>49111</v>
      </c>
      <c r="U6160" t="s">
        <v>54859</v>
      </c>
      <c r="W6160" t="s">
        <v>43517</v>
      </c>
      <c r="X6160" t="s">
        <v>47432</v>
      </c>
    </row>
    <row r="6161" spans="1:24">
      <c r="A6161">
        <f>HYPERLINK("https://www.philgeps.gov.ph/GEPSNONPILOT/Tender/SplashBidNoticeAbstractUI.aspx?menuIndex=3&amp;refID=7154641&amp;Result=3","7154641")</f>
        <v>0</v>
      </c>
      <c r="B6161" t="s">
        <v>2227</v>
      </c>
      <c r="C6161" t="s">
        <v>9720</v>
      </c>
      <c r="D6161" t="s">
        <v>19041</v>
      </c>
      <c r="E6161" t="s">
        <v>19845</v>
      </c>
      <c r="F6161" t="s">
        <v>32831</v>
      </c>
      <c r="G6161" t="s">
        <v>32839</v>
      </c>
      <c r="H6161" t="s">
        <v>32849</v>
      </c>
      <c r="I6161" t="s">
        <v>4177</v>
      </c>
      <c r="J6161" t="s">
        <v>36894</v>
      </c>
      <c r="K6161" t="s">
        <v>42801</v>
      </c>
      <c r="M6161" t="s">
        <v>45407</v>
      </c>
      <c r="N6161" t="s">
        <v>47424</v>
      </c>
      <c r="O6161" t="s">
        <v>47425</v>
      </c>
      <c r="P6161">
        <v>0</v>
      </c>
      <c r="Q6161">
        <v>0</v>
      </c>
      <c r="R6161" t="s">
        <v>47431</v>
      </c>
      <c r="S6161" t="s">
        <v>47565</v>
      </c>
      <c r="T6161" t="s">
        <v>49079</v>
      </c>
      <c r="U6161" t="s">
        <v>54874</v>
      </c>
      <c r="W6161" t="s">
        <v>45407</v>
      </c>
      <c r="X6161" t="s">
        <v>47433</v>
      </c>
    </row>
    <row r="6162" spans="1:24">
      <c r="A6162">
        <f>HYPERLINK("https://www.philgeps.gov.ph/GEPSNONPILOT/Tender/SplashBidNoticeAbstractUI.aspx?menuIndex=3&amp;refID=7155250&amp;Result=3","7155250")</f>
        <v>0</v>
      </c>
      <c r="B6162" t="s">
        <v>2225</v>
      </c>
      <c r="C6162" t="s">
        <v>9721</v>
      </c>
      <c r="E6162" t="s">
        <v>24479</v>
      </c>
      <c r="F6162" t="s">
        <v>32831</v>
      </c>
      <c r="G6162" t="s">
        <v>32839</v>
      </c>
      <c r="H6162" t="s">
        <v>32849</v>
      </c>
      <c r="I6162" t="s">
        <v>4177</v>
      </c>
      <c r="J6162" t="s">
        <v>36895</v>
      </c>
      <c r="K6162" t="s">
        <v>42825</v>
      </c>
      <c r="M6162" t="s">
        <v>45405</v>
      </c>
      <c r="N6162" t="s">
        <v>47424</v>
      </c>
      <c r="O6162" t="s">
        <v>47425</v>
      </c>
      <c r="P6162">
        <v>0</v>
      </c>
      <c r="Q6162">
        <v>0</v>
      </c>
      <c r="R6162" t="s">
        <v>47431</v>
      </c>
      <c r="S6162" t="s">
        <v>47565</v>
      </c>
      <c r="T6162" t="s">
        <v>49454</v>
      </c>
      <c r="U6162" t="s">
        <v>54875</v>
      </c>
      <c r="W6162" t="s">
        <v>45405</v>
      </c>
      <c r="X6162" t="s">
        <v>47432</v>
      </c>
    </row>
    <row r="6163" spans="1:24">
      <c r="A6163">
        <f>HYPERLINK("https://www.philgeps.gov.ph/GEPSNONPILOT/Tender/SplashBidNoticeAbstractUI.aspx?menuIndex=3&amp;refID=7154636&amp;Result=3","7154636")</f>
        <v>0</v>
      </c>
      <c r="B6163" t="s">
        <v>2228</v>
      </c>
      <c r="C6163" t="s">
        <v>9722</v>
      </c>
      <c r="D6163" t="s">
        <v>19017</v>
      </c>
      <c r="E6163" t="s">
        <v>24480</v>
      </c>
      <c r="F6163" t="s">
        <v>32831</v>
      </c>
      <c r="G6163" t="s">
        <v>32839</v>
      </c>
      <c r="H6163" t="s">
        <v>32848</v>
      </c>
      <c r="I6163" t="s">
        <v>10805</v>
      </c>
      <c r="J6163" t="s">
        <v>36896</v>
      </c>
      <c r="K6163" t="s">
        <v>42730</v>
      </c>
      <c r="M6163" t="s">
        <v>45408</v>
      </c>
      <c r="N6163" t="s">
        <v>47424</v>
      </c>
      <c r="O6163" t="s">
        <v>47425</v>
      </c>
      <c r="P6163">
        <v>0</v>
      </c>
      <c r="Q6163">
        <v>13</v>
      </c>
      <c r="R6163" t="s">
        <v>47431</v>
      </c>
      <c r="S6163" t="s">
        <v>47565</v>
      </c>
      <c r="T6163" t="s">
        <v>49291</v>
      </c>
      <c r="U6163" t="s">
        <v>54876</v>
      </c>
      <c r="V6163" t="s">
        <v>63306</v>
      </c>
      <c r="W6163" t="s">
        <v>45408</v>
      </c>
      <c r="X6163" t="s">
        <v>47433</v>
      </c>
    </row>
    <row r="6164" spans="1:24">
      <c r="A6164">
        <f>HYPERLINK("https://www.philgeps.gov.ph/GEPSNONPILOT/Tender/SplashBidNoticeAbstractUI.aspx?menuIndex=3&amp;refID=7154118&amp;Result=3","7154118")</f>
        <v>0</v>
      </c>
      <c r="B6164" t="s">
        <v>2229</v>
      </c>
      <c r="C6164" t="s">
        <v>9723</v>
      </c>
      <c r="D6164" t="s">
        <v>19027</v>
      </c>
      <c r="E6164" t="s">
        <v>24481</v>
      </c>
      <c r="F6164" t="s">
        <v>32831</v>
      </c>
      <c r="G6164" t="s">
        <v>32840</v>
      </c>
      <c r="H6164" t="s">
        <v>32848</v>
      </c>
      <c r="I6164" t="s">
        <v>32858</v>
      </c>
      <c r="J6164" t="s">
        <v>36897</v>
      </c>
      <c r="K6164" t="s">
        <v>42758</v>
      </c>
      <c r="M6164" t="s">
        <v>45409</v>
      </c>
      <c r="N6164" t="s">
        <v>47424</v>
      </c>
      <c r="O6164" t="s">
        <v>47425</v>
      </c>
      <c r="P6164">
        <v>0</v>
      </c>
      <c r="Q6164">
        <v>1</v>
      </c>
      <c r="R6164" t="s">
        <v>47431</v>
      </c>
      <c r="S6164" t="s">
        <v>47565</v>
      </c>
      <c r="T6164" t="s">
        <v>49111</v>
      </c>
      <c r="U6164" t="s">
        <v>54877</v>
      </c>
      <c r="V6164" t="s">
        <v>63307</v>
      </c>
      <c r="W6164" t="s">
        <v>45409</v>
      </c>
      <c r="X6164" t="s">
        <v>47433</v>
      </c>
    </row>
    <row r="6165" spans="1:24">
      <c r="A6165">
        <f>HYPERLINK("https://www.philgeps.gov.ph/GEPSNONPILOT/Tender/SplashBidNoticeAbstractUI.aspx?menuIndex=3&amp;refID=7154758&amp;Result=3","7154758")</f>
        <v>0</v>
      </c>
      <c r="B6165" t="s">
        <v>277</v>
      </c>
      <c r="C6165" t="s">
        <v>9724</v>
      </c>
      <c r="D6165" t="s">
        <v>19068</v>
      </c>
      <c r="E6165" t="s">
        <v>24482</v>
      </c>
      <c r="F6165" t="s">
        <v>32831</v>
      </c>
      <c r="G6165" t="s">
        <v>32839</v>
      </c>
      <c r="H6165" t="s">
        <v>32848</v>
      </c>
      <c r="I6165" t="s">
        <v>4558</v>
      </c>
      <c r="J6165" t="s">
        <v>36898</v>
      </c>
      <c r="K6165" t="s">
        <v>42730</v>
      </c>
      <c r="M6165" t="s">
        <v>43276</v>
      </c>
      <c r="N6165" t="s">
        <v>47424</v>
      </c>
      <c r="O6165" t="s">
        <v>47425</v>
      </c>
      <c r="P6165">
        <v>0</v>
      </c>
      <c r="Q6165">
        <v>3</v>
      </c>
      <c r="R6165" t="s">
        <v>47431</v>
      </c>
      <c r="S6165" t="s">
        <v>47565</v>
      </c>
      <c r="T6165" t="s">
        <v>49077</v>
      </c>
      <c r="U6165" t="s">
        <v>54878</v>
      </c>
      <c r="W6165" t="s">
        <v>43276</v>
      </c>
      <c r="X6165" t="s">
        <v>47433</v>
      </c>
    </row>
    <row r="6166" spans="1:24">
      <c r="A6166">
        <f>HYPERLINK("https://www.philgeps.gov.ph/GEPSNONPILOT/Tender/SplashBidNoticeAbstractUI.aspx?menuIndex=3&amp;refID=7154102&amp;Result=3","7154102")</f>
        <v>0</v>
      </c>
      <c r="B6166" t="s">
        <v>1765</v>
      </c>
      <c r="C6166" t="s">
        <v>9725</v>
      </c>
      <c r="E6166" t="s">
        <v>24483</v>
      </c>
      <c r="F6166" t="s">
        <v>32831</v>
      </c>
      <c r="G6166" t="s">
        <v>32840</v>
      </c>
      <c r="H6166" t="s">
        <v>32848</v>
      </c>
      <c r="I6166" t="s">
        <v>9577</v>
      </c>
      <c r="J6166" t="s">
        <v>36899</v>
      </c>
      <c r="K6166" t="s">
        <v>42732</v>
      </c>
      <c r="M6166" t="s">
        <v>44890</v>
      </c>
      <c r="N6166" t="s">
        <v>47424</v>
      </c>
      <c r="O6166" t="s">
        <v>47425</v>
      </c>
      <c r="P6166">
        <v>0</v>
      </c>
      <c r="Q6166">
        <v>3</v>
      </c>
      <c r="R6166" t="s">
        <v>47431</v>
      </c>
      <c r="S6166" t="s">
        <v>47565</v>
      </c>
      <c r="T6166" t="s">
        <v>49177</v>
      </c>
      <c r="U6166" t="s">
        <v>54879</v>
      </c>
      <c r="V6166" t="s">
        <v>63300</v>
      </c>
      <c r="W6166" t="s">
        <v>44890</v>
      </c>
      <c r="X6166" t="s">
        <v>47433</v>
      </c>
    </row>
    <row r="6167" spans="1:24">
      <c r="A6167">
        <f>HYPERLINK("https://www.philgeps.gov.ph/GEPSNONPILOT/Tender/SplashBidNoticeAbstractUI.aspx?menuIndex=3&amp;refID=7153739&amp;Result=3","7153739")</f>
        <v>0</v>
      </c>
      <c r="B6167" t="s">
        <v>34</v>
      </c>
      <c r="C6167" t="s">
        <v>9726</v>
      </c>
      <c r="E6167" t="s">
        <v>24484</v>
      </c>
      <c r="F6167" t="s">
        <v>32831</v>
      </c>
      <c r="G6167" t="s">
        <v>32839</v>
      </c>
      <c r="H6167" t="s">
        <v>32849</v>
      </c>
      <c r="I6167" t="s">
        <v>4177</v>
      </c>
      <c r="J6167" t="s">
        <v>36900</v>
      </c>
      <c r="K6167" t="s">
        <v>42891</v>
      </c>
      <c r="M6167" t="s">
        <v>44653</v>
      </c>
      <c r="N6167" t="s">
        <v>47424</v>
      </c>
      <c r="O6167" t="s">
        <v>47425</v>
      </c>
      <c r="P6167">
        <v>0</v>
      </c>
      <c r="Q6167">
        <v>0</v>
      </c>
      <c r="R6167" t="s">
        <v>47431</v>
      </c>
      <c r="S6167" t="s">
        <v>47565</v>
      </c>
      <c r="T6167" t="s">
        <v>49267</v>
      </c>
      <c r="U6167" t="s">
        <v>54880</v>
      </c>
      <c r="W6167" t="s">
        <v>44653</v>
      </c>
      <c r="X6167" t="s">
        <v>47433</v>
      </c>
    </row>
    <row r="6168" spans="1:24">
      <c r="A6168">
        <f>HYPERLINK("https://www.philgeps.gov.ph/GEPSNONPILOT/Tender/SplashBidNoticeAbstractUI.aspx?menuIndex=3&amp;refID=7155288&amp;Result=3","7155288")</f>
        <v>0</v>
      </c>
      <c r="B6168" t="s">
        <v>2230</v>
      </c>
      <c r="C6168" t="s">
        <v>9727</v>
      </c>
      <c r="D6168" t="s">
        <v>19074</v>
      </c>
      <c r="E6168" t="s">
        <v>24485</v>
      </c>
      <c r="F6168" t="s">
        <v>32831</v>
      </c>
      <c r="G6168" t="s">
        <v>32839</v>
      </c>
      <c r="H6168" t="s">
        <v>32849</v>
      </c>
      <c r="I6168" t="s">
        <v>32909</v>
      </c>
      <c r="J6168" t="s">
        <v>36901</v>
      </c>
      <c r="K6168" t="s">
        <v>42819</v>
      </c>
      <c r="M6168" t="s">
        <v>45410</v>
      </c>
      <c r="N6168" t="s">
        <v>47424</v>
      </c>
      <c r="O6168" t="s">
        <v>47425</v>
      </c>
      <c r="P6168">
        <v>0</v>
      </c>
      <c r="Q6168">
        <v>2</v>
      </c>
      <c r="R6168" t="s">
        <v>47431</v>
      </c>
      <c r="S6168" t="s">
        <v>47565</v>
      </c>
      <c r="T6168" t="s">
        <v>49077</v>
      </c>
      <c r="U6168" t="s">
        <v>54881</v>
      </c>
      <c r="W6168" t="s">
        <v>45410</v>
      </c>
      <c r="X6168" t="s">
        <v>47432</v>
      </c>
    </row>
    <row r="6169" spans="1:24">
      <c r="A6169">
        <f>HYPERLINK("https://www.philgeps.gov.ph/GEPSNONPILOT/Tender/SplashBidNoticeAbstractUI.aspx?menuIndex=3&amp;refID=7155330&amp;Result=3","7155330")</f>
        <v>0</v>
      </c>
      <c r="B6169" t="s">
        <v>1824</v>
      </c>
      <c r="C6169" t="s">
        <v>9728</v>
      </c>
      <c r="D6169" t="s">
        <v>19042</v>
      </c>
      <c r="E6169" t="s">
        <v>24486</v>
      </c>
      <c r="F6169" t="s">
        <v>32831</v>
      </c>
      <c r="G6169" t="s">
        <v>32838</v>
      </c>
      <c r="H6169" t="s">
        <v>32848</v>
      </c>
      <c r="I6169" t="s">
        <v>32960</v>
      </c>
      <c r="J6169" t="s">
        <v>36902</v>
      </c>
      <c r="K6169" t="s">
        <v>42727</v>
      </c>
      <c r="M6169" t="s">
        <v>44957</v>
      </c>
      <c r="N6169" t="s">
        <v>47424</v>
      </c>
      <c r="O6169" t="s">
        <v>47425</v>
      </c>
      <c r="P6169">
        <v>0</v>
      </c>
      <c r="Q6169">
        <v>1</v>
      </c>
      <c r="R6169" t="s">
        <v>47431</v>
      </c>
      <c r="S6169" t="s">
        <v>47565</v>
      </c>
      <c r="T6169" t="s">
        <v>49237</v>
      </c>
      <c r="U6169" t="s">
        <v>54882</v>
      </c>
      <c r="W6169" t="s">
        <v>44957</v>
      </c>
      <c r="X6169" t="s">
        <v>47432</v>
      </c>
    </row>
    <row r="6170" spans="1:24">
      <c r="A6170">
        <f>HYPERLINK("https://www.philgeps.gov.ph/GEPSNONPILOT/Tender/SplashBidNoticeAbstractUI.aspx?menuIndex=3&amp;refID=7155326&amp;Result=3","7155326")</f>
        <v>0</v>
      </c>
      <c r="B6170" t="s">
        <v>2231</v>
      </c>
      <c r="C6170" t="s">
        <v>9729</v>
      </c>
      <c r="D6170" t="s">
        <v>19034</v>
      </c>
      <c r="E6170" t="s">
        <v>24487</v>
      </c>
      <c r="F6170" t="s">
        <v>32831</v>
      </c>
      <c r="G6170" t="s">
        <v>32838</v>
      </c>
      <c r="H6170" t="s">
        <v>32848</v>
      </c>
      <c r="I6170" t="s">
        <v>4471</v>
      </c>
      <c r="J6170" t="s">
        <v>36903</v>
      </c>
      <c r="K6170" t="s">
        <v>42730</v>
      </c>
      <c r="M6170" t="s">
        <v>45411</v>
      </c>
      <c r="N6170" t="s">
        <v>47424</v>
      </c>
      <c r="O6170" t="s">
        <v>47425</v>
      </c>
      <c r="P6170">
        <v>0</v>
      </c>
      <c r="Q6170">
        <v>1</v>
      </c>
      <c r="R6170" t="s">
        <v>47431</v>
      </c>
      <c r="S6170" t="s">
        <v>47565</v>
      </c>
      <c r="T6170" t="s">
        <v>49237</v>
      </c>
      <c r="U6170" t="s">
        <v>54883</v>
      </c>
      <c r="W6170" t="s">
        <v>45411</v>
      </c>
      <c r="X6170" t="s">
        <v>47432</v>
      </c>
    </row>
    <row r="6171" spans="1:24">
      <c r="A6171">
        <f>HYPERLINK("https://www.philgeps.gov.ph/GEPSNONPILOT/Tender/SplashBidNoticeAbstractUI.aspx?menuIndex=3&amp;refID=7154796&amp;Result=3","7154796")</f>
        <v>0</v>
      </c>
      <c r="B6171" t="s">
        <v>129</v>
      </c>
      <c r="C6171" t="s">
        <v>9730</v>
      </c>
      <c r="D6171" t="s">
        <v>19026</v>
      </c>
      <c r="E6171" t="s">
        <v>24488</v>
      </c>
      <c r="F6171" t="s">
        <v>32831</v>
      </c>
      <c r="G6171" t="s">
        <v>32845</v>
      </c>
      <c r="H6171" t="s">
        <v>32848</v>
      </c>
      <c r="I6171" t="s">
        <v>4776</v>
      </c>
      <c r="J6171" t="s">
        <v>36904</v>
      </c>
      <c r="K6171" t="s">
        <v>42730</v>
      </c>
      <c r="M6171" t="s">
        <v>45412</v>
      </c>
      <c r="N6171" t="s">
        <v>47424</v>
      </c>
      <c r="O6171" t="s">
        <v>47425</v>
      </c>
      <c r="P6171">
        <v>0</v>
      </c>
      <c r="Q6171">
        <v>3</v>
      </c>
      <c r="R6171" t="s">
        <v>47431</v>
      </c>
      <c r="S6171" t="s">
        <v>47565</v>
      </c>
      <c r="T6171" t="s">
        <v>49236</v>
      </c>
      <c r="U6171" t="s">
        <v>54884</v>
      </c>
      <c r="V6171" t="s">
        <v>63308</v>
      </c>
      <c r="W6171" t="s">
        <v>45412</v>
      </c>
      <c r="X6171" t="s">
        <v>47433</v>
      </c>
    </row>
    <row r="6172" spans="1:24">
      <c r="A6172">
        <f>HYPERLINK("https://www.philgeps.gov.ph/GEPSNONPILOT/Tender/SplashBidNoticeAbstractUI.aspx?menuIndex=3&amp;refID=7155323&amp;Result=3","7155323")</f>
        <v>0</v>
      </c>
      <c r="B6172" t="s">
        <v>2232</v>
      </c>
      <c r="C6172" t="s">
        <v>9731</v>
      </c>
      <c r="D6172" t="s">
        <v>19062</v>
      </c>
      <c r="E6172" t="s">
        <v>24489</v>
      </c>
      <c r="F6172" t="s">
        <v>32831</v>
      </c>
      <c r="G6172" t="s">
        <v>32838</v>
      </c>
      <c r="H6172" t="s">
        <v>32848</v>
      </c>
      <c r="I6172" t="s">
        <v>32862</v>
      </c>
      <c r="J6172" t="s">
        <v>36905</v>
      </c>
      <c r="K6172" t="s">
        <v>42731</v>
      </c>
      <c r="M6172" t="s">
        <v>45413</v>
      </c>
      <c r="N6172" t="s">
        <v>47424</v>
      </c>
      <c r="O6172" t="s">
        <v>47425</v>
      </c>
      <c r="P6172">
        <v>0</v>
      </c>
      <c r="Q6172">
        <v>2</v>
      </c>
      <c r="R6172" t="s">
        <v>47431</v>
      </c>
      <c r="S6172" t="s">
        <v>47565</v>
      </c>
      <c r="T6172" t="s">
        <v>49214</v>
      </c>
      <c r="U6172" t="s">
        <v>54885</v>
      </c>
      <c r="W6172" t="s">
        <v>45413</v>
      </c>
      <c r="X6172" t="s">
        <v>47432</v>
      </c>
    </row>
    <row r="6173" spans="1:24">
      <c r="A6173">
        <f>HYPERLINK("https://www.philgeps.gov.ph/GEPSNONPILOT/Tender/SplashBidNoticeAbstractUI.aspx?menuIndex=3&amp;refID=7155317&amp;Result=3","7155317")</f>
        <v>0</v>
      </c>
      <c r="B6173" t="s">
        <v>136</v>
      </c>
      <c r="C6173" t="s">
        <v>9732</v>
      </c>
      <c r="D6173" t="s">
        <v>19047</v>
      </c>
      <c r="E6173" t="s">
        <v>24490</v>
      </c>
      <c r="F6173" t="s">
        <v>32831</v>
      </c>
      <c r="G6173" t="s">
        <v>32838</v>
      </c>
      <c r="H6173" t="s">
        <v>32848</v>
      </c>
      <c r="I6173" t="s">
        <v>32867</v>
      </c>
      <c r="J6173" t="s">
        <v>36906</v>
      </c>
      <c r="K6173" t="s">
        <v>42729</v>
      </c>
      <c r="L6173" t="s">
        <v>136</v>
      </c>
      <c r="M6173" t="s">
        <v>43133</v>
      </c>
      <c r="N6173" t="s">
        <v>47424</v>
      </c>
      <c r="O6173" t="s">
        <v>47425</v>
      </c>
      <c r="P6173">
        <v>0</v>
      </c>
      <c r="Q6173">
        <v>15</v>
      </c>
      <c r="R6173" t="s">
        <v>47431</v>
      </c>
      <c r="S6173" t="s">
        <v>47565</v>
      </c>
      <c r="T6173" t="s">
        <v>49107</v>
      </c>
      <c r="U6173" t="s">
        <v>54886</v>
      </c>
      <c r="W6173" t="s">
        <v>43133</v>
      </c>
      <c r="X6173" t="s">
        <v>47432</v>
      </c>
    </row>
    <row r="6174" spans="1:24">
      <c r="A6174">
        <f>HYPERLINK("https://www.philgeps.gov.ph/GEPSNONPILOT/Tender/SplashBidNoticeAbstractUI.aspx?menuIndex=3&amp;refID=7154725&amp;Result=3","7154725")</f>
        <v>0</v>
      </c>
      <c r="B6174" t="s">
        <v>277</v>
      </c>
      <c r="C6174" t="s">
        <v>9733</v>
      </c>
      <c r="D6174" t="s">
        <v>19068</v>
      </c>
      <c r="E6174" t="s">
        <v>24491</v>
      </c>
      <c r="F6174" t="s">
        <v>32831</v>
      </c>
      <c r="G6174" t="s">
        <v>32839</v>
      </c>
      <c r="H6174" t="s">
        <v>32848</v>
      </c>
      <c r="I6174" t="s">
        <v>4558</v>
      </c>
      <c r="J6174" t="s">
        <v>36907</v>
      </c>
      <c r="K6174" t="s">
        <v>42730</v>
      </c>
      <c r="M6174" t="s">
        <v>43276</v>
      </c>
      <c r="N6174" t="s">
        <v>47424</v>
      </c>
      <c r="O6174" t="s">
        <v>47425</v>
      </c>
      <c r="P6174">
        <v>0</v>
      </c>
      <c r="Q6174">
        <v>2</v>
      </c>
      <c r="R6174" t="s">
        <v>47431</v>
      </c>
      <c r="S6174" t="s">
        <v>47565</v>
      </c>
      <c r="T6174" t="s">
        <v>49077</v>
      </c>
      <c r="U6174" t="s">
        <v>54887</v>
      </c>
      <c r="W6174" t="s">
        <v>43276</v>
      </c>
      <c r="X6174" t="s">
        <v>47433</v>
      </c>
    </row>
    <row r="6175" spans="1:24">
      <c r="A6175">
        <f>HYPERLINK("https://www.philgeps.gov.ph/GEPSNONPILOT/Tender/SplashBidNoticeAbstractUI.aspx?menuIndex=3&amp;refID=7155313&amp;Result=3","7155313")</f>
        <v>0</v>
      </c>
      <c r="B6175" t="s">
        <v>2233</v>
      </c>
      <c r="C6175" t="s">
        <v>9734</v>
      </c>
      <c r="E6175" t="s">
        <v>24492</v>
      </c>
      <c r="F6175" t="s">
        <v>32831</v>
      </c>
      <c r="G6175" t="s">
        <v>32839</v>
      </c>
      <c r="H6175" t="s">
        <v>32848</v>
      </c>
      <c r="I6175" t="s">
        <v>7416</v>
      </c>
      <c r="J6175" t="s">
        <v>36908</v>
      </c>
      <c r="K6175" t="s">
        <v>42732</v>
      </c>
      <c r="M6175" t="s">
        <v>45414</v>
      </c>
      <c r="N6175" t="s">
        <v>47424</v>
      </c>
      <c r="O6175" t="s">
        <v>47425</v>
      </c>
      <c r="P6175">
        <v>0</v>
      </c>
      <c r="Q6175">
        <v>2</v>
      </c>
      <c r="R6175" t="s">
        <v>47431</v>
      </c>
      <c r="S6175" t="s">
        <v>47565</v>
      </c>
      <c r="T6175" t="s">
        <v>49108</v>
      </c>
      <c r="U6175" t="s">
        <v>54888</v>
      </c>
      <c r="W6175" t="s">
        <v>45414</v>
      </c>
      <c r="X6175" t="s">
        <v>47432</v>
      </c>
    </row>
    <row r="6176" spans="1:24">
      <c r="A6176">
        <f>HYPERLINK("https://www.philgeps.gov.ph/GEPSNONPILOT/Tender/SplashBidNoticeAbstractUI.aspx?menuIndex=3&amp;refID=7155329&amp;Result=3","7155329")</f>
        <v>0</v>
      </c>
      <c r="B6176" t="s">
        <v>677</v>
      </c>
      <c r="C6176" t="s">
        <v>9735</v>
      </c>
      <c r="D6176" t="s">
        <v>19024</v>
      </c>
      <c r="E6176" t="s">
        <v>24493</v>
      </c>
      <c r="F6176" t="s">
        <v>32831</v>
      </c>
      <c r="G6176" t="s">
        <v>32839</v>
      </c>
      <c r="H6176" t="s">
        <v>32849</v>
      </c>
      <c r="I6176" t="s">
        <v>4177</v>
      </c>
      <c r="J6176" t="s">
        <v>36909</v>
      </c>
      <c r="K6176" t="s">
        <v>42770</v>
      </c>
      <c r="M6176" t="s">
        <v>43696</v>
      </c>
      <c r="N6176" t="s">
        <v>47424</v>
      </c>
      <c r="O6176" t="s">
        <v>47425</v>
      </c>
      <c r="P6176">
        <v>0</v>
      </c>
      <c r="Q6176">
        <v>3</v>
      </c>
      <c r="R6176" t="s">
        <v>47431</v>
      </c>
      <c r="S6176" t="s">
        <v>47565</v>
      </c>
      <c r="T6176" t="s">
        <v>49267</v>
      </c>
      <c r="U6176" t="s">
        <v>54889</v>
      </c>
      <c r="V6176" t="s">
        <v>63309</v>
      </c>
      <c r="W6176" t="s">
        <v>43696</v>
      </c>
      <c r="X6176" t="s">
        <v>47432</v>
      </c>
    </row>
    <row r="6177" spans="1:24">
      <c r="A6177">
        <f>HYPERLINK("https://www.philgeps.gov.ph/GEPSNONPILOT/Tender/SplashBidNoticeAbstractUI.aspx?menuIndex=3&amp;refID=7154105&amp;Result=3","7154105")</f>
        <v>0</v>
      </c>
      <c r="B6177" t="s">
        <v>2234</v>
      </c>
      <c r="C6177" t="s">
        <v>9736</v>
      </c>
      <c r="D6177" t="s">
        <v>19043</v>
      </c>
      <c r="E6177" t="s">
        <v>24494</v>
      </c>
      <c r="F6177" t="s">
        <v>32831</v>
      </c>
      <c r="G6177" t="s">
        <v>32839</v>
      </c>
      <c r="H6177" t="s">
        <v>32848</v>
      </c>
      <c r="I6177" t="s">
        <v>10805</v>
      </c>
      <c r="J6177" t="s">
        <v>36910</v>
      </c>
      <c r="K6177" t="s">
        <v>42732</v>
      </c>
      <c r="M6177" t="s">
        <v>45415</v>
      </c>
      <c r="N6177" t="s">
        <v>47424</v>
      </c>
      <c r="O6177" t="s">
        <v>47425</v>
      </c>
      <c r="P6177">
        <v>0</v>
      </c>
      <c r="Q6177">
        <v>5</v>
      </c>
      <c r="R6177" t="s">
        <v>47431</v>
      </c>
      <c r="S6177" t="s">
        <v>47565</v>
      </c>
      <c r="T6177" t="s">
        <v>49160</v>
      </c>
      <c r="U6177" t="s">
        <v>54890</v>
      </c>
      <c r="V6177" t="s">
        <v>63310</v>
      </c>
      <c r="W6177" t="s">
        <v>45415</v>
      </c>
      <c r="X6177" t="s">
        <v>47433</v>
      </c>
    </row>
    <row r="6178" spans="1:24">
      <c r="A6178">
        <f>HYPERLINK("https://www.philgeps.gov.ph/GEPSNONPILOT/Tender/SplashBidNoticeAbstractUI.aspx?menuIndex=3&amp;refID=7155322&amp;Result=3","7155322")</f>
        <v>0</v>
      </c>
      <c r="B6178" t="s">
        <v>2235</v>
      </c>
      <c r="C6178" t="s">
        <v>9737</v>
      </c>
      <c r="D6178" t="s">
        <v>19022</v>
      </c>
      <c r="E6178" t="s">
        <v>24495</v>
      </c>
      <c r="F6178" t="s">
        <v>32831</v>
      </c>
      <c r="G6178" t="s">
        <v>32838</v>
      </c>
      <c r="H6178" t="s">
        <v>32848</v>
      </c>
      <c r="I6178" t="s">
        <v>4487</v>
      </c>
      <c r="J6178" t="s">
        <v>32980</v>
      </c>
      <c r="K6178" t="s">
        <v>42726</v>
      </c>
      <c r="M6178" t="s">
        <v>45416</v>
      </c>
      <c r="N6178" t="s">
        <v>47424</v>
      </c>
      <c r="O6178" t="s">
        <v>47425</v>
      </c>
      <c r="P6178">
        <v>0</v>
      </c>
      <c r="Q6178">
        <v>2</v>
      </c>
      <c r="R6178" t="s">
        <v>47431</v>
      </c>
      <c r="S6178" t="s">
        <v>47565</v>
      </c>
      <c r="T6178" t="s">
        <v>49141</v>
      </c>
      <c r="U6178" t="s">
        <v>54891</v>
      </c>
      <c r="W6178" t="s">
        <v>45416</v>
      </c>
      <c r="X6178" t="s">
        <v>47432</v>
      </c>
    </row>
    <row r="6179" spans="1:24">
      <c r="A6179">
        <f>HYPERLINK("https://www.philgeps.gov.ph/GEPSNONPILOT/Tender/SplashBidNoticeAbstractUI.aspx?menuIndex=3&amp;refID=7155305&amp;Result=3","7155305")</f>
        <v>0</v>
      </c>
      <c r="B6179" t="s">
        <v>1470</v>
      </c>
      <c r="C6179" t="s">
        <v>9738</v>
      </c>
      <c r="D6179" t="s">
        <v>19057</v>
      </c>
      <c r="E6179" t="s">
        <v>9738</v>
      </c>
      <c r="F6179" t="s">
        <v>32831</v>
      </c>
      <c r="G6179" t="s">
        <v>32839</v>
      </c>
      <c r="H6179" t="s">
        <v>32848</v>
      </c>
      <c r="I6179" t="s">
        <v>4776</v>
      </c>
      <c r="J6179" t="s">
        <v>36911</v>
      </c>
      <c r="K6179" t="s">
        <v>42732</v>
      </c>
      <c r="M6179" t="s">
        <v>44563</v>
      </c>
      <c r="N6179" t="s">
        <v>47424</v>
      </c>
      <c r="O6179" t="s">
        <v>47425</v>
      </c>
      <c r="P6179">
        <v>0</v>
      </c>
      <c r="Q6179">
        <v>2</v>
      </c>
      <c r="R6179" t="s">
        <v>47431</v>
      </c>
      <c r="S6179" t="s">
        <v>47565</v>
      </c>
      <c r="T6179" t="s">
        <v>49079</v>
      </c>
      <c r="U6179" t="s">
        <v>54892</v>
      </c>
      <c r="W6179" t="s">
        <v>44563</v>
      </c>
      <c r="X6179" t="s">
        <v>47432</v>
      </c>
    </row>
    <row r="6180" spans="1:24">
      <c r="A6180">
        <f>HYPERLINK("https://www.philgeps.gov.ph/GEPSNONPILOT/Tender/SplashBidNoticeAbstractUI.aspx?menuIndex=3&amp;refID=7155304&amp;Result=3","7155304")</f>
        <v>0</v>
      </c>
      <c r="B6180" t="s">
        <v>2236</v>
      </c>
      <c r="C6180" t="s">
        <v>9739</v>
      </c>
      <c r="D6180" t="s">
        <v>19057</v>
      </c>
      <c r="E6180" t="s">
        <v>24496</v>
      </c>
      <c r="F6180" t="s">
        <v>32831</v>
      </c>
      <c r="G6180" t="s">
        <v>32842</v>
      </c>
      <c r="H6180" t="s">
        <v>32848</v>
      </c>
      <c r="I6180" t="s">
        <v>32894</v>
      </c>
      <c r="J6180" t="s">
        <v>34348</v>
      </c>
      <c r="K6180" t="s">
        <v>42726</v>
      </c>
      <c r="M6180" t="s">
        <v>45417</v>
      </c>
      <c r="N6180" t="s">
        <v>47424</v>
      </c>
      <c r="O6180" t="s">
        <v>47425</v>
      </c>
      <c r="P6180">
        <v>0</v>
      </c>
      <c r="Q6180">
        <v>9</v>
      </c>
      <c r="R6180" t="s">
        <v>47431</v>
      </c>
      <c r="S6180" t="s">
        <v>47565</v>
      </c>
      <c r="T6180" t="s">
        <v>49198</v>
      </c>
      <c r="U6180" t="s">
        <v>54893</v>
      </c>
      <c r="W6180" t="s">
        <v>45417</v>
      </c>
      <c r="X6180" t="s">
        <v>47432</v>
      </c>
    </row>
    <row r="6181" spans="1:24">
      <c r="A6181">
        <f>HYPERLINK("https://www.philgeps.gov.ph/GEPSNONPILOT/Tender/SplashBidNoticeAbstractUI.aspx?menuIndex=3&amp;refID=7155303&amp;Result=3","7155303")</f>
        <v>0</v>
      </c>
      <c r="B6181" t="s">
        <v>1845</v>
      </c>
      <c r="C6181" t="s">
        <v>9740</v>
      </c>
      <c r="D6181" t="s">
        <v>19057</v>
      </c>
      <c r="E6181" t="s">
        <v>24497</v>
      </c>
      <c r="F6181" t="s">
        <v>32831</v>
      </c>
      <c r="G6181" t="s">
        <v>32838</v>
      </c>
      <c r="H6181" t="s">
        <v>32848</v>
      </c>
      <c r="I6181" t="s">
        <v>4776</v>
      </c>
      <c r="J6181" t="s">
        <v>36912</v>
      </c>
      <c r="K6181" t="s">
        <v>42732</v>
      </c>
      <c r="M6181" t="s">
        <v>44980</v>
      </c>
      <c r="N6181" t="s">
        <v>47424</v>
      </c>
      <c r="O6181" t="s">
        <v>47425</v>
      </c>
      <c r="P6181">
        <v>0</v>
      </c>
      <c r="Q6181">
        <v>10</v>
      </c>
      <c r="R6181" t="s">
        <v>47431</v>
      </c>
      <c r="S6181" t="s">
        <v>47565</v>
      </c>
      <c r="T6181" t="s">
        <v>49229</v>
      </c>
      <c r="U6181" t="s">
        <v>54894</v>
      </c>
      <c r="W6181" t="s">
        <v>44980</v>
      </c>
      <c r="X6181" t="s">
        <v>47432</v>
      </c>
    </row>
    <row r="6182" spans="1:24">
      <c r="A6182">
        <f>HYPERLINK("https://www.philgeps.gov.ph/GEPSNONPILOT/Tender/SplashBidNoticeAbstractUI.aspx?menuIndex=3&amp;refID=7155302&amp;Result=3","7155302")</f>
        <v>0</v>
      </c>
      <c r="B6182" t="s">
        <v>216</v>
      </c>
      <c r="C6182" t="s">
        <v>9741</v>
      </c>
      <c r="D6182" t="s">
        <v>19050</v>
      </c>
      <c r="E6182" t="s">
        <v>24498</v>
      </c>
      <c r="F6182" t="s">
        <v>32831</v>
      </c>
      <c r="G6182" t="s">
        <v>32840</v>
      </c>
      <c r="H6182" t="s">
        <v>32848</v>
      </c>
      <c r="I6182" t="s">
        <v>4438</v>
      </c>
      <c r="J6182" t="s">
        <v>36913</v>
      </c>
      <c r="K6182" t="s">
        <v>42726</v>
      </c>
      <c r="M6182" t="s">
        <v>43214</v>
      </c>
      <c r="N6182" t="s">
        <v>47424</v>
      </c>
      <c r="O6182" t="s">
        <v>47425</v>
      </c>
      <c r="P6182">
        <v>0</v>
      </c>
      <c r="Q6182">
        <v>0</v>
      </c>
      <c r="R6182" t="s">
        <v>47431</v>
      </c>
      <c r="S6182" t="s">
        <v>47565</v>
      </c>
      <c r="T6182" t="s">
        <v>49055</v>
      </c>
      <c r="U6182" t="s">
        <v>50026</v>
      </c>
      <c r="W6182" t="s">
        <v>43214</v>
      </c>
      <c r="X6182" t="s">
        <v>47432</v>
      </c>
    </row>
    <row r="6183" spans="1:24">
      <c r="A6183">
        <f>HYPERLINK("https://www.philgeps.gov.ph/GEPSNONPILOT/Tender/SplashBidNoticeAbstractUI.aspx?menuIndex=3&amp;refID=7155301&amp;Result=3","7155301")</f>
        <v>0</v>
      </c>
      <c r="B6183" t="s">
        <v>1688</v>
      </c>
      <c r="C6183" t="s">
        <v>9742</v>
      </c>
      <c r="D6183" t="s">
        <v>19078</v>
      </c>
      <c r="E6183" t="s">
        <v>24499</v>
      </c>
      <c r="F6183" t="s">
        <v>32831</v>
      </c>
      <c r="G6183" t="s">
        <v>32840</v>
      </c>
      <c r="H6183" t="s">
        <v>32848</v>
      </c>
      <c r="I6183" t="s">
        <v>4438</v>
      </c>
      <c r="J6183" t="s">
        <v>36914</v>
      </c>
      <c r="K6183" t="s">
        <v>42732</v>
      </c>
      <c r="L6183" t="s">
        <v>1688</v>
      </c>
      <c r="M6183" t="s">
        <v>44808</v>
      </c>
      <c r="N6183" t="s">
        <v>47424</v>
      </c>
      <c r="O6183" t="s">
        <v>47425</v>
      </c>
      <c r="P6183">
        <v>0</v>
      </c>
      <c r="Q6183">
        <v>1</v>
      </c>
      <c r="R6183" t="s">
        <v>47431</v>
      </c>
      <c r="S6183" t="s">
        <v>47565</v>
      </c>
      <c r="T6183" t="s">
        <v>49166</v>
      </c>
      <c r="U6183" t="s">
        <v>53382</v>
      </c>
      <c r="W6183" t="s">
        <v>44808</v>
      </c>
      <c r="X6183" t="s">
        <v>47432</v>
      </c>
    </row>
    <row r="6184" spans="1:24">
      <c r="A6184">
        <f>HYPERLINK("https://www.philgeps.gov.ph/GEPSNONPILOT/Tender/SplashBidNoticeAbstractUI.aspx?menuIndex=3&amp;refID=7155308&amp;Result=3","7155308")</f>
        <v>0</v>
      </c>
      <c r="B6184" t="s">
        <v>1688</v>
      </c>
      <c r="C6184" t="s">
        <v>9743</v>
      </c>
      <c r="D6184" t="s">
        <v>19078</v>
      </c>
      <c r="E6184" t="s">
        <v>24500</v>
      </c>
      <c r="F6184" t="s">
        <v>32831</v>
      </c>
      <c r="G6184" t="s">
        <v>32840</v>
      </c>
      <c r="H6184" t="s">
        <v>32848</v>
      </c>
      <c r="I6184" t="s">
        <v>32860</v>
      </c>
      <c r="J6184" t="s">
        <v>36915</v>
      </c>
      <c r="K6184" t="s">
        <v>42732</v>
      </c>
      <c r="L6184" t="s">
        <v>1688</v>
      </c>
      <c r="M6184" t="s">
        <v>44808</v>
      </c>
      <c r="N6184" t="s">
        <v>47424</v>
      </c>
      <c r="O6184" t="s">
        <v>47425</v>
      </c>
      <c r="P6184">
        <v>0</v>
      </c>
      <c r="Q6184">
        <v>5</v>
      </c>
      <c r="R6184" t="s">
        <v>47431</v>
      </c>
      <c r="S6184" t="s">
        <v>47565</v>
      </c>
      <c r="T6184" t="s">
        <v>49166</v>
      </c>
      <c r="U6184" t="s">
        <v>53382</v>
      </c>
      <c r="W6184" t="s">
        <v>44808</v>
      </c>
      <c r="X6184" t="s">
        <v>47432</v>
      </c>
    </row>
    <row r="6185" spans="1:24">
      <c r="A6185">
        <f>HYPERLINK("https://www.philgeps.gov.ph/GEPSNONPILOT/Tender/SplashBidNoticeAbstractUI.aspx?menuIndex=3&amp;refID=7155299&amp;Result=3","7155299")</f>
        <v>0</v>
      </c>
      <c r="B6185" t="s">
        <v>677</v>
      </c>
      <c r="C6185" t="s">
        <v>9744</v>
      </c>
      <c r="D6185" t="s">
        <v>19024</v>
      </c>
      <c r="E6185" t="s">
        <v>24501</v>
      </c>
      <c r="F6185" t="s">
        <v>32831</v>
      </c>
      <c r="G6185" t="s">
        <v>32839</v>
      </c>
      <c r="H6185" t="s">
        <v>32849</v>
      </c>
      <c r="I6185" t="s">
        <v>4177</v>
      </c>
      <c r="J6185" t="s">
        <v>36916</v>
      </c>
      <c r="K6185" t="s">
        <v>42763</v>
      </c>
      <c r="M6185" t="s">
        <v>43696</v>
      </c>
      <c r="N6185" t="s">
        <v>47424</v>
      </c>
      <c r="O6185" t="s">
        <v>47425</v>
      </c>
      <c r="P6185">
        <v>0</v>
      </c>
      <c r="Q6185">
        <v>3</v>
      </c>
      <c r="R6185" t="s">
        <v>47431</v>
      </c>
      <c r="S6185" t="s">
        <v>47565</v>
      </c>
      <c r="T6185" t="s">
        <v>49267</v>
      </c>
      <c r="U6185" t="s">
        <v>54895</v>
      </c>
      <c r="V6185" t="s">
        <v>63311</v>
      </c>
      <c r="W6185" t="s">
        <v>43696</v>
      </c>
      <c r="X6185" t="s">
        <v>47432</v>
      </c>
    </row>
    <row r="6186" spans="1:24">
      <c r="A6186">
        <f>HYPERLINK("https://www.philgeps.gov.ph/GEPSNONPILOT/Tender/SplashBidNoticeAbstractUI.aspx?menuIndex=3&amp;refID=7155296&amp;Result=3","7155296")</f>
        <v>0</v>
      </c>
      <c r="B6186" t="s">
        <v>2237</v>
      </c>
      <c r="C6186" t="s">
        <v>9745</v>
      </c>
      <c r="D6186" t="s">
        <v>19017</v>
      </c>
      <c r="E6186" t="s">
        <v>24502</v>
      </c>
      <c r="F6186" t="s">
        <v>32831</v>
      </c>
      <c r="G6186" t="s">
        <v>32842</v>
      </c>
      <c r="H6186" t="s">
        <v>32848</v>
      </c>
      <c r="I6186" t="s">
        <v>4438</v>
      </c>
      <c r="J6186" t="s">
        <v>33029</v>
      </c>
      <c r="K6186" t="s">
        <v>42727</v>
      </c>
      <c r="M6186" t="s">
        <v>45418</v>
      </c>
      <c r="N6186" t="s">
        <v>47424</v>
      </c>
      <c r="O6186" t="s">
        <v>47425</v>
      </c>
      <c r="P6186">
        <v>0</v>
      </c>
      <c r="Q6186">
        <v>4</v>
      </c>
      <c r="R6186" t="s">
        <v>47431</v>
      </c>
      <c r="S6186" t="s">
        <v>47565</v>
      </c>
      <c r="T6186" t="s">
        <v>49116</v>
      </c>
      <c r="U6186" t="s">
        <v>54896</v>
      </c>
      <c r="W6186" t="s">
        <v>45418</v>
      </c>
      <c r="X6186" t="s">
        <v>47432</v>
      </c>
    </row>
    <row r="6187" spans="1:24">
      <c r="A6187">
        <f>HYPERLINK("https://www.philgeps.gov.ph/GEPSNONPILOT/Tender/SplashBidNoticeAbstractUI.aspx?menuIndex=3&amp;refID=7155292&amp;Result=3","7155292")</f>
        <v>0</v>
      </c>
      <c r="B6187" t="s">
        <v>648</v>
      </c>
      <c r="C6187" t="s">
        <v>9746</v>
      </c>
      <c r="D6187" t="s">
        <v>19044</v>
      </c>
      <c r="E6187" t="s">
        <v>24503</v>
      </c>
      <c r="F6187" t="s">
        <v>32831</v>
      </c>
      <c r="G6187" t="s">
        <v>32838</v>
      </c>
      <c r="H6187" t="s">
        <v>32848</v>
      </c>
      <c r="I6187" t="s">
        <v>7416</v>
      </c>
      <c r="J6187" t="s">
        <v>36917</v>
      </c>
      <c r="K6187" t="s">
        <v>42770</v>
      </c>
      <c r="M6187" t="s">
        <v>43665</v>
      </c>
      <c r="N6187" t="s">
        <v>47424</v>
      </c>
      <c r="O6187" t="s">
        <v>47425</v>
      </c>
      <c r="P6187">
        <v>0</v>
      </c>
      <c r="Q6187">
        <v>0</v>
      </c>
      <c r="R6187" t="s">
        <v>47431</v>
      </c>
      <c r="S6187" t="s">
        <v>47565</v>
      </c>
      <c r="T6187" t="s">
        <v>49205</v>
      </c>
      <c r="U6187" t="s">
        <v>54897</v>
      </c>
      <c r="W6187" t="s">
        <v>43665</v>
      </c>
      <c r="X6187" t="s">
        <v>47432</v>
      </c>
    </row>
    <row r="6188" spans="1:24">
      <c r="A6188">
        <f>HYPERLINK("https://www.philgeps.gov.ph/GEPSNONPILOT/Tender/SplashBidNoticeAbstractUI.aspx?menuIndex=3&amp;refID=7153726&amp;Result=3","7153726")</f>
        <v>0</v>
      </c>
      <c r="B6188" t="s">
        <v>1849</v>
      </c>
      <c r="C6188" t="s">
        <v>9747</v>
      </c>
      <c r="D6188" t="s">
        <v>19054</v>
      </c>
      <c r="E6188" t="s">
        <v>24504</v>
      </c>
      <c r="F6188" t="s">
        <v>32831</v>
      </c>
      <c r="G6188" t="s">
        <v>32838</v>
      </c>
      <c r="H6188" t="s">
        <v>32848</v>
      </c>
      <c r="I6188" t="s">
        <v>32859</v>
      </c>
      <c r="J6188" t="s">
        <v>36918</v>
      </c>
      <c r="K6188" t="s">
        <v>42727</v>
      </c>
      <c r="M6188" t="s">
        <v>44987</v>
      </c>
      <c r="N6188" t="s">
        <v>47424</v>
      </c>
      <c r="O6188" t="s">
        <v>47425</v>
      </c>
      <c r="P6188">
        <v>0</v>
      </c>
      <c r="Q6188">
        <v>1</v>
      </c>
      <c r="R6188" t="s">
        <v>47431</v>
      </c>
      <c r="S6188" t="s">
        <v>47565</v>
      </c>
      <c r="T6188" t="s">
        <v>49166</v>
      </c>
      <c r="U6188" t="s">
        <v>54898</v>
      </c>
      <c r="W6188" t="s">
        <v>44987</v>
      </c>
      <c r="X6188" t="s">
        <v>47433</v>
      </c>
    </row>
    <row r="6189" spans="1:24">
      <c r="A6189">
        <f>HYPERLINK("https://www.philgeps.gov.ph/GEPSNONPILOT/Tender/SplashBidNoticeAbstractUI.aspx?menuIndex=3&amp;refID=7153711&amp;Result=3","7153711")</f>
        <v>0</v>
      </c>
      <c r="B6189" t="s">
        <v>2192</v>
      </c>
      <c r="C6189" t="s">
        <v>9748</v>
      </c>
      <c r="D6189" t="s">
        <v>19037</v>
      </c>
      <c r="E6189" t="s">
        <v>24505</v>
      </c>
      <c r="F6189" t="s">
        <v>32831</v>
      </c>
      <c r="G6189" t="s">
        <v>32839</v>
      </c>
      <c r="H6189" t="s">
        <v>32849</v>
      </c>
      <c r="I6189" t="s">
        <v>4177</v>
      </c>
      <c r="J6189" t="s">
        <v>36873</v>
      </c>
      <c r="K6189" t="s">
        <v>42751</v>
      </c>
      <c r="M6189" t="s">
        <v>45372</v>
      </c>
      <c r="N6189" t="s">
        <v>47424</v>
      </c>
      <c r="O6189" t="s">
        <v>47425</v>
      </c>
      <c r="P6189">
        <v>0</v>
      </c>
      <c r="Q6189">
        <v>0</v>
      </c>
      <c r="R6189" t="s">
        <v>47431</v>
      </c>
      <c r="S6189" t="s">
        <v>47565</v>
      </c>
      <c r="T6189" t="s">
        <v>49291</v>
      </c>
      <c r="U6189" t="s">
        <v>54899</v>
      </c>
      <c r="W6189" t="s">
        <v>45372</v>
      </c>
      <c r="X6189" t="s">
        <v>47433</v>
      </c>
    </row>
    <row r="6190" spans="1:24">
      <c r="A6190">
        <f>HYPERLINK("https://www.philgeps.gov.ph/GEPSNONPILOT/Tender/SplashBidNoticeAbstractUI.aspx?menuIndex=3&amp;refID=7153462&amp;Result=3","7153462")</f>
        <v>0</v>
      </c>
      <c r="B6190" t="s">
        <v>2192</v>
      </c>
      <c r="C6190" t="s">
        <v>9749</v>
      </c>
      <c r="D6190" t="s">
        <v>19037</v>
      </c>
      <c r="E6190" t="s">
        <v>24506</v>
      </c>
      <c r="F6190" t="s">
        <v>32831</v>
      </c>
      <c r="G6190" t="s">
        <v>32839</v>
      </c>
      <c r="H6190" t="s">
        <v>32849</v>
      </c>
      <c r="I6190" t="s">
        <v>4177</v>
      </c>
      <c r="J6190" t="s">
        <v>36919</v>
      </c>
      <c r="K6190" t="s">
        <v>42761</v>
      </c>
      <c r="M6190" t="s">
        <v>45372</v>
      </c>
      <c r="N6190" t="s">
        <v>47424</v>
      </c>
      <c r="O6190" t="s">
        <v>47425</v>
      </c>
      <c r="P6190">
        <v>0</v>
      </c>
      <c r="Q6190">
        <v>2</v>
      </c>
      <c r="R6190" t="s">
        <v>47431</v>
      </c>
      <c r="S6190" t="s">
        <v>47565</v>
      </c>
      <c r="T6190" t="s">
        <v>49291</v>
      </c>
      <c r="U6190" t="s">
        <v>54900</v>
      </c>
      <c r="W6190" t="s">
        <v>45372</v>
      </c>
      <c r="X6190" t="s">
        <v>47433</v>
      </c>
    </row>
    <row r="6191" spans="1:24">
      <c r="A6191">
        <f>HYPERLINK("https://www.philgeps.gov.ph/GEPSNONPILOT/Tender/SplashBidNoticeAbstractUI.aspx?menuIndex=3&amp;refID=7155312&amp;Result=3","7155312")</f>
        <v>0</v>
      </c>
      <c r="B6191" t="s">
        <v>677</v>
      </c>
      <c r="C6191" t="s">
        <v>9750</v>
      </c>
      <c r="D6191" t="s">
        <v>19024</v>
      </c>
      <c r="E6191" t="s">
        <v>24507</v>
      </c>
      <c r="F6191" t="s">
        <v>32831</v>
      </c>
      <c r="G6191" t="s">
        <v>32839</v>
      </c>
      <c r="H6191" t="s">
        <v>32849</v>
      </c>
      <c r="I6191" t="s">
        <v>4177</v>
      </c>
      <c r="J6191" t="s">
        <v>36916</v>
      </c>
      <c r="K6191" t="s">
        <v>42763</v>
      </c>
      <c r="M6191" t="s">
        <v>43696</v>
      </c>
      <c r="N6191" t="s">
        <v>47424</v>
      </c>
      <c r="O6191" t="s">
        <v>47425</v>
      </c>
      <c r="P6191">
        <v>0</v>
      </c>
      <c r="Q6191">
        <v>3</v>
      </c>
      <c r="R6191" t="s">
        <v>47431</v>
      </c>
      <c r="S6191" t="s">
        <v>47565</v>
      </c>
      <c r="T6191" t="s">
        <v>49267</v>
      </c>
      <c r="U6191" t="s">
        <v>54895</v>
      </c>
      <c r="V6191" t="s">
        <v>63311</v>
      </c>
      <c r="W6191" t="s">
        <v>43696</v>
      </c>
      <c r="X6191" t="s">
        <v>47432</v>
      </c>
    </row>
    <row r="6192" spans="1:24">
      <c r="A6192">
        <f>HYPERLINK("https://www.philgeps.gov.ph/GEPSNONPILOT/Tender/SplashBidNoticeAbstractUI.aspx?menuIndex=3&amp;refID=7153460&amp;Result=3","7153460")</f>
        <v>0</v>
      </c>
      <c r="B6192" t="s">
        <v>34</v>
      </c>
      <c r="C6192" t="s">
        <v>9751</v>
      </c>
      <c r="E6192" t="s">
        <v>24508</v>
      </c>
      <c r="F6192" t="s">
        <v>32831</v>
      </c>
      <c r="G6192" t="s">
        <v>32839</v>
      </c>
      <c r="H6192" t="s">
        <v>32849</v>
      </c>
      <c r="I6192" t="s">
        <v>4177</v>
      </c>
      <c r="J6192" t="s">
        <v>36920</v>
      </c>
      <c r="K6192" t="s">
        <v>42839</v>
      </c>
      <c r="M6192" t="s">
        <v>44653</v>
      </c>
      <c r="N6192" t="s">
        <v>47424</v>
      </c>
      <c r="O6192" t="s">
        <v>47425</v>
      </c>
      <c r="P6192">
        <v>0</v>
      </c>
      <c r="Q6192">
        <v>0</v>
      </c>
      <c r="R6192" t="s">
        <v>47431</v>
      </c>
      <c r="S6192" t="s">
        <v>47565</v>
      </c>
      <c r="T6192" t="s">
        <v>49267</v>
      </c>
      <c r="U6192" t="s">
        <v>54901</v>
      </c>
      <c r="W6192" t="s">
        <v>44653</v>
      </c>
      <c r="X6192" t="s">
        <v>47433</v>
      </c>
    </row>
    <row r="6193" spans="1:24">
      <c r="A6193">
        <f>HYPERLINK("https://www.philgeps.gov.ph/GEPSNONPILOT/Tender/SplashBidNoticeAbstractUI.aspx?menuIndex=3&amp;refID=7155306&amp;Result=3","7155306")</f>
        <v>0</v>
      </c>
      <c r="B6193" t="s">
        <v>622</v>
      </c>
      <c r="C6193" t="s">
        <v>9752</v>
      </c>
      <c r="D6193" t="s">
        <v>19095</v>
      </c>
      <c r="E6193" t="s">
        <v>24509</v>
      </c>
      <c r="F6193" t="s">
        <v>32831</v>
      </c>
      <c r="G6193" t="s">
        <v>32838</v>
      </c>
      <c r="H6193" t="s">
        <v>32848</v>
      </c>
      <c r="I6193" t="s">
        <v>7416</v>
      </c>
      <c r="J6193" t="s">
        <v>36921</v>
      </c>
      <c r="K6193" t="s">
        <v>42727</v>
      </c>
      <c r="M6193" t="s">
        <v>43638</v>
      </c>
      <c r="N6193" t="s">
        <v>47424</v>
      </c>
      <c r="O6193" t="s">
        <v>47425</v>
      </c>
      <c r="P6193">
        <v>0</v>
      </c>
      <c r="Q6193">
        <v>0</v>
      </c>
      <c r="R6193" t="s">
        <v>47431</v>
      </c>
      <c r="S6193" t="s">
        <v>47565</v>
      </c>
      <c r="T6193" t="s">
        <v>49114</v>
      </c>
      <c r="U6193" t="s">
        <v>54902</v>
      </c>
      <c r="W6193" t="s">
        <v>43638</v>
      </c>
      <c r="X6193" t="s">
        <v>47432</v>
      </c>
    </row>
    <row r="6194" spans="1:24">
      <c r="A6194">
        <f>HYPERLINK("https://www.philgeps.gov.ph/GEPSNONPILOT/Tender/SplashBidNoticeAbstractUI.aspx?menuIndex=3&amp;refID=7155294&amp;Result=3","7155294")</f>
        <v>0</v>
      </c>
      <c r="B6194" t="s">
        <v>677</v>
      </c>
      <c r="C6194" t="s">
        <v>9753</v>
      </c>
      <c r="D6194" t="s">
        <v>19024</v>
      </c>
      <c r="E6194" t="s">
        <v>24510</v>
      </c>
      <c r="F6194" t="s">
        <v>32831</v>
      </c>
      <c r="G6194" t="s">
        <v>32839</v>
      </c>
      <c r="H6194" t="s">
        <v>32849</v>
      </c>
      <c r="I6194" t="s">
        <v>4177</v>
      </c>
      <c r="J6194" t="s">
        <v>36922</v>
      </c>
      <c r="K6194" t="s">
        <v>42892</v>
      </c>
      <c r="M6194" t="s">
        <v>43696</v>
      </c>
      <c r="N6194" t="s">
        <v>47424</v>
      </c>
      <c r="O6194" t="s">
        <v>47425</v>
      </c>
      <c r="P6194">
        <v>0</v>
      </c>
      <c r="Q6194">
        <v>3</v>
      </c>
      <c r="R6194" t="s">
        <v>47431</v>
      </c>
      <c r="S6194" t="s">
        <v>47565</v>
      </c>
      <c r="T6194" t="s">
        <v>49267</v>
      </c>
      <c r="U6194" t="s">
        <v>54895</v>
      </c>
      <c r="V6194" t="s">
        <v>63312</v>
      </c>
      <c r="W6194" t="s">
        <v>43696</v>
      </c>
      <c r="X6194" t="s">
        <v>47432</v>
      </c>
    </row>
    <row r="6195" spans="1:24">
      <c r="A6195">
        <f>HYPERLINK("https://www.philgeps.gov.ph/GEPSNONPILOT/Tender/SplashBidNoticeAbstractUI.aspx?menuIndex=3&amp;refID=7153449&amp;Result=3","7153449")</f>
        <v>0</v>
      </c>
      <c r="B6195" t="s">
        <v>72</v>
      </c>
      <c r="C6195" t="s">
        <v>9754</v>
      </c>
      <c r="D6195" t="s">
        <v>19027</v>
      </c>
      <c r="E6195" t="s">
        <v>24511</v>
      </c>
      <c r="F6195" t="s">
        <v>32831</v>
      </c>
      <c r="G6195" t="s">
        <v>32839</v>
      </c>
      <c r="H6195" t="s">
        <v>32848</v>
      </c>
      <c r="I6195" t="s">
        <v>32859</v>
      </c>
      <c r="J6195" t="s">
        <v>33078</v>
      </c>
      <c r="K6195" t="s">
        <v>42745</v>
      </c>
      <c r="M6195" t="s">
        <v>43069</v>
      </c>
      <c r="N6195" t="s">
        <v>47424</v>
      </c>
      <c r="O6195" t="s">
        <v>47425</v>
      </c>
      <c r="P6195">
        <v>0</v>
      </c>
      <c r="Q6195">
        <v>2</v>
      </c>
      <c r="R6195" t="s">
        <v>47431</v>
      </c>
      <c r="S6195" t="s">
        <v>47565</v>
      </c>
      <c r="T6195" t="s">
        <v>49087</v>
      </c>
      <c r="U6195" t="s">
        <v>49763</v>
      </c>
      <c r="W6195" t="s">
        <v>64429</v>
      </c>
      <c r="X6195" t="s">
        <v>47433</v>
      </c>
    </row>
    <row r="6196" spans="1:24">
      <c r="A6196">
        <f>HYPERLINK("https://www.philgeps.gov.ph/GEPSNONPILOT/Tender/SplashBidNoticeAbstractUI.aspx?menuIndex=3&amp;refID=7154687&amp;Result=3","7154687")</f>
        <v>0</v>
      </c>
      <c r="B6196" t="s">
        <v>277</v>
      </c>
      <c r="C6196" t="s">
        <v>9755</v>
      </c>
      <c r="D6196" t="s">
        <v>19068</v>
      </c>
      <c r="E6196" t="s">
        <v>24512</v>
      </c>
      <c r="F6196" t="s">
        <v>32831</v>
      </c>
      <c r="G6196" t="s">
        <v>32839</v>
      </c>
      <c r="H6196" t="s">
        <v>32848</v>
      </c>
      <c r="I6196" t="s">
        <v>32857</v>
      </c>
      <c r="J6196" t="s">
        <v>36923</v>
      </c>
      <c r="K6196" t="s">
        <v>42730</v>
      </c>
      <c r="M6196" t="s">
        <v>43276</v>
      </c>
      <c r="N6196" t="s">
        <v>47424</v>
      </c>
      <c r="O6196" t="s">
        <v>47425</v>
      </c>
      <c r="P6196">
        <v>0</v>
      </c>
      <c r="Q6196">
        <v>7</v>
      </c>
      <c r="R6196" t="s">
        <v>47431</v>
      </c>
      <c r="S6196" t="s">
        <v>47565</v>
      </c>
      <c r="T6196" t="s">
        <v>49077</v>
      </c>
      <c r="U6196" t="s">
        <v>54903</v>
      </c>
      <c r="W6196" t="s">
        <v>43276</v>
      </c>
      <c r="X6196" t="s">
        <v>47433</v>
      </c>
    </row>
    <row r="6197" spans="1:24">
      <c r="A6197">
        <f>HYPERLINK("https://www.philgeps.gov.ph/GEPSNONPILOT/Tender/SplashBidNoticeAbstractUI.aspx?menuIndex=3&amp;refID=7152777&amp;Result=3","7152777")</f>
        <v>0</v>
      </c>
      <c r="B6197" t="s">
        <v>1221</v>
      </c>
      <c r="C6197" t="s">
        <v>9756</v>
      </c>
      <c r="E6197" t="s">
        <v>24513</v>
      </c>
      <c r="F6197" t="s">
        <v>32831</v>
      </c>
      <c r="G6197" t="s">
        <v>32839</v>
      </c>
      <c r="H6197" t="s">
        <v>32849</v>
      </c>
      <c r="I6197" t="s">
        <v>4177</v>
      </c>
      <c r="J6197" t="s">
        <v>36924</v>
      </c>
      <c r="K6197" t="s">
        <v>42732</v>
      </c>
      <c r="M6197" t="s">
        <v>44289</v>
      </c>
      <c r="N6197" t="s">
        <v>47424</v>
      </c>
      <c r="O6197" t="s">
        <v>47425</v>
      </c>
      <c r="P6197">
        <v>0</v>
      </c>
      <c r="Q6197">
        <v>2</v>
      </c>
      <c r="R6197" t="s">
        <v>47431</v>
      </c>
      <c r="S6197" t="s">
        <v>47565</v>
      </c>
      <c r="T6197" t="s">
        <v>49338</v>
      </c>
      <c r="U6197" t="s">
        <v>54789</v>
      </c>
      <c r="V6197" t="s">
        <v>63297</v>
      </c>
      <c r="W6197" t="s">
        <v>44289</v>
      </c>
      <c r="X6197" t="s">
        <v>47433</v>
      </c>
    </row>
    <row r="6198" spans="1:24">
      <c r="A6198">
        <f>HYPERLINK("https://www.philgeps.gov.ph/GEPSNONPILOT/Tender/SplashBidNoticeAbstractUI.aspx?menuIndex=3&amp;refID=7152750&amp;Result=3","7152750")</f>
        <v>0</v>
      </c>
      <c r="B6198" t="s">
        <v>1221</v>
      </c>
      <c r="C6198" t="s">
        <v>9757</v>
      </c>
      <c r="E6198" t="s">
        <v>24514</v>
      </c>
      <c r="F6198" t="s">
        <v>32831</v>
      </c>
      <c r="G6198" t="s">
        <v>32839</v>
      </c>
      <c r="H6198" t="s">
        <v>32849</v>
      </c>
      <c r="I6198" t="s">
        <v>4177</v>
      </c>
      <c r="J6198" t="s">
        <v>36925</v>
      </c>
      <c r="K6198" t="s">
        <v>42732</v>
      </c>
      <c r="M6198" t="s">
        <v>44289</v>
      </c>
      <c r="N6198" t="s">
        <v>47424</v>
      </c>
      <c r="O6198" t="s">
        <v>47425</v>
      </c>
      <c r="P6198">
        <v>0</v>
      </c>
      <c r="Q6198">
        <v>2</v>
      </c>
      <c r="R6198" t="s">
        <v>47431</v>
      </c>
      <c r="S6198" t="s">
        <v>47565</v>
      </c>
      <c r="T6198" t="s">
        <v>49338</v>
      </c>
      <c r="U6198" t="s">
        <v>54772</v>
      </c>
      <c r="V6198" t="s">
        <v>63297</v>
      </c>
      <c r="W6198" t="s">
        <v>44289</v>
      </c>
      <c r="X6198" t="s">
        <v>47433</v>
      </c>
    </row>
    <row r="6199" spans="1:24">
      <c r="A6199">
        <f>HYPERLINK("https://www.philgeps.gov.ph/GEPSNONPILOT/Tender/SplashBidNoticeAbstractUI.aspx?menuIndex=3&amp;refID=7161334&amp;Result=3","7161334")</f>
        <v>0</v>
      </c>
      <c r="B6199" t="s">
        <v>2067</v>
      </c>
      <c r="C6199" t="s">
        <v>9758</v>
      </c>
      <c r="D6199" t="s">
        <v>19037</v>
      </c>
      <c r="E6199" t="s">
        <v>24515</v>
      </c>
      <c r="F6199" t="s">
        <v>32831</v>
      </c>
      <c r="G6199" t="s">
        <v>32839</v>
      </c>
      <c r="H6199" t="s">
        <v>32849</v>
      </c>
      <c r="I6199" t="s">
        <v>4177</v>
      </c>
      <c r="J6199" t="s">
        <v>36926</v>
      </c>
      <c r="K6199" t="s">
        <v>42850</v>
      </c>
      <c r="M6199" t="s">
        <v>45237</v>
      </c>
      <c r="N6199" t="s">
        <v>47424</v>
      </c>
      <c r="O6199" t="s">
        <v>47425</v>
      </c>
      <c r="Q6199">
        <v>0</v>
      </c>
      <c r="R6199" t="s">
        <v>47430</v>
      </c>
      <c r="S6199" t="s">
        <v>47567</v>
      </c>
      <c r="T6199" t="s">
        <v>49319</v>
      </c>
      <c r="U6199" t="s">
        <v>54904</v>
      </c>
      <c r="W6199" t="s">
        <v>45237</v>
      </c>
      <c r="X6199" t="s">
        <v>47431</v>
      </c>
    </row>
    <row r="6200" spans="1:24">
      <c r="A6200">
        <f>HYPERLINK("https://www.philgeps.gov.ph/GEPSNONPILOT/Tender/SplashBidNoticeAbstractUI.aspx?menuIndex=3&amp;refID=7153150&amp;Result=3","7153150")</f>
        <v>0</v>
      </c>
      <c r="B6200" t="s">
        <v>2192</v>
      </c>
      <c r="C6200" t="s">
        <v>9759</v>
      </c>
      <c r="D6200" t="s">
        <v>19037</v>
      </c>
      <c r="E6200" t="s">
        <v>24516</v>
      </c>
      <c r="F6200" t="s">
        <v>32831</v>
      </c>
      <c r="G6200" t="s">
        <v>32839</v>
      </c>
      <c r="H6200" t="s">
        <v>32848</v>
      </c>
      <c r="I6200" t="s">
        <v>4776</v>
      </c>
      <c r="J6200" t="s">
        <v>36927</v>
      </c>
      <c r="K6200" t="s">
        <v>42731</v>
      </c>
      <c r="M6200" t="s">
        <v>45372</v>
      </c>
      <c r="N6200" t="s">
        <v>47424</v>
      </c>
      <c r="O6200" t="s">
        <v>47425</v>
      </c>
      <c r="P6200">
        <v>0</v>
      </c>
      <c r="Q6200">
        <v>4</v>
      </c>
      <c r="R6200" t="s">
        <v>47431</v>
      </c>
      <c r="S6200" t="s">
        <v>47565</v>
      </c>
      <c r="T6200" t="s">
        <v>49291</v>
      </c>
      <c r="U6200" t="s">
        <v>54905</v>
      </c>
      <c r="W6200" t="s">
        <v>45372</v>
      </c>
      <c r="X6200" t="s">
        <v>47433</v>
      </c>
    </row>
    <row r="6201" spans="1:24">
      <c r="A6201">
        <f>HYPERLINK("https://www.philgeps.gov.ph/GEPSNONPILOT/Tender/SplashBidNoticeAbstractUI.aspx?menuIndex=3&amp;refID=7161327&amp;Result=3","7161327")</f>
        <v>0</v>
      </c>
      <c r="B6201" t="s">
        <v>2068</v>
      </c>
      <c r="C6201" t="s">
        <v>9760</v>
      </c>
      <c r="D6201" t="s">
        <v>19068</v>
      </c>
      <c r="E6201" t="s">
        <v>24517</v>
      </c>
      <c r="F6201" t="s">
        <v>32831</v>
      </c>
      <c r="G6201" t="s">
        <v>32839</v>
      </c>
      <c r="H6201" t="s">
        <v>32848</v>
      </c>
      <c r="I6201" t="s">
        <v>32858</v>
      </c>
      <c r="J6201" t="s">
        <v>33644</v>
      </c>
      <c r="K6201" t="s">
        <v>42745</v>
      </c>
      <c r="M6201" t="s">
        <v>45238</v>
      </c>
      <c r="N6201" t="s">
        <v>47424</v>
      </c>
      <c r="O6201" t="s">
        <v>47425</v>
      </c>
      <c r="P6201">
        <v>0</v>
      </c>
      <c r="Q6201">
        <v>0</v>
      </c>
      <c r="R6201" t="s">
        <v>47430</v>
      </c>
      <c r="S6201" t="s">
        <v>47549</v>
      </c>
      <c r="T6201" t="s">
        <v>49208</v>
      </c>
      <c r="U6201" t="s">
        <v>54906</v>
      </c>
      <c r="V6201" t="s">
        <v>63313</v>
      </c>
      <c r="W6201" t="s">
        <v>45238</v>
      </c>
      <c r="X6201" t="s">
        <v>47431</v>
      </c>
    </row>
    <row r="6202" spans="1:24">
      <c r="A6202">
        <f>HYPERLINK("https://www.philgeps.gov.ph/GEPSNONPILOT/Tender/SplashBidNoticeAbstractUI.aspx?menuIndex=3&amp;refID=7152739&amp;Result=3","7152739")</f>
        <v>0</v>
      </c>
      <c r="B6202" t="s">
        <v>216</v>
      </c>
      <c r="C6202" t="s">
        <v>9761</v>
      </c>
      <c r="D6202" t="s">
        <v>19050</v>
      </c>
      <c r="E6202" t="s">
        <v>24518</v>
      </c>
      <c r="F6202" t="s">
        <v>32831</v>
      </c>
      <c r="G6202" t="s">
        <v>32839</v>
      </c>
      <c r="H6202" t="s">
        <v>32848</v>
      </c>
      <c r="I6202" t="s">
        <v>32866</v>
      </c>
      <c r="J6202" t="s">
        <v>36928</v>
      </c>
      <c r="K6202" t="s">
        <v>42893</v>
      </c>
      <c r="M6202" t="s">
        <v>43214</v>
      </c>
      <c r="N6202" t="s">
        <v>47424</v>
      </c>
      <c r="O6202" t="s">
        <v>47425</v>
      </c>
      <c r="P6202">
        <v>0</v>
      </c>
      <c r="Q6202">
        <v>1</v>
      </c>
      <c r="R6202" t="s">
        <v>47431</v>
      </c>
      <c r="S6202" t="s">
        <v>47565</v>
      </c>
      <c r="T6202" t="s">
        <v>49348</v>
      </c>
      <c r="U6202" t="s">
        <v>54907</v>
      </c>
      <c r="W6202" t="s">
        <v>43214</v>
      </c>
      <c r="X6202" t="s">
        <v>47433</v>
      </c>
    </row>
    <row r="6203" spans="1:24">
      <c r="A6203">
        <f>HYPERLINK("https://www.philgeps.gov.ph/GEPSNONPILOT/Tender/SplashBidNoticeAbstractUI.aspx?menuIndex=3&amp;refID=7159164&amp;Result=3","7159164")</f>
        <v>0</v>
      </c>
      <c r="B6203" t="s">
        <v>674</v>
      </c>
      <c r="C6203" t="s">
        <v>9762</v>
      </c>
      <c r="D6203" t="s">
        <v>19058</v>
      </c>
      <c r="E6203" t="s">
        <v>24519</v>
      </c>
      <c r="F6203" t="s">
        <v>32831</v>
      </c>
      <c r="G6203" t="s">
        <v>32840</v>
      </c>
      <c r="H6203" t="s">
        <v>32848</v>
      </c>
      <c r="I6203" t="s">
        <v>7416</v>
      </c>
      <c r="J6203" t="s">
        <v>36929</v>
      </c>
      <c r="K6203" t="s">
        <v>42732</v>
      </c>
      <c r="M6203" t="s">
        <v>43693</v>
      </c>
      <c r="N6203" t="s">
        <v>47424</v>
      </c>
      <c r="O6203" t="s">
        <v>47425</v>
      </c>
      <c r="P6203">
        <v>0</v>
      </c>
      <c r="Q6203">
        <v>0</v>
      </c>
      <c r="R6203" t="s">
        <v>47430</v>
      </c>
      <c r="S6203" t="s">
        <v>47549</v>
      </c>
      <c r="T6203" t="s">
        <v>49237</v>
      </c>
      <c r="U6203" t="s">
        <v>54908</v>
      </c>
      <c r="W6203" t="s">
        <v>43693</v>
      </c>
      <c r="X6203" t="s">
        <v>47431</v>
      </c>
    </row>
    <row r="6204" spans="1:24">
      <c r="A6204">
        <f>HYPERLINK("https://www.philgeps.gov.ph/GEPSNONPILOT/Tender/SplashBidNoticeAbstractUI.aspx?menuIndex=3&amp;refID=7161330&amp;Result=3","7161330")</f>
        <v>0</v>
      </c>
      <c r="B6204" t="s">
        <v>2073</v>
      </c>
      <c r="C6204" t="s">
        <v>9763</v>
      </c>
      <c r="D6204" t="s">
        <v>19061</v>
      </c>
      <c r="E6204" t="s">
        <v>24520</v>
      </c>
      <c r="F6204" t="s">
        <v>32831</v>
      </c>
      <c r="G6204" t="s">
        <v>32839</v>
      </c>
      <c r="H6204" t="s">
        <v>32848</v>
      </c>
      <c r="I6204" t="s">
        <v>7416</v>
      </c>
      <c r="J6204" t="s">
        <v>36930</v>
      </c>
      <c r="K6204" t="s">
        <v>42729</v>
      </c>
      <c r="M6204" t="s">
        <v>45243</v>
      </c>
      <c r="N6204" t="s">
        <v>47424</v>
      </c>
      <c r="O6204" t="s">
        <v>47425</v>
      </c>
      <c r="P6204">
        <v>0</v>
      </c>
      <c r="Q6204">
        <v>1</v>
      </c>
      <c r="R6204" t="s">
        <v>47430</v>
      </c>
      <c r="S6204" t="s">
        <v>47549</v>
      </c>
      <c r="T6204" t="s">
        <v>49236</v>
      </c>
      <c r="U6204" t="s">
        <v>54453</v>
      </c>
      <c r="W6204" t="s">
        <v>45243</v>
      </c>
      <c r="X6204" t="s">
        <v>47431</v>
      </c>
    </row>
    <row r="6205" spans="1:24">
      <c r="A6205">
        <f>HYPERLINK("https://www.philgeps.gov.ph/GEPSNONPILOT/Tender/SplashBidNoticeAbstractUI.aspx?menuIndex=3&amp;refID=7159163&amp;Result=3","7159163")</f>
        <v>0</v>
      </c>
      <c r="B6205" t="s">
        <v>172</v>
      </c>
      <c r="C6205" t="s">
        <v>9764</v>
      </c>
      <c r="D6205" t="s">
        <v>19022</v>
      </c>
      <c r="E6205" t="s">
        <v>24521</v>
      </c>
      <c r="F6205" t="s">
        <v>32831</v>
      </c>
      <c r="G6205" t="s">
        <v>32838</v>
      </c>
      <c r="H6205" t="s">
        <v>32848</v>
      </c>
      <c r="I6205" t="s">
        <v>4558</v>
      </c>
      <c r="J6205" t="s">
        <v>33162</v>
      </c>
      <c r="K6205" t="s">
        <v>42726</v>
      </c>
      <c r="M6205" t="s">
        <v>43169</v>
      </c>
      <c r="N6205" t="s">
        <v>47424</v>
      </c>
      <c r="O6205" t="s">
        <v>47425</v>
      </c>
      <c r="P6205">
        <v>0</v>
      </c>
      <c r="Q6205">
        <v>2</v>
      </c>
      <c r="R6205" t="s">
        <v>47430</v>
      </c>
      <c r="S6205" t="s">
        <v>47549</v>
      </c>
      <c r="T6205" t="s">
        <v>49141</v>
      </c>
      <c r="U6205" t="s">
        <v>53367</v>
      </c>
      <c r="V6205" t="s">
        <v>63098</v>
      </c>
      <c r="W6205" t="s">
        <v>43169</v>
      </c>
      <c r="X6205" t="s">
        <v>47431</v>
      </c>
    </row>
    <row r="6206" spans="1:24">
      <c r="A6206">
        <f>HYPERLINK("https://www.philgeps.gov.ph/GEPSNONPILOT/Tender/SplashBidNoticeAbstractUI.aspx?menuIndex=3&amp;refID=7161329&amp;Result=3","7161329")</f>
        <v>0</v>
      </c>
      <c r="B6206" t="s">
        <v>1937</v>
      </c>
      <c r="C6206" t="s">
        <v>9765</v>
      </c>
      <c r="D6206" t="s">
        <v>19093</v>
      </c>
      <c r="E6206" t="s">
        <v>24522</v>
      </c>
      <c r="F6206" t="s">
        <v>32831</v>
      </c>
      <c r="G6206" t="s">
        <v>32839</v>
      </c>
      <c r="H6206" t="s">
        <v>32848</v>
      </c>
      <c r="I6206" t="s">
        <v>4776</v>
      </c>
      <c r="J6206" t="s">
        <v>36931</v>
      </c>
      <c r="K6206" t="s">
        <v>42727</v>
      </c>
      <c r="M6206" t="s">
        <v>45092</v>
      </c>
      <c r="N6206" t="s">
        <v>47424</v>
      </c>
      <c r="O6206" t="s">
        <v>47425</v>
      </c>
      <c r="P6206">
        <v>0</v>
      </c>
      <c r="Q6206">
        <v>7</v>
      </c>
      <c r="R6206" t="s">
        <v>47430</v>
      </c>
      <c r="S6206" t="s">
        <v>47549</v>
      </c>
      <c r="T6206" t="s">
        <v>49319</v>
      </c>
      <c r="U6206" t="s">
        <v>54909</v>
      </c>
      <c r="W6206" t="s">
        <v>45092</v>
      </c>
      <c r="X6206" t="s">
        <v>47431</v>
      </c>
    </row>
    <row r="6207" spans="1:24">
      <c r="A6207">
        <f>HYPERLINK("https://www.philgeps.gov.ph/GEPSNONPILOT/Tender/SplashBidNoticeAbstractUI.aspx?menuIndex=3&amp;refID=7159140&amp;Result=3","7159140")</f>
        <v>0</v>
      </c>
      <c r="B6207" t="s">
        <v>2238</v>
      </c>
      <c r="C6207" t="s">
        <v>9766</v>
      </c>
      <c r="D6207" t="s">
        <v>19084</v>
      </c>
      <c r="E6207" t="s">
        <v>24523</v>
      </c>
      <c r="F6207" t="s">
        <v>32831</v>
      </c>
      <c r="G6207" t="s">
        <v>32838</v>
      </c>
      <c r="H6207" t="s">
        <v>32848</v>
      </c>
      <c r="I6207" t="s">
        <v>7416</v>
      </c>
      <c r="J6207" t="s">
        <v>36932</v>
      </c>
      <c r="K6207" t="s">
        <v>42726</v>
      </c>
      <c r="M6207" t="s">
        <v>45419</v>
      </c>
      <c r="N6207" t="s">
        <v>47424</v>
      </c>
      <c r="O6207" t="s">
        <v>47425</v>
      </c>
      <c r="P6207">
        <v>0</v>
      </c>
      <c r="Q6207">
        <v>0</v>
      </c>
      <c r="R6207" t="s">
        <v>47430</v>
      </c>
      <c r="S6207" t="s">
        <v>47549</v>
      </c>
      <c r="T6207" t="s">
        <v>49089</v>
      </c>
      <c r="U6207" t="s">
        <v>54910</v>
      </c>
      <c r="W6207" t="s">
        <v>45419</v>
      </c>
      <c r="X6207" t="s">
        <v>47431</v>
      </c>
    </row>
    <row r="6208" spans="1:24">
      <c r="A6208">
        <f>HYPERLINK("https://www.philgeps.gov.ph/GEPSNONPILOT/Tender/SplashBidNoticeAbstractUI.aspx?menuIndex=3&amp;refID=7159165&amp;Result=3","7159165")</f>
        <v>0</v>
      </c>
      <c r="B6208" t="s">
        <v>33</v>
      </c>
      <c r="C6208" t="s">
        <v>9767</v>
      </c>
      <c r="D6208" t="s">
        <v>19024</v>
      </c>
      <c r="E6208" t="s">
        <v>23036</v>
      </c>
      <c r="F6208" t="s">
        <v>32831</v>
      </c>
      <c r="G6208" t="s">
        <v>32839</v>
      </c>
      <c r="H6208" t="s">
        <v>32848</v>
      </c>
      <c r="I6208" t="s">
        <v>32859</v>
      </c>
      <c r="J6208" t="s">
        <v>36933</v>
      </c>
      <c r="K6208" t="s">
        <v>42730</v>
      </c>
      <c r="M6208" t="s">
        <v>43030</v>
      </c>
      <c r="N6208" t="s">
        <v>47424</v>
      </c>
      <c r="O6208" t="s">
        <v>47425</v>
      </c>
      <c r="P6208">
        <v>0</v>
      </c>
      <c r="Q6208">
        <v>8</v>
      </c>
      <c r="R6208" t="s">
        <v>47430</v>
      </c>
      <c r="S6208" t="s">
        <v>47549</v>
      </c>
      <c r="T6208" t="s">
        <v>49188</v>
      </c>
      <c r="U6208" t="s">
        <v>53421</v>
      </c>
      <c r="W6208" t="s">
        <v>43030</v>
      </c>
      <c r="X6208" t="s">
        <v>47431</v>
      </c>
    </row>
    <row r="6209" spans="1:24">
      <c r="A6209">
        <f>HYPERLINK("https://www.philgeps.gov.ph/GEPSNONPILOT/Tender/SplashBidNoticeAbstractUI.aspx?menuIndex=3&amp;refID=7153452&amp;Result=3","7153452")</f>
        <v>0</v>
      </c>
      <c r="B6209" t="s">
        <v>2197</v>
      </c>
      <c r="C6209" t="s">
        <v>9768</v>
      </c>
      <c r="D6209" t="s">
        <v>19029</v>
      </c>
      <c r="E6209" t="s">
        <v>24524</v>
      </c>
      <c r="F6209" t="s">
        <v>32831</v>
      </c>
      <c r="G6209" t="s">
        <v>32839</v>
      </c>
      <c r="H6209" t="s">
        <v>32849</v>
      </c>
      <c r="I6209" t="s">
        <v>4177</v>
      </c>
      <c r="J6209" t="s">
        <v>36934</v>
      </c>
      <c r="K6209" t="s">
        <v>42747</v>
      </c>
      <c r="M6209" t="s">
        <v>45377</v>
      </c>
      <c r="N6209" t="s">
        <v>47424</v>
      </c>
      <c r="O6209" t="s">
        <v>47425</v>
      </c>
      <c r="P6209">
        <v>0</v>
      </c>
      <c r="Q6209">
        <v>0</v>
      </c>
      <c r="R6209" t="s">
        <v>47431</v>
      </c>
      <c r="S6209" t="s">
        <v>47565</v>
      </c>
      <c r="T6209" t="s">
        <v>49181</v>
      </c>
      <c r="U6209" t="s">
        <v>54685</v>
      </c>
      <c r="W6209" t="s">
        <v>45377</v>
      </c>
      <c r="X6209" t="s">
        <v>47433</v>
      </c>
    </row>
    <row r="6210" spans="1:24">
      <c r="A6210">
        <f>HYPERLINK("https://www.philgeps.gov.ph/GEPSNONPILOT/Tender/SplashBidNoticeAbstractUI.aspx?menuIndex=3&amp;refID=7155378&amp;Result=3","7155378")</f>
        <v>0</v>
      </c>
      <c r="B6210" t="s">
        <v>1864</v>
      </c>
      <c r="C6210" t="s">
        <v>9769</v>
      </c>
      <c r="D6210" t="s">
        <v>19045</v>
      </c>
      <c r="E6210" t="s">
        <v>24525</v>
      </c>
      <c r="F6210" t="s">
        <v>32831</v>
      </c>
      <c r="G6210" t="s">
        <v>32839</v>
      </c>
      <c r="H6210" t="s">
        <v>32848</v>
      </c>
      <c r="I6210" t="s">
        <v>32867</v>
      </c>
      <c r="J6210" t="s">
        <v>33175</v>
      </c>
      <c r="K6210" t="s">
        <v>42727</v>
      </c>
      <c r="M6210" t="s">
        <v>45006</v>
      </c>
      <c r="N6210" t="s">
        <v>47424</v>
      </c>
      <c r="O6210" t="s">
        <v>47425</v>
      </c>
      <c r="P6210">
        <v>0</v>
      </c>
      <c r="Q6210">
        <v>2</v>
      </c>
      <c r="R6210" t="s">
        <v>47431</v>
      </c>
      <c r="S6210" t="s">
        <v>47565</v>
      </c>
      <c r="T6210" t="s">
        <v>49267</v>
      </c>
      <c r="U6210" t="s">
        <v>54911</v>
      </c>
      <c r="W6210" t="s">
        <v>45006</v>
      </c>
      <c r="X6210" t="s">
        <v>47432</v>
      </c>
    </row>
    <row r="6211" spans="1:24">
      <c r="A6211">
        <f>HYPERLINK("https://www.philgeps.gov.ph/GEPSNONPILOT/Tender/SplashBidNoticeAbstractUI.aspx?menuIndex=3&amp;refID=7155374&amp;Result=3","7155374")</f>
        <v>0</v>
      </c>
      <c r="B6211" t="s">
        <v>2239</v>
      </c>
      <c r="C6211" t="s">
        <v>9770</v>
      </c>
      <c r="D6211" t="s">
        <v>19061</v>
      </c>
      <c r="E6211" t="s">
        <v>24526</v>
      </c>
      <c r="F6211" t="s">
        <v>32831</v>
      </c>
      <c r="G6211" t="s">
        <v>32840</v>
      </c>
      <c r="H6211" t="s">
        <v>32848</v>
      </c>
      <c r="I6211" t="s">
        <v>4340</v>
      </c>
      <c r="J6211" t="s">
        <v>36935</v>
      </c>
      <c r="K6211" t="s">
        <v>42732</v>
      </c>
      <c r="M6211" t="s">
        <v>45420</v>
      </c>
      <c r="N6211" t="s">
        <v>47424</v>
      </c>
      <c r="O6211" t="s">
        <v>47425</v>
      </c>
      <c r="P6211">
        <v>0</v>
      </c>
      <c r="Q6211">
        <v>0</v>
      </c>
      <c r="R6211" t="s">
        <v>47431</v>
      </c>
      <c r="S6211" t="s">
        <v>47565</v>
      </c>
      <c r="T6211" t="s">
        <v>49243</v>
      </c>
      <c r="U6211" t="s">
        <v>54912</v>
      </c>
      <c r="V6211" t="s">
        <v>63314</v>
      </c>
      <c r="W6211" t="s">
        <v>45420</v>
      </c>
      <c r="X6211" t="s">
        <v>47432</v>
      </c>
    </row>
    <row r="6212" spans="1:24">
      <c r="A6212">
        <f>HYPERLINK("https://www.philgeps.gov.ph/GEPSNONPILOT/Tender/SplashBidNoticeAbstractUI.aspx?menuIndex=3&amp;refID=7159162&amp;Result=3","7159162")</f>
        <v>0</v>
      </c>
      <c r="B6212" t="s">
        <v>1720</v>
      </c>
      <c r="C6212" t="s">
        <v>9771</v>
      </c>
      <c r="D6212" t="s">
        <v>19034</v>
      </c>
      <c r="E6212" t="s">
        <v>24527</v>
      </c>
      <c r="F6212" t="s">
        <v>32831</v>
      </c>
      <c r="G6212" t="s">
        <v>32839</v>
      </c>
      <c r="H6212" t="s">
        <v>32848</v>
      </c>
      <c r="I6212" t="s">
        <v>32855</v>
      </c>
      <c r="J6212" t="s">
        <v>36936</v>
      </c>
      <c r="K6212" t="s">
        <v>42727</v>
      </c>
      <c r="M6212" t="s">
        <v>44843</v>
      </c>
      <c r="N6212" t="s">
        <v>47424</v>
      </c>
      <c r="O6212" t="s">
        <v>47425</v>
      </c>
      <c r="P6212">
        <v>0</v>
      </c>
      <c r="Q6212">
        <v>0</v>
      </c>
      <c r="R6212" t="s">
        <v>47430</v>
      </c>
      <c r="S6212" t="s">
        <v>47549</v>
      </c>
      <c r="T6212" t="s">
        <v>49064</v>
      </c>
      <c r="U6212" t="s">
        <v>54913</v>
      </c>
      <c r="W6212" t="s">
        <v>44843</v>
      </c>
      <c r="X6212" t="s">
        <v>47431</v>
      </c>
    </row>
    <row r="6213" spans="1:24">
      <c r="A6213">
        <f>HYPERLINK("https://www.philgeps.gov.ph/GEPSNONPILOT/Tender/SplashBidNoticeAbstractUI.aspx?menuIndex=3&amp;refID=7155372&amp;Result=3","7155372")</f>
        <v>0</v>
      </c>
      <c r="B6213" t="s">
        <v>2240</v>
      </c>
      <c r="C6213" t="s">
        <v>9772</v>
      </c>
      <c r="D6213" t="s">
        <v>19071</v>
      </c>
      <c r="E6213" t="s">
        <v>24528</v>
      </c>
      <c r="F6213" t="s">
        <v>32831</v>
      </c>
      <c r="G6213" t="s">
        <v>32838</v>
      </c>
      <c r="H6213" t="s">
        <v>32848</v>
      </c>
      <c r="I6213" t="s">
        <v>7416</v>
      </c>
      <c r="J6213" t="s">
        <v>33226</v>
      </c>
      <c r="K6213" t="s">
        <v>42732</v>
      </c>
      <c r="M6213" t="s">
        <v>45421</v>
      </c>
      <c r="N6213" t="s">
        <v>47424</v>
      </c>
      <c r="O6213" t="s">
        <v>47425</v>
      </c>
      <c r="P6213">
        <v>0</v>
      </c>
      <c r="Q6213">
        <v>0</v>
      </c>
      <c r="R6213" t="s">
        <v>47431</v>
      </c>
      <c r="S6213" t="s">
        <v>47565</v>
      </c>
      <c r="T6213" t="s">
        <v>49073</v>
      </c>
      <c r="U6213" t="s">
        <v>54914</v>
      </c>
      <c r="W6213" t="s">
        <v>45421</v>
      </c>
      <c r="X6213" t="s">
        <v>47432</v>
      </c>
    </row>
    <row r="6214" spans="1:24">
      <c r="A6214">
        <f>HYPERLINK("https://www.philgeps.gov.ph/GEPSNONPILOT/Tender/SplashBidNoticeAbstractUI.aspx?menuIndex=3&amp;refID=7159137&amp;Result=3","7159137")</f>
        <v>0</v>
      </c>
      <c r="B6214" t="s">
        <v>1738</v>
      </c>
      <c r="C6214" t="s">
        <v>9773</v>
      </c>
      <c r="D6214" t="s">
        <v>19017</v>
      </c>
      <c r="E6214" t="s">
        <v>21536</v>
      </c>
      <c r="F6214" t="s">
        <v>32831</v>
      </c>
      <c r="G6214" t="s">
        <v>32839</v>
      </c>
      <c r="H6214" t="s">
        <v>32848</v>
      </c>
      <c r="I6214" t="s">
        <v>4438</v>
      </c>
      <c r="J6214" t="s">
        <v>33644</v>
      </c>
      <c r="K6214" t="s">
        <v>42726</v>
      </c>
      <c r="M6214" t="s">
        <v>44861</v>
      </c>
      <c r="N6214" t="s">
        <v>47424</v>
      </c>
      <c r="O6214" t="s">
        <v>47425</v>
      </c>
      <c r="P6214">
        <v>0</v>
      </c>
      <c r="Q6214">
        <v>0</v>
      </c>
      <c r="R6214" t="s">
        <v>47430</v>
      </c>
      <c r="S6214" t="s">
        <v>47549</v>
      </c>
      <c r="T6214" t="s">
        <v>49104</v>
      </c>
      <c r="U6214" t="s">
        <v>54915</v>
      </c>
      <c r="W6214" t="s">
        <v>44861</v>
      </c>
      <c r="X6214" t="s">
        <v>47431</v>
      </c>
    </row>
    <row r="6215" spans="1:24">
      <c r="A6215">
        <f>HYPERLINK("https://www.philgeps.gov.ph/GEPSNONPILOT/Tender/SplashBidNoticeAbstractUI.aspx?menuIndex=3&amp;refID=7155370&amp;Result=3","7155370")</f>
        <v>0</v>
      </c>
      <c r="B6215" t="s">
        <v>654</v>
      </c>
      <c r="C6215" t="s">
        <v>9774</v>
      </c>
      <c r="D6215" t="s">
        <v>19071</v>
      </c>
      <c r="E6215" t="s">
        <v>24529</v>
      </c>
      <c r="F6215" t="s">
        <v>32831</v>
      </c>
      <c r="G6215" t="s">
        <v>32839</v>
      </c>
      <c r="H6215" t="s">
        <v>32848</v>
      </c>
      <c r="I6215" t="s">
        <v>11727</v>
      </c>
      <c r="J6215" t="s">
        <v>33046</v>
      </c>
      <c r="K6215" t="s">
        <v>42731</v>
      </c>
      <c r="M6215" t="s">
        <v>43672</v>
      </c>
      <c r="N6215" t="s">
        <v>47424</v>
      </c>
      <c r="O6215" t="s">
        <v>47425</v>
      </c>
      <c r="P6215">
        <v>0</v>
      </c>
      <c r="Q6215">
        <v>0</v>
      </c>
      <c r="R6215" t="s">
        <v>47431</v>
      </c>
      <c r="S6215" t="s">
        <v>47565</v>
      </c>
      <c r="T6215" t="s">
        <v>49148</v>
      </c>
      <c r="U6215" t="s">
        <v>54916</v>
      </c>
      <c r="W6215" t="s">
        <v>43672</v>
      </c>
      <c r="X6215" t="s">
        <v>47432</v>
      </c>
    </row>
    <row r="6216" spans="1:24">
      <c r="A6216">
        <f>HYPERLINK("https://www.philgeps.gov.ph/GEPSNONPILOT/Tender/SplashBidNoticeAbstractUI.aspx?menuIndex=3&amp;refID=7155366&amp;Result=3","7155366")</f>
        <v>0</v>
      </c>
      <c r="B6216" t="s">
        <v>677</v>
      </c>
      <c r="C6216" t="s">
        <v>9735</v>
      </c>
      <c r="D6216" t="s">
        <v>19024</v>
      </c>
      <c r="E6216" t="s">
        <v>24530</v>
      </c>
      <c r="F6216" t="s">
        <v>32831</v>
      </c>
      <c r="G6216" t="s">
        <v>32839</v>
      </c>
      <c r="H6216" t="s">
        <v>32849</v>
      </c>
      <c r="I6216" t="s">
        <v>4177</v>
      </c>
      <c r="J6216" t="s">
        <v>36937</v>
      </c>
      <c r="K6216" t="s">
        <v>42770</v>
      </c>
      <c r="M6216" t="s">
        <v>43696</v>
      </c>
      <c r="N6216" t="s">
        <v>47424</v>
      </c>
      <c r="O6216" t="s">
        <v>47425</v>
      </c>
      <c r="P6216">
        <v>0</v>
      </c>
      <c r="Q6216">
        <v>3</v>
      </c>
      <c r="R6216" t="s">
        <v>47431</v>
      </c>
      <c r="S6216" t="s">
        <v>47565</v>
      </c>
      <c r="T6216" t="s">
        <v>49267</v>
      </c>
      <c r="U6216" t="s">
        <v>54917</v>
      </c>
      <c r="V6216" t="s">
        <v>63315</v>
      </c>
      <c r="W6216" t="s">
        <v>43696</v>
      </c>
      <c r="X6216" t="s">
        <v>47432</v>
      </c>
    </row>
    <row r="6217" spans="1:24">
      <c r="A6217">
        <f>HYPERLINK("https://www.philgeps.gov.ph/GEPSNONPILOT/Tender/SplashBidNoticeAbstractUI.aspx?menuIndex=3&amp;refID=7155364&amp;Result=3","7155364")</f>
        <v>0</v>
      </c>
      <c r="B6217" t="s">
        <v>2241</v>
      </c>
      <c r="C6217" t="s">
        <v>9775</v>
      </c>
      <c r="D6217" t="s">
        <v>19020</v>
      </c>
      <c r="E6217" t="s">
        <v>24531</v>
      </c>
      <c r="F6217" t="s">
        <v>32831</v>
      </c>
      <c r="G6217" t="s">
        <v>32839</v>
      </c>
      <c r="H6217" t="s">
        <v>32849</v>
      </c>
      <c r="I6217" t="s">
        <v>4177</v>
      </c>
      <c r="J6217" t="s">
        <v>36938</v>
      </c>
      <c r="K6217" t="s">
        <v>42763</v>
      </c>
      <c r="M6217" t="s">
        <v>45422</v>
      </c>
      <c r="N6217" t="s">
        <v>47424</v>
      </c>
      <c r="O6217" t="s">
        <v>47425</v>
      </c>
      <c r="P6217">
        <v>0</v>
      </c>
      <c r="Q6217">
        <v>0</v>
      </c>
      <c r="R6217" t="s">
        <v>47431</v>
      </c>
      <c r="S6217" t="s">
        <v>47565</v>
      </c>
      <c r="T6217" t="s">
        <v>49236</v>
      </c>
      <c r="U6217" t="s">
        <v>54918</v>
      </c>
      <c r="W6217" t="s">
        <v>45422</v>
      </c>
      <c r="X6217" t="s">
        <v>47432</v>
      </c>
    </row>
    <row r="6218" spans="1:24">
      <c r="A6218">
        <f>HYPERLINK("https://www.philgeps.gov.ph/GEPSNONPILOT/Tender/SplashBidNoticeAbstractUI.aspx?menuIndex=3&amp;refID=7155360&amp;Result=3","7155360")</f>
        <v>0</v>
      </c>
      <c r="B6218" t="s">
        <v>2239</v>
      </c>
      <c r="C6218" t="s">
        <v>9776</v>
      </c>
      <c r="D6218" t="s">
        <v>19061</v>
      </c>
      <c r="E6218" t="s">
        <v>24532</v>
      </c>
      <c r="F6218" t="s">
        <v>32831</v>
      </c>
      <c r="G6218" t="s">
        <v>32838</v>
      </c>
      <c r="H6218" t="s">
        <v>32848</v>
      </c>
      <c r="I6218" t="s">
        <v>4340</v>
      </c>
      <c r="J6218" t="s">
        <v>36939</v>
      </c>
      <c r="K6218" t="s">
        <v>42732</v>
      </c>
      <c r="M6218" t="s">
        <v>45420</v>
      </c>
      <c r="N6218" t="s">
        <v>47424</v>
      </c>
      <c r="O6218" t="s">
        <v>47425</v>
      </c>
      <c r="P6218">
        <v>0</v>
      </c>
      <c r="Q6218">
        <v>1</v>
      </c>
      <c r="R6218" t="s">
        <v>47431</v>
      </c>
      <c r="S6218" t="s">
        <v>47565</v>
      </c>
      <c r="T6218" t="s">
        <v>49243</v>
      </c>
      <c r="U6218" t="s">
        <v>54919</v>
      </c>
      <c r="V6218" t="s">
        <v>63316</v>
      </c>
      <c r="W6218" t="s">
        <v>45420</v>
      </c>
      <c r="X6218" t="s">
        <v>47432</v>
      </c>
    </row>
    <row r="6219" spans="1:24">
      <c r="A6219">
        <f>HYPERLINK("https://www.philgeps.gov.ph/GEPSNONPILOT/Tender/SplashBidNoticeAbstractUI.aspx?menuIndex=3&amp;refID=7155371&amp;Result=3","7155371")</f>
        <v>0</v>
      </c>
      <c r="B6219" t="s">
        <v>2242</v>
      </c>
      <c r="C6219" t="s">
        <v>9777</v>
      </c>
      <c r="D6219" t="s">
        <v>19067</v>
      </c>
      <c r="E6219" t="s">
        <v>24533</v>
      </c>
      <c r="F6219" t="s">
        <v>32831</v>
      </c>
      <c r="G6219" t="s">
        <v>32838</v>
      </c>
      <c r="H6219" t="s">
        <v>32848</v>
      </c>
      <c r="I6219" t="s">
        <v>32862</v>
      </c>
      <c r="J6219" t="s">
        <v>36940</v>
      </c>
      <c r="K6219" t="s">
        <v>42730</v>
      </c>
      <c r="M6219" t="s">
        <v>45423</v>
      </c>
      <c r="N6219" t="s">
        <v>47424</v>
      </c>
      <c r="O6219" t="s">
        <v>47425</v>
      </c>
      <c r="P6219">
        <v>0</v>
      </c>
      <c r="Q6219">
        <v>1</v>
      </c>
      <c r="R6219" t="s">
        <v>47431</v>
      </c>
      <c r="S6219" t="s">
        <v>47565</v>
      </c>
      <c r="T6219" t="s">
        <v>49237</v>
      </c>
      <c r="U6219" t="s">
        <v>54920</v>
      </c>
      <c r="W6219" t="s">
        <v>45423</v>
      </c>
      <c r="X6219" t="s">
        <v>47432</v>
      </c>
    </row>
    <row r="6220" spans="1:24">
      <c r="A6220">
        <f>HYPERLINK("https://www.philgeps.gov.ph/GEPSNONPILOT/Tender/SplashBidNoticeAbstractUI.aspx?menuIndex=3&amp;refID=7155356&amp;Result=3","7155356")</f>
        <v>0</v>
      </c>
      <c r="B6220" t="s">
        <v>1864</v>
      </c>
      <c r="C6220" t="s">
        <v>9778</v>
      </c>
      <c r="D6220" t="s">
        <v>19045</v>
      </c>
      <c r="E6220" t="s">
        <v>24534</v>
      </c>
      <c r="F6220" t="s">
        <v>32831</v>
      </c>
      <c r="G6220" t="s">
        <v>32839</v>
      </c>
      <c r="H6220" t="s">
        <v>32848</v>
      </c>
      <c r="I6220" t="s">
        <v>4776</v>
      </c>
      <c r="J6220" t="s">
        <v>33364</v>
      </c>
      <c r="K6220" t="s">
        <v>42745</v>
      </c>
      <c r="M6220" t="s">
        <v>45006</v>
      </c>
      <c r="N6220" t="s">
        <v>47424</v>
      </c>
      <c r="O6220" t="s">
        <v>47425</v>
      </c>
      <c r="P6220">
        <v>0</v>
      </c>
      <c r="Q6220">
        <v>1</v>
      </c>
      <c r="R6220" t="s">
        <v>47431</v>
      </c>
      <c r="S6220" t="s">
        <v>47565</v>
      </c>
      <c r="T6220" t="s">
        <v>49267</v>
      </c>
      <c r="U6220" t="s">
        <v>54921</v>
      </c>
      <c r="W6220" t="s">
        <v>45006</v>
      </c>
      <c r="X6220" t="s">
        <v>47432</v>
      </c>
    </row>
    <row r="6221" spans="1:24">
      <c r="A6221">
        <f>HYPERLINK("https://www.philgeps.gov.ph/GEPSNONPILOT/Tender/SplashBidNoticeAbstractUI.aspx?menuIndex=3&amp;refID=7155368&amp;Result=3","7155368")</f>
        <v>0</v>
      </c>
      <c r="B6221" t="s">
        <v>2243</v>
      </c>
      <c r="C6221" t="s">
        <v>9779</v>
      </c>
      <c r="D6221" t="s">
        <v>19036</v>
      </c>
      <c r="E6221" t="s">
        <v>24535</v>
      </c>
      <c r="F6221" t="s">
        <v>32831</v>
      </c>
      <c r="G6221" t="s">
        <v>32838</v>
      </c>
      <c r="H6221" t="s">
        <v>32848</v>
      </c>
      <c r="I6221" t="s">
        <v>32870</v>
      </c>
      <c r="J6221" t="s">
        <v>36941</v>
      </c>
      <c r="K6221" t="s">
        <v>42730</v>
      </c>
      <c r="M6221" t="s">
        <v>45424</v>
      </c>
      <c r="N6221" t="s">
        <v>47424</v>
      </c>
      <c r="O6221" t="s">
        <v>47425</v>
      </c>
      <c r="P6221">
        <v>0</v>
      </c>
      <c r="Q6221">
        <v>0</v>
      </c>
      <c r="R6221" t="s">
        <v>47431</v>
      </c>
      <c r="S6221" t="s">
        <v>47565</v>
      </c>
      <c r="T6221" t="s">
        <v>49129</v>
      </c>
      <c r="U6221" t="s">
        <v>54922</v>
      </c>
      <c r="W6221" t="s">
        <v>45424</v>
      </c>
      <c r="X6221" t="s">
        <v>47432</v>
      </c>
    </row>
    <row r="6222" spans="1:24">
      <c r="A6222">
        <f>HYPERLINK("https://www.philgeps.gov.ph/GEPSNONPILOT/Tender/SplashBidNoticeAbstractUI.aspx?menuIndex=3&amp;refID=7155354&amp;Result=3","7155354")</f>
        <v>0</v>
      </c>
      <c r="B6222" t="s">
        <v>2241</v>
      </c>
      <c r="C6222" t="s">
        <v>9780</v>
      </c>
      <c r="D6222" t="s">
        <v>19020</v>
      </c>
      <c r="E6222" t="s">
        <v>24536</v>
      </c>
      <c r="F6222" t="s">
        <v>32831</v>
      </c>
      <c r="G6222" t="s">
        <v>32839</v>
      </c>
      <c r="H6222" t="s">
        <v>32849</v>
      </c>
      <c r="I6222" t="s">
        <v>4177</v>
      </c>
      <c r="J6222" t="s">
        <v>33561</v>
      </c>
      <c r="K6222" t="s">
        <v>42763</v>
      </c>
      <c r="M6222" t="s">
        <v>45422</v>
      </c>
      <c r="N6222" t="s">
        <v>47424</v>
      </c>
      <c r="O6222" t="s">
        <v>47425</v>
      </c>
      <c r="P6222">
        <v>0</v>
      </c>
      <c r="Q6222">
        <v>0</v>
      </c>
      <c r="R6222" t="s">
        <v>47431</v>
      </c>
      <c r="S6222" t="s">
        <v>47565</v>
      </c>
      <c r="T6222" t="s">
        <v>49236</v>
      </c>
      <c r="U6222" t="s">
        <v>54923</v>
      </c>
      <c r="W6222" t="s">
        <v>45422</v>
      </c>
      <c r="X6222" t="s">
        <v>47432</v>
      </c>
    </row>
    <row r="6223" spans="1:24">
      <c r="A6223">
        <f>HYPERLINK("https://www.philgeps.gov.ph/GEPSNONPILOT/Tender/SplashBidNoticeAbstractUI.aspx?menuIndex=3&amp;refID=7155352&amp;Result=3","7155352")</f>
        <v>0</v>
      </c>
      <c r="B6223" t="s">
        <v>2244</v>
      </c>
      <c r="C6223" t="s">
        <v>9781</v>
      </c>
      <c r="D6223" t="s">
        <v>19025</v>
      </c>
      <c r="E6223" t="s">
        <v>19311</v>
      </c>
      <c r="F6223" t="s">
        <v>32831</v>
      </c>
      <c r="G6223" t="s">
        <v>32839</v>
      </c>
      <c r="H6223" t="s">
        <v>32848</v>
      </c>
      <c r="I6223" t="s">
        <v>4438</v>
      </c>
      <c r="J6223" t="s">
        <v>33087</v>
      </c>
      <c r="K6223" t="s">
        <v>42731</v>
      </c>
      <c r="M6223" t="s">
        <v>45425</v>
      </c>
      <c r="N6223" t="s">
        <v>47424</v>
      </c>
      <c r="O6223" t="s">
        <v>47425</v>
      </c>
      <c r="P6223">
        <v>0</v>
      </c>
      <c r="Q6223">
        <v>0</v>
      </c>
      <c r="R6223" t="s">
        <v>47431</v>
      </c>
      <c r="S6223" t="s">
        <v>47565</v>
      </c>
      <c r="T6223" t="s">
        <v>49125</v>
      </c>
      <c r="U6223" t="s">
        <v>54924</v>
      </c>
      <c r="W6223" t="s">
        <v>45425</v>
      </c>
      <c r="X6223" t="s">
        <v>47432</v>
      </c>
    </row>
    <row r="6224" spans="1:24">
      <c r="A6224">
        <f>HYPERLINK("https://www.philgeps.gov.ph/GEPSNONPILOT/Tender/SplashBidNoticeAbstractUI.aspx?menuIndex=3&amp;refID=7155376&amp;Result=3","7155376")</f>
        <v>0</v>
      </c>
      <c r="B6224" t="s">
        <v>1533</v>
      </c>
      <c r="C6224" t="s">
        <v>9782</v>
      </c>
      <c r="D6224" t="s">
        <v>19093</v>
      </c>
      <c r="E6224" t="s">
        <v>24537</v>
      </c>
      <c r="F6224" t="s">
        <v>32831</v>
      </c>
      <c r="G6224" t="s">
        <v>32838</v>
      </c>
      <c r="H6224" t="s">
        <v>32848</v>
      </c>
      <c r="I6224" t="s">
        <v>5379</v>
      </c>
      <c r="J6224" t="s">
        <v>36942</v>
      </c>
      <c r="K6224" t="s">
        <v>42730</v>
      </c>
      <c r="M6224" t="s">
        <v>44637</v>
      </c>
      <c r="N6224" t="s">
        <v>47424</v>
      </c>
      <c r="O6224" t="s">
        <v>47425</v>
      </c>
      <c r="P6224">
        <v>0</v>
      </c>
      <c r="Q6224">
        <v>0</v>
      </c>
      <c r="R6224" t="s">
        <v>47431</v>
      </c>
      <c r="S6224" t="s">
        <v>47565</v>
      </c>
      <c r="T6224" t="s">
        <v>49239</v>
      </c>
      <c r="U6224" t="s">
        <v>54925</v>
      </c>
      <c r="W6224" t="s">
        <v>44637</v>
      </c>
      <c r="X6224" t="s">
        <v>47432</v>
      </c>
    </row>
    <row r="6225" spans="1:24">
      <c r="A6225">
        <f>HYPERLINK("https://www.philgeps.gov.ph/GEPSNONPILOT/Tender/SplashBidNoticeAbstractUI.aspx?menuIndex=3&amp;refID=7155349&amp;Result=3","7155349")</f>
        <v>0</v>
      </c>
      <c r="B6225" t="s">
        <v>2245</v>
      </c>
      <c r="C6225" t="s">
        <v>9783</v>
      </c>
      <c r="D6225" t="s">
        <v>19031</v>
      </c>
      <c r="E6225" t="s">
        <v>24538</v>
      </c>
      <c r="F6225" t="s">
        <v>32831</v>
      </c>
      <c r="G6225" t="s">
        <v>32838</v>
      </c>
      <c r="H6225" t="s">
        <v>32848</v>
      </c>
      <c r="I6225" t="s">
        <v>32870</v>
      </c>
      <c r="J6225" t="s">
        <v>34023</v>
      </c>
      <c r="K6225" t="s">
        <v>42727</v>
      </c>
      <c r="M6225" t="s">
        <v>45426</v>
      </c>
      <c r="N6225" t="s">
        <v>47424</v>
      </c>
      <c r="O6225" t="s">
        <v>47425</v>
      </c>
      <c r="P6225">
        <v>0</v>
      </c>
      <c r="Q6225">
        <v>1</v>
      </c>
      <c r="R6225" t="s">
        <v>47431</v>
      </c>
      <c r="S6225" t="s">
        <v>47565</v>
      </c>
      <c r="T6225" t="s">
        <v>49091</v>
      </c>
      <c r="U6225" t="s">
        <v>54926</v>
      </c>
      <c r="V6225" t="s">
        <v>63317</v>
      </c>
      <c r="W6225" t="s">
        <v>45426</v>
      </c>
      <c r="X6225" t="s">
        <v>47432</v>
      </c>
    </row>
    <row r="6226" spans="1:24">
      <c r="A6226">
        <f>HYPERLINK("https://www.philgeps.gov.ph/GEPSNONPILOT/Tender/SplashBidNoticeAbstractUI.aspx?menuIndex=3&amp;refID=7155346&amp;Result=3","7155346")</f>
        <v>0</v>
      </c>
      <c r="B6226" t="s">
        <v>2246</v>
      </c>
      <c r="C6226" t="s">
        <v>9784</v>
      </c>
      <c r="D6226" t="s">
        <v>19049</v>
      </c>
      <c r="E6226" t="s">
        <v>24539</v>
      </c>
      <c r="F6226" t="s">
        <v>32831</v>
      </c>
      <c r="G6226" t="s">
        <v>32839</v>
      </c>
      <c r="H6226" t="s">
        <v>32848</v>
      </c>
      <c r="I6226" t="s">
        <v>4222</v>
      </c>
      <c r="J6226" t="s">
        <v>33072</v>
      </c>
      <c r="K6226" t="s">
        <v>42726</v>
      </c>
      <c r="M6226" t="s">
        <v>45427</v>
      </c>
      <c r="N6226" t="s">
        <v>47424</v>
      </c>
      <c r="O6226" t="s">
        <v>47425</v>
      </c>
      <c r="P6226">
        <v>0</v>
      </c>
      <c r="Q6226">
        <v>0</v>
      </c>
      <c r="R6226" t="s">
        <v>47431</v>
      </c>
      <c r="S6226" t="s">
        <v>47565</v>
      </c>
      <c r="T6226" t="s">
        <v>49455</v>
      </c>
      <c r="U6226" t="s">
        <v>54927</v>
      </c>
      <c r="W6226" t="s">
        <v>45427</v>
      </c>
      <c r="X6226" t="s">
        <v>47432</v>
      </c>
    </row>
    <row r="6227" spans="1:24">
      <c r="A6227">
        <f>HYPERLINK("https://www.philgeps.gov.ph/GEPSNONPILOT/Tender/SplashBidNoticeAbstractUI.aspx?menuIndex=3&amp;refID=7155338&amp;Result=3","7155338")</f>
        <v>0</v>
      </c>
      <c r="B6227" t="s">
        <v>2241</v>
      </c>
      <c r="C6227" t="s">
        <v>9785</v>
      </c>
      <c r="D6227" t="s">
        <v>19020</v>
      </c>
      <c r="E6227" t="s">
        <v>24540</v>
      </c>
      <c r="F6227" t="s">
        <v>32831</v>
      </c>
      <c r="G6227" t="s">
        <v>32839</v>
      </c>
      <c r="H6227" t="s">
        <v>32849</v>
      </c>
      <c r="I6227" t="s">
        <v>4177</v>
      </c>
      <c r="J6227" t="s">
        <v>36943</v>
      </c>
      <c r="K6227" t="s">
        <v>42763</v>
      </c>
      <c r="M6227" t="s">
        <v>45422</v>
      </c>
      <c r="N6227" t="s">
        <v>47424</v>
      </c>
      <c r="O6227" t="s">
        <v>47425</v>
      </c>
      <c r="P6227">
        <v>0</v>
      </c>
      <c r="Q6227">
        <v>0</v>
      </c>
      <c r="R6227" t="s">
        <v>47431</v>
      </c>
      <c r="S6227" t="s">
        <v>47565</v>
      </c>
      <c r="T6227" t="s">
        <v>49236</v>
      </c>
      <c r="U6227" t="s">
        <v>54928</v>
      </c>
      <c r="W6227" t="s">
        <v>45422</v>
      </c>
      <c r="X6227" t="s">
        <v>47432</v>
      </c>
    </row>
    <row r="6228" spans="1:24">
      <c r="A6228">
        <f>HYPERLINK("https://www.philgeps.gov.ph/GEPSNONPILOT/Tender/SplashBidNoticeAbstractUI.aspx?menuIndex=3&amp;refID=7155355&amp;Result=3","7155355")</f>
        <v>0</v>
      </c>
      <c r="B6228" t="s">
        <v>677</v>
      </c>
      <c r="C6228" t="s">
        <v>9735</v>
      </c>
      <c r="D6228" t="s">
        <v>19024</v>
      </c>
      <c r="E6228" t="s">
        <v>24541</v>
      </c>
      <c r="F6228" t="s">
        <v>32831</v>
      </c>
      <c r="G6228" t="s">
        <v>32839</v>
      </c>
      <c r="H6228" t="s">
        <v>32849</v>
      </c>
      <c r="I6228" t="s">
        <v>4177</v>
      </c>
      <c r="J6228" t="s">
        <v>36944</v>
      </c>
      <c r="K6228" t="s">
        <v>42770</v>
      </c>
      <c r="M6228" t="s">
        <v>43696</v>
      </c>
      <c r="N6228" t="s">
        <v>47424</v>
      </c>
      <c r="O6228" t="s">
        <v>47425</v>
      </c>
      <c r="P6228">
        <v>0</v>
      </c>
      <c r="Q6228">
        <v>3</v>
      </c>
      <c r="R6228" t="s">
        <v>47431</v>
      </c>
      <c r="S6228" t="s">
        <v>47565</v>
      </c>
      <c r="T6228" t="s">
        <v>49267</v>
      </c>
      <c r="U6228" t="s">
        <v>54929</v>
      </c>
      <c r="V6228" t="s">
        <v>63318</v>
      </c>
      <c r="W6228" t="s">
        <v>43696</v>
      </c>
      <c r="X6228" t="s">
        <v>47432</v>
      </c>
    </row>
    <row r="6229" spans="1:24">
      <c r="A6229">
        <f>HYPERLINK("https://www.philgeps.gov.ph/GEPSNONPILOT/Tender/SplashBidNoticeAbstractUI.aspx?menuIndex=3&amp;refID=7155411&amp;Result=3","7155411")</f>
        <v>0</v>
      </c>
      <c r="B6229" t="s">
        <v>1864</v>
      </c>
      <c r="C6229" t="s">
        <v>4067</v>
      </c>
      <c r="D6229" t="s">
        <v>19045</v>
      </c>
      <c r="E6229" t="s">
        <v>24542</v>
      </c>
      <c r="F6229" t="s">
        <v>32831</v>
      </c>
      <c r="G6229" t="s">
        <v>32839</v>
      </c>
      <c r="H6229" t="s">
        <v>32848</v>
      </c>
      <c r="I6229" t="s">
        <v>9577</v>
      </c>
      <c r="J6229" t="s">
        <v>33385</v>
      </c>
      <c r="K6229" t="s">
        <v>42731</v>
      </c>
      <c r="M6229" t="s">
        <v>45006</v>
      </c>
      <c r="N6229" t="s">
        <v>47424</v>
      </c>
      <c r="O6229" t="s">
        <v>47425</v>
      </c>
      <c r="P6229">
        <v>0</v>
      </c>
      <c r="Q6229">
        <v>1</v>
      </c>
      <c r="R6229" t="s">
        <v>47431</v>
      </c>
      <c r="S6229" t="s">
        <v>47565</v>
      </c>
      <c r="T6229" t="s">
        <v>49267</v>
      </c>
      <c r="U6229" t="s">
        <v>54930</v>
      </c>
      <c r="W6229" t="s">
        <v>45006</v>
      </c>
      <c r="X6229" t="s">
        <v>47432</v>
      </c>
    </row>
    <row r="6230" spans="1:24">
      <c r="A6230">
        <f>HYPERLINK("https://www.philgeps.gov.ph/GEPSNONPILOT/Tender/SplashBidNoticeAbstractUI.aspx?menuIndex=3&amp;refID=7155408&amp;Result=3","7155408")</f>
        <v>0</v>
      </c>
      <c r="B6230" t="s">
        <v>654</v>
      </c>
      <c r="C6230" t="s">
        <v>9786</v>
      </c>
      <c r="D6230" t="s">
        <v>19071</v>
      </c>
      <c r="E6230" t="s">
        <v>24543</v>
      </c>
      <c r="F6230" t="s">
        <v>32831</v>
      </c>
      <c r="G6230" t="s">
        <v>32839</v>
      </c>
      <c r="H6230" t="s">
        <v>32848</v>
      </c>
      <c r="I6230" t="s">
        <v>4776</v>
      </c>
      <c r="J6230" t="s">
        <v>33292</v>
      </c>
      <c r="K6230" t="s">
        <v>42731</v>
      </c>
      <c r="M6230" t="s">
        <v>43672</v>
      </c>
      <c r="N6230" t="s">
        <v>47424</v>
      </c>
      <c r="O6230" t="s">
        <v>47425</v>
      </c>
      <c r="P6230">
        <v>0</v>
      </c>
      <c r="Q6230">
        <v>0</v>
      </c>
      <c r="R6230" t="s">
        <v>47431</v>
      </c>
      <c r="S6230" t="s">
        <v>47565</v>
      </c>
      <c r="T6230" t="s">
        <v>49148</v>
      </c>
      <c r="U6230" t="s">
        <v>54931</v>
      </c>
      <c r="W6230" t="s">
        <v>43672</v>
      </c>
      <c r="X6230" t="s">
        <v>47432</v>
      </c>
    </row>
    <row r="6231" spans="1:24">
      <c r="A6231">
        <f>HYPERLINK("https://www.philgeps.gov.ph/GEPSNONPILOT/Tender/SplashBidNoticeAbstractUI.aspx?menuIndex=3&amp;refID=7155345&amp;Result=3","7155345")</f>
        <v>0</v>
      </c>
      <c r="B6231" t="s">
        <v>2235</v>
      </c>
      <c r="C6231" t="s">
        <v>9787</v>
      </c>
      <c r="D6231" t="s">
        <v>19022</v>
      </c>
      <c r="E6231" t="s">
        <v>24544</v>
      </c>
      <c r="F6231" t="s">
        <v>32831</v>
      </c>
      <c r="G6231" t="s">
        <v>32838</v>
      </c>
      <c r="H6231" t="s">
        <v>32848</v>
      </c>
      <c r="I6231" t="s">
        <v>4776</v>
      </c>
      <c r="J6231" t="s">
        <v>36945</v>
      </c>
      <c r="K6231" t="s">
        <v>42726</v>
      </c>
      <c r="M6231" t="s">
        <v>45416</v>
      </c>
      <c r="N6231" t="s">
        <v>47424</v>
      </c>
      <c r="O6231" t="s">
        <v>47425</v>
      </c>
      <c r="P6231">
        <v>0</v>
      </c>
      <c r="Q6231">
        <v>1</v>
      </c>
      <c r="R6231" t="s">
        <v>47431</v>
      </c>
      <c r="S6231" t="s">
        <v>47565</v>
      </c>
      <c r="T6231" t="s">
        <v>49141</v>
      </c>
      <c r="U6231" t="s">
        <v>54932</v>
      </c>
      <c r="W6231" t="s">
        <v>45416</v>
      </c>
      <c r="X6231" t="s">
        <v>47432</v>
      </c>
    </row>
    <row r="6232" spans="1:24">
      <c r="A6232">
        <f>HYPERLINK("https://www.philgeps.gov.ph/GEPSNONPILOT/Tender/SplashBidNoticeAbstractUI.aspx?menuIndex=3&amp;refID=7153154&amp;Result=3","7153154")</f>
        <v>0</v>
      </c>
      <c r="B6232" t="s">
        <v>72</v>
      </c>
      <c r="C6232" t="s">
        <v>9788</v>
      </c>
      <c r="D6232" t="s">
        <v>19027</v>
      </c>
      <c r="E6232" t="s">
        <v>24545</v>
      </c>
      <c r="F6232" t="s">
        <v>32831</v>
      </c>
      <c r="G6232" t="s">
        <v>32839</v>
      </c>
      <c r="H6232" t="s">
        <v>32848</v>
      </c>
      <c r="I6232" t="s">
        <v>7416</v>
      </c>
      <c r="J6232" t="s">
        <v>36946</v>
      </c>
      <c r="K6232" t="s">
        <v>42745</v>
      </c>
      <c r="M6232" t="s">
        <v>43069</v>
      </c>
      <c r="N6232" t="s">
        <v>47424</v>
      </c>
      <c r="O6232" t="s">
        <v>47425</v>
      </c>
      <c r="P6232">
        <v>0</v>
      </c>
      <c r="Q6232">
        <v>0</v>
      </c>
      <c r="R6232" t="s">
        <v>47431</v>
      </c>
      <c r="S6232" t="s">
        <v>47565</v>
      </c>
      <c r="T6232" t="s">
        <v>49087</v>
      </c>
      <c r="U6232" t="s">
        <v>49763</v>
      </c>
      <c r="W6232" t="s">
        <v>64429</v>
      </c>
      <c r="X6232" t="s">
        <v>47433</v>
      </c>
    </row>
    <row r="6233" spans="1:24">
      <c r="A6233">
        <f>HYPERLINK("https://www.philgeps.gov.ph/GEPSNONPILOT/Tender/SplashBidNoticeAbstractUI.aspx?menuIndex=3&amp;refID=7155410&amp;Result=3","7155410")</f>
        <v>0</v>
      </c>
      <c r="B6233" t="s">
        <v>2247</v>
      </c>
      <c r="C6233" t="s">
        <v>9789</v>
      </c>
      <c r="D6233" t="s">
        <v>19071</v>
      </c>
      <c r="E6233" t="s">
        <v>24546</v>
      </c>
      <c r="F6233" t="s">
        <v>32831</v>
      </c>
      <c r="G6233" t="s">
        <v>32839</v>
      </c>
      <c r="H6233" t="s">
        <v>32848</v>
      </c>
      <c r="I6233" t="s">
        <v>32859</v>
      </c>
      <c r="J6233" t="s">
        <v>36947</v>
      </c>
      <c r="K6233" t="s">
        <v>42732</v>
      </c>
      <c r="M6233" t="s">
        <v>45428</v>
      </c>
      <c r="N6233" t="s">
        <v>47424</v>
      </c>
      <c r="O6233" t="s">
        <v>47425</v>
      </c>
      <c r="P6233">
        <v>0</v>
      </c>
      <c r="Q6233">
        <v>2</v>
      </c>
      <c r="R6233" t="s">
        <v>47431</v>
      </c>
      <c r="S6233" t="s">
        <v>47565</v>
      </c>
      <c r="T6233" t="s">
        <v>49127</v>
      </c>
      <c r="U6233" t="s">
        <v>54933</v>
      </c>
      <c r="W6233" t="s">
        <v>45428</v>
      </c>
      <c r="X6233" t="s">
        <v>47432</v>
      </c>
    </row>
    <row r="6234" spans="1:24">
      <c r="A6234">
        <f>HYPERLINK("https://www.philgeps.gov.ph/GEPSNONPILOT/Tender/SplashBidNoticeAbstractUI.aspx?menuIndex=3&amp;refID=7155402&amp;Result=3","7155402")</f>
        <v>0</v>
      </c>
      <c r="B6234" t="s">
        <v>2239</v>
      </c>
      <c r="C6234" t="s">
        <v>4699</v>
      </c>
      <c r="D6234" t="s">
        <v>19061</v>
      </c>
      <c r="E6234" t="s">
        <v>24547</v>
      </c>
      <c r="F6234" t="s">
        <v>32831</v>
      </c>
      <c r="G6234" t="s">
        <v>32840</v>
      </c>
      <c r="H6234" t="s">
        <v>32848</v>
      </c>
      <c r="I6234" t="s">
        <v>9577</v>
      </c>
      <c r="J6234" t="s">
        <v>36948</v>
      </c>
      <c r="K6234" t="s">
        <v>42732</v>
      </c>
      <c r="M6234" t="s">
        <v>45420</v>
      </c>
      <c r="N6234" t="s">
        <v>47424</v>
      </c>
      <c r="O6234" t="s">
        <v>47425</v>
      </c>
      <c r="P6234">
        <v>0</v>
      </c>
      <c r="Q6234">
        <v>0</v>
      </c>
      <c r="R6234" t="s">
        <v>47431</v>
      </c>
      <c r="S6234" t="s">
        <v>47565</v>
      </c>
      <c r="T6234" t="s">
        <v>49243</v>
      </c>
      <c r="U6234" t="s">
        <v>54934</v>
      </c>
      <c r="V6234" t="s">
        <v>63319</v>
      </c>
      <c r="W6234" t="s">
        <v>45420</v>
      </c>
      <c r="X6234" t="s">
        <v>47432</v>
      </c>
    </row>
    <row r="6235" spans="1:24">
      <c r="A6235">
        <f>HYPERLINK("https://www.philgeps.gov.ph/GEPSNONPILOT/Tender/SplashBidNoticeAbstractUI.aspx?menuIndex=3&amp;refID=7155399&amp;Result=3","7155399")</f>
        <v>0</v>
      </c>
      <c r="B6235" t="s">
        <v>2248</v>
      </c>
      <c r="C6235" t="s">
        <v>9790</v>
      </c>
      <c r="D6235" t="s">
        <v>19022</v>
      </c>
      <c r="E6235" t="s">
        <v>24548</v>
      </c>
      <c r="F6235" t="s">
        <v>32831</v>
      </c>
      <c r="G6235" t="s">
        <v>32838</v>
      </c>
      <c r="H6235" t="s">
        <v>32848</v>
      </c>
      <c r="I6235" t="s">
        <v>4303</v>
      </c>
      <c r="J6235" t="s">
        <v>36949</v>
      </c>
      <c r="K6235" t="s">
        <v>42732</v>
      </c>
      <c r="M6235" t="s">
        <v>45429</v>
      </c>
      <c r="N6235" t="s">
        <v>47424</v>
      </c>
      <c r="O6235" t="s">
        <v>47425</v>
      </c>
      <c r="P6235">
        <v>0</v>
      </c>
      <c r="Q6235">
        <v>0</v>
      </c>
      <c r="R6235" t="s">
        <v>47431</v>
      </c>
      <c r="S6235" t="s">
        <v>47565</v>
      </c>
      <c r="T6235" t="s">
        <v>49114</v>
      </c>
      <c r="U6235" t="s">
        <v>54935</v>
      </c>
      <c r="V6235" t="s">
        <v>62754</v>
      </c>
      <c r="W6235" t="s">
        <v>45429</v>
      </c>
      <c r="X6235" t="s">
        <v>47432</v>
      </c>
    </row>
    <row r="6236" spans="1:24">
      <c r="A6236">
        <f>HYPERLINK("https://www.philgeps.gov.ph/GEPSNONPILOT/Tender/SplashBidNoticeAbstractUI.aspx?menuIndex=3&amp;refID=7155398&amp;Result=3","7155398")</f>
        <v>0</v>
      </c>
      <c r="B6236" t="s">
        <v>2249</v>
      </c>
      <c r="C6236" t="s">
        <v>9791</v>
      </c>
      <c r="D6236" t="s">
        <v>19077</v>
      </c>
      <c r="E6236" t="s">
        <v>24549</v>
      </c>
      <c r="F6236" t="s">
        <v>32831</v>
      </c>
      <c r="G6236" t="s">
        <v>32842</v>
      </c>
      <c r="H6236" t="s">
        <v>32848</v>
      </c>
      <c r="I6236" t="s">
        <v>32855</v>
      </c>
      <c r="J6236" t="s">
        <v>33144</v>
      </c>
      <c r="K6236" t="s">
        <v>42730</v>
      </c>
      <c r="M6236" t="s">
        <v>45430</v>
      </c>
      <c r="N6236" t="s">
        <v>47424</v>
      </c>
      <c r="O6236" t="s">
        <v>47425</v>
      </c>
      <c r="P6236">
        <v>0</v>
      </c>
      <c r="Q6236">
        <v>3</v>
      </c>
      <c r="R6236" t="s">
        <v>47431</v>
      </c>
      <c r="S6236" t="s">
        <v>47565</v>
      </c>
      <c r="T6236" t="s">
        <v>49237</v>
      </c>
      <c r="U6236" t="s">
        <v>54936</v>
      </c>
      <c r="W6236" t="s">
        <v>45430</v>
      </c>
      <c r="X6236" t="s">
        <v>47432</v>
      </c>
    </row>
    <row r="6237" spans="1:24">
      <c r="A6237">
        <f>HYPERLINK("https://www.philgeps.gov.ph/GEPSNONPILOT/Tender/SplashBidNoticeAbstractUI.aspx?menuIndex=3&amp;refID=7155401&amp;Result=3","7155401")</f>
        <v>0</v>
      </c>
      <c r="B6237" t="s">
        <v>2250</v>
      </c>
      <c r="C6237" t="s">
        <v>9792</v>
      </c>
      <c r="D6237" t="s">
        <v>19071</v>
      </c>
      <c r="E6237" t="s">
        <v>24550</v>
      </c>
      <c r="F6237" t="s">
        <v>32831</v>
      </c>
      <c r="G6237" t="s">
        <v>32844</v>
      </c>
      <c r="H6237" t="s">
        <v>32848</v>
      </c>
      <c r="I6237" t="s">
        <v>32852</v>
      </c>
      <c r="J6237" t="s">
        <v>32978</v>
      </c>
      <c r="K6237" t="s">
        <v>42730</v>
      </c>
      <c r="M6237" t="s">
        <v>45431</v>
      </c>
      <c r="N6237" t="s">
        <v>47424</v>
      </c>
      <c r="O6237" t="s">
        <v>47425</v>
      </c>
      <c r="P6237">
        <v>0</v>
      </c>
      <c r="Q6237">
        <v>0</v>
      </c>
      <c r="R6237" t="s">
        <v>47431</v>
      </c>
      <c r="S6237" t="s">
        <v>47565</v>
      </c>
      <c r="T6237" t="s">
        <v>49456</v>
      </c>
      <c r="U6237" t="s">
        <v>54937</v>
      </c>
      <c r="V6237" t="s">
        <v>63320</v>
      </c>
      <c r="W6237" t="s">
        <v>45431</v>
      </c>
      <c r="X6237" t="s">
        <v>47432</v>
      </c>
    </row>
    <row r="6238" spans="1:24">
      <c r="A6238">
        <f>HYPERLINK("https://www.philgeps.gov.ph/GEPSNONPILOT/Tender/SplashBidNoticeAbstractUI.aspx?menuIndex=3&amp;refID=7155400&amp;Result=3","7155400")</f>
        <v>0</v>
      </c>
      <c r="B6238" t="s">
        <v>238</v>
      </c>
      <c r="C6238" t="s">
        <v>9793</v>
      </c>
      <c r="D6238" t="s">
        <v>19049</v>
      </c>
      <c r="E6238" t="s">
        <v>24551</v>
      </c>
      <c r="F6238" t="s">
        <v>32831</v>
      </c>
      <c r="G6238" t="s">
        <v>32838</v>
      </c>
      <c r="H6238" t="s">
        <v>32848</v>
      </c>
      <c r="I6238" t="s">
        <v>32860</v>
      </c>
      <c r="J6238" t="s">
        <v>36950</v>
      </c>
      <c r="K6238" t="s">
        <v>42759</v>
      </c>
      <c r="L6238" t="s">
        <v>238</v>
      </c>
      <c r="M6238" t="s">
        <v>43237</v>
      </c>
      <c r="N6238" t="s">
        <v>47424</v>
      </c>
      <c r="O6238" t="s">
        <v>47425</v>
      </c>
      <c r="P6238">
        <v>0</v>
      </c>
      <c r="Q6238">
        <v>0</v>
      </c>
      <c r="R6238" t="s">
        <v>47431</v>
      </c>
      <c r="S6238" t="s">
        <v>47565</v>
      </c>
      <c r="T6238" t="s">
        <v>49104</v>
      </c>
      <c r="U6238" t="s">
        <v>54938</v>
      </c>
      <c r="W6238" t="s">
        <v>43237</v>
      </c>
      <c r="X6238" t="s">
        <v>47432</v>
      </c>
    </row>
    <row r="6239" spans="1:24">
      <c r="A6239">
        <f>HYPERLINK("https://www.philgeps.gov.ph/GEPSNONPILOT/Tender/SplashBidNoticeAbstractUI.aspx?menuIndex=3&amp;refID=7155394&amp;Result=3","7155394")</f>
        <v>0</v>
      </c>
      <c r="B6239" t="s">
        <v>2241</v>
      </c>
      <c r="C6239" t="s">
        <v>9794</v>
      </c>
      <c r="D6239" t="s">
        <v>19020</v>
      </c>
      <c r="E6239" t="s">
        <v>24552</v>
      </c>
      <c r="F6239" t="s">
        <v>32831</v>
      </c>
      <c r="G6239" t="s">
        <v>32839</v>
      </c>
      <c r="H6239" t="s">
        <v>32849</v>
      </c>
      <c r="I6239" t="s">
        <v>4177</v>
      </c>
      <c r="J6239" t="s">
        <v>36951</v>
      </c>
      <c r="K6239" t="s">
        <v>42763</v>
      </c>
      <c r="M6239" t="s">
        <v>45422</v>
      </c>
      <c r="N6239" t="s">
        <v>47424</v>
      </c>
      <c r="O6239" t="s">
        <v>47425</v>
      </c>
      <c r="P6239">
        <v>0</v>
      </c>
      <c r="Q6239">
        <v>0</v>
      </c>
      <c r="R6239" t="s">
        <v>47431</v>
      </c>
      <c r="S6239" t="s">
        <v>47565</v>
      </c>
      <c r="T6239" t="s">
        <v>49236</v>
      </c>
      <c r="U6239" t="s">
        <v>54939</v>
      </c>
      <c r="W6239" t="s">
        <v>45422</v>
      </c>
      <c r="X6239" t="s">
        <v>47432</v>
      </c>
    </row>
    <row r="6240" spans="1:24">
      <c r="A6240">
        <f>HYPERLINK("https://www.philgeps.gov.ph/GEPSNONPILOT/Tender/SplashBidNoticeAbstractUI.aspx?menuIndex=3&amp;refID=7155445&amp;Result=3","7155445")</f>
        <v>0</v>
      </c>
      <c r="B6240" t="s">
        <v>2251</v>
      </c>
      <c r="C6240" t="s">
        <v>9795</v>
      </c>
      <c r="D6240" t="s">
        <v>19033</v>
      </c>
      <c r="E6240" t="s">
        <v>24553</v>
      </c>
      <c r="F6240" t="s">
        <v>32831</v>
      </c>
      <c r="G6240" t="s">
        <v>32838</v>
      </c>
      <c r="H6240" t="s">
        <v>32848</v>
      </c>
      <c r="I6240" t="s">
        <v>7416</v>
      </c>
      <c r="J6240" t="s">
        <v>36952</v>
      </c>
      <c r="K6240" t="s">
        <v>42727</v>
      </c>
      <c r="M6240" t="s">
        <v>45432</v>
      </c>
      <c r="N6240" t="s">
        <v>47424</v>
      </c>
      <c r="O6240" t="s">
        <v>47425</v>
      </c>
      <c r="P6240">
        <v>0</v>
      </c>
      <c r="Q6240">
        <v>1</v>
      </c>
      <c r="R6240" t="s">
        <v>47431</v>
      </c>
      <c r="S6240" t="s">
        <v>47565</v>
      </c>
      <c r="T6240" t="s">
        <v>49214</v>
      </c>
      <c r="U6240" t="s">
        <v>54940</v>
      </c>
      <c r="W6240" t="s">
        <v>64505</v>
      </c>
      <c r="X6240" t="s">
        <v>47432</v>
      </c>
    </row>
    <row r="6241" spans="1:24">
      <c r="A6241">
        <f>HYPERLINK("https://www.philgeps.gov.ph/GEPSNONPILOT/Tender/SplashBidNoticeAbstractUI.aspx?menuIndex=3&amp;refID=7155444&amp;Result=3","7155444")</f>
        <v>0</v>
      </c>
      <c r="B6241" t="s">
        <v>1877</v>
      </c>
      <c r="C6241" t="s">
        <v>9796</v>
      </c>
      <c r="D6241" t="s">
        <v>19043</v>
      </c>
      <c r="E6241" t="s">
        <v>24554</v>
      </c>
      <c r="F6241" t="s">
        <v>32831</v>
      </c>
      <c r="G6241" t="s">
        <v>32840</v>
      </c>
      <c r="H6241" t="s">
        <v>32848</v>
      </c>
      <c r="I6241" t="s">
        <v>32917</v>
      </c>
      <c r="J6241" t="s">
        <v>34543</v>
      </c>
      <c r="K6241" t="s">
        <v>42727</v>
      </c>
      <c r="M6241" t="s">
        <v>45021</v>
      </c>
      <c r="N6241" t="s">
        <v>47424</v>
      </c>
      <c r="O6241" t="s">
        <v>47425</v>
      </c>
      <c r="P6241">
        <v>0</v>
      </c>
      <c r="Q6241">
        <v>1</v>
      </c>
      <c r="R6241" t="s">
        <v>47431</v>
      </c>
      <c r="S6241" t="s">
        <v>47565</v>
      </c>
      <c r="T6241" t="s">
        <v>49162</v>
      </c>
      <c r="U6241" t="s">
        <v>54941</v>
      </c>
      <c r="W6241" t="s">
        <v>45021</v>
      </c>
      <c r="X6241" t="s">
        <v>47432</v>
      </c>
    </row>
    <row r="6242" spans="1:24">
      <c r="A6242">
        <f>HYPERLINK("https://www.philgeps.gov.ph/GEPSNONPILOT/Tender/SplashBidNoticeAbstractUI.aspx?menuIndex=3&amp;refID=7155361&amp;Result=3","7155361")</f>
        <v>0</v>
      </c>
      <c r="B6242" t="s">
        <v>2235</v>
      </c>
      <c r="C6242" t="s">
        <v>9797</v>
      </c>
      <c r="D6242" t="s">
        <v>19022</v>
      </c>
      <c r="E6242" t="s">
        <v>24555</v>
      </c>
      <c r="F6242" t="s">
        <v>32831</v>
      </c>
      <c r="G6242" t="s">
        <v>32838</v>
      </c>
      <c r="H6242" t="s">
        <v>32848</v>
      </c>
      <c r="I6242" t="s">
        <v>32862</v>
      </c>
      <c r="J6242" t="s">
        <v>33479</v>
      </c>
      <c r="K6242" t="s">
        <v>42726</v>
      </c>
      <c r="M6242" t="s">
        <v>45416</v>
      </c>
      <c r="N6242" t="s">
        <v>47424</v>
      </c>
      <c r="O6242" t="s">
        <v>47425</v>
      </c>
      <c r="P6242">
        <v>0</v>
      </c>
      <c r="Q6242">
        <v>0</v>
      </c>
      <c r="R6242" t="s">
        <v>47431</v>
      </c>
      <c r="S6242" t="s">
        <v>47565</v>
      </c>
      <c r="T6242" t="s">
        <v>49141</v>
      </c>
      <c r="U6242" t="s">
        <v>54942</v>
      </c>
      <c r="W6242" t="s">
        <v>45416</v>
      </c>
      <c r="X6242" t="s">
        <v>47432</v>
      </c>
    </row>
    <row r="6243" spans="1:24">
      <c r="A6243">
        <f>HYPERLINK("https://www.philgeps.gov.ph/GEPSNONPILOT/Tender/SplashBidNoticeAbstractUI.aspx?menuIndex=3&amp;refID=7155442&amp;Result=3","7155442")</f>
        <v>0</v>
      </c>
      <c r="B6243" t="s">
        <v>2252</v>
      </c>
      <c r="C6243" t="s">
        <v>9798</v>
      </c>
      <c r="D6243" t="s">
        <v>19062</v>
      </c>
      <c r="E6243" t="s">
        <v>24556</v>
      </c>
      <c r="F6243" t="s">
        <v>32831</v>
      </c>
      <c r="G6243" t="s">
        <v>32842</v>
      </c>
      <c r="H6243" t="s">
        <v>32848</v>
      </c>
      <c r="I6243" t="s">
        <v>9577</v>
      </c>
      <c r="J6243" t="s">
        <v>36185</v>
      </c>
      <c r="K6243" t="s">
        <v>42731</v>
      </c>
      <c r="M6243" t="s">
        <v>45433</v>
      </c>
      <c r="N6243" t="s">
        <v>47424</v>
      </c>
      <c r="O6243" t="s">
        <v>47425</v>
      </c>
      <c r="P6243">
        <v>0</v>
      </c>
      <c r="Q6243">
        <v>1</v>
      </c>
      <c r="R6243" t="s">
        <v>47431</v>
      </c>
      <c r="S6243" t="s">
        <v>47565</v>
      </c>
      <c r="T6243" t="s">
        <v>49145</v>
      </c>
      <c r="U6243" t="s">
        <v>54943</v>
      </c>
      <c r="W6243" t="s">
        <v>45433</v>
      </c>
      <c r="X6243" t="s">
        <v>47432</v>
      </c>
    </row>
    <row r="6244" spans="1:24">
      <c r="A6244">
        <f>HYPERLINK("https://www.philgeps.gov.ph/GEPSNONPILOT/Tender/SplashBidNoticeAbstractUI.aspx?menuIndex=3&amp;refID=7155439&amp;Result=3","7155439")</f>
        <v>0</v>
      </c>
      <c r="B6244" t="s">
        <v>238</v>
      </c>
      <c r="C6244" t="s">
        <v>9799</v>
      </c>
      <c r="D6244" t="s">
        <v>19049</v>
      </c>
      <c r="E6244" t="s">
        <v>24557</v>
      </c>
      <c r="F6244" t="s">
        <v>32831</v>
      </c>
      <c r="G6244" t="s">
        <v>32838</v>
      </c>
      <c r="H6244" t="s">
        <v>32848</v>
      </c>
      <c r="I6244" t="s">
        <v>32863</v>
      </c>
      <c r="J6244" t="s">
        <v>36953</v>
      </c>
      <c r="K6244" t="s">
        <v>42759</v>
      </c>
      <c r="L6244" t="s">
        <v>238</v>
      </c>
      <c r="M6244" t="s">
        <v>43237</v>
      </c>
      <c r="N6244" t="s">
        <v>47424</v>
      </c>
      <c r="O6244" t="s">
        <v>47425</v>
      </c>
      <c r="P6244">
        <v>0</v>
      </c>
      <c r="Q6244">
        <v>0</v>
      </c>
      <c r="R6244" t="s">
        <v>47431</v>
      </c>
      <c r="S6244" t="s">
        <v>47565</v>
      </c>
      <c r="T6244" t="s">
        <v>49104</v>
      </c>
      <c r="U6244" t="s">
        <v>54944</v>
      </c>
      <c r="W6244" t="s">
        <v>43237</v>
      </c>
      <c r="X6244" t="s">
        <v>47432</v>
      </c>
    </row>
    <row r="6245" spans="1:24">
      <c r="A6245">
        <f>HYPERLINK("https://www.philgeps.gov.ph/GEPSNONPILOT/Tender/SplashBidNoticeAbstractUI.aspx?menuIndex=3&amp;refID=7155437&amp;Result=3","7155437")</f>
        <v>0</v>
      </c>
      <c r="B6245" t="s">
        <v>2253</v>
      </c>
      <c r="C6245" t="s">
        <v>9800</v>
      </c>
      <c r="D6245" t="s">
        <v>19044</v>
      </c>
      <c r="E6245" t="s">
        <v>19555</v>
      </c>
      <c r="F6245" t="s">
        <v>32831</v>
      </c>
      <c r="G6245" t="s">
        <v>32839</v>
      </c>
      <c r="H6245" t="s">
        <v>32849</v>
      </c>
      <c r="I6245" t="s">
        <v>4177</v>
      </c>
      <c r="J6245" t="s">
        <v>36954</v>
      </c>
      <c r="K6245" t="s">
        <v>42747</v>
      </c>
      <c r="M6245" t="s">
        <v>45434</v>
      </c>
      <c r="N6245" t="s">
        <v>47424</v>
      </c>
      <c r="O6245" t="s">
        <v>47425</v>
      </c>
      <c r="P6245">
        <v>0</v>
      </c>
      <c r="Q6245">
        <v>0</v>
      </c>
      <c r="R6245" t="s">
        <v>47431</v>
      </c>
      <c r="S6245" t="s">
        <v>47565</v>
      </c>
      <c r="T6245" t="s">
        <v>49063</v>
      </c>
      <c r="U6245" t="s">
        <v>54945</v>
      </c>
      <c r="W6245" t="s">
        <v>45434</v>
      </c>
      <c r="X6245" t="s">
        <v>47432</v>
      </c>
    </row>
    <row r="6246" spans="1:24">
      <c r="A6246">
        <f>HYPERLINK("https://www.philgeps.gov.ph/GEPSNONPILOT/Tender/SplashBidNoticeAbstractUI.aspx?menuIndex=3&amp;refID=7155436&amp;Result=3","7155436")</f>
        <v>0</v>
      </c>
      <c r="B6246" t="s">
        <v>1789</v>
      </c>
      <c r="C6246" t="s">
        <v>9801</v>
      </c>
      <c r="D6246" t="s">
        <v>19030</v>
      </c>
      <c r="E6246" t="s">
        <v>24558</v>
      </c>
      <c r="F6246" t="s">
        <v>32831</v>
      </c>
      <c r="G6246" t="s">
        <v>32841</v>
      </c>
      <c r="H6246" t="s">
        <v>32848</v>
      </c>
      <c r="I6246" t="s">
        <v>4558</v>
      </c>
      <c r="J6246" t="s">
        <v>32980</v>
      </c>
      <c r="K6246" t="s">
        <v>42731</v>
      </c>
      <c r="M6246" t="s">
        <v>44919</v>
      </c>
      <c r="N6246" t="s">
        <v>47424</v>
      </c>
      <c r="O6246" t="s">
        <v>47425</v>
      </c>
      <c r="P6246">
        <v>0</v>
      </c>
      <c r="Q6246">
        <v>6</v>
      </c>
      <c r="R6246" t="s">
        <v>47431</v>
      </c>
      <c r="S6246" t="s">
        <v>47565</v>
      </c>
      <c r="T6246" t="s">
        <v>49214</v>
      </c>
      <c r="U6246" t="s">
        <v>53471</v>
      </c>
      <c r="V6246" t="s">
        <v>63127</v>
      </c>
      <c r="W6246" t="s">
        <v>44919</v>
      </c>
      <c r="X6246" t="s">
        <v>47432</v>
      </c>
    </row>
    <row r="6247" spans="1:24">
      <c r="A6247">
        <f>HYPERLINK("https://www.philgeps.gov.ph/GEPSNONPILOT/Tender/SplashBidNoticeAbstractUI.aspx?menuIndex=3&amp;refID=7155440&amp;Result=3","7155440")</f>
        <v>0</v>
      </c>
      <c r="B6247" t="s">
        <v>2247</v>
      </c>
      <c r="C6247" t="s">
        <v>9802</v>
      </c>
      <c r="D6247" t="s">
        <v>19071</v>
      </c>
      <c r="E6247" t="s">
        <v>24559</v>
      </c>
      <c r="F6247" t="s">
        <v>32831</v>
      </c>
      <c r="G6247" t="s">
        <v>32839</v>
      </c>
      <c r="H6247" t="s">
        <v>32848</v>
      </c>
      <c r="I6247" t="s">
        <v>32868</v>
      </c>
      <c r="J6247" t="s">
        <v>36955</v>
      </c>
      <c r="K6247" t="s">
        <v>42732</v>
      </c>
      <c r="M6247" t="s">
        <v>45428</v>
      </c>
      <c r="N6247" t="s">
        <v>47424</v>
      </c>
      <c r="O6247" t="s">
        <v>47425</v>
      </c>
      <c r="P6247">
        <v>0</v>
      </c>
      <c r="Q6247">
        <v>2</v>
      </c>
      <c r="R6247" t="s">
        <v>47431</v>
      </c>
      <c r="S6247" t="s">
        <v>47565</v>
      </c>
      <c r="T6247" t="s">
        <v>49127</v>
      </c>
      <c r="U6247" t="s">
        <v>54946</v>
      </c>
      <c r="W6247" t="s">
        <v>45428</v>
      </c>
      <c r="X6247" t="s">
        <v>47432</v>
      </c>
    </row>
    <row r="6248" spans="1:24">
      <c r="A6248">
        <f>HYPERLINK("https://www.philgeps.gov.ph/GEPSNONPILOT/Tender/SplashBidNoticeAbstractUI.aspx?menuIndex=3&amp;refID=7155433&amp;Result=3","7155433")</f>
        <v>0</v>
      </c>
      <c r="B6248" t="s">
        <v>654</v>
      </c>
      <c r="C6248" t="s">
        <v>9803</v>
      </c>
      <c r="D6248" t="s">
        <v>19071</v>
      </c>
      <c r="E6248" t="s">
        <v>24560</v>
      </c>
      <c r="F6248" t="s">
        <v>32831</v>
      </c>
      <c r="G6248" t="s">
        <v>32839</v>
      </c>
      <c r="H6248" t="s">
        <v>32848</v>
      </c>
      <c r="I6248" t="s">
        <v>4776</v>
      </c>
      <c r="J6248" t="s">
        <v>36956</v>
      </c>
      <c r="K6248" t="s">
        <v>42731</v>
      </c>
      <c r="M6248" t="s">
        <v>43672</v>
      </c>
      <c r="N6248" t="s">
        <v>47424</v>
      </c>
      <c r="O6248" t="s">
        <v>47425</v>
      </c>
      <c r="P6248">
        <v>0</v>
      </c>
      <c r="Q6248">
        <v>1</v>
      </c>
      <c r="R6248" t="s">
        <v>47431</v>
      </c>
      <c r="S6248" t="s">
        <v>47565</v>
      </c>
      <c r="T6248" t="s">
        <v>49148</v>
      </c>
      <c r="U6248" t="s">
        <v>54947</v>
      </c>
      <c r="W6248" t="s">
        <v>43672</v>
      </c>
      <c r="X6248" t="s">
        <v>47432</v>
      </c>
    </row>
    <row r="6249" spans="1:24">
      <c r="A6249">
        <f>HYPERLINK("https://www.philgeps.gov.ph/GEPSNONPILOT/Tender/SplashBidNoticeAbstractUI.aspx?menuIndex=3&amp;refID=7155432&amp;Result=3","7155432")</f>
        <v>0</v>
      </c>
      <c r="B6249" t="s">
        <v>167</v>
      </c>
      <c r="C6249" t="s">
        <v>9804</v>
      </c>
      <c r="D6249" t="s">
        <v>19069</v>
      </c>
      <c r="E6249" t="s">
        <v>24561</v>
      </c>
      <c r="F6249" t="s">
        <v>32831</v>
      </c>
      <c r="G6249" t="s">
        <v>32839</v>
      </c>
      <c r="H6249" t="s">
        <v>32848</v>
      </c>
      <c r="I6249" t="s">
        <v>11484</v>
      </c>
      <c r="J6249" t="s">
        <v>36957</v>
      </c>
      <c r="K6249" t="s">
        <v>42730</v>
      </c>
      <c r="M6249" t="s">
        <v>43164</v>
      </c>
      <c r="N6249" t="s">
        <v>47424</v>
      </c>
      <c r="O6249" t="s">
        <v>47425</v>
      </c>
      <c r="P6249">
        <v>0</v>
      </c>
      <c r="Q6249">
        <v>6</v>
      </c>
      <c r="R6249" t="s">
        <v>47431</v>
      </c>
      <c r="S6249" t="s">
        <v>47565</v>
      </c>
      <c r="T6249" t="s">
        <v>49221</v>
      </c>
      <c r="U6249" t="s">
        <v>54948</v>
      </c>
      <c r="W6249" t="s">
        <v>43164</v>
      </c>
      <c r="X6249" t="s">
        <v>47432</v>
      </c>
    </row>
    <row r="6250" spans="1:24">
      <c r="A6250">
        <f>HYPERLINK("https://www.philgeps.gov.ph/GEPSNONPILOT/Tender/SplashBidNoticeAbstractUI.aspx?menuIndex=3&amp;refID=7155431&amp;Result=3","7155431")</f>
        <v>0</v>
      </c>
      <c r="B6250" t="s">
        <v>2254</v>
      </c>
      <c r="C6250" t="s">
        <v>9805</v>
      </c>
      <c r="D6250" t="s">
        <v>19056</v>
      </c>
      <c r="E6250" t="s">
        <v>24562</v>
      </c>
      <c r="F6250" t="s">
        <v>32831</v>
      </c>
      <c r="G6250" t="s">
        <v>32839</v>
      </c>
      <c r="H6250" t="s">
        <v>32848</v>
      </c>
      <c r="I6250" t="s">
        <v>10805</v>
      </c>
      <c r="J6250" t="s">
        <v>36958</v>
      </c>
      <c r="K6250" t="s">
        <v>42745</v>
      </c>
      <c r="M6250" t="s">
        <v>45435</v>
      </c>
      <c r="N6250" t="s">
        <v>47424</v>
      </c>
      <c r="O6250" t="s">
        <v>47425</v>
      </c>
      <c r="P6250">
        <v>0</v>
      </c>
      <c r="Q6250">
        <v>2</v>
      </c>
      <c r="R6250" t="s">
        <v>47431</v>
      </c>
      <c r="S6250" t="s">
        <v>47565</v>
      </c>
      <c r="T6250" t="s">
        <v>49125</v>
      </c>
      <c r="U6250" t="s">
        <v>54949</v>
      </c>
      <c r="W6250" t="s">
        <v>45435</v>
      </c>
      <c r="X6250" t="s">
        <v>47432</v>
      </c>
    </row>
    <row r="6251" spans="1:24">
      <c r="A6251">
        <f>HYPERLINK("https://www.philgeps.gov.ph/GEPSNONPILOT/Tender/SplashBidNoticeAbstractUI.aspx?menuIndex=3&amp;refID=7155428&amp;Result=3","7155428")</f>
        <v>0</v>
      </c>
      <c r="B6251" t="s">
        <v>2239</v>
      </c>
      <c r="C6251" t="s">
        <v>6182</v>
      </c>
      <c r="D6251" t="s">
        <v>19061</v>
      </c>
      <c r="E6251" t="s">
        <v>24563</v>
      </c>
      <c r="F6251" t="s">
        <v>32831</v>
      </c>
      <c r="G6251" t="s">
        <v>32838</v>
      </c>
      <c r="H6251" t="s">
        <v>32848</v>
      </c>
      <c r="I6251" t="s">
        <v>32874</v>
      </c>
      <c r="J6251" t="s">
        <v>36959</v>
      </c>
      <c r="K6251" t="s">
        <v>42732</v>
      </c>
      <c r="M6251" t="s">
        <v>45420</v>
      </c>
      <c r="N6251" t="s">
        <v>47424</v>
      </c>
      <c r="O6251" t="s">
        <v>47425</v>
      </c>
      <c r="P6251">
        <v>0</v>
      </c>
      <c r="Q6251">
        <v>5</v>
      </c>
      <c r="R6251" t="s">
        <v>47431</v>
      </c>
      <c r="S6251" t="s">
        <v>47565</v>
      </c>
      <c r="T6251" t="s">
        <v>49243</v>
      </c>
      <c r="U6251" t="s">
        <v>54950</v>
      </c>
      <c r="V6251" t="s">
        <v>63321</v>
      </c>
      <c r="W6251" t="s">
        <v>45420</v>
      </c>
      <c r="X6251" t="s">
        <v>47432</v>
      </c>
    </row>
    <row r="6252" spans="1:24">
      <c r="A6252">
        <f>HYPERLINK("https://www.philgeps.gov.ph/GEPSNONPILOT/Tender/SplashBidNoticeAbstractUI.aspx?menuIndex=3&amp;refID=7155426&amp;Result=3","7155426")</f>
        <v>0</v>
      </c>
      <c r="B6252" t="s">
        <v>677</v>
      </c>
      <c r="C6252" t="s">
        <v>6124</v>
      </c>
      <c r="D6252" t="s">
        <v>19024</v>
      </c>
      <c r="E6252" t="s">
        <v>24564</v>
      </c>
      <c r="F6252" t="s">
        <v>32831</v>
      </c>
      <c r="G6252" t="s">
        <v>32839</v>
      </c>
      <c r="H6252" t="s">
        <v>32849</v>
      </c>
      <c r="I6252" t="s">
        <v>4177</v>
      </c>
      <c r="J6252" t="s">
        <v>36960</v>
      </c>
      <c r="K6252" t="s">
        <v>42729</v>
      </c>
      <c r="M6252" t="s">
        <v>43696</v>
      </c>
      <c r="N6252" t="s">
        <v>47424</v>
      </c>
      <c r="O6252" t="s">
        <v>47425</v>
      </c>
      <c r="P6252">
        <v>0</v>
      </c>
      <c r="Q6252">
        <v>3</v>
      </c>
      <c r="R6252" t="s">
        <v>47431</v>
      </c>
      <c r="S6252" t="s">
        <v>47565</v>
      </c>
      <c r="T6252" t="s">
        <v>49267</v>
      </c>
      <c r="U6252" t="s">
        <v>54951</v>
      </c>
      <c r="V6252" t="s">
        <v>63322</v>
      </c>
      <c r="W6252" t="s">
        <v>43696</v>
      </c>
      <c r="X6252" t="s">
        <v>47432</v>
      </c>
    </row>
    <row r="6253" spans="1:24">
      <c r="A6253">
        <f>HYPERLINK("https://www.philgeps.gov.ph/GEPSNONPILOT/Tender/SplashBidNoticeAbstractUI.aspx?menuIndex=3&amp;refID=7155425&amp;Result=3","7155425")</f>
        <v>0</v>
      </c>
      <c r="B6253" t="s">
        <v>2248</v>
      </c>
      <c r="C6253" t="s">
        <v>9806</v>
      </c>
      <c r="D6253" t="s">
        <v>19022</v>
      </c>
      <c r="E6253" t="s">
        <v>24565</v>
      </c>
      <c r="F6253" t="s">
        <v>32831</v>
      </c>
      <c r="G6253" t="s">
        <v>32838</v>
      </c>
      <c r="H6253" t="s">
        <v>32848</v>
      </c>
      <c r="I6253" t="s">
        <v>4303</v>
      </c>
      <c r="J6253" t="s">
        <v>36961</v>
      </c>
      <c r="K6253" t="s">
        <v>42732</v>
      </c>
      <c r="M6253" t="s">
        <v>45429</v>
      </c>
      <c r="N6253" t="s">
        <v>47424</v>
      </c>
      <c r="O6253" t="s">
        <v>47425</v>
      </c>
      <c r="P6253">
        <v>0</v>
      </c>
      <c r="Q6253">
        <v>0</v>
      </c>
      <c r="R6253" t="s">
        <v>47431</v>
      </c>
      <c r="S6253" t="s">
        <v>47565</v>
      </c>
      <c r="T6253" t="s">
        <v>49114</v>
      </c>
      <c r="U6253" t="s">
        <v>54935</v>
      </c>
      <c r="V6253" t="s">
        <v>62754</v>
      </c>
      <c r="W6253" t="s">
        <v>45429</v>
      </c>
      <c r="X6253" t="s">
        <v>47432</v>
      </c>
    </row>
    <row r="6254" spans="1:24">
      <c r="A6254">
        <f>HYPERLINK("https://www.philgeps.gov.ph/GEPSNONPILOT/Tender/SplashBidNoticeAbstractUI.aspx?menuIndex=3&amp;refID=7155424&amp;Result=3","7155424")</f>
        <v>0</v>
      </c>
      <c r="B6254" t="s">
        <v>2255</v>
      </c>
      <c r="C6254" t="s">
        <v>5576</v>
      </c>
      <c r="D6254" t="s">
        <v>19020</v>
      </c>
      <c r="E6254" t="s">
        <v>24566</v>
      </c>
      <c r="F6254" t="s">
        <v>32831</v>
      </c>
      <c r="G6254" t="s">
        <v>32838</v>
      </c>
      <c r="H6254" t="s">
        <v>32848</v>
      </c>
      <c r="I6254" t="s">
        <v>4558</v>
      </c>
      <c r="J6254" t="s">
        <v>34999</v>
      </c>
      <c r="K6254" t="s">
        <v>42731</v>
      </c>
      <c r="M6254" t="s">
        <v>45436</v>
      </c>
      <c r="N6254" t="s">
        <v>47424</v>
      </c>
      <c r="O6254" t="s">
        <v>47425</v>
      </c>
      <c r="P6254">
        <v>0</v>
      </c>
      <c r="Q6254">
        <v>3</v>
      </c>
      <c r="R6254" t="s">
        <v>47431</v>
      </c>
      <c r="S6254" t="s">
        <v>47565</v>
      </c>
      <c r="T6254" t="s">
        <v>49079</v>
      </c>
      <c r="U6254" t="s">
        <v>54952</v>
      </c>
      <c r="W6254" t="s">
        <v>45436</v>
      </c>
      <c r="X6254" t="s">
        <v>47432</v>
      </c>
    </row>
    <row r="6255" spans="1:24">
      <c r="A6255">
        <f>HYPERLINK("https://www.philgeps.gov.ph/GEPSNONPILOT/Tender/SplashBidNoticeAbstractUI.aspx?menuIndex=3&amp;refID=7155422&amp;Result=3","7155422")</f>
        <v>0</v>
      </c>
      <c r="B6255" t="s">
        <v>217</v>
      </c>
      <c r="C6255" t="s">
        <v>4994</v>
      </c>
      <c r="D6255" t="s">
        <v>19037</v>
      </c>
      <c r="E6255" t="s">
        <v>24567</v>
      </c>
      <c r="F6255" t="s">
        <v>32831</v>
      </c>
      <c r="G6255" t="s">
        <v>32839</v>
      </c>
      <c r="H6255" t="s">
        <v>32848</v>
      </c>
      <c r="I6255" t="s">
        <v>7416</v>
      </c>
      <c r="J6255" t="s">
        <v>36962</v>
      </c>
      <c r="K6255" t="s">
        <v>42730</v>
      </c>
      <c r="M6255" t="s">
        <v>45437</v>
      </c>
      <c r="N6255" t="s">
        <v>47424</v>
      </c>
      <c r="O6255" t="s">
        <v>47425</v>
      </c>
      <c r="P6255">
        <v>0</v>
      </c>
      <c r="Q6255">
        <v>0</v>
      </c>
      <c r="R6255" t="s">
        <v>47431</v>
      </c>
      <c r="S6255" t="s">
        <v>47565</v>
      </c>
      <c r="T6255" t="s">
        <v>49066</v>
      </c>
      <c r="U6255" t="s">
        <v>54953</v>
      </c>
      <c r="W6255" t="s">
        <v>43392</v>
      </c>
      <c r="X6255" t="s">
        <v>47432</v>
      </c>
    </row>
    <row r="6256" spans="1:24">
      <c r="A6256">
        <f>HYPERLINK("https://www.philgeps.gov.ph/GEPSNONPILOT/Tender/SplashBidNoticeAbstractUI.aspx?menuIndex=3&amp;refID=7155421&amp;Result=3","7155421")</f>
        <v>0</v>
      </c>
      <c r="B6256" t="s">
        <v>2232</v>
      </c>
      <c r="C6256" t="s">
        <v>9807</v>
      </c>
      <c r="D6256" t="s">
        <v>19062</v>
      </c>
      <c r="E6256" t="s">
        <v>24568</v>
      </c>
      <c r="F6256" t="s">
        <v>32831</v>
      </c>
      <c r="G6256" t="s">
        <v>32839</v>
      </c>
      <c r="H6256" t="s">
        <v>32848</v>
      </c>
      <c r="I6256" t="s">
        <v>7416</v>
      </c>
      <c r="J6256" t="s">
        <v>36963</v>
      </c>
      <c r="K6256" t="s">
        <v>42730</v>
      </c>
      <c r="M6256" t="s">
        <v>45413</v>
      </c>
      <c r="N6256" t="s">
        <v>47424</v>
      </c>
      <c r="O6256" t="s">
        <v>47425</v>
      </c>
      <c r="P6256">
        <v>0</v>
      </c>
      <c r="Q6256">
        <v>4</v>
      </c>
      <c r="R6256" t="s">
        <v>47431</v>
      </c>
      <c r="S6256" t="s">
        <v>47565</v>
      </c>
      <c r="T6256" t="s">
        <v>49192</v>
      </c>
      <c r="U6256" t="s">
        <v>54954</v>
      </c>
      <c r="W6256" t="s">
        <v>45413</v>
      </c>
      <c r="X6256" t="s">
        <v>47432</v>
      </c>
    </row>
    <row r="6257" spans="1:24">
      <c r="A6257">
        <f>HYPERLINK("https://www.philgeps.gov.ph/GEPSNONPILOT/Tender/SplashBidNoticeAbstractUI.aspx?menuIndex=3&amp;refID=7155419&amp;Result=3","7155419")</f>
        <v>0</v>
      </c>
      <c r="B6257" t="s">
        <v>2239</v>
      </c>
      <c r="C6257" t="s">
        <v>9808</v>
      </c>
      <c r="D6257" t="s">
        <v>19061</v>
      </c>
      <c r="E6257" t="s">
        <v>24569</v>
      </c>
      <c r="F6257" t="s">
        <v>32831</v>
      </c>
      <c r="G6257" t="s">
        <v>32840</v>
      </c>
      <c r="H6257" t="s">
        <v>32848</v>
      </c>
      <c r="I6257" t="s">
        <v>4222</v>
      </c>
      <c r="J6257" t="s">
        <v>36964</v>
      </c>
      <c r="K6257" t="s">
        <v>42732</v>
      </c>
      <c r="M6257" t="s">
        <v>45420</v>
      </c>
      <c r="N6257" t="s">
        <v>47424</v>
      </c>
      <c r="O6257" t="s">
        <v>47425</v>
      </c>
      <c r="P6257">
        <v>0</v>
      </c>
      <c r="Q6257">
        <v>0</v>
      </c>
      <c r="R6257" t="s">
        <v>47431</v>
      </c>
      <c r="S6257" t="s">
        <v>47565</v>
      </c>
      <c r="T6257" t="s">
        <v>49243</v>
      </c>
      <c r="U6257" t="s">
        <v>54955</v>
      </c>
      <c r="V6257" t="s">
        <v>63323</v>
      </c>
      <c r="W6257" t="s">
        <v>45420</v>
      </c>
      <c r="X6257" t="s">
        <v>47432</v>
      </c>
    </row>
    <row r="6258" spans="1:24">
      <c r="A6258">
        <f>HYPERLINK("https://www.philgeps.gov.ph/GEPSNONPILOT/Tender/SplashBidNoticeAbstractUI.aspx?menuIndex=3&amp;refID=7155435&amp;Result=3","7155435")</f>
        <v>0</v>
      </c>
      <c r="B6258" t="s">
        <v>28</v>
      </c>
      <c r="C6258" t="s">
        <v>9809</v>
      </c>
      <c r="D6258" t="s">
        <v>19021</v>
      </c>
      <c r="E6258" t="s">
        <v>24570</v>
      </c>
      <c r="F6258" t="s">
        <v>32831</v>
      </c>
      <c r="G6258" t="s">
        <v>32839</v>
      </c>
      <c r="H6258" t="s">
        <v>32850</v>
      </c>
      <c r="I6258" t="s">
        <v>7751</v>
      </c>
      <c r="J6258" t="s">
        <v>32983</v>
      </c>
      <c r="K6258" t="s">
        <v>42730</v>
      </c>
      <c r="M6258" t="s">
        <v>43025</v>
      </c>
      <c r="N6258" t="s">
        <v>47424</v>
      </c>
      <c r="O6258" t="s">
        <v>47425</v>
      </c>
      <c r="P6258">
        <v>0</v>
      </c>
      <c r="Q6258">
        <v>0</v>
      </c>
      <c r="R6258" t="s">
        <v>47431</v>
      </c>
      <c r="S6258" t="s">
        <v>47565</v>
      </c>
      <c r="T6258" t="s">
        <v>49124</v>
      </c>
      <c r="U6258" t="s">
        <v>54956</v>
      </c>
      <c r="W6258" t="s">
        <v>43025</v>
      </c>
      <c r="X6258" t="s">
        <v>47432</v>
      </c>
    </row>
    <row r="6259" spans="1:24">
      <c r="A6259">
        <f>HYPERLINK("https://www.philgeps.gov.ph/GEPSNONPILOT/Tender/SplashBidNoticeAbstractUI.aspx?menuIndex=3&amp;refID=7155476&amp;Result=3","7155476")</f>
        <v>0</v>
      </c>
      <c r="B6259" t="s">
        <v>622</v>
      </c>
      <c r="C6259" t="s">
        <v>9810</v>
      </c>
      <c r="D6259" t="s">
        <v>19095</v>
      </c>
      <c r="E6259" t="s">
        <v>24571</v>
      </c>
      <c r="F6259" t="s">
        <v>32831</v>
      </c>
      <c r="G6259" t="s">
        <v>32838</v>
      </c>
      <c r="H6259" t="s">
        <v>32848</v>
      </c>
      <c r="I6259" t="s">
        <v>4471</v>
      </c>
      <c r="J6259" t="s">
        <v>33078</v>
      </c>
      <c r="K6259" t="s">
        <v>42727</v>
      </c>
      <c r="M6259" t="s">
        <v>43638</v>
      </c>
      <c r="N6259" t="s">
        <v>47424</v>
      </c>
      <c r="O6259" t="s">
        <v>47425</v>
      </c>
      <c r="P6259">
        <v>0</v>
      </c>
      <c r="Q6259">
        <v>1</v>
      </c>
      <c r="R6259" t="s">
        <v>47431</v>
      </c>
      <c r="S6259" t="s">
        <v>47565</v>
      </c>
      <c r="T6259" t="s">
        <v>49255</v>
      </c>
      <c r="U6259" t="s">
        <v>54957</v>
      </c>
      <c r="W6259" t="s">
        <v>43638</v>
      </c>
      <c r="X6259" t="s">
        <v>47432</v>
      </c>
    </row>
    <row r="6260" spans="1:24">
      <c r="A6260">
        <f>HYPERLINK("https://www.philgeps.gov.ph/GEPSNONPILOT/Tender/SplashBidNoticeAbstractUI.aspx?menuIndex=3&amp;refID=7155474&amp;Result=3","7155474")</f>
        <v>0</v>
      </c>
      <c r="B6260" t="s">
        <v>2256</v>
      </c>
      <c r="C6260" t="s">
        <v>9811</v>
      </c>
      <c r="E6260" t="s">
        <v>24572</v>
      </c>
      <c r="F6260" t="s">
        <v>32831</v>
      </c>
      <c r="G6260" t="s">
        <v>32839</v>
      </c>
      <c r="H6260" t="s">
        <v>32849</v>
      </c>
      <c r="I6260" t="s">
        <v>4177</v>
      </c>
      <c r="J6260" t="s">
        <v>36965</v>
      </c>
      <c r="K6260" t="s">
        <v>42732</v>
      </c>
      <c r="M6260" t="s">
        <v>45438</v>
      </c>
      <c r="N6260" t="s">
        <v>47424</v>
      </c>
      <c r="O6260" t="s">
        <v>47425</v>
      </c>
      <c r="P6260">
        <v>0</v>
      </c>
      <c r="Q6260">
        <v>1</v>
      </c>
      <c r="R6260" t="s">
        <v>47431</v>
      </c>
      <c r="S6260" t="s">
        <v>47565</v>
      </c>
      <c r="T6260" t="s">
        <v>49152</v>
      </c>
      <c r="U6260" t="s">
        <v>54958</v>
      </c>
      <c r="W6260" t="s">
        <v>45438</v>
      </c>
      <c r="X6260" t="s">
        <v>47432</v>
      </c>
    </row>
    <row r="6261" spans="1:24">
      <c r="A6261">
        <f>HYPERLINK("https://www.philgeps.gov.ph/GEPSNONPILOT/Tender/SplashBidNoticeAbstractUI.aspx?menuIndex=3&amp;refID=7155473&amp;Result=3","7155473")</f>
        <v>0</v>
      </c>
      <c r="B6261" t="s">
        <v>654</v>
      </c>
      <c r="C6261" t="s">
        <v>9812</v>
      </c>
      <c r="D6261" t="s">
        <v>19071</v>
      </c>
      <c r="E6261" t="s">
        <v>24573</v>
      </c>
      <c r="F6261" t="s">
        <v>32831</v>
      </c>
      <c r="G6261" t="s">
        <v>32839</v>
      </c>
      <c r="H6261" t="s">
        <v>32848</v>
      </c>
      <c r="I6261" t="s">
        <v>4776</v>
      </c>
      <c r="J6261" t="s">
        <v>33292</v>
      </c>
      <c r="K6261" t="s">
        <v>42731</v>
      </c>
      <c r="M6261" t="s">
        <v>43672</v>
      </c>
      <c r="N6261" t="s">
        <v>47424</v>
      </c>
      <c r="O6261" t="s">
        <v>47425</v>
      </c>
      <c r="P6261">
        <v>0</v>
      </c>
      <c r="Q6261">
        <v>0</v>
      </c>
      <c r="R6261" t="s">
        <v>47431</v>
      </c>
      <c r="S6261" t="s">
        <v>47565</v>
      </c>
      <c r="T6261" t="s">
        <v>49148</v>
      </c>
      <c r="U6261" t="s">
        <v>54959</v>
      </c>
      <c r="W6261" t="s">
        <v>43672</v>
      </c>
      <c r="X6261" t="s">
        <v>47432</v>
      </c>
    </row>
    <row r="6262" spans="1:24">
      <c r="A6262">
        <f>HYPERLINK("https://www.philgeps.gov.ph/GEPSNONPILOT/Tender/SplashBidNoticeAbstractUI.aspx?menuIndex=3&amp;refID=7155472&amp;Result=3","7155472")</f>
        <v>0</v>
      </c>
      <c r="B6262" t="s">
        <v>153</v>
      </c>
      <c r="C6262" t="s">
        <v>9813</v>
      </c>
      <c r="D6262" t="s">
        <v>19045</v>
      </c>
      <c r="E6262" t="s">
        <v>24574</v>
      </c>
      <c r="F6262" t="s">
        <v>32831</v>
      </c>
      <c r="G6262" t="s">
        <v>32839</v>
      </c>
      <c r="H6262" t="s">
        <v>32848</v>
      </c>
      <c r="I6262" t="s">
        <v>9577</v>
      </c>
      <c r="J6262" t="s">
        <v>36966</v>
      </c>
      <c r="K6262" t="s">
        <v>42727</v>
      </c>
      <c r="L6262" t="s">
        <v>153</v>
      </c>
      <c r="M6262" t="s">
        <v>43150</v>
      </c>
      <c r="N6262" t="s">
        <v>47424</v>
      </c>
      <c r="O6262" t="s">
        <v>47425</v>
      </c>
      <c r="P6262">
        <v>0</v>
      </c>
      <c r="Q6262">
        <v>2</v>
      </c>
      <c r="R6262" t="s">
        <v>47431</v>
      </c>
      <c r="S6262" t="s">
        <v>47565</v>
      </c>
      <c r="T6262" t="s">
        <v>49236</v>
      </c>
      <c r="U6262" t="s">
        <v>54960</v>
      </c>
      <c r="W6262" t="s">
        <v>43150</v>
      </c>
      <c r="X6262" t="s">
        <v>47432</v>
      </c>
    </row>
    <row r="6263" spans="1:24">
      <c r="A6263">
        <f>HYPERLINK("https://www.philgeps.gov.ph/GEPSNONPILOT/Tender/SplashBidNoticeAbstractUI.aspx?menuIndex=3&amp;refID=7155470&amp;Result=3","7155470")</f>
        <v>0</v>
      </c>
      <c r="B6263" t="s">
        <v>2246</v>
      </c>
      <c r="C6263" t="s">
        <v>9814</v>
      </c>
      <c r="D6263" t="s">
        <v>19049</v>
      </c>
      <c r="E6263" t="s">
        <v>24575</v>
      </c>
      <c r="F6263" t="s">
        <v>32831</v>
      </c>
      <c r="G6263" t="s">
        <v>32839</v>
      </c>
      <c r="H6263" t="s">
        <v>32848</v>
      </c>
      <c r="I6263" t="s">
        <v>4776</v>
      </c>
      <c r="J6263" t="s">
        <v>36967</v>
      </c>
      <c r="K6263" t="s">
        <v>42726</v>
      </c>
      <c r="M6263" t="s">
        <v>45427</v>
      </c>
      <c r="N6263" t="s">
        <v>47424</v>
      </c>
      <c r="O6263" t="s">
        <v>47425</v>
      </c>
      <c r="P6263">
        <v>0</v>
      </c>
      <c r="Q6263">
        <v>0</v>
      </c>
      <c r="R6263" t="s">
        <v>47431</v>
      </c>
      <c r="S6263" t="s">
        <v>47565</v>
      </c>
      <c r="T6263" t="s">
        <v>49455</v>
      </c>
      <c r="U6263" t="s">
        <v>54961</v>
      </c>
      <c r="W6263" t="s">
        <v>45427</v>
      </c>
      <c r="X6263" t="s">
        <v>47432</v>
      </c>
    </row>
    <row r="6264" spans="1:24">
      <c r="A6264">
        <f>HYPERLINK("https://www.philgeps.gov.ph/GEPSNONPILOT/Tender/SplashBidNoticeAbstractUI.aspx?menuIndex=3&amp;refID=7155396&amp;Result=3","7155396")</f>
        <v>0</v>
      </c>
      <c r="B6264" t="s">
        <v>2257</v>
      </c>
      <c r="C6264" t="s">
        <v>9815</v>
      </c>
      <c r="D6264" t="s">
        <v>19083</v>
      </c>
      <c r="E6264" t="s">
        <v>19541</v>
      </c>
      <c r="F6264" t="s">
        <v>32831</v>
      </c>
      <c r="G6264" t="s">
        <v>32839</v>
      </c>
      <c r="H6264" t="s">
        <v>32849</v>
      </c>
      <c r="I6264" t="s">
        <v>4177</v>
      </c>
      <c r="J6264" t="s">
        <v>33528</v>
      </c>
      <c r="K6264" t="s">
        <v>42780</v>
      </c>
      <c r="M6264" t="s">
        <v>45439</v>
      </c>
      <c r="N6264" t="s">
        <v>47424</v>
      </c>
      <c r="O6264" t="s">
        <v>47425</v>
      </c>
      <c r="P6264">
        <v>0</v>
      </c>
      <c r="Q6264">
        <v>0</v>
      </c>
      <c r="R6264" t="s">
        <v>47431</v>
      </c>
      <c r="S6264" t="s">
        <v>47565</v>
      </c>
      <c r="T6264" t="s">
        <v>49077</v>
      </c>
      <c r="U6264" t="s">
        <v>54962</v>
      </c>
      <c r="W6264" t="s">
        <v>45439</v>
      </c>
      <c r="X6264" t="s">
        <v>47432</v>
      </c>
    </row>
    <row r="6265" spans="1:24">
      <c r="A6265">
        <f>HYPERLINK("https://www.philgeps.gov.ph/GEPSNONPILOT/Tender/SplashBidNoticeAbstractUI.aspx?menuIndex=3&amp;refID=7155469&amp;Result=3","7155469")</f>
        <v>0</v>
      </c>
      <c r="B6265" t="s">
        <v>2258</v>
      </c>
      <c r="C6265" t="s">
        <v>9816</v>
      </c>
      <c r="D6265" t="s">
        <v>19062</v>
      </c>
      <c r="E6265" t="s">
        <v>19203</v>
      </c>
      <c r="F6265" t="s">
        <v>32831</v>
      </c>
      <c r="G6265" t="s">
        <v>32840</v>
      </c>
      <c r="H6265" t="s">
        <v>32848</v>
      </c>
      <c r="I6265" t="s">
        <v>32906</v>
      </c>
      <c r="J6265" t="s">
        <v>33578</v>
      </c>
      <c r="K6265" t="s">
        <v>42726</v>
      </c>
      <c r="M6265" t="s">
        <v>45440</v>
      </c>
      <c r="N6265" t="s">
        <v>47424</v>
      </c>
      <c r="O6265" t="s">
        <v>47425</v>
      </c>
      <c r="P6265">
        <v>0</v>
      </c>
      <c r="Q6265">
        <v>1</v>
      </c>
      <c r="R6265" t="s">
        <v>47431</v>
      </c>
      <c r="S6265" t="s">
        <v>47565</v>
      </c>
      <c r="T6265" t="s">
        <v>49129</v>
      </c>
      <c r="U6265" t="s">
        <v>51848</v>
      </c>
      <c r="W6265" t="s">
        <v>45440</v>
      </c>
      <c r="X6265" t="s">
        <v>47432</v>
      </c>
    </row>
    <row r="6266" spans="1:24">
      <c r="A6266">
        <f>HYPERLINK("https://www.philgeps.gov.ph/GEPSNONPILOT/Tender/SplashBidNoticeAbstractUI.aspx?menuIndex=3&amp;refID=7155467&amp;Result=3","7155467")</f>
        <v>0</v>
      </c>
      <c r="B6266" t="s">
        <v>2239</v>
      </c>
      <c r="C6266" t="s">
        <v>9817</v>
      </c>
      <c r="D6266" t="s">
        <v>19061</v>
      </c>
      <c r="E6266" t="s">
        <v>24576</v>
      </c>
      <c r="F6266" t="s">
        <v>32831</v>
      </c>
      <c r="G6266" t="s">
        <v>32838</v>
      </c>
      <c r="H6266" t="s">
        <v>32848</v>
      </c>
      <c r="I6266" t="s">
        <v>32897</v>
      </c>
      <c r="J6266" t="s">
        <v>35180</v>
      </c>
      <c r="K6266" t="s">
        <v>42732</v>
      </c>
      <c r="M6266" t="s">
        <v>45420</v>
      </c>
      <c r="N6266" t="s">
        <v>47424</v>
      </c>
      <c r="O6266" t="s">
        <v>47425</v>
      </c>
      <c r="P6266">
        <v>0</v>
      </c>
      <c r="Q6266">
        <v>4</v>
      </c>
      <c r="R6266" t="s">
        <v>47431</v>
      </c>
      <c r="S6266" t="s">
        <v>47565</v>
      </c>
      <c r="T6266" t="s">
        <v>49243</v>
      </c>
      <c r="U6266" t="s">
        <v>54963</v>
      </c>
      <c r="V6266" t="s">
        <v>63324</v>
      </c>
      <c r="W6266" t="s">
        <v>45420</v>
      </c>
      <c r="X6266" t="s">
        <v>47432</v>
      </c>
    </row>
    <row r="6267" spans="1:24">
      <c r="A6267">
        <f>HYPERLINK("https://www.philgeps.gov.ph/GEPSNONPILOT/Tender/SplashBidNoticeAbstractUI.aspx?menuIndex=3&amp;refID=7155466&amp;Result=3","7155466")</f>
        <v>0</v>
      </c>
      <c r="B6267" t="s">
        <v>971</v>
      </c>
      <c r="C6267" t="s">
        <v>9818</v>
      </c>
      <c r="D6267" t="s">
        <v>19022</v>
      </c>
      <c r="E6267" t="s">
        <v>24577</v>
      </c>
      <c r="F6267" t="s">
        <v>32831</v>
      </c>
      <c r="G6267" t="s">
        <v>32838</v>
      </c>
      <c r="H6267" t="s">
        <v>32848</v>
      </c>
      <c r="I6267" t="s">
        <v>32859</v>
      </c>
      <c r="J6267" t="s">
        <v>36968</v>
      </c>
      <c r="K6267" t="s">
        <v>42727</v>
      </c>
      <c r="M6267" t="s">
        <v>44017</v>
      </c>
      <c r="N6267" t="s">
        <v>47424</v>
      </c>
      <c r="O6267" t="s">
        <v>47425</v>
      </c>
      <c r="P6267">
        <v>0</v>
      </c>
      <c r="Q6267">
        <v>1</v>
      </c>
      <c r="R6267" t="s">
        <v>47431</v>
      </c>
      <c r="S6267" t="s">
        <v>47565</v>
      </c>
      <c r="T6267" t="s">
        <v>49239</v>
      </c>
      <c r="U6267" t="s">
        <v>54964</v>
      </c>
      <c r="W6267" t="s">
        <v>44017</v>
      </c>
      <c r="X6267" t="s">
        <v>47432</v>
      </c>
    </row>
    <row r="6268" spans="1:24">
      <c r="A6268">
        <f>HYPERLINK("https://www.philgeps.gov.ph/GEPSNONPILOT/Tender/SplashBidNoticeAbstractUI.aspx?menuIndex=3&amp;refID=7155477&amp;Result=3","7155477")</f>
        <v>0</v>
      </c>
      <c r="B6268" t="s">
        <v>1877</v>
      </c>
      <c r="C6268" t="s">
        <v>9819</v>
      </c>
      <c r="D6268" t="s">
        <v>19043</v>
      </c>
      <c r="E6268" t="s">
        <v>24578</v>
      </c>
      <c r="F6268" t="s">
        <v>32831</v>
      </c>
      <c r="G6268" t="s">
        <v>32840</v>
      </c>
      <c r="H6268" t="s">
        <v>32848</v>
      </c>
      <c r="I6268" t="s">
        <v>32864</v>
      </c>
      <c r="J6268" t="s">
        <v>33364</v>
      </c>
      <c r="K6268" t="s">
        <v>42727</v>
      </c>
      <c r="M6268" t="s">
        <v>45021</v>
      </c>
      <c r="N6268" t="s">
        <v>47424</v>
      </c>
      <c r="O6268" t="s">
        <v>47425</v>
      </c>
      <c r="P6268">
        <v>0</v>
      </c>
      <c r="Q6268">
        <v>4</v>
      </c>
      <c r="R6268" t="s">
        <v>47431</v>
      </c>
      <c r="S6268" t="s">
        <v>47565</v>
      </c>
      <c r="T6268" t="s">
        <v>49162</v>
      </c>
      <c r="U6268" t="s">
        <v>54965</v>
      </c>
      <c r="W6268" t="s">
        <v>45021</v>
      </c>
      <c r="X6268" t="s">
        <v>47432</v>
      </c>
    </row>
    <row r="6269" spans="1:24">
      <c r="A6269">
        <f>HYPERLINK("https://www.philgeps.gov.ph/GEPSNONPILOT/Tender/SplashBidNoticeAbstractUI.aspx?menuIndex=3&amp;refID=7155464&amp;Result=3","7155464")</f>
        <v>0</v>
      </c>
      <c r="B6269" t="s">
        <v>2259</v>
      </c>
      <c r="C6269" t="s">
        <v>9820</v>
      </c>
      <c r="D6269" t="s">
        <v>19057</v>
      </c>
      <c r="E6269" t="s">
        <v>24579</v>
      </c>
      <c r="F6269" t="s">
        <v>32831</v>
      </c>
      <c r="G6269" t="s">
        <v>32839</v>
      </c>
      <c r="H6269" t="s">
        <v>32848</v>
      </c>
      <c r="I6269" t="s">
        <v>32886</v>
      </c>
      <c r="J6269" t="s">
        <v>34188</v>
      </c>
      <c r="K6269" t="s">
        <v>42731</v>
      </c>
      <c r="M6269" t="s">
        <v>45441</v>
      </c>
      <c r="N6269" t="s">
        <v>47424</v>
      </c>
      <c r="O6269" t="s">
        <v>47425</v>
      </c>
      <c r="P6269">
        <v>0</v>
      </c>
      <c r="Q6269">
        <v>1</v>
      </c>
      <c r="R6269" t="s">
        <v>47431</v>
      </c>
      <c r="S6269" t="s">
        <v>47565</v>
      </c>
      <c r="T6269" t="s">
        <v>49127</v>
      </c>
      <c r="U6269" t="s">
        <v>54966</v>
      </c>
      <c r="W6269" t="s">
        <v>45441</v>
      </c>
      <c r="X6269" t="s">
        <v>47432</v>
      </c>
    </row>
    <row r="6270" spans="1:24">
      <c r="A6270">
        <f>HYPERLINK("https://www.philgeps.gov.ph/GEPSNONPILOT/Tender/SplashBidNoticeAbstractUI.aspx?menuIndex=3&amp;refID=7155511&amp;Result=3","7155511")</f>
        <v>0</v>
      </c>
      <c r="B6270" t="s">
        <v>1130</v>
      </c>
      <c r="C6270" t="s">
        <v>9821</v>
      </c>
      <c r="D6270" t="s">
        <v>19045</v>
      </c>
      <c r="E6270" t="s">
        <v>24580</v>
      </c>
      <c r="F6270" t="s">
        <v>32831</v>
      </c>
      <c r="G6270" t="s">
        <v>32839</v>
      </c>
      <c r="H6270" t="s">
        <v>32849</v>
      </c>
      <c r="I6270" t="s">
        <v>4177</v>
      </c>
      <c r="J6270" t="s">
        <v>36969</v>
      </c>
      <c r="K6270" t="s">
        <v>42730</v>
      </c>
      <c r="M6270" t="s">
        <v>45442</v>
      </c>
      <c r="N6270" t="s">
        <v>47424</v>
      </c>
      <c r="O6270" t="s">
        <v>47425</v>
      </c>
      <c r="P6270">
        <v>0</v>
      </c>
      <c r="Q6270">
        <v>0</v>
      </c>
      <c r="R6270" t="s">
        <v>47431</v>
      </c>
      <c r="S6270" t="s">
        <v>47565</v>
      </c>
      <c r="T6270" t="s">
        <v>49181</v>
      </c>
      <c r="U6270" t="s">
        <v>54967</v>
      </c>
      <c r="V6270" t="s">
        <v>63325</v>
      </c>
      <c r="W6270" t="s">
        <v>45442</v>
      </c>
      <c r="X6270" t="s">
        <v>47432</v>
      </c>
    </row>
    <row r="6271" spans="1:24">
      <c r="A6271">
        <f>HYPERLINK("https://www.philgeps.gov.ph/GEPSNONPILOT/Tender/SplashBidNoticeAbstractUI.aspx?menuIndex=3&amp;refID=7155468&amp;Result=3","7155468")</f>
        <v>0</v>
      </c>
      <c r="B6271" t="s">
        <v>657</v>
      </c>
      <c r="C6271" t="s">
        <v>9822</v>
      </c>
      <c r="D6271" t="s">
        <v>19027</v>
      </c>
      <c r="E6271" t="s">
        <v>24581</v>
      </c>
      <c r="F6271" t="s">
        <v>32831</v>
      </c>
      <c r="G6271" t="s">
        <v>32838</v>
      </c>
      <c r="H6271" t="s">
        <v>32848</v>
      </c>
      <c r="I6271" t="s">
        <v>7416</v>
      </c>
      <c r="J6271" t="s">
        <v>36970</v>
      </c>
      <c r="K6271" t="s">
        <v>42732</v>
      </c>
      <c r="M6271" t="s">
        <v>43675</v>
      </c>
      <c r="N6271" t="s">
        <v>47424</v>
      </c>
      <c r="O6271" t="s">
        <v>47425</v>
      </c>
      <c r="P6271">
        <v>0</v>
      </c>
      <c r="Q6271">
        <v>0</v>
      </c>
      <c r="R6271" t="s">
        <v>47431</v>
      </c>
      <c r="S6271" t="s">
        <v>47565</v>
      </c>
      <c r="T6271" t="s">
        <v>49104</v>
      </c>
      <c r="U6271" t="s">
        <v>50905</v>
      </c>
      <c r="W6271" t="s">
        <v>43675</v>
      </c>
      <c r="X6271" t="s">
        <v>47432</v>
      </c>
    </row>
    <row r="6272" spans="1:24">
      <c r="A6272">
        <f>HYPERLINK("https://www.philgeps.gov.ph/GEPSNONPILOT/Tender/SplashBidNoticeAbstractUI.aspx?menuIndex=3&amp;refID=7155471&amp;Result=3","7155471")</f>
        <v>0</v>
      </c>
      <c r="B6272" t="s">
        <v>2180</v>
      </c>
      <c r="C6272" t="s">
        <v>9823</v>
      </c>
      <c r="D6272" t="s">
        <v>19037</v>
      </c>
      <c r="E6272" t="s">
        <v>24582</v>
      </c>
      <c r="F6272" t="s">
        <v>32831</v>
      </c>
      <c r="G6272" t="s">
        <v>32838</v>
      </c>
      <c r="H6272" t="s">
        <v>32848</v>
      </c>
      <c r="I6272" t="s">
        <v>7416</v>
      </c>
      <c r="J6272" t="s">
        <v>36971</v>
      </c>
      <c r="K6272" t="s">
        <v>42731</v>
      </c>
      <c r="M6272" t="s">
        <v>45360</v>
      </c>
      <c r="N6272" t="s">
        <v>47424</v>
      </c>
      <c r="O6272" t="s">
        <v>47425</v>
      </c>
      <c r="P6272">
        <v>0</v>
      </c>
      <c r="Q6272">
        <v>0</v>
      </c>
      <c r="R6272" t="s">
        <v>47431</v>
      </c>
      <c r="S6272" t="s">
        <v>47565</v>
      </c>
      <c r="T6272" t="s">
        <v>49239</v>
      </c>
      <c r="U6272" t="s">
        <v>54968</v>
      </c>
      <c r="W6272" t="s">
        <v>45360</v>
      </c>
      <c r="X6272" t="s">
        <v>47432</v>
      </c>
    </row>
    <row r="6273" spans="1:24">
      <c r="A6273">
        <f>HYPERLINK("https://www.philgeps.gov.ph/GEPSNONPILOT/Tender/SplashBidNoticeAbstractUI.aspx?menuIndex=3&amp;refID=7155503&amp;Result=3","7155503")</f>
        <v>0</v>
      </c>
      <c r="B6273" t="s">
        <v>1167</v>
      </c>
      <c r="C6273" t="s">
        <v>9824</v>
      </c>
      <c r="D6273" t="s">
        <v>19021</v>
      </c>
      <c r="E6273" t="s">
        <v>24583</v>
      </c>
      <c r="F6273" t="s">
        <v>32831</v>
      </c>
      <c r="G6273" t="s">
        <v>32838</v>
      </c>
      <c r="H6273" t="s">
        <v>32848</v>
      </c>
      <c r="I6273" t="s">
        <v>4177</v>
      </c>
      <c r="J6273" t="s">
        <v>33479</v>
      </c>
      <c r="K6273" t="s">
        <v>42730</v>
      </c>
      <c r="M6273" t="s">
        <v>44232</v>
      </c>
      <c r="N6273" t="s">
        <v>47424</v>
      </c>
      <c r="O6273" t="s">
        <v>47425</v>
      </c>
      <c r="P6273">
        <v>0</v>
      </c>
      <c r="Q6273">
        <v>0</v>
      </c>
      <c r="R6273" t="s">
        <v>47431</v>
      </c>
      <c r="S6273" t="s">
        <v>47565</v>
      </c>
      <c r="T6273" t="s">
        <v>49166</v>
      </c>
      <c r="U6273" t="s">
        <v>51973</v>
      </c>
      <c r="W6273" t="s">
        <v>44232</v>
      </c>
      <c r="X6273" t="s">
        <v>47432</v>
      </c>
    </row>
    <row r="6274" spans="1:24">
      <c r="A6274">
        <f>HYPERLINK("https://www.philgeps.gov.ph/GEPSNONPILOT/Tender/SplashBidNoticeAbstractUI.aspx?menuIndex=3&amp;refID=7155501&amp;Result=3","7155501")</f>
        <v>0</v>
      </c>
      <c r="B6274" t="s">
        <v>2260</v>
      </c>
      <c r="C6274" t="s">
        <v>9825</v>
      </c>
      <c r="D6274" t="s">
        <v>19023</v>
      </c>
      <c r="E6274" t="s">
        <v>24584</v>
      </c>
      <c r="F6274" t="s">
        <v>32831</v>
      </c>
      <c r="G6274" t="s">
        <v>32840</v>
      </c>
      <c r="H6274" t="s">
        <v>32848</v>
      </c>
      <c r="I6274" t="s">
        <v>4438</v>
      </c>
      <c r="J6274" t="s">
        <v>36972</v>
      </c>
      <c r="K6274" t="s">
        <v>42731</v>
      </c>
      <c r="M6274" t="s">
        <v>45443</v>
      </c>
      <c r="N6274" t="s">
        <v>47424</v>
      </c>
      <c r="O6274" t="s">
        <v>47425</v>
      </c>
      <c r="P6274">
        <v>0</v>
      </c>
      <c r="Q6274">
        <v>0</v>
      </c>
      <c r="R6274" t="s">
        <v>47431</v>
      </c>
      <c r="S6274" t="s">
        <v>47565</v>
      </c>
      <c r="T6274" t="s">
        <v>49073</v>
      </c>
      <c r="U6274" t="s">
        <v>54969</v>
      </c>
      <c r="W6274" t="s">
        <v>45443</v>
      </c>
      <c r="X6274" t="s">
        <v>47432</v>
      </c>
    </row>
    <row r="6275" spans="1:24">
      <c r="A6275">
        <f>HYPERLINK("https://www.philgeps.gov.ph/GEPSNONPILOT/Tender/SplashBidNoticeAbstractUI.aspx?menuIndex=3&amp;refID=7155507&amp;Result=3","7155507")</f>
        <v>0</v>
      </c>
      <c r="B6275" t="s">
        <v>1877</v>
      </c>
      <c r="C6275" t="s">
        <v>9826</v>
      </c>
      <c r="D6275" t="s">
        <v>19043</v>
      </c>
      <c r="E6275" t="s">
        <v>24585</v>
      </c>
      <c r="F6275" t="s">
        <v>32831</v>
      </c>
      <c r="G6275" t="s">
        <v>32840</v>
      </c>
      <c r="H6275" t="s">
        <v>32848</v>
      </c>
      <c r="I6275" t="s">
        <v>32864</v>
      </c>
      <c r="J6275" t="s">
        <v>32980</v>
      </c>
      <c r="K6275" t="s">
        <v>42727</v>
      </c>
      <c r="M6275" t="s">
        <v>45021</v>
      </c>
      <c r="N6275" t="s">
        <v>47424</v>
      </c>
      <c r="O6275" t="s">
        <v>47425</v>
      </c>
      <c r="P6275">
        <v>0</v>
      </c>
      <c r="Q6275">
        <v>3</v>
      </c>
      <c r="R6275" t="s">
        <v>47431</v>
      </c>
      <c r="S6275" t="s">
        <v>47565</v>
      </c>
      <c r="T6275" t="s">
        <v>49162</v>
      </c>
      <c r="U6275" t="s">
        <v>54970</v>
      </c>
      <c r="W6275" t="s">
        <v>45021</v>
      </c>
      <c r="X6275" t="s">
        <v>47432</v>
      </c>
    </row>
    <row r="6276" spans="1:24">
      <c r="A6276">
        <f>HYPERLINK("https://www.philgeps.gov.ph/GEPSNONPILOT/Tender/SplashBidNoticeAbstractUI.aspx?menuIndex=3&amp;refID=7155499&amp;Result=3","7155499")</f>
        <v>0</v>
      </c>
      <c r="B6276" t="s">
        <v>1587</v>
      </c>
      <c r="C6276" t="s">
        <v>9827</v>
      </c>
      <c r="D6276" t="s">
        <v>19057</v>
      </c>
      <c r="E6276" t="s">
        <v>24586</v>
      </c>
      <c r="F6276" t="s">
        <v>32831</v>
      </c>
      <c r="G6276" t="s">
        <v>32838</v>
      </c>
      <c r="H6276" t="s">
        <v>32848</v>
      </c>
      <c r="I6276" t="s">
        <v>10888</v>
      </c>
      <c r="J6276" t="s">
        <v>36973</v>
      </c>
      <c r="K6276" t="s">
        <v>42729</v>
      </c>
      <c r="L6276" t="s">
        <v>1587</v>
      </c>
      <c r="M6276" t="s">
        <v>45444</v>
      </c>
      <c r="N6276" t="s">
        <v>47424</v>
      </c>
      <c r="O6276" t="s">
        <v>47425</v>
      </c>
      <c r="P6276">
        <v>0</v>
      </c>
      <c r="Q6276">
        <v>12</v>
      </c>
      <c r="R6276" t="s">
        <v>47431</v>
      </c>
      <c r="S6276" t="s">
        <v>47565</v>
      </c>
      <c r="T6276" t="s">
        <v>49236</v>
      </c>
      <c r="U6276" t="s">
        <v>54971</v>
      </c>
      <c r="W6276" t="s">
        <v>45444</v>
      </c>
      <c r="X6276" t="s">
        <v>47432</v>
      </c>
    </row>
    <row r="6277" spans="1:24">
      <c r="A6277">
        <f>HYPERLINK("https://www.philgeps.gov.ph/GEPSNONPILOT/Tender/SplashBidNoticeAbstractUI.aspx?menuIndex=3&amp;refID=7155497&amp;Result=3","7155497")</f>
        <v>0</v>
      </c>
      <c r="B6277" t="s">
        <v>2147</v>
      </c>
      <c r="C6277" t="s">
        <v>9828</v>
      </c>
      <c r="D6277" t="s">
        <v>19086</v>
      </c>
      <c r="E6277" t="s">
        <v>19529</v>
      </c>
      <c r="F6277" t="s">
        <v>32831</v>
      </c>
      <c r="G6277" t="s">
        <v>32839</v>
      </c>
      <c r="H6277" t="s">
        <v>32849</v>
      </c>
      <c r="I6277" t="s">
        <v>4177</v>
      </c>
      <c r="J6277" t="s">
        <v>36974</v>
      </c>
      <c r="K6277" t="s">
        <v>42747</v>
      </c>
      <c r="M6277" t="s">
        <v>45327</v>
      </c>
      <c r="N6277" t="s">
        <v>47424</v>
      </c>
      <c r="O6277" t="s">
        <v>47425</v>
      </c>
      <c r="P6277">
        <v>0</v>
      </c>
      <c r="Q6277">
        <v>1</v>
      </c>
      <c r="R6277" t="s">
        <v>47431</v>
      </c>
      <c r="S6277" t="s">
        <v>47565</v>
      </c>
      <c r="T6277" t="s">
        <v>49125</v>
      </c>
      <c r="U6277" t="s">
        <v>54972</v>
      </c>
      <c r="W6277" t="s">
        <v>64503</v>
      </c>
      <c r="X6277" t="s">
        <v>47432</v>
      </c>
    </row>
    <row r="6278" spans="1:24">
      <c r="A6278">
        <f>HYPERLINK("https://www.philgeps.gov.ph/GEPSNONPILOT/Tender/SplashBidNoticeAbstractUI.aspx?menuIndex=3&amp;refID=7155495&amp;Result=3","7155495")</f>
        <v>0</v>
      </c>
      <c r="B6278" t="s">
        <v>833</v>
      </c>
      <c r="C6278" t="s">
        <v>9829</v>
      </c>
      <c r="D6278" t="s">
        <v>19045</v>
      </c>
      <c r="E6278" t="s">
        <v>24587</v>
      </c>
      <c r="F6278" t="s">
        <v>32831</v>
      </c>
      <c r="G6278" t="s">
        <v>32839</v>
      </c>
      <c r="H6278" t="s">
        <v>32849</v>
      </c>
      <c r="I6278" t="s">
        <v>4177</v>
      </c>
      <c r="J6278" t="s">
        <v>33484</v>
      </c>
      <c r="K6278" t="s">
        <v>42731</v>
      </c>
      <c r="M6278" t="s">
        <v>43865</v>
      </c>
      <c r="N6278" t="s">
        <v>47424</v>
      </c>
      <c r="O6278" t="s">
        <v>47425</v>
      </c>
      <c r="P6278">
        <v>0</v>
      </c>
      <c r="Q6278">
        <v>0</v>
      </c>
      <c r="R6278" t="s">
        <v>47431</v>
      </c>
      <c r="S6278" t="s">
        <v>47565</v>
      </c>
      <c r="T6278" t="s">
        <v>49254</v>
      </c>
      <c r="U6278" t="s">
        <v>54973</v>
      </c>
      <c r="V6278" t="s">
        <v>63326</v>
      </c>
      <c r="W6278" t="s">
        <v>43865</v>
      </c>
      <c r="X6278" t="s">
        <v>47432</v>
      </c>
    </row>
    <row r="6279" spans="1:24">
      <c r="A6279">
        <f>HYPERLINK("https://www.philgeps.gov.ph/GEPSNONPILOT/Tender/SplashBidNoticeAbstractUI.aspx?menuIndex=3&amp;refID=7155500&amp;Result=3","7155500")</f>
        <v>0</v>
      </c>
      <c r="B6279" t="s">
        <v>1130</v>
      </c>
      <c r="C6279" t="s">
        <v>9830</v>
      </c>
      <c r="D6279" t="s">
        <v>19045</v>
      </c>
      <c r="E6279" t="s">
        <v>24588</v>
      </c>
      <c r="F6279" t="s">
        <v>32831</v>
      </c>
      <c r="G6279" t="s">
        <v>32839</v>
      </c>
      <c r="H6279" t="s">
        <v>32849</v>
      </c>
      <c r="I6279" t="s">
        <v>4177</v>
      </c>
      <c r="J6279" t="s">
        <v>36975</v>
      </c>
      <c r="K6279" t="s">
        <v>42729</v>
      </c>
      <c r="M6279" t="s">
        <v>45442</v>
      </c>
      <c r="N6279" t="s">
        <v>47424</v>
      </c>
      <c r="O6279" t="s">
        <v>47425</v>
      </c>
      <c r="P6279">
        <v>0</v>
      </c>
      <c r="Q6279">
        <v>0</v>
      </c>
      <c r="R6279" t="s">
        <v>47431</v>
      </c>
      <c r="S6279" t="s">
        <v>47565</v>
      </c>
      <c r="T6279" t="s">
        <v>49181</v>
      </c>
      <c r="U6279" t="s">
        <v>54967</v>
      </c>
      <c r="V6279" t="s">
        <v>63325</v>
      </c>
      <c r="W6279" t="s">
        <v>45442</v>
      </c>
      <c r="X6279" t="s">
        <v>47432</v>
      </c>
    </row>
    <row r="6280" spans="1:24">
      <c r="A6280">
        <f>HYPERLINK("https://www.philgeps.gov.ph/GEPSNONPILOT/Tender/SplashBidNoticeAbstractUI.aspx?menuIndex=3&amp;refID=7155496&amp;Result=3","7155496")</f>
        <v>0</v>
      </c>
      <c r="B6280" t="s">
        <v>2261</v>
      </c>
      <c r="C6280" t="s">
        <v>9831</v>
      </c>
      <c r="D6280" t="s">
        <v>19038</v>
      </c>
      <c r="E6280" t="s">
        <v>24589</v>
      </c>
      <c r="F6280" t="s">
        <v>32831</v>
      </c>
      <c r="G6280" t="s">
        <v>32839</v>
      </c>
      <c r="H6280" t="s">
        <v>32848</v>
      </c>
      <c r="I6280" t="s">
        <v>4558</v>
      </c>
      <c r="J6280" t="s">
        <v>32978</v>
      </c>
      <c r="K6280" t="s">
        <v>42731</v>
      </c>
      <c r="L6280" t="s">
        <v>2261</v>
      </c>
      <c r="M6280" t="s">
        <v>45445</v>
      </c>
      <c r="N6280" t="s">
        <v>47424</v>
      </c>
      <c r="O6280" t="s">
        <v>47425</v>
      </c>
      <c r="P6280">
        <v>0</v>
      </c>
      <c r="Q6280">
        <v>3</v>
      </c>
      <c r="R6280" t="s">
        <v>47431</v>
      </c>
      <c r="S6280" t="s">
        <v>47565</v>
      </c>
      <c r="T6280" t="s">
        <v>49073</v>
      </c>
      <c r="U6280" t="s">
        <v>54974</v>
      </c>
      <c r="W6280" t="s">
        <v>45445</v>
      </c>
      <c r="X6280" t="s">
        <v>47432</v>
      </c>
    </row>
    <row r="6281" spans="1:24">
      <c r="A6281">
        <f>HYPERLINK("https://www.philgeps.gov.ph/GEPSNONPILOT/Tender/SplashBidNoticeAbstractUI.aspx?menuIndex=3&amp;refID=7155488&amp;Result=3","7155488")</f>
        <v>0</v>
      </c>
      <c r="B6281" t="s">
        <v>677</v>
      </c>
      <c r="C6281" t="s">
        <v>9832</v>
      </c>
      <c r="D6281" t="s">
        <v>19024</v>
      </c>
      <c r="E6281" t="s">
        <v>24590</v>
      </c>
      <c r="F6281" t="s">
        <v>32831</v>
      </c>
      <c r="G6281" t="s">
        <v>32839</v>
      </c>
      <c r="H6281" t="s">
        <v>32849</v>
      </c>
      <c r="I6281" t="s">
        <v>4177</v>
      </c>
      <c r="J6281" t="s">
        <v>36976</v>
      </c>
      <c r="K6281" t="s">
        <v>42763</v>
      </c>
      <c r="M6281" t="s">
        <v>43696</v>
      </c>
      <c r="N6281" t="s">
        <v>47424</v>
      </c>
      <c r="O6281" t="s">
        <v>47425</v>
      </c>
      <c r="P6281">
        <v>0</v>
      </c>
      <c r="Q6281">
        <v>3</v>
      </c>
      <c r="R6281" t="s">
        <v>47431</v>
      </c>
      <c r="S6281" t="s">
        <v>47565</v>
      </c>
      <c r="T6281" t="s">
        <v>49267</v>
      </c>
      <c r="U6281" t="s">
        <v>54975</v>
      </c>
      <c r="V6281" t="s">
        <v>63327</v>
      </c>
      <c r="W6281" t="s">
        <v>43696</v>
      </c>
      <c r="X6281" t="s">
        <v>47432</v>
      </c>
    </row>
    <row r="6282" spans="1:24">
      <c r="A6282">
        <f>HYPERLINK("https://www.philgeps.gov.ph/GEPSNONPILOT/Tender/SplashBidNoticeAbstractUI.aspx?menuIndex=3&amp;refID=7155504&amp;Result=3","7155504")</f>
        <v>0</v>
      </c>
      <c r="B6282" t="s">
        <v>2262</v>
      </c>
      <c r="C6282" t="s">
        <v>9833</v>
      </c>
      <c r="D6282" t="s">
        <v>19026</v>
      </c>
      <c r="E6282" t="s">
        <v>24591</v>
      </c>
      <c r="F6282" t="s">
        <v>32831</v>
      </c>
      <c r="G6282" t="s">
        <v>32839</v>
      </c>
      <c r="H6282" t="s">
        <v>32849</v>
      </c>
      <c r="I6282" t="s">
        <v>4177</v>
      </c>
      <c r="J6282" t="s">
        <v>32978</v>
      </c>
      <c r="K6282" t="s">
        <v>42730</v>
      </c>
      <c r="M6282" t="s">
        <v>45446</v>
      </c>
      <c r="N6282" t="s">
        <v>47424</v>
      </c>
      <c r="O6282" t="s">
        <v>47425</v>
      </c>
      <c r="P6282">
        <v>0</v>
      </c>
      <c r="Q6282">
        <v>74</v>
      </c>
      <c r="R6282" t="s">
        <v>47431</v>
      </c>
      <c r="S6282" t="s">
        <v>47565</v>
      </c>
      <c r="T6282" t="s">
        <v>49056</v>
      </c>
      <c r="U6282" t="s">
        <v>54976</v>
      </c>
      <c r="W6282" t="s">
        <v>45446</v>
      </c>
      <c r="X6282" t="s">
        <v>47432</v>
      </c>
    </row>
    <row r="6283" spans="1:24">
      <c r="A6283">
        <f>HYPERLINK("https://www.philgeps.gov.ph/GEPSNONPILOT/Tender/SplashBidNoticeAbstractUI.aspx?menuIndex=3&amp;refID=7155542&amp;Result=3","7155542")</f>
        <v>0</v>
      </c>
      <c r="B6283" t="s">
        <v>2263</v>
      </c>
      <c r="C6283" t="s">
        <v>9834</v>
      </c>
      <c r="D6283" t="s">
        <v>19019</v>
      </c>
      <c r="E6283" t="s">
        <v>24592</v>
      </c>
      <c r="F6283" t="s">
        <v>32833</v>
      </c>
      <c r="G6283" t="s">
        <v>32838</v>
      </c>
      <c r="H6283" t="s">
        <v>32848</v>
      </c>
      <c r="I6283" t="s">
        <v>4438</v>
      </c>
      <c r="J6283" t="s">
        <v>36977</v>
      </c>
      <c r="K6283" t="s">
        <v>42727</v>
      </c>
      <c r="M6283" t="s">
        <v>45447</v>
      </c>
      <c r="N6283" t="s">
        <v>47424</v>
      </c>
      <c r="O6283" t="s">
        <v>47425</v>
      </c>
      <c r="P6283">
        <v>0</v>
      </c>
      <c r="Q6283">
        <v>0</v>
      </c>
      <c r="R6283" t="s">
        <v>47431</v>
      </c>
      <c r="S6283" t="s">
        <v>47565</v>
      </c>
      <c r="T6283" t="s">
        <v>49198</v>
      </c>
      <c r="U6283" t="s">
        <v>54977</v>
      </c>
      <c r="W6283" t="s">
        <v>45447</v>
      </c>
      <c r="X6283" t="s">
        <v>47432</v>
      </c>
    </row>
    <row r="6284" spans="1:24">
      <c r="A6284">
        <f>HYPERLINK("https://www.philgeps.gov.ph/GEPSNONPILOT/Tender/SplashBidNoticeAbstractUI.aspx?menuIndex=3&amp;refID=7155490&amp;Result=3","7155490")</f>
        <v>0</v>
      </c>
      <c r="B6284" t="s">
        <v>2264</v>
      </c>
      <c r="C6284" t="s">
        <v>9835</v>
      </c>
      <c r="D6284" t="s">
        <v>19048</v>
      </c>
      <c r="E6284" t="s">
        <v>24593</v>
      </c>
      <c r="F6284" t="s">
        <v>32831</v>
      </c>
      <c r="G6284" t="s">
        <v>32841</v>
      </c>
      <c r="H6284" t="s">
        <v>14069</v>
      </c>
      <c r="I6284" t="s">
        <v>14069</v>
      </c>
      <c r="J6284" t="s">
        <v>33032</v>
      </c>
      <c r="K6284" t="s">
        <v>42786</v>
      </c>
      <c r="M6284" t="s">
        <v>45448</v>
      </c>
      <c r="N6284" t="s">
        <v>47424</v>
      </c>
      <c r="O6284" t="s">
        <v>47425</v>
      </c>
      <c r="P6284">
        <v>0</v>
      </c>
      <c r="Q6284">
        <v>9</v>
      </c>
      <c r="R6284" t="s">
        <v>47431</v>
      </c>
      <c r="S6284" t="s">
        <v>47565</v>
      </c>
      <c r="T6284" t="s">
        <v>49107</v>
      </c>
      <c r="U6284" t="s">
        <v>54978</v>
      </c>
      <c r="W6284" t="s">
        <v>45448</v>
      </c>
      <c r="X6284" t="s">
        <v>47432</v>
      </c>
    </row>
    <row r="6285" spans="1:24">
      <c r="A6285">
        <f>HYPERLINK("https://www.philgeps.gov.ph/GEPSNONPILOT/Tender/SplashBidNoticeAbstractUI.aspx?menuIndex=3&amp;refID=7155540&amp;Result=3","7155540")</f>
        <v>0</v>
      </c>
      <c r="B6285" t="s">
        <v>1016</v>
      </c>
      <c r="C6285" t="s">
        <v>9836</v>
      </c>
      <c r="D6285" t="s">
        <v>19062</v>
      </c>
      <c r="E6285" t="s">
        <v>24594</v>
      </c>
      <c r="F6285" t="s">
        <v>32831</v>
      </c>
      <c r="G6285" t="s">
        <v>32838</v>
      </c>
      <c r="H6285" t="s">
        <v>32848</v>
      </c>
      <c r="I6285" t="s">
        <v>32857</v>
      </c>
      <c r="J6285" t="s">
        <v>36978</v>
      </c>
      <c r="K6285" t="s">
        <v>42727</v>
      </c>
      <c r="M6285" t="s">
        <v>44066</v>
      </c>
      <c r="N6285" t="s">
        <v>47424</v>
      </c>
      <c r="O6285" t="s">
        <v>47425</v>
      </c>
      <c r="P6285">
        <v>0</v>
      </c>
      <c r="Q6285">
        <v>6</v>
      </c>
      <c r="R6285" t="s">
        <v>47431</v>
      </c>
      <c r="S6285" t="s">
        <v>47565</v>
      </c>
      <c r="T6285" t="s">
        <v>49141</v>
      </c>
      <c r="U6285" t="s">
        <v>54979</v>
      </c>
      <c r="V6285" t="s">
        <v>63250</v>
      </c>
      <c r="W6285" t="s">
        <v>44066</v>
      </c>
      <c r="X6285" t="s">
        <v>47432</v>
      </c>
    </row>
    <row r="6286" spans="1:24">
      <c r="A6286">
        <f>HYPERLINK("https://www.philgeps.gov.ph/GEPSNONPILOT/Tender/SplashBidNoticeAbstractUI.aspx?menuIndex=3&amp;refID=7155537&amp;Result=3","7155537")</f>
        <v>0</v>
      </c>
      <c r="B6286" t="s">
        <v>2015</v>
      </c>
      <c r="C6286" t="s">
        <v>9837</v>
      </c>
      <c r="D6286" t="s">
        <v>19049</v>
      </c>
      <c r="E6286" t="s">
        <v>19351</v>
      </c>
      <c r="F6286" t="s">
        <v>32831</v>
      </c>
      <c r="G6286" t="s">
        <v>32842</v>
      </c>
      <c r="H6286" t="s">
        <v>32848</v>
      </c>
      <c r="I6286" t="s">
        <v>9577</v>
      </c>
      <c r="J6286" t="s">
        <v>36979</v>
      </c>
      <c r="K6286" t="s">
        <v>42732</v>
      </c>
      <c r="M6286" t="s">
        <v>45182</v>
      </c>
      <c r="N6286" t="s">
        <v>47424</v>
      </c>
      <c r="O6286" t="s">
        <v>47425</v>
      </c>
      <c r="P6286">
        <v>0</v>
      </c>
      <c r="Q6286">
        <v>0</v>
      </c>
      <c r="R6286" t="s">
        <v>47431</v>
      </c>
      <c r="S6286" t="s">
        <v>47565</v>
      </c>
      <c r="T6286" t="s">
        <v>49214</v>
      </c>
      <c r="U6286" t="s">
        <v>54980</v>
      </c>
      <c r="W6286" t="s">
        <v>45182</v>
      </c>
      <c r="X6286" t="s">
        <v>47432</v>
      </c>
    </row>
    <row r="6287" spans="1:24">
      <c r="A6287">
        <f>HYPERLINK("https://www.philgeps.gov.ph/GEPSNONPILOT/Tender/SplashBidNoticeAbstractUI.aspx?menuIndex=3&amp;refID=7155412&amp;Result=3","7155412")</f>
        <v>0</v>
      </c>
      <c r="B6287" t="s">
        <v>509</v>
      </c>
      <c r="C6287" t="s">
        <v>9838</v>
      </c>
      <c r="D6287" t="s">
        <v>19040</v>
      </c>
      <c r="E6287" t="s">
        <v>19351</v>
      </c>
      <c r="F6287" t="s">
        <v>32831</v>
      </c>
      <c r="G6287" t="s">
        <v>32840</v>
      </c>
      <c r="H6287" t="s">
        <v>32848</v>
      </c>
      <c r="I6287" t="s">
        <v>32860</v>
      </c>
      <c r="J6287" t="s">
        <v>36980</v>
      </c>
      <c r="K6287" t="s">
        <v>42758</v>
      </c>
      <c r="M6287" t="s">
        <v>43514</v>
      </c>
      <c r="N6287" t="s">
        <v>47424</v>
      </c>
      <c r="O6287" t="s">
        <v>47425</v>
      </c>
      <c r="P6287">
        <v>0</v>
      </c>
      <c r="Q6287">
        <v>3</v>
      </c>
      <c r="R6287" t="s">
        <v>47431</v>
      </c>
      <c r="S6287" t="s">
        <v>47565</v>
      </c>
      <c r="T6287" t="s">
        <v>49235</v>
      </c>
      <c r="U6287" t="s">
        <v>54981</v>
      </c>
      <c r="W6287" t="s">
        <v>43514</v>
      </c>
      <c r="X6287" t="s">
        <v>47432</v>
      </c>
    </row>
    <row r="6288" spans="1:24">
      <c r="A6288">
        <f>HYPERLINK("https://www.philgeps.gov.ph/GEPSNONPILOT/Tender/SplashBidNoticeAbstractUI.aspx?menuIndex=3&amp;refID=7155536&amp;Result=3","7155536")</f>
        <v>0</v>
      </c>
      <c r="B6288" t="s">
        <v>2265</v>
      </c>
      <c r="C6288" t="s">
        <v>9839</v>
      </c>
      <c r="D6288" t="s">
        <v>19044</v>
      </c>
      <c r="E6288" t="s">
        <v>24595</v>
      </c>
      <c r="F6288" t="s">
        <v>32831</v>
      </c>
      <c r="G6288" t="s">
        <v>32839</v>
      </c>
      <c r="H6288" t="s">
        <v>32848</v>
      </c>
      <c r="I6288" t="s">
        <v>7416</v>
      </c>
      <c r="J6288" t="s">
        <v>36981</v>
      </c>
      <c r="K6288" t="s">
        <v>42732</v>
      </c>
      <c r="M6288" t="s">
        <v>45449</v>
      </c>
      <c r="N6288" t="s">
        <v>47424</v>
      </c>
      <c r="O6288" t="s">
        <v>47425</v>
      </c>
      <c r="P6288">
        <v>0</v>
      </c>
      <c r="Q6288">
        <v>0</v>
      </c>
      <c r="R6288" t="s">
        <v>47431</v>
      </c>
      <c r="S6288" t="s">
        <v>47565</v>
      </c>
      <c r="T6288" t="s">
        <v>49108</v>
      </c>
      <c r="U6288" t="s">
        <v>54982</v>
      </c>
      <c r="W6288" t="s">
        <v>45449</v>
      </c>
      <c r="X6288" t="s">
        <v>47432</v>
      </c>
    </row>
    <row r="6289" spans="1:24">
      <c r="A6289">
        <f>HYPERLINK("https://www.philgeps.gov.ph/GEPSNONPILOT/Tender/SplashBidNoticeAbstractUI.aspx?menuIndex=3&amp;refID=7155532&amp;Result=3","7155532")</f>
        <v>0</v>
      </c>
      <c r="B6289" t="s">
        <v>2266</v>
      </c>
      <c r="C6289" t="s">
        <v>9840</v>
      </c>
      <c r="D6289" t="s">
        <v>19044</v>
      </c>
      <c r="E6289" t="s">
        <v>24596</v>
      </c>
      <c r="F6289" t="s">
        <v>32831</v>
      </c>
      <c r="G6289" t="s">
        <v>32839</v>
      </c>
      <c r="H6289" t="s">
        <v>32849</v>
      </c>
      <c r="I6289" t="s">
        <v>4177</v>
      </c>
      <c r="J6289" t="s">
        <v>32983</v>
      </c>
      <c r="K6289" t="s">
        <v>42729</v>
      </c>
      <c r="M6289" t="s">
        <v>45450</v>
      </c>
      <c r="N6289" t="s">
        <v>47424</v>
      </c>
      <c r="O6289" t="s">
        <v>47425</v>
      </c>
      <c r="P6289">
        <v>0</v>
      </c>
      <c r="Q6289">
        <v>0</v>
      </c>
      <c r="R6289" t="s">
        <v>47431</v>
      </c>
      <c r="S6289" t="s">
        <v>47565</v>
      </c>
      <c r="T6289" t="s">
        <v>49056</v>
      </c>
      <c r="U6289" t="s">
        <v>54983</v>
      </c>
      <c r="W6289" t="s">
        <v>45450</v>
      </c>
      <c r="X6289" t="s">
        <v>47432</v>
      </c>
    </row>
    <row r="6290" spans="1:24">
      <c r="A6290">
        <f>HYPERLINK("https://www.philgeps.gov.ph/GEPSNONPILOT/Tender/SplashBidNoticeAbstractUI.aspx?menuIndex=3&amp;refID=7155531&amp;Result=3","7155531")</f>
        <v>0</v>
      </c>
      <c r="B6290" t="s">
        <v>2267</v>
      </c>
      <c r="C6290" t="s">
        <v>9841</v>
      </c>
      <c r="D6290" t="s">
        <v>19074</v>
      </c>
      <c r="E6290" t="s">
        <v>24597</v>
      </c>
      <c r="F6290" t="s">
        <v>32831</v>
      </c>
      <c r="G6290" t="s">
        <v>32838</v>
      </c>
      <c r="H6290" t="s">
        <v>32848</v>
      </c>
      <c r="I6290" t="s">
        <v>32856</v>
      </c>
      <c r="J6290" t="s">
        <v>36982</v>
      </c>
      <c r="K6290" t="s">
        <v>42732</v>
      </c>
      <c r="M6290" t="s">
        <v>45451</v>
      </c>
      <c r="N6290" t="s">
        <v>47424</v>
      </c>
      <c r="O6290" t="s">
        <v>47425</v>
      </c>
      <c r="P6290">
        <v>0</v>
      </c>
      <c r="Q6290">
        <v>3</v>
      </c>
      <c r="R6290" t="s">
        <v>47431</v>
      </c>
      <c r="S6290" t="s">
        <v>47565</v>
      </c>
      <c r="T6290" t="s">
        <v>49114</v>
      </c>
      <c r="U6290" t="s">
        <v>54984</v>
      </c>
      <c r="W6290" t="s">
        <v>45451</v>
      </c>
      <c r="X6290" t="s">
        <v>47432</v>
      </c>
    </row>
    <row r="6291" spans="1:24">
      <c r="A6291">
        <f>HYPERLINK("https://www.philgeps.gov.ph/GEPSNONPILOT/Tender/SplashBidNoticeAbstractUI.aspx?menuIndex=3&amp;refID=7155492&amp;Result=3","7155492")</f>
        <v>0</v>
      </c>
      <c r="B6291" t="s">
        <v>2211</v>
      </c>
      <c r="C6291" t="s">
        <v>9842</v>
      </c>
      <c r="D6291" t="s">
        <v>19104</v>
      </c>
      <c r="E6291" t="s">
        <v>20605</v>
      </c>
      <c r="F6291" t="s">
        <v>32831</v>
      </c>
      <c r="G6291" t="s">
        <v>32838</v>
      </c>
      <c r="H6291" t="s">
        <v>32848</v>
      </c>
      <c r="I6291" t="s">
        <v>7416</v>
      </c>
      <c r="J6291" t="s">
        <v>36983</v>
      </c>
      <c r="K6291" t="s">
        <v>42727</v>
      </c>
      <c r="M6291" t="s">
        <v>45391</v>
      </c>
      <c r="N6291" t="s">
        <v>47424</v>
      </c>
      <c r="O6291" t="s">
        <v>47425</v>
      </c>
      <c r="P6291">
        <v>0</v>
      </c>
      <c r="Q6291">
        <v>0</v>
      </c>
      <c r="R6291" t="s">
        <v>47431</v>
      </c>
      <c r="S6291" t="s">
        <v>47565</v>
      </c>
      <c r="T6291" t="s">
        <v>49056</v>
      </c>
      <c r="U6291" t="s">
        <v>54985</v>
      </c>
      <c r="V6291" t="s">
        <v>63302</v>
      </c>
      <c r="W6291" t="s">
        <v>45391</v>
      </c>
      <c r="X6291" t="s">
        <v>47432</v>
      </c>
    </row>
    <row r="6292" spans="1:24">
      <c r="A6292">
        <f>HYPERLINK("https://www.philgeps.gov.ph/GEPSNONPILOT/Tender/SplashBidNoticeAbstractUI.aspx?menuIndex=3&amp;refID=7155530&amp;Result=3","7155530")</f>
        <v>0</v>
      </c>
      <c r="B6292" t="s">
        <v>1130</v>
      </c>
      <c r="C6292" t="s">
        <v>9843</v>
      </c>
      <c r="D6292" t="s">
        <v>19045</v>
      </c>
      <c r="E6292" t="s">
        <v>24598</v>
      </c>
      <c r="F6292" t="s">
        <v>32831</v>
      </c>
      <c r="G6292" t="s">
        <v>32839</v>
      </c>
      <c r="H6292" t="s">
        <v>32849</v>
      </c>
      <c r="I6292" t="s">
        <v>4177</v>
      </c>
      <c r="J6292" t="s">
        <v>36984</v>
      </c>
      <c r="K6292" t="s">
        <v>42729</v>
      </c>
      <c r="M6292" t="s">
        <v>45442</v>
      </c>
      <c r="N6292" t="s">
        <v>47424</v>
      </c>
      <c r="O6292" t="s">
        <v>47425</v>
      </c>
      <c r="P6292">
        <v>0</v>
      </c>
      <c r="Q6292">
        <v>0</v>
      </c>
      <c r="R6292" t="s">
        <v>47431</v>
      </c>
      <c r="S6292" t="s">
        <v>47565</v>
      </c>
      <c r="T6292" t="s">
        <v>49181</v>
      </c>
      <c r="U6292" t="s">
        <v>54967</v>
      </c>
      <c r="V6292" t="s">
        <v>63325</v>
      </c>
      <c r="W6292" t="s">
        <v>45442</v>
      </c>
      <c r="X6292" t="s">
        <v>47432</v>
      </c>
    </row>
    <row r="6293" spans="1:24">
      <c r="A6293">
        <f>HYPERLINK("https://www.philgeps.gov.ph/GEPSNONPILOT/Tender/SplashBidNoticeAbstractUI.aspx?menuIndex=3&amp;refID=7155534&amp;Result=3","7155534")</f>
        <v>0</v>
      </c>
      <c r="B6293" t="s">
        <v>2262</v>
      </c>
      <c r="C6293" t="s">
        <v>9844</v>
      </c>
      <c r="D6293" t="s">
        <v>19026</v>
      </c>
      <c r="E6293" t="s">
        <v>24599</v>
      </c>
      <c r="F6293" t="s">
        <v>32831</v>
      </c>
      <c r="G6293" t="s">
        <v>32839</v>
      </c>
      <c r="H6293" t="s">
        <v>32849</v>
      </c>
      <c r="I6293" t="s">
        <v>4177</v>
      </c>
      <c r="J6293" t="s">
        <v>36985</v>
      </c>
      <c r="K6293" t="s">
        <v>42730</v>
      </c>
      <c r="M6293" t="s">
        <v>45446</v>
      </c>
      <c r="N6293" t="s">
        <v>47424</v>
      </c>
      <c r="O6293" t="s">
        <v>47425</v>
      </c>
      <c r="P6293">
        <v>0</v>
      </c>
      <c r="Q6293">
        <v>92</v>
      </c>
      <c r="R6293" t="s">
        <v>47431</v>
      </c>
      <c r="S6293" t="s">
        <v>47565</v>
      </c>
      <c r="T6293" t="s">
        <v>49056</v>
      </c>
      <c r="U6293" t="s">
        <v>54976</v>
      </c>
      <c r="W6293" t="s">
        <v>45446</v>
      </c>
      <c r="X6293" t="s">
        <v>47432</v>
      </c>
    </row>
    <row r="6294" spans="1:24">
      <c r="A6294">
        <f>HYPERLINK("https://www.philgeps.gov.ph/GEPSNONPILOT/Tender/SplashBidNoticeAbstractUI.aspx?menuIndex=3&amp;refID=7155527&amp;Result=3","7155527")</f>
        <v>0</v>
      </c>
      <c r="B6294" t="s">
        <v>1283</v>
      </c>
      <c r="C6294" t="s">
        <v>9845</v>
      </c>
      <c r="D6294" t="s">
        <v>19086</v>
      </c>
      <c r="E6294" t="s">
        <v>24600</v>
      </c>
      <c r="F6294" t="s">
        <v>32831</v>
      </c>
      <c r="G6294" t="s">
        <v>32838</v>
      </c>
      <c r="H6294" t="s">
        <v>32848</v>
      </c>
      <c r="I6294" t="s">
        <v>4471</v>
      </c>
      <c r="J6294" t="s">
        <v>33647</v>
      </c>
      <c r="K6294" t="s">
        <v>42748</v>
      </c>
      <c r="M6294" t="s">
        <v>44353</v>
      </c>
      <c r="N6294" t="s">
        <v>47424</v>
      </c>
      <c r="O6294" t="s">
        <v>47425</v>
      </c>
      <c r="P6294">
        <v>0</v>
      </c>
      <c r="Q6294">
        <v>13</v>
      </c>
      <c r="R6294" t="s">
        <v>47431</v>
      </c>
      <c r="S6294" t="s">
        <v>47565</v>
      </c>
      <c r="T6294" t="s">
        <v>49061</v>
      </c>
      <c r="U6294" t="s">
        <v>54986</v>
      </c>
      <c r="W6294" t="s">
        <v>44353</v>
      </c>
      <c r="X6294" t="s">
        <v>47432</v>
      </c>
    </row>
    <row r="6295" spans="1:24">
      <c r="A6295">
        <f>HYPERLINK("https://www.philgeps.gov.ph/GEPSNONPILOT/Tender/SplashBidNoticeAbstractUI.aspx?menuIndex=3&amp;refID=7155525&amp;Result=3","7155525")</f>
        <v>0</v>
      </c>
      <c r="B6295" t="s">
        <v>2268</v>
      </c>
      <c r="C6295" t="s">
        <v>9846</v>
      </c>
      <c r="D6295" t="s">
        <v>19037</v>
      </c>
      <c r="E6295" t="s">
        <v>20862</v>
      </c>
      <c r="F6295" t="s">
        <v>32831</v>
      </c>
      <c r="G6295" t="s">
        <v>32839</v>
      </c>
      <c r="H6295" t="s">
        <v>32848</v>
      </c>
      <c r="I6295" t="s">
        <v>32857</v>
      </c>
      <c r="J6295" t="s">
        <v>36986</v>
      </c>
      <c r="K6295" t="s">
        <v>42731</v>
      </c>
      <c r="M6295" t="s">
        <v>45452</v>
      </c>
      <c r="N6295" t="s">
        <v>47424</v>
      </c>
      <c r="O6295" t="s">
        <v>47425</v>
      </c>
      <c r="P6295">
        <v>0</v>
      </c>
      <c r="Q6295">
        <v>10</v>
      </c>
      <c r="R6295" t="s">
        <v>47431</v>
      </c>
      <c r="S6295" t="s">
        <v>47565</v>
      </c>
      <c r="T6295" t="s">
        <v>49104</v>
      </c>
      <c r="U6295" t="s">
        <v>54987</v>
      </c>
      <c r="W6295" t="s">
        <v>45452</v>
      </c>
      <c r="X6295" t="s">
        <v>47432</v>
      </c>
    </row>
    <row r="6296" spans="1:24">
      <c r="A6296">
        <f>HYPERLINK("https://www.philgeps.gov.ph/GEPSNONPILOT/Tender/SplashBidNoticeAbstractUI.aspx?menuIndex=3&amp;refID=7155538&amp;Result=3","7155538")</f>
        <v>0</v>
      </c>
      <c r="B6296" t="s">
        <v>2252</v>
      </c>
      <c r="C6296" t="s">
        <v>9798</v>
      </c>
      <c r="D6296" t="s">
        <v>19062</v>
      </c>
      <c r="E6296" t="s">
        <v>24601</v>
      </c>
      <c r="F6296" t="s">
        <v>32831</v>
      </c>
      <c r="G6296" t="s">
        <v>32842</v>
      </c>
      <c r="H6296" t="s">
        <v>32848</v>
      </c>
      <c r="I6296" t="s">
        <v>9577</v>
      </c>
      <c r="J6296" t="s">
        <v>34070</v>
      </c>
      <c r="K6296" t="s">
        <v>42731</v>
      </c>
      <c r="M6296" t="s">
        <v>45433</v>
      </c>
      <c r="N6296" t="s">
        <v>47424</v>
      </c>
      <c r="O6296" t="s">
        <v>47425</v>
      </c>
      <c r="P6296">
        <v>0</v>
      </c>
      <c r="Q6296">
        <v>4</v>
      </c>
      <c r="R6296" t="s">
        <v>47431</v>
      </c>
      <c r="S6296" t="s">
        <v>47565</v>
      </c>
      <c r="T6296" t="s">
        <v>49145</v>
      </c>
      <c r="U6296" t="s">
        <v>54988</v>
      </c>
      <c r="W6296" t="s">
        <v>45433</v>
      </c>
      <c r="X6296" t="s">
        <v>47432</v>
      </c>
    </row>
    <row r="6297" spans="1:24">
      <c r="A6297">
        <f>HYPERLINK("https://www.philgeps.gov.ph/GEPSNONPILOT/Tender/SplashBidNoticeAbstractUI.aspx?menuIndex=3&amp;refID=7155523&amp;Result=3","7155523")</f>
        <v>0</v>
      </c>
      <c r="B6297" t="s">
        <v>1807</v>
      </c>
      <c r="C6297" t="s">
        <v>9847</v>
      </c>
      <c r="D6297" t="s">
        <v>19078</v>
      </c>
      <c r="E6297" t="s">
        <v>24602</v>
      </c>
      <c r="F6297" t="s">
        <v>32831</v>
      </c>
      <c r="G6297" t="s">
        <v>32839</v>
      </c>
      <c r="H6297" t="s">
        <v>32849</v>
      </c>
      <c r="I6297" t="s">
        <v>4177</v>
      </c>
      <c r="J6297" t="s">
        <v>36987</v>
      </c>
      <c r="K6297" t="s">
        <v>42770</v>
      </c>
      <c r="M6297" t="s">
        <v>44940</v>
      </c>
      <c r="N6297" t="s">
        <v>47424</v>
      </c>
      <c r="O6297" t="s">
        <v>47425</v>
      </c>
      <c r="P6297">
        <v>0</v>
      </c>
      <c r="Q6297">
        <v>0</v>
      </c>
      <c r="R6297" t="s">
        <v>47431</v>
      </c>
      <c r="S6297" t="s">
        <v>47565</v>
      </c>
      <c r="T6297" t="s">
        <v>49254</v>
      </c>
      <c r="U6297" t="s">
        <v>54989</v>
      </c>
      <c r="V6297" t="s">
        <v>63328</v>
      </c>
      <c r="W6297" t="s">
        <v>44940</v>
      </c>
      <c r="X6297" t="s">
        <v>47432</v>
      </c>
    </row>
    <row r="6298" spans="1:24">
      <c r="A6298">
        <f>HYPERLINK("https://www.philgeps.gov.ph/GEPSNONPILOT/Tender/SplashBidNoticeAbstractUI.aspx?menuIndex=3&amp;refID=7155521&amp;Result=3","7155521")</f>
        <v>0</v>
      </c>
      <c r="B6298" t="s">
        <v>2269</v>
      </c>
      <c r="C6298" t="s">
        <v>9848</v>
      </c>
      <c r="D6298" t="s">
        <v>19018</v>
      </c>
      <c r="E6298" t="s">
        <v>24603</v>
      </c>
      <c r="F6298" t="s">
        <v>32831</v>
      </c>
      <c r="G6298" t="s">
        <v>32839</v>
      </c>
      <c r="H6298" t="s">
        <v>32848</v>
      </c>
      <c r="I6298" t="s">
        <v>32857</v>
      </c>
      <c r="J6298" t="s">
        <v>36988</v>
      </c>
      <c r="K6298" t="s">
        <v>42727</v>
      </c>
      <c r="M6298" t="s">
        <v>45453</v>
      </c>
      <c r="N6298" t="s">
        <v>47424</v>
      </c>
      <c r="O6298" t="s">
        <v>47425</v>
      </c>
      <c r="P6298">
        <v>0</v>
      </c>
      <c r="Q6298">
        <v>8</v>
      </c>
      <c r="R6298" t="s">
        <v>47431</v>
      </c>
      <c r="S6298" t="s">
        <v>47565</v>
      </c>
      <c r="T6298" t="s">
        <v>49135</v>
      </c>
      <c r="U6298" t="s">
        <v>54990</v>
      </c>
      <c r="W6298" t="s">
        <v>45453</v>
      </c>
      <c r="X6298" t="s">
        <v>47432</v>
      </c>
    </row>
    <row r="6299" spans="1:24">
      <c r="A6299">
        <f>HYPERLINK("https://www.philgeps.gov.ph/GEPSNONPILOT/Tender/SplashBidNoticeAbstractUI.aspx?menuIndex=3&amp;refID=7155517&amp;Result=3","7155517")</f>
        <v>0</v>
      </c>
      <c r="B6299" t="s">
        <v>2270</v>
      </c>
      <c r="C6299" t="s">
        <v>9849</v>
      </c>
      <c r="D6299" t="s">
        <v>19044</v>
      </c>
      <c r="E6299" t="s">
        <v>19555</v>
      </c>
      <c r="F6299" t="s">
        <v>32831</v>
      </c>
      <c r="G6299" t="s">
        <v>32839</v>
      </c>
      <c r="H6299" t="s">
        <v>32848</v>
      </c>
      <c r="I6299" t="s">
        <v>4438</v>
      </c>
      <c r="J6299" t="s">
        <v>33041</v>
      </c>
      <c r="K6299" t="s">
        <v>42730</v>
      </c>
      <c r="M6299" t="s">
        <v>45454</v>
      </c>
      <c r="N6299" t="s">
        <v>47424</v>
      </c>
      <c r="O6299" t="s">
        <v>47425</v>
      </c>
      <c r="P6299">
        <v>0</v>
      </c>
      <c r="Q6299">
        <v>1</v>
      </c>
      <c r="R6299" t="s">
        <v>47431</v>
      </c>
      <c r="S6299" t="s">
        <v>47565</v>
      </c>
      <c r="T6299" t="s">
        <v>49063</v>
      </c>
      <c r="U6299" t="s">
        <v>54991</v>
      </c>
      <c r="W6299" t="s">
        <v>45454</v>
      </c>
      <c r="X6299" t="s">
        <v>47432</v>
      </c>
    </row>
    <row r="6300" spans="1:24">
      <c r="A6300">
        <f>HYPERLINK("https://www.philgeps.gov.ph/GEPSNONPILOT/Tender/SplashBidNoticeAbstractUI.aspx?menuIndex=3&amp;refID=7155526&amp;Result=3","7155526")</f>
        <v>0</v>
      </c>
      <c r="B6300" t="s">
        <v>2271</v>
      </c>
      <c r="C6300" t="s">
        <v>9850</v>
      </c>
      <c r="D6300" t="s">
        <v>19077</v>
      </c>
      <c r="E6300" t="s">
        <v>19520</v>
      </c>
      <c r="F6300" t="s">
        <v>32831</v>
      </c>
      <c r="G6300" t="s">
        <v>32840</v>
      </c>
      <c r="H6300" t="s">
        <v>32848</v>
      </c>
      <c r="I6300" t="s">
        <v>32894</v>
      </c>
      <c r="J6300" t="s">
        <v>36989</v>
      </c>
      <c r="K6300" t="s">
        <v>42727</v>
      </c>
      <c r="M6300" t="s">
        <v>45455</v>
      </c>
      <c r="N6300" t="s">
        <v>47424</v>
      </c>
      <c r="O6300" t="s">
        <v>47425</v>
      </c>
      <c r="P6300">
        <v>0</v>
      </c>
      <c r="Q6300">
        <v>1</v>
      </c>
      <c r="R6300" t="s">
        <v>47431</v>
      </c>
      <c r="S6300" t="s">
        <v>47565</v>
      </c>
      <c r="T6300" t="s">
        <v>49056</v>
      </c>
      <c r="U6300" t="s">
        <v>54992</v>
      </c>
      <c r="W6300" t="s">
        <v>45455</v>
      </c>
      <c r="X6300" t="s">
        <v>47432</v>
      </c>
    </row>
    <row r="6301" spans="1:24">
      <c r="A6301">
        <f>HYPERLINK("https://www.philgeps.gov.ph/GEPSNONPILOT/Tender/SplashBidNoticeAbstractUI.aspx?menuIndex=3&amp;refID=7155515&amp;Result=3","7155515")</f>
        <v>0</v>
      </c>
      <c r="B6301" t="s">
        <v>2232</v>
      </c>
      <c r="C6301" t="s">
        <v>9851</v>
      </c>
      <c r="D6301" t="s">
        <v>19062</v>
      </c>
      <c r="E6301" t="s">
        <v>24604</v>
      </c>
      <c r="F6301" t="s">
        <v>32831</v>
      </c>
      <c r="G6301" t="s">
        <v>32839</v>
      </c>
      <c r="H6301" t="s">
        <v>32848</v>
      </c>
      <c r="I6301" t="s">
        <v>7416</v>
      </c>
      <c r="J6301" t="s">
        <v>36990</v>
      </c>
      <c r="K6301" t="s">
        <v>42730</v>
      </c>
      <c r="M6301" t="s">
        <v>45413</v>
      </c>
      <c r="N6301" t="s">
        <v>47424</v>
      </c>
      <c r="O6301" t="s">
        <v>47425</v>
      </c>
      <c r="P6301">
        <v>0</v>
      </c>
      <c r="Q6301">
        <v>1</v>
      </c>
      <c r="R6301" t="s">
        <v>47431</v>
      </c>
      <c r="S6301" t="s">
        <v>47565</v>
      </c>
      <c r="T6301" t="s">
        <v>49192</v>
      </c>
      <c r="U6301" t="s">
        <v>54993</v>
      </c>
      <c r="W6301" t="s">
        <v>45413</v>
      </c>
      <c r="X6301" t="s">
        <v>47432</v>
      </c>
    </row>
    <row r="6302" spans="1:24">
      <c r="A6302">
        <f>HYPERLINK("https://www.philgeps.gov.ph/GEPSNONPILOT/Tender/SplashBidNoticeAbstractUI.aspx?menuIndex=3&amp;refID=7155403&amp;Result=3","7155403")</f>
        <v>0</v>
      </c>
      <c r="B6302" t="s">
        <v>2272</v>
      </c>
      <c r="C6302" t="s">
        <v>9852</v>
      </c>
      <c r="D6302" t="s">
        <v>19050</v>
      </c>
      <c r="E6302" t="s">
        <v>24605</v>
      </c>
      <c r="F6302" t="s">
        <v>32833</v>
      </c>
      <c r="G6302" t="s">
        <v>32838</v>
      </c>
      <c r="H6302" t="s">
        <v>32848</v>
      </c>
      <c r="I6302" t="s">
        <v>4776</v>
      </c>
      <c r="J6302" t="s">
        <v>32976</v>
      </c>
      <c r="K6302" t="s">
        <v>42730</v>
      </c>
      <c r="M6302" t="s">
        <v>45456</v>
      </c>
      <c r="N6302" t="s">
        <v>47424</v>
      </c>
      <c r="O6302" t="s">
        <v>47425</v>
      </c>
      <c r="P6302">
        <v>0</v>
      </c>
      <c r="Q6302">
        <v>0</v>
      </c>
      <c r="R6302" t="s">
        <v>47431</v>
      </c>
      <c r="S6302" t="s">
        <v>47565</v>
      </c>
      <c r="T6302" t="s">
        <v>49124</v>
      </c>
      <c r="U6302" t="s">
        <v>54994</v>
      </c>
      <c r="V6302" t="s">
        <v>63329</v>
      </c>
      <c r="W6302" t="s">
        <v>45456</v>
      </c>
      <c r="X6302" t="s">
        <v>47432</v>
      </c>
    </row>
    <row r="6303" spans="1:24">
      <c r="A6303">
        <f>HYPERLINK("https://www.philgeps.gov.ph/GEPSNONPILOT/Tender/SplashBidNoticeAbstractUI.aspx?menuIndex=3&amp;refID=7155513&amp;Result=3","7155513")</f>
        <v>0</v>
      </c>
      <c r="B6303" t="s">
        <v>2273</v>
      </c>
      <c r="C6303" t="s">
        <v>9853</v>
      </c>
      <c r="D6303" t="s">
        <v>19071</v>
      </c>
      <c r="E6303" t="s">
        <v>24606</v>
      </c>
      <c r="F6303" t="s">
        <v>32831</v>
      </c>
      <c r="G6303" t="s">
        <v>32839</v>
      </c>
      <c r="H6303" t="s">
        <v>32848</v>
      </c>
      <c r="I6303" t="s">
        <v>7416</v>
      </c>
      <c r="J6303" t="s">
        <v>36991</v>
      </c>
      <c r="K6303" t="s">
        <v>42732</v>
      </c>
      <c r="M6303" t="s">
        <v>45457</v>
      </c>
      <c r="N6303" t="s">
        <v>47424</v>
      </c>
      <c r="O6303" t="s">
        <v>47425</v>
      </c>
      <c r="P6303">
        <v>0</v>
      </c>
      <c r="Q6303">
        <v>0</v>
      </c>
      <c r="R6303" t="s">
        <v>47431</v>
      </c>
      <c r="S6303" t="s">
        <v>47565</v>
      </c>
      <c r="T6303" t="s">
        <v>49056</v>
      </c>
      <c r="U6303" t="s">
        <v>54995</v>
      </c>
      <c r="V6303" t="s">
        <v>63330</v>
      </c>
      <c r="W6303" t="s">
        <v>45457</v>
      </c>
      <c r="X6303" t="s">
        <v>47432</v>
      </c>
    </row>
    <row r="6304" spans="1:24">
      <c r="A6304">
        <f>HYPERLINK("https://www.philgeps.gov.ph/GEPSNONPILOT/Tender/SplashBidNoticeAbstractUI.aspx?menuIndex=3&amp;refID=7155522&amp;Result=3","7155522")</f>
        <v>0</v>
      </c>
      <c r="B6304" t="s">
        <v>1533</v>
      </c>
      <c r="C6304" t="s">
        <v>9854</v>
      </c>
      <c r="D6304" t="s">
        <v>19093</v>
      </c>
      <c r="E6304" t="s">
        <v>24607</v>
      </c>
      <c r="F6304" t="s">
        <v>32831</v>
      </c>
      <c r="G6304" t="s">
        <v>32838</v>
      </c>
      <c r="H6304" t="s">
        <v>32848</v>
      </c>
      <c r="I6304" t="s">
        <v>4303</v>
      </c>
      <c r="J6304" t="s">
        <v>34770</v>
      </c>
      <c r="K6304" t="s">
        <v>42730</v>
      </c>
      <c r="M6304" t="s">
        <v>44637</v>
      </c>
      <c r="N6304" t="s">
        <v>47424</v>
      </c>
      <c r="O6304" t="s">
        <v>47425</v>
      </c>
      <c r="P6304">
        <v>0</v>
      </c>
      <c r="Q6304">
        <v>0</v>
      </c>
      <c r="R6304" t="s">
        <v>47431</v>
      </c>
      <c r="S6304" t="s">
        <v>47565</v>
      </c>
      <c r="T6304" t="s">
        <v>49239</v>
      </c>
      <c r="U6304" t="s">
        <v>54996</v>
      </c>
      <c r="W6304" t="s">
        <v>44637</v>
      </c>
      <c r="X6304" t="s">
        <v>47432</v>
      </c>
    </row>
    <row r="6305" spans="1:24">
      <c r="A6305">
        <f>HYPERLINK("https://www.philgeps.gov.ph/GEPSNONPILOT/Tender/SplashBidNoticeAbstractUI.aspx?menuIndex=3&amp;refID=7155528&amp;Result=3","7155528")</f>
        <v>0</v>
      </c>
      <c r="B6305" t="s">
        <v>1378</v>
      </c>
      <c r="C6305" t="s">
        <v>9855</v>
      </c>
      <c r="D6305" t="s">
        <v>19017</v>
      </c>
      <c r="E6305" t="s">
        <v>24608</v>
      </c>
      <c r="F6305" t="s">
        <v>32831</v>
      </c>
      <c r="G6305" t="s">
        <v>32838</v>
      </c>
      <c r="H6305" t="s">
        <v>32848</v>
      </c>
      <c r="I6305" t="s">
        <v>32866</v>
      </c>
      <c r="J6305" t="s">
        <v>33241</v>
      </c>
      <c r="K6305" t="s">
        <v>42726</v>
      </c>
      <c r="M6305" t="s">
        <v>44462</v>
      </c>
      <c r="N6305" t="s">
        <v>47424</v>
      </c>
      <c r="O6305" t="s">
        <v>47425</v>
      </c>
      <c r="P6305">
        <v>0</v>
      </c>
      <c r="Q6305">
        <v>5</v>
      </c>
      <c r="R6305" t="s">
        <v>47431</v>
      </c>
      <c r="S6305" t="s">
        <v>47565</v>
      </c>
      <c r="T6305" t="s">
        <v>49270</v>
      </c>
      <c r="U6305" t="s">
        <v>54997</v>
      </c>
      <c r="W6305" t="s">
        <v>44462</v>
      </c>
      <c r="X6305" t="s">
        <v>47432</v>
      </c>
    </row>
    <row r="6306" spans="1:24">
      <c r="A6306">
        <f>HYPERLINK("https://www.philgeps.gov.ph/GEPSNONPILOT/Tender/SplashBidNoticeAbstractUI.aspx?menuIndex=3&amp;refID=7155484&amp;Result=3","7155484")</f>
        <v>0</v>
      </c>
      <c r="B6306" t="s">
        <v>2267</v>
      </c>
      <c r="C6306" t="s">
        <v>9856</v>
      </c>
      <c r="D6306" t="s">
        <v>19074</v>
      </c>
      <c r="E6306" t="s">
        <v>24609</v>
      </c>
      <c r="F6306" t="s">
        <v>32831</v>
      </c>
      <c r="G6306" t="s">
        <v>32838</v>
      </c>
      <c r="H6306" t="s">
        <v>32848</v>
      </c>
      <c r="I6306" t="s">
        <v>32857</v>
      </c>
      <c r="J6306" t="s">
        <v>36992</v>
      </c>
      <c r="K6306" t="s">
        <v>42732</v>
      </c>
      <c r="M6306" t="s">
        <v>45451</v>
      </c>
      <c r="N6306" t="s">
        <v>47424</v>
      </c>
      <c r="O6306" t="s">
        <v>47425</v>
      </c>
      <c r="P6306">
        <v>0</v>
      </c>
      <c r="Q6306">
        <v>12</v>
      </c>
      <c r="R6306" t="s">
        <v>47431</v>
      </c>
      <c r="S6306" t="s">
        <v>47565</v>
      </c>
      <c r="T6306" t="s">
        <v>49166</v>
      </c>
      <c r="U6306" t="s">
        <v>54984</v>
      </c>
      <c r="W6306" t="s">
        <v>45451</v>
      </c>
      <c r="X6306" t="s">
        <v>47432</v>
      </c>
    </row>
    <row r="6307" spans="1:24">
      <c r="A6307">
        <f>HYPERLINK("https://www.philgeps.gov.ph/GEPSNONPILOT/Tender/SplashBidNoticeAbstractUI.aspx?menuIndex=3&amp;refID=7155482&amp;Result=3","7155482")</f>
        <v>0</v>
      </c>
      <c r="B6307" t="s">
        <v>2204</v>
      </c>
      <c r="C6307" t="s">
        <v>9857</v>
      </c>
      <c r="D6307" t="s">
        <v>19021</v>
      </c>
      <c r="E6307" t="s">
        <v>24610</v>
      </c>
      <c r="F6307" t="s">
        <v>32831</v>
      </c>
      <c r="G6307" t="s">
        <v>32841</v>
      </c>
      <c r="H6307" t="s">
        <v>32848</v>
      </c>
      <c r="I6307" t="s">
        <v>32884</v>
      </c>
      <c r="J6307" t="s">
        <v>33673</v>
      </c>
      <c r="K6307" t="s">
        <v>42730</v>
      </c>
      <c r="M6307" t="s">
        <v>45384</v>
      </c>
      <c r="N6307" t="s">
        <v>47424</v>
      </c>
      <c r="O6307" t="s">
        <v>47425</v>
      </c>
      <c r="P6307">
        <v>0</v>
      </c>
      <c r="Q6307">
        <v>3</v>
      </c>
      <c r="R6307" t="s">
        <v>47431</v>
      </c>
      <c r="S6307" t="s">
        <v>47565</v>
      </c>
      <c r="T6307" t="s">
        <v>49295</v>
      </c>
      <c r="U6307" t="s">
        <v>54998</v>
      </c>
      <c r="W6307" t="s">
        <v>45384</v>
      </c>
      <c r="X6307" t="s">
        <v>47432</v>
      </c>
    </row>
    <row r="6308" spans="1:24">
      <c r="A6308">
        <f>HYPERLINK("https://www.philgeps.gov.ph/GEPSNONPILOT/Tender/SplashBidNoticeAbstractUI.aspx?menuIndex=3&amp;refID=7155481&amp;Result=3","7155481")</f>
        <v>0</v>
      </c>
      <c r="B6308" t="s">
        <v>2274</v>
      </c>
      <c r="C6308" t="s">
        <v>9858</v>
      </c>
      <c r="D6308" t="s">
        <v>19090</v>
      </c>
      <c r="E6308" t="s">
        <v>24611</v>
      </c>
      <c r="F6308" t="s">
        <v>32831</v>
      </c>
      <c r="G6308" t="s">
        <v>32839</v>
      </c>
      <c r="H6308" t="s">
        <v>32848</v>
      </c>
      <c r="I6308" t="s">
        <v>4303</v>
      </c>
      <c r="J6308" t="s">
        <v>32980</v>
      </c>
      <c r="K6308" t="s">
        <v>42726</v>
      </c>
      <c r="M6308" t="s">
        <v>45458</v>
      </c>
      <c r="N6308" t="s">
        <v>47424</v>
      </c>
      <c r="O6308" t="s">
        <v>47425</v>
      </c>
      <c r="P6308">
        <v>0</v>
      </c>
      <c r="Q6308">
        <v>0</v>
      </c>
      <c r="R6308" t="s">
        <v>47431</v>
      </c>
      <c r="S6308" t="s">
        <v>47565</v>
      </c>
      <c r="T6308" t="s">
        <v>49105</v>
      </c>
      <c r="U6308" t="s">
        <v>54999</v>
      </c>
      <c r="W6308" t="s">
        <v>45458</v>
      </c>
      <c r="X6308" t="s">
        <v>47432</v>
      </c>
    </row>
    <row r="6309" spans="1:24">
      <c r="A6309">
        <f>HYPERLINK("https://www.philgeps.gov.ph/GEPSNONPILOT/Tender/SplashBidNoticeAbstractUI.aspx?menuIndex=3&amp;refID=7155478&amp;Result=3","7155478")</f>
        <v>0</v>
      </c>
      <c r="B6309" t="s">
        <v>2257</v>
      </c>
      <c r="C6309" t="s">
        <v>9859</v>
      </c>
      <c r="D6309" t="s">
        <v>19083</v>
      </c>
      <c r="E6309" t="s">
        <v>19670</v>
      </c>
      <c r="F6309" t="s">
        <v>32831</v>
      </c>
      <c r="G6309" t="s">
        <v>32839</v>
      </c>
      <c r="H6309" t="s">
        <v>32849</v>
      </c>
      <c r="I6309" t="s">
        <v>4177</v>
      </c>
      <c r="J6309" t="s">
        <v>33553</v>
      </c>
      <c r="K6309" t="s">
        <v>42770</v>
      </c>
      <c r="M6309" t="s">
        <v>45439</v>
      </c>
      <c r="N6309" t="s">
        <v>47424</v>
      </c>
      <c r="O6309" t="s">
        <v>47425</v>
      </c>
      <c r="P6309">
        <v>0</v>
      </c>
      <c r="Q6309">
        <v>0</v>
      </c>
      <c r="R6309" t="s">
        <v>47431</v>
      </c>
      <c r="S6309" t="s">
        <v>47565</v>
      </c>
      <c r="T6309" t="s">
        <v>49077</v>
      </c>
      <c r="U6309" t="s">
        <v>55000</v>
      </c>
      <c r="W6309" t="s">
        <v>45439</v>
      </c>
      <c r="X6309" t="s">
        <v>47432</v>
      </c>
    </row>
    <row r="6310" spans="1:24">
      <c r="A6310">
        <f>HYPERLINK("https://www.philgeps.gov.ph/GEPSNONPILOT/Tender/SplashBidNoticeAbstractUI.aspx?menuIndex=3&amp;refID=7153664&amp;Result=3","7153664")</f>
        <v>0</v>
      </c>
      <c r="B6310" t="s">
        <v>1849</v>
      </c>
      <c r="C6310" t="s">
        <v>9860</v>
      </c>
      <c r="D6310" t="s">
        <v>19054</v>
      </c>
      <c r="E6310" t="s">
        <v>24612</v>
      </c>
      <c r="F6310" t="s">
        <v>32831</v>
      </c>
      <c r="G6310" t="s">
        <v>32838</v>
      </c>
      <c r="H6310" t="s">
        <v>32848</v>
      </c>
      <c r="I6310" t="s">
        <v>32870</v>
      </c>
      <c r="J6310" t="s">
        <v>33162</v>
      </c>
      <c r="K6310" t="s">
        <v>42727</v>
      </c>
      <c r="M6310" t="s">
        <v>44987</v>
      </c>
      <c r="N6310" t="s">
        <v>47424</v>
      </c>
      <c r="O6310" t="s">
        <v>47425</v>
      </c>
      <c r="P6310">
        <v>0</v>
      </c>
      <c r="Q6310">
        <v>0</v>
      </c>
      <c r="R6310" t="s">
        <v>47431</v>
      </c>
      <c r="S6310" t="s">
        <v>47565</v>
      </c>
      <c r="T6310" t="s">
        <v>49166</v>
      </c>
      <c r="U6310" t="s">
        <v>55001</v>
      </c>
      <c r="W6310" t="s">
        <v>44987</v>
      </c>
      <c r="X6310" t="s">
        <v>47433</v>
      </c>
    </row>
    <row r="6311" spans="1:24">
      <c r="A6311">
        <f>HYPERLINK("https://www.philgeps.gov.ph/GEPSNONPILOT/Tender/SplashBidNoticeAbstractUI.aspx?menuIndex=3&amp;refID=7155462&amp;Result=3","7155462")</f>
        <v>0</v>
      </c>
      <c r="B6311" t="s">
        <v>2245</v>
      </c>
      <c r="C6311" t="s">
        <v>9599</v>
      </c>
      <c r="D6311" t="s">
        <v>19031</v>
      </c>
      <c r="E6311" t="s">
        <v>24613</v>
      </c>
      <c r="F6311" t="s">
        <v>32831</v>
      </c>
      <c r="G6311" t="s">
        <v>32838</v>
      </c>
      <c r="H6311" t="s">
        <v>32848</v>
      </c>
      <c r="I6311" t="s">
        <v>32862</v>
      </c>
      <c r="J6311" t="s">
        <v>33026</v>
      </c>
      <c r="K6311" t="s">
        <v>42727</v>
      </c>
      <c r="M6311" t="s">
        <v>45426</v>
      </c>
      <c r="N6311" t="s">
        <v>47424</v>
      </c>
      <c r="O6311" t="s">
        <v>47425</v>
      </c>
      <c r="P6311">
        <v>0</v>
      </c>
      <c r="Q6311">
        <v>0</v>
      </c>
      <c r="R6311" t="s">
        <v>47431</v>
      </c>
      <c r="S6311" t="s">
        <v>47565</v>
      </c>
      <c r="T6311" t="s">
        <v>49091</v>
      </c>
      <c r="U6311" t="s">
        <v>55002</v>
      </c>
      <c r="V6311" t="s">
        <v>63317</v>
      </c>
      <c r="W6311" t="s">
        <v>45426</v>
      </c>
      <c r="X6311" t="s">
        <v>47432</v>
      </c>
    </row>
    <row r="6312" spans="1:24">
      <c r="A6312">
        <f>HYPERLINK("https://www.philgeps.gov.ph/GEPSNONPILOT/Tender/SplashBidNoticeAbstractUI.aspx?menuIndex=3&amp;refID=7155487&amp;Result=3","7155487")</f>
        <v>0</v>
      </c>
      <c r="B6312" t="s">
        <v>654</v>
      </c>
      <c r="C6312" t="s">
        <v>9861</v>
      </c>
      <c r="D6312" t="s">
        <v>19071</v>
      </c>
      <c r="E6312" t="s">
        <v>24614</v>
      </c>
      <c r="F6312" t="s">
        <v>32831</v>
      </c>
      <c r="G6312" t="s">
        <v>32839</v>
      </c>
      <c r="H6312" t="s">
        <v>32848</v>
      </c>
      <c r="I6312" t="s">
        <v>4776</v>
      </c>
      <c r="J6312" t="s">
        <v>33292</v>
      </c>
      <c r="K6312" t="s">
        <v>42731</v>
      </c>
      <c r="M6312" t="s">
        <v>43672</v>
      </c>
      <c r="N6312" t="s">
        <v>47424</v>
      </c>
      <c r="O6312" t="s">
        <v>47425</v>
      </c>
      <c r="P6312">
        <v>0</v>
      </c>
      <c r="Q6312">
        <v>0</v>
      </c>
      <c r="R6312" t="s">
        <v>47431</v>
      </c>
      <c r="S6312" t="s">
        <v>47565</v>
      </c>
      <c r="T6312" t="s">
        <v>49148</v>
      </c>
      <c r="U6312" t="s">
        <v>55003</v>
      </c>
      <c r="W6312" t="s">
        <v>43672</v>
      </c>
      <c r="X6312" t="s">
        <v>47432</v>
      </c>
    </row>
    <row r="6313" spans="1:24">
      <c r="A6313">
        <f>HYPERLINK("https://www.philgeps.gov.ph/GEPSNONPILOT/Tender/SplashBidNoticeAbstractUI.aspx?menuIndex=3&amp;refID=7155479&amp;Result=3","7155479")</f>
        <v>0</v>
      </c>
      <c r="B6313" t="s">
        <v>1130</v>
      </c>
      <c r="C6313" t="s">
        <v>9862</v>
      </c>
      <c r="D6313" t="s">
        <v>19045</v>
      </c>
      <c r="E6313" t="s">
        <v>24615</v>
      </c>
      <c r="F6313" t="s">
        <v>32831</v>
      </c>
      <c r="G6313" t="s">
        <v>32839</v>
      </c>
      <c r="H6313" t="s">
        <v>32849</v>
      </c>
      <c r="I6313" t="s">
        <v>32855</v>
      </c>
      <c r="J6313" t="s">
        <v>36993</v>
      </c>
      <c r="K6313" t="s">
        <v>42729</v>
      </c>
      <c r="M6313" t="s">
        <v>45442</v>
      </c>
      <c r="N6313" t="s">
        <v>47424</v>
      </c>
      <c r="O6313" t="s">
        <v>47425</v>
      </c>
      <c r="P6313">
        <v>0</v>
      </c>
      <c r="Q6313">
        <v>1</v>
      </c>
      <c r="R6313" t="s">
        <v>47431</v>
      </c>
      <c r="S6313" t="s">
        <v>47565</v>
      </c>
      <c r="T6313" t="s">
        <v>49181</v>
      </c>
      <c r="U6313" t="s">
        <v>54967</v>
      </c>
      <c r="V6313" t="s">
        <v>63325</v>
      </c>
      <c r="W6313" t="s">
        <v>45442</v>
      </c>
      <c r="X6313" t="s">
        <v>47432</v>
      </c>
    </row>
    <row r="6314" spans="1:24">
      <c r="A6314">
        <f>HYPERLINK("https://www.philgeps.gov.ph/GEPSNONPILOT/Tender/SplashBidNoticeAbstractUI.aspx?menuIndex=3&amp;refID=7155514&amp;Result=3","7155514")</f>
        <v>0</v>
      </c>
      <c r="B6314" t="s">
        <v>2275</v>
      </c>
      <c r="C6314" t="s">
        <v>7454</v>
      </c>
      <c r="D6314" t="s">
        <v>19091</v>
      </c>
      <c r="E6314" t="s">
        <v>24616</v>
      </c>
      <c r="F6314" t="s">
        <v>32831</v>
      </c>
      <c r="G6314" t="s">
        <v>32839</v>
      </c>
      <c r="H6314" t="s">
        <v>32849</v>
      </c>
      <c r="I6314" t="s">
        <v>4177</v>
      </c>
      <c r="J6314" t="s">
        <v>36994</v>
      </c>
      <c r="K6314" t="s">
        <v>42748</v>
      </c>
      <c r="M6314" t="s">
        <v>45459</v>
      </c>
      <c r="N6314" t="s">
        <v>47424</v>
      </c>
      <c r="O6314" t="s">
        <v>47425</v>
      </c>
      <c r="P6314">
        <v>0</v>
      </c>
      <c r="Q6314">
        <v>0</v>
      </c>
      <c r="R6314" t="s">
        <v>47431</v>
      </c>
      <c r="S6314" t="s">
        <v>47565</v>
      </c>
      <c r="T6314" t="s">
        <v>49056</v>
      </c>
      <c r="U6314" t="s">
        <v>55004</v>
      </c>
      <c r="W6314" t="s">
        <v>45459</v>
      </c>
      <c r="X6314" t="s">
        <v>47432</v>
      </c>
    </row>
    <row r="6315" spans="1:24">
      <c r="A6315">
        <f>HYPERLINK("https://www.philgeps.gov.ph/GEPSNONPILOT/Tender/SplashBidNoticeAbstractUI.aspx?menuIndex=3&amp;refID=7155574&amp;Result=3","7155574")</f>
        <v>0</v>
      </c>
      <c r="B6315" t="s">
        <v>2267</v>
      </c>
      <c r="C6315" t="s">
        <v>9863</v>
      </c>
      <c r="D6315" t="s">
        <v>19074</v>
      </c>
      <c r="E6315" t="s">
        <v>24617</v>
      </c>
      <c r="F6315" t="s">
        <v>32831</v>
      </c>
      <c r="G6315" t="s">
        <v>32838</v>
      </c>
      <c r="H6315" t="s">
        <v>32848</v>
      </c>
      <c r="I6315" t="s">
        <v>7416</v>
      </c>
      <c r="J6315" t="s">
        <v>36995</v>
      </c>
      <c r="K6315" t="s">
        <v>42732</v>
      </c>
      <c r="M6315" t="s">
        <v>45451</v>
      </c>
      <c r="N6315" t="s">
        <v>47424</v>
      </c>
      <c r="O6315" t="s">
        <v>47425</v>
      </c>
      <c r="P6315">
        <v>0</v>
      </c>
      <c r="Q6315">
        <v>1</v>
      </c>
      <c r="R6315" t="s">
        <v>47431</v>
      </c>
      <c r="S6315" t="s">
        <v>47565</v>
      </c>
      <c r="T6315" t="s">
        <v>49166</v>
      </c>
      <c r="U6315" t="s">
        <v>54984</v>
      </c>
      <c r="W6315" t="s">
        <v>45451</v>
      </c>
      <c r="X6315" t="s">
        <v>47432</v>
      </c>
    </row>
    <row r="6316" spans="1:24">
      <c r="A6316">
        <f>HYPERLINK("https://www.philgeps.gov.ph/GEPSNONPILOT/Tender/SplashBidNoticeAbstractUI.aspx?menuIndex=3&amp;refID=7155573&amp;Result=3","7155573")</f>
        <v>0</v>
      </c>
      <c r="B6316" t="s">
        <v>2276</v>
      </c>
      <c r="C6316" t="s">
        <v>9864</v>
      </c>
      <c r="D6316" t="s">
        <v>19044</v>
      </c>
      <c r="E6316" t="s">
        <v>19555</v>
      </c>
      <c r="F6316" t="s">
        <v>32831</v>
      </c>
      <c r="G6316" t="s">
        <v>32839</v>
      </c>
      <c r="H6316" t="s">
        <v>32848</v>
      </c>
      <c r="I6316" t="s">
        <v>7751</v>
      </c>
      <c r="J6316" t="s">
        <v>32976</v>
      </c>
      <c r="K6316" t="s">
        <v>42730</v>
      </c>
      <c r="M6316" t="s">
        <v>45460</v>
      </c>
      <c r="N6316" t="s">
        <v>47424</v>
      </c>
      <c r="O6316" t="s">
        <v>47425</v>
      </c>
      <c r="P6316">
        <v>0</v>
      </c>
      <c r="Q6316">
        <v>0</v>
      </c>
      <c r="R6316" t="s">
        <v>47431</v>
      </c>
      <c r="S6316" t="s">
        <v>47565</v>
      </c>
      <c r="T6316" t="s">
        <v>49063</v>
      </c>
      <c r="U6316" t="s">
        <v>55005</v>
      </c>
      <c r="W6316" t="s">
        <v>45460</v>
      </c>
      <c r="X6316" t="s">
        <v>47432</v>
      </c>
    </row>
    <row r="6317" spans="1:24">
      <c r="A6317">
        <f>HYPERLINK("https://www.philgeps.gov.ph/GEPSNONPILOT/Tender/SplashBidNoticeAbstractUI.aspx?menuIndex=3&amp;refID=7155572&amp;Result=3","7155572")</f>
        <v>0</v>
      </c>
      <c r="B6317" t="s">
        <v>1130</v>
      </c>
      <c r="C6317" t="s">
        <v>9865</v>
      </c>
      <c r="D6317" t="s">
        <v>19045</v>
      </c>
      <c r="E6317" t="s">
        <v>24618</v>
      </c>
      <c r="F6317" t="s">
        <v>32831</v>
      </c>
      <c r="G6317" t="s">
        <v>32839</v>
      </c>
      <c r="H6317" t="s">
        <v>32849</v>
      </c>
      <c r="I6317" t="s">
        <v>4177</v>
      </c>
      <c r="J6317" t="s">
        <v>33083</v>
      </c>
      <c r="K6317" t="s">
        <v>42729</v>
      </c>
      <c r="M6317" t="s">
        <v>45442</v>
      </c>
      <c r="N6317" t="s">
        <v>47424</v>
      </c>
      <c r="O6317" t="s">
        <v>47425</v>
      </c>
      <c r="P6317">
        <v>0</v>
      </c>
      <c r="Q6317">
        <v>0</v>
      </c>
      <c r="R6317" t="s">
        <v>47431</v>
      </c>
      <c r="S6317" t="s">
        <v>47565</v>
      </c>
      <c r="T6317" t="s">
        <v>49181</v>
      </c>
      <c r="U6317" t="s">
        <v>54967</v>
      </c>
      <c r="V6317" t="s">
        <v>63325</v>
      </c>
      <c r="W6317" t="s">
        <v>45442</v>
      </c>
      <c r="X6317" t="s">
        <v>47432</v>
      </c>
    </row>
    <row r="6318" spans="1:24">
      <c r="A6318">
        <f>HYPERLINK("https://www.philgeps.gov.ph/GEPSNONPILOT/Tender/SplashBidNoticeAbstractUI.aspx?menuIndex=3&amp;refID=7155583&amp;Result=3","7155583")</f>
        <v>0</v>
      </c>
      <c r="B6318" t="s">
        <v>1665</v>
      </c>
      <c r="C6318" t="s">
        <v>9866</v>
      </c>
      <c r="D6318" t="s">
        <v>19095</v>
      </c>
      <c r="E6318" t="s">
        <v>24619</v>
      </c>
      <c r="F6318" t="s">
        <v>32831</v>
      </c>
      <c r="G6318" t="s">
        <v>32840</v>
      </c>
      <c r="H6318" t="s">
        <v>32848</v>
      </c>
      <c r="I6318" t="s">
        <v>9577</v>
      </c>
      <c r="J6318" t="s">
        <v>36996</v>
      </c>
      <c r="K6318" t="s">
        <v>42732</v>
      </c>
      <c r="M6318" t="s">
        <v>44782</v>
      </c>
      <c r="N6318" t="s">
        <v>47424</v>
      </c>
      <c r="O6318" t="s">
        <v>47425</v>
      </c>
      <c r="P6318">
        <v>0</v>
      </c>
      <c r="Q6318">
        <v>0</v>
      </c>
      <c r="R6318" t="s">
        <v>47431</v>
      </c>
      <c r="S6318" t="s">
        <v>47565</v>
      </c>
      <c r="T6318" t="s">
        <v>49129</v>
      </c>
      <c r="U6318" t="s">
        <v>55006</v>
      </c>
      <c r="W6318" t="s">
        <v>64483</v>
      </c>
      <c r="X6318" t="s">
        <v>47432</v>
      </c>
    </row>
    <row r="6319" spans="1:24">
      <c r="A6319">
        <f>HYPERLINK("https://www.philgeps.gov.ph/GEPSNONPILOT/Tender/SplashBidNoticeAbstractUI.aspx?menuIndex=3&amp;refID=7155568&amp;Result=3","7155568")</f>
        <v>0</v>
      </c>
      <c r="B6319" t="s">
        <v>2277</v>
      </c>
      <c r="C6319" t="s">
        <v>9867</v>
      </c>
      <c r="D6319" t="s">
        <v>19031</v>
      </c>
      <c r="E6319" t="s">
        <v>24620</v>
      </c>
      <c r="F6319" t="s">
        <v>32831</v>
      </c>
      <c r="G6319" t="s">
        <v>32838</v>
      </c>
      <c r="H6319" t="s">
        <v>32848</v>
      </c>
      <c r="I6319" t="s">
        <v>32862</v>
      </c>
      <c r="J6319" t="s">
        <v>33714</v>
      </c>
      <c r="K6319" t="s">
        <v>42731</v>
      </c>
      <c r="M6319" t="s">
        <v>45461</v>
      </c>
      <c r="N6319" t="s">
        <v>47424</v>
      </c>
      <c r="O6319" t="s">
        <v>47425</v>
      </c>
      <c r="P6319">
        <v>0</v>
      </c>
      <c r="Q6319">
        <v>0</v>
      </c>
      <c r="R6319" t="s">
        <v>47431</v>
      </c>
      <c r="S6319" t="s">
        <v>47565</v>
      </c>
      <c r="T6319" t="s">
        <v>49214</v>
      </c>
      <c r="U6319" t="s">
        <v>55007</v>
      </c>
      <c r="W6319" t="s">
        <v>45461</v>
      </c>
      <c r="X6319" t="s">
        <v>47432</v>
      </c>
    </row>
    <row r="6320" spans="1:24">
      <c r="A6320">
        <f>HYPERLINK("https://www.philgeps.gov.ph/GEPSNONPILOT/Tender/SplashBidNoticeAbstractUI.aspx?menuIndex=3&amp;refID=7155581&amp;Result=3","7155581")</f>
        <v>0</v>
      </c>
      <c r="B6320" t="s">
        <v>2278</v>
      </c>
      <c r="C6320" t="s">
        <v>9868</v>
      </c>
      <c r="D6320" t="s">
        <v>19019</v>
      </c>
      <c r="E6320" t="s">
        <v>24621</v>
      </c>
      <c r="F6320" t="s">
        <v>32831</v>
      </c>
      <c r="G6320" t="s">
        <v>32839</v>
      </c>
      <c r="H6320" t="s">
        <v>32848</v>
      </c>
      <c r="I6320" t="s">
        <v>5667</v>
      </c>
      <c r="J6320" t="s">
        <v>36997</v>
      </c>
      <c r="K6320" t="s">
        <v>42775</v>
      </c>
      <c r="M6320" t="s">
        <v>45462</v>
      </c>
      <c r="N6320" t="s">
        <v>47424</v>
      </c>
      <c r="O6320" t="s">
        <v>47425</v>
      </c>
      <c r="P6320">
        <v>0</v>
      </c>
      <c r="Q6320">
        <v>4</v>
      </c>
      <c r="R6320" t="s">
        <v>47431</v>
      </c>
      <c r="S6320" t="s">
        <v>47565</v>
      </c>
      <c r="T6320" t="s">
        <v>49144</v>
      </c>
      <c r="U6320" t="s">
        <v>55008</v>
      </c>
      <c r="W6320" t="s">
        <v>45462</v>
      </c>
      <c r="X6320" t="s">
        <v>47432</v>
      </c>
    </row>
    <row r="6321" spans="1:24">
      <c r="A6321">
        <f>HYPERLINK("https://www.philgeps.gov.ph/GEPSNONPILOT/Tender/SplashBidNoticeAbstractUI.aspx?menuIndex=3&amp;refID=7155570&amp;Result=3","7155570")</f>
        <v>0</v>
      </c>
      <c r="B6321" t="s">
        <v>96</v>
      </c>
      <c r="C6321" t="s">
        <v>9869</v>
      </c>
      <c r="D6321" t="s">
        <v>19053</v>
      </c>
      <c r="E6321" t="s">
        <v>24622</v>
      </c>
      <c r="F6321" t="s">
        <v>32831</v>
      </c>
      <c r="G6321" t="s">
        <v>32838</v>
      </c>
      <c r="H6321" t="s">
        <v>32848</v>
      </c>
      <c r="I6321" t="s">
        <v>5379</v>
      </c>
      <c r="J6321" t="s">
        <v>33841</v>
      </c>
      <c r="K6321" t="s">
        <v>42759</v>
      </c>
      <c r="M6321" t="s">
        <v>43093</v>
      </c>
      <c r="N6321" t="s">
        <v>47424</v>
      </c>
      <c r="O6321" t="s">
        <v>47425</v>
      </c>
      <c r="P6321">
        <v>0</v>
      </c>
      <c r="Q6321">
        <v>0</v>
      </c>
      <c r="R6321" t="s">
        <v>47431</v>
      </c>
      <c r="S6321" t="s">
        <v>47565</v>
      </c>
      <c r="T6321" t="s">
        <v>49397</v>
      </c>
      <c r="U6321" t="s">
        <v>55009</v>
      </c>
      <c r="W6321" t="s">
        <v>64431</v>
      </c>
      <c r="X6321" t="s">
        <v>47432</v>
      </c>
    </row>
    <row r="6322" spans="1:24">
      <c r="A6322">
        <f>HYPERLINK("https://www.philgeps.gov.ph/GEPSNONPILOT/Tender/SplashBidNoticeAbstractUI.aspx?menuIndex=3&amp;refID=7155559&amp;Result=3","7155559")</f>
        <v>0</v>
      </c>
      <c r="B6322" t="s">
        <v>2263</v>
      </c>
      <c r="C6322" t="s">
        <v>9834</v>
      </c>
      <c r="D6322" t="s">
        <v>19019</v>
      </c>
      <c r="E6322" t="s">
        <v>24623</v>
      </c>
      <c r="F6322" t="s">
        <v>32833</v>
      </c>
      <c r="G6322" t="s">
        <v>32838</v>
      </c>
      <c r="H6322" t="s">
        <v>32848</v>
      </c>
      <c r="I6322" t="s">
        <v>4438</v>
      </c>
      <c r="J6322" t="s">
        <v>36998</v>
      </c>
      <c r="K6322" t="s">
        <v>42727</v>
      </c>
      <c r="M6322" t="s">
        <v>45447</v>
      </c>
      <c r="N6322" t="s">
        <v>47424</v>
      </c>
      <c r="O6322" t="s">
        <v>47425</v>
      </c>
      <c r="P6322">
        <v>0</v>
      </c>
      <c r="Q6322">
        <v>0</v>
      </c>
      <c r="R6322" t="s">
        <v>47431</v>
      </c>
      <c r="S6322" t="s">
        <v>47565</v>
      </c>
      <c r="T6322" t="s">
        <v>49198</v>
      </c>
      <c r="U6322" t="s">
        <v>55010</v>
      </c>
      <c r="W6322" t="s">
        <v>45447</v>
      </c>
      <c r="X6322" t="s">
        <v>47432</v>
      </c>
    </row>
    <row r="6323" spans="1:24">
      <c r="A6323">
        <f>HYPERLINK("https://www.philgeps.gov.ph/GEPSNONPILOT/Tender/SplashBidNoticeAbstractUI.aspx?menuIndex=3&amp;refID=7154633&amp;Result=3","7154633")</f>
        <v>0</v>
      </c>
      <c r="B6323" t="s">
        <v>2279</v>
      </c>
      <c r="C6323" t="s">
        <v>9870</v>
      </c>
      <c r="D6323" t="s">
        <v>19044</v>
      </c>
      <c r="E6323" t="s">
        <v>24624</v>
      </c>
      <c r="F6323" t="s">
        <v>32831</v>
      </c>
      <c r="G6323" t="s">
        <v>32839</v>
      </c>
      <c r="H6323" t="s">
        <v>32849</v>
      </c>
      <c r="I6323" t="s">
        <v>4177</v>
      </c>
      <c r="J6323" t="s">
        <v>32978</v>
      </c>
      <c r="K6323" t="s">
        <v>42763</v>
      </c>
      <c r="M6323" t="s">
        <v>45463</v>
      </c>
      <c r="N6323" t="s">
        <v>47424</v>
      </c>
      <c r="O6323" t="s">
        <v>47425</v>
      </c>
      <c r="P6323">
        <v>0</v>
      </c>
      <c r="Q6323">
        <v>1</v>
      </c>
      <c r="R6323" t="s">
        <v>47431</v>
      </c>
      <c r="S6323" t="s">
        <v>47565</v>
      </c>
      <c r="T6323" t="s">
        <v>49424</v>
      </c>
      <c r="U6323" t="s">
        <v>55011</v>
      </c>
      <c r="W6323" t="s">
        <v>45463</v>
      </c>
      <c r="X6323" t="s">
        <v>47433</v>
      </c>
    </row>
    <row r="6324" spans="1:24">
      <c r="A6324">
        <f>HYPERLINK("https://www.philgeps.gov.ph/GEPSNONPILOT/Tender/SplashBidNoticeAbstractUI.aspx?menuIndex=3&amp;refID=7155562&amp;Result=3","7155562")</f>
        <v>0</v>
      </c>
      <c r="B6324" t="s">
        <v>301</v>
      </c>
      <c r="C6324" t="s">
        <v>9871</v>
      </c>
      <c r="D6324" t="s">
        <v>19067</v>
      </c>
      <c r="E6324" t="s">
        <v>24625</v>
      </c>
      <c r="F6324" t="s">
        <v>32831</v>
      </c>
      <c r="G6324" t="s">
        <v>32839</v>
      </c>
      <c r="H6324" t="s">
        <v>14069</v>
      </c>
      <c r="I6324" t="s">
        <v>14069</v>
      </c>
      <c r="J6324" t="s">
        <v>36999</v>
      </c>
      <c r="K6324" t="s">
        <v>42883</v>
      </c>
      <c r="M6324" t="s">
        <v>43302</v>
      </c>
      <c r="N6324" t="s">
        <v>47424</v>
      </c>
      <c r="O6324" t="s">
        <v>47425</v>
      </c>
      <c r="P6324">
        <v>0</v>
      </c>
      <c r="Q6324">
        <v>8</v>
      </c>
      <c r="R6324" t="s">
        <v>47431</v>
      </c>
      <c r="S6324" t="s">
        <v>47565</v>
      </c>
      <c r="T6324" t="s">
        <v>49065</v>
      </c>
      <c r="U6324" t="s">
        <v>55012</v>
      </c>
      <c r="W6324" t="s">
        <v>43302</v>
      </c>
      <c r="X6324" t="s">
        <v>47432</v>
      </c>
    </row>
    <row r="6325" spans="1:24">
      <c r="A6325">
        <f>HYPERLINK("https://www.philgeps.gov.ph/GEPSNONPILOT/Tender/SplashBidNoticeAbstractUI.aspx?menuIndex=3&amp;refID=7155619&amp;Result=3","7155619")</f>
        <v>0</v>
      </c>
      <c r="B6325" t="s">
        <v>34</v>
      </c>
      <c r="C6325" t="s">
        <v>9872</v>
      </c>
      <c r="E6325" t="s">
        <v>24626</v>
      </c>
      <c r="F6325" t="s">
        <v>32831</v>
      </c>
      <c r="G6325" t="s">
        <v>32839</v>
      </c>
      <c r="H6325" t="s">
        <v>32848</v>
      </c>
      <c r="I6325" t="s">
        <v>32861</v>
      </c>
      <c r="J6325" t="s">
        <v>37000</v>
      </c>
      <c r="K6325" t="s">
        <v>42730</v>
      </c>
      <c r="M6325" t="s">
        <v>44653</v>
      </c>
      <c r="N6325" t="s">
        <v>47424</v>
      </c>
      <c r="O6325" t="s">
        <v>47425</v>
      </c>
      <c r="P6325">
        <v>0</v>
      </c>
      <c r="Q6325">
        <v>11</v>
      </c>
      <c r="R6325" t="s">
        <v>47431</v>
      </c>
      <c r="S6325" t="s">
        <v>47565</v>
      </c>
      <c r="T6325" t="s">
        <v>49267</v>
      </c>
      <c r="U6325" t="s">
        <v>55013</v>
      </c>
      <c r="W6325" t="s">
        <v>44653</v>
      </c>
      <c r="X6325" t="s">
        <v>47432</v>
      </c>
    </row>
    <row r="6326" spans="1:24">
      <c r="A6326">
        <f>HYPERLINK("https://www.philgeps.gov.ph/GEPSNONPILOT/Tender/SplashBidNoticeAbstractUI.aspx?menuIndex=3&amp;refID=7155614&amp;Result=3","7155614")</f>
        <v>0</v>
      </c>
      <c r="B6326" t="s">
        <v>2263</v>
      </c>
      <c r="C6326" t="s">
        <v>9834</v>
      </c>
      <c r="D6326" t="s">
        <v>19019</v>
      </c>
      <c r="E6326" t="s">
        <v>24627</v>
      </c>
      <c r="F6326" t="s">
        <v>32833</v>
      </c>
      <c r="G6326" t="s">
        <v>32838</v>
      </c>
      <c r="H6326" t="s">
        <v>32848</v>
      </c>
      <c r="I6326" t="s">
        <v>4438</v>
      </c>
      <c r="J6326" t="s">
        <v>37001</v>
      </c>
      <c r="K6326" t="s">
        <v>42727</v>
      </c>
      <c r="M6326" t="s">
        <v>45447</v>
      </c>
      <c r="N6326" t="s">
        <v>47424</v>
      </c>
      <c r="O6326" t="s">
        <v>47425</v>
      </c>
      <c r="P6326">
        <v>0</v>
      </c>
      <c r="Q6326">
        <v>0</v>
      </c>
      <c r="R6326" t="s">
        <v>47431</v>
      </c>
      <c r="S6326" t="s">
        <v>47565</v>
      </c>
      <c r="T6326" t="s">
        <v>49198</v>
      </c>
      <c r="U6326" t="s">
        <v>55014</v>
      </c>
      <c r="W6326" t="s">
        <v>45447</v>
      </c>
      <c r="X6326" t="s">
        <v>47432</v>
      </c>
    </row>
    <row r="6327" spans="1:24">
      <c r="A6327">
        <f>HYPERLINK("https://www.philgeps.gov.ph/GEPSNONPILOT/Tender/SplashBidNoticeAbstractUI.aspx?menuIndex=3&amp;refID=7155571&amp;Result=3","7155571")</f>
        <v>0</v>
      </c>
      <c r="B6327" t="s">
        <v>2263</v>
      </c>
      <c r="C6327" t="s">
        <v>9834</v>
      </c>
      <c r="D6327" t="s">
        <v>19019</v>
      </c>
      <c r="E6327" t="s">
        <v>24628</v>
      </c>
      <c r="F6327" t="s">
        <v>32833</v>
      </c>
      <c r="G6327" t="s">
        <v>32838</v>
      </c>
      <c r="H6327" t="s">
        <v>32848</v>
      </c>
      <c r="I6327" t="s">
        <v>4438</v>
      </c>
      <c r="J6327" t="s">
        <v>37002</v>
      </c>
      <c r="K6327" t="s">
        <v>42727</v>
      </c>
      <c r="M6327" t="s">
        <v>45447</v>
      </c>
      <c r="N6327" t="s">
        <v>47424</v>
      </c>
      <c r="O6327" t="s">
        <v>47425</v>
      </c>
      <c r="P6327">
        <v>0</v>
      </c>
      <c r="Q6327">
        <v>1</v>
      </c>
      <c r="R6327" t="s">
        <v>47431</v>
      </c>
      <c r="S6327" t="s">
        <v>47565</v>
      </c>
      <c r="T6327" t="s">
        <v>49198</v>
      </c>
      <c r="U6327" t="s">
        <v>55015</v>
      </c>
      <c r="W6327" t="s">
        <v>45447</v>
      </c>
      <c r="X6327" t="s">
        <v>47432</v>
      </c>
    </row>
    <row r="6328" spans="1:24">
      <c r="A6328">
        <f>HYPERLINK("https://www.philgeps.gov.ph/GEPSNONPILOT/Tender/SplashBidNoticeAbstractUI.aspx?menuIndex=3&amp;refID=7155557&amp;Result=3","7155557")</f>
        <v>0</v>
      </c>
      <c r="B6328" t="s">
        <v>895</v>
      </c>
      <c r="C6328" t="s">
        <v>9873</v>
      </c>
      <c r="D6328" t="s">
        <v>19036</v>
      </c>
      <c r="E6328" t="s">
        <v>24629</v>
      </c>
      <c r="F6328" t="s">
        <v>32831</v>
      </c>
      <c r="G6328" t="s">
        <v>32841</v>
      </c>
      <c r="H6328" t="s">
        <v>32848</v>
      </c>
      <c r="I6328" t="s">
        <v>4487</v>
      </c>
      <c r="J6328" t="s">
        <v>37003</v>
      </c>
      <c r="K6328" t="s">
        <v>42727</v>
      </c>
      <c r="M6328" t="s">
        <v>44825</v>
      </c>
      <c r="N6328" t="s">
        <v>47424</v>
      </c>
      <c r="O6328" t="s">
        <v>47425</v>
      </c>
      <c r="P6328">
        <v>0</v>
      </c>
      <c r="Q6328">
        <v>0</v>
      </c>
      <c r="R6328" t="s">
        <v>47431</v>
      </c>
      <c r="S6328" t="s">
        <v>47565</v>
      </c>
      <c r="T6328" t="s">
        <v>49415</v>
      </c>
      <c r="U6328" t="s">
        <v>55016</v>
      </c>
      <c r="V6328" t="s">
        <v>62833</v>
      </c>
      <c r="W6328" t="s">
        <v>44825</v>
      </c>
      <c r="X6328" t="s">
        <v>47432</v>
      </c>
    </row>
    <row r="6329" spans="1:24">
      <c r="A6329">
        <f>HYPERLINK("https://www.philgeps.gov.ph/GEPSNONPILOT/Tender/SplashBidNoticeAbstractUI.aspx?menuIndex=3&amp;refID=7155601&amp;Result=3","7155601")</f>
        <v>0</v>
      </c>
      <c r="B6329" t="s">
        <v>2263</v>
      </c>
      <c r="C6329" t="s">
        <v>9834</v>
      </c>
      <c r="D6329" t="s">
        <v>19019</v>
      </c>
      <c r="E6329" t="s">
        <v>24630</v>
      </c>
      <c r="F6329" t="s">
        <v>32833</v>
      </c>
      <c r="G6329" t="s">
        <v>32838</v>
      </c>
      <c r="H6329" t="s">
        <v>32848</v>
      </c>
      <c r="I6329" t="s">
        <v>4438</v>
      </c>
      <c r="J6329" t="s">
        <v>37004</v>
      </c>
      <c r="K6329" t="s">
        <v>42727</v>
      </c>
      <c r="M6329" t="s">
        <v>45447</v>
      </c>
      <c r="N6329" t="s">
        <v>47424</v>
      </c>
      <c r="O6329" t="s">
        <v>47425</v>
      </c>
      <c r="P6329">
        <v>0</v>
      </c>
      <c r="Q6329">
        <v>0</v>
      </c>
      <c r="R6329" t="s">
        <v>47431</v>
      </c>
      <c r="S6329" t="s">
        <v>47565</v>
      </c>
      <c r="T6329" t="s">
        <v>49198</v>
      </c>
      <c r="U6329" t="s">
        <v>55017</v>
      </c>
      <c r="W6329" t="s">
        <v>45447</v>
      </c>
      <c r="X6329" t="s">
        <v>47432</v>
      </c>
    </row>
    <row r="6330" spans="1:24">
      <c r="A6330">
        <f>HYPERLINK("https://www.philgeps.gov.ph/GEPSNONPILOT/Tender/SplashBidNoticeAbstractUI.aspx?menuIndex=3&amp;refID=7155543&amp;Result=3","7155543")</f>
        <v>0</v>
      </c>
      <c r="B6330" t="s">
        <v>2254</v>
      </c>
      <c r="C6330" t="s">
        <v>9874</v>
      </c>
      <c r="D6330" t="s">
        <v>19056</v>
      </c>
      <c r="E6330" t="s">
        <v>24631</v>
      </c>
      <c r="F6330" t="s">
        <v>32831</v>
      </c>
      <c r="G6330" t="s">
        <v>32839</v>
      </c>
      <c r="H6330" t="s">
        <v>32848</v>
      </c>
      <c r="I6330" t="s">
        <v>32862</v>
      </c>
      <c r="J6330" t="s">
        <v>33279</v>
      </c>
      <c r="K6330" t="s">
        <v>42730</v>
      </c>
      <c r="M6330" t="s">
        <v>45435</v>
      </c>
      <c r="N6330" t="s">
        <v>47424</v>
      </c>
      <c r="O6330" t="s">
        <v>47425</v>
      </c>
      <c r="P6330">
        <v>0</v>
      </c>
      <c r="Q6330">
        <v>1</v>
      </c>
      <c r="R6330" t="s">
        <v>47431</v>
      </c>
      <c r="S6330" t="s">
        <v>47565</v>
      </c>
      <c r="T6330" t="s">
        <v>49125</v>
      </c>
      <c r="U6330" t="s">
        <v>55018</v>
      </c>
      <c r="W6330" t="s">
        <v>45435</v>
      </c>
      <c r="X6330" t="s">
        <v>47432</v>
      </c>
    </row>
    <row r="6331" spans="1:24">
      <c r="A6331">
        <f>HYPERLINK("https://www.philgeps.gov.ph/GEPSNONPILOT/Tender/SplashBidNoticeAbstractUI.aspx?menuIndex=3&amp;refID=7155563&amp;Result=3","7155563")</f>
        <v>0</v>
      </c>
      <c r="B6331" t="s">
        <v>1016</v>
      </c>
      <c r="C6331" t="s">
        <v>9875</v>
      </c>
      <c r="D6331" t="s">
        <v>19062</v>
      </c>
      <c r="E6331" t="s">
        <v>24632</v>
      </c>
      <c r="F6331" t="s">
        <v>32831</v>
      </c>
      <c r="G6331" t="s">
        <v>32838</v>
      </c>
      <c r="H6331" t="s">
        <v>32848</v>
      </c>
      <c r="I6331" t="s">
        <v>9577</v>
      </c>
      <c r="J6331" t="s">
        <v>33041</v>
      </c>
      <c r="K6331" t="s">
        <v>42727</v>
      </c>
      <c r="M6331" t="s">
        <v>44066</v>
      </c>
      <c r="N6331" t="s">
        <v>47424</v>
      </c>
      <c r="O6331" t="s">
        <v>47425</v>
      </c>
      <c r="P6331">
        <v>0</v>
      </c>
      <c r="Q6331">
        <v>1</v>
      </c>
      <c r="R6331" t="s">
        <v>47431</v>
      </c>
      <c r="S6331" t="s">
        <v>47565</v>
      </c>
      <c r="T6331" t="s">
        <v>49141</v>
      </c>
      <c r="U6331" t="s">
        <v>54979</v>
      </c>
      <c r="V6331" t="s">
        <v>63331</v>
      </c>
      <c r="W6331" t="s">
        <v>44066</v>
      </c>
      <c r="X6331" t="s">
        <v>47432</v>
      </c>
    </row>
    <row r="6332" spans="1:24">
      <c r="A6332">
        <f>HYPERLINK("https://www.philgeps.gov.ph/GEPSNONPILOT/Tender/SplashBidNoticeAbstractUI.aspx?menuIndex=3&amp;refID=7155600&amp;Result=3","7155600")</f>
        <v>0</v>
      </c>
      <c r="B6332" t="s">
        <v>895</v>
      </c>
      <c r="C6332" t="s">
        <v>9876</v>
      </c>
      <c r="D6332" t="s">
        <v>19036</v>
      </c>
      <c r="E6332" t="s">
        <v>24633</v>
      </c>
      <c r="F6332" t="s">
        <v>32831</v>
      </c>
      <c r="G6332" t="s">
        <v>32841</v>
      </c>
      <c r="H6332" t="s">
        <v>32848</v>
      </c>
      <c r="I6332" t="s">
        <v>4487</v>
      </c>
      <c r="J6332" t="s">
        <v>37005</v>
      </c>
      <c r="K6332" t="s">
        <v>42727</v>
      </c>
      <c r="M6332" t="s">
        <v>44825</v>
      </c>
      <c r="N6332" t="s">
        <v>47424</v>
      </c>
      <c r="O6332" t="s">
        <v>47425</v>
      </c>
      <c r="P6332">
        <v>0</v>
      </c>
      <c r="Q6332">
        <v>1</v>
      </c>
      <c r="R6332" t="s">
        <v>47431</v>
      </c>
      <c r="S6332" t="s">
        <v>47565</v>
      </c>
      <c r="T6332" t="s">
        <v>49415</v>
      </c>
      <c r="U6332" t="s">
        <v>55019</v>
      </c>
      <c r="V6332" t="s">
        <v>62833</v>
      </c>
      <c r="W6332" t="s">
        <v>44825</v>
      </c>
      <c r="X6332" t="s">
        <v>47432</v>
      </c>
    </row>
    <row r="6333" spans="1:24">
      <c r="A6333">
        <f>HYPERLINK("https://www.philgeps.gov.ph/GEPSNONPILOT/Tender/SplashBidNoticeAbstractUI.aspx?menuIndex=3&amp;refID=7155613&amp;Result=3","7155613")</f>
        <v>0</v>
      </c>
      <c r="B6333" t="s">
        <v>2280</v>
      </c>
      <c r="C6333" t="s">
        <v>9877</v>
      </c>
      <c r="D6333" t="s">
        <v>19017</v>
      </c>
      <c r="E6333" t="s">
        <v>24634</v>
      </c>
      <c r="F6333" t="s">
        <v>32831</v>
      </c>
      <c r="G6333" t="s">
        <v>32839</v>
      </c>
      <c r="H6333" t="s">
        <v>32848</v>
      </c>
      <c r="I6333" t="s">
        <v>4438</v>
      </c>
      <c r="J6333" t="s">
        <v>37006</v>
      </c>
      <c r="K6333" t="s">
        <v>42727</v>
      </c>
      <c r="M6333" t="s">
        <v>45464</v>
      </c>
      <c r="N6333" t="s">
        <v>47424</v>
      </c>
      <c r="O6333" t="s">
        <v>47425</v>
      </c>
      <c r="Q6333">
        <v>15</v>
      </c>
      <c r="R6333" t="s">
        <v>47431</v>
      </c>
      <c r="S6333" t="s">
        <v>47568</v>
      </c>
      <c r="T6333" t="s">
        <v>49267</v>
      </c>
      <c r="U6333" t="s">
        <v>55020</v>
      </c>
      <c r="W6333" t="s">
        <v>45464</v>
      </c>
      <c r="X6333" t="s">
        <v>47432</v>
      </c>
    </row>
    <row r="6334" spans="1:24">
      <c r="A6334">
        <f>HYPERLINK("https://www.philgeps.gov.ph/GEPSNONPILOT/Tender/SplashBidNoticeAbstractUI.aspx?menuIndex=3&amp;refID=7155608&amp;Result=3","7155608")</f>
        <v>0</v>
      </c>
      <c r="B6334" t="s">
        <v>96</v>
      </c>
      <c r="C6334" t="s">
        <v>9878</v>
      </c>
      <c r="D6334" t="s">
        <v>19053</v>
      </c>
      <c r="E6334" t="s">
        <v>24635</v>
      </c>
      <c r="F6334" t="s">
        <v>32831</v>
      </c>
      <c r="G6334" t="s">
        <v>32838</v>
      </c>
      <c r="H6334" t="s">
        <v>32848</v>
      </c>
      <c r="I6334" t="s">
        <v>32858</v>
      </c>
      <c r="J6334" t="s">
        <v>33207</v>
      </c>
      <c r="K6334" t="s">
        <v>42758</v>
      </c>
      <c r="M6334" t="s">
        <v>43093</v>
      </c>
      <c r="N6334" t="s">
        <v>47424</v>
      </c>
      <c r="O6334" t="s">
        <v>47425</v>
      </c>
      <c r="P6334">
        <v>0</v>
      </c>
      <c r="Q6334">
        <v>0</v>
      </c>
      <c r="R6334" t="s">
        <v>47431</v>
      </c>
      <c r="S6334" t="s">
        <v>47565</v>
      </c>
      <c r="T6334" t="s">
        <v>49397</v>
      </c>
      <c r="U6334" t="s">
        <v>55021</v>
      </c>
      <c r="W6334" t="s">
        <v>64431</v>
      </c>
      <c r="X6334" t="s">
        <v>47432</v>
      </c>
    </row>
    <row r="6335" spans="1:24">
      <c r="A6335">
        <f>HYPERLINK("https://www.philgeps.gov.ph/GEPSNONPILOT/Tender/SplashBidNoticeAbstractUI.aspx?menuIndex=3&amp;refID=7155595&amp;Result=3","7155595")</f>
        <v>0</v>
      </c>
      <c r="B6335" t="s">
        <v>2281</v>
      </c>
      <c r="C6335" t="s">
        <v>9879</v>
      </c>
      <c r="D6335" t="s">
        <v>19027</v>
      </c>
      <c r="E6335" t="s">
        <v>24636</v>
      </c>
      <c r="F6335" t="s">
        <v>32831</v>
      </c>
      <c r="G6335" t="s">
        <v>32842</v>
      </c>
      <c r="H6335" t="s">
        <v>32848</v>
      </c>
      <c r="I6335" t="s">
        <v>9577</v>
      </c>
      <c r="J6335" t="s">
        <v>33220</v>
      </c>
      <c r="K6335" t="s">
        <v>42732</v>
      </c>
      <c r="M6335" t="s">
        <v>45465</v>
      </c>
      <c r="N6335" t="s">
        <v>47424</v>
      </c>
      <c r="O6335" t="s">
        <v>47425</v>
      </c>
      <c r="P6335">
        <v>0</v>
      </c>
      <c r="Q6335">
        <v>0</v>
      </c>
      <c r="R6335" t="s">
        <v>47431</v>
      </c>
      <c r="S6335" t="s">
        <v>47565</v>
      </c>
      <c r="T6335" t="s">
        <v>49321</v>
      </c>
      <c r="U6335" t="s">
        <v>55022</v>
      </c>
      <c r="V6335" t="s">
        <v>63332</v>
      </c>
      <c r="W6335" t="s">
        <v>45465</v>
      </c>
      <c r="X6335" t="s">
        <v>47432</v>
      </c>
    </row>
    <row r="6336" spans="1:24">
      <c r="A6336">
        <f>HYPERLINK("https://www.philgeps.gov.ph/GEPSNONPILOT/Tender/SplashBidNoticeAbstractUI.aspx?menuIndex=3&amp;refID=7155594&amp;Result=3","7155594")</f>
        <v>0</v>
      </c>
      <c r="B6336" t="s">
        <v>2263</v>
      </c>
      <c r="C6336" t="s">
        <v>9834</v>
      </c>
      <c r="D6336" t="s">
        <v>19019</v>
      </c>
      <c r="E6336" t="s">
        <v>24637</v>
      </c>
      <c r="F6336" t="s">
        <v>32833</v>
      </c>
      <c r="G6336" t="s">
        <v>32838</v>
      </c>
      <c r="H6336" t="s">
        <v>32848</v>
      </c>
      <c r="I6336" t="s">
        <v>4438</v>
      </c>
      <c r="J6336" t="s">
        <v>37007</v>
      </c>
      <c r="K6336" t="s">
        <v>42727</v>
      </c>
      <c r="M6336" t="s">
        <v>45447</v>
      </c>
      <c r="N6336" t="s">
        <v>47424</v>
      </c>
      <c r="O6336" t="s">
        <v>47425</v>
      </c>
      <c r="P6336">
        <v>0</v>
      </c>
      <c r="Q6336">
        <v>0</v>
      </c>
      <c r="R6336" t="s">
        <v>47431</v>
      </c>
      <c r="S6336" t="s">
        <v>47565</v>
      </c>
      <c r="T6336" t="s">
        <v>49198</v>
      </c>
      <c r="U6336" t="s">
        <v>55023</v>
      </c>
      <c r="W6336" t="s">
        <v>45447</v>
      </c>
      <c r="X6336" t="s">
        <v>47432</v>
      </c>
    </row>
    <row r="6337" spans="1:24">
      <c r="A6337">
        <f>HYPERLINK("https://www.philgeps.gov.ph/GEPSNONPILOT/Tender/SplashBidNoticeAbstractUI.aspx?menuIndex=3&amp;refID=7155661&amp;Result=3","7155661")</f>
        <v>0</v>
      </c>
      <c r="B6337" t="s">
        <v>2282</v>
      </c>
      <c r="C6337" t="s">
        <v>9880</v>
      </c>
      <c r="D6337" t="s">
        <v>19044</v>
      </c>
      <c r="E6337" t="s">
        <v>19208</v>
      </c>
      <c r="F6337" t="s">
        <v>32831</v>
      </c>
      <c r="G6337" t="s">
        <v>32839</v>
      </c>
      <c r="H6337" t="s">
        <v>32848</v>
      </c>
      <c r="I6337" t="s">
        <v>7416</v>
      </c>
      <c r="J6337" t="s">
        <v>33040</v>
      </c>
      <c r="K6337" t="s">
        <v>42730</v>
      </c>
      <c r="M6337" t="s">
        <v>45466</v>
      </c>
      <c r="N6337" t="s">
        <v>47424</v>
      </c>
      <c r="O6337" t="s">
        <v>47425</v>
      </c>
      <c r="P6337">
        <v>0</v>
      </c>
      <c r="Q6337">
        <v>0</v>
      </c>
      <c r="R6337" t="s">
        <v>47431</v>
      </c>
      <c r="S6337" t="s">
        <v>47565</v>
      </c>
      <c r="T6337" t="s">
        <v>49075</v>
      </c>
      <c r="U6337" t="s">
        <v>51857</v>
      </c>
      <c r="W6337" t="s">
        <v>45466</v>
      </c>
      <c r="X6337" t="s">
        <v>47432</v>
      </c>
    </row>
    <row r="6338" spans="1:24">
      <c r="A6338">
        <f>HYPERLINK("https://www.philgeps.gov.ph/GEPSNONPILOT/Tender/SplashBidNoticeAbstractUI.aspx?menuIndex=3&amp;refID=7155660&amp;Result=3","7155660")</f>
        <v>0</v>
      </c>
      <c r="B6338" t="s">
        <v>2283</v>
      </c>
      <c r="C6338" t="s">
        <v>9881</v>
      </c>
      <c r="D6338" t="s">
        <v>19038</v>
      </c>
      <c r="E6338" t="s">
        <v>19311</v>
      </c>
      <c r="F6338" t="s">
        <v>32831</v>
      </c>
      <c r="G6338" t="s">
        <v>32838</v>
      </c>
      <c r="H6338" t="s">
        <v>32848</v>
      </c>
      <c r="I6338" t="s">
        <v>32864</v>
      </c>
      <c r="J6338" t="s">
        <v>37008</v>
      </c>
      <c r="K6338" t="s">
        <v>42726</v>
      </c>
      <c r="M6338" t="s">
        <v>45467</v>
      </c>
      <c r="N6338" t="s">
        <v>47424</v>
      </c>
      <c r="O6338" t="s">
        <v>47425</v>
      </c>
      <c r="P6338">
        <v>0</v>
      </c>
      <c r="Q6338">
        <v>2</v>
      </c>
      <c r="R6338" t="s">
        <v>47431</v>
      </c>
      <c r="S6338" t="s">
        <v>47565</v>
      </c>
      <c r="T6338" t="s">
        <v>49079</v>
      </c>
      <c r="U6338" t="s">
        <v>55024</v>
      </c>
      <c r="W6338" t="s">
        <v>45467</v>
      </c>
      <c r="X6338" t="s">
        <v>47432</v>
      </c>
    </row>
    <row r="6339" spans="1:24">
      <c r="A6339">
        <f>HYPERLINK("https://www.philgeps.gov.ph/GEPSNONPILOT/Tender/SplashBidNoticeAbstractUI.aspx?menuIndex=3&amp;refID=7155658&amp;Result=3","7155658")</f>
        <v>0</v>
      </c>
      <c r="B6339" t="s">
        <v>2284</v>
      </c>
      <c r="C6339" t="s">
        <v>9882</v>
      </c>
      <c r="D6339" t="s">
        <v>19017</v>
      </c>
      <c r="E6339" t="s">
        <v>24638</v>
      </c>
      <c r="F6339" t="s">
        <v>32831</v>
      </c>
      <c r="G6339" t="s">
        <v>32840</v>
      </c>
      <c r="H6339" t="s">
        <v>32848</v>
      </c>
      <c r="I6339" t="s">
        <v>4487</v>
      </c>
      <c r="J6339" t="s">
        <v>33133</v>
      </c>
      <c r="K6339" t="s">
        <v>42732</v>
      </c>
      <c r="M6339" t="s">
        <v>45468</v>
      </c>
      <c r="N6339" t="s">
        <v>47424</v>
      </c>
      <c r="O6339" t="s">
        <v>47425</v>
      </c>
      <c r="P6339">
        <v>0</v>
      </c>
      <c r="Q6339">
        <v>9</v>
      </c>
      <c r="R6339" t="s">
        <v>47431</v>
      </c>
      <c r="S6339" t="s">
        <v>47565</v>
      </c>
      <c r="T6339" t="s">
        <v>49212</v>
      </c>
      <c r="U6339" t="s">
        <v>55025</v>
      </c>
      <c r="W6339" t="s">
        <v>45468</v>
      </c>
      <c r="X6339" t="s">
        <v>47432</v>
      </c>
    </row>
    <row r="6340" spans="1:24">
      <c r="A6340">
        <f>HYPERLINK("https://www.philgeps.gov.ph/GEPSNONPILOT/Tender/SplashBidNoticeAbstractUI.aspx?menuIndex=3&amp;refID=7155596&amp;Result=3","7155596")</f>
        <v>0</v>
      </c>
      <c r="B6340" t="s">
        <v>747</v>
      </c>
      <c r="C6340" t="s">
        <v>9883</v>
      </c>
      <c r="D6340" t="s">
        <v>19041</v>
      </c>
      <c r="E6340" t="s">
        <v>24639</v>
      </c>
      <c r="F6340" t="s">
        <v>32831</v>
      </c>
      <c r="G6340" t="s">
        <v>32839</v>
      </c>
      <c r="H6340" t="s">
        <v>32848</v>
      </c>
      <c r="I6340" t="s">
        <v>7416</v>
      </c>
      <c r="J6340" t="s">
        <v>37009</v>
      </c>
      <c r="K6340" t="s">
        <v>42727</v>
      </c>
      <c r="M6340" t="s">
        <v>43770</v>
      </c>
      <c r="N6340" t="s">
        <v>47424</v>
      </c>
      <c r="O6340" t="s">
        <v>47425</v>
      </c>
      <c r="P6340">
        <v>0</v>
      </c>
      <c r="Q6340">
        <v>0</v>
      </c>
      <c r="R6340" t="s">
        <v>47431</v>
      </c>
      <c r="S6340" t="s">
        <v>47565</v>
      </c>
      <c r="T6340" t="s">
        <v>49125</v>
      </c>
      <c r="U6340" t="s">
        <v>51096</v>
      </c>
      <c r="W6340" t="s">
        <v>43770</v>
      </c>
      <c r="X6340" t="s">
        <v>47432</v>
      </c>
    </row>
    <row r="6341" spans="1:24">
      <c r="A6341">
        <f>HYPERLINK("https://www.philgeps.gov.ph/GEPSNONPILOT/Tender/SplashBidNoticeAbstractUI.aspx?menuIndex=3&amp;refID=7155651&amp;Result=3","7155651")</f>
        <v>0</v>
      </c>
      <c r="B6341" t="s">
        <v>2273</v>
      </c>
      <c r="C6341" t="s">
        <v>9884</v>
      </c>
      <c r="D6341" t="s">
        <v>19071</v>
      </c>
      <c r="E6341" t="s">
        <v>24640</v>
      </c>
      <c r="F6341" t="s">
        <v>32831</v>
      </c>
      <c r="G6341" t="s">
        <v>32839</v>
      </c>
      <c r="H6341" t="s">
        <v>32848</v>
      </c>
      <c r="I6341" t="s">
        <v>7416</v>
      </c>
      <c r="J6341" t="s">
        <v>37010</v>
      </c>
      <c r="K6341" t="s">
        <v>42732</v>
      </c>
      <c r="M6341" t="s">
        <v>45457</v>
      </c>
      <c r="N6341" t="s">
        <v>47424</v>
      </c>
      <c r="O6341" t="s">
        <v>47425</v>
      </c>
      <c r="P6341">
        <v>0</v>
      </c>
      <c r="Q6341">
        <v>0</v>
      </c>
      <c r="R6341" t="s">
        <v>47431</v>
      </c>
      <c r="S6341" t="s">
        <v>47565</v>
      </c>
      <c r="T6341" t="s">
        <v>49056</v>
      </c>
      <c r="U6341" t="s">
        <v>55026</v>
      </c>
      <c r="V6341" t="s">
        <v>63333</v>
      </c>
      <c r="W6341" t="s">
        <v>45457</v>
      </c>
      <c r="X6341" t="s">
        <v>47432</v>
      </c>
    </row>
    <row r="6342" spans="1:24">
      <c r="A6342">
        <f>HYPERLINK("https://www.philgeps.gov.ph/GEPSNONPILOT/Tender/SplashBidNoticeAbstractUI.aspx?menuIndex=3&amp;refID=7155485&amp;Result=3","7155485")</f>
        <v>0</v>
      </c>
      <c r="B6342" t="s">
        <v>2232</v>
      </c>
      <c r="C6342" t="s">
        <v>9885</v>
      </c>
      <c r="D6342" t="s">
        <v>19062</v>
      </c>
      <c r="E6342" t="s">
        <v>24641</v>
      </c>
      <c r="F6342" t="s">
        <v>32831</v>
      </c>
      <c r="G6342" t="s">
        <v>32839</v>
      </c>
      <c r="H6342" t="s">
        <v>32848</v>
      </c>
      <c r="I6342" t="s">
        <v>7416</v>
      </c>
      <c r="J6342" t="s">
        <v>37011</v>
      </c>
      <c r="K6342" t="s">
        <v>42730</v>
      </c>
      <c r="M6342" t="s">
        <v>45413</v>
      </c>
      <c r="N6342" t="s">
        <v>47424</v>
      </c>
      <c r="O6342" t="s">
        <v>47425</v>
      </c>
      <c r="P6342">
        <v>0</v>
      </c>
      <c r="Q6342">
        <v>1</v>
      </c>
      <c r="R6342" t="s">
        <v>47431</v>
      </c>
      <c r="S6342" t="s">
        <v>47565</v>
      </c>
      <c r="T6342" t="s">
        <v>49192</v>
      </c>
      <c r="U6342" t="s">
        <v>55027</v>
      </c>
      <c r="W6342" t="s">
        <v>45413</v>
      </c>
      <c r="X6342" t="s">
        <v>47432</v>
      </c>
    </row>
    <row r="6343" spans="1:24">
      <c r="A6343">
        <f>HYPERLINK("https://www.philgeps.gov.ph/GEPSNONPILOT/Tender/SplashBidNoticeAbstractUI.aspx?menuIndex=3&amp;refID=7155648&amp;Result=3","7155648")</f>
        <v>0</v>
      </c>
      <c r="B6343" t="s">
        <v>1824</v>
      </c>
      <c r="C6343" t="s">
        <v>9886</v>
      </c>
      <c r="D6343" t="s">
        <v>19042</v>
      </c>
      <c r="E6343" t="s">
        <v>24642</v>
      </c>
      <c r="F6343" t="s">
        <v>32831</v>
      </c>
      <c r="G6343" t="s">
        <v>32838</v>
      </c>
      <c r="H6343" t="s">
        <v>32848</v>
      </c>
      <c r="I6343" t="s">
        <v>8577</v>
      </c>
      <c r="J6343" t="s">
        <v>37012</v>
      </c>
      <c r="K6343" t="s">
        <v>42730</v>
      </c>
      <c r="M6343" t="s">
        <v>44957</v>
      </c>
      <c r="N6343" t="s">
        <v>47424</v>
      </c>
      <c r="O6343" t="s">
        <v>47425</v>
      </c>
      <c r="P6343">
        <v>0</v>
      </c>
      <c r="Q6343">
        <v>0</v>
      </c>
      <c r="R6343" t="s">
        <v>47431</v>
      </c>
      <c r="S6343" t="s">
        <v>47565</v>
      </c>
      <c r="T6343" t="s">
        <v>49237</v>
      </c>
      <c r="U6343" t="s">
        <v>55028</v>
      </c>
      <c r="W6343" t="s">
        <v>44957</v>
      </c>
      <c r="X6343" t="s">
        <v>47432</v>
      </c>
    </row>
    <row r="6344" spans="1:24">
      <c r="A6344">
        <f>HYPERLINK("https://www.philgeps.gov.ph/GEPSNONPILOT/Tender/SplashBidNoticeAbstractUI.aspx?menuIndex=3&amp;refID=7155611&amp;Result=3","7155611")</f>
        <v>0</v>
      </c>
      <c r="B6344" t="s">
        <v>1587</v>
      </c>
      <c r="C6344" t="s">
        <v>9887</v>
      </c>
      <c r="D6344" t="s">
        <v>19057</v>
      </c>
      <c r="E6344" t="s">
        <v>24643</v>
      </c>
      <c r="F6344" t="s">
        <v>32831</v>
      </c>
      <c r="G6344" t="s">
        <v>32840</v>
      </c>
      <c r="H6344" t="s">
        <v>32848</v>
      </c>
      <c r="I6344" t="s">
        <v>9577</v>
      </c>
      <c r="J6344" t="s">
        <v>33207</v>
      </c>
      <c r="K6344" t="s">
        <v>42742</v>
      </c>
      <c r="L6344" t="s">
        <v>1587</v>
      </c>
      <c r="M6344" t="s">
        <v>45444</v>
      </c>
      <c r="N6344" t="s">
        <v>47424</v>
      </c>
      <c r="O6344" t="s">
        <v>47425</v>
      </c>
      <c r="P6344">
        <v>0</v>
      </c>
      <c r="Q6344">
        <v>2</v>
      </c>
      <c r="R6344" t="s">
        <v>47431</v>
      </c>
      <c r="S6344" t="s">
        <v>47565</v>
      </c>
      <c r="T6344" t="s">
        <v>49236</v>
      </c>
      <c r="U6344" t="s">
        <v>55029</v>
      </c>
      <c r="W6344" t="s">
        <v>45444</v>
      </c>
      <c r="X6344" t="s">
        <v>47432</v>
      </c>
    </row>
    <row r="6345" spans="1:24">
      <c r="A6345">
        <f>HYPERLINK("https://www.philgeps.gov.ph/GEPSNONPILOT/Tender/SplashBidNoticeAbstractUI.aspx?menuIndex=3&amp;refID=7155643&amp;Result=3","7155643")</f>
        <v>0</v>
      </c>
      <c r="B6345" t="s">
        <v>1657</v>
      </c>
      <c r="C6345" t="s">
        <v>9888</v>
      </c>
      <c r="E6345" t="s">
        <v>24644</v>
      </c>
      <c r="F6345" t="s">
        <v>32831</v>
      </c>
      <c r="G6345" t="s">
        <v>32841</v>
      </c>
      <c r="H6345" t="s">
        <v>32848</v>
      </c>
      <c r="I6345" t="s">
        <v>7751</v>
      </c>
      <c r="J6345" t="s">
        <v>33083</v>
      </c>
      <c r="K6345" t="s">
        <v>42747</v>
      </c>
      <c r="M6345" t="s">
        <v>44774</v>
      </c>
      <c r="N6345" t="s">
        <v>47424</v>
      </c>
      <c r="O6345" t="s">
        <v>47425</v>
      </c>
      <c r="P6345">
        <v>0</v>
      </c>
      <c r="Q6345">
        <v>3</v>
      </c>
      <c r="R6345" t="s">
        <v>47431</v>
      </c>
      <c r="S6345" t="s">
        <v>47565</v>
      </c>
      <c r="T6345" t="s">
        <v>49394</v>
      </c>
      <c r="U6345" t="s">
        <v>55030</v>
      </c>
      <c r="W6345" t="s">
        <v>46349</v>
      </c>
      <c r="X6345" t="s">
        <v>47432</v>
      </c>
    </row>
    <row r="6346" spans="1:24">
      <c r="A6346">
        <f>HYPERLINK("https://www.philgeps.gov.ph/GEPSNONPILOT/Tender/SplashBidNoticeAbstractUI.aspx?menuIndex=3&amp;refID=7155656&amp;Result=3","7155656")</f>
        <v>0</v>
      </c>
      <c r="B6346" t="s">
        <v>2263</v>
      </c>
      <c r="C6346" t="s">
        <v>9834</v>
      </c>
      <c r="D6346" t="s">
        <v>19019</v>
      </c>
      <c r="E6346" t="s">
        <v>24645</v>
      </c>
      <c r="F6346" t="s">
        <v>32833</v>
      </c>
      <c r="G6346" t="s">
        <v>32838</v>
      </c>
      <c r="H6346" t="s">
        <v>32848</v>
      </c>
      <c r="I6346" t="s">
        <v>4438</v>
      </c>
      <c r="J6346" t="s">
        <v>37013</v>
      </c>
      <c r="K6346" t="s">
        <v>42727</v>
      </c>
      <c r="M6346" t="s">
        <v>45447</v>
      </c>
      <c r="N6346" t="s">
        <v>47424</v>
      </c>
      <c r="O6346" t="s">
        <v>47425</v>
      </c>
      <c r="P6346">
        <v>0</v>
      </c>
      <c r="Q6346">
        <v>0</v>
      </c>
      <c r="R6346" t="s">
        <v>47431</v>
      </c>
      <c r="S6346" t="s">
        <v>47565</v>
      </c>
      <c r="T6346" t="s">
        <v>49198</v>
      </c>
      <c r="U6346" t="s">
        <v>55031</v>
      </c>
      <c r="W6346" t="s">
        <v>45447</v>
      </c>
      <c r="X6346" t="s">
        <v>47432</v>
      </c>
    </row>
    <row r="6347" spans="1:24">
      <c r="A6347">
        <f>HYPERLINK("https://www.philgeps.gov.ph/GEPSNONPILOT/Tender/SplashBidNoticeAbstractUI.aspx?menuIndex=3&amp;refID=7155639&amp;Result=3","7155639")</f>
        <v>0</v>
      </c>
      <c r="B6347" t="s">
        <v>747</v>
      </c>
      <c r="C6347" t="s">
        <v>9889</v>
      </c>
      <c r="D6347" t="s">
        <v>19041</v>
      </c>
      <c r="E6347" t="s">
        <v>21802</v>
      </c>
      <c r="F6347" t="s">
        <v>32831</v>
      </c>
      <c r="G6347" t="s">
        <v>32839</v>
      </c>
      <c r="H6347" t="s">
        <v>32848</v>
      </c>
      <c r="I6347" t="s">
        <v>7416</v>
      </c>
      <c r="J6347" t="s">
        <v>37014</v>
      </c>
      <c r="K6347" t="s">
        <v>42727</v>
      </c>
      <c r="M6347" t="s">
        <v>43770</v>
      </c>
      <c r="N6347" t="s">
        <v>47424</v>
      </c>
      <c r="O6347" t="s">
        <v>47425</v>
      </c>
      <c r="P6347">
        <v>0</v>
      </c>
      <c r="Q6347">
        <v>0</v>
      </c>
      <c r="R6347" t="s">
        <v>47431</v>
      </c>
      <c r="S6347" t="s">
        <v>47565</v>
      </c>
      <c r="T6347" t="s">
        <v>49125</v>
      </c>
      <c r="U6347" t="s">
        <v>51096</v>
      </c>
      <c r="W6347" t="s">
        <v>43770</v>
      </c>
      <c r="X6347" t="s">
        <v>47432</v>
      </c>
    </row>
    <row r="6348" spans="1:24">
      <c r="A6348">
        <f>HYPERLINK("https://www.philgeps.gov.ph/GEPSNONPILOT/Tender/SplashBidNoticeAbstractUI.aspx?menuIndex=3&amp;refID=7155636&amp;Result=3","7155636")</f>
        <v>0</v>
      </c>
      <c r="B6348" t="s">
        <v>2285</v>
      </c>
      <c r="C6348" t="s">
        <v>9890</v>
      </c>
      <c r="D6348" t="s">
        <v>19019</v>
      </c>
      <c r="E6348" t="s">
        <v>24646</v>
      </c>
      <c r="F6348" t="s">
        <v>32831</v>
      </c>
      <c r="G6348" t="s">
        <v>32839</v>
      </c>
      <c r="H6348" t="s">
        <v>32848</v>
      </c>
      <c r="I6348" t="s">
        <v>32868</v>
      </c>
      <c r="J6348" t="s">
        <v>37015</v>
      </c>
      <c r="K6348" t="s">
        <v>42732</v>
      </c>
      <c r="M6348" t="s">
        <v>45469</v>
      </c>
      <c r="N6348" t="s">
        <v>47424</v>
      </c>
      <c r="O6348" t="s">
        <v>47425</v>
      </c>
      <c r="P6348">
        <v>0</v>
      </c>
      <c r="Q6348">
        <v>4</v>
      </c>
      <c r="R6348" t="s">
        <v>47431</v>
      </c>
      <c r="S6348" t="s">
        <v>47565</v>
      </c>
      <c r="T6348" t="s">
        <v>49105</v>
      </c>
      <c r="U6348" t="s">
        <v>55032</v>
      </c>
      <c r="W6348" t="s">
        <v>45469</v>
      </c>
      <c r="X6348" t="s">
        <v>47432</v>
      </c>
    </row>
    <row r="6349" spans="1:24">
      <c r="A6349">
        <f>HYPERLINK("https://www.philgeps.gov.ph/GEPSNONPILOT/Tender/SplashBidNoticeAbstractUI.aspx?menuIndex=3&amp;refID=7155697&amp;Result=3","7155697")</f>
        <v>0</v>
      </c>
      <c r="B6349" t="s">
        <v>2286</v>
      </c>
      <c r="C6349" t="s">
        <v>9891</v>
      </c>
      <c r="E6349" t="s">
        <v>24647</v>
      </c>
      <c r="F6349" t="s">
        <v>32833</v>
      </c>
      <c r="G6349" t="s">
        <v>32839</v>
      </c>
      <c r="H6349" t="s">
        <v>32848</v>
      </c>
      <c r="I6349" t="s">
        <v>32910</v>
      </c>
      <c r="J6349" t="s">
        <v>33841</v>
      </c>
      <c r="K6349" t="s">
        <v>42732</v>
      </c>
      <c r="M6349" t="s">
        <v>45470</v>
      </c>
      <c r="N6349" t="s">
        <v>47424</v>
      </c>
      <c r="O6349" t="s">
        <v>47425</v>
      </c>
      <c r="P6349">
        <v>0</v>
      </c>
      <c r="Q6349">
        <v>2</v>
      </c>
      <c r="R6349" t="s">
        <v>47431</v>
      </c>
      <c r="S6349" t="s">
        <v>47565</v>
      </c>
      <c r="T6349" t="s">
        <v>49345</v>
      </c>
      <c r="U6349" t="s">
        <v>55033</v>
      </c>
      <c r="W6349" t="s">
        <v>45470</v>
      </c>
      <c r="X6349" t="s">
        <v>47432</v>
      </c>
    </row>
    <row r="6350" spans="1:24">
      <c r="A6350">
        <f>HYPERLINK("https://www.philgeps.gov.ph/GEPSNONPILOT/Tender/SplashBidNoticeAbstractUI.aspx?menuIndex=3&amp;refID=7155597&amp;Result=3","7155597")</f>
        <v>0</v>
      </c>
      <c r="B6350" t="s">
        <v>2252</v>
      </c>
      <c r="C6350" t="s">
        <v>9798</v>
      </c>
      <c r="D6350" t="s">
        <v>19062</v>
      </c>
      <c r="E6350" t="s">
        <v>24648</v>
      </c>
      <c r="F6350" t="s">
        <v>32831</v>
      </c>
      <c r="G6350" t="s">
        <v>32838</v>
      </c>
      <c r="H6350" t="s">
        <v>32848</v>
      </c>
      <c r="I6350" t="s">
        <v>32912</v>
      </c>
      <c r="J6350" t="s">
        <v>37016</v>
      </c>
      <c r="K6350" t="s">
        <v>42731</v>
      </c>
      <c r="M6350" t="s">
        <v>45433</v>
      </c>
      <c r="N6350" t="s">
        <v>47424</v>
      </c>
      <c r="O6350" t="s">
        <v>47425</v>
      </c>
      <c r="P6350">
        <v>0</v>
      </c>
      <c r="Q6350">
        <v>0</v>
      </c>
      <c r="R6350" t="s">
        <v>47431</v>
      </c>
      <c r="S6350" t="s">
        <v>47565</v>
      </c>
      <c r="T6350" t="s">
        <v>49145</v>
      </c>
      <c r="U6350" t="s">
        <v>55034</v>
      </c>
      <c r="W6350" t="s">
        <v>45433</v>
      </c>
      <c r="X6350" t="s">
        <v>47432</v>
      </c>
    </row>
    <row r="6351" spans="1:24">
      <c r="A6351">
        <f>HYPERLINK("https://www.philgeps.gov.ph/GEPSNONPILOT/Tender/SplashBidNoticeAbstractUI.aspx?menuIndex=3&amp;refID=7155704&amp;Result=3","7155704")</f>
        <v>0</v>
      </c>
      <c r="B6351" t="s">
        <v>1908</v>
      </c>
      <c r="C6351" t="s">
        <v>9892</v>
      </c>
      <c r="D6351" t="s">
        <v>19049</v>
      </c>
      <c r="E6351" t="s">
        <v>24649</v>
      </c>
      <c r="F6351" t="s">
        <v>32831</v>
      </c>
      <c r="G6351" t="s">
        <v>32839</v>
      </c>
      <c r="H6351" t="s">
        <v>32849</v>
      </c>
      <c r="I6351" t="s">
        <v>4177</v>
      </c>
      <c r="J6351" t="s">
        <v>34778</v>
      </c>
      <c r="K6351" t="s">
        <v>42770</v>
      </c>
      <c r="M6351" t="s">
        <v>45057</v>
      </c>
      <c r="N6351" t="s">
        <v>47424</v>
      </c>
      <c r="O6351" t="s">
        <v>47425</v>
      </c>
      <c r="P6351">
        <v>0</v>
      </c>
      <c r="Q6351">
        <v>7</v>
      </c>
      <c r="R6351" t="s">
        <v>47431</v>
      </c>
      <c r="S6351" t="s">
        <v>47565</v>
      </c>
      <c r="T6351" t="s">
        <v>49236</v>
      </c>
      <c r="U6351" t="s">
        <v>55035</v>
      </c>
      <c r="W6351" t="s">
        <v>45057</v>
      </c>
      <c r="X6351" t="s">
        <v>47432</v>
      </c>
    </row>
    <row r="6352" spans="1:24">
      <c r="A6352">
        <f>HYPERLINK("https://www.philgeps.gov.ph/GEPSNONPILOT/Tender/SplashBidNoticeAbstractUI.aspx?menuIndex=3&amp;refID=7155603&amp;Result=3","7155603")</f>
        <v>0</v>
      </c>
      <c r="B6352" t="s">
        <v>301</v>
      </c>
      <c r="C6352" t="s">
        <v>9893</v>
      </c>
      <c r="D6352" t="s">
        <v>19067</v>
      </c>
      <c r="E6352" t="s">
        <v>24650</v>
      </c>
      <c r="F6352" t="s">
        <v>32831</v>
      </c>
      <c r="G6352" t="s">
        <v>32839</v>
      </c>
      <c r="H6352" t="s">
        <v>14069</v>
      </c>
      <c r="I6352" t="s">
        <v>14069</v>
      </c>
      <c r="J6352" t="s">
        <v>37017</v>
      </c>
      <c r="K6352" t="s">
        <v>42883</v>
      </c>
      <c r="M6352" t="s">
        <v>43302</v>
      </c>
      <c r="N6352" t="s">
        <v>47424</v>
      </c>
      <c r="O6352" t="s">
        <v>47425</v>
      </c>
      <c r="P6352">
        <v>0</v>
      </c>
      <c r="Q6352">
        <v>5</v>
      </c>
      <c r="R6352" t="s">
        <v>47431</v>
      </c>
      <c r="S6352" t="s">
        <v>47565</v>
      </c>
      <c r="T6352" t="s">
        <v>49065</v>
      </c>
      <c r="U6352" t="s">
        <v>55012</v>
      </c>
      <c r="W6352" t="s">
        <v>43302</v>
      </c>
      <c r="X6352" t="s">
        <v>47432</v>
      </c>
    </row>
    <row r="6353" spans="1:24">
      <c r="A6353">
        <f>HYPERLINK("https://www.philgeps.gov.ph/GEPSNONPILOT/Tender/SplashBidNoticeAbstractUI.aspx?menuIndex=3&amp;refID=7155691&amp;Result=3","7155691")</f>
        <v>0</v>
      </c>
      <c r="B6353" t="s">
        <v>313</v>
      </c>
      <c r="C6353" t="s">
        <v>9894</v>
      </c>
      <c r="D6353" t="s">
        <v>19052</v>
      </c>
      <c r="E6353" t="s">
        <v>24651</v>
      </c>
      <c r="F6353" t="s">
        <v>32831</v>
      </c>
      <c r="G6353" t="s">
        <v>32839</v>
      </c>
      <c r="H6353" t="s">
        <v>32848</v>
      </c>
      <c r="I6353" t="s">
        <v>4558</v>
      </c>
      <c r="J6353" t="s">
        <v>37018</v>
      </c>
      <c r="K6353" t="s">
        <v>42726</v>
      </c>
      <c r="M6353" t="s">
        <v>43315</v>
      </c>
      <c r="N6353" t="s">
        <v>47424</v>
      </c>
      <c r="O6353" t="s">
        <v>47425</v>
      </c>
      <c r="P6353">
        <v>0</v>
      </c>
      <c r="Q6353">
        <v>8</v>
      </c>
      <c r="R6353" t="s">
        <v>47431</v>
      </c>
      <c r="S6353" t="s">
        <v>47565</v>
      </c>
      <c r="T6353" t="s">
        <v>49267</v>
      </c>
      <c r="U6353" t="s">
        <v>55036</v>
      </c>
      <c r="W6353" t="s">
        <v>64435</v>
      </c>
      <c r="X6353" t="s">
        <v>47432</v>
      </c>
    </row>
    <row r="6354" spans="1:24">
      <c r="A6354">
        <f>HYPERLINK("https://www.philgeps.gov.ph/GEPSNONPILOT/Tender/SplashBidNoticeAbstractUI.aspx?menuIndex=3&amp;refID=7155655&amp;Result=3","7155655")</f>
        <v>0</v>
      </c>
      <c r="B6354" t="s">
        <v>583</v>
      </c>
      <c r="C6354" t="s">
        <v>9895</v>
      </c>
      <c r="D6354" t="s">
        <v>19069</v>
      </c>
      <c r="E6354" t="s">
        <v>24652</v>
      </c>
      <c r="F6354" t="s">
        <v>32831</v>
      </c>
      <c r="G6354" t="s">
        <v>32838</v>
      </c>
      <c r="H6354" t="s">
        <v>32849</v>
      </c>
      <c r="I6354" t="s">
        <v>4177</v>
      </c>
      <c r="J6354" t="s">
        <v>37019</v>
      </c>
      <c r="K6354" t="s">
        <v>42727</v>
      </c>
      <c r="M6354" t="s">
        <v>43594</v>
      </c>
      <c r="N6354" t="s">
        <v>47424</v>
      </c>
      <c r="O6354" t="s">
        <v>47425</v>
      </c>
      <c r="P6354">
        <v>0</v>
      </c>
      <c r="Q6354">
        <v>0</v>
      </c>
      <c r="R6354" t="s">
        <v>47431</v>
      </c>
      <c r="S6354" t="s">
        <v>47565</v>
      </c>
      <c r="T6354" t="s">
        <v>49123</v>
      </c>
      <c r="U6354" t="s">
        <v>55037</v>
      </c>
      <c r="V6354" t="s">
        <v>63097</v>
      </c>
      <c r="W6354" t="s">
        <v>43594</v>
      </c>
      <c r="X6354" t="s">
        <v>47432</v>
      </c>
    </row>
    <row r="6355" spans="1:24">
      <c r="A6355">
        <f>HYPERLINK("https://www.philgeps.gov.ph/GEPSNONPILOT/Tender/SplashBidNoticeAbstractUI.aspx?menuIndex=3&amp;refID=7155685&amp;Result=3","7155685")</f>
        <v>0</v>
      </c>
      <c r="B6355" t="s">
        <v>1665</v>
      </c>
      <c r="C6355" t="s">
        <v>9896</v>
      </c>
      <c r="D6355" t="s">
        <v>19095</v>
      </c>
      <c r="E6355" t="s">
        <v>24653</v>
      </c>
      <c r="F6355" t="s">
        <v>32831</v>
      </c>
      <c r="G6355" t="s">
        <v>32840</v>
      </c>
      <c r="H6355" t="s">
        <v>32848</v>
      </c>
      <c r="I6355" t="s">
        <v>4177</v>
      </c>
      <c r="J6355" t="s">
        <v>37020</v>
      </c>
      <c r="K6355" t="s">
        <v>42732</v>
      </c>
      <c r="M6355" t="s">
        <v>44782</v>
      </c>
      <c r="N6355" t="s">
        <v>47424</v>
      </c>
      <c r="O6355" t="s">
        <v>47425</v>
      </c>
      <c r="P6355">
        <v>0</v>
      </c>
      <c r="Q6355">
        <v>0</v>
      </c>
      <c r="R6355" t="s">
        <v>47431</v>
      </c>
      <c r="S6355" t="s">
        <v>47565</v>
      </c>
      <c r="T6355" t="s">
        <v>49129</v>
      </c>
      <c r="U6355" t="s">
        <v>55038</v>
      </c>
      <c r="W6355" t="s">
        <v>64483</v>
      </c>
      <c r="X6355" t="s">
        <v>47432</v>
      </c>
    </row>
    <row r="6356" spans="1:24">
      <c r="A6356">
        <f>HYPERLINK("https://www.philgeps.gov.ph/GEPSNONPILOT/Tender/SplashBidNoticeAbstractUI.aspx?menuIndex=3&amp;refID=7155599&amp;Result=3","7155599")</f>
        <v>0</v>
      </c>
      <c r="B6356" t="s">
        <v>2287</v>
      </c>
      <c r="C6356" t="s">
        <v>9897</v>
      </c>
      <c r="D6356" t="s">
        <v>19033</v>
      </c>
      <c r="E6356" t="s">
        <v>24654</v>
      </c>
      <c r="F6356" t="s">
        <v>32831</v>
      </c>
      <c r="G6356" t="s">
        <v>32839</v>
      </c>
      <c r="H6356" t="s">
        <v>32848</v>
      </c>
      <c r="I6356" t="s">
        <v>32870</v>
      </c>
      <c r="J6356" t="s">
        <v>33083</v>
      </c>
      <c r="K6356" t="s">
        <v>42747</v>
      </c>
      <c r="M6356" t="s">
        <v>45471</v>
      </c>
      <c r="N6356" t="s">
        <v>47424</v>
      </c>
      <c r="O6356" t="s">
        <v>47425</v>
      </c>
      <c r="P6356">
        <v>0</v>
      </c>
      <c r="Q6356">
        <v>0</v>
      </c>
      <c r="R6356" t="s">
        <v>47431</v>
      </c>
      <c r="S6356" t="s">
        <v>47565</v>
      </c>
      <c r="T6356" t="s">
        <v>49207</v>
      </c>
      <c r="U6356" t="s">
        <v>55039</v>
      </c>
      <c r="V6356" t="s">
        <v>63334</v>
      </c>
      <c r="W6356" t="s">
        <v>45471</v>
      </c>
      <c r="X6356" t="s">
        <v>47432</v>
      </c>
    </row>
    <row r="6357" spans="1:24">
      <c r="A6357">
        <f>HYPERLINK("https://www.philgeps.gov.ph/GEPSNONPILOT/Tender/SplashBidNoticeAbstractUI.aspx?menuIndex=3&amp;refID=7155684&amp;Result=3","7155684")</f>
        <v>0</v>
      </c>
      <c r="B6357" t="s">
        <v>34</v>
      </c>
      <c r="C6357" t="s">
        <v>9898</v>
      </c>
      <c r="E6357" t="s">
        <v>24655</v>
      </c>
      <c r="F6357" t="s">
        <v>32831</v>
      </c>
      <c r="G6357" t="s">
        <v>32839</v>
      </c>
      <c r="H6357" t="s">
        <v>32848</v>
      </c>
      <c r="I6357" t="s">
        <v>7751</v>
      </c>
      <c r="J6357" t="s">
        <v>36801</v>
      </c>
      <c r="K6357" t="s">
        <v>42763</v>
      </c>
      <c r="M6357" t="s">
        <v>44653</v>
      </c>
      <c r="N6357" t="s">
        <v>47424</v>
      </c>
      <c r="O6357" t="s">
        <v>47425</v>
      </c>
      <c r="P6357">
        <v>0</v>
      </c>
      <c r="Q6357">
        <v>15</v>
      </c>
      <c r="R6357" t="s">
        <v>47431</v>
      </c>
      <c r="S6357" t="s">
        <v>47565</v>
      </c>
      <c r="T6357" t="s">
        <v>49267</v>
      </c>
      <c r="U6357" t="s">
        <v>55040</v>
      </c>
      <c r="W6357" t="s">
        <v>44653</v>
      </c>
      <c r="X6357" t="s">
        <v>47432</v>
      </c>
    </row>
    <row r="6358" spans="1:24">
      <c r="A6358">
        <f>HYPERLINK("https://www.philgeps.gov.ph/GEPSNONPILOT/Tender/SplashBidNoticeAbstractUI.aspx?menuIndex=3&amp;refID=7155640&amp;Result=3","7155640")</f>
        <v>0</v>
      </c>
      <c r="B6358" t="s">
        <v>2288</v>
      </c>
      <c r="C6358" t="s">
        <v>9899</v>
      </c>
      <c r="D6358" t="s">
        <v>19049</v>
      </c>
      <c r="E6358" t="s">
        <v>21333</v>
      </c>
      <c r="F6358" t="s">
        <v>32833</v>
      </c>
      <c r="G6358" t="s">
        <v>32840</v>
      </c>
      <c r="H6358" t="s">
        <v>32848</v>
      </c>
      <c r="I6358" t="s">
        <v>9577</v>
      </c>
      <c r="J6358" t="s">
        <v>37021</v>
      </c>
      <c r="K6358" t="s">
        <v>42759</v>
      </c>
      <c r="M6358" t="s">
        <v>45472</v>
      </c>
      <c r="N6358" t="s">
        <v>47424</v>
      </c>
      <c r="O6358" t="s">
        <v>47425</v>
      </c>
      <c r="P6358">
        <v>0</v>
      </c>
      <c r="Q6358">
        <v>0</v>
      </c>
      <c r="R6358" t="s">
        <v>47431</v>
      </c>
      <c r="S6358" t="s">
        <v>47565</v>
      </c>
      <c r="T6358" t="s">
        <v>49235</v>
      </c>
      <c r="U6358" t="s">
        <v>55041</v>
      </c>
      <c r="W6358" t="s">
        <v>45472</v>
      </c>
      <c r="X6358" t="s">
        <v>47432</v>
      </c>
    </row>
    <row r="6359" spans="1:24">
      <c r="A6359">
        <f>HYPERLINK("https://www.philgeps.gov.ph/GEPSNONPILOT/Tender/SplashBidNoticeAbstractUI.aspx?menuIndex=3&amp;refID=7155692&amp;Result=3","7155692")</f>
        <v>0</v>
      </c>
      <c r="B6359" t="s">
        <v>1378</v>
      </c>
      <c r="C6359" t="s">
        <v>9900</v>
      </c>
      <c r="D6359" t="s">
        <v>19017</v>
      </c>
      <c r="E6359" t="s">
        <v>24656</v>
      </c>
      <c r="F6359" t="s">
        <v>32831</v>
      </c>
      <c r="G6359" t="s">
        <v>32838</v>
      </c>
      <c r="H6359" t="s">
        <v>32848</v>
      </c>
      <c r="I6359" t="s">
        <v>4558</v>
      </c>
      <c r="J6359" t="s">
        <v>36708</v>
      </c>
      <c r="K6359" t="s">
        <v>42726</v>
      </c>
      <c r="M6359" t="s">
        <v>44462</v>
      </c>
      <c r="N6359" t="s">
        <v>47424</v>
      </c>
      <c r="O6359" t="s">
        <v>47425</v>
      </c>
      <c r="P6359">
        <v>0</v>
      </c>
      <c r="Q6359">
        <v>4</v>
      </c>
      <c r="R6359" t="s">
        <v>47431</v>
      </c>
      <c r="S6359" t="s">
        <v>47565</v>
      </c>
      <c r="T6359" t="s">
        <v>49270</v>
      </c>
      <c r="U6359" t="s">
        <v>55042</v>
      </c>
      <c r="W6359" t="s">
        <v>44462</v>
      </c>
      <c r="X6359" t="s">
        <v>47432</v>
      </c>
    </row>
    <row r="6360" spans="1:24">
      <c r="A6360">
        <f>HYPERLINK("https://www.philgeps.gov.ph/GEPSNONPILOT/Tender/SplashBidNoticeAbstractUI.aspx?menuIndex=3&amp;refID=7155681&amp;Result=3","7155681")</f>
        <v>0</v>
      </c>
      <c r="B6360" t="s">
        <v>1150</v>
      </c>
      <c r="C6360" t="s">
        <v>9901</v>
      </c>
      <c r="D6360" t="s">
        <v>19095</v>
      </c>
      <c r="E6360" t="s">
        <v>24657</v>
      </c>
      <c r="F6360" t="s">
        <v>32831</v>
      </c>
      <c r="G6360" t="s">
        <v>32838</v>
      </c>
      <c r="H6360" t="s">
        <v>32848</v>
      </c>
      <c r="I6360" t="s">
        <v>32860</v>
      </c>
      <c r="J6360" t="s">
        <v>37022</v>
      </c>
      <c r="K6360" t="s">
        <v>42730</v>
      </c>
      <c r="M6360" t="s">
        <v>44214</v>
      </c>
      <c r="N6360" t="s">
        <v>47424</v>
      </c>
      <c r="O6360" t="s">
        <v>47425</v>
      </c>
      <c r="P6360">
        <v>0</v>
      </c>
      <c r="Q6360">
        <v>3</v>
      </c>
      <c r="R6360" t="s">
        <v>47431</v>
      </c>
      <c r="S6360" t="s">
        <v>47565</v>
      </c>
      <c r="T6360" t="s">
        <v>49239</v>
      </c>
      <c r="U6360" t="s">
        <v>55043</v>
      </c>
      <c r="V6360" t="s">
        <v>50288</v>
      </c>
      <c r="W6360" t="s">
        <v>44214</v>
      </c>
      <c r="X6360" t="s">
        <v>47432</v>
      </c>
    </row>
    <row r="6361" spans="1:24">
      <c r="A6361">
        <f>HYPERLINK("https://www.philgeps.gov.ph/GEPSNONPILOT/Tender/SplashBidNoticeAbstractUI.aspx?menuIndex=3&amp;refID=7155680&amp;Result=3","7155680")</f>
        <v>0</v>
      </c>
      <c r="B6361" t="s">
        <v>2289</v>
      </c>
      <c r="C6361" t="s">
        <v>9902</v>
      </c>
      <c r="D6361" t="s">
        <v>19018</v>
      </c>
      <c r="E6361" t="s">
        <v>23938</v>
      </c>
      <c r="F6361" t="s">
        <v>32831</v>
      </c>
      <c r="G6361" t="s">
        <v>32838</v>
      </c>
      <c r="H6361" t="s">
        <v>32848</v>
      </c>
      <c r="I6361" t="s">
        <v>4776</v>
      </c>
      <c r="J6361" t="s">
        <v>33018</v>
      </c>
      <c r="K6361" t="s">
        <v>42730</v>
      </c>
      <c r="M6361" t="s">
        <v>45473</v>
      </c>
      <c r="N6361" t="s">
        <v>47424</v>
      </c>
      <c r="O6361" t="s">
        <v>47425</v>
      </c>
      <c r="P6361">
        <v>0</v>
      </c>
      <c r="Q6361">
        <v>4</v>
      </c>
      <c r="R6361" t="s">
        <v>47431</v>
      </c>
      <c r="S6361" t="s">
        <v>47565</v>
      </c>
      <c r="T6361" t="s">
        <v>49145</v>
      </c>
      <c r="U6361" t="s">
        <v>55044</v>
      </c>
      <c r="W6361" t="s">
        <v>45473</v>
      </c>
      <c r="X6361" t="s">
        <v>47432</v>
      </c>
    </row>
    <row r="6362" spans="1:24">
      <c r="A6362">
        <f>HYPERLINK("https://www.philgeps.gov.ph/GEPSNONPILOT/Tender/SplashBidNoticeAbstractUI.aspx?menuIndex=3&amp;refID=7155676&amp;Result=3","7155676")</f>
        <v>0</v>
      </c>
      <c r="B6362" t="s">
        <v>2290</v>
      </c>
      <c r="C6362" t="s">
        <v>9903</v>
      </c>
      <c r="D6362" t="s">
        <v>19068</v>
      </c>
      <c r="E6362" t="s">
        <v>24658</v>
      </c>
      <c r="F6362" t="s">
        <v>32831</v>
      </c>
      <c r="G6362" t="s">
        <v>32839</v>
      </c>
      <c r="H6362" t="s">
        <v>32848</v>
      </c>
      <c r="I6362" t="s">
        <v>7416</v>
      </c>
      <c r="J6362" t="s">
        <v>37023</v>
      </c>
      <c r="K6362" t="s">
        <v>42779</v>
      </c>
      <c r="M6362" t="s">
        <v>45474</v>
      </c>
      <c r="N6362" t="s">
        <v>47424</v>
      </c>
      <c r="O6362" t="s">
        <v>47425</v>
      </c>
      <c r="P6362">
        <v>0</v>
      </c>
      <c r="Q6362">
        <v>0</v>
      </c>
      <c r="R6362" t="s">
        <v>47431</v>
      </c>
      <c r="S6362" t="s">
        <v>47565</v>
      </c>
      <c r="T6362" t="s">
        <v>49127</v>
      </c>
      <c r="U6362" t="s">
        <v>55045</v>
      </c>
      <c r="W6362" t="s">
        <v>45474</v>
      </c>
      <c r="X6362" t="s">
        <v>47432</v>
      </c>
    </row>
    <row r="6363" spans="1:24">
      <c r="A6363">
        <f>HYPERLINK("https://www.philgeps.gov.ph/GEPSNONPILOT/Tender/SplashBidNoticeAbstractUI.aspx?menuIndex=3&amp;refID=7155644&amp;Result=3","7155644")</f>
        <v>0</v>
      </c>
      <c r="B6363" t="s">
        <v>2291</v>
      </c>
      <c r="C6363" t="s">
        <v>9904</v>
      </c>
      <c r="E6363" t="s">
        <v>24659</v>
      </c>
      <c r="F6363" t="s">
        <v>32831</v>
      </c>
      <c r="G6363" t="s">
        <v>32838</v>
      </c>
      <c r="H6363" t="s">
        <v>32848</v>
      </c>
      <c r="I6363" t="s">
        <v>32862</v>
      </c>
      <c r="J6363" t="s">
        <v>37024</v>
      </c>
      <c r="K6363" t="s">
        <v>42750</v>
      </c>
      <c r="M6363" t="s">
        <v>45475</v>
      </c>
      <c r="N6363" t="s">
        <v>47424</v>
      </c>
      <c r="O6363" t="s">
        <v>47425</v>
      </c>
      <c r="P6363">
        <v>0</v>
      </c>
      <c r="Q6363">
        <v>1</v>
      </c>
      <c r="R6363" t="s">
        <v>47431</v>
      </c>
      <c r="S6363" t="s">
        <v>47565</v>
      </c>
      <c r="T6363" t="s">
        <v>49114</v>
      </c>
      <c r="U6363" t="s">
        <v>55046</v>
      </c>
      <c r="W6363" t="s">
        <v>45475</v>
      </c>
      <c r="X6363" t="s">
        <v>47432</v>
      </c>
    </row>
    <row r="6364" spans="1:24">
      <c r="A6364">
        <f>HYPERLINK("https://www.philgeps.gov.ph/GEPSNONPILOT/Tender/SplashBidNoticeAbstractUI.aspx?menuIndex=3&amp;refID=7155683&amp;Result=3","7155683")</f>
        <v>0</v>
      </c>
      <c r="B6364" t="s">
        <v>661</v>
      </c>
      <c r="C6364" t="s">
        <v>9905</v>
      </c>
      <c r="D6364" t="s">
        <v>19058</v>
      </c>
      <c r="E6364" t="s">
        <v>24660</v>
      </c>
      <c r="F6364" t="s">
        <v>32831</v>
      </c>
      <c r="G6364" t="s">
        <v>32839</v>
      </c>
      <c r="H6364" t="s">
        <v>32848</v>
      </c>
      <c r="I6364" t="s">
        <v>7416</v>
      </c>
      <c r="J6364" t="s">
        <v>34448</v>
      </c>
      <c r="K6364" t="s">
        <v>42731</v>
      </c>
      <c r="M6364" t="s">
        <v>43679</v>
      </c>
      <c r="N6364" t="s">
        <v>47424</v>
      </c>
      <c r="O6364" t="s">
        <v>47425</v>
      </c>
      <c r="P6364">
        <v>0</v>
      </c>
      <c r="Q6364">
        <v>0</v>
      </c>
      <c r="R6364" t="s">
        <v>47431</v>
      </c>
      <c r="S6364" t="s">
        <v>47565</v>
      </c>
      <c r="T6364" t="s">
        <v>49056</v>
      </c>
      <c r="U6364" t="s">
        <v>55047</v>
      </c>
      <c r="W6364" t="s">
        <v>43679</v>
      </c>
      <c r="X6364" t="s">
        <v>47432</v>
      </c>
    </row>
    <row r="6365" spans="1:24">
      <c r="A6365">
        <f>HYPERLINK("https://www.philgeps.gov.ph/GEPSNONPILOT/Tender/SplashBidNoticeAbstractUI.aspx?menuIndex=3&amp;refID=7155682&amp;Result=3","7155682")</f>
        <v>0</v>
      </c>
      <c r="B6365" t="s">
        <v>2292</v>
      </c>
      <c r="C6365" t="s">
        <v>9906</v>
      </c>
      <c r="D6365" t="s">
        <v>19083</v>
      </c>
      <c r="E6365" t="s">
        <v>24661</v>
      </c>
      <c r="F6365" t="s">
        <v>32831</v>
      </c>
      <c r="G6365" t="s">
        <v>32840</v>
      </c>
      <c r="H6365" t="s">
        <v>32848</v>
      </c>
      <c r="I6365" t="s">
        <v>32909</v>
      </c>
      <c r="J6365" t="s">
        <v>35305</v>
      </c>
      <c r="K6365" t="s">
        <v>42742</v>
      </c>
      <c r="M6365" t="s">
        <v>45476</v>
      </c>
      <c r="N6365" t="s">
        <v>47424</v>
      </c>
      <c r="O6365" t="s">
        <v>47425</v>
      </c>
      <c r="P6365">
        <v>0</v>
      </c>
      <c r="Q6365">
        <v>3</v>
      </c>
      <c r="R6365" t="s">
        <v>47431</v>
      </c>
      <c r="S6365" t="s">
        <v>47565</v>
      </c>
      <c r="T6365" t="s">
        <v>49150</v>
      </c>
      <c r="U6365" t="s">
        <v>55048</v>
      </c>
      <c r="V6365" t="s">
        <v>63335</v>
      </c>
      <c r="W6365" t="s">
        <v>45476</v>
      </c>
      <c r="X6365" t="s">
        <v>47432</v>
      </c>
    </row>
    <row r="6366" spans="1:24">
      <c r="A6366">
        <f>HYPERLINK("https://www.philgeps.gov.ph/GEPSNONPILOT/Tender/SplashBidNoticeAbstractUI.aspx?menuIndex=3&amp;refID=7155739&amp;Result=3","7155739")</f>
        <v>0</v>
      </c>
      <c r="B6366" t="s">
        <v>2268</v>
      </c>
      <c r="C6366" t="s">
        <v>9907</v>
      </c>
      <c r="D6366" t="s">
        <v>19037</v>
      </c>
      <c r="E6366" t="s">
        <v>20710</v>
      </c>
      <c r="F6366" t="s">
        <v>32831</v>
      </c>
      <c r="G6366" t="s">
        <v>32839</v>
      </c>
      <c r="H6366" t="s">
        <v>32848</v>
      </c>
      <c r="I6366" t="s">
        <v>7416</v>
      </c>
      <c r="J6366" t="s">
        <v>37025</v>
      </c>
      <c r="K6366" t="s">
        <v>42731</v>
      </c>
      <c r="M6366" t="s">
        <v>45452</v>
      </c>
      <c r="N6366" t="s">
        <v>47424</v>
      </c>
      <c r="O6366" t="s">
        <v>47425</v>
      </c>
      <c r="P6366">
        <v>0</v>
      </c>
      <c r="Q6366">
        <v>0</v>
      </c>
      <c r="R6366" t="s">
        <v>47431</v>
      </c>
      <c r="S6366" t="s">
        <v>47565</v>
      </c>
      <c r="T6366" t="s">
        <v>49104</v>
      </c>
      <c r="U6366" t="s">
        <v>55049</v>
      </c>
      <c r="W6366" t="s">
        <v>45452</v>
      </c>
      <c r="X6366" t="s">
        <v>47432</v>
      </c>
    </row>
    <row r="6367" spans="1:24">
      <c r="A6367">
        <f>HYPERLINK("https://www.philgeps.gov.ph/GEPSNONPILOT/Tender/SplashBidNoticeAbstractUI.aspx?menuIndex=3&amp;refID=7155738&amp;Result=3","7155738")</f>
        <v>0</v>
      </c>
      <c r="B6367" t="s">
        <v>1693</v>
      </c>
      <c r="C6367" t="s">
        <v>9908</v>
      </c>
      <c r="D6367" t="s">
        <v>19017</v>
      </c>
      <c r="E6367" t="s">
        <v>24662</v>
      </c>
      <c r="F6367" t="s">
        <v>32831</v>
      </c>
      <c r="G6367" t="s">
        <v>32838</v>
      </c>
      <c r="H6367" t="s">
        <v>32848</v>
      </c>
      <c r="I6367" t="s">
        <v>10643</v>
      </c>
      <c r="J6367" t="s">
        <v>37026</v>
      </c>
      <c r="K6367" t="s">
        <v>42732</v>
      </c>
      <c r="M6367" t="s">
        <v>45477</v>
      </c>
      <c r="N6367" t="s">
        <v>47424</v>
      </c>
      <c r="O6367" t="s">
        <v>47425</v>
      </c>
      <c r="P6367">
        <v>0</v>
      </c>
      <c r="Q6367">
        <v>6</v>
      </c>
      <c r="R6367" t="s">
        <v>47431</v>
      </c>
      <c r="S6367" t="s">
        <v>47565</v>
      </c>
      <c r="T6367" t="s">
        <v>49374</v>
      </c>
      <c r="U6367" t="s">
        <v>55050</v>
      </c>
      <c r="W6367" t="s">
        <v>45477</v>
      </c>
      <c r="X6367" t="s">
        <v>47432</v>
      </c>
    </row>
    <row r="6368" spans="1:24">
      <c r="A6368">
        <f>HYPERLINK("https://www.philgeps.gov.ph/GEPSNONPILOT/Tender/SplashBidNoticeAbstractUI.aspx?menuIndex=3&amp;refID=7155731&amp;Result=3","7155731")</f>
        <v>0</v>
      </c>
      <c r="B6368" t="s">
        <v>661</v>
      </c>
      <c r="C6368" t="s">
        <v>9909</v>
      </c>
      <c r="D6368" t="s">
        <v>19058</v>
      </c>
      <c r="E6368" t="s">
        <v>24663</v>
      </c>
      <c r="F6368" t="s">
        <v>32831</v>
      </c>
      <c r="G6368" t="s">
        <v>32839</v>
      </c>
      <c r="H6368" t="s">
        <v>32848</v>
      </c>
      <c r="I6368" t="s">
        <v>7416</v>
      </c>
      <c r="J6368" t="s">
        <v>37027</v>
      </c>
      <c r="K6368" t="s">
        <v>42731</v>
      </c>
      <c r="M6368" t="s">
        <v>43679</v>
      </c>
      <c r="N6368" t="s">
        <v>47424</v>
      </c>
      <c r="O6368" t="s">
        <v>47425</v>
      </c>
      <c r="P6368">
        <v>0</v>
      </c>
      <c r="Q6368">
        <v>0</v>
      </c>
      <c r="R6368" t="s">
        <v>47431</v>
      </c>
      <c r="S6368" t="s">
        <v>47565</v>
      </c>
      <c r="T6368" t="s">
        <v>49056</v>
      </c>
      <c r="U6368" t="s">
        <v>55051</v>
      </c>
      <c r="W6368" t="s">
        <v>43679</v>
      </c>
      <c r="X6368" t="s">
        <v>47432</v>
      </c>
    </row>
    <row r="6369" spans="1:24">
      <c r="A6369">
        <f>HYPERLINK("https://www.philgeps.gov.ph/GEPSNONPILOT/Tender/SplashBidNoticeAbstractUI.aspx?menuIndex=3&amp;refID=7155746&amp;Result=3","7155746")</f>
        <v>0</v>
      </c>
      <c r="B6369" t="s">
        <v>1872</v>
      </c>
      <c r="C6369" t="s">
        <v>9910</v>
      </c>
      <c r="D6369" t="s">
        <v>19100</v>
      </c>
      <c r="E6369" t="s">
        <v>19520</v>
      </c>
      <c r="F6369" t="s">
        <v>32831</v>
      </c>
      <c r="G6369" t="s">
        <v>32838</v>
      </c>
      <c r="H6369" t="s">
        <v>32849</v>
      </c>
      <c r="I6369" t="s">
        <v>4177</v>
      </c>
      <c r="J6369" t="s">
        <v>33018</v>
      </c>
      <c r="K6369" t="s">
        <v>42730</v>
      </c>
      <c r="M6369" t="s">
        <v>45016</v>
      </c>
      <c r="N6369" t="s">
        <v>47424</v>
      </c>
      <c r="O6369" t="s">
        <v>47425</v>
      </c>
      <c r="P6369">
        <v>0</v>
      </c>
      <c r="Q6369">
        <v>0</v>
      </c>
      <c r="R6369" t="s">
        <v>47431</v>
      </c>
      <c r="S6369" t="s">
        <v>47565</v>
      </c>
      <c r="T6369" t="s">
        <v>49239</v>
      </c>
      <c r="U6369" t="s">
        <v>55052</v>
      </c>
      <c r="W6369" t="s">
        <v>45016</v>
      </c>
      <c r="X6369" t="s">
        <v>47432</v>
      </c>
    </row>
    <row r="6370" spans="1:24">
      <c r="A6370">
        <f>HYPERLINK("https://www.philgeps.gov.ph/GEPSNONPILOT/Tender/SplashBidNoticeAbstractUI.aspx?menuIndex=3&amp;refID=7155729&amp;Result=3","7155729")</f>
        <v>0</v>
      </c>
      <c r="B6370" t="s">
        <v>2293</v>
      </c>
      <c r="C6370" t="s">
        <v>9911</v>
      </c>
      <c r="D6370" t="s">
        <v>19041</v>
      </c>
      <c r="E6370" t="s">
        <v>24664</v>
      </c>
      <c r="F6370" t="s">
        <v>32831</v>
      </c>
      <c r="G6370" t="s">
        <v>32838</v>
      </c>
      <c r="H6370" t="s">
        <v>32848</v>
      </c>
      <c r="I6370" t="s">
        <v>32927</v>
      </c>
      <c r="J6370" t="s">
        <v>37028</v>
      </c>
      <c r="K6370" t="s">
        <v>42748</v>
      </c>
      <c r="M6370" t="s">
        <v>45478</v>
      </c>
      <c r="N6370" t="s">
        <v>47424</v>
      </c>
      <c r="O6370" t="s">
        <v>47425</v>
      </c>
      <c r="P6370">
        <v>0</v>
      </c>
      <c r="Q6370">
        <v>0</v>
      </c>
      <c r="R6370" t="s">
        <v>47431</v>
      </c>
      <c r="S6370" t="s">
        <v>47565</v>
      </c>
      <c r="T6370" t="s">
        <v>49107</v>
      </c>
      <c r="U6370" t="s">
        <v>55053</v>
      </c>
      <c r="W6370" t="s">
        <v>45478</v>
      </c>
      <c r="X6370" t="s">
        <v>47432</v>
      </c>
    </row>
    <row r="6371" spans="1:24">
      <c r="A6371">
        <f>HYPERLINK("https://www.philgeps.gov.ph/GEPSNONPILOT/Tender/SplashBidNoticeAbstractUI.aspx?menuIndex=3&amp;refID=7155702&amp;Result=3","7155702")</f>
        <v>0</v>
      </c>
      <c r="B6371" t="s">
        <v>307</v>
      </c>
      <c r="C6371" t="s">
        <v>9912</v>
      </c>
      <c r="D6371" t="s">
        <v>19078</v>
      </c>
      <c r="E6371" t="s">
        <v>24665</v>
      </c>
      <c r="F6371" t="s">
        <v>32831</v>
      </c>
      <c r="G6371" t="s">
        <v>32839</v>
      </c>
      <c r="H6371" t="s">
        <v>32848</v>
      </c>
      <c r="I6371" t="s">
        <v>7751</v>
      </c>
      <c r="J6371" t="s">
        <v>33118</v>
      </c>
      <c r="K6371" t="s">
        <v>42776</v>
      </c>
      <c r="M6371" t="s">
        <v>43308</v>
      </c>
      <c r="N6371" t="s">
        <v>47424</v>
      </c>
      <c r="O6371" t="s">
        <v>47425</v>
      </c>
      <c r="P6371">
        <v>0</v>
      </c>
      <c r="Q6371">
        <v>3</v>
      </c>
      <c r="R6371" t="s">
        <v>47431</v>
      </c>
      <c r="S6371" t="s">
        <v>47565</v>
      </c>
      <c r="T6371" t="s">
        <v>49236</v>
      </c>
      <c r="U6371" t="s">
        <v>55054</v>
      </c>
      <c r="W6371" t="s">
        <v>43308</v>
      </c>
      <c r="X6371" t="s">
        <v>47432</v>
      </c>
    </row>
    <row r="6372" spans="1:24">
      <c r="A6372">
        <f>HYPERLINK("https://www.philgeps.gov.ph/GEPSNONPILOT/Tender/SplashBidNoticeAbstractUI.aspx?menuIndex=3&amp;refID=7155744&amp;Result=3","7155744")</f>
        <v>0</v>
      </c>
      <c r="B6372" t="s">
        <v>2291</v>
      </c>
      <c r="C6372" t="s">
        <v>9913</v>
      </c>
      <c r="D6372" t="s">
        <v>19078</v>
      </c>
      <c r="E6372" t="s">
        <v>24666</v>
      </c>
      <c r="F6372" t="s">
        <v>32831</v>
      </c>
      <c r="G6372" t="s">
        <v>32838</v>
      </c>
      <c r="H6372" t="s">
        <v>32848</v>
      </c>
      <c r="I6372" t="s">
        <v>5379</v>
      </c>
      <c r="J6372" t="s">
        <v>33461</v>
      </c>
      <c r="K6372" t="s">
        <v>42726</v>
      </c>
      <c r="M6372" t="s">
        <v>45475</v>
      </c>
      <c r="N6372" t="s">
        <v>47424</v>
      </c>
      <c r="O6372" t="s">
        <v>47425</v>
      </c>
      <c r="P6372">
        <v>0</v>
      </c>
      <c r="Q6372">
        <v>0</v>
      </c>
      <c r="R6372" t="s">
        <v>47431</v>
      </c>
      <c r="S6372" t="s">
        <v>47565</v>
      </c>
      <c r="T6372" t="s">
        <v>49114</v>
      </c>
      <c r="U6372" t="s">
        <v>55055</v>
      </c>
      <c r="W6372" t="s">
        <v>45475</v>
      </c>
      <c r="X6372" t="s">
        <v>47432</v>
      </c>
    </row>
    <row r="6373" spans="1:24">
      <c r="A6373">
        <f>HYPERLINK("https://www.philgeps.gov.ph/GEPSNONPILOT/Tender/SplashBidNoticeAbstractUI.aspx?menuIndex=3&amp;refID=7155730&amp;Result=3","7155730")</f>
        <v>0</v>
      </c>
      <c r="B6373" t="s">
        <v>2281</v>
      </c>
      <c r="C6373" t="s">
        <v>9914</v>
      </c>
      <c r="D6373" t="s">
        <v>19027</v>
      </c>
      <c r="E6373" t="s">
        <v>24667</v>
      </c>
      <c r="F6373" t="s">
        <v>32831</v>
      </c>
      <c r="G6373" t="s">
        <v>32838</v>
      </c>
      <c r="H6373" t="s">
        <v>32848</v>
      </c>
      <c r="I6373" t="s">
        <v>4438</v>
      </c>
      <c r="J6373" t="s">
        <v>37029</v>
      </c>
      <c r="K6373" t="s">
        <v>42732</v>
      </c>
      <c r="M6373" t="s">
        <v>45465</v>
      </c>
      <c r="N6373" t="s">
        <v>47424</v>
      </c>
      <c r="O6373" t="s">
        <v>47425</v>
      </c>
      <c r="P6373">
        <v>0</v>
      </c>
      <c r="Q6373">
        <v>0</v>
      </c>
      <c r="R6373" t="s">
        <v>47431</v>
      </c>
      <c r="S6373" t="s">
        <v>47565</v>
      </c>
      <c r="T6373" t="s">
        <v>49321</v>
      </c>
      <c r="U6373" t="s">
        <v>55056</v>
      </c>
      <c r="V6373" t="s">
        <v>63332</v>
      </c>
      <c r="W6373" t="s">
        <v>45465</v>
      </c>
      <c r="X6373" t="s">
        <v>47432</v>
      </c>
    </row>
    <row r="6374" spans="1:24">
      <c r="A6374">
        <f>HYPERLINK("https://www.philgeps.gov.ph/GEPSNONPILOT/Tender/SplashBidNoticeAbstractUI.aspx?menuIndex=3&amp;refID=7155728&amp;Result=3","7155728")</f>
        <v>0</v>
      </c>
      <c r="B6374" t="s">
        <v>2294</v>
      </c>
      <c r="C6374" t="s">
        <v>9915</v>
      </c>
      <c r="D6374" t="s">
        <v>19059</v>
      </c>
      <c r="E6374" t="s">
        <v>21000</v>
      </c>
      <c r="F6374" t="s">
        <v>32831</v>
      </c>
      <c r="G6374" t="s">
        <v>32839</v>
      </c>
      <c r="H6374" t="s">
        <v>32849</v>
      </c>
      <c r="I6374" t="s">
        <v>4177</v>
      </c>
      <c r="J6374" t="s">
        <v>37030</v>
      </c>
      <c r="K6374" t="s">
        <v>42763</v>
      </c>
      <c r="M6374" t="s">
        <v>45479</v>
      </c>
      <c r="N6374" t="s">
        <v>47424</v>
      </c>
      <c r="O6374" t="s">
        <v>47425</v>
      </c>
      <c r="P6374">
        <v>0</v>
      </c>
      <c r="Q6374">
        <v>41</v>
      </c>
      <c r="R6374" t="s">
        <v>47431</v>
      </c>
      <c r="S6374" t="s">
        <v>47565</v>
      </c>
      <c r="T6374" t="s">
        <v>49101</v>
      </c>
      <c r="U6374" t="s">
        <v>55057</v>
      </c>
      <c r="W6374" t="s">
        <v>45479</v>
      </c>
      <c r="X6374" t="s">
        <v>47432</v>
      </c>
    </row>
    <row r="6375" spans="1:24">
      <c r="A6375">
        <f>HYPERLINK("https://www.philgeps.gov.ph/GEPSNONPILOT/Tender/SplashBidNoticeAbstractUI.aspx?menuIndex=3&amp;refID=7155723&amp;Result=3","7155723")</f>
        <v>0</v>
      </c>
      <c r="B6375" t="s">
        <v>2295</v>
      </c>
      <c r="C6375" t="s">
        <v>4522</v>
      </c>
      <c r="D6375" t="s">
        <v>19024</v>
      </c>
      <c r="E6375" t="s">
        <v>24668</v>
      </c>
      <c r="F6375" t="s">
        <v>32831</v>
      </c>
      <c r="G6375" t="s">
        <v>32838</v>
      </c>
      <c r="H6375" t="s">
        <v>32848</v>
      </c>
      <c r="I6375" t="s">
        <v>9577</v>
      </c>
      <c r="J6375" t="s">
        <v>37031</v>
      </c>
      <c r="K6375" t="s">
        <v>42748</v>
      </c>
      <c r="M6375" t="s">
        <v>45480</v>
      </c>
      <c r="N6375" t="s">
        <v>47424</v>
      </c>
      <c r="O6375" t="s">
        <v>47425</v>
      </c>
      <c r="P6375">
        <v>0</v>
      </c>
      <c r="Q6375">
        <v>0</v>
      </c>
      <c r="R6375" t="s">
        <v>47431</v>
      </c>
      <c r="S6375" t="s">
        <v>47565</v>
      </c>
      <c r="T6375" t="s">
        <v>49162</v>
      </c>
      <c r="U6375" t="s">
        <v>55058</v>
      </c>
      <c r="W6375" t="s">
        <v>45480</v>
      </c>
      <c r="X6375" t="s">
        <v>47432</v>
      </c>
    </row>
    <row r="6376" spans="1:24">
      <c r="A6376">
        <f>HYPERLINK("https://www.philgeps.gov.ph/GEPSNONPILOT/Tender/SplashBidNoticeAbstractUI.aspx?menuIndex=3&amp;refID=7155718&amp;Result=3","7155718")</f>
        <v>0</v>
      </c>
      <c r="B6376" t="s">
        <v>2296</v>
      </c>
      <c r="C6376" t="s">
        <v>9916</v>
      </c>
      <c r="E6376" t="s">
        <v>24669</v>
      </c>
      <c r="F6376" t="s">
        <v>32831</v>
      </c>
      <c r="G6376" t="s">
        <v>32838</v>
      </c>
      <c r="H6376" t="s">
        <v>32848</v>
      </c>
      <c r="I6376" t="s">
        <v>5379</v>
      </c>
      <c r="J6376" t="s">
        <v>34033</v>
      </c>
      <c r="K6376" t="s">
        <v>42732</v>
      </c>
      <c r="M6376" t="s">
        <v>45481</v>
      </c>
      <c r="N6376" t="s">
        <v>47424</v>
      </c>
      <c r="O6376" t="s">
        <v>47425</v>
      </c>
      <c r="P6376">
        <v>0</v>
      </c>
      <c r="Q6376">
        <v>1</v>
      </c>
      <c r="R6376" t="s">
        <v>47431</v>
      </c>
      <c r="S6376" t="s">
        <v>47565</v>
      </c>
      <c r="T6376" t="s">
        <v>49214</v>
      </c>
      <c r="U6376" t="s">
        <v>55059</v>
      </c>
      <c r="W6376" t="s">
        <v>64506</v>
      </c>
      <c r="X6376" t="s">
        <v>47432</v>
      </c>
    </row>
    <row r="6377" spans="1:24">
      <c r="A6377">
        <f>HYPERLINK("https://www.philgeps.gov.ph/GEPSNONPILOT/Tender/SplashBidNoticeAbstractUI.aspx?menuIndex=3&amp;refID=7155732&amp;Result=3","7155732")</f>
        <v>0</v>
      </c>
      <c r="B6377" t="s">
        <v>2297</v>
      </c>
      <c r="C6377" t="s">
        <v>9917</v>
      </c>
      <c r="E6377" t="s">
        <v>24670</v>
      </c>
      <c r="F6377" t="s">
        <v>32831</v>
      </c>
      <c r="G6377" t="s">
        <v>32839</v>
      </c>
      <c r="H6377" t="s">
        <v>32849</v>
      </c>
      <c r="I6377" t="s">
        <v>4177</v>
      </c>
      <c r="J6377" t="s">
        <v>36840</v>
      </c>
      <c r="K6377" t="s">
        <v>42732</v>
      </c>
      <c r="M6377" t="s">
        <v>45482</v>
      </c>
      <c r="N6377" t="s">
        <v>47424</v>
      </c>
      <c r="O6377" t="s">
        <v>47425</v>
      </c>
      <c r="P6377">
        <v>0</v>
      </c>
      <c r="Q6377">
        <v>0</v>
      </c>
      <c r="R6377" t="s">
        <v>47431</v>
      </c>
      <c r="S6377" t="s">
        <v>47565</v>
      </c>
      <c r="T6377" t="s">
        <v>49129</v>
      </c>
      <c r="U6377" t="s">
        <v>55060</v>
      </c>
      <c r="W6377" t="s">
        <v>45482</v>
      </c>
      <c r="X6377" t="s">
        <v>47432</v>
      </c>
    </row>
    <row r="6378" spans="1:24">
      <c r="A6378">
        <f>HYPERLINK("https://www.philgeps.gov.ph/GEPSNONPILOT/Tender/SplashBidNoticeAbstractUI.aspx?menuIndex=3&amp;refID=7155779&amp;Result=3","7155779")</f>
        <v>0</v>
      </c>
      <c r="B6378" t="s">
        <v>2298</v>
      </c>
      <c r="C6378" t="s">
        <v>9918</v>
      </c>
      <c r="D6378" t="s">
        <v>19027</v>
      </c>
      <c r="E6378" t="s">
        <v>24671</v>
      </c>
      <c r="F6378" t="s">
        <v>32831</v>
      </c>
      <c r="G6378" t="s">
        <v>32839</v>
      </c>
      <c r="H6378" t="s">
        <v>32848</v>
      </c>
      <c r="I6378" t="s">
        <v>32860</v>
      </c>
      <c r="J6378" t="s">
        <v>37032</v>
      </c>
      <c r="K6378" t="s">
        <v>42732</v>
      </c>
      <c r="M6378" t="s">
        <v>45483</v>
      </c>
      <c r="N6378" t="s">
        <v>47424</v>
      </c>
      <c r="O6378" t="s">
        <v>47425</v>
      </c>
      <c r="P6378">
        <v>0</v>
      </c>
      <c r="Q6378">
        <v>2</v>
      </c>
      <c r="R6378" t="s">
        <v>47431</v>
      </c>
      <c r="S6378" t="s">
        <v>47565</v>
      </c>
      <c r="T6378" t="s">
        <v>49127</v>
      </c>
      <c r="U6378" t="s">
        <v>55061</v>
      </c>
      <c r="W6378" t="s">
        <v>45483</v>
      </c>
      <c r="X6378" t="s">
        <v>47432</v>
      </c>
    </row>
    <row r="6379" spans="1:24">
      <c r="A6379">
        <f>HYPERLINK("https://www.philgeps.gov.ph/GEPSNONPILOT/Tender/SplashBidNoticeAbstractUI.aspx?menuIndex=3&amp;refID=7155790&amp;Result=3","7155790")</f>
        <v>0</v>
      </c>
      <c r="B6379" t="s">
        <v>199</v>
      </c>
      <c r="C6379" t="s">
        <v>9919</v>
      </c>
      <c r="D6379" t="s">
        <v>19017</v>
      </c>
      <c r="E6379" t="s">
        <v>24672</v>
      </c>
      <c r="F6379" t="s">
        <v>32831</v>
      </c>
      <c r="G6379" t="s">
        <v>32840</v>
      </c>
      <c r="H6379" t="s">
        <v>32848</v>
      </c>
      <c r="I6379" t="s">
        <v>10805</v>
      </c>
      <c r="J6379" t="s">
        <v>37033</v>
      </c>
      <c r="K6379" t="s">
        <v>42745</v>
      </c>
      <c r="M6379" t="s">
        <v>43197</v>
      </c>
      <c r="N6379" t="s">
        <v>47424</v>
      </c>
      <c r="O6379" t="s">
        <v>47425</v>
      </c>
      <c r="P6379">
        <v>0</v>
      </c>
      <c r="Q6379">
        <v>3</v>
      </c>
      <c r="R6379" t="s">
        <v>47431</v>
      </c>
      <c r="S6379" t="s">
        <v>47565</v>
      </c>
      <c r="T6379" t="s">
        <v>49162</v>
      </c>
      <c r="U6379" t="s">
        <v>55062</v>
      </c>
      <c r="W6379" t="s">
        <v>43197</v>
      </c>
      <c r="X6379" t="s">
        <v>47432</v>
      </c>
    </row>
    <row r="6380" spans="1:24">
      <c r="A6380">
        <f>HYPERLINK("https://www.philgeps.gov.ph/GEPSNONPILOT/Tender/SplashBidNoticeAbstractUI.aspx?menuIndex=3&amp;refID=7155792&amp;Result=3","7155792")</f>
        <v>0</v>
      </c>
      <c r="B6380" t="s">
        <v>2297</v>
      </c>
      <c r="C6380" t="s">
        <v>9920</v>
      </c>
      <c r="D6380" t="s">
        <v>19103</v>
      </c>
      <c r="E6380" t="s">
        <v>24673</v>
      </c>
      <c r="F6380" t="s">
        <v>32831</v>
      </c>
      <c r="G6380" t="s">
        <v>32839</v>
      </c>
      <c r="H6380" t="s">
        <v>32848</v>
      </c>
      <c r="I6380" t="s">
        <v>32949</v>
      </c>
      <c r="J6380" t="s">
        <v>33044</v>
      </c>
      <c r="K6380" t="s">
        <v>42732</v>
      </c>
      <c r="M6380" t="s">
        <v>45482</v>
      </c>
      <c r="N6380" t="s">
        <v>47424</v>
      </c>
      <c r="O6380" t="s">
        <v>47425</v>
      </c>
      <c r="P6380">
        <v>0</v>
      </c>
      <c r="Q6380">
        <v>3</v>
      </c>
      <c r="R6380" t="s">
        <v>47431</v>
      </c>
      <c r="S6380" t="s">
        <v>47565</v>
      </c>
      <c r="T6380" t="s">
        <v>49129</v>
      </c>
      <c r="U6380" t="s">
        <v>55063</v>
      </c>
      <c r="W6380" t="s">
        <v>45482</v>
      </c>
      <c r="X6380" t="s">
        <v>47432</v>
      </c>
    </row>
    <row r="6381" spans="1:24">
      <c r="A6381">
        <f>HYPERLINK("https://www.philgeps.gov.ph/GEPSNONPILOT/Tender/SplashBidNoticeAbstractUI.aspx?menuIndex=3&amp;refID=7155789&amp;Result=3","7155789")</f>
        <v>0</v>
      </c>
      <c r="B6381" t="s">
        <v>2299</v>
      </c>
      <c r="C6381" t="s">
        <v>9921</v>
      </c>
      <c r="D6381" t="s">
        <v>19045</v>
      </c>
      <c r="E6381" t="s">
        <v>24674</v>
      </c>
      <c r="F6381" t="s">
        <v>32831</v>
      </c>
      <c r="G6381" t="s">
        <v>32839</v>
      </c>
      <c r="H6381" t="s">
        <v>32849</v>
      </c>
      <c r="I6381" t="s">
        <v>4177</v>
      </c>
      <c r="J6381" t="s">
        <v>35975</v>
      </c>
      <c r="K6381" t="s">
        <v>42894</v>
      </c>
      <c r="M6381" t="s">
        <v>45484</v>
      </c>
      <c r="N6381" t="s">
        <v>47424</v>
      </c>
      <c r="O6381" t="s">
        <v>47425</v>
      </c>
      <c r="P6381">
        <v>0</v>
      </c>
      <c r="Q6381">
        <v>0</v>
      </c>
      <c r="R6381" t="s">
        <v>47431</v>
      </c>
      <c r="S6381" t="s">
        <v>47565</v>
      </c>
      <c r="T6381" t="s">
        <v>49105</v>
      </c>
      <c r="U6381" t="s">
        <v>55064</v>
      </c>
      <c r="W6381" t="s">
        <v>45484</v>
      </c>
      <c r="X6381" t="s">
        <v>47432</v>
      </c>
    </row>
    <row r="6382" spans="1:24">
      <c r="A6382">
        <f>HYPERLINK("https://www.philgeps.gov.ph/GEPSNONPILOT/Tender/SplashBidNoticeAbstractUI.aspx?menuIndex=3&amp;refID=7155785&amp;Result=3","7155785")</f>
        <v>0</v>
      </c>
      <c r="B6382" t="s">
        <v>2300</v>
      </c>
      <c r="C6382" t="s">
        <v>9922</v>
      </c>
      <c r="D6382" t="s">
        <v>19038</v>
      </c>
      <c r="E6382" t="s">
        <v>19219</v>
      </c>
      <c r="F6382" t="s">
        <v>32831</v>
      </c>
      <c r="G6382" t="s">
        <v>32839</v>
      </c>
      <c r="H6382" t="s">
        <v>32848</v>
      </c>
      <c r="I6382" t="s">
        <v>7416</v>
      </c>
      <c r="J6382" t="s">
        <v>37034</v>
      </c>
      <c r="K6382" t="s">
        <v>42727</v>
      </c>
      <c r="M6382" t="s">
        <v>45485</v>
      </c>
      <c r="N6382" t="s">
        <v>47424</v>
      </c>
      <c r="O6382" t="s">
        <v>47425</v>
      </c>
      <c r="P6382">
        <v>0</v>
      </c>
      <c r="Q6382">
        <v>1</v>
      </c>
      <c r="R6382" t="s">
        <v>47431</v>
      </c>
      <c r="S6382" t="s">
        <v>47565</v>
      </c>
      <c r="T6382" t="s">
        <v>49125</v>
      </c>
      <c r="U6382" t="s">
        <v>55065</v>
      </c>
      <c r="W6382" t="s">
        <v>45485</v>
      </c>
      <c r="X6382" t="s">
        <v>47432</v>
      </c>
    </row>
    <row r="6383" spans="1:24">
      <c r="A6383">
        <f>HYPERLINK("https://www.philgeps.gov.ph/GEPSNONPILOT/Tender/SplashBidNoticeAbstractUI.aspx?menuIndex=3&amp;refID=7155782&amp;Result=3","7155782")</f>
        <v>0</v>
      </c>
      <c r="B6383" t="s">
        <v>2291</v>
      </c>
      <c r="C6383" t="s">
        <v>9923</v>
      </c>
      <c r="D6383" t="s">
        <v>19078</v>
      </c>
      <c r="E6383" t="s">
        <v>24675</v>
      </c>
      <c r="F6383" t="s">
        <v>32831</v>
      </c>
      <c r="G6383" t="s">
        <v>32838</v>
      </c>
      <c r="H6383" t="s">
        <v>32848</v>
      </c>
      <c r="I6383" t="s">
        <v>32859</v>
      </c>
      <c r="J6383" t="s">
        <v>33464</v>
      </c>
      <c r="K6383" t="s">
        <v>42750</v>
      </c>
      <c r="M6383" t="s">
        <v>45475</v>
      </c>
      <c r="N6383" t="s">
        <v>47424</v>
      </c>
      <c r="O6383" t="s">
        <v>47425</v>
      </c>
      <c r="P6383">
        <v>0</v>
      </c>
      <c r="Q6383">
        <v>2</v>
      </c>
      <c r="R6383" t="s">
        <v>47431</v>
      </c>
      <c r="S6383" t="s">
        <v>47565</v>
      </c>
      <c r="T6383" t="s">
        <v>49114</v>
      </c>
      <c r="U6383" t="s">
        <v>55066</v>
      </c>
      <c r="W6383" t="s">
        <v>45475</v>
      </c>
      <c r="X6383" t="s">
        <v>47432</v>
      </c>
    </row>
    <row r="6384" spans="1:24">
      <c r="A6384">
        <f>HYPERLINK("https://www.philgeps.gov.ph/GEPSNONPILOT/Tender/SplashBidNoticeAbstractUI.aspx?menuIndex=3&amp;refID=7155780&amp;Result=3","7155780")</f>
        <v>0</v>
      </c>
      <c r="B6384" t="s">
        <v>2301</v>
      </c>
      <c r="C6384" t="s">
        <v>9924</v>
      </c>
      <c r="D6384" t="s">
        <v>19045</v>
      </c>
      <c r="E6384" t="s">
        <v>24676</v>
      </c>
      <c r="F6384" t="s">
        <v>32831</v>
      </c>
      <c r="G6384" t="s">
        <v>32839</v>
      </c>
      <c r="H6384" t="s">
        <v>32848</v>
      </c>
      <c r="I6384" t="s">
        <v>4303</v>
      </c>
      <c r="J6384" t="s">
        <v>36157</v>
      </c>
      <c r="K6384" t="s">
        <v>42729</v>
      </c>
      <c r="M6384" t="s">
        <v>45486</v>
      </c>
      <c r="N6384" t="s">
        <v>47424</v>
      </c>
      <c r="O6384" t="s">
        <v>47425</v>
      </c>
      <c r="P6384">
        <v>0</v>
      </c>
      <c r="Q6384">
        <v>2</v>
      </c>
      <c r="R6384" t="s">
        <v>47431</v>
      </c>
      <c r="S6384" t="s">
        <v>47565</v>
      </c>
      <c r="T6384" t="s">
        <v>49378</v>
      </c>
      <c r="U6384" t="s">
        <v>55067</v>
      </c>
      <c r="V6384" t="s">
        <v>62846</v>
      </c>
      <c r="W6384" t="s">
        <v>45486</v>
      </c>
      <c r="X6384" t="s">
        <v>47432</v>
      </c>
    </row>
    <row r="6385" spans="1:24">
      <c r="A6385">
        <f>HYPERLINK("https://www.philgeps.gov.ph/GEPSNONPILOT/Tender/SplashBidNoticeAbstractUI.aspx?menuIndex=3&amp;refID=7155720&amp;Result=3","7155720")</f>
        <v>0</v>
      </c>
      <c r="B6385" t="s">
        <v>2299</v>
      </c>
      <c r="C6385" t="s">
        <v>9925</v>
      </c>
      <c r="D6385" t="s">
        <v>19045</v>
      </c>
      <c r="E6385" t="s">
        <v>24677</v>
      </c>
      <c r="F6385" t="s">
        <v>32831</v>
      </c>
      <c r="G6385" t="s">
        <v>32839</v>
      </c>
      <c r="H6385" t="s">
        <v>32849</v>
      </c>
      <c r="I6385" t="s">
        <v>4177</v>
      </c>
      <c r="J6385" t="s">
        <v>33998</v>
      </c>
      <c r="K6385" t="s">
        <v>42881</v>
      </c>
      <c r="M6385" t="s">
        <v>45484</v>
      </c>
      <c r="N6385" t="s">
        <v>47424</v>
      </c>
      <c r="O6385" t="s">
        <v>47425</v>
      </c>
      <c r="P6385">
        <v>0</v>
      </c>
      <c r="Q6385">
        <v>0</v>
      </c>
      <c r="R6385" t="s">
        <v>47431</v>
      </c>
      <c r="S6385" t="s">
        <v>47565</v>
      </c>
      <c r="T6385" t="s">
        <v>49105</v>
      </c>
      <c r="U6385" t="s">
        <v>55068</v>
      </c>
      <c r="W6385" t="s">
        <v>45484</v>
      </c>
      <c r="X6385" t="s">
        <v>47432</v>
      </c>
    </row>
    <row r="6386" spans="1:24">
      <c r="A6386">
        <f>HYPERLINK("https://www.philgeps.gov.ph/GEPSNONPILOT/Tender/SplashBidNoticeAbstractUI.aspx?menuIndex=3&amp;refID=7155775&amp;Result=3","7155775")</f>
        <v>0</v>
      </c>
      <c r="B6386" t="s">
        <v>2302</v>
      </c>
      <c r="C6386" t="s">
        <v>9926</v>
      </c>
      <c r="D6386" t="s">
        <v>19021</v>
      </c>
      <c r="E6386" t="s">
        <v>19311</v>
      </c>
      <c r="F6386" t="s">
        <v>32831</v>
      </c>
      <c r="G6386" t="s">
        <v>32838</v>
      </c>
      <c r="H6386" t="s">
        <v>32848</v>
      </c>
      <c r="I6386" t="s">
        <v>32864</v>
      </c>
      <c r="J6386" t="s">
        <v>37035</v>
      </c>
      <c r="K6386" t="s">
        <v>42730</v>
      </c>
      <c r="M6386" t="s">
        <v>45487</v>
      </c>
      <c r="N6386" t="s">
        <v>47424</v>
      </c>
      <c r="O6386" t="s">
        <v>47425</v>
      </c>
      <c r="P6386">
        <v>0</v>
      </c>
      <c r="Q6386">
        <v>4</v>
      </c>
      <c r="R6386" t="s">
        <v>47431</v>
      </c>
      <c r="S6386" t="s">
        <v>47565</v>
      </c>
      <c r="T6386" t="s">
        <v>49235</v>
      </c>
      <c r="U6386" t="s">
        <v>55069</v>
      </c>
      <c r="W6386" t="s">
        <v>45487</v>
      </c>
      <c r="X6386" t="s">
        <v>47432</v>
      </c>
    </row>
    <row r="6387" spans="1:24">
      <c r="A6387">
        <f>HYPERLINK("https://www.philgeps.gov.ph/GEPSNONPILOT/Tender/SplashBidNoticeAbstractUI.aspx?menuIndex=3&amp;refID=7155773&amp;Result=3","7155773")</f>
        <v>0</v>
      </c>
      <c r="B6387" t="s">
        <v>2303</v>
      </c>
      <c r="C6387" t="s">
        <v>9927</v>
      </c>
      <c r="D6387" t="s">
        <v>19037</v>
      </c>
      <c r="E6387" t="s">
        <v>24678</v>
      </c>
      <c r="F6387" t="s">
        <v>32831</v>
      </c>
      <c r="G6387" t="s">
        <v>32839</v>
      </c>
      <c r="H6387" t="s">
        <v>32849</v>
      </c>
      <c r="I6387" t="s">
        <v>7416</v>
      </c>
      <c r="J6387" t="s">
        <v>37036</v>
      </c>
      <c r="K6387" t="s">
        <v>42763</v>
      </c>
      <c r="M6387" t="s">
        <v>45488</v>
      </c>
      <c r="N6387" t="s">
        <v>47424</v>
      </c>
      <c r="O6387" t="s">
        <v>47425</v>
      </c>
      <c r="P6387">
        <v>0</v>
      </c>
      <c r="Q6387">
        <v>3</v>
      </c>
      <c r="R6387" t="s">
        <v>47431</v>
      </c>
      <c r="S6387" t="s">
        <v>47565</v>
      </c>
      <c r="T6387" t="s">
        <v>49424</v>
      </c>
      <c r="U6387" t="s">
        <v>55070</v>
      </c>
      <c r="W6387" t="s">
        <v>45488</v>
      </c>
      <c r="X6387" t="s">
        <v>47432</v>
      </c>
    </row>
    <row r="6388" spans="1:24">
      <c r="A6388">
        <f>HYPERLINK("https://www.philgeps.gov.ph/GEPSNONPILOT/Tender/SplashBidNoticeAbstractUI.aspx?menuIndex=3&amp;refID=7155767&amp;Result=3","7155767")</f>
        <v>0</v>
      </c>
      <c r="B6388" t="s">
        <v>2304</v>
      </c>
      <c r="C6388" t="s">
        <v>9928</v>
      </c>
      <c r="D6388" t="s">
        <v>19075</v>
      </c>
      <c r="E6388" t="s">
        <v>24679</v>
      </c>
      <c r="F6388" t="s">
        <v>32831</v>
      </c>
      <c r="G6388" t="s">
        <v>32839</v>
      </c>
      <c r="H6388" t="s">
        <v>32848</v>
      </c>
      <c r="I6388" t="s">
        <v>4438</v>
      </c>
      <c r="J6388" t="s">
        <v>37037</v>
      </c>
      <c r="K6388" t="s">
        <v>42731</v>
      </c>
      <c r="M6388" t="s">
        <v>45489</v>
      </c>
      <c r="N6388" t="s">
        <v>47424</v>
      </c>
      <c r="O6388" t="s">
        <v>47425</v>
      </c>
      <c r="P6388">
        <v>0</v>
      </c>
      <c r="Q6388">
        <v>2</v>
      </c>
      <c r="R6388" t="s">
        <v>47431</v>
      </c>
      <c r="S6388" t="s">
        <v>47565</v>
      </c>
      <c r="T6388" t="s">
        <v>49108</v>
      </c>
      <c r="U6388" t="s">
        <v>55071</v>
      </c>
      <c r="V6388" t="s">
        <v>63336</v>
      </c>
      <c r="W6388" t="s">
        <v>45489</v>
      </c>
      <c r="X6388" t="s">
        <v>47432</v>
      </c>
    </row>
    <row r="6389" spans="1:24">
      <c r="A6389">
        <f>HYPERLINK("https://www.philgeps.gov.ph/GEPSNONPILOT/Tender/SplashBidNoticeAbstractUI.aspx?menuIndex=3&amp;refID=7155700&amp;Result=3","7155700")</f>
        <v>0</v>
      </c>
      <c r="B6389" t="s">
        <v>2284</v>
      </c>
      <c r="C6389" t="s">
        <v>9882</v>
      </c>
      <c r="D6389" t="s">
        <v>19017</v>
      </c>
      <c r="E6389" t="s">
        <v>24680</v>
      </c>
      <c r="F6389" t="s">
        <v>32831</v>
      </c>
      <c r="G6389" t="s">
        <v>32840</v>
      </c>
      <c r="H6389" t="s">
        <v>32848</v>
      </c>
      <c r="I6389" t="s">
        <v>4487</v>
      </c>
      <c r="J6389" t="s">
        <v>33133</v>
      </c>
      <c r="K6389" t="s">
        <v>42732</v>
      </c>
      <c r="M6389" t="s">
        <v>45468</v>
      </c>
      <c r="N6389" t="s">
        <v>47424</v>
      </c>
      <c r="O6389" t="s">
        <v>47425</v>
      </c>
      <c r="P6389">
        <v>0</v>
      </c>
      <c r="Q6389">
        <v>6</v>
      </c>
      <c r="R6389" t="s">
        <v>47431</v>
      </c>
      <c r="S6389" t="s">
        <v>47565</v>
      </c>
      <c r="T6389" t="s">
        <v>49212</v>
      </c>
      <c r="U6389" t="s">
        <v>55072</v>
      </c>
      <c r="W6389" t="s">
        <v>45468</v>
      </c>
      <c r="X6389" t="s">
        <v>47432</v>
      </c>
    </row>
    <row r="6390" spans="1:24">
      <c r="A6390">
        <f>HYPERLINK("https://www.philgeps.gov.ph/GEPSNONPILOT/Tender/SplashBidNoticeAbstractUI.aspx?menuIndex=3&amp;refID=7155765&amp;Result=3","7155765")</f>
        <v>0</v>
      </c>
      <c r="B6390" t="s">
        <v>1394</v>
      </c>
      <c r="C6390" t="s">
        <v>9929</v>
      </c>
      <c r="D6390" t="s">
        <v>19063</v>
      </c>
      <c r="E6390" t="s">
        <v>24681</v>
      </c>
      <c r="F6390" t="s">
        <v>32834</v>
      </c>
      <c r="G6390" t="s">
        <v>32840</v>
      </c>
      <c r="H6390" t="s">
        <v>32850</v>
      </c>
      <c r="I6390" t="s">
        <v>32905</v>
      </c>
      <c r="J6390" t="s">
        <v>33085</v>
      </c>
      <c r="K6390" t="s">
        <v>42745</v>
      </c>
      <c r="M6390" t="s">
        <v>44479</v>
      </c>
      <c r="N6390" t="s">
        <v>47424</v>
      </c>
      <c r="O6390" t="s">
        <v>47425</v>
      </c>
      <c r="P6390">
        <v>0</v>
      </c>
      <c r="Q6390">
        <v>0</v>
      </c>
      <c r="R6390" t="s">
        <v>47431</v>
      </c>
      <c r="S6390" t="s">
        <v>47565</v>
      </c>
      <c r="T6390" t="s">
        <v>49104</v>
      </c>
      <c r="U6390" t="s">
        <v>55073</v>
      </c>
      <c r="W6390" t="s">
        <v>44479</v>
      </c>
      <c r="X6390" t="s">
        <v>47432</v>
      </c>
    </row>
    <row r="6391" spans="1:24">
      <c r="A6391">
        <f>HYPERLINK("https://www.philgeps.gov.ph/GEPSNONPILOT/Tender/SplashBidNoticeAbstractUI.aspx?menuIndex=3&amp;refID=7155719&amp;Result=3","7155719")</f>
        <v>0</v>
      </c>
      <c r="B6391" t="s">
        <v>313</v>
      </c>
      <c r="C6391" t="s">
        <v>9930</v>
      </c>
      <c r="D6391" t="s">
        <v>19052</v>
      </c>
      <c r="E6391" t="s">
        <v>24682</v>
      </c>
      <c r="F6391" t="s">
        <v>32831</v>
      </c>
      <c r="G6391" t="s">
        <v>32839</v>
      </c>
      <c r="H6391" t="s">
        <v>32849</v>
      </c>
      <c r="I6391" t="s">
        <v>4177</v>
      </c>
      <c r="J6391" t="s">
        <v>33626</v>
      </c>
      <c r="K6391" t="s">
        <v>42729</v>
      </c>
      <c r="M6391" t="s">
        <v>43315</v>
      </c>
      <c r="N6391" t="s">
        <v>47424</v>
      </c>
      <c r="O6391" t="s">
        <v>47425</v>
      </c>
      <c r="P6391">
        <v>0</v>
      </c>
      <c r="Q6391">
        <v>0</v>
      </c>
      <c r="R6391" t="s">
        <v>47431</v>
      </c>
      <c r="S6391" t="s">
        <v>47565</v>
      </c>
      <c r="T6391" t="s">
        <v>49267</v>
      </c>
      <c r="U6391" t="s">
        <v>55074</v>
      </c>
      <c r="W6391" t="s">
        <v>64435</v>
      </c>
      <c r="X6391" t="s">
        <v>47432</v>
      </c>
    </row>
    <row r="6392" spans="1:24">
      <c r="A6392">
        <f>HYPERLINK("https://www.philgeps.gov.ph/GEPSNONPILOT/Tender/SplashBidNoticeAbstractUI.aspx?menuIndex=3&amp;refID=7155771&amp;Result=3","7155771")</f>
        <v>0</v>
      </c>
      <c r="B6392" t="s">
        <v>171</v>
      </c>
      <c r="C6392" t="s">
        <v>9931</v>
      </c>
      <c r="E6392" t="s">
        <v>24683</v>
      </c>
      <c r="F6392" t="s">
        <v>32831</v>
      </c>
      <c r="G6392" t="s">
        <v>32838</v>
      </c>
      <c r="H6392" t="s">
        <v>32848</v>
      </c>
      <c r="I6392" t="s">
        <v>9577</v>
      </c>
      <c r="J6392" t="s">
        <v>37038</v>
      </c>
      <c r="K6392" t="s">
        <v>42730</v>
      </c>
      <c r="M6392" t="s">
        <v>43684</v>
      </c>
      <c r="N6392" t="s">
        <v>47424</v>
      </c>
      <c r="O6392" t="s">
        <v>47425</v>
      </c>
      <c r="P6392">
        <v>0</v>
      </c>
      <c r="Q6392">
        <v>1</v>
      </c>
      <c r="R6392" t="s">
        <v>47431</v>
      </c>
      <c r="S6392" t="s">
        <v>47565</v>
      </c>
      <c r="T6392" t="s">
        <v>49124</v>
      </c>
      <c r="U6392" t="s">
        <v>55075</v>
      </c>
      <c r="W6392" t="s">
        <v>64443</v>
      </c>
      <c r="X6392" t="s">
        <v>47432</v>
      </c>
    </row>
    <row r="6393" spans="1:24">
      <c r="A6393">
        <f>HYPERLINK("https://www.philgeps.gov.ph/GEPSNONPILOT/Tender/SplashBidNoticeAbstractUI.aspx?menuIndex=3&amp;refID=7155763&amp;Result=3","7155763")</f>
        <v>0</v>
      </c>
      <c r="B6393" t="s">
        <v>2294</v>
      </c>
      <c r="C6393" t="s">
        <v>9932</v>
      </c>
      <c r="D6393" t="s">
        <v>19059</v>
      </c>
      <c r="E6393" t="s">
        <v>21175</v>
      </c>
      <c r="F6393" t="s">
        <v>32831</v>
      </c>
      <c r="G6393" t="s">
        <v>32839</v>
      </c>
      <c r="H6393" t="s">
        <v>32849</v>
      </c>
      <c r="I6393" t="s">
        <v>4177</v>
      </c>
      <c r="J6393" t="s">
        <v>34733</v>
      </c>
      <c r="K6393" t="s">
        <v>42780</v>
      </c>
      <c r="M6393" t="s">
        <v>45479</v>
      </c>
      <c r="N6393" t="s">
        <v>47424</v>
      </c>
      <c r="O6393" t="s">
        <v>47425</v>
      </c>
      <c r="P6393">
        <v>0</v>
      </c>
      <c r="Q6393">
        <v>45</v>
      </c>
      <c r="R6393" t="s">
        <v>47431</v>
      </c>
      <c r="S6393" t="s">
        <v>47565</v>
      </c>
      <c r="T6393" t="s">
        <v>49101</v>
      </c>
      <c r="U6393" t="s">
        <v>55076</v>
      </c>
      <c r="W6393" t="s">
        <v>45479</v>
      </c>
      <c r="X6393" t="s">
        <v>47432</v>
      </c>
    </row>
    <row r="6394" spans="1:24">
      <c r="A6394">
        <f>HYPERLINK("https://www.philgeps.gov.ph/GEPSNONPILOT/Tender/SplashBidNoticeAbstractUI.aspx?menuIndex=3&amp;refID=7155777&amp;Result=3","7155777")</f>
        <v>0</v>
      </c>
      <c r="B6394" t="s">
        <v>272</v>
      </c>
      <c r="C6394" t="s">
        <v>9933</v>
      </c>
      <c r="D6394" t="s">
        <v>19077</v>
      </c>
      <c r="E6394" t="s">
        <v>24684</v>
      </c>
      <c r="F6394" t="s">
        <v>32831</v>
      </c>
      <c r="G6394" t="s">
        <v>32838</v>
      </c>
      <c r="H6394" t="s">
        <v>32848</v>
      </c>
      <c r="I6394" t="s">
        <v>32882</v>
      </c>
      <c r="J6394" t="s">
        <v>37039</v>
      </c>
      <c r="K6394" t="s">
        <v>42732</v>
      </c>
      <c r="M6394" t="s">
        <v>45324</v>
      </c>
      <c r="N6394" t="s">
        <v>47424</v>
      </c>
      <c r="O6394" t="s">
        <v>47425</v>
      </c>
      <c r="P6394">
        <v>0</v>
      </c>
      <c r="Q6394">
        <v>2</v>
      </c>
      <c r="R6394" t="s">
        <v>47431</v>
      </c>
      <c r="S6394" t="s">
        <v>47565</v>
      </c>
      <c r="T6394" t="s">
        <v>49107</v>
      </c>
      <c r="U6394" t="s">
        <v>55077</v>
      </c>
      <c r="W6394" t="s">
        <v>45324</v>
      </c>
      <c r="X6394" t="s">
        <v>47432</v>
      </c>
    </row>
    <row r="6395" spans="1:24">
      <c r="A6395">
        <f>HYPERLINK("https://www.philgeps.gov.ph/GEPSNONPILOT/Tender/SplashBidNoticeAbstractUI.aspx?menuIndex=3&amp;refID=7155827&amp;Result=3","7155827")</f>
        <v>0</v>
      </c>
      <c r="B6395" t="s">
        <v>1616</v>
      </c>
      <c r="C6395" t="s">
        <v>9934</v>
      </c>
      <c r="D6395" t="s">
        <v>19033</v>
      </c>
      <c r="E6395" t="s">
        <v>24685</v>
      </c>
      <c r="F6395" t="s">
        <v>32831</v>
      </c>
      <c r="G6395" t="s">
        <v>32839</v>
      </c>
      <c r="H6395" t="s">
        <v>32848</v>
      </c>
      <c r="I6395" t="s">
        <v>7751</v>
      </c>
      <c r="J6395" t="s">
        <v>37040</v>
      </c>
      <c r="K6395" t="s">
        <v>42731</v>
      </c>
      <c r="M6395" t="s">
        <v>44732</v>
      </c>
      <c r="N6395" t="s">
        <v>47424</v>
      </c>
      <c r="O6395" t="s">
        <v>47425</v>
      </c>
      <c r="P6395">
        <v>0</v>
      </c>
      <c r="Q6395">
        <v>3</v>
      </c>
      <c r="R6395" t="s">
        <v>47431</v>
      </c>
      <c r="S6395" t="s">
        <v>47565</v>
      </c>
      <c r="T6395" t="s">
        <v>49236</v>
      </c>
      <c r="U6395" t="s">
        <v>55078</v>
      </c>
      <c r="W6395" t="s">
        <v>44732</v>
      </c>
      <c r="X6395" t="s">
        <v>47432</v>
      </c>
    </row>
    <row r="6396" spans="1:24">
      <c r="A6396">
        <f>HYPERLINK("https://www.philgeps.gov.ph/GEPSNONPILOT/Tender/SplashBidNoticeAbstractUI.aspx?menuIndex=3&amp;refID=7155727&amp;Result=3","7155727")</f>
        <v>0</v>
      </c>
      <c r="B6396" t="s">
        <v>2305</v>
      </c>
      <c r="C6396" t="s">
        <v>9935</v>
      </c>
      <c r="D6396" t="s">
        <v>19017</v>
      </c>
      <c r="E6396" t="s">
        <v>20054</v>
      </c>
      <c r="F6396" t="s">
        <v>32831</v>
      </c>
      <c r="G6396" t="s">
        <v>32838</v>
      </c>
      <c r="H6396" t="s">
        <v>32848</v>
      </c>
      <c r="I6396" t="s">
        <v>32864</v>
      </c>
      <c r="J6396" t="s">
        <v>37041</v>
      </c>
      <c r="K6396" t="s">
        <v>42727</v>
      </c>
      <c r="M6396" t="s">
        <v>45490</v>
      </c>
      <c r="N6396" t="s">
        <v>47424</v>
      </c>
      <c r="O6396" t="s">
        <v>47425</v>
      </c>
      <c r="P6396">
        <v>0</v>
      </c>
      <c r="Q6396">
        <v>7</v>
      </c>
      <c r="R6396" t="s">
        <v>47431</v>
      </c>
      <c r="S6396" t="s">
        <v>47565</v>
      </c>
      <c r="T6396" t="s">
        <v>49119</v>
      </c>
      <c r="U6396" t="s">
        <v>55079</v>
      </c>
      <c r="W6396" t="s">
        <v>45490</v>
      </c>
      <c r="X6396" t="s">
        <v>47432</v>
      </c>
    </row>
    <row r="6397" spans="1:24">
      <c r="A6397">
        <f>HYPERLINK("https://www.philgeps.gov.ph/GEPSNONPILOT/Tender/SplashBidNoticeAbstractUI.aspx?menuIndex=3&amp;refID=7155823&amp;Result=3","7155823")</f>
        <v>0</v>
      </c>
      <c r="B6397" t="s">
        <v>1321</v>
      </c>
      <c r="C6397" t="s">
        <v>9936</v>
      </c>
      <c r="D6397" t="s">
        <v>19044</v>
      </c>
      <c r="E6397" t="s">
        <v>24686</v>
      </c>
      <c r="F6397" t="s">
        <v>32831</v>
      </c>
      <c r="G6397" t="s">
        <v>32839</v>
      </c>
      <c r="H6397" t="s">
        <v>32848</v>
      </c>
      <c r="I6397" t="s">
        <v>4487</v>
      </c>
      <c r="J6397" t="s">
        <v>37042</v>
      </c>
      <c r="K6397" t="s">
        <v>42730</v>
      </c>
      <c r="M6397" t="s">
        <v>44392</v>
      </c>
      <c r="N6397" t="s">
        <v>47424</v>
      </c>
      <c r="O6397" t="s">
        <v>47425</v>
      </c>
      <c r="P6397">
        <v>0</v>
      </c>
      <c r="Q6397">
        <v>10</v>
      </c>
      <c r="R6397" t="s">
        <v>47431</v>
      </c>
      <c r="S6397" t="s">
        <v>47565</v>
      </c>
      <c r="T6397" t="s">
        <v>49077</v>
      </c>
      <c r="U6397" t="s">
        <v>55080</v>
      </c>
      <c r="W6397" t="s">
        <v>44392</v>
      </c>
      <c r="X6397" t="s">
        <v>47432</v>
      </c>
    </row>
    <row r="6398" spans="1:24">
      <c r="A6398">
        <f>HYPERLINK("https://www.philgeps.gov.ph/GEPSNONPILOT/Tender/SplashBidNoticeAbstractUI.aspx?menuIndex=3&amp;refID=7155820&amp;Result=3","7155820")</f>
        <v>0</v>
      </c>
      <c r="B6398" t="s">
        <v>2306</v>
      </c>
      <c r="C6398" t="s">
        <v>9937</v>
      </c>
      <c r="D6398" t="s">
        <v>19028</v>
      </c>
      <c r="E6398" t="s">
        <v>19854</v>
      </c>
      <c r="F6398" t="s">
        <v>32831</v>
      </c>
      <c r="G6398" t="s">
        <v>32838</v>
      </c>
      <c r="H6398" t="s">
        <v>32848</v>
      </c>
      <c r="I6398" t="s">
        <v>32856</v>
      </c>
      <c r="J6398" t="s">
        <v>37043</v>
      </c>
      <c r="K6398" t="s">
        <v>42727</v>
      </c>
      <c r="M6398" t="s">
        <v>45491</v>
      </c>
      <c r="N6398" t="s">
        <v>47424</v>
      </c>
      <c r="O6398" t="s">
        <v>47425</v>
      </c>
      <c r="P6398">
        <v>0</v>
      </c>
      <c r="Q6398">
        <v>1</v>
      </c>
      <c r="R6398" t="s">
        <v>47431</v>
      </c>
      <c r="S6398" t="s">
        <v>47565</v>
      </c>
      <c r="T6398" t="s">
        <v>49107</v>
      </c>
      <c r="U6398" t="s">
        <v>55081</v>
      </c>
      <c r="W6398" t="s">
        <v>45491</v>
      </c>
      <c r="X6398" t="s">
        <v>47432</v>
      </c>
    </row>
    <row r="6399" spans="1:24">
      <c r="A6399">
        <f>HYPERLINK("https://www.philgeps.gov.ph/GEPSNONPILOT/Tender/SplashBidNoticeAbstractUI.aspx?menuIndex=3&amp;refID=7155819&amp;Result=3","7155819")</f>
        <v>0</v>
      </c>
      <c r="B6399" t="s">
        <v>2307</v>
      </c>
      <c r="C6399" t="s">
        <v>5410</v>
      </c>
      <c r="D6399" t="s">
        <v>19046</v>
      </c>
      <c r="E6399" t="s">
        <v>19203</v>
      </c>
      <c r="F6399" t="s">
        <v>32831</v>
      </c>
      <c r="G6399" t="s">
        <v>32839</v>
      </c>
      <c r="H6399" t="s">
        <v>32848</v>
      </c>
      <c r="I6399" t="s">
        <v>7416</v>
      </c>
      <c r="J6399" t="s">
        <v>37044</v>
      </c>
      <c r="K6399" t="s">
        <v>42727</v>
      </c>
      <c r="M6399" t="s">
        <v>45492</v>
      </c>
      <c r="N6399" t="s">
        <v>47424</v>
      </c>
      <c r="O6399" t="s">
        <v>47425</v>
      </c>
      <c r="P6399">
        <v>0</v>
      </c>
      <c r="Q6399">
        <v>1</v>
      </c>
      <c r="R6399" t="s">
        <v>47431</v>
      </c>
      <c r="S6399" t="s">
        <v>47565</v>
      </c>
      <c r="T6399" t="s">
        <v>49129</v>
      </c>
      <c r="U6399" t="s">
        <v>55082</v>
      </c>
      <c r="V6399" t="s">
        <v>63337</v>
      </c>
      <c r="W6399" t="s">
        <v>45492</v>
      </c>
      <c r="X6399" t="s">
        <v>47432</v>
      </c>
    </row>
    <row r="6400" spans="1:24">
      <c r="A6400">
        <f>HYPERLINK("https://www.philgeps.gov.ph/GEPSNONPILOT/Tender/SplashBidNoticeAbstractUI.aspx?menuIndex=3&amp;refID=7155818&amp;Result=3","7155818")</f>
        <v>0</v>
      </c>
      <c r="B6400" t="s">
        <v>2194</v>
      </c>
      <c r="C6400" t="s">
        <v>9938</v>
      </c>
      <c r="D6400" t="s">
        <v>19054</v>
      </c>
      <c r="E6400" t="s">
        <v>24687</v>
      </c>
      <c r="F6400" t="s">
        <v>32831</v>
      </c>
      <c r="G6400" t="s">
        <v>32839</v>
      </c>
      <c r="H6400" t="s">
        <v>32848</v>
      </c>
      <c r="I6400" t="s">
        <v>4487</v>
      </c>
      <c r="J6400" t="s">
        <v>37045</v>
      </c>
      <c r="K6400" t="s">
        <v>42726</v>
      </c>
      <c r="M6400" t="s">
        <v>45374</v>
      </c>
      <c r="N6400" t="s">
        <v>47424</v>
      </c>
      <c r="O6400" t="s">
        <v>47425</v>
      </c>
      <c r="P6400">
        <v>0</v>
      </c>
      <c r="Q6400">
        <v>0</v>
      </c>
      <c r="R6400" t="s">
        <v>47431</v>
      </c>
      <c r="S6400" t="s">
        <v>47565</v>
      </c>
      <c r="T6400" t="s">
        <v>49061</v>
      </c>
      <c r="U6400" t="s">
        <v>55083</v>
      </c>
      <c r="W6400" t="s">
        <v>45374</v>
      </c>
      <c r="X6400" t="s">
        <v>47432</v>
      </c>
    </row>
    <row r="6401" spans="1:24">
      <c r="A6401">
        <f>HYPERLINK("https://www.philgeps.gov.ph/GEPSNONPILOT/Tender/SplashBidNoticeAbstractUI.aspx?menuIndex=3&amp;refID=7155821&amp;Result=3","7155821")</f>
        <v>0</v>
      </c>
      <c r="B6401" t="s">
        <v>161</v>
      </c>
      <c r="C6401" t="s">
        <v>9939</v>
      </c>
      <c r="D6401" t="s">
        <v>19031</v>
      </c>
      <c r="E6401" t="s">
        <v>24688</v>
      </c>
      <c r="F6401" t="s">
        <v>32831</v>
      </c>
      <c r="G6401" t="s">
        <v>32839</v>
      </c>
      <c r="H6401" t="s">
        <v>32848</v>
      </c>
      <c r="I6401" t="s">
        <v>32858</v>
      </c>
      <c r="J6401" t="s">
        <v>33257</v>
      </c>
      <c r="K6401" t="s">
        <v>42730</v>
      </c>
      <c r="M6401" t="s">
        <v>43158</v>
      </c>
      <c r="N6401" t="s">
        <v>47424</v>
      </c>
      <c r="O6401" t="s">
        <v>47425</v>
      </c>
      <c r="P6401">
        <v>0</v>
      </c>
      <c r="Q6401">
        <v>1</v>
      </c>
      <c r="R6401" t="s">
        <v>47431</v>
      </c>
      <c r="S6401" t="s">
        <v>47565</v>
      </c>
      <c r="T6401" t="s">
        <v>49363</v>
      </c>
      <c r="U6401" t="s">
        <v>55084</v>
      </c>
      <c r="W6401" t="s">
        <v>43158</v>
      </c>
      <c r="X6401" t="s">
        <v>47432</v>
      </c>
    </row>
    <row r="6402" spans="1:24">
      <c r="A6402">
        <f>HYPERLINK("https://www.philgeps.gov.ph/GEPSNONPILOT/Tender/SplashBidNoticeAbstractUI.aspx?menuIndex=3&amp;refID=7155817&amp;Result=3","7155817")</f>
        <v>0</v>
      </c>
      <c r="B6402" t="s">
        <v>2308</v>
      </c>
      <c r="C6402" t="s">
        <v>9940</v>
      </c>
      <c r="D6402" t="s">
        <v>19083</v>
      </c>
      <c r="E6402" t="s">
        <v>24689</v>
      </c>
      <c r="F6402" t="s">
        <v>32831</v>
      </c>
      <c r="G6402" t="s">
        <v>32839</v>
      </c>
      <c r="H6402" t="s">
        <v>32848</v>
      </c>
      <c r="I6402" t="s">
        <v>4776</v>
      </c>
      <c r="J6402" t="s">
        <v>33072</v>
      </c>
      <c r="K6402" t="s">
        <v>42727</v>
      </c>
      <c r="M6402" t="s">
        <v>45493</v>
      </c>
      <c r="N6402" t="s">
        <v>47424</v>
      </c>
      <c r="O6402" t="s">
        <v>47425</v>
      </c>
      <c r="P6402">
        <v>0</v>
      </c>
      <c r="Q6402">
        <v>5</v>
      </c>
      <c r="R6402" t="s">
        <v>47431</v>
      </c>
      <c r="S6402" t="s">
        <v>47565</v>
      </c>
      <c r="T6402" t="s">
        <v>49104</v>
      </c>
      <c r="U6402" t="s">
        <v>55085</v>
      </c>
      <c r="W6402" t="s">
        <v>45493</v>
      </c>
      <c r="X6402" t="s">
        <v>47432</v>
      </c>
    </row>
    <row r="6403" spans="1:24">
      <c r="A6403">
        <f>HYPERLINK("https://www.philgeps.gov.ph/GEPSNONPILOT/Tender/SplashBidNoticeAbstractUI.aspx?menuIndex=3&amp;refID=7155814&amp;Result=3","7155814")</f>
        <v>0</v>
      </c>
      <c r="B6403" t="s">
        <v>2277</v>
      </c>
      <c r="C6403" t="s">
        <v>9941</v>
      </c>
      <c r="D6403" t="s">
        <v>19031</v>
      </c>
      <c r="E6403" t="s">
        <v>24690</v>
      </c>
      <c r="F6403" t="s">
        <v>32831</v>
      </c>
      <c r="G6403" t="s">
        <v>32838</v>
      </c>
      <c r="H6403" t="s">
        <v>32848</v>
      </c>
      <c r="I6403" t="s">
        <v>32856</v>
      </c>
      <c r="J6403" t="s">
        <v>33029</v>
      </c>
      <c r="K6403" t="s">
        <v>42730</v>
      </c>
      <c r="M6403" t="s">
        <v>45461</v>
      </c>
      <c r="N6403" t="s">
        <v>47424</v>
      </c>
      <c r="O6403" t="s">
        <v>47425</v>
      </c>
      <c r="P6403">
        <v>0</v>
      </c>
      <c r="Q6403">
        <v>1</v>
      </c>
      <c r="R6403" t="s">
        <v>47431</v>
      </c>
      <c r="S6403" t="s">
        <v>47565</v>
      </c>
      <c r="T6403" t="s">
        <v>49214</v>
      </c>
      <c r="U6403" t="s">
        <v>55086</v>
      </c>
      <c r="W6403" t="s">
        <v>45461</v>
      </c>
      <c r="X6403" t="s">
        <v>47432</v>
      </c>
    </row>
    <row r="6404" spans="1:24">
      <c r="A6404">
        <f>HYPERLINK("https://www.philgeps.gov.ph/GEPSNONPILOT/Tender/SplashBidNoticeAbstractUI.aspx?menuIndex=3&amp;refID=7155813&amp;Result=3","7155813")</f>
        <v>0</v>
      </c>
      <c r="B6404" t="s">
        <v>661</v>
      </c>
      <c r="C6404" t="s">
        <v>9942</v>
      </c>
      <c r="D6404" t="s">
        <v>19058</v>
      </c>
      <c r="E6404" t="s">
        <v>24691</v>
      </c>
      <c r="F6404" t="s">
        <v>32831</v>
      </c>
      <c r="G6404" t="s">
        <v>32839</v>
      </c>
      <c r="H6404" t="s">
        <v>32848</v>
      </c>
      <c r="I6404" t="s">
        <v>7416</v>
      </c>
      <c r="J6404" t="s">
        <v>33135</v>
      </c>
      <c r="K6404" t="s">
        <v>42731</v>
      </c>
      <c r="M6404" t="s">
        <v>43679</v>
      </c>
      <c r="N6404" t="s">
        <v>47424</v>
      </c>
      <c r="O6404" t="s">
        <v>47425</v>
      </c>
      <c r="P6404">
        <v>0</v>
      </c>
      <c r="Q6404">
        <v>0</v>
      </c>
      <c r="R6404" t="s">
        <v>47431</v>
      </c>
      <c r="S6404" t="s">
        <v>47565</v>
      </c>
      <c r="T6404" t="s">
        <v>49056</v>
      </c>
      <c r="U6404" t="s">
        <v>55087</v>
      </c>
      <c r="W6404" t="s">
        <v>43679</v>
      </c>
      <c r="X6404" t="s">
        <v>47432</v>
      </c>
    </row>
    <row r="6405" spans="1:24">
      <c r="A6405">
        <f>HYPERLINK("https://www.philgeps.gov.ph/GEPSNONPILOT/Tender/SplashBidNoticeAbstractUI.aspx?menuIndex=3&amp;refID=7155812&amp;Result=3","7155812")</f>
        <v>0</v>
      </c>
      <c r="B6405" t="s">
        <v>2029</v>
      </c>
      <c r="C6405" t="s">
        <v>9943</v>
      </c>
      <c r="D6405" t="s">
        <v>19067</v>
      </c>
      <c r="E6405" t="s">
        <v>24692</v>
      </c>
      <c r="F6405" t="s">
        <v>32831</v>
      </c>
      <c r="G6405" t="s">
        <v>32838</v>
      </c>
      <c r="H6405" t="s">
        <v>32848</v>
      </c>
      <c r="I6405" t="s">
        <v>32892</v>
      </c>
      <c r="J6405" t="s">
        <v>37046</v>
      </c>
      <c r="K6405" t="s">
        <v>42732</v>
      </c>
      <c r="M6405" t="s">
        <v>45197</v>
      </c>
      <c r="N6405" t="s">
        <v>47424</v>
      </c>
      <c r="O6405" t="s">
        <v>47425</v>
      </c>
      <c r="P6405">
        <v>0</v>
      </c>
      <c r="Q6405">
        <v>2</v>
      </c>
      <c r="R6405" t="s">
        <v>47431</v>
      </c>
      <c r="S6405" t="s">
        <v>47565</v>
      </c>
      <c r="T6405" t="s">
        <v>49111</v>
      </c>
      <c r="U6405" t="s">
        <v>55088</v>
      </c>
      <c r="W6405" t="s">
        <v>45197</v>
      </c>
      <c r="X6405" t="s">
        <v>47432</v>
      </c>
    </row>
    <row r="6406" spans="1:24">
      <c r="A6406">
        <f>HYPERLINK("https://www.philgeps.gov.ph/GEPSNONPILOT/Tender/SplashBidNoticeAbstractUI.aspx?menuIndex=3&amp;refID=7155810&amp;Result=3","7155810")</f>
        <v>0</v>
      </c>
      <c r="B6406" t="s">
        <v>2291</v>
      </c>
      <c r="C6406" t="s">
        <v>9944</v>
      </c>
      <c r="D6406" t="s">
        <v>19078</v>
      </c>
      <c r="E6406" t="s">
        <v>24693</v>
      </c>
      <c r="F6406" t="s">
        <v>32831</v>
      </c>
      <c r="G6406" t="s">
        <v>32838</v>
      </c>
      <c r="H6406" t="s">
        <v>32848</v>
      </c>
      <c r="I6406" t="s">
        <v>32883</v>
      </c>
      <c r="J6406" t="s">
        <v>33238</v>
      </c>
      <c r="K6406" t="s">
        <v>42750</v>
      </c>
      <c r="M6406" t="s">
        <v>45475</v>
      </c>
      <c r="N6406" t="s">
        <v>47424</v>
      </c>
      <c r="O6406" t="s">
        <v>47425</v>
      </c>
      <c r="P6406">
        <v>0</v>
      </c>
      <c r="Q6406">
        <v>1</v>
      </c>
      <c r="R6406" t="s">
        <v>47431</v>
      </c>
      <c r="S6406" t="s">
        <v>47565</v>
      </c>
      <c r="T6406" t="s">
        <v>49114</v>
      </c>
      <c r="U6406" t="s">
        <v>55089</v>
      </c>
      <c r="W6406" t="s">
        <v>45475</v>
      </c>
      <c r="X6406" t="s">
        <v>47432</v>
      </c>
    </row>
    <row r="6407" spans="1:24">
      <c r="A6407">
        <f>HYPERLINK("https://www.philgeps.gov.ph/GEPSNONPILOT/Tender/SplashBidNoticeAbstractUI.aspx?menuIndex=3&amp;refID=7155808&amp;Result=3","7155808")</f>
        <v>0</v>
      </c>
      <c r="B6407" t="s">
        <v>2281</v>
      </c>
      <c r="C6407" t="s">
        <v>9945</v>
      </c>
      <c r="D6407" t="s">
        <v>19027</v>
      </c>
      <c r="E6407" t="s">
        <v>24694</v>
      </c>
      <c r="F6407" t="s">
        <v>32831</v>
      </c>
      <c r="G6407" t="s">
        <v>32838</v>
      </c>
      <c r="H6407" t="s">
        <v>32848</v>
      </c>
      <c r="I6407" t="s">
        <v>32859</v>
      </c>
      <c r="J6407" t="s">
        <v>32980</v>
      </c>
      <c r="K6407" t="s">
        <v>42732</v>
      </c>
      <c r="M6407" t="s">
        <v>45465</v>
      </c>
      <c r="N6407" t="s">
        <v>47424</v>
      </c>
      <c r="O6407" t="s">
        <v>47425</v>
      </c>
      <c r="P6407">
        <v>0</v>
      </c>
      <c r="Q6407">
        <v>1</v>
      </c>
      <c r="R6407" t="s">
        <v>47431</v>
      </c>
      <c r="S6407" t="s">
        <v>47565</v>
      </c>
      <c r="T6407" t="s">
        <v>49321</v>
      </c>
      <c r="U6407" t="s">
        <v>55090</v>
      </c>
      <c r="V6407" t="s">
        <v>63332</v>
      </c>
      <c r="W6407" t="s">
        <v>45465</v>
      </c>
      <c r="X6407" t="s">
        <v>47432</v>
      </c>
    </row>
    <row r="6408" spans="1:24">
      <c r="A6408">
        <f>HYPERLINK("https://www.philgeps.gov.ph/GEPSNONPILOT/Tender/SplashBidNoticeAbstractUI.aspx?menuIndex=3&amp;refID=7155766&amp;Result=3","7155766")</f>
        <v>0</v>
      </c>
      <c r="B6408" t="s">
        <v>624</v>
      </c>
      <c r="C6408" t="s">
        <v>9946</v>
      </c>
      <c r="D6408" t="s">
        <v>19064</v>
      </c>
      <c r="E6408" t="s">
        <v>24695</v>
      </c>
      <c r="F6408" t="s">
        <v>32831</v>
      </c>
      <c r="G6408" t="s">
        <v>32839</v>
      </c>
      <c r="H6408" t="s">
        <v>32848</v>
      </c>
      <c r="I6408" t="s">
        <v>10805</v>
      </c>
      <c r="J6408" t="s">
        <v>37047</v>
      </c>
      <c r="K6408" t="s">
        <v>42732</v>
      </c>
      <c r="M6408" t="s">
        <v>43640</v>
      </c>
      <c r="N6408" t="s">
        <v>47424</v>
      </c>
      <c r="O6408" t="s">
        <v>47425</v>
      </c>
      <c r="P6408">
        <v>0</v>
      </c>
      <c r="Q6408">
        <v>0</v>
      </c>
      <c r="R6408" t="s">
        <v>47431</v>
      </c>
      <c r="S6408" t="s">
        <v>47565</v>
      </c>
      <c r="T6408" t="s">
        <v>49108</v>
      </c>
      <c r="U6408" t="s">
        <v>55091</v>
      </c>
      <c r="W6408" t="s">
        <v>43640</v>
      </c>
      <c r="X6408" t="s">
        <v>47432</v>
      </c>
    </row>
    <row r="6409" spans="1:24">
      <c r="A6409">
        <f>HYPERLINK("https://www.philgeps.gov.ph/GEPSNONPILOT/Tender/SplashBidNoticeAbstractUI.aspx?menuIndex=3&amp;refID=7155807&amp;Result=3","7155807")</f>
        <v>0</v>
      </c>
      <c r="B6409" t="s">
        <v>2304</v>
      </c>
      <c r="C6409" t="s">
        <v>9947</v>
      </c>
      <c r="D6409" t="s">
        <v>19075</v>
      </c>
      <c r="E6409" t="s">
        <v>24696</v>
      </c>
      <c r="F6409" t="s">
        <v>32831</v>
      </c>
      <c r="G6409" t="s">
        <v>32839</v>
      </c>
      <c r="H6409" t="s">
        <v>32848</v>
      </c>
      <c r="I6409" t="s">
        <v>4438</v>
      </c>
      <c r="J6409" t="s">
        <v>37048</v>
      </c>
      <c r="K6409" t="s">
        <v>42731</v>
      </c>
      <c r="M6409" t="s">
        <v>45489</v>
      </c>
      <c r="N6409" t="s">
        <v>47424</v>
      </c>
      <c r="O6409" t="s">
        <v>47425</v>
      </c>
      <c r="P6409">
        <v>0</v>
      </c>
      <c r="Q6409">
        <v>2</v>
      </c>
      <c r="R6409" t="s">
        <v>47431</v>
      </c>
      <c r="S6409" t="s">
        <v>47565</v>
      </c>
      <c r="T6409" t="s">
        <v>49108</v>
      </c>
      <c r="U6409" t="s">
        <v>55092</v>
      </c>
      <c r="V6409" t="s">
        <v>63338</v>
      </c>
      <c r="W6409" t="s">
        <v>45489</v>
      </c>
      <c r="X6409" t="s">
        <v>47432</v>
      </c>
    </row>
    <row r="6410" spans="1:24">
      <c r="A6410">
        <f>HYPERLINK("https://www.philgeps.gov.ph/GEPSNONPILOT/Tender/SplashBidNoticeAbstractUI.aspx?menuIndex=3&amp;refID=7155805&amp;Result=3","7155805")</f>
        <v>0</v>
      </c>
      <c r="B6410" t="s">
        <v>624</v>
      </c>
      <c r="C6410" t="s">
        <v>9948</v>
      </c>
      <c r="D6410" t="s">
        <v>19064</v>
      </c>
      <c r="E6410" t="s">
        <v>24697</v>
      </c>
      <c r="F6410" t="s">
        <v>32831</v>
      </c>
      <c r="G6410" t="s">
        <v>32839</v>
      </c>
      <c r="H6410" t="s">
        <v>32848</v>
      </c>
      <c r="I6410" t="s">
        <v>32870</v>
      </c>
      <c r="J6410" t="s">
        <v>33279</v>
      </c>
      <c r="K6410" t="s">
        <v>42732</v>
      </c>
      <c r="M6410" t="s">
        <v>43640</v>
      </c>
      <c r="N6410" t="s">
        <v>47424</v>
      </c>
      <c r="O6410" t="s">
        <v>47425</v>
      </c>
      <c r="P6410">
        <v>0</v>
      </c>
      <c r="Q6410">
        <v>0</v>
      </c>
      <c r="R6410" t="s">
        <v>47431</v>
      </c>
      <c r="S6410" t="s">
        <v>47565</v>
      </c>
      <c r="T6410" t="s">
        <v>49108</v>
      </c>
      <c r="U6410" t="s">
        <v>55093</v>
      </c>
      <c r="W6410" t="s">
        <v>43640</v>
      </c>
      <c r="X6410" t="s">
        <v>47432</v>
      </c>
    </row>
    <row r="6411" spans="1:24">
      <c r="A6411">
        <f>HYPERLINK("https://www.philgeps.gov.ph/GEPSNONPILOT/Tender/SplashBidNoticeAbstractUI.aspx?menuIndex=3&amp;refID=7155760&amp;Result=3","7155760")</f>
        <v>0</v>
      </c>
      <c r="B6411" t="s">
        <v>2291</v>
      </c>
      <c r="C6411" t="s">
        <v>9913</v>
      </c>
      <c r="D6411" t="s">
        <v>19078</v>
      </c>
      <c r="E6411" t="s">
        <v>24698</v>
      </c>
      <c r="F6411" t="s">
        <v>32831</v>
      </c>
      <c r="G6411" t="s">
        <v>32838</v>
      </c>
      <c r="H6411" t="s">
        <v>32848</v>
      </c>
      <c r="I6411" t="s">
        <v>5379</v>
      </c>
      <c r="J6411" t="s">
        <v>33461</v>
      </c>
      <c r="K6411" t="s">
        <v>42726</v>
      </c>
      <c r="M6411" t="s">
        <v>45475</v>
      </c>
      <c r="N6411" t="s">
        <v>47424</v>
      </c>
      <c r="O6411" t="s">
        <v>47425</v>
      </c>
      <c r="P6411">
        <v>0</v>
      </c>
      <c r="Q6411">
        <v>0</v>
      </c>
      <c r="R6411" t="s">
        <v>47431</v>
      </c>
      <c r="S6411" t="s">
        <v>47565</v>
      </c>
      <c r="T6411" t="s">
        <v>49114</v>
      </c>
      <c r="U6411" t="s">
        <v>55094</v>
      </c>
      <c r="W6411" t="s">
        <v>45475</v>
      </c>
      <c r="X6411" t="s">
        <v>47432</v>
      </c>
    </row>
    <row r="6412" spans="1:24">
      <c r="A6412">
        <f>HYPERLINK("https://www.philgeps.gov.ph/GEPSNONPILOT/Tender/SplashBidNoticeAbstractUI.aspx?menuIndex=3&amp;refID=7155845&amp;Result=3","7155845")</f>
        <v>0</v>
      </c>
      <c r="B6412" t="s">
        <v>2151</v>
      </c>
      <c r="C6412" t="s">
        <v>9949</v>
      </c>
      <c r="D6412" t="s">
        <v>19054</v>
      </c>
      <c r="E6412" t="s">
        <v>24699</v>
      </c>
      <c r="F6412" t="s">
        <v>32831</v>
      </c>
      <c r="G6412" t="s">
        <v>32839</v>
      </c>
      <c r="H6412" t="s">
        <v>32848</v>
      </c>
      <c r="I6412" t="s">
        <v>32909</v>
      </c>
      <c r="J6412" t="s">
        <v>37049</v>
      </c>
      <c r="K6412" t="s">
        <v>42727</v>
      </c>
      <c r="M6412" t="s">
        <v>45332</v>
      </c>
      <c r="N6412" t="s">
        <v>47424</v>
      </c>
      <c r="O6412" t="s">
        <v>47425</v>
      </c>
      <c r="P6412">
        <v>0</v>
      </c>
      <c r="Q6412">
        <v>1</v>
      </c>
      <c r="R6412" t="s">
        <v>47431</v>
      </c>
      <c r="S6412" t="s">
        <v>47565</v>
      </c>
      <c r="T6412" t="s">
        <v>49127</v>
      </c>
      <c r="U6412" t="s">
        <v>55095</v>
      </c>
      <c r="W6412" t="s">
        <v>45332</v>
      </c>
      <c r="X6412" t="s">
        <v>47432</v>
      </c>
    </row>
    <row r="6413" spans="1:24">
      <c r="A6413">
        <f>HYPERLINK("https://www.philgeps.gov.ph/GEPSNONPILOT/Tender/SplashBidNoticeAbstractUI.aspx?menuIndex=3&amp;refID=7155859&amp;Result=3","7155859")</f>
        <v>0</v>
      </c>
      <c r="B6413" t="s">
        <v>1870</v>
      </c>
      <c r="C6413" t="s">
        <v>9950</v>
      </c>
      <c r="D6413" t="s">
        <v>19073</v>
      </c>
      <c r="E6413" t="s">
        <v>24700</v>
      </c>
      <c r="F6413" t="s">
        <v>32831</v>
      </c>
      <c r="G6413" t="s">
        <v>32840</v>
      </c>
      <c r="H6413" t="s">
        <v>32848</v>
      </c>
      <c r="I6413" t="s">
        <v>7416</v>
      </c>
      <c r="J6413" t="s">
        <v>37050</v>
      </c>
      <c r="K6413" t="s">
        <v>42730</v>
      </c>
      <c r="M6413" t="s">
        <v>45014</v>
      </c>
      <c r="N6413" t="s">
        <v>47424</v>
      </c>
      <c r="O6413" t="s">
        <v>47425</v>
      </c>
      <c r="P6413">
        <v>0</v>
      </c>
      <c r="Q6413">
        <v>0</v>
      </c>
      <c r="R6413" t="s">
        <v>47431</v>
      </c>
      <c r="S6413" t="s">
        <v>47565</v>
      </c>
      <c r="T6413" t="s">
        <v>49107</v>
      </c>
      <c r="U6413" t="s">
        <v>55096</v>
      </c>
      <c r="W6413" t="s">
        <v>45014</v>
      </c>
      <c r="X6413" t="s">
        <v>47432</v>
      </c>
    </row>
    <row r="6414" spans="1:24">
      <c r="A6414">
        <f>HYPERLINK("https://www.philgeps.gov.ph/GEPSNONPILOT/Tender/SplashBidNoticeAbstractUI.aspx?menuIndex=3&amp;refID=7155783&amp;Result=3","7155783")</f>
        <v>0</v>
      </c>
      <c r="B6414" t="s">
        <v>2309</v>
      </c>
      <c r="C6414" t="s">
        <v>9951</v>
      </c>
      <c r="D6414" t="s">
        <v>19044</v>
      </c>
      <c r="E6414" t="s">
        <v>19203</v>
      </c>
      <c r="F6414" t="s">
        <v>32831</v>
      </c>
      <c r="G6414" t="s">
        <v>32839</v>
      </c>
      <c r="H6414" t="s">
        <v>32848</v>
      </c>
      <c r="I6414" t="s">
        <v>7416</v>
      </c>
      <c r="J6414" t="s">
        <v>32978</v>
      </c>
      <c r="K6414" t="s">
        <v>42730</v>
      </c>
      <c r="M6414" t="s">
        <v>45494</v>
      </c>
      <c r="N6414" t="s">
        <v>47424</v>
      </c>
      <c r="O6414" t="s">
        <v>47425</v>
      </c>
      <c r="P6414">
        <v>0</v>
      </c>
      <c r="Q6414">
        <v>0</v>
      </c>
      <c r="R6414" t="s">
        <v>47431</v>
      </c>
      <c r="S6414" t="s">
        <v>47565</v>
      </c>
      <c r="T6414" t="s">
        <v>49075</v>
      </c>
      <c r="U6414" t="s">
        <v>51857</v>
      </c>
      <c r="W6414" t="s">
        <v>45494</v>
      </c>
      <c r="X6414" t="s">
        <v>47432</v>
      </c>
    </row>
    <row r="6415" spans="1:24">
      <c r="A6415">
        <f>HYPERLINK("https://www.philgeps.gov.ph/GEPSNONPILOT/Tender/SplashBidNoticeAbstractUI.aspx?menuIndex=3&amp;refID=7155861&amp;Result=3","7155861")</f>
        <v>0</v>
      </c>
      <c r="B6415" t="s">
        <v>2310</v>
      </c>
      <c r="C6415" t="s">
        <v>9952</v>
      </c>
      <c r="D6415" t="s">
        <v>19028</v>
      </c>
      <c r="E6415" t="s">
        <v>24701</v>
      </c>
      <c r="F6415" t="s">
        <v>32831</v>
      </c>
      <c r="G6415" t="s">
        <v>32839</v>
      </c>
      <c r="H6415" t="s">
        <v>32849</v>
      </c>
      <c r="I6415" t="s">
        <v>4177</v>
      </c>
      <c r="J6415" t="s">
        <v>34921</v>
      </c>
      <c r="K6415" t="s">
        <v>42770</v>
      </c>
      <c r="M6415" t="s">
        <v>45495</v>
      </c>
      <c r="N6415" t="s">
        <v>47424</v>
      </c>
      <c r="O6415" t="s">
        <v>47425</v>
      </c>
      <c r="P6415">
        <v>0</v>
      </c>
      <c r="Q6415">
        <v>0</v>
      </c>
      <c r="R6415" t="s">
        <v>47431</v>
      </c>
      <c r="S6415" t="s">
        <v>47565</v>
      </c>
      <c r="T6415" t="s">
        <v>49319</v>
      </c>
      <c r="U6415" t="s">
        <v>55097</v>
      </c>
      <c r="V6415" t="s">
        <v>63339</v>
      </c>
      <c r="W6415" t="s">
        <v>45495</v>
      </c>
      <c r="X6415" t="s">
        <v>47432</v>
      </c>
    </row>
    <row r="6416" spans="1:24">
      <c r="A6416">
        <f>HYPERLINK("https://www.philgeps.gov.ph/GEPSNONPILOT/Tender/SplashBidNoticeAbstractUI.aspx?menuIndex=3&amp;refID=7155806&amp;Result=3","7155806")</f>
        <v>0</v>
      </c>
      <c r="B6416" t="s">
        <v>2311</v>
      </c>
      <c r="C6416" t="s">
        <v>9953</v>
      </c>
      <c r="D6416" t="s">
        <v>19018</v>
      </c>
      <c r="E6416" t="s">
        <v>19555</v>
      </c>
      <c r="F6416" t="s">
        <v>32831</v>
      </c>
      <c r="G6416" t="s">
        <v>32840</v>
      </c>
      <c r="H6416" t="s">
        <v>32848</v>
      </c>
      <c r="I6416" t="s">
        <v>4438</v>
      </c>
      <c r="J6416" t="s">
        <v>37051</v>
      </c>
      <c r="K6416" t="s">
        <v>42731</v>
      </c>
      <c r="M6416" t="s">
        <v>45496</v>
      </c>
      <c r="N6416" t="s">
        <v>47424</v>
      </c>
      <c r="O6416" t="s">
        <v>47425</v>
      </c>
      <c r="P6416">
        <v>0</v>
      </c>
      <c r="Q6416">
        <v>0</v>
      </c>
      <c r="R6416" t="s">
        <v>47431</v>
      </c>
      <c r="S6416" t="s">
        <v>47565</v>
      </c>
      <c r="T6416" t="s">
        <v>49089</v>
      </c>
      <c r="U6416" t="s">
        <v>55098</v>
      </c>
      <c r="W6416" t="s">
        <v>45496</v>
      </c>
      <c r="X6416" t="s">
        <v>47432</v>
      </c>
    </row>
    <row r="6417" spans="1:24">
      <c r="A6417">
        <f>HYPERLINK("https://www.philgeps.gov.ph/GEPSNONPILOT/Tender/SplashBidNoticeAbstractUI.aspx?menuIndex=3&amp;refID=7155798&amp;Result=3","7155798")</f>
        <v>0</v>
      </c>
      <c r="B6417" t="s">
        <v>747</v>
      </c>
      <c r="C6417" t="s">
        <v>9954</v>
      </c>
      <c r="D6417" t="s">
        <v>19041</v>
      </c>
      <c r="E6417" t="s">
        <v>21855</v>
      </c>
      <c r="F6417" t="s">
        <v>32831</v>
      </c>
      <c r="G6417" t="s">
        <v>32839</v>
      </c>
      <c r="H6417" t="s">
        <v>32848</v>
      </c>
      <c r="I6417" t="s">
        <v>7416</v>
      </c>
      <c r="J6417" t="s">
        <v>37052</v>
      </c>
      <c r="K6417" t="s">
        <v>42727</v>
      </c>
      <c r="M6417" t="s">
        <v>43770</v>
      </c>
      <c r="N6417" t="s">
        <v>47424</v>
      </c>
      <c r="O6417" t="s">
        <v>47425</v>
      </c>
      <c r="P6417">
        <v>0</v>
      </c>
      <c r="Q6417">
        <v>0</v>
      </c>
      <c r="R6417" t="s">
        <v>47431</v>
      </c>
      <c r="S6417" t="s">
        <v>47565</v>
      </c>
      <c r="T6417" t="s">
        <v>49125</v>
      </c>
      <c r="U6417" t="s">
        <v>51096</v>
      </c>
      <c r="W6417" t="s">
        <v>43770</v>
      </c>
      <c r="X6417" t="s">
        <v>47432</v>
      </c>
    </row>
    <row r="6418" spans="1:24">
      <c r="A6418">
        <f>HYPERLINK("https://www.philgeps.gov.ph/GEPSNONPILOT/Tender/SplashBidNoticeAbstractUI.aspx?menuIndex=3&amp;refID=7155857&amp;Result=3","7155857")</f>
        <v>0</v>
      </c>
      <c r="B6418" t="s">
        <v>1484</v>
      </c>
      <c r="C6418" t="s">
        <v>9955</v>
      </c>
      <c r="D6418" t="s">
        <v>19031</v>
      </c>
      <c r="E6418" t="s">
        <v>24702</v>
      </c>
      <c r="F6418" t="s">
        <v>32831</v>
      </c>
      <c r="G6418" t="s">
        <v>32839</v>
      </c>
      <c r="H6418" t="s">
        <v>32849</v>
      </c>
      <c r="I6418" t="s">
        <v>4177</v>
      </c>
      <c r="J6418" t="s">
        <v>37053</v>
      </c>
      <c r="K6418" t="s">
        <v>42895</v>
      </c>
      <c r="M6418" t="s">
        <v>44578</v>
      </c>
      <c r="N6418" t="s">
        <v>47424</v>
      </c>
      <c r="O6418" t="s">
        <v>47425</v>
      </c>
      <c r="P6418">
        <v>0</v>
      </c>
      <c r="Q6418">
        <v>0</v>
      </c>
      <c r="R6418" t="s">
        <v>47431</v>
      </c>
      <c r="S6418" t="s">
        <v>47565</v>
      </c>
      <c r="T6418" t="s">
        <v>49077</v>
      </c>
      <c r="U6418" t="s">
        <v>55099</v>
      </c>
      <c r="W6418" t="s">
        <v>44578</v>
      </c>
      <c r="X6418" t="s">
        <v>47432</v>
      </c>
    </row>
    <row r="6419" spans="1:24">
      <c r="A6419">
        <f>HYPERLINK("https://www.philgeps.gov.ph/GEPSNONPILOT/Tender/SplashBidNoticeAbstractUI.aspx?menuIndex=3&amp;refID=7155853&amp;Result=3","7155853")</f>
        <v>0</v>
      </c>
      <c r="B6419" t="s">
        <v>2312</v>
      </c>
      <c r="C6419" t="s">
        <v>9956</v>
      </c>
      <c r="D6419" t="s">
        <v>19052</v>
      </c>
      <c r="E6419" t="s">
        <v>24703</v>
      </c>
      <c r="F6419" t="s">
        <v>32831</v>
      </c>
      <c r="G6419" t="s">
        <v>32838</v>
      </c>
      <c r="H6419" t="s">
        <v>32848</v>
      </c>
      <c r="I6419" t="s">
        <v>32862</v>
      </c>
      <c r="J6419" t="s">
        <v>33087</v>
      </c>
      <c r="K6419" t="s">
        <v>42726</v>
      </c>
      <c r="M6419" t="s">
        <v>45497</v>
      </c>
      <c r="N6419" t="s">
        <v>47424</v>
      </c>
      <c r="O6419" t="s">
        <v>47425</v>
      </c>
      <c r="P6419">
        <v>0</v>
      </c>
      <c r="Q6419">
        <v>1</v>
      </c>
      <c r="R6419" t="s">
        <v>47431</v>
      </c>
      <c r="S6419" t="s">
        <v>47565</v>
      </c>
      <c r="T6419" t="s">
        <v>49129</v>
      </c>
      <c r="U6419" t="s">
        <v>55100</v>
      </c>
      <c r="W6419" t="s">
        <v>45497</v>
      </c>
      <c r="X6419" t="s">
        <v>47432</v>
      </c>
    </row>
    <row r="6420" spans="1:24">
      <c r="A6420">
        <f>HYPERLINK("https://www.philgeps.gov.ph/GEPSNONPILOT/Tender/SplashBidNoticeAbstractUI.aspx?menuIndex=3&amp;refID=7155688&amp;Result=3","7155688")</f>
        <v>0</v>
      </c>
      <c r="B6420" t="s">
        <v>2291</v>
      </c>
      <c r="C6420" t="s">
        <v>9957</v>
      </c>
      <c r="D6420" t="s">
        <v>19078</v>
      </c>
      <c r="E6420" t="s">
        <v>24704</v>
      </c>
      <c r="F6420" t="s">
        <v>32831</v>
      </c>
      <c r="G6420" t="s">
        <v>32838</v>
      </c>
      <c r="H6420" t="s">
        <v>32848</v>
      </c>
      <c r="I6420" t="s">
        <v>32860</v>
      </c>
      <c r="J6420" t="s">
        <v>37054</v>
      </c>
      <c r="K6420" t="s">
        <v>42750</v>
      </c>
      <c r="M6420" t="s">
        <v>45475</v>
      </c>
      <c r="N6420" t="s">
        <v>47424</v>
      </c>
      <c r="O6420" t="s">
        <v>47425</v>
      </c>
      <c r="P6420">
        <v>0</v>
      </c>
      <c r="Q6420">
        <v>1</v>
      </c>
      <c r="R6420" t="s">
        <v>47431</v>
      </c>
      <c r="S6420" t="s">
        <v>47565</v>
      </c>
      <c r="T6420" t="s">
        <v>49114</v>
      </c>
      <c r="U6420" t="s">
        <v>55101</v>
      </c>
      <c r="W6420" t="s">
        <v>45475</v>
      </c>
      <c r="X6420" t="s">
        <v>47432</v>
      </c>
    </row>
    <row r="6421" spans="1:24">
      <c r="A6421">
        <f>HYPERLINK("https://www.philgeps.gov.ph/GEPSNONPILOT/Tender/SplashBidNoticeAbstractUI.aspx?menuIndex=3&amp;refID=7155852&amp;Result=3","7155852")</f>
        <v>0</v>
      </c>
      <c r="B6421" t="s">
        <v>2133</v>
      </c>
      <c r="C6421" t="s">
        <v>9958</v>
      </c>
      <c r="D6421" t="s">
        <v>19077</v>
      </c>
      <c r="E6421" t="s">
        <v>24705</v>
      </c>
      <c r="F6421" t="s">
        <v>32831</v>
      </c>
      <c r="G6421" t="s">
        <v>32842</v>
      </c>
      <c r="H6421" t="s">
        <v>32848</v>
      </c>
      <c r="I6421" t="s">
        <v>32862</v>
      </c>
      <c r="J6421" t="s">
        <v>33100</v>
      </c>
      <c r="K6421" t="s">
        <v>42727</v>
      </c>
      <c r="M6421" t="s">
        <v>45309</v>
      </c>
      <c r="N6421" t="s">
        <v>47424</v>
      </c>
      <c r="O6421" t="s">
        <v>47425</v>
      </c>
      <c r="P6421">
        <v>0</v>
      </c>
      <c r="Q6421">
        <v>0</v>
      </c>
      <c r="R6421" t="s">
        <v>47431</v>
      </c>
      <c r="S6421" t="s">
        <v>47565</v>
      </c>
      <c r="T6421" t="s">
        <v>49100</v>
      </c>
      <c r="U6421" t="s">
        <v>55102</v>
      </c>
      <c r="W6421" t="s">
        <v>45309</v>
      </c>
      <c r="X6421" t="s">
        <v>47432</v>
      </c>
    </row>
    <row r="6422" spans="1:24">
      <c r="A6422">
        <f>HYPERLINK("https://www.philgeps.gov.ph/GEPSNONPILOT/Tender/SplashBidNoticeAbstractUI.aspx?menuIndex=3&amp;refID=7155794&amp;Result=3","7155794")</f>
        <v>0</v>
      </c>
      <c r="B6422" t="s">
        <v>2313</v>
      </c>
      <c r="C6422" t="s">
        <v>9959</v>
      </c>
      <c r="E6422" t="s">
        <v>24706</v>
      </c>
      <c r="F6422" t="s">
        <v>32831</v>
      </c>
      <c r="G6422" t="s">
        <v>32838</v>
      </c>
      <c r="H6422" t="s">
        <v>32848</v>
      </c>
      <c r="I6422" t="s">
        <v>32858</v>
      </c>
      <c r="J6422" t="s">
        <v>37055</v>
      </c>
      <c r="K6422" t="s">
        <v>42732</v>
      </c>
      <c r="M6422" t="s">
        <v>45498</v>
      </c>
      <c r="N6422" t="s">
        <v>47424</v>
      </c>
      <c r="O6422" t="s">
        <v>47425</v>
      </c>
      <c r="P6422">
        <v>0</v>
      </c>
      <c r="Q6422">
        <v>2</v>
      </c>
      <c r="R6422" t="s">
        <v>47431</v>
      </c>
      <c r="S6422" t="s">
        <v>47565</v>
      </c>
      <c r="T6422" t="s">
        <v>49214</v>
      </c>
      <c r="U6422" t="s">
        <v>55103</v>
      </c>
      <c r="W6422" t="s">
        <v>45498</v>
      </c>
      <c r="X6422" t="s">
        <v>47432</v>
      </c>
    </row>
    <row r="6423" spans="1:24">
      <c r="A6423">
        <f>HYPERLINK("https://www.philgeps.gov.ph/GEPSNONPILOT/Tender/SplashBidNoticeAbstractUI.aspx?menuIndex=3&amp;refID=7155848&amp;Result=3","7155848")</f>
        <v>0</v>
      </c>
      <c r="B6423" t="s">
        <v>2296</v>
      </c>
      <c r="C6423" t="s">
        <v>9960</v>
      </c>
      <c r="E6423" t="s">
        <v>24707</v>
      </c>
      <c r="F6423" t="s">
        <v>32831</v>
      </c>
      <c r="G6423" t="s">
        <v>32838</v>
      </c>
      <c r="H6423" t="s">
        <v>32848</v>
      </c>
      <c r="I6423" t="s">
        <v>7878</v>
      </c>
      <c r="J6423" t="s">
        <v>33044</v>
      </c>
      <c r="K6423" t="s">
        <v>42732</v>
      </c>
      <c r="M6423" t="s">
        <v>45481</v>
      </c>
      <c r="N6423" t="s">
        <v>47424</v>
      </c>
      <c r="O6423" t="s">
        <v>47425</v>
      </c>
      <c r="P6423">
        <v>0</v>
      </c>
      <c r="Q6423">
        <v>1</v>
      </c>
      <c r="R6423" t="s">
        <v>47431</v>
      </c>
      <c r="S6423" t="s">
        <v>47565</v>
      </c>
      <c r="T6423" t="s">
        <v>49214</v>
      </c>
      <c r="U6423" t="s">
        <v>55104</v>
      </c>
      <c r="W6423" t="s">
        <v>64506</v>
      </c>
      <c r="X6423" t="s">
        <v>47432</v>
      </c>
    </row>
    <row r="6424" spans="1:24">
      <c r="A6424">
        <f>HYPERLINK("https://www.philgeps.gov.ph/GEPSNONPILOT/Tender/SplashBidNoticeAbstractUI.aspx?menuIndex=3&amp;refID=7155843&amp;Result=3","7155843")</f>
        <v>0</v>
      </c>
      <c r="B6424" t="s">
        <v>2314</v>
      </c>
      <c r="C6424" t="s">
        <v>9961</v>
      </c>
      <c r="D6424" t="s">
        <v>19042</v>
      </c>
      <c r="E6424" t="s">
        <v>20747</v>
      </c>
      <c r="F6424" t="s">
        <v>32831</v>
      </c>
      <c r="G6424" t="s">
        <v>32839</v>
      </c>
      <c r="H6424" t="s">
        <v>32848</v>
      </c>
      <c r="I6424" t="s">
        <v>7751</v>
      </c>
      <c r="J6424" t="s">
        <v>37056</v>
      </c>
      <c r="K6424" t="s">
        <v>42727</v>
      </c>
      <c r="M6424" t="s">
        <v>45499</v>
      </c>
      <c r="N6424" t="s">
        <v>47424</v>
      </c>
      <c r="O6424" t="s">
        <v>47425</v>
      </c>
      <c r="P6424">
        <v>0</v>
      </c>
      <c r="Q6424">
        <v>0</v>
      </c>
      <c r="R6424" t="s">
        <v>47431</v>
      </c>
      <c r="S6424" t="s">
        <v>47565</v>
      </c>
      <c r="T6424" t="s">
        <v>49073</v>
      </c>
      <c r="U6424" t="s">
        <v>55105</v>
      </c>
      <c r="W6424" t="s">
        <v>45499</v>
      </c>
      <c r="X6424" t="s">
        <v>47432</v>
      </c>
    </row>
    <row r="6425" spans="1:24">
      <c r="A6425">
        <f>HYPERLINK("https://www.philgeps.gov.ph/GEPSNONPILOT/Tender/SplashBidNoticeAbstractUI.aspx?menuIndex=3&amp;refID=7155842&amp;Result=3","7155842")</f>
        <v>0</v>
      </c>
      <c r="B6425" t="s">
        <v>1693</v>
      </c>
      <c r="C6425" t="s">
        <v>9962</v>
      </c>
      <c r="D6425" t="s">
        <v>19017</v>
      </c>
      <c r="E6425" t="s">
        <v>24708</v>
      </c>
      <c r="F6425" t="s">
        <v>32831</v>
      </c>
      <c r="G6425" t="s">
        <v>32838</v>
      </c>
      <c r="H6425" t="s">
        <v>32848</v>
      </c>
      <c r="I6425" t="s">
        <v>32862</v>
      </c>
      <c r="J6425" t="s">
        <v>34940</v>
      </c>
      <c r="K6425" t="s">
        <v>42732</v>
      </c>
      <c r="M6425" t="s">
        <v>44813</v>
      </c>
      <c r="N6425" t="s">
        <v>47424</v>
      </c>
      <c r="O6425" t="s">
        <v>47425</v>
      </c>
      <c r="P6425">
        <v>0</v>
      </c>
      <c r="Q6425">
        <v>6</v>
      </c>
      <c r="R6425" t="s">
        <v>47431</v>
      </c>
      <c r="S6425" t="s">
        <v>47565</v>
      </c>
      <c r="T6425" t="s">
        <v>49374</v>
      </c>
      <c r="U6425" t="s">
        <v>55106</v>
      </c>
      <c r="W6425" t="s">
        <v>45477</v>
      </c>
      <c r="X6425" t="s">
        <v>47432</v>
      </c>
    </row>
    <row r="6426" spans="1:24">
      <c r="A6426">
        <f>HYPERLINK("https://www.philgeps.gov.ph/GEPSNONPILOT/Tender/SplashBidNoticeAbstractUI.aspx?menuIndex=3&amp;refID=7155860&amp;Result=3","7155860")</f>
        <v>0</v>
      </c>
      <c r="B6426" t="s">
        <v>266</v>
      </c>
      <c r="C6426" t="s">
        <v>9963</v>
      </c>
      <c r="D6426" t="s">
        <v>19040</v>
      </c>
      <c r="E6426" t="s">
        <v>24709</v>
      </c>
      <c r="F6426" t="s">
        <v>32831</v>
      </c>
      <c r="G6426" t="s">
        <v>32838</v>
      </c>
      <c r="H6426" t="s">
        <v>32849</v>
      </c>
      <c r="I6426" t="s">
        <v>4177</v>
      </c>
      <c r="J6426" t="s">
        <v>37057</v>
      </c>
      <c r="K6426" t="s">
        <v>42730</v>
      </c>
      <c r="M6426" t="s">
        <v>43265</v>
      </c>
      <c r="N6426" t="s">
        <v>47424</v>
      </c>
      <c r="O6426" t="s">
        <v>47425</v>
      </c>
      <c r="Q6426">
        <v>1</v>
      </c>
      <c r="R6426" t="s">
        <v>47431</v>
      </c>
      <c r="S6426" t="s">
        <v>47569</v>
      </c>
      <c r="T6426" t="s">
        <v>49056</v>
      </c>
      <c r="U6426" t="s">
        <v>55107</v>
      </c>
      <c r="W6426" t="s">
        <v>43265</v>
      </c>
      <c r="X6426" t="s">
        <v>47432</v>
      </c>
    </row>
    <row r="6427" spans="1:24">
      <c r="A6427">
        <f>HYPERLINK("https://www.philgeps.gov.ph/GEPSNONPILOT/Tender/SplashBidNoticeAbstractUI.aspx?menuIndex=3&amp;refID=7155841&amp;Result=3","7155841")</f>
        <v>0</v>
      </c>
      <c r="B6427" t="s">
        <v>2291</v>
      </c>
      <c r="C6427" t="s">
        <v>9913</v>
      </c>
      <c r="D6427" t="s">
        <v>19078</v>
      </c>
      <c r="E6427" t="s">
        <v>24710</v>
      </c>
      <c r="F6427" t="s">
        <v>32831</v>
      </c>
      <c r="G6427" t="s">
        <v>32838</v>
      </c>
      <c r="H6427" t="s">
        <v>32848</v>
      </c>
      <c r="I6427" t="s">
        <v>5379</v>
      </c>
      <c r="J6427" t="s">
        <v>33859</v>
      </c>
      <c r="K6427" t="s">
        <v>42726</v>
      </c>
      <c r="M6427" t="s">
        <v>45475</v>
      </c>
      <c r="N6427" t="s">
        <v>47424</v>
      </c>
      <c r="O6427" t="s">
        <v>47425</v>
      </c>
      <c r="P6427">
        <v>0</v>
      </c>
      <c r="Q6427">
        <v>0</v>
      </c>
      <c r="R6427" t="s">
        <v>47431</v>
      </c>
      <c r="S6427" t="s">
        <v>47565</v>
      </c>
      <c r="T6427" t="s">
        <v>49114</v>
      </c>
      <c r="U6427" t="s">
        <v>55108</v>
      </c>
      <c r="W6427" t="s">
        <v>45475</v>
      </c>
      <c r="X6427" t="s">
        <v>47432</v>
      </c>
    </row>
    <row r="6428" spans="1:24">
      <c r="A6428">
        <f>HYPERLINK("https://www.philgeps.gov.ph/GEPSNONPILOT/Tender/SplashBidNoticeAbstractUI.aspx?menuIndex=3&amp;refID=7155855&amp;Result=3","7155855")</f>
        <v>0</v>
      </c>
      <c r="B6428" t="s">
        <v>2307</v>
      </c>
      <c r="C6428" t="s">
        <v>7702</v>
      </c>
      <c r="D6428" t="s">
        <v>19046</v>
      </c>
      <c r="E6428" t="s">
        <v>19211</v>
      </c>
      <c r="F6428" t="s">
        <v>32831</v>
      </c>
      <c r="G6428" t="s">
        <v>32839</v>
      </c>
      <c r="H6428" t="s">
        <v>32848</v>
      </c>
      <c r="I6428" t="s">
        <v>7416</v>
      </c>
      <c r="J6428" t="s">
        <v>37058</v>
      </c>
      <c r="K6428" t="s">
        <v>42731</v>
      </c>
      <c r="M6428" t="s">
        <v>45492</v>
      </c>
      <c r="N6428" t="s">
        <v>47424</v>
      </c>
      <c r="O6428" t="s">
        <v>47425</v>
      </c>
      <c r="P6428">
        <v>0</v>
      </c>
      <c r="Q6428">
        <v>0</v>
      </c>
      <c r="R6428" t="s">
        <v>47431</v>
      </c>
      <c r="S6428" t="s">
        <v>47565</v>
      </c>
      <c r="T6428" t="s">
        <v>49129</v>
      </c>
      <c r="U6428" t="s">
        <v>55109</v>
      </c>
      <c r="V6428" t="s">
        <v>62991</v>
      </c>
      <c r="W6428" t="s">
        <v>45492</v>
      </c>
      <c r="X6428" t="s">
        <v>47432</v>
      </c>
    </row>
    <row r="6429" spans="1:24">
      <c r="A6429">
        <f>HYPERLINK("https://www.philgeps.gov.ph/GEPSNONPILOT/Tender/SplashBidNoticeAbstractUI.aspx?menuIndex=3&amp;refID=7155837&amp;Result=3","7155837")</f>
        <v>0</v>
      </c>
      <c r="B6429" t="s">
        <v>2315</v>
      </c>
      <c r="C6429" t="s">
        <v>9964</v>
      </c>
      <c r="D6429" t="s">
        <v>19031</v>
      </c>
      <c r="E6429" t="s">
        <v>24711</v>
      </c>
      <c r="F6429" t="s">
        <v>32831</v>
      </c>
      <c r="G6429" t="s">
        <v>32840</v>
      </c>
      <c r="H6429" t="s">
        <v>32848</v>
      </c>
      <c r="I6429" t="s">
        <v>7416</v>
      </c>
      <c r="J6429" t="s">
        <v>37059</v>
      </c>
      <c r="K6429" t="s">
        <v>42730</v>
      </c>
      <c r="M6429" t="s">
        <v>45500</v>
      </c>
      <c r="N6429" t="s">
        <v>47424</v>
      </c>
      <c r="O6429" t="s">
        <v>47425</v>
      </c>
      <c r="P6429">
        <v>0</v>
      </c>
      <c r="Q6429">
        <v>0</v>
      </c>
      <c r="R6429" t="s">
        <v>47431</v>
      </c>
      <c r="S6429" t="s">
        <v>47565</v>
      </c>
      <c r="T6429" t="s">
        <v>49056</v>
      </c>
      <c r="U6429" t="s">
        <v>55110</v>
      </c>
      <c r="W6429" t="s">
        <v>45500</v>
      </c>
      <c r="X6429" t="s">
        <v>47432</v>
      </c>
    </row>
    <row r="6430" spans="1:24">
      <c r="A6430">
        <f>HYPERLINK("https://www.philgeps.gov.ph/GEPSNONPILOT/Tender/SplashBidNoticeAbstractUI.aspx?menuIndex=3&amp;refID=7155830&amp;Result=3","7155830")</f>
        <v>0</v>
      </c>
      <c r="B6430" t="s">
        <v>1872</v>
      </c>
      <c r="C6430" t="s">
        <v>9910</v>
      </c>
      <c r="D6430" t="s">
        <v>19100</v>
      </c>
      <c r="E6430" t="s">
        <v>19476</v>
      </c>
      <c r="F6430" t="s">
        <v>32831</v>
      </c>
      <c r="G6430" t="s">
        <v>32838</v>
      </c>
      <c r="H6430" t="s">
        <v>32849</v>
      </c>
      <c r="I6430" t="s">
        <v>4177</v>
      </c>
      <c r="J6430" t="s">
        <v>37060</v>
      </c>
      <c r="K6430" t="s">
        <v>42745</v>
      </c>
      <c r="M6430" t="s">
        <v>45016</v>
      </c>
      <c r="N6430" t="s">
        <v>47424</v>
      </c>
      <c r="O6430" t="s">
        <v>47425</v>
      </c>
      <c r="P6430">
        <v>0</v>
      </c>
      <c r="Q6430">
        <v>0</v>
      </c>
      <c r="R6430" t="s">
        <v>47431</v>
      </c>
      <c r="S6430" t="s">
        <v>47565</v>
      </c>
      <c r="T6430" t="s">
        <v>49239</v>
      </c>
      <c r="U6430" t="s">
        <v>55111</v>
      </c>
      <c r="W6430" t="s">
        <v>45016</v>
      </c>
      <c r="X6430" t="s">
        <v>47432</v>
      </c>
    </row>
    <row r="6431" spans="1:24">
      <c r="A6431">
        <f>HYPERLINK("https://www.philgeps.gov.ph/GEPSNONPILOT/Tender/SplashBidNoticeAbstractUI.aspx?menuIndex=3&amp;refID=7155850&amp;Result=3","7155850")</f>
        <v>0</v>
      </c>
      <c r="B6431" t="s">
        <v>911</v>
      </c>
      <c r="C6431" t="s">
        <v>9965</v>
      </c>
      <c r="D6431" t="s">
        <v>19049</v>
      </c>
      <c r="E6431" t="s">
        <v>24712</v>
      </c>
      <c r="F6431" t="s">
        <v>32831</v>
      </c>
      <c r="G6431" t="s">
        <v>32838</v>
      </c>
      <c r="H6431" t="s">
        <v>32848</v>
      </c>
      <c r="I6431" t="s">
        <v>32892</v>
      </c>
      <c r="J6431" t="s">
        <v>37061</v>
      </c>
      <c r="K6431" t="s">
        <v>42727</v>
      </c>
      <c r="M6431" t="s">
        <v>43951</v>
      </c>
      <c r="N6431" t="s">
        <v>47424</v>
      </c>
      <c r="O6431" t="s">
        <v>47425</v>
      </c>
      <c r="P6431">
        <v>0</v>
      </c>
      <c r="Q6431">
        <v>2</v>
      </c>
      <c r="R6431" t="s">
        <v>47431</v>
      </c>
      <c r="S6431" t="s">
        <v>47565</v>
      </c>
      <c r="T6431" t="s">
        <v>49214</v>
      </c>
      <c r="U6431" t="s">
        <v>51540</v>
      </c>
      <c r="W6431" t="s">
        <v>43951</v>
      </c>
      <c r="X6431" t="s">
        <v>47432</v>
      </c>
    </row>
    <row r="6432" spans="1:24">
      <c r="A6432">
        <f>HYPERLINK("https://www.philgeps.gov.ph/GEPSNONPILOT/Tender/SplashBidNoticeAbstractUI.aspx?menuIndex=3&amp;refID=7155797&amp;Result=3","7155797")</f>
        <v>0</v>
      </c>
      <c r="B6432" t="s">
        <v>192</v>
      </c>
      <c r="C6432" t="s">
        <v>9966</v>
      </c>
      <c r="D6432" t="s">
        <v>19057</v>
      </c>
      <c r="E6432" t="s">
        <v>24713</v>
      </c>
      <c r="F6432" t="s">
        <v>32831</v>
      </c>
      <c r="G6432" t="s">
        <v>32838</v>
      </c>
      <c r="H6432" t="s">
        <v>32848</v>
      </c>
      <c r="I6432" t="s">
        <v>32867</v>
      </c>
      <c r="J6432" t="s">
        <v>37062</v>
      </c>
      <c r="K6432" t="s">
        <v>42747</v>
      </c>
      <c r="M6432" t="s">
        <v>43190</v>
      </c>
      <c r="N6432" t="s">
        <v>47424</v>
      </c>
      <c r="O6432" t="s">
        <v>47425</v>
      </c>
      <c r="P6432">
        <v>0</v>
      </c>
      <c r="Q6432">
        <v>9</v>
      </c>
      <c r="R6432" t="s">
        <v>47431</v>
      </c>
      <c r="S6432" t="s">
        <v>47565</v>
      </c>
      <c r="T6432" t="s">
        <v>49100</v>
      </c>
      <c r="U6432" t="s">
        <v>55112</v>
      </c>
      <c r="W6432" t="s">
        <v>43190</v>
      </c>
      <c r="X6432" t="s">
        <v>47432</v>
      </c>
    </row>
    <row r="6433" spans="1:24">
      <c r="A6433">
        <f>HYPERLINK("https://www.philgeps.gov.ph/GEPSNONPILOT/Tender/SplashBidNoticeAbstractUI.aspx?menuIndex=3&amp;refID=7155849&amp;Result=3","7155849")</f>
        <v>0</v>
      </c>
      <c r="B6433" t="s">
        <v>2316</v>
      </c>
      <c r="C6433" t="s">
        <v>9967</v>
      </c>
      <c r="D6433" t="s">
        <v>19049</v>
      </c>
      <c r="E6433" t="s">
        <v>24714</v>
      </c>
      <c r="F6433" t="s">
        <v>32831</v>
      </c>
      <c r="G6433" t="s">
        <v>32839</v>
      </c>
      <c r="H6433" t="s">
        <v>32848</v>
      </c>
      <c r="I6433" t="s">
        <v>32895</v>
      </c>
      <c r="J6433" t="s">
        <v>36158</v>
      </c>
      <c r="K6433" t="s">
        <v>42727</v>
      </c>
      <c r="M6433" t="s">
        <v>45501</v>
      </c>
      <c r="N6433" t="s">
        <v>47424</v>
      </c>
      <c r="O6433" t="s">
        <v>47425</v>
      </c>
      <c r="P6433">
        <v>0</v>
      </c>
      <c r="Q6433">
        <v>0</v>
      </c>
      <c r="R6433" t="s">
        <v>47431</v>
      </c>
      <c r="S6433" t="s">
        <v>47565</v>
      </c>
      <c r="T6433" t="s">
        <v>49104</v>
      </c>
      <c r="U6433" t="s">
        <v>55113</v>
      </c>
      <c r="W6433" t="s">
        <v>45501</v>
      </c>
      <c r="X6433" t="s">
        <v>47432</v>
      </c>
    </row>
    <row r="6434" spans="1:24">
      <c r="A6434">
        <f>HYPERLINK("https://www.philgeps.gov.ph/GEPSNONPILOT/Tender/SplashBidNoticeAbstractUI.aspx?menuIndex=3&amp;refID=7155887&amp;Result=3","7155887")</f>
        <v>0</v>
      </c>
      <c r="B6434" t="s">
        <v>2317</v>
      </c>
      <c r="C6434" t="s">
        <v>9968</v>
      </c>
      <c r="D6434" t="s">
        <v>19017</v>
      </c>
      <c r="E6434" t="s">
        <v>24715</v>
      </c>
      <c r="F6434" t="s">
        <v>32831</v>
      </c>
      <c r="G6434" t="s">
        <v>32838</v>
      </c>
      <c r="H6434" t="s">
        <v>32848</v>
      </c>
      <c r="I6434" t="s">
        <v>32861</v>
      </c>
      <c r="J6434" t="s">
        <v>37063</v>
      </c>
      <c r="K6434" t="s">
        <v>42729</v>
      </c>
      <c r="M6434" t="s">
        <v>45502</v>
      </c>
      <c r="N6434" t="s">
        <v>47424</v>
      </c>
      <c r="O6434" t="s">
        <v>47425</v>
      </c>
      <c r="P6434">
        <v>0</v>
      </c>
      <c r="Q6434">
        <v>6</v>
      </c>
      <c r="R6434" t="s">
        <v>47431</v>
      </c>
      <c r="S6434" t="s">
        <v>47565</v>
      </c>
      <c r="T6434" t="s">
        <v>49212</v>
      </c>
      <c r="U6434" t="s">
        <v>55114</v>
      </c>
      <c r="W6434" t="s">
        <v>45502</v>
      </c>
      <c r="X6434" t="s">
        <v>47432</v>
      </c>
    </row>
    <row r="6435" spans="1:24">
      <c r="A6435">
        <f>HYPERLINK("https://www.philgeps.gov.ph/GEPSNONPILOT/Tender/SplashBidNoticeAbstractUI.aspx?menuIndex=3&amp;refID=7155897&amp;Result=3","7155897")</f>
        <v>0</v>
      </c>
      <c r="B6435" t="s">
        <v>1149</v>
      </c>
      <c r="C6435" t="s">
        <v>8763</v>
      </c>
      <c r="D6435" t="s">
        <v>19079</v>
      </c>
      <c r="E6435" t="s">
        <v>24716</v>
      </c>
      <c r="F6435" t="s">
        <v>32831</v>
      </c>
      <c r="G6435" t="s">
        <v>32838</v>
      </c>
      <c r="H6435" t="s">
        <v>32848</v>
      </c>
      <c r="I6435" t="s">
        <v>4558</v>
      </c>
      <c r="J6435" t="s">
        <v>37064</v>
      </c>
      <c r="K6435" t="s">
        <v>42731</v>
      </c>
      <c r="M6435" t="s">
        <v>44914</v>
      </c>
      <c r="N6435" t="s">
        <v>47424</v>
      </c>
      <c r="O6435" t="s">
        <v>47425</v>
      </c>
      <c r="P6435">
        <v>0</v>
      </c>
      <c r="Q6435">
        <v>0</v>
      </c>
      <c r="R6435" t="s">
        <v>47431</v>
      </c>
      <c r="S6435" t="s">
        <v>47565</v>
      </c>
      <c r="T6435" t="s">
        <v>49212</v>
      </c>
      <c r="U6435" t="s">
        <v>55115</v>
      </c>
      <c r="W6435" t="s">
        <v>44914</v>
      </c>
      <c r="X6435" t="s">
        <v>47432</v>
      </c>
    </row>
    <row r="6436" spans="1:24">
      <c r="A6436">
        <f>HYPERLINK("https://www.philgeps.gov.ph/GEPSNONPILOT/Tender/SplashBidNoticeAbstractUI.aspx?menuIndex=3&amp;refID=7155811&amp;Result=3","7155811")</f>
        <v>0</v>
      </c>
      <c r="B6436" t="s">
        <v>2300</v>
      </c>
      <c r="C6436" t="s">
        <v>9969</v>
      </c>
      <c r="D6436" t="s">
        <v>19038</v>
      </c>
      <c r="E6436" t="s">
        <v>19144</v>
      </c>
      <c r="F6436" t="s">
        <v>32831</v>
      </c>
      <c r="G6436" t="s">
        <v>32839</v>
      </c>
      <c r="H6436" t="s">
        <v>32848</v>
      </c>
      <c r="I6436" t="s">
        <v>7416</v>
      </c>
      <c r="J6436" t="s">
        <v>37065</v>
      </c>
      <c r="K6436" t="s">
        <v>42727</v>
      </c>
      <c r="M6436" t="s">
        <v>45485</v>
      </c>
      <c r="N6436" t="s">
        <v>47424</v>
      </c>
      <c r="O6436" t="s">
        <v>47425</v>
      </c>
      <c r="P6436">
        <v>0</v>
      </c>
      <c r="Q6436">
        <v>1</v>
      </c>
      <c r="R6436" t="s">
        <v>47431</v>
      </c>
      <c r="S6436" t="s">
        <v>47565</v>
      </c>
      <c r="T6436" t="s">
        <v>49125</v>
      </c>
      <c r="U6436" t="s">
        <v>55116</v>
      </c>
      <c r="W6436" t="s">
        <v>45485</v>
      </c>
      <c r="X6436" t="s">
        <v>47432</v>
      </c>
    </row>
    <row r="6437" spans="1:24">
      <c r="A6437">
        <f>HYPERLINK("https://www.philgeps.gov.ph/GEPSNONPILOT/Tender/SplashBidNoticeAbstractUI.aspx?menuIndex=3&amp;refID=7155890&amp;Result=3","7155890")</f>
        <v>0</v>
      </c>
      <c r="B6437" t="s">
        <v>2318</v>
      </c>
      <c r="C6437" t="s">
        <v>9970</v>
      </c>
      <c r="D6437" t="s">
        <v>19027</v>
      </c>
      <c r="E6437" t="s">
        <v>24717</v>
      </c>
      <c r="F6437" t="s">
        <v>32831</v>
      </c>
      <c r="G6437" t="s">
        <v>32838</v>
      </c>
      <c r="H6437" t="s">
        <v>32848</v>
      </c>
      <c r="I6437" t="s">
        <v>32855</v>
      </c>
      <c r="J6437" t="s">
        <v>33241</v>
      </c>
      <c r="K6437" t="s">
        <v>42730</v>
      </c>
      <c r="M6437" t="s">
        <v>45503</v>
      </c>
      <c r="N6437" t="s">
        <v>47424</v>
      </c>
      <c r="O6437" t="s">
        <v>47425</v>
      </c>
      <c r="P6437">
        <v>0</v>
      </c>
      <c r="Q6437">
        <v>9</v>
      </c>
      <c r="R6437" t="s">
        <v>47431</v>
      </c>
      <c r="S6437" t="s">
        <v>47565</v>
      </c>
      <c r="T6437" t="s">
        <v>49279</v>
      </c>
      <c r="U6437" t="s">
        <v>55117</v>
      </c>
      <c r="V6437" t="s">
        <v>63340</v>
      </c>
      <c r="W6437" t="s">
        <v>45503</v>
      </c>
      <c r="X6437" t="s">
        <v>47432</v>
      </c>
    </row>
    <row r="6438" spans="1:24">
      <c r="A6438">
        <f>HYPERLINK("https://www.philgeps.gov.ph/GEPSNONPILOT/Tender/SplashBidNoticeAbstractUI.aspx?menuIndex=3&amp;refID=7155889&amp;Result=3","7155889")</f>
        <v>0</v>
      </c>
      <c r="B6438" t="s">
        <v>172</v>
      </c>
      <c r="C6438" t="s">
        <v>9971</v>
      </c>
      <c r="D6438" t="s">
        <v>19022</v>
      </c>
      <c r="E6438" t="s">
        <v>24718</v>
      </c>
      <c r="F6438" t="s">
        <v>32831</v>
      </c>
      <c r="G6438" t="s">
        <v>32838</v>
      </c>
      <c r="H6438" t="s">
        <v>32848</v>
      </c>
      <c r="I6438" t="s">
        <v>32857</v>
      </c>
      <c r="J6438" t="s">
        <v>33692</v>
      </c>
      <c r="K6438" t="s">
        <v>42726</v>
      </c>
      <c r="M6438" t="s">
        <v>43169</v>
      </c>
      <c r="N6438" t="s">
        <v>47424</v>
      </c>
      <c r="O6438" t="s">
        <v>47425</v>
      </c>
      <c r="P6438">
        <v>0</v>
      </c>
      <c r="Q6438">
        <v>7</v>
      </c>
      <c r="R6438" t="s">
        <v>47431</v>
      </c>
      <c r="S6438" t="s">
        <v>47565</v>
      </c>
      <c r="T6438" t="s">
        <v>49212</v>
      </c>
      <c r="U6438" t="s">
        <v>53250</v>
      </c>
      <c r="V6438" t="s">
        <v>63341</v>
      </c>
      <c r="W6438" t="s">
        <v>43169</v>
      </c>
      <c r="X6438" t="s">
        <v>47432</v>
      </c>
    </row>
    <row r="6439" spans="1:24">
      <c r="A6439">
        <f>HYPERLINK("https://www.philgeps.gov.ph/GEPSNONPILOT/Tender/SplashBidNoticeAbstractUI.aspx?menuIndex=3&amp;refID=7155840&amp;Result=3","7155840")</f>
        <v>0</v>
      </c>
      <c r="B6439" t="s">
        <v>668</v>
      </c>
      <c r="C6439" t="s">
        <v>9972</v>
      </c>
      <c r="D6439" t="s">
        <v>19034</v>
      </c>
      <c r="E6439" t="s">
        <v>24719</v>
      </c>
      <c r="F6439" t="s">
        <v>32831</v>
      </c>
      <c r="G6439" t="s">
        <v>32839</v>
      </c>
      <c r="H6439" t="s">
        <v>32849</v>
      </c>
      <c r="I6439" t="s">
        <v>4177</v>
      </c>
      <c r="J6439" t="s">
        <v>37066</v>
      </c>
      <c r="K6439" t="s">
        <v>42770</v>
      </c>
      <c r="M6439" t="s">
        <v>43687</v>
      </c>
      <c r="N6439" t="s">
        <v>47424</v>
      </c>
      <c r="O6439" t="s">
        <v>47425</v>
      </c>
      <c r="P6439">
        <v>0</v>
      </c>
      <c r="Q6439">
        <v>0</v>
      </c>
      <c r="R6439" t="s">
        <v>47431</v>
      </c>
      <c r="S6439" t="s">
        <v>47565</v>
      </c>
      <c r="T6439" t="s">
        <v>49338</v>
      </c>
      <c r="U6439" t="s">
        <v>55118</v>
      </c>
      <c r="W6439" t="s">
        <v>43687</v>
      </c>
      <c r="X6439" t="s">
        <v>47432</v>
      </c>
    </row>
    <row r="6440" spans="1:24">
      <c r="A6440">
        <f>HYPERLINK("https://www.philgeps.gov.ph/GEPSNONPILOT/Tender/SplashBidNoticeAbstractUI.aspx?menuIndex=3&amp;refID=7155884&amp;Result=3","7155884")</f>
        <v>0</v>
      </c>
      <c r="B6440" t="s">
        <v>2319</v>
      </c>
      <c r="C6440" t="s">
        <v>9973</v>
      </c>
      <c r="D6440" t="s">
        <v>19022</v>
      </c>
      <c r="E6440" t="s">
        <v>24720</v>
      </c>
      <c r="F6440" t="s">
        <v>32831</v>
      </c>
      <c r="G6440" t="s">
        <v>32838</v>
      </c>
      <c r="H6440" t="s">
        <v>32848</v>
      </c>
      <c r="I6440" t="s">
        <v>32864</v>
      </c>
      <c r="J6440" t="s">
        <v>37067</v>
      </c>
      <c r="K6440" t="s">
        <v>42731</v>
      </c>
      <c r="M6440" t="s">
        <v>45504</v>
      </c>
      <c r="N6440" t="s">
        <v>47424</v>
      </c>
      <c r="O6440" t="s">
        <v>47425</v>
      </c>
      <c r="P6440">
        <v>0</v>
      </c>
      <c r="Q6440">
        <v>7</v>
      </c>
      <c r="R6440" t="s">
        <v>47431</v>
      </c>
      <c r="S6440" t="s">
        <v>47565</v>
      </c>
      <c r="T6440" t="s">
        <v>49235</v>
      </c>
      <c r="U6440" t="s">
        <v>55119</v>
      </c>
      <c r="V6440" t="s">
        <v>63342</v>
      </c>
      <c r="W6440" t="s">
        <v>45504</v>
      </c>
      <c r="X6440" t="s">
        <v>47432</v>
      </c>
    </row>
    <row r="6441" spans="1:24">
      <c r="A6441">
        <f>HYPERLINK("https://www.philgeps.gov.ph/GEPSNONPILOT/Tender/SplashBidNoticeAbstractUI.aspx?menuIndex=3&amp;refID=7155883&amp;Result=3","7155883")</f>
        <v>0</v>
      </c>
      <c r="B6441" t="s">
        <v>1130</v>
      </c>
      <c r="C6441" t="s">
        <v>9974</v>
      </c>
      <c r="D6441" t="s">
        <v>19045</v>
      </c>
      <c r="E6441" t="s">
        <v>24721</v>
      </c>
      <c r="F6441" t="s">
        <v>32831</v>
      </c>
      <c r="G6441" t="s">
        <v>32839</v>
      </c>
      <c r="H6441" t="s">
        <v>32849</v>
      </c>
      <c r="I6441" t="s">
        <v>4177</v>
      </c>
      <c r="J6441" t="s">
        <v>37068</v>
      </c>
      <c r="K6441" t="s">
        <v>42729</v>
      </c>
      <c r="M6441" t="s">
        <v>45442</v>
      </c>
      <c r="N6441" t="s">
        <v>47424</v>
      </c>
      <c r="O6441" t="s">
        <v>47425</v>
      </c>
      <c r="P6441">
        <v>0</v>
      </c>
      <c r="Q6441">
        <v>0</v>
      </c>
      <c r="R6441" t="s">
        <v>47431</v>
      </c>
      <c r="S6441" t="s">
        <v>47565</v>
      </c>
      <c r="T6441" t="s">
        <v>49181</v>
      </c>
      <c r="U6441" t="s">
        <v>55120</v>
      </c>
      <c r="V6441" t="s">
        <v>63325</v>
      </c>
      <c r="W6441" t="s">
        <v>45442</v>
      </c>
      <c r="X6441" t="s">
        <v>47432</v>
      </c>
    </row>
    <row r="6442" spans="1:24">
      <c r="A6442">
        <f>HYPERLINK("https://www.philgeps.gov.ph/GEPSNONPILOT/Tender/SplashBidNoticeAbstractUI.aspx?menuIndex=3&amp;refID=7155894&amp;Result=3","7155894")</f>
        <v>0</v>
      </c>
      <c r="B6442" t="s">
        <v>2303</v>
      </c>
      <c r="C6442" t="s">
        <v>9975</v>
      </c>
      <c r="D6442" t="s">
        <v>19037</v>
      </c>
      <c r="E6442" t="s">
        <v>24722</v>
      </c>
      <c r="F6442" t="s">
        <v>32831</v>
      </c>
      <c r="G6442" t="s">
        <v>32839</v>
      </c>
      <c r="H6442" t="s">
        <v>32849</v>
      </c>
      <c r="I6442" t="s">
        <v>7416</v>
      </c>
      <c r="J6442" t="s">
        <v>37069</v>
      </c>
      <c r="K6442" t="s">
        <v>42763</v>
      </c>
      <c r="M6442" t="s">
        <v>45488</v>
      </c>
      <c r="N6442" t="s">
        <v>47424</v>
      </c>
      <c r="O6442" t="s">
        <v>47425</v>
      </c>
      <c r="P6442">
        <v>0</v>
      </c>
      <c r="Q6442">
        <v>1</v>
      </c>
      <c r="R6442" t="s">
        <v>47431</v>
      </c>
      <c r="S6442" t="s">
        <v>47565</v>
      </c>
      <c r="T6442" t="s">
        <v>49424</v>
      </c>
      <c r="U6442" t="s">
        <v>55121</v>
      </c>
      <c r="W6442" t="s">
        <v>45488</v>
      </c>
      <c r="X6442" t="s">
        <v>47432</v>
      </c>
    </row>
    <row r="6443" spans="1:24">
      <c r="A6443">
        <f>HYPERLINK("https://www.philgeps.gov.ph/GEPSNONPILOT/Tender/SplashBidNoticeAbstractUI.aspx?menuIndex=3&amp;refID=7155880&amp;Result=3","7155880")</f>
        <v>0</v>
      </c>
      <c r="B6443" t="s">
        <v>2312</v>
      </c>
      <c r="C6443" t="s">
        <v>9976</v>
      </c>
      <c r="D6443" t="s">
        <v>19052</v>
      </c>
      <c r="E6443" t="s">
        <v>24723</v>
      </c>
      <c r="F6443" t="s">
        <v>32831</v>
      </c>
      <c r="G6443" t="s">
        <v>32838</v>
      </c>
      <c r="H6443" t="s">
        <v>32848</v>
      </c>
      <c r="I6443" t="s">
        <v>7416</v>
      </c>
      <c r="J6443" t="s">
        <v>33087</v>
      </c>
      <c r="K6443" t="s">
        <v>42726</v>
      </c>
      <c r="M6443" t="s">
        <v>45497</v>
      </c>
      <c r="N6443" t="s">
        <v>47424</v>
      </c>
      <c r="O6443" t="s">
        <v>47425</v>
      </c>
      <c r="P6443">
        <v>0</v>
      </c>
      <c r="Q6443">
        <v>1</v>
      </c>
      <c r="R6443" t="s">
        <v>47431</v>
      </c>
      <c r="S6443" t="s">
        <v>47565</v>
      </c>
      <c r="T6443" t="s">
        <v>49104</v>
      </c>
      <c r="U6443" t="s">
        <v>55122</v>
      </c>
      <c r="W6443" t="s">
        <v>45497</v>
      </c>
      <c r="X6443" t="s">
        <v>47432</v>
      </c>
    </row>
    <row r="6444" spans="1:24">
      <c r="A6444">
        <f>HYPERLINK("https://www.philgeps.gov.ph/GEPSNONPILOT/Tender/SplashBidNoticeAbstractUI.aspx?menuIndex=3&amp;refID=7155836&amp;Result=3","7155836")</f>
        <v>0</v>
      </c>
      <c r="B6444" t="s">
        <v>2313</v>
      </c>
      <c r="C6444" t="s">
        <v>9977</v>
      </c>
      <c r="E6444" t="s">
        <v>24724</v>
      </c>
      <c r="F6444" t="s">
        <v>32831</v>
      </c>
      <c r="G6444" t="s">
        <v>32838</v>
      </c>
      <c r="H6444" t="s">
        <v>32848</v>
      </c>
      <c r="I6444" t="s">
        <v>32858</v>
      </c>
      <c r="J6444" t="s">
        <v>37070</v>
      </c>
      <c r="K6444" t="s">
        <v>42732</v>
      </c>
      <c r="M6444" t="s">
        <v>45498</v>
      </c>
      <c r="N6444" t="s">
        <v>47424</v>
      </c>
      <c r="O6444" t="s">
        <v>47425</v>
      </c>
      <c r="P6444">
        <v>0</v>
      </c>
      <c r="Q6444">
        <v>2</v>
      </c>
      <c r="R6444" t="s">
        <v>47431</v>
      </c>
      <c r="S6444" t="s">
        <v>47565</v>
      </c>
      <c r="T6444" t="s">
        <v>49214</v>
      </c>
      <c r="U6444" t="s">
        <v>55123</v>
      </c>
      <c r="W6444" t="s">
        <v>45498</v>
      </c>
      <c r="X6444" t="s">
        <v>47432</v>
      </c>
    </row>
    <row r="6445" spans="1:24">
      <c r="A6445">
        <f>HYPERLINK("https://www.philgeps.gov.ph/GEPSNONPILOT/Tender/SplashBidNoticeAbstractUI.aspx?menuIndex=3&amp;refID=7155888&amp;Result=3","7155888")</f>
        <v>0</v>
      </c>
      <c r="B6445" t="s">
        <v>2320</v>
      </c>
      <c r="C6445" t="s">
        <v>9978</v>
      </c>
      <c r="D6445" t="s">
        <v>19077</v>
      </c>
      <c r="E6445" t="s">
        <v>24725</v>
      </c>
      <c r="F6445" t="s">
        <v>32831</v>
      </c>
      <c r="G6445" t="s">
        <v>32838</v>
      </c>
      <c r="H6445" t="s">
        <v>32848</v>
      </c>
      <c r="I6445" t="s">
        <v>7416</v>
      </c>
      <c r="J6445" t="s">
        <v>37071</v>
      </c>
      <c r="K6445" t="s">
        <v>42742</v>
      </c>
      <c r="M6445" t="s">
        <v>45505</v>
      </c>
      <c r="N6445" t="s">
        <v>47424</v>
      </c>
      <c r="O6445" t="s">
        <v>47425</v>
      </c>
      <c r="P6445">
        <v>0</v>
      </c>
      <c r="Q6445">
        <v>0</v>
      </c>
      <c r="R6445" t="s">
        <v>47431</v>
      </c>
      <c r="S6445" t="s">
        <v>47565</v>
      </c>
      <c r="T6445" t="s">
        <v>49255</v>
      </c>
      <c r="U6445" t="s">
        <v>55124</v>
      </c>
      <c r="V6445" t="s">
        <v>63343</v>
      </c>
      <c r="W6445" t="s">
        <v>45505</v>
      </c>
      <c r="X6445" t="s">
        <v>47432</v>
      </c>
    </row>
    <row r="6446" spans="1:24">
      <c r="A6446">
        <f>HYPERLINK("https://www.philgeps.gov.ph/GEPSNONPILOT/Tender/SplashBidNoticeAbstractUI.aspx?menuIndex=3&amp;refID=7155869&amp;Result=3","7155869")</f>
        <v>0</v>
      </c>
      <c r="B6446" t="s">
        <v>1616</v>
      </c>
      <c r="C6446" t="s">
        <v>9979</v>
      </c>
      <c r="D6446" t="s">
        <v>19033</v>
      </c>
      <c r="E6446" t="s">
        <v>24726</v>
      </c>
      <c r="F6446" t="s">
        <v>32831</v>
      </c>
      <c r="G6446" t="s">
        <v>32839</v>
      </c>
      <c r="H6446" t="s">
        <v>32849</v>
      </c>
      <c r="I6446" t="s">
        <v>4177</v>
      </c>
      <c r="J6446" t="s">
        <v>33794</v>
      </c>
      <c r="K6446" t="s">
        <v>42731</v>
      </c>
      <c r="M6446" t="s">
        <v>44732</v>
      </c>
      <c r="N6446" t="s">
        <v>47424</v>
      </c>
      <c r="O6446" t="s">
        <v>47425</v>
      </c>
      <c r="P6446">
        <v>0</v>
      </c>
      <c r="Q6446">
        <v>0</v>
      </c>
      <c r="R6446" t="s">
        <v>47431</v>
      </c>
      <c r="S6446" t="s">
        <v>47565</v>
      </c>
      <c r="T6446" t="s">
        <v>49236</v>
      </c>
      <c r="U6446" t="s">
        <v>55125</v>
      </c>
      <c r="W6446" t="s">
        <v>44732</v>
      </c>
      <c r="X6446" t="s">
        <v>47432</v>
      </c>
    </row>
    <row r="6447" spans="1:24">
      <c r="A6447">
        <f>HYPERLINK("https://www.philgeps.gov.ph/GEPSNONPILOT/Tender/SplashBidNoticeAbstractUI.aspx?menuIndex=3&amp;refID=7155877&amp;Result=3","7155877")</f>
        <v>0</v>
      </c>
      <c r="B6447" t="s">
        <v>1739</v>
      </c>
      <c r="C6447" t="s">
        <v>9980</v>
      </c>
      <c r="D6447" t="s">
        <v>19026</v>
      </c>
      <c r="E6447" t="s">
        <v>24727</v>
      </c>
      <c r="F6447" t="s">
        <v>32831</v>
      </c>
      <c r="G6447" t="s">
        <v>32839</v>
      </c>
      <c r="H6447" t="s">
        <v>32849</v>
      </c>
      <c r="I6447" t="s">
        <v>4177</v>
      </c>
      <c r="J6447" t="s">
        <v>33118</v>
      </c>
      <c r="K6447" t="s">
        <v>42732</v>
      </c>
      <c r="M6447" t="s">
        <v>44862</v>
      </c>
      <c r="N6447" t="s">
        <v>47424</v>
      </c>
      <c r="O6447" t="s">
        <v>47425</v>
      </c>
      <c r="P6447">
        <v>0</v>
      </c>
      <c r="Q6447">
        <v>3</v>
      </c>
      <c r="R6447" t="s">
        <v>47431</v>
      </c>
      <c r="S6447" t="s">
        <v>47565</v>
      </c>
      <c r="T6447" t="s">
        <v>49100</v>
      </c>
      <c r="U6447" t="s">
        <v>55126</v>
      </c>
      <c r="V6447" t="s">
        <v>63344</v>
      </c>
      <c r="W6447" t="s">
        <v>44862</v>
      </c>
      <c r="X6447" t="s">
        <v>47432</v>
      </c>
    </row>
    <row r="6448" spans="1:24">
      <c r="A6448">
        <f>HYPERLINK("https://www.philgeps.gov.ph/GEPSNONPILOT/Tender/SplashBidNoticeAbstractUI.aspx?menuIndex=3&amp;refID=7155873&amp;Result=3","7155873")</f>
        <v>0</v>
      </c>
      <c r="B6448" t="s">
        <v>232</v>
      </c>
      <c r="C6448" t="s">
        <v>9981</v>
      </c>
      <c r="D6448" t="s">
        <v>19038</v>
      </c>
      <c r="E6448" t="s">
        <v>24728</v>
      </c>
      <c r="F6448" t="s">
        <v>32831</v>
      </c>
      <c r="G6448" t="s">
        <v>32838</v>
      </c>
      <c r="H6448" t="s">
        <v>32848</v>
      </c>
      <c r="I6448" t="s">
        <v>7416</v>
      </c>
      <c r="J6448" t="s">
        <v>37072</v>
      </c>
      <c r="K6448" t="s">
        <v>42732</v>
      </c>
      <c r="M6448" t="s">
        <v>43231</v>
      </c>
      <c r="N6448" t="s">
        <v>47424</v>
      </c>
      <c r="O6448" t="s">
        <v>47425</v>
      </c>
      <c r="P6448">
        <v>0</v>
      </c>
      <c r="Q6448">
        <v>0</v>
      </c>
      <c r="R6448" t="s">
        <v>47431</v>
      </c>
      <c r="S6448" t="s">
        <v>47565</v>
      </c>
      <c r="T6448" t="s">
        <v>49056</v>
      </c>
      <c r="U6448" t="s">
        <v>55127</v>
      </c>
      <c r="W6448" t="s">
        <v>43231</v>
      </c>
      <c r="X6448" t="s">
        <v>47432</v>
      </c>
    </row>
    <row r="6449" spans="1:24">
      <c r="A6449">
        <f>HYPERLINK("https://www.philgeps.gov.ph/GEPSNONPILOT/Tender/SplashBidNoticeAbstractUI.aspx?menuIndex=3&amp;refID=7155934&amp;Result=3","7155934")</f>
        <v>0</v>
      </c>
      <c r="B6449" t="s">
        <v>2321</v>
      </c>
      <c r="C6449" t="s">
        <v>4699</v>
      </c>
      <c r="D6449" t="s">
        <v>19052</v>
      </c>
      <c r="E6449" t="s">
        <v>24729</v>
      </c>
      <c r="F6449" t="s">
        <v>32831</v>
      </c>
      <c r="G6449" t="s">
        <v>32838</v>
      </c>
      <c r="H6449" t="s">
        <v>32848</v>
      </c>
      <c r="I6449" t="s">
        <v>32858</v>
      </c>
      <c r="J6449" t="s">
        <v>37073</v>
      </c>
      <c r="K6449" t="s">
        <v>42758</v>
      </c>
      <c r="M6449" t="s">
        <v>45506</v>
      </c>
      <c r="N6449" t="s">
        <v>47424</v>
      </c>
      <c r="O6449" t="s">
        <v>47425</v>
      </c>
      <c r="P6449">
        <v>0</v>
      </c>
      <c r="Q6449">
        <v>3</v>
      </c>
      <c r="R6449" t="s">
        <v>47431</v>
      </c>
      <c r="S6449" t="s">
        <v>47565</v>
      </c>
      <c r="T6449" t="s">
        <v>49237</v>
      </c>
      <c r="U6449" t="s">
        <v>55128</v>
      </c>
      <c r="V6449" t="s">
        <v>63345</v>
      </c>
      <c r="W6449" t="s">
        <v>45506</v>
      </c>
      <c r="X6449" t="s">
        <v>47432</v>
      </c>
    </row>
    <row r="6450" spans="1:24">
      <c r="A6450">
        <f>HYPERLINK("https://www.philgeps.gov.ph/GEPSNONPILOT/Tender/SplashBidNoticeAbstractUI.aspx?menuIndex=3&amp;refID=7155931&amp;Result=3","7155931")</f>
        <v>0</v>
      </c>
      <c r="B6450" t="s">
        <v>1421</v>
      </c>
      <c r="C6450" t="s">
        <v>9982</v>
      </c>
      <c r="D6450" t="s">
        <v>19078</v>
      </c>
      <c r="E6450" t="s">
        <v>24730</v>
      </c>
      <c r="F6450" t="s">
        <v>32831</v>
      </c>
      <c r="G6450" t="s">
        <v>32839</v>
      </c>
      <c r="H6450" t="s">
        <v>32848</v>
      </c>
      <c r="I6450" t="s">
        <v>7416</v>
      </c>
      <c r="J6450" t="s">
        <v>37074</v>
      </c>
      <c r="K6450" t="s">
        <v>42745</v>
      </c>
      <c r="M6450" t="s">
        <v>44509</v>
      </c>
      <c r="N6450" t="s">
        <v>47424</v>
      </c>
      <c r="O6450" t="s">
        <v>47425</v>
      </c>
      <c r="P6450">
        <v>0</v>
      </c>
      <c r="Q6450">
        <v>1</v>
      </c>
      <c r="R6450" t="s">
        <v>47431</v>
      </c>
      <c r="S6450" t="s">
        <v>47565</v>
      </c>
      <c r="T6450" t="s">
        <v>49343</v>
      </c>
      <c r="U6450" t="s">
        <v>55129</v>
      </c>
      <c r="W6450" t="s">
        <v>44509</v>
      </c>
      <c r="X6450" t="s">
        <v>47432</v>
      </c>
    </row>
    <row r="6451" spans="1:24">
      <c r="A6451">
        <f>HYPERLINK("https://www.philgeps.gov.ph/GEPSNONPILOT/Tender/SplashBidNoticeAbstractUI.aspx?menuIndex=3&amp;refID=7155893&amp;Result=3","7155893")</f>
        <v>0</v>
      </c>
      <c r="B6451" t="s">
        <v>1877</v>
      </c>
      <c r="C6451" t="s">
        <v>9983</v>
      </c>
      <c r="D6451" t="s">
        <v>19043</v>
      </c>
      <c r="E6451" t="s">
        <v>24731</v>
      </c>
      <c r="F6451" t="s">
        <v>32831</v>
      </c>
      <c r="G6451" t="s">
        <v>32840</v>
      </c>
      <c r="H6451" t="s">
        <v>32848</v>
      </c>
      <c r="I6451" t="s">
        <v>5379</v>
      </c>
      <c r="J6451" t="s">
        <v>33198</v>
      </c>
      <c r="K6451" t="s">
        <v>42727</v>
      </c>
      <c r="M6451" t="s">
        <v>45021</v>
      </c>
      <c r="N6451" t="s">
        <v>47424</v>
      </c>
      <c r="O6451" t="s">
        <v>47425</v>
      </c>
      <c r="P6451">
        <v>0</v>
      </c>
      <c r="Q6451">
        <v>0</v>
      </c>
      <c r="R6451" t="s">
        <v>47431</v>
      </c>
      <c r="S6451" t="s">
        <v>47565</v>
      </c>
      <c r="T6451" t="s">
        <v>49162</v>
      </c>
      <c r="U6451" t="s">
        <v>55130</v>
      </c>
      <c r="W6451" t="s">
        <v>45021</v>
      </c>
      <c r="X6451" t="s">
        <v>47432</v>
      </c>
    </row>
    <row r="6452" spans="1:24">
      <c r="A6452">
        <f>HYPERLINK("https://www.philgeps.gov.ph/GEPSNONPILOT/Tender/SplashBidNoticeAbstractUI.aspx?menuIndex=3&amp;refID=7155868&amp;Result=3","7155868")</f>
        <v>0</v>
      </c>
      <c r="B6452" t="s">
        <v>2291</v>
      </c>
      <c r="C6452" t="s">
        <v>9913</v>
      </c>
      <c r="D6452" t="s">
        <v>19078</v>
      </c>
      <c r="E6452" t="s">
        <v>24732</v>
      </c>
      <c r="F6452" t="s">
        <v>32831</v>
      </c>
      <c r="G6452" t="s">
        <v>32838</v>
      </c>
      <c r="H6452" t="s">
        <v>32848</v>
      </c>
      <c r="I6452" t="s">
        <v>5379</v>
      </c>
      <c r="J6452" t="s">
        <v>33859</v>
      </c>
      <c r="K6452" t="s">
        <v>42726</v>
      </c>
      <c r="M6452" t="s">
        <v>45475</v>
      </c>
      <c r="N6452" t="s">
        <v>47424</v>
      </c>
      <c r="O6452" t="s">
        <v>47425</v>
      </c>
      <c r="P6452">
        <v>0</v>
      </c>
      <c r="Q6452">
        <v>0</v>
      </c>
      <c r="R6452" t="s">
        <v>47431</v>
      </c>
      <c r="S6452" t="s">
        <v>47565</v>
      </c>
      <c r="T6452" t="s">
        <v>49114</v>
      </c>
      <c r="U6452" t="s">
        <v>55131</v>
      </c>
      <c r="W6452" t="s">
        <v>45475</v>
      </c>
      <c r="X6452" t="s">
        <v>47432</v>
      </c>
    </row>
    <row r="6453" spans="1:24">
      <c r="A6453">
        <f>HYPERLINK("https://www.philgeps.gov.ph/GEPSNONPILOT/Tender/SplashBidNoticeAbstractUI.aspx?menuIndex=3&amp;refID=7155927&amp;Result=3","7155927")</f>
        <v>0</v>
      </c>
      <c r="B6453" t="s">
        <v>2029</v>
      </c>
      <c r="C6453" t="s">
        <v>9984</v>
      </c>
      <c r="D6453" t="s">
        <v>19067</v>
      </c>
      <c r="E6453" t="s">
        <v>24733</v>
      </c>
      <c r="F6453" t="s">
        <v>32831</v>
      </c>
      <c r="G6453" t="s">
        <v>32840</v>
      </c>
      <c r="H6453" t="s">
        <v>32848</v>
      </c>
      <c r="I6453" t="s">
        <v>6526</v>
      </c>
      <c r="J6453" t="s">
        <v>37075</v>
      </c>
      <c r="K6453" t="s">
        <v>42732</v>
      </c>
      <c r="M6453" t="s">
        <v>45197</v>
      </c>
      <c r="N6453" t="s">
        <v>47424</v>
      </c>
      <c r="O6453" t="s">
        <v>47425</v>
      </c>
      <c r="P6453">
        <v>0</v>
      </c>
      <c r="Q6453">
        <v>0</v>
      </c>
      <c r="R6453" t="s">
        <v>47431</v>
      </c>
      <c r="S6453" t="s">
        <v>47565</v>
      </c>
      <c r="T6453" t="s">
        <v>49111</v>
      </c>
      <c r="U6453" t="s">
        <v>55132</v>
      </c>
      <c r="W6453" t="s">
        <v>45197</v>
      </c>
      <c r="X6453" t="s">
        <v>47432</v>
      </c>
    </row>
    <row r="6454" spans="1:24">
      <c r="A6454">
        <f>HYPERLINK("https://www.philgeps.gov.ph/GEPSNONPILOT/Tender/SplashBidNoticeAbstractUI.aspx?menuIndex=3&amp;refID=7155925&amp;Result=3","7155925")</f>
        <v>0</v>
      </c>
      <c r="B6454" t="s">
        <v>171</v>
      </c>
      <c r="C6454" t="s">
        <v>9985</v>
      </c>
      <c r="E6454" t="s">
        <v>24734</v>
      </c>
      <c r="F6454" t="s">
        <v>32831</v>
      </c>
      <c r="G6454" t="s">
        <v>32838</v>
      </c>
      <c r="H6454" t="s">
        <v>32848</v>
      </c>
      <c r="I6454" t="s">
        <v>9577</v>
      </c>
      <c r="J6454" t="s">
        <v>37076</v>
      </c>
      <c r="K6454" t="s">
        <v>42730</v>
      </c>
      <c r="M6454" t="s">
        <v>43684</v>
      </c>
      <c r="N6454" t="s">
        <v>47424</v>
      </c>
      <c r="O6454" t="s">
        <v>47425</v>
      </c>
      <c r="P6454">
        <v>0</v>
      </c>
      <c r="Q6454">
        <v>3</v>
      </c>
      <c r="R6454" t="s">
        <v>47431</v>
      </c>
      <c r="S6454" t="s">
        <v>47565</v>
      </c>
      <c r="T6454" t="s">
        <v>49124</v>
      </c>
      <c r="U6454" t="s">
        <v>55133</v>
      </c>
      <c r="W6454" t="s">
        <v>64443</v>
      </c>
      <c r="X6454" t="s">
        <v>47432</v>
      </c>
    </row>
    <row r="6455" spans="1:24">
      <c r="A6455">
        <f>HYPERLINK("https://www.philgeps.gov.ph/GEPSNONPILOT/Tender/SplashBidNoticeAbstractUI.aspx?menuIndex=3&amp;refID=7155924&amp;Result=3","7155924")</f>
        <v>0</v>
      </c>
      <c r="B6455" t="s">
        <v>1872</v>
      </c>
      <c r="C6455" t="s">
        <v>9986</v>
      </c>
      <c r="D6455" t="s">
        <v>19100</v>
      </c>
      <c r="E6455" t="s">
        <v>19835</v>
      </c>
      <c r="F6455" t="s">
        <v>32831</v>
      </c>
      <c r="G6455" t="s">
        <v>32838</v>
      </c>
      <c r="H6455" t="s">
        <v>32848</v>
      </c>
      <c r="I6455" t="s">
        <v>4487</v>
      </c>
      <c r="J6455" t="s">
        <v>33424</v>
      </c>
      <c r="K6455" t="s">
        <v>42745</v>
      </c>
      <c r="M6455" t="s">
        <v>45016</v>
      </c>
      <c r="N6455" t="s">
        <v>47424</v>
      </c>
      <c r="O6455" t="s">
        <v>47425</v>
      </c>
      <c r="P6455">
        <v>0</v>
      </c>
      <c r="Q6455">
        <v>1</v>
      </c>
      <c r="R6455" t="s">
        <v>47431</v>
      </c>
      <c r="S6455" t="s">
        <v>47565</v>
      </c>
      <c r="T6455" t="s">
        <v>49239</v>
      </c>
      <c r="U6455" t="s">
        <v>55134</v>
      </c>
      <c r="W6455" t="s">
        <v>45016</v>
      </c>
      <c r="X6455" t="s">
        <v>47432</v>
      </c>
    </row>
    <row r="6456" spans="1:24">
      <c r="A6456">
        <f>HYPERLINK("https://www.philgeps.gov.ph/GEPSNONPILOT/Tender/SplashBidNoticeAbstractUI.aspx?menuIndex=3&amp;refID=7155918&amp;Result=3","7155918")</f>
        <v>0</v>
      </c>
      <c r="B6456" t="s">
        <v>178</v>
      </c>
      <c r="C6456" t="s">
        <v>9987</v>
      </c>
      <c r="D6456" t="s">
        <v>19074</v>
      </c>
      <c r="E6456" t="s">
        <v>19684</v>
      </c>
      <c r="F6456" t="s">
        <v>32831</v>
      </c>
      <c r="G6456" t="s">
        <v>32839</v>
      </c>
      <c r="H6456" t="s">
        <v>32849</v>
      </c>
      <c r="I6456" t="s">
        <v>4177</v>
      </c>
      <c r="J6456" t="s">
        <v>37077</v>
      </c>
      <c r="K6456" t="s">
        <v>42780</v>
      </c>
      <c r="M6456" t="s">
        <v>43176</v>
      </c>
      <c r="N6456" t="s">
        <v>47424</v>
      </c>
      <c r="O6456" t="s">
        <v>47425</v>
      </c>
      <c r="P6456">
        <v>0</v>
      </c>
      <c r="Q6456">
        <v>0</v>
      </c>
      <c r="R6456" t="s">
        <v>47431</v>
      </c>
      <c r="S6456" t="s">
        <v>47565</v>
      </c>
      <c r="T6456" t="s">
        <v>49128</v>
      </c>
      <c r="U6456" t="s">
        <v>55135</v>
      </c>
      <c r="W6456" t="s">
        <v>43176</v>
      </c>
      <c r="X6456" t="s">
        <v>47432</v>
      </c>
    </row>
    <row r="6457" spans="1:24">
      <c r="A6457">
        <f>HYPERLINK("https://www.philgeps.gov.ph/GEPSNONPILOT/Tender/SplashBidNoticeAbstractUI.aspx?menuIndex=3&amp;refID=7155929&amp;Result=3","7155929")</f>
        <v>0</v>
      </c>
      <c r="B6457" t="s">
        <v>2310</v>
      </c>
      <c r="C6457" t="s">
        <v>9988</v>
      </c>
      <c r="D6457" t="s">
        <v>19028</v>
      </c>
      <c r="E6457" t="s">
        <v>24735</v>
      </c>
      <c r="F6457" t="s">
        <v>32831</v>
      </c>
      <c r="G6457" t="s">
        <v>32839</v>
      </c>
      <c r="H6457" t="s">
        <v>32849</v>
      </c>
      <c r="I6457" t="s">
        <v>4177</v>
      </c>
      <c r="J6457" t="s">
        <v>33118</v>
      </c>
      <c r="K6457" t="s">
        <v>42763</v>
      </c>
      <c r="M6457" t="s">
        <v>45495</v>
      </c>
      <c r="N6457" t="s">
        <v>47424</v>
      </c>
      <c r="O6457" t="s">
        <v>47425</v>
      </c>
      <c r="P6457">
        <v>0</v>
      </c>
      <c r="Q6457">
        <v>0</v>
      </c>
      <c r="R6457" t="s">
        <v>47431</v>
      </c>
      <c r="S6457" t="s">
        <v>47565</v>
      </c>
      <c r="T6457" t="s">
        <v>49319</v>
      </c>
      <c r="U6457" t="s">
        <v>55097</v>
      </c>
      <c r="V6457" t="s">
        <v>63346</v>
      </c>
      <c r="W6457" t="s">
        <v>45495</v>
      </c>
      <c r="X6457" t="s">
        <v>47432</v>
      </c>
    </row>
    <row r="6458" spans="1:24">
      <c r="A6458">
        <f>HYPERLINK("https://www.philgeps.gov.ph/GEPSNONPILOT/Tender/SplashBidNoticeAbstractUI.aspx?menuIndex=3&amp;refID=7155917&amp;Result=3","7155917")</f>
        <v>0</v>
      </c>
      <c r="B6458" t="s">
        <v>2309</v>
      </c>
      <c r="C6458" t="s">
        <v>9989</v>
      </c>
      <c r="D6458" t="s">
        <v>19044</v>
      </c>
      <c r="E6458" t="s">
        <v>19130</v>
      </c>
      <c r="F6458" t="s">
        <v>32831</v>
      </c>
      <c r="G6458" t="s">
        <v>32839</v>
      </c>
      <c r="H6458" t="s">
        <v>32848</v>
      </c>
      <c r="I6458" t="s">
        <v>7416</v>
      </c>
      <c r="J6458" t="s">
        <v>33012</v>
      </c>
      <c r="K6458" t="s">
        <v>42730</v>
      </c>
      <c r="M6458" t="s">
        <v>45494</v>
      </c>
      <c r="N6458" t="s">
        <v>47424</v>
      </c>
      <c r="O6458" t="s">
        <v>47425</v>
      </c>
      <c r="P6458">
        <v>0</v>
      </c>
      <c r="Q6458">
        <v>0</v>
      </c>
      <c r="R6458" t="s">
        <v>47431</v>
      </c>
      <c r="S6458" t="s">
        <v>47565</v>
      </c>
      <c r="T6458" t="s">
        <v>49075</v>
      </c>
      <c r="U6458" t="s">
        <v>51857</v>
      </c>
      <c r="W6458" t="s">
        <v>45494</v>
      </c>
      <c r="X6458" t="s">
        <v>47432</v>
      </c>
    </row>
    <row r="6459" spans="1:24">
      <c r="A6459">
        <f>HYPERLINK("https://www.philgeps.gov.ph/GEPSNONPILOT/Tender/SplashBidNoticeAbstractUI.aspx?menuIndex=3&amp;refID=7155874&amp;Result=3","7155874")</f>
        <v>0</v>
      </c>
      <c r="B6459" t="s">
        <v>199</v>
      </c>
      <c r="C6459" t="s">
        <v>9990</v>
      </c>
      <c r="D6459" t="s">
        <v>19017</v>
      </c>
      <c r="E6459" t="s">
        <v>24736</v>
      </c>
      <c r="F6459" t="s">
        <v>32831</v>
      </c>
      <c r="G6459" t="s">
        <v>32840</v>
      </c>
      <c r="H6459" t="s">
        <v>32848</v>
      </c>
      <c r="I6459" t="s">
        <v>9577</v>
      </c>
      <c r="J6459" t="s">
        <v>37078</v>
      </c>
      <c r="K6459" t="s">
        <v>42731</v>
      </c>
      <c r="M6459" t="s">
        <v>43197</v>
      </c>
      <c r="N6459" t="s">
        <v>47424</v>
      </c>
      <c r="O6459" t="s">
        <v>47425</v>
      </c>
      <c r="P6459">
        <v>0</v>
      </c>
      <c r="Q6459">
        <v>5</v>
      </c>
      <c r="R6459" t="s">
        <v>47431</v>
      </c>
      <c r="S6459" t="s">
        <v>47565</v>
      </c>
      <c r="T6459" t="s">
        <v>49162</v>
      </c>
      <c r="U6459" t="s">
        <v>55136</v>
      </c>
      <c r="W6459" t="s">
        <v>43197</v>
      </c>
      <c r="X6459" t="s">
        <v>47432</v>
      </c>
    </row>
    <row r="6460" spans="1:24">
      <c r="A6460">
        <f>HYPERLINK("https://www.philgeps.gov.ph/GEPSNONPILOT/Tender/SplashBidNoticeAbstractUI.aspx?menuIndex=3&amp;refID=7155910&amp;Result=3","7155910")</f>
        <v>0</v>
      </c>
      <c r="B6460" t="s">
        <v>571</v>
      </c>
      <c r="C6460" t="s">
        <v>9991</v>
      </c>
      <c r="D6460" t="s">
        <v>19027</v>
      </c>
      <c r="E6460" t="s">
        <v>24737</v>
      </c>
      <c r="F6460" t="s">
        <v>32831</v>
      </c>
      <c r="G6460" t="s">
        <v>32840</v>
      </c>
      <c r="H6460" t="s">
        <v>32848</v>
      </c>
      <c r="I6460" t="s">
        <v>4776</v>
      </c>
      <c r="J6460" t="s">
        <v>33279</v>
      </c>
      <c r="K6460" t="s">
        <v>42731</v>
      </c>
      <c r="M6460" t="s">
        <v>43581</v>
      </c>
      <c r="N6460" t="s">
        <v>47424</v>
      </c>
      <c r="O6460" t="s">
        <v>47425</v>
      </c>
      <c r="P6460">
        <v>0</v>
      </c>
      <c r="Q6460">
        <v>2</v>
      </c>
      <c r="R6460" t="s">
        <v>47431</v>
      </c>
      <c r="S6460" t="s">
        <v>47565</v>
      </c>
      <c r="T6460" t="s">
        <v>49114</v>
      </c>
      <c r="U6460" t="s">
        <v>55137</v>
      </c>
      <c r="V6460" t="s">
        <v>62817</v>
      </c>
      <c r="W6460" t="s">
        <v>43581</v>
      </c>
      <c r="X6460" t="s">
        <v>47432</v>
      </c>
    </row>
    <row r="6461" spans="1:24">
      <c r="A6461">
        <f>HYPERLINK("https://www.philgeps.gov.ph/GEPSNONPILOT/Tender/SplashBidNoticeAbstractUI.aspx?menuIndex=3&amp;refID=7155882&amp;Result=3","7155882")</f>
        <v>0</v>
      </c>
      <c r="B6461" t="s">
        <v>2322</v>
      </c>
      <c r="C6461" t="s">
        <v>8659</v>
      </c>
      <c r="D6461" t="s">
        <v>19074</v>
      </c>
      <c r="E6461" t="s">
        <v>24738</v>
      </c>
      <c r="F6461" t="s">
        <v>32831</v>
      </c>
      <c r="G6461" t="s">
        <v>32838</v>
      </c>
      <c r="H6461" t="s">
        <v>32848</v>
      </c>
      <c r="I6461" t="s">
        <v>32874</v>
      </c>
      <c r="J6461" t="s">
        <v>37079</v>
      </c>
      <c r="K6461" t="s">
        <v>42726</v>
      </c>
      <c r="M6461" t="s">
        <v>45507</v>
      </c>
      <c r="N6461" t="s">
        <v>47424</v>
      </c>
      <c r="O6461" t="s">
        <v>47425</v>
      </c>
      <c r="P6461">
        <v>0</v>
      </c>
      <c r="Q6461">
        <v>6</v>
      </c>
      <c r="R6461" t="s">
        <v>47431</v>
      </c>
      <c r="S6461" t="s">
        <v>47565</v>
      </c>
      <c r="T6461" t="s">
        <v>49056</v>
      </c>
      <c r="U6461" t="s">
        <v>55138</v>
      </c>
      <c r="W6461" t="s">
        <v>45507</v>
      </c>
      <c r="X6461" t="s">
        <v>47432</v>
      </c>
    </row>
    <row r="6462" spans="1:24">
      <c r="A6462">
        <f>HYPERLINK("https://www.philgeps.gov.ph/GEPSNONPILOT/Tender/SplashBidNoticeAbstractUI.aspx?menuIndex=3&amp;refID=7155904&amp;Result=3","7155904")</f>
        <v>0</v>
      </c>
      <c r="B6462" t="s">
        <v>2323</v>
      </c>
      <c r="C6462" t="s">
        <v>9992</v>
      </c>
      <c r="D6462" t="s">
        <v>19023</v>
      </c>
      <c r="E6462" t="s">
        <v>24539</v>
      </c>
      <c r="F6462" t="s">
        <v>32831</v>
      </c>
      <c r="G6462" t="s">
        <v>32838</v>
      </c>
      <c r="H6462" t="s">
        <v>32848</v>
      </c>
      <c r="I6462" t="s">
        <v>32858</v>
      </c>
      <c r="J6462" t="s">
        <v>37080</v>
      </c>
      <c r="K6462" t="s">
        <v>42726</v>
      </c>
      <c r="M6462" t="s">
        <v>45508</v>
      </c>
      <c r="N6462" t="s">
        <v>47424</v>
      </c>
      <c r="O6462" t="s">
        <v>47425</v>
      </c>
      <c r="P6462">
        <v>0</v>
      </c>
      <c r="Q6462">
        <v>0</v>
      </c>
      <c r="R6462" t="s">
        <v>47431</v>
      </c>
      <c r="S6462" t="s">
        <v>47565</v>
      </c>
      <c r="T6462" t="s">
        <v>49114</v>
      </c>
      <c r="U6462" t="s">
        <v>55139</v>
      </c>
      <c r="W6462" t="s">
        <v>45508</v>
      </c>
      <c r="X6462" t="s">
        <v>47432</v>
      </c>
    </row>
    <row r="6463" spans="1:24">
      <c r="A6463">
        <f>HYPERLINK("https://www.philgeps.gov.ph/GEPSNONPILOT/Tender/SplashBidNoticeAbstractUI.aspx?menuIndex=3&amp;refID=7155914&amp;Result=3","7155914")</f>
        <v>0</v>
      </c>
      <c r="B6463" t="s">
        <v>338</v>
      </c>
      <c r="C6463" t="s">
        <v>9993</v>
      </c>
      <c r="D6463" t="s">
        <v>19019</v>
      </c>
      <c r="E6463" t="s">
        <v>24739</v>
      </c>
      <c r="F6463" t="s">
        <v>32831</v>
      </c>
      <c r="G6463" t="s">
        <v>32840</v>
      </c>
      <c r="H6463" t="s">
        <v>32848</v>
      </c>
      <c r="I6463" t="s">
        <v>32864</v>
      </c>
      <c r="J6463" t="s">
        <v>33593</v>
      </c>
      <c r="K6463" t="s">
        <v>42726</v>
      </c>
      <c r="M6463" t="s">
        <v>44635</v>
      </c>
      <c r="N6463" t="s">
        <v>47424</v>
      </c>
      <c r="O6463" t="s">
        <v>47425</v>
      </c>
      <c r="P6463">
        <v>0</v>
      </c>
      <c r="Q6463">
        <v>9</v>
      </c>
      <c r="R6463" t="s">
        <v>47431</v>
      </c>
      <c r="S6463" t="s">
        <v>47565</v>
      </c>
      <c r="T6463" t="s">
        <v>49212</v>
      </c>
      <c r="U6463" t="s">
        <v>55140</v>
      </c>
      <c r="W6463" t="s">
        <v>44635</v>
      </c>
      <c r="X6463" t="s">
        <v>47432</v>
      </c>
    </row>
    <row r="6464" spans="1:24">
      <c r="A6464">
        <f>HYPERLINK("https://www.philgeps.gov.ph/GEPSNONPILOT/Tender/SplashBidNoticeAbstractUI.aspx?menuIndex=3&amp;refID=7155903&amp;Result=3","7155903")</f>
        <v>0</v>
      </c>
      <c r="B6464" t="s">
        <v>950</v>
      </c>
      <c r="C6464" t="s">
        <v>9994</v>
      </c>
      <c r="D6464" t="s">
        <v>19100</v>
      </c>
      <c r="E6464" t="s">
        <v>24740</v>
      </c>
      <c r="F6464" t="s">
        <v>32831</v>
      </c>
      <c r="G6464" t="s">
        <v>32841</v>
      </c>
      <c r="H6464" t="s">
        <v>32848</v>
      </c>
      <c r="I6464" t="s">
        <v>7751</v>
      </c>
      <c r="J6464" t="s">
        <v>37081</v>
      </c>
      <c r="K6464" t="s">
        <v>42745</v>
      </c>
      <c r="M6464" t="s">
        <v>44404</v>
      </c>
      <c r="N6464" t="s">
        <v>47424</v>
      </c>
      <c r="O6464" t="s">
        <v>47425</v>
      </c>
      <c r="P6464">
        <v>0</v>
      </c>
      <c r="Q6464">
        <v>0</v>
      </c>
      <c r="R6464" t="s">
        <v>47431</v>
      </c>
      <c r="S6464" t="s">
        <v>47565</v>
      </c>
      <c r="T6464" t="s">
        <v>49127</v>
      </c>
      <c r="U6464" t="s">
        <v>55141</v>
      </c>
      <c r="W6464" t="s">
        <v>44404</v>
      </c>
      <c r="X6464" t="s">
        <v>47432</v>
      </c>
    </row>
    <row r="6465" spans="1:24">
      <c r="A6465">
        <f>HYPERLINK("https://www.philgeps.gov.ph/GEPSNONPILOT/Tender/SplashBidNoticeAbstractUI.aspx?menuIndex=3&amp;refID=7155921&amp;Result=3","7155921")</f>
        <v>0</v>
      </c>
      <c r="B6465" t="s">
        <v>624</v>
      </c>
      <c r="C6465" t="s">
        <v>9995</v>
      </c>
      <c r="D6465" t="s">
        <v>19064</v>
      </c>
      <c r="E6465" t="s">
        <v>24741</v>
      </c>
      <c r="F6465" t="s">
        <v>32831</v>
      </c>
      <c r="G6465" t="s">
        <v>32839</v>
      </c>
      <c r="H6465" t="s">
        <v>32848</v>
      </c>
      <c r="I6465" t="s">
        <v>32853</v>
      </c>
      <c r="J6465" t="s">
        <v>33087</v>
      </c>
      <c r="K6465" t="s">
        <v>42732</v>
      </c>
      <c r="M6465" t="s">
        <v>43640</v>
      </c>
      <c r="N6465" t="s">
        <v>47424</v>
      </c>
      <c r="O6465" t="s">
        <v>47425</v>
      </c>
      <c r="P6465">
        <v>0</v>
      </c>
      <c r="Q6465">
        <v>0</v>
      </c>
      <c r="R6465" t="s">
        <v>47431</v>
      </c>
      <c r="S6465" t="s">
        <v>47565</v>
      </c>
      <c r="T6465" t="s">
        <v>49108</v>
      </c>
      <c r="U6465" t="s">
        <v>55091</v>
      </c>
      <c r="W6465" t="s">
        <v>43640</v>
      </c>
      <c r="X6465" t="s">
        <v>47432</v>
      </c>
    </row>
    <row r="6466" spans="1:24">
      <c r="A6466">
        <f>HYPERLINK("https://www.philgeps.gov.ph/GEPSNONPILOT/Tender/SplashBidNoticeAbstractUI.aspx?menuIndex=3&amp;refID=7155901&amp;Result=3","7155901")</f>
        <v>0</v>
      </c>
      <c r="B6466" t="s">
        <v>2324</v>
      </c>
      <c r="C6466" t="s">
        <v>9996</v>
      </c>
      <c r="D6466" t="s">
        <v>19067</v>
      </c>
      <c r="E6466" t="s">
        <v>24742</v>
      </c>
      <c r="F6466" t="s">
        <v>32831</v>
      </c>
      <c r="G6466" t="s">
        <v>32839</v>
      </c>
      <c r="H6466" t="s">
        <v>32849</v>
      </c>
      <c r="I6466" t="s">
        <v>4177</v>
      </c>
      <c r="J6466" t="s">
        <v>33031</v>
      </c>
      <c r="K6466" t="s">
        <v>42739</v>
      </c>
      <c r="M6466" t="s">
        <v>45509</v>
      </c>
      <c r="N6466" t="s">
        <v>47424</v>
      </c>
      <c r="O6466" t="s">
        <v>47425</v>
      </c>
      <c r="P6466">
        <v>0</v>
      </c>
      <c r="Q6466">
        <v>0</v>
      </c>
      <c r="R6466" t="s">
        <v>47431</v>
      </c>
      <c r="S6466" t="s">
        <v>47565</v>
      </c>
      <c r="T6466" t="s">
        <v>49181</v>
      </c>
      <c r="U6466" t="s">
        <v>55142</v>
      </c>
      <c r="W6466" t="s">
        <v>45509</v>
      </c>
      <c r="X6466" t="s">
        <v>47432</v>
      </c>
    </row>
    <row r="6467" spans="1:24">
      <c r="A6467">
        <f>HYPERLINK("https://www.philgeps.gov.ph/GEPSNONPILOT/Tender/SplashBidNoticeAbstractUI.aspx?menuIndex=3&amp;refID=7155899&amp;Result=3","7155899")</f>
        <v>0</v>
      </c>
      <c r="B6467" t="s">
        <v>2173</v>
      </c>
      <c r="C6467" t="s">
        <v>9997</v>
      </c>
      <c r="D6467" t="s">
        <v>19030</v>
      </c>
      <c r="E6467" t="s">
        <v>24743</v>
      </c>
      <c r="F6467" t="s">
        <v>32831</v>
      </c>
      <c r="G6467" t="s">
        <v>32842</v>
      </c>
      <c r="H6467" t="s">
        <v>32848</v>
      </c>
      <c r="I6467" t="s">
        <v>4487</v>
      </c>
      <c r="J6467" t="s">
        <v>33993</v>
      </c>
      <c r="K6467" t="s">
        <v>42726</v>
      </c>
      <c r="M6467" t="s">
        <v>45351</v>
      </c>
      <c r="N6467" t="s">
        <v>47424</v>
      </c>
      <c r="O6467" t="s">
        <v>47425</v>
      </c>
      <c r="P6467">
        <v>0</v>
      </c>
      <c r="Q6467">
        <v>4</v>
      </c>
      <c r="R6467" t="s">
        <v>47431</v>
      </c>
      <c r="S6467" t="s">
        <v>47565</v>
      </c>
      <c r="T6467" t="s">
        <v>49162</v>
      </c>
      <c r="U6467" t="s">
        <v>55143</v>
      </c>
      <c r="W6467" t="s">
        <v>45351</v>
      </c>
      <c r="X6467" t="s">
        <v>47432</v>
      </c>
    </row>
    <row r="6468" spans="1:24">
      <c r="A6468">
        <f>HYPERLINK("https://www.philgeps.gov.ph/GEPSNONPILOT/Tender/SplashBidNoticeAbstractUI.aspx?menuIndex=3&amp;refID=7155898&amp;Result=3","7155898")</f>
        <v>0</v>
      </c>
      <c r="B6468" t="s">
        <v>2029</v>
      </c>
      <c r="C6468" t="s">
        <v>9998</v>
      </c>
      <c r="D6468" t="s">
        <v>19067</v>
      </c>
      <c r="E6468" t="s">
        <v>24744</v>
      </c>
      <c r="F6468" t="s">
        <v>32831</v>
      </c>
      <c r="G6468" t="s">
        <v>32838</v>
      </c>
      <c r="H6468" t="s">
        <v>32848</v>
      </c>
      <c r="I6468" t="s">
        <v>32875</v>
      </c>
      <c r="J6468" t="s">
        <v>33087</v>
      </c>
      <c r="K6468" t="s">
        <v>42732</v>
      </c>
      <c r="M6468" t="s">
        <v>45197</v>
      </c>
      <c r="N6468" t="s">
        <v>47424</v>
      </c>
      <c r="O6468" t="s">
        <v>47425</v>
      </c>
      <c r="P6468">
        <v>0</v>
      </c>
      <c r="Q6468">
        <v>0</v>
      </c>
      <c r="R6468" t="s">
        <v>47431</v>
      </c>
      <c r="S6468" t="s">
        <v>47565</v>
      </c>
      <c r="T6468" t="s">
        <v>49111</v>
      </c>
      <c r="U6468" t="s">
        <v>55144</v>
      </c>
      <c r="W6468" t="s">
        <v>45197</v>
      </c>
      <c r="X6468" t="s">
        <v>47432</v>
      </c>
    </row>
    <row r="6469" spans="1:24">
      <c r="A6469">
        <f>HYPERLINK("https://www.philgeps.gov.ph/GEPSNONPILOT/Tender/SplashBidNoticeAbstractUI.aspx?menuIndex=3&amp;refID=7155913&amp;Result=3","7155913")</f>
        <v>0</v>
      </c>
      <c r="B6469" t="s">
        <v>1130</v>
      </c>
      <c r="C6469" t="s">
        <v>9999</v>
      </c>
      <c r="D6469" t="s">
        <v>19045</v>
      </c>
      <c r="E6469" t="s">
        <v>24745</v>
      </c>
      <c r="F6469" t="s">
        <v>32831</v>
      </c>
      <c r="G6469" t="s">
        <v>32839</v>
      </c>
      <c r="H6469" t="s">
        <v>32849</v>
      </c>
      <c r="I6469" t="s">
        <v>4177</v>
      </c>
      <c r="J6469" t="s">
        <v>37082</v>
      </c>
      <c r="K6469" t="s">
        <v>42729</v>
      </c>
      <c r="M6469" t="s">
        <v>45442</v>
      </c>
      <c r="N6469" t="s">
        <v>47424</v>
      </c>
      <c r="O6469" t="s">
        <v>47425</v>
      </c>
      <c r="P6469">
        <v>0</v>
      </c>
      <c r="Q6469">
        <v>0</v>
      </c>
      <c r="R6469" t="s">
        <v>47431</v>
      </c>
      <c r="S6469" t="s">
        <v>47565</v>
      </c>
      <c r="T6469" t="s">
        <v>49188</v>
      </c>
      <c r="U6469" t="s">
        <v>55120</v>
      </c>
      <c r="V6469" t="s">
        <v>63325</v>
      </c>
      <c r="W6469" t="s">
        <v>45442</v>
      </c>
      <c r="X6469" t="s">
        <v>47432</v>
      </c>
    </row>
    <row r="6470" spans="1:24">
      <c r="A6470">
        <f>HYPERLINK("https://www.philgeps.gov.ph/GEPSNONPILOT/Tender/SplashBidNoticeAbstractUI.aspx?menuIndex=3&amp;refID=7155867&amp;Result=3","7155867")</f>
        <v>0</v>
      </c>
      <c r="B6470" t="s">
        <v>2029</v>
      </c>
      <c r="C6470" t="s">
        <v>10000</v>
      </c>
      <c r="D6470" t="s">
        <v>19067</v>
      </c>
      <c r="E6470" t="s">
        <v>24746</v>
      </c>
      <c r="F6470" t="s">
        <v>32831</v>
      </c>
      <c r="G6470" t="s">
        <v>32838</v>
      </c>
      <c r="H6470" t="s">
        <v>32848</v>
      </c>
      <c r="I6470" t="s">
        <v>32860</v>
      </c>
      <c r="J6470" t="s">
        <v>33673</v>
      </c>
      <c r="K6470" t="s">
        <v>42732</v>
      </c>
      <c r="M6470" t="s">
        <v>45197</v>
      </c>
      <c r="N6470" t="s">
        <v>47424</v>
      </c>
      <c r="O6470" t="s">
        <v>47425</v>
      </c>
      <c r="P6470">
        <v>0</v>
      </c>
      <c r="Q6470">
        <v>0</v>
      </c>
      <c r="R6470" t="s">
        <v>47431</v>
      </c>
      <c r="S6470" t="s">
        <v>47565</v>
      </c>
      <c r="T6470" t="s">
        <v>49111</v>
      </c>
      <c r="U6470" t="s">
        <v>55145</v>
      </c>
      <c r="W6470" t="s">
        <v>45197</v>
      </c>
      <c r="X6470" t="s">
        <v>47432</v>
      </c>
    </row>
    <row r="6471" spans="1:24">
      <c r="A6471">
        <f>HYPERLINK("https://www.philgeps.gov.ph/GEPSNONPILOT/Tender/SplashBidNoticeAbstractUI.aspx?menuIndex=3&amp;refID=7155938&amp;Result=3","7155938")</f>
        <v>0</v>
      </c>
      <c r="B6471" t="s">
        <v>2325</v>
      </c>
      <c r="C6471" t="s">
        <v>9702</v>
      </c>
      <c r="D6471" t="s">
        <v>19018</v>
      </c>
      <c r="E6471" t="s">
        <v>20432</v>
      </c>
      <c r="F6471" t="s">
        <v>32831</v>
      </c>
      <c r="G6471" t="s">
        <v>32839</v>
      </c>
      <c r="H6471" t="s">
        <v>32850</v>
      </c>
      <c r="I6471" t="s">
        <v>32852</v>
      </c>
      <c r="J6471" t="s">
        <v>33087</v>
      </c>
      <c r="K6471" t="s">
        <v>42727</v>
      </c>
      <c r="M6471" t="s">
        <v>45510</v>
      </c>
      <c r="N6471" t="s">
        <v>47424</v>
      </c>
      <c r="O6471" t="s">
        <v>47425</v>
      </c>
      <c r="P6471">
        <v>0</v>
      </c>
      <c r="Q6471">
        <v>0</v>
      </c>
      <c r="R6471" t="s">
        <v>47431</v>
      </c>
      <c r="S6471" t="s">
        <v>47565</v>
      </c>
      <c r="T6471" t="s">
        <v>49056</v>
      </c>
      <c r="U6471" t="s">
        <v>55146</v>
      </c>
      <c r="W6471" t="s">
        <v>45510</v>
      </c>
      <c r="X6471" t="s">
        <v>47432</v>
      </c>
    </row>
    <row r="6472" spans="1:24">
      <c r="A6472">
        <f>HYPERLINK("https://www.philgeps.gov.ph/GEPSNONPILOT/Tender/SplashBidNoticeAbstractUI.aspx?menuIndex=3&amp;refID=7155907&amp;Result=3","7155907")</f>
        <v>0</v>
      </c>
      <c r="B6472" t="s">
        <v>2326</v>
      </c>
      <c r="C6472" t="s">
        <v>10001</v>
      </c>
      <c r="D6472" t="s">
        <v>19035</v>
      </c>
      <c r="E6472" t="s">
        <v>19351</v>
      </c>
      <c r="F6472" t="s">
        <v>32833</v>
      </c>
      <c r="G6472" t="s">
        <v>32840</v>
      </c>
      <c r="H6472" t="s">
        <v>32848</v>
      </c>
      <c r="I6472" t="s">
        <v>32902</v>
      </c>
      <c r="J6472" t="s">
        <v>37083</v>
      </c>
      <c r="K6472" t="s">
        <v>42726</v>
      </c>
      <c r="M6472" t="s">
        <v>45511</v>
      </c>
      <c r="N6472" t="s">
        <v>47424</v>
      </c>
      <c r="O6472" t="s">
        <v>47425</v>
      </c>
      <c r="P6472">
        <v>0</v>
      </c>
      <c r="Q6472">
        <v>11</v>
      </c>
      <c r="R6472" t="s">
        <v>47431</v>
      </c>
      <c r="S6472" t="s">
        <v>47565</v>
      </c>
      <c r="T6472" t="s">
        <v>49145</v>
      </c>
      <c r="U6472" t="s">
        <v>55147</v>
      </c>
      <c r="W6472" t="s">
        <v>45511</v>
      </c>
      <c r="X6472" t="s">
        <v>47432</v>
      </c>
    </row>
    <row r="6473" spans="1:24">
      <c r="A6473">
        <f>HYPERLINK("https://www.philgeps.gov.ph/GEPSNONPILOT/Tender/SplashBidNoticeAbstractUI.aspx?menuIndex=3&amp;refID=7155902&amp;Result=3","7155902")</f>
        <v>0</v>
      </c>
      <c r="B6473" t="s">
        <v>2281</v>
      </c>
      <c r="C6473" t="s">
        <v>10002</v>
      </c>
      <c r="D6473" t="s">
        <v>19027</v>
      </c>
      <c r="E6473" t="s">
        <v>24747</v>
      </c>
      <c r="F6473" t="s">
        <v>32831</v>
      </c>
      <c r="G6473" t="s">
        <v>32838</v>
      </c>
      <c r="H6473" t="s">
        <v>32848</v>
      </c>
      <c r="I6473" t="s">
        <v>4471</v>
      </c>
      <c r="J6473" t="s">
        <v>37084</v>
      </c>
      <c r="K6473" t="s">
        <v>42732</v>
      </c>
      <c r="M6473" t="s">
        <v>45465</v>
      </c>
      <c r="N6473" t="s">
        <v>47424</v>
      </c>
      <c r="O6473" t="s">
        <v>47425</v>
      </c>
      <c r="P6473">
        <v>0</v>
      </c>
      <c r="Q6473">
        <v>1</v>
      </c>
      <c r="R6473" t="s">
        <v>47431</v>
      </c>
      <c r="S6473" t="s">
        <v>47565</v>
      </c>
      <c r="T6473" t="s">
        <v>49321</v>
      </c>
      <c r="U6473" t="s">
        <v>55148</v>
      </c>
      <c r="V6473" t="s">
        <v>63332</v>
      </c>
      <c r="W6473" t="s">
        <v>45465</v>
      </c>
      <c r="X6473" t="s">
        <v>47432</v>
      </c>
    </row>
    <row r="6474" spans="1:24">
      <c r="A6474">
        <f>HYPERLINK("https://www.philgeps.gov.ph/GEPSNONPILOT/Tender/SplashBidNoticeAbstractUI.aspx?menuIndex=3&amp;refID=7155965&amp;Result=3","7155965")</f>
        <v>0</v>
      </c>
      <c r="B6474" t="s">
        <v>1782</v>
      </c>
      <c r="C6474" t="s">
        <v>10003</v>
      </c>
      <c r="D6474" t="s">
        <v>19035</v>
      </c>
      <c r="E6474" t="s">
        <v>24748</v>
      </c>
      <c r="F6474" t="s">
        <v>32831</v>
      </c>
      <c r="G6474" t="s">
        <v>32839</v>
      </c>
      <c r="H6474" t="s">
        <v>32848</v>
      </c>
      <c r="I6474" t="s">
        <v>32934</v>
      </c>
      <c r="J6474" t="s">
        <v>37085</v>
      </c>
      <c r="K6474" t="s">
        <v>42731</v>
      </c>
      <c r="M6474" t="s">
        <v>45512</v>
      </c>
      <c r="N6474" t="s">
        <v>47424</v>
      </c>
      <c r="O6474" t="s">
        <v>47425</v>
      </c>
      <c r="P6474">
        <v>0</v>
      </c>
      <c r="Q6474">
        <v>5</v>
      </c>
      <c r="R6474" t="s">
        <v>47431</v>
      </c>
      <c r="S6474" t="s">
        <v>47565</v>
      </c>
      <c r="T6474" t="s">
        <v>49126</v>
      </c>
      <c r="U6474" t="s">
        <v>55149</v>
      </c>
      <c r="W6474" t="s">
        <v>45512</v>
      </c>
      <c r="X6474" t="s">
        <v>47432</v>
      </c>
    </row>
    <row r="6475" spans="1:24">
      <c r="A6475">
        <f>HYPERLINK("https://www.philgeps.gov.ph/GEPSNONPILOT/Tender/SplashBidNoticeAbstractUI.aspx?menuIndex=3&amp;refID=7155970&amp;Result=3","7155970")</f>
        <v>0</v>
      </c>
      <c r="B6475" t="s">
        <v>2327</v>
      </c>
      <c r="C6475" t="s">
        <v>10004</v>
      </c>
      <c r="D6475" t="s">
        <v>19077</v>
      </c>
      <c r="E6475" t="s">
        <v>24654</v>
      </c>
      <c r="F6475" t="s">
        <v>32831</v>
      </c>
      <c r="G6475" t="s">
        <v>32839</v>
      </c>
      <c r="H6475" t="s">
        <v>32848</v>
      </c>
      <c r="I6475" t="s">
        <v>7751</v>
      </c>
      <c r="J6475" t="s">
        <v>33794</v>
      </c>
      <c r="K6475" t="s">
        <v>42730</v>
      </c>
      <c r="M6475" t="s">
        <v>45513</v>
      </c>
      <c r="N6475" t="s">
        <v>47424</v>
      </c>
      <c r="O6475" t="s">
        <v>47425</v>
      </c>
      <c r="P6475">
        <v>0</v>
      </c>
      <c r="Q6475">
        <v>3</v>
      </c>
      <c r="R6475" t="s">
        <v>47431</v>
      </c>
      <c r="S6475" t="s">
        <v>47565</v>
      </c>
      <c r="T6475" t="s">
        <v>49267</v>
      </c>
      <c r="U6475" t="s">
        <v>55150</v>
      </c>
      <c r="W6475" t="s">
        <v>45513</v>
      </c>
      <c r="X6475" t="s">
        <v>47432</v>
      </c>
    </row>
    <row r="6476" spans="1:24">
      <c r="A6476">
        <f>HYPERLINK("https://www.philgeps.gov.ph/GEPSNONPILOT/Tender/SplashBidNoticeAbstractUI.aspx?menuIndex=3&amp;refID=7155908&amp;Result=3","7155908")</f>
        <v>0</v>
      </c>
      <c r="B6476" t="s">
        <v>1870</v>
      </c>
      <c r="C6476" t="s">
        <v>10005</v>
      </c>
      <c r="D6476" t="s">
        <v>19073</v>
      </c>
      <c r="E6476" t="s">
        <v>24749</v>
      </c>
      <c r="F6476" t="s">
        <v>32831</v>
      </c>
      <c r="G6476" t="s">
        <v>32840</v>
      </c>
      <c r="H6476" t="s">
        <v>32848</v>
      </c>
      <c r="I6476" t="s">
        <v>32855</v>
      </c>
      <c r="J6476" t="s">
        <v>33040</v>
      </c>
      <c r="K6476" t="s">
        <v>42730</v>
      </c>
      <c r="M6476" t="s">
        <v>45014</v>
      </c>
      <c r="N6476" t="s">
        <v>47424</v>
      </c>
      <c r="O6476" t="s">
        <v>47425</v>
      </c>
      <c r="P6476">
        <v>0</v>
      </c>
      <c r="Q6476">
        <v>11</v>
      </c>
      <c r="R6476" t="s">
        <v>47431</v>
      </c>
      <c r="S6476" t="s">
        <v>47565</v>
      </c>
      <c r="T6476" t="s">
        <v>49107</v>
      </c>
      <c r="U6476" t="s">
        <v>55151</v>
      </c>
      <c r="W6476" t="s">
        <v>45014</v>
      </c>
      <c r="X6476" t="s">
        <v>47432</v>
      </c>
    </row>
    <row r="6477" spans="1:24">
      <c r="A6477">
        <f>HYPERLINK("https://www.philgeps.gov.ph/GEPSNONPILOT/Tender/SplashBidNoticeAbstractUI.aspx?menuIndex=3&amp;refID=7155961&amp;Result=3","7155961")</f>
        <v>0</v>
      </c>
      <c r="B6477" t="s">
        <v>2328</v>
      </c>
      <c r="C6477" t="s">
        <v>10006</v>
      </c>
      <c r="D6477" t="s">
        <v>19094</v>
      </c>
      <c r="E6477" t="s">
        <v>24750</v>
      </c>
      <c r="F6477" t="s">
        <v>32831</v>
      </c>
      <c r="G6477" t="s">
        <v>32839</v>
      </c>
      <c r="H6477" t="s">
        <v>32848</v>
      </c>
      <c r="I6477" t="s">
        <v>32860</v>
      </c>
      <c r="J6477" t="s">
        <v>37086</v>
      </c>
      <c r="K6477" t="s">
        <v>42727</v>
      </c>
      <c r="L6477" t="s">
        <v>2328</v>
      </c>
      <c r="M6477" t="s">
        <v>45514</v>
      </c>
      <c r="N6477" t="s">
        <v>47424</v>
      </c>
      <c r="O6477" t="s">
        <v>47425</v>
      </c>
      <c r="P6477">
        <v>0</v>
      </c>
      <c r="Q6477">
        <v>3</v>
      </c>
      <c r="R6477" t="s">
        <v>47431</v>
      </c>
      <c r="S6477" t="s">
        <v>47565</v>
      </c>
      <c r="T6477" t="s">
        <v>49123</v>
      </c>
      <c r="U6477" t="s">
        <v>55152</v>
      </c>
      <c r="V6477" t="s">
        <v>63347</v>
      </c>
      <c r="W6477" t="s">
        <v>45514</v>
      </c>
      <c r="X6477" t="s">
        <v>47432</v>
      </c>
    </row>
    <row r="6478" spans="1:24">
      <c r="A6478">
        <f>HYPERLINK("https://www.philgeps.gov.ph/GEPSNONPILOT/Tender/SplashBidNoticeAbstractUI.aspx?menuIndex=3&amp;refID=7155960&amp;Result=3","7155960")</f>
        <v>0</v>
      </c>
      <c r="B6478" t="s">
        <v>2173</v>
      </c>
      <c r="C6478" t="s">
        <v>10007</v>
      </c>
      <c r="D6478" t="s">
        <v>19030</v>
      </c>
      <c r="E6478" t="s">
        <v>24751</v>
      </c>
      <c r="F6478" t="s">
        <v>32831</v>
      </c>
      <c r="G6478" t="s">
        <v>32840</v>
      </c>
      <c r="H6478" t="s">
        <v>32848</v>
      </c>
      <c r="I6478" t="s">
        <v>32857</v>
      </c>
      <c r="J6478" t="s">
        <v>33140</v>
      </c>
      <c r="K6478" t="s">
        <v>42726</v>
      </c>
      <c r="M6478" t="s">
        <v>45351</v>
      </c>
      <c r="N6478" t="s">
        <v>47424</v>
      </c>
      <c r="O6478" t="s">
        <v>47425</v>
      </c>
      <c r="P6478">
        <v>0</v>
      </c>
      <c r="Q6478">
        <v>20</v>
      </c>
      <c r="R6478" t="s">
        <v>47431</v>
      </c>
      <c r="S6478" t="s">
        <v>47565</v>
      </c>
      <c r="T6478" t="s">
        <v>49162</v>
      </c>
      <c r="U6478" t="s">
        <v>55153</v>
      </c>
      <c r="W6478" t="s">
        <v>45351</v>
      </c>
      <c r="X6478" t="s">
        <v>47432</v>
      </c>
    </row>
    <row r="6479" spans="1:24">
      <c r="A6479">
        <f>HYPERLINK("https://www.philgeps.gov.ph/GEPSNONPILOT/Tender/SplashBidNoticeAbstractUI.aspx?menuIndex=3&amp;refID=7155958&amp;Result=3","7155958")</f>
        <v>0</v>
      </c>
      <c r="B6479" t="s">
        <v>2329</v>
      </c>
      <c r="C6479" t="s">
        <v>10008</v>
      </c>
      <c r="E6479" t="s">
        <v>24752</v>
      </c>
      <c r="F6479" t="s">
        <v>32831</v>
      </c>
      <c r="G6479" t="s">
        <v>32840</v>
      </c>
      <c r="H6479" t="s">
        <v>32848</v>
      </c>
      <c r="I6479" t="s">
        <v>32861</v>
      </c>
      <c r="J6479" t="s">
        <v>37087</v>
      </c>
      <c r="K6479" t="s">
        <v>42732</v>
      </c>
      <c r="M6479" t="s">
        <v>45515</v>
      </c>
      <c r="N6479" t="s">
        <v>47424</v>
      </c>
      <c r="O6479" t="s">
        <v>47425</v>
      </c>
      <c r="P6479">
        <v>0</v>
      </c>
      <c r="Q6479">
        <v>3</v>
      </c>
      <c r="R6479" t="s">
        <v>47431</v>
      </c>
      <c r="S6479" t="s">
        <v>47565</v>
      </c>
      <c r="T6479" t="s">
        <v>49145</v>
      </c>
      <c r="U6479" t="s">
        <v>55154</v>
      </c>
      <c r="W6479" t="s">
        <v>45515</v>
      </c>
      <c r="X6479" t="s">
        <v>47432</v>
      </c>
    </row>
    <row r="6480" spans="1:24">
      <c r="A6480">
        <f>HYPERLINK("https://www.philgeps.gov.ph/GEPSNONPILOT/Tender/SplashBidNoticeAbstractUI.aspx?menuIndex=3&amp;refID=7155957&amp;Result=3","7155957")</f>
        <v>0</v>
      </c>
      <c r="B6480" t="s">
        <v>657</v>
      </c>
      <c r="C6480" t="s">
        <v>10009</v>
      </c>
      <c r="D6480" t="s">
        <v>19027</v>
      </c>
      <c r="E6480" t="s">
        <v>24753</v>
      </c>
      <c r="F6480" t="s">
        <v>32831</v>
      </c>
      <c r="G6480" t="s">
        <v>32839</v>
      </c>
      <c r="H6480" t="s">
        <v>32848</v>
      </c>
      <c r="I6480" t="s">
        <v>4776</v>
      </c>
      <c r="J6480" t="s">
        <v>33552</v>
      </c>
      <c r="K6480" t="s">
        <v>42732</v>
      </c>
      <c r="M6480" t="s">
        <v>43675</v>
      </c>
      <c r="N6480" t="s">
        <v>47424</v>
      </c>
      <c r="O6480" t="s">
        <v>47425</v>
      </c>
      <c r="P6480">
        <v>0</v>
      </c>
      <c r="Q6480">
        <v>3</v>
      </c>
      <c r="R6480" t="s">
        <v>47431</v>
      </c>
      <c r="S6480" t="s">
        <v>47565</v>
      </c>
      <c r="T6480" t="s">
        <v>49393</v>
      </c>
      <c r="U6480" t="s">
        <v>55155</v>
      </c>
      <c r="W6480" t="s">
        <v>43675</v>
      </c>
      <c r="X6480" t="s">
        <v>47432</v>
      </c>
    </row>
    <row r="6481" spans="1:24">
      <c r="A6481">
        <f>HYPERLINK("https://www.philgeps.gov.ph/GEPSNONPILOT/Tender/SplashBidNoticeAbstractUI.aspx?menuIndex=3&amp;refID=7155962&amp;Result=3","7155962")</f>
        <v>0</v>
      </c>
      <c r="B6481" t="s">
        <v>1831</v>
      </c>
      <c r="C6481" t="s">
        <v>10010</v>
      </c>
      <c r="D6481" t="s">
        <v>19070</v>
      </c>
      <c r="E6481" t="s">
        <v>24754</v>
      </c>
      <c r="F6481" t="s">
        <v>32831</v>
      </c>
      <c r="G6481" t="s">
        <v>32839</v>
      </c>
      <c r="H6481" t="s">
        <v>32848</v>
      </c>
      <c r="I6481" t="s">
        <v>7416</v>
      </c>
      <c r="J6481" t="s">
        <v>37088</v>
      </c>
      <c r="K6481" t="s">
        <v>42730</v>
      </c>
      <c r="M6481" t="s">
        <v>44965</v>
      </c>
      <c r="N6481" t="s">
        <v>47424</v>
      </c>
      <c r="O6481" t="s">
        <v>47425</v>
      </c>
      <c r="P6481">
        <v>0</v>
      </c>
      <c r="Q6481">
        <v>0</v>
      </c>
      <c r="R6481" t="s">
        <v>47431</v>
      </c>
      <c r="S6481" t="s">
        <v>47565</v>
      </c>
      <c r="T6481" t="s">
        <v>49100</v>
      </c>
      <c r="U6481" t="s">
        <v>55156</v>
      </c>
      <c r="W6481" t="s">
        <v>44965</v>
      </c>
      <c r="X6481" t="s">
        <v>47432</v>
      </c>
    </row>
    <row r="6482" spans="1:24">
      <c r="A6482">
        <f>HYPERLINK("https://www.philgeps.gov.ph/GEPSNONPILOT/Tender/SplashBidNoticeAbstractUI.aspx?menuIndex=3&amp;refID=7155954&amp;Result=3","7155954")</f>
        <v>0</v>
      </c>
      <c r="B6482" t="s">
        <v>2330</v>
      </c>
      <c r="C6482" t="s">
        <v>10011</v>
      </c>
      <c r="D6482" t="s">
        <v>19062</v>
      </c>
      <c r="E6482" t="s">
        <v>24755</v>
      </c>
      <c r="F6482" t="s">
        <v>32831</v>
      </c>
      <c r="G6482" t="s">
        <v>32842</v>
      </c>
      <c r="H6482" t="s">
        <v>32848</v>
      </c>
      <c r="I6482" t="s">
        <v>9577</v>
      </c>
      <c r="J6482" t="s">
        <v>37089</v>
      </c>
      <c r="K6482" t="s">
        <v>42759</v>
      </c>
      <c r="M6482" t="s">
        <v>45516</v>
      </c>
      <c r="N6482" t="s">
        <v>47424</v>
      </c>
      <c r="O6482" t="s">
        <v>47425</v>
      </c>
      <c r="P6482">
        <v>0</v>
      </c>
      <c r="Q6482">
        <v>1</v>
      </c>
      <c r="R6482" t="s">
        <v>47431</v>
      </c>
      <c r="S6482" t="s">
        <v>47565</v>
      </c>
      <c r="T6482" t="s">
        <v>49212</v>
      </c>
      <c r="U6482" t="s">
        <v>55157</v>
      </c>
      <c r="W6482" t="s">
        <v>45516</v>
      </c>
      <c r="X6482" t="s">
        <v>47432</v>
      </c>
    </row>
    <row r="6483" spans="1:24">
      <c r="A6483">
        <f>HYPERLINK("https://www.philgeps.gov.ph/GEPSNONPILOT/Tender/SplashBidNoticeAbstractUI.aspx?menuIndex=3&amp;refID=7155953&amp;Result=3","7155953")</f>
        <v>0</v>
      </c>
      <c r="B6483" t="s">
        <v>1616</v>
      </c>
      <c r="C6483" t="s">
        <v>10012</v>
      </c>
      <c r="D6483" t="s">
        <v>19033</v>
      </c>
      <c r="E6483" t="s">
        <v>24756</v>
      </c>
      <c r="F6483" t="s">
        <v>32831</v>
      </c>
      <c r="G6483" t="s">
        <v>32839</v>
      </c>
      <c r="H6483" t="s">
        <v>32849</v>
      </c>
      <c r="I6483" t="s">
        <v>4177</v>
      </c>
      <c r="J6483" t="s">
        <v>37090</v>
      </c>
      <c r="K6483" t="s">
        <v>42731</v>
      </c>
      <c r="M6483" t="s">
        <v>44732</v>
      </c>
      <c r="N6483" t="s">
        <v>47424</v>
      </c>
      <c r="O6483" t="s">
        <v>47425</v>
      </c>
      <c r="Q6483">
        <v>0</v>
      </c>
      <c r="R6483" t="s">
        <v>47431</v>
      </c>
      <c r="S6483" t="s">
        <v>47570</v>
      </c>
      <c r="T6483" t="s">
        <v>49077</v>
      </c>
      <c r="U6483" t="s">
        <v>55158</v>
      </c>
      <c r="W6483" t="s">
        <v>44732</v>
      </c>
      <c r="X6483" t="s">
        <v>47432</v>
      </c>
    </row>
    <row r="6484" spans="1:24">
      <c r="A6484">
        <f>HYPERLINK("https://www.philgeps.gov.ph/GEPSNONPILOT/Tender/SplashBidNoticeAbstractUI.aspx?menuIndex=3&amp;refID=7155968&amp;Result=3","7155968")</f>
        <v>0</v>
      </c>
      <c r="B6484" t="s">
        <v>2303</v>
      </c>
      <c r="C6484" t="s">
        <v>10013</v>
      </c>
      <c r="D6484" t="s">
        <v>19037</v>
      </c>
      <c r="E6484" t="s">
        <v>24757</v>
      </c>
      <c r="F6484" t="s">
        <v>32831</v>
      </c>
      <c r="G6484" t="s">
        <v>32839</v>
      </c>
      <c r="H6484" t="s">
        <v>32849</v>
      </c>
      <c r="I6484" t="s">
        <v>4177</v>
      </c>
      <c r="J6484" t="s">
        <v>33118</v>
      </c>
      <c r="K6484" t="s">
        <v>42763</v>
      </c>
      <c r="M6484" t="s">
        <v>45488</v>
      </c>
      <c r="N6484" t="s">
        <v>47424</v>
      </c>
      <c r="O6484" t="s">
        <v>47425</v>
      </c>
      <c r="P6484">
        <v>0</v>
      </c>
      <c r="Q6484">
        <v>1</v>
      </c>
      <c r="R6484" t="s">
        <v>47431</v>
      </c>
      <c r="S6484" t="s">
        <v>47565</v>
      </c>
      <c r="T6484" t="s">
        <v>49424</v>
      </c>
      <c r="U6484" t="s">
        <v>55159</v>
      </c>
      <c r="W6484" t="s">
        <v>45488</v>
      </c>
      <c r="X6484" t="s">
        <v>47432</v>
      </c>
    </row>
    <row r="6485" spans="1:24">
      <c r="A6485">
        <f>HYPERLINK("https://www.philgeps.gov.ph/GEPSNONPILOT/Tender/SplashBidNoticeAbstractUI.aspx?menuIndex=3&amp;refID=7155949&amp;Result=3","7155949")</f>
        <v>0</v>
      </c>
      <c r="B6485" t="s">
        <v>2310</v>
      </c>
      <c r="C6485" t="s">
        <v>10014</v>
      </c>
      <c r="D6485" t="s">
        <v>19028</v>
      </c>
      <c r="E6485" t="s">
        <v>24758</v>
      </c>
      <c r="F6485" t="s">
        <v>32831</v>
      </c>
      <c r="G6485" t="s">
        <v>32839</v>
      </c>
      <c r="H6485" t="s">
        <v>32849</v>
      </c>
      <c r="I6485" t="s">
        <v>4177</v>
      </c>
      <c r="J6485" t="s">
        <v>33118</v>
      </c>
      <c r="K6485" t="s">
        <v>42829</v>
      </c>
      <c r="M6485" t="s">
        <v>45495</v>
      </c>
      <c r="N6485" t="s">
        <v>47424</v>
      </c>
      <c r="O6485" t="s">
        <v>47425</v>
      </c>
      <c r="P6485">
        <v>0</v>
      </c>
      <c r="Q6485">
        <v>0</v>
      </c>
      <c r="R6485" t="s">
        <v>47431</v>
      </c>
      <c r="S6485" t="s">
        <v>47565</v>
      </c>
      <c r="T6485" t="s">
        <v>49319</v>
      </c>
      <c r="U6485" t="s">
        <v>55097</v>
      </c>
      <c r="V6485" t="s">
        <v>63346</v>
      </c>
      <c r="W6485" t="s">
        <v>45495</v>
      </c>
      <c r="X6485" t="s">
        <v>47432</v>
      </c>
    </row>
    <row r="6486" spans="1:24">
      <c r="A6486">
        <f>HYPERLINK("https://www.philgeps.gov.ph/GEPSNONPILOT/Tender/SplashBidNoticeAbstractUI.aspx?menuIndex=3&amp;refID=7155947&amp;Result=3","7155947")</f>
        <v>0</v>
      </c>
      <c r="B6486" t="s">
        <v>2331</v>
      </c>
      <c r="C6486" t="s">
        <v>10015</v>
      </c>
      <c r="D6486" t="s">
        <v>19049</v>
      </c>
      <c r="E6486" t="s">
        <v>24759</v>
      </c>
      <c r="F6486" t="s">
        <v>32831</v>
      </c>
      <c r="G6486" t="s">
        <v>32839</v>
      </c>
      <c r="H6486" t="s">
        <v>32848</v>
      </c>
      <c r="I6486" t="s">
        <v>32961</v>
      </c>
      <c r="J6486" t="s">
        <v>35125</v>
      </c>
      <c r="K6486" t="s">
        <v>42747</v>
      </c>
      <c r="M6486" t="s">
        <v>45517</v>
      </c>
      <c r="N6486" t="s">
        <v>47424</v>
      </c>
      <c r="O6486" t="s">
        <v>47425</v>
      </c>
      <c r="P6486">
        <v>0</v>
      </c>
      <c r="Q6486">
        <v>0</v>
      </c>
      <c r="R6486" t="s">
        <v>47431</v>
      </c>
      <c r="S6486" t="s">
        <v>47565</v>
      </c>
      <c r="T6486" t="s">
        <v>49080</v>
      </c>
      <c r="U6486" t="s">
        <v>55160</v>
      </c>
      <c r="V6486" t="s">
        <v>63348</v>
      </c>
      <c r="W6486" t="s">
        <v>45517</v>
      </c>
      <c r="X6486" t="s">
        <v>47432</v>
      </c>
    </row>
    <row r="6487" spans="1:24">
      <c r="A6487">
        <f>HYPERLINK("https://www.philgeps.gov.ph/GEPSNONPILOT/Tender/SplashBidNoticeAbstractUI.aspx?menuIndex=3&amp;refID=7155956&amp;Result=3","7155956")</f>
        <v>0</v>
      </c>
      <c r="B6487" t="s">
        <v>2306</v>
      </c>
      <c r="C6487" t="s">
        <v>10016</v>
      </c>
      <c r="D6487" t="s">
        <v>19044</v>
      </c>
      <c r="E6487" t="s">
        <v>19861</v>
      </c>
      <c r="F6487" t="s">
        <v>32831</v>
      </c>
      <c r="G6487" t="s">
        <v>32838</v>
      </c>
      <c r="H6487" t="s">
        <v>32848</v>
      </c>
      <c r="I6487" t="s">
        <v>32856</v>
      </c>
      <c r="J6487" t="s">
        <v>33031</v>
      </c>
      <c r="K6487" t="s">
        <v>42727</v>
      </c>
      <c r="M6487" t="s">
        <v>45491</v>
      </c>
      <c r="N6487" t="s">
        <v>47424</v>
      </c>
      <c r="O6487" t="s">
        <v>47425</v>
      </c>
      <c r="P6487">
        <v>0</v>
      </c>
      <c r="Q6487">
        <v>0</v>
      </c>
      <c r="R6487" t="s">
        <v>47431</v>
      </c>
      <c r="S6487" t="s">
        <v>47565</v>
      </c>
      <c r="T6487" t="s">
        <v>49107</v>
      </c>
      <c r="U6487" t="s">
        <v>55161</v>
      </c>
      <c r="W6487" t="s">
        <v>45491</v>
      </c>
      <c r="X6487" t="s">
        <v>47432</v>
      </c>
    </row>
    <row r="6488" spans="1:24">
      <c r="A6488">
        <f>HYPERLINK("https://www.philgeps.gov.ph/GEPSNONPILOT/Tender/SplashBidNoticeAbstractUI.aspx?menuIndex=3&amp;refID=7155941&amp;Result=3","7155941")</f>
        <v>0</v>
      </c>
      <c r="B6488" t="s">
        <v>1149</v>
      </c>
      <c r="C6488" t="s">
        <v>10017</v>
      </c>
      <c r="D6488" t="s">
        <v>19079</v>
      </c>
      <c r="E6488" t="s">
        <v>24760</v>
      </c>
      <c r="F6488" t="s">
        <v>32831</v>
      </c>
      <c r="G6488" t="s">
        <v>32841</v>
      </c>
      <c r="H6488" t="s">
        <v>32848</v>
      </c>
      <c r="I6488" t="s">
        <v>32890</v>
      </c>
      <c r="J6488" t="s">
        <v>33083</v>
      </c>
      <c r="K6488" t="s">
        <v>42731</v>
      </c>
      <c r="M6488" t="s">
        <v>45518</v>
      </c>
      <c r="N6488" t="s">
        <v>47424</v>
      </c>
      <c r="O6488" t="s">
        <v>47425</v>
      </c>
      <c r="P6488">
        <v>0</v>
      </c>
      <c r="Q6488">
        <v>0</v>
      </c>
      <c r="R6488" t="s">
        <v>47431</v>
      </c>
      <c r="S6488" t="s">
        <v>47565</v>
      </c>
      <c r="T6488" t="s">
        <v>49143</v>
      </c>
      <c r="U6488" t="s">
        <v>55162</v>
      </c>
      <c r="W6488" t="s">
        <v>45518</v>
      </c>
      <c r="X6488" t="s">
        <v>47432</v>
      </c>
    </row>
    <row r="6489" spans="1:24">
      <c r="A6489">
        <f>HYPERLINK("https://www.philgeps.gov.ph/GEPSNONPILOT/Tender/SplashBidNoticeAbstractUI.aspx?menuIndex=3&amp;refID=7155935&amp;Result=3","7155935")</f>
        <v>0</v>
      </c>
      <c r="B6489" t="s">
        <v>1130</v>
      </c>
      <c r="C6489" t="s">
        <v>10018</v>
      </c>
      <c r="D6489" t="s">
        <v>19045</v>
      </c>
      <c r="E6489" t="s">
        <v>24761</v>
      </c>
      <c r="F6489" t="s">
        <v>32831</v>
      </c>
      <c r="G6489" t="s">
        <v>32839</v>
      </c>
      <c r="H6489" t="s">
        <v>32849</v>
      </c>
      <c r="I6489" t="s">
        <v>4177</v>
      </c>
      <c r="J6489" t="s">
        <v>37091</v>
      </c>
      <c r="K6489" t="s">
        <v>42729</v>
      </c>
      <c r="M6489" t="s">
        <v>45442</v>
      </c>
      <c r="N6489" t="s">
        <v>47424</v>
      </c>
      <c r="O6489" t="s">
        <v>47425</v>
      </c>
      <c r="P6489">
        <v>0</v>
      </c>
      <c r="Q6489">
        <v>0</v>
      </c>
      <c r="R6489" t="s">
        <v>47431</v>
      </c>
      <c r="S6489" t="s">
        <v>47565</v>
      </c>
      <c r="T6489" t="s">
        <v>49188</v>
      </c>
      <c r="U6489" t="s">
        <v>55120</v>
      </c>
      <c r="V6489" t="s">
        <v>63325</v>
      </c>
      <c r="W6489" t="s">
        <v>45442</v>
      </c>
      <c r="X6489" t="s">
        <v>47432</v>
      </c>
    </row>
    <row r="6490" spans="1:24">
      <c r="A6490">
        <f>HYPERLINK("https://www.philgeps.gov.ph/GEPSNONPILOT/Tender/SplashBidNoticeAbstractUI.aspx?menuIndex=3&amp;refID=7155963&amp;Result=3","7155963")</f>
        <v>0</v>
      </c>
      <c r="B6490" t="s">
        <v>2310</v>
      </c>
      <c r="C6490" t="s">
        <v>10019</v>
      </c>
      <c r="D6490" t="s">
        <v>19028</v>
      </c>
      <c r="E6490" t="s">
        <v>24762</v>
      </c>
      <c r="F6490" t="s">
        <v>32831</v>
      </c>
      <c r="G6490" t="s">
        <v>32839</v>
      </c>
      <c r="H6490" t="s">
        <v>32849</v>
      </c>
      <c r="I6490" t="s">
        <v>4177</v>
      </c>
      <c r="J6490" t="s">
        <v>33118</v>
      </c>
      <c r="K6490" t="s">
        <v>42747</v>
      </c>
      <c r="M6490" t="s">
        <v>45495</v>
      </c>
      <c r="N6490" t="s">
        <v>47424</v>
      </c>
      <c r="O6490" t="s">
        <v>47425</v>
      </c>
      <c r="P6490">
        <v>0</v>
      </c>
      <c r="Q6490">
        <v>0</v>
      </c>
      <c r="R6490" t="s">
        <v>47431</v>
      </c>
      <c r="S6490" t="s">
        <v>47565</v>
      </c>
      <c r="T6490" t="s">
        <v>49319</v>
      </c>
      <c r="U6490" t="s">
        <v>55097</v>
      </c>
      <c r="V6490" t="s">
        <v>63346</v>
      </c>
      <c r="W6490" t="s">
        <v>45495</v>
      </c>
      <c r="X6490" t="s">
        <v>47432</v>
      </c>
    </row>
    <row r="6491" spans="1:24">
      <c r="A6491">
        <f>HYPERLINK("https://www.philgeps.gov.ph/GEPSNONPILOT/Tender/SplashBidNoticeAbstractUI.aspx?menuIndex=3&amp;refID=7155946&amp;Result=3","7155946")</f>
        <v>0</v>
      </c>
      <c r="B6491" t="s">
        <v>2173</v>
      </c>
      <c r="C6491" t="s">
        <v>10020</v>
      </c>
      <c r="D6491" t="s">
        <v>19030</v>
      </c>
      <c r="E6491" t="s">
        <v>24763</v>
      </c>
      <c r="F6491" t="s">
        <v>32831</v>
      </c>
      <c r="G6491" t="s">
        <v>32840</v>
      </c>
      <c r="H6491" t="s">
        <v>32848</v>
      </c>
      <c r="I6491" t="s">
        <v>32885</v>
      </c>
      <c r="J6491" t="s">
        <v>37092</v>
      </c>
      <c r="K6491" t="s">
        <v>42726</v>
      </c>
      <c r="M6491" t="s">
        <v>45351</v>
      </c>
      <c r="N6491" t="s">
        <v>47424</v>
      </c>
      <c r="O6491" t="s">
        <v>47425</v>
      </c>
      <c r="P6491">
        <v>0</v>
      </c>
      <c r="Q6491">
        <v>4</v>
      </c>
      <c r="R6491" t="s">
        <v>47431</v>
      </c>
      <c r="S6491" t="s">
        <v>47565</v>
      </c>
      <c r="T6491" t="s">
        <v>49162</v>
      </c>
      <c r="U6491" t="s">
        <v>55163</v>
      </c>
      <c r="W6491" t="s">
        <v>45351</v>
      </c>
      <c r="X6491" t="s">
        <v>47432</v>
      </c>
    </row>
    <row r="6492" spans="1:24">
      <c r="A6492">
        <f>HYPERLINK("https://www.philgeps.gov.ph/GEPSNONPILOT/Tender/SplashBidNoticeAbstractUI.aspx?menuIndex=3&amp;refID=7155955&amp;Result=3","7155955")</f>
        <v>0</v>
      </c>
      <c r="B6492" t="s">
        <v>2312</v>
      </c>
      <c r="C6492" t="s">
        <v>10021</v>
      </c>
      <c r="D6492" t="s">
        <v>19052</v>
      </c>
      <c r="E6492" t="s">
        <v>24764</v>
      </c>
      <c r="F6492" t="s">
        <v>32831</v>
      </c>
      <c r="G6492" t="s">
        <v>32838</v>
      </c>
      <c r="H6492" t="s">
        <v>32848</v>
      </c>
      <c r="I6492" t="s">
        <v>4222</v>
      </c>
      <c r="J6492" t="s">
        <v>32983</v>
      </c>
      <c r="K6492" t="s">
        <v>42726</v>
      </c>
      <c r="M6492" t="s">
        <v>45497</v>
      </c>
      <c r="N6492" t="s">
        <v>47424</v>
      </c>
      <c r="O6492" t="s">
        <v>47425</v>
      </c>
      <c r="P6492">
        <v>0</v>
      </c>
      <c r="Q6492">
        <v>0</v>
      </c>
      <c r="R6492" t="s">
        <v>47431</v>
      </c>
      <c r="S6492" t="s">
        <v>47565</v>
      </c>
      <c r="T6492" t="s">
        <v>49073</v>
      </c>
      <c r="U6492" t="s">
        <v>55164</v>
      </c>
      <c r="W6492" t="s">
        <v>45497</v>
      </c>
      <c r="X6492" t="s">
        <v>47432</v>
      </c>
    </row>
    <row r="6493" spans="1:24">
      <c r="A6493">
        <f>HYPERLINK("https://www.philgeps.gov.ph/GEPSNONPILOT/Tender/SplashBidNoticeAbstractUI.aspx?menuIndex=3&amp;refID=7155844&amp;Result=3","7155844")</f>
        <v>0</v>
      </c>
      <c r="B6493" t="s">
        <v>2303</v>
      </c>
      <c r="C6493" t="s">
        <v>10022</v>
      </c>
      <c r="D6493" t="s">
        <v>19037</v>
      </c>
      <c r="E6493" t="s">
        <v>24765</v>
      </c>
      <c r="F6493" t="s">
        <v>32831</v>
      </c>
      <c r="G6493" t="s">
        <v>32839</v>
      </c>
      <c r="H6493" t="s">
        <v>32849</v>
      </c>
      <c r="I6493" t="s">
        <v>7416</v>
      </c>
      <c r="J6493" t="s">
        <v>37093</v>
      </c>
      <c r="K6493" t="s">
        <v>42763</v>
      </c>
      <c r="M6493" t="s">
        <v>45488</v>
      </c>
      <c r="N6493" t="s">
        <v>47424</v>
      </c>
      <c r="O6493" t="s">
        <v>47425</v>
      </c>
      <c r="P6493">
        <v>0</v>
      </c>
      <c r="Q6493">
        <v>1</v>
      </c>
      <c r="R6493" t="s">
        <v>47431</v>
      </c>
      <c r="S6493" t="s">
        <v>47565</v>
      </c>
      <c r="T6493" t="s">
        <v>49139</v>
      </c>
      <c r="U6493" t="s">
        <v>55165</v>
      </c>
      <c r="W6493" t="s">
        <v>45488</v>
      </c>
      <c r="X6493" t="s">
        <v>47432</v>
      </c>
    </row>
    <row r="6494" spans="1:24">
      <c r="A6494">
        <f>HYPERLINK("https://www.philgeps.gov.ph/GEPSNONPILOT/Tender/SplashBidNoticeAbstractUI.aspx?menuIndex=3&amp;refID=7155997&amp;Result=3","7155997")</f>
        <v>0</v>
      </c>
      <c r="B6494" t="s">
        <v>881</v>
      </c>
      <c r="C6494" t="s">
        <v>10023</v>
      </c>
      <c r="D6494" t="s">
        <v>19095</v>
      </c>
      <c r="E6494" t="s">
        <v>21090</v>
      </c>
      <c r="F6494" t="s">
        <v>32831</v>
      </c>
      <c r="G6494" t="s">
        <v>32838</v>
      </c>
      <c r="H6494" t="s">
        <v>32848</v>
      </c>
      <c r="I6494" t="s">
        <v>32870</v>
      </c>
      <c r="J6494" t="s">
        <v>37094</v>
      </c>
      <c r="K6494" t="s">
        <v>42727</v>
      </c>
      <c r="M6494" t="s">
        <v>43916</v>
      </c>
      <c r="N6494" t="s">
        <v>47424</v>
      </c>
      <c r="O6494" t="s">
        <v>47425</v>
      </c>
      <c r="P6494">
        <v>0</v>
      </c>
      <c r="Q6494">
        <v>0</v>
      </c>
      <c r="R6494" t="s">
        <v>47431</v>
      </c>
      <c r="S6494" t="s">
        <v>47565</v>
      </c>
      <c r="T6494" t="s">
        <v>49214</v>
      </c>
      <c r="U6494" t="s">
        <v>55166</v>
      </c>
      <c r="W6494" t="s">
        <v>43916</v>
      </c>
      <c r="X6494" t="s">
        <v>47432</v>
      </c>
    </row>
    <row r="6495" spans="1:24">
      <c r="A6495">
        <f>HYPERLINK("https://www.philgeps.gov.ph/GEPSNONPILOT/Tender/SplashBidNoticeAbstractUI.aspx?menuIndex=3&amp;refID=7155942&amp;Result=3","7155942")</f>
        <v>0</v>
      </c>
      <c r="B6495" t="s">
        <v>2312</v>
      </c>
      <c r="C6495" t="s">
        <v>10024</v>
      </c>
      <c r="D6495" t="s">
        <v>19052</v>
      </c>
      <c r="E6495" t="s">
        <v>24766</v>
      </c>
      <c r="F6495" t="s">
        <v>32833</v>
      </c>
      <c r="G6495" t="s">
        <v>32838</v>
      </c>
      <c r="H6495" t="s">
        <v>32848</v>
      </c>
      <c r="I6495" t="s">
        <v>6526</v>
      </c>
      <c r="J6495" t="s">
        <v>33087</v>
      </c>
      <c r="K6495" t="s">
        <v>42726</v>
      </c>
      <c r="M6495" t="s">
        <v>45497</v>
      </c>
      <c r="N6495" t="s">
        <v>47424</v>
      </c>
      <c r="O6495" t="s">
        <v>47425</v>
      </c>
      <c r="P6495">
        <v>0</v>
      </c>
      <c r="Q6495">
        <v>0</v>
      </c>
      <c r="R6495" t="s">
        <v>47431</v>
      </c>
      <c r="S6495" t="s">
        <v>47565</v>
      </c>
      <c r="T6495" t="s">
        <v>49105</v>
      </c>
      <c r="U6495" t="s">
        <v>55167</v>
      </c>
      <c r="W6495" t="s">
        <v>45497</v>
      </c>
      <c r="X6495" t="s">
        <v>47432</v>
      </c>
    </row>
    <row r="6496" spans="1:24">
      <c r="A6496">
        <f>HYPERLINK("https://www.philgeps.gov.ph/GEPSNONPILOT/Tender/SplashBidNoticeAbstractUI.aspx?menuIndex=3&amp;refID=7156000&amp;Result=3","7156000")</f>
        <v>0</v>
      </c>
      <c r="B6496" t="s">
        <v>2273</v>
      </c>
      <c r="C6496" t="s">
        <v>10025</v>
      </c>
      <c r="D6496" t="s">
        <v>19071</v>
      </c>
      <c r="E6496" t="s">
        <v>24767</v>
      </c>
      <c r="F6496" t="s">
        <v>32831</v>
      </c>
      <c r="G6496" t="s">
        <v>32841</v>
      </c>
      <c r="H6496" t="s">
        <v>32848</v>
      </c>
      <c r="I6496" t="s">
        <v>7819</v>
      </c>
      <c r="J6496" t="s">
        <v>32980</v>
      </c>
      <c r="K6496" t="s">
        <v>42732</v>
      </c>
      <c r="M6496" t="s">
        <v>45457</v>
      </c>
      <c r="N6496" t="s">
        <v>47424</v>
      </c>
      <c r="O6496" t="s">
        <v>47425</v>
      </c>
      <c r="P6496">
        <v>0</v>
      </c>
      <c r="Q6496">
        <v>0</v>
      </c>
      <c r="R6496" t="s">
        <v>47431</v>
      </c>
      <c r="S6496" t="s">
        <v>47565</v>
      </c>
      <c r="T6496" t="s">
        <v>49214</v>
      </c>
      <c r="U6496" t="s">
        <v>55168</v>
      </c>
      <c r="V6496" t="s">
        <v>63349</v>
      </c>
      <c r="W6496" t="s">
        <v>45457</v>
      </c>
      <c r="X6496" t="s">
        <v>47432</v>
      </c>
    </row>
    <row r="6497" spans="1:24">
      <c r="A6497">
        <f>HYPERLINK("https://www.philgeps.gov.ph/GEPSNONPILOT/Tender/SplashBidNoticeAbstractUI.aspx?menuIndex=3&amp;refID=7155994&amp;Result=3","7155994")</f>
        <v>0</v>
      </c>
      <c r="B6497" t="s">
        <v>2332</v>
      </c>
      <c r="C6497" t="s">
        <v>10026</v>
      </c>
      <c r="D6497" t="s">
        <v>19089</v>
      </c>
      <c r="E6497" t="s">
        <v>24768</v>
      </c>
      <c r="F6497" t="s">
        <v>32831</v>
      </c>
      <c r="G6497" t="s">
        <v>32839</v>
      </c>
      <c r="H6497" t="s">
        <v>32848</v>
      </c>
      <c r="I6497" t="s">
        <v>32852</v>
      </c>
      <c r="J6497" t="s">
        <v>33067</v>
      </c>
      <c r="K6497" t="s">
        <v>42727</v>
      </c>
      <c r="M6497" t="s">
        <v>45519</v>
      </c>
      <c r="N6497" t="s">
        <v>47424</v>
      </c>
      <c r="O6497" t="s">
        <v>47425</v>
      </c>
      <c r="P6497">
        <v>0</v>
      </c>
      <c r="Q6497">
        <v>0</v>
      </c>
      <c r="R6497" t="s">
        <v>47431</v>
      </c>
      <c r="S6497" t="s">
        <v>47565</v>
      </c>
      <c r="T6497" t="s">
        <v>49056</v>
      </c>
      <c r="U6497" t="s">
        <v>55169</v>
      </c>
      <c r="W6497" t="s">
        <v>45519</v>
      </c>
      <c r="X6497" t="s">
        <v>47432</v>
      </c>
    </row>
    <row r="6498" spans="1:24">
      <c r="A6498">
        <f>HYPERLINK("https://www.philgeps.gov.ph/GEPSNONPILOT/Tender/SplashBidNoticeAbstractUI.aspx?menuIndex=3&amp;refID=7155999&amp;Result=3","7155999")</f>
        <v>0</v>
      </c>
      <c r="B6498" t="s">
        <v>1295</v>
      </c>
      <c r="C6498" t="s">
        <v>10027</v>
      </c>
      <c r="D6498" t="s">
        <v>19054</v>
      </c>
      <c r="E6498" t="s">
        <v>24769</v>
      </c>
      <c r="F6498" t="s">
        <v>32831</v>
      </c>
      <c r="G6498" t="s">
        <v>32839</v>
      </c>
      <c r="H6498" t="s">
        <v>32849</v>
      </c>
      <c r="I6498" t="s">
        <v>4177</v>
      </c>
      <c r="J6498" t="s">
        <v>37095</v>
      </c>
      <c r="K6498" t="s">
        <v>42873</v>
      </c>
      <c r="M6498" t="s">
        <v>44365</v>
      </c>
      <c r="N6498" t="s">
        <v>47424</v>
      </c>
      <c r="O6498" t="s">
        <v>47425</v>
      </c>
      <c r="P6498">
        <v>0</v>
      </c>
      <c r="Q6498">
        <v>2</v>
      </c>
      <c r="R6498" t="s">
        <v>47431</v>
      </c>
      <c r="S6498" t="s">
        <v>47565</v>
      </c>
      <c r="T6498" t="s">
        <v>49077</v>
      </c>
      <c r="U6498" t="s">
        <v>52634</v>
      </c>
      <c r="W6498" t="s">
        <v>44365</v>
      </c>
      <c r="X6498" t="s">
        <v>47432</v>
      </c>
    </row>
    <row r="6499" spans="1:24">
      <c r="A6499">
        <f>HYPERLINK("https://www.philgeps.gov.ph/GEPSNONPILOT/Tender/SplashBidNoticeAbstractUI.aspx?menuIndex=3&amp;refID=7155993&amp;Result=3","7155993")</f>
        <v>0</v>
      </c>
      <c r="B6499" t="s">
        <v>1940</v>
      </c>
      <c r="C6499" t="s">
        <v>10028</v>
      </c>
      <c r="D6499" t="s">
        <v>19085</v>
      </c>
      <c r="E6499" t="s">
        <v>24770</v>
      </c>
      <c r="F6499" t="s">
        <v>32831</v>
      </c>
      <c r="G6499" t="s">
        <v>32838</v>
      </c>
      <c r="H6499" t="s">
        <v>32848</v>
      </c>
      <c r="I6499" t="s">
        <v>32854</v>
      </c>
      <c r="J6499" t="s">
        <v>33090</v>
      </c>
      <c r="K6499" t="s">
        <v>42726</v>
      </c>
      <c r="M6499" t="s">
        <v>45095</v>
      </c>
      <c r="N6499" t="s">
        <v>47424</v>
      </c>
      <c r="O6499" t="s">
        <v>47425</v>
      </c>
      <c r="P6499">
        <v>0</v>
      </c>
      <c r="Q6499">
        <v>1</v>
      </c>
      <c r="R6499" t="s">
        <v>47431</v>
      </c>
      <c r="S6499" t="s">
        <v>47565</v>
      </c>
      <c r="T6499" t="s">
        <v>49123</v>
      </c>
      <c r="U6499" t="s">
        <v>55170</v>
      </c>
      <c r="W6499" t="s">
        <v>45095</v>
      </c>
      <c r="X6499" t="s">
        <v>47432</v>
      </c>
    </row>
    <row r="6500" spans="1:24">
      <c r="A6500">
        <f>HYPERLINK("https://www.philgeps.gov.ph/GEPSNONPILOT/Tender/SplashBidNoticeAbstractUI.aspx?menuIndex=3&amp;refID=7155858&amp;Result=3","7155858")</f>
        <v>0</v>
      </c>
      <c r="B6500" t="s">
        <v>2291</v>
      </c>
      <c r="C6500" t="s">
        <v>9913</v>
      </c>
      <c r="D6500" t="s">
        <v>19078</v>
      </c>
      <c r="E6500" t="s">
        <v>24771</v>
      </c>
      <c r="F6500" t="s">
        <v>32831</v>
      </c>
      <c r="G6500" t="s">
        <v>32838</v>
      </c>
      <c r="H6500" t="s">
        <v>32848</v>
      </c>
      <c r="I6500" t="s">
        <v>5379</v>
      </c>
      <c r="J6500" t="s">
        <v>33859</v>
      </c>
      <c r="K6500" t="s">
        <v>42726</v>
      </c>
      <c r="M6500" t="s">
        <v>45475</v>
      </c>
      <c r="N6500" t="s">
        <v>47424</v>
      </c>
      <c r="O6500" t="s">
        <v>47425</v>
      </c>
      <c r="P6500">
        <v>0</v>
      </c>
      <c r="Q6500">
        <v>1</v>
      </c>
      <c r="R6500" t="s">
        <v>47431</v>
      </c>
      <c r="S6500" t="s">
        <v>47565</v>
      </c>
      <c r="T6500" t="s">
        <v>49114</v>
      </c>
      <c r="U6500" t="s">
        <v>55171</v>
      </c>
      <c r="W6500" t="s">
        <v>45475</v>
      </c>
      <c r="X6500" t="s">
        <v>47432</v>
      </c>
    </row>
    <row r="6501" spans="1:24">
      <c r="A6501">
        <f>HYPERLINK("https://www.philgeps.gov.ph/GEPSNONPILOT/Tender/SplashBidNoticeAbstractUI.aspx?menuIndex=3&amp;refID=7155995&amp;Result=3","7155995")</f>
        <v>0</v>
      </c>
      <c r="B6501" t="s">
        <v>199</v>
      </c>
      <c r="C6501" t="s">
        <v>10029</v>
      </c>
      <c r="D6501" t="s">
        <v>19017</v>
      </c>
      <c r="E6501" t="s">
        <v>24772</v>
      </c>
      <c r="F6501" t="s">
        <v>32831</v>
      </c>
      <c r="G6501" t="s">
        <v>32840</v>
      </c>
      <c r="H6501" t="s">
        <v>32848</v>
      </c>
      <c r="I6501" t="s">
        <v>10805</v>
      </c>
      <c r="J6501" t="s">
        <v>37096</v>
      </c>
      <c r="K6501" t="s">
        <v>42731</v>
      </c>
      <c r="M6501" t="s">
        <v>43197</v>
      </c>
      <c r="N6501" t="s">
        <v>47424</v>
      </c>
      <c r="O6501" t="s">
        <v>47425</v>
      </c>
      <c r="P6501">
        <v>0</v>
      </c>
      <c r="Q6501">
        <v>6</v>
      </c>
      <c r="R6501" t="s">
        <v>47431</v>
      </c>
      <c r="S6501" t="s">
        <v>47565</v>
      </c>
      <c r="T6501" t="s">
        <v>49162</v>
      </c>
      <c r="U6501" t="s">
        <v>55172</v>
      </c>
      <c r="W6501" t="s">
        <v>43197</v>
      </c>
      <c r="X6501" t="s">
        <v>47432</v>
      </c>
    </row>
    <row r="6502" spans="1:24">
      <c r="A6502">
        <f>HYPERLINK("https://www.philgeps.gov.ph/GEPSNONPILOT/Tender/SplashBidNoticeAbstractUI.aspx?menuIndex=3&amp;refID=7155984&amp;Result=3","7155984")</f>
        <v>0</v>
      </c>
      <c r="B6502" t="s">
        <v>2333</v>
      </c>
      <c r="C6502" t="s">
        <v>10030</v>
      </c>
      <c r="D6502" t="s">
        <v>19103</v>
      </c>
      <c r="E6502" t="s">
        <v>24773</v>
      </c>
      <c r="F6502" t="s">
        <v>32831</v>
      </c>
      <c r="G6502" t="s">
        <v>32839</v>
      </c>
      <c r="H6502" t="s">
        <v>32848</v>
      </c>
      <c r="I6502" t="s">
        <v>7751</v>
      </c>
      <c r="J6502" t="s">
        <v>33081</v>
      </c>
      <c r="K6502" t="s">
        <v>42732</v>
      </c>
      <c r="M6502" t="s">
        <v>45520</v>
      </c>
      <c r="N6502" t="s">
        <v>47424</v>
      </c>
      <c r="O6502" t="s">
        <v>47425</v>
      </c>
      <c r="P6502">
        <v>0</v>
      </c>
      <c r="Q6502">
        <v>2</v>
      </c>
      <c r="R6502" t="s">
        <v>47431</v>
      </c>
      <c r="S6502" t="s">
        <v>47565</v>
      </c>
      <c r="T6502" t="s">
        <v>49291</v>
      </c>
      <c r="U6502" t="s">
        <v>55173</v>
      </c>
      <c r="W6502" t="s">
        <v>45520</v>
      </c>
      <c r="X6502" t="s">
        <v>47432</v>
      </c>
    </row>
    <row r="6503" spans="1:24">
      <c r="A6503">
        <f>HYPERLINK("https://www.philgeps.gov.ph/GEPSNONPILOT/Tender/SplashBidNoticeAbstractUI.aspx?menuIndex=3&amp;refID=7155982&amp;Result=3","7155982")</f>
        <v>0</v>
      </c>
      <c r="B6503" t="s">
        <v>2329</v>
      </c>
      <c r="C6503" t="s">
        <v>10031</v>
      </c>
      <c r="E6503" t="s">
        <v>24774</v>
      </c>
      <c r="F6503" t="s">
        <v>32831</v>
      </c>
      <c r="G6503" t="s">
        <v>32840</v>
      </c>
      <c r="H6503" t="s">
        <v>32848</v>
      </c>
      <c r="I6503" t="s">
        <v>32906</v>
      </c>
      <c r="J6503" t="s">
        <v>37097</v>
      </c>
      <c r="K6503" t="s">
        <v>42732</v>
      </c>
      <c r="M6503" t="s">
        <v>45515</v>
      </c>
      <c r="N6503" t="s">
        <v>47424</v>
      </c>
      <c r="O6503" t="s">
        <v>47425</v>
      </c>
      <c r="P6503">
        <v>0</v>
      </c>
      <c r="Q6503">
        <v>7</v>
      </c>
      <c r="R6503" t="s">
        <v>47431</v>
      </c>
      <c r="S6503" t="s">
        <v>47565</v>
      </c>
      <c r="T6503" t="s">
        <v>49145</v>
      </c>
      <c r="U6503" t="s">
        <v>55174</v>
      </c>
      <c r="W6503" t="s">
        <v>45515</v>
      </c>
      <c r="X6503" t="s">
        <v>47432</v>
      </c>
    </row>
    <row r="6504" spans="1:24">
      <c r="A6504">
        <f>HYPERLINK("https://www.philgeps.gov.ph/GEPSNONPILOT/Tender/SplashBidNoticeAbstractUI.aspx?menuIndex=3&amp;refID=7155981&amp;Result=3","7155981")</f>
        <v>0</v>
      </c>
      <c r="B6504" t="s">
        <v>1716</v>
      </c>
      <c r="C6504" t="s">
        <v>10032</v>
      </c>
      <c r="D6504" t="s">
        <v>19037</v>
      </c>
      <c r="E6504" t="s">
        <v>24775</v>
      </c>
      <c r="F6504" t="s">
        <v>32831</v>
      </c>
      <c r="G6504" t="s">
        <v>32839</v>
      </c>
      <c r="H6504" t="s">
        <v>32848</v>
      </c>
      <c r="I6504" t="s">
        <v>6526</v>
      </c>
      <c r="J6504" t="s">
        <v>33072</v>
      </c>
      <c r="K6504" t="s">
        <v>42730</v>
      </c>
      <c r="M6504" t="s">
        <v>44838</v>
      </c>
      <c r="N6504" t="s">
        <v>47424</v>
      </c>
      <c r="O6504" t="s">
        <v>47425</v>
      </c>
      <c r="P6504">
        <v>0</v>
      </c>
      <c r="Q6504">
        <v>0</v>
      </c>
      <c r="R6504" t="s">
        <v>47431</v>
      </c>
      <c r="S6504" t="s">
        <v>47565</v>
      </c>
      <c r="T6504" t="s">
        <v>49080</v>
      </c>
      <c r="U6504" t="s">
        <v>55175</v>
      </c>
      <c r="V6504" t="s">
        <v>63350</v>
      </c>
      <c r="W6504" t="s">
        <v>44838</v>
      </c>
      <c r="X6504" t="s">
        <v>47432</v>
      </c>
    </row>
    <row r="6505" spans="1:24">
      <c r="A6505">
        <f>HYPERLINK("https://www.philgeps.gov.ph/GEPSNONPILOT/Tender/SplashBidNoticeAbstractUI.aspx?menuIndex=3&amp;refID=7155979&amp;Result=3","7155979")</f>
        <v>0</v>
      </c>
      <c r="B6505" t="s">
        <v>2310</v>
      </c>
      <c r="C6505" t="s">
        <v>10033</v>
      </c>
      <c r="D6505" t="s">
        <v>19028</v>
      </c>
      <c r="E6505" t="s">
        <v>24776</v>
      </c>
      <c r="F6505" t="s">
        <v>32831</v>
      </c>
      <c r="G6505" t="s">
        <v>32839</v>
      </c>
      <c r="H6505" t="s">
        <v>32849</v>
      </c>
      <c r="I6505" t="s">
        <v>4177</v>
      </c>
      <c r="J6505" t="s">
        <v>33465</v>
      </c>
      <c r="K6505" t="s">
        <v>42763</v>
      </c>
      <c r="M6505" t="s">
        <v>45495</v>
      </c>
      <c r="N6505" t="s">
        <v>47424</v>
      </c>
      <c r="O6505" t="s">
        <v>47425</v>
      </c>
      <c r="P6505">
        <v>0</v>
      </c>
      <c r="Q6505">
        <v>0</v>
      </c>
      <c r="R6505" t="s">
        <v>47431</v>
      </c>
      <c r="S6505" t="s">
        <v>47565</v>
      </c>
      <c r="T6505" t="s">
        <v>49319</v>
      </c>
      <c r="U6505" t="s">
        <v>55097</v>
      </c>
      <c r="V6505" t="s">
        <v>63351</v>
      </c>
      <c r="W6505" t="s">
        <v>45495</v>
      </c>
      <c r="X6505" t="s">
        <v>47432</v>
      </c>
    </row>
    <row r="6506" spans="1:24">
      <c r="A6506">
        <f>HYPERLINK("https://www.philgeps.gov.ph/GEPSNONPILOT/Tender/SplashBidNoticeAbstractUI.aspx?menuIndex=3&amp;refID=7155978&amp;Result=3","7155978")</f>
        <v>0</v>
      </c>
      <c r="B6506" t="s">
        <v>2291</v>
      </c>
      <c r="C6506" t="s">
        <v>10034</v>
      </c>
      <c r="D6506" t="s">
        <v>19078</v>
      </c>
      <c r="E6506" t="s">
        <v>24777</v>
      </c>
      <c r="F6506" t="s">
        <v>32831</v>
      </c>
      <c r="G6506" t="s">
        <v>32839</v>
      </c>
      <c r="H6506" t="s">
        <v>32848</v>
      </c>
      <c r="I6506" t="s">
        <v>7751</v>
      </c>
      <c r="J6506" t="s">
        <v>33553</v>
      </c>
      <c r="K6506" t="s">
        <v>42747</v>
      </c>
      <c r="M6506" t="s">
        <v>45475</v>
      </c>
      <c r="N6506" t="s">
        <v>47424</v>
      </c>
      <c r="O6506" t="s">
        <v>47425</v>
      </c>
      <c r="P6506">
        <v>0</v>
      </c>
      <c r="Q6506">
        <v>7</v>
      </c>
      <c r="R6506" t="s">
        <v>47431</v>
      </c>
      <c r="S6506" t="s">
        <v>47565</v>
      </c>
      <c r="T6506" t="s">
        <v>49452</v>
      </c>
      <c r="U6506" t="s">
        <v>55176</v>
      </c>
      <c r="W6506" t="s">
        <v>45475</v>
      </c>
      <c r="X6506" t="s">
        <v>47432</v>
      </c>
    </row>
    <row r="6507" spans="1:24">
      <c r="A6507">
        <f>HYPERLINK("https://www.philgeps.gov.ph/GEPSNONPILOT/Tender/SplashBidNoticeAbstractUI.aspx?menuIndex=3&amp;refID=7155977&amp;Result=3","7155977")</f>
        <v>0</v>
      </c>
      <c r="B6507" t="s">
        <v>266</v>
      </c>
      <c r="C6507" t="s">
        <v>10035</v>
      </c>
      <c r="E6507" t="s">
        <v>24778</v>
      </c>
      <c r="F6507" t="s">
        <v>32831</v>
      </c>
      <c r="G6507" t="s">
        <v>32838</v>
      </c>
      <c r="H6507" t="s">
        <v>32849</v>
      </c>
      <c r="I6507" t="s">
        <v>4177</v>
      </c>
      <c r="J6507" t="s">
        <v>34100</v>
      </c>
      <c r="K6507" t="s">
        <v>42745</v>
      </c>
      <c r="M6507" t="s">
        <v>43265</v>
      </c>
      <c r="N6507" t="s">
        <v>47424</v>
      </c>
      <c r="O6507" t="s">
        <v>47425</v>
      </c>
      <c r="Q6507">
        <v>3</v>
      </c>
      <c r="R6507" t="s">
        <v>47431</v>
      </c>
      <c r="S6507" t="s">
        <v>47571</v>
      </c>
      <c r="T6507" t="s">
        <v>49056</v>
      </c>
      <c r="U6507" t="s">
        <v>55177</v>
      </c>
      <c r="W6507" t="s">
        <v>43265</v>
      </c>
      <c r="X6507" t="s">
        <v>47432</v>
      </c>
    </row>
    <row r="6508" spans="1:24">
      <c r="A6508">
        <f>HYPERLINK("https://www.philgeps.gov.ph/GEPSNONPILOT/Tender/SplashBidNoticeAbstractUI.aspx?menuIndex=3&amp;refID=7155971&amp;Result=3","7155971")</f>
        <v>0</v>
      </c>
      <c r="B6508" t="s">
        <v>2175</v>
      </c>
      <c r="C6508" t="s">
        <v>10036</v>
      </c>
      <c r="D6508" t="s">
        <v>19017</v>
      </c>
      <c r="E6508" t="s">
        <v>24779</v>
      </c>
      <c r="F6508" t="s">
        <v>32832</v>
      </c>
      <c r="G6508" t="s">
        <v>32839</v>
      </c>
      <c r="H6508" t="s">
        <v>32848</v>
      </c>
      <c r="I6508" t="s">
        <v>4438</v>
      </c>
      <c r="J6508" t="s">
        <v>33016</v>
      </c>
      <c r="K6508" t="s">
        <v>42730</v>
      </c>
      <c r="M6508" t="s">
        <v>45353</v>
      </c>
      <c r="N6508" t="s">
        <v>47424</v>
      </c>
      <c r="O6508" t="s">
        <v>47425</v>
      </c>
      <c r="P6508">
        <v>0</v>
      </c>
      <c r="Q6508">
        <v>0</v>
      </c>
      <c r="R6508" t="s">
        <v>47431</v>
      </c>
      <c r="S6508" t="s">
        <v>47565</v>
      </c>
      <c r="T6508" t="s">
        <v>49204</v>
      </c>
      <c r="U6508" t="s">
        <v>55178</v>
      </c>
      <c r="W6508" t="s">
        <v>45353</v>
      </c>
      <c r="X6508" t="s">
        <v>47432</v>
      </c>
    </row>
    <row r="6509" spans="1:24">
      <c r="A6509">
        <f>HYPERLINK("https://www.philgeps.gov.ph/GEPSNONPILOT/Tender/SplashBidNoticeAbstractUI.aspx?menuIndex=3&amp;refID=7155983&amp;Result=3","7155983")</f>
        <v>0</v>
      </c>
      <c r="B6509" t="s">
        <v>2334</v>
      </c>
      <c r="C6509" t="s">
        <v>9197</v>
      </c>
      <c r="D6509" t="s">
        <v>19052</v>
      </c>
      <c r="E6509" t="s">
        <v>24780</v>
      </c>
      <c r="F6509" t="s">
        <v>32831</v>
      </c>
      <c r="G6509" t="s">
        <v>32839</v>
      </c>
      <c r="H6509" t="s">
        <v>32849</v>
      </c>
      <c r="I6509" t="s">
        <v>4177</v>
      </c>
      <c r="J6509" t="s">
        <v>33424</v>
      </c>
      <c r="K6509" t="s">
        <v>42729</v>
      </c>
      <c r="M6509" t="s">
        <v>45521</v>
      </c>
      <c r="N6509" t="s">
        <v>47424</v>
      </c>
      <c r="O6509" t="s">
        <v>47425</v>
      </c>
      <c r="P6509">
        <v>0</v>
      </c>
      <c r="Q6509">
        <v>1</v>
      </c>
      <c r="R6509" t="s">
        <v>47431</v>
      </c>
      <c r="S6509" t="s">
        <v>47565</v>
      </c>
      <c r="T6509" t="s">
        <v>49100</v>
      </c>
      <c r="U6509" t="s">
        <v>55179</v>
      </c>
      <c r="W6509" t="s">
        <v>45521</v>
      </c>
      <c r="X6509" t="s">
        <v>47432</v>
      </c>
    </row>
    <row r="6510" spans="1:24">
      <c r="A6510">
        <f>HYPERLINK("https://www.philgeps.gov.ph/GEPSNONPILOT/Tender/SplashBidNoticeAbstractUI.aspx?menuIndex=3&amp;refID=7155865&amp;Result=3","7155865")</f>
        <v>0</v>
      </c>
      <c r="B6510" t="s">
        <v>2309</v>
      </c>
      <c r="C6510" t="s">
        <v>10037</v>
      </c>
      <c r="E6510" t="s">
        <v>19211</v>
      </c>
      <c r="F6510" t="s">
        <v>32831</v>
      </c>
      <c r="G6510" t="s">
        <v>32839</v>
      </c>
      <c r="H6510" t="s">
        <v>32848</v>
      </c>
      <c r="I6510" t="s">
        <v>7416</v>
      </c>
      <c r="J6510" t="s">
        <v>33044</v>
      </c>
      <c r="K6510" t="s">
        <v>42730</v>
      </c>
      <c r="M6510" t="s">
        <v>45494</v>
      </c>
      <c r="N6510" t="s">
        <v>47424</v>
      </c>
      <c r="O6510" t="s">
        <v>47425</v>
      </c>
      <c r="P6510">
        <v>0</v>
      </c>
      <c r="Q6510">
        <v>0</v>
      </c>
      <c r="R6510" t="s">
        <v>47431</v>
      </c>
      <c r="S6510" t="s">
        <v>47565</v>
      </c>
      <c r="T6510" t="s">
        <v>49457</v>
      </c>
      <c r="U6510" t="s">
        <v>51857</v>
      </c>
      <c r="W6510" t="s">
        <v>45494</v>
      </c>
      <c r="X6510" t="s">
        <v>47432</v>
      </c>
    </row>
    <row r="6511" spans="1:24">
      <c r="A6511">
        <f>HYPERLINK("https://www.philgeps.gov.ph/GEPSNONPILOT/Tender/SplashBidNoticeAbstractUI.aspx?menuIndex=3&amp;refID=7156001&amp;Result=3","7156001")</f>
        <v>0</v>
      </c>
      <c r="B6511" t="s">
        <v>338</v>
      </c>
      <c r="C6511" t="s">
        <v>10038</v>
      </c>
      <c r="D6511" t="s">
        <v>19019</v>
      </c>
      <c r="E6511" t="s">
        <v>10038</v>
      </c>
      <c r="F6511" t="s">
        <v>32831</v>
      </c>
      <c r="G6511" t="s">
        <v>32840</v>
      </c>
      <c r="H6511" t="s">
        <v>32848</v>
      </c>
      <c r="I6511" t="s">
        <v>9577</v>
      </c>
      <c r="J6511" t="s">
        <v>33162</v>
      </c>
      <c r="K6511" t="s">
        <v>42726</v>
      </c>
      <c r="M6511" t="s">
        <v>44635</v>
      </c>
      <c r="N6511" t="s">
        <v>47424</v>
      </c>
      <c r="O6511" t="s">
        <v>47425</v>
      </c>
      <c r="P6511">
        <v>0</v>
      </c>
      <c r="Q6511">
        <v>5</v>
      </c>
      <c r="R6511" t="s">
        <v>47431</v>
      </c>
      <c r="S6511" t="s">
        <v>47565</v>
      </c>
      <c r="T6511" t="s">
        <v>49145</v>
      </c>
      <c r="U6511" t="s">
        <v>55180</v>
      </c>
      <c r="W6511" t="s">
        <v>44635</v>
      </c>
      <c r="X6511" t="s">
        <v>47432</v>
      </c>
    </row>
    <row r="6512" spans="1:24">
      <c r="A6512">
        <f>HYPERLINK("https://www.philgeps.gov.ph/GEPSNONPILOT/Tender/SplashBidNoticeAbstractUI.aspx?menuIndex=3&amp;refID=7155973&amp;Result=3","7155973")</f>
        <v>0</v>
      </c>
      <c r="B6512" t="s">
        <v>2335</v>
      </c>
      <c r="C6512" t="s">
        <v>10039</v>
      </c>
      <c r="D6512" t="s">
        <v>19026</v>
      </c>
      <c r="E6512" t="s">
        <v>24781</v>
      </c>
      <c r="F6512" t="s">
        <v>32831</v>
      </c>
      <c r="G6512" t="s">
        <v>32839</v>
      </c>
      <c r="H6512" t="s">
        <v>32848</v>
      </c>
      <c r="I6512" t="s">
        <v>7416</v>
      </c>
      <c r="J6512" t="s">
        <v>37098</v>
      </c>
      <c r="K6512" t="s">
        <v>42750</v>
      </c>
      <c r="M6512" t="s">
        <v>45522</v>
      </c>
      <c r="N6512" t="s">
        <v>47424</v>
      </c>
      <c r="O6512" t="s">
        <v>47425</v>
      </c>
      <c r="P6512">
        <v>0</v>
      </c>
      <c r="Q6512">
        <v>3</v>
      </c>
      <c r="R6512" t="s">
        <v>47431</v>
      </c>
      <c r="S6512" t="s">
        <v>47565</v>
      </c>
      <c r="T6512" t="s">
        <v>49079</v>
      </c>
      <c r="U6512" t="s">
        <v>49789</v>
      </c>
      <c r="W6512" t="s">
        <v>45522</v>
      </c>
      <c r="X6512" t="s">
        <v>47432</v>
      </c>
    </row>
    <row r="6513" spans="1:24">
      <c r="A6513">
        <f>HYPERLINK("https://www.philgeps.gov.ph/GEPSNONPILOT/Tender/SplashBidNoticeAbstractUI.aspx?menuIndex=3&amp;refID=7155989&amp;Result=3","7155989")</f>
        <v>0</v>
      </c>
      <c r="B6513" t="s">
        <v>2310</v>
      </c>
      <c r="C6513" t="s">
        <v>10040</v>
      </c>
      <c r="D6513" t="s">
        <v>19028</v>
      </c>
      <c r="E6513" t="s">
        <v>24782</v>
      </c>
      <c r="F6513" t="s">
        <v>32831</v>
      </c>
      <c r="G6513" t="s">
        <v>32839</v>
      </c>
      <c r="H6513" t="s">
        <v>32849</v>
      </c>
      <c r="I6513" t="s">
        <v>4177</v>
      </c>
      <c r="J6513" t="s">
        <v>33118</v>
      </c>
      <c r="K6513" t="s">
        <v>42763</v>
      </c>
      <c r="M6513" t="s">
        <v>45495</v>
      </c>
      <c r="N6513" t="s">
        <v>47424</v>
      </c>
      <c r="O6513" t="s">
        <v>47425</v>
      </c>
      <c r="P6513">
        <v>0</v>
      </c>
      <c r="Q6513">
        <v>0</v>
      </c>
      <c r="R6513" t="s">
        <v>47431</v>
      </c>
      <c r="S6513" t="s">
        <v>47565</v>
      </c>
      <c r="T6513" t="s">
        <v>49319</v>
      </c>
      <c r="U6513" t="s">
        <v>55097</v>
      </c>
      <c r="V6513" t="s">
        <v>63346</v>
      </c>
      <c r="W6513" t="s">
        <v>45495</v>
      </c>
      <c r="X6513" t="s">
        <v>47432</v>
      </c>
    </row>
    <row r="6514" spans="1:24">
      <c r="A6514">
        <f>HYPERLINK("https://www.philgeps.gov.ph/GEPSNONPILOT/Tender/SplashBidNoticeAbstractUI.aspx?menuIndex=3&amp;refID=7156027&amp;Result=3","7156027")</f>
        <v>0</v>
      </c>
      <c r="B6514" t="s">
        <v>2277</v>
      </c>
      <c r="C6514" t="s">
        <v>10041</v>
      </c>
      <c r="D6514" t="s">
        <v>19031</v>
      </c>
      <c r="E6514" t="s">
        <v>24783</v>
      </c>
      <c r="F6514" t="s">
        <v>32831</v>
      </c>
      <c r="G6514" t="s">
        <v>32838</v>
      </c>
      <c r="H6514" t="s">
        <v>32848</v>
      </c>
      <c r="I6514" t="s">
        <v>32856</v>
      </c>
      <c r="J6514" t="s">
        <v>33108</v>
      </c>
      <c r="K6514" t="s">
        <v>42730</v>
      </c>
      <c r="M6514" t="s">
        <v>45461</v>
      </c>
      <c r="N6514" t="s">
        <v>47424</v>
      </c>
      <c r="O6514" t="s">
        <v>47425</v>
      </c>
      <c r="P6514">
        <v>0</v>
      </c>
      <c r="Q6514">
        <v>0</v>
      </c>
      <c r="R6514" t="s">
        <v>47431</v>
      </c>
      <c r="S6514" t="s">
        <v>47565</v>
      </c>
      <c r="T6514" t="s">
        <v>49214</v>
      </c>
      <c r="U6514" t="s">
        <v>55181</v>
      </c>
      <c r="W6514" t="s">
        <v>45461</v>
      </c>
      <c r="X6514" t="s">
        <v>47432</v>
      </c>
    </row>
    <row r="6515" spans="1:24">
      <c r="A6515">
        <f>HYPERLINK("https://www.philgeps.gov.ph/GEPSNONPILOT/Tender/SplashBidNoticeAbstractUI.aspx?menuIndex=3&amp;refID=7156025&amp;Result=3","7156025")</f>
        <v>0</v>
      </c>
      <c r="B6515" t="s">
        <v>2310</v>
      </c>
      <c r="C6515" t="s">
        <v>10042</v>
      </c>
      <c r="D6515" t="s">
        <v>19028</v>
      </c>
      <c r="E6515" t="s">
        <v>24784</v>
      </c>
      <c r="F6515" t="s">
        <v>32831</v>
      </c>
      <c r="G6515" t="s">
        <v>32839</v>
      </c>
      <c r="H6515" t="s">
        <v>32849</v>
      </c>
      <c r="I6515" t="s">
        <v>4177</v>
      </c>
      <c r="J6515" t="s">
        <v>33118</v>
      </c>
      <c r="K6515" t="s">
        <v>42763</v>
      </c>
      <c r="M6515" t="s">
        <v>45495</v>
      </c>
      <c r="N6515" t="s">
        <v>47424</v>
      </c>
      <c r="O6515" t="s">
        <v>47425</v>
      </c>
      <c r="P6515">
        <v>0</v>
      </c>
      <c r="Q6515">
        <v>0</v>
      </c>
      <c r="R6515" t="s">
        <v>47431</v>
      </c>
      <c r="S6515" t="s">
        <v>47565</v>
      </c>
      <c r="T6515" t="s">
        <v>49319</v>
      </c>
      <c r="U6515" t="s">
        <v>55097</v>
      </c>
      <c r="V6515" t="s">
        <v>63346</v>
      </c>
      <c r="W6515" t="s">
        <v>45495</v>
      </c>
      <c r="X6515" t="s">
        <v>47432</v>
      </c>
    </row>
    <row r="6516" spans="1:24">
      <c r="A6516">
        <f>HYPERLINK("https://www.philgeps.gov.ph/GEPSNONPILOT/Tender/SplashBidNoticeAbstractUI.aspx?menuIndex=3&amp;refID=7156022&amp;Result=3","7156022")</f>
        <v>0</v>
      </c>
      <c r="B6516" t="s">
        <v>1130</v>
      </c>
      <c r="C6516" t="s">
        <v>10043</v>
      </c>
      <c r="D6516" t="s">
        <v>19045</v>
      </c>
      <c r="E6516" t="s">
        <v>24785</v>
      </c>
      <c r="F6516" t="s">
        <v>32831</v>
      </c>
      <c r="G6516" t="s">
        <v>32839</v>
      </c>
      <c r="H6516" t="s">
        <v>32849</v>
      </c>
      <c r="I6516" t="s">
        <v>4177</v>
      </c>
      <c r="J6516" t="s">
        <v>37099</v>
      </c>
      <c r="K6516" t="s">
        <v>42781</v>
      </c>
      <c r="M6516" t="s">
        <v>45442</v>
      </c>
      <c r="N6516" t="s">
        <v>47424</v>
      </c>
      <c r="O6516" t="s">
        <v>47425</v>
      </c>
      <c r="P6516">
        <v>0</v>
      </c>
      <c r="Q6516">
        <v>1</v>
      </c>
      <c r="R6516" t="s">
        <v>47431</v>
      </c>
      <c r="S6516" t="s">
        <v>47565</v>
      </c>
      <c r="T6516" t="s">
        <v>49188</v>
      </c>
      <c r="U6516" t="s">
        <v>55120</v>
      </c>
      <c r="V6516" t="s">
        <v>63325</v>
      </c>
      <c r="W6516" t="s">
        <v>45442</v>
      </c>
      <c r="X6516" t="s">
        <v>47432</v>
      </c>
    </row>
    <row r="6517" spans="1:24">
      <c r="A6517">
        <f>HYPERLINK("https://www.philgeps.gov.ph/GEPSNONPILOT/Tender/SplashBidNoticeAbstractUI.aspx?menuIndex=3&amp;refID=7155998&amp;Result=3","7155998")</f>
        <v>0</v>
      </c>
      <c r="B6517" t="s">
        <v>1824</v>
      </c>
      <c r="C6517" t="s">
        <v>10044</v>
      </c>
      <c r="D6517" t="s">
        <v>19042</v>
      </c>
      <c r="E6517" t="s">
        <v>24786</v>
      </c>
      <c r="F6517" t="s">
        <v>32831</v>
      </c>
      <c r="G6517" t="s">
        <v>32838</v>
      </c>
      <c r="H6517" t="s">
        <v>32848</v>
      </c>
      <c r="I6517" t="s">
        <v>4471</v>
      </c>
      <c r="J6517" t="s">
        <v>33218</v>
      </c>
      <c r="K6517" t="s">
        <v>42731</v>
      </c>
      <c r="M6517" t="s">
        <v>44957</v>
      </c>
      <c r="N6517" t="s">
        <v>47424</v>
      </c>
      <c r="O6517" t="s">
        <v>47425</v>
      </c>
      <c r="P6517">
        <v>0</v>
      </c>
      <c r="Q6517">
        <v>1</v>
      </c>
      <c r="R6517" t="s">
        <v>47431</v>
      </c>
      <c r="S6517" t="s">
        <v>47565</v>
      </c>
      <c r="T6517" t="s">
        <v>49237</v>
      </c>
      <c r="U6517" t="s">
        <v>55182</v>
      </c>
      <c r="W6517" t="s">
        <v>44957</v>
      </c>
      <c r="X6517" t="s">
        <v>47432</v>
      </c>
    </row>
    <row r="6518" spans="1:24">
      <c r="A6518">
        <f>HYPERLINK("https://www.philgeps.gov.ph/GEPSNONPILOT/Tender/SplashBidNoticeAbstractUI.aspx?menuIndex=3&amp;refID=7156021&amp;Result=3","7156021")</f>
        <v>0</v>
      </c>
      <c r="B6518" t="s">
        <v>911</v>
      </c>
      <c r="C6518" t="s">
        <v>10045</v>
      </c>
      <c r="D6518" t="s">
        <v>19049</v>
      </c>
      <c r="E6518" t="s">
        <v>24787</v>
      </c>
      <c r="F6518" t="s">
        <v>32831</v>
      </c>
      <c r="G6518" t="s">
        <v>32838</v>
      </c>
      <c r="H6518" t="s">
        <v>32848</v>
      </c>
      <c r="I6518" t="s">
        <v>32867</v>
      </c>
      <c r="J6518" t="s">
        <v>35731</v>
      </c>
      <c r="K6518" t="s">
        <v>42727</v>
      </c>
      <c r="M6518" t="s">
        <v>43951</v>
      </c>
      <c r="N6518" t="s">
        <v>47424</v>
      </c>
      <c r="O6518" t="s">
        <v>47425</v>
      </c>
      <c r="P6518">
        <v>0</v>
      </c>
      <c r="Q6518">
        <v>1</v>
      </c>
      <c r="R6518" t="s">
        <v>47431</v>
      </c>
      <c r="S6518" t="s">
        <v>47565</v>
      </c>
      <c r="T6518" t="s">
        <v>49214</v>
      </c>
      <c r="U6518" t="s">
        <v>51540</v>
      </c>
      <c r="W6518" t="s">
        <v>43951</v>
      </c>
      <c r="X6518" t="s">
        <v>47432</v>
      </c>
    </row>
    <row r="6519" spans="1:24">
      <c r="A6519">
        <f>HYPERLINK("https://www.philgeps.gov.ph/GEPSNONPILOT/Tender/SplashBidNoticeAbstractUI.aspx?menuIndex=3&amp;refID=7155985&amp;Result=3","7155985")</f>
        <v>0</v>
      </c>
      <c r="B6519" t="s">
        <v>2336</v>
      </c>
      <c r="C6519" t="s">
        <v>10046</v>
      </c>
      <c r="D6519" t="s">
        <v>19045</v>
      </c>
      <c r="E6519" t="s">
        <v>19219</v>
      </c>
      <c r="F6519" t="s">
        <v>32831</v>
      </c>
      <c r="G6519" t="s">
        <v>32839</v>
      </c>
      <c r="H6519" t="s">
        <v>32849</v>
      </c>
      <c r="I6519" t="s">
        <v>4177</v>
      </c>
      <c r="J6519" t="s">
        <v>36779</v>
      </c>
      <c r="K6519" t="s">
        <v>42748</v>
      </c>
      <c r="M6519" t="s">
        <v>45523</v>
      </c>
      <c r="N6519" t="s">
        <v>47424</v>
      </c>
      <c r="O6519" t="s">
        <v>47425</v>
      </c>
      <c r="P6519">
        <v>0</v>
      </c>
      <c r="Q6519">
        <v>0</v>
      </c>
      <c r="R6519" t="s">
        <v>47431</v>
      </c>
      <c r="S6519" t="s">
        <v>47565</v>
      </c>
      <c r="T6519" t="s">
        <v>49137</v>
      </c>
      <c r="U6519" t="s">
        <v>55183</v>
      </c>
      <c r="W6519" t="s">
        <v>45523</v>
      </c>
      <c r="X6519" t="s">
        <v>47432</v>
      </c>
    </row>
    <row r="6520" spans="1:24">
      <c r="A6520">
        <f>HYPERLINK("https://www.philgeps.gov.ph/GEPSNONPILOT/Tender/SplashBidNoticeAbstractUI.aspx?menuIndex=3&amp;refID=7156019&amp;Result=3","7156019")</f>
        <v>0</v>
      </c>
      <c r="B6520" t="s">
        <v>2337</v>
      </c>
      <c r="C6520" t="s">
        <v>10047</v>
      </c>
      <c r="D6520" t="s">
        <v>19038</v>
      </c>
      <c r="E6520" t="s">
        <v>24788</v>
      </c>
      <c r="F6520" t="s">
        <v>32831</v>
      </c>
      <c r="G6520" t="s">
        <v>32838</v>
      </c>
      <c r="H6520" t="s">
        <v>32848</v>
      </c>
      <c r="I6520" t="s">
        <v>4438</v>
      </c>
      <c r="J6520" t="s">
        <v>37100</v>
      </c>
      <c r="K6520" t="s">
        <v>42727</v>
      </c>
      <c r="M6520" t="s">
        <v>45524</v>
      </c>
      <c r="N6520" t="s">
        <v>47424</v>
      </c>
      <c r="O6520" t="s">
        <v>47425</v>
      </c>
      <c r="P6520">
        <v>0</v>
      </c>
      <c r="Q6520">
        <v>1</v>
      </c>
      <c r="R6520" t="s">
        <v>47431</v>
      </c>
      <c r="S6520" t="s">
        <v>47565</v>
      </c>
      <c r="T6520" t="s">
        <v>49166</v>
      </c>
      <c r="U6520" t="s">
        <v>55184</v>
      </c>
      <c r="W6520" t="s">
        <v>45524</v>
      </c>
      <c r="X6520" t="s">
        <v>47432</v>
      </c>
    </row>
    <row r="6521" spans="1:24">
      <c r="A6521">
        <f>HYPERLINK("https://www.philgeps.gov.ph/GEPSNONPILOT/Tender/SplashBidNoticeAbstractUI.aspx?menuIndex=3&amp;refID=7155991&amp;Result=3","7155991")</f>
        <v>0</v>
      </c>
      <c r="B6521" t="s">
        <v>2337</v>
      </c>
      <c r="C6521" t="s">
        <v>10048</v>
      </c>
      <c r="D6521" t="s">
        <v>19038</v>
      </c>
      <c r="E6521" t="s">
        <v>24789</v>
      </c>
      <c r="F6521" t="s">
        <v>32831</v>
      </c>
      <c r="G6521" t="s">
        <v>32839</v>
      </c>
      <c r="H6521" t="s">
        <v>32848</v>
      </c>
      <c r="I6521" t="s">
        <v>32856</v>
      </c>
      <c r="J6521" t="s">
        <v>37101</v>
      </c>
      <c r="K6521" t="s">
        <v>42730</v>
      </c>
      <c r="M6521" t="s">
        <v>45524</v>
      </c>
      <c r="N6521" t="s">
        <v>47424</v>
      </c>
      <c r="O6521" t="s">
        <v>47425</v>
      </c>
      <c r="P6521">
        <v>0</v>
      </c>
      <c r="Q6521">
        <v>3</v>
      </c>
      <c r="R6521" t="s">
        <v>47431</v>
      </c>
      <c r="S6521" t="s">
        <v>47565</v>
      </c>
      <c r="T6521" t="s">
        <v>49104</v>
      </c>
      <c r="U6521" t="s">
        <v>55185</v>
      </c>
      <c r="W6521" t="s">
        <v>45524</v>
      </c>
      <c r="X6521" t="s">
        <v>47432</v>
      </c>
    </row>
    <row r="6522" spans="1:24">
      <c r="A6522">
        <f>HYPERLINK("https://www.philgeps.gov.ph/GEPSNONPILOT/Tender/SplashBidNoticeAbstractUI.aspx?menuIndex=3&amp;refID=7156016&amp;Result=3","7156016")</f>
        <v>0</v>
      </c>
      <c r="B6522" t="s">
        <v>316</v>
      </c>
      <c r="C6522" t="s">
        <v>5790</v>
      </c>
      <c r="D6522" t="s">
        <v>19023</v>
      </c>
      <c r="E6522" t="s">
        <v>19933</v>
      </c>
      <c r="F6522" t="s">
        <v>32831</v>
      </c>
      <c r="G6522" t="s">
        <v>32840</v>
      </c>
      <c r="H6522" t="s">
        <v>32848</v>
      </c>
      <c r="I6522" t="s">
        <v>4438</v>
      </c>
      <c r="J6522" t="s">
        <v>37102</v>
      </c>
      <c r="K6522" t="s">
        <v>42730</v>
      </c>
      <c r="M6522" t="s">
        <v>43795</v>
      </c>
      <c r="N6522" t="s">
        <v>47424</v>
      </c>
      <c r="O6522" t="s">
        <v>47425</v>
      </c>
      <c r="P6522">
        <v>0</v>
      </c>
      <c r="Q6522">
        <v>1</v>
      </c>
      <c r="R6522" t="s">
        <v>47431</v>
      </c>
      <c r="S6522" t="s">
        <v>47565</v>
      </c>
      <c r="T6522" t="s">
        <v>49056</v>
      </c>
      <c r="U6522" t="s">
        <v>51090</v>
      </c>
      <c r="V6522" t="s">
        <v>62802</v>
      </c>
      <c r="W6522" t="s">
        <v>43795</v>
      </c>
      <c r="X6522" t="s">
        <v>47432</v>
      </c>
    </row>
    <row r="6523" spans="1:24">
      <c r="A6523">
        <f>HYPERLINK("https://www.philgeps.gov.ph/GEPSNONPILOT/Tender/SplashBidNoticeAbstractUI.aspx?menuIndex=3&amp;refID=7156015&amp;Result=3","7156015")</f>
        <v>0</v>
      </c>
      <c r="B6523" t="s">
        <v>1940</v>
      </c>
      <c r="C6523" t="s">
        <v>5029</v>
      </c>
      <c r="D6523" t="s">
        <v>19085</v>
      </c>
      <c r="E6523" t="s">
        <v>24770</v>
      </c>
      <c r="F6523" t="s">
        <v>32831</v>
      </c>
      <c r="G6523" t="s">
        <v>32838</v>
      </c>
      <c r="H6523" t="s">
        <v>32848</v>
      </c>
      <c r="I6523" t="s">
        <v>9577</v>
      </c>
      <c r="J6523" t="s">
        <v>37103</v>
      </c>
      <c r="K6523" t="s">
        <v>42726</v>
      </c>
      <c r="M6523" t="s">
        <v>45095</v>
      </c>
      <c r="N6523" t="s">
        <v>47424</v>
      </c>
      <c r="O6523" t="s">
        <v>47425</v>
      </c>
      <c r="P6523">
        <v>0</v>
      </c>
      <c r="Q6523">
        <v>0</v>
      </c>
      <c r="R6523" t="s">
        <v>47431</v>
      </c>
      <c r="S6523" t="s">
        <v>47565</v>
      </c>
      <c r="T6523" t="s">
        <v>49123</v>
      </c>
      <c r="U6523" t="s">
        <v>55186</v>
      </c>
      <c r="W6523" t="s">
        <v>45095</v>
      </c>
      <c r="X6523" t="s">
        <v>47432</v>
      </c>
    </row>
    <row r="6524" spans="1:24">
      <c r="A6524">
        <f>HYPERLINK("https://www.philgeps.gov.ph/GEPSNONPILOT/Tender/SplashBidNoticeAbstractUI.aspx?menuIndex=3&amp;refID=7156020&amp;Result=3","7156020")</f>
        <v>0</v>
      </c>
      <c r="B6524" t="s">
        <v>164</v>
      </c>
      <c r="C6524" t="s">
        <v>10049</v>
      </c>
      <c r="E6524" t="s">
        <v>23547</v>
      </c>
      <c r="F6524" t="s">
        <v>32831</v>
      </c>
      <c r="G6524" t="s">
        <v>32838</v>
      </c>
      <c r="H6524" t="s">
        <v>32848</v>
      </c>
      <c r="I6524" t="s">
        <v>7416</v>
      </c>
      <c r="J6524" t="s">
        <v>37104</v>
      </c>
      <c r="K6524" t="s">
        <v>42732</v>
      </c>
      <c r="M6524" t="s">
        <v>43161</v>
      </c>
      <c r="N6524" t="s">
        <v>47424</v>
      </c>
      <c r="O6524" t="s">
        <v>47425</v>
      </c>
      <c r="P6524">
        <v>0</v>
      </c>
      <c r="Q6524">
        <v>1</v>
      </c>
      <c r="R6524" t="s">
        <v>47431</v>
      </c>
      <c r="S6524" t="s">
        <v>47565</v>
      </c>
      <c r="T6524" t="s">
        <v>49237</v>
      </c>
      <c r="U6524" t="s">
        <v>55187</v>
      </c>
      <c r="W6524" t="s">
        <v>43161</v>
      </c>
      <c r="X6524" t="s">
        <v>47432</v>
      </c>
    </row>
    <row r="6525" spans="1:24">
      <c r="A6525">
        <f>HYPERLINK("https://www.philgeps.gov.ph/GEPSNONPILOT/Tender/SplashBidNoticeAbstractUI.aspx?menuIndex=3&amp;refID=7156013&amp;Result=3","7156013")</f>
        <v>0</v>
      </c>
      <c r="B6525" t="s">
        <v>2291</v>
      </c>
      <c r="C6525" t="s">
        <v>10050</v>
      </c>
      <c r="D6525" t="s">
        <v>19078</v>
      </c>
      <c r="E6525" t="s">
        <v>24790</v>
      </c>
      <c r="F6525" t="s">
        <v>32831</v>
      </c>
      <c r="G6525" t="s">
        <v>32839</v>
      </c>
      <c r="H6525" t="s">
        <v>32848</v>
      </c>
      <c r="I6525" t="s">
        <v>10888</v>
      </c>
      <c r="J6525" t="s">
        <v>37105</v>
      </c>
      <c r="K6525" t="s">
        <v>42735</v>
      </c>
      <c r="M6525" t="s">
        <v>45475</v>
      </c>
      <c r="N6525" t="s">
        <v>47424</v>
      </c>
      <c r="O6525" t="s">
        <v>47425</v>
      </c>
      <c r="P6525">
        <v>0</v>
      </c>
      <c r="Q6525">
        <v>7</v>
      </c>
      <c r="R6525" t="s">
        <v>47431</v>
      </c>
      <c r="S6525" t="s">
        <v>47565</v>
      </c>
      <c r="T6525" t="s">
        <v>49452</v>
      </c>
      <c r="U6525" t="s">
        <v>55188</v>
      </c>
      <c r="W6525" t="s">
        <v>45475</v>
      </c>
      <c r="X6525" t="s">
        <v>47432</v>
      </c>
    </row>
    <row r="6526" spans="1:24">
      <c r="A6526">
        <f>HYPERLINK("https://www.philgeps.gov.ph/GEPSNONPILOT/Tender/SplashBidNoticeAbstractUI.aspx?menuIndex=3&amp;refID=7155864&amp;Result=3","7155864")</f>
        <v>0</v>
      </c>
      <c r="B6526" t="s">
        <v>747</v>
      </c>
      <c r="C6526" t="s">
        <v>10051</v>
      </c>
      <c r="D6526" t="s">
        <v>19041</v>
      </c>
      <c r="E6526" t="s">
        <v>24791</v>
      </c>
      <c r="F6526" t="s">
        <v>32831</v>
      </c>
      <c r="G6526" t="s">
        <v>32839</v>
      </c>
      <c r="H6526" t="s">
        <v>32848</v>
      </c>
      <c r="I6526" t="s">
        <v>7416</v>
      </c>
      <c r="J6526" t="s">
        <v>37106</v>
      </c>
      <c r="K6526" t="s">
        <v>42727</v>
      </c>
      <c r="M6526" t="s">
        <v>43770</v>
      </c>
      <c r="N6526" t="s">
        <v>47424</v>
      </c>
      <c r="O6526" t="s">
        <v>47425</v>
      </c>
      <c r="P6526">
        <v>0</v>
      </c>
      <c r="Q6526">
        <v>0</v>
      </c>
      <c r="R6526" t="s">
        <v>47431</v>
      </c>
      <c r="S6526" t="s">
        <v>47565</v>
      </c>
      <c r="T6526" t="s">
        <v>49125</v>
      </c>
      <c r="U6526" t="s">
        <v>51096</v>
      </c>
      <c r="W6526" t="s">
        <v>43770</v>
      </c>
      <c r="X6526" t="s">
        <v>47432</v>
      </c>
    </row>
    <row r="6527" spans="1:24">
      <c r="A6527">
        <f>HYPERLINK("https://www.philgeps.gov.ph/GEPSNONPILOT/Tender/SplashBidNoticeAbstractUI.aspx?menuIndex=3&amp;refID=7156009&amp;Result=3","7156009")</f>
        <v>0</v>
      </c>
      <c r="B6527" t="s">
        <v>789</v>
      </c>
      <c r="C6527" t="s">
        <v>10052</v>
      </c>
      <c r="D6527" t="s">
        <v>19031</v>
      </c>
      <c r="E6527" t="s">
        <v>24792</v>
      </c>
      <c r="F6527" t="s">
        <v>32831</v>
      </c>
      <c r="G6527" t="s">
        <v>32838</v>
      </c>
      <c r="H6527" t="s">
        <v>32848</v>
      </c>
      <c r="I6527" t="s">
        <v>32870</v>
      </c>
      <c r="J6527" t="s">
        <v>37107</v>
      </c>
      <c r="K6527" t="s">
        <v>42745</v>
      </c>
      <c r="M6527" t="s">
        <v>43819</v>
      </c>
      <c r="N6527" t="s">
        <v>47424</v>
      </c>
      <c r="O6527" t="s">
        <v>47425</v>
      </c>
      <c r="P6527">
        <v>0</v>
      </c>
      <c r="Q6527">
        <v>0</v>
      </c>
      <c r="R6527" t="s">
        <v>47431</v>
      </c>
      <c r="S6527" t="s">
        <v>47565</v>
      </c>
      <c r="T6527" t="s">
        <v>49239</v>
      </c>
      <c r="U6527" t="s">
        <v>55189</v>
      </c>
      <c r="W6527" t="s">
        <v>43819</v>
      </c>
      <c r="X6527" t="s">
        <v>47432</v>
      </c>
    </row>
    <row r="6528" spans="1:24">
      <c r="A6528">
        <f>HYPERLINK("https://www.philgeps.gov.ph/GEPSNONPILOT/Tender/SplashBidNoticeAbstractUI.aspx?menuIndex=3&amp;refID=7156018&amp;Result=3","7156018")</f>
        <v>0</v>
      </c>
      <c r="B6528" t="s">
        <v>674</v>
      </c>
      <c r="C6528" t="s">
        <v>10053</v>
      </c>
      <c r="D6528" t="s">
        <v>19058</v>
      </c>
      <c r="E6528" t="s">
        <v>24793</v>
      </c>
      <c r="F6528" t="s">
        <v>32831</v>
      </c>
      <c r="G6528" t="s">
        <v>32838</v>
      </c>
      <c r="H6528" t="s">
        <v>32848</v>
      </c>
      <c r="I6528" t="s">
        <v>32852</v>
      </c>
      <c r="J6528" t="s">
        <v>33758</v>
      </c>
      <c r="K6528" t="s">
        <v>42732</v>
      </c>
      <c r="M6528" t="s">
        <v>44520</v>
      </c>
      <c r="N6528" t="s">
        <v>47424</v>
      </c>
      <c r="O6528" t="s">
        <v>47425</v>
      </c>
      <c r="P6528">
        <v>0</v>
      </c>
      <c r="Q6528">
        <v>4</v>
      </c>
      <c r="R6528" t="s">
        <v>47431</v>
      </c>
      <c r="S6528" t="s">
        <v>47565</v>
      </c>
      <c r="T6528" t="s">
        <v>49237</v>
      </c>
      <c r="U6528" t="s">
        <v>55190</v>
      </c>
      <c r="W6528" t="s">
        <v>44520</v>
      </c>
      <c r="X6528" t="s">
        <v>47432</v>
      </c>
    </row>
    <row r="6529" spans="1:24">
      <c r="A6529">
        <f>HYPERLINK("https://www.philgeps.gov.ph/GEPSNONPILOT/Tender/SplashBidNoticeAbstractUI.aspx?menuIndex=3&amp;refID=7156023&amp;Result=3","7156023")</f>
        <v>0</v>
      </c>
      <c r="B6529" t="s">
        <v>950</v>
      </c>
      <c r="C6529" t="s">
        <v>10054</v>
      </c>
      <c r="D6529" t="s">
        <v>19100</v>
      </c>
      <c r="E6529" t="s">
        <v>24794</v>
      </c>
      <c r="F6529" t="s">
        <v>32831</v>
      </c>
      <c r="G6529" t="s">
        <v>32841</v>
      </c>
      <c r="H6529" t="s">
        <v>32848</v>
      </c>
      <c r="I6529" t="s">
        <v>32882</v>
      </c>
      <c r="J6529" t="s">
        <v>33067</v>
      </c>
      <c r="K6529" t="s">
        <v>42730</v>
      </c>
      <c r="M6529" t="s">
        <v>44404</v>
      </c>
      <c r="N6529" t="s">
        <v>47424</v>
      </c>
      <c r="O6529" t="s">
        <v>47425</v>
      </c>
      <c r="P6529">
        <v>0</v>
      </c>
      <c r="Q6529">
        <v>0</v>
      </c>
      <c r="R6529" t="s">
        <v>47431</v>
      </c>
      <c r="S6529" t="s">
        <v>47565</v>
      </c>
      <c r="T6529" t="s">
        <v>49239</v>
      </c>
      <c r="U6529" t="s">
        <v>55191</v>
      </c>
      <c r="W6529" t="s">
        <v>44404</v>
      </c>
      <c r="X6529" t="s">
        <v>47432</v>
      </c>
    </row>
    <row r="6530" spans="1:24">
      <c r="A6530">
        <f>HYPERLINK("https://www.philgeps.gov.ph/GEPSNONPILOT/Tender/SplashBidNoticeAbstractUI.aspx?menuIndex=3&amp;refID=7156007&amp;Result=3","7156007")</f>
        <v>0</v>
      </c>
      <c r="B6530" t="s">
        <v>2310</v>
      </c>
      <c r="C6530" t="s">
        <v>10055</v>
      </c>
      <c r="D6530" t="s">
        <v>19028</v>
      </c>
      <c r="E6530" t="s">
        <v>24795</v>
      </c>
      <c r="F6530" t="s">
        <v>32831</v>
      </c>
      <c r="G6530" t="s">
        <v>32839</v>
      </c>
      <c r="H6530" t="s">
        <v>32849</v>
      </c>
      <c r="I6530" t="s">
        <v>4177</v>
      </c>
      <c r="J6530" t="s">
        <v>33118</v>
      </c>
      <c r="K6530" t="s">
        <v>42730</v>
      </c>
      <c r="M6530" t="s">
        <v>45495</v>
      </c>
      <c r="N6530" t="s">
        <v>47424</v>
      </c>
      <c r="O6530" t="s">
        <v>47425</v>
      </c>
      <c r="P6530">
        <v>0</v>
      </c>
      <c r="Q6530">
        <v>1</v>
      </c>
      <c r="R6530" t="s">
        <v>47431</v>
      </c>
      <c r="S6530" t="s">
        <v>47565</v>
      </c>
      <c r="T6530" t="s">
        <v>49319</v>
      </c>
      <c r="U6530" t="s">
        <v>55097</v>
      </c>
      <c r="V6530" t="s">
        <v>63346</v>
      </c>
      <c r="W6530" t="s">
        <v>45495</v>
      </c>
      <c r="X6530" t="s">
        <v>47432</v>
      </c>
    </row>
    <row r="6531" spans="1:24">
      <c r="A6531">
        <f>HYPERLINK("https://www.philgeps.gov.ph/GEPSNONPILOT/Tender/SplashBidNoticeAbstractUI.aspx?menuIndex=3&amp;refID=7156003&amp;Result=3","7156003")</f>
        <v>0</v>
      </c>
      <c r="B6531" t="s">
        <v>1130</v>
      </c>
      <c r="C6531" t="s">
        <v>10056</v>
      </c>
      <c r="D6531" t="s">
        <v>19045</v>
      </c>
      <c r="E6531" t="s">
        <v>24796</v>
      </c>
      <c r="F6531" t="s">
        <v>32831</v>
      </c>
      <c r="G6531" t="s">
        <v>32839</v>
      </c>
      <c r="H6531" t="s">
        <v>32849</v>
      </c>
      <c r="I6531" t="s">
        <v>4177</v>
      </c>
      <c r="J6531" t="s">
        <v>37108</v>
      </c>
      <c r="K6531" t="s">
        <v>42729</v>
      </c>
      <c r="M6531" t="s">
        <v>45442</v>
      </c>
      <c r="N6531" t="s">
        <v>47424</v>
      </c>
      <c r="O6531" t="s">
        <v>47425</v>
      </c>
      <c r="P6531">
        <v>0</v>
      </c>
      <c r="Q6531">
        <v>1</v>
      </c>
      <c r="R6531" t="s">
        <v>47431</v>
      </c>
      <c r="S6531" t="s">
        <v>47565</v>
      </c>
      <c r="T6531" t="s">
        <v>49188</v>
      </c>
      <c r="U6531" t="s">
        <v>55120</v>
      </c>
      <c r="V6531" t="s">
        <v>63325</v>
      </c>
      <c r="W6531" t="s">
        <v>45442</v>
      </c>
      <c r="X6531" t="s">
        <v>47432</v>
      </c>
    </row>
    <row r="6532" spans="1:24">
      <c r="A6532">
        <f>HYPERLINK("https://www.philgeps.gov.ph/GEPSNONPILOT/Tender/SplashBidNoticeAbstractUI.aspx?menuIndex=3&amp;refID=7156011&amp;Result=3","7156011")</f>
        <v>0</v>
      </c>
      <c r="B6532" t="s">
        <v>2338</v>
      </c>
      <c r="C6532" t="s">
        <v>10057</v>
      </c>
      <c r="D6532" t="s">
        <v>19049</v>
      </c>
      <c r="E6532" t="s">
        <v>24797</v>
      </c>
      <c r="F6532" t="s">
        <v>32831</v>
      </c>
      <c r="G6532" t="s">
        <v>32839</v>
      </c>
      <c r="H6532" t="s">
        <v>32849</v>
      </c>
      <c r="I6532" t="s">
        <v>4177</v>
      </c>
      <c r="J6532" t="s">
        <v>33087</v>
      </c>
      <c r="K6532" t="s">
        <v>42763</v>
      </c>
      <c r="M6532" t="s">
        <v>45525</v>
      </c>
      <c r="N6532" t="s">
        <v>47424</v>
      </c>
      <c r="O6532" t="s">
        <v>47425</v>
      </c>
      <c r="P6532">
        <v>0</v>
      </c>
      <c r="Q6532">
        <v>0</v>
      </c>
      <c r="R6532" t="s">
        <v>47431</v>
      </c>
      <c r="S6532" t="s">
        <v>47565</v>
      </c>
      <c r="T6532" t="s">
        <v>49325</v>
      </c>
      <c r="U6532" t="s">
        <v>55192</v>
      </c>
      <c r="V6532" t="s">
        <v>63352</v>
      </c>
      <c r="W6532" t="s">
        <v>45525</v>
      </c>
      <c r="X6532" t="s">
        <v>47432</v>
      </c>
    </row>
    <row r="6533" spans="1:24">
      <c r="A6533">
        <f>HYPERLINK("https://www.philgeps.gov.ph/GEPSNONPILOT/Tender/SplashBidNoticeAbstractUI.aspx?menuIndex=3&amp;refID=7155862&amp;Result=3","7155862")</f>
        <v>0</v>
      </c>
      <c r="B6533" t="s">
        <v>2339</v>
      </c>
      <c r="C6533" t="s">
        <v>10058</v>
      </c>
      <c r="D6533" t="s">
        <v>19034</v>
      </c>
      <c r="E6533" t="s">
        <v>24798</v>
      </c>
      <c r="F6533" t="s">
        <v>32831</v>
      </c>
      <c r="G6533" t="s">
        <v>32839</v>
      </c>
      <c r="H6533" t="s">
        <v>14069</v>
      </c>
      <c r="I6533" t="s">
        <v>14069</v>
      </c>
      <c r="J6533" t="s">
        <v>33032</v>
      </c>
      <c r="K6533" t="s">
        <v>42747</v>
      </c>
      <c r="M6533" t="s">
        <v>45526</v>
      </c>
      <c r="N6533" t="s">
        <v>47424</v>
      </c>
      <c r="O6533" t="s">
        <v>47425</v>
      </c>
      <c r="P6533">
        <v>0</v>
      </c>
      <c r="Q6533">
        <v>1</v>
      </c>
      <c r="R6533" t="s">
        <v>47431</v>
      </c>
      <c r="S6533" t="s">
        <v>47565</v>
      </c>
      <c r="T6533" t="s">
        <v>49142</v>
      </c>
      <c r="U6533" t="s">
        <v>55193</v>
      </c>
      <c r="V6533" t="s">
        <v>63353</v>
      </c>
      <c r="W6533" t="s">
        <v>45526</v>
      </c>
      <c r="X6533" t="s">
        <v>47432</v>
      </c>
    </row>
    <row r="6534" spans="1:24">
      <c r="A6534">
        <f>HYPERLINK("https://www.philgeps.gov.ph/GEPSNONPILOT/Tender/SplashBidNoticeAbstractUI.aspx?menuIndex=3&amp;refID=7155748&amp;Result=3","7155748")</f>
        <v>0</v>
      </c>
      <c r="B6534" t="s">
        <v>661</v>
      </c>
      <c r="C6534" t="s">
        <v>10059</v>
      </c>
      <c r="D6534" t="s">
        <v>19058</v>
      </c>
      <c r="E6534" t="s">
        <v>24799</v>
      </c>
      <c r="F6534" t="s">
        <v>32831</v>
      </c>
      <c r="G6534" t="s">
        <v>32839</v>
      </c>
      <c r="H6534" t="s">
        <v>32848</v>
      </c>
      <c r="I6534" t="s">
        <v>7416</v>
      </c>
      <c r="J6534" t="s">
        <v>37109</v>
      </c>
      <c r="K6534" t="s">
        <v>42731</v>
      </c>
      <c r="M6534" t="s">
        <v>43679</v>
      </c>
      <c r="N6534" t="s">
        <v>47424</v>
      </c>
      <c r="O6534" t="s">
        <v>47425</v>
      </c>
      <c r="P6534">
        <v>0</v>
      </c>
      <c r="Q6534">
        <v>0</v>
      </c>
      <c r="R6534" t="s">
        <v>47431</v>
      </c>
      <c r="S6534" t="s">
        <v>47565</v>
      </c>
      <c r="T6534" t="s">
        <v>49056</v>
      </c>
      <c r="U6534" t="s">
        <v>55051</v>
      </c>
      <c r="W6534" t="s">
        <v>43679</v>
      </c>
      <c r="X6534" t="s">
        <v>47432</v>
      </c>
    </row>
    <row r="6535" spans="1:24">
      <c r="A6535">
        <f>HYPERLINK("https://www.philgeps.gov.ph/GEPSNONPILOT/Tender/SplashBidNoticeAbstractUI.aspx?menuIndex=3&amp;refID=7156010&amp;Result=3","7156010")</f>
        <v>0</v>
      </c>
      <c r="B6535" t="s">
        <v>2340</v>
      </c>
      <c r="C6535" t="s">
        <v>10060</v>
      </c>
      <c r="D6535" t="s">
        <v>19054</v>
      </c>
      <c r="E6535" t="s">
        <v>24800</v>
      </c>
      <c r="F6535" t="s">
        <v>32833</v>
      </c>
      <c r="G6535" t="s">
        <v>32840</v>
      </c>
      <c r="H6535" t="s">
        <v>32848</v>
      </c>
      <c r="I6535" t="s">
        <v>4487</v>
      </c>
      <c r="J6535" t="s">
        <v>33078</v>
      </c>
      <c r="K6535" t="s">
        <v>42730</v>
      </c>
      <c r="M6535" t="s">
        <v>45527</v>
      </c>
      <c r="N6535" t="s">
        <v>47424</v>
      </c>
      <c r="O6535" t="s">
        <v>47425</v>
      </c>
      <c r="P6535">
        <v>0</v>
      </c>
      <c r="Q6535">
        <v>2</v>
      </c>
      <c r="R6535" t="s">
        <v>47431</v>
      </c>
      <c r="S6535" t="s">
        <v>47565</v>
      </c>
      <c r="T6535" t="s">
        <v>49188</v>
      </c>
      <c r="U6535" t="s">
        <v>55194</v>
      </c>
      <c r="W6535" t="s">
        <v>45527</v>
      </c>
      <c r="X6535" t="s">
        <v>47432</v>
      </c>
    </row>
    <row r="6536" spans="1:24">
      <c r="A6536">
        <f>HYPERLINK("https://www.philgeps.gov.ph/GEPSNONPILOT/Tender/SplashBidNoticeAbstractUI.aspx?menuIndex=3&amp;refID=7155795&amp;Result=3","7155795")</f>
        <v>0</v>
      </c>
      <c r="B6536" t="s">
        <v>2341</v>
      </c>
      <c r="C6536" t="s">
        <v>10061</v>
      </c>
      <c r="D6536" t="s">
        <v>19027</v>
      </c>
      <c r="E6536" t="s">
        <v>24801</v>
      </c>
      <c r="F6536" t="s">
        <v>32831</v>
      </c>
      <c r="G6536" t="s">
        <v>32838</v>
      </c>
      <c r="H6536" t="s">
        <v>32848</v>
      </c>
      <c r="I6536" t="s">
        <v>32879</v>
      </c>
      <c r="J6536" t="s">
        <v>37110</v>
      </c>
      <c r="K6536" t="s">
        <v>42726</v>
      </c>
      <c r="M6536" t="s">
        <v>45528</v>
      </c>
      <c r="N6536" t="s">
        <v>47424</v>
      </c>
      <c r="O6536" t="s">
        <v>47425</v>
      </c>
      <c r="P6536">
        <v>0</v>
      </c>
      <c r="Q6536">
        <v>0</v>
      </c>
      <c r="R6536" t="s">
        <v>47431</v>
      </c>
      <c r="S6536" t="s">
        <v>47565</v>
      </c>
      <c r="T6536" t="s">
        <v>49141</v>
      </c>
      <c r="U6536" t="s">
        <v>55195</v>
      </c>
      <c r="W6536" t="s">
        <v>45528</v>
      </c>
      <c r="X6536" t="s">
        <v>47432</v>
      </c>
    </row>
    <row r="6537" spans="1:24">
      <c r="A6537">
        <f>HYPERLINK("https://www.philgeps.gov.ph/GEPSNONPILOT/Tender/SplashBidNoticeAbstractUI.aspx?menuIndex=3&amp;refID=7156005&amp;Result=3","7156005")</f>
        <v>0</v>
      </c>
      <c r="B6537" t="s">
        <v>2342</v>
      </c>
      <c r="C6537" t="s">
        <v>10062</v>
      </c>
      <c r="D6537" t="s">
        <v>19044</v>
      </c>
      <c r="E6537" t="s">
        <v>24802</v>
      </c>
      <c r="F6537" t="s">
        <v>32831</v>
      </c>
      <c r="G6537" t="s">
        <v>32839</v>
      </c>
      <c r="H6537" t="s">
        <v>32849</v>
      </c>
      <c r="I6537" t="s">
        <v>4177</v>
      </c>
      <c r="J6537" t="s">
        <v>37111</v>
      </c>
      <c r="K6537" t="s">
        <v>42729</v>
      </c>
      <c r="M6537" t="s">
        <v>45529</v>
      </c>
      <c r="N6537" t="s">
        <v>47424</v>
      </c>
      <c r="O6537" t="s">
        <v>47425</v>
      </c>
      <c r="P6537">
        <v>0</v>
      </c>
      <c r="Q6537">
        <v>0</v>
      </c>
      <c r="R6537" t="s">
        <v>47431</v>
      </c>
      <c r="S6537" t="s">
        <v>47565</v>
      </c>
      <c r="T6537" t="s">
        <v>49106</v>
      </c>
      <c r="U6537" t="s">
        <v>55196</v>
      </c>
      <c r="W6537" t="s">
        <v>45529</v>
      </c>
      <c r="X6537" t="s">
        <v>47432</v>
      </c>
    </row>
    <row r="6538" spans="1:24">
      <c r="A6538">
        <f>HYPERLINK("https://www.philgeps.gov.ph/GEPSNONPILOT/Tender/SplashBidNoticeAbstractUI.aspx?menuIndex=3&amp;refID=7155751&amp;Result=3","7155751")</f>
        <v>0</v>
      </c>
      <c r="B6538" t="s">
        <v>1629</v>
      </c>
      <c r="C6538" t="s">
        <v>10063</v>
      </c>
      <c r="D6538" t="s">
        <v>19021</v>
      </c>
      <c r="E6538" t="s">
        <v>24803</v>
      </c>
      <c r="F6538" t="s">
        <v>32831</v>
      </c>
      <c r="G6538" t="s">
        <v>32840</v>
      </c>
      <c r="H6538" t="s">
        <v>32848</v>
      </c>
      <c r="I6538" t="s">
        <v>7416</v>
      </c>
      <c r="J6538" t="s">
        <v>37112</v>
      </c>
      <c r="K6538" t="s">
        <v>42732</v>
      </c>
      <c r="M6538" t="s">
        <v>44745</v>
      </c>
      <c r="N6538" t="s">
        <v>47424</v>
      </c>
      <c r="O6538" t="s">
        <v>47425</v>
      </c>
      <c r="P6538">
        <v>0</v>
      </c>
      <c r="Q6538">
        <v>0</v>
      </c>
      <c r="R6538" t="s">
        <v>47431</v>
      </c>
      <c r="S6538" t="s">
        <v>47565</v>
      </c>
      <c r="T6538" t="s">
        <v>49163</v>
      </c>
      <c r="U6538" t="s">
        <v>53949</v>
      </c>
      <c r="V6538" t="s">
        <v>63069</v>
      </c>
      <c r="W6538" t="s">
        <v>44745</v>
      </c>
      <c r="X6538" t="s">
        <v>47432</v>
      </c>
    </row>
    <row r="6539" spans="1:24">
      <c r="A6539">
        <f>HYPERLINK("https://www.philgeps.gov.ph/GEPSNONPILOT/Tender/SplashBidNoticeAbstractUI.aspx?menuIndex=3&amp;refID=7155714&amp;Result=3","7155714")</f>
        <v>0</v>
      </c>
      <c r="B6539" t="s">
        <v>2291</v>
      </c>
      <c r="C6539" t="s">
        <v>9913</v>
      </c>
      <c r="D6539" t="s">
        <v>19078</v>
      </c>
      <c r="E6539" t="s">
        <v>24804</v>
      </c>
      <c r="F6539" t="s">
        <v>32831</v>
      </c>
      <c r="G6539" t="s">
        <v>32838</v>
      </c>
      <c r="H6539" t="s">
        <v>32848</v>
      </c>
      <c r="I6539" t="s">
        <v>5379</v>
      </c>
      <c r="J6539" t="s">
        <v>33461</v>
      </c>
      <c r="K6539" t="s">
        <v>42726</v>
      </c>
      <c r="M6539" t="s">
        <v>45475</v>
      </c>
      <c r="N6539" t="s">
        <v>47424</v>
      </c>
      <c r="O6539" t="s">
        <v>47425</v>
      </c>
      <c r="P6539">
        <v>0</v>
      </c>
      <c r="Q6539">
        <v>0</v>
      </c>
      <c r="R6539" t="s">
        <v>47431</v>
      </c>
      <c r="S6539" t="s">
        <v>47565</v>
      </c>
      <c r="T6539" t="s">
        <v>49114</v>
      </c>
      <c r="U6539" t="s">
        <v>55197</v>
      </c>
      <c r="W6539" t="s">
        <v>45475</v>
      </c>
      <c r="X6539" t="s">
        <v>47432</v>
      </c>
    </row>
    <row r="6540" spans="1:24">
      <c r="A6540">
        <f>HYPERLINK("https://www.philgeps.gov.ph/GEPSNONPILOT/Tender/SplashBidNoticeAbstractUI.aspx?menuIndex=3&amp;refID=7155713&amp;Result=3","7155713")</f>
        <v>0</v>
      </c>
      <c r="B6540" t="s">
        <v>2343</v>
      </c>
      <c r="C6540" t="s">
        <v>10064</v>
      </c>
      <c r="D6540" t="s">
        <v>19032</v>
      </c>
      <c r="E6540" t="s">
        <v>19219</v>
      </c>
      <c r="F6540" t="s">
        <v>32831</v>
      </c>
      <c r="G6540" t="s">
        <v>32839</v>
      </c>
      <c r="H6540" t="s">
        <v>32848</v>
      </c>
      <c r="I6540" t="s">
        <v>7416</v>
      </c>
      <c r="J6540" t="s">
        <v>37113</v>
      </c>
      <c r="K6540" t="s">
        <v>42730</v>
      </c>
      <c r="M6540" t="s">
        <v>45530</v>
      </c>
      <c r="N6540" t="s">
        <v>47424</v>
      </c>
      <c r="O6540" t="s">
        <v>47425</v>
      </c>
      <c r="P6540">
        <v>0</v>
      </c>
      <c r="Q6540">
        <v>0</v>
      </c>
      <c r="R6540" t="s">
        <v>47431</v>
      </c>
      <c r="S6540" t="s">
        <v>47565</v>
      </c>
      <c r="T6540" t="s">
        <v>49056</v>
      </c>
      <c r="U6540" t="s">
        <v>55198</v>
      </c>
      <c r="W6540" t="s">
        <v>45530</v>
      </c>
      <c r="X6540" t="s">
        <v>47432</v>
      </c>
    </row>
    <row r="6541" spans="1:24">
      <c r="A6541">
        <f>HYPERLINK("https://www.philgeps.gov.ph/GEPSNONPILOT/Tender/SplashBidNoticeAbstractUI.aspx?menuIndex=3&amp;refID=7155710&amp;Result=3","7155710")</f>
        <v>0</v>
      </c>
      <c r="B6541" t="s">
        <v>485</v>
      </c>
      <c r="C6541" t="s">
        <v>10065</v>
      </c>
      <c r="D6541" t="s">
        <v>19032</v>
      </c>
      <c r="E6541" t="s">
        <v>21881</v>
      </c>
      <c r="F6541" t="s">
        <v>32831</v>
      </c>
      <c r="G6541" t="s">
        <v>32839</v>
      </c>
      <c r="H6541" t="s">
        <v>32848</v>
      </c>
      <c r="I6541" t="s">
        <v>32931</v>
      </c>
      <c r="J6541" t="s">
        <v>32985</v>
      </c>
      <c r="K6541" t="s">
        <v>42726</v>
      </c>
      <c r="M6541" t="s">
        <v>43490</v>
      </c>
      <c r="N6541" t="s">
        <v>47424</v>
      </c>
      <c r="O6541" t="s">
        <v>47425</v>
      </c>
      <c r="P6541">
        <v>0</v>
      </c>
      <c r="Q6541">
        <v>1</v>
      </c>
      <c r="R6541" t="s">
        <v>47431</v>
      </c>
      <c r="S6541" t="s">
        <v>47565</v>
      </c>
      <c r="T6541" t="s">
        <v>49458</v>
      </c>
      <c r="U6541" t="s">
        <v>55199</v>
      </c>
      <c r="V6541" t="s">
        <v>63354</v>
      </c>
      <c r="W6541" t="s">
        <v>43490</v>
      </c>
      <c r="X6541" t="s">
        <v>47432</v>
      </c>
    </row>
    <row r="6542" spans="1:24">
      <c r="A6542">
        <f>HYPERLINK("https://www.philgeps.gov.ph/GEPSNONPILOT/Tender/SplashBidNoticeAbstractUI.aspx?menuIndex=3&amp;refID=7155747&amp;Result=3","7155747")</f>
        <v>0</v>
      </c>
      <c r="B6542" t="s">
        <v>2133</v>
      </c>
      <c r="C6542" t="s">
        <v>10066</v>
      </c>
      <c r="D6542" t="s">
        <v>19077</v>
      </c>
      <c r="E6542" t="s">
        <v>24805</v>
      </c>
      <c r="F6542" t="s">
        <v>32831</v>
      </c>
      <c r="G6542" t="s">
        <v>32842</v>
      </c>
      <c r="H6542" t="s">
        <v>32848</v>
      </c>
      <c r="I6542" t="s">
        <v>32862</v>
      </c>
      <c r="J6542" t="s">
        <v>37114</v>
      </c>
      <c r="K6542" t="s">
        <v>42727</v>
      </c>
      <c r="M6542" t="s">
        <v>45309</v>
      </c>
      <c r="N6542" t="s">
        <v>47424</v>
      </c>
      <c r="O6542" t="s">
        <v>47425</v>
      </c>
      <c r="P6542">
        <v>0</v>
      </c>
      <c r="Q6542">
        <v>0</v>
      </c>
      <c r="R6542" t="s">
        <v>47431</v>
      </c>
      <c r="S6542" t="s">
        <v>47565</v>
      </c>
      <c r="T6542" t="s">
        <v>49100</v>
      </c>
      <c r="U6542" t="s">
        <v>55200</v>
      </c>
      <c r="W6542" t="s">
        <v>45309</v>
      </c>
      <c r="X6542" t="s">
        <v>47432</v>
      </c>
    </row>
    <row r="6543" spans="1:24">
      <c r="A6543">
        <f>HYPERLINK("https://www.philgeps.gov.ph/GEPSNONPILOT/Tender/SplashBidNoticeAbstractUI.aspx?menuIndex=3&amp;refID=7155716&amp;Result=3","7155716")</f>
        <v>0</v>
      </c>
      <c r="B6543" t="s">
        <v>322</v>
      </c>
      <c r="C6543" t="s">
        <v>10067</v>
      </c>
      <c r="D6543" t="s">
        <v>19023</v>
      </c>
      <c r="E6543" t="s">
        <v>19739</v>
      </c>
      <c r="F6543" t="s">
        <v>32831</v>
      </c>
      <c r="G6543" t="s">
        <v>32842</v>
      </c>
      <c r="H6543" t="s">
        <v>32848</v>
      </c>
      <c r="I6543" t="s">
        <v>32894</v>
      </c>
      <c r="J6543" t="s">
        <v>34070</v>
      </c>
      <c r="K6543" t="s">
        <v>42759</v>
      </c>
      <c r="M6543" t="s">
        <v>43325</v>
      </c>
      <c r="N6543" t="s">
        <v>47424</v>
      </c>
      <c r="O6543" t="s">
        <v>47425</v>
      </c>
      <c r="P6543">
        <v>0</v>
      </c>
      <c r="Q6543">
        <v>0</v>
      </c>
      <c r="R6543" t="s">
        <v>47431</v>
      </c>
      <c r="S6543" t="s">
        <v>47565</v>
      </c>
      <c r="T6543" t="s">
        <v>49244</v>
      </c>
      <c r="U6543" t="s">
        <v>55201</v>
      </c>
      <c r="W6543" t="s">
        <v>43325</v>
      </c>
      <c r="X6543" t="s">
        <v>47432</v>
      </c>
    </row>
    <row r="6544" spans="1:24">
      <c r="A6544">
        <f>HYPERLINK("https://www.philgeps.gov.ph/GEPSNONPILOT/Tender/SplashBidNoticeAbstractUI.aspx?menuIndex=3&amp;refID=7156060&amp;Result=3","7156060")</f>
        <v>0</v>
      </c>
      <c r="B6544" t="s">
        <v>2310</v>
      </c>
      <c r="C6544" t="s">
        <v>10068</v>
      </c>
      <c r="D6544" t="s">
        <v>19028</v>
      </c>
      <c r="E6544" t="s">
        <v>24806</v>
      </c>
      <c r="F6544" t="s">
        <v>32831</v>
      </c>
      <c r="G6544" t="s">
        <v>32839</v>
      </c>
      <c r="H6544" t="s">
        <v>32849</v>
      </c>
      <c r="I6544" t="s">
        <v>4177</v>
      </c>
      <c r="J6544" t="s">
        <v>33118</v>
      </c>
      <c r="K6544" t="s">
        <v>42747</v>
      </c>
      <c r="M6544" t="s">
        <v>45495</v>
      </c>
      <c r="N6544" t="s">
        <v>47424</v>
      </c>
      <c r="O6544" t="s">
        <v>47425</v>
      </c>
      <c r="P6544">
        <v>0</v>
      </c>
      <c r="Q6544">
        <v>0</v>
      </c>
      <c r="R6544" t="s">
        <v>47431</v>
      </c>
      <c r="S6544" t="s">
        <v>47565</v>
      </c>
      <c r="T6544" t="s">
        <v>49319</v>
      </c>
      <c r="U6544" t="s">
        <v>55097</v>
      </c>
      <c r="V6544" t="s">
        <v>63346</v>
      </c>
      <c r="W6544" t="s">
        <v>45495</v>
      </c>
      <c r="X6544" t="s">
        <v>47432</v>
      </c>
    </row>
    <row r="6545" spans="1:24">
      <c r="A6545">
        <f>HYPERLINK("https://www.philgeps.gov.ph/GEPSNONPILOT/Tender/SplashBidNoticeAbstractUI.aspx?menuIndex=3&amp;refID=7156057&amp;Result=3","7156057")</f>
        <v>0</v>
      </c>
      <c r="B6545" t="s">
        <v>911</v>
      </c>
      <c r="C6545" t="s">
        <v>10069</v>
      </c>
      <c r="D6545" t="s">
        <v>19049</v>
      </c>
      <c r="E6545" t="s">
        <v>24807</v>
      </c>
      <c r="F6545" t="s">
        <v>32831</v>
      </c>
      <c r="G6545" t="s">
        <v>32838</v>
      </c>
      <c r="H6545" t="s">
        <v>32848</v>
      </c>
      <c r="I6545" t="s">
        <v>5379</v>
      </c>
      <c r="J6545" t="s">
        <v>37115</v>
      </c>
      <c r="K6545" t="s">
        <v>42747</v>
      </c>
      <c r="M6545" t="s">
        <v>43951</v>
      </c>
      <c r="N6545" t="s">
        <v>47424</v>
      </c>
      <c r="O6545" t="s">
        <v>47425</v>
      </c>
      <c r="P6545">
        <v>0</v>
      </c>
      <c r="Q6545">
        <v>0</v>
      </c>
      <c r="R6545" t="s">
        <v>47431</v>
      </c>
      <c r="S6545" t="s">
        <v>47565</v>
      </c>
      <c r="T6545" t="s">
        <v>49214</v>
      </c>
      <c r="U6545" t="s">
        <v>51540</v>
      </c>
      <c r="W6545" t="s">
        <v>43951</v>
      </c>
      <c r="X6545" t="s">
        <v>47432</v>
      </c>
    </row>
    <row r="6546" spans="1:24">
      <c r="A6546">
        <f>HYPERLINK("https://www.philgeps.gov.ph/GEPSNONPILOT/Tender/SplashBidNoticeAbstractUI.aspx?menuIndex=3&amp;refID=7156053&amp;Result=3","7156053")</f>
        <v>0</v>
      </c>
      <c r="B6546" t="s">
        <v>473</v>
      </c>
      <c r="C6546" t="s">
        <v>10070</v>
      </c>
      <c r="D6546" t="s">
        <v>19091</v>
      </c>
      <c r="E6546" t="s">
        <v>24808</v>
      </c>
      <c r="F6546" t="s">
        <v>32831</v>
      </c>
      <c r="G6546" t="s">
        <v>32838</v>
      </c>
      <c r="H6546" t="s">
        <v>32850</v>
      </c>
      <c r="I6546" t="s">
        <v>4177</v>
      </c>
      <c r="J6546" t="s">
        <v>37116</v>
      </c>
      <c r="K6546" t="s">
        <v>42726</v>
      </c>
      <c r="M6546" t="s">
        <v>44430</v>
      </c>
      <c r="N6546" t="s">
        <v>47424</v>
      </c>
      <c r="O6546" t="s">
        <v>47425</v>
      </c>
      <c r="P6546">
        <v>0</v>
      </c>
      <c r="Q6546">
        <v>0</v>
      </c>
      <c r="R6546" t="s">
        <v>47431</v>
      </c>
      <c r="S6546" t="s">
        <v>47565</v>
      </c>
      <c r="T6546" t="s">
        <v>49111</v>
      </c>
      <c r="U6546" t="s">
        <v>55202</v>
      </c>
      <c r="W6546" t="s">
        <v>44430</v>
      </c>
      <c r="X6546" t="s">
        <v>47432</v>
      </c>
    </row>
    <row r="6547" spans="1:24">
      <c r="A6547">
        <f>HYPERLINK("https://www.philgeps.gov.ph/GEPSNONPILOT/Tender/SplashBidNoticeAbstractUI.aspx?menuIndex=3&amp;refID=7156030&amp;Result=3","7156030")</f>
        <v>0</v>
      </c>
      <c r="B6547" t="s">
        <v>2344</v>
      </c>
      <c r="C6547" t="s">
        <v>10071</v>
      </c>
      <c r="D6547" t="s">
        <v>19074</v>
      </c>
      <c r="E6547" t="s">
        <v>24432</v>
      </c>
      <c r="F6547" t="s">
        <v>32831</v>
      </c>
      <c r="G6547" t="s">
        <v>32839</v>
      </c>
      <c r="H6547" t="s">
        <v>32848</v>
      </c>
      <c r="I6547" t="s">
        <v>7416</v>
      </c>
      <c r="J6547" t="s">
        <v>37117</v>
      </c>
      <c r="K6547" t="s">
        <v>42730</v>
      </c>
      <c r="M6547" t="s">
        <v>45531</v>
      </c>
      <c r="N6547" t="s">
        <v>47424</v>
      </c>
      <c r="O6547" t="s">
        <v>47425</v>
      </c>
      <c r="P6547">
        <v>0</v>
      </c>
      <c r="Q6547">
        <v>0</v>
      </c>
      <c r="R6547" t="s">
        <v>47431</v>
      </c>
      <c r="S6547" t="s">
        <v>47565</v>
      </c>
      <c r="T6547" t="s">
        <v>49325</v>
      </c>
      <c r="U6547" t="s">
        <v>55203</v>
      </c>
      <c r="W6547" t="s">
        <v>45531</v>
      </c>
      <c r="X6547" t="s">
        <v>47432</v>
      </c>
    </row>
    <row r="6548" spans="1:24">
      <c r="A6548">
        <f>HYPERLINK("https://www.philgeps.gov.ph/GEPSNONPILOT/Tender/SplashBidNoticeAbstractUI.aspx?menuIndex=3&amp;refID=7155715&amp;Result=3","7155715")</f>
        <v>0</v>
      </c>
      <c r="B6548" t="s">
        <v>307</v>
      </c>
      <c r="C6548" t="s">
        <v>10072</v>
      </c>
      <c r="D6548" t="s">
        <v>19078</v>
      </c>
      <c r="E6548" t="s">
        <v>24809</v>
      </c>
      <c r="F6548" t="s">
        <v>32831</v>
      </c>
      <c r="G6548" t="s">
        <v>32839</v>
      </c>
      <c r="H6548" t="s">
        <v>32849</v>
      </c>
      <c r="I6548" t="s">
        <v>4177</v>
      </c>
      <c r="J6548" t="s">
        <v>37118</v>
      </c>
      <c r="K6548" t="s">
        <v>42896</v>
      </c>
      <c r="M6548" t="s">
        <v>43308</v>
      </c>
      <c r="N6548" t="s">
        <v>47424</v>
      </c>
      <c r="O6548" t="s">
        <v>47425</v>
      </c>
      <c r="P6548">
        <v>0</v>
      </c>
      <c r="Q6548">
        <v>0</v>
      </c>
      <c r="R6548" t="s">
        <v>47431</v>
      </c>
      <c r="S6548" t="s">
        <v>47565</v>
      </c>
      <c r="T6548" t="s">
        <v>49236</v>
      </c>
      <c r="U6548" t="s">
        <v>55204</v>
      </c>
      <c r="W6548" t="s">
        <v>43308</v>
      </c>
      <c r="X6548" t="s">
        <v>47432</v>
      </c>
    </row>
    <row r="6549" spans="1:24">
      <c r="A6549">
        <f>HYPERLINK("https://www.philgeps.gov.ph/GEPSNONPILOT/Tender/SplashBidNoticeAbstractUI.aspx?menuIndex=3&amp;refID=7156050&amp;Result=3","7156050")</f>
        <v>0</v>
      </c>
      <c r="B6549" t="s">
        <v>2029</v>
      </c>
      <c r="C6549" t="s">
        <v>10073</v>
      </c>
      <c r="D6549" t="s">
        <v>19067</v>
      </c>
      <c r="E6549" t="s">
        <v>24810</v>
      </c>
      <c r="F6549" t="s">
        <v>32831</v>
      </c>
      <c r="G6549" t="s">
        <v>32840</v>
      </c>
      <c r="H6549" t="s">
        <v>32848</v>
      </c>
      <c r="I6549" t="s">
        <v>32856</v>
      </c>
      <c r="J6549" t="s">
        <v>33384</v>
      </c>
      <c r="K6549" t="s">
        <v>42732</v>
      </c>
      <c r="M6549" t="s">
        <v>45197</v>
      </c>
      <c r="N6549" t="s">
        <v>47424</v>
      </c>
      <c r="O6549" t="s">
        <v>47425</v>
      </c>
      <c r="P6549">
        <v>0</v>
      </c>
      <c r="Q6549">
        <v>0</v>
      </c>
      <c r="R6549" t="s">
        <v>47431</v>
      </c>
      <c r="S6549" t="s">
        <v>47565</v>
      </c>
      <c r="T6549" t="s">
        <v>49111</v>
      </c>
      <c r="U6549" t="s">
        <v>55205</v>
      </c>
      <c r="W6549" t="s">
        <v>45197</v>
      </c>
      <c r="X6549" t="s">
        <v>47432</v>
      </c>
    </row>
    <row r="6550" spans="1:24">
      <c r="A6550">
        <f>HYPERLINK("https://www.philgeps.gov.ph/GEPSNONPILOT/Tender/SplashBidNoticeAbstractUI.aspx?menuIndex=3&amp;refID=7156055&amp;Result=3","7156055")</f>
        <v>0</v>
      </c>
      <c r="B6550" t="s">
        <v>2345</v>
      </c>
      <c r="C6550" t="s">
        <v>10074</v>
      </c>
      <c r="D6550" t="s">
        <v>19038</v>
      </c>
      <c r="E6550" t="s">
        <v>24811</v>
      </c>
      <c r="F6550" t="s">
        <v>32831</v>
      </c>
      <c r="G6550" t="s">
        <v>32838</v>
      </c>
      <c r="H6550" t="s">
        <v>32848</v>
      </c>
      <c r="I6550" t="s">
        <v>32851</v>
      </c>
      <c r="J6550" t="s">
        <v>36708</v>
      </c>
      <c r="K6550" t="s">
        <v>42730</v>
      </c>
      <c r="M6550" t="s">
        <v>45532</v>
      </c>
      <c r="N6550" t="s">
        <v>47424</v>
      </c>
      <c r="O6550" t="s">
        <v>47425</v>
      </c>
      <c r="P6550">
        <v>0</v>
      </c>
      <c r="Q6550">
        <v>6</v>
      </c>
      <c r="R6550" t="s">
        <v>47431</v>
      </c>
      <c r="S6550" t="s">
        <v>47565</v>
      </c>
      <c r="T6550" t="s">
        <v>49163</v>
      </c>
      <c r="U6550" t="s">
        <v>55206</v>
      </c>
      <c r="W6550" t="s">
        <v>45532</v>
      </c>
      <c r="X6550" t="s">
        <v>47432</v>
      </c>
    </row>
    <row r="6551" spans="1:24">
      <c r="A6551">
        <f>HYPERLINK("https://www.philgeps.gov.ph/GEPSNONPILOT/Tender/SplashBidNoticeAbstractUI.aspx?menuIndex=3&amp;refID=7156049&amp;Result=3","7156049")</f>
        <v>0</v>
      </c>
      <c r="B6551" t="s">
        <v>316</v>
      </c>
      <c r="C6551" t="s">
        <v>5790</v>
      </c>
      <c r="D6551" t="s">
        <v>19023</v>
      </c>
      <c r="E6551" t="s">
        <v>24812</v>
      </c>
      <c r="F6551" t="s">
        <v>32831</v>
      </c>
      <c r="G6551" t="s">
        <v>32840</v>
      </c>
      <c r="H6551" t="s">
        <v>32848</v>
      </c>
      <c r="I6551" t="s">
        <v>4438</v>
      </c>
      <c r="J6551" t="s">
        <v>37119</v>
      </c>
      <c r="K6551" t="s">
        <v>42730</v>
      </c>
      <c r="M6551" t="s">
        <v>43795</v>
      </c>
      <c r="N6551" t="s">
        <v>47424</v>
      </c>
      <c r="O6551" t="s">
        <v>47425</v>
      </c>
      <c r="P6551">
        <v>0</v>
      </c>
      <c r="Q6551">
        <v>1</v>
      </c>
      <c r="R6551" t="s">
        <v>47431</v>
      </c>
      <c r="S6551" t="s">
        <v>47565</v>
      </c>
      <c r="T6551" t="s">
        <v>49056</v>
      </c>
      <c r="U6551" t="s">
        <v>51090</v>
      </c>
      <c r="V6551" t="s">
        <v>62802</v>
      </c>
      <c r="W6551" t="s">
        <v>43795</v>
      </c>
      <c r="X6551" t="s">
        <v>47432</v>
      </c>
    </row>
    <row r="6552" spans="1:24">
      <c r="A6552">
        <f>HYPERLINK("https://www.philgeps.gov.ph/GEPSNONPILOT/Tender/SplashBidNoticeAbstractUI.aspx?menuIndex=3&amp;refID=7156048&amp;Result=3","7156048")</f>
        <v>0</v>
      </c>
      <c r="B6552" t="s">
        <v>1693</v>
      </c>
      <c r="C6552" t="s">
        <v>10075</v>
      </c>
      <c r="D6552" t="s">
        <v>19017</v>
      </c>
      <c r="E6552" t="s">
        <v>24813</v>
      </c>
      <c r="F6552" t="s">
        <v>32831</v>
      </c>
      <c r="G6552" t="s">
        <v>32838</v>
      </c>
      <c r="H6552" t="s">
        <v>32848</v>
      </c>
      <c r="I6552" t="s">
        <v>4438</v>
      </c>
      <c r="J6552" t="s">
        <v>37120</v>
      </c>
      <c r="K6552" t="s">
        <v>42732</v>
      </c>
      <c r="M6552" t="s">
        <v>45477</v>
      </c>
      <c r="N6552" t="s">
        <v>47424</v>
      </c>
      <c r="O6552" t="s">
        <v>47425</v>
      </c>
      <c r="P6552">
        <v>0</v>
      </c>
      <c r="Q6552">
        <v>2</v>
      </c>
      <c r="R6552" t="s">
        <v>47431</v>
      </c>
      <c r="S6552" t="s">
        <v>47565</v>
      </c>
      <c r="T6552" t="s">
        <v>49374</v>
      </c>
      <c r="U6552" t="s">
        <v>55207</v>
      </c>
      <c r="W6552" t="s">
        <v>45477</v>
      </c>
      <c r="X6552" t="s">
        <v>47432</v>
      </c>
    </row>
    <row r="6553" spans="1:24">
      <c r="A6553">
        <f>HYPERLINK("https://www.philgeps.gov.ph/GEPSNONPILOT/Tender/SplashBidNoticeAbstractUI.aspx?menuIndex=3&amp;refID=7156052&amp;Result=3","7156052")</f>
        <v>0</v>
      </c>
      <c r="B6553" t="s">
        <v>2310</v>
      </c>
      <c r="C6553" t="s">
        <v>10076</v>
      </c>
      <c r="D6553" t="s">
        <v>19028</v>
      </c>
      <c r="E6553" t="s">
        <v>24814</v>
      </c>
      <c r="F6553" t="s">
        <v>32831</v>
      </c>
      <c r="G6553" t="s">
        <v>32839</v>
      </c>
      <c r="H6553" t="s">
        <v>32849</v>
      </c>
      <c r="I6553" t="s">
        <v>4177</v>
      </c>
      <c r="J6553" t="s">
        <v>33083</v>
      </c>
      <c r="K6553" t="s">
        <v>42728</v>
      </c>
      <c r="M6553" t="s">
        <v>45495</v>
      </c>
      <c r="N6553" t="s">
        <v>47424</v>
      </c>
      <c r="O6553" t="s">
        <v>47425</v>
      </c>
      <c r="P6553">
        <v>0</v>
      </c>
      <c r="Q6553">
        <v>0</v>
      </c>
      <c r="R6553" t="s">
        <v>47431</v>
      </c>
      <c r="S6553" t="s">
        <v>47565</v>
      </c>
      <c r="T6553" t="s">
        <v>49319</v>
      </c>
      <c r="U6553" t="s">
        <v>55097</v>
      </c>
      <c r="V6553" t="s">
        <v>63351</v>
      </c>
      <c r="W6553" t="s">
        <v>45495</v>
      </c>
      <c r="X6553" t="s">
        <v>47432</v>
      </c>
    </row>
    <row r="6554" spans="1:24">
      <c r="A6554">
        <f>HYPERLINK("https://www.philgeps.gov.ph/GEPSNONPILOT/Tender/SplashBidNoticeAbstractUI.aspx?menuIndex=3&amp;refID=7156043&amp;Result=3","7156043")</f>
        <v>0</v>
      </c>
      <c r="B6554" t="s">
        <v>1130</v>
      </c>
      <c r="C6554" t="s">
        <v>10077</v>
      </c>
      <c r="D6554" t="s">
        <v>19045</v>
      </c>
      <c r="E6554" t="s">
        <v>24815</v>
      </c>
      <c r="F6554" t="s">
        <v>32831</v>
      </c>
      <c r="G6554" t="s">
        <v>32839</v>
      </c>
      <c r="H6554" t="s">
        <v>32849</v>
      </c>
      <c r="I6554" t="s">
        <v>4177</v>
      </c>
      <c r="J6554" t="s">
        <v>37121</v>
      </c>
      <c r="K6554" t="s">
        <v>42729</v>
      </c>
      <c r="M6554" t="s">
        <v>45442</v>
      </c>
      <c r="N6554" t="s">
        <v>47424</v>
      </c>
      <c r="O6554" t="s">
        <v>47425</v>
      </c>
      <c r="P6554">
        <v>0</v>
      </c>
      <c r="Q6554">
        <v>0</v>
      </c>
      <c r="R6554" t="s">
        <v>47431</v>
      </c>
      <c r="S6554" t="s">
        <v>47565</v>
      </c>
      <c r="T6554" t="s">
        <v>49188</v>
      </c>
      <c r="U6554" t="s">
        <v>55120</v>
      </c>
      <c r="V6554" t="s">
        <v>63325</v>
      </c>
      <c r="W6554" t="s">
        <v>45442</v>
      </c>
      <c r="X6554" t="s">
        <v>47432</v>
      </c>
    </row>
    <row r="6555" spans="1:24">
      <c r="A6555">
        <f>HYPERLINK("https://www.philgeps.gov.ph/GEPSNONPILOT/Tender/SplashBidNoticeAbstractUI.aspx?menuIndex=3&amp;refID=7156041&amp;Result=3","7156041")</f>
        <v>0</v>
      </c>
      <c r="B6555" t="s">
        <v>2310</v>
      </c>
      <c r="C6555" t="s">
        <v>10078</v>
      </c>
      <c r="D6555" t="s">
        <v>19028</v>
      </c>
      <c r="E6555" t="s">
        <v>24816</v>
      </c>
      <c r="F6555" t="s">
        <v>32831</v>
      </c>
      <c r="G6555" t="s">
        <v>32839</v>
      </c>
      <c r="H6555" t="s">
        <v>32849</v>
      </c>
      <c r="I6555" t="s">
        <v>4177</v>
      </c>
      <c r="J6555" t="s">
        <v>33118</v>
      </c>
      <c r="K6555" t="s">
        <v>42729</v>
      </c>
      <c r="M6555" t="s">
        <v>45495</v>
      </c>
      <c r="N6555" t="s">
        <v>47424</v>
      </c>
      <c r="O6555" t="s">
        <v>47425</v>
      </c>
      <c r="P6555">
        <v>0</v>
      </c>
      <c r="Q6555">
        <v>0</v>
      </c>
      <c r="R6555" t="s">
        <v>47431</v>
      </c>
      <c r="S6555" t="s">
        <v>47565</v>
      </c>
      <c r="T6555" t="s">
        <v>49319</v>
      </c>
      <c r="U6555" t="s">
        <v>55097</v>
      </c>
      <c r="V6555" t="s">
        <v>63346</v>
      </c>
      <c r="W6555" t="s">
        <v>45495</v>
      </c>
      <c r="X6555" t="s">
        <v>47432</v>
      </c>
    </row>
    <row r="6556" spans="1:24">
      <c r="A6556">
        <f>HYPERLINK("https://www.philgeps.gov.ph/GEPSNONPILOT/Tender/SplashBidNoticeAbstractUI.aspx?menuIndex=3&amp;refID=7156045&amp;Result=3","7156045")</f>
        <v>0</v>
      </c>
      <c r="B6556" t="s">
        <v>2200</v>
      </c>
      <c r="C6556" t="s">
        <v>10079</v>
      </c>
      <c r="D6556" t="s">
        <v>19033</v>
      </c>
      <c r="E6556" t="s">
        <v>24817</v>
      </c>
      <c r="F6556" t="s">
        <v>32831</v>
      </c>
      <c r="G6556" t="s">
        <v>32838</v>
      </c>
      <c r="H6556" t="s">
        <v>32848</v>
      </c>
      <c r="I6556" t="s">
        <v>6526</v>
      </c>
      <c r="J6556" t="s">
        <v>33709</v>
      </c>
      <c r="K6556" t="s">
        <v>42731</v>
      </c>
      <c r="M6556" t="s">
        <v>45380</v>
      </c>
      <c r="N6556" t="s">
        <v>47424</v>
      </c>
      <c r="O6556" t="s">
        <v>47425</v>
      </c>
      <c r="P6556">
        <v>0</v>
      </c>
      <c r="Q6556">
        <v>2</v>
      </c>
      <c r="R6556" t="s">
        <v>47431</v>
      </c>
      <c r="S6556" t="s">
        <v>47565</v>
      </c>
      <c r="T6556" t="s">
        <v>49111</v>
      </c>
      <c r="U6556" t="s">
        <v>55208</v>
      </c>
      <c r="W6556" t="s">
        <v>45380</v>
      </c>
      <c r="X6556" t="s">
        <v>47432</v>
      </c>
    </row>
    <row r="6557" spans="1:24">
      <c r="A6557">
        <f>HYPERLINK("https://www.philgeps.gov.ph/GEPSNONPILOT/Tender/SplashBidNoticeAbstractUI.aspx?menuIndex=3&amp;refID=7155986&amp;Result=3","7155986")</f>
        <v>0</v>
      </c>
      <c r="B6557" t="s">
        <v>172</v>
      </c>
      <c r="C6557" t="s">
        <v>10080</v>
      </c>
      <c r="D6557" t="s">
        <v>19022</v>
      </c>
      <c r="E6557" t="s">
        <v>24818</v>
      </c>
      <c r="F6557" t="s">
        <v>32831</v>
      </c>
      <c r="G6557" t="s">
        <v>32838</v>
      </c>
      <c r="H6557" t="s">
        <v>32848</v>
      </c>
      <c r="I6557" t="s">
        <v>4558</v>
      </c>
      <c r="J6557" t="s">
        <v>37122</v>
      </c>
      <c r="K6557" t="s">
        <v>42726</v>
      </c>
      <c r="M6557" t="s">
        <v>43169</v>
      </c>
      <c r="N6557" t="s">
        <v>47424</v>
      </c>
      <c r="O6557" t="s">
        <v>47425</v>
      </c>
      <c r="P6557">
        <v>0</v>
      </c>
      <c r="Q6557">
        <v>2</v>
      </c>
      <c r="R6557" t="s">
        <v>47431</v>
      </c>
      <c r="S6557" t="s">
        <v>47565</v>
      </c>
      <c r="T6557" t="s">
        <v>49212</v>
      </c>
      <c r="U6557" t="s">
        <v>53250</v>
      </c>
      <c r="V6557" t="s">
        <v>63355</v>
      </c>
      <c r="W6557" t="s">
        <v>43169</v>
      </c>
      <c r="X6557" t="s">
        <v>47432</v>
      </c>
    </row>
    <row r="6558" spans="1:24">
      <c r="A6558">
        <f>HYPERLINK("https://www.philgeps.gov.ph/GEPSNONPILOT/Tender/SplashBidNoticeAbstractUI.aspx?menuIndex=3&amp;refID=7156036&amp;Result=3","7156036")</f>
        <v>0</v>
      </c>
      <c r="B6558" t="s">
        <v>2175</v>
      </c>
      <c r="C6558" t="s">
        <v>10081</v>
      </c>
      <c r="D6558" t="s">
        <v>19017</v>
      </c>
      <c r="E6558" t="s">
        <v>24819</v>
      </c>
      <c r="F6558" t="s">
        <v>32831</v>
      </c>
      <c r="G6558" t="s">
        <v>32839</v>
      </c>
      <c r="H6558" t="s">
        <v>32848</v>
      </c>
      <c r="I6558" t="s">
        <v>32923</v>
      </c>
      <c r="J6558" t="s">
        <v>33279</v>
      </c>
      <c r="K6558" t="s">
        <v>42730</v>
      </c>
      <c r="M6558" t="s">
        <v>45353</v>
      </c>
      <c r="N6558" t="s">
        <v>47424</v>
      </c>
      <c r="O6558" t="s">
        <v>47425</v>
      </c>
      <c r="P6558">
        <v>0</v>
      </c>
      <c r="Q6558">
        <v>1</v>
      </c>
      <c r="R6558" t="s">
        <v>47431</v>
      </c>
      <c r="S6558" t="s">
        <v>47565</v>
      </c>
      <c r="T6558" t="s">
        <v>49204</v>
      </c>
      <c r="U6558" t="s">
        <v>55209</v>
      </c>
      <c r="W6558" t="s">
        <v>45353</v>
      </c>
      <c r="X6558" t="s">
        <v>47432</v>
      </c>
    </row>
    <row r="6559" spans="1:24">
      <c r="A6559">
        <f>HYPERLINK("https://www.philgeps.gov.ph/GEPSNONPILOT/Tender/SplashBidNoticeAbstractUI.aspx?menuIndex=3&amp;refID=7156031&amp;Result=3","7156031")</f>
        <v>0</v>
      </c>
      <c r="B6559" t="s">
        <v>2346</v>
      </c>
      <c r="C6559" t="s">
        <v>10082</v>
      </c>
      <c r="D6559" t="s">
        <v>19045</v>
      </c>
      <c r="E6559" t="s">
        <v>24820</v>
      </c>
      <c r="F6559" t="s">
        <v>32831</v>
      </c>
      <c r="G6559" t="s">
        <v>32839</v>
      </c>
      <c r="H6559" t="s">
        <v>32849</v>
      </c>
      <c r="I6559" t="s">
        <v>4177</v>
      </c>
      <c r="J6559" t="s">
        <v>37123</v>
      </c>
      <c r="K6559" t="s">
        <v>42873</v>
      </c>
      <c r="M6559" t="s">
        <v>45533</v>
      </c>
      <c r="N6559" t="s">
        <v>47424</v>
      </c>
      <c r="O6559" t="s">
        <v>47425</v>
      </c>
      <c r="P6559">
        <v>0</v>
      </c>
      <c r="Q6559">
        <v>2</v>
      </c>
      <c r="R6559" t="s">
        <v>47431</v>
      </c>
      <c r="S6559" t="s">
        <v>47565</v>
      </c>
      <c r="T6559" t="s">
        <v>49077</v>
      </c>
      <c r="U6559" t="s">
        <v>55210</v>
      </c>
      <c r="W6559" t="s">
        <v>45533</v>
      </c>
      <c r="X6559" t="s">
        <v>47432</v>
      </c>
    </row>
    <row r="6560" spans="1:24">
      <c r="A6560">
        <f>HYPERLINK("https://www.philgeps.gov.ph/GEPSNONPILOT/Tender/SplashBidNoticeAbstractUI.aspx?menuIndex=3&amp;refID=7156004&amp;Result=3","7156004")</f>
        <v>0</v>
      </c>
      <c r="B6560" t="s">
        <v>2277</v>
      </c>
      <c r="C6560" t="s">
        <v>10083</v>
      </c>
      <c r="D6560" t="s">
        <v>19031</v>
      </c>
      <c r="E6560" t="s">
        <v>24821</v>
      </c>
      <c r="F6560" t="s">
        <v>32831</v>
      </c>
      <c r="G6560" t="s">
        <v>32838</v>
      </c>
      <c r="H6560" t="s">
        <v>32848</v>
      </c>
      <c r="I6560" t="s">
        <v>4340</v>
      </c>
      <c r="J6560" t="s">
        <v>33087</v>
      </c>
      <c r="K6560" t="s">
        <v>42731</v>
      </c>
      <c r="M6560" t="s">
        <v>45461</v>
      </c>
      <c r="N6560" t="s">
        <v>47424</v>
      </c>
      <c r="O6560" t="s">
        <v>47425</v>
      </c>
      <c r="P6560">
        <v>0</v>
      </c>
      <c r="Q6560">
        <v>1</v>
      </c>
      <c r="R6560" t="s">
        <v>47431</v>
      </c>
      <c r="S6560" t="s">
        <v>47565</v>
      </c>
      <c r="T6560" t="s">
        <v>49214</v>
      </c>
      <c r="U6560" t="s">
        <v>55211</v>
      </c>
      <c r="W6560" t="s">
        <v>45461</v>
      </c>
      <c r="X6560" t="s">
        <v>47432</v>
      </c>
    </row>
    <row r="6561" spans="1:24">
      <c r="A6561">
        <f>HYPERLINK("https://www.philgeps.gov.ph/GEPSNONPILOT/Tender/SplashBidNoticeAbstractUI.aspx?menuIndex=3&amp;refID=7156047&amp;Result=3","7156047")</f>
        <v>0</v>
      </c>
      <c r="B6561" t="s">
        <v>2347</v>
      </c>
      <c r="C6561" t="s">
        <v>10084</v>
      </c>
      <c r="D6561" t="s">
        <v>19044</v>
      </c>
      <c r="E6561" t="s">
        <v>19937</v>
      </c>
      <c r="F6561" t="s">
        <v>32831</v>
      </c>
      <c r="G6561" t="s">
        <v>32839</v>
      </c>
      <c r="H6561" t="s">
        <v>32848</v>
      </c>
      <c r="I6561" t="s">
        <v>7416</v>
      </c>
      <c r="J6561" t="s">
        <v>33098</v>
      </c>
      <c r="K6561" t="s">
        <v>42730</v>
      </c>
      <c r="M6561" t="s">
        <v>45534</v>
      </c>
      <c r="N6561" t="s">
        <v>47424</v>
      </c>
      <c r="O6561" t="s">
        <v>47425</v>
      </c>
      <c r="P6561">
        <v>0</v>
      </c>
      <c r="Q6561">
        <v>0</v>
      </c>
      <c r="R6561" t="s">
        <v>47431</v>
      </c>
      <c r="S6561" t="s">
        <v>47565</v>
      </c>
      <c r="T6561" t="s">
        <v>49075</v>
      </c>
      <c r="U6561" t="s">
        <v>51857</v>
      </c>
      <c r="W6561" t="s">
        <v>45534</v>
      </c>
      <c r="X6561" t="s">
        <v>47432</v>
      </c>
    </row>
    <row r="6562" spans="1:24">
      <c r="A6562">
        <f>HYPERLINK("https://www.philgeps.gov.ph/GEPSNONPILOT/Tender/SplashBidNoticeAbstractUI.aspx?menuIndex=3&amp;refID=7156100&amp;Result=3","7156100")</f>
        <v>0</v>
      </c>
      <c r="B6562" t="s">
        <v>2348</v>
      </c>
      <c r="C6562" t="s">
        <v>10085</v>
      </c>
      <c r="E6562" t="s">
        <v>24822</v>
      </c>
      <c r="F6562" t="s">
        <v>32831</v>
      </c>
      <c r="G6562" t="s">
        <v>32839</v>
      </c>
      <c r="H6562" t="s">
        <v>32848</v>
      </c>
      <c r="I6562" t="s">
        <v>32852</v>
      </c>
      <c r="J6562" t="s">
        <v>33279</v>
      </c>
      <c r="K6562" t="s">
        <v>42776</v>
      </c>
      <c r="M6562" t="s">
        <v>45535</v>
      </c>
      <c r="N6562" t="s">
        <v>47424</v>
      </c>
      <c r="O6562" t="s">
        <v>47425</v>
      </c>
      <c r="P6562">
        <v>0</v>
      </c>
      <c r="Q6562">
        <v>0</v>
      </c>
      <c r="R6562" t="s">
        <v>47431</v>
      </c>
      <c r="S6562" t="s">
        <v>47565</v>
      </c>
      <c r="T6562" t="s">
        <v>49115</v>
      </c>
      <c r="U6562" t="s">
        <v>55212</v>
      </c>
      <c r="W6562" t="s">
        <v>45535</v>
      </c>
      <c r="X6562" t="s">
        <v>47432</v>
      </c>
    </row>
    <row r="6563" spans="1:24">
      <c r="A6563">
        <f>HYPERLINK("https://www.philgeps.gov.ph/GEPSNONPILOT/Tender/SplashBidNoticeAbstractUI.aspx?menuIndex=3&amp;refID=7156051&amp;Result=3","7156051")</f>
        <v>0</v>
      </c>
      <c r="B6563" t="s">
        <v>2291</v>
      </c>
      <c r="C6563" t="s">
        <v>10086</v>
      </c>
      <c r="D6563" t="s">
        <v>19078</v>
      </c>
      <c r="E6563" t="s">
        <v>24823</v>
      </c>
      <c r="F6563" t="s">
        <v>32831</v>
      </c>
      <c r="G6563" t="s">
        <v>32839</v>
      </c>
      <c r="H6563" t="s">
        <v>32848</v>
      </c>
      <c r="I6563" t="s">
        <v>4471</v>
      </c>
      <c r="J6563" t="s">
        <v>37124</v>
      </c>
      <c r="K6563" t="s">
        <v>42735</v>
      </c>
      <c r="M6563" t="s">
        <v>45475</v>
      </c>
      <c r="N6563" t="s">
        <v>47424</v>
      </c>
      <c r="O6563" t="s">
        <v>47425</v>
      </c>
      <c r="P6563">
        <v>0</v>
      </c>
      <c r="Q6563">
        <v>3</v>
      </c>
      <c r="R6563" t="s">
        <v>47431</v>
      </c>
      <c r="S6563" t="s">
        <v>47565</v>
      </c>
      <c r="T6563" t="s">
        <v>49452</v>
      </c>
      <c r="U6563" t="s">
        <v>55213</v>
      </c>
      <c r="W6563" t="s">
        <v>45475</v>
      </c>
      <c r="X6563" t="s">
        <v>47432</v>
      </c>
    </row>
    <row r="6564" spans="1:24">
      <c r="A6564">
        <f>HYPERLINK("https://www.philgeps.gov.ph/GEPSNONPILOT/Tender/SplashBidNoticeAbstractUI.aspx?menuIndex=3&amp;refID=7156033&amp;Result=3","7156033")</f>
        <v>0</v>
      </c>
      <c r="B6564" t="s">
        <v>674</v>
      </c>
      <c r="C6564" t="s">
        <v>10087</v>
      </c>
      <c r="D6564" t="s">
        <v>19058</v>
      </c>
      <c r="E6564" t="s">
        <v>24824</v>
      </c>
      <c r="F6564" t="s">
        <v>32831</v>
      </c>
      <c r="G6564" t="s">
        <v>32838</v>
      </c>
      <c r="H6564" t="s">
        <v>32848</v>
      </c>
      <c r="I6564" t="s">
        <v>32852</v>
      </c>
      <c r="J6564" t="s">
        <v>33241</v>
      </c>
      <c r="K6564" t="s">
        <v>42732</v>
      </c>
      <c r="M6564" t="s">
        <v>44520</v>
      </c>
      <c r="N6564" t="s">
        <v>47424</v>
      </c>
      <c r="O6564" t="s">
        <v>47425</v>
      </c>
      <c r="P6564">
        <v>0</v>
      </c>
      <c r="Q6564">
        <v>2</v>
      </c>
      <c r="R6564" t="s">
        <v>47431</v>
      </c>
      <c r="S6564" t="s">
        <v>47565</v>
      </c>
      <c r="T6564" t="s">
        <v>49237</v>
      </c>
      <c r="U6564" t="s">
        <v>55214</v>
      </c>
      <c r="W6564" t="s">
        <v>44520</v>
      </c>
      <c r="X6564" t="s">
        <v>47432</v>
      </c>
    </row>
    <row r="6565" spans="1:24">
      <c r="A6565">
        <f>HYPERLINK("https://www.philgeps.gov.ph/GEPSNONPILOT/Tender/SplashBidNoticeAbstractUI.aspx?menuIndex=3&amp;refID=7156096&amp;Result=3","7156096")</f>
        <v>0</v>
      </c>
      <c r="B6565" t="s">
        <v>338</v>
      </c>
      <c r="C6565" t="s">
        <v>10088</v>
      </c>
      <c r="D6565" t="s">
        <v>19019</v>
      </c>
      <c r="E6565" t="s">
        <v>10088</v>
      </c>
      <c r="F6565" t="s">
        <v>32831</v>
      </c>
      <c r="G6565" t="s">
        <v>32840</v>
      </c>
      <c r="H6565" t="s">
        <v>32848</v>
      </c>
      <c r="I6565" t="s">
        <v>32860</v>
      </c>
      <c r="J6565" t="s">
        <v>33268</v>
      </c>
      <c r="K6565" t="s">
        <v>42726</v>
      </c>
      <c r="M6565" t="s">
        <v>44635</v>
      </c>
      <c r="N6565" t="s">
        <v>47424</v>
      </c>
      <c r="O6565" t="s">
        <v>47425</v>
      </c>
      <c r="P6565">
        <v>0</v>
      </c>
      <c r="Q6565">
        <v>5</v>
      </c>
      <c r="R6565" t="s">
        <v>47431</v>
      </c>
      <c r="S6565" t="s">
        <v>47565</v>
      </c>
      <c r="T6565" t="s">
        <v>49145</v>
      </c>
      <c r="U6565" t="s">
        <v>55215</v>
      </c>
      <c r="W6565" t="s">
        <v>44635</v>
      </c>
      <c r="X6565" t="s">
        <v>47432</v>
      </c>
    </row>
    <row r="6566" spans="1:24">
      <c r="A6566">
        <f>HYPERLINK("https://www.philgeps.gov.ph/GEPSNONPILOT/Tender/SplashBidNoticeAbstractUI.aspx?menuIndex=3&amp;refID=7156014&amp;Result=3","7156014")</f>
        <v>0</v>
      </c>
      <c r="B6566" t="s">
        <v>717</v>
      </c>
      <c r="C6566" t="s">
        <v>10089</v>
      </c>
      <c r="D6566" t="s">
        <v>19018</v>
      </c>
      <c r="E6566" t="s">
        <v>24825</v>
      </c>
      <c r="F6566" t="s">
        <v>32831</v>
      </c>
      <c r="G6566" t="s">
        <v>32842</v>
      </c>
      <c r="H6566" t="s">
        <v>32848</v>
      </c>
      <c r="I6566" t="s">
        <v>32860</v>
      </c>
      <c r="J6566" t="s">
        <v>37125</v>
      </c>
      <c r="K6566" t="s">
        <v>42727</v>
      </c>
      <c r="M6566" t="s">
        <v>45536</v>
      </c>
      <c r="N6566" t="s">
        <v>47424</v>
      </c>
      <c r="O6566" t="s">
        <v>47425</v>
      </c>
      <c r="P6566">
        <v>0</v>
      </c>
      <c r="Q6566">
        <v>6</v>
      </c>
      <c r="R6566" t="s">
        <v>47431</v>
      </c>
      <c r="S6566" t="s">
        <v>47565</v>
      </c>
      <c r="T6566" t="s">
        <v>49214</v>
      </c>
      <c r="U6566" t="s">
        <v>55216</v>
      </c>
      <c r="W6566" t="s">
        <v>45536</v>
      </c>
      <c r="X6566" t="s">
        <v>47432</v>
      </c>
    </row>
    <row r="6567" spans="1:24">
      <c r="A6567">
        <f>HYPERLINK("https://www.philgeps.gov.ph/GEPSNONPILOT/Tender/SplashBidNoticeAbstractUI.aspx?menuIndex=3&amp;refID=7156042&amp;Result=3","7156042")</f>
        <v>0</v>
      </c>
      <c r="B6567" t="s">
        <v>674</v>
      </c>
      <c r="C6567" t="s">
        <v>10090</v>
      </c>
      <c r="D6567" t="s">
        <v>19058</v>
      </c>
      <c r="E6567" t="s">
        <v>24826</v>
      </c>
      <c r="F6567" t="s">
        <v>32831</v>
      </c>
      <c r="G6567" t="s">
        <v>32838</v>
      </c>
      <c r="H6567" t="s">
        <v>32848</v>
      </c>
      <c r="I6567" t="s">
        <v>4438</v>
      </c>
      <c r="J6567" t="s">
        <v>37126</v>
      </c>
      <c r="K6567" t="s">
        <v>42732</v>
      </c>
      <c r="M6567" t="s">
        <v>44520</v>
      </c>
      <c r="N6567" t="s">
        <v>47424</v>
      </c>
      <c r="O6567" t="s">
        <v>47425</v>
      </c>
      <c r="P6567">
        <v>0</v>
      </c>
      <c r="Q6567">
        <v>3</v>
      </c>
      <c r="R6567" t="s">
        <v>47431</v>
      </c>
      <c r="S6567" t="s">
        <v>47565</v>
      </c>
      <c r="T6567" t="s">
        <v>49237</v>
      </c>
      <c r="U6567" t="s">
        <v>55217</v>
      </c>
      <c r="W6567" t="s">
        <v>44520</v>
      </c>
      <c r="X6567" t="s">
        <v>47432</v>
      </c>
    </row>
    <row r="6568" spans="1:24">
      <c r="A6568">
        <f>HYPERLINK("https://www.philgeps.gov.ph/GEPSNONPILOT/Tender/SplashBidNoticeAbstractUI.aspx?menuIndex=3&amp;refID=7156094&amp;Result=3","7156094")</f>
        <v>0</v>
      </c>
      <c r="B6568" t="s">
        <v>2349</v>
      </c>
      <c r="C6568" t="s">
        <v>10091</v>
      </c>
      <c r="D6568" t="s">
        <v>19038</v>
      </c>
      <c r="E6568" t="s">
        <v>24827</v>
      </c>
      <c r="F6568" t="s">
        <v>32831</v>
      </c>
      <c r="G6568" t="s">
        <v>32839</v>
      </c>
      <c r="H6568" t="s">
        <v>32848</v>
      </c>
      <c r="I6568" t="s">
        <v>7416</v>
      </c>
      <c r="J6568" t="s">
        <v>37127</v>
      </c>
      <c r="K6568" t="s">
        <v>42726</v>
      </c>
      <c r="M6568" t="s">
        <v>45537</v>
      </c>
      <c r="N6568" t="s">
        <v>47424</v>
      </c>
      <c r="O6568" t="s">
        <v>47425</v>
      </c>
      <c r="P6568">
        <v>0</v>
      </c>
      <c r="Q6568">
        <v>0</v>
      </c>
      <c r="R6568" t="s">
        <v>47431</v>
      </c>
      <c r="S6568" t="s">
        <v>47565</v>
      </c>
      <c r="T6568" t="s">
        <v>49129</v>
      </c>
      <c r="U6568" t="s">
        <v>55218</v>
      </c>
      <c r="W6568" t="s">
        <v>45537</v>
      </c>
      <c r="X6568" t="s">
        <v>47432</v>
      </c>
    </row>
    <row r="6569" spans="1:24">
      <c r="A6569">
        <f>HYPERLINK("https://www.philgeps.gov.ph/GEPSNONPILOT/Tender/SplashBidNoticeAbstractUI.aspx?menuIndex=3&amp;refID=7156099&amp;Result=3","7156099")</f>
        <v>0</v>
      </c>
      <c r="B6569" t="s">
        <v>2238</v>
      </c>
      <c r="C6569" t="s">
        <v>10092</v>
      </c>
      <c r="D6569" t="s">
        <v>19084</v>
      </c>
      <c r="E6569" t="s">
        <v>24828</v>
      </c>
      <c r="F6569" t="s">
        <v>32831</v>
      </c>
      <c r="G6569" t="s">
        <v>32838</v>
      </c>
      <c r="H6569" t="s">
        <v>32848</v>
      </c>
      <c r="I6569" t="s">
        <v>32874</v>
      </c>
      <c r="J6569" t="s">
        <v>33041</v>
      </c>
      <c r="K6569" t="s">
        <v>42726</v>
      </c>
      <c r="M6569" t="s">
        <v>45419</v>
      </c>
      <c r="N6569" t="s">
        <v>47424</v>
      </c>
      <c r="O6569" t="s">
        <v>47425</v>
      </c>
      <c r="P6569">
        <v>0</v>
      </c>
      <c r="Q6569">
        <v>2</v>
      </c>
      <c r="R6569" t="s">
        <v>47431</v>
      </c>
      <c r="S6569" t="s">
        <v>47565</v>
      </c>
      <c r="T6569" t="s">
        <v>49100</v>
      </c>
      <c r="U6569" t="s">
        <v>55219</v>
      </c>
      <c r="W6569" t="s">
        <v>45419</v>
      </c>
      <c r="X6569" t="s">
        <v>47432</v>
      </c>
    </row>
    <row r="6570" spans="1:24">
      <c r="A6570">
        <f>HYPERLINK("https://www.philgeps.gov.ph/GEPSNONPILOT/Tender/SplashBidNoticeAbstractUI.aspx?menuIndex=3&amp;refID=7156084&amp;Result=3","7156084")</f>
        <v>0</v>
      </c>
      <c r="B6570" t="s">
        <v>2175</v>
      </c>
      <c r="C6570" t="s">
        <v>10093</v>
      </c>
      <c r="E6570" t="s">
        <v>24829</v>
      </c>
      <c r="F6570" t="s">
        <v>32831</v>
      </c>
      <c r="G6570" t="s">
        <v>32839</v>
      </c>
      <c r="H6570" t="s">
        <v>32848</v>
      </c>
      <c r="I6570" t="s">
        <v>4438</v>
      </c>
      <c r="J6570" t="s">
        <v>33118</v>
      </c>
      <c r="K6570" t="s">
        <v>42732</v>
      </c>
      <c r="M6570" t="s">
        <v>45353</v>
      </c>
      <c r="N6570" t="s">
        <v>47424</v>
      </c>
      <c r="O6570" t="s">
        <v>47425</v>
      </c>
      <c r="P6570">
        <v>0</v>
      </c>
      <c r="Q6570">
        <v>5</v>
      </c>
      <c r="R6570" t="s">
        <v>47431</v>
      </c>
      <c r="S6570" t="s">
        <v>47565</v>
      </c>
      <c r="T6570" t="s">
        <v>49204</v>
      </c>
      <c r="U6570" t="s">
        <v>55220</v>
      </c>
      <c r="W6570" t="s">
        <v>45353</v>
      </c>
      <c r="X6570" t="s">
        <v>47432</v>
      </c>
    </row>
    <row r="6571" spans="1:24">
      <c r="A6571">
        <f>HYPERLINK("https://www.philgeps.gov.ph/GEPSNONPILOT/Tender/SplashBidNoticeAbstractUI.aspx?menuIndex=3&amp;refID=7156081&amp;Result=3","7156081")</f>
        <v>0</v>
      </c>
      <c r="B6571" t="s">
        <v>2277</v>
      </c>
      <c r="C6571" t="s">
        <v>10094</v>
      </c>
      <c r="D6571" t="s">
        <v>19031</v>
      </c>
      <c r="E6571" t="s">
        <v>24830</v>
      </c>
      <c r="F6571" t="s">
        <v>32831</v>
      </c>
      <c r="G6571" t="s">
        <v>32838</v>
      </c>
      <c r="H6571" t="s">
        <v>32848</v>
      </c>
      <c r="I6571" t="s">
        <v>32857</v>
      </c>
      <c r="J6571" t="s">
        <v>37128</v>
      </c>
      <c r="K6571" t="s">
        <v>42731</v>
      </c>
      <c r="M6571" t="s">
        <v>45538</v>
      </c>
      <c r="N6571" t="s">
        <v>47424</v>
      </c>
      <c r="O6571" t="s">
        <v>47425</v>
      </c>
      <c r="P6571">
        <v>0</v>
      </c>
      <c r="Q6571">
        <v>10</v>
      </c>
      <c r="R6571" t="s">
        <v>47431</v>
      </c>
      <c r="S6571" t="s">
        <v>47565</v>
      </c>
      <c r="T6571" t="s">
        <v>49214</v>
      </c>
      <c r="U6571" t="s">
        <v>55221</v>
      </c>
      <c r="W6571" t="s">
        <v>45538</v>
      </c>
      <c r="X6571" t="s">
        <v>47432</v>
      </c>
    </row>
    <row r="6572" spans="1:24">
      <c r="A6572">
        <f>HYPERLINK("https://www.philgeps.gov.ph/GEPSNONPILOT/Tender/SplashBidNoticeAbstractUI.aspx?menuIndex=3&amp;refID=7156038&amp;Result=3","7156038")</f>
        <v>0</v>
      </c>
      <c r="B6572" t="s">
        <v>1421</v>
      </c>
      <c r="C6572" t="s">
        <v>10095</v>
      </c>
      <c r="D6572" t="s">
        <v>19078</v>
      </c>
      <c r="E6572" t="s">
        <v>24831</v>
      </c>
      <c r="F6572" t="s">
        <v>32831</v>
      </c>
      <c r="G6572" t="s">
        <v>32839</v>
      </c>
      <c r="H6572" t="s">
        <v>32848</v>
      </c>
      <c r="I6572" t="s">
        <v>7751</v>
      </c>
      <c r="J6572" t="s">
        <v>33257</v>
      </c>
      <c r="K6572" t="s">
        <v>42763</v>
      </c>
      <c r="M6572" t="s">
        <v>44509</v>
      </c>
      <c r="N6572" t="s">
        <v>47424</v>
      </c>
      <c r="O6572" t="s">
        <v>47425</v>
      </c>
      <c r="P6572">
        <v>0</v>
      </c>
      <c r="Q6572">
        <v>6</v>
      </c>
      <c r="R6572" t="s">
        <v>47431</v>
      </c>
      <c r="S6572" t="s">
        <v>47565</v>
      </c>
      <c r="T6572" t="s">
        <v>49343</v>
      </c>
      <c r="U6572" t="s">
        <v>55129</v>
      </c>
      <c r="W6572" t="s">
        <v>44509</v>
      </c>
      <c r="X6572" t="s">
        <v>47432</v>
      </c>
    </row>
    <row r="6573" spans="1:24">
      <c r="A6573">
        <f>HYPERLINK("https://www.philgeps.gov.ph/GEPSNONPILOT/Tender/SplashBidNoticeAbstractUI.aspx?menuIndex=3&amp;refID=7156098&amp;Result=3","7156098")</f>
        <v>0</v>
      </c>
      <c r="B6573" t="s">
        <v>2350</v>
      </c>
      <c r="C6573" t="s">
        <v>10096</v>
      </c>
      <c r="D6573" t="s">
        <v>19018</v>
      </c>
      <c r="E6573" t="s">
        <v>24832</v>
      </c>
      <c r="F6573" t="s">
        <v>32831</v>
      </c>
      <c r="G6573" t="s">
        <v>32840</v>
      </c>
      <c r="H6573" t="s">
        <v>32848</v>
      </c>
      <c r="I6573" t="s">
        <v>32857</v>
      </c>
      <c r="J6573" t="s">
        <v>33077</v>
      </c>
      <c r="K6573" t="s">
        <v>42732</v>
      </c>
      <c r="M6573" t="s">
        <v>45539</v>
      </c>
      <c r="N6573" t="s">
        <v>47424</v>
      </c>
      <c r="O6573" t="s">
        <v>47425</v>
      </c>
      <c r="Q6573">
        <v>14</v>
      </c>
      <c r="R6573" t="s">
        <v>47431</v>
      </c>
      <c r="S6573" t="s">
        <v>47572</v>
      </c>
      <c r="T6573" t="s">
        <v>49100</v>
      </c>
      <c r="U6573" t="s">
        <v>50084</v>
      </c>
      <c r="W6573" t="s">
        <v>45539</v>
      </c>
      <c r="X6573" t="s">
        <v>47432</v>
      </c>
    </row>
    <row r="6574" spans="1:24">
      <c r="A6574">
        <f>HYPERLINK("https://www.philgeps.gov.ph/GEPSNONPILOT/Tender/SplashBidNoticeAbstractUI.aspx?menuIndex=3&amp;refID=7156087&amp;Result=3","7156087")</f>
        <v>0</v>
      </c>
      <c r="B6574" t="s">
        <v>316</v>
      </c>
      <c r="C6574" t="s">
        <v>5790</v>
      </c>
      <c r="D6574" t="s">
        <v>19023</v>
      </c>
      <c r="E6574" t="s">
        <v>24833</v>
      </c>
      <c r="F6574" t="s">
        <v>32831</v>
      </c>
      <c r="G6574" t="s">
        <v>32840</v>
      </c>
      <c r="H6574" t="s">
        <v>32848</v>
      </c>
      <c r="I6574" t="s">
        <v>4438</v>
      </c>
      <c r="J6574" t="s">
        <v>37129</v>
      </c>
      <c r="K6574" t="s">
        <v>42730</v>
      </c>
      <c r="M6574" t="s">
        <v>43795</v>
      </c>
      <c r="N6574" t="s">
        <v>47424</v>
      </c>
      <c r="O6574" t="s">
        <v>47425</v>
      </c>
      <c r="P6574">
        <v>0</v>
      </c>
      <c r="Q6574">
        <v>2</v>
      </c>
      <c r="R6574" t="s">
        <v>47431</v>
      </c>
      <c r="S6574" t="s">
        <v>47565</v>
      </c>
      <c r="T6574" t="s">
        <v>49056</v>
      </c>
      <c r="U6574" t="s">
        <v>51090</v>
      </c>
      <c r="V6574" t="s">
        <v>62802</v>
      </c>
      <c r="W6574" t="s">
        <v>43795</v>
      </c>
      <c r="X6574" t="s">
        <v>47432</v>
      </c>
    </row>
    <row r="6575" spans="1:24">
      <c r="A6575">
        <f>HYPERLINK("https://www.philgeps.gov.ph/GEPSNONPILOT/Tender/SplashBidNoticeAbstractUI.aspx?menuIndex=3&amp;refID=7156072&amp;Result=3","7156072")</f>
        <v>0</v>
      </c>
      <c r="B6575" t="s">
        <v>171</v>
      </c>
      <c r="C6575" t="s">
        <v>10097</v>
      </c>
      <c r="E6575" t="s">
        <v>24834</v>
      </c>
      <c r="F6575" t="s">
        <v>32831</v>
      </c>
      <c r="G6575" t="s">
        <v>32838</v>
      </c>
      <c r="H6575" t="s">
        <v>32848</v>
      </c>
      <c r="I6575" t="s">
        <v>9577</v>
      </c>
      <c r="J6575" t="s">
        <v>34509</v>
      </c>
      <c r="K6575" t="s">
        <v>42730</v>
      </c>
      <c r="M6575" t="s">
        <v>43684</v>
      </c>
      <c r="N6575" t="s">
        <v>47424</v>
      </c>
      <c r="O6575" t="s">
        <v>47425</v>
      </c>
      <c r="P6575">
        <v>0</v>
      </c>
      <c r="Q6575">
        <v>0</v>
      </c>
      <c r="R6575" t="s">
        <v>47431</v>
      </c>
      <c r="S6575" t="s">
        <v>47565</v>
      </c>
      <c r="T6575" t="s">
        <v>49124</v>
      </c>
      <c r="U6575" t="s">
        <v>55222</v>
      </c>
      <c r="W6575" t="s">
        <v>64443</v>
      </c>
      <c r="X6575" t="s">
        <v>47432</v>
      </c>
    </row>
    <row r="6576" spans="1:24">
      <c r="A6576">
        <f>HYPERLINK("https://www.philgeps.gov.ph/GEPSNONPILOT/Tender/SplashBidNoticeAbstractUI.aspx?menuIndex=3&amp;refID=7156067&amp;Result=3","7156067")</f>
        <v>0</v>
      </c>
      <c r="B6576" t="s">
        <v>338</v>
      </c>
      <c r="C6576" t="s">
        <v>10098</v>
      </c>
      <c r="D6576" t="s">
        <v>19019</v>
      </c>
      <c r="E6576" t="s">
        <v>24205</v>
      </c>
      <c r="F6576" t="s">
        <v>32831</v>
      </c>
      <c r="G6576" t="s">
        <v>32840</v>
      </c>
      <c r="H6576" t="s">
        <v>32848</v>
      </c>
      <c r="I6576" t="s">
        <v>32864</v>
      </c>
      <c r="J6576" t="s">
        <v>33086</v>
      </c>
      <c r="K6576" t="s">
        <v>42726</v>
      </c>
      <c r="M6576" t="s">
        <v>44635</v>
      </c>
      <c r="N6576" t="s">
        <v>47424</v>
      </c>
      <c r="O6576" t="s">
        <v>47425</v>
      </c>
      <c r="P6576">
        <v>0</v>
      </c>
      <c r="Q6576">
        <v>4</v>
      </c>
      <c r="R6576" t="s">
        <v>47431</v>
      </c>
      <c r="S6576" t="s">
        <v>47565</v>
      </c>
      <c r="T6576" t="s">
        <v>49145</v>
      </c>
      <c r="U6576" t="s">
        <v>55223</v>
      </c>
      <c r="W6576" t="s">
        <v>44635</v>
      </c>
      <c r="X6576" t="s">
        <v>47432</v>
      </c>
    </row>
    <row r="6577" spans="1:24">
      <c r="A6577">
        <f>HYPERLINK("https://www.philgeps.gov.ph/GEPSNONPILOT/Tender/SplashBidNoticeAbstractUI.aspx?menuIndex=3&amp;refID=7156092&amp;Result=3","7156092")</f>
        <v>0</v>
      </c>
      <c r="B6577" t="s">
        <v>266</v>
      </c>
      <c r="C6577" t="s">
        <v>10099</v>
      </c>
      <c r="D6577" t="s">
        <v>19040</v>
      </c>
      <c r="E6577" t="s">
        <v>24835</v>
      </c>
      <c r="F6577" t="s">
        <v>32831</v>
      </c>
      <c r="G6577" t="s">
        <v>32838</v>
      </c>
      <c r="H6577" t="s">
        <v>32849</v>
      </c>
      <c r="I6577" t="s">
        <v>4177</v>
      </c>
      <c r="J6577" t="s">
        <v>33140</v>
      </c>
      <c r="K6577" t="s">
        <v>42729</v>
      </c>
      <c r="M6577" t="s">
        <v>43265</v>
      </c>
      <c r="N6577" t="s">
        <v>47424</v>
      </c>
      <c r="O6577" t="s">
        <v>47425</v>
      </c>
      <c r="Q6577">
        <v>1</v>
      </c>
      <c r="R6577" t="s">
        <v>47431</v>
      </c>
      <c r="S6577" t="s">
        <v>47571</v>
      </c>
      <c r="T6577" t="s">
        <v>49056</v>
      </c>
      <c r="U6577" t="s">
        <v>55224</v>
      </c>
      <c r="W6577" t="s">
        <v>43265</v>
      </c>
      <c r="X6577" t="s">
        <v>47432</v>
      </c>
    </row>
    <row r="6578" spans="1:24">
      <c r="A6578">
        <f>HYPERLINK("https://www.philgeps.gov.ph/GEPSNONPILOT/Tender/SplashBidNoticeAbstractUI.aspx?menuIndex=3&amp;refID=7156074&amp;Result=3","7156074")</f>
        <v>0</v>
      </c>
      <c r="B6578" t="s">
        <v>2350</v>
      </c>
      <c r="C6578" t="s">
        <v>10100</v>
      </c>
      <c r="D6578" t="s">
        <v>19018</v>
      </c>
      <c r="E6578" t="s">
        <v>24836</v>
      </c>
      <c r="F6578" t="s">
        <v>32831</v>
      </c>
      <c r="G6578" t="s">
        <v>32840</v>
      </c>
      <c r="H6578" t="s">
        <v>32848</v>
      </c>
      <c r="I6578" t="s">
        <v>32857</v>
      </c>
      <c r="J6578" t="s">
        <v>33279</v>
      </c>
      <c r="K6578" t="s">
        <v>42732</v>
      </c>
      <c r="M6578" t="s">
        <v>45539</v>
      </c>
      <c r="N6578" t="s">
        <v>47424</v>
      </c>
      <c r="O6578" t="s">
        <v>47425</v>
      </c>
      <c r="Q6578">
        <v>20</v>
      </c>
      <c r="R6578" t="s">
        <v>47431</v>
      </c>
      <c r="S6578" t="s">
        <v>47572</v>
      </c>
      <c r="T6578" t="s">
        <v>49100</v>
      </c>
      <c r="U6578" t="s">
        <v>50084</v>
      </c>
      <c r="W6578" t="s">
        <v>45539</v>
      </c>
      <c r="X6578" t="s">
        <v>47432</v>
      </c>
    </row>
    <row r="6579" spans="1:24">
      <c r="A6579">
        <f>HYPERLINK("https://www.philgeps.gov.ph/GEPSNONPILOT/Tender/SplashBidNoticeAbstractUI.aspx?menuIndex=3&amp;refID=7156064&amp;Result=3","7156064")</f>
        <v>0</v>
      </c>
      <c r="B6579" t="s">
        <v>2331</v>
      </c>
      <c r="C6579" t="s">
        <v>10101</v>
      </c>
      <c r="D6579" t="s">
        <v>19049</v>
      </c>
      <c r="E6579" t="s">
        <v>24837</v>
      </c>
      <c r="F6579" t="s">
        <v>32831</v>
      </c>
      <c r="G6579" t="s">
        <v>32839</v>
      </c>
      <c r="H6579" t="s">
        <v>32848</v>
      </c>
      <c r="I6579" t="s">
        <v>32874</v>
      </c>
      <c r="J6579" t="s">
        <v>35751</v>
      </c>
      <c r="K6579" t="s">
        <v>42729</v>
      </c>
      <c r="M6579" t="s">
        <v>45517</v>
      </c>
      <c r="N6579" t="s">
        <v>47424</v>
      </c>
      <c r="O6579" t="s">
        <v>47425</v>
      </c>
      <c r="P6579">
        <v>0</v>
      </c>
      <c r="Q6579">
        <v>7</v>
      </c>
      <c r="R6579" t="s">
        <v>47431</v>
      </c>
      <c r="S6579" t="s">
        <v>47565</v>
      </c>
      <c r="T6579" t="s">
        <v>49080</v>
      </c>
      <c r="U6579" t="s">
        <v>55225</v>
      </c>
      <c r="V6579" t="s">
        <v>63348</v>
      </c>
      <c r="W6579" t="s">
        <v>45517</v>
      </c>
      <c r="X6579" t="s">
        <v>47432</v>
      </c>
    </row>
    <row r="6580" spans="1:24">
      <c r="A6580">
        <f>HYPERLINK("https://www.philgeps.gov.ph/GEPSNONPILOT/Tender/SplashBidNoticeAbstractUI.aspx?menuIndex=3&amp;refID=7156062&amp;Result=3","7156062")</f>
        <v>0</v>
      </c>
      <c r="B6580" t="s">
        <v>864</v>
      </c>
      <c r="C6580" t="s">
        <v>10102</v>
      </c>
      <c r="D6580" t="s">
        <v>19021</v>
      </c>
      <c r="E6580" t="s">
        <v>24838</v>
      </c>
      <c r="F6580" t="s">
        <v>32831</v>
      </c>
      <c r="G6580" t="s">
        <v>32838</v>
      </c>
      <c r="H6580" t="s">
        <v>32848</v>
      </c>
      <c r="I6580" t="s">
        <v>32864</v>
      </c>
      <c r="J6580" t="s">
        <v>33207</v>
      </c>
      <c r="K6580" t="s">
        <v>42727</v>
      </c>
      <c r="M6580" t="s">
        <v>45099</v>
      </c>
      <c r="N6580" t="s">
        <v>47424</v>
      </c>
      <c r="O6580" t="s">
        <v>47425</v>
      </c>
      <c r="P6580">
        <v>0</v>
      </c>
      <c r="Q6580">
        <v>0</v>
      </c>
      <c r="R6580" t="s">
        <v>47431</v>
      </c>
      <c r="S6580" t="s">
        <v>47565</v>
      </c>
      <c r="T6580" t="s">
        <v>49079</v>
      </c>
      <c r="U6580" t="s">
        <v>55226</v>
      </c>
      <c r="W6580" t="s">
        <v>45099</v>
      </c>
      <c r="X6580" t="s">
        <v>47432</v>
      </c>
    </row>
    <row r="6581" spans="1:24">
      <c r="A6581">
        <f>HYPERLINK("https://www.philgeps.gov.ph/GEPSNONPILOT/Tender/SplashBidNoticeAbstractUI.aspx?menuIndex=3&amp;refID=7156029&amp;Result=3","7156029")</f>
        <v>0</v>
      </c>
      <c r="B6581" t="s">
        <v>789</v>
      </c>
      <c r="C6581" t="s">
        <v>10103</v>
      </c>
      <c r="D6581" t="s">
        <v>19031</v>
      </c>
      <c r="E6581" t="s">
        <v>24839</v>
      </c>
      <c r="F6581" t="s">
        <v>32831</v>
      </c>
      <c r="G6581" t="s">
        <v>32838</v>
      </c>
      <c r="H6581" t="s">
        <v>32848</v>
      </c>
      <c r="I6581" t="s">
        <v>32870</v>
      </c>
      <c r="J6581" t="s">
        <v>37130</v>
      </c>
      <c r="K6581" t="s">
        <v>42745</v>
      </c>
      <c r="M6581" t="s">
        <v>43819</v>
      </c>
      <c r="N6581" t="s">
        <v>47424</v>
      </c>
      <c r="O6581" t="s">
        <v>47425</v>
      </c>
      <c r="P6581">
        <v>0</v>
      </c>
      <c r="Q6581">
        <v>0</v>
      </c>
      <c r="R6581" t="s">
        <v>47431</v>
      </c>
      <c r="S6581" t="s">
        <v>47565</v>
      </c>
      <c r="T6581" t="s">
        <v>49239</v>
      </c>
      <c r="U6581" t="s">
        <v>55227</v>
      </c>
      <c r="W6581" t="s">
        <v>43819</v>
      </c>
      <c r="X6581" t="s">
        <v>47432</v>
      </c>
    </row>
    <row r="6582" spans="1:24">
      <c r="A6582">
        <f>HYPERLINK("https://www.philgeps.gov.ph/GEPSNONPILOT/Tender/SplashBidNoticeAbstractUI.aspx?menuIndex=3&amp;refID=7156069&amp;Result=3","7156069")</f>
        <v>0</v>
      </c>
      <c r="B6582" t="s">
        <v>2351</v>
      </c>
      <c r="C6582" t="s">
        <v>10104</v>
      </c>
      <c r="D6582" t="s">
        <v>19022</v>
      </c>
      <c r="E6582" t="s">
        <v>24840</v>
      </c>
      <c r="F6582" t="s">
        <v>32831</v>
      </c>
      <c r="G6582" t="s">
        <v>32839</v>
      </c>
      <c r="H6582" t="s">
        <v>32848</v>
      </c>
      <c r="I6582" t="s">
        <v>32897</v>
      </c>
      <c r="J6582" t="s">
        <v>37131</v>
      </c>
      <c r="K6582" t="s">
        <v>42732</v>
      </c>
      <c r="L6582" t="s">
        <v>2351</v>
      </c>
      <c r="M6582" t="s">
        <v>45540</v>
      </c>
      <c r="N6582" t="s">
        <v>47424</v>
      </c>
      <c r="O6582" t="s">
        <v>47425</v>
      </c>
      <c r="P6582">
        <v>0</v>
      </c>
      <c r="Q6582">
        <v>1</v>
      </c>
      <c r="R6582" t="s">
        <v>47431</v>
      </c>
      <c r="S6582" t="s">
        <v>47565</v>
      </c>
      <c r="T6582" t="s">
        <v>49221</v>
      </c>
      <c r="U6582" t="s">
        <v>55228</v>
      </c>
      <c r="W6582" t="s">
        <v>45540</v>
      </c>
      <c r="X6582" t="s">
        <v>47432</v>
      </c>
    </row>
    <row r="6583" spans="1:24">
      <c r="A6583">
        <f>HYPERLINK("https://www.philgeps.gov.ph/GEPSNONPILOT/Tender/SplashBidNoticeAbstractUI.aspx?menuIndex=3&amp;refID=7156066&amp;Result=3","7156066")</f>
        <v>0</v>
      </c>
      <c r="B6583" t="s">
        <v>2352</v>
      </c>
      <c r="C6583" t="s">
        <v>10105</v>
      </c>
      <c r="D6583" t="s">
        <v>19059</v>
      </c>
      <c r="E6583" t="s">
        <v>24841</v>
      </c>
      <c r="F6583" t="s">
        <v>32831</v>
      </c>
      <c r="G6583" t="s">
        <v>32839</v>
      </c>
      <c r="H6583" t="s">
        <v>32849</v>
      </c>
      <c r="I6583" t="s">
        <v>4177</v>
      </c>
      <c r="J6583" t="s">
        <v>32976</v>
      </c>
      <c r="K6583" t="s">
        <v>42730</v>
      </c>
      <c r="M6583" t="s">
        <v>45541</v>
      </c>
      <c r="N6583" t="s">
        <v>47424</v>
      </c>
      <c r="O6583" t="s">
        <v>47425</v>
      </c>
      <c r="P6583">
        <v>0</v>
      </c>
      <c r="Q6583">
        <v>0</v>
      </c>
      <c r="R6583" t="s">
        <v>47431</v>
      </c>
      <c r="S6583" t="s">
        <v>47565</v>
      </c>
      <c r="T6583" t="s">
        <v>49129</v>
      </c>
      <c r="U6583" t="s">
        <v>55229</v>
      </c>
      <c r="W6583" t="s">
        <v>45541</v>
      </c>
      <c r="X6583" t="s">
        <v>47432</v>
      </c>
    </row>
    <row r="6584" spans="1:24">
      <c r="A6584">
        <f>HYPERLINK("https://www.philgeps.gov.ph/GEPSNONPILOT/Tender/SplashBidNoticeAbstractUI.aspx?menuIndex=3&amp;refID=7156061&amp;Result=3","7156061")</f>
        <v>0</v>
      </c>
      <c r="B6584" t="s">
        <v>1130</v>
      </c>
      <c r="C6584" t="s">
        <v>10106</v>
      </c>
      <c r="D6584" t="s">
        <v>19045</v>
      </c>
      <c r="E6584" t="s">
        <v>24842</v>
      </c>
      <c r="F6584" t="s">
        <v>32831</v>
      </c>
      <c r="G6584" t="s">
        <v>32839</v>
      </c>
      <c r="H6584" t="s">
        <v>32849</v>
      </c>
      <c r="I6584" t="s">
        <v>32852</v>
      </c>
      <c r="J6584" t="s">
        <v>37132</v>
      </c>
      <c r="K6584" t="s">
        <v>42729</v>
      </c>
      <c r="M6584" t="s">
        <v>45442</v>
      </c>
      <c r="N6584" t="s">
        <v>47424</v>
      </c>
      <c r="O6584" t="s">
        <v>47425</v>
      </c>
      <c r="P6584">
        <v>0</v>
      </c>
      <c r="Q6584">
        <v>3</v>
      </c>
      <c r="R6584" t="s">
        <v>47431</v>
      </c>
      <c r="S6584" t="s">
        <v>47565</v>
      </c>
      <c r="T6584" t="s">
        <v>49188</v>
      </c>
      <c r="U6584" t="s">
        <v>55120</v>
      </c>
      <c r="V6584" t="s">
        <v>63325</v>
      </c>
      <c r="W6584" t="s">
        <v>45442</v>
      </c>
      <c r="X6584" t="s">
        <v>47432</v>
      </c>
    </row>
    <row r="6585" spans="1:24">
      <c r="A6585">
        <f>HYPERLINK("https://www.philgeps.gov.ph/GEPSNONPILOT/Tender/SplashBidNoticeAbstractUI.aspx?menuIndex=3&amp;refID=7155667&amp;Result=3","7155667")</f>
        <v>0</v>
      </c>
      <c r="B6585" t="s">
        <v>2353</v>
      </c>
      <c r="C6585" t="s">
        <v>10107</v>
      </c>
      <c r="D6585" t="s">
        <v>19023</v>
      </c>
      <c r="E6585" t="s">
        <v>24843</v>
      </c>
      <c r="F6585" t="s">
        <v>32831</v>
      </c>
      <c r="G6585" t="s">
        <v>32839</v>
      </c>
      <c r="H6585" t="s">
        <v>32849</v>
      </c>
      <c r="I6585" t="s">
        <v>4177</v>
      </c>
      <c r="J6585" t="s">
        <v>32983</v>
      </c>
      <c r="K6585" t="s">
        <v>42731</v>
      </c>
      <c r="M6585" t="s">
        <v>45542</v>
      </c>
      <c r="N6585" t="s">
        <v>47424</v>
      </c>
      <c r="O6585" t="s">
        <v>47425</v>
      </c>
      <c r="P6585">
        <v>0</v>
      </c>
      <c r="Q6585">
        <v>0</v>
      </c>
      <c r="R6585" t="s">
        <v>47431</v>
      </c>
      <c r="S6585" t="s">
        <v>47565</v>
      </c>
      <c r="T6585" t="s">
        <v>49125</v>
      </c>
      <c r="U6585" t="s">
        <v>55230</v>
      </c>
      <c r="W6585" t="s">
        <v>45542</v>
      </c>
      <c r="X6585" t="s">
        <v>47432</v>
      </c>
    </row>
    <row r="6586" spans="1:24">
      <c r="A6586">
        <f>HYPERLINK("https://www.philgeps.gov.ph/GEPSNONPILOT/Tender/SplashBidNoticeAbstractUI.aspx?menuIndex=3&amp;refID=7155666&amp;Result=3","7155666")</f>
        <v>0</v>
      </c>
      <c r="B6586" t="s">
        <v>2263</v>
      </c>
      <c r="C6586" t="s">
        <v>9834</v>
      </c>
      <c r="D6586" t="s">
        <v>19019</v>
      </c>
      <c r="E6586" t="s">
        <v>24844</v>
      </c>
      <c r="F6586" t="s">
        <v>32833</v>
      </c>
      <c r="G6586" t="s">
        <v>32838</v>
      </c>
      <c r="H6586" t="s">
        <v>32848</v>
      </c>
      <c r="I6586" t="s">
        <v>4438</v>
      </c>
      <c r="J6586" t="s">
        <v>37133</v>
      </c>
      <c r="K6586" t="s">
        <v>42727</v>
      </c>
      <c r="M6586" t="s">
        <v>45447</v>
      </c>
      <c r="N6586" t="s">
        <v>47424</v>
      </c>
      <c r="O6586" t="s">
        <v>47425</v>
      </c>
      <c r="P6586">
        <v>0</v>
      </c>
      <c r="Q6586">
        <v>0</v>
      </c>
      <c r="R6586" t="s">
        <v>47431</v>
      </c>
      <c r="S6586" t="s">
        <v>47565</v>
      </c>
      <c r="T6586" t="s">
        <v>49198</v>
      </c>
      <c r="U6586" t="s">
        <v>55231</v>
      </c>
      <c r="W6586" t="s">
        <v>45447</v>
      </c>
      <c r="X6586" t="s">
        <v>47432</v>
      </c>
    </row>
    <row r="6587" spans="1:24">
      <c r="A6587">
        <f>HYPERLINK("https://www.philgeps.gov.ph/GEPSNONPILOT/Tender/SplashBidNoticeAbstractUI.aspx?menuIndex=3&amp;refID=7155662&amp;Result=3","7155662")</f>
        <v>0</v>
      </c>
      <c r="B6587" t="s">
        <v>96</v>
      </c>
      <c r="C6587" t="s">
        <v>10108</v>
      </c>
      <c r="D6587" t="s">
        <v>19053</v>
      </c>
      <c r="E6587" t="s">
        <v>24845</v>
      </c>
      <c r="F6587" t="s">
        <v>32831</v>
      </c>
      <c r="G6587" t="s">
        <v>32838</v>
      </c>
      <c r="H6587" t="s">
        <v>32848</v>
      </c>
      <c r="I6587" t="s">
        <v>32858</v>
      </c>
      <c r="J6587" t="s">
        <v>37134</v>
      </c>
      <c r="K6587" t="s">
        <v>42758</v>
      </c>
      <c r="M6587" t="s">
        <v>43093</v>
      </c>
      <c r="N6587" t="s">
        <v>47424</v>
      </c>
      <c r="O6587" t="s">
        <v>47425</v>
      </c>
      <c r="P6587">
        <v>0</v>
      </c>
      <c r="Q6587">
        <v>0</v>
      </c>
      <c r="R6587" t="s">
        <v>47431</v>
      </c>
      <c r="S6587" t="s">
        <v>47565</v>
      </c>
      <c r="T6587" t="s">
        <v>49397</v>
      </c>
      <c r="U6587" t="s">
        <v>55232</v>
      </c>
      <c r="W6587" t="s">
        <v>64431</v>
      </c>
      <c r="X6587" t="s">
        <v>47432</v>
      </c>
    </row>
    <row r="6588" spans="1:24">
      <c r="A6588">
        <f>HYPERLINK("https://www.philgeps.gov.ph/GEPSNONPILOT/Tender/SplashBidNoticeAbstractUI.aspx?menuIndex=3&amp;refID=7155669&amp;Result=3","7155669")</f>
        <v>0</v>
      </c>
      <c r="B6588" t="s">
        <v>2354</v>
      </c>
      <c r="C6588" t="s">
        <v>9702</v>
      </c>
      <c r="D6588" t="s">
        <v>19045</v>
      </c>
      <c r="E6588" t="s">
        <v>19351</v>
      </c>
      <c r="F6588" t="s">
        <v>32831</v>
      </c>
      <c r="G6588" t="s">
        <v>32839</v>
      </c>
      <c r="H6588" t="s">
        <v>32849</v>
      </c>
      <c r="I6588" t="s">
        <v>32852</v>
      </c>
      <c r="J6588" t="s">
        <v>35198</v>
      </c>
      <c r="K6588" t="s">
        <v>42727</v>
      </c>
      <c r="M6588" t="s">
        <v>45543</v>
      </c>
      <c r="N6588" t="s">
        <v>47424</v>
      </c>
      <c r="O6588" t="s">
        <v>47425</v>
      </c>
      <c r="P6588">
        <v>0</v>
      </c>
      <c r="Q6588">
        <v>0</v>
      </c>
      <c r="R6588" t="s">
        <v>47431</v>
      </c>
      <c r="S6588" t="s">
        <v>47565</v>
      </c>
      <c r="T6588" t="s">
        <v>49129</v>
      </c>
      <c r="U6588" t="s">
        <v>55233</v>
      </c>
      <c r="W6588" t="s">
        <v>45543</v>
      </c>
      <c r="X6588" t="s">
        <v>47432</v>
      </c>
    </row>
    <row r="6589" spans="1:24">
      <c r="A6589">
        <f>HYPERLINK("https://www.philgeps.gov.ph/GEPSNONPILOT/Tender/SplashBidNoticeAbstractUI.aspx?menuIndex=3&amp;refID=7155635&amp;Result=3","7155635")</f>
        <v>0</v>
      </c>
      <c r="B6589" t="s">
        <v>2355</v>
      </c>
      <c r="C6589" t="s">
        <v>10109</v>
      </c>
      <c r="D6589" t="s">
        <v>19025</v>
      </c>
      <c r="E6589" t="s">
        <v>24846</v>
      </c>
      <c r="F6589" t="s">
        <v>32831</v>
      </c>
      <c r="G6589" t="s">
        <v>32838</v>
      </c>
      <c r="H6589" t="s">
        <v>32848</v>
      </c>
      <c r="I6589" t="s">
        <v>32915</v>
      </c>
      <c r="J6589" t="s">
        <v>37135</v>
      </c>
      <c r="K6589" t="s">
        <v>42730</v>
      </c>
      <c r="M6589" t="s">
        <v>45544</v>
      </c>
      <c r="N6589" t="s">
        <v>47424</v>
      </c>
      <c r="O6589" t="s">
        <v>47425</v>
      </c>
      <c r="P6589">
        <v>0</v>
      </c>
      <c r="Q6589">
        <v>3</v>
      </c>
      <c r="R6589" t="s">
        <v>47431</v>
      </c>
      <c r="S6589" t="s">
        <v>47565</v>
      </c>
      <c r="T6589" t="s">
        <v>49177</v>
      </c>
      <c r="U6589" t="s">
        <v>55234</v>
      </c>
      <c r="W6589" t="s">
        <v>45544</v>
      </c>
      <c r="X6589" t="s">
        <v>47432</v>
      </c>
    </row>
    <row r="6590" spans="1:24">
      <c r="A6590">
        <f>HYPERLINK("https://www.philgeps.gov.ph/GEPSNONPILOT/Tender/SplashBidNoticeAbstractUI.aspx?menuIndex=3&amp;refID=7155634&amp;Result=3","7155634")</f>
        <v>0</v>
      </c>
      <c r="B6590" t="s">
        <v>96</v>
      </c>
      <c r="C6590" t="s">
        <v>10110</v>
      </c>
      <c r="D6590" t="s">
        <v>19053</v>
      </c>
      <c r="E6590" t="s">
        <v>24847</v>
      </c>
      <c r="F6590" t="s">
        <v>32831</v>
      </c>
      <c r="G6590" t="s">
        <v>32838</v>
      </c>
      <c r="H6590" t="s">
        <v>32848</v>
      </c>
      <c r="I6590" t="s">
        <v>32864</v>
      </c>
      <c r="J6590" t="s">
        <v>35100</v>
      </c>
      <c r="K6590" t="s">
        <v>42760</v>
      </c>
      <c r="M6590" t="s">
        <v>43093</v>
      </c>
      <c r="N6590" t="s">
        <v>47424</v>
      </c>
      <c r="O6590" t="s">
        <v>47425</v>
      </c>
      <c r="P6590">
        <v>0</v>
      </c>
      <c r="Q6590">
        <v>2</v>
      </c>
      <c r="R6590" t="s">
        <v>47431</v>
      </c>
      <c r="S6590" t="s">
        <v>47565</v>
      </c>
      <c r="T6590" t="s">
        <v>49397</v>
      </c>
      <c r="U6590" t="s">
        <v>55235</v>
      </c>
      <c r="W6590" t="s">
        <v>64431</v>
      </c>
      <c r="X6590" t="s">
        <v>47432</v>
      </c>
    </row>
    <row r="6591" spans="1:24">
      <c r="A6591">
        <f>HYPERLINK("https://www.philgeps.gov.ph/GEPSNONPILOT/Tender/SplashBidNoticeAbstractUI.aspx?menuIndex=3&amp;refID=7155628&amp;Result=3","7155628")</f>
        <v>0</v>
      </c>
      <c r="B6591" t="s">
        <v>435</v>
      </c>
      <c r="C6591" t="s">
        <v>10111</v>
      </c>
      <c r="D6591" t="s">
        <v>19060</v>
      </c>
      <c r="E6591" t="s">
        <v>24848</v>
      </c>
      <c r="F6591" t="s">
        <v>32831</v>
      </c>
      <c r="G6591" t="s">
        <v>32838</v>
      </c>
      <c r="H6591" t="s">
        <v>32848</v>
      </c>
      <c r="I6591" t="s">
        <v>7416</v>
      </c>
      <c r="J6591" t="s">
        <v>37136</v>
      </c>
      <c r="K6591" t="s">
        <v>42731</v>
      </c>
      <c r="M6591" t="s">
        <v>43440</v>
      </c>
      <c r="N6591" t="s">
        <v>47424</v>
      </c>
      <c r="O6591" t="s">
        <v>47425</v>
      </c>
      <c r="P6591">
        <v>0</v>
      </c>
      <c r="Q6591">
        <v>0</v>
      </c>
      <c r="R6591" t="s">
        <v>47431</v>
      </c>
      <c r="S6591" t="s">
        <v>47565</v>
      </c>
      <c r="T6591" t="s">
        <v>49162</v>
      </c>
      <c r="U6591" t="s">
        <v>55236</v>
      </c>
      <c r="W6591" t="s">
        <v>43440</v>
      </c>
      <c r="X6591" t="s">
        <v>47432</v>
      </c>
    </row>
    <row r="6592" spans="1:24">
      <c r="A6592">
        <f>HYPERLINK("https://www.philgeps.gov.ph/GEPSNONPILOT/Tender/SplashBidNoticeAbstractUI.aspx?menuIndex=3&amp;refID=7155627&amp;Result=3","7155627")</f>
        <v>0</v>
      </c>
      <c r="B6592" t="s">
        <v>661</v>
      </c>
      <c r="C6592" t="s">
        <v>10112</v>
      </c>
      <c r="D6592" t="s">
        <v>19058</v>
      </c>
      <c r="E6592" t="s">
        <v>24849</v>
      </c>
      <c r="F6592" t="s">
        <v>32831</v>
      </c>
      <c r="G6592" t="s">
        <v>32839</v>
      </c>
      <c r="H6592" t="s">
        <v>32848</v>
      </c>
      <c r="I6592" t="s">
        <v>32884</v>
      </c>
      <c r="J6592" t="s">
        <v>37137</v>
      </c>
      <c r="K6592" t="s">
        <v>42731</v>
      </c>
      <c r="M6592" t="s">
        <v>43679</v>
      </c>
      <c r="N6592" t="s">
        <v>47424</v>
      </c>
      <c r="O6592" t="s">
        <v>47425</v>
      </c>
      <c r="P6592">
        <v>0</v>
      </c>
      <c r="Q6592">
        <v>1</v>
      </c>
      <c r="R6592" t="s">
        <v>47431</v>
      </c>
      <c r="S6592" t="s">
        <v>47565</v>
      </c>
      <c r="T6592" t="s">
        <v>49056</v>
      </c>
      <c r="U6592" t="s">
        <v>55237</v>
      </c>
      <c r="W6592" t="s">
        <v>43679</v>
      </c>
      <c r="X6592" t="s">
        <v>47432</v>
      </c>
    </row>
    <row r="6593" spans="1:24">
      <c r="A6593">
        <f>HYPERLINK("https://www.philgeps.gov.ph/GEPSNONPILOT/Tender/SplashBidNoticeAbstractUI.aspx?menuIndex=3&amp;refID=7155624&amp;Result=3","7155624")</f>
        <v>0</v>
      </c>
      <c r="B6593" t="s">
        <v>2356</v>
      </c>
      <c r="C6593" t="s">
        <v>10113</v>
      </c>
      <c r="D6593" t="s">
        <v>19017</v>
      </c>
      <c r="E6593" t="s">
        <v>24850</v>
      </c>
      <c r="F6593" t="s">
        <v>32831</v>
      </c>
      <c r="G6593" t="s">
        <v>32845</v>
      </c>
      <c r="H6593" t="s">
        <v>32848</v>
      </c>
      <c r="I6593" t="s">
        <v>4487</v>
      </c>
      <c r="J6593" t="s">
        <v>37138</v>
      </c>
      <c r="K6593" t="s">
        <v>42729</v>
      </c>
      <c r="M6593" t="s">
        <v>45545</v>
      </c>
      <c r="N6593" t="s">
        <v>47424</v>
      </c>
      <c r="O6593" t="s">
        <v>47425</v>
      </c>
      <c r="P6593">
        <v>0</v>
      </c>
      <c r="Q6593">
        <v>25</v>
      </c>
      <c r="R6593" t="s">
        <v>47431</v>
      </c>
      <c r="S6593" t="s">
        <v>47565</v>
      </c>
      <c r="T6593" t="s">
        <v>49065</v>
      </c>
      <c r="U6593" t="s">
        <v>55238</v>
      </c>
      <c r="W6593" t="s">
        <v>45545</v>
      </c>
      <c r="X6593" t="s">
        <v>47432</v>
      </c>
    </row>
    <row r="6594" spans="1:24">
      <c r="A6594">
        <f>HYPERLINK("https://www.philgeps.gov.ph/GEPSNONPILOT/Tender/SplashBidNoticeAbstractUI.aspx?menuIndex=3&amp;refID=7155623&amp;Result=3","7155623")</f>
        <v>0</v>
      </c>
      <c r="B6594" t="s">
        <v>2357</v>
      </c>
      <c r="C6594" t="s">
        <v>10114</v>
      </c>
      <c r="D6594" t="s">
        <v>19044</v>
      </c>
      <c r="E6594" t="s">
        <v>19555</v>
      </c>
      <c r="F6594" t="s">
        <v>32831</v>
      </c>
      <c r="G6594" t="s">
        <v>32839</v>
      </c>
      <c r="H6594" t="s">
        <v>32848</v>
      </c>
      <c r="I6594" t="s">
        <v>4177</v>
      </c>
      <c r="J6594" t="s">
        <v>37139</v>
      </c>
      <c r="K6594" t="s">
        <v>42747</v>
      </c>
      <c r="M6594" t="s">
        <v>45546</v>
      </c>
      <c r="N6594" t="s">
        <v>47424</v>
      </c>
      <c r="O6594" t="s">
        <v>47425</v>
      </c>
      <c r="P6594">
        <v>0</v>
      </c>
      <c r="Q6594">
        <v>0</v>
      </c>
      <c r="R6594" t="s">
        <v>47431</v>
      </c>
      <c r="S6594" t="s">
        <v>47565</v>
      </c>
      <c r="T6594" t="s">
        <v>49063</v>
      </c>
      <c r="U6594" t="s">
        <v>55239</v>
      </c>
      <c r="W6594" t="s">
        <v>45546</v>
      </c>
      <c r="X6594" t="s">
        <v>47432</v>
      </c>
    </row>
    <row r="6595" spans="1:24">
      <c r="A6595">
        <f>HYPERLINK("https://www.philgeps.gov.ph/GEPSNONPILOT/Tender/SplashBidNoticeAbstractUI.aspx?menuIndex=3&amp;refID=7155622&amp;Result=3","7155622")</f>
        <v>0</v>
      </c>
      <c r="B6595" t="s">
        <v>2271</v>
      </c>
      <c r="C6595" t="s">
        <v>10115</v>
      </c>
      <c r="D6595" t="s">
        <v>19077</v>
      </c>
      <c r="E6595" t="s">
        <v>19476</v>
      </c>
      <c r="F6595" t="s">
        <v>32831</v>
      </c>
      <c r="G6595" t="s">
        <v>32840</v>
      </c>
      <c r="H6595" t="s">
        <v>32848</v>
      </c>
      <c r="I6595" t="s">
        <v>32860</v>
      </c>
      <c r="J6595" t="s">
        <v>37140</v>
      </c>
      <c r="K6595" t="s">
        <v>42727</v>
      </c>
      <c r="M6595" t="s">
        <v>45455</v>
      </c>
      <c r="N6595" t="s">
        <v>47424</v>
      </c>
      <c r="O6595" t="s">
        <v>47425</v>
      </c>
      <c r="P6595">
        <v>0</v>
      </c>
      <c r="Q6595">
        <v>1</v>
      </c>
      <c r="R6595" t="s">
        <v>47431</v>
      </c>
      <c r="S6595" t="s">
        <v>47565</v>
      </c>
      <c r="T6595" t="s">
        <v>49055</v>
      </c>
      <c r="U6595" t="s">
        <v>54992</v>
      </c>
      <c r="W6595" t="s">
        <v>45455</v>
      </c>
      <c r="X6595" t="s">
        <v>47432</v>
      </c>
    </row>
    <row r="6596" spans="1:24">
      <c r="A6596">
        <f>HYPERLINK("https://www.philgeps.gov.ph/GEPSNONPILOT/Tender/SplashBidNoticeAbstractUI.aspx?menuIndex=3&amp;refID=7155663&amp;Result=3","7155663")</f>
        <v>0</v>
      </c>
      <c r="B6596" t="s">
        <v>1022</v>
      </c>
      <c r="C6596" t="s">
        <v>10116</v>
      </c>
      <c r="E6596" t="s">
        <v>24851</v>
      </c>
      <c r="F6596" t="s">
        <v>32831</v>
      </c>
      <c r="G6596" t="s">
        <v>32839</v>
      </c>
      <c r="H6596" t="s">
        <v>32848</v>
      </c>
      <c r="I6596" t="s">
        <v>4222</v>
      </c>
      <c r="J6596" t="s">
        <v>37141</v>
      </c>
      <c r="K6596" t="s">
        <v>42732</v>
      </c>
      <c r="M6596" t="s">
        <v>44072</v>
      </c>
      <c r="N6596" t="s">
        <v>47424</v>
      </c>
      <c r="O6596" t="s">
        <v>47425</v>
      </c>
      <c r="P6596">
        <v>0</v>
      </c>
      <c r="Q6596">
        <v>9</v>
      </c>
      <c r="R6596" t="s">
        <v>47431</v>
      </c>
      <c r="S6596" t="s">
        <v>47565</v>
      </c>
      <c r="T6596" t="s">
        <v>49319</v>
      </c>
      <c r="U6596" t="s">
        <v>55240</v>
      </c>
      <c r="W6596" t="s">
        <v>64453</v>
      </c>
      <c r="X6596" t="s">
        <v>47432</v>
      </c>
    </row>
    <row r="6597" spans="1:24">
      <c r="A6597">
        <f>HYPERLINK("https://www.philgeps.gov.ph/GEPSNONPILOT/Tender/SplashBidNoticeAbstractUI.aspx?menuIndex=3&amp;refID=7155708&amp;Result=3","7155708")</f>
        <v>0</v>
      </c>
      <c r="B6597" t="s">
        <v>2252</v>
      </c>
      <c r="C6597" t="s">
        <v>9798</v>
      </c>
      <c r="D6597" t="s">
        <v>19062</v>
      </c>
      <c r="E6597" t="s">
        <v>24648</v>
      </c>
      <c r="F6597" t="s">
        <v>32831</v>
      </c>
      <c r="G6597" t="s">
        <v>32842</v>
      </c>
      <c r="H6597" t="s">
        <v>32848</v>
      </c>
      <c r="I6597" t="s">
        <v>32910</v>
      </c>
      <c r="J6597" t="s">
        <v>33086</v>
      </c>
      <c r="K6597" t="s">
        <v>42731</v>
      </c>
      <c r="M6597" t="s">
        <v>45433</v>
      </c>
      <c r="N6597" t="s">
        <v>47424</v>
      </c>
      <c r="O6597" t="s">
        <v>47425</v>
      </c>
      <c r="P6597">
        <v>0</v>
      </c>
      <c r="Q6597">
        <v>0</v>
      </c>
      <c r="R6597" t="s">
        <v>47431</v>
      </c>
      <c r="S6597" t="s">
        <v>47565</v>
      </c>
      <c r="T6597" t="s">
        <v>49145</v>
      </c>
      <c r="U6597" t="s">
        <v>55241</v>
      </c>
      <c r="W6597" t="s">
        <v>45433</v>
      </c>
      <c r="X6597" t="s">
        <v>47432</v>
      </c>
    </row>
    <row r="6598" spans="1:24">
      <c r="A6598">
        <f>HYPERLINK("https://www.philgeps.gov.ph/GEPSNONPILOT/Tender/SplashBidNoticeAbstractUI.aspx?menuIndex=3&amp;refID=7156140&amp;Result=3","7156140")</f>
        <v>0</v>
      </c>
      <c r="B6598" t="s">
        <v>1829</v>
      </c>
      <c r="C6598" t="s">
        <v>4255</v>
      </c>
      <c r="D6598" t="s">
        <v>19057</v>
      </c>
      <c r="E6598" t="s">
        <v>24852</v>
      </c>
      <c r="F6598" t="s">
        <v>32831</v>
      </c>
      <c r="G6598" t="s">
        <v>32839</v>
      </c>
      <c r="H6598" t="s">
        <v>32849</v>
      </c>
      <c r="I6598" t="s">
        <v>4177</v>
      </c>
      <c r="J6598" t="s">
        <v>37142</v>
      </c>
      <c r="K6598" t="s">
        <v>42729</v>
      </c>
      <c r="M6598" t="s">
        <v>44962</v>
      </c>
      <c r="N6598" t="s">
        <v>47424</v>
      </c>
      <c r="O6598" t="s">
        <v>47425</v>
      </c>
      <c r="P6598">
        <v>0</v>
      </c>
      <c r="Q6598">
        <v>0</v>
      </c>
      <c r="R6598" t="s">
        <v>47431</v>
      </c>
      <c r="S6598" t="s">
        <v>47565</v>
      </c>
      <c r="T6598" t="s">
        <v>49129</v>
      </c>
      <c r="U6598" t="s">
        <v>55242</v>
      </c>
      <c r="W6598" t="s">
        <v>44962</v>
      </c>
      <c r="X6598" t="s">
        <v>47432</v>
      </c>
    </row>
    <row r="6599" spans="1:24">
      <c r="A6599">
        <f>HYPERLINK("https://www.philgeps.gov.ph/GEPSNONPILOT/Tender/SplashBidNoticeAbstractUI.aspx?menuIndex=3&amp;refID=7156134&amp;Result=3","7156134")</f>
        <v>0</v>
      </c>
      <c r="B6599" t="s">
        <v>48</v>
      </c>
      <c r="C6599" t="s">
        <v>10117</v>
      </c>
      <c r="D6599" t="s">
        <v>19036</v>
      </c>
      <c r="E6599" t="s">
        <v>24853</v>
      </c>
      <c r="F6599" t="s">
        <v>32831</v>
      </c>
      <c r="G6599" t="s">
        <v>32839</v>
      </c>
      <c r="H6599" t="s">
        <v>32849</v>
      </c>
      <c r="I6599" t="s">
        <v>4177</v>
      </c>
      <c r="J6599" t="s">
        <v>37143</v>
      </c>
      <c r="K6599" t="s">
        <v>42789</v>
      </c>
      <c r="M6599" t="s">
        <v>43045</v>
      </c>
      <c r="N6599" t="s">
        <v>47424</v>
      </c>
      <c r="O6599" t="s">
        <v>47425</v>
      </c>
      <c r="P6599">
        <v>0</v>
      </c>
      <c r="Q6599">
        <v>0</v>
      </c>
      <c r="R6599" t="s">
        <v>47431</v>
      </c>
      <c r="S6599" t="s">
        <v>47565</v>
      </c>
      <c r="T6599" t="s">
        <v>49236</v>
      </c>
      <c r="U6599" t="s">
        <v>55243</v>
      </c>
      <c r="W6599" t="s">
        <v>43045</v>
      </c>
      <c r="X6599" t="s">
        <v>47432</v>
      </c>
    </row>
    <row r="6600" spans="1:24">
      <c r="A6600">
        <f>HYPERLINK("https://www.philgeps.gov.ph/GEPSNONPILOT/Tender/SplashBidNoticeAbstractUI.aspx?menuIndex=3&amp;refID=7156131&amp;Result=3","7156131")</f>
        <v>0</v>
      </c>
      <c r="B6600" t="s">
        <v>1130</v>
      </c>
      <c r="C6600" t="s">
        <v>10118</v>
      </c>
      <c r="D6600" t="s">
        <v>19045</v>
      </c>
      <c r="E6600" t="s">
        <v>24854</v>
      </c>
      <c r="F6600" t="s">
        <v>32831</v>
      </c>
      <c r="G6600" t="s">
        <v>32839</v>
      </c>
      <c r="H6600" t="s">
        <v>32849</v>
      </c>
      <c r="I6600" t="s">
        <v>4177</v>
      </c>
      <c r="J6600" t="s">
        <v>37144</v>
      </c>
      <c r="K6600" t="s">
        <v>42730</v>
      </c>
      <c r="M6600" t="s">
        <v>45442</v>
      </c>
      <c r="N6600" t="s">
        <v>47424</v>
      </c>
      <c r="O6600" t="s">
        <v>47425</v>
      </c>
      <c r="P6600">
        <v>0</v>
      </c>
      <c r="Q6600">
        <v>1</v>
      </c>
      <c r="R6600" t="s">
        <v>47431</v>
      </c>
      <c r="S6600" t="s">
        <v>47565</v>
      </c>
      <c r="T6600" t="s">
        <v>49188</v>
      </c>
      <c r="U6600" t="s">
        <v>55244</v>
      </c>
      <c r="V6600" t="s">
        <v>63325</v>
      </c>
      <c r="W6600" t="s">
        <v>45442</v>
      </c>
      <c r="X6600" t="s">
        <v>47432</v>
      </c>
    </row>
    <row r="6601" spans="1:24">
      <c r="A6601">
        <f>HYPERLINK("https://www.philgeps.gov.ph/GEPSNONPILOT/Tender/SplashBidNoticeAbstractUI.aspx?menuIndex=3&amp;refID=7156128&amp;Result=3","7156128")</f>
        <v>0</v>
      </c>
      <c r="B6601" t="s">
        <v>2211</v>
      </c>
      <c r="C6601" t="s">
        <v>10119</v>
      </c>
      <c r="D6601" t="s">
        <v>19104</v>
      </c>
      <c r="E6601" t="s">
        <v>20964</v>
      </c>
      <c r="F6601" t="s">
        <v>32831</v>
      </c>
      <c r="G6601" t="s">
        <v>32838</v>
      </c>
      <c r="H6601" t="s">
        <v>32848</v>
      </c>
      <c r="I6601" t="s">
        <v>7416</v>
      </c>
      <c r="J6601" t="s">
        <v>37145</v>
      </c>
      <c r="K6601" t="s">
        <v>42727</v>
      </c>
      <c r="M6601" t="s">
        <v>45391</v>
      </c>
      <c r="N6601" t="s">
        <v>47424</v>
      </c>
      <c r="O6601" t="s">
        <v>47425</v>
      </c>
      <c r="P6601">
        <v>0</v>
      </c>
      <c r="Q6601">
        <v>0</v>
      </c>
      <c r="R6601" t="s">
        <v>47431</v>
      </c>
      <c r="S6601" t="s">
        <v>47565</v>
      </c>
      <c r="T6601" t="s">
        <v>49056</v>
      </c>
      <c r="U6601" t="s">
        <v>55245</v>
      </c>
      <c r="V6601" t="s">
        <v>63302</v>
      </c>
      <c r="W6601" t="s">
        <v>45391</v>
      </c>
      <c r="X6601" t="s">
        <v>47432</v>
      </c>
    </row>
    <row r="6602" spans="1:24">
      <c r="A6602">
        <f>HYPERLINK("https://www.philgeps.gov.ph/GEPSNONPILOT/Tender/SplashBidNoticeAbstractUI.aspx?menuIndex=3&amp;refID=7155675&amp;Result=3","7155675")</f>
        <v>0</v>
      </c>
      <c r="B6602" t="s">
        <v>2358</v>
      </c>
      <c r="C6602" t="s">
        <v>10120</v>
      </c>
      <c r="D6602" t="s">
        <v>19034</v>
      </c>
      <c r="E6602" t="s">
        <v>24855</v>
      </c>
      <c r="F6602" t="s">
        <v>32831</v>
      </c>
      <c r="G6602" t="s">
        <v>32839</v>
      </c>
      <c r="H6602" t="s">
        <v>32849</v>
      </c>
      <c r="I6602" t="s">
        <v>4177</v>
      </c>
      <c r="J6602" t="s">
        <v>33044</v>
      </c>
      <c r="K6602" t="s">
        <v>42747</v>
      </c>
      <c r="M6602" t="s">
        <v>45547</v>
      </c>
      <c r="N6602" t="s">
        <v>47424</v>
      </c>
      <c r="O6602" t="s">
        <v>47425</v>
      </c>
      <c r="P6602">
        <v>0</v>
      </c>
      <c r="Q6602">
        <v>0</v>
      </c>
      <c r="R6602" t="s">
        <v>47431</v>
      </c>
      <c r="S6602" t="s">
        <v>47565</v>
      </c>
      <c r="T6602" t="s">
        <v>49066</v>
      </c>
      <c r="U6602" t="s">
        <v>55246</v>
      </c>
      <c r="W6602" t="s">
        <v>45547</v>
      </c>
      <c r="X6602" t="s">
        <v>47432</v>
      </c>
    </row>
    <row r="6603" spans="1:24">
      <c r="A6603">
        <f>HYPERLINK("https://www.philgeps.gov.ph/GEPSNONPILOT/Tender/SplashBidNoticeAbstractUI.aspx?menuIndex=3&amp;refID=7156133&amp;Result=3","7156133")</f>
        <v>0</v>
      </c>
      <c r="B6603" t="s">
        <v>2359</v>
      </c>
      <c r="C6603" t="s">
        <v>10121</v>
      </c>
      <c r="D6603" t="s">
        <v>19049</v>
      </c>
      <c r="E6603" t="s">
        <v>24856</v>
      </c>
      <c r="F6603" t="s">
        <v>32831</v>
      </c>
      <c r="G6603" t="s">
        <v>32840</v>
      </c>
      <c r="H6603" t="s">
        <v>32850</v>
      </c>
      <c r="I6603" t="s">
        <v>32858</v>
      </c>
      <c r="J6603" t="s">
        <v>37146</v>
      </c>
      <c r="K6603" t="s">
        <v>42758</v>
      </c>
      <c r="M6603" t="s">
        <v>45548</v>
      </c>
      <c r="N6603" t="s">
        <v>47424</v>
      </c>
      <c r="O6603" t="s">
        <v>47425</v>
      </c>
      <c r="P6603">
        <v>0</v>
      </c>
      <c r="Q6603">
        <v>0</v>
      </c>
      <c r="R6603" t="s">
        <v>47431</v>
      </c>
      <c r="S6603" t="s">
        <v>47565</v>
      </c>
      <c r="T6603" t="s">
        <v>49237</v>
      </c>
      <c r="U6603" t="s">
        <v>55247</v>
      </c>
      <c r="W6603" t="s">
        <v>45548</v>
      </c>
      <c r="X6603" t="s">
        <v>47432</v>
      </c>
    </row>
    <row r="6604" spans="1:24">
      <c r="A6604">
        <f>HYPERLINK("https://www.philgeps.gov.ph/GEPSNONPILOT/Tender/SplashBidNoticeAbstractUI.aspx?menuIndex=3&amp;refID=7156123&amp;Result=3","7156123")</f>
        <v>0</v>
      </c>
      <c r="B6604" t="s">
        <v>2330</v>
      </c>
      <c r="C6604" t="s">
        <v>4340</v>
      </c>
      <c r="D6604" t="s">
        <v>19062</v>
      </c>
      <c r="E6604" t="s">
        <v>24857</v>
      </c>
      <c r="F6604" t="s">
        <v>32831</v>
      </c>
      <c r="G6604" t="s">
        <v>32838</v>
      </c>
      <c r="H6604" t="s">
        <v>32848</v>
      </c>
      <c r="I6604" t="s">
        <v>4340</v>
      </c>
      <c r="J6604" t="s">
        <v>37147</v>
      </c>
      <c r="K6604" t="s">
        <v>42759</v>
      </c>
      <c r="M6604" t="s">
        <v>45516</v>
      </c>
      <c r="N6604" t="s">
        <v>47424</v>
      </c>
      <c r="O6604" t="s">
        <v>47425</v>
      </c>
      <c r="P6604">
        <v>0</v>
      </c>
      <c r="Q6604">
        <v>1</v>
      </c>
      <c r="R6604" t="s">
        <v>47431</v>
      </c>
      <c r="S6604" t="s">
        <v>47565</v>
      </c>
      <c r="T6604" t="s">
        <v>49145</v>
      </c>
      <c r="U6604" t="s">
        <v>55248</v>
      </c>
      <c r="W6604" t="s">
        <v>45516</v>
      </c>
      <c r="X6604" t="s">
        <v>47432</v>
      </c>
    </row>
    <row r="6605" spans="1:24">
      <c r="A6605">
        <f>HYPERLINK("https://www.philgeps.gov.ph/GEPSNONPILOT/Tender/SplashBidNoticeAbstractUI.aspx?menuIndex=3&amp;refID=7156121&amp;Result=3","7156121")</f>
        <v>0</v>
      </c>
      <c r="B6605" t="s">
        <v>194</v>
      </c>
      <c r="C6605" t="s">
        <v>10122</v>
      </c>
      <c r="E6605" t="s">
        <v>24858</v>
      </c>
      <c r="F6605" t="s">
        <v>32831</v>
      </c>
      <c r="G6605" t="s">
        <v>32839</v>
      </c>
      <c r="H6605" t="s">
        <v>32849</v>
      </c>
      <c r="I6605" t="s">
        <v>4177</v>
      </c>
      <c r="J6605" t="s">
        <v>37148</v>
      </c>
      <c r="K6605" t="s">
        <v>42732</v>
      </c>
      <c r="M6605" t="s">
        <v>43192</v>
      </c>
      <c r="N6605" t="s">
        <v>47424</v>
      </c>
      <c r="O6605" t="s">
        <v>47425</v>
      </c>
      <c r="P6605">
        <v>0</v>
      </c>
      <c r="Q6605">
        <v>4</v>
      </c>
      <c r="R6605" t="s">
        <v>47431</v>
      </c>
      <c r="S6605" t="s">
        <v>47565</v>
      </c>
      <c r="T6605" t="s">
        <v>49254</v>
      </c>
      <c r="U6605" t="s">
        <v>55249</v>
      </c>
      <c r="W6605" t="s">
        <v>43192</v>
      </c>
      <c r="X6605" t="s">
        <v>47432</v>
      </c>
    </row>
    <row r="6606" spans="1:24">
      <c r="A6606">
        <f>HYPERLINK("https://www.philgeps.gov.ph/GEPSNONPILOT/Tender/SplashBidNoticeAbstractUI.aspx?menuIndex=3&amp;refID=7156119&amp;Result=3","7156119")</f>
        <v>0</v>
      </c>
      <c r="B6606" t="s">
        <v>171</v>
      </c>
      <c r="C6606" t="s">
        <v>10123</v>
      </c>
      <c r="E6606" t="s">
        <v>24859</v>
      </c>
      <c r="F6606" t="s">
        <v>32831</v>
      </c>
      <c r="G6606" t="s">
        <v>32838</v>
      </c>
      <c r="H6606" t="s">
        <v>32848</v>
      </c>
      <c r="I6606" t="s">
        <v>9577</v>
      </c>
      <c r="J6606" t="s">
        <v>37149</v>
      </c>
      <c r="K6606" t="s">
        <v>42730</v>
      </c>
      <c r="M6606" t="s">
        <v>43684</v>
      </c>
      <c r="N6606" t="s">
        <v>47424</v>
      </c>
      <c r="O6606" t="s">
        <v>47425</v>
      </c>
      <c r="P6606">
        <v>0</v>
      </c>
      <c r="Q6606">
        <v>1</v>
      </c>
      <c r="R6606" t="s">
        <v>47431</v>
      </c>
      <c r="S6606" t="s">
        <v>47565</v>
      </c>
      <c r="T6606" t="s">
        <v>49124</v>
      </c>
      <c r="U6606" t="s">
        <v>55250</v>
      </c>
      <c r="W6606" t="s">
        <v>64443</v>
      </c>
      <c r="X6606" t="s">
        <v>47432</v>
      </c>
    </row>
    <row r="6607" spans="1:24">
      <c r="A6607">
        <f>HYPERLINK("https://www.philgeps.gov.ph/GEPSNONPILOT/Tender/SplashBidNoticeAbstractUI.aspx?menuIndex=3&amp;refID=7156116&amp;Result=3","7156116")</f>
        <v>0</v>
      </c>
      <c r="B6607" t="s">
        <v>583</v>
      </c>
      <c r="C6607" t="s">
        <v>10124</v>
      </c>
      <c r="D6607" t="s">
        <v>19069</v>
      </c>
      <c r="E6607" t="s">
        <v>24860</v>
      </c>
      <c r="F6607" t="s">
        <v>32831</v>
      </c>
      <c r="G6607" t="s">
        <v>32838</v>
      </c>
      <c r="H6607" t="s">
        <v>32848</v>
      </c>
      <c r="I6607" t="s">
        <v>9577</v>
      </c>
      <c r="J6607" t="s">
        <v>37150</v>
      </c>
      <c r="K6607" t="s">
        <v>42731</v>
      </c>
      <c r="M6607" t="s">
        <v>43594</v>
      </c>
      <c r="N6607" t="s">
        <v>47424</v>
      </c>
      <c r="O6607" t="s">
        <v>47425</v>
      </c>
      <c r="P6607">
        <v>0</v>
      </c>
      <c r="Q6607">
        <v>0</v>
      </c>
      <c r="R6607" t="s">
        <v>47431</v>
      </c>
      <c r="S6607" t="s">
        <v>47565</v>
      </c>
      <c r="T6607" t="s">
        <v>49276</v>
      </c>
      <c r="U6607" t="s">
        <v>55251</v>
      </c>
      <c r="V6607" t="s">
        <v>63097</v>
      </c>
      <c r="W6607" t="s">
        <v>43594</v>
      </c>
      <c r="X6607" t="s">
        <v>47432</v>
      </c>
    </row>
    <row r="6608" spans="1:24">
      <c r="A6608">
        <f>HYPERLINK("https://www.philgeps.gov.ph/GEPSNONPILOT/Tender/SplashBidNoticeAbstractUI.aspx?menuIndex=3&amp;refID=7156078&amp;Result=3","7156078")</f>
        <v>0</v>
      </c>
      <c r="B6608" t="s">
        <v>1182</v>
      </c>
      <c r="C6608" t="s">
        <v>10125</v>
      </c>
      <c r="D6608" t="s">
        <v>19047</v>
      </c>
      <c r="E6608" t="s">
        <v>24861</v>
      </c>
      <c r="F6608" t="s">
        <v>32831</v>
      </c>
      <c r="G6608" t="s">
        <v>32838</v>
      </c>
      <c r="H6608" t="s">
        <v>32850</v>
      </c>
      <c r="I6608" t="s">
        <v>32863</v>
      </c>
      <c r="J6608" t="s">
        <v>37151</v>
      </c>
      <c r="K6608" t="s">
        <v>42729</v>
      </c>
      <c r="M6608" t="s">
        <v>44248</v>
      </c>
      <c r="N6608" t="s">
        <v>47424</v>
      </c>
      <c r="O6608" t="s">
        <v>47425</v>
      </c>
      <c r="P6608">
        <v>0</v>
      </c>
      <c r="Q6608">
        <v>0</v>
      </c>
      <c r="R6608" t="s">
        <v>47431</v>
      </c>
      <c r="S6608" t="s">
        <v>47565</v>
      </c>
      <c r="T6608" t="s">
        <v>49163</v>
      </c>
      <c r="U6608" t="s">
        <v>55252</v>
      </c>
      <c r="W6608" t="s">
        <v>64461</v>
      </c>
      <c r="X6608" t="s">
        <v>47432</v>
      </c>
    </row>
    <row r="6609" spans="1:24">
      <c r="A6609">
        <f>HYPERLINK("https://www.philgeps.gov.ph/GEPSNONPILOT/Tender/SplashBidNoticeAbstractUI.aspx?menuIndex=3&amp;refID=7156114&amp;Result=3","7156114")</f>
        <v>0</v>
      </c>
      <c r="B6609" t="s">
        <v>1831</v>
      </c>
      <c r="C6609" t="s">
        <v>10126</v>
      </c>
      <c r="D6609" t="s">
        <v>19070</v>
      </c>
      <c r="E6609" t="s">
        <v>24862</v>
      </c>
      <c r="F6609" t="s">
        <v>32831</v>
      </c>
      <c r="G6609" t="s">
        <v>32838</v>
      </c>
      <c r="H6609" t="s">
        <v>32848</v>
      </c>
      <c r="I6609" t="s">
        <v>9577</v>
      </c>
      <c r="J6609" t="s">
        <v>37152</v>
      </c>
      <c r="K6609" t="s">
        <v>42730</v>
      </c>
      <c r="M6609" t="s">
        <v>44965</v>
      </c>
      <c r="N6609" t="s">
        <v>47424</v>
      </c>
      <c r="O6609" t="s">
        <v>47425</v>
      </c>
      <c r="P6609">
        <v>0</v>
      </c>
      <c r="Q6609">
        <v>0</v>
      </c>
      <c r="R6609" t="s">
        <v>47431</v>
      </c>
      <c r="S6609" t="s">
        <v>47565</v>
      </c>
      <c r="T6609" t="s">
        <v>49107</v>
      </c>
      <c r="U6609" t="s">
        <v>55253</v>
      </c>
      <c r="W6609" t="s">
        <v>44965</v>
      </c>
      <c r="X6609" t="s">
        <v>47432</v>
      </c>
    </row>
    <row r="6610" spans="1:24">
      <c r="A6610">
        <f>HYPERLINK("https://www.philgeps.gov.ph/GEPSNONPILOT/Tender/SplashBidNoticeAbstractUI.aspx?menuIndex=3&amp;refID=7156127&amp;Result=3","7156127")</f>
        <v>0</v>
      </c>
      <c r="B6610" t="s">
        <v>2360</v>
      </c>
      <c r="C6610" t="s">
        <v>10127</v>
      </c>
      <c r="D6610" t="s">
        <v>19017</v>
      </c>
      <c r="E6610" t="s">
        <v>23691</v>
      </c>
      <c r="F6610" t="s">
        <v>32831</v>
      </c>
      <c r="G6610" t="s">
        <v>32839</v>
      </c>
      <c r="H6610" t="s">
        <v>32848</v>
      </c>
      <c r="I6610" t="s">
        <v>4438</v>
      </c>
      <c r="J6610" t="s">
        <v>33087</v>
      </c>
      <c r="K6610" t="s">
        <v>42749</v>
      </c>
      <c r="M6610" t="s">
        <v>45549</v>
      </c>
      <c r="N6610" t="s">
        <v>47424</v>
      </c>
      <c r="O6610" t="s">
        <v>47425</v>
      </c>
      <c r="P6610">
        <v>0</v>
      </c>
      <c r="Q6610">
        <v>6</v>
      </c>
      <c r="R6610" t="s">
        <v>47431</v>
      </c>
      <c r="S6610" t="s">
        <v>47565</v>
      </c>
      <c r="T6610" t="s">
        <v>49146</v>
      </c>
      <c r="U6610" t="s">
        <v>55254</v>
      </c>
      <c r="W6610" t="s">
        <v>45549</v>
      </c>
      <c r="X6610" t="s">
        <v>47432</v>
      </c>
    </row>
    <row r="6611" spans="1:24">
      <c r="A6611">
        <f>HYPERLINK("https://www.philgeps.gov.ph/GEPSNONPILOT/Tender/SplashBidNoticeAbstractUI.aspx?menuIndex=3&amp;refID=7156112&amp;Result=3","7156112")</f>
        <v>0</v>
      </c>
      <c r="B6611" t="s">
        <v>316</v>
      </c>
      <c r="C6611" t="s">
        <v>5790</v>
      </c>
      <c r="D6611" t="s">
        <v>19023</v>
      </c>
      <c r="E6611" t="s">
        <v>24863</v>
      </c>
      <c r="F6611" t="s">
        <v>32831</v>
      </c>
      <c r="G6611" t="s">
        <v>32840</v>
      </c>
      <c r="H6611" t="s">
        <v>32848</v>
      </c>
      <c r="I6611" t="s">
        <v>4438</v>
      </c>
      <c r="J6611" t="s">
        <v>37153</v>
      </c>
      <c r="K6611" t="s">
        <v>42730</v>
      </c>
      <c r="M6611" t="s">
        <v>43795</v>
      </c>
      <c r="N6611" t="s">
        <v>47424</v>
      </c>
      <c r="O6611" t="s">
        <v>47425</v>
      </c>
      <c r="P6611">
        <v>0</v>
      </c>
      <c r="Q6611">
        <v>2</v>
      </c>
      <c r="R6611" t="s">
        <v>47431</v>
      </c>
      <c r="S6611" t="s">
        <v>47565</v>
      </c>
      <c r="T6611" t="s">
        <v>49056</v>
      </c>
      <c r="U6611" t="s">
        <v>51090</v>
      </c>
      <c r="V6611" t="s">
        <v>62802</v>
      </c>
      <c r="W6611" t="s">
        <v>43795</v>
      </c>
      <c r="X6611" t="s">
        <v>47432</v>
      </c>
    </row>
    <row r="6612" spans="1:24">
      <c r="A6612">
        <f>HYPERLINK("https://www.philgeps.gov.ph/GEPSNONPILOT/Tender/SplashBidNoticeAbstractUI.aspx?menuIndex=3&amp;refID=7156108&amp;Result=3","7156108")</f>
        <v>0</v>
      </c>
      <c r="B6612" t="s">
        <v>807</v>
      </c>
      <c r="C6612" t="s">
        <v>10128</v>
      </c>
      <c r="D6612" t="s">
        <v>19044</v>
      </c>
      <c r="E6612" t="s">
        <v>24864</v>
      </c>
      <c r="F6612" t="s">
        <v>32831</v>
      </c>
      <c r="G6612" t="s">
        <v>32839</v>
      </c>
      <c r="H6612" t="s">
        <v>32848</v>
      </c>
      <c r="I6612" t="s">
        <v>32923</v>
      </c>
      <c r="J6612" t="s">
        <v>33241</v>
      </c>
      <c r="K6612" t="s">
        <v>42727</v>
      </c>
      <c r="M6612" t="s">
        <v>43838</v>
      </c>
      <c r="N6612" t="s">
        <v>47424</v>
      </c>
      <c r="O6612" t="s">
        <v>47425</v>
      </c>
      <c r="P6612">
        <v>0</v>
      </c>
      <c r="Q6612">
        <v>5</v>
      </c>
      <c r="R6612" t="s">
        <v>47431</v>
      </c>
      <c r="S6612" t="s">
        <v>47565</v>
      </c>
      <c r="T6612" t="s">
        <v>49221</v>
      </c>
      <c r="U6612" t="s">
        <v>55255</v>
      </c>
      <c r="W6612" t="s">
        <v>43838</v>
      </c>
      <c r="X6612" t="s">
        <v>47432</v>
      </c>
    </row>
    <row r="6613" spans="1:24">
      <c r="A6613">
        <f>HYPERLINK("https://www.philgeps.gov.ph/GEPSNONPILOT/Tender/SplashBidNoticeAbstractUI.aspx?menuIndex=3&amp;refID=7156107&amp;Result=3","7156107")</f>
        <v>0</v>
      </c>
      <c r="B6613" t="s">
        <v>1130</v>
      </c>
      <c r="C6613" t="s">
        <v>10129</v>
      </c>
      <c r="D6613" t="s">
        <v>19045</v>
      </c>
      <c r="E6613" t="s">
        <v>24865</v>
      </c>
      <c r="F6613" t="s">
        <v>32831</v>
      </c>
      <c r="G6613" t="s">
        <v>32839</v>
      </c>
      <c r="H6613" t="s">
        <v>32849</v>
      </c>
      <c r="I6613" t="s">
        <v>4177</v>
      </c>
      <c r="J6613" t="s">
        <v>37154</v>
      </c>
      <c r="K6613" t="s">
        <v>42747</v>
      </c>
      <c r="M6613" t="s">
        <v>45442</v>
      </c>
      <c r="N6613" t="s">
        <v>47424</v>
      </c>
      <c r="O6613" t="s">
        <v>47425</v>
      </c>
      <c r="P6613">
        <v>0</v>
      </c>
      <c r="Q6613">
        <v>0</v>
      </c>
      <c r="R6613" t="s">
        <v>47431</v>
      </c>
      <c r="S6613" t="s">
        <v>47565</v>
      </c>
      <c r="T6613" t="s">
        <v>49188</v>
      </c>
      <c r="U6613" t="s">
        <v>55244</v>
      </c>
      <c r="V6613" t="s">
        <v>63325</v>
      </c>
      <c r="W6613" t="s">
        <v>45442</v>
      </c>
      <c r="X6613" t="s">
        <v>47432</v>
      </c>
    </row>
    <row r="6614" spans="1:24">
      <c r="A6614">
        <f>HYPERLINK("https://www.philgeps.gov.ph/GEPSNONPILOT/Tender/SplashBidNoticeAbstractUI.aspx?menuIndex=3&amp;refID=7156086&amp;Result=3","7156086")</f>
        <v>0</v>
      </c>
      <c r="B6614" t="s">
        <v>1130</v>
      </c>
      <c r="C6614" t="s">
        <v>10130</v>
      </c>
      <c r="D6614" t="s">
        <v>19045</v>
      </c>
      <c r="E6614" t="s">
        <v>24866</v>
      </c>
      <c r="F6614" t="s">
        <v>32831</v>
      </c>
      <c r="G6614" t="s">
        <v>32839</v>
      </c>
      <c r="H6614" t="s">
        <v>32849</v>
      </c>
      <c r="I6614" t="s">
        <v>4177</v>
      </c>
      <c r="J6614" t="s">
        <v>37155</v>
      </c>
      <c r="K6614" t="s">
        <v>42773</v>
      </c>
      <c r="M6614" t="s">
        <v>45442</v>
      </c>
      <c r="N6614" t="s">
        <v>47424</v>
      </c>
      <c r="O6614" t="s">
        <v>47425</v>
      </c>
      <c r="P6614">
        <v>0</v>
      </c>
      <c r="Q6614">
        <v>0</v>
      </c>
      <c r="R6614" t="s">
        <v>47431</v>
      </c>
      <c r="S6614" t="s">
        <v>47565</v>
      </c>
      <c r="T6614" t="s">
        <v>49188</v>
      </c>
      <c r="U6614" t="s">
        <v>55120</v>
      </c>
      <c r="V6614" t="s">
        <v>63325</v>
      </c>
      <c r="W6614" t="s">
        <v>45442</v>
      </c>
      <c r="X6614" t="s">
        <v>47432</v>
      </c>
    </row>
    <row r="6615" spans="1:24">
      <c r="A6615">
        <f>HYPERLINK("https://www.philgeps.gov.ph/GEPSNONPILOT/Tender/SplashBidNoticeAbstractUI.aspx?menuIndex=3&amp;refID=7156104&amp;Result=3","7156104")</f>
        <v>0</v>
      </c>
      <c r="B6615" t="s">
        <v>1799</v>
      </c>
      <c r="C6615" t="s">
        <v>10131</v>
      </c>
      <c r="D6615" t="s">
        <v>19071</v>
      </c>
      <c r="E6615" t="s">
        <v>24867</v>
      </c>
      <c r="F6615" t="s">
        <v>32831</v>
      </c>
      <c r="G6615" t="s">
        <v>32838</v>
      </c>
      <c r="H6615" t="s">
        <v>32848</v>
      </c>
      <c r="I6615" t="s">
        <v>4222</v>
      </c>
      <c r="J6615" t="s">
        <v>35578</v>
      </c>
      <c r="K6615" t="s">
        <v>42727</v>
      </c>
      <c r="M6615" t="s">
        <v>44929</v>
      </c>
      <c r="N6615" t="s">
        <v>47424</v>
      </c>
      <c r="O6615" t="s">
        <v>47425</v>
      </c>
      <c r="P6615">
        <v>0</v>
      </c>
      <c r="Q6615">
        <v>0</v>
      </c>
      <c r="R6615" t="s">
        <v>47431</v>
      </c>
      <c r="S6615" t="s">
        <v>47565</v>
      </c>
      <c r="T6615" t="s">
        <v>49100</v>
      </c>
      <c r="U6615" t="s">
        <v>55256</v>
      </c>
      <c r="V6615" t="s">
        <v>63130</v>
      </c>
      <c r="W6615" t="s">
        <v>44929</v>
      </c>
      <c r="X6615" t="s">
        <v>47432</v>
      </c>
    </row>
    <row r="6616" spans="1:24">
      <c r="A6616">
        <f>HYPERLINK("https://www.philgeps.gov.ph/GEPSNONPILOT/Tender/SplashBidNoticeAbstractUI.aspx?menuIndex=3&amp;refID=7155620&amp;Result=3","7155620")</f>
        <v>0</v>
      </c>
      <c r="B6616" t="s">
        <v>2263</v>
      </c>
      <c r="C6616" t="s">
        <v>9834</v>
      </c>
      <c r="D6616" t="s">
        <v>19019</v>
      </c>
      <c r="E6616" t="s">
        <v>24868</v>
      </c>
      <c r="F6616" t="s">
        <v>32833</v>
      </c>
      <c r="G6616" t="s">
        <v>32838</v>
      </c>
      <c r="H6616" t="s">
        <v>32848</v>
      </c>
      <c r="I6616" t="s">
        <v>4438</v>
      </c>
      <c r="J6616" t="s">
        <v>37156</v>
      </c>
      <c r="K6616" t="s">
        <v>42727</v>
      </c>
      <c r="M6616" t="s">
        <v>45447</v>
      </c>
      <c r="N6616" t="s">
        <v>47424</v>
      </c>
      <c r="O6616" t="s">
        <v>47425</v>
      </c>
      <c r="P6616">
        <v>0</v>
      </c>
      <c r="Q6616">
        <v>1</v>
      </c>
      <c r="R6616" t="s">
        <v>47431</v>
      </c>
      <c r="S6616" t="s">
        <v>47565</v>
      </c>
      <c r="T6616" t="s">
        <v>49198</v>
      </c>
      <c r="U6616" t="s">
        <v>55257</v>
      </c>
      <c r="W6616" t="s">
        <v>45447</v>
      </c>
      <c r="X6616" t="s">
        <v>47432</v>
      </c>
    </row>
    <row r="6617" spans="1:24">
      <c r="A6617">
        <f>HYPERLINK("https://www.philgeps.gov.ph/GEPSNONPILOT/Tender/SplashBidNoticeAbstractUI.aspx?menuIndex=3&amp;refID=7155592&amp;Result=3","7155592")</f>
        <v>0</v>
      </c>
      <c r="B6617" t="s">
        <v>159</v>
      </c>
      <c r="C6617" t="s">
        <v>10132</v>
      </c>
      <c r="D6617" t="s">
        <v>19077</v>
      </c>
      <c r="E6617" t="s">
        <v>24869</v>
      </c>
      <c r="F6617" t="s">
        <v>32831</v>
      </c>
      <c r="G6617" t="s">
        <v>32838</v>
      </c>
      <c r="H6617" t="s">
        <v>32848</v>
      </c>
      <c r="I6617" t="s">
        <v>11727</v>
      </c>
      <c r="J6617" t="s">
        <v>35520</v>
      </c>
      <c r="K6617" t="s">
        <v>42727</v>
      </c>
      <c r="M6617" t="s">
        <v>43156</v>
      </c>
      <c r="N6617" t="s">
        <v>47424</v>
      </c>
      <c r="O6617" t="s">
        <v>47425</v>
      </c>
      <c r="P6617">
        <v>0</v>
      </c>
      <c r="Q6617">
        <v>0</v>
      </c>
      <c r="R6617" t="s">
        <v>47431</v>
      </c>
      <c r="S6617" t="s">
        <v>47565</v>
      </c>
      <c r="T6617" t="s">
        <v>49056</v>
      </c>
      <c r="U6617" t="s">
        <v>55258</v>
      </c>
      <c r="W6617" t="s">
        <v>43156</v>
      </c>
      <c r="X6617" t="s">
        <v>47432</v>
      </c>
    </row>
    <row r="6618" spans="1:24">
      <c r="A6618">
        <f>HYPERLINK("https://www.philgeps.gov.ph/GEPSNONPILOT/Tender/SplashBidNoticeAbstractUI.aspx?menuIndex=3&amp;refID=7155591&amp;Result=3","7155591")</f>
        <v>0</v>
      </c>
      <c r="B6618" t="s">
        <v>911</v>
      </c>
      <c r="C6618" t="s">
        <v>10133</v>
      </c>
      <c r="D6618" t="s">
        <v>19049</v>
      </c>
      <c r="E6618" t="s">
        <v>24870</v>
      </c>
      <c r="F6618" t="s">
        <v>32831</v>
      </c>
      <c r="G6618" t="s">
        <v>32838</v>
      </c>
      <c r="H6618" t="s">
        <v>32848</v>
      </c>
      <c r="I6618" t="s">
        <v>5379</v>
      </c>
      <c r="J6618" t="s">
        <v>35088</v>
      </c>
      <c r="K6618" t="s">
        <v>42730</v>
      </c>
      <c r="M6618" t="s">
        <v>43951</v>
      </c>
      <c r="N6618" t="s">
        <v>47424</v>
      </c>
      <c r="O6618" t="s">
        <v>47425</v>
      </c>
      <c r="P6618">
        <v>0</v>
      </c>
      <c r="Q6618">
        <v>0</v>
      </c>
      <c r="R6618" t="s">
        <v>47431</v>
      </c>
      <c r="S6618" t="s">
        <v>47565</v>
      </c>
      <c r="T6618" t="s">
        <v>49214</v>
      </c>
      <c r="U6618" t="s">
        <v>51540</v>
      </c>
      <c r="W6618" t="s">
        <v>43951</v>
      </c>
      <c r="X6618" t="s">
        <v>47432</v>
      </c>
    </row>
    <row r="6619" spans="1:24">
      <c r="A6619">
        <f>HYPERLINK("https://www.philgeps.gov.ph/GEPSNONPILOT/Tender/SplashBidNoticeAbstractUI.aspx?menuIndex=3&amp;refID=7156101&amp;Result=3","7156101")</f>
        <v>0</v>
      </c>
      <c r="B6619" t="s">
        <v>2338</v>
      </c>
      <c r="C6619" t="s">
        <v>10134</v>
      </c>
      <c r="D6619" t="s">
        <v>19049</v>
      </c>
      <c r="E6619" t="s">
        <v>24871</v>
      </c>
      <c r="F6619" t="s">
        <v>32831</v>
      </c>
      <c r="G6619" t="s">
        <v>32839</v>
      </c>
      <c r="H6619" t="s">
        <v>32849</v>
      </c>
      <c r="I6619" t="s">
        <v>4177</v>
      </c>
      <c r="J6619" t="s">
        <v>32983</v>
      </c>
      <c r="K6619" t="s">
        <v>42763</v>
      </c>
      <c r="M6619" t="s">
        <v>45525</v>
      </c>
      <c r="N6619" t="s">
        <v>47424</v>
      </c>
      <c r="O6619" t="s">
        <v>47425</v>
      </c>
      <c r="P6619">
        <v>0</v>
      </c>
      <c r="Q6619">
        <v>0</v>
      </c>
      <c r="R6619" t="s">
        <v>47431</v>
      </c>
      <c r="S6619" t="s">
        <v>47565</v>
      </c>
      <c r="T6619" t="s">
        <v>49325</v>
      </c>
      <c r="U6619" t="s">
        <v>55192</v>
      </c>
      <c r="V6619" t="s">
        <v>63352</v>
      </c>
      <c r="W6619" t="s">
        <v>45525</v>
      </c>
      <c r="X6619" t="s">
        <v>47432</v>
      </c>
    </row>
    <row r="6620" spans="1:24">
      <c r="A6620">
        <f>HYPERLINK("https://www.philgeps.gov.ph/GEPSNONPILOT/Tender/SplashBidNoticeAbstractUI.aspx?menuIndex=3&amp;refID=7156110&amp;Result=3","7156110")</f>
        <v>0</v>
      </c>
      <c r="B6620" t="s">
        <v>2350</v>
      </c>
      <c r="C6620" t="s">
        <v>10135</v>
      </c>
      <c r="D6620" t="s">
        <v>19018</v>
      </c>
      <c r="E6620" t="s">
        <v>24872</v>
      </c>
      <c r="F6620" t="s">
        <v>32831</v>
      </c>
      <c r="G6620" t="s">
        <v>32840</v>
      </c>
      <c r="H6620" t="s">
        <v>32848</v>
      </c>
      <c r="I6620" t="s">
        <v>32886</v>
      </c>
      <c r="J6620" t="s">
        <v>33162</v>
      </c>
      <c r="K6620" t="s">
        <v>42732</v>
      </c>
      <c r="M6620" t="s">
        <v>45539</v>
      </c>
      <c r="N6620" t="s">
        <v>47424</v>
      </c>
      <c r="O6620" t="s">
        <v>47425</v>
      </c>
      <c r="Q6620">
        <v>6</v>
      </c>
      <c r="R6620" t="s">
        <v>47431</v>
      </c>
      <c r="S6620" t="s">
        <v>47573</v>
      </c>
      <c r="T6620" t="s">
        <v>49100</v>
      </c>
      <c r="U6620" t="s">
        <v>50084</v>
      </c>
      <c r="W6620" t="s">
        <v>45539</v>
      </c>
      <c r="X6620" t="s">
        <v>47432</v>
      </c>
    </row>
    <row r="6621" spans="1:24">
      <c r="A6621">
        <f>HYPERLINK("https://www.philgeps.gov.ph/GEPSNONPILOT/Tender/SplashBidNoticeAbstractUI.aspx?menuIndex=3&amp;refID=7156118&amp;Result=3","7156118")</f>
        <v>0</v>
      </c>
      <c r="B6621" t="s">
        <v>2350</v>
      </c>
      <c r="C6621" t="s">
        <v>10136</v>
      </c>
      <c r="D6621" t="s">
        <v>19018</v>
      </c>
      <c r="E6621" t="s">
        <v>24873</v>
      </c>
      <c r="F6621" t="s">
        <v>32831</v>
      </c>
      <c r="G6621" t="s">
        <v>32840</v>
      </c>
      <c r="H6621" t="s">
        <v>32848</v>
      </c>
      <c r="I6621" t="s">
        <v>32902</v>
      </c>
      <c r="J6621" t="s">
        <v>32980</v>
      </c>
      <c r="K6621" t="s">
        <v>42732</v>
      </c>
      <c r="M6621" t="s">
        <v>45539</v>
      </c>
      <c r="N6621" t="s">
        <v>47424</v>
      </c>
      <c r="O6621" t="s">
        <v>47425</v>
      </c>
      <c r="Q6621">
        <v>11</v>
      </c>
      <c r="R6621" t="s">
        <v>47431</v>
      </c>
      <c r="S6621" t="s">
        <v>47574</v>
      </c>
      <c r="T6621" t="s">
        <v>49100</v>
      </c>
      <c r="U6621" t="s">
        <v>50084</v>
      </c>
      <c r="W6621" t="s">
        <v>45539</v>
      </c>
      <c r="X6621" t="s">
        <v>47432</v>
      </c>
    </row>
    <row r="6622" spans="1:24">
      <c r="A6622">
        <f>HYPERLINK("https://www.philgeps.gov.ph/GEPSNONPILOT/Tender/SplashBidNoticeAbstractUI.aspx?menuIndex=3&amp;refID=7156102&amp;Result=3","7156102")</f>
        <v>0</v>
      </c>
      <c r="B6622" t="s">
        <v>192</v>
      </c>
      <c r="C6622" t="s">
        <v>10137</v>
      </c>
      <c r="D6622" t="s">
        <v>19057</v>
      </c>
      <c r="E6622" t="s">
        <v>24874</v>
      </c>
      <c r="F6622" t="s">
        <v>32831</v>
      </c>
      <c r="G6622" t="s">
        <v>32838</v>
      </c>
      <c r="H6622" t="s">
        <v>32848</v>
      </c>
      <c r="I6622" t="s">
        <v>32864</v>
      </c>
      <c r="J6622" t="s">
        <v>33479</v>
      </c>
      <c r="K6622" t="s">
        <v>42730</v>
      </c>
      <c r="M6622" t="s">
        <v>43190</v>
      </c>
      <c r="N6622" t="s">
        <v>47424</v>
      </c>
      <c r="O6622" t="s">
        <v>47425</v>
      </c>
      <c r="P6622">
        <v>0</v>
      </c>
      <c r="Q6622">
        <v>6</v>
      </c>
      <c r="R6622" t="s">
        <v>47431</v>
      </c>
      <c r="S6622" t="s">
        <v>47565</v>
      </c>
      <c r="T6622" t="s">
        <v>49100</v>
      </c>
      <c r="U6622" t="s">
        <v>55259</v>
      </c>
      <c r="W6622" t="s">
        <v>43190</v>
      </c>
      <c r="X6622" t="s">
        <v>47432</v>
      </c>
    </row>
    <row r="6623" spans="1:24">
      <c r="A6623">
        <f>HYPERLINK("https://www.philgeps.gov.ph/GEPSNONPILOT/Tender/SplashBidNoticeAbstractUI.aspx?menuIndex=3&amp;refID=7155588&amp;Result=3","7155588")</f>
        <v>0</v>
      </c>
      <c r="B6623" t="s">
        <v>2275</v>
      </c>
      <c r="C6623" t="s">
        <v>7454</v>
      </c>
      <c r="D6623" t="s">
        <v>19091</v>
      </c>
      <c r="E6623" t="s">
        <v>24875</v>
      </c>
      <c r="F6623" t="s">
        <v>32831</v>
      </c>
      <c r="G6623" t="s">
        <v>32839</v>
      </c>
      <c r="H6623" t="s">
        <v>32849</v>
      </c>
      <c r="I6623" t="s">
        <v>4177</v>
      </c>
      <c r="J6623" t="s">
        <v>32980</v>
      </c>
      <c r="K6623" t="s">
        <v>42726</v>
      </c>
      <c r="M6623" t="s">
        <v>45459</v>
      </c>
      <c r="N6623" t="s">
        <v>47424</v>
      </c>
      <c r="O6623" t="s">
        <v>47425</v>
      </c>
      <c r="P6623">
        <v>0</v>
      </c>
      <c r="Q6623">
        <v>0</v>
      </c>
      <c r="R6623" t="s">
        <v>47431</v>
      </c>
      <c r="S6623" t="s">
        <v>47565</v>
      </c>
      <c r="T6623" t="s">
        <v>49056</v>
      </c>
      <c r="U6623" t="s">
        <v>55260</v>
      </c>
      <c r="W6623" t="s">
        <v>45459</v>
      </c>
      <c r="X6623" t="s">
        <v>47432</v>
      </c>
    </row>
    <row r="6624" spans="1:24">
      <c r="A6624">
        <f>HYPERLINK("https://www.philgeps.gov.ph/GEPSNONPILOT/Tender/SplashBidNoticeAbstractUI.aspx?menuIndex=3&amp;refID=7155554&amp;Result=3","7155554")</f>
        <v>0</v>
      </c>
      <c r="B6624" t="s">
        <v>2295</v>
      </c>
      <c r="C6624" t="s">
        <v>10138</v>
      </c>
      <c r="D6624" t="s">
        <v>19024</v>
      </c>
      <c r="E6624" t="s">
        <v>24876</v>
      </c>
      <c r="F6624" t="s">
        <v>32831</v>
      </c>
      <c r="G6624" t="s">
        <v>32838</v>
      </c>
      <c r="H6624" t="s">
        <v>32848</v>
      </c>
      <c r="I6624" t="s">
        <v>4487</v>
      </c>
      <c r="J6624" t="s">
        <v>34094</v>
      </c>
      <c r="K6624" t="s">
        <v>42748</v>
      </c>
      <c r="M6624" t="s">
        <v>45480</v>
      </c>
      <c r="N6624" t="s">
        <v>47424</v>
      </c>
      <c r="O6624" t="s">
        <v>47425</v>
      </c>
      <c r="P6624">
        <v>0</v>
      </c>
      <c r="Q6624">
        <v>0</v>
      </c>
      <c r="R6624" t="s">
        <v>47431</v>
      </c>
      <c r="S6624" t="s">
        <v>47565</v>
      </c>
      <c r="T6624" t="s">
        <v>49162</v>
      </c>
      <c r="U6624" t="s">
        <v>55261</v>
      </c>
      <c r="W6624" t="s">
        <v>45480</v>
      </c>
      <c r="X6624" t="s">
        <v>47432</v>
      </c>
    </row>
    <row r="6625" spans="1:24">
      <c r="A6625">
        <f>HYPERLINK("https://www.philgeps.gov.ph/GEPSNONPILOT/Tender/SplashBidNoticeAbstractUI.aspx?menuIndex=3&amp;refID=7156097&amp;Result=3","7156097")</f>
        <v>0</v>
      </c>
      <c r="B6625" t="s">
        <v>1797</v>
      </c>
      <c r="C6625" t="s">
        <v>10139</v>
      </c>
      <c r="D6625" t="s">
        <v>19078</v>
      </c>
      <c r="E6625" t="s">
        <v>24877</v>
      </c>
      <c r="F6625" t="s">
        <v>32831</v>
      </c>
      <c r="G6625" t="s">
        <v>32839</v>
      </c>
      <c r="H6625" t="s">
        <v>32848</v>
      </c>
      <c r="I6625" t="s">
        <v>4558</v>
      </c>
      <c r="J6625" t="s">
        <v>37157</v>
      </c>
      <c r="K6625" t="s">
        <v>42726</v>
      </c>
      <c r="M6625" t="s">
        <v>44927</v>
      </c>
      <c r="N6625" t="s">
        <v>47424</v>
      </c>
      <c r="O6625" t="s">
        <v>47425</v>
      </c>
      <c r="P6625">
        <v>0</v>
      </c>
      <c r="Q6625">
        <v>5</v>
      </c>
      <c r="R6625" t="s">
        <v>47431</v>
      </c>
      <c r="S6625" t="s">
        <v>47565</v>
      </c>
      <c r="T6625" t="s">
        <v>49216</v>
      </c>
      <c r="U6625" t="s">
        <v>55262</v>
      </c>
      <c r="W6625" t="s">
        <v>44927</v>
      </c>
      <c r="X6625" t="s">
        <v>47432</v>
      </c>
    </row>
    <row r="6626" spans="1:24">
      <c r="A6626">
        <f>HYPERLINK("https://www.philgeps.gov.ph/GEPSNONPILOT/Tender/SplashBidNoticeAbstractUI.aspx?menuIndex=3&amp;refID=7155553&amp;Result=3","7155553")</f>
        <v>0</v>
      </c>
      <c r="B6626" t="s">
        <v>2361</v>
      </c>
      <c r="C6626" t="s">
        <v>4090</v>
      </c>
      <c r="D6626" t="s">
        <v>19024</v>
      </c>
      <c r="E6626" t="s">
        <v>19219</v>
      </c>
      <c r="F6626" t="s">
        <v>32831</v>
      </c>
      <c r="G6626" t="s">
        <v>32839</v>
      </c>
      <c r="H6626" t="s">
        <v>32848</v>
      </c>
      <c r="I6626" t="s">
        <v>32860</v>
      </c>
      <c r="J6626" t="s">
        <v>33133</v>
      </c>
      <c r="K6626" t="s">
        <v>42727</v>
      </c>
      <c r="M6626" t="s">
        <v>45550</v>
      </c>
      <c r="N6626" t="s">
        <v>47424</v>
      </c>
      <c r="O6626" t="s">
        <v>47425</v>
      </c>
      <c r="P6626">
        <v>0</v>
      </c>
      <c r="Q6626">
        <v>0</v>
      </c>
      <c r="R6626" t="s">
        <v>47431</v>
      </c>
      <c r="S6626" t="s">
        <v>47565</v>
      </c>
      <c r="T6626" t="s">
        <v>49172</v>
      </c>
      <c r="U6626" t="s">
        <v>55263</v>
      </c>
      <c r="W6626" t="s">
        <v>45550</v>
      </c>
      <c r="X6626" t="s">
        <v>47432</v>
      </c>
    </row>
    <row r="6627" spans="1:24">
      <c r="A6627">
        <f>HYPERLINK("https://www.philgeps.gov.ph/GEPSNONPILOT/Tender/SplashBidNoticeAbstractUI.aspx?menuIndex=3&amp;refID=7155589&amp;Result=3","7155589")</f>
        <v>0</v>
      </c>
      <c r="B6627" t="s">
        <v>2266</v>
      </c>
      <c r="C6627" t="s">
        <v>10140</v>
      </c>
      <c r="D6627" t="s">
        <v>19044</v>
      </c>
      <c r="E6627" t="s">
        <v>24878</v>
      </c>
      <c r="F6627" t="s">
        <v>32831</v>
      </c>
      <c r="G6627" t="s">
        <v>32839</v>
      </c>
      <c r="H6627" t="s">
        <v>32848</v>
      </c>
      <c r="I6627" t="s">
        <v>32867</v>
      </c>
      <c r="J6627" t="s">
        <v>37158</v>
      </c>
      <c r="K6627" t="s">
        <v>42726</v>
      </c>
      <c r="M6627" t="s">
        <v>45450</v>
      </c>
      <c r="N6627" t="s">
        <v>47424</v>
      </c>
      <c r="O6627" t="s">
        <v>47425</v>
      </c>
      <c r="P6627">
        <v>0</v>
      </c>
      <c r="Q6627">
        <v>1</v>
      </c>
      <c r="R6627" t="s">
        <v>47431</v>
      </c>
      <c r="S6627" t="s">
        <v>47565</v>
      </c>
      <c r="T6627" t="s">
        <v>49079</v>
      </c>
      <c r="U6627" t="s">
        <v>55264</v>
      </c>
      <c r="W6627" t="s">
        <v>45450</v>
      </c>
      <c r="X6627" t="s">
        <v>47432</v>
      </c>
    </row>
    <row r="6628" spans="1:24">
      <c r="A6628">
        <f>HYPERLINK("https://www.philgeps.gov.ph/GEPSNONPILOT/Tender/SplashBidNoticeAbstractUI.aspx?menuIndex=3&amp;refID=7155556&amp;Result=3","7155556")</f>
        <v>0</v>
      </c>
      <c r="B6628" t="s">
        <v>2262</v>
      </c>
      <c r="C6628" t="s">
        <v>10141</v>
      </c>
      <c r="D6628" t="s">
        <v>19026</v>
      </c>
      <c r="E6628" t="s">
        <v>24879</v>
      </c>
      <c r="F6628" t="s">
        <v>32831</v>
      </c>
      <c r="G6628" t="s">
        <v>32839</v>
      </c>
      <c r="H6628" t="s">
        <v>32849</v>
      </c>
      <c r="I6628" t="s">
        <v>4177</v>
      </c>
      <c r="J6628" t="s">
        <v>33465</v>
      </c>
      <c r="K6628" t="s">
        <v>42730</v>
      </c>
      <c r="M6628" t="s">
        <v>45446</v>
      </c>
      <c r="N6628" t="s">
        <v>47424</v>
      </c>
      <c r="O6628" t="s">
        <v>47425</v>
      </c>
      <c r="P6628">
        <v>0</v>
      </c>
      <c r="Q6628">
        <v>89</v>
      </c>
      <c r="R6628" t="s">
        <v>47431</v>
      </c>
      <c r="S6628" t="s">
        <v>47565</v>
      </c>
      <c r="T6628" t="s">
        <v>49056</v>
      </c>
      <c r="U6628" t="s">
        <v>54976</v>
      </c>
      <c r="W6628" t="s">
        <v>45446</v>
      </c>
      <c r="X6628" t="s">
        <v>47432</v>
      </c>
    </row>
    <row r="6629" spans="1:24">
      <c r="A6629">
        <f>HYPERLINK("https://www.philgeps.gov.ph/GEPSNONPILOT/Tender/SplashBidNoticeAbstractUI.aspx?menuIndex=3&amp;refID=7156170&amp;Result=3","7156170")</f>
        <v>0</v>
      </c>
      <c r="B6629" t="s">
        <v>1383</v>
      </c>
      <c r="C6629" t="s">
        <v>10142</v>
      </c>
      <c r="D6629" t="s">
        <v>19054</v>
      </c>
      <c r="E6629" t="s">
        <v>24880</v>
      </c>
      <c r="F6629" t="s">
        <v>32831</v>
      </c>
      <c r="G6629" t="s">
        <v>32838</v>
      </c>
      <c r="H6629" t="s">
        <v>32848</v>
      </c>
      <c r="I6629" t="s">
        <v>7416</v>
      </c>
      <c r="J6629" t="s">
        <v>37159</v>
      </c>
      <c r="K6629" t="s">
        <v>42727</v>
      </c>
      <c r="L6629" t="s">
        <v>1383</v>
      </c>
      <c r="M6629" t="s">
        <v>44468</v>
      </c>
      <c r="N6629" t="s">
        <v>47424</v>
      </c>
      <c r="O6629" t="s">
        <v>47425</v>
      </c>
      <c r="P6629">
        <v>0</v>
      </c>
      <c r="Q6629">
        <v>0</v>
      </c>
      <c r="R6629" t="s">
        <v>47431</v>
      </c>
      <c r="S6629" t="s">
        <v>47565</v>
      </c>
      <c r="T6629" t="s">
        <v>49255</v>
      </c>
      <c r="U6629" t="s">
        <v>55265</v>
      </c>
      <c r="V6629" t="s">
        <v>63356</v>
      </c>
      <c r="W6629" t="s">
        <v>44468</v>
      </c>
      <c r="X6629" t="s">
        <v>47432</v>
      </c>
    </row>
    <row r="6630" spans="1:24">
      <c r="A6630">
        <f>HYPERLINK("https://www.philgeps.gov.ph/GEPSNONPILOT/Tender/SplashBidNoticeAbstractUI.aspx?menuIndex=3&amp;refID=7155585&amp;Result=3","7155585")</f>
        <v>0</v>
      </c>
      <c r="B6630" t="s">
        <v>2263</v>
      </c>
      <c r="C6630" t="s">
        <v>9834</v>
      </c>
      <c r="D6630" t="s">
        <v>19019</v>
      </c>
      <c r="E6630" t="s">
        <v>24881</v>
      </c>
      <c r="F6630" t="s">
        <v>32833</v>
      </c>
      <c r="G6630" t="s">
        <v>32838</v>
      </c>
      <c r="H6630" t="s">
        <v>32848</v>
      </c>
      <c r="I6630" t="s">
        <v>4438</v>
      </c>
      <c r="J6630" t="s">
        <v>37160</v>
      </c>
      <c r="K6630" t="s">
        <v>42727</v>
      </c>
      <c r="M6630" t="s">
        <v>45447</v>
      </c>
      <c r="N6630" t="s">
        <v>47424</v>
      </c>
      <c r="O6630" t="s">
        <v>47425</v>
      </c>
      <c r="P6630">
        <v>0</v>
      </c>
      <c r="Q6630">
        <v>0</v>
      </c>
      <c r="R6630" t="s">
        <v>47431</v>
      </c>
      <c r="S6630" t="s">
        <v>47565</v>
      </c>
      <c r="T6630" t="s">
        <v>49198</v>
      </c>
      <c r="U6630" t="s">
        <v>55266</v>
      </c>
      <c r="W6630" t="s">
        <v>45447</v>
      </c>
      <c r="X6630" t="s">
        <v>47432</v>
      </c>
    </row>
    <row r="6631" spans="1:24">
      <c r="A6631">
        <f>HYPERLINK("https://www.philgeps.gov.ph/GEPSNONPILOT/Tender/SplashBidNoticeAbstractUI.aspx?menuIndex=3&amp;refID=7156169&amp;Result=3","7156169")</f>
        <v>0</v>
      </c>
      <c r="B6631" t="s">
        <v>1999</v>
      </c>
      <c r="C6631" t="s">
        <v>10143</v>
      </c>
      <c r="D6631" t="s">
        <v>19066</v>
      </c>
      <c r="E6631" t="s">
        <v>24882</v>
      </c>
      <c r="F6631" t="s">
        <v>32831</v>
      </c>
      <c r="G6631" t="s">
        <v>32838</v>
      </c>
      <c r="H6631" t="s">
        <v>32848</v>
      </c>
      <c r="I6631" t="s">
        <v>5379</v>
      </c>
      <c r="J6631" t="s">
        <v>33226</v>
      </c>
      <c r="K6631" t="s">
        <v>42732</v>
      </c>
      <c r="M6631" t="s">
        <v>45551</v>
      </c>
      <c r="N6631" t="s">
        <v>47424</v>
      </c>
      <c r="O6631" t="s">
        <v>47425</v>
      </c>
      <c r="P6631">
        <v>0</v>
      </c>
      <c r="Q6631">
        <v>0</v>
      </c>
      <c r="R6631" t="s">
        <v>47431</v>
      </c>
      <c r="S6631" t="s">
        <v>47565</v>
      </c>
      <c r="T6631" t="s">
        <v>49459</v>
      </c>
      <c r="U6631" t="s">
        <v>55267</v>
      </c>
      <c r="W6631" t="s">
        <v>45551</v>
      </c>
      <c r="X6631" t="s">
        <v>47432</v>
      </c>
    </row>
    <row r="6632" spans="1:24">
      <c r="A6632">
        <f>HYPERLINK("https://www.philgeps.gov.ph/GEPSNONPILOT/Tender/SplashBidNoticeAbstractUI.aspx?menuIndex=3&amp;refID=7155584&amp;Result=3","7155584")</f>
        <v>0</v>
      </c>
      <c r="B6632" t="s">
        <v>2362</v>
      </c>
      <c r="C6632" t="s">
        <v>10144</v>
      </c>
      <c r="D6632" t="s">
        <v>19043</v>
      </c>
      <c r="E6632" t="s">
        <v>22044</v>
      </c>
      <c r="F6632" t="s">
        <v>32831</v>
      </c>
      <c r="G6632" t="s">
        <v>32840</v>
      </c>
      <c r="H6632" t="s">
        <v>32848</v>
      </c>
      <c r="I6632" t="s">
        <v>32855</v>
      </c>
      <c r="J6632" t="s">
        <v>37161</v>
      </c>
      <c r="K6632" t="s">
        <v>42726</v>
      </c>
      <c r="M6632" t="s">
        <v>45552</v>
      </c>
      <c r="N6632" t="s">
        <v>47424</v>
      </c>
      <c r="O6632" t="s">
        <v>47425</v>
      </c>
      <c r="P6632">
        <v>0</v>
      </c>
      <c r="Q6632">
        <v>14</v>
      </c>
      <c r="R6632" t="s">
        <v>47431</v>
      </c>
      <c r="S6632" t="s">
        <v>47565</v>
      </c>
      <c r="T6632" t="s">
        <v>49127</v>
      </c>
      <c r="U6632" t="s">
        <v>55268</v>
      </c>
      <c r="W6632" t="s">
        <v>45552</v>
      </c>
      <c r="X6632" t="s">
        <v>47432</v>
      </c>
    </row>
    <row r="6633" spans="1:24">
      <c r="A6633">
        <f>HYPERLINK("https://www.philgeps.gov.ph/GEPSNONPILOT/Tender/SplashBidNoticeAbstractUI.aspx?menuIndex=3&amp;refID=7156163&amp;Result=3","7156163")</f>
        <v>0</v>
      </c>
      <c r="B6633" t="s">
        <v>2363</v>
      </c>
      <c r="C6633" t="s">
        <v>10145</v>
      </c>
      <c r="D6633" t="s">
        <v>19047</v>
      </c>
      <c r="E6633" t="s">
        <v>24883</v>
      </c>
      <c r="F6633" t="s">
        <v>32831</v>
      </c>
      <c r="G6633" t="s">
        <v>32839</v>
      </c>
      <c r="H6633" t="s">
        <v>32848</v>
      </c>
      <c r="I6633" t="s">
        <v>32874</v>
      </c>
      <c r="J6633" t="s">
        <v>33111</v>
      </c>
      <c r="K6633" t="s">
        <v>42732</v>
      </c>
      <c r="M6633" t="s">
        <v>45553</v>
      </c>
      <c r="N6633" t="s">
        <v>47424</v>
      </c>
      <c r="O6633" t="s">
        <v>47425</v>
      </c>
      <c r="P6633">
        <v>0</v>
      </c>
      <c r="Q6633">
        <v>31</v>
      </c>
      <c r="R6633" t="s">
        <v>47431</v>
      </c>
      <c r="S6633" t="s">
        <v>47565</v>
      </c>
      <c r="T6633" t="s">
        <v>49460</v>
      </c>
      <c r="U6633" t="s">
        <v>55269</v>
      </c>
      <c r="V6633" t="s">
        <v>63357</v>
      </c>
      <c r="W6633" t="s">
        <v>45553</v>
      </c>
      <c r="X6633" t="s">
        <v>47432</v>
      </c>
    </row>
    <row r="6634" spans="1:24">
      <c r="A6634">
        <f>HYPERLINK("https://www.philgeps.gov.ph/GEPSNONPILOT/Tender/SplashBidNoticeAbstractUI.aspx?menuIndex=3&amp;refID=7156160&amp;Result=3","7156160")</f>
        <v>0</v>
      </c>
      <c r="B6634" t="s">
        <v>2364</v>
      </c>
      <c r="C6634" t="s">
        <v>10146</v>
      </c>
      <c r="D6634" t="s">
        <v>19085</v>
      </c>
      <c r="E6634" t="s">
        <v>24884</v>
      </c>
      <c r="F6634" t="s">
        <v>32831</v>
      </c>
      <c r="G6634" t="s">
        <v>32838</v>
      </c>
      <c r="H6634" t="s">
        <v>32848</v>
      </c>
      <c r="I6634" t="s">
        <v>9577</v>
      </c>
      <c r="J6634" t="s">
        <v>37162</v>
      </c>
      <c r="K6634" t="s">
        <v>42727</v>
      </c>
      <c r="M6634" t="s">
        <v>45554</v>
      </c>
      <c r="N6634" t="s">
        <v>47424</v>
      </c>
      <c r="O6634" t="s">
        <v>47425</v>
      </c>
      <c r="P6634">
        <v>0</v>
      </c>
      <c r="Q6634">
        <v>0</v>
      </c>
      <c r="R6634" t="s">
        <v>47431</v>
      </c>
      <c r="S6634" t="s">
        <v>47565</v>
      </c>
      <c r="T6634" t="s">
        <v>49237</v>
      </c>
      <c r="U6634" t="s">
        <v>55270</v>
      </c>
      <c r="W6634" t="s">
        <v>45554</v>
      </c>
      <c r="X6634" t="s">
        <v>47432</v>
      </c>
    </row>
    <row r="6635" spans="1:24">
      <c r="A6635">
        <f>HYPERLINK("https://www.philgeps.gov.ph/GEPSNONPILOT/Tender/SplashBidNoticeAbstractUI.aspx?menuIndex=3&amp;refID=7156158&amp;Result=3","7156158")</f>
        <v>0</v>
      </c>
      <c r="B6635" t="s">
        <v>2365</v>
      </c>
      <c r="C6635" t="s">
        <v>10147</v>
      </c>
      <c r="D6635" t="s">
        <v>19027</v>
      </c>
      <c r="E6635" t="s">
        <v>24885</v>
      </c>
      <c r="F6635" t="s">
        <v>32831</v>
      </c>
      <c r="G6635" t="s">
        <v>32838</v>
      </c>
      <c r="H6635" t="s">
        <v>32848</v>
      </c>
      <c r="I6635" t="s">
        <v>32860</v>
      </c>
      <c r="J6635" t="s">
        <v>33383</v>
      </c>
      <c r="K6635" t="s">
        <v>42759</v>
      </c>
      <c r="M6635" t="s">
        <v>45555</v>
      </c>
      <c r="N6635" t="s">
        <v>47424</v>
      </c>
      <c r="O6635" t="s">
        <v>47425</v>
      </c>
      <c r="P6635">
        <v>0</v>
      </c>
      <c r="Q6635">
        <v>3</v>
      </c>
      <c r="R6635" t="s">
        <v>47431</v>
      </c>
      <c r="S6635" t="s">
        <v>47565</v>
      </c>
      <c r="T6635" t="s">
        <v>49229</v>
      </c>
      <c r="U6635" t="s">
        <v>50992</v>
      </c>
      <c r="V6635" t="s">
        <v>63358</v>
      </c>
      <c r="W6635" t="s">
        <v>45555</v>
      </c>
      <c r="X6635" t="s">
        <v>47432</v>
      </c>
    </row>
    <row r="6636" spans="1:24">
      <c r="A6636">
        <f>HYPERLINK("https://www.philgeps.gov.ph/GEPSNONPILOT/Tender/SplashBidNoticeAbstractUI.aspx?menuIndex=3&amp;refID=7156172&amp;Result=3","7156172")</f>
        <v>0</v>
      </c>
      <c r="B6636" t="s">
        <v>194</v>
      </c>
      <c r="C6636" t="s">
        <v>10148</v>
      </c>
      <c r="E6636" t="s">
        <v>24886</v>
      </c>
      <c r="F6636" t="s">
        <v>32831</v>
      </c>
      <c r="G6636" t="s">
        <v>32839</v>
      </c>
      <c r="H6636" t="s">
        <v>32848</v>
      </c>
      <c r="I6636" t="s">
        <v>7878</v>
      </c>
      <c r="J6636" t="s">
        <v>37163</v>
      </c>
      <c r="K6636" t="s">
        <v>42732</v>
      </c>
      <c r="M6636" t="s">
        <v>43192</v>
      </c>
      <c r="N6636" t="s">
        <v>47424</v>
      </c>
      <c r="O6636" t="s">
        <v>47425</v>
      </c>
      <c r="P6636">
        <v>0</v>
      </c>
      <c r="Q6636">
        <v>1</v>
      </c>
      <c r="R6636" t="s">
        <v>47431</v>
      </c>
      <c r="S6636" t="s">
        <v>47565</v>
      </c>
      <c r="T6636" t="s">
        <v>49254</v>
      </c>
      <c r="U6636" t="s">
        <v>55271</v>
      </c>
      <c r="W6636" t="s">
        <v>43192</v>
      </c>
      <c r="X6636" t="s">
        <v>47432</v>
      </c>
    </row>
    <row r="6637" spans="1:24">
      <c r="A6637">
        <f>HYPERLINK("https://www.philgeps.gov.ph/GEPSNONPILOT/Tender/SplashBidNoticeAbstractUI.aspx?menuIndex=3&amp;refID=7156162&amp;Result=3","7156162")</f>
        <v>0</v>
      </c>
      <c r="B6637" t="s">
        <v>2366</v>
      </c>
      <c r="C6637" t="s">
        <v>10149</v>
      </c>
      <c r="D6637" t="s">
        <v>19060</v>
      </c>
      <c r="E6637" t="s">
        <v>24887</v>
      </c>
      <c r="F6637" t="s">
        <v>32831</v>
      </c>
      <c r="G6637" t="s">
        <v>32839</v>
      </c>
      <c r="H6637" t="s">
        <v>32848</v>
      </c>
      <c r="I6637" t="s">
        <v>4558</v>
      </c>
      <c r="J6637" t="s">
        <v>33044</v>
      </c>
      <c r="K6637" t="s">
        <v>42727</v>
      </c>
      <c r="M6637" t="s">
        <v>45556</v>
      </c>
      <c r="N6637" t="s">
        <v>47424</v>
      </c>
      <c r="O6637" t="s">
        <v>47425</v>
      </c>
      <c r="P6637">
        <v>0</v>
      </c>
      <c r="Q6637">
        <v>3</v>
      </c>
      <c r="R6637" t="s">
        <v>47431</v>
      </c>
      <c r="S6637" t="s">
        <v>47565</v>
      </c>
      <c r="T6637" t="s">
        <v>49160</v>
      </c>
      <c r="U6637" t="s">
        <v>55272</v>
      </c>
      <c r="W6637" t="s">
        <v>45556</v>
      </c>
      <c r="X6637" t="s">
        <v>47432</v>
      </c>
    </row>
    <row r="6638" spans="1:24">
      <c r="A6638">
        <f>HYPERLINK("https://www.philgeps.gov.ph/GEPSNONPILOT/Tender/SplashBidNoticeAbstractUI.aspx?menuIndex=3&amp;refID=7156157&amp;Result=3","7156157")</f>
        <v>0</v>
      </c>
      <c r="B6638" t="s">
        <v>2367</v>
      </c>
      <c r="C6638" t="s">
        <v>10150</v>
      </c>
      <c r="E6638" t="s">
        <v>24888</v>
      </c>
      <c r="F6638" t="s">
        <v>32831</v>
      </c>
      <c r="G6638" t="s">
        <v>32839</v>
      </c>
      <c r="H6638" t="s">
        <v>32848</v>
      </c>
      <c r="I6638" t="s">
        <v>7416</v>
      </c>
      <c r="J6638" t="s">
        <v>37164</v>
      </c>
      <c r="K6638" t="s">
        <v>42732</v>
      </c>
      <c r="M6638" t="s">
        <v>45557</v>
      </c>
      <c r="N6638" t="s">
        <v>47424</v>
      </c>
      <c r="O6638" t="s">
        <v>47425</v>
      </c>
      <c r="P6638">
        <v>0</v>
      </c>
      <c r="Q6638">
        <v>3</v>
      </c>
      <c r="R6638" t="s">
        <v>47431</v>
      </c>
      <c r="S6638" t="s">
        <v>47565</v>
      </c>
      <c r="T6638" t="s">
        <v>49265</v>
      </c>
      <c r="U6638" t="s">
        <v>55273</v>
      </c>
      <c r="W6638" t="s">
        <v>45557</v>
      </c>
      <c r="X6638" t="s">
        <v>47432</v>
      </c>
    </row>
    <row r="6639" spans="1:24">
      <c r="A6639">
        <f>HYPERLINK("https://www.philgeps.gov.ph/GEPSNONPILOT/Tender/SplashBidNoticeAbstractUI.aspx?menuIndex=3&amp;refID=7156168&amp;Result=3","7156168")</f>
        <v>0</v>
      </c>
      <c r="B6639" t="s">
        <v>2338</v>
      </c>
      <c r="C6639" t="s">
        <v>10151</v>
      </c>
      <c r="D6639" t="s">
        <v>19049</v>
      </c>
      <c r="E6639" t="s">
        <v>24889</v>
      </c>
      <c r="F6639" t="s">
        <v>32831</v>
      </c>
      <c r="G6639" t="s">
        <v>32839</v>
      </c>
      <c r="H6639" t="s">
        <v>32849</v>
      </c>
      <c r="I6639" t="s">
        <v>4177</v>
      </c>
      <c r="J6639" t="s">
        <v>32978</v>
      </c>
      <c r="K6639" t="s">
        <v>42764</v>
      </c>
      <c r="M6639" t="s">
        <v>45525</v>
      </c>
      <c r="N6639" t="s">
        <v>47424</v>
      </c>
      <c r="O6639" t="s">
        <v>47425</v>
      </c>
      <c r="P6639">
        <v>0</v>
      </c>
      <c r="Q6639">
        <v>1</v>
      </c>
      <c r="R6639" t="s">
        <v>47431</v>
      </c>
      <c r="S6639" t="s">
        <v>47565</v>
      </c>
      <c r="T6639" t="s">
        <v>49325</v>
      </c>
      <c r="U6639" t="s">
        <v>55192</v>
      </c>
      <c r="V6639" t="s">
        <v>63352</v>
      </c>
      <c r="W6639" t="s">
        <v>45525</v>
      </c>
      <c r="X6639" t="s">
        <v>47432</v>
      </c>
    </row>
    <row r="6640" spans="1:24">
      <c r="A6640">
        <f>HYPERLINK("https://www.philgeps.gov.ph/GEPSNONPILOT/Tender/SplashBidNoticeAbstractUI.aspx?menuIndex=3&amp;refID=7155586&amp;Result=3","7155586")</f>
        <v>0</v>
      </c>
      <c r="B6640" t="s">
        <v>2262</v>
      </c>
      <c r="C6640" t="s">
        <v>10152</v>
      </c>
      <c r="D6640" t="s">
        <v>19026</v>
      </c>
      <c r="E6640" t="s">
        <v>24890</v>
      </c>
      <c r="F6640" t="s">
        <v>32831</v>
      </c>
      <c r="G6640" t="s">
        <v>32839</v>
      </c>
      <c r="H6640" t="s">
        <v>32849</v>
      </c>
      <c r="I6640" t="s">
        <v>4177</v>
      </c>
      <c r="J6640" t="s">
        <v>33083</v>
      </c>
      <c r="K6640" t="s">
        <v>42730</v>
      </c>
      <c r="M6640" t="s">
        <v>45446</v>
      </c>
      <c r="N6640" t="s">
        <v>47424</v>
      </c>
      <c r="O6640" t="s">
        <v>47425</v>
      </c>
      <c r="P6640">
        <v>0</v>
      </c>
      <c r="Q6640">
        <v>89</v>
      </c>
      <c r="R6640" t="s">
        <v>47431</v>
      </c>
      <c r="S6640" t="s">
        <v>47565</v>
      </c>
      <c r="T6640" t="s">
        <v>49056</v>
      </c>
      <c r="U6640" t="s">
        <v>54976</v>
      </c>
      <c r="W6640" t="s">
        <v>45446</v>
      </c>
      <c r="X6640" t="s">
        <v>47432</v>
      </c>
    </row>
    <row r="6641" spans="1:24">
      <c r="A6641">
        <f>HYPERLINK("https://www.philgeps.gov.ph/GEPSNONPILOT/Tender/SplashBidNoticeAbstractUI.aspx?menuIndex=3&amp;refID=7156199&amp;Result=3","7156199")</f>
        <v>0</v>
      </c>
      <c r="B6641" t="s">
        <v>868</v>
      </c>
      <c r="C6641" t="s">
        <v>10153</v>
      </c>
      <c r="D6641" t="s">
        <v>19073</v>
      </c>
      <c r="E6641" t="s">
        <v>24891</v>
      </c>
      <c r="F6641" t="s">
        <v>32831</v>
      </c>
      <c r="G6641" t="s">
        <v>32838</v>
      </c>
      <c r="H6641" t="s">
        <v>32848</v>
      </c>
      <c r="I6641" t="s">
        <v>4438</v>
      </c>
      <c r="J6641" t="s">
        <v>37165</v>
      </c>
      <c r="K6641" t="s">
        <v>42726</v>
      </c>
      <c r="M6641" t="s">
        <v>44078</v>
      </c>
      <c r="N6641" t="s">
        <v>47424</v>
      </c>
      <c r="O6641" t="s">
        <v>47425</v>
      </c>
      <c r="P6641">
        <v>0</v>
      </c>
      <c r="Q6641">
        <v>2</v>
      </c>
      <c r="R6641" t="s">
        <v>47431</v>
      </c>
      <c r="S6641" t="s">
        <v>47565</v>
      </c>
      <c r="T6641" t="s">
        <v>49107</v>
      </c>
      <c r="U6641" t="s">
        <v>55274</v>
      </c>
      <c r="W6641" t="s">
        <v>44078</v>
      </c>
      <c r="X6641" t="s">
        <v>47432</v>
      </c>
    </row>
    <row r="6642" spans="1:24">
      <c r="A6642">
        <f>HYPERLINK("https://www.philgeps.gov.ph/GEPSNONPILOT/Tender/SplashBidNoticeAbstractUI.aspx?menuIndex=3&amp;refID=7156154&amp;Result=3","7156154")</f>
        <v>0</v>
      </c>
      <c r="B6642" t="s">
        <v>2029</v>
      </c>
      <c r="C6642" t="s">
        <v>10154</v>
      </c>
      <c r="D6642" t="s">
        <v>19067</v>
      </c>
      <c r="E6642" t="s">
        <v>24892</v>
      </c>
      <c r="F6642" t="s">
        <v>32831</v>
      </c>
      <c r="G6642" t="s">
        <v>32840</v>
      </c>
      <c r="H6642" t="s">
        <v>32848</v>
      </c>
      <c r="I6642" t="s">
        <v>4487</v>
      </c>
      <c r="J6642" t="s">
        <v>37166</v>
      </c>
      <c r="K6642" t="s">
        <v>42732</v>
      </c>
      <c r="M6642" t="s">
        <v>45197</v>
      </c>
      <c r="N6642" t="s">
        <v>47424</v>
      </c>
      <c r="O6642" t="s">
        <v>47425</v>
      </c>
      <c r="P6642">
        <v>0</v>
      </c>
      <c r="Q6642">
        <v>2</v>
      </c>
      <c r="R6642" t="s">
        <v>47431</v>
      </c>
      <c r="S6642" t="s">
        <v>47565</v>
      </c>
      <c r="T6642" t="s">
        <v>49111</v>
      </c>
      <c r="U6642" t="s">
        <v>55275</v>
      </c>
      <c r="W6642" t="s">
        <v>45197</v>
      </c>
      <c r="X6642" t="s">
        <v>47432</v>
      </c>
    </row>
    <row r="6643" spans="1:24">
      <c r="A6643">
        <f>HYPERLINK("https://www.philgeps.gov.ph/GEPSNONPILOT/Tender/SplashBidNoticeAbstractUI.aspx?menuIndex=3&amp;refID=7156153&amp;Result=3","7156153")</f>
        <v>0</v>
      </c>
      <c r="B6643" t="s">
        <v>1130</v>
      </c>
      <c r="C6643" t="s">
        <v>10155</v>
      </c>
      <c r="D6643" t="s">
        <v>19045</v>
      </c>
      <c r="E6643" t="s">
        <v>24893</v>
      </c>
      <c r="F6643" t="s">
        <v>32831</v>
      </c>
      <c r="G6643" t="s">
        <v>32839</v>
      </c>
      <c r="H6643" t="s">
        <v>32849</v>
      </c>
      <c r="I6643" t="s">
        <v>4177</v>
      </c>
      <c r="J6643" t="s">
        <v>37167</v>
      </c>
      <c r="K6643" t="s">
        <v>42729</v>
      </c>
      <c r="M6643" t="s">
        <v>45442</v>
      </c>
      <c r="N6643" t="s">
        <v>47424</v>
      </c>
      <c r="O6643" t="s">
        <v>47425</v>
      </c>
      <c r="P6643">
        <v>0</v>
      </c>
      <c r="Q6643">
        <v>0</v>
      </c>
      <c r="R6643" t="s">
        <v>47431</v>
      </c>
      <c r="S6643" t="s">
        <v>47565</v>
      </c>
      <c r="T6643" t="s">
        <v>49188</v>
      </c>
      <c r="U6643" t="s">
        <v>55244</v>
      </c>
      <c r="V6643" t="s">
        <v>63325</v>
      </c>
      <c r="W6643" t="s">
        <v>45442</v>
      </c>
      <c r="X6643" t="s">
        <v>47432</v>
      </c>
    </row>
    <row r="6644" spans="1:24">
      <c r="A6644">
        <f>HYPERLINK("https://www.philgeps.gov.ph/GEPSNONPILOT/Tender/SplashBidNoticeAbstractUI.aspx?menuIndex=3&amp;refID=7156212&amp;Result=3","7156212")</f>
        <v>0</v>
      </c>
      <c r="B6644" t="s">
        <v>2368</v>
      </c>
      <c r="C6644" t="s">
        <v>9492</v>
      </c>
      <c r="E6644" t="s">
        <v>24894</v>
      </c>
      <c r="F6644" t="s">
        <v>32831</v>
      </c>
      <c r="G6644" t="s">
        <v>32839</v>
      </c>
      <c r="H6644" t="s">
        <v>32849</v>
      </c>
      <c r="I6644" t="s">
        <v>4177</v>
      </c>
      <c r="J6644" t="s">
        <v>34579</v>
      </c>
      <c r="K6644" t="s">
        <v>42748</v>
      </c>
      <c r="M6644" t="s">
        <v>45558</v>
      </c>
      <c r="N6644" t="s">
        <v>47424</v>
      </c>
      <c r="O6644" t="s">
        <v>47425</v>
      </c>
      <c r="P6644">
        <v>0</v>
      </c>
      <c r="Q6644">
        <v>0</v>
      </c>
      <c r="R6644" t="s">
        <v>47431</v>
      </c>
      <c r="S6644" t="s">
        <v>47565</v>
      </c>
      <c r="T6644" t="s">
        <v>49125</v>
      </c>
      <c r="U6644" t="s">
        <v>55276</v>
      </c>
      <c r="W6644" t="s">
        <v>45558</v>
      </c>
      <c r="X6644" t="s">
        <v>47432</v>
      </c>
    </row>
    <row r="6645" spans="1:24">
      <c r="A6645">
        <f>HYPERLINK("https://www.philgeps.gov.ph/GEPSNONPILOT/Tender/SplashBidNoticeAbstractUI.aspx?menuIndex=3&amp;refID=7156166&amp;Result=3","7156166")</f>
        <v>0</v>
      </c>
      <c r="B6645" t="s">
        <v>2369</v>
      </c>
      <c r="C6645" t="s">
        <v>10156</v>
      </c>
      <c r="D6645" t="s">
        <v>19017</v>
      </c>
      <c r="E6645" t="s">
        <v>19219</v>
      </c>
      <c r="F6645" t="s">
        <v>32833</v>
      </c>
      <c r="G6645" t="s">
        <v>32838</v>
      </c>
      <c r="H6645" t="s">
        <v>32848</v>
      </c>
      <c r="I6645" t="s">
        <v>32864</v>
      </c>
      <c r="J6645" t="s">
        <v>37168</v>
      </c>
      <c r="K6645" t="s">
        <v>42727</v>
      </c>
      <c r="L6645" t="s">
        <v>2369</v>
      </c>
      <c r="M6645" t="s">
        <v>45559</v>
      </c>
      <c r="N6645" t="s">
        <v>47424</v>
      </c>
      <c r="O6645" t="s">
        <v>47425</v>
      </c>
      <c r="P6645">
        <v>0</v>
      </c>
      <c r="Q6645">
        <v>7</v>
      </c>
      <c r="R6645" t="s">
        <v>47431</v>
      </c>
      <c r="S6645" t="s">
        <v>47565</v>
      </c>
      <c r="T6645" t="s">
        <v>49140</v>
      </c>
      <c r="U6645" t="s">
        <v>55277</v>
      </c>
      <c r="W6645" t="s">
        <v>45559</v>
      </c>
      <c r="X6645" t="s">
        <v>47432</v>
      </c>
    </row>
    <row r="6646" spans="1:24">
      <c r="A6646">
        <f>HYPERLINK("https://www.philgeps.gov.ph/GEPSNONPILOT/Tender/SplashBidNoticeAbstractUI.aspx?menuIndex=3&amp;refID=7156211&amp;Result=3","7156211")</f>
        <v>0</v>
      </c>
      <c r="B6646" t="s">
        <v>571</v>
      </c>
      <c r="C6646" t="s">
        <v>10157</v>
      </c>
      <c r="D6646" t="s">
        <v>19027</v>
      </c>
      <c r="E6646" t="s">
        <v>24895</v>
      </c>
      <c r="F6646" t="s">
        <v>32831</v>
      </c>
      <c r="G6646" t="s">
        <v>32840</v>
      </c>
      <c r="H6646" t="s">
        <v>32848</v>
      </c>
      <c r="I6646" t="s">
        <v>8577</v>
      </c>
      <c r="J6646" t="s">
        <v>33031</v>
      </c>
      <c r="K6646" t="s">
        <v>42727</v>
      </c>
      <c r="M6646" t="s">
        <v>43581</v>
      </c>
      <c r="N6646" t="s">
        <v>47424</v>
      </c>
      <c r="O6646" t="s">
        <v>47425</v>
      </c>
      <c r="P6646">
        <v>0</v>
      </c>
      <c r="Q6646">
        <v>2</v>
      </c>
      <c r="R6646" t="s">
        <v>47431</v>
      </c>
      <c r="S6646" t="s">
        <v>47565</v>
      </c>
      <c r="T6646" t="s">
        <v>49114</v>
      </c>
      <c r="U6646" t="s">
        <v>55278</v>
      </c>
      <c r="V6646" t="s">
        <v>62817</v>
      </c>
      <c r="W6646" t="s">
        <v>43581</v>
      </c>
      <c r="X6646" t="s">
        <v>47432</v>
      </c>
    </row>
    <row r="6647" spans="1:24">
      <c r="A6647">
        <f>HYPERLINK("https://www.philgeps.gov.ph/GEPSNONPILOT/Tender/SplashBidNoticeAbstractUI.aspx?menuIndex=3&amp;refID=7156207&amp;Result=3","7156207")</f>
        <v>0</v>
      </c>
      <c r="B6647" t="s">
        <v>2370</v>
      </c>
      <c r="C6647" t="s">
        <v>10158</v>
      </c>
      <c r="D6647" t="s">
        <v>19077</v>
      </c>
      <c r="E6647" t="s">
        <v>19311</v>
      </c>
      <c r="F6647" t="s">
        <v>32831</v>
      </c>
      <c r="G6647" t="s">
        <v>32840</v>
      </c>
      <c r="H6647" t="s">
        <v>32848</v>
      </c>
      <c r="I6647" t="s">
        <v>32855</v>
      </c>
      <c r="J6647" t="s">
        <v>37169</v>
      </c>
      <c r="K6647" t="s">
        <v>42730</v>
      </c>
      <c r="M6647" t="s">
        <v>45560</v>
      </c>
      <c r="N6647" t="s">
        <v>47424</v>
      </c>
      <c r="O6647" t="s">
        <v>47425</v>
      </c>
      <c r="P6647">
        <v>0</v>
      </c>
      <c r="Q6647">
        <v>12</v>
      </c>
      <c r="R6647" t="s">
        <v>47431</v>
      </c>
      <c r="S6647" t="s">
        <v>47565</v>
      </c>
      <c r="T6647" t="s">
        <v>49214</v>
      </c>
      <c r="U6647" t="s">
        <v>55279</v>
      </c>
      <c r="V6647" t="s">
        <v>63359</v>
      </c>
      <c r="W6647" t="s">
        <v>45560</v>
      </c>
      <c r="X6647" t="s">
        <v>47432</v>
      </c>
    </row>
    <row r="6648" spans="1:24">
      <c r="A6648">
        <f>HYPERLINK("https://www.philgeps.gov.ph/GEPSNONPILOT/Tender/SplashBidNoticeAbstractUI.aspx?menuIndex=3&amp;refID=7156204&amp;Result=3","7156204")</f>
        <v>0</v>
      </c>
      <c r="B6648" t="s">
        <v>2330</v>
      </c>
      <c r="C6648" t="s">
        <v>10159</v>
      </c>
      <c r="D6648" t="s">
        <v>19062</v>
      </c>
      <c r="E6648" t="s">
        <v>24896</v>
      </c>
      <c r="F6648" t="s">
        <v>32831</v>
      </c>
      <c r="G6648" t="s">
        <v>32838</v>
      </c>
      <c r="H6648" t="s">
        <v>32848</v>
      </c>
      <c r="I6648" t="s">
        <v>4558</v>
      </c>
      <c r="J6648" t="s">
        <v>37170</v>
      </c>
      <c r="K6648" t="s">
        <v>42759</v>
      </c>
      <c r="M6648" t="s">
        <v>45516</v>
      </c>
      <c r="N6648" t="s">
        <v>47424</v>
      </c>
      <c r="O6648" t="s">
        <v>47425</v>
      </c>
      <c r="P6648">
        <v>0</v>
      </c>
      <c r="Q6648">
        <v>0</v>
      </c>
      <c r="R6648" t="s">
        <v>47431</v>
      </c>
      <c r="S6648" t="s">
        <v>47565</v>
      </c>
      <c r="T6648" t="s">
        <v>49145</v>
      </c>
      <c r="U6648" t="s">
        <v>55280</v>
      </c>
      <c r="W6648" t="s">
        <v>45516</v>
      </c>
      <c r="X6648" t="s">
        <v>47432</v>
      </c>
    </row>
    <row r="6649" spans="1:24">
      <c r="A6649">
        <f>HYPERLINK("https://www.philgeps.gov.ph/GEPSNONPILOT/Tender/SplashBidNoticeAbstractUI.aspx?menuIndex=3&amp;refID=7156205&amp;Result=3","7156205")</f>
        <v>0</v>
      </c>
      <c r="B6649" t="s">
        <v>316</v>
      </c>
      <c r="C6649" t="s">
        <v>5790</v>
      </c>
      <c r="D6649" t="s">
        <v>19023</v>
      </c>
      <c r="E6649" t="s">
        <v>24897</v>
      </c>
      <c r="F6649" t="s">
        <v>32831</v>
      </c>
      <c r="G6649" t="s">
        <v>32840</v>
      </c>
      <c r="H6649" t="s">
        <v>32848</v>
      </c>
      <c r="I6649" t="s">
        <v>4438</v>
      </c>
      <c r="J6649" t="s">
        <v>37171</v>
      </c>
      <c r="K6649" t="s">
        <v>42730</v>
      </c>
      <c r="M6649" t="s">
        <v>43795</v>
      </c>
      <c r="N6649" t="s">
        <v>47424</v>
      </c>
      <c r="O6649" t="s">
        <v>47425</v>
      </c>
      <c r="P6649">
        <v>0</v>
      </c>
      <c r="Q6649">
        <v>2</v>
      </c>
      <c r="R6649" t="s">
        <v>47431</v>
      </c>
      <c r="S6649" t="s">
        <v>47565</v>
      </c>
      <c r="T6649" t="s">
        <v>49056</v>
      </c>
      <c r="U6649" t="s">
        <v>51090</v>
      </c>
      <c r="V6649" t="s">
        <v>62802</v>
      </c>
      <c r="W6649" t="s">
        <v>43795</v>
      </c>
      <c r="X6649" t="s">
        <v>47432</v>
      </c>
    </row>
    <row r="6650" spans="1:24">
      <c r="A6650">
        <f>HYPERLINK("https://www.philgeps.gov.ph/GEPSNONPILOT/Tender/SplashBidNoticeAbstractUI.aspx?menuIndex=3&amp;refID=7156167&amp;Result=3","7156167")</f>
        <v>0</v>
      </c>
      <c r="B6650" t="s">
        <v>1130</v>
      </c>
      <c r="C6650" t="s">
        <v>10160</v>
      </c>
      <c r="D6650" t="s">
        <v>19045</v>
      </c>
      <c r="E6650" t="s">
        <v>24898</v>
      </c>
      <c r="F6650" t="s">
        <v>32831</v>
      </c>
      <c r="G6650" t="s">
        <v>32839</v>
      </c>
      <c r="H6650" t="s">
        <v>32849</v>
      </c>
      <c r="I6650" t="s">
        <v>4177</v>
      </c>
      <c r="J6650" t="s">
        <v>37172</v>
      </c>
      <c r="K6650" t="s">
        <v>42756</v>
      </c>
      <c r="M6650" t="s">
        <v>45442</v>
      </c>
      <c r="N6650" t="s">
        <v>47424</v>
      </c>
      <c r="O6650" t="s">
        <v>47425</v>
      </c>
      <c r="P6650">
        <v>0</v>
      </c>
      <c r="Q6650">
        <v>0</v>
      </c>
      <c r="R6650" t="s">
        <v>47431</v>
      </c>
      <c r="S6650" t="s">
        <v>47565</v>
      </c>
      <c r="T6650" t="s">
        <v>49188</v>
      </c>
      <c r="U6650" t="s">
        <v>55244</v>
      </c>
      <c r="V6650" t="s">
        <v>63325</v>
      </c>
      <c r="W6650" t="s">
        <v>45442</v>
      </c>
      <c r="X6650" t="s">
        <v>47432</v>
      </c>
    </row>
    <row r="6651" spans="1:24">
      <c r="A6651">
        <f>HYPERLINK("https://www.philgeps.gov.ph/GEPSNONPILOT/Tender/SplashBidNoticeAbstractUI.aspx?menuIndex=3&amp;refID=7156203&amp;Result=3","7156203")</f>
        <v>0</v>
      </c>
      <c r="B6651" t="s">
        <v>2029</v>
      </c>
      <c r="C6651" t="s">
        <v>10161</v>
      </c>
      <c r="D6651" t="s">
        <v>19067</v>
      </c>
      <c r="E6651" t="s">
        <v>24899</v>
      </c>
      <c r="F6651" t="s">
        <v>32831</v>
      </c>
      <c r="G6651" t="s">
        <v>32840</v>
      </c>
      <c r="H6651" t="s">
        <v>32848</v>
      </c>
      <c r="I6651" t="s">
        <v>8781</v>
      </c>
      <c r="J6651" t="s">
        <v>37173</v>
      </c>
      <c r="K6651" t="s">
        <v>42732</v>
      </c>
      <c r="M6651" t="s">
        <v>45197</v>
      </c>
      <c r="N6651" t="s">
        <v>47424</v>
      </c>
      <c r="O6651" t="s">
        <v>47425</v>
      </c>
      <c r="P6651">
        <v>0</v>
      </c>
      <c r="Q6651">
        <v>0</v>
      </c>
      <c r="R6651" t="s">
        <v>47431</v>
      </c>
      <c r="S6651" t="s">
        <v>47565</v>
      </c>
      <c r="T6651" t="s">
        <v>49111</v>
      </c>
      <c r="U6651" t="s">
        <v>55281</v>
      </c>
      <c r="W6651" t="s">
        <v>45197</v>
      </c>
      <c r="X6651" t="s">
        <v>47432</v>
      </c>
    </row>
    <row r="6652" spans="1:24">
      <c r="A6652">
        <f>HYPERLINK("https://www.philgeps.gov.ph/GEPSNONPILOT/Tender/SplashBidNoticeAbstractUI.aspx?menuIndex=3&amp;refID=7156209&amp;Result=3","7156209")</f>
        <v>0</v>
      </c>
      <c r="B6652" t="s">
        <v>1130</v>
      </c>
      <c r="C6652" t="s">
        <v>10162</v>
      </c>
      <c r="D6652" t="s">
        <v>19045</v>
      </c>
      <c r="E6652" t="s">
        <v>24900</v>
      </c>
      <c r="F6652" t="s">
        <v>32831</v>
      </c>
      <c r="G6652" t="s">
        <v>32839</v>
      </c>
      <c r="H6652" t="s">
        <v>32849</v>
      </c>
      <c r="I6652" t="s">
        <v>4177</v>
      </c>
      <c r="J6652" t="s">
        <v>37174</v>
      </c>
      <c r="K6652" t="s">
        <v>42729</v>
      </c>
      <c r="M6652" t="s">
        <v>45442</v>
      </c>
      <c r="N6652" t="s">
        <v>47424</v>
      </c>
      <c r="O6652" t="s">
        <v>47425</v>
      </c>
      <c r="P6652">
        <v>0</v>
      </c>
      <c r="Q6652">
        <v>0</v>
      </c>
      <c r="R6652" t="s">
        <v>47431</v>
      </c>
      <c r="S6652" t="s">
        <v>47565</v>
      </c>
      <c r="T6652" t="s">
        <v>49188</v>
      </c>
      <c r="U6652" t="s">
        <v>55244</v>
      </c>
      <c r="V6652" t="s">
        <v>63325</v>
      </c>
      <c r="W6652" t="s">
        <v>45442</v>
      </c>
      <c r="X6652" t="s">
        <v>47432</v>
      </c>
    </row>
    <row r="6653" spans="1:24">
      <c r="A6653">
        <f>HYPERLINK("https://www.philgeps.gov.ph/GEPSNONPILOT/Tender/SplashBidNoticeAbstractUI.aspx?menuIndex=3&amp;refID=7156193&amp;Result=3","7156193")</f>
        <v>0</v>
      </c>
      <c r="B6653" t="s">
        <v>316</v>
      </c>
      <c r="C6653" t="s">
        <v>5790</v>
      </c>
      <c r="D6653" t="s">
        <v>19023</v>
      </c>
      <c r="E6653" t="s">
        <v>24901</v>
      </c>
      <c r="F6653" t="s">
        <v>32831</v>
      </c>
      <c r="G6653" t="s">
        <v>32840</v>
      </c>
      <c r="H6653" t="s">
        <v>32848</v>
      </c>
      <c r="I6653" t="s">
        <v>4438</v>
      </c>
      <c r="J6653" t="s">
        <v>37175</v>
      </c>
      <c r="K6653" t="s">
        <v>42730</v>
      </c>
      <c r="M6653" t="s">
        <v>43795</v>
      </c>
      <c r="N6653" t="s">
        <v>47424</v>
      </c>
      <c r="O6653" t="s">
        <v>47425</v>
      </c>
      <c r="P6653">
        <v>0</v>
      </c>
      <c r="Q6653">
        <v>1</v>
      </c>
      <c r="R6653" t="s">
        <v>47431</v>
      </c>
      <c r="S6653" t="s">
        <v>47565</v>
      </c>
      <c r="T6653" t="s">
        <v>49056</v>
      </c>
      <c r="U6653" t="s">
        <v>51090</v>
      </c>
      <c r="V6653" t="s">
        <v>62802</v>
      </c>
      <c r="W6653" t="s">
        <v>43795</v>
      </c>
      <c r="X6653" t="s">
        <v>47432</v>
      </c>
    </row>
    <row r="6654" spans="1:24">
      <c r="A6654">
        <f>HYPERLINK("https://www.philgeps.gov.ph/GEPSNONPILOT/Tender/SplashBidNoticeAbstractUI.aspx?menuIndex=3&amp;refID=7156189&amp;Result=3","7156189")</f>
        <v>0</v>
      </c>
      <c r="B6654" t="s">
        <v>2371</v>
      </c>
      <c r="C6654" t="s">
        <v>10163</v>
      </c>
      <c r="D6654" t="s">
        <v>19062</v>
      </c>
      <c r="E6654" t="s">
        <v>24902</v>
      </c>
      <c r="F6654" t="s">
        <v>32831</v>
      </c>
      <c r="G6654" t="s">
        <v>32839</v>
      </c>
      <c r="H6654" t="s">
        <v>32848</v>
      </c>
      <c r="I6654" t="s">
        <v>7416</v>
      </c>
      <c r="J6654" t="s">
        <v>37176</v>
      </c>
      <c r="K6654" t="s">
        <v>42732</v>
      </c>
      <c r="M6654" t="s">
        <v>45561</v>
      </c>
      <c r="N6654" t="s">
        <v>47424</v>
      </c>
      <c r="O6654" t="s">
        <v>47425</v>
      </c>
      <c r="P6654">
        <v>0</v>
      </c>
      <c r="Q6654">
        <v>0</v>
      </c>
      <c r="R6654" t="s">
        <v>47431</v>
      </c>
      <c r="S6654" t="s">
        <v>47565</v>
      </c>
      <c r="T6654" t="s">
        <v>49129</v>
      </c>
      <c r="U6654" t="s">
        <v>55282</v>
      </c>
      <c r="W6654" t="s">
        <v>45561</v>
      </c>
      <c r="X6654" t="s">
        <v>47432</v>
      </c>
    </row>
    <row r="6655" spans="1:24">
      <c r="A6655">
        <f>HYPERLINK("https://www.philgeps.gov.ph/GEPSNONPILOT/Tender/SplashBidNoticeAbstractUI.aspx?menuIndex=3&amp;refID=7156214&amp;Result=3","7156214")</f>
        <v>0</v>
      </c>
      <c r="B6655" t="s">
        <v>2310</v>
      </c>
      <c r="C6655" t="s">
        <v>10164</v>
      </c>
      <c r="D6655" t="s">
        <v>19028</v>
      </c>
      <c r="E6655" t="s">
        <v>24903</v>
      </c>
      <c r="F6655" t="s">
        <v>32831</v>
      </c>
      <c r="G6655" t="s">
        <v>32840</v>
      </c>
      <c r="H6655" t="s">
        <v>32848</v>
      </c>
      <c r="I6655" t="s">
        <v>4487</v>
      </c>
      <c r="J6655" t="s">
        <v>34600</v>
      </c>
      <c r="K6655" t="s">
        <v>42731</v>
      </c>
      <c r="M6655" t="s">
        <v>45495</v>
      </c>
      <c r="N6655" t="s">
        <v>47424</v>
      </c>
      <c r="O6655" t="s">
        <v>47425</v>
      </c>
      <c r="P6655">
        <v>0</v>
      </c>
      <c r="Q6655">
        <v>2</v>
      </c>
      <c r="R6655" t="s">
        <v>47431</v>
      </c>
      <c r="S6655" t="s">
        <v>47565</v>
      </c>
      <c r="T6655" t="s">
        <v>49166</v>
      </c>
      <c r="U6655" t="s">
        <v>55283</v>
      </c>
      <c r="W6655" t="s">
        <v>45495</v>
      </c>
      <c r="X6655" t="s">
        <v>47432</v>
      </c>
    </row>
    <row r="6656" spans="1:24">
      <c r="A6656">
        <f>HYPERLINK("https://www.philgeps.gov.ph/GEPSNONPILOT/Tender/SplashBidNoticeAbstractUI.aspx?menuIndex=3&amp;refID=7156183&amp;Result=3","7156183")</f>
        <v>0</v>
      </c>
      <c r="B6656" t="s">
        <v>316</v>
      </c>
      <c r="C6656" t="s">
        <v>5790</v>
      </c>
      <c r="D6656" t="s">
        <v>19023</v>
      </c>
      <c r="E6656" t="s">
        <v>24339</v>
      </c>
      <c r="F6656" t="s">
        <v>32831</v>
      </c>
      <c r="G6656" t="s">
        <v>32840</v>
      </c>
      <c r="H6656" t="s">
        <v>32848</v>
      </c>
      <c r="I6656" t="s">
        <v>4438</v>
      </c>
      <c r="J6656" t="s">
        <v>37177</v>
      </c>
      <c r="K6656" t="s">
        <v>42730</v>
      </c>
      <c r="M6656" t="s">
        <v>43795</v>
      </c>
      <c r="N6656" t="s">
        <v>47424</v>
      </c>
      <c r="O6656" t="s">
        <v>47425</v>
      </c>
      <c r="P6656">
        <v>0</v>
      </c>
      <c r="Q6656">
        <v>1</v>
      </c>
      <c r="R6656" t="s">
        <v>47431</v>
      </c>
      <c r="S6656" t="s">
        <v>47565</v>
      </c>
      <c r="T6656" t="s">
        <v>49056</v>
      </c>
      <c r="U6656" t="s">
        <v>51090</v>
      </c>
      <c r="V6656" t="s">
        <v>62802</v>
      </c>
      <c r="W6656" t="s">
        <v>43795</v>
      </c>
      <c r="X6656" t="s">
        <v>47432</v>
      </c>
    </row>
    <row r="6657" spans="1:24">
      <c r="A6657">
        <f>HYPERLINK("https://www.philgeps.gov.ph/GEPSNONPILOT/Tender/SplashBidNoticeAbstractUI.aspx?menuIndex=3&amp;refID=7156196&amp;Result=3","7156196")</f>
        <v>0</v>
      </c>
      <c r="B6657" t="s">
        <v>619</v>
      </c>
      <c r="C6657" t="s">
        <v>5191</v>
      </c>
      <c r="D6657" t="s">
        <v>19027</v>
      </c>
      <c r="E6657" t="s">
        <v>20054</v>
      </c>
      <c r="F6657" t="s">
        <v>32831</v>
      </c>
      <c r="G6657" t="s">
        <v>32840</v>
      </c>
      <c r="H6657" t="s">
        <v>32848</v>
      </c>
      <c r="I6657" t="s">
        <v>10643</v>
      </c>
      <c r="J6657" t="s">
        <v>37178</v>
      </c>
      <c r="K6657" t="s">
        <v>42748</v>
      </c>
      <c r="M6657" t="s">
        <v>43635</v>
      </c>
      <c r="N6657" t="s">
        <v>47424</v>
      </c>
      <c r="O6657" t="s">
        <v>47425</v>
      </c>
      <c r="P6657">
        <v>0</v>
      </c>
      <c r="Q6657">
        <v>2</v>
      </c>
      <c r="R6657" t="s">
        <v>47431</v>
      </c>
      <c r="S6657" t="s">
        <v>47565</v>
      </c>
      <c r="T6657" t="s">
        <v>49163</v>
      </c>
      <c r="U6657" t="s">
        <v>55284</v>
      </c>
      <c r="W6657" t="s">
        <v>43635</v>
      </c>
      <c r="X6657" t="s">
        <v>47432</v>
      </c>
    </row>
    <row r="6658" spans="1:24">
      <c r="A6658">
        <f>HYPERLINK("https://www.philgeps.gov.ph/GEPSNONPILOT/Tender/SplashBidNoticeAbstractUI.aspx?menuIndex=3&amp;refID=7156180&amp;Result=3","7156180")</f>
        <v>0</v>
      </c>
      <c r="B6658" t="s">
        <v>2372</v>
      </c>
      <c r="C6658" t="s">
        <v>9492</v>
      </c>
      <c r="E6658" t="s">
        <v>24904</v>
      </c>
      <c r="F6658" t="s">
        <v>32831</v>
      </c>
      <c r="G6658" t="s">
        <v>32839</v>
      </c>
      <c r="H6658" t="s">
        <v>32849</v>
      </c>
      <c r="I6658" t="s">
        <v>4177</v>
      </c>
      <c r="J6658" t="s">
        <v>35951</v>
      </c>
      <c r="K6658" t="s">
        <v>42779</v>
      </c>
      <c r="M6658" t="s">
        <v>44657</v>
      </c>
      <c r="N6658" t="s">
        <v>47424</v>
      </c>
      <c r="O6658" t="s">
        <v>47425</v>
      </c>
      <c r="P6658">
        <v>0</v>
      </c>
      <c r="Q6658">
        <v>0</v>
      </c>
      <c r="R6658" t="s">
        <v>47431</v>
      </c>
      <c r="S6658" t="s">
        <v>47565</v>
      </c>
      <c r="T6658" t="s">
        <v>49125</v>
      </c>
      <c r="U6658" t="s">
        <v>55285</v>
      </c>
      <c r="W6658" t="s">
        <v>44657</v>
      </c>
      <c r="X6658" t="s">
        <v>47432</v>
      </c>
    </row>
    <row r="6659" spans="1:24">
      <c r="A6659">
        <f>HYPERLINK("https://www.philgeps.gov.ph/GEPSNONPILOT/Tender/SplashBidNoticeAbstractUI.aspx?menuIndex=3&amp;refID=7156179&amp;Result=3","7156179")</f>
        <v>0</v>
      </c>
      <c r="B6659" t="s">
        <v>648</v>
      </c>
      <c r="C6659" t="s">
        <v>10165</v>
      </c>
      <c r="D6659" t="s">
        <v>19044</v>
      </c>
      <c r="E6659" t="s">
        <v>24905</v>
      </c>
      <c r="F6659" t="s">
        <v>32831</v>
      </c>
      <c r="G6659" t="s">
        <v>32838</v>
      </c>
      <c r="H6659" t="s">
        <v>32848</v>
      </c>
      <c r="I6659" t="s">
        <v>4776</v>
      </c>
      <c r="J6659" t="s">
        <v>32976</v>
      </c>
      <c r="K6659" t="s">
        <v>42745</v>
      </c>
      <c r="M6659" t="s">
        <v>43665</v>
      </c>
      <c r="N6659" t="s">
        <v>47424</v>
      </c>
      <c r="O6659" t="s">
        <v>47425</v>
      </c>
      <c r="P6659">
        <v>0</v>
      </c>
      <c r="Q6659">
        <v>0</v>
      </c>
      <c r="R6659" t="s">
        <v>47431</v>
      </c>
      <c r="S6659" t="s">
        <v>47565</v>
      </c>
      <c r="T6659" t="s">
        <v>49205</v>
      </c>
      <c r="U6659" t="s">
        <v>55286</v>
      </c>
      <c r="W6659" t="s">
        <v>43665</v>
      </c>
      <c r="X6659" t="s">
        <v>47432</v>
      </c>
    </row>
    <row r="6660" spans="1:24">
      <c r="A6660">
        <f>HYPERLINK("https://www.philgeps.gov.ph/GEPSNONPILOT/Tender/SplashBidNoticeAbstractUI.aspx?menuIndex=3&amp;refID=7156175&amp;Result=3","7156175")</f>
        <v>0</v>
      </c>
      <c r="B6660" t="s">
        <v>2373</v>
      </c>
      <c r="C6660" t="s">
        <v>10166</v>
      </c>
      <c r="D6660" t="s">
        <v>19026</v>
      </c>
      <c r="E6660" t="s">
        <v>24906</v>
      </c>
      <c r="F6660" t="s">
        <v>32831</v>
      </c>
      <c r="G6660" t="s">
        <v>32839</v>
      </c>
      <c r="H6660" t="s">
        <v>32848</v>
      </c>
      <c r="I6660" t="s">
        <v>7416</v>
      </c>
      <c r="J6660" t="s">
        <v>37179</v>
      </c>
      <c r="K6660" t="s">
        <v>42731</v>
      </c>
      <c r="L6660" t="s">
        <v>2373</v>
      </c>
      <c r="M6660" t="s">
        <v>45562</v>
      </c>
      <c r="N6660" t="s">
        <v>47424</v>
      </c>
      <c r="O6660" t="s">
        <v>47425</v>
      </c>
      <c r="P6660">
        <v>0</v>
      </c>
      <c r="Q6660">
        <v>5</v>
      </c>
      <c r="R6660" t="s">
        <v>47431</v>
      </c>
      <c r="S6660" t="s">
        <v>47565</v>
      </c>
      <c r="T6660" t="s">
        <v>49123</v>
      </c>
      <c r="U6660" t="s">
        <v>55287</v>
      </c>
      <c r="W6660" t="s">
        <v>45562</v>
      </c>
      <c r="X6660" t="s">
        <v>47432</v>
      </c>
    </row>
    <row r="6661" spans="1:24">
      <c r="A6661">
        <f>HYPERLINK("https://www.philgeps.gov.ph/GEPSNONPILOT/Tender/SplashBidNoticeAbstractUI.aspx?menuIndex=3&amp;refID=7156147&amp;Result=3","7156147")</f>
        <v>0</v>
      </c>
      <c r="B6661" t="s">
        <v>2350</v>
      </c>
      <c r="C6661" t="s">
        <v>10167</v>
      </c>
      <c r="D6661" t="s">
        <v>19018</v>
      </c>
      <c r="E6661" t="s">
        <v>24907</v>
      </c>
      <c r="F6661" t="s">
        <v>32831</v>
      </c>
      <c r="G6661" t="s">
        <v>32840</v>
      </c>
      <c r="H6661" t="s">
        <v>32848</v>
      </c>
      <c r="I6661" t="s">
        <v>32906</v>
      </c>
      <c r="J6661" t="s">
        <v>33018</v>
      </c>
      <c r="K6661" t="s">
        <v>42732</v>
      </c>
      <c r="M6661" t="s">
        <v>45539</v>
      </c>
      <c r="N6661" t="s">
        <v>47424</v>
      </c>
      <c r="O6661" t="s">
        <v>47425</v>
      </c>
      <c r="Q6661">
        <v>5</v>
      </c>
      <c r="R6661" t="s">
        <v>47431</v>
      </c>
      <c r="S6661" t="s">
        <v>47574</v>
      </c>
      <c r="T6661" t="s">
        <v>49100</v>
      </c>
      <c r="U6661" t="s">
        <v>50084</v>
      </c>
      <c r="W6661" t="s">
        <v>45539</v>
      </c>
      <c r="X6661" t="s">
        <v>47432</v>
      </c>
    </row>
    <row r="6662" spans="1:24">
      <c r="A6662">
        <f>HYPERLINK("https://www.philgeps.gov.ph/GEPSNONPILOT/Tender/SplashBidNoticeAbstractUI.aspx?menuIndex=3&amp;refID=7156146&amp;Result=3","7156146")</f>
        <v>0</v>
      </c>
      <c r="B6662" t="s">
        <v>2374</v>
      </c>
      <c r="C6662" t="s">
        <v>10168</v>
      </c>
      <c r="D6662" t="s">
        <v>19043</v>
      </c>
      <c r="E6662" t="s">
        <v>24908</v>
      </c>
      <c r="F6662" t="s">
        <v>32831</v>
      </c>
      <c r="G6662" t="s">
        <v>32838</v>
      </c>
      <c r="H6662" t="s">
        <v>32848</v>
      </c>
      <c r="I6662" t="s">
        <v>4487</v>
      </c>
      <c r="J6662" t="s">
        <v>33007</v>
      </c>
      <c r="K6662" t="s">
        <v>42727</v>
      </c>
      <c r="M6662" t="s">
        <v>45563</v>
      </c>
      <c r="N6662" t="s">
        <v>47424</v>
      </c>
      <c r="O6662" t="s">
        <v>47425</v>
      </c>
      <c r="P6662">
        <v>0</v>
      </c>
      <c r="Q6662">
        <v>0</v>
      </c>
      <c r="R6662" t="s">
        <v>47431</v>
      </c>
      <c r="S6662" t="s">
        <v>47565</v>
      </c>
      <c r="T6662" t="s">
        <v>49214</v>
      </c>
      <c r="U6662" t="s">
        <v>55288</v>
      </c>
      <c r="W6662" t="s">
        <v>45563</v>
      </c>
      <c r="X6662" t="s">
        <v>47432</v>
      </c>
    </row>
    <row r="6663" spans="1:24">
      <c r="A6663">
        <f>HYPERLINK("https://www.philgeps.gov.ph/GEPSNONPILOT/Tender/SplashBidNoticeAbstractUI.aspx?menuIndex=3&amp;refID=7156182&amp;Result=3","7156182")</f>
        <v>0</v>
      </c>
      <c r="B6663" t="s">
        <v>1799</v>
      </c>
      <c r="C6663" t="s">
        <v>10169</v>
      </c>
      <c r="D6663" t="s">
        <v>19071</v>
      </c>
      <c r="E6663" t="s">
        <v>24909</v>
      </c>
      <c r="F6663" t="s">
        <v>32831</v>
      </c>
      <c r="G6663" t="s">
        <v>32838</v>
      </c>
      <c r="H6663" t="s">
        <v>32848</v>
      </c>
      <c r="I6663" t="s">
        <v>6526</v>
      </c>
      <c r="J6663" t="s">
        <v>37180</v>
      </c>
      <c r="K6663" t="s">
        <v>42727</v>
      </c>
      <c r="M6663" t="s">
        <v>44929</v>
      </c>
      <c r="N6663" t="s">
        <v>47424</v>
      </c>
      <c r="O6663" t="s">
        <v>47425</v>
      </c>
      <c r="P6663">
        <v>0</v>
      </c>
      <c r="Q6663">
        <v>0</v>
      </c>
      <c r="R6663" t="s">
        <v>47431</v>
      </c>
      <c r="S6663" t="s">
        <v>47565</v>
      </c>
      <c r="T6663" t="s">
        <v>49100</v>
      </c>
      <c r="U6663" t="s">
        <v>55289</v>
      </c>
      <c r="V6663" t="s">
        <v>63130</v>
      </c>
      <c r="W6663" t="s">
        <v>44929</v>
      </c>
      <c r="X6663" t="s">
        <v>47432</v>
      </c>
    </row>
    <row r="6664" spans="1:24">
      <c r="A6664">
        <f>HYPERLINK("https://www.philgeps.gov.ph/GEPSNONPILOT/Tender/SplashBidNoticeAbstractUI.aspx?menuIndex=3&amp;refID=7156143&amp;Result=3","7156143")</f>
        <v>0</v>
      </c>
      <c r="B6664" t="s">
        <v>2375</v>
      </c>
      <c r="C6664" t="s">
        <v>10170</v>
      </c>
      <c r="E6664" t="s">
        <v>24910</v>
      </c>
      <c r="F6664" t="s">
        <v>32831</v>
      </c>
      <c r="G6664" t="s">
        <v>32839</v>
      </c>
      <c r="H6664" t="s">
        <v>32848</v>
      </c>
      <c r="I6664" t="s">
        <v>4177</v>
      </c>
      <c r="J6664" t="s">
        <v>37181</v>
      </c>
      <c r="K6664" t="s">
        <v>42726</v>
      </c>
      <c r="M6664" t="s">
        <v>45564</v>
      </c>
      <c r="N6664" t="s">
        <v>47424</v>
      </c>
      <c r="O6664" t="s">
        <v>47425</v>
      </c>
      <c r="P6664">
        <v>0</v>
      </c>
      <c r="Q6664">
        <v>0</v>
      </c>
      <c r="R6664" t="s">
        <v>47431</v>
      </c>
      <c r="S6664" t="s">
        <v>47565</v>
      </c>
      <c r="T6664" t="s">
        <v>49079</v>
      </c>
      <c r="U6664" t="s">
        <v>55290</v>
      </c>
      <c r="W6664" t="s">
        <v>45564</v>
      </c>
      <c r="X6664" t="s">
        <v>47432</v>
      </c>
    </row>
    <row r="6665" spans="1:24">
      <c r="A6665">
        <f>HYPERLINK("https://www.philgeps.gov.ph/GEPSNONPILOT/Tender/SplashBidNoticeAbstractUI.aspx?menuIndex=3&amp;refID=7156190&amp;Result=3","7156190")</f>
        <v>0</v>
      </c>
      <c r="B6665" t="s">
        <v>2376</v>
      </c>
      <c r="C6665" t="s">
        <v>10171</v>
      </c>
      <c r="D6665" t="s">
        <v>19022</v>
      </c>
      <c r="E6665" t="s">
        <v>24911</v>
      </c>
      <c r="F6665" t="s">
        <v>32831</v>
      </c>
      <c r="G6665" t="s">
        <v>32838</v>
      </c>
      <c r="H6665" t="s">
        <v>14069</v>
      </c>
      <c r="I6665" t="s">
        <v>5667</v>
      </c>
      <c r="J6665" t="s">
        <v>33057</v>
      </c>
      <c r="K6665" t="s">
        <v>42775</v>
      </c>
      <c r="M6665" t="s">
        <v>45565</v>
      </c>
      <c r="N6665" t="s">
        <v>47424</v>
      </c>
      <c r="O6665" t="s">
        <v>47425</v>
      </c>
      <c r="P6665">
        <v>0</v>
      </c>
      <c r="Q6665">
        <v>2</v>
      </c>
      <c r="R6665" t="s">
        <v>47431</v>
      </c>
      <c r="S6665" t="s">
        <v>47565</v>
      </c>
      <c r="T6665" t="s">
        <v>49163</v>
      </c>
      <c r="U6665" t="s">
        <v>55291</v>
      </c>
      <c r="V6665" t="s">
        <v>63360</v>
      </c>
      <c r="W6665" t="s">
        <v>45565</v>
      </c>
      <c r="X6665" t="s">
        <v>47432</v>
      </c>
    </row>
    <row r="6666" spans="1:24">
      <c r="A6666">
        <f>HYPERLINK("https://www.philgeps.gov.ph/GEPSNONPILOT/Tender/SplashBidNoticeAbstractUI.aspx?menuIndex=3&amp;refID=7156142&amp;Result=3","7156142")</f>
        <v>0</v>
      </c>
      <c r="B6666" t="s">
        <v>663</v>
      </c>
      <c r="C6666" t="s">
        <v>10172</v>
      </c>
      <c r="D6666" t="s">
        <v>19026</v>
      </c>
      <c r="E6666" t="s">
        <v>24912</v>
      </c>
      <c r="F6666" t="s">
        <v>32831</v>
      </c>
      <c r="G6666" t="s">
        <v>32840</v>
      </c>
      <c r="H6666" t="s">
        <v>32848</v>
      </c>
      <c r="I6666" t="s">
        <v>32860</v>
      </c>
      <c r="J6666" t="s">
        <v>37182</v>
      </c>
      <c r="K6666" t="s">
        <v>42732</v>
      </c>
      <c r="M6666" t="s">
        <v>43681</v>
      </c>
      <c r="N6666" t="s">
        <v>47424</v>
      </c>
      <c r="O6666" t="s">
        <v>47425</v>
      </c>
      <c r="P6666">
        <v>0</v>
      </c>
      <c r="Q6666">
        <v>6</v>
      </c>
      <c r="R6666" t="s">
        <v>47431</v>
      </c>
      <c r="S6666" t="s">
        <v>47565</v>
      </c>
      <c r="T6666" t="s">
        <v>49235</v>
      </c>
      <c r="U6666" t="s">
        <v>49728</v>
      </c>
      <c r="W6666" t="s">
        <v>43681</v>
      </c>
      <c r="X6666" t="s">
        <v>47432</v>
      </c>
    </row>
    <row r="6667" spans="1:24">
      <c r="A6667">
        <f>HYPERLINK("https://www.philgeps.gov.ph/GEPSNONPILOT/Tender/SplashBidNoticeAbstractUI.aspx?menuIndex=3&amp;refID=7155552&amp;Result=3","7155552")</f>
        <v>0</v>
      </c>
      <c r="B6667" t="s">
        <v>677</v>
      </c>
      <c r="C6667" t="s">
        <v>10173</v>
      </c>
      <c r="D6667" t="s">
        <v>19024</v>
      </c>
      <c r="E6667" t="s">
        <v>24913</v>
      </c>
      <c r="F6667" t="s">
        <v>32831</v>
      </c>
      <c r="G6667" t="s">
        <v>32839</v>
      </c>
      <c r="H6667" t="s">
        <v>32849</v>
      </c>
      <c r="I6667" t="s">
        <v>4177</v>
      </c>
      <c r="J6667" t="s">
        <v>37183</v>
      </c>
      <c r="K6667" t="s">
        <v>42728</v>
      </c>
      <c r="M6667" t="s">
        <v>43696</v>
      </c>
      <c r="N6667" t="s">
        <v>47424</v>
      </c>
      <c r="O6667" t="s">
        <v>47425</v>
      </c>
      <c r="P6667">
        <v>0</v>
      </c>
      <c r="Q6667">
        <v>2</v>
      </c>
      <c r="R6667" t="s">
        <v>47431</v>
      </c>
      <c r="S6667" t="s">
        <v>47565</v>
      </c>
      <c r="T6667" t="s">
        <v>49267</v>
      </c>
      <c r="U6667" t="s">
        <v>55292</v>
      </c>
      <c r="V6667" t="s">
        <v>63361</v>
      </c>
      <c r="W6667" t="s">
        <v>43696</v>
      </c>
      <c r="X6667" t="s">
        <v>47432</v>
      </c>
    </row>
    <row r="6668" spans="1:24">
      <c r="A6668">
        <f>HYPERLINK("https://www.philgeps.gov.ph/GEPSNONPILOT/Tender/SplashBidNoticeAbstractUI.aspx?menuIndex=3&amp;refID=7156106&amp;Result=3","7156106")</f>
        <v>0</v>
      </c>
      <c r="B6668" t="s">
        <v>2194</v>
      </c>
      <c r="C6668" t="s">
        <v>10174</v>
      </c>
      <c r="D6668" t="s">
        <v>19054</v>
      </c>
      <c r="E6668" t="s">
        <v>24914</v>
      </c>
      <c r="F6668" t="s">
        <v>32831</v>
      </c>
      <c r="G6668" t="s">
        <v>32839</v>
      </c>
      <c r="H6668" t="s">
        <v>32848</v>
      </c>
      <c r="I6668" t="s">
        <v>10805</v>
      </c>
      <c r="J6668" t="s">
        <v>33268</v>
      </c>
      <c r="K6668" t="s">
        <v>42726</v>
      </c>
      <c r="M6668" t="s">
        <v>45374</v>
      </c>
      <c r="N6668" t="s">
        <v>47424</v>
      </c>
      <c r="O6668" t="s">
        <v>47425</v>
      </c>
      <c r="P6668">
        <v>0</v>
      </c>
      <c r="Q6668">
        <v>0</v>
      </c>
      <c r="R6668" t="s">
        <v>47431</v>
      </c>
      <c r="S6668" t="s">
        <v>47565</v>
      </c>
      <c r="T6668" t="s">
        <v>49061</v>
      </c>
      <c r="U6668" t="s">
        <v>55293</v>
      </c>
      <c r="W6668" t="s">
        <v>45374</v>
      </c>
      <c r="X6668" t="s">
        <v>47432</v>
      </c>
    </row>
    <row r="6669" spans="1:24">
      <c r="A6669">
        <f>HYPERLINK("https://www.philgeps.gov.ph/GEPSNONPILOT/Tender/SplashBidNoticeAbstractUI.aspx?menuIndex=3&amp;refID=7155549&amp;Result=3","7155549")</f>
        <v>0</v>
      </c>
      <c r="B6669" t="s">
        <v>619</v>
      </c>
      <c r="C6669" t="s">
        <v>5191</v>
      </c>
      <c r="D6669" t="s">
        <v>19027</v>
      </c>
      <c r="E6669" t="s">
        <v>24915</v>
      </c>
      <c r="F6669" t="s">
        <v>32831</v>
      </c>
      <c r="G6669" t="s">
        <v>32838</v>
      </c>
      <c r="H6669" t="s">
        <v>32848</v>
      </c>
      <c r="I6669" t="s">
        <v>10643</v>
      </c>
      <c r="J6669" t="s">
        <v>37184</v>
      </c>
      <c r="K6669" t="s">
        <v>42748</v>
      </c>
      <c r="M6669" t="s">
        <v>43635</v>
      </c>
      <c r="N6669" t="s">
        <v>47424</v>
      </c>
      <c r="O6669" t="s">
        <v>47425</v>
      </c>
      <c r="P6669">
        <v>0</v>
      </c>
      <c r="Q6669">
        <v>1</v>
      </c>
      <c r="R6669" t="s">
        <v>47431</v>
      </c>
      <c r="S6669" t="s">
        <v>47565</v>
      </c>
      <c r="T6669" t="s">
        <v>49163</v>
      </c>
      <c r="U6669" t="s">
        <v>55294</v>
      </c>
      <c r="W6669" t="s">
        <v>43635</v>
      </c>
      <c r="X6669" t="s">
        <v>47432</v>
      </c>
    </row>
    <row r="6670" spans="1:24">
      <c r="A6670">
        <f>HYPERLINK("https://www.philgeps.gov.ph/GEPSNONPILOT/Tender/SplashBidNoticeAbstractUI.aspx?menuIndex=3&amp;refID=7156181&amp;Result=3","7156181")</f>
        <v>0</v>
      </c>
      <c r="B6670" t="s">
        <v>2342</v>
      </c>
      <c r="C6670" t="s">
        <v>10175</v>
      </c>
      <c r="D6670" t="s">
        <v>19044</v>
      </c>
      <c r="E6670" t="s">
        <v>23629</v>
      </c>
      <c r="F6670" t="s">
        <v>32831</v>
      </c>
      <c r="G6670" t="s">
        <v>32839</v>
      </c>
      <c r="H6670" t="s">
        <v>32848</v>
      </c>
      <c r="I6670" t="s">
        <v>10805</v>
      </c>
      <c r="J6670" t="s">
        <v>33007</v>
      </c>
      <c r="K6670" t="s">
        <v>42727</v>
      </c>
      <c r="M6670" t="s">
        <v>45529</v>
      </c>
      <c r="N6670" t="s">
        <v>47424</v>
      </c>
      <c r="O6670" t="s">
        <v>47425</v>
      </c>
      <c r="P6670">
        <v>0</v>
      </c>
      <c r="Q6670">
        <v>0</v>
      </c>
      <c r="R6670" t="s">
        <v>47431</v>
      </c>
      <c r="S6670" t="s">
        <v>47565</v>
      </c>
      <c r="T6670" t="s">
        <v>49106</v>
      </c>
      <c r="U6670" t="s">
        <v>55295</v>
      </c>
      <c r="W6670" t="s">
        <v>45529</v>
      </c>
      <c r="X6670" t="s">
        <v>47432</v>
      </c>
    </row>
    <row r="6671" spans="1:24">
      <c r="A6671">
        <f>HYPERLINK("https://www.philgeps.gov.ph/GEPSNONPILOT/Tender/SplashBidNoticeAbstractUI.aspx?menuIndex=3&amp;refID=7155546&amp;Result=3","7155546")</f>
        <v>0</v>
      </c>
      <c r="B6671" t="s">
        <v>2292</v>
      </c>
      <c r="C6671" t="s">
        <v>10176</v>
      </c>
      <c r="D6671" t="s">
        <v>19083</v>
      </c>
      <c r="E6671" t="s">
        <v>24916</v>
      </c>
      <c r="F6671" t="s">
        <v>32831</v>
      </c>
      <c r="G6671" t="s">
        <v>32840</v>
      </c>
      <c r="H6671" t="s">
        <v>32848</v>
      </c>
      <c r="I6671" t="s">
        <v>7416</v>
      </c>
      <c r="J6671" t="s">
        <v>37185</v>
      </c>
      <c r="K6671" t="s">
        <v>42742</v>
      </c>
      <c r="M6671" t="s">
        <v>45476</v>
      </c>
      <c r="N6671" t="s">
        <v>47424</v>
      </c>
      <c r="O6671" t="s">
        <v>47425</v>
      </c>
      <c r="P6671">
        <v>0</v>
      </c>
      <c r="Q6671">
        <v>2</v>
      </c>
      <c r="R6671" t="s">
        <v>47431</v>
      </c>
      <c r="S6671" t="s">
        <v>47565</v>
      </c>
      <c r="T6671" t="s">
        <v>49150</v>
      </c>
      <c r="U6671" t="s">
        <v>55296</v>
      </c>
      <c r="V6671" t="s">
        <v>63335</v>
      </c>
      <c r="W6671" t="s">
        <v>45476</v>
      </c>
      <c r="X6671" t="s">
        <v>47432</v>
      </c>
    </row>
    <row r="6672" spans="1:24">
      <c r="A6672">
        <f>HYPERLINK("https://www.philgeps.gov.ph/GEPSNONPILOT/Tender/SplashBidNoticeAbstractUI.aspx?menuIndex=3&amp;refID=7155545&amp;Result=3","7155545")</f>
        <v>0</v>
      </c>
      <c r="B6672" t="s">
        <v>1130</v>
      </c>
      <c r="C6672" t="s">
        <v>10177</v>
      </c>
      <c r="D6672" t="s">
        <v>19045</v>
      </c>
      <c r="E6672" t="s">
        <v>24917</v>
      </c>
      <c r="F6672" t="s">
        <v>32831</v>
      </c>
      <c r="G6672" t="s">
        <v>32839</v>
      </c>
      <c r="H6672" t="s">
        <v>32849</v>
      </c>
      <c r="I6672" t="s">
        <v>32852</v>
      </c>
      <c r="J6672" t="s">
        <v>37186</v>
      </c>
      <c r="K6672" t="s">
        <v>42781</v>
      </c>
      <c r="M6672" t="s">
        <v>45442</v>
      </c>
      <c r="N6672" t="s">
        <v>47424</v>
      </c>
      <c r="O6672" t="s">
        <v>47425</v>
      </c>
      <c r="P6672">
        <v>0</v>
      </c>
      <c r="Q6672">
        <v>2</v>
      </c>
      <c r="R6672" t="s">
        <v>47431</v>
      </c>
      <c r="S6672" t="s">
        <v>47565</v>
      </c>
      <c r="T6672" t="s">
        <v>49181</v>
      </c>
      <c r="U6672" t="s">
        <v>54967</v>
      </c>
      <c r="V6672" t="s">
        <v>63325</v>
      </c>
      <c r="W6672" t="s">
        <v>45442</v>
      </c>
      <c r="X6672" t="s">
        <v>47432</v>
      </c>
    </row>
    <row r="6673" spans="1:24">
      <c r="A6673">
        <f>HYPERLINK("https://www.philgeps.gov.ph/GEPSNONPILOT/Tender/SplashBidNoticeAbstractUI.aspx?menuIndex=3&amp;refID=7155457&amp;Result=3","7155457")</f>
        <v>0</v>
      </c>
      <c r="B6673" t="s">
        <v>2377</v>
      </c>
      <c r="C6673" t="s">
        <v>10178</v>
      </c>
      <c r="D6673" t="s">
        <v>19058</v>
      </c>
      <c r="E6673" t="s">
        <v>24918</v>
      </c>
      <c r="F6673" t="s">
        <v>32831</v>
      </c>
      <c r="G6673" t="s">
        <v>32839</v>
      </c>
      <c r="H6673" t="s">
        <v>32848</v>
      </c>
      <c r="I6673" t="s">
        <v>32870</v>
      </c>
      <c r="J6673" t="s">
        <v>33401</v>
      </c>
      <c r="K6673" t="s">
        <v>42730</v>
      </c>
      <c r="M6673" t="s">
        <v>45566</v>
      </c>
      <c r="N6673" t="s">
        <v>47424</v>
      </c>
      <c r="O6673" t="s">
        <v>47425</v>
      </c>
      <c r="P6673">
        <v>0</v>
      </c>
      <c r="Q6673">
        <v>0</v>
      </c>
      <c r="R6673" t="s">
        <v>47431</v>
      </c>
      <c r="S6673" t="s">
        <v>47565</v>
      </c>
      <c r="T6673" t="s">
        <v>49127</v>
      </c>
      <c r="U6673" t="s">
        <v>55297</v>
      </c>
      <c r="W6673" t="s">
        <v>45566</v>
      </c>
      <c r="X6673" t="s">
        <v>47432</v>
      </c>
    </row>
    <row r="6674" spans="1:24">
      <c r="A6674">
        <f>HYPERLINK("https://www.philgeps.gov.ph/GEPSNONPILOT/Tender/SplashBidNoticeAbstractUI.aspx?menuIndex=3&amp;refID=7156174&amp;Result=3","7156174")</f>
        <v>0</v>
      </c>
      <c r="B6674" t="s">
        <v>2360</v>
      </c>
      <c r="C6674" t="s">
        <v>10179</v>
      </c>
      <c r="D6674" t="s">
        <v>19017</v>
      </c>
      <c r="E6674" t="s">
        <v>24919</v>
      </c>
      <c r="F6674" t="s">
        <v>32831</v>
      </c>
      <c r="G6674" t="s">
        <v>32839</v>
      </c>
      <c r="H6674" t="s">
        <v>32848</v>
      </c>
      <c r="I6674" t="s">
        <v>7416</v>
      </c>
      <c r="J6674" t="s">
        <v>37187</v>
      </c>
      <c r="K6674" t="s">
        <v>42749</v>
      </c>
      <c r="M6674" t="s">
        <v>45549</v>
      </c>
      <c r="N6674" t="s">
        <v>47424</v>
      </c>
      <c r="O6674" t="s">
        <v>47425</v>
      </c>
      <c r="P6674">
        <v>0</v>
      </c>
      <c r="Q6674">
        <v>2</v>
      </c>
      <c r="R6674" t="s">
        <v>47431</v>
      </c>
      <c r="S6674" t="s">
        <v>47565</v>
      </c>
      <c r="T6674" t="s">
        <v>49146</v>
      </c>
      <c r="U6674" t="s">
        <v>55298</v>
      </c>
      <c r="W6674" t="s">
        <v>45549</v>
      </c>
      <c r="X6674" t="s">
        <v>47432</v>
      </c>
    </row>
    <row r="6675" spans="1:24">
      <c r="A6675">
        <f>HYPERLINK("https://www.philgeps.gov.ph/GEPSNONPILOT/Tender/SplashBidNoticeAbstractUI.aspx?menuIndex=3&amp;refID=7156251&amp;Result=3","7156251")</f>
        <v>0</v>
      </c>
      <c r="B6675" t="s">
        <v>1629</v>
      </c>
      <c r="C6675" t="s">
        <v>10180</v>
      </c>
      <c r="D6675" t="s">
        <v>19021</v>
      </c>
      <c r="E6675" t="s">
        <v>24920</v>
      </c>
      <c r="F6675" t="s">
        <v>32831</v>
      </c>
      <c r="G6675" t="s">
        <v>32840</v>
      </c>
      <c r="H6675" t="s">
        <v>32848</v>
      </c>
      <c r="I6675" t="s">
        <v>4776</v>
      </c>
      <c r="J6675" t="s">
        <v>33279</v>
      </c>
      <c r="K6675" t="s">
        <v>42732</v>
      </c>
      <c r="M6675" t="s">
        <v>44745</v>
      </c>
      <c r="N6675" t="s">
        <v>47424</v>
      </c>
      <c r="O6675" t="s">
        <v>47425</v>
      </c>
      <c r="P6675">
        <v>0</v>
      </c>
      <c r="Q6675">
        <v>3</v>
      </c>
      <c r="R6675" t="s">
        <v>47431</v>
      </c>
      <c r="S6675" t="s">
        <v>47565</v>
      </c>
      <c r="T6675" t="s">
        <v>49163</v>
      </c>
      <c r="U6675" t="s">
        <v>53949</v>
      </c>
      <c r="V6675" t="s">
        <v>63069</v>
      </c>
      <c r="W6675" t="s">
        <v>44745</v>
      </c>
      <c r="X6675" t="s">
        <v>47432</v>
      </c>
    </row>
    <row r="6676" spans="1:24">
      <c r="A6676">
        <f>HYPERLINK("https://www.philgeps.gov.ph/GEPSNONPILOT/Tender/SplashBidNoticeAbstractUI.aspx?menuIndex=3&amp;refID=7156149&amp;Result=3","7156149")</f>
        <v>0</v>
      </c>
      <c r="B6676" t="s">
        <v>1799</v>
      </c>
      <c r="C6676" t="s">
        <v>10181</v>
      </c>
      <c r="D6676" t="s">
        <v>19071</v>
      </c>
      <c r="E6676" t="s">
        <v>24921</v>
      </c>
      <c r="F6676" t="s">
        <v>32831</v>
      </c>
      <c r="G6676" t="s">
        <v>32838</v>
      </c>
      <c r="H6676" t="s">
        <v>32848</v>
      </c>
      <c r="I6676" t="s">
        <v>32862</v>
      </c>
      <c r="J6676" t="s">
        <v>33029</v>
      </c>
      <c r="K6676" t="s">
        <v>42727</v>
      </c>
      <c r="M6676" t="s">
        <v>44929</v>
      </c>
      <c r="N6676" t="s">
        <v>47424</v>
      </c>
      <c r="O6676" t="s">
        <v>47425</v>
      </c>
      <c r="P6676">
        <v>0</v>
      </c>
      <c r="Q6676">
        <v>1</v>
      </c>
      <c r="R6676" t="s">
        <v>47431</v>
      </c>
      <c r="S6676" t="s">
        <v>47565</v>
      </c>
      <c r="T6676" t="s">
        <v>49079</v>
      </c>
      <c r="U6676" t="s">
        <v>55299</v>
      </c>
      <c r="V6676" t="s">
        <v>63130</v>
      </c>
      <c r="W6676" t="s">
        <v>44929</v>
      </c>
      <c r="X6676" t="s">
        <v>47432</v>
      </c>
    </row>
    <row r="6677" spans="1:24">
      <c r="A6677">
        <f>HYPERLINK("https://www.philgeps.gov.ph/GEPSNONPILOT/Tender/SplashBidNoticeAbstractUI.aspx?menuIndex=3&amp;refID=7155461&amp;Result=3","7155461")</f>
        <v>0</v>
      </c>
      <c r="B6677" t="s">
        <v>2232</v>
      </c>
      <c r="C6677" t="s">
        <v>10182</v>
      </c>
      <c r="D6677" t="s">
        <v>19062</v>
      </c>
      <c r="E6677" t="s">
        <v>24922</v>
      </c>
      <c r="F6677" t="s">
        <v>32831</v>
      </c>
      <c r="G6677" t="s">
        <v>32839</v>
      </c>
      <c r="H6677" t="s">
        <v>32848</v>
      </c>
      <c r="I6677" t="s">
        <v>7416</v>
      </c>
      <c r="J6677" t="s">
        <v>37188</v>
      </c>
      <c r="K6677" t="s">
        <v>42730</v>
      </c>
      <c r="M6677" t="s">
        <v>45413</v>
      </c>
      <c r="N6677" t="s">
        <v>47424</v>
      </c>
      <c r="O6677" t="s">
        <v>47425</v>
      </c>
      <c r="P6677">
        <v>0</v>
      </c>
      <c r="Q6677">
        <v>7</v>
      </c>
      <c r="R6677" t="s">
        <v>47431</v>
      </c>
      <c r="S6677" t="s">
        <v>47565</v>
      </c>
      <c r="T6677" t="s">
        <v>49192</v>
      </c>
      <c r="U6677" t="s">
        <v>55300</v>
      </c>
      <c r="W6677" t="s">
        <v>45413</v>
      </c>
      <c r="X6677" t="s">
        <v>47432</v>
      </c>
    </row>
    <row r="6678" spans="1:24">
      <c r="A6678">
        <f>HYPERLINK("https://www.philgeps.gov.ph/GEPSNONPILOT/Tender/SplashBidNoticeAbstractUI.aspx?menuIndex=3&amp;refID=7156242&amp;Result=3","7156242")</f>
        <v>0</v>
      </c>
      <c r="B6678" t="s">
        <v>316</v>
      </c>
      <c r="C6678" t="s">
        <v>5790</v>
      </c>
      <c r="D6678" t="s">
        <v>19023</v>
      </c>
      <c r="E6678" t="s">
        <v>24923</v>
      </c>
      <c r="F6678" t="s">
        <v>32831</v>
      </c>
      <c r="G6678" t="s">
        <v>32840</v>
      </c>
      <c r="H6678" t="s">
        <v>32848</v>
      </c>
      <c r="I6678" t="s">
        <v>4438</v>
      </c>
      <c r="J6678" t="s">
        <v>37189</v>
      </c>
      <c r="K6678" t="s">
        <v>42730</v>
      </c>
      <c r="M6678" t="s">
        <v>43795</v>
      </c>
      <c r="N6678" t="s">
        <v>47424</v>
      </c>
      <c r="O6678" t="s">
        <v>47425</v>
      </c>
      <c r="P6678">
        <v>0</v>
      </c>
      <c r="Q6678">
        <v>1</v>
      </c>
      <c r="R6678" t="s">
        <v>47431</v>
      </c>
      <c r="S6678" t="s">
        <v>47565</v>
      </c>
      <c r="T6678" t="s">
        <v>49056</v>
      </c>
      <c r="U6678" t="s">
        <v>51090</v>
      </c>
      <c r="V6678" t="s">
        <v>62802</v>
      </c>
      <c r="W6678" t="s">
        <v>43795</v>
      </c>
      <c r="X6678" t="s">
        <v>47432</v>
      </c>
    </row>
    <row r="6679" spans="1:24">
      <c r="A6679">
        <f>HYPERLINK("https://www.philgeps.gov.ph/GEPSNONPILOT/Tender/SplashBidNoticeAbstractUI.aspx?menuIndex=3&amp;refID=7156240&amp;Result=3","7156240")</f>
        <v>0</v>
      </c>
      <c r="B6679" t="s">
        <v>2378</v>
      </c>
      <c r="C6679" t="s">
        <v>10183</v>
      </c>
      <c r="D6679" t="s">
        <v>19091</v>
      </c>
      <c r="E6679" t="s">
        <v>24924</v>
      </c>
      <c r="F6679" t="s">
        <v>32831</v>
      </c>
      <c r="G6679" t="s">
        <v>32839</v>
      </c>
      <c r="H6679" t="s">
        <v>32849</v>
      </c>
      <c r="I6679" t="s">
        <v>32852</v>
      </c>
      <c r="J6679" t="s">
        <v>37190</v>
      </c>
      <c r="K6679" t="s">
        <v>42729</v>
      </c>
      <c r="M6679" t="s">
        <v>45567</v>
      </c>
      <c r="N6679" t="s">
        <v>47424</v>
      </c>
      <c r="O6679" t="s">
        <v>47425</v>
      </c>
      <c r="P6679">
        <v>0</v>
      </c>
      <c r="Q6679">
        <v>8</v>
      </c>
      <c r="R6679" t="s">
        <v>47431</v>
      </c>
      <c r="S6679" t="s">
        <v>47565</v>
      </c>
      <c r="T6679" t="s">
        <v>49077</v>
      </c>
      <c r="U6679" t="s">
        <v>55301</v>
      </c>
      <c r="W6679" t="s">
        <v>45567</v>
      </c>
      <c r="X6679" t="s">
        <v>47432</v>
      </c>
    </row>
    <row r="6680" spans="1:24">
      <c r="A6680">
        <f>HYPERLINK("https://www.philgeps.gov.ph/GEPSNONPILOT/Tender/SplashBidNoticeAbstractUI.aspx?menuIndex=3&amp;refID=7156145&amp;Result=3","7156145")</f>
        <v>0</v>
      </c>
      <c r="B6680" t="s">
        <v>2291</v>
      </c>
      <c r="C6680" t="s">
        <v>10184</v>
      </c>
      <c r="D6680" t="s">
        <v>19078</v>
      </c>
      <c r="E6680" t="s">
        <v>24925</v>
      </c>
      <c r="F6680" t="s">
        <v>32831</v>
      </c>
      <c r="G6680" t="s">
        <v>32839</v>
      </c>
      <c r="H6680" t="s">
        <v>32849</v>
      </c>
      <c r="I6680" t="s">
        <v>4177</v>
      </c>
      <c r="J6680" t="s">
        <v>37191</v>
      </c>
      <c r="K6680" t="s">
        <v>42758</v>
      </c>
      <c r="M6680" t="s">
        <v>45475</v>
      </c>
      <c r="N6680" t="s">
        <v>47424</v>
      </c>
      <c r="O6680" t="s">
        <v>47425</v>
      </c>
      <c r="P6680">
        <v>0</v>
      </c>
      <c r="Q6680">
        <v>0</v>
      </c>
      <c r="R6680" t="s">
        <v>47431</v>
      </c>
      <c r="S6680" t="s">
        <v>47565</v>
      </c>
      <c r="T6680" t="s">
        <v>49452</v>
      </c>
      <c r="U6680" t="s">
        <v>55302</v>
      </c>
      <c r="W6680" t="s">
        <v>45475</v>
      </c>
      <c r="X6680" t="s">
        <v>47432</v>
      </c>
    </row>
    <row r="6681" spans="1:24">
      <c r="A6681">
        <f>HYPERLINK("https://www.philgeps.gov.ph/GEPSNONPILOT/Tender/SplashBidNoticeAbstractUI.aspx?menuIndex=3&amp;refID=7155456&amp;Result=3","7155456")</f>
        <v>0</v>
      </c>
      <c r="B6681" t="s">
        <v>2239</v>
      </c>
      <c r="C6681" t="s">
        <v>10185</v>
      </c>
      <c r="D6681" t="s">
        <v>19061</v>
      </c>
      <c r="E6681" t="s">
        <v>24926</v>
      </c>
      <c r="F6681" t="s">
        <v>32831</v>
      </c>
      <c r="G6681" t="s">
        <v>32838</v>
      </c>
      <c r="H6681" t="s">
        <v>32848</v>
      </c>
      <c r="I6681" t="s">
        <v>32857</v>
      </c>
      <c r="J6681" t="s">
        <v>33973</v>
      </c>
      <c r="K6681" t="s">
        <v>42732</v>
      </c>
      <c r="M6681" t="s">
        <v>45420</v>
      </c>
      <c r="N6681" t="s">
        <v>47424</v>
      </c>
      <c r="O6681" t="s">
        <v>47425</v>
      </c>
      <c r="P6681">
        <v>0</v>
      </c>
      <c r="Q6681">
        <v>16</v>
      </c>
      <c r="R6681" t="s">
        <v>47431</v>
      </c>
      <c r="S6681" t="s">
        <v>47565</v>
      </c>
      <c r="T6681" t="s">
        <v>49243</v>
      </c>
      <c r="U6681" t="s">
        <v>55303</v>
      </c>
      <c r="V6681" t="s">
        <v>63362</v>
      </c>
      <c r="W6681" t="s">
        <v>45420</v>
      </c>
      <c r="X6681" t="s">
        <v>47432</v>
      </c>
    </row>
    <row r="6682" spans="1:24">
      <c r="A6682">
        <f>HYPERLINK("https://www.philgeps.gov.ph/GEPSNONPILOT/Tender/SplashBidNoticeAbstractUI.aspx?menuIndex=3&amp;refID=7156238&amp;Result=3","7156238")</f>
        <v>0</v>
      </c>
      <c r="B6682" t="s">
        <v>2379</v>
      </c>
      <c r="C6682" t="s">
        <v>10186</v>
      </c>
      <c r="D6682" t="s">
        <v>19039</v>
      </c>
      <c r="E6682" t="s">
        <v>24927</v>
      </c>
      <c r="F6682" t="s">
        <v>32831</v>
      </c>
      <c r="G6682" t="s">
        <v>32839</v>
      </c>
      <c r="H6682" t="s">
        <v>32848</v>
      </c>
      <c r="I6682" t="s">
        <v>32862</v>
      </c>
      <c r="J6682" t="s">
        <v>37192</v>
      </c>
      <c r="K6682" t="s">
        <v>42747</v>
      </c>
      <c r="M6682" t="s">
        <v>45568</v>
      </c>
      <c r="N6682" t="s">
        <v>47424</v>
      </c>
      <c r="O6682" t="s">
        <v>47425</v>
      </c>
      <c r="P6682">
        <v>0</v>
      </c>
      <c r="Q6682">
        <v>0</v>
      </c>
      <c r="R6682" t="s">
        <v>47431</v>
      </c>
      <c r="S6682" t="s">
        <v>47565</v>
      </c>
      <c r="T6682" t="s">
        <v>49195</v>
      </c>
      <c r="U6682" t="s">
        <v>55304</v>
      </c>
      <c r="V6682" t="s">
        <v>63363</v>
      </c>
      <c r="W6682" t="s">
        <v>45568</v>
      </c>
      <c r="X6682" t="s">
        <v>47432</v>
      </c>
    </row>
    <row r="6683" spans="1:24">
      <c r="A6683">
        <f>HYPERLINK("https://www.philgeps.gov.ph/GEPSNONPILOT/Tender/SplashBidNoticeAbstractUI.aspx?menuIndex=3&amp;refID=7156235&amp;Result=3","7156235")</f>
        <v>0</v>
      </c>
      <c r="B6683" t="s">
        <v>2211</v>
      </c>
      <c r="C6683" t="s">
        <v>10187</v>
      </c>
      <c r="D6683" t="s">
        <v>19104</v>
      </c>
      <c r="E6683" t="s">
        <v>24928</v>
      </c>
      <c r="F6683" t="s">
        <v>32831</v>
      </c>
      <c r="G6683" t="s">
        <v>32838</v>
      </c>
      <c r="H6683" t="s">
        <v>32848</v>
      </c>
      <c r="I6683" t="s">
        <v>32863</v>
      </c>
      <c r="J6683" t="s">
        <v>37145</v>
      </c>
      <c r="K6683" t="s">
        <v>42727</v>
      </c>
      <c r="M6683" t="s">
        <v>45391</v>
      </c>
      <c r="N6683" t="s">
        <v>47424</v>
      </c>
      <c r="O6683" t="s">
        <v>47425</v>
      </c>
      <c r="P6683">
        <v>0</v>
      </c>
      <c r="Q6683">
        <v>0</v>
      </c>
      <c r="R6683" t="s">
        <v>47431</v>
      </c>
      <c r="S6683" t="s">
        <v>47565</v>
      </c>
      <c r="T6683" t="s">
        <v>49056</v>
      </c>
      <c r="U6683" t="s">
        <v>55305</v>
      </c>
      <c r="V6683" t="s">
        <v>63302</v>
      </c>
      <c r="W6683" t="s">
        <v>45391</v>
      </c>
      <c r="X6683" t="s">
        <v>47432</v>
      </c>
    </row>
    <row r="6684" spans="1:24">
      <c r="A6684">
        <f>HYPERLINK("https://www.philgeps.gov.ph/GEPSNONPILOT/Tender/SplashBidNoticeAbstractUI.aspx?menuIndex=3&amp;refID=7156234&amp;Result=3","7156234")</f>
        <v>0</v>
      </c>
      <c r="B6684" t="s">
        <v>153</v>
      </c>
      <c r="C6684" t="s">
        <v>10188</v>
      </c>
      <c r="D6684" t="s">
        <v>19045</v>
      </c>
      <c r="E6684" t="s">
        <v>24929</v>
      </c>
      <c r="F6684" t="s">
        <v>32831</v>
      </c>
      <c r="G6684" t="s">
        <v>32839</v>
      </c>
      <c r="H6684" t="s">
        <v>32849</v>
      </c>
      <c r="I6684" t="s">
        <v>4177</v>
      </c>
      <c r="J6684" t="s">
        <v>37193</v>
      </c>
      <c r="K6684" t="s">
        <v>42762</v>
      </c>
      <c r="L6684" t="s">
        <v>153</v>
      </c>
      <c r="M6684" t="s">
        <v>43150</v>
      </c>
      <c r="N6684" t="s">
        <v>47424</v>
      </c>
      <c r="O6684" t="s">
        <v>47425</v>
      </c>
      <c r="P6684">
        <v>0</v>
      </c>
      <c r="Q6684">
        <v>3</v>
      </c>
      <c r="R6684" t="s">
        <v>47431</v>
      </c>
      <c r="S6684" t="s">
        <v>47565</v>
      </c>
      <c r="T6684" t="s">
        <v>49236</v>
      </c>
      <c r="U6684" t="s">
        <v>55306</v>
      </c>
      <c r="W6684" t="s">
        <v>43150</v>
      </c>
      <c r="X6684" t="s">
        <v>47432</v>
      </c>
    </row>
    <row r="6685" spans="1:24">
      <c r="A6685">
        <f>HYPERLINK("https://www.philgeps.gov.ph/GEPSNONPILOT/Tender/SplashBidNoticeAbstractUI.aspx?menuIndex=3&amp;refID=7156247&amp;Result=3","7156247")</f>
        <v>0</v>
      </c>
      <c r="B6685" t="s">
        <v>2310</v>
      </c>
      <c r="C6685" t="s">
        <v>10189</v>
      </c>
      <c r="D6685" t="s">
        <v>19028</v>
      </c>
      <c r="E6685" t="s">
        <v>24930</v>
      </c>
      <c r="F6685" t="s">
        <v>32831</v>
      </c>
      <c r="G6685" t="s">
        <v>32840</v>
      </c>
      <c r="H6685" t="s">
        <v>32848</v>
      </c>
      <c r="I6685" t="s">
        <v>32884</v>
      </c>
      <c r="J6685" t="s">
        <v>32979</v>
      </c>
      <c r="K6685" t="s">
        <v>42731</v>
      </c>
      <c r="M6685" t="s">
        <v>45495</v>
      </c>
      <c r="N6685" t="s">
        <v>47424</v>
      </c>
      <c r="O6685" t="s">
        <v>47425</v>
      </c>
      <c r="P6685">
        <v>0</v>
      </c>
      <c r="Q6685">
        <v>3</v>
      </c>
      <c r="R6685" t="s">
        <v>47431</v>
      </c>
      <c r="S6685" t="s">
        <v>47565</v>
      </c>
      <c r="T6685" t="s">
        <v>49166</v>
      </c>
      <c r="U6685" t="s">
        <v>55283</v>
      </c>
      <c r="W6685" t="s">
        <v>45495</v>
      </c>
      <c r="X6685" t="s">
        <v>47432</v>
      </c>
    </row>
    <row r="6686" spans="1:24">
      <c r="A6686">
        <f>HYPERLINK("https://www.philgeps.gov.ph/GEPSNONPILOT/Tender/SplashBidNoticeAbstractUI.aspx?menuIndex=3&amp;refID=7156228&amp;Result=3","7156228")</f>
        <v>0</v>
      </c>
      <c r="B6686" t="s">
        <v>2310</v>
      </c>
      <c r="C6686" t="s">
        <v>10190</v>
      </c>
      <c r="D6686" t="s">
        <v>19028</v>
      </c>
      <c r="E6686" t="s">
        <v>24931</v>
      </c>
      <c r="F6686" t="s">
        <v>32831</v>
      </c>
      <c r="G6686" t="s">
        <v>32840</v>
      </c>
      <c r="H6686" t="s">
        <v>32848</v>
      </c>
      <c r="I6686" t="s">
        <v>4487</v>
      </c>
      <c r="J6686" t="s">
        <v>32980</v>
      </c>
      <c r="K6686" t="s">
        <v>42731</v>
      </c>
      <c r="M6686" t="s">
        <v>45495</v>
      </c>
      <c r="N6686" t="s">
        <v>47424</v>
      </c>
      <c r="O6686" t="s">
        <v>47425</v>
      </c>
      <c r="P6686">
        <v>0</v>
      </c>
      <c r="Q6686">
        <v>1</v>
      </c>
      <c r="R6686" t="s">
        <v>47431</v>
      </c>
      <c r="S6686" t="s">
        <v>47565</v>
      </c>
      <c r="T6686" t="s">
        <v>49166</v>
      </c>
      <c r="U6686" t="s">
        <v>55283</v>
      </c>
      <c r="W6686" t="s">
        <v>45495</v>
      </c>
      <c r="X6686" t="s">
        <v>47432</v>
      </c>
    </row>
    <row r="6687" spans="1:24">
      <c r="A6687">
        <f>HYPERLINK("https://www.philgeps.gov.ph/GEPSNONPILOT/Tender/SplashBidNoticeAbstractUI.aspx?menuIndex=3&amp;refID=7156144&amp;Result=3","7156144")</f>
        <v>0</v>
      </c>
      <c r="B6687" t="s">
        <v>2380</v>
      </c>
      <c r="C6687" t="s">
        <v>10191</v>
      </c>
      <c r="D6687" t="s">
        <v>19017</v>
      </c>
      <c r="E6687" t="s">
        <v>24932</v>
      </c>
      <c r="F6687" t="s">
        <v>32831</v>
      </c>
      <c r="G6687" t="s">
        <v>32841</v>
      </c>
      <c r="H6687" t="s">
        <v>32848</v>
      </c>
      <c r="I6687" t="s">
        <v>7819</v>
      </c>
      <c r="J6687" t="s">
        <v>33624</v>
      </c>
      <c r="K6687" t="s">
        <v>42831</v>
      </c>
      <c r="M6687" t="s">
        <v>45569</v>
      </c>
      <c r="N6687" t="s">
        <v>47424</v>
      </c>
      <c r="O6687" t="s">
        <v>47425</v>
      </c>
      <c r="P6687">
        <v>0</v>
      </c>
      <c r="Q6687">
        <v>5</v>
      </c>
      <c r="R6687" t="s">
        <v>47431</v>
      </c>
      <c r="S6687" t="s">
        <v>47565</v>
      </c>
      <c r="T6687" t="s">
        <v>49107</v>
      </c>
      <c r="U6687" t="s">
        <v>55307</v>
      </c>
      <c r="W6687" t="s">
        <v>45569</v>
      </c>
      <c r="X6687" t="s">
        <v>47432</v>
      </c>
    </row>
    <row r="6688" spans="1:24">
      <c r="A6688">
        <f>HYPERLINK("https://www.philgeps.gov.ph/GEPSNONPILOT/Tender/SplashBidNoticeAbstractUI.aspx?menuIndex=3&amp;refID=7156227&amp;Result=3","7156227")</f>
        <v>0</v>
      </c>
      <c r="B6688" t="s">
        <v>2381</v>
      </c>
      <c r="C6688" t="s">
        <v>10192</v>
      </c>
      <c r="D6688" t="s">
        <v>19048</v>
      </c>
      <c r="E6688" t="s">
        <v>24933</v>
      </c>
      <c r="F6688" t="s">
        <v>32831</v>
      </c>
      <c r="G6688" t="s">
        <v>32840</v>
      </c>
      <c r="H6688" t="s">
        <v>32848</v>
      </c>
      <c r="I6688" t="s">
        <v>32860</v>
      </c>
      <c r="J6688" t="s">
        <v>33011</v>
      </c>
      <c r="K6688" t="s">
        <v>42760</v>
      </c>
      <c r="M6688" t="s">
        <v>45570</v>
      </c>
      <c r="N6688" t="s">
        <v>47424</v>
      </c>
      <c r="O6688" t="s">
        <v>47425</v>
      </c>
      <c r="P6688">
        <v>0</v>
      </c>
      <c r="Q6688">
        <v>1</v>
      </c>
      <c r="R6688" t="s">
        <v>47431</v>
      </c>
      <c r="S6688" t="s">
        <v>47565</v>
      </c>
      <c r="T6688" t="s">
        <v>49239</v>
      </c>
      <c r="U6688" t="s">
        <v>55308</v>
      </c>
      <c r="W6688" t="s">
        <v>45570</v>
      </c>
      <c r="X6688" t="s">
        <v>47432</v>
      </c>
    </row>
    <row r="6689" spans="1:24">
      <c r="A6689">
        <f>HYPERLINK("https://www.philgeps.gov.ph/GEPSNONPILOT/Tender/SplashBidNoticeAbstractUI.aspx?menuIndex=3&amp;refID=7156226&amp;Result=3","7156226")</f>
        <v>0</v>
      </c>
      <c r="B6689" t="s">
        <v>2382</v>
      </c>
      <c r="C6689" t="s">
        <v>10193</v>
      </c>
      <c r="D6689" t="s">
        <v>19027</v>
      </c>
      <c r="E6689" t="s">
        <v>24934</v>
      </c>
      <c r="F6689" t="s">
        <v>32831</v>
      </c>
      <c r="G6689" t="s">
        <v>32838</v>
      </c>
      <c r="H6689" t="s">
        <v>32848</v>
      </c>
      <c r="I6689" t="s">
        <v>10888</v>
      </c>
      <c r="J6689" t="s">
        <v>37194</v>
      </c>
      <c r="K6689" t="s">
        <v>42759</v>
      </c>
      <c r="M6689" t="s">
        <v>45571</v>
      </c>
      <c r="N6689" t="s">
        <v>47424</v>
      </c>
      <c r="O6689" t="s">
        <v>47425</v>
      </c>
      <c r="P6689">
        <v>0</v>
      </c>
      <c r="Q6689">
        <v>0</v>
      </c>
      <c r="R6689" t="s">
        <v>47431</v>
      </c>
      <c r="S6689" t="s">
        <v>47565</v>
      </c>
      <c r="T6689" t="s">
        <v>49124</v>
      </c>
      <c r="U6689" t="s">
        <v>55309</v>
      </c>
      <c r="W6689" t="s">
        <v>45571</v>
      </c>
      <c r="X6689" t="s">
        <v>47432</v>
      </c>
    </row>
    <row r="6690" spans="1:24">
      <c r="A6690">
        <f>HYPERLINK("https://www.philgeps.gov.ph/GEPSNONPILOT/Tender/SplashBidNoticeAbstractUI.aspx?menuIndex=3&amp;refID=7156223&amp;Result=3","7156223")</f>
        <v>0</v>
      </c>
      <c r="B6690" t="s">
        <v>2310</v>
      </c>
      <c r="C6690" t="s">
        <v>10194</v>
      </c>
      <c r="D6690" t="s">
        <v>19028</v>
      </c>
      <c r="E6690" t="s">
        <v>24935</v>
      </c>
      <c r="F6690" t="s">
        <v>32831</v>
      </c>
      <c r="G6690" t="s">
        <v>32840</v>
      </c>
      <c r="H6690" t="s">
        <v>32848</v>
      </c>
      <c r="I6690" t="s">
        <v>4558</v>
      </c>
      <c r="J6690" t="s">
        <v>37195</v>
      </c>
      <c r="K6690" t="s">
        <v>42731</v>
      </c>
      <c r="M6690" t="s">
        <v>45495</v>
      </c>
      <c r="N6690" t="s">
        <v>47424</v>
      </c>
      <c r="O6690" t="s">
        <v>47425</v>
      </c>
      <c r="P6690">
        <v>0</v>
      </c>
      <c r="Q6690">
        <v>0</v>
      </c>
      <c r="R6690" t="s">
        <v>47431</v>
      </c>
      <c r="S6690" t="s">
        <v>47565</v>
      </c>
      <c r="T6690" t="s">
        <v>49166</v>
      </c>
      <c r="U6690" t="s">
        <v>55283</v>
      </c>
      <c r="W6690" t="s">
        <v>45495</v>
      </c>
      <c r="X6690" t="s">
        <v>47432</v>
      </c>
    </row>
    <row r="6691" spans="1:24">
      <c r="A6691">
        <f>HYPERLINK("https://www.philgeps.gov.ph/GEPSNONPILOT/Tender/SplashBidNoticeAbstractUI.aspx?menuIndex=3&amp;refID=7156222&amp;Result=3","7156222")</f>
        <v>0</v>
      </c>
      <c r="B6691" t="s">
        <v>2378</v>
      </c>
      <c r="C6691" t="s">
        <v>10195</v>
      </c>
      <c r="D6691" t="s">
        <v>19091</v>
      </c>
      <c r="E6691" t="s">
        <v>24936</v>
      </c>
      <c r="F6691" t="s">
        <v>32831</v>
      </c>
      <c r="G6691" t="s">
        <v>32839</v>
      </c>
      <c r="H6691" t="s">
        <v>32849</v>
      </c>
      <c r="I6691" t="s">
        <v>32852</v>
      </c>
      <c r="J6691" t="s">
        <v>37196</v>
      </c>
      <c r="K6691" t="s">
        <v>42729</v>
      </c>
      <c r="M6691" t="s">
        <v>45567</v>
      </c>
      <c r="N6691" t="s">
        <v>47424</v>
      </c>
      <c r="O6691" t="s">
        <v>47425</v>
      </c>
      <c r="P6691">
        <v>0</v>
      </c>
      <c r="Q6691">
        <v>8</v>
      </c>
      <c r="R6691" t="s">
        <v>47431</v>
      </c>
      <c r="S6691" t="s">
        <v>47565</v>
      </c>
      <c r="T6691" t="s">
        <v>49077</v>
      </c>
      <c r="U6691" t="s">
        <v>55310</v>
      </c>
      <c r="W6691" t="s">
        <v>45567</v>
      </c>
      <c r="X6691" t="s">
        <v>47432</v>
      </c>
    </row>
    <row r="6692" spans="1:24">
      <c r="A6692">
        <f>HYPERLINK("https://www.philgeps.gov.ph/GEPSNONPILOT/Tender/SplashBidNoticeAbstractUI.aspx?menuIndex=3&amp;refID=7156232&amp;Result=3","7156232")</f>
        <v>0</v>
      </c>
      <c r="B6692" t="s">
        <v>663</v>
      </c>
      <c r="C6692" t="s">
        <v>10196</v>
      </c>
      <c r="D6692" t="s">
        <v>19026</v>
      </c>
      <c r="E6692" t="s">
        <v>24937</v>
      </c>
      <c r="F6692" t="s">
        <v>32831</v>
      </c>
      <c r="G6692" t="s">
        <v>32840</v>
      </c>
      <c r="H6692" t="s">
        <v>32848</v>
      </c>
      <c r="I6692" t="s">
        <v>32864</v>
      </c>
      <c r="J6692" t="s">
        <v>37197</v>
      </c>
      <c r="K6692" t="s">
        <v>42732</v>
      </c>
      <c r="M6692" t="s">
        <v>43681</v>
      </c>
      <c r="N6692" t="s">
        <v>47424</v>
      </c>
      <c r="O6692" t="s">
        <v>47425</v>
      </c>
      <c r="P6692">
        <v>0</v>
      </c>
      <c r="Q6692">
        <v>6</v>
      </c>
      <c r="R6692" t="s">
        <v>47431</v>
      </c>
      <c r="S6692" t="s">
        <v>47565</v>
      </c>
      <c r="T6692" t="s">
        <v>49235</v>
      </c>
      <c r="U6692" t="s">
        <v>49728</v>
      </c>
      <c r="W6692" t="s">
        <v>43681</v>
      </c>
      <c r="X6692" t="s">
        <v>47432</v>
      </c>
    </row>
    <row r="6693" spans="1:24">
      <c r="A6693">
        <f>HYPERLINK("https://www.philgeps.gov.ph/GEPSNONPILOT/Tender/SplashBidNoticeAbstractUI.aspx?menuIndex=3&amp;refID=7156231&amp;Result=3","7156231")</f>
        <v>0</v>
      </c>
      <c r="B6693" t="s">
        <v>2383</v>
      </c>
      <c r="C6693" t="s">
        <v>8514</v>
      </c>
      <c r="D6693" t="s">
        <v>19055</v>
      </c>
      <c r="E6693" t="s">
        <v>24938</v>
      </c>
      <c r="F6693" t="s">
        <v>32831</v>
      </c>
      <c r="G6693" t="s">
        <v>32840</v>
      </c>
      <c r="H6693" t="s">
        <v>32848</v>
      </c>
      <c r="I6693" t="s">
        <v>7416</v>
      </c>
      <c r="J6693" t="s">
        <v>37198</v>
      </c>
      <c r="K6693" t="s">
        <v>42730</v>
      </c>
      <c r="M6693" t="s">
        <v>45572</v>
      </c>
      <c r="N6693" t="s">
        <v>47424</v>
      </c>
      <c r="O6693" t="s">
        <v>47425</v>
      </c>
      <c r="P6693">
        <v>0</v>
      </c>
      <c r="Q6693">
        <v>0</v>
      </c>
      <c r="R6693" t="s">
        <v>47431</v>
      </c>
      <c r="S6693" t="s">
        <v>47565</v>
      </c>
      <c r="T6693" t="s">
        <v>49127</v>
      </c>
      <c r="U6693" t="s">
        <v>55311</v>
      </c>
      <c r="V6693" t="s">
        <v>63364</v>
      </c>
      <c r="W6693" t="s">
        <v>45572</v>
      </c>
      <c r="X6693" t="s">
        <v>47432</v>
      </c>
    </row>
    <row r="6694" spans="1:24">
      <c r="A6694">
        <f>HYPERLINK("https://www.philgeps.gov.ph/GEPSNONPILOT/Tender/SplashBidNoticeAbstractUI.aspx?menuIndex=3&amp;refID=7156290&amp;Result=3","7156290")</f>
        <v>0</v>
      </c>
      <c r="B6694" t="s">
        <v>2378</v>
      </c>
      <c r="C6694" t="s">
        <v>10197</v>
      </c>
      <c r="D6694" t="s">
        <v>19091</v>
      </c>
      <c r="E6694" t="s">
        <v>24939</v>
      </c>
      <c r="F6694" t="s">
        <v>32831</v>
      </c>
      <c r="G6694" t="s">
        <v>32839</v>
      </c>
      <c r="H6694" t="s">
        <v>32848</v>
      </c>
      <c r="I6694" t="s">
        <v>32852</v>
      </c>
      <c r="J6694" t="s">
        <v>37199</v>
      </c>
      <c r="K6694" t="s">
        <v>42729</v>
      </c>
      <c r="M6694" t="s">
        <v>45567</v>
      </c>
      <c r="N6694" t="s">
        <v>47424</v>
      </c>
      <c r="O6694" t="s">
        <v>47425</v>
      </c>
      <c r="P6694">
        <v>0</v>
      </c>
      <c r="Q6694">
        <v>8</v>
      </c>
      <c r="R6694" t="s">
        <v>47431</v>
      </c>
      <c r="S6694" t="s">
        <v>47565</v>
      </c>
      <c r="T6694" t="s">
        <v>49077</v>
      </c>
      <c r="U6694" t="s">
        <v>55312</v>
      </c>
      <c r="W6694" t="s">
        <v>45567</v>
      </c>
      <c r="X6694" t="s">
        <v>47432</v>
      </c>
    </row>
    <row r="6695" spans="1:24">
      <c r="A6695">
        <f>HYPERLINK("https://www.philgeps.gov.ph/GEPSNONPILOT/Tender/SplashBidNoticeAbstractUI.aspx?menuIndex=3&amp;refID=7156237&amp;Result=3","7156237")</f>
        <v>0</v>
      </c>
      <c r="B6695" t="s">
        <v>2310</v>
      </c>
      <c r="C6695" t="s">
        <v>10198</v>
      </c>
      <c r="D6695" t="s">
        <v>19028</v>
      </c>
      <c r="E6695" t="s">
        <v>24940</v>
      </c>
      <c r="F6695" t="s">
        <v>32831</v>
      </c>
      <c r="G6695" t="s">
        <v>32840</v>
      </c>
      <c r="H6695" t="s">
        <v>32848</v>
      </c>
      <c r="I6695" t="s">
        <v>4487</v>
      </c>
      <c r="J6695" t="s">
        <v>33025</v>
      </c>
      <c r="K6695" t="s">
        <v>42731</v>
      </c>
      <c r="M6695" t="s">
        <v>45495</v>
      </c>
      <c r="N6695" t="s">
        <v>47424</v>
      </c>
      <c r="O6695" t="s">
        <v>47425</v>
      </c>
      <c r="P6695">
        <v>0</v>
      </c>
      <c r="Q6695">
        <v>2</v>
      </c>
      <c r="R6695" t="s">
        <v>47431</v>
      </c>
      <c r="S6695" t="s">
        <v>47565</v>
      </c>
      <c r="T6695" t="s">
        <v>49166</v>
      </c>
      <c r="U6695" t="s">
        <v>55283</v>
      </c>
      <c r="W6695" t="s">
        <v>45495</v>
      </c>
      <c r="X6695" t="s">
        <v>47432</v>
      </c>
    </row>
    <row r="6696" spans="1:24">
      <c r="A6696">
        <f>HYPERLINK("https://www.philgeps.gov.ph/GEPSNONPILOT/Tender/SplashBidNoticeAbstractUI.aspx?menuIndex=3&amp;refID=7156286&amp;Result=3","7156286")</f>
        <v>0</v>
      </c>
      <c r="B6696" t="s">
        <v>1629</v>
      </c>
      <c r="C6696" t="s">
        <v>10199</v>
      </c>
      <c r="D6696" t="s">
        <v>19021</v>
      </c>
      <c r="E6696" t="s">
        <v>24941</v>
      </c>
      <c r="F6696" t="s">
        <v>32831</v>
      </c>
      <c r="G6696" t="s">
        <v>32840</v>
      </c>
      <c r="H6696" t="s">
        <v>32848</v>
      </c>
      <c r="I6696" t="s">
        <v>4776</v>
      </c>
      <c r="J6696" t="s">
        <v>32976</v>
      </c>
      <c r="K6696" t="s">
        <v>42732</v>
      </c>
      <c r="M6696" t="s">
        <v>44745</v>
      </c>
      <c r="N6696" t="s">
        <v>47424</v>
      </c>
      <c r="O6696" t="s">
        <v>47425</v>
      </c>
      <c r="P6696">
        <v>0</v>
      </c>
      <c r="Q6696">
        <v>6</v>
      </c>
      <c r="R6696" t="s">
        <v>47431</v>
      </c>
      <c r="S6696" t="s">
        <v>47565</v>
      </c>
      <c r="T6696" t="s">
        <v>49163</v>
      </c>
      <c r="U6696" t="s">
        <v>53949</v>
      </c>
      <c r="V6696" t="s">
        <v>63069</v>
      </c>
      <c r="W6696" t="s">
        <v>44745</v>
      </c>
      <c r="X6696" t="s">
        <v>47432</v>
      </c>
    </row>
    <row r="6697" spans="1:24">
      <c r="A6697">
        <f>HYPERLINK("https://www.philgeps.gov.ph/GEPSNONPILOT/Tender/SplashBidNoticeAbstractUI.aspx?menuIndex=3&amp;refID=7156246&amp;Result=3","7156246")</f>
        <v>0</v>
      </c>
      <c r="B6697" t="s">
        <v>2136</v>
      </c>
      <c r="C6697" t="s">
        <v>10200</v>
      </c>
      <c r="D6697" t="s">
        <v>19085</v>
      </c>
      <c r="E6697" t="s">
        <v>24942</v>
      </c>
      <c r="F6697" t="s">
        <v>32831</v>
      </c>
      <c r="G6697" t="s">
        <v>32838</v>
      </c>
      <c r="H6697" t="s">
        <v>32848</v>
      </c>
      <c r="I6697" t="s">
        <v>11484</v>
      </c>
      <c r="J6697" t="s">
        <v>34238</v>
      </c>
      <c r="K6697" t="s">
        <v>42726</v>
      </c>
      <c r="M6697" t="s">
        <v>45314</v>
      </c>
      <c r="N6697" t="s">
        <v>47424</v>
      </c>
      <c r="O6697" t="s">
        <v>47425</v>
      </c>
      <c r="P6697">
        <v>0</v>
      </c>
      <c r="Q6697">
        <v>0</v>
      </c>
      <c r="R6697" t="s">
        <v>47431</v>
      </c>
      <c r="S6697" t="s">
        <v>47565</v>
      </c>
      <c r="T6697" t="s">
        <v>49177</v>
      </c>
      <c r="U6697" t="s">
        <v>55313</v>
      </c>
      <c r="W6697" t="s">
        <v>45314</v>
      </c>
      <c r="X6697" t="s">
        <v>47432</v>
      </c>
    </row>
    <row r="6698" spans="1:24">
      <c r="A6698">
        <f>HYPERLINK("https://www.philgeps.gov.ph/GEPSNONPILOT/Tender/SplashBidNoticeAbstractUI.aspx?menuIndex=3&amp;refID=7156284&amp;Result=3","7156284")</f>
        <v>0</v>
      </c>
      <c r="B6698" t="s">
        <v>316</v>
      </c>
      <c r="C6698" t="s">
        <v>5790</v>
      </c>
      <c r="D6698" t="s">
        <v>19023</v>
      </c>
      <c r="E6698" t="s">
        <v>24943</v>
      </c>
      <c r="F6698" t="s">
        <v>32831</v>
      </c>
      <c r="G6698" t="s">
        <v>32840</v>
      </c>
      <c r="H6698" t="s">
        <v>32848</v>
      </c>
      <c r="I6698" t="s">
        <v>4438</v>
      </c>
      <c r="J6698" t="s">
        <v>37200</v>
      </c>
      <c r="K6698" t="s">
        <v>42730</v>
      </c>
      <c r="M6698" t="s">
        <v>43795</v>
      </c>
      <c r="N6698" t="s">
        <v>47424</v>
      </c>
      <c r="O6698" t="s">
        <v>47425</v>
      </c>
      <c r="P6698">
        <v>0</v>
      </c>
      <c r="Q6698">
        <v>1</v>
      </c>
      <c r="R6698" t="s">
        <v>47431</v>
      </c>
      <c r="S6698" t="s">
        <v>47565</v>
      </c>
      <c r="T6698" t="s">
        <v>49056</v>
      </c>
      <c r="U6698" t="s">
        <v>51090</v>
      </c>
      <c r="V6698" t="s">
        <v>62802</v>
      </c>
      <c r="W6698" t="s">
        <v>43795</v>
      </c>
      <c r="X6698" t="s">
        <v>47432</v>
      </c>
    </row>
    <row r="6699" spans="1:24">
      <c r="A6699">
        <f>HYPERLINK("https://www.philgeps.gov.ph/GEPSNONPILOT/Tender/SplashBidNoticeAbstractUI.aspx?menuIndex=3&amp;refID=7156239&amp;Result=3","7156239")</f>
        <v>0</v>
      </c>
      <c r="B6699" t="s">
        <v>2330</v>
      </c>
      <c r="C6699" t="s">
        <v>10201</v>
      </c>
      <c r="D6699" t="s">
        <v>19062</v>
      </c>
      <c r="E6699" t="s">
        <v>24944</v>
      </c>
      <c r="F6699" t="s">
        <v>32831</v>
      </c>
      <c r="G6699" t="s">
        <v>32838</v>
      </c>
      <c r="H6699" t="s">
        <v>32848</v>
      </c>
      <c r="I6699" t="s">
        <v>4303</v>
      </c>
      <c r="J6699" t="s">
        <v>37201</v>
      </c>
      <c r="K6699" t="s">
        <v>42759</v>
      </c>
      <c r="M6699" t="s">
        <v>45516</v>
      </c>
      <c r="N6699" t="s">
        <v>47424</v>
      </c>
      <c r="O6699" t="s">
        <v>47425</v>
      </c>
      <c r="P6699">
        <v>0</v>
      </c>
      <c r="Q6699">
        <v>0</v>
      </c>
      <c r="R6699" t="s">
        <v>47431</v>
      </c>
      <c r="S6699" t="s">
        <v>47565</v>
      </c>
      <c r="T6699" t="s">
        <v>49145</v>
      </c>
      <c r="U6699" t="s">
        <v>55314</v>
      </c>
      <c r="W6699" t="s">
        <v>45516</v>
      </c>
      <c r="X6699" t="s">
        <v>47432</v>
      </c>
    </row>
    <row r="6700" spans="1:24">
      <c r="A6700">
        <f>HYPERLINK("https://www.philgeps.gov.ph/GEPSNONPILOT/Tender/SplashBidNoticeAbstractUI.aspx?menuIndex=3&amp;refID=7156281&amp;Result=3","7156281")</f>
        <v>0</v>
      </c>
      <c r="B6700" t="s">
        <v>823</v>
      </c>
      <c r="C6700" t="s">
        <v>10202</v>
      </c>
      <c r="D6700" t="s">
        <v>19062</v>
      </c>
      <c r="E6700" t="s">
        <v>24945</v>
      </c>
      <c r="F6700" t="s">
        <v>32831</v>
      </c>
      <c r="G6700" t="s">
        <v>32839</v>
      </c>
      <c r="H6700" t="s">
        <v>32849</v>
      </c>
      <c r="I6700" t="s">
        <v>4177</v>
      </c>
      <c r="J6700" t="s">
        <v>37202</v>
      </c>
      <c r="K6700" t="s">
        <v>42897</v>
      </c>
      <c r="M6700" t="s">
        <v>45573</v>
      </c>
      <c r="N6700" t="s">
        <v>47424</v>
      </c>
      <c r="O6700" t="s">
        <v>47425</v>
      </c>
      <c r="P6700">
        <v>0</v>
      </c>
      <c r="Q6700">
        <v>1</v>
      </c>
      <c r="R6700" t="s">
        <v>47431</v>
      </c>
      <c r="S6700" t="s">
        <v>47565</v>
      </c>
      <c r="T6700" t="s">
        <v>49461</v>
      </c>
      <c r="U6700" t="s">
        <v>55315</v>
      </c>
      <c r="W6700" t="s">
        <v>45573</v>
      </c>
      <c r="X6700" t="s">
        <v>47432</v>
      </c>
    </row>
    <row r="6701" spans="1:24">
      <c r="A6701">
        <f>HYPERLINK("https://www.philgeps.gov.ph/GEPSNONPILOT/Tender/SplashBidNoticeAbstractUI.aspx?menuIndex=3&amp;refID=7156288&amp;Result=3","7156288")</f>
        <v>0</v>
      </c>
      <c r="B6701" t="s">
        <v>2310</v>
      </c>
      <c r="C6701" t="s">
        <v>10203</v>
      </c>
      <c r="D6701" t="s">
        <v>19028</v>
      </c>
      <c r="E6701" t="s">
        <v>24946</v>
      </c>
      <c r="F6701" t="s">
        <v>32831</v>
      </c>
      <c r="G6701" t="s">
        <v>32839</v>
      </c>
      <c r="H6701" t="s">
        <v>32848</v>
      </c>
      <c r="I6701" t="s">
        <v>4438</v>
      </c>
      <c r="J6701" t="s">
        <v>37203</v>
      </c>
      <c r="K6701" t="s">
        <v>42745</v>
      </c>
      <c r="M6701" t="s">
        <v>45495</v>
      </c>
      <c r="N6701" t="s">
        <v>47424</v>
      </c>
      <c r="O6701" t="s">
        <v>47425</v>
      </c>
      <c r="P6701">
        <v>0</v>
      </c>
      <c r="Q6701">
        <v>1</v>
      </c>
      <c r="R6701" t="s">
        <v>47431</v>
      </c>
      <c r="S6701" t="s">
        <v>47565</v>
      </c>
      <c r="T6701" t="s">
        <v>49063</v>
      </c>
      <c r="U6701" t="s">
        <v>55316</v>
      </c>
      <c r="V6701" t="s">
        <v>63365</v>
      </c>
      <c r="W6701" t="s">
        <v>45495</v>
      </c>
      <c r="X6701" t="s">
        <v>47432</v>
      </c>
    </row>
    <row r="6702" spans="1:24">
      <c r="A6702">
        <f>HYPERLINK("https://www.philgeps.gov.ph/GEPSNONPILOT/Tender/SplashBidNoticeAbstractUI.aspx?menuIndex=3&amp;refID=7156282&amp;Result=3","7156282")</f>
        <v>0</v>
      </c>
      <c r="B6702" t="s">
        <v>2384</v>
      </c>
      <c r="C6702" t="s">
        <v>9702</v>
      </c>
      <c r="D6702" t="s">
        <v>19045</v>
      </c>
      <c r="E6702" t="s">
        <v>19351</v>
      </c>
      <c r="F6702" t="s">
        <v>32831</v>
      </c>
      <c r="G6702" t="s">
        <v>32839</v>
      </c>
      <c r="H6702" t="s">
        <v>32849</v>
      </c>
      <c r="I6702" t="s">
        <v>32852</v>
      </c>
      <c r="J6702" t="s">
        <v>37204</v>
      </c>
      <c r="K6702" t="s">
        <v>42727</v>
      </c>
      <c r="M6702" t="s">
        <v>45574</v>
      </c>
      <c r="N6702" t="s">
        <v>47424</v>
      </c>
      <c r="O6702" t="s">
        <v>47425</v>
      </c>
      <c r="P6702">
        <v>0</v>
      </c>
      <c r="Q6702">
        <v>0</v>
      </c>
      <c r="R6702" t="s">
        <v>47431</v>
      </c>
      <c r="S6702" t="s">
        <v>47565</v>
      </c>
      <c r="T6702" t="s">
        <v>49129</v>
      </c>
      <c r="U6702" t="s">
        <v>55317</v>
      </c>
      <c r="W6702" t="s">
        <v>45574</v>
      </c>
      <c r="X6702" t="s">
        <v>47432</v>
      </c>
    </row>
    <row r="6703" spans="1:24">
      <c r="A6703">
        <f>HYPERLINK("https://www.philgeps.gov.ph/GEPSNONPILOT/Tender/SplashBidNoticeAbstractUI.aspx?menuIndex=3&amp;refID=7156245&amp;Result=3","7156245")</f>
        <v>0</v>
      </c>
      <c r="B6703" t="s">
        <v>2349</v>
      </c>
      <c r="C6703" t="s">
        <v>10204</v>
      </c>
      <c r="D6703" t="s">
        <v>19038</v>
      </c>
      <c r="E6703" t="s">
        <v>24947</v>
      </c>
      <c r="F6703" t="s">
        <v>32831</v>
      </c>
      <c r="G6703" t="s">
        <v>32839</v>
      </c>
      <c r="H6703" t="s">
        <v>32848</v>
      </c>
      <c r="I6703" t="s">
        <v>32855</v>
      </c>
      <c r="J6703" t="s">
        <v>33007</v>
      </c>
      <c r="K6703" t="s">
        <v>42726</v>
      </c>
      <c r="M6703" t="s">
        <v>45537</v>
      </c>
      <c r="N6703" t="s">
        <v>47424</v>
      </c>
      <c r="O6703" t="s">
        <v>47425</v>
      </c>
      <c r="P6703">
        <v>0</v>
      </c>
      <c r="Q6703">
        <v>0</v>
      </c>
      <c r="R6703" t="s">
        <v>47431</v>
      </c>
      <c r="S6703" t="s">
        <v>47565</v>
      </c>
      <c r="T6703" t="s">
        <v>49303</v>
      </c>
      <c r="U6703" t="s">
        <v>55318</v>
      </c>
      <c r="W6703" t="s">
        <v>45537</v>
      </c>
      <c r="X6703" t="s">
        <v>47432</v>
      </c>
    </row>
    <row r="6704" spans="1:24">
      <c r="A6704">
        <f>HYPERLINK("https://www.philgeps.gov.ph/GEPSNONPILOT/Tender/SplashBidNoticeAbstractUI.aspx?menuIndex=3&amp;refID=7156263&amp;Result=3","7156263")</f>
        <v>0</v>
      </c>
      <c r="B6704" t="s">
        <v>2310</v>
      </c>
      <c r="C6704" t="s">
        <v>10205</v>
      </c>
      <c r="D6704" t="s">
        <v>19028</v>
      </c>
      <c r="E6704" t="s">
        <v>24948</v>
      </c>
      <c r="F6704" t="s">
        <v>32831</v>
      </c>
      <c r="G6704" t="s">
        <v>32841</v>
      </c>
      <c r="H6704" t="s">
        <v>32848</v>
      </c>
      <c r="I6704" t="s">
        <v>4487</v>
      </c>
      <c r="J6704" t="s">
        <v>33077</v>
      </c>
      <c r="K6704" t="s">
        <v>42731</v>
      </c>
      <c r="M6704" t="s">
        <v>45495</v>
      </c>
      <c r="N6704" t="s">
        <v>47424</v>
      </c>
      <c r="O6704" t="s">
        <v>47425</v>
      </c>
      <c r="P6704">
        <v>0</v>
      </c>
      <c r="Q6704">
        <v>2</v>
      </c>
      <c r="R6704" t="s">
        <v>47431</v>
      </c>
      <c r="S6704" t="s">
        <v>47565</v>
      </c>
      <c r="T6704" t="s">
        <v>49166</v>
      </c>
      <c r="U6704" t="s">
        <v>55283</v>
      </c>
      <c r="W6704" t="s">
        <v>45495</v>
      </c>
      <c r="X6704" t="s">
        <v>47432</v>
      </c>
    </row>
    <row r="6705" spans="1:24">
      <c r="A6705">
        <f>HYPERLINK("https://www.philgeps.gov.ph/GEPSNONPILOT/Tender/SplashBidNoticeAbstractUI.aspx?menuIndex=3&amp;refID=7156277&amp;Result=3","7156277")</f>
        <v>0</v>
      </c>
      <c r="B6705" t="s">
        <v>1799</v>
      </c>
      <c r="C6705" t="s">
        <v>10206</v>
      </c>
      <c r="D6705" t="s">
        <v>19071</v>
      </c>
      <c r="E6705" t="s">
        <v>24949</v>
      </c>
      <c r="F6705" t="s">
        <v>32831</v>
      </c>
      <c r="G6705" t="s">
        <v>32838</v>
      </c>
      <c r="H6705" t="s">
        <v>32848</v>
      </c>
      <c r="I6705" t="s">
        <v>7416</v>
      </c>
      <c r="J6705" t="s">
        <v>37205</v>
      </c>
      <c r="K6705" t="s">
        <v>42727</v>
      </c>
      <c r="M6705" t="s">
        <v>44929</v>
      </c>
      <c r="N6705" t="s">
        <v>47424</v>
      </c>
      <c r="O6705" t="s">
        <v>47425</v>
      </c>
      <c r="P6705">
        <v>0</v>
      </c>
      <c r="Q6705">
        <v>0</v>
      </c>
      <c r="R6705" t="s">
        <v>47431</v>
      </c>
      <c r="S6705" t="s">
        <v>47565</v>
      </c>
      <c r="T6705" t="s">
        <v>49079</v>
      </c>
      <c r="U6705" t="s">
        <v>55319</v>
      </c>
      <c r="V6705" t="s">
        <v>63130</v>
      </c>
      <c r="W6705" t="s">
        <v>44929</v>
      </c>
      <c r="X6705" t="s">
        <v>47432</v>
      </c>
    </row>
    <row r="6706" spans="1:24">
      <c r="A6706">
        <f>HYPERLINK("https://www.philgeps.gov.ph/GEPSNONPILOT/Tender/SplashBidNoticeAbstractUI.aspx?menuIndex=3&amp;refID=7156261&amp;Result=3","7156261")</f>
        <v>0</v>
      </c>
      <c r="B6706" t="s">
        <v>663</v>
      </c>
      <c r="C6706" t="s">
        <v>10207</v>
      </c>
      <c r="D6706" t="s">
        <v>19026</v>
      </c>
      <c r="E6706" t="s">
        <v>24950</v>
      </c>
      <c r="F6706" t="s">
        <v>32831</v>
      </c>
      <c r="G6706" t="s">
        <v>32840</v>
      </c>
      <c r="H6706" t="s">
        <v>32848</v>
      </c>
      <c r="I6706" t="s">
        <v>32864</v>
      </c>
      <c r="J6706" t="s">
        <v>37206</v>
      </c>
      <c r="K6706" t="s">
        <v>42732</v>
      </c>
      <c r="M6706" t="s">
        <v>43681</v>
      </c>
      <c r="N6706" t="s">
        <v>47424</v>
      </c>
      <c r="O6706" t="s">
        <v>47425</v>
      </c>
      <c r="P6706">
        <v>0</v>
      </c>
      <c r="Q6706">
        <v>6</v>
      </c>
      <c r="R6706" t="s">
        <v>47431</v>
      </c>
      <c r="S6706" t="s">
        <v>47565</v>
      </c>
      <c r="T6706" t="s">
        <v>49235</v>
      </c>
      <c r="U6706" t="s">
        <v>49728</v>
      </c>
      <c r="W6706" t="s">
        <v>43681</v>
      </c>
      <c r="X6706" t="s">
        <v>47432</v>
      </c>
    </row>
    <row r="6707" spans="1:24">
      <c r="A6707">
        <f>HYPERLINK("https://www.philgeps.gov.ph/GEPSNONPILOT/Tender/SplashBidNoticeAbstractUI.aspx?menuIndex=3&amp;refID=7156270&amp;Result=3","7156270")</f>
        <v>0</v>
      </c>
      <c r="B6707" t="s">
        <v>2370</v>
      </c>
      <c r="C6707" t="s">
        <v>10208</v>
      </c>
      <c r="D6707" t="s">
        <v>19077</v>
      </c>
      <c r="E6707" t="s">
        <v>19520</v>
      </c>
      <c r="F6707" t="s">
        <v>32831</v>
      </c>
      <c r="G6707" t="s">
        <v>32840</v>
      </c>
      <c r="H6707" t="s">
        <v>32848</v>
      </c>
      <c r="I6707" t="s">
        <v>32886</v>
      </c>
      <c r="J6707" t="s">
        <v>37207</v>
      </c>
      <c r="K6707" t="s">
        <v>42730</v>
      </c>
      <c r="M6707" t="s">
        <v>45560</v>
      </c>
      <c r="N6707" t="s">
        <v>47424</v>
      </c>
      <c r="O6707" t="s">
        <v>47425</v>
      </c>
      <c r="P6707">
        <v>0</v>
      </c>
      <c r="Q6707">
        <v>5</v>
      </c>
      <c r="R6707" t="s">
        <v>47431</v>
      </c>
      <c r="S6707" t="s">
        <v>47565</v>
      </c>
      <c r="T6707" t="s">
        <v>49214</v>
      </c>
      <c r="U6707" t="s">
        <v>55320</v>
      </c>
      <c r="V6707" t="s">
        <v>63359</v>
      </c>
      <c r="W6707" t="s">
        <v>45560</v>
      </c>
      <c r="X6707" t="s">
        <v>47432</v>
      </c>
    </row>
    <row r="6708" spans="1:24">
      <c r="A6708">
        <f>HYPERLINK("https://www.philgeps.gov.ph/GEPSNONPILOT/Tender/SplashBidNoticeAbstractUI.aspx?menuIndex=3&amp;refID=7156257&amp;Result=3","7156257")</f>
        <v>0</v>
      </c>
      <c r="B6708" t="s">
        <v>2383</v>
      </c>
      <c r="C6708" t="s">
        <v>7191</v>
      </c>
      <c r="D6708" t="s">
        <v>19055</v>
      </c>
      <c r="E6708" t="s">
        <v>24951</v>
      </c>
      <c r="F6708" t="s">
        <v>32831</v>
      </c>
      <c r="G6708" t="s">
        <v>32840</v>
      </c>
      <c r="H6708" t="s">
        <v>32848</v>
      </c>
      <c r="I6708" t="s">
        <v>32870</v>
      </c>
      <c r="J6708" t="s">
        <v>37208</v>
      </c>
      <c r="K6708" t="s">
        <v>42730</v>
      </c>
      <c r="M6708" t="s">
        <v>45572</v>
      </c>
      <c r="N6708" t="s">
        <v>47424</v>
      </c>
      <c r="O6708" t="s">
        <v>47425</v>
      </c>
      <c r="P6708">
        <v>0</v>
      </c>
      <c r="Q6708">
        <v>0</v>
      </c>
      <c r="R6708" t="s">
        <v>47431</v>
      </c>
      <c r="S6708" t="s">
        <v>47565</v>
      </c>
      <c r="T6708" t="s">
        <v>49127</v>
      </c>
      <c r="U6708" t="s">
        <v>55321</v>
      </c>
      <c r="V6708" t="s">
        <v>63366</v>
      </c>
      <c r="W6708" t="s">
        <v>45572</v>
      </c>
      <c r="X6708" t="s">
        <v>47432</v>
      </c>
    </row>
    <row r="6709" spans="1:24">
      <c r="A6709">
        <f>HYPERLINK("https://www.philgeps.gov.ph/GEPSNONPILOT/Tender/SplashBidNoticeAbstractUI.aspx?menuIndex=3&amp;refID=7156256&amp;Result=3","7156256")</f>
        <v>0</v>
      </c>
      <c r="B6709" t="s">
        <v>2385</v>
      </c>
      <c r="C6709" t="s">
        <v>10209</v>
      </c>
      <c r="D6709" t="s">
        <v>19023</v>
      </c>
      <c r="E6709" t="s">
        <v>24952</v>
      </c>
      <c r="F6709" t="s">
        <v>32831</v>
      </c>
      <c r="G6709" t="s">
        <v>32838</v>
      </c>
      <c r="H6709" t="s">
        <v>32848</v>
      </c>
      <c r="I6709" t="s">
        <v>7416</v>
      </c>
      <c r="J6709" t="s">
        <v>34100</v>
      </c>
      <c r="K6709" t="s">
        <v>42727</v>
      </c>
      <c r="M6709" t="s">
        <v>45575</v>
      </c>
      <c r="N6709" t="s">
        <v>47424</v>
      </c>
      <c r="O6709" t="s">
        <v>47425</v>
      </c>
      <c r="P6709">
        <v>0</v>
      </c>
      <c r="Q6709">
        <v>1</v>
      </c>
      <c r="R6709" t="s">
        <v>47431</v>
      </c>
      <c r="S6709" t="s">
        <v>47565</v>
      </c>
      <c r="T6709" t="s">
        <v>49237</v>
      </c>
      <c r="U6709" t="s">
        <v>55322</v>
      </c>
      <c r="W6709" t="s">
        <v>45575</v>
      </c>
      <c r="X6709" t="s">
        <v>47432</v>
      </c>
    </row>
    <row r="6710" spans="1:24">
      <c r="A6710">
        <f>HYPERLINK("https://www.philgeps.gov.ph/GEPSNONPILOT/Tender/SplashBidNoticeAbstractUI.aspx?menuIndex=3&amp;refID=7156278&amp;Result=3","7156278")</f>
        <v>0</v>
      </c>
      <c r="B6710" t="s">
        <v>2263</v>
      </c>
      <c r="C6710" t="s">
        <v>10210</v>
      </c>
      <c r="D6710" t="s">
        <v>19019</v>
      </c>
      <c r="E6710" t="s">
        <v>10210</v>
      </c>
      <c r="F6710" t="s">
        <v>32831</v>
      </c>
      <c r="G6710" t="s">
        <v>32838</v>
      </c>
      <c r="H6710" t="s">
        <v>32848</v>
      </c>
      <c r="I6710" t="s">
        <v>4438</v>
      </c>
      <c r="J6710" t="s">
        <v>35372</v>
      </c>
      <c r="K6710" t="s">
        <v>42730</v>
      </c>
      <c r="M6710" t="s">
        <v>45576</v>
      </c>
      <c r="N6710" t="s">
        <v>47424</v>
      </c>
      <c r="O6710" t="s">
        <v>47425</v>
      </c>
      <c r="P6710">
        <v>0</v>
      </c>
      <c r="Q6710">
        <v>0</v>
      </c>
      <c r="R6710" t="s">
        <v>47431</v>
      </c>
      <c r="S6710" t="s">
        <v>47565</v>
      </c>
      <c r="T6710" t="s">
        <v>49111</v>
      </c>
      <c r="U6710" t="s">
        <v>55323</v>
      </c>
      <c r="W6710" t="s">
        <v>45576</v>
      </c>
      <c r="X6710" t="s">
        <v>47432</v>
      </c>
    </row>
    <row r="6711" spans="1:24">
      <c r="A6711">
        <f>HYPERLINK("https://www.philgeps.gov.ph/GEPSNONPILOT/Tender/SplashBidNoticeAbstractUI.aspx?menuIndex=3&amp;refID=7156254&amp;Result=3","7156254")</f>
        <v>0</v>
      </c>
      <c r="B6711" t="s">
        <v>2386</v>
      </c>
      <c r="C6711" t="s">
        <v>10211</v>
      </c>
      <c r="D6711" t="s">
        <v>19104</v>
      </c>
      <c r="E6711" t="s">
        <v>24953</v>
      </c>
      <c r="F6711" t="s">
        <v>32831</v>
      </c>
      <c r="G6711" t="s">
        <v>32839</v>
      </c>
      <c r="H6711" t="s">
        <v>32848</v>
      </c>
      <c r="I6711" t="s">
        <v>4438</v>
      </c>
      <c r="J6711" t="s">
        <v>37209</v>
      </c>
      <c r="K6711" t="s">
        <v>42727</v>
      </c>
      <c r="M6711" t="s">
        <v>45577</v>
      </c>
      <c r="N6711" t="s">
        <v>47424</v>
      </c>
      <c r="O6711" t="s">
        <v>47425</v>
      </c>
      <c r="P6711">
        <v>0</v>
      </c>
      <c r="Q6711">
        <v>1</v>
      </c>
      <c r="R6711" t="s">
        <v>47431</v>
      </c>
      <c r="S6711" t="s">
        <v>47565</v>
      </c>
      <c r="T6711" t="s">
        <v>49108</v>
      </c>
      <c r="U6711" t="s">
        <v>55324</v>
      </c>
      <c r="W6711" t="s">
        <v>45577</v>
      </c>
      <c r="X6711" t="s">
        <v>47432</v>
      </c>
    </row>
    <row r="6712" spans="1:24">
      <c r="A6712">
        <f>HYPERLINK("https://www.philgeps.gov.ph/GEPSNONPILOT/Tender/SplashBidNoticeAbstractUI.aspx?menuIndex=3&amp;refID=7156325&amp;Result=3","7156325")</f>
        <v>0</v>
      </c>
      <c r="B6712" t="s">
        <v>486</v>
      </c>
      <c r="C6712" t="s">
        <v>10212</v>
      </c>
      <c r="D6712" t="s">
        <v>19025</v>
      </c>
      <c r="E6712" t="s">
        <v>24954</v>
      </c>
      <c r="F6712" t="s">
        <v>32831</v>
      </c>
      <c r="G6712" t="s">
        <v>32839</v>
      </c>
      <c r="H6712" t="s">
        <v>32848</v>
      </c>
      <c r="I6712" t="s">
        <v>9577</v>
      </c>
      <c r="J6712" t="s">
        <v>37210</v>
      </c>
      <c r="K6712" t="s">
        <v>42730</v>
      </c>
      <c r="M6712" t="s">
        <v>43491</v>
      </c>
      <c r="N6712" t="s">
        <v>47424</v>
      </c>
      <c r="O6712" t="s">
        <v>47425</v>
      </c>
      <c r="P6712">
        <v>0</v>
      </c>
      <c r="Q6712">
        <v>3</v>
      </c>
      <c r="R6712" t="s">
        <v>47431</v>
      </c>
      <c r="S6712" t="s">
        <v>47565</v>
      </c>
      <c r="T6712" t="s">
        <v>49319</v>
      </c>
      <c r="U6712" t="s">
        <v>55325</v>
      </c>
      <c r="W6712" t="s">
        <v>43491</v>
      </c>
      <c r="X6712" t="s">
        <v>47432</v>
      </c>
    </row>
    <row r="6713" spans="1:24">
      <c r="A6713">
        <f>HYPERLINK("https://www.philgeps.gov.ph/GEPSNONPILOT/Tender/SplashBidNoticeAbstractUI.aspx?menuIndex=3&amp;refID=7156323&amp;Result=3","7156323")</f>
        <v>0</v>
      </c>
      <c r="B6713" t="s">
        <v>60</v>
      </c>
      <c r="C6713" t="s">
        <v>10213</v>
      </c>
      <c r="D6713" t="s">
        <v>19042</v>
      </c>
      <c r="E6713" t="s">
        <v>24955</v>
      </c>
      <c r="F6713" t="s">
        <v>32831</v>
      </c>
      <c r="G6713" t="s">
        <v>32839</v>
      </c>
      <c r="H6713" t="s">
        <v>32848</v>
      </c>
      <c r="I6713" t="s">
        <v>4487</v>
      </c>
      <c r="J6713" t="s">
        <v>37211</v>
      </c>
      <c r="K6713" t="s">
        <v>42726</v>
      </c>
      <c r="M6713" t="s">
        <v>43057</v>
      </c>
      <c r="N6713" t="s">
        <v>47424</v>
      </c>
      <c r="O6713" t="s">
        <v>47425</v>
      </c>
      <c r="P6713">
        <v>0</v>
      </c>
      <c r="Q6713">
        <v>7</v>
      </c>
      <c r="R6713" t="s">
        <v>47431</v>
      </c>
      <c r="S6713" t="s">
        <v>47565</v>
      </c>
      <c r="T6713" t="s">
        <v>49461</v>
      </c>
      <c r="U6713" t="s">
        <v>55326</v>
      </c>
      <c r="W6713" t="s">
        <v>43057</v>
      </c>
      <c r="X6713" t="s">
        <v>47432</v>
      </c>
    </row>
    <row r="6714" spans="1:24">
      <c r="A6714">
        <f>HYPERLINK("https://www.philgeps.gov.ph/GEPSNONPILOT/Tender/SplashBidNoticeAbstractUI.aspx?menuIndex=3&amp;refID=7156280&amp;Result=3","7156280")</f>
        <v>0</v>
      </c>
      <c r="B6714" t="s">
        <v>2387</v>
      </c>
      <c r="C6714" t="s">
        <v>10214</v>
      </c>
      <c r="D6714" t="s">
        <v>19035</v>
      </c>
      <c r="E6714" t="s">
        <v>24956</v>
      </c>
      <c r="F6714" t="s">
        <v>32833</v>
      </c>
      <c r="G6714" t="s">
        <v>32842</v>
      </c>
      <c r="H6714" t="s">
        <v>32848</v>
      </c>
      <c r="I6714" t="s">
        <v>4487</v>
      </c>
      <c r="J6714" t="s">
        <v>33072</v>
      </c>
      <c r="K6714" t="s">
        <v>42730</v>
      </c>
      <c r="M6714" t="s">
        <v>45578</v>
      </c>
      <c r="N6714" t="s">
        <v>47424</v>
      </c>
      <c r="O6714" t="s">
        <v>47425</v>
      </c>
      <c r="P6714">
        <v>0</v>
      </c>
      <c r="Q6714">
        <v>9</v>
      </c>
      <c r="R6714" t="s">
        <v>47431</v>
      </c>
      <c r="S6714" t="s">
        <v>47565</v>
      </c>
      <c r="T6714" t="s">
        <v>49055</v>
      </c>
      <c r="U6714" t="s">
        <v>55327</v>
      </c>
      <c r="W6714" t="s">
        <v>45578</v>
      </c>
      <c r="X6714" t="s">
        <v>47432</v>
      </c>
    </row>
    <row r="6715" spans="1:24">
      <c r="A6715">
        <f>HYPERLINK("https://www.philgeps.gov.ph/GEPSNONPILOT/Tender/SplashBidNoticeAbstractUI.aspx?menuIndex=3&amp;refID=7156322&amp;Result=3","7156322")</f>
        <v>0</v>
      </c>
      <c r="B6715" t="s">
        <v>1629</v>
      </c>
      <c r="C6715" t="s">
        <v>10215</v>
      </c>
      <c r="D6715" t="s">
        <v>19021</v>
      </c>
      <c r="E6715" t="s">
        <v>24957</v>
      </c>
      <c r="F6715" t="s">
        <v>32831</v>
      </c>
      <c r="G6715" t="s">
        <v>32840</v>
      </c>
      <c r="H6715" t="s">
        <v>32848</v>
      </c>
      <c r="I6715" t="s">
        <v>32861</v>
      </c>
      <c r="J6715" t="s">
        <v>32980</v>
      </c>
      <c r="K6715" t="s">
        <v>42732</v>
      </c>
      <c r="M6715" t="s">
        <v>44745</v>
      </c>
      <c r="N6715" t="s">
        <v>47424</v>
      </c>
      <c r="O6715" t="s">
        <v>47425</v>
      </c>
      <c r="P6715">
        <v>0</v>
      </c>
      <c r="Q6715">
        <v>5</v>
      </c>
      <c r="R6715" t="s">
        <v>47431</v>
      </c>
      <c r="S6715" t="s">
        <v>47565</v>
      </c>
      <c r="T6715" t="s">
        <v>49163</v>
      </c>
      <c r="U6715" t="s">
        <v>53949</v>
      </c>
      <c r="V6715" t="s">
        <v>63069</v>
      </c>
      <c r="W6715" t="s">
        <v>44745</v>
      </c>
      <c r="X6715" t="s">
        <v>47432</v>
      </c>
    </row>
    <row r="6716" spans="1:24">
      <c r="A6716">
        <f>HYPERLINK("https://www.philgeps.gov.ph/GEPSNONPILOT/Tender/SplashBidNoticeAbstractUI.aspx?menuIndex=3&amp;refID=7156262&amp;Result=3","7156262")</f>
        <v>0</v>
      </c>
      <c r="B6716" t="s">
        <v>486</v>
      </c>
      <c r="C6716" t="s">
        <v>10216</v>
      </c>
      <c r="D6716" t="s">
        <v>19025</v>
      </c>
      <c r="E6716" t="s">
        <v>24958</v>
      </c>
      <c r="F6716" t="s">
        <v>32831</v>
      </c>
      <c r="G6716" t="s">
        <v>32839</v>
      </c>
      <c r="H6716" t="s">
        <v>32848</v>
      </c>
      <c r="I6716" t="s">
        <v>9577</v>
      </c>
      <c r="J6716" t="s">
        <v>37212</v>
      </c>
      <c r="K6716" t="s">
        <v>42730</v>
      </c>
      <c r="M6716" t="s">
        <v>43491</v>
      </c>
      <c r="N6716" t="s">
        <v>47424</v>
      </c>
      <c r="O6716" t="s">
        <v>47425</v>
      </c>
      <c r="P6716">
        <v>0</v>
      </c>
      <c r="Q6716">
        <v>4</v>
      </c>
      <c r="R6716" t="s">
        <v>47431</v>
      </c>
      <c r="S6716" t="s">
        <v>47565</v>
      </c>
      <c r="T6716" t="s">
        <v>49319</v>
      </c>
      <c r="U6716" t="s">
        <v>55325</v>
      </c>
      <c r="W6716" t="s">
        <v>43491</v>
      </c>
      <c r="X6716" t="s">
        <v>47432</v>
      </c>
    </row>
    <row r="6717" spans="1:24">
      <c r="A6717">
        <f>HYPERLINK("https://www.philgeps.gov.ph/GEPSNONPILOT/Tender/SplashBidNoticeAbstractUI.aspx?menuIndex=3&amp;refID=7156319&amp;Result=3","7156319")</f>
        <v>0</v>
      </c>
      <c r="B6717" t="s">
        <v>2388</v>
      </c>
      <c r="C6717" t="s">
        <v>10217</v>
      </c>
      <c r="D6717" t="s">
        <v>19075</v>
      </c>
      <c r="E6717" t="s">
        <v>24959</v>
      </c>
      <c r="F6717" t="s">
        <v>32831</v>
      </c>
      <c r="G6717" t="s">
        <v>32839</v>
      </c>
      <c r="H6717" t="s">
        <v>32848</v>
      </c>
      <c r="I6717" t="s">
        <v>32879</v>
      </c>
      <c r="J6717" t="s">
        <v>37213</v>
      </c>
      <c r="K6717" t="s">
        <v>42732</v>
      </c>
      <c r="M6717" t="s">
        <v>45579</v>
      </c>
      <c r="N6717" t="s">
        <v>47424</v>
      </c>
      <c r="O6717" t="s">
        <v>47425</v>
      </c>
      <c r="P6717">
        <v>0</v>
      </c>
      <c r="Q6717">
        <v>3</v>
      </c>
      <c r="R6717" t="s">
        <v>47431</v>
      </c>
      <c r="S6717" t="s">
        <v>47565</v>
      </c>
      <c r="T6717" t="s">
        <v>49056</v>
      </c>
      <c r="U6717" t="s">
        <v>55328</v>
      </c>
      <c r="W6717" t="s">
        <v>64507</v>
      </c>
      <c r="X6717" t="s">
        <v>47432</v>
      </c>
    </row>
    <row r="6718" spans="1:24">
      <c r="A6718">
        <f>HYPERLINK("https://www.philgeps.gov.ph/GEPSNONPILOT/Tender/SplashBidNoticeAbstractUI.aspx?menuIndex=3&amp;refID=7156316&amp;Result=3","7156316")</f>
        <v>0</v>
      </c>
      <c r="B6718" t="s">
        <v>2310</v>
      </c>
      <c r="C6718" t="s">
        <v>10218</v>
      </c>
      <c r="D6718" t="s">
        <v>19028</v>
      </c>
      <c r="E6718" t="s">
        <v>24960</v>
      </c>
      <c r="F6718" t="s">
        <v>32831</v>
      </c>
      <c r="G6718" t="s">
        <v>32839</v>
      </c>
      <c r="H6718" t="s">
        <v>32848</v>
      </c>
      <c r="I6718" t="s">
        <v>32869</v>
      </c>
      <c r="J6718" t="s">
        <v>37214</v>
      </c>
      <c r="K6718" t="s">
        <v>42745</v>
      </c>
      <c r="M6718" t="s">
        <v>45495</v>
      </c>
      <c r="N6718" t="s">
        <v>47424</v>
      </c>
      <c r="O6718" t="s">
        <v>47425</v>
      </c>
      <c r="P6718">
        <v>0</v>
      </c>
      <c r="Q6718">
        <v>6</v>
      </c>
      <c r="R6718" t="s">
        <v>47431</v>
      </c>
      <c r="S6718" t="s">
        <v>47565</v>
      </c>
      <c r="T6718" t="s">
        <v>49063</v>
      </c>
      <c r="U6718" t="s">
        <v>55316</v>
      </c>
      <c r="V6718" t="s">
        <v>63365</v>
      </c>
      <c r="W6718" t="s">
        <v>45495</v>
      </c>
      <c r="X6718" t="s">
        <v>47432</v>
      </c>
    </row>
    <row r="6719" spans="1:24">
      <c r="A6719">
        <f>HYPERLINK("https://www.philgeps.gov.ph/GEPSNONPILOT/Tender/SplashBidNoticeAbstractUI.aspx?menuIndex=3&amp;refID=7156258&amp;Result=3","7156258")</f>
        <v>0</v>
      </c>
      <c r="B6719" t="s">
        <v>316</v>
      </c>
      <c r="C6719" t="s">
        <v>5790</v>
      </c>
      <c r="D6719" t="s">
        <v>19023</v>
      </c>
      <c r="E6719" t="s">
        <v>24961</v>
      </c>
      <c r="F6719" t="s">
        <v>32831</v>
      </c>
      <c r="G6719" t="s">
        <v>32840</v>
      </c>
      <c r="H6719" t="s">
        <v>32848</v>
      </c>
      <c r="I6719" t="s">
        <v>32943</v>
      </c>
      <c r="J6719" t="s">
        <v>37215</v>
      </c>
      <c r="K6719" t="s">
        <v>42730</v>
      </c>
      <c r="M6719" t="s">
        <v>43795</v>
      </c>
      <c r="N6719" t="s">
        <v>47424</v>
      </c>
      <c r="O6719" t="s">
        <v>47425</v>
      </c>
      <c r="P6719">
        <v>0</v>
      </c>
      <c r="Q6719">
        <v>2</v>
      </c>
      <c r="R6719" t="s">
        <v>47431</v>
      </c>
      <c r="S6719" t="s">
        <v>47565</v>
      </c>
      <c r="T6719" t="s">
        <v>49056</v>
      </c>
      <c r="U6719" t="s">
        <v>51090</v>
      </c>
      <c r="V6719" t="s">
        <v>62802</v>
      </c>
      <c r="W6719" t="s">
        <v>43795</v>
      </c>
      <c r="X6719" t="s">
        <v>47432</v>
      </c>
    </row>
    <row r="6720" spans="1:24">
      <c r="A6720">
        <f>HYPERLINK("https://www.philgeps.gov.ph/GEPSNONPILOT/Tender/SplashBidNoticeAbstractUI.aspx?menuIndex=3&amp;refID=7156315&amp;Result=3","7156315")</f>
        <v>0</v>
      </c>
      <c r="B6720" t="s">
        <v>2389</v>
      </c>
      <c r="C6720" t="s">
        <v>5513</v>
      </c>
      <c r="D6720" t="s">
        <v>19043</v>
      </c>
      <c r="E6720" t="s">
        <v>24962</v>
      </c>
      <c r="F6720" t="s">
        <v>32831</v>
      </c>
      <c r="G6720" t="s">
        <v>32839</v>
      </c>
      <c r="H6720" t="s">
        <v>32848</v>
      </c>
      <c r="I6720" t="s">
        <v>32861</v>
      </c>
      <c r="J6720" t="s">
        <v>37216</v>
      </c>
      <c r="K6720" t="s">
        <v>42727</v>
      </c>
      <c r="M6720" t="s">
        <v>45580</v>
      </c>
      <c r="N6720" t="s">
        <v>47424</v>
      </c>
      <c r="O6720" t="s">
        <v>47425</v>
      </c>
      <c r="P6720">
        <v>0</v>
      </c>
      <c r="Q6720">
        <v>14</v>
      </c>
      <c r="R6720" t="s">
        <v>47431</v>
      </c>
      <c r="S6720" t="s">
        <v>47565</v>
      </c>
      <c r="T6720" t="s">
        <v>49070</v>
      </c>
      <c r="U6720" t="s">
        <v>55329</v>
      </c>
      <c r="W6720" t="s">
        <v>45580</v>
      </c>
      <c r="X6720" t="s">
        <v>47432</v>
      </c>
    </row>
    <row r="6721" spans="1:24">
      <c r="A6721">
        <f>HYPERLINK("https://www.philgeps.gov.ph/GEPSNONPILOT/Tender/SplashBidNoticeAbstractUI.aspx?menuIndex=3&amp;refID=7156313&amp;Result=3","7156313")</f>
        <v>0</v>
      </c>
      <c r="B6721" t="s">
        <v>2390</v>
      </c>
      <c r="C6721" t="s">
        <v>10219</v>
      </c>
      <c r="D6721" t="s">
        <v>19047</v>
      </c>
      <c r="E6721" t="s">
        <v>20797</v>
      </c>
      <c r="F6721" t="s">
        <v>32831</v>
      </c>
      <c r="G6721" t="s">
        <v>32838</v>
      </c>
      <c r="H6721" t="s">
        <v>32849</v>
      </c>
      <c r="I6721" t="s">
        <v>32866</v>
      </c>
      <c r="J6721" t="s">
        <v>37217</v>
      </c>
      <c r="K6721" t="s">
        <v>42730</v>
      </c>
      <c r="M6721" t="s">
        <v>45581</v>
      </c>
      <c r="N6721" t="s">
        <v>47424</v>
      </c>
      <c r="O6721" t="s">
        <v>47425</v>
      </c>
      <c r="P6721">
        <v>0</v>
      </c>
      <c r="Q6721">
        <v>5</v>
      </c>
      <c r="R6721" t="s">
        <v>47431</v>
      </c>
      <c r="S6721" t="s">
        <v>47565</v>
      </c>
      <c r="T6721" t="s">
        <v>49100</v>
      </c>
      <c r="U6721" t="s">
        <v>55330</v>
      </c>
      <c r="V6721" t="s">
        <v>63367</v>
      </c>
      <c r="W6721" t="s">
        <v>45581</v>
      </c>
      <c r="X6721" t="s">
        <v>47432</v>
      </c>
    </row>
    <row r="6722" spans="1:24">
      <c r="A6722">
        <f>HYPERLINK("https://www.philgeps.gov.ph/GEPSNONPILOT/Tender/SplashBidNoticeAbstractUI.aspx?menuIndex=3&amp;refID=7156311&amp;Result=3","7156311")</f>
        <v>0</v>
      </c>
      <c r="B6722" t="s">
        <v>2391</v>
      </c>
      <c r="C6722" t="s">
        <v>10220</v>
      </c>
      <c r="D6722" t="s">
        <v>19077</v>
      </c>
      <c r="E6722" t="s">
        <v>22026</v>
      </c>
      <c r="F6722" t="s">
        <v>32831</v>
      </c>
      <c r="G6722" t="s">
        <v>32838</v>
      </c>
      <c r="H6722" t="s">
        <v>32848</v>
      </c>
      <c r="I6722" t="s">
        <v>4776</v>
      </c>
      <c r="J6722" t="s">
        <v>37120</v>
      </c>
      <c r="K6722" t="s">
        <v>42731</v>
      </c>
      <c r="M6722" t="s">
        <v>45582</v>
      </c>
      <c r="N6722" t="s">
        <v>47424</v>
      </c>
      <c r="O6722" t="s">
        <v>47425</v>
      </c>
      <c r="P6722">
        <v>0</v>
      </c>
      <c r="Q6722">
        <v>0</v>
      </c>
      <c r="R6722" t="s">
        <v>47431</v>
      </c>
      <c r="S6722" t="s">
        <v>47565</v>
      </c>
      <c r="T6722" t="s">
        <v>49100</v>
      </c>
      <c r="U6722" t="s">
        <v>55331</v>
      </c>
      <c r="W6722" t="s">
        <v>45582</v>
      </c>
      <c r="X6722" t="s">
        <v>47432</v>
      </c>
    </row>
    <row r="6723" spans="1:24">
      <c r="A6723">
        <f>HYPERLINK("https://www.philgeps.gov.ph/GEPSNONPILOT/Tender/SplashBidNoticeAbstractUI.aspx?menuIndex=3&amp;refID=7156308&amp;Result=3","7156308")</f>
        <v>0</v>
      </c>
      <c r="B6723" t="s">
        <v>60</v>
      </c>
      <c r="C6723" t="s">
        <v>10221</v>
      </c>
      <c r="D6723" t="s">
        <v>19042</v>
      </c>
      <c r="E6723" t="s">
        <v>24963</v>
      </c>
      <c r="F6723" t="s">
        <v>32831</v>
      </c>
      <c r="G6723" t="s">
        <v>32839</v>
      </c>
      <c r="H6723" t="s">
        <v>32848</v>
      </c>
      <c r="I6723" t="s">
        <v>4487</v>
      </c>
      <c r="J6723" t="s">
        <v>37218</v>
      </c>
      <c r="K6723" t="s">
        <v>42726</v>
      </c>
      <c r="M6723" t="s">
        <v>43057</v>
      </c>
      <c r="N6723" t="s">
        <v>47424</v>
      </c>
      <c r="O6723" t="s">
        <v>47425</v>
      </c>
      <c r="P6723">
        <v>0</v>
      </c>
      <c r="Q6723">
        <v>6</v>
      </c>
      <c r="R6723" t="s">
        <v>47431</v>
      </c>
      <c r="S6723" t="s">
        <v>47565</v>
      </c>
      <c r="T6723" t="s">
        <v>49461</v>
      </c>
      <c r="U6723" t="s">
        <v>55332</v>
      </c>
      <c r="W6723" t="s">
        <v>43057</v>
      </c>
      <c r="X6723" t="s">
        <v>47432</v>
      </c>
    </row>
    <row r="6724" spans="1:24">
      <c r="A6724">
        <f>HYPERLINK("https://www.philgeps.gov.ph/GEPSNONPILOT/Tender/SplashBidNoticeAbstractUI.aspx?menuIndex=3&amp;refID=7156320&amp;Result=3","7156320")</f>
        <v>0</v>
      </c>
      <c r="B6724" t="s">
        <v>2261</v>
      </c>
      <c r="C6724" t="s">
        <v>10222</v>
      </c>
      <c r="D6724" t="s">
        <v>19038</v>
      </c>
      <c r="E6724" t="s">
        <v>24136</v>
      </c>
      <c r="F6724" t="s">
        <v>32831</v>
      </c>
      <c r="G6724" t="s">
        <v>32839</v>
      </c>
      <c r="H6724" t="s">
        <v>32848</v>
      </c>
      <c r="I6724" t="s">
        <v>7416</v>
      </c>
      <c r="J6724" t="s">
        <v>37219</v>
      </c>
      <c r="K6724" t="s">
        <v>42731</v>
      </c>
      <c r="L6724" t="s">
        <v>2261</v>
      </c>
      <c r="M6724" t="s">
        <v>45445</v>
      </c>
      <c r="N6724" t="s">
        <v>47424</v>
      </c>
      <c r="O6724" t="s">
        <v>47425</v>
      </c>
      <c r="P6724">
        <v>0</v>
      </c>
      <c r="Q6724">
        <v>0</v>
      </c>
      <c r="R6724" t="s">
        <v>47431</v>
      </c>
      <c r="S6724" t="s">
        <v>47565</v>
      </c>
      <c r="T6724" t="s">
        <v>49073</v>
      </c>
      <c r="U6724" t="s">
        <v>54974</v>
      </c>
      <c r="W6724" t="s">
        <v>45445</v>
      </c>
      <c r="X6724" t="s">
        <v>47432</v>
      </c>
    </row>
    <row r="6725" spans="1:24">
      <c r="A6725">
        <f>HYPERLINK("https://www.philgeps.gov.ph/GEPSNONPILOT/Tender/SplashBidNoticeAbstractUI.aspx?menuIndex=3&amp;refID=7156305&amp;Result=3","7156305")</f>
        <v>0</v>
      </c>
      <c r="B6725" t="s">
        <v>1829</v>
      </c>
      <c r="C6725" t="s">
        <v>10223</v>
      </c>
      <c r="D6725" t="s">
        <v>19057</v>
      </c>
      <c r="E6725" t="s">
        <v>24964</v>
      </c>
      <c r="F6725" t="s">
        <v>32831</v>
      </c>
      <c r="G6725" t="s">
        <v>32839</v>
      </c>
      <c r="H6725" t="s">
        <v>32849</v>
      </c>
      <c r="I6725" t="s">
        <v>4177</v>
      </c>
      <c r="J6725" t="s">
        <v>37220</v>
      </c>
      <c r="K6725" t="s">
        <v>42763</v>
      </c>
      <c r="M6725" t="s">
        <v>44962</v>
      </c>
      <c r="N6725" t="s">
        <v>47424</v>
      </c>
      <c r="O6725" t="s">
        <v>47425</v>
      </c>
      <c r="P6725">
        <v>0</v>
      </c>
      <c r="Q6725">
        <v>0</v>
      </c>
      <c r="R6725" t="s">
        <v>47431</v>
      </c>
      <c r="S6725" t="s">
        <v>47565</v>
      </c>
      <c r="T6725" t="s">
        <v>49129</v>
      </c>
      <c r="U6725" t="s">
        <v>55333</v>
      </c>
      <c r="W6725" t="s">
        <v>44962</v>
      </c>
      <c r="X6725" t="s">
        <v>47432</v>
      </c>
    </row>
    <row r="6726" spans="1:24">
      <c r="A6726">
        <f>HYPERLINK("https://www.philgeps.gov.ph/GEPSNONPILOT/Tender/SplashBidNoticeAbstractUI.aspx?menuIndex=3&amp;refID=7156303&amp;Result=3","7156303")</f>
        <v>0</v>
      </c>
      <c r="B6726" t="s">
        <v>950</v>
      </c>
      <c r="C6726" t="s">
        <v>10224</v>
      </c>
      <c r="D6726" t="s">
        <v>19100</v>
      </c>
      <c r="E6726" t="s">
        <v>24965</v>
      </c>
      <c r="F6726" t="s">
        <v>32831</v>
      </c>
      <c r="G6726" t="s">
        <v>32839</v>
      </c>
      <c r="H6726" t="s">
        <v>32848</v>
      </c>
      <c r="I6726" t="s">
        <v>5379</v>
      </c>
      <c r="J6726" t="s">
        <v>33692</v>
      </c>
      <c r="K6726" t="s">
        <v>42748</v>
      </c>
      <c r="M6726" t="s">
        <v>44404</v>
      </c>
      <c r="N6726" t="s">
        <v>47424</v>
      </c>
      <c r="O6726" t="s">
        <v>47425</v>
      </c>
      <c r="P6726">
        <v>0</v>
      </c>
      <c r="Q6726">
        <v>1</v>
      </c>
      <c r="R6726" t="s">
        <v>47431</v>
      </c>
      <c r="S6726" t="s">
        <v>47565</v>
      </c>
      <c r="T6726" t="s">
        <v>49127</v>
      </c>
      <c r="U6726" t="s">
        <v>55334</v>
      </c>
      <c r="W6726" t="s">
        <v>44404</v>
      </c>
      <c r="X6726" t="s">
        <v>47432</v>
      </c>
    </row>
    <row r="6727" spans="1:24">
      <c r="A6727">
        <f>HYPERLINK("https://www.philgeps.gov.ph/GEPSNONPILOT/Tender/SplashBidNoticeAbstractUI.aspx?menuIndex=3&amp;refID=7156299&amp;Result=3","7156299")</f>
        <v>0</v>
      </c>
      <c r="B6727" t="s">
        <v>1629</v>
      </c>
      <c r="C6727" t="s">
        <v>10225</v>
      </c>
      <c r="D6727" t="s">
        <v>19021</v>
      </c>
      <c r="E6727" t="s">
        <v>24966</v>
      </c>
      <c r="F6727" t="s">
        <v>32831</v>
      </c>
      <c r="G6727" t="s">
        <v>32840</v>
      </c>
      <c r="H6727" t="s">
        <v>32848</v>
      </c>
      <c r="I6727" t="s">
        <v>32861</v>
      </c>
      <c r="J6727" t="s">
        <v>33490</v>
      </c>
      <c r="K6727" t="s">
        <v>42732</v>
      </c>
      <c r="M6727" t="s">
        <v>44745</v>
      </c>
      <c r="N6727" t="s">
        <v>47424</v>
      </c>
      <c r="O6727" t="s">
        <v>47425</v>
      </c>
      <c r="P6727">
        <v>0</v>
      </c>
      <c r="Q6727">
        <v>8</v>
      </c>
      <c r="R6727" t="s">
        <v>47431</v>
      </c>
      <c r="S6727" t="s">
        <v>47565</v>
      </c>
      <c r="T6727" t="s">
        <v>49163</v>
      </c>
      <c r="U6727" t="s">
        <v>53949</v>
      </c>
      <c r="V6727" t="s">
        <v>63368</v>
      </c>
      <c r="W6727" t="s">
        <v>44745</v>
      </c>
      <c r="X6727" t="s">
        <v>47432</v>
      </c>
    </row>
    <row r="6728" spans="1:24">
      <c r="A6728">
        <f>HYPERLINK("https://www.philgeps.gov.ph/GEPSNONPILOT/Tender/SplashBidNoticeAbstractUI.aspx?menuIndex=3&amp;refID=7156296&amp;Result=3","7156296")</f>
        <v>0</v>
      </c>
      <c r="B6728" t="s">
        <v>2392</v>
      </c>
      <c r="C6728" t="s">
        <v>10226</v>
      </c>
      <c r="D6728" t="s">
        <v>19026</v>
      </c>
      <c r="E6728" t="s">
        <v>24906</v>
      </c>
      <c r="F6728" t="s">
        <v>32831</v>
      </c>
      <c r="G6728" t="s">
        <v>32839</v>
      </c>
      <c r="H6728" t="s">
        <v>32848</v>
      </c>
      <c r="I6728" t="s">
        <v>7416</v>
      </c>
      <c r="J6728" t="s">
        <v>37221</v>
      </c>
      <c r="K6728" t="s">
        <v>42731</v>
      </c>
      <c r="L6728" t="s">
        <v>2392</v>
      </c>
      <c r="M6728" t="s">
        <v>45583</v>
      </c>
      <c r="N6728" t="s">
        <v>47424</v>
      </c>
      <c r="O6728" t="s">
        <v>47425</v>
      </c>
      <c r="P6728">
        <v>0</v>
      </c>
      <c r="Q6728">
        <v>5</v>
      </c>
      <c r="R6728" t="s">
        <v>47431</v>
      </c>
      <c r="S6728" t="s">
        <v>47565</v>
      </c>
      <c r="T6728" t="s">
        <v>49123</v>
      </c>
      <c r="U6728" t="s">
        <v>55335</v>
      </c>
      <c r="W6728" t="s">
        <v>45583</v>
      </c>
      <c r="X6728" t="s">
        <v>47432</v>
      </c>
    </row>
    <row r="6729" spans="1:24">
      <c r="A6729">
        <f>HYPERLINK("https://www.philgeps.gov.ph/GEPSNONPILOT/Tender/SplashBidNoticeAbstractUI.aspx?menuIndex=3&amp;refID=7156294&amp;Result=3","7156294")</f>
        <v>0</v>
      </c>
      <c r="B6729" t="s">
        <v>1383</v>
      </c>
      <c r="C6729" t="s">
        <v>10227</v>
      </c>
      <c r="D6729" t="s">
        <v>19054</v>
      </c>
      <c r="E6729" t="s">
        <v>24967</v>
      </c>
      <c r="F6729" t="s">
        <v>32831</v>
      </c>
      <c r="G6729" t="s">
        <v>32838</v>
      </c>
      <c r="H6729" t="s">
        <v>32848</v>
      </c>
      <c r="I6729" t="s">
        <v>4776</v>
      </c>
      <c r="J6729" t="s">
        <v>33812</v>
      </c>
      <c r="K6729" t="s">
        <v>42730</v>
      </c>
      <c r="L6729" t="s">
        <v>1383</v>
      </c>
      <c r="M6729" t="s">
        <v>44468</v>
      </c>
      <c r="N6729" t="s">
        <v>47424</v>
      </c>
      <c r="O6729" t="s">
        <v>47425</v>
      </c>
      <c r="P6729">
        <v>0</v>
      </c>
      <c r="Q6729">
        <v>1</v>
      </c>
      <c r="R6729" t="s">
        <v>47431</v>
      </c>
      <c r="S6729" t="s">
        <v>47565</v>
      </c>
      <c r="T6729" t="s">
        <v>49255</v>
      </c>
      <c r="U6729" t="s">
        <v>55336</v>
      </c>
      <c r="V6729" t="s">
        <v>62981</v>
      </c>
      <c r="W6729" t="s">
        <v>44468</v>
      </c>
      <c r="X6729" t="s">
        <v>47432</v>
      </c>
    </row>
    <row r="6730" spans="1:24">
      <c r="A6730">
        <f>HYPERLINK("https://www.philgeps.gov.ph/GEPSNONPILOT/Tender/SplashBidNoticeAbstractUI.aspx?menuIndex=3&amp;refID=7156293&amp;Result=3","7156293")</f>
        <v>0</v>
      </c>
      <c r="B6730" t="s">
        <v>663</v>
      </c>
      <c r="C6730" t="s">
        <v>10228</v>
      </c>
      <c r="D6730" t="s">
        <v>19026</v>
      </c>
      <c r="E6730" t="s">
        <v>24968</v>
      </c>
      <c r="F6730" t="s">
        <v>32831</v>
      </c>
      <c r="G6730" t="s">
        <v>32840</v>
      </c>
      <c r="H6730" t="s">
        <v>32848</v>
      </c>
      <c r="I6730" t="s">
        <v>32860</v>
      </c>
      <c r="J6730" t="s">
        <v>37222</v>
      </c>
      <c r="K6730" t="s">
        <v>42732</v>
      </c>
      <c r="M6730" t="s">
        <v>43681</v>
      </c>
      <c r="N6730" t="s">
        <v>47424</v>
      </c>
      <c r="O6730" t="s">
        <v>47425</v>
      </c>
      <c r="P6730">
        <v>0</v>
      </c>
      <c r="Q6730">
        <v>6</v>
      </c>
      <c r="R6730" t="s">
        <v>47431</v>
      </c>
      <c r="S6730" t="s">
        <v>47565</v>
      </c>
      <c r="T6730" t="s">
        <v>49235</v>
      </c>
      <c r="U6730" t="s">
        <v>49728</v>
      </c>
      <c r="W6730" t="s">
        <v>43681</v>
      </c>
      <c r="X6730" t="s">
        <v>47432</v>
      </c>
    </row>
    <row r="6731" spans="1:24">
      <c r="A6731">
        <f>HYPERLINK("https://www.philgeps.gov.ph/GEPSNONPILOT/Tender/SplashBidNoticeAbstractUI.aspx?menuIndex=3&amp;refID=7156292&amp;Result=3","7156292")</f>
        <v>0</v>
      </c>
      <c r="B6731" t="s">
        <v>634</v>
      </c>
      <c r="C6731" t="s">
        <v>10229</v>
      </c>
      <c r="D6731" t="s">
        <v>19044</v>
      </c>
      <c r="E6731" t="s">
        <v>24969</v>
      </c>
      <c r="F6731" t="s">
        <v>32831</v>
      </c>
      <c r="G6731" t="s">
        <v>32839</v>
      </c>
      <c r="H6731" t="s">
        <v>32848</v>
      </c>
      <c r="I6731" t="s">
        <v>32856</v>
      </c>
      <c r="J6731" t="s">
        <v>37223</v>
      </c>
      <c r="K6731" t="s">
        <v>42730</v>
      </c>
      <c r="M6731" t="s">
        <v>45584</v>
      </c>
      <c r="N6731" t="s">
        <v>47424</v>
      </c>
      <c r="O6731" t="s">
        <v>47425</v>
      </c>
      <c r="P6731">
        <v>0</v>
      </c>
      <c r="Q6731">
        <v>1</v>
      </c>
      <c r="R6731" t="s">
        <v>47431</v>
      </c>
      <c r="S6731" t="s">
        <v>47565</v>
      </c>
      <c r="T6731" t="s">
        <v>49206</v>
      </c>
      <c r="U6731" t="s">
        <v>55337</v>
      </c>
      <c r="V6731" t="s">
        <v>62770</v>
      </c>
      <c r="W6731" t="s">
        <v>64508</v>
      </c>
      <c r="X6731" t="s">
        <v>47432</v>
      </c>
    </row>
    <row r="6732" spans="1:24">
      <c r="A6732">
        <f>HYPERLINK("https://www.philgeps.gov.ph/GEPSNONPILOT/Tender/SplashBidNoticeAbstractUI.aspx?menuIndex=3&amp;refID=7156259&amp;Result=3","7156259")</f>
        <v>0</v>
      </c>
      <c r="B6732" t="s">
        <v>2310</v>
      </c>
      <c r="C6732" t="s">
        <v>10230</v>
      </c>
      <c r="D6732" t="s">
        <v>19028</v>
      </c>
      <c r="E6732" t="s">
        <v>24970</v>
      </c>
      <c r="F6732" t="s">
        <v>32831</v>
      </c>
      <c r="G6732" t="s">
        <v>32841</v>
      </c>
      <c r="H6732" t="s">
        <v>32848</v>
      </c>
      <c r="I6732" t="s">
        <v>4776</v>
      </c>
      <c r="J6732" t="s">
        <v>33430</v>
      </c>
      <c r="K6732" t="s">
        <v>42731</v>
      </c>
      <c r="M6732" t="s">
        <v>45495</v>
      </c>
      <c r="N6732" t="s">
        <v>47424</v>
      </c>
      <c r="O6732" t="s">
        <v>47425</v>
      </c>
      <c r="P6732">
        <v>0</v>
      </c>
      <c r="Q6732">
        <v>2</v>
      </c>
      <c r="R6732" t="s">
        <v>47431</v>
      </c>
      <c r="S6732" t="s">
        <v>47565</v>
      </c>
      <c r="T6732" t="s">
        <v>49166</v>
      </c>
      <c r="U6732" t="s">
        <v>55283</v>
      </c>
      <c r="W6732" t="s">
        <v>45495</v>
      </c>
      <c r="X6732" t="s">
        <v>47432</v>
      </c>
    </row>
    <row r="6733" spans="1:24">
      <c r="A6733">
        <f>HYPERLINK("https://www.philgeps.gov.ph/GEPSNONPILOT/Tender/SplashBidNoticeAbstractUI.aspx?menuIndex=3&amp;refID=7156326&amp;Result=3","7156326")</f>
        <v>0</v>
      </c>
      <c r="B6733" t="s">
        <v>2393</v>
      </c>
      <c r="C6733" t="s">
        <v>10231</v>
      </c>
      <c r="D6733" t="s">
        <v>19067</v>
      </c>
      <c r="E6733" t="s">
        <v>19838</v>
      </c>
      <c r="F6733" t="s">
        <v>32831</v>
      </c>
      <c r="G6733" t="s">
        <v>32839</v>
      </c>
      <c r="H6733" t="s">
        <v>32848</v>
      </c>
      <c r="I6733" t="s">
        <v>7416</v>
      </c>
      <c r="J6733" t="s">
        <v>33644</v>
      </c>
      <c r="K6733" t="s">
        <v>42730</v>
      </c>
      <c r="M6733" t="s">
        <v>45585</v>
      </c>
      <c r="N6733" t="s">
        <v>47424</v>
      </c>
      <c r="O6733" t="s">
        <v>47425</v>
      </c>
      <c r="P6733">
        <v>0</v>
      </c>
      <c r="Q6733">
        <v>0</v>
      </c>
      <c r="R6733" t="s">
        <v>47431</v>
      </c>
      <c r="S6733" t="s">
        <v>47565</v>
      </c>
      <c r="T6733" t="s">
        <v>49129</v>
      </c>
      <c r="U6733" t="s">
        <v>55338</v>
      </c>
      <c r="W6733" t="s">
        <v>45585</v>
      </c>
      <c r="X6733" t="s">
        <v>47432</v>
      </c>
    </row>
    <row r="6734" spans="1:24">
      <c r="A6734">
        <f>HYPERLINK("https://www.philgeps.gov.ph/GEPSNONPILOT/Tender/SplashBidNoticeAbstractUI.aspx?menuIndex=3&amp;refID=7156310&amp;Result=3","7156310")</f>
        <v>0</v>
      </c>
      <c r="B6734" t="s">
        <v>619</v>
      </c>
      <c r="C6734" t="s">
        <v>5191</v>
      </c>
      <c r="D6734" t="s">
        <v>19027</v>
      </c>
      <c r="E6734" t="s">
        <v>19845</v>
      </c>
      <c r="F6734" t="s">
        <v>32831</v>
      </c>
      <c r="G6734" t="s">
        <v>32838</v>
      </c>
      <c r="H6734" t="s">
        <v>32848</v>
      </c>
      <c r="I6734" t="s">
        <v>10643</v>
      </c>
      <c r="J6734" t="s">
        <v>33930</v>
      </c>
      <c r="K6734" t="s">
        <v>42748</v>
      </c>
      <c r="M6734" t="s">
        <v>43635</v>
      </c>
      <c r="N6734" t="s">
        <v>47424</v>
      </c>
      <c r="O6734" t="s">
        <v>47425</v>
      </c>
      <c r="P6734">
        <v>0</v>
      </c>
      <c r="Q6734">
        <v>4</v>
      </c>
      <c r="R6734" t="s">
        <v>47431</v>
      </c>
      <c r="S6734" t="s">
        <v>47565</v>
      </c>
      <c r="T6734" t="s">
        <v>49163</v>
      </c>
      <c r="U6734" t="s">
        <v>55339</v>
      </c>
      <c r="W6734" t="s">
        <v>43635</v>
      </c>
      <c r="X6734" t="s">
        <v>47432</v>
      </c>
    </row>
    <row r="6735" spans="1:24">
      <c r="A6735">
        <f>HYPERLINK("https://www.philgeps.gov.ph/GEPSNONPILOT/Tender/SplashBidNoticeAbstractUI.aspx?menuIndex=3&amp;refID=7156317&amp;Result=3","7156317")</f>
        <v>0</v>
      </c>
      <c r="B6735" t="s">
        <v>2394</v>
      </c>
      <c r="C6735" t="s">
        <v>10232</v>
      </c>
      <c r="D6735" t="s">
        <v>19077</v>
      </c>
      <c r="E6735" t="s">
        <v>19555</v>
      </c>
      <c r="F6735" t="s">
        <v>32833</v>
      </c>
      <c r="G6735" t="s">
        <v>32839</v>
      </c>
      <c r="H6735" t="s">
        <v>32849</v>
      </c>
      <c r="I6735" t="s">
        <v>7416</v>
      </c>
      <c r="J6735" t="s">
        <v>35520</v>
      </c>
      <c r="K6735" t="s">
        <v>42748</v>
      </c>
      <c r="M6735" t="s">
        <v>45586</v>
      </c>
      <c r="N6735" t="s">
        <v>47424</v>
      </c>
      <c r="O6735" t="s">
        <v>47425</v>
      </c>
      <c r="P6735">
        <v>0</v>
      </c>
      <c r="Q6735">
        <v>1</v>
      </c>
      <c r="R6735" t="s">
        <v>47431</v>
      </c>
      <c r="S6735" t="s">
        <v>47565</v>
      </c>
      <c r="T6735" t="s">
        <v>49462</v>
      </c>
      <c r="U6735" t="s">
        <v>55340</v>
      </c>
      <c r="W6735" t="s">
        <v>45586</v>
      </c>
      <c r="X6735" t="s">
        <v>47432</v>
      </c>
    </row>
    <row r="6736" spans="1:24">
      <c r="A6736">
        <f>HYPERLINK("https://www.philgeps.gov.ph/GEPSNONPILOT/Tender/SplashBidNoticeAbstractUI.aspx?menuIndex=3&amp;refID=7156369&amp;Result=3","7156369")</f>
        <v>0</v>
      </c>
      <c r="B6736" t="s">
        <v>1629</v>
      </c>
      <c r="C6736" t="s">
        <v>10233</v>
      </c>
      <c r="D6736" t="s">
        <v>19021</v>
      </c>
      <c r="E6736" t="s">
        <v>24971</v>
      </c>
      <c r="F6736" t="s">
        <v>32831</v>
      </c>
      <c r="G6736" t="s">
        <v>32839</v>
      </c>
      <c r="H6736" t="s">
        <v>32848</v>
      </c>
      <c r="I6736" t="s">
        <v>32871</v>
      </c>
      <c r="J6736" t="s">
        <v>37224</v>
      </c>
      <c r="K6736" t="s">
        <v>42732</v>
      </c>
      <c r="M6736" t="s">
        <v>44745</v>
      </c>
      <c r="N6736" t="s">
        <v>47424</v>
      </c>
      <c r="O6736" t="s">
        <v>47425</v>
      </c>
      <c r="P6736">
        <v>0</v>
      </c>
      <c r="Q6736">
        <v>21</v>
      </c>
      <c r="R6736" t="s">
        <v>47431</v>
      </c>
      <c r="S6736" t="s">
        <v>47565</v>
      </c>
      <c r="T6736" t="s">
        <v>49077</v>
      </c>
      <c r="U6736" t="s">
        <v>55341</v>
      </c>
      <c r="V6736" t="s">
        <v>63369</v>
      </c>
      <c r="W6736" t="s">
        <v>44745</v>
      </c>
      <c r="X6736" t="s">
        <v>47432</v>
      </c>
    </row>
    <row r="6737" spans="1:24">
      <c r="A6737">
        <f>HYPERLINK("https://www.philgeps.gov.ph/GEPSNONPILOT/Tender/SplashBidNoticeAbstractUI.aspx?menuIndex=3&amp;refID=7156295&amp;Result=3","7156295")</f>
        <v>0</v>
      </c>
      <c r="B6737" t="s">
        <v>1741</v>
      </c>
      <c r="C6737" t="s">
        <v>10234</v>
      </c>
      <c r="D6737" t="s">
        <v>19023</v>
      </c>
      <c r="E6737" t="s">
        <v>19215</v>
      </c>
      <c r="F6737" t="s">
        <v>32831</v>
      </c>
      <c r="G6737" t="s">
        <v>32840</v>
      </c>
      <c r="H6737" t="s">
        <v>32848</v>
      </c>
      <c r="I6737" t="s">
        <v>4222</v>
      </c>
      <c r="J6737" t="s">
        <v>37225</v>
      </c>
      <c r="K6737" t="s">
        <v>42732</v>
      </c>
      <c r="M6737" t="s">
        <v>44864</v>
      </c>
      <c r="N6737" t="s">
        <v>47424</v>
      </c>
      <c r="O6737" t="s">
        <v>47425</v>
      </c>
      <c r="P6737">
        <v>0</v>
      </c>
      <c r="Q6737">
        <v>0</v>
      </c>
      <c r="R6737" t="s">
        <v>47431</v>
      </c>
      <c r="S6737" t="s">
        <v>47565</v>
      </c>
      <c r="T6737" t="s">
        <v>49237</v>
      </c>
      <c r="U6737" t="s">
        <v>55342</v>
      </c>
      <c r="W6737" t="s">
        <v>44864</v>
      </c>
      <c r="X6737" t="s">
        <v>47432</v>
      </c>
    </row>
    <row r="6738" spans="1:24">
      <c r="A6738">
        <f>HYPERLINK("https://www.philgeps.gov.ph/GEPSNONPILOT/Tender/SplashBidNoticeAbstractUI.aspx?menuIndex=3&amp;refID=7156365&amp;Result=3","7156365")</f>
        <v>0</v>
      </c>
      <c r="B6738" t="s">
        <v>1602</v>
      </c>
      <c r="C6738" t="s">
        <v>10235</v>
      </c>
      <c r="D6738" t="s">
        <v>19023</v>
      </c>
      <c r="E6738" t="s">
        <v>24972</v>
      </c>
      <c r="F6738" t="s">
        <v>32831</v>
      </c>
      <c r="G6738" t="s">
        <v>32838</v>
      </c>
      <c r="H6738" t="s">
        <v>32848</v>
      </c>
      <c r="I6738" t="s">
        <v>32857</v>
      </c>
      <c r="J6738" t="s">
        <v>37226</v>
      </c>
      <c r="K6738" t="s">
        <v>42758</v>
      </c>
      <c r="M6738" t="s">
        <v>44717</v>
      </c>
      <c r="N6738" t="s">
        <v>47424</v>
      </c>
      <c r="O6738" t="s">
        <v>47425</v>
      </c>
      <c r="P6738">
        <v>0</v>
      </c>
      <c r="Q6738">
        <v>7</v>
      </c>
      <c r="R6738" t="s">
        <v>47431</v>
      </c>
      <c r="S6738" t="s">
        <v>47565</v>
      </c>
      <c r="T6738" t="s">
        <v>49235</v>
      </c>
      <c r="U6738" t="s">
        <v>55343</v>
      </c>
      <c r="W6738" t="s">
        <v>44717</v>
      </c>
      <c r="X6738" t="s">
        <v>47432</v>
      </c>
    </row>
    <row r="6739" spans="1:24">
      <c r="A6739">
        <f>HYPERLINK("https://www.philgeps.gov.ph/GEPSNONPILOT/Tender/SplashBidNoticeAbstractUI.aspx?menuIndex=3&amp;refID=7156364&amp;Result=3","7156364")</f>
        <v>0</v>
      </c>
      <c r="B6739" t="s">
        <v>1829</v>
      </c>
      <c r="C6739" t="s">
        <v>4255</v>
      </c>
      <c r="D6739" t="s">
        <v>19057</v>
      </c>
      <c r="E6739" t="s">
        <v>24973</v>
      </c>
      <c r="F6739" t="s">
        <v>32831</v>
      </c>
      <c r="G6739" t="s">
        <v>32839</v>
      </c>
      <c r="H6739" t="s">
        <v>32849</v>
      </c>
      <c r="I6739" t="s">
        <v>4177</v>
      </c>
      <c r="J6739" t="s">
        <v>37227</v>
      </c>
      <c r="K6739" t="s">
        <v>42730</v>
      </c>
      <c r="M6739" t="s">
        <v>44962</v>
      </c>
      <c r="N6739" t="s">
        <v>47424</v>
      </c>
      <c r="O6739" t="s">
        <v>47425</v>
      </c>
      <c r="P6739">
        <v>0</v>
      </c>
      <c r="Q6739">
        <v>0</v>
      </c>
      <c r="R6739" t="s">
        <v>47431</v>
      </c>
      <c r="S6739" t="s">
        <v>47565</v>
      </c>
      <c r="T6739" t="s">
        <v>49129</v>
      </c>
      <c r="U6739" t="s">
        <v>55333</v>
      </c>
      <c r="W6739" t="s">
        <v>44962</v>
      </c>
      <c r="X6739" t="s">
        <v>47432</v>
      </c>
    </row>
    <row r="6740" spans="1:24">
      <c r="A6740">
        <f>HYPERLINK("https://www.philgeps.gov.ph/GEPSNONPILOT/Tender/SplashBidNoticeAbstractUI.aspx?menuIndex=3&amp;refID=7156362&amp;Result=3","7156362")</f>
        <v>0</v>
      </c>
      <c r="B6740" t="s">
        <v>199</v>
      </c>
      <c r="C6740" t="s">
        <v>10236</v>
      </c>
      <c r="D6740" t="s">
        <v>19017</v>
      </c>
      <c r="E6740" t="s">
        <v>24974</v>
      </c>
      <c r="F6740" t="s">
        <v>32831</v>
      </c>
      <c r="G6740" t="s">
        <v>32840</v>
      </c>
      <c r="H6740" t="s">
        <v>32848</v>
      </c>
      <c r="I6740" t="s">
        <v>10805</v>
      </c>
      <c r="J6740" t="s">
        <v>37228</v>
      </c>
      <c r="K6740" t="s">
        <v>42745</v>
      </c>
      <c r="M6740" t="s">
        <v>43197</v>
      </c>
      <c r="N6740" t="s">
        <v>47424</v>
      </c>
      <c r="O6740" t="s">
        <v>47425</v>
      </c>
      <c r="P6740">
        <v>0</v>
      </c>
      <c r="Q6740">
        <v>6</v>
      </c>
      <c r="R6740" t="s">
        <v>47431</v>
      </c>
      <c r="S6740" t="s">
        <v>47565</v>
      </c>
      <c r="T6740" t="s">
        <v>49162</v>
      </c>
      <c r="U6740" t="s">
        <v>55344</v>
      </c>
      <c r="W6740" t="s">
        <v>43197</v>
      </c>
      <c r="X6740" t="s">
        <v>47432</v>
      </c>
    </row>
    <row r="6741" spans="1:24">
      <c r="A6741">
        <f>HYPERLINK("https://www.philgeps.gov.ph/GEPSNONPILOT/Tender/SplashBidNoticeAbstractUI.aspx?menuIndex=3&amp;refID=7156217&amp;Result=3","7156217")</f>
        <v>0</v>
      </c>
      <c r="B6741" t="s">
        <v>2136</v>
      </c>
      <c r="C6741" t="s">
        <v>5912</v>
      </c>
      <c r="D6741" t="s">
        <v>19085</v>
      </c>
      <c r="E6741" t="s">
        <v>24975</v>
      </c>
      <c r="F6741" t="s">
        <v>32831</v>
      </c>
      <c r="G6741" t="s">
        <v>32838</v>
      </c>
      <c r="H6741" t="s">
        <v>32848</v>
      </c>
      <c r="I6741" t="s">
        <v>9577</v>
      </c>
      <c r="J6741" t="s">
        <v>37229</v>
      </c>
      <c r="K6741" t="s">
        <v>42726</v>
      </c>
      <c r="M6741" t="s">
        <v>45314</v>
      </c>
      <c r="N6741" t="s">
        <v>47424</v>
      </c>
      <c r="O6741" t="s">
        <v>47425</v>
      </c>
      <c r="P6741">
        <v>0</v>
      </c>
      <c r="Q6741">
        <v>0</v>
      </c>
      <c r="R6741" t="s">
        <v>47431</v>
      </c>
      <c r="S6741" t="s">
        <v>47565</v>
      </c>
      <c r="T6741" t="s">
        <v>49177</v>
      </c>
      <c r="U6741" t="s">
        <v>55345</v>
      </c>
      <c r="W6741" t="s">
        <v>45314</v>
      </c>
      <c r="X6741" t="s">
        <v>47432</v>
      </c>
    </row>
    <row r="6742" spans="1:24">
      <c r="A6742">
        <f>HYPERLINK("https://www.philgeps.gov.ph/GEPSNONPILOT/Tender/SplashBidNoticeAbstractUI.aspx?menuIndex=3&amp;refID=7156358&amp;Result=3","7156358")</f>
        <v>0</v>
      </c>
      <c r="B6742" t="s">
        <v>2395</v>
      </c>
      <c r="C6742" t="s">
        <v>10237</v>
      </c>
      <c r="D6742" t="s">
        <v>19026</v>
      </c>
      <c r="E6742" t="s">
        <v>24976</v>
      </c>
      <c r="F6742" t="s">
        <v>32831</v>
      </c>
      <c r="G6742" t="s">
        <v>32839</v>
      </c>
      <c r="H6742" t="s">
        <v>32848</v>
      </c>
      <c r="I6742" t="s">
        <v>7416</v>
      </c>
      <c r="J6742" t="s">
        <v>37230</v>
      </c>
      <c r="K6742" t="s">
        <v>42731</v>
      </c>
      <c r="M6742" t="s">
        <v>45587</v>
      </c>
      <c r="N6742" t="s">
        <v>47424</v>
      </c>
      <c r="O6742" t="s">
        <v>47425</v>
      </c>
      <c r="P6742">
        <v>0</v>
      </c>
      <c r="Q6742">
        <v>4</v>
      </c>
      <c r="R6742" t="s">
        <v>47431</v>
      </c>
      <c r="S6742" t="s">
        <v>47565</v>
      </c>
      <c r="T6742" t="s">
        <v>49079</v>
      </c>
      <c r="U6742" t="s">
        <v>49926</v>
      </c>
      <c r="W6742" t="s">
        <v>45587</v>
      </c>
      <c r="X6742" t="s">
        <v>47432</v>
      </c>
    </row>
    <row r="6743" spans="1:24">
      <c r="A6743">
        <f>HYPERLINK("https://www.philgeps.gov.ph/GEPSNONPILOT/Tender/SplashBidNoticeAbstractUI.aspx?menuIndex=3&amp;refID=7156356&amp;Result=3","7156356")</f>
        <v>0</v>
      </c>
      <c r="B6743" t="s">
        <v>1100</v>
      </c>
      <c r="C6743" t="s">
        <v>10238</v>
      </c>
      <c r="D6743" t="s">
        <v>19062</v>
      </c>
      <c r="E6743" t="s">
        <v>24977</v>
      </c>
      <c r="F6743" t="s">
        <v>32831</v>
      </c>
      <c r="G6743" t="s">
        <v>32839</v>
      </c>
      <c r="H6743" t="s">
        <v>32848</v>
      </c>
      <c r="I6743" t="s">
        <v>7751</v>
      </c>
      <c r="J6743" t="s">
        <v>37231</v>
      </c>
      <c r="K6743" t="s">
        <v>42730</v>
      </c>
      <c r="M6743" t="s">
        <v>44160</v>
      </c>
      <c r="N6743" t="s">
        <v>47424</v>
      </c>
      <c r="O6743" t="s">
        <v>47425</v>
      </c>
      <c r="P6743">
        <v>0</v>
      </c>
      <c r="Q6743">
        <v>0</v>
      </c>
      <c r="R6743" t="s">
        <v>47431</v>
      </c>
      <c r="S6743" t="s">
        <v>47565</v>
      </c>
      <c r="T6743" t="s">
        <v>49452</v>
      </c>
      <c r="U6743" t="s">
        <v>55346</v>
      </c>
      <c r="V6743" t="s">
        <v>63219</v>
      </c>
      <c r="W6743" t="s">
        <v>44160</v>
      </c>
      <c r="X6743" t="s">
        <v>47432</v>
      </c>
    </row>
    <row r="6744" spans="1:24">
      <c r="A6744">
        <f>HYPERLINK("https://www.philgeps.gov.ph/GEPSNONPILOT/Tender/SplashBidNoticeAbstractUI.aspx?menuIndex=3&amp;refID=7156355&amp;Result=3","7156355")</f>
        <v>0</v>
      </c>
      <c r="B6744" t="s">
        <v>2151</v>
      </c>
      <c r="C6744" t="s">
        <v>10239</v>
      </c>
      <c r="D6744" t="s">
        <v>19054</v>
      </c>
      <c r="E6744" t="s">
        <v>24978</v>
      </c>
      <c r="F6744" t="s">
        <v>32831</v>
      </c>
      <c r="G6744" t="s">
        <v>32839</v>
      </c>
      <c r="H6744" t="s">
        <v>32848</v>
      </c>
      <c r="I6744" t="s">
        <v>32862</v>
      </c>
      <c r="J6744" t="s">
        <v>37232</v>
      </c>
      <c r="K6744" t="s">
        <v>42730</v>
      </c>
      <c r="M6744" t="s">
        <v>45332</v>
      </c>
      <c r="N6744" t="s">
        <v>47424</v>
      </c>
      <c r="O6744" t="s">
        <v>47425</v>
      </c>
      <c r="P6744">
        <v>0</v>
      </c>
      <c r="Q6744">
        <v>0</v>
      </c>
      <c r="R6744" t="s">
        <v>47431</v>
      </c>
      <c r="S6744" t="s">
        <v>47565</v>
      </c>
      <c r="T6744" t="s">
        <v>49127</v>
      </c>
      <c r="U6744" t="s">
        <v>55347</v>
      </c>
      <c r="W6744" t="s">
        <v>45332</v>
      </c>
      <c r="X6744" t="s">
        <v>47432</v>
      </c>
    </row>
    <row r="6745" spans="1:24">
      <c r="A6745">
        <f>HYPERLINK("https://www.philgeps.gov.ph/GEPSNONPILOT/Tender/SplashBidNoticeAbstractUI.aspx?menuIndex=3&amp;refID=7156348&amp;Result=3","7156348")</f>
        <v>0</v>
      </c>
      <c r="B6745" t="s">
        <v>2396</v>
      </c>
      <c r="C6745" t="s">
        <v>10240</v>
      </c>
      <c r="D6745" t="s">
        <v>19017</v>
      </c>
      <c r="E6745" t="s">
        <v>24979</v>
      </c>
      <c r="F6745" t="s">
        <v>32831</v>
      </c>
      <c r="G6745" t="s">
        <v>32839</v>
      </c>
      <c r="H6745" t="s">
        <v>32848</v>
      </c>
      <c r="I6745" t="s">
        <v>32858</v>
      </c>
      <c r="J6745" t="s">
        <v>37233</v>
      </c>
      <c r="K6745" t="s">
        <v>42729</v>
      </c>
      <c r="M6745" t="s">
        <v>45588</v>
      </c>
      <c r="N6745" t="s">
        <v>47424</v>
      </c>
      <c r="O6745" t="s">
        <v>47425</v>
      </c>
      <c r="P6745">
        <v>0</v>
      </c>
      <c r="Q6745">
        <v>4</v>
      </c>
      <c r="R6745" t="s">
        <v>47431</v>
      </c>
      <c r="S6745" t="s">
        <v>47565</v>
      </c>
      <c r="T6745" t="s">
        <v>49461</v>
      </c>
      <c r="U6745" t="s">
        <v>55348</v>
      </c>
      <c r="W6745" t="s">
        <v>45588</v>
      </c>
      <c r="X6745" t="s">
        <v>47432</v>
      </c>
    </row>
    <row r="6746" spans="1:24">
      <c r="A6746">
        <f>HYPERLINK("https://www.philgeps.gov.ph/GEPSNONPILOT/Tender/SplashBidNoticeAbstractUI.aspx?menuIndex=3&amp;refID=7156347&amp;Result=3","7156347")</f>
        <v>0</v>
      </c>
      <c r="B6746" t="s">
        <v>827</v>
      </c>
      <c r="C6746" t="s">
        <v>10241</v>
      </c>
      <c r="D6746" t="s">
        <v>19026</v>
      </c>
      <c r="E6746" t="s">
        <v>24980</v>
      </c>
      <c r="F6746" t="s">
        <v>32831</v>
      </c>
      <c r="G6746" t="s">
        <v>32838</v>
      </c>
      <c r="H6746" t="s">
        <v>32850</v>
      </c>
      <c r="I6746" t="s">
        <v>4776</v>
      </c>
      <c r="J6746" t="s">
        <v>33311</v>
      </c>
      <c r="K6746" t="s">
        <v>42726</v>
      </c>
      <c r="M6746" t="s">
        <v>44930</v>
      </c>
      <c r="N6746" t="s">
        <v>47424</v>
      </c>
      <c r="O6746" t="s">
        <v>47425</v>
      </c>
      <c r="P6746">
        <v>0</v>
      </c>
      <c r="Q6746">
        <v>2</v>
      </c>
      <c r="R6746" t="s">
        <v>47431</v>
      </c>
      <c r="S6746" t="s">
        <v>47565</v>
      </c>
      <c r="T6746" t="s">
        <v>49114</v>
      </c>
      <c r="U6746" t="s">
        <v>55349</v>
      </c>
      <c r="W6746" t="s">
        <v>44930</v>
      </c>
      <c r="X6746" t="s">
        <v>47432</v>
      </c>
    </row>
    <row r="6747" spans="1:24">
      <c r="A6747">
        <f>HYPERLINK("https://www.philgeps.gov.ph/GEPSNONPILOT/Tender/SplashBidNoticeAbstractUI.aspx?menuIndex=3&amp;refID=7156346&amp;Result=3","7156346")</f>
        <v>0</v>
      </c>
      <c r="B6747" t="s">
        <v>2397</v>
      </c>
      <c r="C6747" t="s">
        <v>10242</v>
      </c>
      <c r="E6747" t="s">
        <v>19189</v>
      </c>
      <c r="F6747" t="s">
        <v>32833</v>
      </c>
      <c r="G6747" t="s">
        <v>32840</v>
      </c>
      <c r="H6747" t="s">
        <v>32848</v>
      </c>
      <c r="I6747" t="s">
        <v>32858</v>
      </c>
      <c r="J6747" t="s">
        <v>37234</v>
      </c>
      <c r="K6747" t="s">
        <v>42748</v>
      </c>
      <c r="M6747" t="s">
        <v>45589</v>
      </c>
      <c r="N6747" t="s">
        <v>47424</v>
      </c>
      <c r="O6747" t="s">
        <v>47425</v>
      </c>
      <c r="P6747">
        <v>0</v>
      </c>
      <c r="Q6747">
        <v>1</v>
      </c>
      <c r="R6747" t="s">
        <v>47431</v>
      </c>
      <c r="S6747" t="s">
        <v>47565</v>
      </c>
      <c r="T6747" t="s">
        <v>49056</v>
      </c>
      <c r="U6747" t="s">
        <v>55350</v>
      </c>
      <c r="W6747" t="s">
        <v>45589</v>
      </c>
      <c r="X6747" t="s">
        <v>47432</v>
      </c>
    </row>
    <row r="6748" spans="1:24">
      <c r="A6748">
        <f>HYPERLINK("https://www.philgeps.gov.ph/GEPSNONPILOT/Tender/SplashBidNoticeAbstractUI.aspx?menuIndex=3&amp;refID=7156367&amp;Result=3","7156367")</f>
        <v>0</v>
      </c>
      <c r="B6748" t="s">
        <v>2398</v>
      </c>
      <c r="C6748" t="s">
        <v>10243</v>
      </c>
      <c r="D6748" t="s">
        <v>19067</v>
      </c>
      <c r="E6748" t="s">
        <v>19838</v>
      </c>
      <c r="F6748" t="s">
        <v>32831</v>
      </c>
      <c r="G6748" t="s">
        <v>32839</v>
      </c>
      <c r="H6748" t="s">
        <v>32848</v>
      </c>
      <c r="I6748" t="s">
        <v>7416</v>
      </c>
      <c r="J6748" t="s">
        <v>37235</v>
      </c>
      <c r="K6748" t="s">
        <v>42730</v>
      </c>
      <c r="M6748" t="s">
        <v>45590</v>
      </c>
      <c r="N6748" t="s">
        <v>47424</v>
      </c>
      <c r="O6748" t="s">
        <v>47425</v>
      </c>
      <c r="P6748">
        <v>0</v>
      </c>
      <c r="Q6748">
        <v>0</v>
      </c>
      <c r="R6748" t="s">
        <v>47431</v>
      </c>
      <c r="S6748" t="s">
        <v>47565</v>
      </c>
      <c r="T6748" t="s">
        <v>49129</v>
      </c>
      <c r="U6748" t="s">
        <v>55351</v>
      </c>
      <c r="W6748" t="s">
        <v>45590</v>
      </c>
      <c r="X6748" t="s">
        <v>47432</v>
      </c>
    </row>
    <row r="6749" spans="1:24">
      <c r="A6749">
        <f>HYPERLINK("https://www.philgeps.gov.ph/GEPSNONPILOT/Tender/SplashBidNoticeAbstractUI.aspx?menuIndex=3&amp;refID=7156339&amp;Result=3","7156339")</f>
        <v>0</v>
      </c>
      <c r="B6749" t="s">
        <v>2399</v>
      </c>
      <c r="C6749" t="s">
        <v>10244</v>
      </c>
      <c r="D6749" t="s">
        <v>19064</v>
      </c>
      <c r="E6749" t="s">
        <v>24981</v>
      </c>
      <c r="F6749" t="s">
        <v>32831</v>
      </c>
      <c r="G6749" t="s">
        <v>32839</v>
      </c>
      <c r="H6749" t="s">
        <v>32849</v>
      </c>
      <c r="I6749" t="s">
        <v>7416</v>
      </c>
      <c r="J6749" t="s">
        <v>37236</v>
      </c>
      <c r="K6749" t="s">
        <v>42727</v>
      </c>
      <c r="M6749" t="s">
        <v>45591</v>
      </c>
      <c r="N6749" t="s">
        <v>47424</v>
      </c>
      <c r="O6749" t="s">
        <v>47425</v>
      </c>
      <c r="P6749">
        <v>0</v>
      </c>
      <c r="Q6749">
        <v>0</v>
      </c>
      <c r="R6749" t="s">
        <v>47431</v>
      </c>
      <c r="S6749" t="s">
        <v>47565</v>
      </c>
      <c r="T6749" t="s">
        <v>49129</v>
      </c>
      <c r="U6749" t="s">
        <v>55352</v>
      </c>
      <c r="W6749" t="s">
        <v>45591</v>
      </c>
      <c r="X6749" t="s">
        <v>47432</v>
      </c>
    </row>
    <row r="6750" spans="1:24">
      <c r="A6750">
        <f>HYPERLINK("https://www.philgeps.gov.ph/GEPSNONPILOT/Tender/SplashBidNoticeAbstractUI.aspx?menuIndex=3&amp;refID=7156336&amp;Result=3","7156336")</f>
        <v>0</v>
      </c>
      <c r="B6750" t="s">
        <v>2128</v>
      </c>
      <c r="C6750" t="s">
        <v>10245</v>
      </c>
      <c r="D6750" t="s">
        <v>19075</v>
      </c>
      <c r="E6750" t="s">
        <v>24982</v>
      </c>
      <c r="F6750" t="s">
        <v>32831</v>
      </c>
      <c r="G6750" t="s">
        <v>32840</v>
      </c>
      <c r="H6750" t="s">
        <v>32848</v>
      </c>
      <c r="I6750" t="s">
        <v>32860</v>
      </c>
      <c r="J6750" t="s">
        <v>37237</v>
      </c>
      <c r="K6750" t="s">
        <v>42726</v>
      </c>
      <c r="M6750" t="s">
        <v>45303</v>
      </c>
      <c r="N6750" t="s">
        <v>47424</v>
      </c>
      <c r="O6750" t="s">
        <v>47425</v>
      </c>
      <c r="P6750">
        <v>0</v>
      </c>
      <c r="Q6750">
        <v>4</v>
      </c>
      <c r="R6750" t="s">
        <v>47431</v>
      </c>
      <c r="S6750" t="s">
        <v>47565</v>
      </c>
      <c r="T6750" t="s">
        <v>49125</v>
      </c>
      <c r="U6750" t="s">
        <v>55353</v>
      </c>
      <c r="W6750" t="s">
        <v>45303</v>
      </c>
      <c r="X6750" t="s">
        <v>47432</v>
      </c>
    </row>
    <row r="6751" spans="1:24">
      <c r="A6751">
        <f>HYPERLINK("https://www.philgeps.gov.ph/GEPSNONPILOT/Tender/SplashBidNoticeAbstractUI.aspx?menuIndex=3&amp;refID=7156273&amp;Result=3","7156273")</f>
        <v>0</v>
      </c>
      <c r="B6751" t="s">
        <v>1629</v>
      </c>
      <c r="C6751" t="s">
        <v>10246</v>
      </c>
      <c r="D6751" t="s">
        <v>19021</v>
      </c>
      <c r="E6751" t="s">
        <v>24983</v>
      </c>
      <c r="F6751" t="s">
        <v>32831</v>
      </c>
      <c r="G6751" t="s">
        <v>32838</v>
      </c>
      <c r="H6751" t="s">
        <v>32848</v>
      </c>
      <c r="I6751" t="s">
        <v>4558</v>
      </c>
      <c r="J6751" t="s">
        <v>37238</v>
      </c>
      <c r="K6751" t="s">
        <v>42732</v>
      </c>
      <c r="M6751" t="s">
        <v>44745</v>
      </c>
      <c r="N6751" t="s">
        <v>47424</v>
      </c>
      <c r="O6751" t="s">
        <v>47425</v>
      </c>
      <c r="P6751">
        <v>0</v>
      </c>
      <c r="Q6751">
        <v>3</v>
      </c>
      <c r="R6751" t="s">
        <v>47431</v>
      </c>
      <c r="S6751" t="s">
        <v>47565</v>
      </c>
      <c r="T6751" t="s">
        <v>49163</v>
      </c>
      <c r="U6751" t="s">
        <v>53073</v>
      </c>
      <c r="V6751" t="s">
        <v>63370</v>
      </c>
      <c r="W6751" t="s">
        <v>44745</v>
      </c>
      <c r="X6751" t="s">
        <v>47432</v>
      </c>
    </row>
    <row r="6752" spans="1:24">
      <c r="A6752">
        <f>HYPERLINK("https://www.philgeps.gov.ph/GEPSNONPILOT/Tender/SplashBidNoticeAbstractUI.aspx?menuIndex=3&amp;refID=7156335&amp;Result=3","7156335")</f>
        <v>0</v>
      </c>
      <c r="B6752" t="s">
        <v>2388</v>
      </c>
      <c r="C6752" t="s">
        <v>10247</v>
      </c>
      <c r="D6752" t="s">
        <v>19075</v>
      </c>
      <c r="E6752" t="s">
        <v>24984</v>
      </c>
      <c r="F6752" t="s">
        <v>32831</v>
      </c>
      <c r="G6752" t="s">
        <v>32839</v>
      </c>
      <c r="H6752" t="s">
        <v>32848</v>
      </c>
      <c r="I6752" t="s">
        <v>32879</v>
      </c>
      <c r="J6752" t="s">
        <v>37239</v>
      </c>
      <c r="K6752" t="s">
        <v>42732</v>
      </c>
      <c r="M6752" t="s">
        <v>45579</v>
      </c>
      <c r="N6752" t="s">
        <v>47424</v>
      </c>
      <c r="O6752" t="s">
        <v>47425</v>
      </c>
      <c r="P6752">
        <v>0</v>
      </c>
      <c r="Q6752">
        <v>2</v>
      </c>
      <c r="R6752" t="s">
        <v>47431</v>
      </c>
      <c r="S6752" t="s">
        <v>47565</v>
      </c>
      <c r="T6752" t="s">
        <v>49056</v>
      </c>
      <c r="U6752" t="s">
        <v>55354</v>
      </c>
      <c r="W6752" t="s">
        <v>64507</v>
      </c>
      <c r="X6752" t="s">
        <v>47432</v>
      </c>
    </row>
    <row r="6753" spans="1:24">
      <c r="A6753">
        <f>HYPERLINK("https://www.philgeps.gov.ph/GEPSNONPILOT/Tender/SplashBidNoticeAbstractUI.aspx?menuIndex=3&amp;refID=7156331&amp;Result=3","7156331")</f>
        <v>0</v>
      </c>
      <c r="B6753" t="s">
        <v>768</v>
      </c>
      <c r="C6753" t="s">
        <v>10248</v>
      </c>
      <c r="D6753" t="s">
        <v>19091</v>
      </c>
      <c r="E6753" t="s">
        <v>24985</v>
      </c>
      <c r="F6753" t="s">
        <v>32831</v>
      </c>
      <c r="G6753" t="s">
        <v>32841</v>
      </c>
      <c r="H6753" t="s">
        <v>32848</v>
      </c>
      <c r="I6753" t="s">
        <v>7751</v>
      </c>
      <c r="J6753" t="s">
        <v>35553</v>
      </c>
      <c r="K6753" t="s">
        <v>42730</v>
      </c>
      <c r="M6753" t="s">
        <v>43797</v>
      </c>
      <c r="N6753" t="s">
        <v>47424</v>
      </c>
      <c r="O6753" t="s">
        <v>47425</v>
      </c>
      <c r="P6753">
        <v>0</v>
      </c>
      <c r="Q6753">
        <v>1</v>
      </c>
      <c r="R6753" t="s">
        <v>47431</v>
      </c>
      <c r="S6753" t="s">
        <v>47565</v>
      </c>
      <c r="T6753" t="s">
        <v>49244</v>
      </c>
      <c r="U6753" t="s">
        <v>55355</v>
      </c>
      <c r="W6753" t="s">
        <v>43797</v>
      </c>
      <c r="X6753" t="s">
        <v>47432</v>
      </c>
    </row>
    <row r="6754" spans="1:24">
      <c r="A6754">
        <f>HYPERLINK("https://www.philgeps.gov.ph/GEPSNONPILOT/Tender/SplashBidNoticeAbstractUI.aspx?menuIndex=3&amp;refID=7156406&amp;Result=3","7156406")</f>
        <v>0</v>
      </c>
      <c r="B6754" t="s">
        <v>60</v>
      </c>
      <c r="C6754" t="s">
        <v>10249</v>
      </c>
      <c r="D6754" t="s">
        <v>19042</v>
      </c>
      <c r="E6754" t="s">
        <v>24986</v>
      </c>
      <c r="F6754" t="s">
        <v>32831</v>
      </c>
      <c r="G6754" t="s">
        <v>32839</v>
      </c>
      <c r="H6754" t="s">
        <v>32848</v>
      </c>
      <c r="I6754" t="s">
        <v>9577</v>
      </c>
      <c r="J6754" t="s">
        <v>37240</v>
      </c>
      <c r="K6754" t="s">
        <v>42726</v>
      </c>
      <c r="M6754" t="s">
        <v>43057</v>
      </c>
      <c r="N6754" t="s">
        <v>47424</v>
      </c>
      <c r="O6754" t="s">
        <v>47425</v>
      </c>
      <c r="P6754">
        <v>0</v>
      </c>
      <c r="Q6754">
        <v>1</v>
      </c>
      <c r="R6754" t="s">
        <v>47431</v>
      </c>
      <c r="S6754" t="s">
        <v>47565</v>
      </c>
      <c r="T6754" t="s">
        <v>49461</v>
      </c>
      <c r="U6754" t="s">
        <v>55356</v>
      </c>
      <c r="W6754" t="s">
        <v>43057</v>
      </c>
      <c r="X6754" t="s">
        <v>47432</v>
      </c>
    </row>
    <row r="6755" spans="1:24">
      <c r="A6755">
        <f>HYPERLINK("https://www.philgeps.gov.ph/GEPSNONPILOT/Tender/SplashBidNoticeAbstractUI.aspx?menuIndex=3&amp;refID=7156393&amp;Result=3","7156393")</f>
        <v>0</v>
      </c>
      <c r="B6755" t="s">
        <v>2400</v>
      </c>
      <c r="C6755" t="s">
        <v>10250</v>
      </c>
      <c r="D6755" t="s">
        <v>19079</v>
      </c>
      <c r="E6755" t="s">
        <v>24987</v>
      </c>
      <c r="F6755" t="s">
        <v>32831</v>
      </c>
      <c r="G6755" t="s">
        <v>32839</v>
      </c>
      <c r="H6755" t="s">
        <v>32848</v>
      </c>
      <c r="I6755" t="s">
        <v>8577</v>
      </c>
      <c r="J6755" t="s">
        <v>37241</v>
      </c>
      <c r="K6755" t="s">
        <v>42731</v>
      </c>
      <c r="M6755" t="s">
        <v>45592</v>
      </c>
      <c r="N6755" t="s">
        <v>47424</v>
      </c>
      <c r="O6755" t="s">
        <v>47425</v>
      </c>
      <c r="P6755">
        <v>0</v>
      </c>
      <c r="Q6755">
        <v>4</v>
      </c>
      <c r="R6755" t="s">
        <v>47431</v>
      </c>
      <c r="S6755" t="s">
        <v>47565</v>
      </c>
      <c r="T6755" t="s">
        <v>49142</v>
      </c>
      <c r="U6755" t="s">
        <v>55357</v>
      </c>
      <c r="V6755" t="s">
        <v>63371</v>
      </c>
      <c r="W6755" t="s">
        <v>45592</v>
      </c>
      <c r="X6755" t="s">
        <v>47432</v>
      </c>
    </row>
    <row r="6756" spans="1:24">
      <c r="A6756">
        <f>HYPERLINK("https://www.philgeps.gov.ph/GEPSNONPILOT/Tender/SplashBidNoticeAbstractUI.aspx?menuIndex=3&amp;refID=7156401&amp;Result=3","7156401")</f>
        <v>0</v>
      </c>
      <c r="B6756" t="s">
        <v>171</v>
      </c>
      <c r="C6756" t="s">
        <v>10251</v>
      </c>
      <c r="E6756" t="s">
        <v>24988</v>
      </c>
      <c r="F6756" t="s">
        <v>32831</v>
      </c>
      <c r="G6756" t="s">
        <v>32838</v>
      </c>
      <c r="H6756" t="s">
        <v>32848</v>
      </c>
      <c r="I6756" t="s">
        <v>32883</v>
      </c>
      <c r="J6756" t="s">
        <v>36479</v>
      </c>
      <c r="K6756" t="s">
        <v>42730</v>
      </c>
      <c r="M6756" t="s">
        <v>43684</v>
      </c>
      <c r="N6756" t="s">
        <v>47424</v>
      </c>
      <c r="O6756" t="s">
        <v>47425</v>
      </c>
      <c r="P6756">
        <v>0</v>
      </c>
      <c r="Q6756">
        <v>0</v>
      </c>
      <c r="R6756" t="s">
        <v>47431</v>
      </c>
      <c r="S6756" t="s">
        <v>47565</v>
      </c>
      <c r="T6756" t="s">
        <v>49124</v>
      </c>
      <c r="U6756" t="s">
        <v>55358</v>
      </c>
      <c r="W6756" t="s">
        <v>64443</v>
      </c>
      <c r="X6756" t="s">
        <v>47432</v>
      </c>
    </row>
    <row r="6757" spans="1:24">
      <c r="A6757">
        <f>HYPERLINK("https://www.philgeps.gov.ph/GEPSNONPILOT/Tender/SplashBidNoticeAbstractUI.aspx?menuIndex=3&amp;refID=7156398&amp;Result=3","7156398")</f>
        <v>0</v>
      </c>
      <c r="B6757" t="s">
        <v>680</v>
      </c>
      <c r="C6757" t="s">
        <v>10252</v>
      </c>
      <c r="D6757" t="s">
        <v>19030</v>
      </c>
      <c r="E6757" t="s">
        <v>24989</v>
      </c>
      <c r="F6757" t="s">
        <v>32831</v>
      </c>
      <c r="G6757" t="s">
        <v>32842</v>
      </c>
      <c r="H6757" t="s">
        <v>32848</v>
      </c>
      <c r="I6757" t="s">
        <v>32860</v>
      </c>
      <c r="J6757" t="s">
        <v>37242</v>
      </c>
      <c r="K6757" t="s">
        <v>42726</v>
      </c>
      <c r="M6757" t="s">
        <v>45593</v>
      </c>
      <c r="N6757" t="s">
        <v>47424</v>
      </c>
      <c r="O6757" t="s">
        <v>47425</v>
      </c>
      <c r="P6757">
        <v>0</v>
      </c>
      <c r="Q6757">
        <v>6</v>
      </c>
      <c r="R6757" t="s">
        <v>47431</v>
      </c>
      <c r="S6757" t="s">
        <v>47565</v>
      </c>
      <c r="T6757" t="s">
        <v>49111</v>
      </c>
      <c r="U6757" t="s">
        <v>55359</v>
      </c>
      <c r="V6757" t="s">
        <v>63372</v>
      </c>
      <c r="W6757" t="s">
        <v>45593</v>
      </c>
      <c r="X6757" t="s">
        <v>47432</v>
      </c>
    </row>
    <row r="6758" spans="1:24">
      <c r="A6758">
        <f>HYPERLINK("https://www.philgeps.gov.ph/GEPSNONPILOT/Tender/SplashBidNoticeAbstractUI.aspx?menuIndex=3&amp;refID=7156332&amp;Result=3","7156332")</f>
        <v>0</v>
      </c>
      <c r="B6758" t="s">
        <v>2401</v>
      </c>
      <c r="C6758" t="s">
        <v>10253</v>
      </c>
      <c r="D6758" t="s">
        <v>19041</v>
      </c>
      <c r="E6758" t="s">
        <v>24990</v>
      </c>
      <c r="F6758" t="s">
        <v>32831</v>
      </c>
      <c r="G6758" t="s">
        <v>32839</v>
      </c>
      <c r="H6758" t="s">
        <v>32848</v>
      </c>
      <c r="I6758" t="s">
        <v>7416</v>
      </c>
      <c r="J6758" t="s">
        <v>37243</v>
      </c>
      <c r="K6758" t="s">
        <v>42732</v>
      </c>
      <c r="L6758" t="s">
        <v>2401</v>
      </c>
      <c r="M6758" t="s">
        <v>45594</v>
      </c>
      <c r="N6758" t="s">
        <v>47424</v>
      </c>
      <c r="O6758" t="s">
        <v>47425</v>
      </c>
      <c r="P6758">
        <v>0</v>
      </c>
      <c r="Q6758">
        <v>0</v>
      </c>
      <c r="R6758" t="s">
        <v>47431</v>
      </c>
      <c r="S6758" t="s">
        <v>47565</v>
      </c>
      <c r="T6758" t="s">
        <v>49206</v>
      </c>
      <c r="U6758" t="s">
        <v>55360</v>
      </c>
      <c r="W6758" t="s">
        <v>45594</v>
      </c>
      <c r="X6758" t="s">
        <v>47432</v>
      </c>
    </row>
    <row r="6759" spans="1:24">
      <c r="A6759">
        <f>HYPERLINK("https://www.philgeps.gov.ph/GEPSNONPILOT/Tender/SplashBidNoticeAbstractUI.aspx?menuIndex=3&amp;refID=7156272&amp;Result=3","7156272")</f>
        <v>0</v>
      </c>
      <c r="B6759" t="s">
        <v>171</v>
      </c>
      <c r="C6759" t="s">
        <v>10254</v>
      </c>
      <c r="E6759" t="s">
        <v>24991</v>
      </c>
      <c r="F6759" t="s">
        <v>32831</v>
      </c>
      <c r="G6759" t="s">
        <v>32838</v>
      </c>
      <c r="H6759" t="s">
        <v>32848</v>
      </c>
      <c r="I6759" t="s">
        <v>4438</v>
      </c>
      <c r="J6759" t="s">
        <v>37244</v>
      </c>
      <c r="K6759" t="s">
        <v>42730</v>
      </c>
      <c r="M6759" t="s">
        <v>43684</v>
      </c>
      <c r="N6759" t="s">
        <v>47424</v>
      </c>
      <c r="O6759" t="s">
        <v>47425</v>
      </c>
      <c r="P6759">
        <v>0</v>
      </c>
      <c r="Q6759">
        <v>0</v>
      </c>
      <c r="R6759" t="s">
        <v>47431</v>
      </c>
      <c r="S6759" t="s">
        <v>47565</v>
      </c>
      <c r="T6759" t="s">
        <v>49124</v>
      </c>
      <c r="U6759" t="s">
        <v>55361</v>
      </c>
      <c r="W6759" t="s">
        <v>64443</v>
      </c>
      <c r="X6759" t="s">
        <v>47432</v>
      </c>
    </row>
    <row r="6760" spans="1:24">
      <c r="A6760">
        <f>HYPERLINK("https://www.philgeps.gov.ph/GEPSNONPILOT/Tender/SplashBidNoticeAbstractUI.aspx?menuIndex=3&amp;refID=7156397&amp;Result=3","7156397")</f>
        <v>0</v>
      </c>
      <c r="B6760" t="s">
        <v>2379</v>
      </c>
      <c r="C6760" t="s">
        <v>10255</v>
      </c>
      <c r="D6760" t="s">
        <v>19039</v>
      </c>
      <c r="E6760" t="s">
        <v>24992</v>
      </c>
      <c r="F6760" t="s">
        <v>32831</v>
      </c>
      <c r="G6760" t="s">
        <v>32839</v>
      </c>
      <c r="H6760" t="s">
        <v>32849</v>
      </c>
      <c r="I6760" t="s">
        <v>4177</v>
      </c>
      <c r="J6760" t="s">
        <v>37245</v>
      </c>
      <c r="K6760" t="s">
        <v>42763</v>
      </c>
      <c r="M6760" t="s">
        <v>45568</v>
      </c>
      <c r="N6760" t="s">
        <v>47424</v>
      </c>
      <c r="O6760" t="s">
        <v>47425</v>
      </c>
      <c r="P6760">
        <v>0</v>
      </c>
      <c r="Q6760">
        <v>0</v>
      </c>
      <c r="R6760" t="s">
        <v>47431</v>
      </c>
      <c r="S6760" t="s">
        <v>47565</v>
      </c>
      <c r="T6760" t="s">
        <v>49195</v>
      </c>
      <c r="U6760" t="s">
        <v>55362</v>
      </c>
      <c r="V6760" t="s">
        <v>63373</v>
      </c>
      <c r="W6760" t="s">
        <v>45568</v>
      </c>
      <c r="X6760" t="s">
        <v>47432</v>
      </c>
    </row>
    <row r="6761" spans="1:24">
      <c r="A6761">
        <f>HYPERLINK("https://www.philgeps.gov.ph/GEPSNONPILOT/Tender/SplashBidNoticeAbstractUI.aspx?menuIndex=3&amp;refID=7156392&amp;Result=3","7156392")</f>
        <v>0</v>
      </c>
      <c r="B6761" t="s">
        <v>512</v>
      </c>
      <c r="C6761" t="s">
        <v>10256</v>
      </c>
      <c r="D6761" t="s">
        <v>19018</v>
      </c>
      <c r="E6761" t="s">
        <v>10256</v>
      </c>
      <c r="F6761" t="s">
        <v>32831</v>
      </c>
      <c r="G6761" t="s">
        <v>32838</v>
      </c>
      <c r="H6761" t="s">
        <v>32848</v>
      </c>
      <c r="I6761" t="s">
        <v>32862</v>
      </c>
      <c r="J6761" t="s">
        <v>37246</v>
      </c>
      <c r="K6761" t="s">
        <v>42727</v>
      </c>
      <c r="M6761" t="s">
        <v>43517</v>
      </c>
      <c r="N6761" t="s">
        <v>47424</v>
      </c>
      <c r="O6761" t="s">
        <v>47425</v>
      </c>
      <c r="P6761">
        <v>0</v>
      </c>
      <c r="Q6761">
        <v>0</v>
      </c>
      <c r="R6761" t="s">
        <v>47431</v>
      </c>
      <c r="S6761" t="s">
        <v>47565</v>
      </c>
      <c r="T6761" t="s">
        <v>49145</v>
      </c>
      <c r="U6761" t="s">
        <v>54859</v>
      </c>
      <c r="W6761" t="s">
        <v>43517</v>
      </c>
      <c r="X6761" t="s">
        <v>47432</v>
      </c>
    </row>
    <row r="6762" spans="1:24">
      <c r="A6762">
        <f>HYPERLINK("https://www.philgeps.gov.ph/GEPSNONPILOT/Tender/SplashBidNoticeAbstractUI.aspx?menuIndex=3&amp;refID=7156349&amp;Result=3","7156349")</f>
        <v>0</v>
      </c>
      <c r="B6762" t="s">
        <v>2390</v>
      </c>
      <c r="C6762" t="s">
        <v>10257</v>
      </c>
      <c r="D6762" t="s">
        <v>19047</v>
      </c>
      <c r="E6762" t="s">
        <v>20788</v>
      </c>
      <c r="F6762" t="s">
        <v>32831</v>
      </c>
      <c r="G6762" t="s">
        <v>32838</v>
      </c>
      <c r="H6762" t="s">
        <v>32848</v>
      </c>
      <c r="I6762" t="s">
        <v>9577</v>
      </c>
      <c r="J6762" t="s">
        <v>34534</v>
      </c>
      <c r="K6762" t="s">
        <v>42730</v>
      </c>
      <c r="M6762" t="s">
        <v>45581</v>
      </c>
      <c r="N6762" t="s">
        <v>47424</v>
      </c>
      <c r="O6762" t="s">
        <v>47425</v>
      </c>
      <c r="P6762">
        <v>0</v>
      </c>
      <c r="Q6762">
        <v>7</v>
      </c>
      <c r="R6762" t="s">
        <v>47431</v>
      </c>
      <c r="S6762" t="s">
        <v>47565</v>
      </c>
      <c r="T6762" t="s">
        <v>49100</v>
      </c>
      <c r="U6762" t="s">
        <v>55363</v>
      </c>
      <c r="V6762" t="s">
        <v>63374</v>
      </c>
      <c r="W6762" t="s">
        <v>45581</v>
      </c>
      <c r="X6762" t="s">
        <v>47432</v>
      </c>
    </row>
    <row r="6763" spans="1:24">
      <c r="A6763">
        <f>HYPERLINK("https://www.philgeps.gov.ph/GEPSNONPILOT/Tender/SplashBidNoticeAbstractUI.aspx?menuIndex=3&amp;refID=7156403&amp;Result=3","7156403")</f>
        <v>0</v>
      </c>
      <c r="B6763" t="s">
        <v>2388</v>
      </c>
      <c r="C6763" t="s">
        <v>10258</v>
      </c>
      <c r="D6763" t="s">
        <v>19075</v>
      </c>
      <c r="E6763" t="s">
        <v>24993</v>
      </c>
      <c r="F6763" t="s">
        <v>32831</v>
      </c>
      <c r="G6763" t="s">
        <v>32839</v>
      </c>
      <c r="H6763" t="s">
        <v>32848</v>
      </c>
      <c r="I6763" t="s">
        <v>7751</v>
      </c>
      <c r="J6763" t="s">
        <v>33707</v>
      </c>
      <c r="K6763" t="s">
        <v>42732</v>
      </c>
      <c r="M6763" t="s">
        <v>45579</v>
      </c>
      <c r="N6763" t="s">
        <v>47424</v>
      </c>
      <c r="O6763" t="s">
        <v>47425</v>
      </c>
      <c r="P6763">
        <v>0</v>
      </c>
      <c r="Q6763">
        <v>5</v>
      </c>
      <c r="R6763" t="s">
        <v>47431</v>
      </c>
      <c r="S6763" t="s">
        <v>47565</v>
      </c>
      <c r="T6763" t="s">
        <v>49236</v>
      </c>
      <c r="U6763" t="s">
        <v>55364</v>
      </c>
      <c r="W6763" t="s">
        <v>64507</v>
      </c>
      <c r="X6763" t="s">
        <v>47432</v>
      </c>
    </row>
    <row r="6764" spans="1:24">
      <c r="A6764">
        <f>HYPERLINK("https://www.philgeps.gov.ph/GEPSNONPILOT/Tender/SplashBidNoticeAbstractUI.aspx?menuIndex=3&amp;refID=7156388&amp;Result=3","7156388")</f>
        <v>0</v>
      </c>
      <c r="B6764" t="s">
        <v>2331</v>
      </c>
      <c r="C6764" t="s">
        <v>10259</v>
      </c>
      <c r="D6764" t="s">
        <v>19049</v>
      </c>
      <c r="E6764" t="s">
        <v>24994</v>
      </c>
      <c r="F6764" t="s">
        <v>32831</v>
      </c>
      <c r="G6764" t="s">
        <v>32839</v>
      </c>
      <c r="H6764" t="s">
        <v>32848</v>
      </c>
      <c r="I6764" t="s">
        <v>10805</v>
      </c>
      <c r="J6764" t="s">
        <v>33095</v>
      </c>
      <c r="K6764" t="s">
        <v>42747</v>
      </c>
      <c r="M6764" t="s">
        <v>45517</v>
      </c>
      <c r="N6764" t="s">
        <v>47424</v>
      </c>
      <c r="O6764" t="s">
        <v>47425</v>
      </c>
      <c r="P6764">
        <v>0</v>
      </c>
      <c r="Q6764">
        <v>0</v>
      </c>
      <c r="R6764" t="s">
        <v>47431</v>
      </c>
      <c r="S6764" t="s">
        <v>47565</v>
      </c>
      <c r="T6764" t="s">
        <v>49080</v>
      </c>
      <c r="U6764" t="s">
        <v>55365</v>
      </c>
      <c r="V6764" t="s">
        <v>63348</v>
      </c>
      <c r="W6764" t="s">
        <v>45517</v>
      </c>
      <c r="X6764" t="s">
        <v>47432</v>
      </c>
    </row>
    <row r="6765" spans="1:24">
      <c r="A6765">
        <f>HYPERLINK("https://www.philgeps.gov.ph/GEPSNONPILOT/Tender/SplashBidNoticeAbstractUI.aspx?menuIndex=3&amp;refID=7156386&amp;Result=3","7156386")</f>
        <v>0</v>
      </c>
      <c r="B6765" t="s">
        <v>2310</v>
      </c>
      <c r="C6765" t="s">
        <v>10260</v>
      </c>
      <c r="D6765" t="s">
        <v>19028</v>
      </c>
      <c r="E6765" t="s">
        <v>24995</v>
      </c>
      <c r="F6765" t="s">
        <v>32831</v>
      </c>
      <c r="G6765" t="s">
        <v>32839</v>
      </c>
      <c r="H6765" t="s">
        <v>32848</v>
      </c>
      <c r="I6765" t="s">
        <v>7751</v>
      </c>
      <c r="J6765" t="s">
        <v>37247</v>
      </c>
      <c r="K6765" t="s">
        <v>42745</v>
      </c>
      <c r="M6765" t="s">
        <v>45495</v>
      </c>
      <c r="N6765" t="s">
        <v>47424</v>
      </c>
      <c r="O6765" t="s">
        <v>47425</v>
      </c>
      <c r="P6765">
        <v>0</v>
      </c>
      <c r="Q6765">
        <v>8</v>
      </c>
      <c r="R6765" t="s">
        <v>47431</v>
      </c>
      <c r="S6765" t="s">
        <v>47565</v>
      </c>
      <c r="T6765" t="s">
        <v>49063</v>
      </c>
      <c r="U6765" t="s">
        <v>55316</v>
      </c>
      <c r="V6765" t="s">
        <v>63375</v>
      </c>
      <c r="W6765" t="s">
        <v>45495</v>
      </c>
      <c r="X6765" t="s">
        <v>47432</v>
      </c>
    </row>
    <row r="6766" spans="1:24">
      <c r="A6766">
        <f>HYPERLINK("https://www.philgeps.gov.ph/GEPSNONPILOT/Tender/SplashBidNoticeAbstractUI.aspx?menuIndex=3&amp;refID=7156400&amp;Result=3","7156400")</f>
        <v>0</v>
      </c>
      <c r="B6766" t="s">
        <v>2402</v>
      </c>
      <c r="C6766" t="s">
        <v>10261</v>
      </c>
      <c r="D6766" t="s">
        <v>19026</v>
      </c>
      <c r="E6766" t="s">
        <v>24996</v>
      </c>
      <c r="F6766" t="s">
        <v>32831</v>
      </c>
      <c r="G6766" t="s">
        <v>32839</v>
      </c>
      <c r="H6766" t="s">
        <v>32848</v>
      </c>
      <c r="I6766" t="s">
        <v>7416</v>
      </c>
      <c r="J6766" t="s">
        <v>37248</v>
      </c>
      <c r="K6766" t="s">
        <v>42731</v>
      </c>
      <c r="M6766" t="s">
        <v>45595</v>
      </c>
      <c r="N6766" t="s">
        <v>47424</v>
      </c>
      <c r="O6766" t="s">
        <v>47425</v>
      </c>
      <c r="P6766">
        <v>0</v>
      </c>
      <c r="Q6766">
        <v>5</v>
      </c>
      <c r="R6766" t="s">
        <v>47431</v>
      </c>
      <c r="S6766" t="s">
        <v>47565</v>
      </c>
      <c r="T6766" t="s">
        <v>49079</v>
      </c>
      <c r="U6766" t="s">
        <v>49926</v>
      </c>
      <c r="W6766" t="s">
        <v>45595</v>
      </c>
      <c r="X6766" t="s">
        <v>47432</v>
      </c>
    </row>
    <row r="6767" spans="1:24">
      <c r="A6767">
        <f>HYPERLINK("https://www.philgeps.gov.ph/GEPSNONPILOT/Tender/SplashBidNoticeAbstractUI.aspx?menuIndex=3&amp;refID=7156384&amp;Result=3","7156384")</f>
        <v>0</v>
      </c>
      <c r="B6767" t="s">
        <v>2403</v>
      </c>
      <c r="C6767" t="s">
        <v>10262</v>
      </c>
      <c r="E6767" t="s">
        <v>24997</v>
      </c>
      <c r="F6767" t="s">
        <v>32831</v>
      </c>
      <c r="G6767" t="s">
        <v>32839</v>
      </c>
      <c r="H6767" t="s">
        <v>32848</v>
      </c>
      <c r="I6767" t="s">
        <v>4177</v>
      </c>
      <c r="J6767" t="s">
        <v>37249</v>
      </c>
      <c r="K6767" t="s">
        <v>42772</v>
      </c>
      <c r="M6767" t="s">
        <v>45596</v>
      </c>
      <c r="N6767" t="s">
        <v>47424</v>
      </c>
      <c r="O6767" t="s">
        <v>47425</v>
      </c>
      <c r="P6767">
        <v>0</v>
      </c>
      <c r="Q6767">
        <v>13</v>
      </c>
      <c r="R6767" t="s">
        <v>47431</v>
      </c>
      <c r="S6767" t="s">
        <v>47565</v>
      </c>
      <c r="T6767" t="s">
        <v>49106</v>
      </c>
      <c r="U6767" t="s">
        <v>55366</v>
      </c>
      <c r="V6767" t="s">
        <v>63376</v>
      </c>
      <c r="W6767" t="s">
        <v>45596</v>
      </c>
      <c r="X6767" t="s">
        <v>47432</v>
      </c>
    </row>
    <row r="6768" spans="1:24">
      <c r="A6768">
        <f>HYPERLINK("https://www.philgeps.gov.ph/GEPSNONPILOT/Tender/SplashBidNoticeAbstractUI.aspx?menuIndex=3&amp;refID=7156432&amp;Result=3","7156432")</f>
        <v>0</v>
      </c>
      <c r="B6768" t="s">
        <v>535</v>
      </c>
      <c r="C6768" t="s">
        <v>10263</v>
      </c>
      <c r="D6768" t="s">
        <v>19019</v>
      </c>
      <c r="E6768" t="s">
        <v>24998</v>
      </c>
      <c r="F6768" t="s">
        <v>32831</v>
      </c>
      <c r="G6768" t="s">
        <v>32839</v>
      </c>
      <c r="H6768" t="s">
        <v>32848</v>
      </c>
      <c r="I6768" t="s">
        <v>32892</v>
      </c>
      <c r="J6768" t="s">
        <v>37250</v>
      </c>
      <c r="K6768" t="s">
        <v>42732</v>
      </c>
      <c r="M6768" t="s">
        <v>45597</v>
      </c>
      <c r="N6768" t="s">
        <v>47424</v>
      </c>
      <c r="O6768" t="s">
        <v>47425</v>
      </c>
      <c r="Q6768">
        <v>4</v>
      </c>
      <c r="R6768" t="s">
        <v>47431</v>
      </c>
      <c r="S6768" t="s">
        <v>47575</v>
      </c>
      <c r="T6768" t="s">
        <v>49219</v>
      </c>
      <c r="U6768" t="s">
        <v>55367</v>
      </c>
      <c r="V6768" t="s">
        <v>63377</v>
      </c>
      <c r="W6768" t="s">
        <v>45597</v>
      </c>
      <c r="X6768" t="s">
        <v>47432</v>
      </c>
    </row>
    <row r="6769" spans="1:24">
      <c r="A6769">
        <f>HYPERLINK("https://www.philgeps.gov.ph/GEPSNONPILOT/Tender/SplashBidNoticeAbstractUI.aspx?menuIndex=3&amp;refID=7156440&amp;Result=3","7156440")</f>
        <v>0</v>
      </c>
      <c r="B6769" t="s">
        <v>1136</v>
      </c>
      <c r="C6769" t="s">
        <v>10264</v>
      </c>
      <c r="D6769" t="s">
        <v>19090</v>
      </c>
      <c r="E6769" t="s">
        <v>24999</v>
      </c>
      <c r="F6769" t="s">
        <v>32831</v>
      </c>
      <c r="G6769" t="s">
        <v>32839</v>
      </c>
      <c r="H6769" t="s">
        <v>32848</v>
      </c>
      <c r="I6769" t="s">
        <v>7416</v>
      </c>
      <c r="J6769" t="s">
        <v>37251</v>
      </c>
      <c r="K6769" t="s">
        <v>42748</v>
      </c>
      <c r="M6769" t="s">
        <v>44199</v>
      </c>
      <c r="N6769" t="s">
        <v>47424</v>
      </c>
      <c r="O6769" t="s">
        <v>47425</v>
      </c>
      <c r="P6769">
        <v>0</v>
      </c>
      <c r="Q6769">
        <v>1</v>
      </c>
      <c r="R6769" t="s">
        <v>47431</v>
      </c>
      <c r="S6769" t="s">
        <v>47565</v>
      </c>
      <c r="T6769" t="s">
        <v>49056</v>
      </c>
      <c r="U6769" t="s">
        <v>55368</v>
      </c>
      <c r="W6769" t="s">
        <v>44199</v>
      </c>
      <c r="X6769" t="s">
        <v>47432</v>
      </c>
    </row>
    <row r="6770" spans="1:24">
      <c r="A6770">
        <f>HYPERLINK("https://www.philgeps.gov.ph/GEPSNONPILOT/Tender/SplashBidNoticeAbstractUI.aspx?menuIndex=3&amp;refID=7156342&amp;Result=3","7156342")</f>
        <v>0</v>
      </c>
      <c r="B6770" t="s">
        <v>171</v>
      </c>
      <c r="C6770" t="s">
        <v>10265</v>
      </c>
      <c r="E6770" t="s">
        <v>25000</v>
      </c>
      <c r="F6770" t="s">
        <v>32831</v>
      </c>
      <c r="G6770" t="s">
        <v>32838</v>
      </c>
      <c r="H6770" t="s">
        <v>32848</v>
      </c>
      <c r="I6770" t="s">
        <v>32854</v>
      </c>
      <c r="J6770" t="s">
        <v>37252</v>
      </c>
      <c r="K6770" t="s">
        <v>42730</v>
      </c>
      <c r="M6770" t="s">
        <v>43684</v>
      </c>
      <c r="N6770" t="s">
        <v>47424</v>
      </c>
      <c r="O6770" t="s">
        <v>47425</v>
      </c>
      <c r="P6770">
        <v>0</v>
      </c>
      <c r="Q6770">
        <v>1</v>
      </c>
      <c r="R6770" t="s">
        <v>47431</v>
      </c>
      <c r="S6770" t="s">
        <v>47565</v>
      </c>
      <c r="T6770" t="s">
        <v>49124</v>
      </c>
      <c r="U6770" t="s">
        <v>55369</v>
      </c>
      <c r="W6770" t="s">
        <v>64443</v>
      </c>
      <c r="X6770" t="s">
        <v>47432</v>
      </c>
    </row>
    <row r="6771" spans="1:24">
      <c r="A6771">
        <f>HYPERLINK("https://www.philgeps.gov.ph/GEPSNONPILOT/Tender/SplashBidNoticeAbstractUI.aspx?menuIndex=3&amp;refID=7156389&amp;Result=3","7156389")</f>
        <v>0</v>
      </c>
      <c r="B6771" t="s">
        <v>1629</v>
      </c>
      <c r="C6771" t="s">
        <v>10266</v>
      </c>
      <c r="D6771" t="s">
        <v>19021</v>
      </c>
      <c r="E6771" t="s">
        <v>25001</v>
      </c>
      <c r="F6771" t="s">
        <v>32831</v>
      </c>
      <c r="G6771" t="s">
        <v>32840</v>
      </c>
      <c r="H6771" t="s">
        <v>32848</v>
      </c>
      <c r="I6771" t="s">
        <v>32857</v>
      </c>
      <c r="J6771" t="s">
        <v>35746</v>
      </c>
      <c r="K6771" t="s">
        <v>42732</v>
      </c>
      <c r="M6771" t="s">
        <v>44745</v>
      </c>
      <c r="N6771" t="s">
        <v>47424</v>
      </c>
      <c r="O6771" t="s">
        <v>47425</v>
      </c>
      <c r="P6771">
        <v>0</v>
      </c>
      <c r="Q6771">
        <v>7</v>
      </c>
      <c r="R6771" t="s">
        <v>47431</v>
      </c>
      <c r="S6771" t="s">
        <v>47565</v>
      </c>
      <c r="T6771" t="s">
        <v>49163</v>
      </c>
      <c r="U6771" t="s">
        <v>55370</v>
      </c>
      <c r="V6771" t="s">
        <v>63069</v>
      </c>
      <c r="W6771" t="s">
        <v>44745</v>
      </c>
      <c r="X6771" t="s">
        <v>47432</v>
      </c>
    </row>
    <row r="6772" spans="1:24">
      <c r="A6772">
        <f>HYPERLINK("https://www.philgeps.gov.ph/GEPSNONPILOT/Tender/SplashBidNoticeAbstractUI.aspx?menuIndex=3&amp;refID=7156436&amp;Result=3","7156436")</f>
        <v>0</v>
      </c>
      <c r="B6772" t="s">
        <v>1829</v>
      </c>
      <c r="C6772" t="s">
        <v>10267</v>
      </c>
      <c r="D6772" t="s">
        <v>19057</v>
      </c>
      <c r="E6772" t="s">
        <v>25002</v>
      </c>
      <c r="F6772" t="s">
        <v>32831</v>
      </c>
      <c r="G6772" t="s">
        <v>32839</v>
      </c>
      <c r="H6772" t="s">
        <v>32849</v>
      </c>
      <c r="I6772" t="s">
        <v>4177</v>
      </c>
      <c r="J6772" t="s">
        <v>37253</v>
      </c>
      <c r="K6772" t="s">
        <v>42729</v>
      </c>
      <c r="M6772" t="s">
        <v>44962</v>
      </c>
      <c r="N6772" t="s">
        <v>47424</v>
      </c>
      <c r="O6772" t="s">
        <v>47425</v>
      </c>
      <c r="P6772">
        <v>0</v>
      </c>
      <c r="Q6772">
        <v>0</v>
      </c>
      <c r="R6772" t="s">
        <v>47431</v>
      </c>
      <c r="S6772" t="s">
        <v>47565</v>
      </c>
      <c r="T6772" t="s">
        <v>49129</v>
      </c>
      <c r="U6772" t="s">
        <v>55371</v>
      </c>
      <c r="W6772" t="s">
        <v>44962</v>
      </c>
      <c r="X6772" t="s">
        <v>47432</v>
      </c>
    </row>
    <row r="6773" spans="1:24">
      <c r="A6773">
        <f>HYPERLINK("https://www.philgeps.gov.ph/GEPSNONPILOT/Tender/SplashBidNoticeAbstractUI.aspx?menuIndex=3&amp;refID=7156433&amp;Result=3","7156433")</f>
        <v>0</v>
      </c>
      <c r="B6773" t="s">
        <v>2404</v>
      </c>
      <c r="C6773" t="s">
        <v>10268</v>
      </c>
      <c r="D6773" t="s">
        <v>19047</v>
      </c>
      <c r="E6773" t="s">
        <v>25003</v>
      </c>
      <c r="F6773" t="s">
        <v>32831</v>
      </c>
      <c r="G6773" t="s">
        <v>32838</v>
      </c>
      <c r="H6773" t="s">
        <v>32848</v>
      </c>
      <c r="I6773" t="s">
        <v>9577</v>
      </c>
      <c r="J6773" t="s">
        <v>33313</v>
      </c>
      <c r="K6773" t="s">
        <v>42758</v>
      </c>
      <c r="M6773" t="s">
        <v>45598</v>
      </c>
      <c r="N6773" t="s">
        <v>47424</v>
      </c>
      <c r="O6773" t="s">
        <v>47425</v>
      </c>
      <c r="P6773">
        <v>0</v>
      </c>
      <c r="Q6773">
        <v>2</v>
      </c>
      <c r="R6773" t="s">
        <v>47431</v>
      </c>
      <c r="S6773" t="s">
        <v>47565</v>
      </c>
      <c r="T6773" t="s">
        <v>49127</v>
      </c>
      <c r="U6773" t="s">
        <v>55372</v>
      </c>
      <c r="V6773" t="s">
        <v>63378</v>
      </c>
      <c r="W6773" t="s">
        <v>45598</v>
      </c>
      <c r="X6773" t="s">
        <v>47432</v>
      </c>
    </row>
    <row r="6774" spans="1:24">
      <c r="A6774">
        <f>HYPERLINK("https://www.philgeps.gov.ph/GEPSNONPILOT/Tender/SplashBidNoticeAbstractUI.aspx?menuIndex=3&amp;refID=7156431&amp;Result=3","7156431")</f>
        <v>0</v>
      </c>
      <c r="B6774" t="s">
        <v>2405</v>
      </c>
      <c r="C6774" t="s">
        <v>10269</v>
      </c>
      <c r="D6774" t="s">
        <v>19039</v>
      </c>
      <c r="E6774" t="s">
        <v>25004</v>
      </c>
      <c r="F6774" t="s">
        <v>32831</v>
      </c>
      <c r="G6774" t="s">
        <v>32838</v>
      </c>
      <c r="H6774" t="s">
        <v>32848</v>
      </c>
      <c r="I6774" t="s">
        <v>7416</v>
      </c>
      <c r="J6774" t="s">
        <v>37254</v>
      </c>
      <c r="K6774" t="s">
        <v>42726</v>
      </c>
      <c r="M6774" t="s">
        <v>45599</v>
      </c>
      <c r="N6774" t="s">
        <v>47424</v>
      </c>
      <c r="O6774" t="s">
        <v>47425</v>
      </c>
      <c r="P6774">
        <v>0</v>
      </c>
      <c r="Q6774">
        <v>0</v>
      </c>
      <c r="R6774" t="s">
        <v>47431</v>
      </c>
      <c r="S6774" t="s">
        <v>47565</v>
      </c>
      <c r="T6774" t="s">
        <v>49166</v>
      </c>
      <c r="U6774" t="s">
        <v>55373</v>
      </c>
      <c r="W6774" t="s">
        <v>45599</v>
      </c>
      <c r="X6774" t="s">
        <v>47432</v>
      </c>
    </row>
    <row r="6775" spans="1:24">
      <c r="A6775">
        <f>HYPERLINK("https://www.philgeps.gov.ph/GEPSNONPILOT/Tender/SplashBidNoticeAbstractUI.aspx?menuIndex=3&amp;refID=7156394&amp;Result=3","7156394")</f>
        <v>0</v>
      </c>
      <c r="B6775" t="s">
        <v>2406</v>
      </c>
      <c r="C6775" t="s">
        <v>10270</v>
      </c>
      <c r="D6775" t="s">
        <v>19021</v>
      </c>
      <c r="E6775" t="s">
        <v>25005</v>
      </c>
      <c r="F6775" t="s">
        <v>32831</v>
      </c>
      <c r="G6775" t="s">
        <v>32840</v>
      </c>
      <c r="H6775" t="s">
        <v>32848</v>
      </c>
      <c r="I6775" t="s">
        <v>4438</v>
      </c>
      <c r="J6775" t="s">
        <v>37255</v>
      </c>
      <c r="K6775" t="s">
        <v>42731</v>
      </c>
      <c r="M6775" t="s">
        <v>45600</v>
      </c>
      <c r="N6775" t="s">
        <v>47424</v>
      </c>
      <c r="O6775" t="s">
        <v>47425</v>
      </c>
      <c r="P6775">
        <v>0</v>
      </c>
      <c r="Q6775">
        <v>0</v>
      </c>
      <c r="R6775" t="s">
        <v>47431</v>
      </c>
      <c r="S6775" t="s">
        <v>47565</v>
      </c>
      <c r="T6775" t="s">
        <v>49119</v>
      </c>
      <c r="U6775" t="s">
        <v>55374</v>
      </c>
      <c r="W6775" t="s">
        <v>45600</v>
      </c>
      <c r="X6775" t="s">
        <v>47432</v>
      </c>
    </row>
    <row r="6776" spans="1:24">
      <c r="A6776">
        <f>HYPERLINK("https://www.philgeps.gov.ph/GEPSNONPILOT/Tender/SplashBidNoticeAbstractUI.aspx?menuIndex=3&amp;refID=7156428&amp;Result=3","7156428")</f>
        <v>0</v>
      </c>
      <c r="B6776" t="s">
        <v>2306</v>
      </c>
      <c r="C6776" t="s">
        <v>10271</v>
      </c>
      <c r="D6776" t="s">
        <v>19029</v>
      </c>
      <c r="E6776" t="s">
        <v>19865</v>
      </c>
      <c r="F6776" t="s">
        <v>32831</v>
      </c>
      <c r="G6776" t="s">
        <v>32838</v>
      </c>
      <c r="H6776" t="s">
        <v>32848</v>
      </c>
      <c r="I6776" t="s">
        <v>8577</v>
      </c>
      <c r="J6776" t="s">
        <v>33313</v>
      </c>
      <c r="K6776" t="s">
        <v>42727</v>
      </c>
      <c r="M6776" t="s">
        <v>45491</v>
      </c>
      <c r="N6776" t="s">
        <v>47424</v>
      </c>
      <c r="O6776" t="s">
        <v>47425</v>
      </c>
      <c r="P6776">
        <v>0</v>
      </c>
      <c r="Q6776">
        <v>4</v>
      </c>
      <c r="R6776" t="s">
        <v>47431</v>
      </c>
      <c r="S6776" t="s">
        <v>47565</v>
      </c>
      <c r="T6776" t="s">
        <v>49107</v>
      </c>
      <c r="U6776" t="s">
        <v>55375</v>
      </c>
      <c r="W6776" t="s">
        <v>45491</v>
      </c>
      <c r="X6776" t="s">
        <v>47432</v>
      </c>
    </row>
    <row r="6777" spans="1:24">
      <c r="A6777">
        <f>HYPERLINK("https://www.philgeps.gov.ph/GEPSNONPILOT/Tender/SplashBidNoticeAbstractUI.aspx?menuIndex=3&amp;refID=7156427&amp;Result=3","7156427")</f>
        <v>0</v>
      </c>
      <c r="B6777" t="s">
        <v>2262</v>
      </c>
      <c r="C6777" t="s">
        <v>10272</v>
      </c>
      <c r="D6777" t="s">
        <v>19026</v>
      </c>
      <c r="E6777" t="s">
        <v>25006</v>
      </c>
      <c r="F6777" t="s">
        <v>32831</v>
      </c>
      <c r="G6777" t="s">
        <v>32839</v>
      </c>
      <c r="H6777" t="s">
        <v>32848</v>
      </c>
      <c r="I6777" t="s">
        <v>32855</v>
      </c>
      <c r="J6777" t="s">
        <v>33468</v>
      </c>
      <c r="K6777" t="s">
        <v>42730</v>
      </c>
      <c r="M6777" t="s">
        <v>45446</v>
      </c>
      <c r="N6777" t="s">
        <v>47424</v>
      </c>
      <c r="O6777" t="s">
        <v>47425</v>
      </c>
      <c r="P6777">
        <v>0</v>
      </c>
      <c r="Q6777">
        <v>8</v>
      </c>
      <c r="R6777" t="s">
        <v>47431</v>
      </c>
      <c r="S6777" t="s">
        <v>47565</v>
      </c>
      <c r="T6777" t="s">
        <v>49056</v>
      </c>
      <c r="U6777" t="s">
        <v>55376</v>
      </c>
      <c r="W6777" t="s">
        <v>45446</v>
      </c>
      <c r="X6777" t="s">
        <v>47432</v>
      </c>
    </row>
    <row r="6778" spans="1:24">
      <c r="A6778">
        <f>HYPERLINK("https://www.philgeps.gov.ph/GEPSNONPILOT/Tender/SplashBidNoticeAbstractUI.aspx?menuIndex=3&amp;refID=7156420&amp;Result=3","7156420")</f>
        <v>0</v>
      </c>
      <c r="B6778" t="s">
        <v>2407</v>
      </c>
      <c r="C6778" t="s">
        <v>10273</v>
      </c>
      <c r="D6778" t="s">
        <v>19056</v>
      </c>
      <c r="E6778" t="s">
        <v>25007</v>
      </c>
      <c r="F6778" t="s">
        <v>32831</v>
      </c>
      <c r="G6778" t="s">
        <v>32838</v>
      </c>
      <c r="H6778" t="s">
        <v>32848</v>
      </c>
      <c r="I6778" t="s">
        <v>10805</v>
      </c>
      <c r="J6778" t="s">
        <v>33133</v>
      </c>
      <c r="K6778" t="s">
        <v>42758</v>
      </c>
      <c r="M6778" t="s">
        <v>45601</v>
      </c>
      <c r="N6778" t="s">
        <v>47424</v>
      </c>
      <c r="O6778" t="s">
        <v>47425</v>
      </c>
      <c r="P6778">
        <v>0</v>
      </c>
      <c r="Q6778">
        <v>0</v>
      </c>
      <c r="R6778" t="s">
        <v>47431</v>
      </c>
      <c r="S6778" t="s">
        <v>47565</v>
      </c>
      <c r="T6778" t="s">
        <v>49114</v>
      </c>
      <c r="U6778" t="s">
        <v>55377</v>
      </c>
      <c r="W6778" t="s">
        <v>45601</v>
      </c>
      <c r="X6778" t="s">
        <v>47432</v>
      </c>
    </row>
    <row r="6779" spans="1:24">
      <c r="A6779">
        <f>HYPERLINK("https://www.philgeps.gov.ph/GEPSNONPILOT/Tender/SplashBidNoticeAbstractUI.aspx?menuIndex=3&amp;refID=7156391&amp;Result=3","7156391")</f>
        <v>0</v>
      </c>
      <c r="B6779" t="s">
        <v>199</v>
      </c>
      <c r="C6779" t="s">
        <v>10274</v>
      </c>
      <c r="D6779" t="s">
        <v>19017</v>
      </c>
      <c r="E6779" t="s">
        <v>25008</v>
      </c>
      <c r="F6779" t="s">
        <v>32831</v>
      </c>
      <c r="G6779" t="s">
        <v>32838</v>
      </c>
      <c r="H6779" t="s">
        <v>32848</v>
      </c>
      <c r="I6779" t="s">
        <v>10805</v>
      </c>
      <c r="J6779" t="s">
        <v>35367</v>
      </c>
      <c r="K6779" t="s">
        <v>42745</v>
      </c>
      <c r="M6779" t="s">
        <v>43197</v>
      </c>
      <c r="N6779" t="s">
        <v>47424</v>
      </c>
      <c r="O6779" t="s">
        <v>47425</v>
      </c>
      <c r="P6779">
        <v>0</v>
      </c>
      <c r="Q6779">
        <v>11</v>
      </c>
      <c r="R6779" t="s">
        <v>47431</v>
      </c>
      <c r="S6779" t="s">
        <v>47565</v>
      </c>
      <c r="T6779" t="s">
        <v>49162</v>
      </c>
      <c r="U6779" t="s">
        <v>55378</v>
      </c>
      <c r="W6779" t="s">
        <v>43197</v>
      </c>
      <c r="X6779" t="s">
        <v>47432</v>
      </c>
    </row>
    <row r="6780" spans="1:24">
      <c r="A6780">
        <f>HYPERLINK("https://www.philgeps.gov.ph/GEPSNONPILOT/Tender/SplashBidNoticeAbstractUI.aspx?menuIndex=3&amp;refID=7156434&amp;Result=3","7156434")</f>
        <v>0</v>
      </c>
      <c r="B6780" t="s">
        <v>2408</v>
      </c>
      <c r="C6780" t="s">
        <v>10275</v>
      </c>
      <c r="D6780" t="s">
        <v>19017</v>
      </c>
      <c r="E6780" t="s">
        <v>25009</v>
      </c>
      <c r="F6780" t="s">
        <v>32831</v>
      </c>
      <c r="G6780" t="s">
        <v>32839</v>
      </c>
      <c r="H6780" t="s">
        <v>32848</v>
      </c>
      <c r="I6780" t="s">
        <v>32859</v>
      </c>
      <c r="J6780" t="s">
        <v>33087</v>
      </c>
      <c r="K6780" t="s">
        <v>42726</v>
      </c>
      <c r="L6780" t="s">
        <v>2408</v>
      </c>
      <c r="M6780" t="s">
        <v>45602</v>
      </c>
      <c r="N6780" t="s">
        <v>47424</v>
      </c>
      <c r="O6780" t="s">
        <v>47425</v>
      </c>
      <c r="P6780">
        <v>0</v>
      </c>
      <c r="Q6780">
        <v>3</v>
      </c>
      <c r="R6780" t="s">
        <v>47431</v>
      </c>
      <c r="S6780" t="s">
        <v>47565</v>
      </c>
      <c r="T6780" t="s">
        <v>49125</v>
      </c>
      <c r="U6780" t="s">
        <v>55379</v>
      </c>
      <c r="W6780" t="s">
        <v>45602</v>
      </c>
      <c r="X6780" t="s">
        <v>47432</v>
      </c>
    </row>
    <row r="6781" spans="1:24">
      <c r="A6781">
        <f>HYPERLINK("https://www.philgeps.gov.ph/GEPSNONPILOT/Tender/SplashBidNoticeAbstractUI.aspx?menuIndex=3&amp;refID=7156416&amp;Result=3","7156416")</f>
        <v>0</v>
      </c>
      <c r="B6781" t="s">
        <v>535</v>
      </c>
      <c r="C6781" t="s">
        <v>10276</v>
      </c>
      <c r="D6781" t="s">
        <v>19019</v>
      </c>
      <c r="E6781" t="s">
        <v>25010</v>
      </c>
      <c r="F6781" t="s">
        <v>32831</v>
      </c>
      <c r="G6781" t="s">
        <v>32839</v>
      </c>
      <c r="H6781" t="s">
        <v>32848</v>
      </c>
      <c r="I6781" t="s">
        <v>32859</v>
      </c>
      <c r="J6781" t="s">
        <v>37256</v>
      </c>
      <c r="K6781" t="s">
        <v>42732</v>
      </c>
      <c r="M6781" t="s">
        <v>45597</v>
      </c>
      <c r="N6781" t="s">
        <v>47424</v>
      </c>
      <c r="O6781" t="s">
        <v>47425</v>
      </c>
      <c r="Q6781">
        <v>4</v>
      </c>
      <c r="R6781" t="s">
        <v>47431</v>
      </c>
      <c r="S6781" t="s">
        <v>47576</v>
      </c>
      <c r="T6781" t="s">
        <v>49219</v>
      </c>
      <c r="U6781" t="s">
        <v>55380</v>
      </c>
      <c r="V6781" t="s">
        <v>63377</v>
      </c>
      <c r="W6781" t="s">
        <v>45597</v>
      </c>
      <c r="X6781" t="s">
        <v>47432</v>
      </c>
    </row>
    <row r="6782" spans="1:24">
      <c r="A6782">
        <f>HYPERLINK("https://www.philgeps.gov.ph/GEPSNONPILOT/Tender/SplashBidNoticeAbstractUI.aspx?menuIndex=3&amp;refID=7156370&amp;Result=3","7156370")</f>
        <v>0</v>
      </c>
      <c r="B6782" t="s">
        <v>2306</v>
      </c>
      <c r="C6782" t="s">
        <v>10277</v>
      </c>
      <c r="D6782" t="s">
        <v>19028</v>
      </c>
      <c r="E6782" t="s">
        <v>19541</v>
      </c>
      <c r="F6782" t="s">
        <v>32831</v>
      </c>
      <c r="G6782" t="s">
        <v>32838</v>
      </c>
      <c r="H6782" t="s">
        <v>32848</v>
      </c>
      <c r="I6782" t="s">
        <v>32931</v>
      </c>
      <c r="J6782" t="s">
        <v>37257</v>
      </c>
      <c r="K6782" t="s">
        <v>42727</v>
      </c>
      <c r="M6782" t="s">
        <v>45491</v>
      </c>
      <c r="N6782" t="s">
        <v>47424</v>
      </c>
      <c r="O6782" t="s">
        <v>47425</v>
      </c>
      <c r="P6782">
        <v>0</v>
      </c>
      <c r="Q6782">
        <v>9</v>
      </c>
      <c r="R6782" t="s">
        <v>47431</v>
      </c>
      <c r="S6782" t="s">
        <v>47565</v>
      </c>
      <c r="T6782" t="s">
        <v>49107</v>
      </c>
      <c r="U6782" t="s">
        <v>55381</v>
      </c>
      <c r="W6782" t="s">
        <v>45491</v>
      </c>
      <c r="X6782" t="s">
        <v>47432</v>
      </c>
    </row>
    <row r="6783" spans="1:24">
      <c r="A6783">
        <f>HYPERLINK("https://www.philgeps.gov.ph/GEPSNONPILOT/Tender/SplashBidNoticeAbstractUI.aspx?menuIndex=3&amp;refID=7156442&amp;Result=3","7156442")</f>
        <v>0</v>
      </c>
      <c r="B6783" t="s">
        <v>2382</v>
      </c>
      <c r="C6783" t="s">
        <v>10278</v>
      </c>
      <c r="D6783" t="s">
        <v>19027</v>
      </c>
      <c r="E6783" t="s">
        <v>25011</v>
      </c>
      <c r="F6783" t="s">
        <v>32831</v>
      </c>
      <c r="G6783" t="s">
        <v>32838</v>
      </c>
      <c r="H6783" t="s">
        <v>32848</v>
      </c>
      <c r="I6783" t="s">
        <v>32906</v>
      </c>
      <c r="J6783" t="s">
        <v>37258</v>
      </c>
      <c r="K6783" t="s">
        <v>42759</v>
      </c>
      <c r="M6783" t="s">
        <v>45571</v>
      </c>
      <c r="N6783" t="s">
        <v>47424</v>
      </c>
      <c r="O6783" t="s">
        <v>47425</v>
      </c>
      <c r="P6783">
        <v>0</v>
      </c>
      <c r="Q6783">
        <v>1</v>
      </c>
      <c r="R6783" t="s">
        <v>47431</v>
      </c>
      <c r="S6783" t="s">
        <v>47565</v>
      </c>
      <c r="T6783" t="s">
        <v>49124</v>
      </c>
      <c r="U6783" t="s">
        <v>55382</v>
      </c>
      <c r="W6783" t="s">
        <v>45571</v>
      </c>
      <c r="X6783" t="s">
        <v>47432</v>
      </c>
    </row>
    <row r="6784" spans="1:24">
      <c r="A6784">
        <f>HYPERLINK("https://www.philgeps.gov.ph/GEPSNONPILOT/Tender/SplashBidNoticeAbstractUI.aspx?menuIndex=3&amp;refID=7156421&amp;Result=3","7156421")</f>
        <v>0</v>
      </c>
      <c r="B6784" t="s">
        <v>2409</v>
      </c>
      <c r="C6784" t="s">
        <v>10279</v>
      </c>
      <c r="D6784" t="s">
        <v>19038</v>
      </c>
      <c r="E6784" t="s">
        <v>19311</v>
      </c>
      <c r="F6784" t="s">
        <v>32831</v>
      </c>
      <c r="G6784" t="s">
        <v>32838</v>
      </c>
      <c r="H6784" t="s">
        <v>32848</v>
      </c>
      <c r="I6784" t="s">
        <v>32864</v>
      </c>
      <c r="J6784" t="s">
        <v>37259</v>
      </c>
      <c r="K6784" t="s">
        <v>42727</v>
      </c>
      <c r="M6784" t="s">
        <v>45603</v>
      </c>
      <c r="N6784" t="s">
        <v>47424</v>
      </c>
      <c r="O6784" t="s">
        <v>47425</v>
      </c>
      <c r="P6784">
        <v>0</v>
      </c>
      <c r="Q6784">
        <v>3</v>
      </c>
      <c r="R6784" t="s">
        <v>47431</v>
      </c>
      <c r="S6784" t="s">
        <v>47565</v>
      </c>
      <c r="T6784" t="s">
        <v>49079</v>
      </c>
      <c r="U6784" t="s">
        <v>55383</v>
      </c>
      <c r="W6784" t="s">
        <v>45603</v>
      </c>
      <c r="X6784" t="s">
        <v>47432</v>
      </c>
    </row>
    <row r="6785" spans="1:24">
      <c r="A6785">
        <f>HYPERLINK("https://www.philgeps.gov.ph/GEPSNONPILOT/Tender/SplashBidNoticeAbstractUI.aspx?menuIndex=3&amp;refID=7156437&amp;Result=3","7156437")</f>
        <v>0</v>
      </c>
      <c r="B6785" t="s">
        <v>2306</v>
      </c>
      <c r="C6785" t="s">
        <v>10280</v>
      </c>
      <c r="D6785" t="s">
        <v>19056</v>
      </c>
      <c r="E6785" t="s">
        <v>19863</v>
      </c>
      <c r="F6785" t="s">
        <v>32831</v>
      </c>
      <c r="G6785" t="s">
        <v>32838</v>
      </c>
      <c r="H6785" t="s">
        <v>32848</v>
      </c>
      <c r="I6785" t="s">
        <v>4776</v>
      </c>
      <c r="J6785" t="s">
        <v>33031</v>
      </c>
      <c r="K6785" t="s">
        <v>42727</v>
      </c>
      <c r="M6785" t="s">
        <v>45491</v>
      </c>
      <c r="N6785" t="s">
        <v>47424</v>
      </c>
      <c r="O6785" t="s">
        <v>47425</v>
      </c>
      <c r="P6785">
        <v>0</v>
      </c>
      <c r="Q6785">
        <v>3</v>
      </c>
      <c r="R6785" t="s">
        <v>47431</v>
      </c>
      <c r="S6785" t="s">
        <v>47565</v>
      </c>
      <c r="T6785" t="s">
        <v>49107</v>
      </c>
      <c r="U6785" t="s">
        <v>55384</v>
      </c>
      <c r="W6785" t="s">
        <v>45491</v>
      </c>
      <c r="X6785" t="s">
        <v>47432</v>
      </c>
    </row>
    <row r="6786" spans="1:24">
      <c r="A6786">
        <f>HYPERLINK("https://www.philgeps.gov.ph/GEPSNONPILOT/Tender/SplashBidNoticeAbstractUI.aspx?menuIndex=3&amp;refID=7156471&amp;Result=3","7156471")</f>
        <v>0</v>
      </c>
      <c r="B6786" t="s">
        <v>1334</v>
      </c>
      <c r="C6786" t="s">
        <v>10281</v>
      </c>
      <c r="D6786" t="s">
        <v>19077</v>
      </c>
      <c r="E6786" t="s">
        <v>21879</v>
      </c>
      <c r="F6786" t="s">
        <v>32831</v>
      </c>
      <c r="G6786" t="s">
        <v>32839</v>
      </c>
      <c r="H6786" t="s">
        <v>32848</v>
      </c>
      <c r="I6786" t="s">
        <v>7416</v>
      </c>
      <c r="J6786" t="s">
        <v>37260</v>
      </c>
      <c r="K6786" t="s">
        <v>42732</v>
      </c>
      <c r="M6786" t="s">
        <v>44406</v>
      </c>
      <c r="N6786" t="s">
        <v>47424</v>
      </c>
      <c r="O6786" t="s">
        <v>47425</v>
      </c>
      <c r="P6786">
        <v>0</v>
      </c>
      <c r="Q6786">
        <v>0</v>
      </c>
      <c r="R6786" t="s">
        <v>47431</v>
      </c>
      <c r="S6786" t="s">
        <v>47565</v>
      </c>
      <c r="T6786" t="s">
        <v>49275</v>
      </c>
      <c r="U6786" t="s">
        <v>55385</v>
      </c>
      <c r="W6786" t="s">
        <v>44406</v>
      </c>
      <c r="X6786" t="s">
        <v>47432</v>
      </c>
    </row>
    <row r="6787" spans="1:24">
      <c r="A6787">
        <f>HYPERLINK("https://www.philgeps.gov.ph/GEPSNONPILOT/Tender/SplashBidNoticeAbstractUI.aspx?menuIndex=3&amp;refID=7156419&amp;Result=3","7156419")</f>
        <v>0</v>
      </c>
      <c r="B6787" t="s">
        <v>2410</v>
      </c>
      <c r="C6787" t="s">
        <v>10282</v>
      </c>
      <c r="D6787" t="s">
        <v>19044</v>
      </c>
      <c r="E6787" t="s">
        <v>19211</v>
      </c>
      <c r="F6787" t="s">
        <v>32831</v>
      </c>
      <c r="G6787" t="s">
        <v>32839</v>
      </c>
      <c r="H6787" t="s">
        <v>32848</v>
      </c>
      <c r="I6787" t="s">
        <v>7416</v>
      </c>
      <c r="J6787" t="s">
        <v>35178</v>
      </c>
      <c r="K6787" t="s">
        <v>42730</v>
      </c>
      <c r="M6787" t="s">
        <v>45604</v>
      </c>
      <c r="N6787" t="s">
        <v>47424</v>
      </c>
      <c r="O6787" t="s">
        <v>47425</v>
      </c>
      <c r="P6787">
        <v>0</v>
      </c>
      <c r="Q6787">
        <v>0</v>
      </c>
      <c r="R6787" t="s">
        <v>47431</v>
      </c>
      <c r="S6787" t="s">
        <v>47565</v>
      </c>
      <c r="T6787" t="s">
        <v>49065</v>
      </c>
      <c r="U6787" t="s">
        <v>50272</v>
      </c>
      <c r="W6787" t="s">
        <v>45604</v>
      </c>
      <c r="X6787" t="s">
        <v>47432</v>
      </c>
    </row>
    <row r="6788" spans="1:24">
      <c r="A6788">
        <f>HYPERLINK("https://www.philgeps.gov.ph/GEPSNONPILOT/Tender/SplashBidNoticeAbstractUI.aspx?menuIndex=3&amp;refID=7156470&amp;Result=3","7156470")</f>
        <v>0</v>
      </c>
      <c r="B6788" t="s">
        <v>755</v>
      </c>
      <c r="C6788" t="s">
        <v>10283</v>
      </c>
      <c r="E6788" t="s">
        <v>25012</v>
      </c>
      <c r="F6788" t="s">
        <v>32831</v>
      </c>
      <c r="G6788" t="s">
        <v>32839</v>
      </c>
      <c r="H6788" t="s">
        <v>32848</v>
      </c>
      <c r="I6788" t="s">
        <v>7751</v>
      </c>
      <c r="J6788" t="s">
        <v>33193</v>
      </c>
      <c r="K6788" t="s">
        <v>42732</v>
      </c>
      <c r="M6788" t="s">
        <v>45605</v>
      </c>
      <c r="N6788" t="s">
        <v>47424</v>
      </c>
      <c r="O6788" t="s">
        <v>47425</v>
      </c>
      <c r="P6788">
        <v>0</v>
      </c>
      <c r="Q6788">
        <v>0</v>
      </c>
      <c r="R6788" t="s">
        <v>47431</v>
      </c>
      <c r="S6788" t="s">
        <v>47565</v>
      </c>
      <c r="T6788" t="s">
        <v>49150</v>
      </c>
      <c r="U6788" t="s">
        <v>55386</v>
      </c>
      <c r="W6788" t="s">
        <v>45605</v>
      </c>
      <c r="X6788" t="s">
        <v>47432</v>
      </c>
    </row>
    <row r="6789" spans="1:24">
      <c r="A6789">
        <f>HYPERLINK("https://www.philgeps.gov.ph/GEPSNONPILOT/Tender/SplashBidNoticeAbstractUI.aspx?menuIndex=3&amp;refID=7156469&amp;Result=3","7156469")</f>
        <v>0</v>
      </c>
      <c r="B6789" t="s">
        <v>663</v>
      </c>
      <c r="C6789" t="s">
        <v>10284</v>
      </c>
      <c r="D6789" t="s">
        <v>19026</v>
      </c>
      <c r="E6789" t="s">
        <v>25013</v>
      </c>
      <c r="F6789" t="s">
        <v>32831</v>
      </c>
      <c r="G6789" t="s">
        <v>32840</v>
      </c>
      <c r="H6789" t="s">
        <v>32848</v>
      </c>
      <c r="I6789" t="s">
        <v>32860</v>
      </c>
      <c r="J6789" t="s">
        <v>37261</v>
      </c>
      <c r="K6789" t="s">
        <v>42732</v>
      </c>
      <c r="M6789" t="s">
        <v>43681</v>
      </c>
      <c r="N6789" t="s">
        <v>47424</v>
      </c>
      <c r="O6789" t="s">
        <v>47425</v>
      </c>
      <c r="P6789">
        <v>0</v>
      </c>
      <c r="Q6789">
        <v>4</v>
      </c>
      <c r="R6789" t="s">
        <v>47431</v>
      </c>
      <c r="S6789" t="s">
        <v>47565</v>
      </c>
      <c r="T6789" t="s">
        <v>49235</v>
      </c>
      <c r="U6789" t="s">
        <v>49728</v>
      </c>
      <c r="W6789" t="s">
        <v>43681</v>
      </c>
      <c r="X6789" t="s">
        <v>47432</v>
      </c>
    </row>
    <row r="6790" spans="1:24">
      <c r="A6790">
        <f>HYPERLINK("https://www.philgeps.gov.ph/GEPSNONPILOT/Tender/SplashBidNoticeAbstractUI.aspx?menuIndex=3&amp;refID=7156438&amp;Result=3","7156438")</f>
        <v>0</v>
      </c>
      <c r="B6790" t="s">
        <v>2411</v>
      </c>
      <c r="C6790" t="s">
        <v>10285</v>
      </c>
      <c r="E6790" t="s">
        <v>25014</v>
      </c>
      <c r="F6790" t="s">
        <v>32831</v>
      </c>
      <c r="G6790" t="s">
        <v>32839</v>
      </c>
      <c r="H6790" t="s">
        <v>32848</v>
      </c>
      <c r="I6790" t="s">
        <v>4303</v>
      </c>
      <c r="J6790" t="s">
        <v>37262</v>
      </c>
      <c r="K6790" t="s">
        <v>42727</v>
      </c>
      <c r="M6790" t="s">
        <v>45606</v>
      </c>
      <c r="N6790" t="s">
        <v>47424</v>
      </c>
      <c r="O6790" t="s">
        <v>47425</v>
      </c>
      <c r="P6790">
        <v>0</v>
      </c>
      <c r="Q6790">
        <v>0</v>
      </c>
      <c r="R6790" t="s">
        <v>47431</v>
      </c>
      <c r="S6790" t="s">
        <v>47565</v>
      </c>
      <c r="T6790" t="s">
        <v>49057</v>
      </c>
      <c r="U6790" t="s">
        <v>55387</v>
      </c>
      <c r="W6790" t="s">
        <v>45606</v>
      </c>
      <c r="X6790" t="s">
        <v>47432</v>
      </c>
    </row>
    <row r="6791" spans="1:24">
      <c r="A6791">
        <f>HYPERLINK("https://www.philgeps.gov.ph/GEPSNONPILOT/Tender/SplashBidNoticeAbstractUI.aspx?menuIndex=3&amp;refID=7156426&amp;Result=3","7156426")</f>
        <v>0</v>
      </c>
      <c r="B6791" t="s">
        <v>2310</v>
      </c>
      <c r="C6791" t="s">
        <v>10286</v>
      </c>
      <c r="D6791" t="s">
        <v>19028</v>
      </c>
      <c r="E6791" t="s">
        <v>25015</v>
      </c>
      <c r="F6791" t="s">
        <v>32831</v>
      </c>
      <c r="G6791" t="s">
        <v>32839</v>
      </c>
      <c r="H6791" t="s">
        <v>32848</v>
      </c>
      <c r="I6791" t="s">
        <v>32868</v>
      </c>
      <c r="J6791" t="s">
        <v>37263</v>
      </c>
      <c r="K6791" t="s">
        <v>42730</v>
      </c>
      <c r="M6791" t="s">
        <v>45495</v>
      </c>
      <c r="N6791" t="s">
        <v>47424</v>
      </c>
      <c r="O6791" t="s">
        <v>47425</v>
      </c>
      <c r="P6791">
        <v>0</v>
      </c>
      <c r="Q6791">
        <v>8</v>
      </c>
      <c r="R6791" t="s">
        <v>47431</v>
      </c>
      <c r="S6791" t="s">
        <v>47565</v>
      </c>
      <c r="T6791" t="s">
        <v>49063</v>
      </c>
      <c r="U6791" t="s">
        <v>55316</v>
      </c>
      <c r="V6791" t="s">
        <v>63365</v>
      </c>
      <c r="W6791" t="s">
        <v>45495</v>
      </c>
      <c r="X6791" t="s">
        <v>47432</v>
      </c>
    </row>
    <row r="6792" spans="1:24">
      <c r="A6792">
        <f>HYPERLINK("https://www.philgeps.gov.ph/GEPSNONPILOT/Tender/SplashBidNoticeAbstractUI.aspx?menuIndex=3&amp;refID=7156466&amp;Result=3","7156466")</f>
        <v>0</v>
      </c>
      <c r="B6792" t="s">
        <v>2412</v>
      </c>
      <c r="C6792" t="s">
        <v>10287</v>
      </c>
      <c r="D6792" t="s">
        <v>19030</v>
      </c>
      <c r="E6792" t="s">
        <v>25016</v>
      </c>
      <c r="F6792" t="s">
        <v>32831</v>
      </c>
      <c r="G6792" t="s">
        <v>32838</v>
      </c>
      <c r="H6792" t="s">
        <v>32848</v>
      </c>
      <c r="I6792" t="s">
        <v>10805</v>
      </c>
      <c r="J6792" t="s">
        <v>37264</v>
      </c>
      <c r="K6792" t="s">
        <v>42729</v>
      </c>
      <c r="M6792" t="s">
        <v>45607</v>
      </c>
      <c r="N6792" t="s">
        <v>47424</v>
      </c>
      <c r="O6792" t="s">
        <v>47425</v>
      </c>
      <c r="P6792">
        <v>0</v>
      </c>
      <c r="Q6792">
        <v>2</v>
      </c>
      <c r="R6792" t="s">
        <v>47431</v>
      </c>
      <c r="S6792" t="s">
        <v>47565</v>
      </c>
      <c r="T6792" t="s">
        <v>49108</v>
      </c>
      <c r="U6792" t="s">
        <v>55388</v>
      </c>
      <c r="W6792" t="s">
        <v>45607</v>
      </c>
      <c r="X6792" t="s">
        <v>47432</v>
      </c>
    </row>
    <row r="6793" spans="1:24">
      <c r="A6793">
        <f>HYPERLINK("https://www.philgeps.gov.ph/GEPSNONPILOT/Tender/SplashBidNoticeAbstractUI.aspx?menuIndex=3&amp;refID=7156464&amp;Result=3","7156464")</f>
        <v>0</v>
      </c>
      <c r="B6793" t="s">
        <v>2411</v>
      </c>
      <c r="C6793" t="s">
        <v>10288</v>
      </c>
      <c r="E6793" t="s">
        <v>25017</v>
      </c>
      <c r="F6793" t="s">
        <v>32831</v>
      </c>
      <c r="G6793" t="s">
        <v>32839</v>
      </c>
      <c r="H6793" t="s">
        <v>32848</v>
      </c>
      <c r="I6793" t="s">
        <v>4303</v>
      </c>
      <c r="J6793" t="s">
        <v>36174</v>
      </c>
      <c r="K6793" t="s">
        <v>42727</v>
      </c>
      <c r="M6793" t="s">
        <v>45606</v>
      </c>
      <c r="N6793" t="s">
        <v>47424</v>
      </c>
      <c r="O6793" t="s">
        <v>47425</v>
      </c>
      <c r="P6793">
        <v>0</v>
      </c>
      <c r="Q6793">
        <v>0</v>
      </c>
      <c r="R6793" t="s">
        <v>47431</v>
      </c>
      <c r="S6793" t="s">
        <v>47565</v>
      </c>
      <c r="T6793" t="s">
        <v>49057</v>
      </c>
      <c r="U6793" t="s">
        <v>55387</v>
      </c>
      <c r="W6793" t="s">
        <v>45606</v>
      </c>
      <c r="X6793" t="s">
        <v>47432</v>
      </c>
    </row>
    <row r="6794" spans="1:24">
      <c r="A6794">
        <f>HYPERLINK("https://www.philgeps.gov.ph/GEPSNONPILOT/Tender/SplashBidNoticeAbstractUI.aspx?menuIndex=3&amp;refID=7156463&amp;Result=3","7156463")</f>
        <v>0</v>
      </c>
      <c r="B6794" t="s">
        <v>598</v>
      </c>
      <c r="C6794" t="s">
        <v>10289</v>
      </c>
      <c r="E6794" t="s">
        <v>25018</v>
      </c>
      <c r="F6794" t="s">
        <v>32831</v>
      </c>
      <c r="G6794" t="s">
        <v>32839</v>
      </c>
      <c r="H6794" t="s">
        <v>32848</v>
      </c>
      <c r="I6794" t="s">
        <v>32874</v>
      </c>
      <c r="J6794" t="s">
        <v>37265</v>
      </c>
      <c r="K6794" t="s">
        <v>42732</v>
      </c>
      <c r="M6794" t="s">
        <v>43991</v>
      </c>
      <c r="N6794" t="s">
        <v>47424</v>
      </c>
      <c r="O6794" t="s">
        <v>47425</v>
      </c>
      <c r="P6794">
        <v>0</v>
      </c>
      <c r="Q6794">
        <v>13</v>
      </c>
      <c r="R6794" t="s">
        <v>47431</v>
      </c>
      <c r="S6794" t="s">
        <v>47565</v>
      </c>
      <c r="T6794" t="s">
        <v>49150</v>
      </c>
      <c r="U6794" t="s">
        <v>54781</v>
      </c>
      <c r="W6794" t="s">
        <v>43991</v>
      </c>
      <c r="X6794" t="s">
        <v>47432</v>
      </c>
    </row>
    <row r="6795" spans="1:24">
      <c r="A6795">
        <f>HYPERLINK("https://www.philgeps.gov.ph/GEPSNONPILOT/Tender/SplashBidNoticeAbstractUI.aspx?menuIndex=3&amp;refID=7156458&amp;Result=3","7156458")</f>
        <v>0</v>
      </c>
      <c r="B6795" t="s">
        <v>2413</v>
      </c>
      <c r="C6795" t="s">
        <v>10290</v>
      </c>
      <c r="D6795" t="s">
        <v>19026</v>
      </c>
      <c r="E6795" t="s">
        <v>25019</v>
      </c>
      <c r="F6795" t="s">
        <v>32831</v>
      </c>
      <c r="G6795" t="s">
        <v>32839</v>
      </c>
      <c r="H6795" t="s">
        <v>32848</v>
      </c>
      <c r="I6795" t="s">
        <v>7416</v>
      </c>
      <c r="J6795" t="s">
        <v>37266</v>
      </c>
      <c r="K6795" t="s">
        <v>42750</v>
      </c>
      <c r="M6795" t="s">
        <v>45608</v>
      </c>
      <c r="N6795" t="s">
        <v>47424</v>
      </c>
      <c r="O6795" t="s">
        <v>47425</v>
      </c>
      <c r="P6795">
        <v>0</v>
      </c>
      <c r="Q6795">
        <v>1</v>
      </c>
      <c r="R6795" t="s">
        <v>47431</v>
      </c>
      <c r="S6795" t="s">
        <v>47565</v>
      </c>
      <c r="T6795" t="s">
        <v>49079</v>
      </c>
      <c r="U6795" t="s">
        <v>49788</v>
      </c>
      <c r="W6795" t="s">
        <v>45608</v>
      </c>
      <c r="X6795" t="s">
        <v>47432</v>
      </c>
    </row>
    <row r="6796" spans="1:24">
      <c r="A6796">
        <f>HYPERLINK("https://www.philgeps.gov.ph/GEPSNONPILOT/Tender/SplashBidNoticeAbstractUI.aspx?menuIndex=3&amp;refID=7156456&amp;Result=3","7156456")</f>
        <v>0</v>
      </c>
      <c r="B6796" t="s">
        <v>2414</v>
      </c>
      <c r="C6796" t="s">
        <v>10291</v>
      </c>
      <c r="D6796" t="s">
        <v>19045</v>
      </c>
      <c r="E6796" t="s">
        <v>25020</v>
      </c>
      <c r="F6796" t="s">
        <v>32831</v>
      </c>
      <c r="G6796" t="s">
        <v>32839</v>
      </c>
      <c r="H6796" t="s">
        <v>32849</v>
      </c>
      <c r="I6796" t="s">
        <v>4177</v>
      </c>
      <c r="J6796" t="s">
        <v>37267</v>
      </c>
      <c r="K6796" t="s">
        <v>42731</v>
      </c>
      <c r="M6796" t="s">
        <v>45609</v>
      </c>
      <c r="N6796" t="s">
        <v>47424</v>
      </c>
      <c r="O6796" t="s">
        <v>47425</v>
      </c>
      <c r="P6796">
        <v>0</v>
      </c>
      <c r="Q6796">
        <v>0</v>
      </c>
      <c r="R6796" t="s">
        <v>47431</v>
      </c>
      <c r="S6796" t="s">
        <v>47565</v>
      </c>
      <c r="T6796" t="s">
        <v>49127</v>
      </c>
      <c r="U6796" t="s">
        <v>55389</v>
      </c>
      <c r="W6796" t="s">
        <v>45609</v>
      </c>
      <c r="X6796" t="s">
        <v>47432</v>
      </c>
    </row>
    <row r="6797" spans="1:24">
      <c r="A6797">
        <f>HYPERLINK("https://www.philgeps.gov.ph/GEPSNONPILOT/Tender/SplashBidNoticeAbstractUI.aspx?menuIndex=3&amp;refID=7156468&amp;Result=3","7156468")</f>
        <v>0</v>
      </c>
      <c r="B6797" t="s">
        <v>2415</v>
      </c>
      <c r="C6797" t="s">
        <v>10292</v>
      </c>
      <c r="D6797" t="s">
        <v>19044</v>
      </c>
      <c r="E6797" t="s">
        <v>25021</v>
      </c>
      <c r="F6797" t="s">
        <v>32831</v>
      </c>
      <c r="G6797" t="s">
        <v>32840</v>
      </c>
      <c r="H6797" t="s">
        <v>32848</v>
      </c>
      <c r="I6797" t="s">
        <v>32860</v>
      </c>
      <c r="J6797" t="s">
        <v>36913</v>
      </c>
      <c r="K6797" t="s">
        <v>42732</v>
      </c>
      <c r="M6797" t="s">
        <v>45610</v>
      </c>
      <c r="N6797" t="s">
        <v>47424</v>
      </c>
      <c r="O6797" t="s">
        <v>47425</v>
      </c>
      <c r="P6797">
        <v>0</v>
      </c>
      <c r="Q6797">
        <v>3</v>
      </c>
      <c r="R6797" t="s">
        <v>47431</v>
      </c>
      <c r="S6797" t="s">
        <v>47565</v>
      </c>
      <c r="T6797" t="s">
        <v>49107</v>
      </c>
      <c r="U6797" t="s">
        <v>55390</v>
      </c>
      <c r="W6797" t="s">
        <v>45610</v>
      </c>
      <c r="X6797" t="s">
        <v>47432</v>
      </c>
    </row>
    <row r="6798" spans="1:24">
      <c r="A6798">
        <f>HYPERLINK("https://www.philgeps.gov.ph/GEPSNONPILOT/Tender/SplashBidNoticeAbstractUI.aspx?menuIndex=3&amp;refID=7156453&amp;Result=3","7156453")</f>
        <v>0</v>
      </c>
      <c r="B6798" t="s">
        <v>2388</v>
      </c>
      <c r="C6798" t="s">
        <v>10293</v>
      </c>
      <c r="D6798" t="s">
        <v>19075</v>
      </c>
      <c r="E6798" t="s">
        <v>25022</v>
      </c>
      <c r="F6798" t="s">
        <v>32831</v>
      </c>
      <c r="G6798" t="s">
        <v>32839</v>
      </c>
      <c r="H6798" t="s">
        <v>32848</v>
      </c>
      <c r="I6798" t="s">
        <v>7751</v>
      </c>
      <c r="J6798" t="s">
        <v>35892</v>
      </c>
      <c r="K6798" t="s">
        <v>42732</v>
      </c>
      <c r="M6798" t="s">
        <v>45579</v>
      </c>
      <c r="N6798" t="s">
        <v>47424</v>
      </c>
      <c r="O6798" t="s">
        <v>47425</v>
      </c>
      <c r="P6798">
        <v>0</v>
      </c>
      <c r="Q6798">
        <v>5</v>
      </c>
      <c r="R6798" t="s">
        <v>47431</v>
      </c>
      <c r="S6798" t="s">
        <v>47565</v>
      </c>
      <c r="T6798" t="s">
        <v>49236</v>
      </c>
      <c r="U6798" t="s">
        <v>55391</v>
      </c>
      <c r="W6798" t="s">
        <v>64507</v>
      </c>
      <c r="X6798" t="s">
        <v>47432</v>
      </c>
    </row>
    <row r="6799" spans="1:24">
      <c r="A6799">
        <f>HYPERLINK("https://www.philgeps.gov.ph/GEPSNONPILOT/Tender/SplashBidNoticeAbstractUI.aspx?menuIndex=3&amp;refID=7156451&amp;Result=3","7156451")</f>
        <v>0</v>
      </c>
      <c r="B6799" t="s">
        <v>2411</v>
      </c>
      <c r="C6799" t="s">
        <v>10294</v>
      </c>
      <c r="E6799" t="s">
        <v>25023</v>
      </c>
      <c r="F6799" t="s">
        <v>32831</v>
      </c>
      <c r="G6799" t="s">
        <v>32839</v>
      </c>
      <c r="H6799" t="s">
        <v>32848</v>
      </c>
      <c r="I6799" t="s">
        <v>4303</v>
      </c>
      <c r="J6799" t="s">
        <v>37268</v>
      </c>
      <c r="K6799" t="s">
        <v>42727</v>
      </c>
      <c r="M6799" t="s">
        <v>45606</v>
      </c>
      <c r="N6799" t="s">
        <v>47424</v>
      </c>
      <c r="O6799" t="s">
        <v>47425</v>
      </c>
      <c r="P6799">
        <v>0</v>
      </c>
      <c r="Q6799">
        <v>0</v>
      </c>
      <c r="R6799" t="s">
        <v>47431</v>
      </c>
      <c r="S6799" t="s">
        <v>47565</v>
      </c>
      <c r="T6799" t="s">
        <v>49057</v>
      </c>
      <c r="U6799" t="s">
        <v>55387</v>
      </c>
      <c r="W6799" t="s">
        <v>45606</v>
      </c>
      <c r="X6799" t="s">
        <v>47432</v>
      </c>
    </row>
    <row r="6800" spans="1:24">
      <c r="A6800">
        <f>HYPERLINK("https://www.philgeps.gov.ph/GEPSNONPILOT/Tender/SplashBidNoticeAbstractUI.aspx?menuIndex=3&amp;refID=7156446&amp;Result=3","7156446")</f>
        <v>0</v>
      </c>
      <c r="B6800" t="s">
        <v>2412</v>
      </c>
      <c r="C6800" t="s">
        <v>10295</v>
      </c>
      <c r="D6800" t="s">
        <v>19030</v>
      </c>
      <c r="E6800" t="s">
        <v>25024</v>
      </c>
      <c r="F6800" t="s">
        <v>32831</v>
      </c>
      <c r="G6800" t="s">
        <v>32838</v>
      </c>
      <c r="H6800" t="s">
        <v>32848</v>
      </c>
      <c r="I6800" t="s">
        <v>10805</v>
      </c>
      <c r="J6800" t="s">
        <v>37269</v>
      </c>
      <c r="K6800" t="s">
        <v>42729</v>
      </c>
      <c r="M6800" t="s">
        <v>45607</v>
      </c>
      <c r="N6800" t="s">
        <v>47424</v>
      </c>
      <c r="O6800" t="s">
        <v>47425</v>
      </c>
      <c r="P6800">
        <v>0</v>
      </c>
      <c r="Q6800">
        <v>3</v>
      </c>
      <c r="R6800" t="s">
        <v>47431</v>
      </c>
      <c r="S6800" t="s">
        <v>47565</v>
      </c>
      <c r="T6800" t="s">
        <v>49108</v>
      </c>
      <c r="U6800" t="s">
        <v>55392</v>
      </c>
      <c r="W6800" t="s">
        <v>45607</v>
      </c>
      <c r="X6800" t="s">
        <v>47432</v>
      </c>
    </row>
    <row r="6801" spans="1:24">
      <c r="A6801">
        <f>HYPERLINK("https://www.philgeps.gov.ph/GEPSNONPILOT/Tender/SplashBidNoticeAbstractUI.aspx?menuIndex=3&amp;refID=7156444&amp;Result=3","7156444")</f>
        <v>0</v>
      </c>
      <c r="B6801" t="s">
        <v>51</v>
      </c>
      <c r="C6801" t="s">
        <v>10296</v>
      </c>
      <c r="D6801" t="s">
        <v>19038</v>
      </c>
      <c r="E6801" t="s">
        <v>20297</v>
      </c>
      <c r="F6801" t="s">
        <v>32831</v>
      </c>
      <c r="G6801" t="s">
        <v>32839</v>
      </c>
      <c r="H6801" t="s">
        <v>32848</v>
      </c>
      <c r="I6801" t="s">
        <v>7416</v>
      </c>
      <c r="J6801" t="s">
        <v>37158</v>
      </c>
      <c r="K6801" t="s">
        <v>42726</v>
      </c>
      <c r="M6801" t="s">
        <v>43048</v>
      </c>
      <c r="N6801" t="s">
        <v>47424</v>
      </c>
      <c r="O6801" t="s">
        <v>47425</v>
      </c>
      <c r="P6801">
        <v>0</v>
      </c>
      <c r="Q6801">
        <v>2</v>
      </c>
      <c r="R6801" t="s">
        <v>47431</v>
      </c>
      <c r="S6801" t="s">
        <v>47565</v>
      </c>
      <c r="T6801" t="s">
        <v>49115</v>
      </c>
      <c r="U6801" t="s">
        <v>55393</v>
      </c>
      <c r="W6801" t="s">
        <v>43048</v>
      </c>
      <c r="X6801" t="s">
        <v>47432</v>
      </c>
    </row>
    <row r="6802" spans="1:24">
      <c r="A6802">
        <f>HYPERLINK("https://www.philgeps.gov.ph/GEPSNONPILOT/Tender/SplashBidNoticeAbstractUI.aspx?menuIndex=3&amp;refID=7156441&amp;Result=3","7156441")</f>
        <v>0</v>
      </c>
      <c r="B6802" t="s">
        <v>634</v>
      </c>
      <c r="C6802" t="s">
        <v>10297</v>
      </c>
      <c r="D6802" t="s">
        <v>19044</v>
      </c>
      <c r="E6802" t="s">
        <v>25025</v>
      </c>
      <c r="F6802" t="s">
        <v>32831</v>
      </c>
      <c r="G6802" t="s">
        <v>32839</v>
      </c>
      <c r="H6802" t="s">
        <v>32848</v>
      </c>
      <c r="I6802" t="s">
        <v>4487</v>
      </c>
      <c r="J6802" t="s">
        <v>33291</v>
      </c>
      <c r="K6802" t="s">
        <v>42730</v>
      </c>
      <c r="M6802" t="s">
        <v>45584</v>
      </c>
      <c r="N6802" t="s">
        <v>47424</v>
      </c>
      <c r="O6802" t="s">
        <v>47425</v>
      </c>
      <c r="P6802">
        <v>0</v>
      </c>
      <c r="Q6802">
        <v>1</v>
      </c>
      <c r="R6802" t="s">
        <v>47431</v>
      </c>
      <c r="S6802" t="s">
        <v>47565</v>
      </c>
      <c r="T6802" t="s">
        <v>49108</v>
      </c>
      <c r="U6802" t="s">
        <v>55394</v>
      </c>
      <c r="V6802" t="s">
        <v>62770</v>
      </c>
      <c r="W6802" t="s">
        <v>64508</v>
      </c>
      <c r="X6802" t="s">
        <v>47432</v>
      </c>
    </row>
    <row r="6803" spans="1:24">
      <c r="A6803">
        <f>HYPERLINK("https://www.philgeps.gov.ph/GEPSNONPILOT/Tender/SplashBidNoticeAbstractUI.aspx?menuIndex=3&amp;refID=7156415&amp;Result=3","7156415")</f>
        <v>0</v>
      </c>
      <c r="B6803" t="s">
        <v>2416</v>
      </c>
      <c r="C6803" t="s">
        <v>10298</v>
      </c>
      <c r="D6803" t="s">
        <v>19017</v>
      </c>
      <c r="E6803" t="s">
        <v>25026</v>
      </c>
      <c r="F6803" t="s">
        <v>32831</v>
      </c>
      <c r="G6803" t="s">
        <v>32839</v>
      </c>
      <c r="H6803" t="s">
        <v>32848</v>
      </c>
      <c r="I6803" t="s">
        <v>7819</v>
      </c>
      <c r="J6803" t="s">
        <v>32978</v>
      </c>
      <c r="K6803" t="s">
        <v>42748</v>
      </c>
      <c r="M6803" t="s">
        <v>45611</v>
      </c>
      <c r="N6803" t="s">
        <v>47424</v>
      </c>
      <c r="O6803" t="s">
        <v>47425</v>
      </c>
      <c r="P6803">
        <v>0</v>
      </c>
      <c r="Q6803">
        <v>2</v>
      </c>
      <c r="R6803" t="s">
        <v>47431</v>
      </c>
      <c r="S6803" t="s">
        <v>47565</v>
      </c>
      <c r="T6803" t="s">
        <v>49079</v>
      </c>
      <c r="U6803" t="s">
        <v>55395</v>
      </c>
      <c r="W6803" t="s">
        <v>45611</v>
      </c>
      <c r="X6803" t="s">
        <v>47432</v>
      </c>
    </row>
    <row r="6804" spans="1:24">
      <c r="A6804">
        <f>HYPERLINK("https://www.philgeps.gov.ph/GEPSNONPILOT/Tender/SplashBidNoticeAbstractUI.aspx?menuIndex=3&amp;refID=7156410&amp;Result=3","7156410")</f>
        <v>0</v>
      </c>
      <c r="B6804" t="s">
        <v>2417</v>
      </c>
      <c r="C6804" t="s">
        <v>10299</v>
      </c>
      <c r="D6804" t="s">
        <v>19037</v>
      </c>
      <c r="E6804" t="s">
        <v>19486</v>
      </c>
      <c r="F6804" t="s">
        <v>32831</v>
      </c>
      <c r="G6804" t="s">
        <v>32839</v>
      </c>
      <c r="H6804" t="s">
        <v>32848</v>
      </c>
      <c r="I6804" t="s">
        <v>4558</v>
      </c>
      <c r="J6804" t="s">
        <v>32976</v>
      </c>
      <c r="K6804" t="s">
        <v>42729</v>
      </c>
      <c r="M6804" t="s">
        <v>45612</v>
      </c>
      <c r="N6804" t="s">
        <v>47424</v>
      </c>
      <c r="O6804" t="s">
        <v>47425</v>
      </c>
      <c r="P6804">
        <v>0</v>
      </c>
      <c r="Q6804">
        <v>2</v>
      </c>
      <c r="R6804" t="s">
        <v>47431</v>
      </c>
      <c r="S6804" t="s">
        <v>47565</v>
      </c>
      <c r="T6804" t="s">
        <v>49061</v>
      </c>
      <c r="U6804" t="s">
        <v>55396</v>
      </c>
      <c r="W6804" t="s">
        <v>45612</v>
      </c>
      <c r="X6804" t="s">
        <v>47432</v>
      </c>
    </row>
    <row r="6805" spans="1:24">
      <c r="A6805">
        <f>HYPERLINK("https://www.philgeps.gov.ph/GEPSNONPILOT/Tender/SplashBidNoticeAbstractUI.aspx?menuIndex=3&amp;refID=7156467&amp;Result=3","7156467")</f>
        <v>0</v>
      </c>
      <c r="B6805" t="s">
        <v>486</v>
      </c>
      <c r="C6805" t="s">
        <v>10300</v>
      </c>
      <c r="D6805" t="s">
        <v>19025</v>
      </c>
      <c r="E6805" t="s">
        <v>25027</v>
      </c>
      <c r="F6805" t="s">
        <v>32831</v>
      </c>
      <c r="G6805" t="s">
        <v>32839</v>
      </c>
      <c r="H6805" t="s">
        <v>32848</v>
      </c>
      <c r="I6805" t="s">
        <v>9577</v>
      </c>
      <c r="J6805" t="s">
        <v>37270</v>
      </c>
      <c r="K6805" t="s">
        <v>42730</v>
      </c>
      <c r="M6805" t="s">
        <v>43491</v>
      </c>
      <c r="N6805" t="s">
        <v>47424</v>
      </c>
      <c r="O6805" t="s">
        <v>47425</v>
      </c>
      <c r="P6805">
        <v>0</v>
      </c>
      <c r="Q6805">
        <v>3</v>
      </c>
      <c r="R6805" t="s">
        <v>47431</v>
      </c>
      <c r="S6805" t="s">
        <v>47565</v>
      </c>
      <c r="T6805" t="s">
        <v>49319</v>
      </c>
      <c r="U6805" t="s">
        <v>55325</v>
      </c>
      <c r="W6805" t="s">
        <v>43491</v>
      </c>
      <c r="X6805" t="s">
        <v>47432</v>
      </c>
    </row>
    <row r="6806" spans="1:24">
      <c r="A6806">
        <f>HYPERLINK("https://www.philgeps.gov.ph/GEPSNONPILOT/Tender/SplashBidNoticeAbstractUI.aspx?menuIndex=3&amp;refID=7156500&amp;Result=3","7156500")</f>
        <v>0</v>
      </c>
      <c r="B6806" t="s">
        <v>2418</v>
      </c>
      <c r="C6806" t="s">
        <v>10301</v>
      </c>
      <c r="D6806" t="s">
        <v>19027</v>
      </c>
      <c r="E6806" t="s">
        <v>25028</v>
      </c>
      <c r="F6806" t="s">
        <v>32831</v>
      </c>
      <c r="G6806" t="s">
        <v>32839</v>
      </c>
      <c r="H6806" t="s">
        <v>32848</v>
      </c>
      <c r="I6806" t="s">
        <v>7751</v>
      </c>
      <c r="J6806" t="s">
        <v>37271</v>
      </c>
      <c r="K6806" t="s">
        <v>42732</v>
      </c>
      <c r="M6806" t="s">
        <v>45613</v>
      </c>
      <c r="N6806" t="s">
        <v>47424</v>
      </c>
      <c r="O6806" t="s">
        <v>47425</v>
      </c>
      <c r="P6806">
        <v>0</v>
      </c>
      <c r="Q6806">
        <v>3</v>
      </c>
      <c r="R6806" t="s">
        <v>47431</v>
      </c>
      <c r="S6806" t="s">
        <v>47565</v>
      </c>
      <c r="T6806" t="s">
        <v>49283</v>
      </c>
      <c r="U6806" t="s">
        <v>55397</v>
      </c>
      <c r="V6806" t="s">
        <v>63379</v>
      </c>
      <c r="W6806" t="s">
        <v>45613</v>
      </c>
      <c r="X6806" t="s">
        <v>47432</v>
      </c>
    </row>
    <row r="6807" spans="1:24">
      <c r="A6807">
        <f>HYPERLINK("https://www.philgeps.gov.ph/GEPSNONPILOT/Tender/SplashBidNoticeAbstractUI.aspx?menuIndex=3&amp;refID=7156450&amp;Result=3","7156450")</f>
        <v>0</v>
      </c>
      <c r="B6807" t="s">
        <v>868</v>
      </c>
      <c r="C6807" t="s">
        <v>6111</v>
      </c>
      <c r="D6807" t="s">
        <v>19073</v>
      </c>
      <c r="E6807" t="s">
        <v>25029</v>
      </c>
      <c r="F6807" t="s">
        <v>32831</v>
      </c>
      <c r="G6807" t="s">
        <v>32838</v>
      </c>
      <c r="H6807" t="s">
        <v>32848</v>
      </c>
      <c r="I6807" t="s">
        <v>32923</v>
      </c>
      <c r="J6807" t="s">
        <v>37272</v>
      </c>
      <c r="K6807" t="s">
        <v>42726</v>
      </c>
      <c r="M6807" t="s">
        <v>44078</v>
      </c>
      <c r="N6807" t="s">
        <v>47424</v>
      </c>
      <c r="O6807" t="s">
        <v>47425</v>
      </c>
      <c r="P6807">
        <v>0</v>
      </c>
      <c r="Q6807">
        <v>2</v>
      </c>
      <c r="R6807" t="s">
        <v>47431</v>
      </c>
      <c r="S6807" t="s">
        <v>47565</v>
      </c>
      <c r="T6807" t="s">
        <v>49107</v>
      </c>
      <c r="U6807" t="s">
        <v>55398</v>
      </c>
      <c r="W6807" t="s">
        <v>44078</v>
      </c>
      <c r="X6807" t="s">
        <v>47432</v>
      </c>
    </row>
    <row r="6808" spans="1:24">
      <c r="A6808">
        <f>HYPERLINK("https://www.philgeps.gov.ph/GEPSNONPILOT/Tender/SplashBidNoticeAbstractUI.aspx?menuIndex=3&amp;refID=7156477&amp;Result=3","7156477")</f>
        <v>0</v>
      </c>
      <c r="B6808" t="s">
        <v>2419</v>
      </c>
      <c r="C6808" t="s">
        <v>10302</v>
      </c>
      <c r="D6808" t="s">
        <v>19023</v>
      </c>
      <c r="E6808" t="s">
        <v>25030</v>
      </c>
      <c r="F6808" t="s">
        <v>32831</v>
      </c>
      <c r="G6808" t="s">
        <v>32839</v>
      </c>
      <c r="H6808" t="s">
        <v>32849</v>
      </c>
      <c r="I6808" t="s">
        <v>4177</v>
      </c>
      <c r="J6808" t="s">
        <v>33118</v>
      </c>
      <c r="K6808" t="s">
        <v>42730</v>
      </c>
      <c r="M6808" t="s">
        <v>45614</v>
      </c>
      <c r="N6808" t="s">
        <v>47424</v>
      </c>
      <c r="O6808" t="s">
        <v>47425</v>
      </c>
      <c r="P6808">
        <v>0</v>
      </c>
      <c r="Q6808">
        <v>0</v>
      </c>
      <c r="R6808" t="s">
        <v>47431</v>
      </c>
      <c r="S6808" t="s">
        <v>47565</v>
      </c>
      <c r="T6808" t="s">
        <v>49160</v>
      </c>
      <c r="U6808" t="s">
        <v>55399</v>
      </c>
      <c r="W6808" t="s">
        <v>45614</v>
      </c>
      <c r="X6808" t="s">
        <v>47432</v>
      </c>
    </row>
    <row r="6809" spans="1:24">
      <c r="A6809">
        <f>HYPERLINK("https://www.philgeps.gov.ph/GEPSNONPILOT/Tender/SplashBidNoticeAbstractUI.aspx?menuIndex=3&amp;refID=7156498&amp;Result=3","7156498")</f>
        <v>0</v>
      </c>
      <c r="B6809" t="s">
        <v>1861</v>
      </c>
      <c r="C6809" t="s">
        <v>10303</v>
      </c>
      <c r="D6809" t="s">
        <v>19060</v>
      </c>
      <c r="E6809" t="s">
        <v>25031</v>
      </c>
      <c r="F6809" t="s">
        <v>32831</v>
      </c>
      <c r="G6809" t="s">
        <v>32839</v>
      </c>
      <c r="H6809" t="s">
        <v>32848</v>
      </c>
      <c r="I6809" t="s">
        <v>32859</v>
      </c>
      <c r="J6809" t="s">
        <v>37022</v>
      </c>
      <c r="K6809" t="s">
        <v>42730</v>
      </c>
      <c r="M6809" t="s">
        <v>45000</v>
      </c>
      <c r="N6809" t="s">
        <v>47424</v>
      </c>
      <c r="O6809" t="s">
        <v>47425</v>
      </c>
      <c r="P6809">
        <v>0</v>
      </c>
      <c r="Q6809">
        <v>2</v>
      </c>
      <c r="R6809" t="s">
        <v>47431</v>
      </c>
      <c r="S6809" t="s">
        <v>47565</v>
      </c>
      <c r="T6809" t="s">
        <v>49198</v>
      </c>
      <c r="U6809" t="s">
        <v>55400</v>
      </c>
      <c r="W6809" t="s">
        <v>45000</v>
      </c>
      <c r="X6809" t="s">
        <v>47432</v>
      </c>
    </row>
    <row r="6810" spans="1:24">
      <c r="A6810">
        <f>HYPERLINK("https://www.philgeps.gov.ph/GEPSNONPILOT/Tender/SplashBidNoticeAbstractUI.aspx?menuIndex=3&amp;refID=7156457&amp;Result=3","7156457")</f>
        <v>0</v>
      </c>
      <c r="B6810" t="s">
        <v>2420</v>
      </c>
      <c r="C6810" t="s">
        <v>10304</v>
      </c>
      <c r="D6810" t="s">
        <v>19038</v>
      </c>
      <c r="E6810" t="s">
        <v>19211</v>
      </c>
      <c r="F6810" t="s">
        <v>32831</v>
      </c>
      <c r="G6810" t="s">
        <v>32839</v>
      </c>
      <c r="H6810" t="s">
        <v>32848</v>
      </c>
      <c r="I6810" t="s">
        <v>7416</v>
      </c>
      <c r="J6810" t="s">
        <v>37273</v>
      </c>
      <c r="K6810" t="s">
        <v>42727</v>
      </c>
      <c r="M6810" t="s">
        <v>45615</v>
      </c>
      <c r="N6810" t="s">
        <v>47424</v>
      </c>
      <c r="O6810" t="s">
        <v>47425</v>
      </c>
      <c r="P6810">
        <v>0</v>
      </c>
      <c r="Q6810">
        <v>2</v>
      </c>
      <c r="R6810" t="s">
        <v>47431</v>
      </c>
      <c r="S6810" t="s">
        <v>47565</v>
      </c>
      <c r="T6810" t="s">
        <v>49144</v>
      </c>
      <c r="U6810" t="s">
        <v>55401</v>
      </c>
      <c r="W6810" t="s">
        <v>45615</v>
      </c>
      <c r="X6810" t="s">
        <v>47432</v>
      </c>
    </row>
    <row r="6811" spans="1:24">
      <c r="A6811">
        <f>HYPERLINK("https://www.philgeps.gov.ph/GEPSNONPILOT/Tender/SplashBidNoticeAbstractUI.aspx?menuIndex=3&amp;refID=7156412&amp;Result=3","7156412")</f>
        <v>0</v>
      </c>
      <c r="B6811" t="s">
        <v>2306</v>
      </c>
      <c r="C6811" t="s">
        <v>10305</v>
      </c>
      <c r="D6811" t="s">
        <v>19044</v>
      </c>
      <c r="E6811" t="s">
        <v>19670</v>
      </c>
      <c r="F6811" t="s">
        <v>32831</v>
      </c>
      <c r="G6811" t="s">
        <v>32838</v>
      </c>
      <c r="H6811" t="s">
        <v>32848</v>
      </c>
      <c r="I6811" t="s">
        <v>32925</v>
      </c>
      <c r="J6811" t="s">
        <v>33162</v>
      </c>
      <c r="K6811" t="s">
        <v>42727</v>
      </c>
      <c r="M6811" t="s">
        <v>45491</v>
      </c>
      <c r="N6811" t="s">
        <v>47424</v>
      </c>
      <c r="O6811" t="s">
        <v>47425</v>
      </c>
      <c r="P6811">
        <v>0</v>
      </c>
      <c r="Q6811">
        <v>3</v>
      </c>
      <c r="R6811" t="s">
        <v>47431</v>
      </c>
      <c r="S6811" t="s">
        <v>47565</v>
      </c>
      <c r="T6811" t="s">
        <v>49107</v>
      </c>
      <c r="U6811" t="s">
        <v>55402</v>
      </c>
      <c r="W6811" t="s">
        <v>45491</v>
      </c>
      <c r="X6811" t="s">
        <v>47432</v>
      </c>
    </row>
    <row r="6812" spans="1:24">
      <c r="A6812">
        <f>HYPERLINK("https://www.philgeps.gov.ph/GEPSNONPILOT/Tender/SplashBidNoticeAbstractUI.aspx?menuIndex=3&amp;refID=7156515&amp;Result=3","7156515")</f>
        <v>0</v>
      </c>
      <c r="B6812" t="s">
        <v>111</v>
      </c>
      <c r="C6812" t="s">
        <v>10306</v>
      </c>
      <c r="D6812" t="s">
        <v>19059</v>
      </c>
      <c r="E6812" t="s">
        <v>25032</v>
      </c>
      <c r="F6812" t="s">
        <v>32831</v>
      </c>
      <c r="G6812" t="s">
        <v>32838</v>
      </c>
      <c r="H6812" t="s">
        <v>32848</v>
      </c>
      <c r="I6812" t="s">
        <v>32896</v>
      </c>
      <c r="J6812" t="s">
        <v>32980</v>
      </c>
      <c r="K6812" t="s">
        <v>42726</v>
      </c>
      <c r="M6812" t="s">
        <v>43108</v>
      </c>
      <c r="N6812" t="s">
        <v>47424</v>
      </c>
      <c r="O6812" t="s">
        <v>47425</v>
      </c>
      <c r="P6812">
        <v>0</v>
      </c>
      <c r="Q6812">
        <v>1</v>
      </c>
      <c r="R6812" t="s">
        <v>47431</v>
      </c>
      <c r="S6812" t="s">
        <v>47565</v>
      </c>
      <c r="T6812" t="s">
        <v>49163</v>
      </c>
      <c r="U6812" t="s">
        <v>55403</v>
      </c>
      <c r="W6812" t="s">
        <v>43108</v>
      </c>
      <c r="X6812" t="s">
        <v>47432</v>
      </c>
    </row>
    <row r="6813" spans="1:24">
      <c r="A6813">
        <f>HYPERLINK("https://www.philgeps.gov.ph/GEPSNONPILOT/Tender/SplashBidNoticeAbstractUI.aspx?menuIndex=3&amp;refID=7156511&amp;Result=3","7156511")</f>
        <v>0</v>
      </c>
      <c r="B6813" t="s">
        <v>1383</v>
      </c>
      <c r="C6813" t="s">
        <v>10307</v>
      </c>
      <c r="D6813" t="s">
        <v>19054</v>
      </c>
      <c r="E6813" t="s">
        <v>25033</v>
      </c>
      <c r="F6813" t="s">
        <v>32831</v>
      </c>
      <c r="G6813" t="s">
        <v>32838</v>
      </c>
      <c r="H6813" t="s">
        <v>32848</v>
      </c>
      <c r="I6813" t="s">
        <v>4222</v>
      </c>
      <c r="J6813" t="s">
        <v>37274</v>
      </c>
      <c r="K6813" t="s">
        <v>42732</v>
      </c>
      <c r="L6813" t="s">
        <v>1383</v>
      </c>
      <c r="M6813" t="s">
        <v>44468</v>
      </c>
      <c r="N6813" t="s">
        <v>47424</v>
      </c>
      <c r="O6813" t="s">
        <v>47425</v>
      </c>
      <c r="P6813">
        <v>0</v>
      </c>
      <c r="Q6813">
        <v>0</v>
      </c>
      <c r="R6813" t="s">
        <v>47431</v>
      </c>
      <c r="S6813" t="s">
        <v>47565</v>
      </c>
      <c r="T6813" t="s">
        <v>49255</v>
      </c>
      <c r="U6813" t="s">
        <v>55404</v>
      </c>
      <c r="V6813" t="s">
        <v>63380</v>
      </c>
      <c r="W6813" t="s">
        <v>44468</v>
      </c>
      <c r="X6813" t="s">
        <v>47432</v>
      </c>
    </row>
    <row r="6814" spans="1:24">
      <c r="A6814">
        <f>HYPERLINK("https://www.philgeps.gov.ph/GEPSNONPILOT/Tender/SplashBidNoticeAbstractUI.aspx?menuIndex=3&amp;refID=7156478&amp;Result=3","7156478")</f>
        <v>0</v>
      </c>
      <c r="B6814" t="s">
        <v>2421</v>
      </c>
      <c r="C6814" t="s">
        <v>10308</v>
      </c>
      <c r="D6814" t="s">
        <v>19018</v>
      </c>
      <c r="E6814" t="s">
        <v>25034</v>
      </c>
      <c r="F6814" t="s">
        <v>32831</v>
      </c>
      <c r="G6814" t="s">
        <v>32839</v>
      </c>
      <c r="H6814" t="s">
        <v>32848</v>
      </c>
      <c r="I6814" t="s">
        <v>32874</v>
      </c>
      <c r="J6814" t="s">
        <v>37275</v>
      </c>
      <c r="K6814" t="s">
        <v>42730</v>
      </c>
      <c r="M6814" t="s">
        <v>45616</v>
      </c>
      <c r="N6814" t="s">
        <v>47424</v>
      </c>
      <c r="O6814" t="s">
        <v>47425</v>
      </c>
      <c r="P6814">
        <v>0</v>
      </c>
      <c r="Q6814">
        <v>12</v>
      </c>
      <c r="R6814" t="s">
        <v>47431</v>
      </c>
      <c r="S6814" t="s">
        <v>47565</v>
      </c>
      <c r="T6814" t="s">
        <v>49129</v>
      </c>
      <c r="U6814" t="s">
        <v>55405</v>
      </c>
      <c r="W6814" t="s">
        <v>45616</v>
      </c>
      <c r="X6814" t="s">
        <v>47432</v>
      </c>
    </row>
    <row r="6815" spans="1:24">
      <c r="A6815">
        <f>HYPERLINK("https://www.philgeps.gov.ph/GEPSNONPILOT/Tender/SplashBidNoticeAbstractUI.aspx?menuIndex=3&amp;refID=7156510&amp;Result=3","7156510")</f>
        <v>0</v>
      </c>
      <c r="B6815" t="s">
        <v>262</v>
      </c>
      <c r="C6815" t="s">
        <v>4525</v>
      </c>
      <c r="D6815" t="s">
        <v>19049</v>
      </c>
      <c r="E6815" t="s">
        <v>25035</v>
      </c>
      <c r="F6815" t="s">
        <v>32831</v>
      </c>
      <c r="G6815" t="s">
        <v>32838</v>
      </c>
      <c r="H6815" t="s">
        <v>32848</v>
      </c>
      <c r="I6815" t="s">
        <v>32862</v>
      </c>
      <c r="J6815" t="s">
        <v>33677</v>
      </c>
      <c r="K6815" t="s">
        <v>42726</v>
      </c>
      <c r="M6815" t="s">
        <v>43261</v>
      </c>
      <c r="N6815" t="s">
        <v>47424</v>
      </c>
      <c r="O6815" t="s">
        <v>47425</v>
      </c>
      <c r="P6815">
        <v>0</v>
      </c>
      <c r="Q6815">
        <v>0</v>
      </c>
      <c r="R6815" t="s">
        <v>47431</v>
      </c>
      <c r="S6815" t="s">
        <v>47565</v>
      </c>
      <c r="T6815" t="s">
        <v>49212</v>
      </c>
      <c r="U6815" t="s">
        <v>55406</v>
      </c>
      <c r="W6815" t="s">
        <v>43261</v>
      </c>
      <c r="X6815" t="s">
        <v>47432</v>
      </c>
    </row>
    <row r="6816" spans="1:24">
      <c r="A6816">
        <f>HYPERLINK("https://www.philgeps.gov.ph/GEPSNONPILOT/Tender/SplashBidNoticeAbstractUI.aspx?menuIndex=3&amp;refID=7156513&amp;Result=3","7156513")</f>
        <v>0</v>
      </c>
      <c r="B6816" t="s">
        <v>734</v>
      </c>
      <c r="C6816" t="s">
        <v>10309</v>
      </c>
      <c r="D6816" t="s">
        <v>19034</v>
      </c>
      <c r="E6816" t="s">
        <v>24647</v>
      </c>
      <c r="F6816" t="s">
        <v>32831</v>
      </c>
      <c r="G6816" t="s">
        <v>32839</v>
      </c>
      <c r="H6816" t="s">
        <v>32848</v>
      </c>
      <c r="I6816" t="s">
        <v>7416</v>
      </c>
      <c r="J6816" t="s">
        <v>37276</v>
      </c>
      <c r="K6816" t="s">
        <v>42731</v>
      </c>
      <c r="M6816" t="s">
        <v>45617</v>
      </c>
      <c r="N6816" t="s">
        <v>47424</v>
      </c>
      <c r="O6816" t="s">
        <v>47425</v>
      </c>
      <c r="P6816">
        <v>0</v>
      </c>
      <c r="Q6816">
        <v>0</v>
      </c>
      <c r="R6816" t="s">
        <v>47431</v>
      </c>
      <c r="S6816" t="s">
        <v>47565</v>
      </c>
      <c r="T6816" t="s">
        <v>49196</v>
      </c>
      <c r="U6816" t="s">
        <v>55407</v>
      </c>
      <c r="W6816" t="s">
        <v>44904</v>
      </c>
      <c r="X6816" t="s">
        <v>47432</v>
      </c>
    </row>
    <row r="6817" spans="1:24">
      <c r="A6817">
        <f>HYPERLINK("https://www.philgeps.gov.ph/GEPSNONPILOT/Tender/SplashBidNoticeAbstractUI.aspx?menuIndex=3&amp;refID=7156517&amp;Result=3","7156517")</f>
        <v>0</v>
      </c>
      <c r="B6817" t="s">
        <v>2422</v>
      </c>
      <c r="C6817" t="s">
        <v>10310</v>
      </c>
      <c r="D6817" t="s">
        <v>19068</v>
      </c>
      <c r="E6817" t="s">
        <v>19219</v>
      </c>
      <c r="F6817" t="s">
        <v>32831</v>
      </c>
      <c r="G6817" t="s">
        <v>32839</v>
      </c>
      <c r="H6817" t="s">
        <v>32848</v>
      </c>
      <c r="I6817" t="s">
        <v>7416</v>
      </c>
      <c r="J6817" t="s">
        <v>37277</v>
      </c>
      <c r="K6817" t="s">
        <v>42745</v>
      </c>
      <c r="M6817" t="s">
        <v>45618</v>
      </c>
      <c r="N6817" t="s">
        <v>47424</v>
      </c>
      <c r="O6817" t="s">
        <v>47425</v>
      </c>
      <c r="P6817">
        <v>0</v>
      </c>
      <c r="Q6817">
        <v>0</v>
      </c>
      <c r="R6817" t="s">
        <v>47431</v>
      </c>
      <c r="S6817" t="s">
        <v>47565</v>
      </c>
      <c r="T6817" t="s">
        <v>49231</v>
      </c>
      <c r="U6817" t="s">
        <v>55408</v>
      </c>
      <c r="W6817" t="s">
        <v>45618</v>
      </c>
      <c r="X6817" t="s">
        <v>47432</v>
      </c>
    </row>
    <row r="6818" spans="1:24">
      <c r="A6818">
        <f>HYPERLINK("https://www.philgeps.gov.ph/GEPSNONPILOT/Tender/SplashBidNoticeAbstractUI.aspx?menuIndex=3&amp;refID=7156514&amp;Result=3","7156514")</f>
        <v>0</v>
      </c>
      <c r="B6818" t="s">
        <v>745</v>
      </c>
      <c r="C6818" t="s">
        <v>10311</v>
      </c>
      <c r="D6818" t="s">
        <v>19077</v>
      </c>
      <c r="E6818" t="s">
        <v>25036</v>
      </c>
      <c r="F6818" t="s">
        <v>32831</v>
      </c>
      <c r="G6818" t="s">
        <v>32841</v>
      </c>
      <c r="H6818" t="s">
        <v>32848</v>
      </c>
      <c r="I6818" t="s">
        <v>32861</v>
      </c>
      <c r="J6818" t="s">
        <v>33593</v>
      </c>
      <c r="K6818" t="s">
        <v>42763</v>
      </c>
      <c r="M6818" t="s">
        <v>43768</v>
      </c>
      <c r="N6818" t="s">
        <v>47424</v>
      </c>
      <c r="O6818" t="s">
        <v>47425</v>
      </c>
      <c r="P6818">
        <v>0</v>
      </c>
      <c r="Q6818">
        <v>6</v>
      </c>
      <c r="R6818" t="s">
        <v>47431</v>
      </c>
      <c r="S6818" t="s">
        <v>47565</v>
      </c>
      <c r="T6818" t="s">
        <v>49163</v>
      </c>
      <c r="U6818" t="s">
        <v>55409</v>
      </c>
      <c r="W6818" t="s">
        <v>43768</v>
      </c>
      <c r="X6818" t="s">
        <v>47432</v>
      </c>
    </row>
    <row r="6819" spans="1:24">
      <c r="A6819">
        <f>HYPERLINK("https://www.philgeps.gov.ph/GEPSNONPILOT/Tender/SplashBidNoticeAbstractUI.aspx?menuIndex=3&amp;refID=7156497&amp;Result=3","7156497")</f>
        <v>0</v>
      </c>
      <c r="B6819" t="s">
        <v>27</v>
      </c>
      <c r="C6819" t="s">
        <v>10312</v>
      </c>
      <c r="D6819" t="s">
        <v>19020</v>
      </c>
      <c r="E6819" t="s">
        <v>25037</v>
      </c>
      <c r="F6819" t="s">
        <v>32831</v>
      </c>
      <c r="G6819" t="s">
        <v>32839</v>
      </c>
      <c r="H6819" t="s">
        <v>32848</v>
      </c>
      <c r="I6819" t="s">
        <v>5379</v>
      </c>
      <c r="J6819" t="s">
        <v>37278</v>
      </c>
      <c r="K6819" t="s">
        <v>42759</v>
      </c>
      <c r="M6819" t="s">
        <v>43309</v>
      </c>
      <c r="N6819" t="s">
        <v>47424</v>
      </c>
      <c r="O6819" t="s">
        <v>47425</v>
      </c>
      <c r="P6819">
        <v>0</v>
      </c>
      <c r="Q6819">
        <v>3</v>
      </c>
      <c r="R6819" t="s">
        <v>47431</v>
      </c>
      <c r="S6819" t="s">
        <v>47565</v>
      </c>
      <c r="T6819" t="s">
        <v>49104</v>
      </c>
      <c r="U6819" t="s">
        <v>55410</v>
      </c>
      <c r="W6819" t="s">
        <v>43309</v>
      </c>
      <c r="X6819" t="s">
        <v>47432</v>
      </c>
    </row>
    <row r="6820" spans="1:24">
      <c r="A6820">
        <f>HYPERLINK("https://www.philgeps.gov.ph/GEPSNONPILOT/Tender/SplashBidNoticeAbstractUI.aspx?menuIndex=3&amp;refID=7156491&amp;Result=3","7156491")</f>
        <v>0</v>
      </c>
      <c r="B6820" t="s">
        <v>516</v>
      </c>
      <c r="C6820" t="s">
        <v>10313</v>
      </c>
      <c r="D6820" t="s">
        <v>19021</v>
      </c>
      <c r="E6820" t="s">
        <v>21211</v>
      </c>
      <c r="F6820" t="s">
        <v>32831</v>
      </c>
      <c r="G6820" t="s">
        <v>32839</v>
      </c>
      <c r="H6820" t="s">
        <v>32849</v>
      </c>
      <c r="I6820" t="s">
        <v>4177</v>
      </c>
      <c r="J6820" t="s">
        <v>37279</v>
      </c>
      <c r="K6820" t="s">
        <v>42766</v>
      </c>
      <c r="M6820" t="s">
        <v>43521</v>
      </c>
      <c r="N6820" t="s">
        <v>47424</v>
      </c>
      <c r="O6820" t="s">
        <v>47425</v>
      </c>
      <c r="Q6820">
        <v>7</v>
      </c>
      <c r="R6820" t="s">
        <v>47431</v>
      </c>
      <c r="S6820" t="s">
        <v>47577</v>
      </c>
      <c r="T6820" t="s">
        <v>49236</v>
      </c>
      <c r="U6820" t="s">
        <v>55411</v>
      </c>
      <c r="V6820" t="s">
        <v>62742</v>
      </c>
      <c r="W6820" t="s">
        <v>43521</v>
      </c>
      <c r="X6820" t="s">
        <v>47432</v>
      </c>
    </row>
    <row r="6821" spans="1:24">
      <c r="A6821">
        <f>HYPERLINK("https://www.philgeps.gov.ph/GEPSNONPILOT/Tender/SplashBidNoticeAbstractUI.aspx?menuIndex=3&amp;refID=7156489&amp;Result=3","7156489")</f>
        <v>0</v>
      </c>
      <c r="B6821" t="s">
        <v>111</v>
      </c>
      <c r="C6821" t="s">
        <v>10314</v>
      </c>
      <c r="D6821" t="s">
        <v>19059</v>
      </c>
      <c r="E6821" t="s">
        <v>25038</v>
      </c>
      <c r="F6821" t="s">
        <v>32831</v>
      </c>
      <c r="G6821" t="s">
        <v>32838</v>
      </c>
      <c r="H6821" t="s">
        <v>32848</v>
      </c>
      <c r="I6821" t="s">
        <v>4776</v>
      </c>
      <c r="J6821" t="s">
        <v>34165</v>
      </c>
      <c r="K6821" t="s">
        <v>42726</v>
      </c>
      <c r="M6821" t="s">
        <v>43108</v>
      </c>
      <c r="N6821" t="s">
        <v>47424</v>
      </c>
      <c r="O6821" t="s">
        <v>47425</v>
      </c>
      <c r="P6821">
        <v>0</v>
      </c>
      <c r="Q6821">
        <v>3</v>
      </c>
      <c r="R6821" t="s">
        <v>47431</v>
      </c>
      <c r="S6821" t="s">
        <v>47565</v>
      </c>
      <c r="T6821" t="s">
        <v>49163</v>
      </c>
      <c r="U6821" t="s">
        <v>55412</v>
      </c>
      <c r="W6821" t="s">
        <v>43108</v>
      </c>
      <c r="X6821" t="s">
        <v>47432</v>
      </c>
    </row>
    <row r="6822" spans="1:24">
      <c r="A6822">
        <f>HYPERLINK("https://www.philgeps.gov.ph/GEPSNONPILOT/Tender/SplashBidNoticeAbstractUI.aspx?menuIndex=3&amp;refID=7156507&amp;Result=3","7156507")</f>
        <v>0</v>
      </c>
      <c r="B6822" t="s">
        <v>486</v>
      </c>
      <c r="C6822" t="s">
        <v>10315</v>
      </c>
      <c r="D6822" t="s">
        <v>19025</v>
      </c>
      <c r="E6822" t="s">
        <v>25039</v>
      </c>
      <c r="F6822" t="s">
        <v>32831</v>
      </c>
      <c r="G6822" t="s">
        <v>32839</v>
      </c>
      <c r="H6822" t="s">
        <v>32848</v>
      </c>
      <c r="I6822" t="s">
        <v>9577</v>
      </c>
      <c r="J6822" t="s">
        <v>37280</v>
      </c>
      <c r="K6822" t="s">
        <v>42730</v>
      </c>
      <c r="M6822" t="s">
        <v>43491</v>
      </c>
      <c r="N6822" t="s">
        <v>47424</v>
      </c>
      <c r="O6822" t="s">
        <v>47425</v>
      </c>
      <c r="P6822">
        <v>0</v>
      </c>
      <c r="Q6822">
        <v>1</v>
      </c>
      <c r="R6822" t="s">
        <v>47431</v>
      </c>
      <c r="S6822" t="s">
        <v>47565</v>
      </c>
      <c r="T6822" t="s">
        <v>49319</v>
      </c>
      <c r="U6822" t="s">
        <v>55325</v>
      </c>
      <c r="W6822" t="s">
        <v>43491</v>
      </c>
      <c r="X6822" t="s">
        <v>47432</v>
      </c>
    </row>
    <row r="6823" spans="1:24">
      <c r="A6823">
        <f>HYPERLINK("https://www.philgeps.gov.ph/GEPSNONPILOT/Tender/SplashBidNoticeAbstractUI.aspx?menuIndex=3&amp;refID=7156488&amp;Result=3","7156488")</f>
        <v>0</v>
      </c>
      <c r="B6823" t="s">
        <v>186</v>
      </c>
      <c r="C6823" t="s">
        <v>10316</v>
      </c>
      <c r="D6823" t="s">
        <v>19074</v>
      </c>
      <c r="E6823" t="s">
        <v>25040</v>
      </c>
      <c r="F6823" t="s">
        <v>32831</v>
      </c>
      <c r="G6823" t="s">
        <v>32839</v>
      </c>
      <c r="H6823" t="s">
        <v>32848</v>
      </c>
      <c r="I6823" t="s">
        <v>10805</v>
      </c>
      <c r="J6823" t="s">
        <v>37281</v>
      </c>
      <c r="K6823" t="s">
        <v>42730</v>
      </c>
      <c r="M6823" t="s">
        <v>43184</v>
      </c>
      <c r="N6823" t="s">
        <v>47424</v>
      </c>
      <c r="O6823" t="s">
        <v>47425</v>
      </c>
      <c r="P6823">
        <v>0</v>
      </c>
      <c r="Q6823">
        <v>4</v>
      </c>
      <c r="R6823" t="s">
        <v>47431</v>
      </c>
      <c r="S6823" t="s">
        <v>47565</v>
      </c>
      <c r="T6823" t="s">
        <v>49221</v>
      </c>
      <c r="U6823" t="s">
        <v>55413</v>
      </c>
      <c r="W6823" t="s">
        <v>43184</v>
      </c>
      <c r="X6823" t="s">
        <v>47432</v>
      </c>
    </row>
    <row r="6824" spans="1:24">
      <c r="A6824">
        <f>HYPERLINK("https://www.philgeps.gov.ph/GEPSNONPILOT/Tender/SplashBidNoticeAbstractUI.aspx?menuIndex=3&amp;refID=7156484&amp;Result=3","7156484")</f>
        <v>0</v>
      </c>
      <c r="B6824" t="s">
        <v>1861</v>
      </c>
      <c r="C6824" t="s">
        <v>10317</v>
      </c>
      <c r="D6824" t="s">
        <v>19060</v>
      </c>
      <c r="E6824" t="s">
        <v>25041</v>
      </c>
      <c r="F6824" t="s">
        <v>32831</v>
      </c>
      <c r="G6824" t="s">
        <v>32839</v>
      </c>
      <c r="H6824" t="s">
        <v>32848</v>
      </c>
      <c r="I6824" t="s">
        <v>32925</v>
      </c>
      <c r="J6824" t="s">
        <v>37282</v>
      </c>
      <c r="K6824" t="s">
        <v>42730</v>
      </c>
      <c r="M6824" t="s">
        <v>45000</v>
      </c>
      <c r="N6824" t="s">
        <v>47424</v>
      </c>
      <c r="O6824" t="s">
        <v>47425</v>
      </c>
      <c r="P6824">
        <v>0</v>
      </c>
      <c r="Q6824">
        <v>2</v>
      </c>
      <c r="R6824" t="s">
        <v>47431</v>
      </c>
      <c r="S6824" t="s">
        <v>47565</v>
      </c>
      <c r="T6824" t="s">
        <v>49198</v>
      </c>
      <c r="U6824" t="s">
        <v>55414</v>
      </c>
      <c r="W6824" t="s">
        <v>45000</v>
      </c>
      <c r="X6824" t="s">
        <v>47432</v>
      </c>
    </row>
    <row r="6825" spans="1:24">
      <c r="A6825">
        <f>HYPERLINK("https://www.philgeps.gov.ph/GEPSNONPILOT/Tender/SplashBidNoticeAbstractUI.aspx?menuIndex=3&amp;refID=7156408&amp;Result=3","7156408")</f>
        <v>0</v>
      </c>
      <c r="B6825" t="s">
        <v>2423</v>
      </c>
      <c r="C6825" t="s">
        <v>10318</v>
      </c>
      <c r="D6825" t="s">
        <v>19047</v>
      </c>
      <c r="E6825" t="s">
        <v>20152</v>
      </c>
      <c r="F6825" t="s">
        <v>32831</v>
      </c>
      <c r="G6825" t="s">
        <v>32839</v>
      </c>
      <c r="H6825" t="s">
        <v>32849</v>
      </c>
      <c r="I6825" t="s">
        <v>32852</v>
      </c>
      <c r="J6825" t="s">
        <v>37283</v>
      </c>
      <c r="K6825" t="s">
        <v>42730</v>
      </c>
      <c r="M6825" t="s">
        <v>45619</v>
      </c>
      <c r="N6825" t="s">
        <v>47424</v>
      </c>
      <c r="O6825" t="s">
        <v>47425</v>
      </c>
      <c r="P6825">
        <v>0</v>
      </c>
      <c r="Q6825">
        <v>1</v>
      </c>
      <c r="R6825" t="s">
        <v>47431</v>
      </c>
      <c r="S6825" t="s">
        <v>47565</v>
      </c>
      <c r="T6825" t="s">
        <v>49342</v>
      </c>
      <c r="U6825" t="s">
        <v>55415</v>
      </c>
      <c r="W6825" t="s">
        <v>45619</v>
      </c>
      <c r="X6825" t="s">
        <v>47432</v>
      </c>
    </row>
    <row r="6826" spans="1:24">
      <c r="A6826">
        <f>HYPERLINK("https://www.philgeps.gov.ph/GEPSNONPILOT/Tender/SplashBidNoticeAbstractUI.aspx?menuIndex=3&amp;refID=7156494&amp;Result=3","7156494")</f>
        <v>0</v>
      </c>
      <c r="B6826" t="s">
        <v>2388</v>
      </c>
      <c r="C6826" t="s">
        <v>10319</v>
      </c>
      <c r="D6826" t="s">
        <v>19075</v>
      </c>
      <c r="E6826" t="s">
        <v>25042</v>
      </c>
      <c r="F6826" t="s">
        <v>32831</v>
      </c>
      <c r="G6826" t="s">
        <v>32839</v>
      </c>
      <c r="H6826" t="s">
        <v>32848</v>
      </c>
      <c r="I6826" t="s">
        <v>32871</v>
      </c>
      <c r="J6826" t="s">
        <v>37284</v>
      </c>
      <c r="K6826" t="s">
        <v>42732</v>
      </c>
      <c r="M6826" t="s">
        <v>45579</v>
      </c>
      <c r="N6826" t="s">
        <v>47424</v>
      </c>
      <c r="O6826" t="s">
        <v>47425</v>
      </c>
      <c r="P6826">
        <v>0</v>
      </c>
      <c r="Q6826">
        <v>9</v>
      </c>
      <c r="R6826" t="s">
        <v>47431</v>
      </c>
      <c r="S6826" t="s">
        <v>47565</v>
      </c>
      <c r="T6826" t="s">
        <v>49236</v>
      </c>
      <c r="U6826" t="s">
        <v>55416</v>
      </c>
      <c r="W6826" t="s">
        <v>64507</v>
      </c>
      <c r="X6826" t="s">
        <v>47432</v>
      </c>
    </row>
    <row r="6827" spans="1:24">
      <c r="A6827">
        <f>HYPERLINK("https://www.philgeps.gov.ph/GEPSNONPILOT/Tender/SplashBidNoticeAbstractUI.aspx?menuIndex=3&amp;refID=7156383&amp;Result=3","7156383")</f>
        <v>0</v>
      </c>
      <c r="B6827" t="s">
        <v>1829</v>
      </c>
      <c r="C6827" t="s">
        <v>4255</v>
      </c>
      <c r="D6827" t="s">
        <v>19057</v>
      </c>
      <c r="E6827" t="s">
        <v>25043</v>
      </c>
      <c r="F6827" t="s">
        <v>32831</v>
      </c>
      <c r="G6827" t="s">
        <v>32839</v>
      </c>
      <c r="H6827" t="s">
        <v>32849</v>
      </c>
      <c r="I6827" t="s">
        <v>4177</v>
      </c>
      <c r="J6827" t="s">
        <v>37285</v>
      </c>
      <c r="K6827" t="s">
        <v>42763</v>
      </c>
      <c r="M6827" t="s">
        <v>44962</v>
      </c>
      <c r="N6827" t="s">
        <v>47424</v>
      </c>
      <c r="O6827" t="s">
        <v>47425</v>
      </c>
      <c r="P6827">
        <v>0</v>
      </c>
      <c r="Q6827">
        <v>0</v>
      </c>
      <c r="R6827" t="s">
        <v>47431</v>
      </c>
      <c r="S6827" t="s">
        <v>47565</v>
      </c>
      <c r="T6827" t="s">
        <v>49129</v>
      </c>
      <c r="U6827" t="s">
        <v>55333</v>
      </c>
      <c r="W6827" t="s">
        <v>44962</v>
      </c>
      <c r="X6827" t="s">
        <v>47432</v>
      </c>
    </row>
    <row r="6828" spans="1:24">
      <c r="A6828">
        <f>HYPERLINK("https://www.philgeps.gov.ph/GEPSNONPILOT/Tender/SplashBidNoticeAbstractUI.aspx?menuIndex=3&amp;refID=7156493&amp;Result=3","7156493")</f>
        <v>0</v>
      </c>
      <c r="B6828" t="s">
        <v>755</v>
      </c>
      <c r="C6828" t="s">
        <v>10320</v>
      </c>
      <c r="E6828" t="s">
        <v>25044</v>
      </c>
      <c r="F6828" t="s">
        <v>32831</v>
      </c>
      <c r="G6828" t="s">
        <v>32839</v>
      </c>
      <c r="H6828" t="s">
        <v>32848</v>
      </c>
      <c r="I6828" t="s">
        <v>4487</v>
      </c>
      <c r="J6828" t="s">
        <v>37286</v>
      </c>
      <c r="K6828" t="s">
        <v>42732</v>
      </c>
      <c r="M6828" t="s">
        <v>45605</v>
      </c>
      <c r="N6828" t="s">
        <v>47424</v>
      </c>
      <c r="O6828" t="s">
        <v>47425</v>
      </c>
      <c r="P6828">
        <v>0</v>
      </c>
      <c r="Q6828">
        <v>1</v>
      </c>
      <c r="R6828" t="s">
        <v>47431</v>
      </c>
      <c r="S6828" t="s">
        <v>47565</v>
      </c>
      <c r="T6828" t="s">
        <v>49150</v>
      </c>
      <c r="U6828" t="s">
        <v>55417</v>
      </c>
      <c r="W6828" t="s">
        <v>45605</v>
      </c>
      <c r="X6828" t="s">
        <v>47432</v>
      </c>
    </row>
    <row r="6829" spans="1:24">
      <c r="A6829">
        <f>HYPERLINK("https://www.philgeps.gov.ph/GEPSNONPILOT/Tender/SplashBidNoticeAbstractUI.aspx?menuIndex=3&amp;refID=7156506&amp;Result=3","7156506")</f>
        <v>0</v>
      </c>
      <c r="B6829" t="s">
        <v>884</v>
      </c>
      <c r="C6829" t="s">
        <v>10321</v>
      </c>
      <c r="E6829" t="s">
        <v>25045</v>
      </c>
      <c r="F6829" t="s">
        <v>32831</v>
      </c>
      <c r="G6829" t="s">
        <v>32838</v>
      </c>
      <c r="H6829" t="s">
        <v>32848</v>
      </c>
      <c r="I6829" t="s">
        <v>4558</v>
      </c>
      <c r="J6829" t="s">
        <v>37287</v>
      </c>
      <c r="K6829" t="s">
        <v>42732</v>
      </c>
      <c r="M6829" t="s">
        <v>45620</v>
      </c>
      <c r="N6829" t="s">
        <v>47424</v>
      </c>
      <c r="O6829" t="s">
        <v>47425</v>
      </c>
      <c r="P6829">
        <v>0</v>
      </c>
      <c r="Q6829">
        <v>15</v>
      </c>
      <c r="R6829" t="s">
        <v>47431</v>
      </c>
      <c r="S6829" t="s">
        <v>47565</v>
      </c>
      <c r="T6829" t="s">
        <v>49100</v>
      </c>
      <c r="U6829" t="s">
        <v>50323</v>
      </c>
      <c r="W6829" t="s">
        <v>45620</v>
      </c>
      <c r="X6829" t="s">
        <v>47432</v>
      </c>
    </row>
    <row r="6830" spans="1:24">
      <c r="A6830">
        <f>HYPERLINK("https://www.philgeps.gov.ph/GEPSNONPILOT/Tender/SplashBidNoticeAbstractUI.aspx?menuIndex=3&amp;refID=7156378&amp;Result=3","7156378")</f>
        <v>0</v>
      </c>
      <c r="B6830" t="s">
        <v>2399</v>
      </c>
      <c r="C6830" t="s">
        <v>10244</v>
      </c>
      <c r="D6830" t="s">
        <v>19064</v>
      </c>
      <c r="E6830" t="s">
        <v>24981</v>
      </c>
      <c r="F6830" t="s">
        <v>32831</v>
      </c>
      <c r="G6830" t="s">
        <v>32838</v>
      </c>
      <c r="H6830" t="s">
        <v>32848</v>
      </c>
      <c r="I6830" t="s">
        <v>32870</v>
      </c>
      <c r="J6830" t="s">
        <v>37288</v>
      </c>
      <c r="K6830" t="s">
        <v>42727</v>
      </c>
      <c r="M6830" t="s">
        <v>45591</v>
      </c>
      <c r="N6830" t="s">
        <v>47424</v>
      </c>
      <c r="O6830" t="s">
        <v>47425</v>
      </c>
      <c r="P6830">
        <v>0</v>
      </c>
      <c r="Q6830">
        <v>0</v>
      </c>
      <c r="R6830" t="s">
        <v>47431</v>
      </c>
      <c r="S6830" t="s">
        <v>47565</v>
      </c>
      <c r="T6830" t="s">
        <v>49129</v>
      </c>
      <c r="U6830" t="s">
        <v>55418</v>
      </c>
      <c r="W6830" t="s">
        <v>45591</v>
      </c>
      <c r="X6830" t="s">
        <v>47432</v>
      </c>
    </row>
    <row r="6831" spans="1:24">
      <c r="A6831">
        <f>HYPERLINK("https://www.philgeps.gov.ph/GEPSNONPILOT/Tender/SplashBidNoticeAbstractUI.aspx?menuIndex=3&amp;refID=7156485&amp;Result=3","7156485")</f>
        <v>0</v>
      </c>
      <c r="B6831" t="s">
        <v>634</v>
      </c>
      <c r="C6831" t="s">
        <v>10322</v>
      </c>
      <c r="D6831" t="s">
        <v>19044</v>
      </c>
      <c r="E6831" t="s">
        <v>25046</v>
      </c>
      <c r="F6831" t="s">
        <v>32831</v>
      </c>
      <c r="G6831" t="s">
        <v>32839</v>
      </c>
      <c r="H6831" t="s">
        <v>32848</v>
      </c>
      <c r="I6831" t="s">
        <v>4303</v>
      </c>
      <c r="J6831" t="s">
        <v>37289</v>
      </c>
      <c r="K6831" t="s">
        <v>42730</v>
      </c>
      <c r="M6831" t="s">
        <v>45584</v>
      </c>
      <c r="N6831" t="s">
        <v>47424</v>
      </c>
      <c r="O6831" t="s">
        <v>47425</v>
      </c>
      <c r="P6831">
        <v>0</v>
      </c>
      <c r="Q6831">
        <v>1</v>
      </c>
      <c r="R6831" t="s">
        <v>47431</v>
      </c>
      <c r="S6831" t="s">
        <v>47565</v>
      </c>
      <c r="T6831" t="s">
        <v>49056</v>
      </c>
      <c r="U6831" t="s">
        <v>55419</v>
      </c>
      <c r="V6831" t="s">
        <v>62770</v>
      </c>
      <c r="W6831" t="s">
        <v>64508</v>
      </c>
      <c r="X6831" t="s">
        <v>47432</v>
      </c>
    </row>
    <row r="6832" spans="1:24">
      <c r="A6832">
        <f>HYPERLINK("https://www.philgeps.gov.ph/GEPSNONPILOT/Tender/SplashBidNoticeAbstractUI.aspx?menuIndex=3&amp;refID=7156547&amp;Result=3","7156547")</f>
        <v>0</v>
      </c>
      <c r="B6832" t="s">
        <v>2424</v>
      </c>
      <c r="C6832" t="s">
        <v>10323</v>
      </c>
      <c r="D6832" t="s">
        <v>19060</v>
      </c>
      <c r="E6832" t="s">
        <v>25047</v>
      </c>
      <c r="F6832" t="s">
        <v>32831</v>
      </c>
      <c r="G6832" t="s">
        <v>32838</v>
      </c>
      <c r="H6832" t="s">
        <v>32848</v>
      </c>
      <c r="I6832" t="s">
        <v>4487</v>
      </c>
      <c r="J6832" t="s">
        <v>33077</v>
      </c>
      <c r="K6832" t="s">
        <v>42745</v>
      </c>
      <c r="M6832" t="s">
        <v>45621</v>
      </c>
      <c r="N6832" t="s">
        <v>47424</v>
      </c>
      <c r="O6832" t="s">
        <v>47425</v>
      </c>
      <c r="P6832">
        <v>0</v>
      </c>
      <c r="Q6832">
        <v>0</v>
      </c>
      <c r="R6832" t="s">
        <v>47431</v>
      </c>
      <c r="S6832" t="s">
        <v>47565</v>
      </c>
      <c r="T6832" t="s">
        <v>49244</v>
      </c>
      <c r="U6832" t="s">
        <v>53365</v>
      </c>
      <c r="W6832" t="s">
        <v>45621</v>
      </c>
      <c r="X6832" t="s">
        <v>47432</v>
      </c>
    </row>
    <row r="6833" spans="1:24">
      <c r="A6833">
        <f>HYPERLINK("https://www.philgeps.gov.ph/GEPSNONPILOT/Tender/SplashBidNoticeAbstractUI.aspx?menuIndex=3&amp;refID=7156418&amp;Result=3","7156418")</f>
        <v>0</v>
      </c>
      <c r="B6833" t="s">
        <v>2404</v>
      </c>
      <c r="C6833" t="s">
        <v>10324</v>
      </c>
      <c r="D6833" t="s">
        <v>19047</v>
      </c>
      <c r="E6833" t="s">
        <v>25048</v>
      </c>
      <c r="F6833" t="s">
        <v>32831</v>
      </c>
      <c r="G6833" t="s">
        <v>32839</v>
      </c>
      <c r="H6833" t="s">
        <v>32848</v>
      </c>
      <c r="I6833" t="s">
        <v>4446</v>
      </c>
      <c r="J6833" t="s">
        <v>36911</v>
      </c>
      <c r="K6833" t="s">
        <v>42726</v>
      </c>
      <c r="M6833" t="s">
        <v>45598</v>
      </c>
      <c r="N6833" t="s">
        <v>47424</v>
      </c>
      <c r="O6833" t="s">
        <v>47425</v>
      </c>
      <c r="P6833">
        <v>0</v>
      </c>
      <c r="Q6833">
        <v>3</v>
      </c>
      <c r="R6833" t="s">
        <v>47431</v>
      </c>
      <c r="S6833" t="s">
        <v>47565</v>
      </c>
      <c r="T6833" t="s">
        <v>49127</v>
      </c>
      <c r="U6833" t="s">
        <v>55420</v>
      </c>
      <c r="V6833" t="s">
        <v>63381</v>
      </c>
      <c r="W6833" t="s">
        <v>45598</v>
      </c>
      <c r="X6833" t="s">
        <v>47432</v>
      </c>
    </row>
    <row r="6834" spans="1:24">
      <c r="A6834">
        <f>HYPERLINK("https://www.philgeps.gov.ph/GEPSNONPILOT/Tender/SplashBidNoticeAbstractUI.aspx?menuIndex=3&amp;refID=7156544&amp;Result=3","7156544")</f>
        <v>0</v>
      </c>
      <c r="B6834" t="s">
        <v>231</v>
      </c>
      <c r="C6834" t="s">
        <v>10325</v>
      </c>
      <c r="D6834" t="s">
        <v>19039</v>
      </c>
      <c r="E6834" t="s">
        <v>25049</v>
      </c>
      <c r="F6834" t="s">
        <v>32831</v>
      </c>
      <c r="G6834" t="s">
        <v>32839</v>
      </c>
      <c r="H6834" t="s">
        <v>32848</v>
      </c>
      <c r="I6834" t="s">
        <v>7416</v>
      </c>
      <c r="J6834" t="s">
        <v>37290</v>
      </c>
      <c r="K6834" t="s">
        <v>42747</v>
      </c>
      <c r="M6834" t="s">
        <v>43230</v>
      </c>
      <c r="N6834" t="s">
        <v>47424</v>
      </c>
      <c r="O6834" t="s">
        <v>47425</v>
      </c>
      <c r="P6834">
        <v>0</v>
      </c>
      <c r="Q6834">
        <v>0</v>
      </c>
      <c r="R6834" t="s">
        <v>47431</v>
      </c>
      <c r="S6834" t="s">
        <v>47565</v>
      </c>
      <c r="T6834" t="s">
        <v>49129</v>
      </c>
      <c r="U6834" t="s">
        <v>55421</v>
      </c>
      <c r="W6834" t="s">
        <v>43230</v>
      </c>
      <c r="X6834" t="s">
        <v>47432</v>
      </c>
    </row>
    <row r="6835" spans="1:24">
      <c r="A6835">
        <f>HYPERLINK("https://www.philgeps.gov.ph/GEPSNONPILOT/Tender/SplashBidNoticeAbstractUI.aspx?menuIndex=3&amp;refID=7156543&amp;Result=3","7156543")</f>
        <v>0</v>
      </c>
      <c r="B6835" t="s">
        <v>2425</v>
      </c>
      <c r="C6835" t="s">
        <v>10326</v>
      </c>
      <c r="D6835" t="s">
        <v>19050</v>
      </c>
      <c r="E6835" t="s">
        <v>25050</v>
      </c>
      <c r="F6835" t="s">
        <v>32831</v>
      </c>
      <c r="G6835" t="s">
        <v>32838</v>
      </c>
      <c r="H6835" t="s">
        <v>32848</v>
      </c>
      <c r="I6835" t="s">
        <v>32874</v>
      </c>
      <c r="J6835" t="s">
        <v>37291</v>
      </c>
      <c r="K6835" t="s">
        <v>42730</v>
      </c>
      <c r="M6835" t="s">
        <v>45622</v>
      </c>
      <c r="N6835" t="s">
        <v>47424</v>
      </c>
      <c r="O6835" t="s">
        <v>47425</v>
      </c>
      <c r="P6835">
        <v>0</v>
      </c>
      <c r="Q6835">
        <v>7</v>
      </c>
      <c r="R6835" t="s">
        <v>47431</v>
      </c>
      <c r="S6835" t="s">
        <v>47565</v>
      </c>
      <c r="T6835" t="s">
        <v>49127</v>
      </c>
      <c r="U6835" t="s">
        <v>55422</v>
      </c>
      <c r="W6835" t="s">
        <v>45622</v>
      </c>
      <c r="X6835" t="s">
        <v>47432</v>
      </c>
    </row>
    <row r="6836" spans="1:24">
      <c r="A6836">
        <f>HYPERLINK("https://www.philgeps.gov.ph/GEPSNONPILOT/Tender/SplashBidNoticeAbstractUI.aspx?menuIndex=3&amp;refID=7156382&amp;Result=3","7156382")</f>
        <v>0</v>
      </c>
      <c r="B6836" t="s">
        <v>2402</v>
      </c>
      <c r="C6836" t="s">
        <v>10327</v>
      </c>
      <c r="D6836" t="s">
        <v>19026</v>
      </c>
      <c r="E6836" t="s">
        <v>25051</v>
      </c>
      <c r="F6836" t="s">
        <v>32831</v>
      </c>
      <c r="G6836" t="s">
        <v>32839</v>
      </c>
      <c r="H6836" t="s">
        <v>32848</v>
      </c>
      <c r="I6836" t="s">
        <v>32852</v>
      </c>
      <c r="J6836" t="s">
        <v>33007</v>
      </c>
      <c r="K6836" t="s">
        <v>42731</v>
      </c>
      <c r="M6836" t="s">
        <v>45595</v>
      </c>
      <c r="N6836" t="s">
        <v>47424</v>
      </c>
      <c r="O6836" t="s">
        <v>47425</v>
      </c>
      <c r="P6836">
        <v>0</v>
      </c>
      <c r="Q6836">
        <v>4</v>
      </c>
      <c r="R6836" t="s">
        <v>47431</v>
      </c>
      <c r="S6836" t="s">
        <v>47565</v>
      </c>
      <c r="T6836" t="s">
        <v>49079</v>
      </c>
      <c r="U6836" t="s">
        <v>49926</v>
      </c>
      <c r="W6836" t="s">
        <v>45595</v>
      </c>
      <c r="X6836" t="s">
        <v>47432</v>
      </c>
    </row>
    <row r="6837" spans="1:24">
      <c r="A6837">
        <f>HYPERLINK("https://www.philgeps.gov.ph/GEPSNONPILOT/Tender/SplashBidNoticeAbstractUI.aspx?menuIndex=3&amp;refID=7156538&amp;Result=3","7156538")</f>
        <v>0</v>
      </c>
      <c r="B6837" t="s">
        <v>2426</v>
      </c>
      <c r="C6837" t="s">
        <v>10328</v>
      </c>
      <c r="D6837" t="s">
        <v>19019</v>
      </c>
      <c r="E6837" t="s">
        <v>25052</v>
      </c>
      <c r="F6837" t="s">
        <v>32831</v>
      </c>
      <c r="G6837" t="s">
        <v>32839</v>
      </c>
      <c r="H6837" t="s">
        <v>32850</v>
      </c>
      <c r="I6837" t="s">
        <v>7819</v>
      </c>
      <c r="J6837" t="s">
        <v>37292</v>
      </c>
      <c r="K6837" t="s">
        <v>42770</v>
      </c>
      <c r="M6837" t="s">
        <v>45623</v>
      </c>
      <c r="N6837" t="s">
        <v>47424</v>
      </c>
      <c r="O6837" t="s">
        <v>47425</v>
      </c>
      <c r="P6837">
        <v>0</v>
      </c>
      <c r="Q6837">
        <v>3</v>
      </c>
      <c r="R6837" t="s">
        <v>47431</v>
      </c>
      <c r="S6837" t="s">
        <v>47565</v>
      </c>
      <c r="T6837" t="s">
        <v>49463</v>
      </c>
      <c r="U6837" t="s">
        <v>55423</v>
      </c>
      <c r="V6837" t="s">
        <v>63382</v>
      </c>
      <c r="W6837" t="s">
        <v>45623</v>
      </c>
      <c r="X6837" t="s">
        <v>47432</v>
      </c>
    </row>
    <row r="6838" spans="1:24">
      <c r="A6838">
        <f>HYPERLINK("https://www.philgeps.gov.ph/GEPSNONPILOT/Tender/SplashBidNoticeAbstractUI.aspx?menuIndex=3&amp;refID=7156549&amp;Result=3","7156549")</f>
        <v>0</v>
      </c>
      <c r="B6838" t="s">
        <v>2427</v>
      </c>
      <c r="C6838" t="s">
        <v>10329</v>
      </c>
      <c r="D6838" t="s">
        <v>19027</v>
      </c>
      <c r="E6838" t="s">
        <v>10329</v>
      </c>
      <c r="F6838" t="s">
        <v>32831</v>
      </c>
      <c r="G6838" t="s">
        <v>32839</v>
      </c>
      <c r="H6838" t="s">
        <v>32848</v>
      </c>
      <c r="I6838" t="s">
        <v>32860</v>
      </c>
      <c r="J6838" t="s">
        <v>37293</v>
      </c>
      <c r="K6838" t="s">
        <v>42775</v>
      </c>
      <c r="M6838" t="s">
        <v>45624</v>
      </c>
      <c r="N6838" t="s">
        <v>47424</v>
      </c>
      <c r="O6838" t="s">
        <v>47425</v>
      </c>
      <c r="P6838">
        <v>0</v>
      </c>
      <c r="Q6838">
        <v>1</v>
      </c>
      <c r="R6838" t="s">
        <v>47431</v>
      </c>
      <c r="S6838" t="s">
        <v>47565</v>
      </c>
      <c r="T6838" t="s">
        <v>49084</v>
      </c>
      <c r="U6838" t="s">
        <v>55424</v>
      </c>
      <c r="W6838" t="s">
        <v>45624</v>
      </c>
      <c r="X6838" t="s">
        <v>47432</v>
      </c>
    </row>
    <row r="6839" spans="1:24">
      <c r="A6839">
        <f>HYPERLINK("https://www.philgeps.gov.ph/GEPSNONPILOT/Tender/SplashBidNoticeAbstractUI.aspx?menuIndex=3&amp;refID=7156532&amp;Result=3","7156532")</f>
        <v>0</v>
      </c>
      <c r="B6839" t="s">
        <v>1136</v>
      </c>
      <c r="C6839" t="s">
        <v>10330</v>
      </c>
      <c r="D6839" t="s">
        <v>19090</v>
      </c>
      <c r="E6839" t="s">
        <v>25053</v>
      </c>
      <c r="F6839" t="s">
        <v>32831</v>
      </c>
      <c r="G6839" t="s">
        <v>32839</v>
      </c>
      <c r="H6839" t="s">
        <v>32848</v>
      </c>
      <c r="I6839" t="s">
        <v>7416</v>
      </c>
      <c r="J6839" t="s">
        <v>37294</v>
      </c>
      <c r="K6839" t="s">
        <v>42748</v>
      </c>
      <c r="M6839" t="s">
        <v>44199</v>
      </c>
      <c r="N6839" t="s">
        <v>47424</v>
      </c>
      <c r="O6839" t="s">
        <v>47425</v>
      </c>
      <c r="P6839">
        <v>0</v>
      </c>
      <c r="Q6839">
        <v>0</v>
      </c>
      <c r="R6839" t="s">
        <v>47431</v>
      </c>
      <c r="S6839" t="s">
        <v>47565</v>
      </c>
      <c r="T6839" t="s">
        <v>49056</v>
      </c>
      <c r="U6839" t="s">
        <v>55368</v>
      </c>
      <c r="W6839" t="s">
        <v>44199</v>
      </c>
      <c r="X6839" t="s">
        <v>47432</v>
      </c>
    </row>
    <row r="6840" spans="1:24">
      <c r="A6840">
        <f>HYPERLINK("https://www.philgeps.gov.ph/GEPSNONPILOT/Tender/SplashBidNoticeAbstractUI.aspx?menuIndex=3&amp;refID=7156528&amp;Result=3","7156528")</f>
        <v>0</v>
      </c>
      <c r="B6840" t="s">
        <v>2428</v>
      </c>
      <c r="C6840" t="s">
        <v>10331</v>
      </c>
      <c r="D6840" t="s">
        <v>19036</v>
      </c>
      <c r="E6840" t="s">
        <v>20178</v>
      </c>
      <c r="F6840" t="s">
        <v>32834</v>
      </c>
      <c r="G6840" t="s">
        <v>32838</v>
      </c>
      <c r="H6840" t="s">
        <v>32848</v>
      </c>
      <c r="I6840" t="s">
        <v>32857</v>
      </c>
      <c r="J6840" t="s">
        <v>33084</v>
      </c>
      <c r="K6840" t="s">
        <v>42726</v>
      </c>
      <c r="M6840" t="s">
        <v>45625</v>
      </c>
      <c r="N6840" t="s">
        <v>47424</v>
      </c>
      <c r="O6840" t="s">
        <v>47425</v>
      </c>
      <c r="P6840">
        <v>0</v>
      </c>
      <c r="Q6840">
        <v>7</v>
      </c>
      <c r="R6840" t="s">
        <v>47431</v>
      </c>
      <c r="S6840" t="s">
        <v>47565</v>
      </c>
      <c r="T6840" t="s">
        <v>49127</v>
      </c>
      <c r="U6840" t="s">
        <v>55425</v>
      </c>
      <c r="W6840" t="s">
        <v>45625</v>
      </c>
      <c r="X6840" t="s">
        <v>47432</v>
      </c>
    </row>
    <row r="6841" spans="1:24">
      <c r="A6841">
        <f>HYPERLINK("https://www.philgeps.gov.ph/GEPSNONPILOT/Tender/SplashBidNoticeAbstractUI.aspx?menuIndex=3&amp;refID=7156483&amp;Result=3","7156483")</f>
        <v>0</v>
      </c>
      <c r="B6841" t="s">
        <v>231</v>
      </c>
      <c r="C6841" t="s">
        <v>10332</v>
      </c>
      <c r="D6841" t="s">
        <v>19039</v>
      </c>
      <c r="E6841" t="s">
        <v>25054</v>
      </c>
      <c r="F6841" t="s">
        <v>32831</v>
      </c>
      <c r="G6841" t="s">
        <v>32839</v>
      </c>
      <c r="H6841" t="s">
        <v>32848</v>
      </c>
      <c r="I6841" t="s">
        <v>7416</v>
      </c>
      <c r="J6841" t="s">
        <v>37295</v>
      </c>
      <c r="K6841" t="s">
        <v>42747</v>
      </c>
      <c r="M6841" t="s">
        <v>43230</v>
      </c>
      <c r="N6841" t="s">
        <v>47424</v>
      </c>
      <c r="O6841" t="s">
        <v>47425</v>
      </c>
      <c r="P6841">
        <v>0</v>
      </c>
      <c r="Q6841">
        <v>0</v>
      </c>
      <c r="R6841" t="s">
        <v>47431</v>
      </c>
      <c r="S6841" t="s">
        <v>47565</v>
      </c>
      <c r="T6841" t="s">
        <v>49077</v>
      </c>
      <c r="U6841" t="s">
        <v>55426</v>
      </c>
      <c r="W6841" t="s">
        <v>43230</v>
      </c>
      <c r="X6841" t="s">
        <v>47432</v>
      </c>
    </row>
    <row r="6842" spans="1:24">
      <c r="A6842">
        <f>HYPERLINK("https://www.philgeps.gov.ph/GEPSNONPILOT/Tender/SplashBidNoticeAbstractUI.aspx?menuIndex=3&amp;refID=7156527&amp;Result=3","7156527")</f>
        <v>0</v>
      </c>
      <c r="B6842" t="s">
        <v>798</v>
      </c>
      <c r="C6842" t="s">
        <v>10333</v>
      </c>
      <c r="D6842" t="s">
        <v>19080</v>
      </c>
      <c r="E6842" t="s">
        <v>25055</v>
      </c>
      <c r="F6842" t="s">
        <v>32831</v>
      </c>
      <c r="G6842" t="s">
        <v>32838</v>
      </c>
      <c r="H6842" t="s">
        <v>32848</v>
      </c>
      <c r="I6842" t="s">
        <v>32857</v>
      </c>
      <c r="J6842" t="s">
        <v>33445</v>
      </c>
      <c r="K6842" t="s">
        <v>42727</v>
      </c>
      <c r="M6842" t="s">
        <v>43828</v>
      </c>
      <c r="N6842" t="s">
        <v>47424</v>
      </c>
      <c r="O6842" t="s">
        <v>47425</v>
      </c>
      <c r="P6842">
        <v>0</v>
      </c>
      <c r="Q6842">
        <v>2</v>
      </c>
      <c r="R6842" t="s">
        <v>47431</v>
      </c>
      <c r="S6842" t="s">
        <v>47565</v>
      </c>
      <c r="T6842" t="s">
        <v>49056</v>
      </c>
      <c r="U6842" t="s">
        <v>51150</v>
      </c>
      <c r="W6842" t="s">
        <v>43828</v>
      </c>
      <c r="X6842" t="s">
        <v>47432</v>
      </c>
    </row>
    <row r="6843" spans="1:24">
      <c r="A6843">
        <f>HYPERLINK("https://www.philgeps.gov.ph/GEPSNONPILOT/Tender/SplashBidNoticeAbstractUI.aspx?menuIndex=3&amp;refID=7156540&amp;Result=3","7156540")</f>
        <v>0</v>
      </c>
      <c r="B6843" t="s">
        <v>2429</v>
      </c>
      <c r="C6843" t="s">
        <v>10334</v>
      </c>
      <c r="D6843" t="s">
        <v>19064</v>
      </c>
      <c r="E6843" t="s">
        <v>25056</v>
      </c>
      <c r="F6843" t="s">
        <v>32831</v>
      </c>
      <c r="G6843" t="s">
        <v>32839</v>
      </c>
      <c r="H6843" t="s">
        <v>32848</v>
      </c>
      <c r="I6843" t="s">
        <v>32862</v>
      </c>
      <c r="J6843" t="s">
        <v>37296</v>
      </c>
      <c r="K6843" t="s">
        <v>42731</v>
      </c>
      <c r="M6843" t="s">
        <v>45626</v>
      </c>
      <c r="N6843" t="s">
        <v>47424</v>
      </c>
      <c r="O6843" t="s">
        <v>47425</v>
      </c>
      <c r="P6843">
        <v>0</v>
      </c>
      <c r="Q6843">
        <v>0</v>
      </c>
      <c r="R6843" t="s">
        <v>47431</v>
      </c>
      <c r="S6843" t="s">
        <v>47565</v>
      </c>
      <c r="T6843" t="s">
        <v>49055</v>
      </c>
      <c r="U6843" t="s">
        <v>55427</v>
      </c>
      <c r="W6843" t="s">
        <v>45626</v>
      </c>
      <c r="X6843" t="s">
        <v>47432</v>
      </c>
    </row>
    <row r="6844" spans="1:24">
      <c r="A6844">
        <f>HYPERLINK("https://www.philgeps.gov.ph/GEPSNONPILOT/Tender/SplashBidNoticeAbstractUI.aspx?menuIndex=3&amp;refID=7156525&amp;Result=3","7156525")</f>
        <v>0</v>
      </c>
      <c r="B6844" t="s">
        <v>747</v>
      </c>
      <c r="C6844" t="s">
        <v>10335</v>
      </c>
      <c r="D6844" t="s">
        <v>19041</v>
      </c>
      <c r="E6844" t="s">
        <v>21927</v>
      </c>
      <c r="F6844" t="s">
        <v>32831</v>
      </c>
      <c r="G6844" t="s">
        <v>32839</v>
      </c>
      <c r="H6844" t="s">
        <v>32848</v>
      </c>
      <c r="I6844" t="s">
        <v>7416</v>
      </c>
      <c r="J6844" t="s">
        <v>37297</v>
      </c>
      <c r="K6844" t="s">
        <v>42727</v>
      </c>
      <c r="M6844" t="s">
        <v>43770</v>
      </c>
      <c r="N6844" t="s">
        <v>47424</v>
      </c>
      <c r="O6844" t="s">
        <v>47425</v>
      </c>
      <c r="P6844">
        <v>0</v>
      </c>
      <c r="Q6844">
        <v>0</v>
      </c>
      <c r="R6844" t="s">
        <v>47431</v>
      </c>
      <c r="S6844" t="s">
        <v>47565</v>
      </c>
      <c r="T6844" t="s">
        <v>49125</v>
      </c>
      <c r="U6844" t="s">
        <v>55428</v>
      </c>
      <c r="W6844" t="s">
        <v>43770</v>
      </c>
      <c r="X6844" t="s">
        <v>47432</v>
      </c>
    </row>
    <row r="6845" spans="1:24">
      <c r="A6845">
        <f>HYPERLINK("https://www.philgeps.gov.ph/GEPSNONPILOT/Tender/SplashBidNoticeAbstractUI.aspx?menuIndex=3&amp;refID=7156533&amp;Result=3","7156533")</f>
        <v>0</v>
      </c>
      <c r="B6845" t="s">
        <v>2430</v>
      </c>
      <c r="C6845" t="s">
        <v>10336</v>
      </c>
      <c r="D6845" t="s">
        <v>19049</v>
      </c>
      <c r="E6845" t="s">
        <v>25057</v>
      </c>
      <c r="F6845" t="s">
        <v>32831</v>
      </c>
      <c r="G6845" t="s">
        <v>32838</v>
      </c>
      <c r="H6845" t="s">
        <v>32848</v>
      </c>
      <c r="I6845" t="s">
        <v>9577</v>
      </c>
      <c r="J6845" t="s">
        <v>37298</v>
      </c>
      <c r="K6845" t="s">
        <v>42748</v>
      </c>
      <c r="M6845" t="s">
        <v>45627</v>
      </c>
      <c r="N6845" t="s">
        <v>47424</v>
      </c>
      <c r="O6845" t="s">
        <v>47425</v>
      </c>
      <c r="P6845">
        <v>0</v>
      </c>
      <c r="Q6845">
        <v>1</v>
      </c>
      <c r="R6845" t="s">
        <v>47431</v>
      </c>
      <c r="S6845" t="s">
        <v>47565</v>
      </c>
      <c r="T6845" t="s">
        <v>49237</v>
      </c>
      <c r="U6845" t="s">
        <v>55429</v>
      </c>
      <c r="W6845" t="s">
        <v>45627</v>
      </c>
      <c r="X6845" t="s">
        <v>47432</v>
      </c>
    </row>
    <row r="6846" spans="1:24">
      <c r="A6846">
        <f>HYPERLINK("https://www.philgeps.gov.ph/GEPSNONPILOT/Tender/SplashBidNoticeAbstractUI.aspx?menuIndex=3&amp;refID=7156546&amp;Result=3","7156546")</f>
        <v>0</v>
      </c>
      <c r="B6846" t="s">
        <v>674</v>
      </c>
      <c r="C6846" t="s">
        <v>10337</v>
      </c>
      <c r="D6846" t="s">
        <v>19058</v>
      </c>
      <c r="E6846" t="s">
        <v>25058</v>
      </c>
      <c r="F6846" t="s">
        <v>32831</v>
      </c>
      <c r="G6846" t="s">
        <v>32840</v>
      </c>
      <c r="H6846" t="s">
        <v>32848</v>
      </c>
      <c r="I6846" t="s">
        <v>4340</v>
      </c>
      <c r="J6846" t="s">
        <v>37299</v>
      </c>
      <c r="K6846" t="s">
        <v>42732</v>
      </c>
      <c r="M6846" t="s">
        <v>44520</v>
      </c>
      <c r="N6846" t="s">
        <v>47424</v>
      </c>
      <c r="O6846" t="s">
        <v>47425</v>
      </c>
      <c r="P6846">
        <v>0</v>
      </c>
      <c r="Q6846">
        <v>0</v>
      </c>
      <c r="R6846" t="s">
        <v>47431</v>
      </c>
      <c r="S6846" t="s">
        <v>47565</v>
      </c>
      <c r="T6846" t="s">
        <v>49237</v>
      </c>
      <c r="U6846" t="s">
        <v>55430</v>
      </c>
      <c r="W6846" t="s">
        <v>44520</v>
      </c>
      <c r="X6846" t="s">
        <v>47432</v>
      </c>
    </row>
    <row r="6847" spans="1:24">
      <c r="A6847">
        <f>HYPERLINK("https://www.philgeps.gov.ph/GEPSNONPILOT/Tender/SplashBidNoticeAbstractUI.aspx?menuIndex=3&amp;refID=7156529&amp;Result=3","7156529")</f>
        <v>0</v>
      </c>
      <c r="B6847" t="s">
        <v>2418</v>
      </c>
      <c r="C6847" t="s">
        <v>10338</v>
      </c>
      <c r="D6847" t="s">
        <v>19027</v>
      </c>
      <c r="E6847" t="s">
        <v>25059</v>
      </c>
      <c r="F6847" t="s">
        <v>32831</v>
      </c>
      <c r="G6847" t="s">
        <v>32839</v>
      </c>
      <c r="H6847" t="s">
        <v>32848</v>
      </c>
      <c r="I6847" t="s">
        <v>7751</v>
      </c>
      <c r="J6847" t="s">
        <v>37300</v>
      </c>
      <c r="K6847" t="s">
        <v>42732</v>
      </c>
      <c r="M6847" t="s">
        <v>45613</v>
      </c>
      <c r="N6847" t="s">
        <v>47424</v>
      </c>
      <c r="O6847" t="s">
        <v>47425</v>
      </c>
      <c r="P6847">
        <v>0</v>
      </c>
      <c r="Q6847">
        <v>4</v>
      </c>
      <c r="R6847" t="s">
        <v>47431</v>
      </c>
      <c r="S6847" t="s">
        <v>47565</v>
      </c>
      <c r="T6847" t="s">
        <v>49283</v>
      </c>
      <c r="U6847" t="s">
        <v>55431</v>
      </c>
      <c r="V6847" t="s">
        <v>63379</v>
      </c>
      <c r="W6847" t="s">
        <v>45613</v>
      </c>
      <c r="X6847" t="s">
        <v>47432</v>
      </c>
    </row>
    <row r="6848" spans="1:24">
      <c r="A6848">
        <f>HYPERLINK("https://www.philgeps.gov.ph/GEPSNONPILOT/Tender/SplashBidNoticeAbstractUI.aspx?menuIndex=3&amp;refID=7156524&amp;Result=3","7156524")</f>
        <v>0</v>
      </c>
      <c r="B6848" t="s">
        <v>2431</v>
      </c>
      <c r="C6848" t="s">
        <v>10339</v>
      </c>
      <c r="D6848" t="s">
        <v>19038</v>
      </c>
      <c r="E6848" t="s">
        <v>25060</v>
      </c>
      <c r="F6848" t="s">
        <v>32831</v>
      </c>
      <c r="G6848" t="s">
        <v>32838</v>
      </c>
      <c r="H6848" t="s">
        <v>32848</v>
      </c>
      <c r="I6848" t="s">
        <v>7416</v>
      </c>
      <c r="J6848" t="s">
        <v>37301</v>
      </c>
      <c r="K6848" t="s">
        <v>42732</v>
      </c>
      <c r="M6848" t="s">
        <v>45628</v>
      </c>
      <c r="N6848" t="s">
        <v>47424</v>
      </c>
      <c r="O6848" t="s">
        <v>47425</v>
      </c>
      <c r="P6848">
        <v>0</v>
      </c>
      <c r="Q6848">
        <v>0</v>
      </c>
      <c r="R6848" t="s">
        <v>47431</v>
      </c>
      <c r="S6848" t="s">
        <v>47565</v>
      </c>
      <c r="T6848" t="s">
        <v>49056</v>
      </c>
      <c r="U6848" t="s">
        <v>55432</v>
      </c>
      <c r="W6848" t="s">
        <v>45628</v>
      </c>
      <c r="X6848" t="s">
        <v>47432</v>
      </c>
    </row>
    <row r="6849" spans="1:24">
      <c r="A6849">
        <f>HYPERLINK("https://www.philgeps.gov.ph/GEPSNONPILOT/Tender/SplashBidNoticeAbstractUI.aspx?menuIndex=3&amp;refID=7156526&amp;Result=3","7156526")</f>
        <v>0</v>
      </c>
      <c r="B6849" t="s">
        <v>27</v>
      </c>
      <c r="C6849" t="s">
        <v>10340</v>
      </c>
      <c r="D6849" t="s">
        <v>19020</v>
      </c>
      <c r="E6849" t="s">
        <v>25061</v>
      </c>
      <c r="F6849" t="s">
        <v>32831</v>
      </c>
      <c r="G6849" t="s">
        <v>32839</v>
      </c>
      <c r="H6849" t="s">
        <v>32848</v>
      </c>
      <c r="I6849" t="s">
        <v>32861</v>
      </c>
      <c r="J6849" t="s">
        <v>37302</v>
      </c>
      <c r="K6849" t="s">
        <v>42727</v>
      </c>
      <c r="M6849" t="s">
        <v>43309</v>
      </c>
      <c r="N6849" t="s">
        <v>47424</v>
      </c>
      <c r="O6849" t="s">
        <v>47425</v>
      </c>
      <c r="P6849">
        <v>0</v>
      </c>
      <c r="Q6849">
        <v>3</v>
      </c>
      <c r="R6849" t="s">
        <v>47431</v>
      </c>
      <c r="S6849" t="s">
        <v>47565</v>
      </c>
      <c r="T6849" t="s">
        <v>49104</v>
      </c>
      <c r="U6849" t="s">
        <v>55433</v>
      </c>
      <c r="W6849" t="s">
        <v>43309</v>
      </c>
      <c r="X6849" t="s">
        <v>47432</v>
      </c>
    </row>
    <row r="6850" spans="1:24">
      <c r="A6850">
        <f>HYPERLINK("https://www.philgeps.gov.ph/GEPSNONPILOT/Tender/SplashBidNoticeAbstractUI.aspx?menuIndex=3&amp;refID=7156582&amp;Result=3","7156582")</f>
        <v>0</v>
      </c>
      <c r="B6850" t="s">
        <v>1861</v>
      </c>
      <c r="C6850" t="s">
        <v>10341</v>
      </c>
      <c r="D6850" t="s">
        <v>19060</v>
      </c>
      <c r="E6850" t="s">
        <v>25062</v>
      </c>
      <c r="F6850" t="s">
        <v>32831</v>
      </c>
      <c r="G6850" t="s">
        <v>32841</v>
      </c>
      <c r="H6850" t="s">
        <v>32848</v>
      </c>
      <c r="I6850" t="s">
        <v>32870</v>
      </c>
      <c r="J6850" t="s">
        <v>37303</v>
      </c>
      <c r="K6850" t="s">
        <v>42730</v>
      </c>
      <c r="M6850" t="s">
        <v>45000</v>
      </c>
      <c r="N6850" t="s">
        <v>47424</v>
      </c>
      <c r="O6850" t="s">
        <v>47425</v>
      </c>
      <c r="P6850">
        <v>0</v>
      </c>
      <c r="Q6850">
        <v>1</v>
      </c>
      <c r="R6850" t="s">
        <v>47431</v>
      </c>
      <c r="S6850" t="s">
        <v>47565</v>
      </c>
      <c r="T6850" t="s">
        <v>49198</v>
      </c>
      <c r="U6850" t="s">
        <v>55434</v>
      </c>
      <c r="W6850" t="s">
        <v>45000</v>
      </c>
      <c r="X6850" t="s">
        <v>47432</v>
      </c>
    </row>
    <row r="6851" spans="1:24">
      <c r="A6851">
        <f>HYPERLINK("https://www.philgeps.gov.ph/GEPSNONPILOT/Tender/SplashBidNoticeAbstractUI.aspx?menuIndex=3&amp;refID=7156523&amp;Result=3","7156523")</f>
        <v>0</v>
      </c>
      <c r="B6851" t="s">
        <v>1861</v>
      </c>
      <c r="C6851" t="s">
        <v>10342</v>
      </c>
      <c r="D6851" t="s">
        <v>19060</v>
      </c>
      <c r="E6851" t="s">
        <v>25063</v>
      </c>
      <c r="F6851" t="s">
        <v>32831</v>
      </c>
      <c r="G6851" t="s">
        <v>32839</v>
      </c>
      <c r="H6851" t="s">
        <v>32848</v>
      </c>
      <c r="I6851" t="s">
        <v>32870</v>
      </c>
      <c r="J6851" t="s">
        <v>37304</v>
      </c>
      <c r="K6851" t="s">
        <v>42750</v>
      </c>
      <c r="M6851" t="s">
        <v>45000</v>
      </c>
      <c r="N6851" t="s">
        <v>47424</v>
      </c>
      <c r="O6851" t="s">
        <v>47425</v>
      </c>
      <c r="P6851">
        <v>0</v>
      </c>
      <c r="Q6851">
        <v>0</v>
      </c>
      <c r="R6851" t="s">
        <v>47431</v>
      </c>
      <c r="S6851" t="s">
        <v>47565</v>
      </c>
      <c r="T6851" t="s">
        <v>49198</v>
      </c>
      <c r="U6851" t="s">
        <v>55435</v>
      </c>
      <c r="W6851" t="s">
        <v>45000</v>
      </c>
      <c r="X6851" t="s">
        <v>47432</v>
      </c>
    </row>
    <row r="6852" spans="1:24">
      <c r="A6852">
        <f>HYPERLINK("https://www.philgeps.gov.ph/GEPSNONPILOT/Tender/SplashBidNoticeAbstractUI.aspx?menuIndex=3&amp;refID=7156577&amp;Result=3","7156577")</f>
        <v>0</v>
      </c>
      <c r="B6852" t="s">
        <v>674</v>
      </c>
      <c r="C6852" t="s">
        <v>10343</v>
      </c>
      <c r="D6852" t="s">
        <v>19058</v>
      </c>
      <c r="E6852" t="s">
        <v>25064</v>
      </c>
      <c r="F6852" t="s">
        <v>32831</v>
      </c>
      <c r="G6852" t="s">
        <v>32840</v>
      </c>
      <c r="H6852" t="s">
        <v>32848</v>
      </c>
      <c r="I6852" t="s">
        <v>4558</v>
      </c>
      <c r="J6852" t="s">
        <v>37305</v>
      </c>
      <c r="K6852" t="s">
        <v>42732</v>
      </c>
      <c r="M6852" t="s">
        <v>44520</v>
      </c>
      <c r="N6852" t="s">
        <v>47424</v>
      </c>
      <c r="O6852" t="s">
        <v>47425</v>
      </c>
      <c r="P6852">
        <v>0</v>
      </c>
      <c r="Q6852">
        <v>2</v>
      </c>
      <c r="R6852" t="s">
        <v>47431</v>
      </c>
      <c r="S6852" t="s">
        <v>47565</v>
      </c>
      <c r="T6852" t="s">
        <v>49237</v>
      </c>
      <c r="U6852" t="s">
        <v>55436</v>
      </c>
      <c r="W6852" t="s">
        <v>44520</v>
      </c>
      <c r="X6852" t="s">
        <v>47432</v>
      </c>
    </row>
    <row r="6853" spans="1:24">
      <c r="A6853">
        <f>HYPERLINK("https://www.philgeps.gov.ph/GEPSNONPILOT/Tender/SplashBidNoticeAbstractUI.aspx?menuIndex=3&amp;refID=7156573&amp;Result=3","7156573")</f>
        <v>0</v>
      </c>
      <c r="B6853" t="s">
        <v>755</v>
      </c>
      <c r="C6853" t="s">
        <v>10344</v>
      </c>
      <c r="E6853" t="s">
        <v>25065</v>
      </c>
      <c r="F6853" t="s">
        <v>32831</v>
      </c>
      <c r="G6853" t="s">
        <v>32839</v>
      </c>
      <c r="H6853" t="s">
        <v>32848</v>
      </c>
      <c r="I6853" t="s">
        <v>4435</v>
      </c>
      <c r="J6853" t="s">
        <v>37306</v>
      </c>
      <c r="K6853" t="s">
        <v>42732</v>
      </c>
      <c r="M6853" t="s">
        <v>45605</v>
      </c>
      <c r="N6853" t="s">
        <v>47424</v>
      </c>
      <c r="O6853" t="s">
        <v>47425</v>
      </c>
      <c r="P6853">
        <v>0</v>
      </c>
      <c r="Q6853">
        <v>6</v>
      </c>
      <c r="R6853" t="s">
        <v>47431</v>
      </c>
      <c r="S6853" t="s">
        <v>47565</v>
      </c>
      <c r="T6853" t="s">
        <v>49150</v>
      </c>
      <c r="U6853" t="s">
        <v>55437</v>
      </c>
      <c r="W6853" t="s">
        <v>45605</v>
      </c>
      <c r="X6853" t="s">
        <v>47432</v>
      </c>
    </row>
    <row r="6854" spans="1:24">
      <c r="A6854">
        <f>HYPERLINK("https://www.philgeps.gov.ph/GEPSNONPILOT/Tender/SplashBidNoticeAbstractUI.aspx?menuIndex=3&amp;refID=7156571&amp;Result=3","7156571")</f>
        <v>0</v>
      </c>
      <c r="B6854" t="s">
        <v>2424</v>
      </c>
      <c r="C6854" t="s">
        <v>10345</v>
      </c>
      <c r="D6854" t="s">
        <v>19060</v>
      </c>
      <c r="E6854" t="s">
        <v>21978</v>
      </c>
      <c r="F6854" t="s">
        <v>32831</v>
      </c>
      <c r="G6854" t="s">
        <v>32838</v>
      </c>
      <c r="H6854" t="s">
        <v>32848</v>
      </c>
      <c r="I6854" t="s">
        <v>32856</v>
      </c>
      <c r="J6854" t="s">
        <v>33077</v>
      </c>
      <c r="K6854" t="s">
        <v>42745</v>
      </c>
      <c r="M6854" t="s">
        <v>45621</v>
      </c>
      <c r="N6854" t="s">
        <v>47424</v>
      </c>
      <c r="O6854" t="s">
        <v>47425</v>
      </c>
      <c r="P6854">
        <v>0</v>
      </c>
      <c r="Q6854">
        <v>0</v>
      </c>
      <c r="R6854" t="s">
        <v>47431</v>
      </c>
      <c r="S6854" t="s">
        <v>47565</v>
      </c>
      <c r="T6854" t="s">
        <v>49244</v>
      </c>
      <c r="U6854" t="s">
        <v>53365</v>
      </c>
      <c r="W6854" t="s">
        <v>45621</v>
      </c>
      <c r="X6854" t="s">
        <v>47432</v>
      </c>
    </row>
    <row r="6855" spans="1:24">
      <c r="A6855">
        <f>HYPERLINK("https://www.philgeps.gov.ph/GEPSNONPILOT/Tender/SplashBidNoticeAbstractUI.aspx?menuIndex=3&amp;refID=7156570&amp;Result=3","7156570")</f>
        <v>0</v>
      </c>
      <c r="B6855" t="s">
        <v>2382</v>
      </c>
      <c r="C6855" t="s">
        <v>10346</v>
      </c>
      <c r="D6855" t="s">
        <v>19027</v>
      </c>
      <c r="E6855" t="s">
        <v>25066</v>
      </c>
      <c r="F6855" t="s">
        <v>32831</v>
      </c>
      <c r="G6855" t="s">
        <v>32838</v>
      </c>
      <c r="H6855" t="s">
        <v>32848</v>
      </c>
      <c r="I6855" t="s">
        <v>32855</v>
      </c>
      <c r="J6855" t="s">
        <v>35082</v>
      </c>
      <c r="K6855" t="s">
        <v>42759</v>
      </c>
      <c r="M6855" t="s">
        <v>45571</v>
      </c>
      <c r="N6855" t="s">
        <v>47424</v>
      </c>
      <c r="O6855" t="s">
        <v>47425</v>
      </c>
      <c r="P6855">
        <v>0</v>
      </c>
      <c r="Q6855">
        <v>0</v>
      </c>
      <c r="R6855" t="s">
        <v>47431</v>
      </c>
      <c r="S6855" t="s">
        <v>47565</v>
      </c>
      <c r="T6855" t="s">
        <v>49124</v>
      </c>
      <c r="U6855" t="s">
        <v>55438</v>
      </c>
      <c r="W6855" t="s">
        <v>45571</v>
      </c>
      <c r="X6855" t="s">
        <v>47432</v>
      </c>
    </row>
    <row r="6856" spans="1:24">
      <c r="A6856">
        <f>HYPERLINK("https://www.philgeps.gov.ph/GEPSNONPILOT/Tender/SplashBidNoticeAbstractUI.aspx?menuIndex=3&amp;refID=7156565&amp;Result=3","7156565")</f>
        <v>0</v>
      </c>
      <c r="B6856" t="s">
        <v>2428</v>
      </c>
      <c r="C6856" t="s">
        <v>10347</v>
      </c>
      <c r="D6856" t="s">
        <v>19036</v>
      </c>
      <c r="E6856" t="s">
        <v>20441</v>
      </c>
      <c r="F6856" t="s">
        <v>32831</v>
      </c>
      <c r="G6856" t="s">
        <v>32838</v>
      </c>
      <c r="H6856" t="s">
        <v>32848</v>
      </c>
      <c r="I6856" t="s">
        <v>32857</v>
      </c>
      <c r="J6856" t="s">
        <v>33178</v>
      </c>
      <c r="K6856" t="s">
        <v>42726</v>
      </c>
      <c r="M6856" t="s">
        <v>45625</v>
      </c>
      <c r="N6856" t="s">
        <v>47424</v>
      </c>
      <c r="O6856" t="s">
        <v>47425</v>
      </c>
      <c r="P6856">
        <v>0</v>
      </c>
      <c r="Q6856">
        <v>7</v>
      </c>
      <c r="R6856" t="s">
        <v>47431</v>
      </c>
      <c r="S6856" t="s">
        <v>47565</v>
      </c>
      <c r="T6856" t="s">
        <v>49127</v>
      </c>
      <c r="U6856" t="s">
        <v>55439</v>
      </c>
      <c r="W6856" t="s">
        <v>45625</v>
      </c>
      <c r="X6856" t="s">
        <v>47432</v>
      </c>
    </row>
    <row r="6857" spans="1:24">
      <c r="A6857">
        <f>HYPERLINK("https://www.philgeps.gov.ph/GEPSNONPILOT/Tender/SplashBidNoticeAbstractUI.aspx?menuIndex=3&amp;refID=7156580&amp;Result=3","7156580")</f>
        <v>0</v>
      </c>
      <c r="B6857" t="s">
        <v>192</v>
      </c>
      <c r="C6857" t="s">
        <v>10348</v>
      </c>
      <c r="D6857" t="s">
        <v>19057</v>
      </c>
      <c r="E6857" t="s">
        <v>25067</v>
      </c>
      <c r="F6857" t="s">
        <v>32831</v>
      </c>
      <c r="G6857" t="s">
        <v>32838</v>
      </c>
      <c r="H6857" t="s">
        <v>32848</v>
      </c>
      <c r="I6857" t="s">
        <v>32874</v>
      </c>
      <c r="J6857" t="s">
        <v>35130</v>
      </c>
      <c r="K6857" t="s">
        <v>42730</v>
      </c>
      <c r="M6857" t="s">
        <v>43190</v>
      </c>
      <c r="N6857" t="s">
        <v>47424</v>
      </c>
      <c r="O6857" t="s">
        <v>47425</v>
      </c>
      <c r="P6857">
        <v>0</v>
      </c>
      <c r="Q6857">
        <v>4</v>
      </c>
      <c r="R6857" t="s">
        <v>47431</v>
      </c>
      <c r="S6857" t="s">
        <v>47565</v>
      </c>
      <c r="T6857" t="s">
        <v>49100</v>
      </c>
      <c r="U6857" t="s">
        <v>55440</v>
      </c>
      <c r="W6857" t="s">
        <v>43190</v>
      </c>
      <c r="X6857" t="s">
        <v>47432</v>
      </c>
    </row>
    <row r="6858" spans="1:24">
      <c r="A6858">
        <f>HYPERLINK("https://www.philgeps.gov.ph/GEPSNONPILOT/Tender/SplashBidNoticeAbstractUI.aspx?menuIndex=3&amp;refID=7156562&amp;Result=3","7156562")</f>
        <v>0</v>
      </c>
      <c r="B6858" t="s">
        <v>2418</v>
      </c>
      <c r="C6858" t="s">
        <v>10349</v>
      </c>
      <c r="D6858" t="s">
        <v>19027</v>
      </c>
      <c r="E6858" t="s">
        <v>25068</v>
      </c>
      <c r="F6858" t="s">
        <v>32831</v>
      </c>
      <c r="G6858" t="s">
        <v>32839</v>
      </c>
      <c r="H6858" t="s">
        <v>32848</v>
      </c>
      <c r="I6858" t="s">
        <v>11727</v>
      </c>
      <c r="J6858" t="s">
        <v>37307</v>
      </c>
      <c r="K6858" t="s">
        <v>42732</v>
      </c>
      <c r="M6858" t="s">
        <v>45613</v>
      </c>
      <c r="N6858" t="s">
        <v>47424</v>
      </c>
      <c r="O6858" t="s">
        <v>47425</v>
      </c>
      <c r="P6858">
        <v>0</v>
      </c>
      <c r="Q6858">
        <v>1</v>
      </c>
      <c r="R6858" t="s">
        <v>47431</v>
      </c>
      <c r="S6858" t="s">
        <v>47565</v>
      </c>
      <c r="T6858" t="s">
        <v>49283</v>
      </c>
      <c r="U6858" t="s">
        <v>55441</v>
      </c>
      <c r="V6858" t="s">
        <v>63379</v>
      </c>
      <c r="W6858" t="s">
        <v>45613</v>
      </c>
      <c r="X6858" t="s">
        <v>47432</v>
      </c>
    </row>
    <row r="6859" spans="1:24">
      <c r="A6859">
        <f>HYPERLINK("https://www.philgeps.gov.ph/GEPSNONPILOT/Tender/SplashBidNoticeAbstractUI.aspx?menuIndex=3&amp;refID=7156572&amp;Result=3","7156572")</f>
        <v>0</v>
      </c>
      <c r="B6859" t="s">
        <v>2432</v>
      </c>
      <c r="C6859" t="s">
        <v>10350</v>
      </c>
      <c r="D6859" t="s">
        <v>19055</v>
      </c>
      <c r="E6859" t="s">
        <v>25069</v>
      </c>
      <c r="F6859" t="s">
        <v>32831</v>
      </c>
      <c r="G6859" t="s">
        <v>32838</v>
      </c>
      <c r="H6859" t="s">
        <v>32848</v>
      </c>
      <c r="I6859" t="s">
        <v>32857</v>
      </c>
      <c r="J6859" t="s">
        <v>35640</v>
      </c>
      <c r="K6859" t="s">
        <v>42730</v>
      </c>
      <c r="M6859" t="s">
        <v>45629</v>
      </c>
      <c r="N6859" t="s">
        <v>47424</v>
      </c>
      <c r="O6859" t="s">
        <v>47425</v>
      </c>
      <c r="P6859">
        <v>0</v>
      </c>
      <c r="Q6859">
        <v>0</v>
      </c>
      <c r="R6859" t="s">
        <v>47431</v>
      </c>
      <c r="S6859" t="s">
        <v>47565</v>
      </c>
      <c r="T6859" t="s">
        <v>49105</v>
      </c>
      <c r="U6859" t="s">
        <v>55442</v>
      </c>
      <c r="V6859" t="s">
        <v>63383</v>
      </c>
      <c r="W6859" t="s">
        <v>45629</v>
      </c>
      <c r="X6859" t="s">
        <v>47432</v>
      </c>
    </row>
    <row r="6860" spans="1:24">
      <c r="A6860">
        <f>HYPERLINK("https://www.philgeps.gov.ph/GEPSNONPILOT/Tender/SplashBidNoticeAbstractUI.aspx?menuIndex=3&amp;refID=7156560&amp;Result=3","7156560")</f>
        <v>0</v>
      </c>
      <c r="B6860" t="s">
        <v>27</v>
      </c>
      <c r="C6860" t="s">
        <v>10351</v>
      </c>
      <c r="D6860" t="s">
        <v>19020</v>
      </c>
      <c r="E6860" t="s">
        <v>25070</v>
      </c>
      <c r="F6860" t="s">
        <v>32831</v>
      </c>
      <c r="G6860" t="s">
        <v>32839</v>
      </c>
      <c r="H6860" t="s">
        <v>32848</v>
      </c>
      <c r="I6860" t="s">
        <v>4487</v>
      </c>
      <c r="J6860" t="s">
        <v>33081</v>
      </c>
      <c r="K6860" t="s">
        <v>42730</v>
      </c>
      <c r="M6860" t="s">
        <v>43309</v>
      </c>
      <c r="N6860" t="s">
        <v>47424</v>
      </c>
      <c r="O6860" t="s">
        <v>47425</v>
      </c>
      <c r="P6860">
        <v>0</v>
      </c>
      <c r="Q6860">
        <v>8</v>
      </c>
      <c r="R6860" t="s">
        <v>47431</v>
      </c>
      <c r="S6860" t="s">
        <v>47565</v>
      </c>
      <c r="T6860" t="s">
        <v>49179</v>
      </c>
      <c r="U6860" t="s">
        <v>55443</v>
      </c>
      <c r="W6860" t="s">
        <v>43309</v>
      </c>
      <c r="X6860" t="s">
        <v>47432</v>
      </c>
    </row>
    <row r="6861" spans="1:24">
      <c r="A6861">
        <f>HYPERLINK("https://www.philgeps.gov.ph/GEPSNONPILOT/Tender/SplashBidNoticeAbstractUI.aspx?menuIndex=3&amp;refID=7156561&amp;Result=3","7156561")</f>
        <v>0</v>
      </c>
      <c r="B6861" t="s">
        <v>2433</v>
      </c>
      <c r="C6861" t="s">
        <v>10352</v>
      </c>
      <c r="D6861" t="s">
        <v>19062</v>
      </c>
      <c r="E6861" t="s">
        <v>20384</v>
      </c>
      <c r="F6861" t="s">
        <v>32831</v>
      </c>
      <c r="G6861" t="s">
        <v>32842</v>
      </c>
      <c r="H6861" t="s">
        <v>32850</v>
      </c>
      <c r="I6861" t="s">
        <v>9577</v>
      </c>
      <c r="J6861" t="s">
        <v>37308</v>
      </c>
      <c r="K6861" t="s">
        <v>42758</v>
      </c>
      <c r="M6861" t="s">
        <v>45630</v>
      </c>
      <c r="N6861" t="s">
        <v>47424</v>
      </c>
      <c r="O6861" t="s">
        <v>47425</v>
      </c>
      <c r="P6861">
        <v>0</v>
      </c>
      <c r="Q6861">
        <v>0</v>
      </c>
      <c r="R6861" t="s">
        <v>47431</v>
      </c>
      <c r="S6861" t="s">
        <v>47565</v>
      </c>
      <c r="T6861" t="s">
        <v>49145</v>
      </c>
      <c r="U6861" t="s">
        <v>55444</v>
      </c>
      <c r="W6861" t="s">
        <v>45630</v>
      </c>
      <c r="X6861" t="s">
        <v>47432</v>
      </c>
    </row>
    <row r="6862" spans="1:24">
      <c r="A6862">
        <f>HYPERLINK("https://www.philgeps.gov.ph/GEPSNONPILOT/Tender/SplashBidNoticeAbstractUI.aspx?menuIndex=3&amp;refID=7156569&amp;Result=3","7156569")</f>
        <v>0</v>
      </c>
      <c r="B6862" t="s">
        <v>2429</v>
      </c>
      <c r="C6862" t="s">
        <v>10334</v>
      </c>
      <c r="D6862" t="s">
        <v>19064</v>
      </c>
      <c r="E6862" t="s">
        <v>25071</v>
      </c>
      <c r="F6862" t="s">
        <v>32831</v>
      </c>
      <c r="G6862" t="s">
        <v>32839</v>
      </c>
      <c r="H6862" t="s">
        <v>32848</v>
      </c>
      <c r="I6862" t="s">
        <v>32862</v>
      </c>
      <c r="J6862" t="s">
        <v>37309</v>
      </c>
      <c r="K6862" t="s">
        <v>42731</v>
      </c>
      <c r="M6862" t="s">
        <v>45626</v>
      </c>
      <c r="N6862" t="s">
        <v>47424</v>
      </c>
      <c r="O6862" t="s">
        <v>47425</v>
      </c>
      <c r="P6862">
        <v>0</v>
      </c>
      <c r="Q6862">
        <v>0</v>
      </c>
      <c r="R6862" t="s">
        <v>47431</v>
      </c>
      <c r="S6862" t="s">
        <v>47565</v>
      </c>
      <c r="T6862" t="s">
        <v>49055</v>
      </c>
      <c r="U6862" t="s">
        <v>55427</v>
      </c>
      <c r="W6862" t="s">
        <v>45626</v>
      </c>
      <c r="X6862" t="s">
        <v>47432</v>
      </c>
    </row>
    <row r="6863" spans="1:24">
      <c r="A6863">
        <f>HYPERLINK("https://www.philgeps.gov.ph/GEPSNONPILOT/Tender/SplashBidNoticeAbstractUI.aspx?menuIndex=3&amp;refID=7156558&amp;Result=3","7156558")</f>
        <v>0</v>
      </c>
      <c r="B6863" t="s">
        <v>2434</v>
      </c>
      <c r="C6863" t="s">
        <v>10353</v>
      </c>
      <c r="D6863" t="s">
        <v>19059</v>
      </c>
      <c r="E6863" t="s">
        <v>25072</v>
      </c>
      <c r="F6863" t="s">
        <v>32831</v>
      </c>
      <c r="G6863" t="s">
        <v>32839</v>
      </c>
      <c r="H6863" t="s">
        <v>32849</v>
      </c>
      <c r="I6863" t="s">
        <v>4177</v>
      </c>
      <c r="J6863" t="s">
        <v>37310</v>
      </c>
      <c r="K6863" t="s">
        <v>42761</v>
      </c>
      <c r="M6863" t="s">
        <v>45631</v>
      </c>
      <c r="N6863" t="s">
        <v>47424</v>
      </c>
      <c r="O6863" t="s">
        <v>47425</v>
      </c>
      <c r="P6863">
        <v>0</v>
      </c>
      <c r="Q6863">
        <v>5</v>
      </c>
      <c r="R6863" t="s">
        <v>47431</v>
      </c>
      <c r="S6863" t="s">
        <v>47565</v>
      </c>
      <c r="T6863" t="s">
        <v>49424</v>
      </c>
      <c r="U6863" t="s">
        <v>55445</v>
      </c>
      <c r="V6863" t="s">
        <v>63384</v>
      </c>
      <c r="W6863" t="s">
        <v>45631</v>
      </c>
      <c r="X6863" t="s">
        <v>47432</v>
      </c>
    </row>
    <row r="6864" spans="1:24">
      <c r="A6864">
        <f>HYPERLINK("https://www.philgeps.gov.ph/GEPSNONPILOT/Tender/SplashBidNoticeAbstractUI.aspx?menuIndex=3&amp;refID=7156556&amp;Result=3","7156556")</f>
        <v>0</v>
      </c>
      <c r="B6864" t="s">
        <v>674</v>
      </c>
      <c r="C6864" t="s">
        <v>10354</v>
      </c>
      <c r="D6864" t="s">
        <v>19058</v>
      </c>
      <c r="E6864" t="s">
        <v>25073</v>
      </c>
      <c r="F6864" t="s">
        <v>32831</v>
      </c>
      <c r="G6864" t="s">
        <v>32840</v>
      </c>
      <c r="H6864" t="s">
        <v>32848</v>
      </c>
      <c r="I6864" t="s">
        <v>9577</v>
      </c>
      <c r="J6864" t="s">
        <v>37311</v>
      </c>
      <c r="K6864" t="s">
        <v>42732</v>
      </c>
      <c r="M6864" t="s">
        <v>44520</v>
      </c>
      <c r="N6864" t="s">
        <v>47424</v>
      </c>
      <c r="O6864" t="s">
        <v>47425</v>
      </c>
      <c r="P6864">
        <v>0</v>
      </c>
      <c r="Q6864">
        <v>0</v>
      </c>
      <c r="R6864" t="s">
        <v>47431</v>
      </c>
      <c r="S6864" t="s">
        <v>47565</v>
      </c>
      <c r="T6864" t="s">
        <v>49237</v>
      </c>
      <c r="U6864" t="s">
        <v>55446</v>
      </c>
      <c r="W6864" t="s">
        <v>44520</v>
      </c>
      <c r="X6864" t="s">
        <v>47432</v>
      </c>
    </row>
    <row r="6865" spans="1:24">
      <c r="A6865">
        <f>HYPERLINK("https://www.philgeps.gov.ph/GEPSNONPILOT/Tender/SplashBidNoticeAbstractUI.aspx?menuIndex=3&amp;refID=7156553&amp;Result=3","7156553")</f>
        <v>0</v>
      </c>
      <c r="B6865" t="s">
        <v>2435</v>
      </c>
      <c r="C6865" t="s">
        <v>10355</v>
      </c>
      <c r="D6865" t="s">
        <v>19083</v>
      </c>
      <c r="E6865" t="s">
        <v>25074</v>
      </c>
      <c r="F6865" t="s">
        <v>32831</v>
      </c>
      <c r="G6865" t="s">
        <v>32839</v>
      </c>
      <c r="H6865" t="s">
        <v>32849</v>
      </c>
      <c r="I6865" t="s">
        <v>4177</v>
      </c>
      <c r="J6865" t="s">
        <v>37312</v>
      </c>
      <c r="K6865" t="s">
        <v>42770</v>
      </c>
      <c r="M6865" t="s">
        <v>45632</v>
      </c>
      <c r="N6865" t="s">
        <v>47424</v>
      </c>
      <c r="O6865" t="s">
        <v>47425</v>
      </c>
      <c r="P6865">
        <v>0</v>
      </c>
      <c r="Q6865">
        <v>0</v>
      </c>
      <c r="R6865" t="s">
        <v>47431</v>
      </c>
      <c r="S6865" t="s">
        <v>47565</v>
      </c>
      <c r="T6865" t="s">
        <v>49139</v>
      </c>
      <c r="U6865" t="s">
        <v>55447</v>
      </c>
      <c r="W6865" t="s">
        <v>45632</v>
      </c>
      <c r="X6865" t="s">
        <v>47432</v>
      </c>
    </row>
    <row r="6866" spans="1:24">
      <c r="A6866">
        <f>HYPERLINK("https://www.philgeps.gov.ph/GEPSNONPILOT/Tender/SplashBidNoticeAbstractUI.aspx?menuIndex=3&amp;refID=7156576&amp;Result=3","7156576")</f>
        <v>0</v>
      </c>
      <c r="B6866" t="s">
        <v>2436</v>
      </c>
      <c r="C6866" t="s">
        <v>10356</v>
      </c>
      <c r="D6866" t="s">
        <v>19023</v>
      </c>
      <c r="E6866" t="s">
        <v>23676</v>
      </c>
      <c r="F6866" t="s">
        <v>32833</v>
      </c>
      <c r="G6866" t="s">
        <v>32840</v>
      </c>
      <c r="H6866" t="s">
        <v>32848</v>
      </c>
      <c r="I6866" t="s">
        <v>32855</v>
      </c>
      <c r="J6866" t="s">
        <v>37313</v>
      </c>
      <c r="K6866" t="s">
        <v>42731</v>
      </c>
      <c r="M6866" t="s">
        <v>45633</v>
      </c>
      <c r="N6866" t="s">
        <v>47424</v>
      </c>
      <c r="O6866" t="s">
        <v>47425</v>
      </c>
      <c r="P6866">
        <v>0</v>
      </c>
      <c r="Q6866">
        <v>9</v>
      </c>
      <c r="R6866" t="s">
        <v>47431</v>
      </c>
      <c r="S6866" t="s">
        <v>47565</v>
      </c>
      <c r="T6866" t="s">
        <v>49079</v>
      </c>
      <c r="U6866" t="s">
        <v>55448</v>
      </c>
      <c r="W6866" t="s">
        <v>45633</v>
      </c>
      <c r="X6866" t="s">
        <v>47432</v>
      </c>
    </row>
    <row r="6867" spans="1:24">
      <c r="A6867">
        <f>HYPERLINK("https://www.philgeps.gov.ph/GEPSNONPILOT/Tender/SplashBidNoticeAbstractUI.aspx?menuIndex=3&amp;refID=7156622&amp;Result=3","7156622")</f>
        <v>0</v>
      </c>
      <c r="B6867" t="s">
        <v>688</v>
      </c>
      <c r="C6867" t="s">
        <v>10357</v>
      </c>
      <c r="E6867" t="s">
        <v>25075</v>
      </c>
      <c r="F6867" t="s">
        <v>32831</v>
      </c>
      <c r="G6867" t="s">
        <v>32839</v>
      </c>
      <c r="H6867" t="s">
        <v>32848</v>
      </c>
      <c r="I6867" t="s">
        <v>32859</v>
      </c>
      <c r="J6867" t="s">
        <v>37314</v>
      </c>
      <c r="K6867" t="s">
        <v>42732</v>
      </c>
      <c r="M6867" t="s">
        <v>43707</v>
      </c>
      <c r="N6867" t="s">
        <v>47424</v>
      </c>
      <c r="O6867" t="s">
        <v>47425</v>
      </c>
      <c r="P6867">
        <v>0</v>
      </c>
      <c r="Q6867">
        <v>0</v>
      </c>
      <c r="R6867" t="s">
        <v>47431</v>
      </c>
      <c r="S6867" t="s">
        <v>47565</v>
      </c>
      <c r="T6867" t="s">
        <v>49464</v>
      </c>
      <c r="U6867" t="s">
        <v>55449</v>
      </c>
      <c r="W6867" t="s">
        <v>43707</v>
      </c>
      <c r="X6867" t="s">
        <v>47432</v>
      </c>
    </row>
    <row r="6868" spans="1:24">
      <c r="A6868">
        <f>HYPERLINK("https://www.philgeps.gov.ph/GEPSNONPILOT/Tender/SplashBidNoticeAbstractUI.aspx?menuIndex=3&amp;refID=7156620&amp;Result=3","7156620")</f>
        <v>0</v>
      </c>
      <c r="B6868" t="s">
        <v>2437</v>
      </c>
      <c r="C6868" t="s">
        <v>10358</v>
      </c>
      <c r="D6868" t="s">
        <v>19033</v>
      </c>
      <c r="E6868" t="s">
        <v>25076</v>
      </c>
      <c r="F6868" t="s">
        <v>32831</v>
      </c>
      <c r="G6868" t="s">
        <v>32839</v>
      </c>
      <c r="H6868" t="s">
        <v>32848</v>
      </c>
      <c r="I6868" t="s">
        <v>32886</v>
      </c>
      <c r="J6868" t="s">
        <v>37315</v>
      </c>
      <c r="K6868" t="s">
        <v>42730</v>
      </c>
      <c r="M6868" t="s">
        <v>45634</v>
      </c>
      <c r="N6868" t="s">
        <v>47424</v>
      </c>
      <c r="O6868" t="s">
        <v>47425</v>
      </c>
      <c r="P6868">
        <v>0</v>
      </c>
      <c r="Q6868">
        <v>5</v>
      </c>
      <c r="R6868" t="s">
        <v>47431</v>
      </c>
      <c r="S6868" t="s">
        <v>47565</v>
      </c>
      <c r="T6868" t="s">
        <v>49376</v>
      </c>
      <c r="U6868" t="s">
        <v>55450</v>
      </c>
      <c r="W6868" t="s">
        <v>45634</v>
      </c>
      <c r="X6868" t="s">
        <v>47432</v>
      </c>
    </row>
    <row r="6869" spans="1:24">
      <c r="A6869">
        <f>HYPERLINK("https://www.philgeps.gov.ph/GEPSNONPILOT/Tender/SplashBidNoticeAbstractUI.aspx?menuIndex=3&amp;refID=7156619&amp;Result=3","7156619")</f>
        <v>0</v>
      </c>
      <c r="B6869" t="s">
        <v>2438</v>
      </c>
      <c r="C6869" t="s">
        <v>10359</v>
      </c>
      <c r="D6869" t="s">
        <v>19045</v>
      </c>
      <c r="E6869" t="s">
        <v>25077</v>
      </c>
      <c r="F6869" t="s">
        <v>32831</v>
      </c>
      <c r="G6869" t="s">
        <v>32838</v>
      </c>
      <c r="H6869" t="s">
        <v>32848</v>
      </c>
      <c r="I6869" t="s">
        <v>7416</v>
      </c>
      <c r="J6869" t="s">
        <v>37316</v>
      </c>
      <c r="K6869" t="s">
        <v>42731</v>
      </c>
      <c r="M6869" t="s">
        <v>45635</v>
      </c>
      <c r="N6869" t="s">
        <v>47424</v>
      </c>
      <c r="O6869" t="s">
        <v>47425</v>
      </c>
      <c r="P6869">
        <v>0</v>
      </c>
      <c r="Q6869">
        <v>0</v>
      </c>
      <c r="R6869" t="s">
        <v>47431</v>
      </c>
      <c r="S6869" t="s">
        <v>47565</v>
      </c>
      <c r="T6869" t="s">
        <v>49119</v>
      </c>
      <c r="U6869" t="s">
        <v>55451</v>
      </c>
      <c r="W6869" t="s">
        <v>45635</v>
      </c>
      <c r="X6869" t="s">
        <v>47432</v>
      </c>
    </row>
    <row r="6870" spans="1:24">
      <c r="A6870">
        <f>HYPERLINK("https://www.philgeps.gov.ph/GEPSNONPILOT/Tender/SplashBidNoticeAbstractUI.aspx?menuIndex=3&amp;refID=7156617&amp;Result=3","7156617")</f>
        <v>0</v>
      </c>
      <c r="B6870" t="s">
        <v>800</v>
      </c>
      <c r="C6870" t="s">
        <v>10360</v>
      </c>
      <c r="D6870" t="s">
        <v>19040</v>
      </c>
      <c r="E6870" t="s">
        <v>19247</v>
      </c>
      <c r="F6870" t="s">
        <v>32831</v>
      </c>
      <c r="G6870" t="s">
        <v>32839</v>
      </c>
      <c r="H6870" t="s">
        <v>32848</v>
      </c>
      <c r="I6870" t="s">
        <v>11484</v>
      </c>
      <c r="J6870" t="s">
        <v>35599</v>
      </c>
      <c r="K6870" t="s">
        <v>42727</v>
      </c>
      <c r="M6870" t="s">
        <v>43830</v>
      </c>
      <c r="N6870" t="s">
        <v>47424</v>
      </c>
      <c r="O6870" t="s">
        <v>47425</v>
      </c>
      <c r="P6870">
        <v>0</v>
      </c>
      <c r="Q6870">
        <v>0</v>
      </c>
      <c r="R6870" t="s">
        <v>47431</v>
      </c>
      <c r="S6870" t="s">
        <v>47565</v>
      </c>
      <c r="T6870" t="s">
        <v>49104</v>
      </c>
      <c r="U6870" t="s">
        <v>55452</v>
      </c>
      <c r="W6870" t="s">
        <v>43830</v>
      </c>
      <c r="X6870" t="s">
        <v>47432</v>
      </c>
    </row>
    <row r="6871" spans="1:24">
      <c r="A6871">
        <f>HYPERLINK("https://www.philgeps.gov.ph/GEPSNONPILOT/Tender/SplashBidNoticeAbstractUI.aspx?menuIndex=3&amp;refID=7156616&amp;Result=3","7156616")</f>
        <v>0</v>
      </c>
      <c r="B6871" t="s">
        <v>680</v>
      </c>
      <c r="C6871" t="s">
        <v>10361</v>
      </c>
      <c r="D6871" t="s">
        <v>19030</v>
      </c>
      <c r="E6871" t="s">
        <v>25078</v>
      </c>
      <c r="F6871" t="s">
        <v>32831</v>
      </c>
      <c r="G6871" t="s">
        <v>32842</v>
      </c>
      <c r="H6871" t="s">
        <v>32848</v>
      </c>
      <c r="I6871" t="s">
        <v>4487</v>
      </c>
      <c r="J6871" t="s">
        <v>37317</v>
      </c>
      <c r="K6871" t="s">
        <v>42726</v>
      </c>
      <c r="M6871" t="s">
        <v>45593</v>
      </c>
      <c r="N6871" t="s">
        <v>47424</v>
      </c>
      <c r="O6871" t="s">
        <v>47425</v>
      </c>
      <c r="P6871">
        <v>0</v>
      </c>
      <c r="Q6871">
        <v>5</v>
      </c>
      <c r="R6871" t="s">
        <v>47431</v>
      </c>
      <c r="S6871" t="s">
        <v>47565</v>
      </c>
      <c r="T6871" t="s">
        <v>49111</v>
      </c>
      <c r="U6871" t="s">
        <v>55359</v>
      </c>
      <c r="V6871" t="s">
        <v>63385</v>
      </c>
      <c r="W6871" t="s">
        <v>45593</v>
      </c>
      <c r="X6871" t="s">
        <v>47432</v>
      </c>
    </row>
    <row r="6872" spans="1:24">
      <c r="A6872">
        <f>HYPERLINK("https://www.philgeps.gov.ph/GEPSNONPILOT/Tender/SplashBidNoticeAbstractUI.aspx?menuIndex=3&amp;refID=7156615&amp;Result=3","7156615")</f>
        <v>0</v>
      </c>
      <c r="B6872" t="s">
        <v>27</v>
      </c>
      <c r="C6872" t="s">
        <v>10362</v>
      </c>
      <c r="D6872" t="s">
        <v>19020</v>
      </c>
      <c r="E6872" t="s">
        <v>25079</v>
      </c>
      <c r="F6872" t="s">
        <v>32831</v>
      </c>
      <c r="G6872" t="s">
        <v>32839</v>
      </c>
      <c r="H6872" t="s">
        <v>32848</v>
      </c>
      <c r="I6872" t="s">
        <v>4303</v>
      </c>
      <c r="J6872" t="s">
        <v>37318</v>
      </c>
      <c r="K6872" t="s">
        <v>42731</v>
      </c>
      <c r="M6872" t="s">
        <v>43309</v>
      </c>
      <c r="N6872" t="s">
        <v>47424</v>
      </c>
      <c r="O6872" t="s">
        <v>47425</v>
      </c>
      <c r="P6872">
        <v>0</v>
      </c>
      <c r="Q6872">
        <v>4</v>
      </c>
      <c r="R6872" t="s">
        <v>47431</v>
      </c>
      <c r="S6872" t="s">
        <v>47565</v>
      </c>
      <c r="T6872" t="s">
        <v>49179</v>
      </c>
      <c r="U6872" t="s">
        <v>55453</v>
      </c>
      <c r="W6872" t="s">
        <v>43309</v>
      </c>
      <c r="X6872" t="s">
        <v>47432</v>
      </c>
    </row>
    <row r="6873" spans="1:24">
      <c r="A6873">
        <f>HYPERLINK("https://www.philgeps.gov.ph/GEPSNONPILOT/Tender/SplashBidNoticeAbstractUI.aspx?menuIndex=3&amp;refID=7156614&amp;Result=3","7156614")</f>
        <v>0</v>
      </c>
      <c r="B6873" t="s">
        <v>261</v>
      </c>
      <c r="C6873" t="s">
        <v>10363</v>
      </c>
      <c r="D6873" t="s">
        <v>19059</v>
      </c>
      <c r="E6873" t="s">
        <v>25080</v>
      </c>
      <c r="F6873" t="s">
        <v>32831</v>
      </c>
      <c r="G6873" t="s">
        <v>32838</v>
      </c>
      <c r="H6873" t="s">
        <v>32848</v>
      </c>
      <c r="I6873" t="s">
        <v>7416</v>
      </c>
      <c r="J6873" t="s">
        <v>37319</v>
      </c>
      <c r="K6873" t="s">
        <v>42726</v>
      </c>
      <c r="M6873" t="s">
        <v>43260</v>
      </c>
      <c r="N6873" t="s">
        <v>47424</v>
      </c>
      <c r="O6873" t="s">
        <v>47425</v>
      </c>
      <c r="P6873">
        <v>0</v>
      </c>
      <c r="Q6873">
        <v>1</v>
      </c>
      <c r="R6873" t="s">
        <v>47431</v>
      </c>
      <c r="S6873" t="s">
        <v>47565</v>
      </c>
      <c r="T6873" t="s">
        <v>49129</v>
      </c>
      <c r="U6873" t="s">
        <v>55454</v>
      </c>
      <c r="V6873" t="s">
        <v>63386</v>
      </c>
      <c r="W6873" t="s">
        <v>43260</v>
      </c>
      <c r="X6873" t="s">
        <v>47432</v>
      </c>
    </row>
    <row r="6874" spans="1:24">
      <c r="A6874">
        <f>HYPERLINK("https://www.philgeps.gov.ph/GEPSNONPILOT/Tender/SplashBidNoticeAbstractUI.aspx?menuIndex=3&amp;refID=7156613&amp;Result=3","7156613")</f>
        <v>0</v>
      </c>
      <c r="B6874" t="s">
        <v>674</v>
      </c>
      <c r="C6874" t="s">
        <v>10364</v>
      </c>
      <c r="D6874" t="s">
        <v>19058</v>
      </c>
      <c r="E6874" t="s">
        <v>25081</v>
      </c>
      <c r="F6874" t="s">
        <v>32831</v>
      </c>
      <c r="G6874" t="s">
        <v>32838</v>
      </c>
      <c r="H6874" t="s">
        <v>32848</v>
      </c>
      <c r="I6874" t="s">
        <v>4303</v>
      </c>
      <c r="J6874" t="s">
        <v>37320</v>
      </c>
      <c r="K6874" t="s">
        <v>42732</v>
      </c>
      <c r="M6874" t="s">
        <v>44520</v>
      </c>
      <c r="N6874" t="s">
        <v>47424</v>
      </c>
      <c r="O6874" t="s">
        <v>47425</v>
      </c>
      <c r="P6874">
        <v>0</v>
      </c>
      <c r="Q6874">
        <v>0</v>
      </c>
      <c r="R6874" t="s">
        <v>47431</v>
      </c>
      <c r="S6874" t="s">
        <v>47565</v>
      </c>
      <c r="T6874" t="s">
        <v>49237</v>
      </c>
      <c r="U6874" t="s">
        <v>55455</v>
      </c>
      <c r="W6874" t="s">
        <v>44520</v>
      </c>
      <c r="X6874" t="s">
        <v>47432</v>
      </c>
    </row>
    <row r="6875" spans="1:24">
      <c r="A6875">
        <f>HYPERLINK("https://www.philgeps.gov.ph/GEPSNONPILOT/Tender/SplashBidNoticeAbstractUI.aspx?menuIndex=3&amp;refID=7156610&amp;Result=3","7156610")</f>
        <v>0</v>
      </c>
      <c r="B6875" t="s">
        <v>2428</v>
      </c>
      <c r="C6875" t="s">
        <v>10365</v>
      </c>
      <c r="D6875" t="s">
        <v>19036</v>
      </c>
      <c r="E6875" t="s">
        <v>25082</v>
      </c>
      <c r="F6875" t="s">
        <v>32831</v>
      </c>
      <c r="G6875" t="s">
        <v>32838</v>
      </c>
      <c r="H6875" t="s">
        <v>32848</v>
      </c>
      <c r="I6875" t="s">
        <v>6526</v>
      </c>
      <c r="J6875" t="s">
        <v>37321</v>
      </c>
      <c r="K6875" t="s">
        <v>42726</v>
      </c>
      <c r="M6875" t="s">
        <v>45625</v>
      </c>
      <c r="N6875" t="s">
        <v>47424</v>
      </c>
      <c r="O6875" t="s">
        <v>47425</v>
      </c>
      <c r="P6875">
        <v>0</v>
      </c>
      <c r="Q6875">
        <v>0</v>
      </c>
      <c r="R6875" t="s">
        <v>47431</v>
      </c>
      <c r="S6875" t="s">
        <v>47565</v>
      </c>
      <c r="T6875" t="s">
        <v>49127</v>
      </c>
      <c r="U6875" t="s">
        <v>55456</v>
      </c>
      <c r="W6875" t="s">
        <v>45625</v>
      </c>
      <c r="X6875" t="s">
        <v>47432</v>
      </c>
    </row>
    <row r="6876" spans="1:24">
      <c r="A6876">
        <f>HYPERLINK("https://www.philgeps.gov.ph/GEPSNONPILOT/Tender/SplashBidNoticeAbstractUI.aspx?menuIndex=3&amp;refID=7156584&amp;Result=3","7156584")</f>
        <v>0</v>
      </c>
      <c r="B6876" t="s">
        <v>2428</v>
      </c>
      <c r="C6876" t="s">
        <v>10366</v>
      </c>
      <c r="D6876" t="s">
        <v>19036</v>
      </c>
      <c r="E6876" t="s">
        <v>25083</v>
      </c>
      <c r="F6876" t="s">
        <v>32831</v>
      </c>
      <c r="G6876" t="s">
        <v>32838</v>
      </c>
      <c r="H6876" t="s">
        <v>32848</v>
      </c>
      <c r="I6876" t="s">
        <v>32862</v>
      </c>
      <c r="J6876" t="s">
        <v>33148</v>
      </c>
      <c r="K6876" t="s">
        <v>42726</v>
      </c>
      <c r="M6876" t="s">
        <v>45625</v>
      </c>
      <c r="N6876" t="s">
        <v>47424</v>
      </c>
      <c r="O6876" t="s">
        <v>47425</v>
      </c>
      <c r="P6876">
        <v>0</v>
      </c>
      <c r="Q6876">
        <v>1</v>
      </c>
      <c r="R6876" t="s">
        <v>47431</v>
      </c>
      <c r="S6876" t="s">
        <v>47565</v>
      </c>
      <c r="T6876" t="s">
        <v>49127</v>
      </c>
      <c r="U6876" t="s">
        <v>55457</v>
      </c>
      <c r="W6876" t="s">
        <v>45625</v>
      </c>
      <c r="X6876" t="s">
        <v>47432</v>
      </c>
    </row>
    <row r="6877" spans="1:24">
      <c r="A6877">
        <f>HYPERLINK("https://www.philgeps.gov.ph/GEPSNONPILOT/Tender/SplashBidNoticeAbstractUI.aspx?menuIndex=3&amp;refID=7156605&amp;Result=3","7156605")</f>
        <v>0</v>
      </c>
      <c r="B6877" t="s">
        <v>688</v>
      </c>
      <c r="C6877" t="s">
        <v>10357</v>
      </c>
      <c r="E6877" t="s">
        <v>25084</v>
      </c>
      <c r="F6877" t="s">
        <v>32831</v>
      </c>
      <c r="G6877" t="s">
        <v>32839</v>
      </c>
      <c r="H6877" t="s">
        <v>32848</v>
      </c>
      <c r="I6877" t="s">
        <v>32859</v>
      </c>
      <c r="J6877" t="s">
        <v>37322</v>
      </c>
      <c r="K6877" t="s">
        <v>42732</v>
      </c>
      <c r="M6877" t="s">
        <v>43707</v>
      </c>
      <c r="N6877" t="s">
        <v>47424</v>
      </c>
      <c r="O6877" t="s">
        <v>47425</v>
      </c>
      <c r="P6877">
        <v>0</v>
      </c>
      <c r="Q6877">
        <v>2</v>
      </c>
      <c r="R6877" t="s">
        <v>47431</v>
      </c>
      <c r="S6877" t="s">
        <v>47565</v>
      </c>
      <c r="T6877" t="s">
        <v>49464</v>
      </c>
      <c r="U6877" t="s">
        <v>55458</v>
      </c>
      <c r="W6877" t="s">
        <v>43707</v>
      </c>
      <c r="X6877" t="s">
        <v>47432</v>
      </c>
    </row>
    <row r="6878" spans="1:24">
      <c r="A6878">
        <f>HYPERLINK("https://www.philgeps.gov.ph/GEPSNONPILOT/Tender/SplashBidNoticeAbstractUI.aspx?menuIndex=3&amp;refID=7156534&amp;Result=3","7156534")</f>
        <v>0</v>
      </c>
      <c r="B6878" t="s">
        <v>2421</v>
      </c>
      <c r="C6878" t="s">
        <v>10367</v>
      </c>
      <c r="D6878" t="s">
        <v>19018</v>
      </c>
      <c r="E6878" t="s">
        <v>25085</v>
      </c>
      <c r="F6878" t="s">
        <v>32831</v>
      </c>
      <c r="G6878" t="s">
        <v>32839</v>
      </c>
      <c r="H6878" t="s">
        <v>32848</v>
      </c>
      <c r="I6878" t="s">
        <v>4776</v>
      </c>
      <c r="J6878" t="s">
        <v>33484</v>
      </c>
      <c r="K6878" t="s">
        <v>42730</v>
      </c>
      <c r="M6878" t="s">
        <v>45616</v>
      </c>
      <c r="N6878" t="s">
        <v>47424</v>
      </c>
      <c r="O6878" t="s">
        <v>47425</v>
      </c>
      <c r="P6878">
        <v>0</v>
      </c>
      <c r="Q6878">
        <v>1</v>
      </c>
      <c r="R6878" t="s">
        <v>47431</v>
      </c>
      <c r="S6878" t="s">
        <v>47565</v>
      </c>
      <c r="T6878" t="s">
        <v>49129</v>
      </c>
      <c r="U6878" t="s">
        <v>55459</v>
      </c>
      <c r="W6878" t="s">
        <v>45616</v>
      </c>
      <c r="X6878" t="s">
        <v>47432</v>
      </c>
    </row>
    <row r="6879" spans="1:24">
      <c r="A6879">
        <f>HYPERLINK("https://www.philgeps.gov.ph/GEPSNONPILOT/Tender/SplashBidNoticeAbstractUI.aspx?menuIndex=3&amp;refID=7156603&amp;Result=3","7156603")</f>
        <v>0</v>
      </c>
      <c r="B6879" t="s">
        <v>755</v>
      </c>
      <c r="C6879" t="s">
        <v>10368</v>
      </c>
      <c r="E6879" t="s">
        <v>25086</v>
      </c>
      <c r="F6879" t="s">
        <v>32831</v>
      </c>
      <c r="G6879" t="s">
        <v>32839</v>
      </c>
      <c r="H6879" t="s">
        <v>32848</v>
      </c>
      <c r="I6879" t="s">
        <v>32867</v>
      </c>
      <c r="J6879" t="s">
        <v>37323</v>
      </c>
      <c r="K6879" t="s">
        <v>42732</v>
      </c>
      <c r="M6879" t="s">
        <v>45605</v>
      </c>
      <c r="N6879" t="s">
        <v>47424</v>
      </c>
      <c r="O6879" t="s">
        <v>47425</v>
      </c>
      <c r="P6879">
        <v>0</v>
      </c>
      <c r="Q6879">
        <v>11</v>
      </c>
      <c r="R6879" t="s">
        <v>47431</v>
      </c>
      <c r="S6879" t="s">
        <v>47565</v>
      </c>
      <c r="T6879" t="s">
        <v>49150</v>
      </c>
      <c r="U6879" t="s">
        <v>55460</v>
      </c>
      <c r="W6879" t="s">
        <v>45605</v>
      </c>
      <c r="X6879" t="s">
        <v>47432</v>
      </c>
    </row>
    <row r="6880" spans="1:24">
      <c r="A6880">
        <f>HYPERLINK("https://www.philgeps.gov.ph/GEPSNONPILOT/Tender/SplashBidNoticeAbstractUI.aspx?menuIndex=3&amp;refID=7156559&amp;Result=3","7156559")</f>
        <v>0</v>
      </c>
      <c r="B6880" t="s">
        <v>2389</v>
      </c>
      <c r="C6880" t="s">
        <v>10369</v>
      </c>
      <c r="D6880" t="s">
        <v>19043</v>
      </c>
      <c r="E6880" t="s">
        <v>25087</v>
      </c>
      <c r="F6880" t="s">
        <v>32831</v>
      </c>
      <c r="G6880" t="s">
        <v>32839</v>
      </c>
      <c r="H6880" t="s">
        <v>32849</v>
      </c>
      <c r="I6880" t="s">
        <v>4177</v>
      </c>
      <c r="J6880" t="s">
        <v>33118</v>
      </c>
      <c r="K6880" t="s">
        <v>42747</v>
      </c>
      <c r="M6880" t="s">
        <v>45580</v>
      </c>
      <c r="N6880" t="s">
        <v>47424</v>
      </c>
      <c r="O6880" t="s">
        <v>47425</v>
      </c>
      <c r="P6880">
        <v>0</v>
      </c>
      <c r="Q6880">
        <v>0</v>
      </c>
      <c r="R6880" t="s">
        <v>47431</v>
      </c>
      <c r="S6880" t="s">
        <v>47565</v>
      </c>
      <c r="T6880" t="s">
        <v>49070</v>
      </c>
      <c r="U6880" t="s">
        <v>55461</v>
      </c>
      <c r="W6880" t="s">
        <v>45580</v>
      </c>
      <c r="X6880" t="s">
        <v>47432</v>
      </c>
    </row>
    <row r="6881" spans="1:24">
      <c r="A6881">
        <f>HYPERLINK("https://www.philgeps.gov.ph/GEPSNONPILOT/Tender/SplashBidNoticeAbstractUI.aspx?menuIndex=3&amp;refID=7156612&amp;Result=3","7156612")</f>
        <v>0</v>
      </c>
      <c r="B6881" t="s">
        <v>2383</v>
      </c>
      <c r="C6881" t="s">
        <v>9683</v>
      </c>
      <c r="D6881" t="s">
        <v>19055</v>
      </c>
      <c r="E6881" t="s">
        <v>25088</v>
      </c>
      <c r="F6881" t="s">
        <v>32831</v>
      </c>
      <c r="G6881" t="s">
        <v>32838</v>
      </c>
      <c r="H6881" t="s">
        <v>32848</v>
      </c>
      <c r="I6881" t="s">
        <v>4471</v>
      </c>
      <c r="J6881" t="s">
        <v>33640</v>
      </c>
      <c r="K6881" t="s">
        <v>42730</v>
      </c>
      <c r="M6881" t="s">
        <v>45572</v>
      </c>
      <c r="N6881" t="s">
        <v>47424</v>
      </c>
      <c r="O6881" t="s">
        <v>47425</v>
      </c>
      <c r="P6881">
        <v>0</v>
      </c>
      <c r="Q6881">
        <v>1</v>
      </c>
      <c r="R6881" t="s">
        <v>47431</v>
      </c>
      <c r="S6881" t="s">
        <v>47565</v>
      </c>
      <c r="T6881" t="s">
        <v>49127</v>
      </c>
      <c r="U6881" t="s">
        <v>55462</v>
      </c>
      <c r="V6881" t="s">
        <v>63387</v>
      </c>
      <c r="W6881" t="s">
        <v>45572</v>
      </c>
      <c r="X6881" t="s">
        <v>47432</v>
      </c>
    </row>
    <row r="6882" spans="1:24">
      <c r="A6882">
        <f>HYPERLINK("https://www.philgeps.gov.ph/GEPSNONPILOT/Tender/SplashBidNoticeAbstractUI.aspx?menuIndex=3&amp;refID=7156557&amp;Result=3","7156557")</f>
        <v>0</v>
      </c>
      <c r="B6882" t="s">
        <v>2005</v>
      </c>
      <c r="C6882" t="s">
        <v>10370</v>
      </c>
      <c r="D6882" t="s">
        <v>19052</v>
      </c>
      <c r="E6882" t="s">
        <v>25089</v>
      </c>
      <c r="F6882" t="s">
        <v>32831</v>
      </c>
      <c r="G6882" t="s">
        <v>32838</v>
      </c>
      <c r="H6882" t="s">
        <v>32848</v>
      </c>
      <c r="I6882" t="s">
        <v>4487</v>
      </c>
      <c r="J6882" t="s">
        <v>37324</v>
      </c>
      <c r="K6882" t="s">
        <v>42730</v>
      </c>
      <c r="M6882" t="s">
        <v>45172</v>
      </c>
      <c r="N6882" t="s">
        <v>47424</v>
      </c>
      <c r="O6882" t="s">
        <v>47425</v>
      </c>
      <c r="P6882">
        <v>0</v>
      </c>
      <c r="Q6882">
        <v>4</v>
      </c>
      <c r="R6882" t="s">
        <v>47431</v>
      </c>
      <c r="S6882" t="s">
        <v>47565</v>
      </c>
      <c r="T6882" t="s">
        <v>49212</v>
      </c>
      <c r="U6882" t="s">
        <v>55463</v>
      </c>
      <c r="V6882" t="s">
        <v>63223</v>
      </c>
      <c r="W6882" t="s">
        <v>45172</v>
      </c>
      <c r="X6882" t="s">
        <v>47432</v>
      </c>
    </row>
    <row r="6883" spans="1:24">
      <c r="A6883">
        <f>HYPERLINK("https://www.philgeps.gov.ph/GEPSNONPILOT/Tender/SplashBidNoticeAbstractUI.aspx?menuIndex=3&amp;refID=7156595&amp;Result=3","7156595")</f>
        <v>0</v>
      </c>
      <c r="B6883" t="s">
        <v>2439</v>
      </c>
      <c r="C6883" t="s">
        <v>10371</v>
      </c>
      <c r="D6883" t="s">
        <v>19045</v>
      </c>
      <c r="E6883" t="s">
        <v>19351</v>
      </c>
      <c r="F6883" t="s">
        <v>32831</v>
      </c>
      <c r="G6883" t="s">
        <v>32839</v>
      </c>
      <c r="H6883" t="s">
        <v>32848</v>
      </c>
      <c r="I6883" t="s">
        <v>7819</v>
      </c>
      <c r="J6883" t="s">
        <v>32980</v>
      </c>
      <c r="K6883" t="s">
        <v>42727</v>
      </c>
      <c r="M6883" t="s">
        <v>45636</v>
      </c>
      <c r="N6883" t="s">
        <v>47424</v>
      </c>
      <c r="O6883" t="s">
        <v>47425</v>
      </c>
      <c r="P6883">
        <v>0</v>
      </c>
      <c r="Q6883">
        <v>0</v>
      </c>
      <c r="R6883" t="s">
        <v>47431</v>
      </c>
      <c r="S6883" t="s">
        <v>47565</v>
      </c>
      <c r="T6883" t="s">
        <v>49129</v>
      </c>
      <c r="U6883" t="s">
        <v>55464</v>
      </c>
      <c r="W6883" t="s">
        <v>45636</v>
      </c>
      <c r="X6883" t="s">
        <v>47432</v>
      </c>
    </row>
    <row r="6884" spans="1:24">
      <c r="A6884">
        <f>HYPERLINK("https://www.philgeps.gov.ph/GEPSNONPILOT/Tender/SplashBidNoticeAbstractUI.aspx?menuIndex=3&amp;refID=7156586&amp;Result=3","7156586")</f>
        <v>0</v>
      </c>
      <c r="B6884" t="s">
        <v>2440</v>
      </c>
      <c r="C6884" t="s">
        <v>10372</v>
      </c>
      <c r="D6884" t="s">
        <v>19069</v>
      </c>
      <c r="E6884" t="s">
        <v>25090</v>
      </c>
      <c r="F6884" t="s">
        <v>32831</v>
      </c>
      <c r="G6884" t="s">
        <v>32839</v>
      </c>
      <c r="H6884" t="s">
        <v>32849</v>
      </c>
      <c r="I6884" t="s">
        <v>4177</v>
      </c>
      <c r="J6884" t="s">
        <v>37325</v>
      </c>
      <c r="K6884" t="s">
        <v>42827</v>
      </c>
      <c r="M6884" t="s">
        <v>45637</v>
      </c>
      <c r="N6884" t="s">
        <v>47424</v>
      </c>
      <c r="O6884" t="s">
        <v>47425</v>
      </c>
      <c r="P6884">
        <v>0</v>
      </c>
      <c r="Q6884">
        <v>6</v>
      </c>
      <c r="R6884" t="s">
        <v>47431</v>
      </c>
      <c r="S6884" t="s">
        <v>47565</v>
      </c>
      <c r="T6884" t="s">
        <v>49267</v>
      </c>
      <c r="U6884" t="s">
        <v>55465</v>
      </c>
      <c r="W6884" t="s">
        <v>45637</v>
      </c>
      <c r="X6884" t="s">
        <v>47432</v>
      </c>
    </row>
    <row r="6885" spans="1:24">
      <c r="A6885">
        <f>HYPERLINK("https://www.philgeps.gov.ph/GEPSNONPILOT/Tender/SplashBidNoticeAbstractUI.aspx?menuIndex=3&amp;refID=7156596&amp;Result=3","7156596")</f>
        <v>0</v>
      </c>
      <c r="B6885" t="s">
        <v>2418</v>
      </c>
      <c r="C6885" t="s">
        <v>10373</v>
      </c>
      <c r="D6885" t="s">
        <v>19027</v>
      </c>
      <c r="E6885" t="s">
        <v>25091</v>
      </c>
      <c r="F6885" t="s">
        <v>32831</v>
      </c>
      <c r="G6885" t="s">
        <v>32839</v>
      </c>
      <c r="H6885" t="s">
        <v>32849</v>
      </c>
      <c r="I6885" t="s">
        <v>4177</v>
      </c>
      <c r="J6885" t="s">
        <v>36338</v>
      </c>
      <c r="K6885" t="s">
        <v>42732</v>
      </c>
      <c r="M6885" t="s">
        <v>45613</v>
      </c>
      <c r="N6885" t="s">
        <v>47424</v>
      </c>
      <c r="O6885" t="s">
        <v>47425</v>
      </c>
      <c r="P6885">
        <v>0</v>
      </c>
      <c r="Q6885">
        <v>0</v>
      </c>
      <c r="R6885" t="s">
        <v>47431</v>
      </c>
      <c r="S6885" t="s">
        <v>47565</v>
      </c>
      <c r="T6885" t="s">
        <v>49283</v>
      </c>
      <c r="U6885" t="s">
        <v>55466</v>
      </c>
      <c r="V6885" t="s">
        <v>63379</v>
      </c>
      <c r="W6885" t="s">
        <v>45613</v>
      </c>
      <c r="X6885" t="s">
        <v>47432</v>
      </c>
    </row>
    <row r="6886" spans="1:24">
      <c r="A6886">
        <f>HYPERLINK("https://www.philgeps.gov.ph/GEPSNONPILOT/Tender/SplashBidNoticeAbstractUI.aspx?menuIndex=3&amp;refID=7156552&amp;Result=3","7156552")</f>
        <v>0</v>
      </c>
      <c r="B6886" t="s">
        <v>755</v>
      </c>
      <c r="C6886" t="s">
        <v>10374</v>
      </c>
      <c r="E6886" t="s">
        <v>25092</v>
      </c>
      <c r="F6886" t="s">
        <v>32831</v>
      </c>
      <c r="G6886" t="s">
        <v>32839</v>
      </c>
      <c r="H6886" t="s">
        <v>32848</v>
      </c>
      <c r="I6886" t="s">
        <v>32884</v>
      </c>
      <c r="J6886" t="s">
        <v>37326</v>
      </c>
      <c r="K6886" t="s">
        <v>42732</v>
      </c>
      <c r="M6886" t="s">
        <v>45605</v>
      </c>
      <c r="N6886" t="s">
        <v>47424</v>
      </c>
      <c r="O6886" t="s">
        <v>47425</v>
      </c>
      <c r="P6886">
        <v>0</v>
      </c>
      <c r="Q6886">
        <v>5</v>
      </c>
      <c r="R6886" t="s">
        <v>47431</v>
      </c>
      <c r="S6886" t="s">
        <v>47565</v>
      </c>
      <c r="T6886" t="s">
        <v>49150</v>
      </c>
      <c r="U6886" t="s">
        <v>55467</v>
      </c>
      <c r="W6886" t="s">
        <v>45605</v>
      </c>
      <c r="X6886" t="s">
        <v>47432</v>
      </c>
    </row>
    <row r="6887" spans="1:24">
      <c r="A6887">
        <f>HYPERLINK("https://www.philgeps.gov.ph/GEPSNONPILOT/Tender/SplashBidNoticeAbstractUI.aspx?menuIndex=3&amp;refID=7156608&amp;Result=3","7156608")</f>
        <v>0</v>
      </c>
      <c r="B6887" t="s">
        <v>2441</v>
      </c>
      <c r="C6887" t="s">
        <v>10375</v>
      </c>
      <c r="D6887" t="s">
        <v>19051</v>
      </c>
      <c r="E6887" t="s">
        <v>25093</v>
      </c>
      <c r="F6887" t="s">
        <v>32831</v>
      </c>
      <c r="G6887" t="s">
        <v>32838</v>
      </c>
      <c r="H6887" t="s">
        <v>32848</v>
      </c>
      <c r="I6887" t="s">
        <v>4222</v>
      </c>
      <c r="J6887" t="s">
        <v>35169</v>
      </c>
      <c r="K6887" t="s">
        <v>42831</v>
      </c>
      <c r="M6887" t="s">
        <v>45638</v>
      </c>
      <c r="N6887" t="s">
        <v>47424</v>
      </c>
      <c r="O6887" t="s">
        <v>47425</v>
      </c>
      <c r="P6887">
        <v>0</v>
      </c>
      <c r="Q6887">
        <v>3</v>
      </c>
      <c r="R6887" t="s">
        <v>47431</v>
      </c>
      <c r="S6887" t="s">
        <v>47565</v>
      </c>
      <c r="T6887" t="s">
        <v>49465</v>
      </c>
      <c r="U6887" t="s">
        <v>51549</v>
      </c>
      <c r="W6887" t="s">
        <v>45638</v>
      </c>
      <c r="X6887" t="s">
        <v>47432</v>
      </c>
    </row>
    <row r="6888" spans="1:24">
      <c r="A6888">
        <f>HYPERLINK("https://www.philgeps.gov.ph/GEPSNONPILOT/Tender/SplashBidNoticeAbstractUI.aspx?menuIndex=3&amp;refID=7156655&amp;Result=3","7156655")</f>
        <v>0</v>
      </c>
      <c r="B6888" t="s">
        <v>2442</v>
      </c>
      <c r="C6888" t="s">
        <v>10376</v>
      </c>
      <c r="D6888" t="s">
        <v>19027</v>
      </c>
      <c r="E6888" t="s">
        <v>25094</v>
      </c>
      <c r="F6888" t="s">
        <v>32831</v>
      </c>
      <c r="G6888" t="s">
        <v>32839</v>
      </c>
      <c r="H6888" t="s">
        <v>32848</v>
      </c>
      <c r="I6888" t="s">
        <v>32883</v>
      </c>
      <c r="J6888" t="s">
        <v>34921</v>
      </c>
      <c r="K6888" t="s">
        <v>42730</v>
      </c>
      <c r="M6888" t="s">
        <v>45639</v>
      </c>
      <c r="N6888" t="s">
        <v>47424</v>
      </c>
      <c r="O6888" t="s">
        <v>47425</v>
      </c>
      <c r="P6888">
        <v>0</v>
      </c>
      <c r="Q6888">
        <v>3</v>
      </c>
      <c r="R6888" t="s">
        <v>47431</v>
      </c>
      <c r="S6888" t="s">
        <v>47565</v>
      </c>
      <c r="T6888" t="s">
        <v>49323</v>
      </c>
      <c r="U6888" t="s">
        <v>55468</v>
      </c>
      <c r="W6888" t="s">
        <v>45639</v>
      </c>
      <c r="X6888" t="s">
        <v>47432</v>
      </c>
    </row>
    <row r="6889" spans="1:24">
      <c r="A6889">
        <f>HYPERLINK("https://www.philgeps.gov.ph/GEPSNONPILOT/Tender/SplashBidNoticeAbstractUI.aspx?menuIndex=3&amp;refID=7156588&amp;Result=3","7156588")</f>
        <v>0</v>
      </c>
      <c r="B6889" t="s">
        <v>755</v>
      </c>
      <c r="C6889" t="s">
        <v>10377</v>
      </c>
      <c r="E6889" t="s">
        <v>25095</v>
      </c>
      <c r="F6889" t="s">
        <v>32831</v>
      </c>
      <c r="G6889" t="s">
        <v>32839</v>
      </c>
      <c r="H6889" t="s">
        <v>32848</v>
      </c>
      <c r="I6889" t="s">
        <v>10805</v>
      </c>
      <c r="J6889" t="s">
        <v>37327</v>
      </c>
      <c r="K6889" t="s">
        <v>42732</v>
      </c>
      <c r="M6889" t="s">
        <v>45605</v>
      </c>
      <c r="N6889" t="s">
        <v>47424</v>
      </c>
      <c r="O6889" t="s">
        <v>47425</v>
      </c>
      <c r="P6889">
        <v>0</v>
      </c>
      <c r="Q6889">
        <v>1</v>
      </c>
      <c r="R6889" t="s">
        <v>47431</v>
      </c>
      <c r="S6889" t="s">
        <v>47565</v>
      </c>
      <c r="T6889" t="s">
        <v>49150</v>
      </c>
      <c r="U6889" t="s">
        <v>55469</v>
      </c>
      <c r="W6889" t="s">
        <v>45605</v>
      </c>
      <c r="X6889" t="s">
        <v>47432</v>
      </c>
    </row>
    <row r="6890" spans="1:24">
      <c r="A6890">
        <f>HYPERLINK("https://www.philgeps.gov.ph/GEPSNONPILOT/Tender/SplashBidNoticeAbstractUI.aspx?menuIndex=3&amp;refID=7156653&amp;Result=3","7156653")</f>
        <v>0</v>
      </c>
      <c r="B6890" t="s">
        <v>2443</v>
      </c>
      <c r="C6890" t="s">
        <v>4431</v>
      </c>
      <c r="D6890" t="s">
        <v>19023</v>
      </c>
      <c r="E6890" t="s">
        <v>25096</v>
      </c>
      <c r="F6890" t="s">
        <v>32831</v>
      </c>
      <c r="G6890" t="s">
        <v>32842</v>
      </c>
      <c r="H6890" t="s">
        <v>32848</v>
      </c>
      <c r="I6890" t="s">
        <v>32857</v>
      </c>
      <c r="J6890" t="s">
        <v>33140</v>
      </c>
      <c r="K6890" t="s">
        <v>42758</v>
      </c>
      <c r="L6890" t="s">
        <v>2443</v>
      </c>
      <c r="M6890" t="s">
        <v>45640</v>
      </c>
      <c r="N6890" t="s">
        <v>47424</v>
      </c>
      <c r="O6890" t="s">
        <v>47425</v>
      </c>
      <c r="P6890">
        <v>0</v>
      </c>
      <c r="Q6890">
        <v>4</v>
      </c>
      <c r="R6890" t="s">
        <v>47431</v>
      </c>
      <c r="S6890" t="s">
        <v>47565</v>
      </c>
      <c r="T6890" t="s">
        <v>49111</v>
      </c>
      <c r="U6890" t="s">
        <v>55470</v>
      </c>
      <c r="W6890" t="s">
        <v>45640</v>
      </c>
      <c r="X6890" t="s">
        <v>47432</v>
      </c>
    </row>
    <row r="6891" spans="1:24">
      <c r="A6891">
        <f>HYPERLINK("https://www.philgeps.gov.ph/GEPSNONPILOT/Tender/SplashBidNoticeAbstractUI.aspx?menuIndex=3&amp;refID=7156648&amp;Result=3","7156648")</f>
        <v>0</v>
      </c>
      <c r="B6891" t="s">
        <v>2430</v>
      </c>
      <c r="C6891" t="s">
        <v>10378</v>
      </c>
      <c r="D6891" t="s">
        <v>19049</v>
      </c>
      <c r="E6891" t="s">
        <v>25097</v>
      </c>
      <c r="F6891" t="s">
        <v>32831</v>
      </c>
      <c r="G6891" t="s">
        <v>32838</v>
      </c>
      <c r="H6891" t="s">
        <v>32848</v>
      </c>
      <c r="I6891" t="s">
        <v>32862</v>
      </c>
      <c r="J6891" t="s">
        <v>37328</v>
      </c>
      <c r="K6891" t="s">
        <v>42748</v>
      </c>
      <c r="M6891" t="s">
        <v>45627</v>
      </c>
      <c r="N6891" t="s">
        <v>47424</v>
      </c>
      <c r="O6891" t="s">
        <v>47425</v>
      </c>
      <c r="P6891">
        <v>0</v>
      </c>
      <c r="Q6891">
        <v>0</v>
      </c>
      <c r="R6891" t="s">
        <v>47431</v>
      </c>
      <c r="S6891" t="s">
        <v>47565</v>
      </c>
      <c r="T6891" t="s">
        <v>49237</v>
      </c>
      <c r="U6891" t="s">
        <v>55429</v>
      </c>
      <c r="W6891" t="s">
        <v>45627</v>
      </c>
      <c r="X6891" t="s">
        <v>47432</v>
      </c>
    </row>
    <row r="6892" spans="1:24">
      <c r="A6892">
        <f>HYPERLINK("https://www.philgeps.gov.ph/GEPSNONPILOT/Tender/SplashBidNoticeAbstractUI.aspx?menuIndex=3&amp;refID=7156647&amp;Result=3","7156647")</f>
        <v>0</v>
      </c>
      <c r="B6892" t="s">
        <v>2432</v>
      </c>
      <c r="C6892" t="s">
        <v>10379</v>
      </c>
      <c r="D6892" t="s">
        <v>19055</v>
      </c>
      <c r="E6892" t="s">
        <v>25098</v>
      </c>
      <c r="F6892" t="s">
        <v>32831</v>
      </c>
      <c r="G6892" t="s">
        <v>32838</v>
      </c>
      <c r="H6892" t="s">
        <v>32848</v>
      </c>
      <c r="I6892" t="s">
        <v>32857</v>
      </c>
      <c r="J6892" t="s">
        <v>33305</v>
      </c>
      <c r="K6892" t="s">
        <v>42730</v>
      </c>
      <c r="M6892" t="s">
        <v>45629</v>
      </c>
      <c r="N6892" t="s">
        <v>47424</v>
      </c>
      <c r="O6892" t="s">
        <v>47425</v>
      </c>
      <c r="P6892">
        <v>0</v>
      </c>
      <c r="Q6892">
        <v>1</v>
      </c>
      <c r="R6892" t="s">
        <v>47431</v>
      </c>
      <c r="S6892" t="s">
        <v>47565</v>
      </c>
      <c r="T6892" t="s">
        <v>49105</v>
      </c>
      <c r="U6892" t="s">
        <v>55471</v>
      </c>
      <c r="V6892" t="s">
        <v>63383</v>
      </c>
      <c r="W6892" t="s">
        <v>45629</v>
      </c>
      <c r="X6892" t="s">
        <v>47432</v>
      </c>
    </row>
    <row r="6893" spans="1:24">
      <c r="A6893">
        <f>HYPERLINK("https://www.philgeps.gov.ph/GEPSNONPILOT/Tender/SplashBidNoticeAbstractUI.aspx?menuIndex=3&amp;refID=7156644&amp;Result=3","7156644")</f>
        <v>0</v>
      </c>
      <c r="B6893" t="s">
        <v>2444</v>
      </c>
      <c r="C6893" t="s">
        <v>10380</v>
      </c>
      <c r="D6893" t="s">
        <v>19037</v>
      </c>
      <c r="E6893" t="s">
        <v>19835</v>
      </c>
      <c r="F6893" t="s">
        <v>32831</v>
      </c>
      <c r="G6893" t="s">
        <v>32839</v>
      </c>
      <c r="H6893" t="s">
        <v>32849</v>
      </c>
      <c r="I6893" t="s">
        <v>4177</v>
      </c>
      <c r="J6893" t="s">
        <v>33615</v>
      </c>
      <c r="K6893" t="s">
        <v>42729</v>
      </c>
      <c r="M6893" t="s">
        <v>45641</v>
      </c>
      <c r="N6893" t="s">
        <v>47424</v>
      </c>
      <c r="O6893" t="s">
        <v>47425</v>
      </c>
      <c r="P6893">
        <v>0</v>
      </c>
      <c r="Q6893">
        <v>0</v>
      </c>
      <c r="R6893" t="s">
        <v>47431</v>
      </c>
      <c r="S6893" t="s">
        <v>47565</v>
      </c>
      <c r="T6893" t="s">
        <v>49061</v>
      </c>
      <c r="U6893" t="s">
        <v>55472</v>
      </c>
      <c r="W6893" t="s">
        <v>45641</v>
      </c>
      <c r="X6893" t="s">
        <v>47432</v>
      </c>
    </row>
    <row r="6894" spans="1:24">
      <c r="A6894">
        <f>HYPERLINK("https://www.philgeps.gov.ph/GEPSNONPILOT/Tender/SplashBidNoticeAbstractUI.aspx?menuIndex=3&amp;refID=7156597&amp;Result=3","7156597")</f>
        <v>0</v>
      </c>
      <c r="B6894" t="s">
        <v>2429</v>
      </c>
      <c r="C6894" t="s">
        <v>10381</v>
      </c>
      <c r="D6894" t="s">
        <v>19064</v>
      </c>
      <c r="E6894" t="s">
        <v>25099</v>
      </c>
      <c r="F6894" t="s">
        <v>32831</v>
      </c>
      <c r="G6894" t="s">
        <v>32839</v>
      </c>
      <c r="H6894" t="s">
        <v>32848</v>
      </c>
      <c r="I6894" t="s">
        <v>32862</v>
      </c>
      <c r="J6894" t="s">
        <v>37329</v>
      </c>
      <c r="K6894" t="s">
        <v>42731</v>
      </c>
      <c r="M6894" t="s">
        <v>45626</v>
      </c>
      <c r="N6894" t="s">
        <v>47424</v>
      </c>
      <c r="O6894" t="s">
        <v>47425</v>
      </c>
      <c r="P6894">
        <v>0</v>
      </c>
      <c r="Q6894">
        <v>0</v>
      </c>
      <c r="R6894" t="s">
        <v>47431</v>
      </c>
      <c r="S6894" t="s">
        <v>47565</v>
      </c>
      <c r="T6894" t="s">
        <v>49055</v>
      </c>
      <c r="U6894" t="s">
        <v>55473</v>
      </c>
      <c r="W6894" t="s">
        <v>45626</v>
      </c>
      <c r="X6894" t="s">
        <v>47432</v>
      </c>
    </row>
    <row r="6895" spans="1:24">
      <c r="A6895">
        <f>HYPERLINK("https://www.philgeps.gov.ph/GEPSNONPILOT/Tender/SplashBidNoticeAbstractUI.aspx?menuIndex=3&amp;refID=7156640&amp;Result=3","7156640")</f>
        <v>0</v>
      </c>
      <c r="B6895" t="s">
        <v>114</v>
      </c>
      <c r="C6895" t="s">
        <v>10382</v>
      </c>
      <c r="D6895" t="s">
        <v>19050</v>
      </c>
      <c r="E6895" t="s">
        <v>25100</v>
      </c>
      <c r="F6895" t="s">
        <v>32831</v>
      </c>
      <c r="G6895" t="s">
        <v>32839</v>
      </c>
      <c r="H6895" t="s">
        <v>32849</v>
      </c>
      <c r="I6895" t="s">
        <v>4177</v>
      </c>
      <c r="J6895" t="s">
        <v>37330</v>
      </c>
      <c r="K6895" t="s">
        <v>42770</v>
      </c>
      <c r="M6895" t="s">
        <v>45642</v>
      </c>
      <c r="N6895" t="s">
        <v>47424</v>
      </c>
      <c r="O6895" t="s">
        <v>47425</v>
      </c>
      <c r="P6895">
        <v>0</v>
      </c>
      <c r="Q6895">
        <v>1</v>
      </c>
      <c r="R6895" t="s">
        <v>47431</v>
      </c>
      <c r="S6895" t="s">
        <v>47565</v>
      </c>
      <c r="T6895" t="s">
        <v>49396</v>
      </c>
      <c r="U6895" t="s">
        <v>55474</v>
      </c>
      <c r="W6895" t="s">
        <v>45642</v>
      </c>
      <c r="X6895" t="s">
        <v>47432</v>
      </c>
    </row>
    <row r="6896" spans="1:24">
      <c r="A6896">
        <f>HYPERLINK("https://www.philgeps.gov.ph/GEPSNONPILOT/Tender/SplashBidNoticeAbstractUI.aspx?menuIndex=3&amp;refID=7156486&amp;Result=3","7156486")</f>
        <v>0</v>
      </c>
      <c r="B6896" t="s">
        <v>2413</v>
      </c>
      <c r="C6896" t="s">
        <v>10383</v>
      </c>
      <c r="D6896" t="s">
        <v>19026</v>
      </c>
      <c r="E6896" t="s">
        <v>25101</v>
      </c>
      <c r="F6896" t="s">
        <v>32831</v>
      </c>
      <c r="G6896" t="s">
        <v>32839</v>
      </c>
      <c r="H6896" t="s">
        <v>32848</v>
      </c>
      <c r="I6896" t="s">
        <v>7416</v>
      </c>
      <c r="J6896" t="s">
        <v>37331</v>
      </c>
      <c r="K6896" t="s">
        <v>42750</v>
      </c>
      <c r="M6896" t="s">
        <v>45608</v>
      </c>
      <c r="N6896" t="s">
        <v>47424</v>
      </c>
      <c r="O6896" t="s">
        <v>47425</v>
      </c>
      <c r="P6896">
        <v>0</v>
      </c>
      <c r="Q6896">
        <v>1</v>
      </c>
      <c r="R6896" t="s">
        <v>47431</v>
      </c>
      <c r="S6896" t="s">
        <v>47565</v>
      </c>
      <c r="T6896" t="s">
        <v>49079</v>
      </c>
      <c r="U6896" t="s">
        <v>49789</v>
      </c>
      <c r="W6896" t="s">
        <v>45608</v>
      </c>
      <c r="X6896" t="s">
        <v>47432</v>
      </c>
    </row>
    <row r="6897" spans="1:24">
      <c r="A6897">
        <f>HYPERLINK("https://www.philgeps.gov.ph/GEPSNONPILOT/Tender/SplashBidNoticeAbstractUI.aspx?menuIndex=3&amp;refID=7156642&amp;Result=3","7156642")</f>
        <v>0</v>
      </c>
      <c r="B6897" t="s">
        <v>231</v>
      </c>
      <c r="C6897" t="s">
        <v>10384</v>
      </c>
      <c r="D6897" t="s">
        <v>19039</v>
      </c>
      <c r="E6897" t="s">
        <v>25102</v>
      </c>
      <c r="F6897" t="s">
        <v>32831</v>
      </c>
      <c r="G6897" t="s">
        <v>32839</v>
      </c>
      <c r="H6897" t="s">
        <v>32848</v>
      </c>
      <c r="I6897" t="s">
        <v>4438</v>
      </c>
      <c r="J6897" t="s">
        <v>37332</v>
      </c>
      <c r="K6897" t="s">
        <v>42729</v>
      </c>
      <c r="M6897" t="s">
        <v>43230</v>
      </c>
      <c r="N6897" t="s">
        <v>47424</v>
      </c>
      <c r="O6897" t="s">
        <v>47425</v>
      </c>
      <c r="P6897">
        <v>0</v>
      </c>
      <c r="Q6897">
        <v>1</v>
      </c>
      <c r="R6897" t="s">
        <v>47431</v>
      </c>
      <c r="S6897" t="s">
        <v>47565</v>
      </c>
      <c r="T6897" t="s">
        <v>49129</v>
      </c>
      <c r="U6897" t="s">
        <v>55475</v>
      </c>
      <c r="W6897" t="s">
        <v>43230</v>
      </c>
      <c r="X6897" t="s">
        <v>47432</v>
      </c>
    </row>
    <row r="6898" spans="1:24">
      <c r="A6898">
        <f>HYPERLINK("https://www.philgeps.gov.ph/GEPSNONPILOT/Tender/SplashBidNoticeAbstractUI.aspx?menuIndex=3&amp;refID=7156633&amp;Result=3","7156633")</f>
        <v>0</v>
      </c>
      <c r="B6898" t="s">
        <v>674</v>
      </c>
      <c r="C6898" t="s">
        <v>10385</v>
      </c>
      <c r="D6898" t="s">
        <v>19058</v>
      </c>
      <c r="E6898" t="s">
        <v>25103</v>
      </c>
      <c r="F6898" t="s">
        <v>32831</v>
      </c>
      <c r="G6898" t="s">
        <v>32840</v>
      </c>
      <c r="H6898" t="s">
        <v>32848</v>
      </c>
      <c r="I6898" t="s">
        <v>4438</v>
      </c>
      <c r="J6898" t="s">
        <v>33218</v>
      </c>
      <c r="K6898" t="s">
        <v>42732</v>
      </c>
      <c r="M6898" t="s">
        <v>44520</v>
      </c>
      <c r="N6898" t="s">
        <v>47424</v>
      </c>
      <c r="O6898" t="s">
        <v>47425</v>
      </c>
      <c r="P6898">
        <v>0</v>
      </c>
      <c r="Q6898">
        <v>0</v>
      </c>
      <c r="R6898" t="s">
        <v>47431</v>
      </c>
      <c r="S6898" t="s">
        <v>47565</v>
      </c>
      <c r="T6898" t="s">
        <v>49237</v>
      </c>
      <c r="U6898" t="s">
        <v>55476</v>
      </c>
      <c r="W6898" t="s">
        <v>44520</v>
      </c>
      <c r="X6898" t="s">
        <v>47432</v>
      </c>
    </row>
    <row r="6899" spans="1:24">
      <c r="A6899">
        <f>HYPERLINK("https://www.philgeps.gov.ph/GEPSNONPILOT/Tender/SplashBidNoticeAbstractUI.aspx?menuIndex=3&amp;refID=7156632&amp;Result=3","7156632")</f>
        <v>0</v>
      </c>
      <c r="B6899" t="s">
        <v>2429</v>
      </c>
      <c r="C6899" t="s">
        <v>10386</v>
      </c>
      <c r="D6899" t="s">
        <v>19064</v>
      </c>
      <c r="E6899" t="s">
        <v>25104</v>
      </c>
      <c r="F6899" t="s">
        <v>32831</v>
      </c>
      <c r="G6899" t="s">
        <v>32839</v>
      </c>
      <c r="H6899" t="s">
        <v>32848</v>
      </c>
      <c r="I6899" t="s">
        <v>32862</v>
      </c>
      <c r="J6899" t="s">
        <v>37333</v>
      </c>
      <c r="K6899" t="s">
        <v>42731</v>
      </c>
      <c r="M6899" t="s">
        <v>45626</v>
      </c>
      <c r="N6899" t="s">
        <v>47424</v>
      </c>
      <c r="O6899" t="s">
        <v>47425</v>
      </c>
      <c r="P6899">
        <v>0</v>
      </c>
      <c r="Q6899">
        <v>0</v>
      </c>
      <c r="R6899" t="s">
        <v>47431</v>
      </c>
      <c r="S6899" t="s">
        <v>47565</v>
      </c>
      <c r="T6899" t="s">
        <v>49055</v>
      </c>
      <c r="U6899" t="s">
        <v>55477</v>
      </c>
      <c r="W6899" t="s">
        <v>45626</v>
      </c>
      <c r="X6899" t="s">
        <v>47432</v>
      </c>
    </row>
    <row r="6900" spans="1:24">
      <c r="A6900">
        <f>HYPERLINK("https://www.philgeps.gov.ph/GEPSNONPILOT/Tender/SplashBidNoticeAbstractUI.aspx?menuIndex=3&amp;refID=7156601&amp;Result=3","7156601")</f>
        <v>0</v>
      </c>
      <c r="B6900" t="s">
        <v>262</v>
      </c>
      <c r="C6900" t="s">
        <v>10387</v>
      </c>
      <c r="D6900" t="s">
        <v>19049</v>
      </c>
      <c r="E6900" t="s">
        <v>25105</v>
      </c>
      <c r="F6900" t="s">
        <v>32831</v>
      </c>
      <c r="G6900" t="s">
        <v>32838</v>
      </c>
      <c r="H6900" t="s">
        <v>32848</v>
      </c>
      <c r="I6900" t="s">
        <v>32862</v>
      </c>
      <c r="J6900" t="s">
        <v>37334</v>
      </c>
      <c r="K6900" t="s">
        <v>42726</v>
      </c>
      <c r="M6900" t="s">
        <v>43261</v>
      </c>
      <c r="N6900" t="s">
        <v>47424</v>
      </c>
      <c r="O6900" t="s">
        <v>47425</v>
      </c>
      <c r="P6900">
        <v>0</v>
      </c>
      <c r="Q6900">
        <v>0</v>
      </c>
      <c r="R6900" t="s">
        <v>47431</v>
      </c>
      <c r="S6900" t="s">
        <v>47565</v>
      </c>
      <c r="T6900" t="s">
        <v>49466</v>
      </c>
      <c r="U6900" t="s">
        <v>55478</v>
      </c>
      <c r="W6900" t="s">
        <v>43261</v>
      </c>
      <c r="X6900" t="s">
        <v>47432</v>
      </c>
    </row>
    <row r="6901" spans="1:24">
      <c r="A6901">
        <f>HYPERLINK("https://www.philgeps.gov.ph/GEPSNONPILOT/Tender/SplashBidNoticeAbstractUI.aspx?menuIndex=3&amp;refID=7156628&amp;Result=3","7156628")</f>
        <v>0</v>
      </c>
      <c r="B6901" t="s">
        <v>2440</v>
      </c>
      <c r="C6901" t="s">
        <v>10388</v>
      </c>
      <c r="D6901" t="s">
        <v>19069</v>
      </c>
      <c r="E6901" t="s">
        <v>25106</v>
      </c>
      <c r="F6901" t="s">
        <v>32831</v>
      </c>
      <c r="G6901" t="s">
        <v>32839</v>
      </c>
      <c r="H6901" t="s">
        <v>32849</v>
      </c>
      <c r="I6901" t="s">
        <v>4177</v>
      </c>
      <c r="J6901" t="s">
        <v>34447</v>
      </c>
      <c r="K6901" t="s">
        <v>42796</v>
      </c>
      <c r="M6901" t="s">
        <v>45637</v>
      </c>
      <c r="N6901" t="s">
        <v>47424</v>
      </c>
      <c r="O6901" t="s">
        <v>47425</v>
      </c>
      <c r="P6901">
        <v>0</v>
      </c>
      <c r="Q6901">
        <v>6</v>
      </c>
      <c r="R6901" t="s">
        <v>47431</v>
      </c>
      <c r="S6901" t="s">
        <v>47565</v>
      </c>
      <c r="T6901" t="s">
        <v>49267</v>
      </c>
      <c r="U6901" t="s">
        <v>55479</v>
      </c>
      <c r="W6901" t="s">
        <v>45637</v>
      </c>
      <c r="X6901" t="s">
        <v>47432</v>
      </c>
    </row>
    <row r="6902" spans="1:24">
      <c r="A6902">
        <f>HYPERLINK("https://www.philgeps.gov.ph/GEPSNONPILOT/Tender/SplashBidNoticeAbstractUI.aspx?menuIndex=3&amp;refID=7156638&amp;Result=3","7156638")</f>
        <v>0</v>
      </c>
      <c r="B6902" t="s">
        <v>555</v>
      </c>
      <c r="C6902" t="s">
        <v>10389</v>
      </c>
      <c r="D6902" t="s">
        <v>19033</v>
      </c>
      <c r="E6902" t="s">
        <v>25107</v>
      </c>
      <c r="F6902" t="s">
        <v>32831</v>
      </c>
      <c r="G6902" t="s">
        <v>32838</v>
      </c>
      <c r="H6902" t="s">
        <v>32848</v>
      </c>
      <c r="I6902" t="s">
        <v>4487</v>
      </c>
      <c r="J6902" t="s">
        <v>36708</v>
      </c>
      <c r="K6902" t="s">
        <v>42747</v>
      </c>
      <c r="M6902" t="s">
        <v>43563</v>
      </c>
      <c r="N6902" t="s">
        <v>47424</v>
      </c>
      <c r="O6902" t="s">
        <v>47425</v>
      </c>
      <c r="P6902">
        <v>0</v>
      </c>
      <c r="Q6902">
        <v>1</v>
      </c>
      <c r="R6902" t="s">
        <v>47431</v>
      </c>
      <c r="S6902" t="s">
        <v>47565</v>
      </c>
      <c r="T6902" t="s">
        <v>49163</v>
      </c>
      <c r="U6902" t="s">
        <v>50697</v>
      </c>
      <c r="W6902" t="s">
        <v>43563</v>
      </c>
      <c r="X6902" t="s">
        <v>47432</v>
      </c>
    </row>
    <row r="6903" spans="1:24">
      <c r="A6903">
        <f>HYPERLINK("https://www.philgeps.gov.ph/GEPSNONPILOT/Tender/SplashBidNoticeAbstractUI.aspx?menuIndex=3&amp;refID=7156636&amp;Result=3","7156636")</f>
        <v>0</v>
      </c>
      <c r="B6903" t="s">
        <v>2426</v>
      </c>
      <c r="C6903" t="s">
        <v>10390</v>
      </c>
      <c r="D6903" t="s">
        <v>19019</v>
      </c>
      <c r="E6903" t="s">
        <v>25108</v>
      </c>
      <c r="F6903" t="s">
        <v>32831</v>
      </c>
      <c r="G6903" t="s">
        <v>32839</v>
      </c>
      <c r="H6903" t="s">
        <v>32850</v>
      </c>
      <c r="I6903" t="s">
        <v>7819</v>
      </c>
      <c r="J6903" t="s">
        <v>37335</v>
      </c>
      <c r="K6903" t="s">
        <v>42770</v>
      </c>
      <c r="M6903" t="s">
        <v>45623</v>
      </c>
      <c r="N6903" t="s">
        <v>47424</v>
      </c>
      <c r="O6903" t="s">
        <v>47425</v>
      </c>
      <c r="P6903">
        <v>0</v>
      </c>
      <c r="Q6903">
        <v>2</v>
      </c>
      <c r="R6903" t="s">
        <v>47431</v>
      </c>
      <c r="S6903" t="s">
        <v>47565</v>
      </c>
      <c r="T6903" t="s">
        <v>49463</v>
      </c>
      <c r="U6903" t="s">
        <v>55423</v>
      </c>
      <c r="V6903" t="s">
        <v>63388</v>
      </c>
      <c r="W6903" t="s">
        <v>45623</v>
      </c>
      <c r="X6903" t="s">
        <v>47432</v>
      </c>
    </row>
    <row r="6904" spans="1:24">
      <c r="A6904">
        <f>HYPERLINK("https://www.philgeps.gov.ph/GEPSNONPILOT/Tender/SplashBidNoticeAbstractUI.aspx?menuIndex=3&amp;refID=7156625&amp;Result=3","7156625")</f>
        <v>0</v>
      </c>
      <c r="B6904" t="s">
        <v>2382</v>
      </c>
      <c r="C6904" t="s">
        <v>10391</v>
      </c>
      <c r="D6904" t="s">
        <v>19027</v>
      </c>
      <c r="E6904" t="s">
        <v>25109</v>
      </c>
      <c r="F6904" t="s">
        <v>32831</v>
      </c>
      <c r="G6904" t="s">
        <v>32838</v>
      </c>
      <c r="H6904" t="s">
        <v>32848</v>
      </c>
      <c r="I6904" t="s">
        <v>9577</v>
      </c>
      <c r="J6904" t="s">
        <v>33395</v>
      </c>
      <c r="K6904" t="s">
        <v>42759</v>
      </c>
      <c r="M6904" t="s">
        <v>45571</v>
      </c>
      <c r="N6904" t="s">
        <v>47424</v>
      </c>
      <c r="O6904" t="s">
        <v>47425</v>
      </c>
      <c r="P6904">
        <v>0</v>
      </c>
      <c r="Q6904">
        <v>1</v>
      </c>
      <c r="R6904" t="s">
        <v>47431</v>
      </c>
      <c r="S6904" t="s">
        <v>47565</v>
      </c>
      <c r="T6904" t="s">
        <v>49124</v>
      </c>
      <c r="U6904" t="s">
        <v>55480</v>
      </c>
      <c r="W6904" t="s">
        <v>45571</v>
      </c>
      <c r="X6904" t="s">
        <v>47432</v>
      </c>
    </row>
    <row r="6905" spans="1:24">
      <c r="A6905">
        <f>HYPERLINK("https://www.philgeps.gov.ph/GEPSNONPILOT/Tender/SplashBidNoticeAbstractUI.aspx?menuIndex=3&amp;refID=7156631&amp;Result=3","7156631")</f>
        <v>0</v>
      </c>
      <c r="B6905" t="s">
        <v>2445</v>
      </c>
      <c r="C6905" t="s">
        <v>10392</v>
      </c>
      <c r="D6905" t="s">
        <v>19021</v>
      </c>
      <c r="E6905" t="s">
        <v>25110</v>
      </c>
      <c r="F6905" t="s">
        <v>32831</v>
      </c>
      <c r="G6905" t="s">
        <v>32839</v>
      </c>
      <c r="H6905" t="s">
        <v>32848</v>
      </c>
      <c r="I6905" t="s">
        <v>32856</v>
      </c>
      <c r="J6905" t="s">
        <v>37336</v>
      </c>
      <c r="K6905" t="s">
        <v>42727</v>
      </c>
      <c r="M6905" t="s">
        <v>45643</v>
      </c>
      <c r="N6905" t="s">
        <v>47424</v>
      </c>
      <c r="O6905" t="s">
        <v>47425</v>
      </c>
      <c r="P6905">
        <v>0</v>
      </c>
      <c r="Q6905">
        <v>6</v>
      </c>
      <c r="R6905" t="s">
        <v>47431</v>
      </c>
      <c r="S6905" t="s">
        <v>47565</v>
      </c>
      <c r="T6905" t="s">
        <v>49319</v>
      </c>
      <c r="U6905" t="s">
        <v>55481</v>
      </c>
      <c r="V6905" t="s">
        <v>63389</v>
      </c>
      <c r="W6905" t="s">
        <v>45643</v>
      </c>
      <c r="X6905" t="s">
        <v>47432</v>
      </c>
    </row>
    <row r="6906" spans="1:24">
      <c r="A6906">
        <f>HYPERLINK("https://www.philgeps.gov.ph/GEPSNONPILOT/Tender/SplashBidNoticeAbstractUI.aspx?menuIndex=3&amp;refID=7156629&amp;Result=3","7156629")</f>
        <v>0</v>
      </c>
      <c r="B6906" t="s">
        <v>2446</v>
      </c>
      <c r="C6906" t="s">
        <v>10393</v>
      </c>
      <c r="D6906" t="s">
        <v>19034</v>
      </c>
      <c r="E6906" t="s">
        <v>25111</v>
      </c>
      <c r="F6906" t="s">
        <v>32831</v>
      </c>
      <c r="G6906" t="s">
        <v>32841</v>
      </c>
      <c r="H6906" t="s">
        <v>32849</v>
      </c>
      <c r="I6906" t="s">
        <v>32919</v>
      </c>
      <c r="J6906" t="s">
        <v>37337</v>
      </c>
      <c r="K6906" t="s">
        <v>42728</v>
      </c>
      <c r="M6906" t="s">
        <v>45644</v>
      </c>
      <c r="N6906" t="s">
        <v>47424</v>
      </c>
      <c r="O6906" t="s">
        <v>47425</v>
      </c>
      <c r="P6906">
        <v>0</v>
      </c>
      <c r="Q6906">
        <v>0</v>
      </c>
      <c r="R6906" t="s">
        <v>47431</v>
      </c>
      <c r="S6906" t="s">
        <v>47565</v>
      </c>
      <c r="T6906" t="s">
        <v>49079</v>
      </c>
      <c r="U6906" t="s">
        <v>55482</v>
      </c>
      <c r="W6906" t="s">
        <v>45644</v>
      </c>
      <c r="X6906" t="s">
        <v>47432</v>
      </c>
    </row>
    <row r="6907" spans="1:24">
      <c r="A6907">
        <f>HYPERLINK("https://www.philgeps.gov.ph/GEPSNONPILOT/Tender/SplashBidNoticeAbstractUI.aspx?menuIndex=3&amp;refID=7156656&amp;Result=3","7156656")</f>
        <v>0</v>
      </c>
      <c r="B6907" t="s">
        <v>1068</v>
      </c>
      <c r="C6907" t="s">
        <v>10394</v>
      </c>
      <c r="D6907" t="s">
        <v>19021</v>
      </c>
      <c r="E6907" t="s">
        <v>25112</v>
      </c>
      <c r="F6907" t="s">
        <v>32831</v>
      </c>
      <c r="G6907" t="s">
        <v>32839</v>
      </c>
      <c r="H6907" t="s">
        <v>32848</v>
      </c>
      <c r="I6907" t="s">
        <v>32870</v>
      </c>
      <c r="J6907" t="s">
        <v>33012</v>
      </c>
      <c r="K6907" t="s">
        <v>42727</v>
      </c>
      <c r="M6907" t="s">
        <v>44125</v>
      </c>
      <c r="N6907" t="s">
        <v>47424</v>
      </c>
      <c r="O6907" t="s">
        <v>47425</v>
      </c>
      <c r="P6907">
        <v>0</v>
      </c>
      <c r="Q6907">
        <v>0</v>
      </c>
      <c r="R6907" t="s">
        <v>47431</v>
      </c>
      <c r="S6907" t="s">
        <v>47565</v>
      </c>
      <c r="T6907" t="s">
        <v>49108</v>
      </c>
      <c r="U6907" t="s">
        <v>55483</v>
      </c>
      <c r="V6907" t="s">
        <v>63390</v>
      </c>
      <c r="W6907" t="s">
        <v>44125</v>
      </c>
      <c r="X6907" t="s">
        <v>47432</v>
      </c>
    </row>
    <row r="6908" spans="1:24">
      <c r="A6908">
        <f>HYPERLINK("https://www.philgeps.gov.ph/GEPSNONPILOT/Tender/SplashBidNoticeAbstractUI.aspx?menuIndex=3&amp;refID=7156694&amp;Result=3","7156694")</f>
        <v>0</v>
      </c>
      <c r="B6908" t="s">
        <v>810</v>
      </c>
      <c r="C6908" t="s">
        <v>10395</v>
      </c>
      <c r="D6908" t="s">
        <v>19030</v>
      </c>
      <c r="E6908" t="s">
        <v>25113</v>
      </c>
      <c r="F6908" t="s">
        <v>32831</v>
      </c>
      <c r="G6908" t="s">
        <v>32840</v>
      </c>
      <c r="H6908" t="s">
        <v>32848</v>
      </c>
      <c r="I6908" t="s">
        <v>32884</v>
      </c>
      <c r="J6908" t="s">
        <v>33084</v>
      </c>
      <c r="K6908" t="s">
        <v>42726</v>
      </c>
      <c r="M6908" t="s">
        <v>43841</v>
      </c>
      <c r="N6908" t="s">
        <v>47424</v>
      </c>
      <c r="O6908" t="s">
        <v>47425</v>
      </c>
      <c r="P6908">
        <v>0</v>
      </c>
      <c r="Q6908">
        <v>3</v>
      </c>
      <c r="R6908" t="s">
        <v>47431</v>
      </c>
      <c r="S6908" t="s">
        <v>47565</v>
      </c>
      <c r="T6908" t="s">
        <v>49066</v>
      </c>
      <c r="U6908" t="s">
        <v>55484</v>
      </c>
      <c r="W6908" t="s">
        <v>43841</v>
      </c>
      <c r="X6908" t="s">
        <v>47432</v>
      </c>
    </row>
    <row r="6909" spans="1:24">
      <c r="A6909">
        <f>HYPERLINK("https://www.philgeps.gov.ph/GEPSNONPILOT/Tender/SplashBidNoticeAbstractUI.aspx?menuIndex=3&amp;refID=7156626&amp;Result=3","7156626")</f>
        <v>0</v>
      </c>
      <c r="B6909" t="s">
        <v>2385</v>
      </c>
      <c r="C6909" t="s">
        <v>10396</v>
      </c>
      <c r="D6909" t="s">
        <v>19023</v>
      </c>
      <c r="E6909" t="s">
        <v>25114</v>
      </c>
      <c r="F6909" t="s">
        <v>32831</v>
      </c>
      <c r="G6909" t="s">
        <v>32838</v>
      </c>
      <c r="H6909" t="s">
        <v>32848</v>
      </c>
      <c r="I6909" t="s">
        <v>7416</v>
      </c>
      <c r="J6909" t="s">
        <v>33078</v>
      </c>
      <c r="K6909" t="s">
        <v>42727</v>
      </c>
      <c r="M6909" t="s">
        <v>45575</v>
      </c>
      <c r="N6909" t="s">
        <v>47424</v>
      </c>
      <c r="O6909" t="s">
        <v>47425</v>
      </c>
      <c r="P6909">
        <v>0</v>
      </c>
      <c r="Q6909">
        <v>0</v>
      </c>
      <c r="R6909" t="s">
        <v>47431</v>
      </c>
      <c r="S6909" t="s">
        <v>47565</v>
      </c>
      <c r="T6909" t="s">
        <v>49237</v>
      </c>
      <c r="U6909" t="s">
        <v>55322</v>
      </c>
      <c r="W6909" t="s">
        <v>45575</v>
      </c>
      <c r="X6909" t="s">
        <v>47432</v>
      </c>
    </row>
    <row r="6910" spans="1:24">
      <c r="A6910">
        <f>HYPERLINK("https://www.philgeps.gov.ph/GEPSNONPILOT/Tender/SplashBidNoticeAbstractUI.aspx?menuIndex=3&amp;refID=7156687&amp;Result=3","7156687")</f>
        <v>0</v>
      </c>
      <c r="B6910" t="s">
        <v>2261</v>
      </c>
      <c r="C6910" t="s">
        <v>10397</v>
      </c>
      <c r="D6910" t="s">
        <v>19038</v>
      </c>
      <c r="E6910" t="s">
        <v>25115</v>
      </c>
      <c r="F6910" t="s">
        <v>32831</v>
      </c>
      <c r="G6910" t="s">
        <v>32839</v>
      </c>
      <c r="H6910" t="s">
        <v>32848</v>
      </c>
      <c r="I6910" t="s">
        <v>7751</v>
      </c>
      <c r="J6910" t="s">
        <v>35602</v>
      </c>
      <c r="K6910" t="s">
        <v>42730</v>
      </c>
      <c r="L6910" t="s">
        <v>2261</v>
      </c>
      <c r="M6910" t="s">
        <v>45445</v>
      </c>
      <c r="N6910" t="s">
        <v>47424</v>
      </c>
      <c r="O6910" t="s">
        <v>47425</v>
      </c>
      <c r="P6910">
        <v>0</v>
      </c>
      <c r="Q6910">
        <v>1</v>
      </c>
      <c r="R6910" t="s">
        <v>47431</v>
      </c>
      <c r="S6910" t="s">
        <v>47565</v>
      </c>
      <c r="T6910" t="s">
        <v>49073</v>
      </c>
      <c r="U6910" t="s">
        <v>54974</v>
      </c>
      <c r="W6910" t="s">
        <v>45445</v>
      </c>
      <c r="X6910" t="s">
        <v>47432</v>
      </c>
    </row>
    <row r="6911" spans="1:24">
      <c r="A6911">
        <f>HYPERLINK("https://www.philgeps.gov.ph/GEPSNONPILOT/Tender/SplashBidNoticeAbstractUI.aspx?menuIndex=3&amp;refID=7156685&amp;Result=3","7156685")</f>
        <v>0</v>
      </c>
      <c r="B6911" t="s">
        <v>2429</v>
      </c>
      <c r="C6911" t="s">
        <v>10398</v>
      </c>
      <c r="D6911" t="s">
        <v>19064</v>
      </c>
      <c r="E6911" t="s">
        <v>25116</v>
      </c>
      <c r="F6911" t="s">
        <v>32831</v>
      </c>
      <c r="G6911" t="s">
        <v>32839</v>
      </c>
      <c r="H6911" t="s">
        <v>32848</v>
      </c>
      <c r="I6911" t="s">
        <v>32870</v>
      </c>
      <c r="J6911" t="s">
        <v>37338</v>
      </c>
      <c r="K6911" t="s">
        <v>42731</v>
      </c>
      <c r="M6911" t="s">
        <v>45626</v>
      </c>
      <c r="N6911" t="s">
        <v>47424</v>
      </c>
      <c r="O6911" t="s">
        <v>47425</v>
      </c>
      <c r="P6911">
        <v>0</v>
      </c>
      <c r="Q6911">
        <v>0</v>
      </c>
      <c r="R6911" t="s">
        <v>47431</v>
      </c>
      <c r="S6911" t="s">
        <v>47565</v>
      </c>
      <c r="T6911" t="s">
        <v>49055</v>
      </c>
      <c r="U6911" t="s">
        <v>55485</v>
      </c>
      <c r="W6911" t="s">
        <v>45626</v>
      </c>
      <c r="X6911" t="s">
        <v>47432</v>
      </c>
    </row>
    <row r="6912" spans="1:24">
      <c r="A6912">
        <f>HYPERLINK("https://www.philgeps.gov.ph/GEPSNONPILOT/Tender/SplashBidNoticeAbstractUI.aspx?menuIndex=3&amp;refID=7156695&amp;Result=3","7156695")</f>
        <v>0</v>
      </c>
      <c r="B6912" t="s">
        <v>2447</v>
      </c>
      <c r="C6912" t="s">
        <v>10399</v>
      </c>
      <c r="D6912" t="s">
        <v>19057</v>
      </c>
      <c r="E6912" t="s">
        <v>25117</v>
      </c>
      <c r="F6912" t="s">
        <v>32831</v>
      </c>
      <c r="G6912" t="s">
        <v>32839</v>
      </c>
      <c r="H6912" t="s">
        <v>32848</v>
      </c>
      <c r="I6912" t="s">
        <v>7751</v>
      </c>
      <c r="J6912" t="s">
        <v>33257</v>
      </c>
      <c r="K6912" t="s">
        <v>42726</v>
      </c>
      <c r="M6912" t="s">
        <v>45645</v>
      </c>
      <c r="N6912" t="s">
        <v>47424</v>
      </c>
      <c r="O6912" t="s">
        <v>47425</v>
      </c>
      <c r="P6912">
        <v>0</v>
      </c>
      <c r="Q6912">
        <v>1</v>
      </c>
      <c r="R6912" t="s">
        <v>47431</v>
      </c>
      <c r="S6912" t="s">
        <v>47565</v>
      </c>
      <c r="T6912" t="s">
        <v>49467</v>
      </c>
      <c r="U6912" t="s">
        <v>55486</v>
      </c>
      <c r="W6912" t="s">
        <v>45645</v>
      </c>
      <c r="X6912" t="s">
        <v>47432</v>
      </c>
    </row>
    <row r="6913" spans="1:24">
      <c r="A6913">
        <f>HYPERLINK("https://www.philgeps.gov.ph/GEPSNONPILOT/Tender/SplashBidNoticeAbstractUI.aspx?menuIndex=3&amp;refID=7156641&amp;Result=3","7156641")</f>
        <v>0</v>
      </c>
      <c r="B6913" t="s">
        <v>2306</v>
      </c>
      <c r="C6913" t="s">
        <v>10400</v>
      </c>
      <c r="D6913" t="s">
        <v>19020</v>
      </c>
      <c r="E6913" t="s">
        <v>20948</v>
      </c>
      <c r="F6913" t="s">
        <v>32831</v>
      </c>
      <c r="G6913" t="s">
        <v>32838</v>
      </c>
      <c r="H6913" t="s">
        <v>32848</v>
      </c>
      <c r="I6913" t="s">
        <v>32938</v>
      </c>
      <c r="J6913" t="s">
        <v>33291</v>
      </c>
      <c r="K6913" t="s">
        <v>42727</v>
      </c>
      <c r="M6913" t="s">
        <v>45491</v>
      </c>
      <c r="N6913" t="s">
        <v>47424</v>
      </c>
      <c r="O6913" t="s">
        <v>47425</v>
      </c>
      <c r="P6913">
        <v>0</v>
      </c>
      <c r="Q6913">
        <v>0</v>
      </c>
      <c r="R6913" t="s">
        <v>47431</v>
      </c>
      <c r="S6913" t="s">
        <v>47565</v>
      </c>
      <c r="T6913" t="s">
        <v>49107</v>
      </c>
      <c r="U6913" t="s">
        <v>55487</v>
      </c>
      <c r="W6913" t="s">
        <v>45491</v>
      </c>
      <c r="X6913" t="s">
        <v>47432</v>
      </c>
    </row>
    <row r="6914" spans="1:24">
      <c r="A6914">
        <f>HYPERLINK("https://www.philgeps.gov.ph/GEPSNONPILOT/Tender/SplashBidNoticeAbstractUI.aspx?menuIndex=3&amp;refID=7156677&amp;Result=3","7156677")</f>
        <v>0</v>
      </c>
      <c r="B6914" t="s">
        <v>2448</v>
      </c>
      <c r="C6914" t="s">
        <v>10401</v>
      </c>
      <c r="D6914" t="s">
        <v>19055</v>
      </c>
      <c r="E6914" t="s">
        <v>25118</v>
      </c>
      <c r="F6914" t="s">
        <v>32831</v>
      </c>
      <c r="G6914" t="s">
        <v>32838</v>
      </c>
      <c r="H6914" t="s">
        <v>32848</v>
      </c>
      <c r="I6914" t="s">
        <v>4558</v>
      </c>
      <c r="J6914" t="s">
        <v>35082</v>
      </c>
      <c r="K6914" t="s">
        <v>42729</v>
      </c>
      <c r="M6914" t="s">
        <v>45646</v>
      </c>
      <c r="N6914" t="s">
        <v>47424</v>
      </c>
      <c r="O6914" t="s">
        <v>47425</v>
      </c>
      <c r="P6914">
        <v>0</v>
      </c>
      <c r="Q6914">
        <v>0</v>
      </c>
      <c r="R6914" t="s">
        <v>47431</v>
      </c>
      <c r="S6914" t="s">
        <v>47565</v>
      </c>
      <c r="T6914" t="s">
        <v>49166</v>
      </c>
      <c r="U6914" t="s">
        <v>55488</v>
      </c>
      <c r="W6914" t="s">
        <v>45646</v>
      </c>
      <c r="X6914" t="s">
        <v>47432</v>
      </c>
    </row>
    <row r="6915" spans="1:24">
      <c r="A6915">
        <f>HYPERLINK("https://www.philgeps.gov.ph/GEPSNONPILOT/Tender/SplashBidNoticeAbstractUI.aspx?menuIndex=3&amp;refID=7156674&amp;Result=3","7156674")</f>
        <v>0</v>
      </c>
      <c r="B6915" t="s">
        <v>2385</v>
      </c>
      <c r="C6915" t="s">
        <v>10402</v>
      </c>
      <c r="D6915" t="s">
        <v>19023</v>
      </c>
      <c r="E6915" t="s">
        <v>25119</v>
      </c>
      <c r="F6915" t="s">
        <v>32831</v>
      </c>
      <c r="G6915" t="s">
        <v>32839</v>
      </c>
      <c r="H6915" t="s">
        <v>32849</v>
      </c>
      <c r="I6915" t="s">
        <v>4177</v>
      </c>
      <c r="J6915" t="s">
        <v>35531</v>
      </c>
      <c r="K6915" t="s">
        <v>42730</v>
      </c>
      <c r="M6915" t="s">
        <v>45575</v>
      </c>
      <c r="N6915" t="s">
        <v>47424</v>
      </c>
      <c r="O6915" t="s">
        <v>47425</v>
      </c>
      <c r="P6915">
        <v>0</v>
      </c>
      <c r="Q6915">
        <v>0</v>
      </c>
      <c r="R6915" t="s">
        <v>47431</v>
      </c>
      <c r="S6915" t="s">
        <v>47565</v>
      </c>
      <c r="T6915" t="s">
        <v>49236</v>
      </c>
      <c r="U6915" t="s">
        <v>55489</v>
      </c>
      <c r="W6915" t="s">
        <v>45575</v>
      </c>
      <c r="X6915" t="s">
        <v>47432</v>
      </c>
    </row>
    <row r="6916" spans="1:24">
      <c r="A6916">
        <f>HYPERLINK("https://www.philgeps.gov.ph/GEPSNONPILOT/Tender/SplashBidNoticeAbstractUI.aspx?menuIndex=3&amp;refID=7156683&amp;Result=3","7156683")</f>
        <v>0</v>
      </c>
      <c r="B6916" t="s">
        <v>663</v>
      </c>
      <c r="C6916" t="s">
        <v>10403</v>
      </c>
      <c r="D6916" t="s">
        <v>19026</v>
      </c>
      <c r="E6916" t="s">
        <v>25120</v>
      </c>
      <c r="F6916" t="s">
        <v>32831</v>
      </c>
      <c r="G6916" t="s">
        <v>32840</v>
      </c>
      <c r="H6916" t="s">
        <v>32848</v>
      </c>
      <c r="I6916" t="s">
        <v>32864</v>
      </c>
      <c r="J6916" t="s">
        <v>37339</v>
      </c>
      <c r="K6916" t="s">
        <v>42732</v>
      </c>
      <c r="M6916" t="s">
        <v>43681</v>
      </c>
      <c r="N6916" t="s">
        <v>47424</v>
      </c>
      <c r="O6916" t="s">
        <v>47425</v>
      </c>
      <c r="P6916">
        <v>0</v>
      </c>
      <c r="Q6916">
        <v>5</v>
      </c>
      <c r="R6916" t="s">
        <v>47431</v>
      </c>
      <c r="S6916" t="s">
        <v>47565</v>
      </c>
      <c r="T6916" t="s">
        <v>49235</v>
      </c>
      <c r="U6916" t="s">
        <v>49728</v>
      </c>
      <c r="W6916" t="s">
        <v>43681</v>
      </c>
      <c r="X6916" t="s">
        <v>47432</v>
      </c>
    </row>
    <row r="6917" spans="1:24">
      <c r="A6917">
        <f>HYPERLINK("https://www.philgeps.gov.ph/GEPSNONPILOT/Tender/SplashBidNoticeAbstractUI.aspx?menuIndex=3&amp;refID=7156671&amp;Result=3","7156671")</f>
        <v>0</v>
      </c>
      <c r="B6917" t="s">
        <v>2194</v>
      </c>
      <c r="C6917" t="s">
        <v>10404</v>
      </c>
      <c r="D6917" t="s">
        <v>19054</v>
      </c>
      <c r="E6917" t="s">
        <v>25121</v>
      </c>
      <c r="F6917" t="s">
        <v>32831</v>
      </c>
      <c r="G6917" t="s">
        <v>32839</v>
      </c>
      <c r="H6917" t="s">
        <v>32848</v>
      </c>
      <c r="I6917" t="s">
        <v>4776</v>
      </c>
      <c r="J6917" t="s">
        <v>33133</v>
      </c>
      <c r="K6917" t="s">
        <v>42726</v>
      </c>
      <c r="M6917" t="s">
        <v>45374</v>
      </c>
      <c r="N6917" t="s">
        <v>47424</v>
      </c>
      <c r="O6917" t="s">
        <v>47425</v>
      </c>
      <c r="P6917">
        <v>0</v>
      </c>
      <c r="Q6917">
        <v>1</v>
      </c>
      <c r="R6917" t="s">
        <v>47431</v>
      </c>
      <c r="S6917" t="s">
        <v>47565</v>
      </c>
      <c r="T6917" t="s">
        <v>49061</v>
      </c>
      <c r="U6917" t="s">
        <v>55490</v>
      </c>
      <c r="W6917" t="s">
        <v>45374</v>
      </c>
      <c r="X6917" t="s">
        <v>47432</v>
      </c>
    </row>
    <row r="6918" spans="1:24">
      <c r="A6918">
        <f>HYPERLINK("https://www.philgeps.gov.ph/GEPSNONPILOT/Tender/SplashBidNoticeAbstractUI.aspx?menuIndex=3&amp;refID=7156678&amp;Result=3","7156678")</f>
        <v>0</v>
      </c>
      <c r="B6918" t="s">
        <v>725</v>
      </c>
      <c r="C6918" t="s">
        <v>10405</v>
      </c>
      <c r="D6918" t="s">
        <v>19052</v>
      </c>
      <c r="E6918" t="s">
        <v>25122</v>
      </c>
      <c r="F6918" t="s">
        <v>32831</v>
      </c>
      <c r="G6918" t="s">
        <v>32838</v>
      </c>
      <c r="H6918" t="s">
        <v>32850</v>
      </c>
      <c r="I6918" t="s">
        <v>32864</v>
      </c>
      <c r="J6918" t="s">
        <v>32978</v>
      </c>
      <c r="K6918" t="s">
        <v>42727</v>
      </c>
      <c r="M6918" t="s">
        <v>43793</v>
      </c>
      <c r="N6918" t="s">
        <v>47424</v>
      </c>
      <c r="O6918" t="s">
        <v>47425</v>
      </c>
      <c r="P6918">
        <v>0</v>
      </c>
      <c r="Q6918">
        <v>3</v>
      </c>
      <c r="R6918" t="s">
        <v>47431</v>
      </c>
      <c r="S6918" t="s">
        <v>47565</v>
      </c>
      <c r="T6918" t="s">
        <v>49237</v>
      </c>
      <c r="U6918" t="s">
        <v>55491</v>
      </c>
      <c r="W6918" t="s">
        <v>43793</v>
      </c>
      <c r="X6918" t="s">
        <v>47432</v>
      </c>
    </row>
    <row r="6919" spans="1:24">
      <c r="A6919">
        <f>HYPERLINK("https://www.philgeps.gov.ph/GEPSNONPILOT/Tender/SplashBidNoticeAbstractUI.aspx?menuIndex=3&amp;refID=7156666&amp;Result=3","7156666")</f>
        <v>0</v>
      </c>
      <c r="B6919" t="s">
        <v>2449</v>
      </c>
      <c r="C6919" t="s">
        <v>4942</v>
      </c>
      <c r="D6919" t="s">
        <v>19017</v>
      </c>
      <c r="E6919" t="s">
        <v>25123</v>
      </c>
      <c r="F6919" t="s">
        <v>32831</v>
      </c>
      <c r="G6919" t="s">
        <v>32838</v>
      </c>
      <c r="H6919" t="s">
        <v>32850</v>
      </c>
      <c r="I6919" t="s">
        <v>32864</v>
      </c>
      <c r="J6919" t="s">
        <v>37340</v>
      </c>
      <c r="K6919" t="s">
        <v>42776</v>
      </c>
      <c r="M6919" t="s">
        <v>45647</v>
      </c>
      <c r="N6919" t="s">
        <v>47424</v>
      </c>
      <c r="O6919" t="s">
        <v>47425</v>
      </c>
      <c r="P6919">
        <v>0</v>
      </c>
      <c r="Q6919">
        <v>7</v>
      </c>
      <c r="R6919" t="s">
        <v>47431</v>
      </c>
      <c r="S6919" t="s">
        <v>47565</v>
      </c>
      <c r="T6919" t="s">
        <v>49238</v>
      </c>
      <c r="U6919" t="s">
        <v>55492</v>
      </c>
      <c r="V6919" t="s">
        <v>63391</v>
      </c>
      <c r="W6919" t="s">
        <v>45647</v>
      </c>
      <c r="X6919" t="s">
        <v>47432</v>
      </c>
    </row>
    <row r="6920" spans="1:24">
      <c r="A6920">
        <f>HYPERLINK("https://www.philgeps.gov.ph/GEPSNONPILOT/Tender/SplashBidNoticeAbstractUI.aspx?menuIndex=3&amp;refID=7156664&amp;Result=3","7156664")</f>
        <v>0</v>
      </c>
      <c r="B6920" t="s">
        <v>688</v>
      </c>
      <c r="C6920" t="s">
        <v>4431</v>
      </c>
      <c r="E6920" t="s">
        <v>25124</v>
      </c>
      <c r="F6920" t="s">
        <v>32831</v>
      </c>
      <c r="G6920" t="s">
        <v>32838</v>
      </c>
      <c r="H6920" t="s">
        <v>32848</v>
      </c>
      <c r="I6920" t="s">
        <v>32857</v>
      </c>
      <c r="J6920" t="s">
        <v>37341</v>
      </c>
      <c r="K6920" t="s">
        <v>42732</v>
      </c>
      <c r="M6920" t="s">
        <v>43707</v>
      </c>
      <c r="N6920" t="s">
        <v>47424</v>
      </c>
      <c r="O6920" t="s">
        <v>47425</v>
      </c>
      <c r="P6920">
        <v>0</v>
      </c>
      <c r="Q6920">
        <v>2</v>
      </c>
      <c r="R6920" t="s">
        <v>47431</v>
      </c>
      <c r="S6920" t="s">
        <v>47565</v>
      </c>
      <c r="T6920" t="s">
        <v>49259</v>
      </c>
      <c r="U6920" t="s">
        <v>55493</v>
      </c>
      <c r="W6920" t="s">
        <v>43707</v>
      </c>
      <c r="X6920" t="s">
        <v>47432</v>
      </c>
    </row>
    <row r="6921" spans="1:24">
      <c r="A6921">
        <f>HYPERLINK("https://www.philgeps.gov.ph/GEPSNONPILOT/Tender/SplashBidNoticeAbstractUI.aspx?menuIndex=3&amp;refID=7156662&amp;Result=3","7156662")</f>
        <v>0</v>
      </c>
      <c r="B6921" t="s">
        <v>27</v>
      </c>
      <c r="C6921" t="s">
        <v>10406</v>
      </c>
      <c r="D6921" t="s">
        <v>19020</v>
      </c>
      <c r="E6921" t="s">
        <v>25125</v>
      </c>
      <c r="F6921" t="s">
        <v>32831</v>
      </c>
      <c r="G6921" t="s">
        <v>32839</v>
      </c>
      <c r="H6921" t="s">
        <v>32848</v>
      </c>
      <c r="I6921" t="s">
        <v>32931</v>
      </c>
      <c r="J6921" t="s">
        <v>37342</v>
      </c>
      <c r="K6921" t="s">
        <v>42730</v>
      </c>
      <c r="M6921" t="s">
        <v>43309</v>
      </c>
      <c r="N6921" t="s">
        <v>47424</v>
      </c>
      <c r="O6921" t="s">
        <v>47425</v>
      </c>
      <c r="P6921">
        <v>0</v>
      </c>
      <c r="Q6921">
        <v>6</v>
      </c>
      <c r="R6921" t="s">
        <v>47431</v>
      </c>
      <c r="S6921" t="s">
        <v>47565</v>
      </c>
      <c r="T6921" t="s">
        <v>49179</v>
      </c>
      <c r="U6921" t="s">
        <v>55494</v>
      </c>
      <c r="W6921" t="s">
        <v>43309</v>
      </c>
      <c r="X6921" t="s">
        <v>47432</v>
      </c>
    </row>
    <row r="6922" spans="1:24">
      <c r="A6922">
        <f>HYPERLINK("https://www.philgeps.gov.ph/GEPSNONPILOT/Tender/SplashBidNoticeAbstractUI.aspx?menuIndex=3&amp;refID=7156659&amp;Result=3","7156659")</f>
        <v>0</v>
      </c>
      <c r="B6922" t="s">
        <v>2428</v>
      </c>
      <c r="C6922" t="s">
        <v>10407</v>
      </c>
      <c r="D6922" t="s">
        <v>19036</v>
      </c>
      <c r="E6922" t="s">
        <v>25126</v>
      </c>
      <c r="F6922" t="s">
        <v>32831</v>
      </c>
      <c r="G6922" t="s">
        <v>32838</v>
      </c>
      <c r="H6922" t="s">
        <v>32848</v>
      </c>
      <c r="I6922" t="s">
        <v>32867</v>
      </c>
      <c r="J6922" t="s">
        <v>37343</v>
      </c>
      <c r="K6922" t="s">
        <v>42726</v>
      </c>
      <c r="M6922" t="s">
        <v>45625</v>
      </c>
      <c r="N6922" t="s">
        <v>47424</v>
      </c>
      <c r="O6922" t="s">
        <v>47425</v>
      </c>
      <c r="P6922">
        <v>0</v>
      </c>
      <c r="Q6922">
        <v>3</v>
      </c>
      <c r="R6922" t="s">
        <v>47431</v>
      </c>
      <c r="S6922" t="s">
        <v>47565</v>
      </c>
      <c r="T6922" t="s">
        <v>49127</v>
      </c>
      <c r="U6922" t="s">
        <v>55495</v>
      </c>
      <c r="W6922" t="s">
        <v>45625</v>
      </c>
      <c r="X6922" t="s">
        <v>47432</v>
      </c>
    </row>
    <row r="6923" spans="1:24">
      <c r="A6923">
        <f>HYPERLINK("https://www.philgeps.gov.ph/GEPSNONPILOT/Tender/SplashBidNoticeAbstractUI.aspx?menuIndex=3&amp;refID=7156680&amp;Result=3","7156680")</f>
        <v>0</v>
      </c>
      <c r="B6923" t="s">
        <v>262</v>
      </c>
      <c r="C6923" t="s">
        <v>10408</v>
      </c>
      <c r="D6923" t="s">
        <v>19049</v>
      </c>
      <c r="E6923" t="s">
        <v>25127</v>
      </c>
      <c r="F6923" t="s">
        <v>32831</v>
      </c>
      <c r="G6923" t="s">
        <v>32838</v>
      </c>
      <c r="H6923" t="s">
        <v>32848</v>
      </c>
      <c r="I6923" t="s">
        <v>32862</v>
      </c>
      <c r="J6923" t="s">
        <v>37344</v>
      </c>
      <c r="K6923" t="s">
        <v>42726</v>
      </c>
      <c r="M6923" t="s">
        <v>43261</v>
      </c>
      <c r="N6923" t="s">
        <v>47424</v>
      </c>
      <c r="O6923" t="s">
        <v>47425</v>
      </c>
      <c r="P6923">
        <v>0</v>
      </c>
      <c r="Q6923">
        <v>0</v>
      </c>
      <c r="R6923" t="s">
        <v>47431</v>
      </c>
      <c r="S6923" t="s">
        <v>47565</v>
      </c>
      <c r="T6923" t="s">
        <v>49397</v>
      </c>
      <c r="U6923" t="s">
        <v>55496</v>
      </c>
      <c r="W6923" t="s">
        <v>43261</v>
      </c>
      <c r="X6923" t="s">
        <v>47432</v>
      </c>
    </row>
    <row r="6924" spans="1:24">
      <c r="A6924">
        <f>HYPERLINK("https://www.philgeps.gov.ph/GEPSNONPILOT/Tender/SplashBidNoticeAbstractUI.aspx?menuIndex=3&amp;refID=7156696&amp;Result=3","7156696")</f>
        <v>0</v>
      </c>
      <c r="B6924" t="s">
        <v>1136</v>
      </c>
      <c r="C6924" t="s">
        <v>10409</v>
      </c>
      <c r="D6924" t="s">
        <v>19090</v>
      </c>
      <c r="E6924" t="s">
        <v>25128</v>
      </c>
      <c r="F6924" t="s">
        <v>32831</v>
      </c>
      <c r="G6924" t="s">
        <v>32839</v>
      </c>
      <c r="H6924" t="s">
        <v>32848</v>
      </c>
      <c r="I6924" t="s">
        <v>7416</v>
      </c>
      <c r="J6924" t="s">
        <v>37345</v>
      </c>
      <c r="K6924" t="s">
        <v>42748</v>
      </c>
      <c r="M6924" t="s">
        <v>44199</v>
      </c>
      <c r="N6924" t="s">
        <v>47424</v>
      </c>
      <c r="O6924" t="s">
        <v>47425</v>
      </c>
      <c r="Q6924">
        <v>1</v>
      </c>
      <c r="R6924" t="s">
        <v>47431</v>
      </c>
      <c r="S6924" t="s">
        <v>47578</v>
      </c>
      <c r="T6924" t="s">
        <v>49056</v>
      </c>
      <c r="U6924" t="s">
        <v>55368</v>
      </c>
      <c r="W6924" t="s">
        <v>44199</v>
      </c>
      <c r="X6924" t="s">
        <v>47432</v>
      </c>
    </row>
    <row r="6925" spans="1:24">
      <c r="A6925">
        <f>HYPERLINK("https://www.philgeps.gov.ph/GEPSNONPILOT/Tender/SplashBidNoticeAbstractUI.aspx?menuIndex=3&amp;refID=7156658&amp;Result=3","7156658")</f>
        <v>0</v>
      </c>
      <c r="B6925" t="s">
        <v>2446</v>
      </c>
      <c r="C6925" t="s">
        <v>10410</v>
      </c>
      <c r="D6925" t="s">
        <v>19034</v>
      </c>
      <c r="E6925" t="s">
        <v>25129</v>
      </c>
      <c r="F6925" t="s">
        <v>32831</v>
      </c>
      <c r="G6925" t="s">
        <v>32841</v>
      </c>
      <c r="H6925" t="s">
        <v>32849</v>
      </c>
      <c r="I6925" t="s">
        <v>32919</v>
      </c>
      <c r="J6925" t="s">
        <v>37346</v>
      </c>
      <c r="K6925" t="s">
        <v>42770</v>
      </c>
      <c r="M6925" t="s">
        <v>45644</v>
      </c>
      <c r="N6925" t="s">
        <v>47424</v>
      </c>
      <c r="O6925" t="s">
        <v>47425</v>
      </c>
      <c r="P6925">
        <v>0</v>
      </c>
      <c r="Q6925">
        <v>0</v>
      </c>
      <c r="R6925" t="s">
        <v>47431</v>
      </c>
      <c r="S6925" t="s">
        <v>47565</v>
      </c>
      <c r="T6925" t="s">
        <v>49079</v>
      </c>
      <c r="U6925" t="s">
        <v>55497</v>
      </c>
      <c r="W6925" t="s">
        <v>45644</v>
      </c>
      <c r="X6925" t="s">
        <v>47432</v>
      </c>
    </row>
    <row r="6926" spans="1:24">
      <c r="A6926">
        <f>HYPERLINK("https://www.philgeps.gov.ph/GEPSNONPILOT/Tender/SplashBidNoticeAbstractUI.aspx?menuIndex=3&amp;refID=7156673&amp;Result=3","7156673")</f>
        <v>0</v>
      </c>
      <c r="B6926" t="s">
        <v>2382</v>
      </c>
      <c r="C6926" t="s">
        <v>10411</v>
      </c>
      <c r="D6926" t="s">
        <v>19027</v>
      </c>
      <c r="E6926" t="s">
        <v>25130</v>
      </c>
      <c r="F6926" t="s">
        <v>32831</v>
      </c>
      <c r="G6926" t="s">
        <v>32838</v>
      </c>
      <c r="H6926" t="s">
        <v>32848</v>
      </c>
      <c r="I6926" t="s">
        <v>9577</v>
      </c>
      <c r="J6926" t="s">
        <v>37347</v>
      </c>
      <c r="K6926" t="s">
        <v>42759</v>
      </c>
      <c r="M6926" t="s">
        <v>45571</v>
      </c>
      <c r="N6926" t="s">
        <v>47424</v>
      </c>
      <c r="O6926" t="s">
        <v>47425</v>
      </c>
      <c r="P6926">
        <v>0</v>
      </c>
      <c r="Q6926">
        <v>1</v>
      </c>
      <c r="R6926" t="s">
        <v>47431</v>
      </c>
      <c r="S6926" t="s">
        <v>47565</v>
      </c>
      <c r="T6926" t="s">
        <v>49124</v>
      </c>
      <c r="U6926" t="s">
        <v>55498</v>
      </c>
      <c r="W6926" t="s">
        <v>45571</v>
      </c>
      <c r="X6926" t="s">
        <v>47432</v>
      </c>
    </row>
    <row r="6927" spans="1:24">
      <c r="A6927">
        <f>HYPERLINK("https://www.philgeps.gov.ph/GEPSNONPILOT/Tender/SplashBidNoticeAbstractUI.aspx?menuIndex=3&amp;refID=7156624&amp;Result=3","7156624")</f>
        <v>0</v>
      </c>
      <c r="B6927" t="s">
        <v>721</v>
      </c>
      <c r="C6927" t="s">
        <v>10412</v>
      </c>
      <c r="D6927" t="s">
        <v>19018</v>
      </c>
      <c r="E6927" t="s">
        <v>25131</v>
      </c>
      <c r="F6927" t="s">
        <v>32831</v>
      </c>
      <c r="G6927" t="s">
        <v>32839</v>
      </c>
      <c r="H6927" t="s">
        <v>32848</v>
      </c>
      <c r="I6927" t="s">
        <v>7751</v>
      </c>
      <c r="J6927" t="s">
        <v>36730</v>
      </c>
      <c r="K6927" t="s">
        <v>42732</v>
      </c>
      <c r="M6927" t="s">
        <v>43742</v>
      </c>
      <c r="N6927" t="s">
        <v>47424</v>
      </c>
      <c r="O6927" t="s">
        <v>47425</v>
      </c>
      <c r="P6927">
        <v>0</v>
      </c>
      <c r="Q6927">
        <v>5</v>
      </c>
      <c r="R6927" t="s">
        <v>47431</v>
      </c>
      <c r="S6927" t="s">
        <v>47565</v>
      </c>
      <c r="T6927" t="s">
        <v>49334</v>
      </c>
      <c r="U6927" t="s">
        <v>55499</v>
      </c>
      <c r="W6927" t="s">
        <v>43742</v>
      </c>
      <c r="X6927" t="s">
        <v>47432</v>
      </c>
    </row>
    <row r="6928" spans="1:24">
      <c r="A6928">
        <f>HYPERLINK("https://www.philgeps.gov.ph/GEPSNONPILOT/Tender/SplashBidNoticeAbstractUI.aspx?menuIndex=3&amp;refID=7156623&amp;Result=3","7156623")</f>
        <v>0</v>
      </c>
      <c r="B6928" t="s">
        <v>1654</v>
      </c>
      <c r="C6928" t="s">
        <v>10413</v>
      </c>
      <c r="D6928" t="s">
        <v>19058</v>
      </c>
      <c r="E6928" t="s">
        <v>25132</v>
      </c>
      <c r="F6928" t="s">
        <v>32831</v>
      </c>
      <c r="G6928" t="s">
        <v>32838</v>
      </c>
      <c r="H6928" t="s">
        <v>32848</v>
      </c>
      <c r="I6928" t="s">
        <v>4438</v>
      </c>
      <c r="J6928" t="s">
        <v>37348</v>
      </c>
      <c r="K6928" t="s">
        <v>42726</v>
      </c>
      <c r="M6928" t="s">
        <v>44771</v>
      </c>
      <c r="N6928" t="s">
        <v>47424</v>
      </c>
      <c r="O6928" t="s">
        <v>47425</v>
      </c>
      <c r="P6928">
        <v>0</v>
      </c>
      <c r="Q6928">
        <v>0</v>
      </c>
      <c r="R6928" t="s">
        <v>47431</v>
      </c>
      <c r="S6928" t="s">
        <v>47565</v>
      </c>
      <c r="T6928" t="s">
        <v>49239</v>
      </c>
      <c r="U6928" t="s">
        <v>55500</v>
      </c>
      <c r="W6928" t="s">
        <v>44771</v>
      </c>
      <c r="X6928" t="s">
        <v>47432</v>
      </c>
    </row>
    <row r="6929" spans="1:24">
      <c r="A6929">
        <f>HYPERLINK("https://www.philgeps.gov.ph/GEPSNONPILOT/Tender/SplashBidNoticeAbstractUI.aspx?menuIndex=3&amp;refID=7156520&amp;Result=3","7156520")</f>
        <v>0</v>
      </c>
      <c r="B6929" t="s">
        <v>2425</v>
      </c>
      <c r="C6929" t="s">
        <v>10414</v>
      </c>
      <c r="D6929" t="s">
        <v>19050</v>
      </c>
      <c r="E6929" t="s">
        <v>25133</v>
      </c>
      <c r="F6929" t="s">
        <v>32831</v>
      </c>
      <c r="G6929" t="s">
        <v>32838</v>
      </c>
      <c r="H6929" t="s">
        <v>32848</v>
      </c>
      <c r="I6929" t="s">
        <v>32883</v>
      </c>
      <c r="J6929" t="s">
        <v>32978</v>
      </c>
      <c r="K6929" t="s">
        <v>42730</v>
      </c>
      <c r="M6929" t="s">
        <v>45622</v>
      </c>
      <c r="N6929" t="s">
        <v>47424</v>
      </c>
      <c r="O6929" t="s">
        <v>47425</v>
      </c>
      <c r="P6929">
        <v>0</v>
      </c>
      <c r="Q6929">
        <v>1</v>
      </c>
      <c r="R6929" t="s">
        <v>47431</v>
      </c>
      <c r="S6929" t="s">
        <v>47565</v>
      </c>
      <c r="T6929" t="s">
        <v>49127</v>
      </c>
      <c r="U6929" t="s">
        <v>55501</v>
      </c>
      <c r="W6929" t="s">
        <v>45622</v>
      </c>
      <c r="X6929" t="s">
        <v>47432</v>
      </c>
    </row>
    <row r="6930" spans="1:24">
      <c r="A6930">
        <f>HYPERLINK("https://www.philgeps.gov.ph/GEPSNONPILOT/Tender/SplashBidNoticeAbstractUI.aspx?menuIndex=3&amp;refID=7156676&amp;Result=3","7156676")</f>
        <v>0</v>
      </c>
      <c r="B6930" t="s">
        <v>1609</v>
      </c>
      <c r="C6930" t="s">
        <v>10415</v>
      </c>
      <c r="D6930" t="s">
        <v>19060</v>
      </c>
      <c r="E6930" t="s">
        <v>25134</v>
      </c>
      <c r="F6930" t="s">
        <v>32831</v>
      </c>
      <c r="G6930" t="s">
        <v>32839</v>
      </c>
      <c r="H6930" t="s">
        <v>32849</v>
      </c>
      <c r="I6930" t="s">
        <v>4177</v>
      </c>
      <c r="J6930" t="s">
        <v>37349</v>
      </c>
      <c r="K6930" t="s">
        <v>42898</v>
      </c>
      <c r="M6930" t="s">
        <v>44725</v>
      </c>
      <c r="N6930" t="s">
        <v>47424</v>
      </c>
      <c r="O6930" t="s">
        <v>47425</v>
      </c>
      <c r="P6930">
        <v>0</v>
      </c>
      <c r="Q6930">
        <v>1</v>
      </c>
      <c r="R6930" t="s">
        <v>47431</v>
      </c>
      <c r="S6930" t="s">
        <v>47565</v>
      </c>
      <c r="T6930" t="s">
        <v>49236</v>
      </c>
      <c r="U6930" t="s">
        <v>55502</v>
      </c>
      <c r="V6930" t="s">
        <v>62833</v>
      </c>
      <c r="W6930" t="s">
        <v>44725</v>
      </c>
      <c r="X6930" t="s">
        <v>47432</v>
      </c>
    </row>
    <row r="6931" spans="1:24">
      <c r="A6931">
        <f>HYPERLINK("https://www.philgeps.gov.ph/GEPSNONPILOT/Tender/SplashBidNoticeAbstractUI.aspx?menuIndex=3&amp;refID=7156661&amp;Result=3","7156661")</f>
        <v>0</v>
      </c>
      <c r="B6931" t="s">
        <v>2422</v>
      </c>
      <c r="C6931" t="s">
        <v>10416</v>
      </c>
      <c r="D6931" t="s">
        <v>19068</v>
      </c>
      <c r="E6931" t="s">
        <v>20202</v>
      </c>
      <c r="F6931" t="s">
        <v>32831</v>
      </c>
      <c r="G6931" t="s">
        <v>32839</v>
      </c>
      <c r="H6931" t="s">
        <v>32848</v>
      </c>
      <c r="I6931" t="s">
        <v>4776</v>
      </c>
      <c r="J6931" t="s">
        <v>33072</v>
      </c>
      <c r="K6931" t="s">
        <v>42745</v>
      </c>
      <c r="M6931" t="s">
        <v>45618</v>
      </c>
      <c r="N6931" t="s">
        <v>47424</v>
      </c>
      <c r="O6931" t="s">
        <v>47425</v>
      </c>
      <c r="P6931">
        <v>0</v>
      </c>
      <c r="Q6931">
        <v>1</v>
      </c>
      <c r="R6931" t="s">
        <v>47431</v>
      </c>
      <c r="S6931" t="s">
        <v>47565</v>
      </c>
      <c r="T6931" t="s">
        <v>49231</v>
      </c>
      <c r="U6931" t="s">
        <v>55503</v>
      </c>
      <c r="W6931" t="s">
        <v>45618</v>
      </c>
      <c r="X6931" t="s">
        <v>47432</v>
      </c>
    </row>
    <row r="6932" spans="1:24">
      <c r="A6932">
        <f>HYPERLINK("https://www.philgeps.gov.ph/GEPSNONPILOT/Tender/SplashBidNoticeAbstractUI.aspx?menuIndex=3&amp;refID=7156377&amp;Result=3","7156377")</f>
        <v>0</v>
      </c>
      <c r="B6932" t="s">
        <v>2450</v>
      </c>
      <c r="C6932" t="s">
        <v>10417</v>
      </c>
      <c r="E6932" t="s">
        <v>25135</v>
      </c>
      <c r="F6932" t="s">
        <v>32831</v>
      </c>
      <c r="G6932" t="s">
        <v>32839</v>
      </c>
      <c r="H6932" t="s">
        <v>32848</v>
      </c>
      <c r="I6932" t="s">
        <v>32855</v>
      </c>
      <c r="J6932" t="s">
        <v>37350</v>
      </c>
      <c r="K6932" t="s">
        <v>42732</v>
      </c>
      <c r="M6932" t="s">
        <v>45648</v>
      </c>
      <c r="N6932" t="s">
        <v>47424</v>
      </c>
      <c r="O6932" t="s">
        <v>47425</v>
      </c>
      <c r="P6932">
        <v>0</v>
      </c>
      <c r="Q6932">
        <v>1</v>
      </c>
      <c r="R6932" t="s">
        <v>47431</v>
      </c>
      <c r="S6932" t="s">
        <v>47565</v>
      </c>
      <c r="T6932" t="s">
        <v>49105</v>
      </c>
      <c r="U6932" t="s">
        <v>55504</v>
      </c>
      <c r="W6932" t="s">
        <v>45648</v>
      </c>
      <c r="X6932" t="s">
        <v>47432</v>
      </c>
    </row>
    <row r="6933" spans="1:24">
      <c r="A6933">
        <f>HYPERLINK("https://www.philgeps.gov.ph/GEPSNONPILOT/Tender/SplashBidNoticeAbstractUI.aspx?menuIndex=3&amp;refID=7156375&amp;Result=3","7156375")</f>
        <v>0</v>
      </c>
      <c r="B6933" t="s">
        <v>2306</v>
      </c>
      <c r="C6933" t="s">
        <v>10418</v>
      </c>
      <c r="D6933" t="s">
        <v>19074</v>
      </c>
      <c r="E6933" t="s">
        <v>19529</v>
      </c>
      <c r="F6933" t="s">
        <v>32831</v>
      </c>
      <c r="G6933" t="s">
        <v>32838</v>
      </c>
      <c r="H6933" t="s">
        <v>32848</v>
      </c>
      <c r="I6933" t="s">
        <v>32867</v>
      </c>
      <c r="J6933" t="s">
        <v>35602</v>
      </c>
      <c r="K6933" t="s">
        <v>42727</v>
      </c>
      <c r="M6933" t="s">
        <v>45491</v>
      </c>
      <c r="N6933" t="s">
        <v>47424</v>
      </c>
      <c r="O6933" t="s">
        <v>47425</v>
      </c>
      <c r="P6933">
        <v>0</v>
      </c>
      <c r="Q6933">
        <v>10</v>
      </c>
      <c r="R6933" t="s">
        <v>47431</v>
      </c>
      <c r="S6933" t="s">
        <v>47565</v>
      </c>
      <c r="T6933" t="s">
        <v>49107</v>
      </c>
      <c r="U6933" t="s">
        <v>55505</v>
      </c>
      <c r="W6933" t="s">
        <v>45491</v>
      </c>
      <c r="X6933" t="s">
        <v>47432</v>
      </c>
    </row>
    <row r="6934" spans="1:24">
      <c r="A6934">
        <f>HYPERLINK("https://www.philgeps.gov.ph/GEPSNONPILOT/Tender/SplashBidNoticeAbstractUI.aspx?menuIndex=3&amp;refID=7155450&amp;Result=3","7155450")</f>
        <v>0</v>
      </c>
      <c r="B6934" t="s">
        <v>2248</v>
      </c>
      <c r="C6934" t="s">
        <v>10419</v>
      </c>
      <c r="D6934" t="s">
        <v>19022</v>
      </c>
      <c r="E6934" t="s">
        <v>25136</v>
      </c>
      <c r="F6934" t="s">
        <v>32831</v>
      </c>
      <c r="G6934" t="s">
        <v>32838</v>
      </c>
      <c r="H6934" t="s">
        <v>32848</v>
      </c>
      <c r="I6934" t="s">
        <v>4303</v>
      </c>
      <c r="J6934" t="s">
        <v>37351</v>
      </c>
      <c r="K6934" t="s">
        <v>42732</v>
      </c>
      <c r="M6934" t="s">
        <v>45429</v>
      </c>
      <c r="N6934" t="s">
        <v>47424</v>
      </c>
      <c r="O6934" t="s">
        <v>47425</v>
      </c>
      <c r="P6934">
        <v>0</v>
      </c>
      <c r="Q6934">
        <v>0</v>
      </c>
      <c r="R6934" t="s">
        <v>47431</v>
      </c>
      <c r="S6934" t="s">
        <v>47565</v>
      </c>
      <c r="T6934" t="s">
        <v>49114</v>
      </c>
      <c r="U6934" t="s">
        <v>54935</v>
      </c>
      <c r="V6934" t="s">
        <v>62754</v>
      </c>
      <c r="W6934" t="s">
        <v>45429</v>
      </c>
      <c r="X6934" t="s">
        <v>47432</v>
      </c>
    </row>
    <row r="6935" spans="1:24">
      <c r="A6935">
        <f>HYPERLINK("https://www.philgeps.gov.ph/GEPSNONPILOT/Tender/SplashBidNoticeAbstractUI.aspx?menuIndex=3&amp;refID=7155447&amp;Result=3","7155447")</f>
        <v>0</v>
      </c>
      <c r="B6935" t="s">
        <v>661</v>
      </c>
      <c r="C6935" t="s">
        <v>10420</v>
      </c>
      <c r="D6935" t="s">
        <v>19058</v>
      </c>
      <c r="E6935" t="s">
        <v>25137</v>
      </c>
      <c r="F6935" t="s">
        <v>32831</v>
      </c>
      <c r="G6935" t="s">
        <v>32838</v>
      </c>
      <c r="H6935" t="s">
        <v>32848</v>
      </c>
      <c r="I6935" t="s">
        <v>32870</v>
      </c>
      <c r="J6935" t="s">
        <v>33026</v>
      </c>
      <c r="K6935" t="s">
        <v>42726</v>
      </c>
      <c r="M6935" t="s">
        <v>43679</v>
      </c>
      <c r="N6935" t="s">
        <v>47424</v>
      </c>
      <c r="O6935" t="s">
        <v>47425</v>
      </c>
      <c r="P6935">
        <v>0</v>
      </c>
      <c r="Q6935">
        <v>0</v>
      </c>
      <c r="R6935" t="s">
        <v>47431</v>
      </c>
      <c r="S6935" t="s">
        <v>47565</v>
      </c>
      <c r="T6935" t="s">
        <v>49237</v>
      </c>
      <c r="U6935" t="s">
        <v>52037</v>
      </c>
      <c r="W6935" t="s">
        <v>43679</v>
      </c>
      <c r="X6935" t="s">
        <v>47432</v>
      </c>
    </row>
    <row r="6936" spans="1:24">
      <c r="A6936">
        <f>HYPERLINK("https://www.philgeps.gov.ph/GEPSNONPILOT/Tender/SplashBidNoticeAbstractUI.aspx?menuIndex=3&amp;refID=7156518&amp;Result=3","7156518")</f>
        <v>0</v>
      </c>
      <c r="B6936" t="s">
        <v>2451</v>
      </c>
      <c r="C6936" t="s">
        <v>10421</v>
      </c>
      <c r="E6936" t="s">
        <v>25138</v>
      </c>
      <c r="F6936" t="s">
        <v>32831</v>
      </c>
      <c r="G6936" t="s">
        <v>32839</v>
      </c>
      <c r="H6936" t="s">
        <v>32848</v>
      </c>
      <c r="I6936" t="s">
        <v>4438</v>
      </c>
      <c r="J6936" t="s">
        <v>37352</v>
      </c>
      <c r="K6936" t="s">
        <v>42763</v>
      </c>
      <c r="M6936" t="s">
        <v>45649</v>
      </c>
      <c r="N6936" t="s">
        <v>47424</v>
      </c>
      <c r="O6936" t="s">
        <v>47425</v>
      </c>
      <c r="P6936">
        <v>0</v>
      </c>
      <c r="Q6936">
        <v>2</v>
      </c>
      <c r="R6936" t="s">
        <v>47431</v>
      </c>
      <c r="S6936" t="s">
        <v>47565</v>
      </c>
      <c r="T6936" t="s">
        <v>49065</v>
      </c>
      <c r="U6936" t="s">
        <v>55506</v>
      </c>
      <c r="W6936" t="s">
        <v>45649</v>
      </c>
      <c r="X6936" t="s">
        <v>47432</v>
      </c>
    </row>
    <row r="6937" spans="1:24">
      <c r="A6937">
        <f>HYPERLINK("https://www.philgeps.gov.ph/GEPSNONPILOT/Tender/SplashBidNoticeAbstractUI.aspx?menuIndex=3&amp;refID=7156589&amp;Result=3","7156589")</f>
        <v>0</v>
      </c>
      <c r="B6937" t="s">
        <v>2430</v>
      </c>
      <c r="C6937" t="s">
        <v>10422</v>
      </c>
      <c r="D6937" t="s">
        <v>19049</v>
      </c>
      <c r="E6937" t="s">
        <v>25139</v>
      </c>
      <c r="F6937" t="s">
        <v>32831</v>
      </c>
      <c r="G6937" t="s">
        <v>32838</v>
      </c>
      <c r="H6937" t="s">
        <v>32848</v>
      </c>
      <c r="I6937" t="s">
        <v>32870</v>
      </c>
      <c r="J6937" t="s">
        <v>37353</v>
      </c>
      <c r="K6937" t="s">
        <v>42748</v>
      </c>
      <c r="M6937" t="s">
        <v>45627</v>
      </c>
      <c r="N6937" t="s">
        <v>47424</v>
      </c>
      <c r="O6937" t="s">
        <v>47425</v>
      </c>
      <c r="P6937">
        <v>0</v>
      </c>
      <c r="Q6937">
        <v>0</v>
      </c>
      <c r="R6937" t="s">
        <v>47431</v>
      </c>
      <c r="S6937" t="s">
        <v>47565</v>
      </c>
      <c r="T6937" t="s">
        <v>49237</v>
      </c>
      <c r="U6937" t="s">
        <v>55429</v>
      </c>
      <c r="W6937" t="s">
        <v>45627</v>
      </c>
      <c r="X6937" t="s">
        <v>47432</v>
      </c>
    </row>
    <row r="6938" spans="1:24">
      <c r="A6938">
        <f>HYPERLINK("https://www.philgeps.gov.ph/GEPSNONPILOT/Tender/SplashBidNoticeAbstractUI.aspx?menuIndex=3&amp;refID=7156657&amp;Result=3","7156657")</f>
        <v>0</v>
      </c>
      <c r="B6938" t="s">
        <v>2452</v>
      </c>
      <c r="C6938" t="s">
        <v>10423</v>
      </c>
      <c r="D6938" t="s">
        <v>19044</v>
      </c>
      <c r="E6938" t="s">
        <v>25140</v>
      </c>
      <c r="F6938" t="s">
        <v>32831</v>
      </c>
      <c r="G6938" t="s">
        <v>32840</v>
      </c>
      <c r="H6938" t="s">
        <v>32848</v>
      </c>
      <c r="I6938" t="s">
        <v>32860</v>
      </c>
      <c r="J6938" t="s">
        <v>33175</v>
      </c>
      <c r="K6938" t="s">
        <v>42731</v>
      </c>
      <c r="M6938" t="s">
        <v>45650</v>
      </c>
      <c r="N6938" t="s">
        <v>47424</v>
      </c>
      <c r="O6938" t="s">
        <v>47425</v>
      </c>
      <c r="P6938">
        <v>0</v>
      </c>
      <c r="Q6938">
        <v>0</v>
      </c>
      <c r="R6938" t="s">
        <v>47431</v>
      </c>
      <c r="S6938" t="s">
        <v>47565</v>
      </c>
      <c r="T6938" t="s">
        <v>49108</v>
      </c>
      <c r="U6938" t="s">
        <v>55507</v>
      </c>
      <c r="W6938" t="s">
        <v>45650</v>
      </c>
      <c r="X6938" t="s">
        <v>47432</v>
      </c>
    </row>
    <row r="6939" spans="1:24">
      <c r="A6939">
        <f>HYPERLINK("https://www.philgeps.gov.ph/GEPSNONPILOT/Tender/SplashBidNoticeAbstractUI.aspx?menuIndex=3&amp;refID=7155393&amp;Result=3","7155393")</f>
        <v>0</v>
      </c>
      <c r="B6939" t="s">
        <v>2235</v>
      </c>
      <c r="C6939" t="s">
        <v>10424</v>
      </c>
      <c r="D6939" t="s">
        <v>19022</v>
      </c>
      <c r="E6939" t="s">
        <v>25141</v>
      </c>
      <c r="F6939" t="s">
        <v>32831</v>
      </c>
      <c r="G6939" t="s">
        <v>32838</v>
      </c>
      <c r="H6939" t="s">
        <v>32848</v>
      </c>
      <c r="I6939" t="s">
        <v>4435</v>
      </c>
      <c r="J6939" t="s">
        <v>33072</v>
      </c>
      <c r="K6939" t="s">
        <v>42726</v>
      </c>
      <c r="M6939" t="s">
        <v>45416</v>
      </c>
      <c r="N6939" t="s">
        <v>47424</v>
      </c>
      <c r="O6939" t="s">
        <v>47425</v>
      </c>
      <c r="P6939">
        <v>0</v>
      </c>
      <c r="Q6939">
        <v>0</v>
      </c>
      <c r="R6939" t="s">
        <v>47431</v>
      </c>
      <c r="S6939" t="s">
        <v>47565</v>
      </c>
      <c r="T6939" t="s">
        <v>49141</v>
      </c>
      <c r="U6939" t="s">
        <v>55508</v>
      </c>
      <c r="W6939" t="s">
        <v>45416</v>
      </c>
      <c r="X6939" t="s">
        <v>47432</v>
      </c>
    </row>
    <row r="6940" spans="1:24">
      <c r="A6940">
        <f>HYPERLINK("https://www.philgeps.gov.ph/GEPSNONPILOT/Tender/SplashBidNoticeAbstractUI.aspx?menuIndex=3&amp;refID=7156522&amp;Result=3","7156522")</f>
        <v>0</v>
      </c>
      <c r="B6940" t="s">
        <v>1894</v>
      </c>
      <c r="C6940" t="s">
        <v>10425</v>
      </c>
      <c r="D6940" t="s">
        <v>19092</v>
      </c>
      <c r="E6940" t="s">
        <v>25142</v>
      </c>
      <c r="F6940" t="s">
        <v>32831</v>
      </c>
      <c r="G6940" t="s">
        <v>32838</v>
      </c>
      <c r="H6940" t="s">
        <v>32848</v>
      </c>
      <c r="I6940" t="s">
        <v>9281</v>
      </c>
      <c r="J6940" t="s">
        <v>33041</v>
      </c>
      <c r="K6940" t="s">
        <v>42730</v>
      </c>
      <c r="M6940" t="s">
        <v>45041</v>
      </c>
      <c r="N6940" t="s">
        <v>47424</v>
      </c>
      <c r="O6940" t="s">
        <v>47425</v>
      </c>
      <c r="P6940">
        <v>0</v>
      </c>
      <c r="Q6940">
        <v>3</v>
      </c>
      <c r="R6940" t="s">
        <v>47431</v>
      </c>
      <c r="S6940" t="s">
        <v>47565</v>
      </c>
      <c r="T6940" t="s">
        <v>49166</v>
      </c>
      <c r="U6940" t="s">
        <v>53972</v>
      </c>
      <c r="W6940" t="s">
        <v>45041</v>
      </c>
      <c r="X6940" t="s">
        <v>47432</v>
      </c>
    </row>
    <row r="6941" spans="1:24">
      <c r="A6941">
        <f>HYPERLINK("https://www.philgeps.gov.ph/GEPSNONPILOT/Tender/SplashBidNoticeAbstractUI.aspx?menuIndex=3&amp;refID=7155449&amp;Result=3","7155449")</f>
        <v>0</v>
      </c>
      <c r="B6941" t="s">
        <v>677</v>
      </c>
      <c r="C6941" t="s">
        <v>10426</v>
      </c>
      <c r="D6941" t="s">
        <v>19024</v>
      </c>
      <c r="E6941" t="s">
        <v>25143</v>
      </c>
      <c r="F6941" t="s">
        <v>32831</v>
      </c>
      <c r="G6941" t="s">
        <v>32839</v>
      </c>
      <c r="H6941" t="s">
        <v>32849</v>
      </c>
      <c r="I6941" t="s">
        <v>4177</v>
      </c>
      <c r="J6941" t="s">
        <v>37354</v>
      </c>
      <c r="K6941" t="s">
        <v>42770</v>
      </c>
      <c r="M6941" t="s">
        <v>43696</v>
      </c>
      <c r="N6941" t="s">
        <v>47424</v>
      </c>
      <c r="O6941" t="s">
        <v>47425</v>
      </c>
      <c r="P6941">
        <v>0</v>
      </c>
      <c r="Q6941">
        <v>3</v>
      </c>
      <c r="R6941" t="s">
        <v>47431</v>
      </c>
      <c r="S6941" t="s">
        <v>47565</v>
      </c>
      <c r="T6941" t="s">
        <v>49267</v>
      </c>
      <c r="U6941" t="s">
        <v>55509</v>
      </c>
      <c r="V6941" t="s">
        <v>63392</v>
      </c>
      <c r="W6941" t="s">
        <v>43696</v>
      </c>
      <c r="X6941" t="s">
        <v>47432</v>
      </c>
    </row>
    <row r="6942" spans="1:24">
      <c r="A6942">
        <f>HYPERLINK("https://www.philgeps.gov.ph/GEPSNONPILOT/Tender/SplashBidNoticeAbstractUI.aspx?menuIndex=3&amp;refID=7155392&amp;Result=3","7155392")</f>
        <v>0</v>
      </c>
      <c r="B6942" t="s">
        <v>2453</v>
      </c>
      <c r="C6942" t="s">
        <v>10427</v>
      </c>
      <c r="D6942" t="s">
        <v>19026</v>
      </c>
      <c r="E6942" t="s">
        <v>25144</v>
      </c>
      <c r="F6942" t="s">
        <v>32831</v>
      </c>
      <c r="G6942" t="s">
        <v>32838</v>
      </c>
      <c r="H6942" t="s">
        <v>32848</v>
      </c>
      <c r="I6942" t="s">
        <v>32860</v>
      </c>
      <c r="J6942" t="s">
        <v>33519</v>
      </c>
      <c r="K6942" t="s">
        <v>42726</v>
      </c>
      <c r="M6942" t="s">
        <v>45651</v>
      </c>
      <c r="N6942" t="s">
        <v>47424</v>
      </c>
      <c r="O6942" t="s">
        <v>47425</v>
      </c>
      <c r="P6942">
        <v>0</v>
      </c>
      <c r="Q6942">
        <v>0</v>
      </c>
      <c r="R6942" t="s">
        <v>47431</v>
      </c>
      <c r="S6942" t="s">
        <v>47565</v>
      </c>
      <c r="T6942" t="s">
        <v>49111</v>
      </c>
      <c r="U6942" t="s">
        <v>55510</v>
      </c>
      <c r="W6942" t="s">
        <v>45651</v>
      </c>
      <c r="X6942" t="s">
        <v>47432</v>
      </c>
    </row>
    <row r="6943" spans="1:24">
      <c r="A6943">
        <f>HYPERLINK("https://www.philgeps.gov.ph/GEPSNONPILOT/Tender/SplashBidNoticeAbstractUI.aspx?menuIndex=3&amp;refID=7155390&amp;Result=3","7155390")</f>
        <v>0</v>
      </c>
      <c r="B6943" t="s">
        <v>654</v>
      </c>
      <c r="C6943" t="s">
        <v>10428</v>
      </c>
      <c r="D6943" t="s">
        <v>19071</v>
      </c>
      <c r="E6943" t="s">
        <v>25145</v>
      </c>
      <c r="F6943" t="s">
        <v>32831</v>
      </c>
      <c r="G6943" t="s">
        <v>32839</v>
      </c>
      <c r="H6943" t="s">
        <v>32848</v>
      </c>
      <c r="I6943" t="s">
        <v>9577</v>
      </c>
      <c r="J6943" t="s">
        <v>37355</v>
      </c>
      <c r="K6943" t="s">
        <v>42731</v>
      </c>
      <c r="M6943" t="s">
        <v>43672</v>
      </c>
      <c r="N6943" t="s">
        <v>47424</v>
      </c>
      <c r="O6943" t="s">
        <v>47425</v>
      </c>
      <c r="P6943">
        <v>0</v>
      </c>
      <c r="Q6943">
        <v>0</v>
      </c>
      <c r="R6943" t="s">
        <v>47431</v>
      </c>
      <c r="S6943" t="s">
        <v>47565</v>
      </c>
      <c r="T6943" t="s">
        <v>49148</v>
      </c>
      <c r="U6943" t="s">
        <v>55511</v>
      </c>
      <c r="W6943" t="s">
        <v>43672</v>
      </c>
      <c r="X6943" t="s">
        <v>47432</v>
      </c>
    </row>
    <row r="6944" spans="1:24">
      <c r="A6944">
        <f>HYPERLINK("https://www.philgeps.gov.ph/GEPSNONPILOT/Tender/SplashBidNoticeAbstractUI.aspx?menuIndex=3&amp;refID=7155389&amp;Result=3","7155389")</f>
        <v>0</v>
      </c>
      <c r="B6944" t="s">
        <v>1877</v>
      </c>
      <c r="C6944" t="s">
        <v>10429</v>
      </c>
      <c r="D6944" t="s">
        <v>19043</v>
      </c>
      <c r="E6944" t="s">
        <v>25146</v>
      </c>
      <c r="F6944" t="s">
        <v>32831</v>
      </c>
      <c r="G6944" t="s">
        <v>32838</v>
      </c>
      <c r="H6944" t="s">
        <v>32848</v>
      </c>
      <c r="I6944" t="s">
        <v>7819</v>
      </c>
      <c r="J6944" t="s">
        <v>36875</v>
      </c>
      <c r="K6944" t="s">
        <v>42727</v>
      </c>
      <c r="M6944" t="s">
        <v>45021</v>
      </c>
      <c r="N6944" t="s">
        <v>47424</v>
      </c>
      <c r="O6944" t="s">
        <v>47425</v>
      </c>
      <c r="P6944">
        <v>0</v>
      </c>
      <c r="Q6944">
        <v>1</v>
      </c>
      <c r="R6944" t="s">
        <v>47431</v>
      </c>
      <c r="S6944" t="s">
        <v>47565</v>
      </c>
      <c r="T6944" t="s">
        <v>49162</v>
      </c>
      <c r="U6944" t="s">
        <v>55512</v>
      </c>
      <c r="W6944" t="s">
        <v>45021</v>
      </c>
      <c r="X6944" t="s">
        <v>47432</v>
      </c>
    </row>
    <row r="6945" spans="1:24">
      <c r="A6945">
        <f>HYPERLINK("https://www.philgeps.gov.ph/GEPSNONPILOT/Tender/SplashBidNoticeAbstractUI.aspx?menuIndex=3&amp;refID=7155414&amp;Result=3","7155414")</f>
        <v>0</v>
      </c>
      <c r="B6945" t="s">
        <v>1587</v>
      </c>
      <c r="C6945" t="s">
        <v>10430</v>
      </c>
      <c r="D6945" t="s">
        <v>19057</v>
      </c>
      <c r="E6945" t="s">
        <v>25147</v>
      </c>
      <c r="F6945" t="s">
        <v>32831</v>
      </c>
      <c r="G6945" t="s">
        <v>32839</v>
      </c>
      <c r="H6945" t="s">
        <v>32848</v>
      </c>
      <c r="I6945" t="s">
        <v>7416</v>
      </c>
      <c r="J6945" t="s">
        <v>37356</v>
      </c>
      <c r="K6945" t="s">
        <v>42745</v>
      </c>
      <c r="L6945" t="s">
        <v>1587</v>
      </c>
      <c r="M6945" t="s">
        <v>45444</v>
      </c>
      <c r="N6945" t="s">
        <v>47424</v>
      </c>
      <c r="O6945" t="s">
        <v>47425</v>
      </c>
      <c r="P6945">
        <v>0</v>
      </c>
      <c r="Q6945">
        <v>1</v>
      </c>
      <c r="R6945" t="s">
        <v>47431</v>
      </c>
      <c r="S6945" t="s">
        <v>47565</v>
      </c>
      <c r="T6945" t="s">
        <v>49236</v>
      </c>
      <c r="U6945" t="s">
        <v>55513</v>
      </c>
      <c r="W6945" t="s">
        <v>45444</v>
      </c>
      <c r="X6945" t="s">
        <v>47432</v>
      </c>
    </row>
    <row r="6946" spans="1:24">
      <c r="A6946">
        <f>HYPERLINK("https://www.philgeps.gov.ph/GEPSNONPILOT/Tender/SplashBidNoticeAbstractUI.aspx?menuIndex=3&amp;refID=7156726&amp;Result=3","7156726")</f>
        <v>0</v>
      </c>
      <c r="B6946" t="s">
        <v>2382</v>
      </c>
      <c r="C6946" t="s">
        <v>10431</v>
      </c>
      <c r="D6946" t="s">
        <v>19027</v>
      </c>
      <c r="E6946" t="s">
        <v>25148</v>
      </c>
      <c r="F6946" t="s">
        <v>32831</v>
      </c>
      <c r="G6946" t="s">
        <v>32838</v>
      </c>
      <c r="H6946" t="s">
        <v>32848</v>
      </c>
      <c r="I6946" t="s">
        <v>32907</v>
      </c>
      <c r="J6946" t="s">
        <v>37357</v>
      </c>
      <c r="K6946" t="s">
        <v>42807</v>
      </c>
      <c r="M6946" t="s">
        <v>45571</v>
      </c>
      <c r="N6946" t="s">
        <v>47424</v>
      </c>
      <c r="O6946" t="s">
        <v>47425</v>
      </c>
      <c r="P6946">
        <v>0</v>
      </c>
      <c r="Q6946">
        <v>0</v>
      </c>
      <c r="R6946" t="s">
        <v>47431</v>
      </c>
      <c r="S6946" t="s">
        <v>47565</v>
      </c>
      <c r="T6946" t="s">
        <v>49124</v>
      </c>
      <c r="U6946" t="s">
        <v>55514</v>
      </c>
      <c r="W6946" t="s">
        <v>45571</v>
      </c>
      <c r="X6946" t="s">
        <v>47432</v>
      </c>
    </row>
    <row r="6947" spans="1:24">
      <c r="A6947">
        <f>HYPERLINK("https://www.philgeps.gov.ph/GEPSNONPILOT/Tender/SplashBidNoticeAbstractUI.aspx?menuIndex=3&amp;refID=7155391&amp;Result=3","7155391")</f>
        <v>0</v>
      </c>
      <c r="B6947" t="s">
        <v>677</v>
      </c>
      <c r="C6947" t="s">
        <v>9735</v>
      </c>
      <c r="D6947" t="s">
        <v>19024</v>
      </c>
      <c r="E6947" t="s">
        <v>25149</v>
      </c>
      <c r="F6947" t="s">
        <v>32831</v>
      </c>
      <c r="G6947" t="s">
        <v>32839</v>
      </c>
      <c r="H6947" t="s">
        <v>32849</v>
      </c>
      <c r="I6947" t="s">
        <v>4177</v>
      </c>
      <c r="J6947" t="s">
        <v>37358</v>
      </c>
      <c r="K6947" t="s">
        <v>42763</v>
      </c>
      <c r="M6947" t="s">
        <v>43696</v>
      </c>
      <c r="N6947" t="s">
        <v>47424</v>
      </c>
      <c r="O6947" t="s">
        <v>47425</v>
      </c>
      <c r="P6947">
        <v>0</v>
      </c>
      <c r="Q6947">
        <v>3</v>
      </c>
      <c r="R6947" t="s">
        <v>47431</v>
      </c>
      <c r="S6947" t="s">
        <v>47565</v>
      </c>
      <c r="T6947" t="s">
        <v>49267</v>
      </c>
      <c r="U6947" t="s">
        <v>55515</v>
      </c>
      <c r="V6947" t="s">
        <v>63393</v>
      </c>
      <c r="W6947" t="s">
        <v>43696</v>
      </c>
      <c r="X6947" t="s">
        <v>47432</v>
      </c>
    </row>
    <row r="6948" spans="1:24">
      <c r="A6948">
        <f>HYPERLINK("https://www.philgeps.gov.ph/GEPSNONPILOT/Tender/SplashBidNoticeAbstractUI.aspx?menuIndex=3&amp;refID=7156725&amp;Result=3","7156725")</f>
        <v>0</v>
      </c>
      <c r="B6948" t="s">
        <v>2429</v>
      </c>
      <c r="C6948" t="s">
        <v>10432</v>
      </c>
      <c r="D6948" t="s">
        <v>19064</v>
      </c>
      <c r="E6948" t="s">
        <v>25150</v>
      </c>
      <c r="F6948" t="s">
        <v>32831</v>
      </c>
      <c r="G6948" t="s">
        <v>32839</v>
      </c>
      <c r="H6948" t="s">
        <v>32848</v>
      </c>
      <c r="I6948" t="s">
        <v>32864</v>
      </c>
      <c r="J6948" t="s">
        <v>33595</v>
      </c>
      <c r="K6948" t="s">
        <v>42731</v>
      </c>
      <c r="M6948" t="s">
        <v>45626</v>
      </c>
      <c r="N6948" t="s">
        <v>47424</v>
      </c>
      <c r="O6948" t="s">
        <v>47425</v>
      </c>
      <c r="P6948">
        <v>0</v>
      </c>
      <c r="Q6948">
        <v>0</v>
      </c>
      <c r="R6948" t="s">
        <v>47431</v>
      </c>
      <c r="S6948" t="s">
        <v>47565</v>
      </c>
      <c r="T6948" t="s">
        <v>49055</v>
      </c>
      <c r="U6948" t="s">
        <v>55516</v>
      </c>
      <c r="W6948" t="s">
        <v>45626</v>
      </c>
      <c r="X6948" t="s">
        <v>47432</v>
      </c>
    </row>
    <row r="6949" spans="1:24">
      <c r="A6949">
        <f>HYPERLINK("https://www.philgeps.gov.ph/GEPSNONPILOT/Tender/SplashBidNoticeAbstractUI.aspx?menuIndex=3&amp;refID=7156722&amp;Result=3","7156722")</f>
        <v>0</v>
      </c>
      <c r="B6949" t="s">
        <v>2419</v>
      </c>
      <c r="C6949" t="s">
        <v>10433</v>
      </c>
      <c r="D6949" t="s">
        <v>19023</v>
      </c>
      <c r="E6949" t="s">
        <v>25151</v>
      </c>
      <c r="F6949" t="s">
        <v>32831</v>
      </c>
      <c r="G6949" t="s">
        <v>32839</v>
      </c>
      <c r="H6949" t="s">
        <v>32849</v>
      </c>
      <c r="I6949" t="s">
        <v>4177</v>
      </c>
      <c r="J6949" t="s">
        <v>33257</v>
      </c>
      <c r="K6949" t="s">
        <v>42747</v>
      </c>
      <c r="M6949" t="s">
        <v>45614</v>
      </c>
      <c r="N6949" t="s">
        <v>47424</v>
      </c>
      <c r="O6949" t="s">
        <v>47425</v>
      </c>
      <c r="P6949">
        <v>0</v>
      </c>
      <c r="Q6949">
        <v>1</v>
      </c>
      <c r="R6949" t="s">
        <v>47431</v>
      </c>
      <c r="S6949" t="s">
        <v>47565</v>
      </c>
      <c r="T6949" t="s">
        <v>49444</v>
      </c>
      <c r="U6949" t="s">
        <v>55399</v>
      </c>
      <c r="W6949" t="s">
        <v>45614</v>
      </c>
      <c r="X6949" t="s">
        <v>47432</v>
      </c>
    </row>
    <row r="6950" spans="1:24">
      <c r="A6950">
        <f>HYPERLINK("https://www.philgeps.gov.ph/GEPSNONPILOT/Tender/SplashBidNoticeAbstractUI.aspx?menuIndex=3&amp;refID=7156720&amp;Result=3","7156720")</f>
        <v>0</v>
      </c>
      <c r="B6950" t="s">
        <v>2432</v>
      </c>
      <c r="C6950" t="s">
        <v>10434</v>
      </c>
      <c r="D6950" t="s">
        <v>19055</v>
      </c>
      <c r="E6950" t="s">
        <v>25152</v>
      </c>
      <c r="F6950" t="s">
        <v>32831</v>
      </c>
      <c r="G6950" t="s">
        <v>32838</v>
      </c>
      <c r="H6950" t="s">
        <v>32848</v>
      </c>
      <c r="I6950" t="s">
        <v>32905</v>
      </c>
      <c r="J6950" t="s">
        <v>32983</v>
      </c>
      <c r="K6950" t="s">
        <v>42730</v>
      </c>
      <c r="M6950" t="s">
        <v>45629</v>
      </c>
      <c r="N6950" t="s">
        <v>47424</v>
      </c>
      <c r="O6950" t="s">
        <v>47425</v>
      </c>
      <c r="P6950">
        <v>0</v>
      </c>
      <c r="Q6950">
        <v>0</v>
      </c>
      <c r="R6950" t="s">
        <v>47431</v>
      </c>
      <c r="S6950" t="s">
        <v>47565</v>
      </c>
      <c r="T6950" t="s">
        <v>49105</v>
      </c>
      <c r="U6950" t="s">
        <v>55517</v>
      </c>
      <c r="V6950" t="s">
        <v>63383</v>
      </c>
      <c r="W6950" t="s">
        <v>45629</v>
      </c>
      <c r="X6950" t="s">
        <v>47432</v>
      </c>
    </row>
    <row r="6951" spans="1:24">
      <c r="A6951">
        <f>HYPERLINK("https://www.philgeps.gov.ph/GEPSNONPILOT/Tender/SplashBidNoticeAbstractUI.aspx?menuIndex=3&amp;refID=7156216&amp;Result=3","7156216")</f>
        <v>0</v>
      </c>
      <c r="B6951" t="s">
        <v>316</v>
      </c>
      <c r="C6951" t="s">
        <v>5790</v>
      </c>
      <c r="D6951" t="s">
        <v>19023</v>
      </c>
      <c r="E6951" t="s">
        <v>25153</v>
      </c>
      <c r="F6951" t="s">
        <v>32831</v>
      </c>
      <c r="G6951" t="s">
        <v>32840</v>
      </c>
      <c r="H6951" t="s">
        <v>32848</v>
      </c>
      <c r="I6951" t="s">
        <v>4438</v>
      </c>
      <c r="J6951" t="s">
        <v>37359</v>
      </c>
      <c r="K6951" t="s">
        <v>42730</v>
      </c>
      <c r="M6951" t="s">
        <v>43795</v>
      </c>
      <c r="N6951" t="s">
        <v>47424</v>
      </c>
      <c r="O6951" t="s">
        <v>47425</v>
      </c>
      <c r="P6951">
        <v>0</v>
      </c>
      <c r="Q6951">
        <v>2</v>
      </c>
      <c r="R6951" t="s">
        <v>47431</v>
      </c>
      <c r="S6951" t="s">
        <v>47565</v>
      </c>
      <c r="T6951" t="s">
        <v>49056</v>
      </c>
      <c r="U6951" t="s">
        <v>51090</v>
      </c>
      <c r="V6951" t="s">
        <v>62802</v>
      </c>
      <c r="W6951" t="s">
        <v>43795</v>
      </c>
      <c r="X6951" t="s">
        <v>47432</v>
      </c>
    </row>
    <row r="6952" spans="1:24">
      <c r="A6952">
        <f>HYPERLINK("https://www.philgeps.gov.ph/GEPSNONPILOT/Tender/SplashBidNoticeAbstractUI.aspx?menuIndex=3&amp;refID=7156716&amp;Result=3","7156716")</f>
        <v>0</v>
      </c>
      <c r="B6952" t="s">
        <v>1097</v>
      </c>
      <c r="C6952" t="s">
        <v>10435</v>
      </c>
      <c r="D6952" t="s">
        <v>19077</v>
      </c>
      <c r="E6952" t="s">
        <v>25154</v>
      </c>
      <c r="F6952" t="s">
        <v>32831</v>
      </c>
      <c r="G6952" t="s">
        <v>32839</v>
      </c>
      <c r="H6952" t="s">
        <v>32849</v>
      </c>
      <c r="I6952" t="s">
        <v>4177</v>
      </c>
      <c r="J6952" t="s">
        <v>37360</v>
      </c>
      <c r="K6952" t="s">
        <v>42856</v>
      </c>
      <c r="M6952" t="s">
        <v>44156</v>
      </c>
      <c r="N6952" t="s">
        <v>47424</v>
      </c>
      <c r="O6952" t="s">
        <v>47425</v>
      </c>
      <c r="P6952">
        <v>0</v>
      </c>
      <c r="Q6952">
        <v>1</v>
      </c>
      <c r="R6952" t="s">
        <v>47431</v>
      </c>
      <c r="S6952" t="s">
        <v>47565</v>
      </c>
      <c r="T6952" t="s">
        <v>49236</v>
      </c>
      <c r="U6952" t="s">
        <v>55518</v>
      </c>
      <c r="W6952" t="s">
        <v>44156</v>
      </c>
      <c r="X6952" t="s">
        <v>47432</v>
      </c>
    </row>
    <row r="6953" spans="1:24">
      <c r="A6953">
        <f>HYPERLINK("https://www.philgeps.gov.ph/GEPSNONPILOT/Tender/SplashBidNoticeAbstractUI.aspx?menuIndex=3&amp;refID=7156714&amp;Result=3","7156714")</f>
        <v>0</v>
      </c>
      <c r="B6953" t="s">
        <v>2454</v>
      </c>
      <c r="C6953" t="s">
        <v>5171</v>
      </c>
      <c r="D6953" t="s">
        <v>19045</v>
      </c>
      <c r="E6953" t="s">
        <v>25155</v>
      </c>
      <c r="F6953" t="s">
        <v>32831</v>
      </c>
      <c r="G6953" t="s">
        <v>32838</v>
      </c>
      <c r="H6953" t="s">
        <v>32848</v>
      </c>
      <c r="I6953" t="s">
        <v>9577</v>
      </c>
      <c r="J6953" t="s">
        <v>37087</v>
      </c>
      <c r="K6953" t="s">
        <v>42731</v>
      </c>
      <c r="M6953" t="s">
        <v>45652</v>
      </c>
      <c r="N6953" t="s">
        <v>47424</v>
      </c>
      <c r="O6953" t="s">
        <v>47425</v>
      </c>
      <c r="P6953">
        <v>0</v>
      </c>
      <c r="Q6953">
        <v>0</v>
      </c>
      <c r="R6953" t="s">
        <v>47431</v>
      </c>
      <c r="S6953" t="s">
        <v>47565</v>
      </c>
      <c r="T6953" t="s">
        <v>49119</v>
      </c>
      <c r="U6953" t="s">
        <v>50335</v>
      </c>
      <c r="W6953" t="s">
        <v>45652</v>
      </c>
      <c r="X6953" t="s">
        <v>47432</v>
      </c>
    </row>
    <row r="6954" spans="1:24">
      <c r="A6954">
        <f>HYPERLINK("https://www.philgeps.gov.ph/GEPSNONPILOT/Tender/SplashBidNoticeAbstractUI.aspx?menuIndex=3&amp;refID=7156713&amp;Result=3","7156713")</f>
        <v>0</v>
      </c>
      <c r="B6954" t="s">
        <v>1100</v>
      </c>
      <c r="C6954" t="s">
        <v>10436</v>
      </c>
      <c r="D6954" t="s">
        <v>19062</v>
      </c>
      <c r="E6954" t="s">
        <v>25156</v>
      </c>
      <c r="F6954" t="s">
        <v>32831</v>
      </c>
      <c r="G6954" t="s">
        <v>32839</v>
      </c>
      <c r="H6954" t="s">
        <v>32848</v>
      </c>
      <c r="I6954" t="s">
        <v>32859</v>
      </c>
      <c r="J6954" t="s">
        <v>34946</v>
      </c>
      <c r="K6954" t="s">
        <v>42773</v>
      </c>
      <c r="M6954" t="s">
        <v>44160</v>
      </c>
      <c r="N6954" t="s">
        <v>47424</v>
      </c>
      <c r="O6954" t="s">
        <v>47425</v>
      </c>
      <c r="P6954">
        <v>0</v>
      </c>
      <c r="Q6954">
        <v>2</v>
      </c>
      <c r="R6954" t="s">
        <v>47431</v>
      </c>
      <c r="S6954" t="s">
        <v>47565</v>
      </c>
      <c r="T6954" t="s">
        <v>49468</v>
      </c>
      <c r="U6954" t="s">
        <v>55519</v>
      </c>
      <c r="V6954" t="s">
        <v>63219</v>
      </c>
      <c r="W6954" t="s">
        <v>44160</v>
      </c>
      <c r="X6954" t="s">
        <v>47432</v>
      </c>
    </row>
    <row r="6955" spans="1:24">
      <c r="A6955">
        <f>HYPERLINK("https://www.philgeps.gov.ph/GEPSNONPILOT/Tender/SplashBidNoticeAbstractUI.aspx?menuIndex=3&amp;refID=7156711&amp;Result=3","7156711")</f>
        <v>0</v>
      </c>
      <c r="B6955" t="s">
        <v>2341</v>
      </c>
      <c r="C6955" t="s">
        <v>10437</v>
      </c>
      <c r="D6955" t="s">
        <v>19108</v>
      </c>
      <c r="E6955" t="s">
        <v>25157</v>
      </c>
      <c r="F6955" t="s">
        <v>32831</v>
      </c>
      <c r="G6955" t="s">
        <v>32838</v>
      </c>
      <c r="H6955" t="s">
        <v>32848</v>
      </c>
      <c r="I6955" t="s">
        <v>32858</v>
      </c>
      <c r="J6955" t="s">
        <v>37361</v>
      </c>
      <c r="K6955" t="s">
        <v>42726</v>
      </c>
      <c r="M6955" t="s">
        <v>45528</v>
      </c>
      <c r="N6955" t="s">
        <v>47424</v>
      </c>
      <c r="O6955" t="s">
        <v>47425</v>
      </c>
      <c r="P6955">
        <v>0</v>
      </c>
      <c r="Q6955">
        <v>2</v>
      </c>
      <c r="R6955" t="s">
        <v>47431</v>
      </c>
      <c r="S6955" t="s">
        <v>47565</v>
      </c>
      <c r="T6955" t="s">
        <v>49238</v>
      </c>
      <c r="U6955" t="s">
        <v>55520</v>
      </c>
      <c r="W6955" t="s">
        <v>45528</v>
      </c>
      <c r="X6955" t="s">
        <v>47432</v>
      </c>
    </row>
    <row r="6956" spans="1:24">
      <c r="A6956">
        <f>HYPERLINK("https://www.philgeps.gov.ph/GEPSNONPILOT/Tender/SplashBidNoticeAbstractUI.aspx?menuIndex=3&amp;refID=7156717&amp;Result=3","7156717")</f>
        <v>0</v>
      </c>
      <c r="B6956" t="s">
        <v>755</v>
      </c>
      <c r="C6956" t="s">
        <v>10438</v>
      </c>
      <c r="E6956" t="s">
        <v>25158</v>
      </c>
      <c r="F6956" t="s">
        <v>32831</v>
      </c>
      <c r="G6956" t="s">
        <v>32839</v>
      </c>
      <c r="H6956" t="s">
        <v>32848</v>
      </c>
      <c r="I6956" t="s">
        <v>32867</v>
      </c>
      <c r="J6956" t="s">
        <v>33345</v>
      </c>
      <c r="K6956" t="s">
        <v>42732</v>
      </c>
      <c r="M6956" t="s">
        <v>45605</v>
      </c>
      <c r="N6956" t="s">
        <v>47424</v>
      </c>
      <c r="O6956" t="s">
        <v>47425</v>
      </c>
      <c r="P6956">
        <v>0</v>
      </c>
      <c r="Q6956">
        <v>5</v>
      </c>
      <c r="R6956" t="s">
        <v>47431</v>
      </c>
      <c r="S6956" t="s">
        <v>47565</v>
      </c>
      <c r="T6956" t="s">
        <v>49150</v>
      </c>
      <c r="U6956" t="s">
        <v>55521</v>
      </c>
      <c r="W6956" t="s">
        <v>45605</v>
      </c>
      <c r="X6956" t="s">
        <v>47432</v>
      </c>
    </row>
    <row r="6957" spans="1:24">
      <c r="A6957">
        <f>HYPERLINK("https://www.philgeps.gov.ph/GEPSNONPILOT/Tender/SplashBidNoticeAbstractUI.aspx?menuIndex=3&amp;refID=7156707&amp;Result=3","7156707")</f>
        <v>0</v>
      </c>
      <c r="B6957" t="s">
        <v>2182</v>
      </c>
      <c r="C6957" t="s">
        <v>10439</v>
      </c>
      <c r="D6957" t="s">
        <v>19021</v>
      </c>
      <c r="E6957" t="s">
        <v>25159</v>
      </c>
      <c r="F6957" t="s">
        <v>32831</v>
      </c>
      <c r="G6957" t="s">
        <v>32838</v>
      </c>
      <c r="H6957" t="s">
        <v>32848</v>
      </c>
      <c r="I6957" t="s">
        <v>9577</v>
      </c>
      <c r="J6957" t="s">
        <v>33981</v>
      </c>
      <c r="K6957" t="s">
        <v>42732</v>
      </c>
      <c r="M6957" t="s">
        <v>45362</v>
      </c>
      <c r="N6957" t="s">
        <v>47424</v>
      </c>
      <c r="O6957" t="s">
        <v>47425</v>
      </c>
      <c r="P6957">
        <v>0</v>
      </c>
      <c r="Q6957">
        <v>1</v>
      </c>
      <c r="R6957" t="s">
        <v>47431</v>
      </c>
      <c r="S6957" t="s">
        <v>47565</v>
      </c>
      <c r="T6957" t="s">
        <v>49061</v>
      </c>
      <c r="U6957" t="s">
        <v>55522</v>
      </c>
      <c r="W6957" t="s">
        <v>45362</v>
      </c>
      <c r="X6957" t="s">
        <v>47432</v>
      </c>
    </row>
    <row r="6958" spans="1:24">
      <c r="A6958">
        <f>HYPERLINK("https://www.philgeps.gov.ph/GEPSNONPILOT/Tender/SplashBidNoticeAbstractUI.aspx?menuIndex=3&amp;refID=7156715&amp;Result=3","7156715")</f>
        <v>0</v>
      </c>
      <c r="B6958" t="s">
        <v>2455</v>
      </c>
      <c r="C6958" t="s">
        <v>10440</v>
      </c>
      <c r="D6958" t="s">
        <v>19080</v>
      </c>
      <c r="E6958" t="s">
        <v>10440</v>
      </c>
      <c r="F6958" t="s">
        <v>32831</v>
      </c>
      <c r="G6958" t="s">
        <v>32838</v>
      </c>
      <c r="H6958" t="s">
        <v>32848</v>
      </c>
      <c r="I6958" t="s">
        <v>32862</v>
      </c>
      <c r="J6958" t="s">
        <v>37362</v>
      </c>
      <c r="K6958" t="s">
        <v>42727</v>
      </c>
      <c r="M6958" t="s">
        <v>45653</v>
      </c>
      <c r="N6958" t="s">
        <v>47424</v>
      </c>
      <c r="O6958" t="s">
        <v>47425</v>
      </c>
      <c r="P6958">
        <v>0</v>
      </c>
      <c r="Q6958">
        <v>0</v>
      </c>
      <c r="R6958" t="s">
        <v>47431</v>
      </c>
      <c r="S6958" t="s">
        <v>47565</v>
      </c>
      <c r="T6958" t="s">
        <v>49127</v>
      </c>
      <c r="U6958" t="s">
        <v>55523</v>
      </c>
      <c r="W6958" t="s">
        <v>45653</v>
      </c>
      <c r="X6958" t="s">
        <v>47432</v>
      </c>
    </row>
    <row r="6959" spans="1:24">
      <c r="A6959">
        <f>HYPERLINK("https://www.philgeps.gov.ph/GEPSNONPILOT/Tender/SplashBidNoticeAbstractUI.aspx?menuIndex=3&amp;refID=7156706&amp;Result=3","7156706")</f>
        <v>0</v>
      </c>
      <c r="B6959" t="s">
        <v>262</v>
      </c>
      <c r="C6959" t="s">
        <v>4413</v>
      </c>
      <c r="D6959" t="s">
        <v>19049</v>
      </c>
      <c r="E6959" t="s">
        <v>25160</v>
      </c>
      <c r="F6959" t="s">
        <v>32831</v>
      </c>
      <c r="G6959" t="s">
        <v>32838</v>
      </c>
      <c r="H6959" t="s">
        <v>32848</v>
      </c>
      <c r="I6959" t="s">
        <v>9577</v>
      </c>
      <c r="J6959" t="s">
        <v>37363</v>
      </c>
      <c r="K6959" t="s">
        <v>42726</v>
      </c>
      <c r="M6959" t="s">
        <v>43261</v>
      </c>
      <c r="N6959" t="s">
        <v>47424</v>
      </c>
      <c r="O6959" t="s">
        <v>47425</v>
      </c>
      <c r="P6959">
        <v>0</v>
      </c>
      <c r="Q6959">
        <v>0</v>
      </c>
      <c r="R6959" t="s">
        <v>47431</v>
      </c>
      <c r="S6959" t="s">
        <v>47565</v>
      </c>
      <c r="T6959" t="s">
        <v>49469</v>
      </c>
      <c r="U6959" t="s">
        <v>55524</v>
      </c>
      <c r="W6959" t="s">
        <v>43261</v>
      </c>
      <c r="X6959" t="s">
        <v>47432</v>
      </c>
    </row>
    <row r="6960" spans="1:24">
      <c r="A6960">
        <f>HYPERLINK("https://www.philgeps.gov.ph/GEPSNONPILOT/Tender/SplashBidNoticeAbstractUI.aspx?menuIndex=3&amp;refID=7156727&amp;Result=3","7156727")</f>
        <v>0</v>
      </c>
      <c r="B6960" t="s">
        <v>2456</v>
      </c>
      <c r="C6960" t="s">
        <v>10441</v>
      </c>
      <c r="D6960" t="s">
        <v>19024</v>
      </c>
      <c r="E6960" t="s">
        <v>25161</v>
      </c>
      <c r="F6960" t="s">
        <v>32831</v>
      </c>
      <c r="G6960" t="s">
        <v>32838</v>
      </c>
      <c r="H6960" t="s">
        <v>32848</v>
      </c>
      <c r="I6960" t="s">
        <v>7416</v>
      </c>
      <c r="J6960" t="s">
        <v>32976</v>
      </c>
      <c r="K6960" t="s">
        <v>42727</v>
      </c>
      <c r="L6960" t="s">
        <v>2456</v>
      </c>
      <c r="M6960" t="s">
        <v>45654</v>
      </c>
      <c r="N6960" t="s">
        <v>47424</v>
      </c>
      <c r="O6960" t="s">
        <v>47425</v>
      </c>
      <c r="P6960">
        <v>0</v>
      </c>
      <c r="Q6960">
        <v>0</v>
      </c>
      <c r="R6960" t="s">
        <v>47431</v>
      </c>
      <c r="S6960" t="s">
        <v>47565</v>
      </c>
      <c r="T6960" t="s">
        <v>49108</v>
      </c>
      <c r="U6960" t="s">
        <v>55525</v>
      </c>
      <c r="W6960" t="s">
        <v>45654</v>
      </c>
      <c r="X6960" t="s">
        <v>47432</v>
      </c>
    </row>
    <row r="6961" spans="1:24">
      <c r="A6961">
        <f>HYPERLINK("https://www.philgeps.gov.ph/GEPSNONPILOT/Tender/SplashBidNoticeAbstractUI.aspx?menuIndex=3&amp;refID=7156755&amp;Result=3","7156755")</f>
        <v>0</v>
      </c>
      <c r="B6961" t="s">
        <v>2261</v>
      </c>
      <c r="C6961" t="s">
        <v>10442</v>
      </c>
      <c r="D6961" t="s">
        <v>19038</v>
      </c>
      <c r="E6961" t="s">
        <v>25162</v>
      </c>
      <c r="F6961" t="s">
        <v>32831</v>
      </c>
      <c r="G6961" t="s">
        <v>32839</v>
      </c>
      <c r="H6961" t="s">
        <v>32848</v>
      </c>
      <c r="I6961" t="s">
        <v>10643</v>
      </c>
      <c r="J6961" t="s">
        <v>33026</v>
      </c>
      <c r="K6961" t="s">
        <v>42731</v>
      </c>
      <c r="L6961" t="s">
        <v>2261</v>
      </c>
      <c r="M6961" t="s">
        <v>45445</v>
      </c>
      <c r="N6961" t="s">
        <v>47424</v>
      </c>
      <c r="O6961" t="s">
        <v>47425</v>
      </c>
      <c r="P6961">
        <v>0</v>
      </c>
      <c r="Q6961">
        <v>0</v>
      </c>
      <c r="R6961" t="s">
        <v>47431</v>
      </c>
      <c r="S6961" t="s">
        <v>47565</v>
      </c>
      <c r="T6961" t="s">
        <v>49073</v>
      </c>
      <c r="U6961" t="s">
        <v>54974</v>
      </c>
      <c r="W6961" t="s">
        <v>45445</v>
      </c>
      <c r="X6961" t="s">
        <v>47432</v>
      </c>
    </row>
    <row r="6962" spans="1:24">
      <c r="A6962">
        <f>HYPERLINK("https://www.philgeps.gov.ph/GEPSNONPILOT/Tender/SplashBidNoticeAbstractUI.aspx?menuIndex=3&amp;refID=7156754&amp;Result=3","7156754")</f>
        <v>0</v>
      </c>
      <c r="B6962" t="s">
        <v>2457</v>
      </c>
      <c r="C6962" t="s">
        <v>10443</v>
      </c>
      <c r="D6962" t="s">
        <v>19049</v>
      </c>
      <c r="E6962" t="s">
        <v>20066</v>
      </c>
      <c r="F6962" t="s">
        <v>32831</v>
      </c>
      <c r="G6962" t="s">
        <v>32839</v>
      </c>
      <c r="H6962" t="s">
        <v>32848</v>
      </c>
      <c r="I6962" t="s">
        <v>7416</v>
      </c>
      <c r="J6962" t="s">
        <v>37364</v>
      </c>
      <c r="K6962" t="s">
        <v>42730</v>
      </c>
      <c r="M6962" t="s">
        <v>45655</v>
      </c>
      <c r="N6962" t="s">
        <v>47424</v>
      </c>
      <c r="O6962" t="s">
        <v>47425</v>
      </c>
      <c r="P6962">
        <v>0</v>
      </c>
      <c r="Q6962">
        <v>0</v>
      </c>
      <c r="R6962" t="s">
        <v>47431</v>
      </c>
      <c r="S6962" t="s">
        <v>47565</v>
      </c>
      <c r="T6962" t="s">
        <v>49363</v>
      </c>
      <c r="U6962" t="s">
        <v>55526</v>
      </c>
      <c r="V6962" t="s">
        <v>63394</v>
      </c>
      <c r="W6962" t="s">
        <v>45655</v>
      </c>
      <c r="X6962" t="s">
        <v>47432</v>
      </c>
    </row>
    <row r="6963" spans="1:24">
      <c r="A6963">
        <f>HYPERLINK("https://www.philgeps.gov.ph/GEPSNONPILOT/Tender/SplashBidNoticeAbstractUI.aspx?menuIndex=3&amp;refID=7156753&amp;Result=3","7156753")</f>
        <v>0</v>
      </c>
      <c r="B6963" t="s">
        <v>1043</v>
      </c>
      <c r="C6963" t="s">
        <v>10444</v>
      </c>
      <c r="D6963" t="s">
        <v>19103</v>
      </c>
      <c r="E6963" t="s">
        <v>25163</v>
      </c>
      <c r="F6963" t="s">
        <v>32831</v>
      </c>
      <c r="G6963" t="s">
        <v>32839</v>
      </c>
      <c r="H6963" t="s">
        <v>32849</v>
      </c>
      <c r="I6963" t="s">
        <v>4177</v>
      </c>
      <c r="J6963" t="s">
        <v>37365</v>
      </c>
      <c r="K6963" t="s">
        <v>42899</v>
      </c>
      <c r="M6963" t="s">
        <v>44097</v>
      </c>
      <c r="N6963" t="s">
        <v>47424</v>
      </c>
      <c r="O6963" t="s">
        <v>47425</v>
      </c>
      <c r="P6963">
        <v>0</v>
      </c>
      <c r="Q6963">
        <v>0</v>
      </c>
      <c r="R6963" t="s">
        <v>47431</v>
      </c>
      <c r="S6963" t="s">
        <v>47565</v>
      </c>
      <c r="T6963" t="s">
        <v>49236</v>
      </c>
      <c r="U6963" t="s">
        <v>55527</v>
      </c>
      <c r="V6963" t="s">
        <v>63395</v>
      </c>
      <c r="W6963" t="s">
        <v>44097</v>
      </c>
      <c r="X6963" t="s">
        <v>47432</v>
      </c>
    </row>
    <row r="6964" spans="1:24">
      <c r="A6964">
        <f>HYPERLINK("https://www.philgeps.gov.ph/GEPSNONPILOT/Tender/SplashBidNoticeAbstractUI.aspx?menuIndex=3&amp;refID=7156752&amp;Result=3","7156752")</f>
        <v>0</v>
      </c>
      <c r="B6964" t="s">
        <v>2306</v>
      </c>
      <c r="C6964" t="s">
        <v>10445</v>
      </c>
      <c r="D6964" t="s">
        <v>19029</v>
      </c>
      <c r="E6964" t="s">
        <v>22929</v>
      </c>
      <c r="F6964" t="s">
        <v>32831</v>
      </c>
      <c r="G6964" t="s">
        <v>32838</v>
      </c>
      <c r="H6964" t="s">
        <v>32848</v>
      </c>
      <c r="I6964" t="s">
        <v>4776</v>
      </c>
      <c r="J6964" t="s">
        <v>34100</v>
      </c>
      <c r="K6964" t="s">
        <v>42727</v>
      </c>
      <c r="M6964" t="s">
        <v>45491</v>
      </c>
      <c r="N6964" t="s">
        <v>47424</v>
      </c>
      <c r="O6964" t="s">
        <v>47425</v>
      </c>
      <c r="P6964">
        <v>0</v>
      </c>
      <c r="Q6964">
        <v>5</v>
      </c>
      <c r="R6964" t="s">
        <v>47431</v>
      </c>
      <c r="S6964" t="s">
        <v>47565</v>
      </c>
      <c r="T6964" t="s">
        <v>49107</v>
      </c>
      <c r="U6964" t="s">
        <v>55528</v>
      </c>
      <c r="W6964" t="s">
        <v>45491</v>
      </c>
      <c r="X6964" t="s">
        <v>47432</v>
      </c>
    </row>
    <row r="6965" spans="1:24">
      <c r="A6965">
        <f>HYPERLINK("https://www.philgeps.gov.ph/GEPSNONPILOT/Tender/SplashBidNoticeAbstractUI.aspx?menuIndex=3&amp;refID=7156751&amp;Result=3","7156751")</f>
        <v>0</v>
      </c>
      <c r="B6965" t="s">
        <v>2429</v>
      </c>
      <c r="C6965" t="s">
        <v>10446</v>
      </c>
      <c r="D6965" t="s">
        <v>19064</v>
      </c>
      <c r="E6965" t="s">
        <v>25164</v>
      </c>
      <c r="F6965" t="s">
        <v>32831</v>
      </c>
      <c r="G6965" t="s">
        <v>32839</v>
      </c>
      <c r="H6965" t="s">
        <v>32848</v>
      </c>
      <c r="I6965" t="s">
        <v>9577</v>
      </c>
      <c r="J6965" t="s">
        <v>37366</v>
      </c>
      <c r="K6965" t="s">
        <v>42731</v>
      </c>
      <c r="M6965" t="s">
        <v>45626</v>
      </c>
      <c r="N6965" t="s">
        <v>47424</v>
      </c>
      <c r="O6965" t="s">
        <v>47425</v>
      </c>
      <c r="P6965">
        <v>0</v>
      </c>
      <c r="Q6965">
        <v>0</v>
      </c>
      <c r="R6965" t="s">
        <v>47431</v>
      </c>
      <c r="S6965" t="s">
        <v>47565</v>
      </c>
      <c r="T6965" t="s">
        <v>49055</v>
      </c>
      <c r="U6965" t="s">
        <v>51307</v>
      </c>
      <c r="W6965" t="s">
        <v>45626</v>
      </c>
      <c r="X6965" t="s">
        <v>47432</v>
      </c>
    </row>
    <row r="6966" spans="1:24">
      <c r="A6966">
        <f>HYPERLINK("https://www.philgeps.gov.ph/GEPSNONPILOT/Tender/SplashBidNoticeAbstractUI.aspx?menuIndex=3&amp;refID=7156749&amp;Result=3","7156749")</f>
        <v>0</v>
      </c>
      <c r="B6966" t="s">
        <v>1840</v>
      </c>
      <c r="C6966" t="s">
        <v>10447</v>
      </c>
      <c r="D6966" t="s">
        <v>19092</v>
      </c>
      <c r="E6966" t="s">
        <v>25165</v>
      </c>
      <c r="F6966" t="s">
        <v>32831</v>
      </c>
      <c r="G6966" t="s">
        <v>32839</v>
      </c>
      <c r="H6966" t="s">
        <v>32848</v>
      </c>
      <c r="I6966" t="s">
        <v>7416</v>
      </c>
      <c r="J6966" t="s">
        <v>35553</v>
      </c>
      <c r="K6966" t="s">
        <v>42730</v>
      </c>
      <c r="M6966" t="s">
        <v>44974</v>
      </c>
      <c r="N6966" t="s">
        <v>47424</v>
      </c>
      <c r="O6966" t="s">
        <v>47425</v>
      </c>
      <c r="P6966">
        <v>0</v>
      </c>
      <c r="Q6966">
        <v>0</v>
      </c>
      <c r="R6966" t="s">
        <v>47431</v>
      </c>
      <c r="S6966" t="s">
        <v>47565</v>
      </c>
      <c r="T6966" t="s">
        <v>49106</v>
      </c>
      <c r="U6966" t="s">
        <v>55529</v>
      </c>
      <c r="W6966" t="s">
        <v>44974</v>
      </c>
      <c r="X6966" t="s">
        <v>47432</v>
      </c>
    </row>
    <row r="6967" spans="1:24">
      <c r="A6967">
        <f>HYPERLINK("https://www.philgeps.gov.ph/GEPSNONPILOT/Tender/SplashBidNoticeAbstractUI.aspx?menuIndex=3&amp;refID=7156747&amp;Result=3","7156747")</f>
        <v>0</v>
      </c>
      <c r="B6967" t="s">
        <v>2425</v>
      </c>
      <c r="C6967" t="s">
        <v>10448</v>
      </c>
      <c r="D6967" t="s">
        <v>19050</v>
      </c>
      <c r="E6967" t="s">
        <v>25166</v>
      </c>
      <c r="F6967" t="s">
        <v>32831</v>
      </c>
      <c r="G6967" t="s">
        <v>32838</v>
      </c>
      <c r="H6967" t="s">
        <v>32848</v>
      </c>
      <c r="I6967" t="s">
        <v>32874</v>
      </c>
      <c r="J6967" t="s">
        <v>33395</v>
      </c>
      <c r="K6967" t="s">
        <v>42730</v>
      </c>
      <c r="M6967" t="s">
        <v>45622</v>
      </c>
      <c r="N6967" t="s">
        <v>47424</v>
      </c>
      <c r="O6967" t="s">
        <v>47425</v>
      </c>
      <c r="P6967">
        <v>0</v>
      </c>
      <c r="Q6967">
        <v>1</v>
      </c>
      <c r="R6967" t="s">
        <v>47431</v>
      </c>
      <c r="S6967" t="s">
        <v>47565</v>
      </c>
      <c r="T6967" t="s">
        <v>49127</v>
      </c>
      <c r="U6967" t="s">
        <v>55530</v>
      </c>
      <c r="W6967" t="s">
        <v>45622</v>
      </c>
      <c r="X6967" t="s">
        <v>47432</v>
      </c>
    </row>
    <row r="6968" spans="1:24">
      <c r="A6968">
        <f>HYPERLINK("https://www.philgeps.gov.ph/GEPSNONPILOT/Tender/SplashBidNoticeAbstractUI.aspx?menuIndex=3&amp;refID=7156760&amp;Result=3","7156760")</f>
        <v>0</v>
      </c>
      <c r="B6968" t="s">
        <v>654</v>
      </c>
      <c r="C6968" t="s">
        <v>10449</v>
      </c>
      <c r="D6968" t="s">
        <v>19071</v>
      </c>
      <c r="E6968" t="s">
        <v>25167</v>
      </c>
      <c r="F6968" t="s">
        <v>32831</v>
      </c>
      <c r="G6968" t="s">
        <v>32839</v>
      </c>
      <c r="H6968" t="s">
        <v>32848</v>
      </c>
      <c r="I6968" t="s">
        <v>7416</v>
      </c>
      <c r="J6968" t="s">
        <v>37367</v>
      </c>
      <c r="K6968" t="s">
        <v>42731</v>
      </c>
      <c r="M6968" t="s">
        <v>43672</v>
      </c>
      <c r="N6968" t="s">
        <v>47424</v>
      </c>
      <c r="O6968" t="s">
        <v>47425</v>
      </c>
      <c r="P6968">
        <v>0</v>
      </c>
      <c r="Q6968">
        <v>0</v>
      </c>
      <c r="R6968" t="s">
        <v>47431</v>
      </c>
      <c r="S6968" t="s">
        <v>47565</v>
      </c>
      <c r="T6968" t="s">
        <v>49148</v>
      </c>
      <c r="U6968" t="s">
        <v>55531</v>
      </c>
      <c r="W6968" t="s">
        <v>43672</v>
      </c>
      <c r="X6968" t="s">
        <v>47432</v>
      </c>
    </row>
    <row r="6969" spans="1:24">
      <c r="A6969">
        <f>HYPERLINK("https://www.philgeps.gov.ph/GEPSNONPILOT/Tender/SplashBidNoticeAbstractUI.aspx?menuIndex=3&amp;refID=7156742&amp;Result=3","7156742")</f>
        <v>0</v>
      </c>
      <c r="B6969" t="s">
        <v>2458</v>
      </c>
      <c r="C6969" t="s">
        <v>10450</v>
      </c>
      <c r="D6969" t="s">
        <v>19074</v>
      </c>
      <c r="E6969" t="s">
        <v>25168</v>
      </c>
      <c r="F6969" t="s">
        <v>32831</v>
      </c>
      <c r="G6969" t="s">
        <v>32839</v>
      </c>
      <c r="H6969" t="s">
        <v>32848</v>
      </c>
      <c r="I6969" t="s">
        <v>32910</v>
      </c>
      <c r="J6969" t="s">
        <v>37368</v>
      </c>
      <c r="K6969" t="s">
        <v>42726</v>
      </c>
      <c r="M6969" t="s">
        <v>45656</v>
      </c>
      <c r="N6969" t="s">
        <v>47424</v>
      </c>
      <c r="O6969" t="s">
        <v>47425</v>
      </c>
      <c r="P6969">
        <v>0</v>
      </c>
      <c r="Q6969">
        <v>0</v>
      </c>
      <c r="R6969" t="s">
        <v>47431</v>
      </c>
      <c r="S6969" t="s">
        <v>47565</v>
      </c>
      <c r="T6969" t="s">
        <v>49151</v>
      </c>
      <c r="U6969" t="s">
        <v>55532</v>
      </c>
      <c r="W6969" t="s">
        <v>45656</v>
      </c>
      <c r="X6969" t="s">
        <v>47432</v>
      </c>
    </row>
    <row r="6970" spans="1:24">
      <c r="A6970">
        <f>HYPERLINK("https://www.philgeps.gov.ph/GEPSNONPILOT/Tender/SplashBidNoticeAbstractUI.aspx?menuIndex=3&amp;refID=7156740&amp;Result=3","7156740")</f>
        <v>0</v>
      </c>
      <c r="B6970" t="s">
        <v>2426</v>
      </c>
      <c r="C6970" t="s">
        <v>10451</v>
      </c>
      <c r="D6970" t="s">
        <v>19019</v>
      </c>
      <c r="E6970" t="s">
        <v>25108</v>
      </c>
      <c r="F6970" t="s">
        <v>32831</v>
      </c>
      <c r="G6970" t="s">
        <v>32839</v>
      </c>
      <c r="H6970" t="s">
        <v>32850</v>
      </c>
      <c r="I6970" t="s">
        <v>7819</v>
      </c>
      <c r="J6970" t="s">
        <v>37369</v>
      </c>
      <c r="K6970" t="s">
        <v>42770</v>
      </c>
      <c r="M6970" t="s">
        <v>45623</v>
      </c>
      <c r="N6970" t="s">
        <v>47424</v>
      </c>
      <c r="O6970" t="s">
        <v>47425</v>
      </c>
      <c r="P6970">
        <v>0</v>
      </c>
      <c r="Q6970">
        <v>2</v>
      </c>
      <c r="R6970" t="s">
        <v>47431</v>
      </c>
      <c r="S6970" t="s">
        <v>47565</v>
      </c>
      <c r="T6970" t="s">
        <v>49463</v>
      </c>
      <c r="U6970" t="s">
        <v>55423</v>
      </c>
      <c r="V6970" t="s">
        <v>63396</v>
      </c>
      <c r="W6970" t="s">
        <v>45623</v>
      </c>
      <c r="X6970" t="s">
        <v>47432</v>
      </c>
    </row>
    <row r="6971" spans="1:24">
      <c r="A6971">
        <f>HYPERLINK("https://www.philgeps.gov.ph/GEPSNONPILOT/Tender/SplashBidNoticeAbstractUI.aspx?menuIndex=3&amp;refID=7156712&amp;Result=3","7156712")</f>
        <v>0</v>
      </c>
      <c r="B6971" t="s">
        <v>1194</v>
      </c>
      <c r="C6971" t="s">
        <v>10452</v>
      </c>
      <c r="D6971" t="s">
        <v>19034</v>
      </c>
      <c r="E6971" t="s">
        <v>25169</v>
      </c>
      <c r="F6971" t="s">
        <v>32831</v>
      </c>
      <c r="G6971" t="s">
        <v>32838</v>
      </c>
      <c r="H6971" t="s">
        <v>32848</v>
      </c>
      <c r="I6971" t="s">
        <v>32860</v>
      </c>
      <c r="J6971" t="s">
        <v>37370</v>
      </c>
      <c r="K6971" t="s">
        <v>42758</v>
      </c>
      <c r="M6971" t="s">
        <v>44260</v>
      </c>
      <c r="N6971" t="s">
        <v>47424</v>
      </c>
      <c r="O6971" t="s">
        <v>47425</v>
      </c>
      <c r="P6971">
        <v>0</v>
      </c>
      <c r="Q6971">
        <v>0</v>
      </c>
      <c r="R6971" t="s">
        <v>47431</v>
      </c>
      <c r="S6971" t="s">
        <v>47565</v>
      </c>
      <c r="T6971" t="s">
        <v>49214</v>
      </c>
      <c r="U6971" t="s">
        <v>55533</v>
      </c>
      <c r="W6971" t="s">
        <v>44260</v>
      </c>
      <c r="X6971" t="s">
        <v>47432</v>
      </c>
    </row>
    <row r="6972" spans="1:24">
      <c r="A6972">
        <f>HYPERLINK("https://www.philgeps.gov.ph/GEPSNONPILOT/Tender/SplashBidNoticeAbstractUI.aspx?menuIndex=3&amp;refID=7156748&amp;Result=3","7156748")</f>
        <v>0</v>
      </c>
      <c r="B6972" t="s">
        <v>2459</v>
      </c>
      <c r="C6972" t="s">
        <v>10453</v>
      </c>
      <c r="D6972" t="s">
        <v>19044</v>
      </c>
      <c r="E6972" t="s">
        <v>19838</v>
      </c>
      <c r="F6972" t="s">
        <v>32831</v>
      </c>
      <c r="G6972" t="s">
        <v>32841</v>
      </c>
      <c r="H6972" t="s">
        <v>32848</v>
      </c>
      <c r="I6972" t="s">
        <v>7416</v>
      </c>
      <c r="J6972" t="s">
        <v>37371</v>
      </c>
      <c r="K6972" t="s">
        <v>42730</v>
      </c>
      <c r="M6972" t="s">
        <v>45657</v>
      </c>
      <c r="N6972" t="s">
        <v>47424</v>
      </c>
      <c r="O6972" t="s">
        <v>47425</v>
      </c>
      <c r="P6972">
        <v>0</v>
      </c>
      <c r="Q6972">
        <v>0</v>
      </c>
      <c r="R6972" t="s">
        <v>47431</v>
      </c>
      <c r="S6972" t="s">
        <v>47565</v>
      </c>
      <c r="T6972" t="s">
        <v>49063</v>
      </c>
      <c r="U6972" t="s">
        <v>55534</v>
      </c>
      <c r="W6972" t="s">
        <v>45657</v>
      </c>
      <c r="X6972" t="s">
        <v>47432</v>
      </c>
    </row>
    <row r="6973" spans="1:24">
      <c r="A6973">
        <f>HYPERLINK("https://www.philgeps.gov.ph/GEPSNONPILOT/Tender/SplashBidNoticeAbstractUI.aspx?menuIndex=3&amp;refID=7156734&amp;Result=3","7156734")</f>
        <v>0</v>
      </c>
      <c r="B6973" t="s">
        <v>2446</v>
      </c>
      <c r="C6973" t="s">
        <v>10454</v>
      </c>
      <c r="D6973" t="s">
        <v>19034</v>
      </c>
      <c r="E6973" t="s">
        <v>25170</v>
      </c>
      <c r="F6973" t="s">
        <v>32831</v>
      </c>
      <c r="G6973" t="s">
        <v>32839</v>
      </c>
      <c r="H6973" t="s">
        <v>32848</v>
      </c>
      <c r="I6973" t="s">
        <v>32870</v>
      </c>
      <c r="J6973" t="s">
        <v>37372</v>
      </c>
      <c r="K6973" t="s">
        <v>42731</v>
      </c>
      <c r="M6973" t="s">
        <v>45644</v>
      </c>
      <c r="N6973" t="s">
        <v>47424</v>
      </c>
      <c r="O6973" t="s">
        <v>47425</v>
      </c>
      <c r="P6973">
        <v>0</v>
      </c>
      <c r="Q6973">
        <v>0</v>
      </c>
      <c r="R6973" t="s">
        <v>47431</v>
      </c>
      <c r="S6973" t="s">
        <v>47565</v>
      </c>
      <c r="T6973" t="s">
        <v>49079</v>
      </c>
      <c r="U6973" t="s">
        <v>55535</v>
      </c>
      <c r="V6973" t="s">
        <v>63397</v>
      </c>
      <c r="W6973" t="s">
        <v>45644</v>
      </c>
      <c r="X6973" t="s">
        <v>47432</v>
      </c>
    </row>
    <row r="6974" spans="1:24">
      <c r="A6974">
        <f>HYPERLINK("https://www.philgeps.gov.ph/GEPSNONPILOT/Tender/SplashBidNoticeAbstractUI.aspx?menuIndex=3&amp;refID=7156759&amp;Result=3","7156759")</f>
        <v>0</v>
      </c>
      <c r="B6974" t="s">
        <v>2460</v>
      </c>
      <c r="C6974" t="s">
        <v>10455</v>
      </c>
      <c r="D6974" t="s">
        <v>19056</v>
      </c>
      <c r="E6974" t="s">
        <v>25171</v>
      </c>
      <c r="F6974" t="s">
        <v>32831</v>
      </c>
      <c r="G6974" t="s">
        <v>32839</v>
      </c>
      <c r="H6974" t="s">
        <v>32848</v>
      </c>
      <c r="I6974" t="s">
        <v>32857</v>
      </c>
      <c r="J6974" t="s">
        <v>37373</v>
      </c>
      <c r="K6974" t="s">
        <v>42730</v>
      </c>
      <c r="M6974" t="s">
        <v>45658</v>
      </c>
      <c r="N6974" t="s">
        <v>47424</v>
      </c>
      <c r="O6974" t="s">
        <v>47425</v>
      </c>
      <c r="P6974">
        <v>0</v>
      </c>
      <c r="Q6974">
        <v>4</v>
      </c>
      <c r="R6974" t="s">
        <v>47431</v>
      </c>
      <c r="S6974" t="s">
        <v>47565</v>
      </c>
      <c r="T6974" t="s">
        <v>49236</v>
      </c>
      <c r="U6974" t="s">
        <v>55536</v>
      </c>
      <c r="W6974" t="s">
        <v>45658</v>
      </c>
      <c r="X6974" t="s">
        <v>47432</v>
      </c>
    </row>
    <row r="6975" spans="1:24">
      <c r="A6975">
        <f>HYPERLINK("https://www.philgeps.gov.ph/GEPSNONPILOT/Tender/SplashBidNoticeAbstractUI.aspx?menuIndex=3&amp;refID=7156376&amp;Result=3","7156376")</f>
        <v>0</v>
      </c>
      <c r="B6975" t="s">
        <v>2461</v>
      </c>
      <c r="C6975" t="s">
        <v>10456</v>
      </c>
      <c r="D6975" t="s">
        <v>19037</v>
      </c>
      <c r="E6975" t="s">
        <v>25172</v>
      </c>
      <c r="F6975" t="s">
        <v>32831</v>
      </c>
      <c r="G6975" t="s">
        <v>32839</v>
      </c>
      <c r="H6975" t="s">
        <v>32849</v>
      </c>
      <c r="I6975" t="s">
        <v>4177</v>
      </c>
      <c r="J6975" t="s">
        <v>37374</v>
      </c>
      <c r="K6975" t="s">
        <v>42763</v>
      </c>
      <c r="M6975" t="s">
        <v>45659</v>
      </c>
      <c r="N6975" t="s">
        <v>47424</v>
      </c>
      <c r="O6975" t="s">
        <v>47425</v>
      </c>
      <c r="P6975">
        <v>0</v>
      </c>
      <c r="Q6975">
        <v>3</v>
      </c>
      <c r="R6975" t="s">
        <v>47431</v>
      </c>
      <c r="S6975" t="s">
        <v>47565</v>
      </c>
      <c r="T6975" t="s">
        <v>49186</v>
      </c>
      <c r="U6975" t="s">
        <v>55537</v>
      </c>
      <c r="W6975" t="s">
        <v>64509</v>
      </c>
      <c r="X6975" t="s">
        <v>47432</v>
      </c>
    </row>
    <row r="6976" spans="1:24">
      <c r="A6976">
        <f>HYPERLINK("https://www.philgeps.gov.ph/GEPSNONPILOT/Tender/SplashBidNoticeAbstractUI.aspx?menuIndex=3&amp;refID=7156795&amp;Result=3","7156795")</f>
        <v>0</v>
      </c>
      <c r="B6976" t="s">
        <v>2462</v>
      </c>
      <c r="C6976" t="s">
        <v>10457</v>
      </c>
      <c r="D6976" t="s">
        <v>19044</v>
      </c>
      <c r="E6976" t="s">
        <v>19555</v>
      </c>
      <c r="F6976" t="s">
        <v>32831</v>
      </c>
      <c r="G6976" t="s">
        <v>32839</v>
      </c>
      <c r="H6976" t="s">
        <v>32848</v>
      </c>
      <c r="I6976" t="s">
        <v>4438</v>
      </c>
      <c r="J6976" t="s">
        <v>33041</v>
      </c>
      <c r="K6976" t="s">
        <v>42730</v>
      </c>
      <c r="M6976" t="s">
        <v>45660</v>
      </c>
      <c r="N6976" t="s">
        <v>47424</v>
      </c>
      <c r="O6976" t="s">
        <v>47425</v>
      </c>
      <c r="P6976">
        <v>0</v>
      </c>
      <c r="Q6976">
        <v>1</v>
      </c>
      <c r="R6976" t="s">
        <v>47431</v>
      </c>
      <c r="S6976" t="s">
        <v>47565</v>
      </c>
      <c r="T6976" t="s">
        <v>49063</v>
      </c>
      <c r="U6976" t="s">
        <v>55538</v>
      </c>
      <c r="W6976" t="s">
        <v>45660</v>
      </c>
      <c r="X6976" t="s">
        <v>47432</v>
      </c>
    </row>
    <row r="6977" spans="1:24">
      <c r="A6977">
        <f>HYPERLINK("https://www.philgeps.gov.ph/GEPSNONPILOT/Tender/SplashBidNoticeAbstractUI.aspx?menuIndex=3&amp;refID=7156738&amp;Result=3","7156738")</f>
        <v>0</v>
      </c>
      <c r="B6977" t="s">
        <v>1914</v>
      </c>
      <c r="C6977" t="s">
        <v>10458</v>
      </c>
      <c r="D6977" t="s">
        <v>19062</v>
      </c>
      <c r="E6977" t="s">
        <v>25173</v>
      </c>
      <c r="F6977" t="s">
        <v>32831</v>
      </c>
      <c r="G6977" t="s">
        <v>32838</v>
      </c>
      <c r="H6977" t="s">
        <v>32848</v>
      </c>
      <c r="I6977" t="s">
        <v>32890</v>
      </c>
      <c r="J6977" t="s">
        <v>33455</v>
      </c>
      <c r="K6977" t="s">
        <v>42727</v>
      </c>
      <c r="M6977" t="s">
        <v>45066</v>
      </c>
      <c r="N6977" t="s">
        <v>47424</v>
      </c>
      <c r="O6977" t="s">
        <v>47425</v>
      </c>
      <c r="P6977">
        <v>0</v>
      </c>
      <c r="Q6977">
        <v>0</v>
      </c>
      <c r="R6977" t="s">
        <v>47431</v>
      </c>
      <c r="S6977" t="s">
        <v>47565</v>
      </c>
      <c r="T6977" t="s">
        <v>49089</v>
      </c>
      <c r="U6977" t="s">
        <v>55539</v>
      </c>
      <c r="W6977" t="s">
        <v>45066</v>
      </c>
      <c r="X6977" t="s">
        <v>47432</v>
      </c>
    </row>
    <row r="6978" spans="1:24">
      <c r="A6978">
        <f>HYPERLINK("https://www.philgeps.gov.ph/GEPSNONPILOT/Tender/SplashBidNoticeAbstractUI.aspx?menuIndex=3&amp;refID=7156794&amp;Result=3","7156794")</f>
        <v>0</v>
      </c>
      <c r="B6978" t="s">
        <v>2463</v>
      </c>
      <c r="C6978" t="s">
        <v>10459</v>
      </c>
      <c r="D6978" t="s">
        <v>19017</v>
      </c>
      <c r="E6978" t="s">
        <v>25174</v>
      </c>
      <c r="F6978" t="s">
        <v>32831</v>
      </c>
      <c r="G6978" t="s">
        <v>32840</v>
      </c>
      <c r="H6978" t="s">
        <v>32848</v>
      </c>
      <c r="I6978" t="s">
        <v>10805</v>
      </c>
      <c r="J6978" t="s">
        <v>33422</v>
      </c>
      <c r="K6978" t="s">
        <v>42726</v>
      </c>
      <c r="M6978" t="s">
        <v>45661</v>
      </c>
      <c r="N6978" t="s">
        <v>47424</v>
      </c>
      <c r="O6978" t="s">
        <v>47425</v>
      </c>
      <c r="P6978">
        <v>0</v>
      </c>
      <c r="Q6978">
        <v>11</v>
      </c>
      <c r="R6978" t="s">
        <v>47431</v>
      </c>
      <c r="S6978" t="s">
        <v>47565</v>
      </c>
      <c r="T6978" t="s">
        <v>49100</v>
      </c>
      <c r="U6978" t="s">
        <v>55540</v>
      </c>
      <c r="W6978" t="s">
        <v>45661</v>
      </c>
      <c r="X6978" t="s">
        <v>47432</v>
      </c>
    </row>
    <row r="6979" spans="1:24">
      <c r="A6979">
        <f>HYPERLINK("https://www.philgeps.gov.ph/GEPSNONPILOT/Tender/SplashBidNoticeAbstractUI.aspx?menuIndex=3&amp;refID=7156790&amp;Result=3","7156790")</f>
        <v>0</v>
      </c>
      <c r="B6979" t="s">
        <v>2425</v>
      </c>
      <c r="C6979" t="s">
        <v>10460</v>
      </c>
      <c r="D6979" t="s">
        <v>19050</v>
      </c>
      <c r="E6979" t="s">
        <v>25175</v>
      </c>
      <c r="F6979" t="s">
        <v>32831</v>
      </c>
      <c r="G6979" t="s">
        <v>32838</v>
      </c>
      <c r="H6979" t="s">
        <v>32848</v>
      </c>
      <c r="I6979" t="s">
        <v>32905</v>
      </c>
      <c r="J6979" t="s">
        <v>33853</v>
      </c>
      <c r="K6979" t="s">
        <v>42730</v>
      </c>
      <c r="M6979" t="s">
        <v>45622</v>
      </c>
      <c r="N6979" t="s">
        <v>47424</v>
      </c>
      <c r="O6979" t="s">
        <v>47425</v>
      </c>
      <c r="P6979">
        <v>0</v>
      </c>
      <c r="Q6979">
        <v>2</v>
      </c>
      <c r="R6979" t="s">
        <v>47431</v>
      </c>
      <c r="S6979" t="s">
        <v>47565</v>
      </c>
      <c r="T6979" t="s">
        <v>49127</v>
      </c>
      <c r="U6979" t="s">
        <v>55541</v>
      </c>
      <c r="W6979" t="s">
        <v>45622</v>
      </c>
      <c r="X6979" t="s">
        <v>47432</v>
      </c>
    </row>
    <row r="6980" spans="1:24">
      <c r="A6980">
        <f>HYPERLINK("https://www.philgeps.gov.ph/GEPSNONPILOT/Tender/SplashBidNoticeAbstractUI.aspx?menuIndex=3&amp;refID=7156788&amp;Result=3","7156788")</f>
        <v>0</v>
      </c>
      <c r="B6980" t="s">
        <v>2464</v>
      </c>
      <c r="C6980" t="s">
        <v>10461</v>
      </c>
      <c r="D6980" t="s">
        <v>19023</v>
      </c>
      <c r="E6980" t="s">
        <v>25176</v>
      </c>
      <c r="F6980" t="s">
        <v>32831</v>
      </c>
      <c r="G6980" t="s">
        <v>32838</v>
      </c>
      <c r="H6980" t="s">
        <v>32848</v>
      </c>
      <c r="I6980" t="s">
        <v>32874</v>
      </c>
      <c r="J6980" t="s">
        <v>37375</v>
      </c>
      <c r="K6980" t="s">
        <v>42759</v>
      </c>
      <c r="M6980" t="s">
        <v>45662</v>
      </c>
      <c r="N6980" t="s">
        <v>47424</v>
      </c>
      <c r="O6980" t="s">
        <v>47425</v>
      </c>
      <c r="P6980">
        <v>0</v>
      </c>
      <c r="Q6980">
        <v>2</v>
      </c>
      <c r="R6980" t="s">
        <v>47431</v>
      </c>
      <c r="S6980" t="s">
        <v>47565</v>
      </c>
      <c r="T6980" t="s">
        <v>49125</v>
      </c>
      <c r="U6980" t="s">
        <v>55542</v>
      </c>
      <c r="W6980" t="s">
        <v>45662</v>
      </c>
      <c r="X6980" t="s">
        <v>47432</v>
      </c>
    </row>
    <row r="6981" spans="1:24">
      <c r="A6981">
        <f>HYPERLINK("https://www.philgeps.gov.ph/GEPSNONPILOT/Tender/SplashBidNoticeAbstractUI.aspx?menuIndex=3&amp;refID=7155418&amp;Result=3","7155418")</f>
        <v>0</v>
      </c>
      <c r="B6981" t="s">
        <v>238</v>
      </c>
      <c r="C6981" t="s">
        <v>10462</v>
      </c>
      <c r="D6981" t="s">
        <v>19049</v>
      </c>
      <c r="E6981" t="s">
        <v>25177</v>
      </c>
      <c r="F6981" t="s">
        <v>32831</v>
      </c>
      <c r="G6981" t="s">
        <v>32843</v>
      </c>
      <c r="H6981" t="s">
        <v>32848</v>
      </c>
      <c r="I6981" t="s">
        <v>32870</v>
      </c>
      <c r="J6981" t="s">
        <v>37376</v>
      </c>
      <c r="K6981" t="s">
        <v>42759</v>
      </c>
      <c r="L6981" t="s">
        <v>238</v>
      </c>
      <c r="M6981" t="s">
        <v>43237</v>
      </c>
      <c r="N6981" t="s">
        <v>47424</v>
      </c>
      <c r="O6981" t="s">
        <v>47425</v>
      </c>
      <c r="P6981">
        <v>0</v>
      </c>
      <c r="Q6981">
        <v>0</v>
      </c>
      <c r="R6981" t="s">
        <v>47431</v>
      </c>
      <c r="S6981" t="s">
        <v>47565</v>
      </c>
      <c r="T6981" t="s">
        <v>49104</v>
      </c>
      <c r="U6981" t="s">
        <v>55543</v>
      </c>
      <c r="W6981" t="s">
        <v>43237</v>
      </c>
      <c r="X6981" t="s">
        <v>47432</v>
      </c>
    </row>
    <row r="6982" spans="1:24">
      <c r="A6982">
        <f>HYPERLINK("https://www.philgeps.gov.ph/GEPSNONPILOT/Tender/SplashBidNoticeAbstractUI.aspx?menuIndex=3&amp;refID=7156741&amp;Result=3","7156741")</f>
        <v>0</v>
      </c>
      <c r="B6982" t="s">
        <v>755</v>
      </c>
      <c r="C6982" t="s">
        <v>10463</v>
      </c>
      <c r="E6982" t="s">
        <v>25178</v>
      </c>
      <c r="F6982" t="s">
        <v>32831</v>
      </c>
      <c r="G6982" t="s">
        <v>32839</v>
      </c>
      <c r="H6982" t="s">
        <v>32848</v>
      </c>
      <c r="I6982" t="s">
        <v>32862</v>
      </c>
      <c r="J6982" t="s">
        <v>37377</v>
      </c>
      <c r="K6982" t="s">
        <v>42732</v>
      </c>
      <c r="M6982" t="s">
        <v>45605</v>
      </c>
      <c r="N6982" t="s">
        <v>47424</v>
      </c>
      <c r="O6982" t="s">
        <v>47425</v>
      </c>
      <c r="P6982">
        <v>0</v>
      </c>
      <c r="Q6982">
        <v>4</v>
      </c>
      <c r="R6982" t="s">
        <v>47431</v>
      </c>
      <c r="S6982" t="s">
        <v>47565</v>
      </c>
      <c r="T6982" t="s">
        <v>49150</v>
      </c>
      <c r="U6982" t="s">
        <v>55544</v>
      </c>
      <c r="W6982" t="s">
        <v>45605</v>
      </c>
      <c r="X6982" t="s">
        <v>47432</v>
      </c>
    </row>
    <row r="6983" spans="1:24">
      <c r="A6983">
        <f>HYPERLINK("https://www.philgeps.gov.ph/GEPSNONPILOT/Tender/SplashBidNoticeAbstractUI.aspx?menuIndex=3&amp;refID=7156793&amp;Result=3","7156793")</f>
        <v>0</v>
      </c>
      <c r="B6983" t="s">
        <v>1206</v>
      </c>
      <c r="C6983" t="s">
        <v>10464</v>
      </c>
      <c r="D6983" t="s">
        <v>19082</v>
      </c>
      <c r="E6983" t="s">
        <v>25179</v>
      </c>
      <c r="F6983" t="s">
        <v>32831</v>
      </c>
      <c r="G6983" t="s">
        <v>32839</v>
      </c>
      <c r="H6983" t="s">
        <v>32848</v>
      </c>
      <c r="I6983" t="s">
        <v>4487</v>
      </c>
      <c r="J6983" t="s">
        <v>37378</v>
      </c>
      <c r="K6983" t="s">
        <v>42732</v>
      </c>
      <c r="M6983" t="s">
        <v>44273</v>
      </c>
      <c r="N6983" t="s">
        <v>47424</v>
      </c>
      <c r="O6983" t="s">
        <v>47425</v>
      </c>
      <c r="P6983">
        <v>0</v>
      </c>
      <c r="Q6983">
        <v>1</v>
      </c>
      <c r="R6983" t="s">
        <v>47431</v>
      </c>
      <c r="S6983" t="s">
        <v>47565</v>
      </c>
      <c r="T6983" t="s">
        <v>49175</v>
      </c>
      <c r="U6983" t="s">
        <v>55545</v>
      </c>
      <c r="W6983" t="s">
        <v>44273</v>
      </c>
      <c r="X6983" t="s">
        <v>47432</v>
      </c>
    </row>
    <row r="6984" spans="1:24">
      <c r="A6984">
        <f>HYPERLINK("https://www.philgeps.gov.ph/GEPSNONPILOT/Tender/SplashBidNoticeAbstractUI.aspx?menuIndex=3&amp;refID=7156778&amp;Result=3","7156778")</f>
        <v>0</v>
      </c>
      <c r="B6984" t="s">
        <v>2366</v>
      </c>
      <c r="C6984" t="s">
        <v>10465</v>
      </c>
      <c r="D6984" t="s">
        <v>19060</v>
      </c>
      <c r="E6984" t="s">
        <v>25180</v>
      </c>
      <c r="F6984" t="s">
        <v>32831</v>
      </c>
      <c r="G6984" t="s">
        <v>32839</v>
      </c>
      <c r="H6984" t="s">
        <v>32848</v>
      </c>
      <c r="I6984" t="s">
        <v>32894</v>
      </c>
      <c r="J6984" t="s">
        <v>33007</v>
      </c>
      <c r="K6984" t="s">
        <v>42726</v>
      </c>
      <c r="M6984" t="s">
        <v>45556</v>
      </c>
      <c r="N6984" t="s">
        <v>47424</v>
      </c>
      <c r="O6984" t="s">
        <v>47425</v>
      </c>
      <c r="P6984">
        <v>0</v>
      </c>
      <c r="Q6984">
        <v>0</v>
      </c>
      <c r="R6984" t="s">
        <v>47431</v>
      </c>
      <c r="S6984" t="s">
        <v>47565</v>
      </c>
      <c r="T6984" t="s">
        <v>49160</v>
      </c>
      <c r="U6984" t="s">
        <v>55546</v>
      </c>
      <c r="W6984" t="s">
        <v>45556</v>
      </c>
      <c r="X6984" t="s">
        <v>47432</v>
      </c>
    </row>
    <row r="6985" spans="1:24">
      <c r="A6985">
        <f>HYPERLINK("https://www.philgeps.gov.ph/GEPSNONPILOT/Tender/SplashBidNoticeAbstractUI.aspx?menuIndex=3&amp;refID=7156789&amp;Result=3","7156789")</f>
        <v>0</v>
      </c>
      <c r="B6985" t="s">
        <v>654</v>
      </c>
      <c r="C6985" t="s">
        <v>10466</v>
      </c>
      <c r="D6985" t="s">
        <v>19071</v>
      </c>
      <c r="E6985" t="s">
        <v>25181</v>
      </c>
      <c r="F6985" t="s">
        <v>32831</v>
      </c>
      <c r="G6985" t="s">
        <v>32839</v>
      </c>
      <c r="H6985" t="s">
        <v>32848</v>
      </c>
      <c r="I6985" t="s">
        <v>7416</v>
      </c>
      <c r="J6985" t="s">
        <v>37379</v>
      </c>
      <c r="K6985" t="s">
        <v>42731</v>
      </c>
      <c r="M6985" t="s">
        <v>43672</v>
      </c>
      <c r="N6985" t="s">
        <v>47424</v>
      </c>
      <c r="O6985" t="s">
        <v>47425</v>
      </c>
      <c r="P6985">
        <v>0</v>
      </c>
      <c r="Q6985">
        <v>1</v>
      </c>
      <c r="R6985" t="s">
        <v>47431</v>
      </c>
      <c r="S6985" t="s">
        <v>47565</v>
      </c>
      <c r="T6985" t="s">
        <v>49148</v>
      </c>
      <c r="U6985" t="s">
        <v>55547</v>
      </c>
      <c r="W6985" t="s">
        <v>43672</v>
      </c>
      <c r="X6985" t="s">
        <v>47432</v>
      </c>
    </row>
    <row r="6986" spans="1:24">
      <c r="A6986">
        <f>HYPERLINK("https://www.philgeps.gov.ph/GEPSNONPILOT/Tender/SplashBidNoticeAbstractUI.aspx?menuIndex=3&amp;refID=7156775&amp;Result=3","7156775")</f>
        <v>0</v>
      </c>
      <c r="B6986" t="s">
        <v>1088</v>
      </c>
      <c r="C6986" t="s">
        <v>10467</v>
      </c>
      <c r="D6986" t="s">
        <v>19028</v>
      </c>
      <c r="E6986" t="s">
        <v>20435</v>
      </c>
      <c r="F6986" t="s">
        <v>32831</v>
      </c>
      <c r="G6986" t="s">
        <v>32838</v>
      </c>
      <c r="H6986" t="s">
        <v>32848</v>
      </c>
      <c r="I6986" t="s">
        <v>32862</v>
      </c>
      <c r="J6986" t="s">
        <v>37380</v>
      </c>
      <c r="K6986" t="s">
        <v>42731</v>
      </c>
      <c r="M6986" t="s">
        <v>44147</v>
      </c>
      <c r="N6986" t="s">
        <v>47424</v>
      </c>
      <c r="O6986" t="s">
        <v>47425</v>
      </c>
      <c r="P6986">
        <v>0</v>
      </c>
      <c r="Q6986">
        <v>3</v>
      </c>
      <c r="R6986" t="s">
        <v>47431</v>
      </c>
      <c r="S6986" t="s">
        <v>47565</v>
      </c>
      <c r="T6986" t="s">
        <v>49056</v>
      </c>
      <c r="U6986" t="s">
        <v>55548</v>
      </c>
      <c r="W6986" t="s">
        <v>44147</v>
      </c>
      <c r="X6986" t="s">
        <v>47432</v>
      </c>
    </row>
    <row r="6987" spans="1:24">
      <c r="A6987">
        <f>HYPERLINK("https://www.philgeps.gov.ph/GEPSNONPILOT/Tender/SplashBidNoticeAbstractUI.aspx?menuIndex=3&amp;refID=7156831&amp;Result=3","7156831")</f>
        <v>0</v>
      </c>
      <c r="B6987" t="s">
        <v>2443</v>
      </c>
      <c r="C6987" t="s">
        <v>4431</v>
      </c>
      <c r="D6987" t="s">
        <v>19023</v>
      </c>
      <c r="E6987" t="s">
        <v>25182</v>
      </c>
      <c r="F6987" t="s">
        <v>32831</v>
      </c>
      <c r="G6987" t="s">
        <v>32842</v>
      </c>
      <c r="H6987" t="s">
        <v>32848</v>
      </c>
      <c r="I6987" t="s">
        <v>32864</v>
      </c>
      <c r="J6987" t="s">
        <v>36185</v>
      </c>
      <c r="K6987" t="s">
        <v>42758</v>
      </c>
      <c r="L6987" t="s">
        <v>2443</v>
      </c>
      <c r="M6987" t="s">
        <v>45640</v>
      </c>
      <c r="N6987" t="s">
        <v>47424</v>
      </c>
      <c r="O6987" t="s">
        <v>47425</v>
      </c>
      <c r="P6987">
        <v>0</v>
      </c>
      <c r="Q6987">
        <v>3</v>
      </c>
      <c r="R6987" t="s">
        <v>47431</v>
      </c>
      <c r="S6987" t="s">
        <v>47565</v>
      </c>
      <c r="T6987" t="s">
        <v>49111</v>
      </c>
      <c r="U6987" t="s">
        <v>55549</v>
      </c>
      <c r="W6987" t="s">
        <v>45640</v>
      </c>
      <c r="X6987" t="s">
        <v>47432</v>
      </c>
    </row>
    <row r="6988" spans="1:24">
      <c r="A6988">
        <f>HYPERLINK("https://www.philgeps.gov.ph/GEPSNONPILOT/Tender/SplashBidNoticeAbstractUI.aspx?menuIndex=3&amp;refID=7156784&amp;Result=3","7156784")</f>
        <v>0</v>
      </c>
      <c r="B6988" t="s">
        <v>688</v>
      </c>
      <c r="C6988" t="s">
        <v>4859</v>
      </c>
      <c r="E6988" t="s">
        <v>25183</v>
      </c>
      <c r="F6988" t="s">
        <v>32831</v>
      </c>
      <c r="G6988" t="s">
        <v>32840</v>
      </c>
      <c r="H6988" t="s">
        <v>32848</v>
      </c>
      <c r="I6988" t="s">
        <v>9577</v>
      </c>
      <c r="J6988" t="s">
        <v>37381</v>
      </c>
      <c r="K6988" t="s">
        <v>42732</v>
      </c>
      <c r="M6988" t="s">
        <v>43707</v>
      </c>
      <c r="N6988" t="s">
        <v>47424</v>
      </c>
      <c r="O6988" t="s">
        <v>47425</v>
      </c>
      <c r="P6988">
        <v>0</v>
      </c>
      <c r="Q6988">
        <v>1</v>
      </c>
      <c r="R6988" t="s">
        <v>47431</v>
      </c>
      <c r="S6988" t="s">
        <v>47565</v>
      </c>
      <c r="T6988" t="s">
        <v>49259</v>
      </c>
      <c r="U6988" t="s">
        <v>51307</v>
      </c>
      <c r="W6988" t="s">
        <v>43707</v>
      </c>
      <c r="X6988" t="s">
        <v>47432</v>
      </c>
    </row>
    <row r="6989" spans="1:24">
      <c r="A6989">
        <f>HYPERLINK("https://www.philgeps.gov.ph/GEPSNONPILOT/Tender/SplashBidNoticeAbstractUI.aspx?menuIndex=3&amp;refID=7156791&amp;Result=3","7156791")</f>
        <v>0</v>
      </c>
      <c r="B6989" t="s">
        <v>2306</v>
      </c>
      <c r="C6989" t="s">
        <v>10468</v>
      </c>
      <c r="D6989" t="s">
        <v>19074</v>
      </c>
      <c r="E6989" t="s">
        <v>25184</v>
      </c>
      <c r="F6989" t="s">
        <v>32831</v>
      </c>
      <c r="G6989" t="s">
        <v>32838</v>
      </c>
      <c r="H6989" t="s">
        <v>32848</v>
      </c>
      <c r="I6989" t="s">
        <v>4776</v>
      </c>
      <c r="J6989" t="s">
        <v>33007</v>
      </c>
      <c r="K6989" t="s">
        <v>42727</v>
      </c>
      <c r="M6989" t="s">
        <v>45491</v>
      </c>
      <c r="N6989" t="s">
        <v>47424</v>
      </c>
      <c r="O6989" t="s">
        <v>47425</v>
      </c>
      <c r="P6989">
        <v>0</v>
      </c>
      <c r="Q6989">
        <v>2</v>
      </c>
      <c r="R6989" t="s">
        <v>47431</v>
      </c>
      <c r="S6989" t="s">
        <v>47565</v>
      </c>
      <c r="T6989" t="s">
        <v>49107</v>
      </c>
      <c r="U6989" t="s">
        <v>55550</v>
      </c>
      <c r="W6989" t="s">
        <v>45491</v>
      </c>
      <c r="X6989" t="s">
        <v>47432</v>
      </c>
    </row>
    <row r="6990" spans="1:24">
      <c r="A6990">
        <f>HYPERLINK("https://www.philgeps.gov.ph/GEPSNONPILOT/Tender/SplashBidNoticeAbstractUI.aspx?menuIndex=3&amp;refID=7156830&amp;Result=3","7156830")</f>
        <v>0</v>
      </c>
      <c r="B6990" t="s">
        <v>2426</v>
      </c>
      <c r="C6990" t="s">
        <v>10469</v>
      </c>
      <c r="D6990" t="s">
        <v>19019</v>
      </c>
      <c r="E6990" t="s">
        <v>25108</v>
      </c>
      <c r="F6990" t="s">
        <v>32831</v>
      </c>
      <c r="G6990" t="s">
        <v>32839</v>
      </c>
      <c r="H6990" t="s">
        <v>32850</v>
      </c>
      <c r="I6990" t="s">
        <v>7819</v>
      </c>
      <c r="J6990" t="s">
        <v>37382</v>
      </c>
      <c r="K6990" t="s">
        <v>42770</v>
      </c>
      <c r="M6990" t="s">
        <v>45623</v>
      </c>
      <c r="N6990" t="s">
        <v>47424</v>
      </c>
      <c r="O6990" t="s">
        <v>47425</v>
      </c>
      <c r="P6990">
        <v>0</v>
      </c>
      <c r="Q6990">
        <v>2</v>
      </c>
      <c r="R6990" t="s">
        <v>47431</v>
      </c>
      <c r="S6990" t="s">
        <v>47565</v>
      </c>
      <c r="T6990" t="s">
        <v>49463</v>
      </c>
      <c r="U6990" t="s">
        <v>55423</v>
      </c>
      <c r="V6990" t="s">
        <v>63398</v>
      </c>
      <c r="W6990" t="s">
        <v>45623</v>
      </c>
      <c r="X6990" t="s">
        <v>47432</v>
      </c>
    </row>
    <row r="6991" spans="1:24">
      <c r="A6991">
        <f>HYPERLINK("https://www.philgeps.gov.ph/GEPSNONPILOT/Tender/SplashBidNoticeAbstractUI.aspx?menuIndex=3&amp;refID=7156823&amp;Result=3","7156823")</f>
        <v>0</v>
      </c>
      <c r="B6991" t="s">
        <v>823</v>
      </c>
      <c r="C6991" t="s">
        <v>10470</v>
      </c>
      <c r="D6991" t="s">
        <v>19062</v>
      </c>
      <c r="E6991" t="s">
        <v>25185</v>
      </c>
      <c r="F6991" t="s">
        <v>32831</v>
      </c>
      <c r="G6991" t="s">
        <v>32839</v>
      </c>
      <c r="H6991" t="s">
        <v>32849</v>
      </c>
      <c r="I6991" t="s">
        <v>4177</v>
      </c>
      <c r="J6991" t="s">
        <v>37383</v>
      </c>
      <c r="K6991" t="s">
        <v>42761</v>
      </c>
      <c r="M6991" t="s">
        <v>45573</v>
      </c>
      <c r="N6991" t="s">
        <v>47424</v>
      </c>
      <c r="O6991" t="s">
        <v>47425</v>
      </c>
      <c r="P6991">
        <v>0</v>
      </c>
      <c r="Q6991">
        <v>1</v>
      </c>
      <c r="R6991" t="s">
        <v>47431</v>
      </c>
      <c r="S6991" t="s">
        <v>47565</v>
      </c>
      <c r="T6991" t="s">
        <v>49461</v>
      </c>
      <c r="U6991" t="s">
        <v>55315</v>
      </c>
      <c r="W6991" t="s">
        <v>45573</v>
      </c>
      <c r="X6991" t="s">
        <v>47432</v>
      </c>
    </row>
    <row r="6992" spans="1:24">
      <c r="A6992">
        <f>HYPERLINK("https://www.philgeps.gov.ph/GEPSNONPILOT/Tender/SplashBidNoticeAbstractUI.aspx?menuIndex=3&amp;refID=7155446&amp;Result=3","7155446")</f>
        <v>0</v>
      </c>
      <c r="B6992" t="s">
        <v>2257</v>
      </c>
      <c r="C6992" t="s">
        <v>10471</v>
      </c>
      <c r="D6992" t="s">
        <v>19083</v>
      </c>
      <c r="E6992" t="s">
        <v>19529</v>
      </c>
      <c r="F6992" t="s">
        <v>32831</v>
      </c>
      <c r="G6992" t="s">
        <v>32839</v>
      </c>
      <c r="H6992" t="s">
        <v>32849</v>
      </c>
      <c r="I6992" t="s">
        <v>4177</v>
      </c>
      <c r="J6992" t="s">
        <v>33083</v>
      </c>
      <c r="K6992" t="s">
        <v>42763</v>
      </c>
      <c r="M6992" t="s">
        <v>45439</v>
      </c>
      <c r="N6992" t="s">
        <v>47424</v>
      </c>
      <c r="O6992" t="s">
        <v>47425</v>
      </c>
      <c r="P6992">
        <v>0</v>
      </c>
      <c r="Q6992">
        <v>0</v>
      </c>
      <c r="R6992" t="s">
        <v>47431</v>
      </c>
      <c r="S6992" t="s">
        <v>47565</v>
      </c>
      <c r="T6992" t="s">
        <v>49077</v>
      </c>
      <c r="U6992" t="s">
        <v>55551</v>
      </c>
      <c r="W6992" t="s">
        <v>45439</v>
      </c>
      <c r="X6992" t="s">
        <v>47432</v>
      </c>
    </row>
    <row r="6993" spans="1:24">
      <c r="A6993">
        <f>HYPERLINK("https://www.philgeps.gov.ph/GEPSNONPILOT/Tender/SplashBidNoticeAbstractUI.aspx?menuIndex=3&amp;refID=7156822&amp;Result=3","7156822")</f>
        <v>0</v>
      </c>
      <c r="B6993" t="s">
        <v>223</v>
      </c>
      <c r="C6993" t="s">
        <v>10472</v>
      </c>
      <c r="E6993" t="s">
        <v>25186</v>
      </c>
      <c r="F6993" t="s">
        <v>32831</v>
      </c>
      <c r="G6993" t="s">
        <v>32838</v>
      </c>
      <c r="H6993" t="s">
        <v>32848</v>
      </c>
      <c r="I6993" t="s">
        <v>7751</v>
      </c>
      <c r="J6993" t="s">
        <v>32980</v>
      </c>
      <c r="K6993" t="s">
        <v>42727</v>
      </c>
      <c r="M6993" t="s">
        <v>43221</v>
      </c>
      <c r="N6993" t="s">
        <v>47424</v>
      </c>
      <c r="O6993" t="s">
        <v>47425</v>
      </c>
      <c r="P6993">
        <v>0</v>
      </c>
      <c r="Q6993">
        <v>0</v>
      </c>
      <c r="R6993" t="s">
        <v>47431</v>
      </c>
      <c r="S6993" t="s">
        <v>47565</v>
      </c>
      <c r="T6993" t="s">
        <v>49111</v>
      </c>
      <c r="U6993" t="s">
        <v>55552</v>
      </c>
      <c r="W6993" t="s">
        <v>43221</v>
      </c>
      <c r="X6993" t="s">
        <v>47432</v>
      </c>
    </row>
    <row r="6994" spans="1:24">
      <c r="A6994">
        <f>HYPERLINK("https://www.philgeps.gov.ph/GEPSNONPILOT/Tender/SplashBidNoticeAbstractUI.aspx?menuIndex=3&amp;refID=7156774&amp;Result=3","7156774")</f>
        <v>0</v>
      </c>
      <c r="B6994" t="s">
        <v>2465</v>
      </c>
      <c r="C6994" t="s">
        <v>10473</v>
      </c>
      <c r="D6994" t="s">
        <v>19017</v>
      </c>
      <c r="E6994" t="s">
        <v>25187</v>
      </c>
      <c r="F6994" t="s">
        <v>32831</v>
      </c>
      <c r="G6994" t="s">
        <v>32839</v>
      </c>
      <c r="H6994" t="s">
        <v>32848</v>
      </c>
      <c r="I6994" t="s">
        <v>32931</v>
      </c>
      <c r="J6994" t="s">
        <v>37384</v>
      </c>
      <c r="K6994" t="s">
        <v>42730</v>
      </c>
      <c r="M6994" t="s">
        <v>45663</v>
      </c>
      <c r="N6994" t="s">
        <v>47424</v>
      </c>
      <c r="O6994" t="s">
        <v>47425</v>
      </c>
      <c r="P6994">
        <v>0</v>
      </c>
      <c r="Q6994">
        <v>5</v>
      </c>
      <c r="R6994" t="s">
        <v>47431</v>
      </c>
      <c r="S6994" t="s">
        <v>47565</v>
      </c>
      <c r="T6994" t="s">
        <v>49079</v>
      </c>
      <c r="U6994" t="s">
        <v>55553</v>
      </c>
      <c r="W6994" t="s">
        <v>45663</v>
      </c>
      <c r="X6994" t="s">
        <v>47432</v>
      </c>
    </row>
    <row r="6995" spans="1:24">
      <c r="A6995">
        <f>HYPERLINK("https://www.philgeps.gov.ph/GEPSNONPILOT/Tender/SplashBidNoticeAbstractUI.aspx?menuIndex=3&amp;refID=7156821&amp;Result=3","7156821")</f>
        <v>0</v>
      </c>
      <c r="B6995" t="s">
        <v>960</v>
      </c>
      <c r="C6995" t="s">
        <v>10474</v>
      </c>
      <c r="D6995" t="s">
        <v>19017</v>
      </c>
      <c r="E6995" t="s">
        <v>25188</v>
      </c>
      <c r="F6995" t="s">
        <v>32831</v>
      </c>
      <c r="G6995" t="s">
        <v>32838</v>
      </c>
      <c r="H6995" t="s">
        <v>32848</v>
      </c>
      <c r="I6995" t="s">
        <v>32852</v>
      </c>
      <c r="J6995" t="s">
        <v>37385</v>
      </c>
      <c r="K6995" t="s">
        <v>42807</v>
      </c>
      <c r="M6995" t="s">
        <v>44410</v>
      </c>
      <c r="N6995" t="s">
        <v>47424</v>
      </c>
      <c r="O6995" t="s">
        <v>47425</v>
      </c>
      <c r="P6995">
        <v>0</v>
      </c>
      <c r="Q6995">
        <v>2</v>
      </c>
      <c r="R6995" t="s">
        <v>47431</v>
      </c>
      <c r="S6995" t="s">
        <v>47565</v>
      </c>
      <c r="T6995" t="s">
        <v>49205</v>
      </c>
      <c r="U6995" t="s">
        <v>55554</v>
      </c>
      <c r="W6995" t="s">
        <v>44410</v>
      </c>
      <c r="X6995" t="s">
        <v>47432</v>
      </c>
    </row>
    <row r="6996" spans="1:24">
      <c r="A6996">
        <f>HYPERLINK("https://www.philgeps.gov.ph/GEPSNONPILOT/Tender/SplashBidNoticeAbstractUI.aspx?menuIndex=3&amp;refID=7156819&amp;Result=3","7156819")</f>
        <v>0</v>
      </c>
      <c r="B6996" t="s">
        <v>688</v>
      </c>
      <c r="C6996" t="s">
        <v>4859</v>
      </c>
      <c r="E6996" t="s">
        <v>25189</v>
      </c>
      <c r="F6996" t="s">
        <v>32831</v>
      </c>
      <c r="G6996" t="s">
        <v>32840</v>
      </c>
      <c r="H6996" t="s">
        <v>32848</v>
      </c>
      <c r="I6996" t="s">
        <v>9577</v>
      </c>
      <c r="J6996" t="s">
        <v>37386</v>
      </c>
      <c r="K6996" t="s">
        <v>42732</v>
      </c>
      <c r="M6996" t="s">
        <v>43707</v>
      </c>
      <c r="N6996" t="s">
        <v>47424</v>
      </c>
      <c r="O6996" t="s">
        <v>47425</v>
      </c>
      <c r="P6996">
        <v>0</v>
      </c>
      <c r="Q6996">
        <v>1</v>
      </c>
      <c r="R6996" t="s">
        <v>47431</v>
      </c>
      <c r="S6996" t="s">
        <v>47565</v>
      </c>
      <c r="T6996" t="s">
        <v>49259</v>
      </c>
      <c r="U6996" t="s">
        <v>51307</v>
      </c>
      <c r="W6996" t="s">
        <v>43707</v>
      </c>
      <c r="X6996" t="s">
        <v>47432</v>
      </c>
    </row>
    <row r="6997" spans="1:24">
      <c r="A6997">
        <f>HYPERLINK("https://www.philgeps.gov.ph/GEPSNONPILOT/Tender/SplashBidNoticeAbstractUI.aspx?menuIndex=3&amp;refID=7156818&amp;Result=3","7156818")</f>
        <v>0</v>
      </c>
      <c r="B6997" t="s">
        <v>2466</v>
      </c>
      <c r="C6997" t="s">
        <v>10475</v>
      </c>
      <c r="D6997" t="s">
        <v>19045</v>
      </c>
      <c r="E6997" t="s">
        <v>25190</v>
      </c>
      <c r="F6997" t="s">
        <v>32831</v>
      </c>
      <c r="G6997" t="s">
        <v>32838</v>
      </c>
      <c r="H6997" t="s">
        <v>32848</v>
      </c>
      <c r="I6997" t="s">
        <v>32860</v>
      </c>
      <c r="J6997" t="s">
        <v>33568</v>
      </c>
      <c r="K6997" t="s">
        <v>42731</v>
      </c>
      <c r="M6997" t="s">
        <v>45664</v>
      </c>
      <c r="N6997" t="s">
        <v>47424</v>
      </c>
      <c r="O6997" t="s">
        <v>47425</v>
      </c>
      <c r="P6997">
        <v>0</v>
      </c>
      <c r="Q6997">
        <v>0</v>
      </c>
      <c r="R6997" t="s">
        <v>47431</v>
      </c>
      <c r="S6997" t="s">
        <v>47565</v>
      </c>
      <c r="T6997" t="s">
        <v>49119</v>
      </c>
      <c r="U6997" t="s">
        <v>55555</v>
      </c>
      <c r="W6997" t="s">
        <v>45664</v>
      </c>
      <c r="X6997" t="s">
        <v>47432</v>
      </c>
    </row>
    <row r="6998" spans="1:24">
      <c r="A6998">
        <f>HYPERLINK("https://www.philgeps.gov.ph/GEPSNONPILOT/Tender/SplashBidNoticeAbstractUI.aspx?menuIndex=3&amp;refID=7156827&amp;Result=3","7156827")</f>
        <v>0</v>
      </c>
      <c r="B6998" t="s">
        <v>1742</v>
      </c>
      <c r="C6998" t="s">
        <v>10476</v>
      </c>
      <c r="E6998" t="s">
        <v>25191</v>
      </c>
      <c r="F6998" t="s">
        <v>32831</v>
      </c>
      <c r="G6998" t="s">
        <v>32839</v>
      </c>
      <c r="H6998" t="s">
        <v>32848</v>
      </c>
      <c r="I6998" t="s">
        <v>32855</v>
      </c>
      <c r="J6998" t="s">
        <v>37387</v>
      </c>
      <c r="K6998" t="s">
        <v>42730</v>
      </c>
      <c r="M6998" t="s">
        <v>44865</v>
      </c>
      <c r="N6998" t="s">
        <v>47424</v>
      </c>
      <c r="O6998" t="s">
        <v>47425</v>
      </c>
      <c r="P6998">
        <v>0</v>
      </c>
      <c r="Q6998">
        <v>1</v>
      </c>
      <c r="R6998" t="s">
        <v>47431</v>
      </c>
      <c r="S6998" t="s">
        <v>47565</v>
      </c>
      <c r="T6998" t="s">
        <v>49079</v>
      </c>
      <c r="U6998" t="s">
        <v>53317</v>
      </c>
      <c r="W6998" t="s">
        <v>44865</v>
      </c>
      <c r="X6998" t="s">
        <v>47432</v>
      </c>
    </row>
    <row r="6999" spans="1:24">
      <c r="A6999">
        <f>HYPERLINK("https://www.philgeps.gov.ph/GEPSNONPILOT/Tender/SplashBidNoticeAbstractUI.aspx?menuIndex=3&amp;refID=7156813&amp;Result=3","7156813")</f>
        <v>0</v>
      </c>
      <c r="B6999" t="s">
        <v>262</v>
      </c>
      <c r="C6999" t="s">
        <v>10477</v>
      </c>
      <c r="D6999" t="s">
        <v>19049</v>
      </c>
      <c r="E6999" t="s">
        <v>25192</v>
      </c>
      <c r="F6999" t="s">
        <v>32831</v>
      </c>
      <c r="G6999" t="s">
        <v>32838</v>
      </c>
      <c r="H6999" t="s">
        <v>32848</v>
      </c>
      <c r="I6999" t="s">
        <v>7819</v>
      </c>
      <c r="J6999" t="s">
        <v>32980</v>
      </c>
      <c r="K6999" t="s">
        <v>42726</v>
      </c>
      <c r="M6999" t="s">
        <v>43261</v>
      </c>
      <c r="N6999" t="s">
        <v>47424</v>
      </c>
      <c r="O6999" t="s">
        <v>47425</v>
      </c>
      <c r="P6999">
        <v>0</v>
      </c>
      <c r="Q6999">
        <v>0</v>
      </c>
      <c r="R6999" t="s">
        <v>47431</v>
      </c>
      <c r="S6999" t="s">
        <v>47565</v>
      </c>
      <c r="T6999" t="s">
        <v>49243</v>
      </c>
      <c r="U6999" t="s">
        <v>55556</v>
      </c>
      <c r="W6999" t="s">
        <v>43261</v>
      </c>
      <c r="X6999" t="s">
        <v>47432</v>
      </c>
    </row>
    <row r="7000" spans="1:24">
      <c r="A7000">
        <f>HYPERLINK("https://www.philgeps.gov.ph/GEPSNONPILOT/Tender/SplashBidNoticeAbstractUI.aspx?menuIndex=3&amp;refID=7156825&amp;Result=3","7156825")</f>
        <v>0</v>
      </c>
      <c r="B7000" t="s">
        <v>2467</v>
      </c>
      <c r="C7000" t="s">
        <v>10478</v>
      </c>
      <c r="D7000" t="s">
        <v>19050</v>
      </c>
      <c r="E7000" t="s">
        <v>25193</v>
      </c>
      <c r="F7000" t="s">
        <v>32831</v>
      </c>
      <c r="G7000" t="s">
        <v>32839</v>
      </c>
      <c r="H7000" t="s">
        <v>32850</v>
      </c>
      <c r="I7000" t="s">
        <v>32859</v>
      </c>
      <c r="J7000" t="s">
        <v>37388</v>
      </c>
      <c r="K7000" t="s">
        <v>42730</v>
      </c>
      <c r="M7000" t="s">
        <v>45665</v>
      </c>
      <c r="N7000" t="s">
        <v>47424</v>
      </c>
      <c r="O7000" t="s">
        <v>47425</v>
      </c>
      <c r="P7000">
        <v>0</v>
      </c>
      <c r="Q7000">
        <v>3</v>
      </c>
      <c r="R7000" t="s">
        <v>47431</v>
      </c>
      <c r="S7000" t="s">
        <v>47565</v>
      </c>
      <c r="T7000" t="s">
        <v>49135</v>
      </c>
      <c r="U7000" t="s">
        <v>55557</v>
      </c>
      <c r="V7000" t="s">
        <v>55557</v>
      </c>
      <c r="W7000" t="s">
        <v>45665</v>
      </c>
      <c r="X7000" t="s">
        <v>47432</v>
      </c>
    </row>
    <row r="7001" spans="1:24">
      <c r="A7001">
        <f>HYPERLINK("https://www.philgeps.gov.ph/GEPSNONPILOT/Tender/SplashBidNoticeAbstractUI.aspx?menuIndex=3&amp;refID=7156779&amp;Result=3","7156779")</f>
        <v>0</v>
      </c>
      <c r="B7001" t="s">
        <v>471</v>
      </c>
      <c r="C7001" t="s">
        <v>10479</v>
      </c>
      <c r="D7001" t="s">
        <v>19027</v>
      </c>
      <c r="E7001" t="s">
        <v>25194</v>
      </c>
      <c r="F7001" t="s">
        <v>32831</v>
      </c>
      <c r="G7001" t="s">
        <v>32838</v>
      </c>
      <c r="H7001" t="s">
        <v>32848</v>
      </c>
      <c r="I7001" t="s">
        <v>4435</v>
      </c>
      <c r="J7001" t="s">
        <v>33090</v>
      </c>
      <c r="K7001" t="s">
        <v>42731</v>
      </c>
      <c r="M7001" t="s">
        <v>43476</v>
      </c>
      <c r="N7001" t="s">
        <v>47424</v>
      </c>
      <c r="O7001" t="s">
        <v>47425</v>
      </c>
      <c r="P7001">
        <v>0</v>
      </c>
      <c r="Q7001">
        <v>0</v>
      </c>
      <c r="R7001" t="s">
        <v>47431</v>
      </c>
      <c r="S7001" t="s">
        <v>47565</v>
      </c>
      <c r="T7001" t="s">
        <v>49114</v>
      </c>
      <c r="U7001" t="s">
        <v>55558</v>
      </c>
      <c r="W7001" t="s">
        <v>43476</v>
      </c>
      <c r="X7001" t="s">
        <v>47432</v>
      </c>
    </row>
    <row r="7002" spans="1:24">
      <c r="A7002">
        <f>HYPERLINK("https://www.philgeps.gov.ph/GEPSNONPILOT/Tender/SplashBidNoticeAbstractUI.aspx?menuIndex=3&amp;refID=7156820&amp;Result=3","7156820")</f>
        <v>0</v>
      </c>
      <c r="B7002" t="s">
        <v>654</v>
      </c>
      <c r="C7002" t="s">
        <v>10480</v>
      </c>
      <c r="D7002" t="s">
        <v>19071</v>
      </c>
      <c r="E7002" t="s">
        <v>25195</v>
      </c>
      <c r="F7002" t="s">
        <v>32831</v>
      </c>
      <c r="G7002" t="s">
        <v>32839</v>
      </c>
      <c r="H7002" t="s">
        <v>32848</v>
      </c>
      <c r="I7002" t="s">
        <v>7416</v>
      </c>
      <c r="J7002" t="s">
        <v>37389</v>
      </c>
      <c r="K7002" t="s">
        <v>42731</v>
      </c>
      <c r="M7002" t="s">
        <v>43672</v>
      </c>
      <c r="N7002" t="s">
        <v>47424</v>
      </c>
      <c r="O7002" t="s">
        <v>47425</v>
      </c>
      <c r="P7002">
        <v>0</v>
      </c>
      <c r="Q7002">
        <v>1</v>
      </c>
      <c r="R7002" t="s">
        <v>47431</v>
      </c>
      <c r="S7002" t="s">
        <v>47565</v>
      </c>
      <c r="T7002" t="s">
        <v>49148</v>
      </c>
      <c r="U7002" t="s">
        <v>55559</v>
      </c>
      <c r="W7002" t="s">
        <v>43672</v>
      </c>
      <c r="X7002" t="s">
        <v>47432</v>
      </c>
    </row>
    <row r="7003" spans="1:24">
      <c r="A7003">
        <f>HYPERLINK("https://www.philgeps.gov.ph/GEPSNONPILOT/Tender/SplashBidNoticeAbstractUI.aspx?menuIndex=3&amp;refID=7156739&amp;Result=3","7156739")</f>
        <v>0</v>
      </c>
      <c r="B7003" t="s">
        <v>688</v>
      </c>
      <c r="C7003" t="s">
        <v>4859</v>
      </c>
      <c r="E7003" t="s">
        <v>25196</v>
      </c>
      <c r="F7003" t="s">
        <v>32831</v>
      </c>
      <c r="G7003" t="s">
        <v>32840</v>
      </c>
      <c r="H7003" t="s">
        <v>32848</v>
      </c>
      <c r="I7003" t="s">
        <v>9577</v>
      </c>
      <c r="J7003" t="s">
        <v>37390</v>
      </c>
      <c r="K7003" t="s">
        <v>42732</v>
      </c>
      <c r="M7003" t="s">
        <v>43707</v>
      </c>
      <c r="N7003" t="s">
        <v>47424</v>
      </c>
      <c r="O7003" t="s">
        <v>47425</v>
      </c>
      <c r="P7003">
        <v>0</v>
      </c>
      <c r="Q7003">
        <v>1</v>
      </c>
      <c r="R7003" t="s">
        <v>47431</v>
      </c>
      <c r="S7003" t="s">
        <v>47565</v>
      </c>
      <c r="T7003" t="s">
        <v>49259</v>
      </c>
      <c r="U7003" t="s">
        <v>51307</v>
      </c>
      <c r="W7003" t="s">
        <v>43707</v>
      </c>
      <c r="X7003" t="s">
        <v>47432</v>
      </c>
    </row>
    <row r="7004" spans="1:24">
      <c r="A7004">
        <f>HYPERLINK("https://www.philgeps.gov.ph/GEPSNONPILOT/Tender/SplashBidNoticeAbstractUI.aspx?menuIndex=3&amp;refID=7156801&amp;Result=3","7156801")</f>
        <v>0</v>
      </c>
      <c r="B7004" t="s">
        <v>2341</v>
      </c>
      <c r="C7004" t="s">
        <v>10481</v>
      </c>
      <c r="D7004" t="s">
        <v>19027</v>
      </c>
      <c r="E7004" t="s">
        <v>25197</v>
      </c>
      <c r="F7004" t="s">
        <v>32831</v>
      </c>
      <c r="G7004" t="s">
        <v>32838</v>
      </c>
      <c r="H7004" t="s">
        <v>32848</v>
      </c>
      <c r="I7004" t="s">
        <v>4776</v>
      </c>
      <c r="J7004" t="s">
        <v>37391</v>
      </c>
      <c r="K7004" t="s">
        <v>42726</v>
      </c>
      <c r="M7004" t="s">
        <v>45528</v>
      </c>
      <c r="N7004" t="s">
        <v>47424</v>
      </c>
      <c r="O7004" t="s">
        <v>47425</v>
      </c>
      <c r="P7004">
        <v>0</v>
      </c>
      <c r="Q7004">
        <v>0</v>
      </c>
      <c r="R7004" t="s">
        <v>47431</v>
      </c>
      <c r="S7004" t="s">
        <v>47565</v>
      </c>
      <c r="T7004" t="s">
        <v>49238</v>
      </c>
      <c r="U7004" t="s">
        <v>55560</v>
      </c>
      <c r="W7004" t="s">
        <v>45528</v>
      </c>
      <c r="X7004" t="s">
        <v>47432</v>
      </c>
    </row>
    <row r="7005" spans="1:24">
      <c r="A7005">
        <f>HYPERLINK("https://www.philgeps.gov.ph/GEPSNONPILOT/Tender/SplashBidNoticeAbstractUI.aspx?menuIndex=3&amp;refID=7156815&amp;Result=3","7156815")</f>
        <v>0</v>
      </c>
      <c r="B7005" t="s">
        <v>1097</v>
      </c>
      <c r="C7005" t="s">
        <v>10482</v>
      </c>
      <c r="D7005" t="s">
        <v>19077</v>
      </c>
      <c r="E7005" t="s">
        <v>25198</v>
      </c>
      <c r="F7005" t="s">
        <v>32831</v>
      </c>
      <c r="G7005" t="s">
        <v>32839</v>
      </c>
      <c r="H7005" t="s">
        <v>32849</v>
      </c>
      <c r="I7005" t="s">
        <v>4177</v>
      </c>
      <c r="J7005" t="s">
        <v>37392</v>
      </c>
      <c r="K7005" t="s">
        <v>42766</v>
      </c>
      <c r="M7005" t="s">
        <v>44156</v>
      </c>
      <c r="N7005" t="s">
        <v>47424</v>
      </c>
      <c r="O7005" t="s">
        <v>47425</v>
      </c>
      <c r="P7005">
        <v>0</v>
      </c>
      <c r="Q7005">
        <v>2</v>
      </c>
      <c r="R7005" t="s">
        <v>47431</v>
      </c>
      <c r="S7005" t="s">
        <v>47565</v>
      </c>
      <c r="T7005" t="s">
        <v>49236</v>
      </c>
      <c r="U7005" t="s">
        <v>55561</v>
      </c>
      <c r="W7005" t="s">
        <v>44156</v>
      </c>
      <c r="X7005" t="s">
        <v>47432</v>
      </c>
    </row>
    <row r="7006" spans="1:24">
      <c r="A7006">
        <f>HYPERLINK("https://www.philgeps.gov.ph/GEPSNONPILOT/Tender/SplashBidNoticeAbstractUI.aspx?menuIndex=3&amp;refID=7156798&amp;Result=3","7156798")</f>
        <v>0</v>
      </c>
      <c r="B7006" t="s">
        <v>2468</v>
      </c>
      <c r="C7006" t="s">
        <v>10483</v>
      </c>
      <c r="D7006" t="s">
        <v>19068</v>
      </c>
      <c r="E7006" t="s">
        <v>19219</v>
      </c>
      <c r="F7006" t="s">
        <v>32831</v>
      </c>
      <c r="G7006" t="s">
        <v>32838</v>
      </c>
      <c r="H7006" t="s">
        <v>32848</v>
      </c>
      <c r="I7006" t="s">
        <v>32883</v>
      </c>
      <c r="J7006" t="s">
        <v>37393</v>
      </c>
      <c r="K7006" t="s">
        <v>42727</v>
      </c>
      <c r="M7006" t="s">
        <v>45666</v>
      </c>
      <c r="N7006" t="s">
        <v>47424</v>
      </c>
      <c r="O7006" t="s">
        <v>47425</v>
      </c>
      <c r="P7006">
        <v>0</v>
      </c>
      <c r="Q7006">
        <v>2</v>
      </c>
      <c r="R7006" t="s">
        <v>47431</v>
      </c>
      <c r="S7006" t="s">
        <v>47565</v>
      </c>
      <c r="T7006" t="s">
        <v>49056</v>
      </c>
      <c r="U7006" t="s">
        <v>55562</v>
      </c>
      <c r="W7006" t="s">
        <v>45666</v>
      </c>
      <c r="X7006" t="s">
        <v>47432</v>
      </c>
    </row>
    <row r="7007" spans="1:24">
      <c r="A7007">
        <f>HYPERLINK("https://www.philgeps.gov.ph/GEPSNONPILOT/Tender/SplashBidNoticeAbstractUI.aspx?menuIndex=3&amp;refID=7156811&amp;Result=3","7156811")</f>
        <v>0</v>
      </c>
      <c r="B7007" t="s">
        <v>99</v>
      </c>
      <c r="C7007" t="s">
        <v>10484</v>
      </c>
      <c r="D7007" t="s">
        <v>19054</v>
      </c>
      <c r="E7007" t="s">
        <v>25199</v>
      </c>
      <c r="F7007" t="s">
        <v>32831</v>
      </c>
      <c r="G7007" t="s">
        <v>32839</v>
      </c>
      <c r="H7007" t="s">
        <v>32848</v>
      </c>
      <c r="I7007" t="s">
        <v>5379</v>
      </c>
      <c r="J7007" t="s">
        <v>33137</v>
      </c>
      <c r="K7007" t="s">
        <v>42759</v>
      </c>
      <c r="M7007" t="s">
        <v>43096</v>
      </c>
      <c r="N7007" t="s">
        <v>47424</v>
      </c>
      <c r="O7007" t="s">
        <v>47425</v>
      </c>
      <c r="P7007">
        <v>0</v>
      </c>
      <c r="Q7007">
        <v>0</v>
      </c>
      <c r="R7007" t="s">
        <v>47431</v>
      </c>
      <c r="S7007" t="s">
        <v>47565</v>
      </c>
      <c r="T7007" t="s">
        <v>49108</v>
      </c>
      <c r="U7007" t="s">
        <v>49821</v>
      </c>
      <c r="W7007" t="s">
        <v>43096</v>
      </c>
      <c r="X7007" t="s">
        <v>47432</v>
      </c>
    </row>
    <row r="7008" spans="1:24">
      <c r="A7008">
        <f>HYPERLINK("https://www.philgeps.gov.ph/GEPSNONPILOT/Tender/SplashBidNoticeAbstractUI.aspx?menuIndex=3&amp;refID=7156849&amp;Result=3","7156849")</f>
        <v>0</v>
      </c>
      <c r="B7008" t="s">
        <v>99</v>
      </c>
      <c r="C7008" t="s">
        <v>10485</v>
      </c>
      <c r="D7008" t="s">
        <v>19054</v>
      </c>
      <c r="E7008" t="s">
        <v>25200</v>
      </c>
      <c r="F7008" t="s">
        <v>32831</v>
      </c>
      <c r="G7008" t="s">
        <v>32839</v>
      </c>
      <c r="H7008" t="s">
        <v>32848</v>
      </c>
      <c r="I7008" t="s">
        <v>7416</v>
      </c>
      <c r="J7008" t="s">
        <v>37394</v>
      </c>
      <c r="K7008" t="s">
        <v>42730</v>
      </c>
      <c r="M7008" t="s">
        <v>43096</v>
      </c>
      <c r="N7008" t="s">
        <v>47424</v>
      </c>
      <c r="O7008" t="s">
        <v>47425</v>
      </c>
      <c r="P7008">
        <v>0</v>
      </c>
      <c r="Q7008">
        <v>0</v>
      </c>
      <c r="R7008" t="s">
        <v>47431</v>
      </c>
      <c r="S7008" t="s">
        <v>47565</v>
      </c>
      <c r="T7008" t="s">
        <v>49108</v>
      </c>
      <c r="U7008" t="s">
        <v>49821</v>
      </c>
      <c r="W7008" t="s">
        <v>43096</v>
      </c>
      <c r="X7008" t="s">
        <v>47432</v>
      </c>
    </row>
    <row r="7009" spans="1:24">
      <c r="A7009">
        <f>HYPERLINK("https://www.philgeps.gov.ph/GEPSNONPILOT/Tender/SplashBidNoticeAbstractUI.aspx?menuIndex=3&amp;refID=7156806&amp;Result=3","7156806")</f>
        <v>0</v>
      </c>
      <c r="B7009" t="s">
        <v>671</v>
      </c>
      <c r="C7009" t="s">
        <v>10486</v>
      </c>
      <c r="D7009" t="s">
        <v>19030</v>
      </c>
      <c r="E7009" t="s">
        <v>25201</v>
      </c>
      <c r="F7009" t="s">
        <v>32831</v>
      </c>
      <c r="G7009" t="s">
        <v>32839</v>
      </c>
      <c r="H7009" t="s">
        <v>32848</v>
      </c>
      <c r="I7009" t="s">
        <v>4776</v>
      </c>
      <c r="J7009" t="s">
        <v>33339</v>
      </c>
      <c r="K7009" t="s">
        <v>42730</v>
      </c>
      <c r="M7009" t="s">
        <v>45667</v>
      </c>
      <c r="N7009" t="s">
        <v>47424</v>
      </c>
      <c r="O7009" t="s">
        <v>47425</v>
      </c>
      <c r="P7009">
        <v>0</v>
      </c>
      <c r="Q7009">
        <v>10</v>
      </c>
      <c r="R7009" t="s">
        <v>47431</v>
      </c>
      <c r="S7009" t="s">
        <v>47565</v>
      </c>
      <c r="T7009" t="s">
        <v>49470</v>
      </c>
      <c r="U7009" t="s">
        <v>52028</v>
      </c>
      <c r="V7009" t="s">
        <v>62919</v>
      </c>
      <c r="W7009" t="s">
        <v>45667</v>
      </c>
      <c r="X7009" t="s">
        <v>47432</v>
      </c>
    </row>
    <row r="7010" spans="1:24">
      <c r="A7010">
        <f>HYPERLINK("https://www.philgeps.gov.ph/GEPSNONPILOT/Tender/SplashBidNoticeAbstractUI.aspx?menuIndex=3&amp;refID=7156866&amp;Result=3","7156866")</f>
        <v>0</v>
      </c>
      <c r="B7010" t="s">
        <v>2389</v>
      </c>
      <c r="C7010" t="s">
        <v>10487</v>
      </c>
      <c r="D7010" t="s">
        <v>19043</v>
      </c>
      <c r="E7010" t="s">
        <v>25202</v>
      </c>
      <c r="F7010" t="s">
        <v>32831</v>
      </c>
      <c r="G7010" t="s">
        <v>32839</v>
      </c>
      <c r="H7010" t="s">
        <v>32849</v>
      </c>
      <c r="I7010" t="s">
        <v>4177</v>
      </c>
      <c r="J7010" t="s">
        <v>33257</v>
      </c>
      <c r="K7010" t="s">
        <v>42809</v>
      </c>
      <c r="M7010" t="s">
        <v>45580</v>
      </c>
      <c r="N7010" t="s">
        <v>47424</v>
      </c>
      <c r="O7010" t="s">
        <v>47425</v>
      </c>
      <c r="P7010">
        <v>0</v>
      </c>
      <c r="Q7010">
        <v>0</v>
      </c>
      <c r="R7010" t="s">
        <v>47431</v>
      </c>
      <c r="S7010" t="s">
        <v>47565</v>
      </c>
      <c r="T7010" t="s">
        <v>49070</v>
      </c>
      <c r="U7010" t="s">
        <v>55563</v>
      </c>
      <c r="W7010" t="s">
        <v>45580</v>
      </c>
      <c r="X7010" t="s">
        <v>47432</v>
      </c>
    </row>
    <row r="7011" spans="1:24">
      <c r="A7011">
        <f>HYPERLINK("https://www.philgeps.gov.ph/GEPSNONPILOT/Tender/SplashBidNoticeAbstractUI.aspx?menuIndex=3&amp;refID=7156864&amp;Result=3","7156864")</f>
        <v>0</v>
      </c>
      <c r="B7011" t="s">
        <v>770</v>
      </c>
      <c r="C7011" t="s">
        <v>10488</v>
      </c>
      <c r="D7011" t="s">
        <v>19042</v>
      </c>
      <c r="E7011" t="s">
        <v>25203</v>
      </c>
      <c r="F7011" t="s">
        <v>32831</v>
      </c>
      <c r="G7011" t="s">
        <v>32838</v>
      </c>
      <c r="H7011" t="s">
        <v>32848</v>
      </c>
      <c r="I7011" t="s">
        <v>4303</v>
      </c>
      <c r="J7011" t="s">
        <v>37395</v>
      </c>
      <c r="K7011" t="s">
        <v>42727</v>
      </c>
      <c r="M7011" t="s">
        <v>43799</v>
      </c>
      <c r="N7011" t="s">
        <v>47424</v>
      </c>
      <c r="O7011" t="s">
        <v>47425</v>
      </c>
      <c r="P7011">
        <v>0</v>
      </c>
      <c r="Q7011">
        <v>0</v>
      </c>
      <c r="R7011" t="s">
        <v>47431</v>
      </c>
      <c r="S7011" t="s">
        <v>47565</v>
      </c>
      <c r="T7011" t="s">
        <v>49166</v>
      </c>
      <c r="U7011" t="s">
        <v>55564</v>
      </c>
      <c r="W7011" t="s">
        <v>43799</v>
      </c>
      <c r="X7011" t="s">
        <v>47432</v>
      </c>
    </row>
    <row r="7012" spans="1:24">
      <c r="A7012">
        <f>HYPERLINK("https://www.philgeps.gov.ph/GEPSNONPILOT/Tender/SplashBidNoticeAbstractUI.aspx?menuIndex=3&amp;refID=7156769&amp;Result=3","7156769")</f>
        <v>0</v>
      </c>
      <c r="B7012" t="s">
        <v>1176</v>
      </c>
      <c r="C7012" t="s">
        <v>10489</v>
      </c>
      <c r="D7012" t="s">
        <v>19078</v>
      </c>
      <c r="E7012" t="s">
        <v>25204</v>
      </c>
      <c r="F7012" t="s">
        <v>32831</v>
      </c>
      <c r="G7012" t="s">
        <v>32839</v>
      </c>
      <c r="H7012" t="s">
        <v>32849</v>
      </c>
      <c r="I7012" t="s">
        <v>4177</v>
      </c>
      <c r="J7012" t="s">
        <v>35331</v>
      </c>
      <c r="K7012" t="s">
        <v>42900</v>
      </c>
      <c r="M7012" t="s">
        <v>44242</v>
      </c>
      <c r="N7012" t="s">
        <v>47424</v>
      </c>
      <c r="O7012" t="s">
        <v>47425</v>
      </c>
      <c r="P7012">
        <v>0</v>
      </c>
      <c r="Q7012">
        <v>0</v>
      </c>
      <c r="R7012" t="s">
        <v>47431</v>
      </c>
      <c r="S7012" t="s">
        <v>47565</v>
      </c>
      <c r="T7012" t="s">
        <v>49139</v>
      </c>
      <c r="U7012" t="s">
        <v>55565</v>
      </c>
      <c r="W7012" t="s">
        <v>44242</v>
      </c>
      <c r="X7012" t="s">
        <v>47432</v>
      </c>
    </row>
    <row r="7013" spans="1:24">
      <c r="A7013">
        <f>HYPERLINK("https://www.philgeps.gov.ph/GEPSNONPILOT/Tender/SplashBidNoticeAbstractUI.aspx?menuIndex=3&amp;refID=7156863&amp;Result=3","7156863")</f>
        <v>0</v>
      </c>
      <c r="B7013" t="s">
        <v>2415</v>
      </c>
      <c r="C7013" t="s">
        <v>10490</v>
      </c>
      <c r="D7013" t="s">
        <v>19044</v>
      </c>
      <c r="E7013" t="s">
        <v>25205</v>
      </c>
      <c r="F7013" t="s">
        <v>32831</v>
      </c>
      <c r="G7013" t="s">
        <v>32840</v>
      </c>
      <c r="H7013" t="s">
        <v>32848</v>
      </c>
      <c r="I7013" t="s">
        <v>32854</v>
      </c>
      <c r="J7013" t="s">
        <v>37396</v>
      </c>
      <c r="K7013" t="s">
        <v>42732</v>
      </c>
      <c r="M7013" t="s">
        <v>45610</v>
      </c>
      <c r="N7013" t="s">
        <v>47424</v>
      </c>
      <c r="O7013" t="s">
        <v>47425</v>
      </c>
      <c r="P7013">
        <v>0</v>
      </c>
      <c r="Q7013">
        <v>2</v>
      </c>
      <c r="R7013" t="s">
        <v>47431</v>
      </c>
      <c r="S7013" t="s">
        <v>47565</v>
      </c>
      <c r="T7013" t="s">
        <v>49079</v>
      </c>
      <c r="U7013" t="s">
        <v>55566</v>
      </c>
      <c r="W7013" t="s">
        <v>45610</v>
      </c>
      <c r="X7013" t="s">
        <v>47432</v>
      </c>
    </row>
    <row r="7014" spans="1:24">
      <c r="A7014">
        <f>HYPERLINK("https://www.philgeps.gov.ph/GEPSNONPILOT/Tender/SplashBidNoticeAbstractUI.aspx?menuIndex=3&amp;refID=7156861&amp;Result=3","7156861")</f>
        <v>0</v>
      </c>
      <c r="B7014" t="s">
        <v>2466</v>
      </c>
      <c r="C7014" t="s">
        <v>10491</v>
      </c>
      <c r="D7014" t="s">
        <v>19045</v>
      </c>
      <c r="E7014" t="s">
        <v>25206</v>
      </c>
      <c r="F7014" t="s">
        <v>32831</v>
      </c>
      <c r="G7014" t="s">
        <v>32839</v>
      </c>
      <c r="H7014" t="s">
        <v>32848</v>
      </c>
      <c r="I7014" t="s">
        <v>4776</v>
      </c>
      <c r="J7014" t="s">
        <v>33433</v>
      </c>
      <c r="K7014" t="s">
        <v>42731</v>
      </c>
      <c r="M7014" t="s">
        <v>45664</v>
      </c>
      <c r="N7014" t="s">
        <v>47424</v>
      </c>
      <c r="O7014" t="s">
        <v>47425</v>
      </c>
      <c r="P7014">
        <v>0</v>
      </c>
      <c r="Q7014">
        <v>0</v>
      </c>
      <c r="R7014" t="s">
        <v>47431</v>
      </c>
      <c r="S7014" t="s">
        <v>47565</v>
      </c>
      <c r="T7014" t="s">
        <v>49471</v>
      </c>
      <c r="U7014" t="s">
        <v>55567</v>
      </c>
      <c r="W7014" t="s">
        <v>45664</v>
      </c>
      <c r="X7014" t="s">
        <v>47432</v>
      </c>
    </row>
    <row r="7015" spans="1:24">
      <c r="A7015">
        <f>HYPERLINK("https://www.philgeps.gov.ph/GEPSNONPILOT/Tender/SplashBidNoticeAbstractUI.aspx?menuIndex=3&amp;refID=7156856&amp;Result=3","7156856")</f>
        <v>0</v>
      </c>
      <c r="B7015" t="s">
        <v>1097</v>
      </c>
      <c r="C7015" t="s">
        <v>10492</v>
      </c>
      <c r="D7015" t="s">
        <v>19077</v>
      </c>
      <c r="E7015" t="s">
        <v>25207</v>
      </c>
      <c r="F7015" t="s">
        <v>32831</v>
      </c>
      <c r="G7015" t="s">
        <v>32839</v>
      </c>
      <c r="H7015" t="s">
        <v>32849</v>
      </c>
      <c r="I7015" t="s">
        <v>4177</v>
      </c>
      <c r="J7015" t="s">
        <v>35331</v>
      </c>
      <c r="K7015" t="s">
        <v>42788</v>
      </c>
      <c r="M7015" t="s">
        <v>44156</v>
      </c>
      <c r="N7015" t="s">
        <v>47424</v>
      </c>
      <c r="O7015" t="s">
        <v>47425</v>
      </c>
      <c r="P7015">
        <v>0</v>
      </c>
      <c r="Q7015">
        <v>2</v>
      </c>
      <c r="R7015" t="s">
        <v>47431</v>
      </c>
      <c r="S7015" t="s">
        <v>47565</v>
      </c>
      <c r="T7015" t="s">
        <v>49236</v>
      </c>
      <c r="U7015" t="s">
        <v>55568</v>
      </c>
      <c r="W7015" t="s">
        <v>44156</v>
      </c>
      <c r="X7015" t="s">
        <v>47432</v>
      </c>
    </row>
    <row r="7016" spans="1:24">
      <c r="A7016">
        <f>HYPERLINK("https://www.philgeps.gov.ph/GEPSNONPILOT/Tender/SplashBidNoticeAbstractUI.aspx?menuIndex=3&amp;refID=7156855&amp;Result=3","7156855")</f>
        <v>0</v>
      </c>
      <c r="B7016" t="s">
        <v>761</v>
      </c>
      <c r="C7016" t="s">
        <v>10493</v>
      </c>
      <c r="D7016" t="s">
        <v>19022</v>
      </c>
      <c r="E7016" t="s">
        <v>25208</v>
      </c>
      <c r="F7016" t="s">
        <v>32831</v>
      </c>
      <c r="G7016" t="s">
        <v>32839</v>
      </c>
      <c r="H7016" t="s">
        <v>32848</v>
      </c>
      <c r="I7016" t="s">
        <v>7751</v>
      </c>
      <c r="J7016" t="s">
        <v>33794</v>
      </c>
      <c r="K7016" t="s">
        <v>42747</v>
      </c>
      <c r="M7016" t="s">
        <v>43787</v>
      </c>
      <c r="N7016" t="s">
        <v>47424</v>
      </c>
      <c r="O7016" t="s">
        <v>47425</v>
      </c>
      <c r="P7016">
        <v>0</v>
      </c>
      <c r="Q7016">
        <v>1</v>
      </c>
      <c r="R7016" t="s">
        <v>47431</v>
      </c>
      <c r="S7016" t="s">
        <v>47565</v>
      </c>
      <c r="T7016" t="s">
        <v>49291</v>
      </c>
      <c r="U7016" t="s">
        <v>55569</v>
      </c>
      <c r="W7016" t="s">
        <v>43787</v>
      </c>
      <c r="X7016" t="s">
        <v>47432</v>
      </c>
    </row>
    <row r="7017" spans="1:24">
      <c r="A7017">
        <f>HYPERLINK("https://www.philgeps.gov.ph/GEPSNONPILOT/Tender/SplashBidNoticeAbstractUI.aspx?menuIndex=3&amp;refID=7156853&amp;Result=3","7156853")</f>
        <v>0</v>
      </c>
      <c r="B7017" t="s">
        <v>1753</v>
      </c>
      <c r="C7017" t="s">
        <v>10494</v>
      </c>
      <c r="D7017" t="s">
        <v>19104</v>
      </c>
      <c r="E7017" t="s">
        <v>25209</v>
      </c>
      <c r="F7017" t="s">
        <v>32831</v>
      </c>
      <c r="G7017" t="s">
        <v>32838</v>
      </c>
      <c r="H7017" t="s">
        <v>32848</v>
      </c>
      <c r="I7017" t="s">
        <v>32903</v>
      </c>
      <c r="J7017" t="s">
        <v>33468</v>
      </c>
      <c r="K7017" t="s">
        <v>42727</v>
      </c>
      <c r="M7017" t="s">
        <v>44877</v>
      </c>
      <c r="N7017" t="s">
        <v>47424</v>
      </c>
      <c r="O7017" t="s">
        <v>47425</v>
      </c>
      <c r="P7017">
        <v>0</v>
      </c>
      <c r="Q7017">
        <v>2</v>
      </c>
      <c r="R7017" t="s">
        <v>47431</v>
      </c>
      <c r="S7017" t="s">
        <v>47565</v>
      </c>
      <c r="T7017" t="s">
        <v>49111</v>
      </c>
      <c r="U7017" t="s">
        <v>55570</v>
      </c>
      <c r="W7017" t="s">
        <v>44877</v>
      </c>
      <c r="X7017" t="s">
        <v>47432</v>
      </c>
    </row>
    <row r="7018" spans="1:24">
      <c r="A7018">
        <f>HYPERLINK("https://www.philgeps.gov.ph/GEPSNONPILOT/Tender/SplashBidNoticeAbstractUI.aspx?menuIndex=3&amp;refID=7156851&amp;Result=3","7156851")</f>
        <v>0</v>
      </c>
      <c r="B7018" t="s">
        <v>231</v>
      </c>
      <c r="C7018" t="s">
        <v>10495</v>
      </c>
      <c r="D7018" t="s">
        <v>19039</v>
      </c>
      <c r="E7018" t="s">
        <v>25210</v>
      </c>
      <c r="F7018" t="s">
        <v>32831</v>
      </c>
      <c r="G7018" t="s">
        <v>32839</v>
      </c>
      <c r="H7018" t="s">
        <v>32848</v>
      </c>
      <c r="I7018" t="s">
        <v>7751</v>
      </c>
      <c r="J7018" t="s">
        <v>37397</v>
      </c>
      <c r="K7018" t="s">
        <v>42763</v>
      </c>
      <c r="M7018" t="s">
        <v>43230</v>
      </c>
      <c r="N7018" t="s">
        <v>47424</v>
      </c>
      <c r="O7018" t="s">
        <v>47425</v>
      </c>
      <c r="P7018">
        <v>0</v>
      </c>
      <c r="Q7018">
        <v>7</v>
      </c>
      <c r="R7018" t="s">
        <v>47431</v>
      </c>
      <c r="S7018" t="s">
        <v>47565</v>
      </c>
      <c r="T7018" t="s">
        <v>49077</v>
      </c>
      <c r="U7018" t="s">
        <v>55571</v>
      </c>
      <c r="W7018" t="s">
        <v>43230</v>
      </c>
      <c r="X7018" t="s">
        <v>47432</v>
      </c>
    </row>
    <row r="7019" spans="1:24">
      <c r="A7019">
        <f>HYPERLINK("https://www.philgeps.gov.ph/GEPSNONPILOT/Tender/SplashBidNoticeAbstractUI.aspx?menuIndex=3&amp;refID=7156862&amp;Result=3","7156862")</f>
        <v>0</v>
      </c>
      <c r="B7019" t="s">
        <v>99</v>
      </c>
      <c r="C7019" t="s">
        <v>10496</v>
      </c>
      <c r="D7019" t="s">
        <v>19054</v>
      </c>
      <c r="E7019" t="s">
        <v>25211</v>
      </c>
      <c r="F7019" t="s">
        <v>32831</v>
      </c>
      <c r="G7019" t="s">
        <v>32839</v>
      </c>
      <c r="H7019" t="s">
        <v>32848</v>
      </c>
      <c r="I7019" t="s">
        <v>7751</v>
      </c>
      <c r="J7019" t="s">
        <v>33087</v>
      </c>
      <c r="K7019" t="s">
        <v>42730</v>
      </c>
      <c r="M7019" t="s">
        <v>43096</v>
      </c>
      <c r="N7019" t="s">
        <v>47424</v>
      </c>
      <c r="O7019" t="s">
        <v>47425</v>
      </c>
      <c r="P7019">
        <v>0</v>
      </c>
      <c r="Q7019">
        <v>0</v>
      </c>
      <c r="R7019" t="s">
        <v>47431</v>
      </c>
      <c r="S7019" t="s">
        <v>47565</v>
      </c>
      <c r="T7019" t="s">
        <v>49108</v>
      </c>
      <c r="U7019" t="s">
        <v>49821</v>
      </c>
      <c r="W7019" t="s">
        <v>43096</v>
      </c>
      <c r="X7019" t="s">
        <v>47432</v>
      </c>
    </row>
    <row r="7020" spans="1:24">
      <c r="A7020">
        <f>HYPERLINK("https://www.philgeps.gov.ph/GEPSNONPILOT/Tender/SplashBidNoticeAbstractUI.aspx?menuIndex=3&amp;refID=7156844&amp;Result=3","7156844")</f>
        <v>0</v>
      </c>
      <c r="B7020" t="s">
        <v>2469</v>
      </c>
      <c r="C7020" t="s">
        <v>10497</v>
      </c>
      <c r="D7020" t="s">
        <v>19027</v>
      </c>
      <c r="E7020" t="s">
        <v>25212</v>
      </c>
      <c r="F7020" t="s">
        <v>32833</v>
      </c>
      <c r="G7020" t="s">
        <v>32838</v>
      </c>
      <c r="H7020" t="s">
        <v>32848</v>
      </c>
      <c r="I7020" t="s">
        <v>7416</v>
      </c>
      <c r="J7020" t="s">
        <v>37398</v>
      </c>
      <c r="K7020" t="s">
        <v>42727</v>
      </c>
      <c r="M7020" t="s">
        <v>45668</v>
      </c>
      <c r="N7020" t="s">
        <v>47424</v>
      </c>
      <c r="O7020" t="s">
        <v>47425</v>
      </c>
      <c r="P7020">
        <v>0</v>
      </c>
      <c r="Q7020">
        <v>0</v>
      </c>
      <c r="R7020" t="s">
        <v>47431</v>
      </c>
      <c r="S7020" t="s">
        <v>47565</v>
      </c>
      <c r="T7020" t="s">
        <v>49079</v>
      </c>
      <c r="U7020" t="s">
        <v>55572</v>
      </c>
      <c r="W7020" t="s">
        <v>45668</v>
      </c>
      <c r="X7020" t="s">
        <v>47432</v>
      </c>
    </row>
    <row r="7021" spans="1:24">
      <c r="A7021">
        <f>HYPERLINK("https://www.philgeps.gov.ph/GEPSNONPILOT/Tender/SplashBidNoticeAbstractUI.aspx?menuIndex=3&amp;refID=7156803&amp;Result=3","7156803")</f>
        <v>0</v>
      </c>
      <c r="B7021" t="s">
        <v>1892</v>
      </c>
      <c r="C7021" t="s">
        <v>10498</v>
      </c>
      <c r="D7021" t="s">
        <v>19027</v>
      </c>
      <c r="E7021" t="s">
        <v>25213</v>
      </c>
      <c r="F7021" t="s">
        <v>32831</v>
      </c>
      <c r="G7021" t="s">
        <v>32839</v>
      </c>
      <c r="H7021" t="s">
        <v>32849</v>
      </c>
      <c r="I7021" t="s">
        <v>4177</v>
      </c>
      <c r="J7021" t="s">
        <v>37399</v>
      </c>
      <c r="K7021" t="s">
        <v>42732</v>
      </c>
      <c r="M7021" t="s">
        <v>45039</v>
      </c>
      <c r="N7021" t="s">
        <v>47424</v>
      </c>
      <c r="O7021" t="s">
        <v>47425</v>
      </c>
      <c r="P7021">
        <v>0</v>
      </c>
      <c r="Q7021">
        <v>0</v>
      </c>
      <c r="R7021" t="s">
        <v>47431</v>
      </c>
      <c r="S7021" t="s">
        <v>47565</v>
      </c>
      <c r="T7021" t="s">
        <v>49077</v>
      </c>
      <c r="U7021" t="s">
        <v>55573</v>
      </c>
      <c r="W7021" t="s">
        <v>45039</v>
      </c>
      <c r="X7021" t="s">
        <v>47432</v>
      </c>
    </row>
    <row r="7022" spans="1:24">
      <c r="A7022">
        <f>HYPERLINK("https://www.philgeps.gov.ph/GEPSNONPILOT/Tender/SplashBidNoticeAbstractUI.aspx?menuIndex=3&amp;refID=7156842&amp;Result=3","7156842")</f>
        <v>0</v>
      </c>
      <c r="B7022" t="s">
        <v>1751</v>
      </c>
      <c r="C7022" t="s">
        <v>10499</v>
      </c>
      <c r="D7022" t="s">
        <v>19027</v>
      </c>
      <c r="E7022" t="s">
        <v>19200</v>
      </c>
      <c r="F7022" t="s">
        <v>32831</v>
      </c>
      <c r="G7022" t="s">
        <v>32839</v>
      </c>
      <c r="H7022" t="s">
        <v>32848</v>
      </c>
      <c r="I7022" t="s">
        <v>9577</v>
      </c>
      <c r="J7022" t="s">
        <v>37400</v>
      </c>
      <c r="K7022" t="s">
        <v>42825</v>
      </c>
      <c r="M7022" t="s">
        <v>44875</v>
      </c>
      <c r="N7022" t="s">
        <v>47424</v>
      </c>
      <c r="O7022" t="s">
        <v>47425</v>
      </c>
      <c r="P7022">
        <v>0</v>
      </c>
      <c r="Q7022">
        <v>5</v>
      </c>
      <c r="R7022" t="s">
        <v>47431</v>
      </c>
      <c r="S7022" t="s">
        <v>47565</v>
      </c>
      <c r="T7022" t="s">
        <v>49384</v>
      </c>
      <c r="U7022" t="s">
        <v>55574</v>
      </c>
      <c r="W7022" t="s">
        <v>44875</v>
      </c>
      <c r="X7022" t="s">
        <v>47432</v>
      </c>
    </row>
    <row r="7023" spans="1:24">
      <c r="A7023">
        <f>HYPERLINK("https://www.philgeps.gov.ph/GEPSNONPILOT/Tender/SplashBidNoticeAbstractUI.aspx?menuIndex=3&amp;refID=7156896&amp;Result=3","7156896")</f>
        <v>0</v>
      </c>
      <c r="B7023" t="s">
        <v>2415</v>
      </c>
      <c r="C7023" t="s">
        <v>10500</v>
      </c>
      <c r="D7023" t="s">
        <v>19044</v>
      </c>
      <c r="E7023" t="s">
        <v>25214</v>
      </c>
      <c r="F7023" t="s">
        <v>32831</v>
      </c>
      <c r="G7023" t="s">
        <v>32840</v>
      </c>
      <c r="H7023" t="s">
        <v>32848</v>
      </c>
      <c r="I7023" t="s">
        <v>7819</v>
      </c>
      <c r="J7023" t="s">
        <v>36840</v>
      </c>
      <c r="K7023" t="s">
        <v>42732</v>
      </c>
      <c r="M7023" t="s">
        <v>45610</v>
      </c>
      <c r="N7023" t="s">
        <v>47424</v>
      </c>
      <c r="O7023" t="s">
        <v>47425</v>
      </c>
      <c r="P7023">
        <v>0</v>
      </c>
      <c r="Q7023">
        <v>0</v>
      </c>
      <c r="R7023" t="s">
        <v>47431</v>
      </c>
      <c r="S7023" t="s">
        <v>47565</v>
      </c>
      <c r="T7023" t="s">
        <v>49079</v>
      </c>
      <c r="U7023" t="s">
        <v>55575</v>
      </c>
      <c r="W7023" t="s">
        <v>45610</v>
      </c>
      <c r="X7023" t="s">
        <v>47432</v>
      </c>
    </row>
    <row r="7024" spans="1:24">
      <c r="A7024">
        <f>HYPERLINK("https://www.philgeps.gov.ph/GEPSNONPILOT/Tender/SplashBidNoticeAbstractUI.aspx?menuIndex=3&amp;refID=7156773&amp;Result=3","7156773")</f>
        <v>0</v>
      </c>
      <c r="B7024" t="s">
        <v>1157</v>
      </c>
      <c r="C7024" t="s">
        <v>10501</v>
      </c>
      <c r="D7024" t="s">
        <v>19077</v>
      </c>
      <c r="E7024" t="s">
        <v>25215</v>
      </c>
      <c r="F7024" t="s">
        <v>32831</v>
      </c>
      <c r="G7024" t="s">
        <v>32839</v>
      </c>
      <c r="H7024" t="s">
        <v>32848</v>
      </c>
      <c r="I7024" t="s">
        <v>9577</v>
      </c>
      <c r="J7024" t="s">
        <v>37401</v>
      </c>
      <c r="K7024" t="s">
        <v>42730</v>
      </c>
      <c r="M7024" t="s">
        <v>44222</v>
      </c>
      <c r="N7024" t="s">
        <v>47424</v>
      </c>
      <c r="O7024" t="s">
        <v>47425</v>
      </c>
      <c r="Q7024">
        <v>2</v>
      </c>
      <c r="R7024" t="s">
        <v>47431</v>
      </c>
      <c r="S7024" t="s">
        <v>47579</v>
      </c>
      <c r="T7024" t="s">
        <v>49125</v>
      </c>
      <c r="U7024" t="s">
        <v>55576</v>
      </c>
      <c r="V7024" t="s">
        <v>57402</v>
      </c>
      <c r="W7024" t="s">
        <v>44222</v>
      </c>
      <c r="X7024" t="s">
        <v>47432</v>
      </c>
    </row>
    <row r="7025" spans="1:24">
      <c r="A7025">
        <f>HYPERLINK("https://www.philgeps.gov.ph/GEPSNONPILOT/Tender/SplashBidNoticeAbstractUI.aspx?menuIndex=3&amp;refID=7156810&amp;Result=3","7156810")</f>
        <v>0</v>
      </c>
      <c r="B7025" t="s">
        <v>1048</v>
      </c>
      <c r="C7025" t="s">
        <v>10502</v>
      </c>
      <c r="D7025" t="s">
        <v>19017</v>
      </c>
      <c r="E7025" t="s">
        <v>25216</v>
      </c>
      <c r="F7025" t="s">
        <v>32831</v>
      </c>
      <c r="G7025" t="s">
        <v>32839</v>
      </c>
      <c r="H7025" t="s">
        <v>32848</v>
      </c>
      <c r="I7025" t="s">
        <v>7751</v>
      </c>
      <c r="J7025" t="s">
        <v>37402</v>
      </c>
      <c r="K7025" t="s">
        <v>42780</v>
      </c>
      <c r="M7025" t="s">
        <v>44104</v>
      </c>
      <c r="N7025" t="s">
        <v>47424</v>
      </c>
      <c r="O7025" t="s">
        <v>47425</v>
      </c>
      <c r="Q7025">
        <v>12</v>
      </c>
      <c r="R7025" t="s">
        <v>47431</v>
      </c>
      <c r="S7025" t="s">
        <v>47580</v>
      </c>
      <c r="T7025" t="s">
        <v>49065</v>
      </c>
      <c r="U7025" t="s">
        <v>55577</v>
      </c>
      <c r="W7025" t="s">
        <v>44104</v>
      </c>
      <c r="X7025" t="s">
        <v>47432</v>
      </c>
    </row>
    <row r="7026" spans="1:24">
      <c r="A7026">
        <f>HYPERLINK("https://www.philgeps.gov.ph/GEPSNONPILOT/Tender/SplashBidNoticeAbstractUI.aspx?menuIndex=3&amp;refID=7156891&amp;Result=3","7156891")</f>
        <v>0</v>
      </c>
      <c r="B7026" t="s">
        <v>1097</v>
      </c>
      <c r="C7026" t="s">
        <v>10503</v>
      </c>
      <c r="D7026" t="s">
        <v>19077</v>
      </c>
      <c r="E7026" t="s">
        <v>25217</v>
      </c>
      <c r="F7026" t="s">
        <v>32831</v>
      </c>
      <c r="G7026" t="s">
        <v>32839</v>
      </c>
      <c r="H7026" t="s">
        <v>32849</v>
      </c>
      <c r="I7026" t="s">
        <v>4177</v>
      </c>
      <c r="J7026" t="s">
        <v>37403</v>
      </c>
      <c r="K7026" t="s">
        <v>42747</v>
      </c>
      <c r="M7026" t="s">
        <v>44156</v>
      </c>
      <c r="N7026" t="s">
        <v>47424</v>
      </c>
      <c r="O7026" t="s">
        <v>47425</v>
      </c>
      <c r="P7026">
        <v>0</v>
      </c>
      <c r="Q7026">
        <v>0</v>
      </c>
      <c r="R7026" t="s">
        <v>47431</v>
      </c>
      <c r="S7026" t="s">
        <v>47565</v>
      </c>
      <c r="T7026" t="s">
        <v>49236</v>
      </c>
      <c r="U7026" t="s">
        <v>55578</v>
      </c>
      <c r="W7026" t="s">
        <v>44156</v>
      </c>
      <c r="X7026" t="s">
        <v>47432</v>
      </c>
    </row>
    <row r="7027" spans="1:24">
      <c r="A7027">
        <f>HYPERLINK("https://www.philgeps.gov.ph/GEPSNONPILOT/Tender/SplashBidNoticeAbstractUI.aspx?menuIndex=3&amp;refID=7156887&amp;Result=3","7156887")</f>
        <v>0</v>
      </c>
      <c r="B7027" t="s">
        <v>455</v>
      </c>
      <c r="C7027" t="s">
        <v>10504</v>
      </c>
      <c r="D7027" t="s">
        <v>19023</v>
      </c>
      <c r="E7027" t="s">
        <v>25218</v>
      </c>
      <c r="F7027" t="s">
        <v>32831</v>
      </c>
      <c r="G7027" t="s">
        <v>32838</v>
      </c>
      <c r="H7027" t="s">
        <v>32848</v>
      </c>
      <c r="I7027" t="s">
        <v>32884</v>
      </c>
      <c r="J7027" t="s">
        <v>34102</v>
      </c>
      <c r="K7027" t="s">
        <v>42726</v>
      </c>
      <c r="M7027" t="s">
        <v>43460</v>
      </c>
      <c r="N7027" t="s">
        <v>47424</v>
      </c>
      <c r="O7027" t="s">
        <v>47425</v>
      </c>
      <c r="P7027">
        <v>0</v>
      </c>
      <c r="Q7027">
        <v>3</v>
      </c>
      <c r="R7027" t="s">
        <v>47431</v>
      </c>
      <c r="S7027" t="s">
        <v>47565</v>
      </c>
      <c r="T7027" t="s">
        <v>49141</v>
      </c>
      <c r="U7027" t="s">
        <v>50288</v>
      </c>
      <c r="W7027" t="s">
        <v>43460</v>
      </c>
      <c r="X7027" t="s">
        <v>47432</v>
      </c>
    </row>
    <row r="7028" spans="1:24">
      <c r="A7028">
        <f>HYPERLINK("https://www.philgeps.gov.ph/GEPSNONPILOT/Tender/SplashBidNoticeAbstractUI.aspx?menuIndex=3&amp;refID=7156885&amp;Result=3","7156885")</f>
        <v>0</v>
      </c>
      <c r="B7028" t="s">
        <v>1110</v>
      </c>
      <c r="C7028" t="s">
        <v>10505</v>
      </c>
      <c r="D7028" t="s">
        <v>19022</v>
      </c>
      <c r="E7028" t="s">
        <v>19555</v>
      </c>
      <c r="F7028" t="s">
        <v>32831</v>
      </c>
      <c r="G7028" t="s">
        <v>32840</v>
      </c>
      <c r="H7028" t="s">
        <v>32848</v>
      </c>
      <c r="I7028" t="s">
        <v>32858</v>
      </c>
      <c r="J7028" t="s">
        <v>37404</v>
      </c>
      <c r="K7028" t="s">
        <v>42759</v>
      </c>
      <c r="M7028" t="s">
        <v>44170</v>
      </c>
      <c r="N7028" t="s">
        <v>47424</v>
      </c>
      <c r="O7028" t="s">
        <v>47425</v>
      </c>
      <c r="P7028">
        <v>0</v>
      </c>
      <c r="Q7028">
        <v>2</v>
      </c>
      <c r="R7028" t="s">
        <v>47431</v>
      </c>
      <c r="S7028" t="s">
        <v>47565</v>
      </c>
      <c r="T7028" t="s">
        <v>49119</v>
      </c>
      <c r="U7028" t="s">
        <v>55579</v>
      </c>
      <c r="V7028" t="s">
        <v>63399</v>
      </c>
      <c r="W7028" t="s">
        <v>44170</v>
      </c>
      <c r="X7028" t="s">
        <v>47432</v>
      </c>
    </row>
    <row r="7029" spans="1:24">
      <c r="A7029">
        <f>HYPERLINK("https://www.philgeps.gov.ph/GEPSNONPILOT/Tender/SplashBidNoticeAbstractUI.aspx?menuIndex=3&amp;refID=7156884&amp;Result=3","7156884")</f>
        <v>0</v>
      </c>
      <c r="B7029" t="s">
        <v>2470</v>
      </c>
      <c r="C7029" t="s">
        <v>10506</v>
      </c>
      <c r="D7029" t="s">
        <v>19074</v>
      </c>
      <c r="E7029" t="s">
        <v>10506</v>
      </c>
      <c r="F7029" t="s">
        <v>32831</v>
      </c>
      <c r="G7029" t="s">
        <v>32838</v>
      </c>
      <c r="H7029" t="s">
        <v>32849</v>
      </c>
      <c r="I7029" t="s">
        <v>4177</v>
      </c>
      <c r="J7029" t="s">
        <v>32983</v>
      </c>
      <c r="K7029" t="s">
        <v>42748</v>
      </c>
      <c r="M7029" t="s">
        <v>45669</v>
      </c>
      <c r="N7029" t="s">
        <v>47424</v>
      </c>
      <c r="O7029" t="s">
        <v>47425</v>
      </c>
      <c r="P7029">
        <v>0</v>
      </c>
      <c r="Q7029">
        <v>0</v>
      </c>
      <c r="R7029" t="s">
        <v>47431</v>
      </c>
      <c r="S7029" t="s">
        <v>47565</v>
      </c>
      <c r="T7029" t="s">
        <v>49238</v>
      </c>
      <c r="U7029" t="s">
        <v>55580</v>
      </c>
      <c r="W7029" t="s">
        <v>45669</v>
      </c>
      <c r="X7029" t="s">
        <v>47432</v>
      </c>
    </row>
    <row r="7030" spans="1:24">
      <c r="A7030">
        <f>HYPERLINK("https://www.philgeps.gov.ph/GEPSNONPILOT/Tender/SplashBidNoticeAbstractUI.aspx?menuIndex=3&amp;refID=7156848&amp;Result=3","7156848")</f>
        <v>0</v>
      </c>
      <c r="B7030" t="s">
        <v>454</v>
      </c>
      <c r="C7030" t="s">
        <v>10507</v>
      </c>
      <c r="D7030" t="s">
        <v>19017</v>
      </c>
      <c r="E7030" t="s">
        <v>25219</v>
      </c>
      <c r="F7030" t="s">
        <v>32831</v>
      </c>
      <c r="G7030" t="s">
        <v>32838</v>
      </c>
      <c r="H7030" t="s">
        <v>32850</v>
      </c>
      <c r="I7030" t="s">
        <v>32856</v>
      </c>
      <c r="J7030" t="s">
        <v>33090</v>
      </c>
      <c r="K7030" t="s">
        <v>42726</v>
      </c>
      <c r="M7030" t="s">
        <v>43459</v>
      </c>
      <c r="N7030" t="s">
        <v>47424</v>
      </c>
      <c r="O7030" t="s">
        <v>47425</v>
      </c>
      <c r="P7030">
        <v>0</v>
      </c>
      <c r="Q7030">
        <v>9</v>
      </c>
      <c r="R7030" t="s">
        <v>47431</v>
      </c>
      <c r="S7030" t="s">
        <v>47565</v>
      </c>
      <c r="T7030" t="s">
        <v>49244</v>
      </c>
      <c r="U7030" t="s">
        <v>53790</v>
      </c>
      <c r="W7030" t="s">
        <v>43459</v>
      </c>
      <c r="X7030" t="s">
        <v>47432</v>
      </c>
    </row>
    <row r="7031" spans="1:24">
      <c r="A7031">
        <f>HYPERLINK("https://www.philgeps.gov.ph/GEPSNONPILOT/Tender/SplashBidNoticeAbstractUI.aspx?menuIndex=3&amp;refID=7156883&amp;Result=3","7156883")</f>
        <v>0</v>
      </c>
      <c r="B7031" t="s">
        <v>2471</v>
      </c>
      <c r="C7031" t="s">
        <v>10508</v>
      </c>
      <c r="D7031" t="s">
        <v>19035</v>
      </c>
      <c r="E7031" t="s">
        <v>25220</v>
      </c>
      <c r="F7031" t="s">
        <v>32831</v>
      </c>
      <c r="G7031" t="s">
        <v>32839</v>
      </c>
      <c r="H7031" t="s">
        <v>32848</v>
      </c>
      <c r="I7031" t="s">
        <v>8577</v>
      </c>
      <c r="J7031" t="s">
        <v>33464</v>
      </c>
      <c r="K7031" t="s">
        <v>42731</v>
      </c>
      <c r="L7031" t="s">
        <v>2471</v>
      </c>
      <c r="M7031" t="s">
        <v>45670</v>
      </c>
      <c r="N7031" t="s">
        <v>47424</v>
      </c>
      <c r="O7031" t="s">
        <v>47425</v>
      </c>
      <c r="P7031">
        <v>0</v>
      </c>
      <c r="Q7031">
        <v>0</v>
      </c>
      <c r="R7031" t="s">
        <v>47431</v>
      </c>
      <c r="S7031" t="s">
        <v>47565</v>
      </c>
      <c r="T7031" t="s">
        <v>49056</v>
      </c>
      <c r="U7031" t="s">
        <v>55581</v>
      </c>
      <c r="V7031" t="s">
        <v>63400</v>
      </c>
      <c r="W7031" t="s">
        <v>45670</v>
      </c>
      <c r="X7031" t="s">
        <v>47432</v>
      </c>
    </row>
    <row r="7032" spans="1:24">
      <c r="A7032">
        <f>HYPERLINK("https://www.philgeps.gov.ph/GEPSNONPILOT/Tender/SplashBidNoticeAbstractUI.aspx?menuIndex=3&amp;refID=7156880&amp;Result=3","7156880")</f>
        <v>0</v>
      </c>
      <c r="B7032" t="s">
        <v>2261</v>
      </c>
      <c r="C7032" t="s">
        <v>10509</v>
      </c>
      <c r="D7032" t="s">
        <v>19038</v>
      </c>
      <c r="E7032" t="s">
        <v>24250</v>
      </c>
      <c r="F7032" t="s">
        <v>32831</v>
      </c>
      <c r="G7032" t="s">
        <v>32839</v>
      </c>
      <c r="H7032" t="s">
        <v>32848</v>
      </c>
      <c r="I7032" t="s">
        <v>32935</v>
      </c>
      <c r="J7032" t="s">
        <v>37405</v>
      </c>
      <c r="K7032" t="s">
        <v>42729</v>
      </c>
      <c r="L7032" t="s">
        <v>2261</v>
      </c>
      <c r="M7032" t="s">
        <v>45445</v>
      </c>
      <c r="N7032" t="s">
        <v>47424</v>
      </c>
      <c r="O7032" t="s">
        <v>47425</v>
      </c>
      <c r="P7032">
        <v>0</v>
      </c>
      <c r="Q7032">
        <v>4</v>
      </c>
      <c r="R7032" t="s">
        <v>47431</v>
      </c>
      <c r="S7032" t="s">
        <v>47565</v>
      </c>
      <c r="T7032" t="s">
        <v>49073</v>
      </c>
      <c r="U7032" t="s">
        <v>54974</v>
      </c>
      <c r="W7032" t="s">
        <v>45445</v>
      </c>
      <c r="X7032" t="s">
        <v>47432</v>
      </c>
    </row>
    <row r="7033" spans="1:24">
      <c r="A7033">
        <f>HYPERLINK("https://www.philgeps.gov.ph/GEPSNONPILOT/Tender/SplashBidNoticeAbstractUI.aspx?menuIndex=3&amp;refID=7156800&amp;Result=3","7156800")</f>
        <v>0</v>
      </c>
      <c r="B7033" t="s">
        <v>2429</v>
      </c>
      <c r="C7033" t="s">
        <v>10510</v>
      </c>
      <c r="D7033" t="s">
        <v>19064</v>
      </c>
      <c r="E7033" t="s">
        <v>25221</v>
      </c>
      <c r="F7033" t="s">
        <v>32831</v>
      </c>
      <c r="G7033" t="s">
        <v>32839</v>
      </c>
      <c r="H7033" t="s">
        <v>32848</v>
      </c>
      <c r="I7033" t="s">
        <v>32857</v>
      </c>
      <c r="J7033" t="s">
        <v>37406</v>
      </c>
      <c r="K7033" t="s">
        <v>42731</v>
      </c>
      <c r="M7033" t="s">
        <v>45626</v>
      </c>
      <c r="N7033" t="s">
        <v>47424</v>
      </c>
      <c r="O7033" t="s">
        <v>47425</v>
      </c>
      <c r="P7033">
        <v>0</v>
      </c>
      <c r="Q7033">
        <v>3</v>
      </c>
      <c r="R7033" t="s">
        <v>47431</v>
      </c>
      <c r="S7033" t="s">
        <v>47565</v>
      </c>
      <c r="T7033" t="s">
        <v>49055</v>
      </c>
      <c r="U7033" t="s">
        <v>55582</v>
      </c>
      <c r="W7033" t="s">
        <v>45626</v>
      </c>
      <c r="X7033" t="s">
        <v>47432</v>
      </c>
    </row>
    <row r="7034" spans="1:24">
      <c r="A7034">
        <f>HYPERLINK("https://www.philgeps.gov.ph/GEPSNONPILOT/Tender/SplashBidNoticeAbstractUI.aspx?menuIndex=3&amp;refID=7156877&amp;Result=3","7156877")</f>
        <v>0</v>
      </c>
      <c r="B7034" t="s">
        <v>2472</v>
      </c>
      <c r="C7034" t="s">
        <v>10511</v>
      </c>
      <c r="D7034" t="s">
        <v>19082</v>
      </c>
      <c r="E7034" t="s">
        <v>19198</v>
      </c>
      <c r="F7034" t="s">
        <v>32831</v>
      </c>
      <c r="G7034" t="s">
        <v>32839</v>
      </c>
      <c r="H7034" t="s">
        <v>32848</v>
      </c>
      <c r="I7034" t="s">
        <v>32852</v>
      </c>
      <c r="J7034" t="s">
        <v>33178</v>
      </c>
      <c r="K7034" t="s">
        <v>42745</v>
      </c>
      <c r="M7034" t="s">
        <v>45671</v>
      </c>
      <c r="N7034" t="s">
        <v>47424</v>
      </c>
      <c r="O7034" t="s">
        <v>47425</v>
      </c>
      <c r="P7034">
        <v>0</v>
      </c>
      <c r="Q7034">
        <v>0</v>
      </c>
      <c r="R7034" t="s">
        <v>47431</v>
      </c>
      <c r="S7034" t="s">
        <v>47565</v>
      </c>
      <c r="T7034" t="s">
        <v>49221</v>
      </c>
      <c r="U7034" t="s">
        <v>55583</v>
      </c>
      <c r="W7034" t="s">
        <v>45671</v>
      </c>
      <c r="X7034" t="s">
        <v>47432</v>
      </c>
    </row>
    <row r="7035" spans="1:24">
      <c r="A7035">
        <f>HYPERLINK("https://www.philgeps.gov.ph/GEPSNONPILOT/Tender/SplashBidNoticeAbstractUI.aspx?menuIndex=3&amp;refID=7156875&amp;Result=3","7156875")</f>
        <v>0</v>
      </c>
      <c r="B7035" t="s">
        <v>288</v>
      </c>
      <c r="C7035" t="s">
        <v>10512</v>
      </c>
      <c r="D7035" t="s">
        <v>19021</v>
      </c>
      <c r="E7035" t="s">
        <v>25222</v>
      </c>
      <c r="F7035" t="s">
        <v>32831</v>
      </c>
      <c r="G7035" t="s">
        <v>32839</v>
      </c>
      <c r="H7035" t="s">
        <v>32849</v>
      </c>
      <c r="I7035" t="s">
        <v>4177</v>
      </c>
      <c r="J7035" t="s">
        <v>37407</v>
      </c>
      <c r="K7035" t="s">
        <v>42728</v>
      </c>
      <c r="M7035" t="s">
        <v>43288</v>
      </c>
      <c r="N7035" t="s">
        <v>47424</v>
      </c>
      <c r="O7035" t="s">
        <v>47425</v>
      </c>
      <c r="P7035">
        <v>0</v>
      </c>
      <c r="Q7035">
        <v>37</v>
      </c>
      <c r="R7035" t="s">
        <v>47431</v>
      </c>
      <c r="S7035" t="s">
        <v>47565</v>
      </c>
      <c r="T7035" t="s">
        <v>49058</v>
      </c>
      <c r="U7035" t="s">
        <v>55584</v>
      </c>
      <c r="V7035" t="s">
        <v>63401</v>
      </c>
      <c r="W7035" t="s">
        <v>43288</v>
      </c>
      <c r="X7035" t="s">
        <v>47432</v>
      </c>
    </row>
    <row r="7036" spans="1:24">
      <c r="A7036">
        <f>HYPERLINK("https://www.philgeps.gov.ph/GEPSNONPILOT/Tender/SplashBidNoticeAbstractUI.aspx?menuIndex=3&amp;refID=7156879&amp;Result=3","7156879")</f>
        <v>0</v>
      </c>
      <c r="B7036" t="s">
        <v>99</v>
      </c>
      <c r="C7036" t="s">
        <v>10513</v>
      </c>
      <c r="D7036" t="s">
        <v>19054</v>
      </c>
      <c r="E7036" t="s">
        <v>25223</v>
      </c>
      <c r="F7036" t="s">
        <v>32831</v>
      </c>
      <c r="G7036" t="s">
        <v>32839</v>
      </c>
      <c r="H7036" t="s">
        <v>32848</v>
      </c>
      <c r="I7036" t="s">
        <v>32856</v>
      </c>
      <c r="J7036" t="s">
        <v>36856</v>
      </c>
      <c r="K7036" t="s">
        <v>42730</v>
      </c>
      <c r="M7036" t="s">
        <v>43096</v>
      </c>
      <c r="N7036" t="s">
        <v>47424</v>
      </c>
      <c r="O7036" t="s">
        <v>47425</v>
      </c>
      <c r="P7036">
        <v>0</v>
      </c>
      <c r="Q7036">
        <v>0</v>
      </c>
      <c r="R7036" t="s">
        <v>47431</v>
      </c>
      <c r="S7036" t="s">
        <v>47565</v>
      </c>
      <c r="T7036" t="s">
        <v>49108</v>
      </c>
      <c r="U7036" t="s">
        <v>49821</v>
      </c>
      <c r="W7036" t="s">
        <v>43096</v>
      </c>
      <c r="X7036" t="s">
        <v>47432</v>
      </c>
    </row>
    <row r="7037" spans="1:24">
      <c r="A7037">
        <f>HYPERLINK("https://www.philgeps.gov.ph/GEPSNONPILOT/Tender/SplashBidNoticeAbstractUI.aspx?menuIndex=3&amp;refID=7156890&amp;Result=3","7156890")</f>
        <v>0</v>
      </c>
      <c r="B7037" t="s">
        <v>2473</v>
      </c>
      <c r="C7037" t="s">
        <v>10514</v>
      </c>
      <c r="D7037" t="s">
        <v>19071</v>
      </c>
      <c r="E7037" t="s">
        <v>25224</v>
      </c>
      <c r="F7037" t="s">
        <v>32831</v>
      </c>
      <c r="G7037" t="s">
        <v>32839</v>
      </c>
      <c r="H7037" t="s">
        <v>32848</v>
      </c>
      <c r="I7037" t="s">
        <v>4776</v>
      </c>
      <c r="J7037" t="s">
        <v>37408</v>
      </c>
      <c r="K7037" t="s">
        <v>42730</v>
      </c>
      <c r="M7037" t="s">
        <v>45672</v>
      </c>
      <c r="N7037" t="s">
        <v>47424</v>
      </c>
      <c r="O7037" t="s">
        <v>47425</v>
      </c>
      <c r="P7037">
        <v>0</v>
      </c>
      <c r="Q7037">
        <v>0</v>
      </c>
      <c r="R7037" t="s">
        <v>47431</v>
      </c>
      <c r="S7037" t="s">
        <v>47565</v>
      </c>
      <c r="T7037" t="s">
        <v>49103</v>
      </c>
      <c r="U7037" t="s">
        <v>55585</v>
      </c>
      <c r="W7037" t="s">
        <v>45672</v>
      </c>
      <c r="X7037" t="s">
        <v>47432</v>
      </c>
    </row>
    <row r="7038" spans="1:24">
      <c r="A7038">
        <f>HYPERLINK("https://www.philgeps.gov.ph/GEPSNONPILOT/Tender/SplashBidNoticeAbstractUI.aspx?menuIndex=3&amp;refID=7156921&amp;Result=3","7156921")</f>
        <v>0</v>
      </c>
      <c r="B7038" t="s">
        <v>1746</v>
      </c>
      <c r="C7038" t="s">
        <v>10515</v>
      </c>
      <c r="D7038" t="s">
        <v>19051</v>
      </c>
      <c r="E7038" t="s">
        <v>25225</v>
      </c>
      <c r="F7038" t="s">
        <v>32831</v>
      </c>
      <c r="G7038" t="s">
        <v>32839</v>
      </c>
      <c r="H7038" t="s">
        <v>32848</v>
      </c>
      <c r="I7038" t="s">
        <v>32925</v>
      </c>
      <c r="J7038" t="s">
        <v>33241</v>
      </c>
      <c r="K7038" t="s">
        <v>42745</v>
      </c>
      <c r="M7038" t="s">
        <v>44869</v>
      </c>
      <c r="N7038" t="s">
        <v>47424</v>
      </c>
      <c r="O7038" t="s">
        <v>47425</v>
      </c>
      <c r="P7038">
        <v>0</v>
      </c>
      <c r="Q7038">
        <v>2</v>
      </c>
      <c r="R7038" t="s">
        <v>47431</v>
      </c>
      <c r="S7038" t="s">
        <v>47565</v>
      </c>
      <c r="T7038" t="s">
        <v>49056</v>
      </c>
      <c r="U7038" t="s">
        <v>55586</v>
      </c>
      <c r="W7038" t="s">
        <v>44869</v>
      </c>
      <c r="X7038" t="s">
        <v>47432</v>
      </c>
    </row>
    <row r="7039" spans="1:24">
      <c r="A7039">
        <f>HYPERLINK("https://www.philgeps.gov.ph/GEPSNONPILOT/Tender/SplashBidNoticeAbstractUI.aspx?menuIndex=3&amp;refID=7156940&amp;Result=3","7156940")</f>
        <v>0</v>
      </c>
      <c r="B7039" t="s">
        <v>1017</v>
      </c>
      <c r="C7039" t="s">
        <v>10516</v>
      </c>
      <c r="D7039" t="s">
        <v>19083</v>
      </c>
      <c r="E7039" t="s">
        <v>25226</v>
      </c>
      <c r="F7039" t="s">
        <v>32831</v>
      </c>
      <c r="G7039" t="s">
        <v>32839</v>
      </c>
      <c r="H7039" t="s">
        <v>32849</v>
      </c>
      <c r="I7039" t="s">
        <v>4177</v>
      </c>
      <c r="J7039" t="s">
        <v>33118</v>
      </c>
      <c r="K7039" t="s">
        <v>42770</v>
      </c>
      <c r="M7039" t="s">
        <v>44067</v>
      </c>
      <c r="N7039" t="s">
        <v>47424</v>
      </c>
      <c r="O7039" t="s">
        <v>47425</v>
      </c>
      <c r="P7039">
        <v>0</v>
      </c>
      <c r="Q7039">
        <v>0</v>
      </c>
      <c r="R7039" t="s">
        <v>47431</v>
      </c>
      <c r="S7039" t="s">
        <v>47565</v>
      </c>
      <c r="T7039" t="s">
        <v>49173</v>
      </c>
      <c r="U7039" t="s">
        <v>55587</v>
      </c>
      <c r="W7039" t="s">
        <v>44067</v>
      </c>
      <c r="X7039" t="s">
        <v>47432</v>
      </c>
    </row>
    <row r="7040" spans="1:24">
      <c r="A7040">
        <f>HYPERLINK("https://www.philgeps.gov.ph/GEPSNONPILOT/Tender/SplashBidNoticeAbstractUI.aspx?menuIndex=3&amp;refID=7156892&amp;Result=3","7156892")</f>
        <v>0</v>
      </c>
      <c r="B7040" t="s">
        <v>99</v>
      </c>
      <c r="C7040" t="s">
        <v>10517</v>
      </c>
      <c r="D7040" t="s">
        <v>19054</v>
      </c>
      <c r="E7040" t="s">
        <v>25227</v>
      </c>
      <c r="F7040" t="s">
        <v>32831</v>
      </c>
      <c r="G7040" t="s">
        <v>32839</v>
      </c>
      <c r="H7040" t="s">
        <v>32848</v>
      </c>
      <c r="I7040" t="s">
        <v>4487</v>
      </c>
      <c r="J7040" t="s">
        <v>35364</v>
      </c>
      <c r="K7040" t="s">
        <v>42730</v>
      </c>
      <c r="M7040" t="s">
        <v>43096</v>
      </c>
      <c r="N7040" t="s">
        <v>47424</v>
      </c>
      <c r="O7040" t="s">
        <v>47425</v>
      </c>
      <c r="P7040">
        <v>0</v>
      </c>
      <c r="Q7040">
        <v>1</v>
      </c>
      <c r="R7040" t="s">
        <v>47431</v>
      </c>
      <c r="S7040" t="s">
        <v>47565</v>
      </c>
      <c r="T7040" t="s">
        <v>49108</v>
      </c>
      <c r="U7040" t="s">
        <v>49821</v>
      </c>
      <c r="W7040" t="s">
        <v>43096</v>
      </c>
      <c r="X7040" t="s">
        <v>47432</v>
      </c>
    </row>
    <row r="7041" spans="1:24">
      <c r="A7041">
        <f>HYPERLINK("https://www.philgeps.gov.ph/GEPSNONPILOT/Tender/SplashBidNoticeAbstractUI.aspx?menuIndex=3&amp;refID=7156897&amp;Result=3","7156897")</f>
        <v>0</v>
      </c>
      <c r="B7041" t="s">
        <v>2306</v>
      </c>
      <c r="C7041" t="s">
        <v>10518</v>
      </c>
      <c r="D7041" t="s">
        <v>19078</v>
      </c>
      <c r="E7041" t="s">
        <v>23900</v>
      </c>
      <c r="F7041" t="s">
        <v>32831</v>
      </c>
      <c r="G7041" t="s">
        <v>32838</v>
      </c>
      <c r="H7041" t="s">
        <v>32848</v>
      </c>
      <c r="I7041" t="s">
        <v>4776</v>
      </c>
      <c r="J7041" t="s">
        <v>33930</v>
      </c>
      <c r="K7041" t="s">
        <v>42727</v>
      </c>
      <c r="M7041" t="s">
        <v>45491</v>
      </c>
      <c r="N7041" t="s">
        <v>47424</v>
      </c>
      <c r="O7041" t="s">
        <v>47425</v>
      </c>
      <c r="P7041">
        <v>0</v>
      </c>
      <c r="Q7041">
        <v>1</v>
      </c>
      <c r="R7041" t="s">
        <v>47431</v>
      </c>
      <c r="S7041" t="s">
        <v>47565</v>
      </c>
      <c r="T7041" t="s">
        <v>49107</v>
      </c>
      <c r="U7041" t="s">
        <v>55588</v>
      </c>
      <c r="W7041" t="s">
        <v>45491</v>
      </c>
      <c r="X7041" t="s">
        <v>47432</v>
      </c>
    </row>
    <row r="7042" spans="1:24">
      <c r="A7042">
        <f>HYPERLINK("https://www.philgeps.gov.ph/GEPSNONPILOT/Tender/SplashBidNoticeAbstractUI.aspx?menuIndex=3&amp;refID=7156812&amp;Result=3","7156812")</f>
        <v>0</v>
      </c>
      <c r="B7042" t="s">
        <v>780</v>
      </c>
      <c r="C7042" t="s">
        <v>10519</v>
      </c>
      <c r="D7042" t="s">
        <v>19048</v>
      </c>
      <c r="E7042" t="s">
        <v>25228</v>
      </c>
      <c r="F7042" t="s">
        <v>32831</v>
      </c>
      <c r="G7042" t="s">
        <v>32838</v>
      </c>
      <c r="H7042" t="s">
        <v>32848</v>
      </c>
      <c r="I7042" t="s">
        <v>4471</v>
      </c>
      <c r="J7042" t="s">
        <v>37409</v>
      </c>
      <c r="K7042" t="s">
        <v>42731</v>
      </c>
      <c r="L7042" t="s">
        <v>780</v>
      </c>
      <c r="M7042" t="s">
        <v>43809</v>
      </c>
      <c r="N7042" t="s">
        <v>47424</v>
      </c>
      <c r="O7042" t="s">
        <v>47425</v>
      </c>
      <c r="P7042">
        <v>0</v>
      </c>
      <c r="Q7042">
        <v>0</v>
      </c>
      <c r="R7042" t="s">
        <v>47431</v>
      </c>
      <c r="S7042" t="s">
        <v>47565</v>
      </c>
      <c r="T7042" t="s">
        <v>49214</v>
      </c>
      <c r="U7042" t="s">
        <v>55589</v>
      </c>
      <c r="V7042" t="s">
        <v>63402</v>
      </c>
      <c r="W7042" t="s">
        <v>43809</v>
      </c>
      <c r="X7042" t="s">
        <v>47432</v>
      </c>
    </row>
    <row r="7043" spans="1:24">
      <c r="A7043">
        <f>HYPERLINK("https://www.philgeps.gov.ph/GEPSNONPILOT/Tender/SplashBidNoticeAbstractUI.aspx?menuIndex=3&amp;refID=7156934&amp;Result=3","7156934")</f>
        <v>0</v>
      </c>
      <c r="B7043" t="s">
        <v>2426</v>
      </c>
      <c r="C7043" t="s">
        <v>10520</v>
      </c>
      <c r="D7043" t="s">
        <v>19019</v>
      </c>
      <c r="E7043" t="s">
        <v>25229</v>
      </c>
      <c r="F7043" t="s">
        <v>32831</v>
      </c>
      <c r="G7043" t="s">
        <v>32839</v>
      </c>
      <c r="H7043" t="s">
        <v>32850</v>
      </c>
      <c r="I7043" t="s">
        <v>7819</v>
      </c>
      <c r="J7043" t="s">
        <v>37410</v>
      </c>
      <c r="K7043" t="s">
        <v>42761</v>
      </c>
      <c r="M7043" t="s">
        <v>45623</v>
      </c>
      <c r="N7043" t="s">
        <v>47424</v>
      </c>
      <c r="O7043" t="s">
        <v>47425</v>
      </c>
      <c r="P7043">
        <v>0</v>
      </c>
      <c r="Q7043">
        <v>1</v>
      </c>
      <c r="R7043" t="s">
        <v>47431</v>
      </c>
      <c r="S7043" t="s">
        <v>47565</v>
      </c>
      <c r="T7043" t="s">
        <v>49463</v>
      </c>
      <c r="U7043" t="s">
        <v>55423</v>
      </c>
      <c r="V7043" t="s">
        <v>63396</v>
      </c>
      <c r="W7043" t="s">
        <v>45623</v>
      </c>
      <c r="X7043" t="s">
        <v>47432</v>
      </c>
    </row>
    <row r="7044" spans="1:24">
      <c r="A7044">
        <f>HYPERLINK("https://www.philgeps.gov.ph/GEPSNONPILOT/Tender/SplashBidNoticeAbstractUI.aspx?menuIndex=3&amp;refID=7156927&amp;Result=3","7156927")</f>
        <v>0</v>
      </c>
      <c r="B7044" t="s">
        <v>1182</v>
      </c>
      <c r="C7044" t="s">
        <v>10521</v>
      </c>
      <c r="D7044" t="s">
        <v>19047</v>
      </c>
      <c r="E7044" t="s">
        <v>25230</v>
      </c>
      <c r="F7044" t="s">
        <v>32831</v>
      </c>
      <c r="G7044" t="s">
        <v>32840</v>
      </c>
      <c r="H7044" t="s">
        <v>32848</v>
      </c>
      <c r="I7044" t="s">
        <v>9577</v>
      </c>
      <c r="J7044" t="s">
        <v>36001</v>
      </c>
      <c r="K7044" t="s">
        <v>42763</v>
      </c>
      <c r="M7044" t="s">
        <v>44248</v>
      </c>
      <c r="N7044" t="s">
        <v>47424</v>
      </c>
      <c r="O7044" t="s">
        <v>47425</v>
      </c>
      <c r="P7044">
        <v>0</v>
      </c>
      <c r="Q7044">
        <v>0</v>
      </c>
      <c r="R7044" t="s">
        <v>47431</v>
      </c>
      <c r="S7044" t="s">
        <v>47565</v>
      </c>
      <c r="T7044" t="s">
        <v>49163</v>
      </c>
      <c r="U7044" t="s">
        <v>55590</v>
      </c>
      <c r="W7044" t="s">
        <v>64461</v>
      </c>
      <c r="X7044" t="s">
        <v>47432</v>
      </c>
    </row>
    <row r="7045" spans="1:24">
      <c r="A7045">
        <f>HYPERLINK("https://www.philgeps.gov.ph/GEPSNONPILOT/Tender/SplashBidNoticeAbstractUI.aspx?menuIndex=3&amp;refID=7156874&amp;Result=3","7156874")</f>
        <v>0</v>
      </c>
      <c r="B7045" t="s">
        <v>661</v>
      </c>
      <c r="C7045" t="s">
        <v>10522</v>
      </c>
      <c r="D7045" t="s">
        <v>19058</v>
      </c>
      <c r="E7045" t="s">
        <v>25231</v>
      </c>
      <c r="F7045" t="s">
        <v>32831</v>
      </c>
      <c r="G7045" t="s">
        <v>32839</v>
      </c>
      <c r="H7045" t="s">
        <v>32848</v>
      </c>
      <c r="I7045" t="s">
        <v>7751</v>
      </c>
      <c r="J7045" t="s">
        <v>37411</v>
      </c>
      <c r="K7045" t="s">
        <v>42731</v>
      </c>
      <c r="M7045" t="s">
        <v>43679</v>
      </c>
      <c r="N7045" t="s">
        <v>47424</v>
      </c>
      <c r="O7045" t="s">
        <v>47425</v>
      </c>
      <c r="P7045">
        <v>0</v>
      </c>
      <c r="Q7045">
        <v>0</v>
      </c>
      <c r="R7045" t="s">
        <v>47431</v>
      </c>
      <c r="S7045" t="s">
        <v>47565</v>
      </c>
      <c r="T7045" t="s">
        <v>49056</v>
      </c>
      <c r="U7045" t="s">
        <v>55591</v>
      </c>
      <c r="W7045" t="s">
        <v>43679</v>
      </c>
      <c r="X7045" t="s">
        <v>47432</v>
      </c>
    </row>
    <row r="7046" spans="1:24">
      <c r="A7046">
        <f>HYPERLINK("https://www.philgeps.gov.ph/GEPSNONPILOT/Tender/SplashBidNoticeAbstractUI.aspx?menuIndex=3&amp;refID=7156922&amp;Result=3","7156922")</f>
        <v>0</v>
      </c>
      <c r="B7046" t="s">
        <v>2306</v>
      </c>
      <c r="C7046" t="s">
        <v>10523</v>
      </c>
      <c r="D7046" t="s">
        <v>19074</v>
      </c>
      <c r="E7046" t="s">
        <v>24075</v>
      </c>
      <c r="F7046" t="s">
        <v>32831</v>
      </c>
      <c r="G7046" t="s">
        <v>32838</v>
      </c>
      <c r="H7046" t="s">
        <v>32848</v>
      </c>
      <c r="I7046" t="s">
        <v>4776</v>
      </c>
      <c r="J7046" t="s">
        <v>33178</v>
      </c>
      <c r="K7046" t="s">
        <v>42727</v>
      </c>
      <c r="M7046" t="s">
        <v>45491</v>
      </c>
      <c r="N7046" t="s">
        <v>47424</v>
      </c>
      <c r="O7046" t="s">
        <v>47425</v>
      </c>
      <c r="P7046">
        <v>0</v>
      </c>
      <c r="Q7046">
        <v>2</v>
      </c>
      <c r="R7046" t="s">
        <v>47431</v>
      </c>
      <c r="S7046" t="s">
        <v>47565</v>
      </c>
      <c r="T7046" t="s">
        <v>49107</v>
      </c>
      <c r="U7046" t="s">
        <v>55592</v>
      </c>
      <c r="W7046" t="s">
        <v>45491</v>
      </c>
      <c r="X7046" t="s">
        <v>47432</v>
      </c>
    </row>
    <row r="7047" spans="1:24">
      <c r="A7047">
        <f>HYPERLINK("https://www.philgeps.gov.ph/GEPSNONPILOT/Tender/SplashBidNoticeAbstractUI.aspx?menuIndex=3&amp;refID=7156918&amp;Result=3","7156918")</f>
        <v>0</v>
      </c>
      <c r="B7047" t="s">
        <v>2474</v>
      </c>
      <c r="C7047" t="s">
        <v>10524</v>
      </c>
      <c r="D7047" t="s">
        <v>19017</v>
      </c>
      <c r="E7047" t="s">
        <v>25232</v>
      </c>
      <c r="F7047" t="s">
        <v>32831</v>
      </c>
      <c r="G7047" t="s">
        <v>32838</v>
      </c>
      <c r="H7047" t="s">
        <v>32848</v>
      </c>
      <c r="I7047" t="s">
        <v>32864</v>
      </c>
      <c r="J7047" t="s">
        <v>33279</v>
      </c>
      <c r="K7047" t="s">
        <v>42732</v>
      </c>
      <c r="M7047" t="s">
        <v>45673</v>
      </c>
      <c r="N7047" t="s">
        <v>47424</v>
      </c>
      <c r="O7047" t="s">
        <v>47425</v>
      </c>
      <c r="P7047">
        <v>0</v>
      </c>
      <c r="Q7047">
        <v>25</v>
      </c>
      <c r="R7047" t="s">
        <v>47431</v>
      </c>
      <c r="S7047" t="s">
        <v>47565</v>
      </c>
      <c r="T7047" t="s">
        <v>49111</v>
      </c>
      <c r="U7047" t="s">
        <v>55593</v>
      </c>
      <c r="V7047" t="s">
        <v>63403</v>
      </c>
      <c r="W7047" t="s">
        <v>45673</v>
      </c>
      <c r="X7047" t="s">
        <v>47432</v>
      </c>
    </row>
    <row r="7048" spans="1:24">
      <c r="A7048">
        <f>HYPERLINK("https://www.philgeps.gov.ph/GEPSNONPILOT/Tender/SplashBidNoticeAbstractUI.aspx?menuIndex=3&amp;refID=7156930&amp;Result=3","7156930")</f>
        <v>0</v>
      </c>
      <c r="B7048" t="s">
        <v>824</v>
      </c>
      <c r="C7048" t="s">
        <v>10525</v>
      </c>
      <c r="D7048" t="s">
        <v>19029</v>
      </c>
      <c r="E7048" t="s">
        <v>25233</v>
      </c>
      <c r="F7048" t="s">
        <v>32831</v>
      </c>
      <c r="G7048" t="s">
        <v>32839</v>
      </c>
      <c r="H7048" t="s">
        <v>32849</v>
      </c>
      <c r="I7048" t="s">
        <v>4177</v>
      </c>
      <c r="J7048" t="s">
        <v>37412</v>
      </c>
      <c r="K7048" t="s">
        <v>42730</v>
      </c>
      <c r="M7048" t="s">
        <v>43855</v>
      </c>
      <c r="N7048" t="s">
        <v>47424</v>
      </c>
      <c r="O7048" t="s">
        <v>47425</v>
      </c>
      <c r="P7048">
        <v>0</v>
      </c>
      <c r="Q7048">
        <v>1</v>
      </c>
      <c r="R7048" t="s">
        <v>47431</v>
      </c>
      <c r="S7048" t="s">
        <v>47565</v>
      </c>
      <c r="T7048" t="s">
        <v>49393</v>
      </c>
      <c r="U7048" t="s">
        <v>55594</v>
      </c>
      <c r="W7048" t="s">
        <v>43855</v>
      </c>
      <c r="X7048" t="s">
        <v>47432</v>
      </c>
    </row>
    <row r="7049" spans="1:24">
      <c r="A7049">
        <f>HYPERLINK("https://www.philgeps.gov.ph/GEPSNONPILOT/Tender/SplashBidNoticeAbstractUI.aspx?menuIndex=3&amp;refID=7156915&amp;Result=3","7156915")</f>
        <v>0</v>
      </c>
      <c r="B7049" t="s">
        <v>671</v>
      </c>
      <c r="C7049" t="s">
        <v>10526</v>
      </c>
      <c r="D7049" t="s">
        <v>19030</v>
      </c>
      <c r="E7049" t="s">
        <v>25234</v>
      </c>
      <c r="F7049" t="s">
        <v>32831</v>
      </c>
      <c r="G7049" t="s">
        <v>32839</v>
      </c>
      <c r="H7049" t="s">
        <v>32848</v>
      </c>
      <c r="I7049" t="s">
        <v>4487</v>
      </c>
      <c r="J7049" t="s">
        <v>37413</v>
      </c>
      <c r="K7049" t="s">
        <v>42730</v>
      </c>
      <c r="M7049" t="s">
        <v>45674</v>
      </c>
      <c r="N7049" t="s">
        <v>47424</v>
      </c>
      <c r="O7049" t="s">
        <v>47425</v>
      </c>
      <c r="P7049">
        <v>0</v>
      </c>
      <c r="Q7049">
        <v>8</v>
      </c>
      <c r="R7049" t="s">
        <v>47431</v>
      </c>
      <c r="S7049" t="s">
        <v>47565</v>
      </c>
      <c r="T7049" t="s">
        <v>49470</v>
      </c>
      <c r="U7049" t="s">
        <v>52028</v>
      </c>
      <c r="V7049" t="s">
        <v>63404</v>
      </c>
      <c r="W7049" t="s">
        <v>45667</v>
      </c>
      <c r="X7049" t="s">
        <v>47432</v>
      </c>
    </row>
    <row r="7050" spans="1:24">
      <c r="A7050">
        <f>HYPERLINK("https://www.philgeps.gov.ph/GEPSNONPILOT/Tender/SplashBidNoticeAbstractUI.aspx?menuIndex=3&amp;refID=7156929&amp;Result=3","7156929")</f>
        <v>0</v>
      </c>
      <c r="B7050" t="s">
        <v>2269</v>
      </c>
      <c r="C7050" t="s">
        <v>10527</v>
      </c>
      <c r="D7050" t="s">
        <v>19018</v>
      </c>
      <c r="E7050" t="s">
        <v>25235</v>
      </c>
      <c r="F7050" t="s">
        <v>32831</v>
      </c>
      <c r="G7050" t="s">
        <v>32838</v>
      </c>
      <c r="H7050" t="s">
        <v>32848</v>
      </c>
      <c r="I7050" t="s">
        <v>32856</v>
      </c>
      <c r="J7050" t="s">
        <v>32976</v>
      </c>
      <c r="K7050" t="s">
        <v>42727</v>
      </c>
      <c r="M7050" t="s">
        <v>45453</v>
      </c>
      <c r="N7050" t="s">
        <v>47424</v>
      </c>
      <c r="O7050" t="s">
        <v>47425</v>
      </c>
      <c r="P7050">
        <v>0</v>
      </c>
      <c r="Q7050">
        <v>3</v>
      </c>
      <c r="R7050" t="s">
        <v>47431</v>
      </c>
      <c r="S7050" t="s">
        <v>47565</v>
      </c>
      <c r="T7050" t="s">
        <v>49135</v>
      </c>
      <c r="U7050" t="s">
        <v>55595</v>
      </c>
      <c r="W7050" t="s">
        <v>45453</v>
      </c>
      <c r="X7050" t="s">
        <v>47432</v>
      </c>
    </row>
    <row r="7051" spans="1:24">
      <c r="A7051">
        <f>HYPERLINK("https://www.philgeps.gov.ph/GEPSNONPILOT/Tender/SplashBidNoticeAbstractUI.aspx?menuIndex=3&amp;refID=7156878&amp;Result=3","7156878")</f>
        <v>0</v>
      </c>
      <c r="B7051" t="s">
        <v>2475</v>
      </c>
      <c r="C7051" t="s">
        <v>10528</v>
      </c>
      <c r="D7051" t="s">
        <v>19039</v>
      </c>
      <c r="E7051" t="s">
        <v>25236</v>
      </c>
      <c r="F7051" t="s">
        <v>32831</v>
      </c>
      <c r="G7051" t="s">
        <v>32839</v>
      </c>
      <c r="H7051" t="s">
        <v>32849</v>
      </c>
      <c r="I7051" t="s">
        <v>4177</v>
      </c>
      <c r="J7051" t="s">
        <v>35864</v>
      </c>
      <c r="K7051" t="s">
        <v>42729</v>
      </c>
      <c r="M7051" t="s">
        <v>45675</v>
      </c>
      <c r="N7051" t="s">
        <v>47424</v>
      </c>
      <c r="O7051" t="s">
        <v>47425</v>
      </c>
      <c r="P7051">
        <v>0</v>
      </c>
      <c r="Q7051">
        <v>0</v>
      </c>
      <c r="R7051" t="s">
        <v>47431</v>
      </c>
      <c r="S7051" t="s">
        <v>47565</v>
      </c>
      <c r="T7051" t="s">
        <v>49219</v>
      </c>
      <c r="U7051" t="s">
        <v>55596</v>
      </c>
      <c r="V7051" t="s">
        <v>63405</v>
      </c>
      <c r="W7051" t="s">
        <v>45675</v>
      </c>
      <c r="X7051" t="s">
        <v>47432</v>
      </c>
    </row>
    <row r="7052" spans="1:24">
      <c r="A7052">
        <f>HYPERLINK("https://www.philgeps.gov.ph/GEPSNONPILOT/Tender/SplashBidNoticeAbstractUI.aspx?menuIndex=3&amp;refID=7156907&amp;Result=3","7156907")</f>
        <v>0</v>
      </c>
      <c r="B7052" t="s">
        <v>876</v>
      </c>
      <c r="C7052" t="s">
        <v>10529</v>
      </c>
      <c r="D7052" t="s">
        <v>19033</v>
      </c>
      <c r="E7052" t="s">
        <v>25237</v>
      </c>
      <c r="F7052" t="s">
        <v>32831</v>
      </c>
      <c r="G7052" t="s">
        <v>32839</v>
      </c>
      <c r="H7052" t="s">
        <v>32849</v>
      </c>
      <c r="I7052" t="s">
        <v>4177</v>
      </c>
      <c r="J7052" t="s">
        <v>37414</v>
      </c>
      <c r="K7052" t="s">
        <v>42729</v>
      </c>
      <c r="M7052" t="s">
        <v>45676</v>
      </c>
      <c r="N7052" t="s">
        <v>47424</v>
      </c>
      <c r="O7052" t="s">
        <v>47425</v>
      </c>
      <c r="P7052">
        <v>0</v>
      </c>
      <c r="Q7052">
        <v>6</v>
      </c>
      <c r="R7052" t="s">
        <v>47431</v>
      </c>
      <c r="S7052" t="s">
        <v>47565</v>
      </c>
      <c r="T7052" t="s">
        <v>49376</v>
      </c>
      <c r="U7052" t="s">
        <v>55597</v>
      </c>
      <c r="V7052" t="s">
        <v>63406</v>
      </c>
      <c r="W7052" t="s">
        <v>45676</v>
      </c>
      <c r="X7052" t="s">
        <v>47432</v>
      </c>
    </row>
    <row r="7053" spans="1:24">
      <c r="A7053">
        <f>HYPERLINK("https://www.philgeps.gov.ph/GEPSNONPILOT/Tender/SplashBidNoticeAbstractUI.aspx?menuIndex=3&amp;refID=7156905&amp;Result=3","7156905")</f>
        <v>0</v>
      </c>
      <c r="B7053" t="s">
        <v>2476</v>
      </c>
      <c r="C7053" t="s">
        <v>10530</v>
      </c>
      <c r="D7053" t="s">
        <v>19081</v>
      </c>
      <c r="E7053" t="s">
        <v>25238</v>
      </c>
      <c r="F7053" t="s">
        <v>32831</v>
      </c>
      <c r="G7053" t="s">
        <v>32839</v>
      </c>
      <c r="H7053" t="s">
        <v>32849</v>
      </c>
      <c r="I7053" t="s">
        <v>4177</v>
      </c>
      <c r="J7053" t="s">
        <v>37415</v>
      </c>
      <c r="K7053" t="s">
        <v>42901</v>
      </c>
      <c r="M7053" t="s">
        <v>45677</v>
      </c>
      <c r="N7053" t="s">
        <v>47424</v>
      </c>
      <c r="O7053" t="s">
        <v>47425</v>
      </c>
      <c r="P7053">
        <v>0</v>
      </c>
      <c r="Q7053">
        <v>6</v>
      </c>
      <c r="R7053" t="s">
        <v>47431</v>
      </c>
      <c r="S7053" t="s">
        <v>47565</v>
      </c>
      <c r="T7053" t="s">
        <v>49077</v>
      </c>
      <c r="U7053" t="s">
        <v>55598</v>
      </c>
      <c r="W7053" t="s">
        <v>45677</v>
      </c>
      <c r="X7053" t="s">
        <v>47432</v>
      </c>
    </row>
    <row r="7054" spans="1:24">
      <c r="A7054">
        <f>HYPERLINK("https://www.philgeps.gov.ph/GEPSNONPILOT/Tender/SplashBidNoticeAbstractUI.aspx?menuIndex=3&amp;refID=7156920&amp;Result=3","7156920")</f>
        <v>0</v>
      </c>
      <c r="B7054" t="s">
        <v>174</v>
      </c>
      <c r="C7054" t="s">
        <v>10531</v>
      </c>
      <c r="D7054" t="s">
        <v>19019</v>
      </c>
      <c r="E7054" t="s">
        <v>25239</v>
      </c>
      <c r="F7054" t="s">
        <v>32831</v>
      </c>
      <c r="G7054" t="s">
        <v>32839</v>
      </c>
      <c r="H7054" t="s">
        <v>32849</v>
      </c>
      <c r="I7054" t="s">
        <v>4177</v>
      </c>
      <c r="J7054" t="s">
        <v>37416</v>
      </c>
      <c r="K7054" t="s">
        <v>42729</v>
      </c>
      <c r="M7054" t="s">
        <v>45678</v>
      </c>
      <c r="N7054" t="s">
        <v>47424</v>
      </c>
      <c r="O7054" t="s">
        <v>47425</v>
      </c>
      <c r="P7054">
        <v>0</v>
      </c>
      <c r="Q7054">
        <v>7</v>
      </c>
      <c r="R7054" t="s">
        <v>47431</v>
      </c>
      <c r="S7054" t="s">
        <v>47565</v>
      </c>
      <c r="T7054" t="s">
        <v>49396</v>
      </c>
      <c r="U7054" t="s">
        <v>55599</v>
      </c>
      <c r="W7054" t="s">
        <v>45678</v>
      </c>
      <c r="X7054" t="s">
        <v>47432</v>
      </c>
    </row>
    <row r="7055" spans="1:24">
      <c r="A7055">
        <f>HYPERLINK("https://www.philgeps.gov.ph/GEPSNONPILOT/Tender/SplashBidNoticeAbstractUI.aspx?menuIndex=3&amp;refID=7156904&amp;Result=3","7156904")</f>
        <v>0</v>
      </c>
      <c r="B7055" t="s">
        <v>2477</v>
      </c>
      <c r="C7055" t="s">
        <v>10532</v>
      </c>
      <c r="D7055" t="s">
        <v>19027</v>
      </c>
      <c r="E7055" t="s">
        <v>25240</v>
      </c>
      <c r="F7055" t="s">
        <v>32831</v>
      </c>
      <c r="G7055" t="s">
        <v>32838</v>
      </c>
      <c r="H7055" t="s">
        <v>32848</v>
      </c>
      <c r="I7055" t="s">
        <v>9577</v>
      </c>
      <c r="J7055" t="s">
        <v>35038</v>
      </c>
      <c r="K7055" t="s">
        <v>42759</v>
      </c>
      <c r="M7055" t="s">
        <v>45679</v>
      </c>
      <c r="N7055" t="s">
        <v>47424</v>
      </c>
      <c r="O7055" t="s">
        <v>47425</v>
      </c>
      <c r="P7055">
        <v>0</v>
      </c>
      <c r="Q7055">
        <v>2</v>
      </c>
      <c r="R7055" t="s">
        <v>47431</v>
      </c>
      <c r="S7055" t="s">
        <v>47565</v>
      </c>
      <c r="T7055" t="s">
        <v>49145</v>
      </c>
      <c r="U7055" t="s">
        <v>55600</v>
      </c>
      <c r="V7055" t="s">
        <v>63407</v>
      </c>
      <c r="W7055" t="s">
        <v>45679</v>
      </c>
      <c r="X7055" t="s">
        <v>47432</v>
      </c>
    </row>
    <row r="7056" spans="1:24">
      <c r="A7056">
        <f>HYPERLINK("https://www.philgeps.gov.ph/GEPSNONPILOT/Tender/SplashBidNoticeAbstractUI.aspx?menuIndex=3&amp;refID=7156903&amp;Result=3","7156903")</f>
        <v>0</v>
      </c>
      <c r="B7056" t="s">
        <v>2478</v>
      </c>
      <c r="C7056" t="s">
        <v>10533</v>
      </c>
      <c r="D7056" t="s">
        <v>19037</v>
      </c>
      <c r="E7056" t="s">
        <v>25241</v>
      </c>
      <c r="F7056" t="s">
        <v>32831</v>
      </c>
      <c r="G7056" t="s">
        <v>32839</v>
      </c>
      <c r="H7056" t="s">
        <v>32848</v>
      </c>
      <c r="I7056" t="s">
        <v>5379</v>
      </c>
      <c r="J7056" t="s">
        <v>33752</v>
      </c>
      <c r="K7056" t="s">
        <v>42748</v>
      </c>
      <c r="M7056" t="s">
        <v>45680</v>
      </c>
      <c r="N7056" t="s">
        <v>47424</v>
      </c>
      <c r="O7056" t="s">
        <v>47425</v>
      </c>
      <c r="P7056">
        <v>0</v>
      </c>
      <c r="Q7056">
        <v>1</v>
      </c>
      <c r="R7056" t="s">
        <v>47431</v>
      </c>
      <c r="S7056" t="s">
        <v>47565</v>
      </c>
      <c r="T7056" t="s">
        <v>49079</v>
      </c>
      <c r="U7056" t="s">
        <v>55601</v>
      </c>
      <c r="W7056" t="s">
        <v>45680</v>
      </c>
      <c r="X7056" t="s">
        <v>47432</v>
      </c>
    </row>
    <row r="7057" spans="1:24">
      <c r="A7057">
        <f>HYPERLINK("https://www.philgeps.gov.ph/GEPSNONPILOT/Tender/SplashBidNoticeAbstractUI.aspx?menuIndex=3&amp;refID=7156913&amp;Result=3","7156913")</f>
        <v>0</v>
      </c>
      <c r="B7057" t="s">
        <v>330</v>
      </c>
      <c r="C7057" t="s">
        <v>10534</v>
      </c>
      <c r="E7057" t="s">
        <v>25242</v>
      </c>
      <c r="F7057" t="s">
        <v>32831</v>
      </c>
      <c r="G7057" t="s">
        <v>32838</v>
      </c>
      <c r="H7057" t="s">
        <v>32849</v>
      </c>
      <c r="I7057" t="s">
        <v>32852</v>
      </c>
      <c r="J7057" t="s">
        <v>37417</v>
      </c>
      <c r="K7057" t="s">
        <v>42732</v>
      </c>
      <c r="M7057" t="s">
        <v>43333</v>
      </c>
      <c r="N7057" t="s">
        <v>47424</v>
      </c>
      <c r="O7057" t="s">
        <v>47425</v>
      </c>
      <c r="P7057">
        <v>0</v>
      </c>
      <c r="Q7057">
        <v>0</v>
      </c>
      <c r="R7057" t="s">
        <v>47431</v>
      </c>
      <c r="S7057" t="s">
        <v>47565</v>
      </c>
      <c r="T7057" t="s">
        <v>49163</v>
      </c>
      <c r="U7057" t="s">
        <v>55602</v>
      </c>
      <c r="W7057" t="s">
        <v>43333</v>
      </c>
      <c r="X7057" t="s">
        <v>47432</v>
      </c>
    </row>
    <row r="7058" spans="1:24">
      <c r="A7058">
        <f>HYPERLINK("https://www.philgeps.gov.ph/GEPSNONPILOT/Tender/SplashBidNoticeAbstractUI.aspx?menuIndex=3&amp;refID=7156871&amp;Result=3","7156871")</f>
        <v>0</v>
      </c>
      <c r="B7058" t="s">
        <v>2479</v>
      </c>
      <c r="C7058" t="s">
        <v>10535</v>
      </c>
      <c r="D7058" t="s">
        <v>19045</v>
      </c>
      <c r="E7058" t="s">
        <v>25243</v>
      </c>
      <c r="F7058" t="s">
        <v>32831</v>
      </c>
      <c r="G7058" t="s">
        <v>32839</v>
      </c>
      <c r="H7058" t="s">
        <v>32848</v>
      </c>
      <c r="I7058" t="s">
        <v>7416</v>
      </c>
      <c r="J7058" t="s">
        <v>37418</v>
      </c>
      <c r="K7058" t="s">
        <v>42726</v>
      </c>
      <c r="M7058" t="s">
        <v>45681</v>
      </c>
      <c r="N7058" t="s">
        <v>47424</v>
      </c>
      <c r="O7058" t="s">
        <v>47425</v>
      </c>
      <c r="P7058">
        <v>0</v>
      </c>
      <c r="Q7058">
        <v>0</v>
      </c>
      <c r="R7058" t="s">
        <v>47431</v>
      </c>
      <c r="S7058" t="s">
        <v>47565</v>
      </c>
      <c r="T7058" t="s">
        <v>49124</v>
      </c>
      <c r="U7058" t="s">
        <v>55603</v>
      </c>
      <c r="V7058" t="s">
        <v>63408</v>
      </c>
      <c r="W7058" t="s">
        <v>45681</v>
      </c>
      <c r="X7058" t="s">
        <v>47432</v>
      </c>
    </row>
    <row r="7059" spans="1:24">
      <c r="A7059">
        <f>HYPERLINK("https://www.philgeps.gov.ph/GEPSNONPILOT/Tender/SplashBidNoticeAbstractUI.aspx?menuIndex=3&amp;refID=7156942&amp;Result=3","7156942")</f>
        <v>0</v>
      </c>
      <c r="B7059" t="s">
        <v>1167</v>
      </c>
      <c r="C7059" t="s">
        <v>10536</v>
      </c>
      <c r="D7059" t="s">
        <v>19021</v>
      </c>
      <c r="E7059" t="s">
        <v>25244</v>
      </c>
      <c r="F7059" t="s">
        <v>32831</v>
      </c>
      <c r="G7059" t="s">
        <v>32838</v>
      </c>
      <c r="H7059" t="s">
        <v>32848</v>
      </c>
      <c r="I7059" t="s">
        <v>7416</v>
      </c>
      <c r="J7059" t="s">
        <v>37419</v>
      </c>
      <c r="K7059" t="s">
        <v>42730</v>
      </c>
      <c r="M7059" t="s">
        <v>44232</v>
      </c>
      <c r="N7059" t="s">
        <v>47424</v>
      </c>
      <c r="O7059" t="s">
        <v>47425</v>
      </c>
      <c r="P7059">
        <v>0</v>
      </c>
      <c r="Q7059">
        <v>1</v>
      </c>
      <c r="R7059" t="s">
        <v>47431</v>
      </c>
      <c r="S7059" t="s">
        <v>47565</v>
      </c>
      <c r="T7059" t="s">
        <v>49108</v>
      </c>
      <c r="U7059" t="s">
        <v>51973</v>
      </c>
      <c r="W7059" t="s">
        <v>44232</v>
      </c>
      <c r="X7059" t="s">
        <v>47432</v>
      </c>
    </row>
    <row r="7060" spans="1:24">
      <c r="A7060">
        <f>HYPERLINK("https://www.philgeps.gov.ph/GEPSNONPILOT/Tender/SplashBidNoticeAbstractUI.aspx?menuIndex=3&amp;refID=7156889&amp;Result=3","7156889")</f>
        <v>0</v>
      </c>
      <c r="B7060" t="s">
        <v>2480</v>
      </c>
      <c r="C7060" t="s">
        <v>10537</v>
      </c>
      <c r="D7060" t="s">
        <v>19075</v>
      </c>
      <c r="E7060" t="s">
        <v>25245</v>
      </c>
      <c r="F7060" t="s">
        <v>32831</v>
      </c>
      <c r="G7060" t="s">
        <v>32839</v>
      </c>
      <c r="H7060" t="s">
        <v>32849</v>
      </c>
      <c r="I7060" t="s">
        <v>4177</v>
      </c>
      <c r="J7060" t="s">
        <v>37420</v>
      </c>
      <c r="K7060" t="s">
        <v>42761</v>
      </c>
      <c r="M7060" t="s">
        <v>45682</v>
      </c>
      <c r="N7060" t="s">
        <v>47424</v>
      </c>
      <c r="O7060" t="s">
        <v>47425</v>
      </c>
      <c r="P7060">
        <v>0</v>
      </c>
      <c r="Q7060">
        <v>0</v>
      </c>
      <c r="R7060" t="s">
        <v>47431</v>
      </c>
      <c r="S7060" t="s">
        <v>47565</v>
      </c>
      <c r="T7060" t="s">
        <v>49254</v>
      </c>
      <c r="U7060" t="s">
        <v>55604</v>
      </c>
      <c r="V7060" t="s">
        <v>63409</v>
      </c>
      <c r="W7060" t="s">
        <v>45682</v>
      </c>
      <c r="X7060" t="s">
        <v>47432</v>
      </c>
    </row>
    <row r="7061" spans="1:24">
      <c r="A7061">
        <f>HYPERLINK("https://www.philgeps.gov.ph/GEPSNONPILOT/Tender/SplashBidNoticeAbstractUI.aspx?menuIndex=3&amp;refID=7156971&amp;Result=3","7156971")</f>
        <v>0</v>
      </c>
      <c r="B7061" t="s">
        <v>895</v>
      </c>
      <c r="C7061" t="s">
        <v>10538</v>
      </c>
      <c r="D7061" t="s">
        <v>19036</v>
      </c>
      <c r="E7061" t="s">
        <v>25246</v>
      </c>
      <c r="F7061" t="s">
        <v>32831</v>
      </c>
      <c r="G7061" t="s">
        <v>32841</v>
      </c>
      <c r="H7061" t="s">
        <v>32848</v>
      </c>
      <c r="I7061" t="s">
        <v>32862</v>
      </c>
      <c r="J7061" t="s">
        <v>37421</v>
      </c>
      <c r="K7061" t="s">
        <v>42727</v>
      </c>
      <c r="M7061" t="s">
        <v>44963</v>
      </c>
      <c r="N7061" t="s">
        <v>47424</v>
      </c>
      <c r="O7061" t="s">
        <v>47425</v>
      </c>
      <c r="P7061">
        <v>0</v>
      </c>
      <c r="Q7061">
        <v>1</v>
      </c>
      <c r="R7061" t="s">
        <v>47431</v>
      </c>
      <c r="S7061" t="s">
        <v>47565</v>
      </c>
      <c r="T7061" t="s">
        <v>49415</v>
      </c>
      <c r="U7061" t="s">
        <v>55605</v>
      </c>
      <c r="W7061" t="s">
        <v>44963</v>
      </c>
      <c r="X7061" t="s">
        <v>47432</v>
      </c>
    </row>
    <row r="7062" spans="1:24">
      <c r="A7062">
        <f>HYPERLINK("https://www.philgeps.gov.ph/GEPSNONPILOT/Tender/SplashBidNoticeAbstractUI.aspx?menuIndex=3&amp;refID=7156917&amp;Result=3","7156917")</f>
        <v>0</v>
      </c>
      <c r="B7062" t="s">
        <v>2481</v>
      </c>
      <c r="C7062" t="s">
        <v>10539</v>
      </c>
      <c r="D7062" t="s">
        <v>19077</v>
      </c>
      <c r="E7062" t="s">
        <v>25247</v>
      </c>
      <c r="F7062" t="s">
        <v>32831</v>
      </c>
      <c r="G7062" t="s">
        <v>32839</v>
      </c>
      <c r="H7062" t="s">
        <v>32848</v>
      </c>
      <c r="I7062" t="s">
        <v>7416</v>
      </c>
      <c r="J7062" t="s">
        <v>37422</v>
      </c>
      <c r="K7062" t="s">
        <v>42730</v>
      </c>
      <c r="M7062" t="s">
        <v>45683</v>
      </c>
      <c r="N7062" t="s">
        <v>47424</v>
      </c>
      <c r="O7062" t="s">
        <v>47425</v>
      </c>
      <c r="P7062">
        <v>0</v>
      </c>
      <c r="Q7062">
        <v>1</v>
      </c>
      <c r="R7062" t="s">
        <v>47431</v>
      </c>
      <c r="S7062" t="s">
        <v>47565</v>
      </c>
      <c r="T7062" t="s">
        <v>49124</v>
      </c>
      <c r="U7062" t="s">
        <v>55606</v>
      </c>
      <c r="V7062" t="s">
        <v>63410</v>
      </c>
      <c r="W7062" t="s">
        <v>45683</v>
      </c>
      <c r="X7062" t="s">
        <v>47432</v>
      </c>
    </row>
    <row r="7063" spans="1:24">
      <c r="A7063">
        <f>HYPERLINK("https://www.philgeps.gov.ph/GEPSNONPILOT/Tender/SplashBidNoticeAbstractUI.aspx?menuIndex=3&amp;refID=7156873&amp;Result=3","7156873")</f>
        <v>0</v>
      </c>
      <c r="B7063" t="s">
        <v>168</v>
      </c>
      <c r="C7063" t="s">
        <v>10540</v>
      </c>
      <c r="D7063" t="s">
        <v>19071</v>
      </c>
      <c r="E7063" t="s">
        <v>25248</v>
      </c>
      <c r="F7063" t="s">
        <v>32831</v>
      </c>
      <c r="G7063" t="s">
        <v>32839</v>
      </c>
      <c r="H7063" t="s">
        <v>32848</v>
      </c>
      <c r="I7063" t="s">
        <v>4303</v>
      </c>
      <c r="J7063" t="s">
        <v>37423</v>
      </c>
      <c r="K7063" t="s">
        <v>42745</v>
      </c>
      <c r="M7063" t="s">
        <v>43165</v>
      </c>
      <c r="N7063" t="s">
        <v>47424</v>
      </c>
      <c r="O7063" t="s">
        <v>47425</v>
      </c>
      <c r="P7063">
        <v>0</v>
      </c>
      <c r="Q7063">
        <v>0</v>
      </c>
      <c r="R7063" t="s">
        <v>47431</v>
      </c>
      <c r="S7063" t="s">
        <v>47565</v>
      </c>
      <c r="T7063" t="s">
        <v>49319</v>
      </c>
      <c r="U7063" t="s">
        <v>55607</v>
      </c>
      <c r="V7063" t="s">
        <v>62654</v>
      </c>
      <c r="W7063" t="s">
        <v>43165</v>
      </c>
      <c r="X7063" t="s">
        <v>47432</v>
      </c>
    </row>
    <row r="7064" spans="1:24">
      <c r="A7064">
        <f>HYPERLINK("https://www.philgeps.gov.ph/GEPSNONPILOT/Tender/SplashBidNoticeAbstractUI.aspx?menuIndex=3&amp;refID=7156902&amp;Result=3","7156902")</f>
        <v>0</v>
      </c>
      <c r="B7064" t="s">
        <v>2442</v>
      </c>
      <c r="C7064" t="s">
        <v>10541</v>
      </c>
      <c r="D7064" t="s">
        <v>19027</v>
      </c>
      <c r="E7064" t="s">
        <v>25094</v>
      </c>
      <c r="F7064" t="s">
        <v>32831</v>
      </c>
      <c r="G7064" t="s">
        <v>32839</v>
      </c>
      <c r="H7064" t="s">
        <v>32848</v>
      </c>
      <c r="I7064" t="s">
        <v>32883</v>
      </c>
      <c r="J7064" t="s">
        <v>33339</v>
      </c>
      <c r="K7064" t="s">
        <v>42729</v>
      </c>
      <c r="M7064" t="s">
        <v>45639</v>
      </c>
      <c r="N7064" t="s">
        <v>47424</v>
      </c>
      <c r="O7064" t="s">
        <v>47425</v>
      </c>
      <c r="P7064">
        <v>0</v>
      </c>
      <c r="Q7064">
        <v>9</v>
      </c>
      <c r="R7064" t="s">
        <v>47431</v>
      </c>
      <c r="S7064" t="s">
        <v>47565</v>
      </c>
      <c r="T7064" t="s">
        <v>49323</v>
      </c>
      <c r="U7064" t="s">
        <v>55608</v>
      </c>
      <c r="W7064" t="s">
        <v>45639</v>
      </c>
      <c r="X7064" t="s">
        <v>47432</v>
      </c>
    </row>
    <row r="7065" spans="1:24">
      <c r="A7065">
        <f>HYPERLINK("https://www.philgeps.gov.ph/GEPSNONPILOT/Tender/SplashBidNoticeAbstractUI.aspx?menuIndex=3&amp;refID=7156966&amp;Result=3","7156966")</f>
        <v>0</v>
      </c>
      <c r="B7065" t="s">
        <v>535</v>
      </c>
      <c r="C7065" t="s">
        <v>10542</v>
      </c>
      <c r="D7065" t="s">
        <v>19019</v>
      </c>
      <c r="E7065" t="s">
        <v>25249</v>
      </c>
      <c r="F7065" t="s">
        <v>32831</v>
      </c>
      <c r="G7065" t="s">
        <v>32839</v>
      </c>
      <c r="H7065" t="s">
        <v>32848</v>
      </c>
      <c r="I7065" t="s">
        <v>4487</v>
      </c>
      <c r="J7065" t="s">
        <v>37424</v>
      </c>
      <c r="K7065" t="s">
        <v>42732</v>
      </c>
      <c r="M7065" t="s">
        <v>45597</v>
      </c>
      <c r="N7065" t="s">
        <v>47424</v>
      </c>
      <c r="O7065" t="s">
        <v>47425</v>
      </c>
      <c r="Q7065">
        <v>6</v>
      </c>
      <c r="R7065" t="s">
        <v>47431</v>
      </c>
      <c r="S7065" t="s">
        <v>47581</v>
      </c>
      <c r="T7065" t="s">
        <v>49219</v>
      </c>
      <c r="U7065" t="s">
        <v>55609</v>
      </c>
      <c r="V7065" t="s">
        <v>63377</v>
      </c>
      <c r="W7065" t="s">
        <v>45597</v>
      </c>
      <c r="X7065" t="s">
        <v>47432</v>
      </c>
    </row>
    <row r="7066" spans="1:24">
      <c r="A7066">
        <f>HYPERLINK("https://www.philgeps.gov.ph/GEPSNONPILOT/Tender/SplashBidNoticeAbstractUI.aspx?menuIndex=3&amp;refID=7156960&amp;Result=3","7156960")</f>
        <v>0</v>
      </c>
      <c r="B7066" t="s">
        <v>1894</v>
      </c>
      <c r="C7066" t="s">
        <v>10543</v>
      </c>
      <c r="D7066" t="s">
        <v>19092</v>
      </c>
      <c r="E7066" t="s">
        <v>25250</v>
      </c>
      <c r="F7066" t="s">
        <v>32831</v>
      </c>
      <c r="G7066" t="s">
        <v>32838</v>
      </c>
      <c r="H7066" t="s">
        <v>32848</v>
      </c>
      <c r="I7066" t="s">
        <v>32859</v>
      </c>
      <c r="J7066" t="s">
        <v>37425</v>
      </c>
      <c r="K7066" t="s">
        <v>42730</v>
      </c>
      <c r="M7066" t="s">
        <v>45041</v>
      </c>
      <c r="N7066" t="s">
        <v>47424</v>
      </c>
      <c r="O7066" t="s">
        <v>47425</v>
      </c>
      <c r="P7066">
        <v>0</v>
      </c>
      <c r="Q7066">
        <v>2</v>
      </c>
      <c r="R7066" t="s">
        <v>47431</v>
      </c>
      <c r="S7066" t="s">
        <v>47565</v>
      </c>
      <c r="T7066" t="s">
        <v>49166</v>
      </c>
      <c r="U7066" t="s">
        <v>53972</v>
      </c>
      <c r="W7066" t="s">
        <v>45041</v>
      </c>
      <c r="X7066" t="s">
        <v>47432</v>
      </c>
    </row>
    <row r="7067" spans="1:24">
      <c r="A7067">
        <f>HYPERLINK("https://www.philgeps.gov.ph/GEPSNONPILOT/Tender/SplashBidNoticeAbstractUI.aspx?menuIndex=3&amp;refID=7156959&amp;Result=3","7156959")</f>
        <v>0</v>
      </c>
      <c r="B7067" t="s">
        <v>2306</v>
      </c>
      <c r="C7067" t="s">
        <v>10544</v>
      </c>
      <c r="D7067" t="s">
        <v>19044</v>
      </c>
      <c r="E7067" t="s">
        <v>24219</v>
      </c>
      <c r="F7067" t="s">
        <v>32831</v>
      </c>
      <c r="G7067" t="s">
        <v>32838</v>
      </c>
      <c r="H7067" t="s">
        <v>32848</v>
      </c>
      <c r="I7067" t="s">
        <v>32938</v>
      </c>
      <c r="J7067" t="s">
        <v>32976</v>
      </c>
      <c r="K7067" t="s">
        <v>42727</v>
      </c>
      <c r="M7067" t="s">
        <v>45491</v>
      </c>
      <c r="N7067" t="s">
        <v>47424</v>
      </c>
      <c r="O7067" t="s">
        <v>47425</v>
      </c>
      <c r="P7067">
        <v>0</v>
      </c>
      <c r="Q7067">
        <v>1</v>
      </c>
      <c r="R7067" t="s">
        <v>47431</v>
      </c>
      <c r="S7067" t="s">
        <v>47565</v>
      </c>
      <c r="T7067" t="s">
        <v>49107</v>
      </c>
      <c r="U7067" t="s">
        <v>55610</v>
      </c>
      <c r="W7067" t="s">
        <v>45491</v>
      </c>
      <c r="X7067" t="s">
        <v>47432</v>
      </c>
    </row>
    <row r="7068" spans="1:24">
      <c r="A7068">
        <f>HYPERLINK("https://www.philgeps.gov.ph/GEPSNONPILOT/Tender/SplashBidNoticeAbstractUI.aspx?menuIndex=3&amp;refID=7156957&amp;Result=3","7156957")</f>
        <v>0</v>
      </c>
      <c r="B7068" t="s">
        <v>2482</v>
      </c>
      <c r="C7068" t="s">
        <v>10545</v>
      </c>
      <c r="D7068" t="s">
        <v>19048</v>
      </c>
      <c r="E7068" t="s">
        <v>25251</v>
      </c>
      <c r="F7068" t="s">
        <v>32833</v>
      </c>
      <c r="G7068" t="s">
        <v>32839</v>
      </c>
      <c r="H7068" t="s">
        <v>32849</v>
      </c>
      <c r="I7068" t="s">
        <v>4177</v>
      </c>
      <c r="J7068" t="s">
        <v>37426</v>
      </c>
      <c r="K7068" t="s">
        <v>42871</v>
      </c>
      <c r="M7068" t="s">
        <v>45684</v>
      </c>
      <c r="N7068" t="s">
        <v>47424</v>
      </c>
      <c r="O7068" t="s">
        <v>47425</v>
      </c>
      <c r="P7068">
        <v>0</v>
      </c>
      <c r="Q7068">
        <v>0</v>
      </c>
      <c r="R7068" t="s">
        <v>47431</v>
      </c>
      <c r="S7068" t="s">
        <v>47565</v>
      </c>
      <c r="T7068" t="s">
        <v>49077</v>
      </c>
      <c r="U7068" t="s">
        <v>55611</v>
      </c>
      <c r="W7068" t="s">
        <v>45684</v>
      </c>
      <c r="X7068" t="s">
        <v>47432</v>
      </c>
    </row>
    <row r="7069" spans="1:24">
      <c r="A7069">
        <f>HYPERLINK("https://www.philgeps.gov.ph/GEPSNONPILOT/Tender/SplashBidNoticeAbstractUI.aspx?menuIndex=3&amp;refID=7156956&amp;Result=3","7156956")</f>
        <v>0</v>
      </c>
      <c r="B7069" t="s">
        <v>330</v>
      </c>
      <c r="C7069" t="s">
        <v>10546</v>
      </c>
      <c r="E7069" t="s">
        <v>25252</v>
      </c>
      <c r="F7069" t="s">
        <v>32831</v>
      </c>
      <c r="G7069" t="s">
        <v>32842</v>
      </c>
      <c r="H7069" t="s">
        <v>32848</v>
      </c>
      <c r="I7069" t="s">
        <v>9577</v>
      </c>
      <c r="J7069" t="s">
        <v>34094</v>
      </c>
      <c r="K7069" t="s">
        <v>42732</v>
      </c>
      <c r="M7069" t="s">
        <v>43333</v>
      </c>
      <c r="N7069" t="s">
        <v>47424</v>
      </c>
      <c r="O7069" t="s">
        <v>47425</v>
      </c>
      <c r="P7069">
        <v>0</v>
      </c>
      <c r="Q7069">
        <v>0</v>
      </c>
      <c r="R7069" t="s">
        <v>47431</v>
      </c>
      <c r="S7069" t="s">
        <v>47565</v>
      </c>
      <c r="T7069" t="s">
        <v>49163</v>
      </c>
      <c r="U7069" t="s">
        <v>55612</v>
      </c>
      <c r="W7069" t="s">
        <v>43333</v>
      </c>
      <c r="X7069" t="s">
        <v>47432</v>
      </c>
    </row>
    <row r="7070" spans="1:24">
      <c r="A7070">
        <f>HYPERLINK("https://www.philgeps.gov.ph/GEPSNONPILOT/Tender/SplashBidNoticeAbstractUI.aspx?menuIndex=3&amp;refID=7156954&amp;Result=3","7156954")</f>
        <v>0</v>
      </c>
      <c r="B7070" t="s">
        <v>145</v>
      </c>
      <c r="C7070" t="s">
        <v>10547</v>
      </c>
      <c r="D7070" t="s">
        <v>19048</v>
      </c>
      <c r="E7070" t="s">
        <v>25253</v>
      </c>
      <c r="F7070" t="s">
        <v>32831</v>
      </c>
      <c r="G7070" t="s">
        <v>32839</v>
      </c>
      <c r="H7070" t="s">
        <v>32849</v>
      </c>
      <c r="I7070" t="s">
        <v>4177</v>
      </c>
      <c r="J7070" t="s">
        <v>33257</v>
      </c>
      <c r="K7070" t="s">
        <v>42729</v>
      </c>
      <c r="L7070" t="s">
        <v>145</v>
      </c>
      <c r="M7070" t="s">
        <v>43142</v>
      </c>
      <c r="N7070" t="s">
        <v>47424</v>
      </c>
      <c r="O7070" t="s">
        <v>47425</v>
      </c>
      <c r="P7070">
        <v>0</v>
      </c>
      <c r="Q7070">
        <v>0</v>
      </c>
      <c r="R7070" t="s">
        <v>47431</v>
      </c>
      <c r="S7070" t="s">
        <v>47565</v>
      </c>
      <c r="T7070" t="s">
        <v>49291</v>
      </c>
      <c r="U7070" t="s">
        <v>55613</v>
      </c>
      <c r="V7070" t="s">
        <v>62648</v>
      </c>
      <c r="W7070" t="s">
        <v>43142</v>
      </c>
      <c r="X7070" t="s">
        <v>47432</v>
      </c>
    </row>
    <row r="7071" spans="1:24">
      <c r="A7071">
        <f>HYPERLINK("https://www.philgeps.gov.ph/GEPSNONPILOT/Tender/SplashBidNoticeAbstractUI.aspx?menuIndex=3&amp;refID=7156962&amp;Result=3","7156962")</f>
        <v>0</v>
      </c>
      <c r="B7071" t="s">
        <v>2481</v>
      </c>
      <c r="C7071" t="s">
        <v>10548</v>
      </c>
      <c r="D7071" t="s">
        <v>19077</v>
      </c>
      <c r="E7071" t="s">
        <v>25254</v>
      </c>
      <c r="F7071" t="s">
        <v>32831</v>
      </c>
      <c r="G7071" t="s">
        <v>32838</v>
      </c>
      <c r="H7071" t="s">
        <v>32848</v>
      </c>
      <c r="I7071" t="s">
        <v>4222</v>
      </c>
      <c r="J7071" t="s">
        <v>33133</v>
      </c>
      <c r="K7071" t="s">
        <v>42727</v>
      </c>
      <c r="M7071" t="s">
        <v>45683</v>
      </c>
      <c r="N7071" t="s">
        <v>47424</v>
      </c>
      <c r="O7071" t="s">
        <v>47425</v>
      </c>
      <c r="P7071">
        <v>0</v>
      </c>
      <c r="Q7071">
        <v>0</v>
      </c>
      <c r="R7071" t="s">
        <v>47431</v>
      </c>
      <c r="S7071" t="s">
        <v>47565</v>
      </c>
      <c r="T7071" t="s">
        <v>49235</v>
      </c>
      <c r="U7071" t="s">
        <v>55614</v>
      </c>
      <c r="V7071" t="s">
        <v>63411</v>
      </c>
      <c r="W7071" t="s">
        <v>45683</v>
      </c>
      <c r="X7071" t="s">
        <v>47432</v>
      </c>
    </row>
    <row r="7072" spans="1:24">
      <c r="A7072">
        <f>HYPERLINK("https://www.philgeps.gov.ph/GEPSNONPILOT/Tender/SplashBidNoticeAbstractUI.aspx?menuIndex=3&amp;refID=7156950&amp;Result=3","7156950")</f>
        <v>0</v>
      </c>
      <c r="B7072" t="s">
        <v>1657</v>
      </c>
      <c r="C7072" t="s">
        <v>10549</v>
      </c>
      <c r="D7072" t="s">
        <v>19020</v>
      </c>
      <c r="E7072" t="s">
        <v>25255</v>
      </c>
      <c r="F7072" t="s">
        <v>32831</v>
      </c>
      <c r="G7072" t="s">
        <v>32838</v>
      </c>
      <c r="H7072" t="s">
        <v>32848</v>
      </c>
      <c r="I7072" t="s">
        <v>4776</v>
      </c>
      <c r="J7072" t="s">
        <v>33364</v>
      </c>
      <c r="K7072" t="s">
        <v>42730</v>
      </c>
      <c r="M7072" t="s">
        <v>44774</v>
      </c>
      <c r="N7072" t="s">
        <v>47424</v>
      </c>
      <c r="O7072" t="s">
        <v>47425</v>
      </c>
      <c r="P7072">
        <v>0</v>
      </c>
      <c r="Q7072">
        <v>0</v>
      </c>
      <c r="R7072" t="s">
        <v>47431</v>
      </c>
      <c r="S7072" t="s">
        <v>47565</v>
      </c>
      <c r="T7072" t="s">
        <v>49373</v>
      </c>
      <c r="U7072" t="s">
        <v>55615</v>
      </c>
      <c r="V7072" t="s">
        <v>63131</v>
      </c>
      <c r="W7072" t="s">
        <v>64487</v>
      </c>
      <c r="X7072" t="s">
        <v>47432</v>
      </c>
    </row>
    <row r="7073" spans="1:24">
      <c r="A7073">
        <f>HYPERLINK("https://www.philgeps.gov.ph/GEPSNONPILOT/Tender/SplashBidNoticeAbstractUI.aspx?menuIndex=3&amp;refID=7156949&amp;Result=3","7156949")</f>
        <v>0</v>
      </c>
      <c r="B7073" t="s">
        <v>1706</v>
      </c>
      <c r="C7073" t="s">
        <v>10550</v>
      </c>
      <c r="D7073" t="s">
        <v>19066</v>
      </c>
      <c r="E7073" t="s">
        <v>25256</v>
      </c>
      <c r="F7073" t="s">
        <v>32831</v>
      </c>
      <c r="G7073" t="s">
        <v>32839</v>
      </c>
      <c r="H7073" t="s">
        <v>32848</v>
      </c>
      <c r="I7073" t="s">
        <v>9577</v>
      </c>
      <c r="J7073" t="s">
        <v>37427</v>
      </c>
      <c r="K7073" t="s">
        <v>42732</v>
      </c>
      <c r="M7073" t="s">
        <v>44828</v>
      </c>
      <c r="N7073" t="s">
        <v>47424</v>
      </c>
      <c r="O7073" t="s">
        <v>47425</v>
      </c>
      <c r="P7073">
        <v>0</v>
      </c>
      <c r="Q7073">
        <v>1</v>
      </c>
      <c r="R7073" t="s">
        <v>47431</v>
      </c>
      <c r="S7073" t="s">
        <v>47565</v>
      </c>
      <c r="T7073" t="s">
        <v>49393</v>
      </c>
      <c r="U7073" t="s">
        <v>55616</v>
      </c>
      <c r="W7073" t="s">
        <v>44828</v>
      </c>
      <c r="X7073" t="s">
        <v>47432</v>
      </c>
    </row>
    <row r="7074" spans="1:24">
      <c r="A7074">
        <f>HYPERLINK("https://www.philgeps.gov.ph/GEPSNONPILOT/Tender/SplashBidNoticeAbstractUI.aspx?menuIndex=3&amp;refID=7156963&amp;Result=3","7156963")</f>
        <v>0</v>
      </c>
      <c r="B7074" t="s">
        <v>2483</v>
      </c>
      <c r="C7074" t="s">
        <v>10551</v>
      </c>
      <c r="D7074" t="s">
        <v>19054</v>
      </c>
      <c r="E7074" t="s">
        <v>25257</v>
      </c>
      <c r="F7074" t="s">
        <v>32833</v>
      </c>
      <c r="G7074" t="s">
        <v>32839</v>
      </c>
      <c r="H7074" t="s">
        <v>32848</v>
      </c>
      <c r="I7074" t="s">
        <v>7416</v>
      </c>
      <c r="J7074" t="s">
        <v>37428</v>
      </c>
      <c r="K7074" t="s">
        <v>42748</v>
      </c>
      <c r="M7074" t="s">
        <v>45685</v>
      </c>
      <c r="N7074" t="s">
        <v>47424</v>
      </c>
      <c r="O7074" t="s">
        <v>47425</v>
      </c>
      <c r="P7074">
        <v>0</v>
      </c>
      <c r="Q7074">
        <v>2</v>
      </c>
      <c r="R7074" t="s">
        <v>47431</v>
      </c>
      <c r="S7074" t="s">
        <v>47565</v>
      </c>
      <c r="T7074" t="s">
        <v>49310</v>
      </c>
      <c r="U7074" t="s">
        <v>55617</v>
      </c>
      <c r="W7074" t="s">
        <v>45685</v>
      </c>
      <c r="X7074" t="s">
        <v>47432</v>
      </c>
    </row>
    <row r="7075" spans="1:24">
      <c r="A7075">
        <f>HYPERLINK("https://www.philgeps.gov.ph/GEPSNONPILOT/Tender/SplashBidNoticeAbstractUI.aspx?menuIndex=3&amp;refID=7156951&amp;Result=3","7156951")</f>
        <v>0</v>
      </c>
      <c r="B7075" t="s">
        <v>1606</v>
      </c>
      <c r="C7075" t="s">
        <v>10552</v>
      </c>
      <c r="E7075" t="s">
        <v>25258</v>
      </c>
      <c r="F7075" t="s">
        <v>32831</v>
      </c>
      <c r="G7075" t="s">
        <v>32839</v>
      </c>
      <c r="H7075" t="s">
        <v>32848</v>
      </c>
      <c r="I7075" t="s">
        <v>32874</v>
      </c>
      <c r="J7075" t="s">
        <v>37429</v>
      </c>
      <c r="K7075" t="s">
        <v>42732</v>
      </c>
      <c r="M7075" t="s">
        <v>44722</v>
      </c>
      <c r="N7075" t="s">
        <v>47424</v>
      </c>
      <c r="O7075" t="s">
        <v>47425</v>
      </c>
      <c r="P7075">
        <v>0</v>
      </c>
      <c r="Q7075">
        <v>15</v>
      </c>
      <c r="R7075" t="s">
        <v>47431</v>
      </c>
      <c r="S7075" t="s">
        <v>47565</v>
      </c>
      <c r="T7075" t="s">
        <v>49160</v>
      </c>
      <c r="U7075" t="s">
        <v>55618</v>
      </c>
      <c r="W7075" t="s">
        <v>44722</v>
      </c>
      <c r="X7075" t="s">
        <v>47432</v>
      </c>
    </row>
    <row r="7076" spans="1:24">
      <c r="A7076">
        <f>HYPERLINK("https://www.philgeps.gov.ph/GEPSNONPILOT/Tender/SplashBidNoticeAbstractUI.aspx?menuIndex=3&amp;refID=7156947&amp;Result=3","7156947")</f>
        <v>0</v>
      </c>
      <c r="B7076" t="s">
        <v>174</v>
      </c>
      <c r="C7076" t="s">
        <v>10553</v>
      </c>
      <c r="D7076" t="s">
        <v>19019</v>
      </c>
      <c r="E7076" t="s">
        <v>25259</v>
      </c>
      <c r="F7076" t="s">
        <v>32831</v>
      </c>
      <c r="G7076" t="s">
        <v>32839</v>
      </c>
      <c r="H7076" t="s">
        <v>32848</v>
      </c>
      <c r="I7076" t="s">
        <v>32863</v>
      </c>
      <c r="J7076" t="s">
        <v>37430</v>
      </c>
      <c r="K7076" t="s">
        <v>42812</v>
      </c>
      <c r="M7076" t="s">
        <v>45686</v>
      </c>
      <c r="N7076" t="s">
        <v>47424</v>
      </c>
      <c r="O7076" t="s">
        <v>47425</v>
      </c>
      <c r="P7076">
        <v>0</v>
      </c>
      <c r="Q7076">
        <v>2</v>
      </c>
      <c r="R7076" t="s">
        <v>47431</v>
      </c>
      <c r="S7076" t="s">
        <v>47565</v>
      </c>
      <c r="T7076" t="s">
        <v>49396</v>
      </c>
      <c r="U7076" t="s">
        <v>55619</v>
      </c>
      <c r="W7076" t="s">
        <v>45686</v>
      </c>
      <c r="X7076" t="s">
        <v>47432</v>
      </c>
    </row>
    <row r="7077" spans="1:24">
      <c r="A7077">
        <f>HYPERLINK("https://www.philgeps.gov.ph/GEPSNONPILOT/Tender/SplashBidNoticeAbstractUI.aspx?menuIndex=3&amp;refID=7156946&amp;Result=3","7156946")</f>
        <v>0</v>
      </c>
      <c r="B7077" t="s">
        <v>1746</v>
      </c>
      <c r="C7077" t="s">
        <v>10554</v>
      </c>
      <c r="D7077" t="s">
        <v>19051</v>
      </c>
      <c r="E7077" t="s">
        <v>25260</v>
      </c>
      <c r="F7077" t="s">
        <v>32831</v>
      </c>
      <c r="G7077" t="s">
        <v>32838</v>
      </c>
      <c r="H7077" t="s">
        <v>32848</v>
      </c>
      <c r="I7077" t="s">
        <v>32882</v>
      </c>
      <c r="J7077" t="s">
        <v>34543</v>
      </c>
      <c r="K7077" t="s">
        <v>42745</v>
      </c>
      <c r="M7077" t="s">
        <v>44869</v>
      </c>
      <c r="N7077" t="s">
        <v>47424</v>
      </c>
      <c r="O7077" t="s">
        <v>47425</v>
      </c>
      <c r="P7077">
        <v>0</v>
      </c>
      <c r="Q7077">
        <v>2</v>
      </c>
      <c r="R7077" t="s">
        <v>47431</v>
      </c>
      <c r="S7077" t="s">
        <v>47565</v>
      </c>
      <c r="T7077" t="s">
        <v>49056</v>
      </c>
      <c r="U7077" t="s">
        <v>55620</v>
      </c>
      <c r="W7077" t="s">
        <v>44869</v>
      </c>
      <c r="X7077" t="s">
        <v>47432</v>
      </c>
    </row>
    <row r="7078" spans="1:24">
      <c r="A7078">
        <f>HYPERLINK("https://www.philgeps.gov.ph/GEPSNONPILOT/Tender/SplashBidNoticeAbstractUI.aspx?menuIndex=3&amp;refID=7156943&amp;Result=3","7156943")</f>
        <v>0</v>
      </c>
      <c r="B7078" t="s">
        <v>685</v>
      </c>
      <c r="C7078" t="s">
        <v>10555</v>
      </c>
      <c r="D7078" t="s">
        <v>19059</v>
      </c>
      <c r="E7078" t="s">
        <v>25261</v>
      </c>
      <c r="F7078" t="s">
        <v>32831</v>
      </c>
      <c r="G7078" t="s">
        <v>32838</v>
      </c>
      <c r="H7078" t="s">
        <v>32848</v>
      </c>
      <c r="I7078" t="s">
        <v>32862</v>
      </c>
      <c r="J7078" t="s">
        <v>37431</v>
      </c>
      <c r="K7078" t="s">
        <v>42726</v>
      </c>
      <c r="M7078" t="s">
        <v>43704</v>
      </c>
      <c r="N7078" t="s">
        <v>47424</v>
      </c>
      <c r="O7078" t="s">
        <v>47425</v>
      </c>
      <c r="P7078">
        <v>0</v>
      </c>
      <c r="Q7078">
        <v>1</v>
      </c>
      <c r="R7078" t="s">
        <v>47431</v>
      </c>
      <c r="S7078" t="s">
        <v>47565</v>
      </c>
      <c r="T7078" t="s">
        <v>49166</v>
      </c>
      <c r="U7078" t="s">
        <v>55621</v>
      </c>
      <c r="V7078" t="s">
        <v>63412</v>
      </c>
      <c r="W7078" t="s">
        <v>43704</v>
      </c>
      <c r="X7078" t="s">
        <v>47432</v>
      </c>
    </row>
    <row r="7079" spans="1:24">
      <c r="A7079">
        <f>HYPERLINK("https://www.philgeps.gov.ph/GEPSNONPILOT/Tender/SplashBidNoticeAbstractUI.aspx?menuIndex=3&amp;refID=7156967&amp;Result=3","7156967")</f>
        <v>0</v>
      </c>
      <c r="B7079" t="s">
        <v>2484</v>
      </c>
      <c r="C7079" t="s">
        <v>9197</v>
      </c>
      <c r="D7079" t="s">
        <v>19058</v>
      </c>
      <c r="F7079" t="s">
        <v>32831</v>
      </c>
      <c r="G7079" t="s">
        <v>32839</v>
      </c>
      <c r="H7079" t="s">
        <v>32848</v>
      </c>
      <c r="I7079" t="s">
        <v>4177</v>
      </c>
      <c r="J7079" t="s">
        <v>37432</v>
      </c>
      <c r="K7079" t="s">
        <v>42732</v>
      </c>
      <c r="M7079" t="s">
        <v>45687</v>
      </c>
      <c r="N7079" t="s">
        <v>47424</v>
      </c>
      <c r="O7079" t="s">
        <v>47425</v>
      </c>
      <c r="P7079">
        <v>0</v>
      </c>
      <c r="Q7079">
        <v>0</v>
      </c>
      <c r="R7079" t="s">
        <v>47431</v>
      </c>
      <c r="S7079" t="s">
        <v>47565</v>
      </c>
      <c r="T7079" t="s">
        <v>49091</v>
      </c>
      <c r="U7079" t="s">
        <v>55622</v>
      </c>
      <c r="W7079" t="s">
        <v>45687</v>
      </c>
      <c r="X7079" t="s">
        <v>47432</v>
      </c>
    </row>
    <row r="7080" spans="1:24">
      <c r="A7080">
        <f>HYPERLINK("https://www.philgeps.gov.ph/GEPSNONPILOT/Tender/SplashBidNoticeAbstractUI.aspx?menuIndex=3&amp;refID=7156870&amp;Result=3","7156870")</f>
        <v>0</v>
      </c>
      <c r="B7080" t="s">
        <v>663</v>
      </c>
      <c r="C7080" t="s">
        <v>10556</v>
      </c>
      <c r="D7080" t="s">
        <v>19026</v>
      </c>
      <c r="E7080" t="s">
        <v>25262</v>
      </c>
      <c r="F7080" t="s">
        <v>32831</v>
      </c>
      <c r="G7080" t="s">
        <v>32838</v>
      </c>
      <c r="H7080" t="s">
        <v>32849</v>
      </c>
      <c r="I7080" t="s">
        <v>4177</v>
      </c>
      <c r="J7080" t="s">
        <v>33133</v>
      </c>
      <c r="K7080" t="s">
        <v>42732</v>
      </c>
      <c r="M7080" t="s">
        <v>43681</v>
      </c>
      <c r="N7080" t="s">
        <v>47424</v>
      </c>
      <c r="O7080" t="s">
        <v>47425</v>
      </c>
      <c r="P7080">
        <v>0</v>
      </c>
      <c r="Q7080">
        <v>1</v>
      </c>
      <c r="R7080" t="s">
        <v>47431</v>
      </c>
      <c r="S7080" t="s">
        <v>47565</v>
      </c>
      <c r="T7080" t="s">
        <v>49235</v>
      </c>
      <c r="U7080" t="s">
        <v>53529</v>
      </c>
      <c r="W7080" t="s">
        <v>43681</v>
      </c>
      <c r="X7080" t="s">
        <v>47432</v>
      </c>
    </row>
    <row r="7081" spans="1:24">
      <c r="A7081">
        <f>HYPERLINK("https://www.philgeps.gov.ph/GEPSNONPILOT/Tender/SplashBidNoticeAbstractUI.aspx?menuIndex=3&amp;refID=7156868&amp;Result=3","7156868")</f>
        <v>0</v>
      </c>
      <c r="B7081" t="s">
        <v>2485</v>
      </c>
      <c r="C7081" t="s">
        <v>10557</v>
      </c>
      <c r="D7081" t="s">
        <v>19031</v>
      </c>
      <c r="E7081" t="s">
        <v>25263</v>
      </c>
      <c r="F7081" t="s">
        <v>32831</v>
      </c>
      <c r="G7081" t="s">
        <v>32839</v>
      </c>
      <c r="H7081" t="s">
        <v>32849</v>
      </c>
      <c r="I7081" t="s">
        <v>4177</v>
      </c>
      <c r="J7081" t="s">
        <v>33111</v>
      </c>
      <c r="K7081" t="s">
        <v>42780</v>
      </c>
      <c r="M7081" t="s">
        <v>45688</v>
      </c>
      <c r="N7081" t="s">
        <v>47424</v>
      </c>
      <c r="O7081" t="s">
        <v>47425</v>
      </c>
      <c r="P7081">
        <v>0</v>
      </c>
      <c r="Q7081">
        <v>0</v>
      </c>
      <c r="R7081" t="s">
        <v>47431</v>
      </c>
      <c r="S7081" t="s">
        <v>47565</v>
      </c>
      <c r="T7081" t="s">
        <v>49077</v>
      </c>
      <c r="U7081" t="s">
        <v>55623</v>
      </c>
      <c r="W7081" t="s">
        <v>64510</v>
      </c>
      <c r="X7081" t="s">
        <v>47432</v>
      </c>
    </row>
    <row r="7082" spans="1:24">
      <c r="A7082">
        <f>HYPERLINK("https://www.philgeps.gov.ph/GEPSNONPILOT/Tender/SplashBidNoticeAbstractUI.aspx?menuIndex=3&amp;refID=7156840&amp;Result=3","7156840")</f>
        <v>0</v>
      </c>
      <c r="B7082" t="s">
        <v>2486</v>
      </c>
      <c r="C7082" t="s">
        <v>10558</v>
      </c>
      <c r="D7082" t="s">
        <v>19017</v>
      </c>
      <c r="E7082" t="s">
        <v>25264</v>
      </c>
      <c r="F7082" t="s">
        <v>32831</v>
      </c>
      <c r="G7082" t="s">
        <v>32838</v>
      </c>
      <c r="H7082" t="s">
        <v>32848</v>
      </c>
      <c r="I7082" t="s">
        <v>10805</v>
      </c>
      <c r="J7082" t="s">
        <v>37433</v>
      </c>
      <c r="K7082" t="s">
        <v>42727</v>
      </c>
      <c r="M7082" t="s">
        <v>45689</v>
      </c>
      <c r="N7082" t="s">
        <v>47424</v>
      </c>
      <c r="O7082" t="s">
        <v>47425</v>
      </c>
      <c r="P7082">
        <v>0</v>
      </c>
      <c r="Q7082">
        <v>10</v>
      </c>
      <c r="R7082" t="s">
        <v>47431</v>
      </c>
      <c r="S7082" t="s">
        <v>47565</v>
      </c>
      <c r="T7082" t="s">
        <v>49239</v>
      </c>
      <c r="U7082" t="s">
        <v>55624</v>
      </c>
      <c r="V7082" t="s">
        <v>62739</v>
      </c>
      <c r="W7082" t="s">
        <v>45689</v>
      </c>
      <c r="X7082" t="s">
        <v>47432</v>
      </c>
    </row>
    <row r="7083" spans="1:24">
      <c r="A7083">
        <f>HYPERLINK("https://www.philgeps.gov.ph/GEPSNONPILOT/Tender/SplashBidNoticeAbstractUI.aspx?menuIndex=3&amp;refID=7156839&amp;Result=3","7156839")</f>
        <v>0</v>
      </c>
      <c r="B7083" t="s">
        <v>1939</v>
      </c>
      <c r="C7083" t="s">
        <v>10559</v>
      </c>
      <c r="D7083" t="s">
        <v>19067</v>
      </c>
      <c r="E7083" t="s">
        <v>25265</v>
      </c>
      <c r="F7083" t="s">
        <v>32831</v>
      </c>
      <c r="G7083" t="s">
        <v>32839</v>
      </c>
      <c r="H7083" t="s">
        <v>32849</v>
      </c>
      <c r="I7083" t="s">
        <v>4177</v>
      </c>
      <c r="J7083" t="s">
        <v>37434</v>
      </c>
      <c r="K7083" t="s">
        <v>42902</v>
      </c>
      <c r="M7083" t="s">
        <v>45094</v>
      </c>
      <c r="N7083" t="s">
        <v>47424</v>
      </c>
      <c r="O7083" t="s">
        <v>47425</v>
      </c>
      <c r="P7083">
        <v>0</v>
      </c>
      <c r="Q7083">
        <v>0</v>
      </c>
      <c r="R7083" t="s">
        <v>47431</v>
      </c>
      <c r="S7083" t="s">
        <v>47565</v>
      </c>
      <c r="T7083" t="s">
        <v>49216</v>
      </c>
      <c r="U7083" t="s">
        <v>55625</v>
      </c>
      <c r="V7083" t="s">
        <v>63413</v>
      </c>
      <c r="W7083" t="s">
        <v>45094</v>
      </c>
      <c r="X7083" t="s">
        <v>47432</v>
      </c>
    </row>
    <row r="7084" spans="1:24">
      <c r="A7084">
        <f>HYPERLINK("https://www.philgeps.gov.ph/GEPSNONPILOT/Tender/SplashBidNoticeAbstractUI.aspx?menuIndex=3&amp;refID=7156941&amp;Result=3","7156941")</f>
        <v>0</v>
      </c>
      <c r="B7084" t="s">
        <v>2487</v>
      </c>
      <c r="C7084" t="s">
        <v>10560</v>
      </c>
      <c r="D7084" t="s">
        <v>19071</v>
      </c>
      <c r="E7084" t="s">
        <v>25266</v>
      </c>
      <c r="F7084" t="s">
        <v>32831</v>
      </c>
      <c r="G7084" t="s">
        <v>32839</v>
      </c>
      <c r="H7084" t="s">
        <v>32848</v>
      </c>
      <c r="I7084" t="s">
        <v>32870</v>
      </c>
      <c r="J7084" t="s">
        <v>34129</v>
      </c>
      <c r="K7084" t="s">
        <v>42732</v>
      </c>
      <c r="M7084" t="s">
        <v>45690</v>
      </c>
      <c r="N7084" t="s">
        <v>47424</v>
      </c>
      <c r="O7084" t="s">
        <v>47425</v>
      </c>
      <c r="P7084">
        <v>0</v>
      </c>
      <c r="Q7084">
        <v>0</v>
      </c>
      <c r="R7084" t="s">
        <v>47431</v>
      </c>
      <c r="S7084" t="s">
        <v>47565</v>
      </c>
      <c r="T7084" t="s">
        <v>49196</v>
      </c>
      <c r="U7084" t="s">
        <v>55626</v>
      </c>
      <c r="W7084" t="s">
        <v>45690</v>
      </c>
      <c r="X7084" t="s">
        <v>47432</v>
      </c>
    </row>
    <row r="7085" spans="1:24">
      <c r="A7085">
        <f>HYPERLINK("https://www.philgeps.gov.ph/GEPSNONPILOT/Tender/SplashBidNoticeAbstractUI.aspx?menuIndex=3&amp;refID=7156869&amp;Result=3","7156869")</f>
        <v>0</v>
      </c>
      <c r="B7085" t="s">
        <v>1136</v>
      </c>
      <c r="C7085" t="s">
        <v>10561</v>
      </c>
      <c r="D7085" t="s">
        <v>19090</v>
      </c>
      <c r="E7085" t="s">
        <v>25267</v>
      </c>
      <c r="F7085" t="s">
        <v>32831</v>
      </c>
      <c r="G7085" t="s">
        <v>32839</v>
      </c>
      <c r="H7085" t="s">
        <v>32848</v>
      </c>
      <c r="I7085" t="s">
        <v>7416</v>
      </c>
      <c r="J7085" t="s">
        <v>37435</v>
      </c>
      <c r="K7085" t="s">
        <v>42730</v>
      </c>
      <c r="M7085" t="s">
        <v>44199</v>
      </c>
      <c r="N7085" t="s">
        <v>47424</v>
      </c>
      <c r="O7085" t="s">
        <v>47425</v>
      </c>
      <c r="P7085">
        <v>0</v>
      </c>
      <c r="Q7085">
        <v>0</v>
      </c>
      <c r="R7085" t="s">
        <v>47431</v>
      </c>
      <c r="S7085" t="s">
        <v>47565</v>
      </c>
      <c r="T7085" t="s">
        <v>49283</v>
      </c>
      <c r="U7085" t="s">
        <v>55627</v>
      </c>
      <c r="W7085" t="s">
        <v>44199</v>
      </c>
      <c r="X7085" t="s">
        <v>47432</v>
      </c>
    </row>
    <row r="7086" spans="1:24">
      <c r="A7086">
        <f>HYPERLINK("https://www.philgeps.gov.ph/GEPSNONPILOT/Tender/SplashBidNoticeAbstractUI.aspx?menuIndex=3&amp;refID=7156838&amp;Result=3","7156838")</f>
        <v>0</v>
      </c>
      <c r="B7086" t="s">
        <v>1840</v>
      </c>
      <c r="C7086" t="s">
        <v>10562</v>
      </c>
      <c r="D7086" t="s">
        <v>19092</v>
      </c>
      <c r="E7086" t="s">
        <v>25268</v>
      </c>
      <c r="F7086" t="s">
        <v>32831</v>
      </c>
      <c r="G7086" t="s">
        <v>32839</v>
      </c>
      <c r="H7086" t="s">
        <v>32848</v>
      </c>
      <c r="I7086" t="s">
        <v>7416</v>
      </c>
      <c r="J7086" t="s">
        <v>37247</v>
      </c>
      <c r="K7086" t="s">
        <v>42730</v>
      </c>
      <c r="M7086" t="s">
        <v>44974</v>
      </c>
      <c r="N7086" t="s">
        <v>47424</v>
      </c>
      <c r="O7086" t="s">
        <v>47425</v>
      </c>
      <c r="P7086">
        <v>0</v>
      </c>
      <c r="Q7086">
        <v>0</v>
      </c>
      <c r="R7086" t="s">
        <v>47431</v>
      </c>
      <c r="S7086" t="s">
        <v>47565</v>
      </c>
      <c r="T7086" t="s">
        <v>49106</v>
      </c>
      <c r="U7086" t="s">
        <v>55628</v>
      </c>
      <c r="W7086" t="s">
        <v>44974</v>
      </c>
      <c r="X7086" t="s">
        <v>47432</v>
      </c>
    </row>
    <row r="7087" spans="1:24">
      <c r="A7087">
        <f>HYPERLINK("https://www.philgeps.gov.ph/GEPSNONPILOT/Tender/SplashBidNoticeAbstractUI.aspx?menuIndex=3&amp;refID=7157011&amp;Result=3","7157011")</f>
        <v>0</v>
      </c>
      <c r="B7087" t="s">
        <v>1840</v>
      </c>
      <c r="C7087" t="s">
        <v>10563</v>
      </c>
      <c r="D7087" t="s">
        <v>19092</v>
      </c>
      <c r="E7087" t="s">
        <v>25269</v>
      </c>
      <c r="F7087" t="s">
        <v>32831</v>
      </c>
      <c r="G7087" t="s">
        <v>32839</v>
      </c>
      <c r="H7087" t="s">
        <v>32848</v>
      </c>
      <c r="I7087" t="s">
        <v>7416</v>
      </c>
      <c r="J7087" t="s">
        <v>33083</v>
      </c>
      <c r="K7087" t="s">
        <v>42730</v>
      </c>
      <c r="M7087" t="s">
        <v>44974</v>
      </c>
      <c r="N7087" t="s">
        <v>47424</v>
      </c>
      <c r="O7087" t="s">
        <v>47425</v>
      </c>
      <c r="P7087">
        <v>0</v>
      </c>
      <c r="Q7087">
        <v>1</v>
      </c>
      <c r="R7087" t="s">
        <v>47431</v>
      </c>
      <c r="S7087" t="s">
        <v>47565</v>
      </c>
      <c r="T7087" t="s">
        <v>49106</v>
      </c>
      <c r="U7087" t="s">
        <v>55629</v>
      </c>
      <c r="W7087" t="s">
        <v>44974</v>
      </c>
      <c r="X7087" t="s">
        <v>47432</v>
      </c>
    </row>
    <row r="7088" spans="1:24">
      <c r="A7088">
        <f>HYPERLINK("https://www.philgeps.gov.ph/GEPSNONPILOT/Tender/SplashBidNoticeAbstractUI.aspx?menuIndex=3&amp;refID=7157007&amp;Result=3","7157007")</f>
        <v>0</v>
      </c>
      <c r="B7088" t="s">
        <v>950</v>
      </c>
      <c r="C7088" t="s">
        <v>10564</v>
      </c>
      <c r="D7088" t="s">
        <v>19100</v>
      </c>
      <c r="E7088" t="s">
        <v>25270</v>
      </c>
      <c r="F7088" t="s">
        <v>32831</v>
      </c>
      <c r="G7088" t="s">
        <v>32839</v>
      </c>
      <c r="H7088" t="s">
        <v>32848</v>
      </c>
      <c r="I7088" t="s">
        <v>32884</v>
      </c>
      <c r="J7088" t="s">
        <v>37436</v>
      </c>
      <c r="K7088" t="s">
        <v>42747</v>
      </c>
      <c r="M7088" t="s">
        <v>44404</v>
      </c>
      <c r="N7088" t="s">
        <v>47424</v>
      </c>
      <c r="O7088" t="s">
        <v>47425</v>
      </c>
      <c r="P7088">
        <v>0</v>
      </c>
      <c r="Q7088">
        <v>2</v>
      </c>
      <c r="R7088" t="s">
        <v>47431</v>
      </c>
      <c r="S7088" t="s">
        <v>47565</v>
      </c>
      <c r="T7088" t="s">
        <v>49127</v>
      </c>
      <c r="U7088" t="s">
        <v>55630</v>
      </c>
      <c r="W7088" t="s">
        <v>44404</v>
      </c>
      <c r="X7088" t="s">
        <v>47432</v>
      </c>
    </row>
    <row r="7089" spans="1:24">
      <c r="A7089">
        <f>HYPERLINK("https://www.philgeps.gov.ph/GEPSNONPILOT/Tender/SplashBidNoticeAbstractUI.aspx?menuIndex=3&amp;refID=7157006&amp;Result=3","7157006")</f>
        <v>0</v>
      </c>
      <c r="B7089" t="s">
        <v>288</v>
      </c>
      <c r="C7089" t="s">
        <v>10565</v>
      </c>
      <c r="D7089" t="s">
        <v>19021</v>
      </c>
      <c r="E7089" t="s">
        <v>25271</v>
      </c>
      <c r="F7089" t="s">
        <v>32831</v>
      </c>
      <c r="G7089" t="s">
        <v>32839</v>
      </c>
      <c r="H7089" t="s">
        <v>32849</v>
      </c>
      <c r="I7089" t="s">
        <v>4177</v>
      </c>
      <c r="J7089" t="s">
        <v>37437</v>
      </c>
      <c r="K7089" t="s">
        <v>42770</v>
      </c>
      <c r="M7089" t="s">
        <v>43288</v>
      </c>
      <c r="N7089" t="s">
        <v>47424</v>
      </c>
      <c r="O7089" t="s">
        <v>47425</v>
      </c>
      <c r="P7089">
        <v>0</v>
      </c>
      <c r="Q7089">
        <v>25</v>
      </c>
      <c r="R7089" t="s">
        <v>47431</v>
      </c>
      <c r="S7089" t="s">
        <v>47565</v>
      </c>
      <c r="T7089" t="s">
        <v>49151</v>
      </c>
      <c r="U7089" t="s">
        <v>55631</v>
      </c>
      <c r="V7089" t="s">
        <v>63414</v>
      </c>
      <c r="W7089" t="s">
        <v>43288</v>
      </c>
      <c r="X7089" t="s">
        <v>47432</v>
      </c>
    </row>
    <row r="7090" spans="1:24">
      <c r="A7090">
        <f>HYPERLINK("https://www.philgeps.gov.ph/GEPSNONPILOT/Tender/SplashBidNoticeAbstractUI.aspx?menuIndex=3&amp;refID=7156948&amp;Result=3","7156948")</f>
        <v>0</v>
      </c>
      <c r="B7090" t="s">
        <v>512</v>
      </c>
      <c r="C7090" t="s">
        <v>10566</v>
      </c>
      <c r="D7090" t="s">
        <v>19018</v>
      </c>
      <c r="E7090" t="s">
        <v>10566</v>
      </c>
      <c r="F7090" t="s">
        <v>32831</v>
      </c>
      <c r="G7090" t="s">
        <v>32838</v>
      </c>
      <c r="H7090" t="s">
        <v>32848</v>
      </c>
      <c r="I7090" t="s">
        <v>32862</v>
      </c>
      <c r="J7090" t="s">
        <v>37438</v>
      </c>
      <c r="K7090" t="s">
        <v>42727</v>
      </c>
      <c r="M7090" t="s">
        <v>43517</v>
      </c>
      <c r="N7090" t="s">
        <v>47424</v>
      </c>
      <c r="O7090" t="s">
        <v>47425</v>
      </c>
      <c r="P7090">
        <v>0</v>
      </c>
      <c r="Q7090">
        <v>0</v>
      </c>
      <c r="R7090" t="s">
        <v>47431</v>
      </c>
      <c r="S7090" t="s">
        <v>47565</v>
      </c>
      <c r="T7090" t="s">
        <v>49111</v>
      </c>
      <c r="U7090" t="s">
        <v>54859</v>
      </c>
      <c r="W7090" t="s">
        <v>43517</v>
      </c>
      <c r="X7090" t="s">
        <v>47432</v>
      </c>
    </row>
    <row r="7091" spans="1:24">
      <c r="A7091">
        <f>HYPERLINK("https://www.philgeps.gov.ph/GEPSNONPILOT/Tender/SplashBidNoticeAbstractUI.aspx?menuIndex=3&amp;refID=7157003&amp;Result=3","7157003")</f>
        <v>0</v>
      </c>
      <c r="B7091" t="s">
        <v>2444</v>
      </c>
      <c r="C7091" t="s">
        <v>4925</v>
      </c>
      <c r="D7091" t="s">
        <v>19037</v>
      </c>
      <c r="E7091" t="s">
        <v>19494</v>
      </c>
      <c r="F7091" t="s">
        <v>32831</v>
      </c>
      <c r="G7091" t="s">
        <v>32839</v>
      </c>
      <c r="H7091" t="s">
        <v>32848</v>
      </c>
      <c r="I7091" t="s">
        <v>8577</v>
      </c>
      <c r="J7091" t="s">
        <v>33162</v>
      </c>
      <c r="K7091" t="s">
        <v>42729</v>
      </c>
      <c r="M7091" t="s">
        <v>45641</v>
      </c>
      <c r="N7091" t="s">
        <v>47424</v>
      </c>
      <c r="O7091" t="s">
        <v>47425</v>
      </c>
      <c r="P7091">
        <v>0</v>
      </c>
      <c r="Q7091">
        <v>0</v>
      </c>
      <c r="R7091" t="s">
        <v>47431</v>
      </c>
      <c r="S7091" t="s">
        <v>47565</v>
      </c>
      <c r="T7091" t="s">
        <v>49127</v>
      </c>
      <c r="U7091" t="s">
        <v>55632</v>
      </c>
      <c r="W7091" t="s">
        <v>45641</v>
      </c>
      <c r="X7091" t="s">
        <v>47432</v>
      </c>
    </row>
    <row r="7092" spans="1:24">
      <c r="A7092">
        <f>HYPERLINK("https://www.philgeps.gov.ph/GEPSNONPILOT/Tender/SplashBidNoticeAbstractUI.aspx?menuIndex=3&amp;refID=7157000&amp;Result=3","7157000")</f>
        <v>0</v>
      </c>
      <c r="B7092" t="s">
        <v>145</v>
      </c>
      <c r="C7092" t="s">
        <v>10567</v>
      </c>
      <c r="D7092" t="s">
        <v>19048</v>
      </c>
      <c r="E7092" t="s">
        <v>25272</v>
      </c>
      <c r="F7092" t="s">
        <v>32831</v>
      </c>
      <c r="G7092" t="s">
        <v>32839</v>
      </c>
      <c r="H7092" t="s">
        <v>32849</v>
      </c>
      <c r="I7092" t="s">
        <v>4177</v>
      </c>
      <c r="J7092" t="s">
        <v>37439</v>
      </c>
      <c r="K7092" t="s">
        <v>42903</v>
      </c>
      <c r="L7092" t="s">
        <v>145</v>
      </c>
      <c r="M7092" t="s">
        <v>43142</v>
      </c>
      <c r="N7092" t="s">
        <v>47424</v>
      </c>
      <c r="O7092" t="s">
        <v>47425</v>
      </c>
      <c r="P7092">
        <v>0</v>
      </c>
      <c r="Q7092">
        <v>0</v>
      </c>
      <c r="R7092" t="s">
        <v>47431</v>
      </c>
      <c r="S7092" t="s">
        <v>47565</v>
      </c>
      <c r="T7092" t="s">
        <v>49291</v>
      </c>
      <c r="U7092" t="s">
        <v>55633</v>
      </c>
      <c r="V7092" t="s">
        <v>62648</v>
      </c>
      <c r="W7092" t="s">
        <v>43142</v>
      </c>
      <c r="X7092" t="s">
        <v>47432</v>
      </c>
    </row>
    <row r="7093" spans="1:24">
      <c r="A7093">
        <f>HYPERLINK("https://www.philgeps.gov.ph/GEPSNONPILOT/Tender/SplashBidNoticeAbstractUI.aspx?menuIndex=3&amp;refID=7156953&amp;Result=3","7156953")</f>
        <v>0</v>
      </c>
      <c r="B7093" t="s">
        <v>2261</v>
      </c>
      <c r="C7093" t="s">
        <v>10568</v>
      </c>
      <c r="D7093" t="s">
        <v>19038</v>
      </c>
      <c r="E7093" t="s">
        <v>25273</v>
      </c>
      <c r="F7093" t="s">
        <v>32831</v>
      </c>
      <c r="G7093" t="s">
        <v>32839</v>
      </c>
      <c r="H7093" t="s">
        <v>32848</v>
      </c>
      <c r="I7093" t="s">
        <v>32935</v>
      </c>
      <c r="J7093" t="s">
        <v>33044</v>
      </c>
      <c r="K7093" t="s">
        <v>42731</v>
      </c>
      <c r="L7093" t="s">
        <v>2261</v>
      </c>
      <c r="M7093" t="s">
        <v>45445</v>
      </c>
      <c r="N7093" t="s">
        <v>47424</v>
      </c>
      <c r="O7093" t="s">
        <v>47425</v>
      </c>
      <c r="P7093">
        <v>0</v>
      </c>
      <c r="Q7093">
        <v>0</v>
      </c>
      <c r="R7093" t="s">
        <v>47431</v>
      </c>
      <c r="S7093" t="s">
        <v>47565</v>
      </c>
      <c r="T7093" t="s">
        <v>49073</v>
      </c>
      <c r="U7093" t="s">
        <v>54974</v>
      </c>
      <c r="W7093" t="s">
        <v>45445</v>
      </c>
      <c r="X7093" t="s">
        <v>47432</v>
      </c>
    </row>
    <row r="7094" spans="1:24">
      <c r="A7094">
        <f>HYPERLINK("https://www.philgeps.gov.ph/GEPSNONPILOT/Tender/SplashBidNoticeAbstractUI.aspx?menuIndex=3&amp;refID=7157010&amp;Result=3","7157010")</f>
        <v>0</v>
      </c>
      <c r="B7094" t="s">
        <v>213</v>
      </c>
      <c r="C7094" t="s">
        <v>10569</v>
      </c>
      <c r="D7094" t="s">
        <v>19052</v>
      </c>
      <c r="E7094" t="s">
        <v>25274</v>
      </c>
      <c r="F7094" t="s">
        <v>32831</v>
      </c>
      <c r="G7094" t="s">
        <v>32838</v>
      </c>
      <c r="H7094" t="s">
        <v>32848</v>
      </c>
      <c r="I7094" t="s">
        <v>32859</v>
      </c>
      <c r="J7094" t="s">
        <v>37440</v>
      </c>
      <c r="K7094" t="s">
        <v>42727</v>
      </c>
      <c r="M7094" t="s">
        <v>43832</v>
      </c>
      <c r="N7094" t="s">
        <v>47424</v>
      </c>
      <c r="O7094" t="s">
        <v>47425</v>
      </c>
      <c r="Q7094">
        <v>5</v>
      </c>
      <c r="R7094" t="s">
        <v>47431</v>
      </c>
      <c r="S7094" t="s">
        <v>47582</v>
      </c>
      <c r="T7094" t="s">
        <v>49163</v>
      </c>
      <c r="U7094" t="s">
        <v>55634</v>
      </c>
      <c r="V7094" t="s">
        <v>62662</v>
      </c>
      <c r="W7094" t="s">
        <v>43832</v>
      </c>
      <c r="X7094" t="s">
        <v>47432</v>
      </c>
    </row>
    <row r="7095" spans="1:24">
      <c r="A7095">
        <f>HYPERLINK("https://www.philgeps.gov.ph/GEPSNONPILOT/Tender/SplashBidNoticeAbstractUI.aspx?menuIndex=3&amp;refID=7156994&amp;Result=3","7156994")</f>
        <v>0</v>
      </c>
      <c r="B7095" t="s">
        <v>512</v>
      </c>
      <c r="C7095" t="s">
        <v>10570</v>
      </c>
      <c r="D7095" t="s">
        <v>19018</v>
      </c>
      <c r="E7095" t="s">
        <v>25275</v>
      </c>
      <c r="F7095" t="s">
        <v>32831</v>
      </c>
      <c r="G7095" t="s">
        <v>32838</v>
      </c>
      <c r="H7095" t="s">
        <v>32848</v>
      </c>
      <c r="I7095" t="s">
        <v>32862</v>
      </c>
      <c r="J7095" t="s">
        <v>37441</v>
      </c>
      <c r="K7095" t="s">
        <v>42727</v>
      </c>
      <c r="M7095" t="s">
        <v>43517</v>
      </c>
      <c r="N7095" t="s">
        <v>47424</v>
      </c>
      <c r="O7095" t="s">
        <v>47425</v>
      </c>
      <c r="P7095">
        <v>0</v>
      </c>
      <c r="Q7095">
        <v>0</v>
      </c>
      <c r="R7095" t="s">
        <v>47431</v>
      </c>
      <c r="S7095" t="s">
        <v>47565</v>
      </c>
      <c r="T7095" t="s">
        <v>49111</v>
      </c>
      <c r="U7095" t="s">
        <v>54859</v>
      </c>
      <c r="W7095" t="s">
        <v>43517</v>
      </c>
      <c r="X7095" t="s">
        <v>47432</v>
      </c>
    </row>
    <row r="7096" spans="1:24">
      <c r="A7096">
        <f>HYPERLINK("https://www.philgeps.gov.ph/GEPSNONPILOT/Tender/SplashBidNoticeAbstractUI.aspx?menuIndex=3&amp;refID=7156910&amp;Result=3","7156910")</f>
        <v>0</v>
      </c>
      <c r="B7096" t="s">
        <v>2192</v>
      </c>
      <c r="C7096" t="s">
        <v>10571</v>
      </c>
      <c r="D7096" t="s">
        <v>19037</v>
      </c>
      <c r="E7096" t="s">
        <v>25276</v>
      </c>
      <c r="F7096" t="s">
        <v>32831</v>
      </c>
      <c r="G7096" t="s">
        <v>32838</v>
      </c>
      <c r="H7096" t="s">
        <v>32848</v>
      </c>
      <c r="I7096" t="s">
        <v>32867</v>
      </c>
      <c r="J7096" t="s">
        <v>37442</v>
      </c>
      <c r="K7096" t="s">
        <v>42732</v>
      </c>
      <c r="M7096" t="s">
        <v>45691</v>
      </c>
      <c r="N7096" t="s">
        <v>47424</v>
      </c>
      <c r="O7096" t="s">
        <v>47425</v>
      </c>
      <c r="P7096">
        <v>0</v>
      </c>
      <c r="Q7096">
        <v>2</v>
      </c>
      <c r="R7096" t="s">
        <v>47431</v>
      </c>
      <c r="S7096" t="s">
        <v>47565</v>
      </c>
      <c r="T7096" t="s">
        <v>49056</v>
      </c>
      <c r="U7096" t="s">
        <v>55635</v>
      </c>
      <c r="W7096" t="s">
        <v>45691</v>
      </c>
      <c r="X7096" t="s">
        <v>47432</v>
      </c>
    </row>
    <row r="7097" spans="1:24">
      <c r="A7097">
        <f>HYPERLINK("https://www.philgeps.gov.ph/GEPSNONPILOT/Tender/SplashBidNoticeAbstractUI.aspx?menuIndex=3&amp;refID=7156992&amp;Result=3","7156992")</f>
        <v>0</v>
      </c>
      <c r="B7097" t="s">
        <v>1746</v>
      </c>
      <c r="C7097" t="s">
        <v>10572</v>
      </c>
      <c r="D7097" t="s">
        <v>19051</v>
      </c>
      <c r="E7097" t="s">
        <v>25277</v>
      </c>
      <c r="F7097" t="s">
        <v>32831</v>
      </c>
      <c r="G7097" t="s">
        <v>32838</v>
      </c>
      <c r="H7097" t="s">
        <v>32848</v>
      </c>
      <c r="I7097" t="s">
        <v>7751</v>
      </c>
      <c r="J7097" t="s">
        <v>33461</v>
      </c>
      <c r="K7097" t="s">
        <v>42745</v>
      </c>
      <c r="M7097" t="s">
        <v>44869</v>
      </c>
      <c r="N7097" t="s">
        <v>47424</v>
      </c>
      <c r="O7097" t="s">
        <v>47425</v>
      </c>
      <c r="P7097">
        <v>0</v>
      </c>
      <c r="Q7097">
        <v>0</v>
      </c>
      <c r="R7097" t="s">
        <v>47431</v>
      </c>
      <c r="S7097" t="s">
        <v>47565</v>
      </c>
      <c r="T7097" t="s">
        <v>49056</v>
      </c>
      <c r="U7097" t="s">
        <v>55620</v>
      </c>
      <c r="W7097" t="s">
        <v>44869</v>
      </c>
      <c r="X7097" t="s">
        <v>47432</v>
      </c>
    </row>
    <row r="7098" spans="1:24">
      <c r="A7098">
        <f>HYPERLINK("https://www.philgeps.gov.ph/GEPSNONPILOT/Tender/SplashBidNoticeAbstractUI.aspx?menuIndex=3&amp;refID=7156841&amp;Result=3","7156841")</f>
        <v>0</v>
      </c>
      <c r="B7098" t="s">
        <v>1894</v>
      </c>
      <c r="C7098" t="s">
        <v>10573</v>
      </c>
      <c r="D7098" t="s">
        <v>19092</v>
      </c>
      <c r="E7098" t="s">
        <v>25278</v>
      </c>
      <c r="F7098" t="s">
        <v>32831</v>
      </c>
      <c r="G7098" t="s">
        <v>32838</v>
      </c>
      <c r="H7098" t="s">
        <v>32848</v>
      </c>
      <c r="I7098" t="s">
        <v>32883</v>
      </c>
      <c r="J7098" t="s">
        <v>33041</v>
      </c>
      <c r="K7098" t="s">
        <v>42730</v>
      </c>
      <c r="M7098" t="s">
        <v>45041</v>
      </c>
      <c r="N7098" t="s">
        <v>47424</v>
      </c>
      <c r="O7098" t="s">
        <v>47425</v>
      </c>
      <c r="P7098">
        <v>0</v>
      </c>
      <c r="Q7098">
        <v>0</v>
      </c>
      <c r="R7098" t="s">
        <v>47431</v>
      </c>
      <c r="S7098" t="s">
        <v>47565</v>
      </c>
      <c r="T7098" t="s">
        <v>49166</v>
      </c>
      <c r="U7098" t="s">
        <v>53972</v>
      </c>
      <c r="W7098" t="s">
        <v>45041</v>
      </c>
      <c r="X7098" t="s">
        <v>47432</v>
      </c>
    </row>
    <row r="7099" spans="1:24">
      <c r="A7099">
        <f>HYPERLINK("https://www.philgeps.gov.ph/GEPSNONPILOT/Tender/SplashBidNoticeAbstractUI.aspx?menuIndex=3&amp;refID=7156986&amp;Result=3","7156986")</f>
        <v>0</v>
      </c>
      <c r="B7099" t="s">
        <v>228</v>
      </c>
      <c r="C7099" t="s">
        <v>10574</v>
      </c>
      <c r="D7099" t="s">
        <v>19033</v>
      </c>
      <c r="E7099" t="s">
        <v>25279</v>
      </c>
      <c r="F7099" t="s">
        <v>32831</v>
      </c>
      <c r="G7099" t="s">
        <v>32838</v>
      </c>
      <c r="H7099" t="s">
        <v>32848</v>
      </c>
      <c r="I7099" t="s">
        <v>32874</v>
      </c>
      <c r="J7099" t="s">
        <v>37443</v>
      </c>
      <c r="K7099" t="s">
        <v>42727</v>
      </c>
      <c r="M7099" t="s">
        <v>45692</v>
      </c>
      <c r="N7099" t="s">
        <v>47424</v>
      </c>
      <c r="O7099" t="s">
        <v>47425</v>
      </c>
      <c r="P7099">
        <v>0</v>
      </c>
      <c r="Q7099">
        <v>8</v>
      </c>
      <c r="R7099" t="s">
        <v>47431</v>
      </c>
      <c r="S7099" t="s">
        <v>47565</v>
      </c>
      <c r="T7099" t="s">
        <v>49163</v>
      </c>
      <c r="U7099" t="s">
        <v>55636</v>
      </c>
      <c r="W7099" t="s">
        <v>45692</v>
      </c>
      <c r="X7099" t="s">
        <v>47432</v>
      </c>
    </row>
    <row r="7100" spans="1:24">
      <c r="A7100">
        <f>HYPERLINK("https://www.philgeps.gov.ph/GEPSNONPILOT/Tender/SplashBidNoticeAbstractUI.aspx?menuIndex=3&amp;refID=7156985&amp;Result=3","7156985")</f>
        <v>0</v>
      </c>
      <c r="B7100" t="s">
        <v>810</v>
      </c>
      <c r="C7100" t="s">
        <v>10575</v>
      </c>
      <c r="D7100" t="s">
        <v>19030</v>
      </c>
      <c r="E7100" t="s">
        <v>25280</v>
      </c>
      <c r="F7100" t="s">
        <v>32831</v>
      </c>
      <c r="G7100" t="s">
        <v>32840</v>
      </c>
      <c r="H7100" t="s">
        <v>32848</v>
      </c>
      <c r="I7100" t="s">
        <v>32854</v>
      </c>
      <c r="J7100" t="s">
        <v>37444</v>
      </c>
      <c r="K7100" t="s">
        <v>42726</v>
      </c>
      <c r="M7100" t="s">
        <v>43841</v>
      </c>
      <c r="N7100" t="s">
        <v>47424</v>
      </c>
      <c r="O7100" t="s">
        <v>47425</v>
      </c>
      <c r="P7100">
        <v>0</v>
      </c>
      <c r="Q7100">
        <v>1</v>
      </c>
      <c r="R7100" t="s">
        <v>47431</v>
      </c>
      <c r="S7100" t="s">
        <v>47565</v>
      </c>
      <c r="T7100" t="s">
        <v>49066</v>
      </c>
      <c r="U7100" t="s">
        <v>55637</v>
      </c>
      <c r="W7100" t="s">
        <v>43841</v>
      </c>
      <c r="X7100" t="s">
        <v>47432</v>
      </c>
    </row>
    <row r="7101" spans="1:24">
      <c r="A7101">
        <f>HYPERLINK("https://www.philgeps.gov.ph/GEPSNONPILOT/Tender/SplashBidNoticeAbstractUI.aspx?menuIndex=3&amp;refID=7156984&amp;Result=3","7156984")</f>
        <v>0</v>
      </c>
      <c r="B7101" t="s">
        <v>1914</v>
      </c>
      <c r="C7101" t="s">
        <v>6526</v>
      </c>
      <c r="D7101" t="s">
        <v>19062</v>
      </c>
      <c r="E7101" t="s">
        <v>25281</v>
      </c>
      <c r="F7101" t="s">
        <v>32831</v>
      </c>
      <c r="G7101" t="s">
        <v>32838</v>
      </c>
      <c r="H7101" t="s">
        <v>32848</v>
      </c>
      <c r="I7101" t="s">
        <v>6526</v>
      </c>
      <c r="J7101" t="s">
        <v>37445</v>
      </c>
      <c r="K7101" t="s">
        <v>42727</v>
      </c>
      <c r="M7101" t="s">
        <v>45066</v>
      </c>
      <c r="N7101" t="s">
        <v>47424</v>
      </c>
      <c r="O7101" t="s">
        <v>47425</v>
      </c>
      <c r="P7101">
        <v>0</v>
      </c>
      <c r="Q7101">
        <v>0</v>
      </c>
      <c r="R7101" t="s">
        <v>47431</v>
      </c>
      <c r="S7101" t="s">
        <v>47565</v>
      </c>
      <c r="T7101" t="s">
        <v>49107</v>
      </c>
      <c r="U7101" t="s">
        <v>55638</v>
      </c>
      <c r="W7101" t="s">
        <v>45066</v>
      </c>
      <c r="X7101" t="s">
        <v>47432</v>
      </c>
    </row>
    <row r="7102" spans="1:24">
      <c r="A7102">
        <f>HYPERLINK("https://www.philgeps.gov.ph/GEPSNONPILOT/Tender/SplashBidNoticeAbstractUI.aspx?menuIndex=3&amp;refID=7156938&amp;Result=3","7156938")</f>
        <v>0</v>
      </c>
      <c r="B7102" t="s">
        <v>2306</v>
      </c>
      <c r="C7102" t="s">
        <v>10576</v>
      </c>
      <c r="D7102" t="s">
        <v>19028</v>
      </c>
      <c r="E7102" t="s">
        <v>25282</v>
      </c>
      <c r="F7102" t="s">
        <v>32831</v>
      </c>
      <c r="G7102" t="s">
        <v>32838</v>
      </c>
      <c r="H7102" t="s">
        <v>32848</v>
      </c>
      <c r="I7102" t="s">
        <v>8577</v>
      </c>
      <c r="J7102" t="s">
        <v>37446</v>
      </c>
      <c r="K7102" t="s">
        <v>42727</v>
      </c>
      <c r="M7102" t="s">
        <v>45491</v>
      </c>
      <c r="N7102" t="s">
        <v>47424</v>
      </c>
      <c r="O7102" t="s">
        <v>47425</v>
      </c>
      <c r="P7102">
        <v>0</v>
      </c>
      <c r="Q7102">
        <v>3</v>
      </c>
      <c r="R7102" t="s">
        <v>47431</v>
      </c>
      <c r="S7102" t="s">
        <v>47565</v>
      </c>
      <c r="T7102" t="s">
        <v>49107</v>
      </c>
      <c r="U7102" t="s">
        <v>55639</v>
      </c>
      <c r="W7102" t="s">
        <v>45491</v>
      </c>
      <c r="X7102" t="s">
        <v>47432</v>
      </c>
    </row>
    <row r="7103" spans="1:24">
      <c r="A7103">
        <f>HYPERLINK("https://www.philgeps.gov.ph/GEPSNONPILOT/Tender/SplashBidNoticeAbstractUI.aspx?menuIndex=3&amp;refID=7157005&amp;Result=3","7157005")</f>
        <v>0</v>
      </c>
      <c r="B7103" t="s">
        <v>2488</v>
      </c>
      <c r="C7103" t="s">
        <v>10577</v>
      </c>
      <c r="D7103" t="s">
        <v>19045</v>
      </c>
      <c r="E7103" t="s">
        <v>25283</v>
      </c>
      <c r="F7103" t="s">
        <v>32831</v>
      </c>
      <c r="G7103" t="s">
        <v>32839</v>
      </c>
      <c r="H7103" t="s">
        <v>32849</v>
      </c>
      <c r="I7103" t="s">
        <v>4177</v>
      </c>
      <c r="J7103" t="s">
        <v>33257</v>
      </c>
      <c r="K7103" t="s">
        <v>42729</v>
      </c>
      <c r="L7103" t="s">
        <v>2488</v>
      </c>
      <c r="M7103" t="s">
        <v>45693</v>
      </c>
      <c r="N7103" t="s">
        <v>47424</v>
      </c>
      <c r="O7103" t="s">
        <v>47425</v>
      </c>
      <c r="P7103">
        <v>0</v>
      </c>
      <c r="Q7103">
        <v>1</v>
      </c>
      <c r="R7103" t="s">
        <v>47431</v>
      </c>
      <c r="S7103" t="s">
        <v>47565</v>
      </c>
      <c r="T7103" t="s">
        <v>49221</v>
      </c>
      <c r="U7103" t="s">
        <v>55640</v>
      </c>
      <c r="W7103" t="s">
        <v>45693</v>
      </c>
      <c r="X7103" t="s">
        <v>47432</v>
      </c>
    </row>
    <row r="7104" spans="1:24">
      <c r="A7104">
        <f>HYPERLINK("https://www.philgeps.gov.ph/GEPSNONPILOT/Tender/SplashBidNoticeAbstractUI.aspx?menuIndex=3&amp;refID=7156996&amp;Result=3","7156996")</f>
        <v>0</v>
      </c>
      <c r="B7104" t="s">
        <v>2073</v>
      </c>
      <c r="C7104" t="s">
        <v>10578</v>
      </c>
      <c r="D7104" t="s">
        <v>19061</v>
      </c>
      <c r="E7104" t="s">
        <v>25284</v>
      </c>
      <c r="F7104" t="s">
        <v>32831</v>
      </c>
      <c r="G7104" t="s">
        <v>32840</v>
      </c>
      <c r="H7104" t="s">
        <v>32848</v>
      </c>
      <c r="I7104" t="s">
        <v>9577</v>
      </c>
      <c r="J7104" t="s">
        <v>37447</v>
      </c>
      <c r="K7104" t="s">
        <v>42726</v>
      </c>
      <c r="M7104" t="s">
        <v>45243</v>
      </c>
      <c r="N7104" t="s">
        <v>47424</v>
      </c>
      <c r="O7104" t="s">
        <v>47425</v>
      </c>
      <c r="P7104">
        <v>0</v>
      </c>
      <c r="Q7104">
        <v>3</v>
      </c>
      <c r="R7104" t="s">
        <v>47431</v>
      </c>
      <c r="S7104" t="s">
        <v>47565</v>
      </c>
      <c r="T7104" t="s">
        <v>49056</v>
      </c>
      <c r="U7104" t="s">
        <v>55641</v>
      </c>
      <c r="W7104" t="s">
        <v>45243</v>
      </c>
      <c r="X7104" t="s">
        <v>47432</v>
      </c>
    </row>
    <row r="7105" spans="1:24">
      <c r="A7105">
        <f>HYPERLINK("https://www.philgeps.gov.ph/GEPSNONPILOT/Tender/SplashBidNoticeAbstractUI.aspx?menuIndex=3&amp;refID=7157035&amp;Result=3","7157035")</f>
        <v>0</v>
      </c>
      <c r="B7105" t="s">
        <v>2489</v>
      </c>
      <c r="C7105" t="s">
        <v>10579</v>
      </c>
      <c r="D7105" t="s">
        <v>19061</v>
      </c>
      <c r="E7105" t="s">
        <v>25285</v>
      </c>
      <c r="F7105" t="s">
        <v>32831</v>
      </c>
      <c r="G7105" t="s">
        <v>32844</v>
      </c>
      <c r="H7105" t="s">
        <v>32850</v>
      </c>
      <c r="I7105" t="s">
        <v>32863</v>
      </c>
      <c r="J7105" t="s">
        <v>33758</v>
      </c>
      <c r="K7105" t="s">
        <v>42775</v>
      </c>
      <c r="M7105" t="s">
        <v>45694</v>
      </c>
      <c r="N7105" t="s">
        <v>47424</v>
      </c>
      <c r="O7105" t="s">
        <v>47425</v>
      </c>
      <c r="P7105">
        <v>0</v>
      </c>
      <c r="Q7105">
        <v>0</v>
      </c>
      <c r="R7105" t="s">
        <v>47431</v>
      </c>
      <c r="S7105" t="s">
        <v>47565</v>
      </c>
      <c r="T7105" t="s">
        <v>49108</v>
      </c>
      <c r="U7105" t="s">
        <v>55642</v>
      </c>
      <c r="W7105" t="s">
        <v>45694</v>
      </c>
      <c r="X7105" t="s">
        <v>47432</v>
      </c>
    </row>
    <row r="7106" spans="1:24">
      <c r="A7106">
        <f>HYPERLINK("https://www.philgeps.gov.ph/GEPSNONPILOT/Tender/SplashBidNoticeAbstractUI.aspx?menuIndex=3&amp;refID=7156998&amp;Result=3","7156998")</f>
        <v>0</v>
      </c>
      <c r="B7106" t="s">
        <v>832</v>
      </c>
      <c r="C7106" t="s">
        <v>10580</v>
      </c>
      <c r="D7106" t="s">
        <v>19101</v>
      </c>
      <c r="E7106" t="s">
        <v>25286</v>
      </c>
      <c r="F7106" t="s">
        <v>32831</v>
      </c>
      <c r="G7106" t="s">
        <v>32839</v>
      </c>
      <c r="H7106" t="s">
        <v>32848</v>
      </c>
      <c r="I7106" t="s">
        <v>32925</v>
      </c>
      <c r="J7106" t="s">
        <v>37448</v>
      </c>
      <c r="K7106" t="s">
        <v>42729</v>
      </c>
      <c r="M7106" t="s">
        <v>44445</v>
      </c>
      <c r="N7106" t="s">
        <v>47424</v>
      </c>
      <c r="O7106" t="s">
        <v>47425</v>
      </c>
      <c r="P7106">
        <v>0</v>
      </c>
      <c r="Q7106">
        <v>4</v>
      </c>
      <c r="R7106" t="s">
        <v>47431</v>
      </c>
      <c r="S7106" t="s">
        <v>47565</v>
      </c>
      <c r="T7106" t="s">
        <v>49338</v>
      </c>
      <c r="U7106" t="s">
        <v>55643</v>
      </c>
      <c r="V7106" t="s">
        <v>63231</v>
      </c>
      <c r="W7106" t="s">
        <v>44445</v>
      </c>
      <c r="X7106" t="s">
        <v>47432</v>
      </c>
    </row>
    <row r="7107" spans="1:24">
      <c r="A7107">
        <f>HYPERLINK("https://www.philgeps.gov.ph/GEPSNONPILOT/Tender/SplashBidNoticeAbstractUI.aspx?menuIndex=3&amp;refID=7157034&amp;Result=3","7157034")</f>
        <v>0</v>
      </c>
      <c r="B7107" t="s">
        <v>1784</v>
      </c>
      <c r="C7107" t="s">
        <v>10581</v>
      </c>
      <c r="D7107" t="s">
        <v>19059</v>
      </c>
      <c r="E7107" t="s">
        <v>19219</v>
      </c>
      <c r="F7107" t="s">
        <v>32831</v>
      </c>
      <c r="G7107" t="s">
        <v>32839</v>
      </c>
      <c r="H7107" t="s">
        <v>32849</v>
      </c>
      <c r="I7107" t="s">
        <v>4177</v>
      </c>
      <c r="J7107" t="s">
        <v>32980</v>
      </c>
      <c r="K7107" t="s">
        <v>42730</v>
      </c>
      <c r="M7107" t="s">
        <v>44912</v>
      </c>
      <c r="N7107" t="s">
        <v>47424</v>
      </c>
      <c r="O7107" t="s">
        <v>47425</v>
      </c>
      <c r="P7107">
        <v>0</v>
      </c>
      <c r="Q7107">
        <v>1</v>
      </c>
      <c r="R7107" t="s">
        <v>47431</v>
      </c>
      <c r="S7107" t="s">
        <v>47565</v>
      </c>
      <c r="T7107" t="s">
        <v>49174</v>
      </c>
      <c r="U7107" t="s">
        <v>55644</v>
      </c>
      <c r="W7107" t="s">
        <v>44912</v>
      </c>
      <c r="X7107" t="s">
        <v>47432</v>
      </c>
    </row>
    <row r="7108" spans="1:24">
      <c r="A7108">
        <f>HYPERLINK("https://www.philgeps.gov.ph/GEPSNONPILOT/Tender/SplashBidNoticeAbstractUI.aspx?menuIndex=3&amp;refID=7157029&amp;Result=3","7157029")</f>
        <v>0</v>
      </c>
      <c r="B7108" t="s">
        <v>421</v>
      </c>
      <c r="C7108" t="s">
        <v>10582</v>
      </c>
      <c r="D7108" t="s">
        <v>19021</v>
      </c>
      <c r="E7108" t="s">
        <v>25287</v>
      </c>
      <c r="F7108" t="s">
        <v>32831</v>
      </c>
      <c r="G7108" t="s">
        <v>32839</v>
      </c>
      <c r="H7108" t="s">
        <v>32848</v>
      </c>
      <c r="I7108" t="s">
        <v>32883</v>
      </c>
      <c r="J7108" t="s">
        <v>37449</v>
      </c>
      <c r="K7108" t="s">
        <v>42730</v>
      </c>
      <c r="M7108" t="s">
        <v>45695</v>
      </c>
      <c r="N7108" t="s">
        <v>47424</v>
      </c>
      <c r="O7108" t="s">
        <v>47425</v>
      </c>
      <c r="P7108">
        <v>0</v>
      </c>
      <c r="Q7108">
        <v>2</v>
      </c>
      <c r="R7108" t="s">
        <v>47431</v>
      </c>
      <c r="S7108" t="s">
        <v>47565</v>
      </c>
      <c r="T7108" t="s">
        <v>49071</v>
      </c>
      <c r="U7108" t="s">
        <v>55645</v>
      </c>
      <c r="W7108" t="s">
        <v>45695</v>
      </c>
      <c r="X7108" t="s">
        <v>47432</v>
      </c>
    </row>
    <row r="7109" spans="1:24">
      <c r="A7109">
        <f>HYPERLINK("https://www.philgeps.gov.ph/GEPSNONPILOT/Tender/SplashBidNoticeAbstractUI.aspx?menuIndex=3&amp;refID=7157026&amp;Result=3","7157026")</f>
        <v>0</v>
      </c>
      <c r="B7109" t="s">
        <v>2490</v>
      </c>
      <c r="C7109" t="s">
        <v>10583</v>
      </c>
      <c r="E7109" t="s">
        <v>25288</v>
      </c>
      <c r="F7109" t="s">
        <v>32831</v>
      </c>
      <c r="G7109" t="s">
        <v>32840</v>
      </c>
      <c r="H7109" t="s">
        <v>32848</v>
      </c>
      <c r="I7109" t="s">
        <v>32899</v>
      </c>
      <c r="J7109" t="s">
        <v>37450</v>
      </c>
      <c r="K7109" t="s">
        <v>42732</v>
      </c>
      <c r="M7109" t="s">
        <v>45696</v>
      </c>
      <c r="N7109" t="s">
        <v>47424</v>
      </c>
      <c r="O7109" t="s">
        <v>47425</v>
      </c>
      <c r="P7109">
        <v>0</v>
      </c>
      <c r="Q7109">
        <v>0</v>
      </c>
      <c r="R7109" t="s">
        <v>47431</v>
      </c>
      <c r="S7109" t="s">
        <v>47565</v>
      </c>
      <c r="T7109" t="s">
        <v>49100</v>
      </c>
      <c r="U7109" t="s">
        <v>55646</v>
      </c>
      <c r="V7109" t="s">
        <v>63415</v>
      </c>
      <c r="W7109" t="s">
        <v>45696</v>
      </c>
      <c r="X7109" t="s">
        <v>47432</v>
      </c>
    </row>
    <row r="7110" spans="1:24">
      <c r="A7110">
        <f>HYPERLINK("https://www.philgeps.gov.ph/GEPSNONPILOT/Tender/SplashBidNoticeAbstractUI.aspx?menuIndex=3&amp;refID=7156978&amp;Result=3","7156978")</f>
        <v>0</v>
      </c>
      <c r="B7110" t="s">
        <v>2441</v>
      </c>
      <c r="C7110" t="s">
        <v>10584</v>
      </c>
      <c r="E7110" t="s">
        <v>25289</v>
      </c>
      <c r="F7110" t="s">
        <v>32831</v>
      </c>
      <c r="G7110" t="s">
        <v>32838</v>
      </c>
      <c r="H7110" t="s">
        <v>32848</v>
      </c>
      <c r="I7110" t="s">
        <v>5379</v>
      </c>
      <c r="J7110" t="s">
        <v>37451</v>
      </c>
      <c r="K7110" t="s">
        <v>42732</v>
      </c>
      <c r="M7110" t="s">
        <v>45638</v>
      </c>
      <c r="N7110" t="s">
        <v>47424</v>
      </c>
      <c r="O7110" t="s">
        <v>47425</v>
      </c>
      <c r="P7110">
        <v>0</v>
      </c>
      <c r="Q7110">
        <v>5</v>
      </c>
      <c r="R7110" t="s">
        <v>47431</v>
      </c>
      <c r="S7110" t="s">
        <v>47565</v>
      </c>
      <c r="T7110" t="s">
        <v>49465</v>
      </c>
      <c r="U7110" t="s">
        <v>51549</v>
      </c>
      <c r="W7110" t="s">
        <v>45638</v>
      </c>
      <c r="X7110" t="s">
        <v>47432</v>
      </c>
    </row>
    <row r="7111" spans="1:24">
      <c r="A7111">
        <f>HYPERLINK("https://www.philgeps.gov.ph/GEPSNONPILOT/Tender/SplashBidNoticeAbstractUI.aspx?menuIndex=3&amp;refID=7157036&amp;Result=3","7157036")</f>
        <v>0</v>
      </c>
      <c r="B7111" t="s">
        <v>2491</v>
      </c>
      <c r="C7111" t="s">
        <v>10585</v>
      </c>
      <c r="D7111" t="s">
        <v>19057</v>
      </c>
      <c r="E7111" t="s">
        <v>25290</v>
      </c>
      <c r="F7111" t="s">
        <v>32831</v>
      </c>
      <c r="G7111" t="s">
        <v>32838</v>
      </c>
      <c r="H7111" t="s">
        <v>32848</v>
      </c>
      <c r="I7111" t="s">
        <v>10805</v>
      </c>
      <c r="J7111" t="s">
        <v>37452</v>
      </c>
      <c r="K7111" t="s">
        <v>42745</v>
      </c>
      <c r="M7111" t="s">
        <v>45697</v>
      </c>
      <c r="N7111" t="s">
        <v>47424</v>
      </c>
      <c r="O7111" t="s">
        <v>47425</v>
      </c>
      <c r="P7111">
        <v>0</v>
      </c>
      <c r="Q7111">
        <v>4</v>
      </c>
      <c r="R7111" t="s">
        <v>47431</v>
      </c>
      <c r="S7111" t="s">
        <v>47565</v>
      </c>
      <c r="T7111" t="s">
        <v>49244</v>
      </c>
      <c r="U7111" t="s">
        <v>55647</v>
      </c>
      <c r="W7111" t="s">
        <v>45697</v>
      </c>
      <c r="X7111" t="s">
        <v>47432</v>
      </c>
    </row>
    <row r="7112" spans="1:24">
      <c r="A7112">
        <f>HYPERLINK("https://www.philgeps.gov.ph/GEPSNONPILOT/Tender/SplashBidNoticeAbstractUI.aspx?menuIndex=3&amp;refID=7157023&amp;Result=3","7157023")</f>
        <v>0</v>
      </c>
      <c r="B7112" t="s">
        <v>2483</v>
      </c>
      <c r="C7112" t="s">
        <v>10586</v>
      </c>
      <c r="D7112" t="s">
        <v>19054</v>
      </c>
      <c r="E7112" t="s">
        <v>25291</v>
      </c>
      <c r="F7112" t="s">
        <v>32831</v>
      </c>
      <c r="G7112" t="s">
        <v>32839</v>
      </c>
      <c r="H7112" t="s">
        <v>32848</v>
      </c>
      <c r="I7112" t="s">
        <v>7416</v>
      </c>
      <c r="J7112" t="s">
        <v>37453</v>
      </c>
      <c r="K7112" t="s">
        <v>42748</v>
      </c>
      <c r="M7112" t="s">
        <v>45685</v>
      </c>
      <c r="N7112" t="s">
        <v>47424</v>
      </c>
      <c r="O7112" t="s">
        <v>47425</v>
      </c>
      <c r="P7112">
        <v>0</v>
      </c>
      <c r="Q7112">
        <v>1</v>
      </c>
      <c r="R7112" t="s">
        <v>47431</v>
      </c>
      <c r="S7112" t="s">
        <v>47565</v>
      </c>
      <c r="T7112" t="s">
        <v>49251</v>
      </c>
      <c r="U7112" t="s">
        <v>55648</v>
      </c>
      <c r="W7112" t="s">
        <v>45685</v>
      </c>
      <c r="X7112" t="s">
        <v>47432</v>
      </c>
    </row>
    <row r="7113" spans="1:24">
      <c r="A7113">
        <f>HYPERLINK("https://www.philgeps.gov.ph/GEPSNONPILOT/Tender/SplashBidNoticeAbstractUI.aspx?menuIndex=3&amp;refID=7157031&amp;Result=3","7157031")</f>
        <v>0</v>
      </c>
      <c r="B7113" t="s">
        <v>1068</v>
      </c>
      <c r="C7113" t="s">
        <v>10587</v>
      </c>
      <c r="D7113" t="s">
        <v>19021</v>
      </c>
      <c r="E7113" t="s">
        <v>25292</v>
      </c>
      <c r="F7113" t="s">
        <v>32831</v>
      </c>
      <c r="G7113" t="s">
        <v>32839</v>
      </c>
      <c r="H7113" t="s">
        <v>32849</v>
      </c>
      <c r="I7113" t="s">
        <v>4177</v>
      </c>
      <c r="J7113" t="s">
        <v>33044</v>
      </c>
      <c r="K7113" t="s">
        <v>42763</v>
      </c>
      <c r="M7113" t="s">
        <v>44125</v>
      </c>
      <c r="N7113" t="s">
        <v>47424</v>
      </c>
      <c r="O7113" t="s">
        <v>47425</v>
      </c>
      <c r="P7113">
        <v>0</v>
      </c>
      <c r="Q7113">
        <v>22</v>
      </c>
      <c r="R7113" t="s">
        <v>47431</v>
      </c>
      <c r="S7113" t="s">
        <v>47565</v>
      </c>
      <c r="T7113" t="s">
        <v>49108</v>
      </c>
      <c r="U7113" t="s">
        <v>55649</v>
      </c>
      <c r="V7113" t="s">
        <v>63390</v>
      </c>
      <c r="W7113" t="s">
        <v>44125</v>
      </c>
      <c r="X7113" t="s">
        <v>47432</v>
      </c>
    </row>
    <row r="7114" spans="1:24">
      <c r="A7114">
        <f>HYPERLINK("https://www.philgeps.gov.ph/GEPSNONPILOT/Tender/SplashBidNoticeAbstractUI.aspx?menuIndex=3&amp;refID=7157022&amp;Result=3","7157022")</f>
        <v>0</v>
      </c>
      <c r="B7114" t="s">
        <v>780</v>
      </c>
      <c r="C7114" t="s">
        <v>10588</v>
      </c>
      <c r="D7114" t="s">
        <v>19048</v>
      </c>
      <c r="E7114" t="s">
        <v>25293</v>
      </c>
      <c r="F7114" t="s">
        <v>32831</v>
      </c>
      <c r="G7114" t="s">
        <v>32838</v>
      </c>
      <c r="H7114" t="s">
        <v>32848</v>
      </c>
      <c r="I7114" t="s">
        <v>7751</v>
      </c>
      <c r="J7114" t="s">
        <v>33077</v>
      </c>
      <c r="K7114" t="s">
        <v>42731</v>
      </c>
      <c r="L7114" t="s">
        <v>780</v>
      </c>
      <c r="M7114" t="s">
        <v>43809</v>
      </c>
      <c r="N7114" t="s">
        <v>47424</v>
      </c>
      <c r="O7114" t="s">
        <v>47425</v>
      </c>
      <c r="P7114">
        <v>0</v>
      </c>
      <c r="Q7114">
        <v>0</v>
      </c>
      <c r="R7114" t="s">
        <v>47431</v>
      </c>
      <c r="S7114" t="s">
        <v>47565</v>
      </c>
      <c r="T7114" t="s">
        <v>49214</v>
      </c>
      <c r="U7114" t="s">
        <v>55650</v>
      </c>
      <c r="V7114" t="s">
        <v>63416</v>
      </c>
      <c r="W7114" t="s">
        <v>43809</v>
      </c>
      <c r="X7114" t="s">
        <v>47432</v>
      </c>
    </row>
    <row r="7115" spans="1:24">
      <c r="A7115">
        <f>HYPERLINK("https://www.philgeps.gov.ph/GEPSNONPILOT/Tender/SplashBidNoticeAbstractUI.aspx?menuIndex=3&amp;refID=7157027&amp;Result=3","7157027")</f>
        <v>0</v>
      </c>
      <c r="B7115" t="s">
        <v>832</v>
      </c>
      <c r="C7115" t="s">
        <v>10589</v>
      </c>
      <c r="D7115" t="s">
        <v>19101</v>
      </c>
      <c r="E7115" t="s">
        <v>25294</v>
      </c>
      <c r="F7115" t="s">
        <v>32831</v>
      </c>
      <c r="G7115" t="s">
        <v>32839</v>
      </c>
      <c r="H7115" t="s">
        <v>32848</v>
      </c>
      <c r="I7115" t="s">
        <v>32925</v>
      </c>
      <c r="J7115" t="s">
        <v>37454</v>
      </c>
      <c r="K7115" t="s">
        <v>42732</v>
      </c>
      <c r="M7115" t="s">
        <v>44445</v>
      </c>
      <c r="N7115" t="s">
        <v>47424</v>
      </c>
      <c r="O7115" t="s">
        <v>47425</v>
      </c>
      <c r="Q7115">
        <v>3</v>
      </c>
      <c r="R7115" t="s">
        <v>47431</v>
      </c>
      <c r="S7115" t="s">
        <v>47583</v>
      </c>
      <c r="T7115" t="s">
        <v>49338</v>
      </c>
      <c r="U7115" t="s">
        <v>55643</v>
      </c>
      <c r="V7115" t="s">
        <v>63417</v>
      </c>
      <c r="W7115" t="s">
        <v>44445</v>
      </c>
      <c r="X7115" t="s">
        <v>47432</v>
      </c>
    </row>
    <row r="7116" spans="1:24">
      <c r="A7116">
        <f>HYPERLINK("https://www.philgeps.gov.ph/GEPSNONPILOT/Tender/SplashBidNoticeAbstractUI.aspx?menuIndex=3&amp;refID=7157033&amp;Result=3","7157033")</f>
        <v>0</v>
      </c>
      <c r="B7116" t="s">
        <v>2492</v>
      </c>
      <c r="C7116" t="s">
        <v>10590</v>
      </c>
      <c r="D7116" t="s">
        <v>19057</v>
      </c>
      <c r="E7116" t="s">
        <v>19520</v>
      </c>
      <c r="F7116" t="s">
        <v>32831</v>
      </c>
      <c r="G7116" t="s">
        <v>32841</v>
      </c>
      <c r="H7116" t="s">
        <v>32848</v>
      </c>
      <c r="I7116" t="s">
        <v>32855</v>
      </c>
      <c r="J7116" t="s">
        <v>33031</v>
      </c>
      <c r="K7116" t="s">
        <v>42726</v>
      </c>
      <c r="M7116" t="s">
        <v>45698</v>
      </c>
      <c r="N7116" t="s">
        <v>47424</v>
      </c>
      <c r="O7116" t="s">
        <v>47425</v>
      </c>
      <c r="P7116">
        <v>0</v>
      </c>
      <c r="Q7116">
        <v>0</v>
      </c>
      <c r="R7116" t="s">
        <v>47431</v>
      </c>
      <c r="S7116" t="s">
        <v>47565</v>
      </c>
      <c r="T7116" t="s">
        <v>49091</v>
      </c>
      <c r="U7116" t="s">
        <v>55651</v>
      </c>
      <c r="W7116" t="s">
        <v>45698</v>
      </c>
      <c r="X7116" t="s">
        <v>47432</v>
      </c>
    </row>
    <row r="7117" spans="1:24">
      <c r="A7117">
        <f>HYPERLINK("https://www.philgeps.gov.ph/GEPSNONPILOT/Tender/SplashBidNoticeAbstractUI.aspx?menuIndex=3&amp;refID=7157025&amp;Result=3","7157025")</f>
        <v>0</v>
      </c>
      <c r="B7117" t="s">
        <v>2493</v>
      </c>
      <c r="C7117" t="s">
        <v>10591</v>
      </c>
      <c r="D7117" t="s">
        <v>19031</v>
      </c>
      <c r="E7117" t="s">
        <v>25295</v>
      </c>
      <c r="F7117" t="s">
        <v>32831</v>
      </c>
      <c r="G7117" t="s">
        <v>32838</v>
      </c>
      <c r="H7117" t="s">
        <v>32848</v>
      </c>
      <c r="I7117" t="s">
        <v>10888</v>
      </c>
      <c r="J7117" t="s">
        <v>37455</v>
      </c>
      <c r="K7117" t="s">
        <v>42730</v>
      </c>
      <c r="M7117" t="s">
        <v>45699</v>
      </c>
      <c r="N7117" t="s">
        <v>47424</v>
      </c>
      <c r="O7117" t="s">
        <v>47425</v>
      </c>
      <c r="P7117">
        <v>0</v>
      </c>
      <c r="Q7117">
        <v>3</v>
      </c>
      <c r="R7117" t="s">
        <v>47431</v>
      </c>
      <c r="S7117" t="s">
        <v>47565</v>
      </c>
      <c r="T7117" t="s">
        <v>49100</v>
      </c>
      <c r="U7117" t="s">
        <v>51102</v>
      </c>
      <c r="W7117" t="s">
        <v>45699</v>
      </c>
      <c r="X7117" t="s">
        <v>47432</v>
      </c>
    </row>
    <row r="7118" spans="1:24">
      <c r="A7118">
        <f>HYPERLINK("https://www.philgeps.gov.ph/GEPSNONPILOT/Tender/SplashBidNoticeAbstractUI.aspx?menuIndex=3&amp;refID=7157017&amp;Result=3","7157017")</f>
        <v>0</v>
      </c>
      <c r="B7118" t="s">
        <v>145</v>
      </c>
      <c r="C7118" t="s">
        <v>10592</v>
      </c>
      <c r="D7118" t="s">
        <v>19048</v>
      </c>
      <c r="E7118" t="s">
        <v>25296</v>
      </c>
      <c r="F7118" t="s">
        <v>32831</v>
      </c>
      <c r="G7118" t="s">
        <v>32839</v>
      </c>
      <c r="H7118" t="s">
        <v>32849</v>
      </c>
      <c r="I7118" t="s">
        <v>4177</v>
      </c>
      <c r="J7118" t="s">
        <v>37456</v>
      </c>
      <c r="K7118" t="s">
        <v>42904</v>
      </c>
      <c r="L7118" t="s">
        <v>145</v>
      </c>
      <c r="M7118" t="s">
        <v>43142</v>
      </c>
      <c r="N7118" t="s">
        <v>47424</v>
      </c>
      <c r="O7118" t="s">
        <v>47425</v>
      </c>
      <c r="P7118">
        <v>0</v>
      </c>
      <c r="Q7118">
        <v>0</v>
      </c>
      <c r="R7118" t="s">
        <v>47431</v>
      </c>
      <c r="S7118" t="s">
        <v>47565</v>
      </c>
      <c r="T7118" t="s">
        <v>49291</v>
      </c>
      <c r="U7118" t="s">
        <v>55652</v>
      </c>
      <c r="V7118" t="s">
        <v>62648</v>
      </c>
      <c r="W7118" t="s">
        <v>43142</v>
      </c>
      <c r="X7118" t="s">
        <v>47432</v>
      </c>
    </row>
    <row r="7119" spans="1:24">
      <c r="A7119">
        <f>HYPERLINK("https://www.philgeps.gov.ph/GEPSNONPILOT/Tender/SplashBidNoticeAbstractUI.aspx?menuIndex=3&amp;refID=7157076&amp;Result=3","7157076")</f>
        <v>0</v>
      </c>
      <c r="B7119" t="s">
        <v>2494</v>
      </c>
      <c r="C7119" t="s">
        <v>10593</v>
      </c>
      <c r="D7119" t="s">
        <v>19077</v>
      </c>
      <c r="E7119" t="s">
        <v>25297</v>
      </c>
      <c r="F7119" t="s">
        <v>32831</v>
      </c>
      <c r="G7119" t="s">
        <v>32840</v>
      </c>
      <c r="H7119" t="s">
        <v>32848</v>
      </c>
      <c r="I7119" t="s">
        <v>10805</v>
      </c>
      <c r="J7119" t="s">
        <v>34700</v>
      </c>
      <c r="K7119" t="s">
        <v>42730</v>
      </c>
      <c r="M7119" t="s">
        <v>45700</v>
      </c>
      <c r="N7119" t="s">
        <v>47424</v>
      </c>
      <c r="O7119" t="s">
        <v>47425</v>
      </c>
      <c r="P7119">
        <v>0</v>
      </c>
      <c r="Q7119">
        <v>7</v>
      </c>
      <c r="R7119" t="s">
        <v>47431</v>
      </c>
      <c r="S7119" t="s">
        <v>47565</v>
      </c>
      <c r="T7119" t="s">
        <v>49163</v>
      </c>
      <c r="U7119" t="s">
        <v>49728</v>
      </c>
      <c r="W7119" t="s">
        <v>45700</v>
      </c>
      <c r="X7119" t="s">
        <v>47432</v>
      </c>
    </row>
    <row r="7120" spans="1:24">
      <c r="A7120">
        <f>HYPERLINK("https://www.philgeps.gov.ph/GEPSNONPILOT/Tender/SplashBidNoticeAbstractUI.aspx?menuIndex=3&amp;refID=7157042&amp;Result=3","7157042")</f>
        <v>0</v>
      </c>
      <c r="B7120" t="s">
        <v>1629</v>
      </c>
      <c r="C7120" t="s">
        <v>10594</v>
      </c>
      <c r="D7120" t="s">
        <v>19021</v>
      </c>
      <c r="E7120" t="s">
        <v>25298</v>
      </c>
      <c r="F7120" t="s">
        <v>32831</v>
      </c>
      <c r="G7120" t="s">
        <v>32840</v>
      </c>
      <c r="H7120" t="s">
        <v>32848</v>
      </c>
      <c r="I7120" t="s">
        <v>32861</v>
      </c>
      <c r="J7120" t="s">
        <v>34095</v>
      </c>
      <c r="K7120" t="s">
        <v>42732</v>
      </c>
      <c r="M7120" t="s">
        <v>44745</v>
      </c>
      <c r="N7120" t="s">
        <v>47424</v>
      </c>
      <c r="O7120" t="s">
        <v>47425</v>
      </c>
      <c r="P7120">
        <v>0</v>
      </c>
      <c r="Q7120">
        <v>7</v>
      </c>
      <c r="R7120" t="s">
        <v>47431</v>
      </c>
      <c r="S7120" t="s">
        <v>47565</v>
      </c>
      <c r="T7120" t="s">
        <v>49163</v>
      </c>
      <c r="U7120" t="s">
        <v>53949</v>
      </c>
      <c r="V7120" t="s">
        <v>63069</v>
      </c>
      <c r="W7120" t="s">
        <v>44745</v>
      </c>
      <c r="X7120" t="s">
        <v>47432</v>
      </c>
    </row>
    <row r="7121" spans="1:24">
      <c r="A7121">
        <f>HYPERLINK("https://www.philgeps.gov.ph/GEPSNONPILOT/Tender/SplashBidNoticeAbstractUI.aspx?menuIndex=3&amp;refID=7157024&amp;Result=3","7157024")</f>
        <v>0</v>
      </c>
      <c r="B7121" t="s">
        <v>2073</v>
      </c>
      <c r="C7121" t="s">
        <v>10595</v>
      </c>
      <c r="D7121" t="s">
        <v>19061</v>
      </c>
      <c r="E7121" t="s">
        <v>25299</v>
      </c>
      <c r="F7121" t="s">
        <v>32831</v>
      </c>
      <c r="G7121" t="s">
        <v>32840</v>
      </c>
      <c r="H7121" t="s">
        <v>32848</v>
      </c>
      <c r="I7121" t="s">
        <v>9577</v>
      </c>
      <c r="J7121" t="s">
        <v>37457</v>
      </c>
      <c r="K7121" t="s">
        <v>42726</v>
      </c>
      <c r="M7121" t="s">
        <v>45243</v>
      </c>
      <c r="N7121" t="s">
        <v>47424</v>
      </c>
      <c r="O7121" t="s">
        <v>47425</v>
      </c>
      <c r="P7121">
        <v>0</v>
      </c>
      <c r="Q7121">
        <v>1</v>
      </c>
      <c r="R7121" t="s">
        <v>47431</v>
      </c>
      <c r="S7121" t="s">
        <v>47565</v>
      </c>
      <c r="T7121" t="s">
        <v>49056</v>
      </c>
      <c r="U7121" t="s">
        <v>55653</v>
      </c>
      <c r="W7121" t="s">
        <v>45243</v>
      </c>
      <c r="X7121" t="s">
        <v>47432</v>
      </c>
    </row>
    <row r="7122" spans="1:24">
      <c r="A7122">
        <f>HYPERLINK("https://www.philgeps.gov.ph/GEPSNONPILOT/Tender/SplashBidNoticeAbstractUI.aspx?menuIndex=3&amp;refID=7157074&amp;Result=3","7157074")</f>
        <v>0</v>
      </c>
      <c r="B7122" t="s">
        <v>1967</v>
      </c>
      <c r="C7122" t="s">
        <v>10596</v>
      </c>
      <c r="D7122" t="s">
        <v>19049</v>
      </c>
      <c r="E7122" t="s">
        <v>25300</v>
      </c>
      <c r="F7122" t="s">
        <v>32831</v>
      </c>
      <c r="G7122" t="s">
        <v>32838</v>
      </c>
      <c r="H7122" t="s">
        <v>32848</v>
      </c>
      <c r="I7122" t="s">
        <v>32857</v>
      </c>
      <c r="J7122" t="s">
        <v>37458</v>
      </c>
      <c r="K7122" t="s">
        <v>42732</v>
      </c>
      <c r="M7122" t="s">
        <v>45127</v>
      </c>
      <c r="N7122" t="s">
        <v>47424</v>
      </c>
      <c r="O7122" t="s">
        <v>47425</v>
      </c>
      <c r="Q7122">
        <v>1</v>
      </c>
      <c r="R7122" t="s">
        <v>47431</v>
      </c>
      <c r="S7122" t="s">
        <v>47584</v>
      </c>
      <c r="T7122" t="s">
        <v>49239</v>
      </c>
      <c r="U7122" t="s">
        <v>55654</v>
      </c>
      <c r="W7122" t="s">
        <v>45127</v>
      </c>
      <c r="X7122" t="s">
        <v>47432</v>
      </c>
    </row>
    <row r="7123" spans="1:24">
      <c r="A7123">
        <f>HYPERLINK("https://www.philgeps.gov.ph/GEPSNONPILOT/Tender/SplashBidNoticeAbstractUI.aspx?menuIndex=3&amp;refID=7157070&amp;Result=3","7157070")</f>
        <v>0</v>
      </c>
      <c r="B7123" t="s">
        <v>2483</v>
      </c>
      <c r="C7123" t="s">
        <v>10597</v>
      </c>
      <c r="D7123" t="s">
        <v>19054</v>
      </c>
      <c r="E7123" t="s">
        <v>25301</v>
      </c>
      <c r="F7123" t="s">
        <v>32831</v>
      </c>
      <c r="G7123" t="s">
        <v>32839</v>
      </c>
      <c r="H7123" t="s">
        <v>32848</v>
      </c>
      <c r="I7123" t="s">
        <v>7416</v>
      </c>
      <c r="J7123" t="s">
        <v>37459</v>
      </c>
      <c r="K7123" t="s">
        <v>42748</v>
      </c>
      <c r="M7123" t="s">
        <v>45685</v>
      </c>
      <c r="N7123" t="s">
        <v>47424</v>
      </c>
      <c r="O7123" t="s">
        <v>47425</v>
      </c>
      <c r="P7123">
        <v>0</v>
      </c>
      <c r="Q7123">
        <v>1</v>
      </c>
      <c r="R7123" t="s">
        <v>47431</v>
      </c>
      <c r="S7123" t="s">
        <v>47565</v>
      </c>
      <c r="T7123" t="s">
        <v>49142</v>
      </c>
      <c r="U7123" t="s">
        <v>55655</v>
      </c>
      <c r="W7123" t="s">
        <v>45685</v>
      </c>
      <c r="X7123" t="s">
        <v>47432</v>
      </c>
    </row>
    <row r="7124" spans="1:24">
      <c r="A7124">
        <f>HYPERLINK("https://www.philgeps.gov.ph/GEPSNONPILOT/Tender/SplashBidNoticeAbstractUI.aspx?menuIndex=3&amp;refID=7157067&amp;Result=3","7157067")</f>
        <v>0</v>
      </c>
      <c r="B7124" t="s">
        <v>2363</v>
      </c>
      <c r="C7124" t="s">
        <v>10598</v>
      </c>
      <c r="D7124" t="s">
        <v>19047</v>
      </c>
      <c r="E7124" t="s">
        <v>25302</v>
      </c>
      <c r="F7124" t="s">
        <v>32831</v>
      </c>
      <c r="G7124" t="s">
        <v>32839</v>
      </c>
      <c r="H7124" t="s">
        <v>32848</v>
      </c>
      <c r="I7124" t="s">
        <v>32874</v>
      </c>
      <c r="J7124" t="s">
        <v>37460</v>
      </c>
      <c r="K7124" t="s">
        <v>42732</v>
      </c>
      <c r="M7124" t="s">
        <v>45553</v>
      </c>
      <c r="N7124" t="s">
        <v>47424</v>
      </c>
      <c r="O7124" t="s">
        <v>47425</v>
      </c>
      <c r="P7124">
        <v>0</v>
      </c>
      <c r="Q7124">
        <v>33</v>
      </c>
      <c r="R7124" t="s">
        <v>47431</v>
      </c>
      <c r="S7124" t="s">
        <v>47565</v>
      </c>
      <c r="T7124" t="s">
        <v>49472</v>
      </c>
      <c r="U7124" t="s">
        <v>55656</v>
      </c>
      <c r="V7124" t="s">
        <v>63418</v>
      </c>
      <c r="W7124" t="s">
        <v>45553</v>
      </c>
      <c r="X7124" t="s">
        <v>47432</v>
      </c>
    </row>
    <row r="7125" spans="1:24">
      <c r="A7125">
        <f>HYPERLINK("https://www.philgeps.gov.ph/GEPSNONPILOT/Tender/SplashBidNoticeAbstractUI.aspx?menuIndex=3&amp;refID=7157020&amp;Result=3","7157020")</f>
        <v>0</v>
      </c>
      <c r="B7125" t="s">
        <v>1894</v>
      </c>
      <c r="C7125" t="s">
        <v>10599</v>
      </c>
      <c r="D7125" t="s">
        <v>19092</v>
      </c>
      <c r="E7125" t="s">
        <v>25303</v>
      </c>
      <c r="F7125" t="s">
        <v>32831</v>
      </c>
      <c r="G7125" t="s">
        <v>32838</v>
      </c>
      <c r="H7125" t="s">
        <v>32848</v>
      </c>
      <c r="I7125" t="s">
        <v>32859</v>
      </c>
      <c r="J7125" t="s">
        <v>37461</v>
      </c>
      <c r="K7125" t="s">
        <v>42730</v>
      </c>
      <c r="M7125" t="s">
        <v>45041</v>
      </c>
      <c r="N7125" t="s">
        <v>47424</v>
      </c>
      <c r="O7125" t="s">
        <v>47425</v>
      </c>
      <c r="P7125">
        <v>0</v>
      </c>
      <c r="Q7125">
        <v>1</v>
      </c>
      <c r="R7125" t="s">
        <v>47431</v>
      </c>
      <c r="S7125" t="s">
        <v>47565</v>
      </c>
      <c r="T7125" t="s">
        <v>49166</v>
      </c>
      <c r="U7125" t="s">
        <v>53972</v>
      </c>
      <c r="W7125" t="s">
        <v>45041</v>
      </c>
      <c r="X7125" t="s">
        <v>47432</v>
      </c>
    </row>
    <row r="7126" spans="1:24">
      <c r="A7126">
        <f>HYPERLINK("https://www.philgeps.gov.ph/GEPSNONPILOT/Tender/SplashBidNoticeAbstractUI.aspx?menuIndex=3&amp;refID=7157075&amp;Result=3","7157075")</f>
        <v>0</v>
      </c>
      <c r="B7126" t="s">
        <v>1765</v>
      </c>
      <c r="C7126" t="s">
        <v>10600</v>
      </c>
      <c r="E7126" t="s">
        <v>25304</v>
      </c>
      <c r="F7126" t="s">
        <v>32831</v>
      </c>
      <c r="G7126" t="s">
        <v>32840</v>
      </c>
      <c r="H7126" t="s">
        <v>32848</v>
      </c>
      <c r="I7126" t="s">
        <v>7416</v>
      </c>
      <c r="J7126" t="s">
        <v>37462</v>
      </c>
      <c r="K7126" t="s">
        <v>42732</v>
      </c>
      <c r="M7126" t="s">
        <v>44890</v>
      </c>
      <c r="N7126" t="s">
        <v>47424</v>
      </c>
      <c r="O7126" t="s">
        <v>47425</v>
      </c>
      <c r="P7126">
        <v>0</v>
      </c>
      <c r="Q7126">
        <v>1</v>
      </c>
      <c r="R7126" t="s">
        <v>47431</v>
      </c>
      <c r="S7126" t="s">
        <v>47565</v>
      </c>
      <c r="T7126" t="s">
        <v>49177</v>
      </c>
      <c r="U7126" t="s">
        <v>55657</v>
      </c>
      <c r="V7126" t="s">
        <v>63419</v>
      </c>
      <c r="W7126" t="s">
        <v>44890</v>
      </c>
      <c r="X7126" t="s">
        <v>47432</v>
      </c>
    </row>
    <row r="7127" spans="1:24">
      <c r="A7127">
        <f>HYPERLINK("https://www.philgeps.gov.ph/GEPSNONPILOT/Tender/SplashBidNoticeAbstractUI.aspx?menuIndex=3&amp;refID=7157065&amp;Result=3","7157065")</f>
        <v>0</v>
      </c>
      <c r="B7127" t="s">
        <v>1747</v>
      </c>
      <c r="C7127" t="s">
        <v>10601</v>
      </c>
      <c r="D7127" t="s">
        <v>19058</v>
      </c>
      <c r="E7127" t="s">
        <v>25305</v>
      </c>
      <c r="F7127" t="s">
        <v>32831</v>
      </c>
      <c r="G7127" t="s">
        <v>32839</v>
      </c>
      <c r="H7127" t="s">
        <v>32848</v>
      </c>
      <c r="I7127" t="s">
        <v>6526</v>
      </c>
      <c r="J7127" t="s">
        <v>37463</v>
      </c>
      <c r="K7127" t="s">
        <v>42730</v>
      </c>
      <c r="M7127" t="s">
        <v>44870</v>
      </c>
      <c r="N7127" t="s">
        <v>47424</v>
      </c>
      <c r="O7127" t="s">
        <v>47425</v>
      </c>
      <c r="P7127">
        <v>0</v>
      </c>
      <c r="Q7127">
        <v>1</v>
      </c>
      <c r="R7127" t="s">
        <v>47431</v>
      </c>
      <c r="S7127" t="s">
        <v>47565</v>
      </c>
      <c r="T7127" t="s">
        <v>49127</v>
      </c>
      <c r="U7127" t="s">
        <v>55658</v>
      </c>
      <c r="W7127" t="s">
        <v>44870</v>
      </c>
      <c r="X7127" t="s">
        <v>47432</v>
      </c>
    </row>
    <row r="7128" spans="1:24">
      <c r="A7128">
        <f>HYPERLINK("https://www.philgeps.gov.ph/GEPSNONPILOT/Tender/SplashBidNoticeAbstractUI.aspx?menuIndex=3&amp;refID=7157018&amp;Result=3","7157018")</f>
        <v>0</v>
      </c>
      <c r="B7128" t="s">
        <v>2366</v>
      </c>
      <c r="C7128" t="s">
        <v>10602</v>
      </c>
      <c r="D7128" t="s">
        <v>19060</v>
      </c>
      <c r="E7128" t="s">
        <v>25306</v>
      </c>
      <c r="F7128" t="s">
        <v>32831</v>
      </c>
      <c r="G7128" t="s">
        <v>32839</v>
      </c>
      <c r="H7128" t="s">
        <v>32849</v>
      </c>
      <c r="I7128" t="s">
        <v>4177</v>
      </c>
      <c r="J7128" t="s">
        <v>37464</v>
      </c>
      <c r="K7128" t="s">
        <v>42770</v>
      </c>
      <c r="M7128" t="s">
        <v>45556</v>
      </c>
      <c r="N7128" t="s">
        <v>47424</v>
      </c>
      <c r="O7128" t="s">
        <v>47425</v>
      </c>
      <c r="P7128">
        <v>0</v>
      </c>
      <c r="Q7128">
        <v>0</v>
      </c>
      <c r="R7128" t="s">
        <v>47431</v>
      </c>
      <c r="S7128" t="s">
        <v>47565</v>
      </c>
      <c r="T7128" t="s">
        <v>49160</v>
      </c>
      <c r="U7128" t="s">
        <v>55659</v>
      </c>
      <c r="W7128" t="s">
        <v>45556</v>
      </c>
      <c r="X7128" t="s">
        <v>47432</v>
      </c>
    </row>
    <row r="7129" spans="1:24">
      <c r="A7129">
        <f>HYPERLINK("https://www.philgeps.gov.ph/GEPSNONPILOT/Tender/SplashBidNoticeAbstractUI.aspx?menuIndex=3&amp;refID=7157060&amp;Result=3","7157060")</f>
        <v>0</v>
      </c>
      <c r="B7129" t="s">
        <v>1068</v>
      </c>
      <c r="C7129" t="s">
        <v>10603</v>
      </c>
      <c r="D7129" t="s">
        <v>19021</v>
      </c>
      <c r="E7129" t="s">
        <v>25307</v>
      </c>
      <c r="F7129" t="s">
        <v>32831</v>
      </c>
      <c r="G7129" t="s">
        <v>32839</v>
      </c>
      <c r="H7129" t="s">
        <v>32849</v>
      </c>
      <c r="I7129" t="s">
        <v>4177</v>
      </c>
      <c r="J7129" t="s">
        <v>32978</v>
      </c>
      <c r="K7129" t="s">
        <v>42770</v>
      </c>
      <c r="M7129" t="s">
        <v>44125</v>
      </c>
      <c r="N7129" t="s">
        <v>47424</v>
      </c>
      <c r="O7129" t="s">
        <v>47425</v>
      </c>
      <c r="P7129">
        <v>0</v>
      </c>
      <c r="Q7129">
        <v>23</v>
      </c>
      <c r="R7129" t="s">
        <v>47431</v>
      </c>
      <c r="S7129" t="s">
        <v>47565</v>
      </c>
      <c r="T7129" t="s">
        <v>49108</v>
      </c>
      <c r="U7129" t="s">
        <v>55649</v>
      </c>
      <c r="V7129" t="s">
        <v>63390</v>
      </c>
      <c r="W7129" t="s">
        <v>44125</v>
      </c>
      <c r="X7129" t="s">
        <v>47432</v>
      </c>
    </row>
    <row r="7130" spans="1:24">
      <c r="A7130">
        <f>HYPERLINK("https://www.philgeps.gov.ph/GEPSNONPILOT/Tender/SplashBidNoticeAbstractUI.aspx?menuIndex=3&amp;refID=7157068&amp;Result=3","7157068")</f>
        <v>0</v>
      </c>
      <c r="B7130" t="s">
        <v>231</v>
      </c>
      <c r="C7130" t="s">
        <v>10604</v>
      </c>
      <c r="D7130" t="s">
        <v>19039</v>
      </c>
      <c r="E7130" t="s">
        <v>25308</v>
      </c>
      <c r="F7130" t="s">
        <v>32831</v>
      </c>
      <c r="G7130" t="s">
        <v>32839</v>
      </c>
      <c r="H7130" t="s">
        <v>32848</v>
      </c>
      <c r="I7130" t="s">
        <v>32874</v>
      </c>
      <c r="J7130" t="s">
        <v>37465</v>
      </c>
      <c r="K7130" t="s">
        <v>42730</v>
      </c>
      <c r="M7130" t="s">
        <v>43230</v>
      </c>
      <c r="N7130" t="s">
        <v>47424</v>
      </c>
      <c r="O7130" t="s">
        <v>47425</v>
      </c>
      <c r="P7130">
        <v>0</v>
      </c>
      <c r="Q7130">
        <v>4</v>
      </c>
      <c r="R7130" t="s">
        <v>47431</v>
      </c>
      <c r="S7130" t="s">
        <v>47565</v>
      </c>
      <c r="T7130" t="s">
        <v>49129</v>
      </c>
      <c r="U7130" t="s">
        <v>55660</v>
      </c>
      <c r="W7130" t="s">
        <v>43230</v>
      </c>
      <c r="X7130" t="s">
        <v>47432</v>
      </c>
    </row>
    <row r="7131" spans="1:24">
      <c r="A7131">
        <f>HYPERLINK("https://www.philgeps.gov.ph/GEPSNONPILOT/Tender/SplashBidNoticeAbstractUI.aspx?menuIndex=3&amp;refID=7157056&amp;Result=3","7157056")</f>
        <v>0</v>
      </c>
      <c r="B7131" t="s">
        <v>2493</v>
      </c>
      <c r="C7131" t="s">
        <v>10605</v>
      </c>
      <c r="D7131" t="s">
        <v>19031</v>
      </c>
      <c r="E7131" t="s">
        <v>25309</v>
      </c>
      <c r="F7131" t="s">
        <v>32831</v>
      </c>
      <c r="G7131" t="s">
        <v>32838</v>
      </c>
      <c r="H7131" t="s">
        <v>32848</v>
      </c>
      <c r="I7131" t="s">
        <v>10888</v>
      </c>
      <c r="J7131" t="s">
        <v>37466</v>
      </c>
      <c r="K7131" t="s">
        <v>42730</v>
      </c>
      <c r="M7131" t="s">
        <v>45699</v>
      </c>
      <c r="N7131" t="s">
        <v>47424</v>
      </c>
      <c r="O7131" t="s">
        <v>47425</v>
      </c>
      <c r="P7131">
        <v>0</v>
      </c>
      <c r="Q7131">
        <v>8</v>
      </c>
      <c r="R7131" t="s">
        <v>47431</v>
      </c>
      <c r="S7131" t="s">
        <v>47565</v>
      </c>
      <c r="T7131" t="s">
        <v>49100</v>
      </c>
      <c r="U7131" t="s">
        <v>51102</v>
      </c>
      <c r="W7131" t="s">
        <v>45699</v>
      </c>
      <c r="X7131" t="s">
        <v>47432</v>
      </c>
    </row>
    <row r="7132" spans="1:24">
      <c r="A7132">
        <f>HYPERLINK("https://www.philgeps.gov.ph/GEPSNONPILOT/Tender/SplashBidNoticeAbstractUI.aspx?menuIndex=3&amp;refID=7157079&amp;Result=3","7157079")</f>
        <v>0</v>
      </c>
      <c r="B7132" t="s">
        <v>2366</v>
      </c>
      <c r="C7132" t="s">
        <v>10606</v>
      </c>
      <c r="D7132" t="s">
        <v>19060</v>
      </c>
      <c r="E7132" t="s">
        <v>25310</v>
      </c>
      <c r="F7132" t="s">
        <v>32831</v>
      </c>
      <c r="G7132" t="s">
        <v>32839</v>
      </c>
      <c r="H7132" t="s">
        <v>32849</v>
      </c>
      <c r="I7132" t="s">
        <v>4177</v>
      </c>
      <c r="J7132" t="s">
        <v>37467</v>
      </c>
      <c r="K7132" t="s">
        <v>42770</v>
      </c>
      <c r="M7132" t="s">
        <v>45556</v>
      </c>
      <c r="N7132" t="s">
        <v>47424</v>
      </c>
      <c r="O7132" t="s">
        <v>47425</v>
      </c>
      <c r="P7132">
        <v>0</v>
      </c>
      <c r="Q7132">
        <v>0</v>
      </c>
      <c r="R7132" t="s">
        <v>47431</v>
      </c>
      <c r="S7132" t="s">
        <v>47565</v>
      </c>
      <c r="T7132" t="s">
        <v>49160</v>
      </c>
      <c r="U7132" t="s">
        <v>55661</v>
      </c>
      <c r="W7132" t="s">
        <v>45556</v>
      </c>
      <c r="X7132" t="s">
        <v>47432</v>
      </c>
    </row>
    <row r="7133" spans="1:24">
      <c r="A7133">
        <f>HYPERLINK("https://www.philgeps.gov.ph/GEPSNONPILOT/Tender/SplashBidNoticeAbstractUI.aspx?menuIndex=3&amp;refID=7157066&amp;Result=3","7157066")</f>
        <v>0</v>
      </c>
      <c r="B7133" t="s">
        <v>2429</v>
      </c>
      <c r="C7133" t="s">
        <v>10607</v>
      </c>
      <c r="D7133" t="s">
        <v>19064</v>
      </c>
      <c r="E7133" t="s">
        <v>25311</v>
      </c>
      <c r="F7133" t="s">
        <v>32831</v>
      </c>
      <c r="G7133" t="s">
        <v>32839</v>
      </c>
      <c r="H7133" t="s">
        <v>32848</v>
      </c>
      <c r="I7133" t="s">
        <v>32864</v>
      </c>
      <c r="J7133" t="s">
        <v>34735</v>
      </c>
      <c r="K7133" t="s">
        <v>42731</v>
      </c>
      <c r="M7133" t="s">
        <v>45626</v>
      </c>
      <c r="N7133" t="s">
        <v>47424</v>
      </c>
      <c r="O7133" t="s">
        <v>47425</v>
      </c>
      <c r="P7133">
        <v>0</v>
      </c>
      <c r="Q7133">
        <v>0</v>
      </c>
      <c r="R7133" t="s">
        <v>47431</v>
      </c>
      <c r="S7133" t="s">
        <v>47565</v>
      </c>
      <c r="T7133" t="s">
        <v>49055</v>
      </c>
      <c r="U7133" t="s">
        <v>55662</v>
      </c>
      <c r="W7133" t="s">
        <v>45626</v>
      </c>
      <c r="X7133" t="s">
        <v>47432</v>
      </c>
    </row>
    <row r="7134" spans="1:24">
      <c r="A7134">
        <f>HYPERLINK("https://www.philgeps.gov.ph/GEPSNONPILOT/Tender/SplashBidNoticeAbstractUI.aspx?menuIndex=3&amp;refID=7157121&amp;Result=3","7157121")</f>
        <v>0</v>
      </c>
      <c r="B7134" t="s">
        <v>43</v>
      </c>
      <c r="C7134" t="s">
        <v>10608</v>
      </c>
      <c r="D7134" t="s">
        <v>19032</v>
      </c>
      <c r="E7134" t="s">
        <v>25312</v>
      </c>
      <c r="F7134" t="s">
        <v>32831</v>
      </c>
      <c r="G7134" t="s">
        <v>32839</v>
      </c>
      <c r="H7134" t="s">
        <v>32849</v>
      </c>
      <c r="I7134" t="s">
        <v>4177</v>
      </c>
      <c r="J7134" t="s">
        <v>33644</v>
      </c>
      <c r="K7134" t="s">
        <v>42730</v>
      </c>
      <c r="M7134" t="s">
        <v>43040</v>
      </c>
      <c r="N7134" t="s">
        <v>47424</v>
      </c>
      <c r="O7134" t="s">
        <v>47425</v>
      </c>
      <c r="P7134">
        <v>0</v>
      </c>
      <c r="Q7134">
        <v>0</v>
      </c>
      <c r="R7134" t="s">
        <v>47431</v>
      </c>
      <c r="S7134" t="s">
        <v>47565</v>
      </c>
      <c r="T7134" t="s">
        <v>49473</v>
      </c>
      <c r="U7134" t="s">
        <v>55663</v>
      </c>
      <c r="W7134" t="s">
        <v>43040</v>
      </c>
      <c r="X7134" t="s">
        <v>47432</v>
      </c>
    </row>
    <row r="7135" spans="1:24">
      <c r="A7135">
        <f>HYPERLINK("https://www.philgeps.gov.ph/GEPSNONPILOT/Tender/SplashBidNoticeAbstractUI.aspx?menuIndex=3&amp;refID=7157062&amp;Result=3","7157062")</f>
        <v>0</v>
      </c>
      <c r="B7135" t="s">
        <v>1753</v>
      </c>
      <c r="C7135" t="s">
        <v>10609</v>
      </c>
      <c r="D7135" t="s">
        <v>19104</v>
      </c>
      <c r="E7135" t="s">
        <v>25313</v>
      </c>
      <c r="F7135" t="s">
        <v>32831</v>
      </c>
      <c r="G7135" t="s">
        <v>32838</v>
      </c>
      <c r="H7135" t="s">
        <v>32848</v>
      </c>
      <c r="I7135" t="s">
        <v>4776</v>
      </c>
      <c r="J7135" t="s">
        <v>34940</v>
      </c>
      <c r="K7135" t="s">
        <v>42727</v>
      </c>
      <c r="M7135" t="s">
        <v>44877</v>
      </c>
      <c r="N7135" t="s">
        <v>47424</v>
      </c>
      <c r="O7135" t="s">
        <v>47425</v>
      </c>
      <c r="P7135">
        <v>0</v>
      </c>
      <c r="Q7135">
        <v>0</v>
      </c>
      <c r="R7135" t="s">
        <v>47431</v>
      </c>
      <c r="S7135" t="s">
        <v>47565</v>
      </c>
      <c r="T7135" t="s">
        <v>49111</v>
      </c>
      <c r="U7135" t="s">
        <v>55664</v>
      </c>
      <c r="W7135" t="s">
        <v>44877</v>
      </c>
      <c r="X7135" t="s">
        <v>47432</v>
      </c>
    </row>
    <row r="7136" spans="1:24">
      <c r="A7136">
        <f>HYPERLINK("https://www.philgeps.gov.ph/GEPSNONPILOT/Tender/SplashBidNoticeAbstractUI.aspx?menuIndex=3&amp;refID=7157057&amp;Result=3","7157057")</f>
        <v>0</v>
      </c>
      <c r="B7136" t="s">
        <v>159</v>
      </c>
      <c r="C7136" t="s">
        <v>10610</v>
      </c>
      <c r="D7136" t="s">
        <v>19058</v>
      </c>
      <c r="E7136" t="s">
        <v>25314</v>
      </c>
      <c r="F7136" t="s">
        <v>32831</v>
      </c>
      <c r="G7136" t="s">
        <v>32838</v>
      </c>
      <c r="H7136" t="s">
        <v>32848</v>
      </c>
      <c r="I7136" t="s">
        <v>4776</v>
      </c>
      <c r="J7136" t="s">
        <v>33660</v>
      </c>
      <c r="K7136" t="s">
        <v>42730</v>
      </c>
      <c r="L7136" t="s">
        <v>159</v>
      </c>
      <c r="M7136" t="s">
        <v>43156</v>
      </c>
      <c r="N7136" t="s">
        <v>47424</v>
      </c>
      <c r="O7136" t="s">
        <v>47425</v>
      </c>
      <c r="P7136">
        <v>0</v>
      </c>
      <c r="Q7136">
        <v>0</v>
      </c>
      <c r="R7136" t="s">
        <v>47431</v>
      </c>
      <c r="S7136" t="s">
        <v>47565</v>
      </c>
      <c r="T7136" t="s">
        <v>49107</v>
      </c>
      <c r="U7136" t="s">
        <v>55665</v>
      </c>
      <c r="V7136" t="s">
        <v>62652</v>
      </c>
      <c r="W7136" t="s">
        <v>43156</v>
      </c>
      <c r="X7136" t="s">
        <v>47432</v>
      </c>
    </row>
    <row r="7137" spans="1:24">
      <c r="A7137">
        <f>HYPERLINK("https://www.philgeps.gov.ph/GEPSNONPILOT/Tender/SplashBidNoticeAbstractUI.aspx?menuIndex=3&amp;refID=7156999&amp;Result=3","7156999")</f>
        <v>0</v>
      </c>
      <c r="B7137" t="s">
        <v>2005</v>
      </c>
      <c r="C7137" t="s">
        <v>10611</v>
      </c>
      <c r="D7137" t="s">
        <v>19052</v>
      </c>
      <c r="E7137" t="s">
        <v>25315</v>
      </c>
      <c r="F7137" t="s">
        <v>32831</v>
      </c>
      <c r="G7137" t="s">
        <v>32838</v>
      </c>
      <c r="H7137" t="s">
        <v>32848</v>
      </c>
      <c r="I7137" t="s">
        <v>32863</v>
      </c>
      <c r="J7137" t="s">
        <v>33133</v>
      </c>
      <c r="K7137" t="s">
        <v>42730</v>
      </c>
      <c r="M7137" t="s">
        <v>45172</v>
      </c>
      <c r="N7137" t="s">
        <v>47424</v>
      </c>
      <c r="O7137" t="s">
        <v>47425</v>
      </c>
      <c r="P7137">
        <v>0</v>
      </c>
      <c r="Q7137">
        <v>6</v>
      </c>
      <c r="R7137" t="s">
        <v>47431</v>
      </c>
      <c r="S7137" t="s">
        <v>47565</v>
      </c>
      <c r="T7137" t="s">
        <v>49212</v>
      </c>
      <c r="U7137" t="s">
        <v>55666</v>
      </c>
      <c r="V7137" t="s">
        <v>63223</v>
      </c>
      <c r="W7137" t="s">
        <v>45172</v>
      </c>
      <c r="X7137" t="s">
        <v>47432</v>
      </c>
    </row>
    <row r="7138" spans="1:24">
      <c r="A7138">
        <f>HYPERLINK("https://www.philgeps.gov.ph/GEPSNONPILOT/Tender/SplashBidNoticeAbstractUI.aspx?menuIndex=3&amp;refID=7157111&amp;Result=3","7157111")</f>
        <v>0</v>
      </c>
      <c r="B7138" t="s">
        <v>832</v>
      </c>
      <c r="C7138" t="s">
        <v>10612</v>
      </c>
      <c r="D7138" t="s">
        <v>19101</v>
      </c>
      <c r="E7138" t="s">
        <v>25316</v>
      </c>
      <c r="F7138" t="s">
        <v>32831</v>
      </c>
      <c r="G7138" t="s">
        <v>32839</v>
      </c>
      <c r="H7138" t="s">
        <v>32848</v>
      </c>
      <c r="I7138" t="s">
        <v>32925</v>
      </c>
      <c r="J7138" t="s">
        <v>37468</v>
      </c>
      <c r="K7138" t="s">
        <v>42732</v>
      </c>
      <c r="M7138" t="s">
        <v>44445</v>
      </c>
      <c r="N7138" t="s">
        <v>47424</v>
      </c>
      <c r="O7138" t="s">
        <v>47425</v>
      </c>
      <c r="Q7138">
        <v>3</v>
      </c>
      <c r="R7138" t="s">
        <v>47431</v>
      </c>
      <c r="S7138" t="s">
        <v>47585</v>
      </c>
      <c r="T7138" t="s">
        <v>49338</v>
      </c>
      <c r="U7138" t="s">
        <v>55643</v>
      </c>
      <c r="V7138" t="s">
        <v>63417</v>
      </c>
      <c r="W7138" t="s">
        <v>44445</v>
      </c>
      <c r="X7138" t="s">
        <v>47432</v>
      </c>
    </row>
    <row r="7139" spans="1:24">
      <c r="A7139">
        <f>HYPERLINK("https://www.philgeps.gov.ph/GEPSNONPILOT/Tender/SplashBidNoticeAbstractUI.aspx?menuIndex=3&amp;refID=7157072&amp;Result=3","7157072")</f>
        <v>0</v>
      </c>
      <c r="B7139" t="s">
        <v>1629</v>
      </c>
      <c r="C7139" t="s">
        <v>10613</v>
      </c>
      <c r="D7139" t="s">
        <v>19021</v>
      </c>
      <c r="E7139" t="s">
        <v>25317</v>
      </c>
      <c r="F7139" t="s">
        <v>32831</v>
      </c>
      <c r="G7139" t="s">
        <v>32838</v>
      </c>
      <c r="H7139" t="s">
        <v>32848</v>
      </c>
      <c r="I7139" t="s">
        <v>4558</v>
      </c>
      <c r="J7139" t="s">
        <v>37469</v>
      </c>
      <c r="K7139" t="s">
        <v>42732</v>
      </c>
      <c r="M7139" t="s">
        <v>44745</v>
      </c>
      <c r="N7139" t="s">
        <v>47424</v>
      </c>
      <c r="O7139" t="s">
        <v>47425</v>
      </c>
      <c r="P7139">
        <v>0</v>
      </c>
      <c r="Q7139">
        <v>0</v>
      </c>
      <c r="R7139" t="s">
        <v>47431</v>
      </c>
      <c r="S7139" t="s">
        <v>47565</v>
      </c>
      <c r="T7139" t="s">
        <v>49163</v>
      </c>
      <c r="U7139" t="s">
        <v>53073</v>
      </c>
      <c r="V7139" t="s">
        <v>63069</v>
      </c>
      <c r="W7139" t="s">
        <v>44745</v>
      </c>
      <c r="X7139" t="s">
        <v>47432</v>
      </c>
    </row>
    <row r="7140" spans="1:24">
      <c r="A7140">
        <f>HYPERLINK("https://www.philgeps.gov.ph/GEPSNONPILOT/Tender/SplashBidNoticeAbstractUI.aspx?menuIndex=3&amp;refID=7157113&amp;Result=3","7157113")</f>
        <v>0</v>
      </c>
      <c r="B7140" t="s">
        <v>1048</v>
      </c>
      <c r="C7140" t="s">
        <v>10614</v>
      </c>
      <c r="D7140" t="s">
        <v>19017</v>
      </c>
      <c r="E7140" t="s">
        <v>25318</v>
      </c>
      <c r="F7140" t="s">
        <v>32831</v>
      </c>
      <c r="G7140" t="s">
        <v>32840</v>
      </c>
      <c r="H7140" t="s">
        <v>32848</v>
      </c>
      <c r="I7140" t="s">
        <v>32918</v>
      </c>
      <c r="J7140" t="s">
        <v>33578</v>
      </c>
      <c r="K7140" t="s">
        <v>42727</v>
      </c>
      <c r="M7140" t="s">
        <v>44104</v>
      </c>
      <c r="N7140" t="s">
        <v>47424</v>
      </c>
      <c r="O7140" t="s">
        <v>47425</v>
      </c>
      <c r="P7140">
        <v>0</v>
      </c>
      <c r="Q7140">
        <v>1</v>
      </c>
      <c r="R7140" t="s">
        <v>47431</v>
      </c>
      <c r="S7140" t="s">
        <v>47565</v>
      </c>
      <c r="T7140" t="s">
        <v>49166</v>
      </c>
      <c r="U7140" t="s">
        <v>55667</v>
      </c>
      <c r="W7140" t="s">
        <v>44104</v>
      </c>
      <c r="X7140" t="s">
        <v>47432</v>
      </c>
    </row>
    <row r="7141" spans="1:24">
      <c r="A7141">
        <f>HYPERLINK("https://www.philgeps.gov.ph/GEPSNONPILOT/Tender/SplashBidNoticeAbstractUI.aspx?menuIndex=3&amp;refID=7157106&amp;Result=3","7157106")</f>
        <v>0</v>
      </c>
      <c r="B7141" t="s">
        <v>2495</v>
      </c>
      <c r="C7141" t="s">
        <v>10615</v>
      </c>
      <c r="D7141" t="s">
        <v>19017</v>
      </c>
      <c r="E7141" t="s">
        <v>25319</v>
      </c>
      <c r="F7141" t="s">
        <v>32831</v>
      </c>
      <c r="G7141" t="s">
        <v>32838</v>
      </c>
      <c r="H7141" t="s">
        <v>32848</v>
      </c>
      <c r="I7141" t="s">
        <v>5379</v>
      </c>
      <c r="J7141" t="s">
        <v>35000</v>
      </c>
      <c r="K7141" t="s">
        <v>42726</v>
      </c>
      <c r="M7141" t="s">
        <v>45701</v>
      </c>
      <c r="N7141" t="s">
        <v>47424</v>
      </c>
      <c r="O7141" t="s">
        <v>47425</v>
      </c>
      <c r="P7141">
        <v>0</v>
      </c>
      <c r="Q7141">
        <v>1</v>
      </c>
      <c r="R7141" t="s">
        <v>47431</v>
      </c>
      <c r="S7141" t="s">
        <v>47565</v>
      </c>
      <c r="T7141" t="s">
        <v>49114</v>
      </c>
      <c r="U7141" t="s">
        <v>49907</v>
      </c>
      <c r="W7141" t="s">
        <v>45701</v>
      </c>
      <c r="X7141" t="s">
        <v>47432</v>
      </c>
    </row>
    <row r="7142" spans="1:24">
      <c r="A7142">
        <f>HYPERLINK("https://www.philgeps.gov.ph/GEPSNONPILOT/Tender/SplashBidNoticeAbstractUI.aspx?menuIndex=3&amp;refID=7157104&amp;Result=3","7157104")</f>
        <v>0</v>
      </c>
      <c r="B7142" t="s">
        <v>2366</v>
      </c>
      <c r="C7142" t="s">
        <v>10616</v>
      </c>
      <c r="D7142" t="s">
        <v>19060</v>
      </c>
      <c r="E7142" t="s">
        <v>25320</v>
      </c>
      <c r="F7142" t="s">
        <v>32831</v>
      </c>
      <c r="G7142" t="s">
        <v>32839</v>
      </c>
      <c r="H7142" t="s">
        <v>32849</v>
      </c>
      <c r="I7142" t="s">
        <v>4177</v>
      </c>
      <c r="J7142" t="s">
        <v>37470</v>
      </c>
      <c r="K7142" t="s">
        <v>42770</v>
      </c>
      <c r="M7142" t="s">
        <v>45556</v>
      </c>
      <c r="N7142" t="s">
        <v>47424</v>
      </c>
      <c r="O7142" t="s">
        <v>47425</v>
      </c>
      <c r="P7142">
        <v>0</v>
      </c>
      <c r="Q7142">
        <v>0</v>
      </c>
      <c r="R7142" t="s">
        <v>47431</v>
      </c>
      <c r="S7142" t="s">
        <v>47565</v>
      </c>
      <c r="T7142" t="s">
        <v>49160</v>
      </c>
      <c r="U7142" t="s">
        <v>55668</v>
      </c>
      <c r="W7142" t="s">
        <v>45556</v>
      </c>
      <c r="X7142" t="s">
        <v>47432</v>
      </c>
    </row>
    <row r="7143" spans="1:24">
      <c r="A7143">
        <f>HYPERLINK("https://www.philgeps.gov.ph/GEPSNONPILOT/Tender/SplashBidNoticeAbstractUI.aspx?menuIndex=3&amp;refID=7157119&amp;Result=3","7157119")</f>
        <v>0</v>
      </c>
      <c r="B7143" t="s">
        <v>2475</v>
      </c>
      <c r="C7143" t="s">
        <v>5180</v>
      </c>
      <c r="D7143" t="s">
        <v>19039</v>
      </c>
      <c r="E7143" t="s">
        <v>25321</v>
      </c>
      <c r="F7143" t="s">
        <v>32831</v>
      </c>
      <c r="G7143" t="s">
        <v>32839</v>
      </c>
      <c r="H7143" t="s">
        <v>32849</v>
      </c>
      <c r="I7143" t="s">
        <v>4177</v>
      </c>
      <c r="J7143" t="s">
        <v>37471</v>
      </c>
      <c r="K7143" t="s">
        <v>42763</v>
      </c>
      <c r="M7143" t="s">
        <v>45675</v>
      </c>
      <c r="N7143" t="s">
        <v>47424</v>
      </c>
      <c r="O7143" t="s">
        <v>47425</v>
      </c>
      <c r="P7143">
        <v>0</v>
      </c>
      <c r="Q7143">
        <v>0</v>
      </c>
      <c r="R7143" t="s">
        <v>47431</v>
      </c>
      <c r="S7143" t="s">
        <v>47565</v>
      </c>
      <c r="T7143" t="s">
        <v>49219</v>
      </c>
      <c r="U7143" t="s">
        <v>55669</v>
      </c>
      <c r="V7143" t="s">
        <v>63405</v>
      </c>
      <c r="W7143" t="s">
        <v>45675</v>
      </c>
      <c r="X7143" t="s">
        <v>47432</v>
      </c>
    </row>
    <row r="7144" spans="1:24">
      <c r="A7144">
        <f>HYPERLINK("https://www.philgeps.gov.ph/GEPSNONPILOT/Tender/SplashBidNoticeAbstractUI.aspx?menuIndex=3&amp;refID=7157118&amp;Result=3","7157118")</f>
        <v>0</v>
      </c>
      <c r="B7144" t="s">
        <v>2387</v>
      </c>
      <c r="C7144" t="s">
        <v>10617</v>
      </c>
      <c r="D7144" t="s">
        <v>19035</v>
      </c>
      <c r="E7144" t="s">
        <v>25322</v>
      </c>
      <c r="F7144" t="s">
        <v>32833</v>
      </c>
      <c r="G7144" t="s">
        <v>32842</v>
      </c>
      <c r="H7144" t="s">
        <v>32848</v>
      </c>
      <c r="I7144" t="s">
        <v>4487</v>
      </c>
      <c r="J7144" t="s">
        <v>33692</v>
      </c>
      <c r="K7144" t="s">
        <v>42730</v>
      </c>
      <c r="M7144" t="s">
        <v>45578</v>
      </c>
      <c r="N7144" t="s">
        <v>47424</v>
      </c>
      <c r="O7144" t="s">
        <v>47425</v>
      </c>
      <c r="P7144">
        <v>0</v>
      </c>
      <c r="Q7144">
        <v>8</v>
      </c>
      <c r="R7144" t="s">
        <v>47431</v>
      </c>
      <c r="S7144" t="s">
        <v>47565</v>
      </c>
      <c r="T7144" t="s">
        <v>49055</v>
      </c>
      <c r="U7144" t="s">
        <v>55670</v>
      </c>
      <c r="W7144" t="s">
        <v>45578</v>
      </c>
      <c r="X7144" t="s">
        <v>47432</v>
      </c>
    </row>
    <row r="7145" spans="1:24">
      <c r="A7145">
        <f>HYPERLINK("https://www.philgeps.gov.ph/GEPSNONPILOT/Tender/SplashBidNoticeAbstractUI.aspx?menuIndex=3&amp;refID=7157094&amp;Result=3","7157094")</f>
        <v>0</v>
      </c>
      <c r="B7145" t="s">
        <v>2415</v>
      </c>
      <c r="C7145" t="s">
        <v>10618</v>
      </c>
      <c r="D7145" t="s">
        <v>19044</v>
      </c>
      <c r="E7145" t="s">
        <v>25323</v>
      </c>
      <c r="F7145" t="s">
        <v>32831</v>
      </c>
      <c r="G7145" t="s">
        <v>32840</v>
      </c>
      <c r="H7145" t="s">
        <v>32848</v>
      </c>
      <c r="I7145" t="s">
        <v>4438</v>
      </c>
      <c r="J7145" t="s">
        <v>37472</v>
      </c>
      <c r="K7145" t="s">
        <v>42732</v>
      </c>
      <c r="M7145" t="s">
        <v>45610</v>
      </c>
      <c r="N7145" t="s">
        <v>47424</v>
      </c>
      <c r="O7145" t="s">
        <v>47425</v>
      </c>
      <c r="P7145">
        <v>0</v>
      </c>
      <c r="Q7145">
        <v>1</v>
      </c>
      <c r="R7145" t="s">
        <v>47431</v>
      </c>
      <c r="S7145" t="s">
        <v>47565</v>
      </c>
      <c r="T7145" t="s">
        <v>49100</v>
      </c>
      <c r="U7145" t="s">
        <v>55671</v>
      </c>
      <c r="W7145" t="s">
        <v>45610</v>
      </c>
      <c r="X7145" t="s">
        <v>47432</v>
      </c>
    </row>
    <row r="7146" spans="1:24">
      <c r="A7146">
        <f>HYPERLINK("https://www.philgeps.gov.ph/GEPSNONPILOT/Tender/SplashBidNoticeAbstractUI.aspx?menuIndex=3&amp;refID=7157021&amp;Result=3","7157021")</f>
        <v>0</v>
      </c>
      <c r="B7146" t="s">
        <v>1765</v>
      </c>
      <c r="C7146" t="s">
        <v>10619</v>
      </c>
      <c r="E7146" t="s">
        <v>25324</v>
      </c>
      <c r="F7146" t="s">
        <v>32831</v>
      </c>
      <c r="G7146" t="s">
        <v>32840</v>
      </c>
      <c r="H7146" t="s">
        <v>32848</v>
      </c>
      <c r="I7146" t="s">
        <v>4776</v>
      </c>
      <c r="J7146" t="s">
        <v>37473</v>
      </c>
      <c r="K7146" t="s">
        <v>42732</v>
      </c>
      <c r="M7146" t="s">
        <v>44890</v>
      </c>
      <c r="N7146" t="s">
        <v>47424</v>
      </c>
      <c r="O7146" t="s">
        <v>47425</v>
      </c>
      <c r="P7146">
        <v>0</v>
      </c>
      <c r="Q7146">
        <v>2</v>
      </c>
      <c r="R7146" t="s">
        <v>47431</v>
      </c>
      <c r="S7146" t="s">
        <v>47565</v>
      </c>
      <c r="T7146" t="s">
        <v>49177</v>
      </c>
      <c r="U7146" t="s">
        <v>55672</v>
      </c>
      <c r="V7146" t="s">
        <v>63419</v>
      </c>
      <c r="W7146" t="s">
        <v>44890</v>
      </c>
      <c r="X7146" t="s">
        <v>47432</v>
      </c>
    </row>
    <row r="7147" spans="1:24">
      <c r="A7147">
        <f>HYPERLINK("https://www.philgeps.gov.ph/GEPSNONPILOT/Tender/SplashBidNoticeAbstractUI.aspx?menuIndex=3&amp;refID=7157107&amp;Result=3","7157107")</f>
        <v>0</v>
      </c>
      <c r="B7147" t="s">
        <v>780</v>
      </c>
      <c r="C7147" t="s">
        <v>10620</v>
      </c>
      <c r="D7147" t="s">
        <v>19048</v>
      </c>
      <c r="E7147" t="s">
        <v>25325</v>
      </c>
      <c r="F7147" t="s">
        <v>32831</v>
      </c>
      <c r="G7147" t="s">
        <v>32838</v>
      </c>
      <c r="H7147" t="s">
        <v>32848</v>
      </c>
      <c r="I7147" t="s">
        <v>7416</v>
      </c>
      <c r="J7147" t="s">
        <v>37474</v>
      </c>
      <c r="K7147" t="s">
        <v>42727</v>
      </c>
      <c r="L7147" t="s">
        <v>780</v>
      </c>
      <c r="M7147" t="s">
        <v>43809</v>
      </c>
      <c r="N7147" t="s">
        <v>47424</v>
      </c>
      <c r="O7147" t="s">
        <v>47425</v>
      </c>
      <c r="P7147">
        <v>0</v>
      </c>
      <c r="Q7147">
        <v>0</v>
      </c>
      <c r="R7147" t="s">
        <v>47431</v>
      </c>
      <c r="S7147" t="s">
        <v>47565</v>
      </c>
      <c r="T7147" t="s">
        <v>49214</v>
      </c>
      <c r="U7147" t="s">
        <v>55673</v>
      </c>
      <c r="V7147" t="s">
        <v>63420</v>
      </c>
      <c r="W7147" t="s">
        <v>43809</v>
      </c>
      <c r="X7147" t="s">
        <v>47432</v>
      </c>
    </row>
    <row r="7148" spans="1:24">
      <c r="A7148">
        <f>HYPERLINK("https://www.philgeps.gov.ph/GEPSNONPILOT/Tender/SplashBidNoticeAbstractUI.aspx?menuIndex=3&amp;refID=7157092&amp;Result=3","7157092")</f>
        <v>0</v>
      </c>
      <c r="B7148" t="s">
        <v>2496</v>
      </c>
      <c r="C7148" t="s">
        <v>10621</v>
      </c>
      <c r="D7148" t="s">
        <v>19094</v>
      </c>
      <c r="E7148" t="s">
        <v>25326</v>
      </c>
      <c r="F7148" t="s">
        <v>32831</v>
      </c>
      <c r="G7148" t="s">
        <v>32839</v>
      </c>
      <c r="H7148" t="s">
        <v>32849</v>
      </c>
      <c r="I7148" t="s">
        <v>4177</v>
      </c>
      <c r="J7148" t="s">
        <v>32980</v>
      </c>
      <c r="K7148" t="s">
        <v>42730</v>
      </c>
      <c r="M7148" t="s">
        <v>45702</v>
      </c>
      <c r="N7148" t="s">
        <v>47424</v>
      </c>
      <c r="O7148" t="s">
        <v>47425</v>
      </c>
      <c r="P7148">
        <v>0</v>
      </c>
      <c r="Q7148">
        <v>1</v>
      </c>
      <c r="R7148" t="s">
        <v>47431</v>
      </c>
      <c r="S7148" t="s">
        <v>47565</v>
      </c>
      <c r="T7148" t="s">
        <v>49115</v>
      </c>
      <c r="U7148" t="s">
        <v>55674</v>
      </c>
      <c r="W7148" t="s">
        <v>45702</v>
      </c>
      <c r="X7148" t="s">
        <v>47432</v>
      </c>
    </row>
    <row r="7149" spans="1:24">
      <c r="A7149">
        <f>HYPERLINK("https://www.philgeps.gov.ph/GEPSNONPILOT/Tender/SplashBidNoticeAbstractUI.aspx?menuIndex=3&amp;refID=7157086&amp;Result=3","7157086")</f>
        <v>0</v>
      </c>
      <c r="B7149" t="s">
        <v>2363</v>
      </c>
      <c r="C7149" t="s">
        <v>10622</v>
      </c>
      <c r="D7149" t="s">
        <v>19047</v>
      </c>
      <c r="E7149" t="s">
        <v>25327</v>
      </c>
      <c r="F7149" t="s">
        <v>32831</v>
      </c>
      <c r="G7149" t="s">
        <v>32842</v>
      </c>
      <c r="H7149" t="s">
        <v>32848</v>
      </c>
      <c r="I7149" t="s">
        <v>10805</v>
      </c>
      <c r="J7149" t="s">
        <v>37475</v>
      </c>
      <c r="K7149" t="s">
        <v>42732</v>
      </c>
      <c r="M7149" t="s">
        <v>45703</v>
      </c>
      <c r="N7149" t="s">
        <v>47424</v>
      </c>
      <c r="O7149" t="s">
        <v>47425</v>
      </c>
      <c r="P7149">
        <v>0</v>
      </c>
      <c r="Q7149">
        <v>6</v>
      </c>
      <c r="R7149" t="s">
        <v>47431</v>
      </c>
      <c r="S7149" t="s">
        <v>47565</v>
      </c>
      <c r="T7149" t="s">
        <v>49237</v>
      </c>
      <c r="U7149" t="s">
        <v>55675</v>
      </c>
      <c r="W7149" t="s">
        <v>45703</v>
      </c>
      <c r="X7149" t="s">
        <v>47432</v>
      </c>
    </row>
    <row r="7150" spans="1:24">
      <c r="A7150">
        <f>HYPERLINK("https://www.philgeps.gov.ph/GEPSNONPILOT/Tender/SplashBidNoticeAbstractUI.aspx?menuIndex=3&amp;refID=7157095&amp;Result=3","7157095")</f>
        <v>0</v>
      </c>
      <c r="B7150" t="s">
        <v>1182</v>
      </c>
      <c r="C7150" t="s">
        <v>10623</v>
      </c>
      <c r="D7150" t="s">
        <v>19047</v>
      </c>
      <c r="E7150" t="s">
        <v>25328</v>
      </c>
      <c r="F7150" t="s">
        <v>32831</v>
      </c>
      <c r="G7150" t="s">
        <v>32840</v>
      </c>
      <c r="H7150" t="s">
        <v>32848</v>
      </c>
      <c r="I7150" t="s">
        <v>4303</v>
      </c>
      <c r="J7150" t="s">
        <v>37476</v>
      </c>
      <c r="K7150" t="s">
        <v>42729</v>
      </c>
      <c r="M7150" t="s">
        <v>44248</v>
      </c>
      <c r="N7150" t="s">
        <v>47424</v>
      </c>
      <c r="O7150" t="s">
        <v>47425</v>
      </c>
      <c r="P7150">
        <v>0</v>
      </c>
      <c r="Q7150">
        <v>0</v>
      </c>
      <c r="R7150" t="s">
        <v>47431</v>
      </c>
      <c r="S7150" t="s">
        <v>47565</v>
      </c>
      <c r="T7150" t="s">
        <v>49163</v>
      </c>
      <c r="U7150" t="s">
        <v>55676</v>
      </c>
      <c r="W7150" t="s">
        <v>64461</v>
      </c>
      <c r="X7150" t="s">
        <v>47432</v>
      </c>
    </row>
    <row r="7151" spans="1:24">
      <c r="A7151">
        <f>HYPERLINK("https://www.philgeps.gov.ph/GEPSNONPILOT/Tender/SplashBidNoticeAbstractUI.aspx?menuIndex=3&amp;refID=7157084&amp;Result=3","7157084")</f>
        <v>0</v>
      </c>
      <c r="B7151" t="s">
        <v>2482</v>
      </c>
      <c r="C7151" t="s">
        <v>10624</v>
      </c>
      <c r="D7151" t="s">
        <v>19048</v>
      </c>
      <c r="E7151" t="s">
        <v>25329</v>
      </c>
      <c r="F7151" t="s">
        <v>32833</v>
      </c>
      <c r="G7151" t="s">
        <v>32839</v>
      </c>
      <c r="H7151" t="s">
        <v>32849</v>
      </c>
      <c r="I7151" t="s">
        <v>4177</v>
      </c>
      <c r="J7151" t="s">
        <v>37477</v>
      </c>
      <c r="K7151" t="s">
        <v>42773</v>
      </c>
      <c r="M7151" t="s">
        <v>45684</v>
      </c>
      <c r="N7151" t="s">
        <v>47424</v>
      </c>
      <c r="O7151" t="s">
        <v>47425</v>
      </c>
      <c r="P7151">
        <v>0</v>
      </c>
      <c r="Q7151">
        <v>0</v>
      </c>
      <c r="R7151" t="s">
        <v>47431</v>
      </c>
      <c r="S7151" t="s">
        <v>47565</v>
      </c>
      <c r="T7151" t="s">
        <v>49077</v>
      </c>
      <c r="U7151" t="s">
        <v>55677</v>
      </c>
      <c r="W7151" t="s">
        <v>45684</v>
      </c>
      <c r="X7151" t="s">
        <v>47432</v>
      </c>
    </row>
    <row r="7152" spans="1:24">
      <c r="A7152">
        <f>HYPERLINK("https://www.philgeps.gov.ph/GEPSNONPILOT/Tender/SplashBidNoticeAbstractUI.aspx?menuIndex=3&amp;refID=7157053&amp;Result=3","7157053")</f>
        <v>0</v>
      </c>
      <c r="B7152" t="s">
        <v>2363</v>
      </c>
      <c r="C7152" t="s">
        <v>10625</v>
      </c>
      <c r="D7152" t="s">
        <v>19047</v>
      </c>
      <c r="E7152" t="s">
        <v>25330</v>
      </c>
      <c r="F7152" t="s">
        <v>32831</v>
      </c>
      <c r="G7152" t="s">
        <v>32842</v>
      </c>
      <c r="H7152" t="s">
        <v>32848</v>
      </c>
      <c r="I7152" t="s">
        <v>32874</v>
      </c>
      <c r="J7152" t="s">
        <v>35864</v>
      </c>
      <c r="K7152" t="s">
        <v>42732</v>
      </c>
      <c r="M7152" t="s">
        <v>45703</v>
      </c>
      <c r="N7152" t="s">
        <v>47424</v>
      </c>
      <c r="O7152" t="s">
        <v>47425</v>
      </c>
      <c r="P7152">
        <v>0</v>
      </c>
      <c r="Q7152">
        <v>20</v>
      </c>
      <c r="R7152" t="s">
        <v>47431</v>
      </c>
      <c r="S7152" t="s">
        <v>47565</v>
      </c>
      <c r="T7152" t="s">
        <v>49237</v>
      </c>
      <c r="U7152" t="s">
        <v>55675</v>
      </c>
      <c r="W7152" t="s">
        <v>45703</v>
      </c>
      <c r="X7152" t="s">
        <v>47432</v>
      </c>
    </row>
    <row r="7153" spans="1:24">
      <c r="A7153">
        <f>HYPERLINK("https://www.philgeps.gov.ph/GEPSNONPILOT/Tender/SplashBidNoticeAbstractUI.aspx?menuIndex=3&amp;refID=7157088&amp;Result=3","7157088")</f>
        <v>0</v>
      </c>
      <c r="B7153" t="s">
        <v>2359</v>
      </c>
      <c r="C7153" t="s">
        <v>10626</v>
      </c>
      <c r="D7153" t="s">
        <v>19049</v>
      </c>
      <c r="E7153" t="s">
        <v>25331</v>
      </c>
      <c r="F7153" t="s">
        <v>32831</v>
      </c>
      <c r="G7153" t="s">
        <v>32840</v>
      </c>
      <c r="H7153" t="s">
        <v>32850</v>
      </c>
      <c r="I7153" t="s">
        <v>32858</v>
      </c>
      <c r="J7153" t="s">
        <v>33226</v>
      </c>
      <c r="K7153" t="s">
        <v>42758</v>
      </c>
      <c r="M7153" t="s">
        <v>45548</v>
      </c>
      <c r="N7153" t="s">
        <v>47424</v>
      </c>
      <c r="O7153" t="s">
        <v>47425</v>
      </c>
      <c r="P7153">
        <v>0</v>
      </c>
      <c r="Q7153">
        <v>0</v>
      </c>
      <c r="R7153" t="s">
        <v>47431</v>
      </c>
      <c r="S7153" t="s">
        <v>47565</v>
      </c>
      <c r="T7153" t="s">
        <v>49145</v>
      </c>
      <c r="U7153" t="s">
        <v>55678</v>
      </c>
      <c r="W7153" t="s">
        <v>45548</v>
      </c>
      <c r="X7153" t="s">
        <v>47432</v>
      </c>
    </row>
    <row r="7154" spans="1:24">
      <c r="A7154">
        <f>HYPERLINK("https://www.philgeps.gov.ph/GEPSNONPILOT/Tender/SplashBidNoticeAbstractUI.aspx?menuIndex=3&amp;refID=7157052&amp;Result=3","7157052")</f>
        <v>0</v>
      </c>
      <c r="B7154" t="s">
        <v>2366</v>
      </c>
      <c r="C7154" t="s">
        <v>10627</v>
      </c>
      <c r="D7154" t="s">
        <v>19060</v>
      </c>
      <c r="E7154" t="s">
        <v>25332</v>
      </c>
      <c r="F7154" t="s">
        <v>32831</v>
      </c>
      <c r="G7154" t="s">
        <v>32839</v>
      </c>
      <c r="H7154" t="s">
        <v>32849</v>
      </c>
      <c r="I7154" t="s">
        <v>4177</v>
      </c>
      <c r="J7154" t="s">
        <v>37478</v>
      </c>
      <c r="K7154" t="s">
        <v>42770</v>
      </c>
      <c r="M7154" t="s">
        <v>45556</v>
      </c>
      <c r="N7154" t="s">
        <v>47424</v>
      </c>
      <c r="O7154" t="s">
        <v>47425</v>
      </c>
      <c r="P7154">
        <v>0</v>
      </c>
      <c r="Q7154">
        <v>0</v>
      </c>
      <c r="R7154" t="s">
        <v>47431</v>
      </c>
      <c r="S7154" t="s">
        <v>47565</v>
      </c>
      <c r="T7154" t="s">
        <v>49160</v>
      </c>
      <c r="U7154" t="s">
        <v>55679</v>
      </c>
      <c r="W7154" t="s">
        <v>45556</v>
      </c>
      <c r="X7154" t="s">
        <v>47432</v>
      </c>
    </row>
    <row r="7155" spans="1:24">
      <c r="A7155">
        <f>HYPERLINK("https://www.philgeps.gov.ph/GEPSNONPILOT/Tender/SplashBidNoticeAbstractUI.aspx?menuIndex=3&amp;refID=7157078&amp;Result=3","7157078")</f>
        <v>0</v>
      </c>
      <c r="B7155" t="s">
        <v>2029</v>
      </c>
      <c r="C7155" t="s">
        <v>10628</v>
      </c>
      <c r="D7155" t="s">
        <v>19067</v>
      </c>
      <c r="E7155" t="s">
        <v>25333</v>
      </c>
      <c r="F7155" t="s">
        <v>32831</v>
      </c>
      <c r="G7155" t="s">
        <v>32840</v>
      </c>
      <c r="H7155" t="s">
        <v>32848</v>
      </c>
      <c r="I7155" t="s">
        <v>6526</v>
      </c>
      <c r="J7155" t="s">
        <v>37479</v>
      </c>
      <c r="K7155" t="s">
        <v>42732</v>
      </c>
      <c r="M7155" t="s">
        <v>45197</v>
      </c>
      <c r="N7155" t="s">
        <v>47424</v>
      </c>
      <c r="O7155" t="s">
        <v>47425</v>
      </c>
      <c r="P7155">
        <v>0</v>
      </c>
      <c r="Q7155">
        <v>0</v>
      </c>
      <c r="R7155" t="s">
        <v>47431</v>
      </c>
      <c r="S7155" t="s">
        <v>47565</v>
      </c>
      <c r="T7155" t="s">
        <v>49111</v>
      </c>
      <c r="U7155" t="s">
        <v>55680</v>
      </c>
      <c r="W7155" t="s">
        <v>45197</v>
      </c>
      <c r="X7155" t="s">
        <v>47432</v>
      </c>
    </row>
    <row r="7156" spans="1:24">
      <c r="A7156">
        <f>HYPERLINK("https://www.philgeps.gov.ph/GEPSNONPILOT/Tender/SplashBidNoticeAbstractUI.aspx?menuIndex=3&amp;refID=7157103&amp;Result=3","7157103")</f>
        <v>0</v>
      </c>
      <c r="B7156" t="s">
        <v>2363</v>
      </c>
      <c r="C7156" t="s">
        <v>10629</v>
      </c>
      <c r="D7156" t="s">
        <v>19047</v>
      </c>
      <c r="E7156" t="s">
        <v>25334</v>
      </c>
      <c r="F7156" t="s">
        <v>32831</v>
      </c>
      <c r="G7156" t="s">
        <v>32838</v>
      </c>
      <c r="H7156" t="s">
        <v>32848</v>
      </c>
      <c r="I7156" t="s">
        <v>32874</v>
      </c>
      <c r="J7156" t="s">
        <v>37480</v>
      </c>
      <c r="K7156" t="s">
        <v>42732</v>
      </c>
      <c r="M7156" t="s">
        <v>45703</v>
      </c>
      <c r="N7156" t="s">
        <v>47424</v>
      </c>
      <c r="O7156" t="s">
        <v>47425</v>
      </c>
      <c r="P7156">
        <v>0</v>
      </c>
      <c r="Q7156">
        <v>20</v>
      </c>
      <c r="R7156" t="s">
        <v>47431</v>
      </c>
      <c r="S7156" t="s">
        <v>47565</v>
      </c>
      <c r="T7156" t="s">
        <v>49237</v>
      </c>
      <c r="U7156" t="s">
        <v>55675</v>
      </c>
      <c r="W7156" t="s">
        <v>45703</v>
      </c>
      <c r="X7156" t="s">
        <v>47432</v>
      </c>
    </row>
    <row r="7157" spans="1:24">
      <c r="A7157">
        <f>HYPERLINK("https://www.philgeps.gov.ph/GEPSNONPILOT/Tender/SplashBidNoticeAbstractUI.aspx?menuIndex=3&amp;refID=7157090&amp;Result=3","7157090")</f>
        <v>0</v>
      </c>
      <c r="B7157" t="s">
        <v>2497</v>
      </c>
      <c r="C7157" t="s">
        <v>10630</v>
      </c>
      <c r="D7157" t="s">
        <v>19017</v>
      </c>
      <c r="E7157" t="s">
        <v>20432</v>
      </c>
      <c r="F7157" t="s">
        <v>32831</v>
      </c>
      <c r="G7157" t="s">
        <v>32840</v>
      </c>
      <c r="H7157" t="s">
        <v>32848</v>
      </c>
      <c r="I7157" t="s">
        <v>32858</v>
      </c>
      <c r="J7157" t="s">
        <v>34132</v>
      </c>
      <c r="K7157" t="s">
        <v>42727</v>
      </c>
      <c r="M7157" t="s">
        <v>45704</v>
      </c>
      <c r="N7157" t="s">
        <v>47424</v>
      </c>
      <c r="O7157" t="s">
        <v>47425</v>
      </c>
      <c r="P7157">
        <v>0</v>
      </c>
      <c r="Q7157">
        <v>2</v>
      </c>
      <c r="R7157" t="s">
        <v>47431</v>
      </c>
      <c r="S7157" t="s">
        <v>47565</v>
      </c>
      <c r="T7157" t="s">
        <v>49111</v>
      </c>
      <c r="U7157" t="s">
        <v>55681</v>
      </c>
      <c r="W7157" t="s">
        <v>45704</v>
      </c>
      <c r="X7157" t="s">
        <v>47432</v>
      </c>
    </row>
    <row r="7158" spans="1:24">
      <c r="A7158">
        <f>HYPERLINK("https://www.philgeps.gov.ph/GEPSNONPILOT/Tender/SplashBidNoticeAbstractUI.aspx?menuIndex=3&amp;refID=7157049&amp;Result=3","7157049")</f>
        <v>0</v>
      </c>
      <c r="B7158" t="s">
        <v>213</v>
      </c>
      <c r="C7158" t="s">
        <v>10631</v>
      </c>
      <c r="D7158" t="s">
        <v>19033</v>
      </c>
      <c r="E7158" t="s">
        <v>25335</v>
      </c>
      <c r="F7158" t="s">
        <v>32831</v>
      </c>
      <c r="G7158" t="s">
        <v>32838</v>
      </c>
      <c r="H7158" t="s">
        <v>32848</v>
      </c>
      <c r="I7158" t="s">
        <v>5379</v>
      </c>
      <c r="J7158" t="s">
        <v>33041</v>
      </c>
      <c r="K7158" t="s">
        <v>42732</v>
      </c>
      <c r="M7158" t="s">
        <v>43832</v>
      </c>
      <c r="N7158" t="s">
        <v>47424</v>
      </c>
      <c r="O7158" t="s">
        <v>47425</v>
      </c>
      <c r="P7158">
        <v>0</v>
      </c>
      <c r="Q7158">
        <v>2</v>
      </c>
      <c r="R7158" t="s">
        <v>47431</v>
      </c>
      <c r="S7158" t="s">
        <v>47565</v>
      </c>
      <c r="T7158" t="s">
        <v>49163</v>
      </c>
      <c r="U7158" t="s">
        <v>55682</v>
      </c>
      <c r="V7158" t="s">
        <v>62662</v>
      </c>
      <c r="W7158" t="s">
        <v>43832</v>
      </c>
      <c r="X7158" t="s">
        <v>47432</v>
      </c>
    </row>
    <row r="7159" spans="1:24">
      <c r="A7159">
        <f>HYPERLINK("https://www.philgeps.gov.ph/GEPSNONPILOT/Tender/SplashBidNoticeAbstractUI.aspx?menuIndex=3&amp;refID=7157089&amp;Result=3","7157089")</f>
        <v>0</v>
      </c>
      <c r="B7159" t="s">
        <v>2498</v>
      </c>
      <c r="C7159" t="s">
        <v>10632</v>
      </c>
      <c r="D7159" t="s">
        <v>19068</v>
      </c>
      <c r="E7159" t="s">
        <v>19144</v>
      </c>
      <c r="F7159" t="s">
        <v>32831</v>
      </c>
      <c r="G7159" t="s">
        <v>32838</v>
      </c>
      <c r="H7159" t="s">
        <v>32848</v>
      </c>
      <c r="I7159" t="s">
        <v>7416</v>
      </c>
      <c r="J7159" t="s">
        <v>37481</v>
      </c>
      <c r="K7159" t="s">
        <v>42727</v>
      </c>
      <c r="M7159" t="s">
        <v>45705</v>
      </c>
      <c r="N7159" t="s">
        <v>47424</v>
      </c>
      <c r="O7159" t="s">
        <v>47425</v>
      </c>
      <c r="P7159">
        <v>0</v>
      </c>
      <c r="Q7159">
        <v>1</v>
      </c>
      <c r="R7159" t="s">
        <v>47431</v>
      </c>
      <c r="S7159" t="s">
        <v>47565</v>
      </c>
      <c r="T7159" t="s">
        <v>49056</v>
      </c>
      <c r="U7159" t="s">
        <v>55683</v>
      </c>
      <c r="W7159" t="s">
        <v>45705</v>
      </c>
      <c r="X7159" t="s">
        <v>47432</v>
      </c>
    </row>
    <row r="7160" spans="1:24">
      <c r="A7160">
        <f>HYPERLINK("https://www.philgeps.gov.ph/GEPSNONPILOT/Tender/SplashBidNoticeAbstractUI.aspx?menuIndex=3&amp;refID=7157015&amp;Result=3","7157015")</f>
        <v>0</v>
      </c>
      <c r="B7160" t="s">
        <v>2426</v>
      </c>
      <c r="C7160" t="s">
        <v>10633</v>
      </c>
      <c r="D7160" t="s">
        <v>19019</v>
      </c>
      <c r="E7160" t="s">
        <v>25336</v>
      </c>
      <c r="F7160" t="s">
        <v>32831</v>
      </c>
      <c r="G7160" t="s">
        <v>32839</v>
      </c>
      <c r="H7160" t="s">
        <v>32850</v>
      </c>
      <c r="I7160" t="s">
        <v>6595</v>
      </c>
      <c r="J7160" t="s">
        <v>37482</v>
      </c>
      <c r="K7160" t="s">
        <v>42780</v>
      </c>
      <c r="M7160" t="s">
        <v>45623</v>
      </c>
      <c r="N7160" t="s">
        <v>47424</v>
      </c>
      <c r="O7160" t="s">
        <v>47425</v>
      </c>
      <c r="P7160">
        <v>0</v>
      </c>
      <c r="Q7160">
        <v>2</v>
      </c>
      <c r="R7160" t="s">
        <v>47431</v>
      </c>
      <c r="S7160" t="s">
        <v>47565</v>
      </c>
      <c r="T7160" t="s">
        <v>49463</v>
      </c>
      <c r="U7160" t="s">
        <v>55423</v>
      </c>
      <c r="V7160" t="s">
        <v>63396</v>
      </c>
      <c r="W7160" t="s">
        <v>45623</v>
      </c>
      <c r="X7160" t="s">
        <v>47432</v>
      </c>
    </row>
    <row r="7161" spans="1:24">
      <c r="A7161">
        <f>HYPERLINK("https://www.philgeps.gov.ph/GEPSNONPILOT/Tender/SplashBidNoticeAbstractUI.aspx?menuIndex=3&amp;refID=7157047&amp;Result=3","7157047")</f>
        <v>0</v>
      </c>
      <c r="B7161" t="s">
        <v>895</v>
      </c>
      <c r="C7161" t="s">
        <v>10634</v>
      </c>
      <c r="D7161" t="s">
        <v>19036</v>
      </c>
      <c r="E7161" t="s">
        <v>25337</v>
      </c>
      <c r="F7161" t="s">
        <v>32831</v>
      </c>
      <c r="G7161" t="s">
        <v>32841</v>
      </c>
      <c r="H7161" t="s">
        <v>32848</v>
      </c>
      <c r="I7161" t="s">
        <v>4487</v>
      </c>
      <c r="J7161" t="s">
        <v>32979</v>
      </c>
      <c r="K7161" t="s">
        <v>42727</v>
      </c>
      <c r="M7161" t="s">
        <v>44825</v>
      </c>
      <c r="N7161" t="s">
        <v>47424</v>
      </c>
      <c r="O7161" t="s">
        <v>47425</v>
      </c>
      <c r="P7161">
        <v>0</v>
      </c>
      <c r="Q7161">
        <v>0</v>
      </c>
      <c r="R7161" t="s">
        <v>47431</v>
      </c>
      <c r="S7161" t="s">
        <v>47565</v>
      </c>
      <c r="T7161" t="s">
        <v>49415</v>
      </c>
      <c r="U7161" t="s">
        <v>55684</v>
      </c>
      <c r="V7161" t="s">
        <v>62833</v>
      </c>
      <c r="W7161" t="s">
        <v>44825</v>
      </c>
      <c r="X7161" t="s">
        <v>47432</v>
      </c>
    </row>
    <row r="7162" spans="1:24">
      <c r="A7162">
        <f>HYPERLINK("https://www.philgeps.gov.ph/GEPSNONPILOT/Tender/SplashBidNoticeAbstractUI.aspx?menuIndex=3&amp;refID=7157013&amp;Result=3","7157013")</f>
        <v>0</v>
      </c>
      <c r="B7162" t="s">
        <v>1753</v>
      </c>
      <c r="C7162" t="s">
        <v>10635</v>
      </c>
      <c r="D7162" t="s">
        <v>19104</v>
      </c>
      <c r="E7162" t="s">
        <v>25338</v>
      </c>
      <c r="F7162" t="s">
        <v>32831</v>
      </c>
      <c r="G7162" t="s">
        <v>32838</v>
      </c>
      <c r="H7162" t="s">
        <v>32848</v>
      </c>
      <c r="I7162" t="s">
        <v>4435</v>
      </c>
      <c r="J7162" t="s">
        <v>37483</v>
      </c>
      <c r="K7162" t="s">
        <v>42727</v>
      </c>
      <c r="M7162" t="s">
        <v>44877</v>
      </c>
      <c r="N7162" t="s">
        <v>47424</v>
      </c>
      <c r="O7162" t="s">
        <v>47425</v>
      </c>
      <c r="P7162">
        <v>0</v>
      </c>
      <c r="Q7162">
        <v>0</v>
      </c>
      <c r="R7162" t="s">
        <v>47431</v>
      </c>
      <c r="S7162" t="s">
        <v>47565</v>
      </c>
      <c r="T7162" t="s">
        <v>49111</v>
      </c>
      <c r="U7162" t="s">
        <v>55685</v>
      </c>
      <c r="W7162" t="s">
        <v>44877</v>
      </c>
      <c r="X7162" t="s">
        <v>47432</v>
      </c>
    </row>
    <row r="7163" spans="1:24">
      <c r="A7163">
        <f>HYPERLINK("https://www.philgeps.gov.ph/GEPSNONPILOT/Tender/SplashBidNoticeAbstractUI.aspx?menuIndex=3&amp;refID=7157044&amp;Result=3","7157044")</f>
        <v>0</v>
      </c>
      <c r="B7163" t="s">
        <v>1765</v>
      </c>
      <c r="C7163" t="s">
        <v>10636</v>
      </c>
      <c r="E7163" t="s">
        <v>25339</v>
      </c>
      <c r="F7163" t="s">
        <v>32831</v>
      </c>
      <c r="G7163" t="s">
        <v>32840</v>
      </c>
      <c r="H7163" t="s">
        <v>32848</v>
      </c>
      <c r="I7163" t="s">
        <v>7416</v>
      </c>
      <c r="J7163" t="s">
        <v>37484</v>
      </c>
      <c r="K7163" t="s">
        <v>42732</v>
      </c>
      <c r="M7163" t="s">
        <v>44890</v>
      </c>
      <c r="N7163" t="s">
        <v>47424</v>
      </c>
      <c r="O7163" t="s">
        <v>47425</v>
      </c>
      <c r="P7163">
        <v>0</v>
      </c>
      <c r="Q7163">
        <v>3</v>
      </c>
      <c r="R7163" t="s">
        <v>47431</v>
      </c>
      <c r="S7163" t="s">
        <v>47565</v>
      </c>
      <c r="T7163" t="s">
        <v>49177</v>
      </c>
      <c r="U7163" t="s">
        <v>55686</v>
      </c>
      <c r="V7163" t="s">
        <v>63421</v>
      </c>
      <c r="W7163" t="s">
        <v>44890</v>
      </c>
      <c r="X7163" t="s">
        <v>47432</v>
      </c>
    </row>
    <row r="7164" spans="1:24">
      <c r="A7164">
        <f>HYPERLINK("https://www.philgeps.gov.ph/GEPSNONPILOT/Tender/SplashBidNoticeAbstractUI.aspx?menuIndex=3&amp;refID=7156973&amp;Result=3","7156973")</f>
        <v>0</v>
      </c>
      <c r="B7164" t="s">
        <v>1753</v>
      </c>
      <c r="C7164" t="s">
        <v>10637</v>
      </c>
      <c r="D7164" t="s">
        <v>19104</v>
      </c>
      <c r="E7164" t="s">
        <v>25340</v>
      </c>
      <c r="F7164" t="s">
        <v>32831</v>
      </c>
      <c r="G7164" t="s">
        <v>32838</v>
      </c>
      <c r="H7164" t="s">
        <v>32848</v>
      </c>
      <c r="I7164" t="s">
        <v>32861</v>
      </c>
      <c r="J7164" t="s">
        <v>33402</v>
      </c>
      <c r="K7164" t="s">
        <v>42727</v>
      </c>
      <c r="M7164" t="s">
        <v>44877</v>
      </c>
      <c r="N7164" t="s">
        <v>47424</v>
      </c>
      <c r="O7164" t="s">
        <v>47425</v>
      </c>
      <c r="P7164">
        <v>0</v>
      </c>
      <c r="Q7164">
        <v>3</v>
      </c>
      <c r="R7164" t="s">
        <v>47431</v>
      </c>
      <c r="S7164" t="s">
        <v>47565</v>
      </c>
      <c r="T7164" t="s">
        <v>49111</v>
      </c>
      <c r="U7164" t="s">
        <v>55687</v>
      </c>
      <c r="W7164" t="s">
        <v>44877</v>
      </c>
      <c r="X7164" t="s">
        <v>47432</v>
      </c>
    </row>
    <row r="7165" spans="1:24">
      <c r="A7165">
        <f>HYPERLINK("https://www.philgeps.gov.ph/GEPSNONPILOT/Tender/SplashBidNoticeAbstractUI.aspx?menuIndex=3&amp;refID=7156972&amp;Result=3","7156972")</f>
        <v>0</v>
      </c>
      <c r="B7165" t="s">
        <v>330</v>
      </c>
      <c r="C7165" t="s">
        <v>10638</v>
      </c>
      <c r="E7165" t="s">
        <v>25341</v>
      </c>
      <c r="F7165" t="s">
        <v>32831</v>
      </c>
      <c r="G7165" t="s">
        <v>32838</v>
      </c>
      <c r="H7165" t="s">
        <v>32849</v>
      </c>
      <c r="I7165" t="s">
        <v>4177</v>
      </c>
      <c r="J7165" t="s">
        <v>33428</v>
      </c>
      <c r="K7165" t="s">
        <v>42732</v>
      </c>
      <c r="M7165" t="s">
        <v>43333</v>
      </c>
      <c r="N7165" t="s">
        <v>47424</v>
      </c>
      <c r="O7165" t="s">
        <v>47425</v>
      </c>
      <c r="P7165">
        <v>0</v>
      </c>
      <c r="Q7165">
        <v>0</v>
      </c>
      <c r="R7165" t="s">
        <v>47431</v>
      </c>
      <c r="S7165" t="s">
        <v>47565</v>
      </c>
      <c r="T7165" t="s">
        <v>49163</v>
      </c>
      <c r="U7165" t="s">
        <v>55688</v>
      </c>
      <c r="W7165" t="s">
        <v>43333</v>
      </c>
      <c r="X7165" t="s">
        <v>47432</v>
      </c>
    </row>
    <row r="7166" spans="1:24">
      <c r="A7166">
        <f>HYPERLINK("https://www.philgeps.gov.ph/GEPSNONPILOT/Tender/SplashBidNoticeAbstractUI.aspx?menuIndex=3&amp;refID=7157048&amp;Result=3","7157048")</f>
        <v>0</v>
      </c>
      <c r="B7166" t="s">
        <v>1858</v>
      </c>
      <c r="C7166" t="s">
        <v>10639</v>
      </c>
      <c r="D7166" t="s">
        <v>19056</v>
      </c>
      <c r="E7166" t="s">
        <v>25342</v>
      </c>
      <c r="F7166" t="s">
        <v>32831</v>
      </c>
      <c r="G7166" t="s">
        <v>32840</v>
      </c>
      <c r="H7166" t="s">
        <v>32848</v>
      </c>
      <c r="I7166" t="s">
        <v>32906</v>
      </c>
      <c r="J7166" t="s">
        <v>37485</v>
      </c>
      <c r="K7166" t="s">
        <v>42748</v>
      </c>
      <c r="M7166" t="s">
        <v>44997</v>
      </c>
      <c r="N7166" t="s">
        <v>47424</v>
      </c>
      <c r="O7166" t="s">
        <v>47425</v>
      </c>
      <c r="P7166">
        <v>0</v>
      </c>
      <c r="Q7166">
        <v>0</v>
      </c>
      <c r="R7166" t="s">
        <v>47431</v>
      </c>
      <c r="S7166" t="s">
        <v>47565</v>
      </c>
      <c r="T7166" t="s">
        <v>49214</v>
      </c>
      <c r="U7166" t="s">
        <v>55689</v>
      </c>
      <c r="W7166" t="s">
        <v>44997</v>
      </c>
      <c r="X7166" t="s">
        <v>47432</v>
      </c>
    </row>
    <row r="7167" spans="1:24">
      <c r="A7167">
        <f>HYPERLINK("https://www.philgeps.gov.ph/GEPSNONPILOT/Tender/SplashBidNoticeAbstractUI.aspx?menuIndex=3&amp;refID=7156974&amp;Result=3","7156974")</f>
        <v>0</v>
      </c>
      <c r="B7167" t="s">
        <v>1657</v>
      </c>
      <c r="C7167" t="s">
        <v>10640</v>
      </c>
      <c r="D7167" t="s">
        <v>19020</v>
      </c>
      <c r="E7167" t="s">
        <v>25343</v>
      </c>
      <c r="F7167" t="s">
        <v>32831</v>
      </c>
      <c r="G7167" t="s">
        <v>32838</v>
      </c>
      <c r="H7167" t="s">
        <v>32848</v>
      </c>
      <c r="I7167" t="s">
        <v>4776</v>
      </c>
      <c r="J7167" t="s">
        <v>33031</v>
      </c>
      <c r="K7167" t="s">
        <v>42730</v>
      </c>
      <c r="M7167" t="s">
        <v>44774</v>
      </c>
      <c r="N7167" t="s">
        <v>47424</v>
      </c>
      <c r="O7167" t="s">
        <v>47425</v>
      </c>
      <c r="P7167">
        <v>0</v>
      </c>
      <c r="Q7167">
        <v>0</v>
      </c>
      <c r="R7167" t="s">
        <v>47431</v>
      </c>
      <c r="S7167" t="s">
        <v>47565</v>
      </c>
      <c r="T7167" t="s">
        <v>49373</v>
      </c>
      <c r="U7167" t="s">
        <v>55690</v>
      </c>
      <c r="V7167" t="s">
        <v>63131</v>
      </c>
      <c r="W7167" t="s">
        <v>64487</v>
      </c>
      <c r="X7167" t="s">
        <v>47432</v>
      </c>
    </row>
    <row r="7168" spans="1:24">
      <c r="A7168">
        <f>HYPERLINK("https://www.philgeps.gov.ph/GEPSNONPILOT/Tender/SplashBidNoticeAbstractUI.aspx?menuIndex=3&amp;refID=7157120&amp;Result=3","7157120")</f>
        <v>0</v>
      </c>
      <c r="B7168" t="s">
        <v>1629</v>
      </c>
      <c r="C7168" t="s">
        <v>10641</v>
      </c>
      <c r="D7168" t="s">
        <v>19021</v>
      </c>
      <c r="E7168" t="s">
        <v>25344</v>
      </c>
      <c r="F7168" t="s">
        <v>32831</v>
      </c>
      <c r="G7168" t="s">
        <v>32840</v>
      </c>
      <c r="H7168" t="s">
        <v>32848</v>
      </c>
      <c r="I7168" t="s">
        <v>4340</v>
      </c>
      <c r="J7168" t="s">
        <v>37486</v>
      </c>
      <c r="K7168" t="s">
        <v>42732</v>
      </c>
      <c r="M7168" t="s">
        <v>44745</v>
      </c>
      <c r="N7168" t="s">
        <v>47424</v>
      </c>
      <c r="O7168" t="s">
        <v>47425</v>
      </c>
      <c r="P7168">
        <v>0</v>
      </c>
      <c r="Q7168">
        <v>0</v>
      </c>
      <c r="R7168" t="s">
        <v>47431</v>
      </c>
      <c r="S7168" t="s">
        <v>47565</v>
      </c>
      <c r="T7168" t="s">
        <v>49163</v>
      </c>
      <c r="U7168" t="s">
        <v>53949</v>
      </c>
      <c r="V7168" t="s">
        <v>63069</v>
      </c>
      <c r="W7168" t="s">
        <v>44745</v>
      </c>
      <c r="X7168" t="s">
        <v>47432</v>
      </c>
    </row>
    <row r="7169" spans="1:24">
      <c r="A7169">
        <f>HYPERLINK("https://www.philgeps.gov.ph/GEPSNONPILOT/Tender/SplashBidNoticeAbstractUI.aspx?menuIndex=3&amp;refID=7156767&amp;Result=3","7156767")</f>
        <v>0</v>
      </c>
      <c r="B7169" t="s">
        <v>864</v>
      </c>
      <c r="C7169" t="s">
        <v>10642</v>
      </c>
      <c r="D7169" t="s">
        <v>19021</v>
      </c>
      <c r="E7169" t="s">
        <v>25345</v>
      </c>
      <c r="F7169" t="s">
        <v>32831</v>
      </c>
      <c r="G7169" t="s">
        <v>32838</v>
      </c>
      <c r="H7169" t="s">
        <v>32848</v>
      </c>
      <c r="I7169" t="s">
        <v>32890</v>
      </c>
      <c r="J7169" t="s">
        <v>33041</v>
      </c>
      <c r="K7169" t="s">
        <v>42727</v>
      </c>
      <c r="M7169" t="s">
        <v>45099</v>
      </c>
      <c r="N7169" t="s">
        <v>47424</v>
      </c>
      <c r="O7169" t="s">
        <v>47425</v>
      </c>
      <c r="P7169">
        <v>0</v>
      </c>
      <c r="Q7169">
        <v>2</v>
      </c>
      <c r="R7169" t="s">
        <v>47431</v>
      </c>
      <c r="S7169" t="s">
        <v>47565</v>
      </c>
      <c r="T7169" t="s">
        <v>49079</v>
      </c>
      <c r="U7169" t="s">
        <v>55691</v>
      </c>
      <c r="W7169" t="s">
        <v>45099</v>
      </c>
      <c r="X7169" t="s">
        <v>47432</v>
      </c>
    </row>
    <row r="7170" spans="1:24">
      <c r="A7170">
        <f>HYPERLINK("https://www.philgeps.gov.ph/GEPSNONPILOT/Tender/SplashBidNoticeAbstractUI.aspx?menuIndex=3&amp;refID=7156766&amp;Result=3","7156766")</f>
        <v>0</v>
      </c>
      <c r="B7170" t="s">
        <v>2443</v>
      </c>
      <c r="C7170" t="s">
        <v>10643</v>
      </c>
      <c r="D7170" t="s">
        <v>19023</v>
      </c>
      <c r="E7170" t="s">
        <v>25346</v>
      </c>
      <c r="F7170" t="s">
        <v>32831</v>
      </c>
      <c r="G7170" t="s">
        <v>32842</v>
      </c>
      <c r="H7170" t="s">
        <v>32848</v>
      </c>
      <c r="I7170" t="s">
        <v>32864</v>
      </c>
      <c r="J7170" t="s">
        <v>37487</v>
      </c>
      <c r="K7170" t="s">
        <v>42758</v>
      </c>
      <c r="L7170" t="s">
        <v>2443</v>
      </c>
      <c r="M7170" t="s">
        <v>45640</v>
      </c>
      <c r="N7170" t="s">
        <v>47424</v>
      </c>
      <c r="O7170" t="s">
        <v>47425</v>
      </c>
      <c r="P7170">
        <v>0</v>
      </c>
      <c r="Q7170">
        <v>7</v>
      </c>
      <c r="R7170" t="s">
        <v>47431</v>
      </c>
      <c r="S7170" t="s">
        <v>47565</v>
      </c>
      <c r="T7170" t="s">
        <v>49111</v>
      </c>
      <c r="U7170" t="s">
        <v>55692</v>
      </c>
      <c r="W7170" t="s">
        <v>45640</v>
      </c>
      <c r="X7170" t="s">
        <v>47432</v>
      </c>
    </row>
    <row r="7171" spans="1:24">
      <c r="A7171">
        <f>HYPERLINK("https://www.philgeps.gov.ph/GEPSNONPILOT/Tender/SplashBidNoticeAbstractUI.aspx?menuIndex=3&amp;refID=7156765&amp;Result=3","7156765")</f>
        <v>0</v>
      </c>
      <c r="B7171" t="s">
        <v>2192</v>
      </c>
      <c r="C7171" t="s">
        <v>10644</v>
      </c>
      <c r="D7171" t="s">
        <v>19037</v>
      </c>
      <c r="E7171" t="s">
        <v>25347</v>
      </c>
      <c r="F7171" t="s">
        <v>32831</v>
      </c>
      <c r="G7171" t="s">
        <v>32838</v>
      </c>
      <c r="H7171" t="s">
        <v>32848</v>
      </c>
      <c r="I7171" t="s">
        <v>32870</v>
      </c>
      <c r="J7171" t="s">
        <v>37488</v>
      </c>
      <c r="K7171" t="s">
        <v>42732</v>
      </c>
      <c r="M7171" t="s">
        <v>45691</v>
      </c>
      <c r="N7171" t="s">
        <v>47424</v>
      </c>
      <c r="O7171" t="s">
        <v>47425</v>
      </c>
      <c r="P7171">
        <v>0</v>
      </c>
      <c r="Q7171">
        <v>0</v>
      </c>
      <c r="R7171" t="s">
        <v>47431</v>
      </c>
      <c r="S7171" t="s">
        <v>47565</v>
      </c>
      <c r="T7171" t="s">
        <v>49056</v>
      </c>
      <c r="U7171" t="s">
        <v>55635</v>
      </c>
      <c r="W7171" t="s">
        <v>45691</v>
      </c>
      <c r="X7171" t="s">
        <v>47432</v>
      </c>
    </row>
    <row r="7172" spans="1:24">
      <c r="A7172">
        <f>HYPERLINK("https://www.philgeps.gov.ph/GEPSNONPILOT/Tender/SplashBidNoticeAbstractUI.aspx?menuIndex=3&amp;refID=7156762&amp;Result=3","7156762")</f>
        <v>0</v>
      </c>
      <c r="B7172" t="s">
        <v>1068</v>
      </c>
      <c r="C7172" t="s">
        <v>10645</v>
      </c>
      <c r="D7172" t="s">
        <v>19021</v>
      </c>
      <c r="E7172" t="s">
        <v>25348</v>
      </c>
      <c r="F7172" t="s">
        <v>32831</v>
      </c>
      <c r="G7172" t="s">
        <v>32839</v>
      </c>
      <c r="H7172" t="s">
        <v>32849</v>
      </c>
      <c r="I7172" t="s">
        <v>4177</v>
      </c>
      <c r="J7172" t="s">
        <v>37489</v>
      </c>
      <c r="K7172" t="s">
        <v>42780</v>
      </c>
      <c r="M7172" t="s">
        <v>44125</v>
      </c>
      <c r="N7172" t="s">
        <v>47424</v>
      </c>
      <c r="O7172" t="s">
        <v>47425</v>
      </c>
      <c r="P7172">
        <v>0</v>
      </c>
      <c r="Q7172">
        <v>26</v>
      </c>
      <c r="R7172" t="s">
        <v>47431</v>
      </c>
      <c r="S7172" t="s">
        <v>47565</v>
      </c>
      <c r="T7172" t="s">
        <v>49108</v>
      </c>
      <c r="U7172" t="s">
        <v>55649</v>
      </c>
      <c r="V7172" t="s">
        <v>63390</v>
      </c>
      <c r="W7172" t="s">
        <v>44125</v>
      </c>
      <c r="X7172" t="s">
        <v>47432</v>
      </c>
    </row>
    <row r="7173" spans="1:24">
      <c r="A7173">
        <f>HYPERLINK("https://www.philgeps.gov.ph/GEPSNONPILOT/Tender/SplashBidNoticeAbstractUI.aspx?menuIndex=3&amp;refID=7156975&amp;Result=3","7156975")</f>
        <v>0</v>
      </c>
      <c r="B7173" t="s">
        <v>145</v>
      </c>
      <c r="C7173" t="s">
        <v>10646</v>
      </c>
      <c r="D7173" t="s">
        <v>19048</v>
      </c>
      <c r="E7173" t="s">
        <v>25349</v>
      </c>
      <c r="F7173" t="s">
        <v>32831</v>
      </c>
      <c r="G7173" t="s">
        <v>32839</v>
      </c>
      <c r="H7173" t="s">
        <v>32849</v>
      </c>
      <c r="I7173" t="s">
        <v>4177</v>
      </c>
      <c r="J7173" t="s">
        <v>37490</v>
      </c>
      <c r="K7173" t="s">
        <v>42851</v>
      </c>
      <c r="L7173" t="s">
        <v>145</v>
      </c>
      <c r="M7173" t="s">
        <v>43142</v>
      </c>
      <c r="N7173" t="s">
        <v>47424</v>
      </c>
      <c r="O7173" t="s">
        <v>47425</v>
      </c>
      <c r="P7173">
        <v>0</v>
      </c>
      <c r="Q7173">
        <v>0</v>
      </c>
      <c r="R7173" t="s">
        <v>47431</v>
      </c>
      <c r="S7173" t="s">
        <v>47565</v>
      </c>
      <c r="T7173" t="s">
        <v>49291</v>
      </c>
      <c r="U7173" t="s">
        <v>55693</v>
      </c>
      <c r="V7173" t="s">
        <v>62648</v>
      </c>
      <c r="W7173" t="s">
        <v>43142</v>
      </c>
      <c r="X7173" t="s">
        <v>47432</v>
      </c>
    </row>
    <row r="7174" spans="1:24">
      <c r="A7174">
        <f>HYPERLINK("https://www.philgeps.gov.ph/GEPSNONPILOT/Tender/SplashBidNoticeAbstractUI.aspx?menuIndex=3&amp;refID=7156832&amp;Result=3","7156832")</f>
        <v>0</v>
      </c>
      <c r="B7174" t="s">
        <v>864</v>
      </c>
      <c r="C7174" t="s">
        <v>10647</v>
      </c>
      <c r="D7174" t="s">
        <v>19021</v>
      </c>
      <c r="E7174" t="s">
        <v>25350</v>
      </c>
      <c r="F7174" t="s">
        <v>32831</v>
      </c>
      <c r="G7174" t="s">
        <v>32838</v>
      </c>
      <c r="H7174" t="s">
        <v>32848</v>
      </c>
      <c r="I7174" t="s">
        <v>32890</v>
      </c>
      <c r="J7174" t="s">
        <v>37491</v>
      </c>
      <c r="K7174" t="s">
        <v>42727</v>
      </c>
      <c r="M7174" t="s">
        <v>45099</v>
      </c>
      <c r="N7174" t="s">
        <v>47424</v>
      </c>
      <c r="O7174" t="s">
        <v>47425</v>
      </c>
      <c r="P7174">
        <v>0</v>
      </c>
      <c r="Q7174">
        <v>0</v>
      </c>
      <c r="R7174" t="s">
        <v>47431</v>
      </c>
      <c r="S7174" t="s">
        <v>47565</v>
      </c>
      <c r="T7174" t="s">
        <v>49079</v>
      </c>
      <c r="U7174" t="s">
        <v>55694</v>
      </c>
      <c r="W7174" t="s">
        <v>45099</v>
      </c>
      <c r="X7174" t="s">
        <v>47432</v>
      </c>
    </row>
    <row r="7175" spans="1:24">
      <c r="A7175">
        <f>HYPERLINK("https://www.philgeps.gov.ph/GEPSNONPILOT/Tender/SplashBidNoticeAbstractUI.aspx?menuIndex=3&amp;refID=7156761&amp;Result=3","7156761")</f>
        <v>0</v>
      </c>
      <c r="B7175" t="s">
        <v>2425</v>
      </c>
      <c r="C7175" t="s">
        <v>10648</v>
      </c>
      <c r="D7175" t="s">
        <v>19050</v>
      </c>
      <c r="E7175" t="s">
        <v>25351</v>
      </c>
      <c r="F7175" t="s">
        <v>32831</v>
      </c>
      <c r="G7175" t="s">
        <v>32838</v>
      </c>
      <c r="H7175" t="s">
        <v>32848</v>
      </c>
      <c r="I7175" t="s">
        <v>32874</v>
      </c>
      <c r="J7175" t="s">
        <v>35514</v>
      </c>
      <c r="K7175" t="s">
        <v>42730</v>
      </c>
      <c r="M7175" t="s">
        <v>45622</v>
      </c>
      <c r="N7175" t="s">
        <v>47424</v>
      </c>
      <c r="O7175" t="s">
        <v>47425</v>
      </c>
      <c r="P7175">
        <v>0</v>
      </c>
      <c r="Q7175">
        <v>6</v>
      </c>
      <c r="R7175" t="s">
        <v>47431</v>
      </c>
      <c r="S7175" t="s">
        <v>47565</v>
      </c>
      <c r="T7175" t="s">
        <v>49127</v>
      </c>
      <c r="U7175" t="s">
        <v>55695</v>
      </c>
      <c r="W7175" t="s">
        <v>45622</v>
      </c>
      <c r="X7175" t="s">
        <v>47432</v>
      </c>
    </row>
    <row r="7176" spans="1:24">
      <c r="A7176">
        <f>HYPERLINK("https://www.philgeps.gov.ph/GEPSNONPILOT/Tender/SplashBidNoticeAbstractUI.aspx?menuIndex=3&amp;refID=7157166&amp;Result=3","7157166")</f>
        <v>0</v>
      </c>
      <c r="B7176" t="s">
        <v>755</v>
      </c>
      <c r="C7176" t="s">
        <v>10649</v>
      </c>
      <c r="E7176" t="s">
        <v>25352</v>
      </c>
      <c r="F7176" t="s">
        <v>32831</v>
      </c>
      <c r="G7176" t="s">
        <v>32839</v>
      </c>
      <c r="H7176" t="s">
        <v>32848</v>
      </c>
      <c r="I7176" t="s">
        <v>4558</v>
      </c>
      <c r="J7176" t="s">
        <v>37492</v>
      </c>
      <c r="K7176" t="s">
        <v>42732</v>
      </c>
      <c r="M7176" t="s">
        <v>45605</v>
      </c>
      <c r="N7176" t="s">
        <v>47424</v>
      </c>
      <c r="O7176" t="s">
        <v>47425</v>
      </c>
      <c r="P7176">
        <v>0</v>
      </c>
      <c r="Q7176">
        <v>2</v>
      </c>
      <c r="R7176" t="s">
        <v>47431</v>
      </c>
      <c r="S7176" t="s">
        <v>47565</v>
      </c>
      <c r="T7176" t="s">
        <v>49150</v>
      </c>
      <c r="U7176" t="s">
        <v>55696</v>
      </c>
      <c r="W7176" t="s">
        <v>45605</v>
      </c>
      <c r="X7176" t="s">
        <v>47432</v>
      </c>
    </row>
    <row r="7177" spans="1:24">
      <c r="A7177">
        <f>HYPERLINK("https://www.philgeps.gov.ph/GEPSNONPILOT/Tender/SplashBidNoticeAbstractUI.aspx?menuIndex=3&amp;refID=7157012&amp;Result=3","7157012")</f>
        <v>0</v>
      </c>
      <c r="B7177" t="s">
        <v>1606</v>
      </c>
      <c r="C7177" t="s">
        <v>10650</v>
      </c>
      <c r="E7177" t="s">
        <v>25353</v>
      </c>
      <c r="F7177" t="s">
        <v>32831</v>
      </c>
      <c r="G7177" t="s">
        <v>32839</v>
      </c>
      <c r="H7177" t="s">
        <v>32848</v>
      </c>
      <c r="I7177" t="s">
        <v>32874</v>
      </c>
      <c r="J7177" t="s">
        <v>37493</v>
      </c>
      <c r="K7177" t="s">
        <v>42732</v>
      </c>
      <c r="M7177" t="s">
        <v>44722</v>
      </c>
      <c r="N7177" t="s">
        <v>47424</v>
      </c>
      <c r="O7177" t="s">
        <v>47425</v>
      </c>
      <c r="P7177">
        <v>0</v>
      </c>
      <c r="Q7177">
        <v>26</v>
      </c>
      <c r="R7177" t="s">
        <v>47431</v>
      </c>
      <c r="S7177" t="s">
        <v>47565</v>
      </c>
      <c r="T7177" t="s">
        <v>49160</v>
      </c>
      <c r="U7177" t="s">
        <v>55697</v>
      </c>
      <c r="W7177" t="s">
        <v>44722</v>
      </c>
      <c r="X7177" t="s">
        <v>47432</v>
      </c>
    </row>
    <row r="7178" spans="1:24">
      <c r="A7178">
        <f>HYPERLINK("https://www.philgeps.gov.ph/GEPSNONPILOT/Tender/SplashBidNoticeAbstractUI.aspx?menuIndex=3&amp;refID=7156837&amp;Result=3","7156837")</f>
        <v>0</v>
      </c>
      <c r="B7178" t="s">
        <v>2432</v>
      </c>
      <c r="C7178" t="s">
        <v>10651</v>
      </c>
      <c r="D7178" t="s">
        <v>19055</v>
      </c>
      <c r="E7178" t="s">
        <v>25354</v>
      </c>
      <c r="F7178" t="s">
        <v>32831</v>
      </c>
      <c r="G7178" t="s">
        <v>32838</v>
      </c>
      <c r="H7178" t="s">
        <v>32848</v>
      </c>
      <c r="I7178" t="s">
        <v>4776</v>
      </c>
      <c r="J7178" t="s">
        <v>33677</v>
      </c>
      <c r="K7178" t="s">
        <v>42730</v>
      </c>
      <c r="M7178" t="s">
        <v>45629</v>
      </c>
      <c r="N7178" t="s">
        <v>47424</v>
      </c>
      <c r="O7178" t="s">
        <v>47425</v>
      </c>
      <c r="P7178">
        <v>0</v>
      </c>
      <c r="Q7178">
        <v>0</v>
      </c>
      <c r="R7178" t="s">
        <v>47431</v>
      </c>
      <c r="S7178" t="s">
        <v>47565</v>
      </c>
      <c r="T7178" t="s">
        <v>49105</v>
      </c>
      <c r="U7178" t="s">
        <v>55698</v>
      </c>
      <c r="V7178" t="s">
        <v>63383</v>
      </c>
      <c r="W7178" t="s">
        <v>45629</v>
      </c>
      <c r="X7178" t="s">
        <v>47432</v>
      </c>
    </row>
    <row r="7179" spans="1:24">
      <c r="A7179">
        <f>HYPERLINK("https://www.philgeps.gov.ph/GEPSNONPILOT/Tender/SplashBidNoticeAbstractUI.aspx?menuIndex=3&amp;refID=7157161&amp;Result=3","7157161")</f>
        <v>0</v>
      </c>
      <c r="B7179" t="s">
        <v>2366</v>
      </c>
      <c r="C7179" t="s">
        <v>10652</v>
      </c>
      <c r="D7179" t="s">
        <v>19060</v>
      </c>
      <c r="E7179" t="s">
        <v>25355</v>
      </c>
      <c r="F7179" t="s">
        <v>32831</v>
      </c>
      <c r="G7179" t="s">
        <v>32839</v>
      </c>
      <c r="H7179" t="s">
        <v>32849</v>
      </c>
      <c r="I7179" t="s">
        <v>4177</v>
      </c>
      <c r="J7179" t="s">
        <v>37494</v>
      </c>
      <c r="K7179" t="s">
        <v>42770</v>
      </c>
      <c r="M7179" t="s">
        <v>45556</v>
      </c>
      <c r="N7179" t="s">
        <v>47424</v>
      </c>
      <c r="O7179" t="s">
        <v>47425</v>
      </c>
      <c r="P7179">
        <v>0</v>
      </c>
      <c r="Q7179">
        <v>0</v>
      </c>
      <c r="R7179" t="s">
        <v>47431</v>
      </c>
      <c r="S7179" t="s">
        <v>47565</v>
      </c>
      <c r="T7179" t="s">
        <v>49160</v>
      </c>
      <c r="U7179" t="s">
        <v>55668</v>
      </c>
      <c r="W7179" t="s">
        <v>45556</v>
      </c>
      <c r="X7179" t="s">
        <v>47432</v>
      </c>
    </row>
    <row r="7180" spans="1:24">
      <c r="A7180">
        <f>HYPERLINK("https://www.philgeps.gov.ph/GEPSNONPILOT/Tender/SplashBidNoticeAbstractUI.aspx?menuIndex=3&amp;refID=7157159&amp;Result=3","7157159")</f>
        <v>0</v>
      </c>
      <c r="B7180" t="s">
        <v>2412</v>
      </c>
      <c r="C7180" t="s">
        <v>10653</v>
      </c>
      <c r="D7180" t="s">
        <v>19030</v>
      </c>
      <c r="E7180" t="s">
        <v>25356</v>
      </c>
      <c r="F7180" t="s">
        <v>32831</v>
      </c>
      <c r="G7180" t="s">
        <v>32838</v>
      </c>
      <c r="H7180" t="s">
        <v>32848</v>
      </c>
      <c r="I7180" t="s">
        <v>32861</v>
      </c>
      <c r="J7180" t="s">
        <v>37495</v>
      </c>
      <c r="K7180" t="s">
        <v>42730</v>
      </c>
      <c r="M7180" t="s">
        <v>45607</v>
      </c>
      <c r="N7180" t="s">
        <v>47424</v>
      </c>
      <c r="O7180" t="s">
        <v>47425</v>
      </c>
      <c r="P7180">
        <v>0</v>
      </c>
      <c r="Q7180">
        <v>8</v>
      </c>
      <c r="R7180" t="s">
        <v>47431</v>
      </c>
      <c r="S7180" t="s">
        <v>47565</v>
      </c>
      <c r="T7180" t="s">
        <v>49079</v>
      </c>
      <c r="U7180" t="s">
        <v>55699</v>
      </c>
      <c r="W7180" t="s">
        <v>45607</v>
      </c>
      <c r="X7180" t="s">
        <v>47432</v>
      </c>
    </row>
    <row r="7181" spans="1:24">
      <c r="A7181">
        <f>HYPERLINK("https://www.philgeps.gov.ph/GEPSNONPILOT/Tender/SplashBidNoticeAbstractUI.aspx?menuIndex=3&amp;refID=7156732&amp;Result=3","7156732")</f>
        <v>0</v>
      </c>
      <c r="B7181" t="s">
        <v>2005</v>
      </c>
      <c r="C7181" t="s">
        <v>10654</v>
      </c>
      <c r="D7181" t="s">
        <v>19052</v>
      </c>
      <c r="E7181" t="s">
        <v>25357</v>
      </c>
      <c r="F7181" t="s">
        <v>32831</v>
      </c>
      <c r="G7181" t="s">
        <v>32838</v>
      </c>
      <c r="H7181" t="s">
        <v>32848</v>
      </c>
      <c r="I7181" t="s">
        <v>32911</v>
      </c>
      <c r="J7181" t="s">
        <v>37496</v>
      </c>
      <c r="K7181" t="s">
        <v>42730</v>
      </c>
      <c r="M7181" t="s">
        <v>45172</v>
      </c>
      <c r="N7181" t="s">
        <v>47424</v>
      </c>
      <c r="O7181" t="s">
        <v>47425</v>
      </c>
      <c r="P7181">
        <v>0</v>
      </c>
      <c r="Q7181">
        <v>1</v>
      </c>
      <c r="R7181" t="s">
        <v>47431</v>
      </c>
      <c r="S7181" t="s">
        <v>47565</v>
      </c>
      <c r="T7181" t="s">
        <v>49212</v>
      </c>
      <c r="U7181" t="s">
        <v>55666</v>
      </c>
      <c r="V7181" t="s">
        <v>63223</v>
      </c>
      <c r="W7181" t="s">
        <v>45172</v>
      </c>
      <c r="X7181" t="s">
        <v>47432</v>
      </c>
    </row>
    <row r="7182" spans="1:24">
      <c r="A7182">
        <f>HYPERLINK("https://www.philgeps.gov.ph/GEPSNONPILOT/Tender/SplashBidNoticeAbstractUI.aspx?menuIndex=3&amp;refID=7157148&amp;Result=3","7157148")</f>
        <v>0</v>
      </c>
      <c r="B7182" t="s">
        <v>2499</v>
      </c>
      <c r="C7182" t="s">
        <v>10655</v>
      </c>
      <c r="D7182" t="s">
        <v>19088</v>
      </c>
      <c r="E7182" t="s">
        <v>25358</v>
      </c>
      <c r="F7182" t="s">
        <v>32831</v>
      </c>
      <c r="G7182" t="s">
        <v>32839</v>
      </c>
      <c r="H7182" t="s">
        <v>32849</v>
      </c>
      <c r="I7182" t="s">
        <v>4177</v>
      </c>
      <c r="J7182" t="s">
        <v>33078</v>
      </c>
      <c r="K7182" t="s">
        <v>42732</v>
      </c>
      <c r="M7182" t="s">
        <v>45706</v>
      </c>
      <c r="N7182" t="s">
        <v>47424</v>
      </c>
      <c r="O7182" t="s">
        <v>47425</v>
      </c>
      <c r="P7182">
        <v>0</v>
      </c>
      <c r="Q7182">
        <v>1</v>
      </c>
      <c r="R7182" t="s">
        <v>47431</v>
      </c>
      <c r="S7182" t="s">
        <v>47565</v>
      </c>
      <c r="T7182" t="s">
        <v>49115</v>
      </c>
      <c r="U7182" t="s">
        <v>55700</v>
      </c>
      <c r="W7182" t="s">
        <v>45706</v>
      </c>
      <c r="X7182" t="s">
        <v>47432</v>
      </c>
    </row>
    <row r="7183" spans="1:24">
      <c r="A7183">
        <f>HYPERLINK("https://www.philgeps.gov.ph/GEPSNONPILOT/Tender/SplashBidNoticeAbstractUI.aspx?menuIndex=3&amp;refID=7157043&amp;Result=3","7157043")</f>
        <v>0</v>
      </c>
      <c r="B7183" t="s">
        <v>2498</v>
      </c>
      <c r="C7183" t="s">
        <v>10656</v>
      </c>
      <c r="D7183" t="s">
        <v>19068</v>
      </c>
      <c r="E7183" t="s">
        <v>19219</v>
      </c>
      <c r="F7183" t="s">
        <v>32831</v>
      </c>
      <c r="G7183" t="s">
        <v>32839</v>
      </c>
      <c r="H7183" t="s">
        <v>32848</v>
      </c>
      <c r="I7183" t="s">
        <v>7416</v>
      </c>
      <c r="J7183" t="s">
        <v>37497</v>
      </c>
      <c r="K7183" t="s">
        <v>42727</v>
      </c>
      <c r="M7183" t="s">
        <v>45705</v>
      </c>
      <c r="N7183" t="s">
        <v>47424</v>
      </c>
      <c r="O7183" t="s">
        <v>47425</v>
      </c>
      <c r="P7183">
        <v>0</v>
      </c>
      <c r="Q7183">
        <v>2</v>
      </c>
      <c r="R7183" t="s">
        <v>47431</v>
      </c>
      <c r="S7183" t="s">
        <v>47565</v>
      </c>
      <c r="T7183" t="s">
        <v>49056</v>
      </c>
      <c r="U7183" t="s">
        <v>55701</v>
      </c>
      <c r="W7183" t="s">
        <v>45705</v>
      </c>
      <c r="X7183" t="s">
        <v>47432</v>
      </c>
    </row>
    <row r="7184" spans="1:24">
      <c r="A7184">
        <f>HYPERLINK("https://www.philgeps.gov.ph/GEPSNONPILOT/Tender/SplashBidNoticeAbstractUI.aspx?menuIndex=3&amp;refID=7157156&amp;Result=3","7157156")</f>
        <v>0</v>
      </c>
      <c r="B7184" t="s">
        <v>2488</v>
      </c>
      <c r="C7184" t="s">
        <v>10657</v>
      </c>
      <c r="D7184" t="s">
        <v>19045</v>
      </c>
      <c r="E7184" t="s">
        <v>25359</v>
      </c>
      <c r="F7184" t="s">
        <v>32831</v>
      </c>
      <c r="G7184" t="s">
        <v>32838</v>
      </c>
      <c r="H7184" t="s">
        <v>32848</v>
      </c>
      <c r="I7184" t="s">
        <v>32894</v>
      </c>
      <c r="J7184" t="s">
        <v>37498</v>
      </c>
      <c r="K7184" t="s">
        <v>42745</v>
      </c>
      <c r="L7184" t="s">
        <v>2488</v>
      </c>
      <c r="M7184" t="s">
        <v>45693</v>
      </c>
      <c r="N7184" t="s">
        <v>47424</v>
      </c>
      <c r="O7184" t="s">
        <v>47425</v>
      </c>
      <c r="P7184">
        <v>0</v>
      </c>
      <c r="Q7184">
        <v>2</v>
      </c>
      <c r="R7184" t="s">
        <v>47431</v>
      </c>
      <c r="S7184" t="s">
        <v>47565</v>
      </c>
      <c r="T7184" t="s">
        <v>49166</v>
      </c>
      <c r="U7184" t="s">
        <v>50832</v>
      </c>
      <c r="W7184" t="s">
        <v>45693</v>
      </c>
      <c r="X7184" t="s">
        <v>47432</v>
      </c>
    </row>
    <row r="7185" spans="1:24">
      <c r="A7185">
        <f>HYPERLINK("https://www.philgeps.gov.ph/GEPSNONPILOT/Tender/SplashBidNoticeAbstractUI.aspx?menuIndex=3&amp;refID=7157160&amp;Result=3","7157160")</f>
        <v>0</v>
      </c>
      <c r="B7185" t="s">
        <v>2296</v>
      </c>
      <c r="C7185" t="s">
        <v>10658</v>
      </c>
      <c r="E7185" t="s">
        <v>20925</v>
      </c>
      <c r="F7185" t="s">
        <v>32831</v>
      </c>
      <c r="G7185" t="s">
        <v>32838</v>
      </c>
      <c r="H7185" t="s">
        <v>32848</v>
      </c>
      <c r="I7185" t="s">
        <v>32857</v>
      </c>
      <c r="J7185" t="s">
        <v>32978</v>
      </c>
      <c r="K7185" t="s">
        <v>42732</v>
      </c>
      <c r="M7185" t="s">
        <v>45481</v>
      </c>
      <c r="N7185" t="s">
        <v>47424</v>
      </c>
      <c r="O7185" t="s">
        <v>47425</v>
      </c>
      <c r="P7185">
        <v>0</v>
      </c>
      <c r="Q7185">
        <v>8</v>
      </c>
      <c r="R7185" t="s">
        <v>47431</v>
      </c>
      <c r="S7185" t="s">
        <v>47565</v>
      </c>
      <c r="T7185" t="s">
        <v>49214</v>
      </c>
      <c r="U7185" t="s">
        <v>55702</v>
      </c>
      <c r="W7185" t="s">
        <v>64506</v>
      </c>
      <c r="X7185" t="s">
        <v>47432</v>
      </c>
    </row>
    <row r="7186" spans="1:24">
      <c r="A7186">
        <f>HYPERLINK("https://www.philgeps.gov.ph/GEPSNONPILOT/Tender/SplashBidNoticeAbstractUI.aspx?menuIndex=3&amp;refID=7157139&amp;Result=3","7157139")</f>
        <v>0</v>
      </c>
      <c r="B7186" t="s">
        <v>2029</v>
      </c>
      <c r="C7186" t="s">
        <v>10659</v>
      </c>
      <c r="D7186" t="s">
        <v>19067</v>
      </c>
      <c r="E7186" t="s">
        <v>25360</v>
      </c>
      <c r="F7186" t="s">
        <v>32831</v>
      </c>
      <c r="G7186" t="s">
        <v>32840</v>
      </c>
      <c r="H7186" t="s">
        <v>32848</v>
      </c>
      <c r="I7186" t="s">
        <v>6526</v>
      </c>
      <c r="J7186" t="s">
        <v>37499</v>
      </c>
      <c r="K7186" t="s">
        <v>42732</v>
      </c>
      <c r="M7186" t="s">
        <v>45197</v>
      </c>
      <c r="N7186" t="s">
        <v>47424</v>
      </c>
      <c r="O7186" t="s">
        <v>47425</v>
      </c>
      <c r="P7186">
        <v>0</v>
      </c>
      <c r="Q7186">
        <v>0</v>
      </c>
      <c r="R7186" t="s">
        <v>47431</v>
      </c>
      <c r="S7186" t="s">
        <v>47565</v>
      </c>
      <c r="T7186" t="s">
        <v>49111</v>
      </c>
      <c r="U7186" t="s">
        <v>55703</v>
      </c>
      <c r="W7186" t="s">
        <v>45197</v>
      </c>
      <c r="X7186" t="s">
        <v>47432</v>
      </c>
    </row>
    <row r="7187" spans="1:24">
      <c r="A7187">
        <f>HYPERLINK("https://www.philgeps.gov.ph/GEPSNONPILOT/Tender/SplashBidNoticeAbstractUI.aspx?menuIndex=3&amp;refID=7157137&amp;Result=3","7157137")</f>
        <v>0</v>
      </c>
      <c r="B7187" t="s">
        <v>755</v>
      </c>
      <c r="C7187" t="s">
        <v>10660</v>
      </c>
      <c r="E7187" t="s">
        <v>25361</v>
      </c>
      <c r="F7187" t="s">
        <v>32831</v>
      </c>
      <c r="G7187" t="s">
        <v>32839</v>
      </c>
      <c r="H7187" t="s">
        <v>32848</v>
      </c>
      <c r="I7187" t="s">
        <v>7416</v>
      </c>
      <c r="J7187" t="s">
        <v>37500</v>
      </c>
      <c r="K7187" t="s">
        <v>42732</v>
      </c>
      <c r="M7187" t="s">
        <v>45605</v>
      </c>
      <c r="N7187" t="s">
        <v>47424</v>
      </c>
      <c r="O7187" t="s">
        <v>47425</v>
      </c>
      <c r="P7187">
        <v>0</v>
      </c>
      <c r="Q7187">
        <v>3</v>
      </c>
      <c r="R7187" t="s">
        <v>47431</v>
      </c>
      <c r="S7187" t="s">
        <v>47565</v>
      </c>
      <c r="T7187" t="s">
        <v>49150</v>
      </c>
      <c r="U7187" t="s">
        <v>55704</v>
      </c>
      <c r="W7187" t="s">
        <v>45605</v>
      </c>
      <c r="X7187" t="s">
        <v>47432</v>
      </c>
    </row>
    <row r="7188" spans="1:24">
      <c r="A7188">
        <f>HYPERLINK("https://www.philgeps.gov.ph/GEPSNONPILOT/Tender/SplashBidNoticeAbstractUI.aspx?menuIndex=3&amp;refID=7156763&amp;Result=3","7156763")</f>
        <v>0</v>
      </c>
      <c r="B7188" t="s">
        <v>798</v>
      </c>
      <c r="C7188" t="s">
        <v>10661</v>
      </c>
      <c r="D7188" t="s">
        <v>19080</v>
      </c>
      <c r="E7188" t="s">
        <v>25362</v>
      </c>
      <c r="F7188" t="s">
        <v>32831</v>
      </c>
      <c r="G7188" t="s">
        <v>32838</v>
      </c>
      <c r="H7188" t="s">
        <v>32848</v>
      </c>
      <c r="I7188" t="s">
        <v>5379</v>
      </c>
      <c r="J7188" t="s">
        <v>37501</v>
      </c>
      <c r="K7188" t="s">
        <v>42727</v>
      </c>
      <c r="M7188" t="s">
        <v>43828</v>
      </c>
      <c r="N7188" t="s">
        <v>47424</v>
      </c>
      <c r="O7188" t="s">
        <v>47425</v>
      </c>
      <c r="P7188">
        <v>0</v>
      </c>
      <c r="Q7188">
        <v>0</v>
      </c>
      <c r="R7188" t="s">
        <v>47431</v>
      </c>
      <c r="S7188" t="s">
        <v>47565</v>
      </c>
      <c r="T7188" t="s">
        <v>49135</v>
      </c>
      <c r="U7188" t="s">
        <v>51150</v>
      </c>
      <c r="W7188" t="s">
        <v>43828</v>
      </c>
      <c r="X7188" t="s">
        <v>47432</v>
      </c>
    </row>
    <row r="7189" spans="1:24">
      <c r="A7189">
        <f>HYPERLINK("https://www.philgeps.gov.ph/GEPSNONPILOT/Tender/SplashBidNoticeAbstractUI.aspx?menuIndex=3&amp;refID=7157131&amp;Result=3","7157131")</f>
        <v>0</v>
      </c>
      <c r="B7189" t="s">
        <v>2366</v>
      </c>
      <c r="C7189" t="s">
        <v>10662</v>
      </c>
      <c r="D7189" t="s">
        <v>19060</v>
      </c>
      <c r="E7189" t="s">
        <v>25363</v>
      </c>
      <c r="F7189" t="s">
        <v>32831</v>
      </c>
      <c r="G7189" t="s">
        <v>32839</v>
      </c>
      <c r="H7189" t="s">
        <v>32849</v>
      </c>
      <c r="I7189" t="s">
        <v>4177</v>
      </c>
      <c r="J7189" t="s">
        <v>37470</v>
      </c>
      <c r="K7189" t="s">
        <v>42770</v>
      </c>
      <c r="M7189" t="s">
        <v>45556</v>
      </c>
      <c r="N7189" t="s">
        <v>47424</v>
      </c>
      <c r="O7189" t="s">
        <v>47425</v>
      </c>
      <c r="P7189">
        <v>0</v>
      </c>
      <c r="Q7189">
        <v>0</v>
      </c>
      <c r="R7189" t="s">
        <v>47431</v>
      </c>
      <c r="S7189" t="s">
        <v>47565</v>
      </c>
      <c r="T7189" t="s">
        <v>49160</v>
      </c>
      <c r="U7189" t="s">
        <v>55668</v>
      </c>
      <c r="W7189" t="s">
        <v>45556</v>
      </c>
      <c r="X7189" t="s">
        <v>47432</v>
      </c>
    </row>
    <row r="7190" spans="1:24">
      <c r="A7190">
        <f>HYPERLINK("https://www.philgeps.gov.ph/GEPSNONPILOT/Tender/SplashBidNoticeAbstractUI.aspx?menuIndex=3&amp;refID=7157146&amp;Result=3","7157146")</f>
        <v>0</v>
      </c>
      <c r="B7190" t="s">
        <v>1802</v>
      </c>
      <c r="C7190" t="s">
        <v>10663</v>
      </c>
      <c r="D7190" t="s">
        <v>19062</v>
      </c>
      <c r="E7190" t="s">
        <v>25364</v>
      </c>
      <c r="F7190" t="s">
        <v>32831</v>
      </c>
      <c r="G7190" t="s">
        <v>32838</v>
      </c>
      <c r="H7190" t="s">
        <v>32848</v>
      </c>
      <c r="I7190" t="s">
        <v>32875</v>
      </c>
      <c r="J7190" t="s">
        <v>33378</v>
      </c>
      <c r="K7190" t="s">
        <v>42748</v>
      </c>
      <c r="M7190" t="s">
        <v>44933</v>
      </c>
      <c r="N7190" t="s">
        <v>47424</v>
      </c>
      <c r="O7190" t="s">
        <v>47425</v>
      </c>
      <c r="P7190">
        <v>0</v>
      </c>
      <c r="Q7190">
        <v>0</v>
      </c>
      <c r="R7190" t="s">
        <v>47431</v>
      </c>
      <c r="S7190" t="s">
        <v>47565</v>
      </c>
      <c r="T7190" t="s">
        <v>49212</v>
      </c>
      <c r="U7190" t="s">
        <v>53519</v>
      </c>
      <c r="W7190" t="s">
        <v>44933</v>
      </c>
      <c r="X7190" t="s">
        <v>47432</v>
      </c>
    </row>
    <row r="7191" spans="1:24">
      <c r="A7191">
        <f>HYPERLINK("https://www.philgeps.gov.ph/GEPSNONPILOT/Tender/SplashBidNoticeAbstractUI.aspx?menuIndex=3&amp;refID=7157202&amp;Result=3","7157202")</f>
        <v>0</v>
      </c>
      <c r="B7191" t="s">
        <v>2387</v>
      </c>
      <c r="C7191" t="s">
        <v>10664</v>
      </c>
      <c r="D7191" t="s">
        <v>19035</v>
      </c>
      <c r="E7191" t="s">
        <v>25365</v>
      </c>
      <c r="F7191" t="s">
        <v>32833</v>
      </c>
      <c r="G7191" t="s">
        <v>32842</v>
      </c>
      <c r="H7191" t="s">
        <v>32848</v>
      </c>
      <c r="I7191" t="s">
        <v>4487</v>
      </c>
      <c r="J7191" t="s">
        <v>33291</v>
      </c>
      <c r="K7191" t="s">
        <v>42730</v>
      </c>
      <c r="M7191" t="s">
        <v>45578</v>
      </c>
      <c r="N7191" t="s">
        <v>47424</v>
      </c>
      <c r="O7191" t="s">
        <v>47425</v>
      </c>
      <c r="P7191">
        <v>0</v>
      </c>
      <c r="Q7191">
        <v>7</v>
      </c>
      <c r="R7191" t="s">
        <v>47431</v>
      </c>
      <c r="S7191" t="s">
        <v>47565</v>
      </c>
      <c r="T7191" t="s">
        <v>49055</v>
      </c>
      <c r="U7191" t="s">
        <v>55705</v>
      </c>
      <c r="W7191" t="s">
        <v>45578</v>
      </c>
      <c r="X7191" t="s">
        <v>47432</v>
      </c>
    </row>
    <row r="7192" spans="1:24">
      <c r="A7192">
        <f>HYPERLINK("https://www.philgeps.gov.ph/GEPSNONPILOT/Tender/SplashBidNoticeAbstractUI.aspx?menuIndex=3&amp;refID=7157143&amp;Result=3","7157143")</f>
        <v>0</v>
      </c>
      <c r="B7192" t="s">
        <v>2426</v>
      </c>
      <c r="C7192" t="s">
        <v>10665</v>
      </c>
      <c r="D7192" t="s">
        <v>19019</v>
      </c>
      <c r="E7192" t="s">
        <v>25366</v>
      </c>
      <c r="F7192" t="s">
        <v>32831</v>
      </c>
      <c r="G7192" t="s">
        <v>32839</v>
      </c>
      <c r="H7192" t="s">
        <v>32850</v>
      </c>
      <c r="I7192" t="s">
        <v>6595</v>
      </c>
      <c r="J7192" t="s">
        <v>37502</v>
      </c>
      <c r="K7192" t="s">
        <v>42757</v>
      </c>
      <c r="M7192" t="s">
        <v>45623</v>
      </c>
      <c r="N7192" t="s">
        <v>47424</v>
      </c>
      <c r="O7192" t="s">
        <v>47425</v>
      </c>
      <c r="P7192">
        <v>0</v>
      </c>
      <c r="Q7192">
        <v>1</v>
      </c>
      <c r="R7192" t="s">
        <v>47431</v>
      </c>
      <c r="S7192" t="s">
        <v>47565</v>
      </c>
      <c r="T7192" t="s">
        <v>49463</v>
      </c>
      <c r="U7192" t="s">
        <v>55423</v>
      </c>
      <c r="V7192" t="s">
        <v>63396</v>
      </c>
      <c r="W7192" t="s">
        <v>45623</v>
      </c>
      <c r="X7192" t="s">
        <v>47432</v>
      </c>
    </row>
    <row r="7193" spans="1:24">
      <c r="A7193">
        <f>HYPERLINK("https://www.philgeps.gov.ph/GEPSNONPILOT/Tender/SplashBidNoticeAbstractUI.aspx?menuIndex=3&amp;refID=7157201&amp;Result=3","7157201")</f>
        <v>0</v>
      </c>
      <c r="B7193" t="s">
        <v>1858</v>
      </c>
      <c r="C7193" t="s">
        <v>10666</v>
      </c>
      <c r="D7193" t="s">
        <v>19056</v>
      </c>
      <c r="E7193" t="s">
        <v>25367</v>
      </c>
      <c r="F7193" t="s">
        <v>32831</v>
      </c>
      <c r="G7193" t="s">
        <v>32840</v>
      </c>
      <c r="H7193" t="s">
        <v>32848</v>
      </c>
      <c r="I7193" t="s">
        <v>32860</v>
      </c>
      <c r="J7193" t="s">
        <v>33133</v>
      </c>
      <c r="K7193" t="s">
        <v>42748</v>
      </c>
      <c r="M7193" t="s">
        <v>44997</v>
      </c>
      <c r="N7193" t="s">
        <v>47424</v>
      </c>
      <c r="O7193" t="s">
        <v>47425</v>
      </c>
      <c r="P7193">
        <v>0</v>
      </c>
      <c r="Q7193">
        <v>0</v>
      </c>
      <c r="R7193" t="s">
        <v>47431</v>
      </c>
      <c r="S7193" t="s">
        <v>47565</v>
      </c>
      <c r="T7193" t="s">
        <v>49214</v>
      </c>
      <c r="U7193" t="s">
        <v>55706</v>
      </c>
      <c r="W7193" t="s">
        <v>44997</v>
      </c>
      <c r="X7193" t="s">
        <v>47432</v>
      </c>
    </row>
    <row r="7194" spans="1:24">
      <c r="A7194">
        <f>HYPERLINK("https://www.philgeps.gov.ph/GEPSNONPILOT/Tender/SplashBidNoticeAbstractUI.aspx?menuIndex=3&amp;refID=7157134&amp;Result=3","7157134")</f>
        <v>0</v>
      </c>
      <c r="B7194" t="s">
        <v>2429</v>
      </c>
      <c r="C7194" t="s">
        <v>10667</v>
      </c>
      <c r="D7194" t="s">
        <v>19064</v>
      </c>
      <c r="E7194" t="s">
        <v>25368</v>
      </c>
      <c r="F7194" t="s">
        <v>32831</v>
      </c>
      <c r="G7194" t="s">
        <v>32839</v>
      </c>
      <c r="H7194" t="s">
        <v>32848</v>
      </c>
      <c r="I7194" t="s">
        <v>32862</v>
      </c>
      <c r="J7194" t="s">
        <v>37503</v>
      </c>
      <c r="K7194" t="s">
        <v>42731</v>
      </c>
      <c r="M7194" t="s">
        <v>45626</v>
      </c>
      <c r="N7194" t="s">
        <v>47424</v>
      </c>
      <c r="O7194" t="s">
        <v>47425</v>
      </c>
      <c r="P7194">
        <v>0</v>
      </c>
      <c r="Q7194">
        <v>0</v>
      </c>
      <c r="R7194" t="s">
        <v>47431</v>
      </c>
      <c r="S7194" t="s">
        <v>47565</v>
      </c>
      <c r="T7194" t="s">
        <v>49055</v>
      </c>
      <c r="U7194" t="s">
        <v>55707</v>
      </c>
      <c r="W7194" t="s">
        <v>45626</v>
      </c>
      <c r="X7194" t="s">
        <v>47432</v>
      </c>
    </row>
    <row r="7195" spans="1:24">
      <c r="A7195">
        <f>HYPERLINK("https://www.philgeps.gov.ph/GEPSNONPILOT/Tender/SplashBidNoticeAbstractUI.aspx?menuIndex=3&amp;refID=7157198&amp;Result=3","7157198")</f>
        <v>0</v>
      </c>
      <c r="B7195" t="s">
        <v>911</v>
      </c>
      <c r="C7195" t="s">
        <v>10668</v>
      </c>
      <c r="D7195" t="s">
        <v>19049</v>
      </c>
      <c r="E7195" t="s">
        <v>25369</v>
      </c>
      <c r="F7195" t="s">
        <v>32831</v>
      </c>
      <c r="G7195" t="s">
        <v>32838</v>
      </c>
      <c r="H7195" t="s">
        <v>32848</v>
      </c>
      <c r="I7195" t="s">
        <v>4776</v>
      </c>
      <c r="J7195" t="s">
        <v>37504</v>
      </c>
      <c r="K7195" t="s">
        <v>42727</v>
      </c>
      <c r="M7195" t="s">
        <v>43951</v>
      </c>
      <c r="N7195" t="s">
        <v>47424</v>
      </c>
      <c r="O7195" t="s">
        <v>47425</v>
      </c>
      <c r="P7195">
        <v>0</v>
      </c>
      <c r="Q7195">
        <v>0</v>
      </c>
      <c r="R7195" t="s">
        <v>47431</v>
      </c>
      <c r="S7195" t="s">
        <v>47565</v>
      </c>
      <c r="T7195" t="s">
        <v>49214</v>
      </c>
      <c r="U7195" t="s">
        <v>51540</v>
      </c>
      <c r="W7195" t="s">
        <v>43951</v>
      </c>
      <c r="X7195" t="s">
        <v>47432</v>
      </c>
    </row>
    <row r="7196" spans="1:24">
      <c r="A7196">
        <f>HYPERLINK("https://www.philgeps.gov.ph/GEPSNONPILOT/Tender/SplashBidNoticeAbstractUI.aspx?menuIndex=3&amp;refID=7156834&amp;Result=3","7156834")</f>
        <v>0</v>
      </c>
      <c r="B7196" t="s">
        <v>2306</v>
      </c>
      <c r="C7196" t="s">
        <v>10669</v>
      </c>
      <c r="D7196" t="s">
        <v>19074</v>
      </c>
      <c r="E7196" t="s">
        <v>22035</v>
      </c>
      <c r="F7196" t="s">
        <v>32831</v>
      </c>
      <c r="G7196" t="s">
        <v>32838</v>
      </c>
      <c r="H7196" t="s">
        <v>32848</v>
      </c>
      <c r="I7196" t="s">
        <v>32854</v>
      </c>
      <c r="J7196" t="s">
        <v>33133</v>
      </c>
      <c r="K7196" t="s">
        <v>42727</v>
      </c>
      <c r="M7196" t="s">
        <v>45491</v>
      </c>
      <c r="N7196" t="s">
        <v>47424</v>
      </c>
      <c r="O7196" t="s">
        <v>47425</v>
      </c>
      <c r="P7196">
        <v>0</v>
      </c>
      <c r="Q7196">
        <v>1</v>
      </c>
      <c r="R7196" t="s">
        <v>47431</v>
      </c>
      <c r="S7196" t="s">
        <v>47565</v>
      </c>
      <c r="T7196" t="s">
        <v>49107</v>
      </c>
      <c r="U7196" t="s">
        <v>55708</v>
      </c>
      <c r="W7196" t="s">
        <v>45491</v>
      </c>
      <c r="X7196" t="s">
        <v>47432</v>
      </c>
    </row>
    <row r="7197" spans="1:24">
      <c r="A7197">
        <f>HYPERLINK("https://www.philgeps.gov.ph/GEPSNONPILOT/Tender/SplashBidNoticeAbstractUI.aspx?menuIndex=3&amp;refID=7157196&amp;Result=3","7157196")</f>
        <v>0</v>
      </c>
      <c r="B7197" t="s">
        <v>1629</v>
      </c>
      <c r="C7197" t="s">
        <v>10670</v>
      </c>
      <c r="D7197" t="s">
        <v>19021</v>
      </c>
      <c r="E7197" t="s">
        <v>25370</v>
      </c>
      <c r="F7197" t="s">
        <v>32831</v>
      </c>
      <c r="G7197" t="s">
        <v>32840</v>
      </c>
      <c r="H7197" t="s">
        <v>32848</v>
      </c>
      <c r="I7197" t="s">
        <v>7416</v>
      </c>
      <c r="J7197" t="s">
        <v>37505</v>
      </c>
      <c r="K7197" t="s">
        <v>42732</v>
      </c>
      <c r="M7197" t="s">
        <v>44745</v>
      </c>
      <c r="N7197" t="s">
        <v>47424</v>
      </c>
      <c r="O7197" t="s">
        <v>47425</v>
      </c>
      <c r="P7197">
        <v>0</v>
      </c>
      <c r="Q7197">
        <v>1</v>
      </c>
      <c r="R7197" t="s">
        <v>47431</v>
      </c>
      <c r="S7197" t="s">
        <v>47565</v>
      </c>
      <c r="T7197" t="s">
        <v>49163</v>
      </c>
      <c r="U7197" t="s">
        <v>55709</v>
      </c>
      <c r="V7197" t="s">
        <v>63069</v>
      </c>
      <c r="W7197" t="s">
        <v>44745</v>
      </c>
      <c r="X7197" t="s">
        <v>47432</v>
      </c>
    </row>
    <row r="7198" spans="1:24">
      <c r="A7198">
        <f>HYPERLINK("https://www.philgeps.gov.ph/GEPSNONPILOT/Tender/SplashBidNoticeAbstractUI.aspx?menuIndex=3&amp;refID=7157189&amp;Result=3","7157189")</f>
        <v>0</v>
      </c>
      <c r="B7198" t="s">
        <v>2475</v>
      </c>
      <c r="C7198" t="s">
        <v>4408</v>
      </c>
      <c r="D7198" t="s">
        <v>19039</v>
      </c>
      <c r="E7198" t="s">
        <v>25371</v>
      </c>
      <c r="F7198" t="s">
        <v>32831</v>
      </c>
      <c r="G7198" t="s">
        <v>32839</v>
      </c>
      <c r="H7198" t="s">
        <v>32849</v>
      </c>
      <c r="I7198" t="s">
        <v>4177</v>
      </c>
      <c r="J7198" t="s">
        <v>32980</v>
      </c>
      <c r="K7198" t="s">
        <v>42745</v>
      </c>
      <c r="M7198" t="s">
        <v>45675</v>
      </c>
      <c r="N7198" t="s">
        <v>47424</v>
      </c>
      <c r="O7198" t="s">
        <v>47425</v>
      </c>
      <c r="P7198">
        <v>0</v>
      </c>
      <c r="Q7198">
        <v>0</v>
      </c>
      <c r="R7198" t="s">
        <v>47431</v>
      </c>
      <c r="S7198" t="s">
        <v>47565</v>
      </c>
      <c r="T7198" t="s">
        <v>49219</v>
      </c>
      <c r="U7198" t="s">
        <v>55710</v>
      </c>
      <c r="V7198" t="s">
        <v>63405</v>
      </c>
      <c r="W7198" t="s">
        <v>45675</v>
      </c>
      <c r="X7198" t="s">
        <v>47432</v>
      </c>
    </row>
    <row r="7199" spans="1:24">
      <c r="A7199">
        <f>HYPERLINK("https://www.philgeps.gov.ph/GEPSNONPILOT/Tender/SplashBidNoticeAbstractUI.aspx?menuIndex=3&amp;refID=7157199&amp;Result=3","7157199")</f>
        <v>0</v>
      </c>
      <c r="B7199" t="s">
        <v>143</v>
      </c>
      <c r="C7199" t="s">
        <v>10671</v>
      </c>
      <c r="D7199" t="s">
        <v>19065</v>
      </c>
      <c r="E7199" t="s">
        <v>25372</v>
      </c>
      <c r="F7199" t="s">
        <v>32831</v>
      </c>
      <c r="G7199" t="s">
        <v>32839</v>
      </c>
      <c r="H7199" t="s">
        <v>32848</v>
      </c>
      <c r="I7199" t="s">
        <v>32857</v>
      </c>
      <c r="J7199" t="s">
        <v>37506</v>
      </c>
      <c r="K7199" t="s">
        <v>42779</v>
      </c>
      <c r="M7199" t="s">
        <v>43140</v>
      </c>
      <c r="N7199" t="s">
        <v>47424</v>
      </c>
      <c r="O7199" t="s">
        <v>47425</v>
      </c>
      <c r="P7199">
        <v>0</v>
      </c>
      <c r="Q7199">
        <v>22</v>
      </c>
      <c r="R7199" t="s">
        <v>47431</v>
      </c>
      <c r="S7199" t="s">
        <v>47565</v>
      </c>
      <c r="T7199" t="s">
        <v>49089</v>
      </c>
      <c r="U7199" t="s">
        <v>55711</v>
      </c>
      <c r="W7199" t="s">
        <v>43140</v>
      </c>
      <c r="X7199" t="s">
        <v>47432</v>
      </c>
    </row>
    <row r="7200" spans="1:24">
      <c r="A7200">
        <f>HYPERLINK("https://www.philgeps.gov.ph/GEPSNONPILOT/Tender/SplashBidNoticeAbstractUI.aspx?menuIndex=3&amp;refID=7157183&amp;Result=3","7157183")</f>
        <v>0</v>
      </c>
      <c r="B7200" t="s">
        <v>1048</v>
      </c>
      <c r="C7200" t="s">
        <v>10672</v>
      </c>
      <c r="D7200" t="s">
        <v>19017</v>
      </c>
      <c r="E7200" t="s">
        <v>25373</v>
      </c>
      <c r="F7200" t="s">
        <v>32831</v>
      </c>
      <c r="G7200" t="s">
        <v>32840</v>
      </c>
      <c r="H7200" t="s">
        <v>32848</v>
      </c>
      <c r="I7200" t="s">
        <v>32855</v>
      </c>
      <c r="J7200" t="s">
        <v>37507</v>
      </c>
      <c r="K7200" t="s">
        <v>42727</v>
      </c>
      <c r="M7200" t="s">
        <v>44104</v>
      </c>
      <c r="N7200" t="s">
        <v>47424</v>
      </c>
      <c r="O7200" t="s">
        <v>47425</v>
      </c>
      <c r="P7200">
        <v>0</v>
      </c>
      <c r="Q7200">
        <v>1</v>
      </c>
      <c r="R7200" t="s">
        <v>47431</v>
      </c>
      <c r="S7200" t="s">
        <v>47565</v>
      </c>
      <c r="T7200" t="s">
        <v>49166</v>
      </c>
      <c r="U7200" t="s">
        <v>55712</v>
      </c>
      <c r="W7200" t="s">
        <v>44104</v>
      </c>
      <c r="X7200" t="s">
        <v>47432</v>
      </c>
    </row>
    <row r="7201" spans="1:24">
      <c r="A7201">
        <f>HYPERLINK("https://www.philgeps.gov.ph/GEPSNONPILOT/Tender/SplashBidNoticeAbstractUI.aspx?menuIndex=3&amp;refID=7157164&amp;Result=3","7157164")</f>
        <v>0</v>
      </c>
      <c r="B7201" t="s">
        <v>2500</v>
      </c>
      <c r="C7201" t="s">
        <v>10673</v>
      </c>
      <c r="D7201" t="s">
        <v>19052</v>
      </c>
      <c r="E7201" t="s">
        <v>25374</v>
      </c>
      <c r="F7201" t="s">
        <v>32831</v>
      </c>
      <c r="G7201" t="s">
        <v>32840</v>
      </c>
      <c r="H7201" t="s">
        <v>32848</v>
      </c>
      <c r="I7201" t="s">
        <v>32902</v>
      </c>
      <c r="J7201" t="s">
        <v>37508</v>
      </c>
      <c r="K7201" t="s">
        <v>42730</v>
      </c>
      <c r="L7201" t="s">
        <v>2500</v>
      </c>
      <c r="M7201" t="s">
        <v>45707</v>
      </c>
      <c r="N7201" t="s">
        <v>47424</v>
      </c>
      <c r="O7201" t="s">
        <v>47425</v>
      </c>
      <c r="P7201">
        <v>0</v>
      </c>
      <c r="Q7201">
        <v>7</v>
      </c>
      <c r="R7201" t="s">
        <v>47431</v>
      </c>
      <c r="S7201" t="s">
        <v>47565</v>
      </c>
      <c r="T7201" t="s">
        <v>49056</v>
      </c>
      <c r="U7201" t="s">
        <v>55713</v>
      </c>
      <c r="V7201" t="s">
        <v>63422</v>
      </c>
      <c r="W7201" t="s">
        <v>45707</v>
      </c>
      <c r="X7201" t="s">
        <v>47432</v>
      </c>
    </row>
    <row r="7202" spans="1:24">
      <c r="A7202">
        <f>HYPERLINK("https://www.philgeps.gov.ph/GEPSNONPILOT/Tender/SplashBidNoticeAbstractUI.aspx?menuIndex=3&amp;refID=7157182&amp;Result=3","7157182")</f>
        <v>0</v>
      </c>
      <c r="B7202" t="s">
        <v>864</v>
      </c>
      <c r="C7202" t="s">
        <v>10674</v>
      </c>
      <c r="D7202" t="s">
        <v>19021</v>
      </c>
      <c r="E7202" t="s">
        <v>25375</v>
      </c>
      <c r="F7202" t="s">
        <v>32831</v>
      </c>
      <c r="G7202" t="s">
        <v>32838</v>
      </c>
      <c r="H7202" t="s">
        <v>32848</v>
      </c>
      <c r="I7202" t="s">
        <v>6526</v>
      </c>
      <c r="J7202" t="s">
        <v>37509</v>
      </c>
      <c r="K7202" t="s">
        <v>42727</v>
      </c>
      <c r="M7202" t="s">
        <v>45099</v>
      </c>
      <c r="N7202" t="s">
        <v>47424</v>
      </c>
      <c r="O7202" t="s">
        <v>47425</v>
      </c>
      <c r="P7202">
        <v>0</v>
      </c>
      <c r="Q7202">
        <v>0</v>
      </c>
      <c r="R7202" t="s">
        <v>47431</v>
      </c>
      <c r="S7202" t="s">
        <v>47565</v>
      </c>
      <c r="T7202" t="s">
        <v>49079</v>
      </c>
      <c r="U7202" t="s">
        <v>55714</v>
      </c>
      <c r="W7202" t="s">
        <v>45099</v>
      </c>
      <c r="X7202" t="s">
        <v>47432</v>
      </c>
    </row>
    <row r="7203" spans="1:24">
      <c r="A7203">
        <f>HYPERLINK("https://www.philgeps.gov.ph/GEPSNONPILOT/Tender/SplashBidNoticeAbstractUI.aspx?menuIndex=3&amp;refID=7157180&amp;Result=3","7157180")</f>
        <v>0</v>
      </c>
      <c r="B7203" t="s">
        <v>2436</v>
      </c>
      <c r="C7203" t="s">
        <v>5029</v>
      </c>
      <c r="D7203" t="s">
        <v>19023</v>
      </c>
      <c r="E7203" t="s">
        <v>20737</v>
      </c>
      <c r="F7203" t="s">
        <v>32833</v>
      </c>
      <c r="G7203" t="s">
        <v>32840</v>
      </c>
      <c r="H7203" t="s">
        <v>32848</v>
      </c>
      <c r="I7203" t="s">
        <v>4438</v>
      </c>
      <c r="J7203" t="s">
        <v>37510</v>
      </c>
      <c r="K7203" t="s">
        <v>42731</v>
      </c>
      <c r="M7203" t="s">
        <v>45633</v>
      </c>
      <c r="N7203" t="s">
        <v>47424</v>
      </c>
      <c r="O7203" t="s">
        <v>47425</v>
      </c>
      <c r="P7203">
        <v>0</v>
      </c>
      <c r="Q7203">
        <v>0</v>
      </c>
      <c r="R7203" t="s">
        <v>47431</v>
      </c>
      <c r="S7203" t="s">
        <v>47565</v>
      </c>
      <c r="T7203" t="s">
        <v>49079</v>
      </c>
      <c r="U7203" t="s">
        <v>55715</v>
      </c>
      <c r="W7203" t="s">
        <v>45633</v>
      </c>
      <c r="X7203" t="s">
        <v>47432</v>
      </c>
    </row>
    <row r="7204" spans="1:24">
      <c r="A7204">
        <f>HYPERLINK("https://www.philgeps.gov.ph/GEPSNONPILOT/Tender/SplashBidNoticeAbstractUI.aspx?menuIndex=3&amp;refID=7157179&amp;Result=3","7157179")</f>
        <v>0</v>
      </c>
      <c r="B7204" t="s">
        <v>2501</v>
      </c>
      <c r="C7204" t="s">
        <v>9021</v>
      </c>
      <c r="D7204" t="s">
        <v>19045</v>
      </c>
      <c r="E7204" t="s">
        <v>25376</v>
      </c>
      <c r="F7204" t="s">
        <v>32831</v>
      </c>
      <c r="G7204" t="s">
        <v>32838</v>
      </c>
      <c r="H7204" t="s">
        <v>32848</v>
      </c>
      <c r="I7204" t="s">
        <v>4303</v>
      </c>
      <c r="J7204" t="s">
        <v>33044</v>
      </c>
      <c r="K7204" t="s">
        <v>42732</v>
      </c>
      <c r="M7204" t="s">
        <v>45708</v>
      </c>
      <c r="N7204" t="s">
        <v>47424</v>
      </c>
      <c r="O7204" t="s">
        <v>47425</v>
      </c>
      <c r="P7204">
        <v>0</v>
      </c>
      <c r="Q7204">
        <v>1</v>
      </c>
      <c r="R7204" t="s">
        <v>47431</v>
      </c>
      <c r="S7204" t="s">
        <v>47565</v>
      </c>
      <c r="T7204" t="s">
        <v>49127</v>
      </c>
      <c r="U7204" t="s">
        <v>55716</v>
      </c>
      <c r="W7204" t="s">
        <v>45708</v>
      </c>
      <c r="X7204" t="s">
        <v>47432</v>
      </c>
    </row>
    <row r="7205" spans="1:24">
      <c r="A7205">
        <f>HYPERLINK("https://www.philgeps.gov.ph/GEPSNONPILOT/Tender/SplashBidNoticeAbstractUI.aspx?menuIndex=3&amp;refID=7157185&amp;Result=3","7157185")</f>
        <v>0</v>
      </c>
      <c r="B7205" t="s">
        <v>2502</v>
      </c>
      <c r="C7205" t="s">
        <v>10675</v>
      </c>
      <c r="D7205" t="s">
        <v>19020</v>
      </c>
      <c r="E7205" t="s">
        <v>19219</v>
      </c>
      <c r="F7205" t="s">
        <v>32831</v>
      </c>
      <c r="G7205" t="s">
        <v>32839</v>
      </c>
      <c r="H7205" t="s">
        <v>32849</v>
      </c>
      <c r="I7205" t="s">
        <v>4177</v>
      </c>
      <c r="J7205" t="s">
        <v>37511</v>
      </c>
      <c r="K7205" t="s">
        <v>42876</v>
      </c>
      <c r="M7205" t="s">
        <v>45709</v>
      </c>
      <c r="N7205" t="s">
        <v>47424</v>
      </c>
      <c r="O7205" t="s">
        <v>47425</v>
      </c>
      <c r="P7205">
        <v>0</v>
      </c>
      <c r="Q7205">
        <v>0</v>
      </c>
      <c r="R7205" t="s">
        <v>47431</v>
      </c>
      <c r="S7205" t="s">
        <v>47565</v>
      </c>
      <c r="T7205" t="s">
        <v>49056</v>
      </c>
      <c r="U7205" t="s">
        <v>55717</v>
      </c>
      <c r="W7205" t="s">
        <v>64511</v>
      </c>
      <c r="X7205" t="s">
        <v>47432</v>
      </c>
    </row>
    <row r="7206" spans="1:24">
      <c r="A7206">
        <f>HYPERLINK("https://www.philgeps.gov.ph/GEPSNONPILOT/Tender/SplashBidNoticeAbstractUI.aspx?menuIndex=3&amp;refID=7157175&amp;Result=3","7157175")</f>
        <v>0</v>
      </c>
      <c r="B7206" t="s">
        <v>1958</v>
      </c>
      <c r="C7206" t="s">
        <v>10676</v>
      </c>
      <c r="D7206" t="s">
        <v>19056</v>
      </c>
      <c r="E7206" t="s">
        <v>25377</v>
      </c>
      <c r="F7206" t="s">
        <v>32831</v>
      </c>
      <c r="G7206" t="s">
        <v>32841</v>
      </c>
      <c r="H7206" t="s">
        <v>32848</v>
      </c>
      <c r="I7206" t="s">
        <v>5667</v>
      </c>
      <c r="J7206" t="s">
        <v>37512</v>
      </c>
      <c r="K7206" t="s">
        <v>42905</v>
      </c>
      <c r="M7206" t="s">
        <v>45117</v>
      </c>
      <c r="N7206" t="s">
        <v>47424</v>
      </c>
      <c r="O7206" t="s">
        <v>47425</v>
      </c>
      <c r="P7206">
        <v>0</v>
      </c>
      <c r="Q7206">
        <v>4</v>
      </c>
      <c r="R7206" t="s">
        <v>47431</v>
      </c>
      <c r="S7206" t="s">
        <v>47565</v>
      </c>
      <c r="T7206" t="s">
        <v>49142</v>
      </c>
      <c r="U7206" t="s">
        <v>55718</v>
      </c>
      <c r="W7206" t="s">
        <v>45117</v>
      </c>
      <c r="X7206" t="s">
        <v>47432</v>
      </c>
    </row>
    <row r="7207" spans="1:24">
      <c r="A7207">
        <f>HYPERLINK("https://www.philgeps.gov.ph/GEPSNONPILOT/Tender/SplashBidNoticeAbstractUI.aspx?menuIndex=3&amp;refID=7157173&amp;Result=3","7157173")</f>
        <v>0</v>
      </c>
      <c r="B7207" t="s">
        <v>2503</v>
      </c>
      <c r="C7207" t="s">
        <v>10677</v>
      </c>
      <c r="D7207" t="s">
        <v>19027</v>
      </c>
      <c r="E7207" t="s">
        <v>25378</v>
      </c>
      <c r="F7207" t="s">
        <v>32831</v>
      </c>
      <c r="G7207" t="s">
        <v>32838</v>
      </c>
      <c r="H7207" t="s">
        <v>32848</v>
      </c>
      <c r="I7207" t="s">
        <v>32860</v>
      </c>
      <c r="J7207" t="s">
        <v>37513</v>
      </c>
      <c r="K7207" t="s">
        <v>42726</v>
      </c>
      <c r="M7207" t="s">
        <v>45710</v>
      </c>
      <c r="N7207" t="s">
        <v>47424</v>
      </c>
      <c r="O7207" t="s">
        <v>47425</v>
      </c>
      <c r="P7207">
        <v>0</v>
      </c>
      <c r="Q7207">
        <v>2</v>
      </c>
      <c r="R7207" t="s">
        <v>47431</v>
      </c>
      <c r="S7207" t="s">
        <v>47565</v>
      </c>
      <c r="T7207" t="s">
        <v>49212</v>
      </c>
      <c r="U7207" t="s">
        <v>55719</v>
      </c>
      <c r="W7207" t="s">
        <v>45710</v>
      </c>
      <c r="X7207" t="s">
        <v>47432</v>
      </c>
    </row>
    <row r="7208" spans="1:24">
      <c r="A7208">
        <f>HYPERLINK("https://www.philgeps.gov.ph/GEPSNONPILOT/Tender/SplashBidNoticeAbstractUI.aspx?menuIndex=3&amp;refID=7157193&amp;Result=3","7157193")</f>
        <v>0</v>
      </c>
      <c r="B7208" t="s">
        <v>2320</v>
      </c>
      <c r="C7208" t="s">
        <v>10678</v>
      </c>
      <c r="D7208" t="s">
        <v>19077</v>
      </c>
      <c r="E7208" t="s">
        <v>25379</v>
      </c>
      <c r="F7208" t="s">
        <v>32831</v>
      </c>
      <c r="G7208" t="s">
        <v>32838</v>
      </c>
      <c r="H7208" t="s">
        <v>32848</v>
      </c>
      <c r="I7208" t="s">
        <v>32874</v>
      </c>
      <c r="J7208" t="s">
        <v>33380</v>
      </c>
      <c r="K7208" t="s">
        <v>42729</v>
      </c>
      <c r="M7208" t="s">
        <v>45505</v>
      </c>
      <c r="N7208" t="s">
        <v>47424</v>
      </c>
      <c r="O7208" t="s">
        <v>47425</v>
      </c>
      <c r="P7208">
        <v>0</v>
      </c>
      <c r="Q7208">
        <v>4</v>
      </c>
      <c r="R7208" t="s">
        <v>47431</v>
      </c>
      <c r="S7208" t="s">
        <v>47565</v>
      </c>
      <c r="T7208" t="s">
        <v>49255</v>
      </c>
      <c r="U7208" t="s">
        <v>55124</v>
      </c>
      <c r="V7208" t="s">
        <v>63343</v>
      </c>
      <c r="W7208" t="s">
        <v>45505</v>
      </c>
      <c r="X7208" t="s">
        <v>47432</v>
      </c>
    </row>
    <row r="7209" spans="1:24">
      <c r="A7209">
        <f>HYPERLINK("https://www.philgeps.gov.ph/GEPSNONPILOT/Tender/SplashBidNoticeAbstractUI.aspx?menuIndex=3&amp;refID=7157186&amp;Result=3","7157186")</f>
        <v>0</v>
      </c>
      <c r="B7209" t="s">
        <v>2488</v>
      </c>
      <c r="C7209" t="s">
        <v>10679</v>
      </c>
      <c r="D7209" t="s">
        <v>19045</v>
      </c>
      <c r="E7209" t="s">
        <v>25380</v>
      </c>
      <c r="F7209" t="s">
        <v>32831</v>
      </c>
      <c r="G7209" t="s">
        <v>32838</v>
      </c>
      <c r="H7209" t="s">
        <v>32848</v>
      </c>
      <c r="I7209" t="s">
        <v>32891</v>
      </c>
      <c r="J7209" t="s">
        <v>35305</v>
      </c>
      <c r="K7209" t="s">
        <v>42745</v>
      </c>
      <c r="L7209" t="s">
        <v>2488</v>
      </c>
      <c r="M7209" t="s">
        <v>45693</v>
      </c>
      <c r="N7209" t="s">
        <v>47424</v>
      </c>
      <c r="O7209" t="s">
        <v>47425</v>
      </c>
      <c r="P7209">
        <v>0</v>
      </c>
      <c r="Q7209">
        <v>0</v>
      </c>
      <c r="R7209" t="s">
        <v>47431</v>
      </c>
      <c r="S7209" t="s">
        <v>47565</v>
      </c>
      <c r="T7209" t="s">
        <v>49166</v>
      </c>
      <c r="U7209" t="s">
        <v>50832</v>
      </c>
      <c r="W7209" t="s">
        <v>45693</v>
      </c>
      <c r="X7209" t="s">
        <v>47432</v>
      </c>
    </row>
    <row r="7210" spans="1:24">
      <c r="A7210">
        <f>HYPERLINK("https://www.philgeps.gov.ph/GEPSNONPILOT/Tender/SplashBidNoticeAbstractUI.aspx?menuIndex=3&amp;refID=7157168&amp;Result=3","7157168")</f>
        <v>0</v>
      </c>
      <c r="B7210" t="s">
        <v>1303</v>
      </c>
      <c r="C7210" t="s">
        <v>10680</v>
      </c>
      <c r="D7210" t="s">
        <v>19045</v>
      </c>
      <c r="E7210" t="s">
        <v>25381</v>
      </c>
      <c r="F7210" t="s">
        <v>32831</v>
      </c>
      <c r="G7210" t="s">
        <v>32838</v>
      </c>
      <c r="H7210" t="s">
        <v>32848</v>
      </c>
      <c r="I7210" t="s">
        <v>9577</v>
      </c>
      <c r="J7210" t="s">
        <v>37514</v>
      </c>
      <c r="K7210" t="s">
        <v>42726</v>
      </c>
      <c r="M7210" t="s">
        <v>44373</v>
      </c>
      <c r="N7210" t="s">
        <v>47424</v>
      </c>
      <c r="O7210" t="s">
        <v>47425</v>
      </c>
      <c r="P7210">
        <v>0</v>
      </c>
      <c r="Q7210">
        <v>2</v>
      </c>
      <c r="R7210" t="s">
        <v>47431</v>
      </c>
      <c r="S7210" t="s">
        <v>47565</v>
      </c>
      <c r="T7210" t="s">
        <v>49100</v>
      </c>
      <c r="U7210" t="s">
        <v>55720</v>
      </c>
      <c r="W7210" t="s">
        <v>44373</v>
      </c>
      <c r="X7210" t="s">
        <v>47432</v>
      </c>
    </row>
    <row r="7211" spans="1:24">
      <c r="A7211">
        <f>HYPERLINK("https://www.philgeps.gov.ph/GEPSNONPILOT/Tender/SplashBidNoticeAbstractUI.aspx?menuIndex=3&amp;refID=7157128&amp;Result=3","7157128")</f>
        <v>0</v>
      </c>
      <c r="B7211" t="s">
        <v>2464</v>
      </c>
      <c r="C7211" t="s">
        <v>10681</v>
      </c>
      <c r="D7211" t="s">
        <v>19023</v>
      </c>
      <c r="E7211" t="s">
        <v>25382</v>
      </c>
      <c r="F7211" t="s">
        <v>32831</v>
      </c>
      <c r="G7211" t="s">
        <v>32838</v>
      </c>
      <c r="H7211" t="s">
        <v>32848</v>
      </c>
      <c r="I7211" t="s">
        <v>5379</v>
      </c>
      <c r="J7211" t="s">
        <v>33162</v>
      </c>
      <c r="K7211" t="s">
        <v>42759</v>
      </c>
      <c r="M7211" t="s">
        <v>45662</v>
      </c>
      <c r="N7211" t="s">
        <v>47424</v>
      </c>
      <c r="O7211" t="s">
        <v>47425</v>
      </c>
      <c r="P7211">
        <v>0</v>
      </c>
      <c r="Q7211">
        <v>0</v>
      </c>
      <c r="R7211" t="s">
        <v>47431</v>
      </c>
      <c r="S7211" t="s">
        <v>47565</v>
      </c>
      <c r="T7211" t="s">
        <v>49125</v>
      </c>
      <c r="U7211" t="s">
        <v>55721</v>
      </c>
      <c r="W7211" t="s">
        <v>45662</v>
      </c>
      <c r="X7211" t="s">
        <v>47432</v>
      </c>
    </row>
    <row r="7212" spans="1:24">
      <c r="A7212">
        <f>HYPERLINK("https://www.philgeps.gov.ph/GEPSNONPILOT/Tender/SplashBidNoticeAbstractUI.aspx?menuIndex=3&amp;refID=7157174&amp;Result=3","7157174")</f>
        <v>0</v>
      </c>
      <c r="B7212" t="s">
        <v>2504</v>
      </c>
      <c r="C7212" t="s">
        <v>10682</v>
      </c>
      <c r="D7212" t="s">
        <v>19032</v>
      </c>
      <c r="E7212" t="s">
        <v>25383</v>
      </c>
      <c r="F7212" t="s">
        <v>32831</v>
      </c>
      <c r="G7212" t="s">
        <v>32839</v>
      </c>
      <c r="H7212" t="s">
        <v>32848</v>
      </c>
      <c r="I7212" t="s">
        <v>9577</v>
      </c>
      <c r="J7212" t="s">
        <v>37515</v>
      </c>
      <c r="K7212" t="s">
        <v>42730</v>
      </c>
      <c r="M7212" t="s">
        <v>45711</v>
      </c>
      <c r="N7212" t="s">
        <v>47424</v>
      </c>
      <c r="O7212" t="s">
        <v>47425</v>
      </c>
      <c r="P7212">
        <v>0</v>
      </c>
      <c r="Q7212">
        <v>3</v>
      </c>
      <c r="R7212" t="s">
        <v>47431</v>
      </c>
      <c r="S7212" t="s">
        <v>47565</v>
      </c>
      <c r="T7212" t="s">
        <v>49323</v>
      </c>
      <c r="U7212" t="s">
        <v>55722</v>
      </c>
      <c r="W7212" t="s">
        <v>45711</v>
      </c>
      <c r="X7212" t="s">
        <v>47432</v>
      </c>
    </row>
    <row r="7213" spans="1:24">
      <c r="A7213">
        <f>HYPERLINK("https://www.philgeps.gov.ph/GEPSNONPILOT/Tender/SplashBidNoticeAbstractUI.aspx?menuIndex=3&amp;refID=7157171&amp;Result=3","7157171")</f>
        <v>0</v>
      </c>
      <c r="B7213" t="s">
        <v>962</v>
      </c>
      <c r="C7213" t="s">
        <v>10683</v>
      </c>
      <c r="E7213" t="s">
        <v>25384</v>
      </c>
      <c r="F7213" t="s">
        <v>32831</v>
      </c>
      <c r="G7213" t="s">
        <v>32838</v>
      </c>
      <c r="H7213" t="s">
        <v>32849</v>
      </c>
      <c r="I7213" t="s">
        <v>6526</v>
      </c>
      <c r="J7213" t="s">
        <v>37516</v>
      </c>
      <c r="K7213" t="s">
        <v>42732</v>
      </c>
      <c r="M7213" t="s">
        <v>44008</v>
      </c>
      <c r="N7213" t="s">
        <v>47424</v>
      </c>
      <c r="O7213" t="s">
        <v>47425</v>
      </c>
      <c r="P7213">
        <v>0</v>
      </c>
      <c r="Q7213">
        <v>0</v>
      </c>
      <c r="R7213" t="s">
        <v>47431</v>
      </c>
      <c r="S7213" t="s">
        <v>47565</v>
      </c>
      <c r="T7213" t="s">
        <v>49056</v>
      </c>
      <c r="U7213" t="s">
        <v>55723</v>
      </c>
      <c r="W7213" t="s">
        <v>44008</v>
      </c>
      <c r="X7213" t="s">
        <v>47432</v>
      </c>
    </row>
    <row r="7214" spans="1:24">
      <c r="A7214">
        <f>HYPERLINK("https://www.philgeps.gov.ph/GEPSNONPILOT/Tender/SplashBidNoticeAbstractUI.aspx?menuIndex=3&amp;refID=7157123&amp;Result=3","7157123")</f>
        <v>0</v>
      </c>
      <c r="B7214" t="s">
        <v>864</v>
      </c>
      <c r="C7214" t="s">
        <v>8705</v>
      </c>
      <c r="D7214" t="s">
        <v>19021</v>
      </c>
      <c r="E7214" t="s">
        <v>25385</v>
      </c>
      <c r="F7214" t="s">
        <v>32831</v>
      </c>
      <c r="G7214" t="s">
        <v>32838</v>
      </c>
      <c r="H7214" t="s">
        <v>32848</v>
      </c>
      <c r="I7214" t="s">
        <v>4438</v>
      </c>
      <c r="J7214" t="s">
        <v>33133</v>
      </c>
      <c r="K7214" t="s">
        <v>42727</v>
      </c>
      <c r="M7214" t="s">
        <v>45099</v>
      </c>
      <c r="N7214" t="s">
        <v>47424</v>
      </c>
      <c r="O7214" t="s">
        <v>47425</v>
      </c>
      <c r="P7214">
        <v>0</v>
      </c>
      <c r="Q7214">
        <v>0</v>
      </c>
      <c r="R7214" t="s">
        <v>47431</v>
      </c>
      <c r="S7214" t="s">
        <v>47565</v>
      </c>
      <c r="T7214" t="s">
        <v>49079</v>
      </c>
      <c r="U7214" t="s">
        <v>55724</v>
      </c>
      <c r="W7214" t="s">
        <v>45099</v>
      </c>
      <c r="X7214" t="s">
        <v>47432</v>
      </c>
    </row>
    <row r="7215" spans="1:24">
      <c r="A7215">
        <f>HYPERLINK("https://www.philgeps.gov.ph/GEPSNONPILOT/Tender/SplashBidNoticeAbstractUI.aspx?menuIndex=3&amp;refID=7157176&amp;Result=3","7157176")</f>
        <v>0</v>
      </c>
      <c r="B7215" t="s">
        <v>2472</v>
      </c>
      <c r="C7215" t="s">
        <v>10684</v>
      </c>
      <c r="E7215" t="s">
        <v>19161</v>
      </c>
      <c r="F7215" t="s">
        <v>32831</v>
      </c>
      <c r="G7215" t="s">
        <v>32838</v>
      </c>
      <c r="H7215" t="s">
        <v>32848</v>
      </c>
      <c r="I7215" t="s">
        <v>4776</v>
      </c>
      <c r="J7215" t="s">
        <v>35137</v>
      </c>
      <c r="K7215" t="s">
        <v>42726</v>
      </c>
      <c r="M7215" t="s">
        <v>45671</v>
      </c>
      <c r="N7215" t="s">
        <v>47424</v>
      </c>
      <c r="O7215" t="s">
        <v>47425</v>
      </c>
      <c r="P7215">
        <v>0</v>
      </c>
      <c r="Q7215">
        <v>0</v>
      </c>
      <c r="R7215" t="s">
        <v>47431</v>
      </c>
      <c r="S7215" t="s">
        <v>47565</v>
      </c>
      <c r="T7215" t="s">
        <v>49145</v>
      </c>
      <c r="U7215" t="s">
        <v>55725</v>
      </c>
      <c r="W7215" t="s">
        <v>45671</v>
      </c>
      <c r="X7215" t="s">
        <v>47432</v>
      </c>
    </row>
    <row r="7216" spans="1:24">
      <c r="A7216">
        <f>HYPERLINK("https://www.philgeps.gov.ph/GEPSNONPILOT/Tender/SplashBidNoticeAbstractUI.aspx?menuIndex=3&amp;refID=7157191&amp;Result=3","7157191")</f>
        <v>0</v>
      </c>
      <c r="B7216" t="s">
        <v>2505</v>
      </c>
      <c r="C7216" t="s">
        <v>10685</v>
      </c>
      <c r="D7216" t="s">
        <v>19030</v>
      </c>
      <c r="E7216" t="s">
        <v>19343</v>
      </c>
      <c r="F7216" t="s">
        <v>32831</v>
      </c>
      <c r="G7216" t="s">
        <v>32841</v>
      </c>
      <c r="H7216" t="s">
        <v>32848</v>
      </c>
      <c r="I7216" t="s">
        <v>7416</v>
      </c>
      <c r="J7216" t="s">
        <v>37517</v>
      </c>
      <c r="K7216" t="s">
        <v>42731</v>
      </c>
      <c r="M7216" t="s">
        <v>45712</v>
      </c>
      <c r="N7216" t="s">
        <v>47424</v>
      </c>
      <c r="O7216" t="s">
        <v>47425</v>
      </c>
      <c r="P7216">
        <v>0</v>
      </c>
      <c r="Q7216">
        <v>1</v>
      </c>
      <c r="R7216" t="s">
        <v>47431</v>
      </c>
      <c r="S7216" t="s">
        <v>47565</v>
      </c>
      <c r="T7216" t="s">
        <v>49056</v>
      </c>
      <c r="U7216" t="s">
        <v>53471</v>
      </c>
      <c r="V7216" t="s">
        <v>63127</v>
      </c>
      <c r="W7216" t="s">
        <v>45712</v>
      </c>
      <c r="X7216" t="s">
        <v>47432</v>
      </c>
    </row>
    <row r="7217" spans="1:24">
      <c r="A7217">
        <f>HYPERLINK("https://www.philgeps.gov.ph/GEPSNONPILOT/Tender/SplashBidNoticeAbstractUI.aspx?menuIndex=3&amp;refID=7157125&amp;Result=3","7157125")</f>
        <v>0</v>
      </c>
      <c r="B7217" t="s">
        <v>2442</v>
      </c>
      <c r="C7217" t="s">
        <v>10686</v>
      </c>
      <c r="D7217" t="s">
        <v>19109</v>
      </c>
      <c r="E7217" t="s">
        <v>25386</v>
      </c>
      <c r="F7217" t="s">
        <v>32831</v>
      </c>
      <c r="G7217" t="s">
        <v>32839</v>
      </c>
      <c r="H7217" t="s">
        <v>32848</v>
      </c>
      <c r="I7217" t="s">
        <v>4776</v>
      </c>
      <c r="J7217" t="s">
        <v>35031</v>
      </c>
      <c r="K7217" t="s">
        <v>42730</v>
      </c>
      <c r="M7217" t="s">
        <v>45639</v>
      </c>
      <c r="N7217" t="s">
        <v>47424</v>
      </c>
      <c r="O7217" t="s">
        <v>47425</v>
      </c>
      <c r="P7217">
        <v>0</v>
      </c>
      <c r="Q7217">
        <v>4</v>
      </c>
      <c r="R7217" t="s">
        <v>47431</v>
      </c>
      <c r="S7217" t="s">
        <v>47565</v>
      </c>
      <c r="T7217" t="s">
        <v>49323</v>
      </c>
      <c r="U7217" t="s">
        <v>55726</v>
      </c>
      <c r="W7217" t="s">
        <v>45639</v>
      </c>
      <c r="X7217" t="s">
        <v>47432</v>
      </c>
    </row>
    <row r="7218" spans="1:24">
      <c r="A7218">
        <f>HYPERLINK("https://www.philgeps.gov.ph/GEPSNONPILOT/Tender/SplashBidNoticeAbstractUI.aspx?menuIndex=3&amp;refID=7156728&amp;Result=3","7156728")</f>
        <v>0</v>
      </c>
      <c r="B7218" t="s">
        <v>381</v>
      </c>
      <c r="C7218" t="s">
        <v>10687</v>
      </c>
      <c r="E7218" t="s">
        <v>24398</v>
      </c>
      <c r="F7218" t="s">
        <v>32831</v>
      </c>
      <c r="G7218" t="s">
        <v>32838</v>
      </c>
      <c r="H7218" t="s">
        <v>32848</v>
      </c>
      <c r="I7218" t="s">
        <v>4438</v>
      </c>
      <c r="J7218" t="s">
        <v>37518</v>
      </c>
      <c r="K7218" t="s">
        <v>42732</v>
      </c>
      <c r="M7218" t="s">
        <v>43385</v>
      </c>
      <c r="N7218" t="s">
        <v>47424</v>
      </c>
      <c r="O7218" t="s">
        <v>47425</v>
      </c>
      <c r="P7218">
        <v>0</v>
      </c>
      <c r="Q7218">
        <v>0</v>
      </c>
      <c r="R7218" t="s">
        <v>47431</v>
      </c>
      <c r="S7218" t="s">
        <v>47565</v>
      </c>
      <c r="T7218" t="s">
        <v>49111</v>
      </c>
      <c r="U7218" t="s">
        <v>55727</v>
      </c>
      <c r="W7218" t="s">
        <v>43385</v>
      </c>
      <c r="X7218" t="s">
        <v>47432</v>
      </c>
    </row>
    <row r="7219" spans="1:24">
      <c r="A7219">
        <f>HYPERLINK("https://www.philgeps.gov.ph/GEPSNONPILOT/Tender/SplashBidNoticeAbstractUI.aspx?menuIndex=3&amp;refID=7156705&amp;Result=3","7156705")</f>
        <v>0</v>
      </c>
      <c r="B7219" t="s">
        <v>2306</v>
      </c>
      <c r="C7219" t="s">
        <v>10688</v>
      </c>
      <c r="D7219" t="s">
        <v>19043</v>
      </c>
      <c r="E7219" t="s">
        <v>20574</v>
      </c>
      <c r="F7219" t="s">
        <v>32831</v>
      </c>
      <c r="G7219" t="s">
        <v>32838</v>
      </c>
      <c r="H7219" t="s">
        <v>32848</v>
      </c>
      <c r="I7219" t="s">
        <v>32856</v>
      </c>
      <c r="J7219" t="s">
        <v>36264</v>
      </c>
      <c r="K7219" t="s">
        <v>42727</v>
      </c>
      <c r="M7219" t="s">
        <v>45491</v>
      </c>
      <c r="N7219" t="s">
        <v>47424</v>
      </c>
      <c r="O7219" t="s">
        <v>47425</v>
      </c>
      <c r="P7219">
        <v>0</v>
      </c>
      <c r="Q7219">
        <v>4</v>
      </c>
      <c r="R7219" t="s">
        <v>47431</v>
      </c>
      <c r="S7219" t="s">
        <v>47565</v>
      </c>
      <c r="T7219" t="s">
        <v>49107</v>
      </c>
      <c r="U7219" t="s">
        <v>55728</v>
      </c>
      <c r="W7219" t="s">
        <v>45491</v>
      </c>
      <c r="X7219" t="s">
        <v>47432</v>
      </c>
    </row>
    <row r="7220" spans="1:24">
      <c r="A7220">
        <f>HYPERLINK("https://www.philgeps.gov.ph/GEPSNONPILOT/Tender/SplashBidNoticeAbstractUI.aspx?menuIndex=3&amp;refID=7157122&amp;Result=3","7157122")</f>
        <v>0</v>
      </c>
      <c r="B7220" t="s">
        <v>2499</v>
      </c>
      <c r="C7220" t="s">
        <v>10689</v>
      </c>
      <c r="D7220" t="s">
        <v>19088</v>
      </c>
      <c r="E7220" t="s">
        <v>19625</v>
      </c>
      <c r="F7220" t="s">
        <v>32831</v>
      </c>
      <c r="G7220" t="s">
        <v>32839</v>
      </c>
      <c r="H7220" t="s">
        <v>32849</v>
      </c>
      <c r="I7220" t="s">
        <v>4177</v>
      </c>
      <c r="J7220" t="s">
        <v>33644</v>
      </c>
      <c r="K7220" t="s">
        <v>42732</v>
      </c>
      <c r="M7220" t="s">
        <v>45706</v>
      </c>
      <c r="N7220" t="s">
        <v>47424</v>
      </c>
      <c r="O7220" t="s">
        <v>47425</v>
      </c>
      <c r="P7220">
        <v>0</v>
      </c>
      <c r="Q7220">
        <v>0</v>
      </c>
      <c r="R7220" t="s">
        <v>47431</v>
      </c>
      <c r="S7220" t="s">
        <v>47565</v>
      </c>
      <c r="T7220" t="s">
        <v>49115</v>
      </c>
      <c r="U7220" t="s">
        <v>55729</v>
      </c>
      <c r="W7220" t="s">
        <v>45706</v>
      </c>
      <c r="X7220" t="s">
        <v>47432</v>
      </c>
    </row>
    <row r="7221" spans="1:24">
      <c r="A7221">
        <f>HYPERLINK("https://www.philgeps.gov.ph/GEPSNONPILOT/Tender/SplashBidNoticeAbstractUI.aspx?menuIndex=3&amp;refID=7157142&amp;Result=3","7157142")</f>
        <v>0</v>
      </c>
      <c r="B7221" t="s">
        <v>2506</v>
      </c>
      <c r="C7221" t="s">
        <v>10690</v>
      </c>
      <c r="D7221" t="s">
        <v>19020</v>
      </c>
      <c r="E7221" t="s">
        <v>25387</v>
      </c>
      <c r="F7221" t="s">
        <v>32831</v>
      </c>
      <c r="G7221" t="s">
        <v>32839</v>
      </c>
      <c r="H7221" t="s">
        <v>32848</v>
      </c>
      <c r="I7221" t="s">
        <v>4487</v>
      </c>
      <c r="J7221" t="s">
        <v>37519</v>
      </c>
      <c r="K7221" t="s">
        <v>42727</v>
      </c>
      <c r="M7221" t="s">
        <v>45713</v>
      </c>
      <c r="N7221" t="s">
        <v>47424</v>
      </c>
      <c r="O7221" t="s">
        <v>47425</v>
      </c>
      <c r="P7221">
        <v>0</v>
      </c>
      <c r="Q7221">
        <v>7</v>
      </c>
      <c r="R7221" t="s">
        <v>47431</v>
      </c>
      <c r="S7221" t="s">
        <v>47565</v>
      </c>
      <c r="T7221" t="s">
        <v>49192</v>
      </c>
      <c r="U7221" t="s">
        <v>55730</v>
      </c>
      <c r="V7221" t="s">
        <v>63423</v>
      </c>
      <c r="W7221" t="s">
        <v>64512</v>
      </c>
      <c r="X7221" t="s">
        <v>47432</v>
      </c>
    </row>
    <row r="7222" spans="1:24">
      <c r="A7222">
        <f>HYPERLINK("https://www.philgeps.gov.ph/GEPSNONPILOT/Tender/SplashBidNoticeAbstractUI.aspx?menuIndex=3&amp;refID=7157127&amp;Result=3","7157127")</f>
        <v>0</v>
      </c>
      <c r="B7222" t="s">
        <v>804</v>
      </c>
      <c r="C7222" t="s">
        <v>10691</v>
      </c>
      <c r="D7222" t="s">
        <v>19063</v>
      </c>
      <c r="E7222" t="s">
        <v>25388</v>
      </c>
      <c r="F7222" t="s">
        <v>32831</v>
      </c>
      <c r="G7222" t="s">
        <v>32840</v>
      </c>
      <c r="H7222" t="s">
        <v>32848</v>
      </c>
      <c r="I7222" t="s">
        <v>4776</v>
      </c>
      <c r="J7222" t="s">
        <v>33040</v>
      </c>
      <c r="K7222" t="s">
        <v>42731</v>
      </c>
      <c r="M7222" t="s">
        <v>43835</v>
      </c>
      <c r="N7222" t="s">
        <v>47424</v>
      </c>
      <c r="O7222" t="s">
        <v>47425</v>
      </c>
      <c r="P7222">
        <v>0</v>
      </c>
      <c r="Q7222">
        <v>0</v>
      </c>
      <c r="R7222" t="s">
        <v>47431</v>
      </c>
      <c r="S7222" t="s">
        <v>47565</v>
      </c>
      <c r="T7222" t="s">
        <v>49061</v>
      </c>
      <c r="U7222" t="s">
        <v>55731</v>
      </c>
      <c r="W7222" t="s">
        <v>43835</v>
      </c>
      <c r="X7222" t="s">
        <v>47432</v>
      </c>
    </row>
    <row r="7223" spans="1:24">
      <c r="A7223">
        <f>HYPERLINK("https://www.philgeps.gov.ph/GEPSNONPILOT/Tender/SplashBidNoticeAbstractUI.aspx?menuIndex=3&amp;refID=7157236&amp;Result=3","7157236")</f>
        <v>0</v>
      </c>
      <c r="B7223" t="s">
        <v>1303</v>
      </c>
      <c r="C7223" t="s">
        <v>10692</v>
      </c>
      <c r="D7223" t="s">
        <v>19045</v>
      </c>
      <c r="E7223" t="s">
        <v>25389</v>
      </c>
      <c r="F7223" t="s">
        <v>32831</v>
      </c>
      <c r="G7223" t="s">
        <v>32838</v>
      </c>
      <c r="H7223" t="s">
        <v>32848</v>
      </c>
      <c r="I7223" t="s">
        <v>32921</v>
      </c>
      <c r="J7223" t="s">
        <v>37520</v>
      </c>
      <c r="K7223" t="s">
        <v>42726</v>
      </c>
      <c r="M7223" t="s">
        <v>44373</v>
      </c>
      <c r="N7223" t="s">
        <v>47424</v>
      </c>
      <c r="O7223" t="s">
        <v>47425</v>
      </c>
      <c r="P7223">
        <v>0</v>
      </c>
      <c r="Q7223">
        <v>0</v>
      </c>
      <c r="R7223" t="s">
        <v>47431</v>
      </c>
      <c r="S7223" t="s">
        <v>47565</v>
      </c>
      <c r="T7223" t="s">
        <v>49100</v>
      </c>
      <c r="U7223" t="s">
        <v>55732</v>
      </c>
      <c r="W7223" t="s">
        <v>44373</v>
      </c>
      <c r="X7223" t="s">
        <v>47432</v>
      </c>
    </row>
    <row r="7224" spans="1:24">
      <c r="A7224">
        <f>HYPERLINK("https://www.philgeps.gov.ph/GEPSNONPILOT/Tender/SplashBidNoticeAbstractUI.aspx?menuIndex=3&amp;refID=7157232&amp;Result=3","7157232")</f>
        <v>0</v>
      </c>
      <c r="B7224" t="s">
        <v>1741</v>
      </c>
      <c r="C7224" t="s">
        <v>10693</v>
      </c>
      <c r="D7224" t="s">
        <v>19023</v>
      </c>
      <c r="E7224" t="s">
        <v>19200</v>
      </c>
      <c r="F7224" t="s">
        <v>32831</v>
      </c>
      <c r="G7224" t="s">
        <v>32839</v>
      </c>
      <c r="H7224" t="s">
        <v>32848</v>
      </c>
      <c r="I7224" t="s">
        <v>4776</v>
      </c>
      <c r="J7224" t="s">
        <v>37521</v>
      </c>
      <c r="K7224" t="s">
        <v>42732</v>
      </c>
      <c r="M7224" t="s">
        <v>44864</v>
      </c>
      <c r="N7224" t="s">
        <v>47424</v>
      </c>
      <c r="O7224" t="s">
        <v>47425</v>
      </c>
      <c r="P7224">
        <v>0</v>
      </c>
      <c r="Q7224">
        <v>0</v>
      </c>
      <c r="R7224" t="s">
        <v>47431</v>
      </c>
      <c r="S7224" t="s">
        <v>47565</v>
      </c>
      <c r="T7224" t="s">
        <v>49181</v>
      </c>
      <c r="U7224" t="s">
        <v>55733</v>
      </c>
      <c r="W7224" t="s">
        <v>44864</v>
      </c>
      <c r="X7224" t="s">
        <v>47432</v>
      </c>
    </row>
    <row r="7225" spans="1:24">
      <c r="A7225">
        <f>HYPERLINK("https://www.philgeps.gov.ph/GEPSNONPILOT/Tender/SplashBidNoticeAbstractUI.aspx?menuIndex=3&amp;refID=7156702&amp;Result=3","7156702")</f>
        <v>0</v>
      </c>
      <c r="B7225" t="s">
        <v>2443</v>
      </c>
      <c r="C7225" t="s">
        <v>4431</v>
      </c>
      <c r="D7225" t="s">
        <v>19023</v>
      </c>
      <c r="E7225" t="s">
        <v>25390</v>
      </c>
      <c r="F7225" t="s">
        <v>32831</v>
      </c>
      <c r="G7225" t="s">
        <v>32842</v>
      </c>
      <c r="H7225" t="s">
        <v>32848</v>
      </c>
      <c r="I7225" t="s">
        <v>32857</v>
      </c>
      <c r="J7225" t="s">
        <v>33640</v>
      </c>
      <c r="K7225" t="s">
        <v>42758</v>
      </c>
      <c r="L7225" t="s">
        <v>2443</v>
      </c>
      <c r="M7225" t="s">
        <v>45640</v>
      </c>
      <c r="N7225" t="s">
        <v>47424</v>
      </c>
      <c r="O7225" t="s">
        <v>47425</v>
      </c>
      <c r="P7225">
        <v>0</v>
      </c>
      <c r="Q7225">
        <v>4</v>
      </c>
      <c r="R7225" t="s">
        <v>47431</v>
      </c>
      <c r="S7225" t="s">
        <v>47565</v>
      </c>
      <c r="T7225" t="s">
        <v>49111</v>
      </c>
      <c r="U7225" t="s">
        <v>55734</v>
      </c>
      <c r="W7225" t="s">
        <v>45640</v>
      </c>
      <c r="X7225" t="s">
        <v>47432</v>
      </c>
    </row>
    <row r="7226" spans="1:24">
      <c r="A7226">
        <f>HYPERLINK("https://www.philgeps.gov.ph/GEPSNONPILOT/Tender/SplashBidNoticeAbstractUI.aspx?menuIndex=3&amp;refID=7157230&amp;Result=3","7157230")</f>
        <v>0</v>
      </c>
      <c r="B7226" t="s">
        <v>2500</v>
      </c>
      <c r="C7226" t="s">
        <v>10694</v>
      </c>
      <c r="D7226" t="s">
        <v>19052</v>
      </c>
      <c r="E7226" t="s">
        <v>25391</v>
      </c>
      <c r="F7226" t="s">
        <v>32831</v>
      </c>
      <c r="G7226" t="s">
        <v>32838</v>
      </c>
      <c r="H7226" t="s">
        <v>32848</v>
      </c>
      <c r="I7226" t="s">
        <v>9577</v>
      </c>
      <c r="J7226" t="s">
        <v>37522</v>
      </c>
      <c r="K7226" t="s">
        <v>42730</v>
      </c>
      <c r="L7226" t="s">
        <v>2500</v>
      </c>
      <c r="M7226" t="s">
        <v>45707</v>
      </c>
      <c r="N7226" t="s">
        <v>47424</v>
      </c>
      <c r="O7226" t="s">
        <v>47425</v>
      </c>
      <c r="P7226">
        <v>0</v>
      </c>
      <c r="Q7226">
        <v>3</v>
      </c>
      <c r="R7226" t="s">
        <v>47431</v>
      </c>
      <c r="S7226" t="s">
        <v>47565</v>
      </c>
      <c r="T7226" t="s">
        <v>49056</v>
      </c>
      <c r="U7226" t="s">
        <v>55735</v>
      </c>
      <c r="V7226" t="s">
        <v>63422</v>
      </c>
      <c r="W7226" t="s">
        <v>45707</v>
      </c>
      <c r="X7226" t="s">
        <v>47432</v>
      </c>
    </row>
    <row r="7227" spans="1:24">
      <c r="A7227">
        <f>HYPERLINK("https://www.philgeps.gov.ph/GEPSNONPILOT/Tender/SplashBidNoticeAbstractUI.aspx?menuIndex=3&amp;refID=7156729&amp;Result=3","7156729")</f>
        <v>0</v>
      </c>
      <c r="B7227" t="s">
        <v>1068</v>
      </c>
      <c r="C7227" t="s">
        <v>10695</v>
      </c>
      <c r="D7227" t="s">
        <v>19021</v>
      </c>
      <c r="E7227" t="s">
        <v>25392</v>
      </c>
      <c r="F7227" t="s">
        <v>32831</v>
      </c>
      <c r="G7227" t="s">
        <v>32839</v>
      </c>
      <c r="H7227" t="s">
        <v>32849</v>
      </c>
      <c r="I7227" t="s">
        <v>4177</v>
      </c>
      <c r="J7227" t="s">
        <v>33118</v>
      </c>
      <c r="K7227" t="s">
        <v>42780</v>
      </c>
      <c r="M7227" t="s">
        <v>44125</v>
      </c>
      <c r="N7227" t="s">
        <v>47424</v>
      </c>
      <c r="O7227" t="s">
        <v>47425</v>
      </c>
      <c r="P7227">
        <v>0</v>
      </c>
      <c r="Q7227">
        <v>28</v>
      </c>
      <c r="R7227" t="s">
        <v>47431</v>
      </c>
      <c r="S7227" t="s">
        <v>47565</v>
      </c>
      <c r="T7227" t="s">
        <v>49108</v>
      </c>
      <c r="U7227" t="s">
        <v>55649</v>
      </c>
      <c r="V7227" t="s">
        <v>63390</v>
      </c>
      <c r="W7227" t="s">
        <v>44125</v>
      </c>
      <c r="X7227" t="s">
        <v>47432</v>
      </c>
    </row>
    <row r="7228" spans="1:24">
      <c r="A7228">
        <f>HYPERLINK("https://www.philgeps.gov.ph/GEPSNONPILOT/Tender/SplashBidNoticeAbstractUI.aspx?menuIndex=3&amp;refID=7157129&amp;Result=3","7157129")</f>
        <v>0</v>
      </c>
      <c r="B7228" t="s">
        <v>2507</v>
      </c>
      <c r="C7228" t="s">
        <v>5187</v>
      </c>
      <c r="D7228" t="s">
        <v>19062</v>
      </c>
      <c r="E7228" t="s">
        <v>25393</v>
      </c>
      <c r="F7228" t="s">
        <v>32831</v>
      </c>
      <c r="G7228" t="s">
        <v>32839</v>
      </c>
      <c r="H7228" t="s">
        <v>32848</v>
      </c>
      <c r="I7228" t="s">
        <v>32855</v>
      </c>
      <c r="J7228" t="s">
        <v>37523</v>
      </c>
      <c r="K7228" t="s">
        <v>42726</v>
      </c>
      <c r="M7228" t="s">
        <v>45714</v>
      </c>
      <c r="N7228" t="s">
        <v>47424</v>
      </c>
      <c r="O7228" t="s">
        <v>47425</v>
      </c>
      <c r="P7228">
        <v>0</v>
      </c>
      <c r="Q7228">
        <v>1</v>
      </c>
      <c r="R7228" t="s">
        <v>47431</v>
      </c>
      <c r="S7228" t="s">
        <v>47565</v>
      </c>
      <c r="T7228" t="s">
        <v>49073</v>
      </c>
      <c r="U7228" t="s">
        <v>55736</v>
      </c>
      <c r="W7228" t="s">
        <v>45714</v>
      </c>
      <c r="X7228" t="s">
        <v>47432</v>
      </c>
    </row>
    <row r="7229" spans="1:24">
      <c r="A7229">
        <f>HYPERLINK("https://www.philgeps.gov.ph/GEPSNONPILOT/Tender/SplashBidNoticeAbstractUI.aspx?menuIndex=3&amp;refID=7157233&amp;Result=3","7157233")</f>
        <v>0</v>
      </c>
      <c r="B7229" t="s">
        <v>2508</v>
      </c>
      <c r="C7229" t="s">
        <v>10696</v>
      </c>
      <c r="D7229" t="s">
        <v>19022</v>
      </c>
      <c r="E7229" t="s">
        <v>25394</v>
      </c>
      <c r="F7229" t="s">
        <v>32831</v>
      </c>
      <c r="G7229" t="s">
        <v>32838</v>
      </c>
      <c r="H7229" t="s">
        <v>32848</v>
      </c>
      <c r="I7229" t="s">
        <v>4776</v>
      </c>
      <c r="J7229" t="s">
        <v>33677</v>
      </c>
      <c r="K7229" t="s">
        <v>42747</v>
      </c>
      <c r="M7229" t="s">
        <v>45715</v>
      </c>
      <c r="N7229" t="s">
        <v>47424</v>
      </c>
      <c r="O7229" t="s">
        <v>47425</v>
      </c>
      <c r="P7229">
        <v>0</v>
      </c>
      <c r="Q7229">
        <v>0</v>
      </c>
      <c r="R7229" t="s">
        <v>47431</v>
      </c>
      <c r="S7229" t="s">
        <v>47565</v>
      </c>
      <c r="T7229" t="s">
        <v>49114</v>
      </c>
      <c r="U7229" t="s">
        <v>55737</v>
      </c>
      <c r="W7229" t="s">
        <v>45715</v>
      </c>
      <c r="X7229" t="s">
        <v>47432</v>
      </c>
    </row>
    <row r="7230" spans="1:24">
      <c r="A7230">
        <f>HYPERLINK("https://www.philgeps.gov.ph/GEPSNONPILOT/Tender/SplashBidNoticeAbstractUI.aspx?menuIndex=3&amp;refID=7157224&amp;Result=3","7157224")</f>
        <v>0</v>
      </c>
      <c r="B7230" t="s">
        <v>43</v>
      </c>
      <c r="C7230" t="s">
        <v>3976</v>
      </c>
      <c r="D7230" t="s">
        <v>19032</v>
      </c>
      <c r="E7230" t="s">
        <v>25395</v>
      </c>
      <c r="F7230" t="s">
        <v>32831</v>
      </c>
      <c r="G7230" t="s">
        <v>32839</v>
      </c>
      <c r="H7230" t="s">
        <v>32849</v>
      </c>
      <c r="I7230" t="s">
        <v>4177</v>
      </c>
      <c r="J7230" t="s">
        <v>33315</v>
      </c>
      <c r="K7230" t="s">
        <v>42730</v>
      </c>
      <c r="M7230" t="s">
        <v>43040</v>
      </c>
      <c r="N7230" t="s">
        <v>47424</v>
      </c>
      <c r="O7230" t="s">
        <v>47425</v>
      </c>
      <c r="P7230">
        <v>0</v>
      </c>
      <c r="Q7230">
        <v>0</v>
      </c>
      <c r="R7230" t="s">
        <v>47431</v>
      </c>
      <c r="S7230" t="s">
        <v>47565</v>
      </c>
      <c r="T7230" t="s">
        <v>49474</v>
      </c>
      <c r="U7230" t="s">
        <v>55738</v>
      </c>
      <c r="W7230" t="s">
        <v>43040</v>
      </c>
      <c r="X7230" t="s">
        <v>47432</v>
      </c>
    </row>
    <row r="7231" spans="1:24">
      <c r="A7231">
        <f>HYPERLINK("https://www.philgeps.gov.ph/GEPSNONPILOT/Tender/SplashBidNoticeAbstractUI.aspx?menuIndex=3&amp;refID=7157228&amp;Result=3","7157228")</f>
        <v>0</v>
      </c>
      <c r="B7231" t="s">
        <v>100</v>
      </c>
      <c r="C7231" t="s">
        <v>10697</v>
      </c>
      <c r="D7231" t="s">
        <v>19017</v>
      </c>
      <c r="E7231" t="s">
        <v>25396</v>
      </c>
      <c r="F7231" t="s">
        <v>32831</v>
      </c>
      <c r="G7231" t="s">
        <v>32838</v>
      </c>
      <c r="H7231" t="s">
        <v>32848</v>
      </c>
      <c r="I7231" t="s">
        <v>32863</v>
      </c>
      <c r="J7231" t="s">
        <v>37524</v>
      </c>
      <c r="K7231" t="s">
        <v>42731</v>
      </c>
      <c r="M7231" t="s">
        <v>45058</v>
      </c>
      <c r="N7231" t="s">
        <v>47424</v>
      </c>
      <c r="O7231" t="s">
        <v>47425</v>
      </c>
      <c r="P7231">
        <v>0</v>
      </c>
      <c r="Q7231">
        <v>2</v>
      </c>
      <c r="R7231" t="s">
        <v>47431</v>
      </c>
      <c r="S7231" t="s">
        <v>47565</v>
      </c>
      <c r="T7231" t="s">
        <v>49374</v>
      </c>
      <c r="U7231" t="s">
        <v>55739</v>
      </c>
      <c r="V7231" t="s">
        <v>63021</v>
      </c>
      <c r="W7231" t="s">
        <v>45058</v>
      </c>
      <c r="X7231" t="s">
        <v>47432</v>
      </c>
    </row>
    <row r="7232" spans="1:24">
      <c r="A7232">
        <f>HYPERLINK("https://www.philgeps.gov.ph/GEPSNONPILOT/Tender/SplashBidNoticeAbstractUI.aspx?menuIndex=3&amp;refID=7157216&amp;Result=3","7157216")</f>
        <v>0</v>
      </c>
      <c r="B7232" t="s">
        <v>1753</v>
      </c>
      <c r="C7232" t="s">
        <v>10698</v>
      </c>
      <c r="D7232" t="s">
        <v>19104</v>
      </c>
      <c r="E7232" t="s">
        <v>25397</v>
      </c>
      <c r="F7232" t="s">
        <v>32831</v>
      </c>
      <c r="G7232" t="s">
        <v>32838</v>
      </c>
      <c r="H7232" t="s">
        <v>32848</v>
      </c>
      <c r="I7232" t="s">
        <v>4776</v>
      </c>
      <c r="J7232" t="s">
        <v>33041</v>
      </c>
      <c r="K7232" t="s">
        <v>42727</v>
      </c>
      <c r="M7232" t="s">
        <v>44877</v>
      </c>
      <c r="N7232" t="s">
        <v>47424</v>
      </c>
      <c r="O7232" t="s">
        <v>47425</v>
      </c>
      <c r="P7232">
        <v>0</v>
      </c>
      <c r="Q7232">
        <v>0</v>
      </c>
      <c r="R7232" t="s">
        <v>47431</v>
      </c>
      <c r="S7232" t="s">
        <v>47565</v>
      </c>
      <c r="T7232" t="s">
        <v>49111</v>
      </c>
      <c r="U7232" t="s">
        <v>55740</v>
      </c>
      <c r="W7232" t="s">
        <v>44877</v>
      </c>
      <c r="X7232" t="s">
        <v>47432</v>
      </c>
    </row>
    <row r="7233" spans="1:24">
      <c r="A7233">
        <f>HYPERLINK("https://www.philgeps.gov.ph/GEPSNONPILOT/Tender/SplashBidNoticeAbstractUI.aspx?menuIndex=3&amp;refID=7156731&amp;Result=3","7156731")</f>
        <v>0</v>
      </c>
      <c r="B7233" t="s">
        <v>2465</v>
      </c>
      <c r="C7233" t="s">
        <v>10699</v>
      </c>
      <c r="D7233" t="s">
        <v>19017</v>
      </c>
      <c r="E7233" t="s">
        <v>25398</v>
      </c>
      <c r="F7233" t="s">
        <v>32831</v>
      </c>
      <c r="G7233" t="s">
        <v>32839</v>
      </c>
      <c r="H7233" t="s">
        <v>32848</v>
      </c>
      <c r="I7233" t="s">
        <v>32852</v>
      </c>
      <c r="J7233" t="s">
        <v>37525</v>
      </c>
      <c r="K7233" t="s">
        <v>42730</v>
      </c>
      <c r="M7233" t="s">
        <v>45663</v>
      </c>
      <c r="N7233" t="s">
        <v>47424</v>
      </c>
      <c r="O7233" t="s">
        <v>47425</v>
      </c>
      <c r="P7233">
        <v>0</v>
      </c>
      <c r="Q7233">
        <v>6</v>
      </c>
      <c r="R7233" t="s">
        <v>47431</v>
      </c>
      <c r="S7233" t="s">
        <v>47565</v>
      </c>
      <c r="T7233" t="s">
        <v>49079</v>
      </c>
      <c r="U7233" t="s">
        <v>55741</v>
      </c>
      <c r="W7233" t="s">
        <v>45663</v>
      </c>
      <c r="X7233" t="s">
        <v>47432</v>
      </c>
    </row>
    <row r="7234" spans="1:24">
      <c r="A7234">
        <f>HYPERLINK("https://www.philgeps.gov.ph/GEPSNONPILOT/Tender/SplashBidNoticeAbstractUI.aspx?menuIndex=3&amp;refID=7157218&amp;Result=3","7157218")</f>
        <v>0</v>
      </c>
      <c r="B7234" t="s">
        <v>2488</v>
      </c>
      <c r="C7234" t="s">
        <v>10700</v>
      </c>
      <c r="D7234" t="s">
        <v>19045</v>
      </c>
      <c r="E7234" t="s">
        <v>25399</v>
      </c>
      <c r="F7234" t="s">
        <v>32831</v>
      </c>
      <c r="G7234" t="s">
        <v>32838</v>
      </c>
      <c r="H7234" t="s">
        <v>32848</v>
      </c>
      <c r="I7234" t="s">
        <v>32894</v>
      </c>
      <c r="J7234" t="s">
        <v>34930</v>
      </c>
      <c r="K7234" t="s">
        <v>42745</v>
      </c>
      <c r="L7234" t="s">
        <v>2488</v>
      </c>
      <c r="M7234" t="s">
        <v>45693</v>
      </c>
      <c r="N7234" t="s">
        <v>47424</v>
      </c>
      <c r="O7234" t="s">
        <v>47425</v>
      </c>
      <c r="P7234">
        <v>0</v>
      </c>
      <c r="Q7234">
        <v>2</v>
      </c>
      <c r="R7234" t="s">
        <v>47431</v>
      </c>
      <c r="S7234" t="s">
        <v>47565</v>
      </c>
      <c r="T7234" t="s">
        <v>49166</v>
      </c>
      <c r="U7234" t="s">
        <v>50832</v>
      </c>
      <c r="W7234" t="s">
        <v>45693</v>
      </c>
      <c r="X7234" t="s">
        <v>47432</v>
      </c>
    </row>
    <row r="7235" spans="1:24">
      <c r="A7235">
        <f>HYPERLINK("https://www.philgeps.gov.ph/GEPSNONPILOT/Tender/SplashBidNoticeAbstractUI.aspx?menuIndex=3&amp;refID=7157274&amp;Result=3","7157274")</f>
        <v>0</v>
      </c>
      <c r="B7235" t="s">
        <v>2495</v>
      </c>
      <c r="C7235" t="s">
        <v>10701</v>
      </c>
      <c r="D7235" t="s">
        <v>19017</v>
      </c>
      <c r="E7235" t="s">
        <v>25400</v>
      </c>
      <c r="F7235" t="s">
        <v>32831</v>
      </c>
      <c r="G7235" t="s">
        <v>32838</v>
      </c>
      <c r="H7235" t="s">
        <v>32848</v>
      </c>
      <c r="I7235" t="s">
        <v>32962</v>
      </c>
      <c r="J7235" t="s">
        <v>37526</v>
      </c>
      <c r="K7235" t="s">
        <v>42729</v>
      </c>
      <c r="M7235" t="s">
        <v>45701</v>
      </c>
      <c r="N7235" t="s">
        <v>47424</v>
      </c>
      <c r="O7235" t="s">
        <v>47425</v>
      </c>
      <c r="P7235">
        <v>0</v>
      </c>
      <c r="Q7235">
        <v>1</v>
      </c>
      <c r="R7235" t="s">
        <v>47431</v>
      </c>
      <c r="S7235" t="s">
        <v>47565</v>
      </c>
      <c r="T7235" t="s">
        <v>49114</v>
      </c>
      <c r="U7235" t="s">
        <v>49907</v>
      </c>
      <c r="W7235" t="s">
        <v>45701</v>
      </c>
      <c r="X7235" t="s">
        <v>47432</v>
      </c>
    </row>
    <row r="7236" spans="1:24">
      <c r="A7236">
        <f>HYPERLINK("https://www.philgeps.gov.ph/GEPSNONPILOT/Tender/SplashBidNoticeAbstractUI.aspx?menuIndex=3&amp;refID=7157227&amp;Result=3","7157227")</f>
        <v>0</v>
      </c>
      <c r="B7236" t="s">
        <v>657</v>
      </c>
      <c r="C7236" t="s">
        <v>10702</v>
      </c>
      <c r="D7236" t="s">
        <v>19027</v>
      </c>
      <c r="E7236" t="s">
        <v>25401</v>
      </c>
      <c r="F7236" t="s">
        <v>32831</v>
      </c>
      <c r="G7236" t="s">
        <v>32839</v>
      </c>
      <c r="H7236" t="s">
        <v>32848</v>
      </c>
      <c r="I7236" t="s">
        <v>7751</v>
      </c>
      <c r="J7236" t="s">
        <v>35573</v>
      </c>
      <c r="K7236" t="s">
        <v>42732</v>
      </c>
      <c r="M7236" t="s">
        <v>43675</v>
      </c>
      <c r="N7236" t="s">
        <v>47424</v>
      </c>
      <c r="O7236" t="s">
        <v>47425</v>
      </c>
      <c r="P7236">
        <v>0</v>
      </c>
      <c r="Q7236">
        <v>6</v>
      </c>
      <c r="R7236" t="s">
        <v>47431</v>
      </c>
      <c r="S7236" t="s">
        <v>47565</v>
      </c>
      <c r="T7236" t="s">
        <v>49181</v>
      </c>
      <c r="U7236" t="s">
        <v>55155</v>
      </c>
      <c r="W7236" t="s">
        <v>43675</v>
      </c>
      <c r="X7236" t="s">
        <v>47432</v>
      </c>
    </row>
    <row r="7237" spans="1:24">
      <c r="A7237">
        <f>HYPERLINK("https://www.philgeps.gov.ph/GEPSNONPILOT/Tender/SplashBidNoticeAbstractUI.aspx?menuIndex=3&amp;refID=7157273&amp;Result=3","7157273")</f>
        <v>0</v>
      </c>
      <c r="B7237" t="s">
        <v>2509</v>
      </c>
      <c r="C7237" t="s">
        <v>10703</v>
      </c>
      <c r="D7237" t="s">
        <v>19093</v>
      </c>
      <c r="E7237" t="s">
        <v>25402</v>
      </c>
      <c r="F7237" t="s">
        <v>32831</v>
      </c>
      <c r="G7237" t="s">
        <v>32838</v>
      </c>
      <c r="H7237" t="s">
        <v>32848</v>
      </c>
      <c r="I7237" t="s">
        <v>7437</v>
      </c>
      <c r="J7237" t="s">
        <v>37527</v>
      </c>
      <c r="K7237" t="s">
        <v>42726</v>
      </c>
      <c r="L7237" t="s">
        <v>2509</v>
      </c>
      <c r="M7237" t="s">
        <v>45716</v>
      </c>
      <c r="N7237" t="s">
        <v>47424</v>
      </c>
      <c r="O7237" t="s">
        <v>47425</v>
      </c>
      <c r="P7237">
        <v>0</v>
      </c>
      <c r="Q7237">
        <v>2</v>
      </c>
      <c r="R7237" t="s">
        <v>47431</v>
      </c>
      <c r="S7237" t="s">
        <v>47565</v>
      </c>
      <c r="T7237" t="s">
        <v>49166</v>
      </c>
      <c r="U7237" t="s">
        <v>55742</v>
      </c>
      <c r="W7237" t="s">
        <v>45716</v>
      </c>
      <c r="X7237" t="s">
        <v>47432</v>
      </c>
    </row>
    <row r="7238" spans="1:24">
      <c r="A7238">
        <f>HYPERLINK("https://www.philgeps.gov.ph/GEPSNONPILOT/Tender/SplashBidNoticeAbstractUI.aspx?menuIndex=3&amp;refID=7157266&amp;Result=3","7157266")</f>
        <v>0</v>
      </c>
      <c r="B7238" t="s">
        <v>2510</v>
      </c>
      <c r="C7238" t="s">
        <v>10704</v>
      </c>
      <c r="D7238" t="s">
        <v>19042</v>
      </c>
      <c r="E7238" t="s">
        <v>25403</v>
      </c>
      <c r="F7238" t="s">
        <v>32831</v>
      </c>
      <c r="G7238" t="s">
        <v>32839</v>
      </c>
      <c r="H7238" t="s">
        <v>32848</v>
      </c>
      <c r="I7238" t="s">
        <v>7416</v>
      </c>
      <c r="J7238" t="s">
        <v>33184</v>
      </c>
      <c r="K7238" t="s">
        <v>42750</v>
      </c>
      <c r="M7238" t="s">
        <v>45717</v>
      </c>
      <c r="N7238" t="s">
        <v>47424</v>
      </c>
      <c r="O7238" t="s">
        <v>47425</v>
      </c>
      <c r="P7238">
        <v>0</v>
      </c>
      <c r="Q7238">
        <v>0</v>
      </c>
      <c r="R7238" t="s">
        <v>47431</v>
      </c>
      <c r="S7238" t="s">
        <v>47565</v>
      </c>
      <c r="T7238" t="s">
        <v>49192</v>
      </c>
      <c r="U7238" t="s">
        <v>55743</v>
      </c>
      <c r="V7238" t="s">
        <v>63424</v>
      </c>
      <c r="W7238" t="s">
        <v>64513</v>
      </c>
      <c r="X7238" t="s">
        <v>47432</v>
      </c>
    </row>
    <row r="7239" spans="1:24">
      <c r="A7239">
        <f>HYPERLINK("https://www.philgeps.gov.ph/GEPSNONPILOT/Tender/SplashBidNoticeAbstractUI.aspx?menuIndex=3&amp;refID=7157278&amp;Result=3","7157278")</f>
        <v>0</v>
      </c>
      <c r="B7239" t="s">
        <v>2363</v>
      </c>
      <c r="C7239" t="s">
        <v>10705</v>
      </c>
      <c r="D7239" t="s">
        <v>19047</v>
      </c>
      <c r="E7239" t="s">
        <v>25404</v>
      </c>
      <c r="F7239" t="s">
        <v>32831</v>
      </c>
      <c r="G7239" t="s">
        <v>32842</v>
      </c>
      <c r="H7239" t="s">
        <v>32848</v>
      </c>
      <c r="I7239" t="s">
        <v>32874</v>
      </c>
      <c r="J7239" t="s">
        <v>33812</v>
      </c>
      <c r="K7239" t="s">
        <v>42732</v>
      </c>
      <c r="M7239" t="s">
        <v>45703</v>
      </c>
      <c r="N7239" t="s">
        <v>47424</v>
      </c>
      <c r="O7239" t="s">
        <v>47425</v>
      </c>
      <c r="P7239">
        <v>0</v>
      </c>
      <c r="Q7239">
        <v>22</v>
      </c>
      <c r="R7239" t="s">
        <v>47431</v>
      </c>
      <c r="S7239" t="s">
        <v>47565</v>
      </c>
      <c r="T7239" t="s">
        <v>49237</v>
      </c>
      <c r="U7239" t="s">
        <v>55675</v>
      </c>
      <c r="W7239" t="s">
        <v>45703</v>
      </c>
      <c r="X7239" t="s">
        <v>47432</v>
      </c>
    </row>
    <row r="7240" spans="1:24">
      <c r="A7240">
        <f>HYPERLINK("https://www.philgeps.gov.ph/GEPSNONPILOT/Tender/SplashBidNoticeAbstractUI.aspx?menuIndex=3&amp;refID=7157260&amp;Result=3","7157260")</f>
        <v>0</v>
      </c>
      <c r="B7240" t="s">
        <v>1839</v>
      </c>
      <c r="C7240" t="s">
        <v>10706</v>
      </c>
      <c r="D7240" t="s">
        <v>19033</v>
      </c>
      <c r="E7240" t="s">
        <v>25405</v>
      </c>
      <c r="F7240" t="s">
        <v>32831</v>
      </c>
      <c r="G7240" t="s">
        <v>32840</v>
      </c>
      <c r="H7240" t="s">
        <v>32848</v>
      </c>
      <c r="I7240" t="s">
        <v>9577</v>
      </c>
      <c r="J7240" t="s">
        <v>37528</v>
      </c>
      <c r="K7240" t="s">
        <v>42730</v>
      </c>
      <c r="M7240" t="s">
        <v>44973</v>
      </c>
      <c r="N7240" t="s">
        <v>47424</v>
      </c>
      <c r="O7240" t="s">
        <v>47425</v>
      </c>
      <c r="P7240">
        <v>0</v>
      </c>
      <c r="Q7240">
        <v>4</v>
      </c>
      <c r="R7240" t="s">
        <v>47431</v>
      </c>
      <c r="S7240" t="s">
        <v>47565</v>
      </c>
      <c r="T7240" t="s">
        <v>49177</v>
      </c>
      <c r="U7240" t="s">
        <v>55744</v>
      </c>
      <c r="W7240" t="s">
        <v>44973</v>
      </c>
      <c r="X7240" t="s">
        <v>47432</v>
      </c>
    </row>
    <row r="7241" spans="1:24">
      <c r="A7241">
        <f>HYPERLINK("https://www.philgeps.gov.ph/GEPSNONPILOT/Tender/SplashBidNoticeAbstractUI.aspx?menuIndex=3&amp;refID=7157257&amp;Result=3","7157257")</f>
        <v>0</v>
      </c>
      <c r="B7241" t="s">
        <v>2029</v>
      </c>
      <c r="C7241" t="s">
        <v>10707</v>
      </c>
      <c r="D7241" t="s">
        <v>19067</v>
      </c>
      <c r="E7241" t="s">
        <v>25406</v>
      </c>
      <c r="F7241" t="s">
        <v>32831</v>
      </c>
      <c r="G7241" t="s">
        <v>32840</v>
      </c>
      <c r="H7241" t="s">
        <v>32848</v>
      </c>
      <c r="I7241" t="s">
        <v>10643</v>
      </c>
      <c r="J7241" t="s">
        <v>37529</v>
      </c>
      <c r="K7241" t="s">
        <v>42732</v>
      </c>
      <c r="M7241" t="s">
        <v>45197</v>
      </c>
      <c r="N7241" t="s">
        <v>47424</v>
      </c>
      <c r="O7241" t="s">
        <v>47425</v>
      </c>
      <c r="P7241">
        <v>0</v>
      </c>
      <c r="Q7241">
        <v>2</v>
      </c>
      <c r="R7241" t="s">
        <v>47431</v>
      </c>
      <c r="S7241" t="s">
        <v>47565</v>
      </c>
      <c r="T7241" t="s">
        <v>49111</v>
      </c>
      <c r="U7241" t="s">
        <v>55745</v>
      </c>
      <c r="W7241" t="s">
        <v>45197</v>
      </c>
      <c r="X7241" t="s">
        <v>47432</v>
      </c>
    </row>
    <row r="7242" spans="1:24">
      <c r="A7242">
        <f>HYPERLINK("https://www.philgeps.gov.ph/GEPSNONPILOT/Tender/SplashBidNoticeAbstractUI.aspx?menuIndex=3&amp;refID=7157262&amp;Result=3","7157262")</f>
        <v>0</v>
      </c>
      <c r="B7242" t="s">
        <v>2499</v>
      </c>
      <c r="C7242" t="s">
        <v>10708</v>
      </c>
      <c r="D7242" t="s">
        <v>19088</v>
      </c>
      <c r="E7242" t="s">
        <v>22318</v>
      </c>
      <c r="F7242" t="s">
        <v>32831</v>
      </c>
      <c r="G7242" t="s">
        <v>32839</v>
      </c>
      <c r="H7242" t="s">
        <v>32849</v>
      </c>
      <c r="I7242" t="s">
        <v>4177</v>
      </c>
      <c r="J7242" t="s">
        <v>32980</v>
      </c>
      <c r="K7242" t="s">
        <v>42732</v>
      </c>
      <c r="M7242" t="s">
        <v>45706</v>
      </c>
      <c r="N7242" t="s">
        <v>47424</v>
      </c>
      <c r="O7242" t="s">
        <v>47425</v>
      </c>
      <c r="P7242">
        <v>0</v>
      </c>
      <c r="Q7242">
        <v>1</v>
      </c>
      <c r="R7242" t="s">
        <v>47431</v>
      </c>
      <c r="S7242" t="s">
        <v>47565</v>
      </c>
      <c r="T7242" t="s">
        <v>49115</v>
      </c>
      <c r="U7242" t="s">
        <v>55746</v>
      </c>
      <c r="W7242" t="s">
        <v>45706</v>
      </c>
      <c r="X7242" t="s">
        <v>47432</v>
      </c>
    </row>
    <row r="7243" spans="1:24">
      <c r="A7243">
        <f>HYPERLINK("https://www.philgeps.gov.ph/GEPSNONPILOT/Tender/SplashBidNoticeAbstractUI.aspx?menuIndex=3&amp;refID=7157261&amp;Result=3","7157261")</f>
        <v>0</v>
      </c>
      <c r="B7243" t="s">
        <v>671</v>
      </c>
      <c r="C7243" t="s">
        <v>10709</v>
      </c>
      <c r="D7243" t="s">
        <v>19030</v>
      </c>
      <c r="E7243" t="s">
        <v>25407</v>
      </c>
      <c r="F7243" t="s">
        <v>32831</v>
      </c>
      <c r="G7243" t="s">
        <v>32839</v>
      </c>
      <c r="H7243" t="s">
        <v>32848</v>
      </c>
      <c r="I7243" t="s">
        <v>32863</v>
      </c>
      <c r="J7243" t="s">
        <v>37530</v>
      </c>
      <c r="K7243" t="s">
        <v>42730</v>
      </c>
      <c r="M7243" t="s">
        <v>45674</v>
      </c>
      <c r="N7243" t="s">
        <v>47424</v>
      </c>
      <c r="O7243" t="s">
        <v>47425</v>
      </c>
      <c r="P7243">
        <v>0</v>
      </c>
      <c r="Q7243">
        <v>0</v>
      </c>
      <c r="R7243" t="s">
        <v>47431</v>
      </c>
      <c r="S7243" t="s">
        <v>47565</v>
      </c>
      <c r="T7243" t="s">
        <v>49470</v>
      </c>
      <c r="U7243" t="s">
        <v>52028</v>
      </c>
      <c r="V7243" t="s">
        <v>62919</v>
      </c>
      <c r="W7243" t="s">
        <v>45667</v>
      </c>
      <c r="X7243" t="s">
        <v>47432</v>
      </c>
    </row>
    <row r="7244" spans="1:24">
      <c r="A7244">
        <f>HYPERLINK("https://www.philgeps.gov.ph/GEPSNONPILOT/Tender/SplashBidNoticeAbstractUI.aspx?menuIndex=3&amp;refID=7157234&amp;Result=3","7157234")</f>
        <v>0</v>
      </c>
      <c r="B7244" t="s">
        <v>2490</v>
      </c>
      <c r="C7244" t="s">
        <v>10710</v>
      </c>
      <c r="E7244" t="s">
        <v>25408</v>
      </c>
      <c r="F7244" t="s">
        <v>32831</v>
      </c>
      <c r="G7244" t="s">
        <v>32840</v>
      </c>
      <c r="H7244" t="s">
        <v>32848</v>
      </c>
      <c r="I7244" t="s">
        <v>32852</v>
      </c>
      <c r="J7244" t="s">
        <v>37531</v>
      </c>
      <c r="K7244" t="s">
        <v>42732</v>
      </c>
      <c r="M7244" t="s">
        <v>45696</v>
      </c>
      <c r="N7244" t="s">
        <v>47424</v>
      </c>
      <c r="O7244" t="s">
        <v>47425</v>
      </c>
      <c r="P7244">
        <v>0</v>
      </c>
      <c r="Q7244">
        <v>1</v>
      </c>
      <c r="R7244" t="s">
        <v>47431</v>
      </c>
      <c r="S7244" t="s">
        <v>47565</v>
      </c>
      <c r="T7244" t="s">
        <v>49100</v>
      </c>
      <c r="U7244" t="s">
        <v>55646</v>
      </c>
      <c r="V7244" t="s">
        <v>63425</v>
      </c>
      <c r="W7244" t="s">
        <v>45696</v>
      </c>
      <c r="X7244" t="s">
        <v>47432</v>
      </c>
    </row>
    <row r="7245" spans="1:24">
      <c r="A7245">
        <f>HYPERLINK("https://www.philgeps.gov.ph/GEPSNONPILOT/Tender/SplashBidNoticeAbstractUI.aspx?menuIndex=3&amp;refID=7157250&amp;Result=3","7157250")</f>
        <v>0</v>
      </c>
      <c r="B7245" t="s">
        <v>2000</v>
      </c>
      <c r="C7245" t="s">
        <v>10711</v>
      </c>
      <c r="D7245" t="s">
        <v>19081</v>
      </c>
      <c r="E7245" t="s">
        <v>25409</v>
      </c>
      <c r="F7245" t="s">
        <v>32831</v>
      </c>
      <c r="G7245" t="s">
        <v>32839</v>
      </c>
      <c r="H7245" t="s">
        <v>32848</v>
      </c>
      <c r="I7245" t="s">
        <v>32870</v>
      </c>
      <c r="J7245" t="s">
        <v>37532</v>
      </c>
      <c r="K7245" t="s">
        <v>42727</v>
      </c>
      <c r="M7245" t="s">
        <v>45167</v>
      </c>
      <c r="N7245" t="s">
        <v>47424</v>
      </c>
      <c r="O7245" t="s">
        <v>47425</v>
      </c>
      <c r="P7245">
        <v>0</v>
      </c>
      <c r="Q7245">
        <v>1</v>
      </c>
      <c r="R7245" t="s">
        <v>47431</v>
      </c>
      <c r="S7245" t="s">
        <v>47565</v>
      </c>
      <c r="T7245" t="s">
        <v>49291</v>
      </c>
      <c r="U7245" t="s">
        <v>54228</v>
      </c>
      <c r="W7245" t="s">
        <v>45167</v>
      </c>
      <c r="X7245" t="s">
        <v>47432</v>
      </c>
    </row>
    <row r="7246" spans="1:24">
      <c r="A7246">
        <f>HYPERLINK("https://www.philgeps.gov.ph/GEPSNONPILOT/Tender/SplashBidNoticeAbstractUI.aspx?menuIndex=3&amp;refID=7157255&amp;Result=3","7157255")</f>
        <v>0</v>
      </c>
      <c r="B7246" t="s">
        <v>1048</v>
      </c>
      <c r="C7246" t="s">
        <v>10712</v>
      </c>
      <c r="D7246" t="s">
        <v>19017</v>
      </c>
      <c r="E7246" t="s">
        <v>25410</v>
      </c>
      <c r="F7246" t="s">
        <v>32831</v>
      </c>
      <c r="G7246" t="s">
        <v>32840</v>
      </c>
      <c r="H7246" t="s">
        <v>32848</v>
      </c>
      <c r="I7246" t="s">
        <v>4303</v>
      </c>
      <c r="J7246" t="s">
        <v>35970</v>
      </c>
      <c r="K7246" t="s">
        <v>42727</v>
      </c>
      <c r="M7246" t="s">
        <v>44104</v>
      </c>
      <c r="N7246" t="s">
        <v>47424</v>
      </c>
      <c r="O7246" t="s">
        <v>47425</v>
      </c>
      <c r="P7246">
        <v>0</v>
      </c>
      <c r="Q7246">
        <v>0</v>
      </c>
      <c r="R7246" t="s">
        <v>47431</v>
      </c>
      <c r="S7246" t="s">
        <v>47565</v>
      </c>
      <c r="T7246" t="s">
        <v>49166</v>
      </c>
      <c r="U7246" t="s">
        <v>55747</v>
      </c>
      <c r="W7246" t="s">
        <v>44104</v>
      </c>
      <c r="X7246" t="s">
        <v>47432</v>
      </c>
    </row>
    <row r="7247" spans="1:24">
      <c r="A7247">
        <f>HYPERLINK("https://www.philgeps.gov.ph/GEPSNONPILOT/Tender/SplashBidNoticeAbstractUI.aspx?menuIndex=3&amp;refID=7157253&amp;Result=3","7157253")</f>
        <v>0</v>
      </c>
      <c r="B7247" t="s">
        <v>2511</v>
      </c>
      <c r="C7247" t="s">
        <v>10713</v>
      </c>
      <c r="D7247" t="s">
        <v>19068</v>
      </c>
      <c r="E7247" t="s">
        <v>25411</v>
      </c>
      <c r="F7247" t="s">
        <v>32831</v>
      </c>
      <c r="G7247" t="s">
        <v>32838</v>
      </c>
      <c r="H7247" t="s">
        <v>32848</v>
      </c>
      <c r="I7247" t="s">
        <v>32853</v>
      </c>
      <c r="J7247" t="s">
        <v>33771</v>
      </c>
      <c r="K7247" t="s">
        <v>42727</v>
      </c>
      <c r="M7247" t="s">
        <v>45718</v>
      </c>
      <c r="N7247" t="s">
        <v>47424</v>
      </c>
      <c r="O7247" t="s">
        <v>47425</v>
      </c>
      <c r="P7247">
        <v>0</v>
      </c>
      <c r="Q7247">
        <v>0</v>
      </c>
      <c r="R7247" t="s">
        <v>47431</v>
      </c>
      <c r="S7247" t="s">
        <v>47565</v>
      </c>
      <c r="T7247" t="s">
        <v>49162</v>
      </c>
      <c r="U7247" t="s">
        <v>55748</v>
      </c>
      <c r="W7247" t="s">
        <v>45718</v>
      </c>
      <c r="X7247" t="s">
        <v>47432</v>
      </c>
    </row>
    <row r="7248" spans="1:24">
      <c r="A7248">
        <f>HYPERLINK("https://www.philgeps.gov.ph/GEPSNONPILOT/Tender/SplashBidNoticeAbstractUI.aspx?menuIndex=3&amp;refID=7157247&amp;Result=3","7157247")</f>
        <v>0</v>
      </c>
      <c r="B7248" t="s">
        <v>2115</v>
      </c>
      <c r="C7248" t="s">
        <v>10714</v>
      </c>
      <c r="D7248" t="s">
        <v>19079</v>
      </c>
      <c r="E7248" t="s">
        <v>25412</v>
      </c>
      <c r="F7248" t="s">
        <v>32831</v>
      </c>
      <c r="G7248" t="s">
        <v>32839</v>
      </c>
      <c r="H7248" t="s">
        <v>32848</v>
      </c>
      <c r="I7248" t="s">
        <v>9577</v>
      </c>
      <c r="J7248" t="s">
        <v>37533</v>
      </c>
      <c r="K7248" t="s">
        <v>42730</v>
      </c>
      <c r="M7248" t="s">
        <v>45289</v>
      </c>
      <c r="N7248" t="s">
        <v>47424</v>
      </c>
      <c r="O7248" t="s">
        <v>47425</v>
      </c>
      <c r="P7248">
        <v>0</v>
      </c>
      <c r="Q7248">
        <v>3</v>
      </c>
      <c r="R7248" t="s">
        <v>47431</v>
      </c>
      <c r="S7248" t="s">
        <v>47565</v>
      </c>
      <c r="T7248" t="s">
        <v>49319</v>
      </c>
      <c r="U7248" t="s">
        <v>55749</v>
      </c>
      <c r="W7248" t="s">
        <v>45289</v>
      </c>
      <c r="X7248" t="s">
        <v>47432</v>
      </c>
    </row>
    <row r="7249" spans="1:24">
      <c r="A7249">
        <f>HYPERLINK("https://www.philgeps.gov.ph/GEPSNONPILOT/Tender/SplashBidNoticeAbstractUI.aspx?menuIndex=3&amp;refID=7157246&amp;Result=3","7157246")</f>
        <v>0</v>
      </c>
      <c r="B7249" t="s">
        <v>2512</v>
      </c>
      <c r="C7249" t="s">
        <v>5029</v>
      </c>
      <c r="D7249" t="s">
        <v>19064</v>
      </c>
      <c r="E7249" t="s">
        <v>25413</v>
      </c>
      <c r="F7249" t="s">
        <v>32831</v>
      </c>
      <c r="G7249" t="s">
        <v>32839</v>
      </c>
      <c r="H7249" t="s">
        <v>32848</v>
      </c>
      <c r="I7249" t="s">
        <v>9577</v>
      </c>
      <c r="J7249" t="s">
        <v>37534</v>
      </c>
      <c r="K7249" t="s">
        <v>42726</v>
      </c>
      <c r="M7249" t="s">
        <v>45719</v>
      </c>
      <c r="N7249" t="s">
        <v>47424</v>
      </c>
      <c r="O7249" t="s">
        <v>47425</v>
      </c>
      <c r="P7249">
        <v>0</v>
      </c>
      <c r="Q7249">
        <v>1</v>
      </c>
      <c r="R7249" t="s">
        <v>47431</v>
      </c>
      <c r="S7249" t="s">
        <v>47565</v>
      </c>
      <c r="T7249" t="s">
        <v>49203</v>
      </c>
      <c r="U7249" t="s">
        <v>55750</v>
      </c>
      <c r="W7249" t="s">
        <v>45719</v>
      </c>
      <c r="X7249" t="s">
        <v>47432</v>
      </c>
    </row>
    <row r="7250" spans="1:24">
      <c r="A7250">
        <f>HYPERLINK("https://www.philgeps.gov.ph/GEPSNONPILOT/Tender/SplashBidNoticeAbstractUI.aspx?menuIndex=3&amp;refID=7157217&amp;Result=3","7157217")</f>
        <v>0</v>
      </c>
      <c r="B7250" t="s">
        <v>288</v>
      </c>
      <c r="C7250" t="s">
        <v>10715</v>
      </c>
      <c r="D7250" t="s">
        <v>19021</v>
      </c>
      <c r="E7250" t="s">
        <v>25414</v>
      </c>
      <c r="F7250" t="s">
        <v>32831</v>
      </c>
      <c r="G7250" t="s">
        <v>32839</v>
      </c>
      <c r="H7250" t="s">
        <v>32849</v>
      </c>
      <c r="I7250" t="s">
        <v>4177</v>
      </c>
      <c r="J7250" t="s">
        <v>37535</v>
      </c>
      <c r="K7250" t="s">
        <v>42747</v>
      </c>
      <c r="M7250" t="s">
        <v>43288</v>
      </c>
      <c r="N7250" t="s">
        <v>47424</v>
      </c>
      <c r="O7250" t="s">
        <v>47425</v>
      </c>
      <c r="P7250">
        <v>0</v>
      </c>
      <c r="Q7250">
        <v>25</v>
      </c>
      <c r="R7250" t="s">
        <v>47431</v>
      </c>
      <c r="S7250" t="s">
        <v>47565</v>
      </c>
      <c r="T7250" t="s">
        <v>49151</v>
      </c>
      <c r="U7250" t="s">
        <v>55751</v>
      </c>
      <c r="W7250" t="s">
        <v>43288</v>
      </c>
      <c r="X7250" t="s">
        <v>47432</v>
      </c>
    </row>
    <row r="7251" spans="1:24">
      <c r="A7251">
        <f>HYPERLINK("https://www.philgeps.gov.ph/GEPSNONPILOT/Tender/SplashBidNoticeAbstractUI.aspx?menuIndex=3&amp;refID=7157245&amp;Result=3","7157245")</f>
        <v>0</v>
      </c>
      <c r="B7251" t="s">
        <v>2513</v>
      </c>
      <c r="C7251" t="s">
        <v>10716</v>
      </c>
      <c r="D7251" t="s">
        <v>19034</v>
      </c>
      <c r="E7251" t="s">
        <v>25415</v>
      </c>
      <c r="F7251" t="s">
        <v>32831</v>
      </c>
      <c r="G7251" t="s">
        <v>32839</v>
      </c>
      <c r="H7251" t="s">
        <v>32848</v>
      </c>
      <c r="I7251" t="s">
        <v>4471</v>
      </c>
      <c r="J7251" t="s">
        <v>37536</v>
      </c>
      <c r="K7251" t="s">
        <v>42731</v>
      </c>
      <c r="M7251" t="s">
        <v>45720</v>
      </c>
      <c r="N7251" t="s">
        <v>47424</v>
      </c>
      <c r="O7251" t="s">
        <v>47425</v>
      </c>
      <c r="P7251">
        <v>0</v>
      </c>
      <c r="Q7251">
        <v>2</v>
      </c>
      <c r="R7251" t="s">
        <v>47431</v>
      </c>
      <c r="S7251" t="s">
        <v>47565</v>
      </c>
      <c r="T7251" t="s">
        <v>49077</v>
      </c>
      <c r="U7251" t="s">
        <v>55752</v>
      </c>
      <c r="V7251" t="s">
        <v>63426</v>
      </c>
      <c r="W7251" t="s">
        <v>64514</v>
      </c>
      <c r="X7251" t="s">
        <v>47432</v>
      </c>
    </row>
    <row r="7252" spans="1:24">
      <c r="A7252">
        <f>HYPERLINK("https://www.philgeps.gov.ph/GEPSNONPILOT/Tender/SplashBidNoticeAbstractUI.aspx?menuIndex=3&amp;refID=7157244&amp;Result=3","7157244")</f>
        <v>0</v>
      </c>
      <c r="B7252" t="s">
        <v>2488</v>
      </c>
      <c r="C7252" t="s">
        <v>10717</v>
      </c>
      <c r="D7252" t="s">
        <v>19045</v>
      </c>
      <c r="E7252" t="s">
        <v>25416</v>
      </c>
      <c r="F7252" t="s">
        <v>32831</v>
      </c>
      <c r="G7252" t="s">
        <v>32838</v>
      </c>
      <c r="H7252" t="s">
        <v>32848</v>
      </c>
      <c r="I7252" t="s">
        <v>32909</v>
      </c>
      <c r="J7252" t="s">
        <v>35367</v>
      </c>
      <c r="K7252" t="s">
        <v>42745</v>
      </c>
      <c r="L7252" t="s">
        <v>2488</v>
      </c>
      <c r="M7252" t="s">
        <v>45693</v>
      </c>
      <c r="N7252" t="s">
        <v>47424</v>
      </c>
      <c r="O7252" t="s">
        <v>47425</v>
      </c>
      <c r="P7252">
        <v>0</v>
      </c>
      <c r="Q7252">
        <v>1</v>
      </c>
      <c r="R7252" t="s">
        <v>47431</v>
      </c>
      <c r="S7252" t="s">
        <v>47565</v>
      </c>
      <c r="T7252" t="s">
        <v>49166</v>
      </c>
      <c r="U7252" t="s">
        <v>50832</v>
      </c>
      <c r="W7252" t="s">
        <v>45693</v>
      </c>
      <c r="X7252" t="s">
        <v>47432</v>
      </c>
    </row>
    <row r="7253" spans="1:24">
      <c r="A7253">
        <f>HYPERLINK("https://www.philgeps.gov.ph/GEPSNONPILOT/Tender/SplashBidNoticeAbstractUI.aspx?menuIndex=3&amp;refID=7157252&amp;Result=3","7157252")</f>
        <v>0</v>
      </c>
      <c r="B7253" t="s">
        <v>2315</v>
      </c>
      <c r="C7253" t="s">
        <v>10718</v>
      </c>
      <c r="D7253" t="s">
        <v>19031</v>
      </c>
      <c r="E7253" t="s">
        <v>25417</v>
      </c>
      <c r="F7253" t="s">
        <v>32831</v>
      </c>
      <c r="G7253" t="s">
        <v>32840</v>
      </c>
      <c r="H7253" t="s">
        <v>32848</v>
      </c>
      <c r="I7253" t="s">
        <v>32859</v>
      </c>
      <c r="J7253" t="s">
        <v>33178</v>
      </c>
      <c r="K7253" t="s">
        <v>42730</v>
      </c>
      <c r="M7253" t="s">
        <v>45500</v>
      </c>
      <c r="N7253" t="s">
        <v>47424</v>
      </c>
      <c r="O7253" t="s">
        <v>47425</v>
      </c>
      <c r="P7253">
        <v>0</v>
      </c>
      <c r="Q7253">
        <v>0</v>
      </c>
      <c r="R7253" t="s">
        <v>47431</v>
      </c>
      <c r="S7253" t="s">
        <v>47565</v>
      </c>
      <c r="T7253" t="s">
        <v>49056</v>
      </c>
      <c r="U7253" t="s">
        <v>55110</v>
      </c>
      <c r="W7253" t="s">
        <v>45500</v>
      </c>
      <c r="X7253" t="s">
        <v>47432</v>
      </c>
    </row>
    <row r="7254" spans="1:24">
      <c r="A7254">
        <f>HYPERLINK("https://www.philgeps.gov.ph/GEPSNONPILOT/Tender/SplashBidNoticeAbstractUI.aspx?menuIndex=3&amp;refID=7157314&amp;Result=3","7157314")</f>
        <v>0</v>
      </c>
      <c r="B7254" t="s">
        <v>2472</v>
      </c>
      <c r="C7254" t="s">
        <v>10719</v>
      </c>
      <c r="D7254" t="s">
        <v>19082</v>
      </c>
      <c r="E7254" t="s">
        <v>20035</v>
      </c>
      <c r="F7254" t="s">
        <v>32831</v>
      </c>
      <c r="G7254" t="s">
        <v>32838</v>
      </c>
      <c r="H7254" t="s">
        <v>32848</v>
      </c>
      <c r="I7254" t="s">
        <v>4487</v>
      </c>
      <c r="J7254" t="s">
        <v>33771</v>
      </c>
      <c r="K7254" t="s">
        <v>42726</v>
      </c>
      <c r="M7254" t="s">
        <v>45671</v>
      </c>
      <c r="N7254" t="s">
        <v>47424</v>
      </c>
      <c r="O7254" t="s">
        <v>47425</v>
      </c>
      <c r="P7254">
        <v>0</v>
      </c>
      <c r="Q7254">
        <v>0</v>
      </c>
      <c r="R7254" t="s">
        <v>47431</v>
      </c>
      <c r="S7254" t="s">
        <v>47565</v>
      </c>
      <c r="T7254" t="s">
        <v>49145</v>
      </c>
      <c r="U7254" t="s">
        <v>55753</v>
      </c>
      <c r="W7254" t="s">
        <v>45671</v>
      </c>
      <c r="X7254" t="s">
        <v>47432</v>
      </c>
    </row>
    <row r="7255" spans="1:24">
      <c r="A7255">
        <f>HYPERLINK("https://www.philgeps.gov.ph/GEPSNONPILOT/Tender/SplashBidNoticeAbstractUI.aspx?menuIndex=3&amp;refID=7157317&amp;Result=3","7157317")</f>
        <v>0</v>
      </c>
      <c r="B7255" t="s">
        <v>2514</v>
      </c>
      <c r="C7255" t="s">
        <v>10720</v>
      </c>
      <c r="D7255" t="s">
        <v>19045</v>
      </c>
      <c r="E7255" t="s">
        <v>25418</v>
      </c>
      <c r="F7255" t="s">
        <v>32831</v>
      </c>
      <c r="G7255" t="s">
        <v>32838</v>
      </c>
      <c r="H7255" t="s">
        <v>32849</v>
      </c>
      <c r="I7255" t="s">
        <v>4177</v>
      </c>
      <c r="J7255" t="s">
        <v>33087</v>
      </c>
      <c r="K7255" t="s">
        <v>42747</v>
      </c>
      <c r="M7255" t="s">
        <v>45721</v>
      </c>
      <c r="N7255" t="s">
        <v>47424</v>
      </c>
      <c r="O7255" t="s">
        <v>47425</v>
      </c>
      <c r="P7255">
        <v>0</v>
      </c>
      <c r="Q7255">
        <v>1</v>
      </c>
      <c r="R7255" t="s">
        <v>47431</v>
      </c>
      <c r="S7255" t="s">
        <v>47565</v>
      </c>
      <c r="T7255" t="s">
        <v>49162</v>
      </c>
      <c r="U7255" t="s">
        <v>55754</v>
      </c>
      <c r="W7255" t="s">
        <v>45721</v>
      </c>
      <c r="X7255" t="s">
        <v>47432</v>
      </c>
    </row>
    <row r="7256" spans="1:24">
      <c r="A7256">
        <f>HYPERLINK("https://www.philgeps.gov.ph/GEPSNONPILOT/Tender/SplashBidNoticeAbstractUI.aspx?menuIndex=3&amp;refID=7157312&amp;Result=3","7157312")</f>
        <v>0</v>
      </c>
      <c r="B7256" t="s">
        <v>2217</v>
      </c>
      <c r="C7256" t="s">
        <v>10721</v>
      </c>
      <c r="D7256" t="s">
        <v>19017</v>
      </c>
      <c r="E7256" t="s">
        <v>19520</v>
      </c>
      <c r="F7256" t="s">
        <v>32831</v>
      </c>
      <c r="G7256" t="s">
        <v>32839</v>
      </c>
      <c r="H7256" t="s">
        <v>32848</v>
      </c>
      <c r="I7256" t="s">
        <v>7416</v>
      </c>
      <c r="J7256" t="s">
        <v>37537</v>
      </c>
      <c r="K7256" t="s">
        <v>42747</v>
      </c>
      <c r="M7256" t="s">
        <v>45397</v>
      </c>
      <c r="N7256" t="s">
        <v>47424</v>
      </c>
      <c r="O7256" t="s">
        <v>47425</v>
      </c>
      <c r="P7256">
        <v>0</v>
      </c>
      <c r="Q7256">
        <v>2</v>
      </c>
      <c r="R7256" t="s">
        <v>47431</v>
      </c>
      <c r="S7256" t="s">
        <v>47565</v>
      </c>
      <c r="T7256" t="s">
        <v>49068</v>
      </c>
      <c r="U7256" t="s">
        <v>55755</v>
      </c>
      <c r="V7256" t="s">
        <v>63427</v>
      </c>
      <c r="W7256" t="s">
        <v>45397</v>
      </c>
      <c r="X7256" t="s">
        <v>47432</v>
      </c>
    </row>
    <row r="7257" spans="1:24">
      <c r="A7257">
        <f>HYPERLINK("https://www.philgeps.gov.ph/GEPSNONPILOT/Tender/SplashBidNoticeAbstractUI.aspx?menuIndex=3&amp;refID=7157308&amp;Result=3","7157308")</f>
        <v>0</v>
      </c>
      <c r="B7257" t="s">
        <v>780</v>
      </c>
      <c r="C7257" t="s">
        <v>10722</v>
      </c>
      <c r="D7257" t="s">
        <v>19048</v>
      </c>
      <c r="E7257" t="s">
        <v>25419</v>
      </c>
      <c r="F7257" t="s">
        <v>32831</v>
      </c>
      <c r="G7257" t="s">
        <v>32838</v>
      </c>
      <c r="H7257" t="s">
        <v>32848</v>
      </c>
      <c r="I7257" t="s">
        <v>4776</v>
      </c>
      <c r="J7257" t="s">
        <v>33207</v>
      </c>
      <c r="K7257" t="s">
        <v>42727</v>
      </c>
      <c r="L7257" t="s">
        <v>780</v>
      </c>
      <c r="M7257" t="s">
        <v>43809</v>
      </c>
      <c r="N7257" t="s">
        <v>47424</v>
      </c>
      <c r="O7257" t="s">
        <v>47425</v>
      </c>
      <c r="P7257">
        <v>0</v>
      </c>
      <c r="Q7257">
        <v>1</v>
      </c>
      <c r="R7257" t="s">
        <v>47431</v>
      </c>
      <c r="S7257" t="s">
        <v>47565</v>
      </c>
      <c r="T7257" t="s">
        <v>49214</v>
      </c>
      <c r="U7257" t="s">
        <v>55756</v>
      </c>
      <c r="V7257" t="s">
        <v>63428</v>
      </c>
      <c r="W7257" t="s">
        <v>43809</v>
      </c>
      <c r="X7257" t="s">
        <v>47432</v>
      </c>
    </row>
    <row r="7258" spans="1:24">
      <c r="A7258">
        <f>HYPERLINK("https://www.philgeps.gov.ph/GEPSNONPILOT/Tender/SplashBidNoticeAbstractUI.aspx?menuIndex=3&amp;refID=7157307&amp;Result=3","7157307")</f>
        <v>0</v>
      </c>
      <c r="B7258" t="s">
        <v>2478</v>
      </c>
      <c r="C7258" t="s">
        <v>10723</v>
      </c>
      <c r="D7258" t="s">
        <v>19037</v>
      </c>
      <c r="E7258" t="s">
        <v>25420</v>
      </c>
      <c r="F7258" t="s">
        <v>32831</v>
      </c>
      <c r="G7258" t="s">
        <v>32839</v>
      </c>
      <c r="H7258" t="s">
        <v>32848</v>
      </c>
      <c r="I7258" t="s">
        <v>32867</v>
      </c>
      <c r="J7258" t="s">
        <v>37538</v>
      </c>
      <c r="K7258" t="s">
        <v>42727</v>
      </c>
      <c r="M7258" t="s">
        <v>45680</v>
      </c>
      <c r="N7258" t="s">
        <v>47424</v>
      </c>
      <c r="O7258" t="s">
        <v>47425</v>
      </c>
      <c r="P7258">
        <v>0</v>
      </c>
      <c r="Q7258">
        <v>1</v>
      </c>
      <c r="R7258" t="s">
        <v>47431</v>
      </c>
      <c r="S7258" t="s">
        <v>47565</v>
      </c>
      <c r="T7258" t="s">
        <v>49079</v>
      </c>
      <c r="U7258" t="s">
        <v>55757</v>
      </c>
      <c r="W7258" t="s">
        <v>45680</v>
      </c>
      <c r="X7258" t="s">
        <v>47432</v>
      </c>
    </row>
    <row r="7259" spans="1:24">
      <c r="A7259">
        <f>HYPERLINK("https://www.philgeps.gov.ph/GEPSNONPILOT/Tender/SplashBidNoticeAbstractUI.aspx?menuIndex=3&amp;refID=7157304&amp;Result=3","7157304")</f>
        <v>0</v>
      </c>
      <c r="B7259" t="s">
        <v>2366</v>
      </c>
      <c r="C7259" t="s">
        <v>10724</v>
      </c>
      <c r="D7259" t="s">
        <v>19060</v>
      </c>
      <c r="E7259" t="s">
        <v>25421</v>
      </c>
      <c r="F7259" t="s">
        <v>32831</v>
      </c>
      <c r="G7259" t="s">
        <v>32839</v>
      </c>
      <c r="H7259" t="s">
        <v>32848</v>
      </c>
      <c r="I7259" t="s">
        <v>32859</v>
      </c>
      <c r="J7259" t="s">
        <v>33162</v>
      </c>
      <c r="K7259" t="s">
        <v>42726</v>
      </c>
      <c r="M7259" t="s">
        <v>45556</v>
      </c>
      <c r="N7259" t="s">
        <v>47424</v>
      </c>
      <c r="O7259" t="s">
        <v>47425</v>
      </c>
      <c r="P7259">
        <v>0</v>
      </c>
      <c r="Q7259">
        <v>1</v>
      </c>
      <c r="R7259" t="s">
        <v>47431</v>
      </c>
      <c r="S7259" t="s">
        <v>47565</v>
      </c>
      <c r="T7259" t="s">
        <v>49160</v>
      </c>
      <c r="U7259" t="s">
        <v>55758</v>
      </c>
      <c r="W7259" t="s">
        <v>45556</v>
      </c>
      <c r="X7259" t="s">
        <v>47432</v>
      </c>
    </row>
    <row r="7260" spans="1:24">
      <c r="A7260">
        <f>HYPERLINK("https://www.philgeps.gov.ph/GEPSNONPILOT/Tender/SplashBidNoticeAbstractUI.aspx?menuIndex=3&amp;refID=7157302&amp;Result=3","7157302")</f>
        <v>0</v>
      </c>
      <c r="B7260" t="s">
        <v>43</v>
      </c>
      <c r="C7260" t="s">
        <v>10725</v>
      </c>
      <c r="D7260" t="s">
        <v>19032</v>
      </c>
      <c r="E7260" t="s">
        <v>25422</v>
      </c>
      <c r="F7260" t="s">
        <v>32831</v>
      </c>
      <c r="G7260" t="s">
        <v>32839</v>
      </c>
      <c r="H7260" t="s">
        <v>32849</v>
      </c>
      <c r="I7260" t="s">
        <v>4177</v>
      </c>
      <c r="J7260" t="s">
        <v>37539</v>
      </c>
      <c r="K7260" t="s">
        <v>42729</v>
      </c>
      <c r="M7260" t="s">
        <v>43040</v>
      </c>
      <c r="N7260" t="s">
        <v>47424</v>
      </c>
      <c r="O7260" t="s">
        <v>47425</v>
      </c>
      <c r="P7260">
        <v>0</v>
      </c>
      <c r="Q7260">
        <v>0</v>
      </c>
      <c r="R7260" t="s">
        <v>47431</v>
      </c>
      <c r="S7260" t="s">
        <v>47565</v>
      </c>
      <c r="T7260" t="s">
        <v>49475</v>
      </c>
      <c r="U7260" t="s">
        <v>55759</v>
      </c>
      <c r="W7260" t="s">
        <v>43040</v>
      </c>
      <c r="X7260" t="s">
        <v>47432</v>
      </c>
    </row>
    <row r="7261" spans="1:24">
      <c r="A7261">
        <f>HYPERLINK("https://www.philgeps.gov.ph/GEPSNONPILOT/Tender/SplashBidNoticeAbstractUI.aspx?menuIndex=3&amp;refID=7157249&amp;Result=3","7157249")</f>
        <v>0</v>
      </c>
      <c r="B7261" t="s">
        <v>2506</v>
      </c>
      <c r="C7261" t="s">
        <v>10726</v>
      </c>
      <c r="D7261" t="s">
        <v>19020</v>
      </c>
      <c r="E7261" t="s">
        <v>25423</v>
      </c>
      <c r="F7261" t="s">
        <v>32831</v>
      </c>
      <c r="G7261" t="s">
        <v>32839</v>
      </c>
      <c r="H7261" t="s">
        <v>32848</v>
      </c>
      <c r="I7261" t="s">
        <v>4438</v>
      </c>
      <c r="J7261" t="s">
        <v>37540</v>
      </c>
      <c r="K7261" t="s">
        <v>42727</v>
      </c>
      <c r="M7261" t="s">
        <v>45713</v>
      </c>
      <c r="N7261" t="s">
        <v>47424</v>
      </c>
      <c r="O7261" t="s">
        <v>47425</v>
      </c>
      <c r="P7261">
        <v>0</v>
      </c>
      <c r="Q7261">
        <v>2</v>
      </c>
      <c r="R7261" t="s">
        <v>47431</v>
      </c>
      <c r="S7261" t="s">
        <v>47565</v>
      </c>
      <c r="T7261" t="s">
        <v>49192</v>
      </c>
      <c r="U7261" t="s">
        <v>55760</v>
      </c>
      <c r="V7261" t="s">
        <v>63423</v>
      </c>
      <c r="W7261" t="s">
        <v>64512</v>
      </c>
      <c r="X7261" t="s">
        <v>47432</v>
      </c>
    </row>
    <row r="7262" spans="1:24">
      <c r="A7262">
        <f>HYPERLINK("https://www.philgeps.gov.ph/GEPSNONPILOT/Tender/SplashBidNoticeAbstractUI.aspx?menuIndex=3&amp;refID=7157298&amp;Result=3","7157298")</f>
        <v>0</v>
      </c>
      <c r="B7262" t="s">
        <v>911</v>
      </c>
      <c r="C7262" t="s">
        <v>10727</v>
      </c>
      <c r="D7262" t="s">
        <v>19049</v>
      </c>
      <c r="E7262" t="s">
        <v>25424</v>
      </c>
      <c r="F7262" t="s">
        <v>32831</v>
      </c>
      <c r="G7262" t="s">
        <v>32838</v>
      </c>
      <c r="H7262" t="s">
        <v>32848</v>
      </c>
      <c r="I7262" t="s">
        <v>4487</v>
      </c>
      <c r="J7262" t="s">
        <v>37541</v>
      </c>
      <c r="K7262" t="s">
        <v>42727</v>
      </c>
      <c r="M7262" t="s">
        <v>43951</v>
      </c>
      <c r="N7262" t="s">
        <v>47424</v>
      </c>
      <c r="O7262" t="s">
        <v>47425</v>
      </c>
      <c r="P7262">
        <v>0</v>
      </c>
      <c r="Q7262">
        <v>0</v>
      </c>
      <c r="R7262" t="s">
        <v>47431</v>
      </c>
      <c r="S7262" t="s">
        <v>47565</v>
      </c>
      <c r="T7262" t="s">
        <v>49056</v>
      </c>
      <c r="U7262" t="s">
        <v>51540</v>
      </c>
      <c r="W7262" t="s">
        <v>43951</v>
      </c>
      <c r="X7262" t="s">
        <v>47432</v>
      </c>
    </row>
    <row r="7263" spans="1:24">
      <c r="A7263">
        <f>HYPERLINK("https://www.philgeps.gov.ph/GEPSNONPILOT/Tender/SplashBidNoticeAbstractUI.aspx?menuIndex=3&amp;refID=7157296&amp;Result=3","7157296")</f>
        <v>0</v>
      </c>
      <c r="B7263" t="s">
        <v>1741</v>
      </c>
      <c r="C7263" t="s">
        <v>10728</v>
      </c>
      <c r="D7263" t="s">
        <v>19023</v>
      </c>
      <c r="E7263" t="s">
        <v>19200</v>
      </c>
      <c r="F7263" t="s">
        <v>32831</v>
      </c>
      <c r="G7263" t="s">
        <v>32840</v>
      </c>
      <c r="H7263" t="s">
        <v>32849</v>
      </c>
      <c r="I7263" t="s">
        <v>4438</v>
      </c>
      <c r="J7263" t="s">
        <v>33871</v>
      </c>
      <c r="K7263" t="s">
        <v>42732</v>
      </c>
      <c r="M7263" t="s">
        <v>44864</v>
      </c>
      <c r="N7263" t="s">
        <v>47424</v>
      </c>
      <c r="O7263" t="s">
        <v>47425</v>
      </c>
      <c r="P7263">
        <v>0</v>
      </c>
      <c r="Q7263">
        <v>0</v>
      </c>
      <c r="R7263" t="s">
        <v>47431</v>
      </c>
      <c r="S7263" t="s">
        <v>47565</v>
      </c>
      <c r="T7263" t="s">
        <v>49237</v>
      </c>
      <c r="U7263" t="s">
        <v>53315</v>
      </c>
      <c r="W7263" t="s">
        <v>44864</v>
      </c>
      <c r="X7263" t="s">
        <v>47432</v>
      </c>
    </row>
    <row r="7264" spans="1:24">
      <c r="A7264">
        <f>HYPERLINK("https://www.philgeps.gov.ph/GEPSNONPILOT/Tender/SplashBidNoticeAbstractUI.aspx?menuIndex=3&amp;refID=7157316&amp;Result=3","7157316")</f>
        <v>0</v>
      </c>
      <c r="B7264" t="s">
        <v>1048</v>
      </c>
      <c r="C7264" t="s">
        <v>10729</v>
      </c>
      <c r="D7264" t="s">
        <v>19017</v>
      </c>
      <c r="E7264" t="s">
        <v>25425</v>
      </c>
      <c r="F7264" t="s">
        <v>32831</v>
      </c>
      <c r="G7264" t="s">
        <v>32838</v>
      </c>
      <c r="H7264" t="s">
        <v>32848</v>
      </c>
      <c r="I7264" t="s">
        <v>32859</v>
      </c>
      <c r="J7264" t="s">
        <v>37542</v>
      </c>
      <c r="K7264" t="s">
        <v>42727</v>
      </c>
      <c r="M7264" t="s">
        <v>44104</v>
      </c>
      <c r="N7264" t="s">
        <v>47424</v>
      </c>
      <c r="O7264" t="s">
        <v>47425</v>
      </c>
      <c r="P7264">
        <v>0</v>
      </c>
      <c r="Q7264">
        <v>2</v>
      </c>
      <c r="R7264" t="s">
        <v>47431</v>
      </c>
      <c r="S7264" t="s">
        <v>47565</v>
      </c>
      <c r="T7264" t="s">
        <v>49166</v>
      </c>
      <c r="U7264" t="s">
        <v>55761</v>
      </c>
      <c r="W7264" t="s">
        <v>44104</v>
      </c>
      <c r="X7264" t="s">
        <v>47432</v>
      </c>
    </row>
    <row r="7265" spans="1:24">
      <c r="A7265">
        <f>HYPERLINK("https://www.philgeps.gov.ph/GEPSNONPILOT/Tender/SplashBidNoticeAbstractUI.aspx?menuIndex=3&amp;refID=7157306&amp;Result=3","7157306")</f>
        <v>0</v>
      </c>
      <c r="B7265" t="s">
        <v>2515</v>
      </c>
      <c r="C7265" t="s">
        <v>10730</v>
      </c>
      <c r="D7265" t="s">
        <v>19048</v>
      </c>
      <c r="E7265" t="s">
        <v>25426</v>
      </c>
      <c r="F7265" t="s">
        <v>32831</v>
      </c>
      <c r="G7265" t="s">
        <v>32839</v>
      </c>
      <c r="H7265" t="s">
        <v>32848</v>
      </c>
      <c r="I7265" t="s">
        <v>7416</v>
      </c>
      <c r="J7265" t="s">
        <v>37543</v>
      </c>
      <c r="K7265" t="s">
        <v>42730</v>
      </c>
      <c r="M7265" t="s">
        <v>45722</v>
      </c>
      <c r="N7265" t="s">
        <v>47424</v>
      </c>
      <c r="O7265" t="s">
        <v>47425</v>
      </c>
      <c r="P7265">
        <v>0</v>
      </c>
      <c r="Q7265">
        <v>0</v>
      </c>
      <c r="R7265" t="s">
        <v>47431</v>
      </c>
      <c r="S7265" t="s">
        <v>47565</v>
      </c>
      <c r="T7265" t="s">
        <v>49196</v>
      </c>
      <c r="U7265" t="s">
        <v>55762</v>
      </c>
      <c r="W7265" t="s">
        <v>45722</v>
      </c>
      <c r="X7265" t="s">
        <v>47432</v>
      </c>
    </row>
    <row r="7266" spans="1:24">
      <c r="A7266">
        <f>HYPERLINK("https://www.philgeps.gov.ph/GEPSNONPILOT/Tender/SplashBidNoticeAbstractUI.aspx?menuIndex=3&amp;refID=7157345&amp;Result=3","7157345")</f>
        <v>0</v>
      </c>
      <c r="B7266" t="s">
        <v>844</v>
      </c>
      <c r="C7266" t="s">
        <v>10731</v>
      </c>
      <c r="D7266" t="s">
        <v>19081</v>
      </c>
      <c r="E7266" t="s">
        <v>25427</v>
      </c>
      <c r="F7266" t="s">
        <v>32831</v>
      </c>
      <c r="G7266" t="s">
        <v>32839</v>
      </c>
      <c r="H7266" t="s">
        <v>32849</v>
      </c>
      <c r="I7266" t="s">
        <v>4177</v>
      </c>
      <c r="J7266" t="s">
        <v>33066</v>
      </c>
      <c r="K7266" t="s">
        <v>42729</v>
      </c>
      <c r="M7266" t="s">
        <v>43877</v>
      </c>
      <c r="N7266" t="s">
        <v>47424</v>
      </c>
      <c r="O7266" t="s">
        <v>47425</v>
      </c>
      <c r="P7266">
        <v>0</v>
      </c>
      <c r="Q7266">
        <v>5</v>
      </c>
      <c r="R7266" t="s">
        <v>47431</v>
      </c>
      <c r="S7266" t="s">
        <v>47565</v>
      </c>
      <c r="T7266" t="s">
        <v>49267</v>
      </c>
      <c r="U7266" t="s">
        <v>55763</v>
      </c>
      <c r="V7266" t="s">
        <v>63429</v>
      </c>
      <c r="W7266" t="s">
        <v>43877</v>
      </c>
      <c r="X7266" t="s">
        <v>47432</v>
      </c>
    </row>
    <row r="7267" spans="1:24">
      <c r="A7267">
        <f>HYPERLINK("https://www.philgeps.gov.ph/GEPSNONPILOT/Tender/SplashBidNoticeAbstractUI.aspx?menuIndex=3&amp;refID=7157343&amp;Result=3","7157343")</f>
        <v>0</v>
      </c>
      <c r="B7267" t="s">
        <v>2115</v>
      </c>
      <c r="C7267" t="s">
        <v>10732</v>
      </c>
      <c r="D7267" t="s">
        <v>19079</v>
      </c>
      <c r="E7267" t="s">
        <v>20419</v>
      </c>
      <c r="F7267" t="s">
        <v>32831</v>
      </c>
      <c r="G7267" t="s">
        <v>32839</v>
      </c>
      <c r="H7267" t="s">
        <v>32848</v>
      </c>
      <c r="I7267" t="s">
        <v>4776</v>
      </c>
      <c r="J7267" t="s">
        <v>33044</v>
      </c>
      <c r="K7267" t="s">
        <v>42730</v>
      </c>
      <c r="M7267" t="s">
        <v>45289</v>
      </c>
      <c r="N7267" t="s">
        <v>47424</v>
      </c>
      <c r="O7267" t="s">
        <v>47425</v>
      </c>
      <c r="P7267">
        <v>0</v>
      </c>
      <c r="Q7267">
        <v>5</v>
      </c>
      <c r="R7267" t="s">
        <v>47431</v>
      </c>
      <c r="S7267" t="s">
        <v>47565</v>
      </c>
      <c r="T7267" t="s">
        <v>49319</v>
      </c>
      <c r="U7267" t="s">
        <v>55749</v>
      </c>
      <c r="W7267" t="s">
        <v>45289</v>
      </c>
      <c r="X7267" t="s">
        <v>47432</v>
      </c>
    </row>
    <row r="7268" spans="1:24">
      <c r="A7268">
        <f>HYPERLINK("https://www.philgeps.gov.ph/GEPSNONPILOT/Tender/SplashBidNoticeAbstractUI.aspx?menuIndex=3&amp;refID=7157248&amp;Result=3","7157248")</f>
        <v>0</v>
      </c>
      <c r="B7268" t="s">
        <v>2516</v>
      </c>
      <c r="C7268" t="s">
        <v>10733</v>
      </c>
      <c r="D7268" t="s">
        <v>19044</v>
      </c>
      <c r="E7268" t="s">
        <v>25428</v>
      </c>
      <c r="F7268" t="s">
        <v>32831</v>
      </c>
      <c r="G7268" t="s">
        <v>32838</v>
      </c>
      <c r="H7268" t="s">
        <v>32848</v>
      </c>
      <c r="I7268" t="s">
        <v>32862</v>
      </c>
      <c r="J7268" t="s">
        <v>37544</v>
      </c>
      <c r="K7268" t="s">
        <v>42732</v>
      </c>
      <c r="M7268" t="s">
        <v>45723</v>
      </c>
      <c r="N7268" t="s">
        <v>47424</v>
      </c>
      <c r="O7268" t="s">
        <v>47425</v>
      </c>
      <c r="P7268">
        <v>0</v>
      </c>
      <c r="Q7268">
        <v>0</v>
      </c>
      <c r="R7268" t="s">
        <v>47431</v>
      </c>
      <c r="S7268" t="s">
        <v>47565</v>
      </c>
      <c r="T7268" t="s">
        <v>49111</v>
      </c>
      <c r="U7268" t="s">
        <v>55764</v>
      </c>
      <c r="W7268" t="s">
        <v>45723</v>
      </c>
      <c r="X7268" t="s">
        <v>47432</v>
      </c>
    </row>
    <row r="7269" spans="1:24">
      <c r="A7269">
        <f>HYPERLINK("https://www.philgeps.gov.ph/GEPSNONPILOT/Tender/SplashBidNoticeAbstractUI.aspx?menuIndex=3&amp;refID=7157338&amp;Result=3","7157338")</f>
        <v>0</v>
      </c>
      <c r="B7269" t="s">
        <v>912</v>
      </c>
      <c r="C7269" t="s">
        <v>10734</v>
      </c>
      <c r="D7269" t="s">
        <v>19070</v>
      </c>
      <c r="E7269" t="s">
        <v>24096</v>
      </c>
      <c r="F7269" t="s">
        <v>32831</v>
      </c>
      <c r="G7269" t="s">
        <v>32839</v>
      </c>
      <c r="H7269" t="s">
        <v>32849</v>
      </c>
      <c r="I7269" t="s">
        <v>4177</v>
      </c>
      <c r="J7269" t="s">
        <v>33072</v>
      </c>
      <c r="K7269" t="s">
        <v>42746</v>
      </c>
      <c r="M7269" t="s">
        <v>43952</v>
      </c>
      <c r="N7269" t="s">
        <v>47424</v>
      </c>
      <c r="O7269" t="s">
        <v>47425</v>
      </c>
      <c r="P7269">
        <v>0</v>
      </c>
      <c r="Q7269">
        <v>0</v>
      </c>
      <c r="R7269" t="s">
        <v>47431</v>
      </c>
      <c r="S7269" t="s">
        <v>47565</v>
      </c>
      <c r="T7269" t="s">
        <v>49476</v>
      </c>
      <c r="U7269" t="s">
        <v>55765</v>
      </c>
      <c r="W7269" t="s">
        <v>43952</v>
      </c>
      <c r="X7269" t="s">
        <v>47432</v>
      </c>
    </row>
    <row r="7270" spans="1:24">
      <c r="A7270">
        <f>HYPERLINK("https://www.philgeps.gov.ph/GEPSNONPILOT/Tender/SplashBidNoticeAbstractUI.aspx?menuIndex=3&amp;refID=7157337&amp;Result=3","7157337")</f>
        <v>0</v>
      </c>
      <c r="B7270" t="s">
        <v>312</v>
      </c>
      <c r="C7270" t="s">
        <v>10735</v>
      </c>
      <c r="D7270" t="s">
        <v>19018</v>
      </c>
      <c r="E7270" t="s">
        <v>25429</v>
      </c>
      <c r="F7270" t="s">
        <v>32831</v>
      </c>
      <c r="G7270" t="s">
        <v>32838</v>
      </c>
      <c r="H7270" t="s">
        <v>32848</v>
      </c>
      <c r="I7270" t="s">
        <v>7416</v>
      </c>
      <c r="J7270" t="s">
        <v>37545</v>
      </c>
      <c r="K7270" t="s">
        <v>42730</v>
      </c>
      <c r="M7270" t="s">
        <v>43314</v>
      </c>
      <c r="N7270" t="s">
        <v>47424</v>
      </c>
      <c r="O7270" t="s">
        <v>47425</v>
      </c>
      <c r="P7270">
        <v>0</v>
      </c>
      <c r="Q7270">
        <v>0</v>
      </c>
      <c r="R7270" t="s">
        <v>47431</v>
      </c>
      <c r="S7270" t="s">
        <v>47565</v>
      </c>
      <c r="T7270" t="s">
        <v>49212</v>
      </c>
      <c r="U7270" t="s">
        <v>50225</v>
      </c>
      <c r="W7270" t="s">
        <v>43314</v>
      </c>
      <c r="X7270" t="s">
        <v>47432</v>
      </c>
    </row>
    <row r="7271" spans="1:24">
      <c r="A7271">
        <f>HYPERLINK("https://www.philgeps.gov.ph/GEPSNONPILOT/Tender/SplashBidNoticeAbstractUI.aspx?menuIndex=3&amp;refID=7156703&amp;Result=3","7156703")</f>
        <v>0</v>
      </c>
      <c r="B7271" t="s">
        <v>2425</v>
      </c>
      <c r="C7271" t="s">
        <v>10736</v>
      </c>
      <c r="D7271" t="s">
        <v>19050</v>
      </c>
      <c r="E7271" t="s">
        <v>25430</v>
      </c>
      <c r="F7271" t="s">
        <v>32831</v>
      </c>
      <c r="G7271" t="s">
        <v>32838</v>
      </c>
      <c r="H7271" t="s">
        <v>32848</v>
      </c>
      <c r="I7271" t="s">
        <v>32894</v>
      </c>
      <c r="J7271" t="s">
        <v>37546</v>
      </c>
      <c r="K7271" t="s">
        <v>42747</v>
      </c>
      <c r="M7271" t="s">
        <v>45622</v>
      </c>
      <c r="N7271" t="s">
        <v>47424</v>
      </c>
      <c r="O7271" t="s">
        <v>47425</v>
      </c>
      <c r="P7271">
        <v>0</v>
      </c>
      <c r="Q7271">
        <v>4</v>
      </c>
      <c r="R7271" t="s">
        <v>47431</v>
      </c>
      <c r="S7271" t="s">
        <v>47565</v>
      </c>
      <c r="T7271" t="s">
        <v>49127</v>
      </c>
      <c r="U7271" t="s">
        <v>55766</v>
      </c>
      <c r="W7271" t="s">
        <v>45622</v>
      </c>
      <c r="X7271" t="s">
        <v>47432</v>
      </c>
    </row>
    <row r="7272" spans="1:24">
      <c r="A7272">
        <f>HYPERLINK("https://www.philgeps.gov.ph/GEPSNONPILOT/Tender/SplashBidNoticeAbstractUI.aspx?menuIndex=3&amp;refID=7157313&amp;Result=3","7157313")</f>
        <v>0</v>
      </c>
      <c r="B7272" t="s">
        <v>557</v>
      </c>
      <c r="C7272" t="s">
        <v>10737</v>
      </c>
      <c r="E7272" t="s">
        <v>25431</v>
      </c>
      <c r="F7272" t="s">
        <v>32831</v>
      </c>
      <c r="G7272" t="s">
        <v>32839</v>
      </c>
      <c r="H7272" t="s">
        <v>32849</v>
      </c>
      <c r="I7272" t="s">
        <v>4177</v>
      </c>
      <c r="J7272" t="s">
        <v>37547</v>
      </c>
      <c r="K7272" t="s">
        <v>42732</v>
      </c>
      <c r="M7272" t="s">
        <v>43565</v>
      </c>
      <c r="N7272" t="s">
        <v>47424</v>
      </c>
      <c r="O7272" t="s">
        <v>47425</v>
      </c>
      <c r="P7272">
        <v>0</v>
      </c>
      <c r="Q7272">
        <v>0</v>
      </c>
      <c r="R7272" t="s">
        <v>47431</v>
      </c>
      <c r="S7272" t="s">
        <v>47565</v>
      </c>
      <c r="T7272" t="s">
        <v>49077</v>
      </c>
      <c r="U7272" t="s">
        <v>55767</v>
      </c>
      <c r="V7272" t="s">
        <v>63430</v>
      </c>
      <c r="W7272" t="s">
        <v>43565</v>
      </c>
      <c r="X7272" t="s">
        <v>47432</v>
      </c>
    </row>
    <row r="7273" spans="1:24">
      <c r="A7273">
        <f>HYPERLINK("https://www.philgeps.gov.ph/GEPSNONPILOT/Tender/SplashBidNoticeAbstractUI.aspx?menuIndex=3&amp;refID=7157344&amp;Result=3","7157344")</f>
        <v>0</v>
      </c>
      <c r="B7273" t="s">
        <v>645</v>
      </c>
      <c r="C7273" t="s">
        <v>10738</v>
      </c>
      <c r="D7273" t="s">
        <v>19037</v>
      </c>
      <c r="E7273" t="s">
        <v>25432</v>
      </c>
      <c r="F7273" t="s">
        <v>32831</v>
      </c>
      <c r="G7273" t="s">
        <v>32838</v>
      </c>
      <c r="H7273" t="s">
        <v>32848</v>
      </c>
      <c r="I7273" t="s">
        <v>4776</v>
      </c>
      <c r="J7273" t="s">
        <v>37548</v>
      </c>
      <c r="K7273" t="s">
        <v>42732</v>
      </c>
      <c r="M7273" t="s">
        <v>43662</v>
      </c>
      <c r="N7273" t="s">
        <v>47424</v>
      </c>
      <c r="O7273" t="s">
        <v>47425</v>
      </c>
      <c r="P7273">
        <v>0</v>
      </c>
      <c r="Q7273">
        <v>4</v>
      </c>
      <c r="R7273" t="s">
        <v>47431</v>
      </c>
      <c r="S7273" t="s">
        <v>47565</v>
      </c>
      <c r="T7273" t="s">
        <v>49111</v>
      </c>
      <c r="U7273" t="s">
        <v>50885</v>
      </c>
      <c r="W7273" t="s">
        <v>43662</v>
      </c>
      <c r="X7273" t="s">
        <v>47432</v>
      </c>
    </row>
    <row r="7274" spans="1:24">
      <c r="A7274">
        <f>HYPERLINK("https://www.philgeps.gov.ph/GEPSNONPILOT/Tender/SplashBidNoticeAbstractUI.aspx?menuIndex=3&amp;refID=7157229&amp;Result=3","7157229")</f>
        <v>0</v>
      </c>
      <c r="B7274" t="s">
        <v>2499</v>
      </c>
      <c r="C7274" t="s">
        <v>10739</v>
      </c>
      <c r="D7274" t="s">
        <v>19088</v>
      </c>
      <c r="E7274" t="s">
        <v>21695</v>
      </c>
      <c r="F7274" t="s">
        <v>32831</v>
      </c>
      <c r="G7274" t="s">
        <v>32839</v>
      </c>
      <c r="H7274" t="s">
        <v>32849</v>
      </c>
      <c r="I7274" t="s">
        <v>4177</v>
      </c>
      <c r="J7274" t="s">
        <v>33279</v>
      </c>
      <c r="K7274" t="s">
        <v>42732</v>
      </c>
      <c r="M7274" t="s">
        <v>45706</v>
      </c>
      <c r="N7274" t="s">
        <v>47424</v>
      </c>
      <c r="O7274" t="s">
        <v>47425</v>
      </c>
      <c r="P7274">
        <v>0</v>
      </c>
      <c r="Q7274">
        <v>0</v>
      </c>
      <c r="R7274" t="s">
        <v>47431</v>
      </c>
      <c r="S7274" t="s">
        <v>47565</v>
      </c>
      <c r="T7274" t="s">
        <v>49115</v>
      </c>
      <c r="U7274" t="s">
        <v>55768</v>
      </c>
      <c r="W7274" t="s">
        <v>45706</v>
      </c>
      <c r="X7274" t="s">
        <v>47432</v>
      </c>
    </row>
    <row r="7275" spans="1:24">
      <c r="A7275">
        <f>HYPERLINK("https://www.philgeps.gov.ph/GEPSNONPILOT/Tender/SplashBidNoticeAbstractUI.aspx?menuIndex=3&amp;refID=7157331&amp;Result=3","7157331")</f>
        <v>0</v>
      </c>
      <c r="B7275" t="s">
        <v>663</v>
      </c>
      <c r="C7275" t="s">
        <v>10740</v>
      </c>
      <c r="D7275" t="s">
        <v>19026</v>
      </c>
      <c r="E7275" t="s">
        <v>25433</v>
      </c>
      <c r="F7275" t="s">
        <v>32831</v>
      </c>
      <c r="G7275" t="s">
        <v>32838</v>
      </c>
      <c r="H7275" t="s">
        <v>32848</v>
      </c>
      <c r="I7275" t="s">
        <v>32860</v>
      </c>
      <c r="J7275" t="s">
        <v>37549</v>
      </c>
      <c r="K7275" t="s">
        <v>42732</v>
      </c>
      <c r="M7275" t="s">
        <v>43681</v>
      </c>
      <c r="N7275" t="s">
        <v>47424</v>
      </c>
      <c r="O7275" t="s">
        <v>47425</v>
      </c>
      <c r="P7275">
        <v>0</v>
      </c>
      <c r="Q7275">
        <v>3</v>
      </c>
      <c r="R7275" t="s">
        <v>47431</v>
      </c>
      <c r="S7275" t="s">
        <v>47565</v>
      </c>
      <c r="T7275" t="s">
        <v>49235</v>
      </c>
      <c r="U7275" t="s">
        <v>55769</v>
      </c>
      <c r="W7275" t="s">
        <v>43681</v>
      </c>
      <c r="X7275" t="s">
        <v>47432</v>
      </c>
    </row>
    <row r="7276" spans="1:24">
      <c r="A7276">
        <f>HYPERLINK("https://www.philgeps.gov.ph/GEPSNONPILOT/Tender/SplashBidNoticeAbstractUI.aspx?menuIndex=3&amp;refID=7157336&amp;Result=3","7157336")</f>
        <v>0</v>
      </c>
      <c r="B7276" t="s">
        <v>755</v>
      </c>
      <c r="C7276" t="s">
        <v>10741</v>
      </c>
      <c r="E7276" t="s">
        <v>25434</v>
      </c>
      <c r="F7276" t="s">
        <v>32831</v>
      </c>
      <c r="G7276" t="s">
        <v>32839</v>
      </c>
      <c r="H7276" t="s">
        <v>32848</v>
      </c>
      <c r="I7276" t="s">
        <v>32864</v>
      </c>
      <c r="J7276" t="s">
        <v>35715</v>
      </c>
      <c r="K7276" t="s">
        <v>42732</v>
      </c>
      <c r="M7276" t="s">
        <v>45605</v>
      </c>
      <c r="N7276" t="s">
        <v>47424</v>
      </c>
      <c r="O7276" t="s">
        <v>47425</v>
      </c>
      <c r="P7276">
        <v>0</v>
      </c>
      <c r="Q7276">
        <v>7</v>
      </c>
      <c r="R7276" t="s">
        <v>47431</v>
      </c>
      <c r="S7276" t="s">
        <v>47565</v>
      </c>
      <c r="T7276" t="s">
        <v>49150</v>
      </c>
      <c r="U7276" t="s">
        <v>55770</v>
      </c>
      <c r="W7276" t="s">
        <v>45605</v>
      </c>
      <c r="X7276" t="s">
        <v>47432</v>
      </c>
    </row>
    <row r="7277" spans="1:24">
      <c r="A7277">
        <f>HYPERLINK("https://www.philgeps.gov.ph/GEPSNONPILOT/Tender/SplashBidNoticeAbstractUI.aspx?menuIndex=3&amp;refID=7157334&amp;Result=3","7157334")</f>
        <v>0</v>
      </c>
      <c r="B7277" t="s">
        <v>2426</v>
      </c>
      <c r="C7277" t="s">
        <v>10742</v>
      </c>
      <c r="D7277" t="s">
        <v>19019</v>
      </c>
      <c r="E7277" t="s">
        <v>25435</v>
      </c>
      <c r="F7277" t="s">
        <v>32831</v>
      </c>
      <c r="G7277" t="s">
        <v>32839</v>
      </c>
      <c r="H7277" t="s">
        <v>32850</v>
      </c>
      <c r="I7277" t="s">
        <v>32895</v>
      </c>
      <c r="J7277" t="s">
        <v>37550</v>
      </c>
      <c r="K7277" t="s">
        <v>42763</v>
      </c>
      <c r="M7277" t="s">
        <v>45623</v>
      </c>
      <c r="N7277" t="s">
        <v>47424</v>
      </c>
      <c r="O7277" t="s">
        <v>47425</v>
      </c>
      <c r="P7277">
        <v>0</v>
      </c>
      <c r="Q7277">
        <v>4</v>
      </c>
      <c r="R7277" t="s">
        <v>47431</v>
      </c>
      <c r="S7277" t="s">
        <v>47565</v>
      </c>
      <c r="T7277" t="s">
        <v>49301</v>
      </c>
      <c r="U7277" t="s">
        <v>55423</v>
      </c>
      <c r="V7277" t="s">
        <v>63431</v>
      </c>
      <c r="W7277" t="s">
        <v>45623</v>
      </c>
      <c r="X7277" t="s">
        <v>47432</v>
      </c>
    </row>
    <row r="7278" spans="1:24">
      <c r="A7278">
        <f>HYPERLINK("https://www.philgeps.gov.ph/GEPSNONPILOT/Tender/SplashBidNoticeAbstractUI.aspx?menuIndex=3&amp;refID=7157325&amp;Result=3","7157325")</f>
        <v>0</v>
      </c>
      <c r="B7278" t="s">
        <v>2279</v>
      </c>
      <c r="C7278" t="s">
        <v>10743</v>
      </c>
      <c r="D7278" t="s">
        <v>19044</v>
      </c>
      <c r="E7278" t="s">
        <v>20593</v>
      </c>
      <c r="F7278" t="s">
        <v>32831</v>
      </c>
      <c r="G7278" t="s">
        <v>32839</v>
      </c>
      <c r="H7278" t="s">
        <v>32849</v>
      </c>
      <c r="I7278" t="s">
        <v>4177</v>
      </c>
      <c r="J7278" t="s">
        <v>32978</v>
      </c>
      <c r="K7278" t="s">
        <v>42763</v>
      </c>
      <c r="M7278" t="s">
        <v>45463</v>
      </c>
      <c r="N7278" t="s">
        <v>47424</v>
      </c>
      <c r="O7278" t="s">
        <v>47425</v>
      </c>
      <c r="P7278">
        <v>0</v>
      </c>
      <c r="Q7278">
        <v>1</v>
      </c>
      <c r="R7278" t="s">
        <v>47431</v>
      </c>
      <c r="S7278" t="s">
        <v>47565</v>
      </c>
      <c r="T7278" t="s">
        <v>49424</v>
      </c>
      <c r="U7278" t="s">
        <v>55011</v>
      </c>
      <c r="W7278" t="s">
        <v>45463</v>
      </c>
      <c r="X7278" t="s">
        <v>47432</v>
      </c>
    </row>
    <row r="7279" spans="1:24">
      <c r="A7279">
        <f>HYPERLINK("https://www.philgeps.gov.ph/GEPSNONPILOT/Tender/SplashBidNoticeAbstractUI.aspx?menuIndex=3&amp;refID=7157329&amp;Result=3","7157329")</f>
        <v>0</v>
      </c>
      <c r="B7279" t="s">
        <v>143</v>
      </c>
      <c r="C7279" t="s">
        <v>10744</v>
      </c>
      <c r="D7279" t="s">
        <v>19065</v>
      </c>
      <c r="E7279" t="s">
        <v>25436</v>
      </c>
      <c r="F7279" t="s">
        <v>32831</v>
      </c>
      <c r="G7279" t="s">
        <v>32839</v>
      </c>
      <c r="H7279" t="s">
        <v>32849</v>
      </c>
      <c r="I7279" t="s">
        <v>4177</v>
      </c>
      <c r="J7279" t="s">
        <v>33465</v>
      </c>
      <c r="K7279" t="s">
        <v>42764</v>
      </c>
      <c r="M7279" t="s">
        <v>43140</v>
      </c>
      <c r="N7279" t="s">
        <v>47424</v>
      </c>
      <c r="O7279" t="s">
        <v>47425</v>
      </c>
      <c r="P7279">
        <v>0</v>
      </c>
      <c r="Q7279">
        <v>1</v>
      </c>
      <c r="R7279" t="s">
        <v>47431</v>
      </c>
      <c r="S7279" t="s">
        <v>47565</v>
      </c>
      <c r="T7279" t="s">
        <v>49089</v>
      </c>
      <c r="U7279" t="s">
        <v>55771</v>
      </c>
      <c r="W7279" t="s">
        <v>43140</v>
      </c>
      <c r="X7279" t="s">
        <v>47432</v>
      </c>
    </row>
    <row r="7280" spans="1:24">
      <c r="A7280">
        <f>HYPERLINK("https://www.philgeps.gov.ph/GEPSNONPILOT/Tender/SplashBidNoticeAbstractUI.aspx?menuIndex=3&amp;refID=7157324&amp;Result=3","7157324")</f>
        <v>0</v>
      </c>
      <c r="B7280" t="s">
        <v>2235</v>
      </c>
      <c r="C7280" t="s">
        <v>10745</v>
      </c>
      <c r="E7280" t="s">
        <v>25437</v>
      </c>
      <c r="F7280" t="s">
        <v>32831</v>
      </c>
      <c r="G7280" t="s">
        <v>32841</v>
      </c>
      <c r="H7280" t="s">
        <v>32848</v>
      </c>
      <c r="I7280" t="s">
        <v>32870</v>
      </c>
      <c r="J7280" t="s">
        <v>37551</v>
      </c>
      <c r="K7280" t="s">
        <v>42745</v>
      </c>
      <c r="M7280" t="s">
        <v>45724</v>
      </c>
      <c r="N7280" t="s">
        <v>47424</v>
      </c>
      <c r="O7280" t="s">
        <v>47425</v>
      </c>
      <c r="P7280">
        <v>0</v>
      </c>
      <c r="Q7280">
        <v>2</v>
      </c>
      <c r="R7280" t="s">
        <v>47431</v>
      </c>
      <c r="S7280" t="s">
        <v>47565</v>
      </c>
      <c r="T7280" t="s">
        <v>49150</v>
      </c>
      <c r="U7280" t="s">
        <v>55772</v>
      </c>
      <c r="W7280" t="s">
        <v>45724</v>
      </c>
      <c r="X7280" t="s">
        <v>47432</v>
      </c>
    </row>
    <row r="7281" spans="1:24">
      <c r="A7281">
        <f>HYPERLINK("https://www.philgeps.gov.ph/GEPSNONPILOT/Tender/SplashBidNoticeAbstractUI.aspx?menuIndex=3&amp;refID=7157323&amp;Result=3","7157323")</f>
        <v>0</v>
      </c>
      <c r="B7281" t="s">
        <v>2517</v>
      </c>
      <c r="C7281" t="s">
        <v>10746</v>
      </c>
      <c r="D7281" t="s">
        <v>19017</v>
      </c>
      <c r="E7281" t="s">
        <v>25438</v>
      </c>
      <c r="F7281" t="s">
        <v>32831</v>
      </c>
      <c r="G7281" t="s">
        <v>32838</v>
      </c>
      <c r="H7281" t="s">
        <v>32848</v>
      </c>
      <c r="I7281" t="s">
        <v>7416</v>
      </c>
      <c r="J7281" t="s">
        <v>37552</v>
      </c>
      <c r="K7281" t="s">
        <v>42727</v>
      </c>
      <c r="M7281" t="s">
        <v>45725</v>
      </c>
      <c r="N7281" t="s">
        <v>47424</v>
      </c>
      <c r="O7281" t="s">
        <v>47425</v>
      </c>
      <c r="P7281">
        <v>0</v>
      </c>
      <c r="Q7281">
        <v>6</v>
      </c>
      <c r="R7281" t="s">
        <v>47431</v>
      </c>
      <c r="S7281" t="s">
        <v>47565</v>
      </c>
      <c r="T7281" t="s">
        <v>49214</v>
      </c>
      <c r="U7281" t="s">
        <v>55773</v>
      </c>
      <c r="W7281" t="s">
        <v>45725</v>
      </c>
      <c r="X7281" t="s">
        <v>47432</v>
      </c>
    </row>
    <row r="7282" spans="1:24">
      <c r="A7282">
        <f>HYPERLINK("https://www.philgeps.gov.ph/GEPSNONPILOT/Tender/SplashBidNoticeAbstractUI.aspx?menuIndex=3&amp;refID=7157320&amp;Result=3","7157320")</f>
        <v>0</v>
      </c>
      <c r="B7282" t="s">
        <v>2499</v>
      </c>
      <c r="C7282" t="s">
        <v>10747</v>
      </c>
      <c r="D7282" t="s">
        <v>19088</v>
      </c>
      <c r="E7282" t="s">
        <v>22329</v>
      </c>
      <c r="F7282" t="s">
        <v>32831</v>
      </c>
      <c r="G7282" t="s">
        <v>32839</v>
      </c>
      <c r="H7282" t="s">
        <v>32848</v>
      </c>
      <c r="I7282" t="s">
        <v>4776</v>
      </c>
      <c r="J7282" t="s">
        <v>32980</v>
      </c>
      <c r="K7282" t="s">
        <v>42732</v>
      </c>
      <c r="M7282" t="s">
        <v>45706</v>
      </c>
      <c r="N7282" t="s">
        <v>47424</v>
      </c>
      <c r="O7282" t="s">
        <v>47425</v>
      </c>
      <c r="P7282">
        <v>0</v>
      </c>
      <c r="Q7282">
        <v>2</v>
      </c>
      <c r="R7282" t="s">
        <v>47431</v>
      </c>
      <c r="S7282" t="s">
        <v>47565</v>
      </c>
      <c r="T7282" t="s">
        <v>49115</v>
      </c>
      <c r="U7282" t="s">
        <v>55774</v>
      </c>
      <c r="W7282" t="s">
        <v>45706</v>
      </c>
      <c r="X7282" t="s">
        <v>47432</v>
      </c>
    </row>
    <row r="7283" spans="1:24">
      <c r="A7283">
        <f>HYPERLINK("https://www.philgeps.gov.ph/GEPSNONPILOT/Tender/SplashBidNoticeAbstractUI.aspx?menuIndex=3&amp;refID=7157326&amp;Result=3","7157326")</f>
        <v>0</v>
      </c>
      <c r="B7283" t="s">
        <v>1441</v>
      </c>
      <c r="C7283" t="s">
        <v>10748</v>
      </c>
      <c r="D7283" t="s">
        <v>19048</v>
      </c>
      <c r="E7283" t="s">
        <v>25311</v>
      </c>
      <c r="F7283" t="s">
        <v>32831</v>
      </c>
      <c r="G7283" t="s">
        <v>32841</v>
      </c>
      <c r="H7283" t="s">
        <v>32848</v>
      </c>
      <c r="I7283" t="s">
        <v>10805</v>
      </c>
      <c r="J7283" t="s">
        <v>37553</v>
      </c>
      <c r="K7283" t="s">
        <v>42727</v>
      </c>
      <c r="M7283" t="s">
        <v>44533</v>
      </c>
      <c r="N7283" t="s">
        <v>47424</v>
      </c>
      <c r="O7283" t="s">
        <v>47425</v>
      </c>
      <c r="P7283">
        <v>0</v>
      </c>
      <c r="Q7283">
        <v>5</v>
      </c>
      <c r="R7283" t="s">
        <v>47431</v>
      </c>
      <c r="S7283" t="s">
        <v>47565</v>
      </c>
      <c r="T7283" t="s">
        <v>49123</v>
      </c>
      <c r="U7283" t="s">
        <v>55775</v>
      </c>
      <c r="W7283" t="s">
        <v>44533</v>
      </c>
      <c r="X7283" t="s">
        <v>47432</v>
      </c>
    </row>
    <row r="7284" spans="1:24">
      <c r="A7284">
        <f>HYPERLINK("https://www.philgeps.gov.ph/GEPSNONPILOT/Tender/SplashBidNoticeAbstractUI.aspx?menuIndex=3&amp;refID=7157335&amp;Result=3","7157335")</f>
        <v>0</v>
      </c>
      <c r="B7284" t="s">
        <v>2315</v>
      </c>
      <c r="C7284" t="s">
        <v>10749</v>
      </c>
      <c r="D7284" t="s">
        <v>19031</v>
      </c>
      <c r="E7284" t="s">
        <v>25439</v>
      </c>
      <c r="F7284" t="s">
        <v>32831</v>
      </c>
      <c r="G7284" t="s">
        <v>32839</v>
      </c>
      <c r="H7284" t="s">
        <v>32848</v>
      </c>
      <c r="I7284" t="s">
        <v>32883</v>
      </c>
      <c r="J7284" t="s">
        <v>33490</v>
      </c>
      <c r="K7284" t="s">
        <v>42730</v>
      </c>
      <c r="M7284" t="s">
        <v>45500</v>
      </c>
      <c r="N7284" t="s">
        <v>47424</v>
      </c>
      <c r="O7284" t="s">
        <v>47425</v>
      </c>
      <c r="P7284">
        <v>0</v>
      </c>
      <c r="Q7284">
        <v>6</v>
      </c>
      <c r="R7284" t="s">
        <v>47431</v>
      </c>
      <c r="S7284" t="s">
        <v>47565</v>
      </c>
      <c r="T7284" t="s">
        <v>49236</v>
      </c>
      <c r="U7284" t="s">
        <v>55776</v>
      </c>
      <c r="W7284" t="s">
        <v>45500</v>
      </c>
      <c r="X7284" t="s">
        <v>47432</v>
      </c>
    </row>
    <row r="7285" spans="1:24">
      <c r="A7285">
        <f>HYPERLINK("https://www.philgeps.gov.ph/GEPSNONPILOT/Tender/SplashBidNoticeAbstractUI.aspx?menuIndex=3&amp;refID=7157319&amp;Result=3","7157319")</f>
        <v>0</v>
      </c>
      <c r="B7285" t="s">
        <v>2518</v>
      </c>
      <c r="C7285" t="s">
        <v>10750</v>
      </c>
      <c r="D7285" t="s">
        <v>19073</v>
      </c>
      <c r="E7285" t="s">
        <v>25440</v>
      </c>
      <c r="F7285" t="s">
        <v>32833</v>
      </c>
      <c r="G7285" t="s">
        <v>32839</v>
      </c>
      <c r="H7285" t="s">
        <v>32849</v>
      </c>
      <c r="I7285" t="s">
        <v>4177</v>
      </c>
      <c r="J7285" t="s">
        <v>32980</v>
      </c>
      <c r="K7285" t="s">
        <v>42727</v>
      </c>
      <c r="M7285" t="s">
        <v>45726</v>
      </c>
      <c r="N7285" t="s">
        <v>47424</v>
      </c>
      <c r="O7285" t="s">
        <v>47425</v>
      </c>
      <c r="P7285">
        <v>0</v>
      </c>
      <c r="Q7285">
        <v>1</v>
      </c>
      <c r="R7285" t="s">
        <v>47431</v>
      </c>
      <c r="S7285" t="s">
        <v>47565</v>
      </c>
      <c r="T7285" t="s">
        <v>49149</v>
      </c>
      <c r="U7285" t="s">
        <v>55777</v>
      </c>
      <c r="V7285" t="s">
        <v>63432</v>
      </c>
      <c r="W7285" t="s">
        <v>45726</v>
      </c>
      <c r="X7285" t="s">
        <v>47432</v>
      </c>
    </row>
    <row r="7286" spans="1:24">
      <c r="A7286">
        <f>HYPERLINK("https://www.philgeps.gov.ph/GEPSNONPILOT/Tender/SplashBidNoticeAbstractUI.aspx?menuIndex=3&amp;refID=7157289&amp;Result=3","7157289")</f>
        <v>0</v>
      </c>
      <c r="B7286" t="s">
        <v>557</v>
      </c>
      <c r="C7286" t="s">
        <v>10751</v>
      </c>
      <c r="E7286" t="s">
        <v>25441</v>
      </c>
      <c r="F7286" t="s">
        <v>32831</v>
      </c>
      <c r="G7286" t="s">
        <v>32839</v>
      </c>
      <c r="H7286" t="s">
        <v>32849</v>
      </c>
      <c r="I7286" t="s">
        <v>4177</v>
      </c>
      <c r="J7286" t="s">
        <v>37554</v>
      </c>
      <c r="K7286" t="s">
        <v>42732</v>
      </c>
      <c r="M7286" t="s">
        <v>43565</v>
      </c>
      <c r="N7286" t="s">
        <v>47424</v>
      </c>
      <c r="O7286" t="s">
        <v>47425</v>
      </c>
      <c r="P7286">
        <v>0</v>
      </c>
      <c r="Q7286">
        <v>2</v>
      </c>
      <c r="R7286" t="s">
        <v>47431</v>
      </c>
      <c r="S7286" t="s">
        <v>47565</v>
      </c>
      <c r="T7286" t="s">
        <v>49077</v>
      </c>
      <c r="U7286" t="s">
        <v>55778</v>
      </c>
      <c r="V7286" t="s">
        <v>63433</v>
      </c>
      <c r="W7286" t="s">
        <v>43565</v>
      </c>
      <c r="X7286" t="s">
        <v>47432</v>
      </c>
    </row>
    <row r="7287" spans="1:24">
      <c r="A7287">
        <f>HYPERLINK("https://www.philgeps.gov.ph/GEPSNONPILOT/Tender/SplashBidNoticeAbstractUI.aspx?menuIndex=3&amp;refID=7157332&amp;Result=3","7157332")</f>
        <v>0</v>
      </c>
      <c r="B7287" t="s">
        <v>557</v>
      </c>
      <c r="C7287" t="s">
        <v>10752</v>
      </c>
      <c r="E7287" t="s">
        <v>25442</v>
      </c>
      <c r="F7287" t="s">
        <v>32831</v>
      </c>
      <c r="G7287" t="s">
        <v>32839</v>
      </c>
      <c r="H7287" t="s">
        <v>32849</v>
      </c>
      <c r="I7287" t="s">
        <v>4177</v>
      </c>
      <c r="J7287" t="s">
        <v>37554</v>
      </c>
      <c r="K7287" t="s">
        <v>42732</v>
      </c>
      <c r="M7287" t="s">
        <v>43565</v>
      </c>
      <c r="N7287" t="s">
        <v>47424</v>
      </c>
      <c r="O7287" t="s">
        <v>47425</v>
      </c>
      <c r="P7287">
        <v>0</v>
      </c>
      <c r="Q7287">
        <v>0</v>
      </c>
      <c r="R7287" t="s">
        <v>47431</v>
      </c>
      <c r="S7287" t="s">
        <v>47565</v>
      </c>
      <c r="T7287" t="s">
        <v>49077</v>
      </c>
      <c r="U7287" t="s">
        <v>55779</v>
      </c>
      <c r="V7287" t="s">
        <v>63434</v>
      </c>
      <c r="W7287" t="s">
        <v>43565</v>
      </c>
      <c r="X7287" t="s">
        <v>47432</v>
      </c>
    </row>
    <row r="7288" spans="1:24">
      <c r="A7288">
        <f>HYPERLINK("https://www.philgeps.gov.ph/GEPSNONPILOT/Tender/SplashBidNoticeAbstractUI.aspx?menuIndex=3&amp;refID=7157288&amp;Result=3","7157288")</f>
        <v>0</v>
      </c>
      <c r="B7288" t="s">
        <v>755</v>
      </c>
      <c r="C7288" t="s">
        <v>10753</v>
      </c>
      <c r="E7288" t="s">
        <v>25443</v>
      </c>
      <c r="F7288" t="s">
        <v>32831</v>
      </c>
      <c r="G7288" t="s">
        <v>32839</v>
      </c>
      <c r="H7288" t="s">
        <v>32848</v>
      </c>
      <c r="I7288" t="s">
        <v>32853</v>
      </c>
      <c r="J7288" t="s">
        <v>37555</v>
      </c>
      <c r="K7288" t="s">
        <v>42732</v>
      </c>
      <c r="M7288" t="s">
        <v>45605</v>
      </c>
      <c r="N7288" t="s">
        <v>47424</v>
      </c>
      <c r="O7288" t="s">
        <v>47425</v>
      </c>
      <c r="P7288">
        <v>0</v>
      </c>
      <c r="Q7288">
        <v>3</v>
      </c>
      <c r="R7288" t="s">
        <v>47431</v>
      </c>
      <c r="S7288" t="s">
        <v>47565</v>
      </c>
      <c r="T7288" t="s">
        <v>49150</v>
      </c>
      <c r="U7288" t="s">
        <v>55780</v>
      </c>
      <c r="W7288" t="s">
        <v>45605</v>
      </c>
      <c r="X7288" t="s">
        <v>47432</v>
      </c>
    </row>
    <row r="7289" spans="1:24">
      <c r="A7289">
        <f>HYPERLINK("https://www.philgeps.gov.ph/GEPSNONPILOT/Tender/SplashBidNoticeAbstractUI.aspx?menuIndex=3&amp;refID=7157287&amp;Result=3","7157287")</f>
        <v>0</v>
      </c>
      <c r="B7289" t="s">
        <v>192</v>
      </c>
      <c r="C7289" t="s">
        <v>10754</v>
      </c>
      <c r="D7289" t="s">
        <v>19057</v>
      </c>
      <c r="E7289" t="s">
        <v>25444</v>
      </c>
      <c r="F7289" t="s">
        <v>32831</v>
      </c>
      <c r="G7289" t="s">
        <v>32838</v>
      </c>
      <c r="H7289" t="s">
        <v>32848</v>
      </c>
      <c r="I7289" t="s">
        <v>32860</v>
      </c>
      <c r="J7289" t="s">
        <v>36091</v>
      </c>
      <c r="K7289" t="s">
        <v>42730</v>
      </c>
      <c r="M7289" t="s">
        <v>43190</v>
      </c>
      <c r="N7289" t="s">
        <v>47424</v>
      </c>
      <c r="O7289" t="s">
        <v>47425</v>
      </c>
      <c r="P7289">
        <v>0</v>
      </c>
      <c r="Q7289">
        <v>2</v>
      </c>
      <c r="R7289" t="s">
        <v>47431</v>
      </c>
      <c r="S7289" t="s">
        <v>47565</v>
      </c>
      <c r="T7289" t="s">
        <v>49100</v>
      </c>
      <c r="U7289" t="s">
        <v>55781</v>
      </c>
      <c r="W7289" t="s">
        <v>43190</v>
      </c>
      <c r="X7289" t="s">
        <v>47432</v>
      </c>
    </row>
    <row r="7290" spans="1:24">
      <c r="A7290">
        <f>HYPERLINK("https://www.philgeps.gov.ph/GEPSNONPILOT/Tender/SplashBidNoticeAbstractUI.aspx?menuIndex=3&amp;refID=7157284&amp;Result=3","7157284")</f>
        <v>0</v>
      </c>
      <c r="B7290" t="s">
        <v>2315</v>
      </c>
      <c r="C7290" t="s">
        <v>10755</v>
      </c>
      <c r="D7290" t="s">
        <v>19031</v>
      </c>
      <c r="E7290" t="s">
        <v>25445</v>
      </c>
      <c r="F7290" t="s">
        <v>32831</v>
      </c>
      <c r="G7290" t="s">
        <v>32839</v>
      </c>
      <c r="H7290" t="s">
        <v>32849</v>
      </c>
      <c r="I7290" t="s">
        <v>4177</v>
      </c>
      <c r="J7290" t="s">
        <v>37556</v>
      </c>
      <c r="K7290" t="s">
        <v>42763</v>
      </c>
      <c r="M7290" t="s">
        <v>45500</v>
      </c>
      <c r="N7290" t="s">
        <v>47424</v>
      </c>
      <c r="O7290" t="s">
        <v>47425</v>
      </c>
      <c r="P7290">
        <v>0</v>
      </c>
      <c r="Q7290">
        <v>0</v>
      </c>
      <c r="R7290" t="s">
        <v>47431</v>
      </c>
      <c r="S7290" t="s">
        <v>47565</v>
      </c>
      <c r="T7290" t="s">
        <v>49236</v>
      </c>
      <c r="U7290" t="s">
        <v>55782</v>
      </c>
      <c r="W7290" t="s">
        <v>45500</v>
      </c>
      <c r="X7290" t="s">
        <v>47432</v>
      </c>
    </row>
    <row r="7291" spans="1:24">
      <c r="A7291">
        <f>HYPERLINK("https://www.philgeps.gov.ph/GEPSNONPILOT/Tender/SplashBidNoticeAbstractUI.aspx?menuIndex=3&amp;refID=7157283&amp;Result=3","7157283")</f>
        <v>0</v>
      </c>
      <c r="B7291" t="s">
        <v>1303</v>
      </c>
      <c r="C7291" t="s">
        <v>10756</v>
      </c>
      <c r="D7291" t="s">
        <v>19045</v>
      </c>
      <c r="E7291" t="s">
        <v>23932</v>
      </c>
      <c r="F7291" t="s">
        <v>32831</v>
      </c>
      <c r="G7291" t="s">
        <v>32838</v>
      </c>
      <c r="H7291" t="s">
        <v>32848</v>
      </c>
      <c r="I7291" t="s">
        <v>7416</v>
      </c>
      <c r="J7291" t="s">
        <v>37557</v>
      </c>
      <c r="K7291" t="s">
        <v>42726</v>
      </c>
      <c r="M7291" t="s">
        <v>44373</v>
      </c>
      <c r="N7291" t="s">
        <v>47424</v>
      </c>
      <c r="O7291" t="s">
        <v>47425</v>
      </c>
      <c r="P7291">
        <v>0</v>
      </c>
      <c r="Q7291">
        <v>0</v>
      </c>
      <c r="R7291" t="s">
        <v>47431</v>
      </c>
      <c r="S7291" t="s">
        <v>47565</v>
      </c>
      <c r="T7291" t="s">
        <v>49100</v>
      </c>
      <c r="U7291" t="s">
        <v>55783</v>
      </c>
      <c r="W7291" t="s">
        <v>44373</v>
      </c>
      <c r="X7291" t="s">
        <v>47432</v>
      </c>
    </row>
    <row r="7292" spans="1:24">
      <c r="A7292">
        <f>HYPERLINK("https://www.philgeps.gov.ph/GEPSNONPILOT/Tender/SplashBidNoticeAbstractUI.aspx?menuIndex=3&amp;refID=7157282&amp;Result=3","7157282")</f>
        <v>0</v>
      </c>
      <c r="B7292" t="s">
        <v>2499</v>
      </c>
      <c r="C7292" t="s">
        <v>10757</v>
      </c>
      <c r="D7292" t="s">
        <v>19088</v>
      </c>
      <c r="E7292" t="s">
        <v>22492</v>
      </c>
      <c r="F7292" t="s">
        <v>32831</v>
      </c>
      <c r="G7292" t="s">
        <v>32839</v>
      </c>
      <c r="H7292" t="s">
        <v>32849</v>
      </c>
      <c r="I7292" t="s">
        <v>4177</v>
      </c>
      <c r="J7292" t="s">
        <v>37558</v>
      </c>
      <c r="K7292" t="s">
        <v>42732</v>
      </c>
      <c r="M7292" t="s">
        <v>45706</v>
      </c>
      <c r="N7292" t="s">
        <v>47424</v>
      </c>
      <c r="O7292" t="s">
        <v>47425</v>
      </c>
      <c r="P7292">
        <v>0</v>
      </c>
      <c r="Q7292">
        <v>0</v>
      </c>
      <c r="R7292" t="s">
        <v>47431</v>
      </c>
      <c r="S7292" t="s">
        <v>47565</v>
      </c>
      <c r="T7292" t="s">
        <v>49079</v>
      </c>
      <c r="U7292" t="s">
        <v>55784</v>
      </c>
      <c r="W7292" t="s">
        <v>45706</v>
      </c>
      <c r="X7292" t="s">
        <v>47432</v>
      </c>
    </row>
    <row r="7293" spans="1:24">
      <c r="A7293">
        <f>HYPERLINK("https://www.philgeps.gov.ph/GEPSNONPILOT/Tender/SplashBidNoticeAbstractUI.aspx?menuIndex=3&amp;refID=7157239&amp;Result=3","7157239")</f>
        <v>0</v>
      </c>
      <c r="B7293" t="s">
        <v>2495</v>
      </c>
      <c r="C7293" t="s">
        <v>10758</v>
      </c>
      <c r="D7293" t="s">
        <v>19017</v>
      </c>
      <c r="E7293" t="s">
        <v>25446</v>
      </c>
      <c r="F7293" t="s">
        <v>32831</v>
      </c>
      <c r="G7293" t="s">
        <v>32838</v>
      </c>
      <c r="H7293" t="s">
        <v>32848</v>
      </c>
      <c r="I7293" t="s">
        <v>5379</v>
      </c>
      <c r="J7293" t="s">
        <v>37559</v>
      </c>
      <c r="K7293" t="s">
        <v>42726</v>
      </c>
      <c r="M7293" t="s">
        <v>45701</v>
      </c>
      <c r="N7293" t="s">
        <v>47424</v>
      </c>
      <c r="O7293" t="s">
        <v>47425</v>
      </c>
      <c r="P7293">
        <v>0</v>
      </c>
      <c r="Q7293">
        <v>1</v>
      </c>
      <c r="R7293" t="s">
        <v>47431</v>
      </c>
      <c r="S7293" t="s">
        <v>47565</v>
      </c>
      <c r="T7293" t="s">
        <v>49114</v>
      </c>
      <c r="U7293" t="s">
        <v>49907</v>
      </c>
      <c r="W7293" t="s">
        <v>45701</v>
      </c>
      <c r="X7293" t="s">
        <v>47432</v>
      </c>
    </row>
    <row r="7294" spans="1:24">
      <c r="A7294">
        <f>HYPERLINK("https://www.philgeps.gov.ph/GEPSNONPILOT/Tender/SplashBidNoticeAbstractUI.aspx?menuIndex=3&amp;refID=7157237&amp;Result=3","7157237")</f>
        <v>0</v>
      </c>
      <c r="B7294" t="s">
        <v>755</v>
      </c>
      <c r="C7294" t="s">
        <v>10759</v>
      </c>
      <c r="E7294" t="s">
        <v>25447</v>
      </c>
      <c r="F7294" t="s">
        <v>32831</v>
      </c>
      <c r="G7294" t="s">
        <v>32839</v>
      </c>
      <c r="H7294" t="s">
        <v>32848</v>
      </c>
      <c r="I7294" t="s">
        <v>4340</v>
      </c>
      <c r="J7294" t="s">
        <v>37560</v>
      </c>
      <c r="K7294" t="s">
        <v>42732</v>
      </c>
      <c r="M7294" t="s">
        <v>45605</v>
      </c>
      <c r="N7294" t="s">
        <v>47424</v>
      </c>
      <c r="O7294" t="s">
        <v>47425</v>
      </c>
      <c r="P7294">
        <v>0</v>
      </c>
      <c r="Q7294">
        <v>2</v>
      </c>
      <c r="R7294" t="s">
        <v>47431</v>
      </c>
      <c r="S7294" t="s">
        <v>47565</v>
      </c>
      <c r="T7294" t="s">
        <v>49150</v>
      </c>
      <c r="U7294" t="s">
        <v>55785</v>
      </c>
      <c r="W7294" t="s">
        <v>45605</v>
      </c>
      <c r="X7294" t="s">
        <v>47432</v>
      </c>
    </row>
    <row r="7295" spans="1:24">
      <c r="A7295">
        <f>HYPERLINK("https://www.philgeps.gov.ph/GEPSNONPILOT/Tender/SplashBidNoticeAbstractUI.aspx?menuIndex=3&amp;refID=7157215&amp;Result=3","7157215")</f>
        <v>0</v>
      </c>
      <c r="B7295" t="s">
        <v>1144</v>
      </c>
      <c r="C7295" t="s">
        <v>10760</v>
      </c>
      <c r="D7295" t="s">
        <v>19038</v>
      </c>
      <c r="E7295" t="s">
        <v>25448</v>
      </c>
      <c r="F7295" t="s">
        <v>32831</v>
      </c>
      <c r="G7295" t="s">
        <v>32838</v>
      </c>
      <c r="H7295" t="s">
        <v>32848</v>
      </c>
      <c r="I7295" t="s">
        <v>5379</v>
      </c>
      <c r="J7295" t="s">
        <v>37561</v>
      </c>
      <c r="K7295" t="s">
        <v>42731</v>
      </c>
      <c r="M7295" t="s">
        <v>44208</v>
      </c>
      <c r="N7295" t="s">
        <v>47424</v>
      </c>
      <c r="O7295" t="s">
        <v>47425</v>
      </c>
      <c r="P7295">
        <v>0</v>
      </c>
      <c r="Q7295">
        <v>0</v>
      </c>
      <c r="R7295" t="s">
        <v>47431</v>
      </c>
      <c r="S7295" t="s">
        <v>47565</v>
      </c>
      <c r="T7295" t="s">
        <v>49237</v>
      </c>
      <c r="U7295" t="s">
        <v>55786</v>
      </c>
      <c r="V7295" t="s">
        <v>62904</v>
      </c>
      <c r="W7295" t="s">
        <v>44208</v>
      </c>
      <c r="X7295" t="s">
        <v>47432</v>
      </c>
    </row>
    <row r="7296" spans="1:24">
      <c r="A7296">
        <f>HYPERLINK("https://www.philgeps.gov.ph/GEPSNONPILOT/Tender/SplashBidNoticeAbstractUI.aspx?menuIndex=3&amp;refID=7157213&amp;Result=3","7157213")</f>
        <v>0</v>
      </c>
      <c r="B7296" t="s">
        <v>2519</v>
      </c>
      <c r="C7296" t="s">
        <v>10761</v>
      </c>
      <c r="D7296" t="s">
        <v>19050</v>
      </c>
      <c r="E7296" t="s">
        <v>10761</v>
      </c>
      <c r="F7296" t="s">
        <v>32831</v>
      </c>
      <c r="G7296" t="s">
        <v>32838</v>
      </c>
      <c r="H7296" t="s">
        <v>32848</v>
      </c>
      <c r="I7296" t="s">
        <v>32855</v>
      </c>
      <c r="J7296" t="s">
        <v>37562</v>
      </c>
      <c r="K7296" t="s">
        <v>42732</v>
      </c>
      <c r="M7296" t="s">
        <v>45727</v>
      </c>
      <c r="N7296" t="s">
        <v>47424</v>
      </c>
      <c r="O7296" t="s">
        <v>47425</v>
      </c>
      <c r="P7296">
        <v>0</v>
      </c>
      <c r="Q7296">
        <v>10</v>
      </c>
      <c r="R7296" t="s">
        <v>47431</v>
      </c>
      <c r="S7296" t="s">
        <v>47565</v>
      </c>
      <c r="T7296" t="s">
        <v>49163</v>
      </c>
      <c r="U7296" t="s">
        <v>55787</v>
      </c>
      <c r="V7296" t="s">
        <v>63435</v>
      </c>
      <c r="W7296" t="s">
        <v>45727</v>
      </c>
      <c r="X7296" t="s">
        <v>47432</v>
      </c>
    </row>
    <row r="7297" spans="1:24">
      <c r="A7297">
        <f>HYPERLINK("https://www.philgeps.gov.ph/GEPSNONPILOT/Tender/SplashBidNoticeAbstractUI.aspx?menuIndex=3&amp;refID=7157212&amp;Result=3","7157212")</f>
        <v>0</v>
      </c>
      <c r="B7297" t="s">
        <v>2520</v>
      </c>
      <c r="C7297" t="s">
        <v>10762</v>
      </c>
      <c r="D7297" t="s">
        <v>19017</v>
      </c>
      <c r="E7297" t="s">
        <v>22800</v>
      </c>
      <c r="F7297" t="s">
        <v>32831</v>
      </c>
      <c r="G7297" t="s">
        <v>32838</v>
      </c>
      <c r="H7297" t="s">
        <v>32848</v>
      </c>
      <c r="I7297" t="s">
        <v>32864</v>
      </c>
      <c r="J7297" t="s">
        <v>37146</v>
      </c>
      <c r="K7297" t="s">
        <v>42748</v>
      </c>
      <c r="M7297" t="s">
        <v>45728</v>
      </c>
      <c r="N7297" t="s">
        <v>47424</v>
      </c>
      <c r="O7297" t="s">
        <v>47425</v>
      </c>
      <c r="P7297">
        <v>0</v>
      </c>
      <c r="Q7297">
        <v>3</v>
      </c>
      <c r="R7297" t="s">
        <v>47431</v>
      </c>
      <c r="S7297" t="s">
        <v>47565</v>
      </c>
      <c r="T7297" t="s">
        <v>49145</v>
      </c>
      <c r="U7297" t="s">
        <v>55788</v>
      </c>
      <c r="W7297" t="s">
        <v>45728</v>
      </c>
      <c r="X7297" t="s">
        <v>47432</v>
      </c>
    </row>
    <row r="7298" spans="1:24">
      <c r="A7298">
        <f>HYPERLINK("https://www.philgeps.gov.ph/GEPSNONPILOT/Tender/SplashBidNoticeAbstractUI.aspx?menuIndex=3&amp;refID=7157211&amp;Result=3","7157211")</f>
        <v>0</v>
      </c>
      <c r="B7298" t="s">
        <v>768</v>
      </c>
      <c r="C7298" t="s">
        <v>10763</v>
      </c>
      <c r="D7298" t="s">
        <v>19091</v>
      </c>
      <c r="E7298" t="s">
        <v>25449</v>
      </c>
      <c r="F7298" t="s">
        <v>32831</v>
      </c>
      <c r="G7298" t="s">
        <v>32838</v>
      </c>
      <c r="H7298" t="s">
        <v>32848</v>
      </c>
      <c r="I7298" t="s">
        <v>4438</v>
      </c>
      <c r="J7298" t="s">
        <v>37563</v>
      </c>
      <c r="K7298" t="s">
        <v>42726</v>
      </c>
      <c r="M7298" t="s">
        <v>43797</v>
      </c>
      <c r="N7298" t="s">
        <v>47424</v>
      </c>
      <c r="O7298" t="s">
        <v>47425</v>
      </c>
      <c r="P7298">
        <v>0</v>
      </c>
      <c r="Q7298">
        <v>0</v>
      </c>
      <c r="R7298" t="s">
        <v>47431</v>
      </c>
      <c r="S7298" t="s">
        <v>47565</v>
      </c>
      <c r="T7298" t="s">
        <v>49239</v>
      </c>
      <c r="U7298" t="s">
        <v>55789</v>
      </c>
      <c r="W7298" t="s">
        <v>43797</v>
      </c>
      <c r="X7298" t="s">
        <v>47432</v>
      </c>
    </row>
    <row r="7299" spans="1:24">
      <c r="A7299">
        <f>HYPERLINK("https://www.philgeps.gov.ph/GEPSNONPILOT/Tender/SplashBidNoticeAbstractUI.aspx?menuIndex=3&amp;refID=7157208&amp;Result=3","7157208")</f>
        <v>0</v>
      </c>
      <c r="B7299" t="s">
        <v>2029</v>
      </c>
      <c r="C7299" t="s">
        <v>10764</v>
      </c>
      <c r="D7299" t="s">
        <v>19067</v>
      </c>
      <c r="E7299" t="s">
        <v>25450</v>
      </c>
      <c r="F7299" t="s">
        <v>32831</v>
      </c>
      <c r="G7299" t="s">
        <v>32840</v>
      </c>
      <c r="H7299" t="s">
        <v>32848</v>
      </c>
      <c r="I7299" t="s">
        <v>6526</v>
      </c>
      <c r="J7299" t="s">
        <v>37564</v>
      </c>
      <c r="K7299" t="s">
        <v>42732</v>
      </c>
      <c r="M7299" t="s">
        <v>45197</v>
      </c>
      <c r="N7299" t="s">
        <v>47424</v>
      </c>
      <c r="O7299" t="s">
        <v>47425</v>
      </c>
      <c r="P7299">
        <v>0</v>
      </c>
      <c r="Q7299">
        <v>1</v>
      </c>
      <c r="R7299" t="s">
        <v>47431</v>
      </c>
      <c r="S7299" t="s">
        <v>47565</v>
      </c>
      <c r="T7299" t="s">
        <v>49111</v>
      </c>
      <c r="U7299" t="s">
        <v>55790</v>
      </c>
      <c r="W7299" t="s">
        <v>45197</v>
      </c>
      <c r="X7299" t="s">
        <v>47432</v>
      </c>
    </row>
    <row r="7300" spans="1:24">
      <c r="A7300">
        <f>HYPERLINK("https://www.philgeps.gov.ph/GEPSNONPILOT/Tender/SplashBidNoticeAbstractUI.aspx?menuIndex=3&amp;refID=7157205&amp;Result=3","7157205")</f>
        <v>0</v>
      </c>
      <c r="B7300" t="s">
        <v>971</v>
      </c>
      <c r="C7300" t="s">
        <v>10765</v>
      </c>
      <c r="D7300" t="s">
        <v>19022</v>
      </c>
      <c r="E7300" t="s">
        <v>25451</v>
      </c>
      <c r="F7300" t="s">
        <v>32831</v>
      </c>
      <c r="G7300" t="s">
        <v>32838</v>
      </c>
      <c r="H7300" t="s">
        <v>32848</v>
      </c>
      <c r="I7300" t="s">
        <v>32859</v>
      </c>
      <c r="J7300" t="s">
        <v>37565</v>
      </c>
      <c r="K7300" t="s">
        <v>42727</v>
      </c>
      <c r="M7300" t="s">
        <v>44017</v>
      </c>
      <c r="N7300" t="s">
        <v>47424</v>
      </c>
      <c r="O7300" t="s">
        <v>47425</v>
      </c>
      <c r="P7300">
        <v>0</v>
      </c>
      <c r="Q7300">
        <v>2</v>
      </c>
      <c r="R7300" t="s">
        <v>47431</v>
      </c>
      <c r="S7300" t="s">
        <v>47565</v>
      </c>
      <c r="T7300" t="s">
        <v>49239</v>
      </c>
      <c r="U7300" t="s">
        <v>55791</v>
      </c>
      <c r="W7300" t="s">
        <v>44017</v>
      </c>
      <c r="X7300" t="s">
        <v>47432</v>
      </c>
    </row>
    <row r="7301" spans="1:24">
      <c r="A7301">
        <f>HYPERLINK("https://www.philgeps.gov.ph/GEPSNONPILOT/Tender/SplashBidNoticeAbstractUI.aspx?menuIndex=3&amp;refID=7157203&amp;Result=3","7157203")</f>
        <v>0</v>
      </c>
      <c r="B7301" t="s">
        <v>2500</v>
      </c>
      <c r="C7301" t="s">
        <v>10766</v>
      </c>
      <c r="D7301" t="s">
        <v>19052</v>
      </c>
      <c r="E7301" t="s">
        <v>25452</v>
      </c>
      <c r="F7301" t="s">
        <v>32831</v>
      </c>
      <c r="G7301" t="s">
        <v>32838</v>
      </c>
      <c r="H7301" t="s">
        <v>32848</v>
      </c>
      <c r="I7301" t="s">
        <v>4776</v>
      </c>
      <c r="J7301" t="s">
        <v>33445</v>
      </c>
      <c r="K7301" t="s">
        <v>42730</v>
      </c>
      <c r="L7301" t="s">
        <v>2500</v>
      </c>
      <c r="M7301" t="s">
        <v>45707</v>
      </c>
      <c r="N7301" t="s">
        <v>47424</v>
      </c>
      <c r="O7301" t="s">
        <v>47425</v>
      </c>
      <c r="P7301">
        <v>0</v>
      </c>
      <c r="Q7301">
        <v>4</v>
      </c>
      <c r="R7301" t="s">
        <v>47431</v>
      </c>
      <c r="S7301" t="s">
        <v>47565</v>
      </c>
      <c r="T7301" t="s">
        <v>49056</v>
      </c>
      <c r="U7301" t="s">
        <v>55792</v>
      </c>
      <c r="V7301" t="s">
        <v>63422</v>
      </c>
      <c r="W7301" t="s">
        <v>45707</v>
      </c>
      <c r="X7301" t="s">
        <v>47432</v>
      </c>
    </row>
    <row r="7302" spans="1:24">
      <c r="A7302">
        <f>HYPERLINK("https://www.philgeps.gov.ph/GEPSNONPILOT/Tender/SplashBidNoticeAbstractUI.aspx?menuIndex=3&amp;refID=7157292&amp;Result=3","7157292")</f>
        <v>0</v>
      </c>
      <c r="B7302" t="s">
        <v>2521</v>
      </c>
      <c r="C7302" t="s">
        <v>10767</v>
      </c>
      <c r="D7302" t="s">
        <v>19017</v>
      </c>
      <c r="E7302" t="s">
        <v>25453</v>
      </c>
      <c r="F7302" t="s">
        <v>32831</v>
      </c>
      <c r="G7302" t="s">
        <v>32840</v>
      </c>
      <c r="H7302" t="s">
        <v>32848</v>
      </c>
      <c r="I7302" t="s">
        <v>4438</v>
      </c>
      <c r="J7302" t="s">
        <v>32979</v>
      </c>
      <c r="K7302" t="s">
        <v>42726</v>
      </c>
      <c r="M7302" t="s">
        <v>45729</v>
      </c>
      <c r="N7302" t="s">
        <v>47424</v>
      </c>
      <c r="O7302" t="s">
        <v>47425</v>
      </c>
      <c r="P7302">
        <v>0</v>
      </c>
      <c r="Q7302">
        <v>2</v>
      </c>
      <c r="R7302" t="s">
        <v>47431</v>
      </c>
      <c r="S7302" t="s">
        <v>47565</v>
      </c>
      <c r="T7302" t="s">
        <v>49177</v>
      </c>
      <c r="U7302" t="s">
        <v>55793</v>
      </c>
      <c r="W7302" t="s">
        <v>45729</v>
      </c>
      <c r="X7302" t="s">
        <v>47432</v>
      </c>
    </row>
    <row r="7303" spans="1:24">
      <c r="A7303">
        <f>HYPERLINK("https://www.philgeps.gov.ph/GEPSNONPILOT/Tender/SplashBidNoticeAbstractUI.aspx?menuIndex=3&amp;refID=7156699&amp;Result=3","7156699")</f>
        <v>0</v>
      </c>
      <c r="B7303" t="s">
        <v>381</v>
      </c>
      <c r="C7303" t="s">
        <v>10768</v>
      </c>
      <c r="E7303" t="s">
        <v>25454</v>
      </c>
      <c r="F7303" t="s">
        <v>32831</v>
      </c>
      <c r="G7303" t="s">
        <v>32838</v>
      </c>
      <c r="H7303" t="s">
        <v>32848</v>
      </c>
      <c r="I7303" t="s">
        <v>4438</v>
      </c>
      <c r="J7303" t="s">
        <v>37566</v>
      </c>
      <c r="K7303" t="s">
        <v>42732</v>
      </c>
      <c r="M7303" t="s">
        <v>43385</v>
      </c>
      <c r="N7303" t="s">
        <v>47424</v>
      </c>
      <c r="O7303" t="s">
        <v>47425</v>
      </c>
      <c r="P7303">
        <v>0</v>
      </c>
      <c r="Q7303">
        <v>3</v>
      </c>
      <c r="R7303" t="s">
        <v>47431</v>
      </c>
      <c r="S7303" t="s">
        <v>47565</v>
      </c>
      <c r="T7303" t="s">
        <v>49111</v>
      </c>
      <c r="U7303" t="s">
        <v>55727</v>
      </c>
      <c r="W7303" t="s">
        <v>43385</v>
      </c>
      <c r="X7303" t="s">
        <v>47432</v>
      </c>
    </row>
    <row r="7304" spans="1:24">
      <c r="A7304">
        <f>HYPERLINK("https://www.philgeps.gov.ph/GEPSNONPILOT/Tender/SplashBidNoticeAbstractUI.aspx?menuIndex=3&amp;refID=7157322&amp;Result=3","7157322")</f>
        <v>0</v>
      </c>
      <c r="B7304" t="s">
        <v>266</v>
      </c>
      <c r="C7304" t="s">
        <v>10769</v>
      </c>
      <c r="E7304" t="s">
        <v>25455</v>
      </c>
      <c r="F7304" t="s">
        <v>32831</v>
      </c>
      <c r="G7304" t="s">
        <v>32845</v>
      </c>
      <c r="H7304" t="s">
        <v>32848</v>
      </c>
      <c r="I7304" t="s">
        <v>32883</v>
      </c>
      <c r="J7304" t="s">
        <v>37567</v>
      </c>
      <c r="K7304" t="s">
        <v>42730</v>
      </c>
      <c r="M7304" t="s">
        <v>43265</v>
      </c>
      <c r="N7304" t="s">
        <v>47424</v>
      </c>
      <c r="O7304" t="s">
        <v>47425</v>
      </c>
      <c r="P7304">
        <v>0</v>
      </c>
      <c r="Q7304">
        <v>5</v>
      </c>
      <c r="R7304" t="s">
        <v>47431</v>
      </c>
      <c r="S7304" t="s">
        <v>47565</v>
      </c>
      <c r="T7304" t="s">
        <v>49077</v>
      </c>
      <c r="U7304" t="s">
        <v>55794</v>
      </c>
      <c r="V7304" t="s">
        <v>63436</v>
      </c>
      <c r="W7304" t="s">
        <v>43265</v>
      </c>
      <c r="X7304" t="s">
        <v>47432</v>
      </c>
    </row>
    <row r="7305" spans="1:24">
      <c r="A7305">
        <f>HYPERLINK("https://www.philgeps.gov.ph/GEPSNONPILOT/Tender/SplashBidNoticeAbstractUI.aspx?menuIndex=3&amp;refID=7156697&amp;Result=3","7156697")</f>
        <v>0</v>
      </c>
      <c r="B7305" t="s">
        <v>654</v>
      </c>
      <c r="C7305" t="s">
        <v>10770</v>
      </c>
      <c r="D7305" t="s">
        <v>19071</v>
      </c>
      <c r="E7305" t="s">
        <v>25456</v>
      </c>
      <c r="F7305" t="s">
        <v>32831</v>
      </c>
      <c r="G7305" t="s">
        <v>32839</v>
      </c>
      <c r="H7305" t="s">
        <v>32848</v>
      </c>
      <c r="I7305" t="s">
        <v>7416</v>
      </c>
      <c r="J7305" t="s">
        <v>37568</v>
      </c>
      <c r="K7305" t="s">
        <v>42731</v>
      </c>
      <c r="M7305" t="s">
        <v>43672</v>
      </c>
      <c r="N7305" t="s">
        <v>47424</v>
      </c>
      <c r="O7305" t="s">
        <v>47425</v>
      </c>
      <c r="P7305">
        <v>0</v>
      </c>
      <c r="Q7305">
        <v>1</v>
      </c>
      <c r="R7305" t="s">
        <v>47431</v>
      </c>
      <c r="S7305" t="s">
        <v>47565</v>
      </c>
      <c r="T7305" t="s">
        <v>49148</v>
      </c>
      <c r="U7305" t="s">
        <v>55795</v>
      </c>
      <c r="W7305" t="s">
        <v>43672</v>
      </c>
      <c r="X7305" t="s">
        <v>47432</v>
      </c>
    </row>
    <row r="7306" spans="1:24">
      <c r="A7306">
        <f>HYPERLINK("https://www.philgeps.gov.ph/GEPSNONPILOT/Tender/SplashBidNoticeAbstractUI.aspx?menuIndex=3&amp;refID=7156698&amp;Result=3","7156698")</f>
        <v>0</v>
      </c>
      <c r="B7306" t="s">
        <v>688</v>
      </c>
      <c r="C7306" t="s">
        <v>10771</v>
      </c>
      <c r="E7306" t="s">
        <v>25457</v>
      </c>
      <c r="F7306" t="s">
        <v>32831</v>
      </c>
      <c r="G7306" t="s">
        <v>32838</v>
      </c>
      <c r="H7306" t="s">
        <v>32848</v>
      </c>
      <c r="I7306" t="s">
        <v>32909</v>
      </c>
      <c r="J7306" t="s">
        <v>33594</v>
      </c>
      <c r="K7306" t="s">
        <v>42732</v>
      </c>
      <c r="M7306" t="s">
        <v>43707</v>
      </c>
      <c r="N7306" t="s">
        <v>47424</v>
      </c>
      <c r="O7306" t="s">
        <v>47425</v>
      </c>
      <c r="P7306">
        <v>0</v>
      </c>
      <c r="Q7306">
        <v>1</v>
      </c>
      <c r="R7306" t="s">
        <v>47431</v>
      </c>
      <c r="S7306" t="s">
        <v>47565</v>
      </c>
      <c r="T7306" t="s">
        <v>49259</v>
      </c>
      <c r="U7306" t="s">
        <v>55662</v>
      </c>
      <c r="W7306" t="s">
        <v>43707</v>
      </c>
      <c r="X7306" t="s">
        <v>47432</v>
      </c>
    </row>
    <row r="7307" spans="1:24">
      <c r="A7307">
        <f>HYPERLINK("https://www.philgeps.gov.ph/GEPSNONPILOT/Tender/SplashBidNoticeAbstractUI.aspx?menuIndex=3&amp;refID=7155382&amp;Result=3","7155382")</f>
        <v>0</v>
      </c>
      <c r="B7307" t="s">
        <v>2239</v>
      </c>
      <c r="C7307" t="s">
        <v>10772</v>
      </c>
      <c r="D7307" t="s">
        <v>19061</v>
      </c>
      <c r="E7307" t="s">
        <v>25458</v>
      </c>
      <c r="F7307" t="s">
        <v>32831</v>
      </c>
      <c r="G7307" t="s">
        <v>32838</v>
      </c>
      <c r="H7307" t="s">
        <v>32848</v>
      </c>
      <c r="I7307" t="s">
        <v>32871</v>
      </c>
      <c r="J7307" t="s">
        <v>33241</v>
      </c>
      <c r="K7307" t="s">
        <v>42732</v>
      </c>
      <c r="M7307" t="s">
        <v>45420</v>
      </c>
      <c r="N7307" t="s">
        <v>47424</v>
      </c>
      <c r="O7307" t="s">
        <v>47425</v>
      </c>
      <c r="P7307">
        <v>0</v>
      </c>
      <c r="Q7307">
        <v>8</v>
      </c>
      <c r="R7307" t="s">
        <v>47431</v>
      </c>
      <c r="S7307" t="s">
        <v>47565</v>
      </c>
      <c r="T7307" t="s">
        <v>49243</v>
      </c>
      <c r="U7307" t="s">
        <v>55796</v>
      </c>
      <c r="V7307" t="s">
        <v>63437</v>
      </c>
      <c r="W7307" t="s">
        <v>45420</v>
      </c>
      <c r="X7307" t="s">
        <v>47432</v>
      </c>
    </row>
    <row r="7308" spans="1:24">
      <c r="A7308">
        <f>HYPERLINK("https://www.philgeps.gov.ph/GEPSNONPILOT/Tender/SplashBidNoticeAbstractUI.aspx?menuIndex=3&amp;refID=7157327&amp;Result=3","7157327")</f>
        <v>0</v>
      </c>
      <c r="B7308" t="s">
        <v>2522</v>
      </c>
      <c r="C7308" t="s">
        <v>10773</v>
      </c>
      <c r="D7308" t="s">
        <v>19020</v>
      </c>
      <c r="E7308" t="s">
        <v>25459</v>
      </c>
      <c r="F7308" t="s">
        <v>32831</v>
      </c>
      <c r="G7308" t="s">
        <v>32838</v>
      </c>
      <c r="H7308" t="s">
        <v>32848</v>
      </c>
      <c r="I7308" t="s">
        <v>10805</v>
      </c>
      <c r="J7308" t="s">
        <v>37569</v>
      </c>
      <c r="K7308" t="s">
        <v>42730</v>
      </c>
      <c r="M7308" t="s">
        <v>45730</v>
      </c>
      <c r="N7308" t="s">
        <v>47424</v>
      </c>
      <c r="O7308" t="s">
        <v>47425</v>
      </c>
      <c r="P7308">
        <v>0</v>
      </c>
      <c r="Q7308">
        <v>7</v>
      </c>
      <c r="R7308" t="s">
        <v>47431</v>
      </c>
      <c r="S7308" t="s">
        <v>47565</v>
      </c>
      <c r="T7308" t="s">
        <v>49108</v>
      </c>
      <c r="U7308" t="s">
        <v>55797</v>
      </c>
      <c r="W7308" t="s">
        <v>45730</v>
      </c>
      <c r="X7308" t="s">
        <v>47432</v>
      </c>
    </row>
    <row r="7309" spans="1:24">
      <c r="A7309">
        <f>HYPERLINK("https://www.philgeps.gov.ph/GEPSNONPILOT/Tender/SplashBidNoticeAbstractUI.aspx?menuIndex=3&amp;refID=7155333&amp;Result=3","7155333")</f>
        <v>0</v>
      </c>
      <c r="B7309" t="s">
        <v>1864</v>
      </c>
      <c r="C7309" t="s">
        <v>10774</v>
      </c>
      <c r="D7309" t="s">
        <v>19045</v>
      </c>
      <c r="E7309" t="s">
        <v>25460</v>
      </c>
      <c r="F7309" t="s">
        <v>32831</v>
      </c>
      <c r="G7309" t="s">
        <v>32839</v>
      </c>
      <c r="H7309" t="s">
        <v>32848</v>
      </c>
      <c r="I7309" t="s">
        <v>32890</v>
      </c>
      <c r="J7309" t="s">
        <v>33118</v>
      </c>
      <c r="K7309" t="s">
        <v>42730</v>
      </c>
      <c r="M7309" t="s">
        <v>45006</v>
      </c>
      <c r="N7309" t="s">
        <v>47424</v>
      </c>
      <c r="O7309" t="s">
        <v>47425</v>
      </c>
      <c r="P7309">
        <v>0</v>
      </c>
      <c r="Q7309">
        <v>1</v>
      </c>
      <c r="R7309" t="s">
        <v>47431</v>
      </c>
      <c r="S7309" t="s">
        <v>47565</v>
      </c>
      <c r="T7309" t="s">
        <v>49267</v>
      </c>
      <c r="U7309" t="s">
        <v>55798</v>
      </c>
      <c r="W7309" t="s">
        <v>45006</v>
      </c>
      <c r="X7309" t="s">
        <v>47432</v>
      </c>
    </row>
    <row r="7310" spans="1:24">
      <c r="A7310">
        <f>HYPERLINK("https://www.philgeps.gov.ph/GEPSNONPILOT/Tender/SplashBidNoticeAbstractUI.aspx?menuIndex=3&amp;refID=7159135&amp;Result=3","7159135")</f>
        <v>0</v>
      </c>
      <c r="B7310" t="s">
        <v>72</v>
      </c>
      <c r="C7310" t="s">
        <v>10775</v>
      </c>
      <c r="D7310" t="s">
        <v>19027</v>
      </c>
      <c r="E7310" t="s">
        <v>25461</v>
      </c>
      <c r="F7310" t="s">
        <v>32831</v>
      </c>
      <c r="G7310" t="s">
        <v>32839</v>
      </c>
      <c r="H7310" t="s">
        <v>32849</v>
      </c>
      <c r="I7310" t="s">
        <v>4177</v>
      </c>
      <c r="J7310" t="s">
        <v>33528</v>
      </c>
      <c r="K7310" t="s">
        <v>42729</v>
      </c>
      <c r="M7310" t="s">
        <v>43069</v>
      </c>
      <c r="N7310" t="s">
        <v>47424</v>
      </c>
      <c r="O7310" t="s">
        <v>47425</v>
      </c>
      <c r="P7310">
        <v>0</v>
      </c>
      <c r="Q7310">
        <v>4</v>
      </c>
      <c r="R7310" t="s">
        <v>47430</v>
      </c>
      <c r="S7310" t="s">
        <v>47549</v>
      </c>
      <c r="T7310" t="s">
        <v>49267</v>
      </c>
      <c r="U7310" t="s">
        <v>55799</v>
      </c>
      <c r="W7310" t="s">
        <v>64485</v>
      </c>
      <c r="X7310" t="s">
        <v>47431</v>
      </c>
    </row>
    <row r="7311" spans="1:24">
      <c r="A7311">
        <f>HYPERLINK("https://www.philgeps.gov.ph/GEPSNONPILOT/Tender/SplashBidNoticeAbstractUI.aspx?menuIndex=3&amp;refID=7155388&amp;Result=3","7155388")</f>
        <v>0</v>
      </c>
      <c r="B7311" t="s">
        <v>2240</v>
      </c>
      <c r="C7311" t="s">
        <v>10776</v>
      </c>
      <c r="D7311" t="s">
        <v>19071</v>
      </c>
      <c r="E7311" t="s">
        <v>25462</v>
      </c>
      <c r="F7311" t="s">
        <v>32831</v>
      </c>
      <c r="G7311" t="s">
        <v>32838</v>
      </c>
      <c r="H7311" t="s">
        <v>32848</v>
      </c>
      <c r="I7311" t="s">
        <v>32862</v>
      </c>
      <c r="J7311" t="s">
        <v>34431</v>
      </c>
      <c r="K7311" t="s">
        <v>42732</v>
      </c>
      <c r="M7311" t="s">
        <v>45421</v>
      </c>
      <c r="N7311" t="s">
        <v>47424</v>
      </c>
      <c r="O7311" t="s">
        <v>47425</v>
      </c>
      <c r="P7311">
        <v>0</v>
      </c>
      <c r="Q7311">
        <v>1</v>
      </c>
      <c r="R7311" t="s">
        <v>47431</v>
      </c>
      <c r="S7311" t="s">
        <v>47565</v>
      </c>
      <c r="T7311" t="s">
        <v>49073</v>
      </c>
      <c r="U7311" t="s">
        <v>55800</v>
      </c>
      <c r="W7311" t="s">
        <v>45421</v>
      </c>
      <c r="X7311" t="s">
        <v>47432</v>
      </c>
    </row>
    <row r="7312" spans="1:24">
      <c r="A7312">
        <f>HYPERLINK("https://www.philgeps.gov.ph/GEPSNONPILOT/Tender/SplashBidNoticeAbstractUI.aspx?menuIndex=3&amp;refID=7159131&amp;Result=3","7159131")</f>
        <v>0</v>
      </c>
      <c r="B7312" t="s">
        <v>2523</v>
      </c>
      <c r="C7312" t="s">
        <v>10777</v>
      </c>
      <c r="D7312" t="s">
        <v>19017</v>
      </c>
      <c r="E7312" t="s">
        <v>25463</v>
      </c>
      <c r="F7312" t="s">
        <v>32831</v>
      </c>
      <c r="G7312" t="s">
        <v>32838</v>
      </c>
      <c r="H7312" t="s">
        <v>32848</v>
      </c>
      <c r="I7312" t="s">
        <v>4776</v>
      </c>
      <c r="J7312" t="s">
        <v>33930</v>
      </c>
      <c r="K7312" t="s">
        <v>42732</v>
      </c>
      <c r="M7312" t="s">
        <v>45731</v>
      </c>
      <c r="N7312" t="s">
        <v>47424</v>
      </c>
      <c r="O7312" t="s">
        <v>47425</v>
      </c>
      <c r="P7312">
        <v>0</v>
      </c>
      <c r="Q7312">
        <v>5</v>
      </c>
      <c r="R7312" t="s">
        <v>47430</v>
      </c>
      <c r="S7312" t="s">
        <v>47549</v>
      </c>
      <c r="T7312" t="s">
        <v>49229</v>
      </c>
      <c r="U7312" t="s">
        <v>55801</v>
      </c>
      <c r="V7312" t="s">
        <v>63438</v>
      </c>
      <c r="W7312" t="s">
        <v>45731</v>
      </c>
      <c r="X7312" t="s">
        <v>47431</v>
      </c>
    </row>
    <row r="7313" spans="1:24">
      <c r="A7313">
        <f>HYPERLINK("https://www.philgeps.gov.ph/GEPSNONPILOT/Tender/SplashBidNoticeAbstractUI.aspx?menuIndex=3&amp;refID=7159127&amp;Result=3","7159127")</f>
        <v>0</v>
      </c>
      <c r="B7313" t="s">
        <v>1769</v>
      </c>
      <c r="C7313" t="s">
        <v>10778</v>
      </c>
      <c r="D7313" t="s">
        <v>19035</v>
      </c>
      <c r="E7313" t="s">
        <v>25464</v>
      </c>
      <c r="F7313" t="s">
        <v>32831</v>
      </c>
      <c r="G7313" t="s">
        <v>32838</v>
      </c>
      <c r="H7313" t="s">
        <v>32848</v>
      </c>
      <c r="I7313" t="s">
        <v>32864</v>
      </c>
      <c r="J7313" t="s">
        <v>36641</v>
      </c>
      <c r="K7313" t="s">
        <v>42727</v>
      </c>
      <c r="M7313" t="s">
        <v>44894</v>
      </c>
      <c r="N7313" t="s">
        <v>47424</v>
      </c>
      <c r="O7313" t="s">
        <v>47425</v>
      </c>
      <c r="P7313">
        <v>0</v>
      </c>
      <c r="Q7313">
        <v>3</v>
      </c>
      <c r="R7313" t="s">
        <v>47430</v>
      </c>
      <c r="S7313" t="s">
        <v>47549</v>
      </c>
      <c r="T7313" t="s">
        <v>49238</v>
      </c>
      <c r="U7313" t="s">
        <v>55802</v>
      </c>
      <c r="V7313" t="s">
        <v>63121</v>
      </c>
      <c r="W7313" t="s">
        <v>44894</v>
      </c>
      <c r="X7313" t="s">
        <v>47431</v>
      </c>
    </row>
    <row r="7314" spans="1:24">
      <c r="A7314">
        <f>HYPERLINK("https://www.philgeps.gov.ph/GEPSNONPILOT/Tender/SplashBidNoticeAbstractUI.aspx?menuIndex=3&amp;refID=7159097&amp;Result=3","7159097")</f>
        <v>0</v>
      </c>
      <c r="B7314" t="s">
        <v>207</v>
      </c>
      <c r="C7314" t="s">
        <v>10779</v>
      </c>
      <c r="D7314" t="s">
        <v>19050</v>
      </c>
      <c r="E7314" t="s">
        <v>25465</v>
      </c>
      <c r="F7314" t="s">
        <v>32831</v>
      </c>
      <c r="G7314" t="s">
        <v>32838</v>
      </c>
      <c r="H7314" t="s">
        <v>32848</v>
      </c>
      <c r="I7314" t="s">
        <v>32878</v>
      </c>
      <c r="J7314" t="s">
        <v>33464</v>
      </c>
      <c r="K7314" t="s">
        <v>42732</v>
      </c>
      <c r="M7314" t="s">
        <v>43205</v>
      </c>
      <c r="N7314" t="s">
        <v>47424</v>
      </c>
      <c r="O7314" t="s">
        <v>47425</v>
      </c>
      <c r="P7314">
        <v>0</v>
      </c>
      <c r="Q7314">
        <v>0</v>
      </c>
      <c r="R7314" t="s">
        <v>47430</v>
      </c>
      <c r="S7314" t="s">
        <v>47549</v>
      </c>
      <c r="T7314" t="s">
        <v>49111</v>
      </c>
      <c r="U7314" t="s">
        <v>55803</v>
      </c>
      <c r="W7314" t="s">
        <v>64481</v>
      </c>
      <c r="X7314" t="s">
        <v>47431</v>
      </c>
    </row>
    <row r="7315" spans="1:24">
      <c r="A7315">
        <f>HYPERLINK("https://www.philgeps.gov.ph/GEPSNONPILOT/Tender/SplashBidNoticeAbstractUI.aspx?menuIndex=3&amp;refID=7157321&amp;Result=3","7157321")</f>
        <v>0</v>
      </c>
      <c r="B7315" t="s">
        <v>755</v>
      </c>
      <c r="C7315" t="s">
        <v>10780</v>
      </c>
      <c r="E7315" t="s">
        <v>25466</v>
      </c>
      <c r="F7315" t="s">
        <v>32831</v>
      </c>
      <c r="G7315" t="s">
        <v>32839</v>
      </c>
      <c r="H7315" t="s">
        <v>32848</v>
      </c>
      <c r="I7315" t="s">
        <v>32857</v>
      </c>
      <c r="J7315" t="s">
        <v>37570</v>
      </c>
      <c r="K7315" t="s">
        <v>42732</v>
      </c>
      <c r="M7315" t="s">
        <v>45605</v>
      </c>
      <c r="N7315" t="s">
        <v>47424</v>
      </c>
      <c r="O7315" t="s">
        <v>47425</v>
      </c>
      <c r="P7315">
        <v>0</v>
      </c>
      <c r="Q7315">
        <v>3</v>
      </c>
      <c r="R7315" t="s">
        <v>47431</v>
      </c>
      <c r="S7315" t="s">
        <v>47565</v>
      </c>
      <c r="T7315" t="s">
        <v>49150</v>
      </c>
      <c r="U7315" t="s">
        <v>55804</v>
      </c>
      <c r="W7315" t="s">
        <v>45605</v>
      </c>
      <c r="X7315" t="s">
        <v>47432</v>
      </c>
    </row>
    <row r="7316" spans="1:24">
      <c r="A7316">
        <f>HYPERLINK("https://www.philgeps.gov.ph/GEPSNONPILOT/Tender/SplashBidNoticeAbstractUI.aspx?menuIndex=3&amp;refID=7159096&amp;Result=3","7159096")</f>
        <v>0</v>
      </c>
      <c r="B7316" t="s">
        <v>2524</v>
      </c>
      <c r="C7316" t="s">
        <v>10781</v>
      </c>
      <c r="D7316" t="s">
        <v>19024</v>
      </c>
      <c r="E7316" t="s">
        <v>25467</v>
      </c>
      <c r="F7316" t="s">
        <v>32831</v>
      </c>
      <c r="G7316" t="s">
        <v>32839</v>
      </c>
      <c r="H7316" t="s">
        <v>32849</v>
      </c>
      <c r="I7316" t="s">
        <v>4177</v>
      </c>
      <c r="J7316" t="s">
        <v>33162</v>
      </c>
      <c r="K7316" t="s">
        <v>42730</v>
      </c>
      <c r="M7316" t="s">
        <v>45732</v>
      </c>
      <c r="N7316" t="s">
        <v>47424</v>
      </c>
      <c r="O7316" t="s">
        <v>47425</v>
      </c>
      <c r="P7316">
        <v>0</v>
      </c>
      <c r="Q7316">
        <v>0</v>
      </c>
      <c r="R7316" t="s">
        <v>47430</v>
      </c>
      <c r="S7316" t="s">
        <v>47549</v>
      </c>
      <c r="T7316" t="s">
        <v>49129</v>
      </c>
      <c r="U7316" t="s">
        <v>55805</v>
      </c>
      <c r="W7316" t="s">
        <v>45732</v>
      </c>
      <c r="X7316" t="s">
        <v>47431</v>
      </c>
    </row>
    <row r="7317" spans="1:24">
      <c r="A7317">
        <f>HYPERLINK("https://www.philgeps.gov.ph/GEPSNONPILOT/Tender/SplashBidNoticeAbstractUI.aspx?menuIndex=3&amp;refID=7157373&amp;Result=3","7157373")</f>
        <v>0</v>
      </c>
      <c r="B7317" t="s">
        <v>2516</v>
      </c>
      <c r="C7317" t="s">
        <v>10782</v>
      </c>
      <c r="D7317" t="s">
        <v>19044</v>
      </c>
      <c r="E7317" t="s">
        <v>25468</v>
      </c>
      <c r="F7317" t="s">
        <v>32831</v>
      </c>
      <c r="G7317" t="s">
        <v>32838</v>
      </c>
      <c r="H7317" t="s">
        <v>32848</v>
      </c>
      <c r="I7317" t="s">
        <v>4303</v>
      </c>
      <c r="J7317" t="s">
        <v>37571</v>
      </c>
      <c r="K7317" t="s">
        <v>42732</v>
      </c>
      <c r="M7317" t="s">
        <v>45723</v>
      </c>
      <c r="N7317" t="s">
        <v>47424</v>
      </c>
      <c r="O7317" t="s">
        <v>47425</v>
      </c>
      <c r="P7317">
        <v>0</v>
      </c>
      <c r="Q7317">
        <v>0</v>
      </c>
      <c r="R7317" t="s">
        <v>47431</v>
      </c>
      <c r="S7317" t="s">
        <v>47565</v>
      </c>
      <c r="T7317" t="s">
        <v>49111</v>
      </c>
      <c r="U7317" t="s">
        <v>55806</v>
      </c>
      <c r="W7317" t="s">
        <v>45723</v>
      </c>
      <c r="X7317" t="s">
        <v>47432</v>
      </c>
    </row>
    <row r="7318" spans="1:24">
      <c r="A7318">
        <f>HYPERLINK("https://www.philgeps.gov.ph/GEPSNONPILOT/Tender/SplashBidNoticeAbstractUI.aspx?menuIndex=3&amp;refID=7157372&amp;Result=3","7157372")</f>
        <v>0</v>
      </c>
      <c r="B7318" t="s">
        <v>266</v>
      </c>
      <c r="C7318" t="s">
        <v>10783</v>
      </c>
      <c r="D7318" t="s">
        <v>19040</v>
      </c>
      <c r="E7318" t="s">
        <v>25469</v>
      </c>
      <c r="F7318" t="s">
        <v>32831</v>
      </c>
      <c r="G7318" t="s">
        <v>32845</v>
      </c>
      <c r="H7318" t="s">
        <v>32848</v>
      </c>
      <c r="I7318" t="s">
        <v>32890</v>
      </c>
      <c r="J7318" t="s">
        <v>37572</v>
      </c>
      <c r="K7318" t="s">
        <v>42730</v>
      </c>
      <c r="M7318" t="s">
        <v>43265</v>
      </c>
      <c r="N7318" t="s">
        <v>47424</v>
      </c>
      <c r="O7318" t="s">
        <v>47425</v>
      </c>
      <c r="P7318">
        <v>0</v>
      </c>
      <c r="Q7318">
        <v>1</v>
      </c>
      <c r="R7318" t="s">
        <v>47431</v>
      </c>
      <c r="S7318" t="s">
        <v>47565</v>
      </c>
      <c r="T7318" t="s">
        <v>49077</v>
      </c>
      <c r="U7318" t="s">
        <v>55807</v>
      </c>
      <c r="V7318" t="s">
        <v>63308</v>
      </c>
      <c r="W7318" t="s">
        <v>43265</v>
      </c>
      <c r="X7318" t="s">
        <v>47432</v>
      </c>
    </row>
    <row r="7319" spans="1:24">
      <c r="A7319">
        <f>HYPERLINK("https://www.philgeps.gov.ph/GEPSNONPILOT/Tender/SplashBidNoticeAbstractUI.aspx?menuIndex=3&amp;refID=7159130&amp;Result=3","7159130")</f>
        <v>0</v>
      </c>
      <c r="B7319" t="s">
        <v>1858</v>
      </c>
      <c r="C7319" t="s">
        <v>10784</v>
      </c>
      <c r="D7319" t="s">
        <v>19056</v>
      </c>
      <c r="E7319" t="s">
        <v>23323</v>
      </c>
      <c r="F7319" t="s">
        <v>32831</v>
      </c>
      <c r="G7319" t="s">
        <v>32839</v>
      </c>
      <c r="H7319" t="s">
        <v>32849</v>
      </c>
      <c r="I7319" t="s">
        <v>4177</v>
      </c>
      <c r="J7319" t="s">
        <v>37573</v>
      </c>
      <c r="K7319" t="s">
        <v>42790</v>
      </c>
      <c r="M7319" t="s">
        <v>44997</v>
      </c>
      <c r="N7319" t="s">
        <v>47424</v>
      </c>
      <c r="O7319" t="s">
        <v>47425</v>
      </c>
      <c r="P7319">
        <v>0</v>
      </c>
      <c r="Q7319">
        <v>0</v>
      </c>
      <c r="R7319" t="s">
        <v>47430</v>
      </c>
      <c r="S7319" t="s">
        <v>47549</v>
      </c>
      <c r="T7319" t="s">
        <v>49398</v>
      </c>
      <c r="U7319" t="s">
        <v>55808</v>
      </c>
      <c r="W7319" t="s">
        <v>44997</v>
      </c>
      <c r="X7319" t="s">
        <v>47431</v>
      </c>
    </row>
    <row r="7320" spans="1:24">
      <c r="A7320">
        <f>HYPERLINK("https://www.philgeps.gov.ph/GEPSNONPILOT/Tender/SplashBidNoticeAbstractUI.aspx?menuIndex=3&amp;refID=7155381&amp;Result=3","7155381")</f>
        <v>0</v>
      </c>
      <c r="B7320" t="s">
        <v>2235</v>
      </c>
      <c r="C7320" t="s">
        <v>10785</v>
      </c>
      <c r="D7320" t="s">
        <v>19022</v>
      </c>
      <c r="E7320" t="s">
        <v>25470</v>
      </c>
      <c r="F7320" t="s">
        <v>32831</v>
      </c>
      <c r="G7320" t="s">
        <v>32838</v>
      </c>
      <c r="H7320" t="s">
        <v>32848</v>
      </c>
      <c r="I7320" t="s">
        <v>32909</v>
      </c>
      <c r="J7320" t="s">
        <v>33364</v>
      </c>
      <c r="K7320" t="s">
        <v>42726</v>
      </c>
      <c r="M7320" t="s">
        <v>45416</v>
      </c>
      <c r="N7320" t="s">
        <v>47424</v>
      </c>
      <c r="O7320" t="s">
        <v>47425</v>
      </c>
      <c r="P7320">
        <v>0</v>
      </c>
      <c r="Q7320">
        <v>1</v>
      </c>
      <c r="R7320" t="s">
        <v>47431</v>
      </c>
      <c r="S7320" t="s">
        <v>47565</v>
      </c>
      <c r="T7320" t="s">
        <v>49141</v>
      </c>
      <c r="U7320" t="s">
        <v>55809</v>
      </c>
      <c r="W7320" t="s">
        <v>45416</v>
      </c>
      <c r="X7320" t="s">
        <v>47432</v>
      </c>
    </row>
    <row r="7321" spans="1:24">
      <c r="A7321">
        <f>HYPERLINK("https://www.philgeps.gov.ph/GEPSNONPILOT/Tender/SplashBidNoticeAbstractUI.aspx?menuIndex=3&amp;refID=7159136&amp;Result=3","7159136")</f>
        <v>0</v>
      </c>
      <c r="B7321" t="s">
        <v>2525</v>
      </c>
      <c r="C7321" t="s">
        <v>10786</v>
      </c>
      <c r="D7321" t="s">
        <v>19071</v>
      </c>
      <c r="E7321" t="s">
        <v>25471</v>
      </c>
      <c r="F7321" t="s">
        <v>32831</v>
      </c>
      <c r="G7321" t="s">
        <v>32839</v>
      </c>
      <c r="H7321" t="s">
        <v>32848</v>
      </c>
      <c r="I7321" t="s">
        <v>4776</v>
      </c>
      <c r="J7321" t="s">
        <v>33771</v>
      </c>
      <c r="K7321" t="s">
        <v>42727</v>
      </c>
      <c r="M7321" t="s">
        <v>45733</v>
      </c>
      <c r="N7321" t="s">
        <v>47424</v>
      </c>
      <c r="O7321" t="s">
        <v>47425</v>
      </c>
      <c r="P7321">
        <v>0</v>
      </c>
      <c r="Q7321">
        <v>0</v>
      </c>
      <c r="R7321" t="s">
        <v>47430</v>
      </c>
      <c r="S7321" t="s">
        <v>47549</v>
      </c>
      <c r="T7321" t="s">
        <v>49105</v>
      </c>
      <c r="U7321" t="s">
        <v>55810</v>
      </c>
      <c r="V7321" t="s">
        <v>63439</v>
      </c>
      <c r="W7321" t="s">
        <v>45733</v>
      </c>
      <c r="X7321" t="s">
        <v>47431</v>
      </c>
    </row>
    <row r="7322" spans="1:24">
      <c r="A7322">
        <f>HYPERLINK("https://www.philgeps.gov.ph/GEPSNONPILOT/Tender/SplashBidNoticeAbstractUI.aspx?menuIndex=3&amp;refID=7157366&amp;Result=3","7157366")</f>
        <v>0</v>
      </c>
      <c r="B7322" t="s">
        <v>323</v>
      </c>
      <c r="C7322" t="s">
        <v>10787</v>
      </c>
      <c r="D7322" t="s">
        <v>19081</v>
      </c>
      <c r="E7322" t="s">
        <v>25472</v>
      </c>
      <c r="F7322" t="s">
        <v>32831</v>
      </c>
      <c r="G7322" t="s">
        <v>32838</v>
      </c>
      <c r="H7322" t="s">
        <v>32848</v>
      </c>
      <c r="I7322" t="s">
        <v>4776</v>
      </c>
      <c r="J7322" t="s">
        <v>33041</v>
      </c>
      <c r="K7322" t="s">
        <v>42726</v>
      </c>
      <c r="M7322" t="s">
        <v>43326</v>
      </c>
      <c r="N7322" t="s">
        <v>47424</v>
      </c>
      <c r="O7322" t="s">
        <v>47425</v>
      </c>
      <c r="P7322">
        <v>0</v>
      </c>
      <c r="Q7322">
        <v>0</v>
      </c>
      <c r="R7322" t="s">
        <v>47431</v>
      </c>
      <c r="S7322" t="s">
        <v>47565</v>
      </c>
      <c r="T7322" t="s">
        <v>49166</v>
      </c>
      <c r="U7322" t="s">
        <v>55811</v>
      </c>
      <c r="W7322" t="s">
        <v>43326</v>
      </c>
      <c r="X7322" t="s">
        <v>47432</v>
      </c>
    </row>
    <row r="7323" spans="1:24">
      <c r="A7323">
        <f>HYPERLINK("https://www.philgeps.gov.ph/GEPSNONPILOT/Tender/SplashBidNoticeAbstractUI.aspx?menuIndex=3&amp;refID=7159098&amp;Result=3","7159098")</f>
        <v>0</v>
      </c>
      <c r="B7323" t="s">
        <v>172</v>
      </c>
      <c r="C7323" t="s">
        <v>10788</v>
      </c>
      <c r="D7323" t="s">
        <v>19022</v>
      </c>
      <c r="E7323" t="s">
        <v>25473</v>
      </c>
      <c r="F7323" t="s">
        <v>32831</v>
      </c>
      <c r="G7323" t="s">
        <v>32842</v>
      </c>
      <c r="H7323" t="s">
        <v>32848</v>
      </c>
      <c r="I7323" t="s">
        <v>32860</v>
      </c>
      <c r="J7323" t="s">
        <v>33007</v>
      </c>
      <c r="K7323" t="s">
        <v>42726</v>
      </c>
      <c r="M7323" t="s">
        <v>43169</v>
      </c>
      <c r="N7323" t="s">
        <v>47424</v>
      </c>
      <c r="O7323" t="s">
        <v>47425</v>
      </c>
      <c r="P7323">
        <v>0</v>
      </c>
      <c r="Q7323">
        <v>4</v>
      </c>
      <c r="R7323" t="s">
        <v>47430</v>
      </c>
      <c r="S7323" t="s">
        <v>47549</v>
      </c>
      <c r="T7323" t="s">
        <v>49141</v>
      </c>
      <c r="U7323" t="s">
        <v>53367</v>
      </c>
      <c r="V7323" t="s">
        <v>63098</v>
      </c>
      <c r="W7323" t="s">
        <v>43169</v>
      </c>
      <c r="X7323" t="s">
        <v>47431</v>
      </c>
    </row>
    <row r="7324" spans="1:24">
      <c r="A7324">
        <f>HYPERLINK("https://www.philgeps.gov.ph/GEPSNONPILOT/Tender/SplashBidNoticeAbstractUI.aspx?menuIndex=3&amp;refID=7157286&amp;Result=3","7157286")</f>
        <v>0</v>
      </c>
      <c r="B7324" t="s">
        <v>2506</v>
      </c>
      <c r="C7324" t="s">
        <v>10789</v>
      </c>
      <c r="D7324" t="s">
        <v>19020</v>
      </c>
      <c r="E7324" t="s">
        <v>25474</v>
      </c>
      <c r="F7324" t="s">
        <v>32831</v>
      </c>
      <c r="G7324" t="s">
        <v>32839</v>
      </c>
      <c r="H7324" t="s">
        <v>32848</v>
      </c>
      <c r="I7324" t="s">
        <v>32941</v>
      </c>
      <c r="J7324" t="s">
        <v>37574</v>
      </c>
      <c r="K7324" t="s">
        <v>42730</v>
      </c>
      <c r="M7324" t="s">
        <v>45713</v>
      </c>
      <c r="N7324" t="s">
        <v>47424</v>
      </c>
      <c r="O7324" t="s">
        <v>47425</v>
      </c>
      <c r="P7324">
        <v>0</v>
      </c>
      <c r="Q7324">
        <v>4</v>
      </c>
      <c r="R7324" t="s">
        <v>47431</v>
      </c>
      <c r="S7324" t="s">
        <v>47565</v>
      </c>
      <c r="T7324" t="s">
        <v>49192</v>
      </c>
      <c r="U7324" t="s">
        <v>55812</v>
      </c>
      <c r="V7324" t="s">
        <v>63423</v>
      </c>
      <c r="W7324" t="s">
        <v>64512</v>
      </c>
      <c r="X7324" t="s">
        <v>47432</v>
      </c>
    </row>
    <row r="7325" spans="1:24">
      <c r="A7325">
        <f>HYPERLINK("https://www.philgeps.gov.ph/GEPSNONPILOT/Tender/SplashBidNoticeAbstractUI.aspx?menuIndex=3&amp;refID=7157370&amp;Result=3","7157370")</f>
        <v>0</v>
      </c>
      <c r="B7325" t="s">
        <v>1802</v>
      </c>
      <c r="C7325" t="s">
        <v>10790</v>
      </c>
      <c r="D7325" t="s">
        <v>19062</v>
      </c>
      <c r="E7325" t="s">
        <v>25475</v>
      </c>
      <c r="F7325" t="s">
        <v>32831</v>
      </c>
      <c r="G7325" t="s">
        <v>32838</v>
      </c>
      <c r="H7325" t="s">
        <v>32848</v>
      </c>
      <c r="I7325" t="s">
        <v>6526</v>
      </c>
      <c r="J7325" t="s">
        <v>37575</v>
      </c>
      <c r="K7325" t="s">
        <v>42748</v>
      </c>
      <c r="M7325" t="s">
        <v>44933</v>
      </c>
      <c r="N7325" t="s">
        <v>47424</v>
      </c>
      <c r="O7325" t="s">
        <v>47425</v>
      </c>
      <c r="P7325">
        <v>0</v>
      </c>
      <c r="Q7325">
        <v>0</v>
      </c>
      <c r="R7325" t="s">
        <v>47431</v>
      </c>
      <c r="S7325" t="s">
        <v>47565</v>
      </c>
      <c r="T7325" t="s">
        <v>49212</v>
      </c>
      <c r="U7325" t="s">
        <v>53519</v>
      </c>
      <c r="W7325" t="s">
        <v>44933</v>
      </c>
      <c r="X7325" t="s">
        <v>47432</v>
      </c>
    </row>
    <row r="7326" spans="1:24">
      <c r="A7326">
        <f>HYPERLINK("https://www.philgeps.gov.ph/GEPSNONPILOT/Tender/SplashBidNoticeAbstractUI.aspx?menuIndex=3&amp;refID=7157362&amp;Result=3","7157362")</f>
        <v>0</v>
      </c>
      <c r="B7326" t="s">
        <v>2517</v>
      </c>
      <c r="C7326" t="s">
        <v>10791</v>
      </c>
      <c r="D7326" t="s">
        <v>19017</v>
      </c>
      <c r="E7326" t="s">
        <v>25476</v>
      </c>
      <c r="F7326" t="s">
        <v>32831</v>
      </c>
      <c r="G7326" t="s">
        <v>32838</v>
      </c>
      <c r="H7326" t="s">
        <v>32848</v>
      </c>
      <c r="I7326" t="s">
        <v>7416</v>
      </c>
      <c r="J7326" t="s">
        <v>34977</v>
      </c>
      <c r="K7326" t="s">
        <v>42727</v>
      </c>
      <c r="M7326" t="s">
        <v>45725</v>
      </c>
      <c r="N7326" t="s">
        <v>47424</v>
      </c>
      <c r="O7326" t="s">
        <v>47425</v>
      </c>
      <c r="P7326">
        <v>0</v>
      </c>
      <c r="Q7326">
        <v>9</v>
      </c>
      <c r="R7326" t="s">
        <v>47431</v>
      </c>
      <c r="S7326" t="s">
        <v>47565</v>
      </c>
      <c r="T7326" t="s">
        <v>49214</v>
      </c>
      <c r="U7326" t="s">
        <v>55813</v>
      </c>
      <c r="W7326" t="s">
        <v>45725</v>
      </c>
      <c r="X7326" t="s">
        <v>47432</v>
      </c>
    </row>
    <row r="7327" spans="1:24">
      <c r="A7327">
        <f>HYPERLINK("https://www.philgeps.gov.ph/GEPSNONPILOT/Tender/SplashBidNoticeAbstractUI.aspx?menuIndex=3&amp;refID=7157360&amp;Result=3","7157360")</f>
        <v>0</v>
      </c>
      <c r="B7327" t="s">
        <v>2366</v>
      </c>
      <c r="C7327" t="s">
        <v>10792</v>
      </c>
      <c r="D7327" t="s">
        <v>19060</v>
      </c>
      <c r="E7327" t="s">
        <v>25477</v>
      </c>
      <c r="F7327" t="s">
        <v>32831</v>
      </c>
      <c r="G7327" t="s">
        <v>32839</v>
      </c>
      <c r="H7327" t="s">
        <v>32848</v>
      </c>
      <c r="I7327" t="s">
        <v>32879</v>
      </c>
      <c r="J7327" t="s">
        <v>34033</v>
      </c>
      <c r="K7327" t="s">
        <v>42727</v>
      </c>
      <c r="M7327" t="s">
        <v>45556</v>
      </c>
      <c r="N7327" t="s">
        <v>47424</v>
      </c>
      <c r="O7327" t="s">
        <v>47425</v>
      </c>
      <c r="P7327">
        <v>0</v>
      </c>
      <c r="Q7327">
        <v>2</v>
      </c>
      <c r="R7327" t="s">
        <v>47431</v>
      </c>
      <c r="S7327" t="s">
        <v>47565</v>
      </c>
      <c r="T7327" t="s">
        <v>49160</v>
      </c>
      <c r="U7327" t="s">
        <v>55814</v>
      </c>
      <c r="W7327" t="s">
        <v>45556</v>
      </c>
      <c r="X7327" t="s">
        <v>47432</v>
      </c>
    </row>
    <row r="7328" spans="1:24">
      <c r="A7328">
        <f>HYPERLINK("https://www.philgeps.gov.ph/GEPSNONPILOT/Tender/SplashBidNoticeAbstractUI.aspx?menuIndex=3&amp;refID=7157359&amp;Result=3","7157359")</f>
        <v>0</v>
      </c>
      <c r="B7328" t="s">
        <v>2526</v>
      </c>
      <c r="C7328" t="s">
        <v>10793</v>
      </c>
      <c r="D7328" t="s">
        <v>19017</v>
      </c>
      <c r="E7328" t="s">
        <v>25478</v>
      </c>
      <c r="F7328" t="s">
        <v>32831</v>
      </c>
      <c r="G7328" t="s">
        <v>32838</v>
      </c>
      <c r="H7328" t="s">
        <v>32848</v>
      </c>
      <c r="I7328" t="s">
        <v>4303</v>
      </c>
      <c r="J7328" t="s">
        <v>33175</v>
      </c>
      <c r="K7328" t="s">
        <v>42726</v>
      </c>
      <c r="M7328" t="s">
        <v>45734</v>
      </c>
      <c r="N7328" t="s">
        <v>47424</v>
      </c>
      <c r="O7328" t="s">
        <v>47425</v>
      </c>
      <c r="P7328">
        <v>0</v>
      </c>
      <c r="Q7328">
        <v>2</v>
      </c>
      <c r="R7328" t="s">
        <v>47431</v>
      </c>
      <c r="S7328" t="s">
        <v>47565</v>
      </c>
      <c r="T7328" t="s">
        <v>49114</v>
      </c>
      <c r="U7328" t="s">
        <v>55815</v>
      </c>
      <c r="V7328" t="s">
        <v>63440</v>
      </c>
      <c r="W7328" t="s">
        <v>45734</v>
      </c>
      <c r="X7328" t="s">
        <v>47432</v>
      </c>
    </row>
    <row r="7329" spans="1:24">
      <c r="A7329">
        <f>HYPERLINK("https://www.philgeps.gov.ph/GEPSNONPILOT/Tender/SplashBidNoticeAbstractUI.aspx?menuIndex=3&amp;refID=7157364&amp;Result=3","7157364")</f>
        <v>0</v>
      </c>
      <c r="B7329" t="s">
        <v>804</v>
      </c>
      <c r="C7329" t="s">
        <v>10794</v>
      </c>
      <c r="D7329" t="s">
        <v>19032</v>
      </c>
      <c r="E7329" t="s">
        <v>25479</v>
      </c>
      <c r="F7329" t="s">
        <v>32831</v>
      </c>
      <c r="G7329" t="s">
        <v>32840</v>
      </c>
      <c r="H7329" t="s">
        <v>32848</v>
      </c>
      <c r="I7329" t="s">
        <v>4776</v>
      </c>
      <c r="J7329" t="s">
        <v>36598</v>
      </c>
      <c r="K7329" t="s">
        <v>42731</v>
      </c>
      <c r="M7329" t="s">
        <v>43835</v>
      </c>
      <c r="N7329" t="s">
        <v>47424</v>
      </c>
      <c r="O7329" t="s">
        <v>47425</v>
      </c>
      <c r="P7329">
        <v>0</v>
      </c>
      <c r="Q7329">
        <v>0</v>
      </c>
      <c r="R7329" t="s">
        <v>47431</v>
      </c>
      <c r="S7329" t="s">
        <v>47565</v>
      </c>
      <c r="T7329" t="s">
        <v>49061</v>
      </c>
      <c r="U7329" t="s">
        <v>55731</v>
      </c>
      <c r="W7329" t="s">
        <v>43835</v>
      </c>
      <c r="X7329" t="s">
        <v>47432</v>
      </c>
    </row>
    <row r="7330" spans="1:24">
      <c r="A7330">
        <f>HYPERLINK("https://www.philgeps.gov.ph/GEPSNONPILOT/Tender/SplashBidNoticeAbstractUI.aspx?menuIndex=3&amp;refID=7157357&amp;Result=3","7157357")</f>
        <v>0</v>
      </c>
      <c r="B7330" t="s">
        <v>2513</v>
      </c>
      <c r="C7330" t="s">
        <v>4699</v>
      </c>
      <c r="D7330" t="s">
        <v>19034</v>
      </c>
      <c r="E7330" t="s">
        <v>25480</v>
      </c>
      <c r="F7330" t="s">
        <v>32831</v>
      </c>
      <c r="G7330" t="s">
        <v>32839</v>
      </c>
      <c r="H7330" t="s">
        <v>32848</v>
      </c>
      <c r="I7330" t="s">
        <v>9577</v>
      </c>
      <c r="J7330" t="s">
        <v>37576</v>
      </c>
      <c r="K7330" t="s">
        <v>42727</v>
      </c>
      <c r="M7330" t="s">
        <v>45720</v>
      </c>
      <c r="N7330" t="s">
        <v>47424</v>
      </c>
      <c r="O7330" t="s">
        <v>47425</v>
      </c>
      <c r="P7330">
        <v>0</v>
      </c>
      <c r="Q7330">
        <v>0</v>
      </c>
      <c r="R7330" t="s">
        <v>47431</v>
      </c>
      <c r="S7330" t="s">
        <v>47565</v>
      </c>
      <c r="T7330" t="s">
        <v>49077</v>
      </c>
      <c r="U7330" t="s">
        <v>55816</v>
      </c>
      <c r="V7330" t="s">
        <v>63441</v>
      </c>
      <c r="W7330" t="s">
        <v>64514</v>
      </c>
      <c r="X7330" t="s">
        <v>47432</v>
      </c>
    </row>
    <row r="7331" spans="1:24">
      <c r="A7331">
        <f>HYPERLINK("https://www.philgeps.gov.ph/GEPSNONPILOT/Tender/SplashBidNoticeAbstractUI.aspx?menuIndex=3&amp;refID=7157356&amp;Result=3","7157356")</f>
        <v>0</v>
      </c>
      <c r="B7331" t="s">
        <v>911</v>
      </c>
      <c r="C7331" t="s">
        <v>10795</v>
      </c>
      <c r="D7331" t="s">
        <v>19049</v>
      </c>
      <c r="E7331" t="s">
        <v>25481</v>
      </c>
      <c r="F7331" t="s">
        <v>32831</v>
      </c>
      <c r="G7331" t="s">
        <v>32838</v>
      </c>
      <c r="H7331" t="s">
        <v>32848</v>
      </c>
      <c r="I7331" t="s">
        <v>4487</v>
      </c>
      <c r="J7331" t="s">
        <v>34818</v>
      </c>
      <c r="K7331" t="s">
        <v>42727</v>
      </c>
      <c r="M7331" t="s">
        <v>43951</v>
      </c>
      <c r="N7331" t="s">
        <v>47424</v>
      </c>
      <c r="O7331" t="s">
        <v>47425</v>
      </c>
      <c r="P7331">
        <v>0</v>
      </c>
      <c r="Q7331">
        <v>0</v>
      </c>
      <c r="R7331" t="s">
        <v>47431</v>
      </c>
      <c r="S7331" t="s">
        <v>47565</v>
      </c>
      <c r="T7331" t="s">
        <v>49056</v>
      </c>
      <c r="U7331" t="s">
        <v>51540</v>
      </c>
      <c r="W7331" t="s">
        <v>43951</v>
      </c>
      <c r="X7331" t="s">
        <v>47432</v>
      </c>
    </row>
    <row r="7332" spans="1:24">
      <c r="A7332">
        <f>HYPERLINK("https://www.philgeps.gov.ph/GEPSNONPILOT/Tender/SplashBidNoticeAbstractUI.aspx?menuIndex=3&amp;refID=7157371&amp;Result=3","7157371")</f>
        <v>0</v>
      </c>
      <c r="B7332" t="s">
        <v>228</v>
      </c>
      <c r="C7332" t="s">
        <v>10796</v>
      </c>
      <c r="D7332" t="s">
        <v>19033</v>
      </c>
      <c r="E7332" t="s">
        <v>25482</v>
      </c>
      <c r="F7332" t="s">
        <v>32831</v>
      </c>
      <c r="G7332" t="s">
        <v>32839</v>
      </c>
      <c r="H7332" t="s">
        <v>32848</v>
      </c>
      <c r="I7332" t="s">
        <v>32874</v>
      </c>
      <c r="J7332" t="s">
        <v>33016</v>
      </c>
      <c r="K7332" t="s">
        <v>42729</v>
      </c>
      <c r="M7332" t="s">
        <v>45735</v>
      </c>
      <c r="N7332" t="s">
        <v>47424</v>
      </c>
      <c r="O7332" t="s">
        <v>47425</v>
      </c>
      <c r="P7332">
        <v>0</v>
      </c>
      <c r="Q7332">
        <v>9</v>
      </c>
      <c r="R7332" t="s">
        <v>47431</v>
      </c>
      <c r="S7332" t="s">
        <v>47565</v>
      </c>
      <c r="T7332" t="s">
        <v>49325</v>
      </c>
      <c r="U7332" t="s">
        <v>55817</v>
      </c>
      <c r="V7332" t="s">
        <v>63442</v>
      </c>
      <c r="W7332" t="s">
        <v>45735</v>
      </c>
      <c r="X7332" t="s">
        <v>47432</v>
      </c>
    </row>
    <row r="7333" spans="1:24">
      <c r="A7333">
        <f>HYPERLINK("https://www.philgeps.gov.ph/GEPSNONPILOT/Tender/SplashBidNoticeAbstractUI.aspx?menuIndex=3&amp;refID=7157354&amp;Result=3","7157354")</f>
        <v>0</v>
      </c>
      <c r="B7333" t="s">
        <v>2527</v>
      </c>
      <c r="C7333" t="s">
        <v>10797</v>
      </c>
      <c r="D7333" t="s">
        <v>19090</v>
      </c>
      <c r="E7333" t="s">
        <v>25483</v>
      </c>
      <c r="F7333" t="s">
        <v>32831</v>
      </c>
      <c r="G7333" t="s">
        <v>32840</v>
      </c>
      <c r="H7333" t="s">
        <v>32848</v>
      </c>
      <c r="I7333" t="s">
        <v>4487</v>
      </c>
      <c r="J7333" t="s">
        <v>33430</v>
      </c>
      <c r="K7333" t="s">
        <v>42726</v>
      </c>
      <c r="M7333" t="s">
        <v>45736</v>
      </c>
      <c r="N7333" t="s">
        <v>47424</v>
      </c>
      <c r="O7333" t="s">
        <v>47425</v>
      </c>
      <c r="P7333">
        <v>0</v>
      </c>
      <c r="Q7333">
        <v>0</v>
      </c>
      <c r="R7333" t="s">
        <v>47431</v>
      </c>
      <c r="S7333" t="s">
        <v>47565</v>
      </c>
      <c r="T7333" t="s">
        <v>49279</v>
      </c>
      <c r="U7333" t="s">
        <v>55818</v>
      </c>
      <c r="W7333" t="s">
        <v>45736</v>
      </c>
      <c r="X7333" t="s">
        <v>47432</v>
      </c>
    </row>
    <row r="7334" spans="1:24">
      <c r="A7334">
        <f>HYPERLINK("https://www.philgeps.gov.ph/GEPSNONPILOT/Tender/SplashBidNoticeAbstractUI.aspx?menuIndex=3&amp;refID=7157361&amp;Result=3","7157361")</f>
        <v>0</v>
      </c>
      <c r="B7334" t="s">
        <v>316</v>
      </c>
      <c r="C7334" t="s">
        <v>10798</v>
      </c>
      <c r="D7334" t="s">
        <v>19023</v>
      </c>
      <c r="E7334" t="s">
        <v>25484</v>
      </c>
      <c r="F7334" t="s">
        <v>32831</v>
      </c>
      <c r="G7334" t="s">
        <v>32838</v>
      </c>
      <c r="H7334" t="s">
        <v>32848</v>
      </c>
      <c r="I7334" t="s">
        <v>4303</v>
      </c>
      <c r="J7334" t="s">
        <v>37577</v>
      </c>
      <c r="K7334" t="s">
        <v>42730</v>
      </c>
      <c r="M7334" t="s">
        <v>43795</v>
      </c>
      <c r="N7334" t="s">
        <v>47424</v>
      </c>
      <c r="O7334" t="s">
        <v>47425</v>
      </c>
      <c r="P7334">
        <v>0</v>
      </c>
      <c r="Q7334">
        <v>2</v>
      </c>
      <c r="R7334" t="s">
        <v>47431</v>
      </c>
      <c r="S7334" t="s">
        <v>47565</v>
      </c>
      <c r="T7334" t="s">
        <v>49056</v>
      </c>
      <c r="U7334" t="s">
        <v>51090</v>
      </c>
      <c r="V7334" t="s">
        <v>62802</v>
      </c>
      <c r="W7334" t="s">
        <v>43795</v>
      </c>
      <c r="X7334" t="s">
        <v>47432</v>
      </c>
    </row>
    <row r="7335" spans="1:24">
      <c r="A7335">
        <f>HYPERLINK("https://www.philgeps.gov.ph/GEPSNONPILOT/Tender/SplashBidNoticeAbstractUI.aspx?menuIndex=3&amp;refID=7157351&amp;Result=3","7157351")</f>
        <v>0</v>
      </c>
      <c r="B7335" t="s">
        <v>2528</v>
      </c>
      <c r="C7335" t="s">
        <v>10799</v>
      </c>
      <c r="D7335" t="s">
        <v>19079</v>
      </c>
      <c r="E7335" t="s">
        <v>25485</v>
      </c>
      <c r="F7335" t="s">
        <v>32831</v>
      </c>
      <c r="G7335" t="s">
        <v>32838</v>
      </c>
      <c r="H7335" t="s">
        <v>32848</v>
      </c>
      <c r="I7335" t="s">
        <v>32861</v>
      </c>
      <c r="J7335" t="s">
        <v>33133</v>
      </c>
      <c r="K7335" t="s">
        <v>42730</v>
      </c>
      <c r="M7335" t="s">
        <v>45737</v>
      </c>
      <c r="N7335" t="s">
        <v>47424</v>
      </c>
      <c r="O7335" t="s">
        <v>47425</v>
      </c>
      <c r="P7335">
        <v>0</v>
      </c>
      <c r="Q7335">
        <v>5</v>
      </c>
      <c r="R7335" t="s">
        <v>47431</v>
      </c>
      <c r="S7335" t="s">
        <v>47565</v>
      </c>
      <c r="T7335" t="s">
        <v>49056</v>
      </c>
      <c r="U7335" t="s">
        <v>55819</v>
      </c>
      <c r="W7335" t="s">
        <v>45737</v>
      </c>
      <c r="X7335" t="s">
        <v>47432</v>
      </c>
    </row>
    <row r="7336" spans="1:24">
      <c r="A7336">
        <f>HYPERLINK("https://www.philgeps.gov.ph/GEPSNONPILOT/Tender/SplashBidNoticeAbstractUI.aspx?menuIndex=3&amp;refID=7157348&amp;Result=3","7157348")</f>
        <v>0</v>
      </c>
      <c r="B7336" t="s">
        <v>2511</v>
      </c>
      <c r="C7336" t="s">
        <v>10800</v>
      </c>
      <c r="D7336" t="s">
        <v>19068</v>
      </c>
      <c r="E7336" t="s">
        <v>25486</v>
      </c>
      <c r="F7336" t="s">
        <v>32831</v>
      </c>
      <c r="G7336" t="s">
        <v>32838</v>
      </c>
      <c r="H7336" t="s">
        <v>32848</v>
      </c>
      <c r="I7336" t="s">
        <v>32859</v>
      </c>
      <c r="J7336" t="s">
        <v>37578</v>
      </c>
      <c r="K7336" t="s">
        <v>42727</v>
      </c>
      <c r="M7336" t="s">
        <v>45718</v>
      </c>
      <c r="N7336" t="s">
        <v>47424</v>
      </c>
      <c r="O7336" t="s">
        <v>47425</v>
      </c>
      <c r="P7336">
        <v>0</v>
      </c>
      <c r="Q7336">
        <v>2</v>
      </c>
      <c r="R7336" t="s">
        <v>47431</v>
      </c>
      <c r="S7336" t="s">
        <v>47565</v>
      </c>
      <c r="T7336" t="s">
        <v>49162</v>
      </c>
      <c r="U7336" t="s">
        <v>55820</v>
      </c>
      <c r="W7336" t="s">
        <v>45718</v>
      </c>
      <c r="X7336" t="s">
        <v>47432</v>
      </c>
    </row>
    <row r="7337" spans="1:24">
      <c r="A7337">
        <f>HYPERLINK("https://www.philgeps.gov.ph/GEPSNONPILOT/Tender/SplashBidNoticeAbstractUI.aspx?menuIndex=3&amp;refID=7157358&amp;Result=3","7157358")</f>
        <v>0</v>
      </c>
      <c r="B7337" t="s">
        <v>2522</v>
      </c>
      <c r="C7337" t="s">
        <v>10801</v>
      </c>
      <c r="D7337" t="s">
        <v>19020</v>
      </c>
      <c r="E7337" t="s">
        <v>25487</v>
      </c>
      <c r="F7337" t="s">
        <v>32831</v>
      </c>
      <c r="G7337" t="s">
        <v>32838</v>
      </c>
      <c r="H7337" t="s">
        <v>32848</v>
      </c>
      <c r="I7337" t="s">
        <v>9577</v>
      </c>
      <c r="J7337" t="s">
        <v>37579</v>
      </c>
      <c r="K7337" t="s">
        <v>42730</v>
      </c>
      <c r="M7337" t="s">
        <v>45730</v>
      </c>
      <c r="N7337" t="s">
        <v>47424</v>
      </c>
      <c r="O7337" t="s">
        <v>47425</v>
      </c>
      <c r="P7337">
        <v>0</v>
      </c>
      <c r="Q7337">
        <v>4</v>
      </c>
      <c r="R7337" t="s">
        <v>47431</v>
      </c>
      <c r="S7337" t="s">
        <v>47565</v>
      </c>
      <c r="T7337" t="s">
        <v>49108</v>
      </c>
      <c r="U7337" t="s">
        <v>55821</v>
      </c>
      <c r="W7337" t="s">
        <v>45730</v>
      </c>
      <c r="X7337" t="s">
        <v>47432</v>
      </c>
    </row>
    <row r="7338" spans="1:24">
      <c r="A7338">
        <f>HYPERLINK("https://www.philgeps.gov.ph/GEPSNONPILOT/Tender/SplashBidNoticeAbstractUI.aspx?menuIndex=3&amp;refID=7157355&amp;Result=3","7157355")</f>
        <v>0</v>
      </c>
      <c r="B7338" t="s">
        <v>2529</v>
      </c>
      <c r="C7338" t="s">
        <v>10802</v>
      </c>
      <c r="D7338" t="s">
        <v>19074</v>
      </c>
      <c r="E7338" t="s">
        <v>19234</v>
      </c>
      <c r="F7338" t="s">
        <v>32831</v>
      </c>
      <c r="G7338" t="s">
        <v>32842</v>
      </c>
      <c r="H7338" t="s">
        <v>32848</v>
      </c>
      <c r="I7338" t="s">
        <v>32860</v>
      </c>
      <c r="J7338" t="s">
        <v>37580</v>
      </c>
      <c r="K7338" t="s">
        <v>42731</v>
      </c>
      <c r="M7338" t="s">
        <v>45738</v>
      </c>
      <c r="N7338" t="s">
        <v>47424</v>
      </c>
      <c r="O7338" t="s">
        <v>47425</v>
      </c>
      <c r="P7338">
        <v>0</v>
      </c>
      <c r="Q7338">
        <v>1</v>
      </c>
      <c r="R7338" t="s">
        <v>47431</v>
      </c>
      <c r="S7338" t="s">
        <v>47565</v>
      </c>
      <c r="T7338" t="s">
        <v>49152</v>
      </c>
      <c r="U7338" t="s">
        <v>50992</v>
      </c>
      <c r="W7338" t="s">
        <v>45738</v>
      </c>
      <c r="X7338" t="s">
        <v>47432</v>
      </c>
    </row>
    <row r="7339" spans="1:24">
      <c r="A7339">
        <f>HYPERLINK("https://www.philgeps.gov.ph/GEPSNONPILOT/Tender/SplashBidNoticeAbstractUI.aspx?menuIndex=3&amp;refID=7157204&amp;Result=3","7157204")</f>
        <v>0</v>
      </c>
      <c r="B7339" t="s">
        <v>1886</v>
      </c>
      <c r="C7339" t="s">
        <v>10803</v>
      </c>
      <c r="D7339" t="s">
        <v>19062</v>
      </c>
      <c r="E7339" t="s">
        <v>25488</v>
      </c>
      <c r="F7339" t="s">
        <v>32831</v>
      </c>
      <c r="G7339" t="s">
        <v>32838</v>
      </c>
      <c r="H7339" t="s">
        <v>32848</v>
      </c>
      <c r="I7339" t="s">
        <v>4435</v>
      </c>
      <c r="J7339" t="s">
        <v>33007</v>
      </c>
      <c r="K7339" t="s">
        <v>42731</v>
      </c>
      <c r="M7339" t="s">
        <v>45031</v>
      </c>
      <c r="N7339" t="s">
        <v>47424</v>
      </c>
      <c r="O7339" t="s">
        <v>47425</v>
      </c>
      <c r="P7339">
        <v>0</v>
      </c>
      <c r="Q7339">
        <v>1</v>
      </c>
      <c r="R7339" t="s">
        <v>47431</v>
      </c>
      <c r="S7339" t="s">
        <v>47565</v>
      </c>
      <c r="T7339" t="s">
        <v>49100</v>
      </c>
      <c r="U7339" t="s">
        <v>55822</v>
      </c>
      <c r="W7339" t="s">
        <v>45031</v>
      </c>
      <c r="X7339" t="s">
        <v>47432</v>
      </c>
    </row>
    <row r="7340" spans="1:24">
      <c r="A7340">
        <f>HYPERLINK("https://www.philgeps.gov.ph/GEPSNONPILOT/Tender/SplashBidNoticeAbstractUI.aspx?menuIndex=3&amp;refID=7158774&amp;Result=3","7158774")</f>
        <v>0</v>
      </c>
      <c r="B7340" t="s">
        <v>2472</v>
      </c>
      <c r="C7340" t="s">
        <v>10804</v>
      </c>
      <c r="D7340" t="s">
        <v>19082</v>
      </c>
      <c r="E7340" t="s">
        <v>20463</v>
      </c>
      <c r="F7340" t="s">
        <v>32831</v>
      </c>
      <c r="G7340" t="s">
        <v>32838</v>
      </c>
      <c r="H7340" t="s">
        <v>32848</v>
      </c>
      <c r="I7340" t="s">
        <v>4776</v>
      </c>
      <c r="J7340" t="s">
        <v>33568</v>
      </c>
      <c r="K7340" t="s">
        <v>42726</v>
      </c>
      <c r="M7340" t="s">
        <v>45671</v>
      </c>
      <c r="N7340" t="s">
        <v>47424</v>
      </c>
      <c r="O7340" t="s">
        <v>47425</v>
      </c>
      <c r="P7340">
        <v>0</v>
      </c>
      <c r="Q7340">
        <v>1</v>
      </c>
      <c r="R7340" t="s">
        <v>47430</v>
      </c>
      <c r="S7340" t="s">
        <v>47549</v>
      </c>
      <c r="T7340" t="s">
        <v>49166</v>
      </c>
      <c r="U7340" t="s">
        <v>55823</v>
      </c>
      <c r="W7340" t="s">
        <v>45671</v>
      </c>
      <c r="X7340" t="s">
        <v>47431</v>
      </c>
    </row>
    <row r="7341" spans="1:24">
      <c r="A7341">
        <f>HYPERLINK("https://www.philgeps.gov.ph/GEPSNONPILOT/Tender/SplashBidNoticeAbstractUI.aspx?menuIndex=3&amp;refID=7158773&amp;Result=3","7158773")</f>
        <v>0</v>
      </c>
      <c r="B7341" t="s">
        <v>1494</v>
      </c>
      <c r="C7341" t="s">
        <v>10805</v>
      </c>
      <c r="D7341" t="s">
        <v>19060</v>
      </c>
      <c r="E7341" t="s">
        <v>25489</v>
      </c>
      <c r="F7341" t="s">
        <v>32831</v>
      </c>
      <c r="G7341" t="s">
        <v>32838</v>
      </c>
      <c r="H7341" t="s">
        <v>32848</v>
      </c>
      <c r="I7341" t="s">
        <v>10805</v>
      </c>
      <c r="J7341" t="s">
        <v>37581</v>
      </c>
      <c r="K7341" t="s">
        <v>42758</v>
      </c>
      <c r="M7341" t="s">
        <v>44591</v>
      </c>
      <c r="N7341" t="s">
        <v>47424</v>
      </c>
      <c r="O7341" t="s">
        <v>47425</v>
      </c>
      <c r="P7341">
        <v>0</v>
      </c>
      <c r="Q7341">
        <v>0</v>
      </c>
      <c r="R7341" t="s">
        <v>47430</v>
      </c>
      <c r="S7341" t="s">
        <v>47549</v>
      </c>
      <c r="T7341" t="s">
        <v>49111</v>
      </c>
      <c r="U7341" t="s">
        <v>55824</v>
      </c>
      <c r="V7341" t="s">
        <v>63018</v>
      </c>
      <c r="W7341" t="s">
        <v>44591</v>
      </c>
      <c r="X7341" t="s">
        <v>47431</v>
      </c>
    </row>
    <row r="7342" spans="1:24">
      <c r="A7342">
        <f>HYPERLINK("https://www.philgeps.gov.ph/GEPSNONPILOT/Tender/SplashBidNoticeAbstractUI.aspx?menuIndex=3&amp;refID=7158771&amp;Result=3","7158771")</f>
        <v>0</v>
      </c>
      <c r="B7342" t="s">
        <v>1043</v>
      </c>
      <c r="C7342" t="s">
        <v>10806</v>
      </c>
      <c r="D7342" t="s">
        <v>19103</v>
      </c>
      <c r="E7342" t="s">
        <v>25490</v>
      </c>
      <c r="F7342" t="s">
        <v>32831</v>
      </c>
      <c r="G7342" t="s">
        <v>32840</v>
      </c>
      <c r="H7342" t="s">
        <v>32848</v>
      </c>
      <c r="I7342" t="s">
        <v>32862</v>
      </c>
      <c r="J7342" t="s">
        <v>35776</v>
      </c>
      <c r="K7342" t="s">
        <v>42732</v>
      </c>
      <c r="M7342" t="s">
        <v>44097</v>
      </c>
      <c r="N7342" t="s">
        <v>47424</v>
      </c>
      <c r="O7342" t="s">
        <v>47425</v>
      </c>
      <c r="P7342">
        <v>0</v>
      </c>
      <c r="Q7342">
        <v>0</v>
      </c>
      <c r="R7342" t="s">
        <v>47430</v>
      </c>
      <c r="S7342" t="s">
        <v>47549</v>
      </c>
      <c r="T7342" t="s">
        <v>49056</v>
      </c>
      <c r="U7342" t="s">
        <v>55825</v>
      </c>
      <c r="V7342" t="s">
        <v>62870</v>
      </c>
      <c r="W7342" t="s">
        <v>44097</v>
      </c>
      <c r="X7342" t="s">
        <v>47431</v>
      </c>
    </row>
    <row r="7343" spans="1:24">
      <c r="A7343">
        <f>HYPERLINK("https://www.philgeps.gov.ph/GEPSNONPILOT/Tender/SplashBidNoticeAbstractUI.aspx?menuIndex=3&amp;refID=7158770&amp;Result=3","7158770")</f>
        <v>0</v>
      </c>
      <c r="B7343" t="s">
        <v>1670</v>
      </c>
      <c r="C7343" t="s">
        <v>10807</v>
      </c>
      <c r="D7343" t="s">
        <v>19030</v>
      </c>
      <c r="E7343" t="s">
        <v>25491</v>
      </c>
      <c r="F7343" t="s">
        <v>32831</v>
      </c>
      <c r="G7343" t="s">
        <v>32838</v>
      </c>
      <c r="H7343" t="s">
        <v>32849</v>
      </c>
      <c r="I7343" t="s">
        <v>4177</v>
      </c>
      <c r="J7343" t="s">
        <v>34155</v>
      </c>
      <c r="K7343" t="s">
        <v>42747</v>
      </c>
      <c r="M7343" t="s">
        <v>44787</v>
      </c>
      <c r="N7343" t="s">
        <v>47424</v>
      </c>
      <c r="O7343" t="s">
        <v>47425</v>
      </c>
      <c r="P7343">
        <v>0</v>
      </c>
      <c r="Q7343">
        <v>1</v>
      </c>
      <c r="R7343" t="s">
        <v>47430</v>
      </c>
      <c r="S7343" t="s">
        <v>47549</v>
      </c>
      <c r="T7343" t="s">
        <v>49213</v>
      </c>
      <c r="U7343" t="s">
        <v>53162</v>
      </c>
      <c r="W7343" t="s">
        <v>44787</v>
      </c>
      <c r="X7343" t="s">
        <v>47431</v>
      </c>
    </row>
    <row r="7344" spans="1:24">
      <c r="A7344">
        <f>HYPERLINK("https://www.philgeps.gov.ph/GEPSNONPILOT/Tender/SplashBidNoticeAbstractUI.aspx?menuIndex=3&amp;refID=7158766&amp;Result=3","7158766")</f>
        <v>0</v>
      </c>
      <c r="B7344" t="s">
        <v>1488</v>
      </c>
      <c r="C7344" t="s">
        <v>10808</v>
      </c>
      <c r="D7344" t="s">
        <v>19081</v>
      </c>
      <c r="E7344" t="s">
        <v>21190</v>
      </c>
      <c r="F7344" t="s">
        <v>32831</v>
      </c>
      <c r="G7344" t="s">
        <v>32838</v>
      </c>
      <c r="H7344" t="s">
        <v>32848</v>
      </c>
      <c r="I7344" t="s">
        <v>10805</v>
      </c>
      <c r="J7344" t="s">
        <v>34409</v>
      </c>
      <c r="K7344" t="s">
        <v>42731</v>
      </c>
      <c r="M7344" t="s">
        <v>44582</v>
      </c>
      <c r="N7344" t="s">
        <v>47424</v>
      </c>
      <c r="O7344" t="s">
        <v>47425</v>
      </c>
      <c r="P7344">
        <v>0</v>
      </c>
      <c r="Q7344">
        <v>0</v>
      </c>
      <c r="R7344" t="s">
        <v>47430</v>
      </c>
      <c r="S7344" t="s">
        <v>47549</v>
      </c>
      <c r="T7344" t="s">
        <v>49237</v>
      </c>
      <c r="U7344" t="s">
        <v>55826</v>
      </c>
      <c r="V7344" t="s">
        <v>63247</v>
      </c>
      <c r="W7344" t="s">
        <v>44582</v>
      </c>
      <c r="X7344" t="s">
        <v>47431</v>
      </c>
    </row>
    <row r="7345" spans="1:24">
      <c r="A7345">
        <f>HYPERLINK("https://www.philgeps.gov.ph/GEPSNONPILOT/Tender/SplashBidNoticeAbstractUI.aspx?menuIndex=3&amp;refID=7158735&amp;Result=3","7158735")</f>
        <v>0</v>
      </c>
      <c r="B7345" t="s">
        <v>1552</v>
      </c>
      <c r="C7345" t="s">
        <v>10809</v>
      </c>
      <c r="D7345" t="s">
        <v>19074</v>
      </c>
      <c r="E7345" t="s">
        <v>22451</v>
      </c>
      <c r="F7345" t="s">
        <v>32831</v>
      </c>
      <c r="G7345" t="s">
        <v>32838</v>
      </c>
      <c r="H7345" t="s">
        <v>32848</v>
      </c>
      <c r="I7345" t="s">
        <v>32875</v>
      </c>
      <c r="J7345" t="s">
        <v>36044</v>
      </c>
      <c r="K7345" t="s">
        <v>42730</v>
      </c>
      <c r="M7345" t="s">
        <v>44659</v>
      </c>
      <c r="N7345" t="s">
        <v>47424</v>
      </c>
      <c r="O7345" t="s">
        <v>47425</v>
      </c>
      <c r="P7345">
        <v>0</v>
      </c>
      <c r="Q7345">
        <v>1</v>
      </c>
      <c r="R7345" t="s">
        <v>47430</v>
      </c>
      <c r="S7345" t="s">
        <v>47549</v>
      </c>
      <c r="T7345" t="s">
        <v>49111</v>
      </c>
      <c r="U7345" t="s">
        <v>55827</v>
      </c>
      <c r="W7345" t="s">
        <v>44659</v>
      </c>
      <c r="X7345" t="s">
        <v>47431</v>
      </c>
    </row>
    <row r="7346" spans="1:24">
      <c r="A7346">
        <f>HYPERLINK("https://www.philgeps.gov.ph/GEPSNONPILOT/Tender/SplashBidNoticeAbstractUI.aspx?menuIndex=3&amp;refID=7158772&amp;Result=3","7158772")</f>
        <v>0</v>
      </c>
      <c r="B7346" t="s">
        <v>565</v>
      </c>
      <c r="C7346" t="s">
        <v>10810</v>
      </c>
      <c r="D7346" t="s">
        <v>19020</v>
      </c>
      <c r="E7346" t="s">
        <v>25492</v>
      </c>
      <c r="F7346" t="s">
        <v>32831</v>
      </c>
      <c r="G7346" t="s">
        <v>32838</v>
      </c>
      <c r="H7346" t="s">
        <v>32848</v>
      </c>
      <c r="I7346" t="s">
        <v>32854</v>
      </c>
      <c r="J7346" t="s">
        <v>37582</v>
      </c>
      <c r="K7346" t="s">
        <v>42727</v>
      </c>
      <c r="M7346" t="s">
        <v>44789</v>
      </c>
      <c r="N7346" t="s">
        <v>47424</v>
      </c>
      <c r="O7346" t="s">
        <v>47425</v>
      </c>
      <c r="P7346">
        <v>0</v>
      </c>
      <c r="Q7346">
        <v>2</v>
      </c>
      <c r="R7346" t="s">
        <v>47430</v>
      </c>
      <c r="S7346" t="s">
        <v>47549</v>
      </c>
      <c r="T7346" t="s">
        <v>49089</v>
      </c>
      <c r="U7346" t="s">
        <v>55828</v>
      </c>
      <c r="W7346" t="s">
        <v>44789</v>
      </c>
      <c r="X7346" t="s">
        <v>47431</v>
      </c>
    </row>
    <row r="7347" spans="1:24">
      <c r="A7347">
        <f>HYPERLINK("https://www.philgeps.gov.ph/GEPSNONPILOT/Tender/SplashBidNoticeAbstractUI.aspx?menuIndex=3&amp;refID=7158728&amp;Result=3","7158728")</f>
        <v>0</v>
      </c>
      <c r="B7347" t="s">
        <v>1670</v>
      </c>
      <c r="C7347" t="s">
        <v>10811</v>
      </c>
      <c r="D7347" t="s">
        <v>19030</v>
      </c>
      <c r="E7347" t="s">
        <v>25493</v>
      </c>
      <c r="F7347" t="s">
        <v>32831</v>
      </c>
      <c r="G7347" t="s">
        <v>32838</v>
      </c>
      <c r="H7347" t="s">
        <v>32849</v>
      </c>
      <c r="I7347" t="s">
        <v>4177</v>
      </c>
      <c r="J7347" t="s">
        <v>35490</v>
      </c>
      <c r="K7347" t="s">
        <v>42747</v>
      </c>
      <c r="M7347" t="s">
        <v>44787</v>
      </c>
      <c r="N7347" t="s">
        <v>47424</v>
      </c>
      <c r="O7347" t="s">
        <v>47425</v>
      </c>
      <c r="P7347">
        <v>0</v>
      </c>
      <c r="Q7347">
        <v>1</v>
      </c>
      <c r="R7347" t="s">
        <v>47430</v>
      </c>
      <c r="S7347" t="s">
        <v>47549</v>
      </c>
      <c r="T7347" t="s">
        <v>49214</v>
      </c>
      <c r="U7347" t="s">
        <v>53162</v>
      </c>
      <c r="W7347" t="s">
        <v>44787</v>
      </c>
      <c r="X7347" t="s">
        <v>47431</v>
      </c>
    </row>
    <row r="7348" spans="1:24">
      <c r="A7348">
        <f>HYPERLINK("https://www.philgeps.gov.ph/GEPSNONPILOT/Tender/SplashBidNoticeAbstractUI.aspx?menuIndex=3&amp;refID=7159095&amp;Result=3","7159095")</f>
        <v>0</v>
      </c>
      <c r="B7348" t="s">
        <v>1606</v>
      </c>
      <c r="C7348" t="s">
        <v>10812</v>
      </c>
      <c r="D7348" t="s">
        <v>19017</v>
      </c>
      <c r="E7348" t="s">
        <v>25494</v>
      </c>
      <c r="F7348" t="s">
        <v>32831</v>
      </c>
      <c r="G7348" t="s">
        <v>32839</v>
      </c>
      <c r="H7348" t="s">
        <v>32849</v>
      </c>
      <c r="I7348" t="s">
        <v>32852</v>
      </c>
      <c r="J7348" t="s">
        <v>37583</v>
      </c>
      <c r="K7348" t="s">
        <v>42770</v>
      </c>
      <c r="M7348" t="s">
        <v>44757</v>
      </c>
      <c r="N7348" t="s">
        <v>47424</v>
      </c>
      <c r="O7348" t="s">
        <v>47425</v>
      </c>
      <c r="P7348">
        <v>0</v>
      </c>
      <c r="Q7348">
        <v>3</v>
      </c>
      <c r="R7348" t="s">
        <v>47430</v>
      </c>
      <c r="S7348" t="s">
        <v>47549</v>
      </c>
      <c r="T7348" t="s">
        <v>49179</v>
      </c>
      <c r="U7348" t="s">
        <v>55829</v>
      </c>
      <c r="W7348" t="s">
        <v>44757</v>
      </c>
      <c r="X7348" t="s">
        <v>47431</v>
      </c>
    </row>
    <row r="7349" spans="1:24">
      <c r="A7349">
        <f>HYPERLINK("https://www.philgeps.gov.ph/GEPSNONPILOT/Tender/SplashBidNoticeAbstractUI.aspx?menuIndex=3&amp;refID=7158767&amp;Result=3","7158767")</f>
        <v>0</v>
      </c>
      <c r="B7349" t="s">
        <v>2530</v>
      </c>
      <c r="C7349" t="s">
        <v>10813</v>
      </c>
      <c r="D7349" t="s">
        <v>19045</v>
      </c>
      <c r="E7349" t="s">
        <v>25495</v>
      </c>
      <c r="F7349" t="s">
        <v>32831</v>
      </c>
      <c r="G7349" t="s">
        <v>32839</v>
      </c>
      <c r="H7349" t="s">
        <v>32848</v>
      </c>
      <c r="I7349" t="s">
        <v>8781</v>
      </c>
      <c r="J7349" t="s">
        <v>37584</v>
      </c>
      <c r="K7349" t="s">
        <v>42730</v>
      </c>
      <c r="M7349" t="s">
        <v>45739</v>
      </c>
      <c r="N7349" t="s">
        <v>47424</v>
      </c>
      <c r="O7349" t="s">
        <v>47425</v>
      </c>
      <c r="P7349">
        <v>0</v>
      </c>
      <c r="Q7349">
        <v>2</v>
      </c>
      <c r="R7349" t="s">
        <v>47430</v>
      </c>
      <c r="S7349" t="s">
        <v>47549</v>
      </c>
      <c r="T7349" t="s">
        <v>49291</v>
      </c>
      <c r="U7349" t="s">
        <v>55830</v>
      </c>
      <c r="W7349" t="s">
        <v>45739</v>
      </c>
      <c r="X7349" t="s">
        <v>47431</v>
      </c>
    </row>
    <row r="7350" spans="1:24">
      <c r="A7350">
        <f>HYPERLINK("https://www.philgeps.gov.ph/GEPSNONPILOT/Tender/SplashBidNoticeAbstractUI.aspx?menuIndex=3&amp;refID=7158693&amp;Result=3","7158693")</f>
        <v>0</v>
      </c>
      <c r="B7350" t="s">
        <v>157</v>
      </c>
      <c r="C7350" t="s">
        <v>5171</v>
      </c>
      <c r="D7350" t="s">
        <v>19069</v>
      </c>
      <c r="E7350" t="s">
        <v>25496</v>
      </c>
      <c r="F7350" t="s">
        <v>32831</v>
      </c>
      <c r="G7350" t="s">
        <v>32838</v>
      </c>
      <c r="H7350" t="s">
        <v>32848</v>
      </c>
      <c r="I7350" t="s">
        <v>9577</v>
      </c>
      <c r="J7350" t="s">
        <v>37585</v>
      </c>
      <c r="K7350" t="s">
        <v>42732</v>
      </c>
      <c r="M7350" t="s">
        <v>43154</v>
      </c>
      <c r="N7350" t="s">
        <v>47424</v>
      </c>
      <c r="O7350" t="s">
        <v>47425</v>
      </c>
      <c r="P7350">
        <v>0</v>
      </c>
      <c r="Q7350">
        <v>3</v>
      </c>
      <c r="R7350" t="s">
        <v>47430</v>
      </c>
      <c r="S7350" t="s">
        <v>47549</v>
      </c>
      <c r="T7350" t="s">
        <v>49235</v>
      </c>
      <c r="U7350" t="s">
        <v>55831</v>
      </c>
      <c r="W7350" t="s">
        <v>43154</v>
      </c>
      <c r="X7350" t="s">
        <v>47431</v>
      </c>
    </row>
    <row r="7351" spans="1:24">
      <c r="A7351">
        <f>HYPERLINK("https://www.philgeps.gov.ph/GEPSNONPILOT/Tender/SplashBidNoticeAbstractUI.aspx?menuIndex=3&amp;refID=7158691&amp;Result=3","7158691")</f>
        <v>0</v>
      </c>
      <c r="B7351" t="s">
        <v>1831</v>
      </c>
      <c r="C7351" t="s">
        <v>10814</v>
      </c>
      <c r="D7351" t="s">
        <v>19070</v>
      </c>
      <c r="E7351" t="s">
        <v>25497</v>
      </c>
      <c r="F7351" t="s">
        <v>32831</v>
      </c>
      <c r="G7351" t="s">
        <v>32838</v>
      </c>
      <c r="H7351" t="s">
        <v>32848</v>
      </c>
      <c r="I7351" t="s">
        <v>4487</v>
      </c>
      <c r="J7351" t="s">
        <v>36113</v>
      </c>
      <c r="K7351" t="s">
        <v>42730</v>
      </c>
      <c r="M7351" t="s">
        <v>44965</v>
      </c>
      <c r="N7351" t="s">
        <v>47424</v>
      </c>
      <c r="O7351" t="s">
        <v>47425</v>
      </c>
      <c r="P7351">
        <v>0</v>
      </c>
      <c r="Q7351">
        <v>0</v>
      </c>
      <c r="R7351" t="s">
        <v>47430</v>
      </c>
      <c r="S7351" t="s">
        <v>47549</v>
      </c>
      <c r="T7351" t="s">
        <v>49107</v>
      </c>
      <c r="U7351" t="s">
        <v>55832</v>
      </c>
      <c r="W7351" t="s">
        <v>44965</v>
      </c>
      <c r="X7351" t="s">
        <v>47431</v>
      </c>
    </row>
    <row r="7352" spans="1:24">
      <c r="A7352">
        <f>HYPERLINK("https://www.philgeps.gov.ph/GEPSNONPILOT/Tender/SplashBidNoticeAbstractUI.aspx?menuIndex=3&amp;refID=7157347&amp;Result=3","7157347")</f>
        <v>0</v>
      </c>
      <c r="B7352" t="s">
        <v>1683</v>
      </c>
      <c r="C7352" t="s">
        <v>10815</v>
      </c>
      <c r="D7352" t="s">
        <v>19021</v>
      </c>
      <c r="E7352" t="s">
        <v>20862</v>
      </c>
      <c r="F7352" t="s">
        <v>32831</v>
      </c>
      <c r="G7352" t="s">
        <v>32839</v>
      </c>
      <c r="H7352" t="s">
        <v>32848</v>
      </c>
      <c r="I7352" t="s">
        <v>4303</v>
      </c>
      <c r="J7352" t="s">
        <v>37586</v>
      </c>
      <c r="K7352" t="s">
        <v>42730</v>
      </c>
      <c r="M7352" t="s">
        <v>44803</v>
      </c>
      <c r="N7352" t="s">
        <v>47424</v>
      </c>
      <c r="O7352" t="s">
        <v>47425</v>
      </c>
      <c r="P7352">
        <v>0</v>
      </c>
      <c r="Q7352">
        <v>3</v>
      </c>
      <c r="R7352" t="s">
        <v>47431</v>
      </c>
      <c r="S7352" t="s">
        <v>47565</v>
      </c>
      <c r="T7352" t="s">
        <v>49193</v>
      </c>
      <c r="U7352" t="s">
        <v>55833</v>
      </c>
      <c r="V7352" t="s">
        <v>63443</v>
      </c>
      <c r="W7352" t="s">
        <v>44803</v>
      </c>
      <c r="X7352" t="s">
        <v>47432</v>
      </c>
    </row>
    <row r="7353" spans="1:24">
      <c r="A7353">
        <f>HYPERLINK("https://www.philgeps.gov.ph/GEPSNONPILOT/Tender/SplashBidNoticeAbstractUI.aspx?menuIndex=3&amp;refID=7158838&amp;Result=3","7158838")</f>
        <v>0</v>
      </c>
      <c r="B7353" t="s">
        <v>2531</v>
      </c>
      <c r="C7353" t="s">
        <v>10816</v>
      </c>
      <c r="D7353" t="s">
        <v>19032</v>
      </c>
      <c r="E7353" t="s">
        <v>19144</v>
      </c>
      <c r="F7353" t="s">
        <v>32831</v>
      </c>
      <c r="G7353" t="s">
        <v>32839</v>
      </c>
      <c r="H7353" t="s">
        <v>32848</v>
      </c>
      <c r="I7353" t="s">
        <v>7416</v>
      </c>
      <c r="J7353" t="s">
        <v>37587</v>
      </c>
      <c r="K7353" t="s">
        <v>42730</v>
      </c>
      <c r="M7353" t="s">
        <v>45740</v>
      </c>
      <c r="N7353" t="s">
        <v>47424</v>
      </c>
      <c r="O7353" t="s">
        <v>47425</v>
      </c>
      <c r="P7353">
        <v>0</v>
      </c>
      <c r="Q7353">
        <v>0</v>
      </c>
      <c r="R7353" t="s">
        <v>47430</v>
      </c>
      <c r="S7353" t="s">
        <v>47549</v>
      </c>
      <c r="T7353" t="s">
        <v>49129</v>
      </c>
      <c r="U7353" t="s">
        <v>55834</v>
      </c>
      <c r="W7353" t="s">
        <v>45740</v>
      </c>
      <c r="X7353" t="s">
        <v>47431</v>
      </c>
    </row>
    <row r="7354" spans="1:24">
      <c r="A7354">
        <f>HYPERLINK("https://www.philgeps.gov.ph/GEPSNONPILOT/Tender/SplashBidNoticeAbstractUI.aspx?menuIndex=3&amp;refID=7158687&amp;Result=3","7158687")</f>
        <v>0</v>
      </c>
      <c r="B7354" t="s">
        <v>77</v>
      </c>
      <c r="C7354" t="s">
        <v>7796</v>
      </c>
      <c r="D7354" t="s">
        <v>19042</v>
      </c>
      <c r="E7354" t="s">
        <v>25498</v>
      </c>
      <c r="F7354" t="s">
        <v>32831</v>
      </c>
      <c r="G7354" t="s">
        <v>32838</v>
      </c>
      <c r="H7354" t="s">
        <v>32848</v>
      </c>
      <c r="I7354" t="s">
        <v>9577</v>
      </c>
      <c r="J7354" t="s">
        <v>37588</v>
      </c>
      <c r="K7354" t="s">
        <v>42730</v>
      </c>
      <c r="M7354" t="s">
        <v>43074</v>
      </c>
      <c r="N7354" t="s">
        <v>47424</v>
      </c>
      <c r="O7354" t="s">
        <v>47425</v>
      </c>
      <c r="P7354">
        <v>0</v>
      </c>
      <c r="Q7354">
        <v>2</v>
      </c>
      <c r="R7354" t="s">
        <v>47430</v>
      </c>
      <c r="S7354" t="s">
        <v>47549</v>
      </c>
      <c r="T7354" t="s">
        <v>49129</v>
      </c>
      <c r="U7354" t="s">
        <v>55835</v>
      </c>
      <c r="W7354" t="s">
        <v>64430</v>
      </c>
      <c r="X7354" t="s">
        <v>47431</v>
      </c>
    </row>
    <row r="7355" spans="1:24">
      <c r="A7355">
        <f>HYPERLINK("https://www.philgeps.gov.ph/GEPSNONPILOT/Tender/SplashBidNoticeAbstractUI.aspx?menuIndex=3&amp;refID=7157402&amp;Result=3","7157402")</f>
        <v>0</v>
      </c>
      <c r="B7355" t="s">
        <v>100</v>
      </c>
      <c r="C7355" t="s">
        <v>10817</v>
      </c>
      <c r="D7355" t="s">
        <v>19017</v>
      </c>
      <c r="E7355" t="s">
        <v>25499</v>
      </c>
      <c r="F7355" t="s">
        <v>32831</v>
      </c>
      <c r="G7355" t="s">
        <v>32838</v>
      </c>
      <c r="H7355" t="s">
        <v>32848</v>
      </c>
      <c r="I7355" t="s">
        <v>32878</v>
      </c>
      <c r="J7355" t="s">
        <v>33017</v>
      </c>
      <c r="K7355" t="s">
        <v>42731</v>
      </c>
      <c r="M7355" t="s">
        <v>45058</v>
      </c>
      <c r="N7355" t="s">
        <v>47424</v>
      </c>
      <c r="O7355" t="s">
        <v>47425</v>
      </c>
      <c r="P7355">
        <v>0</v>
      </c>
      <c r="Q7355">
        <v>1</v>
      </c>
      <c r="R7355" t="s">
        <v>47431</v>
      </c>
      <c r="S7355" t="s">
        <v>47565</v>
      </c>
      <c r="T7355" t="s">
        <v>49374</v>
      </c>
      <c r="U7355" t="s">
        <v>55836</v>
      </c>
      <c r="V7355" t="s">
        <v>63021</v>
      </c>
      <c r="W7355" t="s">
        <v>45058</v>
      </c>
      <c r="X7355" t="s">
        <v>47432</v>
      </c>
    </row>
    <row r="7356" spans="1:24">
      <c r="A7356">
        <f>HYPERLINK("https://www.philgeps.gov.ph/GEPSNONPILOT/Tender/SplashBidNoticeAbstractUI.aspx?menuIndex=3&amp;refID=7158695&amp;Result=3","7158695")</f>
        <v>0</v>
      </c>
      <c r="B7356" t="s">
        <v>2532</v>
      </c>
      <c r="C7356" t="s">
        <v>10818</v>
      </c>
      <c r="D7356" t="s">
        <v>19062</v>
      </c>
      <c r="E7356" t="s">
        <v>19434</v>
      </c>
      <c r="F7356" t="s">
        <v>32831</v>
      </c>
      <c r="G7356" t="s">
        <v>32839</v>
      </c>
      <c r="H7356" t="s">
        <v>32848</v>
      </c>
      <c r="I7356" t="s">
        <v>7416</v>
      </c>
      <c r="J7356" t="s">
        <v>37589</v>
      </c>
      <c r="K7356" t="s">
        <v>42731</v>
      </c>
      <c r="M7356" t="s">
        <v>45741</v>
      </c>
      <c r="N7356" t="s">
        <v>47424</v>
      </c>
      <c r="O7356" t="s">
        <v>47425</v>
      </c>
      <c r="P7356">
        <v>0</v>
      </c>
      <c r="Q7356">
        <v>0</v>
      </c>
      <c r="R7356" t="s">
        <v>47430</v>
      </c>
      <c r="S7356" t="s">
        <v>47549</v>
      </c>
      <c r="T7356" t="s">
        <v>49129</v>
      </c>
      <c r="U7356" t="s">
        <v>55837</v>
      </c>
      <c r="V7356" t="s">
        <v>63444</v>
      </c>
      <c r="W7356" t="s">
        <v>45741</v>
      </c>
      <c r="X7356" t="s">
        <v>47431</v>
      </c>
    </row>
    <row r="7357" spans="1:24">
      <c r="A7357">
        <f>HYPERLINK("https://www.philgeps.gov.ph/GEPSNONPILOT/Tender/SplashBidNoticeAbstractUI.aspx?menuIndex=3&amp;refID=7157398&amp;Result=3","7157398")</f>
        <v>0</v>
      </c>
      <c r="B7357" t="s">
        <v>912</v>
      </c>
      <c r="C7357" t="s">
        <v>10819</v>
      </c>
      <c r="D7357" t="s">
        <v>19070</v>
      </c>
      <c r="E7357" t="s">
        <v>25500</v>
      </c>
      <c r="F7357" t="s">
        <v>32831</v>
      </c>
      <c r="G7357" t="s">
        <v>32839</v>
      </c>
      <c r="H7357" t="s">
        <v>32849</v>
      </c>
      <c r="I7357" t="s">
        <v>4177</v>
      </c>
      <c r="J7357" t="s">
        <v>32978</v>
      </c>
      <c r="K7357" t="s">
        <v>42730</v>
      </c>
      <c r="M7357" t="s">
        <v>43952</v>
      </c>
      <c r="N7357" t="s">
        <v>47424</v>
      </c>
      <c r="O7357" t="s">
        <v>47425</v>
      </c>
      <c r="P7357">
        <v>0</v>
      </c>
      <c r="Q7357">
        <v>0</v>
      </c>
      <c r="R7357" t="s">
        <v>47431</v>
      </c>
      <c r="S7357" t="s">
        <v>47565</v>
      </c>
      <c r="T7357" t="s">
        <v>49476</v>
      </c>
      <c r="U7357" t="s">
        <v>55838</v>
      </c>
      <c r="W7357" t="s">
        <v>43952</v>
      </c>
      <c r="X7357" t="s">
        <v>47432</v>
      </c>
    </row>
    <row r="7358" spans="1:24">
      <c r="A7358">
        <f>HYPERLINK("https://www.philgeps.gov.ph/GEPSNONPILOT/Tender/SplashBidNoticeAbstractUI.aspx?menuIndex=3&amp;refID=7157350&amp;Result=3","7157350")</f>
        <v>0</v>
      </c>
      <c r="B7358" t="s">
        <v>557</v>
      </c>
      <c r="C7358" t="s">
        <v>10820</v>
      </c>
      <c r="E7358" t="s">
        <v>25501</v>
      </c>
      <c r="F7358" t="s">
        <v>32831</v>
      </c>
      <c r="G7358" t="s">
        <v>32839</v>
      </c>
      <c r="H7358" t="s">
        <v>32849</v>
      </c>
      <c r="I7358" t="s">
        <v>4177</v>
      </c>
      <c r="J7358" t="s">
        <v>37590</v>
      </c>
      <c r="K7358" t="s">
        <v>42732</v>
      </c>
      <c r="M7358" t="s">
        <v>43565</v>
      </c>
      <c r="N7358" t="s">
        <v>47424</v>
      </c>
      <c r="O7358" t="s">
        <v>47425</v>
      </c>
      <c r="P7358">
        <v>0</v>
      </c>
      <c r="Q7358">
        <v>0</v>
      </c>
      <c r="R7358" t="s">
        <v>47431</v>
      </c>
      <c r="S7358" t="s">
        <v>47565</v>
      </c>
      <c r="T7358" t="s">
        <v>49181</v>
      </c>
      <c r="U7358" t="s">
        <v>55839</v>
      </c>
      <c r="V7358" t="s">
        <v>63445</v>
      </c>
      <c r="W7358" t="s">
        <v>43565</v>
      </c>
      <c r="X7358" t="s">
        <v>47432</v>
      </c>
    </row>
    <row r="7359" spans="1:24">
      <c r="A7359">
        <f>HYPERLINK("https://www.philgeps.gov.ph/GEPSNONPILOT/Tender/SplashBidNoticeAbstractUI.aspx?menuIndex=3&amp;refID=7158688&amp;Result=3","7158688")</f>
        <v>0</v>
      </c>
      <c r="B7359" t="s">
        <v>2348</v>
      </c>
      <c r="C7359" t="s">
        <v>10821</v>
      </c>
      <c r="E7359" t="s">
        <v>25502</v>
      </c>
      <c r="F7359" t="s">
        <v>32831</v>
      </c>
      <c r="G7359" t="s">
        <v>32839</v>
      </c>
      <c r="H7359" t="s">
        <v>32848</v>
      </c>
      <c r="I7359" t="s">
        <v>7416</v>
      </c>
      <c r="J7359" t="s">
        <v>37591</v>
      </c>
      <c r="K7359" t="s">
        <v>42776</v>
      </c>
      <c r="M7359" t="s">
        <v>45535</v>
      </c>
      <c r="N7359" t="s">
        <v>47424</v>
      </c>
      <c r="O7359" t="s">
        <v>47425</v>
      </c>
      <c r="P7359">
        <v>0</v>
      </c>
      <c r="Q7359">
        <v>0</v>
      </c>
      <c r="R7359" t="s">
        <v>47430</v>
      </c>
      <c r="S7359" t="s">
        <v>47549</v>
      </c>
      <c r="T7359" t="s">
        <v>49279</v>
      </c>
      <c r="U7359" t="s">
        <v>55840</v>
      </c>
      <c r="W7359" t="s">
        <v>45535</v>
      </c>
      <c r="X7359" t="s">
        <v>47431</v>
      </c>
    </row>
    <row r="7360" spans="1:24">
      <c r="A7360">
        <f>HYPERLINK("https://www.philgeps.gov.ph/GEPSNONPILOT/Tender/SplashBidNoticeAbstractUI.aspx?menuIndex=3&amp;refID=7157395&amp;Result=3","7157395")</f>
        <v>0</v>
      </c>
      <c r="B7360" t="s">
        <v>2533</v>
      </c>
      <c r="C7360" t="s">
        <v>10822</v>
      </c>
      <c r="D7360" t="s">
        <v>19110</v>
      </c>
      <c r="E7360" t="s">
        <v>25503</v>
      </c>
      <c r="F7360" t="s">
        <v>32831</v>
      </c>
      <c r="G7360" t="s">
        <v>32839</v>
      </c>
      <c r="H7360" t="s">
        <v>32848</v>
      </c>
      <c r="I7360" t="s">
        <v>32863</v>
      </c>
      <c r="J7360" t="s">
        <v>37592</v>
      </c>
      <c r="K7360" t="s">
        <v>42807</v>
      </c>
      <c r="M7360" t="s">
        <v>45742</v>
      </c>
      <c r="N7360" t="s">
        <v>47424</v>
      </c>
      <c r="O7360" t="s">
        <v>47425</v>
      </c>
      <c r="P7360">
        <v>0</v>
      </c>
      <c r="Q7360">
        <v>1</v>
      </c>
      <c r="R7360" t="s">
        <v>47431</v>
      </c>
      <c r="S7360" t="s">
        <v>47565</v>
      </c>
      <c r="T7360" t="s">
        <v>49185</v>
      </c>
      <c r="U7360" t="s">
        <v>55841</v>
      </c>
      <c r="W7360" t="s">
        <v>45742</v>
      </c>
      <c r="X7360" t="s">
        <v>47432</v>
      </c>
    </row>
    <row r="7361" spans="1:24">
      <c r="A7361">
        <f>HYPERLINK("https://www.philgeps.gov.ph/GEPSNONPILOT/Tender/SplashBidNoticeAbstractUI.aspx?menuIndex=3&amp;refID=7157393&amp;Result=3","7157393")</f>
        <v>0</v>
      </c>
      <c r="B7361" t="s">
        <v>1351</v>
      </c>
      <c r="C7361" t="s">
        <v>10823</v>
      </c>
      <c r="D7361" t="s">
        <v>19080</v>
      </c>
      <c r="E7361" t="s">
        <v>25504</v>
      </c>
      <c r="F7361" t="s">
        <v>32831</v>
      </c>
      <c r="G7361" t="s">
        <v>32838</v>
      </c>
      <c r="H7361" t="s">
        <v>32848</v>
      </c>
      <c r="I7361" t="s">
        <v>7416</v>
      </c>
      <c r="J7361" t="s">
        <v>37593</v>
      </c>
      <c r="K7361" t="s">
        <v>42727</v>
      </c>
      <c r="M7361" t="s">
        <v>44425</v>
      </c>
      <c r="N7361" t="s">
        <v>47424</v>
      </c>
      <c r="O7361" t="s">
        <v>47425</v>
      </c>
      <c r="P7361">
        <v>0</v>
      </c>
      <c r="Q7361">
        <v>0</v>
      </c>
      <c r="R7361" t="s">
        <v>47431</v>
      </c>
      <c r="S7361" t="s">
        <v>47565</v>
      </c>
      <c r="T7361" t="s">
        <v>49237</v>
      </c>
      <c r="U7361" t="s">
        <v>55842</v>
      </c>
      <c r="V7361" t="s">
        <v>63446</v>
      </c>
      <c r="W7361" t="s">
        <v>44425</v>
      </c>
      <c r="X7361" t="s">
        <v>47432</v>
      </c>
    </row>
    <row r="7362" spans="1:24">
      <c r="A7362">
        <f>HYPERLINK("https://www.philgeps.gov.ph/GEPSNONPILOT/Tender/SplashBidNoticeAbstractUI.aspx?menuIndex=3&amp;refID=7157391&amp;Result=3","7157391")</f>
        <v>0</v>
      </c>
      <c r="B7362" t="s">
        <v>2534</v>
      </c>
      <c r="C7362" t="s">
        <v>10824</v>
      </c>
      <c r="D7362" t="s">
        <v>19017</v>
      </c>
      <c r="E7362" t="s">
        <v>25505</v>
      </c>
      <c r="F7362" t="s">
        <v>32833</v>
      </c>
      <c r="G7362" t="s">
        <v>32840</v>
      </c>
      <c r="H7362" t="s">
        <v>32848</v>
      </c>
      <c r="I7362" t="s">
        <v>32860</v>
      </c>
      <c r="J7362" t="s">
        <v>37594</v>
      </c>
      <c r="K7362" t="s">
        <v>42758</v>
      </c>
      <c r="M7362" t="s">
        <v>45743</v>
      </c>
      <c r="N7362" t="s">
        <v>47424</v>
      </c>
      <c r="O7362" t="s">
        <v>47425</v>
      </c>
      <c r="P7362">
        <v>0</v>
      </c>
      <c r="Q7362">
        <v>2</v>
      </c>
      <c r="R7362" t="s">
        <v>47431</v>
      </c>
      <c r="S7362" t="s">
        <v>47565</v>
      </c>
      <c r="T7362" t="s">
        <v>49235</v>
      </c>
      <c r="U7362" t="s">
        <v>55843</v>
      </c>
      <c r="W7362" t="s">
        <v>45743</v>
      </c>
      <c r="X7362" t="s">
        <v>47432</v>
      </c>
    </row>
    <row r="7363" spans="1:24">
      <c r="A7363">
        <f>HYPERLINK("https://www.philgeps.gov.ph/GEPSNONPILOT/Tender/SplashBidNoticeAbstractUI.aspx?menuIndex=3&amp;refID=7157388&amp;Result=3","7157388")</f>
        <v>0</v>
      </c>
      <c r="B7363" t="s">
        <v>2522</v>
      </c>
      <c r="C7363" t="s">
        <v>10825</v>
      </c>
      <c r="D7363" t="s">
        <v>19020</v>
      </c>
      <c r="E7363" t="s">
        <v>25506</v>
      </c>
      <c r="F7363" t="s">
        <v>32831</v>
      </c>
      <c r="G7363" t="s">
        <v>32838</v>
      </c>
      <c r="H7363" t="s">
        <v>32848</v>
      </c>
      <c r="I7363" t="s">
        <v>32910</v>
      </c>
      <c r="J7363" t="s">
        <v>37595</v>
      </c>
      <c r="K7363" t="s">
        <v>42730</v>
      </c>
      <c r="M7363" t="s">
        <v>45730</v>
      </c>
      <c r="N7363" t="s">
        <v>47424</v>
      </c>
      <c r="O7363" t="s">
        <v>47425</v>
      </c>
      <c r="P7363">
        <v>0</v>
      </c>
      <c r="Q7363">
        <v>1</v>
      </c>
      <c r="R7363" t="s">
        <v>47431</v>
      </c>
      <c r="S7363" t="s">
        <v>47565</v>
      </c>
      <c r="T7363" t="s">
        <v>49108</v>
      </c>
      <c r="U7363" t="s">
        <v>55844</v>
      </c>
      <c r="W7363" t="s">
        <v>45730</v>
      </c>
      <c r="X7363" t="s">
        <v>47432</v>
      </c>
    </row>
    <row r="7364" spans="1:24">
      <c r="A7364">
        <f>HYPERLINK("https://www.philgeps.gov.ph/GEPSNONPILOT/Tender/SplashBidNoticeAbstractUI.aspx?menuIndex=3&amp;refID=7157400&amp;Result=3","7157400")</f>
        <v>0</v>
      </c>
      <c r="B7364" t="s">
        <v>2472</v>
      </c>
      <c r="C7364" t="s">
        <v>10826</v>
      </c>
      <c r="D7364" t="s">
        <v>19082</v>
      </c>
      <c r="E7364" t="s">
        <v>20958</v>
      </c>
      <c r="F7364" t="s">
        <v>32831</v>
      </c>
      <c r="G7364" t="s">
        <v>32838</v>
      </c>
      <c r="H7364" t="s">
        <v>32848</v>
      </c>
      <c r="I7364" t="s">
        <v>32867</v>
      </c>
      <c r="J7364" t="s">
        <v>33175</v>
      </c>
      <c r="K7364" t="s">
        <v>42726</v>
      </c>
      <c r="M7364" t="s">
        <v>45671</v>
      </c>
      <c r="N7364" t="s">
        <v>47424</v>
      </c>
      <c r="O7364" t="s">
        <v>47425</v>
      </c>
      <c r="P7364">
        <v>0</v>
      </c>
      <c r="Q7364">
        <v>0</v>
      </c>
      <c r="R7364" t="s">
        <v>47431</v>
      </c>
      <c r="S7364" t="s">
        <v>47565</v>
      </c>
      <c r="T7364" t="s">
        <v>49111</v>
      </c>
      <c r="U7364" t="s">
        <v>55845</v>
      </c>
      <c r="W7364" t="s">
        <v>45671</v>
      </c>
      <c r="X7364" t="s">
        <v>47432</v>
      </c>
    </row>
    <row r="7365" spans="1:24">
      <c r="A7365">
        <f>HYPERLINK("https://www.philgeps.gov.ph/GEPSNONPILOT/Tender/SplashBidNoticeAbstractUI.aspx?menuIndex=3&amp;refID=7157387&amp;Result=3","7157387")</f>
        <v>0</v>
      </c>
      <c r="B7365" t="s">
        <v>2499</v>
      </c>
      <c r="C7365" t="s">
        <v>10827</v>
      </c>
      <c r="D7365" t="s">
        <v>19088</v>
      </c>
      <c r="E7365" t="s">
        <v>22355</v>
      </c>
      <c r="F7365" t="s">
        <v>32831</v>
      </c>
      <c r="G7365" t="s">
        <v>32839</v>
      </c>
      <c r="H7365" t="s">
        <v>32848</v>
      </c>
      <c r="I7365" t="s">
        <v>32867</v>
      </c>
      <c r="J7365" t="s">
        <v>32980</v>
      </c>
      <c r="K7365" t="s">
        <v>42732</v>
      </c>
      <c r="M7365" t="s">
        <v>45706</v>
      </c>
      <c r="N7365" t="s">
        <v>47424</v>
      </c>
      <c r="O7365" t="s">
        <v>47425</v>
      </c>
      <c r="P7365">
        <v>0</v>
      </c>
      <c r="Q7365">
        <v>4</v>
      </c>
      <c r="R7365" t="s">
        <v>47431</v>
      </c>
      <c r="S7365" t="s">
        <v>47565</v>
      </c>
      <c r="T7365" t="s">
        <v>49115</v>
      </c>
      <c r="U7365" t="s">
        <v>55846</v>
      </c>
      <c r="W7365" t="s">
        <v>45706</v>
      </c>
      <c r="X7365" t="s">
        <v>47432</v>
      </c>
    </row>
    <row r="7366" spans="1:24">
      <c r="A7366">
        <f>HYPERLINK("https://www.philgeps.gov.ph/GEPSNONPILOT/Tender/SplashBidNoticeAbstractUI.aspx?menuIndex=3&amp;refID=7157384&amp;Result=3","7157384")</f>
        <v>0</v>
      </c>
      <c r="B7366" t="s">
        <v>1479</v>
      </c>
      <c r="C7366" t="s">
        <v>10828</v>
      </c>
      <c r="D7366" t="s">
        <v>19027</v>
      </c>
      <c r="E7366" t="s">
        <v>25507</v>
      </c>
      <c r="F7366" t="s">
        <v>32831</v>
      </c>
      <c r="G7366" t="s">
        <v>32839</v>
      </c>
      <c r="H7366" t="s">
        <v>32849</v>
      </c>
      <c r="I7366" t="s">
        <v>4177</v>
      </c>
      <c r="J7366" t="s">
        <v>37596</v>
      </c>
      <c r="K7366" t="s">
        <v>42729</v>
      </c>
      <c r="M7366" t="s">
        <v>45744</v>
      </c>
      <c r="N7366" t="s">
        <v>47424</v>
      </c>
      <c r="O7366" t="s">
        <v>47425</v>
      </c>
      <c r="P7366">
        <v>0</v>
      </c>
      <c r="Q7366">
        <v>0</v>
      </c>
      <c r="R7366" t="s">
        <v>47431</v>
      </c>
      <c r="S7366" t="s">
        <v>47565</v>
      </c>
      <c r="T7366" t="s">
        <v>49291</v>
      </c>
      <c r="U7366" t="s">
        <v>55847</v>
      </c>
      <c r="W7366" t="s">
        <v>64515</v>
      </c>
      <c r="X7366" t="s">
        <v>47432</v>
      </c>
    </row>
    <row r="7367" spans="1:24">
      <c r="A7367">
        <f>HYPERLINK("https://www.philgeps.gov.ph/GEPSNONPILOT/Tender/SplashBidNoticeAbstractUI.aspx?menuIndex=3&amp;refID=7157382&amp;Result=3","7157382")</f>
        <v>0</v>
      </c>
      <c r="B7367" t="s">
        <v>755</v>
      </c>
      <c r="C7367" t="s">
        <v>10829</v>
      </c>
      <c r="E7367" t="s">
        <v>25508</v>
      </c>
      <c r="F7367" t="s">
        <v>32831</v>
      </c>
      <c r="G7367" t="s">
        <v>32839</v>
      </c>
      <c r="H7367" t="s">
        <v>32848</v>
      </c>
      <c r="I7367" t="s">
        <v>32868</v>
      </c>
      <c r="J7367" t="s">
        <v>33044</v>
      </c>
      <c r="K7367" t="s">
        <v>42732</v>
      </c>
      <c r="M7367" t="s">
        <v>45605</v>
      </c>
      <c r="N7367" t="s">
        <v>47424</v>
      </c>
      <c r="O7367" t="s">
        <v>47425</v>
      </c>
      <c r="P7367">
        <v>0</v>
      </c>
      <c r="Q7367">
        <v>3</v>
      </c>
      <c r="R7367" t="s">
        <v>47431</v>
      </c>
      <c r="S7367" t="s">
        <v>47565</v>
      </c>
      <c r="T7367" t="s">
        <v>49150</v>
      </c>
      <c r="U7367" t="s">
        <v>55848</v>
      </c>
      <c r="W7367" t="s">
        <v>45605</v>
      </c>
      <c r="X7367" t="s">
        <v>47432</v>
      </c>
    </row>
    <row r="7368" spans="1:24">
      <c r="A7368">
        <f>HYPERLINK("https://www.philgeps.gov.ph/GEPSNONPILOT/Tender/SplashBidNoticeAbstractUI.aspx?menuIndex=3&amp;refID=7157381&amp;Result=3","7157381")</f>
        <v>0</v>
      </c>
      <c r="B7368" t="s">
        <v>557</v>
      </c>
      <c r="C7368" t="s">
        <v>10830</v>
      </c>
      <c r="E7368" t="s">
        <v>25509</v>
      </c>
      <c r="F7368" t="s">
        <v>32831</v>
      </c>
      <c r="G7368" t="s">
        <v>32839</v>
      </c>
      <c r="H7368" t="s">
        <v>32849</v>
      </c>
      <c r="I7368" t="s">
        <v>4177</v>
      </c>
      <c r="J7368" t="s">
        <v>37597</v>
      </c>
      <c r="K7368" t="s">
        <v>42732</v>
      </c>
      <c r="M7368" t="s">
        <v>43565</v>
      </c>
      <c r="N7368" t="s">
        <v>47424</v>
      </c>
      <c r="O7368" t="s">
        <v>47425</v>
      </c>
      <c r="P7368">
        <v>0</v>
      </c>
      <c r="Q7368">
        <v>1</v>
      </c>
      <c r="R7368" t="s">
        <v>47431</v>
      </c>
      <c r="S7368" t="s">
        <v>47565</v>
      </c>
      <c r="T7368" t="s">
        <v>49181</v>
      </c>
      <c r="U7368" t="s">
        <v>55849</v>
      </c>
      <c r="V7368" t="s">
        <v>63447</v>
      </c>
      <c r="W7368" t="s">
        <v>43565</v>
      </c>
      <c r="X7368" t="s">
        <v>47432</v>
      </c>
    </row>
    <row r="7369" spans="1:24">
      <c r="A7369">
        <f>HYPERLINK("https://www.philgeps.gov.ph/GEPSNONPILOT/Tender/SplashBidNoticeAbstractUI.aspx?menuIndex=3&amp;refID=7157379&amp;Result=3","7157379")</f>
        <v>0</v>
      </c>
      <c r="B7369" t="s">
        <v>2535</v>
      </c>
      <c r="C7369" t="s">
        <v>10831</v>
      </c>
      <c r="D7369" t="s">
        <v>19027</v>
      </c>
      <c r="E7369" t="s">
        <v>25510</v>
      </c>
      <c r="F7369" t="s">
        <v>32831</v>
      </c>
      <c r="G7369" t="s">
        <v>32838</v>
      </c>
      <c r="H7369" t="s">
        <v>32848</v>
      </c>
      <c r="I7369" t="s">
        <v>9577</v>
      </c>
      <c r="J7369" t="s">
        <v>37598</v>
      </c>
      <c r="K7369" t="s">
        <v>42727</v>
      </c>
      <c r="M7369" t="s">
        <v>45745</v>
      </c>
      <c r="N7369" t="s">
        <v>47424</v>
      </c>
      <c r="O7369" t="s">
        <v>47425</v>
      </c>
      <c r="P7369">
        <v>0</v>
      </c>
      <c r="Q7369">
        <v>1</v>
      </c>
      <c r="R7369" t="s">
        <v>47431</v>
      </c>
      <c r="S7369" t="s">
        <v>47565</v>
      </c>
      <c r="T7369" t="s">
        <v>49214</v>
      </c>
      <c r="U7369" t="s">
        <v>55850</v>
      </c>
      <c r="W7369" t="s">
        <v>45745</v>
      </c>
      <c r="X7369" t="s">
        <v>47432</v>
      </c>
    </row>
    <row r="7370" spans="1:24">
      <c r="A7370">
        <f>HYPERLINK("https://www.philgeps.gov.ph/GEPSNONPILOT/Tender/SplashBidNoticeAbstractUI.aspx?menuIndex=3&amp;refID=7157378&amp;Result=3","7157378")</f>
        <v>0</v>
      </c>
      <c r="B7370" t="s">
        <v>1048</v>
      </c>
      <c r="C7370" t="s">
        <v>10832</v>
      </c>
      <c r="D7370" t="s">
        <v>19017</v>
      </c>
      <c r="E7370" t="s">
        <v>25511</v>
      </c>
      <c r="F7370" t="s">
        <v>32831</v>
      </c>
      <c r="G7370" t="s">
        <v>32838</v>
      </c>
      <c r="H7370" t="s">
        <v>32848</v>
      </c>
      <c r="I7370" t="s">
        <v>32859</v>
      </c>
      <c r="J7370" t="s">
        <v>37599</v>
      </c>
      <c r="K7370" t="s">
        <v>42727</v>
      </c>
      <c r="M7370" t="s">
        <v>44104</v>
      </c>
      <c r="N7370" t="s">
        <v>47424</v>
      </c>
      <c r="O7370" t="s">
        <v>47425</v>
      </c>
      <c r="P7370">
        <v>0</v>
      </c>
      <c r="Q7370">
        <v>1</v>
      </c>
      <c r="R7370" t="s">
        <v>47431</v>
      </c>
      <c r="S7370" t="s">
        <v>47565</v>
      </c>
      <c r="T7370" t="s">
        <v>49166</v>
      </c>
      <c r="U7370" t="s">
        <v>55851</v>
      </c>
      <c r="W7370" t="s">
        <v>44104</v>
      </c>
      <c r="X7370" t="s">
        <v>47432</v>
      </c>
    </row>
    <row r="7371" spans="1:24">
      <c r="A7371">
        <f>HYPERLINK("https://www.philgeps.gov.ph/GEPSNONPILOT/Tender/SplashBidNoticeAbstractUI.aspx?menuIndex=3&amp;refID=7157390&amp;Result=3","7157390")</f>
        <v>0</v>
      </c>
      <c r="B7371" t="s">
        <v>645</v>
      </c>
      <c r="C7371" t="s">
        <v>10833</v>
      </c>
      <c r="D7371" t="s">
        <v>19037</v>
      </c>
      <c r="E7371" t="s">
        <v>25512</v>
      </c>
      <c r="F7371" t="s">
        <v>32831</v>
      </c>
      <c r="G7371" t="s">
        <v>32838</v>
      </c>
      <c r="H7371" t="s">
        <v>32848</v>
      </c>
      <c r="I7371" t="s">
        <v>4222</v>
      </c>
      <c r="J7371" t="s">
        <v>33198</v>
      </c>
      <c r="K7371" t="s">
        <v>42732</v>
      </c>
      <c r="M7371" t="s">
        <v>43662</v>
      </c>
      <c r="N7371" t="s">
        <v>47424</v>
      </c>
      <c r="O7371" t="s">
        <v>47425</v>
      </c>
      <c r="P7371">
        <v>0</v>
      </c>
      <c r="Q7371">
        <v>1</v>
      </c>
      <c r="R7371" t="s">
        <v>47431</v>
      </c>
      <c r="S7371" t="s">
        <v>47565</v>
      </c>
      <c r="T7371" t="s">
        <v>49477</v>
      </c>
      <c r="U7371" t="s">
        <v>50885</v>
      </c>
      <c r="W7371" t="s">
        <v>43662</v>
      </c>
      <c r="X7371" t="s">
        <v>47432</v>
      </c>
    </row>
    <row r="7372" spans="1:24">
      <c r="A7372">
        <f>HYPERLINK("https://www.philgeps.gov.ph/GEPSNONPILOT/Tender/SplashBidNoticeAbstractUI.aspx?menuIndex=3&amp;refID=7157383&amp;Result=3","7157383")</f>
        <v>0</v>
      </c>
      <c r="B7372" t="s">
        <v>2519</v>
      </c>
      <c r="C7372" t="s">
        <v>10834</v>
      </c>
      <c r="D7372" t="s">
        <v>19050</v>
      </c>
      <c r="E7372" t="s">
        <v>25513</v>
      </c>
      <c r="F7372" t="s">
        <v>32831</v>
      </c>
      <c r="G7372" t="s">
        <v>32838</v>
      </c>
      <c r="H7372" t="s">
        <v>32848</v>
      </c>
      <c r="I7372" t="s">
        <v>32855</v>
      </c>
      <c r="J7372" t="s">
        <v>37600</v>
      </c>
      <c r="K7372" t="s">
        <v>42732</v>
      </c>
      <c r="M7372" t="s">
        <v>45727</v>
      </c>
      <c r="N7372" t="s">
        <v>47424</v>
      </c>
      <c r="O7372" t="s">
        <v>47425</v>
      </c>
      <c r="P7372">
        <v>0</v>
      </c>
      <c r="Q7372">
        <v>8</v>
      </c>
      <c r="R7372" t="s">
        <v>47431</v>
      </c>
      <c r="S7372" t="s">
        <v>47565</v>
      </c>
      <c r="T7372" t="s">
        <v>49163</v>
      </c>
      <c r="U7372" t="s">
        <v>55787</v>
      </c>
      <c r="V7372" t="s">
        <v>63448</v>
      </c>
      <c r="W7372" t="s">
        <v>45727</v>
      </c>
      <c r="X7372" t="s">
        <v>47432</v>
      </c>
    </row>
    <row r="7373" spans="1:24">
      <c r="A7373">
        <f>HYPERLINK("https://www.philgeps.gov.ph/GEPSNONPILOT/Tender/SplashBidNoticeAbstractUI.aspx?menuIndex=3&amp;refID=7157396&amp;Result=3","7157396")</f>
        <v>0</v>
      </c>
      <c r="B7373" t="s">
        <v>2478</v>
      </c>
      <c r="C7373" t="s">
        <v>10835</v>
      </c>
      <c r="D7373" t="s">
        <v>19037</v>
      </c>
      <c r="E7373" t="s">
        <v>25514</v>
      </c>
      <c r="F7373" t="s">
        <v>32831</v>
      </c>
      <c r="G7373" t="s">
        <v>32839</v>
      </c>
      <c r="H7373" t="s">
        <v>32848</v>
      </c>
      <c r="I7373" t="s">
        <v>32860</v>
      </c>
      <c r="J7373" t="s">
        <v>37601</v>
      </c>
      <c r="K7373" t="s">
        <v>42727</v>
      </c>
      <c r="M7373" t="s">
        <v>45680</v>
      </c>
      <c r="N7373" t="s">
        <v>47424</v>
      </c>
      <c r="O7373" t="s">
        <v>47425</v>
      </c>
      <c r="P7373">
        <v>0</v>
      </c>
      <c r="Q7373">
        <v>7</v>
      </c>
      <c r="R7373" t="s">
        <v>47431</v>
      </c>
      <c r="S7373" t="s">
        <v>47565</v>
      </c>
      <c r="T7373" t="s">
        <v>49079</v>
      </c>
      <c r="U7373" t="s">
        <v>55852</v>
      </c>
      <c r="W7373" t="s">
        <v>45680</v>
      </c>
      <c r="X7373" t="s">
        <v>47432</v>
      </c>
    </row>
    <row r="7374" spans="1:24">
      <c r="A7374">
        <f>HYPERLINK("https://www.philgeps.gov.ph/GEPSNONPILOT/Tender/SplashBidNoticeAbstractUI.aspx?menuIndex=3&amp;refID=7157394&amp;Result=3","7157394")</f>
        <v>0</v>
      </c>
      <c r="B7374" t="s">
        <v>1194</v>
      </c>
      <c r="C7374" t="s">
        <v>10836</v>
      </c>
      <c r="D7374" t="s">
        <v>19034</v>
      </c>
      <c r="E7374" t="s">
        <v>25515</v>
      </c>
      <c r="F7374" t="s">
        <v>32831</v>
      </c>
      <c r="G7374" t="s">
        <v>32838</v>
      </c>
      <c r="H7374" t="s">
        <v>32848</v>
      </c>
      <c r="I7374" t="s">
        <v>10805</v>
      </c>
      <c r="J7374" t="s">
        <v>35457</v>
      </c>
      <c r="K7374" t="s">
        <v>42758</v>
      </c>
      <c r="M7374" t="s">
        <v>44260</v>
      </c>
      <c r="N7374" t="s">
        <v>47424</v>
      </c>
      <c r="O7374" t="s">
        <v>47425</v>
      </c>
      <c r="P7374">
        <v>0</v>
      </c>
      <c r="Q7374">
        <v>1</v>
      </c>
      <c r="R7374" t="s">
        <v>47431</v>
      </c>
      <c r="S7374" t="s">
        <v>47565</v>
      </c>
      <c r="T7374" t="s">
        <v>49214</v>
      </c>
      <c r="U7374" t="s">
        <v>55853</v>
      </c>
      <c r="W7374" t="s">
        <v>44260</v>
      </c>
      <c r="X7374" t="s">
        <v>47432</v>
      </c>
    </row>
    <row r="7375" spans="1:24">
      <c r="A7375">
        <f>HYPERLINK("https://www.philgeps.gov.ph/GEPSNONPILOT/Tender/SplashBidNoticeAbstractUI.aspx?menuIndex=3&amp;refID=7157702&amp;Result=3","7157702")</f>
        <v>0</v>
      </c>
      <c r="B7375" t="s">
        <v>2204</v>
      </c>
      <c r="C7375" t="s">
        <v>10837</v>
      </c>
      <c r="D7375" t="s">
        <v>19021</v>
      </c>
      <c r="E7375" t="s">
        <v>25516</v>
      </c>
      <c r="F7375" t="s">
        <v>32831</v>
      </c>
      <c r="G7375" t="s">
        <v>32841</v>
      </c>
      <c r="H7375" t="s">
        <v>32848</v>
      </c>
      <c r="I7375" t="s">
        <v>32859</v>
      </c>
      <c r="J7375" t="s">
        <v>37602</v>
      </c>
      <c r="K7375" t="s">
        <v>42730</v>
      </c>
      <c r="M7375" t="s">
        <v>45384</v>
      </c>
      <c r="N7375" t="s">
        <v>47424</v>
      </c>
      <c r="O7375" t="s">
        <v>47425</v>
      </c>
      <c r="P7375">
        <v>0</v>
      </c>
      <c r="Q7375">
        <v>2</v>
      </c>
      <c r="R7375" t="s">
        <v>47431</v>
      </c>
      <c r="S7375" t="s">
        <v>47565</v>
      </c>
      <c r="T7375" t="s">
        <v>49295</v>
      </c>
      <c r="U7375" t="s">
        <v>55854</v>
      </c>
      <c r="W7375" t="s">
        <v>45384</v>
      </c>
      <c r="X7375" t="s">
        <v>47432</v>
      </c>
    </row>
    <row r="7376" spans="1:24">
      <c r="A7376">
        <f>HYPERLINK("https://www.philgeps.gov.ph/GEPSNONPILOT/Tender/SplashBidNoticeAbstractUI.aspx?menuIndex=3&amp;refID=7157365&amp;Result=3","7157365")</f>
        <v>0</v>
      </c>
      <c r="B7376" t="s">
        <v>645</v>
      </c>
      <c r="C7376" t="s">
        <v>10838</v>
      </c>
      <c r="D7376" t="s">
        <v>19037</v>
      </c>
      <c r="E7376" t="s">
        <v>25517</v>
      </c>
      <c r="F7376" t="s">
        <v>32831</v>
      </c>
      <c r="G7376" t="s">
        <v>32838</v>
      </c>
      <c r="H7376" t="s">
        <v>32848</v>
      </c>
      <c r="I7376" t="s">
        <v>32861</v>
      </c>
      <c r="J7376" t="s">
        <v>33087</v>
      </c>
      <c r="K7376" t="s">
        <v>42732</v>
      </c>
      <c r="M7376" t="s">
        <v>43662</v>
      </c>
      <c r="N7376" t="s">
        <v>47424</v>
      </c>
      <c r="O7376" t="s">
        <v>47425</v>
      </c>
      <c r="P7376">
        <v>0</v>
      </c>
      <c r="Q7376">
        <v>4</v>
      </c>
      <c r="R7376" t="s">
        <v>47431</v>
      </c>
      <c r="S7376" t="s">
        <v>47565</v>
      </c>
      <c r="T7376" t="s">
        <v>49111</v>
      </c>
      <c r="U7376" t="s">
        <v>50885</v>
      </c>
      <c r="W7376" t="s">
        <v>43662</v>
      </c>
      <c r="X7376" t="s">
        <v>47432</v>
      </c>
    </row>
    <row r="7377" spans="1:24">
      <c r="A7377">
        <f>HYPERLINK("https://www.philgeps.gov.ph/GEPSNONPILOT/Tender/SplashBidNoticeAbstractUI.aspx?menuIndex=3&amp;refID=7157664&amp;Result=3","7157664")</f>
        <v>0</v>
      </c>
      <c r="B7377" t="s">
        <v>2536</v>
      </c>
      <c r="C7377" t="s">
        <v>10839</v>
      </c>
      <c r="D7377" t="s">
        <v>19045</v>
      </c>
      <c r="E7377" t="s">
        <v>25518</v>
      </c>
      <c r="F7377" t="s">
        <v>32831</v>
      </c>
      <c r="G7377" t="s">
        <v>32838</v>
      </c>
      <c r="H7377" t="s">
        <v>32848</v>
      </c>
      <c r="I7377" t="s">
        <v>5667</v>
      </c>
      <c r="J7377" t="s">
        <v>33178</v>
      </c>
      <c r="K7377" t="s">
        <v>42726</v>
      </c>
      <c r="M7377" t="s">
        <v>45746</v>
      </c>
      <c r="N7377" t="s">
        <v>47424</v>
      </c>
      <c r="O7377" t="s">
        <v>47425</v>
      </c>
      <c r="P7377">
        <v>0</v>
      </c>
      <c r="Q7377">
        <v>1</v>
      </c>
      <c r="R7377" t="s">
        <v>47431</v>
      </c>
      <c r="S7377" t="s">
        <v>47565</v>
      </c>
      <c r="T7377" t="s">
        <v>49478</v>
      </c>
      <c r="U7377" t="s">
        <v>55855</v>
      </c>
      <c r="W7377" t="s">
        <v>45746</v>
      </c>
      <c r="X7377" t="s">
        <v>47432</v>
      </c>
    </row>
    <row r="7378" spans="1:24">
      <c r="A7378">
        <f>HYPERLINK("https://www.philgeps.gov.ph/GEPSNONPILOT/Tender/SplashBidNoticeAbstractUI.aspx?menuIndex=3&amp;refID=7157695&amp;Result=3","7157695")</f>
        <v>0</v>
      </c>
      <c r="B7378" t="s">
        <v>663</v>
      </c>
      <c r="C7378" t="s">
        <v>10840</v>
      </c>
      <c r="D7378" t="s">
        <v>19026</v>
      </c>
      <c r="E7378" t="s">
        <v>25519</v>
      </c>
      <c r="F7378" t="s">
        <v>32831</v>
      </c>
      <c r="G7378" t="s">
        <v>32840</v>
      </c>
      <c r="H7378" t="s">
        <v>32848</v>
      </c>
      <c r="I7378" t="s">
        <v>32864</v>
      </c>
      <c r="J7378" t="s">
        <v>37603</v>
      </c>
      <c r="K7378" t="s">
        <v>42732</v>
      </c>
      <c r="M7378" t="s">
        <v>43681</v>
      </c>
      <c r="N7378" t="s">
        <v>47424</v>
      </c>
      <c r="O7378" t="s">
        <v>47425</v>
      </c>
      <c r="P7378">
        <v>0</v>
      </c>
      <c r="Q7378">
        <v>5</v>
      </c>
      <c r="R7378" t="s">
        <v>47431</v>
      </c>
      <c r="S7378" t="s">
        <v>47565</v>
      </c>
      <c r="T7378" t="s">
        <v>49235</v>
      </c>
      <c r="U7378" t="s">
        <v>49728</v>
      </c>
      <c r="W7378" t="s">
        <v>43681</v>
      </c>
      <c r="X7378" t="s">
        <v>47432</v>
      </c>
    </row>
    <row r="7379" spans="1:24">
      <c r="A7379">
        <f>HYPERLINK("https://www.philgeps.gov.ph/GEPSNONPILOT/Tender/SplashBidNoticeAbstractUI.aspx?menuIndex=3&amp;refID=7157692&amp;Result=3","7157692")</f>
        <v>0</v>
      </c>
      <c r="B7379" t="s">
        <v>1722</v>
      </c>
      <c r="C7379" t="s">
        <v>10841</v>
      </c>
      <c r="D7379" t="s">
        <v>19091</v>
      </c>
      <c r="E7379" t="s">
        <v>25520</v>
      </c>
      <c r="F7379" t="s">
        <v>32831</v>
      </c>
      <c r="G7379" t="s">
        <v>32838</v>
      </c>
      <c r="H7379" t="s">
        <v>32848</v>
      </c>
      <c r="I7379" t="s">
        <v>32852</v>
      </c>
      <c r="J7379" t="s">
        <v>35961</v>
      </c>
      <c r="K7379" t="s">
        <v>42731</v>
      </c>
      <c r="M7379" t="s">
        <v>44845</v>
      </c>
      <c r="N7379" t="s">
        <v>47424</v>
      </c>
      <c r="O7379" t="s">
        <v>47425</v>
      </c>
      <c r="P7379">
        <v>0</v>
      </c>
      <c r="Q7379">
        <v>1</v>
      </c>
      <c r="R7379" t="s">
        <v>47431</v>
      </c>
      <c r="S7379" t="s">
        <v>47565</v>
      </c>
      <c r="T7379" t="s">
        <v>49111</v>
      </c>
      <c r="U7379" t="s">
        <v>55856</v>
      </c>
      <c r="W7379" t="s">
        <v>44845</v>
      </c>
      <c r="X7379" t="s">
        <v>47432</v>
      </c>
    </row>
    <row r="7380" spans="1:24">
      <c r="A7380">
        <f>HYPERLINK("https://www.philgeps.gov.ph/GEPSNONPILOT/Tender/SplashBidNoticeAbstractUI.aspx?menuIndex=3&amp;refID=7157694&amp;Result=3","7157694")</f>
        <v>0</v>
      </c>
      <c r="B7380" t="s">
        <v>1524</v>
      </c>
      <c r="C7380" t="s">
        <v>10842</v>
      </c>
      <c r="D7380" t="s">
        <v>19017</v>
      </c>
      <c r="E7380" t="s">
        <v>25521</v>
      </c>
      <c r="F7380" t="s">
        <v>32831</v>
      </c>
      <c r="G7380" t="s">
        <v>32842</v>
      </c>
      <c r="H7380" t="s">
        <v>32848</v>
      </c>
      <c r="I7380" t="s">
        <v>4438</v>
      </c>
      <c r="J7380" t="s">
        <v>33203</v>
      </c>
      <c r="K7380" t="s">
        <v>42726</v>
      </c>
      <c r="M7380" t="s">
        <v>44627</v>
      </c>
      <c r="N7380" t="s">
        <v>47424</v>
      </c>
      <c r="O7380" t="s">
        <v>47425</v>
      </c>
      <c r="P7380">
        <v>0</v>
      </c>
      <c r="Q7380">
        <v>12</v>
      </c>
      <c r="R7380" t="s">
        <v>47431</v>
      </c>
      <c r="S7380" t="s">
        <v>47565</v>
      </c>
      <c r="T7380" t="s">
        <v>49116</v>
      </c>
      <c r="U7380" t="s">
        <v>55857</v>
      </c>
      <c r="W7380" t="s">
        <v>44627</v>
      </c>
      <c r="X7380" t="s">
        <v>47432</v>
      </c>
    </row>
    <row r="7381" spans="1:24">
      <c r="A7381">
        <f>HYPERLINK("https://www.philgeps.gov.ph/GEPSNONPILOT/Tender/SplashBidNoticeAbstractUI.aspx?menuIndex=3&amp;refID=7157686&amp;Result=3","7157686")</f>
        <v>0</v>
      </c>
      <c r="B7381" t="s">
        <v>316</v>
      </c>
      <c r="C7381" t="s">
        <v>10843</v>
      </c>
      <c r="D7381" t="s">
        <v>19023</v>
      </c>
      <c r="E7381" t="s">
        <v>25522</v>
      </c>
      <c r="F7381" t="s">
        <v>32831</v>
      </c>
      <c r="G7381" t="s">
        <v>32838</v>
      </c>
      <c r="H7381" t="s">
        <v>32848</v>
      </c>
      <c r="I7381" t="s">
        <v>32864</v>
      </c>
      <c r="J7381" t="s">
        <v>37604</v>
      </c>
      <c r="K7381" t="s">
        <v>42730</v>
      </c>
      <c r="M7381" t="s">
        <v>43795</v>
      </c>
      <c r="N7381" t="s">
        <v>47424</v>
      </c>
      <c r="O7381" t="s">
        <v>47425</v>
      </c>
      <c r="P7381">
        <v>0</v>
      </c>
      <c r="Q7381">
        <v>3</v>
      </c>
      <c r="R7381" t="s">
        <v>47431</v>
      </c>
      <c r="S7381" t="s">
        <v>47565</v>
      </c>
      <c r="T7381" t="s">
        <v>49056</v>
      </c>
      <c r="U7381" t="s">
        <v>51090</v>
      </c>
      <c r="V7381" t="s">
        <v>62802</v>
      </c>
      <c r="W7381" t="s">
        <v>43795</v>
      </c>
      <c r="X7381" t="s">
        <v>47432</v>
      </c>
    </row>
    <row r="7382" spans="1:24">
      <c r="A7382">
        <f>HYPERLINK("https://www.philgeps.gov.ph/GEPSNONPILOT/Tender/SplashBidNoticeAbstractUI.aspx?menuIndex=3&amp;refID=7157684&amp;Result=3","7157684")</f>
        <v>0</v>
      </c>
      <c r="B7382" t="s">
        <v>2537</v>
      </c>
      <c r="C7382" t="s">
        <v>10844</v>
      </c>
      <c r="D7382" t="s">
        <v>19045</v>
      </c>
      <c r="E7382" t="s">
        <v>25523</v>
      </c>
      <c r="F7382" t="s">
        <v>32831</v>
      </c>
      <c r="G7382" t="s">
        <v>32839</v>
      </c>
      <c r="H7382" t="s">
        <v>32848</v>
      </c>
      <c r="I7382" t="s">
        <v>32941</v>
      </c>
      <c r="J7382" t="s">
        <v>37605</v>
      </c>
      <c r="K7382" t="s">
        <v>42761</v>
      </c>
      <c r="M7382" t="s">
        <v>45747</v>
      </c>
      <c r="N7382" t="s">
        <v>47424</v>
      </c>
      <c r="O7382" t="s">
        <v>47425</v>
      </c>
      <c r="P7382">
        <v>0</v>
      </c>
      <c r="Q7382">
        <v>2</v>
      </c>
      <c r="R7382" t="s">
        <v>47431</v>
      </c>
      <c r="S7382" t="s">
        <v>47565</v>
      </c>
      <c r="T7382" t="s">
        <v>49077</v>
      </c>
      <c r="U7382" t="s">
        <v>55858</v>
      </c>
      <c r="W7382" t="s">
        <v>45747</v>
      </c>
      <c r="X7382" t="s">
        <v>47432</v>
      </c>
    </row>
    <row r="7383" spans="1:24">
      <c r="A7383">
        <f>HYPERLINK("https://www.philgeps.gov.ph/GEPSNONPILOT/Tender/SplashBidNoticeAbstractUI.aspx?menuIndex=3&amp;refID=7157696&amp;Result=3","7157696")</f>
        <v>0</v>
      </c>
      <c r="B7383" t="s">
        <v>648</v>
      </c>
      <c r="C7383" t="s">
        <v>10845</v>
      </c>
      <c r="D7383" t="s">
        <v>19044</v>
      </c>
      <c r="E7383" t="s">
        <v>25524</v>
      </c>
      <c r="F7383" t="s">
        <v>32831</v>
      </c>
      <c r="G7383" t="s">
        <v>32838</v>
      </c>
      <c r="H7383" t="s">
        <v>32848</v>
      </c>
      <c r="I7383" t="s">
        <v>11727</v>
      </c>
      <c r="J7383" t="s">
        <v>33606</v>
      </c>
      <c r="K7383" t="s">
        <v>42730</v>
      </c>
      <c r="M7383" t="s">
        <v>43665</v>
      </c>
      <c r="N7383" t="s">
        <v>47424</v>
      </c>
      <c r="O7383" t="s">
        <v>47425</v>
      </c>
      <c r="P7383">
        <v>0</v>
      </c>
      <c r="Q7383">
        <v>0</v>
      </c>
      <c r="R7383" t="s">
        <v>47431</v>
      </c>
      <c r="S7383" t="s">
        <v>47565</v>
      </c>
      <c r="T7383" t="s">
        <v>49205</v>
      </c>
      <c r="U7383" t="s">
        <v>55859</v>
      </c>
      <c r="W7383" t="s">
        <v>43665</v>
      </c>
      <c r="X7383" t="s">
        <v>47432</v>
      </c>
    </row>
    <row r="7384" spans="1:24">
      <c r="A7384">
        <f>HYPERLINK("https://www.philgeps.gov.ph/GEPSNONPILOT/Tender/SplashBidNoticeAbstractUI.aspx?menuIndex=3&amp;refID=7157683&amp;Result=3","7157683")</f>
        <v>0</v>
      </c>
      <c r="B7384" t="s">
        <v>1048</v>
      </c>
      <c r="C7384" t="s">
        <v>10846</v>
      </c>
      <c r="D7384" t="s">
        <v>19017</v>
      </c>
      <c r="E7384" t="s">
        <v>25525</v>
      </c>
      <c r="F7384" t="s">
        <v>32831</v>
      </c>
      <c r="G7384" t="s">
        <v>32840</v>
      </c>
      <c r="H7384" t="s">
        <v>32848</v>
      </c>
      <c r="I7384" t="s">
        <v>32860</v>
      </c>
      <c r="J7384" t="s">
        <v>33930</v>
      </c>
      <c r="K7384" t="s">
        <v>42727</v>
      </c>
      <c r="M7384" t="s">
        <v>44104</v>
      </c>
      <c r="N7384" t="s">
        <v>47424</v>
      </c>
      <c r="O7384" t="s">
        <v>47425</v>
      </c>
      <c r="P7384">
        <v>0</v>
      </c>
      <c r="Q7384">
        <v>2</v>
      </c>
      <c r="R7384" t="s">
        <v>47431</v>
      </c>
      <c r="S7384" t="s">
        <v>47565</v>
      </c>
      <c r="T7384" t="s">
        <v>49166</v>
      </c>
      <c r="U7384" t="s">
        <v>55860</v>
      </c>
      <c r="W7384" t="s">
        <v>44104</v>
      </c>
      <c r="X7384" t="s">
        <v>47432</v>
      </c>
    </row>
    <row r="7385" spans="1:24">
      <c r="A7385">
        <f>HYPERLINK("https://www.philgeps.gov.ph/GEPSNONPILOT/Tender/SplashBidNoticeAbstractUI.aspx?menuIndex=3&amp;refID=7157678&amp;Result=3","7157678")</f>
        <v>0</v>
      </c>
      <c r="B7385" t="s">
        <v>455</v>
      </c>
      <c r="C7385" t="s">
        <v>10847</v>
      </c>
      <c r="D7385" t="s">
        <v>19023</v>
      </c>
      <c r="E7385" t="s">
        <v>25526</v>
      </c>
      <c r="F7385" t="s">
        <v>32831</v>
      </c>
      <c r="G7385" t="s">
        <v>32838</v>
      </c>
      <c r="H7385" t="s">
        <v>32848</v>
      </c>
      <c r="I7385" t="s">
        <v>7819</v>
      </c>
      <c r="J7385" t="s">
        <v>37606</v>
      </c>
      <c r="K7385" t="s">
        <v>42726</v>
      </c>
      <c r="M7385" t="s">
        <v>43460</v>
      </c>
      <c r="N7385" t="s">
        <v>47424</v>
      </c>
      <c r="O7385" t="s">
        <v>47425</v>
      </c>
      <c r="P7385">
        <v>0</v>
      </c>
      <c r="Q7385">
        <v>1</v>
      </c>
      <c r="R7385" t="s">
        <v>47431</v>
      </c>
      <c r="S7385" t="s">
        <v>47565</v>
      </c>
      <c r="T7385" t="s">
        <v>49061</v>
      </c>
      <c r="U7385" t="s">
        <v>50288</v>
      </c>
      <c r="W7385" t="s">
        <v>43460</v>
      </c>
      <c r="X7385" t="s">
        <v>47432</v>
      </c>
    </row>
    <row r="7386" spans="1:24">
      <c r="A7386">
        <f>HYPERLINK("https://www.philgeps.gov.ph/GEPSNONPILOT/Tender/SplashBidNoticeAbstractUI.aspx?menuIndex=3&amp;refID=7157691&amp;Result=3","7157691")</f>
        <v>0</v>
      </c>
      <c r="B7386" t="s">
        <v>911</v>
      </c>
      <c r="C7386" t="s">
        <v>10848</v>
      </c>
      <c r="D7386" t="s">
        <v>19049</v>
      </c>
      <c r="E7386" t="s">
        <v>25527</v>
      </c>
      <c r="F7386" t="s">
        <v>32831</v>
      </c>
      <c r="G7386" t="s">
        <v>32838</v>
      </c>
      <c r="H7386" t="s">
        <v>32848</v>
      </c>
      <c r="I7386" t="s">
        <v>4776</v>
      </c>
      <c r="J7386" t="s">
        <v>37607</v>
      </c>
      <c r="K7386" t="s">
        <v>42727</v>
      </c>
      <c r="M7386" t="s">
        <v>43951</v>
      </c>
      <c r="N7386" t="s">
        <v>47424</v>
      </c>
      <c r="O7386" t="s">
        <v>47425</v>
      </c>
      <c r="P7386">
        <v>0</v>
      </c>
      <c r="Q7386">
        <v>0</v>
      </c>
      <c r="R7386" t="s">
        <v>47431</v>
      </c>
      <c r="S7386" t="s">
        <v>47565</v>
      </c>
      <c r="T7386" t="s">
        <v>49056</v>
      </c>
      <c r="U7386" t="s">
        <v>51540</v>
      </c>
      <c r="W7386" t="s">
        <v>43951</v>
      </c>
      <c r="X7386" t="s">
        <v>47432</v>
      </c>
    </row>
    <row r="7387" spans="1:24">
      <c r="A7387">
        <f>HYPERLINK("https://www.philgeps.gov.ph/GEPSNONPILOT/Tender/SplashBidNoticeAbstractUI.aspx?menuIndex=3&amp;refID=7157675&amp;Result=3","7157675")</f>
        <v>0</v>
      </c>
      <c r="B7387" t="s">
        <v>2538</v>
      </c>
      <c r="C7387" t="s">
        <v>10849</v>
      </c>
      <c r="D7387" t="s">
        <v>19045</v>
      </c>
      <c r="E7387" t="s">
        <v>25528</v>
      </c>
      <c r="F7387" t="s">
        <v>32831</v>
      </c>
      <c r="G7387" t="s">
        <v>32840</v>
      </c>
      <c r="H7387" t="s">
        <v>32848</v>
      </c>
      <c r="I7387" t="s">
        <v>7416</v>
      </c>
      <c r="J7387" t="s">
        <v>33292</v>
      </c>
      <c r="K7387" t="s">
        <v>42731</v>
      </c>
      <c r="M7387" t="s">
        <v>45748</v>
      </c>
      <c r="N7387" t="s">
        <v>47424</v>
      </c>
      <c r="O7387" t="s">
        <v>47425</v>
      </c>
      <c r="P7387">
        <v>0</v>
      </c>
      <c r="Q7387">
        <v>0</v>
      </c>
      <c r="R7387" t="s">
        <v>47431</v>
      </c>
      <c r="S7387" t="s">
        <v>47565</v>
      </c>
      <c r="T7387" t="s">
        <v>49114</v>
      </c>
      <c r="U7387" t="s">
        <v>55861</v>
      </c>
      <c r="W7387" t="s">
        <v>45748</v>
      </c>
      <c r="X7387" t="s">
        <v>47432</v>
      </c>
    </row>
    <row r="7388" spans="1:24">
      <c r="A7388">
        <f>HYPERLINK("https://www.philgeps.gov.ph/GEPSNONPILOT/Tender/SplashBidNoticeAbstractUI.aspx?menuIndex=3&amp;refID=7157673&amp;Result=3","7157673")</f>
        <v>0</v>
      </c>
      <c r="B7388" t="s">
        <v>2539</v>
      </c>
      <c r="C7388" t="s">
        <v>10850</v>
      </c>
      <c r="D7388" t="s">
        <v>19041</v>
      </c>
      <c r="E7388" t="s">
        <v>25529</v>
      </c>
      <c r="F7388" t="s">
        <v>32831</v>
      </c>
      <c r="G7388" t="s">
        <v>32839</v>
      </c>
      <c r="H7388" t="s">
        <v>32849</v>
      </c>
      <c r="I7388" t="s">
        <v>4177</v>
      </c>
      <c r="J7388" t="s">
        <v>33044</v>
      </c>
      <c r="K7388" t="s">
        <v>42766</v>
      </c>
      <c r="M7388" t="s">
        <v>45749</v>
      </c>
      <c r="N7388" t="s">
        <v>47424</v>
      </c>
      <c r="O7388" t="s">
        <v>47425</v>
      </c>
      <c r="P7388">
        <v>0</v>
      </c>
      <c r="Q7388">
        <v>0</v>
      </c>
      <c r="R7388" t="s">
        <v>47431</v>
      </c>
      <c r="S7388" t="s">
        <v>47565</v>
      </c>
      <c r="T7388" t="s">
        <v>49057</v>
      </c>
      <c r="U7388" t="s">
        <v>55862</v>
      </c>
      <c r="W7388" t="s">
        <v>45749</v>
      </c>
      <c r="X7388" t="s">
        <v>47432</v>
      </c>
    </row>
    <row r="7389" spans="1:24">
      <c r="A7389">
        <f>HYPERLINK("https://www.philgeps.gov.ph/GEPSNONPILOT/Tender/SplashBidNoticeAbstractUI.aspx?menuIndex=3&amp;refID=7157669&amp;Result=3","7157669")</f>
        <v>0</v>
      </c>
      <c r="B7389" t="s">
        <v>114</v>
      </c>
      <c r="C7389" t="s">
        <v>10851</v>
      </c>
      <c r="D7389" t="s">
        <v>19050</v>
      </c>
      <c r="E7389" t="s">
        <v>25530</v>
      </c>
      <c r="F7389" t="s">
        <v>32831</v>
      </c>
      <c r="G7389" t="s">
        <v>32838</v>
      </c>
      <c r="H7389" t="s">
        <v>32848</v>
      </c>
      <c r="I7389" t="s">
        <v>32856</v>
      </c>
      <c r="J7389" t="s">
        <v>37608</v>
      </c>
      <c r="K7389" t="s">
        <v>42727</v>
      </c>
      <c r="L7389" t="s">
        <v>114</v>
      </c>
      <c r="M7389" t="s">
        <v>43111</v>
      </c>
      <c r="N7389" t="s">
        <v>47424</v>
      </c>
      <c r="O7389" t="s">
        <v>47425</v>
      </c>
      <c r="P7389">
        <v>0</v>
      </c>
      <c r="Q7389">
        <v>0</v>
      </c>
      <c r="R7389" t="s">
        <v>47431</v>
      </c>
      <c r="S7389" t="s">
        <v>47565</v>
      </c>
      <c r="T7389" t="s">
        <v>49229</v>
      </c>
      <c r="U7389" t="s">
        <v>49824</v>
      </c>
      <c r="W7389" t="s">
        <v>43111</v>
      </c>
      <c r="X7389" t="s">
        <v>47432</v>
      </c>
    </row>
    <row r="7390" spans="1:24">
      <c r="A7390">
        <f>HYPERLINK("https://www.philgeps.gov.ph/GEPSNONPILOT/Tender/SplashBidNoticeAbstractUI.aspx?menuIndex=3&amp;refID=7157668&amp;Result=3","7157668")</f>
        <v>0</v>
      </c>
      <c r="B7390" t="s">
        <v>1214</v>
      </c>
      <c r="C7390" t="s">
        <v>10852</v>
      </c>
      <c r="D7390" t="s">
        <v>19038</v>
      </c>
      <c r="E7390" t="s">
        <v>23008</v>
      </c>
      <c r="F7390" t="s">
        <v>32831</v>
      </c>
      <c r="G7390" t="s">
        <v>32842</v>
      </c>
      <c r="H7390" t="s">
        <v>32850</v>
      </c>
      <c r="I7390" t="s">
        <v>5379</v>
      </c>
      <c r="J7390" t="s">
        <v>34344</v>
      </c>
      <c r="K7390" t="s">
        <v>42731</v>
      </c>
      <c r="M7390" t="s">
        <v>44282</v>
      </c>
      <c r="N7390" t="s">
        <v>47424</v>
      </c>
      <c r="O7390" t="s">
        <v>47425</v>
      </c>
      <c r="P7390">
        <v>0</v>
      </c>
      <c r="Q7390">
        <v>0</v>
      </c>
      <c r="R7390" t="s">
        <v>47431</v>
      </c>
      <c r="S7390" t="s">
        <v>47565</v>
      </c>
      <c r="T7390" t="s">
        <v>49237</v>
      </c>
      <c r="U7390" t="s">
        <v>55863</v>
      </c>
      <c r="W7390" t="s">
        <v>44282</v>
      </c>
      <c r="X7390" t="s">
        <v>47432</v>
      </c>
    </row>
    <row r="7391" spans="1:24">
      <c r="A7391">
        <f>HYPERLINK("https://www.philgeps.gov.ph/GEPSNONPILOT/Tender/SplashBidNoticeAbstractUI.aspx?menuIndex=3&amp;refID=7157377&amp;Result=3","7157377")</f>
        <v>0</v>
      </c>
      <c r="B7391" t="s">
        <v>2540</v>
      </c>
      <c r="C7391" t="s">
        <v>10853</v>
      </c>
      <c r="D7391" t="s">
        <v>19026</v>
      </c>
      <c r="E7391" t="s">
        <v>25531</v>
      </c>
      <c r="F7391" t="s">
        <v>32831</v>
      </c>
      <c r="G7391" t="s">
        <v>32839</v>
      </c>
      <c r="H7391" t="s">
        <v>32849</v>
      </c>
      <c r="I7391" t="s">
        <v>4177</v>
      </c>
      <c r="J7391" t="s">
        <v>37609</v>
      </c>
      <c r="K7391" t="s">
        <v>42729</v>
      </c>
      <c r="M7391" t="s">
        <v>45750</v>
      </c>
      <c r="N7391" t="s">
        <v>47424</v>
      </c>
      <c r="O7391" t="s">
        <v>47425</v>
      </c>
      <c r="P7391">
        <v>0</v>
      </c>
      <c r="Q7391">
        <v>2</v>
      </c>
      <c r="R7391" t="s">
        <v>47431</v>
      </c>
      <c r="S7391" t="s">
        <v>47565</v>
      </c>
      <c r="T7391" t="s">
        <v>49160</v>
      </c>
      <c r="U7391" t="s">
        <v>55864</v>
      </c>
      <c r="W7391" t="s">
        <v>45750</v>
      </c>
      <c r="X7391" t="s">
        <v>47432</v>
      </c>
    </row>
    <row r="7392" spans="1:24">
      <c r="A7392">
        <f>HYPERLINK("https://www.philgeps.gov.ph/GEPSNONPILOT/Tender/SplashBidNoticeAbstractUI.aspx?menuIndex=3&amp;refID=7157376&amp;Result=3","7157376")</f>
        <v>0</v>
      </c>
      <c r="B7392" t="s">
        <v>43</v>
      </c>
      <c r="C7392" t="s">
        <v>10854</v>
      </c>
      <c r="D7392" t="s">
        <v>19032</v>
      </c>
      <c r="E7392" t="s">
        <v>25532</v>
      </c>
      <c r="F7392" t="s">
        <v>32831</v>
      </c>
      <c r="G7392" t="s">
        <v>32839</v>
      </c>
      <c r="H7392" t="s">
        <v>32849</v>
      </c>
      <c r="I7392" t="s">
        <v>4177</v>
      </c>
      <c r="J7392" t="s">
        <v>33118</v>
      </c>
      <c r="K7392" t="s">
        <v>42730</v>
      </c>
      <c r="M7392" t="s">
        <v>43040</v>
      </c>
      <c r="N7392" t="s">
        <v>47424</v>
      </c>
      <c r="O7392" t="s">
        <v>47425</v>
      </c>
      <c r="P7392">
        <v>0</v>
      </c>
      <c r="Q7392">
        <v>0</v>
      </c>
      <c r="R7392" t="s">
        <v>47431</v>
      </c>
      <c r="S7392" t="s">
        <v>47565</v>
      </c>
      <c r="T7392" t="s">
        <v>49479</v>
      </c>
      <c r="U7392" t="s">
        <v>55865</v>
      </c>
      <c r="W7392" t="s">
        <v>43040</v>
      </c>
      <c r="X7392" t="s">
        <v>47432</v>
      </c>
    </row>
    <row r="7393" spans="1:24">
      <c r="A7393">
        <f>HYPERLINK("https://www.philgeps.gov.ph/GEPSNONPILOT/Tender/SplashBidNoticeAbstractUI.aspx?menuIndex=3&amp;refID=7158731&amp;Result=3","7158731")</f>
        <v>0</v>
      </c>
      <c r="B7393" t="s">
        <v>1665</v>
      </c>
      <c r="C7393" t="s">
        <v>10855</v>
      </c>
      <c r="D7393" t="s">
        <v>19095</v>
      </c>
      <c r="E7393" t="s">
        <v>25533</v>
      </c>
      <c r="F7393" t="s">
        <v>32831</v>
      </c>
      <c r="G7393" t="s">
        <v>32840</v>
      </c>
      <c r="H7393" t="s">
        <v>32848</v>
      </c>
      <c r="I7393" t="s">
        <v>32862</v>
      </c>
      <c r="J7393" t="s">
        <v>37610</v>
      </c>
      <c r="K7393" t="s">
        <v>42732</v>
      </c>
      <c r="M7393" t="s">
        <v>44782</v>
      </c>
      <c r="N7393" t="s">
        <v>47424</v>
      </c>
      <c r="O7393" t="s">
        <v>47425</v>
      </c>
      <c r="P7393">
        <v>0</v>
      </c>
      <c r="Q7393">
        <v>0</v>
      </c>
      <c r="R7393" t="s">
        <v>47430</v>
      </c>
      <c r="S7393" t="s">
        <v>47549</v>
      </c>
      <c r="T7393" t="s">
        <v>49073</v>
      </c>
      <c r="U7393" t="s">
        <v>55866</v>
      </c>
      <c r="W7393" t="s">
        <v>64483</v>
      </c>
      <c r="X7393" t="s">
        <v>47431</v>
      </c>
    </row>
    <row r="7394" spans="1:24">
      <c r="A7394">
        <f>HYPERLINK("https://www.philgeps.gov.ph/GEPSNONPILOT/Tender/SplashBidNoticeAbstractUI.aspx?menuIndex=3&amp;refID=7157670&amp;Result=3","7157670")</f>
        <v>0</v>
      </c>
      <c r="B7394" t="s">
        <v>2541</v>
      </c>
      <c r="C7394" t="s">
        <v>10856</v>
      </c>
      <c r="D7394" t="s">
        <v>19089</v>
      </c>
      <c r="E7394" t="s">
        <v>19763</v>
      </c>
      <c r="F7394" t="s">
        <v>32831</v>
      </c>
      <c r="G7394" t="s">
        <v>32839</v>
      </c>
      <c r="H7394" t="s">
        <v>32849</v>
      </c>
      <c r="I7394" t="s">
        <v>32890</v>
      </c>
      <c r="J7394" t="s">
        <v>37611</v>
      </c>
      <c r="K7394" t="s">
        <v>42731</v>
      </c>
      <c r="M7394" t="s">
        <v>45751</v>
      </c>
      <c r="N7394" t="s">
        <v>47424</v>
      </c>
      <c r="O7394" t="s">
        <v>47425</v>
      </c>
      <c r="P7394">
        <v>0</v>
      </c>
      <c r="Q7394">
        <v>1</v>
      </c>
      <c r="R7394" t="s">
        <v>47431</v>
      </c>
      <c r="S7394" t="s">
        <v>47565</v>
      </c>
      <c r="T7394" t="s">
        <v>49056</v>
      </c>
      <c r="U7394" t="s">
        <v>55867</v>
      </c>
      <c r="W7394" t="s">
        <v>45751</v>
      </c>
      <c r="X7394" t="s">
        <v>47432</v>
      </c>
    </row>
    <row r="7395" spans="1:24">
      <c r="A7395">
        <f>HYPERLINK("https://www.philgeps.gov.ph/GEPSNONPILOT/Tender/SplashBidNoticeAbstractUI.aspx?menuIndex=3&amp;refID=7157744&amp;Result=3","7157744")</f>
        <v>0</v>
      </c>
      <c r="B7395" t="s">
        <v>823</v>
      </c>
      <c r="C7395" t="s">
        <v>10857</v>
      </c>
      <c r="D7395" t="s">
        <v>19062</v>
      </c>
      <c r="E7395" t="s">
        <v>25534</v>
      </c>
      <c r="F7395" t="s">
        <v>32831</v>
      </c>
      <c r="G7395" t="s">
        <v>32838</v>
      </c>
      <c r="H7395" t="s">
        <v>32848</v>
      </c>
      <c r="I7395" t="s">
        <v>6526</v>
      </c>
      <c r="J7395" t="s">
        <v>33041</v>
      </c>
      <c r="K7395" t="s">
        <v>42726</v>
      </c>
      <c r="M7395" t="s">
        <v>45752</v>
      </c>
      <c r="N7395" t="s">
        <v>47424</v>
      </c>
      <c r="O7395" t="s">
        <v>47425</v>
      </c>
      <c r="P7395">
        <v>0</v>
      </c>
      <c r="Q7395">
        <v>1</v>
      </c>
      <c r="R7395" t="s">
        <v>47431</v>
      </c>
      <c r="S7395" t="s">
        <v>47565</v>
      </c>
      <c r="T7395" t="s">
        <v>49237</v>
      </c>
      <c r="U7395" t="s">
        <v>55868</v>
      </c>
      <c r="W7395" t="s">
        <v>45752</v>
      </c>
      <c r="X7395" t="s">
        <v>47432</v>
      </c>
    </row>
    <row r="7396" spans="1:24">
      <c r="A7396">
        <f>HYPERLINK("https://www.philgeps.gov.ph/GEPSNONPILOT/Tender/SplashBidNoticeAbstractUI.aspx?menuIndex=3&amp;refID=7157693&amp;Result=3","7157693")</f>
        <v>0</v>
      </c>
      <c r="B7396" t="s">
        <v>2542</v>
      </c>
      <c r="C7396" t="s">
        <v>10858</v>
      </c>
      <c r="D7396" t="s">
        <v>19031</v>
      </c>
      <c r="E7396" t="s">
        <v>25535</v>
      </c>
      <c r="F7396" t="s">
        <v>32831</v>
      </c>
      <c r="G7396" t="s">
        <v>32839</v>
      </c>
      <c r="H7396" t="s">
        <v>32848</v>
      </c>
      <c r="I7396" t="s">
        <v>32878</v>
      </c>
      <c r="J7396" t="s">
        <v>33087</v>
      </c>
      <c r="K7396" t="s">
        <v>42730</v>
      </c>
      <c r="M7396" t="s">
        <v>45753</v>
      </c>
      <c r="N7396" t="s">
        <v>47424</v>
      </c>
      <c r="O7396" t="s">
        <v>47425</v>
      </c>
      <c r="P7396">
        <v>0</v>
      </c>
      <c r="Q7396">
        <v>0</v>
      </c>
      <c r="R7396" t="s">
        <v>47431</v>
      </c>
      <c r="S7396" t="s">
        <v>47565</v>
      </c>
      <c r="T7396" t="s">
        <v>49080</v>
      </c>
      <c r="U7396" t="s">
        <v>55869</v>
      </c>
      <c r="W7396" t="s">
        <v>45753</v>
      </c>
      <c r="X7396" t="s">
        <v>47432</v>
      </c>
    </row>
    <row r="7397" spans="1:24">
      <c r="A7397">
        <f>HYPERLINK("https://www.philgeps.gov.ph/GEPSNONPILOT/Tender/SplashBidNoticeAbstractUI.aspx?menuIndex=3&amp;refID=7157375&amp;Result=3","7157375")</f>
        <v>0</v>
      </c>
      <c r="B7397" t="s">
        <v>312</v>
      </c>
      <c r="C7397" t="s">
        <v>10859</v>
      </c>
      <c r="D7397" t="s">
        <v>19018</v>
      </c>
      <c r="E7397" t="s">
        <v>25536</v>
      </c>
      <c r="F7397" t="s">
        <v>32831</v>
      </c>
      <c r="G7397" t="s">
        <v>32838</v>
      </c>
      <c r="H7397" t="s">
        <v>32848</v>
      </c>
      <c r="I7397" t="s">
        <v>7416</v>
      </c>
      <c r="J7397" t="s">
        <v>37612</v>
      </c>
      <c r="K7397" t="s">
        <v>42730</v>
      </c>
      <c r="M7397" t="s">
        <v>43314</v>
      </c>
      <c r="N7397" t="s">
        <v>47424</v>
      </c>
      <c r="O7397" t="s">
        <v>47425</v>
      </c>
      <c r="P7397">
        <v>0</v>
      </c>
      <c r="Q7397">
        <v>0</v>
      </c>
      <c r="R7397" t="s">
        <v>47431</v>
      </c>
      <c r="S7397" t="s">
        <v>47565</v>
      </c>
      <c r="T7397" t="s">
        <v>49212</v>
      </c>
      <c r="U7397" t="s">
        <v>50225</v>
      </c>
      <c r="W7397" t="s">
        <v>43314</v>
      </c>
      <c r="X7397" t="s">
        <v>47432</v>
      </c>
    </row>
    <row r="7398" spans="1:24">
      <c r="A7398">
        <f>HYPERLINK("https://www.philgeps.gov.ph/GEPSNONPILOT/Tender/SplashBidNoticeAbstractUI.aspx?menuIndex=3&amp;refID=7157732&amp;Result=3","7157732")</f>
        <v>0</v>
      </c>
      <c r="B7398" t="s">
        <v>823</v>
      </c>
      <c r="C7398" t="s">
        <v>10860</v>
      </c>
      <c r="D7398" t="s">
        <v>19062</v>
      </c>
      <c r="E7398" t="s">
        <v>25537</v>
      </c>
      <c r="F7398" t="s">
        <v>32831</v>
      </c>
      <c r="G7398" t="s">
        <v>32838</v>
      </c>
      <c r="H7398" t="s">
        <v>32848</v>
      </c>
      <c r="I7398" t="s">
        <v>4487</v>
      </c>
      <c r="J7398" t="s">
        <v>34095</v>
      </c>
      <c r="K7398" t="s">
        <v>42726</v>
      </c>
      <c r="M7398" t="s">
        <v>45752</v>
      </c>
      <c r="N7398" t="s">
        <v>47424</v>
      </c>
      <c r="O7398" t="s">
        <v>47425</v>
      </c>
      <c r="P7398">
        <v>0</v>
      </c>
      <c r="Q7398">
        <v>1</v>
      </c>
      <c r="R7398" t="s">
        <v>47431</v>
      </c>
      <c r="S7398" t="s">
        <v>47565</v>
      </c>
      <c r="T7398" t="s">
        <v>49237</v>
      </c>
      <c r="U7398" t="s">
        <v>55868</v>
      </c>
      <c r="W7398" t="s">
        <v>45752</v>
      </c>
      <c r="X7398" t="s">
        <v>47432</v>
      </c>
    </row>
    <row r="7399" spans="1:24">
      <c r="A7399">
        <f>HYPERLINK("https://www.philgeps.gov.ph/GEPSNONPILOT/Tender/SplashBidNoticeAbstractUI.aspx?menuIndex=3&amp;refID=7157685&amp;Result=3","7157685")</f>
        <v>0</v>
      </c>
      <c r="B7399" t="s">
        <v>804</v>
      </c>
      <c r="C7399" t="s">
        <v>10861</v>
      </c>
      <c r="D7399" t="s">
        <v>19041</v>
      </c>
      <c r="E7399" t="s">
        <v>25538</v>
      </c>
      <c r="F7399" t="s">
        <v>32831</v>
      </c>
      <c r="G7399" t="s">
        <v>32840</v>
      </c>
      <c r="H7399" t="s">
        <v>32848</v>
      </c>
      <c r="I7399" t="s">
        <v>4776</v>
      </c>
      <c r="J7399" t="s">
        <v>33562</v>
      </c>
      <c r="K7399" t="s">
        <v>42731</v>
      </c>
      <c r="M7399" t="s">
        <v>43835</v>
      </c>
      <c r="N7399" t="s">
        <v>47424</v>
      </c>
      <c r="O7399" t="s">
        <v>47425</v>
      </c>
      <c r="P7399">
        <v>0</v>
      </c>
      <c r="Q7399">
        <v>0</v>
      </c>
      <c r="R7399" t="s">
        <v>47431</v>
      </c>
      <c r="S7399" t="s">
        <v>47565</v>
      </c>
      <c r="T7399" t="s">
        <v>49061</v>
      </c>
      <c r="U7399" t="s">
        <v>55870</v>
      </c>
      <c r="W7399" t="s">
        <v>43835</v>
      </c>
      <c r="X7399" t="s">
        <v>47432</v>
      </c>
    </row>
    <row r="7400" spans="1:24">
      <c r="A7400">
        <f>HYPERLINK("https://www.philgeps.gov.ph/GEPSNONPILOT/Tender/SplashBidNoticeAbstractUI.aspx?menuIndex=3&amp;refID=7157731&amp;Result=3","7157731")</f>
        <v>0</v>
      </c>
      <c r="B7400" t="s">
        <v>1722</v>
      </c>
      <c r="C7400" t="s">
        <v>10862</v>
      </c>
      <c r="D7400" t="s">
        <v>19091</v>
      </c>
      <c r="E7400" t="s">
        <v>25539</v>
      </c>
      <c r="F7400" t="s">
        <v>32831</v>
      </c>
      <c r="G7400" t="s">
        <v>32838</v>
      </c>
      <c r="H7400" t="s">
        <v>32848</v>
      </c>
      <c r="I7400" t="s">
        <v>32863</v>
      </c>
      <c r="J7400" t="s">
        <v>33072</v>
      </c>
      <c r="K7400" t="s">
        <v>42748</v>
      </c>
      <c r="M7400" t="s">
        <v>44845</v>
      </c>
      <c r="N7400" t="s">
        <v>47424</v>
      </c>
      <c r="O7400" t="s">
        <v>47425</v>
      </c>
      <c r="P7400">
        <v>0</v>
      </c>
      <c r="Q7400">
        <v>0</v>
      </c>
      <c r="R7400" t="s">
        <v>47431</v>
      </c>
      <c r="S7400" t="s">
        <v>47565</v>
      </c>
      <c r="T7400" t="s">
        <v>49111</v>
      </c>
      <c r="U7400" t="s">
        <v>55871</v>
      </c>
      <c r="W7400" t="s">
        <v>44845</v>
      </c>
      <c r="X7400" t="s">
        <v>47432</v>
      </c>
    </row>
    <row r="7401" spans="1:24">
      <c r="A7401">
        <f>HYPERLINK("https://www.philgeps.gov.ph/GEPSNONPILOT/Tender/SplashBidNoticeAbstractUI.aspx?menuIndex=3&amp;refID=7157728&amp;Result=3","7157728")</f>
        <v>0</v>
      </c>
      <c r="B7401" t="s">
        <v>2204</v>
      </c>
      <c r="C7401" t="s">
        <v>10863</v>
      </c>
      <c r="D7401" t="s">
        <v>19021</v>
      </c>
      <c r="E7401" t="s">
        <v>25540</v>
      </c>
      <c r="F7401" t="s">
        <v>32831</v>
      </c>
      <c r="G7401" t="s">
        <v>32838</v>
      </c>
      <c r="H7401" t="s">
        <v>32848</v>
      </c>
      <c r="I7401" t="s">
        <v>32911</v>
      </c>
      <c r="J7401" t="s">
        <v>33007</v>
      </c>
      <c r="K7401" t="s">
        <v>42730</v>
      </c>
      <c r="M7401" t="s">
        <v>45384</v>
      </c>
      <c r="N7401" t="s">
        <v>47424</v>
      </c>
      <c r="O7401" t="s">
        <v>47425</v>
      </c>
      <c r="P7401">
        <v>0</v>
      </c>
      <c r="Q7401">
        <v>0</v>
      </c>
      <c r="R7401" t="s">
        <v>47431</v>
      </c>
      <c r="S7401" t="s">
        <v>47565</v>
      </c>
      <c r="T7401" t="s">
        <v>49415</v>
      </c>
      <c r="U7401" t="s">
        <v>55872</v>
      </c>
      <c r="W7401" t="s">
        <v>45384</v>
      </c>
      <c r="X7401" t="s">
        <v>47432</v>
      </c>
    </row>
    <row r="7402" spans="1:24">
      <c r="A7402">
        <f>HYPERLINK("https://www.philgeps.gov.ph/GEPSNONPILOT/Tender/SplashBidNoticeAbstractUI.aspx?menuIndex=3&amp;refID=7157742&amp;Result=3","7157742")</f>
        <v>0</v>
      </c>
      <c r="B7402" t="s">
        <v>228</v>
      </c>
      <c r="C7402" t="s">
        <v>10864</v>
      </c>
      <c r="D7402" t="s">
        <v>19033</v>
      </c>
      <c r="E7402" t="s">
        <v>25541</v>
      </c>
      <c r="F7402" t="s">
        <v>32831</v>
      </c>
      <c r="G7402" t="s">
        <v>32838</v>
      </c>
      <c r="H7402" t="s">
        <v>32848</v>
      </c>
      <c r="I7402" t="s">
        <v>32863</v>
      </c>
      <c r="J7402" t="s">
        <v>37207</v>
      </c>
      <c r="K7402" t="s">
        <v>42730</v>
      </c>
      <c r="M7402" t="s">
        <v>43791</v>
      </c>
      <c r="N7402" t="s">
        <v>47424</v>
      </c>
      <c r="O7402" t="s">
        <v>47425</v>
      </c>
      <c r="P7402">
        <v>0</v>
      </c>
      <c r="Q7402">
        <v>3</v>
      </c>
      <c r="R7402" t="s">
        <v>47431</v>
      </c>
      <c r="S7402" t="s">
        <v>47565</v>
      </c>
      <c r="T7402" t="s">
        <v>49124</v>
      </c>
      <c r="U7402" t="s">
        <v>55873</v>
      </c>
      <c r="W7402" t="s">
        <v>43791</v>
      </c>
      <c r="X7402" t="s">
        <v>47432</v>
      </c>
    </row>
    <row r="7403" spans="1:24">
      <c r="A7403">
        <f>HYPERLINK("https://www.philgeps.gov.ph/GEPSNONPILOT/Tender/SplashBidNoticeAbstractUI.aspx?menuIndex=3&amp;refID=7157721&amp;Result=3","7157721")</f>
        <v>0</v>
      </c>
      <c r="B7403" t="s">
        <v>2426</v>
      </c>
      <c r="C7403" t="s">
        <v>10865</v>
      </c>
      <c r="D7403" t="s">
        <v>19019</v>
      </c>
      <c r="E7403" t="s">
        <v>25542</v>
      </c>
      <c r="F7403" t="s">
        <v>32831</v>
      </c>
      <c r="G7403" t="s">
        <v>32839</v>
      </c>
      <c r="H7403" t="s">
        <v>32850</v>
      </c>
      <c r="I7403" t="s">
        <v>32895</v>
      </c>
      <c r="J7403" t="s">
        <v>37613</v>
      </c>
      <c r="K7403" t="s">
        <v>42747</v>
      </c>
      <c r="M7403" t="s">
        <v>45623</v>
      </c>
      <c r="N7403" t="s">
        <v>47424</v>
      </c>
      <c r="O7403" t="s">
        <v>47425</v>
      </c>
      <c r="P7403">
        <v>0</v>
      </c>
      <c r="Q7403">
        <v>3</v>
      </c>
      <c r="R7403" t="s">
        <v>47431</v>
      </c>
      <c r="S7403" t="s">
        <v>47565</v>
      </c>
      <c r="T7403" t="s">
        <v>49301</v>
      </c>
      <c r="U7403" t="s">
        <v>55423</v>
      </c>
      <c r="V7403" t="s">
        <v>63431</v>
      </c>
      <c r="W7403" t="s">
        <v>45623</v>
      </c>
      <c r="X7403" t="s">
        <v>47432</v>
      </c>
    </row>
    <row r="7404" spans="1:24">
      <c r="A7404">
        <f>HYPERLINK("https://www.philgeps.gov.ph/GEPSNONPILOT/Tender/SplashBidNoticeAbstractUI.aspx?menuIndex=3&amp;refID=7157720&amp;Result=3","7157720")</f>
        <v>0</v>
      </c>
      <c r="B7404" t="s">
        <v>316</v>
      </c>
      <c r="C7404" t="s">
        <v>10866</v>
      </c>
      <c r="D7404" t="s">
        <v>19023</v>
      </c>
      <c r="E7404" t="s">
        <v>21737</v>
      </c>
      <c r="F7404" t="s">
        <v>32831</v>
      </c>
      <c r="G7404" t="s">
        <v>32838</v>
      </c>
      <c r="H7404" t="s">
        <v>32848</v>
      </c>
      <c r="I7404" t="s">
        <v>10805</v>
      </c>
      <c r="J7404" t="s">
        <v>37614</v>
      </c>
      <c r="K7404" t="s">
        <v>42730</v>
      </c>
      <c r="M7404" t="s">
        <v>43795</v>
      </c>
      <c r="N7404" t="s">
        <v>47424</v>
      </c>
      <c r="O7404" t="s">
        <v>47425</v>
      </c>
      <c r="P7404">
        <v>0</v>
      </c>
      <c r="Q7404">
        <v>1</v>
      </c>
      <c r="R7404" t="s">
        <v>47431</v>
      </c>
      <c r="S7404" t="s">
        <v>47565</v>
      </c>
      <c r="T7404" t="s">
        <v>49056</v>
      </c>
      <c r="U7404" t="s">
        <v>51090</v>
      </c>
      <c r="V7404" t="s">
        <v>62802</v>
      </c>
      <c r="W7404" t="s">
        <v>43795</v>
      </c>
      <c r="X7404" t="s">
        <v>47432</v>
      </c>
    </row>
    <row r="7405" spans="1:24">
      <c r="A7405">
        <f>HYPERLINK("https://www.philgeps.gov.ph/GEPSNONPILOT/Tender/SplashBidNoticeAbstractUI.aspx?menuIndex=3&amp;refID=7157717&amp;Result=3","7157717")</f>
        <v>0</v>
      </c>
      <c r="B7405" t="s">
        <v>2543</v>
      </c>
      <c r="C7405" t="s">
        <v>10867</v>
      </c>
      <c r="D7405" t="s">
        <v>19075</v>
      </c>
      <c r="E7405" t="s">
        <v>25350</v>
      </c>
      <c r="F7405" t="s">
        <v>32831</v>
      </c>
      <c r="G7405" t="s">
        <v>32839</v>
      </c>
      <c r="H7405" t="s">
        <v>32848</v>
      </c>
      <c r="I7405" t="s">
        <v>32916</v>
      </c>
      <c r="J7405" t="s">
        <v>32978</v>
      </c>
      <c r="K7405" t="s">
        <v>42730</v>
      </c>
      <c r="M7405" t="s">
        <v>45754</v>
      </c>
      <c r="N7405" t="s">
        <v>47424</v>
      </c>
      <c r="O7405" t="s">
        <v>47425</v>
      </c>
      <c r="P7405">
        <v>0</v>
      </c>
      <c r="Q7405">
        <v>4</v>
      </c>
      <c r="R7405" t="s">
        <v>47431</v>
      </c>
      <c r="S7405" t="s">
        <v>47565</v>
      </c>
      <c r="T7405" t="s">
        <v>49123</v>
      </c>
      <c r="U7405" t="s">
        <v>55874</v>
      </c>
      <c r="V7405" t="s">
        <v>63449</v>
      </c>
      <c r="W7405" t="s">
        <v>45754</v>
      </c>
      <c r="X7405" t="s">
        <v>47432</v>
      </c>
    </row>
    <row r="7406" spans="1:24">
      <c r="A7406">
        <f>HYPERLINK("https://www.philgeps.gov.ph/GEPSNONPILOT/Tender/SplashBidNoticeAbstractUI.aspx?menuIndex=3&amp;refID=7157788&amp;Result=3","7157788")</f>
        <v>0</v>
      </c>
      <c r="B7406" t="s">
        <v>316</v>
      </c>
      <c r="C7406" t="s">
        <v>5790</v>
      </c>
      <c r="D7406" t="s">
        <v>19023</v>
      </c>
      <c r="E7406" t="s">
        <v>25543</v>
      </c>
      <c r="F7406" t="s">
        <v>32831</v>
      </c>
      <c r="G7406" t="s">
        <v>32838</v>
      </c>
      <c r="H7406" t="s">
        <v>32848</v>
      </c>
      <c r="I7406" t="s">
        <v>4438</v>
      </c>
      <c r="J7406" t="s">
        <v>37615</v>
      </c>
      <c r="K7406" t="s">
        <v>42730</v>
      </c>
      <c r="M7406" t="s">
        <v>43795</v>
      </c>
      <c r="N7406" t="s">
        <v>47424</v>
      </c>
      <c r="O7406" t="s">
        <v>47425</v>
      </c>
      <c r="P7406">
        <v>0</v>
      </c>
      <c r="Q7406">
        <v>1</v>
      </c>
      <c r="R7406" t="s">
        <v>47431</v>
      </c>
      <c r="S7406" t="s">
        <v>47565</v>
      </c>
      <c r="T7406" t="s">
        <v>49056</v>
      </c>
      <c r="U7406" t="s">
        <v>51090</v>
      </c>
      <c r="V7406" t="s">
        <v>62802</v>
      </c>
      <c r="W7406" t="s">
        <v>43795</v>
      </c>
      <c r="X7406" t="s">
        <v>47432</v>
      </c>
    </row>
    <row r="7407" spans="1:24">
      <c r="A7407">
        <f>HYPERLINK("https://www.philgeps.gov.ph/GEPSNONPILOT/Tender/SplashBidNoticeAbstractUI.aspx?menuIndex=3&amp;refID=7157727&amp;Result=3","7157727")</f>
        <v>0</v>
      </c>
      <c r="B7407" t="s">
        <v>1233</v>
      </c>
      <c r="C7407" t="s">
        <v>10868</v>
      </c>
      <c r="D7407" t="s">
        <v>19036</v>
      </c>
      <c r="E7407" t="s">
        <v>25544</v>
      </c>
      <c r="F7407" t="s">
        <v>32831</v>
      </c>
      <c r="G7407" t="s">
        <v>32839</v>
      </c>
      <c r="H7407" t="s">
        <v>32848</v>
      </c>
      <c r="I7407" t="s">
        <v>32881</v>
      </c>
      <c r="J7407" t="s">
        <v>33812</v>
      </c>
      <c r="K7407" t="s">
        <v>42791</v>
      </c>
      <c r="M7407" t="s">
        <v>44302</v>
      </c>
      <c r="N7407" t="s">
        <v>47424</v>
      </c>
      <c r="O7407" t="s">
        <v>47425</v>
      </c>
      <c r="P7407">
        <v>0</v>
      </c>
      <c r="Q7407">
        <v>2</v>
      </c>
      <c r="R7407" t="s">
        <v>47431</v>
      </c>
      <c r="S7407" t="s">
        <v>47565</v>
      </c>
      <c r="T7407" t="s">
        <v>49291</v>
      </c>
      <c r="U7407" t="s">
        <v>55875</v>
      </c>
      <c r="W7407" t="s">
        <v>44302</v>
      </c>
      <c r="X7407" t="s">
        <v>47432</v>
      </c>
    </row>
    <row r="7408" spans="1:24">
      <c r="A7408">
        <f>HYPERLINK("https://www.philgeps.gov.ph/GEPSNONPILOT/Tender/SplashBidNoticeAbstractUI.aspx?menuIndex=3&amp;refID=7157680&amp;Result=3","7157680")</f>
        <v>0</v>
      </c>
      <c r="B7408" t="s">
        <v>2370</v>
      </c>
      <c r="C7408" t="s">
        <v>10869</v>
      </c>
      <c r="D7408" t="s">
        <v>19077</v>
      </c>
      <c r="E7408" t="s">
        <v>19476</v>
      </c>
      <c r="F7408" t="s">
        <v>32831</v>
      </c>
      <c r="G7408" t="s">
        <v>32840</v>
      </c>
      <c r="H7408" t="s">
        <v>32848</v>
      </c>
      <c r="I7408" t="s">
        <v>32855</v>
      </c>
      <c r="J7408" t="s">
        <v>37616</v>
      </c>
      <c r="K7408" t="s">
        <v>42730</v>
      </c>
      <c r="M7408" t="s">
        <v>45560</v>
      </c>
      <c r="N7408" t="s">
        <v>47424</v>
      </c>
      <c r="O7408" t="s">
        <v>47425</v>
      </c>
      <c r="P7408">
        <v>0</v>
      </c>
      <c r="Q7408">
        <v>0</v>
      </c>
      <c r="R7408" t="s">
        <v>47431</v>
      </c>
      <c r="S7408" t="s">
        <v>47565</v>
      </c>
      <c r="T7408" t="s">
        <v>49214</v>
      </c>
      <c r="U7408" t="s">
        <v>55876</v>
      </c>
      <c r="V7408" t="s">
        <v>63359</v>
      </c>
      <c r="W7408" t="s">
        <v>45560</v>
      </c>
      <c r="X7408" t="s">
        <v>47432</v>
      </c>
    </row>
    <row r="7409" spans="1:24">
      <c r="A7409">
        <f>HYPERLINK("https://www.philgeps.gov.ph/GEPSNONPILOT/Tender/SplashBidNoticeAbstractUI.aspx?menuIndex=3&amp;refID=7157738&amp;Result=3","7157738")</f>
        <v>0</v>
      </c>
      <c r="B7409" t="s">
        <v>2544</v>
      </c>
      <c r="C7409" t="s">
        <v>4226</v>
      </c>
      <c r="D7409" t="s">
        <v>19043</v>
      </c>
      <c r="E7409" t="s">
        <v>19888</v>
      </c>
      <c r="F7409" t="s">
        <v>32831</v>
      </c>
      <c r="G7409" t="s">
        <v>32842</v>
      </c>
      <c r="H7409" t="s">
        <v>32848</v>
      </c>
      <c r="I7409" t="s">
        <v>9577</v>
      </c>
      <c r="J7409" t="s">
        <v>37617</v>
      </c>
      <c r="K7409" t="s">
        <v>42726</v>
      </c>
      <c r="M7409" t="s">
        <v>45755</v>
      </c>
      <c r="N7409" t="s">
        <v>47424</v>
      </c>
      <c r="O7409" t="s">
        <v>47425</v>
      </c>
      <c r="P7409">
        <v>0</v>
      </c>
      <c r="Q7409">
        <v>3</v>
      </c>
      <c r="R7409" t="s">
        <v>47431</v>
      </c>
      <c r="S7409" t="s">
        <v>47565</v>
      </c>
      <c r="T7409" t="s">
        <v>49079</v>
      </c>
      <c r="U7409" t="s">
        <v>55877</v>
      </c>
      <c r="W7409" t="s">
        <v>45755</v>
      </c>
      <c r="X7409" t="s">
        <v>47432</v>
      </c>
    </row>
    <row r="7410" spans="1:24">
      <c r="A7410">
        <f>HYPERLINK("https://www.philgeps.gov.ph/GEPSNONPILOT/Tender/SplashBidNoticeAbstractUI.aspx?menuIndex=3&amp;refID=7157785&amp;Result=3","7157785")</f>
        <v>0</v>
      </c>
      <c r="B7410" t="s">
        <v>823</v>
      </c>
      <c r="C7410" t="s">
        <v>10870</v>
      </c>
      <c r="D7410" t="s">
        <v>19062</v>
      </c>
      <c r="E7410" t="s">
        <v>25545</v>
      </c>
      <c r="F7410" t="s">
        <v>32831</v>
      </c>
      <c r="G7410" t="s">
        <v>32838</v>
      </c>
      <c r="H7410" t="s">
        <v>32848</v>
      </c>
      <c r="I7410" t="s">
        <v>32859</v>
      </c>
      <c r="J7410" t="s">
        <v>37618</v>
      </c>
      <c r="K7410" t="s">
        <v>42726</v>
      </c>
      <c r="M7410" t="s">
        <v>45752</v>
      </c>
      <c r="N7410" t="s">
        <v>47424</v>
      </c>
      <c r="O7410" t="s">
        <v>47425</v>
      </c>
      <c r="P7410">
        <v>0</v>
      </c>
      <c r="Q7410">
        <v>5</v>
      </c>
      <c r="R7410" t="s">
        <v>47431</v>
      </c>
      <c r="S7410" t="s">
        <v>47565</v>
      </c>
      <c r="T7410" t="s">
        <v>49237</v>
      </c>
      <c r="U7410" t="s">
        <v>55868</v>
      </c>
      <c r="W7410" t="s">
        <v>45752</v>
      </c>
      <c r="X7410" t="s">
        <v>47432</v>
      </c>
    </row>
    <row r="7411" spans="1:24">
      <c r="A7411">
        <f>HYPERLINK("https://www.philgeps.gov.ph/GEPSNONPILOT/Tender/SplashBidNoticeAbstractUI.aspx?menuIndex=3&amp;refID=7157780&amp;Result=3","7157780")</f>
        <v>0</v>
      </c>
      <c r="B7411" t="s">
        <v>623</v>
      </c>
      <c r="C7411" t="s">
        <v>10871</v>
      </c>
      <c r="D7411" t="s">
        <v>19042</v>
      </c>
      <c r="E7411" t="s">
        <v>25546</v>
      </c>
      <c r="F7411" t="s">
        <v>32831</v>
      </c>
      <c r="G7411" t="s">
        <v>32839</v>
      </c>
      <c r="H7411" t="s">
        <v>32848</v>
      </c>
      <c r="I7411" t="s">
        <v>11484</v>
      </c>
      <c r="J7411" t="s">
        <v>32985</v>
      </c>
      <c r="K7411" t="s">
        <v>42730</v>
      </c>
      <c r="M7411" t="s">
        <v>43639</v>
      </c>
      <c r="N7411" t="s">
        <v>47424</v>
      </c>
      <c r="O7411" t="s">
        <v>47425</v>
      </c>
      <c r="P7411">
        <v>0</v>
      </c>
      <c r="Q7411">
        <v>3</v>
      </c>
      <c r="R7411" t="s">
        <v>47431</v>
      </c>
      <c r="S7411" t="s">
        <v>47565</v>
      </c>
      <c r="T7411" t="s">
        <v>49198</v>
      </c>
      <c r="U7411" t="s">
        <v>55878</v>
      </c>
      <c r="W7411" t="s">
        <v>43639</v>
      </c>
      <c r="X7411" t="s">
        <v>47432</v>
      </c>
    </row>
    <row r="7412" spans="1:24">
      <c r="A7412">
        <f>HYPERLINK("https://www.philgeps.gov.ph/GEPSNONPILOT/Tender/SplashBidNoticeAbstractUI.aspx?menuIndex=3&amp;refID=7157699&amp;Result=3","7157699")</f>
        <v>0</v>
      </c>
      <c r="B7412" t="s">
        <v>114</v>
      </c>
      <c r="C7412" t="s">
        <v>10872</v>
      </c>
      <c r="D7412" t="s">
        <v>19050</v>
      </c>
      <c r="E7412" t="s">
        <v>25547</v>
      </c>
      <c r="F7412" t="s">
        <v>32831</v>
      </c>
      <c r="G7412" t="s">
        <v>32838</v>
      </c>
      <c r="H7412" t="s">
        <v>32848</v>
      </c>
      <c r="I7412" t="s">
        <v>32856</v>
      </c>
      <c r="J7412" t="s">
        <v>33510</v>
      </c>
      <c r="K7412" t="s">
        <v>42731</v>
      </c>
      <c r="L7412" t="s">
        <v>114</v>
      </c>
      <c r="M7412" t="s">
        <v>43111</v>
      </c>
      <c r="N7412" t="s">
        <v>47424</v>
      </c>
      <c r="O7412" t="s">
        <v>47425</v>
      </c>
      <c r="P7412">
        <v>0</v>
      </c>
      <c r="Q7412">
        <v>0</v>
      </c>
      <c r="R7412" t="s">
        <v>47431</v>
      </c>
      <c r="S7412" t="s">
        <v>47565</v>
      </c>
      <c r="T7412" t="s">
        <v>49229</v>
      </c>
      <c r="U7412" t="s">
        <v>49824</v>
      </c>
      <c r="W7412" t="s">
        <v>43111</v>
      </c>
      <c r="X7412" t="s">
        <v>47432</v>
      </c>
    </row>
    <row r="7413" spans="1:24">
      <c r="A7413">
        <f>HYPERLINK("https://www.philgeps.gov.ph/GEPSNONPILOT/Tender/SplashBidNoticeAbstractUI.aspx?menuIndex=3&amp;refID=7157745&amp;Result=3","7157745")</f>
        <v>0</v>
      </c>
      <c r="B7413" t="s">
        <v>2539</v>
      </c>
      <c r="C7413" t="s">
        <v>10873</v>
      </c>
      <c r="D7413" t="s">
        <v>19041</v>
      </c>
      <c r="E7413" t="s">
        <v>25548</v>
      </c>
      <c r="F7413" t="s">
        <v>32831</v>
      </c>
      <c r="G7413" t="s">
        <v>32839</v>
      </c>
      <c r="H7413" t="s">
        <v>32849</v>
      </c>
      <c r="I7413" t="s">
        <v>4177</v>
      </c>
      <c r="J7413" t="s">
        <v>33257</v>
      </c>
      <c r="K7413" t="s">
        <v>42780</v>
      </c>
      <c r="M7413" t="s">
        <v>45749</v>
      </c>
      <c r="N7413" t="s">
        <v>47424</v>
      </c>
      <c r="O7413" t="s">
        <v>47425</v>
      </c>
      <c r="P7413">
        <v>0</v>
      </c>
      <c r="Q7413">
        <v>0</v>
      </c>
      <c r="R7413" t="s">
        <v>47431</v>
      </c>
      <c r="S7413" t="s">
        <v>47565</v>
      </c>
      <c r="T7413" t="s">
        <v>49057</v>
      </c>
      <c r="U7413" t="s">
        <v>55862</v>
      </c>
      <c r="W7413" t="s">
        <v>45749</v>
      </c>
      <c r="X7413" t="s">
        <v>47432</v>
      </c>
    </row>
    <row r="7414" spans="1:24">
      <c r="A7414">
        <f>HYPERLINK("https://www.philgeps.gov.ph/GEPSNONPILOT/Tender/SplashBidNoticeAbstractUI.aspx?menuIndex=3&amp;refID=7157774&amp;Result=3","7157774")</f>
        <v>0</v>
      </c>
      <c r="B7414" t="s">
        <v>2000</v>
      </c>
      <c r="C7414" t="s">
        <v>10874</v>
      </c>
      <c r="D7414" t="s">
        <v>19081</v>
      </c>
      <c r="E7414" t="s">
        <v>25549</v>
      </c>
      <c r="F7414" t="s">
        <v>32831</v>
      </c>
      <c r="G7414" t="s">
        <v>32839</v>
      </c>
      <c r="H7414" t="s">
        <v>32848</v>
      </c>
      <c r="I7414" t="s">
        <v>7416</v>
      </c>
      <c r="J7414" t="s">
        <v>37619</v>
      </c>
      <c r="K7414" t="s">
        <v>42727</v>
      </c>
      <c r="M7414" t="s">
        <v>45167</v>
      </c>
      <c r="N7414" t="s">
        <v>47424</v>
      </c>
      <c r="O7414" t="s">
        <v>47425</v>
      </c>
      <c r="P7414">
        <v>0</v>
      </c>
      <c r="Q7414">
        <v>2</v>
      </c>
      <c r="R7414" t="s">
        <v>47431</v>
      </c>
      <c r="S7414" t="s">
        <v>47565</v>
      </c>
      <c r="T7414" t="s">
        <v>49291</v>
      </c>
      <c r="U7414" t="s">
        <v>54228</v>
      </c>
      <c r="W7414" t="s">
        <v>45167</v>
      </c>
      <c r="X7414" t="s">
        <v>47432</v>
      </c>
    </row>
    <row r="7415" spans="1:24">
      <c r="A7415">
        <f>HYPERLINK("https://www.philgeps.gov.ph/GEPSNONPILOT/Tender/SplashBidNoticeAbstractUI.aspx?menuIndex=3&amp;refID=7157773&amp;Result=3","7157773")</f>
        <v>0</v>
      </c>
      <c r="B7415" t="s">
        <v>832</v>
      </c>
      <c r="C7415" t="s">
        <v>10875</v>
      </c>
      <c r="D7415" t="s">
        <v>19101</v>
      </c>
      <c r="E7415" t="s">
        <v>25550</v>
      </c>
      <c r="F7415" t="s">
        <v>32831</v>
      </c>
      <c r="G7415" t="s">
        <v>32839</v>
      </c>
      <c r="H7415" t="s">
        <v>32848</v>
      </c>
      <c r="I7415" t="s">
        <v>32925</v>
      </c>
      <c r="J7415" t="s">
        <v>37620</v>
      </c>
      <c r="K7415" t="s">
        <v>42763</v>
      </c>
      <c r="M7415" t="s">
        <v>44445</v>
      </c>
      <c r="N7415" t="s">
        <v>47424</v>
      </c>
      <c r="O7415" t="s">
        <v>47425</v>
      </c>
      <c r="Q7415">
        <v>4</v>
      </c>
      <c r="R7415" t="s">
        <v>47431</v>
      </c>
      <c r="S7415" t="s">
        <v>47586</v>
      </c>
      <c r="T7415" t="s">
        <v>49338</v>
      </c>
      <c r="U7415" t="s">
        <v>55643</v>
      </c>
      <c r="V7415" t="s">
        <v>63231</v>
      </c>
      <c r="W7415" t="s">
        <v>44445</v>
      </c>
      <c r="X7415" t="s">
        <v>47432</v>
      </c>
    </row>
    <row r="7416" spans="1:24">
      <c r="A7416">
        <f>HYPERLINK("https://www.philgeps.gov.ph/GEPSNONPILOT/Tender/SplashBidNoticeAbstractUI.aspx?menuIndex=3&amp;refID=7157772&amp;Result=3","7157772")</f>
        <v>0</v>
      </c>
      <c r="B7416" t="s">
        <v>1722</v>
      </c>
      <c r="C7416" t="s">
        <v>10876</v>
      </c>
      <c r="D7416" t="s">
        <v>19091</v>
      </c>
      <c r="E7416" t="s">
        <v>25551</v>
      </c>
      <c r="F7416" t="s">
        <v>32831</v>
      </c>
      <c r="G7416" t="s">
        <v>32838</v>
      </c>
      <c r="H7416" t="s">
        <v>32848</v>
      </c>
      <c r="I7416" t="s">
        <v>32863</v>
      </c>
      <c r="J7416" t="s">
        <v>32978</v>
      </c>
      <c r="K7416" t="s">
        <v>42748</v>
      </c>
      <c r="M7416" t="s">
        <v>44845</v>
      </c>
      <c r="N7416" t="s">
        <v>47424</v>
      </c>
      <c r="O7416" t="s">
        <v>47425</v>
      </c>
      <c r="P7416">
        <v>0</v>
      </c>
      <c r="Q7416">
        <v>0</v>
      </c>
      <c r="R7416" t="s">
        <v>47431</v>
      </c>
      <c r="S7416" t="s">
        <v>47565</v>
      </c>
      <c r="T7416" t="s">
        <v>49111</v>
      </c>
      <c r="U7416" t="s">
        <v>55879</v>
      </c>
      <c r="W7416" t="s">
        <v>44845</v>
      </c>
      <c r="X7416" t="s">
        <v>47432</v>
      </c>
    </row>
    <row r="7417" spans="1:24">
      <c r="A7417">
        <f>HYPERLINK("https://www.philgeps.gov.ph/GEPSNONPILOT/Tender/SplashBidNoticeAbstractUI.aspx?menuIndex=3&amp;refID=7157767&amp;Result=3","7157767")</f>
        <v>0</v>
      </c>
      <c r="B7417" t="s">
        <v>744</v>
      </c>
      <c r="C7417" t="s">
        <v>10877</v>
      </c>
      <c r="D7417" t="s">
        <v>19017</v>
      </c>
      <c r="E7417" t="s">
        <v>25552</v>
      </c>
      <c r="F7417" t="s">
        <v>32831</v>
      </c>
      <c r="G7417" t="s">
        <v>32838</v>
      </c>
      <c r="H7417" t="s">
        <v>32848</v>
      </c>
      <c r="I7417" t="s">
        <v>32862</v>
      </c>
      <c r="J7417" t="s">
        <v>37621</v>
      </c>
      <c r="K7417" t="s">
        <v>42726</v>
      </c>
      <c r="M7417" t="s">
        <v>44219</v>
      </c>
      <c r="N7417" t="s">
        <v>47424</v>
      </c>
      <c r="O7417" t="s">
        <v>47425</v>
      </c>
      <c r="P7417">
        <v>0</v>
      </c>
      <c r="Q7417">
        <v>0</v>
      </c>
      <c r="R7417" t="s">
        <v>47431</v>
      </c>
      <c r="S7417" t="s">
        <v>47565</v>
      </c>
      <c r="T7417" t="s">
        <v>49237</v>
      </c>
      <c r="U7417" t="s">
        <v>55880</v>
      </c>
      <c r="W7417" t="s">
        <v>44219</v>
      </c>
      <c r="X7417" t="s">
        <v>47432</v>
      </c>
    </row>
    <row r="7418" spans="1:24">
      <c r="A7418">
        <f>HYPERLINK("https://www.philgeps.gov.ph/GEPSNONPILOT/Tender/SplashBidNoticeAbstractUI.aspx?menuIndex=3&amp;refID=7157776&amp;Result=3","7157776")</f>
        <v>0</v>
      </c>
      <c r="B7418" t="s">
        <v>2545</v>
      </c>
      <c r="C7418" t="s">
        <v>10878</v>
      </c>
      <c r="D7418" t="s">
        <v>19059</v>
      </c>
      <c r="E7418" t="s">
        <v>25553</v>
      </c>
      <c r="F7418" t="s">
        <v>32831</v>
      </c>
      <c r="G7418" t="s">
        <v>32838</v>
      </c>
      <c r="H7418" t="s">
        <v>32848</v>
      </c>
      <c r="I7418" t="s">
        <v>32905</v>
      </c>
      <c r="J7418" t="s">
        <v>37622</v>
      </c>
      <c r="K7418" t="s">
        <v>42774</v>
      </c>
      <c r="M7418" t="s">
        <v>45756</v>
      </c>
      <c r="N7418" t="s">
        <v>47424</v>
      </c>
      <c r="O7418" t="s">
        <v>47425</v>
      </c>
      <c r="P7418">
        <v>0</v>
      </c>
      <c r="Q7418">
        <v>2</v>
      </c>
      <c r="R7418" t="s">
        <v>47431</v>
      </c>
      <c r="S7418" t="s">
        <v>47565</v>
      </c>
      <c r="T7418" t="s">
        <v>49163</v>
      </c>
      <c r="U7418" t="s">
        <v>55881</v>
      </c>
      <c r="W7418" t="s">
        <v>45756</v>
      </c>
      <c r="X7418" t="s">
        <v>47432</v>
      </c>
    </row>
    <row r="7419" spans="1:24">
      <c r="A7419">
        <f>HYPERLINK("https://www.philgeps.gov.ph/GEPSNONPILOT/Tender/SplashBidNoticeAbstractUI.aspx?menuIndex=3&amp;refID=7157766&amp;Result=3","7157766")</f>
        <v>0</v>
      </c>
      <c r="B7419" t="s">
        <v>912</v>
      </c>
      <c r="C7419" t="s">
        <v>10879</v>
      </c>
      <c r="D7419" t="s">
        <v>19070</v>
      </c>
      <c r="E7419" t="s">
        <v>24669</v>
      </c>
      <c r="F7419" t="s">
        <v>32831</v>
      </c>
      <c r="G7419" t="s">
        <v>32839</v>
      </c>
      <c r="H7419" t="s">
        <v>32848</v>
      </c>
      <c r="I7419" t="s">
        <v>32853</v>
      </c>
      <c r="J7419" t="s">
        <v>33644</v>
      </c>
      <c r="K7419" t="s">
        <v>42759</v>
      </c>
      <c r="M7419" t="s">
        <v>43952</v>
      </c>
      <c r="N7419" t="s">
        <v>47424</v>
      </c>
      <c r="O7419" t="s">
        <v>47425</v>
      </c>
      <c r="P7419">
        <v>0</v>
      </c>
      <c r="Q7419">
        <v>2</v>
      </c>
      <c r="R7419" t="s">
        <v>47431</v>
      </c>
      <c r="S7419" t="s">
        <v>47565</v>
      </c>
      <c r="T7419" t="s">
        <v>49476</v>
      </c>
      <c r="U7419" t="s">
        <v>55765</v>
      </c>
      <c r="W7419" t="s">
        <v>43952</v>
      </c>
      <c r="X7419" t="s">
        <v>47432</v>
      </c>
    </row>
    <row r="7420" spans="1:24">
      <c r="A7420">
        <f>HYPERLINK("https://www.philgeps.gov.ph/GEPSNONPILOT/Tender/SplashBidNoticeAbstractUI.aspx?menuIndex=3&amp;refID=7157763&amp;Result=3","7157763")</f>
        <v>0</v>
      </c>
      <c r="B7420" t="s">
        <v>823</v>
      </c>
      <c r="C7420" t="s">
        <v>10880</v>
      </c>
      <c r="D7420" t="s">
        <v>19062</v>
      </c>
      <c r="E7420" t="s">
        <v>25554</v>
      </c>
      <c r="F7420" t="s">
        <v>32831</v>
      </c>
      <c r="G7420" t="s">
        <v>32838</v>
      </c>
      <c r="H7420" t="s">
        <v>32848</v>
      </c>
      <c r="I7420" t="s">
        <v>4558</v>
      </c>
      <c r="J7420" t="s">
        <v>37623</v>
      </c>
      <c r="K7420" t="s">
        <v>42726</v>
      </c>
      <c r="M7420" t="s">
        <v>45752</v>
      </c>
      <c r="N7420" t="s">
        <v>47424</v>
      </c>
      <c r="O7420" t="s">
        <v>47425</v>
      </c>
      <c r="P7420">
        <v>0</v>
      </c>
      <c r="Q7420">
        <v>0</v>
      </c>
      <c r="R7420" t="s">
        <v>47431</v>
      </c>
      <c r="S7420" t="s">
        <v>47565</v>
      </c>
      <c r="T7420" t="s">
        <v>49237</v>
      </c>
      <c r="U7420" t="s">
        <v>55868</v>
      </c>
      <c r="W7420" t="s">
        <v>45752</v>
      </c>
      <c r="X7420" t="s">
        <v>47432</v>
      </c>
    </row>
    <row r="7421" spans="1:24">
      <c r="A7421">
        <f>HYPERLINK("https://www.philgeps.gov.ph/GEPSNONPILOT/Tender/SplashBidNoticeAbstractUI.aspx?menuIndex=3&amp;refID=7157761&amp;Result=3","7157761")</f>
        <v>0</v>
      </c>
      <c r="B7421" t="s">
        <v>2544</v>
      </c>
      <c r="C7421" t="s">
        <v>10881</v>
      </c>
      <c r="D7421" t="s">
        <v>19043</v>
      </c>
      <c r="E7421" t="s">
        <v>20779</v>
      </c>
      <c r="F7421" t="s">
        <v>32831</v>
      </c>
      <c r="G7421" t="s">
        <v>32839</v>
      </c>
      <c r="H7421" t="s">
        <v>32848</v>
      </c>
      <c r="I7421" t="s">
        <v>4776</v>
      </c>
      <c r="J7421" t="s">
        <v>33184</v>
      </c>
      <c r="K7421" t="s">
        <v>42726</v>
      </c>
      <c r="M7421" t="s">
        <v>45755</v>
      </c>
      <c r="N7421" t="s">
        <v>47424</v>
      </c>
      <c r="O7421" t="s">
        <v>47425</v>
      </c>
      <c r="P7421">
        <v>0</v>
      </c>
      <c r="Q7421">
        <v>5</v>
      </c>
      <c r="R7421" t="s">
        <v>47431</v>
      </c>
      <c r="S7421" t="s">
        <v>47565</v>
      </c>
      <c r="T7421" t="s">
        <v>49079</v>
      </c>
      <c r="U7421" t="s">
        <v>55882</v>
      </c>
      <c r="W7421" t="s">
        <v>45755</v>
      </c>
      <c r="X7421" t="s">
        <v>47432</v>
      </c>
    </row>
    <row r="7422" spans="1:24">
      <c r="A7422">
        <f>HYPERLINK("https://www.philgeps.gov.ph/GEPSNONPILOT/Tender/SplashBidNoticeAbstractUI.aspx?menuIndex=3&amp;refID=7157754&amp;Result=3","7157754")</f>
        <v>0</v>
      </c>
      <c r="B7422" t="s">
        <v>663</v>
      </c>
      <c r="C7422" t="s">
        <v>10882</v>
      </c>
      <c r="D7422" t="s">
        <v>19026</v>
      </c>
      <c r="E7422" t="s">
        <v>25519</v>
      </c>
      <c r="F7422" t="s">
        <v>32831</v>
      </c>
      <c r="G7422" t="s">
        <v>32840</v>
      </c>
      <c r="H7422" t="s">
        <v>32848</v>
      </c>
      <c r="I7422" t="s">
        <v>32864</v>
      </c>
      <c r="J7422" t="s">
        <v>37624</v>
      </c>
      <c r="K7422" t="s">
        <v>42732</v>
      </c>
      <c r="M7422" t="s">
        <v>43681</v>
      </c>
      <c r="N7422" t="s">
        <v>47424</v>
      </c>
      <c r="O7422" t="s">
        <v>47425</v>
      </c>
      <c r="P7422">
        <v>0</v>
      </c>
      <c r="Q7422">
        <v>4</v>
      </c>
      <c r="R7422" t="s">
        <v>47431</v>
      </c>
      <c r="S7422" t="s">
        <v>47565</v>
      </c>
      <c r="T7422" t="s">
        <v>49235</v>
      </c>
      <c r="U7422" t="s">
        <v>49728</v>
      </c>
      <c r="W7422" t="s">
        <v>43681</v>
      </c>
      <c r="X7422" t="s">
        <v>47432</v>
      </c>
    </row>
    <row r="7423" spans="1:24">
      <c r="A7423">
        <f>HYPERLINK("https://www.philgeps.gov.ph/GEPSNONPILOT/Tender/SplashBidNoticeAbstractUI.aspx?menuIndex=3&amp;refID=7157789&amp;Result=3","7157789")</f>
        <v>0</v>
      </c>
      <c r="B7423" t="s">
        <v>1020</v>
      </c>
      <c r="C7423" t="s">
        <v>10883</v>
      </c>
      <c r="D7423" t="s">
        <v>19045</v>
      </c>
      <c r="E7423" t="s">
        <v>25555</v>
      </c>
      <c r="F7423" t="s">
        <v>32831</v>
      </c>
      <c r="G7423" t="s">
        <v>32838</v>
      </c>
      <c r="H7423" t="s">
        <v>32848</v>
      </c>
      <c r="I7423" t="s">
        <v>4438</v>
      </c>
      <c r="J7423" t="s">
        <v>35137</v>
      </c>
      <c r="K7423" t="s">
        <v>42758</v>
      </c>
      <c r="M7423" t="s">
        <v>44070</v>
      </c>
      <c r="N7423" t="s">
        <v>47424</v>
      </c>
      <c r="O7423" t="s">
        <v>47425</v>
      </c>
      <c r="P7423">
        <v>0</v>
      </c>
      <c r="Q7423">
        <v>0</v>
      </c>
      <c r="R7423" t="s">
        <v>47431</v>
      </c>
      <c r="S7423" t="s">
        <v>47565</v>
      </c>
      <c r="T7423" t="s">
        <v>49119</v>
      </c>
      <c r="U7423" t="s">
        <v>51626</v>
      </c>
      <c r="W7423" t="s">
        <v>44070</v>
      </c>
      <c r="X7423" t="s">
        <v>47432</v>
      </c>
    </row>
    <row r="7424" spans="1:24">
      <c r="A7424">
        <f>HYPERLINK("https://www.philgeps.gov.ph/GEPSNONPILOT/Tender/SplashBidNoticeAbstractUI.aspx?menuIndex=3&amp;refID=7157783&amp;Result=3","7157783")</f>
        <v>0</v>
      </c>
      <c r="B7424" t="s">
        <v>1999</v>
      </c>
      <c r="C7424" t="s">
        <v>10884</v>
      </c>
      <c r="D7424" t="s">
        <v>19071</v>
      </c>
      <c r="E7424" t="s">
        <v>25556</v>
      </c>
      <c r="F7424" t="s">
        <v>32831</v>
      </c>
      <c r="G7424" t="s">
        <v>32838</v>
      </c>
      <c r="H7424" t="s">
        <v>32848</v>
      </c>
      <c r="I7424" t="s">
        <v>4438</v>
      </c>
      <c r="J7424" t="s">
        <v>33012</v>
      </c>
      <c r="K7424" t="s">
        <v>42732</v>
      </c>
      <c r="M7424" t="s">
        <v>45551</v>
      </c>
      <c r="N7424" t="s">
        <v>47424</v>
      </c>
      <c r="O7424" t="s">
        <v>47425</v>
      </c>
      <c r="P7424">
        <v>0</v>
      </c>
      <c r="Q7424">
        <v>1</v>
      </c>
      <c r="R7424" t="s">
        <v>47431</v>
      </c>
      <c r="S7424" t="s">
        <v>47565</v>
      </c>
      <c r="T7424" t="s">
        <v>49459</v>
      </c>
      <c r="U7424" t="s">
        <v>55883</v>
      </c>
      <c r="V7424" t="s">
        <v>63450</v>
      </c>
      <c r="W7424" t="s">
        <v>45551</v>
      </c>
      <c r="X7424" t="s">
        <v>47432</v>
      </c>
    </row>
    <row r="7425" spans="1:24">
      <c r="A7425">
        <f>HYPERLINK("https://www.philgeps.gov.ph/GEPSNONPILOT/Tender/SplashBidNoticeAbstractUI.aspx?menuIndex=3&amp;refID=7157837&amp;Result=3","7157837")</f>
        <v>0</v>
      </c>
      <c r="B7425" t="s">
        <v>823</v>
      </c>
      <c r="C7425" t="s">
        <v>10885</v>
      </c>
      <c r="D7425" t="s">
        <v>19062</v>
      </c>
      <c r="E7425" t="s">
        <v>25557</v>
      </c>
      <c r="F7425" t="s">
        <v>32831</v>
      </c>
      <c r="G7425" t="s">
        <v>32838</v>
      </c>
      <c r="H7425" t="s">
        <v>32848</v>
      </c>
      <c r="I7425" t="s">
        <v>6526</v>
      </c>
      <c r="J7425" t="s">
        <v>34233</v>
      </c>
      <c r="K7425" t="s">
        <v>42726</v>
      </c>
      <c r="M7425" t="s">
        <v>45752</v>
      </c>
      <c r="N7425" t="s">
        <v>47424</v>
      </c>
      <c r="O7425" t="s">
        <v>47425</v>
      </c>
      <c r="P7425">
        <v>0</v>
      </c>
      <c r="Q7425">
        <v>0</v>
      </c>
      <c r="R7425" t="s">
        <v>47431</v>
      </c>
      <c r="S7425" t="s">
        <v>47565</v>
      </c>
      <c r="T7425" t="s">
        <v>49237</v>
      </c>
      <c r="U7425" t="s">
        <v>55868</v>
      </c>
      <c r="W7425" t="s">
        <v>45752</v>
      </c>
      <c r="X7425" t="s">
        <v>47432</v>
      </c>
    </row>
    <row r="7426" spans="1:24">
      <c r="A7426">
        <f>HYPERLINK("https://www.philgeps.gov.ph/GEPSNONPILOT/Tender/SplashBidNoticeAbstractUI.aspx?menuIndex=3&amp;refID=7157756&amp;Result=3","7157756")</f>
        <v>0</v>
      </c>
      <c r="B7426" t="s">
        <v>316</v>
      </c>
      <c r="C7426" t="s">
        <v>10866</v>
      </c>
      <c r="D7426" t="s">
        <v>19023</v>
      </c>
      <c r="E7426" t="s">
        <v>25558</v>
      </c>
      <c r="F7426" t="s">
        <v>32831</v>
      </c>
      <c r="G7426" t="s">
        <v>32838</v>
      </c>
      <c r="H7426" t="s">
        <v>32848</v>
      </c>
      <c r="I7426" t="s">
        <v>10805</v>
      </c>
      <c r="J7426" t="s">
        <v>37625</v>
      </c>
      <c r="K7426" t="s">
        <v>42730</v>
      </c>
      <c r="M7426" t="s">
        <v>43795</v>
      </c>
      <c r="N7426" t="s">
        <v>47424</v>
      </c>
      <c r="O7426" t="s">
        <v>47425</v>
      </c>
      <c r="P7426">
        <v>0</v>
      </c>
      <c r="Q7426">
        <v>1</v>
      </c>
      <c r="R7426" t="s">
        <v>47431</v>
      </c>
      <c r="S7426" t="s">
        <v>47565</v>
      </c>
      <c r="T7426" t="s">
        <v>49056</v>
      </c>
      <c r="U7426" t="s">
        <v>51090</v>
      </c>
      <c r="V7426" t="s">
        <v>62802</v>
      </c>
      <c r="W7426" t="s">
        <v>43795</v>
      </c>
      <c r="X7426" t="s">
        <v>47432</v>
      </c>
    </row>
    <row r="7427" spans="1:24">
      <c r="A7427">
        <f>HYPERLINK("https://www.philgeps.gov.ph/GEPSNONPILOT/Tender/SplashBidNoticeAbstractUI.aspx?menuIndex=3&amp;refID=7157835&amp;Result=3","7157835")</f>
        <v>0</v>
      </c>
      <c r="B7427" t="s">
        <v>920</v>
      </c>
      <c r="C7427" t="s">
        <v>10886</v>
      </c>
      <c r="E7427" t="s">
        <v>25559</v>
      </c>
      <c r="F7427" t="s">
        <v>32831</v>
      </c>
      <c r="G7427" t="s">
        <v>32839</v>
      </c>
      <c r="H7427" t="s">
        <v>32849</v>
      </c>
      <c r="I7427" t="s">
        <v>4177</v>
      </c>
      <c r="J7427" t="s">
        <v>33083</v>
      </c>
      <c r="K7427" t="s">
        <v>42732</v>
      </c>
      <c r="M7427" t="s">
        <v>43961</v>
      </c>
      <c r="N7427" t="s">
        <v>47424</v>
      </c>
      <c r="O7427" t="s">
        <v>47425</v>
      </c>
      <c r="P7427">
        <v>0</v>
      </c>
      <c r="Q7427">
        <v>2</v>
      </c>
      <c r="R7427" t="s">
        <v>47431</v>
      </c>
      <c r="S7427" t="s">
        <v>47565</v>
      </c>
      <c r="T7427" t="s">
        <v>49185</v>
      </c>
      <c r="U7427" t="s">
        <v>55884</v>
      </c>
      <c r="V7427" t="s">
        <v>62833</v>
      </c>
      <c r="W7427" t="s">
        <v>43961</v>
      </c>
      <c r="X7427" t="s">
        <v>47432</v>
      </c>
    </row>
    <row r="7428" spans="1:24">
      <c r="A7428">
        <f>HYPERLINK("https://www.philgeps.gov.ph/GEPSNONPILOT/Tender/SplashBidNoticeAbstractUI.aspx?menuIndex=3&amp;refID=7157782&amp;Result=3","7157782")</f>
        <v>0</v>
      </c>
      <c r="B7428" t="s">
        <v>2206</v>
      </c>
      <c r="C7428" t="s">
        <v>10887</v>
      </c>
      <c r="D7428" t="s">
        <v>19026</v>
      </c>
      <c r="E7428" t="s">
        <v>25560</v>
      </c>
      <c r="F7428" t="s">
        <v>32831</v>
      </c>
      <c r="G7428" t="s">
        <v>32838</v>
      </c>
      <c r="H7428" t="s">
        <v>32848</v>
      </c>
      <c r="I7428" t="s">
        <v>32876</v>
      </c>
      <c r="J7428" t="s">
        <v>37626</v>
      </c>
      <c r="K7428" t="s">
        <v>42730</v>
      </c>
      <c r="M7428" t="s">
        <v>45386</v>
      </c>
      <c r="N7428" t="s">
        <v>47424</v>
      </c>
      <c r="O7428" t="s">
        <v>47425</v>
      </c>
      <c r="P7428">
        <v>0</v>
      </c>
      <c r="Q7428">
        <v>7</v>
      </c>
      <c r="R7428" t="s">
        <v>47431</v>
      </c>
      <c r="S7428" t="s">
        <v>47565</v>
      </c>
      <c r="T7428" t="s">
        <v>49276</v>
      </c>
      <c r="U7428" t="s">
        <v>54830</v>
      </c>
      <c r="W7428" t="s">
        <v>45386</v>
      </c>
      <c r="X7428" t="s">
        <v>47432</v>
      </c>
    </row>
    <row r="7429" spans="1:24">
      <c r="A7429">
        <f>HYPERLINK("https://www.philgeps.gov.ph/GEPSNONPILOT/Tender/SplashBidNoticeAbstractUI.aspx?menuIndex=3&amp;refID=7157770&amp;Result=3","7157770")</f>
        <v>0</v>
      </c>
      <c r="B7429" t="s">
        <v>2414</v>
      </c>
      <c r="C7429" t="s">
        <v>10888</v>
      </c>
      <c r="D7429" t="s">
        <v>19045</v>
      </c>
      <c r="E7429" t="s">
        <v>25561</v>
      </c>
      <c r="F7429" t="s">
        <v>32831</v>
      </c>
      <c r="G7429" t="s">
        <v>32838</v>
      </c>
      <c r="H7429" t="s">
        <v>32848</v>
      </c>
      <c r="I7429" t="s">
        <v>10888</v>
      </c>
      <c r="J7429" t="s">
        <v>37627</v>
      </c>
      <c r="K7429" t="s">
        <v>42730</v>
      </c>
      <c r="M7429" t="s">
        <v>45757</v>
      </c>
      <c r="N7429" t="s">
        <v>47424</v>
      </c>
      <c r="O7429" t="s">
        <v>47425</v>
      </c>
      <c r="P7429">
        <v>0</v>
      </c>
      <c r="Q7429">
        <v>4</v>
      </c>
      <c r="R7429" t="s">
        <v>47431</v>
      </c>
      <c r="S7429" t="s">
        <v>47565</v>
      </c>
      <c r="T7429" t="s">
        <v>49166</v>
      </c>
      <c r="U7429" t="s">
        <v>55885</v>
      </c>
      <c r="W7429" t="s">
        <v>45757</v>
      </c>
      <c r="X7429" t="s">
        <v>47432</v>
      </c>
    </row>
    <row r="7430" spans="1:24">
      <c r="A7430">
        <f>HYPERLINK("https://www.philgeps.gov.ph/GEPSNONPILOT/Tender/SplashBidNoticeAbstractUI.aspx?menuIndex=3&amp;refID=7157828&amp;Result=3","7157828")</f>
        <v>0</v>
      </c>
      <c r="B7430" t="s">
        <v>2546</v>
      </c>
      <c r="C7430" t="s">
        <v>10889</v>
      </c>
      <c r="D7430" t="s">
        <v>19017</v>
      </c>
      <c r="E7430" t="s">
        <v>25562</v>
      </c>
      <c r="F7430" t="s">
        <v>32831</v>
      </c>
      <c r="G7430" t="s">
        <v>32839</v>
      </c>
      <c r="H7430" t="s">
        <v>32848</v>
      </c>
      <c r="I7430" t="s">
        <v>7751</v>
      </c>
      <c r="J7430" t="s">
        <v>37628</v>
      </c>
      <c r="K7430" t="s">
        <v>42732</v>
      </c>
      <c r="M7430" t="s">
        <v>45758</v>
      </c>
      <c r="N7430" t="s">
        <v>47424</v>
      </c>
      <c r="O7430" t="s">
        <v>47425</v>
      </c>
      <c r="P7430">
        <v>0</v>
      </c>
      <c r="Q7430">
        <v>4</v>
      </c>
      <c r="R7430" t="s">
        <v>47431</v>
      </c>
      <c r="S7430" t="s">
        <v>47565</v>
      </c>
      <c r="T7430" t="s">
        <v>49424</v>
      </c>
      <c r="U7430" t="s">
        <v>55886</v>
      </c>
      <c r="W7430" t="s">
        <v>45758</v>
      </c>
      <c r="X7430" t="s">
        <v>47432</v>
      </c>
    </row>
    <row r="7431" spans="1:24">
      <c r="A7431">
        <f>HYPERLINK("https://www.philgeps.gov.ph/GEPSNONPILOT/Tender/SplashBidNoticeAbstractUI.aspx?menuIndex=3&amp;refID=7157824&amp;Result=3","7157824")</f>
        <v>0</v>
      </c>
      <c r="B7431" t="s">
        <v>832</v>
      </c>
      <c r="C7431" t="s">
        <v>10890</v>
      </c>
      <c r="D7431" t="s">
        <v>19101</v>
      </c>
      <c r="E7431" t="s">
        <v>25563</v>
      </c>
      <c r="F7431" t="s">
        <v>32831</v>
      </c>
      <c r="G7431" t="s">
        <v>32839</v>
      </c>
      <c r="H7431" t="s">
        <v>32848</v>
      </c>
      <c r="I7431" t="s">
        <v>32925</v>
      </c>
      <c r="J7431" t="s">
        <v>37629</v>
      </c>
      <c r="K7431" t="s">
        <v>42729</v>
      </c>
      <c r="M7431" t="s">
        <v>44445</v>
      </c>
      <c r="N7431" t="s">
        <v>47424</v>
      </c>
      <c r="O7431" t="s">
        <v>47425</v>
      </c>
      <c r="P7431">
        <v>0</v>
      </c>
      <c r="Q7431">
        <v>4</v>
      </c>
      <c r="R7431" t="s">
        <v>47431</v>
      </c>
      <c r="S7431" t="s">
        <v>47565</v>
      </c>
      <c r="T7431" t="s">
        <v>49338</v>
      </c>
      <c r="U7431" t="s">
        <v>55643</v>
      </c>
      <c r="V7431" t="s">
        <v>63451</v>
      </c>
      <c r="W7431" t="s">
        <v>44445</v>
      </c>
      <c r="X7431" t="s">
        <v>47432</v>
      </c>
    </row>
    <row r="7432" spans="1:24">
      <c r="A7432">
        <f>HYPERLINK("https://www.philgeps.gov.ph/GEPSNONPILOT/Tender/SplashBidNoticeAbstractUI.aspx?menuIndex=3&amp;refID=7157821&amp;Result=3","7157821")</f>
        <v>0</v>
      </c>
      <c r="B7432" t="s">
        <v>2414</v>
      </c>
      <c r="C7432" t="s">
        <v>4776</v>
      </c>
      <c r="D7432" t="s">
        <v>19045</v>
      </c>
      <c r="E7432" t="s">
        <v>25564</v>
      </c>
      <c r="F7432" t="s">
        <v>32831</v>
      </c>
      <c r="G7432" t="s">
        <v>32842</v>
      </c>
      <c r="H7432" t="s">
        <v>32848</v>
      </c>
      <c r="I7432" t="s">
        <v>4776</v>
      </c>
      <c r="J7432" t="s">
        <v>37630</v>
      </c>
      <c r="K7432" t="s">
        <v>42730</v>
      </c>
      <c r="M7432" t="s">
        <v>45757</v>
      </c>
      <c r="N7432" t="s">
        <v>47424</v>
      </c>
      <c r="O7432" t="s">
        <v>47425</v>
      </c>
      <c r="P7432">
        <v>0</v>
      </c>
      <c r="Q7432">
        <v>3</v>
      </c>
      <c r="R7432" t="s">
        <v>47431</v>
      </c>
      <c r="S7432" t="s">
        <v>47565</v>
      </c>
      <c r="T7432" t="s">
        <v>49166</v>
      </c>
      <c r="U7432" t="s">
        <v>55887</v>
      </c>
      <c r="W7432" t="s">
        <v>45757</v>
      </c>
      <c r="X7432" t="s">
        <v>47432</v>
      </c>
    </row>
    <row r="7433" spans="1:24">
      <c r="A7433">
        <f>HYPERLINK("https://www.philgeps.gov.ph/GEPSNONPILOT/Tender/SplashBidNoticeAbstractUI.aspx?menuIndex=3&amp;refID=7157819&amp;Result=3","7157819")</f>
        <v>0</v>
      </c>
      <c r="B7433" t="s">
        <v>316</v>
      </c>
      <c r="C7433" t="s">
        <v>5470</v>
      </c>
      <c r="D7433" t="s">
        <v>19023</v>
      </c>
      <c r="E7433" t="s">
        <v>25565</v>
      </c>
      <c r="F7433" t="s">
        <v>32831</v>
      </c>
      <c r="G7433" t="s">
        <v>32838</v>
      </c>
      <c r="H7433" t="s">
        <v>32848</v>
      </c>
      <c r="I7433" t="s">
        <v>10805</v>
      </c>
      <c r="J7433" t="s">
        <v>37631</v>
      </c>
      <c r="K7433" t="s">
        <v>42730</v>
      </c>
      <c r="M7433" t="s">
        <v>43795</v>
      </c>
      <c r="N7433" t="s">
        <v>47424</v>
      </c>
      <c r="O7433" t="s">
        <v>47425</v>
      </c>
      <c r="P7433">
        <v>0</v>
      </c>
      <c r="Q7433">
        <v>1</v>
      </c>
      <c r="R7433" t="s">
        <v>47431</v>
      </c>
      <c r="S7433" t="s">
        <v>47565</v>
      </c>
      <c r="T7433" t="s">
        <v>49056</v>
      </c>
      <c r="U7433" t="s">
        <v>51090</v>
      </c>
      <c r="V7433" t="s">
        <v>62802</v>
      </c>
      <c r="W7433" t="s">
        <v>43795</v>
      </c>
      <c r="X7433" t="s">
        <v>47432</v>
      </c>
    </row>
    <row r="7434" spans="1:24">
      <c r="A7434">
        <f>HYPERLINK("https://www.philgeps.gov.ph/GEPSNONPILOT/Tender/SplashBidNoticeAbstractUI.aspx?menuIndex=3&amp;refID=7157818&amp;Result=3","7157818")</f>
        <v>0</v>
      </c>
      <c r="B7434" t="s">
        <v>2481</v>
      </c>
      <c r="C7434" t="s">
        <v>10891</v>
      </c>
      <c r="D7434" t="s">
        <v>19077</v>
      </c>
      <c r="E7434" t="s">
        <v>25566</v>
      </c>
      <c r="F7434" t="s">
        <v>32831</v>
      </c>
      <c r="G7434" t="s">
        <v>32839</v>
      </c>
      <c r="H7434" t="s">
        <v>32848</v>
      </c>
      <c r="I7434" t="s">
        <v>7416</v>
      </c>
      <c r="J7434" t="s">
        <v>37632</v>
      </c>
      <c r="K7434" t="s">
        <v>42730</v>
      </c>
      <c r="M7434" t="s">
        <v>45683</v>
      </c>
      <c r="N7434" t="s">
        <v>47424</v>
      </c>
      <c r="O7434" t="s">
        <v>47425</v>
      </c>
      <c r="P7434">
        <v>0</v>
      </c>
      <c r="Q7434">
        <v>2</v>
      </c>
      <c r="R7434" t="s">
        <v>47431</v>
      </c>
      <c r="S7434" t="s">
        <v>47565</v>
      </c>
      <c r="T7434" t="s">
        <v>49109</v>
      </c>
      <c r="U7434" t="s">
        <v>55888</v>
      </c>
      <c r="V7434" t="s">
        <v>63452</v>
      </c>
      <c r="W7434" t="s">
        <v>45683</v>
      </c>
      <c r="X7434" t="s">
        <v>47432</v>
      </c>
    </row>
    <row r="7435" spans="1:24">
      <c r="A7435">
        <f>HYPERLINK("https://www.philgeps.gov.ph/GEPSNONPILOT/Tender/SplashBidNoticeAbstractUI.aspx?menuIndex=3&amp;refID=7157836&amp;Result=3","7157836")</f>
        <v>0</v>
      </c>
      <c r="B7435" t="s">
        <v>2204</v>
      </c>
      <c r="C7435" t="s">
        <v>10892</v>
      </c>
      <c r="D7435" t="s">
        <v>19021</v>
      </c>
      <c r="E7435" t="s">
        <v>25567</v>
      </c>
      <c r="F7435" t="s">
        <v>32831</v>
      </c>
      <c r="G7435" t="s">
        <v>32838</v>
      </c>
      <c r="H7435" t="s">
        <v>32848</v>
      </c>
      <c r="I7435" t="s">
        <v>7416</v>
      </c>
      <c r="J7435" t="s">
        <v>37633</v>
      </c>
      <c r="K7435" t="s">
        <v>42730</v>
      </c>
      <c r="M7435" t="s">
        <v>45384</v>
      </c>
      <c r="N7435" t="s">
        <v>47424</v>
      </c>
      <c r="O7435" t="s">
        <v>47425</v>
      </c>
      <c r="P7435">
        <v>0</v>
      </c>
      <c r="Q7435">
        <v>0</v>
      </c>
      <c r="R7435" t="s">
        <v>47431</v>
      </c>
      <c r="S7435" t="s">
        <v>47565</v>
      </c>
      <c r="T7435" t="s">
        <v>49295</v>
      </c>
      <c r="U7435" t="s">
        <v>55889</v>
      </c>
      <c r="W7435" t="s">
        <v>45384</v>
      </c>
      <c r="X7435" t="s">
        <v>47432</v>
      </c>
    </row>
    <row r="7436" spans="1:24">
      <c r="A7436">
        <f>HYPERLINK("https://www.philgeps.gov.ph/GEPSNONPILOT/Tender/SplashBidNoticeAbstractUI.aspx?menuIndex=3&amp;refID=7157811&amp;Result=3","7157811")</f>
        <v>0</v>
      </c>
      <c r="B7436" t="s">
        <v>2547</v>
      </c>
      <c r="C7436" t="s">
        <v>10893</v>
      </c>
      <c r="D7436" t="s">
        <v>19017</v>
      </c>
      <c r="E7436" t="s">
        <v>25568</v>
      </c>
      <c r="F7436" t="s">
        <v>32831</v>
      </c>
      <c r="G7436" t="s">
        <v>32839</v>
      </c>
      <c r="H7436" t="s">
        <v>32848</v>
      </c>
      <c r="I7436" t="s">
        <v>32923</v>
      </c>
      <c r="J7436" t="s">
        <v>37634</v>
      </c>
      <c r="K7436" t="s">
        <v>42732</v>
      </c>
      <c r="M7436" t="s">
        <v>45759</v>
      </c>
      <c r="N7436" t="s">
        <v>47424</v>
      </c>
      <c r="O7436" t="s">
        <v>47425</v>
      </c>
      <c r="Q7436">
        <v>4</v>
      </c>
      <c r="R7436" t="s">
        <v>47431</v>
      </c>
      <c r="S7436" t="s">
        <v>47587</v>
      </c>
      <c r="T7436" t="s">
        <v>49265</v>
      </c>
      <c r="U7436" t="s">
        <v>55890</v>
      </c>
      <c r="W7436" t="s">
        <v>45759</v>
      </c>
      <c r="X7436" t="s">
        <v>47432</v>
      </c>
    </row>
    <row r="7437" spans="1:24">
      <c r="A7437">
        <f>HYPERLINK("https://www.philgeps.gov.ph/GEPSNONPILOT/Tender/SplashBidNoticeAbstractUI.aspx?menuIndex=3&amp;refID=7157786&amp;Result=3","7157786")</f>
        <v>0</v>
      </c>
      <c r="B7437" t="s">
        <v>2544</v>
      </c>
      <c r="C7437" t="s">
        <v>10894</v>
      </c>
      <c r="D7437" t="s">
        <v>19043</v>
      </c>
      <c r="E7437" t="s">
        <v>20783</v>
      </c>
      <c r="F7437" t="s">
        <v>32831</v>
      </c>
      <c r="G7437" t="s">
        <v>32839</v>
      </c>
      <c r="H7437" t="s">
        <v>32848</v>
      </c>
      <c r="I7437" t="s">
        <v>4303</v>
      </c>
      <c r="J7437" t="s">
        <v>34542</v>
      </c>
      <c r="K7437" t="s">
        <v>42726</v>
      </c>
      <c r="M7437" t="s">
        <v>45755</v>
      </c>
      <c r="N7437" t="s">
        <v>47424</v>
      </c>
      <c r="O7437" t="s">
        <v>47425</v>
      </c>
      <c r="P7437">
        <v>0</v>
      </c>
      <c r="Q7437">
        <v>1</v>
      </c>
      <c r="R7437" t="s">
        <v>47431</v>
      </c>
      <c r="S7437" t="s">
        <v>47565</v>
      </c>
      <c r="T7437" t="s">
        <v>49079</v>
      </c>
      <c r="U7437" t="s">
        <v>55891</v>
      </c>
      <c r="W7437" t="s">
        <v>45755</v>
      </c>
      <c r="X7437" t="s">
        <v>47432</v>
      </c>
    </row>
    <row r="7438" spans="1:24">
      <c r="A7438">
        <f>HYPERLINK("https://www.philgeps.gov.ph/GEPSNONPILOT/Tender/SplashBidNoticeAbstractUI.aspx?menuIndex=3&amp;refID=7157826&amp;Result=3","7157826")</f>
        <v>0</v>
      </c>
      <c r="B7438" t="s">
        <v>744</v>
      </c>
      <c r="C7438" t="s">
        <v>10895</v>
      </c>
      <c r="D7438" t="s">
        <v>19017</v>
      </c>
      <c r="E7438" t="s">
        <v>25569</v>
      </c>
      <c r="F7438" t="s">
        <v>32831</v>
      </c>
      <c r="G7438" t="s">
        <v>32838</v>
      </c>
      <c r="H7438" t="s">
        <v>32848</v>
      </c>
      <c r="I7438" t="s">
        <v>4222</v>
      </c>
      <c r="J7438" t="s">
        <v>37635</v>
      </c>
      <c r="K7438" t="s">
        <v>42726</v>
      </c>
      <c r="M7438" t="s">
        <v>44219</v>
      </c>
      <c r="N7438" t="s">
        <v>47424</v>
      </c>
      <c r="O7438" t="s">
        <v>47425</v>
      </c>
      <c r="P7438">
        <v>0</v>
      </c>
      <c r="Q7438">
        <v>0</v>
      </c>
      <c r="R7438" t="s">
        <v>47431</v>
      </c>
      <c r="S7438" t="s">
        <v>47565</v>
      </c>
      <c r="T7438" t="s">
        <v>49237</v>
      </c>
      <c r="U7438" t="s">
        <v>51041</v>
      </c>
      <c r="W7438" t="s">
        <v>44219</v>
      </c>
      <c r="X7438" t="s">
        <v>47432</v>
      </c>
    </row>
    <row r="7439" spans="1:24">
      <c r="A7439">
        <f>HYPERLINK("https://www.philgeps.gov.ph/GEPSNONPILOT/Tender/SplashBidNoticeAbstractUI.aspx?menuIndex=3&amp;refID=7157876&amp;Result=3","7157876")</f>
        <v>0</v>
      </c>
      <c r="B7439" t="s">
        <v>920</v>
      </c>
      <c r="C7439" t="s">
        <v>10896</v>
      </c>
      <c r="E7439" t="s">
        <v>25570</v>
      </c>
      <c r="F7439" t="s">
        <v>32831</v>
      </c>
      <c r="G7439" t="s">
        <v>32839</v>
      </c>
      <c r="H7439" t="s">
        <v>32849</v>
      </c>
      <c r="I7439" t="s">
        <v>4177</v>
      </c>
      <c r="J7439" t="s">
        <v>37636</v>
      </c>
      <c r="K7439" t="s">
        <v>42732</v>
      </c>
      <c r="M7439" t="s">
        <v>43961</v>
      </c>
      <c r="N7439" t="s">
        <v>47424</v>
      </c>
      <c r="O7439" t="s">
        <v>47425</v>
      </c>
      <c r="P7439">
        <v>0</v>
      </c>
      <c r="Q7439">
        <v>0</v>
      </c>
      <c r="R7439" t="s">
        <v>47431</v>
      </c>
      <c r="S7439" t="s">
        <v>47565</v>
      </c>
      <c r="T7439" t="s">
        <v>49185</v>
      </c>
      <c r="U7439" t="s">
        <v>55892</v>
      </c>
      <c r="V7439" t="s">
        <v>62833</v>
      </c>
      <c r="W7439" t="s">
        <v>43961</v>
      </c>
      <c r="X7439" t="s">
        <v>47432</v>
      </c>
    </row>
    <row r="7440" spans="1:24">
      <c r="A7440">
        <f>HYPERLINK("https://www.philgeps.gov.ph/GEPSNONPILOT/Tender/SplashBidNoticeAbstractUI.aspx?menuIndex=3&amp;refID=7157812&amp;Result=3","7157812")</f>
        <v>0</v>
      </c>
      <c r="B7440" t="s">
        <v>823</v>
      </c>
      <c r="C7440" t="s">
        <v>10897</v>
      </c>
      <c r="D7440" t="s">
        <v>19062</v>
      </c>
      <c r="E7440" t="s">
        <v>25571</v>
      </c>
      <c r="F7440" t="s">
        <v>32831</v>
      </c>
      <c r="G7440" t="s">
        <v>32838</v>
      </c>
      <c r="H7440" t="s">
        <v>32848</v>
      </c>
      <c r="I7440" t="s">
        <v>6526</v>
      </c>
      <c r="J7440" t="s">
        <v>34149</v>
      </c>
      <c r="K7440" t="s">
        <v>42726</v>
      </c>
      <c r="M7440" t="s">
        <v>45752</v>
      </c>
      <c r="N7440" t="s">
        <v>47424</v>
      </c>
      <c r="O7440" t="s">
        <v>47425</v>
      </c>
      <c r="P7440">
        <v>0</v>
      </c>
      <c r="Q7440">
        <v>0</v>
      </c>
      <c r="R7440" t="s">
        <v>47431</v>
      </c>
      <c r="S7440" t="s">
        <v>47565</v>
      </c>
      <c r="T7440" t="s">
        <v>49237</v>
      </c>
      <c r="U7440" t="s">
        <v>55868</v>
      </c>
      <c r="W7440" t="s">
        <v>45752</v>
      </c>
      <c r="X7440" t="s">
        <v>47432</v>
      </c>
    </row>
    <row r="7441" spans="1:24">
      <c r="A7441">
        <f>HYPERLINK("https://www.philgeps.gov.ph/GEPSNONPILOT/Tender/SplashBidNoticeAbstractUI.aspx?menuIndex=3&amp;refID=7157831&amp;Result=3","7157831")</f>
        <v>0</v>
      </c>
      <c r="B7441" t="s">
        <v>951</v>
      </c>
      <c r="C7441" t="s">
        <v>10898</v>
      </c>
      <c r="D7441" t="s">
        <v>19043</v>
      </c>
      <c r="E7441" t="s">
        <v>20722</v>
      </c>
      <c r="F7441" t="s">
        <v>32831</v>
      </c>
      <c r="G7441" t="s">
        <v>32839</v>
      </c>
      <c r="H7441" t="s">
        <v>32848</v>
      </c>
      <c r="I7441" t="s">
        <v>10805</v>
      </c>
      <c r="J7441" t="s">
        <v>37637</v>
      </c>
      <c r="K7441" t="s">
        <v>42750</v>
      </c>
      <c r="M7441" t="s">
        <v>43997</v>
      </c>
      <c r="N7441" t="s">
        <v>47424</v>
      </c>
      <c r="O7441" t="s">
        <v>47425</v>
      </c>
      <c r="P7441">
        <v>0</v>
      </c>
      <c r="Q7441">
        <v>3</v>
      </c>
      <c r="R7441" t="s">
        <v>47431</v>
      </c>
      <c r="S7441" t="s">
        <v>47565</v>
      </c>
      <c r="T7441" t="s">
        <v>49100</v>
      </c>
      <c r="U7441" t="s">
        <v>55893</v>
      </c>
      <c r="W7441" t="s">
        <v>43997</v>
      </c>
      <c r="X7441" t="s">
        <v>47432</v>
      </c>
    </row>
    <row r="7442" spans="1:24">
      <c r="A7442">
        <f>HYPERLINK("https://www.philgeps.gov.ph/GEPSNONPILOT/Tender/SplashBidNoticeAbstractUI.aspx?menuIndex=3&amp;refID=7157872&amp;Result=3","7157872")</f>
        <v>0</v>
      </c>
      <c r="B7442" t="s">
        <v>1381</v>
      </c>
      <c r="C7442" t="s">
        <v>10899</v>
      </c>
      <c r="D7442" t="s">
        <v>19057</v>
      </c>
      <c r="E7442" t="s">
        <v>25572</v>
      </c>
      <c r="F7442" t="s">
        <v>32831</v>
      </c>
      <c r="G7442" t="s">
        <v>32839</v>
      </c>
      <c r="H7442" t="s">
        <v>32848</v>
      </c>
      <c r="I7442" t="s">
        <v>32867</v>
      </c>
      <c r="J7442" t="s">
        <v>32983</v>
      </c>
      <c r="K7442" t="s">
        <v>42726</v>
      </c>
      <c r="M7442" t="s">
        <v>44465</v>
      </c>
      <c r="N7442" t="s">
        <v>47424</v>
      </c>
      <c r="O7442" t="s">
        <v>47425</v>
      </c>
      <c r="P7442">
        <v>0</v>
      </c>
      <c r="Q7442">
        <v>1</v>
      </c>
      <c r="R7442" t="s">
        <v>47431</v>
      </c>
      <c r="S7442" t="s">
        <v>47565</v>
      </c>
      <c r="T7442" t="s">
        <v>49061</v>
      </c>
      <c r="U7442" t="s">
        <v>55894</v>
      </c>
      <c r="W7442" t="s">
        <v>44465</v>
      </c>
      <c r="X7442" t="s">
        <v>47432</v>
      </c>
    </row>
    <row r="7443" spans="1:24">
      <c r="A7443">
        <f>HYPERLINK("https://www.philgeps.gov.ph/GEPSNONPILOT/Tender/SplashBidNoticeAbstractUI.aspx?menuIndex=3&amp;refID=7157827&amp;Result=3","7157827")</f>
        <v>0</v>
      </c>
      <c r="B7443" t="s">
        <v>1020</v>
      </c>
      <c r="C7443" t="s">
        <v>10900</v>
      </c>
      <c r="D7443" t="s">
        <v>19045</v>
      </c>
      <c r="E7443" t="s">
        <v>25573</v>
      </c>
      <c r="F7443" t="s">
        <v>32831</v>
      </c>
      <c r="G7443" t="s">
        <v>32838</v>
      </c>
      <c r="H7443" t="s">
        <v>32848</v>
      </c>
      <c r="I7443" t="s">
        <v>4438</v>
      </c>
      <c r="J7443" t="s">
        <v>33595</v>
      </c>
      <c r="K7443" t="s">
        <v>42758</v>
      </c>
      <c r="M7443" t="s">
        <v>44070</v>
      </c>
      <c r="N7443" t="s">
        <v>47424</v>
      </c>
      <c r="O7443" t="s">
        <v>47425</v>
      </c>
      <c r="P7443">
        <v>0</v>
      </c>
      <c r="Q7443">
        <v>0</v>
      </c>
      <c r="R7443" t="s">
        <v>47431</v>
      </c>
      <c r="S7443" t="s">
        <v>47565</v>
      </c>
      <c r="T7443" t="s">
        <v>49119</v>
      </c>
      <c r="U7443" t="s">
        <v>51626</v>
      </c>
      <c r="W7443" t="s">
        <v>44070</v>
      </c>
      <c r="X7443" t="s">
        <v>47432</v>
      </c>
    </row>
    <row r="7444" spans="1:24">
      <c r="A7444">
        <f>HYPERLINK("https://www.philgeps.gov.ph/GEPSNONPILOT/Tender/SplashBidNoticeAbstractUI.aspx?menuIndex=3&amp;refID=7157869&amp;Result=3","7157869")</f>
        <v>0</v>
      </c>
      <c r="B7444" t="s">
        <v>951</v>
      </c>
      <c r="C7444" t="s">
        <v>10901</v>
      </c>
      <c r="D7444" t="s">
        <v>19043</v>
      </c>
      <c r="E7444" t="s">
        <v>25574</v>
      </c>
      <c r="F7444" t="s">
        <v>32831</v>
      </c>
      <c r="G7444" t="s">
        <v>32839</v>
      </c>
      <c r="H7444" t="s">
        <v>32848</v>
      </c>
      <c r="I7444" t="s">
        <v>32860</v>
      </c>
      <c r="J7444" t="s">
        <v>37638</v>
      </c>
      <c r="K7444" t="s">
        <v>42726</v>
      </c>
      <c r="M7444" t="s">
        <v>43997</v>
      </c>
      <c r="N7444" t="s">
        <v>47424</v>
      </c>
      <c r="O7444" t="s">
        <v>47425</v>
      </c>
      <c r="P7444">
        <v>0</v>
      </c>
      <c r="Q7444">
        <v>4</v>
      </c>
      <c r="R7444" t="s">
        <v>47431</v>
      </c>
      <c r="S7444" t="s">
        <v>47565</v>
      </c>
      <c r="T7444" t="s">
        <v>49100</v>
      </c>
      <c r="U7444" t="s">
        <v>55895</v>
      </c>
      <c r="W7444" t="s">
        <v>43997</v>
      </c>
      <c r="X7444" t="s">
        <v>47432</v>
      </c>
    </row>
    <row r="7445" spans="1:24">
      <c r="A7445">
        <f>HYPERLINK("https://www.philgeps.gov.ph/GEPSNONPILOT/Tender/SplashBidNoticeAbstractUI.aspx?menuIndex=3&amp;refID=7157868&amp;Result=3","7157868")</f>
        <v>0</v>
      </c>
      <c r="B7445" t="s">
        <v>1026</v>
      </c>
      <c r="C7445" t="s">
        <v>10902</v>
      </c>
      <c r="D7445" t="s">
        <v>19062</v>
      </c>
      <c r="E7445" t="s">
        <v>25575</v>
      </c>
      <c r="F7445" t="s">
        <v>32831</v>
      </c>
      <c r="G7445" t="s">
        <v>32839</v>
      </c>
      <c r="H7445" t="s">
        <v>32849</v>
      </c>
      <c r="I7445" t="s">
        <v>32852</v>
      </c>
      <c r="J7445" t="s">
        <v>37639</v>
      </c>
      <c r="K7445" t="s">
        <v>42763</v>
      </c>
      <c r="M7445" t="s">
        <v>44076</v>
      </c>
      <c r="N7445" t="s">
        <v>47424</v>
      </c>
      <c r="O7445" t="s">
        <v>47425</v>
      </c>
      <c r="P7445">
        <v>0</v>
      </c>
      <c r="Q7445">
        <v>6</v>
      </c>
      <c r="R7445" t="s">
        <v>47431</v>
      </c>
      <c r="S7445" t="s">
        <v>47565</v>
      </c>
      <c r="T7445" t="s">
        <v>49173</v>
      </c>
      <c r="U7445" t="s">
        <v>55896</v>
      </c>
      <c r="V7445" t="s">
        <v>63453</v>
      </c>
      <c r="W7445" t="s">
        <v>44076</v>
      </c>
      <c r="X7445" t="s">
        <v>47432</v>
      </c>
    </row>
    <row r="7446" spans="1:24">
      <c r="A7446">
        <f>HYPERLINK("https://www.philgeps.gov.ph/GEPSNONPILOT/Tender/SplashBidNoticeAbstractUI.aspx?menuIndex=3&amp;refID=7157867&amp;Result=3","7157867")</f>
        <v>0</v>
      </c>
      <c r="B7446" t="s">
        <v>2548</v>
      </c>
      <c r="C7446" t="s">
        <v>10903</v>
      </c>
      <c r="D7446" t="s">
        <v>19060</v>
      </c>
      <c r="E7446" t="s">
        <v>25576</v>
      </c>
      <c r="F7446" t="s">
        <v>32831</v>
      </c>
      <c r="G7446" t="s">
        <v>32839</v>
      </c>
      <c r="H7446" t="s">
        <v>32848</v>
      </c>
      <c r="I7446" t="s">
        <v>4438</v>
      </c>
      <c r="J7446" t="s">
        <v>37640</v>
      </c>
      <c r="K7446" t="s">
        <v>42729</v>
      </c>
      <c r="M7446" t="s">
        <v>45760</v>
      </c>
      <c r="N7446" t="s">
        <v>47424</v>
      </c>
      <c r="O7446" t="s">
        <v>47425</v>
      </c>
      <c r="P7446">
        <v>0</v>
      </c>
      <c r="Q7446">
        <v>5</v>
      </c>
      <c r="R7446" t="s">
        <v>47431</v>
      </c>
      <c r="S7446" t="s">
        <v>47565</v>
      </c>
      <c r="T7446" t="s">
        <v>49323</v>
      </c>
      <c r="U7446" t="s">
        <v>55897</v>
      </c>
      <c r="W7446" t="s">
        <v>45760</v>
      </c>
      <c r="X7446" t="s">
        <v>47432</v>
      </c>
    </row>
    <row r="7447" spans="1:24">
      <c r="A7447">
        <f>HYPERLINK("https://www.philgeps.gov.ph/GEPSNONPILOT/Tender/SplashBidNoticeAbstractUI.aspx?menuIndex=3&amp;refID=7157863&amp;Result=3","7157863")</f>
        <v>0</v>
      </c>
      <c r="B7447" t="s">
        <v>2546</v>
      </c>
      <c r="C7447" t="s">
        <v>10904</v>
      </c>
      <c r="D7447" t="s">
        <v>19017</v>
      </c>
      <c r="E7447" t="s">
        <v>25577</v>
      </c>
      <c r="F7447" t="s">
        <v>32831</v>
      </c>
      <c r="G7447" t="s">
        <v>32839</v>
      </c>
      <c r="H7447" t="s">
        <v>32849</v>
      </c>
      <c r="I7447" t="s">
        <v>4177</v>
      </c>
      <c r="J7447" t="s">
        <v>37641</v>
      </c>
      <c r="K7447" t="s">
        <v>42732</v>
      </c>
      <c r="M7447" t="s">
        <v>45758</v>
      </c>
      <c r="N7447" t="s">
        <v>47424</v>
      </c>
      <c r="O7447" t="s">
        <v>47425</v>
      </c>
      <c r="P7447">
        <v>0</v>
      </c>
      <c r="Q7447">
        <v>3</v>
      </c>
      <c r="R7447" t="s">
        <v>47431</v>
      </c>
      <c r="S7447" t="s">
        <v>47565</v>
      </c>
      <c r="T7447" t="s">
        <v>49424</v>
      </c>
      <c r="U7447" t="s">
        <v>55898</v>
      </c>
      <c r="W7447" t="s">
        <v>45758</v>
      </c>
      <c r="X7447" t="s">
        <v>47432</v>
      </c>
    </row>
    <row r="7448" spans="1:24">
      <c r="A7448">
        <f>HYPERLINK("https://www.philgeps.gov.ph/GEPSNONPILOT/Tender/SplashBidNoticeAbstractUI.aspx?menuIndex=3&amp;refID=7157860&amp;Result=3","7157860")</f>
        <v>0</v>
      </c>
      <c r="B7448" t="s">
        <v>1529</v>
      </c>
      <c r="C7448" t="s">
        <v>10905</v>
      </c>
      <c r="E7448" t="s">
        <v>25578</v>
      </c>
      <c r="F7448" t="s">
        <v>32831</v>
      </c>
      <c r="G7448" t="s">
        <v>32838</v>
      </c>
      <c r="H7448" t="s">
        <v>32848</v>
      </c>
      <c r="I7448" t="s">
        <v>32856</v>
      </c>
      <c r="J7448" t="s">
        <v>37642</v>
      </c>
      <c r="K7448" t="s">
        <v>42732</v>
      </c>
      <c r="M7448" t="s">
        <v>44632</v>
      </c>
      <c r="N7448" t="s">
        <v>47424</v>
      </c>
      <c r="O7448" t="s">
        <v>47425</v>
      </c>
      <c r="P7448">
        <v>0</v>
      </c>
      <c r="Q7448">
        <v>0</v>
      </c>
      <c r="R7448" t="s">
        <v>47431</v>
      </c>
      <c r="S7448" t="s">
        <v>47565</v>
      </c>
      <c r="T7448" t="s">
        <v>49166</v>
      </c>
      <c r="U7448" t="s">
        <v>55899</v>
      </c>
      <c r="W7448" t="s">
        <v>44632</v>
      </c>
      <c r="X7448" t="s">
        <v>47432</v>
      </c>
    </row>
    <row r="7449" spans="1:24">
      <c r="A7449">
        <f>HYPERLINK("https://www.philgeps.gov.ph/GEPSNONPILOT/Tender/SplashBidNoticeAbstractUI.aspx?menuIndex=3&amp;refID=7157873&amp;Result=3","7157873")</f>
        <v>0</v>
      </c>
      <c r="B7449" t="s">
        <v>2414</v>
      </c>
      <c r="C7449" t="s">
        <v>9577</v>
      </c>
      <c r="D7449" t="s">
        <v>19045</v>
      </c>
      <c r="E7449" t="s">
        <v>25579</v>
      </c>
      <c r="F7449" t="s">
        <v>32831</v>
      </c>
      <c r="G7449" t="s">
        <v>32842</v>
      </c>
      <c r="H7449" t="s">
        <v>32848</v>
      </c>
      <c r="I7449" t="s">
        <v>9577</v>
      </c>
      <c r="J7449" t="s">
        <v>37643</v>
      </c>
      <c r="K7449" t="s">
        <v>42730</v>
      </c>
      <c r="M7449" t="s">
        <v>45757</v>
      </c>
      <c r="N7449" t="s">
        <v>47424</v>
      </c>
      <c r="O7449" t="s">
        <v>47425</v>
      </c>
      <c r="P7449">
        <v>0</v>
      </c>
      <c r="Q7449">
        <v>1</v>
      </c>
      <c r="R7449" t="s">
        <v>47431</v>
      </c>
      <c r="S7449" t="s">
        <v>47565</v>
      </c>
      <c r="T7449" t="s">
        <v>49166</v>
      </c>
      <c r="U7449" t="s">
        <v>55900</v>
      </c>
      <c r="W7449" t="s">
        <v>45757</v>
      </c>
      <c r="X7449" t="s">
        <v>47432</v>
      </c>
    </row>
    <row r="7450" spans="1:24">
      <c r="A7450">
        <f>HYPERLINK("https://www.philgeps.gov.ph/GEPSNONPILOT/Tender/SplashBidNoticeAbstractUI.aspx?menuIndex=3&amp;refID=7157922&amp;Result=3","7157922")</f>
        <v>0</v>
      </c>
      <c r="B7450" t="s">
        <v>1966</v>
      </c>
      <c r="C7450" t="s">
        <v>10906</v>
      </c>
      <c r="D7450" t="s">
        <v>19042</v>
      </c>
      <c r="E7450" t="s">
        <v>25580</v>
      </c>
      <c r="F7450" t="s">
        <v>32831</v>
      </c>
      <c r="G7450" t="s">
        <v>32838</v>
      </c>
      <c r="H7450" t="s">
        <v>32848</v>
      </c>
      <c r="I7450" t="s">
        <v>32874</v>
      </c>
      <c r="J7450" t="s">
        <v>37644</v>
      </c>
      <c r="K7450" t="s">
        <v>42763</v>
      </c>
      <c r="M7450" t="s">
        <v>45126</v>
      </c>
      <c r="N7450" t="s">
        <v>47424</v>
      </c>
      <c r="O7450" t="s">
        <v>47425</v>
      </c>
      <c r="P7450">
        <v>0</v>
      </c>
      <c r="Q7450">
        <v>21</v>
      </c>
      <c r="R7450" t="s">
        <v>47431</v>
      </c>
      <c r="S7450" t="s">
        <v>47565</v>
      </c>
      <c r="T7450" t="s">
        <v>49141</v>
      </c>
      <c r="U7450" t="s">
        <v>55901</v>
      </c>
      <c r="W7450" t="s">
        <v>45126</v>
      </c>
      <c r="X7450" t="s">
        <v>47432</v>
      </c>
    </row>
    <row r="7451" spans="1:24">
      <c r="A7451">
        <f>HYPERLINK("https://www.philgeps.gov.ph/GEPSNONPILOT/Tender/SplashBidNoticeAbstractUI.aspx?menuIndex=3&amp;refID=7157916&amp;Result=3","7157916")</f>
        <v>0</v>
      </c>
      <c r="B7451" t="s">
        <v>2549</v>
      </c>
      <c r="C7451" t="s">
        <v>10907</v>
      </c>
      <c r="D7451" t="s">
        <v>19093</v>
      </c>
      <c r="E7451" t="s">
        <v>25581</v>
      </c>
      <c r="F7451" t="s">
        <v>32831</v>
      </c>
      <c r="G7451" t="s">
        <v>32839</v>
      </c>
      <c r="H7451" t="s">
        <v>32848</v>
      </c>
      <c r="I7451" t="s">
        <v>9577</v>
      </c>
      <c r="J7451" t="s">
        <v>37645</v>
      </c>
      <c r="K7451" t="s">
        <v>42731</v>
      </c>
      <c r="M7451" t="s">
        <v>45761</v>
      </c>
      <c r="N7451" t="s">
        <v>47424</v>
      </c>
      <c r="O7451" t="s">
        <v>47425</v>
      </c>
      <c r="P7451">
        <v>0</v>
      </c>
      <c r="Q7451">
        <v>6</v>
      </c>
      <c r="R7451" t="s">
        <v>47431</v>
      </c>
      <c r="S7451" t="s">
        <v>47565</v>
      </c>
      <c r="T7451" t="s">
        <v>49221</v>
      </c>
      <c r="U7451" t="s">
        <v>55902</v>
      </c>
      <c r="W7451" t="s">
        <v>45761</v>
      </c>
      <c r="X7451" t="s">
        <v>47432</v>
      </c>
    </row>
    <row r="7452" spans="1:24">
      <c r="A7452">
        <f>HYPERLINK("https://www.philgeps.gov.ph/GEPSNONPILOT/Tender/SplashBidNoticeAbstractUI.aspx?menuIndex=3&amp;refID=7157741&amp;Result=3","7157741")</f>
        <v>0</v>
      </c>
      <c r="B7452" t="s">
        <v>920</v>
      </c>
      <c r="C7452" t="s">
        <v>10908</v>
      </c>
      <c r="E7452" t="s">
        <v>25582</v>
      </c>
      <c r="F7452" t="s">
        <v>32831</v>
      </c>
      <c r="G7452" t="s">
        <v>32839</v>
      </c>
      <c r="H7452" t="s">
        <v>32849</v>
      </c>
      <c r="I7452" t="s">
        <v>4177</v>
      </c>
      <c r="J7452" t="s">
        <v>33032</v>
      </c>
      <c r="K7452" t="s">
        <v>42732</v>
      </c>
      <c r="M7452" t="s">
        <v>43961</v>
      </c>
      <c r="N7452" t="s">
        <v>47424</v>
      </c>
      <c r="O7452" t="s">
        <v>47425</v>
      </c>
      <c r="P7452">
        <v>0</v>
      </c>
      <c r="Q7452">
        <v>0</v>
      </c>
      <c r="R7452" t="s">
        <v>47431</v>
      </c>
      <c r="S7452" t="s">
        <v>47565</v>
      </c>
      <c r="T7452" t="s">
        <v>49185</v>
      </c>
      <c r="U7452" t="s">
        <v>55903</v>
      </c>
      <c r="V7452" t="s">
        <v>62833</v>
      </c>
      <c r="W7452" t="s">
        <v>43961</v>
      </c>
      <c r="X7452" t="s">
        <v>47432</v>
      </c>
    </row>
    <row r="7453" spans="1:24">
      <c r="A7453">
        <f>HYPERLINK("https://www.philgeps.gov.ph/GEPSNONPILOT/Tender/SplashBidNoticeAbstractUI.aspx?menuIndex=3&amp;refID=7157913&amp;Result=3","7157913")</f>
        <v>0</v>
      </c>
      <c r="B7453" t="s">
        <v>319</v>
      </c>
      <c r="C7453" t="s">
        <v>10909</v>
      </c>
      <c r="D7453" t="s">
        <v>19036</v>
      </c>
      <c r="E7453" t="s">
        <v>25583</v>
      </c>
      <c r="F7453" t="s">
        <v>32831</v>
      </c>
      <c r="G7453" t="s">
        <v>32840</v>
      </c>
      <c r="H7453" t="s">
        <v>32848</v>
      </c>
      <c r="I7453" t="s">
        <v>32853</v>
      </c>
      <c r="J7453" t="s">
        <v>37646</v>
      </c>
      <c r="K7453" t="s">
        <v>42726</v>
      </c>
      <c r="M7453" t="s">
        <v>43321</v>
      </c>
      <c r="N7453" t="s">
        <v>47424</v>
      </c>
      <c r="O7453" t="s">
        <v>47425</v>
      </c>
      <c r="P7453">
        <v>0</v>
      </c>
      <c r="Q7453">
        <v>0</v>
      </c>
      <c r="R7453" t="s">
        <v>47431</v>
      </c>
      <c r="S7453" t="s">
        <v>47565</v>
      </c>
      <c r="T7453" t="s">
        <v>49237</v>
      </c>
      <c r="U7453" t="s">
        <v>55904</v>
      </c>
      <c r="W7453" t="s">
        <v>43321</v>
      </c>
      <c r="X7453" t="s">
        <v>47432</v>
      </c>
    </row>
    <row r="7454" spans="1:24">
      <c r="A7454">
        <f>HYPERLINK("https://www.philgeps.gov.ph/GEPSNONPILOT/Tender/SplashBidNoticeAbstractUI.aspx?menuIndex=3&amp;refID=7157866&amp;Result=3","7157866")</f>
        <v>0</v>
      </c>
      <c r="B7454" t="s">
        <v>1291</v>
      </c>
      <c r="C7454" t="s">
        <v>10910</v>
      </c>
      <c r="D7454" t="s">
        <v>19023</v>
      </c>
      <c r="E7454" t="s">
        <v>25584</v>
      </c>
      <c r="F7454" t="s">
        <v>32831</v>
      </c>
      <c r="G7454" t="s">
        <v>32839</v>
      </c>
      <c r="H7454" t="s">
        <v>32848</v>
      </c>
      <c r="I7454" t="s">
        <v>9577</v>
      </c>
      <c r="J7454" t="s">
        <v>32985</v>
      </c>
      <c r="K7454" t="s">
        <v>42727</v>
      </c>
      <c r="M7454" t="s">
        <v>44361</v>
      </c>
      <c r="N7454" t="s">
        <v>47424</v>
      </c>
      <c r="O7454" t="s">
        <v>47425</v>
      </c>
      <c r="P7454">
        <v>0</v>
      </c>
      <c r="Q7454">
        <v>1</v>
      </c>
      <c r="R7454" t="s">
        <v>47431</v>
      </c>
      <c r="S7454" t="s">
        <v>47565</v>
      </c>
      <c r="T7454" t="s">
        <v>49122</v>
      </c>
      <c r="U7454" t="s">
        <v>55905</v>
      </c>
      <c r="W7454" t="s">
        <v>44361</v>
      </c>
      <c r="X7454" t="s">
        <v>47432</v>
      </c>
    </row>
    <row r="7455" spans="1:24">
      <c r="A7455">
        <f>HYPERLINK("https://www.philgeps.gov.ph/GEPSNONPILOT/Tender/SplashBidNoticeAbstractUI.aspx?menuIndex=3&amp;refID=7157865&amp;Result=3","7157865")</f>
        <v>0</v>
      </c>
      <c r="B7455" t="s">
        <v>2478</v>
      </c>
      <c r="C7455" t="s">
        <v>10911</v>
      </c>
      <c r="D7455" t="s">
        <v>19037</v>
      </c>
      <c r="E7455" t="s">
        <v>25585</v>
      </c>
      <c r="F7455" t="s">
        <v>32831</v>
      </c>
      <c r="G7455" t="s">
        <v>32839</v>
      </c>
      <c r="H7455" t="s">
        <v>32848</v>
      </c>
      <c r="I7455" t="s">
        <v>32886</v>
      </c>
      <c r="J7455" t="s">
        <v>33041</v>
      </c>
      <c r="K7455" t="s">
        <v>42727</v>
      </c>
      <c r="M7455" t="s">
        <v>45680</v>
      </c>
      <c r="N7455" t="s">
        <v>47424</v>
      </c>
      <c r="O7455" t="s">
        <v>47425</v>
      </c>
      <c r="P7455">
        <v>0</v>
      </c>
      <c r="Q7455">
        <v>0</v>
      </c>
      <c r="R7455" t="s">
        <v>47431</v>
      </c>
      <c r="S7455" t="s">
        <v>47565</v>
      </c>
      <c r="T7455" t="s">
        <v>49079</v>
      </c>
      <c r="U7455" t="s">
        <v>55906</v>
      </c>
      <c r="V7455" t="s">
        <v>63454</v>
      </c>
      <c r="W7455" t="s">
        <v>45680</v>
      </c>
      <c r="X7455" t="s">
        <v>47432</v>
      </c>
    </row>
    <row r="7456" spans="1:24">
      <c r="A7456">
        <f>HYPERLINK("https://www.philgeps.gov.ph/GEPSNONPILOT/Tender/SplashBidNoticeAbstractUI.aspx?menuIndex=3&amp;refID=7157902&amp;Result=3","7157902")</f>
        <v>0</v>
      </c>
      <c r="B7456" t="s">
        <v>951</v>
      </c>
      <c r="C7456" t="s">
        <v>10912</v>
      </c>
      <c r="D7456" t="s">
        <v>19043</v>
      </c>
      <c r="E7456" t="s">
        <v>21227</v>
      </c>
      <c r="F7456" t="s">
        <v>32831</v>
      </c>
      <c r="G7456" t="s">
        <v>32839</v>
      </c>
      <c r="H7456" t="s">
        <v>32849</v>
      </c>
      <c r="I7456" t="s">
        <v>4177</v>
      </c>
      <c r="J7456" t="s">
        <v>33072</v>
      </c>
      <c r="K7456" t="s">
        <v>42730</v>
      </c>
      <c r="M7456" t="s">
        <v>43997</v>
      </c>
      <c r="N7456" t="s">
        <v>47424</v>
      </c>
      <c r="O7456" t="s">
        <v>47425</v>
      </c>
      <c r="P7456">
        <v>0</v>
      </c>
      <c r="Q7456">
        <v>2</v>
      </c>
      <c r="R7456" t="s">
        <v>47431</v>
      </c>
      <c r="S7456" t="s">
        <v>47565</v>
      </c>
      <c r="T7456" t="s">
        <v>49100</v>
      </c>
      <c r="U7456" t="s">
        <v>55907</v>
      </c>
      <c r="W7456" t="s">
        <v>43997</v>
      </c>
      <c r="X7456" t="s">
        <v>47432</v>
      </c>
    </row>
    <row r="7457" spans="1:24">
      <c r="A7457">
        <f>HYPERLINK("https://www.philgeps.gov.ph/GEPSNONPILOT/Tender/SplashBidNoticeAbstractUI.aspx?menuIndex=3&amp;refID=7157862&amp;Result=3","7157862")</f>
        <v>0</v>
      </c>
      <c r="B7457" t="s">
        <v>823</v>
      </c>
      <c r="C7457" t="s">
        <v>10913</v>
      </c>
      <c r="D7457" t="s">
        <v>19062</v>
      </c>
      <c r="E7457" t="s">
        <v>25586</v>
      </c>
      <c r="F7457" t="s">
        <v>32831</v>
      </c>
      <c r="G7457" t="s">
        <v>32838</v>
      </c>
      <c r="H7457" t="s">
        <v>32848</v>
      </c>
      <c r="I7457" t="s">
        <v>7416</v>
      </c>
      <c r="J7457" t="s">
        <v>37647</v>
      </c>
      <c r="K7457" t="s">
        <v>42726</v>
      </c>
      <c r="M7457" t="s">
        <v>45752</v>
      </c>
      <c r="N7457" t="s">
        <v>47424</v>
      </c>
      <c r="O7457" t="s">
        <v>47425</v>
      </c>
      <c r="P7457">
        <v>0</v>
      </c>
      <c r="Q7457">
        <v>0</v>
      </c>
      <c r="R7457" t="s">
        <v>47431</v>
      </c>
      <c r="S7457" t="s">
        <v>47565</v>
      </c>
      <c r="T7457" t="s">
        <v>49237</v>
      </c>
      <c r="U7457" t="s">
        <v>55868</v>
      </c>
      <c r="W7457" t="s">
        <v>45752</v>
      </c>
      <c r="X7457" t="s">
        <v>47432</v>
      </c>
    </row>
    <row r="7458" spans="1:24">
      <c r="A7458">
        <f>HYPERLINK("https://www.philgeps.gov.ph/GEPSNONPILOT/Tender/SplashBidNoticeAbstractUI.aspx?menuIndex=3&amp;refID=7157901&amp;Result=3","7157901")</f>
        <v>0</v>
      </c>
      <c r="B7458" t="s">
        <v>316</v>
      </c>
      <c r="C7458" t="s">
        <v>10914</v>
      </c>
      <c r="D7458" t="s">
        <v>19023</v>
      </c>
      <c r="E7458" t="s">
        <v>25587</v>
      </c>
      <c r="F7458" t="s">
        <v>32831</v>
      </c>
      <c r="G7458" t="s">
        <v>32838</v>
      </c>
      <c r="H7458" t="s">
        <v>32848</v>
      </c>
      <c r="I7458" t="s">
        <v>32867</v>
      </c>
      <c r="J7458" t="s">
        <v>37648</v>
      </c>
      <c r="K7458" t="s">
        <v>42730</v>
      </c>
      <c r="M7458" t="s">
        <v>43795</v>
      </c>
      <c r="N7458" t="s">
        <v>47424</v>
      </c>
      <c r="O7458" t="s">
        <v>47425</v>
      </c>
      <c r="P7458">
        <v>0</v>
      </c>
      <c r="Q7458">
        <v>6</v>
      </c>
      <c r="R7458" t="s">
        <v>47431</v>
      </c>
      <c r="S7458" t="s">
        <v>47565</v>
      </c>
      <c r="T7458" t="s">
        <v>49056</v>
      </c>
      <c r="U7458" t="s">
        <v>51090</v>
      </c>
      <c r="V7458" t="s">
        <v>62802</v>
      </c>
      <c r="W7458" t="s">
        <v>43795</v>
      </c>
      <c r="X7458" t="s">
        <v>47432</v>
      </c>
    </row>
    <row r="7459" spans="1:24">
      <c r="A7459">
        <f>HYPERLINK("https://www.philgeps.gov.ph/GEPSNONPILOT/Tender/SplashBidNoticeAbstractUI.aspx?menuIndex=3&amp;refID=7157907&amp;Result=3","7157907")</f>
        <v>0</v>
      </c>
      <c r="B7459" t="s">
        <v>912</v>
      </c>
      <c r="C7459" t="s">
        <v>10915</v>
      </c>
      <c r="D7459" t="s">
        <v>19070</v>
      </c>
      <c r="E7459" t="s">
        <v>25588</v>
      </c>
      <c r="F7459" t="s">
        <v>32831</v>
      </c>
      <c r="G7459" t="s">
        <v>32839</v>
      </c>
      <c r="H7459" t="s">
        <v>32848</v>
      </c>
      <c r="I7459" t="s">
        <v>4776</v>
      </c>
      <c r="J7459" t="s">
        <v>37649</v>
      </c>
      <c r="K7459" t="s">
        <v>42748</v>
      </c>
      <c r="M7459" t="s">
        <v>43952</v>
      </c>
      <c r="N7459" t="s">
        <v>47424</v>
      </c>
      <c r="O7459" t="s">
        <v>47425</v>
      </c>
      <c r="P7459">
        <v>0</v>
      </c>
      <c r="Q7459">
        <v>2</v>
      </c>
      <c r="R7459" t="s">
        <v>47431</v>
      </c>
      <c r="S7459" t="s">
        <v>47565</v>
      </c>
      <c r="T7459" t="s">
        <v>49476</v>
      </c>
      <c r="U7459" t="s">
        <v>55765</v>
      </c>
      <c r="W7459" t="s">
        <v>43952</v>
      </c>
      <c r="X7459" t="s">
        <v>47432</v>
      </c>
    </row>
    <row r="7460" spans="1:24">
      <c r="A7460">
        <f>HYPERLINK("https://www.philgeps.gov.ph/GEPSNONPILOT/Tender/SplashBidNoticeAbstractUI.aspx?menuIndex=3&amp;refID=7157895&amp;Result=3","7157895")</f>
        <v>0</v>
      </c>
      <c r="B7460" t="s">
        <v>2550</v>
      </c>
      <c r="C7460" t="s">
        <v>10916</v>
      </c>
      <c r="D7460" t="s">
        <v>19085</v>
      </c>
      <c r="E7460" t="s">
        <v>25589</v>
      </c>
      <c r="F7460" t="s">
        <v>32831</v>
      </c>
      <c r="G7460" t="s">
        <v>32839</v>
      </c>
      <c r="H7460" t="s">
        <v>32848</v>
      </c>
      <c r="I7460" t="s">
        <v>4222</v>
      </c>
      <c r="J7460" t="s">
        <v>37650</v>
      </c>
      <c r="K7460" t="s">
        <v>42732</v>
      </c>
      <c r="M7460" t="s">
        <v>45762</v>
      </c>
      <c r="N7460" t="s">
        <v>47424</v>
      </c>
      <c r="O7460" t="s">
        <v>47425</v>
      </c>
      <c r="P7460">
        <v>0</v>
      </c>
      <c r="Q7460">
        <v>0</v>
      </c>
      <c r="R7460" t="s">
        <v>47431</v>
      </c>
      <c r="S7460" t="s">
        <v>47565</v>
      </c>
      <c r="T7460" t="s">
        <v>49125</v>
      </c>
      <c r="U7460" t="s">
        <v>55908</v>
      </c>
      <c r="W7460" t="s">
        <v>45762</v>
      </c>
      <c r="X7460" t="s">
        <v>47432</v>
      </c>
    </row>
    <row r="7461" spans="1:24">
      <c r="A7461">
        <f>HYPERLINK("https://www.philgeps.gov.ph/GEPSNONPILOT/Tender/SplashBidNoticeAbstractUI.aspx?menuIndex=3&amp;refID=7157892&amp;Result=3","7157892")</f>
        <v>0</v>
      </c>
      <c r="B7461" t="s">
        <v>1261</v>
      </c>
      <c r="C7461" t="s">
        <v>10917</v>
      </c>
      <c r="D7461" t="s">
        <v>19040</v>
      </c>
      <c r="E7461" t="s">
        <v>25590</v>
      </c>
      <c r="F7461" t="s">
        <v>32831</v>
      </c>
      <c r="G7461" t="s">
        <v>32839</v>
      </c>
      <c r="H7461" t="s">
        <v>32848</v>
      </c>
      <c r="I7461" t="s">
        <v>7751</v>
      </c>
      <c r="J7461" t="s">
        <v>33081</v>
      </c>
      <c r="K7461" t="s">
        <v>42730</v>
      </c>
      <c r="M7461" t="s">
        <v>44331</v>
      </c>
      <c r="N7461" t="s">
        <v>47424</v>
      </c>
      <c r="O7461" t="s">
        <v>47425</v>
      </c>
      <c r="P7461">
        <v>0</v>
      </c>
      <c r="Q7461">
        <v>5</v>
      </c>
      <c r="R7461" t="s">
        <v>47431</v>
      </c>
      <c r="S7461" t="s">
        <v>47565</v>
      </c>
      <c r="T7461" t="s">
        <v>49393</v>
      </c>
      <c r="U7461" t="s">
        <v>55909</v>
      </c>
      <c r="W7461" t="s">
        <v>44331</v>
      </c>
      <c r="X7461" t="s">
        <v>47432</v>
      </c>
    </row>
    <row r="7462" spans="1:24">
      <c r="A7462">
        <f>HYPERLINK("https://www.philgeps.gov.ph/GEPSNONPILOT/Tender/SplashBidNoticeAbstractUI.aspx?menuIndex=3&amp;refID=7157899&amp;Result=3","7157899")</f>
        <v>0</v>
      </c>
      <c r="B7462" t="s">
        <v>1202</v>
      </c>
      <c r="C7462" t="s">
        <v>10918</v>
      </c>
      <c r="D7462" t="s">
        <v>19029</v>
      </c>
      <c r="E7462" t="s">
        <v>25591</v>
      </c>
      <c r="F7462" t="s">
        <v>32831</v>
      </c>
      <c r="G7462" t="s">
        <v>32838</v>
      </c>
      <c r="H7462" t="s">
        <v>32848</v>
      </c>
      <c r="I7462" t="s">
        <v>32882</v>
      </c>
      <c r="J7462" t="s">
        <v>35939</v>
      </c>
      <c r="K7462" t="s">
        <v>42730</v>
      </c>
      <c r="M7462" t="s">
        <v>45355</v>
      </c>
      <c r="N7462" t="s">
        <v>47424</v>
      </c>
      <c r="O7462" t="s">
        <v>47425</v>
      </c>
      <c r="P7462">
        <v>0</v>
      </c>
      <c r="Q7462">
        <v>1</v>
      </c>
      <c r="R7462" t="s">
        <v>47431</v>
      </c>
      <c r="S7462" t="s">
        <v>47565</v>
      </c>
      <c r="T7462" t="s">
        <v>49114</v>
      </c>
      <c r="U7462" t="s">
        <v>55910</v>
      </c>
      <c r="V7462" t="s">
        <v>63455</v>
      </c>
      <c r="W7462" t="s">
        <v>45355</v>
      </c>
      <c r="X7462" t="s">
        <v>47432</v>
      </c>
    </row>
    <row r="7463" spans="1:24">
      <c r="A7463">
        <f>HYPERLINK("https://www.philgeps.gov.ph/GEPSNONPILOT/Tender/SplashBidNoticeAbstractUI.aspx?menuIndex=3&amp;refID=7157886&amp;Result=3","7157886")</f>
        <v>0</v>
      </c>
      <c r="B7463" t="s">
        <v>823</v>
      </c>
      <c r="C7463" t="s">
        <v>10919</v>
      </c>
      <c r="D7463" t="s">
        <v>19062</v>
      </c>
      <c r="E7463" t="s">
        <v>25592</v>
      </c>
      <c r="F7463" t="s">
        <v>32831</v>
      </c>
      <c r="G7463" t="s">
        <v>32838</v>
      </c>
      <c r="H7463" t="s">
        <v>32848</v>
      </c>
      <c r="I7463" t="s">
        <v>32862</v>
      </c>
      <c r="J7463" t="s">
        <v>33384</v>
      </c>
      <c r="K7463" t="s">
        <v>42726</v>
      </c>
      <c r="M7463" t="s">
        <v>45752</v>
      </c>
      <c r="N7463" t="s">
        <v>47424</v>
      </c>
      <c r="O7463" t="s">
        <v>47425</v>
      </c>
      <c r="P7463">
        <v>0</v>
      </c>
      <c r="Q7463">
        <v>2</v>
      </c>
      <c r="R7463" t="s">
        <v>47431</v>
      </c>
      <c r="S7463" t="s">
        <v>47565</v>
      </c>
      <c r="T7463" t="s">
        <v>49237</v>
      </c>
      <c r="U7463" t="s">
        <v>55868</v>
      </c>
      <c r="W7463" t="s">
        <v>45752</v>
      </c>
      <c r="X7463" t="s">
        <v>47432</v>
      </c>
    </row>
    <row r="7464" spans="1:24">
      <c r="A7464">
        <f>HYPERLINK("https://www.philgeps.gov.ph/GEPSNONPILOT/Tender/SplashBidNoticeAbstractUI.aspx?menuIndex=3&amp;refID=7157885&amp;Result=3","7157885")</f>
        <v>0</v>
      </c>
      <c r="B7464" t="s">
        <v>2426</v>
      </c>
      <c r="C7464" t="s">
        <v>10920</v>
      </c>
      <c r="D7464" t="s">
        <v>19019</v>
      </c>
      <c r="E7464" t="s">
        <v>25593</v>
      </c>
      <c r="F7464" t="s">
        <v>32831</v>
      </c>
      <c r="G7464" t="s">
        <v>32839</v>
      </c>
      <c r="H7464" t="s">
        <v>32850</v>
      </c>
      <c r="I7464" t="s">
        <v>32895</v>
      </c>
      <c r="J7464" t="s">
        <v>37651</v>
      </c>
      <c r="K7464" t="s">
        <v>42729</v>
      </c>
      <c r="M7464" t="s">
        <v>45623</v>
      </c>
      <c r="N7464" t="s">
        <v>47424</v>
      </c>
      <c r="O7464" t="s">
        <v>47425</v>
      </c>
      <c r="P7464">
        <v>0</v>
      </c>
      <c r="Q7464">
        <v>5</v>
      </c>
      <c r="R7464" t="s">
        <v>47431</v>
      </c>
      <c r="S7464" t="s">
        <v>47565</v>
      </c>
      <c r="T7464" t="s">
        <v>49301</v>
      </c>
      <c r="U7464" t="s">
        <v>55423</v>
      </c>
      <c r="V7464" t="s">
        <v>63396</v>
      </c>
      <c r="W7464" t="s">
        <v>45623</v>
      </c>
      <c r="X7464" t="s">
        <v>47432</v>
      </c>
    </row>
    <row r="7465" spans="1:24">
      <c r="A7465">
        <f>HYPERLINK("https://www.philgeps.gov.ph/GEPSNONPILOT/Tender/SplashBidNoticeAbstractUI.aspx?menuIndex=3&amp;refID=7157904&amp;Result=3","7157904")</f>
        <v>0</v>
      </c>
      <c r="B7465" t="s">
        <v>920</v>
      </c>
      <c r="C7465" t="s">
        <v>10921</v>
      </c>
      <c r="E7465" t="s">
        <v>25594</v>
      </c>
      <c r="F7465" t="s">
        <v>32831</v>
      </c>
      <c r="G7465" t="s">
        <v>32839</v>
      </c>
      <c r="H7465" t="s">
        <v>32849</v>
      </c>
      <c r="I7465" t="s">
        <v>4177</v>
      </c>
      <c r="J7465" t="s">
        <v>33553</v>
      </c>
      <c r="K7465" t="s">
        <v>42732</v>
      </c>
      <c r="M7465" t="s">
        <v>43961</v>
      </c>
      <c r="N7465" t="s">
        <v>47424</v>
      </c>
      <c r="O7465" t="s">
        <v>47425</v>
      </c>
      <c r="P7465">
        <v>0</v>
      </c>
      <c r="Q7465">
        <v>1</v>
      </c>
      <c r="R7465" t="s">
        <v>47431</v>
      </c>
      <c r="S7465" t="s">
        <v>47565</v>
      </c>
      <c r="T7465" t="s">
        <v>49185</v>
      </c>
      <c r="U7465" t="s">
        <v>55911</v>
      </c>
      <c r="V7465" t="s">
        <v>62833</v>
      </c>
      <c r="W7465" t="s">
        <v>43961</v>
      </c>
      <c r="X7465" t="s">
        <v>47432</v>
      </c>
    </row>
    <row r="7466" spans="1:24">
      <c r="A7466">
        <f>HYPERLINK("https://www.philgeps.gov.ph/GEPSNONPILOT/Tender/SplashBidNoticeAbstractUI.aspx?menuIndex=3&amp;refID=7157884&amp;Result=3","7157884")</f>
        <v>0</v>
      </c>
      <c r="B7466" t="s">
        <v>1211</v>
      </c>
      <c r="C7466" t="s">
        <v>10922</v>
      </c>
      <c r="D7466" t="s">
        <v>19037</v>
      </c>
      <c r="E7466" t="s">
        <v>25595</v>
      </c>
      <c r="F7466" t="s">
        <v>32831</v>
      </c>
      <c r="G7466" t="s">
        <v>32839</v>
      </c>
      <c r="H7466" t="s">
        <v>32848</v>
      </c>
      <c r="I7466" t="s">
        <v>7751</v>
      </c>
      <c r="J7466" t="s">
        <v>35553</v>
      </c>
      <c r="K7466" t="s">
        <v>42730</v>
      </c>
      <c r="M7466" t="s">
        <v>44279</v>
      </c>
      <c r="N7466" t="s">
        <v>47424</v>
      </c>
      <c r="O7466" t="s">
        <v>47425</v>
      </c>
      <c r="P7466">
        <v>0</v>
      </c>
      <c r="Q7466">
        <v>2</v>
      </c>
      <c r="R7466" t="s">
        <v>47431</v>
      </c>
      <c r="S7466" t="s">
        <v>47565</v>
      </c>
      <c r="T7466" t="s">
        <v>49342</v>
      </c>
      <c r="U7466" t="s">
        <v>55912</v>
      </c>
      <c r="W7466" t="s">
        <v>44279</v>
      </c>
      <c r="X7466" t="s">
        <v>47432</v>
      </c>
    </row>
    <row r="7467" spans="1:24">
      <c r="A7467">
        <f>HYPERLINK("https://www.philgeps.gov.ph/GEPSNONPILOT/Tender/SplashBidNoticeAbstractUI.aspx?menuIndex=3&amp;refID=7157883&amp;Result=3","7157883")</f>
        <v>0</v>
      </c>
      <c r="B7467" t="s">
        <v>800</v>
      </c>
      <c r="C7467" t="s">
        <v>10923</v>
      </c>
      <c r="D7467" t="s">
        <v>19040</v>
      </c>
      <c r="E7467" t="s">
        <v>25596</v>
      </c>
      <c r="F7467" t="s">
        <v>32831</v>
      </c>
      <c r="G7467" t="s">
        <v>32839</v>
      </c>
      <c r="H7467" t="s">
        <v>32848</v>
      </c>
      <c r="I7467" t="s">
        <v>32949</v>
      </c>
      <c r="J7467" t="s">
        <v>33465</v>
      </c>
      <c r="K7467" t="s">
        <v>42727</v>
      </c>
      <c r="M7467" t="s">
        <v>43830</v>
      </c>
      <c r="N7467" t="s">
        <v>47424</v>
      </c>
      <c r="O7467" t="s">
        <v>47425</v>
      </c>
      <c r="P7467">
        <v>0</v>
      </c>
      <c r="Q7467">
        <v>3</v>
      </c>
      <c r="R7467" t="s">
        <v>47431</v>
      </c>
      <c r="S7467" t="s">
        <v>47565</v>
      </c>
      <c r="T7467" t="s">
        <v>49319</v>
      </c>
      <c r="U7467" t="s">
        <v>55452</v>
      </c>
      <c r="W7467" t="s">
        <v>43830</v>
      </c>
      <c r="X7467" t="s">
        <v>47432</v>
      </c>
    </row>
    <row r="7468" spans="1:24">
      <c r="A7468">
        <f>HYPERLINK("https://www.philgeps.gov.ph/GEPSNONPILOT/Tender/SplashBidNoticeAbstractUI.aspx?menuIndex=3&amp;refID=7157882&amp;Result=3","7157882")</f>
        <v>0</v>
      </c>
      <c r="B7468" t="s">
        <v>2551</v>
      </c>
      <c r="C7468" t="s">
        <v>10924</v>
      </c>
      <c r="D7468" t="s">
        <v>19050</v>
      </c>
      <c r="E7468" t="s">
        <v>25597</v>
      </c>
      <c r="F7468" t="s">
        <v>32831</v>
      </c>
      <c r="G7468" t="s">
        <v>32839</v>
      </c>
      <c r="H7468" t="s">
        <v>32848</v>
      </c>
      <c r="I7468" t="s">
        <v>7751</v>
      </c>
      <c r="J7468" t="s">
        <v>34860</v>
      </c>
      <c r="K7468" t="s">
        <v>42747</v>
      </c>
      <c r="M7468" t="s">
        <v>45763</v>
      </c>
      <c r="N7468" t="s">
        <v>47424</v>
      </c>
      <c r="O7468" t="s">
        <v>47425</v>
      </c>
      <c r="P7468">
        <v>0</v>
      </c>
      <c r="Q7468">
        <v>3</v>
      </c>
      <c r="R7468" t="s">
        <v>47431</v>
      </c>
      <c r="S7468" t="s">
        <v>47565</v>
      </c>
      <c r="T7468" t="s">
        <v>49359</v>
      </c>
      <c r="U7468" t="s">
        <v>55913</v>
      </c>
      <c r="V7468" t="s">
        <v>63456</v>
      </c>
      <c r="W7468" t="s">
        <v>45763</v>
      </c>
      <c r="X7468" t="s">
        <v>47432</v>
      </c>
    </row>
    <row r="7469" spans="1:24">
      <c r="A7469">
        <f>HYPERLINK("https://www.philgeps.gov.ph/GEPSNONPILOT/Tender/SplashBidNoticeAbstractUI.aspx?menuIndex=3&amp;refID=7157906&amp;Result=3","7157906")</f>
        <v>0</v>
      </c>
      <c r="B7469" t="s">
        <v>2552</v>
      </c>
      <c r="C7469" t="s">
        <v>10925</v>
      </c>
      <c r="D7469" t="s">
        <v>19030</v>
      </c>
      <c r="E7469" t="s">
        <v>25598</v>
      </c>
      <c r="F7469" t="s">
        <v>32831</v>
      </c>
      <c r="G7469" t="s">
        <v>32838</v>
      </c>
      <c r="H7469" t="s">
        <v>32849</v>
      </c>
      <c r="I7469" t="s">
        <v>4177</v>
      </c>
      <c r="J7469" t="s">
        <v>33812</v>
      </c>
      <c r="K7469" t="s">
        <v>42729</v>
      </c>
      <c r="M7469" t="s">
        <v>45764</v>
      </c>
      <c r="N7469" t="s">
        <v>47424</v>
      </c>
      <c r="O7469" t="s">
        <v>47425</v>
      </c>
      <c r="P7469">
        <v>0</v>
      </c>
      <c r="Q7469">
        <v>1</v>
      </c>
      <c r="R7469" t="s">
        <v>47431</v>
      </c>
      <c r="S7469" t="s">
        <v>47565</v>
      </c>
      <c r="T7469" t="s">
        <v>49174</v>
      </c>
      <c r="U7469" t="s">
        <v>55914</v>
      </c>
      <c r="V7469" t="s">
        <v>63457</v>
      </c>
      <c r="W7469" t="s">
        <v>45764</v>
      </c>
      <c r="X7469" t="s">
        <v>47432</v>
      </c>
    </row>
    <row r="7470" spans="1:24">
      <c r="A7470">
        <f>HYPERLINK("https://www.philgeps.gov.ph/GEPSNONPILOT/Tender/SplashBidNoticeAbstractUI.aspx?menuIndex=3&amp;refID=7157889&amp;Result=3","7157889")</f>
        <v>0</v>
      </c>
      <c r="B7470" t="s">
        <v>744</v>
      </c>
      <c r="C7470" t="s">
        <v>10926</v>
      </c>
      <c r="D7470" t="s">
        <v>19017</v>
      </c>
      <c r="E7470" t="s">
        <v>25599</v>
      </c>
      <c r="F7470" t="s">
        <v>32831</v>
      </c>
      <c r="G7470" t="s">
        <v>32838</v>
      </c>
      <c r="H7470" t="s">
        <v>32848</v>
      </c>
      <c r="I7470" t="s">
        <v>4438</v>
      </c>
      <c r="J7470" t="s">
        <v>37652</v>
      </c>
      <c r="K7470" t="s">
        <v>42726</v>
      </c>
      <c r="M7470" t="s">
        <v>44219</v>
      </c>
      <c r="N7470" t="s">
        <v>47424</v>
      </c>
      <c r="O7470" t="s">
        <v>47425</v>
      </c>
      <c r="P7470">
        <v>0</v>
      </c>
      <c r="Q7470">
        <v>0</v>
      </c>
      <c r="R7470" t="s">
        <v>47431</v>
      </c>
      <c r="S7470" t="s">
        <v>47565</v>
      </c>
      <c r="T7470" t="s">
        <v>49237</v>
      </c>
      <c r="U7470" t="s">
        <v>52446</v>
      </c>
      <c r="W7470" t="s">
        <v>44219</v>
      </c>
      <c r="X7470" t="s">
        <v>47432</v>
      </c>
    </row>
    <row r="7471" spans="1:24">
      <c r="A7471">
        <f>HYPERLINK("https://www.philgeps.gov.ph/GEPSNONPILOT/Tender/SplashBidNoticeAbstractUI.aspx?menuIndex=3&amp;refID=7157856&amp;Result=3","7157856")</f>
        <v>0</v>
      </c>
      <c r="B7471" t="s">
        <v>316</v>
      </c>
      <c r="C7471" t="s">
        <v>10927</v>
      </c>
      <c r="D7471" t="s">
        <v>19023</v>
      </c>
      <c r="E7471" t="s">
        <v>25600</v>
      </c>
      <c r="F7471" t="s">
        <v>32831</v>
      </c>
      <c r="G7471" t="s">
        <v>32838</v>
      </c>
      <c r="H7471" t="s">
        <v>32848</v>
      </c>
      <c r="I7471" t="s">
        <v>32896</v>
      </c>
      <c r="J7471" t="s">
        <v>37653</v>
      </c>
      <c r="K7471" t="s">
        <v>42730</v>
      </c>
      <c r="M7471" t="s">
        <v>43795</v>
      </c>
      <c r="N7471" t="s">
        <v>47424</v>
      </c>
      <c r="O7471" t="s">
        <v>47425</v>
      </c>
      <c r="P7471">
        <v>0</v>
      </c>
      <c r="Q7471">
        <v>3</v>
      </c>
      <c r="R7471" t="s">
        <v>47431</v>
      </c>
      <c r="S7471" t="s">
        <v>47565</v>
      </c>
      <c r="T7471" t="s">
        <v>49056</v>
      </c>
      <c r="U7471" t="s">
        <v>51090</v>
      </c>
      <c r="V7471" t="s">
        <v>62802</v>
      </c>
      <c r="W7471" t="s">
        <v>43795</v>
      </c>
      <c r="X7471" t="s">
        <v>47432</v>
      </c>
    </row>
    <row r="7472" spans="1:24">
      <c r="A7472">
        <f>HYPERLINK("https://www.philgeps.gov.ph/GEPSNONPILOT/Tender/SplashBidNoticeAbstractUI.aspx?menuIndex=3&amp;refID=7157898&amp;Result=3","7157898")</f>
        <v>0</v>
      </c>
      <c r="B7472" t="s">
        <v>114</v>
      </c>
      <c r="C7472" t="s">
        <v>10928</v>
      </c>
      <c r="D7472" t="s">
        <v>19050</v>
      </c>
      <c r="E7472" t="s">
        <v>25601</v>
      </c>
      <c r="F7472" t="s">
        <v>32831</v>
      </c>
      <c r="G7472" t="s">
        <v>32838</v>
      </c>
      <c r="H7472" t="s">
        <v>32848</v>
      </c>
      <c r="I7472" t="s">
        <v>32870</v>
      </c>
      <c r="J7472" t="s">
        <v>37654</v>
      </c>
      <c r="K7472" t="s">
        <v>42731</v>
      </c>
      <c r="L7472" t="s">
        <v>114</v>
      </c>
      <c r="M7472" t="s">
        <v>43111</v>
      </c>
      <c r="N7472" t="s">
        <v>47424</v>
      </c>
      <c r="O7472" t="s">
        <v>47425</v>
      </c>
      <c r="P7472">
        <v>0</v>
      </c>
      <c r="Q7472">
        <v>0</v>
      </c>
      <c r="R7472" t="s">
        <v>47431</v>
      </c>
      <c r="S7472" t="s">
        <v>47565</v>
      </c>
      <c r="T7472" t="s">
        <v>49229</v>
      </c>
      <c r="U7472" t="s">
        <v>49824</v>
      </c>
      <c r="W7472" t="s">
        <v>43111</v>
      </c>
      <c r="X7472" t="s">
        <v>47432</v>
      </c>
    </row>
    <row r="7473" spans="1:24">
      <c r="A7473">
        <f>HYPERLINK("https://www.philgeps.gov.ph/GEPSNONPILOT/Tender/SplashBidNoticeAbstractUI.aspx?menuIndex=3&amp;refID=7157858&amp;Result=3","7157858")</f>
        <v>0</v>
      </c>
      <c r="B7473" t="s">
        <v>2553</v>
      </c>
      <c r="C7473" t="s">
        <v>10929</v>
      </c>
      <c r="D7473" t="s">
        <v>19034</v>
      </c>
      <c r="E7473" t="s">
        <v>19203</v>
      </c>
      <c r="F7473" t="s">
        <v>32831</v>
      </c>
      <c r="G7473" t="s">
        <v>32839</v>
      </c>
      <c r="H7473" t="s">
        <v>32849</v>
      </c>
      <c r="I7473" t="s">
        <v>4177</v>
      </c>
      <c r="J7473" t="s">
        <v>37655</v>
      </c>
      <c r="K7473" t="s">
        <v>42743</v>
      </c>
      <c r="M7473" t="s">
        <v>45765</v>
      </c>
      <c r="N7473" t="s">
        <v>47424</v>
      </c>
      <c r="O7473" t="s">
        <v>47425</v>
      </c>
      <c r="P7473">
        <v>0</v>
      </c>
      <c r="Q7473">
        <v>0</v>
      </c>
      <c r="R7473" t="s">
        <v>47431</v>
      </c>
      <c r="S7473" t="s">
        <v>47565</v>
      </c>
      <c r="T7473" t="s">
        <v>49127</v>
      </c>
      <c r="U7473" t="s">
        <v>55915</v>
      </c>
      <c r="W7473" t="s">
        <v>45765</v>
      </c>
      <c r="X7473" t="s">
        <v>47432</v>
      </c>
    </row>
    <row r="7474" spans="1:24">
      <c r="A7474">
        <f>HYPERLINK("https://www.philgeps.gov.ph/GEPSNONPILOT/Tender/SplashBidNoticeAbstractUI.aspx?menuIndex=3&amp;refID=7157874&amp;Result=3","7157874")</f>
        <v>0</v>
      </c>
      <c r="B7474" t="s">
        <v>2554</v>
      </c>
      <c r="C7474" t="s">
        <v>10930</v>
      </c>
      <c r="D7474" t="s">
        <v>19099</v>
      </c>
      <c r="E7474" t="s">
        <v>25602</v>
      </c>
      <c r="F7474" t="s">
        <v>32831</v>
      </c>
      <c r="G7474" t="s">
        <v>32838</v>
      </c>
      <c r="H7474" t="s">
        <v>32848</v>
      </c>
      <c r="I7474" t="s">
        <v>4438</v>
      </c>
      <c r="J7474" t="s">
        <v>37656</v>
      </c>
      <c r="K7474" t="s">
        <v>42731</v>
      </c>
      <c r="M7474" t="s">
        <v>45766</v>
      </c>
      <c r="N7474" t="s">
        <v>47424</v>
      </c>
      <c r="O7474" t="s">
        <v>47425</v>
      </c>
      <c r="P7474">
        <v>0</v>
      </c>
      <c r="Q7474">
        <v>0</v>
      </c>
      <c r="R7474" t="s">
        <v>47431</v>
      </c>
      <c r="S7474" t="s">
        <v>47565</v>
      </c>
      <c r="T7474" t="s">
        <v>49114</v>
      </c>
      <c r="U7474" t="s">
        <v>55916</v>
      </c>
      <c r="W7474" t="s">
        <v>45766</v>
      </c>
      <c r="X7474" t="s">
        <v>47432</v>
      </c>
    </row>
    <row r="7475" spans="1:24">
      <c r="A7475">
        <f>HYPERLINK("https://www.philgeps.gov.ph/GEPSNONPILOT/Tender/SplashBidNoticeAbstractUI.aspx?menuIndex=3&amp;refID=7157881&amp;Result=3","7157881")</f>
        <v>0</v>
      </c>
      <c r="B7475" t="s">
        <v>2555</v>
      </c>
      <c r="C7475" t="s">
        <v>10931</v>
      </c>
      <c r="D7475" t="s">
        <v>19068</v>
      </c>
      <c r="E7475" t="s">
        <v>25603</v>
      </c>
      <c r="F7475" t="s">
        <v>32831</v>
      </c>
      <c r="G7475" t="s">
        <v>32839</v>
      </c>
      <c r="H7475" t="s">
        <v>32848</v>
      </c>
      <c r="I7475" t="s">
        <v>4438</v>
      </c>
      <c r="J7475" t="s">
        <v>34132</v>
      </c>
      <c r="K7475" t="s">
        <v>42732</v>
      </c>
      <c r="M7475" t="s">
        <v>45767</v>
      </c>
      <c r="N7475" t="s">
        <v>47424</v>
      </c>
      <c r="O7475" t="s">
        <v>47425</v>
      </c>
      <c r="P7475">
        <v>0</v>
      </c>
      <c r="Q7475">
        <v>0</v>
      </c>
      <c r="R7475" t="s">
        <v>47431</v>
      </c>
      <c r="S7475" t="s">
        <v>47565</v>
      </c>
      <c r="T7475" t="s">
        <v>49127</v>
      </c>
      <c r="U7475" t="s">
        <v>55917</v>
      </c>
      <c r="V7475" t="s">
        <v>63065</v>
      </c>
      <c r="W7475" t="s">
        <v>45767</v>
      </c>
      <c r="X7475" t="s">
        <v>47432</v>
      </c>
    </row>
    <row r="7476" spans="1:24">
      <c r="A7476">
        <f>HYPERLINK("https://www.philgeps.gov.ph/GEPSNONPILOT/Tender/SplashBidNoticeAbstractUI.aspx?menuIndex=3&amp;refID=7157853&amp;Result=3","7157853")</f>
        <v>0</v>
      </c>
      <c r="B7476" t="s">
        <v>2232</v>
      </c>
      <c r="C7476" t="s">
        <v>10932</v>
      </c>
      <c r="D7476" t="s">
        <v>19062</v>
      </c>
      <c r="E7476" t="s">
        <v>25604</v>
      </c>
      <c r="F7476" t="s">
        <v>32831</v>
      </c>
      <c r="G7476" t="s">
        <v>32838</v>
      </c>
      <c r="H7476" t="s">
        <v>14069</v>
      </c>
      <c r="I7476" t="s">
        <v>4177</v>
      </c>
      <c r="J7476" t="s">
        <v>32978</v>
      </c>
      <c r="K7476" t="s">
        <v>42735</v>
      </c>
      <c r="M7476" t="s">
        <v>45413</v>
      </c>
      <c r="N7476" t="s">
        <v>47424</v>
      </c>
      <c r="O7476" t="s">
        <v>47425</v>
      </c>
      <c r="P7476">
        <v>0</v>
      </c>
      <c r="Q7476">
        <v>2</v>
      </c>
      <c r="R7476" t="s">
        <v>47431</v>
      </c>
      <c r="S7476" t="s">
        <v>47565</v>
      </c>
      <c r="T7476" t="s">
        <v>49056</v>
      </c>
      <c r="U7476" t="s">
        <v>55918</v>
      </c>
      <c r="W7476" t="s">
        <v>45413</v>
      </c>
      <c r="X7476" t="s">
        <v>47432</v>
      </c>
    </row>
    <row r="7477" spans="1:24">
      <c r="A7477">
        <f>HYPERLINK("https://www.philgeps.gov.ph/GEPSNONPILOT/Tender/SplashBidNoticeAbstractUI.aspx?menuIndex=3&amp;refID=7157838&amp;Result=3","7157838")</f>
        <v>0</v>
      </c>
      <c r="B7477" t="s">
        <v>625</v>
      </c>
      <c r="C7477" t="s">
        <v>10933</v>
      </c>
      <c r="D7477" t="s">
        <v>19054</v>
      </c>
      <c r="E7477" t="s">
        <v>19219</v>
      </c>
      <c r="F7477" t="s">
        <v>32832</v>
      </c>
      <c r="G7477" t="s">
        <v>32840</v>
      </c>
      <c r="H7477" t="s">
        <v>32848</v>
      </c>
      <c r="I7477" t="s">
        <v>32883</v>
      </c>
      <c r="J7477" t="s">
        <v>33023</v>
      </c>
      <c r="K7477" t="s">
        <v>42727</v>
      </c>
      <c r="M7477" t="s">
        <v>43641</v>
      </c>
      <c r="N7477" t="s">
        <v>47424</v>
      </c>
      <c r="O7477" t="s">
        <v>47425</v>
      </c>
      <c r="P7477">
        <v>0</v>
      </c>
      <c r="Q7477">
        <v>0</v>
      </c>
      <c r="R7477" t="s">
        <v>47431</v>
      </c>
      <c r="S7477" t="s">
        <v>47565</v>
      </c>
      <c r="T7477" t="s">
        <v>49142</v>
      </c>
      <c r="U7477" t="s">
        <v>55919</v>
      </c>
      <c r="V7477" t="s">
        <v>63458</v>
      </c>
      <c r="W7477" t="s">
        <v>43641</v>
      </c>
      <c r="X7477" t="s">
        <v>47432</v>
      </c>
    </row>
    <row r="7478" spans="1:24">
      <c r="A7478">
        <f>HYPERLINK("https://www.philgeps.gov.ph/GEPSNONPILOT/Tender/SplashBidNoticeAbstractUI.aspx?menuIndex=3&amp;refID=7157810&amp;Result=3","7157810")</f>
        <v>0</v>
      </c>
      <c r="B7478" t="s">
        <v>2445</v>
      </c>
      <c r="C7478" t="s">
        <v>10934</v>
      </c>
      <c r="D7478" t="s">
        <v>19021</v>
      </c>
      <c r="E7478" t="s">
        <v>25605</v>
      </c>
      <c r="F7478" t="s">
        <v>32831</v>
      </c>
      <c r="G7478" t="s">
        <v>32839</v>
      </c>
      <c r="H7478" t="s">
        <v>32848</v>
      </c>
      <c r="I7478" t="s">
        <v>32864</v>
      </c>
      <c r="J7478" t="s">
        <v>37657</v>
      </c>
      <c r="K7478" t="s">
        <v>42726</v>
      </c>
      <c r="M7478" t="s">
        <v>45643</v>
      </c>
      <c r="N7478" t="s">
        <v>47424</v>
      </c>
      <c r="O7478" t="s">
        <v>47425</v>
      </c>
      <c r="P7478">
        <v>0</v>
      </c>
      <c r="Q7478">
        <v>6</v>
      </c>
      <c r="R7478" t="s">
        <v>47431</v>
      </c>
      <c r="S7478" t="s">
        <v>47565</v>
      </c>
      <c r="T7478" t="s">
        <v>49077</v>
      </c>
      <c r="U7478" t="s">
        <v>55920</v>
      </c>
      <c r="V7478" t="s">
        <v>63459</v>
      </c>
      <c r="W7478" t="s">
        <v>45643</v>
      </c>
      <c r="X7478" t="s">
        <v>47432</v>
      </c>
    </row>
    <row r="7479" spans="1:24">
      <c r="A7479">
        <f>HYPERLINK("https://www.philgeps.gov.ph/GEPSNONPILOT/Tender/SplashBidNoticeAbstractUI.aspx?menuIndex=3&amp;refID=7157842&amp;Result=3","7157842")</f>
        <v>0</v>
      </c>
      <c r="B7479" t="s">
        <v>2519</v>
      </c>
      <c r="C7479" t="s">
        <v>10935</v>
      </c>
      <c r="D7479" t="s">
        <v>19050</v>
      </c>
      <c r="E7479" t="s">
        <v>10935</v>
      </c>
      <c r="F7479" t="s">
        <v>32831</v>
      </c>
      <c r="G7479" t="s">
        <v>32838</v>
      </c>
      <c r="H7479" t="s">
        <v>32848</v>
      </c>
      <c r="I7479" t="s">
        <v>32855</v>
      </c>
      <c r="J7479" t="s">
        <v>37658</v>
      </c>
      <c r="K7479" t="s">
        <v>42732</v>
      </c>
      <c r="M7479" t="s">
        <v>45727</v>
      </c>
      <c r="N7479" t="s">
        <v>47424</v>
      </c>
      <c r="O7479" t="s">
        <v>47425</v>
      </c>
      <c r="P7479">
        <v>0</v>
      </c>
      <c r="Q7479">
        <v>12</v>
      </c>
      <c r="R7479" t="s">
        <v>47431</v>
      </c>
      <c r="S7479" t="s">
        <v>47565</v>
      </c>
      <c r="T7479" t="s">
        <v>49163</v>
      </c>
      <c r="U7479" t="s">
        <v>55787</v>
      </c>
      <c r="V7479" t="s">
        <v>63460</v>
      </c>
      <c r="W7479" t="s">
        <v>45727</v>
      </c>
      <c r="X7479" t="s">
        <v>47432</v>
      </c>
    </row>
    <row r="7480" spans="1:24">
      <c r="A7480">
        <f>HYPERLINK("https://www.philgeps.gov.ph/GEPSNONPILOT/Tender/SplashBidNoticeAbstractUI.aspx?menuIndex=3&amp;refID=7157857&amp;Result=3","7157857")</f>
        <v>0</v>
      </c>
      <c r="B7480" t="s">
        <v>2025</v>
      </c>
      <c r="C7480" t="s">
        <v>10936</v>
      </c>
      <c r="D7480" t="s">
        <v>19064</v>
      </c>
      <c r="E7480" t="s">
        <v>25606</v>
      </c>
      <c r="F7480" t="s">
        <v>32831</v>
      </c>
      <c r="G7480" t="s">
        <v>32840</v>
      </c>
      <c r="H7480" t="s">
        <v>32848</v>
      </c>
      <c r="I7480" t="s">
        <v>32854</v>
      </c>
      <c r="J7480" t="s">
        <v>33162</v>
      </c>
      <c r="K7480" t="s">
        <v>42731</v>
      </c>
      <c r="M7480" t="s">
        <v>45193</v>
      </c>
      <c r="N7480" t="s">
        <v>47424</v>
      </c>
      <c r="O7480" t="s">
        <v>47425</v>
      </c>
      <c r="P7480">
        <v>0</v>
      </c>
      <c r="Q7480">
        <v>0</v>
      </c>
      <c r="R7480" t="s">
        <v>47431</v>
      </c>
      <c r="S7480" t="s">
        <v>47565</v>
      </c>
      <c r="T7480" t="s">
        <v>49210</v>
      </c>
      <c r="U7480" t="s">
        <v>54289</v>
      </c>
      <c r="W7480" t="s">
        <v>45193</v>
      </c>
      <c r="X7480" t="s">
        <v>47432</v>
      </c>
    </row>
    <row r="7481" spans="1:24">
      <c r="A7481">
        <f>HYPERLINK("https://www.philgeps.gov.ph/GEPSNONPILOT/Tender/SplashBidNoticeAbstractUI.aspx?menuIndex=3&amp;refID=7157799&amp;Result=3","7157799")</f>
        <v>0</v>
      </c>
      <c r="B7481" t="s">
        <v>1303</v>
      </c>
      <c r="C7481" t="s">
        <v>10937</v>
      </c>
      <c r="D7481" t="s">
        <v>19045</v>
      </c>
      <c r="E7481" t="s">
        <v>25607</v>
      </c>
      <c r="F7481" t="s">
        <v>32831</v>
      </c>
      <c r="G7481" t="s">
        <v>32838</v>
      </c>
      <c r="H7481" t="s">
        <v>32848</v>
      </c>
      <c r="I7481" t="s">
        <v>7416</v>
      </c>
      <c r="J7481" t="s">
        <v>37659</v>
      </c>
      <c r="K7481" t="s">
        <v>42726</v>
      </c>
      <c r="M7481" t="s">
        <v>44373</v>
      </c>
      <c r="N7481" t="s">
        <v>47424</v>
      </c>
      <c r="O7481" t="s">
        <v>47425</v>
      </c>
      <c r="P7481">
        <v>0</v>
      </c>
      <c r="Q7481">
        <v>0</v>
      </c>
      <c r="R7481" t="s">
        <v>47431</v>
      </c>
      <c r="S7481" t="s">
        <v>47565</v>
      </c>
      <c r="T7481" t="s">
        <v>49100</v>
      </c>
      <c r="U7481" t="s">
        <v>55921</v>
      </c>
      <c r="W7481" t="s">
        <v>44373</v>
      </c>
      <c r="X7481" t="s">
        <v>47432</v>
      </c>
    </row>
    <row r="7482" spans="1:24">
      <c r="A7482">
        <f>HYPERLINK("https://www.philgeps.gov.ph/GEPSNONPILOT/Tender/SplashBidNoticeAbstractUI.aspx?menuIndex=3&amp;refID=7157795&amp;Result=3","7157795")</f>
        <v>0</v>
      </c>
      <c r="B7482" t="s">
        <v>2426</v>
      </c>
      <c r="C7482" t="s">
        <v>10938</v>
      </c>
      <c r="D7482" t="s">
        <v>19019</v>
      </c>
      <c r="E7482" t="s">
        <v>25608</v>
      </c>
      <c r="F7482" t="s">
        <v>32831</v>
      </c>
      <c r="G7482" t="s">
        <v>32839</v>
      </c>
      <c r="H7482" t="s">
        <v>32850</v>
      </c>
      <c r="I7482" t="s">
        <v>32895</v>
      </c>
      <c r="J7482" t="s">
        <v>37660</v>
      </c>
      <c r="K7482" t="s">
        <v>42761</v>
      </c>
      <c r="M7482" t="s">
        <v>45623</v>
      </c>
      <c r="N7482" t="s">
        <v>47424</v>
      </c>
      <c r="O7482" t="s">
        <v>47425</v>
      </c>
      <c r="P7482">
        <v>0</v>
      </c>
      <c r="Q7482">
        <v>2</v>
      </c>
      <c r="R7482" t="s">
        <v>47431</v>
      </c>
      <c r="S7482" t="s">
        <v>47565</v>
      </c>
      <c r="T7482" t="s">
        <v>49301</v>
      </c>
      <c r="U7482" t="s">
        <v>55423</v>
      </c>
      <c r="V7482" t="s">
        <v>63388</v>
      </c>
      <c r="W7482" t="s">
        <v>45623</v>
      </c>
      <c r="X7482" t="s">
        <v>47432</v>
      </c>
    </row>
    <row r="7483" spans="1:24">
      <c r="A7483">
        <f>HYPERLINK("https://www.philgeps.gov.ph/GEPSNONPILOT/Tender/SplashBidNoticeAbstractUI.aspx?menuIndex=3&amp;refID=7157748&amp;Result=3","7157748")</f>
        <v>0</v>
      </c>
      <c r="B7483" t="s">
        <v>1725</v>
      </c>
      <c r="C7483" t="s">
        <v>10939</v>
      </c>
      <c r="D7483" t="s">
        <v>19080</v>
      </c>
      <c r="E7483" t="s">
        <v>25609</v>
      </c>
      <c r="F7483" t="s">
        <v>32831</v>
      </c>
      <c r="G7483" t="s">
        <v>32842</v>
      </c>
      <c r="H7483" t="s">
        <v>32848</v>
      </c>
      <c r="I7483" t="s">
        <v>32855</v>
      </c>
      <c r="J7483" t="s">
        <v>37661</v>
      </c>
      <c r="K7483" t="s">
        <v>42727</v>
      </c>
      <c r="M7483" t="s">
        <v>44848</v>
      </c>
      <c r="N7483" t="s">
        <v>47424</v>
      </c>
      <c r="O7483" t="s">
        <v>47425</v>
      </c>
      <c r="P7483">
        <v>0</v>
      </c>
      <c r="Q7483">
        <v>8</v>
      </c>
      <c r="R7483" t="s">
        <v>47431</v>
      </c>
      <c r="S7483" t="s">
        <v>47565</v>
      </c>
      <c r="T7483" t="s">
        <v>49127</v>
      </c>
      <c r="U7483" t="s">
        <v>55922</v>
      </c>
      <c r="W7483" t="s">
        <v>44848</v>
      </c>
      <c r="X7483" t="s">
        <v>47432</v>
      </c>
    </row>
    <row r="7484" spans="1:24">
      <c r="A7484">
        <f>HYPERLINK("https://www.philgeps.gov.ph/GEPSNONPILOT/Tender/SplashBidNoticeAbstractUI.aspx?menuIndex=3&amp;refID=7157847&amp;Result=3","7157847")</f>
        <v>0</v>
      </c>
      <c r="B7484" t="s">
        <v>2556</v>
      </c>
      <c r="C7484" t="s">
        <v>10940</v>
      </c>
      <c r="D7484" t="s">
        <v>19020</v>
      </c>
      <c r="E7484" t="s">
        <v>25610</v>
      </c>
      <c r="F7484" t="s">
        <v>32831</v>
      </c>
      <c r="G7484" t="s">
        <v>32839</v>
      </c>
      <c r="H7484" t="s">
        <v>32848</v>
      </c>
      <c r="I7484" t="s">
        <v>32937</v>
      </c>
      <c r="J7484" t="s">
        <v>37662</v>
      </c>
      <c r="K7484" t="s">
        <v>42747</v>
      </c>
      <c r="M7484" t="s">
        <v>45768</v>
      </c>
      <c r="N7484" t="s">
        <v>47424</v>
      </c>
      <c r="O7484" t="s">
        <v>47425</v>
      </c>
      <c r="P7484">
        <v>0</v>
      </c>
      <c r="Q7484">
        <v>2</v>
      </c>
      <c r="R7484" t="s">
        <v>47431</v>
      </c>
      <c r="S7484" t="s">
        <v>47565</v>
      </c>
      <c r="T7484" t="s">
        <v>49407</v>
      </c>
      <c r="U7484" t="s">
        <v>55923</v>
      </c>
      <c r="V7484" t="s">
        <v>63461</v>
      </c>
      <c r="W7484" t="s">
        <v>45768</v>
      </c>
      <c r="X7484" t="s">
        <v>47432</v>
      </c>
    </row>
    <row r="7485" spans="1:24">
      <c r="A7485">
        <f>HYPERLINK("https://www.philgeps.gov.ph/GEPSNONPILOT/Tender/SplashBidNoticeAbstractUI.aspx?menuIndex=3&amp;refID=7157747&amp;Result=3","7157747")</f>
        <v>0</v>
      </c>
      <c r="B7485" t="s">
        <v>1551</v>
      </c>
      <c r="C7485" t="s">
        <v>7454</v>
      </c>
      <c r="D7485" t="s">
        <v>19091</v>
      </c>
      <c r="E7485" t="s">
        <v>25611</v>
      </c>
      <c r="F7485" t="s">
        <v>32831</v>
      </c>
      <c r="G7485" t="s">
        <v>32839</v>
      </c>
      <c r="H7485" t="s">
        <v>32849</v>
      </c>
      <c r="I7485" t="s">
        <v>4177</v>
      </c>
      <c r="J7485" t="s">
        <v>33044</v>
      </c>
      <c r="K7485" t="s">
        <v>42727</v>
      </c>
      <c r="M7485" t="s">
        <v>44657</v>
      </c>
      <c r="N7485" t="s">
        <v>47424</v>
      </c>
      <c r="O7485" t="s">
        <v>47425</v>
      </c>
      <c r="P7485">
        <v>0</v>
      </c>
      <c r="Q7485">
        <v>0</v>
      </c>
      <c r="R7485" t="s">
        <v>47431</v>
      </c>
      <c r="S7485" t="s">
        <v>47565</v>
      </c>
      <c r="T7485" t="s">
        <v>49056</v>
      </c>
      <c r="U7485" t="s">
        <v>55924</v>
      </c>
      <c r="W7485" t="s">
        <v>44657</v>
      </c>
      <c r="X7485" t="s">
        <v>47432</v>
      </c>
    </row>
    <row r="7486" spans="1:24">
      <c r="A7486">
        <f>HYPERLINK("https://www.philgeps.gov.ph/GEPSNONPILOT/Tender/SplashBidNoticeAbstractUI.aspx?menuIndex=3&amp;refID=7157808&amp;Result=3","7157808")</f>
        <v>0</v>
      </c>
      <c r="B7486" t="s">
        <v>2000</v>
      </c>
      <c r="C7486" t="s">
        <v>10941</v>
      </c>
      <c r="D7486" t="s">
        <v>19081</v>
      </c>
      <c r="E7486" t="s">
        <v>25612</v>
      </c>
      <c r="F7486" t="s">
        <v>32831</v>
      </c>
      <c r="G7486" t="s">
        <v>32839</v>
      </c>
      <c r="H7486" t="s">
        <v>32848</v>
      </c>
      <c r="I7486" t="s">
        <v>7416</v>
      </c>
      <c r="J7486" t="s">
        <v>33118</v>
      </c>
      <c r="K7486" t="s">
        <v>42727</v>
      </c>
      <c r="M7486" t="s">
        <v>45167</v>
      </c>
      <c r="N7486" t="s">
        <v>47424</v>
      </c>
      <c r="O7486" t="s">
        <v>47425</v>
      </c>
      <c r="Q7486">
        <v>2</v>
      </c>
      <c r="R7486" t="s">
        <v>47431</v>
      </c>
      <c r="S7486" t="s">
        <v>47588</v>
      </c>
      <c r="T7486" t="s">
        <v>49291</v>
      </c>
      <c r="U7486" t="s">
        <v>54228</v>
      </c>
      <c r="W7486" t="s">
        <v>45167</v>
      </c>
      <c r="X7486" t="s">
        <v>47432</v>
      </c>
    </row>
    <row r="7487" spans="1:24">
      <c r="A7487">
        <f>HYPERLINK("https://www.philgeps.gov.ph/GEPSNONPILOT/Tender/SplashBidNoticeAbstractUI.aspx?menuIndex=3&amp;refID=7157716&amp;Result=3","7157716")</f>
        <v>0</v>
      </c>
      <c r="B7487" t="s">
        <v>2546</v>
      </c>
      <c r="C7487" t="s">
        <v>10942</v>
      </c>
      <c r="D7487" t="s">
        <v>19017</v>
      </c>
      <c r="E7487" t="s">
        <v>25613</v>
      </c>
      <c r="F7487" t="s">
        <v>32831</v>
      </c>
      <c r="G7487" t="s">
        <v>32839</v>
      </c>
      <c r="H7487" t="s">
        <v>32848</v>
      </c>
      <c r="I7487" t="s">
        <v>4558</v>
      </c>
      <c r="J7487" t="s">
        <v>37663</v>
      </c>
      <c r="K7487" t="s">
        <v>42732</v>
      </c>
      <c r="M7487" t="s">
        <v>45758</v>
      </c>
      <c r="N7487" t="s">
        <v>47424</v>
      </c>
      <c r="O7487" t="s">
        <v>47425</v>
      </c>
      <c r="P7487">
        <v>0</v>
      </c>
      <c r="Q7487">
        <v>4</v>
      </c>
      <c r="R7487" t="s">
        <v>47431</v>
      </c>
      <c r="S7487" t="s">
        <v>47565</v>
      </c>
      <c r="T7487" t="s">
        <v>49424</v>
      </c>
      <c r="U7487" t="s">
        <v>55925</v>
      </c>
      <c r="W7487" t="s">
        <v>45758</v>
      </c>
      <c r="X7487" t="s">
        <v>47432</v>
      </c>
    </row>
    <row r="7488" spans="1:24">
      <c r="A7488">
        <f>HYPERLINK("https://www.philgeps.gov.ph/GEPSNONPILOT/Tender/SplashBidNoticeAbstractUI.aspx?menuIndex=3&amp;refID=7157959&amp;Result=3","7157959")</f>
        <v>0</v>
      </c>
      <c r="B7488" t="s">
        <v>2557</v>
      </c>
      <c r="C7488" t="s">
        <v>10943</v>
      </c>
      <c r="D7488" t="s">
        <v>19045</v>
      </c>
      <c r="E7488" t="s">
        <v>25614</v>
      </c>
      <c r="F7488" t="s">
        <v>32831</v>
      </c>
      <c r="G7488" t="s">
        <v>32839</v>
      </c>
      <c r="H7488" t="s">
        <v>32849</v>
      </c>
      <c r="I7488" t="s">
        <v>4177</v>
      </c>
      <c r="J7488" t="s">
        <v>32983</v>
      </c>
      <c r="K7488" t="s">
        <v>42730</v>
      </c>
      <c r="M7488" t="s">
        <v>45769</v>
      </c>
      <c r="N7488" t="s">
        <v>47424</v>
      </c>
      <c r="O7488" t="s">
        <v>47425</v>
      </c>
      <c r="P7488">
        <v>0</v>
      </c>
      <c r="Q7488">
        <v>0</v>
      </c>
      <c r="R7488" t="s">
        <v>47431</v>
      </c>
      <c r="S7488" t="s">
        <v>47565</v>
      </c>
      <c r="T7488" t="s">
        <v>49393</v>
      </c>
      <c r="U7488" t="s">
        <v>55926</v>
      </c>
      <c r="W7488" t="s">
        <v>45769</v>
      </c>
      <c r="X7488" t="s">
        <v>47432</v>
      </c>
    </row>
    <row r="7489" spans="1:24">
      <c r="A7489">
        <f>HYPERLINK("https://www.philgeps.gov.ph/GEPSNONPILOT/Tender/SplashBidNoticeAbstractUI.aspx?menuIndex=3&amp;refID=7157798&amp;Result=3","7157798")</f>
        <v>0</v>
      </c>
      <c r="B7489" t="s">
        <v>1211</v>
      </c>
      <c r="C7489" t="s">
        <v>10944</v>
      </c>
      <c r="D7489" t="s">
        <v>19037</v>
      </c>
      <c r="E7489" t="s">
        <v>25615</v>
      </c>
      <c r="F7489" t="s">
        <v>32831</v>
      </c>
      <c r="G7489" t="s">
        <v>32839</v>
      </c>
      <c r="H7489" t="s">
        <v>32848</v>
      </c>
      <c r="I7489" t="s">
        <v>32935</v>
      </c>
      <c r="J7489" t="s">
        <v>33528</v>
      </c>
      <c r="K7489" t="s">
        <v>42786</v>
      </c>
      <c r="M7489" t="s">
        <v>44279</v>
      </c>
      <c r="N7489" t="s">
        <v>47424</v>
      </c>
      <c r="O7489" t="s">
        <v>47425</v>
      </c>
      <c r="P7489">
        <v>0</v>
      </c>
      <c r="Q7489">
        <v>2</v>
      </c>
      <c r="R7489" t="s">
        <v>47431</v>
      </c>
      <c r="S7489" t="s">
        <v>47565</v>
      </c>
      <c r="T7489" t="s">
        <v>49364</v>
      </c>
      <c r="U7489" t="s">
        <v>55927</v>
      </c>
      <c r="W7489" t="s">
        <v>44279</v>
      </c>
      <c r="X7489" t="s">
        <v>47432</v>
      </c>
    </row>
    <row r="7490" spans="1:24">
      <c r="A7490">
        <f>HYPERLINK("https://www.philgeps.gov.ph/GEPSNONPILOT/Tender/SplashBidNoticeAbstractUI.aspx?menuIndex=3&amp;refID=7157749&amp;Result=3","7157749")</f>
        <v>0</v>
      </c>
      <c r="B7490" t="s">
        <v>1705</v>
      </c>
      <c r="C7490" t="s">
        <v>10945</v>
      </c>
      <c r="D7490" t="s">
        <v>19017</v>
      </c>
      <c r="E7490" t="s">
        <v>25616</v>
      </c>
      <c r="F7490" t="s">
        <v>32831</v>
      </c>
      <c r="G7490" t="s">
        <v>32839</v>
      </c>
      <c r="H7490" t="s">
        <v>32848</v>
      </c>
      <c r="I7490" t="s">
        <v>4558</v>
      </c>
      <c r="J7490" t="s">
        <v>37664</v>
      </c>
      <c r="K7490" t="s">
        <v>42727</v>
      </c>
      <c r="M7490" t="s">
        <v>45770</v>
      </c>
      <c r="N7490" t="s">
        <v>47424</v>
      </c>
      <c r="O7490" t="s">
        <v>47425</v>
      </c>
      <c r="P7490">
        <v>0</v>
      </c>
      <c r="Q7490">
        <v>5</v>
      </c>
      <c r="R7490" t="s">
        <v>47431</v>
      </c>
      <c r="S7490" t="s">
        <v>47565</v>
      </c>
      <c r="T7490" t="s">
        <v>49152</v>
      </c>
      <c r="U7490" t="s">
        <v>55928</v>
      </c>
      <c r="W7490" t="s">
        <v>45770</v>
      </c>
      <c r="X7490" t="s">
        <v>47432</v>
      </c>
    </row>
    <row r="7491" spans="1:24">
      <c r="A7491">
        <f>HYPERLINK("https://www.philgeps.gov.ph/GEPSNONPILOT/Tender/SplashBidNoticeAbstractUI.aspx?menuIndex=3&amp;refID=7157957&amp;Result=3","7157957")</f>
        <v>0</v>
      </c>
      <c r="B7491" t="s">
        <v>2558</v>
      </c>
      <c r="C7491" t="s">
        <v>10946</v>
      </c>
      <c r="D7491" t="s">
        <v>19081</v>
      </c>
      <c r="E7491" t="s">
        <v>19351</v>
      </c>
      <c r="F7491" t="s">
        <v>32831</v>
      </c>
      <c r="G7491" t="s">
        <v>32838</v>
      </c>
      <c r="H7491" t="s">
        <v>32848</v>
      </c>
      <c r="I7491" t="s">
        <v>32949</v>
      </c>
      <c r="J7491" t="s">
        <v>32980</v>
      </c>
      <c r="K7491" t="s">
        <v>42758</v>
      </c>
      <c r="M7491" t="s">
        <v>45771</v>
      </c>
      <c r="N7491" t="s">
        <v>47424</v>
      </c>
      <c r="O7491" t="s">
        <v>47425</v>
      </c>
      <c r="P7491">
        <v>0</v>
      </c>
      <c r="Q7491">
        <v>0</v>
      </c>
      <c r="R7491" t="s">
        <v>47431</v>
      </c>
      <c r="S7491" t="s">
        <v>47565</v>
      </c>
      <c r="T7491" t="s">
        <v>49055</v>
      </c>
      <c r="U7491" t="s">
        <v>55929</v>
      </c>
      <c r="W7491" t="s">
        <v>45771</v>
      </c>
      <c r="X7491" t="s">
        <v>47432</v>
      </c>
    </row>
    <row r="7492" spans="1:24">
      <c r="A7492">
        <f>HYPERLINK("https://www.philgeps.gov.ph/GEPSNONPILOT/Tender/SplashBidNoticeAbstractUI.aspx?menuIndex=3&amp;refID=7157954&amp;Result=3","7157954")</f>
        <v>0</v>
      </c>
      <c r="B7492" t="s">
        <v>2015</v>
      </c>
      <c r="C7492" t="s">
        <v>10947</v>
      </c>
      <c r="D7492" t="s">
        <v>19049</v>
      </c>
      <c r="E7492" t="s">
        <v>19645</v>
      </c>
      <c r="F7492" t="s">
        <v>32831</v>
      </c>
      <c r="G7492" t="s">
        <v>32842</v>
      </c>
      <c r="H7492" t="s">
        <v>32848</v>
      </c>
      <c r="I7492" t="s">
        <v>9577</v>
      </c>
      <c r="J7492" t="s">
        <v>37665</v>
      </c>
      <c r="K7492" t="s">
        <v>42732</v>
      </c>
      <c r="M7492" t="s">
        <v>45182</v>
      </c>
      <c r="N7492" t="s">
        <v>47424</v>
      </c>
      <c r="O7492" t="s">
        <v>47425</v>
      </c>
      <c r="P7492">
        <v>0</v>
      </c>
      <c r="Q7492">
        <v>2</v>
      </c>
      <c r="R7492" t="s">
        <v>47431</v>
      </c>
      <c r="S7492" t="s">
        <v>47565</v>
      </c>
      <c r="T7492" t="s">
        <v>49214</v>
      </c>
      <c r="U7492" t="s">
        <v>55930</v>
      </c>
      <c r="W7492" t="s">
        <v>45182</v>
      </c>
      <c r="X7492" t="s">
        <v>47432</v>
      </c>
    </row>
    <row r="7493" spans="1:24">
      <c r="A7493">
        <f>HYPERLINK("https://www.philgeps.gov.ph/GEPSNONPILOT/Tender/SplashBidNoticeAbstractUI.aspx?menuIndex=3&amp;refID=7157806&amp;Result=3","7157806")</f>
        <v>0</v>
      </c>
      <c r="B7493" t="s">
        <v>2539</v>
      </c>
      <c r="C7493" t="s">
        <v>10948</v>
      </c>
      <c r="D7493" t="s">
        <v>19041</v>
      </c>
      <c r="E7493" t="s">
        <v>25617</v>
      </c>
      <c r="F7493" t="s">
        <v>32831</v>
      </c>
      <c r="G7493" t="s">
        <v>32839</v>
      </c>
      <c r="H7493" t="s">
        <v>32848</v>
      </c>
      <c r="I7493" t="s">
        <v>7751</v>
      </c>
      <c r="J7493" t="s">
        <v>33553</v>
      </c>
      <c r="K7493" t="s">
        <v>42727</v>
      </c>
      <c r="M7493" t="s">
        <v>45749</v>
      </c>
      <c r="N7493" t="s">
        <v>47424</v>
      </c>
      <c r="O7493" t="s">
        <v>47425</v>
      </c>
      <c r="P7493">
        <v>0</v>
      </c>
      <c r="Q7493">
        <v>5</v>
      </c>
      <c r="R7493" t="s">
        <v>47431</v>
      </c>
      <c r="S7493" t="s">
        <v>47565</v>
      </c>
      <c r="T7493" t="s">
        <v>49057</v>
      </c>
      <c r="U7493" t="s">
        <v>55931</v>
      </c>
      <c r="W7493" t="s">
        <v>45749</v>
      </c>
      <c r="X7493" t="s">
        <v>47432</v>
      </c>
    </row>
    <row r="7494" spans="1:24">
      <c r="A7494">
        <f>HYPERLINK("https://www.philgeps.gov.ph/GEPSNONPILOT/Tender/SplashBidNoticeAbstractUI.aspx?menuIndex=3&amp;refID=7157948&amp;Result=3","7157948")</f>
        <v>0</v>
      </c>
      <c r="B7494" t="s">
        <v>951</v>
      </c>
      <c r="C7494" t="s">
        <v>10949</v>
      </c>
      <c r="D7494" t="s">
        <v>19043</v>
      </c>
      <c r="E7494" t="s">
        <v>25618</v>
      </c>
      <c r="F7494" t="s">
        <v>32831</v>
      </c>
      <c r="G7494" t="s">
        <v>32839</v>
      </c>
      <c r="H7494" t="s">
        <v>32849</v>
      </c>
      <c r="I7494" t="s">
        <v>4177</v>
      </c>
      <c r="J7494" t="s">
        <v>33553</v>
      </c>
      <c r="K7494" t="s">
        <v>42763</v>
      </c>
      <c r="M7494" t="s">
        <v>43997</v>
      </c>
      <c r="N7494" t="s">
        <v>47424</v>
      </c>
      <c r="O7494" t="s">
        <v>47425</v>
      </c>
      <c r="P7494">
        <v>0</v>
      </c>
      <c r="Q7494">
        <v>3</v>
      </c>
      <c r="R7494" t="s">
        <v>47431</v>
      </c>
      <c r="S7494" t="s">
        <v>47565</v>
      </c>
      <c r="T7494" t="s">
        <v>49199</v>
      </c>
      <c r="U7494" t="s">
        <v>55932</v>
      </c>
      <c r="W7494" t="s">
        <v>43997</v>
      </c>
      <c r="X7494" t="s">
        <v>47432</v>
      </c>
    </row>
    <row r="7495" spans="1:24">
      <c r="A7495">
        <f>HYPERLINK("https://www.philgeps.gov.ph/GEPSNONPILOT/Tender/SplashBidNoticeAbstractUI.aspx?menuIndex=3&amp;refID=7157946&amp;Result=3","7157946")</f>
        <v>0</v>
      </c>
      <c r="B7495" t="s">
        <v>1012</v>
      </c>
      <c r="C7495" t="s">
        <v>10950</v>
      </c>
      <c r="D7495" t="s">
        <v>19077</v>
      </c>
      <c r="E7495" t="s">
        <v>25619</v>
      </c>
      <c r="F7495" t="s">
        <v>32831</v>
      </c>
      <c r="G7495" t="s">
        <v>32839</v>
      </c>
      <c r="H7495" t="s">
        <v>32849</v>
      </c>
      <c r="I7495" t="s">
        <v>4177</v>
      </c>
      <c r="J7495" t="s">
        <v>37666</v>
      </c>
      <c r="K7495" t="s">
        <v>42789</v>
      </c>
      <c r="M7495" t="s">
        <v>44061</v>
      </c>
      <c r="N7495" t="s">
        <v>47424</v>
      </c>
      <c r="O7495" t="s">
        <v>47425</v>
      </c>
      <c r="P7495">
        <v>0</v>
      </c>
      <c r="Q7495">
        <v>0</v>
      </c>
      <c r="R7495" t="s">
        <v>47431</v>
      </c>
      <c r="S7495" t="s">
        <v>47565</v>
      </c>
      <c r="T7495" t="s">
        <v>49160</v>
      </c>
      <c r="U7495" t="s">
        <v>55933</v>
      </c>
      <c r="W7495" t="s">
        <v>44061</v>
      </c>
      <c r="X7495" t="s">
        <v>47432</v>
      </c>
    </row>
    <row r="7496" spans="1:24">
      <c r="A7496">
        <f>HYPERLINK("https://www.philgeps.gov.ph/GEPSNONPILOT/Tender/SplashBidNoticeAbstractUI.aspx?menuIndex=3&amp;refID=7157942&amp;Result=3","7157942")</f>
        <v>0</v>
      </c>
      <c r="B7496" t="s">
        <v>1564</v>
      </c>
      <c r="C7496" t="s">
        <v>10951</v>
      </c>
      <c r="D7496" t="s">
        <v>19049</v>
      </c>
      <c r="E7496" t="s">
        <v>25620</v>
      </c>
      <c r="F7496" t="s">
        <v>32831</v>
      </c>
      <c r="G7496" t="s">
        <v>32838</v>
      </c>
      <c r="H7496" t="s">
        <v>32848</v>
      </c>
      <c r="I7496" t="s">
        <v>4222</v>
      </c>
      <c r="J7496" t="s">
        <v>37667</v>
      </c>
      <c r="K7496" t="s">
        <v>42759</v>
      </c>
      <c r="M7496" t="s">
        <v>44673</v>
      </c>
      <c r="N7496" t="s">
        <v>47424</v>
      </c>
      <c r="O7496" t="s">
        <v>47425</v>
      </c>
      <c r="P7496">
        <v>0</v>
      </c>
      <c r="Q7496">
        <v>1</v>
      </c>
      <c r="R7496" t="s">
        <v>47431</v>
      </c>
      <c r="S7496" t="s">
        <v>47565</v>
      </c>
      <c r="T7496" t="s">
        <v>49104</v>
      </c>
      <c r="U7496" t="s">
        <v>55934</v>
      </c>
      <c r="W7496" t="s">
        <v>44673</v>
      </c>
      <c r="X7496" t="s">
        <v>47432</v>
      </c>
    </row>
    <row r="7497" spans="1:24">
      <c r="A7497">
        <f>HYPERLINK("https://www.philgeps.gov.ph/GEPSNONPILOT/Tender/SplashBidNoticeAbstractUI.aspx?menuIndex=3&amp;refID=7157940&amp;Result=3","7157940")</f>
        <v>0</v>
      </c>
      <c r="B7497" t="s">
        <v>2559</v>
      </c>
      <c r="C7497" t="s">
        <v>10952</v>
      </c>
      <c r="D7497" t="s">
        <v>19018</v>
      </c>
      <c r="E7497" t="s">
        <v>19520</v>
      </c>
      <c r="F7497" t="s">
        <v>32831</v>
      </c>
      <c r="G7497" t="s">
        <v>32840</v>
      </c>
      <c r="H7497" t="s">
        <v>32848</v>
      </c>
      <c r="I7497" t="s">
        <v>32950</v>
      </c>
      <c r="J7497" t="s">
        <v>33562</v>
      </c>
      <c r="K7497" t="s">
        <v>42759</v>
      </c>
      <c r="M7497" t="s">
        <v>45772</v>
      </c>
      <c r="N7497" t="s">
        <v>47424</v>
      </c>
      <c r="O7497" t="s">
        <v>47425</v>
      </c>
      <c r="P7497">
        <v>0</v>
      </c>
      <c r="Q7497">
        <v>0</v>
      </c>
      <c r="R7497" t="s">
        <v>47431</v>
      </c>
      <c r="S7497" t="s">
        <v>47565</v>
      </c>
      <c r="T7497" t="s">
        <v>49079</v>
      </c>
      <c r="U7497" t="s">
        <v>55935</v>
      </c>
      <c r="W7497" t="s">
        <v>45772</v>
      </c>
      <c r="X7497" t="s">
        <v>47432</v>
      </c>
    </row>
    <row r="7498" spans="1:24">
      <c r="A7498">
        <f>HYPERLINK("https://www.philgeps.gov.ph/GEPSNONPILOT/Tender/SplashBidNoticeAbstractUI.aspx?menuIndex=3&amp;refID=7157839&amp;Result=3","7157839")</f>
        <v>0</v>
      </c>
      <c r="B7498" t="s">
        <v>868</v>
      </c>
      <c r="C7498" t="s">
        <v>10953</v>
      </c>
      <c r="D7498" t="s">
        <v>19073</v>
      </c>
      <c r="E7498" t="s">
        <v>10953</v>
      </c>
      <c r="F7498" t="s">
        <v>32831</v>
      </c>
      <c r="G7498" t="s">
        <v>32838</v>
      </c>
      <c r="H7498" t="s">
        <v>32848</v>
      </c>
      <c r="I7498" t="s">
        <v>4558</v>
      </c>
      <c r="J7498" t="s">
        <v>37668</v>
      </c>
      <c r="K7498" t="s">
        <v>42726</v>
      </c>
      <c r="M7498" t="s">
        <v>44064</v>
      </c>
      <c r="N7498" t="s">
        <v>47424</v>
      </c>
      <c r="O7498" t="s">
        <v>47425</v>
      </c>
      <c r="P7498">
        <v>0</v>
      </c>
      <c r="Q7498">
        <v>0</v>
      </c>
      <c r="R7498" t="s">
        <v>47431</v>
      </c>
      <c r="S7498" t="s">
        <v>47565</v>
      </c>
      <c r="T7498" t="s">
        <v>49212</v>
      </c>
      <c r="U7498" t="s">
        <v>55936</v>
      </c>
      <c r="W7498" t="s">
        <v>44064</v>
      </c>
      <c r="X7498" t="s">
        <v>47432</v>
      </c>
    </row>
    <row r="7499" spans="1:24">
      <c r="A7499">
        <f>HYPERLINK("https://www.philgeps.gov.ph/GEPSNONPILOT/Tender/SplashBidNoticeAbstractUI.aspx?menuIndex=3&amp;refID=7157938&amp;Result=3","7157938")</f>
        <v>0</v>
      </c>
      <c r="B7499" t="s">
        <v>2025</v>
      </c>
      <c r="C7499" t="s">
        <v>10954</v>
      </c>
      <c r="D7499" t="s">
        <v>19064</v>
      </c>
      <c r="E7499" t="s">
        <v>25621</v>
      </c>
      <c r="F7499" t="s">
        <v>32831</v>
      </c>
      <c r="G7499" t="s">
        <v>32840</v>
      </c>
      <c r="H7499" t="s">
        <v>32848</v>
      </c>
      <c r="I7499" t="s">
        <v>32867</v>
      </c>
      <c r="J7499" t="s">
        <v>33993</v>
      </c>
      <c r="K7499" t="s">
        <v>42731</v>
      </c>
      <c r="M7499" t="s">
        <v>45193</v>
      </c>
      <c r="N7499" t="s">
        <v>47424</v>
      </c>
      <c r="O7499" t="s">
        <v>47425</v>
      </c>
      <c r="P7499">
        <v>0</v>
      </c>
      <c r="Q7499">
        <v>1</v>
      </c>
      <c r="R7499" t="s">
        <v>47431</v>
      </c>
      <c r="S7499" t="s">
        <v>47565</v>
      </c>
      <c r="T7499" t="s">
        <v>49210</v>
      </c>
      <c r="U7499" t="s">
        <v>54289</v>
      </c>
      <c r="W7499" t="s">
        <v>45193</v>
      </c>
      <c r="X7499" t="s">
        <v>47432</v>
      </c>
    </row>
    <row r="7500" spans="1:24">
      <c r="A7500">
        <f>HYPERLINK("https://www.philgeps.gov.ph/GEPSNONPILOT/Tender/SplashBidNoticeAbstractUI.aspx?menuIndex=3&amp;refID=7157936&amp;Result=3","7157936")</f>
        <v>0</v>
      </c>
      <c r="B7500" t="s">
        <v>744</v>
      </c>
      <c r="C7500" t="s">
        <v>10955</v>
      </c>
      <c r="D7500" t="s">
        <v>19017</v>
      </c>
      <c r="E7500" t="s">
        <v>25622</v>
      </c>
      <c r="F7500" t="s">
        <v>32831</v>
      </c>
      <c r="G7500" t="s">
        <v>32838</v>
      </c>
      <c r="H7500" t="s">
        <v>32848</v>
      </c>
      <c r="I7500" t="s">
        <v>4438</v>
      </c>
      <c r="J7500" t="s">
        <v>37669</v>
      </c>
      <c r="K7500" t="s">
        <v>42726</v>
      </c>
      <c r="M7500" t="s">
        <v>44219</v>
      </c>
      <c r="N7500" t="s">
        <v>47424</v>
      </c>
      <c r="O7500" t="s">
        <v>47425</v>
      </c>
      <c r="P7500">
        <v>0</v>
      </c>
      <c r="Q7500">
        <v>0</v>
      </c>
      <c r="R7500" t="s">
        <v>47431</v>
      </c>
      <c r="S7500" t="s">
        <v>47565</v>
      </c>
      <c r="T7500" t="s">
        <v>49237</v>
      </c>
      <c r="U7500" t="s">
        <v>52446</v>
      </c>
      <c r="W7500" t="s">
        <v>44219</v>
      </c>
      <c r="X7500" t="s">
        <v>47432</v>
      </c>
    </row>
    <row r="7501" spans="1:24">
      <c r="A7501">
        <f>HYPERLINK("https://www.philgeps.gov.ph/GEPSNONPILOT/Tender/SplashBidNoticeAbstractUI.aspx?menuIndex=3&amp;refID=7157935&amp;Result=3","7157935")</f>
        <v>0</v>
      </c>
      <c r="B7501" t="s">
        <v>658</v>
      </c>
      <c r="C7501" t="s">
        <v>10956</v>
      </c>
      <c r="D7501" t="s">
        <v>19057</v>
      </c>
      <c r="E7501" t="s">
        <v>25623</v>
      </c>
      <c r="F7501" t="s">
        <v>32831</v>
      </c>
      <c r="G7501" t="s">
        <v>32840</v>
      </c>
      <c r="H7501" t="s">
        <v>32848</v>
      </c>
      <c r="I7501" t="s">
        <v>32903</v>
      </c>
      <c r="J7501" t="s">
        <v>35715</v>
      </c>
      <c r="K7501" t="s">
        <v>42759</v>
      </c>
      <c r="M7501" t="s">
        <v>43676</v>
      </c>
      <c r="N7501" t="s">
        <v>47424</v>
      </c>
      <c r="O7501" t="s">
        <v>47425</v>
      </c>
      <c r="P7501">
        <v>0</v>
      </c>
      <c r="Q7501">
        <v>2</v>
      </c>
      <c r="R7501" t="s">
        <v>47431</v>
      </c>
      <c r="S7501" t="s">
        <v>47565</v>
      </c>
      <c r="T7501" t="s">
        <v>49107</v>
      </c>
      <c r="U7501" t="s">
        <v>55937</v>
      </c>
      <c r="W7501" t="s">
        <v>43676</v>
      </c>
      <c r="X7501" t="s">
        <v>47432</v>
      </c>
    </row>
    <row r="7502" spans="1:24">
      <c r="A7502">
        <f>HYPERLINK("https://www.philgeps.gov.ph/GEPSNONPILOT/Tender/SplashBidNoticeAbstractUI.aspx?menuIndex=3&amp;refID=7157952&amp;Result=3","7157952")</f>
        <v>0</v>
      </c>
      <c r="B7502" t="s">
        <v>2366</v>
      </c>
      <c r="C7502" t="s">
        <v>10957</v>
      </c>
      <c r="D7502" t="s">
        <v>19060</v>
      </c>
      <c r="E7502" t="s">
        <v>25624</v>
      </c>
      <c r="F7502" t="s">
        <v>32831</v>
      </c>
      <c r="G7502" t="s">
        <v>32839</v>
      </c>
      <c r="H7502" t="s">
        <v>32848</v>
      </c>
      <c r="I7502" t="s">
        <v>32855</v>
      </c>
      <c r="J7502" t="s">
        <v>35498</v>
      </c>
      <c r="K7502" t="s">
        <v>42727</v>
      </c>
      <c r="M7502" t="s">
        <v>45556</v>
      </c>
      <c r="N7502" t="s">
        <v>47424</v>
      </c>
      <c r="O7502" t="s">
        <v>47425</v>
      </c>
      <c r="P7502">
        <v>0</v>
      </c>
      <c r="Q7502">
        <v>0</v>
      </c>
      <c r="R7502" t="s">
        <v>47431</v>
      </c>
      <c r="S7502" t="s">
        <v>47565</v>
      </c>
      <c r="T7502" t="s">
        <v>49160</v>
      </c>
      <c r="U7502" t="s">
        <v>55938</v>
      </c>
      <c r="W7502" t="s">
        <v>45556</v>
      </c>
      <c r="X7502" t="s">
        <v>47432</v>
      </c>
    </row>
    <row r="7503" spans="1:24">
      <c r="A7503">
        <f>HYPERLINK("https://www.philgeps.gov.ph/GEPSNONPILOT/Tender/SplashBidNoticeAbstractUI.aspx?menuIndex=3&amp;refID=7157933&amp;Result=3","7157933")</f>
        <v>0</v>
      </c>
      <c r="B7503" t="s">
        <v>2478</v>
      </c>
      <c r="C7503" t="s">
        <v>10958</v>
      </c>
      <c r="D7503" t="s">
        <v>19037</v>
      </c>
      <c r="E7503" t="s">
        <v>25625</v>
      </c>
      <c r="F7503" t="s">
        <v>32831</v>
      </c>
      <c r="G7503" t="s">
        <v>32839</v>
      </c>
      <c r="H7503" t="s">
        <v>32848</v>
      </c>
      <c r="I7503" t="s">
        <v>7416</v>
      </c>
      <c r="J7503" t="s">
        <v>37670</v>
      </c>
      <c r="K7503" t="s">
        <v>42727</v>
      </c>
      <c r="M7503" t="s">
        <v>45680</v>
      </c>
      <c r="N7503" t="s">
        <v>47424</v>
      </c>
      <c r="O7503" t="s">
        <v>47425</v>
      </c>
      <c r="P7503">
        <v>0</v>
      </c>
      <c r="Q7503">
        <v>0</v>
      </c>
      <c r="R7503" t="s">
        <v>47431</v>
      </c>
      <c r="S7503" t="s">
        <v>47565</v>
      </c>
      <c r="T7503" t="s">
        <v>49079</v>
      </c>
      <c r="U7503" t="s">
        <v>55939</v>
      </c>
      <c r="V7503" t="s">
        <v>63454</v>
      </c>
      <c r="W7503" t="s">
        <v>45680</v>
      </c>
      <c r="X7503" t="s">
        <v>47432</v>
      </c>
    </row>
    <row r="7504" spans="1:24">
      <c r="A7504">
        <f>HYPERLINK("https://www.philgeps.gov.ph/GEPSNONPILOT/Tender/SplashBidNoticeAbstractUI.aspx?menuIndex=3&amp;refID=7157937&amp;Result=3","7157937")</f>
        <v>0</v>
      </c>
      <c r="B7504" t="s">
        <v>689</v>
      </c>
      <c r="C7504" t="s">
        <v>10959</v>
      </c>
      <c r="E7504" t="s">
        <v>25626</v>
      </c>
      <c r="F7504" t="s">
        <v>32831</v>
      </c>
      <c r="G7504" t="s">
        <v>32838</v>
      </c>
      <c r="H7504" t="s">
        <v>32848</v>
      </c>
      <c r="I7504" t="s">
        <v>32856</v>
      </c>
      <c r="J7504" t="s">
        <v>37671</v>
      </c>
      <c r="K7504" t="s">
        <v>42732</v>
      </c>
      <c r="M7504" t="s">
        <v>45151</v>
      </c>
      <c r="N7504" t="s">
        <v>47424</v>
      </c>
      <c r="O7504" t="s">
        <v>47425</v>
      </c>
      <c r="Q7504">
        <v>4</v>
      </c>
      <c r="R7504" t="s">
        <v>47431</v>
      </c>
      <c r="S7504" t="s">
        <v>47589</v>
      </c>
      <c r="T7504" t="s">
        <v>49096</v>
      </c>
      <c r="U7504" t="s">
        <v>55940</v>
      </c>
      <c r="V7504" t="s">
        <v>63462</v>
      </c>
      <c r="W7504" t="s">
        <v>45151</v>
      </c>
      <c r="X7504" t="s">
        <v>47432</v>
      </c>
    </row>
    <row r="7505" spans="1:24">
      <c r="A7505">
        <f>HYPERLINK("https://www.philgeps.gov.ph/GEPSNONPILOT/Tender/SplashBidNoticeAbstractUI.aspx?menuIndex=3&amp;refID=7157887&amp;Result=3","7157887")</f>
        <v>0</v>
      </c>
      <c r="B7505" t="s">
        <v>2545</v>
      </c>
      <c r="C7505" t="s">
        <v>10960</v>
      </c>
      <c r="D7505" t="s">
        <v>19021</v>
      </c>
      <c r="E7505" t="s">
        <v>25627</v>
      </c>
      <c r="F7505" t="s">
        <v>32831</v>
      </c>
      <c r="G7505" t="s">
        <v>32838</v>
      </c>
      <c r="H7505" t="s">
        <v>32848</v>
      </c>
      <c r="I7505" t="s">
        <v>32905</v>
      </c>
      <c r="J7505" t="s">
        <v>35051</v>
      </c>
      <c r="K7505" t="s">
        <v>42774</v>
      </c>
      <c r="M7505" t="s">
        <v>45756</v>
      </c>
      <c r="N7505" t="s">
        <v>47424</v>
      </c>
      <c r="O7505" t="s">
        <v>47425</v>
      </c>
      <c r="P7505">
        <v>0</v>
      </c>
      <c r="Q7505">
        <v>3</v>
      </c>
      <c r="R7505" t="s">
        <v>47431</v>
      </c>
      <c r="S7505" t="s">
        <v>47565</v>
      </c>
      <c r="T7505" t="s">
        <v>49163</v>
      </c>
      <c r="U7505" t="s">
        <v>55941</v>
      </c>
      <c r="W7505" t="s">
        <v>45756</v>
      </c>
      <c r="X7505" t="s">
        <v>47432</v>
      </c>
    </row>
    <row r="7506" spans="1:24">
      <c r="A7506">
        <f>HYPERLINK("https://www.philgeps.gov.ph/GEPSNONPILOT/Tender/SplashBidNoticeAbstractUI.aspx?menuIndex=3&amp;refID=7158005&amp;Result=3","7158005")</f>
        <v>0</v>
      </c>
      <c r="B7506" t="s">
        <v>744</v>
      </c>
      <c r="C7506" t="s">
        <v>10961</v>
      </c>
      <c r="D7506" t="s">
        <v>19017</v>
      </c>
      <c r="E7506" t="s">
        <v>25628</v>
      </c>
      <c r="F7506" t="s">
        <v>32831</v>
      </c>
      <c r="G7506" t="s">
        <v>32838</v>
      </c>
      <c r="H7506" t="s">
        <v>32848</v>
      </c>
      <c r="I7506" t="s">
        <v>4222</v>
      </c>
      <c r="J7506" t="s">
        <v>35355</v>
      </c>
      <c r="K7506" t="s">
        <v>42726</v>
      </c>
      <c r="M7506" t="s">
        <v>45773</v>
      </c>
      <c r="N7506" t="s">
        <v>47424</v>
      </c>
      <c r="O7506" t="s">
        <v>47425</v>
      </c>
      <c r="P7506">
        <v>0</v>
      </c>
      <c r="Q7506">
        <v>0</v>
      </c>
      <c r="R7506" t="s">
        <v>47431</v>
      </c>
      <c r="S7506" t="s">
        <v>47565</v>
      </c>
      <c r="T7506" t="s">
        <v>49237</v>
      </c>
      <c r="U7506" t="s">
        <v>51041</v>
      </c>
      <c r="W7506" t="s">
        <v>45773</v>
      </c>
      <c r="X7506" t="s">
        <v>47432</v>
      </c>
    </row>
    <row r="7507" spans="1:24">
      <c r="A7507">
        <f>HYPERLINK("https://www.philgeps.gov.ph/GEPSNONPILOT/Tender/SplashBidNoticeAbstractUI.aspx?menuIndex=3&amp;refID=7157931&amp;Result=3","7157931")</f>
        <v>0</v>
      </c>
      <c r="B7507" t="s">
        <v>2545</v>
      </c>
      <c r="C7507" t="s">
        <v>10962</v>
      </c>
      <c r="D7507" t="s">
        <v>19045</v>
      </c>
      <c r="E7507" t="s">
        <v>25629</v>
      </c>
      <c r="F7507" t="s">
        <v>32831</v>
      </c>
      <c r="G7507" t="s">
        <v>32838</v>
      </c>
      <c r="H7507" t="s">
        <v>32848</v>
      </c>
      <c r="I7507" t="s">
        <v>32905</v>
      </c>
      <c r="J7507" t="s">
        <v>36708</v>
      </c>
      <c r="K7507" t="s">
        <v>42774</v>
      </c>
      <c r="M7507" t="s">
        <v>45756</v>
      </c>
      <c r="N7507" t="s">
        <v>47424</v>
      </c>
      <c r="O7507" t="s">
        <v>47425</v>
      </c>
      <c r="P7507">
        <v>0</v>
      </c>
      <c r="Q7507">
        <v>3</v>
      </c>
      <c r="R7507" t="s">
        <v>47431</v>
      </c>
      <c r="S7507" t="s">
        <v>47565</v>
      </c>
      <c r="T7507" t="s">
        <v>49163</v>
      </c>
      <c r="U7507" t="s">
        <v>55942</v>
      </c>
      <c r="W7507" t="s">
        <v>45756</v>
      </c>
      <c r="X7507" t="s">
        <v>47432</v>
      </c>
    </row>
    <row r="7508" spans="1:24">
      <c r="A7508">
        <f>HYPERLINK("https://www.philgeps.gov.ph/GEPSNONPILOT/Tender/SplashBidNoticeAbstractUI.aspx?menuIndex=3&amp;refID=7157999&amp;Result=3","7157999")</f>
        <v>0</v>
      </c>
      <c r="B7508" t="s">
        <v>1447</v>
      </c>
      <c r="C7508" t="s">
        <v>10963</v>
      </c>
      <c r="D7508" t="s">
        <v>19057</v>
      </c>
      <c r="E7508" t="s">
        <v>25630</v>
      </c>
      <c r="F7508" t="s">
        <v>32831</v>
      </c>
      <c r="G7508" t="s">
        <v>32839</v>
      </c>
      <c r="H7508" t="s">
        <v>32848</v>
      </c>
      <c r="I7508" t="s">
        <v>6526</v>
      </c>
      <c r="J7508" t="s">
        <v>33044</v>
      </c>
      <c r="K7508" t="s">
        <v>42726</v>
      </c>
      <c r="M7508" t="s">
        <v>44539</v>
      </c>
      <c r="N7508" t="s">
        <v>47424</v>
      </c>
      <c r="O7508" t="s">
        <v>47425</v>
      </c>
      <c r="P7508">
        <v>0</v>
      </c>
      <c r="Q7508">
        <v>1</v>
      </c>
      <c r="R7508" t="s">
        <v>47431</v>
      </c>
      <c r="S7508" t="s">
        <v>47565</v>
      </c>
      <c r="T7508" t="s">
        <v>49056</v>
      </c>
      <c r="U7508" t="s">
        <v>55943</v>
      </c>
      <c r="V7508" t="s">
        <v>63002</v>
      </c>
      <c r="W7508" t="s">
        <v>44539</v>
      </c>
      <c r="X7508" t="s">
        <v>47432</v>
      </c>
    </row>
    <row r="7509" spans="1:24">
      <c r="A7509">
        <f>HYPERLINK("https://www.philgeps.gov.ph/GEPSNONPILOT/Tender/SplashBidNoticeAbstractUI.aspx?menuIndex=3&amp;refID=7157997&amp;Result=3","7157997")</f>
        <v>0</v>
      </c>
      <c r="B7509" t="s">
        <v>114</v>
      </c>
      <c r="C7509" t="s">
        <v>10964</v>
      </c>
      <c r="D7509" t="s">
        <v>19050</v>
      </c>
      <c r="E7509" t="s">
        <v>25631</v>
      </c>
      <c r="F7509" t="s">
        <v>32831</v>
      </c>
      <c r="G7509" t="s">
        <v>32838</v>
      </c>
      <c r="H7509" t="s">
        <v>32848</v>
      </c>
      <c r="I7509" t="s">
        <v>5379</v>
      </c>
      <c r="J7509" t="s">
        <v>36918</v>
      </c>
      <c r="K7509" t="s">
        <v>42731</v>
      </c>
      <c r="L7509" t="s">
        <v>114</v>
      </c>
      <c r="M7509" t="s">
        <v>43111</v>
      </c>
      <c r="N7509" t="s">
        <v>47424</v>
      </c>
      <c r="O7509" t="s">
        <v>47425</v>
      </c>
      <c r="P7509">
        <v>0</v>
      </c>
      <c r="Q7509">
        <v>0</v>
      </c>
      <c r="R7509" t="s">
        <v>47431</v>
      </c>
      <c r="S7509" t="s">
        <v>47565</v>
      </c>
      <c r="T7509" t="s">
        <v>49229</v>
      </c>
      <c r="U7509" t="s">
        <v>49824</v>
      </c>
      <c r="W7509" t="s">
        <v>43111</v>
      </c>
      <c r="X7509" t="s">
        <v>47432</v>
      </c>
    </row>
    <row r="7510" spans="1:24">
      <c r="A7510">
        <f>HYPERLINK("https://www.philgeps.gov.ph/GEPSNONPILOT/Tender/SplashBidNoticeAbstractUI.aspx?menuIndex=3&amp;refID=7157927&amp;Result=3","7157927")</f>
        <v>0</v>
      </c>
      <c r="B7510" t="s">
        <v>2560</v>
      </c>
      <c r="C7510" t="s">
        <v>10965</v>
      </c>
      <c r="D7510" t="s">
        <v>19042</v>
      </c>
      <c r="E7510" t="s">
        <v>25632</v>
      </c>
      <c r="F7510" t="s">
        <v>32831</v>
      </c>
      <c r="G7510" t="s">
        <v>32839</v>
      </c>
      <c r="H7510" t="s">
        <v>14069</v>
      </c>
      <c r="I7510" t="s">
        <v>14069</v>
      </c>
      <c r="J7510" t="s">
        <v>37672</v>
      </c>
      <c r="K7510" t="s">
        <v>42770</v>
      </c>
      <c r="M7510" t="s">
        <v>45774</v>
      </c>
      <c r="N7510" t="s">
        <v>47424</v>
      </c>
      <c r="O7510" t="s">
        <v>47425</v>
      </c>
      <c r="P7510">
        <v>0</v>
      </c>
      <c r="Q7510">
        <v>5</v>
      </c>
      <c r="R7510" t="s">
        <v>47431</v>
      </c>
      <c r="S7510" t="s">
        <v>47565</v>
      </c>
      <c r="T7510" t="s">
        <v>49056</v>
      </c>
      <c r="U7510" t="s">
        <v>55944</v>
      </c>
      <c r="W7510" t="s">
        <v>45774</v>
      </c>
      <c r="X7510" t="s">
        <v>47432</v>
      </c>
    </row>
    <row r="7511" spans="1:24">
      <c r="A7511">
        <f>HYPERLINK("https://www.philgeps.gov.ph/GEPSNONPILOT/Tender/SplashBidNoticeAbstractUI.aspx?menuIndex=3&amp;refID=7157995&amp;Result=3","7157995")</f>
        <v>0</v>
      </c>
      <c r="B7511" t="s">
        <v>2557</v>
      </c>
      <c r="C7511" t="s">
        <v>10966</v>
      </c>
      <c r="D7511" t="s">
        <v>19045</v>
      </c>
      <c r="E7511" t="s">
        <v>25633</v>
      </c>
      <c r="F7511" t="s">
        <v>32831</v>
      </c>
      <c r="G7511" t="s">
        <v>32839</v>
      </c>
      <c r="H7511" t="s">
        <v>32849</v>
      </c>
      <c r="I7511" t="s">
        <v>4177</v>
      </c>
      <c r="J7511" t="s">
        <v>32985</v>
      </c>
      <c r="K7511" t="s">
        <v>42730</v>
      </c>
      <c r="M7511" t="s">
        <v>45769</v>
      </c>
      <c r="N7511" t="s">
        <v>47424</v>
      </c>
      <c r="O7511" t="s">
        <v>47425</v>
      </c>
      <c r="P7511">
        <v>0</v>
      </c>
      <c r="Q7511">
        <v>0</v>
      </c>
      <c r="R7511" t="s">
        <v>47431</v>
      </c>
      <c r="S7511" t="s">
        <v>47565</v>
      </c>
      <c r="T7511" t="s">
        <v>49393</v>
      </c>
      <c r="U7511" t="s">
        <v>55945</v>
      </c>
      <c r="W7511" t="s">
        <v>45769</v>
      </c>
      <c r="X7511" t="s">
        <v>47432</v>
      </c>
    </row>
    <row r="7512" spans="1:24">
      <c r="A7512">
        <f>HYPERLINK("https://www.philgeps.gov.ph/GEPSNONPILOT/Tender/SplashBidNoticeAbstractUI.aspx?menuIndex=3&amp;refID=7158003&amp;Result=3","7158003")</f>
        <v>0</v>
      </c>
      <c r="B7512" t="s">
        <v>2073</v>
      </c>
      <c r="C7512" t="s">
        <v>10967</v>
      </c>
      <c r="D7512" t="s">
        <v>19061</v>
      </c>
      <c r="E7512" t="s">
        <v>25634</v>
      </c>
      <c r="F7512" t="s">
        <v>32831</v>
      </c>
      <c r="G7512" t="s">
        <v>32839</v>
      </c>
      <c r="H7512" t="s">
        <v>32848</v>
      </c>
      <c r="I7512" t="s">
        <v>32870</v>
      </c>
      <c r="J7512" t="s">
        <v>37673</v>
      </c>
      <c r="K7512" t="s">
        <v>42730</v>
      </c>
      <c r="M7512" t="s">
        <v>45243</v>
      </c>
      <c r="N7512" t="s">
        <v>47424</v>
      </c>
      <c r="O7512" t="s">
        <v>47425</v>
      </c>
      <c r="P7512">
        <v>0</v>
      </c>
      <c r="Q7512">
        <v>0</v>
      </c>
      <c r="R7512" t="s">
        <v>47431</v>
      </c>
      <c r="S7512" t="s">
        <v>47565</v>
      </c>
      <c r="T7512" t="s">
        <v>49192</v>
      </c>
      <c r="U7512" t="s">
        <v>55946</v>
      </c>
      <c r="W7512" t="s">
        <v>45243</v>
      </c>
      <c r="X7512" t="s">
        <v>47432</v>
      </c>
    </row>
    <row r="7513" spans="1:24">
      <c r="A7513">
        <f>HYPERLINK("https://www.philgeps.gov.ph/GEPSNONPILOT/Tender/SplashBidNoticeAbstractUI.aspx?menuIndex=3&amp;refID=7157994&amp;Result=3","7157994")</f>
        <v>0</v>
      </c>
      <c r="B7513" t="s">
        <v>228</v>
      </c>
      <c r="C7513" t="s">
        <v>10968</v>
      </c>
      <c r="D7513" t="s">
        <v>19033</v>
      </c>
      <c r="E7513" t="s">
        <v>25635</v>
      </c>
      <c r="F7513" t="s">
        <v>32831</v>
      </c>
      <c r="G7513" t="s">
        <v>32838</v>
      </c>
      <c r="H7513" t="s">
        <v>32848</v>
      </c>
      <c r="I7513" t="s">
        <v>7751</v>
      </c>
      <c r="J7513" t="s">
        <v>33090</v>
      </c>
      <c r="K7513" t="s">
        <v>42730</v>
      </c>
      <c r="M7513" t="s">
        <v>43791</v>
      </c>
      <c r="N7513" t="s">
        <v>47424</v>
      </c>
      <c r="O7513" t="s">
        <v>47425</v>
      </c>
      <c r="P7513">
        <v>0</v>
      </c>
      <c r="Q7513">
        <v>1</v>
      </c>
      <c r="R7513" t="s">
        <v>47431</v>
      </c>
      <c r="S7513" t="s">
        <v>47565</v>
      </c>
      <c r="T7513" t="s">
        <v>49235</v>
      </c>
      <c r="U7513" t="s">
        <v>55947</v>
      </c>
      <c r="W7513" t="s">
        <v>43791</v>
      </c>
      <c r="X7513" t="s">
        <v>47432</v>
      </c>
    </row>
    <row r="7514" spans="1:24">
      <c r="A7514">
        <f>HYPERLINK("https://www.philgeps.gov.ph/GEPSNONPILOT/Tender/SplashBidNoticeAbstractUI.aspx?menuIndex=3&amp;refID=7157958&amp;Result=3","7157958")</f>
        <v>0</v>
      </c>
      <c r="B7514" t="s">
        <v>2545</v>
      </c>
      <c r="C7514" t="s">
        <v>10969</v>
      </c>
      <c r="D7514" t="s">
        <v>19091</v>
      </c>
      <c r="E7514" t="s">
        <v>25636</v>
      </c>
      <c r="F7514" t="s">
        <v>32831</v>
      </c>
      <c r="G7514" t="s">
        <v>32838</v>
      </c>
      <c r="H7514" t="s">
        <v>32848</v>
      </c>
      <c r="I7514" t="s">
        <v>32905</v>
      </c>
      <c r="J7514" t="s">
        <v>33072</v>
      </c>
      <c r="K7514" t="s">
        <v>42774</v>
      </c>
      <c r="M7514" t="s">
        <v>45756</v>
      </c>
      <c r="N7514" t="s">
        <v>47424</v>
      </c>
      <c r="O7514" t="s">
        <v>47425</v>
      </c>
      <c r="P7514">
        <v>0</v>
      </c>
      <c r="Q7514">
        <v>3</v>
      </c>
      <c r="R7514" t="s">
        <v>47431</v>
      </c>
      <c r="S7514" t="s">
        <v>47565</v>
      </c>
      <c r="T7514" t="s">
        <v>49163</v>
      </c>
      <c r="U7514" t="s">
        <v>55948</v>
      </c>
      <c r="W7514" t="s">
        <v>45756</v>
      </c>
      <c r="X7514" t="s">
        <v>47432</v>
      </c>
    </row>
    <row r="7515" spans="1:24">
      <c r="A7515">
        <f>HYPERLINK("https://www.philgeps.gov.ph/GEPSNONPILOT/Tender/SplashBidNoticeAbstractUI.aspx?menuIndex=3&amp;refID=7157943&amp;Result=3","7157943")</f>
        <v>0</v>
      </c>
      <c r="B7515" t="s">
        <v>1627</v>
      </c>
      <c r="C7515" t="s">
        <v>10970</v>
      </c>
      <c r="D7515" t="s">
        <v>19023</v>
      </c>
      <c r="E7515" t="s">
        <v>25637</v>
      </c>
      <c r="F7515" t="s">
        <v>32831</v>
      </c>
      <c r="G7515" t="s">
        <v>32839</v>
      </c>
      <c r="H7515" t="s">
        <v>32848</v>
      </c>
      <c r="I7515" t="s">
        <v>32854</v>
      </c>
      <c r="J7515" t="s">
        <v>37674</v>
      </c>
      <c r="K7515" t="s">
        <v>42727</v>
      </c>
      <c r="M7515" t="s">
        <v>44743</v>
      </c>
      <c r="N7515" t="s">
        <v>47424</v>
      </c>
      <c r="O7515" t="s">
        <v>47425</v>
      </c>
      <c r="P7515">
        <v>0</v>
      </c>
      <c r="Q7515">
        <v>3</v>
      </c>
      <c r="R7515" t="s">
        <v>47431</v>
      </c>
      <c r="S7515" t="s">
        <v>47565</v>
      </c>
      <c r="T7515" t="s">
        <v>49236</v>
      </c>
      <c r="U7515" t="s">
        <v>55949</v>
      </c>
      <c r="V7515" t="s">
        <v>63068</v>
      </c>
      <c r="W7515" t="s">
        <v>44743</v>
      </c>
      <c r="X7515" t="s">
        <v>47432</v>
      </c>
    </row>
    <row r="7516" spans="1:24">
      <c r="A7516">
        <f>HYPERLINK("https://www.philgeps.gov.ph/GEPSNONPILOT/Tender/SplashBidNoticeAbstractUI.aspx?menuIndex=3&amp;refID=7157924&amp;Result=3","7157924")</f>
        <v>0</v>
      </c>
      <c r="B7516" t="s">
        <v>1012</v>
      </c>
      <c r="C7516" t="s">
        <v>10971</v>
      </c>
      <c r="D7516" t="s">
        <v>19077</v>
      </c>
      <c r="E7516" t="s">
        <v>25638</v>
      </c>
      <c r="F7516" t="s">
        <v>32831</v>
      </c>
      <c r="G7516" t="s">
        <v>32839</v>
      </c>
      <c r="H7516" t="s">
        <v>32849</v>
      </c>
      <c r="I7516" t="s">
        <v>4177</v>
      </c>
      <c r="J7516" t="s">
        <v>37666</v>
      </c>
      <c r="K7516" t="s">
        <v>42789</v>
      </c>
      <c r="M7516" t="s">
        <v>44061</v>
      </c>
      <c r="N7516" t="s">
        <v>47424</v>
      </c>
      <c r="O7516" t="s">
        <v>47425</v>
      </c>
      <c r="P7516">
        <v>0</v>
      </c>
      <c r="Q7516">
        <v>0</v>
      </c>
      <c r="R7516" t="s">
        <v>47431</v>
      </c>
      <c r="S7516" t="s">
        <v>47565</v>
      </c>
      <c r="T7516" t="s">
        <v>49160</v>
      </c>
      <c r="U7516" t="s">
        <v>55950</v>
      </c>
      <c r="W7516" t="s">
        <v>44061</v>
      </c>
      <c r="X7516" t="s">
        <v>47432</v>
      </c>
    </row>
    <row r="7517" spans="1:24">
      <c r="A7517">
        <f>HYPERLINK("https://www.philgeps.gov.ph/GEPSNONPILOT/Tender/SplashBidNoticeAbstractUI.aspx?menuIndex=3&amp;refID=7157996&amp;Result=3","7157996")</f>
        <v>0</v>
      </c>
      <c r="B7517" t="s">
        <v>2550</v>
      </c>
      <c r="C7517" t="s">
        <v>10972</v>
      </c>
      <c r="D7517" t="s">
        <v>19085</v>
      </c>
      <c r="E7517" t="s">
        <v>25639</v>
      </c>
      <c r="F7517" t="s">
        <v>32831</v>
      </c>
      <c r="G7517" t="s">
        <v>32839</v>
      </c>
      <c r="H7517" t="s">
        <v>32848</v>
      </c>
      <c r="I7517" t="s">
        <v>32884</v>
      </c>
      <c r="J7517" t="s">
        <v>37675</v>
      </c>
      <c r="K7517" t="s">
        <v>42731</v>
      </c>
      <c r="M7517" t="s">
        <v>45762</v>
      </c>
      <c r="N7517" t="s">
        <v>47424</v>
      </c>
      <c r="O7517" t="s">
        <v>47425</v>
      </c>
      <c r="P7517">
        <v>0</v>
      </c>
      <c r="Q7517">
        <v>2</v>
      </c>
      <c r="R7517" t="s">
        <v>47431</v>
      </c>
      <c r="S7517" t="s">
        <v>47565</v>
      </c>
      <c r="T7517" t="s">
        <v>49104</v>
      </c>
      <c r="U7517" t="s">
        <v>55951</v>
      </c>
      <c r="W7517" t="s">
        <v>45762</v>
      </c>
      <c r="X7517" t="s">
        <v>47432</v>
      </c>
    </row>
    <row r="7518" spans="1:24">
      <c r="A7518">
        <f>HYPERLINK("https://www.philgeps.gov.ph/GEPSNONPILOT/Tender/SplashBidNoticeAbstractUI.aspx?menuIndex=3&amp;refID=7158040&amp;Result=3","7158040")</f>
        <v>0</v>
      </c>
      <c r="B7518" t="s">
        <v>744</v>
      </c>
      <c r="C7518" t="s">
        <v>10973</v>
      </c>
      <c r="D7518" t="s">
        <v>19017</v>
      </c>
      <c r="E7518" t="s">
        <v>25640</v>
      </c>
      <c r="F7518" t="s">
        <v>32831</v>
      </c>
      <c r="G7518" t="s">
        <v>32838</v>
      </c>
      <c r="H7518" t="s">
        <v>32848</v>
      </c>
      <c r="I7518" t="s">
        <v>4222</v>
      </c>
      <c r="J7518" t="s">
        <v>37676</v>
      </c>
      <c r="K7518" t="s">
        <v>42726</v>
      </c>
      <c r="M7518" t="s">
        <v>45773</v>
      </c>
      <c r="N7518" t="s">
        <v>47424</v>
      </c>
      <c r="O7518" t="s">
        <v>47425</v>
      </c>
      <c r="P7518">
        <v>0</v>
      </c>
      <c r="Q7518">
        <v>0</v>
      </c>
      <c r="R7518" t="s">
        <v>47431</v>
      </c>
      <c r="S7518" t="s">
        <v>47565</v>
      </c>
      <c r="T7518" t="s">
        <v>49237</v>
      </c>
      <c r="U7518" t="s">
        <v>51041</v>
      </c>
      <c r="W7518" t="s">
        <v>45773</v>
      </c>
      <c r="X7518" t="s">
        <v>47432</v>
      </c>
    </row>
    <row r="7519" spans="1:24">
      <c r="A7519">
        <f>HYPERLINK("https://www.philgeps.gov.ph/GEPSNONPILOT/Tender/SplashBidNoticeAbstractUI.aspx?menuIndex=3&amp;refID=7157991&amp;Result=3","7157991")</f>
        <v>0</v>
      </c>
      <c r="B7519" t="s">
        <v>1215</v>
      </c>
      <c r="C7519" t="s">
        <v>10974</v>
      </c>
      <c r="D7519" t="s">
        <v>19074</v>
      </c>
      <c r="E7519" t="s">
        <v>25641</v>
      </c>
      <c r="F7519" t="s">
        <v>32831</v>
      </c>
      <c r="G7519" t="s">
        <v>32839</v>
      </c>
      <c r="H7519" t="s">
        <v>32848</v>
      </c>
      <c r="I7519" t="s">
        <v>5379</v>
      </c>
      <c r="J7519" t="s">
        <v>37677</v>
      </c>
      <c r="K7519" t="s">
        <v>42748</v>
      </c>
      <c r="M7519" t="s">
        <v>44283</v>
      </c>
      <c r="N7519" t="s">
        <v>47424</v>
      </c>
      <c r="O7519" t="s">
        <v>47425</v>
      </c>
      <c r="P7519">
        <v>0</v>
      </c>
      <c r="Q7519">
        <v>1</v>
      </c>
      <c r="R7519" t="s">
        <v>47431</v>
      </c>
      <c r="S7519" t="s">
        <v>47565</v>
      </c>
      <c r="T7519" t="s">
        <v>49407</v>
      </c>
      <c r="U7519" t="s">
        <v>55952</v>
      </c>
      <c r="W7519" t="s">
        <v>44283</v>
      </c>
      <c r="X7519" t="s">
        <v>47432</v>
      </c>
    </row>
    <row r="7520" spans="1:24">
      <c r="A7520">
        <f>HYPERLINK("https://www.philgeps.gov.ph/GEPSNONPILOT/Tender/SplashBidNoticeAbstractUI.aspx?menuIndex=3&amp;refID=7157987&amp;Result=3","7157987")</f>
        <v>0</v>
      </c>
      <c r="B7520" t="s">
        <v>725</v>
      </c>
      <c r="C7520" t="s">
        <v>10975</v>
      </c>
      <c r="D7520" t="s">
        <v>19052</v>
      </c>
      <c r="E7520" t="s">
        <v>25642</v>
      </c>
      <c r="F7520" t="s">
        <v>32831</v>
      </c>
      <c r="G7520" t="s">
        <v>32838</v>
      </c>
      <c r="H7520" t="s">
        <v>32848</v>
      </c>
      <c r="I7520" t="s">
        <v>4438</v>
      </c>
      <c r="J7520" t="s">
        <v>37678</v>
      </c>
      <c r="K7520" t="s">
        <v>42731</v>
      </c>
      <c r="M7520" t="s">
        <v>43793</v>
      </c>
      <c r="N7520" t="s">
        <v>47424</v>
      </c>
      <c r="O7520" t="s">
        <v>47425</v>
      </c>
      <c r="P7520">
        <v>0</v>
      </c>
      <c r="Q7520">
        <v>1</v>
      </c>
      <c r="R7520" t="s">
        <v>47431</v>
      </c>
      <c r="S7520" t="s">
        <v>47565</v>
      </c>
      <c r="T7520" t="s">
        <v>49237</v>
      </c>
      <c r="U7520" t="s">
        <v>55953</v>
      </c>
      <c r="W7520" t="s">
        <v>43793</v>
      </c>
      <c r="X7520" t="s">
        <v>47432</v>
      </c>
    </row>
    <row r="7521" spans="1:24">
      <c r="A7521">
        <f>HYPERLINK("https://www.philgeps.gov.ph/GEPSNONPILOT/Tender/SplashBidNoticeAbstractUI.aspx?menuIndex=3&amp;refID=7158034&amp;Result=3","7158034")</f>
        <v>0</v>
      </c>
      <c r="B7521" t="s">
        <v>2025</v>
      </c>
      <c r="C7521" t="s">
        <v>10976</v>
      </c>
      <c r="D7521" t="s">
        <v>19064</v>
      </c>
      <c r="E7521" t="s">
        <v>25643</v>
      </c>
      <c r="F7521" t="s">
        <v>32831</v>
      </c>
      <c r="G7521" t="s">
        <v>32840</v>
      </c>
      <c r="H7521" t="s">
        <v>32848</v>
      </c>
      <c r="I7521" t="s">
        <v>32870</v>
      </c>
      <c r="J7521" t="s">
        <v>37679</v>
      </c>
      <c r="K7521" t="s">
        <v>42731</v>
      </c>
      <c r="M7521" t="s">
        <v>45193</v>
      </c>
      <c r="N7521" t="s">
        <v>47424</v>
      </c>
      <c r="O7521" t="s">
        <v>47425</v>
      </c>
      <c r="P7521">
        <v>0</v>
      </c>
      <c r="Q7521">
        <v>0</v>
      </c>
      <c r="R7521" t="s">
        <v>47431</v>
      </c>
      <c r="S7521" t="s">
        <v>47565</v>
      </c>
      <c r="T7521" t="s">
        <v>49210</v>
      </c>
      <c r="U7521" t="s">
        <v>55954</v>
      </c>
      <c r="W7521" t="s">
        <v>45193</v>
      </c>
      <c r="X7521" t="s">
        <v>47432</v>
      </c>
    </row>
    <row r="7522" spans="1:24">
      <c r="A7522">
        <f>HYPERLINK("https://www.philgeps.gov.ph/GEPSNONPILOT/Tender/SplashBidNoticeAbstractUI.aspx?menuIndex=3&amp;refID=7158033&amp;Result=3","7158033")</f>
        <v>0</v>
      </c>
      <c r="B7522" t="s">
        <v>2561</v>
      </c>
      <c r="C7522" t="s">
        <v>10977</v>
      </c>
      <c r="D7522" t="s">
        <v>19017</v>
      </c>
      <c r="E7522" t="s">
        <v>25644</v>
      </c>
      <c r="F7522" t="s">
        <v>32831</v>
      </c>
      <c r="G7522" t="s">
        <v>32839</v>
      </c>
      <c r="H7522" t="s">
        <v>32849</v>
      </c>
      <c r="I7522" t="s">
        <v>11727</v>
      </c>
      <c r="J7522" t="s">
        <v>36801</v>
      </c>
      <c r="K7522" t="s">
        <v>42757</v>
      </c>
      <c r="M7522" t="s">
        <v>45775</v>
      </c>
      <c r="N7522" t="s">
        <v>47424</v>
      </c>
      <c r="O7522" t="s">
        <v>47425</v>
      </c>
      <c r="Q7522">
        <v>5</v>
      </c>
      <c r="R7522" t="s">
        <v>47431</v>
      </c>
      <c r="S7522" t="s">
        <v>47590</v>
      </c>
      <c r="T7522" t="s">
        <v>49463</v>
      </c>
      <c r="U7522" t="s">
        <v>55955</v>
      </c>
      <c r="W7522" t="s">
        <v>45775</v>
      </c>
      <c r="X7522" t="s">
        <v>47432</v>
      </c>
    </row>
    <row r="7523" spans="1:24">
      <c r="A7523">
        <f>HYPERLINK("https://www.philgeps.gov.ph/GEPSNONPILOT/Tender/SplashBidNoticeAbstractUI.aspx?menuIndex=3&amp;refID=7158032&amp;Result=3","7158032")</f>
        <v>0</v>
      </c>
      <c r="B7523" t="s">
        <v>2550</v>
      </c>
      <c r="C7523" t="s">
        <v>10978</v>
      </c>
      <c r="D7523" t="s">
        <v>19085</v>
      </c>
      <c r="E7523" t="s">
        <v>25645</v>
      </c>
      <c r="F7523" t="s">
        <v>32831</v>
      </c>
      <c r="G7523" t="s">
        <v>32839</v>
      </c>
      <c r="H7523" t="s">
        <v>32848</v>
      </c>
      <c r="I7523" t="s">
        <v>32853</v>
      </c>
      <c r="J7523" t="s">
        <v>37680</v>
      </c>
      <c r="K7523" t="s">
        <v>42731</v>
      </c>
      <c r="M7523" t="s">
        <v>45762</v>
      </c>
      <c r="N7523" t="s">
        <v>47424</v>
      </c>
      <c r="O7523" t="s">
        <v>47425</v>
      </c>
      <c r="P7523">
        <v>0</v>
      </c>
      <c r="Q7523">
        <v>0</v>
      </c>
      <c r="R7523" t="s">
        <v>47431</v>
      </c>
      <c r="S7523" t="s">
        <v>47565</v>
      </c>
      <c r="T7523" t="s">
        <v>49104</v>
      </c>
      <c r="U7523" t="s">
        <v>55956</v>
      </c>
      <c r="W7523" t="s">
        <v>45762</v>
      </c>
      <c r="X7523" t="s">
        <v>47432</v>
      </c>
    </row>
    <row r="7524" spans="1:24">
      <c r="A7524">
        <f>HYPERLINK("https://www.philgeps.gov.ph/GEPSNONPILOT/Tender/SplashBidNoticeAbstractUI.aspx?menuIndex=3&amp;refID=7158030&amp;Result=3","7158030")</f>
        <v>0</v>
      </c>
      <c r="B7524" t="s">
        <v>319</v>
      </c>
      <c r="C7524" t="s">
        <v>10979</v>
      </c>
      <c r="D7524" t="s">
        <v>19036</v>
      </c>
      <c r="E7524" t="s">
        <v>25646</v>
      </c>
      <c r="F7524" t="s">
        <v>32831</v>
      </c>
      <c r="G7524" t="s">
        <v>32840</v>
      </c>
      <c r="H7524" t="s">
        <v>32848</v>
      </c>
      <c r="I7524" t="s">
        <v>32853</v>
      </c>
      <c r="J7524" t="s">
        <v>37681</v>
      </c>
      <c r="K7524" t="s">
        <v>42726</v>
      </c>
      <c r="M7524" t="s">
        <v>43321</v>
      </c>
      <c r="N7524" t="s">
        <v>47424</v>
      </c>
      <c r="O7524" t="s">
        <v>47425</v>
      </c>
      <c r="P7524">
        <v>0</v>
      </c>
      <c r="Q7524">
        <v>0</v>
      </c>
      <c r="R7524" t="s">
        <v>47431</v>
      </c>
      <c r="S7524" t="s">
        <v>47565</v>
      </c>
      <c r="T7524" t="s">
        <v>49237</v>
      </c>
      <c r="U7524" t="s">
        <v>55957</v>
      </c>
      <c r="W7524" t="s">
        <v>43321</v>
      </c>
      <c r="X7524" t="s">
        <v>47432</v>
      </c>
    </row>
    <row r="7525" spans="1:24">
      <c r="A7525">
        <f>HYPERLINK("https://www.philgeps.gov.ph/GEPSNONPILOT/Tender/SplashBidNoticeAbstractUI.aspx?menuIndex=3&amp;refID=7158029&amp;Result=3","7158029")</f>
        <v>0</v>
      </c>
      <c r="B7525" t="s">
        <v>2015</v>
      </c>
      <c r="C7525" t="s">
        <v>10947</v>
      </c>
      <c r="D7525" t="s">
        <v>19049</v>
      </c>
      <c r="E7525" t="s">
        <v>19790</v>
      </c>
      <c r="F7525" t="s">
        <v>32831</v>
      </c>
      <c r="G7525" t="s">
        <v>32842</v>
      </c>
      <c r="H7525" t="s">
        <v>32848</v>
      </c>
      <c r="I7525" t="s">
        <v>9577</v>
      </c>
      <c r="J7525" t="s">
        <v>37682</v>
      </c>
      <c r="K7525" t="s">
        <v>42732</v>
      </c>
      <c r="M7525" t="s">
        <v>45182</v>
      </c>
      <c r="N7525" t="s">
        <v>47424</v>
      </c>
      <c r="O7525" t="s">
        <v>47425</v>
      </c>
      <c r="P7525">
        <v>0</v>
      </c>
      <c r="Q7525">
        <v>1</v>
      </c>
      <c r="R7525" t="s">
        <v>47431</v>
      </c>
      <c r="S7525" t="s">
        <v>47565</v>
      </c>
      <c r="T7525" t="s">
        <v>49214</v>
      </c>
      <c r="U7525" t="s">
        <v>55958</v>
      </c>
      <c r="W7525" t="s">
        <v>45182</v>
      </c>
      <c r="X7525" t="s">
        <v>47432</v>
      </c>
    </row>
    <row r="7526" spans="1:24">
      <c r="A7526">
        <f>HYPERLINK("https://www.philgeps.gov.ph/GEPSNONPILOT/Tender/SplashBidNoticeAbstractUI.aspx?menuIndex=3&amp;refID=7158027&amp;Result=3","7158027")</f>
        <v>0</v>
      </c>
      <c r="B7526" t="s">
        <v>2562</v>
      </c>
      <c r="C7526" t="s">
        <v>10980</v>
      </c>
      <c r="D7526" t="s">
        <v>19021</v>
      </c>
      <c r="E7526" t="s">
        <v>23177</v>
      </c>
      <c r="F7526" t="s">
        <v>32831</v>
      </c>
      <c r="G7526" t="s">
        <v>32839</v>
      </c>
      <c r="H7526" t="s">
        <v>32849</v>
      </c>
      <c r="I7526" t="s">
        <v>4177</v>
      </c>
      <c r="J7526" t="s">
        <v>33402</v>
      </c>
      <c r="K7526" t="s">
        <v>42730</v>
      </c>
      <c r="M7526" t="s">
        <v>45776</v>
      </c>
      <c r="N7526" t="s">
        <v>47424</v>
      </c>
      <c r="O7526" t="s">
        <v>47425</v>
      </c>
      <c r="P7526">
        <v>0</v>
      </c>
      <c r="Q7526">
        <v>0</v>
      </c>
      <c r="R7526" t="s">
        <v>47431</v>
      </c>
      <c r="S7526" t="s">
        <v>47565</v>
      </c>
      <c r="T7526" t="s">
        <v>49079</v>
      </c>
      <c r="U7526" t="s">
        <v>55959</v>
      </c>
      <c r="V7526" t="s">
        <v>63463</v>
      </c>
      <c r="W7526" t="s">
        <v>45776</v>
      </c>
      <c r="X7526" t="s">
        <v>47432</v>
      </c>
    </row>
    <row r="7527" spans="1:24">
      <c r="A7527">
        <f>HYPERLINK("https://www.philgeps.gov.ph/GEPSNONPILOT/Tender/SplashBidNoticeAbstractUI.aspx?menuIndex=3&amp;refID=7158026&amp;Result=3","7158026")</f>
        <v>0</v>
      </c>
      <c r="B7527" t="s">
        <v>352</v>
      </c>
      <c r="C7527" t="s">
        <v>10981</v>
      </c>
      <c r="D7527" t="s">
        <v>19017</v>
      </c>
      <c r="E7527" t="s">
        <v>25647</v>
      </c>
      <c r="F7527" t="s">
        <v>32831</v>
      </c>
      <c r="G7527" t="s">
        <v>32838</v>
      </c>
      <c r="H7527" t="s">
        <v>32848</v>
      </c>
      <c r="I7527" t="s">
        <v>32877</v>
      </c>
      <c r="J7527" t="s">
        <v>37683</v>
      </c>
      <c r="K7527" t="s">
        <v>42730</v>
      </c>
      <c r="M7527" t="s">
        <v>45777</v>
      </c>
      <c r="N7527" t="s">
        <v>47424</v>
      </c>
      <c r="O7527" t="s">
        <v>47425</v>
      </c>
      <c r="P7527">
        <v>0</v>
      </c>
      <c r="Q7527">
        <v>4</v>
      </c>
      <c r="R7527" t="s">
        <v>47431</v>
      </c>
      <c r="S7527" t="s">
        <v>47565</v>
      </c>
      <c r="T7527" t="s">
        <v>49163</v>
      </c>
      <c r="U7527" t="s">
        <v>55960</v>
      </c>
      <c r="W7527" t="s">
        <v>45777</v>
      </c>
      <c r="X7527" t="s">
        <v>47432</v>
      </c>
    </row>
    <row r="7528" spans="1:24">
      <c r="A7528">
        <f>HYPERLINK("https://www.philgeps.gov.ph/GEPSNONPILOT/Tender/SplashBidNoticeAbstractUI.aspx?menuIndex=3&amp;refID=7158025&amp;Result=3","7158025")</f>
        <v>0</v>
      </c>
      <c r="B7528" t="s">
        <v>228</v>
      </c>
      <c r="C7528" t="s">
        <v>10982</v>
      </c>
      <c r="D7528" t="s">
        <v>19033</v>
      </c>
      <c r="E7528" t="s">
        <v>25648</v>
      </c>
      <c r="F7528" t="s">
        <v>32831</v>
      </c>
      <c r="G7528" t="s">
        <v>32838</v>
      </c>
      <c r="H7528" t="s">
        <v>32848</v>
      </c>
      <c r="I7528" t="s">
        <v>32902</v>
      </c>
      <c r="J7528" t="s">
        <v>37684</v>
      </c>
      <c r="K7528" t="s">
        <v>42730</v>
      </c>
      <c r="M7528" t="s">
        <v>43791</v>
      </c>
      <c r="N7528" t="s">
        <v>47424</v>
      </c>
      <c r="O7528" t="s">
        <v>47425</v>
      </c>
      <c r="P7528">
        <v>0</v>
      </c>
      <c r="Q7528">
        <v>6</v>
      </c>
      <c r="R7528" t="s">
        <v>47431</v>
      </c>
      <c r="S7528" t="s">
        <v>47565</v>
      </c>
      <c r="T7528" t="s">
        <v>49235</v>
      </c>
      <c r="U7528" t="s">
        <v>55961</v>
      </c>
      <c r="W7528" t="s">
        <v>43791</v>
      </c>
      <c r="X7528" t="s">
        <v>47432</v>
      </c>
    </row>
    <row r="7529" spans="1:24">
      <c r="A7529">
        <f>HYPERLINK("https://www.philgeps.gov.ph/GEPSNONPILOT/Tender/SplashBidNoticeAbstractUI.aspx?menuIndex=3&amp;refID=7158031&amp;Result=3","7158031")</f>
        <v>0</v>
      </c>
      <c r="B7529" t="s">
        <v>2563</v>
      </c>
      <c r="C7529" t="s">
        <v>10983</v>
      </c>
      <c r="D7529" t="s">
        <v>19077</v>
      </c>
      <c r="E7529" t="s">
        <v>25649</v>
      </c>
      <c r="F7529" t="s">
        <v>32831</v>
      </c>
      <c r="G7529" t="s">
        <v>32839</v>
      </c>
      <c r="H7529" t="s">
        <v>32849</v>
      </c>
      <c r="I7529" t="s">
        <v>4177</v>
      </c>
      <c r="J7529" t="s">
        <v>32980</v>
      </c>
      <c r="K7529" t="s">
        <v>42745</v>
      </c>
      <c r="M7529" t="s">
        <v>45778</v>
      </c>
      <c r="N7529" t="s">
        <v>47424</v>
      </c>
      <c r="O7529" t="s">
        <v>47425</v>
      </c>
      <c r="P7529">
        <v>0</v>
      </c>
      <c r="Q7529">
        <v>0</v>
      </c>
      <c r="R7529" t="s">
        <v>47431</v>
      </c>
      <c r="S7529" t="s">
        <v>47565</v>
      </c>
      <c r="T7529" t="s">
        <v>49463</v>
      </c>
      <c r="U7529" t="s">
        <v>55962</v>
      </c>
      <c r="W7529" t="s">
        <v>45778</v>
      </c>
      <c r="X7529" t="s">
        <v>47432</v>
      </c>
    </row>
    <row r="7530" spans="1:24">
      <c r="A7530">
        <f>HYPERLINK("https://www.philgeps.gov.ph/GEPSNONPILOT/Tender/SplashBidNoticeAbstractUI.aspx?menuIndex=3&amp;refID=7157989&amp;Result=3","7157989")</f>
        <v>0</v>
      </c>
      <c r="B7530" t="s">
        <v>1012</v>
      </c>
      <c r="C7530" t="s">
        <v>10984</v>
      </c>
      <c r="D7530" t="s">
        <v>19077</v>
      </c>
      <c r="E7530" t="s">
        <v>25650</v>
      </c>
      <c r="F7530" t="s">
        <v>32831</v>
      </c>
      <c r="G7530" t="s">
        <v>32839</v>
      </c>
      <c r="H7530" t="s">
        <v>32849</v>
      </c>
      <c r="I7530" t="s">
        <v>4177</v>
      </c>
      <c r="J7530" t="s">
        <v>37685</v>
      </c>
      <c r="K7530" t="s">
        <v>42757</v>
      </c>
      <c r="M7530" t="s">
        <v>44061</v>
      </c>
      <c r="N7530" t="s">
        <v>47424</v>
      </c>
      <c r="O7530" t="s">
        <v>47425</v>
      </c>
      <c r="P7530">
        <v>0</v>
      </c>
      <c r="Q7530">
        <v>0</v>
      </c>
      <c r="R7530" t="s">
        <v>47431</v>
      </c>
      <c r="S7530" t="s">
        <v>47565</v>
      </c>
      <c r="T7530" t="s">
        <v>49160</v>
      </c>
      <c r="U7530" t="s">
        <v>55963</v>
      </c>
      <c r="W7530" t="s">
        <v>44061</v>
      </c>
      <c r="X7530" t="s">
        <v>47432</v>
      </c>
    </row>
    <row r="7531" spans="1:24">
      <c r="A7531">
        <f>HYPERLINK("https://www.philgeps.gov.ph/GEPSNONPILOT/Tender/SplashBidNoticeAbstractUI.aspx?menuIndex=3&amp;refID=7158035&amp;Result=3","7158035")</f>
        <v>0</v>
      </c>
      <c r="B7531" t="s">
        <v>1182</v>
      </c>
      <c r="C7531" t="s">
        <v>10985</v>
      </c>
      <c r="D7531" t="s">
        <v>19047</v>
      </c>
      <c r="E7531" t="s">
        <v>25651</v>
      </c>
      <c r="F7531" t="s">
        <v>32831</v>
      </c>
      <c r="G7531" t="s">
        <v>32840</v>
      </c>
      <c r="H7531" t="s">
        <v>32848</v>
      </c>
      <c r="I7531" t="s">
        <v>9577</v>
      </c>
      <c r="J7531" t="s">
        <v>37686</v>
      </c>
      <c r="K7531" t="s">
        <v>42763</v>
      </c>
      <c r="M7531" t="s">
        <v>44248</v>
      </c>
      <c r="N7531" t="s">
        <v>47424</v>
      </c>
      <c r="O7531" t="s">
        <v>47425</v>
      </c>
      <c r="P7531">
        <v>0</v>
      </c>
      <c r="Q7531">
        <v>1</v>
      </c>
      <c r="R7531" t="s">
        <v>47431</v>
      </c>
      <c r="S7531" t="s">
        <v>47565</v>
      </c>
      <c r="T7531" t="s">
        <v>49163</v>
      </c>
      <c r="U7531" t="s">
        <v>55964</v>
      </c>
      <c r="W7531" t="s">
        <v>64461</v>
      </c>
      <c r="X7531" t="s">
        <v>47432</v>
      </c>
    </row>
    <row r="7532" spans="1:24">
      <c r="A7532">
        <f>HYPERLINK("https://www.philgeps.gov.ph/GEPSNONPILOT/Tender/SplashBidNoticeAbstractUI.aspx?menuIndex=3&amp;refID=7157941&amp;Result=3","7157941")</f>
        <v>0</v>
      </c>
      <c r="B7532" t="s">
        <v>2564</v>
      </c>
      <c r="C7532" t="s">
        <v>10986</v>
      </c>
      <c r="D7532" t="s">
        <v>19025</v>
      </c>
      <c r="E7532" t="s">
        <v>25652</v>
      </c>
      <c r="F7532" t="s">
        <v>32831</v>
      </c>
      <c r="G7532" t="s">
        <v>32839</v>
      </c>
      <c r="H7532" t="s">
        <v>32849</v>
      </c>
      <c r="I7532" t="s">
        <v>4177</v>
      </c>
      <c r="J7532" t="s">
        <v>37687</v>
      </c>
      <c r="K7532" t="s">
        <v>42732</v>
      </c>
      <c r="M7532" t="s">
        <v>45779</v>
      </c>
      <c r="N7532" t="s">
        <v>47424</v>
      </c>
      <c r="O7532" t="s">
        <v>47425</v>
      </c>
      <c r="P7532">
        <v>0</v>
      </c>
      <c r="Q7532">
        <v>0</v>
      </c>
      <c r="R7532" t="s">
        <v>47431</v>
      </c>
      <c r="S7532" t="s">
        <v>47565</v>
      </c>
      <c r="T7532" t="s">
        <v>49319</v>
      </c>
      <c r="U7532" t="s">
        <v>55965</v>
      </c>
      <c r="W7532" t="s">
        <v>45779</v>
      </c>
      <c r="X7532" t="s">
        <v>47432</v>
      </c>
    </row>
    <row r="7533" spans="1:24">
      <c r="A7533">
        <f>HYPERLINK("https://www.philgeps.gov.ph/GEPSNONPILOT/Tender/SplashBidNoticeAbstractUI.aspx?menuIndex=3&amp;refID=7158083&amp;Result=3","7158083")</f>
        <v>0</v>
      </c>
      <c r="B7533" t="s">
        <v>340</v>
      </c>
      <c r="C7533" t="s">
        <v>10987</v>
      </c>
      <c r="D7533" t="s">
        <v>19044</v>
      </c>
      <c r="E7533" t="s">
        <v>25653</v>
      </c>
      <c r="F7533" t="s">
        <v>32831</v>
      </c>
      <c r="G7533" t="s">
        <v>32838</v>
      </c>
      <c r="H7533" t="s">
        <v>32848</v>
      </c>
      <c r="I7533" t="s">
        <v>32862</v>
      </c>
      <c r="J7533" t="s">
        <v>37688</v>
      </c>
      <c r="K7533" t="s">
        <v>42726</v>
      </c>
      <c r="M7533" t="s">
        <v>43343</v>
      </c>
      <c r="N7533" t="s">
        <v>47424</v>
      </c>
      <c r="O7533" t="s">
        <v>47425</v>
      </c>
      <c r="P7533">
        <v>0</v>
      </c>
      <c r="Q7533">
        <v>2</v>
      </c>
      <c r="R7533" t="s">
        <v>47431</v>
      </c>
      <c r="S7533" t="s">
        <v>47565</v>
      </c>
      <c r="T7533" t="s">
        <v>49105</v>
      </c>
      <c r="U7533" t="s">
        <v>50288</v>
      </c>
      <c r="W7533" t="s">
        <v>43343</v>
      </c>
      <c r="X7533" t="s">
        <v>47432</v>
      </c>
    </row>
    <row r="7534" spans="1:24">
      <c r="A7534">
        <f>HYPERLINK("https://www.philgeps.gov.ph/GEPSNONPILOT/Tender/SplashBidNoticeAbstractUI.aspx?menuIndex=3&amp;refID=7158020&amp;Result=3","7158020")</f>
        <v>0</v>
      </c>
      <c r="B7534" t="s">
        <v>2428</v>
      </c>
      <c r="C7534" t="s">
        <v>10988</v>
      </c>
      <c r="D7534" t="s">
        <v>19036</v>
      </c>
      <c r="E7534" t="s">
        <v>25654</v>
      </c>
      <c r="F7534" t="s">
        <v>32831</v>
      </c>
      <c r="G7534" t="s">
        <v>32838</v>
      </c>
      <c r="H7534" t="s">
        <v>32848</v>
      </c>
      <c r="I7534" t="s">
        <v>32874</v>
      </c>
      <c r="J7534" t="s">
        <v>37689</v>
      </c>
      <c r="K7534" t="s">
        <v>42726</v>
      </c>
      <c r="M7534" t="s">
        <v>45625</v>
      </c>
      <c r="N7534" t="s">
        <v>47424</v>
      </c>
      <c r="O7534" t="s">
        <v>47425</v>
      </c>
      <c r="P7534">
        <v>0</v>
      </c>
      <c r="Q7534">
        <v>12</v>
      </c>
      <c r="R7534" t="s">
        <v>47431</v>
      </c>
      <c r="S7534" t="s">
        <v>47565</v>
      </c>
      <c r="T7534" t="s">
        <v>49127</v>
      </c>
      <c r="U7534" t="s">
        <v>55966</v>
      </c>
      <c r="W7534" t="s">
        <v>45625</v>
      </c>
      <c r="X7534" t="s">
        <v>47432</v>
      </c>
    </row>
    <row r="7535" spans="1:24">
      <c r="A7535">
        <f>HYPERLINK("https://www.philgeps.gov.ph/GEPSNONPILOT/Tender/SplashBidNoticeAbstractUI.aspx?menuIndex=3&amp;refID=7158081&amp;Result=3","7158081")</f>
        <v>0</v>
      </c>
      <c r="B7535" t="s">
        <v>1143</v>
      </c>
      <c r="C7535" t="s">
        <v>5029</v>
      </c>
      <c r="D7535" t="s">
        <v>19032</v>
      </c>
      <c r="E7535" t="s">
        <v>25655</v>
      </c>
      <c r="F7535" t="s">
        <v>32831</v>
      </c>
      <c r="G7535" t="s">
        <v>32842</v>
      </c>
      <c r="H7535" t="s">
        <v>32848</v>
      </c>
      <c r="I7535" t="s">
        <v>32860</v>
      </c>
      <c r="J7535" t="s">
        <v>37690</v>
      </c>
      <c r="K7535" t="s">
        <v>42732</v>
      </c>
      <c r="M7535" t="s">
        <v>44207</v>
      </c>
      <c r="N7535" t="s">
        <v>47424</v>
      </c>
      <c r="O7535" t="s">
        <v>47425</v>
      </c>
      <c r="P7535">
        <v>0</v>
      </c>
      <c r="Q7535">
        <v>4</v>
      </c>
      <c r="R7535" t="s">
        <v>47431</v>
      </c>
      <c r="S7535" t="s">
        <v>47565</v>
      </c>
      <c r="T7535" t="s">
        <v>49125</v>
      </c>
      <c r="U7535" t="s">
        <v>55967</v>
      </c>
      <c r="W7535" t="s">
        <v>44207</v>
      </c>
      <c r="X7535" t="s">
        <v>47432</v>
      </c>
    </row>
    <row r="7536" spans="1:24">
      <c r="A7536">
        <f>HYPERLINK("https://www.philgeps.gov.ph/GEPSNONPILOT/Tender/SplashBidNoticeAbstractUI.aspx?menuIndex=3&amp;refID=7158077&amp;Result=3","7158077")</f>
        <v>0</v>
      </c>
      <c r="B7536" t="s">
        <v>2073</v>
      </c>
      <c r="C7536" t="s">
        <v>10989</v>
      </c>
      <c r="D7536" t="s">
        <v>19061</v>
      </c>
      <c r="E7536" t="s">
        <v>25656</v>
      </c>
      <c r="F7536" t="s">
        <v>32831</v>
      </c>
      <c r="G7536" t="s">
        <v>32839</v>
      </c>
      <c r="H7536" t="s">
        <v>32848</v>
      </c>
      <c r="I7536" t="s">
        <v>32870</v>
      </c>
      <c r="J7536" t="s">
        <v>37691</v>
      </c>
      <c r="K7536" t="s">
        <v>42730</v>
      </c>
      <c r="M7536" t="s">
        <v>45243</v>
      </c>
      <c r="N7536" t="s">
        <v>47424</v>
      </c>
      <c r="O7536" t="s">
        <v>47425</v>
      </c>
      <c r="P7536">
        <v>0</v>
      </c>
      <c r="Q7536">
        <v>1</v>
      </c>
      <c r="R7536" t="s">
        <v>47431</v>
      </c>
      <c r="S7536" t="s">
        <v>47565</v>
      </c>
      <c r="T7536" t="s">
        <v>49192</v>
      </c>
      <c r="U7536" t="s">
        <v>55946</v>
      </c>
      <c r="W7536" t="s">
        <v>45243</v>
      </c>
      <c r="X7536" t="s">
        <v>47432</v>
      </c>
    </row>
    <row r="7537" spans="1:24">
      <c r="A7537">
        <f>HYPERLINK("https://www.philgeps.gov.ph/GEPSNONPILOT/Tender/SplashBidNoticeAbstractUI.aspx?menuIndex=3&amp;refID=7158017&amp;Result=3","7158017")</f>
        <v>0</v>
      </c>
      <c r="B7537" t="s">
        <v>2441</v>
      </c>
      <c r="C7537" t="s">
        <v>10990</v>
      </c>
      <c r="E7537" t="s">
        <v>25657</v>
      </c>
      <c r="F7537" t="s">
        <v>32831</v>
      </c>
      <c r="G7537" t="s">
        <v>32838</v>
      </c>
      <c r="H7537" t="s">
        <v>32848</v>
      </c>
      <c r="I7537" t="s">
        <v>5379</v>
      </c>
      <c r="J7537" t="s">
        <v>34509</v>
      </c>
      <c r="K7537" t="s">
        <v>42732</v>
      </c>
      <c r="M7537" t="s">
        <v>45638</v>
      </c>
      <c r="N7537" t="s">
        <v>47424</v>
      </c>
      <c r="O7537" t="s">
        <v>47425</v>
      </c>
      <c r="P7537">
        <v>0</v>
      </c>
      <c r="Q7537">
        <v>3</v>
      </c>
      <c r="R7537" t="s">
        <v>47431</v>
      </c>
      <c r="S7537" t="s">
        <v>47565</v>
      </c>
      <c r="T7537" t="s">
        <v>49465</v>
      </c>
      <c r="U7537" t="s">
        <v>51549</v>
      </c>
      <c r="W7537" t="s">
        <v>45638</v>
      </c>
      <c r="X7537" t="s">
        <v>47432</v>
      </c>
    </row>
    <row r="7538" spans="1:24">
      <c r="A7538">
        <f>HYPERLINK("https://www.philgeps.gov.ph/GEPSNONPILOT/Tender/SplashBidNoticeAbstractUI.aspx?menuIndex=3&amp;refID=7158076&amp;Result=3","7158076")</f>
        <v>0</v>
      </c>
      <c r="B7538" t="s">
        <v>2441</v>
      </c>
      <c r="C7538" t="s">
        <v>10991</v>
      </c>
      <c r="E7538" t="s">
        <v>25658</v>
      </c>
      <c r="F7538" t="s">
        <v>32831</v>
      </c>
      <c r="G7538" t="s">
        <v>32838</v>
      </c>
      <c r="H7538" t="s">
        <v>32848</v>
      </c>
      <c r="I7538" t="s">
        <v>5379</v>
      </c>
      <c r="J7538" t="s">
        <v>33519</v>
      </c>
      <c r="K7538" t="s">
        <v>42732</v>
      </c>
      <c r="M7538" t="s">
        <v>45638</v>
      </c>
      <c r="N7538" t="s">
        <v>47424</v>
      </c>
      <c r="O7538" t="s">
        <v>47425</v>
      </c>
      <c r="P7538">
        <v>0</v>
      </c>
      <c r="Q7538">
        <v>1</v>
      </c>
      <c r="R7538" t="s">
        <v>47431</v>
      </c>
      <c r="S7538" t="s">
        <v>47565</v>
      </c>
      <c r="T7538" t="s">
        <v>49465</v>
      </c>
      <c r="U7538" t="s">
        <v>51549</v>
      </c>
      <c r="W7538" t="s">
        <v>45638</v>
      </c>
      <c r="X7538" t="s">
        <v>47432</v>
      </c>
    </row>
    <row r="7539" spans="1:24">
      <c r="A7539">
        <f>HYPERLINK("https://www.philgeps.gov.ph/GEPSNONPILOT/Tender/SplashBidNoticeAbstractUI.aspx?menuIndex=3&amp;refID=7158018&amp;Result=3","7158018")</f>
        <v>0</v>
      </c>
      <c r="B7539" t="s">
        <v>1627</v>
      </c>
      <c r="C7539" t="s">
        <v>10992</v>
      </c>
      <c r="E7539" t="s">
        <v>25659</v>
      </c>
      <c r="F7539" t="s">
        <v>32831</v>
      </c>
      <c r="G7539" t="s">
        <v>32838</v>
      </c>
      <c r="H7539" t="s">
        <v>32848</v>
      </c>
      <c r="I7539" t="s">
        <v>4487</v>
      </c>
      <c r="J7539" t="s">
        <v>37692</v>
      </c>
      <c r="K7539" t="s">
        <v>42727</v>
      </c>
      <c r="M7539" t="s">
        <v>44743</v>
      </c>
      <c r="N7539" t="s">
        <v>47424</v>
      </c>
      <c r="O7539" t="s">
        <v>47425</v>
      </c>
      <c r="P7539">
        <v>0</v>
      </c>
      <c r="Q7539">
        <v>2</v>
      </c>
      <c r="R7539" t="s">
        <v>47431</v>
      </c>
      <c r="S7539" t="s">
        <v>47565</v>
      </c>
      <c r="T7539" t="s">
        <v>49214</v>
      </c>
      <c r="U7539" t="s">
        <v>55968</v>
      </c>
      <c r="V7539" t="s">
        <v>63464</v>
      </c>
      <c r="W7539" t="s">
        <v>44743</v>
      </c>
      <c r="X7539" t="s">
        <v>47432</v>
      </c>
    </row>
    <row r="7540" spans="1:24">
      <c r="A7540">
        <f>HYPERLINK("https://www.philgeps.gov.ph/GEPSNONPILOT/Tender/SplashBidNoticeAbstractUI.aspx?menuIndex=3&amp;refID=7158078&amp;Result=3","7158078")</f>
        <v>0</v>
      </c>
      <c r="B7540" t="s">
        <v>2565</v>
      </c>
      <c r="C7540" t="s">
        <v>6330</v>
      </c>
      <c r="D7540" t="s">
        <v>19043</v>
      </c>
      <c r="E7540" t="s">
        <v>19979</v>
      </c>
      <c r="F7540" t="s">
        <v>32831</v>
      </c>
      <c r="G7540" t="s">
        <v>32839</v>
      </c>
      <c r="H7540" t="s">
        <v>32849</v>
      </c>
      <c r="I7540" t="s">
        <v>4177</v>
      </c>
      <c r="J7540" t="s">
        <v>37693</v>
      </c>
      <c r="K7540" t="s">
        <v>42733</v>
      </c>
      <c r="M7540" t="s">
        <v>45780</v>
      </c>
      <c r="N7540" t="s">
        <v>47424</v>
      </c>
      <c r="O7540" t="s">
        <v>47425</v>
      </c>
      <c r="P7540">
        <v>0</v>
      </c>
      <c r="Q7540">
        <v>0</v>
      </c>
      <c r="R7540" t="s">
        <v>47431</v>
      </c>
      <c r="S7540" t="s">
        <v>47565</v>
      </c>
      <c r="T7540" t="s">
        <v>49079</v>
      </c>
      <c r="U7540" t="s">
        <v>55969</v>
      </c>
      <c r="W7540" t="s">
        <v>45780</v>
      </c>
      <c r="X7540" t="s">
        <v>47432</v>
      </c>
    </row>
    <row r="7541" spans="1:24">
      <c r="A7541">
        <f>HYPERLINK("https://www.philgeps.gov.ph/GEPSNONPILOT/Tender/SplashBidNoticeAbstractUI.aspx?menuIndex=3&amp;refID=7158062&amp;Result=3","7158062")</f>
        <v>0</v>
      </c>
      <c r="B7541" t="s">
        <v>823</v>
      </c>
      <c r="C7541" t="s">
        <v>10993</v>
      </c>
      <c r="D7541" t="s">
        <v>19062</v>
      </c>
      <c r="E7541" t="s">
        <v>25660</v>
      </c>
      <c r="F7541" t="s">
        <v>32831</v>
      </c>
      <c r="G7541" t="s">
        <v>32839</v>
      </c>
      <c r="H7541" t="s">
        <v>32849</v>
      </c>
      <c r="I7541" t="s">
        <v>4177</v>
      </c>
      <c r="J7541" t="s">
        <v>32978</v>
      </c>
      <c r="K7541" t="s">
        <v>42747</v>
      </c>
      <c r="M7541" t="s">
        <v>45573</v>
      </c>
      <c r="N7541" t="s">
        <v>47424</v>
      </c>
      <c r="O7541" t="s">
        <v>47425</v>
      </c>
      <c r="P7541">
        <v>0</v>
      </c>
      <c r="Q7541">
        <v>0</v>
      </c>
      <c r="R7541" t="s">
        <v>47431</v>
      </c>
      <c r="S7541" t="s">
        <v>47565</v>
      </c>
      <c r="T7541" t="s">
        <v>49087</v>
      </c>
      <c r="U7541" t="s">
        <v>55315</v>
      </c>
      <c r="W7541" t="s">
        <v>45573</v>
      </c>
      <c r="X7541" t="s">
        <v>47432</v>
      </c>
    </row>
    <row r="7542" spans="1:24">
      <c r="A7542">
        <f>HYPERLINK("https://www.philgeps.gov.ph/GEPSNONPILOT/Tender/SplashBidNoticeAbstractUI.aspx?menuIndex=3&amp;refID=7157984&amp;Result=3","7157984")</f>
        <v>0</v>
      </c>
      <c r="B7542" t="s">
        <v>951</v>
      </c>
      <c r="C7542" t="s">
        <v>10994</v>
      </c>
      <c r="D7542" t="s">
        <v>19043</v>
      </c>
      <c r="E7542" t="s">
        <v>22299</v>
      </c>
      <c r="F7542" t="s">
        <v>32831</v>
      </c>
      <c r="G7542" t="s">
        <v>32839</v>
      </c>
      <c r="H7542" t="s">
        <v>32849</v>
      </c>
      <c r="I7542" t="s">
        <v>4177</v>
      </c>
      <c r="J7542" t="s">
        <v>37694</v>
      </c>
      <c r="K7542" t="s">
        <v>42830</v>
      </c>
      <c r="M7542" t="s">
        <v>43997</v>
      </c>
      <c r="N7542" t="s">
        <v>47424</v>
      </c>
      <c r="O7542" t="s">
        <v>47425</v>
      </c>
      <c r="P7542">
        <v>0</v>
      </c>
      <c r="Q7542">
        <v>2</v>
      </c>
      <c r="R7542" t="s">
        <v>47431</v>
      </c>
      <c r="S7542" t="s">
        <v>47565</v>
      </c>
      <c r="T7542" t="s">
        <v>49199</v>
      </c>
      <c r="U7542" t="s">
        <v>55970</v>
      </c>
      <c r="W7542" t="s">
        <v>43997</v>
      </c>
      <c r="X7542" t="s">
        <v>47432</v>
      </c>
    </row>
    <row r="7543" spans="1:24">
      <c r="A7543">
        <f>HYPERLINK("https://www.philgeps.gov.ph/GEPSNONPILOT/Tender/SplashBidNoticeAbstractUI.aspx?menuIndex=3&amp;refID=7158057&amp;Result=3","7158057")</f>
        <v>0</v>
      </c>
      <c r="B7543" t="s">
        <v>2441</v>
      </c>
      <c r="C7543" t="s">
        <v>10995</v>
      </c>
      <c r="E7543" t="s">
        <v>25661</v>
      </c>
      <c r="F7543" t="s">
        <v>32831</v>
      </c>
      <c r="G7543" t="s">
        <v>32838</v>
      </c>
      <c r="H7543" t="s">
        <v>32848</v>
      </c>
      <c r="I7543" t="s">
        <v>5379</v>
      </c>
      <c r="J7543" t="s">
        <v>37695</v>
      </c>
      <c r="K7543" t="s">
        <v>42732</v>
      </c>
      <c r="M7543" t="s">
        <v>45638</v>
      </c>
      <c r="N7543" t="s">
        <v>47424</v>
      </c>
      <c r="O7543" t="s">
        <v>47425</v>
      </c>
      <c r="P7543">
        <v>0</v>
      </c>
      <c r="Q7543">
        <v>5</v>
      </c>
      <c r="R7543" t="s">
        <v>47431</v>
      </c>
      <c r="S7543" t="s">
        <v>47565</v>
      </c>
      <c r="T7543" t="s">
        <v>49465</v>
      </c>
      <c r="U7543" t="s">
        <v>51549</v>
      </c>
      <c r="W7543" t="s">
        <v>45638</v>
      </c>
      <c r="X7543" t="s">
        <v>47432</v>
      </c>
    </row>
    <row r="7544" spans="1:24">
      <c r="A7544">
        <f>HYPERLINK("https://www.philgeps.gov.ph/GEPSNONPILOT/Tender/SplashBidNoticeAbstractUI.aspx?menuIndex=3&amp;refID=7158073&amp;Result=3","7158073")</f>
        <v>0</v>
      </c>
      <c r="B7544" t="s">
        <v>1614</v>
      </c>
      <c r="C7544" t="s">
        <v>10996</v>
      </c>
      <c r="D7544" t="s">
        <v>19064</v>
      </c>
      <c r="E7544" t="s">
        <v>25662</v>
      </c>
      <c r="F7544" t="s">
        <v>32831</v>
      </c>
      <c r="G7544" t="s">
        <v>32839</v>
      </c>
      <c r="H7544" t="s">
        <v>32848</v>
      </c>
      <c r="I7544" t="s">
        <v>32963</v>
      </c>
      <c r="J7544" t="s">
        <v>33087</v>
      </c>
      <c r="K7544" t="s">
        <v>42727</v>
      </c>
      <c r="M7544" t="s">
        <v>45781</v>
      </c>
      <c r="N7544" t="s">
        <v>47424</v>
      </c>
      <c r="O7544" t="s">
        <v>47425</v>
      </c>
      <c r="P7544">
        <v>0</v>
      </c>
      <c r="Q7544">
        <v>1</v>
      </c>
      <c r="R7544" t="s">
        <v>47431</v>
      </c>
      <c r="S7544" t="s">
        <v>47565</v>
      </c>
      <c r="T7544" t="s">
        <v>49132</v>
      </c>
      <c r="U7544" t="s">
        <v>55971</v>
      </c>
      <c r="W7544" t="s">
        <v>64478</v>
      </c>
      <c r="X7544" t="s">
        <v>47432</v>
      </c>
    </row>
    <row r="7545" spans="1:24">
      <c r="A7545">
        <f>HYPERLINK("https://www.philgeps.gov.ph/GEPSNONPILOT/Tender/SplashBidNoticeAbstractUI.aspx?menuIndex=3&amp;refID=7158056&amp;Result=3","7158056")</f>
        <v>0</v>
      </c>
      <c r="B7545" t="s">
        <v>2015</v>
      </c>
      <c r="C7545" t="s">
        <v>10997</v>
      </c>
      <c r="D7545" t="s">
        <v>19049</v>
      </c>
      <c r="E7545" t="s">
        <v>19198</v>
      </c>
      <c r="F7545" t="s">
        <v>32831</v>
      </c>
      <c r="G7545" t="s">
        <v>32842</v>
      </c>
      <c r="H7545" t="s">
        <v>32848</v>
      </c>
      <c r="I7545" t="s">
        <v>32860</v>
      </c>
      <c r="J7545" t="s">
        <v>33573</v>
      </c>
      <c r="K7545" t="s">
        <v>42732</v>
      </c>
      <c r="M7545" t="s">
        <v>45182</v>
      </c>
      <c r="N7545" t="s">
        <v>47424</v>
      </c>
      <c r="O7545" t="s">
        <v>47425</v>
      </c>
      <c r="P7545">
        <v>0</v>
      </c>
      <c r="Q7545">
        <v>0</v>
      </c>
      <c r="R7545" t="s">
        <v>47431</v>
      </c>
      <c r="S7545" t="s">
        <v>47565</v>
      </c>
      <c r="T7545" t="s">
        <v>49214</v>
      </c>
      <c r="U7545" t="s">
        <v>55972</v>
      </c>
      <c r="W7545" t="s">
        <v>45182</v>
      </c>
      <c r="X7545" t="s">
        <v>47432</v>
      </c>
    </row>
    <row r="7546" spans="1:24">
      <c r="A7546">
        <f>HYPERLINK("https://www.philgeps.gov.ph/GEPSNONPILOT/Tender/SplashBidNoticeAbstractUI.aspx?menuIndex=3&amp;refID=7158068&amp;Result=3","7158068")</f>
        <v>0</v>
      </c>
      <c r="B7546" t="s">
        <v>2566</v>
      </c>
      <c r="C7546" t="s">
        <v>10998</v>
      </c>
      <c r="D7546" t="s">
        <v>19088</v>
      </c>
      <c r="E7546" t="s">
        <v>25663</v>
      </c>
      <c r="F7546" t="s">
        <v>32831</v>
      </c>
      <c r="G7546" t="s">
        <v>32839</v>
      </c>
      <c r="H7546" t="s">
        <v>32848</v>
      </c>
      <c r="I7546" t="s">
        <v>4776</v>
      </c>
      <c r="J7546" t="s">
        <v>37696</v>
      </c>
      <c r="K7546" t="s">
        <v>42763</v>
      </c>
      <c r="M7546" t="s">
        <v>45782</v>
      </c>
      <c r="N7546" t="s">
        <v>47424</v>
      </c>
      <c r="O7546" t="s">
        <v>47425</v>
      </c>
      <c r="Q7546">
        <v>7</v>
      </c>
      <c r="R7546" t="s">
        <v>47431</v>
      </c>
      <c r="S7546" t="s">
        <v>47539</v>
      </c>
      <c r="T7546" t="s">
        <v>49480</v>
      </c>
      <c r="U7546" t="s">
        <v>55973</v>
      </c>
      <c r="W7546" t="s">
        <v>45782</v>
      </c>
      <c r="X7546" t="s">
        <v>47432</v>
      </c>
    </row>
    <row r="7547" spans="1:24">
      <c r="A7547">
        <f>HYPERLINK("https://www.philgeps.gov.ph/GEPSNONPILOT/Tender/SplashBidNoticeAbstractUI.aspx?menuIndex=3&amp;refID=7158052&amp;Result=3","7158052")</f>
        <v>0</v>
      </c>
      <c r="B7547" t="s">
        <v>228</v>
      </c>
      <c r="C7547" t="s">
        <v>10999</v>
      </c>
      <c r="D7547" t="s">
        <v>19033</v>
      </c>
      <c r="E7547" t="s">
        <v>25664</v>
      </c>
      <c r="F7547" t="s">
        <v>32831</v>
      </c>
      <c r="G7547" t="s">
        <v>32838</v>
      </c>
      <c r="H7547" t="s">
        <v>32848</v>
      </c>
      <c r="I7547" t="s">
        <v>9577</v>
      </c>
      <c r="J7547" t="s">
        <v>37697</v>
      </c>
      <c r="K7547" t="s">
        <v>42730</v>
      </c>
      <c r="M7547" t="s">
        <v>43791</v>
      </c>
      <c r="N7547" t="s">
        <v>47424</v>
      </c>
      <c r="O7547" t="s">
        <v>47425</v>
      </c>
      <c r="P7547">
        <v>0</v>
      </c>
      <c r="Q7547">
        <v>4</v>
      </c>
      <c r="R7547" t="s">
        <v>47431</v>
      </c>
      <c r="S7547" t="s">
        <v>47565</v>
      </c>
      <c r="T7547" t="s">
        <v>49235</v>
      </c>
      <c r="U7547" t="s">
        <v>55974</v>
      </c>
      <c r="W7547" t="s">
        <v>43791</v>
      </c>
      <c r="X7547" t="s">
        <v>47432</v>
      </c>
    </row>
    <row r="7548" spans="1:24">
      <c r="A7548">
        <f>HYPERLINK("https://www.philgeps.gov.ph/GEPSNONPILOT/Tender/SplashBidNoticeAbstractUI.aspx?menuIndex=3&amp;refID=7158049&amp;Result=3","7158049")</f>
        <v>0</v>
      </c>
      <c r="B7548" t="s">
        <v>2025</v>
      </c>
      <c r="C7548" t="s">
        <v>11000</v>
      </c>
      <c r="D7548" t="s">
        <v>19064</v>
      </c>
      <c r="E7548" t="s">
        <v>25665</v>
      </c>
      <c r="F7548" t="s">
        <v>32831</v>
      </c>
      <c r="G7548" t="s">
        <v>32840</v>
      </c>
      <c r="H7548" t="s">
        <v>32848</v>
      </c>
      <c r="I7548" t="s">
        <v>32870</v>
      </c>
      <c r="J7548" t="s">
        <v>37679</v>
      </c>
      <c r="K7548" t="s">
        <v>42731</v>
      </c>
      <c r="M7548" t="s">
        <v>45193</v>
      </c>
      <c r="N7548" t="s">
        <v>47424</v>
      </c>
      <c r="O7548" t="s">
        <v>47425</v>
      </c>
      <c r="P7548">
        <v>0</v>
      </c>
      <c r="Q7548">
        <v>0</v>
      </c>
      <c r="R7548" t="s">
        <v>47431</v>
      </c>
      <c r="S7548" t="s">
        <v>47565</v>
      </c>
      <c r="T7548" t="s">
        <v>49210</v>
      </c>
      <c r="U7548" t="s">
        <v>55975</v>
      </c>
      <c r="W7548" t="s">
        <v>45193</v>
      </c>
      <c r="X7548" t="s">
        <v>47432</v>
      </c>
    </row>
    <row r="7549" spans="1:24">
      <c r="A7549">
        <f>HYPERLINK("https://www.philgeps.gov.ph/GEPSNONPILOT/Tender/SplashBidNoticeAbstractUI.aspx?menuIndex=3&amp;refID=7158047&amp;Result=3","7158047")</f>
        <v>0</v>
      </c>
      <c r="B7549" t="s">
        <v>2550</v>
      </c>
      <c r="C7549" t="s">
        <v>11001</v>
      </c>
      <c r="D7549" t="s">
        <v>19085</v>
      </c>
      <c r="E7549" t="s">
        <v>25666</v>
      </c>
      <c r="F7549" t="s">
        <v>32831</v>
      </c>
      <c r="G7549" t="s">
        <v>32839</v>
      </c>
      <c r="H7549" t="s">
        <v>32848</v>
      </c>
      <c r="I7549" t="s">
        <v>32870</v>
      </c>
      <c r="J7549" t="s">
        <v>37698</v>
      </c>
      <c r="K7549" t="s">
        <v>42731</v>
      </c>
      <c r="M7549" t="s">
        <v>45762</v>
      </c>
      <c r="N7549" t="s">
        <v>47424</v>
      </c>
      <c r="O7549" t="s">
        <v>47425</v>
      </c>
      <c r="P7549">
        <v>0</v>
      </c>
      <c r="Q7549">
        <v>0</v>
      </c>
      <c r="R7549" t="s">
        <v>47431</v>
      </c>
      <c r="S7549" t="s">
        <v>47565</v>
      </c>
      <c r="T7549" t="s">
        <v>49104</v>
      </c>
      <c r="U7549" t="s">
        <v>55976</v>
      </c>
      <c r="W7549" t="s">
        <v>45762</v>
      </c>
      <c r="X7549" t="s">
        <v>47432</v>
      </c>
    </row>
    <row r="7550" spans="1:24">
      <c r="A7550">
        <f>HYPERLINK("https://www.philgeps.gov.ph/GEPSNONPILOT/Tender/SplashBidNoticeAbstractUI.aspx?menuIndex=3&amp;refID=7158046&amp;Result=3","7158046")</f>
        <v>0</v>
      </c>
      <c r="B7550" t="s">
        <v>2567</v>
      </c>
      <c r="C7550" t="s">
        <v>11002</v>
      </c>
      <c r="D7550" t="s">
        <v>19047</v>
      </c>
      <c r="E7550" t="s">
        <v>25667</v>
      </c>
      <c r="F7550" t="s">
        <v>32831</v>
      </c>
      <c r="G7550" t="s">
        <v>32839</v>
      </c>
      <c r="H7550" t="s">
        <v>32848</v>
      </c>
      <c r="I7550" t="s">
        <v>4776</v>
      </c>
      <c r="J7550" t="s">
        <v>37699</v>
      </c>
      <c r="K7550" t="s">
        <v>42732</v>
      </c>
      <c r="M7550" t="s">
        <v>45783</v>
      </c>
      <c r="N7550" t="s">
        <v>47424</v>
      </c>
      <c r="O7550" t="s">
        <v>47425</v>
      </c>
      <c r="P7550">
        <v>0</v>
      </c>
      <c r="Q7550">
        <v>3</v>
      </c>
      <c r="R7550" t="s">
        <v>47431</v>
      </c>
      <c r="S7550" t="s">
        <v>47565</v>
      </c>
      <c r="T7550" t="s">
        <v>49056</v>
      </c>
      <c r="U7550" t="s">
        <v>55977</v>
      </c>
      <c r="W7550" t="s">
        <v>45783</v>
      </c>
      <c r="X7550" t="s">
        <v>47432</v>
      </c>
    </row>
    <row r="7551" spans="1:24">
      <c r="A7551">
        <f>HYPERLINK("https://www.philgeps.gov.ph/GEPSNONPILOT/Tender/SplashBidNoticeAbstractUI.aspx?menuIndex=3&amp;refID=7158113&amp;Result=3","7158113")</f>
        <v>0</v>
      </c>
      <c r="B7551" t="s">
        <v>2568</v>
      </c>
      <c r="C7551" t="s">
        <v>11003</v>
      </c>
      <c r="D7551" t="s">
        <v>19073</v>
      </c>
      <c r="E7551" t="s">
        <v>25668</v>
      </c>
      <c r="F7551" t="s">
        <v>32831</v>
      </c>
      <c r="G7551" t="s">
        <v>32839</v>
      </c>
      <c r="H7551" t="s">
        <v>32848</v>
      </c>
      <c r="I7551" t="s">
        <v>9281</v>
      </c>
      <c r="J7551" t="s">
        <v>33794</v>
      </c>
      <c r="K7551" t="s">
        <v>42763</v>
      </c>
      <c r="M7551" t="s">
        <v>45784</v>
      </c>
      <c r="N7551" t="s">
        <v>47424</v>
      </c>
      <c r="O7551" t="s">
        <v>47425</v>
      </c>
      <c r="P7551">
        <v>0</v>
      </c>
      <c r="Q7551">
        <v>10</v>
      </c>
      <c r="R7551" t="s">
        <v>47431</v>
      </c>
      <c r="S7551" t="s">
        <v>47565</v>
      </c>
      <c r="T7551" t="s">
        <v>49077</v>
      </c>
      <c r="U7551" t="s">
        <v>55978</v>
      </c>
      <c r="W7551" t="s">
        <v>45784</v>
      </c>
      <c r="X7551" t="s">
        <v>47432</v>
      </c>
    </row>
    <row r="7552" spans="1:24">
      <c r="A7552">
        <f>HYPERLINK("https://www.philgeps.gov.ph/GEPSNONPILOT/Tender/SplashBidNoticeAbstractUI.aspx?menuIndex=3&amp;refID=7158131&amp;Result=3","7158131")</f>
        <v>0</v>
      </c>
      <c r="B7552" t="s">
        <v>2291</v>
      </c>
      <c r="C7552" t="s">
        <v>11004</v>
      </c>
      <c r="D7552" t="s">
        <v>19078</v>
      </c>
      <c r="E7552" t="s">
        <v>24732</v>
      </c>
      <c r="F7552" t="s">
        <v>32831</v>
      </c>
      <c r="G7552" t="s">
        <v>32838</v>
      </c>
      <c r="H7552" t="s">
        <v>32848</v>
      </c>
      <c r="I7552" t="s">
        <v>5379</v>
      </c>
      <c r="J7552" t="s">
        <v>37700</v>
      </c>
      <c r="K7552" t="s">
        <v>42750</v>
      </c>
      <c r="M7552" t="s">
        <v>45475</v>
      </c>
      <c r="N7552" t="s">
        <v>47424</v>
      </c>
      <c r="O7552" t="s">
        <v>47425</v>
      </c>
      <c r="P7552">
        <v>0</v>
      </c>
      <c r="Q7552">
        <v>0</v>
      </c>
      <c r="R7552" t="s">
        <v>47431</v>
      </c>
      <c r="S7552" t="s">
        <v>47565</v>
      </c>
      <c r="T7552" t="s">
        <v>49114</v>
      </c>
      <c r="U7552" t="s">
        <v>55979</v>
      </c>
      <c r="W7552" t="s">
        <v>45475</v>
      </c>
      <c r="X7552" t="s">
        <v>47432</v>
      </c>
    </row>
    <row r="7553" spans="1:24">
      <c r="A7553">
        <f>HYPERLINK("https://www.philgeps.gov.ph/GEPSNONPILOT/Tender/SplashBidNoticeAbstractUI.aspx?menuIndex=3&amp;refID=7158053&amp;Result=3","7158053")</f>
        <v>0</v>
      </c>
      <c r="B7553" t="s">
        <v>2569</v>
      </c>
      <c r="C7553" t="s">
        <v>11005</v>
      </c>
      <c r="D7553" t="s">
        <v>19057</v>
      </c>
      <c r="E7553" t="s">
        <v>19203</v>
      </c>
      <c r="F7553" t="s">
        <v>32831</v>
      </c>
      <c r="G7553" t="s">
        <v>32839</v>
      </c>
      <c r="H7553" t="s">
        <v>32849</v>
      </c>
      <c r="I7553" t="s">
        <v>4177</v>
      </c>
      <c r="J7553" t="s">
        <v>33011</v>
      </c>
      <c r="K7553" t="s">
        <v>42730</v>
      </c>
      <c r="M7553" t="s">
        <v>45785</v>
      </c>
      <c r="N7553" t="s">
        <v>47424</v>
      </c>
      <c r="O7553" t="s">
        <v>47425</v>
      </c>
      <c r="P7553">
        <v>0</v>
      </c>
      <c r="Q7553">
        <v>0</v>
      </c>
      <c r="R7553" t="s">
        <v>47431</v>
      </c>
      <c r="S7553" t="s">
        <v>47565</v>
      </c>
      <c r="T7553" t="s">
        <v>49127</v>
      </c>
      <c r="U7553" t="s">
        <v>55980</v>
      </c>
      <c r="W7553" t="s">
        <v>45785</v>
      </c>
      <c r="X7553" t="s">
        <v>47432</v>
      </c>
    </row>
    <row r="7554" spans="1:24">
      <c r="A7554">
        <f>HYPERLINK("https://www.philgeps.gov.ph/GEPSNONPILOT/Tender/SplashBidNoticeAbstractUI.aspx?menuIndex=3&amp;refID=7158125&amp;Result=3","7158125")</f>
        <v>0</v>
      </c>
      <c r="B7554" t="s">
        <v>266</v>
      </c>
      <c r="C7554" t="s">
        <v>11006</v>
      </c>
      <c r="D7554" t="s">
        <v>19042</v>
      </c>
      <c r="E7554" t="s">
        <v>25669</v>
      </c>
      <c r="F7554" t="s">
        <v>32831</v>
      </c>
      <c r="G7554" t="s">
        <v>32845</v>
      </c>
      <c r="H7554" t="s">
        <v>32849</v>
      </c>
      <c r="I7554" t="s">
        <v>4177</v>
      </c>
      <c r="J7554" t="s">
        <v>33528</v>
      </c>
      <c r="K7554" t="s">
        <v>42770</v>
      </c>
      <c r="M7554" t="s">
        <v>43265</v>
      </c>
      <c r="N7554" t="s">
        <v>47424</v>
      </c>
      <c r="O7554" t="s">
        <v>47425</v>
      </c>
      <c r="P7554">
        <v>0</v>
      </c>
      <c r="Q7554">
        <v>1</v>
      </c>
      <c r="R7554" t="s">
        <v>47431</v>
      </c>
      <c r="S7554" t="s">
        <v>47565</v>
      </c>
      <c r="T7554" t="s">
        <v>49077</v>
      </c>
      <c r="U7554" t="s">
        <v>55981</v>
      </c>
      <c r="V7554" t="s">
        <v>63308</v>
      </c>
      <c r="W7554" t="s">
        <v>43265</v>
      </c>
      <c r="X7554" t="s">
        <v>47432</v>
      </c>
    </row>
    <row r="7555" spans="1:24">
      <c r="A7555">
        <f>HYPERLINK("https://www.philgeps.gov.ph/GEPSNONPILOT/Tender/SplashBidNoticeAbstractUI.aspx?menuIndex=3&amp;refID=7157950&amp;Result=3","7157950")</f>
        <v>0</v>
      </c>
      <c r="B7555" t="s">
        <v>2570</v>
      </c>
      <c r="C7555" t="s">
        <v>11007</v>
      </c>
      <c r="D7555" t="s">
        <v>19033</v>
      </c>
      <c r="E7555" t="s">
        <v>20795</v>
      </c>
      <c r="F7555" t="s">
        <v>32831</v>
      </c>
      <c r="G7555" t="s">
        <v>32840</v>
      </c>
      <c r="H7555" t="s">
        <v>32848</v>
      </c>
      <c r="I7555" t="s">
        <v>32897</v>
      </c>
      <c r="J7555" t="s">
        <v>37203</v>
      </c>
      <c r="K7555" t="s">
        <v>42726</v>
      </c>
      <c r="M7555" t="s">
        <v>45786</v>
      </c>
      <c r="N7555" t="s">
        <v>47424</v>
      </c>
      <c r="O7555" t="s">
        <v>47425</v>
      </c>
      <c r="P7555">
        <v>0</v>
      </c>
      <c r="Q7555">
        <v>0</v>
      </c>
      <c r="R7555" t="s">
        <v>47431</v>
      </c>
      <c r="S7555" t="s">
        <v>47565</v>
      </c>
      <c r="T7555" t="s">
        <v>49270</v>
      </c>
      <c r="U7555" t="s">
        <v>55982</v>
      </c>
      <c r="W7555" t="s">
        <v>45786</v>
      </c>
      <c r="X7555" t="s">
        <v>47432</v>
      </c>
    </row>
    <row r="7556" spans="1:24">
      <c r="A7556">
        <f>HYPERLINK("https://www.philgeps.gov.ph/GEPSNONPILOT/Tender/SplashBidNoticeAbstractUI.aspx?menuIndex=3&amp;refID=7158060&amp;Result=3","7158060")</f>
        <v>0</v>
      </c>
      <c r="B7556" t="s">
        <v>2571</v>
      </c>
      <c r="C7556" t="s">
        <v>11008</v>
      </c>
      <c r="D7556" t="s">
        <v>19060</v>
      </c>
      <c r="E7556" t="s">
        <v>25670</v>
      </c>
      <c r="F7556" t="s">
        <v>32831</v>
      </c>
      <c r="G7556" t="s">
        <v>32838</v>
      </c>
      <c r="H7556" t="s">
        <v>32848</v>
      </c>
      <c r="I7556" t="s">
        <v>4438</v>
      </c>
      <c r="J7556" t="s">
        <v>37701</v>
      </c>
      <c r="K7556" t="s">
        <v>42727</v>
      </c>
      <c r="M7556" t="s">
        <v>45787</v>
      </c>
      <c r="N7556" t="s">
        <v>47424</v>
      </c>
      <c r="O7556" t="s">
        <v>47425</v>
      </c>
      <c r="P7556">
        <v>0</v>
      </c>
      <c r="Q7556">
        <v>0</v>
      </c>
      <c r="R7556" t="s">
        <v>47431</v>
      </c>
      <c r="S7556" t="s">
        <v>47565</v>
      </c>
      <c r="T7556" t="s">
        <v>49239</v>
      </c>
      <c r="U7556" t="s">
        <v>55983</v>
      </c>
      <c r="W7556" t="s">
        <v>45787</v>
      </c>
      <c r="X7556" t="s">
        <v>47432</v>
      </c>
    </row>
    <row r="7557" spans="1:24">
      <c r="A7557">
        <f>HYPERLINK("https://www.philgeps.gov.ph/GEPSNONPILOT/Tender/SplashBidNoticeAbstractUI.aspx?menuIndex=3&amp;refID=7158119&amp;Result=3","7158119")</f>
        <v>0</v>
      </c>
      <c r="B7557" t="s">
        <v>420</v>
      </c>
      <c r="C7557" t="s">
        <v>11009</v>
      </c>
      <c r="D7557" t="s">
        <v>19023</v>
      </c>
      <c r="E7557" t="s">
        <v>25671</v>
      </c>
      <c r="F7557" t="s">
        <v>32831</v>
      </c>
      <c r="G7557" t="s">
        <v>32839</v>
      </c>
      <c r="H7557" t="s">
        <v>32848</v>
      </c>
      <c r="I7557" t="s">
        <v>32896</v>
      </c>
      <c r="J7557" t="s">
        <v>32976</v>
      </c>
      <c r="K7557" t="s">
        <v>42726</v>
      </c>
      <c r="M7557" t="s">
        <v>43425</v>
      </c>
      <c r="N7557" t="s">
        <v>47424</v>
      </c>
      <c r="O7557" t="s">
        <v>47425</v>
      </c>
      <c r="P7557">
        <v>0</v>
      </c>
      <c r="Q7557">
        <v>1</v>
      </c>
      <c r="R7557" t="s">
        <v>47431</v>
      </c>
      <c r="S7557" t="s">
        <v>47565</v>
      </c>
      <c r="T7557" t="s">
        <v>49100</v>
      </c>
      <c r="U7557" t="s">
        <v>55984</v>
      </c>
      <c r="W7557" t="s">
        <v>43425</v>
      </c>
      <c r="X7557" t="s">
        <v>47432</v>
      </c>
    </row>
    <row r="7558" spans="1:24">
      <c r="A7558">
        <f>HYPERLINK("https://www.philgeps.gov.ph/GEPSNONPILOT/Tender/SplashBidNoticeAbstractUI.aspx?menuIndex=3&amp;refID=7158115&amp;Result=3","7158115")</f>
        <v>0</v>
      </c>
      <c r="B7558" t="s">
        <v>744</v>
      </c>
      <c r="C7558" t="s">
        <v>11010</v>
      </c>
      <c r="D7558" t="s">
        <v>19017</v>
      </c>
      <c r="E7558" t="s">
        <v>25672</v>
      </c>
      <c r="F7558" t="s">
        <v>32831</v>
      </c>
      <c r="G7558" t="s">
        <v>32838</v>
      </c>
      <c r="H7558" t="s">
        <v>32848</v>
      </c>
      <c r="I7558" t="s">
        <v>4222</v>
      </c>
      <c r="J7558" t="s">
        <v>37702</v>
      </c>
      <c r="K7558" t="s">
        <v>42726</v>
      </c>
      <c r="M7558" t="s">
        <v>45773</v>
      </c>
      <c r="N7558" t="s">
        <v>47424</v>
      </c>
      <c r="O7558" t="s">
        <v>47425</v>
      </c>
      <c r="P7558">
        <v>0</v>
      </c>
      <c r="Q7558">
        <v>0</v>
      </c>
      <c r="R7558" t="s">
        <v>47431</v>
      </c>
      <c r="S7558" t="s">
        <v>47565</v>
      </c>
      <c r="T7558" t="s">
        <v>49237</v>
      </c>
      <c r="U7558" t="s">
        <v>51041</v>
      </c>
      <c r="W7558" t="s">
        <v>45773</v>
      </c>
      <c r="X7558" t="s">
        <v>47432</v>
      </c>
    </row>
    <row r="7559" spans="1:24">
      <c r="A7559">
        <f>HYPERLINK("https://www.philgeps.gov.ph/GEPSNONPILOT/Tender/SplashBidNoticeAbstractUI.aspx?menuIndex=3&amp;refID=7158112&amp;Result=3","7158112")</f>
        <v>0</v>
      </c>
      <c r="B7559" t="s">
        <v>2572</v>
      </c>
      <c r="C7559" t="s">
        <v>11011</v>
      </c>
      <c r="D7559" t="s">
        <v>19030</v>
      </c>
      <c r="E7559" t="s">
        <v>19845</v>
      </c>
      <c r="F7559" t="s">
        <v>32831</v>
      </c>
      <c r="G7559" t="s">
        <v>32838</v>
      </c>
      <c r="H7559" t="s">
        <v>32848</v>
      </c>
      <c r="I7559" t="s">
        <v>32867</v>
      </c>
      <c r="J7559" t="s">
        <v>33657</v>
      </c>
      <c r="K7559" t="s">
        <v>42727</v>
      </c>
      <c r="M7559" t="s">
        <v>45788</v>
      </c>
      <c r="N7559" t="s">
        <v>47424</v>
      </c>
      <c r="O7559" t="s">
        <v>47425</v>
      </c>
      <c r="P7559">
        <v>0</v>
      </c>
      <c r="Q7559">
        <v>4</v>
      </c>
      <c r="R7559" t="s">
        <v>47431</v>
      </c>
      <c r="S7559" t="s">
        <v>47565</v>
      </c>
      <c r="T7559" t="s">
        <v>49125</v>
      </c>
      <c r="U7559" t="s">
        <v>55985</v>
      </c>
      <c r="W7559" t="s">
        <v>45788</v>
      </c>
      <c r="X7559" t="s">
        <v>47432</v>
      </c>
    </row>
    <row r="7560" spans="1:24">
      <c r="A7560">
        <f>HYPERLINK("https://www.philgeps.gov.ph/GEPSNONPILOT/Tender/SplashBidNoticeAbstractUI.aspx?menuIndex=3&amp;refID=7158079&amp;Result=3","7158079")</f>
        <v>0</v>
      </c>
      <c r="B7560" t="s">
        <v>744</v>
      </c>
      <c r="C7560" t="s">
        <v>11012</v>
      </c>
      <c r="D7560" t="s">
        <v>19017</v>
      </c>
      <c r="E7560" t="s">
        <v>25673</v>
      </c>
      <c r="F7560" t="s">
        <v>32831</v>
      </c>
      <c r="G7560" t="s">
        <v>32838</v>
      </c>
      <c r="H7560" t="s">
        <v>32848</v>
      </c>
      <c r="I7560" t="s">
        <v>4438</v>
      </c>
      <c r="J7560" t="s">
        <v>37703</v>
      </c>
      <c r="K7560" t="s">
        <v>42726</v>
      </c>
      <c r="M7560" t="s">
        <v>45773</v>
      </c>
      <c r="N7560" t="s">
        <v>47424</v>
      </c>
      <c r="O7560" t="s">
        <v>47425</v>
      </c>
      <c r="P7560">
        <v>0</v>
      </c>
      <c r="Q7560">
        <v>0</v>
      </c>
      <c r="R7560" t="s">
        <v>47431</v>
      </c>
      <c r="S7560" t="s">
        <v>47565</v>
      </c>
      <c r="T7560" t="s">
        <v>49237</v>
      </c>
      <c r="U7560" t="s">
        <v>52446</v>
      </c>
      <c r="W7560" t="s">
        <v>45773</v>
      </c>
      <c r="X7560" t="s">
        <v>47432</v>
      </c>
    </row>
    <row r="7561" spans="1:24">
      <c r="A7561">
        <f>HYPERLINK("https://www.philgeps.gov.ph/GEPSNONPILOT/Tender/SplashBidNoticeAbstractUI.aspx?menuIndex=3&amp;refID=7158109&amp;Result=3","7158109")</f>
        <v>0</v>
      </c>
      <c r="B7561" t="s">
        <v>1272</v>
      </c>
      <c r="C7561" t="s">
        <v>11013</v>
      </c>
      <c r="D7561" t="s">
        <v>19057</v>
      </c>
      <c r="E7561" t="s">
        <v>25674</v>
      </c>
      <c r="F7561" t="s">
        <v>32831</v>
      </c>
      <c r="G7561" t="s">
        <v>32839</v>
      </c>
      <c r="H7561" t="s">
        <v>32848</v>
      </c>
      <c r="I7561" t="s">
        <v>32884</v>
      </c>
      <c r="J7561" t="s">
        <v>32983</v>
      </c>
      <c r="K7561" t="s">
        <v>42731</v>
      </c>
      <c r="M7561" t="s">
        <v>44342</v>
      </c>
      <c r="N7561" t="s">
        <v>47424</v>
      </c>
      <c r="O7561" t="s">
        <v>47425</v>
      </c>
      <c r="P7561">
        <v>0</v>
      </c>
      <c r="Q7561">
        <v>1</v>
      </c>
      <c r="R7561" t="s">
        <v>47431</v>
      </c>
      <c r="S7561" t="s">
        <v>47565</v>
      </c>
      <c r="T7561" t="s">
        <v>49061</v>
      </c>
      <c r="U7561" t="s">
        <v>55986</v>
      </c>
      <c r="W7561" t="s">
        <v>44342</v>
      </c>
      <c r="X7561" t="s">
        <v>47432</v>
      </c>
    </row>
    <row r="7562" spans="1:24">
      <c r="A7562">
        <f>HYPERLINK("https://www.philgeps.gov.ph/GEPSNONPILOT/Tender/SplashBidNoticeAbstractUI.aspx?menuIndex=3&amp;refID=7158108&amp;Result=3","7158108")</f>
        <v>0</v>
      </c>
      <c r="B7562" t="s">
        <v>2561</v>
      </c>
      <c r="C7562" t="s">
        <v>11014</v>
      </c>
      <c r="E7562" t="s">
        <v>25675</v>
      </c>
      <c r="F7562" t="s">
        <v>32831</v>
      </c>
      <c r="G7562" t="s">
        <v>32839</v>
      </c>
      <c r="H7562" t="s">
        <v>32849</v>
      </c>
      <c r="I7562" t="s">
        <v>7416</v>
      </c>
      <c r="J7562" t="s">
        <v>37704</v>
      </c>
      <c r="K7562" t="s">
        <v>42763</v>
      </c>
      <c r="M7562" t="s">
        <v>45775</v>
      </c>
      <c r="N7562" t="s">
        <v>47424</v>
      </c>
      <c r="O7562" t="s">
        <v>47425</v>
      </c>
      <c r="Q7562">
        <v>1</v>
      </c>
      <c r="R7562" t="s">
        <v>47431</v>
      </c>
      <c r="S7562" t="s">
        <v>47591</v>
      </c>
      <c r="T7562" t="s">
        <v>49463</v>
      </c>
      <c r="U7562" t="s">
        <v>55955</v>
      </c>
      <c r="W7562" t="s">
        <v>45775</v>
      </c>
      <c r="X7562" t="s">
        <v>47432</v>
      </c>
    </row>
    <row r="7563" spans="1:24">
      <c r="A7563">
        <f>HYPERLINK("https://www.philgeps.gov.ph/GEPSNONPILOT/Tender/SplashBidNoticeAbstractUI.aspx?menuIndex=3&amp;refID=7158104&amp;Result=3","7158104")</f>
        <v>0</v>
      </c>
      <c r="B7563" t="s">
        <v>1618</v>
      </c>
      <c r="C7563" t="s">
        <v>11015</v>
      </c>
      <c r="D7563" t="s">
        <v>19035</v>
      </c>
      <c r="E7563" t="s">
        <v>25676</v>
      </c>
      <c r="F7563" t="s">
        <v>32831</v>
      </c>
      <c r="G7563" t="s">
        <v>32838</v>
      </c>
      <c r="H7563" t="s">
        <v>32848</v>
      </c>
      <c r="I7563" t="s">
        <v>4438</v>
      </c>
      <c r="J7563" t="s">
        <v>34095</v>
      </c>
      <c r="K7563" t="s">
        <v>42726</v>
      </c>
      <c r="M7563" t="s">
        <v>44734</v>
      </c>
      <c r="N7563" t="s">
        <v>47424</v>
      </c>
      <c r="O7563" t="s">
        <v>47425</v>
      </c>
      <c r="P7563">
        <v>0</v>
      </c>
      <c r="Q7563">
        <v>3</v>
      </c>
      <c r="R7563" t="s">
        <v>47431</v>
      </c>
      <c r="S7563" t="s">
        <v>47565</v>
      </c>
      <c r="T7563" t="s">
        <v>49244</v>
      </c>
      <c r="U7563" t="s">
        <v>55987</v>
      </c>
      <c r="W7563" t="s">
        <v>44734</v>
      </c>
      <c r="X7563" t="s">
        <v>47432</v>
      </c>
    </row>
    <row r="7564" spans="1:24">
      <c r="A7564">
        <f>HYPERLINK("https://www.philgeps.gov.ph/GEPSNONPILOT/Tender/SplashBidNoticeAbstractUI.aspx?menuIndex=3&amp;refID=7158051&amp;Result=3","7158051")</f>
        <v>0</v>
      </c>
      <c r="B7564" t="s">
        <v>1767</v>
      </c>
      <c r="C7564" t="s">
        <v>11016</v>
      </c>
      <c r="D7564" t="s">
        <v>19088</v>
      </c>
      <c r="E7564" t="s">
        <v>25677</v>
      </c>
      <c r="F7564" t="s">
        <v>32831</v>
      </c>
      <c r="G7564" t="s">
        <v>32840</v>
      </c>
      <c r="H7564" t="s">
        <v>32848</v>
      </c>
      <c r="I7564" t="s">
        <v>10805</v>
      </c>
      <c r="J7564" t="s">
        <v>32985</v>
      </c>
      <c r="K7564" t="s">
        <v>42730</v>
      </c>
      <c r="M7564" t="s">
        <v>44892</v>
      </c>
      <c r="N7564" t="s">
        <v>47424</v>
      </c>
      <c r="O7564" t="s">
        <v>47425</v>
      </c>
      <c r="P7564">
        <v>0</v>
      </c>
      <c r="Q7564">
        <v>8</v>
      </c>
      <c r="R7564" t="s">
        <v>47431</v>
      </c>
      <c r="S7564" t="s">
        <v>47565</v>
      </c>
      <c r="T7564" t="s">
        <v>49107</v>
      </c>
      <c r="U7564" t="s">
        <v>55988</v>
      </c>
      <c r="V7564" t="s">
        <v>63120</v>
      </c>
      <c r="W7564" t="s">
        <v>44892</v>
      </c>
      <c r="X7564" t="s">
        <v>47432</v>
      </c>
    </row>
    <row r="7565" spans="1:24">
      <c r="A7565">
        <f>HYPERLINK("https://www.philgeps.gov.ph/GEPSNONPILOT/Tender/SplashBidNoticeAbstractUI.aspx?menuIndex=3&amp;refID=7158103&amp;Result=3","7158103")</f>
        <v>0</v>
      </c>
      <c r="B7565" t="s">
        <v>2071</v>
      </c>
      <c r="C7565" t="s">
        <v>11017</v>
      </c>
      <c r="D7565" t="s">
        <v>19056</v>
      </c>
      <c r="E7565" t="s">
        <v>25678</v>
      </c>
      <c r="F7565" t="s">
        <v>32831</v>
      </c>
      <c r="G7565" t="s">
        <v>32839</v>
      </c>
      <c r="H7565" t="s">
        <v>32848</v>
      </c>
      <c r="I7565" t="s">
        <v>32914</v>
      </c>
      <c r="J7565" t="s">
        <v>37705</v>
      </c>
      <c r="K7565" t="s">
        <v>42730</v>
      </c>
      <c r="M7565" t="s">
        <v>45241</v>
      </c>
      <c r="N7565" t="s">
        <v>47424</v>
      </c>
      <c r="O7565" t="s">
        <v>47425</v>
      </c>
      <c r="Q7565">
        <v>6</v>
      </c>
      <c r="R7565" t="s">
        <v>47431</v>
      </c>
      <c r="S7565" t="s">
        <v>47592</v>
      </c>
      <c r="T7565" t="s">
        <v>49481</v>
      </c>
      <c r="U7565" t="s">
        <v>55989</v>
      </c>
      <c r="W7565" t="s">
        <v>45241</v>
      </c>
      <c r="X7565" t="s">
        <v>47432</v>
      </c>
    </row>
    <row r="7566" spans="1:24">
      <c r="A7566">
        <f>HYPERLINK("https://www.philgeps.gov.ph/GEPSNONPILOT/Tender/SplashBidNoticeAbstractUI.aspx?menuIndex=3&amp;refID=7158102&amp;Result=3","7158102")</f>
        <v>0</v>
      </c>
      <c r="B7566" t="s">
        <v>1891</v>
      </c>
      <c r="C7566" t="s">
        <v>11018</v>
      </c>
      <c r="D7566" t="s">
        <v>19017</v>
      </c>
      <c r="E7566" t="s">
        <v>25679</v>
      </c>
      <c r="F7566" t="s">
        <v>32831</v>
      </c>
      <c r="G7566" t="s">
        <v>32838</v>
      </c>
      <c r="H7566" t="s">
        <v>32848</v>
      </c>
      <c r="I7566" t="s">
        <v>32911</v>
      </c>
      <c r="J7566" t="s">
        <v>33672</v>
      </c>
      <c r="K7566" t="s">
        <v>42731</v>
      </c>
      <c r="M7566" t="s">
        <v>45789</v>
      </c>
      <c r="N7566" t="s">
        <v>47424</v>
      </c>
      <c r="O7566" t="s">
        <v>47425</v>
      </c>
      <c r="P7566">
        <v>0</v>
      </c>
      <c r="Q7566">
        <v>3</v>
      </c>
      <c r="R7566" t="s">
        <v>47431</v>
      </c>
      <c r="S7566" t="s">
        <v>47565</v>
      </c>
      <c r="T7566" t="s">
        <v>49100</v>
      </c>
      <c r="U7566" t="s">
        <v>55990</v>
      </c>
      <c r="W7566" t="s">
        <v>45789</v>
      </c>
      <c r="X7566" t="s">
        <v>47432</v>
      </c>
    </row>
    <row r="7567" spans="1:24">
      <c r="A7567">
        <f>HYPERLINK("https://www.philgeps.gov.ph/GEPSNONPILOT/Tender/SplashBidNoticeAbstractUI.aspx?menuIndex=3&amp;refID=7158132&amp;Result=3","7158132")</f>
        <v>0</v>
      </c>
      <c r="B7567" t="s">
        <v>744</v>
      </c>
      <c r="C7567" t="s">
        <v>11019</v>
      </c>
      <c r="D7567" t="s">
        <v>19017</v>
      </c>
      <c r="E7567" t="s">
        <v>25680</v>
      </c>
      <c r="F7567" t="s">
        <v>32831</v>
      </c>
      <c r="G7567" t="s">
        <v>32838</v>
      </c>
      <c r="H7567" t="s">
        <v>32848</v>
      </c>
      <c r="I7567" t="s">
        <v>32862</v>
      </c>
      <c r="J7567" t="s">
        <v>37706</v>
      </c>
      <c r="K7567" t="s">
        <v>42726</v>
      </c>
      <c r="M7567" t="s">
        <v>45773</v>
      </c>
      <c r="N7567" t="s">
        <v>47424</v>
      </c>
      <c r="O7567" t="s">
        <v>47425</v>
      </c>
      <c r="P7567">
        <v>0</v>
      </c>
      <c r="Q7567">
        <v>0</v>
      </c>
      <c r="R7567" t="s">
        <v>47431</v>
      </c>
      <c r="S7567" t="s">
        <v>47565</v>
      </c>
      <c r="T7567" t="s">
        <v>49237</v>
      </c>
      <c r="U7567" t="s">
        <v>55880</v>
      </c>
      <c r="W7567" t="s">
        <v>45773</v>
      </c>
      <c r="X7567" t="s">
        <v>47432</v>
      </c>
    </row>
    <row r="7568" spans="1:24">
      <c r="A7568">
        <f>HYPERLINK("https://www.philgeps.gov.ph/GEPSNONPILOT/Tender/SplashBidNoticeAbstractUI.aspx?menuIndex=3&amp;refID=7158156&amp;Result=3","7158156")</f>
        <v>0</v>
      </c>
      <c r="B7568" t="s">
        <v>2557</v>
      </c>
      <c r="C7568" t="s">
        <v>11020</v>
      </c>
      <c r="D7568" t="s">
        <v>19045</v>
      </c>
      <c r="E7568" t="s">
        <v>25681</v>
      </c>
      <c r="F7568" t="s">
        <v>32831</v>
      </c>
      <c r="G7568" t="s">
        <v>32839</v>
      </c>
      <c r="H7568" t="s">
        <v>32849</v>
      </c>
      <c r="I7568" t="s">
        <v>32855</v>
      </c>
      <c r="J7568" t="s">
        <v>37707</v>
      </c>
      <c r="K7568" t="s">
        <v>42729</v>
      </c>
      <c r="M7568" t="s">
        <v>45769</v>
      </c>
      <c r="N7568" t="s">
        <v>47424</v>
      </c>
      <c r="O7568" t="s">
        <v>47425</v>
      </c>
      <c r="P7568">
        <v>0</v>
      </c>
      <c r="Q7568">
        <v>2</v>
      </c>
      <c r="R7568" t="s">
        <v>47431</v>
      </c>
      <c r="S7568" t="s">
        <v>47565</v>
      </c>
      <c r="T7568" t="s">
        <v>49393</v>
      </c>
      <c r="U7568" t="s">
        <v>55991</v>
      </c>
      <c r="W7568" t="s">
        <v>45769</v>
      </c>
      <c r="X7568" t="s">
        <v>47432</v>
      </c>
    </row>
    <row r="7569" spans="1:24">
      <c r="A7569">
        <f>HYPERLINK("https://www.philgeps.gov.ph/GEPSNONPILOT/Tender/SplashBidNoticeAbstractUI.aspx?menuIndex=3&amp;refID=7158167&amp;Result=3","7158167")</f>
        <v>0</v>
      </c>
      <c r="B7569" t="s">
        <v>2573</v>
      </c>
      <c r="C7569" t="s">
        <v>11021</v>
      </c>
      <c r="D7569" t="s">
        <v>19017</v>
      </c>
      <c r="E7569" t="s">
        <v>19203</v>
      </c>
      <c r="F7569" t="s">
        <v>32831</v>
      </c>
      <c r="G7569" t="s">
        <v>32838</v>
      </c>
      <c r="H7569" t="s">
        <v>32848</v>
      </c>
      <c r="I7569" t="s">
        <v>32864</v>
      </c>
      <c r="J7569" t="s">
        <v>37708</v>
      </c>
      <c r="K7569" t="s">
        <v>42748</v>
      </c>
      <c r="M7569" t="s">
        <v>45790</v>
      </c>
      <c r="N7569" t="s">
        <v>47424</v>
      </c>
      <c r="O7569" t="s">
        <v>47425</v>
      </c>
      <c r="P7569">
        <v>0</v>
      </c>
      <c r="Q7569">
        <v>5</v>
      </c>
      <c r="R7569" t="s">
        <v>47431</v>
      </c>
      <c r="S7569" t="s">
        <v>47565</v>
      </c>
      <c r="T7569" t="s">
        <v>49229</v>
      </c>
      <c r="U7569" t="s">
        <v>55992</v>
      </c>
      <c r="W7569" t="s">
        <v>45790</v>
      </c>
      <c r="X7569" t="s">
        <v>47432</v>
      </c>
    </row>
    <row r="7570" spans="1:24">
      <c r="A7570">
        <f>HYPERLINK("https://www.philgeps.gov.ph/GEPSNONPILOT/Tender/SplashBidNoticeAbstractUI.aspx?menuIndex=3&amp;refID=7158111&amp;Result=3","7158111")</f>
        <v>0</v>
      </c>
      <c r="B7570" t="s">
        <v>2557</v>
      </c>
      <c r="C7570" t="s">
        <v>11022</v>
      </c>
      <c r="D7570" t="s">
        <v>19045</v>
      </c>
      <c r="E7570" t="s">
        <v>23491</v>
      </c>
      <c r="F7570" t="s">
        <v>32831</v>
      </c>
      <c r="G7570" t="s">
        <v>32839</v>
      </c>
      <c r="H7570" t="s">
        <v>32848</v>
      </c>
      <c r="I7570" t="s">
        <v>32938</v>
      </c>
      <c r="J7570" t="s">
        <v>36330</v>
      </c>
      <c r="K7570" t="s">
        <v>42730</v>
      </c>
      <c r="M7570" t="s">
        <v>45769</v>
      </c>
      <c r="N7570" t="s">
        <v>47424</v>
      </c>
      <c r="O7570" t="s">
        <v>47425</v>
      </c>
      <c r="P7570">
        <v>0</v>
      </c>
      <c r="Q7570">
        <v>0</v>
      </c>
      <c r="R7570" t="s">
        <v>47431</v>
      </c>
      <c r="S7570" t="s">
        <v>47565</v>
      </c>
      <c r="T7570" t="s">
        <v>49393</v>
      </c>
      <c r="U7570" t="s">
        <v>55993</v>
      </c>
      <c r="W7570" t="s">
        <v>45769</v>
      </c>
      <c r="X7570" t="s">
        <v>47432</v>
      </c>
    </row>
    <row r="7571" spans="1:24">
      <c r="A7571">
        <f>HYPERLINK("https://www.philgeps.gov.ph/GEPSNONPILOT/Tender/SplashBidNoticeAbstractUI.aspx?menuIndex=3&amp;refID=7158165&amp;Result=3","7158165")</f>
        <v>0</v>
      </c>
      <c r="B7571" t="s">
        <v>1750</v>
      </c>
      <c r="C7571" t="s">
        <v>11023</v>
      </c>
      <c r="D7571" t="s">
        <v>19038</v>
      </c>
      <c r="E7571" t="s">
        <v>25682</v>
      </c>
      <c r="F7571" t="s">
        <v>32831</v>
      </c>
      <c r="G7571" t="s">
        <v>32839</v>
      </c>
      <c r="H7571" t="s">
        <v>32848</v>
      </c>
      <c r="I7571" t="s">
        <v>4776</v>
      </c>
      <c r="J7571" t="s">
        <v>33087</v>
      </c>
      <c r="K7571" t="s">
        <v>42745</v>
      </c>
      <c r="M7571" t="s">
        <v>44874</v>
      </c>
      <c r="N7571" t="s">
        <v>47424</v>
      </c>
      <c r="O7571" t="s">
        <v>47425</v>
      </c>
      <c r="P7571">
        <v>0</v>
      </c>
      <c r="Q7571">
        <v>1</v>
      </c>
      <c r="R7571" t="s">
        <v>47431</v>
      </c>
      <c r="S7571" t="s">
        <v>47565</v>
      </c>
      <c r="T7571" t="s">
        <v>49430</v>
      </c>
      <c r="U7571" t="s">
        <v>55994</v>
      </c>
      <c r="W7571" t="s">
        <v>44874</v>
      </c>
      <c r="X7571" t="s">
        <v>47432</v>
      </c>
    </row>
    <row r="7572" spans="1:24">
      <c r="A7572">
        <f>HYPERLINK("https://www.philgeps.gov.ph/GEPSNONPILOT/Tender/SplashBidNoticeAbstractUI.aspx?menuIndex=3&amp;refID=7158163&amp;Result=3","7158163")</f>
        <v>0</v>
      </c>
      <c r="B7572" t="s">
        <v>2574</v>
      </c>
      <c r="C7572" t="s">
        <v>11024</v>
      </c>
      <c r="D7572" t="s">
        <v>19027</v>
      </c>
      <c r="E7572" t="s">
        <v>19183</v>
      </c>
      <c r="F7572" t="s">
        <v>32833</v>
      </c>
      <c r="G7572" t="s">
        <v>32838</v>
      </c>
      <c r="H7572" t="s">
        <v>32848</v>
      </c>
      <c r="I7572" t="s">
        <v>32860</v>
      </c>
      <c r="J7572" t="s">
        <v>37709</v>
      </c>
      <c r="K7572" t="s">
        <v>42731</v>
      </c>
      <c r="M7572" t="s">
        <v>45791</v>
      </c>
      <c r="N7572" t="s">
        <v>47424</v>
      </c>
      <c r="O7572" t="s">
        <v>47425</v>
      </c>
      <c r="P7572">
        <v>0</v>
      </c>
      <c r="Q7572">
        <v>2</v>
      </c>
      <c r="R7572" t="s">
        <v>47431</v>
      </c>
      <c r="S7572" t="s">
        <v>47565</v>
      </c>
      <c r="T7572" t="s">
        <v>49079</v>
      </c>
      <c r="U7572" t="s">
        <v>55995</v>
      </c>
      <c r="W7572" t="s">
        <v>45791</v>
      </c>
      <c r="X7572" t="s">
        <v>47432</v>
      </c>
    </row>
    <row r="7573" spans="1:24">
      <c r="A7573">
        <f>HYPERLINK("https://www.philgeps.gov.ph/GEPSNONPILOT/Tender/SplashBidNoticeAbstractUI.aspx?menuIndex=3&amp;refID=7158124&amp;Result=3","7158124")</f>
        <v>0</v>
      </c>
      <c r="B7573" t="s">
        <v>2557</v>
      </c>
      <c r="C7573" t="s">
        <v>11025</v>
      </c>
      <c r="D7573" t="s">
        <v>19045</v>
      </c>
      <c r="E7573" t="s">
        <v>25683</v>
      </c>
      <c r="F7573" t="s">
        <v>32831</v>
      </c>
      <c r="G7573" t="s">
        <v>32839</v>
      </c>
      <c r="H7573" t="s">
        <v>32849</v>
      </c>
      <c r="I7573" t="s">
        <v>4177</v>
      </c>
      <c r="J7573" t="s">
        <v>33118</v>
      </c>
      <c r="K7573" t="s">
        <v>42730</v>
      </c>
      <c r="M7573" t="s">
        <v>45769</v>
      </c>
      <c r="N7573" t="s">
        <v>47424</v>
      </c>
      <c r="O7573" t="s">
        <v>47425</v>
      </c>
      <c r="P7573">
        <v>0</v>
      </c>
      <c r="Q7573">
        <v>1</v>
      </c>
      <c r="R7573" t="s">
        <v>47431</v>
      </c>
      <c r="S7573" t="s">
        <v>47565</v>
      </c>
      <c r="T7573" t="s">
        <v>49393</v>
      </c>
      <c r="U7573" t="s">
        <v>55996</v>
      </c>
      <c r="W7573" t="s">
        <v>45769</v>
      </c>
      <c r="X7573" t="s">
        <v>47432</v>
      </c>
    </row>
    <row r="7574" spans="1:24">
      <c r="A7574">
        <f>HYPERLINK("https://www.philgeps.gov.ph/GEPSNONPILOT/Tender/SplashBidNoticeAbstractUI.aspx?menuIndex=3&amp;refID=7158117&amp;Result=3","7158117")</f>
        <v>0</v>
      </c>
      <c r="B7574" t="s">
        <v>823</v>
      </c>
      <c r="C7574" t="s">
        <v>11026</v>
      </c>
      <c r="D7574" t="s">
        <v>19062</v>
      </c>
      <c r="E7574" t="s">
        <v>25684</v>
      </c>
      <c r="F7574" t="s">
        <v>32831</v>
      </c>
      <c r="G7574" t="s">
        <v>32839</v>
      </c>
      <c r="H7574" t="s">
        <v>32849</v>
      </c>
      <c r="I7574" t="s">
        <v>4177</v>
      </c>
      <c r="J7574" t="s">
        <v>33090</v>
      </c>
      <c r="K7574" t="s">
        <v>42747</v>
      </c>
      <c r="M7574" t="s">
        <v>45573</v>
      </c>
      <c r="N7574" t="s">
        <v>47424</v>
      </c>
      <c r="O7574" t="s">
        <v>47425</v>
      </c>
      <c r="P7574">
        <v>0</v>
      </c>
      <c r="Q7574">
        <v>0</v>
      </c>
      <c r="R7574" t="s">
        <v>47431</v>
      </c>
      <c r="S7574" t="s">
        <v>47565</v>
      </c>
      <c r="T7574" t="s">
        <v>49087</v>
      </c>
      <c r="U7574" t="s">
        <v>55315</v>
      </c>
      <c r="W7574" t="s">
        <v>45573</v>
      </c>
      <c r="X7574" t="s">
        <v>47432</v>
      </c>
    </row>
    <row r="7575" spans="1:24">
      <c r="A7575">
        <f>HYPERLINK("https://www.philgeps.gov.ph/GEPSNONPILOT/Tender/SplashBidNoticeAbstractUI.aspx?menuIndex=3&amp;refID=7158150&amp;Result=3","7158150")</f>
        <v>0</v>
      </c>
      <c r="B7575" t="s">
        <v>1312</v>
      </c>
      <c r="C7575" t="s">
        <v>11027</v>
      </c>
      <c r="D7575" t="s">
        <v>19054</v>
      </c>
      <c r="E7575" t="s">
        <v>21824</v>
      </c>
      <c r="F7575" t="s">
        <v>32831</v>
      </c>
      <c r="G7575" t="s">
        <v>32839</v>
      </c>
      <c r="H7575" t="s">
        <v>32848</v>
      </c>
      <c r="I7575" t="s">
        <v>4487</v>
      </c>
      <c r="J7575" t="s">
        <v>37710</v>
      </c>
      <c r="K7575" t="s">
        <v>42732</v>
      </c>
      <c r="M7575" t="s">
        <v>44383</v>
      </c>
      <c r="N7575" t="s">
        <v>47424</v>
      </c>
      <c r="O7575" t="s">
        <v>47425</v>
      </c>
      <c r="P7575">
        <v>0</v>
      </c>
      <c r="Q7575">
        <v>0</v>
      </c>
      <c r="R7575" t="s">
        <v>47431</v>
      </c>
      <c r="S7575" t="s">
        <v>47565</v>
      </c>
      <c r="T7575" t="s">
        <v>49122</v>
      </c>
      <c r="U7575" t="s">
        <v>55997</v>
      </c>
      <c r="W7575" t="s">
        <v>44383</v>
      </c>
      <c r="X7575" t="s">
        <v>47432</v>
      </c>
    </row>
    <row r="7576" spans="1:24">
      <c r="A7576">
        <f>HYPERLINK("https://www.philgeps.gov.ph/GEPSNONPILOT/Tender/SplashBidNoticeAbstractUI.aspx?menuIndex=3&amp;refID=7158161&amp;Result=3","7158161")</f>
        <v>0</v>
      </c>
      <c r="B7576" t="s">
        <v>2557</v>
      </c>
      <c r="C7576" t="s">
        <v>11028</v>
      </c>
      <c r="D7576" t="s">
        <v>19045</v>
      </c>
      <c r="E7576" t="s">
        <v>25685</v>
      </c>
      <c r="F7576" t="s">
        <v>32831</v>
      </c>
      <c r="G7576" t="s">
        <v>32839</v>
      </c>
      <c r="H7576" t="s">
        <v>32849</v>
      </c>
      <c r="I7576" t="s">
        <v>4177</v>
      </c>
      <c r="J7576" t="s">
        <v>33561</v>
      </c>
      <c r="K7576" t="s">
        <v>42729</v>
      </c>
      <c r="M7576" t="s">
        <v>45769</v>
      </c>
      <c r="N7576" t="s">
        <v>47424</v>
      </c>
      <c r="O7576" t="s">
        <v>47425</v>
      </c>
      <c r="P7576">
        <v>0</v>
      </c>
      <c r="Q7576">
        <v>1</v>
      </c>
      <c r="R7576" t="s">
        <v>47431</v>
      </c>
      <c r="S7576" t="s">
        <v>47565</v>
      </c>
      <c r="T7576" t="s">
        <v>49393</v>
      </c>
      <c r="U7576" t="s">
        <v>55998</v>
      </c>
      <c r="W7576" t="s">
        <v>45769</v>
      </c>
      <c r="X7576" t="s">
        <v>47432</v>
      </c>
    </row>
    <row r="7577" spans="1:24">
      <c r="A7577">
        <f>HYPERLINK("https://www.philgeps.gov.ph/GEPSNONPILOT/Tender/SplashBidNoticeAbstractUI.aspx?menuIndex=3&amp;refID=7158105&amp;Result=3","7158105")</f>
        <v>0</v>
      </c>
      <c r="B7577" t="s">
        <v>1781</v>
      </c>
      <c r="C7577" t="s">
        <v>11029</v>
      </c>
      <c r="D7577" t="s">
        <v>19026</v>
      </c>
      <c r="E7577" t="s">
        <v>25686</v>
      </c>
      <c r="F7577" t="s">
        <v>32831</v>
      </c>
      <c r="G7577" t="s">
        <v>32839</v>
      </c>
      <c r="H7577" t="s">
        <v>32848</v>
      </c>
      <c r="I7577" t="s">
        <v>32855</v>
      </c>
      <c r="J7577" t="s">
        <v>37711</v>
      </c>
      <c r="K7577" t="s">
        <v>42732</v>
      </c>
      <c r="M7577" t="s">
        <v>44907</v>
      </c>
      <c r="N7577" t="s">
        <v>47424</v>
      </c>
      <c r="O7577" t="s">
        <v>47425</v>
      </c>
      <c r="P7577">
        <v>0</v>
      </c>
      <c r="Q7577">
        <v>7</v>
      </c>
      <c r="R7577" t="s">
        <v>47431</v>
      </c>
      <c r="S7577" t="s">
        <v>47565</v>
      </c>
      <c r="T7577" t="s">
        <v>49482</v>
      </c>
      <c r="U7577" t="s">
        <v>55999</v>
      </c>
      <c r="W7577" t="s">
        <v>44907</v>
      </c>
      <c r="X7577" t="s">
        <v>47432</v>
      </c>
    </row>
    <row r="7578" spans="1:24">
      <c r="A7578">
        <f>HYPERLINK("https://www.philgeps.gov.ph/GEPSNONPILOT/Tender/SplashBidNoticeAbstractUI.aspx?menuIndex=3&amp;refID=7158148&amp;Result=3","7158148")</f>
        <v>0</v>
      </c>
      <c r="B7578" t="s">
        <v>2575</v>
      </c>
      <c r="C7578" t="s">
        <v>11030</v>
      </c>
      <c r="E7578" t="s">
        <v>25687</v>
      </c>
      <c r="F7578" t="s">
        <v>32831</v>
      </c>
      <c r="G7578" t="s">
        <v>32839</v>
      </c>
      <c r="H7578" t="s">
        <v>32848</v>
      </c>
      <c r="I7578" t="s">
        <v>4177</v>
      </c>
      <c r="J7578" t="s">
        <v>37712</v>
      </c>
      <c r="K7578" t="s">
        <v>42732</v>
      </c>
      <c r="M7578" t="s">
        <v>45792</v>
      </c>
      <c r="N7578" t="s">
        <v>47424</v>
      </c>
      <c r="O7578" t="s">
        <v>47425</v>
      </c>
      <c r="P7578">
        <v>0</v>
      </c>
      <c r="Q7578">
        <v>2</v>
      </c>
      <c r="R7578" t="s">
        <v>47431</v>
      </c>
      <c r="S7578" t="s">
        <v>47565</v>
      </c>
      <c r="T7578" t="s">
        <v>49483</v>
      </c>
      <c r="U7578" t="s">
        <v>56000</v>
      </c>
      <c r="W7578" t="s">
        <v>45792</v>
      </c>
      <c r="X7578" t="s">
        <v>47432</v>
      </c>
    </row>
    <row r="7579" spans="1:24">
      <c r="A7579">
        <f>HYPERLINK("https://www.philgeps.gov.ph/GEPSNONPILOT/Tender/SplashBidNoticeAbstractUI.aspx?menuIndex=3&amp;refID=7158159&amp;Result=3","7158159")</f>
        <v>0</v>
      </c>
      <c r="B7579" t="s">
        <v>744</v>
      </c>
      <c r="C7579" t="s">
        <v>11031</v>
      </c>
      <c r="D7579" t="s">
        <v>19017</v>
      </c>
      <c r="E7579" t="s">
        <v>25688</v>
      </c>
      <c r="F7579" t="s">
        <v>32831</v>
      </c>
      <c r="G7579" t="s">
        <v>32838</v>
      </c>
      <c r="H7579" t="s">
        <v>32848</v>
      </c>
      <c r="I7579" t="s">
        <v>11484</v>
      </c>
      <c r="J7579" t="s">
        <v>37713</v>
      </c>
      <c r="K7579" t="s">
        <v>42726</v>
      </c>
      <c r="M7579" t="s">
        <v>45773</v>
      </c>
      <c r="N7579" t="s">
        <v>47424</v>
      </c>
      <c r="O7579" t="s">
        <v>47425</v>
      </c>
      <c r="P7579">
        <v>0</v>
      </c>
      <c r="Q7579">
        <v>0</v>
      </c>
      <c r="R7579" t="s">
        <v>47431</v>
      </c>
      <c r="S7579" t="s">
        <v>47565</v>
      </c>
      <c r="T7579" t="s">
        <v>49237</v>
      </c>
      <c r="U7579" t="s">
        <v>53958</v>
      </c>
      <c r="W7579" t="s">
        <v>45773</v>
      </c>
      <c r="X7579" t="s">
        <v>47432</v>
      </c>
    </row>
    <row r="7580" spans="1:24">
      <c r="A7580">
        <f>HYPERLINK("https://www.philgeps.gov.ph/GEPSNONPILOT/Tender/SplashBidNoticeAbstractUI.aspx?menuIndex=3&amp;refID=7158063&amp;Result=3","7158063")</f>
        <v>0</v>
      </c>
      <c r="B7580" t="s">
        <v>2073</v>
      </c>
      <c r="C7580" t="s">
        <v>11032</v>
      </c>
      <c r="D7580" t="s">
        <v>19061</v>
      </c>
      <c r="E7580" t="s">
        <v>25689</v>
      </c>
      <c r="F7580" t="s">
        <v>32831</v>
      </c>
      <c r="G7580" t="s">
        <v>32839</v>
      </c>
      <c r="H7580" t="s">
        <v>32848</v>
      </c>
      <c r="I7580" t="s">
        <v>11484</v>
      </c>
      <c r="J7580" t="s">
        <v>37714</v>
      </c>
      <c r="K7580" t="s">
        <v>42730</v>
      </c>
      <c r="M7580" t="s">
        <v>45243</v>
      </c>
      <c r="N7580" t="s">
        <v>47424</v>
      </c>
      <c r="O7580" t="s">
        <v>47425</v>
      </c>
      <c r="P7580">
        <v>0</v>
      </c>
      <c r="Q7580">
        <v>1</v>
      </c>
      <c r="R7580" t="s">
        <v>47431</v>
      </c>
      <c r="S7580" t="s">
        <v>47565</v>
      </c>
      <c r="T7580" t="s">
        <v>49192</v>
      </c>
      <c r="U7580" t="s">
        <v>55946</v>
      </c>
      <c r="W7580" t="s">
        <v>45243</v>
      </c>
      <c r="X7580" t="s">
        <v>47432</v>
      </c>
    </row>
    <row r="7581" spans="1:24">
      <c r="A7581">
        <f>HYPERLINK("https://www.philgeps.gov.ph/GEPSNONPILOT/Tender/SplashBidNoticeAbstractUI.aspx?menuIndex=3&amp;refID=7158149&amp;Result=3","7158149")</f>
        <v>0</v>
      </c>
      <c r="B7581" t="s">
        <v>1143</v>
      </c>
      <c r="C7581" t="s">
        <v>11033</v>
      </c>
      <c r="D7581" t="s">
        <v>19032</v>
      </c>
      <c r="E7581" t="s">
        <v>25690</v>
      </c>
      <c r="F7581" t="s">
        <v>32831</v>
      </c>
      <c r="G7581" t="s">
        <v>32838</v>
      </c>
      <c r="H7581" t="s">
        <v>32848</v>
      </c>
      <c r="I7581" t="s">
        <v>6526</v>
      </c>
      <c r="J7581" t="s">
        <v>36256</v>
      </c>
      <c r="K7581" t="s">
        <v>42732</v>
      </c>
      <c r="M7581" t="s">
        <v>44207</v>
      </c>
      <c r="N7581" t="s">
        <v>47424</v>
      </c>
      <c r="O7581" t="s">
        <v>47425</v>
      </c>
      <c r="P7581">
        <v>0</v>
      </c>
      <c r="Q7581">
        <v>0</v>
      </c>
      <c r="R7581" t="s">
        <v>47431</v>
      </c>
      <c r="S7581" t="s">
        <v>47565</v>
      </c>
      <c r="T7581" t="s">
        <v>49125</v>
      </c>
      <c r="U7581" t="s">
        <v>56001</v>
      </c>
      <c r="W7581" t="s">
        <v>44207</v>
      </c>
      <c r="X7581" t="s">
        <v>47432</v>
      </c>
    </row>
    <row r="7582" spans="1:24">
      <c r="A7582">
        <f>HYPERLINK("https://www.philgeps.gov.ph/GEPSNONPILOT/Tender/SplashBidNoticeAbstractUI.aspx?menuIndex=3&amp;refID=7158139&amp;Result=3","7158139")</f>
        <v>0</v>
      </c>
      <c r="B7582" t="s">
        <v>1750</v>
      </c>
      <c r="C7582" t="s">
        <v>11034</v>
      </c>
      <c r="D7582" t="s">
        <v>19038</v>
      </c>
      <c r="E7582" t="s">
        <v>25131</v>
      </c>
      <c r="F7582" t="s">
        <v>32831</v>
      </c>
      <c r="G7582" t="s">
        <v>32839</v>
      </c>
      <c r="H7582" t="s">
        <v>14069</v>
      </c>
      <c r="I7582" t="s">
        <v>14069</v>
      </c>
      <c r="J7582" t="s">
        <v>37715</v>
      </c>
      <c r="K7582" t="s">
        <v>42770</v>
      </c>
      <c r="M7582" t="s">
        <v>44874</v>
      </c>
      <c r="N7582" t="s">
        <v>47424</v>
      </c>
      <c r="O7582" t="s">
        <v>47425</v>
      </c>
      <c r="P7582">
        <v>0</v>
      </c>
      <c r="Q7582">
        <v>1</v>
      </c>
      <c r="R7582" t="s">
        <v>47431</v>
      </c>
      <c r="S7582" t="s">
        <v>47565</v>
      </c>
      <c r="T7582" t="s">
        <v>49323</v>
      </c>
      <c r="U7582" t="s">
        <v>56002</v>
      </c>
      <c r="W7582" t="s">
        <v>44874</v>
      </c>
      <c r="X7582" t="s">
        <v>47432</v>
      </c>
    </row>
    <row r="7583" spans="1:24">
      <c r="A7583">
        <f>HYPERLINK("https://www.philgeps.gov.ph/GEPSNONPILOT/Tender/SplashBidNoticeAbstractUI.aspx?menuIndex=3&amp;refID=7158155&amp;Result=3","7158155")</f>
        <v>0</v>
      </c>
      <c r="B7583" t="s">
        <v>1750</v>
      </c>
      <c r="C7583" t="s">
        <v>11035</v>
      </c>
      <c r="D7583" t="s">
        <v>19038</v>
      </c>
      <c r="E7583" t="s">
        <v>25691</v>
      </c>
      <c r="F7583" t="s">
        <v>32831</v>
      </c>
      <c r="G7583" t="s">
        <v>32839</v>
      </c>
      <c r="H7583" t="s">
        <v>32848</v>
      </c>
      <c r="I7583" t="s">
        <v>4487</v>
      </c>
      <c r="J7583" t="s">
        <v>36858</v>
      </c>
      <c r="K7583" t="s">
        <v>42745</v>
      </c>
      <c r="M7583" t="s">
        <v>44874</v>
      </c>
      <c r="N7583" t="s">
        <v>47424</v>
      </c>
      <c r="O7583" t="s">
        <v>47425</v>
      </c>
      <c r="P7583">
        <v>0</v>
      </c>
      <c r="Q7583">
        <v>2</v>
      </c>
      <c r="R7583" t="s">
        <v>47431</v>
      </c>
      <c r="S7583" t="s">
        <v>47565</v>
      </c>
      <c r="T7583" t="s">
        <v>49430</v>
      </c>
      <c r="U7583" t="s">
        <v>56003</v>
      </c>
      <c r="W7583" t="s">
        <v>44874</v>
      </c>
      <c r="X7583" t="s">
        <v>47432</v>
      </c>
    </row>
    <row r="7584" spans="1:24">
      <c r="A7584">
        <f>HYPERLINK("https://www.philgeps.gov.ph/GEPSNONPILOT/Tender/SplashBidNoticeAbstractUI.aspx?menuIndex=3&amp;refID=7158137&amp;Result=3","7158137")</f>
        <v>0</v>
      </c>
      <c r="B7584" t="s">
        <v>2561</v>
      </c>
      <c r="C7584" t="s">
        <v>11036</v>
      </c>
      <c r="E7584" t="s">
        <v>25692</v>
      </c>
      <c r="F7584" t="s">
        <v>32831</v>
      </c>
      <c r="G7584" t="s">
        <v>32839</v>
      </c>
      <c r="H7584" t="s">
        <v>32849</v>
      </c>
      <c r="I7584" t="s">
        <v>7416</v>
      </c>
      <c r="J7584" t="s">
        <v>37716</v>
      </c>
      <c r="K7584" t="s">
        <v>42729</v>
      </c>
      <c r="M7584" t="s">
        <v>45775</v>
      </c>
      <c r="N7584" t="s">
        <v>47424</v>
      </c>
      <c r="O7584" t="s">
        <v>47425</v>
      </c>
      <c r="Q7584">
        <v>0</v>
      </c>
      <c r="R7584" t="s">
        <v>47431</v>
      </c>
      <c r="S7584" t="s">
        <v>47593</v>
      </c>
      <c r="T7584" t="s">
        <v>49463</v>
      </c>
      <c r="U7584" t="s">
        <v>55955</v>
      </c>
      <c r="W7584" t="s">
        <v>45775</v>
      </c>
      <c r="X7584" t="s">
        <v>47432</v>
      </c>
    </row>
    <row r="7585" spans="1:24">
      <c r="A7585">
        <f>HYPERLINK("https://www.philgeps.gov.ph/GEPSNONPILOT/Tender/SplashBidNoticeAbstractUI.aspx?menuIndex=3&amp;refID=7158135&amp;Result=3","7158135")</f>
        <v>0</v>
      </c>
      <c r="B7585" t="s">
        <v>1272</v>
      </c>
      <c r="C7585" t="s">
        <v>11037</v>
      </c>
      <c r="D7585" t="s">
        <v>19057</v>
      </c>
      <c r="E7585" t="s">
        <v>25693</v>
      </c>
      <c r="F7585" t="s">
        <v>32831</v>
      </c>
      <c r="G7585" t="s">
        <v>32839</v>
      </c>
      <c r="H7585" t="s">
        <v>32848</v>
      </c>
      <c r="I7585" t="s">
        <v>4438</v>
      </c>
      <c r="J7585" t="s">
        <v>33291</v>
      </c>
      <c r="K7585" t="s">
        <v>42731</v>
      </c>
      <c r="M7585" t="s">
        <v>44342</v>
      </c>
      <c r="N7585" t="s">
        <v>47424</v>
      </c>
      <c r="O7585" t="s">
        <v>47425</v>
      </c>
      <c r="P7585">
        <v>0</v>
      </c>
      <c r="Q7585">
        <v>2</v>
      </c>
      <c r="R7585" t="s">
        <v>47431</v>
      </c>
      <c r="S7585" t="s">
        <v>47565</v>
      </c>
      <c r="T7585" t="s">
        <v>49115</v>
      </c>
      <c r="U7585" t="s">
        <v>56004</v>
      </c>
      <c r="W7585" t="s">
        <v>44342</v>
      </c>
      <c r="X7585" t="s">
        <v>47432</v>
      </c>
    </row>
    <row r="7586" spans="1:24">
      <c r="A7586">
        <f>HYPERLINK("https://www.philgeps.gov.ph/GEPSNONPILOT/Tender/SplashBidNoticeAbstractUI.aspx?menuIndex=3&amp;refID=7158140&amp;Result=3","7158140")</f>
        <v>0</v>
      </c>
      <c r="B7586" t="s">
        <v>2557</v>
      </c>
      <c r="C7586" t="s">
        <v>11038</v>
      </c>
      <c r="D7586" t="s">
        <v>19045</v>
      </c>
      <c r="E7586" t="s">
        <v>25694</v>
      </c>
      <c r="F7586" t="s">
        <v>32831</v>
      </c>
      <c r="G7586" t="s">
        <v>32839</v>
      </c>
      <c r="H7586" t="s">
        <v>32849</v>
      </c>
      <c r="I7586" t="s">
        <v>4177</v>
      </c>
      <c r="J7586" t="s">
        <v>36801</v>
      </c>
      <c r="K7586" t="s">
        <v>42780</v>
      </c>
      <c r="M7586" t="s">
        <v>45769</v>
      </c>
      <c r="N7586" t="s">
        <v>47424</v>
      </c>
      <c r="O7586" t="s">
        <v>47425</v>
      </c>
      <c r="P7586">
        <v>0</v>
      </c>
      <c r="Q7586">
        <v>2</v>
      </c>
      <c r="R7586" t="s">
        <v>47431</v>
      </c>
      <c r="S7586" t="s">
        <v>47565</v>
      </c>
      <c r="T7586" t="s">
        <v>49393</v>
      </c>
      <c r="U7586" t="s">
        <v>56005</v>
      </c>
      <c r="W7586" t="s">
        <v>45769</v>
      </c>
      <c r="X7586" t="s">
        <v>47432</v>
      </c>
    </row>
    <row r="7587" spans="1:24">
      <c r="A7587">
        <f>HYPERLINK("https://www.philgeps.gov.ph/GEPSNONPILOT/Tender/SplashBidNoticeAbstractUI.aspx?menuIndex=3&amp;refID=7158096&amp;Result=3","7158096")</f>
        <v>0</v>
      </c>
      <c r="B7587" t="s">
        <v>2441</v>
      </c>
      <c r="C7587" t="s">
        <v>11039</v>
      </c>
      <c r="E7587" t="s">
        <v>25695</v>
      </c>
      <c r="F7587" t="s">
        <v>32831</v>
      </c>
      <c r="G7587" t="s">
        <v>32838</v>
      </c>
      <c r="H7587" t="s">
        <v>32848</v>
      </c>
      <c r="I7587" t="s">
        <v>5379</v>
      </c>
      <c r="J7587" t="s">
        <v>37717</v>
      </c>
      <c r="K7587" t="s">
        <v>42732</v>
      </c>
      <c r="M7587" t="s">
        <v>45638</v>
      </c>
      <c r="N7587" t="s">
        <v>47424</v>
      </c>
      <c r="O7587" t="s">
        <v>47425</v>
      </c>
      <c r="P7587">
        <v>0</v>
      </c>
      <c r="Q7587">
        <v>1</v>
      </c>
      <c r="R7587" t="s">
        <v>47431</v>
      </c>
      <c r="S7587" t="s">
        <v>47565</v>
      </c>
      <c r="T7587" t="s">
        <v>49465</v>
      </c>
      <c r="U7587" t="s">
        <v>51549</v>
      </c>
      <c r="W7587" t="s">
        <v>45638</v>
      </c>
      <c r="X7587" t="s">
        <v>47432</v>
      </c>
    </row>
    <row r="7588" spans="1:24">
      <c r="A7588">
        <f>HYPERLINK("https://www.philgeps.gov.ph/GEPSNONPILOT/Tender/SplashBidNoticeAbstractUI.aspx?menuIndex=3&amp;refID=7158203&amp;Result=3","7158203")</f>
        <v>0</v>
      </c>
      <c r="B7588" t="s">
        <v>2548</v>
      </c>
      <c r="C7588" t="s">
        <v>11040</v>
      </c>
      <c r="D7588" t="s">
        <v>19060</v>
      </c>
      <c r="E7588" t="s">
        <v>25696</v>
      </c>
      <c r="F7588" t="s">
        <v>32831</v>
      </c>
      <c r="G7588" t="s">
        <v>32839</v>
      </c>
      <c r="H7588" t="s">
        <v>32849</v>
      </c>
      <c r="I7588" t="s">
        <v>4177</v>
      </c>
      <c r="J7588" t="s">
        <v>37718</v>
      </c>
      <c r="K7588" t="s">
        <v>42728</v>
      </c>
      <c r="M7588" t="s">
        <v>45760</v>
      </c>
      <c r="N7588" t="s">
        <v>47424</v>
      </c>
      <c r="O7588" t="s">
        <v>47425</v>
      </c>
      <c r="P7588">
        <v>0</v>
      </c>
      <c r="Q7588">
        <v>7</v>
      </c>
      <c r="R7588" t="s">
        <v>47431</v>
      </c>
      <c r="S7588" t="s">
        <v>47565</v>
      </c>
      <c r="T7588" t="s">
        <v>49323</v>
      </c>
      <c r="U7588" t="s">
        <v>56006</v>
      </c>
      <c r="W7588" t="s">
        <v>45760</v>
      </c>
      <c r="X7588" t="s">
        <v>47432</v>
      </c>
    </row>
    <row r="7589" spans="1:24">
      <c r="A7589">
        <f>HYPERLINK("https://www.philgeps.gov.ph/GEPSNONPILOT/Tender/SplashBidNoticeAbstractUI.aspx?menuIndex=3&amp;refID=7158138&amp;Result=3","7158138")</f>
        <v>0</v>
      </c>
      <c r="B7589" t="s">
        <v>689</v>
      </c>
      <c r="C7589" t="s">
        <v>11041</v>
      </c>
      <c r="E7589" t="s">
        <v>25697</v>
      </c>
      <c r="F7589" t="s">
        <v>32831</v>
      </c>
      <c r="G7589" t="s">
        <v>32838</v>
      </c>
      <c r="H7589" t="s">
        <v>32848</v>
      </c>
      <c r="I7589" t="s">
        <v>32909</v>
      </c>
      <c r="J7589" t="s">
        <v>37719</v>
      </c>
      <c r="K7589" t="s">
        <v>42732</v>
      </c>
      <c r="M7589" t="s">
        <v>45151</v>
      </c>
      <c r="N7589" t="s">
        <v>47424</v>
      </c>
      <c r="O7589" t="s">
        <v>47425</v>
      </c>
      <c r="Q7589">
        <v>10</v>
      </c>
      <c r="R7589" t="s">
        <v>47431</v>
      </c>
      <c r="S7589" t="s">
        <v>47594</v>
      </c>
      <c r="T7589" t="s">
        <v>49111</v>
      </c>
      <c r="U7589" t="s">
        <v>56007</v>
      </c>
      <c r="V7589" t="s">
        <v>63462</v>
      </c>
      <c r="W7589" t="s">
        <v>45151</v>
      </c>
      <c r="X7589" t="s">
        <v>47432</v>
      </c>
    </row>
    <row r="7590" spans="1:24">
      <c r="A7590">
        <f>HYPERLINK("https://www.philgeps.gov.ph/GEPSNONPILOT/Tender/SplashBidNoticeAbstractUI.aspx?menuIndex=3&amp;refID=7158141&amp;Result=3","7158141")</f>
        <v>0</v>
      </c>
      <c r="B7590" t="s">
        <v>2529</v>
      </c>
      <c r="C7590" t="s">
        <v>11042</v>
      </c>
      <c r="D7590" t="s">
        <v>19074</v>
      </c>
      <c r="E7590" t="s">
        <v>21333</v>
      </c>
      <c r="F7590" t="s">
        <v>32831</v>
      </c>
      <c r="G7590" t="s">
        <v>32838</v>
      </c>
      <c r="H7590" t="s">
        <v>32849</v>
      </c>
      <c r="I7590" t="s">
        <v>7416</v>
      </c>
      <c r="J7590" t="s">
        <v>33595</v>
      </c>
      <c r="K7590" t="s">
        <v>42731</v>
      </c>
      <c r="M7590" t="s">
        <v>45738</v>
      </c>
      <c r="N7590" t="s">
        <v>47424</v>
      </c>
      <c r="O7590" t="s">
        <v>47425</v>
      </c>
      <c r="P7590">
        <v>0</v>
      </c>
      <c r="Q7590">
        <v>0</v>
      </c>
      <c r="R7590" t="s">
        <v>47431</v>
      </c>
      <c r="S7590" t="s">
        <v>47565</v>
      </c>
      <c r="T7590" t="s">
        <v>49143</v>
      </c>
      <c r="U7590" t="s">
        <v>56008</v>
      </c>
      <c r="W7590" t="s">
        <v>45738</v>
      </c>
      <c r="X7590" t="s">
        <v>47432</v>
      </c>
    </row>
    <row r="7591" spans="1:24">
      <c r="A7591">
        <f>HYPERLINK("https://www.philgeps.gov.ph/GEPSNONPILOT/Tender/SplashBidNoticeAbstractUI.aspx?menuIndex=3&amp;refID=7158099&amp;Result=3","7158099")</f>
        <v>0</v>
      </c>
      <c r="B7591" t="s">
        <v>744</v>
      </c>
      <c r="C7591" t="s">
        <v>11043</v>
      </c>
      <c r="D7591" t="s">
        <v>19017</v>
      </c>
      <c r="E7591" t="s">
        <v>25698</v>
      </c>
      <c r="F7591" t="s">
        <v>32831</v>
      </c>
      <c r="G7591" t="s">
        <v>32838</v>
      </c>
      <c r="H7591" t="s">
        <v>32848</v>
      </c>
      <c r="I7591" t="s">
        <v>4222</v>
      </c>
      <c r="J7591" t="s">
        <v>37720</v>
      </c>
      <c r="K7591" t="s">
        <v>42726</v>
      </c>
      <c r="M7591" t="s">
        <v>45773</v>
      </c>
      <c r="N7591" t="s">
        <v>47424</v>
      </c>
      <c r="O7591" t="s">
        <v>47425</v>
      </c>
      <c r="P7591">
        <v>0</v>
      </c>
      <c r="Q7591">
        <v>0</v>
      </c>
      <c r="R7591" t="s">
        <v>47431</v>
      </c>
      <c r="S7591" t="s">
        <v>47565</v>
      </c>
      <c r="T7591" t="s">
        <v>49237</v>
      </c>
      <c r="U7591" t="s">
        <v>51041</v>
      </c>
      <c r="W7591" t="s">
        <v>45773</v>
      </c>
      <c r="X7591" t="s">
        <v>47432</v>
      </c>
    </row>
    <row r="7592" spans="1:24">
      <c r="A7592">
        <f>HYPERLINK("https://www.philgeps.gov.ph/GEPSNONPILOT/Tender/SplashBidNoticeAbstractUI.aspx?menuIndex=3&amp;refID=7158199&amp;Result=3","7158199")</f>
        <v>0</v>
      </c>
      <c r="B7592" t="s">
        <v>744</v>
      </c>
      <c r="C7592" t="s">
        <v>11044</v>
      </c>
      <c r="D7592" t="s">
        <v>19017</v>
      </c>
      <c r="E7592" t="s">
        <v>25699</v>
      </c>
      <c r="F7592" t="s">
        <v>32831</v>
      </c>
      <c r="G7592" t="s">
        <v>32838</v>
      </c>
      <c r="H7592" t="s">
        <v>32848</v>
      </c>
      <c r="I7592" t="s">
        <v>4177</v>
      </c>
      <c r="J7592" t="s">
        <v>33044</v>
      </c>
      <c r="K7592" t="s">
        <v>42730</v>
      </c>
      <c r="M7592" t="s">
        <v>44219</v>
      </c>
      <c r="N7592" t="s">
        <v>47424</v>
      </c>
      <c r="O7592" t="s">
        <v>47425</v>
      </c>
      <c r="P7592">
        <v>0</v>
      </c>
      <c r="Q7592">
        <v>0</v>
      </c>
      <c r="R7592" t="s">
        <v>47431</v>
      </c>
      <c r="S7592" t="s">
        <v>47565</v>
      </c>
      <c r="T7592" t="s">
        <v>49237</v>
      </c>
      <c r="U7592" t="s">
        <v>52005</v>
      </c>
      <c r="W7592" t="s">
        <v>44219</v>
      </c>
      <c r="X7592" t="s">
        <v>47432</v>
      </c>
    </row>
    <row r="7593" spans="1:24">
      <c r="A7593">
        <f>HYPERLINK("https://www.philgeps.gov.ph/GEPSNONPILOT/Tender/SplashBidNoticeAbstractUI.aspx?menuIndex=3&amp;refID=7158198&amp;Result=3","7158198")</f>
        <v>0</v>
      </c>
      <c r="B7593" t="s">
        <v>2576</v>
      </c>
      <c r="C7593" t="s">
        <v>11045</v>
      </c>
      <c r="D7593" t="s">
        <v>19093</v>
      </c>
      <c r="E7593" t="s">
        <v>25700</v>
      </c>
      <c r="F7593" t="s">
        <v>32831</v>
      </c>
      <c r="G7593" t="s">
        <v>32839</v>
      </c>
      <c r="H7593" t="s">
        <v>32849</v>
      </c>
      <c r="I7593" t="s">
        <v>4177</v>
      </c>
      <c r="J7593" t="s">
        <v>37721</v>
      </c>
      <c r="K7593" t="s">
        <v>42781</v>
      </c>
      <c r="M7593" t="s">
        <v>45793</v>
      </c>
      <c r="N7593" t="s">
        <v>47424</v>
      </c>
      <c r="O7593" t="s">
        <v>47425</v>
      </c>
      <c r="P7593">
        <v>0</v>
      </c>
      <c r="Q7593">
        <v>0</v>
      </c>
      <c r="R7593" t="s">
        <v>47431</v>
      </c>
      <c r="S7593" t="s">
        <v>47565</v>
      </c>
      <c r="T7593" t="s">
        <v>49319</v>
      </c>
      <c r="U7593" t="s">
        <v>56009</v>
      </c>
      <c r="W7593" t="s">
        <v>45793</v>
      </c>
      <c r="X7593" t="s">
        <v>47432</v>
      </c>
    </row>
    <row r="7594" spans="1:24">
      <c r="A7594">
        <f>HYPERLINK("https://www.philgeps.gov.ph/GEPSNONPILOT/Tender/SplashBidNoticeAbstractUI.aspx?menuIndex=3&amp;refID=7158194&amp;Result=3","7158194")</f>
        <v>0</v>
      </c>
      <c r="B7594" t="s">
        <v>999</v>
      </c>
      <c r="C7594" t="s">
        <v>11046</v>
      </c>
      <c r="D7594" t="s">
        <v>19017</v>
      </c>
      <c r="E7594" t="s">
        <v>25701</v>
      </c>
      <c r="F7594" t="s">
        <v>32831</v>
      </c>
      <c r="G7594" t="s">
        <v>32839</v>
      </c>
      <c r="H7594" t="s">
        <v>32848</v>
      </c>
      <c r="I7594" t="s">
        <v>4487</v>
      </c>
      <c r="J7594" t="s">
        <v>37722</v>
      </c>
      <c r="K7594" t="s">
        <v>42775</v>
      </c>
      <c r="M7594" t="s">
        <v>45794</v>
      </c>
      <c r="N7594" t="s">
        <v>47424</v>
      </c>
      <c r="O7594" t="s">
        <v>47425</v>
      </c>
      <c r="P7594">
        <v>0</v>
      </c>
      <c r="Q7594">
        <v>10</v>
      </c>
      <c r="R7594" t="s">
        <v>47431</v>
      </c>
      <c r="S7594" t="s">
        <v>47565</v>
      </c>
      <c r="T7594" t="s">
        <v>49217</v>
      </c>
      <c r="U7594" t="s">
        <v>56010</v>
      </c>
      <c r="V7594" t="s">
        <v>63465</v>
      </c>
      <c r="W7594" t="s">
        <v>45794</v>
      </c>
      <c r="X7594" t="s">
        <v>47432</v>
      </c>
    </row>
    <row r="7595" spans="1:24">
      <c r="A7595">
        <f>HYPERLINK("https://www.philgeps.gov.ph/GEPSNONPILOT/Tender/SplashBidNoticeAbstractUI.aspx?menuIndex=3&amp;refID=7158144&amp;Result=3","7158144")</f>
        <v>0</v>
      </c>
      <c r="B7595" t="s">
        <v>744</v>
      </c>
      <c r="C7595" t="s">
        <v>11047</v>
      </c>
      <c r="D7595" t="s">
        <v>19017</v>
      </c>
      <c r="E7595" t="s">
        <v>25702</v>
      </c>
      <c r="F7595" t="s">
        <v>32831</v>
      </c>
      <c r="G7595" t="s">
        <v>32838</v>
      </c>
      <c r="H7595" t="s">
        <v>32848</v>
      </c>
      <c r="I7595" t="s">
        <v>4222</v>
      </c>
      <c r="J7595" t="s">
        <v>37723</v>
      </c>
      <c r="K7595" t="s">
        <v>42726</v>
      </c>
      <c r="M7595" t="s">
        <v>45773</v>
      </c>
      <c r="N7595" t="s">
        <v>47424</v>
      </c>
      <c r="O7595" t="s">
        <v>47425</v>
      </c>
      <c r="P7595">
        <v>0</v>
      </c>
      <c r="Q7595">
        <v>0</v>
      </c>
      <c r="R7595" t="s">
        <v>47431</v>
      </c>
      <c r="S7595" t="s">
        <v>47565</v>
      </c>
      <c r="T7595" t="s">
        <v>49237</v>
      </c>
      <c r="U7595" t="s">
        <v>56011</v>
      </c>
      <c r="W7595" t="s">
        <v>45773</v>
      </c>
      <c r="X7595" t="s">
        <v>47432</v>
      </c>
    </row>
    <row r="7596" spans="1:24">
      <c r="A7596">
        <f>HYPERLINK("https://www.philgeps.gov.ph/GEPSNONPILOT/Tender/SplashBidNoticeAbstractUI.aspx?menuIndex=3&amp;refID=7158192&amp;Result=3","7158192")</f>
        <v>0</v>
      </c>
      <c r="B7596" t="s">
        <v>2577</v>
      </c>
      <c r="C7596" t="s">
        <v>11048</v>
      </c>
      <c r="D7596" t="s">
        <v>19068</v>
      </c>
      <c r="E7596" t="s">
        <v>25703</v>
      </c>
      <c r="F7596" t="s">
        <v>32831</v>
      </c>
      <c r="G7596" t="s">
        <v>32839</v>
      </c>
      <c r="H7596" t="s">
        <v>32850</v>
      </c>
      <c r="I7596" t="s">
        <v>5379</v>
      </c>
      <c r="J7596" t="s">
        <v>37724</v>
      </c>
      <c r="K7596" t="s">
        <v>42774</v>
      </c>
      <c r="M7596" t="s">
        <v>45795</v>
      </c>
      <c r="N7596" t="s">
        <v>47424</v>
      </c>
      <c r="O7596" t="s">
        <v>47425</v>
      </c>
      <c r="P7596">
        <v>0</v>
      </c>
      <c r="Q7596">
        <v>0</v>
      </c>
      <c r="R7596" t="s">
        <v>47431</v>
      </c>
      <c r="S7596" t="s">
        <v>47565</v>
      </c>
      <c r="T7596" t="s">
        <v>49193</v>
      </c>
      <c r="U7596" t="s">
        <v>56012</v>
      </c>
      <c r="W7596" t="s">
        <v>45795</v>
      </c>
      <c r="X7596" t="s">
        <v>47432</v>
      </c>
    </row>
    <row r="7597" spans="1:24">
      <c r="A7597">
        <f>HYPERLINK("https://www.philgeps.gov.ph/GEPSNONPILOT/Tender/SplashBidNoticeAbstractUI.aspx?menuIndex=3&amp;refID=7158189&amp;Result=3","7158189")</f>
        <v>0</v>
      </c>
      <c r="B7597" t="s">
        <v>2149</v>
      </c>
      <c r="C7597" t="s">
        <v>11049</v>
      </c>
      <c r="D7597" t="s">
        <v>19043</v>
      </c>
      <c r="E7597" t="s">
        <v>25704</v>
      </c>
      <c r="F7597" t="s">
        <v>32831</v>
      </c>
      <c r="G7597" t="s">
        <v>32840</v>
      </c>
      <c r="H7597" t="s">
        <v>32848</v>
      </c>
      <c r="I7597" t="s">
        <v>32862</v>
      </c>
      <c r="J7597" t="s">
        <v>37725</v>
      </c>
      <c r="K7597" t="s">
        <v>42748</v>
      </c>
      <c r="M7597" t="s">
        <v>45329</v>
      </c>
      <c r="N7597" t="s">
        <v>47424</v>
      </c>
      <c r="O7597" t="s">
        <v>47425</v>
      </c>
      <c r="P7597">
        <v>0</v>
      </c>
      <c r="Q7597">
        <v>0</v>
      </c>
      <c r="R7597" t="s">
        <v>47431</v>
      </c>
      <c r="S7597" t="s">
        <v>47565</v>
      </c>
      <c r="T7597" t="s">
        <v>49056</v>
      </c>
      <c r="U7597" t="s">
        <v>54669</v>
      </c>
      <c r="W7597" t="s">
        <v>45329</v>
      </c>
      <c r="X7597" t="s">
        <v>47432</v>
      </c>
    </row>
    <row r="7598" spans="1:24">
      <c r="A7598">
        <f>HYPERLINK("https://www.philgeps.gov.ph/GEPSNONPILOT/Tender/SplashBidNoticeAbstractUI.aspx?menuIndex=3&amp;refID=7158162&amp;Result=3","7158162")</f>
        <v>0</v>
      </c>
      <c r="B7598" t="s">
        <v>2575</v>
      </c>
      <c r="C7598" t="s">
        <v>11050</v>
      </c>
      <c r="E7598" t="s">
        <v>25705</v>
      </c>
      <c r="F7598" t="s">
        <v>32831</v>
      </c>
      <c r="G7598" t="s">
        <v>32839</v>
      </c>
      <c r="H7598" t="s">
        <v>32848</v>
      </c>
      <c r="I7598" t="s">
        <v>32886</v>
      </c>
      <c r="J7598" t="s">
        <v>37726</v>
      </c>
      <c r="K7598" t="s">
        <v>42732</v>
      </c>
      <c r="M7598" t="s">
        <v>45792</v>
      </c>
      <c r="N7598" t="s">
        <v>47424</v>
      </c>
      <c r="O7598" t="s">
        <v>47425</v>
      </c>
      <c r="P7598">
        <v>0</v>
      </c>
      <c r="Q7598">
        <v>4</v>
      </c>
      <c r="R7598" t="s">
        <v>47431</v>
      </c>
      <c r="S7598" t="s">
        <v>47565</v>
      </c>
      <c r="T7598" t="s">
        <v>49483</v>
      </c>
      <c r="U7598" t="s">
        <v>56000</v>
      </c>
      <c r="W7598" t="s">
        <v>45792</v>
      </c>
      <c r="X7598" t="s">
        <v>47432</v>
      </c>
    </row>
    <row r="7599" spans="1:24">
      <c r="A7599">
        <f>HYPERLINK("https://www.philgeps.gov.ph/GEPSNONPILOT/Tender/SplashBidNoticeAbstractUI.aspx?menuIndex=3&amp;refID=7158146&amp;Result=3","7158146")</f>
        <v>0</v>
      </c>
      <c r="B7599" t="s">
        <v>2557</v>
      </c>
      <c r="C7599" t="s">
        <v>11051</v>
      </c>
      <c r="D7599" t="s">
        <v>19045</v>
      </c>
      <c r="E7599" t="s">
        <v>25706</v>
      </c>
      <c r="F7599" t="s">
        <v>32831</v>
      </c>
      <c r="G7599" t="s">
        <v>32839</v>
      </c>
      <c r="H7599" t="s">
        <v>32849</v>
      </c>
      <c r="I7599" t="s">
        <v>4177</v>
      </c>
      <c r="J7599" t="s">
        <v>37727</v>
      </c>
      <c r="K7599" t="s">
        <v>42747</v>
      </c>
      <c r="M7599" t="s">
        <v>45769</v>
      </c>
      <c r="N7599" t="s">
        <v>47424</v>
      </c>
      <c r="O7599" t="s">
        <v>47425</v>
      </c>
      <c r="P7599">
        <v>0</v>
      </c>
      <c r="Q7599">
        <v>0</v>
      </c>
      <c r="R7599" t="s">
        <v>47431</v>
      </c>
      <c r="S7599" t="s">
        <v>47565</v>
      </c>
      <c r="T7599" t="s">
        <v>49393</v>
      </c>
      <c r="U7599" t="s">
        <v>56013</v>
      </c>
      <c r="W7599" t="s">
        <v>45769</v>
      </c>
      <c r="X7599" t="s">
        <v>47432</v>
      </c>
    </row>
    <row r="7600" spans="1:24">
      <c r="A7600">
        <f>HYPERLINK("https://www.philgeps.gov.ph/GEPSNONPILOT/Tender/SplashBidNoticeAbstractUI.aspx?menuIndex=3&amp;refID=7158190&amp;Result=3","7158190")</f>
        <v>0</v>
      </c>
      <c r="B7600" t="s">
        <v>744</v>
      </c>
      <c r="C7600" t="s">
        <v>11052</v>
      </c>
      <c r="D7600" t="s">
        <v>19017</v>
      </c>
      <c r="E7600" t="s">
        <v>25707</v>
      </c>
      <c r="F7600" t="s">
        <v>32831</v>
      </c>
      <c r="G7600" t="s">
        <v>32838</v>
      </c>
      <c r="H7600" t="s">
        <v>32848</v>
      </c>
      <c r="I7600" t="s">
        <v>4177</v>
      </c>
      <c r="J7600" t="s">
        <v>33133</v>
      </c>
      <c r="K7600" t="s">
        <v>42736</v>
      </c>
      <c r="M7600" t="s">
        <v>44219</v>
      </c>
      <c r="N7600" t="s">
        <v>47424</v>
      </c>
      <c r="O7600" t="s">
        <v>47425</v>
      </c>
      <c r="P7600">
        <v>0</v>
      </c>
      <c r="Q7600">
        <v>0</v>
      </c>
      <c r="R7600" t="s">
        <v>47431</v>
      </c>
      <c r="S7600" t="s">
        <v>47565</v>
      </c>
      <c r="T7600" t="s">
        <v>49237</v>
      </c>
      <c r="U7600" t="s">
        <v>52005</v>
      </c>
      <c r="W7600" t="s">
        <v>44219</v>
      </c>
      <c r="X7600" t="s">
        <v>47432</v>
      </c>
    </row>
    <row r="7601" spans="1:24">
      <c r="A7601">
        <f>HYPERLINK("https://www.philgeps.gov.ph/GEPSNONPILOT/Tender/SplashBidNoticeAbstractUI.aspx?menuIndex=3&amp;refID=7158181&amp;Result=3","7158181")</f>
        <v>0</v>
      </c>
      <c r="B7601" t="s">
        <v>1351</v>
      </c>
      <c r="C7601" t="s">
        <v>11053</v>
      </c>
      <c r="D7601" t="s">
        <v>19080</v>
      </c>
      <c r="E7601" t="s">
        <v>25708</v>
      </c>
      <c r="F7601" t="s">
        <v>32831</v>
      </c>
      <c r="G7601" t="s">
        <v>32839</v>
      </c>
      <c r="H7601" t="s">
        <v>32848</v>
      </c>
      <c r="I7601" t="s">
        <v>5379</v>
      </c>
      <c r="J7601" t="s">
        <v>37728</v>
      </c>
      <c r="K7601" t="s">
        <v>42758</v>
      </c>
      <c r="M7601" t="s">
        <v>44425</v>
      </c>
      <c r="N7601" t="s">
        <v>47424</v>
      </c>
      <c r="O7601" t="s">
        <v>47425</v>
      </c>
      <c r="P7601">
        <v>0</v>
      </c>
      <c r="Q7601">
        <v>0</v>
      </c>
      <c r="R7601" t="s">
        <v>47431</v>
      </c>
      <c r="S7601" t="s">
        <v>47565</v>
      </c>
      <c r="T7601" t="s">
        <v>49139</v>
      </c>
      <c r="U7601" t="s">
        <v>56014</v>
      </c>
      <c r="V7601" t="s">
        <v>63446</v>
      </c>
      <c r="W7601" t="s">
        <v>44425</v>
      </c>
      <c r="X7601" t="s">
        <v>47432</v>
      </c>
    </row>
    <row r="7602" spans="1:24">
      <c r="A7602">
        <f>HYPERLINK("https://www.philgeps.gov.ph/GEPSNONPILOT/Tender/SplashBidNoticeAbstractUI.aspx?menuIndex=3&amp;refID=7158185&amp;Result=3","7158185")</f>
        <v>0</v>
      </c>
      <c r="B7602" t="s">
        <v>744</v>
      </c>
      <c r="C7602" t="s">
        <v>11054</v>
      </c>
      <c r="D7602" t="s">
        <v>19017</v>
      </c>
      <c r="E7602" t="s">
        <v>25709</v>
      </c>
      <c r="F7602" t="s">
        <v>32831</v>
      </c>
      <c r="G7602" t="s">
        <v>32842</v>
      </c>
      <c r="H7602" t="s">
        <v>32848</v>
      </c>
      <c r="I7602" t="s">
        <v>9577</v>
      </c>
      <c r="J7602" t="s">
        <v>37729</v>
      </c>
      <c r="K7602" t="s">
        <v>42726</v>
      </c>
      <c r="M7602" t="s">
        <v>44219</v>
      </c>
      <c r="N7602" t="s">
        <v>47424</v>
      </c>
      <c r="O7602" t="s">
        <v>47425</v>
      </c>
      <c r="P7602">
        <v>0</v>
      </c>
      <c r="Q7602">
        <v>0</v>
      </c>
      <c r="R7602" t="s">
        <v>47431</v>
      </c>
      <c r="S7602" t="s">
        <v>47565</v>
      </c>
      <c r="T7602" t="s">
        <v>49237</v>
      </c>
      <c r="U7602" t="s">
        <v>51945</v>
      </c>
      <c r="W7602" t="s">
        <v>44219</v>
      </c>
      <c r="X7602" t="s">
        <v>47432</v>
      </c>
    </row>
    <row r="7603" spans="1:24">
      <c r="A7603">
        <f>HYPERLINK("https://www.philgeps.gov.ph/GEPSNONPILOT/Tender/SplashBidNoticeAbstractUI.aspx?menuIndex=3&amp;refID=7158183&amp;Result=3","7158183")</f>
        <v>0</v>
      </c>
      <c r="B7603" t="s">
        <v>997</v>
      </c>
      <c r="C7603" t="s">
        <v>11055</v>
      </c>
      <c r="D7603" t="s">
        <v>19017</v>
      </c>
      <c r="E7603" t="s">
        <v>25710</v>
      </c>
      <c r="F7603" t="s">
        <v>32831</v>
      </c>
      <c r="G7603" t="s">
        <v>32838</v>
      </c>
      <c r="H7603" t="s">
        <v>32848</v>
      </c>
      <c r="I7603" t="s">
        <v>9577</v>
      </c>
      <c r="J7603" t="s">
        <v>37730</v>
      </c>
      <c r="K7603" t="s">
        <v>42745</v>
      </c>
      <c r="M7603" t="s">
        <v>44046</v>
      </c>
      <c r="N7603" t="s">
        <v>47424</v>
      </c>
      <c r="O7603" t="s">
        <v>47425</v>
      </c>
      <c r="P7603">
        <v>0</v>
      </c>
      <c r="Q7603">
        <v>7</v>
      </c>
      <c r="R7603" t="s">
        <v>47431</v>
      </c>
      <c r="S7603" t="s">
        <v>47565</v>
      </c>
      <c r="T7603" t="s">
        <v>49163</v>
      </c>
      <c r="U7603" t="s">
        <v>56015</v>
      </c>
      <c r="W7603" t="s">
        <v>44046</v>
      </c>
      <c r="X7603" t="s">
        <v>47432</v>
      </c>
    </row>
    <row r="7604" spans="1:24">
      <c r="A7604">
        <f>HYPERLINK("https://www.philgeps.gov.ph/GEPSNONPILOT/Tender/SplashBidNoticeAbstractUI.aspx?menuIndex=3&amp;refID=7158175&amp;Result=3","7158175")</f>
        <v>0</v>
      </c>
      <c r="B7604" t="s">
        <v>2548</v>
      </c>
      <c r="C7604" t="s">
        <v>11056</v>
      </c>
      <c r="D7604" t="s">
        <v>19060</v>
      </c>
      <c r="E7604" t="s">
        <v>25711</v>
      </c>
      <c r="F7604" t="s">
        <v>32831</v>
      </c>
      <c r="G7604" t="s">
        <v>32839</v>
      </c>
      <c r="H7604" t="s">
        <v>32848</v>
      </c>
      <c r="I7604" t="s">
        <v>10805</v>
      </c>
      <c r="J7604" t="s">
        <v>37731</v>
      </c>
      <c r="K7604" t="s">
        <v>42729</v>
      </c>
      <c r="M7604" t="s">
        <v>45760</v>
      </c>
      <c r="N7604" t="s">
        <v>47424</v>
      </c>
      <c r="O7604" t="s">
        <v>47425</v>
      </c>
      <c r="P7604">
        <v>0</v>
      </c>
      <c r="Q7604">
        <v>13</v>
      </c>
      <c r="R7604" t="s">
        <v>47431</v>
      </c>
      <c r="S7604" t="s">
        <v>47565</v>
      </c>
      <c r="T7604" t="s">
        <v>49323</v>
      </c>
      <c r="U7604" t="s">
        <v>56016</v>
      </c>
      <c r="W7604" t="s">
        <v>45760</v>
      </c>
      <c r="X7604" t="s">
        <v>47432</v>
      </c>
    </row>
    <row r="7605" spans="1:24">
      <c r="A7605">
        <f>HYPERLINK("https://www.philgeps.gov.ph/GEPSNONPILOT/Tender/SplashBidNoticeAbstractUI.aspx?menuIndex=3&amp;refID=7158182&amp;Result=3","7158182")</f>
        <v>0</v>
      </c>
      <c r="B7605" t="s">
        <v>2557</v>
      </c>
      <c r="C7605" t="s">
        <v>11057</v>
      </c>
      <c r="D7605" t="s">
        <v>19045</v>
      </c>
      <c r="E7605" t="s">
        <v>25712</v>
      </c>
      <c r="F7605" t="s">
        <v>32831</v>
      </c>
      <c r="G7605" t="s">
        <v>32839</v>
      </c>
      <c r="H7605" t="s">
        <v>32849</v>
      </c>
      <c r="I7605" t="s">
        <v>4177</v>
      </c>
      <c r="J7605" t="s">
        <v>33257</v>
      </c>
      <c r="K7605" t="s">
        <v>42763</v>
      </c>
      <c r="M7605" t="s">
        <v>45769</v>
      </c>
      <c r="N7605" t="s">
        <v>47424</v>
      </c>
      <c r="O7605" t="s">
        <v>47425</v>
      </c>
      <c r="P7605">
        <v>0</v>
      </c>
      <c r="Q7605">
        <v>2</v>
      </c>
      <c r="R7605" t="s">
        <v>47431</v>
      </c>
      <c r="S7605" t="s">
        <v>47565</v>
      </c>
      <c r="T7605" t="s">
        <v>49393</v>
      </c>
      <c r="U7605" t="s">
        <v>56017</v>
      </c>
      <c r="W7605" t="s">
        <v>45769</v>
      </c>
      <c r="X7605" t="s">
        <v>47432</v>
      </c>
    </row>
    <row r="7606" spans="1:24">
      <c r="A7606">
        <f>HYPERLINK("https://www.philgeps.gov.ph/GEPSNONPILOT/Tender/SplashBidNoticeAbstractUI.aspx?menuIndex=3&amp;refID=7158172&amp;Result=3","7158172")</f>
        <v>0</v>
      </c>
      <c r="B7606" t="s">
        <v>744</v>
      </c>
      <c r="C7606" t="s">
        <v>11058</v>
      </c>
      <c r="D7606" t="s">
        <v>19017</v>
      </c>
      <c r="E7606" t="s">
        <v>25713</v>
      </c>
      <c r="F7606" t="s">
        <v>32831</v>
      </c>
      <c r="G7606" t="s">
        <v>32838</v>
      </c>
      <c r="H7606" t="s">
        <v>32848</v>
      </c>
      <c r="I7606" t="s">
        <v>7819</v>
      </c>
      <c r="J7606" t="s">
        <v>36091</v>
      </c>
      <c r="K7606" t="s">
        <v>42726</v>
      </c>
      <c r="M7606" t="s">
        <v>45773</v>
      </c>
      <c r="N7606" t="s">
        <v>47424</v>
      </c>
      <c r="O7606" t="s">
        <v>47425</v>
      </c>
      <c r="P7606">
        <v>0</v>
      </c>
      <c r="Q7606">
        <v>0</v>
      </c>
      <c r="R7606" t="s">
        <v>47431</v>
      </c>
      <c r="S7606" t="s">
        <v>47565</v>
      </c>
      <c r="T7606" t="s">
        <v>49237</v>
      </c>
      <c r="U7606" t="s">
        <v>56018</v>
      </c>
      <c r="W7606" t="s">
        <v>45773</v>
      </c>
      <c r="X7606" t="s">
        <v>47432</v>
      </c>
    </row>
    <row r="7607" spans="1:24">
      <c r="A7607">
        <f>HYPERLINK("https://www.philgeps.gov.ph/GEPSNONPILOT/Tender/SplashBidNoticeAbstractUI.aspx?menuIndex=3&amp;refID=7158169&amp;Result=3","7158169")</f>
        <v>0</v>
      </c>
      <c r="B7607" t="s">
        <v>2578</v>
      </c>
      <c r="C7607" t="s">
        <v>11059</v>
      </c>
      <c r="D7607" t="s">
        <v>19021</v>
      </c>
      <c r="E7607" t="s">
        <v>25714</v>
      </c>
      <c r="F7607" t="s">
        <v>32831</v>
      </c>
      <c r="G7607" t="s">
        <v>32838</v>
      </c>
      <c r="H7607" t="s">
        <v>32848</v>
      </c>
      <c r="I7607" t="s">
        <v>32911</v>
      </c>
      <c r="J7607" t="s">
        <v>32985</v>
      </c>
      <c r="K7607" t="s">
        <v>42732</v>
      </c>
      <c r="M7607" t="s">
        <v>45796</v>
      </c>
      <c r="N7607" t="s">
        <v>47424</v>
      </c>
      <c r="O7607" t="s">
        <v>47425</v>
      </c>
      <c r="P7607">
        <v>0</v>
      </c>
      <c r="Q7607">
        <v>0</v>
      </c>
      <c r="R7607" t="s">
        <v>47431</v>
      </c>
      <c r="S7607" t="s">
        <v>47565</v>
      </c>
      <c r="T7607" t="s">
        <v>49177</v>
      </c>
      <c r="U7607" t="s">
        <v>56019</v>
      </c>
      <c r="V7607" t="s">
        <v>63466</v>
      </c>
      <c r="W7607" t="s">
        <v>45796</v>
      </c>
      <c r="X7607" t="s">
        <v>47432</v>
      </c>
    </row>
    <row r="7608" spans="1:24">
      <c r="A7608">
        <f>HYPERLINK("https://www.philgeps.gov.ph/GEPSNONPILOT/Tender/SplashBidNoticeAbstractUI.aspx?menuIndex=3&amp;refID=7158089&amp;Result=3","7158089")</f>
        <v>0</v>
      </c>
      <c r="B7608" t="s">
        <v>228</v>
      </c>
      <c r="C7608" t="s">
        <v>11060</v>
      </c>
      <c r="D7608" t="s">
        <v>19033</v>
      </c>
      <c r="E7608" t="s">
        <v>25715</v>
      </c>
      <c r="F7608" t="s">
        <v>32831</v>
      </c>
      <c r="G7608" t="s">
        <v>32838</v>
      </c>
      <c r="H7608" t="s">
        <v>32848</v>
      </c>
      <c r="I7608" t="s">
        <v>4303</v>
      </c>
      <c r="J7608" t="s">
        <v>37732</v>
      </c>
      <c r="K7608" t="s">
        <v>42727</v>
      </c>
      <c r="M7608" t="s">
        <v>43227</v>
      </c>
      <c r="N7608" t="s">
        <v>47424</v>
      </c>
      <c r="O7608" t="s">
        <v>47425</v>
      </c>
      <c r="P7608">
        <v>0</v>
      </c>
      <c r="Q7608">
        <v>2</v>
      </c>
      <c r="R7608" t="s">
        <v>47431</v>
      </c>
      <c r="S7608" t="s">
        <v>47565</v>
      </c>
      <c r="T7608" t="s">
        <v>49073</v>
      </c>
      <c r="U7608" t="s">
        <v>56020</v>
      </c>
      <c r="W7608" t="s">
        <v>43227</v>
      </c>
      <c r="X7608" t="s">
        <v>47432</v>
      </c>
    </row>
    <row r="7609" spans="1:24">
      <c r="A7609">
        <f>HYPERLINK("https://www.philgeps.gov.ph/GEPSNONPILOT/Tender/SplashBidNoticeAbstractUI.aspx?menuIndex=3&amp;refID=7158087&amp;Result=3","7158087")</f>
        <v>0</v>
      </c>
      <c r="B7609" t="s">
        <v>2557</v>
      </c>
      <c r="C7609" t="s">
        <v>11061</v>
      </c>
      <c r="D7609" t="s">
        <v>19045</v>
      </c>
      <c r="E7609" t="s">
        <v>25716</v>
      </c>
      <c r="F7609" t="s">
        <v>32831</v>
      </c>
      <c r="G7609" t="s">
        <v>32839</v>
      </c>
      <c r="H7609" t="s">
        <v>32849</v>
      </c>
      <c r="I7609" t="s">
        <v>4177</v>
      </c>
      <c r="J7609" t="s">
        <v>32985</v>
      </c>
      <c r="K7609" t="s">
        <v>42730</v>
      </c>
      <c r="M7609" t="s">
        <v>45769</v>
      </c>
      <c r="N7609" t="s">
        <v>47424</v>
      </c>
      <c r="O7609" t="s">
        <v>47425</v>
      </c>
      <c r="P7609">
        <v>0</v>
      </c>
      <c r="Q7609">
        <v>0</v>
      </c>
      <c r="R7609" t="s">
        <v>47431</v>
      </c>
      <c r="S7609" t="s">
        <v>47565</v>
      </c>
      <c r="T7609" t="s">
        <v>49393</v>
      </c>
      <c r="U7609" t="s">
        <v>56021</v>
      </c>
      <c r="W7609" t="s">
        <v>45769</v>
      </c>
      <c r="X7609" t="s">
        <v>47432</v>
      </c>
    </row>
    <row r="7610" spans="1:24">
      <c r="A7610">
        <f>HYPERLINK("https://www.philgeps.gov.ph/GEPSNONPILOT/Tender/SplashBidNoticeAbstractUI.aspx?menuIndex=3&amp;refID=7158085&amp;Result=3","7158085")</f>
        <v>0</v>
      </c>
      <c r="B7610" t="s">
        <v>56</v>
      </c>
      <c r="C7610" t="s">
        <v>11062</v>
      </c>
      <c r="D7610" t="s">
        <v>19040</v>
      </c>
      <c r="E7610" t="s">
        <v>25717</v>
      </c>
      <c r="F7610" t="s">
        <v>32831</v>
      </c>
      <c r="G7610" t="s">
        <v>32839</v>
      </c>
      <c r="H7610" t="s">
        <v>32849</v>
      </c>
      <c r="I7610" t="s">
        <v>4177</v>
      </c>
      <c r="J7610" t="s">
        <v>33528</v>
      </c>
      <c r="K7610" t="s">
        <v>42780</v>
      </c>
      <c r="M7610" t="s">
        <v>43053</v>
      </c>
      <c r="N7610" t="s">
        <v>47424</v>
      </c>
      <c r="O7610" t="s">
        <v>47425</v>
      </c>
      <c r="P7610">
        <v>0</v>
      </c>
      <c r="Q7610">
        <v>2</v>
      </c>
      <c r="R7610" t="s">
        <v>47431</v>
      </c>
      <c r="S7610" t="s">
        <v>47565</v>
      </c>
      <c r="T7610" t="s">
        <v>49484</v>
      </c>
      <c r="U7610" t="s">
        <v>56022</v>
      </c>
      <c r="W7610" t="s">
        <v>43053</v>
      </c>
      <c r="X7610" t="s">
        <v>47432</v>
      </c>
    </row>
    <row r="7611" spans="1:24">
      <c r="A7611">
        <f>HYPERLINK("https://www.philgeps.gov.ph/GEPSNONPILOT/Tender/SplashBidNoticeAbstractUI.aspx?menuIndex=3&amp;refID=7158200&amp;Result=3","7158200")</f>
        <v>0</v>
      </c>
      <c r="B7611" t="s">
        <v>2575</v>
      </c>
      <c r="C7611" t="s">
        <v>11063</v>
      </c>
      <c r="E7611" t="s">
        <v>25718</v>
      </c>
      <c r="F7611" t="s">
        <v>32831</v>
      </c>
      <c r="G7611" t="s">
        <v>32839</v>
      </c>
      <c r="H7611" t="s">
        <v>32848</v>
      </c>
      <c r="I7611" t="s">
        <v>6595</v>
      </c>
      <c r="J7611" t="s">
        <v>37733</v>
      </c>
      <c r="K7611" t="s">
        <v>42732</v>
      </c>
      <c r="M7611" t="s">
        <v>45792</v>
      </c>
      <c r="N7611" t="s">
        <v>47424</v>
      </c>
      <c r="O7611" t="s">
        <v>47425</v>
      </c>
      <c r="P7611">
        <v>0</v>
      </c>
      <c r="Q7611">
        <v>10</v>
      </c>
      <c r="R7611" t="s">
        <v>47431</v>
      </c>
      <c r="S7611" t="s">
        <v>47565</v>
      </c>
      <c r="T7611" t="s">
        <v>49483</v>
      </c>
      <c r="U7611" t="s">
        <v>56000</v>
      </c>
      <c r="W7611" t="s">
        <v>45792</v>
      </c>
      <c r="X7611" t="s">
        <v>47432</v>
      </c>
    </row>
    <row r="7612" spans="1:24">
      <c r="A7612">
        <f>HYPERLINK("https://www.philgeps.gov.ph/GEPSNONPILOT/Tender/SplashBidNoticeAbstractUI.aspx?menuIndex=3&amp;refID=7158170&amp;Result=3","7158170")</f>
        <v>0</v>
      </c>
      <c r="B7612" t="s">
        <v>2579</v>
      </c>
      <c r="C7612" t="s">
        <v>11064</v>
      </c>
      <c r="D7612" t="s">
        <v>19017</v>
      </c>
      <c r="E7612" t="s">
        <v>19219</v>
      </c>
      <c r="F7612" t="s">
        <v>32831</v>
      </c>
      <c r="G7612" t="s">
        <v>32839</v>
      </c>
      <c r="H7612" t="s">
        <v>32850</v>
      </c>
      <c r="I7612" t="s">
        <v>8577</v>
      </c>
      <c r="J7612" t="s">
        <v>37734</v>
      </c>
      <c r="K7612" t="s">
        <v>42748</v>
      </c>
      <c r="M7612" t="s">
        <v>45797</v>
      </c>
      <c r="N7612" t="s">
        <v>47424</v>
      </c>
      <c r="O7612" t="s">
        <v>47425</v>
      </c>
      <c r="P7612">
        <v>0</v>
      </c>
      <c r="Q7612">
        <v>2</v>
      </c>
      <c r="R7612" t="s">
        <v>47431</v>
      </c>
      <c r="S7612" t="s">
        <v>47565</v>
      </c>
      <c r="T7612" t="s">
        <v>49345</v>
      </c>
      <c r="U7612" t="s">
        <v>56023</v>
      </c>
      <c r="W7612" t="s">
        <v>45797</v>
      </c>
      <c r="X7612" t="s">
        <v>47432</v>
      </c>
    </row>
    <row r="7613" spans="1:24">
      <c r="A7613">
        <f>HYPERLINK("https://www.philgeps.gov.ph/GEPSNONPILOT/Tender/SplashBidNoticeAbstractUI.aspx?menuIndex=3&amp;refID=7158236&amp;Result=3","7158236")</f>
        <v>0</v>
      </c>
      <c r="B7613" t="s">
        <v>410</v>
      </c>
      <c r="C7613" t="s">
        <v>11065</v>
      </c>
      <c r="D7613" t="s">
        <v>19031</v>
      </c>
      <c r="E7613" t="s">
        <v>25719</v>
      </c>
      <c r="F7613" t="s">
        <v>32831</v>
      </c>
      <c r="G7613" t="s">
        <v>32839</v>
      </c>
      <c r="H7613" t="s">
        <v>32848</v>
      </c>
      <c r="I7613" t="s">
        <v>32870</v>
      </c>
      <c r="J7613" t="s">
        <v>37735</v>
      </c>
      <c r="K7613" t="s">
        <v>42730</v>
      </c>
      <c r="M7613" t="s">
        <v>43415</v>
      </c>
      <c r="N7613" t="s">
        <v>47424</v>
      </c>
      <c r="O7613" t="s">
        <v>47425</v>
      </c>
      <c r="P7613">
        <v>0</v>
      </c>
      <c r="Q7613">
        <v>0</v>
      </c>
      <c r="R7613" t="s">
        <v>47431</v>
      </c>
      <c r="S7613" t="s">
        <v>47565</v>
      </c>
      <c r="T7613" t="s">
        <v>49080</v>
      </c>
      <c r="U7613" t="s">
        <v>56024</v>
      </c>
      <c r="V7613" t="s">
        <v>63467</v>
      </c>
      <c r="W7613" t="s">
        <v>43415</v>
      </c>
      <c r="X7613" t="s">
        <v>47432</v>
      </c>
    </row>
    <row r="7614" spans="1:24">
      <c r="A7614">
        <f>HYPERLINK("https://www.philgeps.gov.ph/GEPSNONPILOT/Tender/SplashBidNoticeAbstractUI.aspx?menuIndex=3&amp;refID=7158177&amp;Result=3","7158177")</f>
        <v>0</v>
      </c>
      <c r="B7614" t="s">
        <v>2575</v>
      </c>
      <c r="C7614" t="s">
        <v>11066</v>
      </c>
      <c r="E7614" t="s">
        <v>25720</v>
      </c>
      <c r="F7614" t="s">
        <v>32831</v>
      </c>
      <c r="G7614" t="s">
        <v>32839</v>
      </c>
      <c r="H7614" t="s">
        <v>32848</v>
      </c>
      <c r="I7614" t="s">
        <v>32937</v>
      </c>
      <c r="J7614" t="s">
        <v>33528</v>
      </c>
      <c r="K7614" t="s">
        <v>42732</v>
      </c>
      <c r="M7614" t="s">
        <v>45792</v>
      </c>
      <c r="N7614" t="s">
        <v>47424</v>
      </c>
      <c r="O7614" t="s">
        <v>47425</v>
      </c>
      <c r="P7614">
        <v>0</v>
      </c>
      <c r="Q7614">
        <v>1</v>
      </c>
      <c r="R7614" t="s">
        <v>47431</v>
      </c>
      <c r="S7614" t="s">
        <v>47565</v>
      </c>
      <c r="T7614" t="s">
        <v>49483</v>
      </c>
      <c r="U7614" t="s">
        <v>56000</v>
      </c>
      <c r="W7614" t="s">
        <v>45792</v>
      </c>
      <c r="X7614" t="s">
        <v>47432</v>
      </c>
    </row>
    <row r="7615" spans="1:24">
      <c r="A7615">
        <f>HYPERLINK("https://www.philgeps.gov.ph/GEPSNONPILOT/Tender/SplashBidNoticeAbstractUI.aspx?menuIndex=3&amp;refID=7158234&amp;Result=3","7158234")</f>
        <v>0</v>
      </c>
      <c r="B7615" t="s">
        <v>1480</v>
      </c>
      <c r="C7615" t="s">
        <v>11067</v>
      </c>
      <c r="D7615" t="s">
        <v>19023</v>
      </c>
      <c r="E7615" t="s">
        <v>25721</v>
      </c>
      <c r="F7615" t="s">
        <v>32831</v>
      </c>
      <c r="G7615" t="s">
        <v>32840</v>
      </c>
      <c r="H7615" t="s">
        <v>32848</v>
      </c>
      <c r="I7615" t="s">
        <v>4487</v>
      </c>
      <c r="J7615" t="s">
        <v>33424</v>
      </c>
      <c r="K7615" t="s">
        <v>42730</v>
      </c>
      <c r="M7615" t="s">
        <v>44574</v>
      </c>
      <c r="N7615" t="s">
        <v>47424</v>
      </c>
      <c r="O7615" t="s">
        <v>47425</v>
      </c>
      <c r="P7615">
        <v>0</v>
      </c>
      <c r="Q7615">
        <v>3</v>
      </c>
      <c r="R7615" t="s">
        <v>47431</v>
      </c>
      <c r="S7615" t="s">
        <v>47565</v>
      </c>
      <c r="T7615" t="s">
        <v>49116</v>
      </c>
      <c r="U7615" t="s">
        <v>56025</v>
      </c>
      <c r="W7615" t="s">
        <v>44574</v>
      </c>
      <c r="X7615" t="s">
        <v>47432</v>
      </c>
    </row>
    <row r="7616" spans="1:24">
      <c r="A7616">
        <f>HYPERLINK("https://www.philgeps.gov.ph/GEPSNONPILOT/Tender/SplashBidNoticeAbstractUI.aspx?menuIndex=3&amp;refID=7158233&amp;Result=3","7158233")</f>
        <v>0</v>
      </c>
      <c r="B7616" t="s">
        <v>67</v>
      </c>
      <c r="C7616" t="s">
        <v>11068</v>
      </c>
      <c r="D7616" t="s">
        <v>19099</v>
      </c>
      <c r="E7616" t="s">
        <v>25722</v>
      </c>
      <c r="F7616" t="s">
        <v>32831</v>
      </c>
      <c r="G7616" t="s">
        <v>32840</v>
      </c>
      <c r="H7616" t="s">
        <v>32848</v>
      </c>
      <c r="I7616" t="s">
        <v>4471</v>
      </c>
      <c r="J7616" t="s">
        <v>35305</v>
      </c>
      <c r="K7616" t="s">
        <v>42763</v>
      </c>
      <c r="M7616" t="s">
        <v>43749</v>
      </c>
      <c r="N7616" t="s">
        <v>47424</v>
      </c>
      <c r="O7616" t="s">
        <v>47425</v>
      </c>
      <c r="P7616">
        <v>0</v>
      </c>
      <c r="Q7616">
        <v>2</v>
      </c>
      <c r="R7616" t="s">
        <v>47431</v>
      </c>
      <c r="S7616" t="s">
        <v>47565</v>
      </c>
      <c r="T7616" t="s">
        <v>49206</v>
      </c>
      <c r="U7616" t="s">
        <v>51013</v>
      </c>
      <c r="W7616" t="s">
        <v>64446</v>
      </c>
      <c r="X7616" t="s">
        <v>47432</v>
      </c>
    </row>
    <row r="7617" spans="1:24">
      <c r="A7617">
        <f>HYPERLINK("https://www.philgeps.gov.ph/GEPSNONPILOT/Tender/SplashBidNoticeAbstractUI.aspx?menuIndex=3&amp;refID=7158231&amp;Result=3","7158231")</f>
        <v>0</v>
      </c>
      <c r="B7617" t="s">
        <v>744</v>
      </c>
      <c r="C7617" t="s">
        <v>11069</v>
      </c>
      <c r="D7617" t="s">
        <v>19017</v>
      </c>
      <c r="E7617" t="s">
        <v>25723</v>
      </c>
      <c r="F7617" t="s">
        <v>32831</v>
      </c>
      <c r="G7617" t="s">
        <v>32838</v>
      </c>
      <c r="H7617" t="s">
        <v>32848</v>
      </c>
      <c r="I7617" t="s">
        <v>7819</v>
      </c>
      <c r="J7617" t="s">
        <v>34301</v>
      </c>
      <c r="K7617" t="s">
        <v>42726</v>
      </c>
      <c r="M7617" t="s">
        <v>44219</v>
      </c>
      <c r="N7617" t="s">
        <v>47424</v>
      </c>
      <c r="O7617" t="s">
        <v>47425</v>
      </c>
      <c r="P7617">
        <v>0</v>
      </c>
      <c r="Q7617">
        <v>0</v>
      </c>
      <c r="R7617" t="s">
        <v>47431</v>
      </c>
      <c r="S7617" t="s">
        <v>47565</v>
      </c>
      <c r="T7617" t="s">
        <v>49237</v>
      </c>
      <c r="U7617" t="s">
        <v>56018</v>
      </c>
      <c r="W7617" t="s">
        <v>44219</v>
      </c>
      <c r="X7617" t="s">
        <v>47432</v>
      </c>
    </row>
    <row r="7618" spans="1:24">
      <c r="A7618">
        <f>HYPERLINK("https://www.philgeps.gov.ph/GEPSNONPILOT/Tender/SplashBidNoticeAbstractUI.aspx?menuIndex=3&amp;refID=7158230&amp;Result=3","7158230")</f>
        <v>0</v>
      </c>
      <c r="B7618" t="s">
        <v>2580</v>
      </c>
      <c r="C7618" t="s">
        <v>4431</v>
      </c>
      <c r="D7618" t="s">
        <v>19077</v>
      </c>
      <c r="E7618" t="s">
        <v>25724</v>
      </c>
      <c r="F7618" t="s">
        <v>32831</v>
      </c>
      <c r="G7618" t="s">
        <v>32842</v>
      </c>
      <c r="H7618" t="s">
        <v>32848</v>
      </c>
      <c r="I7618" t="s">
        <v>32861</v>
      </c>
      <c r="J7618" t="s">
        <v>33473</v>
      </c>
      <c r="K7618" t="s">
        <v>42748</v>
      </c>
      <c r="M7618" t="s">
        <v>45798</v>
      </c>
      <c r="N7618" t="s">
        <v>47424</v>
      </c>
      <c r="O7618" t="s">
        <v>47425</v>
      </c>
      <c r="P7618">
        <v>0</v>
      </c>
      <c r="Q7618">
        <v>6</v>
      </c>
      <c r="R7618" t="s">
        <v>47431</v>
      </c>
      <c r="S7618" t="s">
        <v>47565</v>
      </c>
      <c r="T7618" t="s">
        <v>49114</v>
      </c>
      <c r="U7618" t="s">
        <v>56026</v>
      </c>
      <c r="W7618" t="s">
        <v>45798</v>
      </c>
      <c r="X7618" t="s">
        <v>47432</v>
      </c>
    </row>
    <row r="7619" spans="1:24">
      <c r="A7619">
        <f>HYPERLINK("https://www.philgeps.gov.ph/GEPSNONPILOT/Tender/SplashBidNoticeAbstractUI.aspx?menuIndex=3&amp;refID=7158228&amp;Result=3","7158228")</f>
        <v>0</v>
      </c>
      <c r="B7619" t="s">
        <v>418</v>
      </c>
      <c r="C7619" t="s">
        <v>11070</v>
      </c>
      <c r="D7619" t="s">
        <v>19043</v>
      </c>
      <c r="E7619" t="s">
        <v>19892</v>
      </c>
      <c r="F7619" t="s">
        <v>32831</v>
      </c>
      <c r="G7619" t="s">
        <v>32839</v>
      </c>
      <c r="H7619" t="s">
        <v>32848</v>
      </c>
      <c r="I7619" t="s">
        <v>32883</v>
      </c>
      <c r="J7619" t="s">
        <v>33024</v>
      </c>
      <c r="K7619" t="s">
        <v>42729</v>
      </c>
      <c r="M7619" t="s">
        <v>43423</v>
      </c>
      <c r="N7619" t="s">
        <v>47424</v>
      </c>
      <c r="O7619" t="s">
        <v>47425</v>
      </c>
      <c r="P7619">
        <v>0</v>
      </c>
      <c r="Q7619">
        <v>4</v>
      </c>
      <c r="R7619" t="s">
        <v>47431</v>
      </c>
      <c r="S7619" t="s">
        <v>47565</v>
      </c>
      <c r="T7619" t="s">
        <v>49323</v>
      </c>
      <c r="U7619" t="s">
        <v>56027</v>
      </c>
      <c r="V7619" t="s">
        <v>62718</v>
      </c>
      <c r="W7619" t="s">
        <v>43423</v>
      </c>
      <c r="X7619" t="s">
        <v>47432</v>
      </c>
    </row>
    <row r="7620" spans="1:24">
      <c r="A7620">
        <f>HYPERLINK("https://www.philgeps.gov.ph/GEPSNONPILOT/Tender/SplashBidNoticeAbstractUI.aspx?menuIndex=3&amp;refID=7158227&amp;Result=3","7158227")</f>
        <v>0</v>
      </c>
      <c r="B7620" t="s">
        <v>744</v>
      </c>
      <c r="C7620" t="s">
        <v>11071</v>
      </c>
      <c r="D7620" t="s">
        <v>19017</v>
      </c>
      <c r="E7620" t="s">
        <v>25725</v>
      </c>
      <c r="F7620" t="s">
        <v>32831</v>
      </c>
      <c r="G7620" t="s">
        <v>32838</v>
      </c>
      <c r="H7620" t="s">
        <v>32848</v>
      </c>
      <c r="I7620" t="s">
        <v>7819</v>
      </c>
      <c r="J7620" t="s">
        <v>37736</v>
      </c>
      <c r="K7620" t="s">
        <v>42726</v>
      </c>
      <c r="M7620" t="s">
        <v>44219</v>
      </c>
      <c r="N7620" t="s">
        <v>47424</v>
      </c>
      <c r="O7620" t="s">
        <v>47425</v>
      </c>
      <c r="P7620">
        <v>0</v>
      </c>
      <c r="Q7620">
        <v>0</v>
      </c>
      <c r="R7620" t="s">
        <v>47431</v>
      </c>
      <c r="S7620" t="s">
        <v>47565</v>
      </c>
      <c r="T7620" t="s">
        <v>49237</v>
      </c>
      <c r="U7620" t="s">
        <v>53906</v>
      </c>
      <c r="W7620" t="s">
        <v>44219</v>
      </c>
      <c r="X7620" t="s">
        <v>47432</v>
      </c>
    </row>
    <row r="7621" spans="1:24">
      <c r="A7621">
        <f>HYPERLINK("https://www.philgeps.gov.ph/GEPSNONPILOT/Tender/SplashBidNoticeAbstractUI.aspx?menuIndex=3&amp;refID=7158176&amp;Result=3","7158176")</f>
        <v>0</v>
      </c>
      <c r="B7621" t="s">
        <v>2557</v>
      </c>
      <c r="C7621" t="s">
        <v>7774</v>
      </c>
      <c r="D7621" t="s">
        <v>19045</v>
      </c>
      <c r="E7621" t="s">
        <v>25726</v>
      </c>
      <c r="F7621" t="s">
        <v>32831</v>
      </c>
      <c r="G7621" t="s">
        <v>32839</v>
      </c>
      <c r="H7621" t="s">
        <v>32849</v>
      </c>
      <c r="I7621" t="s">
        <v>32852</v>
      </c>
      <c r="J7621" t="s">
        <v>37737</v>
      </c>
      <c r="K7621" t="s">
        <v>42773</v>
      </c>
      <c r="M7621" t="s">
        <v>45769</v>
      </c>
      <c r="N7621" t="s">
        <v>47424</v>
      </c>
      <c r="O7621" t="s">
        <v>47425</v>
      </c>
      <c r="P7621">
        <v>0</v>
      </c>
      <c r="Q7621">
        <v>3</v>
      </c>
      <c r="R7621" t="s">
        <v>47431</v>
      </c>
      <c r="S7621" t="s">
        <v>47565</v>
      </c>
      <c r="T7621" t="s">
        <v>49393</v>
      </c>
      <c r="U7621" t="s">
        <v>56028</v>
      </c>
      <c r="W7621" t="s">
        <v>45769</v>
      </c>
      <c r="X7621" t="s">
        <v>47432</v>
      </c>
    </row>
    <row r="7622" spans="1:24">
      <c r="A7622">
        <f>HYPERLINK("https://www.philgeps.gov.ph/GEPSNONPILOT/Tender/SplashBidNoticeAbstractUI.aspx?menuIndex=3&amp;refID=7158224&amp;Result=3","7158224")</f>
        <v>0</v>
      </c>
      <c r="B7622" t="s">
        <v>2581</v>
      </c>
      <c r="C7622" t="s">
        <v>11072</v>
      </c>
      <c r="D7622" t="s">
        <v>19035</v>
      </c>
      <c r="E7622" t="s">
        <v>25727</v>
      </c>
      <c r="F7622" t="s">
        <v>32831</v>
      </c>
      <c r="G7622" t="s">
        <v>32838</v>
      </c>
      <c r="H7622" t="s">
        <v>32848</v>
      </c>
      <c r="I7622" t="s">
        <v>32864</v>
      </c>
      <c r="J7622" t="s">
        <v>33364</v>
      </c>
      <c r="K7622" t="s">
        <v>42731</v>
      </c>
      <c r="M7622" t="s">
        <v>45799</v>
      </c>
      <c r="N7622" t="s">
        <v>47424</v>
      </c>
      <c r="O7622" t="s">
        <v>47425</v>
      </c>
      <c r="P7622">
        <v>0</v>
      </c>
      <c r="Q7622">
        <v>10</v>
      </c>
      <c r="R7622" t="s">
        <v>47431</v>
      </c>
      <c r="S7622" t="s">
        <v>47565</v>
      </c>
      <c r="T7622" t="s">
        <v>49111</v>
      </c>
      <c r="U7622" t="s">
        <v>56029</v>
      </c>
      <c r="W7622" t="s">
        <v>64516</v>
      </c>
      <c r="X7622" t="s">
        <v>47432</v>
      </c>
    </row>
    <row r="7623" spans="1:24">
      <c r="A7623">
        <f>HYPERLINK("https://www.philgeps.gov.ph/GEPSNONPILOT/Tender/SplashBidNoticeAbstractUI.aspx?menuIndex=3&amp;refID=7158221&amp;Result=3","7158221")</f>
        <v>0</v>
      </c>
      <c r="B7623" t="s">
        <v>2582</v>
      </c>
      <c r="C7623" t="s">
        <v>11073</v>
      </c>
      <c r="D7623" t="s">
        <v>19080</v>
      </c>
      <c r="E7623" t="s">
        <v>19311</v>
      </c>
      <c r="F7623" t="s">
        <v>32831</v>
      </c>
      <c r="G7623" t="s">
        <v>32839</v>
      </c>
      <c r="H7623" t="s">
        <v>32848</v>
      </c>
      <c r="I7623" t="s">
        <v>7416</v>
      </c>
      <c r="J7623" t="s">
        <v>37738</v>
      </c>
      <c r="K7623" t="s">
        <v>42731</v>
      </c>
      <c r="M7623" t="s">
        <v>45800</v>
      </c>
      <c r="N7623" t="s">
        <v>47424</v>
      </c>
      <c r="O7623" t="s">
        <v>47425</v>
      </c>
      <c r="P7623">
        <v>0</v>
      </c>
      <c r="Q7623">
        <v>0</v>
      </c>
      <c r="R7623" t="s">
        <v>47431</v>
      </c>
      <c r="S7623" t="s">
        <v>47565</v>
      </c>
      <c r="T7623" t="s">
        <v>49129</v>
      </c>
      <c r="U7623" t="s">
        <v>56030</v>
      </c>
      <c r="W7623" t="s">
        <v>45800</v>
      </c>
      <c r="X7623" t="s">
        <v>47432</v>
      </c>
    </row>
    <row r="7624" spans="1:24">
      <c r="A7624">
        <f>HYPERLINK("https://www.philgeps.gov.ph/GEPSNONPILOT/Tender/SplashBidNoticeAbstractUI.aspx?menuIndex=3&amp;refID=7158235&amp;Result=3","7158235")</f>
        <v>0</v>
      </c>
      <c r="B7624" t="s">
        <v>2583</v>
      </c>
      <c r="C7624" t="s">
        <v>11074</v>
      </c>
      <c r="D7624" t="s">
        <v>19088</v>
      </c>
      <c r="E7624" t="s">
        <v>20926</v>
      </c>
      <c r="F7624" t="s">
        <v>32831</v>
      </c>
      <c r="G7624" t="s">
        <v>32842</v>
      </c>
      <c r="H7624" t="s">
        <v>32848</v>
      </c>
      <c r="I7624" t="s">
        <v>32858</v>
      </c>
      <c r="J7624" t="s">
        <v>33184</v>
      </c>
      <c r="K7624" t="s">
        <v>42759</v>
      </c>
      <c r="M7624" t="s">
        <v>45801</v>
      </c>
      <c r="N7624" t="s">
        <v>47424</v>
      </c>
      <c r="O7624" t="s">
        <v>47425</v>
      </c>
      <c r="P7624">
        <v>0</v>
      </c>
      <c r="Q7624">
        <v>4</v>
      </c>
      <c r="R7624" t="s">
        <v>47431</v>
      </c>
      <c r="S7624" t="s">
        <v>47565</v>
      </c>
      <c r="T7624" t="s">
        <v>49212</v>
      </c>
      <c r="U7624" t="s">
        <v>56031</v>
      </c>
      <c r="W7624" t="s">
        <v>45801</v>
      </c>
      <c r="X7624" t="s">
        <v>47432</v>
      </c>
    </row>
    <row r="7625" spans="1:24">
      <c r="A7625">
        <f>HYPERLINK("https://www.philgeps.gov.ph/GEPSNONPILOT/Tender/SplashBidNoticeAbstractUI.aspx?menuIndex=3&amp;refID=7158218&amp;Result=3","7158218")</f>
        <v>0</v>
      </c>
      <c r="B7625" t="s">
        <v>744</v>
      </c>
      <c r="C7625" t="s">
        <v>11075</v>
      </c>
      <c r="D7625" t="s">
        <v>19017</v>
      </c>
      <c r="E7625" t="s">
        <v>25728</v>
      </c>
      <c r="F7625" t="s">
        <v>32831</v>
      </c>
      <c r="G7625" t="s">
        <v>32838</v>
      </c>
      <c r="H7625" t="s">
        <v>32848</v>
      </c>
      <c r="I7625" t="s">
        <v>11484</v>
      </c>
      <c r="J7625" t="s">
        <v>33041</v>
      </c>
      <c r="K7625" t="s">
        <v>42726</v>
      </c>
      <c r="M7625" t="s">
        <v>44219</v>
      </c>
      <c r="N7625" t="s">
        <v>47424</v>
      </c>
      <c r="O7625" t="s">
        <v>47425</v>
      </c>
      <c r="P7625">
        <v>0</v>
      </c>
      <c r="Q7625">
        <v>0</v>
      </c>
      <c r="R7625" t="s">
        <v>47431</v>
      </c>
      <c r="S7625" t="s">
        <v>47565</v>
      </c>
      <c r="T7625" t="s">
        <v>49237</v>
      </c>
      <c r="U7625" t="s">
        <v>53958</v>
      </c>
      <c r="W7625" t="s">
        <v>44219</v>
      </c>
      <c r="X7625" t="s">
        <v>47432</v>
      </c>
    </row>
    <row r="7626" spans="1:24">
      <c r="A7626">
        <f>HYPERLINK("https://www.philgeps.gov.ph/GEPSNONPILOT/Tender/SplashBidNoticeAbstractUI.aspx?menuIndex=3&amp;refID=7158225&amp;Result=3","7158225")</f>
        <v>0</v>
      </c>
      <c r="B7626" t="s">
        <v>2575</v>
      </c>
      <c r="C7626" t="s">
        <v>11076</v>
      </c>
      <c r="E7626" t="s">
        <v>25729</v>
      </c>
      <c r="F7626" t="s">
        <v>32831</v>
      </c>
      <c r="G7626" t="s">
        <v>32839</v>
      </c>
      <c r="H7626" t="s">
        <v>32848</v>
      </c>
      <c r="I7626" t="s">
        <v>6595</v>
      </c>
      <c r="J7626" t="s">
        <v>37739</v>
      </c>
      <c r="K7626" t="s">
        <v>42732</v>
      </c>
      <c r="M7626" t="s">
        <v>45792</v>
      </c>
      <c r="N7626" t="s">
        <v>47424</v>
      </c>
      <c r="O7626" t="s">
        <v>47425</v>
      </c>
      <c r="P7626">
        <v>0</v>
      </c>
      <c r="Q7626">
        <v>11</v>
      </c>
      <c r="R7626" t="s">
        <v>47431</v>
      </c>
      <c r="S7626" t="s">
        <v>47565</v>
      </c>
      <c r="T7626" t="s">
        <v>49483</v>
      </c>
      <c r="U7626" t="s">
        <v>56000</v>
      </c>
      <c r="W7626" t="s">
        <v>45792</v>
      </c>
      <c r="X7626" t="s">
        <v>47432</v>
      </c>
    </row>
    <row r="7627" spans="1:24">
      <c r="A7627">
        <f>HYPERLINK("https://www.philgeps.gov.ph/GEPSNONPILOT/Tender/SplashBidNoticeAbstractUI.aspx?menuIndex=3&amp;refID=7158206&amp;Result=3","7158206")</f>
        <v>0</v>
      </c>
      <c r="B7627" t="s">
        <v>418</v>
      </c>
      <c r="C7627" t="s">
        <v>11077</v>
      </c>
      <c r="D7627" t="s">
        <v>19043</v>
      </c>
      <c r="E7627" t="s">
        <v>25730</v>
      </c>
      <c r="F7627" t="s">
        <v>32831</v>
      </c>
      <c r="G7627" t="s">
        <v>32839</v>
      </c>
      <c r="H7627" t="s">
        <v>32848</v>
      </c>
      <c r="I7627" t="s">
        <v>4435</v>
      </c>
      <c r="J7627" t="s">
        <v>37740</v>
      </c>
      <c r="K7627" t="s">
        <v>42729</v>
      </c>
      <c r="M7627" t="s">
        <v>43423</v>
      </c>
      <c r="N7627" t="s">
        <v>47424</v>
      </c>
      <c r="O7627" t="s">
        <v>47425</v>
      </c>
      <c r="P7627">
        <v>0</v>
      </c>
      <c r="Q7627">
        <v>3</v>
      </c>
      <c r="R7627" t="s">
        <v>47431</v>
      </c>
      <c r="S7627" t="s">
        <v>47565</v>
      </c>
      <c r="T7627" t="s">
        <v>49393</v>
      </c>
      <c r="U7627" t="s">
        <v>56032</v>
      </c>
      <c r="V7627" t="s">
        <v>62718</v>
      </c>
      <c r="W7627" t="s">
        <v>43423</v>
      </c>
      <c r="X7627" t="s">
        <v>47432</v>
      </c>
    </row>
    <row r="7628" spans="1:24">
      <c r="A7628">
        <f>HYPERLINK("https://www.philgeps.gov.ph/GEPSNONPILOT/Tender/SplashBidNoticeAbstractUI.aspx?menuIndex=3&amp;refID=7158208&amp;Result=3","7158208")</f>
        <v>0</v>
      </c>
      <c r="B7628" t="s">
        <v>2575</v>
      </c>
      <c r="C7628" t="s">
        <v>11078</v>
      </c>
      <c r="E7628" t="s">
        <v>25731</v>
      </c>
      <c r="F7628" t="s">
        <v>32831</v>
      </c>
      <c r="G7628" t="s">
        <v>32839</v>
      </c>
      <c r="H7628" t="s">
        <v>32848</v>
      </c>
      <c r="I7628" t="s">
        <v>6595</v>
      </c>
      <c r="J7628" t="s">
        <v>37741</v>
      </c>
      <c r="K7628" t="s">
        <v>42732</v>
      </c>
      <c r="M7628" t="s">
        <v>45792</v>
      </c>
      <c r="N7628" t="s">
        <v>47424</v>
      </c>
      <c r="O7628" t="s">
        <v>47425</v>
      </c>
      <c r="P7628">
        <v>0</v>
      </c>
      <c r="Q7628">
        <v>11</v>
      </c>
      <c r="R7628" t="s">
        <v>47431</v>
      </c>
      <c r="S7628" t="s">
        <v>47565</v>
      </c>
      <c r="T7628" t="s">
        <v>49483</v>
      </c>
      <c r="U7628" t="s">
        <v>56033</v>
      </c>
      <c r="W7628" t="s">
        <v>45792</v>
      </c>
      <c r="X7628" t="s">
        <v>47432</v>
      </c>
    </row>
    <row r="7629" spans="1:24">
      <c r="A7629">
        <f>HYPERLINK("https://www.philgeps.gov.ph/GEPSNONPILOT/Tender/SplashBidNoticeAbstractUI.aspx?menuIndex=3&amp;refID=7158222&amp;Result=3","7158222")</f>
        <v>0</v>
      </c>
      <c r="B7629" t="s">
        <v>744</v>
      </c>
      <c r="C7629" t="s">
        <v>11079</v>
      </c>
      <c r="D7629" t="s">
        <v>19017</v>
      </c>
      <c r="E7629" t="s">
        <v>25732</v>
      </c>
      <c r="F7629" t="s">
        <v>32831</v>
      </c>
      <c r="G7629" t="s">
        <v>32838</v>
      </c>
      <c r="H7629" t="s">
        <v>32848</v>
      </c>
      <c r="I7629" t="s">
        <v>7819</v>
      </c>
      <c r="J7629" t="s">
        <v>37742</v>
      </c>
      <c r="K7629" t="s">
        <v>42726</v>
      </c>
      <c r="M7629" t="s">
        <v>44219</v>
      </c>
      <c r="N7629" t="s">
        <v>47424</v>
      </c>
      <c r="O7629" t="s">
        <v>47425</v>
      </c>
      <c r="P7629">
        <v>0</v>
      </c>
      <c r="Q7629">
        <v>1</v>
      </c>
      <c r="R7629" t="s">
        <v>47431</v>
      </c>
      <c r="S7629" t="s">
        <v>47565</v>
      </c>
      <c r="T7629" t="s">
        <v>49237</v>
      </c>
      <c r="U7629" t="s">
        <v>53906</v>
      </c>
      <c r="W7629" t="s">
        <v>44219</v>
      </c>
      <c r="X7629" t="s">
        <v>47432</v>
      </c>
    </row>
    <row r="7630" spans="1:24">
      <c r="A7630">
        <f>HYPERLINK("https://www.philgeps.gov.ph/GEPSNONPILOT/Tender/SplashBidNoticeAbstractUI.aspx?menuIndex=3&amp;refID=7158207&amp;Result=3","7158207")</f>
        <v>0</v>
      </c>
      <c r="B7630" t="s">
        <v>2578</v>
      </c>
      <c r="C7630" t="s">
        <v>11080</v>
      </c>
      <c r="D7630" t="s">
        <v>19021</v>
      </c>
      <c r="E7630" t="s">
        <v>25733</v>
      </c>
      <c r="F7630" t="s">
        <v>32831</v>
      </c>
      <c r="G7630" t="s">
        <v>32838</v>
      </c>
      <c r="H7630" t="s">
        <v>32848</v>
      </c>
      <c r="I7630" t="s">
        <v>32911</v>
      </c>
      <c r="J7630" t="s">
        <v>32978</v>
      </c>
      <c r="K7630" t="s">
        <v>42732</v>
      </c>
      <c r="M7630" t="s">
        <v>45796</v>
      </c>
      <c r="N7630" t="s">
        <v>47424</v>
      </c>
      <c r="O7630" t="s">
        <v>47425</v>
      </c>
      <c r="P7630">
        <v>0</v>
      </c>
      <c r="Q7630">
        <v>2</v>
      </c>
      <c r="R7630" t="s">
        <v>47431</v>
      </c>
      <c r="S7630" t="s">
        <v>47565</v>
      </c>
      <c r="T7630" t="s">
        <v>49177</v>
      </c>
      <c r="U7630" t="s">
        <v>56019</v>
      </c>
      <c r="V7630" t="s">
        <v>63466</v>
      </c>
      <c r="W7630" t="s">
        <v>45796</v>
      </c>
      <c r="X7630" t="s">
        <v>47432</v>
      </c>
    </row>
    <row r="7631" spans="1:24">
      <c r="A7631">
        <f>HYPERLINK("https://www.philgeps.gov.ph/GEPSNONPILOT/Tender/SplashBidNoticeAbstractUI.aspx?menuIndex=3&amp;refID=7158205&amp;Result=3","7158205")</f>
        <v>0</v>
      </c>
      <c r="B7631" t="s">
        <v>744</v>
      </c>
      <c r="C7631" t="s">
        <v>11081</v>
      </c>
      <c r="D7631" t="s">
        <v>19017</v>
      </c>
      <c r="E7631" t="s">
        <v>25734</v>
      </c>
      <c r="F7631" t="s">
        <v>32831</v>
      </c>
      <c r="G7631" t="s">
        <v>32838</v>
      </c>
      <c r="H7631" t="s">
        <v>32848</v>
      </c>
      <c r="I7631" t="s">
        <v>4222</v>
      </c>
      <c r="J7631" t="s">
        <v>37743</v>
      </c>
      <c r="K7631" t="s">
        <v>42726</v>
      </c>
      <c r="M7631" t="s">
        <v>44219</v>
      </c>
      <c r="N7631" t="s">
        <v>47424</v>
      </c>
      <c r="O7631" t="s">
        <v>47425</v>
      </c>
      <c r="P7631">
        <v>0</v>
      </c>
      <c r="Q7631">
        <v>0</v>
      </c>
      <c r="R7631" t="s">
        <v>47431</v>
      </c>
      <c r="S7631" t="s">
        <v>47565</v>
      </c>
      <c r="T7631" t="s">
        <v>49237</v>
      </c>
      <c r="U7631" t="s">
        <v>51041</v>
      </c>
      <c r="W7631" t="s">
        <v>44219</v>
      </c>
      <c r="X7631" t="s">
        <v>47432</v>
      </c>
    </row>
    <row r="7632" spans="1:24">
      <c r="A7632">
        <f>HYPERLINK("https://www.philgeps.gov.ph/GEPSNONPILOT/Tender/SplashBidNoticeAbstractUI.aspx?menuIndex=3&amp;refID=7158042&amp;Result=3","7158042")</f>
        <v>0</v>
      </c>
      <c r="B7632" t="s">
        <v>2073</v>
      </c>
      <c r="C7632" t="s">
        <v>11082</v>
      </c>
      <c r="D7632" t="s">
        <v>19061</v>
      </c>
      <c r="E7632" t="s">
        <v>25735</v>
      </c>
      <c r="F7632" t="s">
        <v>32831</v>
      </c>
      <c r="G7632" t="s">
        <v>32839</v>
      </c>
      <c r="H7632" t="s">
        <v>32848</v>
      </c>
      <c r="I7632" t="s">
        <v>32862</v>
      </c>
      <c r="J7632" t="s">
        <v>37744</v>
      </c>
      <c r="K7632" t="s">
        <v>42730</v>
      </c>
      <c r="M7632" t="s">
        <v>45243</v>
      </c>
      <c r="N7632" t="s">
        <v>47424</v>
      </c>
      <c r="O7632" t="s">
        <v>47425</v>
      </c>
      <c r="P7632">
        <v>0</v>
      </c>
      <c r="Q7632">
        <v>0</v>
      </c>
      <c r="R7632" t="s">
        <v>47431</v>
      </c>
      <c r="S7632" t="s">
        <v>47565</v>
      </c>
      <c r="T7632" t="s">
        <v>49192</v>
      </c>
      <c r="U7632" t="s">
        <v>55946</v>
      </c>
      <c r="W7632" t="s">
        <v>45243</v>
      </c>
      <c r="X7632" t="s">
        <v>47432</v>
      </c>
    </row>
    <row r="7633" spans="1:24">
      <c r="A7633">
        <f>HYPERLINK("https://www.philgeps.gov.ph/GEPSNONPILOT/Tender/SplashBidNoticeAbstractUI.aspx?menuIndex=3&amp;refID=7158012&amp;Result=3","7158012")</f>
        <v>0</v>
      </c>
      <c r="B7633" t="s">
        <v>1012</v>
      </c>
      <c r="C7633" t="s">
        <v>11083</v>
      </c>
      <c r="D7633" t="s">
        <v>19077</v>
      </c>
      <c r="E7633" t="s">
        <v>25736</v>
      </c>
      <c r="F7633" t="s">
        <v>32831</v>
      </c>
      <c r="G7633" t="s">
        <v>32839</v>
      </c>
      <c r="H7633" t="s">
        <v>32849</v>
      </c>
      <c r="I7633" t="s">
        <v>4177</v>
      </c>
      <c r="J7633" t="s">
        <v>37745</v>
      </c>
      <c r="K7633" t="s">
        <v>42730</v>
      </c>
      <c r="M7633" t="s">
        <v>44061</v>
      </c>
      <c r="N7633" t="s">
        <v>47424</v>
      </c>
      <c r="O7633" t="s">
        <v>47425</v>
      </c>
      <c r="P7633">
        <v>0</v>
      </c>
      <c r="Q7633">
        <v>0</v>
      </c>
      <c r="R7633" t="s">
        <v>47431</v>
      </c>
      <c r="S7633" t="s">
        <v>47565</v>
      </c>
      <c r="T7633" t="s">
        <v>49160</v>
      </c>
      <c r="U7633" t="s">
        <v>56034</v>
      </c>
      <c r="W7633" t="s">
        <v>44061</v>
      </c>
      <c r="X7633" t="s">
        <v>47432</v>
      </c>
    </row>
    <row r="7634" spans="1:24">
      <c r="A7634">
        <f>HYPERLINK("https://www.philgeps.gov.ph/GEPSNONPILOT/Tender/SplashBidNoticeAbstractUI.aspx?menuIndex=3&amp;refID=7158210&amp;Result=3","7158210")</f>
        <v>0</v>
      </c>
      <c r="B7634" t="s">
        <v>851</v>
      </c>
      <c r="C7634" t="s">
        <v>11084</v>
      </c>
      <c r="D7634" t="s">
        <v>19017</v>
      </c>
      <c r="E7634" t="s">
        <v>25737</v>
      </c>
      <c r="F7634" t="s">
        <v>32831</v>
      </c>
      <c r="G7634" t="s">
        <v>32838</v>
      </c>
      <c r="H7634" t="s">
        <v>32848</v>
      </c>
      <c r="I7634" t="s">
        <v>4776</v>
      </c>
      <c r="J7634" t="s">
        <v>34331</v>
      </c>
      <c r="K7634" t="s">
        <v>42726</v>
      </c>
      <c r="M7634" t="s">
        <v>45050</v>
      </c>
      <c r="N7634" t="s">
        <v>47424</v>
      </c>
      <c r="O7634" t="s">
        <v>47425</v>
      </c>
      <c r="P7634">
        <v>0</v>
      </c>
      <c r="Q7634">
        <v>9</v>
      </c>
      <c r="R7634" t="s">
        <v>47431</v>
      </c>
      <c r="S7634" t="s">
        <v>47565</v>
      </c>
      <c r="T7634" t="s">
        <v>49237</v>
      </c>
      <c r="U7634" t="s">
        <v>56035</v>
      </c>
      <c r="W7634" t="s">
        <v>45050</v>
      </c>
      <c r="X7634" t="s">
        <v>47432</v>
      </c>
    </row>
    <row r="7635" spans="1:24">
      <c r="A7635">
        <f>HYPERLINK("https://www.philgeps.gov.ph/GEPSNONPILOT/Tender/SplashBidNoticeAbstractUI.aspx?menuIndex=3&amp;refID=7158007&amp;Result=3","7158007")</f>
        <v>0</v>
      </c>
      <c r="B7635" t="s">
        <v>114</v>
      </c>
      <c r="C7635" t="s">
        <v>11085</v>
      </c>
      <c r="D7635" t="s">
        <v>19050</v>
      </c>
      <c r="E7635" t="s">
        <v>25738</v>
      </c>
      <c r="F7635" t="s">
        <v>32831</v>
      </c>
      <c r="G7635" t="s">
        <v>32838</v>
      </c>
      <c r="H7635" t="s">
        <v>32848</v>
      </c>
      <c r="I7635" t="s">
        <v>4222</v>
      </c>
      <c r="J7635" t="s">
        <v>37746</v>
      </c>
      <c r="K7635" t="s">
        <v>42731</v>
      </c>
      <c r="L7635" t="s">
        <v>114</v>
      </c>
      <c r="M7635" t="s">
        <v>43111</v>
      </c>
      <c r="N7635" t="s">
        <v>47424</v>
      </c>
      <c r="O7635" t="s">
        <v>47425</v>
      </c>
      <c r="P7635">
        <v>0</v>
      </c>
      <c r="Q7635">
        <v>0</v>
      </c>
      <c r="R7635" t="s">
        <v>47431</v>
      </c>
      <c r="S7635" t="s">
        <v>47565</v>
      </c>
      <c r="T7635" t="s">
        <v>49229</v>
      </c>
      <c r="U7635" t="s">
        <v>49824</v>
      </c>
      <c r="W7635" t="s">
        <v>43111</v>
      </c>
      <c r="X7635" t="s">
        <v>47432</v>
      </c>
    </row>
    <row r="7636" spans="1:24">
      <c r="A7636">
        <f>HYPERLINK("https://www.philgeps.gov.ph/GEPSNONPILOT/Tender/SplashBidNoticeAbstractUI.aspx?menuIndex=3&amp;refID=7158013&amp;Result=3","7158013")</f>
        <v>0</v>
      </c>
      <c r="B7636" t="s">
        <v>2557</v>
      </c>
      <c r="C7636" t="s">
        <v>11086</v>
      </c>
      <c r="D7636" t="s">
        <v>19045</v>
      </c>
      <c r="E7636" t="s">
        <v>25739</v>
      </c>
      <c r="F7636" t="s">
        <v>32831</v>
      </c>
      <c r="G7636" t="s">
        <v>32839</v>
      </c>
      <c r="H7636" t="s">
        <v>32849</v>
      </c>
      <c r="I7636" t="s">
        <v>4177</v>
      </c>
      <c r="J7636" t="s">
        <v>32985</v>
      </c>
      <c r="K7636" t="s">
        <v>42730</v>
      </c>
      <c r="M7636" t="s">
        <v>45769</v>
      </c>
      <c r="N7636" t="s">
        <v>47424</v>
      </c>
      <c r="O7636" t="s">
        <v>47425</v>
      </c>
      <c r="P7636">
        <v>0</v>
      </c>
      <c r="Q7636">
        <v>0</v>
      </c>
      <c r="R7636" t="s">
        <v>47431</v>
      </c>
      <c r="S7636" t="s">
        <v>47565</v>
      </c>
      <c r="T7636" t="s">
        <v>49393</v>
      </c>
      <c r="U7636" t="s">
        <v>56036</v>
      </c>
      <c r="W7636" t="s">
        <v>45769</v>
      </c>
      <c r="X7636" t="s">
        <v>47432</v>
      </c>
    </row>
    <row r="7637" spans="1:24">
      <c r="A7637">
        <f>HYPERLINK("https://www.philgeps.gov.ph/GEPSNONPILOT/Tender/SplashBidNoticeAbstractUI.aspx?menuIndex=3&amp;refID=7158006&amp;Result=3","7158006")</f>
        <v>0</v>
      </c>
      <c r="B7637" t="s">
        <v>1425</v>
      </c>
      <c r="C7637" t="s">
        <v>11087</v>
      </c>
      <c r="D7637" t="s">
        <v>19073</v>
      </c>
      <c r="E7637" t="s">
        <v>25740</v>
      </c>
      <c r="F7637" t="s">
        <v>32831</v>
      </c>
      <c r="G7637" t="s">
        <v>32839</v>
      </c>
      <c r="H7637" t="s">
        <v>32849</v>
      </c>
      <c r="I7637" t="s">
        <v>4177</v>
      </c>
      <c r="J7637" t="s">
        <v>37747</v>
      </c>
      <c r="K7637" t="s">
        <v>42763</v>
      </c>
      <c r="M7637" t="s">
        <v>44514</v>
      </c>
      <c r="N7637" t="s">
        <v>47424</v>
      </c>
      <c r="O7637" t="s">
        <v>47425</v>
      </c>
      <c r="P7637">
        <v>0</v>
      </c>
      <c r="Q7637">
        <v>0</v>
      </c>
      <c r="R7637" t="s">
        <v>47431</v>
      </c>
      <c r="S7637" t="s">
        <v>47565</v>
      </c>
      <c r="T7637" t="s">
        <v>49319</v>
      </c>
      <c r="U7637" t="s">
        <v>56037</v>
      </c>
      <c r="W7637" t="s">
        <v>44514</v>
      </c>
      <c r="X7637" t="s">
        <v>47432</v>
      </c>
    </row>
    <row r="7638" spans="1:24">
      <c r="A7638">
        <f>HYPERLINK("https://www.philgeps.gov.ph/GEPSNONPILOT/Tender/SplashBidNoticeAbstractUI.aspx?menuIndex=3&amp;refID=7158010&amp;Result=3","7158010")</f>
        <v>0</v>
      </c>
      <c r="B7638" t="s">
        <v>2548</v>
      </c>
      <c r="C7638" t="s">
        <v>11088</v>
      </c>
      <c r="D7638" t="s">
        <v>19060</v>
      </c>
      <c r="E7638" t="s">
        <v>25741</v>
      </c>
      <c r="F7638" t="s">
        <v>32831</v>
      </c>
      <c r="G7638" t="s">
        <v>32839</v>
      </c>
      <c r="H7638" t="s">
        <v>32848</v>
      </c>
      <c r="I7638" t="s">
        <v>32867</v>
      </c>
      <c r="J7638" t="s">
        <v>37748</v>
      </c>
      <c r="K7638" t="s">
        <v>42729</v>
      </c>
      <c r="M7638" t="s">
        <v>45760</v>
      </c>
      <c r="N7638" t="s">
        <v>47424</v>
      </c>
      <c r="O7638" t="s">
        <v>47425</v>
      </c>
      <c r="P7638">
        <v>0</v>
      </c>
      <c r="Q7638">
        <v>14</v>
      </c>
      <c r="R7638" t="s">
        <v>47431</v>
      </c>
      <c r="S7638" t="s">
        <v>47565</v>
      </c>
      <c r="T7638" t="s">
        <v>49323</v>
      </c>
      <c r="U7638" t="s">
        <v>56038</v>
      </c>
      <c r="W7638" t="s">
        <v>45760</v>
      </c>
      <c r="X7638" t="s">
        <v>47432</v>
      </c>
    </row>
    <row r="7639" spans="1:24">
      <c r="A7639">
        <f>HYPERLINK("https://www.philgeps.gov.ph/GEPSNONPILOT/Tender/SplashBidNoticeAbstractUI.aspx?menuIndex=3&amp;refID=7158263&amp;Result=3","7158263")</f>
        <v>0</v>
      </c>
      <c r="B7639" t="s">
        <v>410</v>
      </c>
      <c r="C7639" t="s">
        <v>11089</v>
      </c>
      <c r="D7639" t="s">
        <v>19031</v>
      </c>
      <c r="E7639" t="s">
        <v>25742</v>
      </c>
      <c r="F7639" t="s">
        <v>32831</v>
      </c>
      <c r="G7639" t="s">
        <v>32839</v>
      </c>
      <c r="H7639" t="s">
        <v>32848</v>
      </c>
      <c r="I7639" t="s">
        <v>32870</v>
      </c>
      <c r="J7639" t="s">
        <v>37749</v>
      </c>
      <c r="K7639" t="s">
        <v>42730</v>
      </c>
      <c r="M7639" t="s">
        <v>43415</v>
      </c>
      <c r="N7639" t="s">
        <v>47424</v>
      </c>
      <c r="O7639" t="s">
        <v>47425</v>
      </c>
      <c r="P7639">
        <v>0</v>
      </c>
      <c r="Q7639">
        <v>0</v>
      </c>
      <c r="R7639" t="s">
        <v>47431</v>
      </c>
      <c r="S7639" t="s">
        <v>47565</v>
      </c>
      <c r="T7639" t="s">
        <v>49080</v>
      </c>
      <c r="U7639" t="s">
        <v>56039</v>
      </c>
      <c r="V7639" t="s">
        <v>63468</v>
      </c>
      <c r="W7639" t="s">
        <v>43415</v>
      </c>
      <c r="X7639" t="s">
        <v>47432</v>
      </c>
    </row>
    <row r="7640" spans="1:24">
      <c r="A7640">
        <f>HYPERLINK("https://www.philgeps.gov.ph/GEPSNONPILOT/Tender/SplashBidNoticeAbstractUI.aspx?menuIndex=3&amp;refID=7158217&amp;Result=3","7158217")</f>
        <v>0</v>
      </c>
      <c r="B7640" t="s">
        <v>2578</v>
      </c>
      <c r="C7640" t="s">
        <v>11090</v>
      </c>
      <c r="D7640" t="s">
        <v>19021</v>
      </c>
      <c r="E7640" t="s">
        <v>25743</v>
      </c>
      <c r="F7640" t="s">
        <v>32831</v>
      </c>
      <c r="G7640" t="s">
        <v>32838</v>
      </c>
      <c r="H7640" t="s">
        <v>32849</v>
      </c>
      <c r="I7640" t="s">
        <v>4177</v>
      </c>
      <c r="J7640" t="s">
        <v>37750</v>
      </c>
      <c r="K7640" t="s">
        <v>42732</v>
      </c>
      <c r="M7640" t="s">
        <v>45796</v>
      </c>
      <c r="N7640" t="s">
        <v>47424</v>
      </c>
      <c r="O7640" t="s">
        <v>47425</v>
      </c>
      <c r="P7640">
        <v>0</v>
      </c>
      <c r="Q7640">
        <v>0</v>
      </c>
      <c r="R7640" t="s">
        <v>47431</v>
      </c>
      <c r="S7640" t="s">
        <v>47565</v>
      </c>
      <c r="T7640" t="s">
        <v>49177</v>
      </c>
      <c r="U7640" t="s">
        <v>56040</v>
      </c>
      <c r="V7640" t="s">
        <v>63469</v>
      </c>
      <c r="W7640" t="s">
        <v>45796</v>
      </c>
      <c r="X7640" t="s">
        <v>47432</v>
      </c>
    </row>
    <row r="7641" spans="1:24">
      <c r="A7641">
        <f>HYPERLINK("https://www.philgeps.gov.ph/GEPSNONPILOT/Tender/SplashBidNoticeAbstractUI.aspx?menuIndex=3&amp;refID=7158277&amp;Result=3","7158277")</f>
        <v>0</v>
      </c>
      <c r="B7641" t="s">
        <v>410</v>
      </c>
      <c r="C7641" t="s">
        <v>11091</v>
      </c>
      <c r="D7641" t="s">
        <v>19031</v>
      </c>
      <c r="E7641" t="s">
        <v>25744</v>
      </c>
      <c r="F7641" t="s">
        <v>32831</v>
      </c>
      <c r="G7641" t="s">
        <v>32839</v>
      </c>
      <c r="H7641" t="s">
        <v>32848</v>
      </c>
      <c r="I7641" t="s">
        <v>32870</v>
      </c>
      <c r="J7641" t="s">
        <v>37751</v>
      </c>
      <c r="K7641" t="s">
        <v>42730</v>
      </c>
      <c r="M7641" t="s">
        <v>43415</v>
      </c>
      <c r="N7641" t="s">
        <v>47424</v>
      </c>
      <c r="O7641" t="s">
        <v>47425</v>
      </c>
      <c r="P7641">
        <v>0</v>
      </c>
      <c r="Q7641">
        <v>0</v>
      </c>
      <c r="R7641" t="s">
        <v>47431</v>
      </c>
      <c r="S7641" t="s">
        <v>47565</v>
      </c>
      <c r="T7641" t="s">
        <v>49080</v>
      </c>
      <c r="U7641" t="s">
        <v>56041</v>
      </c>
      <c r="V7641" t="s">
        <v>63470</v>
      </c>
      <c r="W7641" t="s">
        <v>43415</v>
      </c>
      <c r="X7641" t="s">
        <v>47432</v>
      </c>
    </row>
    <row r="7642" spans="1:24">
      <c r="A7642">
        <f>HYPERLINK("https://www.philgeps.gov.ph/GEPSNONPILOT/Tender/SplashBidNoticeAbstractUI.aspx?menuIndex=3&amp;refID=7158191&amp;Result=3","7158191")</f>
        <v>0</v>
      </c>
      <c r="B7642" t="s">
        <v>2575</v>
      </c>
      <c r="C7642" t="s">
        <v>11092</v>
      </c>
      <c r="E7642" t="s">
        <v>25745</v>
      </c>
      <c r="F7642" t="s">
        <v>32831</v>
      </c>
      <c r="G7642" t="s">
        <v>32839</v>
      </c>
      <c r="H7642" t="s">
        <v>32848</v>
      </c>
      <c r="I7642" t="s">
        <v>7751</v>
      </c>
      <c r="J7642" t="s">
        <v>34921</v>
      </c>
      <c r="K7642" t="s">
        <v>42732</v>
      </c>
      <c r="M7642" t="s">
        <v>45792</v>
      </c>
      <c r="N7642" t="s">
        <v>47424</v>
      </c>
      <c r="O7642" t="s">
        <v>47425</v>
      </c>
      <c r="P7642">
        <v>0</v>
      </c>
      <c r="Q7642">
        <v>12</v>
      </c>
      <c r="R7642" t="s">
        <v>47431</v>
      </c>
      <c r="S7642" t="s">
        <v>47565</v>
      </c>
      <c r="T7642" t="s">
        <v>49483</v>
      </c>
      <c r="U7642" t="s">
        <v>56000</v>
      </c>
      <c r="W7642" t="s">
        <v>45792</v>
      </c>
      <c r="X7642" t="s">
        <v>47432</v>
      </c>
    </row>
    <row r="7643" spans="1:24">
      <c r="A7643">
        <f>HYPERLINK("https://www.philgeps.gov.ph/GEPSNONPILOT/Tender/SplashBidNoticeAbstractUI.aspx?menuIndex=3&amp;refID=7158271&amp;Result=3","7158271")</f>
        <v>0</v>
      </c>
      <c r="B7643" t="s">
        <v>2584</v>
      </c>
      <c r="C7643" t="s">
        <v>4859</v>
      </c>
      <c r="D7643" t="s">
        <v>19062</v>
      </c>
      <c r="E7643" t="s">
        <v>24755</v>
      </c>
      <c r="F7643" t="s">
        <v>32831</v>
      </c>
      <c r="G7643" t="s">
        <v>32842</v>
      </c>
      <c r="H7643" t="s">
        <v>32848</v>
      </c>
      <c r="I7643" t="s">
        <v>9577</v>
      </c>
      <c r="J7643" t="s">
        <v>37752</v>
      </c>
      <c r="K7643" t="s">
        <v>42759</v>
      </c>
      <c r="M7643" t="s">
        <v>45802</v>
      </c>
      <c r="N7643" t="s">
        <v>47424</v>
      </c>
      <c r="O7643" t="s">
        <v>47425</v>
      </c>
      <c r="P7643">
        <v>0</v>
      </c>
      <c r="Q7643">
        <v>0</v>
      </c>
      <c r="R7643" t="s">
        <v>47431</v>
      </c>
      <c r="S7643" t="s">
        <v>47565</v>
      </c>
      <c r="T7643" t="s">
        <v>49212</v>
      </c>
      <c r="U7643" t="s">
        <v>56042</v>
      </c>
      <c r="W7643" t="s">
        <v>45802</v>
      </c>
      <c r="X7643" t="s">
        <v>47432</v>
      </c>
    </row>
    <row r="7644" spans="1:24">
      <c r="A7644">
        <f>HYPERLINK("https://www.philgeps.gov.ph/GEPSNONPILOT/Tender/SplashBidNoticeAbstractUI.aspx?menuIndex=3&amp;refID=7158281&amp;Result=3","7158281")</f>
        <v>0</v>
      </c>
      <c r="B7644" t="s">
        <v>67</v>
      </c>
      <c r="C7644" t="s">
        <v>11093</v>
      </c>
      <c r="D7644" t="s">
        <v>19099</v>
      </c>
      <c r="E7644" t="s">
        <v>25746</v>
      </c>
      <c r="F7644" t="s">
        <v>32831</v>
      </c>
      <c r="G7644" t="s">
        <v>32840</v>
      </c>
      <c r="H7644" t="s">
        <v>32848</v>
      </c>
      <c r="I7644" t="s">
        <v>4438</v>
      </c>
      <c r="J7644" t="s">
        <v>37753</v>
      </c>
      <c r="K7644" t="s">
        <v>42730</v>
      </c>
      <c r="M7644" t="s">
        <v>43749</v>
      </c>
      <c r="N7644" t="s">
        <v>47424</v>
      </c>
      <c r="O7644" t="s">
        <v>47425</v>
      </c>
      <c r="P7644">
        <v>0</v>
      </c>
      <c r="Q7644">
        <v>0</v>
      </c>
      <c r="R7644" t="s">
        <v>47431</v>
      </c>
      <c r="S7644" t="s">
        <v>47565</v>
      </c>
      <c r="T7644" t="s">
        <v>49206</v>
      </c>
      <c r="U7644" t="s">
        <v>51013</v>
      </c>
      <c r="W7644" t="s">
        <v>64446</v>
      </c>
      <c r="X7644" t="s">
        <v>47432</v>
      </c>
    </row>
    <row r="7645" spans="1:24">
      <c r="A7645">
        <f>HYPERLINK("https://www.philgeps.gov.ph/GEPSNONPILOT/Tender/SplashBidNoticeAbstractUI.aspx?menuIndex=3&amp;refID=7158261&amp;Result=3","7158261")</f>
        <v>0</v>
      </c>
      <c r="B7645" t="s">
        <v>67</v>
      </c>
      <c r="C7645" t="s">
        <v>11094</v>
      </c>
      <c r="D7645" t="s">
        <v>19099</v>
      </c>
      <c r="E7645" t="s">
        <v>25747</v>
      </c>
      <c r="F7645" t="s">
        <v>32831</v>
      </c>
      <c r="G7645" t="s">
        <v>32840</v>
      </c>
      <c r="H7645" t="s">
        <v>32848</v>
      </c>
      <c r="I7645" t="s">
        <v>4438</v>
      </c>
      <c r="J7645" t="s">
        <v>37754</v>
      </c>
      <c r="K7645" t="s">
        <v>42730</v>
      </c>
      <c r="M7645" t="s">
        <v>43749</v>
      </c>
      <c r="N7645" t="s">
        <v>47424</v>
      </c>
      <c r="O7645" t="s">
        <v>47425</v>
      </c>
      <c r="P7645">
        <v>0</v>
      </c>
      <c r="Q7645">
        <v>1</v>
      </c>
      <c r="R7645" t="s">
        <v>47431</v>
      </c>
      <c r="S7645" t="s">
        <v>47565</v>
      </c>
      <c r="T7645" t="s">
        <v>49206</v>
      </c>
      <c r="U7645" t="s">
        <v>51013</v>
      </c>
      <c r="W7645" t="s">
        <v>64446</v>
      </c>
      <c r="X7645" t="s">
        <v>47432</v>
      </c>
    </row>
    <row r="7646" spans="1:24">
      <c r="A7646">
        <f>HYPERLINK("https://www.philgeps.gov.ph/GEPSNONPILOT/Tender/SplashBidNoticeAbstractUI.aspx?menuIndex=3&amp;refID=7158259&amp;Result=3","7158259")</f>
        <v>0</v>
      </c>
      <c r="B7646" t="s">
        <v>2220</v>
      </c>
      <c r="C7646" t="s">
        <v>11095</v>
      </c>
      <c r="D7646" t="s">
        <v>19062</v>
      </c>
      <c r="E7646" t="s">
        <v>25748</v>
      </c>
      <c r="F7646" t="s">
        <v>32831</v>
      </c>
      <c r="G7646" t="s">
        <v>32838</v>
      </c>
      <c r="H7646" t="s">
        <v>32848</v>
      </c>
      <c r="I7646" t="s">
        <v>4776</v>
      </c>
      <c r="J7646" t="s">
        <v>35490</v>
      </c>
      <c r="K7646" t="s">
        <v>42730</v>
      </c>
      <c r="M7646" t="s">
        <v>45400</v>
      </c>
      <c r="N7646" t="s">
        <v>47424</v>
      </c>
      <c r="O7646" t="s">
        <v>47425</v>
      </c>
      <c r="P7646">
        <v>0</v>
      </c>
      <c r="Q7646">
        <v>5</v>
      </c>
      <c r="R7646" t="s">
        <v>47431</v>
      </c>
      <c r="S7646" t="s">
        <v>47565</v>
      </c>
      <c r="T7646" t="s">
        <v>49214</v>
      </c>
      <c r="U7646" t="s">
        <v>54865</v>
      </c>
      <c r="W7646" t="s">
        <v>45400</v>
      </c>
      <c r="X7646" t="s">
        <v>47432</v>
      </c>
    </row>
    <row r="7647" spans="1:24">
      <c r="A7647">
        <f>HYPERLINK("https://www.philgeps.gov.ph/GEPSNONPILOT/Tender/SplashBidNoticeAbstractUI.aspx?menuIndex=3&amp;refID=7158216&amp;Result=3","7158216")</f>
        <v>0</v>
      </c>
      <c r="B7647" t="s">
        <v>2585</v>
      </c>
      <c r="C7647" t="s">
        <v>11096</v>
      </c>
      <c r="D7647" t="s">
        <v>19026</v>
      </c>
      <c r="E7647" t="s">
        <v>25749</v>
      </c>
      <c r="F7647" t="s">
        <v>32831</v>
      </c>
      <c r="G7647" t="s">
        <v>32839</v>
      </c>
      <c r="H7647" t="s">
        <v>32849</v>
      </c>
      <c r="I7647" t="s">
        <v>4177</v>
      </c>
      <c r="J7647" t="s">
        <v>37755</v>
      </c>
      <c r="K7647" t="s">
        <v>42830</v>
      </c>
      <c r="M7647" t="s">
        <v>45803</v>
      </c>
      <c r="N7647" t="s">
        <v>47424</v>
      </c>
      <c r="O7647" t="s">
        <v>47425</v>
      </c>
      <c r="Q7647">
        <v>10</v>
      </c>
      <c r="R7647" t="s">
        <v>47431</v>
      </c>
      <c r="S7647" t="s">
        <v>47595</v>
      </c>
      <c r="T7647" t="s">
        <v>49236</v>
      </c>
      <c r="U7647" t="s">
        <v>56043</v>
      </c>
      <c r="V7647" t="s">
        <v>63471</v>
      </c>
      <c r="W7647" t="s">
        <v>45803</v>
      </c>
      <c r="X7647" t="s">
        <v>47432</v>
      </c>
    </row>
    <row r="7648" spans="1:24">
      <c r="A7648">
        <f>HYPERLINK("https://www.philgeps.gov.ph/GEPSNONPILOT/Tender/SplashBidNoticeAbstractUI.aspx?menuIndex=3&amp;refID=7158279&amp;Result=3","7158279")</f>
        <v>0</v>
      </c>
      <c r="B7648" t="s">
        <v>2216</v>
      </c>
      <c r="C7648" t="s">
        <v>11097</v>
      </c>
      <c r="D7648" t="s">
        <v>19047</v>
      </c>
      <c r="E7648" t="s">
        <v>25750</v>
      </c>
      <c r="F7648" t="s">
        <v>32831</v>
      </c>
      <c r="G7648" t="s">
        <v>32839</v>
      </c>
      <c r="H7648" t="s">
        <v>32848</v>
      </c>
      <c r="I7648" t="s">
        <v>32900</v>
      </c>
      <c r="J7648" t="s">
        <v>37756</v>
      </c>
      <c r="K7648" t="s">
        <v>42729</v>
      </c>
      <c r="M7648" t="s">
        <v>45396</v>
      </c>
      <c r="N7648" t="s">
        <v>47424</v>
      </c>
      <c r="O7648" t="s">
        <v>47425</v>
      </c>
      <c r="P7648">
        <v>0</v>
      </c>
      <c r="Q7648">
        <v>1</v>
      </c>
      <c r="R7648" t="s">
        <v>47431</v>
      </c>
      <c r="S7648" t="s">
        <v>47565</v>
      </c>
      <c r="T7648" t="s">
        <v>49066</v>
      </c>
      <c r="U7648" t="s">
        <v>56044</v>
      </c>
      <c r="W7648" t="s">
        <v>45396</v>
      </c>
      <c r="X7648" t="s">
        <v>47432</v>
      </c>
    </row>
    <row r="7649" spans="1:24">
      <c r="A7649">
        <f>HYPERLINK("https://www.philgeps.gov.ph/GEPSNONPILOT/Tender/SplashBidNoticeAbstractUI.aspx?menuIndex=3&amp;refID=7158258&amp;Result=3","7158258")</f>
        <v>0</v>
      </c>
      <c r="B7649" t="s">
        <v>508</v>
      </c>
      <c r="C7649" t="s">
        <v>11098</v>
      </c>
      <c r="D7649" t="s">
        <v>19068</v>
      </c>
      <c r="E7649" t="s">
        <v>25751</v>
      </c>
      <c r="F7649" t="s">
        <v>32831</v>
      </c>
      <c r="G7649" t="s">
        <v>32839</v>
      </c>
      <c r="H7649" t="s">
        <v>32848</v>
      </c>
      <c r="I7649" t="s">
        <v>7751</v>
      </c>
      <c r="J7649" t="s">
        <v>36932</v>
      </c>
      <c r="K7649" t="s">
        <v>42731</v>
      </c>
      <c r="M7649" t="s">
        <v>43513</v>
      </c>
      <c r="N7649" t="s">
        <v>47424</v>
      </c>
      <c r="O7649" t="s">
        <v>47425</v>
      </c>
      <c r="P7649">
        <v>0</v>
      </c>
      <c r="Q7649">
        <v>0</v>
      </c>
      <c r="R7649" t="s">
        <v>47431</v>
      </c>
      <c r="S7649" t="s">
        <v>47565</v>
      </c>
      <c r="T7649" t="s">
        <v>49254</v>
      </c>
      <c r="U7649" t="s">
        <v>56045</v>
      </c>
      <c r="W7649" t="s">
        <v>43513</v>
      </c>
      <c r="X7649" t="s">
        <v>47432</v>
      </c>
    </row>
    <row r="7650" spans="1:24">
      <c r="A7650">
        <f>HYPERLINK("https://www.philgeps.gov.ph/GEPSNONPILOT/Tender/SplashBidNoticeAbstractUI.aspx?menuIndex=3&amp;refID=7158326&amp;Result=3","7158326")</f>
        <v>0</v>
      </c>
      <c r="B7650" t="s">
        <v>2220</v>
      </c>
      <c r="C7650" t="s">
        <v>11099</v>
      </c>
      <c r="D7650" t="s">
        <v>19062</v>
      </c>
      <c r="E7650" t="s">
        <v>25752</v>
      </c>
      <c r="F7650" t="s">
        <v>32831</v>
      </c>
      <c r="G7650" t="s">
        <v>32839</v>
      </c>
      <c r="H7650" t="s">
        <v>14069</v>
      </c>
      <c r="I7650" t="s">
        <v>14069</v>
      </c>
      <c r="J7650" t="s">
        <v>37757</v>
      </c>
      <c r="K7650" t="s">
        <v>42727</v>
      </c>
      <c r="M7650" t="s">
        <v>45804</v>
      </c>
      <c r="N7650" t="s">
        <v>47424</v>
      </c>
      <c r="O7650" t="s">
        <v>47425</v>
      </c>
      <c r="P7650">
        <v>0</v>
      </c>
      <c r="Q7650">
        <v>5</v>
      </c>
      <c r="R7650" t="s">
        <v>47431</v>
      </c>
      <c r="S7650" t="s">
        <v>47565</v>
      </c>
      <c r="T7650" t="s">
        <v>49132</v>
      </c>
      <c r="U7650" t="s">
        <v>56046</v>
      </c>
      <c r="W7650" t="s">
        <v>45804</v>
      </c>
      <c r="X7650" t="s">
        <v>47432</v>
      </c>
    </row>
    <row r="7651" spans="1:24">
      <c r="A7651">
        <f>HYPERLINK("https://www.philgeps.gov.ph/GEPSNONPILOT/Tender/SplashBidNoticeAbstractUI.aspx?menuIndex=3&amp;refID=7158272&amp;Result=3","7158272")</f>
        <v>0</v>
      </c>
      <c r="B7651" t="s">
        <v>410</v>
      </c>
      <c r="C7651" t="s">
        <v>11100</v>
      </c>
      <c r="D7651" t="s">
        <v>19031</v>
      </c>
      <c r="E7651" t="s">
        <v>25753</v>
      </c>
      <c r="F7651" t="s">
        <v>32831</v>
      </c>
      <c r="G7651" t="s">
        <v>32839</v>
      </c>
      <c r="H7651" t="s">
        <v>32848</v>
      </c>
      <c r="I7651" t="s">
        <v>4776</v>
      </c>
      <c r="J7651" t="s">
        <v>33562</v>
      </c>
      <c r="K7651" t="s">
        <v>42730</v>
      </c>
      <c r="M7651" t="s">
        <v>43415</v>
      </c>
      <c r="N7651" t="s">
        <v>47424</v>
      </c>
      <c r="O7651" t="s">
        <v>47425</v>
      </c>
      <c r="P7651">
        <v>0</v>
      </c>
      <c r="Q7651">
        <v>1</v>
      </c>
      <c r="R7651" t="s">
        <v>47431</v>
      </c>
      <c r="S7651" t="s">
        <v>47565</v>
      </c>
      <c r="T7651" t="s">
        <v>49080</v>
      </c>
      <c r="U7651" t="s">
        <v>56047</v>
      </c>
      <c r="V7651" t="s">
        <v>63472</v>
      </c>
      <c r="W7651" t="s">
        <v>43415</v>
      </c>
      <c r="X7651" t="s">
        <v>47432</v>
      </c>
    </row>
    <row r="7652" spans="1:24">
      <c r="A7652">
        <f>HYPERLINK("https://www.philgeps.gov.ph/GEPSNONPILOT/Tender/SplashBidNoticeAbstractUI.aspx?menuIndex=3&amp;refID=7158270&amp;Result=3","7158270")</f>
        <v>0</v>
      </c>
      <c r="B7652" t="s">
        <v>2586</v>
      </c>
      <c r="C7652" t="s">
        <v>11101</v>
      </c>
      <c r="D7652" t="s">
        <v>19020</v>
      </c>
      <c r="E7652" t="s">
        <v>25754</v>
      </c>
      <c r="F7652" t="s">
        <v>32831</v>
      </c>
      <c r="G7652" t="s">
        <v>32842</v>
      </c>
      <c r="H7652" t="s">
        <v>32848</v>
      </c>
      <c r="I7652" t="s">
        <v>32860</v>
      </c>
      <c r="J7652" t="s">
        <v>37758</v>
      </c>
      <c r="K7652" t="s">
        <v>42726</v>
      </c>
      <c r="M7652" t="s">
        <v>45805</v>
      </c>
      <c r="N7652" t="s">
        <v>47424</v>
      </c>
      <c r="O7652" t="s">
        <v>47425</v>
      </c>
      <c r="P7652">
        <v>0</v>
      </c>
      <c r="Q7652">
        <v>7</v>
      </c>
      <c r="R7652" t="s">
        <v>47431</v>
      </c>
      <c r="S7652" t="s">
        <v>47565</v>
      </c>
      <c r="T7652" t="s">
        <v>49214</v>
      </c>
      <c r="U7652" t="s">
        <v>56048</v>
      </c>
      <c r="W7652" t="s">
        <v>45805</v>
      </c>
      <c r="X7652" t="s">
        <v>47432</v>
      </c>
    </row>
    <row r="7653" spans="1:24">
      <c r="A7653">
        <f>HYPERLINK("https://www.philgeps.gov.ph/GEPSNONPILOT/Tender/SplashBidNoticeAbstractUI.aspx?menuIndex=3&amp;refID=7158318&amp;Result=3","7158318")</f>
        <v>0</v>
      </c>
      <c r="B7653" t="s">
        <v>2584</v>
      </c>
      <c r="C7653" t="s">
        <v>10159</v>
      </c>
      <c r="D7653" t="s">
        <v>19062</v>
      </c>
      <c r="E7653" t="s">
        <v>24944</v>
      </c>
      <c r="F7653" t="s">
        <v>32831</v>
      </c>
      <c r="G7653" t="s">
        <v>32838</v>
      </c>
      <c r="H7653" t="s">
        <v>32848</v>
      </c>
      <c r="I7653" t="s">
        <v>4558</v>
      </c>
      <c r="J7653" t="s">
        <v>37759</v>
      </c>
      <c r="K7653" t="s">
        <v>42759</v>
      </c>
      <c r="M7653" t="s">
        <v>45802</v>
      </c>
      <c r="N7653" t="s">
        <v>47424</v>
      </c>
      <c r="O7653" t="s">
        <v>47425</v>
      </c>
      <c r="P7653">
        <v>0</v>
      </c>
      <c r="Q7653">
        <v>0</v>
      </c>
      <c r="R7653" t="s">
        <v>47431</v>
      </c>
      <c r="S7653" t="s">
        <v>47565</v>
      </c>
      <c r="T7653" t="s">
        <v>49212</v>
      </c>
      <c r="U7653" t="s">
        <v>56049</v>
      </c>
      <c r="W7653" t="s">
        <v>45802</v>
      </c>
      <c r="X7653" t="s">
        <v>47432</v>
      </c>
    </row>
    <row r="7654" spans="1:24">
      <c r="A7654">
        <f>HYPERLINK("https://www.philgeps.gov.ph/GEPSNONPILOT/Tender/SplashBidNoticeAbstractUI.aspx?menuIndex=3&amp;refID=7158314&amp;Result=3","7158314")</f>
        <v>0</v>
      </c>
      <c r="B7654" t="s">
        <v>2587</v>
      </c>
      <c r="C7654" t="s">
        <v>11102</v>
      </c>
      <c r="E7654" t="s">
        <v>25755</v>
      </c>
      <c r="F7654" t="s">
        <v>32831</v>
      </c>
      <c r="G7654" t="s">
        <v>32839</v>
      </c>
      <c r="H7654" t="s">
        <v>32848</v>
      </c>
      <c r="I7654" t="s">
        <v>7751</v>
      </c>
      <c r="J7654" t="s">
        <v>36671</v>
      </c>
      <c r="K7654" t="s">
        <v>42732</v>
      </c>
      <c r="M7654" t="s">
        <v>45806</v>
      </c>
      <c r="N7654" t="s">
        <v>47424</v>
      </c>
      <c r="O7654" t="s">
        <v>47425</v>
      </c>
      <c r="P7654">
        <v>0</v>
      </c>
      <c r="Q7654">
        <v>3</v>
      </c>
      <c r="R7654" t="s">
        <v>47431</v>
      </c>
      <c r="S7654" t="s">
        <v>47565</v>
      </c>
      <c r="T7654" t="s">
        <v>49068</v>
      </c>
      <c r="U7654" t="s">
        <v>56050</v>
      </c>
      <c r="W7654" t="s">
        <v>45806</v>
      </c>
      <c r="X7654" t="s">
        <v>47432</v>
      </c>
    </row>
    <row r="7655" spans="1:24">
      <c r="A7655">
        <f>HYPERLINK("https://www.philgeps.gov.ph/GEPSNONPILOT/Tender/SplashBidNoticeAbstractUI.aspx?menuIndex=3&amp;refID=7158011&amp;Result=3","7158011")</f>
        <v>0</v>
      </c>
      <c r="B7655" t="s">
        <v>2549</v>
      </c>
      <c r="C7655" t="s">
        <v>11103</v>
      </c>
      <c r="D7655" t="s">
        <v>19093</v>
      </c>
      <c r="E7655" t="s">
        <v>25756</v>
      </c>
      <c r="F7655" t="s">
        <v>32831</v>
      </c>
      <c r="G7655" t="s">
        <v>32839</v>
      </c>
      <c r="H7655" t="s">
        <v>32848</v>
      </c>
      <c r="I7655" t="s">
        <v>4776</v>
      </c>
      <c r="J7655" t="s">
        <v>33249</v>
      </c>
      <c r="K7655" t="s">
        <v>42727</v>
      </c>
      <c r="M7655" t="s">
        <v>45761</v>
      </c>
      <c r="N7655" t="s">
        <v>47424</v>
      </c>
      <c r="O7655" t="s">
        <v>47425</v>
      </c>
      <c r="P7655">
        <v>0</v>
      </c>
      <c r="Q7655">
        <v>5</v>
      </c>
      <c r="R7655" t="s">
        <v>47431</v>
      </c>
      <c r="S7655" t="s">
        <v>47565</v>
      </c>
      <c r="T7655" t="s">
        <v>49221</v>
      </c>
      <c r="U7655" t="s">
        <v>55902</v>
      </c>
      <c r="W7655" t="s">
        <v>45761</v>
      </c>
      <c r="X7655" t="s">
        <v>47432</v>
      </c>
    </row>
    <row r="7656" spans="1:24">
      <c r="A7656">
        <f>HYPERLINK("https://www.philgeps.gov.ph/GEPSNONPILOT/Tender/SplashBidNoticeAbstractUI.aspx?menuIndex=3&amp;refID=7158325&amp;Result=3","7158325")</f>
        <v>0</v>
      </c>
      <c r="B7656" t="s">
        <v>2576</v>
      </c>
      <c r="C7656" t="s">
        <v>11104</v>
      </c>
      <c r="D7656" t="s">
        <v>19093</v>
      </c>
      <c r="E7656" t="s">
        <v>25757</v>
      </c>
      <c r="F7656" t="s">
        <v>32831</v>
      </c>
      <c r="G7656" t="s">
        <v>32839</v>
      </c>
      <c r="H7656" t="s">
        <v>32848</v>
      </c>
      <c r="I7656" t="s">
        <v>4438</v>
      </c>
      <c r="J7656" t="s">
        <v>37760</v>
      </c>
      <c r="K7656" t="s">
        <v>42727</v>
      </c>
      <c r="M7656" t="s">
        <v>45793</v>
      </c>
      <c r="N7656" t="s">
        <v>47424</v>
      </c>
      <c r="O7656" t="s">
        <v>47425</v>
      </c>
      <c r="P7656">
        <v>0</v>
      </c>
      <c r="Q7656">
        <v>0</v>
      </c>
      <c r="R7656" t="s">
        <v>47431</v>
      </c>
      <c r="S7656" t="s">
        <v>47565</v>
      </c>
      <c r="T7656" t="s">
        <v>49319</v>
      </c>
      <c r="U7656" t="s">
        <v>56051</v>
      </c>
      <c r="W7656" t="s">
        <v>45793</v>
      </c>
      <c r="X7656" t="s">
        <v>47432</v>
      </c>
    </row>
    <row r="7657" spans="1:24">
      <c r="A7657">
        <f>HYPERLINK("https://www.philgeps.gov.ph/GEPSNONPILOT/Tender/SplashBidNoticeAbstractUI.aspx?menuIndex=3&amp;refID=7158319&amp;Result=3","7158319")</f>
        <v>0</v>
      </c>
      <c r="B7657" t="s">
        <v>473</v>
      </c>
      <c r="C7657" t="s">
        <v>11105</v>
      </c>
      <c r="D7657" t="s">
        <v>19091</v>
      </c>
      <c r="E7657" t="s">
        <v>25758</v>
      </c>
      <c r="F7657" t="s">
        <v>32831</v>
      </c>
      <c r="G7657" t="s">
        <v>32838</v>
      </c>
      <c r="H7657" t="s">
        <v>32848</v>
      </c>
      <c r="I7657" t="s">
        <v>4438</v>
      </c>
      <c r="J7657" t="s">
        <v>34770</v>
      </c>
      <c r="K7657" t="s">
        <v>42730</v>
      </c>
      <c r="M7657" t="s">
        <v>44430</v>
      </c>
      <c r="N7657" t="s">
        <v>47424</v>
      </c>
      <c r="O7657" t="s">
        <v>47425</v>
      </c>
      <c r="P7657">
        <v>0</v>
      </c>
      <c r="Q7657">
        <v>1</v>
      </c>
      <c r="R7657" t="s">
        <v>47431</v>
      </c>
      <c r="S7657" t="s">
        <v>47565</v>
      </c>
      <c r="T7657" t="s">
        <v>49111</v>
      </c>
      <c r="U7657" t="s">
        <v>56052</v>
      </c>
      <c r="W7657" t="s">
        <v>44430</v>
      </c>
      <c r="X7657" t="s">
        <v>47432</v>
      </c>
    </row>
    <row r="7658" spans="1:24">
      <c r="A7658">
        <f>HYPERLINK("https://www.philgeps.gov.ph/GEPSNONPILOT/Tender/SplashBidNoticeAbstractUI.aspx?menuIndex=3&amp;refID=7158302&amp;Result=3","7158302")</f>
        <v>0</v>
      </c>
      <c r="B7658" t="s">
        <v>1096</v>
      </c>
      <c r="C7658" t="s">
        <v>11106</v>
      </c>
      <c r="D7658" t="s">
        <v>19082</v>
      </c>
      <c r="E7658" t="s">
        <v>25759</v>
      </c>
      <c r="F7658" t="s">
        <v>32831</v>
      </c>
      <c r="G7658" t="s">
        <v>32838</v>
      </c>
      <c r="H7658" t="s">
        <v>32848</v>
      </c>
      <c r="I7658" t="s">
        <v>5379</v>
      </c>
      <c r="J7658" t="s">
        <v>37761</v>
      </c>
      <c r="K7658" t="s">
        <v>42732</v>
      </c>
      <c r="M7658" t="s">
        <v>44155</v>
      </c>
      <c r="N7658" t="s">
        <v>47424</v>
      </c>
      <c r="O7658" t="s">
        <v>47425</v>
      </c>
      <c r="P7658">
        <v>0</v>
      </c>
      <c r="Q7658">
        <v>0</v>
      </c>
      <c r="R7658" t="s">
        <v>47431</v>
      </c>
      <c r="S7658" t="s">
        <v>47565</v>
      </c>
      <c r="T7658" t="s">
        <v>49163</v>
      </c>
      <c r="U7658" t="s">
        <v>51790</v>
      </c>
      <c r="W7658" t="s">
        <v>44155</v>
      </c>
      <c r="X7658" t="s">
        <v>47432</v>
      </c>
    </row>
    <row r="7659" spans="1:24">
      <c r="A7659">
        <f>HYPERLINK("https://www.philgeps.gov.ph/GEPSNONPILOT/Tender/SplashBidNoticeAbstractUI.aspx?menuIndex=3&amp;refID=7158201&amp;Result=3","7158201")</f>
        <v>0</v>
      </c>
      <c r="B7659" t="s">
        <v>1211</v>
      </c>
      <c r="C7659" t="s">
        <v>11107</v>
      </c>
      <c r="D7659" t="s">
        <v>19037</v>
      </c>
      <c r="E7659" t="s">
        <v>25760</v>
      </c>
      <c r="F7659" t="s">
        <v>32831</v>
      </c>
      <c r="G7659" t="s">
        <v>32839</v>
      </c>
      <c r="H7659" t="s">
        <v>32848</v>
      </c>
      <c r="I7659" t="s">
        <v>32860</v>
      </c>
      <c r="J7659" t="s">
        <v>37762</v>
      </c>
      <c r="K7659" t="s">
        <v>42730</v>
      </c>
      <c r="M7659" t="s">
        <v>44279</v>
      </c>
      <c r="N7659" t="s">
        <v>47424</v>
      </c>
      <c r="O7659" t="s">
        <v>47425</v>
      </c>
      <c r="P7659">
        <v>0</v>
      </c>
      <c r="Q7659">
        <v>3</v>
      </c>
      <c r="R7659" t="s">
        <v>47431</v>
      </c>
      <c r="S7659" t="s">
        <v>47565</v>
      </c>
      <c r="T7659" t="s">
        <v>49319</v>
      </c>
      <c r="U7659" t="s">
        <v>56053</v>
      </c>
      <c r="W7659" t="s">
        <v>44279</v>
      </c>
      <c r="X7659" t="s">
        <v>47432</v>
      </c>
    </row>
    <row r="7660" spans="1:24">
      <c r="A7660">
        <f>HYPERLINK("https://www.philgeps.gov.ph/GEPSNONPILOT/Tender/SplashBidNoticeAbstractUI.aspx?menuIndex=3&amp;refID=7158312&amp;Result=3","7158312")</f>
        <v>0</v>
      </c>
      <c r="B7660" t="s">
        <v>903</v>
      </c>
      <c r="C7660" t="s">
        <v>11108</v>
      </c>
      <c r="D7660" t="s">
        <v>19056</v>
      </c>
      <c r="E7660" t="s">
        <v>25761</v>
      </c>
      <c r="F7660" t="s">
        <v>32831</v>
      </c>
      <c r="G7660" t="s">
        <v>32840</v>
      </c>
      <c r="H7660" t="s">
        <v>32848</v>
      </c>
      <c r="I7660" t="s">
        <v>4340</v>
      </c>
      <c r="J7660" t="s">
        <v>37763</v>
      </c>
      <c r="K7660" t="s">
        <v>42727</v>
      </c>
      <c r="M7660" t="s">
        <v>43941</v>
      </c>
      <c r="N7660" t="s">
        <v>47424</v>
      </c>
      <c r="O7660" t="s">
        <v>47425</v>
      </c>
      <c r="P7660">
        <v>0</v>
      </c>
      <c r="Q7660">
        <v>8</v>
      </c>
      <c r="R7660" t="s">
        <v>47431</v>
      </c>
      <c r="S7660" t="s">
        <v>47565</v>
      </c>
      <c r="T7660" t="s">
        <v>49125</v>
      </c>
      <c r="U7660" t="s">
        <v>56054</v>
      </c>
      <c r="W7660" t="s">
        <v>43941</v>
      </c>
      <c r="X7660" t="s">
        <v>47432</v>
      </c>
    </row>
    <row r="7661" spans="1:24">
      <c r="A7661">
        <f>HYPERLINK("https://www.philgeps.gov.ph/GEPSNONPILOT/Tender/SplashBidNoticeAbstractUI.aspx?menuIndex=3&amp;refID=7158295&amp;Result=3","7158295")</f>
        <v>0</v>
      </c>
      <c r="B7661" t="s">
        <v>1100</v>
      </c>
      <c r="C7661" t="s">
        <v>11109</v>
      </c>
      <c r="D7661" t="s">
        <v>19062</v>
      </c>
      <c r="E7661" t="s">
        <v>25762</v>
      </c>
      <c r="F7661" t="s">
        <v>32831</v>
      </c>
      <c r="G7661" t="s">
        <v>32839</v>
      </c>
      <c r="H7661" t="s">
        <v>32848</v>
      </c>
      <c r="I7661" t="s">
        <v>32859</v>
      </c>
      <c r="J7661" t="s">
        <v>37764</v>
      </c>
      <c r="K7661" t="s">
        <v>42773</v>
      </c>
      <c r="M7661" t="s">
        <v>44160</v>
      </c>
      <c r="N7661" t="s">
        <v>47424</v>
      </c>
      <c r="O7661" t="s">
        <v>47425</v>
      </c>
      <c r="P7661">
        <v>0</v>
      </c>
      <c r="Q7661">
        <v>1</v>
      </c>
      <c r="R7661" t="s">
        <v>47431</v>
      </c>
      <c r="S7661" t="s">
        <v>47565</v>
      </c>
      <c r="T7661" t="s">
        <v>49468</v>
      </c>
      <c r="U7661" t="s">
        <v>56055</v>
      </c>
      <c r="V7661" t="s">
        <v>63219</v>
      </c>
      <c r="W7661" t="s">
        <v>44160</v>
      </c>
      <c r="X7661" t="s">
        <v>47432</v>
      </c>
    </row>
    <row r="7662" spans="1:24">
      <c r="A7662">
        <f>HYPERLINK("https://www.philgeps.gov.ph/GEPSNONPILOT/Tender/SplashBidNoticeAbstractUI.aspx?menuIndex=3&amp;refID=7158310&amp;Result=3","7158310")</f>
        <v>0</v>
      </c>
      <c r="B7662" t="s">
        <v>903</v>
      </c>
      <c r="C7662" t="s">
        <v>11110</v>
      </c>
      <c r="D7662" t="s">
        <v>19056</v>
      </c>
      <c r="E7662" t="s">
        <v>25763</v>
      </c>
      <c r="F7662" t="s">
        <v>32831</v>
      </c>
      <c r="G7662" t="s">
        <v>32842</v>
      </c>
      <c r="H7662" t="s">
        <v>32848</v>
      </c>
      <c r="I7662" t="s">
        <v>9577</v>
      </c>
      <c r="J7662" t="s">
        <v>37765</v>
      </c>
      <c r="K7662" t="s">
        <v>42727</v>
      </c>
      <c r="M7662" t="s">
        <v>43941</v>
      </c>
      <c r="N7662" t="s">
        <v>47424</v>
      </c>
      <c r="O7662" t="s">
        <v>47425</v>
      </c>
      <c r="P7662">
        <v>0</v>
      </c>
      <c r="Q7662">
        <v>9</v>
      </c>
      <c r="R7662" t="s">
        <v>47431</v>
      </c>
      <c r="S7662" t="s">
        <v>47565</v>
      </c>
      <c r="T7662" t="s">
        <v>49125</v>
      </c>
      <c r="U7662" t="s">
        <v>56056</v>
      </c>
      <c r="W7662" t="s">
        <v>43941</v>
      </c>
      <c r="X7662" t="s">
        <v>47432</v>
      </c>
    </row>
    <row r="7663" spans="1:24">
      <c r="A7663">
        <f>HYPERLINK("https://www.philgeps.gov.ph/GEPSNONPILOT/Tender/SplashBidNoticeAbstractUI.aspx?menuIndex=3&amp;refID=7158294&amp;Result=3","7158294")</f>
        <v>0</v>
      </c>
      <c r="B7663" t="s">
        <v>67</v>
      </c>
      <c r="C7663" t="s">
        <v>11111</v>
      </c>
      <c r="D7663" t="s">
        <v>19099</v>
      </c>
      <c r="E7663" t="s">
        <v>25764</v>
      </c>
      <c r="F7663" t="s">
        <v>32831</v>
      </c>
      <c r="G7663" t="s">
        <v>32840</v>
      </c>
      <c r="H7663" t="s">
        <v>32850</v>
      </c>
      <c r="I7663" t="s">
        <v>32863</v>
      </c>
      <c r="J7663" t="s">
        <v>33220</v>
      </c>
      <c r="K7663" t="s">
        <v>42744</v>
      </c>
      <c r="M7663" t="s">
        <v>43749</v>
      </c>
      <c r="N7663" t="s">
        <v>47424</v>
      </c>
      <c r="O7663" t="s">
        <v>47425</v>
      </c>
      <c r="P7663">
        <v>0</v>
      </c>
      <c r="Q7663">
        <v>0</v>
      </c>
      <c r="R7663" t="s">
        <v>47431</v>
      </c>
      <c r="S7663" t="s">
        <v>47565</v>
      </c>
      <c r="T7663" t="s">
        <v>49206</v>
      </c>
      <c r="U7663" t="s">
        <v>51013</v>
      </c>
      <c r="W7663" t="s">
        <v>64446</v>
      </c>
      <c r="X7663" t="s">
        <v>47432</v>
      </c>
    </row>
    <row r="7664" spans="1:24">
      <c r="A7664">
        <f>HYPERLINK("https://www.philgeps.gov.ph/GEPSNONPILOT/Tender/SplashBidNoticeAbstractUI.aspx?menuIndex=3&amp;refID=7158303&amp;Result=3","7158303")</f>
        <v>0</v>
      </c>
      <c r="B7664" t="s">
        <v>903</v>
      </c>
      <c r="C7664" t="s">
        <v>11112</v>
      </c>
      <c r="D7664" t="s">
        <v>19056</v>
      </c>
      <c r="E7664" t="s">
        <v>25765</v>
      </c>
      <c r="F7664" t="s">
        <v>32831</v>
      </c>
      <c r="G7664" t="s">
        <v>32840</v>
      </c>
      <c r="H7664" t="s">
        <v>32848</v>
      </c>
      <c r="I7664" t="s">
        <v>10805</v>
      </c>
      <c r="J7664" t="s">
        <v>37766</v>
      </c>
      <c r="K7664" t="s">
        <v>42727</v>
      </c>
      <c r="M7664" t="s">
        <v>43941</v>
      </c>
      <c r="N7664" t="s">
        <v>47424</v>
      </c>
      <c r="O7664" t="s">
        <v>47425</v>
      </c>
      <c r="P7664">
        <v>0</v>
      </c>
      <c r="Q7664">
        <v>12</v>
      </c>
      <c r="R7664" t="s">
        <v>47431</v>
      </c>
      <c r="S7664" t="s">
        <v>47565</v>
      </c>
      <c r="T7664" t="s">
        <v>49125</v>
      </c>
      <c r="U7664" t="s">
        <v>56056</v>
      </c>
      <c r="W7664" t="s">
        <v>43941</v>
      </c>
      <c r="X7664" t="s">
        <v>47432</v>
      </c>
    </row>
    <row r="7665" spans="1:24">
      <c r="A7665">
        <f>HYPERLINK("https://www.philgeps.gov.ph/GEPSNONPILOT/Tender/SplashBidNoticeAbstractUI.aspx?menuIndex=3&amp;refID=7158317&amp;Result=3","7158317")</f>
        <v>0</v>
      </c>
      <c r="B7665" t="s">
        <v>2216</v>
      </c>
      <c r="C7665" t="s">
        <v>11113</v>
      </c>
      <c r="D7665" t="s">
        <v>19047</v>
      </c>
      <c r="E7665" t="s">
        <v>25750</v>
      </c>
      <c r="F7665" t="s">
        <v>32831</v>
      </c>
      <c r="G7665" t="s">
        <v>32839</v>
      </c>
      <c r="H7665" t="s">
        <v>32848</v>
      </c>
      <c r="I7665" t="s">
        <v>32900</v>
      </c>
      <c r="J7665" t="s">
        <v>33857</v>
      </c>
      <c r="K7665" t="s">
        <v>42729</v>
      </c>
      <c r="M7665" t="s">
        <v>45396</v>
      </c>
      <c r="N7665" t="s">
        <v>47424</v>
      </c>
      <c r="O7665" t="s">
        <v>47425</v>
      </c>
      <c r="P7665">
        <v>0</v>
      </c>
      <c r="Q7665">
        <v>0</v>
      </c>
      <c r="R7665" t="s">
        <v>47431</v>
      </c>
      <c r="S7665" t="s">
        <v>47565</v>
      </c>
      <c r="T7665" t="s">
        <v>49066</v>
      </c>
      <c r="U7665" t="s">
        <v>56044</v>
      </c>
      <c r="W7665" t="s">
        <v>45396</v>
      </c>
      <c r="X7665" t="s">
        <v>47432</v>
      </c>
    </row>
    <row r="7666" spans="1:24">
      <c r="A7666">
        <f>HYPERLINK("https://www.philgeps.gov.ph/GEPSNONPILOT/Tender/SplashBidNoticeAbstractUI.aspx?menuIndex=3&amp;refID=7158375&amp;Result=3","7158375")</f>
        <v>0</v>
      </c>
      <c r="B7666" t="s">
        <v>2216</v>
      </c>
      <c r="C7666" t="s">
        <v>11114</v>
      </c>
      <c r="D7666" t="s">
        <v>19047</v>
      </c>
      <c r="E7666" t="s">
        <v>25766</v>
      </c>
      <c r="F7666" t="s">
        <v>32831</v>
      </c>
      <c r="G7666" t="s">
        <v>32839</v>
      </c>
      <c r="H7666" t="s">
        <v>32848</v>
      </c>
      <c r="I7666" t="s">
        <v>8577</v>
      </c>
      <c r="J7666" t="s">
        <v>33044</v>
      </c>
      <c r="K7666" t="s">
        <v>42730</v>
      </c>
      <c r="M7666" t="s">
        <v>45396</v>
      </c>
      <c r="N7666" t="s">
        <v>47424</v>
      </c>
      <c r="O7666" t="s">
        <v>47425</v>
      </c>
      <c r="P7666">
        <v>0</v>
      </c>
      <c r="Q7666">
        <v>4</v>
      </c>
      <c r="R7666" t="s">
        <v>47431</v>
      </c>
      <c r="S7666" t="s">
        <v>47565</v>
      </c>
      <c r="T7666" t="s">
        <v>49066</v>
      </c>
      <c r="U7666" t="s">
        <v>56057</v>
      </c>
      <c r="W7666" t="s">
        <v>45396</v>
      </c>
      <c r="X7666" t="s">
        <v>47432</v>
      </c>
    </row>
    <row r="7667" spans="1:24">
      <c r="A7667">
        <f>HYPERLINK("https://www.philgeps.gov.ph/GEPSNONPILOT/Tender/SplashBidNoticeAbstractUI.aspx?menuIndex=3&amp;refID=7158297&amp;Result=3","7158297")</f>
        <v>0</v>
      </c>
      <c r="B7667" t="s">
        <v>67</v>
      </c>
      <c r="C7667" t="s">
        <v>11115</v>
      </c>
      <c r="D7667" t="s">
        <v>19099</v>
      </c>
      <c r="E7667" t="s">
        <v>25767</v>
      </c>
      <c r="F7667" t="s">
        <v>32831</v>
      </c>
      <c r="G7667" t="s">
        <v>32840</v>
      </c>
      <c r="H7667" t="s">
        <v>32850</v>
      </c>
      <c r="I7667" t="s">
        <v>32899</v>
      </c>
      <c r="J7667" t="s">
        <v>37767</v>
      </c>
      <c r="K7667" t="s">
        <v>42727</v>
      </c>
      <c r="M7667" t="s">
        <v>43749</v>
      </c>
      <c r="N7667" t="s">
        <v>47424</v>
      </c>
      <c r="O7667" t="s">
        <v>47425</v>
      </c>
      <c r="P7667">
        <v>0</v>
      </c>
      <c r="Q7667">
        <v>1</v>
      </c>
      <c r="R7667" t="s">
        <v>47431</v>
      </c>
      <c r="S7667" t="s">
        <v>47565</v>
      </c>
      <c r="T7667" t="s">
        <v>49206</v>
      </c>
      <c r="U7667" t="s">
        <v>51013</v>
      </c>
      <c r="W7667" t="s">
        <v>64446</v>
      </c>
      <c r="X7667" t="s">
        <v>47432</v>
      </c>
    </row>
    <row r="7668" spans="1:24">
      <c r="A7668">
        <f>HYPERLINK("https://www.philgeps.gov.ph/GEPSNONPILOT/Tender/SplashBidNoticeAbstractUI.aspx?menuIndex=3&amp;refID=7158372&amp;Result=3","7158372")</f>
        <v>0</v>
      </c>
      <c r="B7668" t="s">
        <v>2588</v>
      </c>
      <c r="C7668" t="s">
        <v>11116</v>
      </c>
      <c r="D7668" t="s">
        <v>19017</v>
      </c>
      <c r="E7668" t="s">
        <v>24647</v>
      </c>
      <c r="F7668" t="s">
        <v>32831</v>
      </c>
      <c r="G7668" t="s">
        <v>32838</v>
      </c>
      <c r="H7668" t="s">
        <v>32850</v>
      </c>
      <c r="I7668" t="s">
        <v>32864</v>
      </c>
      <c r="J7668" t="s">
        <v>37768</v>
      </c>
      <c r="K7668" t="s">
        <v>42748</v>
      </c>
      <c r="M7668" t="s">
        <v>45807</v>
      </c>
      <c r="N7668" t="s">
        <v>47424</v>
      </c>
      <c r="O7668" t="s">
        <v>47425</v>
      </c>
      <c r="P7668">
        <v>0</v>
      </c>
      <c r="Q7668">
        <v>7</v>
      </c>
      <c r="R7668" t="s">
        <v>47431</v>
      </c>
      <c r="S7668" t="s">
        <v>47565</v>
      </c>
      <c r="T7668" t="s">
        <v>49332</v>
      </c>
      <c r="U7668" t="s">
        <v>56058</v>
      </c>
      <c r="V7668" t="s">
        <v>63473</v>
      </c>
      <c r="W7668" t="s">
        <v>45807</v>
      </c>
      <c r="X7668" t="s">
        <v>47432</v>
      </c>
    </row>
    <row r="7669" spans="1:24">
      <c r="A7669">
        <f>HYPERLINK("https://www.philgeps.gov.ph/GEPSNONPILOT/Tender/SplashBidNoticeAbstractUI.aspx?menuIndex=3&amp;refID=7158367&amp;Result=3","7158367")</f>
        <v>0</v>
      </c>
      <c r="B7669" t="s">
        <v>1398</v>
      </c>
      <c r="C7669" t="s">
        <v>11117</v>
      </c>
      <c r="E7669" t="s">
        <v>25768</v>
      </c>
      <c r="F7669" t="s">
        <v>32831</v>
      </c>
      <c r="G7669" t="s">
        <v>32839</v>
      </c>
      <c r="H7669" t="s">
        <v>32848</v>
      </c>
      <c r="I7669" t="s">
        <v>9577</v>
      </c>
      <c r="J7669" t="s">
        <v>37769</v>
      </c>
      <c r="K7669" t="s">
        <v>42732</v>
      </c>
      <c r="M7669" t="s">
        <v>44483</v>
      </c>
      <c r="N7669" t="s">
        <v>47424</v>
      </c>
      <c r="O7669" t="s">
        <v>47425</v>
      </c>
      <c r="P7669">
        <v>0</v>
      </c>
      <c r="Q7669">
        <v>6</v>
      </c>
      <c r="R7669" t="s">
        <v>47431</v>
      </c>
      <c r="S7669" t="s">
        <v>47565</v>
      </c>
      <c r="T7669" t="s">
        <v>49319</v>
      </c>
      <c r="U7669" t="s">
        <v>56059</v>
      </c>
      <c r="W7669" t="s">
        <v>44483</v>
      </c>
      <c r="X7669" t="s">
        <v>47432</v>
      </c>
    </row>
    <row r="7670" spans="1:24">
      <c r="A7670">
        <f>HYPERLINK("https://www.philgeps.gov.ph/GEPSNONPILOT/Tender/SplashBidNoticeAbstractUI.aspx?menuIndex=3&amp;refID=7158362&amp;Result=3","7158362")</f>
        <v>0</v>
      </c>
      <c r="B7670" t="s">
        <v>1398</v>
      </c>
      <c r="C7670" t="s">
        <v>11118</v>
      </c>
      <c r="E7670" t="s">
        <v>25769</v>
      </c>
      <c r="F7670" t="s">
        <v>32831</v>
      </c>
      <c r="G7670" t="s">
        <v>32839</v>
      </c>
      <c r="H7670" t="s">
        <v>32848</v>
      </c>
      <c r="I7670" t="s">
        <v>9577</v>
      </c>
      <c r="J7670" t="s">
        <v>37770</v>
      </c>
      <c r="K7670" t="s">
        <v>42732</v>
      </c>
      <c r="M7670" t="s">
        <v>44483</v>
      </c>
      <c r="N7670" t="s">
        <v>47424</v>
      </c>
      <c r="O7670" t="s">
        <v>47425</v>
      </c>
      <c r="P7670">
        <v>0</v>
      </c>
      <c r="Q7670">
        <v>4</v>
      </c>
      <c r="R7670" t="s">
        <v>47431</v>
      </c>
      <c r="S7670" t="s">
        <v>47565</v>
      </c>
      <c r="T7670" t="s">
        <v>49319</v>
      </c>
      <c r="U7670" t="s">
        <v>56060</v>
      </c>
      <c r="W7670" t="s">
        <v>44483</v>
      </c>
      <c r="X7670" t="s">
        <v>47432</v>
      </c>
    </row>
    <row r="7671" spans="1:24">
      <c r="A7671">
        <f>HYPERLINK("https://www.philgeps.gov.ph/GEPSNONPILOT/Tender/SplashBidNoticeAbstractUI.aspx?menuIndex=3&amp;refID=7158366&amp;Result=3","7158366")</f>
        <v>0</v>
      </c>
      <c r="B7671" t="s">
        <v>2589</v>
      </c>
      <c r="C7671" t="s">
        <v>11119</v>
      </c>
      <c r="D7671" t="s">
        <v>19025</v>
      </c>
      <c r="E7671" t="s">
        <v>25770</v>
      </c>
      <c r="F7671" t="s">
        <v>32831</v>
      </c>
      <c r="G7671" t="s">
        <v>32845</v>
      </c>
      <c r="H7671" t="s">
        <v>32849</v>
      </c>
      <c r="I7671" t="s">
        <v>4177</v>
      </c>
      <c r="J7671" t="s">
        <v>37771</v>
      </c>
      <c r="K7671" t="s">
        <v>42728</v>
      </c>
      <c r="M7671" t="s">
        <v>45808</v>
      </c>
      <c r="N7671" t="s">
        <v>47424</v>
      </c>
      <c r="O7671" t="s">
        <v>47425</v>
      </c>
      <c r="P7671">
        <v>0</v>
      </c>
      <c r="Q7671">
        <v>1</v>
      </c>
      <c r="R7671" t="s">
        <v>47431</v>
      </c>
      <c r="S7671" t="s">
        <v>47565</v>
      </c>
      <c r="T7671" t="s">
        <v>49236</v>
      </c>
      <c r="U7671" t="s">
        <v>56061</v>
      </c>
      <c r="W7671" t="s">
        <v>45808</v>
      </c>
      <c r="X7671" t="s">
        <v>47432</v>
      </c>
    </row>
    <row r="7672" spans="1:24">
      <c r="A7672">
        <f>HYPERLINK("https://www.philgeps.gov.ph/GEPSNONPILOT/Tender/SplashBidNoticeAbstractUI.aspx?menuIndex=3&amp;refID=7158378&amp;Result=3","7158378")</f>
        <v>0</v>
      </c>
      <c r="B7672" t="s">
        <v>2090</v>
      </c>
      <c r="C7672" t="s">
        <v>11120</v>
      </c>
      <c r="D7672" t="s">
        <v>19045</v>
      </c>
      <c r="E7672" t="s">
        <v>25771</v>
      </c>
      <c r="F7672" t="s">
        <v>32833</v>
      </c>
      <c r="G7672" t="s">
        <v>32839</v>
      </c>
      <c r="H7672" t="s">
        <v>32848</v>
      </c>
      <c r="I7672" t="s">
        <v>7416</v>
      </c>
      <c r="J7672" t="s">
        <v>37772</v>
      </c>
      <c r="K7672" t="s">
        <v>42731</v>
      </c>
      <c r="M7672" t="s">
        <v>45262</v>
      </c>
      <c r="N7672" t="s">
        <v>47424</v>
      </c>
      <c r="O7672" t="s">
        <v>47425</v>
      </c>
      <c r="P7672">
        <v>0</v>
      </c>
      <c r="Q7672">
        <v>0</v>
      </c>
      <c r="R7672" t="s">
        <v>47431</v>
      </c>
      <c r="S7672" t="s">
        <v>47565</v>
      </c>
      <c r="T7672" t="s">
        <v>49106</v>
      </c>
      <c r="U7672" t="s">
        <v>56062</v>
      </c>
      <c r="V7672" t="s">
        <v>63474</v>
      </c>
      <c r="W7672" t="s">
        <v>45262</v>
      </c>
      <c r="X7672" t="s">
        <v>47432</v>
      </c>
    </row>
    <row r="7673" spans="1:24">
      <c r="A7673">
        <f>HYPERLINK("https://www.philgeps.gov.ph/GEPSNONPILOT/Tender/SplashBidNoticeAbstractUI.aspx?menuIndex=3&amp;refID=7158364&amp;Result=3","7158364")</f>
        <v>0</v>
      </c>
      <c r="B7673" t="s">
        <v>1100</v>
      </c>
      <c r="C7673" t="s">
        <v>11121</v>
      </c>
      <c r="D7673" t="s">
        <v>19062</v>
      </c>
      <c r="E7673" t="s">
        <v>25772</v>
      </c>
      <c r="F7673" t="s">
        <v>32831</v>
      </c>
      <c r="G7673" t="s">
        <v>32839</v>
      </c>
      <c r="H7673" t="s">
        <v>32848</v>
      </c>
      <c r="I7673" t="s">
        <v>7416</v>
      </c>
      <c r="J7673" t="s">
        <v>37773</v>
      </c>
      <c r="K7673" t="s">
        <v>42742</v>
      </c>
      <c r="M7673" t="s">
        <v>44160</v>
      </c>
      <c r="N7673" t="s">
        <v>47424</v>
      </c>
      <c r="O7673" t="s">
        <v>47425</v>
      </c>
      <c r="P7673">
        <v>0</v>
      </c>
      <c r="Q7673">
        <v>0</v>
      </c>
      <c r="R7673" t="s">
        <v>47431</v>
      </c>
      <c r="S7673" t="s">
        <v>47565</v>
      </c>
      <c r="T7673" t="s">
        <v>49468</v>
      </c>
      <c r="U7673" t="s">
        <v>56063</v>
      </c>
      <c r="V7673" t="s">
        <v>63219</v>
      </c>
      <c r="W7673" t="s">
        <v>44160</v>
      </c>
      <c r="X7673" t="s">
        <v>47432</v>
      </c>
    </row>
    <row r="7674" spans="1:24">
      <c r="A7674">
        <f>HYPERLINK("https://www.philgeps.gov.ph/GEPSNONPILOT/Tender/SplashBidNoticeAbstractUI.aspx?menuIndex=3&amp;refID=7158370&amp;Result=3","7158370")</f>
        <v>0</v>
      </c>
      <c r="B7674" t="s">
        <v>2590</v>
      </c>
      <c r="C7674" t="s">
        <v>11122</v>
      </c>
      <c r="D7674" t="s">
        <v>19047</v>
      </c>
      <c r="E7674" t="s">
        <v>25773</v>
      </c>
      <c r="F7674" t="s">
        <v>32831</v>
      </c>
      <c r="G7674" t="s">
        <v>32838</v>
      </c>
      <c r="H7674" t="s">
        <v>32848</v>
      </c>
      <c r="I7674" t="s">
        <v>32858</v>
      </c>
      <c r="J7674" t="s">
        <v>33640</v>
      </c>
      <c r="K7674" t="s">
        <v>42759</v>
      </c>
      <c r="M7674" t="s">
        <v>45809</v>
      </c>
      <c r="N7674" t="s">
        <v>47424</v>
      </c>
      <c r="O7674" t="s">
        <v>47425</v>
      </c>
      <c r="P7674">
        <v>0</v>
      </c>
      <c r="Q7674">
        <v>0</v>
      </c>
      <c r="R7674" t="s">
        <v>47431</v>
      </c>
      <c r="S7674" t="s">
        <v>47565</v>
      </c>
      <c r="T7674" t="s">
        <v>49485</v>
      </c>
      <c r="U7674" t="s">
        <v>56064</v>
      </c>
      <c r="W7674" t="s">
        <v>45809</v>
      </c>
      <c r="X7674" t="s">
        <v>47432</v>
      </c>
    </row>
    <row r="7675" spans="1:24">
      <c r="A7675">
        <f>HYPERLINK("https://www.philgeps.gov.ph/GEPSNONPILOT/Tender/SplashBidNoticeAbstractUI.aspx?menuIndex=3&amp;refID=7158354&amp;Result=3","7158354")</f>
        <v>0</v>
      </c>
      <c r="B7675" t="s">
        <v>903</v>
      </c>
      <c r="C7675" t="s">
        <v>11123</v>
      </c>
      <c r="E7675" t="s">
        <v>25761</v>
      </c>
      <c r="F7675" t="s">
        <v>32831</v>
      </c>
      <c r="G7675" t="s">
        <v>32838</v>
      </c>
      <c r="H7675" t="s">
        <v>32848</v>
      </c>
      <c r="I7675" t="s">
        <v>4438</v>
      </c>
      <c r="J7675" t="s">
        <v>33640</v>
      </c>
      <c r="K7675" t="s">
        <v>42732</v>
      </c>
      <c r="M7675" t="s">
        <v>43941</v>
      </c>
      <c r="N7675" t="s">
        <v>47424</v>
      </c>
      <c r="O7675" t="s">
        <v>47425</v>
      </c>
      <c r="P7675">
        <v>0</v>
      </c>
      <c r="Q7675">
        <v>1</v>
      </c>
      <c r="R7675" t="s">
        <v>47431</v>
      </c>
      <c r="S7675" t="s">
        <v>47565</v>
      </c>
      <c r="T7675" t="s">
        <v>49079</v>
      </c>
      <c r="U7675" t="s">
        <v>56065</v>
      </c>
      <c r="W7675" t="s">
        <v>43941</v>
      </c>
      <c r="X7675" t="s">
        <v>47432</v>
      </c>
    </row>
    <row r="7676" spans="1:24">
      <c r="A7676">
        <f>HYPERLINK("https://www.philgeps.gov.ph/GEPSNONPILOT/Tender/SplashBidNoticeAbstractUI.aspx?menuIndex=3&amp;refID=7158369&amp;Result=3","7158369")</f>
        <v>0</v>
      </c>
      <c r="B7676" t="s">
        <v>2591</v>
      </c>
      <c r="C7676" t="s">
        <v>11124</v>
      </c>
      <c r="D7676" t="s">
        <v>19018</v>
      </c>
      <c r="E7676" t="s">
        <v>25774</v>
      </c>
      <c r="F7676" t="s">
        <v>32833</v>
      </c>
      <c r="G7676" t="s">
        <v>32838</v>
      </c>
      <c r="H7676" t="s">
        <v>32848</v>
      </c>
      <c r="I7676" t="s">
        <v>32886</v>
      </c>
      <c r="J7676" t="s">
        <v>34548</v>
      </c>
      <c r="K7676" t="s">
        <v>42732</v>
      </c>
      <c r="M7676" t="s">
        <v>45810</v>
      </c>
      <c r="N7676" t="s">
        <v>47424</v>
      </c>
      <c r="O7676" t="s">
        <v>47425</v>
      </c>
      <c r="P7676">
        <v>0</v>
      </c>
      <c r="Q7676">
        <v>7</v>
      </c>
      <c r="R7676" t="s">
        <v>47431</v>
      </c>
      <c r="S7676" t="s">
        <v>47565</v>
      </c>
      <c r="T7676" t="s">
        <v>49150</v>
      </c>
      <c r="U7676" t="s">
        <v>56066</v>
      </c>
      <c r="W7676" t="s">
        <v>45810</v>
      </c>
      <c r="X7676" t="s">
        <v>47432</v>
      </c>
    </row>
    <row r="7677" spans="1:24">
      <c r="A7677">
        <f>HYPERLINK("https://www.philgeps.gov.ph/GEPSNONPILOT/Tender/SplashBidNoticeAbstractUI.aspx?menuIndex=3&amp;refID=7158341&amp;Result=3","7158341")</f>
        <v>0</v>
      </c>
      <c r="B7677" t="s">
        <v>2592</v>
      </c>
      <c r="C7677" t="s">
        <v>11125</v>
      </c>
      <c r="D7677" t="s">
        <v>19065</v>
      </c>
      <c r="E7677" t="s">
        <v>25775</v>
      </c>
      <c r="F7677" t="s">
        <v>32831</v>
      </c>
      <c r="G7677" t="s">
        <v>32839</v>
      </c>
      <c r="H7677" t="s">
        <v>32849</v>
      </c>
      <c r="I7677" t="s">
        <v>4177</v>
      </c>
      <c r="J7677" t="s">
        <v>37774</v>
      </c>
      <c r="K7677" t="s">
        <v>42757</v>
      </c>
      <c r="M7677" t="s">
        <v>45811</v>
      </c>
      <c r="N7677" t="s">
        <v>47424</v>
      </c>
      <c r="O7677" t="s">
        <v>47425</v>
      </c>
      <c r="P7677">
        <v>0</v>
      </c>
      <c r="Q7677">
        <v>2</v>
      </c>
      <c r="R7677" t="s">
        <v>47431</v>
      </c>
      <c r="S7677" t="s">
        <v>47565</v>
      </c>
      <c r="T7677" t="s">
        <v>49236</v>
      </c>
      <c r="U7677" t="s">
        <v>56067</v>
      </c>
      <c r="V7677" t="s">
        <v>63475</v>
      </c>
      <c r="W7677" t="s">
        <v>64517</v>
      </c>
      <c r="X7677" t="s">
        <v>47432</v>
      </c>
    </row>
    <row r="7678" spans="1:24">
      <c r="A7678">
        <f>HYPERLINK("https://www.philgeps.gov.ph/GEPSNONPILOT/Tender/SplashBidNoticeAbstractUI.aspx?menuIndex=3&amp;refID=7158340&amp;Result=3","7158340")</f>
        <v>0</v>
      </c>
      <c r="B7678" t="s">
        <v>2593</v>
      </c>
      <c r="C7678" t="s">
        <v>11126</v>
      </c>
      <c r="D7678" t="s">
        <v>19043</v>
      </c>
      <c r="E7678" t="s">
        <v>25776</v>
      </c>
      <c r="F7678" t="s">
        <v>32831</v>
      </c>
      <c r="G7678" t="s">
        <v>32839</v>
      </c>
      <c r="H7678" t="s">
        <v>32848</v>
      </c>
      <c r="I7678" t="s">
        <v>32864</v>
      </c>
      <c r="J7678" t="s">
        <v>37775</v>
      </c>
      <c r="K7678" t="s">
        <v>42727</v>
      </c>
      <c r="M7678" t="s">
        <v>45812</v>
      </c>
      <c r="N7678" t="s">
        <v>47424</v>
      </c>
      <c r="O7678" t="s">
        <v>47425</v>
      </c>
      <c r="P7678">
        <v>0</v>
      </c>
      <c r="Q7678">
        <v>7</v>
      </c>
      <c r="R7678" t="s">
        <v>47431</v>
      </c>
      <c r="S7678" t="s">
        <v>47565</v>
      </c>
      <c r="T7678" t="s">
        <v>49077</v>
      </c>
      <c r="U7678" t="s">
        <v>56068</v>
      </c>
      <c r="W7678" t="s">
        <v>45812</v>
      </c>
      <c r="X7678" t="s">
        <v>47432</v>
      </c>
    </row>
    <row r="7679" spans="1:24">
      <c r="A7679">
        <f>HYPERLINK("https://www.philgeps.gov.ph/GEPSNONPILOT/Tender/SplashBidNoticeAbstractUI.aspx?menuIndex=3&amp;refID=7158304&amp;Result=3","7158304")</f>
        <v>0</v>
      </c>
      <c r="B7679" t="s">
        <v>2584</v>
      </c>
      <c r="C7679" t="s">
        <v>11127</v>
      </c>
      <c r="D7679" t="s">
        <v>19062</v>
      </c>
      <c r="E7679" t="s">
        <v>24896</v>
      </c>
      <c r="F7679" t="s">
        <v>32831</v>
      </c>
      <c r="G7679" t="s">
        <v>32838</v>
      </c>
      <c r="H7679" t="s">
        <v>32848</v>
      </c>
      <c r="I7679" t="s">
        <v>9577</v>
      </c>
      <c r="J7679" t="s">
        <v>37776</v>
      </c>
      <c r="K7679" t="s">
        <v>42759</v>
      </c>
      <c r="M7679" t="s">
        <v>45802</v>
      </c>
      <c r="N7679" t="s">
        <v>47424</v>
      </c>
      <c r="O7679" t="s">
        <v>47425</v>
      </c>
      <c r="P7679">
        <v>0</v>
      </c>
      <c r="Q7679">
        <v>0</v>
      </c>
      <c r="R7679" t="s">
        <v>47431</v>
      </c>
      <c r="S7679" t="s">
        <v>47565</v>
      </c>
      <c r="T7679" t="s">
        <v>49212</v>
      </c>
      <c r="U7679" t="s">
        <v>56069</v>
      </c>
      <c r="W7679" t="s">
        <v>45802</v>
      </c>
      <c r="X7679" t="s">
        <v>47432</v>
      </c>
    </row>
    <row r="7680" spans="1:24">
      <c r="A7680">
        <f>HYPERLINK("https://www.philgeps.gov.ph/GEPSNONPILOT/Tender/SplashBidNoticeAbstractUI.aspx?menuIndex=3&amp;refID=7158355&amp;Result=3","7158355")</f>
        <v>0</v>
      </c>
      <c r="B7680" t="s">
        <v>2220</v>
      </c>
      <c r="C7680" t="s">
        <v>11128</v>
      </c>
      <c r="D7680" t="s">
        <v>19062</v>
      </c>
      <c r="E7680" t="s">
        <v>25777</v>
      </c>
      <c r="F7680" t="s">
        <v>32831</v>
      </c>
      <c r="G7680" t="s">
        <v>32839</v>
      </c>
      <c r="H7680" t="s">
        <v>14069</v>
      </c>
      <c r="I7680" t="s">
        <v>14069</v>
      </c>
      <c r="J7680" t="s">
        <v>37777</v>
      </c>
      <c r="K7680" t="s">
        <v>42731</v>
      </c>
      <c r="M7680" t="s">
        <v>45804</v>
      </c>
      <c r="N7680" t="s">
        <v>47424</v>
      </c>
      <c r="O7680" t="s">
        <v>47425</v>
      </c>
      <c r="P7680">
        <v>0</v>
      </c>
      <c r="Q7680">
        <v>5</v>
      </c>
      <c r="R7680" t="s">
        <v>47431</v>
      </c>
      <c r="S7680" t="s">
        <v>47565</v>
      </c>
      <c r="T7680" t="s">
        <v>49132</v>
      </c>
      <c r="U7680" t="s">
        <v>56070</v>
      </c>
      <c r="W7680" t="s">
        <v>45804</v>
      </c>
      <c r="X7680" t="s">
        <v>47432</v>
      </c>
    </row>
    <row r="7681" spans="1:24">
      <c r="A7681">
        <f>HYPERLINK("https://www.philgeps.gov.ph/GEPSNONPILOT/Tender/SplashBidNoticeAbstractUI.aspx?menuIndex=3&amp;refID=7158421&amp;Result=3","7158421")</f>
        <v>0</v>
      </c>
      <c r="B7681" t="s">
        <v>2470</v>
      </c>
      <c r="C7681" t="s">
        <v>11129</v>
      </c>
      <c r="D7681" t="s">
        <v>19074</v>
      </c>
      <c r="E7681" t="s">
        <v>25778</v>
      </c>
      <c r="F7681" t="s">
        <v>32831</v>
      </c>
      <c r="G7681" t="s">
        <v>32839</v>
      </c>
      <c r="H7681" t="s">
        <v>32848</v>
      </c>
      <c r="I7681" t="s">
        <v>32854</v>
      </c>
      <c r="J7681" t="s">
        <v>37778</v>
      </c>
      <c r="K7681" t="s">
        <v>42747</v>
      </c>
      <c r="M7681" t="s">
        <v>45669</v>
      </c>
      <c r="N7681" t="s">
        <v>47424</v>
      </c>
      <c r="O7681" t="s">
        <v>47425</v>
      </c>
      <c r="P7681">
        <v>0</v>
      </c>
      <c r="Q7681">
        <v>4</v>
      </c>
      <c r="R7681" t="s">
        <v>47431</v>
      </c>
      <c r="S7681" t="s">
        <v>47565</v>
      </c>
      <c r="T7681" t="s">
        <v>49283</v>
      </c>
      <c r="U7681" t="s">
        <v>56071</v>
      </c>
      <c r="W7681" t="s">
        <v>45669</v>
      </c>
      <c r="X7681" t="s">
        <v>47432</v>
      </c>
    </row>
    <row r="7682" spans="1:24">
      <c r="A7682">
        <f>HYPERLINK("https://www.philgeps.gov.ph/GEPSNONPILOT/Tender/SplashBidNoticeAbstractUI.aspx?menuIndex=3&amp;refID=7158419&amp;Result=3","7158419")</f>
        <v>0</v>
      </c>
      <c r="B7682" t="s">
        <v>2594</v>
      </c>
      <c r="C7682" t="s">
        <v>11130</v>
      </c>
      <c r="D7682" t="s">
        <v>19062</v>
      </c>
      <c r="E7682" t="s">
        <v>25779</v>
      </c>
      <c r="F7682" t="s">
        <v>32831</v>
      </c>
      <c r="G7682" t="s">
        <v>32838</v>
      </c>
      <c r="H7682" t="s">
        <v>32848</v>
      </c>
      <c r="I7682" t="s">
        <v>4438</v>
      </c>
      <c r="J7682" t="s">
        <v>37779</v>
      </c>
      <c r="K7682" t="s">
        <v>42730</v>
      </c>
      <c r="M7682" t="s">
        <v>45813</v>
      </c>
      <c r="N7682" t="s">
        <v>47424</v>
      </c>
      <c r="O7682" t="s">
        <v>47425</v>
      </c>
      <c r="P7682">
        <v>0</v>
      </c>
      <c r="Q7682">
        <v>1</v>
      </c>
      <c r="R7682" t="s">
        <v>47431</v>
      </c>
      <c r="S7682" t="s">
        <v>47565</v>
      </c>
      <c r="T7682" t="s">
        <v>49237</v>
      </c>
      <c r="U7682" t="s">
        <v>56072</v>
      </c>
      <c r="W7682" t="s">
        <v>45813</v>
      </c>
      <c r="X7682" t="s">
        <v>47432</v>
      </c>
    </row>
    <row r="7683" spans="1:24">
      <c r="A7683">
        <f>HYPERLINK("https://www.philgeps.gov.ph/GEPSNONPILOT/Tender/SplashBidNoticeAbstractUI.aspx?menuIndex=3&amp;refID=7158347&amp;Result=3","7158347")</f>
        <v>0</v>
      </c>
      <c r="B7683" t="s">
        <v>2592</v>
      </c>
      <c r="C7683" t="s">
        <v>11131</v>
      </c>
      <c r="D7683" t="s">
        <v>19065</v>
      </c>
      <c r="E7683" t="s">
        <v>25780</v>
      </c>
      <c r="F7683" t="s">
        <v>32831</v>
      </c>
      <c r="G7683" t="s">
        <v>32839</v>
      </c>
      <c r="H7683" t="s">
        <v>32849</v>
      </c>
      <c r="I7683" t="s">
        <v>4177</v>
      </c>
      <c r="J7683" t="s">
        <v>37780</v>
      </c>
      <c r="K7683" t="s">
        <v>42826</v>
      </c>
      <c r="M7683" t="s">
        <v>45811</v>
      </c>
      <c r="N7683" t="s">
        <v>47424</v>
      </c>
      <c r="O7683" t="s">
        <v>47425</v>
      </c>
      <c r="P7683">
        <v>0</v>
      </c>
      <c r="Q7683">
        <v>2</v>
      </c>
      <c r="R7683" t="s">
        <v>47431</v>
      </c>
      <c r="S7683" t="s">
        <v>47565</v>
      </c>
      <c r="T7683" t="s">
        <v>49236</v>
      </c>
      <c r="U7683" t="s">
        <v>56073</v>
      </c>
      <c r="V7683" t="s">
        <v>63476</v>
      </c>
      <c r="W7683" t="s">
        <v>64517</v>
      </c>
      <c r="X7683" t="s">
        <v>47432</v>
      </c>
    </row>
    <row r="7684" spans="1:24">
      <c r="A7684">
        <f>HYPERLINK("https://www.philgeps.gov.ph/GEPSNONPILOT/Tender/SplashBidNoticeAbstractUI.aspx?menuIndex=3&amp;refID=7158412&amp;Result=3","7158412")</f>
        <v>0</v>
      </c>
      <c r="B7684" t="s">
        <v>410</v>
      </c>
      <c r="C7684" t="s">
        <v>11132</v>
      </c>
      <c r="D7684" t="s">
        <v>19031</v>
      </c>
      <c r="E7684" t="s">
        <v>25781</v>
      </c>
      <c r="F7684" t="s">
        <v>32831</v>
      </c>
      <c r="G7684" t="s">
        <v>32838</v>
      </c>
      <c r="H7684" t="s">
        <v>32848</v>
      </c>
      <c r="I7684" t="s">
        <v>7751</v>
      </c>
      <c r="J7684" t="s">
        <v>33025</v>
      </c>
      <c r="K7684" t="s">
        <v>42730</v>
      </c>
      <c r="M7684" t="s">
        <v>43415</v>
      </c>
      <c r="N7684" t="s">
        <v>47424</v>
      </c>
      <c r="O7684" t="s">
        <v>47425</v>
      </c>
      <c r="P7684">
        <v>0</v>
      </c>
      <c r="Q7684">
        <v>0</v>
      </c>
      <c r="R7684" t="s">
        <v>47431</v>
      </c>
      <c r="S7684" t="s">
        <v>47565</v>
      </c>
      <c r="T7684" t="s">
        <v>49059</v>
      </c>
      <c r="U7684" t="s">
        <v>56074</v>
      </c>
      <c r="V7684" t="s">
        <v>63477</v>
      </c>
      <c r="W7684" t="s">
        <v>43415</v>
      </c>
      <c r="X7684" t="s">
        <v>47432</v>
      </c>
    </row>
    <row r="7685" spans="1:24">
      <c r="A7685">
        <f>HYPERLINK("https://www.philgeps.gov.ph/GEPSNONPILOT/Tender/SplashBidNoticeAbstractUI.aspx?menuIndex=3&amp;refID=7158407&amp;Result=3","7158407")</f>
        <v>0</v>
      </c>
      <c r="B7685" t="s">
        <v>1067</v>
      </c>
      <c r="C7685" t="s">
        <v>11133</v>
      </c>
      <c r="D7685" t="s">
        <v>19017</v>
      </c>
      <c r="E7685" t="s">
        <v>21330</v>
      </c>
      <c r="F7685" t="s">
        <v>32831</v>
      </c>
      <c r="G7685" t="s">
        <v>32839</v>
      </c>
      <c r="H7685" t="s">
        <v>14069</v>
      </c>
      <c r="I7685" t="s">
        <v>14069</v>
      </c>
      <c r="J7685" t="s">
        <v>33111</v>
      </c>
      <c r="K7685" t="s">
        <v>42763</v>
      </c>
      <c r="M7685" t="s">
        <v>44124</v>
      </c>
      <c r="N7685" t="s">
        <v>47424</v>
      </c>
      <c r="O7685" t="s">
        <v>47425</v>
      </c>
      <c r="P7685">
        <v>0</v>
      </c>
      <c r="Q7685">
        <v>3</v>
      </c>
      <c r="R7685" t="s">
        <v>47431</v>
      </c>
      <c r="S7685" t="s">
        <v>47565</v>
      </c>
      <c r="T7685" t="s">
        <v>49486</v>
      </c>
      <c r="U7685" t="s">
        <v>56075</v>
      </c>
      <c r="V7685" t="s">
        <v>63478</v>
      </c>
      <c r="W7685" t="s">
        <v>44124</v>
      </c>
      <c r="X7685" t="s">
        <v>47432</v>
      </c>
    </row>
    <row r="7686" spans="1:24">
      <c r="A7686">
        <f>HYPERLINK("https://www.philgeps.gov.ph/GEPSNONPILOT/Tender/SplashBidNoticeAbstractUI.aspx?menuIndex=3&amp;refID=7158410&amp;Result=3","7158410")</f>
        <v>0</v>
      </c>
      <c r="B7686" t="s">
        <v>64</v>
      </c>
      <c r="C7686" t="s">
        <v>11134</v>
      </c>
      <c r="D7686" t="s">
        <v>19044</v>
      </c>
      <c r="E7686" t="s">
        <v>23632</v>
      </c>
      <c r="F7686" t="s">
        <v>32831</v>
      </c>
      <c r="G7686" t="s">
        <v>32839</v>
      </c>
      <c r="H7686" t="s">
        <v>32848</v>
      </c>
      <c r="I7686" t="s">
        <v>4438</v>
      </c>
      <c r="J7686" t="s">
        <v>33108</v>
      </c>
      <c r="K7686" t="s">
        <v>42729</v>
      </c>
      <c r="M7686" t="s">
        <v>43061</v>
      </c>
      <c r="N7686" t="s">
        <v>47424</v>
      </c>
      <c r="O7686" t="s">
        <v>47425</v>
      </c>
      <c r="P7686">
        <v>0</v>
      </c>
      <c r="Q7686">
        <v>6</v>
      </c>
      <c r="R7686" t="s">
        <v>47431</v>
      </c>
      <c r="S7686" t="s">
        <v>47565</v>
      </c>
      <c r="T7686" t="s">
        <v>49363</v>
      </c>
      <c r="U7686" t="s">
        <v>56076</v>
      </c>
      <c r="W7686" t="s">
        <v>43061</v>
      </c>
      <c r="X7686" t="s">
        <v>47432</v>
      </c>
    </row>
    <row r="7687" spans="1:24">
      <c r="A7687">
        <f>HYPERLINK("https://www.philgeps.gov.ph/GEPSNONPILOT/Tender/SplashBidNoticeAbstractUI.aspx?menuIndex=3&amp;refID=7158301&amp;Result=3","7158301")</f>
        <v>0</v>
      </c>
      <c r="B7687" t="s">
        <v>67</v>
      </c>
      <c r="C7687" t="s">
        <v>11135</v>
      </c>
      <c r="D7687" t="s">
        <v>19099</v>
      </c>
      <c r="E7687" t="s">
        <v>25782</v>
      </c>
      <c r="F7687" t="s">
        <v>32831</v>
      </c>
      <c r="G7687" t="s">
        <v>32840</v>
      </c>
      <c r="H7687" t="s">
        <v>32850</v>
      </c>
      <c r="I7687" t="s">
        <v>32863</v>
      </c>
      <c r="J7687" t="s">
        <v>37781</v>
      </c>
      <c r="K7687" t="s">
        <v>42727</v>
      </c>
      <c r="M7687" t="s">
        <v>43749</v>
      </c>
      <c r="N7687" t="s">
        <v>47424</v>
      </c>
      <c r="O7687" t="s">
        <v>47425</v>
      </c>
      <c r="P7687">
        <v>0</v>
      </c>
      <c r="Q7687">
        <v>0</v>
      </c>
      <c r="R7687" t="s">
        <v>47431</v>
      </c>
      <c r="S7687" t="s">
        <v>47565</v>
      </c>
      <c r="T7687" t="s">
        <v>49206</v>
      </c>
      <c r="U7687" t="s">
        <v>51013</v>
      </c>
      <c r="W7687" t="s">
        <v>64446</v>
      </c>
      <c r="X7687" t="s">
        <v>47432</v>
      </c>
    </row>
    <row r="7688" spans="1:24">
      <c r="A7688">
        <f>HYPERLINK("https://www.philgeps.gov.ph/GEPSNONPILOT/Tender/SplashBidNoticeAbstractUI.aspx?menuIndex=3&amp;refID=7158417&amp;Result=3","7158417")</f>
        <v>0</v>
      </c>
      <c r="B7688" t="s">
        <v>2575</v>
      </c>
      <c r="C7688" t="s">
        <v>11136</v>
      </c>
      <c r="E7688" t="s">
        <v>25783</v>
      </c>
      <c r="F7688" t="s">
        <v>32831</v>
      </c>
      <c r="G7688" t="s">
        <v>32839</v>
      </c>
      <c r="H7688" t="s">
        <v>32848</v>
      </c>
      <c r="I7688" t="s">
        <v>32964</v>
      </c>
      <c r="J7688" t="s">
        <v>37782</v>
      </c>
      <c r="K7688" t="s">
        <v>42732</v>
      </c>
      <c r="M7688" t="s">
        <v>45792</v>
      </c>
      <c r="N7688" t="s">
        <v>47424</v>
      </c>
      <c r="O7688" t="s">
        <v>47425</v>
      </c>
      <c r="P7688">
        <v>0</v>
      </c>
      <c r="Q7688">
        <v>4</v>
      </c>
      <c r="R7688" t="s">
        <v>47431</v>
      </c>
      <c r="S7688" t="s">
        <v>47565</v>
      </c>
      <c r="T7688" t="s">
        <v>49483</v>
      </c>
      <c r="U7688" t="s">
        <v>56000</v>
      </c>
      <c r="W7688" t="s">
        <v>45792</v>
      </c>
      <c r="X7688" t="s">
        <v>47432</v>
      </c>
    </row>
    <row r="7689" spans="1:24">
      <c r="A7689">
        <f>HYPERLINK("https://www.philgeps.gov.ph/GEPSNONPILOT/Tender/SplashBidNoticeAbstractUI.aspx?menuIndex=3&amp;refID=7158402&amp;Result=3","7158402")</f>
        <v>0</v>
      </c>
      <c r="B7689" t="s">
        <v>64</v>
      </c>
      <c r="C7689" t="s">
        <v>11137</v>
      </c>
      <c r="D7689" t="s">
        <v>19044</v>
      </c>
      <c r="E7689" t="s">
        <v>23608</v>
      </c>
      <c r="F7689" t="s">
        <v>32831</v>
      </c>
      <c r="G7689" t="s">
        <v>32839</v>
      </c>
      <c r="H7689" t="s">
        <v>32848</v>
      </c>
      <c r="I7689" t="s">
        <v>4776</v>
      </c>
      <c r="J7689" t="s">
        <v>37278</v>
      </c>
      <c r="K7689" t="s">
        <v>42727</v>
      </c>
      <c r="M7689" t="s">
        <v>43061</v>
      </c>
      <c r="N7689" t="s">
        <v>47424</v>
      </c>
      <c r="O7689" t="s">
        <v>47425</v>
      </c>
      <c r="P7689">
        <v>0</v>
      </c>
      <c r="Q7689">
        <v>3</v>
      </c>
      <c r="R7689" t="s">
        <v>47431</v>
      </c>
      <c r="S7689" t="s">
        <v>47565</v>
      </c>
      <c r="T7689" t="s">
        <v>49055</v>
      </c>
      <c r="U7689" t="s">
        <v>56077</v>
      </c>
      <c r="W7689" t="s">
        <v>43061</v>
      </c>
      <c r="X7689" t="s">
        <v>47432</v>
      </c>
    </row>
    <row r="7690" spans="1:24">
      <c r="A7690">
        <f>HYPERLINK("https://www.philgeps.gov.ph/GEPSNONPILOT/Tender/SplashBidNoticeAbstractUI.aspx?menuIndex=3&amp;refID=7158397&amp;Result=3","7158397")</f>
        <v>0</v>
      </c>
      <c r="B7690" t="s">
        <v>2594</v>
      </c>
      <c r="C7690" t="s">
        <v>11138</v>
      </c>
      <c r="D7690" t="s">
        <v>19062</v>
      </c>
      <c r="E7690" t="s">
        <v>25784</v>
      </c>
      <c r="F7690" t="s">
        <v>32831</v>
      </c>
      <c r="G7690" t="s">
        <v>32838</v>
      </c>
      <c r="H7690" t="s">
        <v>32848</v>
      </c>
      <c r="I7690" t="s">
        <v>32860</v>
      </c>
      <c r="J7690" t="s">
        <v>34617</v>
      </c>
      <c r="K7690" t="s">
        <v>42730</v>
      </c>
      <c r="M7690" t="s">
        <v>45813</v>
      </c>
      <c r="N7690" t="s">
        <v>47424</v>
      </c>
      <c r="O7690" t="s">
        <v>47425</v>
      </c>
      <c r="P7690">
        <v>0</v>
      </c>
      <c r="Q7690">
        <v>5</v>
      </c>
      <c r="R7690" t="s">
        <v>47431</v>
      </c>
      <c r="S7690" t="s">
        <v>47565</v>
      </c>
      <c r="T7690" t="s">
        <v>49237</v>
      </c>
      <c r="U7690" t="s">
        <v>56072</v>
      </c>
      <c r="W7690" t="s">
        <v>45813</v>
      </c>
      <c r="X7690" t="s">
        <v>47432</v>
      </c>
    </row>
    <row r="7691" spans="1:24">
      <c r="A7691">
        <f>HYPERLINK("https://www.philgeps.gov.ph/GEPSNONPILOT/Tender/SplashBidNoticeAbstractUI.aspx?menuIndex=3&amp;refID=7158396&amp;Result=3","7158396")</f>
        <v>0</v>
      </c>
      <c r="B7691" t="s">
        <v>2589</v>
      </c>
      <c r="C7691" t="s">
        <v>11139</v>
      </c>
      <c r="D7691" t="s">
        <v>19025</v>
      </c>
      <c r="E7691" t="s">
        <v>25785</v>
      </c>
      <c r="F7691" t="s">
        <v>32831</v>
      </c>
      <c r="G7691" t="s">
        <v>32845</v>
      </c>
      <c r="H7691" t="s">
        <v>32849</v>
      </c>
      <c r="I7691" t="s">
        <v>4177</v>
      </c>
      <c r="J7691" t="s">
        <v>37771</v>
      </c>
      <c r="K7691" t="s">
        <v>42728</v>
      </c>
      <c r="M7691" t="s">
        <v>45808</v>
      </c>
      <c r="N7691" t="s">
        <v>47424</v>
      </c>
      <c r="O7691" t="s">
        <v>47425</v>
      </c>
      <c r="P7691">
        <v>0</v>
      </c>
      <c r="Q7691">
        <v>0</v>
      </c>
      <c r="R7691" t="s">
        <v>47431</v>
      </c>
      <c r="S7691" t="s">
        <v>47565</v>
      </c>
      <c r="T7691" t="s">
        <v>49236</v>
      </c>
      <c r="U7691" t="s">
        <v>56078</v>
      </c>
      <c r="W7691" t="s">
        <v>45808</v>
      </c>
      <c r="X7691" t="s">
        <v>47432</v>
      </c>
    </row>
    <row r="7692" spans="1:24">
      <c r="A7692">
        <f>HYPERLINK("https://www.philgeps.gov.ph/GEPSNONPILOT/Tender/SplashBidNoticeAbstractUI.aspx?menuIndex=3&amp;refID=7158395&amp;Result=3","7158395")</f>
        <v>0</v>
      </c>
      <c r="B7692" t="s">
        <v>2089</v>
      </c>
      <c r="C7692" t="s">
        <v>11140</v>
      </c>
      <c r="E7692" t="s">
        <v>25786</v>
      </c>
      <c r="F7692" t="s">
        <v>32831</v>
      </c>
      <c r="G7692" t="s">
        <v>32838</v>
      </c>
      <c r="H7692" t="s">
        <v>32848</v>
      </c>
      <c r="I7692" t="s">
        <v>4340</v>
      </c>
      <c r="J7692" t="s">
        <v>36158</v>
      </c>
      <c r="K7692" t="s">
        <v>42732</v>
      </c>
      <c r="M7692" t="s">
        <v>45266</v>
      </c>
      <c r="N7692" t="s">
        <v>47424</v>
      </c>
      <c r="O7692" t="s">
        <v>47425</v>
      </c>
      <c r="Q7692">
        <v>4</v>
      </c>
      <c r="R7692" t="s">
        <v>47431</v>
      </c>
      <c r="S7692" t="s">
        <v>47596</v>
      </c>
      <c r="T7692" t="s">
        <v>49487</v>
      </c>
      <c r="U7692" t="s">
        <v>56079</v>
      </c>
      <c r="W7692" t="s">
        <v>64498</v>
      </c>
      <c r="X7692" t="s">
        <v>47432</v>
      </c>
    </row>
    <row r="7693" spans="1:24">
      <c r="A7693">
        <f>HYPERLINK("https://www.philgeps.gov.ph/GEPSNONPILOT/Tender/SplashBidNoticeAbstractUI.aspx?menuIndex=3&amp;refID=7158409&amp;Result=3","7158409")</f>
        <v>0</v>
      </c>
      <c r="B7693" t="s">
        <v>2594</v>
      </c>
      <c r="C7693" t="s">
        <v>11141</v>
      </c>
      <c r="D7693" t="s">
        <v>19062</v>
      </c>
      <c r="E7693" t="s">
        <v>25787</v>
      </c>
      <c r="F7693" t="s">
        <v>32831</v>
      </c>
      <c r="G7693" t="s">
        <v>32838</v>
      </c>
      <c r="H7693" t="s">
        <v>32848</v>
      </c>
      <c r="I7693" t="s">
        <v>4487</v>
      </c>
      <c r="J7693" t="s">
        <v>33929</v>
      </c>
      <c r="K7693" t="s">
        <v>42730</v>
      </c>
      <c r="M7693" t="s">
        <v>45813</v>
      </c>
      <c r="N7693" t="s">
        <v>47424</v>
      </c>
      <c r="O7693" t="s">
        <v>47425</v>
      </c>
      <c r="P7693">
        <v>0</v>
      </c>
      <c r="Q7693">
        <v>3</v>
      </c>
      <c r="R7693" t="s">
        <v>47431</v>
      </c>
      <c r="S7693" t="s">
        <v>47565</v>
      </c>
      <c r="T7693" t="s">
        <v>49237</v>
      </c>
      <c r="U7693" t="s">
        <v>56072</v>
      </c>
      <c r="W7693" t="s">
        <v>45813</v>
      </c>
      <c r="X7693" t="s">
        <v>47432</v>
      </c>
    </row>
    <row r="7694" spans="1:24">
      <c r="A7694">
        <f>HYPERLINK("https://www.philgeps.gov.ph/GEPSNONPILOT/Tender/SplashBidNoticeAbstractUI.aspx?menuIndex=3&amp;refID=7158391&amp;Result=3","7158391")</f>
        <v>0</v>
      </c>
      <c r="B7694" t="s">
        <v>64</v>
      </c>
      <c r="C7694" t="s">
        <v>11142</v>
      </c>
      <c r="D7694" t="s">
        <v>19044</v>
      </c>
      <c r="E7694" t="s">
        <v>20965</v>
      </c>
      <c r="F7694" t="s">
        <v>32831</v>
      </c>
      <c r="G7694" t="s">
        <v>32839</v>
      </c>
      <c r="H7694" t="s">
        <v>32848</v>
      </c>
      <c r="I7694" t="s">
        <v>32856</v>
      </c>
      <c r="J7694" t="s">
        <v>37783</v>
      </c>
      <c r="K7694" t="s">
        <v>42729</v>
      </c>
      <c r="M7694" t="s">
        <v>43061</v>
      </c>
      <c r="N7694" t="s">
        <v>47424</v>
      </c>
      <c r="O7694" t="s">
        <v>47425</v>
      </c>
      <c r="P7694">
        <v>0</v>
      </c>
      <c r="Q7694">
        <v>1</v>
      </c>
      <c r="R7694" t="s">
        <v>47431</v>
      </c>
      <c r="S7694" t="s">
        <v>47565</v>
      </c>
      <c r="T7694" t="s">
        <v>49055</v>
      </c>
      <c r="U7694" t="s">
        <v>56080</v>
      </c>
      <c r="W7694" t="s">
        <v>43061</v>
      </c>
      <c r="X7694" t="s">
        <v>47432</v>
      </c>
    </row>
    <row r="7695" spans="1:24">
      <c r="A7695">
        <f>HYPERLINK("https://www.philgeps.gov.ph/GEPSNONPILOT/Tender/SplashBidNoticeAbstractUI.aspx?menuIndex=3&amp;refID=7158406&amp;Result=3","7158406")</f>
        <v>0</v>
      </c>
      <c r="B7695" t="s">
        <v>2595</v>
      </c>
      <c r="C7695" t="s">
        <v>11143</v>
      </c>
      <c r="E7695" t="s">
        <v>24647</v>
      </c>
      <c r="F7695" t="s">
        <v>32831</v>
      </c>
      <c r="G7695" t="s">
        <v>32838</v>
      </c>
      <c r="H7695" t="s">
        <v>32848</v>
      </c>
      <c r="I7695" t="s">
        <v>32857</v>
      </c>
      <c r="J7695" t="s">
        <v>33568</v>
      </c>
      <c r="K7695" t="s">
        <v>42758</v>
      </c>
      <c r="M7695" t="s">
        <v>45814</v>
      </c>
      <c r="N7695" t="s">
        <v>47424</v>
      </c>
      <c r="O7695" t="s">
        <v>47425</v>
      </c>
      <c r="P7695">
        <v>0</v>
      </c>
      <c r="Q7695">
        <v>5</v>
      </c>
      <c r="R7695" t="s">
        <v>47431</v>
      </c>
      <c r="S7695" t="s">
        <v>47565</v>
      </c>
      <c r="T7695" t="s">
        <v>49166</v>
      </c>
      <c r="U7695" t="s">
        <v>56081</v>
      </c>
      <c r="W7695" t="s">
        <v>45814</v>
      </c>
      <c r="X7695" t="s">
        <v>47432</v>
      </c>
    </row>
    <row r="7696" spans="1:24">
      <c r="A7696">
        <f>HYPERLINK("https://www.philgeps.gov.ph/GEPSNONPILOT/Tender/SplashBidNoticeAbstractUI.aspx?menuIndex=3&amp;refID=7158382&amp;Result=3","7158382")</f>
        <v>0</v>
      </c>
      <c r="B7696" t="s">
        <v>2596</v>
      </c>
      <c r="C7696" t="s">
        <v>11144</v>
      </c>
      <c r="D7696" t="s">
        <v>19026</v>
      </c>
      <c r="E7696" t="s">
        <v>25788</v>
      </c>
      <c r="F7696" t="s">
        <v>32831</v>
      </c>
      <c r="G7696" t="s">
        <v>32839</v>
      </c>
      <c r="H7696" t="s">
        <v>32848</v>
      </c>
      <c r="I7696" t="s">
        <v>7416</v>
      </c>
      <c r="J7696" t="s">
        <v>37784</v>
      </c>
      <c r="K7696" t="s">
        <v>42726</v>
      </c>
      <c r="M7696" t="s">
        <v>45815</v>
      </c>
      <c r="N7696" t="s">
        <v>47424</v>
      </c>
      <c r="O7696" t="s">
        <v>47425</v>
      </c>
      <c r="P7696">
        <v>0</v>
      </c>
      <c r="Q7696">
        <v>2</v>
      </c>
      <c r="R7696" t="s">
        <v>47431</v>
      </c>
      <c r="S7696" t="s">
        <v>47565</v>
      </c>
      <c r="T7696" t="s">
        <v>49079</v>
      </c>
      <c r="U7696" t="s">
        <v>56082</v>
      </c>
      <c r="V7696" t="s">
        <v>63479</v>
      </c>
      <c r="W7696" t="s">
        <v>45815</v>
      </c>
      <c r="X7696" t="s">
        <v>47432</v>
      </c>
    </row>
    <row r="7697" spans="1:24">
      <c r="A7697">
        <f>HYPERLINK("https://www.philgeps.gov.ph/GEPSNONPILOT/Tender/SplashBidNoticeAbstractUI.aspx?menuIndex=3&amp;refID=7158379&amp;Result=3","7158379")</f>
        <v>0</v>
      </c>
      <c r="B7697" t="s">
        <v>2124</v>
      </c>
      <c r="C7697" t="s">
        <v>11145</v>
      </c>
      <c r="D7697" t="s">
        <v>19021</v>
      </c>
      <c r="E7697" t="s">
        <v>19665</v>
      </c>
      <c r="F7697" t="s">
        <v>32831</v>
      </c>
      <c r="G7697" t="s">
        <v>32839</v>
      </c>
      <c r="H7697" t="s">
        <v>32849</v>
      </c>
      <c r="I7697" t="s">
        <v>4177</v>
      </c>
      <c r="J7697" t="s">
        <v>33140</v>
      </c>
      <c r="K7697" t="s">
        <v>42730</v>
      </c>
      <c r="L7697" t="s">
        <v>2124</v>
      </c>
      <c r="M7697" t="s">
        <v>45299</v>
      </c>
      <c r="N7697" t="s">
        <v>47424</v>
      </c>
      <c r="O7697" t="s">
        <v>47425</v>
      </c>
      <c r="P7697">
        <v>0</v>
      </c>
      <c r="Q7697">
        <v>0</v>
      </c>
      <c r="R7697" t="s">
        <v>47431</v>
      </c>
      <c r="S7697" t="s">
        <v>47565</v>
      </c>
      <c r="T7697" t="s">
        <v>49488</v>
      </c>
      <c r="U7697" t="s">
        <v>56083</v>
      </c>
      <c r="V7697" t="s">
        <v>63480</v>
      </c>
      <c r="W7697" t="s">
        <v>45299</v>
      </c>
      <c r="X7697" t="s">
        <v>47432</v>
      </c>
    </row>
    <row r="7698" spans="1:24">
      <c r="A7698">
        <f>HYPERLINK("https://www.philgeps.gov.ph/GEPSNONPILOT/Tender/SplashBidNoticeAbstractUI.aspx?menuIndex=3&amp;refID=7158353&amp;Result=3","7158353")</f>
        <v>0</v>
      </c>
      <c r="B7698" t="s">
        <v>1627</v>
      </c>
      <c r="C7698" t="s">
        <v>11146</v>
      </c>
      <c r="D7698" t="s">
        <v>19023</v>
      </c>
      <c r="E7698" t="s">
        <v>25789</v>
      </c>
      <c r="F7698" t="s">
        <v>32831</v>
      </c>
      <c r="G7698" t="s">
        <v>32838</v>
      </c>
      <c r="H7698" t="s">
        <v>32848</v>
      </c>
      <c r="I7698" t="s">
        <v>4776</v>
      </c>
      <c r="J7698" t="s">
        <v>37785</v>
      </c>
      <c r="K7698" t="s">
        <v>42727</v>
      </c>
      <c r="M7698" t="s">
        <v>44743</v>
      </c>
      <c r="N7698" t="s">
        <v>47424</v>
      </c>
      <c r="O7698" t="s">
        <v>47425</v>
      </c>
      <c r="P7698">
        <v>0</v>
      </c>
      <c r="Q7698">
        <v>4</v>
      </c>
      <c r="R7698" t="s">
        <v>47431</v>
      </c>
      <c r="S7698" t="s">
        <v>47565</v>
      </c>
      <c r="T7698" t="s">
        <v>49214</v>
      </c>
      <c r="U7698" t="s">
        <v>56084</v>
      </c>
      <c r="W7698" t="s">
        <v>44743</v>
      </c>
      <c r="X7698" t="s">
        <v>47432</v>
      </c>
    </row>
    <row r="7699" spans="1:24">
      <c r="A7699">
        <f>HYPERLINK("https://www.philgeps.gov.ph/GEPSNONPILOT/Tender/SplashBidNoticeAbstractUI.aspx?menuIndex=3&amp;refID=7158394&amp;Result=3","7158394")</f>
        <v>0</v>
      </c>
      <c r="B7699" t="s">
        <v>2597</v>
      </c>
      <c r="C7699" t="s">
        <v>11147</v>
      </c>
      <c r="D7699" t="s">
        <v>19081</v>
      </c>
      <c r="E7699" t="s">
        <v>25790</v>
      </c>
      <c r="F7699" t="s">
        <v>32831</v>
      </c>
      <c r="G7699" t="s">
        <v>32838</v>
      </c>
      <c r="H7699" t="s">
        <v>32848</v>
      </c>
      <c r="I7699" t="s">
        <v>32853</v>
      </c>
      <c r="J7699" t="s">
        <v>33626</v>
      </c>
      <c r="K7699" t="s">
        <v>42758</v>
      </c>
      <c r="M7699" t="s">
        <v>45816</v>
      </c>
      <c r="N7699" t="s">
        <v>47424</v>
      </c>
      <c r="O7699" t="s">
        <v>47425</v>
      </c>
      <c r="P7699">
        <v>0</v>
      </c>
      <c r="Q7699">
        <v>0</v>
      </c>
      <c r="R7699" t="s">
        <v>47431</v>
      </c>
      <c r="S7699" t="s">
        <v>47565</v>
      </c>
      <c r="T7699" t="s">
        <v>49119</v>
      </c>
      <c r="U7699" t="s">
        <v>56085</v>
      </c>
      <c r="V7699" t="s">
        <v>63481</v>
      </c>
      <c r="W7699" t="s">
        <v>64518</v>
      </c>
      <c r="X7699" t="s">
        <v>47432</v>
      </c>
    </row>
    <row r="7700" spans="1:24">
      <c r="A7700">
        <f>HYPERLINK("https://www.philgeps.gov.ph/GEPSNONPILOT/Tender/SplashBidNoticeAbstractUI.aspx?menuIndex=3&amp;refID=7158381&amp;Result=3","7158381")</f>
        <v>0</v>
      </c>
      <c r="B7700" t="s">
        <v>2591</v>
      </c>
      <c r="C7700" t="s">
        <v>11148</v>
      </c>
      <c r="D7700" t="s">
        <v>19018</v>
      </c>
      <c r="E7700" t="s">
        <v>25791</v>
      </c>
      <c r="F7700" t="s">
        <v>32833</v>
      </c>
      <c r="G7700" t="s">
        <v>32838</v>
      </c>
      <c r="H7700" t="s">
        <v>32848</v>
      </c>
      <c r="I7700" t="s">
        <v>4487</v>
      </c>
      <c r="J7700" t="s">
        <v>33179</v>
      </c>
      <c r="K7700" t="s">
        <v>42732</v>
      </c>
      <c r="M7700" t="s">
        <v>45810</v>
      </c>
      <c r="N7700" t="s">
        <v>47424</v>
      </c>
      <c r="O7700" t="s">
        <v>47425</v>
      </c>
      <c r="P7700">
        <v>0</v>
      </c>
      <c r="Q7700">
        <v>3</v>
      </c>
      <c r="R7700" t="s">
        <v>47431</v>
      </c>
      <c r="S7700" t="s">
        <v>47565</v>
      </c>
      <c r="T7700" t="s">
        <v>49150</v>
      </c>
      <c r="U7700" t="s">
        <v>56086</v>
      </c>
      <c r="W7700" t="s">
        <v>45810</v>
      </c>
      <c r="X7700" t="s">
        <v>47432</v>
      </c>
    </row>
    <row r="7701" spans="1:24">
      <c r="A7701">
        <f>HYPERLINK("https://www.philgeps.gov.ph/GEPSNONPILOT/Tender/SplashBidNoticeAbstractUI.aspx?menuIndex=3&amp;refID=7158452&amp;Result=3","7158452")</f>
        <v>0</v>
      </c>
      <c r="B7701" t="s">
        <v>254</v>
      </c>
      <c r="C7701" t="s">
        <v>11149</v>
      </c>
      <c r="D7701" t="s">
        <v>19067</v>
      </c>
      <c r="E7701" t="s">
        <v>25792</v>
      </c>
      <c r="F7701" t="s">
        <v>32833</v>
      </c>
      <c r="G7701" t="s">
        <v>32839</v>
      </c>
      <c r="H7701" t="s">
        <v>32848</v>
      </c>
      <c r="I7701" t="s">
        <v>7416</v>
      </c>
      <c r="J7701" t="s">
        <v>37786</v>
      </c>
      <c r="K7701" t="s">
        <v>42727</v>
      </c>
      <c r="L7701" t="s">
        <v>254</v>
      </c>
      <c r="M7701" t="s">
        <v>43253</v>
      </c>
      <c r="N7701" t="s">
        <v>47424</v>
      </c>
      <c r="O7701" t="s">
        <v>47425</v>
      </c>
      <c r="P7701">
        <v>0</v>
      </c>
      <c r="Q7701">
        <v>1</v>
      </c>
      <c r="R7701" t="s">
        <v>47431</v>
      </c>
      <c r="S7701" t="s">
        <v>47565</v>
      </c>
      <c r="T7701" t="s">
        <v>49160</v>
      </c>
      <c r="U7701" t="s">
        <v>56087</v>
      </c>
      <c r="W7701" t="s">
        <v>43253</v>
      </c>
      <c r="X7701" t="s">
        <v>47432</v>
      </c>
    </row>
    <row r="7702" spans="1:24">
      <c r="A7702">
        <f>HYPERLINK("https://www.philgeps.gov.ph/GEPSNONPILOT/Tender/SplashBidNoticeAbstractUI.aspx?menuIndex=3&amp;refID=7158408&amp;Result=3","7158408")</f>
        <v>0</v>
      </c>
      <c r="B7702" t="s">
        <v>2575</v>
      </c>
      <c r="C7702" t="s">
        <v>11150</v>
      </c>
      <c r="E7702" t="s">
        <v>25793</v>
      </c>
      <c r="F7702" t="s">
        <v>32831</v>
      </c>
      <c r="G7702" t="s">
        <v>32839</v>
      </c>
      <c r="H7702" t="s">
        <v>32848</v>
      </c>
      <c r="I7702" t="s">
        <v>32964</v>
      </c>
      <c r="J7702" t="s">
        <v>37787</v>
      </c>
      <c r="K7702" t="s">
        <v>42732</v>
      </c>
      <c r="M7702" t="s">
        <v>45792</v>
      </c>
      <c r="N7702" t="s">
        <v>47424</v>
      </c>
      <c r="O7702" t="s">
        <v>47425</v>
      </c>
      <c r="P7702">
        <v>0</v>
      </c>
      <c r="Q7702">
        <v>6</v>
      </c>
      <c r="R7702" t="s">
        <v>47431</v>
      </c>
      <c r="S7702" t="s">
        <v>47565</v>
      </c>
      <c r="T7702" t="s">
        <v>49483</v>
      </c>
      <c r="U7702" t="s">
        <v>56000</v>
      </c>
      <c r="W7702" t="s">
        <v>45792</v>
      </c>
      <c r="X7702" t="s">
        <v>47432</v>
      </c>
    </row>
    <row r="7703" spans="1:24">
      <c r="A7703">
        <f>HYPERLINK("https://www.philgeps.gov.ph/GEPSNONPILOT/Tender/SplashBidNoticeAbstractUI.aspx?menuIndex=3&amp;refID=7158444&amp;Result=3","7158444")</f>
        <v>0</v>
      </c>
      <c r="B7703" t="s">
        <v>2598</v>
      </c>
      <c r="C7703" t="s">
        <v>11151</v>
      </c>
      <c r="D7703" t="s">
        <v>19027</v>
      </c>
      <c r="E7703" t="s">
        <v>25794</v>
      </c>
      <c r="F7703" t="s">
        <v>32831</v>
      </c>
      <c r="G7703" t="s">
        <v>32839</v>
      </c>
      <c r="H7703" t="s">
        <v>32848</v>
      </c>
      <c r="I7703" t="s">
        <v>10805</v>
      </c>
      <c r="J7703" t="s">
        <v>34405</v>
      </c>
      <c r="K7703" t="s">
        <v>42759</v>
      </c>
      <c r="M7703" t="s">
        <v>45817</v>
      </c>
      <c r="N7703" t="s">
        <v>47424</v>
      </c>
      <c r="O7703" t="s">
        <v>47425</v>
      </c>
      <c r="P7703">
        <v>0</v>
      </c>
      <c r="Q7703">
        <v>0</v>
      </c>
      <c r="R7703" t="s">
        <v>47431</v>
      </c>
      <c r="S7703" t="s">
        <v>47565</v>
      </c>
      <c r="T7703" t="s">
        <v>49221</v>
      </c>
      <c r="U7703" t="s">
        <v>56088</v>
      </c>
      <c r="W7703" t="s">
        <v>45817</v>
      </c>
      <c r="X7703" t="s">
        <v>47432</v>
      </c>
    </row>
    <row r="7704" spans="1:24">
      <c r="A7704">
        <f>HYPERLINK("https://www.philgeps.gov.ph/GEPSNONPILOT/Tender/SplashBidNoticeAbstractUI.aspx?menuIndex=3&amp;refID=7158450&amp;Result=3","7158450")</f>
        <v>0</v>
      </c>
      <c r="B7704" t="s">
        <v>2599</v>
      </c>
      <c r="C7704" t="s">
        <v>4694</v>
      </c>
      <c r="D7704" t="s">
        <v>19042</v>
      </c>
      <c r="E7704" t="s">
        <v>19203</v>
      </c>
      <c r="F7704" t="s">
        <v>32831</v>
      </c>
      <c r="G7704" t="s">
        <v>32839</v>
      </c>
      <c r="H7704" t="s">
        <v>32848</v>
      </c>
      <c r="I7704" t="s">
        <v>7416</v>
      </c>
      <c r="J7704" t="s">
        <v>37788</v>
      </c>
      <c r="K7704" t="s">
        <v>42730</v>
      </c>
      <c r="M7704" t="s">
        <v>45818</v>
      </c>
      <c r="N7704" t="s">
        <v>47424</v>
      </c>
      <c r="O7704" t="s">
        <v>47425</v>
      </c>
      <c r="P7704">
        <v>0</v>
      </c>
      <c r="Q7704">
        <v>1</v>
      </c>
      <c r="R7704" t="s">
        <v>47431</v>
      </c>
      <c r="S7704" t="s">
        <v>47565</v>
      </c>
      <c r="T7704" t="s">
        <v>49319</v>
      </c>
      <c r="U7704" t="s">
        <v>56089</v>
      </c>
      <c r="W7704" t="s">
        <v>45818</v>
      </c>
      <c r="X7704" t="s">
        <v>47432</v>
      </c>
    </row>
    <row r="7705" spans="1:24">
      <c r="A7705">
        <f>HYPERLINK("https://www.philgeps.gov.ph/GEPSNONPILOT/Tender/SplashBidNoticeAbstractUI.aspx?menuIndex=3&amp;refID=7158448&amp;Result=3","7158448")</f>
        <v>0</v>
      </c>
      <c r="B7705" t="s">
        <v>254</v>
      </c>
      <c r="C7705" t="s">
        <v>11152</v>
      </c>
      <c r="D7705" t="s">
        <v>19067</v>
      </c>
      <c r="E7705" t="s">
        <v>25795</v>
      </c>
      <c r="F7705" t="s">
        <v>32833</v>
      </c>
      <c r="G7705" t="s">
        <v>32839</v>
      </c>
      <c r="H7705" t="s">
        <v>32850</v>
      </c>
      <c r="I7705" t="s">
        <v>32863</v>
      </c>
      <c r="J7705" t="s">
        <v>37789</v>
      </c>
      <c r="K7705" t="s">
        <v>42730</v>
      </c>
      <c r="L7705" t="s">
        <v>254</v>
      </c>
      <c r="M7705" t="s">
        <v>43253</v>
      </c>
      <c r="N7705" t="s">
        <v>47424</v>
      </c>
      <c r="O7705" t="s">
        <v>47425</v>
      </c>
      <c r="P7705">
        <v>0</v>
      </c>
      <c r="Q7705">
        <v>0</v>
      </c>
      <c r="R7705" t="s">
        <v>47431</v>
      </c>
      <c r="S7705" t="s">
        <v>47565</v>
      </c>
      <c r="T7705" t="s">
        <v>49160</v>
      </c>
      <c r="U7705" t="s">
        <v>56090</v>
      </c>
      <c r="W7705" t="s">
        <v>43253</v>
      </c>
      <c r="X7705" t="s">
        <v>47432</v>
      </c>
    </row>
    <row r="7706" spans="1:24">
      <c r="A7706">
        <f>HYPERLINK("https://www.philgeps.gov.ph/GEPSNONPILOT/Tender/SplashBidNoticeAbstractUI.aspx?menuIndex=3&amp;refID=7158383&amp;Result=3","7158383")</f>
        <v>0</v>
      </c>
      <c r="B7706" t="s">
        <v>2589</v>
      </c>
      <c r="C7706" t="s">
        <v>11153</v>
      </c>
      <c r="D7706" t="s">
        <v>19025</v>
      </c>
      <c r="E7706" t="s">
        <v>25796</v>
      </c>
      <c r="F7706" t="s">
        <v>32831</v>
      </c>
      <c r="G7706" t="s">
        <v>32845</v>
      </c>
      <c r="H7706" t="s">
        <v>32849</v>
      </c>
      <c r="I7706" t="s">
        <v>4177</v>
      </c>
      <c r="J7706" t="s">
        <v>37771</v>
      </c>
      <c r="K7706" t="s">
        <v>42728</v>
      </c>
      <c r="M7706" t="s">
        <v>45808</v>
      </c>
      <c r="N7706" t="s">
        <v>47424</v>
      </c>
      <c r="O7706" t="s">
        <v>47425</v>
      </c>
      <c r="P7706">
        <v>0</v>
      </c>
      <c r="Q7706">
        <v>1</v>
      </c>
      <c r="R7706" t="s">
        <v>47431</v>
      </c>
      <c r="S7706" t="s">
        <v>47565</v>
      </c>
      <c r="T7706" t="s">
        <v>49236</v>
      </c>
      <c r="U7706" t="s">
        <v>56091</v>
      </c>
      <c r="W7706" t="s">
        <v>45808</v>
      </c>
      <c r="X7706" t="s">
        <v>47432</v>
      </c>
    </row>
    <row r="7707" spans="1:24">
      <c r="A7707">
        <f>HYPERLINK("https://www.philgeps.gov.ph/GEPSNONPILOT/Tender/SplashBidNoticeAbstractUI.aspx?menuIndex=3&amp;refID=7158447&amp;Result=3","7158447")</f>
        <v>0</v>
      </c>
      <c r="B7707" t="s">
        <v>2575</v>
      </c>
      <c r="C7707" t="s">
        <v>11154</v>
      </c>
      <c r="E7707" t="s">
        <v>25797</v>
      </c>
      <c r="F7707" t="s">
        <v>32831</v>
      </c>
      <c r="G7707" t="s">
        <v>32839</v>
      </c>
      <c r="H7707" t="s">
        <v>32848</v>
      </c>
      <c r="I7707" t="s">
        <v>32964</v>
      </c>
      <c r="J7707" t="s">
        <v>37790</v>
      </c>
      <c r="K7707" t="s">
        <v>42732</v>
      </c>
      <c r="M7707" t="s">
        <v>45792</v>
      </c>
      <c r="N7707" t="s">
        <v>47424</v>
      </c>
      <c r="O7707" t="s">
        <v>47425</v>
      </c>
      <c r="P7707">
        <v>0</v>
      </c>
      <c r="Q7707">
        <v>5</v>
      </c>
      <c r="R7707" t="s">
        <v>47431</v>
      </c>
      <c r="S7707" t="s">
        <v>47565</v>
      </c>
      <c r="T7707" t="s">
        <v>49483</v>
      </c>
      <c r="U7707" t="s">
        <v>56000</v>
      </c>
      <c r="W7707" t="s">
        <v>45792</v>
      </c>
      <c r="X7707" t="s">
        <v>47432</v>
      </c>
    </row>
    <row r="7708" spans="1:24">
      <c r="A7708">
        <f>HYPERLINK("https://www.philgeps.gov.ph/GEPSNONPILOT/Tender/SplashBidNoticeAbstractUI.aspx?menuIndex=3&amp;refID=7158255&amp;Result=3","7158255")</f>
        <v>0</v>
      </c>
      <c r="B7708" t="s">
        <v>67</v>
      </c>
      <c r="C7708" t="s">
        <v>11155</v>
      </c>
      <c r="D7708" t="s">
        <v>19099</v>
      </c>
      <c r="E7708" t="s">
        <v>25798</v>
      </c>
      <c r="F7708" t="s">
        <v>32831</v>
      </c>
      <c r="G7708" t="s">
        <v>32840</v>
      </c>
      <c r="H7708" t="s">
        <v>32848</v>
      </c>
      <c r="I7708" t="s">
        <v>4438</v>
      </c>
      <c r="J7708" t="s">
        <v>33044</v>
      </c>
      <c r="K7708" t="s">
        <v>42730</v>
      </c>
      <c r="M7708" t="s">
        <v>43749</v>
      </c>
      <c r="N7708" t="s">
        <v>47424</v>
      </c>
      <c r="O7708" t="s">
        <v>47425</v>
      </c>
      <c r="P7708">
        <v>0</v>
      </c>
      <c r="Q7708">
        <v>3</v>
      </c>
      <c r="R7708" t="s">
        <v>47431</v>
      </c>
      <c r="S7708" t="s">
        <v>47565</v>
      </c>
      <c r="T7708" t="s">
        <v>49206</v>
      </c>
      <c r="U7708" t="s">
        <v>51013</v>
      </c>
      <c r="W7708" t="s">
        <v>64446</v>
      </c>
      <c r="X7708" t="s">
        <v>47432</v>
      </c>
    </row>
    <row r="7709" spans="1:24">
      <c r="A7709">
        <f>HYPERLINK("https://www.philgeps.gov.ph/GEPSNONPILOT/Tender/SplashBidNoticeAbstractUI.aspx?menuIndex=3&amp;refID=7158451&amp;Result=3","7158451")</f>
        <v>0</v>
      </c>
      <c r="B7709" t="s">
        <v>527</v>
      </c>
      <c r="C7709" t="s">
        <v>11156</v>
      </c>
      <c r="D7709" t="s">
        <v>19027</v>
      </c>
      <c r="E7709" t="s">
        <v>25799</v>
      </c>
      <c r="F7709" t="s">
        <v>32831</v>
      </c>
      <c r="G7709" t="s">
        <v>32839</v>
      </c>
      <c r="H7709" t="s">
        <v>32848</v>
      </c>
      <c r="I7709" t="s">
        <v>7416</v>
      </c>
      <c r="J7709" t="s">
        <v>37791</v>
      </c>
      <c r="K7709" t="s">
        <v>42732</v>
      </c>
      <c r="M7709" t="s">
        <v>44665</v>
      </c>
      <c r="N7709" t="s">
        <v>47424</v>
      </c>
      <c r="O7709" t="s">
        <v>47425</v>
      </c>
      <c r="P7709">
        <v>0</v>
      </c>
      <c r="Q7709">
        <v>1</v>
      </c>
      <c r="R7709" t="s">
        <v>47431</v>
      </c>
      <c r="S7709" t="s">
        <v>47565</v>
      </c>
      <c r="T7709" t="s">
        <v>49456</v>
      </c>
      <c r="U7709" t="s">
        <v>50084</v>
      </c>
      <c r="W7709" t="s">
        <v>44665</v>
      </c>
      <c r="X7709" t="s">
        <v>47432</v>
      </c>
    </row>
    <row r="7710" spans="1:24">
      <c r="A7710">
        <f>HYPERLINK("https://www.philgeps.gov.ph/GEPSNONPILOT/Tender/SplashBidNoticeAbstractUI.aspx?menuIndex=3&amp;refID=7158399&amp;Result=3","7158399")</f>
        <v>0</v>
      </c>
      <c r="B7710" t="s">
        <v>392</v>
      </c>
      <c r="C7710" t="s">
        <v>11157</v>
      </c>
      <c r="D7710" t="s">
        <v>19022</v>
      </c>
      <c r="E7710" t="s">
        <v>25800</v>
      </c>
      <c r="F7710" t="s">
        <v>32831</v>
      </c>
      <c r="G7710" t="s">
        <v>32839</v>
      </c>
      <c r="H7710" t="s">
        <v>32849</v>
      </c>
      <c r="I7710" t="s">
        <v>4177</v>
      </c>
      <c r="J7710" t="s">
        <v>37792</v>
      </c>
      <c r="K7710" t="s">
        <v>42730</v>
      </c>
      <c r="M7710" t="s">
        <v>43397</v>
      </c>
      <c r="N7710" t="s">
        <v>47424</v>
      </c>
      <c r="O7710" t="s">
        <v>47425</v>
      </c>
      <c r="P7710">
        <v>0</v>
      </c>
      <c r="Q7710">
        <v>1</v>
      </c>
      <c r="R7710" t="s">
        <v>47431</v>
      </c>
      <c r="S7710" t="s">
        <v>47565</v>
      </c>
      <c r="T7710" t="s">
        <v>49129</v>
      </c>
      <c r="U7710" t="s">
        <v>56092</v>
      </c>
      <c r="W7710" t="s">
        <v>43397</v>
      </c>
      <c r="X7710" t="s">
        <v>47432</v>
      </c>
    </row>
    <row r="7711" spans="1:24">
      <c r="A7711">
        <f>HYPERLINK("https://www.philgeps.gov.ph/GEPSNONPILOT/Tender/SplashBidNoticeAbstractUI.aspx?menuIndex=3&amp;refID=7158438&amp;Result=3","7158438")</f>
        <v>0</v>
      </c>
      <c r="B7711" t="s">
        <v>2600</v>
      </c>
      <c r="C7711" t="s">
        <v>11158</v>
      </c>
      <c r="D7711" t="s">
        <v>19017</v>
      </c>
      <c r="E7711" t="s">
        <v>25801</v>
      </c>
      <c r="F7711" t="s">
        <v>32831</v>
      </c>
      <c r="G7711" t="s">
        <v>32838</v>
      </c>
      <c r="H7711" t="s">
        <v>32848</v>
      </c>
      <c r="I7711" t="s">
        <v>9577</v>
      </c>
      <c r="J7711" t="s">
        <v>37793</v>
      </c>
      <c r="K7711" t="s">
        <v>42727</v>
      </c>
      <c r="M7711" t="s">
        <v>45819</v>
      </c>
      <c r="N7711" t="s">
        <v>47424</v>
      </c>
      <c r="O7711" t="s">
        <v>47425</v>
      </c>
      <c r="P7711">
        <v>0</v>
      </c>
      <c r="Q7711">
        <v>8</v>
      </c>
      <c r="R7711" t="s">
        <v>47431</v>
      </c>
      <c r="S7711" t="s">
        <v>47565</v>
      </c>
      <c r="T7711" t="s">
        <v>49112</v>
      </c>
      <c r="U7711" t="s">
        <v>56093</v>
      </c>
      <c r="W7711" t="s">
        <v>45819</v>
      </c>
      <c r="X7711" t="s">
        <v>47432</v>
      </c>
    </row>
    <row r="7712" spans="1:24">
      <c r="A7712">
        <f>HYPERLINK("https://www.philgeps.gov.ph/GEPSNONPILOT/Tender/SplashBidNoticeAbstractUI.aspx?menuIndex=3&amp;refID=7158436&amp;Result=3","7158436")</f>
        <v>0</v>
      </c>
      <c r="B7712" t="s">
        <v>2575</v>
      </c>
      <c r="C7712" t="s">
        <v>11159</v>
      </c>
      <c r="E7712" t="s">
        <v>25802</v>
      </c>
      <c r="F7712" t="s">
        <v>32831</v>
      </c>
      <c r="G7712" t="s">
        <v>32839</v>
      </c>
      <c r="H7712" t="s">
        <v>32848</v>
      </c>
      <c r="I7712" t="s">
        <v>32964</v>
      </c>
      <c r="J7712" t="s">
        <v>37794</v>
      </c>
      <c r="K7712" t="s">
        <v>42732</v>
      </c>
      <c r="M7712" t="s">
        <v>45792</v>
      </c>
      <c r="N7712" t="s">
        <v>47424</v>
      </c>
      <c r="O7712" t="s">
        <v>47425</v>
      </c>
      <c r="P7712">
        <v>0</v>
      </c>
      <c r="Q7712">
        <v>7</v>
      </c>
      <c r="R7712" t="s">
        <v>47431</v>
      </c>
      <c r="S7712" t="s">
        <v>47565</v>
      </c>
      <c r="T7712" t="s">
        <v>49483</v>
      </c>
      <c r="U7712" t="s">
        <v>56000</v>
      </c>
      <c r="W7712" t="s">
        <v>45792</v>
      </c>
      <c r="X7712" t="s">
        <v>47432</v>
      </c>
    </row>
    <row r="7713" spans="1:24">
      <c r="A7713">
        <f>HYPERLINK("https://www.philgeps.gov.ph/GEPSNONPILOT/Tender/SplashBidNoticeAbstractUI.aspx?menuIndex=3&amp;refID=7158443&amp;Result=3","7158443")</f>
        <v>0</v>
      </c>
      <c r="B7713" t="s">
        <v>254</v>
      </c>
      <c r="C7713" t="s">
        <v>11160</v>
      </c>
      <c r="D7713" t="s">
        <v>19067</v>
      </c>
      <c r="E7713" t="s">
        <v>25803</v>
      </c>
      <c r="F7713" t="s">
        <v>32833</v>
      </c>
      <c r="G7713" t="s">
        <v>32839</v>
      </c>
      <c r="H7713" t="s">
        <v>32848</v>
      </c>
      <c r="I7713" t="s">
        <v>7751</v>
      </c>
      <c r="J7713" t="s">
        <v>33016</v>
      </c>
      <c r="K7713" t="s">
        <v>42727</v>
      </c>
      <c r="L7713" t="s">
        <v>254</v>
      </c>
      <c r="M7713" t="s">
        <v>43253</v>
      </c>
      <c r="N7713" t="s">
        <v>47424</v>
      </c>
      <c r="O7713" t="s">
        <v>47425</v>
      </c>
      <c r="P7713">
        <v>0</v>
      </c>
      <c r="Q7713">
        <v>1</v>
      </c>
      <c r="R7713" t="s">
        <v>47431</v>
      </c>
      <c r="S7713" t="s">
        <v>47565</v>
      </c>
      <c r="T7713" t="s">
        <v>49160</v>
      </c>
      <c r="U7713" t="s">
        <v>56094</v>
      </c>
      <c r="W7713" t="s">
        <v>43253</v>
      </c>
      <c r="X7713" t="s">
        <v>47432</v>
      </c>
    </row>
    <row r="7714" spans="1:24">
      <c r="A7714">
        <f>HYPERLINK("https://www.philgeps.gov.ph/GEPSNONPILOT/Tender/SplashBidNoticeAbstractUI.aspx?menuIndex=3&amp;refID=7158434&amp;Result=3","7158434")</f>
        <v>0</v>
      </c>
      <c r="B7714" t="s">
        <v>91</v>
      </c>
      <c r="C7714" t="s">
        <v>11161</v>
      </c>
      <c r="E7714" t="s">
        <v>25804</v>
      </c>
      <c r="F7714" t="s">
        <v>32831</v>
      </c>
      <c r="G7714" t="s">
        <v>32840</v>
      </c>
      <c r="H7714" t="s">
        <v>32848</v>
      </c>
      <c r="I7714" t="s">
        <v>32874</v>
      </c>
      <c r="J7714" t="s">
        <v>33937</v>
      </c>
      <c r="K7714" t="s">
        <v>42732</v>
      </c>
      <c r="M7714" t="s">
        <v>43088</v>
      </c>
      <c r="N7714" t="s">
        <v>47424</v>
      </c>
      <c r="O7714" t="s">
        <v>47425</v>
      </c>
      <c r="P7714">
        <v>0</v>
      </c>
      <c r="Q7714">
        <v>3</v>
      </c>
      <c r="R7714" t="s">
        <v>47431</v>
      </c>
      <c r="S7714" t="s">
        <v>47565</v>
      </c>
      <c r="T7714" t="s">
        <v>49111</v>
      </c>
      <c r="U7714" t="s">
        <v>56095</v>
      </c>
      <c r="V7714" t="s">
        <v>62639</v>
      </c>
      <c r="W7714" t="s">
        <v>43088</v>
      </c>
      <c r="X7714" t="s">
        <v>47432</v>
      </c>
    </row>
    <row r="7715" spans="1:24">
      <c r="A7715">
        <f>HYPERLINK("https://www.philgeps.gov.ph/GEPSNONPILOT/Tender/SplashBidNoticeAbstractUI.aspx?menuIndex=3&amp;refID=7158441&amp;Result=3","7158441")</f>
        <v>0</v>
      </c>
      <c r="B7715" t="s">
        <v>91</v>
      </c>
      <c r="C7715" t="s">
        <v>11162</v>
      </c>
      <c r="D7715" t="s">
        <v>19056</v>
      </c>
      <c r="E7715" t="s">
        <v>25805</v>
      </c>
      <c r="F7715" t="s">
        <v>32831</v>
      </c>
      <c r="G7715" t="s">
        <v>32838</v>
      </c>
      <c r="H7715" t="s">
        <v>32848</v>
      </c>
      <c r="I7715" t="s">
        <v>5379</v>
      </c>
      <c r="J7715" t="s">
        <v>33461</v>
      </c>
      <c r="K7715" t="s">
        <v>42732</v>
      </c>
      <c r="M7715" t="s">
        <v>43088</v>
      </c>
      <c r="N7715" t="s">
        <v>47424</v>
      </c>
      <c r="O7715" t="s">
        <v>47425</v>
      </c>
      <c r="P7715">
        <v>0</v>
      </c>
      <c r="Q7715">
        <v>1</v>
      </c>
      <c r="R7715" t="s">
        <v>47431</v>
      </c>
      <c r="S7715" t="s">
        <v>47565</v>
      </c>
      <c r="T7715" t="s">
        <v>49111</v>
      </c>
      <c r="U7715" t="s">
        <v>56096</v>
      </c>
      <c r="V7715" t="s">
        <v>62639</v>
      </c>
      <c r="W7715" t="s">
        <v>43088</v>
      </c>
      <c r="X7715" t="s">
        <v>47432</v>
      </c>
    </row>
    <row r="7716" spans="1:24">
      <c r="A7716">
        <f>HYPERLINK("https://www.philgeps.gov.ph/GEPSNONPILOT/Tender/SplashBidNoticeAbstractUI.aspx?menuIndex=3&amp;refID=7158430&amp;Result=3","7158430")</f>
        <v>0</v>
      </c>
      <c r="B7716" t="s">
        <v>2575</v>
      </c>
      <c r="C7716" t="s">
        <v>11163</v>
      </c>
      <c r="E7716" t="s">
        <v>25806</v>
      </c>
      <c r="F7716" t="s">
        <v>32831</v>
      </c>
      <c r="G7716" t="s">
        <v>32839</v>
      </c>
      <c r="H7716" t="s">
        <v>32848</v>
      </c>
      <c r="I7716" t="s">
        <v>32964</v>
      </c>
      <c r="J7716" t="s">
        <v>37795</v>
      </c>
      <c r="K7716" t="s">
        <v>42732</v>
      </c>
      <c r="M7716" t="s">
        <v>45792</v>
      </c>
      <c r="N7716" t="s">
        <v>47424</v>
      </c>
      <c r="O7716" t="s">
        <v>47425</v>
      </c>
      <c r="P7716">
        <v>0</v>
      </c>
      <c r="Q7716">
        <v>7</v>
      </c>
      <c r="R7716" t="s">
        <v>47431</v>
      </c>
      <c r="S7716" t="s">
        <v>47565</v>
      </c>
      <c r="T7716" t="s">
        <v>49483</v>
      </c>
      <c r="U7716" t="s">
        <v>56000</v>
      </c>
      <c r="W7716" t="s">
        <v>45792</v>
      </c>
      <c r="X7716" t="s">
        <v>47432</v>
      </c>
    </row>
    <row r="7717" spans="1:24">
      <c r="A7717">
        <f>HYPERLINK("https://www.philgeps.gov.ph/GEPSNONPILOT/Tender/SplashBidNoticeAbstractUI.aspx?menuIndex=3&amp;refID=7158425&amp;Result=3","7158425")</f>
        <v>0</v>
      </c>
      <c r="B7717" t="s">
        <v>2594</v>
      </c>
      <c r="C7717" t="s">
        <v>11164</v>
      </c>
      <c r="D7717" t="s">
        <v>19062</v>
      </c>
      <c r="E7717" t="s">
        <v>25807</v>
      </c>
      <c r="F7717" t="s">
        <v>32831</v>
      </c>
      <c r="G7717" t="s">
        <v>32838</v>
      </c>
      <c r="H7717" t="s">
        <v>32848</v>
      </c>
      <c r="I7717" t="s">
        <v>7416</v>
      </c>
      <c r="J7717" t="s">
        <v>37796</v>
      </c>
      <c r="K7717" t="s">
        <v>42730</v>
      </c>
      <c r="M7717" t="s">
        <v>45813</v>
      </c>
      <c r="N7717" t="s">
        <v>47424</v>
      </c>
      <c r="O7717" t="s">
        <v>47425</v>
      </c>
      <c r="P7717">
        <v>0</v>
      </c>
      <c r="Q7717">
        <v>1</v>
      </c>
      <c r="R7717" t="s">
        <v>47431</v>
      </c>
      <c r="S7717" t="s">
        <v>47565</v>
      </c>
      <c r="T7717" t="s">
        <v>49237</v>
      </c>
      <c r="U7717" t="s">
        <v>56072</v>
      </c>
      <c r="W7717" t="s">
        <v>45813</v>
      </c>
      <c r="X7717" t="s">
        <v>47432</v>
      </c>
    </row>
    <row r="7718" spans="1:24">
      <c r="A7718">
        <f>HYPERLINK("https://www.philgeps.gov.ph/GEPSNONPILOT/Tender/SplashBidNoticeAbstractUI.aspx?menuIndex=3&amp;refID=7158424&amp;Result=3","7158424")</f>
        <v>0</v>
      </c>
      <c r="B7718" t="s">
        <v>2601</v>
      </c>
      <c r="C7718" t="s">
        <v>11165</v>
      </c>
      <c r="D7718" t="s">
        <v>19021</v>
      </c>
      <c r="E7718" t="s">
        <v>25808</v>
      </c>
      <c r="F7718" t="s">
        <v>32831</v>
      </c>
      <c r="G7718" t="s">
        <v>32839</v>
      </c>
      <c r="H7718" t="s">
        <v>32849</v>
      </c>
      <c r="I7718" t="s">
        <v>4177</v>
      </c>
      <c r="J7718" t="s">
        <v>33044</v>
      </c>
      <c r="K7718" t="s">
        <v>42730</v>
      </c>
      <c r="M7718" t="s">
        <v>45820</v>
      </c>
      <c r="N7718" t="s">
        <v>47424</v>
      </c>
      <c r="O7718" t="s">
        <v>47425</v>
      </c>
      <c r="P7718">
        <v>0</v>
      </c>
      <c r="Q7718">
        <v>2</v>
      </c>
      <c r="R7718" t="s">
        <v>47431</v>
      </c>
      <c r="S7718" t="s">
        <v>47565</v>
      </c>
      <c r="T7718" t="s">
        <v>49125</v>
      </c>
      <c r="U7718" t="s">
        <v>56097</v>
      </c>
      <c r="V7718" t="s">
        <v>63482</v>
      </c>
      <c r="W7718" t="s">
        <v>45820</v>
      </c>
      <c r="X7718" t="s">
        <v>47432</v>
      </c>
    </row>
    <row r="7719" spans="1:24">
      <c r="A7719">
        <f>HYPERLINK("https://www.philgeps.gov.ph/GEPSNONPILOT/Tender/SplashBidNoticeAbstractUI.aspx?menuIndex=3&amp;refID=7158337&amp;Result=3","7158337")</f>
        <v>0</v>
      </c>
      <c r="B7719" t="s">
        <v>2396</v>
      </c>
      <c r="C7719" t="s">
        <v>11166</v>
      </c>
      <c r="D7719" t="s">
        <v>19017</v>
      </c>
      <c r="E7719" t="s">
        <v>25809</v>
      </c>
      <c r="F7719" t="s">
        <v>32831</v>
      </c>
      <c r="G7719" t="s">
        <v>32839</v>
      </c>
      <c r="H7719" t="s">
        <v>32848</v>
      </c>
      <c r="I7719" t="s">
        <v>4487</v>
      </c>
      <c r="J7719" t="s">
        <v>37797</v>
      </c>
      <c r="K7719" t="s">
        <v>42729</v>
      </c>
      <c r="M7719" t="s">
        <v>45588</v>
      </c>
      <c r="N7719" t="s">
        <v>47424</v>
      </c>
      <c r="O7719" t="s">
        <v>47425</v>
      </c>
      <c r="P7719">
        <v>0</v>
      </c>
      <c r="Q7719">
        <v>11</v>
      </c>
      <c r="R7719" t="s">
        <v>47431</v>
      </c>
      <c r="S7719" t="s">
        <v>47565</v>
      </c>
      <c r="T7719" t="s">
        <v>49461</v>
      </c>
      <c r="U7719" t="s">
        <v>56098</v>
      </c>
      <c r="W7719" t="s">
        <v>45588</v>
      </c>
      <c r="X7719" t="s">
        <v>47432</v>
      </c>
    </row>
    <row r="7720" spans="1:24">
      <c r="A7720">
        <f>HYPERLINK("https://www.philgeps.gov.ph/GEPSNONPILOT/Tender/SplashBidNoticeAbstractUI.aspx?menuIndex=3&amp;refID=7158433&amp;Result=3","7158433")</f>
        <v>0</v>
      </c>
      <c r="B7720" t="s">
        <v>2216</v>
      </c>
      <c r="C7720" t="s">
        <v>11167</v>
      </c>
      <c r="D7720" t="s">
        <v>19047</v>
      </c>
      <c r="E7720" t="s">
        <v>25810</v>
      </c>
      <c r="F7720" t="s">
        <v>32831</v>
      </c>
      <c r="G7720" t="s">
        <v>32839</v>
      </c>
      <c r="H7720" t="s">
        <v>32848</v>
      </c>
      <c r="I7720" t="s">
        <v>32882</v>
      </c>
      <c r="J7720" t="s">
        <v>37798</v>
      </c>
      <c r="K7720" t="s">
        <v>42727</v>
      </c>
      <c r="M7720" t="s">
        <v>45396</v>
      </c>
      <c r="N7720" t="s">
        <v>47424</v>
      </c>
      <c r="O7720" t="s">
        <v>47425</v>
      </c>
      <c r="P7720">
        <v>0</v>
      </c>
      <c r="Q7720">
        <v>1</v>
      </c>
      <c r="R7720" t="s">
        <v>47431</v>
      </c>
      <c r="S7720" t="s">
        <v>47565</v>
      </c>
      <c r="T7720" t="s">
        <v>49066</v>
      </c>
      <c r="U7720" t="s">
        <v>56099</v>
      </c>
      <c r="W7720" t="s">
        <v>45396</v>
      </c>
      <c r="X7720" t="s">
        <v>47432</v>
      </c>
    </row>
    <row r="7721" spans="1:24">
      <c r="A7721">
        <f>HYPERLINK("https://www.philgeps.gov.ph/GEPSNONPILOT/Tender/SplashBidNoticeAbstractUI.aspx?menuIndex=3&amp;refID=7158336&amp;Result=3","7158336")</f>
        <v>0</v>
      </c>
      <c r="B7721" t="s">
        <v>2592</v>
      </c>
      <c r="C7721" t="s">
        <v>11168</v>
      </c>
      <c r="D7721" t="s">
        <v>19065</v>
      </c>
      <c r="E7721" t="s">
        <v>25811</v>
      </c>
      <c r="F7721" t="s">
        <v>32831</v>
      </c>
      <c r="G7721" t="s">
        <v>32839</v>
      </c>
      <c r="H7721" t="s">
        <v>32849</v>
      </c>
      <c r="I7721" t="s">
        <v>4177</v>
      </c>
      <c r="J7721" t="s">
        <v>37799</v>
      </c>
      <c r="K7721" t="s">
        <v>42730</v>
      </c>
      <c r="M7721" t="s">
        <v>45811</v>
      </c>
      <c r="N7721" t="s">
        <v>47424</v>
      </c>
      <c r="O7721" t="s">
        <v>47425</v>
      </c>
      <c r="P7721">
        <v>0</v>
      </c>
      <c r="Q7721">
        <v>1</v>
      </c>
      <c r="R7721" t="s">
        <v>47431</v>
      </c>
      <c r="S7721" t="s">
        <v>47565</v>
      </c>
      <c r="T7721" t="s">
        <v>49236</v>
      </c>
      <c r="U7721" t="s">
        <v>56100</v>
      </c>
      <c r="V7721" t="s">
        <v>63483</v>
      </c>
      <c r="W7721" t="s">
        <v>64517</v>
      </c>
      <c r="X7721" t="s">
        <v>47432</v>
      </c>
    </row>
    <row r="7722" spans="1:24">
      <c r="A7722">
        <f>HYPERLINK("https://www.philgeps.gov.ph/GEPSNONPILOT/Tender/SplashBidNoticeAbstractUI.aspx?menuIndex=3&amp;refID=7158440&amp;Result=3","7158440")</f>
        <v>0</v>
      </c>
      <c r="B7722" t="s">
        <v>2575</v>
      </c>
      <c r="C7722" t="s">
        <v>11169</v>
      </c>
      <c r="E7722" t="s">
        <v>25812</v>
      </c>
      <c r="F7722" t="s">
        <v>32831</v>
      </c>
      <c r="G7722" t="s">
        <v>32839</v>
      </c>
      <c r="H7722" t="s">
        <v>32848</v>
      </c>
      <c r="I7722" t="s">
        <v>32964</v>
      </c>
      <c r="J7722" t="s">
        <v>37800</v>
      </c>
      <c r="K7722" t="s">
        <v>42732</v>
      </c>
      <c r="M7722" t="s">
        <v>45792</v>
      </c>
      <c r="N7722" t="s">
        <v>47424</v>
      </c>
      <c r="O7722" t="s">
        <v>47425</v>
      </c>
      <c r="P7722">
        <v>0</v>
      </c>
      <c r="Q7722">
        <v>5</v>
      </c>
      <c r="R7722" t="s">
        <v>47431</v>
      </c>
      <c r="S7722" t="s">
        <v>47565</v>
      </c>
      <c r="T7722" t="s">
        <v>49483</v>
      </c>
      <c r="U7722" t="s">
        <v>56000</v>
      </c>
      <c r="W7722" t="s">
        <v>45792</v>
      </c>
      <c r="X7722" t="s">
        <v>47432</v>
      </c>
    </row>
    <row r="7723" spans="1:24">
      <c r="A7723">
        <f>HYPERLINK("https://www.philgeps.gov.ph/GEPSNONPILOT/Tender/SplashBidNoticeAbstractUI.aspx?menuIndex=3&amp;refID=7158328&amp;Result=3","7158328")</f>
        <v>0</v>
      </c>
      <c r="B7723" t="s">
        <v>2602</v>
      </c>
      <c r="C7723" t="s">
        <v>11170</v>
      </c>
      <c r="D7723" t="s">
        <v>19038</v>
      </c>
      <c r="E7723" t="s">
        <v>25813</v>
      </c>
      <c r="F7723" t="s">
        <v>32831</v>
      </c>
      <c r="G7723" t="s">
        <v>32839</v>
      </c>
      <c r="H7723" t="s">
        <v>32848</v>
      </c>
      <c r="I7723" t="s">
        <v>11484</v>
      </c>
      <c r="J7723" t="s">
        <v>36216</v>
      </c>
      <c r="K7723" t="s">
        <v>42731</v>
      </c>
      <c r="M7723" t="s">
        <v>45821</v>
      </c>
      <c r="N7723" t="s">
        <v>47424</v>
      </c>
      <c r="O7723" t="s">
        <v>47425</v>
      </c>
      <c r="P7723">
        <v>0</v>
      </c>
      <c r="Q7723">
        <v>5</v>
      </c>
      <c r="R7723" t="s">
        <v>47431</v>
      </c>
      <c r="S7723" t="s">
        <v>47565</v>
      </c>
      <c r="T7723" t="s">
        <v>49056</v>
      </c>
      <c r="U7723" t="s">
        <v>56101</v>
      </c>
      <c r="W7723" t="s">
        <v>45821</v>
      </c>
      <c r="X7723" t="s">
        <v>47432</v>
      </c>
    </row>
    <row r="7724" spans="1:24">
      <c r="A7724">
        <f>HYPERLINK("https://www.philgeps.gov.ph/GEPSNONPILOT/Tender/SplashBidNoticeAbstractUI.aspx?menuIndex=3&amp;refID=7158445&amp;Result=3","7158445")</f>
        <v>0</v>
      </c>
      <c r="B7724" t="s">
        <v>527</v>
      </c>
      <c r="C7724" t="s">
        <v>11171</v>
      </c>
      <c r="D7724" t="s">
        <v>19027</v>
      </c>
      <c r="E7724" t="s">
        <v>25814</v>
      </c>
      <c r="F7724" t="s">
        <v>32831</v>
      </c>
      <c r="G7724" t="s">
        <v>32839</v>
      </c>
      <c r="H7724" t="s">
        <v>32848</v>
      </c>
      <c r="I7724" t="s">
        <v>7416</v>
      </c>
      <c r="J7724" t="s">
        <v>37801</v>
      </c>
      <c r="K7724" t="s">
        <v>42732</v>
      </c>
      <c r="M7724" t="s">
        <v>44665</v>
      </c>
      <c r="N7724" t="s">
        <v>47424</v>
      </c>
      <c r="O7724" t="s">
        <v>47425</v>
      </c>
      <c r="P7724">
        <v>0</v>
      </c>
      <c r="Q7724">
        <v>0</v>
      </c>
      <c r="R7724" t="s">
        <v>47431</v>
      </c>
      <c r="S7724" t="s">
        <v>47565</v>
      </c>
      <c r="T7724" t="s">
        <v>49456</v>
      </c>
      <c r="U7724" t="s">
        <v>50084</v>
      </c>
      <c r="W7724" t="s">
        <v>44665</v>
      </c>
      <c r="X7724" t="s">
        <v>47432</v>
      </c>
    </row>
    <row r="7725" spans="1:24">
      <c r="A7725">
        <f>HYPERLINK("https://www.philgeps.gov.ph/GEPSNONPILOT/Tender/SplashBidNoticeAbstractUI.aspx?menuIndex=3&amp;refID=7158291&amp;Result=3","7158291")</f>
        <v>0</v>
      </c>
      <c r="B7725" t="s">
        <v>410</v>
      </c>
      <c r="C7725" t="s">
        <v>11172</v>
      </c>
      <c r="D7725" t="s">
        <v>19031</v>
      </c>
      <c r="E7725" t="s">
        <v>25815</v>
      </c>
      <c r="F7725" t="s">
        <v>32831</v>
      </c>
      <c r="G7725" t="s">
        <v>32838</v>
      </c>
      <c r="H7725" t="s">
        <v>32848</v>
      </c>
      <c r="I7725" t="s">
        <v>4558</v>
      </c>
      <c r="J7725" t="s">
        <v>37802</v>
      </c>
      <c r="K7725" t="s">
        <v>42730</v>
      </c>
      <c r="M7725" t="s">
        <v>43415</v>
      </c>
      <c r="N7725" t="s">
        <v>47424</v>
      </c>
      <c r="O7725" t="s">
        <v>47425</v>
      </c>
      <c r="P7725">
        <v>0</v>
      </c>
      <c r="Q7725">
        <v>2</v>
      </c>
      <c r="R7725" t="s">
        <v>47431</v>
      </c>
      <c r="S7725" t="s">
        <v>47565</v>
      </c>
      <c r="T7725" t="s">
        <v>49059</v>
      </c>
      <c r="U7725" t="s">
        <v>56102</v>
      </c>
      <c r="V7725" t="s">
        <v>63484</v>
      </c>
      <c r="W7725" t="s">
        <v>43415</v>
      </c>
      <c r="X7725" t="s">
        <v>47432</v>
      </c>
    </row>
    <row r="7726" spans="1:24">
      <c r="A7726">
        <f>HYPERLINK("https://www.philgeps.gov.ph/GEPSNONPILOT/Tender/SplashBidNoticeAbstractUI.aspx?menuIndex=3&amp;refID=7158290&amp;Result=3","7158290")</f>
        <v>0</v>
      </c>
      <c r="B7726" t="s">
        <v>2603</v>
      </c>
      <c r="C7726" t="s">
        <v>11173</v>
      </c>
      <c r="D7726" t="s">
        <v>19049</v>
      </c>
      <c r="E7726" t="s">
        <v>25816</v>
      </c>
      <c r="F7726" t="s">
        <v>32831</v>
      </c>
      <c r="G7726" t="s">
        <v>32839</v>
      </c>
      <c r="H7726" t="s">
        <v>32848</v>
      </c>
      <c r="I7726" t="s">
        <v>7416</v>
      </c>
      <c r="J7726" t="s">
        <v>37803</v>
      </c>
      <c r="K7726" t="s">
        <v>42726</v>
      </c>
      <c r="M7726" t="s">
        <v>45822</v>
      </c>
      <c r="N7726" t="s">
        <v>47424</v>
      </c>
      <c r="O7726" t="s">
        <v>47425</v>
      </c>
      <c r="P7726">
        <v>0</v>
      </c>
      <c r="Q7726">
        <v>0</v>
      </c>
      <c r="R7726" t="s">
        <v>47431</v>
      </c>
      <c r="S7726" t="s">
        <v>47565</v>
      </c>
      <c r="T7726" t="s">
        <v>49198</v>
      </c>
      <c r="U7726" t="s">
        <v>56103</v>
      </c>
      <c r="W7726" t="s">
        <v>45822</v>
      </c>
      <c r="X7726" t="s">
        <v>47432</v>
      </c>
    </row>
    <row r="7727" spans="1:24">
      <c r="A7727">
        <f>HYPERLINK("https://www.philgeps.gov.ph/GEPSNONPILOT/Tender/SplashBidNoticeAbstractUI.aspx?menuIndex=3&amp;refID=7158286&amp;Result=3","7158286")</f>
        <v>0</v>
      </c>
      <c r="B7727" t="s">
        <v>2584</v>
      </c>
      <c r="C7727" t="s">
        <v>4340</v>
      </c>
      <c r="D7727" t="s">
        <v>19062</v>
      </c>
      <c r="E7727" t="s">
        <v>24857</v>
      </c>
      <c r="F7727" t="s">
        <v>32831</v>
      </c>
      <c r="G7727" t="s">
        <v>32838</v>
      </c>
      <c r="H7727" t="s">
        <v>32848</v>
      </c>
      <c r="I7727" t="s">
        <v>4340</v>
      </c>
      <c r="J7727" t="s">
        <v>37804</v>
      </c>
      <c r="K7727" t="s">
        <v>42759</v>
      </c>
      <c r="M7727" t="s">
        <v>45802</v>
      </c>
      <c r="N7727" t="s">
        <v>47424</v>
      </c>
      <c r="O7727" t="s">
        <v>47425</v>
      </c>
      <c r="P7727">
        <v>0</v>
      </c>
      <c r="Q7727">
        <v>0</v>
      </c>
      <c r="R7727" t="s">
        <v>47431</v>
      </c>
      <c r="S7727" t="s">
        <v>47565</v>
      </c>
      <c r="T7727" t="s">
        <v>49212</v>
      </c>
      <c r="U7727" t="s">
        <v>56104</v>
      </c>
      <c r="W7727" t="s">
        <v>45802</v>
      </c>
      <c r="X7727" t="s">
        <v>47432</v>
      </c>
    </row>
    <row r="7728" spans="1:24">
      <c r="A7728">
        <f>HYPERLINK("https://www.philgeps.gov.ph/GEPSNONPILOT/Tender/SplashBidNoticeAbstractUI.aspx?menuIndex=3&amp;refID=7158285&amp;Result=3","7158285")</f>
        <v>0</v>
      </c>
      <c r="B7728" t="s">
        <v>67</v>
      </c>
      <c r="C7728" t="s">
        <v>11174</v>
      </c>
      <c r="D7728" t="s">
        <v>19099</v>
      </c>
      <c r="E7728" t="s">
        <v>25817</v>
      </c>
      <c r="F7728" t="s">
        <v>32831</v>
      </c>
      <c r="G7728" t="s">
        <v>32840</v>
      </c>
      <c r="H7728" t="s">
        <v>32848</v>
      </c>
      <c r="I7728" t="s">
        <v>32891</v>
      </c>
      <c r="J7728" t="s">
        <v>37805</v>
      </c>
      <c r="K7728" t="s">
        <v>42730</v>
      </c>
      <c r="M7728" t="s">
        <v>43749</v>
      </c>
      <c r="N7728" t="s">
        <v>47424</v>
      </c>
      <c r="O7728" t="s">
        <v>47425</v>
      </c>
      <c r="P7728">
        <v>0</v>
      </c>
      <c r="Q7728">
        <v>1</v>
      </c>
      <c r="R7728" t="s">
        <v>47431</v>
      </c>
      <c r="S7728" t="s">
        <v>47565</v>
      </c>
      <c r="T7728" t="s">
        <v>49206</v>
      </c>
      <c r="U7728" t="s">
        <v>51013</v>
      </c>
      <c r="W7728" t="s">
        <v>64446</v>
      </c>
      <c r="X7728" t="s">
        <v>47432</v>
      </c>
    </row>
    <row r="7729" spans="1:24">
      <c r="A7729">
        <f>HYPERLINK("https://www.philgeps.gov.ph/GEPSNONPILOT/Tender/SplashBidNoticeAbstractUI.aspx?menuIndex=3&amp;refID=7158329&amp;Result=3","7158329")</f>
        <v>0</v>
      </c>
      <c r="B7729" t="s">
        <v>473</v>
      </c>
      <c r="C7729" t="s">
        <v>11175</v>
      </c>
      <c r="D7729" t="s">
        <v>19091</v>
      </c>
      <c r="E7729" t="s">
        <v>25818</v>
      </c>
      <c r="F7729" t="s">
        <v>32831</v>
      </c>
      <c r="G7729" t="s">
        <v>32838</v>
      </c>
      <c r="H7729" t="s">
        <v>32848</v>
      </c>
      <c r="I7729" t="s">
        <v>4487</v>
      </c>
      <c r="J7729" t="s">
        <v>32983</v>
      </c>
      <c r="K7729" t="s">
        <v>42730</v>
      </c>
      <c r="M7729" t="s">
        <v>44430</v>
      </c>
      <c r="N7729" t="s">
        <v>47424</v>
      </c>
      <c r="O7729" t="s">
        <v>47425</v>
      </c>
      <c r="P7729">
        <v>0</v>
      </c>
      <c r="Q7729">
        <v>2</v>
      </c>
      <c r="R7729" t="s">
        <v>47431</v>
      </c>
      <c r="S7729" t="s">
        <v>47565</v>
      </c>
      <c r="T7729" t="s">
        <v>49111</v>
      </c>
      <c r="U7729" t="s">
        <v>56105</v>
      </c>
      <c r="W7729" t="s">
        <v>44430</v>
      </c>
      <c r="X7729" t="s">
        <v>47432</v>
      </c>
    </row>
    <row r="7730" spans="1:24">
      <c r="A7730">
        <f>HYPERLINK("https://www.philgeps.gov.ph/GEPSNONPILOT/Tender/SplashBidNoticeAbstractUI.aspx?menuIndex=3&amp;refID=7158505&amp;Result=3","7158505")</f>
        <v>0</v>
      </c>
      <c r="B7730" t="s">
        <v>56</v>
      </c>
      <c r="C7730" t="s">
        <v>11176</v>
      </c>
      <c r="D7730" t="s">
        <v>19040</v>
      </c>
      <c r="E7730" t="s">
        <v>25819</v>
      </c>
      <c r="F7730" t="s">
        <v>32831</v>
      </c>
      <c r="G7730" t="s">
        <v>32839</v>
      </c>
      <c r="H7730" t="s">
        <v>32849</v>
      </c>
      <c r="I7730" t="s">
        <v>4177</v>
      </c>
      <c r="J7730" t="s">
        <v>35531</v>
      </c>
      <c r="K7730" t="s">
        <v>42764</v>
      </c>
      <c r="M7730" t="s">
        <v>43053</v>
      </c>
      <c r="N7730" t="s">
        <v>47424</v>
      </c>
      <c r="O7730" t="s">
        <v>47425</v>
      </c>
      <c r="P7730">
        <v>0</v>
      </c>
      <c r="Q7730">
        <v>1</v>
      </c>
      <c r="R7730" t="s">
        <v>47431</v>
      </c>
      <c r="S7730" t="s">
        <v>47565</v>
      </c>
      <c r="T7730" t="s">
        <v>49484</v>
      </c>
      <c r="U7730" t="s">
        <v>56106</v>
      </c>
      <c r="W7730" t="s">
        <v>43053</v>
      </c>
      <c r="X7730" t="s">
        <v>47432</v>
      </c>
    </row>
    <row r="7731" spans="1:24">
      <c r="A7731">
        <f>HYPERLINK("https://www.philgeps.gov.ph/GEPSNONPILOT/Tender/SplashBidNoticeAbstractUI.aspx?menuIndex=3&amp;refID=7158499&amp;Result=3","7158499")</f>
        <v>0</v>
      </c>
      <c r="B7731" t="s">
        <v>1130</v>
      </c>
      <c r="C7731" t="s">
        <v>11177</v>
      </c>
      <c r="D7731" t="s">
        <v>19045</v>
      </c>
      <c r="E7731" t="s">
        <v>25820</v>
      </c>
      <c r="F7731" t="s">
        <v>32831</v>
      </c>
      <c r="G7731" t="s">
        <v>32838</v>
      </c>
      <c r="H7731" t="s">
        <v>32850</v>
      </c>
      <c r="I7731" t="s">
        <v>5379</v>
      </c>
      <c r="J7731" t="s">
        <v>35112</v>
      </c>
      <c r="K7731" t="s">
        <v>42759</v>
      </c>
      <c r="M7731" t="s">
        <v>44191</v>
      </c>
      <c r="N7731" t="s">
        <v>47424</v>
      </c>
      <c r="O7731" t="s">
        <v>47425</v>
      </c>
      <c r="P7731">
        <v>0</v>
      </c>
      <c r="Q7731">
        <v>4</v>
      </c>
      <c r="R7731" t="s">
        <v>47431</v>
      </c>
      <c r="S7731" t="s">
        <v>47565</v>
      </c>
      <c r="T7731" t="s">
        <v>49237</v>
      </c>
      <c r="U7731" t="s">
        <v>56107</v>
      </c>
      <c r="W7731" t="s">
        <v>44191</v>
      </c>
      <c r="X7731" t="s">
        <v>47432</v>
      </c>
    </row>
    <row r="7732" spans="1:24">
      <c r="A7732">
        <f>HYPERLINK("https://www.philgeps.gov.ph/GEPSNONPILOT/Tender/SplashBidNoticeAbstractUI.aspx?menuIndex=3&amp;refID=7158496&amp;Result=3","7158496")</f>
        <v>0</v>
      </c>
      <c r="B7732" t="s">
        <v>1650</v>
      </c>
      <c r="C7732" t="s">
        <v>6330</v>
      </c>
      <c r="D7732" t="s">
        <v>19057</v>
      </c>
      <c r="E7732" t="s">
        <v>19645</v>
      </c>
      <c r="F7732" t="s">
        <v>32831</v>
      </c>
      <c r="G7732" t="s">
        <v>32839</v>
      </c>
      <c r="H7732" t="s">
        <v>32849</v>
      </c>
      <c r="I7732" t="s">
        <v>4177</v>
      </c>
      <c r="J7732" t="s">
        <v>37806</v>
      </c>
      <c r="K7732" t="s">
        <v>42747</v>
      </c>
      <c r="M7732" t="s">
        <v>44767</v>
      </c>
      <c r="N7732" t="s">
        <v>47424</v>
      </c>
      <c r="O7732" t="s">
        <v>47425</v>
      </c>
      <c r="P7732">
        <v>0</v>
      </c>
      <c r="Q7732">
        <v>0</v>
      </c>
      <c r="R7732" t="s">
        <v>47431</v>
      </c>
      <c r="S7732" t="s">
        <v>47565</v>
      </c>
      <c r="T7732" t="s">
        <v>49470</v>
      </c>
      <c r="U7732" t="s">
        <v>56108</v>
      </c>
      <c r="V7732" t="s">
        <v>63485</v>
      </c>
      <c r="W7732" t="s">
        <v>44767</v>
      </c>
      <c r="X7732" t="s">
        <v>47432</v>
      </c>
    </row>
    <row r="7733" spans="1:24">
      <c r="A7733">
        <f>HYPERLINK("https://www.philgeps.gov.ph/GEPSNONPILOT/Tender/SplashBidNoticeAbstractUI.aspx?menuIndex=3&amp;refID=7158288&amp;Result=3","7158288")</f>
        <v>0</v>
      </c>
      <c r="B7733" t="s">
        <v>1070</v>
      </c>
      <c r="C7733" t="s">
        <v>11178</v>
      </c>
      <c r="D7733" t="s">
        <v>19021</v>
      </c>
      <c r="E7733" t="s">
        <v>25821</v>
      </c>
      <c r="F7733" t="s">
        <v>32831</v>
      </c>
      <c r="G7733" t="s">
        <v>32845</v>
      </c>
      <c r="H7733" t="s">
        <v>32848</v>
      </c>
      <c r="I7733" t="s">
        <v>32860</v>
      </c>
      <c r="J7733" t="s">
        <v>37807</v>
      </c>
      <c r="K7733" t="s">
        <v>42730</v>
      </c>
      <c r="M7733" t="s">
        <v>44127</v>
      </c>
      <c r="N7733" t="s">
        <v>47424</v>
      </c>
      <c r="O7733" t="s">
        <v>47425</v>
      </c>
      <c r="P7733">
        <v>0</v>
      </c>
      <c r="Q7733">
        <v>5</v>
      </c>
      <c r="R7733" t="s">
        <v>47431</v>
      </c>
      <c r="S7733" t="s">
        <v>47565</v>
      </c>
      <c r="T7733" t="s">
        <v>49077</v>
      </c>
      <c r="U7733" t="s">
        <v>56109</v>
      </c>
      <c r="W7733" t="s">
        <v>44127</v>
      </c>
      <c r="X7733" t="s">
        <v>47432</v>
      </c>
    </row>
    <row r="7734" spans="1:24">
      <c r="A7734">
        <f>HYPERLINK("https://www.philgeps.gov.ph/GEPSNONPILOT/Tender/SplashBidNoticeAbstractUI.aspx?menuIndex=3&amp;refID=7158427&amp;Result=3","7158427")</f>
        <v>0</v>
      </c>
      <c r="B7734" t="s">
        <v>2575</v>
      </c>
      <c r="C7734" t="s">
        <v>11179</v>
      </c>
      <c r="E7734" t="s">
        <v>25822</v>
      </c>
      <c r="F7734" t="s">
        <v>32831</v>
      </c>
      <c r="G7734" t="s">
        <v>32839</v>
      </c>
      <c r="H7734" t="s">
        <v>32848</v>
      </c>
      <c r="I7734" t="s">
        <v>32964</v>
      </c>
      <c r="J7734" t="s">
        <v>37808</v>
      </c>
      <c r="K7734" t="s">
        <v>42732</v>
      </c>
      <c r="M7734" t="s">
        <v>45792</v>
      </c>
      <c r="N7734" t="s">
        <v>47424</v>
      </c>
      <c r="O7734" t="s">
        <v>47425</v>
      </c>
      <c r="P7734">
        <v>0</v>
      </c>
      <c r="Q7734">
        <v>4</v>
      </c>
      <c r="R7734" t="s">
        <v>47431</v>
      </c>
      <c r="S7734" t="s">
        <v>47565</v>
      </c>
      <c r="T7734" t="s">
        <v>49483</v>
      </c>
      <c r="U7734" t="s">
        <v>56000</v>
      </c>
      <c r="W7734" t="s">
        <v>45792</v>
      </c>
      <c r="X7734" t="s">
        <v>47432</v>
      </c>
    </row>
    <row r="7735" spans="1:24">
      <c r="A7735">
        <f>HYPERLINK("https://www.philgeps.gov.ph/GEPSNONPILOT/Tender/SplashBidNoticeAbstractUI.aspx?menuIndex=3&amp;refID=7158485&amp;Result=3","7158485")</f>
        <v>0</v>
      </c>
      <c r="B7735" t="s">
        <v>2604</v>
      </c>
      <c r="C7735" t="s">
        <v>11180</v>
      </c>
      <c r="D7735" t="s">
        <v>19021</v>
      </c>
      <c r="E7735" t="s">
        <v>19208</v>
      </c>
      <c r="F7735" t="s">
        <v>32831</v>
      </c>
      <c r="G7735" t="s">
        <v>32839</v>
      </c>
      <c r="H7735" t="s">
        <v>32848</v>
      </c>
      <c r="I7735" t="s">
        <v>7416</v>
      </c>
      <c r="J7735" t="s">
        <v>37809</v>
      </c>
      <c r="K7735" t="s">
        <v>42727</v>
      </c>
      <c r="M7735" t="s">
        <v>45823</v>
      </c>
      <c r="N7735" t="s">
        <v>47424</v>
      </c>
      <c r="O7735" t="s">
        <v>47425</v>
      </c>
      <c r="P7735">
        <v>0</v>
      </c>
      <c r="Q7735">
        <v>0</v>
      </c>
      <c r="R7735" t="s">
        <v>47431</v>
      </c>
      <c r="S7735" t="s">
        <v>47565</v>
      </c>
      <c r="T7735" t="s">
        <v>49129</v>
      </c>
      <c r="U7735" t="s">
        <v>56110</v>
      </c>
      <c r="W7735" t="s">
        <v>45823</v>
      </c>
      <c r="X7735" t="s">
        <v>47432</v>
      </c>
    </row>
    <row r="7736" spans="1:24">
      <c r="A7736">
        <f>HYPERLINK("https://www.philgeps.gov.ph/GEPSNONPILOT/Tender/SplashBidNoticeAbstractUI.aspx?menuIndex=3&amp;refID=7158490&amp;Result=3","7158490")</f>
        <v>0</v>
      </c>
      <c r="B7736" t="s">
        <v>2605</v>
      </c>
      <c r="C7736" t="s">
        <v>11181</v>
      </c>
      <c r="D7736" t="s">
        <v>19074</v>
      </c>
      <c r="E7736" t="s">
        <v>25823</v>
      </c>
      <c r="F7736" t="s">
        <v>32831</v>
      </c>
      <c r="G7736" t="s">
        <v>32839</v>
      </c>
      <c r="H7736" t="s">
        <v>32849</v>
      </c>
      <c r="I7736" t="s">
        <v>4177</v>
      </c>
      <c r="J7736" t="s">
        <v>37810</v>
      </c>
      <c r="K7736" t="s">
        <v>42792</v>
      </c>
      <c r="M7736" t="s">
        <v>45824</v>
      </c>
      <c r="N7736" t="s">
        <v>47424</v>
      </c>
      <c r="O7736" t="s">
        <v>47425</v>
      </c>
      <c r="P7736">
        <v>0</v>
      </c>
      <c r="Q7736">
        <v>0</v>
      </c>
      <c r="R7736" t="s">
        <v>47431</v>
      </c>
      <c r="S7736" t="s">
        <v>47565</v>
      </c>
      <c r="T7736" t="s">
        <v>49236</v>
      </c>
      <c r="U7736" t="s">
        <v>56111</v>
      </c>
      <c r="W7736" t="s">
        <v>45824</v>
      </c>
      <c r="X7736" t="s">
        <v>47432</v>
      </c>
    </row>
    <row r="7737" spans="1:24">
      <c r="A7737">
        <f>HYPERLINK("https://www.philgeps.gov.ph/GEPSNONPILOT/Tender/SplashBidNoticeAbstractUI.aspx?menuIndex=3&amp;refID=7158493&amp;Result=3","7158493")</f>
        <v>0</v>
      </c>
      <c r="B7737" t="s">
        <v>1130</v>
      </c>
      <c r="C7737" t="s">
        <v>11182</v>
      </c>
      <c r="D7737" t="s">
        <v>19045</v>
      </c>
      <c r="E7737" t="s">
        <v>25824</v>
      </c>
      <c r="F7737" t="s">
        <v>32831</v>
      </c>
      <c r="G7737" t="s">
        <v>32838</v>
      </c>
      <c r="H7737" t="s">
        <v>32848</v>
      </c>
      <c r="I7737" t="s">
        <v>4558</v>
      </c>
      <c r="J7737" t="s">
        <v>33854</v>
      </c>
      <c r="K7737" t="s">
        <v>42745</v>
      </c>
      <c r="M7737" t="s">
        <v>44191</v>
      </c>
      <c r="N7737" t="s">
        <v>47424</v>
      </c>
      <c r="O7737" t="s">
        <v>47425</v>
      </c>
      <c r="P7737">
        <v>0</v>
      </c>
      <c r="Q7737">
        <v>0</v>
      </c>
      <c r="R7737" t="s">
        <v>47431</v>
      </c>
      <c r="S7737" t="s">
        <v>47565</v>
      </c>
      <c r="T7737" t="s">
        <v>49237</v>
      </c>
      <c r="U7737" t="s">
        <v>56112</v>
      </c>
      <c r="W7737" t="s">
        <v>44191</v>
      </c>
      <c r="X7737" t="s">
        <v>47432</v>
      </c>
    </row>
    <row r="7738" spans="1:24">
      <c r="A7738">
        <f>HYPERLINK("https://www.philgeps.gov.ph/GEPSNONPILOT/Tender/SplashBidNoticeAbstractUI.aspx?menuIndex=3&amp;refID=7158426&amp;Result=3","7158426")</f>
        <v>0</v>
      </c>
      <c r="B7738" t="s">
        <v>91</v>
      </c>
      <c r="C7738" t="s">
        <v>11183</v>
      </c>
      <c r="D7738" t="s">
        <v>19056</v>
      </c>
      <c r="E7738" t="s">
        <v>25825</v>
      </c>
      <c r="F7738" t="s">
        <v>32831</v>
      </c>
      <c r="G7738" t="s">
        <v>32842</v>
      </c>
      <c r="H7738" t="s">
        <v>32848</v>
      </c>
      <c r="I7738" t="s">
        <v>32860</v>
      </c>
      <c r="J7738" t="s">
        <v>37811</v>
      </c>
      <c r="K7738" t="s">
        <v>42732</v>
      </c>
      <c r="M7738" t="s">
        <v>43088</v>
      </c>
      <c r="N7738" t="s">
        <v>47424</v>
      </c>
      <c r="O7738" t="s">
        <v>47425</v>
      </c>
      <c r="P7738">
        <v>0</v>
      </c>
      <c r="Q7738">
        <v>5</v>
      </c>
      <c r="R7738" t="s">
        <v>47431</v>
      </c>
      <c r="S7738" t="s">
        <v>47565</v>
      </c>
      <c r="T7738" t="s">
        <v>49111</v>
      </c>
      <c r="U7738" t="s">
        <v>56113</v>
      </c>
      <c r="V7738" t="s">
        <v>62639</v>
      </c>
      <c r="W7738" t="s">
        <v>43088</v>
      </c>
      <c r="X7738" t="s">
        <v>47432</v>
      </c>
    </row>
    <row r="7739" spans="1:24">
      <c r="A7739">
        <f>HYPERLINK("https://www.philgeps.gov.ph/GEPSNONPILOT/Tender/SplashBidNoticeAbstractUI.aspx?menuIndex=3&amp;refID=7158492&amp;Result=3","7158492")</f>
        <v>0</v>
      </c>
      <c r="B7739" t="s">
        <v>2605</v>
      </c>
      <c r="C7739" t="s">
        <v>11184</v>
      </c>
      <c r="D7739" t="s">
        <v>19074</v>
      </c>
      <c r="E7739" t="s">
        <v>25826</v>
      </c>
      <c r="F7739" t="s">
        <v>32831</v>
      </c>
      <c r="G7739" t="s">
        <v>32839</v>
      </c>
      <c r="H7739" t="s">
        <v>32849</v>
      </c>
      <c r="I7739" t="s">
        <v>4177</v>
      </c>
      <c r="J7739" t="s">
        <v>37812</v>
      </c>
      <c r="K7739" t="s">
        <v>42829</v>
      </c>
      <c r="M7739" t="s">
        <v>45824</v>
      </c>
      <c r="N7739" t="s">
        <v>47424</v>
      </c>
      <c r="O7739" t="s">
        <v>47425</v>
      </c>
      <c r="P7739">
        <v>0</v>
      </c>
      <c r="Q7739">
        <v>0</v>
      </c>
      <c r="R7739" t="s">
        <v>47431</v>
      </c>
      <c r="S7739" t="s">
        <v>47565</v>
      </c>
      <c r="T7739" t="s">
        <v>49236</v>
      </c>
      <c r="U7739" t="s">
        <v>56111</v>
      </c>
      <c r="W7739" t="s">
        <v>45824</v>
      </c>
      <c r="X7739" t="s">
        <v>47432</v>
      </c>
    </row>
    <row r="7740" spans="1:24">
      <c r="A7740">
        <f>HYPERLINK("https://www.philgeps.gov.ph/GEPSNONPILOT/Tender/SplashBidNoticeAbstractUI.aspx?menuIndex=3&amp;refID=7158504&amp;Result=3","7158504")</f>
        <v>0</v>
      </c>
      <c r="B7740" t="s">
        <v>1650</v>
      </c>
      <c r="C7740" t="s">
        <v>11185</v>
      </c>
      <c r="D7740" t="s">
        <v>19057</v>
      </c>
      <c r="E7740" t="s">
        <v>19790</v>
      </c>
      <c r="F7740" t="s">
        <v>32831</v>
      </c>
      <c r="G7740" t="s">
        <v>32839</v>
      </c>
      <c r="H7740" t="s">
        <v>32849</v>
      </c>
      <c r="I7740" t="s">
        <v>4177</v>
      </c>
      <c r="J7740" t="s">
        <v>37813</v>
      </c>
      <c r="K7740" t="s">
        <v>42730</v>
      </c>
      <c r="M7740" t="s">
        <v>44767</v>
      </c>
      <c r="N7740" t="s">
        <v>47424</v>
      </c>
      <c r="O7740" t="s">
        <v>47425</v>
      </c>
      <c r="P7740">
        <v>0</v>
      </c>
      <c r="Q7740">
        <v>0</v>
      </c>
      <c r="R7740" t="s">
        <v>47431</v>
      </c>
      <c r="S7740" t="s">
        <v>47565</v>
      </c>
      <c r="T7740" t="s">
        <v>49470</v>
      </c>
      <c r="U7740" t="s">
        <v>56114</v>
      </c>
      <c r="V7740" t="s">
        <v>63486</v>
      </c>
      <c r="W7740" t="s">
        <v>44767</v>
      </c>
      <c r="X7740" t="s">
        <v>47432</v>
      </c>
    </row>
    <row r="7741" spans="1:24">
      <c r="A7741">
        <f>HYPERLINK("https://www.philgeps.gov.ph/GEPSNONPILOT/Tender/SplashBidNoticeAbstractUI.aspx?menuIndex=3&amp;refID=7158474&amp;Result=3","7158474")</f>
        <v>0</v>
      </c>
      <c r="B7741" t="s">
        <v>527</v>
      </c>
      <c r="C7741" t="s">
        <v>11186</v>
      </c>
      <c r="D7741" t="s">
        <v>19027</v>
      </c>
      <c r="E7741" t="s">
        <v>25827</v>
      </c>
      <c r="F7741" t="s">
        <v>32831</v>
      </c>
      <c r="G7741" t="s">
        <v>32839</v>
      </c>
      <c r="H7741" t="s">
        <v>32848</v>
      </c>
      <c r="I7741" t="s">
        <v>32858</v>
      </c>
      <c r="J7741" t="s">
        <v>33313</v>
      </c>
      <c r="K7741" t="s">
        <v>42732</v>
      </c>
      <c r="M7741" t="s">
        <v>44665</v>
      </c>
      <c r="N7741" t="s">
        <v>47424</v>
      </c>
      <c r="O7741" t="s">
        <v>47425</v>
      </c>
      <c r="P7741">
        <v>0</v>
      </c>
      <c r="Q7741">
        <v>1</v>
      </c>
      <c r="R7741" t="s">
        <v>47431</v>
      </c>
      <c r="S7741" t="s">
        <v>47565</v>
      </c>
      <c r="T7741" t="s">
        <v>49456</v>
      </c>
      <c r="U7741" t="s">
        <v>50084</v>
      </c>
      <c r="W7741" t="s">
        <v>44665</v>
      </c>
      <c r="X7741" t="s">
        <v>47432</v>
      </c>
    </row>
    <row r="7742" spans="1:24">
      <c r="A7742">
        <f>HYPERLINK("https://www.philgeps.gov.ph/GEPSNONPILOT/Tender/SplashBidNoticeAbstractUI.aspx?menuIndex=3&amp;refID=7158339&amp;Result=3","7158339")</f>
        <v>0</v>
      </c>
      <c r="B7742" t="s">
        <v>567</v>
      </c>
      <c r="C7742" t="s">
        <v>11187</v>
      </c>
      <c r="D7742" t="s">
        <v>19031</v>
      </c>
      <c r="E7742" t="s">
        <v>25828</v>
      </c>
      <c r="F7742" t="s">
        <v>32831</v>
      </c>
      <c r="G7742" t="s">
        <v>32838</v>
      </c>
      <c r="H7742" t="s">
        <v>32848</v>
      </c>
      <c r="I7742" t="s">
        <v>4776</v>
      </c>
      <c r="J7742" t="s">
        <v>32980</v>
      </c>
      <c r="K7742" t="s">
        <v>42727</v>
      </c>
      <c r="M7742" t="s">
        <v>43577</v>
      </c>
      <c r="N7742" t="s">
        <v>47424</v>
      </c>
      <c r="O7742" t="s">
        <v>47425</v>
      </c>
      <c r="P7742">
        <v>0</v>
      </c>
      <c r="Q7742">
        <v>0</v>
      </c>
      <c r="R7742" t="s">
        <v>47431</v>
      </c>
      <c r="S7742" t="s">
        <v>47565</v>
      </c>
      <c r="T7742" t="s">
        <v>49235</v>
      </c>
      <c r="U7742" t="s">
        <v>50719</v>
      </c>
      <c r="W7742" t="s">
        <v>43577</v>
      </c>
      <c r="X7742" t="s">
        <v>47432</v>
      </c>
    </row>
    <row r="7743" spans="1:24">
      <c r="A7743">
        <f>HYPERLINK("https://www.philgeps.gov.ph/GEPSNONPILOT/Tender/SplashBidNoticeAbstractUI.aspx?menuIndex=3&amp;refID=7158484&amp;Result=3","7158484")</f>
        <v>0</v>
      </c>
      <c r="B7743" t="s">
        <v>1650</v>
      </c>
      <c r="C7743" t="s">
        <v>6330</v>
      </c>
      <c r="D7743" t="s">
        <v>19057</v>
      </c>
      <c r="E7743" t="s">
        <v>19606</v>
      </c>
      <c r="F7743" t="s">
        <v>32831</v>
      </c>
      <c r="G7743" t="s">
        <v>32839</v>
      </c>
      <c r="H7743" t="s">
        <v>32849</v>
      </c>
      <c r="I7743" t="s">
        <v>4177</v>
      </c>
      <c r="J7743" t="s">
        <v>37814</v>
      </c>
      <c r="K7743" t="s">
        <v>42729</v>
      </c>
      <c r="M7743" t="s">
        <v>44767</v>
      </c>
      <c r="N7743" t="s">
        <v>47424</v>
      </c>
      <c r="O7743" t="s">
        <v>47425</v>
      </c>
      <c r="P7743">
        <v>0</v>
      </c>
      <c r="Q7743">
        <v>0</v>
      </c>
      <c r="R7743" t="s">
        <v>47431</v>
      </c>
      <c r="S7743" t="s">
        <v>47565</v>
      </c>
      <c r="T7743" t="s">
        <v>49470</v>
      </c>
      <c r="U7743" t="s">
        <v>56115</v>
      </c>
      <c r="V7743" t="s">
        <v>63487</v>
      </c>
      <c r="W7743" t="s">
        <v>44767</v>
      </c>
      <c r="X7743" t="s">
        <v>47432</v>
      </c>
    </row>
    <row r="7744" spans="1:24">
      <c r="A7744">
        <f>HYPERLINK("https://www.philgeps.gov.ph/GEPSNONPILOT/Tender/SplashBidNoticeAbstractUI.aspx?menuIndex=3&amp;refID=7158479&amp;Result=3","7158479")</f>
        <v>0</v>
      </c>
      <c r="B7744" t="s">
        <v>1130</v>
      </c>
      <c r="C7744" t="s">
        <v>11188</v>
      </c>
      <c r="D7744" t="s">
        <v>19045</v>
      </c>
      <c r="E7744" t="s">
        <v>25829</v>
      </c>
      <c r="F7744" t="s">
        <v>32831</v>
      </c>
      <c r="G7744" t="s">
        <v>32838</v>
      </c>
      <c r="H7744" t="s">
        <v>32848</v>
      </c>
      <c r="I7744" t="s">
        <v>32857</v>
      </c>
      <c r="J7744" t="s">
        <v>35431</v>
      </c>
      <c r="K7744" t="s">
        <v>42745</v>
      </c>
      <c r="M7744" t="s">
        <v>44191</v>
      </c>
      <c r="N7744" t="s">
        <v>47424</v>
      </c>
      <c r="O7744" t="s">
        <v>47425</v>
      </c>
      <c r="P7744">
        <v>0</v>
      </c>
      <c r="Q7744">
        <v>0</v>
      </c>
      <c r="R7744" t="s">
        <v>47431</v>
      </c>
      <c r="S7744" t="s">
        <v>47565</v>
      </c>
      <c r="T7744" t="s">
        <v>49237</v>
      </c>
      <c r="U7744" t="s">
        <v>56116</v>
      </c>
      <c r="W7744" t="s">
        <v>44191</v>
      </c>
      <c r="X7744" t="s">
        <v>47432</v>
      </c>
    </row>
    <row r="7745" spans="1:24">
      <c r="A7745">
        <f>HYPERLINK("https://www.philgeps.gov.ph/GEPSNONPILOT/Tender/SplashBidNoticeAbstractUI.aspx?menuIndex=3&amp;refID=6836147&amp;Result=3","6836147")</f>
        <v>0</v>
      </c>
      <c r="B7745" t="s">
        <v>2606</v>
      </c>
      <c r="C7745" t="s">
        <v>11189</v>
      </c>
      <c r="D7745" t="s">
        <v>19034</v>
      </c>
      <c r="E7745" t="s">
        <v>25830</v>
      </c>
      <c r="F7745" t="s">
        <v>32833</v>
      </c>
      <c r="G7745" t="s">
        <v>32841</v>
      </c>
      <c r="H7745" t="s">
        <v>32849</v>
      </c>
      <c r="I7745" t="s">
        <v>7416</v>
      </c>
      <c r="J7745" t="s">
        <v>37815</v>
      </c>
      <c r="K7745" t="s">
        <v>42824</v>
      </c>
      <c r="M7745" t="s">
        <v>45825</v>
      </c>
      <c r="N7745" t="s">
        <v>47424</v>
      </c>
      <c r="O7745" t="s">
        <v>47425</v>
      </c>
      <c r="P7745">
        <v>0</v>
      </c>
      <c r="Q7745">
        <v>2</v>
      </c>
      <c r="R7745" t="s">
        <v>47432</v>
      </c>
      <c r="S7745" t="s">
        <v>47597</v>
      </c>
      <c r="T7745" t="s">
        <v>49084</v>
      </c>
      <c r="U7745" t="s">
        <v>56117</v>
      </c>
      <c r="W7745" t="s">
        <v>45825</v>
      </c>
      <c r="X7745" t="s">
        <v>64572</v>
      </c>
    </row>
    <row r="7746" spans="1:24">
      <c r="A7746">
        <f>HYPERLINK("https://www.philgeps.gov.ph/GEPSNONPILOT/Tender/SplashBidNoticeAbstractUI.aspx?menuIndex=3&amp;refID=7158546&amp;Result=3","7158546")</f>
        <v>0</v>
      </c>
      <c r="B7746" t="s">
        <v>424</v>
      </c>
      <c r="C7746" t="s">
        <v>11190</v>
      </c>
      <c r="D7746" t="s">
        <v>19062</v>
      </c>
      <c r="E7746" t="s">
        <v>25831</v>
      </c>
      <c r="F7746" t="s">
        <v>32831</v>
      </c>
      <c r="G7746" t="s">
        <v>32842</v>
      </c>
      <c r="H7746" t="s">
        <v>32848</v>
      </c>
      <c r="I7746" t="s">
        <v>32860</v>
      </c>
      <c r="J7746" t="s">
        <v>37816</v>
      </c>
      <c r="K7746" t="s">
        <v>42745</v>
      </c>
      <c r="M7746" t="s">
        <v>43429</v>
      </c>
      <c r="N7746" t="s">
        <v>47424</v>
      </c>
      <c r="O7746" t="s">
        <v>47425</v>
      </c>
      <c r="P7746">
        <v>0</v>
      </c>
      <c r="Q7746">
        <v>2</v>
      </c>
      <c r="R7746" t="s">
        <v>47431</v>
      </c>
      <c r="S7746" t="s">
        <v>47565</v>
      </c>
      <c r="T7746" t="s">
        <v>49079</v>
      </c>
      <c r="U7746" t="s">
        <v>56118</v>
      </c>
      <c r="W7746" t="s">
        <v>43429</v>
      </c>
      <c r="X7746" t="s">
        <v>47432</v>
      </c>
    </row>
    <row r="7747" spans="1:24">
      <c r="A7747">
        <f>HYPERLINK("https://www.philgeps.gov.ph/GEPSNONPILOT/Tender/SplashBidNoticeAbstractUI.aspx?menuIndex=3&amp;refID=7158542&amp;Result=3","7158542")</f>
        <v>0</v>
      </c>
      <c r="B7747" t="s">
        <v>424</v>
      </c>
      <c r="C7747" t="s">
        <v>11191</v>
      </c>
      <c r="D7747" t="s">
        <v>19062</v>
      </c>
      <c r="E7747" t="s">
        <v>25832</v>
      </c>
      <c r="F7747" t="s">
        <v>32831</v>
      </c>
      <c r="G7747" t="s">
        <v>32838</v>
      </c>
      <c r="H7747" t="s">
        <v>32848</v>
      </c>
      <c r="I7747" t="s">
        <v>4435</v>
      </c>
      <c r="J7747" t="s">
        <v>33090</v>
      </c>
      <c r="K7747" t="s">
        <v>42730</v>
      </c>
      <c r="M7747" t="s">
        <v>43429</v>
      </c>
      <c r="N7747" t="s">
        <v>47424</v>
      </c>
      <c r="O7747" t="s">
        <v>47425</v>
      </c>
      <c r="P7747">
        <v>0</v>
      </c>
      <c r="Q7747">
        <v>2</v>
      </c>
      <c r="R7747" t="s">
        <v>47431</v>
      </c>
      <c r="S7747" t="s">
        <v>47565</v>
      </c>
      <c r="T7747" t="s">
        <v>49079</v>
      </c>
      <c r="U7747" t="s">
        <v>56118</v>
      </c>
      <c r="W7747" t="s">
        <v>43429</v>
      </c>
      <c r="X7747" t="s">
        <v>47432</v>
      </c>
    </row>
    <row r="7748" spans="1:24">
      <c r="A7748">
        <f>HYPERLINK("https://www.philgeps.gov.ph/GEPSNONPILOT/Tender/SplashBidNoticeAbstractUI.aspx?menuIndex=3&amp;refID=7158541&amp;Result=3","7158541")</f>
        <v>0</v>
      </c>
      <c r="B7748" t="s">
        <v>424</v>
      </c>
      <c r="C7748" t="s">
        <v>11192</v>
      </c>
      <c r="D7748" t="s">
        <v>19062</v>
      </c>
      <c r="E7748" t="s">
        <v>25833</v>
      </c>
      <c r="F7748" t="s">
        <v>32831</v>
      </c>
      <c r="G7748" t="s">
        <v>32842</v>
      </c>
      <c r="H7748" t="s">
        <v>32848</v>
      </c>
      <c r="I7748" t="s">
        <v>4776</v>
      </c>
      <c r="J7748" t="s">
        <v>33133</v>
      </c>
      <c r="K7748" t="s">
        <v>42745</v>
      </c>
      <c r="M7748" t="s">
        <v>43429</v>
      </c>
      <c r="N7748" t="s">
        <v>47424</v>
      </c>
      <c r="O7748" t="s">
        <v>47425</v>
      </c>
      <c r="P7748">
        <v>0</v>
      </c>
      <c r="Q7748">
        <v>1</v>
      </c>
      <c r="R7748" t="s">
        <v>47431</v>
      </c>
      <c r="S7748" t="s">
        <v>47565</v>
      </c>
      <c r="T7748" t="s">
        <v>49079</v>
      </c>
      <c r="U7748" t="s">
        <v>56118</v>
      </c>
      <c r="W7748" t="s">
        <v>43429</v>
      </c>
      <c r="X7748" t="s">
        <v>47432</v>
      </c>
    </row>
    <row r="7749" spans="1:24">
      <c r="A7749">
        <f>HYPERLINK("https://www.philgeps.gov.ph/GEPSNONPILOT/Tender/SplashBidNoticeAbstractUI.aspx?menuIndex=3&amp;refID=7158539&amp;Result=3","7158539")</f>
        <v>0</v>
      </c>
      <c r="B7749" t="s">
        <v>2135</v>
      </c>
      <c r="C7749" t="s">
        <v>11193</v>
      </c>
      <c r="D7749" t="s">
        <v>19027</v>
      </c>
      <c r="E7749" t="s">
        <v>24972</v>
      </c>
      <c r="F7749" t="s">
        <v>32831</v>
      </c>
      <c r="G7749" t="s">
        <v>32838</v>
      </c>
      <c r="H7749" t="s">
        <v>32848</v>
      </c>
      <c r="I7749" t="s">
        <v>32891</v>
      </c>
      <c r="J7749" t="s">
        <v>37817</v>
      </c>
      <c r="K7749" t="s">
        <v>42745</v>
      </c>
      <c r="M7749" t="s">
        <v>45313</v>
      </c>
      <c r="N7749" t="s">
        <v>47424</v>
      </c>
      <c r="O7749" t="s">
        <v>47425</v>
      </c>
      <c r="P7749">
        <v>0</v>
      </c>
      <c r="Q7749">
        <v>1</v>
      </c>
      <c r="R7749" t="s">
        <v>47431</v>
      </c>
      <c r="S7749" t="s">
        <v>47565</v>
      </c>
      <c r="T7749" t="s">
        <v>49162</v>
      </c>
      <c r="U7749" t="s">
        <v>56119</v>
      </c>
      <c r="V7749" t="s">
        <v>63488</v>
      </c>
      <c r="W7749" t="s">
        <v>64502</v>
      </c>
      <c r="X7749" t="s">
        <v>47432</v>
      </c>
    </row>
    <row r="7750" spans="1:24">
      <c r="A7750">
        <f>HYPERLINK("https://www.philgeps.gov.ph/GEPSNONPILOT/Tender/SplashBidNoticeAbstractUI.aspx?menuIndex=3&amp;refID=7158538&amp;Result=3","7158538")</f>
        <v>0</v>
      </c>
      <c r="B7750" t="s">
        <v>2607</v>
      </c>
      <c r="C7750" t="s">
        <v>11194</v>
      </c>
      <c r="D7750" t="s">
        <v>19064</v>
      </c>
      <c r="E7750" t="s">
        <v>25834</v>
      </c>
      <c r="F7750" t="s">
        <v>32831</v>
      </c>
      <c r="G7750" t="s">
        <v>32838</v>
      </c>
      <c r="H7750" t="s">
        <v>32848</v>
      </c>
      <c r="I7750" t="s">
        <v>9577</v>
      </c>
      <c r="J7750" t="s">
        <v>33578</v>
      </c>
      <c r="K7750" t="s">
        <v>42726</v>
      </c>
      <c r="M7750" t="s">
        <v>45826</v>
      </c>
      <c r="N7750" t="s">
        <v>47424</v>
      </c>
      <c r="O7750" t="s">
        <v>47425</v>
      </c>
      <c r="P7750">
        <v>0</v>
      </c>
      <c r="Q7750">
        <v>0</v>
      </c>
      <c r="R7750" t="s">
        <v>47431</v>
      </c>
      <c r="S7750" t="s">
        <v>47565</v>
      </c>
      <c r="T7750" t="s">
        <v>49214</v>
      </c>
      <c r="U7750" t="s">
        <v>56120</v>
      </c>
      <c r="W7750" t="s">
        <v>64519</v>
      </c>
      <c r="X7750" t="s">
        <v>47432</v>
      </c>
    </row>
    <row r="7751" spans="1:24">
      <c r="A7751">
        <f>HYPERLINK("https://www.philgeps.gov.ph/GEPSNONPILOT/Tender/SplashBidNoticeAbstractUI.aspx?menuIndex=3&amp;refID=7158534&amp;Result=3","7158534")</f>
        <v>0</v>
      </c>
      <c r="B7751" t="s">
        <v>2607</v>
      </c>
      <c r="C7751" t="s">
        <v>4067</v>
      </c>
      <c r="D7751" t="s">
        <v>19064</v>
      </c>
      <c r="E7751" t="s">
        <v>25835</v>
      </c>
      <c r="F7751" t="s">
        <v>32831</v>
      </c>
      <c r="G7751" t="s">
        <v>32838</v>
      </c>
      <c r="H7751" t="s">
        <v>32848</v>
      </c>
      <c r="I7751" t="s">
        <v>9577</v>
      </c>
      <c r="J7751" t="s">
        <v>33268</v>
      </c>
      <c r="K7751" t="s">
        <v>42726</v>
      </c>
      <c r="M7751" t="s">
        <v>45826</v>
      </c>
      <c r="N7751" t="s">
        <v>47424</v>
      </c>
      <c r="O7751" t="s">
        <v>47425</v>
      </c>
      <c r="P7751">
        <v>0</v>
      </c>
      <c r="Q7751">
        <v>0</v>
      </c>
      <c r="R7751" t="s">
        <v>47431</v>
      </c>
      <c r="S7751" t="s">
        <v>47565</v>
      </c>
      <c r="T7751" t="s">
        <v>49214</v>
      </c>
      <c r="U7751" t="s">
        <v>56121</v>
      </c>
      <c r="W7751" t="s">
        <v>64519</v>
      </c>
      <c r="X7751" t="s">
        <v>47432</v>
      </c>
    </row>
    <row r="7752" spans="1:24">
      <c r="A7752">
        <f>HYPERLINK("https://www.philgeps.gov.ph/GEPSNONPILOT/Tender/SplashBidNoticeAbstractUI.aspx?menuIndex=3&amp;refID=7158481&amp;Result=3","7158481")</f>
        <v>0</v>
      </c>
      <c r="B7752" t="s">
        <v>2605</v>
      </c>
      <c r="C7752" t="s">
        <v>11195</v>
      </c>
      <c r="D7752" t="s">
        <v>19074</v>
      </c>
      <c r="E7752" t="s">
        <v>25836</v>
      </c>
      <c r="F7752" t="s">
        <v>32831</v>
      </c>
      <c r="G7752" t="s">
        <v>32839</v>
      </c>
      <c r="H7752" t="s">
        <v>32849</v>
      </c>
      <c r="I7752" t="s">
        <v>4177</v>
      </c>
      <c r="J7752" t="s">
        <v>37818</v>
      </c>
      <c r="K7752" t="s">
        <v>42836</v>
      </c>
      <c r="M7752" t="s">
        <v>45824</v>
      </c>
      <c r="N7752" t="s">
        <v>47424</v>
      </c>
      <c r="O7752" t="s">
        <v>47425</v>
      </c>
      <c r="P7752">
        <v>0</v>
      </c>
      <c r="Q7752">
        <v>1</v>
      </c>
      <c r="R7752" t="s">
        <v>47431</v>
      </c>
      <c r="S7752" t="s">
        <v>47565</v>
      </c>
      <c r="T7752" t="s">
        <v>49236</v>
      </c>
      <c r="U7752" t="s">
        <v>56111</v>
      </c>
      <c r="W7752" t="s">
        <v>45824</v>
      </c>
      <c r="X7752" t="s">
        <v>47432</v>
      </c>
    </row>
    <row r="7753" spans="1:24">
      <c r="A7753">
        <f>HYPERLINK("https://www.philgeps.gov.ph/GEPSNONPILOT/Tender/SplashBidNoticeAbstractUI.aspx?menuIndex=3&amp;refID=7158523&amp;Result=3","7158523")</f>
        <v>0</v>
      </c>
      <c r="B7753" t="s">
        <v>2608</v>
      </c>
      <c r="C7753" t="s">
        <v>11196</v>
      </c>
      <c r="D7753" t="s">
        <v>19023</v>
      </c>
      <c r="E7753" t="s">
        <v>25837</v>
      </c>
      <c r="F7753" t="s">
        <v>32831</v>
      </c>
      <c r="G7753" t="s">
        <v>32838</v>
      </c>
      <c r="H7753" t="s">
        <v>32848</v>
      </c>
      <c r="I7753" t="s">
        <v>5379</v>
      </c>
      <c r="J7753" t="s">
        <v>37819</v>
      </c>
      <c r="K7753" t="s">
        <v>42732</v>
      </c>
      <c r="M7753" t="s">
        <v>45827</v>
      </c>
      <c r="N7753" t="s">
        <v>47424</v>
      </c>
      <c r="O7753" t="s">
        <v>47425</v>
      </c>
      <c r="P7753">
        <v>0</v>
      </c>
      <c r="Q7753">
        <v>0</v>
      </c>
      <c r="R7753" t="s">
        <v>47431</v>
      </c>
      <c r="S7753" t="s">
        <v>47565</v>
      </c>
      <c r="T7753" t="s">
        <v>49114</v>
      </c>
      <c r="U7753" t="s">
        <v>56122</v>
      </c>
      <c r="W7753" t="s">
        <v>45827</v>
      </c>
      <c r="X7753" t="s">
        <v>47432</v>
      </c>
    </row>
    <row r="7754" spans="1:24">
      <c r="A7754">
        <f>HYPERLINK("https://www.philgeps.gov.ph/GEPSNONPILOT/Tender/SplashBidNoticeAbstractUI.aspx?menuIndex=3&amp;refID=7158544&amp;Result=3","7158544")</f>
        <v>0</v>
      </c>
      <c r="B7754" t="s">
        <v>424</v>
      </c>
      <c r="C7754" t="s">
        <v>11190</v>
      </c>
      <c r="D7754" t="s">
        <v>19062</v>
      </c>
      <c r="E7754" t="s">
        <v>25838</v>
      </c>
      <c r="F7754" t="s">
        <v>32831</v>
      </c>
      <c r="G7754" t="s">
        <v>32842</v>
      </c>
      <c r="H7754" t="s">
        <v>32848</v>
      </c>
      <c r="I7754" t="s">
        <v>32860</v>
      </c>
      <c r="J7754" t="s">
        <v>37820</v>
      </c>
      <c r="K7754" t="s">
        <v>42745</v>
      </c>
      <c r="M7754" t="s">
        <v>43429</v>
      </c>
      <c r="N7754" t="s">
        <v>47424</v>
      </c>
      <c r="O7754" t="s">
        <v>47425</v>
      </c>
      <c r="P7754">
        <v>0</v>
      </c>
      <c r="Q7754">
        <v>4</v>
      </c>
      <c r="R7754" t="s">
        <v>47431</v>
      </c>
      <c r="S7754" t="s">
        <v>47565</v>
      </c>
      <c r="T7754" t="s">
        <v>49079</v>
      </c>
      <c r="U7754" t="s">
        <v>56118</v>
      </c>
      <c r="W7754" t="s">
        <v>43429</v>
      </c>
      <c r="X7754" t="s">
        <v>47432</v>
      </c>
    </row>
    <row r="7755" spans="1:24">
      <c r="A7755">
        <f>HYPERLINK("https://www.philgeps.gov.ph/GEPSNONPILOT/Tender/SplashBidNoticeAbstractUI.aspx?menuIndex=3&amp;refID=7158536&amp;Result=3","7158536")</f>
        <v>0</v>
      </c>
      <c r="B7755" t="s">
        <v>424</v>
      </c>
      <c r="C7755" t="s">
        <v>11197</v>
      </c>
      <c r="D7755" t="s">
        <v>19062</v>
      </c>
      <c r="E7755" t="s">
        <v>25839</v>
      </c>
      <c r="F7755" t="s">
        <v>32831</v>
      </c>
      <c r="G7755" t="s">
        <v>32838</v>
      </c>
      <c r="H7755" t="s">
        <v>32848</v>
      </c>
      <c r="I7755" t="s">
        <v>4435</v>
      </c>
      <c r="J7755" t="s">
        <v>32980</v>
      </c>
      <c r="K7755" t="s">
        <v>42745</v>
      </c>
      <c r="M7755" t="s">
        <v>43429</v>
      </c>
      <c r="N7755" t="s">
        <v>47424</v>
      </c>
      <c r="O7755" t="s">
        <v>47425</v>
      </c>
      <c r="P7755">
        <v>0</v>
      </c>
      <c r="Q7755">
        <v>4</v>
      </c>
      <c r="R7755" t="s">
        <v>47431</v>
      </c>
      <c r="S7755" t="s">
        <v>47565</v>
      </c>
      <c r="T7755" t="s">
        <v>49079</v>
      </c>
      <c r="U7755" t="s">
        <v>56118</v>
      </c>
      <c r="W7755" t="s">
        <v>43429</v>
      </c>
      <c r="X7755" t="s">
        <v>47432</v>
      </c>
    </row>
    <row r="7756" spans="1:24">
      <c r="A7756">
        <f>HYPERLINK("https://www.philgeps.gov.ph/GEPSNONPILOT/Tender/SplashBidNoticeAbstractUI.aspx?menuIndex=3&amp;refID=7158472&amp;Result=3","7158472")</f>
        <v>0</v>
      </c>
      <c r="B7756" t="s">
        <v>2609</v>
      </c>
      <c r="C7756" t="s">
        <v>11198</v>
      </c>
      <c r="D7756" t="s">
        <v>19017</v>
      </c>
      <c r="E7756" t="s">
        <v>25840</v>
      </c>
      <c r="F7756" t="s">
        <v>32831</v>
      </c>
      <c r="G7756" t="s">
        <v>32839</v>
      </c>
      <c r="H7756" t="s">
        <v>32850</v>
      </c>
      <c r="I7756" t="s">
        <v>32858</v>
      </c>
      <c r="J7756" t="s">
        <v>37821</v>
      </c>
      <c r="K7756" t="s">
        <v>42726</v>
      </c>
      <c r="M7756" t="s">
        <v>45828</v>
      </c>
      <c r="N7756" t="s">
        <v>47424</v>
      </c>
      <c r="O7756" t="s">
        <v>47425</v>
      </c>
      <c r="P7756">
        <v>0</v>
      </c>
      <c r="Q7756">
        <v>1</v>
      </c>
      <c r="R7756" t="s">
        <v>47431</v>
      </c>
      <c r="S7756" t="s">
        <v>47565</v>
      </c>
      <c r="T7756" t="s">
        <v>49129</v>
      </c>
      <c r="U7756" t="s">
        <v>56123</v>
      </c>
      <c r="W7756" t="s">
        <v>45828</v>
      </c>
      <c r="X7756" t="s">
        <v>47432</v>
      </c>
    </row>
    <row r="7757" spans="1:24">
      <c r="A7757">
        <f>HYPERLINK("https://www.philgeps.gov.ph/GEPSNONPILOT/Tender/SplashBidNoticeAbstractUI.aspx?menuIndex=3&amp;refID=7158514&amp;Result=3","7158514")</f>
        <v>0</v>
      </c>
      <c r="B7757" t="s">
        <v>2608</v>
      </c>
      <c r="C7757" t="s">
        <v>11199</v>
      </c>
      <c r="D7757" t="s">
        <v>19023</v>
      </c>
      <c r="E7757" t="s">
        <v>25841</v>
      </c>
      <c r="F7757" t="s">
        <v>32831</v>
      </c>
      <c r="G7757" t="s">
        <v>32838</v>
      </c>
      <c r="H7757" t="s">
        <v>32848</v>
      </c>
      <c r="I7757" t="s">
        <v>5379</v>
      </c>
      <c r="J7757" t="s">
        <v>35169</v>
      </c>
      <c r="K7757" t="s">
        <v>42732</v>
      </c>
      <c r="M7757" t="s">
        <v>45827</v>
      </c>
      <c r="N7757" t="s">
        <v>47424</v>
      </c>
      <c r="O7757" t="s">
        <v>47425</v>
      </c>
      <c r="P7757">
        <v>0</v>
      </c>
      <c r="Q7757">
        <v>1</v>
      </c>
      <c r="R7757" t="s">
        <v>47431</v>
      </c>
      <c r="S7757" t="s">
        <v>47565</v>
      </c>
      <c r="T7757" t="s">
        <v>49114</v>
      </c>
      <c r="U7757" t="s">
        <v>56124</v>
      </c>
      <c r="W7757" t="s">
        <v>45827</v>
      </c>
      <c r="X7757" t="s">
        <v>47432</v>
      </c>
    </row>
    <row r="7758" spans="1:24">
      <c r="A7758">
        <f>HYPERLINK("https://www.philgeps.gov.ph/GEPSNONPILOT/Tender/SplashBidNoticeAbstractUI.aspx?menuIndex=3&amp;refID=7158526&amp;Result=3","7158526")</f>
        <v>0</v>
      </c>
      <c r="B7758" t="s">
        <v>2610</v>
      </c>
      <c r="C7758" t="s">
        <v>11200</v>
      </c>
      <c r="D7758" t="s">
        <v>19027</v>
      </c>
      <c r="E7758" t="s">
        <v>19529</v>
      </c>
      <c r="F7758" t="s">
        <v>32831</v>
      </c>
      <c r="G7758" t="s">
        <v>32838</v>
      </c>
      <c r="H7758" t="s">
        <v>32848</v>
      </c>
      <c r="I7758" t="s">
        <v>9577</v>
      </c>
      <c r="J7758" t="s">
        <v>33578</v>
      </c>
      <c r="K7758" t="s">
        <v>42748</v>
      </c>
      <c r="M7758" t="s">
        <v>45829</v>
      </c>
      <c r="N7758" t="s">
        <v>47424</v>
      </c>
      <c r="O7758" t="s">
        <v>47425</v>
      </c>
      <c r="P7758">
        <v>0</v>
      </c>
      <c r="Q7758">
        <v>1</v>
      </c>
      <c r="R7758" t="s">
        <v>47431</v>
      </c>
      <c r="S7758" t="s">
        <v>47565</v>
      </c>
      <c r="T7758" t="s">
        <v>49108</v>
      </c>
      <c r="U7758" t="s">
        <v>56125</v>
      </c>
      <c r="W7758" t="s">
        <v>45829</v>
      </c>
      <c r="X7758" t="s">
        <v>47432</v>
      </c>
    </row>
    <row r="7759" spans="1:24">
      <c r="A7759">
        <f>HYPERLINK("https://www.philgeps.gov.ph/GEPSNONPILOT/Tender/SplashBidNoticeAbstractUI.aspx?menuIndex=3&amp;refID=7143454&amp;Result=3","7143454")</f>
        <v>0</v>
      </c>
      <c r="B7759" t="s">
        <v>2611</v>
      </c>
      <c r="C7759" t="s">
        <v>11201</v>
      </c>
      <c r="D7759" t="s">
        <v>19074</v>
      </c>
      <c r="E7759" t="s">
        <v>19219</v>
      </c>
      <c r="F7759" t="s">
        <v>32831</v>
      </c>
      <c r="G7759" t="s">
        <v>32839</v>
      </c>
      <c r="H7759" t="s">
        <v>32849</v>
      </c>
      <c r="I7759" t="s">
        <v>4177</v>
      </c>
      <c r="J7759" t="s">
        <v>37822</v>
      </c>
      <c r="K7759" t="s">
        <v>42729</v>
      </c>
      <c r="M7759" t="s">
        <v>45830</v>
      </c>
      <c r="N7759" t="s">
        <v>47424</v>
      </c>
      <c r="O7759" t="s">
        <v>47425</v>
      </c>
      <c r="P7759">
        <v>0</v>
      </c>
      <c r="Q7759">
        <v>0</v>
      </c>
      <c r="R7759" t="s">
        <v>47432</v>
      </c>
      <c r="S7759" t="s">
        <v>47597</v>
      </c>
      <c r="T7759" t="s">
        <v>49394</v>
      </c>
      <c r="U7759" t="s">
        <v>56126</v>
      </c>
      <c r="W7759" t="s">
        <v>45830</v>
      </c>
      <c r="X7759" t="s">
        <v>47439</v>
      </c>
    </row>
    <row r="7760" spans="1:24">
      <c r="A7760">
        <f>HYPERLINK("https://www.philgeps.gov.ph/GEPSNONPILOT/Tender/SplashBidNoticeAbstractUI.aspx?menuIndex=3&amp;refID=7158517&amp;Result=3","7158517")</f>
        <v>0</v>
      </c>
      <c r="B7760" t="s">
        <v>2612</v>
      </c>
      <c r="C7760" t="s">
        <v>11202</v>
      </c>
      <c r="D7760" t="s">
        <v>19040</v>
      </c>
      <c r="E7760" t="s">
        <v>25842</v>
      </c>
      <c r="F7760" t="s">
        <v>32831</v>
      </c>
      <c r="G7760" t="s">
        <v>32839</v>
      </c>
      <c r="H7760" t="s">
        <v>32848</v>
      </c>
      <c r="I7760" t="s">
        <v>7751</v>
      </c>
      <c r="J7760" t="s">
        <v>33032</v>
      </c>
      <c r="K7760" t="s">
        <v>42730</v>
      </c>
      <c r="M7760" t="s">
        <v>45831</v>
      </c>
      <c r="N7760" t="s">
        <v>47424</v>
      </c>
      <c r="O7760" t="s">
        <v>47425</v>
      </c>
      <c r="P7760">
        <v>0</v>
      </c>
      <c r="Q7760">
        <v>6</v>
      </c>
      <c r="R7760" t="s">
        <v>47431</v>
      </c>
      <c r="S7760" t="s">
        <v>47565</v>
      </c>
      <c r="T7760" t="s">
        <v>49359</v>
      </c>
      <c r="U7760" t="s">
        <v>56127</v>
      </c>
      <c r="W7760" t="s">
        <v>45831</v>
      </c>
      <c r="X7760" t="s">
        <v>47432</v>
      </c>
    </row>
    <row r="7761" spans="1:24">
      <c r="A7761">
        <f>HYPERLINK("https://www.philgeps.gov.ph/GEPSNONPILOT/Tender/SplashBidNoticeAbstractUI.aspx?menuIndex=3&amp;refID=7145282&amp;Result=3","7145282")</f>
        <v>0</v>
      </c>
      <c r="B7761" t="s">
        <v>72</v>
      </c>
      <c r="C7761" t="s">
        <v>11203</v>
      </c>
      <c r="D7761" t="s">
        <v>19027</v>
      </c>
      <c r="E7761" t="s">
        <v>25843</v>
      </c>
      <c r="F7761" t="s">
        <v>32831</v>
      </c>
      <c r="G7761" t="s">
        <v>32839</v>
      </c>
      <c r="H7761" t="s">
        <v>32848</v>
      </c>
      <c r="I7761" t="s">
        <v>32857</v>
      </c>
      <c r="J7761" t="s">
        <v>37823</v>
      </c>
      <c r="K7761" t="s">
        <v>42745</v>
      </c>
      <c r="M7761" t="s">
        <v>43069</v>
      </c>
      <c r="N7761" t="s">
        <v>47424</v>
      </c>
      <c r="O7761" t="s">
        <v>47425</v>
      </c>
      <c r="P7761">
        <v>0</v>
      </c>
      <c r="Q7761">
        <v>6</v>
      </c>
      <c r="R7761" t="s">
        <v>47432</v>
      </c>
      <c r="S7761" t="s">
        <v>47597</v>
      </c>
      <c r="T7761" t="s">
        <v>49087</v>
      </c>
      <c r="U7761" t="s">
        <v>49763</v>
      </c>
      <c r="W7761" t="s">
        <v>64429</v>
      </c>
      <c r="X7761" t="s">
        <v>47438</v>
      </c>
    </row>
    <row r="7762" spans="1:24">
      <c r="A7762">
        <f>HYPERLINK("https://www.philgeps.gov.ph/GEPSNONPILOT/Tender/SplashBidNoticeAbstractUI.aspx?menuIndex=3&amp;refID=7158456&amp;Result=3","7158456")</f>
        <v>0</v>
      </c>
      <c r="B7762" t="s">
        <v>2598</v>
      </c>
      <c r="C7762" t="s">
        <v>11204</v>
      </c>
      <c r="D7762" t="s">
        <v>19027</v>
      </c>
      <c r="E7762" t="s">
        <v>25844</v>
      </c>
      <c r="F7762" t="s">
        <v>32831</v>
      </c>
      <c r="G7762" t="s">
        <v>32839</v>
      </c>
      <c r="H7762" t="s">
        <v>32848</v>
      </c>
      <c r="I7762" t="s">
        <v>9577</v>
      </c>
      <c r="J7762" t="s">
        <v>37824</v>
      </c>
      <c r="K7762" t="s">
        <v>42759</v>
      </c>
      <c r="M7762" t="s">
        <v>45817</v>
      </c>
      <c r="N7762" t="s">
        <v>47424</v>
      </c>
      <c r="O7762" t="s">
        <v>47425</v>
      </c>
      <c r="P7762">
        <v>0</v>
      </c>
      <c r="Q7762">
        <v>1</v>
      </c>
      <c r="R7762" t="s">
        <v>47431</v>
      </c>
      <c r="S7762" t="s">
        <v>47565</v>
      </c>
      <c r="T7762" t="s">
        <v>49221</v>
      </c>
      <c r="U7762" t="s">
        <v>56128</v>
      </c>
      <c r="W7762" t="s">
        <v>45817</v>
      </c>
      <c r="X7762" t="s">
        <v>47432</v>
      </c>
    </row>
    <row r="7763" spans="1:24">
      <c r="A7763">
        <f>HYPERLINK("https://www.philgeps.gov.ph/GEPSNONPILOT/Tender/SplashBidNoticeAbstractUI.aspx?menuIndex=3&amp;refID=7144372&amp;Result=3","7144372")</f>
        <v>0</v>
      </c>
      <c r="B7763" t="s">
        <v>586</v>
      </c>
      <c r="C7763" t="s">
        <v>11205</v>
      </c>
      <c r="D7763" t="s">
        <v>19028</v>
      </c>
      <c r="E7763" t="s">
        <v>25845</v>
      </c>
      <c r="F7763" t="s">
        <v>32831</v>
      </c>
      <c r="G7763" t="s">
        <v>32839</v>
      </c>
      <c r="H7763" t="s">
        <v>32848</v>
      </c>
      <c r="I7763" t="s">
        <v>32857</v>
      </c>
      <c r="J7763" t="s">
        <v>37825</v>
      </c>
      <c r="K7763" t="s">
        <v>42731</v>
      </c>
      <c r="M7763" t="s">
        <v>43597</v>
      </c>
      <c r="N7763" t="s">
        <v>47424</v>
      </c>
      <c r="O7763" t="s">
        <v>47425</v>
      </c>
      <c r="P7763">
        <v>0</v>
      </c>
      <c r="Q7763">
        <v>1</v>
      </c>
      <c r="R7763" t="s">
        <v>47432</v>
      </c>
      <c r="S7763" t="s">
        <v>47597</v>
      </c>
      <c r="T7763" t="s">
        <v>49061</v>
      </c>
      <c r="U7763" t="s">
        <v>56129</v>
      </c>
      <c r="W7763" t="s">
        <v>43597</v>
      </c>
      <c r="X7763" t="s">
        <v>47439</v>
      </c>
    </row>
    <row r="7764" spans="1:24">
      <c r="A7764">
        <f>HYPERLINK("https://www.philgeps.gov.ph/GEPSNONPILOT/Tender/SplashBidNoticeAbstractUI.aspx?menuIndex=3&amp;refID=7143915&amp;Result=3","7143915")</f>
        <v>0</v>
      </c>
      <c r="B7764" t="s">
        <v>2613</v>
      </c>
      <c r="C7764" t="s">
        <v>11206</v>
      </c>
      <c r="D7764" t="s">
        <v>19027</v>
      </c>
      <c r="E7764" t="s">
        <v>25846</v>
      </c>
      <c r="F7764" t="s">
        <v>32831</v>
      </c>
      <c r="G7764" t="s">
        <v>32838</v>
      </c>
      <c r="H7764" t="s">
        <v>32848</v>
      </c>
      <c r="I7764" t="s">
        <v>32860</v>
      </c>
      <c r="J7764" t="s">
        <v>37826</v>
      </c>
      <c r="K7764" t="s">
        <v>42748</v>
      </c>
      <c r="M7764" t="s">
        <v>45832</v>
      </c>
      <c r="N7764" t="s">
        <v>47424</v>
      </c>
      <c r="O7764" t="s">
        <v>47425</v>
      </c>
      <c r="P7764">
        <v>0</v>
      </c>
      <c r="Q7764">
        <v>7</v>
      </c>
      <c r="R7764" t="s">
        <v>47432</v>
      </c>
      <c r="S7764" t="s">
        <v>47597</v>
      </c>
      <c r="T7764" t="s">
        <v>49235</v>
      </c>
      <c r="U7764" t="s">
        <v>56130</v>
      </c>
      <c r="W7764" t="s">
        <v>45832</v>
      </c>
      <c r="X7764" t="s">
        <v>47439</v>
      </c>
    </row>
    <row r="7765" spans="1:24">
      <c r="A7765">
        <f>HYPERLINK("https://www.philgeps.gov.ph/GEPSNONPILOT/Tender/SplashBidNoticeAbstractUI.aspx?menuIndex=3&amp;refID=7143540&amp;Result=3","7143540")</f>
        <v>0</v>
      </c>
      <c r="B7765" t="s">
        <v>1149</v>
      </c>
      <c r="C7765" t="s">
        <v>11207</v>
      </c>
      <c r="D7765" t="s">
        <v>19079</v>
      </c>
      <c r="E7765" t="s">
        <v>25847</v>
      </c>
      <c r="F7765" t="s">
        <v>32831</v>
      </c>
      <c r="G7765" t="s">
        <v>32839</v>
      </c>
      <c r="H7765" t="s">
        <v>32848</v>
      </c>
      <c r="I7765" t="s">
        <v>32862</v>
      </c>
      <c r="J7765" t="s">
        <v>37827</v>
      </c>
      <c r="K7765" t="s">
        <v>42731</v>
      </c>
      <c r="M7765" t="s">
        <v>45518</v>
      </c>
      <c r="N7765" t="s">
        <v>47424</v>
      </c>
      <c r="O7765" t="s">
        <v>47425</v>
      </c>
      <c r="P7765">
        <v>0</v>
      </c>
      <c r="Q7765">
        <v>1</v>
      </c>
      <c r="R7765" t="s">
        <v>47432</v>
      </c>
      <c r="S7765" t="s">
        <v>47597</v>
      </c>
      <c r="T7765" t="s">
        <v>49323</v>
      </c>
      <c r="U7765" t="s">
        <v>56131</v>
      </c>
      <c r="W7765" t="s">
        <v>45518</v>
      </c>
      <c r="X7765" t="s">
        <v>47439</v>
      </c>
    </row>
    <row r="7766" spans="1:24">
      <c r="A7766">
        <f>HYPERLINK("https://www.philgeps.gov.ph/GEPSNONPILOT/Tender/SplashBidNoticeAbstractUI.aspx?menuIndex=3&amp;refID=7158519&amp;Result=3","7158519")</f>
        <v>0</v>
      </c>
      <c r="B7766" t="s">
        <v>2614</v>
      </c>
      <c r="C7766" t="s">
        <v>11208</v>
      </c>
      <c r="D7766" t="s">
        <v>19017</v>
      </c>
      <c r="E7766" t="s">
        <v>25848</v>
      </c>
      <c r="F7766" t="s">
        <v>32831</v>
      </c>
      <c r="G7766" t="s">
        <v>32839</v>
      </c>
      <c r="H7766" t="s">
        <v>32848</v>
      </c>
      <c r="I7766" t="s">
        <v>4303</v>
      </c>
      <c r="J7766" t="s">
        <v>37828</v>
      </c>
      <c r="K7766" t="s">
        <v>42727</v>
      </c>
      <c r="M7766" t="s">
        <v>45833</v>
      </c>
      <c r="N7766" t="s">
        <v>47424</v>
      </c>
      <c r="O7766" t="s">
        <v>47425</v>
      </c>
      <c r="P7766">
        <v>0</v>
      </c>
      <c r="Q7766">
        <v>0</v>
      </c>
      <c r="R7766" t="s">
        <v>47431</v>
      </c>
      <c r="S7766" t="s">
        <v>47565</v>
      </c>
      <c r="T7766" t="s">
        <v>49270</v>
      </c>
      <c r="U7766" t="s">
        <v>56132</v>
      </c>
      <c r="W7766" t="s">
        <v>64520</v>
      </c>
      <c r="X7766" t="s">
        <v>47432</v>
      </c>
    </row>
    <row r="7767" spans="1:24">
      <c r="A7767">
        <f>HYPERLINK("https://www.philgeps.gov.ph/GEPSNONPILOT/Tender/SplashBidNoticeAbstractUI.aspx?menuIndex=3&amp;refID=7142380&amp;Result=3","7142380")</f>
        <v>0</v>
      </c>
      <c r="B7767" t="s">
        <v>2615</v>
      </c>
      <c r="C7767" t="s">
        <v>11209</v>
      </c>
      <c r="D7767" t="s">
        <v>19043</v>
      </c>
      <c r="E7767" t="s">
        <v>25849</v>
      </c>
      <c r="F7767" t="s">
        <v>32831</v>
      </c>
      <c r="G7767" t="s">
        <v>32839</v>
      </c>
      <c r="H7767" t="s">
        <v>32848</v>
      </c>
      <c r="I7767" t="s">
        <v>9577</v>
      </c>
      <c r="J7767" t="s">
        <v>37829</v>
      </c>
      <c r="K7767" t="s">
        <v>42727</v>
      </c>
      <c r="M7767" t="s">
        <v>45834</v>
      </c>
      <c r="N7767" t="s">
        <v>47424</v>
      </c>
      <c r="O7767" t="s">
        <v>47425</v>
      </c>
      <c r="P7767">
        <v>0</v>
      </c>
      <c r="Q7767">
        <v>4</v>
      </c>
      <c r="R7767" t="s">
        <v>47432</v>
      </c>
      <c r="S7767" t="s">
        <v>47597</v>
      </c>
      <c r="T7767" t="s">
        <v>49384</v>
      </c>
      <c r="U7767" t="s">
        <v>56133</v>
      </c>
      <c r="V7767" t="s">
        <v>63489</v>
      </c>
      <c r="W7767" t="s">
        <v>45834</v>
      </c>
      <c r="X7767" t="s">
        <v>47439</v>
      </c>
    </row>
    <row r="7768" spans="1:24">
      <c r="A7768">
        <f>HYPERLINK("https://www.philgeps.gov.ph/GEPSNONPILOT/Tender/SplashBidNoticeAbstractUI.aspx?menuIndex=3&amp;refID=7140218&amp;Result=3","7140218")</f>
        <v>0</v>
      </c>
      <c r="B7768" t="s">
        <v>2616</v>
      </c>
      <c r="C7768" t="s">
        <v>11210</v>
      </c>
      <c r="D7768" t="s">
        <v>19062</v>
      </c>
      <c r="E7768" t="s">
        <v>25850</v>
      </c>
      <c r="F7768" t="s">
        <v>32831</v>
      </c>
      <c r="G7768" t="s">
        <v>32839</v>
      </c>
      <c r="H7768" t="s">
        <v>32848</v>
      </c>
      <c r="I7768" t="s">
        <v>11484</v>
      </c>
      <c r="J7768" t="s">
        <v>33812</v>
      </c>
      <c r="K7768" t="s">
        <v>42731</v>
      </c>
      <c r="M7768" t="s">
        <v>45835</v>
      </c>
      <c r="N7768" t="s">
        <v>47424</v>
      </c>
      <c r="O7768" t="s">
        <v>47425</v>
      </c>
      <c r="P7768">
        <v>0</v>
      </c>
      <c r="Q7768">
        <v>1</v>
      </c>
      <c r="R7768" t="s">
        <v>47432</v>
      </c>
      <c r="S7768" t="s">
        <v>47597</v>
      </c>
      <c r="T7768" t="s">
        <v>49370</v>
      </c>
      <c r="U7768" t="s">
        <v>56134</v>
      </c>
      <c r="V7768" t="s">
        <v>63490</v>
      </c>
      <c r="W7768" t="s">
        <v>45835</v>
      </c>
      <c r="X7768" t="s">
        <v>47440</v>
      </c>
    </row>
    <row r="7769" spans="1:24">
      <c r="A7769">
        <f>HYPERLINK("https://www.philgeps.gov.ph/GEPSNONPILOT/Tender/SplashBidNoticeAbstractUI.aspx?menuIndex=3&amp;refID=7158516&amp;Result=3","7158516")</f>
        <v>0</v>
      </c>
      <c r="B7769" t="s">
        <v>1149</v>
      </c>
      <c r="C7769" t="s">
        <v>4819</v>
      </c>
      <c r="D7769" t="s">
        <v>19079</v>
      </c>
      <c r="E7769" t="s">
        <v>25851</v>
      </c>
      <c r="F7769" t="s">
        <v>32831</v>
      </c>
      <c r="G7769" t="s">
        <v>32838</v>
      </c>
      <c r="H7769" t="s">
        <v>32848</v>
      </c>
      <c r="I7769" t="s">
        <v>32857</v>
      </c>
      <c r="J7769" t="s">
        <v>33424</v>
      </c>
      <c r="K7769" t="s">
        <v>42731</v>
      </c>
      <c r="M7769" t="s">
        <v>44914</v>
      </c>
      <c r="N7769" t="s">
        <v>47424</v>
      </c>
      <c r="O7769" t="s">
        <v>47425</v>
      </c>
      <c r="P7769">
        <v>0</v>
      </c>
      <c r="Q7769">
        <v>0</v>
      </c>
      <c r="R7769" t="s">
        <v>47431</v>
      </c>
      <c r="S7769" t="s">
        <v>47565</v>
      </c>
      <c r="T7769" t="s">
        <v>49212</v>
      </c>
      <c r="U7769" t="s">
        <v>56135</v>
      </c>
      <c r="W7769" t="s">
        <v>44914</v>
      </c>
      <c r="X7769" t="s">
        <v>47432</v>
      </c>
    </row>
    <row r="7770" spans="1:24">
      <c r="A7770">
        <f>HYPERLINK("https://www.philgeps.gov.ph/GEPSNONPILOT/Tender/SplashBidNoticeAbstractUI.aspx?menuIndex=3&amp;refID=7140874&amp;Result=3","7140874")</f>
        <v>0</v>
      </c>
      <c r="B7770" t="s">
        <v>2617</v>
      </c>
      <c r="C7770" t="s">
        <v>11211</v>
      </c>
      <c r="D7770" t="s">
        <v>19084</v>
      </c>
      <c r="E7770" t="s">
        <v>25852</v>
      </c>
      <c r="F7770" t="s">
        <v>32831</v>
      </c>
      <c r="G7770" t="s">
        <v>32839</v>
      </c>
      <c r="H7770" t="s">
        <v>32848</v>
      </c>
      <c r="I7770" t="s">
        <v>32855</v>
      </c>
      <c r="J7770" t="s">
        <v>37830</v>
      </c>
      <c r="K7770" t="s">
        <v>42730</v>
      </c>
      <c r="M7770" t="s">
        <v>45836</v>
      </c>
      <c r="N7770" t="s">
        <v>47424</v>
      </c>
      <c r="O7770" t="s">
        <v>47425</v>
      </c>
      <c r="P7770">
        <v>0</v>
      </c>
      <c r="Q7770">
        <v>10</v>
      </c>
      <c r="R7770" t="s">
        <v>47432</v>
      </c>
      <c r="S7770" t="s">
        <v>47597</v>
      </c>
      <c r="T7770" t="s">
        <v>49435</v>
      </c>
      <c r="U7770" t="s">
        <v>56136</v>
      </c>
      <c r="W7770" t="s">
        <v>45836</v>
      </c>
      <c r="X7770" t="s">
        <v>47440</v>
      </c>
    </row>
    <row r="7771" spans="1:24">
      <c r="A7771">
        <f>HYPERLINK("https://www.philgeps.gov.ph/GEPSNONPILOT/Tender/SplashBidNoticeAbstractUI.aspx?menuIndex=3&amp;refID=7144084&amp;Result=3","7144084")</f>
        <v>0</v>
      </c>
      <c r="B7771" t="s">
        <v>2618</v>
      </c>
      <c r="C7771" t="s">
        <v>11212</v>
      </c>
      <c r="D7771" t="s">
        <v>19057</v>
      </c>
      <c r="E7771" t="s">
        <v>25853</v>
      </c>
      <c r="F7771" t="s">
        <v>32831</v>
      </c>
      <c r="G7771" t="s">
        <v>32839</v>
      </c>
      <c r="H7771" t="s">
        <v>32848</v>
      </c>
      <c r="I7771" t="s">
        <v>4776</v>
      </c>
      <c r="J7771" t="s">
        <v>37831</v>
      </c>
      <c r="K7771" t="s">
        <v>42726</v>
      </c>
      <c r="M7771" t="s">
        <v>45837</v>
      </c>
      <c r="N7771" t="s">
        <v>47424</v>
      </c>
      <c r="O7771" t="s">
        <v>47425</v>
      </c>
      <c r="P7771">
        <v>0</v>
      </c>
      <c r="Q7771">
        <v>7</v>
      </c>
      <c r="R7771" t="s">
        <v>47432</v>
      </c>
      <c r="S7771" t="s">
        <v>47597</v>
      </c>
      <c r="T7771" t="s">
        <v>49114</v>
      </c>
      <c r="U7771" t="s">
        <v>56137</v>
      </c>
      <c r="W7771" t="s">
        <v>45837</v>
      </c>
      <c r="X7771" t="s">
        <v>47439</v>
      </c>
    </row>
    <row r="7772" spans="1:24">
      <c r="A7772">
        <f>HYPERLINK("https://www.philgeps.gov.ph/GEPSNONPILOT/Tender/SplashBidNoticeAbstractUI.aspx?menuIndex=3&amp;refID=7135439&amp;Result=3","7135439")</f>
        <v>0</v>
      </c>
      <c r="B7772" t="s">
        <v>28</v>
      </c>
      <c r="C7772" t="s">
        <v>11213</v>
      </c>
      <c r="D7772" t="s">
        <v>19021</v>
      </c>
      <c r="E7772" t="s">
        <v>25854</v>
      </c>
      <c r="F7772" t="s">
        <v>32831</v>
      </c>
      <c r="G7772" t="s">
        <v>32838</v>
      </c>
      <c r="H7772" t="s">
        <v>32849</v>
      </c>
      <c r="I7772" t="s">
        <v>7416</v>
      </c>
      <c r="J7772" t="s">
        <v>33007</v>
      </c>
      <c r="K7772" t="s">
        <v>42730</v>
      </c>
      <c r="M7772" t="s">
        <v>43025</v>
      </c>
      <c r="N7772" t="s">
        <v>47424</v>
      </c>
      <c r="O7772" t="s">
        <v>47425</v>
      </c>
      <c r="P7772">
        <v>0</v>
      </c>
      <c r="Q7772">
        <v>0</v>
      </c>
      <c r="R7772" t="s">
        <v>47432</v>
      </c>
      <c r="S7772" t="s">
        <v>47597</v>
      </c>
      <c r="T7772" t="s">
        <v>49125</v>
      </c>
      <c r="U7772" t="s">
        <v>56138</v>
      </c>
      <c r="W7772" t="s">
        <v>43025</v>
      </c>
      <c r="X7772" t="s">
        <v>47443</v>
      </c>
    </row>
    <row r="7773" spans="1:24">
      <c r="A7773">
        <f>HYPERLINK("https://www.philgeps.gov.ph/GEPSNONPILOT/Tender/SplashBidNoticeAbstractUI.aspx?menuIndex=3&amp;refID=7120154-2&amp;Result=3","7120154-2")</f>
        <v>0</v>
      </c>
      <c r="B7773" t="s">
        <v>2619</v>
      </c>
      <c r="C7773" t="s">
        <v>11214</v>
      </c>
      <c r="D7773" t="s">
        <v>19019</v>
      </c>
      <c r="E7773" t="s">
        <v>25855</v>
      </c>
      <c r="F7773" t="s">
        <v>32831</v>
      </c>
      <c r="G7773" t="s">
        <v>32839</v>
      </c>
      <c r="H7773" t="s">
        <v>14069</v>
      </c>
      <c r="I7773" t="s">
        <v>14069</v>
      </c>
      <c r="J7773" t="s">
        <v>37832</v>
      </c>
      <c r="K7773" t="s">
        <v>42729</v>
      </c>
      <c r="M7773" t="s">
        <v>45838</v>
      </c>
      <c r="N7773" t="s">
        <v>47424</v>
      </c>
      <c r="O7773" t="s">
        <v>47425</v>
      </c>
      <c r="P7773">
        <v>0</v>
      </c>
      <c r="Q7773">
        <v>0</v>
      </c>
      <c r="R7773" t="s">
        <v>47432</v>
      </c>
      <c r="S7773" t="s">
        <v>47597</v>
      </c>
      <c r="T7773" t="s">
        <v>49056</v>
      </c>
      <c r="U7773" t="s">
        <v>56139</v>
      </c>
      <c r="W7773" t="s">
        <v>45838</v>
      </c>
      <c r="X7773" t="s">
        <v>47433</v>
      </c>
    </row>
    <row r="7774" spans="1:24">
      <c r="A7774">
        <f>HYPERLINK("https://www.philgeps.gov.ph/GEPSNONPILOT/Tender/SplashBidNoticeAbstractUI.aspx?menuIndex=3&amp;refID=7145286&amp;Result=3","7145286")</f>
        <v>0</v>
      </c>
      <c r="B7774" t="s">
        <v>1544</v>
      </c>
      <c r="C7774" t="s">
        <v>11215</v>
      </c>
      <c r="D7774" t="s">
        <v>19042</v>
      </c>
      <c r="E7774" t="s">
        <v>25856</v>
      </c>
      <c r="F7774" t="s">
        <v>32831</v>
      </c>
      <c r="G7774" t="s">
        <v>32839</v>
      </c>
      <c r="H7774" t="s">
        <v>32849</v>
      </c>
      <c r="I7774" t="s">
        <v>4177</v>
      </c>
      <c r="J7774" t="s">
        <v>37833</v>
      </c>
      <c r="K7774" t="s">
        <v>42763</v>
      </c>
      <c r="M7774" t="s">
        <v>44648</v>
      </c>
      <c r="N7774" t="s">
        <v>47424</v>
      </c>
      <c r="O7774" t="s">
        <v>47425</v>
      </c>
      <c r="P7774">
        <v>0</v>
      </c>
      <c r="Q7774">
        <v>1</v>
      </c>
      <c r="R7774" t="s">
        <v>47432</v>
      </c>
      <c r="S7774" t="s">
        <v>47597</v>
      </c>
      <c r="T7774" t="s">
        <v>49359</v>
      </c>
      <c r="U7774" t="s">
        <v>56140</v>
      </c>
      <c r="V7774" t="s">
        <v>63491</v>
      </c>
      <c r="W7774" t="s">
        <v>44648</v>
      </c>
      <c r="X7774" t="s">
        <v>47438</v>
      </c>
    </row>
    <row r="7775" spans="1:24">
      <c r="A7775">
        <f>HYPERLINK("https://www.philgeps.gov.ph/GEPSNONPILOT/Tender/SplashBidNoticeAbstractUI.aspx?menuIndex=3&amp;refID=7136372&amp;Result=3","7136372")</f>
        <v>0</v>
      </c>
      <c r="B7775" t="s">
        <v>2620</v>
      </c>
      <c r="C7775" t="s">
        <v>9492</v>
      </c>
      <c r="D7775" t="s">
        <v>19091</v>
      </c>
      <c r="E7775" t="s">
        <v>25857</v>
      </c>
      <c r="F7775" t="s">
        <v>32831</v>
      </c>
      <c r="G7775" t="s">
        <v>32839</v>
      </c>
      <c r="H7775" t="s">
        <v>32849</v>
      </c>
      <c r="I7775" t="s">
        <v>4177</v>
      </c>
      <c r="J7775" t="s">
        <v>37834</v>
      </c>
      <c r="K7775" t="s">
        <v>42731</v>
      </c>
      <c r="M7775" t="s">
        <v>45839</v>
      </c>
      <c r="N7775" t="s">
        <v>47424</v>
      </c>
      <c r="O7775" t="s">
        <v>47425</v>
      </c>
      <c r="P7775">
        <v>0</v>
      </c>
      <c r="Q7775">
        <v>0</v>
      </c>
      <c r="R7775" t="s">
        <v>47432</v>
      </c>
      <c r="S7775" t="s">
        <v>47597</v>
      </c>
      <c r="T7775" t="s">
        <v>49214</v>
      </c>
      <c r="U7775" t="s">
        <v>56141</v>
      </c>
      <c r="W7775" t="s">
        <v>45839</v>
      </c>
      <c r="X7775" t="s">
        <v>47441</v>
      </c>
    </row>
    <row r="7776" spans="1:24">
      <c r="A7776">
        <f>HYPERLINK("https://www.philgeps.gov.ph/GEPSNONPILOT/Tender/SplashBidNoticeAbstractUI.aspx?menuIndex=3&amp;refID=7158511&amp;Result=3","7158511")</f>
        <v>0</v>
      </c>
      <c r="B7776" t="s">
        <v>1130</v>
      </c>
      <c r="C7776" t="s">
        <v>11216</v>
      </c>
      <c r="D7776" t="s">
        <v>19045</v>
      </c>
      <c r="E7776" t="s">
        <v>25858</v>
      </c>
      <c r="F7776" t="s">
        <v>32831</v>
      </c>
      <c r="G7776" t="s">
        <v>32838</v>
      </c>
      <c r="H7776" t="s">
        <v>32848</v>
      </c>
      <c r="I7776" t="s">
        <v>32862</v>
      </c>
      <c r="J7776" t="s">
        <v>37835</v>
      </c>
      <c r="K7776" t="s">
        <v>42745</v>
      </c>
      <c r="M7776" t="s">
        <v>44191</v>
      </c>
      <c r="N7776" t="s">
        <v>47424</v>
      </c>
      <c r="O7776" t="s">
        <v>47425</v>
      </c>
      <c r="P7776">
        <v>0</v>
      </c>
      <c r="Q7776">
        <v>1</v>
      </c>
      <c r="R7776" t="s">
        <v>47431</v>
      </c>
      <c r="S7776" t="s">
        <v>47565</v>
      </c>
      <c r="T7776" t="s">
        <v>49237</v>
      </c>
      <c r="U7776" t="s">
        <v>56142</v>
      </c>
      <c r="W7776" t="s">
        <v>44191</v>
      </c>
      <c r="X7776" t="s">
        <v>47432</v>
      </c>
    </row>
    <row r="7777" spans="1:24">
      <c r="A7777">
        <f>HYPERLINK("https://www.philgeps.gov.ph/GEPSNONPILOT/Tender/SplashBidNoticeAbstractUI.aspx?menuIndex=3&amp;refID=7112299&amp;Result=3","7112299")</f>
        <v>0</v>
      </c>
      <c r="B7777" t="s">
        <v>752</v>
      </c>
      <c r="C7777" t="s">
        <v>11217</v>
      </c>
      <c r="D7777" t="s">
        <v>19027</v>
      </c>
      <c r="E7777" t="s">
        <v>25859</v>
      </c>
      <c r="F7777" t="s">
        <v>32831</v>
      </c>
      <c r="G7777" t="s">
        <v>32838</v>
      </c>
      <c r="H7777" t="s">
        <v>32848</v>
      </c>
      <c r="I7777" t="s">
        <v>9577</v>
      </c>
      <c r="J7777" t="s">
        <v>37836</v>
      </c>
      <c r="K7777" t="s">
        <v>42759</v>
      </c>
      <c r="M7777" t="s">
        <v>43776</v>
      </c>
      <c r="N7777" t="s">
        <v>47424</v>
      </c>
      <c r="O7777" t="s">
        <v>47425</v>
      </c>
      <c r="P7777">
        <v>0</v>
      </c>
      <c r="Q7777">
        <v>0</v>
      </c>
      <c r="R7777" t="s">
        <v>47432</v>
      </c>
      <c r="S7777" t="s">
        <v>47597</v>
      </c>
      <c r="T7777" t="s">
        <v>49328</v>
      </c>
      <c r="U7777" t="s">
        <v>56143</v>
      </c>
      <c r="W7777" t="s">
        <v>43776</v>
      </c>
      <c r="X7777" t="s">
        <v>47453</v>
      </c>
    </row>
    <row r="7778" spans="1:24">
      <c r="A7778">
        <f>HYPERLINK("https://www.philgeps.gov.ph/GEPSNONPILOT/Tender/SplashBidNoticeAbstractUI.aspx?menuIndex=3&amp;refID=7112240&amp;Result=3","7112240")</f>
        <v>0</v>
      </c>
      <c r="B7778" t="s">
        <v>752</v>
      </c>
      <c r="C7778" t="s">
        <v>11218</v>
      </c>
      <c r="D7778" t="s">
        <v>19027</v>
      </c>
      <c r="E7778" t="s">
        <v>25860</v>
      </c>
      <c r="F7778" t="s">
        <v>32831</v>
      </c>
      <c r="G7778" t="s">
        <v>32838</v>
      </c>
      <c r="H7778" t="s">
        <v>32848</v>
      </c>
      <c r="I7778" t="s">
        <v>32860</v>
      </c>
      <c r="J7778" t="s">
        <v>33220</v>
      </c>
      <c r="K7778" t="s">
        <v>42759</v>
      </c>
      <c r="M7778" t="s">
        <v>43776</v>
      </c>
      <c r="N7778" t="s">
        <v>47424</v>
      </c>
      <c r="O7778" t="s">
        <v>47425</v>
      </c>
      <c r="P7778">
        <v>0</v>
      </c>
      <c r="Q7778">
        <v>6</v>
      </c>
      <c r="R7778" t="s">
        <v>47432</v>
      </c>
      <c r="S7778" t="s">
        <v>47597</v>
      </c>
      <c r="T7778" t="s">
        <v>49328</v>
      </c>
      <c r="U7778" t="s">
        <v>56144</v>
      </c>
      <c r="W7778" t="s">
        <v>43776</v>
      </c>
      <c r="X7778" t="s">
        <v>47453</v>
      </c>
    </row>
    <row r="7779" spans="1:24">
      <c r="A7779">
        <f>HYPERLINK("https://www.philgeps.gov.ph/GEPSNONPILOT/Tender/SplashBidNoticeAbstractUI.aspx?menuIndex=3&amp;refID=7158510&amp;Result=3","7158510")</f>
        <v>0</v>
      </c>
      <c r="B7779" t="s">
        <v>2621</v>
      </c>
      <c r="C7779" t="s">
        <v>11219</v>
      </c>
      <c r="D7779" t="s">
        <v>19038</v>
      </c>
      <c r="E7779" t="s">
        <v>25861</v>
      </c>
      <c r="F7779" t="s">
        <v>32831</v>
      </c>
      <c r="G7779" t="s">
        <v>32839</v>
      </c>
      <c r="H7779" t="s">
        <v>32849</v>
      </c>
      <c r="I7779" t="s">
        <v>4177</v>
      </c>
      <c r="J7779" t="s">
        <v>37837</v>
      </c>
      <c r="K7779" t="s">
        <v>42734</v>
      </c>
      <c r="M7779" t="s">
        <v>45840</v>
      </c>
      <c r="N7779" t="s">
        <v>47424</v>
      </c>
      <c r="O7779" t="s">
        <v>47425</v>
      </c>
      <c r="P7779">
        <v>0</v>
      </c>
      <c r="Q7779">
        <v>2</v>
      </c>
      <c r="R7779" t="s">
        <v>47431</v>
      </c>
      <c r="S7779" t="s">
        <v>47565</v>
      </c>
      <c r="T7779" t="s">
        <v>49384</v>
      </c>
      <c r="U7779" t="s">
        <v>56145</v>
      </c>
      <c r="W7779" t="s">
        <v>45840</v>
      </c>
      <c r="X7779" t="s">
        <v>47432</v>
      </c>
    </row>
    <row r="7780" spans="1:24">
      <c r="A7780">
        <f>HYPERLINK("https://www.philgeps.gov.ph/GEPSNONPILOT/Tender/SplashBidNoticeAbstractUI.aspx?menuIndex=3&amp;refID=7158508&amp;Result=3","7158508")</f>
        <v>0</v>
      </c>
      <c r="B7780" t="s">
        <v>2622</v>
      </c>
      <c r="C7780" t="s">
        <v>11220</v>
      </c>
      <c r="D7780" t="s">
        <v>19069</v>
      </c>
      <c r="E7780" t="s">
        <v>25862</v>
      </c>
      <c r="F7780" t="s">
        <v>32831</v>
      </c>
      <c r="G7780" t="s">
        <v>32839</v>
      </c>
      <c r="H7780" t="s">
        <v>32849</v>
      </c>
      <c r="I7780" t="s">
        <v>4177</v>
      </c>
      <c r="J7780" t="s">
        <v>37838</v>
      </c>
      <c r="K7780" t="s">
        <v>42841</v>
      </c>
      <c r="M7780" t="s">
        <v>45841</v>
      </c>
      <c r="N7780" t="s">
        <v>47424</v>
      </c>
      <c r="O7780" t="s">
        <v>47425</v>
      </c>
      <c r="P7780">
        <v>0</v>
      </c>
      <c r="Q7780">
        <v>4</v>
      </c>
      <c r="R7780" t="s">
        <v>47431</v>
      </c>
      <c r="S7780" t="s">
        <v>47565</v>
      </c>
      <c r="T7780" t="s">
        <v>49077</v>
      </c>
      <c r="U7780" t="s">
        <v>56146</v>
      </c>
      <c r="W7780" t="s">
        <v>45841</v>
      </c>
      <c r="X7780" t="s">
        <v>47432</v>
      </c>
    </row>
    <row r="7781" spans="1:24">
      <c r="A7781">
        <f>HYPERLINK("https://www.philgeps.gov.ph/GEPSNONPILOT/Tender/SplashBidNoticeAbstractUI.aspx?menuIndex=3&amp;refID=7158507&amp;Result=3","7158507")</f>
        <v>0</v>
      </c>
      <c r="B7781" t="s">
        <v>2608</v>
      </c>
      <c r="C7781" t="s">
        <v>11221</v>
      </c>
      <c r="D7781" t="s">
        <v>19023</v>
      </c>
      <c r="E7781" t="s">
        <v>25863</v>
      </c>
      <c r="F7781" t="s">
        <v>32831</v>
      </c>
      <c r="G7781" t="s">
        <v>32838</v>
      </c>
      <c r="H7781" t="s">
        <v>32848</v>
      </c>
      <c r="I7781" t="s">
        <v>32890</v>
      </c>
      <c r="J7781" t="s">
        <v>34207</v>
      </c>
      <c r="K7781" t="s">
        <v>42732</v>
      </c>
      <c r="M7781" t="s">
        <v>45827</v>
      </c>
      <c r="N7781" t="s">
        <v>47424</v>
      </c>
      <c r="O7781" t="s">
        <v>47425</v>
      </c>
      <c r="P7781">
        <v>0</v>
      </c>
      <c r="Q7781">
        <v>0</v>
      </c>
      <c r="R7781" t="s">
        <v>47431</v>
      </c>
      <c r="S7781" t="s">
        <v>47565</v>
      </c>
      <c r="T7781" t="s">
        <v>49114</v>
      </c>
      <c r="U7781" t="s">
        <v>56147</v>
      </c>
      <c r="W7781" t="s">
        <v>45827</v>
      </c>
      <c r="X7781" t="s">
        <v>47432</v>
      </c>
    </row>
    <row r="7782" spans="1:24">
      <c r="A7782">
        <f>HYPERLINK("https://www.philgeps.gov.ph/GEPSNONPILOT/Tender/SplashBidNoticeAbstractUI.aspx?menuIndex=3&amp;refID=7158477&amp;Result=3","7158477")</f>
        <v>0</v>
      </c>
      <c r="B7782" t="s">
        <v>1149</v>
      </c>
      <c r="C7782" t="s">
        <v>8763</v>
      </c>
      <c r="D7782" t="s">
        <v>19079</v>
      </c>
      <c r="E7782" t="s">
        <v>25864</v>
      </c>
      <c r="F7782" t="s">
        <v>32831</v>
      </c>
      <c r="G7782" t="s">
        <v>32838</v>
      </c>
      <c r="H7782" t="s">
        <v>32848</v>
      </c>
      <c r="I7782" t="s">
        <v>4558</v>
      </c>
      <c r="J7782" t="s">
        <v>37839</v>
      </c>
      <c r="K7782" t="s">
        <v>42731</v>
      </c>
      <c r="M7782" t="s">
        <v>44914</v>
      </c>
      <c r="N7782" t="s">
        <v>47424</v>
      </c>
      <c r="O7782" t="s">
        <v>47425</v>
      </c>
      <c r="P7782">
        <v>0</v>
      </c>
      <c r="Q7782">
        <v>0</v>
      </c>
      <c r="R7782" t="s">
        <v>47431</v>
      </c>
      <c r="S7782" t="s">
        <v>47565</v>
      </c>
      <c r="T7782" t="s">
        <v>49212</v>
      </c>
      <c r="U7782" t="s">
        <v>56148</v>
      </c>
      <c r="W7782" t="s">
        <v>44914</v>
      </c>
      <c r="X7782" t="s">
        <v>47432</v>
      </c>
    </row>
    <row r="7783" spans="1:24">
      <c r="A7783">
        <f>HYPERLINK("https://www.philgeps.gov.ph/GEPSNONPILOT/Tender/SplashBidNoticeAbstractUI.aspx?menuIndex=3&amp;refID=7147363&amp;Result=3","7147363")</f>
        <v>0</v>
      </c>
      <c r="B7783" t="s">
        <v>2623</v>
      </c>
      <c r="C7783" t="s">
        <v>11222</v>
      </c>
      <c r="E7783" t="s">
        <v>25865</v>
      </c>
      <c r="F7783" t="s">
        <v>32831</v>
      </c>
      <c r="G7783" t="s">
        <v>32839</v>
      </c>
      <c r="H7783" t="s">
        <v>32848</v>
      </c>
      <c r="I7783" t="s">
        <v>11484</v>
      </c>
      <c r="J7783" t="s">
        <v>37840</v>
      </c>
      <c r="K7783" t="s">
        <v>42729</v>
      </c>
      <c r="M7783" t="s">
        <v>45842</v>
      </c>
      <c r="N7783" t="s">
        <v>47424</v>
      </c>
      <c r="O7783" t="s">
        <v>47425</v>
      </c>
      <c r="P7783">
        <v>0</v>
      </c>
      <c r="Q7783">
        <v>7</v>
      </c>
      <c r="R7783" t="s">
        <v>47432</v>
      </c>
      <c r="S7783" t="s">
        <v>47597</v>
      </c>
      <c r="T7783" t="s">
        <v>49107</v>
      </c>
      <c r="U7783" t="s">
        <v>56149</v>
      </c>
      <c r="W7783" t="s">
        <v>45842</v>
      </c>
      <c r="X7783" t="s">
        <v>47438</v>
      </c>
    </row>
    <row r="7784" spans="1:24">
      <c r="A7784">
        <f>HYPERLINK("https://www.philgeps.gov.ph/GEPSNONPILOT/Tender/SplashBidNoticeAbstractUI.aspx?menuIndex=3&amp;refID=7126224&amp;Result=3","7126224")</f>
        <v>0</v>
      </c>
      <c r="B7784" t="s">
        <v>2005</v>
      </c>
      <c r="C7784" t="s">
        <v>11223</v>
      </c>
      <c r="D7784" t="s">
        <v>19052</v>
      </c>
      <c r="E7784" t="s">
        <v>25866</v>
      </c>
      <c r="F7784" t="s">
        <v>32831</v>
      </c>
      <c r="G7784" t="s">
        <v>32839</v>
      </c>
      <c r="H7784" t="s">
        <v>32848</v>
      </c>
      <c r="I7784" t="s">
        <v>4487</v>
      </c>
      <c r="J7784" t="s">
        <v>36385</v>
      </c>
      <c r="K7784" t="s">
        <v>42729</v>
      </c>
      <c r="M7784" t="s">
        <v>45843</v>
      </c>
      <c r="N7784" t="s">
        <v>47424</v>
      </c>
      <c r="O7784" t="s">
        <v>47425</v>
      </c>
      <c r="P7784">
        <v>0</v>
      </c>
      <c r="Q7784">
        <v>11</v>
      </c>
      <c r="R7784" t="s">
        <v>47432</v>
      </c>
      <c r="S7784" t="s">
        <v>47597</v>
      </c>
      <c r="T7784" t="s">
        <v>49267</v>
      </c>
      <c r="U7784" t="s">
        <v>56150</v>
      </c>
      <c r="V7784" t="s">
        <v>63492</v>
      </c>
      <c r="W7784" t="s">
        <v>45843</v>
      </c>
      <c r="X7784" t="s">
        <v>47447</v>
      </c>
    </row>
    <row r="7785" spans="1:24">
      <c r="A7785">
        <f>HYPERLINK("https://www.philgeps.gov.ph/GEPSNONPILOT/Tender/SplashBidNoticeAbstractUI.aspx?menuIndex=3&amp;refID=7147360&amp;Result=3","7147360")</f>
        <v>0</v>
      </c>
      <c r="B7785" t="s">
        <v>2624</v>
      </c>
      <c r="C7785" t="s">
        <v>11224</v>
      </c>
      <c r="D7785" t="s">
        <v>19044</v>
      </c>
      <c r="E7785" t="s">
        <v>25867</v>
      </c>
      <c r="F7785" t="s">
        <v>32831</v>
      </c>
      <c r="G7785" t="s">
        <v>32839</v>
      </c>
      <c r="H7785" t="s">
        <v>32848</v>
      </c>
      <c r="I7785" t="s">
        <v>4303</v>
      </c>
      <c r="J7785" t="s">
        <v>37841</v>
      </c>
      <c r="K7785" t="s">
        <v>42727</v>
      </c>
      <c r="M7785" t="s">
        <v>45844</v>
      </c>
      <c r="N7785" t="s">
        <v>47424</v>
      </c>
      <c r="O7785" t="s">
        <v>47425</v>
      </c>
      <c r="P7785">
        <v>0</v>
      </c>
      <c r="Q7785">
        <v>1</v>
      </c>
      <c r="R7785" t="s">
        <v>47432</v>
      </c>
      <c r="S7785" t="s">
        <v>47597</v>
      </c>
      <c r="T7785" t="s">
        <v>49221</v>
      </c>
      <c r="U7785" t="s">
        <v>56151</v>
      </c>
      <c r="W7785" t="s">
        <v>45844</v>
      </c>
      <c r="X7785" t="s">
        <v>47438</v>
      </c>
    </row>
    <row r="7786" spans="1:24">
      <c r="A7786">
        <f>HYPERLINK("https://www.philgeps.gov.ph/GEPSNONPILOT/Tender/SplashBidNoticeAbstractUI.aspx?menuIndex=3&amp;refID=7147609&amp;Result=3","7147609")</f>
        <v>0</v>
      </c>
      <c r="B7786" t="s">
        <v>2624</v>
      </c>
      <c r="C7786" t="s">
        <v>11225</v>
      </c>
      <c r="D7786" t="s">
        <v>19044</v>
      </c>
      <c r="E7786" t="s">
        <v>25868</v>
      </c>
      <c r="F7786" t="s">
        <v>32831</v>
      </c>
      <c r="G7786" t="s">
        <v>32839</v>
      </c>
      <c r="H7786" t="s">
        <v>32848</v>
      </c>
      <c r="I7786" t="s">
        <v>4303</v>
      </c>
      <c r="J7786" t="s">
        <v>37842</v>
      </c>
      <c r="K7786" t="s">
        <v>42727</v>
      </c>
      <c r="M7786" t="s">
        <v>45844</v>
      </c>
      <c r="N7786" t="s">
        <v>47424</v>
      </c>
      <c r="O7786" t="s">
        <v>47425</v>
      </c>
      <c r="P7786">
        <v>0</v>
      </c>
      <c r="Q7786">
        <v>1</v>
      </c>
      <c r="R7786" t="s">
        <v>47432</v>
      </c>
      <c r="S7786" t="s">
        <v>47597</v>
      </c>
      <c r="T7786" t="s">
        <v>49221</v>
      </c>
      <c r="U7786" t="s">
        <v>56152</v>
      </c>
      <c r="W7786" t="s">
        <v>45844</v>
      </c>
      <c r="X7786" t="s">
        <v>47438</v>
      </c>
    </row>
    <row r="7787" spans="1:24">
      <c r="A7787">
        <f>HYPERLINK("https://www.philgeps.gov.ph/GEPSNONPILOT/Tender/SplashBidNoticeAbstractUI.aspx?menuIndex=3&amp;refID=7146869&amp;Result=3","7146869")</f>
        <v>0</v>
      </c>
      <c r="B7787" t="s">
        <v>2625</v>
      </c>
      <c r="C7787" t="s">
        <v>11226</v>
      </c>
      <c r="D7787" t="s">
        <v>19044</v>
      </c>
      <c r="E7787" t="s">
        <v>25869</v>
      </c>
      <c r="F7787" t="s">
        <v>32831</v>
      </c>
      <c r="G7787" t="s">
        <v>32839</v>
      </c>
      <c r="H7787" t="s">
        <v>32848</v>
      </c>
      <c r="I7787" t="s">
        <v>4303</v>
      </c>
      <c r="J7787" t="s">
        <v>37843</v>
      </c>
      <c r="K7787" t="s">
        <v>42727</v>
      </c>
      <c r="M7787" t="s">
        <v>45845</v>
      </c>
      <c r="N7787" t="s">
        <v>47424</v>
      </c>
      <c r="O7787" t="s">
        <v>47425</v>
      </c>
      <c r="P7787">
        <v>0</v>
      </c>
      <c r="Q7787">
        <v>1</v>
      </c>
      <c r="R7787" t="s">
        <v>47432</v>
      </c>
      <c r="S7787" t="s">
        <v>47597</v>
      </c>
      <c r="T7787" t="s">
        <v>49221</v>
      </c>
      <c r="U7787" t="s">
        <v>56153</v>
      </c>
      <c r="W7787" t="s">
        <v>45845</v>
      </c>
      <c r="X7787" t="s">
        <v>47438</v>
      </c>
    </row>
    <row r="7788" spans="1:24">
      <c r="A7788">
        <f>HYPERLINK("https://www.philgeps.gov.ph/GEPSNONPILOT/Tender/SplashBidNoticeAbstractUI.aspx?menuIndex=3&amp;refID=7146811&amp;Result=3","7146811")</f>
        <v>0</v>
      </c>
      <c r="B7788" t="s">
        <v>2625</v>
      </c>
      <c r="C7788" t="s">
        <v>11227</v>
      </c>
      <c r="D7788" t="s">
        <v>19044</v>
      </c>
      <c r="E7788" t="s">
        <v>25870</v>
      </c>
      <c r="F7788" t="s">
        <v>32831</v>
      </c>
      <c r="G7788" t="s">
        <v>32839</v>
      </c>
      <c r="H7788" t="s">
        <v>32848</v>
      </c>
      <c r="I7788" t="s">
        <v>4303</v>
      </c>
      <c r="J7788" t="s">
        <v>37844</v>
      </c>
      <c r="K7788" t="s">
        <v>42727</v>
      </c>
      <c r="M7788" t="s">
        <v>45845</v>
      </c>
      <c r="N7788" t="s">
        <v>47424</v>
      </c>
      <c r="O7788" t="s">
        <v>47425</v>
      </c>
      <c r="P7788">
        <v>0</v>
      </c>
      <c r="Q7788">
        <v>1</v>
      </c>
      <c r="R7788" t="s">
        <v>47432</v>
      </c>
      <c r="S7788" t="s">
        <v>47597</v>
      </c>
      <c r="T7788" t="s">
        <v>49221</v>
      </c>
      <c r="U7788" t="s">
        <v>56154</v>
      </c>
      <c r="W7788" t="s">
        <v>45845</v>
      </c>
      <c r="X7788" t="s">
        <v>47438</v>
      </c>
    </row>
    <row r="7789" spans="1:24">
      <c r="A7789">
        <f>HYPERLINK("https://www.philgeps.gov.ph/GEPSNONPILOT/Tender/SplashBidNoticeAbstractUI.aspx?menuIndex=3&amp;refID=7146558&amp;Result=3","7146558")</f>
        <v>0</v>
      </c>
      <c r="B7789" t="s">
        <v>1762</v>
      </c>
      <c r="C7789" t="s">
        <v>11228</v>
      </c>
      <c r="D7789" t="s">
        <v>19089</v>
      </c>
      <c r="E7789" t="s">
        <v>25871</v>
      </c>
      <c r="F7789" t="s">
        <v>32831</v>
      </c>
      <c r="G7789" t="s">
        <v>32839</v>
      </c>
      <c r="H7789" t="s">
        <v>32848</v>
      </c>
      <c r="I7789" t="s">
        <v>4776</v>
      </c>
      <c r="J7789" t="s">
        <v>37845</v>
      </c>
      <c r="K7789" t="s">
        <v>42731</v>
      </c>
      <c r="M7789" t="s">
        <v>44886</v>
      </c>
      <c r="N7789" t="s">
        <v>47424</v>
      </c>
      <c r="O7789" t="s">
        <v>47425</v>
      </c>
      <c r="P7789">
        <v>0</v>
      </c>
      <c r="Q7789">
        <v>6</v>
      </c>
      <c r="R7789" t="s">
        <v>47432</v>
      </c>
      <c r="S7789" t="s">
        <v>47597</v>
      </c>
      <c r="T7789" t="s">
        <v>49108</v>
      </c>
      <c r="U7789" t="s">
        <v>56155</v>
      </c>
      <c r="W7789" t="s">
        <v>44886</v>
      </c>
      <c r="X7789" t="s">
        <v>47438</v>
      </c>
    </row>
    <row r="7790" spans="1:24">
      <c r="A7790">
        <f>HYPERLINK("https://www.philgeps.gov.ph/GEPSNONPILOT/Tender/SplashBidNoticeAbstractUI.aspx?menuIndex=3&amp;refID=7114011&amp;Result=3","7114011")</f>
        <v>0</v>
      </c>
      <c r="B7790" t="s">
        <v>837</v>
      </c>
      <c r="C7790" t="s">
        <v>11229</v>
      </c>
      <c r="D7790" t="s">
        <v>19037</v>
      </c>
      <c r="E7790" t="s">
        <v>25872</v>
      </c>
      <c r="F7790" t="s">
        <v>32831</v>
      </c>
      <c r="G7790" t="s">
        <v>32839</v>
      </c>
      <c r="H7790" t="s">
        <v>32848</v>
      </c>
      <c r="I7790" t="s">
        <v>32871</v>
      </c>
      <c r="J7790" t="s">
        <v>37846</v>
      </c>
      <c r="K7790" t="s">
        <v>42729</v>
      </c>
      <c r="M7790" t="s">
        <v>43869</v>
      </c>
      <c r="N7790" t="s">
        <v>47424</v>
      </c>
      <c r="O7790" t="s">
        <v>47425</v>
      </c>
      <c r="P7790">
        <v>0</v>
      </c>
      <c r="Q7790">
        <v>19</v>
      </c>
      <c r="R7790" t="s">
        <v>47432</v>
      </c>
      <c r="S7790" t="s">
        <v>47597</v>
      </c>
      <c r="T7790" t="s">
        <v>49221</v>
      </c>
      <c r="U7790" t="s">
        <v>56156</v>
      </c>
      <c r="W7790" t="s">
        <v>43869</v>
      </c>
      <c r="X7790" t="s">
        <v>47452</v>
      </c>
    </row>
    <row r="7791" spans="1:24">
      <c r="A7791">
        <f>HYPERLINK("https://www.philgeps.gov.ph/GEPSNONPILOT/Tender/SplashBidNoticeAbstractUI.aspx?menuIndex=3&amp;refID=7146655&amp;Result=3","7146655")</f>
        <v>0</v>
      </c>
      <c r="B7791" t="s">
        <v>1597</v>
      </c>
      <c r="C7791" t="s">
        <v>11230</v>
      </c>
      <c r="D7791" t="s">
        <v>19031</v>
      </c>
      <c r="E7791" t="s">
        <v>25873</v>
      </c>
      <c r="F7791" t="s">
        <v>32831</v>
      </c>
      <c r="G7791" t="s">
        <v>32839</v>
      </c>
      <c r="H7791" t="s">
        <v>32849</v>
      </c>
      <c r="I7791" t="s">
        <v>4177</v>
      </c>
      <c r="J7791" t="s">
        <v>37847</v>
      </c>
      <c r="K7791" t="s">
        <v>42784</v>
      </c>
      <c r="M7791" t="s">
        <v>44712</v>
      </c>
      <c r="N7791" t="s">
        <v>47424</v>
      </c>
      <c r="O7791" t="s">
        <v>47425</v>
      </c>
      <c r="P7791">
        <v>0</v>
      </c>
      <c r="Q7791">
        <v>1</v>
      </c>
      <c r="R7791" t="s">
        <v>47432</v>
      </c>
      <c r="S7791" t="s">
        <v>47597</v>
      </c>
      <c r="T7791" t="s">
        <v>49291</v>
      </c>
      <c r="U7791" t="s">
        <v>56157</v>
      </c>
      <c r="V7791" t="s">
        <v>63051</v>
      </c>
      <c r="W7791" t="s">
        <v>44712</v>
      </c>
      <c r="X7791" t="s">
        <v>47438</v>
      </c>
    </row>
    <row r="7792" spans="1:24">
      <c r="A7792">
        <f>HYPERLINK("https://www.philgeps.gov.ph/GEPSNONPILOT/Tender/SplashBidNoticeAbstractUI.aspx?menuIndex=3&amp;refID=7146514&amp;Result=3","7146514")</f>
        <v>0</v>
      </c>
      <c r="B7792" t="s">
        <v>1762</v>
      </c>
      <c r="C7792" t="s">
        <v>11231</v>
      </c>
      <c r="D7792" t="s">
        <v>19089</v>
      </c>
      <c r="E7792" t="s">
        <v>25874</v>
      </c>
      <c r="F7792" t="s">
        <v>32831</v>
      </c>
      <c r="G7792" t="s">
        <v>32839</v>
      </c>
      <c r="H7792" t="s">
        <v>32848</v>
      </c>
      <c r="I7792" t="s">
        <v>32903</v>
      </c>
      <c r="J7792" t="s">
        <v>33072</v>
      </c>
      <c r="K7792" t="s">
        <v>42731</v>
      </c>
      <c r="M7792" t="s">
        <v>44886</v>
      </c>
      <c r="N7792" t="s">
        <v>47424</v>
      </c>
      <c r="O7792" t="s">
        <v>47425</v>
      </c>
      <c r="P7792">
        <v>0</v>
      </c>
      <c r="Q7792">
        <v>1</v>
      </c>
      <c r="R7792" t="s">
        <v>47432</v>
      </c>
      <c r="S7792" t="s">
        <v>47597</v>
      </c>
      <c r="T7792" t="s">
        <v>49108</v>
      </c>
      <c r="U7792" t="s">
        <v>56158</v>
      </c>
      <c r="W7792" t="s">
        <v>44886</v>
      </c>
      <c r="X7792" t="s">
        <v>47438</v>
      </c>
    </row>
    <row r="7793" spans="1:24">
      <c r="A7793">
        <f>HYPERLINK("https://www.philgeps.gov.ph/GEPSNONPILOT/Tender/SplashBidNoticeAbstractUI.aspx?menuIndex=3&amp;refID=7148856&amp;Result=3","7148856")</f>
        <v>0</v>
      </c>
      <c r="B7793" t="s">
        <v>2626</v>
      </c>
      <c r="C7793" t="s">
        <v>6353</v>
      </c>
      <c r="D7793" t="s">
        <v>19044</v>
      </c>
      <c r="E7793" t="s">
        <v>19144</v>
      </c>
      <c r="F7793" t="s">
        <v>32831</v>
      </c>
      <c r="G7793" t="s">
        <v>32839</v>
      </c>
      <c r="H7793" t="s">
        <v>32848</v>
      </c>
      <c r="I7793" t="s">
        <v>32852</v>
      </c>
      <c r="J7793" t="s">
        <v>37848</v>
      </c>
      <c r="K7793" t="s">
        <v>42730</v>
      </c>
      <c r="M7793" t="s">
        <v>45846</v>
      </c>
      <c r="N7793" t="s">
        <v>47424</v>
      </c>
      <c r="O7793" t="s">
        <v>47425</v>
      </c>
      <c r="P7793">
        <v>0</v>
      </c>
      <c r="Q7793">
        <v>0</v>
      </c>
      <c r="R7793" t="s">
        <v>47432</v>
      </c>
      <c r="S7793" t="s">
        <v>47597</v>
      </c>
      <c r="T7793" t="s">
        <v>49214</v>
      </c>
      <c r="U7793" t="s">
        <v>51857</v>
      </c>
      <c r="V7793" t="s">
        <v>62896</v>
      </c>
      <c r="W7793" t="s">
        <v>45846</v>
      </c>
      <c r="X7793" t="s">
        <v>47436</v>
      </c>
    </row>
    <row r="7794" spans="1:24">
      <c r="A7794">
        <f>HYPERLINK("https://www.philgeps.gov.ph/GEPSNONPILOT/Tender/SplashBidNoticeAbstractUI.aspx?menuIndex=3&amp;refID=7148749&amp;Result=3","7148749")</f>
        <v>0</v>
      </c>
      <c r="B7794" t="s">
        <v>2627</v>
      </c>
      <c r="C7794" t="s">
        <v>11232</v>
      </c>
      <c r="D7794" t="s">
        <v>19080</v>
      </c>
      <c r="E7794" t="s">
        <v>25875</v>
      </c>
      <c r="F7794" t="s">
        <v>32831</v>
      </c>
      <c r="G7794" t="s">
        <v>32839</v>
      </c>
      <c r="H7794" t="s">
        <v>32848</v>
      </c>
      <c r="I7794" t="s">
        <v>7416</v>
      </c>
      <c r="J7794" t="s">
        <v>37849</v>
      </c>
      <c r="K7794" t="s">
        <v>42730</v>
      </c>
      <c r="L7794" t="s">
        <v>2627</v>
      </c>
      <c r="M7794" t="s">
        <v>45847</v>
      </c>
      <c r="N7794" t="s">
        <v>47424</v>
      </c>
      <c r="O7794" t="s">
        <v>47425</v>
      </c>
      <c r="P7794">
        <v>0</v>
      </c>
      <c r="Q7794">
        <v>0</v>
      </c>
      <c r="R7794" t="s">
        <v>47432</v>
      </c>
      <c r="S7794" t="s">
        <v>47597</v>
      </c>
      <c r="T7794" t="s">
        <v>49448</v>
      </c>
      <c r="U7794" t="s">
        <v>56159</v>
      </c>
      <c r="V7794" t="s">
        <v>63493</v>
      </c>
      <c r="W7794" t="s">
        <v>45847</v>
      </c>
      <c r="X7794" t="s">
        <v>47436</v>
      </c>
    </row>
    <row r="7795" spans="1:24">
      <c r="A7795">
        <f>HYPERLINK("https://www.philgeps.gov.ph/GEPSNONPILOT/Tender/SplashBidNoticeAbstractUI.aspx?menuIndex=3&amp;refID=7147131&amp;Result=3","7147131")</f>
        <v>0</v>
      </c>
      <c r="B7795" t="s">
        <v>2628</v>
      </c>
      <c r="C7795" t="s">
        <v>11233</v>
      </c>
      <c r="D7795" t="s">
        <v>19044</v>
      </c>
      <c r="E7795" t="s">
        <v>25876</v>
      </c>
      <c r="F7795" t="s">
        <v>32831</v>
      </c>
      <c r="G7795" t="s">
        <v>32839</v>
      </c>
      <c r="H7795" t="s">
        <v>32848</v>
      </c>
      <c r="I7795" t="s">
        <v>4303</v>
      </c>
      <c r="J7795" t="s">
        <v>37850</v>
      </c>
      <c r="K7795" t="s">
        <v>42727</v>
      </c>
      <c r="M7795" t="s">
        <v>45848</v>
      </c>
      <c r="N7795" t="s">
        <v>47424</v>
      </c>
      <c r="O7795" t="s">
        <v>47425</v>
      </c>
      <c r="P7795">
        <v>0</v>
      </c>
      <c r="Q7795">
        <v>1</v>
      </c>
      <c r="R7795" t="s">
        <v>47432</v>
      </c>
      <c r="S7795" t="s">
        <v>47597</v>
      </c>
      <c r="T7795" t="s">
        <v>49221</v>
      </c>
      <c r="U7795" t="s">
        <v>56160</v>
      </c>
      <c r="W7795" t="s">
        <v>45848</v>
      </c>
      <c r="X7795" t="s">
        <v>47438</v>
      </c>
    </row>
    <row r="7796" spans="1:24">
      <c r="A7796">
        <f>HYPERLINK("https://www.philgeps.gov.ph/GEPSNONPILOT/Tender/SplashBidNoticeAbstractUI.aspx?menuIndex=3&amp;refID=7148730&amp;Result=3","7148730")</f>
        <v>0</v>
      </c>
      <c r="B7796" t="s">
        <v>2585</v>
      </c>
      <c r="C7796" t="s">
        <v>11234</v>
      </c>
      <c r="D7796" t="s">
        <v>19026</v>
      </c>
      <c r="E7796" t="s">
        <v>25877</v>
      </c>
      <c r="F7796" t="s">
        <v>32831</v>
      </c>
      <c r="G7796" t="s">
        <v>32839</v>
      </c>
      <c r="H7796" t="s">
        <v>32849</v>
      </c>
      <c r="I7796" t="s">
        <v>4177</v>
      </c>
      <c r="J7796" t="s">
        <v>37851</v>
      </c>
      <c r="K7796" t="s">
        <v>42816</v>
      </c>
      <c r="M7796" t="s">
        <v>45803</v>
      </c>
      <c r="N7796" t="s">
        <v>47424</v>
      </c>
      <c r="O7796" t="s">
        <v>47425</v>
      </c>
      <c r="P7796">
        <v>0</v>
      </c>
      <c r="Q7796">
        <v>23</v>
      </c>
      <c r="R7796" t="s">
        <v>47432</v>
      </c>
      <c r="S7796" t="s">
        <v>47597</v>
      </c>
      <c r="T7796" t="s">
        <v>49192</v>
      </c>
      <c r="U7796" t="s">
        <v>56161</v>
      </c>
      <c r="V7796" t="s">
        <v>63494</v>
      </c>
      <c r="W7796" t="s">
        <v>45803</v>
      </c>
      <c r="X7796" t="s">
        <v>47436</v>
      </c>
    </row>
    <row r="7797" spans="1:24">
      <c r="A7797">
        <f>HYPERLINK("https://www.philgeps.gov.ph/GEPSNONPILOT/Tender/SplashBidNoticeAbstractUI.aspx?menuIndex=3&amp;refID=7146225&amp;Result=3","7146225")</f>
        <v>0</v>
      </c>
      <c r="B7797" t="s">
        <v>34</v>
      </c>
      <c r="C7797" t="s">
        <v>11235</v>
      </c>
      <c r="E7797" t="s">
        <v>25878</v>
      </c>
      <c r="F7797" t="s">
        <v>32831</v>
      </c>
      <c r="G7797" t="s">
        <v>32838</v>
      </c>
      <c r="H7797" t="s">
        <v>32848</v>
      </c>
      <c r="I7797" t="s">
        <v>32862</v>
      </c>
      <c r="J7797" t="s">
        <v>37852</v>
      </c>
      <c r="K7797" t="s">
        <v>42730</v>
      </c>
      <c r="M7797" t="s">
        <v>44653</v>
      </c>
      <c r="N7797" t="s">
        <v>47424</v>
      </c>
      <c r="O7797" t="s">
        <v>47425</v>
      </c>
      <c r="P7797">
        <v>0</v>
      </c>
      <c r="Q7797">
        <v>1</v>
      </c>
      <c r="R7797" t="s">
        <v>47432</v>
      </c>
      <c r="S7797" t="s">
        <v>47597</v>
      </c>
      <c r="T7797" t="s">
        <v>49162</v>
      </c>
      <c r="U7797" t="s">
        <v>56162</v>
      </c>
      <c r="W7797" t="s">
        <v>44653</v>
      </c>
      <c r="X7797" t="s">
        <v>47438</v>
      </c>
    </row>
    <row r="7798" spans="1:24">
      <c r="A7798">
        <f>HYPERLINK("https://www.philgeps.gov.ph/GEPSNONPILOT/Tender/SplashBidNoticeAbstractUI.aspx?menuIndex=3&amp;refID=7148725&amp;Result=3","7148725")</f>
        <v>0</v>
      </c>
      <c r="B7798" t="s">
        <v>49</v>
      </c>
      <c r="C7798" t="s">
        <v>11236</v>
      </c>
      <c r="D7798" t="s">
        <v>19037</v>
      </c>
      <c r="E7798" t="s">
        <v>25879</v>
      </c>
      <c r="F7798" t="s">
        <v>32831</v>
      </c>
      <c r="G7798" t="s">
        <v>32839</v>
      </c>
      <c r="H7798" t="s">
        <v>32848</v>
      </c>
      <c r="I7798" t="s">
        <v>32861</v>
      </c>
      <c r="J7798" t="s">
        <v>33087</v>
      </c>
      <c r="K7798" t="s">
        <v>42750</v>
      </c>
      <c r="M7798" t="s">
        <v>44702</v>
      </c>
      <c r="N7798" t="s">
        <v>47424</v>
      </c>
      <c r="O7798" t="s">
        <v>47425</v>
      </c>
      <c r="P7798">
        <v>0</v>
      </c>
      <c r="Q7798">
        <v>4</v>
      </c>
      <c r="R7798" t="s">
        <v>47432</v>
      </c>
      <c r="S7798" t="s">
        <v>47597</v>
      </c>
      <c r="T7798" t="s">
        <v>49319</v>
      </c>
      <c r="U7798" t="s">
        <v>56163</v>
      </c>
      <c r="V7798" t="s">
        <v>62630</v>
      </c>
      <c r="W7798" t="s">
        <v>44702</v>
      </c>
      <c r="X7798" t="s">
        <v>47436</v>
      </c>
    </row>
    <row r="7799" spans="1:24">
      <c r="A7799">
        <f>HYPERLINK("https://www.philgeps.gov.ph/GEPSNONPILOT/Tender/SplashBidNoticeAbstractUI.aspx?menuIndex=3&amp;refID=7147465&amp;Result=3","7147465")</f>
        <v>0</v>
      </c>
      <c r="B7799" t="s">
        <v>1366</v>
      </c>
      <c r="C7799" t="s">
        <v>11237</v>
      </c>
      <c r="D7799" t="s">
        <v>19024</v>
      </c>
      <c r="E7799" t="s">
        <v>25880</v>
      </c>
      <c r="F7799" t="s">
        <v>32831</v>
      </c>
      <c r="G7799" t="s">
        <v>32839</v>
      </c>
      <c r="H7799" t="s">
        <v>32849</v>
      </c>
      <c r="I7799" t="s">
        <v>4177</v>
      </c>
      <c r="J7799" t="s">
        <v>37853</v>
      </c>
      <c r="K7799" t="s">
        <v>42732</v>
      </c>
      <c r="M7799" t="s">
        <v>44446</v>
      </c>
      <c r="N7799" t="s">
        <v>47424</v>
      </c>
      <c r="O7799" t="s">
        <v>47425</v>
      </c>
      <c r="P7799">
        <v>0</v>
      </c>
      <c r="Q7799">
        <v>1</v>
      </c>
      <c r="R7799" t="s">
        <v>47432</v>
      </c>
      <c r="S7799" t="s">
        <v>47597</v>
      </c>
      <c r="T7799" t="s">
        <v>49236</v>
      </c>
      <c r="U7799" t="s">
        <v>56164</v>
      </c>
      <c r="W7799" t="s">
        <v>44446</v>
      </c>
      <c r="X7799" t="s">
        <v>47438</v>
      </c>
    </row>
    <row r="7800" spans="1:24">
      <c r="A7800">
        <f>HYPERLINK("https://www.philgeps.gov.ph/GEPSNONPILOT/Tender/SplashBidNoticeAbstractUI.aspx?menuIndex=3&amp;refID=7148742&amp;Result=3","7148742")</f>
        <v>0</v>
      </c>
      <c r="B7800" t="s">
        <v>2585</v>
      </c>
      <c r="C7800" t="s">
        <v>11238</v>
      </c>
      <c r="D7800" t="s">
        <v>19026</v>
      </c>
      <c r="E7800" t="s">
        <v>25881</v>
      </c>
      <c r="F7800" t="s">
        <v>32831</v>
      </c>
      <c r="G7800" t="s">
        <v>32839</v>
      </c>
      <c r="H7800" t="s">
        <v>32849</v>
      </c>
      <c r="I7800" t="s">
        <v>4177</v>
      </c>
      <c r="J7800" t="s">
        <v>37854</v>
      </c>
      <c r="K7800" t="s">
        <v>42816</v>
      </c>
      <c r="M7800" t="s">
        <v>45803</v>
      </c>
      <c r="N7800" t="s">
        <v>47424</v>
      </c>
      <c r="O7800" t="s">
        <v>47425</v>
      </c>
      <c r="P7800">
        <v>0</v>
      </c>
      <c r="Q7800">
        <v>20</v>
      </c>
      <c r="R7800" t="s">
        <v>47432</v>
      </c>
      <c r="S7800" t="s">
        <v>47597</v>
      </c>
      <c r="T7800" t="s">
        <v>49192</v>
      </c>
      <c r="U7800" t="s">
        <v>56165</v>
      </c>
      <c r="V7800" t="s">
        <v>63494</v>
      </c>
      <c r="W7800" t="s">
        <v>45803</v>
      </c>
      <c r="X7800" t="s">
        <v>47436</v>
      </c>
    </row>
    <row r="7801" spans="1:24">
      <c r="A7801">
        <f>HYPERLINK("https://www.philgeps.gov.ph/GEPSNONPILOT/Tender/SplashBidNoticeAbstractUI.aspx?menuIndex=3&amp;refID=7148729&amp;Result=3","7148729")</f>
        <v>0</v>
      </c>
      <c r="B7801" t="s">
        <v>49</v>
      </c>
      <c r="C7801" t="s">
        <v>11239</v>
      </c>
      <c r="D7801" t="s">
        <v>19037</v>
      </c>
      <c r="E7801" t="s">
        <v>25882</v>
      </c>
      <c r="F7801" t="s">
        <v>32831</v>
      </c>
      <c r="G7801" t="s">
        <v>32839</v>
      </c>
      <c r="H7801" t="s">
        <v>32848</v>
      </c>
      <c r="I7801" t="s">
        <v>32861</v>
      </c>
      <c r="J7801" t="s">
        <v>33018</v>
      </c>
      <c r="K7801" t="s">
        <v>42750</v>
      </c>
      <c r="M7801" t="s">
        <v>44702</v>
      </c>
      <c r="N7801" t="s">
        <v>47424</v>
      </c>
      <c r="O7801" t="s">
        <v>47425</v>
      </c>
      <c r="P7801">
        <v>0</v>
      </c>
      <c r="Q7801">
        <v>3</v>
      </c>
      <c r="R7801" t="s">
        <v>47432</v>
      </c>
      <c r="S7801" t="s">
        <v>47597</v>
      </c>
      <c r="T7801" t="s">
        <v>49319</v>
      </c>
      <c r="U7801" t="s">
        <v>56166</v>
      </c>
      <c r="V7801" t="s">
        <v>62630</v>
      </c>
      <c r="W7801" t="s">
        <v>44702</v>
      </c>
      <c r="X7801" t="s">
        <v>47436</v>
      </c>
    </row>
    <row r="7802" spans="1:24">
      <c r="A7802">
        <f>HYPERLINK("https://www.philgeps.gov.ph/GEPSNONPILOT/Tender/SplashBidNoticeAbstractUI.aspx?menuIndex=3&amp;refID=7148714&amp;Result=3","7148714")</f>
        <v>0</v>
      </c>
      <c r="B7802" t="s">
        <v>49</v>
      </c>
      <c r="C7802" t="s">
        <v>11240</v>
      </c>
      <c r="D7802" t="s">
        <v>19037</v>
      </c>
      <c r="E7802" t="s">
        <v>25883</v>
      </c>
      <c r="F7802" t="s">
        <v>32831</v>
      </c>
      <c r="G7802" t="s">
        <v>32839</v>
      </c>
      <c r="H7802" t="s">
        <v>32848</v>
      </c>
      <c r="I7802" t="s">
        <v>32861</v>
      </c>
      <c r="J7802" t="s">
        <v>33422</v>
      </c>
      <c r="K7802" t="s">
        <v>42750</v>
      </c>
      <c r="M7802" t="s">
        <v>44702</v>
      </c>
      <c r="N7802" t="s">
        <v>47424</v>
      </c>
      <c r="O7802" t="s">
        <v>47425</v>
      </c>
      <c r="P7802">
        <v>0</v>
      </c>
      <c r="Q7802">
        <v>3</v>
      </c>
      <c r="R7802" t="s">
        <v>47432</v>
      </c>
      <c r="S7802" t="s">
        <v>47597</v>
      </c>
      <c r="T7802" t="s">
        <v>49319</v>
      </c>
      <c r="U7802" t="s">
        <v>56167</v>
      </c>
      <c r="V7802" t="s">
        <v>62630</v>
      </c>
      <c r="W7802" t="s">
        <v>44702</v>
      </c>
      <c r="X7802" t="s">
        <v>47436</v>
      </c>
    </row>
    <row r="7803" spans="1:24">
      <c r="A7803">
        <f>HYPERLINK("https://www.philgeps.gov.ph/GEPSNONPILOT/Tender/SplashBidNoticeAbstractUI.aspx?menuIndex=3&amp;refID=7148707&amp;Result=3","7148707")</f>
        <v>0</v>
      </c>
      <c r="B7803" t="s">
        <v>49</v>
      </c>
      <c r="C7803" t="s">
        <v>11241</v>
      </c>
      <c r="D7803" t="s">
        <v>19037</v>
      </c>
      <c r="E7803" t="s">
        <v>25884</v>
      </c>
      <c r="F7803" t="s">
        <v>32831</v>
      </c>
      <c r="G7803" t="s">
        <v>32839</v>
      </c>
      <c r="H7803" t="s">
        <v>32848</v>
      </c>
      <c r="I7803" t="s">
        <v>32861</v>
      </c>
      <c r="J7803" t="s">
        <v>33771</v>
      </c>
      <c r="K7803" t="s">
        <v>42750</v>
      </c>
      <c r="M7803" t="s">
        <v>44702</v>
      </c>
      <c r="N7803" t="s">
        <v>47424</v>
      </c>
      <c r="O7803" t="s">
        <v>47425</v>
      </c>
      <c r="P7803">
        <v>0</v>
      </c>
      <c r="Q7803">
        <v>1</v>
      </c>
      <c r="R7803" t="s">
        <v>47432</v>
      </c>
      <c r="S7803" t="s">
        <v>47597</v>
      </c>
      <c r="T7803" t="s">
        <v>49319</v>
      </c>
      <c r="U7803" t="s">
        <v>56168</v>
      </c>
      <c r="V7803" t="s">
        <v>62630</v>
      </c>
      <c r="W7803" t="s">
        <v>44702</v>
      </c>
      <c r="X7803" t="s">
        <v>47436</v>
      </c>
    </row>
    <row r="7804" spans="1:24">
      <c r="A7804">
        <f>HYPERLINK("https://www.philgeps.gov.ph/GEPSNONPILOT/Tender/SplashBidNoticeAbstractUI.aspx?menuIndex=3&amp;refID=7149727&amp;Result=3","7149727")</f>
        <v>0</v>
      </c>
      <c r="B7804" t="s">
        <v>485</v>
      </c>
      <c r="C7804" t="s">
        <v>11242</v>
      </c>
      <c r="D7804" t="s">
        <v>19032</v>
      </c>
      <c r="E7804" t="s">
        <v>25885</v>
      </c>
      <c r="F7804" t="s">
        <v>32831</v>
      </c>
      <c r="G7804" t="s">
        <v>32838</v>
      </c>
      <c r="H7804" t="s">
        <v>32848</v>
      </c>
      <c r="I7804" t="s">
        <v>9577</v>
      </c>
      <c r="J7804" t="s">
        <v>37855</v>
      </c>
      <c r="K7804" t="s">
        <v>42726</v>
      </c>
      <c r="M7804" t="s">
        <v>43490</v>
      </c>
      <c r="N7804" t="s">
        <v>47424</v>
      </c>
      <c r="O7804" t="s">
        <v>47425</v>
      </c>
      <c r="P7804">
        <v>0</v>
      </c>
      <c r="Q7804">
        <v>0</v>
      </c>
      <c r="R7804" t="s">
        <v>47432</v>
      </c>
      <c r="S7804" t="s">
        <v>47597</v>
      </c>
      <c r="T7804" t="s">
        <v>49489</v>
      </c>
      <c r="U7804" t="s">
        <v>50335</v>
      </c>
      <c r="V7804" t="s">
        <v>63495</v>
      </c>
      <c r="W7804" t="s">
        <v>43490</v>
      </c>
      <c r="X7804" t="s">
        <v>47434</v>
      </c>
    </row>
    <row r="7805" spans="1:24">
      <c r="A7805">
        <f>HYPERLINK("https://www.philgeps.gov.ph/GEPSNONPILOT/Tender/SplashBidNoticeAbstractUI.aspx?menuIndex=3&amp;refID=7148734&amp;Result=3","7148734")</f>
        <v>0</v>
      </c>
      <c r="B7805" t="s">
        <v>49</v>
      </c>
      <c r="C7805" t="s">
        <v>11243</v>
      </c>
      <c r="D7805" t="s">
        <v>19037</v>
      </c>
      <c r="E7805" t="s">
        <v>25886</v>
      </c>
      <c r="F7805" t="s">
        <v>32831</v>
      </c>
      <c r="G7805" t="s">
        <v>32839</v>
      </c>
      <c r="H7805" t="s">
        <v>32848</v>
      </c>
      <c r="I7805" t="s">
        <v>4776</v>
      </c>
      <c r="J7805" t="s">
        <v>33090</v>
      </c>
      <c r="K7805" t="s">
        <v>42750</v>
      </c>
      <c r="M7805" t="s">
        <v>44702</v>
      </c>
      <c r="N7805" t="s">
        <v>47424</v>
      </c>
      <c r="O7805" t="s">
        <v>47425</v>
      </c>
      <c r="P7805">
        <v>0</v>
      </c>
      <c r="Q7805">
        <v>2</v>
      </c>
      <c r="R7805" t="s">
        <v>47432</v>
      </c>
      <c r="S7805" t="s">
        <v>47597</v>
      </c>
      <c r="T7805" t="s">
        <v>49319</v>
      </c>
      <c r="U7805" t="s">
        <v>56169</v>
      </c>
      <c r="V7805" t="s">
        <v>63496</v>
      </c>
      <c r="W7805" t="s">
        <v>44702</v>
      </c>
      <c r="X7805" t="s">
        <v>47436</v>
      </c>
    </row>
    <row r="7806" spans="1:24">
      <c r="A7806">
        <f>HYPERLINK("https://www.philgeps.gov.ph/GEPSNONPILOT/Tender/SplashBidNoticeAbstractUI.aspx?menuIndex=3&amp;refID=7149722&amp;Result=3","7149722")</f>
        <v>0</v>
      </c>
      <c r="B7806" t="s">
        <v>2629</v>
      </c>
      <c r="C7806" t="s">
        <v>11244</v>
      </c>
      <c r="D7806" t="s">
        <v>19078</v>
      </c>
      <c r="E7806" t="s">
        <v>25887</v>
      </c>
      <c r="F7806" t="s">
        <v>32831</v>
      </c>
      <c r="G7806" t="s">
        <v>32839</v>
      </c>
      <c r="H7806" t="s">
        <v>32849</v>
      </c>
      <c r="I7806" t="s">
        <v>4177</v>
      </c>
      <c r="J7806" t="s">
        <v>37856</v>
      </c>
      <c r="K7806" t="s">
        <v>42832</v>
      </c>
      <c r="M7806" t="s">
        <v>45849</v>
      </c>
      <c r="N7806" t="s">
        <v>47424</v>
      </c>
      <c r="O7806" t="s">
        <v>47425</v>
      </c>
      <c r="P7806">
        <v>0</v>
      </c>
      <c r="Q7806">
        <v>1</v>
      </c>
      <c r="R7806" t="s">
        <v>47432</v>
      </c>
      <c r="S7806" t="s">
        <v>47597</v>
      </c>
      <c r="T7806" t="s">
        <v>49221</v>
      </c>
      <c r="U7806" t="s">
        <v>56170</v>
      </c>
      <c r="W7806" t="s">
        <v>45849</v>
      </c>
      <c r="X7806" t="s">
        <v>47434</v>
      </c>
    </row>
    <row r="7807" spans="1:24">
      <c r="A7807">
        <f>HYPERLINK("https://www.philgeps.gov.ph/GEPSNONPILOT/Tender/SplashBidNoticeAbstractUI.aspx?menuIndex=3&amp;refID=7148710&amp;Result=3","7148710")</f>
        <v>0</v>
      </c>
      <c r="B7807" t="s">
        <v>49</v>
      </c>
      <c r="C7807" t="s">
        <v>11245</v>
      </c>
      <c r="D7807" t="s">
        <v>19037</v>
      </c>
      <c r="E7807" t="s">
        <v>25888</v>
      </c>
      <c r="F7807" t="s">
        <v>32831</v>
      </c>
      <c r="G7807" t="s">
        <v>32839</v>
      </c>
      <c r="H7807" t="s">
        <v>32848</v>
      </c>
      <c r="I7807" t="s">
        <v>32861</v>
      </c>
      <c r="J7807" t="s">
        <v>33509</v>
      </c>
      <c r="K7807" t="s">
        <v>42750</v>
      </c>
      <c r="M7807" t="s">
        <v>44702</v>
      </c>
      <c r="N7807" t="s">
        <v>47424</v>
      </c>
      <c r="O7807" t="s">
        <v>47425</v>
      </c>
      <c r="P7807">
        <v>0</v>
      </c>
      <c r="Q7807">
        <v>1</v>
      </c>
      <c r="R7807" t="s">
        <v>47432</v>
      </c>
      <c r="S7807" t="s">
        <v>47597</v>
      </c>
      <c r="T7807" t="s">
        <v>49319</v>
      </c>
      <c r="U7807" t="s">
        <v>56171</v>
      </c>
      <c r="V7807" t="s">
        <v>62630</v>
      </c>
      <c r="W7807" t="s">
        <v>44702</v>
      </c>
      <c r="X7807" t="s">
        <v>47436</v>
      </c>
    </row>
    <row r="7808" spans="1:24">
      <c r="A7808">
        <f>HYPERLINK("https://www.philgeps.gov.ph/GEPSNONPILOT/Tender/SplashBidNoticeAbstractUI.aspx?menuIndex=3&amp;refID=7149701&amp;Result=3","7149701")</f>
        <v>0</v>
      </c>
      <c r="B7808" t="s">
        <v>2630</v>
      </c>
      <c r="C7808" t="s">
        <v>11246</v>
      </c>
      <c r="D7808" t="s">
        <v>19019</v>
      </c>
      <c r="E7808" t="s">
        <v>25889</v>
      </c>
      <c r="F7808" t="s">
        <v>32831</v>
      </c>
      <c r="G7808" t="s">
        <v>32839</v>
      </c>
      <c r="H7808" t="s">
        <v>32849</v>
      </c>
      <c r="I7808" t="s">
        <v>4177</v>
      </c>
      <c r="J7808" t="s">
        <v>37857</v>
      </c>
      <c r="K7808" t="s">
        <v>42763</v>
      </c>
      <c r="M7808" t="s">
        <v>45850</v>
      </c>
      <c r="N7808" t="s">
        <v>47424</v>
      </c>
      <c r="O7808" t="s">
        <v>47425</v>
      </c>
      <c r="P7808">
        <v>0</v>
      </c>
      <c r="Q7808">
        <v>2</v>
      </c>
      <c r="R7808" t="s">
        <v>47432</v>
      </c>
      <c r="S7808" t="s">
        <v>47597</v>
      </c>
      <c r="T7808" t="s">
        <v>49107</v>
      </c>
      <c r="U7808" t="s">
        <v>56172</v>
      </c>
      <c r="W7808" t="s">
        <v>45850</v>
      </c>
      <c r="X7808" t="s">
        <v>47434</v>
      </c>
    </row>
    <row r="7809" spans="1:24">
      <c r="A7809">
        <f>HYPERLINK("https://www.philgeps.gov.ph/GEPSNONPILOT/Tender/SplashBidNoticeAbstractUI.aspx?menuIndex=3&amp;refID=7149664&amp;Result=3","7149664")</f>
        <v>0</v>
      </c>
      <c r="B7809" t="s">
        <v>2629</v>
      </c>
      <c r="C7809" t="s">
        <v>11247</v>
      </c>
      <c r="D7809" t="s">
        <v>19078</v>
      </c>
      <c r="E7809" t="s">
        <v>25890</v>
      </c>
      <c r="F7809" t="s">
        <v>32831</v>
      </c>
      <c r="G7809" t="s">
        <v>32839</v>
      </c>
      <c r="H7809" t="s">
        <v>32849</v>
      </c>
      <c r="I7809" t="s">
        <v>4177</v>
      </c>
      <c r="J7809" t="s">
        <v>37858</v>
      </c>
      <c r="K7809" t="s">
        <v>42743</v>
      </c>
      <c r="M7809" t="s">
        <v>45849</v>
      </c>
      <c r="N7809" t="s">
        <v>47424</v>
      </c>
      <c r="O7809" t="s">
        <v>47425</v>
      </c>
      <c r="P7809">
        <v>0</v>
      </c>
      <c r="Q7809">
        <v>1</v>
      </c>
      <c r="R7809" t="s">
        <v>47432</v>
      </c>
      <c r="S7809" t="s">
        <v>47597</v>
      </c>
      <c r="T7809" t="s">
        <v>49221</v>
      </c>
      <c r="U7809" t="s">
        <v>56173</v>
      </c>
      <c r="W7809" t="s">
        <v>45849</v>
      </c>
      <c r="X7809" t="s">
        <v>47434</v>
      </c>
    </row>
    <row r="7810" spans="1:24">
      <c r="A7810">
        <f>HYPERLINK("https://www.philgeps.gov.ph/GEPSNONPILOT/Tender/SplashBidNoticeAbstractUI.aspx?menuIndex=3&amp;refID=7149726&amp;Result=3","7149726")</f>
        <v>0</v>
      </c>
      <c r="B7810" t="s">
        <v>2215</v>
      </c>
      <c r="C7810" t="s">
        <v>11248</v>
      </c>
      <c r="D7810" t="s">
        <v>19077</v>
      </c>
      <c r="E7810" t="s">
        <v>25891</v>
      </c>
      <c r="F7810" t="s">
        <v>32831</v>
      </c>
      <c r="G7810" t="s">
        <v>32839</v>
      </c>
      <c r="H7810" t="s">
        <v>32849</v>
      </c>
      <c r="I7810" t="s">
        <v>4177</v>
      </c>
      <c r="J7810" t="s">
        <v>37859</v>
      </c>
      <c r="K7810" t="s">
        <v>42780</v>
      </c>
      <c r="M7810" t="s">
        <v>45395</v>
      </c>
      <c r="N7810" t="s">
        <v>47424</v>
      </c>
      <c r="O7810" t="s">
        <v>47425</v>
      </c>
      <c r="P7810">
        <v>0</v>
      </c>
      <c r="Q7810">
        <v>0</v>
      </c>
      <c r="R7810" t="s">
        <v>47432</v>
      </c>
      <c r="S7810" t="s">
        <v>47597</v>
      </c>
      <c r="T7810" t="s">
        <v>49236</v>
      </c>
      <c r="U7810" t="s">
        <v>56174</v>
      </c>
      <c r="W7810" t="s">
        <v>45395</v>
      </c>
      <c r="X7810" t="s">
        <v>47434</v>
      </c>
    </row>
    <row r="7811" spans="1:24">
      <c r="A7811">
        <f>HYPERLINK("https://www.philgeps.gov.ph/GEPSNONPILOT/Tender/SplashBidNoticeAbstractUI.aspx?menuIndex=3&amp;refID=7149590&amp;Result=3","7149590")</f>
        <v>0</v>
      </c>
      <c r="B7811" t="s">
        <v>2629</v>
      </c>
      <c r="C7811" t="s">
        <v>11249</v>
      </c>
      <c r="D7811" t="s">
        <v>19078</v>
      </c>
      <c r="E7811" t="s">
        <v>25892</v>
      </c>
      <c r="F7811" t="s">
        <v>32831</v>
      </c>
      <c r="G7811" t="s">
        <v>32839</v>
      </c>
      <c r="H7811" t="s">
        <v>32849</v>
      </c>
      <c r="I7811" t="s">
        <v>4177</v>
      </c>
      <c r="J7811" t="s">
        <v>37860</v>
      </c>
      <c r="K7811" t="s">
        <v>42747</v>
      </c>
      <c r="M7811" t="s">
        <v>45849</v>
      </c>
      <c r="N7811" t="s">
        <v>47424</v>
      </c>
      <c r="O7811" t="s">
        <v>47425</v>
      </c>
      <c r="P7811">
        <v>0</v>
      </c>
      <c r="Q7811">
        <v>1</v>
      </c>
      <c r="R7811" t="s">
        <v>47432</v>
      </c>
      <c r="S7811" t="s">
        <v>47597</v>
      </c>
      <c r="T7811" t="s">
        <v>49221</v>
      </c>
      <c r="U7811" t="s">
        <v>56175</v>
      </c>
      <c r="W7811" t="s">
        <v>45849</v>
      </c>
      <c r="X7811" t="s">
        <v>47434</v>
      </c>
    </row>
    <row r="7812" spans="1:24">
      <c r="A7812">
        <f>HYPERLINK("https://www.philgeps.gov.ph/GEPSNONPILOT/Tender/SplashBidNoticeAbstractUI.aspx?menuIndex=3&amp;refID=7149578&amp;Result=3","7149578")</f>
        <v>0</v>
      </c>
      <c r="B7812" t="s">
        <v>2631</v>
      </c>
      <c r="C7812" t="s">
        <v>11250</v>
      </c>
      <c r="D7812" t="s">
        <v>19063</v>
      </c>
      <c r="E7812" t="s">
        <v>25893</v>
      </c>
      <c r="F7812" t="s">
        <v>32831</v>
      </c>
      <c r="G7812" t="s">
        <v>32839</v>
      </c>
      <c r="H7812" t="s">
        <v>32848</v>
      </c>
      <c r="I7812" t="s">
        <v>7416</v>
      </c>
      <c r="J7812" t="s">
        <v>37861</v>
      </c>
      <c r="K7812" t="s">
        <v>42730</v>
      </c>
      <c r="M7812" t="s">
        <v>45851</v>
      </c>
      <c r="N7812" t="s">
        <v>47424</v>
      </c>
      <c r="O7812" t="s">
        <v>47425</v>
      </c>
      <c r="P7812">
        <v>0</v>
      </c>
      <c r="Q7812">
        <v>0</v>
      </c>
      <c r="R7812" t="s">
        <v>47432</v>
      </c>
      <c r="S7812" t="s">
        <v>47597</v>
      </c>
      <c r="T7812" t="s">
        <v>49162</v>
      </c>
      <c r="U7812" t="s">
        <v>56176</v>
      </c>
      <c r="W7812" t="s">
        <v>45851</v>
      </c>
      <c r="X7812" t="s">
        <v>47434</v>
      </c>
    </row>
    <row r="7813" spans="1:24">
      <c r="A7813">
        <f>HYPERLINK("https://www.philgeps.gov.ph/GEPSNONPILOT/Tender/SplashBidNoticeAbstractUI.aspx?menuIndex=3&amp;refID=7149549&amp;Result=3","7149549")</f>
        <v>0</v>
      </c>
      <c r="B7813" t="s">
        <v>72</v>
      </c>
      <c r="C7813" t="s">
        <v>11251</v>
      </c>
      <c r="D7813" t="s">
        <v>19027</v>
      </c>
      <c r="E7813" t="s">
        <v>25894</v>
      </c>
      <c r="F7813" t="s">
        <v>32831</v>
      </c>
      <c r="G7813" t="s">
        <v>32841</v>
      </c>
      <c r="H7813" t="s">
        <v>32848</v>
      </c>
      <c r="I7813" t="s">
        <v>32860</v>
      </c>
      <c r="J7813" t="s">
        <v>37862</v>
      </c>
      <c r="K7813" t="s">
        <v>42745</v>
      </c>
      <c r="M7813" t="s">
        <v>43069</v>
      </c>
      <c r="N7813" t="s">
        <v>47424</v>
      </c>
      <c r="O7813" t="s">
        <v>47425</v>
      </c>
      <c r="P7813">
        <v>0</v>
      </c>
      <c r="Q7813">
        <v>2</v>
      </c>
      <c r="R7813" t="s">
        <v>47432</v>
      </c>
      <c r="S7813" t="s">
        <v>47597</v>
      </c>
      <c r="T7813" t="s">
        <v>49135</v>
      </c>
      <c r="U7813" t="s">
        <v>50732</v>
      </c>
      <c r="W7813" t="s">
        <v>64429</v>
      </c>
      <c r="X7813" t="s">
        <v>47434</v>
      </c>
    </row>
    <row r="7814" spans="1:24">
      <c r="A7814">
        <f>HYPERLINK("https://www.philgeps.gov.ph/GEPSNONPILOT/Tender/SplashBidNoticeAbstractUI.aspx?menuIndex=3&amp;refID=7149801&amp;Result=3","7149801")</f>
        <v>0</v>
      </c>
      <c r="B7814" t="s">
        <v>2215</v>
      </c>
      <c r="C7814" t="s">
        <v>11252</v>
      </c>
      <c r="D7814" t="s">
        <v>19077</v>
      </c>
      <c r="E7814" t="s">
        <v>25895</v>
      </c>
      <c r="F7814" t="s">
        <v>32831</v>
      </c>
      <c r="G7814" t="s">
        <v>32839</v>
      </c>
      <c r="H7814" t="s">
        <v>32849</v>
      </c>
      <c r="I7814" t="s">
        <v>4177</v>
      </c>
      <c r="J7814" t="s">
        <v>37863</v>
      </c>
      <c r="K7814" t="s">
        <v>42852</v>
      </c>
      <c r="M7814" t="s">
        <v>45395</v>
      </c>
      <c r="N7814" t="s">
        <v>47424</v>
      </c>
      <c r="O7814" t="s">
        <v>47425</v>
      </c>
      <c r="P7814">
        <v>0</v>
      </c>
      <c r="Q7814">
        <v>0</v>
      </c>
      <c r="R7814" t="s">
        <v>47432</v>
      </c>
      <c r="S7814" t="s">
        <v>47597</v>
      </c>
      <c r="T7814" t="s">
        <v>49236</v>
      </c>
      <c r="U7814" t="s">
        <v>56177</v>
      </c>
      <c r="W7814" t="s">
        <v>45395</v>
      </c>
      <c r="X7814" t="s">
        <v>47434</v>
      </c>
    </row>
    <row r="7815" spans="1:24">
      <c r="A7815">
        <f>HYPERLINK("https://www.philgeps.gov.ph/GEPSNONPILOT/Tender/SplashBidNoticeAbstractUI.aspx?menuIndex=3&amp;refID=7149626&amp;Result=3","7149626")</f>
        <v>0</v>
      </c>
      <c r="B7815" t="s">
        <v>2629</v>
      </c>
      <c r="C7815" t="s">
        <v>11253</v>
      </c>
      <c r="D7815" t="s">
        <v>19078</v>
      </c>
      <c r="E7815" t="s">
        <v>25896</v>
      </c>
      <c r="F7815" t="s">
        <v>32831</v>
      </c>
      <c r="G7815" t="s">
        <v>32839</v>
      </c>
      <c r="H7815" t="s">
        <v>32849</v>
      </c>
      <c r="I7815" t="s">
        <v>4177</v>
      </c>
      <c r="J7815" t="s">
        <v>37864</v>
      </c>
      <c r="K7815" t="s">
        <v>42894</v>
      </c>
      <c r="M7815" t="s">
        <v>45849</v>
      </c>
      <c r="N7815" t="s">
        <v>47424</v>
      </c>
      <c r="O7815" t="s">
        <v>47425</v>
      </c>
      <c r="P7815">
        <v>0</v>
      </c>
      <c r="Q7815">
        <v>1</v>
      </c>
      <c r="R7815" t="s">
        <v>47432</v>
      </c>
      <c r="S7815" t="s">
        <v>47597</v>
      </c>
      <c r="T7815" t="s">
        <v>49221</v>
      </c>
      <c r="U7815" t="s">
        <v>56178</v>
      </c>
      <c r="W7815" t="s">
        <v>45849</v>
      </c>
      <c r="X7815" t="s">
        <v>47434</v>
      </c>
    </row>
    <row r="7816" spans="1:24">
      <c r="A7816">
        <f>HYPERLINK("https://www.philgeps.gov.ph/GEPSNONPILOT/Tender/SplashBidNoticeAbstractUI.aspx?menuIndex=3&amp;refID=6969461&amp;Result=3","6969461")</f>
        <v>0</v>
      </c>
      <c r="B7816" t="s">
        <v>2632</v>
      </c>
      <c r="C7816" t="s">
        <v>11254</v>
      </c>
      <c r="D7816" t="s">
        <v>19099</v>
      </c>
      <c r="E7816" t="s">
        <v>25897</v>
      </c>
      <c r="F7816" t="s">
        <v>32831</v>
      </c>
      <c r="G7816" t="s">
        <v>32839</v>
      </c>
      <c r="H7816" t="s">
        <v>32850</v>
      </c>
      <c r="I7816" t="s">
        <v>32926</v>
      </c>
      <c r="J7816" t="s">
        <v>37865</v>
      </c>
      <c r="K7816" t="s">
        <v>42727</v>
      </c>
      <c r="M7816" t="s">
        <v>45852</v>
      </c>
      <c r="N7816" t="s">
        <v>47424</v>
      </c>
      <c r="O7816" t="s">
        <v>47425</v>
      </c>
      <c r="P7816">
        <v>0</v>
      </c>
      <c r="Q7816">
        <v>0</v>
      </c>
      <c r="R7816" t="s">
        <v>47432</v>
      </c>
      <c r="S7816" t="s">
        <v>47597</v>
      </c>
      <c r="T7816" t="s">
        <v>49359</v>
      </c>
      <c r="U7816" t="s">
        <v>56179</v>
      </c>
      <c r="W7816" t="s">
        <v>45852</v>
      </c>
      <c r="X7816" t="s">
        <v>64573</v>
      </c>
    </row>
    <row r="7817" spans="1:24">
      <c r="A7817">
        <f>HYPERLINK("https://www.philgeps.gov.ph/GEPSNONPILOT/Tender/SplashBidNoticeAbstractUI.aspx?menuIndex=3&amp;refID=7149653&amp;Result=3","7149653")</f>
        <v>0</v>
      </c>
      <c r="B7817" t="s">
        <v>72</v>
      </c>
      <c r="C7817" t="s">
        <v>11255</v>
      </c>
      <c r="D7817" t="s">
        <v>19027</v>
      </c>
      <c r="E7817" t="s">
        <v>25898</v>
      </c>
      <c r="F7817" t="s">
        <v>32831</v>
      </c>
      <c r="G7817" t="s">
        <v>32841</v>
      </c>
      <c r="H7817" t="s">
        <v>32848</v>
      </c>
      <c r="I7817" t="s">
        <v>32890</v>
      </c>
      <c r="J7817" t="s">
        <v>37866</v>
      </c>
      <c r="K7817" t="s">
        <v>42745</v>
      </c>
      <c r="M7817" t="s">
        <v>43069</v>
      </c>
      <c r="N7817" t="s">
        <v>47424</v>
      </c>
      <c r="O7817" t="s">
        <v>47425</v>
      </c>
      <c r="P7817">
        <v>0</v>
      </c>
      <c r="Q7817">
        <v>0</v>
      </c>
      <c r="R7817" t="s">
        <v>47432</v>
      </c>
      <c r="S7817" t="s">
        <v>47597</v>
      </c>
      <c r="T7817" t="s">
        <v>49135</v>
      </c>
      <c r="U7817" t="s">
        <v>50732</v>
      </c>
      <c r="W7817" t="s">
        <v>64429</v>
      </c>
      <c r="X7817" t="s">
        <v>47434</v>
      </c>
    </row>
    <row r="7818" spans="1:24">
      <c r="A7818">
        <f>HYPERLINK("https://www.philgeps.gov.ph/GEPSNONPILOT/Tender/SplashBidNoticeAbstractUI.aspx?menuIndex=3&amp;refID=7149861&amp;Result=3","7149861")</f>
        <v>0</v>
      </c>
      <c r="B7818" t="s">
        <v>1118</v>
      </c>
      <c r="C7818" t="s">
        <v>11256</v>
      </c>
      <c r="D7818" t="s">
        <v>19060</v>
      </c>
      <c r="E7818" t="s">
        <v>25899</v>
      </c>
      <c r="F7818" t="s">
        <v>32831</v>
      </c>
      <c r="G7818" t="s">
        <v>32839</v>
      </c>
      <c r="H7818" t="s">
        <v>32848</v>
      </c>
      <c r="I7818" t="s">
        <v>32965</v>
      </c>
      <c r="J7818" t="s">
        <v>37867</v>
      </c>
      <c r="K7818" t="s">
        <v>42726</v>
      </c>
      <c r="M7818" t="s">
        <v>45853</v>
      </c>
      <c r="N7818" t="s">
        <v>47424</v>
      </c>
      <c r="O7818" t="s">
        <v>47425</v>
      </c>
      <c r="P7818">
        <v>0</v>
      </c>
      <c r="Q7818">
        <v>1</v>
      </c>
      <c r="R7818" t="s">
        <v>47432</v>
      </c>
      <c r="S7818" t="s">
        <v>47597</v>
      </c>
      <c r="T7818" t="s">
        <v>49321</v>
      </c>
      <c r="U7818" t="s">
        <v>56180</v>
      </c>
      <c r="V7818" t="s">
        <v>63497</v>
      </c>
      <c r="W7818" t="s">
        <v>45853</v>
      </c>
      <c r="X7818" t="s">
        <v>47434</v>
      </c>
    </row>
    <row r="7819" spans="1:24">
      <c r="A7819">
        <f>HYPERLINK("https://www.philgeps.gov.ph/GEPSNONPILOT/Tender/SplashBidNoticeAbstractUI.aspx?menuIndex=3&amp;refID=7149857&amp;Result=3","7149857")</f>
        <v>0</v>
      </c>
      <c r="B7819" t="s">
        <v>1357</v>
      </c>
      <c r="C7819" t="s">
        <v>11257</v>
      </c>
      <c r="D7819" t="s">
        <v>19111</v>
      </c>
      <c r="E7819" t="s">
        <v>25900</v>
      </c>
      <c r="F7819" t="s">
        <v>32831</v>
      </c>
      <c r="G7819" t="s">
        <v>32841</v>
      </c>
      <c r="H7819" t="s">
        <v>32848</v>
      </c>
      <c r="I7819" t="s">
        <v>32859</v>
      </c>
      <c r="J7819" t="s">
        <v>37868</v>
      </c>
      <c r="K7819" t="s">
        <v>42732</v>
      </c>
      <c r="M7819" t="s">
        <v>45854</v>
      </c>
      <c r="N7819" t="s">
        <v>47424</v>
      </c>
      <c r="O7819" t="s">
        <v>47425</v>
      </c>
      <c r="P7819">
        <v>0</v>
      </c>
      <c r="Q7819">
        <v>2</v>
      </c>
      <c r="R7819" t="s">
        <v>47432</v>
      </c>
      <c r="S7819" t="s">
        <v>47597</v>
      </c>
      <c r="T7819" t="s">
        <v>49166</v>
      </c>
      <c r="U7819" t="s">
        <v>56181</v>
      </c>
      <c r="W7819" t="s">
        <v>45854</v>
      </c>
      <c r="X7819" t="s">
        <v>47434</v>
      </c>
    </row>
    <row r="7820" spans="1:24">
      <c r="A7820">
        <f>HYPERLINK("https://www.philgeps.gov.ph/GEPSNONPILOT/Tender/SplashBidNoticeAbstractUI.aspx?menuIndex=3&amp;refID=7149917&amp;Result=3","7149917")</f>
        <v>0</v>
      </c>
      <c r="B7820" t="s">
        <v>2629</v>
      </c>
      <c r="C7820" t="s">
        <v>11258</v>
      </c>
      <c r="D7820" t="s">
        <v>19078</v>
      </c>
      <c r="E7820" t="s">
        <v>25901</v>
      </c>
      <c r="F7820" t="s">
        <v>32831</v>
      </c>
      <c r="G7820" t="s">
        <v>32839</v>
      </c>
      <c r="H7820" t="s">
        <v>32848</v>
      </c>
      <c r="I7820" t="s">
        <v>4558</v>
      </c>
      <c r="J7820" t="s">
        <v>33118</v>
      </c>
      <c r="K7820" t="s">
        <v>42726</v>
      </c>
      <c r="M7820" t="s">
        <v>45849</v>
      </c>
      <c r="N7820" t="s">
        <v>47424</v>
      </c>
      <c r="O7820" t="s">
        <v>47425</v>
      </c>
      <c r="P7820">
        <v>0</v>
      </c>
      <c r="Q7820">
        <v>4</v>
      </c>
      <c r="R7820" t="s">
        <v>47432</v>
      </c>
      <c r="S7820" t="s">
        <v>47597</v>
      </c>
      <c r="T7820" t="s">
        <v>49221</v>
      </c>
      <c r="U7820" t="s">
        <v>56182</v>
      </c>
      <c r="W7820" t="s">
        <v>45849</v>
      </c>
      <c r="X7820" t="s">
        <v>47434</v>
      </c>
    </row>
    <row r="7821" spans="1:24">
      <c r="A7821">
        <f>HYPERLINK("https://www.philgeps.gov.ph/GEPSNONPILOT/Tender/SplashBidNoticeAbstractUI.aspx?menuIndex=3&amp;refID=7149925&amp;Result=3","7149925")</f>
        <v>0</v>
      </c>
      <c r="B7821" t="s">
        <v>2633</v>
      </c>
      <c r="C7821" t="s">
        <v>11259</v>
      </c>
      <c r="D7821" t="s">
        <v>19031</v>
      </c>
      <c r="E7821" t="s">
        <v>20432</v>
      </c>
      <c r="F7821" t="s">
        <v>32831</v>
      </c>
      <c r="G7821" t="s">
        <v>32839</v>
      </c>
      <c r="H7821" t="s">
        <v>32848</v>
      </c>
      <c r="I7821" t="s">
        <v>32925</v>
      </c>
      <c r="J7821" t="s">
        <v>36784</v>
      </c>
      <c r="K7821" t="s">
        <v>42727</v>
      </c>
      <c r="M7821" t="s">
        <v>45855</v>
      </c>
      <c r="N7821" t="s">
        <v>47424</v>
      </c>
      <c r="O7821" t="s">
        <v>47425</v>
      </c>
      <c r="P7821">
        <v>0</v>
      </c>
      <c r="Q7821">
        <v>1</v>
      </c>
      <c r="R7821" t="s">
        <v>47432</v>
      </c>
      <c r="S7821" t="s">
        <v>47597</v>
      </c>
      <c r="T7821" t="s">
        <v>49302</v>
      </c>
      <c r="U7821" t="s">
        <v>56183</v>
      </c>
      <c r="W7821" t="s">
        <v>45855</v>
      </c>
      <c r="X7821" t="s">
        <v>47434</v>
      </c>
    </row>
    <row r="7822" spans="1:24">
      <c r="A7822">
        <f>HYPERLINK("https://www.philgeps.gov.ph/GEPSNONPILOT/Tender/SplashBidNoticeAbstractUI.aspx?menuIndex=3&amp;refID=7149817&amp;Result=3","7149817")</f>
        <v>0</v>
      </c>
      <c r="B7822" t="s">
        <v>2629</v>
      </c>
      <c r="C7822" t="s">
        <v>11260</v>
      </c>
      <c r="D7822" t="s">
        <v>19078</v>
      </c>
      <c r="E7822" t="s">
        <v>25902</v>
      </c>
      <c r="F7822" t="s">
        <v>32831</v>
      </c>
      <c r="G7822" t="s">
        <v>32839</v>
      </c>
      <c r="H7822" t="s">
        <v>32849</v>
      </c>
      <c r="I7822" t="s">
        <v>4177</v>
      </c>
      <c r="J7822" t="s">
        <v>37869</v>
      </c>
      <c r="K7822" t="s">
        <v>42881</v>
      </c>
      <c r="M7822" t="s">
        <v>45849</v>
      </c>
      <c r="N7822" t="s">
        <v>47424</v>
      </c>
      <c r="O7822" t="s">
        <v>47425</v>
      </c>
      <c r="P7822">
        <v>0</v>
      </c>
      <c r="Q7822">
        <v>1</v>
      </c>
      <c r="R7822" t="s">
        <v>47432</v>
      </c>
      <c r="S7822" t="s">
        <v>47597</v>
      </c>
      <c r="T7822" t="s">
        <v>49141</v>
      </c>
      <c r="U7822" t="s">
        <v>56184</v>
      </c>
      <c r="W7822" t="s">
        <v>45849</v>
      </c>
      <c r="X7822" t="s">
        <v>47434</v>
      </c>
    </row>
    <row r="7823" spans="1:24">
      <c r="A7823">
        <f>HYPERLINK("https://www.philgeps.gov.ph/GEPSNONPILOT/Tender/SplashBidNoticeAbstractUI.aspx?menuIndex=3&amp;refID=7149812&amp;Result=3","7149812")</f>
        <v>0</v>
      </c>
      <c r="B7823" t="s">
        <v>2215</v>
      </c>
      <c r="C7823" t="s">
        <v>11261</v>
      </c>
      <c r="D7823" t="s">
        <v>19077</v>
      </c>
      <c r="E7823" t="s">
        <v>25903</v>
      </c>
      <c r="F7823" t="s">
        <v>32831</v>
      </c>
      <c r="G7823" t="s">
        <v>32839</v>
      </c>
      <c r="H7823" t="s">
        <v>32849</v>
      </c>
      <c r="I7823" t="s">
        <v>4177</v>
      </c>
      <c r="J7823" t="s">
        <v>37870</v>
      </c>
      <c r="K7823" t="s">
        <v>42906</v>
      </c>
      <c r="M7823" t="s">
        <v>45395</v>
      </c>
      <c r="N7823" t="s">
        <v>47424</v>
      </c>
      <c r="O7823" t="s">
        <v>47425</v>
      </c>
      <c r="P7823">
        <v>0</v>
      </c>
      <c r="Q7823">
        <v>2</v>
      </c>
      <c r="R7823" t="s">
        <v>47432</v>
      </c>
      <c r="S7823" t="s">
        <v>47597</v>
      </c>
      <c r="T7823" t="s">
        <v>49236</v>
      </c>
      <c r="U7823" t="s">
        <v>56185</v>
      </c>
      <c r="W7823" t="s">
        <v>45395</v>
      </c>
      <c r="X7823" t="s">
        <v>47434</v>
      </c>
    </row>
    <row r="7824" spans="1:24">
      <c r="A7824">
        <f>HYPERLINK("https://www.philgeps.gov.ph/GEPSNONPILOT/Tender/SplashBidNoticeAbstractUI.aspx?menuIndex=3&amp;refID=7149791&amp;Result=3","7149791")</f>
        <v>0</v>
      </c>
      <c r="B7824" t="s">
        <v>2215</v>
      </c>
      <c r="C7824" t="s">
        <v>11262</v>
      </c>
      <c r="D7824" t="s">
        <v>19077</v>
      </c>
      <c r="E7824" t="s">
        <v>25904</v>
      </c>
      <c r="F7824" t="s">
        <v>32831</v>
      </c>
      <c r="G7824" t="s">
        <v>32839</v>
      </c>
      <c r="H7824" t="s">
        <v>32849</v>
      </c>
      <c r="I7824" t="s">
        <v>4177</v>
      </c>
      <c r="J7824" t="s">
        <v>33066</v>
      </c>
      <c r="K7824" t="s">
        <v>42791</v>
      </c>
      <c r="M7824" t="s">
        <v>45395</v>
      </c>
      <c r="N7824" t="s">
        <v>47424</v>
      </c>
      <c r="O7824" t="s">
        <v>47425</v>
      </c>
      <c r="P7824">
        <v>0</v>
      </c>
      <c r="Q7824">
        <v>0</v>
      </c>
      <c r="R7824" t="s">
        <v>47432</v>
      </c>
      <c r="S7824" t="s">
        <v>47597</v>
      </c>
      <c r="T7824" t="s">
        <v>49236</v>
      </c>
      <c r="U7824" t="s">
        <v>56186</v>
      </c>
      <c r="W7824" t="s">
        <v>45395</v>
      </c>
      <c r="X7824" t="s">
        <v>47434</v>
      </c>
    </row>
    <row r="7825" spans="1:24">
      <c r="A7825">
        <f>HYPERLINK("https://www.philgeps.gov.ph/GEPSNONPILOT/Tender/SplashBidNoticeAbstractUI.aspx?menuIndex=3&amp;refID=7148722&amp;Result=3","7148722")</f>
        <v>0</v>
      </c>
      <c r="B7825" t="s">
        <v>49</v>
      </c>
      <c r="C7825" t="s">
        <v>11263</v>
      </c>
      <c r="D7825" t="s">
        <v>19037</v>
      </c>
      <c r="E7825" t="s">
        <v>25905</v>
      </c>
      <c r="F7825" t="s">
        <v>32831</v>
      </c>
      <c r="G7825" t="s">
        <v>32839</v>
      </c>
      <c r="H7825" t="s">
        <v>32848</v>
      </c>
      <c r="I7825" t="s">
        <v>32861</v>
      </c>
      <c r="J7825" t="s">
        <v>33951</v>
      </c>
      <c r="K7825" t="s">
        <v>42750</v>
      </c>
      <c r="M7825" t="s">
        <v>44702</v>
      </c>
      <c r="N7825" t="s">
        <v>47424</v>
      </c>
      <c r="O7825" t="s">
        <v>47425</v>
      </c>
      <c r="P7825">
        <v>0</v>
      </c>
      <c r="Q7825">
        <v>1</v>
      </c>
      <c r="R7825" t="s">
        <v>47432</v>
      </c>
      <c r="S7825" t="s">
        <v>47597</v>
      </c>
      <c r="T7825" t="s">
        <v>49319</v>
      </c>
      <c r="U7825" t="s">
        <v>56187</v>
      </c>
      <c r="V7825" t="s">
        <v>62630</v>
      </c>
      <c r="W7825" t="s">
        <v>44702</v>
      </c>
      <c r="X7825" t="s">
        <v>47436</v>
      </c>
    </row>
    <row r="7826" spans="1:24">
      <c r="A7826">
        <f>HYPERLINK("https://www.philgeps.gov.ph/GEPSNONPILOT/Tender/SplashBidNoticeAbstractUI.aspx?menuIndex=3&amp;refID=7149849&amp;Result=3","7149849")</f>
        <v>0</v>
      </c>
      <c r="B7826" t="s">
        <v>1568</v>
      </c>
      <c r="C7826" t="s">
        <v>11264</v>
      </c>
      <c r="E7826" t="s">
        <v>25906</v>
      </c>
      <c r="F7826" t="s">
        <v>32831</v>
      </c>
      <c r="G7826" t="s">
        <v>32839</v>
      </c>
      <c r="H7826" t="s">
        <v>32848</v>
      </c>
      <c r="I7826" t="s">
        <v>7751</v>
      </c>
      <c r="J7826" t="s">
        <v>33257</v>
      </c>
      <c r="K7826" t="s">
        <v>42732</v>
      </c>
      <c r="M7826" t="s">
        <v>44677</v>
      </c>
      <c r="N7826" t="s">
        <v>47424</v>
      </c>
      <c r="O7826" t="s">
        <v>47425</v>
      </c>
      <c r="P7826">
        <v>0</v>
      </c>
      <c r="Q7826">
        <v>4</v>
      </c>
      <c r="R7826" t="s">
        <v>47432</v>
      </c>
      <c r="S7826" t="s">
        <v>47597</v>
      </c>
      <c r="T7826" t="s">
        <v>49077</v>
      </c>
      <c r="U7826" t="s">
        <v>56188</v>
      </c>
      <c r="W7826" t="s">
        <v>44677</v>
      </c>
      <c r="X7826" t="s">
        <v>47434</v>
      </c>
    </row>
    <row r="7827" spans="1:24">
      <c r="A7827">
        <f>HYPERLINK("https://www.philgeps.gov.ph/GEPSNONPILOT/Tender/SplashBidNoticeAbstractUI.aspx?menuIndex=3&amp;refID=7149676&amp;Result=3","7149676")</f>
        <v>0</v>
      </c>
      <c r="B7827" t="s">
        <v>72</v>
      </c>
      <c r="C7827" t="s">
        <v>11265</v>
      </c>
      <c r="D7827" t="s">
        <v>19027</v>
      </c>
      <c r="E7827" t="s">
        <v>25907</v>
      </c>
      <c r="F7827" t="s">
        <v>32831</v>
      </c>
      <c r="G7827" t="s">
        <v>32842</v>
      </c>
      <c r="H7827" t="s">
        <v>32848</v>
      </c>
      <c r="I7827" t="s">
        <v>32949</v>
      </c>
      <c r="J7827" t="s">
        <v>32980</v>
      </c>
      <c r="K7827" t="s">
        <v>42745</v>
      </c>
      <c r="M7827" t="s">
        <v>43069</v>
      </c>
      <c r="N7827" t="s">
        <v>47424</v>
      </c>
      <c r="O7827" t="s">
        <v>47425</v>
      </c>
      <c r="P7827">
        <v>0</v>
      </c>
      <c r="Q7827">
        <v>2</v>
      </c>
      <c r="R7827" t="s">
        <v>47432</v>
      </c>
      <c r="S7827" t="s">
        <v>47597</v>
      </c>
      <c r="T7827" t="s">
        <v>49135</v>
      </c>
      <c r="U7827" t="s">
        <v>50732</v>
      </c>
      <c r="W7827" t="s">
        <v>64429</v>
      </c>
      <c r="X7827" t="s">
        <v>47434</v>
      </c>
    </row>
    <row r="7828" spans="1:24">
      <c r="A7828">
        <f>HYPERLINK("https://www.philgeps.gov.ph/GEPSNONPILOT/Tender/SplashBidNoticeAbstractUI.aspx?menuIndex=3&amp;refID=7150438&amp;Result=3","7150438")</f>
        <v>0</v>
      </c>
      <c r="B7828" t="s">
        <v>2215</v>
      </c>
      <c r="C7828" t="s">
        <v>11266</v>
      </c>
      <c r="D7828" t="s">
        <v>19077</v>
      </c>
      <c r="E7828" t="s">
        <v>25908</v>
      </c>
      <c r="F7828" t="s">
        <v>32831</v>
      </c>
      <c r="G7828" t="s">
        <v>32841</v>
      </c>
      <c r="H7828" t="s">
        <v>32849</v>
      </c>
      <c r="I7828" t="s">
        <v>4177</v>
      </c>
      <c r="J7828" t="s">
        <v>37871</v>
      </c>
      <c r="K7828" t="s">
        <v>42816</v>
      </c>
      <c r="M7828" t="s">
        <v>45395</v>
      </c>
      <c r="N7828" t="s">
        <v>47424</v>
      </c>
      <c r="O7828" t="s">
        <v>47425</v>
      </c>
      <c r="P7828">
        <v>0</v>
      </c>
      <c r="Q7828">
        <v>0</v>
      </c>
      <c r="R7828" t="s">
        <v>47432</v>
      </c>
      <c r="S7828" t="s">
        <v>47597</v>
      </c>
      <c r="T7828" t="s">
        <v>49370</v>
      </c>
      <c r="U7828" t="s">
        <v>56189</v>
      </c>
      <c r="W7828" t="s">
        <v>45395</v>
      </c>
      <c r="X7828" t="s">
        <v>47434</v>
      </c>
    </row>
    <row r="7829" spans="1:24">
      <c r="A7829">
        <f>HYPERLINK("https://www.philgeps.gov.ph/GEPSNONPILOT/Tender/SplashBidNoticeAbstractUI.aspx?menuIndex=3&amp;refID=7150418&amp;Result=3","7150418")</f>
        <v>0</v>
      </c>
      <c r="B7829" t="s">
        <v>2634</v>
      </c>
      <c r="C7829" t="s">
        <v>11267</v>
      </c>
      <c r="D7829" t="s">
        <v>19057</v>
      </c>
      <c r="E7829" t="s">
        <v>25909</v>
      </c>
      <c r="F7829" t="s">
        <v>32831</v>
      </c>
      <c r="G7829" t="s">
        <v>32839</v>
      </c>
      <c r="H7829" t="s">
        <v>32849</v>
      </c>
      <c r="I7829" t="s">
        <v>4177</v>
      </c>
      <c r="J7829" t="s">
        <v>37872</v>
      </c>
      <c r="K7829" t="s">
        <v>42729</v>
      </c>
      <c r="M7829" t="s">
        <v>45856</v>
      </c>
      <c r="N7829" t="s">
        <v>47424</v>
      </c>
      <c r="O7829" t="s">
        <v>47425</v>
      </c>
      <c r="P7829">
        <v>0</v>
      </c>
      <c r="Q7829">
        <v>0</v>
      </c>
      <c r="R7829" t="s">
        <v>47432</v>
      </c>
      <c r="S7829" t="s">
        <v>47597</v>
      </c>
      <c r="T7829" t="s">
        <v>49393</v>
      </c>
      <c r="U7829" t="s">
        <v>56190</v>
      </c>
      <c r="W7829" t="s">
        <v>45856</v>
      </c>
      <c r="X7829" t="s">
        <v>47434</v>
      </c>
    </row>
    <row r="7830" spans="1:24">
      <c r="A7830">
        <f>HYPERLINK("https://www.philgeps.gov.ph/GEPSNONPILOT/Tender/SplashBidNoticeAbstractUI.aspx?menuIndex=3&amp;refID=7149794&amp;Result=3","7149794")</f>
        <v>0</v>
      </c>
      <c r="B7830" t="s">
        <v>2629</v>
      </c>
      <c r="C7830" t="s">
        <v>11253</v>
      </c>
      <c r="D7830" t="s">
        <v>19078</v>
      </c>
      <c r="E7830" t="s">
        <v>25902</v>
      </c>
      <c r="F7830" t="s">
        <v>32831</v>
      </c>
      <c r="G7830" t="s">
        <v>32839</v>
      </c>
      <c r="H7830" t="s">
        <v>32849</v>
      </c>
      <c r="I7830" t="s">
        <v>4177</v>
      </c>
      <c r="J7830" t="s">
        <v>37864</v>
      </c>
      <c r="K7830" t="s">
        <v>42894</v>
      </c>
      <c r="M7830" t="s">
        <v>45849</v>
      </c>
      <c r="N7830" t="s">
        <v>47424</v>
      </c>
      <c r="O7830" t="s">
        <v>47425</v>
      </c>
      <c r="P7830">
        <v>0</v>
      </c>
      <c r="Q7830">
        <v>1</v>
      </c>
      <c r="R7830" t="s">
        <v>47432</v>
      </c>
      <c r="S7830" t="s">
        <v>47597</v>
      </c>
      <c r="T7830" t="s">
        <v>49141</v>
      </c>
      <c r="U7830" t="s">
        <v>56178</v>
      </c>
      <c r="W7830" t="s">
        <v>45849</v>
      </c>
      <c r="X7830" t="s">
        <v>47434</v>
      </c>
    </row>
    <row r="7831" spans="1:24">
      <c r="A7831">
        <f>HYPERLINK("https://www.philgeps.gov.ph/GEPSNONPILOT/Tender/SplashBidNoticeAbstractUI.aspx?menuIndex=3&amp;refID=7149781&amp;Result=3","7149781")</f>
        <v>0</v>
      </c>
      <c r="B7831" t="s">
        <v>2215</v>
      </c>
      <c r="C7831" t="s">
        <v>11268</v>
      </c>
      <c r="D7831" t="s">
        <v>19077</v>
      </c>
      <c r="E7831" t="s">
        <v>25910</v>
      </c>
      <c r="F7831" t="s">
        <v>32831</v>
      </c>
      <c r="G7831" t="s">
        <v>32839</v>
      </c>
      <c r="H7831" t="s">
        <v>32849</v>
      </c>
      <c r="I7831" t="s">
        <v>4177</v>
      </c>
      <c r="J7831" t="s">
        <v>33078</v>
      </c>
      <c r="K7831" t="s">
        <v>42743</v>
      </c>
      <c r="M7831" t="s">
        <v>45395</v>
      </c>
      <c r="N7831" t="s">
        <v>47424</v>
      </c>
      <c r="O7831" t="s">
        <v>47425</v>
      </c>
      <c r="P7831">
        <v>0</v>
      </c>
      <c r="Q7831">
        <v>0</v>
      </c>
      <c r="R7831" t="s">
        <v>47432</v>
      </c>
      <c r="S7831" t="s">
        <v>47597</v>
      </c>
      <c r="T7831" t="s">
        <v>49236</v>
      </c>
      <c r="U7831" t="s">
        <v>56191</v>
      </c>
      <c r="W7831" t="s">
        <v>45395</v>
      </c>
      <c r="X7831" t="s">
        <v>47434</v>
      </c>
    </row>
    <row r="7832" spans="1:24">
      <c r="A7832">
        <f>HYPERLINK("https://www.philgeps.gov.ph/GEPSNONPILOT/Tender/SplashBidNoticeAbstractUI.aspx?menuIndex=3&amp;refID=7150388&amp;Result=3","7150388")</f>
        <v>0</v>
      </c>
      <c r="B7832" t="s">
        <v>2634</v>
      </c>
      <c r="C7832" t="s">
        <v>11269</v>
      </c>
      <c r="D7832" t="s">
        <v>19057</v>
      </c>
      <c r="E7832" t="s">
        <v>25911</v>
      </c>
      <c r="F7832" t="s">
        <v>32831</v>
      </c>
      <c r="G7832" t="s">
        <v>32839</v>
      </c>
      <c r="H7832" t="s">
        <v>32849</v>
      </c>
      <c r="I7832" t="s">
        <v>4177</v>
      </c>
      <c r="J7832" t="s">
        <v>37873</v>
      </c>
      <c r="K7832" t="s">
        <v>42729</v>
      </c>
      <c r="M7832" t="s">
        <v>45856</v>
      </c>
      <c r="N7832" t="s">
        <v>47424</v>
      </c>
      <c r="O7832" t="s">
        <v>47425</v>
      </c>
      <c r="P7832">
        <v>0</v>
      </c>
      <c r="Q7832">
        <v>0</v>
      </c>
      <c r="R7832" t="s">
        <v>47432</v>
      </c>
      <c r="S7832" t="s">
        <v>47597</v>
      </c>
      <c r="T7832" t="s">
        <v>49393</v>
      </c>
      <c r="U7832" t="s">
        <v>56192</v>
      </c>
      <c r="W7832" t="s">
        <v>45856</v>
      </c>
      <c r="X7832" t="s">
        <v>47434</v>
      </c>
    </row>
    <row r="7833" spans="1:24">
      <c r="A7833">
        <f>HYPERLINK("https://www.philgeps.gov.ph/GEPSNONPILOT/Tender/SplashBidNoticeAbstractUI.aspx?menuIndex=3&amp;refID=7150373&amp;Result=3","7150373")</f>
        <v>0</v>
      </c>
      <c r="B7833" t="s">
        <v>2167</v>
      </c>
      <c r="C7833" t="s">
        <v>11270</v>
      </c>
      <c r="D7833" t="s">
        <v>19017</v>
      </c>
      <c r="E7833" t="s">
        <v>25912</v>
      </c>
      <c r="F7833" t="s">
        <v>32833</v>
      </c>
      <c r="G7833" t="s">
        <v>32839</v>
      </c>
      <c r="H7833" t="s">
        <v>32848</v>
      </c>
      <c r="I7833" t="s">
        <v>9577</v>
      </c>
      <c r="J7833" t="s">
        <v>37874</v>
      </c>
      <c r="K7833" t="s">
        <v>42726</v>
      </c>
      <c r="M7833" t="s">
        <v>45345</v>
      </c>
      <c r="N7833" t="s">
        <v>47424</v>
      </c>
      <c r="O7833" t="s">
        <v>47425</v>
      </c>
      <c r="P7833">
        <v>0</v>
      </c>
      <c r="Q7833">
        <v>0</v>
      </c>
      <c r="R7833" t="s">
        <v>47432</v>
      </c>
      <c r="S7833" t="s">
        <v>47597</v>
      </c>
      <c r="T7833" t="s">
        <v>49133</v>
      </c>
      <c r="U7833" t="s">
        <v>56193</v>
      </c>
      <c r="V7833" t="s">
        <v>63291</v>
      </c>
      <c r="W7833" t="s">
        <v>45345</v>
      </c>
      <c r="X7833" t="s">
        <v>47434</v>
      </c>
    </row>
    <row r="7834" spans="1:24">
      <c r="A7834">
        <f>HYPERLINK("https://www.philgeps.gov.ph/GEPSNONPILOT/Tender/SplashBidNoticeAbstractUI.aspx?menuIndex=3&amp;refID=7150360&amp;Result=3","7150360")</f>
        <v>0</v>
      </c>
      <c r="B7834" t="s">
        <v>2634</v>
      </c>
      <c r="C7834" t="s">
        <v>11271</v>
      </c>
      <c r="D7834" t="s">
        <v>19057</v>
      </c>
      <c r="E7834" t="s">
        <v>25913</v>
      </c>
      <c r="F7834" t="s">
        <v>32831</v>
      </c>
      <c r="G7834" t="s">
        <v>32839</v>
      </c>
      <c r="H7834" t="s">
        <v>32849</v>
      </c>
      <c r="I7834" t="s">
        <v>4177</v>
      </c>
      <c r="J7834" t="s">
        <v>37875</v>
      </c>
      <c r="K7834" t="s">
        <v>42729</v>
      </c>
      <c r="M7834" t="s">
        <v>45856</v>
      </c>
      <c r="N7834" t="s">
        <v>47424</v>
      </c>
      <c r="O7834" t="s">
        <v>47425</v>
      </c>
      <c r="P7834">
        <v>0</v>
      </c>
      <c r="Q7834">
        <v>0</v>
      </c>
      <c r="R7834" t="s">
        <v>47432</v>
      </c>
      <c r="S7834" t="s">
        <v>47597</v>
      </c>
      <c r="T7834" t="s">
        <v>49393</v>
      </c>
      <c r="U7834" t="s">
        <v>56194</v>
      </c>
      <c r="W7834" t="s">
        <v>45856</v>
      </c>
      <c r="X7834" t="s">
        <v>47434</v>
      </c>
    </row>
    <row r="7835" spans="1:24">
      <c r="A7835">
        <f>HYPERLINK("https://www.philgeps.gov.ph/GEPSNONPILOT/Tender/SplashBidNoticeAbstractUI.aspx?menuIndex=3&amp;refID=7150324&amp;Result=3","7150324")</f>
        <v>0</v>
      </c>
      <c r="B7835" t="s">
        <v>2631</v>
      </c>
      <c r="C7835" t="s">
        <v>11272</v>
      </c>
      <c r="D7835" t="s">
        <v>19063</v>
      </c>
      <c r="E7835" t="s">
        <v>25914</v>
      </c>
      <c r="F7835" t="s">
        <v>32831</v>
      </c>
      <c r="G7835" t="s">
        <v>32839</v>
      </c>
      <c r="H7835" t="s">
        <v>32848</v>
      </c>
      <c r="I7835" t="s">
        <v>32860</v>
      </c>
      <c r="J7835" t="s">
        <v>37876</v>
      </c>
      <c r="K7835" t="s">
        <v>42747</v>
      </c>
      <c r="M7835" t="s">
        <v>45851</v>
      </c>
      <c r="N7835" t="s">
        <v>47424</v>
      </c>
      <c r="O7835" t="s">
        <v>47425</v>
      </c>
      <c r="P7835">
        <v>0</v>
      </c>
      <c r="Q7835">
        <v>0</v>
      </c>
      <c r="R7835" t="s">
        <v>47432</v>
      </c>
      <c r="S7835" t="s">
        <v>47597</v>
      </c>
      <c r="T7835" t="s">
        <v>49162</v>
      </c>
      <c r="U7835" t="s">
        <v>56195</v>
      </c>
      <c r="W7835" t="s">
        <v>45851</v>
      </c>
      <c r="X7835" t="s">
        <v>47434</v>
      </c>
    </row>
    <row r="7836" spans="1:24">
      <c r="A7836">
        <f>HYPERLINK("https://www.philgeps.gov.ph/GEPSNONPILOT/Tender/SplashBidNoticeAbstractUI.aspx?menuIndex=3&amp;refID=7150323&amp;Result=3","7150323")</f>
        <v>0</v>
      </c>
      <c r="B7836" t="s">
        <v>2634</v>
      </c>
      <c r="C7836" t="s">
        <v>11273</v>
      </c>
      <c r="D7836" t="s">
        <v>19057</v>
      </c>
      <c r="E7836" t="s">
        <v>25915</v>
      </c>
      <c r="F7836" t="s">
        <v>32831</v>
      </c>
      <c r="G7836" t="s">
        <v>32839</v>
      </c>
      <c r="H7836" t="s">
        <v>32849</v>
      </c>
      <c r="I7836" t="s">
        <v>4177</v>
      </c>
      <c r="J7836" t="s">
        <v>37877</v>
      </c>
      <c r="K7836" t="s">
        <v>42729</v>
      </c>
      <c r="M7836" t="s">
        <v>45856</v>
      </c>
      <c r="N7836" t="s">
        <v>47424</v>
      </c>
      <c r="O7836" t="s">
        <v>47425</v>
      </c>
      <c r="P7836">
        <v>0</v>
      </c>
      <c r="Q7836">
        <v>0</v>
      </c>
      <c r="R7836" t="s">
        <v>47432</v>
      </c>
      <c r="S7836" t="s">
        <v>47597</v>
      </c>
      <c r="T7836" t="s">
        <v>49393</v>
      </c>
      <c r="U7836" t="s">
        <v>56196</v>
      </c>
      <c r="W7836" t="s">
        <v>45856</v>
      </c>
      <c r="X7836" t="s">
        <v>47434</v>
      </c>
    </row>
    <row r="7837" spans="1:24">
      <c r="A7837">
        <f>HYPERLINK("https://www.philgeps.gov.ph/GEPSNONPILOT/Tender/SplashBidNoticeAbstractUI.aspx?menuIndex=3&amp;refID=7150430&amp;Result=3","7150430")</f>
        <v>0</v>
      </c>
      <c r="B7837" t="s">
        <v>2215</v>
      </c>
      <c r="C7837" t="s">
        <v>11274</v>
      </c>
      <c r="D7837" t="s">
        <v>19077</v>
      </c>
      <c r="E7837" t="s">
        <v>25916</v>
      </c>
      <c r="F7837" t="s">
        <v>32831</v>
      </c>
      <c r="G7837" t="s">
        <v>32841</v>
      </c>
      <c r="H7837" t="s">
        <v>32849</v>
      </c>
      <c r="I7837" t="s">
        <v>4177</v>
      </c>
      <c r="J7837" t="s">
        <v>37878</v>
      </c>
      <c r="K7837" t="s">
        <v>42770</v>
      </c>
      <c r="M7837" t="s">
        <v>45395</v>
      </c>
      <c r="N7837" t="s">
        <v>47424</v>
      </c>
      <c r="O7837" t="s">
        <v>47425</v>
      </c>
      <c r="Q7837">
        <v>0</v>
      </c>
      <c r="R7837" t="s">
        <v>47432</v>
      </c>
      <c r="S7837" t="s">
        <v>47598</v>
      </c>
      <c r="T7837" t="s">
        <v>49370</v>
      </c>
      <c r="U7837" t="s">
        <v>56189</v>
      </c>
      <c r="W7837" t="s">
        <v>45395</v>
      </c>
      <c r="X7837" t="s">
        <v>47434</v>
      </c>
    </row>
    <row r="7838" spans="1:24">
      <c r="A7838">
        <f>HYPERLINK("https://www.philgeps.gov.ph/GEPSNONPILOT/Tender/SplashBidNoticeAbstractUI.aspx?menuIndex=3&amp;refID=7150291&amp;Result=3","7150291")</f>
        <v>0</v>
      </c>
      <c r="B7838" t="s">
        <v>2634</v>
      </c>
      <c r="C7838" t="s">
        <v>11275</v>
      </c>
      <c r="D7838" t="s">
        <v>19057</v>
      </c>
      <c r="E7838" t="s">
        <v>25917</v>
      </c>
      <c r="F7838" t="s">
        <v>32831</v>
      </c>
      <c r="G7838" t="s">
        <v>32839</v>
      </c>
      <c r="H7838" t="s">
        <v>32849</v>
      </c>
      <c r="I7838" t="s">
        <v>4177</v>
      </c>
      <c r="J7838" t="s">
        <v>37879</v>
      </c>
      <c r="K7838" t="s">
        <v>42729</v>
      </c>
      <c r="M7838" t="s">
        <v>45856</v>
      </c>
      <c r="N7838" t="s">
        <v>47424</v>
      </c>
      <c r="O7838" t="s">
        <v>47425</v>
      </c>
      <c r="P7838">
        <v>0</v>
      </c>
      <c r="Q7838">
        <v>0</v>
      </c>
      <c r="R7838" t="s">
        <v>47432</v>
      </c>
      <c r="S7838" t="s">
        <v>47597</v>
      </c>
      <c r="T7838" t="s">
        <v>49393</v>
      </c>
      <c r="U7838" t="s">
        <v>56197</v>
      </c>
      <c r="W7838" t="s">
        <v>45856</v>
      </c>
      <c r="X7838" t="s">
        <v>47434</v>
      </c>
    </row>
    <row r="7839" spans="1:24">
      <c r="A7839">
        <f>HYPERLINK("https://www.philgeps.gov.ph/GEPSNONPILOT/Tender/SplashBidNoticeAbstractUI.aspx?menuIndex=3&amp;refID=7120200-2&amp;Result=3","7120200-2")</f>
        <v>0</v>
      </c>
      <c r="B7839" t="s">
        <v>2619</v>
      </c>
      <c r="C7839" t="s">
        <v>11276</v>
      </c>
      <c r="D7839" t="s">
        <v>19019</v>
      </c>
      <c r="E7839" t="s">
        <v>25918</v>
      </c>
      <c r="F7839" t="s">
        <v>32831</v>
      </c>
      <c r="G7839" t="s">
        <v>32839</v>
      </c>
      <c r="H7839" t="s">
        <v>14069</v>
      </c>
      <c r="I7839" t="s">
        <v>14069</v>
      </c>
      <c r="J7839" t="s">
        <v>37880</v>
      </c>
      <c r="K7839" t="s">
        <v>42729</v>
      </c>
      <c r="M7839" t="s">
        <v>45838</v>
      </c>
      <c r="N7839" t="s">
        <v>47424</v>
      </c>
      <c r="O7839" t="s">
        <v>47425</v>
      </c>
      <c r="P7839">
        <v>0</v>
      </c>
      <c r="Q7839">
        <v>0</v>
      </c>
      <c r="R7839" t="s">
        <v>47432</v>
      </c>
      <c r="S7839" t="s">
        <v>47597</v>
      </c>
      <c r="T7839" t="s">
        <v>49056</v>
      </c>
      <c r="U7839" t="s">
        <v>56139</v>
      </c>
      <c r="W7839" t="s">
        <v>45838</v>
      </c>
      <c r="X7839" t="s">
        <v>47433</v>
      </c>
    </row>
    <row r="7840" spans="1:24">
      <c r="A7840">
        <f>HYPERLINK("https://www.philgeps.gov.ph/GEPSNONPILOT/Tender/SplashBidNoticeAbstractUI.aspx?menuIndex=3&amp;refID=7150192&amp;Result=3","7150192")</f>
        <v>0</v>
      </c>
      <c r="B7840" t="s">
        <v>63</v>
      </c>
      <c r="C7840" t="s">
        <v>11277</v>
      </c>
      <c r="D7840" t="s">
        <v>19017</v>
      </c>
      <c r="E7840" t="s">
        <v>19130</v>
      </c>
      <c r="F7840" t="s">
        <v>32831</v>
      </c>
      <c r="G7840" t="s">
        <v>32838</v>
      </c>
      <c r="H7840" t="s">
        <v>32848</v>
      </c>
      <c r="I7840" t="s">
        <v>32864</v>
      </c>
      <c r="J7840" t="s">
        <v>37881</v>
      </c>
      <c r="K7840" t="s">
        <v>42726</v>
      </c>
      <c r="M7840" t="s">
        <v>43060</v>
      </c>
      <c r="N7840" t="s">
        <v>47424</v>
      </c>
      <c r="O7840" t="s">
        <v>47425</v>
      </c>
      <c r="P7840">
        <v>0</v>
      </c>
      <c r="Q7840">
        <v>17</v>
      </c>
      <c r="R7840" t="s">
        <v>47432</v>
      </c>
      <c r="S7840" t="s">
        <v>47597</v>
      </c>
      <c r="T7840" t="s">
        <v>49163</v>
      </c>
      <c r="U7840" t="s">
        <v>56198</v>
      </c>
      <c r="W7840" t="s">
        <v>43060</v>
      </c>
      <c r="X7840" t="s">
        <v>47434</v>
      </c>
    </row>
    <row r="7841" spans="1:24">
      <c r="A7841">
        <f>HYPERLINK("https://www.philgeps.gov.ph/GEPSNONPILOT/Tender/SplashBidNoticeAbstractUI.aspx?menuIndex=3&amp;refID=7150243&amp;Result=3","7150243")</f>
        <v>0</v>
      </c>
      <c r="B7841" t="s">
        <v>2634</v>
      </c>
      <c r="C7841" t="s">
        <v>11278</v>
      </c>
      <c r="D7841" t="s">
        <v>19057</v>
      </c>
      <c r="E7841" t="s">
        <v>25919</v>
      </c>
      <c r="F7841" t="s">
        <v>32831</v>
      </c>
      <c r="G7841" t="s">
        <v>32839</v>
      </c>
      <c r="H7841" t="s">
        <v>32849</v>
      </c>
      <c r="I7841" t="s">
        <v>4177</v>
      </c>
      <c r="J7841" t="s">
        <v>37882</v>
      </c>
      <c r="K7841" t="s">
        <v>42729</v>
      </c>
      <c r="M7841" t="s">
        <v>45856</v>
      </c>
      <c r="N7841" t="s">
        <v>47424</v>
      </c>
      <c r="O7841" t="s">
        <v>47425</v>
      </c>
      <c r="P7841">
        <v>0</v>
      </c>
      <c r="Q7841">
        <v>1</v>
      </c>
      <c r="R7841" t="s">
        <v>47432</v>
      </c>
      <c r="S7841" t="s">
        <v>47597</v>
      </c>
      <c r="T7841" t="s">
        <v>49393</v>
      </c>
      <c r="U7841" t="s">
        <v>56199</v>
      </c>
      <c r="W7841" t="s">
        <v>45856</v>
      </c>
      <c r="X7841" t="s">
        <v>47434</v>
      </c>
    </row>
    <row r="7842" spans="1:24">
      <c r="A7842">
        <f>HYPERLINK("https://www.philgeps.gov.ph/GEPSNONPILOT/Tender/SplashBidNoticeAbstractUI.aspx?menuIndex=3&amp;refID=7150183&amp;Result=3","7150183")</f>
        <v>0</v>
      </c>
      <c r="B7842" t="s">
        <v>72</v>
      </c>
      <c r="C7842" t="s">
        <v>11279</v>
      </c>
      <c r="D7842" t="s">
        <v>19027</v>
      </c>
      <c r="E7842" t="s">
        <v>25920</v>
      </c>
      <c r="F7842" t="s">
        <v>32831</v>
      </c>
      <c r="G7842" t="s">
        <v>32838</v>
      </c>
      <c r="H7842" t="s">
        <v>32848</v>
      </c>
      <c r="I7842" t="s">
        <v>32879</v>
      </c>
      <c r="J7842" t="s">
        <v>33364</v>
      </c>
      <c r="K7842" t="s">
        <v>42745</v>
      </c>
      <c r="M7842" t="s">
        <v>43069</v>
      </c>
      <c r="N7842" t="s">
        <v>47424</v>
      </c>
      <c r="O7842" t="s">
        <v>47425</v>
      </c>
      <c r="P7842">
        <v>0</v>
      </c>
      <c r="Q7842">
        <v>4</v>
      </c>
      <c r="R7842" t="s">
        <v>47432</v>
      </c>
      <c r="S7842" t="s">
        <v>47597</v>
      </c>
      <c r="T7842" t="s">
        <v>49135</v>
      </c>
      <c r="U7842" t="s">
        <v>50732</v>
      </c>
      <c r="W7842" t="s">
        <v>64429</v>
      </c>
      <c r="X7842" t="s">
        <v>47434</v>
      </c>
    </row>
    <row r="7843" spans="1:24">
      <c r="A7843">
        <f>HYPERLINK("https://www.philgeps.gov.ph/GEPSNONPILOT/Tender/SplashBidNoticeAbstractUI.aspx?menuIndex=3&amp;refID=7150421&amp;Result=3","7150421")</f>
        <v>0</v>
      </c>
      <c r="B7843" t="s">
        <v>2215</v>
      </c>
      <c r="C7843" t="s">
        <v>11280</v>
      </c>
      <c r="D7843" t="s">
        <v>19077</v>
      </c>
      <c r="E7843" t="s">
        <v>25921</v>
      </c>
      <c r="F7843" t="s">
        <v>32831</v>
      </c>
      <c r="G7843" t="s">
        <v>32841</v>
      </c>
      <c r="H7843" t="s">
        <v>32849</v>
      </c>
      <c r="I7843" t="s">
        <v>4177</v>
      </c>
      <c r="J7843" t="s">
        <v>36801</v>
      </c>
      <c r="K7843" t="s">
        <v>42907</v>
      </c>
      <c r="M7843" t="s">
        <v>45395</v>
      </c>
      <c r="N7843" t="s">
        <v>47424</v>
      </c>
      <c r="O7843" t="s">
        <v>47425</v>
      </c>
      <c r="Q7843">
        <v>3</v>
      </c>
      <c r="R7843" t="s">
        <v>47432</v>
      </c>
      <c r="S7843" t="s">
        <v>47599</v>
      </c>
      <c r="T7843" t="s">
        <v>49370</v>
      </c>
      <c r="U7843" t="s">
        <v>56189</v>
      </c>
      <c r="W7843" t="s">
        <v>45395</v>
      </c>
      <c r="X7843" t="s">
        <v>47434</v>
      </c>
    </row>
    <row r="7844" spans="1:24">
      <c r="A7844">
        <f>HYPERLINK("https://www.philgeps.gov.ph/GEPSNONPILOT/Tender/SplashBidNoticeAbstractUI.aspx?menuIndex=3&amp;refID=7150052&amp;Result=3","7150052")</f>
        <v>0</v>
      </c>
      <c r="B7844" t="s">
        <v>72</v>
      </c>
      <c r="C7844" t="s">
        <v>11281</v>
      </c>
      <c r="D7844" t="s">
        <v>19027</v>
      </c>
      <c r="E7844" t="s">
        <v>25922</v>
      </c>
      <c r="F7844" t="s">
        <v>32831</v>
      </c>
      <c r="G7844" t="s">
        <v>32838</v>
      </c>
      <c r="H7844" t="s">
        <v>32848</v>
      </c>
      <c r="I7844" t="s">
        <v>6526</v>
      </c>
      <c r="J7844" t="s">
        <v>33461</v>
      </c>
      <c r="K7844" t="s">
        <v>42745</v>
      </c>
      <c r="M7844" t="s">
        <v>43069</v>
      </c>
      <c r="N7844" t="s">
        <v>47424</v>
      </c>
      <c r="O7844" t="s">
        <v>47425</v>
      </c>
      <c r="P7844">
        <v>0</v>
      </c>
      <c r="Q7844">
        <v>0</v>
      </c>
      <c r="R7844" t="s">
        <v>47432</v>
      </c>
      <c r="S7844" t="s">
        <v>47597</v>
      </c>
      <c r="T7844" t="s">
        <v>49135</v>
      </c>
      <c r="U7844" t="s">
        <v>50732</v>
      </c>
      <c r="W7844" t="s">
        <v>64429</v>
      </c>
      <c r="X7844" t="s">
        <v>47434</v>
      </c>
    </row>
    <row r="7845" spans="1:24">
      <c r="A7845">
        <f>HYPERLINK("https://www.philgeps.gov.ph/GEPSNONPILOT/Tender/SplashBidNoticeAbstractUI.aspx?menuIndex=3&amp;refID=7150215&amp;Result=3","7150215")</f>
        <v>0</v>
      </c>
      <c r="B7845" t="s">
        <v>2634</v>
      </c>
      <c r="C7845" t="s">
        <v>11282</v>
      </c>
      <c r="D7845" t="s">
        <v>19057</v>
      </c>
      <c r="E7845" t="s">
        <v>25923</v>
      </c>
      <c r="F7845" t="s">
        <v>32831</v>
      </c>
      <c r="G7845" t="s">
        <v>32839</v>
      </c>
      <c r="H7845" t="s">
        <v>32848</v>
      </c>
      <c r="I7845" t="s">
        <v>7751</v>
      </c>
      <c r="J7845" t="s">
        <v>37883</v>
      </c>
      <c r="K7845" t="s">
        <v>42729</v>
      </c>
      <c r="M7845" t="s">
        <v>45856</v>
      </c>
      <c r="N7845" t="s">
        <v>47424</v>
      </c>
      <c r="O7845" t="s">
        <v>47425</v>
      </c>
      <c r="P7845">
        <v>0</v>
      </c>
      <c r="Q7845">
        <v>3</v>
      </c>
      <c r="R7845" t="s">
        <v>47432</v>
      </c>
      <c r="S7845" t="s">
        <v>47597</v>
      </c>
      <c r="T7845" t="s">
        <v>49393</v>
      </c>
      <c r="U7845" t="s">
        <v>56200</v>
      </c>
      <c r="W7845" t="s">
        <v>45856</v>
      </c>
      <c r="X7845" t="s">
        <v>47434</v>
      </c>
    </row>
    <row r="7846" spans="1:24">
      <c r="A7846">
        <f>HYPERLINK("https://www.philgeps.gov.ph/GEPSNONPILOT/Tender/SplashBidNoticeAbstractUI.aspx?menuIndex=3&amp;refID=7150344&amp;Result=3","7150344")</f>
        <v>0</v>
      </c>
      <c r="B7846" t="s">
        <v>2634</v>
      </c>
      <c r="C7846" t="s">
        <v>11283</v>
      </c>
      <c r="D7846" t="s">
        <v>19057</v>
      </c>
      <c r="E7846" t="s">
        <v>25924</v>
      </c>
      <c r="F7846" t="s">
        <v>32831</v>
      </c>
      <c r="G7846" t="s">
        <v>32839</v>
      </c>
      <c r="H7846" t="s">
        <v>32849</v>
      </c>
      <c r="I7846" t="s">
        <v>4177</v>
      </c>
      <c r="J7846" t="s">
        <v>37884</v>
      </c>
      <c r="K7846" t="s">
        <v>42729</v>
      </c>
      <c r="M7846" t="s">
        <v>45856</v>
      </c>
      <c r="N7846" t="s">
        <v>47424</v>
      </c>
      <c r="O7846" t="s">
        <v>47425</v>
      </c>
      <c r="P7846">
        <v>0</v>
      </c>
      <c r="Q7846">
        <v>0</v>
      </c>
      <c r="R7846" t="s">
        <v>47432</v>
      </c>
      <c r="S7846" t="s">
        <v>47597</v>
      </c>
      <c r="T7846" t="s">
        <v>49393</v>
      </c>
      <c r="U7846" t="s">
        <v>56201</v>
      </c>
      <c r="W7846" t="s">
        <v>45856</v>
      </c>
      <c r="X7846" t="s">
        <v>47434</v>
      </c>
    </row>
    <row r="7847" spans="1:24">
      <c r="A7847">
        <f>HYPERLINK("https://www.philgeps.gov.ph/GEPSNONPILOT/Tender/SplashBidNoticeAbstractUI.aspx?menuIndex=3&amp;refID=7149775&amp;Result=3","7149775")</f>
        <v>0</v>
      </c>
      <c r="B7847" t="s">
        <v>2215</v>
      </c>
      <c r="C7847" t="s">
        <v>11284</v>
      </c>
      <c r="D7847" t="s">
        <v>19077</v>
      </c>
      <c r="E7847" t="s">
        <v>25925</v>
      </c>
      <c r="F7847" t="s">
        <v>32831</v>
      </c>
      <c r="G7847" t="s">
        <v>32839</v>
      </c>
      <c r="H7847" t="s">
        <v>32849</v>
      </c>
      <c r="I7847" t="s">
        <v>4177</v>
      </c>
      <c r="J7847" t="s">
        <v>35088</v>
      </c>
      <c r="K7847" t="s">
        <v>42730</v>
      </c>
      <c r="M7847" t="s">
        <v>45395</v>
      </c>
      <c r="N7847" t="s">
        <v>47424</v>
      </c>
      <c r="O7847" t="s">
        <v>47425</v>
      </c>
      <c r="P7847">
        <v>0</v>
      </c>
      <c r="Q7847">
        <v>0</v>
      </c>
      <c r="R7847" t="s">
        <v>47432</v>
      </c>
      <c r="S7847" t="s">
        <v>47597</v>
      </c>
      <c r="T7847" t="s">
        <v>49236</v>
      </c>
      <c r="U7847" t="s">
        <v>56202</v>
      </c>
      <c r="W7847" t="s">
        <v>45395</v>
      </c>
      <c r="X7847" t="s">
        <v>47434</v>
      </c>
    </row>
    <row r="7848" spans="1:24">
      <c r="A7848">
        <f>HYPERLINK("https://www.philgeps.gov.ph/GEPSNONPILOT/Tender/SplashBidNoticeAbstractUI.aspx?menuIndex=3&amp;refID=7149767&amp;Result=3","7149767")</f>
        <v>0</v>
      </c>
      <c r="B7848" t="s">
        <v>958</v>
      </c>
      <c r="C7848" t="s">
        <v>11285</v>
      </c>
      <c r="D7848" t="s">
        <v>19049</v>
      </c>
      <c r="E7848" t="s">
        <v>25926</v>
      </c>
      <c r="F7848" t="s">
        <v>32831</v>
      </c>
      <c r="G7848" t="s">
        <v>32838</v>
      </c>
      <c r="H7848" t="s">
        <v>32848</v>
      </c>
      <c r="I7848" t="s">
        <v>32926</v>
      </c>
      <c r="J7848" t="s">
        <v>34095</v>
      </c>
      <c r="K7848" t="s">
        <v>42732</v>
      </c>
      <c r="M7848" t="s">
        <v>44004</v>
      </c>
      <c r="N7848" t="s">
        <v>47424</v>
      </c>
      <c r="O7848" t="s">
        <v>47425</v>
      </c>
      <c r="P7848">
        <v>0</v>
      </c>
      <c r="Q7848">
        <v>0</v>
      </c>
      <c r="R7848" t="s">
        <v>47432</v>
      </c>
      <c r="S7848" t="s">
        <v>47597</v>
      </c>
      <c r="T7848" t="s">
        <v>49212</v>
      </c>
      <c r="U7848" t="s">
        <v>56203</v>
      </c>
      <c r="W7848" t="s">
        <v>44004</v>
      </c>
      <c r="X7848" t="s">
        <v>47434</v>
      </c>
    </row>
    <row r="7849" spans="1:24">
      <c r="A7849">
        <f>HYPERLINK("https://www.philgeps.gov.ph/GEPSNONPILOT/Tender/SplashBidNoticeAbstractUI.aspx?menuIndex=3&amp;refID=7150001&amp;Result=3","7150001")</f>
        <v>0</v>
      </c>
      <c r="B7849" t="s">
        <v>1741</v>
      </c>
      <c r="C7849" t="s">
        <v>11286</v>
      </c>
      <c r="D7849" t="s">
        <v>19023</v>
      </c>
      <c r="E7849" t="s">
        <v>19351</v>
      </c>
      <c r="F7849" t="s">
        <v>32831</v>
      </c>
      <c r="G7849" t="s">
        <v>32839</v>
      </c>
      <c r="H7849" t="s">
        <v>32849</v>
      </c>
      <c r="I7849" t="s">
        <v>4177</v>
      </c>
      <c r="J7849" t="s">
        <v>37885</v>
      </c>
      <c r="K7849" t="s">
        <v>42732</v>
      </c>
      <c r="M7849" t="s">
        <v>44864</v>
      </c>
      <c r="N7849" t="s">
        <v>47424</v>
      </c>
      <c r="O7849" t="s">
        <v>47425</v>
      </c>
      <c r="P7849">
        <v>0</v>
      </c>
      <c r="Q7849">
        <v>0</v>
      </c>
      <c r="R7849" t="s">
        <v>47432</v>
      </c>
      <c r="S7849" t="s">
        <v>47597</v>
      </c>
      <c r="T7849" t="s">
        <v>49236</v>
      </c>
      <c r="U7849" t="s">
        <v>56204</v>
      </c>
      <c r="W7849" t="s">
        <v>44864</v>
      </c>
      <c r="X7849" t="s">
        <v>47434</v>
      </c>
    </row>
    <row r="7850" spans="1:24">
      <c r="A7850">
        <f>HYPERLINK("https://www.philgeps.gov.ph/GEPSNONPILOT/Tender/SplashBidNoticeAbstractUI.aspx?menuIndex=3&amp;refID=7149777&amp;Result=3","7149777")</f>
        <v>0</v>
      </c>
      <c r="B7850" t="s">
        <v>2629</v>
      </c>
      <c r="C7850" t="s">
        <v>11287</v>
      </c>
      <c r="D7850" t="s">
        <v>19078</v>
      </c>
      <c r="E7850" t="s">
        <v>25927</v>
      </c>
      <c r="F7850" t="s">
        <v>32831</v>
      </c>
      <c r="G7850" t="s">
        <v>32839</v>
      </c>
      <c r="H7850" t="s">
        <v>32849</v>
      </c>
      <c r="I7850" t="s">
        <v>4177</v>
      </c>
      <c r="J7850" t="s">
        <v>37886</v>
      </c>
      <c r="K7850" t="s">
        <v>42824</v>
      </c>
      <c r="M7850" t="s">
        <v>45849</v>
      </c>
      <c r="N7850" t="s">
        <v>47424</v>
      </c>
      <c r="O7850" t="s">
        <v>47425</v>
      </c>
      <c r="P7850">
        <v>0</v>
      </c>
      <c r="Q7850">
        <v>1</v>
      </c>
      <c r="R7850" t="s">
        <v>47432</v>
      </c>
      <c r="S7850" t="s">
        <v>47597</v>
      </c>
      <c r="T7850" t="s">
        <v>49141</v>
      </c>
      <c r="U7850" t="s">
        <v>56205</v>
      </c>
      <c r="W7850" t="s">
        <v>45849</v>
      </c>
      <c r="X7850" t="s">
        <v>47434</v>
      </c>
    </row>
    <row r="7851" spans="1:24">
      <c r="A7851">
        <f>HYPERLINK("https://www.philgeps.gov.ph/GEPSNONPILOT/Tender/SplashBidNoticeAbstractUI.aspx?menuIndex=3&amp;refID=7150108&amp;Result=3","7150108")</f>
        <v>0</v>
      </c>
      <c r="B7851" t="s">
        <v>72</v>
      </c>
      <c r="C7851" t="s">
        <v>11288</v>
      </c>
      <c r="D7851" t="s">
        <v>19027</v>
      </c>
      <c r="E7851" t="s">
        <v>25928</v>
      </c>
      <c r="F7851" t="s">
        <v>32831</v>
      </c>
      <c r="G7851" t="s">
        <v>32838</v>
      </c>
      <c r="H7851" t="s">
        <v>32848</v>
      </c>
      <c r="I7851" t="s">
        <v>4487</v>
      </c>
      <c r="J7851" t="s">
        <v>33140</v>
      </c>
      <c r="K7851" t="s">
        <v>42745</v>
      </c>
      <c r="M7851" t="s">
        <v>43069</v>
      </c>
      <c r="N7851" t="s">
        <v>47424</v>
      </c>
      <c r="O7851" t="s">
        <v>47425</v>
      </c>
      <c r="P7851">
        <v>0</v>
      </c>
      <c r="Q7851">
        <v>5</v>
      </c>
      <c r="R7851" t="s">
        <v>47432</v>
      </c>
      <c r="S7851" t="s">
        <v>47597</v>
      </c>
      <c r="T7851" t="s">
        <v>49135</v>
      </c>
      <c r="U7851" t="s">
        <v>50732</v>
      </c>
      <c r="W7851" t="s">
        <v>64429</v>
      </c>
      <c r="X7851" t="s">
        <v>47434</v>
      </c>
    </row>
    <row r="7852" spans="1:24">
      <c r="A7852">
        <f>HYPERLINK("https://www.philgeps.gov.ph/GEPSNONPILOT/Tender/SplashBidNoticeAbstractUI.aspx?menuIndex=3&amp;refID=7149741&amp;Result=3","7149741")</f>
        <v>0</v>
      </c>
      <c r="B7852" t="s">
        <v>2629</v>
      </c>
      <c r="C7852" t="s">
        <v>11289</v>
      </c>
      <c r="D7852" t="s">
        <v>19078</v>
      </c>
      <c r="E7852" t="s">
        <v>25929</v>
      </c>
      <c r="F7852" t="s">
        <v>32831</v>
      </c>
      <c r="G7852" t="s">
        <v>32839</v>
      </c>
      <c r="H7852" t="s">
        <v>32849</v>
      </c>
      <c r="I7852" t="s">
        <v>4177</v>
      </c>
      <c r="J7852" t="s">
        <v>37887</v>
      </c>
      <c r="K7852" t="s">
        <v>42856</v>
      </c>
      <c r="M7852" t="s">
        <v>45849</v>
      </c>
      <c r="N7852" t="s">
        <v>47424</v>
      </c>
      <c r="O7852" t="s">
        <v>47425</v>
      </c>
      <c r="P7852">
        <v>0</v>
      </c>
      <c r="Q7852">
        <v>1</v>
      </c>
      <c r="R7852" t="s">
        <v>47432</v>
      </c>
      <c r="S7852" t="s">
        <v>47597</v>
      </c>
      <c r="T7852" t="s">
        <v>49221</v>
      </c>
      <c r="U7852" t="s">
        <v>56206</v>
      </c>
      <c r="W7852" t="s">
        <v>45849</v>
      </c>
      <c r="X7852" t="s">
        <v>47434</v>
      </c>
    </row>
    <row r="7853" spans="1:24">
      <c r="A7853">
        <f>HYPERLINK("https://www.philgeps.gov.ph/GEPSNONPILOT/Tender/SplashBidNoticeAbstractUI.aspx?menuIndex=3&amp;refID=7150211&amp;Result=3","7150211")</f>
        <v>0</v>
      </c>
      <c r="B7853" t="s">
        <v>2631</v>
      </c>
      <c r="C7853" t="s">
        <v>11290</v>
      </c>
      <c r="D7853" t="s">
        <v>19063</v>
      </c>
      <c r="E7853" t="s">
        <v>25930</v>
      </c>
      <c r="F7853" t="s">
        <v>32831</v>
      </c>
      <c r="G7853" t="s">
        <v>32839</v>
      </c>
      <c r="H7853" t="s">
        <v>32848</v>
      </c>
      <c r="I7853" t="s">
        <v>4487</v>
      </c>
      <c r="J7853" t="s">
        <v>33184</v>
      </c>
      <c r="K7853" t="s">
        <v>42747</v>
      </c>
      <c r="M7853" t="s">
        <v>45851</v>
      </c>
      <c r="N7853" t="s">
        <v>47424</v>
      </c>
      <c r="O7853" t="s">
        <v>47425</v>
      </c>
      <c r="P7853">
        <v>0</v>
      </c>
      <c r="Q7853">
        <v>0</v>
      </c>
      <c r="R7853" t="s">
        <v>47432</v>
      </c>
      <c r="S7853" t="s">
        <v>47597</v>
      </c>
      <c r="T7853" t="s">
        <v>49162</v>
      </c>
      <c r="U7853" t="s">
        <v>56207</v>
      </c>
      <c r="W7853" t="s">
        <v>45851</v>
      </c>
      <c r="X7853" t="s">
        <v>47434</v>
      </c>
    </row>
    <row r="7854" spans="1:24">
      <c r="A7854">
        <f>HYPERLINK("https://www.philgeps.gov.ph/GEPSNONPILOT/Tender/SplashBidNoticeAbstractUI.aspx?menuIndex=3&amp;refID=7149738&amp;Result=3","7149738")</f>
        <v>0</v>
      </c>
      <c r="B7854" t="s">
        <v>2215</v>
      </c>
      <c r="C7854" t="s">
        <v>11291</v>
      </c>
      <c r="D7854" t="s">
        <v>19077</v>
      </c>
      <c r="E7854" t="s">
        <v>25931</v>
      </c>
      <c r="F7854" t="s">
        <v>32831</v>
      </c>
      <c r="G7854" t="s">
        <v>32839</v>
      </c>
      <c r="H7854" t="s">
        <v>32849</v>
      </c>
      <c r="I7854" t="s">
        <v>4177</v>
      </c>
      <c r="J7854" t="s">
        <v>37888</v>
      </c>
      <c r="K7854" t="s">
        <v>42747</v>
      </c>
      <c r="M7854" t="s">
        <v>45395</v>
      </c>
      <c r="N7854" t="s">
        <v>47424</v>
      </c>
      <c r="O7854" t="s">
        <v>47425</v>
      </c>
      <c r="P7854">
        <v>0</v>
      </c>
      <c r="Q7854">
        <v>1</v>
      </c>
      <c r="R7854" t="s">
        <v>47432</v>
      </c>
      <c r="S7854" t="s">
        <v>47597</v>
      </c>
      <c r="T7854" t="s">
        <v>49236</v>
      </c>
      <c r="U7854" t="s">
        <v>56208</v>
      </c>
      <c r="W7854" t="s">
        <v>45395</v>
      </c>
      <c r="X7854" t="s">
        <v>47434</v>
      </c>
    </row>
    <row r="7855" spans="1:24">
      <c r="A7855">
        <f>HYPERLINK("https://www.philgeps.gov.ph/GEPSNONPILOT/Tender/SplashBidNoticeAbstractUI.aspx?menuIndex=3&amp;refID=7151186&amp;Result=3","7151186")</f>
        <v>0</v>
      </c>
      <c r="B7855" t="s">
        <v>2631</v>
      </c>
      <c r="C7855" t="s">
        <v>11292</v>
      </c>
      <c r="D7855" t="s">
        <v>19063</v>
      </c>
      <c r="E7855" t="s">
        <v>25932</v>
      </c>
      <c r="F7855" t="s">
        <v>32831</v>
      </c>
      <c r="G7855" t="s">
        <v>32839</v>
      </c>
      <c r="H7855" t="s">
        <v>32848</v>
      </c>
      <c r="I7855" t="s">
        <v>7751</v>
      </c>
      <c r="J7855" t="s">
        <v>32980</v>
      </c>
      <c r="K7855" t="s">
        <v>42747</v>
      </c>
      <c r="M7855" t="s">
        <v>45851</v>
      </c>
      <c r="N7855" t="s">
        <v>47424</v>
      </c>
      <c r="O7855" t="s">
        <v>47425</v>
      </c>
      <c r="P7855">
        <v>0</v>
      </c>
      <c r="Q7855">
        <v>0</v>
      </c>
      <c r="R7855" t="s">
        <v>47432</v>
      </c>
      <c r="S7855" t="s">
        <v>47597</v>
      </c>
      <c r="T7855" t="s">
        <v>49162</v>
      </c>
      <c r="U7855" t="s">
        <v>56209</v>
      </c>
      <c r="W7855" t="s">
        <v>45851</v>
      </c>
      <c r="X7855" t="s">
        <v>47434</v>
      </c>
    </row>
    <row r="7856" spans="1:24">
      <c r="A7856">
        <f>HYPERLINK("https://www.philgeps.gov.ph/GEPSNONPILOT/Tender/SplashBidNoticeAbstractUI.aspx?menuIndex=3&amp;refID=7151160&amp;Result=3","7151160")</f>
        <v>0</v>
      </c>
      <c r="B7856" t="s">
        <v>2635</v>
      </c>
      <c r="C7856" t="s">
        <v>11293</v>
      </c>
      <c r="D7856" t="s">
        <v>19037</v>
      </c>
      <c r="E7856" t="s">
        <v>21459</v>
      </c>
      <c r="F7856" t="s">
        <v>32831</v>
      </c>
      <c r="G7856" t="s">
        <v>32839</v>
      </c>
      <c r="H7856" t="s">
        <v>32849</v>
      </c>
      <c r="I7856" t="s">
        <v>4177</v>
      </c>
      <c r="J7856" t="s">
        <v>37889</v>
      </c>
      <c r="K7856" t="s">
        <v>42746</v>
      </c>
      <c r="L7856" t="s">
        <v>2635</v>
      </c>
      <c r="M7856" t="s">
        <v>45857</v>
      </c>
      <c r="N7856" t="s">
        <v>47424</v>
      </c>
      <c r="O7856" t="s">
        <v>47425</v>
      </c>
      <c r="P7856">
        <v>0</v>
      </c>
      <c r="Q7856">
        <v>3</v>
      </c>
      <c r="R7856" t="s">
        <v>47432</v>
      </c>
      <c r="S7856" t="s">
        <v>47597</v>
      </c>
      <c r="T7856" t="s">
        <v>49104</v>
      </c>
      <c r="U7856" t="s">
        <v>56210</v>
      </c>
      <c r="W7856" t="s">
        <v>45857</v>
      </c>
      <c r="X7856" t="s">
        <v>47434</v>
      </c>
    </row>
    <row r="7857" spans="1:24">
      <c r="A7857">
        <f>HYPERLINK("https://www.philgeps.gov.ph/GEPSNONPILOT/Tender/SplashBidNoticeAbstractUI.aspx?menuIndex=3&amp;refID=7149742&amp;Result=3","7149742")</f>
        <v>0</v>
      </c>
      <c r="B7857" t="s">
        <v>2631</v>
      </c>
      <c r="C7857" t="s">
        <v>11294</v>
      </c>
      <c r="D7857" t="s">
        <v>19063</v>
      </c>
      <c r="E7857" t="s">
        <v>25933</v>
      </c>
      <c r="F7857" t="s">
        <v>32831</v>
      </c>
      <c r="G7857" t="s">
        <v>32839</v>
      </c>
      <c r="H7857" t="s">
        <v>32848</v>
      </c>
      <c r="I7857" t="s">
        <v>32874</v>
      </c>
      <c r="J7857" t="s">
        <v>32985</v>
      </c>
      <c r="K7857" t="s">
        <v>42747</v>
      </c>
      <c r="M7857" t="s">
        <v>45851</v>
      </c>
      <c r="N7857" t="s">
        <v>47424</v>
      </c>
      <c r="O7857" t="s">
        <v>47425</v>
      </c>
      <c r="P7857">
        <v>0</v>
      </c>
      <c r="Q7857">
        <v>8</v>
      </c>
      <c r="R7857" t="s">
        <v>47432</v>
      </c>
      <c r="S7857" t="s">
        <v>47597</v>
      </c>
      <c r="T7857" t="s">
        <v>49162</v>
      </c>
      <c r="U7857" t="s">
        <v>56211</v>
      </c>
      <c r="W7857" t="s">
        <v>45851</v>
      </c>
      <c r="X7857" t="s">
        <v>47434</v>
      </c>
    </row>
    <row r="7858" spans="1:24">
      <c r="A7858">
        <f>HYPERLINK("https://www.philgeps.gov.ph/GEPSNONPILOT/Tender/SplashBidNoticeAbstractUI.aspx?menuIndex=3&amp;refID=7136460&amp;Result=3","7136460")</f>
        <v>0</v>
      </c>
      <c r="B7858" t="s">
        <v>2620</v>
      </c>
      <c r="C7858" t="s">
        <v>9492</v>
      </c>
      <c r="D7858" t="s">
        <v>19091</v>
      </c>
      <c r="E7858" t="s">
        <v>25934</v>
      </c>
      <c r="F7858" t="s">
        <v>32831</v>
      </c>
      <c r="G7858" t="s">
        <v>32839</v>
      </c>
      <c r="H7858" t="s">
        <v>32849</v>
      </c>
      <c r="I7858" t="s">
        <v>4177</v>
      </c>
      <c r="J7858" t="s">
        <v>33041</v>
      </c>
      <c r="K7858" t="s">
        <v>42749</v>
      </c>
      <c r="M7858" t="s">
        <v>45839</v>
      </c>
      <c r="N7858" t="s">
        <v>47424</v>
      </c>
      <c r="O7858" t="s">
        <v>47425</v>
      </c>
      <c r="P7858">
        <v>0</v>
      </c>
      <c r="Q7858">
        <v>0</v>
      </c>
      <c r="R7858" t="s">
        <v>47432</v>
      </c>
      <c r="S7858" t="s">
        <v>47597</v>
      </c>
      <c r="T7858" t="s">
        <v>49214</v>
      </c>
      <c r="U7858" t="s">
        <v>56212</v>
      </c>
      <c r="W7858" t="s">
        <v>45839</v>
      </c>
      <c r="X7858" t="s">
        <v>47441</v>
      </c>
    </row>
    <row r="7859" spans="1:24">
      <c r="A7859">
        <f>HYPERLINK("https://www.philgeps.gov.ph/GEPSNONPILOT/Tender/SplashBidNoticeAbstractUI.aspx?menuIndex=3&amp;refID=7151145&amp;Result=3","7151145")</f>
        <v>0</v>
      </c>
      <c r="B7859" t="s">
        <v>1206</v>
      </c>
      <c r="C7859" t="s">
        <v>11295</v>
      </c>
      <c r="D7859" t="s">
        <v>19082</v>
      </c>
      <c r="E7859" t="s">
        <v>25935</v>
      </c>
      <c r="F7859" t="s">
        <v>32831</v>
      </c>
      <c r="G7859" t="s">
        <v>32839</v>
      </c>
      <c r="H7859" t="s">
        <v>32849</v>
      </c>
      <c r="I7859" t="s">
        <v>4177</v>
      </c>
      <c r="J7859" t="s">
        <v>37890</v>
      </c>
      <c r="K7859" t="s">
        <v>42770</v>
      </c>
      <c r="M7859" t="s">
        <v>44273</v>
      </c>
      <c r="N7859" t="s">
        <v>47424</v>
      </c>
      <c r="O7859" t="s">
        <v>47425</v>
      </c>
      <c r="P7859">
        <v>0</v>
      </c>
      <c r="Q7859">
        <v>0</v>
      </c>
      <c r="R7859" t="s">
        <v>47432</v>
      </c>
      <c r="S7859" t="s">
        <v>47597</v>
      </c>
      <c r="T7859" t="s">
        <v>49490</v>
      </c>
      <c r="U7859" t="s">
        <v>56213</v>
      </c>
      <c r="W7859" t="s">
        <v>44273</v>
      </c>
      <c r="X7859" t="s">
        <v>47434</v>
      </c>
    </row>
    <row r="7860" spans="1:24">
      <c r="A7860">
        <f>HYPERLINK("https://www.philgeps.gov.ph/GEPSNONPILOT/Tender/SplashBidNoticeAbstractUI.aspx?menuIndex=3&amp;refID=7151074&amp;Result=3","7151074")</f>
        <v>0</v>
      </c>
      <c r="B7860" t="s">
        <v>1206</v>
      </c>
      <c r="C7860" t="s">
        <v>11296</v>
      </c>
      <c r="D7860" t="s">
        <v>19082</v>
      </c>
      <c r="E7860" t="s">
        <v>25936</v>
      </c>
      <c r="F7860" t="s">
        <v>32831</v>
      </c>
      <c r="G7860" t="s">
        <v>32839</v>
      </c>
      <c r="H7860" t="s">
        <v>32849</v>
      </c>
      <c r="I7860" t="s">
        <v>4177</v>
      </c>
      <c r="J7860" t="s">
        <v>37891</v>
      </c>
      <c r="K7860" t="s">
        <v>42770</v>
      </c>
      <c r="M7860" t="s">
        <v>44273</v>
      </c>
      <c r="N7860" t="s">
        <v>47424</v>
      </c>
      <c r="O7860" t="s">
        <v>47425</v>
      </c>
      <c r="P7860">
        <v>0</v>
      </c>
      <c r="Q7860">
        <v>0</v>
      </c>
      <c r="R7860" t="s">
        <v>47432</v>
      </c>
      <c r="S7860" t="s">
        <v>47597</v>
      </c>
      <c r="T7860" t="s">
        <v>49490</v>
      </c>
      <c r="U7860" t="s">
        <v>56214</v>
      </c>
      <c r="W7860" t="s">
        <v>44273</v>
      </c>
      <c r="X7860" t="s">
        <v>47434</v>
      </c>
    </row>
    <row r="7861" spans="1:24">
      <c r="A7861">
        <f>HYPERLINK("https://www.philgeps.gov.ph/GEPSNONPILOT/Tender/SplashBidNoticeAbstractUI.aspx?menuIndex=3&amp;refID=7151061&amp;Result=3","7151061")</f>
        <v>0</v>
      </c>
      <c r="B7861" t="s">
        <v>42</v>
      </c>
      <c r="C7861" t="s">
        <v>6487</v>
      </c>
      <c r="D7861" t="s">
        <v>19031</v>
      </c>
      <c r="E7861" t="s">
        <v>25937</v>
      </c>
      <c r="F7861" t="s">
        <v>32831</v>
      </c>
      <c r="G7861" t="s">
        <v>32840</v>
      </c>
      <c r="H7861" t="s">
        <v>32848</v>
      </c>
      <c r="I7861" t="s">
        <v>7416</v>
      </c>
      <c r="J7861" t="s">
        <v>37892</v>
      </c>
      <c r="K7861" t="s">
        <v>42730</v>
      </c>
      <c r="M7861" t="s">
        <v>43039</v>
      </c>
      <c r="N7861" t="s">
        <v>47424</v>
      </c>
      <c r="O7861" t="s">
        <v>47425</v>
      </c>
      <c r="P7861">
        <v>0</v>
      </c>
      <c r="Q7861">
        <v>0</v>
      </c>
      <c r="R7861" t="s">
        <v>47432</v>
      </c>
      <c r="S7861" t="s">
        <v>47597</v>
      </c>
      <c r="T7861" t="s">
        <v>49237</v>
      </c>
      <c r="U7861" t="s">
        <v>56215</v>
      </c>
      <c r="W7861" t="s">
        <v>43039</v>
      </c>
      <c r="X7861" t="s">
        <v>47434</v>
      </c>
    </row>
    <row r="7862" spans="1:24">
      <c r="A7862">
        <f>HYPERLINK("https://www.philgeps.gov.ph/GEPSNONPILOT/Tender/SplashBidNoticeAbstractUI.aspx?menuIndex=3&amp;refID=7151024&amp;Result=3","7151024")</f>
        <v>0</v>
      </c>
      <c r="B7862" t="s">
        <v>786</v>
      </c>
      <c r="C7862" t="s">
        <v>11297</v>
      </c>
      <c r="D7862" t="s">
        <v>19056</v>
      </c>
      <c r="E7862" t="s">
        <v>25938</v>
      </c>
      <c r="F7862" t="s">
        <v>32831</v>
      </c>
      <c r="G7862" t="s">
        <v>32839</v>
      </c>
      <c r="H7862" t="s">
        <v>32848</v>
      </c>
      <c r="I7862" t="s">
        <v>4438</v>
      </c>
      <c r="J7862" t="s">
        <v>37893</v>
      </c>
      <c r="K7862" t="s">
        <v>42730</v>
      </c>
      <c r="M7862" t="s">
        <v>43815</v>
      </c>
      <c r="N7862" t="s">
        <v>47424</v>
      </c>
      <c r="O7862" t="s">
        <v>47425</v>
      </c>
      <c r="P7862">
        <v>0</v>
      </c>
      <c r="Q7862">
        <v>4</v>
      </c>
      <c r="R7862" t="s">
        <v>47432</v>
      </c>
      <c r="S7862" t="s">
        <v>47597</v>
      </c>
      <c r="T7862" t="s">
        <v>49421</v>
      </c>
      <c r="U7862" t="s">
        <v>56216</v>
      </c>
      <c r="W7862" t="s">
        <v>43815</v>
      </c>
      <c r="X7862" t="s">
        <v>47434</v>
      </c>
    </row>
    <row r="7863" spans="1:24">
      <c r="A7863">
        <f>HYPERLINK("https://www.philgeps.gov.ph/GEPSNONPILOT/Tender/SplashBidNoticeAbstractUI.aspx?menuIndex=3&amp;refID=7150933&amp;Result=3","7150933")</f>
        <v>0</v>
      </c>
      <c r="B7863" t="s">
        <v>2636</v>
      </c>
      <c r="C7863" t="s">
        <v>11298</v>
      </c>
      <c r="D7863" t="s">
        <v>19037</v>
      </c>
      <c r="E7863" t="s">
        <v>25939</v>
      </c>
      <c r="F7863" t="s">
        <v>32831</v>
      </c>
      <c r="G7863" t="s">
        <v>32839</v>
      </c>
      <c r="H7863" t="s">
        <v>32848</v>
      </c>
      <c r="I7863" t="s">
        <v>7751</v>
      </c>
      <c r="J7863" t="s">
        <v>35761</v>
      </c>
      <c r="K7863" t="s">
        <v>42727</v>
      </c>
      <c r="M7863" t="s">
        <v>45858</v>
      </c>
      <c r="N7863" t="s">
        <v>47424</v>
      </c>
      <c r="O7863" t="s">
        <v>47425</v>
      </c>
      <c r="P7863">
        <v>0</v>
      </c>
      <c r="Q7863">
        <v>1</v>
      </c>
      <c r="R7863" t="s">
        <v>47432</v>
      </c>
      <c r="S7863" t="s">
        <v>47597</v>
      </c>
      <c r="T7863" t="s">
        <v>49141</v>
      </c>
      <c r="U7863" t="s">
        <v>56217</v>
      </c>
      <c r="W7863" t="s">
        <v>45858</v>
      </c>
      <c r="X7863" t="s">
        <v>47434</v>
      </c>
    </row>
    <row r="7864" spans="1:24">
      <c r="A7864">
        <f>HYPERLINK("https://www.philgeps.gov.ph/GEPSNONPILOT/Tender/SplashBidNoticeAbstractUI.aspx?menuIndex=3&amp;refID=7151119&amp;Result=3","7151119")</f>
        <v>0</v>
      </c>
      <c r="B7864" t="s">
        <v>2635</v>
      </c>
      <c r="C7864" t="s">
        <v>11299</v>
      </c>
      <c r="D7864" t="s">
        <v>19037</v>
      </c>
      <c r="E7864" t="s">
        <v>23029</v>
      </c>
      <c r="F7864" t="s">
        <v>32831</v>
      </c>
      <c r="G7864" t="s">
        <v>32839</v>
      </c>
      <c r="H7864" t="s">
        <v>32849</v>
      </c>
      <c r="I7864" t="s">
        <v>4177</v>
      </c>
      <c r="J7864" t="s">
        <v>37889</v>
      </c>
      <c r="K7864" t="s">
        <v>42746</v>
      </c>
      <c r="L7864" t="s">
        <v>2635</v>
      </c>
      <c r="M7864" t="s">
        <v>45857</v>
      </c>
      <c r="N7864" t="s">
        <v>47424</v>
      </c>
      <c r="O7864" t="s">
        <v>47425</v>
      </c>
      <c r="P7864">
        <v>0</v>
      </c>
      <c r="Q7864">
        <v>3</v>
      </c>
      <c r="R7864" t="s">
        <v>47432</v>
      </c>
      <c r="S7864" t="s">
        <v>47597</v>
      </c>
      <c r="T7864" t="s">
        <v>49104</v>
      </c>
      <c r="U7864" t="s">
        <v>56218</v>
      </c>
      <c r="W7864" t="s">
        <v>45857</v>
      </c>
      <c r="X7864" t="s">
        <v>47434</v>
      </c>
    </row>
    <row r="7865" spans="1:24">
      <c r="A7865">
        <f>HYPERLINK("https://www.philgeps.gov.ph/GEPSNONPILOT/Tender/SplashBidNoticeAbstractUI.aspx?menuIndex=3&amp;refID=7149766&amp;Result=3","7149766")</f>
        <v>0</v>
      </c>
      <c r="B7865" t="s">
        <v>2215</v>
      </c>
      <c r="C7865" t="s">
        <v>11300</v>
      </c>
      <c r="D7865" t="s">
        <v>19077</v>
      </c>
      <c r="E7865" t="s">
        <v>25940</v>
      </c>
      <c r="F7865" t="s">
        <v>32831</v>
      </c>
      <c r="G7865" t="s">
        <v>32839</v>
      </c>
      <c r="H7865" t="s">
        <v>32849</v>
      </c>
      <c r="I7865" t="s">
        <v>4177</v>
      </c>
      <c r="J7865" t="s">
        <v>34860</v>
      </c>
      <c r="K7865" t="s">
        <v>42845</v>
      </c>
      <c r="M7865" t="s">
        <v>45395</v>
      </c>
      <c r="N7865" t="s">
        <v>47424</v>
      </c>
      <c r="O7865" t="s">
        <v>47425</v>
      </c>
      <c r="P7865">
        <v>0</v>
      </c>
      <c r="Q7865">
        <v>1</v>
      </c>
      <c r="R7865" t="s">
        <v>47432</v>
      </c>
      <c r="S7865" t="s">
        <v>47597</v>
      </c>
      <c r="T7865" t="s">
        <v>49236</v>
      </c>
      <c r="U7865" t="s">
        <v>56219</v>
      </c>
      <c r="W7865" t="s">
        <v>45395</v>
      </c>
      <c r="X7865" t="s">
        <v>47434</v>
      </c>
    </row>
    <row r="7866" spans="1:24">
      <c r="A7866">
        <f>HYPERLINK("https://www.philgeps.gov.ph/GEPSNONPILOT/Tender/SplashBidNoticeAbstractUI.aspx?menuIndex=3&amp;refID=7149745&amp;Result=3","7149745")</f>
        <v>0</v>
      </c>
      <c r="B7866" t="s">
        <v>2215</v>
      </c>
      <c r="C7866" t="s">
        <v>11301</v>
      </c>
      <c r="D7866" t="s">
        <v>19077</v>
      </c>
      <c r="E7866" t="s">
        <v>25941</v>
      </c>
      <c r="F7866" t="s">
        <v>32831</v>
      </c>
      <c r="G7866" t="s">
        <v>32839</v>
      </c>
      <c r="H7866" t="s">
        <v>32849</v>
      </c>
      <c r="I7866" t="s">
        <v>4177</v>
      </c>
      <c r="J7866" t="s">
        <v>37894</v>
      </c>
      <c r="K7866" t="s">
        <v>42826</v>
      </c>
      <c r="M7866" t="s">
        <v>45395</v>
      </c>
      <c r="N7866" t="s">
        <v>47424</v>
      </c>
      <c r="O7866" t="s">
        <v>47425</v>
      </c>
      <c r="P7866">
        <v>0</v>
      </c>
      <c r="Q7866">
        <v>0</v>
      </c>
      <c r="R7866" t="s">
        <v>47432</v>
      </c>
      <c r="S7866" t="s">
        <v>47597</v>
      </c>
      <c r="T7866" t="s">
        <v>49236</v>
      </c>
      <c r="U7866" t="s">
        <v>56220</v>
      </c>
      <c r="W7866" t="s">
        <v>45395</v>
      </c>
      <c r="X7866" t="s">
        <v>47434</v>
      </c>
    </row>
    <row r="7867" spans="1:24">
      <c r="A7867">
        <f>HYPERLINK("https://www.philgeps.gov.ph/GEPSNONPILOT/Tender/SplashBidNoticeAbstractUI.aspx?menuIndex=3&amp;refID=7151066&amp;Result=3","7151066")</f>
        <v>0</v>
      </c>
      <c r="B7867" t="s">
        <v>2635</v>
      </c>
      <c r="C7867" t="s">
        <v>11302</v>
      </c>
      <c r="D7867" t="s">
        <v>19037</v>
      </c>
      <c r="E7867" t="s">
        <v>22880</v>
      </c>
      <c r="F7867" t="s">
        <v>32831</v>
      </c>
      <c r="G7867" t="s">
        <v>32839</v>
      </c>
      <c r="H7867" t="s">
        <v>32849</v>
      </c>
      <c r="I7867" t="s">
        <v>4177</v>
      </c>
      <c r="J7867" t="s">
        <v>37895</v>
      </c>
      <c r="K7867" t="s">
        <v>42729</v>
      </c>
      <c r="L7867" t="s">
        <v>2635</v>
      </c>
      <c r="M7867" t="s">
        <v>45857</v>
      </c>
      <c r="N7867" t="s">
        <v>47424</v>
      </c>
      <c r="O7867" t="s">
        <v>47425</v>
      </c>
      <c r="P7867">
        <v>0</v>
      </c>
      <c r="Q7867">
        <v>4</v>
      </c>
      <c r="R7867" t="s">
        <v>47432</v>
      </c>
      <c r="S7867" t="s">
        <v>47597</v>
      </c>
      <c r="T7867" t="s">
        <v>49104</v>
      </c>
      <c r="U7867" t="s">
        <v>56221</v>
      </c>
      <c r="W7867" t="s">
        <v>45857</v>
      </c>
      <c r="X7867" t="s">
        <v>47434</v>
      </c>
    </row>
    <row r="7868" spans="1:24">
      <c r="A7868">
        <f>HYPERLINK("https://www.philgeps.gov.ph/GEPSNONPILOT/Tender/SplashBidNoticeAbstractUI.aspx?menuIndex=3&amp;refID=7150739&amp;Result=3","7150739")</f>
        <v>0</v>
      </c>
      <c r="B7868" t="s">
        <v>2637</v>
      </c>
      <c r="C7868" t="s">
        <v>11303</v>
      </c>
      <c r="D7868" t="s">
        <v>19017</v>
      </c>
      <c r="E7868" t="s">
        <v>25942</v>
      </c>
      <c r="F7868" t="s">
        <v>32831</v>
      </c>
      <c r="G7868" t="s">
        <v>32842</v>
      </c>
      <c r="H7868" t="s">
        <v>32848</v>
      </c>
      <c r="I7868" t="s">
        <v>9577</v>
      </c>
      <c r="J7868" t="s">
        <v>37896</v>
      </c>
      <c r="K7868" t="s">
        <v>42730</v>
      </c>
      <c r="M7868" t="s">
        <v>45859</v>
      </c>
      <c r="N7868" t="s">
        <v>47424</v>
      </c>
      <c r="O7868" t="s">
        <v>47425</v>
      </c>
      <c r="P7868">
        <v>0</v>
      </c>
      <c r="Q7868">
        <v>10</v>
      </c>
      <c r="R7868" t="s">
        <v>47432</v>
      </c>
      <c r="S7868" t="s">
        <v>47597</v>
      </c>
      <c r="T7868" t="s">
        <v>49111</v>
      </c>
      <c r="U7868" t="s">
        <v>56222</v>
      </c>
      <c r="W7868" t="s">
        <v>45859</v>
      </c>
      <c r="X7868" t="s">
        <v>47434</v>
      </c>
    </row>
    <row r="7869" spans="1:24">
      <c r="A7869">
        <f>HYPERLINK("https://www.philgeps.gov.ph/GEPSNONPILOT/Tender/SplashBidNoticeAbstractUI.aspx?menuIndex=3&amp;refID=7150543&amp;Result=3","7150543")</f>
        <v>0</v>
      </c>
      <c r="B7869" t="s">
        <v>2167</v>
      </c>
      <c r="C7869" t="s">
        <v>11304</v>
      </c>
      <c r="D7869" t="s">
        <v>19017</v>
      </c>
      <c r="E7869" t="s">
        <v>25943</v>
      </c>
      <c r="F7869" t="s">
        <v>32833</v>
      </c>
      <c r="G7869" t="s">
        <v>32839</v>
      </c>
      <c r="H7869" t="s">
        <v>32848</v>
      </c>
      <c r="I7869" t="s">
        <v>4438</v>
      </c>
      <c r="J7869" t="s">
        <v>37897</v>
      </c>
      <c r="K7869" t="s">
        <v>42726</v>
      </c>
      <c r="M7869" t="s">
        <v>45345</v>
      </c>
      <c r="N7869" t="s">
        <v>47424</v>
      </c>
      <c r="O7869" t="s">
        <v>47425</v>
      </c>
      <c r="P7869">
        <v>0</v>
      </c>
      <c r="Q7869">
        <v>0</v>
      </c>
      <c r="R7869" t="s">
        <v>47432</v>
      </c>
      <c r="S7869" t="s">
        <v>47597</v>
      </c>
      <c r="T7869" t="s">
        <v>49133</v>
      </c>
      <c r="U7869" t="s">
        <v>54694</v>
      </c>
      <c r="V7869" t="s">
        <v>63291</v>
      </c>
      <c r="W7869" t="s">
        <v>45345</v>
      </c>
      <c r="X7869" t="s">
        <v>47434</v>
      </c>
    </row>
    <row r="7870" spans="1:24">
      <c r="A7870">
        <f>HYPERLINK("https://www.philgeps.gov.ph/GEPSNONPILOT/Tender/SplashBidNoticeAbstractUI.aspx?menuIndex=3&amp;refID=7150477&amp;Result=3","7150477")</f>
        <v>0</v>
      </c>
      <c r="B7870" t="s">
        <v>2631</v>
      </c>
      <c r="C7870" t="s">
        <v>11305</v>
      </c>
      <c r="D7870" t="s">
        <v>19063</v>
      </c>
      <c r="E7870" t="s">
        <v>25944</v>
      </c>
      <c r="F7870" t="s">
        <v>32831</v>
      </c>
      <c r="G7870" t="s">
        <v>32839</v>
      </c>
      <c r="H7870" t="s">
        <v>32848</v>
      </c>
      <c r="I7870" t="s">
        <v>4303</v>
      </c>
      <c r="J7870" t="s">
        <v>37898</v>
      </c>
      <c r="K7870" t="s">
        <v>42747</v>
      </c>
      <c r="M7870" t="s">
        <v>45851</v>
      </c>
      <c r="N7870" t="s">
        <v>47424</v>
      </c>
      <c r="O7870" t="s">
        <v>47425</v>
      </c>
      <c r="P7870">
        <v>0</v>
      </c>
      <c r="Q7870">
        <v>0</v>
      </c>
      <c r="R7870" t="s">
        <v>47432</v>
      </c>
      <c r="S7870" t="s">
        <v>47597</v>
      </c>
      <c r="T7870" t="s">
        <v>49162</v>
      </c>
      <c r="U7870" t="s">
        <v>56223</v>
      </c>
      <c r="W7870" t="s">
        <v>45851</v>
      </c>
      <c r="X7870" t="s">
        <v>47434</v>
      </c>
    </row>
    <row r="7871" spans="1:24">
      <c r="A7871">
        <f>HYPERLINK("https://www.philgeps.gov.ph/GEPSNONPILOT/Tender/SplashBidNoticeAbstractUI.aspx?menuIndex=3&amp;refID=7149951&amp;Result=3","7149951")</f>
        <v>0</v>
      </c>
      <c r="B7871" t="s">
        <v>2629</v>
      </c>
      <c r="C7871" t="s">
        <v>3968</v>
      </c>
      <c r="D7871" t="s">
        <v>19078</v>
      </c>
      <c r="E7871" t="s">
        <v>25945</v>
      </c>
      <c r="F7871" t="s">
        <v>32831</v>
      </c>
      <c r="G7871" t="s">
        <v>32839</v>
      </c>
      <c r="H7871" t="s">
        <v>32848</v>
      </c>
      <c r="I7871" t="s">
        <v>4558</v>
      </c>
      <c r="J7871" t="s">
        <v>32980</v>
      </c>
      <c r="K7871" t="s">
        <v>42726</v>
      </c>
      <c r="M7871" t="s">
        <v>45849</v>
      </c>
      <c r="N7871" t="s">
        <v>47424</v>
      </c>
      <c r="O7871" t="s">
        <v>47425</v>
      </c>
      <c r="P7871">
        <v>0</v>
      </c>
      <c r="Q7871">
        <v>2</v>
      </c>
      <c r="R7871" t="s">
        <v>47432</v>
      </c>
      <c r="S7871" t="s">
        <v>47597</v>
      </c>
      <c r="T7871" t="s">
        <v>49114</v>
      </c>
      <c r="U7871" t="s">
        <v>56224</v>
      </c>
      <c r="W7871" t="s">
        <v>45849</v>
      </c>
      <c r="X7871" t="s">
        <v>47434</v>
      </c>
    </row>
    <row r="7872" spans="1:24">
      <c r="A7872">
        <f>HYPERLINK("https://www.philgeps.gov.ph/GEPSNONPILOT/Tender/SplashBidNoticeAbstractUI.aspx?menuIndex=3&amp;refID=7150750&amp;Result=3","7150750")</f>
        <v>0</v>
      </c>
      <c r="B7872" t="s">
        <v>2638</v>
      </c>
      <c r="C7872" t="s">
        <v>11306</v>
      </c>
      <c r="D7872" t="s">
        <v>19023</v>
      </c>
      <c r="E7872" t="s">
        <v>25946</v>
      </c>
      <c r="F7872" t="s">
        <v>32831</v>
      </c>
      <c r="G7872" t="s">
        <v>32838</v>
      </c>
      <c r="H7872" t="s">
        <v>32848</v>
      </c>
      <c r="I7872" t="s">
        <v>32860</v>
      </c>
      <c r="J7872" t="s">
        <v>37899</v>
      </c>
      <c r="K7872" t="s">
        <v>42727</v>
      </c>
      <c r="M7872" t="s">
        <v>45860</v>
      </c>
      <c r="N7872" t="s">
        <v>47424</v>
      </c>
      <c r="O7872" t="s">
        <v>47425</v>
      </c>
      <c r="P7872">
        <v>0</v>
      </c>
      <c r="Q7872">
        <v>0</v>
      </c>
      <c r="R7872" t="s">
        <v>47432</v>
      </c>
      <c r="S7872" t="s">
        <v>47597</v>
      </c>
      <c r="T7872" t="s">
        <v>49162</v>
      </c>
      <c r="U7872" t="s">
        <v>56225</v>
      </c>
      <c r="V7872" t="s">
        <v>63498</v>
      </c>
      <c r="W7872" t="s">
        <v>45860</v>
      </c>
      <c r="X7872" t="s">
        <v>47434</v>
      </c>
    </row>
    <row r="7873" spans="1:24">
      <c r="A7873">
        <f>HYPERLINK("https://www.philgeps.gov.ph/GEPSNONPILOT/Tender/SplashBidNoticeAbstractUI.aspx?menuIndex=3&amp;refID=7151179&amp;Result=3","7151179")</f>
        <v>0</v>
      </c>
      <c r="B7873" t="s">
        <v>1688</v>
      </c>
      <c r="C7873" t="s">
        <v>11307</v>
      </c>
      <c r="D7873" t="s">
        <v>19078</v>
      </c>
      <c r="E7873" t="s">
        <v>25947</v>
      </c>
      <c r="F7873" t="s">
        <v>32831</v>
      </c>
      <c r="G7873" t="s">
        <v>32839</v>
      </c>
      <c r="H7873" t="s">
        <v>32848</v>
      </c>
      <c r="I7873" t="s">
        <v>4487</v>
      </c>
      <c r="J7873" t="s">
        <v>33339</v>
      </c>
      <c r="K7873" t="s">
        <v>42780</v>
      </c>
      <c r="L7873" t="s">
        <v>1688</v>
      </c>
      <c r="M7873" t="s">
        <v>44808</v>
      </c>
      <c r="N7873" t="s">
        <v>47424</v>
      </c>
      <c r="O7873" t="s">
        <v>47425</v>
      </c>
      <c r="P7873">
        <v>0</v>
      </c>
      <c r="Q7873">
        <v>6</v>
      </c>
      <c r="R7873" t="s">
        <v>47432</v>
      </c>
      <c r="S7873" t="s">
        <v>47597</v>
      </c>
      <c r="T7873" t="s">
        <v>49112</v>
      </c>
      <c r="U7873" t="s">
        <v>56226</v>
      </c>
      <c r="V7873" t="s">
        <v>63106</v>
      </c>
      <c r="W7873" t="s">
        <v>44808</v>
      </c>
      <c r="X7873" t="s">
        <v>47434</v>
      </c>
    </row>
    <row r="7874" spans="1:24">
      <c r="A7874">
        <f>HYPERLINK("https://www.philgeps.gov.ph/GEPSNONPILOT/Tender/SplashBidNoticeAbstractUI.aspx?menuIndex=3&amp;refID=7151493&amp;Result=3","7151493")</f>
        <v>0</v>
      </c>
      <c r="B7874" t="s">
        <v>618</v>
      </c>
      <c r="C7874" t="s">
        <v>11308</v>
      </c>
      <c r="D7874" t="s">
        <v>19084</v>
      </c>
      <c r="E7874" t="s">
        <v>25948</v>
      </c>
      <c r="F7874" t="s">
        <v>32831</v>
      </c>
      <c r="G7874" t="s">
        <v>32839</v>
      </c>
      <c r="H7874" t="s">
        <v>32848</v>
      </c>
      <c r="I7874" t="s">
        <v>4487</v>
      </c>
      <c r="J7874" t="s">
        <v>37900</v>
      </c>
      <c r="K7874" t="s">
        <v>42730</v>
      </c>
      <c r="M7874" t="s">
        <v>43634</v>
      </c>
      <c r="N7874" t="s">
        <v>47424</v>
      </c>
      <c r="O7874" t="s">
        <v>47425</v>
      </c>
      <c r="P7874">
        <v>0</v>
      </c>
      <c r="Q7874">
        <v>4</v>
      </c>
      <c r="R7874" t="s">
        <v>47432</v>
      </c>
      <c r="S7874" t="s">
        <v>47597</v>
      </c>
      <c r="T7874" t="s">
        <v>49236</v>
      </c>
      <c r="U7874" t="s">
        <v>56227</v>
      </c>
      <c r="V7874" t="s">
        <v>63499</v>
      </c>
      <c r="W7874" t="s">
        <v>43634</v>
      </c>
      <c r="X7874" t="s">
        <v>47434</v>
      </c>
    </row>
    <row r="7875" spans="1:24">
      <c r="A7875">
        <f>HYPERLINK("https://www.philgeps.gov.ph/GEPSNONPILOT/Tender/SplashBidNoticeAbstractUI.aspx?menuIndex=3&amp;refID=7151458&amp;Result=3","7151458")</f>
        <v>0</v>
      </c>
      <c r="B7875" t="s">
        <v>2615</v>
      </c>
      <c r="C7875" t="s">
        <v>11309</v>
      </c>
      <c r="D7875" t="s">
        <v>19043</v>
      </c>
      <c r="E7875" t="s">
        <v>25949</v>
      </c>
      <c r="F7875" t="s">
        <v>32831</v>
      </c>
      <c r="G7875" t="s">
        <v>32839</v>
      </c>
      <c r="H7875" t="s">
        <v>32848</v>
      </c>
      <c r="I7875" t="s">
        <v>32861</v>
      </c>
      <c r="J7875" t="s">
        <v>37901</v>
      </c>
      <c r="K7875" t="s">
        <v>42747</v>
      </c>
      <c r="M7875" t="s">
        <v>45834</v>
      </c>
      <c r="N7875" t="s">
        <v>47424</v>
      </c>
      <c r="O7875" t="s">
        <v>47425</v>
      </c>
      <c r="P7875">
        <v>0</v>
      </c>
      <c r="Q7875">
        <v>8</v>
      </c>
      <c r="R7875" t="s">
        <v>47432</v>
      </c>
      <c r="S7875" t="s">
        <v>47597</v>
      </c>
      <c r="T7875" t="s">
        <v>49384</v>
      </c>
      <c r="U7875" t="s">
        <v>56228</v>
      </c>
      <c r="V7875" t="s">
        <v>63489</v>
      </c>
      <c r="W7875" t="s">
        <v>45834</v>
      </c>
      <c r="X7875" t="s">
        <v>47434</v>
      </c>
    </row>
    <row r="7876" spans="1:24">
      <c r="A7876">
        <f>HYPERLINK("https://www.philgeps.gov.ph/GEPSNONPILOT/Tender/SplashBidNoticeAbstractUI.aspx?menuIndex=3&amp;refID=7150461&amp;Result=3","7150461")</f>
        <v>0</v>
      </c>
      <c r="B7876" t="s">
        <v>2167</v>
      </c>
      <c r="C7876" t="s">
        <v>11310</v>
      </c>
      <c r="D7876" t="s">
        <v>19017</v>
      </c>
      <c r="E7876" t="s">
        <v>25950</v>
      </c>
      <c r="F7876" t="s">
        <v>32833</v>
      </c>
      <c r="G7876" t="s">
        <v>32839</v>
      </c>
      <c r="H7876" t="s">
        <v>32848</v>
      </c>
      <c r="I7876" t="s">
        <v>4438</v>
      </c>
      <c r="J7876" t="s">
        <v>37902</v>
      </c>
      <c r="K7876" t="s">
        <v>42726</v>
      </c>
      <c r="M7876" t="s">
        <v>45345</v>
      </c>
      <c r="N7876" t="s">
        <v>47424</v>
      </c>
      <c r="O7876" t="s">
        <v>47425</v>
      </c>
      <c r="P7876">
        <v>0</v>
      </c>
      <c r="Q7876">
        <v>0</v>
      </c>
      <c r="R7876" t="s">
        <v>47432</v>
      </c>
      <c r="S7876" t="s">
        <v>47597</v>
      </c>
      <c r="T7876" t="s">
        <v>49133</v>
      </c>
      <c r="U7876" t="s">
        <v>54694</v>
      </c>
      <c r="V7876" t="s">
        <v>63291</v>
      </c>
      <c r="W7876" t="s">
        <v>45345</v>
      </c>
      <c r="X7876" t="s">
        <v>47434</v>
      </c>
    </row>
    <row r="7877" spans="1:24">
      <c r="A7877">
        <f>HYPERLINK("https://www.philgeps.gov.ph/GEPSNONPILOT/Tender/SplashBidNoticeAbstractUI.aspx?menuIndex=3&amp;refID=7151734&amp;Result=3","7151734")</f>
        <v>0</v>
      </c>
      <c r="B7877" t="s">
        <v>2639</v>
      </c>
      <c r="C7877" t="s">
        <v>11311</v>
      </c>
      <c r="D7877" t="s">
        <v>19033</v>
      </c>
      <c r="E7877" t="s">
        <v>25951</v>
      </c>
      <c r="F7877" t="s">
        <v>32831</v>
      </c>
      <c r="G7877" t="s">
        <v>32838</v>
      </c>
      <c r="H7877" t="s">
        <v>32849</v>
      </c>
      <c r="I7877" t="s">
        <v>9577</v>
      </c>
      <c r="J7877" t="s">
        <v>34758</v>
      </c>
      <c r="K7877" t="s">
        <v>42730</v>
      </c>
      <c r="M7877" t="s">
        <v>45861</v>
      </c>
      <c r="N7877" t="s">
        <v>47424</v>
      </c>
      <c r="O7877" t="s">
        <v>47425</v>
      </c>
      <c r="P7877">
        <v>0</v>
      </c>
      <c r="Q7877">
        <v>7</v>
      </c>
      <c r="R7877" t="s">
        <v>47432</v>
      </c>
      <c r="S7877" t="s">
        <v>47597</v>
      </c>
      <c r="T7877" t="s">
        <v>49141</v>
      </c>
      <c r="U7877" t="s">
        <v>56229</v>
      </c>
      <c r="V7877" t="s">
        <v>63500</v>
      </c>
      <c r="W7877" t="s">
        <v>45861</v>
      </c>
      <c r="X7877" t="s">
        <v>47434</v>
      </c>
    </row>
    <row r="7878" spans="1:24">
      <c r="A7878">
        <f>HYPERLINK("https://www.philgeps.gov.ph/GEPSNONPILOT/Tender/SplashBidNoticeAbstractUI.aspx?menuIndex=3&amp;refID=7150451&amp;Result=3","7150451")</f>
        <v>0</v>
      </c>
      <c r="B7878" t="s">
        <v>2215</v>
      </c>
      <c r="C7878" t="s">
        <v>11312</v>
      </c>
      <c r="D7878" t="s">
        <v>19077</v>
      </c>
      <c r="E7878" t="s">
        <v>25952</v>
      </c>
      <c r="F7878" t="s">
        <v>32831</v>
      </c>
      <c r="G7878" t="s">
        <v>32841</v>
      </c>
      <c r="H7878" t="s">
        <v>32849</v>
      </c>
      <c r="I7878" t="s">
        <v>4177</v>
      </c>
      <c r="J7878" t="s">
        <v>33016</v>
      </c>
      <c r="K7878" t="s">
        <v>42790</v>
      </c>
      <c r="M7878" t="s">
        <v>45395</v>
      </c>
      <c r="N7878" t="s">
        <v>47424</v>
      </c>
      <c r="O7878" t="s">
        <v>47425</v>
      </c>
      <c r="Q7878">
        <v>0</v>
      </c>
      <c r="R7878" t="s">
        <v>47432</v>
      </c>
      <c r="S7878" t="s">
        <v>47600</v>
      </c>
      <c r="T7878" t="s">
        <v>49370</v>
      </c>
      <c r="U7878" t="s">
        <v>56189</v>
      </c>
      <c r="W7878" t="s">
        <v>45395</v>
      </c>
      <c r="X7878" t="s">
        <v>47434</v>
      </c>
    </row>
    <row r="7879" spans="1:24">
      <c r="A7879">
        <f>HYPERLINK("https://www.philgeps.gov.ph/GEPSNONPILOT/Tender/SplashBidNoticeAbstractUI.aspx?menuIndex=3&amp;refID=7151708&amp;Result=3","7151708")</f>
        <v>0</v>
      </c>
      <c r="B7879" t="s">
        <v>2640</v>
      </c>
      <c r="C7879" t="s">
        <v>11313</v>
      </c>
      <c r="D7879" t="s">
        <v>19046</v>
      </c>
      <c r="E7879" t="s">
        <v>25953</v>
      </c>
      <c r="F7879" t="s">
        <v>32831</v>
      </c>
      <c r="G7879" t="s">
        <v>32839</v>
      </c>
      <c r="H7879" t="s">
        <v>32849</v>
      </c>
      <c r="I7879" t="s">
        <v>4177</v>
      </c>
      <c r="J7879" t="s">
        <v>37903</v>
      </c>
      <c r="K7879" t="s">
        <v>42761</v>
      </c>
      <c r="M7879" t="s">
        <v>45862</v>
      </c>
      <c r="N7879" t="s">
        <v>47424</v>
      </c>
      <c r="O7879" t="s">
        <v>47425</v>
      </c>
      <c r="P7879">
        <v>0</v>
      </c>
      <c r="Q7879">
        <v>5</v>
      </c>
      <c r="R7879" t="s">
        <v>47432</v>
      </c>
      <c r="S7879" t="s">
        <v>47597</v>
      </c>
      <c r="T7879" t="s">
        <v>49267</v>
      </c>
      <c r="U7879" t="s">
        <v>56230</v>
      </c>
      <c r="W7879" t="s">
        <v>45862</v>
      </c>
      <c r="X7879" t="s">
        <v>47434</v>
      </c>
    </row>
    <row r="7880" spans="1:24">
      <c r="A7880">
        <f>HYPERLINK("https://www.philgeps.gov.ph/GEPSNONPILOT/Tender/SplashBidNoticeAbstractUI.aspx?menuIndex=3&amp;refID=7150648&amp;Result=3","7150648")</f>
        <v>0</v>
      </c>
      <c r="B7880" t="s">
        <v>2464</v>
      </c>
      <c r="C7880" t="s">
        <v>11314</v>
      </c>
      <c r="D7880" t="s">
        <v>19023</v>
      </c>
      <c r="E7880" t="s">
        <v>25954</v>
      </c>
      <c r="F7880" t="s">
        <v>32831</v>
      </c>
      <c r="G7880" t="s">
        <v>32838</v>
      </c>
      <c r="H7880" t="s">
        <v>32848</v>
      </c>
      <c r="I7880" t="s">
        <v>32860</v>
      </c>
      <c r="J7880" t="s">
        <v>37904</v>
      </c>
      <c r="K7880" t="s">
        <v>42731</v>
      </c>
      <c r="M7880" t="s">
        <v>45662</v>
      </c>
      <c r="N7880" t="s">
        <v>47424</v>
      </c>
      <c r="O7880" t="s">
        <v>47425</v>
      </c>
      <c r="P7880">
        <v>0</v>
      </c>
      <c r="Q7880">
        <v>1</v>
      </c>
      <c r="R7880" t="s">
        <v>47432</v>
      </c>
      <c r="S7880" t="s">
        <v>47597</v>
      </c>
      <c r="T7880" t="s">
        <v>49177</v>
      </c>
      <c r="U7880" t="s">
        <v>56231</v>
      </c>
      <c r="W7880" t="s">
        <v>45662</v>
      </c>
      <c r="X7880" t="s">
        <v>47434</v>
      </c>
    </row>
    <row r="7881" spans="1:24">
      <c r="A7881">
        <f>HYPERLINK("https://www.philgeps.gov.ph/GEPSNONPILOT/Tender/SplashBidNoticeAbstractUI.aspx?menuIndex=3&amp;refID=7151676&amp;Result=3","7151676")</f>
        <v>0</v>
      </c>
      <c r="B7881" t="s">
        <v>2640</v>
      </c>
      <c r="C7881" t="s">
        <v>11315</v>
      </c>
      <c r="D7881" t="s">
        <v>19084</v>
      </c>
      <c r="E7881" t="s">
        <v>25955</v>
      </c>
      <c r="F7881" t="s">
        <v>32831</v>
      </c>
      <c r="G7881" t="s">
        <v>32839</v>
      </c>
      <c r="H7881" t="s">
        <v>32849</v>
      </c>
      <c r="I7881" t="s">
        <v>4177</v>
      </c>
      <c r="J7881" t="s">
        <v>37905</v>
      </c>
      <c r="K7881" t="s">
        <v>42761</v>
      </c>
      <c r="M7881" t="s">
        <v>45862</v>
      </c>
      <c r="N7881" t="s">
        <v>47424</v>
      </c>
      <c r="O7881" t="s">
        <v>47425</v>
      </c>
      <c r="P7881">
        <v>0</v>
      </c>
      <c r="Q7881">
        <v>7</v>
      </c>
      <c r="R7881" t="s">
        <v>47432</v>
      </c>
      <c r="S7881" t="s">
        <v>47597</v>
      </c>
      <c r="T7881" t="s">
        <v>49267</v>
      </c>
      <c r="U7881" t="s">
        <v>56232</v>
      </c>
      <c r="W7881" t="s">
        <v>45862</v>
      </c>
      <c r="X7881" t="s">
        <v>47434</v>
      </c>
    </row>
    <row r="7882" spans="1:24">
      <c r="A7882">
        <f>HYPERLINK("https://www.philgeps.gov.ph/GEPSNONPILOT/Tender/SplashBidNoticeAbstractUI.aspx?menuIndex=3&amp;refID=7150457&amp;Result=3","7150457")</f>
        <v>0</v>
      </c>
      <c r="B7882" t="s">
        <v>2215</v>
      </c>
      <c r="C7882" t="s">
        <v>11316</v>
      </c>
      <c r="D7882" t="s">
        <v>19077</v>
      </c>
      <c r="E7882" t="s">
        <v>25956</v>
      </c>
      <c r="F7882" t="s">
        <v>32831</v>
      </c>
      <c r="G7882" t="s">
        <v>32841</v>
      </c>
      <c r="H7882" t="s">
        <v>32849</v>
      </c>
      <c r="I7882" t="s">
        <v>4177</v>
      </c>
      <c r="J7882" t="s">
        <v>33118</v>
      </c>
      <c r="K7882" t="s">
        <v>42735</v>
      </c>
      <c r="M7882" t="s">
        <v>45395</v>
      </c>
      <c r="N7882" t="s">
        <v>47424</v>
      </c>
      <c r="O7882" t="s">
        <v>47425</v>
      </c>
      <c r="Q7882">
        <v>0</v>
      </c>
      <c r="R7882" t="s">
        <v>47432</v>
      </c>
      <c r="S7882" t="s">
        <v>47601</v>
      </c>
      <c r="T7882" t="s">
        <v>49370</v>
      </c>
      <c r="U7882" t="s">
        <v>56189</v>
      </c>
      <c r="W7882" t="s">
        <v>45395</v>
      </c>
      <c r="X7882" t="s">
        <v>47434</v>
      </c>
    </row>
    <row r="7883" spans="1:24">
      <c r="A7883">
        <f>HYPERLINK("https://www.philgeps.gov.ph/GEPSNONPILOT/Tender/SplashBidNoticeAbstractUI.aspx?menuIndex=3&amp;refID=7150789&amp;Result=3","7150789")</f>
        <v>0</v>
      </c>
      <c r="B7883" t="s">
        <v>2638</v>
      </c>
      <c r="C7883" t="s">
        <v>11317</v>
      </c>
      <c r="D7883" t="s">
        <v>19023</v>
      </c>
      <c r="E7883" t="s">
        <v>25957</v>
      </c>
      <c r="F7883" t="s">
        <v>32831</v>
      </c>
      <c r="G7883" t="s">
        <v>32838</v>
      </c>
      <c r="H7883" t="s">
        <v>32848</v>
      </c>
      <c r="I7883" t="s">
        <v>32887</v>
      </c>
      <c r="J7883" t="s">
        <v>33366</v>
      </c>
      <c r="K7883" t="s">
        <v>42727</v>
      </c>
      <c r="M7883" t="s">
        <v>45860</v>
      </c>
      <c r="N7883" t="s">
        <v>47424</v>
      </c>
      <c r="O7883" t="s">
        <v>47425</v>
      </c>
      <c r="P7883">
        <v>0</v>
      </c>
      <c r="Q7883">
        <v>0</v>
      </c>
      <c r="R7883" t="s">
        <v>47432</v>
      </c>
      <c r="S7883" t="s">
        <v>47597</v>
      </c>
      <c r="T7883" t="s">
        <v>49162</v>
      </c>
      <c r="U7883" t="s">
        <v>56225</v>
      </c>
      <c r="V7883" t="s">
        <v>63498</v>
      </c>
      <c r="W7883" t="s">
        <v>45860</v>
      </c>
      <c r="X7883" t="s">
        <v>47434</v>
      </c>
    </row>
    <row r="7884" spans="1:24">
      <c r="A7884">
        <f>HYPERLINK("https://www.philgeps.gov.ph/GEPSNONPILOT/Tender/SplashBidNoticeAbstractUI.aspx?menuIndex=3&amp;refID=7151718&amp;Result=3","7151718")</f>
        <v>0</v>
      </c>
      <c r="B7884" t="s">
        <v>2641</v>
      </c>
      <c r="C7884" t="s">
        <v>11318</v>
      </c>
      <c r="D7884" t="s">
        <v>19031</v>
      </c>
      <c r="E7884" t="s">
        <v>20432</v>
      </c>
      <c r="F7884" t="s">
        <v>32831</v>
      </c>
      <c r="G7884" t="s">
        <v>32839</v>
      </c>
      <c r="H7884" t="s">
        <v>32848</v>
      </c>
      <c r="I7884" t="s">
        <v>32925</v>
      </c>
      <c r="J7884" t="s">
        <v>36784</v>
      </c>
      <c r="K7884" t="s">
        <v>42727</v>
      </c>
      <c r="M7884" t="s">
        <v>45863</v>
      </c>
      <c r="N7884" t="s">
        <v>47424</v>
      </c>
      <c r="O7884" t="s">
        <v>47425</v>
      </c>
      <c r="P7884">
        <v>0</v>
      </c>
      <c r="Q7884">
        <v>1</v>
      </c>
      <c r="R7884" t="s">
        <v>47432</v>
      </c>
      <c r="S7884" t="s">
        <v>47597</v>
      </c>
      <c r="T7884" t="s">
        <v>49211</v>
      </c>
      <c r="U7884" t="s">
        <v>56233</v>
      </c>
      <c r="W7884" t="s">
        <v>45863</v>
      </c>
      <c r="X7884" t="s">
        <v>47434</v>
      </c>
    </row>
    <row r="7885" spans="1:24">
      <c r="A7885">
        <f>HYPERLINK("https://www.philgeps.gov.ph/GEPSNONPILOT/Tender/SplashBidNoticeAbstractUI.aspx?menuIndex=3&amp;refID=7151523&amp;Result=3","7151523")</f>
        <v>0</v>
      </c>
      <c r="B7885" t="s">
        <v>618</v>
      </c>
      <c r="C7885" t="s">
        <v>11319</v>
      </c>
      <c r="D7885" t="s">
        <v>19084</v>
      </c>
      <c r="E7885" t="s">
        <v>25958</v>
      </c>
      <c r="F7885" t="s">
        <v>32831</v>
      </c>
      <c r="G7885" t="s">
        <v>32839</v>
      </c>
      <c r="H7885" t="s">
        <v>32848</v>
      </c>
      <c r="I7885" t="s">
        <v>4776</v>
      </c>
      <c r="J7885" t="s">
        <v>37906</v>
      </c>
      <c r="K7885" t="s">
        <v>42730</v>
      </c>
      <c r="M7885" t="s">
        <v>43634</v>
      </c>
      <c r="N7885" t="s">
        <v>47424</v>
      </c>
      <c r="O7885" t="s">
        <v>47425</v>
      </c>
      <c r="P7885">
        <v>0</v>
      </c>
      <c r="Q7885">
        <v>0</v>
      </c>
      <c r="R7885" t="s">
        <v>47432</v>
      </c>
      <c r="S7885" t="s">
        <v>47597</v>
      </c>
      <c r="T7885" t="s">
        <v>49056</v>
      </c>
      <c r="U7885" t="s">
        <v>56234</v>
      </c>
      <c r="V7885" t="s">
        <v>63501</v>
      </c>
      <c r="W7885" t="s">
        <v>43634</v>
      </c>
      <c r="X7885" t="s">
        <v>47434</v>
      </c>
    </row>
    <row r="7886" spans="1:24">
      <c r="A7886">
        <f>HYPERLINK("https://www.philgeps.gov.ph/GEPSNONPILOT/Tender/SplashBidNoticeAbstractUI.aspx?menuIndex=3&amp;refID=7151443&amp;Result=3","7151443")</f>
        <v>0</v>
      </c>
      <c r="B7886" t="s">
        <v>2642</v>
      </c>
      <c r="C7886" t="s">
        <v>11320</v>
      </c>
      <c r="D7886" t="s">
        <v>19020</v>
      </c>
      <c r="E7886" t="s">
        <v>25959</v>
      </c>
      <c r="F7886" t="s">
        <v>32834</v>
      </c>
      <c r="G7886" t="s">
        <v>32842</v>
      </c>
      <c r="H7886" t="s">
        <v>32848</v>
      </c>
      <c r="I7886" t="s">
        <v>32860</v>
      </c>
      <c r="J7886" t="s">
        <v>37907</v>
      </c>
      <c r="K7886" t="s">
        <v>42727</v>
      </c>
      <c r="M7886" t="s">
        <v>45864</v>
      </c>
      <c r="N7886" t="s">
        <v>47424</v>
      </c>
      <c r="O7886" t="s">
        <v>47425</v>
      </c>
      <c r="P7886">
        <v>0</v>
      </c>
      <c r="Q7886">
        <v>3</v>
      </c>
      <c r="R7886" t="s">
        <v>47432</v>
      </c>
      <c r="S7886" t="s">
        <v>47597</v>
      </c>
      <c r="T7886" t="s">
        <v>49177</v>
      </c>
      <c r="U7886" t="s">
        <v>56235</v>
      </c>
      <c r="V7886" t="s">
        <v>63502</v>
      </c>
      <c r="W7886" t="s">
        <v>45864</v>
      </c>
      <c r="X7886" t="s">
        <v>47434</v>
      </c>
    </row>
    <row r="7887" spans="1:24">
      <c r="A7887">
        <f>HYPERLINK("https://www.philgeps.gov.ph/GEPSNONPILOT/Tender/SplashBidNoticeAbstractUI.aspx?menuIndex=3&amp;refID=7151294&amp;Result=3","7151294")</f>
        <v>0</v>
      </c>
      <c r="B7887" t="s">
        <v>1688</v>
      </c>
      <c r="C7887" t="s">
        <v>11321</v>
      </c>
      <c r="D7887" t="s">
        <v>19078</v>
      </c>
      <c r="E7887" t="s">
        <v>25960</v>
      </c>
      <c r="F7887" t="s">
        <v>32831</v>
      </c>
      <c r="G7887" t="s">
        <v>32839</v>
      </c>
      <c r="H7887" t="s">
        <v>32848</v>
      </c>
      <c r="I7887" t="s">
        <v>4438</v>
      </c>
      <c r="J7887" t="s">
        <v>37908</v>
      </c>
      <c r="K7887" t="s">
        <v>42730</v>
      </c>
      <c r="L7887" t="s">
        <v>1688</v>
      </c>
      <c r="M7887" t="s">
        <v>44808</v>
      </c>
      <c r="N7887" t="s">
        <v>47424</v>
      </c>
      <c r="O7887" t="s">
        <v>47425</v>
      </c>
      <c r="P7887">
        <v>0</v>
      </c>
      <c r="Q7887">
        <v>0</v>
      </c>
      <c r="R7887" t="s">
        <v>47432</v>
      </c>
      <c r="S7887" t="s">
        <v>47597</v>
      </c>
      <c r="T7887" t="s">
        <v>49112</v>
      </c>
      <c r="U7887" t="s">
        <v>56236</v>
      </c>
      <c r="V7887" t="s">
        <v>63106</v>
      </c>
      <c r="W7887" t="s">
        <v>44808</v>
      </c>
      <c r="X7887" t="s">
        <v>47434</v>
      </c>
    </row>
    <row r="7888" spans="1:24">
      <c r="A7888">
        <f>HYPERLINK("https://www.philgeps.gov.ph/GEPSNONPILOT/Tender/SplashBidNoticeAbstractUI.aspx?menuIndex=3&amp;refID=7151414&amp;Result=3","7151414")</f>
        <v>0</v>
      </c>
      <c r="B7888" t="s">
        <v>618</v>
      </c>
      <c r="C7888" t="s">
        <v>11322</v>
      </c>
      <c r="D7888" t="s">
        <v>19084</v>
      </c>
      <c r="E7888" t="s">
        <v>25961</v>
      </c>
      <c r="F7888" t="s">
        <v>32831</v>
      </c>
      <c r="G7888" t="s">
        <v>32839</v>
      </c>
      <c r="H7888" t="s">
        <v>32848</v>
      </c>
      <c r="I7888" t="s">
        <v>7416</v>
      </c>
      <c r="J7888" t="s">
        <v>37909</v>
      </c>
      <c r="K7888" t="s">
        <v>42730</v>
      </c>
      <c r="M7888" t="s">
        <v>43634</v>
      </c>
      <c r="N7888" t="s">
        <v>47424</v>
      </c>
      <c r="O7888" t="s">
        <v>47425</v>
      </c>
      <c r="P7888">
        <v>0</v>
      </c>
      <c r="Q7888">
        <v>1</v>
      </c>
      <c r="R7888" t="s">
        <v>47432</v>
      </c>
      <c r="S7888" t="s">
        <v>47597</v>
      </c>
      <c r="T7888" t="s">
        <v>49236</v>
      </c>
      <c r="U7888" t="s">
        <v>56237</v>
      </c>
      <c r="V7888" t="s">
        <v>63503</v>
      </c>
      <c r="W7888" t="s">
        <v>43634</v>
      </c>
      <c r="X7888" t="s">
        <v>47434</v>
      </c>
    </row>
    <row r="7889" spans="1:24">
      <c r="A7889">
        <f>HYPERLINK("https://www.philgeps.gov.ph/GEPSNONPILOT/Tender/SplashBidNoticeAbstractUI.aspx?menuIndex=3&amp;refID=7151268&amp;Result=3","7151268")</f>
        <v>0</v>
      </c>
      <c r="B7889" t="s">
        <v>1688</v>
      </c>
      <c r="C7889" t="s">
        <v>11323</v>
      </c>
      <c r="D7889" t="s">
        <v>19078</v>
      </c>
      <c r="E7889" t="s">
        <v>25962</v>
      </c>
      <c r="F7889" t="s">
        <v>32831</v>
      </c>
      <c r="G7889" t="s">
        <v>32839</v>
      </c>
      <c r="H7889" t="s">
        <v>32849</v>
      </c>
      <c r="I7889" t="s">
        <v>4177</v>
      </c>
      <c r="J7889" t="s">
        <v>37910</v>
      </c>
      <c r="K7889" t="s">
        <v>42853</v>
      </c>
      <c r="L7889" t="s">
        <v>1688</v>
      </c>
      <c r="M7889" t="s">
        <v>44808</v>
      </c>
      <c r="N7889" t="s">
        <v>47424</v>
      </c>
      <c r="O7889" t="s">
        <v>47425</v>
      </c>
      <c r="P7889">
        <v>0</v>
      </c>
      <c r="Q7889">
        <v>1</v>
      </c>
      <c r="R7889" t="s">
        <v>47432</v>
      </c>
      <c r="S7889" t="s">
        <v>47597</v>
      </c>
      <c r="T7889" t="s">
        <v>49112</v>
      </c>
      <c r="U7889" t="s">
        <v>56238</v>
      </c>
      <c r="V7889" t="s">
        <v>63089</v>
      </c>
      <c r="W7889" t="s">
        <v>44808</v>
      </c>
      <c r="X7889" t="s">
        <v>47434</v>
      </c>
    </row>
    <row r="7890" spans="1:24">
      <c r="A7890">
        <f>HYPERLINK("https://www.philgeps.gov.ph/GEPSNONPILOT/Tender/SplashBidNoticeAbstractUI.aspx?menuIndex=3&amp;refID=7151199&amp;Result=3","7151199")</f>
        <v>0</v>
      </c>
      <c r="B7890" t="s">
        <v>1206</v>
      </c>
      <c r="C7890" t="s">
        <v>11324</v>
      </c>
      <c r="D7890" t="s">
        <v>19082</v>
      </c>
      <c r="E7890" t="s">
        <v>25963</v>
      </c>
      <c r="F7890" t="s">
        <v>32831</v>
      </c>
      <c r="G7890" t="s">
        <v>32839</v>
      </c>
      <c r="H7890" t="s">
        <v>32849</v>
      </c>
      <c r="I7890" t="s">
        <v>4177</v>
      </c>
      <c r="J7890" t="s">
        <v>37911</v>
      </c>
      <c r="K7890" t="s">
        <v>42770</v>
      </c>
      <c r="M7890" t="s">
        <v>44273</v>
      </c>
      <c r="N7890" t="s">
        <v>47424</v>
      </c>
      <c r="O7890" t="s">
        <v>47425</v>
      </c>
      <c r="P7890">
        <v>0</v>
      </c>
      <c r="Q7890">
        <v>1</v>
      </c>
      <c r="R7890" t="s">
        <v>47432</v>
      </c>
      <c r="S7890" t="s">
        <v>47597</v>
      </c>
      <c r="T7890" t="s">
        <v>49490</v>
      </c>
      <c r="U7890" t="s">
        <v>56239</v>
      </c>
      <c r="W7890" t="s">
        <v>44273</v>
      </c>
      <c r="X7890" t="s">
        <v>47434</v>
      </c>
    </row>
    <row r="7891" spans="1:24">
      <c r="A7891">
        <f>HYPERLINK("https://www.philgeps.gov.ph/GEPSNONPILOT/Tender/SplashBidNoticeAbstractUI.aspx?menuIndex=3&amp;refID=7151690&amp;Result=3","7151690")</f>
        <v>0</v>
      </c>
      <c r="B7891" t="s">
        <v>2643</v>
      </c>
      <c r="C7891" t="s">
        <v>11325</v>
      </c>
      <c r="D7891" t="s">
        <v>19057</v>
      </c>
      <c r="E7891" t="s">
        <v>25964</v>
      </c>
      <c r="F7891" t="s">
        <v>32831</v>
      </c>
      <c r="G7891" t="s">
        <v>32839</v>
      </c>
      <c r="H7891" t="s">
        <v>32849</v>
      </c>
      <c r="I7891" t="s">
        <v>4177</v>
      </c>
      <c r="J7891" t="s">
        <v>33040</v>
      </c>
      <c r="K7891" t="s">
        <v>42726</v>
      </c>
      <c r="M7891" t="s">
        <v>45865</v>
      </c>
      <c r="N7891" t="s">
        <v>47424</v>
      </c>
      <c r="O7891" t="s">
        <v>47425</v>
      </c>
      <c r="P7891">
        <v>0</v>
      </c>
      <c r="Q7891">
        <v>2</v>
      </c>
      <c r="R7891" t="s">
        <v>47432</v>
      </c>
      <c r="S7891" t="s">
        <v>47597</v>
      </c>
      <c r="T7891" t="s">
        <v>49162</v>
      </c>
      <c r="U7891" t="s">
        <v>56240</v>
      </c>
      <c r="W7891" t="s">
        <v>45865</v>
      </c>
      <c r="X7891" t="s">
        <v>47434</v>
      </c>
    </row>
    <row r="7892" spans="1:24">
      <c r="A7892">
        <f>HYPERLINK("https://www.philgeps.gov.ph/GEPSNONPILOT/Tender/SplashBidNoticeAbstractUI.aspx?menuIndex=3&amp;refID=7151188&amp;Result=3","7151188")</f>
        <v>0</v>
      </c>
      <c r="B7892" t="s">
        <v>2635</v>
      </c>
      <c r="C7892" t="s">
        <v>11326</v>
      </c>
      <c r="D7892" t="s">
        <v>19037</v>
      </c>
      <c r="E7892" t="s">
        <v>20797</v>
      </c>
      <c r="F7892" t="s">
        <v>32831</v>
      </c>
      <c r="G7892" t="s">
        <v>32839</v>
      </c>
      <c r="H7892" t="s">
        <v>32849</v>
      </c>
      <c r="I7892" t="s">
        <v>4177</v>
      </c>
      <c r="J7892" t="s">
        <v>37912</v>
      </c>
      <c r="K7892" t="s">
        <v>42746</v>
      </c>
      <c r="L7892" t="s">
        <v>2635</v>
      </c>
      <c r="M7892" t="s">
        <v>45857</v>
      </c>
      <c r="N7892" t="s">
        <v>47424</v>
      </c>
      <c r="O7892" t="s">
        <v>47425</v>
      </c>
      <c r="P7892">
        <v>0</v>
      </c>
      <c r="Q7892">
        <v>4</v>
      </c>
      <c r="R7892" t="s">
        <v>47432</v>
      </c>
      <c r="S7892" t="s">
        <v>47597</v>
      </c>
      <c r="T7892" t="s">
        <v>49104</v>
      </c>
      <c r="U7892" t="s">
        <v>56241</v>
      </c>
      <c r="W7892" t="s">
        <v>45857</v>
      </c>
      <c r="X7892" t="s">
        <v>47434</v>
      </c>
    </row>
    <row r="7893" spans="1:24">
      <c r="A7893">
        <f>HYPERLINK("https://www.philgeps.gov.ph/GEPSNONPILOT/Tender/SplashBidNoticeAbstractUI.aspx?menuIndex=3&amp;refID=7151547&amp;Result=3","7151547")</f>
        <v>0</v>
      </c>
      <c r="B7893" t="s">
        <v>565</v>
      </c>
      <c r="C7893" t="s">
        <v>11327</v>
      </c>
      <c r="D7893" t="s">
        <v>19020</v>
      </c>
      <c r="E7893" t="s">
        <v>25965</v>
      </c>
      <c r="F7893" t="s">
        <v>32831</v>
      </c>
      <c r="G7893" t="s">
        <v>32838</v>
      </c>
      <c r="H7893" t="s">
        <v>32848</v>
      </c>
      <c r="I7893" t="s">
        <v>32862</v>
      </c>
      <c r="J7893" t="s">
        <v>37913</v>
      </c>
      <c r="K7893" t="s">
        <v>42727</v>
      </c>
      <c r="M7893" t="s">
        <v>45866</v>
      </c>
      <c r="N7893" t="s">
        <v>47424</v>
      </c>
      <c r="O7893" t="s">
        <v>47425</v>
      </c>
      <c r="P7893">
        <v>0</v>
      </c>
      <c r="Q7893">
        <v>1</v>
      </c>
      <c r="R7893" t="s">
        <v>47432</v>
      </c>
      <c r="S7893" t="s">
        <v>47597</v>
      </c>
      <c r="T7893" t="s">
        <v>49107</v>
      </c>
      <c r="U7893" t="s">
        <v>56242</v>
      </c>
      <c r="W7893" t="s">
        <v>45866</v>
      </c>
      <c r="X7893" t="s">
        <v>47434</v>
      </c>
    </row>
    <row r="7894" spans="1:24">
      <c r="A7894">
        <f>HYPERLINK("https://www.philgeps.gov.ph/GEPSNONPILOT/Tender/SplashBidNoticeAbstractUI.aspx?menuIndex=3&amp;refID=7149730&amp;Result=3","7149730")</f>
        <v>0</v>
      </c>
      <c r="B7894" t="s">
        <v>72</v>
      </c>
      <c r="C7894" t="s">
        <v>11328</v>
      </c>
      <c r="D7894" t="s">
        <v>19027</v>
      </c>
      <c r="E7894" t="s">
        <v>25966</v>
      </c>
      <c r="F7894" t="s">
        <v>32831</v>
      </c>
      <c r="G7894" t="s">
        <v>32839</v>
      </c>
      <c r="H7894" t="s">
        <v>32848</v>
      </c>
      <c r="I7894" t="s">
        <v>32918</v>
      </c>
      <c r="J7894" t="s">
        <v>37914</v>
      </c>
      <c r="K7894" t="s">
        <v>42745</v>
      </c>
      <c r="M7894" t="s">
        <v>43069</v>
      </c>
      <c r="N7894" t="s">
        <v>47424</v>
      </c>
      <c r="O7894" t="s">
        <v>47425</v>
      </c>
      <c r="P7894">
        <v>0</v>
      </c>
      <c r="Q7894">
        <v>2</v>
      </c>
      <c r="R7894" t="s">
        <v>47432</v>
      </c>
      <c r="S7894" t="s">
        <v>47597</v>
      </c>
      <c r="T7894" t="s">
        <v>49087</v>
      </c>
      <c r="U7894" t="s">
        <v>49763</v>
      </c>
      <c r="W7894" t="s">
        <v>64429</v>
      </c>
      <c r="X7894" t="s">
        <v>47434</v>
      </c>
    </row>
    <row r="7895" spans="1:24">
      <c r="A7895">
        <f>HYPERLINK("https://www.philgeps.gov.ph/GEPSNONPILOT/Tender/SplashBidNoticeAbstractUI.aspx?menuIndex=3&amp;refID=7151333&amp;Result=3","7151333")</f>
        <v>0</v>
      </c>
      <c r="B7895" t="s">
        <v>1688</v>
      </c>
      <c r="C7895" t="s">
        <v>11329</v>
      </c>
      <c r="D7895" t="s">
        <v>19078</v>
      </c>
      <c r="E7895" t="s">
        <v>25967</v>
      </c>
      <c r="F7895" t="s">
        <v>32831</v>
      </c>
      <c r="G7895" t="s">
        <v>32839</v>
      </c>
      <c r="H7895" t="s">
        <v>32848</v>
      </c>
      <c r="I7895" t="s">
        <v>4776</v>
      </c>
      <c r="J7895" t="s">
        <v>37915</v>
      </c>
      <c r="K7895" t="s">
        <v>42730</v>
      </c>
      <c r="L7895" t="s">
        <v>1688</v>
      </c>
      <c r="M7895" t="s">
        <v>44808</v>
      </c>
      <c r="N7895" t="s">
        <v>47424</v>
      </c>
      <c r="O7895" t="s">
        <v>47425</v>
      </c>
      <c r="P7895">
        <v>0</v>
      </c>
      <c r="Q7895">
        <v>6</v>
      </c>
      <c r="R7895" t="s">
        <v>47432</v>
      </c>
      <c r="S7895" t="s">
        <v>47597</v>
      </c>
      <c r="T7895" t="s">
        <v>49112</v>
      </c>
      <c r="U7895" t="s">
        <v>56243</v>
      </c>
      <c r="V7895" t="s">
        <v>63106</v>
      </c>
      <c r="W7895" t="s">
        <v>44808</v>
      </c>
      <c r="X7895" t="s">
        <v>47434</v>
      </c>
    </row>
    <row r="7896" spans="1:24">
      <c r="A7896">
        <f>HYPERLINK("https://www.philgeps.gov.ph/GEPSNONPILOT/Tender/SplashBidNoticeAbstractUI.aspx?menuIndex=3&amp;refID=7149351&amp;Result=3","7149351")</f>
        <v>0</v>
      </c>
      <c r="B7896" t="s">
        <v>2644</v>
      </c>
      <c r="C7896" t="s">
        <v>6755</v>
      </c>
      <c r="D7896" t="s">
        <v>19045</v>
      </c>
      <c r="E7896" t="s">
        <v>19931</v>
      </c>
      <c r="F7896" t="s">
        <v>32831</v>
      </c>
      <c r="G7896" t="s">
        <v>32838</v>
      </c>
      <c r="H7896" t="s">
        <v>32848</v>
      </c>
      <c r="I7896" t="s">
        <v>4776</v>
      </c>
      <c r="J7896" t="s">
        <v>33007</v>
      </c>
      <c r="K7896" t="s">
        <v>42748</v>
      </c>
      <c r="M7896" t="s">
        <v>45867</v>
      </c>
      <c r="N7896" t="s">
        <v>47424</v>
      </c>
      <c r="O7896" t="s">
        <v>47425</v>
      </c>
      <c r="P7896">
        <v>0</v>
      </c>
      <c r="Q7896">
        <v>5</v>
      </c>
      <c r="R7896" t="s">
        <v>47432</v>
      </c>
      <c r="S7896" t="s">
        <v>47597</v>
      </c>
      <c r="T7896" t="s">
        <v>49108</v>
      </c>
      <c r="U7896" t="s">
        <v>56244</v>
      </c>
      <c r="W7896" t="s">
        <v>45867</v>
      </c>
      <c r="X7896" t="s">
        <v>47434</v>
      </c>
    </row>
    <row r="7897" spans="1:24">
      <c r="A7897">
        <f>HYPERLINK("https://www.philgeps.gov.ph/GEPSNONPILOT/Tender/SplashBidNoticeAbstractUI.aspx?menuIndex=3&amp;refID=7151249&amp;Result=3","7151249")</f>
        <v>0</v>
      </c>
      <c r="B7897" t="s">
        <v>1688</v>
      </c>
      <c r="C7897" t="s">
        <v>11330</v>
      </c>
      <c r="D7897" t="s">
        <v>19078</v>
      </c>
      <c r="E7897" t="s">
        <v>25968</v>
      </c>
      <c r="F7897" t="s">
        <v>32831</v>
      </c>
      <c r="G7897" t="s">
        <v>32839</v>
      </c>
      <c r="H7897" t="s">
        <v>32849</v>
      </c>
      <c r="I7897" t="s">
        <v>4177</v>
      </c>
      <c r="J7897" t="s">
        <v>37916</v>
      </c>
      <c r="K7897" t="s">
        <v>42781</v>
      </c>
      <c r="L7897" t="s">
        <v>1688</v>
      </c>
      <c r="M7897" t="s">
        <v>44808</v>
      </c>
      <c r="N7897" t="s">
        <v>47424</v>
      </c>
      <c r="O7897" t="s">
        <v>47425</v>
      </c>
      <c r="P7897">
        <v>0</v>
      </c>
      <c r="Q7897">
        <v>1</v>
      </c>
      <c r="R7897" t="s">
        <v>47432</v>
      </c>
      <c r="S7897" t="s">
        <v>47597</v>
      </c>
      <c r="T7897" t="s">
        <v>49112</v>
      </c>
      <c r="U7897" t="s">
        <v>56245</v>
      </c>
      <c r="V7897" t="s">
        <v>63089</v>
      </c>
      <c r="W7897" t="s">
        <v>44808</v>
      </c>
      <c r="X7897" t="s">
        <v>47434</v>
      </c>
    </row>
    <row r="7898" spans="1:24">
      <c r="A7898">
        <f>HYPERLINK("https://www.philgeps.gov.ph/GEPSNONPILOT/Tender/SplashBidNoticeAbstractUI.aspx?menuIndex=3&amp;refID=7149328&amp;Result=3","7149328")</f>
        <v>0</v>
      </c>
      <c r="B7898" t="s">
        <v>34</v>
      </c>
      <c r="C7898" t="s">
        <v>11331</v>
      </c>
      <c r="E7898" t="s">
        <v>25969</v>
      </c>
      <c r="F7898" t="s">
        <v>32831</v>
      </c>
      <c r="G7898" t="s">
        <v>32840</v>
      </c>
      <c r="H7898" t="s">
        <v>32848</v>
      </c>
      <c r="I7898" t="s">
        <v>32860</v>
      </c>
      <c r="J7898" t="s">
        <v>37917</v>
      </c>
      <c r="K7898" t="s">
        <v>42726</v>
      </c>
      <c r="M7898" t="s">
        <v>43031</v>
      </c>
      <c r="N7898" t="s">
        <v>47424</v>
      </c>
      <c r="O7898" t="s">
        <v>47425</v>
      </c>
      <c r="P7898">
        <v>0</v>
      </c>
      <c r="Q7898">
        <v>13</v>
      </c>
      <c r="R7898" t="s">
        <v>47432</v>
      </c>
      <c r="S7898" t="s">
        <v>47597</v>
      </c>
      <c r="T7898" t="s">
        <v>49162</v>
      </c>
      <c r="U7898" t="s">
        <v>49728</v>
      </c>
      <c r="W7898" t="s">
        <v>43031</v>
      </c>
      <c r="X7898" t="s">
        <v>47434</v>
      </c>
    </row>
    <row r="7899" spans="1:24">
      <c r="A7899">
        <f>HYPERLINK("https://www.philgeps.gov.ph/GEPSNONPILOT/Tender/SplashBidNoticeAbstractUI.aspx?menuIndex=3&amp;refID=7149542&amp;Result=3","7149542")</f>
        <v>0</v>
      </c>
      <c r="B7899" t="s">
        <v>2629</v>
      </c>
      <c r="C7899" t="s">
        <v>11332</v>
      </c>
      <c r="D7899" t="s">
        <v>19078</v>
      </c>
      <c r="E7899" t="s">
        <v>25970</v>
      </c>
      <c r="F7899" t="s">
        <v>32831</v>
      </c>
      <c r="G7899" t="s">
        <v>32839</v>
      </c>
      <c r="H7899" t="s">
        <v>32849</v>
      </c>
      <c r="I7899" t="s">
        <v>4177</v>
      </c>
      <c r="J7899" t="s">
        <v>37918</v>
      </c>
      <c r="K7899" t="s">
        <v>42908</v>
      </c>
      <c r="M7899" t="s">
        <v>45849</v>
      </c>
      <c r="N7899" t="s">
        <v>47424</v>
      </c>
      <c r="O7899" t="s">
        <v>47425</v>
      </c>
      <c r="P7899">
        <v>0</v>
      </c>
      <c r="Q7899">
        <v>1</v>
      </c>
      <c r="R7899" t="s">
        <v>47432</v>
      </c>
      <c r="S7899" t="s">
        <v>47597</v>
      </c>
      <c r="T7899" t="s">
        <v>49221</v>
      </c>
      <c r="U7899" t="s">
        <v>56246</v>
      </c>
      <c r="W7899" t="s">
        <v>45849</v>
      </c>
      <c r="X7899" t="s">
        <v>47434</v>
      </c>
    </row>
    <row r="7900" spans="1:24">
      <c r="A7900">
        <f>HYPERLINK("https://www.philgeps.gov.ph/GEPSNONPILOT/Tender/SplashBidNoticeAbstractUI.aspx?menuIndex=3&amp;refID=7149244&amp;Result=3","7149244")</f>
        <v>0</v>
      </c>
      <c r="B7900" t="s">
        <v>2155</v>
      </c>
      <c r="C7900" t="s">
        <v>11333</v>
      </c>
      <c r="D7900" t="s">
        <v>19021</v>
      </c>
      <c r="E7900" t="s">
        <v>25971</v>
      </c>
      <c r="F7900" t="s">
        <v>32831</v>
      </c>
      <c r="G7900" t="s">
        <v>32839</v>
      </c>
      <c r="H7900" t="s">
        <v>32849</v>
      </c>
      <c r="I7900" t="s">
        <v>4177</v>
      </c>
      <c r="J7900" t="s">
        <v>33108</v>
      </c>
      <c r="K7900" t="s">
        <v>42732</v>
      </c>
      <c r="M7900" t="s">
        <v>45336</v>
      </c>
      <c r="N7900" t="s">
        <v>47424</v>
      </c>
      <c r="O7900" t="s">
        <v>47425</v>
      </c>
      <c r="P7900">
        <v>0</v>
      </c>
      <c r="Q7900">
        <v>14</v>
      </c>
      <c r="R7900" t="s">
        <v>47432</v>
      </c>
      <c r="S7900" t="s">
        <v>47597</v>
      </c>
      <c r="T7900" t="s">
        <v>49252</v>
      </c>
      <c r="U7900" t="s">
        <v>54678</v>
      </c>
      <c r="W7900" t="s">
        <v>45336</v>
      </c>
      <c r="X7900" t="s">
        <v>47434</v>
      </c>
    </row>
    <row r="7901" spans="1:24">
      <c r="A7901">
        <f>HYPERLINK("https://www.philgeps.gov.ph/GEPSNONPILOT/Tender/SplashBidNoticeAbstractUI.aspx?menuIndex=3&amp;refID=7152260&amp;Result=3","7152260")</f>
        <v>0</v>
      </c>
      <c r="B7901" t="s">
        <v>2645</v>
      </c>
      <c r="C7901" t="s">
        <v>7774</v>
      </c>
      <c r="D7901" t="s">
        <v>19090</v>
      </c>
      <c r="E7901" t="s">
        <v>25972</v>
      </c>
      <c r="F7901" t="s">
        <v>32831</v>
      </c>
      <c r="G7901" t="s">
        <v>32839</v>
      </c>
      <c r="H7901" t="s">
        <v>32848</v>
      </c>
      <c r="I7901" t="s">
        <v>7416</v>
      </c>
      <c r="J7901" t="s">
        <v>32983</v>
      </c>
      <c r="K7901" t="s">
        <v>42727</v>
      </c>
      <c r="L7901" t="s">
        <v>2645</v>
      </c>
      <c r="M7901" t="s">
        <v>45868</v>
      </c>
      <c r="N7901" t="s">
        <v>47424</v>
      </c>
      <c r="O7901" t="s">
        <v>47425</v>
      </c>
      <c r="P7901">
        <v>0</v>
      </c>
      <c r="Q7901">
        <v>0</v>
      </c>
      <c r="R7901" t="s">
        <v>47432</v>
      </c>
      <c r="S7901" t="s">
        <v>47597</v>
      </c>
      <c r="T7901" t="s">
        <v>49108</v>
      </c>
      <c r="U7901" t="s">
        <v>51102</v>
      </c>
      <c r="W7901" t="s">
        <v>45868</v>
      </c>
      <c r="X7901" t="s">
        <v>47433</v>
      </c>
    </row>
    <row r="7902" spans="1:24">
      <c r="A7902">
        <f>HYPERLINK("https://www.philgeps.gov.ph/GEPSNONPILOT/Tender/SplashBidNoticeAbstractUI.aspx?menuIndex=3&amp;refID=7152252&amp;Result=3","7152252")</f>
        <v>0</v>
      </c>
      <c r="B7902" t="s">
        <v>2646</v>
      </c>
      <c r="C7902" t="s">
        <v>11334</v>
      </c>
      <c r="D7902" t="s">
        <v>19045</v>
      </c>
      <c r="E7902" t="s">
        <v>25973</v>
      </c>
      <c r="F7902" t="s">
        <v>32831</v>
      </c>
      <c r="G7902" t="s">
        <v>32839</v>
      </c>
      <c r="H7902" t="s">
        <v>32848</v>
      </c>
      <c r="I7902" t="s">
        <v>7416</v>
      </c>
      <c r="J7902" t="s">
        <v>37919</v>
      </c>
      <c r="K7902" t="s">
        <v>42727</v>
      </c>
      <c r="M7902" t="s">
        <v>45869</v>
      </c>
      <c r="N7902" t="s">
        <v>47424</v>
      </c>
      <c r="O7902" t="s">
        <v>47425</v>
      </c>
      <c r="P7902">
        <v>0</v>
      </c>
      <c r="Q7902">
        <v>0</v>
      </c>
      <c r="R7902" t="s">
        <v>47432</v>
      </c>
      <c r="S7902" t="s">
        <v>47597</v>
      </c>
      <c r="T7902" t="s">
        <v>49162</v>
      </c>
      <c r="U7902" t="s">
        <v>56247</v>
      </c>
      <c r="W7902" t="s">
        <v>45869</v>
      </c>
      <c r="X7902" t="s">
        <v>47433</v>
      </c>
    </row>
    <row r="7903" spans="1:24">
      <c r="A7903">
        <f>HYPERLINK("https://www.philgeps.gov.ph/GEPSNONPILOT/Tender/SplashBidNoticeAbstractUI.aspx?menuIndex=3&amp;refID=7152240&amp;Result=3","7152240")</f>
        <v>0</v>
      </c>
      <c r="B7903" t="s">
        <v>2647</v>
      </c>
      <c r="C7903" t="s">
        <v>11335</v>
      </c>
      <c r="D7903" t="s">
        <v>19023</v>
      </c>
      <c r="E7903" t="s">
        <v>25974</v>
      </c>
      <c r="F7903" t="s">
        <v>32831</v>
      </c>
      <c r="G7903" t="s">
        <v>32839</v>
      </c>
      <c r="H7903" t="s">
        <v>32849</v>
      </c>
      <c r="I7903" t="s">
        <v>7416</v>
      </c>
      <c r="J7903" t="s">
        <v>37920</v>
      </c>
      <c r="K7903" t="s">
        <v>42726</v>
      </c>
      <c r="M7903" t="s">
        <v>45870</v>
      </c>
      <c r="N7903" t="s">
        <v>47424</v>
      </c>
      <c r="O7903" t="s">
        <v>47425</v>
      </c>
      <c r="P7903">
        <v>0</v>
      </c>
      <c r="Q7903">
        <v>0</v>
      </c>
      <c r="R7903" t="s">
        <v>47432</v>
      </c>
      <c r="S7903" t="s">
        <v>47597</v>
      </c>
      <c r="T7903" t="s">
        <v>49114</v>
      </c>
      <c r="U7903" t="s">
        <v>56248</v>
      </c>
      <c r="W7903" t="s">
        <v>45870</v>
      </c>
      <c r="X7903" t="s">
        <v>47433</v>
      </c>
    </row>
    <row r="7904" spans="1:24">
      <c r="A7904">
        <f>HYPERLINK("https://www.philgeps.gov.ph/GEPSNONPILOT/Tender/SplashBidNoticeAbstractUI.aspx?menuIndex=3&amp;refID=7152236&amp;Result=3","7152236")</f>
        <v>0</v>
      </c>
      <c r="B7904" t="s">
        <v>633</v>
      </c>
      <c r="C7904" t="s">
        <v>11336</v>
      </c>
      <c r="D7904" t="s">
        <v>19062</v>
      </c>
      <c r="E7904" t="s">
        <v>25975</v>
      </c>
      <c r="F7904" t="s">
        <v>32831</v>
      </c>
      <c r="G7904" t="s">
        <v>32838</v>
      </c>
      <c r="H7904" t="s">
        <v>32848</v>
      </c>
      <c r="I7904" t="s">
        <v>4303</v>
      </c>
      <c r="J7904" t="s">
        <v>37921</v>
      </c>
      <c r="K7904" t="s">
        <v>42750</v>
      </c>
      <c r="M7904" t="s">
        <v>43650</v>
      </c>
      <c r="N7904" t="s">
        <v>47424</v>
      </c>
      <c r="O7904" t="s">
        <v>47425</v>
      </c>
      <c r="P7904">
        <v>0</v>
      </c>
      <c r="Q7904">
        <v>2</v>
      </c>
      <c r="R7904" t="s">
        <v>47432</v>
      </c>
      <c r="S7904" t="s">
        <v>47597</v>
      </c>
      <c r="T7904" t="s">
        <v>49239</v>
      </c>
      <c r="U7904" t="s">
        <v>56249</v>
      </c>
      <c r="W7904" t="s">
        <v>43650</v>
      </c>
      <c r="X7904" t="s">
        <v>47433</v>
      </c>
    </row>
    <row r="7905" spans="1:24">
      <c r="A7905">
        <f>HYPERLINK("https://www.philgeps.gov.ph/GEPSNONPILOT/Tender/SplashBidNoticeAbstractUI.aspx?menuIndex=3&amp;refID=7151214&amp;Result=3","7151214")</f>
        <v>0</v>
      </c>
      <c r="B7905" t="s">
        <v>1688</v>
      </c>
      <c r="C7905" t="s">
        <v>11337</v>
      </c>
      <c r="D7905" t="s">
        <v>19078</v>
      </c>
      <c r="E7905" t="s">
        <v>25976</v>
      </c>
      <c r="F7905" t="s">
        <v>32831</v>
      </c>
      <c r="G7905" t="s">
        <v>32839</v>
      </c>
      <c r="H7905" t="s">
        <v>32849</v>
      </c>
      <c r="I7905" t="s">
        <v>4177</v>
      </c>
      <c r="J7905" t="s">
        <v>37922</v>
      </c>
      <c r="K7905" t="s">
        <v>42909</v>
      </c>
      <c r="L7905" t="s">
        <v>1688</v>
      </c>
      <c r="M7905" t="s">
        <v>44808</v>
      </c>
      <c r="N7905" t="s">
        <v>47424</v>
      </c>
      <c r="O7905" t="s">
        <v>47425</v>
      </c>
      <c r="P7905">
        <v>0</v>
      </c>
      <c r="Q7905">
        <v>1</v>
      </c>
      <c r="R7905" t="s">
        <v>47432</v>
      </c>
      <c r="S7905" t="s">
        <v>47597</v>
      </c>
      <c r="T7905" t="s">
        <v>49112</v>
      </c>
      <c r="U7905" t="s">
        <v>56250</v>
      </c>
      <c r="V7905" t="s">
        <v>63089</v>
      </c>
      <c r="W7905" t="s">
        <v>44808</v>
      </c>
      <c r="X7905" t="s">
        <v>47434</v>
      </c>
    </row>
    <row r="7906" spans="1:24">
      <c r="A7906">
        <f>HYPERLINK("https://www.philgeps.gov.ph/GEPSNONPILOT/Tender/SplashBidNoticeAbstractUI.aspx?menuIndex=3&amp;refID=7152241&amp;Result=3","7152241")</f>
        <v>0</v>
      </c>
      <c r="B7906" t="s">
        <v>2648</v>
      </c>
      <c r="C7906" t="s">
        <v>11338</v>
      </c>
      <c r="D7906" t="s">
        <v>19019</v>
      </c>
      <c r="E7906" t="s">
        <v>25977</v>
      </c>
      <c r="F7906" t="s">
        <v>32831</v>
      </c>
      <c r="G7906" t="s">
        <v>32839</v>
      </c>
      <c r="H7906" t="s">
        <v>32849</v>
      </c>
      <c r="I7906" t="s">
        <v>4177</v>
      </c>
      <c r="J7906" t="s">
        <v>37923</v>
      </c>
      <c r="K7906" t="s">
        <v>42730</v>
      </c>
      <c r="M7906" t="s">
        <v>45871</v>
      </c>
      <c r="N7906" t="s">
        <v>47424</v>
      </c>
      <c r="O7906" t="s">
        <v>47425</v>
      </c>
      <c r="P7906">
        <v>0</v>
      </c>
      <c r="Q7906">
        <v>1</v>
      </c>
      <c r="R7906" t="s">
        <v>47432</v>
      </c>
      <c r="S7906" t="s">
        <v>47597</v>
      </c>
      <c r="T7906" t="s">
        <v>49073</v>
      </c>
      <c r="U7906" t="s">
        <v>56251</v>
      </c>
      <c r="W7906" t="s">
        <v>45871</v>
      </c>
      <c r="X7906" t="s">
        <v>47433</v>
      </c>
    </row>
    <row r="7907" spans="1:24">
      <c r="A7907">
        <f>HYPERLINK("https://www.philgeps.gov.ph/GEPSNONPILOT/Tender/SplashBidNoticeAbstractUI.aspx?menuIndex=3&amp;refID=7152231&amp;Result=3","7152231")</f>
        <v>0</v>
      </c>
      <c r="B7907" t="s">
        <v>2649</v>
      </c>
      <c r="C7907" t="s">
        <v>11339</v>
      </c>
      <c r="D7907" t="s">
        <v>19023</v>
      </c>
      <c r="E7907" t="s">
        <v>25978</v>
      </c>
      <c r="F7907" t="s">
        <v>32831</v>
      </c>
      <c r="G7907" t="s">
        <v>32839</v>
      </c>
      <c r="H7907" t="s">
        <v>32849</v>
      </c>
      <c r="I7907" t="s">
        <v>4177</v>
      </c>
      <c r="J7907" t="s">
        <v>37924</v>
      </c>
      <c r="K7907" t="s">
        <v>42730</v>
      </c>
      <c r="M7907" t="s">
        <v>45872</v>
      </c>
      <c r="N7907" t="s">
        <v>47424</v>
      </c>
      <c r="O7907" t="s">
        <v>47425</v>
      </c>
      <c r="P7907">
        <v>0</v>
      </c>
      <c r="Q7907">
        <v>1</v>
      </c>
      <c r="R7907" t="s">
        <v>47432</v>
      </c>
      <c r="S7907" t="s">
        <v>47597</v>
      </c>
      <c r="T7907" t="s">
        <v>49089</v>
      </c>
      <c r="U7907" t="s">
        <v>56252</v>
      </c>
      <c r="W7907" t="s">
        <v>45872</v>
      </c>
      <c r="X7907" t="s">
        <v>47433</v>
      </c>
    </row>
    <row r="7908" spans="1:24">
      <c r="A7908">
        <f>HYPERLINK("https://www.philgeps.gov.ph/GEPSNONPILOT/Tender/SplashBidNoticeAbstractUI.aspx?menuIndex=3&amp;refID=7152226&amp;Result=3","7152226")</f>
        <v>0</v>
      </c>
      <c r="B7908" t="s">
        <v>85</v>
      </c>
      <c r="C7908" t="s">
        <v>11340</v>
      </c>
      <c r="D7908" t="s">
        <v>19028</v>
      </c>
      <c r="E7908" t="s">
        <v>25979</v>
      </c>
      <c r="F7908" t="s">
        <v>32831</v>
      </c>
      <c r="G7908" t="s">
        <v>32840</v>
      </c>
      <c r="H7908" t="s">
        <v>32848</v>
      </c>
      <c r="I7908" t="s">
        <v>4776</v>
      </c>
      <c r="J7908" t="s">
        <v>33019</v>
      </c>
      <c r="K7908" t="s">
        <v>42726</v>
      </c>
      <c r="M7908" t="s">
        <v>43631</v>
      </c>
      <c r="N7908" t="s">
        <v>47424</v>
      </c>
      <c r="O7908" t="s">
        <v>47425</v>
      </c>
      <c r="P7908">
        <v>0</v>
      </c>
      <c r="Q7908">
        <v>4</v>
      </c>
      <c r="R7908" t="s">
        <v>47432</v>
      </c>
      <c r="S7908" t="s">
        <v>47597</v>
      </c>
      <c r="T7908" t="s">
        <v>49321</v>
      </c>
      <c r="U7908" t="s">
        <v>56253</v>
      </c>
      <c r="W7908" t="s">
        <v>43631</v>
      </c>
      <c r="X7908" t="s">
        <v>47433</v>
      </c>
    </row>
    <row r="7909" spans="1:24">
      <c r="A7909">
        <f>HYPERLINK("https://www.philgeps.gov.ph/GEPSNONPILOT/Tender/SplashBidNoticeAbstractUI.aspx?menuIndex=3&amp;refID=7149439&amp;Result=3","7149439")</f>
        <v>0</v>
      </c>
      <c r="B7909" t="s">
        <v>2650</v>
      </c>
      <c r="C7909" t="s">
        <v>11341</v>
      </c>
      <c r="D7909" t="s">
        <v>19088</v>
      </c>
      <c r="E7909" t="s">
        <v>25980</v>
      </c>
      <c r="F7909" t="s">
        <v>32831</v>
      </c>
      <c r="G7909" t="s">
        <v>32840</v>
      </c>
      <c r="H7909" t="s">
        <v>32848</v>
      </c>
      <c r="I7909" t="s">
        <v>32855</v>
      </c>
      <c r="J7909" t="s">
        <v>35578</v>
      </c>
      <c r="K7909" t="s">
        <v>42726</v>
      </c>
      <c r="M7909" t="s">
        <v>45873</v>
      </c>
      <c r="N7909" t="s">
        <v>47424</v>
      </c>
      <c r="O7909" t="s">
        <v>47425</v>
      </c>
      <c r="P7909">
        <v>0</v>
      </c>
      <c r="Q7909">
        <v>12</v>
      </c>
      <c r="R7909" t="s">
        <v>47432</v>
      </c>
      <c r="S7909" t="s">
        <v>47597</v>
      </c>
      <c r="T7909" t="s">
        <v>49212</v>
      </c>
      <c r="U7909" t="s">
        <v>56254</v>
      </c>
      <c r="W7909" t="s">
        <v>45873</v>
      </c>
      <c r="X7909" t="s">
        <v>47434</v>
      </c>
    </row>
    <row r="7910" spans="1:24">
      <c r="A7910">
        <f>HYPERLINK("https://www.philgeps.gov.ph/GEPSNONPILOT/Tender/SplashBidNoticeAbstractUI.aspx?menuIndex=3&amp;refID=7152223&amp;Result=3","7152223")</f>
        <v>0</v>
      </c>
      <c r="B7910" t="s">
        <v>85</v>
      </c>
      <c r="C7910" t="s">
        <v>11340</v>
      </c>
      <c r="D7910" t="s">
        <v>19028</v>
      </c>
      <c r="E7910" t="s">
        <v>25981</v>
      </c>
      <c r="F7910" t="s">
        <v>32831</v>
      </c>
      <c r="G7910" t="s">
        <v>32839</v>
      </c>
      <c r="H7910" t="s">
        <v>32848</v>
      </c>
      <c r="I7910" t="s">
        <v>4776</v>
      </c>
      <c r="J7910" t="s">
        <v>33072</v>
      </c>
      <c r="K7910" t="s">
        <v>42750</v>
      </c>
      <c r="M7910" t="s">
        <v>43631</v>
      </c>
      <c r="N7910" t="s">
        <v>47424</v>
      </c>
      <c r="O7910" t="s">
        <v>47425</v>
      </c>
      <c r="P7910">
        <v>0</v>
      </c>
      <c r="Q7910">
        <v>5</v>
      </c>
      <c r="R7910" t="s">
        <v>47432</v>
      </c>
      <c r="S7910" t="s">
        <v>47597</v>
      </c>
      <c r="T7910" t="s">
        <v>49166</v>
      </c>
      <c r="U7910" t="s">
        <v>56253</v>
      </c>
      <c r="W7910" t="s">
        <v>43631</v>
      </c>
      <c r="X7910" t="s">
        <v>47433</v>
      </c>
    </row>
    <row r="7911" spans="1:24">
      <c r="A7911">
        <f>HYPERLINK("https://www.philgeps.gov.ph/GEPSNONPILOT/Tender/SplashBidNoticeAbstractUI.aspx?menuIndex=3&amp;refID=7152230&amp;Result=3","7152230")</f>
        <v>0</v>
      </c>
      <c r="B7911" t="s">
        <v>85</v>
      </c>
      <c r="C7911" t="s">
        <v>11342</v>
      </c>
      <c r="D7911" t="s">
        <v>19028</v>
      </c>
      <c r="E7911" t="s">
        <v>25982</v>
      </c>
      <c r="F7911" t="s">
        <v>32831</v>
      </c>
      <c r="G7911" t="s">
        <v>32839</v>
      </c>
      <c r="H7911" t="s">
        <v>32848</v>
      </c>
      <c r="I7911" t="s">
        <v>10805</v>
      </c>
      <c r="J7911" t="s">
        <v>33044</v>
      </c>
      <c r="K7911" t="s">
        <v>42750</v>
      </c>
      <c r="M7911" t="s">
        <v>43631</v>
      </c>
      <c r="N7911" t="s">
        <v>47424</v>
      </c>
      <c r="O7911" t="s">
        <v>47425</v>
      </c>
      <c r="P7911">
        <v>0</v>
      </c>
      <c r="Q7911">
        <v>2</v>
      </c>
      <c r="R7911" t="s">
        <v>47432</v>
      </c>
      <c r="S7911" t="s">
        <v>47597</v>
      </c>
      <c r="T7911" t="s">
        <v>49213</v>
      </c>
      <c r="U7911" t="s">
        <v>56255</v>
      </c>
      <c r="W7911" t="s">
        <v>43631</v>
      </c>
      <c r="X7911" t="s">
        <v>47433</v>
      </c>
    </row>
    <row r="7912" spans="1:24">
      <c r="A7912">
        <f>HYPERLINK("https://www.philgeps.gov.ph/GEPSNONPILOT/Tender/SplashBidNoticeAbstractUI.aspx?menuIndex=3&amp;refID=7152220&amp;Result=3","7152220")</f>
        <v>0</v>
      </c>
      <c r="B7912" t="s">
        <v>2651</v>
      </c>
      <c r="C7912" t="s">
        <v>11343</v>
      </c>
      <c r="D7912" t="s">
        <v>19023</v>
      </c>
      <c r="E7912" t="s">
        <v>25983</v>
      </c>
      <c r="F7912" t="s">
        <v>32831</v>
      </c>
      <c r="G7912" t="s">
        <v>32839</v>
      </c>
      <c r="H7912" t="s">
        <v>32848</v>
      </c>
      <c r="I7912" t="s">
        <v>32852</v>
      </c>
      <c r="J7912" t="s">
        <v>37925</v>
      </c>
      <c r="K7912" t="s">
        <v>42747</v>
      </c>
      <c r="M7912" t="s">
        <v>45874</v>
      </c>
      <c r="N7912" t="s">
        <v>47424</v>
      </c>
      <c r="O7912" t="s">
        <v>47425</v>
      </c>
      <c r="P7912">
        <v>0</v>
      </c>
      <c r="Q7912">
        <v>2</v>
      </c>
      <c r="R7912" t="s">
        <v>47432</v>
      </c>
      <c r="S7912" t="s">
        <v>47597</v>
      </c>
      <c r="T7912" t="s">
        <v>49089</v>
      </c>
      <c r="U7912" t="s">
        <v>56256</v>
      </c>
      <c r="W7912" t="s">
        <v>45874</v>
      </c>
      <c r="X7912" t="s">
        <v>47433</v>
      </c>
    </row>
    <row r="7913" spans="1:24">
      <c r="A7913">
        <f>HYPERLINK("https://www.philgeps.gov.ph/GEPSNONPILOT/Tender/SplashBidNoticeAbstractUI.aspx?menuIndex=3&amp;refID=7152216&amp;Result=3","7152216")</f>
        <v>0</v>
      </c>
      <c r="B7913" t="s">
        <v>2652</v>
      </c>
      <c r="C7913" t="s">
        <v>11344</v>
      </c>
      <c r="D7913" t="s">
        <v>19064</v>
      </c>
      <c r="E7913" t="s">
        <v>25984</v>
      </c>
      <c r="F7913" t="s">
        <v>32831</v>
      </c>
      <c r="G7913" t="s">
        <v>32839</v>
      </c>
      <c r="H7913" t="s">
        <v>32849</v>
      </c>
      <c r="I7913" t="s">
        <v>4177</v>
      </c>
      <c r="J7913" t="s">
        <v>37926</v>
      </c>
      <c r="K7913" t="s">
        <v>42865</v>
      </c>
      <c r="M7913" t="s">
        <v>45875</v>
      </c>
      <c r="N7913" t="s">
        <v>47424</v>
      </c>
      <c r="O7913" t="s">
        <v>47425</v>
      </c>
      <c r="P7913">
        <v>0</v>
      </c>
      <c r="Q7913">
        <v>0</v>
      </c>
      <c r="R7913" t="s">
        <v>47432</v>
      </c>
      <c r="S7913" t="s">
        <v>47597</v>
      </c>
      <c r="T7913" t="s">
        <v>49214</v>
      </c>
      <c r="U7913" t="s">
        <v>56257</v>
      </c>
      <c r="V7913" t="s">
        <v>63504</v>
      </c>
      <c r="W7913" t="s">
        <v>45875</v>
      </c>
      <c r="X7913" t="s">
        <v>47433</v>
      </c>
    </row>
    <row r="7914" spans="1:24">
      <c r="A7914">
        <f>HYPERLINK("https://www.philgeps.gov.ph/GEPSNONPILOT/Tender/SplashBidNoticeAbstractUI.aspx?menuIndex=3&amp;refID=7152228&amp;Result=3","7152228")</f>
        <v>0</v>
      </c>
      <c r="B7914" t="s">
        <v>85</v>
      </c>
      <c r="C7914" t="s">
        <v>11340</v>
      </c>
      <c r="D7914" t="s">
        <v>19028</v>
      </c>
      <c r="E7914" t="s">
        <v>25985</v>
      </c>
      <c r="F7914" t="s">
        <v>32831</v>
      </c>
      <c r="G7914" t="s">
        <v>32840</v>
      </c>
      <c r="H7914" t="s">
        <v>32848</v>
      </c>
      <c r="I7914" t="s">
        <v>4776</v>
      </c>
      <c r="J7914" t="s">
        <v>33184</v>
      </c>
      <c r="K7914" t="s">
        <v>42726</v>
      </c>
      <c r="M7914" t="s">
        <v>43631</v>
      </c>
      <c r="N7914" t="s">
        <v>47424</v>
      </c>
      <c r="O7914" t="s">
        <v>47425</v>
      </c>
      <c r="P7914">
        <v>0</v>
      </c>
      <c r="Q7914">
        <v>3</v>
      </c>
      <c r="R7914" t="s">
        <v>47432</v>
      </c>
      <c r="S7914" t="s">
        <v>47597</v>
      </c>
      <c r="T7914" t="s">
        <v>49436</v>
      </c>
      <c r="U7914" t="s">
        <v>56253</v>
      </c>
      <c r="W7914" t="s">
        <v>43631</v>
      </c>
      <c r="X7914" t="s">
        <v>47433</v>
      </c>
    </row>
    <row r="7915" spans="1:24">
      <c r="A7915">
        <f>HYPERLINK("https://www.philgeps.gov.ph/GEPSNONPILOT/Tender/SplashBidNoticeAbstractUI.aspx?menuIndex=3&amp;refID=7150440&amp;Result=3","7150440")</f>
        <v>0</v>
      </c>
      <c r="B7915" t="s">
        <v>1443</v>
      </c>
      <c r="C7915" t="s">
        <v>11345</v>
      </c>
      <c r="D7915" t="s">
        <v>19058</v>
      </c>
      <c r="E7915" t="s">
        <v>25986</v>
      </c>
      <c r="F7915" t="s">
        <v>32831</v>
      </c>
      <c r="G7915" t="s">
        <v>32839</v>
      </c>
      <c r="H7915" t="s">
        <v>32849</v>
      </c>
      <c r="I7915" t="s">
        <v>4177</v>
      </c>
      <c r="J7915" t="s">
        <v>35513</v>
      </c>
      <c r="K7915" t="s">
        <v>42763</v>
      </c>
      <c r="M7915" t="s">
        <v>44535</v>
      </c>
      <c r="N7915" t="s">
        <v>47424</v>
      </c>
      <c r="O7915" t="s">
        <v>47425</v>
      </c>
      <c r="P7915">
        <v>0</v>
      </c>
      <c r="Q7915">
        <v>1</v>
      </c>
      <c r="R7915" t="s">
        <v>47432</v>
      </c>
      <c r="S7915" t="s">
        <v>47597</v>
      </c>
      <c r="T7915" t="s">
        <v>49250</v>
      </c>
      <c r="U7915" t="s">
        <v>56258</v>
      </c>
      <c r="W7915" t="s">
        <v>44535</v>
      </c>
      <c r="X7915" t="s">
        <v>47434</v>
      </c>
    </row>
    <row r="7916" spans="1:24">
      <c r="A7916">
        <f>HYPERLINK("https://www.philgeps.gov.ph/GEPSNONPILOT/Tender/SplashBidNoticeAbstractUI.aspx?menuIndex=3&amp;refID=7152225&amp;Result=3","7152225")</f>
        <v>0</v>
      </c>
      <c r="B7916" t="s">
        <v>85</v>
      </c>
      <c r="C7916" t="s">
        <v>11346</v>
      </c>
      <c r="D7916" t="s">
        <v>19028</v>
      </c>
      <c r="E7916" t="s">
        <v>25987</v>
      </c>
      <c r="F7916" t="s">
        <v>32831</v>
      </c>
      <c r="G7916" t="s">
        <v>32840</v>
      </c>
      <c r="H7916" t="s">
        <v>32848</v>
      </c>
      <c r="I7916" t="s">
        <v>10805</v>
      </c>
      <c r="J7916" t="s">
        <v>32980</v>
      </c>
      <c r="K7916" t="s">
        <v>42726</v>
      </c>
      <c r="M7916" t="s">
        <v>43631</v>
      </c>
      <c r="N7916" t="s">
        <v>47424</v>
      </c>
      <c r="O7916" t="s">
        <v>47425</v>
      </c>
      <c r="P7916">
        <v>0</v>
      </c>
      <c r="Q7916">
        <v>3</v>
      </c>
      <c r="R7916" t="s">
        <v>47432</v>
      </c>
      <c r="S7916" t="s">
        <v>47597</v>
      </c>
      <c r="T7916" t="s">
        <v>49214</v>
      </c>
      <c r="U7916" t="s">
        <v>56255</v>
      </c>
      <c r="W7916" t="s">
        <v>43631</v>
      </c>
      <c r="X7916" t="s">
        <v>47433</v>
      </c>
    </row>
    <row r="7917" spans="1:24">
      <c r="A7917">
        <f>HYPERLINK("https://www.philgeps.gov.ph/GEPSNONPILOT/Tender/SplashBidNoticeAbstractUI.aspx?menuIndex=3&amp;refID=7152192&amp;Result=3","7152192")</f>
        <v>0</v>
      </c>
      <c r="B7917" t="s">
        <v>383</v>
      </c>
      <c r="C7917" t="s">
        <v>11347</v>
      </c>
      <c r="D7917" t="s">
        <v>19061</v>
      </c>
      <c r="E7917" t="s">
        <v>20054</v>
      </c>
      <c r="F7917" t="s">
        <v>32831</v>
      </c>
      <c r="G7917" t="s">
        <v>32839</v>
      </c>
      <c r="H7917" t="s">
        <v>32848</v>
      </c>
      <c r="I7917" t="s">
        <v>7416</v>
      </c>
      <c r="J7917" t="s">
        <v>37927</v>
      </c>
      <c r="K7917" t="s">
        <v>42731</v>
      </c>
      <c r="M7917" t="s">
        <v>43387</v>
      </c>
      <c r="N7917" t="s">
        <v>47424</v>
      </c>
      <c r="O7917" t="s">
        <v>47425</v>
      </c>
      <c r="P7917">
        <v>0</v>
      </c>
      <c r="Q7917">
        <v>0</v>
      </c>
      <c r="R7917" t="s">
        <v>47432</v>
      </c>
      <c r="S7917" t="s">
        <v>47597</v>
      </c>
      <c r="T7917" t="s">
        <v>49177</v>
      </c>
      <c r="U7917" t="s">
        <v>56259</v>
      </c>
      <c r="W7917" t="s">
        <v>43387</v>
      </c>
      <c r="X7917" t="s">
        <v>47433</v>
      </c>
    </row>
    <row r="7918" spans="1:24">
      <c r="A7918">
        <f>HYPERLINK("https://www.philgeps.gov.ph/GEPSNONPILOT/Tender/SplashBidNoticeAbstractUI.aspx?menuIndex=3&amp;refID=7152329&amp;Result=3","7152329")</f>
        <v>0</v>
      </c>
      <c r="B7918" t="s">
        <v>2653</v>
      </c>
      <c r="C7918" t="s">
        <v>11348</v>
      </c>
      <c r="D7918" t="s">
        <v>19020</v>
      </c>
      <c r="E7918" t="s">
        <v>25988</v>
      </c>
      <c r="F7918" t="s">
        <v>32831</v>
      </c>
      <c r="G7918" t="s">
        <v>32838</v>
      </c>
      <c r="H7918" t="s">
        <v>32848</v>
      </c>
      <c r="I7918" t="s">
        <v>32859</v>
      </c>
      <c r="J7918" t="s">
        <v>37928</v>
      </c>
      <c r="K7918" t="s">
        <v>42748</v>
      </c>
      <c r="M7918" t="s">
        <v>45876</v>
      </c>
      <c r="N7918" t="s">
        <v>47424</v>
      </c>
      <c r="O7918" t="s">
        <v>47425</v>
      </c>
      <c r="P7918">
        <v>0</v>
      </c>
      <c r="Q7918">
        <v>2</v>
      </c>
      <c r="R7918" t="s">
        <v>47432</v>
      </c>
      <c r="S7918" t="s">
        <v>47597</v>
      </c>
      <c r="T7918" t="s">
        <v>49389</v>
      </c>
      <c r="U7918" t="s">
        <v>56260</v>
      </c>
      <c r="W7918" t="s">
        <v>45876</v>
      </c>
      <c r="X7918" t="s">
        <v>47433</v>
      </c>
    </row>
    <row r="7919" spans="1:24">
      <c r="A7919">
        <f>HYPERLINK("https://www.philgeps.gov.ph/GEPSNONPILOT/Tender/SplashBidNoticeAbstractUI.aspx?menuIndex=3&amp;refID=7152327&amp;Result=3","7152327")</f>
        <v>0</v>
      </c>
      <c r="B7919" t="s">
        <v>437</v>
      </c>
      <c r="C7919" t="s">
        <v>11349</v>
      </c>
      <c r="D7919" t="s">
        <v>19017</v>
      </c>
      <c r="E7919" t="s">
        <v>25989</v>
      </c>
      <c r="F7919" t="s">
        <v>32831</v>
      </c>
      <c r="G7919" t="s">
        <v>32838</v>
      </c>
      <c r="H7919" t="s">
        <v>32848</v>
      </c>
      <c r="I7919" t="s">
        <v>4776</v>
      </c>
      <c r="J7919" t="s">
        <v>36233</v>
      </c>
      <c r="K7919" t="s">
        <v>42731</v>
      </c>
      <c r="M7919" t="s">
        <v>43442</v>
      </c>
      <c r="N7919" t="s">
        <v>47424</v>
      </c>
      <c r="O7919" t="s">
        <v>47425</v>
      </c>
      <c r="P7919">
        <v>0</v>
      </c>
      <c r="Q7919">
        <v>3</v>
      </c>
      <c r="R7919" t="s">
        <v>47432</v>
      </c>
      <c r="S7919" t="s">
        <v>47597</v>
      </c>
      <c r="T7919" t="s">
        <v>49056</v>
      </c>
      <c r="U7919" t="s">
        <v>56261</v>
      </c>
      <c r="W7919" t="s">
        <v>43442</v>
      </c>
      <c r="X7919" t="s">
        <v>47433</v>
      </c>
    </row>
    <row r="7920" spans="1:24">
      <c r="A7920">
        <f>HYPERLINK("https://www.philgeps.gov.ph/GEPSNONPILOT/Tender/SplashBidNoticeAbstractUI.aspx?menuIndex=3&amp;refID=7152324&amp;Result=3","7152324")</f>
        <v>0</v>
      </c>
      <c r="B7920" t="s">
        <v>661</v>
      </c>
      <c r="C7920" t="s">
        <v>11350</v>
      </c>
      <c r="D7920" t="s">
        <v>19058</v>
      </c>
      <c r="E7920" t="s">
        <v>25990</v>
      </c>
      <c r="F7920" t="s">
        <v>32831</v>
      </c>
      <c r="G7920" t="s">
        <v>32839</v>
      </c>
      <c r="H7920" t="s">
        <v>32848</v>
      </c>
      <c r="I7920" t="s">
        <v>7416</v>
      </c>
      <c r="J7920" t="s">
        <v>37929</v>
      </c>
      <c r="K7920" t="s">
        <v>42731</v>
      </c>
      <c r="M7920" t="s">
        <v>43679</v>
      </c>
      <c r="N7920" t="s">
        <v>47424</v>
      </c>
      <c r="O7920" t="s">
        <v>47425</v>
      </c>
      <c r="P7920">
        <v>0</v>
      </c>
      <c r="Q7920">
        <v>0</v>
      </c>
      <c r="R7920" t="s">
        <v>47432</v>
      </c>
      <c r="S7920" t="s">
        <v>47597</v>
      </c>
      <c r="T7920" t="s">
        <v>49056</v>
      </c>
      <c r="U7920" t="s">
        <v>56262</v>
      </c>
      <c r="W7920" t="s">
        <v>43679</v>
      </c>
      <c r="X7920" t="s">
        <v>47433</v>
      </c>
    </row>
    <row r="7921" spans="1:24">
      <c r="A7921">
        <f>HYPERLINK("https://www.philgeps.gov.ph/GEPSNONPILOT/Tender/SplashBidNoticeAbstractUI.aspx?menuIndex=3&amp;refID=7152210&amp;Result=3","7152210")</f>
        <v>0</v>
      </c>
      <c r="B7921" t="s">
        <v>2654</v>
      </c>
      <c r="C7921" t="s">
        <v>11351</v>
      </c>
      <c r="D7921" t="s">
        <v>19077</v>
      </c>
      <c r="E7921" t="s">
        <v>25991</v>
      </c>
      <c r="F7921" t="s">
        <v>32831</v>
      </c>
      <c r="G7921" t="s">
        <v>32839</v>
      </c>
      <c r="H7921" t="s">
        <v>32848</v>
      </c>
      <c r="I7921" t="s">
        <v>4177</v>
      </c>
      <c r="J7921" t="s">
        <v>37930</v>
      </c>
      <c r="K7921" t="s">
        <v>42731</v>
      </c>
      <c r="M7921" t="s">
        <v>45877</v>
      </c>
      <c r="N7921" t="s">
        <v>47424</v>
      </c>
      <c r="O7921" t="s">
        <v>47425</v>
      </c>
      <c r="P7921">
        <v>0</v>
      </c>
      <c r="Q7921">
        <v>0</v>
      </c>
      <c r="R7921" t="s">
        <v>47432</v>
      </c>
      <c r="S7921" t="s">
        <v>47597</v>
      </c>
      <c r="T7921" t="s">
        <v>49198</v>
      </c>
      <c r="U7921" t="s">
        <v>56263</v>
      </c>
      <c r="V7921" t="s">
        <v>63505</v>
      </c>
      <c r="W7921" t="s">
        <v>45877</v>
      </c>
      <c r="X7921" t="s">
        <v>47433</v>
      </c>
    </row>
    <row r="7922" spans="1:24">
      <c r="A7922">
        <f>HYPERLINK("https://www.philgeps.gov.ph/GEPSNONPILOT/Tender/SplashBidNoticeAbstractUI.aspx?menuIndex=3&amp;refID=7152222&amp;Result=3","7152222")</f>
        <v>0</v>
      </c>
      <c r="B7922" t="s">
        <v>2655</v>
      </c>
      <c r="C7922" t="s">
        <v>11352</v>
      </c>
      <c r="D7922" t="s">
        <v>19018</v>
      </c>
      <c r="E7922" t="s">
        <v>25992</v>
      </c>
      <c r="F7922" t="s">
        <v>32831</v>
      </c>
      <c r="G7922" t="s">
        <v>32839</v>
      </c>
      <c r="H7922" t="s">
        <v>32849</v>
      </c>
      <c r="I7922" t="s">
        <v>4177</v>
      </c>
      <c r="J7922" t="s">
        <v>32978</v>
      </c>
      <c r="K7922" t="s">
        <v>42729</v>
      </c>
      <c r="M7922" t="s">
        <v>45878</v>
      </c>
      <c r="N7922" t="s">
        <v>47424</v>
      </c>
      <c r="O7922" t="s">
        <v>47425</v>
      </c>
      <c r="P7922">
        <v>0</v>
      </c>
      <c r="Q7922">
        <v>1</v>
      </c>
      <c r="R7922" t="s">
        <v>47432</v>
      </c>
      <c r="S7922" t="s">
        <v>47597</v>
      </c>
      <c r="T7922" t="s">
        <v>49281</v>
      </c>
      <c r="U7922" t="s">
        <v>56264</v>
      </c>
      <c r="W7922" t="s">
        <v>45878</v>
      </c>
      <c r="X7922" t="s">
        <v>47433</v>
      </c>
    </row>
    <row r="7923" spans="1:24">
      <c r="A7923">
        <f>HYPERLINK("https://www.philgeps.gov.ph/GEPSNONPILOT/Tender/SplashBidNoticeAbstractUI.aspx?menuIndex=3&amp;refID=7152218&amp;Result=3","7152218")</f>
        <v>0</v>
      </c>
      <c r="B7923" t="s">
        <v>2656</v>
      </c>
      <c r="C7923" t="s">
        <v>11353</v>
      </c>
      <c r="D7923" t="s">
        <v>19028</v>
      </c>
      <c r="E7923" t="s">
        <v>25993</v>
      </c>
      <c r="F7923" t="s">
        <v>32831</v>
      </c>
      <c r="G7923" t="s">
        <v>32840</v>
      </c>
      <c r="H7923" t="s">
        <v>32848</v>
      </c>
      <c r="I7923" t="s">
        <v>8781</v>
      </c>
      <c r="J7923" t="s">
        <v>37931</v>
      </c>
      <c r="K7923" t="s">
        <v>42731</v>
      </c>
      <c r="M7923" t="s">
        <v>45879</v>
      </c>
      <c r="N7923" t="s">
        <v>47424</v>
      </c>
      <c r="O7923" t="s">
        <v>47425</v>
      </c>
      <c r="P7923">
        <v>0</v>
      </c>
      <c r="Q7923">
        <v>0</v>
      </c>
      <c r="R7923" t="s">
        <v>47432</v>
      </c>
      <c r="S7923" t="s">
        <v>47597</v>
      </c>
      <c r="T7923" t="s">
        <v>49166</v>
      </c>
      <c r="U7923" t="s">
        <v>56265</v>
      </c>
      <c r="W7923" t="s">
        <v>45879</v>
      </c>
      <c r="X7923" t="s">
        <v>47433</v>
      </c>
    </row>
    <row r="7924" spans="1:24">
      <c r="A7924">
        <f>HYPERLINK("https://www.philgeps.gov.ph/GEPSNONPILOT/Tender/SplashBidNoticeAbstractUI.aspx?menuIndex=3&amp;refID=7151634&amp;Result=3","7151634")</f>
        <v>0</v>
      </c>
      <c r="B7924" t="s">
        <v>798</v>
      </c>
      <c r="C7924" t="s">
        <v>11354</v>
      </c>
      <c r="D7924" t="s">
        <v>19080</v>
      </c>
      <c r="E7924" t="s">
        <v>25994</v>
      </c>
      <c r="F7924" t="s">
        <v>32831</v>
      </c>
      <c r="G7924" t="s">
        <v>32839</v>
      </c>
      <c r="H7924" t="s">
        <v>32848</v>
      </c>
      <c r="I7924" t="s">
        <v>7751</v>
      </c>
      <c r="J7924" t="s">
        <v>33066</v>
      </c>
      <c r="K7924" t="s">
        <v>42727</v>
      </c>
      <c r="M7924" t="s">
        <v>43828</v>
      </c>
      <c r="N7924" t="s">
        <v>47424</v>
      </c>
      <c r="O7924" t="s">
        <v>47425</v>
      </c>
      <c r="P7924">
        <v>0</v>
      </c>
      <c r="Q7924">
        <v>3</v>
      </c>
      <c r="R7924" t="s">
        <v>47432</v>
      </c>
      <c r="S7924" t="s">
        <v>47597</v>
      </c>
      <c r="T7924" t="s">
        <v>49236</v>
      </c>
      <c r="U7924" t="s">
        <v>56266</v>
      </c>
      <c r="W7924" t="s">
        <v>43828</v>
      </c>
      <c r="X7924" t="s">
        <v>47434</v>
      </c>
    </row>
    <row r="7925" spans="1:24">
      <c r="A7925">
        <f>HYPERLINK("https://www.philgeps.gov.ph/GEPSNONPILOT/Tender/SplashBidNoticeAbstractUI.aspx?menuIndex=3&amp;refID=7152311&amp;Result=3","7152311")</f>
        <v>0</v>
      </c>
      <c r="B7925" t="s">
        <v>2657</v>
      </c>
      <c r="C7925" t="s">
        <v>11355</v>
      </c>
      <c r="D7925" t="s">
        <v>19056</v>
      </c>
      <c r="E7925" t="s">
        <v>25995</v>
      </c>
      <c r="F7925" t="s">
        <v>32831</v>
      </c>
      <c r="G7925" t="s">
        <v>32839</v>
      </c>
      <c r="H7925" t="s">
        <v>32849</v>
      </c>
      <c r="I7925" t="s">
        <v>4177</v>
      </c>
      <c r="J7925" t="s">
        <v>33083</v>
      </c>
      <c r="K7925" t="s">
        <v>42732</v>
      </c>
      <c r="M7925" t="s">
        <v>45880</v>
      </c>
      <c r="N7925" t="s">
        <v>47424</v>
      </c>
      <c r="O7925" t="s">
        <v>47425</v>
      </c>
      <c r="P7925">
        <v>0</v>
      </c>
      <c r="Q7925">
        <v>0</v>
      </c>
      <c r="R7925" t="s">
        <v>47432</v>
      </c>
      <c r="S7925" t="s">
        <v>47597</v>
      </c>
      <c r="T7925" t="s">
        <v>49139</v>
      </c>
      <c r="U7925" t="s">
        <v>56267</v>
      </c>
      <c r="W7925" t="s">
        <v>45880</v>
      </c>
      <c r="X7925" t="s">
        <v>47433</v>
      </c>
    </row>
    <row r="7926" spans="1:24">
      <c r="A7926">
        <f>HYPERLINK("https://www.philgeps.gov.ph/GEPSNONPILOT/Tender/SplashBidNoticeAbstractUI.aspx?menuIndex=3&amp;refID=7152304&amp;Result=3","7152304")</f>
        <v>0</v>
      </c>
      <c r="B7926" t="s">
        <v>2658</v>
      </c>
      <c r="C7926" t="s">
        <v>11356</v>
      </c>
      <c r="D7926" t="s">
        <v>19045</v>
      </c>
      <c r="E7926" t="s">
        <v>25996</v>
      </c>
      <c r="F7926" t="s">
        <v>32831</v>
      </c>
      <c r="G7926" t="s">
        <v>32839</v>
      </c>
      <c r="H7926" t="s">
        <v>32849</v>
      </c>
      <c r="I7926" t="s">
        <v>4177</v>
      </c>
      <c r="J7926" t="s">
        <v>37932</v>
      </c>
      <c r="K7926" t="s">
        <v>42910</v>
      </c>
      <c r="M7926" t="s">
        <v>45881</v>
      </c>
      <c r="N7926" t="s">
        <v>47424</v>
      </c>
      <c r="O7926" t="s">
        <v>47425</v>
      </c>
      <c r="P7926">
        <v>0</v>
      </c>
      <c r="Q7926">
        <v>1</v>
      </c>
      <c r="R7926" t="s">
        <v>47432</v>
      </c>
      <c r="S7926" t="s">
        <v>47597</v>
      </c>
      <c r="T7926" t="s">
        <v>49221</v>
      </c>
      <c r="U7926" t="s">
        <v>56268</v>
      </c>
      <c r="V7926" t="s">
        <v>62946</v>
      </c>
      <c r="W7926" t="s">
        <v>45881</v>
      </c>
      <c r="X7926" t="s">
        <v>47433</v>
      </c>
    </row>
    <row r="7927" spans="1:24">
      <c r="A7927">
        <f>HYPERLINK("https://www.philgeps.gov.ph/GEPSNONPILOT/Tender/SplashBidNoticeAbstractUI.aspx?menuIndex=3&amp;refID=7152301&amp;Result=3","7152301")</f>
        <v>0</v>
      </c>
      <c r="B7927" t="s">
        <v>2659</v>
      </c>
      <c r="C7927" t="s">
        <v>11357</v>
      </c>
      <c r="D7927" t="s">
        <v>19037</v>
      </c>
      <c r="E7927" t="s">
        <v>25997</v>
      </c>
      <c r="F7927" t="s">
        <v>32831</v>
      </c>
      <c r="G7927" t="s">
        <v>32839</v>
      </c>
      <c r="H7927" t="s">
        <v>32849</v>
      </c>
      <c r="I7927" t="s">
        <v>32913</v>
      </c>
      <c r="J7927" t="s">
        <v>33072</v>
      </c>
      <c r="K7927" t="s">
        <v>42729</v>
      </c>
      <c r="M7927" t="s">
        <v>45882</v>
      </c>
      <c r="N7927" t="s">
        <v>47424</v>
      </c>
      <c r="O7927" t="s">
        <v>47425</v>
      </c>
      <c r="P7927">
        <v>0</v>
      </c>
      <c r="Q7927">
        <v>0</v>
      </c>
      <c r="R7927" t="s">
        <v>47432</v>
      </c>
      <c r="S7927" t="s">
        <v>47597</v>
      </c>
      <c r="T7927" t="s">
        <v>49196</v>
      </c>
      <c r="U7927" t="s">
        <v>56269</v>
      </c>
      <c r="W7927" t="s">
        <v>64521</v>
      </c>
      <c r="X7927" t="s">
        <v>47433</v>
      </c>
    </row>
    <row r="7928" spans="1:24">
      <c r="A7928">
        <f>HYPERLINK("https://www.philgeps.gov.ph/GEPSNONPILOT/Tender/SplashBidNoticeAbstractUI.aspx?menuIndex=3&amp;refID=7152209&amp;Result=3","7152209")</f>
        <v>0</v>
      </c>
      <c r="B7928" t="s">
        <v>2660</v>
      </c>
      <c r="C7928" t="s">
        <v>11358</v>
      </c>
      <c r="D7928" t="s">
        <v>19060</v>
      </c>
      <c r="E7928" t="s">
        <v>25998</v>
      </c>
      <c r="F7928" t="s">
        <v>32831</v>
      </c>
      <c r="G7928" t="s">
        <v>32839</v>
      </c>
      <c r="H7928" t="s">
        <v>32848</v>
      </c>
      <c r="I7928" t="s">
        <v>7416</v>
      </c>
      <c r="J7928" t="s">
        <v>37933</v>
      </c>
      <c r="K7928" t="s">
        <v>42732</v>
      </c>
      <c r="M7928" t="s">
        <v>45883</v>
      </c>
      <c r="N7928" t="s">
        <v>47424</v>
      </c>
      <c r="O7928" t="s">
        <v>47425</v>
      </c>
      <c r="P7928">
        <v>0</v>
      </c>
      <c r="Q7928">
        <v>1</v>
      </c>
      <c r="R7928" t="s">
        <v>47432</v>
      </c>
      <c r="S7928" t="s">
        <v>47597</v>
      </c>
      <c r="T7928" t="s">
        <v>49127</v>
      </c>
      <c r="U7928" t="s">
        <v>56270</v>
      </c>
      <c r="W7928" t="s">
        <v>45883</v>
      </c>
      <c r="X7928" t="s">
        <v>47433</v>
      </c>
    </row>
    <row r="7929" spans="1:24">
      <c r="A7929">
        <f>HYPERLINK("https://www.philgeps.gov.ph/GEPSNONPILOT/Tender/SplashBidNoticeAbstractUI.aspx?menuIndex=3&amp;refID=7152293&amp;Result=3","7152293")</f>
        <v>0</v>
      </c>
      <c r="B7929" t="s">
        <v>160</v>
      </c>
      <c r="C7929" t="s">
        <v>11359</v>
      </c>
      <c r="D7929" t="s">
        <v>19088</v>
      </c>
      <c r="E7929" t="s">
        <v>20046</v>
      </c>
      <c r="F7929" t="s">
        <v>32831</v>
      </c>
      <c r="G7929" t="s">
        <v>32842</v>
      </c>
      <c r="H7929" t="s">
        <v>32848</v>
      </c>
      <c r="I7929" t="s">
        <v>4438</v>
      </c>
      <c r="J7929" t="s">
        <v>37820</v>
      </c>
      <c r="K7929" t="s">
        <v>42730</v>
      </c>
      <c r="M7929" t="s">
        <v>43157</v>
      </c>
      <c r="N7929" t="s">
        <v>47424</v>
      </c>
      <c r="O7929" t="s">
        <v>47425</v>
      </c>
      <c r="P7929">
        <v>0</v>
      </c>
      <c r="Q7929">
        <v>5</v>
      </c>
      <c r="R7929" t="s">
        <v>47432</v>
      </c>
      <c r="S7929" t="s">
        <v>47597</v>
      </c>
      <c r="T7929" t="s">
        <v>49116</v>
      </c>
      <c r="U7929" t="s">
        <v>49926</v>
      </c>
      <c r="W7929" t="s">
        <v>43157</v>
      </c>
      <c r="X7929" t="s">
        <v>47433</v>
      </c>
    </row>
    <row r="7930" spans="1:24">
      <c r="A7930">
        <f>HYPERLINK("https://www.philgeps.gov.ph/GEPSNONPILOT/Tender/SplashBidNoticeAbstractUI.aspx?menuIndex=3&amp;refID=7152292&amp;Result=3","7152292")</f>
        <v>0</v>
      </c>
      <c r="B7930" t="s">
        <v>2240</v>
      </c>
      <c r="C7930" t="s">
        <v>11360</v>
      </c>
      <c r="D7930" t="s">
        <v>19071</v>
      </c>
      <c r="E7930" t="s">
        <v>25999</v>
      </c>
      <c r="F7930" t="s">
        <v>32831</v>
      </c>
      <c r="G7930" t="s">
        <v>32838</v>
      </c>
      <c r="H7930" t="s">
        <v>32848</v>
      </c>
      <c r="I7930" t="s">
        <v>32859</v>
      </c>
      <c r="J7930" t="s">
        <v>37934</v>
      </c>
      <c r="K7930" t="s">
        <v>42732</v>
      </c>
      <c r="M7930" t="s">
        <v>45421</v>
      </c>
      <c r="N7930" t="s">
        <v>47424</v>
      </c>
      <c r="O7930" t="s">
        <v>47425</v>
      </c>
      <c r="P7930">
        <v>0</v>
      </c>
      <c r="Q7930">
        <v>2</v>
      </c>
      <c r="R7930" t="s">
        <v>47432</v>
      </c>
      <c r="S7930" t="s">
        <v>47597</v>
      </c>
      <c r="T7930" t="s">
        <v>49129</v>
      </c>
      <c r="U7930" t="s">
        <v>56271</v>
      </c>
      <c r="W7930" t="s">
        <v>45421</v>
      </c>
      <c r="X7930" t="s">
        <v>47433</v>
      </c>
    </row>
    <row r="7931" spans="1:24">
      <c r="A7931">
        <f>HYPERLINK("https://www.philgeps.gov.ph/GEPSNONPILOT/Tender/SplashBidNoticeAbstractUI.aspx?menuIndex=3&amp;refID=7152316&amp;Result=3","7152316")</f>
        <v>0</v>
      </c>
      <c r="B7931" t="s">
        <v>1032</v>
      </c>
      <c r="C7931" t="s">
        <v>11361</v>
      </c>
      <c r="D7931" t="s">
        <v>19036</v>
      </c>
      <c r="E7931" t="s">
        <v>26000</v>
      </c>
      <c r="F7931" t="s">
        <v>32831</v>
      </c>
      <c r="G7931" t="s">
        <v>32839</v>
      </c>
      <c r="H7931" t="s">
        <v>32848</v>
      </c>
      <c r="I7931" t="s">
        <v>7751</v>
      </c>
      <c r="J7931" t="s">
        <v>37935</v>
      </c>
      <c r="K7931" t="s">
        <v>42745</v>
      </c>
      <c r="M7931" t="s">
        <v>44086</v>
      </c>
      <c r="N7931" t="s">
        <v>47424</v>
      </c>
      <c r="O7931" t="s">
        <v>47425</v>
      </c>
      <c r="P7931">
        <v>0</v>
      </c>
      <c r="Q7931">
        <v>5</v>
      </c>
      <c r="R7931" t="s">
        <v>47432</v>
      </c>
      <c r="S7931" t="s">
        <v>47597</v>
      </c>
      <c r="T7931" t="s">
        <v>49470</v>
      </c>
      <c r="U7931" t="s">
        <v>56272</v>
      </c>
      <c r="V7931" t="s">
        <v>63506</v>
      </c>
      <c r="W7931" t="s">
        <v>44086</v>
      </c>
      <c r="X7931" t="s">
        <v>47433</v>
      </c>
    </row>
    <row r="7932" spans="1:24">
      <c r="A7932">
        <f>HYPERLINK("https://www.philgeps.gov.ph/GEPSNONPILOT/Tender/SplashBidNoticeAbstractUI.aspx?menuIndex=3&amp;refID=7152285&amp;Result=3","7152285")</f>
        <v>0</v>
      </c>
      <c r="B7932" t="s">
        <v>2661</v>
      </c>
      <c r="C7932" t="s">
        <v>11362</v>
      </c>
      <c r="D7932" t="s">
        <v>19080</v>
      </c>
      <c r="E7932" t="s">
        <v>26001</v>
      </c>
      <c r="F7932" t="s">
        <v>32831</v>
      </c>
      <c r="G7932" t="s">
        <v>32838</v>
      </c>
      <c r="H7932" t="s">
        <v>32848</v>
      </c>
      <c r="I7932" t="s">
        <v>8781</v>
      </c>
      <c r="J7932" t="s">
        <v>36964</v>
      </c>
      <c r="K7932" t="s">
        <v>42727</v>
      </c>
      <c r="M7932" t="s">
        <v>45884</v>
      </c>
      <c r="N7932" t="s">
        <v>47424</v>
      </c>
      <c r="O7932" t="s">
        <v>47425</v>
      </c>
      <c r="P7932">
        <v>0</v>
      </c>
      <c r="Q7932">
        <v>0</v>
      </c>
      <c r="R7932" t="s">
        <v>47432</v>
      </c>
      <c r="S7932" t="s">
        <v>47597</v>
      </c>
      <c r="T7932" t="s">
        <v>49107</v>
      </c>
      <c r="U7932" t="s">
        <v>56273</v>
      </c>
      <c r="V7932" t="s">
        <v>62955</v>
      </c>
      <c r="W7932" t="s">
        <v>45884</v>
      </c>
      <c r="X7932" t="s">
        <v>47433</v>
      </c>
    </row>
    <row r="7933" spans="1:24">
      <c r="A7933">
        <f>HYPERLINK("https://www.philgeps.gov.ph/GEPSNONPILOT/Tender/SplashBidNoticeAbstractUI.aspx?menuIndex=3&amp;refID=7152380&amp;Result=3","7152380")</f>
        <v>0</v>
      </c>
      <c r="B7933" t="s">
        <v>2662</v>
      </c>
      <c r="C7933" t="s">
        <v>11363</v>
      </c>
      <c r="D7933" t="s">
        <v>19022</v>
      </c>
      <c r="E7933" t="s">
        <v>19790</v>
      </c>
      <c r="F7933" t="s">
        <v>32831</v>
      </c>
      <c r="G7933" t="s">
        <v>32840</v>
      </c>
      <c r="H7933" t="s">
        <v>32848</v>
      </c>
      <c r="I7933" t="s">
        <v>4446</v>
      </c>
      <c r="J7933" t="s">
        <v>37936</v>
      </c>
      <c r="K7933" t="s">
        <v>42831</v>
      </c>
      <c r="M7933" t="s">
        <v>45885</v>
      </c>
      <c r="N7933" t="s">
        <v>47424</v>
      </c>
      <c r="O7933" t="s">
        <v>47425</v>
      </c>
      <c r="P7933">
        <v>0</v>
      </c>
      <c r="Q7933">
        <v>2</v>
      </c>
      <c r="R7933" t="s">
        <v>47432</v>
      </c>
      <c r="S7933" t="s">
        <v>47597</v>
      </c>
      <c r="T7933" t="s">
        <v>49235</v>
      </c>
      <c r="U7933" t="s">
        <v>56274</v>
      </c>
      <c r="W7933" t="s">
        <v>45885</v>
      </c>
      <c r="X7933" t="s">
        <v>47433</v>
      </c>
    </row>
    <row r="7934" spans="1:24">
      <c r="A7934">
        <f>HYPERLINK("https://www.philgeps.gov.ph/GEPSNONPILOT/Tender/SplashBidNoticeAbstractUI.aspx?menuIndex=3&amp;refID=7152321&amp;Result=3","7152321")</f>
        <v>0</v>
      </c>
      <c r="B7934" t="s">
        <v>2663</v>
      </c>
      <c r="C7934" t="s">
        <v>11364</v>
      </c>
      <c r="D7934" t="s">
        <v>19054</v>
      </c>
      <c r="E7934" t="s">
        <v>26002</v>
      </c>
      <c r="F7934" t="s">
        <v>32831</v>
      </c>
      <c r="G7934" t="s">
        <v>32838</v>
      </c>
      <c r="H7934" t="s">
        <v>32850</v>
      </c>
      <c r="I7934" t="s">
        <v>7416</v>
      </c>
      <c r="J7934" t="s">
        <v>33007</v>
      </c>
      <c r="K7934" t="s">
        <v>42726</v>
      </c>
      <c r="M7934" t="s">
        <v>45886</v>
      </c>
      <c r="N7934" t="s">
        <v>47424</v>
      </c>
      <c r="O7934" t="s">
        <v>47425</v>
      </c>
      <c r="P7934">
        <v>0</v>
      </c>
      <c r="Q7934">
        <v>0</v>
      </c>
      <c r="R7934" t="s">
        <v>47432</v>
      </c>
      <c r="S7934" t="s">
        <v>47597</v>
      </c>
      <c r="T7934" t="s">
        <v>49491</v>
      </c>
      <c r="U7934" t="s">
        <v>56275</v>
      </c>
      <c r="V7934" t="s">
        <v>63507</v>
      </c>
      <c r="W7934" t="s">
        <v>45886</v>
      </c>
      <c r="X7934" t="s">
        <v>47433</v>
      </c>
    </row>
    <row r="7935" spans="1:24">
      <c r="A7935">
        <f>HYPERLINK("https://www.philgeps.gov.ph/GEPSNONPILOT/Tender/SplashBidNoticeAbstractUI.aspx?menuIndex=3&amp;refID=7152306&amp;Result=3","7152306")</f>
        <v>0</v>
      </c>
      <c r="B7935" t="s">
        <v>2246</v>
      </c>
      <c r="C7935" t="s">
        <v>11365</v>
      </c>
      <c r="D7935" t="s">
        <v>19049</v>
      </c>
      <c r="E7935" t="s">
        <v>26003</v>
      </c>
      <c r="F7935" t="s">
        <v>32831</v>
      </c>
      <c r="G7935" t="s">
        <v>32839</v>
      </c>
      <c r="H7935" t="s">
        <v>32848</v>
      </c>
      <c r="I7935" t="s">
        <v>32854</v>
      </c>
      <c r="J7935" t="s">
        <v>33706</v>
      </c>
      <c r="K7935" t="s">
        <v>42726</v>
      </c>
      <c r="M7935" t="s">
        <v>45427</v>
      </c>
      <c r="N7935" t="s">
        <v>47424</v>
      </c>
      <c r="O7935" t="s">
        <v>47425</v>
      </c>
      <c r="P7935">
        <v>0</v>
      </c>
      <c r="Q7935">
        <v>0</v>
      </c>
      <c r="R7935" t="s">
        <v>47432</v>
      </c>
      <c r="S7935" t="s">
        <v>47597</v>
      </c>
      <c r="T7935" t="s">
        <v>49492</v>
      </c>
      <c r="U7935" t="s">
        <v>56276</v>
      </c>
      <c r="W7935" t="s">
        <v>45427</v>
      </c>
      <c r="X7935" t="s">
        <v>47433</v>
      </c>
    </row>
    <row r="7936" spans="1:24">
      <c r="A7936">
        <f>HYPERLINK("https://www.philgeps.gov.ph/GEPSNONPILOT/Tender/SplashBidNoticeAbstractUI.aspx?menuIndex=3&amp;refID=7151490&amp;Result=3","7151490")</f>
        <v>0</v>
      </c>
      <c r="B7936" t="s">
        <v>2664</v>
      </c>
      <c r="C7936" t="s">
        <v>11366</v>
      </c>
      <c r="D7936" t="s">
        <v>19021</v>
      </c>
      <c r="E7936" t="s">
        <v>26004</v>
      </c>
      <c r="F7936" t="s">
        <v>32831</v>
      </c>
      <c r="G7936" t="s">
        <v>32839</v>
      </c>
      <c r="H7936" t="s">
        <v>32848</v>
      </c>
      <c r="I7936" t="s">
        <v>4446</v>
      </c>
      <c r="J7936" t="s">
        <v>33279</v>
      </c>
      <c r="K7936" t="s">
        <v>42763</v>
      </c>
      <c r="M7936" t="s">
        <v>45887</v>
      </c>
      <c r="N7936" t="s">
        <v>47424</v>
      </c>
      <c r="O7936" t="s">
        <v>47425</v>
      </c>
      <c r="P7936">
        <v>0</v>
      </c>
      <c r="Q7936">
        <v>3</v>
      </c>
      <c r="R7936" t="s">
        <v>47432</v>
      </c>
      <c r="S7936" t="s">
        <v>47597</v>
      </c>
      <c r="T7936" t="s">
        <v>49073</v>
      </c>
      <c r="U7936" t="s">
        <v>56277</v>
      </c>
      <c r="W7936" t="s">
        <v>45887</v>
      </c>
      <c r="X7936" t="s">
        <v>47434</v>
      </c>
    </row>
    <row r="7937" spans="1:24">
      <c r="A7937">
        <f>HYPERLINK("https://www.philgeps.gov.ph/GEPSNONPILOT/Tender/SplashBidNoticeAbstractUI.aspx?menuIndex=3&amp;refID=7152378&amp;Result=3","7152378")</f>
        <v>0</v>
      </c>
      <c r="B7937" t="s">
        <v>2665</v>
      </c>
      <c r="C7937" t="s">
        <v>11367</v>
      </c>
      <c r="E7937" t="s">
        <v>26005</v>
      </c>
      <c r="F7937" t="s">
        <v>32831</v>
      </c>
      <c r="G7937" t="s">
        <v>32839</v>
      </c>
      <c r="H7937" t="s">
        <v>32848</v>
      </c>
      <c r="I7937" t="s">
        <v>7416</v>
      </c>
      <c r="J7937" t="s">
        <v>37937</v>
      </c>
      <c r="K7937" t="s">
        <v>42732</v>
      </c>
      <c r="M7937" t="s">
        <v>45888</v>
      </c>
      <c r="N7937" t="s">
        <v>47424</v>
      </c>
      <c r="O7937" t="s">
        <v>47425</v>
      </c>
      <c r="P7937">
        <v>0</v>
      </c>
      <c r="Q7937">
        <v>0</v>
      </c>
      <c r="R7937" t="s">
        <v>47432</v>
      </c>
      <c r="S7937" t="s">
        <v>47597</v>
      </c>
      <c r="T7937" t="s">
        <v>49081</v>
      </c>
      <c r="U7937" t="s">
        <v>56278</v>
      </c>
      <c r="W7937" t="s">
        <v>45888</v>
      </c>
      <c r="X7937" t="s">
        <v>47433</v>
      </c>
    </row>
    <row r="7938" spans="1:24">
      <c r="A7938">
        <f>HYPERLINK("https://www.philgeps.gov.ph/GEPSNONPILOT/Tender/SplashBidNoticeAbstractUI.aspx?menuIndex=3&amp;refID=7152375&amp;Result=3","7152375")</f>
        <v>0</v>
      </c>
      <c r="B7938" t="s">
        <v>2666</v>
      </c>
      <c r="C7938" t="s">
        <v>9215</v>
      </c>
      <c r="D7938" t="s">
        <v>19077</v>
      </c>
      <c r="E7938" t="s">
        <v>26006</v>
      </c>
      <c r="F7938" t="s">
        <v>32831</v>
      </c>
      <c r="G7938" t="s">
        <v>32838</v>
      </c>
      <c r="H7938" t="s">
        <v>32848</v>
      </c>
      <c r="I7938" t="s">
        <v>7416</v>
      </c>
      <c r="J7938" t="s">
        <v>37938</v>
      </c>
      <c r="K7938" t="s">
        <v>42726</v>
      </c>
      <c r="M7938" t="s">
        <v>45889</v>
      </c>
      <c r="N7938" t="s">
        <v>47424</v>
      </c>
      <c r="O7938" t="s">
        <v>47425</v>
      </c>
      <c r="P7938">
        <v>0</v>
      </c>
      <c r="Q7938">
        <v>0</v>
      </c>
      <c r="R7938" t="s">
        <v>47432</v>
      </c>
      <c r="S7938" t="s">
        <v>47597</v>
      </c>
      <c r="T7938" t="s">
        <v>49493</v>
      </c>
      <c r="U7938" t="s">
        <v>56279</v>
      </c>
      <c r="V7938" t="s">
        <v>63508</v>
      </c>
      <c r="W7938" t="s">
        <v>45889</v>
      </c>
      <c r="X7938" t="s">
        <v>47433</v>
      </c>
    </row>
    <row r="7939" spans="1:24">
      <c r="A7939">
        <f>HYPERLINK("https://www.philgeps.gov.ph/GEPSNONPILOT/Tender/SplashBidNoticeAbstractUI.aspx?menuIndex=3&amp;refID=7152289&amp;Result=3","7152289")</f>
        <v>0</v>
      </c>
      <c r="B7939" t="s">
        <v>2187</v>
      </c>
      <c r="C7939" t="s">
        <v>11368</v>
      </c>
      <c r="D7939" t="s">
        <v>19017</v>
      </c>
      <c r="E7939" t="s">
        <v>24144</v>
      </c>
      <c r="F7939" t="s">
        <v>32833</v>
      </c>
      <c r="G7939" t="s">
        <v>32838</v>
      </c>
      <c r="H7939" t="s">
        <v>32848</v>
      </c>
      <c r="I7939" t="s">
        <v>32858</v>
      </c>
      <c r="J7939" t="s">
        <v>33178</v>
      </c>
      <c r="K7939" t="s">
        <v>42726</v>
      </c>
      <c r="M7939" t="s">
        <v>45367</v>
      </c>
      <c r="N7939" t="s">
        <v>47424</v>
      </c>
      <c r="O7939" t="s">
        <v>47425</v>
      </c>
      <c r="P7939">
        <v>0</v>
      </c>
      <c r="Q7939">
        <v>8</v>
      </c>
      <c r="R7939" t="s">
        <v>47432</v>
      </c>
      <c r="S7939" t="s">
        <v>47597</v>
      </c>
      <c r="T7939" t="s">
        <v>49177</v>
      </c>
      <c r="U7939" t="s">
        <v>56280</v>
      </c>
      <c r="V7939" t="s">
        <v>63509</v>
      </c>
      <c r="W7939" t="s">
        <v>45367</v>
      </c>
      <c r="X7939" t="s">
        <v>47433</v>
      </c>
    </row>
    <row r="7940" spans="1:24">
      <c r="A7940">
        <f>HYPERLINK("https://www.philgeps.gov.ph/GEPSNONPILOT/Tender/SplashBidNoticeAbstractUI.aspx?menuIndex=3&amp;refID=7152354&amp;Result=3","7152354")</f>
        <v>0</v>
      </c>
      <c r="B7940" t="s">
        <v>2657</v>
      </c>
      <c r="C7940" t="s">
        <v>11369</v>
      </c>
      <c r="D7940" t="s">
        <v>19056</v>
      </c>
      <c r="E7940" t="s">
        <v>26007</v>
      </c>
      <c r="F7940" t="s">
        <v>32831</v>
      </c>
      <c r="G7940" t="s">
        <v>32839</v>
      </c>
      <c r="H7940" t="s">
        <v>32849</v>
      </c>
      <c r="I7940" t="s">
        <v>4177</v>
      </c>
      <c r="J7940" t="s">
        <v>33083</v>
      </c>
      <c r="K7940" t="s">
        <v>42732</v>
      </c>
      <c r="M7940" t="s">
        <v>45880</v>
      </c>
      <c r="N7940" t="s">
        <v>47424</v>
      </c>
      <c r="O7940" t="s">
        <v>47425</v>
      </c>
      <c r="P7940">
        <v>0</v>
      </c>
      <c r="Q7940">
        <v>0</v>
      </c>
      <c r="R7940" t="s">
        <v>47432</v>
      </c>
      <c r="S7940" t="s">
        <v>47597</v>
      </c>
      <c r="T7940" t="s">
        <v>49139</v>
      </c>
      <c r="U7940" t="s">
        <v>56281</v>
      </c>
      <c r="W7940" t="s">
        <v>45880</v>
      </c>
      <c r="X7940" t="s">
        <v>47433</v>
      </c>
    </row>
    <row r="7941" spans="1:24">
      <c r="A7941">
        <f>HYPERLINK("https://www.philgeps.gov.ph/GEPSNONPILOT/Tender/SplashBidNoticeAbstractUI.aspx?menuIndex=3&amp;refID=7152362&amp;Result=3","7152362")</f>
        <v>0</v>
      </c>
      <c r="B7941" t="s">
        <v>2644</v>
      </c>
      <c r="C7941" t="s">
        <v>11370</v>
      </c>
      <c r="D7941" t="s">
        <v>19045</v>
      </c>
      <c r="E7941" t="s">
        <v>19943</v>
      </c>
      <c r="F7941" t="s">
        <v>32831</v>
      </c>
      <c r="G7941" t="s">
        <v>32839</v>
      </c>
      <c r="H7941" t="s">
        <v>32849</v>
      </c>
      <c r="I7941" t="s">
        <v>4177</v>
      </c>
      <c r="J7941" t="s">
        <v>33279</v>
      </c>
      <c r="K7941" t="s">
        <v>42779</v>
      </c>
      <c r="M7941" t="s">
        <v>45867</v>
      </c>
      <c r="N7941" t="s">
        <v>47424</v>
      </c>
      <c r="O7941" t="s">
        <v>47425</v>
      </c>
      <c r="P7941">
        <v>0</v>
      </c>
      <c r="Q7941">
        <v>0</v>
      </c>
      <c r="R7941" t="s">
        <v>47432</v>
      </c>
      <c r="S7941" t="s">
        <v>47597</v>
      </c>
      <c r="T7941" t="s">
        <v>49221</v>
      </c>
      <c r="U7941" t="s">
        <v>56282</v>
      </c>
      <c r="W7941" t="s">
        <v>45867</v>
      </c>
      <c r="X7941" t="s">
        <v>47433</v>
      </c>
    </row>
    <row r="7942" spans="1:24">
      <c r="A7942">
        <f>HYPERLINK("https://www.philgeps.gov.ph/GEPSNONPILOT/Tender/SplashBidNoticeAbstractUI.aspx?menuIndex=3&amp;refID=7152351&amp;Result=3","7152351")</f>
        <v>0</v>
      </c>
      <c r="B7942" t="s">
        <v>2667</v>
      </c>
      <c r="C7942" t="s">
        <v>11371</v>
      </c>
      <c r="D7942" t="s">
        <v>19025</v>
      </c>
      <c r="E7942" t="s">
        <v>26008</v>
      </c>
      <c r="F7942" t="s">
        <v>32831</v>
      </c>
      <c r="G7942" t="s">
        <v>32839</v>
      </c>
      <c r="H7942" t="s">
        <v>32848</v>
      </c>
      <c r="I7942" t="s">
        <v>10643</v>
      </c>
      <c r="J7942" t="s">
        <v>34348</v>
      </c>
      <c r="K7942" t="s">
        <v>42730</v>
      </c>
      <c r="M7942" t="s">
        <v>45890</v>
      </c>
      <c r="N7942" t="s">
        <v>47424</v>
      </c>
      <c r="O7942" t="s">
        <v>47425</v>
      </c>
      <c r="P7942">
        <v>0</v>
      </c>
      <c r="Q7942">
        <v>1</v>
      </c>
      <c r="R7942" t="s">
        <v>47432</v>
      </c>
      <c r="S7942" t="s">
        <v>47597</v>
      </c>
      <c r="T7942" t="s">
        <v>49129</v>
      </c>
      <c r="U7942" t="s">
        <v>56283</v>
      </c>
      <c r="W7942" t="s">
        <v>45890</v>
      </c>
      <c r="X7942" t="s">
        <v>47433</v>
      </c>
    </row>
    <row r="7943" spans="1:24">
      <c r="A7943">
        <f>HYPERLINK("https://www.philgeps.gov.ph/GEPSNONPILOT/Tender/SplashBidNoticeAbstractUI.aspx?menuIndex=3&amp;refID=7152369&amp;Result=3","7152369")</f>
        <v>0</v>
      </c>
      <c r="B7943" t="s">
        <v>2568</v>
      </c>
      <c r="C7943" t="s">
        <v>11372</v>
      </c>
      <c r="D7943" t="s">
        <v>19073</v>
      </c>
      <c r="E7943" t="s">
        <v>26009</v>
      </c>
      <c r="F7943" t="s">
        <v>32831</v>
      </c>
      <c r="G7943" t="s">
        <v>32838</v>
      </c>
      <c r="H7943" t="s">
        <v>32848</v>
      </c>
      <c r="I7943" t="s">
        <v>7416</v>
      </c>
      <c r="J7943" t="s">
        <v>37939</v>
      </c>
      <c r="K7943" t="s">
        <v>42732</v>
      </c>
      <c r="M7943" t="s">
        <v>45784</v>
      </c>
      <c r="N7943" t="s">
        <v>47424</v>
      </c>
      <c r="O7943" t="s">
        <v>47425</v>
      </c>
      <c r="P7943">
        <v>0</v>
      </c>
      <c r="Q7943">
        <v>2</v>
      </c>
      <c r="R7943" t="s">
        <v>47432</v>
      </c>
      <c r="S7943" t="s">
        <v>47597</v>
      </c>
      <c r="T7943" t="s">
        <v>49123</v>
      </c>
      <c r="U7943" t="s">
        <v>56284</v>
      </c>
      <c r="W7943" t="s">
        <v>45784</v>
      </c>
      <c r="X7943" t="s">
        <v>47433</v>
      </c>
    </row>
    <row r="7944" spans="1:24">
      <c r="A7944">
        <f>HYPERLINK("https://www.philgeps.gov.ph/GEPSNONPILOT/Tender/SplashBidNoticeAbstractUI.aspx?menuIndex=3&amp;refID=7152345&amp;Result=3","7152345")</f>
        <v>0</v>
      </c>
      <c r="B7944" t="s">
        <v>1473</v>
      </c>
      <c r="C7944" t="s">
        <v>11373</v>
      </c>
      <c r="D7944" t="s">
        <v>19067</v>
      </c>
      <c r="E7944" t="s">
        <v>26010</v>
      </c>
      <c r="F7944" t="s">
        <v>32831</v>
      </c>
      <c r="G7944" t="s">
        <v>32838</v>
      </c>
      <c r="H7944" t="s">
        <v>32849</v>
      </c>
      <c r="I7944" t="s">
        <v>7416</v>
      </c>
      <c r="J7944" t="s">
        <v>33826</v>
      </c>
      <c r="K7944" t="s">
        <v>42747</v>
      </c>
      <c r="M7944" t="s">
        <v>44566</v>
      </c>
      <c r="N7944" t="s">
        <v>47424</v>
      </c>
      <c r="O7944" t="s">
        <v>47425</v>
      </c>
      <c r="P7944">
        <v>0</v>
      </c>
      <c r="Q7944">
        <v>0</v>
      </c>
      <c r="R7944" t="s">
        <v>47432</v>
      </c>
      <c r="S7944" t="s">
        <v>47597</v>
      </c>
      <c r="T7944" t="s">
        <v>49237</v>
      </c>
      <c r="U7944" t="s">
        <v>56285</v>
      </c>
      <c r="W7944" t="s">
        <v>44566</v>
      </c>
      <c r="X7944" t="s">
        <v>47433</v>
      </c>
    </row>
    <row r="7945" spans="1:24">
      <c r="A7945">
        <f>HYPERLINK("https://www.philgeps.gov.ph/GEPSNONPILOT/Tender/SplashBidNoticeAbstractUI.aspx?menuIndex=3&amp;refID=7152344&amp;Result=3","7152344")</f>
        <v>0</v>
      </c>
      <c r="B7945" t="s">
        <v>2668</v>
      </c>
      <c r="C7945" t="s">
        <v>11374</v>
      </c>
      <c r="D7945" t="s">
        <v>19039</v>
      </c>
      <c r="E7945" t="s">
        <v>26011</v>
      </c>
      <c r="F7945" t="s">
        <v>32831</v>
      </c>
      <c r="G7945" t="s">
        <v>32839</v>
      </c>
      <c r="H7945" t="s">
        <v>32848</v>
      </c>
      <c r="I7945" t="s">
        <v>9577</v>
      </c>
      <c r="J7945" t="s">
        <v>37940</v>
      </c>
      <c r="K7945" t="s">
        <v>42730</v>
      </c>
      <c r="M7945" t="s">
        <v>45891</v>
      </c>
      <c r="N7945" t="s">
        <v>47424</v>
      </c>
      <c r="O7945" t="s">
        <v>47425</v>
      </c>
      <c r="P7945">
        <v>0</v>
      </c>
      <c r="Q7945">
        <v>5</v>
      </c>
      <c r="R7945" t="s">
        <v>47432</v>
      </c>
      <c r="S7945" t="s">
        <v>47597</v>
      </c>
      <c r="T7945" t="s">
        <v>49236</v>
      </c>
      <c r="U7945" t="s">
        <v>56286</v>
      </c>
      <c r="W7945" t="s">
        <v>45891</v>
      </c>
      <c r="X7945" t="s">
        <v>47433</v>
      </c>
    </row>
    <row r="7946" spans="1:24">
      <c r="A7946">
        <f>HYPERLINK("https://www.philgeps.gov.ph/GEPSNONPILOT/Tender/SplashBidNoticeAbstractUI.aspx?menuIndex=3&amp;refID=7152341&amp;Result=3","7152341")</f>
        <v>0</v>
      </c>
      <c r="B7946" t="s">
        <v>2664</v>
      </c>
      <c r="C7946" t="s">
        <v>11375</v>
      </c>
      <c r="E7946" t="s">
        <v>26012</v>
      </c>
      <c r="F7946" t="s">
        <v>32831</v>
      </c>
      <c r="G7946" t="s">
        <v>32839</v>
      </c>
      <c r="H7946" t="s">
        <v>32848</v>
      </c>
      <c r="I7946" t="s">
        <v>8781</v>
      </c>
      <c r="J7946" t="s">
        <v>37941</v>
      </c>
      <c r="K7946" t="s">
        <v>42729</v>
      </c>
      <c r="M7946" t="s">
        <v>45887</v>
      </c>
      <c r="N7946" t="s">
        <v>47424</v>
      </c>
      <c r="O7946" t="s">
        <v>47425</v>
      </c>
      <c r="P7946">
        <v>0</v>
      </c>
      <c r="Q7946">
        <v>1</v>
      </c>
      <c r="R7946" t="s">
        <v>47432</v>
      </c>
      <c r="S7946" t="s">
        <v>47597</v>
      </c>
      <c r="T7946" t="s">
        <v>49132</v>
      </c>
      <c r="U7946" t="s">
        <v>56287</v>
      </c>
      <c r="W7946" t="s">
        <v>45887</v>
      </c>
      <c r="X7946" t="s">
        <v>47433</v>
      </c>
    </row>
    <row r="7947" spans="1:24">
      <c r="A7947">
        <f>HYPERLINK("https://www.philgeps.gov.ph/GEPSNONPILOT/Tender/SplashBidNoticeAbstractUI.aspx?menuIndex=3&amp;refID=7152347&amp;Result=3","7152347")</f>
        <v>0</v>
      </c>
      <c r="B7947" t="s">
        <v>136</v>
      </c>
      <c r="C7947" t="s">
        <v>11376</v>
      </c>
      <c r="D7947" t="s">
        <v>19047</v>
      </c>
      <c r="E7947" t="s">
        <v>26013</v>
      </c>
      <c r="F7947" t="s">
        <v>32831</v>
      </c>
      <c r="G7947" t="s">
        <v>32838</v>
      </c>
      <c r="H7947" t="s">
        <v>32848</v>
      </c>
      <c r="I7947" t="s">
        <v>32867</v>
      </c>
      <c r="J7947" t="s">
        <v>37942</v>
      </c>
      <c r="K7947" t="s">
        <v>42729</v>
      </c>
      <c r="L7947" t="s">
        <v>136</v>
      </c>
      <c r="M7947" t="s">
        <v>43133</v>
      </c>
      <c r="N7947" t="s">
        <v>47424</v>
      </c>
      <c r="O7947" t="s">
        <v>47425</v>
      </c>
      <c r="P7947">
        <v>0</v>
      </c>
      <c r="Q7947">
        <v>13</v>
      </c>
      <c r="R7947" t="s">
        <v>47432</v>
      </c>
      <c r="S7947" t="s">
        <v>47597</v>
      </c>
      <c r="T7947" t="s">
        <v>49163</v>
      </c>
      <c r="U7947" t="s">
        <v>56288</v>
      </c>
      <c r="W7947" t="s">
        <v>43133</v>
      </c>
      <c r="X7947" t="s">
        <v>47433</v>
      </c>
    </row>
    <row r="7948" spans="1:24">
      <c r="A7948">
        <f>HYPERLINK("https://www.philgeps.gov.ph/GEPSNONPILOT/Tender/SplashBidNoticeAbstractUI.aspx?menuIndex=3&amp;refID=7152339&amp;Result=3","7152339")</f>
        <v>0</v>
      </c>
      <c r="B7948" t="s">
        <v>2637</v>
      </c>
      <c r="C7948" t="s">
        <v>11377</v>
      </c>
      <c r="D7948" t="s">
        <v>19017</v>
      </c>
      <c r="E7948" t="s">
        <v>26014</v>
      </c>
      <c r="F7948" t="s">
        <v>32831</v>
      </c>
      <c r="G7948" t="s">
        <v>32838</v>
      </c>
      <c r="H7948" t="s">
        <v>32848</v>
      </c>
      <c r="I7948" t="s">
        <v>5379</v>
      </c>
      <c r="J7948" t="s">
        <v>37943</v>
      </c>
      <c r="K7948" t="s">
        <v>42786</v>
      </c>
      <c r="M7948" t="s">
        <v>45859</v>
      </c>
      <c r="N7948" t="s">
        <v>47424</v>
      </c>
      <c r="O7948" t="s">
        <v>47425</v>
      </c>
      <c r="P7948">
        <v>0</v>
      </c>
      <c r="Q7948">
        <v>5</v>
      </c>
      <c r="R7948" t="s">
        <v>47432</v>
      </c>
      <c r="S7948" t="s">
        <v>47597</v>
      </c>
      <c r="T7948" t="s">
        <v>49111</v>
      </c>
      <c r="U7948" t="s">
        <v>56289</v>
      </c>
      <c r="W7948" t="s">
        <v>45859</v>
      </c>
      <c r="X7948" t="s">
        <v>47433</v>
      </c>
    </row>
    <row r="7949" spans="1:24">
      <c r="A7949">
        <f>HYPERLINK("https://www.philgeps.gov.ph/GEPSNONPILOT/Tender/SplashBidNoticeAbstractUI.aspx?menuIndex=3&amp;refID=7152366&amp;Result=3","7152366")</f>
        <v>0</v>
      </c>
      <c r="B7949" t="s">
        <v>2669</v>
      </c>
      <c r="C7949" t="s">
        <v>11378</v>
      </c>
      <c r="D7949" t="s">
        <v>19043</v>
      </c>
      <c r="E7949" t="s">
        <v>26015</v>
      </c>
      <c r="F7949" t="s">
        <v>32831</v>
      </c>
      <c r="G7949" t="s">
        <v>32839</v>
      </c>
      <c r="H7949" t="s">
        <v>32849</v>
      </c>
      <c r="I7949" t="s">
        <v>4177</v>
      </c>
      <c r="J7949" t="s">
        <v>33032</v>
      </c>
      <c r="K7949" t="s">
        <v>42765</v>
      </c>
      <c r="M7949" t="s">
        <v>45892</v>
      </c>
      <c r="N7949" t="s">
        <v>47424</v>
      </c>
      <c r="O7949" t="s">
        <v>47425</v>
      </c>
      <c r="P7949">
        <v>0</v>
      </c>
      <c r="Q7949">
        <v>2</v>
      </c>
      <c r="R7949" t="s">
        <v>47432</v>
      </c>
      <c r="S7949" t="s">
        <v>47597</v>
      </c>
      <c r="T7949" t="s">
        <v>49139</v>
      </c>
      <c r="U7949" t="s">
        <v>56290</v>
      </c>
      <c r="W7949" t="s">
        <v>45892</v>
      </c>
      <c r="X7949" t="s">
        <v>47433</v>
      </c>
    </row>
    <row r="7950" spans="1:24">
      <c r="A7950">
        <f>HYPERLINK("https://www.philgeps.gov.ph/GEPSNONPILOT/Tender/SplashBidNoticeAbstractUI.aspx?menuIndex=3&amp;refID=7152343&amp;Result=3","7152343")</f>
        <v>0</v>
      </c>
      <c r="B7950" t="s">
        <v>2657</v>
      </c>
      <c r="C7950" t="s">
        <v>11379</v>
      </c>
      <c r="D7950" t="s">
        <v>19056</v>
      </c>
      <c r="E7950" t="s">
        <v>26016</v>
      </c>
      <c r="F7950" t="s">
        <v>32831</v>
      </c>
      <c r="G7950" t="s">
        <v>32839</v>
      </c>
      <c r="H7950" t="s">
        <v>32849</v>
      </c>
      <c r="I7950" t="s">
        <v>4177</v>
      </c>
      <c r="J7950" t="s">
        <v>33083</v>
      </c>
      <c r="K7950" t="s">
        <v>42732</v>
      </c>
      <c r="M7950" t="s">
        <v>45880</v>
      </c>
      <c r="N7950" t="s">
        <v>47424</v>
      </c>
      <c r="O7950" t="s">
        <v>47425</v>
      </c>
      <c r="P7950">
        <v>0</v>
      </c>
      <c r="Q7950">
        <v>0</v>
      </c>
      <c r="R7950" t="s">
        <v>47432</v>
      </c>
      <c r="S7950" t="s">
        <v>47597</v>
      </c>
      <c r="T7950" t="s">
        <v>49139</v>
      </c>
      <c r="U7950" t="s">
        <v>56291</v>
      </c>
      <c r="W7950" t="s">
        <v>45880</v>
      </c>
      <c r="X7950" t="s">
        <v>47433</v>
      </c>
    </row>
    <row r="7951" spans="1:24">
      <c r="A7951">
        <f>HYPERLINK("https://www.philgeps.gov.ph/GEPSNONPILOT/Tender/SplashBidNoticeAbstractUI.aspx?menuIndex=3&amp;refID=7152423&amp;Result=3","7152423")</f>
        <v>0</v>
      </c>
      <c r="B7951" t="s">
        <v>2670</v>
      </c>
      <c r="C7951" t="s">
        <v>11380</v>
      </c>
      <c r="D7951" t="s">
        <v>19071</v>
      </c>
      <c r="E7951" t="s">
        <v>26017</v>
      </c>
      <c r="F7951" t="s">
        <v>32831</v>
      </c>
      <c r="G7951" t="s">
        <v>32839</v>
      </c>
      <c r="H7951" t="s">
        <v>32849</v>
      </c>
      <c r="I7951" t="s">
        <v>4177</v>
      </c>
      <c r="J7951" t="s">
        <v>37944</v>
      </c>
      <c r="K7951" t="s">
        <v>42770</v>
      </c>
      <c r="M7951" t="s">
        <v>45893</v>
      </c>
      <c r="N7951" t="s">
        <v>47424</v>
      </c>
      <c r="O7951" t="s">
        <v>47425</v>
      </c>
      <c r="P7951">
        <v>0</v>
      </c>
      <c r="Q7951">
        <v>0</v>
      </c>
      <c r="R7951" t="s">
        <v>47432</v>
      </c>
      <c r="S7951" t="s">
        <v>47597</v>
      </c>
      <c r="T7951" t="s">
        <v>49494</v>
      </c>
      <c r="U7951" t="s">
        <v>56292</v>
      </c>
      <c r="V7951" t="s">
        <v>63510</v>
      </c>
      <c r="W7951" t="s">
        <v>45893</v>
      </c>
      <c r="X7951" t="s">
        <v>47433</v>
      </c>
    </row>
    <row r="7952" spans="1:24">
      <c r="A7952">
        <f>HYPERLINK("https://www.philgeps.gov.ph/GEPSNONPILOT/Tender/SplashBidNoticeAbstractUI.aspx?menuIndex=3&amp;refID=7152419&amp;Result=3","7152419")</f>
        <v>0</v>
      </c>
      <c r="B7952" t="s">
        <v>2671</v>
      </c>
      <c r="C7952" t="s">
        <v>11381</v>
      </c>
      <c r="D7952" t="s">
        <v>19034</v>
      </c>
      <c r="E7952" t="s">
        <v>26018</v>
      </c>
      <c r="F7952" t="s">
        <v>32831</v>
      </c>
      <c r="G7952" t="s">
        <v>32839</v>
      </c>
      <c r="H7952" t="s">
        <v>32848</v>
      </c>
      <c r="I7952" t="s">
        <v>7416</v>
      </c>
      <c r="J7952" t="s">
        <v>37235</v>
      </c>
      <c r="K7952" t="s">
        <v>42726</v>
      </c>
      <c r="M7952" t="s">
        <v>45894</v>
      </c>
      <c r="N7952" t="s">
        <v>47424</v>
      </c>
      <c r="O7952" t="s">
        <v>47425</v>
      </c>
      <c r="P7952">
        <v>0</v>
      </c>
      <c r="Q7952">
        <v>0</v>
      </c>
      <c r="R7952" t="s">
        <v>47432</v>
      </c>
      <c r="S7952" t="s">
        <v>47597</v>
      </c>
      <c r="T7952" t="s">
        <v>49162</v>
      </c>
      <c r="U7952" t="s">
        <v>49907</v>
      </c>
      <c r="W7952" t="s">
        <v>45894</v>
      </c>
      <c r="X7952" t="s">
        <v>47433</v>
      </c>
    </row>
    <row r="7953" spans="1:24">
      <c r="A7953">
        <f>HYPERLINK("https://www.philgeps.gov.ph/GEPSNONPILOT/Tender/SplashBidNoticeAbstractUI.aspx?menuIndex=3&amp;refID=7152415&amp;Result=3","7152415")</f>
        <v>0</v>
      </c>
      <c r="B7953" t="s">
        <v>1971</v>
      </c>
      <c r="C7953" t="s">
        <v>11382</v>
      </c>
      <c r="D7953" t="s">
        <v>19018</v>
      </c>
      <c r="E7953" t="s">
        <v>20485</v>
      </c>
      <c r="F7953" t="s">
        <v>32831</v>
      </c>
      <c r="G7953" t="s">
        <v>32839</v>
      </c>
      <c r="H7953" t="s">
        <v>32848</v>
      </c>
      <c r="I7953" t="s">
        <v>32858</v>
      </c>
      <c r="J7953" t="s">
        <v>33041</v>
      </c>
      <c r="K7953" t="s">
        <v>42731</v>
      </c>
      <c r="M7953" t="s">
        <v>45131</v>
      </c>
      <c r="N7953" t="s">
        <v>47424</v>
      </c>
      <c r="O7953" t="s">
        <v>47425</v>
      </c>
      <c r="P7953">
        <v>0</v>
      </c>
      <c r="Q7953">
        <v>1</v>
      </c>
      <c r="R7953" t="s">
        <v>47432</v>
      </c>
      <c r="S7953" t="s">
        <v>47597</v>
      </c>
      <c r="T7953" t="s">
        <v>49124</v>
      </c>
      <c r="U7953" t="s">
        <v>56293</v>
      </c>
      <c r="W7953" t="s">
        <v>45131</v>
      </c>
      <c r="X7953" t="s">
        <v>47433</v>
      </c>
    </row>
    <row r="7954" spans="1:24">
      <c r="A7954">
        <f>HYPERLINK("https://www.philgeps.gov.ph/GEPSNONPILOT/Tender/SplashBidNoticeAbstractUI.aspx?menuIndex=3&amp;refID=7152372&amp;Result=3","7152372")</f>
        <v>0</v>
      </c>
      <c r="B7954" t="s">
        <v>2672</v>
      </c>
      <c r="C7954" t="s">
        <v>11383</v>
      </c>
      <c r="D7954" t="s">
        <v>19043</v>
      </c>
      <c r="E7954" t="s">
        <v>19219</v>
      </c>
      <c r="F7954" t="s">
        <v>32831</v>
      </c>
      <c r="G7954" t="s">
        <v>32839</v>
      </c>
      <c r="H7954" t="s">
        <v>32849</v>
      </c>
      <c r="I7954" t="s">
        <v>4177</v>
      </c>
      <c r="J7954" t="s">
        <v>37945</v>
      </c>
      <c r="K7954" t="s">
        <v>42732</v>
      </c>
      <c r="M7954" t="s">
        <v>45895</v>
      </c>
      <c r="N7954" t="s">
        <v>47424</v>
      </c>
      <c r="O7954" t="s">
        <v>47425</v>
      </c>
      <c r="P7954">
        <v>0</v>
      </c>
      <c r="Q7954">
        <v>0</v>
      </c>
      <c r="R7954" t="s">
        <v>47432</v>
      </c>
      <c r="S7954" t="s">
        <v>47597</v>
      </c>
      <c r="T7954" t="s">
        <v>49114</v>
      </c>
      <c r="U7954" t="s">
        <v>49907</v>
      </c>
      <c r="W7954" t="s">
        <v>45895</v>
      </c>
      <c r="X7954" t="s">
        <v>47433</v>
      </c>
    </row>
    <row r="7955" spans="1:24">
      <c r="A7955">
        <f>HYPERLINK("https://www.philgeps.gov.ph/GEPSNONPILOT/Tender/SplashBidNoticeAbstractUI.aspx?menuIndex=3&amp;refID=7152407&amp;Result=3","7152407")</f>
        <v>0</v>
      </c>
      <c r="B7955" t="s">
        <v>1657</v>
      </c>
      <c r="C7955" t="s">
        <v>11384</v>
      </c>
      <c r="E7955" t="s">
        <v>26019</v>
      </c>
      <c r="F7955" t="s">
        <v>32831</v>
      </c>
      <c r="G7955" t="s">
        <v>32841</v>
      </c>
      <c r="H7955" t="s">
        <v>32848</v>
      </c>
      <c r="I7955" t="s">
        <v>7751</v>
      </c>
      <c r="J7955" t="s">
        <v>33032</v>
      </c>
      <c r="K7955" t="s">
        <v>42747</v>
      </c>
      <c r="M7955" t="s">
        <v>44774</v>
      </c>
      <c r="N7955" t="s">
        <v>47424</v>
      </c>
      <c r="O7955" t="s">
        <v>47425</v>
      </c>
      <c r="P7955">
        <v>0</v>
      </c>
      <c r="Q7955">
        <v>2</v>
      </c>
      <c r="R7955" t="s">
        <v>47432</v>
      </c>
      <c r="S7955" t="s">
        <v>47597</v>
      </c>
      <c r="T7955" t="s">
        <v>49394</v>
      </c>
      <c r="U7955" t="s">
        <v>56294</v>
      </c>
      <c r="W7955" t="s">
        <v>46349</v>
      </c>
      <c r="X7955" t="s">
        <v>47433</v>
      </c>
    </row>
    <row r="7956" spans="1:24">
      <c r="A7956">
        <f>HYPERLINK("https://www.philgeps.gov.ph/GEPSNONPILOT/Tender/SplashBidNoticeAbstractUI.aspx?menuIndex=3&amp;refID=7152406&amp;Result=3","7152406")</f>
        <v>0</v>
      </c>
      <c r="B7956" t="s">
        <v>2673</v>
      </c>
      <c r="C7956" t="s">
        <v>11385</v>
      </c>
      <c r="D7956" t="s">
        <v>19044</v>
      </c>
      <c r="E7956" t="s">
        <v>20769</v>
      </c>
      <c r="F7956" t="s">
        <v>32831</v>
      </c>
      <c r="G7956" t="s">
        <v>32839</v>
      </c>
      <c r="H7956" t="s">
        <v>32849</v>
      </c>
      <c r="I7956" t="s">
        <v>4177</v>
      </c>
      <c r="J7956" t="s">
        <v>37946</v>
      </c>
      <c r="K7956" t="s">
        <v>42911</v>
      </c>
      <c r="M7956" t="s">
        <v>45896</v>
      </c>
      <c r="N7956" t="s">
        <v>47424</v>
      </c>
      <c r="O7956" t="s">
        <v>47425</v>
      </c>
      <c r="P7956">
        <v>0</v>
      </c>
      <c r="Q7956">
        <v>0</v>
      </c>
      <c r="R7956" t="s">
        <v>47432</v>
      </c>
      <c r="S7956" t="s">
        <v>47597</v>
      </c>
      <c r="T7956" t="s">
        <v>49063</v>
      </c>
      <c r="U7956" t="s">
        <v>56295</v>
      </c>
      <c r="W7956" t="s">
        <v>45896</v>
      </c>
      <c r="X7956" t="s">
        <v>47433</v>
      </c>
    </row>
    <row r="7957" spans="1:24">
      <c r="A7957">
        <f>HYPERLINK("https://www.philgeps.gov.ph/GEPSNONPILOT/Tender/SplashBidNoticeAbstractUI.aspx?menuIndex=3&amp;refID=7152373&amp;Result=3","7152373")</f>
        <v>0</v>
      </c>
      <c r="B7957" t="s">
        <v>2674</v>
      </c>
      <c r="C7957" t="s">
        <v>11386</v>
      </c>
      <c r="D7957" t="s">
        <v>19077</v>
      </c>
      <c r="E7957" t="s">
        <v>26020</v>
      </c>
      <c r="F7957" t="s">
        <v>32831</v>
      </c>
      <c r="G7957" t="s">
        <v>32839</v>
      </c>
      <c r="H7957" t="s">
        <v>32848</v>
      </c>
      <c r="I7957" t="s">
        <v>7416</v>
      </c>
      <c r="J7957" t="s">
        <v>32983</v>
      </c>
      <c r="K7957" t="s">
        <v>42727</v>
      </c>
      <c r="M7957" t="s">
        <v>45897</v>
      </c>
      <c r="N7957" t="s">
        <v>47424</v>
      </c>
      <c r="O7957" t="s">
        <v>47425</v>
      </c>
      <c r="P7957">
        <v>0</v>
      </c>
      <c r="Q7957">
        <v>1</v>
      </c>
      <c r="R7957" t="s">
        <v>47432</v>
      </c>
      <c r="S7957" t="s">
        <v>47597</v>
      </c>
      <c r="T7957" t="s">
        <v>49231</v>
      </c>
      <c r="U7957" t="s">
        <v>56296</v>
      </c>
      <c r="W7957" t="s">
        <v>45897</v>
      </c>
      <c r="X7957" t="s">
        <v>47433</v>
      </c>
    </row>
    <row r="7958" spans="1:24">
      <c r="A7958">
        <f>HYPERLINK("https://www.philgeps.gov.ph/GEPSNONPILOT/Tender/SplashBidNoticeAbstractUI.aspx?menuIndex=3&amp;refID=7152416&amp;Result=3","7152416")</f>
        <v>0</v>
      </c>
      <c r="B7958" t="s">
        <v>2675</v>
      </c>
      <c r="C7958" t="s">
        <v>11387</v>
      </c>
      <c r="D7958" t="s">
        <v>19058</v>
      </c>
      <c r="E7958" t="s">
        <v>26021</v>
      </c>
      <c r="F7958" t="s">
        <v>32833</v>
      </c>
      <c r="G7958" t="s">
        <v>32839</v>
      </c>
      <c r="H7958" t="s">
        <v>32848</v>
      </c>
      <c r="I7958" t="s">
        <v>7416</v>
      </c>
      <c r="J7958" t="s">
        <v>37947</v>
      </c>
      <c r="K7958" t="s">
        <v>42730</v>
      </c>
      <c r="M7958" t="s">
        <v>45898</v>
      </c>
      <c r="N7958" t="s">
        <v>47424</v>
      </c>
      <c r="O7958" t="s">
        <v>47425</v>
      </c>
      <c r="P7958">
        <v>0</v>
      </c>
      <c r="Q7958">
        <v>0</v>
      </c>
      <c r="R7958" t="s">
        <v>47432</v>
      </c>
      <c r="S7958" t="s">
        <v>47597</v>
      </c>
      <c r="T7958" t="s">
        <v>49495</v>
      </c>
      <c r="U7958" t="s">
        <v>56297</v>
      </c>
      <c r="W7958" t="s">
        <v>45898</v>
      </c>
      <c r="X7958" t="s">
        <v>47433</v>
      </c>
    </row>
    <row r="7959" spans="1:24">
      <c r="A7959">
        <f>HYPERLINK("https://www.philgeps.gov.ph/GEPSNONPILOT/Tender/SplashBidNoticeAbstractUI.aspx?menuIndex=3&amp;refID=7152398&amp;Result=3","7152398")</f>
        <v>0</v>
      </c>
      <c r="B7959" t="s">
        <v>2676</v>
      </c>
      <c r="C7959" t="s">
        <v>11388</v>
      </c>
      <c r="D7959" t="s">
        <v>19058</v>
      </c>
      <c r="E7959" t="s">
        <v>26022</v>
      </c>
      <c r="F7959" t="s">
        <v>32831</v>
      </c>
      <c r="G7959" t="s">
        <v>32842</v>
      </c>
      <c r="H7959" t="s">
        <v>32848</v>
      </c>
      <c r="I7959" t="s">
        <v>32860</v>
      </c>
      <c r="J7959" t="s">
        <v>33031</v>
      </c>
      <c r="K7959" t="s">
        <v>42731</v>
      </c>
      <c r="M7959" t="s">
        <v>45899</v>
      </c>
      <c r="N7959" t="s">
        <v>47424</v>
      </c>
      <c r="O7959" t="s">
        <v>47425</v>
      </c>
      <c r="P7959">
        <v>0</v>
      </c>
      <c r="Q7959">
        <v>4</v>
      </c>
      <c r="R7959" t="s">
        <v>47432</v>
      </c>
      <c r="S7959" t="s">
        <v>47597</v>
      </c>
      <c r="T7959" t="s">
        <v>49214</v>
      </c>
      <c r="U7959" t="s">
        <v>56298</v>
      </c>
      <c r="W7959" t="s">
        <v>45899</v>
      </c>
      <c r="X7959" t="s">
        <v>47433</v>
      </c>
    </row>
    <row r="7960" spans="1:24">
      <c r="A7960">
        <f>HYPERLINK("https://www.philgeps.gov.ph/GEPSNONPILOT/Tender/SplashBidNoticeAbstractUI.aspx?menuIndex=3&amp;refID=7152404&amp;Result=3","7152404")</f>
        <v>0</v>
      </c>
      <c r="B7960" t="s">
        <v>1444</v>
      </c>
      <c r="C7960" t="s">
        <v>11389</v>
      </c>
      <c r="D7960" t="s">
        <v>19080</v>
      </c>
      <c r="E7960" t="s">
        <v>26023</v>
      </c>
      <c r="F7960" t="s">
        <v>32831</v>
      </c>
      <c r="G7960" t="s">
        <v>32839</v>
      </c>
      <c r="H7960" t="s">
        <v>32848</v>
      </c>
      <c r="I7960" t="s">
        <v>10805</v>
      </c>
      <c r="J7960" t="s">
        <v>37948</v>
      </c>
      <c r="K7960" t="s">
        <v>42730</v>
      </c>
      <c r="M7960" t="s">
        <v>44536</v>
      </c>
      <c r="N7960" t="s">
        <v>47424</v>
      </c>
      <c r="O7960" t="s">
        <v>47425</v>
      </c>
      <c r="P7960">
        <v>0</v>
      </c>
      <c r="Q7960">
        <v>0</v>
      </c>
      <c r="R7960" t="s">
        <v>47432</v>
      </c>
      <c r="S7960" t="s">
        <v>47597</v>
      </c>
      <c r="T7960" t="s">
        <v>49214</v>
      </c>
      <c r="U7960" t="s">
        <v>56299</v>
      </c>
      <c r="W7960" t="s">
        <v>44536</v>
      </c>
      <c r="X7960" t="s">
        <v>47433</v>
      </c>
    </row>
    <row r="7961" spans="1:24">
      <c r="A7961">
        <f>HYPERLINK("https://www.philgeps.gov.ph/GEPSNONPILOT/Tender/SplashBidNoticeAbstractUI.aspx?menuIndex=3&amp;refID=7152323&amp;Result=3","7152323")</f>
        <v>0</v>
      </c>
      <c r="B7961" t="s">
        <v>2657</v>
      </c>
      <c r="C7961" t="s">
        <v>11390</v>
      </c>
      <c r="D7961" t="s">
        <v>19056</v>
      </c>
      <c r="E7961" t="s">
        <v>26024</v>
      </c>
      <c r="F7961" t="s">
        <v>32831</v>
      </c>
      <c r="G7961" t="s">
        <v>32839</v>
      </c>
      <c r="H7961" t="s">
        <v>32849</v>
      </c>
      <c r="I7961" t="s">
        <v>4177</v>
      </c>
      <c r="J7961" t="s">
        <v>33083</v>
      </c>
      <c r="K7961" t="s">
        <v>42732</v>
      </c>
      <c r="M7961" t="s">
        <v>45880</v>
      </c>
      <c r="N7961" t="s">
        <v>47424</v>
      </c>
      <c r="O7961" t="s">
        <v>47425</v>
      </c>
      <c r="P7961">
        <v>0</v>
      </c>
      <c r="Q7961">
        <v>0</v>
      </c>
      <c r="R7961" t="s">
        <v>47432</v>
      </c>
      <c r="S7961" t="s">
        <v>47597</v>
      </c>
      <c r="T7961" t="s">
        <v>49139</v>
      </c>
      <c r="U7961" t="s">
        <v>56300</v>
      </c>
      <c r="W7961" t="s">
        <v>45880</v>
      </c>
      <c r="X7961" t="s">
        <v>47433</v>
      </c>
    </row>
    <row r="7962" spans="1:24">
      <c r="A7962">
        <f>HYPERLINK("https://www.philgeps.gov.ph/GEPSNONPILOT/Tender/SplashBidNoticeAbstractUI.aspx?menuIndex=3&amp;refID=7152360&amp;Result=3","7152360")</f>
        <v>0</v>
      </c>
      <c r="B7962" t="s">
        <v>2277</v>
      </c>
      <c r="C7962" t="s">
        <v>11391</v>
      </c>
      <c r="D7962" t="s">
        <v>19031</v>
      </c>
      <c r="E7962" t="s">
        <v>26025</v>
      </c>
      <c r="F7962" t="s">
        <v>32831</v>
      </c>
      <c r="G7962" t="s">
        <v>32838</v>
      </c>
      <c r="H7962" t="s">
        <v>32848</v>
      </c>
      <c r="I7962" t="s">
        <v>32903</v>
      </c>
      <c r="J7962" t="s">
        <v>33279</v>
      </c>
      <c r="K7962" t="s">
        <v>42730</v>
      </c>
      <c r="M7962" t="s">
        <v>45461</v>
      </c>
      <c r="N7962" t="s">
        <v>47424</v>
      </c>
      <c r="O7962" t="s">
        <v>47425</v>
      </c>
      <c r="P7962">
        <v>0</v>
      </c>
      <c r="Q7962">
        <v>3</v>
      </c>
      <c r="R7962" t="s">
        <v>47432</v>
      </c>
      <c r="S7962" t="s">
        <v>47597</v>
      </c>
      <c r="T7962" t="s">
        <v>49214</v>
      </c>
      <c r="U7962" t="s">
        <v>56301</v>
      </c>
      <c r="W7962" t="s">
        <v>45461</v>
      </c>
      <c r="X7962" t="s">
        <v>47433</v>
      </c>
    </row>
    <row r="7963" spans="1:24">
      <c r="A7963">
        <f>HYPERLINK("https://www.philgeps.gov.ph/GEPSNONPILOT/Tender/SplashBidNoticeAbstractUI.aspx?menuIndex=3&amp;refID=7152394&amp;Result=3","7152394")</f>
        <v>0</v>
      </c>
      <c r="B7963" t="s">
        <v>2670</v>
      </c>
      <c r="C7963" t="s">
        <v>11392</v>
      </c>
      <c r="D7963" t="s">
        <v>19071</v>
      </c>
      <c r="E7963" t="s">
        <v>26026</v>
      </c>
      <c r="F7963" t="s">
        <v>32831</v>
      </c>
      <c r="G7963" t="s">
        <v>32839</v>
      </c>
      <c r="H7963" t="s">
        <v>32849</v>
      </c>
      <c r="I7963" t="s">
        <v>4177</v>
      </c>
      <c r="J7963" t="s">
        <v>37949</v>
      </c>
      <c r="K7963" t="s">
        <v>42829</v>
      </c>
      <c r="M7963" t="s">
        <v>45893</v>
      </c>
      <c r="N7963" t="s">
        <v>47424</v>
      </c>
      <c r="O7963" t="s">
        <v>47425</v>
      </c>
      <c r="P7963">
        <v>0</v>
      </c>
      <c r="Q7963">
        <v>0</v>
      </c>
      <c r="R7963" t="s">
        <v>47432</v>
      </c>
      <c r="S7963" t="s">
        <v>47597</v>
      </c>
      <c r="T7963" t="s">
        <v>49494</v>
      </c>
      <c r="U7963" t="s">
        <v>56302</v>
      </c>
      <c r="V7963" t="s">
        <v>63510</v>
      </c>
      <c r="W7963" t="s">
        <v>45893</v>
      </c>
      <c r="X7963" t="s">
        <v>47433</v>
      </c>
    </row>
    <row r="7964" spans="1:24">
      <c r="A7964">
        <f>HYPERLINK("https://www.philgeps.gov.ph/GEPSNONPILOT/Tender/SplashBidNoticeAbstractUI.aspx?menuIndex=3&amp;refID=7152413&amp;Result=3","7152413")</f>
        <v>0</v>
      </c>
      <c r="B7964" t="s">
        <v>2670</v>
      </c>
      <c r="C7964" t="s">
        <v>11393</v>
      </c>
      <c r="D7964" t="s">
        <v>19071</v>
      </c>
      <c r="E7964" t="s">
        <v>26027</v>
      </c>
      <c r="F7964" t="s">
        <v>32831</v>
      </c>
      <c r="G7964" t="s">
        <v>32839</v>
      </c>
      <c r="H7964" t="s">
        <v>32849</v>
      </c>
      <c r="I7964" t="s">
        <v>4177</v>
      </c>
      <c r="J7964" t="s">
        <v>37950</v>
      </c>
      <c r="K7964" t="s">
        <v>42770</v>
      </c>
      <c r="M7964" t="s">
        <v>45893</v>
      </c>
      <c r="N7964" t="s">
        <v>47424</v>
      </c>
      <c r="O7964" t="s">
        <v>47425</v>
      </c>
      <c r="P7964">
        <v>0</v>
      </c>
      <c r="Q7964">
        <v>0</v>
      </c>
      <c r="R7964" t="s">
        <v>47432</v>
      </c>
      <c r="S7964" t="s">
        <v>47597</v>
      </c>
      <c r="T7964" t="s">
        <v>49494</v>
      </c>
      <c r="U7964" t="s">
        <v>56303</v>
      </c>
      <c r="V7964" t="s">
        <v>63510</v>
      </c>
      <c r="W7964" t="s">
        <v>45893</v>
      </c>
      <c r="X7964" t="s">
        <v>47433</v>
      </c>
    </row>
    <row r="7965" spans="1:24">
      <c r="A7965">
        <f>HYPERLINK("https://www.philgeps.gov.ph/GEPSNONPILOT/Tender/SplashBidNoticeAbstractUI.aspx?menuIndex=3&amp;refID=7152400&amp;Result=3","7152400")</f>
        <v>0</v>
      </c>
      <c r="B7965" t="s">
        <v>661</v>
      </c>
      <c r="C7965" t="s">
        <v>11394</v>
      </c>
      <c r="D7965" t="s">
        <v>19058</v>
      </c>
      <c r="E7965" t="s">
        <v>26028</v>
      </c>
      <c r="F7965" t="s">
        <v>32831</v>
      </c>
      <c r="G7965" t="s">
        <v>32841</v>
      </c>
      <c r="H7965" t="s">
        <v>32848</v>
      </c>
      <c r="I7965" t="s">
        <v>4438</v>
      </c>
      <c r="J7965" t="s">
        <v>37951</v>
      </c>
      <c r="K7965" t="s">
        <v>42726</v>
      </c>
      <c r="M7965" t="s">
        <v>43679</v>
      </c>
      <c r="N7965" t="s">
        <v>47424</v>
      </c>
      <c r="O7965" t="s">
        <v>47425</v>
      </c>
      <c r="P7965">
        <v>0</v>
      </c>
      <c r="Q7965">
        <v>0</v>
      </c>
      <c r="R7965" t="s">
        <v>47432</v>
      </c>
      <c r="S7965" t="s">
        <v>47597</v>
      </c>
      <c r="T7965" t="s">
        <v>49237</v>
      </c>
      <c r="U7965" t="s">
        <v>56304</v>
      </c>
      <c r="W7965" t="s">
        <v>43679</v>
      </c>
      <c r="X7965" t="s">
        <v>47433</v>
      </c>
    </row>
    <row r="7966" spans="1:24">
      <c r="A7966">
        <f>HYPERLINK("https://www.philgeps.gov.ph/GEPSNONPILOT/Tender/SplashBidNoticeAbstractUI.aspx?menuIndex=3&amp;refID=7152402&amp;Result=3","7152402")</f>
        <v>0</v>
      </c>
      <c r="B7966" t="s">
        <v>2664</v>
      </c>
      <c r="C7966" t="s">
        <v>11395</v>
      </c>
      <c r="D7966" t="s">
        <v>19021</v>
      </c>
      <c r="E7966" t="s">
        <v>26029</v>
      </c>
      <c r="F7966" t="s">
        <v>32831</v>
      </c>
      <c r="G7966" t="s">
        <v>32842</v>
      </c>
      <c r="H7966" t="s">
        <v>32848</v>
      </c>
      <c r="I7966" t="s">
        <v>4438</v>
      </c>
      <c r="J7966" t="s">
        <v>37952</v>
      </c>
      <c r="K7966" t="s">
        <v>42727</v>
      </c>
      <c r="M7966" t="s">
        <v>45887</v>
      </c>
      <c r="N7966" t="s">
        <v>47424</v>
      </c>
      <c r="O7966" t="s">
        <v>47425</v>
      </c>
      <c r="Q7966">
        <v>1</v>
      </c>
      <c r="R7966" t="s">
        <v>47432</v>
      </c>
      <c r="S7966" t="s">
        <v>47602</v>
      </c>
      <c r="T7966" t="s">
        <v>49073</v>
      </c>
      <c r="U7966" t="s">
        <v>56305</v>
      </c>
      <c r="W7966" t="s">
        <v>45887</v>
      </c>
      <c r="X7966" t="s">
        <v>47433</v>
      </c>
    </row>
    <row r="7967" spans="1:24">
      <c r="A7967">
        <f>HYPERLINK("https://www.philgeps.gov.ph/GEPSNONPILOT/Tender/SplashBidNoticeAbstractUI.aspx?menuIndex=3&amp;refID=7152397&amp;Result=3","7152397")</f>
        <v>0</v>
      </c>
      <c r="B7967" t="s">
        <v>2677</v>
      </c>
      <c r="C7967" t="s">
        <v>11396</v>
      </c>
      <c r="D7967" t="s">
        <v>19058</v>
      </c>
      <c r="E7967" t="s">
        <v>26030</v>
      </c>
      <c r="F7967" t="s">
        <v>32831</v>
      </c>
      <c r="G7967" t="s">
        <v>32839</v>
      </c>
      <c r="H7967" t="s">
        <v>32848</v>
      </c>
      <c r="I7967" t="s">
        <v>7416</v>
      </c>
      <c r="J7967" t="s">
        <v>37953</v>
      </c>
      <c r="K7967" t="s">
        <v>42732</v>
      </c>
      <c r="M7967" t="s">
        <v>45900</v>
      </c>
      <c r="N7967" t="s">
        <v>47424</v>
      </c>
      <c r="O7967" t="s">
        <v>47425</v>
      </c>
      <c r="P7967">
        <v>0</v>
      </c>
      <c r="Q7967">
        <v>0</v>
      </c>
      <c r="R7967" t="s">
        <v>47432</v>
      </c>
      <c r="S7967" t="s">
        <v>47597</v>
      </c>
      <c r="T7967" t="s">
        <v>49166</v>
      </c>
      <c r="U7967" t="s">
        <v>56306</v>
      </c>
      <c r="W7967" t="s">
        <v>45900</v>
      </c>
      <c r="X7967" t="s">
        <v>47433</v>
      </c>
    </row>
    <row r="7968" spans="1:24">
      <c r="A7968">
        <f>HYPERLINK("https://www.philgeps.gov.ph/GEPSNONPILOT/Tender/SplashBidNoticeAbstractUI.aspx?menuIndex=3&amp;refID=7152390&amp;Result=3","7152390")</f>
        <v>0</v>
      </c>
      <c r="B7968" t="s">
        <v>2678</v>
      </c>
      <c r="C7968" t="s">
        <v>11397</v>
      </c>
      <c r="D7968" t="s">
        <v>19041</v>
      </c>
      <c r="E7968" t="s">
        <v>26031</v>
      </c>
      <c r="F7968" t="s">
        <v>32831</v>
      </c>
      <c r="G7968" t="s">
        <v>32840</v>
      </c>
      <c r="H7968" t="s">
        <v>32848</v>
      </c>
      <c r="I7968" t="s">
        <v>32860</v>
      </c>
      <c r="J7968" t="s">
        <v>37954</v>
      </c>
      <c r="K7968" t="s">
        <v>42727</v>
      </c>
      <c r="M7968" t="s">
        <v>45901</v>
      </c>
      <c r="N7968" t="s">
        <v>47424</v>
      </c>
      <c r="O7968" t="s">
        <v>47425</v>
      </c>
      <c r="P7968">
        <v>0</v>
      </c>
      <c r="Q7968">
        <v>2</v>
      </c>
      <c r="R7968" t="s">
        <v>47432</v>
      </c>
      <c r="S7968" t="s">
        <v>47597</v>
      </c>
      <c r="T7968" t="s">
        <v>49237</v>
      </c>
      <c r="U7968" t="s">
        <v>56307</v>
      </c>
      <c r="V7968" t="s">
        <v>63511</v>
      </c>
      <c r="W7968" t="s">
        <v>45901</v>
      </c>
      <c r="X7968" t="s">
        <v>47433</v>
      </c>
    </row>
    <row r="7969" spans="1:24">
      <c r="A7969">
        <f>HYPERLINK("https://www.philgeps.gov.ph/GEPSNONPILOT/Tender/SplashBidNoticeAbstractUI.aspx?menuIndex=3&amp;refID=7152471&amp;Result=3","7152471")</f>
        <v>0</v>
      </c>
      <c r="B7969" t="s">
        <v>2475</v>
      </c>
      <c r="C7969" t="s">
        <v>11398</v>
      </c>
      <c r="D7969" t="s">
        <v>19039</v>
      </c>
      <c r="E7969" t="s">
        <v>26032</v>
      </c>
      <c r="F7969" t="s">
        <v>32831</v>
      </c>
      <c r="G7969" t="s">
        <v>32839</v>
      </c>
      <c r="H7969" t="s">
        <v>32849</v>
      </c>
      <c r="I7969" t="s">
        <v>4177</v>
      </c>
      <c r="J7969" t="s">
        <v>33078</v>
      </c>
      <c r="K7969" t="s">
        <v>42746</v>
      </c>
      <c r="M7969" t="s">
        <v>45675</v>
      </c>
      <c r="N7969" t="s">
        <v>47424</v>
      </c>
      <c r="O7969" t="s">
        <v>47425</v>
      </c>
      <c r="P7969">
        <v>0</v>
      </c>
      <c r="Q7969">
        <v>0</v>
      </c>
      <c r="R7969" t="s">
        <v>47432</v>
      </c>
      <c r="S7969" t="s">
        <v>47597</v>
      </c>
      <c r="T7969" t="s">
        <v>49219</v>
      </c>
      <c r="U7969" t="s">
        <v>56308</v>
      </c>
      <c r="V7969" t="s">
        <v>63512</v>
      </c>
      <c r="W7969" t="s">
        <v>45675</v>
      </c>
      <c r="X7969" t="s">
        <v>47433</v>
      </c>
    </row>
    <row r="7970" spans="1:24">
      <c r="A7970">
        <f>HYPERLINK("https://www.philgeps.gov.ph/GEPSNONPILOT/Tender/SplashBidNoticeAbstractUI.aspx?menuIndex=3&amp;refID=7152468&amp;Result=3","7152468")</f>
        <v>0</v>
      </c>
      <c r="B7970" t="s">
        <v>2290</v>
      </c>
      <c r="C7970" t="s">
        <v>11399</v>
      </c>
      <c r="D7970" t="s">
        <v>19068</v>
      </c>
      <c r="E7970" t="s">
        <v>26033</v>
      </c>
      <c r="F7970" t="s">
        <v>32831</v>
      </c>
      <c r="G7970" t="s">
        <v>32839</v>
      </c>
      <c r="H7970" t="s">
        <v>32849</v>
      </c>
      <c r="I7970" t="s">
        <v>4177</v>
      </c>
      <c r="J7970" t="s">
        <v>37955</v>
      </c>
      <c r="K7970" t="s">
        <v>42908</v>
      </c>
      <c r="M7970" t="s">
        <v>45474</v>
      </c>
      <c r="N7970" t="s">
        <v>47424</v>
      </c>
      <c r="O7970" t="s">
        <v>47425</v>
      </c>
      <c r="P7970">
        <v>0</v>
      </c>
      <c r="Q7970">
        <v>0</v>
      </c>
      <c r="R7970" t="s">
        <v>47432</v>
      </c>
      <c r="S7970" t="s">
        <v>47597</v>
      </c>
      <c r="T7970" t="s">
        <v>49162</v>
      </c>
      <c r="U7970" t="s">
        <v>55045</v>
      </c>
      <c r="W7970" t="s">
        <v>45474</v>
      </c>
      <c r="X7970" t="s">
        <v>47433</v>
      </c>
    </row>
    <row r="7971" spans="1:24">
      <c r="A7971">
        <f>HYPERLINK("https://www.philgeps.gov.ph/GEPSNONPILOT/Tender/SplashBidNoticeAbstractUI.aspx?menuIndex=3&amp;refID=7152464&amp;Result=3","7152464")</f>
        <v>0</v>
      </c>
      <c r="B7971" t="s">
        <v>798</v>
      </c>
      <c r="C7971" t="s">
        <v>11400</v>
      </c>
      <c r="D7971" t="s">
        <v>19080</v>
      </c>
      <c r="E7971" t="s">
        <v>26034</v>
      </c>
      <c r="F7971" t="s">
        <v>32831</v>
      </c>
      <c r="G7971" t="s">
        <v>32839</v>
      </c>
      <c r="H7971" t="s">
        <v>32849</v>
      </c>
      <c r="I7971" t="s">
        <v>4177</v>
      </c>
      <c r="J7971" t="s">
        <v>37956</v>
      </c>
      <c r="K7971" t="s">
        <v>42892</v>
      </c>
      <c r="M7971" t="s">
        <v>43828</v>
      </c>
      <c r="N7971" t="s">
        <v>47424</v>
      </c>
      <c r="O7971" t="s">
        <v>47425</v>
      </c>
      <c r="P7971">
        <v>0</v>
      </c>
      <c r="Q7971">
        <v>0</v>
      </c>
      <c r="R7971" t="s">
        <v>47432</v>
      </c>
      <c r="S7971" t="s">
        <v>47597</v>
      </c>
      <c r="T7971" t="s">
        <v>49236</v>
      </c>
      <c r="U7971" t="s">
        <v>56309</v>
      </c>
      <c r="W7971" t="s">
        <v>43828</v>
      </c>
      <c r="X7971" t="s">
        <v>47433</v>
      </c>
    </row>
    <row r="7972" spans="1:24">
      <c r="A7972">
        <f>HYPERLINK("https://www.philgeps.gov.ph/GEPSNONPILOT/Tender/SplashBidNoticeAbstractUI.aspx?menuIndex=3&amp;refID=7152421&amp;Result=3","7152421")</f>
        <v>0</v>
      </c>
      <c r="B7972" t="s">
        <v>2669</v>
      </c>
      <c r="C7972" t="s">
        <v>11401</v>
      </c>
      <c r="D7972" t="s">
        <v>19043</v>
      </c>
      <c r="E7972" t="s">
        <v>26035</v>
      </c>
      <c r="F7972" t="s">
        <v>32831</v>
      </c>
      <c r="G7972" t="s">
        <v>32839</v>
      </c>
      <c r="H7972" t="s">
        <v>32849</v>
      </c>
      <c r="I7972" t="s">
        <v>4177</v>
      </c>
      <c r="J7972" t="s">
        <v>33528</v>
      </c>
      <c r="K7972" t="s">
        <v>42765</v>
      </c>
      <c r="M7972" t="s">
        <v>45892</v>
      </c>
      <c r="N7972" t="s">
        <v>47424</v>
      </c>
      <c r="O7972" t="s">
        <v>47425</v>
      </c>
      <c r="P7972">
        <v>0</v>
      </c>
      <c r="Q7972">
        <v>2</v>
      </c>
      <c r="R7972" t="s">
        <v>47432</v>
      </c>
      <c r="S7972" t="s">
        <v>47597</v>
      </c>
      <c r="T7972" t="s">
        <v>49139</v>
      </c>
      <c r="U7972" t="s">
        <v>56310</v>
      </c>
      <c r="W7972" t="s">
        <v>45892</v>
      </c>
      <c r="X7972" t="s">
        <v>47433</v>
      </c>
    </row>
    <row r="7973" spans="1:24">
      <c r="A7973">
        <f>HYPERLINK("https://www.philgeps.gov.ph/GEPSNONPILOT/Tender/SplashBidNoticeAbstractUI.aspx?menuIndex=3&amp;refID=7152395&amp;Result=3","7152395")</f>
        <v>0</v>
      </c>
      <c r="B7973" t="s">
        <v>798</v>
      </c>
      <c r="C7973" t="s">
        <v>11402</v>
      </c>
      <c r="D7973" t="s">
        <v>19080</v>
      </c>
      <c r="E7973" t="s">
        <v>26036</v>
      </c>
      <c r="F7973" t="s">
        <v>32831</v>
      </c>
      <c r="G7973" t="s">
        <v>32839</v>
      </c>
      <c r="H7973" t="s">
        <v>32849</v>
      </c>
      <c r="I7973" t="s">
        <v>4177</v>
      </c>
      <c r="J7973" t="s">
        <v>37957</v>
      </c>
      <c r="K7973" t="s">
        <v>42770</v>
      </c>
      <c r="M7973" t="s">
        <v>43828</v>
      </c>
      <c r="N7973" t="s">
        <v>47424</v>
      </c>
      <c r="O7973" t="s">
        <v>47425</v>
      </c>
      <c r="P7973">
        <v>0</v>
      </c>
      <c r="Q7973">
        <v>0</v>
      </c>
      <c r="R7973" t="s">
        <v>47432</v>
      </c>
      <c r="S7973" t="s">
        <v>47597</v>
      </c>
      <c r="T7973" t="s">
        <v>49236</v>
      </c>
      <c r="U7973" t="s">
        <v>56311</v>
      </c>
      <c r="W7973" t="s">
        <v>43828</v>
      </c>
      <c r="X7973" t="s">
        <v>47433</v>
      </c>
    </row>
    <row r="7974" spans="1:24">
      <c r="A7974">
        <f>HYPERLINK("https://www.philgeps.gov.ph/GEPSNONPILOT/Tender/SplashBidNoticeAbstractUI.aspx?menuIndex=3&amp;refID=7152459&amp;Result=3","7152459")</f>
        <v>0</v>
      </c>
      <c r="B7974" t="s">
        <v>2679</v>
      </c>
      <c r="C7974" t="s">
        <v>11403</v>
      </c>
      <c r="D7974" t="s">
        <v>19025</v>
      </c>
      <c r="E7974" t="s">
        <v>26037</v>
      </c>
      <c r="F7974" t="s">
        <v>32831</v>
      </c>
      <c r="G7974" t="s">
        <v>32839</v>
      </c>
      <c r="H7974" t="s">
        <v>32848</v>
      </c>
      <c r="I7974" t="s">
        <v>7751</v>
      </c>
      <c r="J7974" t="s">
        <v>33066</v>
      </c>
      <c r="K7974" t="s">
        <v>42729</v>
      </c>
      <c r="M7974" t="s">
        <v>45902</v>
      </c>
      <c r="N7974" t="s">
        <v>47424</v>
      </c>
      <c r="O7974" t="s">
        <v>47425</v>
      </c>
      <c r="P7974">
        <v>0</v>
      </c>
      <c r="Q7974">
        <v>4</v>
      </c>
      <c r="R7974" t="s">
        <v>47432</v>
      </c>
      <c r="S7974" t="s">
        <v>47597</v>
      </c>
      <c r="T7974" t="s">
        <v>49160</v>
      </c>
      <c r="U7974" t="s">
        <v>56312</v>
      </c>
      <c r="W7974" t="s">
        <v>45902</v>
      </c>
      <c r="X7974" t="s">
        <v>47433</v>
      </c>
    </row>
    <row r="7975" spans="1:24">
      <c r="A7975">
        <f>HYPERLINK("https://www.philgeps.gov.ph/GEPSNONPILOT/Tender/SplashBidNoticeAbstractUI.aspx?menuIndex=3&amp;refID=7152456&amp;Result=3","7152456")</f>
        <v>0</v>
      </c>
      <c r="B7975" t="s">
        <v>2680</v>
      </c>
      <c r="C7975" t="s">
        <v>11404</v>
      </c>
      <c r="D7975" t="s">
        <v>19065</v>
      </c>
      <c r="E7975" t="s">
        <v>26038</v>
      </c>
      <c r="F7975" t="s">
        <v>32831</v>
      </c>
      <c r="G7975" t="s">
        <v>32840</v>
      </c>
      <c r="H7975" t="s">
        <v>32848</v>
      </c>
      <c r="I7975" t="s">
        <v>32859</v>
      </c>
      <c r="J7975" t="s">
        <v>37958</v>
      </c>
      <c r="K7975" t="s">
        <v>42727</v>
      </c>
      <c r="M7975" t="s">
        <v>45903</v>
      </c>
      <c r="N7975" t="s">
        <v>47424</v>
      </c>
      <c r="O7975" t="s">
        <v>47425</v>
      </c>
      <c r="P7975">
        <v>0</v>
      </c>
      <c r="Q7975">
        <v>6</v>
      </c>
      <c r="R7975" t="s">
        <v>47432</v>
      </c>
      <c r="S7975" t="s">
        <v>47597</v>
      </c>
      <c r="T7975" t="s">
        <v>49114</v>
      </c>
      <c r="U7975" t="s">
        <v>56313</v>
      </c>
      <c r="W7975" t="s">
        <v>45903</v>
      </c>
      <c r="X7975" t="s">
        <v>47433</v>
      </c>
    </row>
    <row r="7976" spans="1:24">
      <c r="A7976">
        <f>HYPERLINK("https://www.philgeps.gov.ph/GEPSNONPILOT/Tender/SplashBidNoticeAbstractUI.aspx?menuIndex=3&amp;refID=7152454&amp;Result=3","7152454")</f>
        <v>0</v>
      </c>
      <c r="B7976" t="s">
        <v>2681</v>
      </c>
      <c r="C7976" t="s">
        <v>11405</v>
      </c>
      <c r="D7976" t="s">
        <v>19019</v>
      </c>
      <c r="E7976" t="s">
        <v>26039</v>
      </c>
      <c r="F7976" t="s">
        <v>32831</v>
      </c>
      <c r="G7976" t="s">
        <v>32839</v>
      </c>
      <c r="H7976" t="s">
        <v>32848</v>
      </c>
      <c r="I7976" t="s">
        <v>10643</v>
      </c>
      <c r="J7976" t="s">
        <v>37959</v>
      </c>
      <c r="K7976" t="s">
        <v>42748</v>
      </c>
      <c r="M7976" t="s">
        <v>45904</v>
      </c>
      <c r="N7976" t="s">
        <v>47424</v>
      </c>
      <c r="O7976" t="s">
        <v>47425</v>
      </c>
      <c r="P7976">
        <v>0</v>
      </c>
      <c r="Q7976">
        <v>3</v>
      </c>
      <c r="R7976" t="s">
        <v>47432</v>
      </c>
      <c r="S7976" t="s">
        <v>47597</v>
      </c>
      <c r="T7976" t="s">
        <v>49114</v>
      </c>
      <c r="U7976" t="s">
        <v>56314</v>
      </c>
      <c r="W7976" t="s">
        <v>64522</v>
      </c>
      <c r="X7976" t="s">
        <v>47433</v>
      </c>
    </row>
    <row r="7977" spans="1:24">
      <c r="A7977">
        <f>HYPERLINK("https://www.philgeps.gov.ph/GEPSNONPILOT/Tender/SplashBidNoticeAbstractUI.aspx?menuIndex=3&amp;refID=7152446&amp;Result=3","7152446")</f>
        <v>0</v>
      </c>
      <c r="B7977" t="s">
        <v>1971</v>
      </c>
      <c r="C7977" t="s">
        <v>11406</v>
      </c>
      <c r="D7977" t="s">
        <v>19018</v>
      </c>
      <c r="E7977" t="s">
        <v>26040</v>
      </c>
      <c r="F7977" t="s">
        <v>32831</v>
      </c>
      <c r="G7977" t="s">
        <v>32839</v>
      </c>
      <c r="H7977" t="s">
        <v>32848</v>
      </c>
      <c r="I7977" t="s">
        <v>32858</v>
      </c>
      <c r="J7977" t="s">
        <v>37960</v>
      </c>
      <c r="K7977" t="s">
        <v>42731</v>
      </c>
      <c r="M7977" t="s">
        <v>45131</v>
      </c>
      <c r="N7977" t="s">
        <v>47424</v>
      </c>
      <c r="O7977" t="s">
        <v>47425</v>
      </c>
      <c r="P7977">
        <v>0</v>
      </c>
      <c r="Q7977">
        <v>2</v>
      </c>
      <c r="R7977" t="s">
        <v>47432</v>
      </c>
      <c r="S7977" t="s">
        <v>47597</v>
      </c>
      <c r="T7977" t="s">
        <v>49119</v>
      </c>
      <c r="U7977" t="s">
        <v>56315</v>
      </c>
      <c r="W7977" t="s">
        <v>45131</v>
      </c>
      <c r="X7977" t="s">
        <v>47433</v>
      </c>
    </row>
    <row r="7978" spans="1:24">
      <c r="A7978">
        <f>HYPERLINK("https://www.philgeps.gov.ph/GEPSNONPILOT/Tender/SplashBidNoticeAbstractUI.aspx?menuIndex=3&amp;refID=7152443&amp;Result=3","7152443")</f>
        <v>0</v>
      </c>
      <c r="B7978" t="s">
        <v>2681</v>
      </c>
      <c r="C7978" t="s">
        <v>11407</v>
      </c>
      <c r="D7978" t="s">
        <v>19019</v>
      </c>
      <c r="E7978" t="s">
        <v>26041</v>
      </c>
      <c r="F7978" t="s">
        <v>32831</v>
      </c>
      <c r="G7978" t="s">
        <v>32839</v>
      </c>
      <c r="H7978" t="s">
        <v>32848</v>
      </c>
      <c r="I7978" t="s">
        <v>4438</v>
      </c>
      <c r="J7978" t="s">
        <v>37961</v>
      </c>
      <c r="K7978" t="s">
        <v>42748</v>
      </c>
      <c r="M7978" t="s">
        <v>45904</v>
      </c>
      <c r="N7978" t="s">
        <v>47424</v>
      </c>
      <c r="O7978" t="s">
        <v>47425</v>
      </c>
      <c r="P7978">
        <v>0</v>
      </c>
      <c r="Q7978">
        <v>2</v>
      </c>
      <c r="R7978" t="s">
        <v>47432</v>
      </c>
      <c r="S7978" t="s">
        <v>47597</v>
      </c>
      <c r="T7978" t="s">
        <v>49114</v>
      </c>
      <c r="U7978" t="s">
        <v>51464</v>
      </c>
      <c r="W7978" t="s">
        <v>64522</v>
      </c>
      <c r="X7978" t="s">
        <v>47433</v>
      </c>
    </row>
    <row r="7979" spans="1:24">
      <c r="A7979">
        <f>HYPERLINK("https://www.philgeps.gov.ph/GEPSNONPILOT/Tender/SplashBidNoticeAbstractUI.aspx?menuIndex=3&amp;refID=7152441&amp;Result=3","7152441")</f>
        <v>0</v>
      </c>
      <c r="B7979" t="s">
        <v>2674</v>
      </c>
      <c r="C7979" t="s">
        <v>11408</v>
      </c>
      <c r="D7979" t="s">
        <v>19077</v>
      </c>
      <c r="E7979" t="s">
        <v>26042</v>
      </c>
      <c r="F7979" t="s">
        <v>32831</v>
      </c>
      <c r="G7979" t="s">
        <v>32839</v>
      </c>
      <c r="H7979" t="s">
        <v>32849</v>
      </c>
      <c r="I7979" t="s">
        <v>4177</v>
      </c>
      <c r="J7979" t="s">
        <v>32983</v>
      </c>
      <c r="K7979" t="s">
        <v>42730</v>
      </c>
      <c r="M7979" t="s">
        <v>45897</v>
      </c>
      <c r="N7979" t="s">
        <v>47424</v>
      </c>
      <c r="O7979" t="s">
        <v>47425</v>
      </c>
      <c r="P7979">
        <v>0</v>
      </c>
      <c r="Q7979">
        <v>0</v>
      </c>
      <c r="R7979" t="s">
        <v>47432</v>
      </c>
      <c r="S7979" t="s">
        <v>47597</v>
      </c>
      <c r="T7979" t="s">
        <v>49231</v>
      </c>
      <c r="U7979" t="s">
        <v>56316</v>
      </c>
      <c r="W7979" t="s">
        <v>45897</v>
      </c>
      <c r="X7979" t="s">
        <v>47433</v>
      </c>
    </row>
    <row r="7980" spans="1:24">
      <c r="A7980">
        <f>HYPERLINK("https://www.philgeps.gov.ph/GEPSNONPILOT/Tender/SplashBidNoticeAbstractUI.aspx?menuIndex=3&amp;refID=7152438&amp;Result=3","7152438")</f>
        <v>0</v>
      </c>
      <c r="B7980" t="s">
        <v>2682</v>
      </c>
      <c r="C7980" t="s">
        <v>11409</v>
      </c>
      <c r="D7980" t="s">
        <v>19062</v>
      </c>
      <c r="E7980" t="s">
        <v>11409</v>
      </c>
      <c r="F7980" t="s">
        <v>32832</v>
      </c>
      <c r="G7980" t="s">
        <v>32839</v>
      </c>
      <c r="H7980" t="s">
        <v>32850</v>
      </c>
      <c r="I7980" t="s">
        <v>32858</v>
      </c>
      <c r="J7980" t="s">
        <v>37962</v>
      </c>
      <c r="K7980" t="s">
        <v>42758</v>
      </c>
      <c r="M7980" t="s">
        <v>45905</v>
      </c>
      <c r="N7980" t="s">
        <v>47424</v>
      </c>
      <c r="O7980" t="s">
        <v>47425</v>
      </c>
      <c r="P7980">
        <v>0</v>
      </c>
      <c r="Q7980">
        <v>1</v>
      </c>
      <c r="R7980" t="s">
        <v>47432</v>
      </c>
      <c r="S7980" t="s">
        <v>47597</v>
      </c>
      <c r="T7980" t="s">
        <v>49143</v>
      </c>
      <c r="U7980" t="s">
        <v>56317</v>
      </c>
      <c r="W7980" t="s">
        <v>45905</v>
      </c>
      <c r="X7980" t="s">
        <v>47433</v>
      </c>
    </row>
    <row r="7981" spans="1:24">
      <c r="A7981">
        <f>HYPERLINK("https://www.philgeps.gov.ph/GEPSNONPILOT/Tender/SplashBidNoticeAbstractUI.aspx?menuIndex=3&amp;refID=7152437&amp;Result=3","7152437")</f>
        <v>0</v>
      </c>
      <c r="B7981" t="s">
        <v>2290</v>
      </c>
      <c r="C7981" t="s">
        <v>11410</v>
      </c>
      <c r="D7981" t="s">
        <v>19068</v>
      </c>
      <c r="E7981" t="s">
        <v>26043</v>
      </c>
      <c r="F7981" t="s">
        <v>32831</v>
      </c>
      <c r="G7981" t="s">
        <v>32839</v>
      </c>
      <c r="H7981" t="s">
        <v>32849</v>
      </c>
      <c r="I7981" t="s">
        <v>4177</v>
      </c>
      <c r="J7981" t="s">
        <v>37963</v>
      </c>
      <c r="K7981" t="s">
        <v>42876</v>
      </c>
      <c r="M7981" t="s">
        <v>45474</v>
      </c>
      <c r="N7981" t="s">
        <v>47424</v>
      </c>
      <c r="O7981" t="s">
        <v>47425</v>
      </c>
      <c r="P7981">
        <v>0</v>
      </c>
      <c r="Q7981">
        <v>0</v>
      </c>
      <c r="R7981" t="s">
        <v>47432</v>
      </c>
      <c r="S7981" t="s">
        <v>47597</v>
      </c>
      <c r="T7981" t="s">
        <v>49162</v>
      </c>
      <c r="U7981" t="s">
        <v>55045</v>
      </c>
      <c r="W7981" t="s">
        <v>45474</v>
      </c>
      <c r="X7981" t="s">
        <v>47433</v>
      </c>
    </row>
    <row r="7982" spans="1:24">
      <c r="A7982">
        <f>HYPERLINK("https://www.philgeps.gov.ph/GEPSNONPILOT/Tender/SplashBidNoticeAbstractUI.aspx?menuIndex=3&amp;refID=7152427&amp;Result=3","7152427")</f>
        <v>0</v>
      </c>
      <c r="B7982" t="s">
        <v>2683</v>
      </c>
      <c r="C7982" t="s">
        <v>7454</v>
      </c>
      <c r="D7982" t="s">
        <v>19091</v>
      </c>
      <c r="E7982" t="s">
        <v>26044</v>
      </c>
      <c r="F7982" t="s">
        <v>32831</v>
      </c>
      <c r="G7982" t="s">
        <v>32839</v>
      </c>
      <c r="H7982" t="s">
        <v>32849</v>
      </c>
      <c r="I7982" t="s">
        <v>4177</v>
      </c>
      <c r="J7982" t="s">
        <v>33044</v>
      </c>
      <c r="K7982" t="s">
        <v>42750</v>
      </c>
      <c r="M7982" t="s">
        <v>45906</v>
      </c>
      <c r="N7982" t="s">
        <v>47424</v>
      </c>
      <c r="O7982" t="s">
        <v>47425</v>
      </c>
      <c r="P7982">
        <v>0</v>
      </c>
      <c r="Q7982">
        <v>0</v>
      </c>
      <c r="R7982" t="s">
        <v>47432</v>
      </c>
      <c r="S7982" t="s">
        <v>47597</v>
      </c>
      <c r="T7982" t="s">
        <v>49214</v>
      </c>
      <c r="U7982" t="s">
        <v>56318</v>
      </c>
      <c r="W7982" t="s">
        <v>45906</v>
      </c>
      <c r="X7982" t="s">
        <v>47433</v>
      </c>
    </row>
    <row r="7983" spans="1:24">
      <c r="A7983">
        <f>HYPERLINK("https://www.philgeps.gov.ph/GEPSNONPILOT/Tender/SplashBidNoticeAbstractUI.aspx?menuIndex=3&amp;refID=7152447&amp;Result=3","7152447")</f>
        <v>0</v>
      </c>
      <c r="B7983" t="s">
        <v>1320</v>
      </c>
      <c r="C7983" t="s">
        <v>11411</v>
      </c>
      <c r="D7983" t="s">
        <v>19085</v>
      </c>
      <c r="E7983" t="s">
        <v>26045</v>
      </c>
      <c r="F7983" t="s">
        <v>32831</v>
      </c>
      <c r="G7983" t="s">
        <v>32838</v>
      </c>
      <c r="H7983" t="s">
        <v>32848</v>
      </c>
      <c r="I7983" t="s">
        <v>7416</v>
      </c>
      <c r="J7983" t="s">
        <v>37964</v>
      </c>
      <c r="K7983" t="s">
        <v>42731</v>
      </c>
      <c r="M7983" t="s">
        <v>44391</v>
      </c>
      <c r="N7983" t="s">
        <v>47424</v>
      </c>
      <c r="O7983" t="s">
        <v>47425</v>
      </c>
      <c r="P7983">
        <v>0</v>
      </c>
      <c r="Q7983">
        <v>0</v>
      </c>
      <c r="R7983" t="s">
        <v>47432</v>
      </c>
      <c r="S7983" t="s">
        <v>47597</v>
      </c>
      <c r="T7983" t="s">
        <v>49129</v>
      </c>
      <c r="U7983" t="s">
        <v>56319</v>
      </c>
      <c r="W7983" t="s">
        <v>44391</v>
      </c>
      <c r="X7983" t="s">
        <v>47433</v>
      </c>
    </row>
    <row r="7984" spans="1:24">
      <c r="A7984">
        <f>HYPERLINK("https://www.philgeps.gov.ph/GEPSNONPILOT/Tender/SplashBidNoticeAbstractUI.aspx?menuIndex=3&amp;refID=7152462&amp;Result=3","7152462")</f>
        <v>0</v>
      </c>
      <c r="B7984" t="s">
        <v>2684</v>
      </c>
      <c r="C7984" t="s">
        <v>11412</v>
      </c>
      <c r="D7984" t="s">
        <v>19093</v>
      </c>
      <c r="E7984" t="s">
        <v>20769</v>
      </c>
      <c r="F7984" t="s">
        <v>32831</v>
      </c>
      <c r="G7984" t="s">
        <v>32839</v>
      </c>
      <c r="H7984" t="s">
        <v>32850</v>
      </c>
      <c r="I7984" t="s">
        <v>4303</v>
      </c>
      <c r="J7984" t="s">
        <v>33279</v>
      </c>
      <c r="K7984" t="s">
        <v>42727</v>
      </c>
      <c r="M7984" t="s">
        <v>45907</v>
      </c>
      <c r="N7984" t="s">
        <v>47424</v>
      </c>
      <c r="O7984" t="s">
        <v>47425</v>
      </c>
      <c r="P7984">
        <v>0</v>
      </c>
      <c r="Q7984">
        <v>1</v>
      </c>
      <c r="R7984" t="s">
        <v>47432</v>
      </c>
      <c r="S7984" t="s">
        <v>47597</v>
      </c>
      <c r="T7984" t="s">
        <v>49177</v>
      </c>
      <c r="U7984" t="s">
        <v>56320</v>
      </c>
      <c r="W7984" t="s">
        <v>45907</v>
      </c>
      <c r="X7984" t="s">
        <v>47433</v>
      </c>
    </row>
    <row r="7985" spans="1:24">
      <c r="A7985">
        <f>HYPERLINK("https://www.philgeps.gov.ph/GEPSNONPILOT/Tender/SplashBidNoticeAbstractUI.aspx?menuIndex=3&amp;refID=7152426&amp;Result=3","7152426")</f>
        <v>0</v>
      </c>
      <c r="B7985" t="s">
        <v>2681</v>
      </c>
      <c r="C7985" t="s">
        <v>11413</v>
      </c>
      <c r="D7985" t="s">
        <v>19019</v>
      </c>
      <c r="E7985" t="s">
        <v>26046</v>
      </c>
      <c r="F7985" t="s">
        <v>32831</v>
      </c>
      <c r="G7985" t="s">
        <v>32839</v>
      </c>
      <c r="H7985" t="s">
        <v>32848</v>
      </c>
      <c r="I7985" t="s">
        <v>32868</v>
      </c>
      <c r="J7985" t="s">
        <v>37619</v>
      </c>
      <c r="K7985" t="s">
        <v>42748</v>
      </c>
      <c r="M7985" t="s">
        <v>45904</v>
      </c>
      <c r="N7985" t="s">
        <v>47424</v>
      </c>
      <c r="O7985" t="s">
        <v>47425</v>
      </c>
      <c r="P7985">
        <v>0</v>
      </c>
      <c r="Q7985">
        <v>2</v>
      </c>
      <c r="R7985" t="s">
        <v>47432</v>
      </c>
      <c r="S7985" t="s">
        <v>47597</v>
      </c>
      <c r="T7985" t="s">
        <v>49114</v>
      </c>
      <c r="U7985" t="s">
        <v>56321</v>
      </c>
      <c r="W7985" t="s">
        <v>64522</v>
      </c>
      <c r="X7985" t="s">
        <v>47433</v>
      </c>
    </row>
    <row r="7986" spans="1:24">
      <c r="A7986">
        <f>HYPERLINK("https://www.philgeps.gov.ph/GEPSNONPILOT/Tender/SplashBidNoticeAbstractUI.aspx?menuIndex=3&amp;refID=7152388&amp;Result=3","7152388")</f>
        <v>0</v>
      </c>
      <c r="B7986" t="s">
        <v>2653</v>
      </c>
      <c r="C7986" t="s">
        <v>11414</v>
      </c>
      <c r="D7986" t="s">
        <v>19020</v>
      </c>
      <c r="E7986" t="s">
        <v>26047</v>
      </c>
      <c r="F7986" t="s">
        <v>32831</v>
      </c>
      <c r="G7986" t="s">
        <v>32838</v>
      </c>
      <c r="H7986" t="s">
        <v>32850</v>
      </c>
      <c r="I7986" t="s">
        <v>6526</v>
      </c>
      <c r="J7986" t="s">
        <v>33018</v>
      </c>
      <c r="K7986" t="s">
        <v>42729</v>
      </c>
      <c r="M7986" t="s">
        <v>45876</v>
      </c>
      <c r="N7986" t="s">
        <v>47424</v>
      </c>
      <c r="O7986" t="s">
        <v>47425</v>
      </c>
      <c r="P7986">
        <v>0</v>
      </c>
      <c r="Q7986">
        <v>0</v>
      </c>
      <c r="R7986" t="s">
        <v>47432</v>
      </c>
      <c r="S7986" t="s">
        <v>47597</v>
      </c>
      <c r="T7986" t="s">
        <v>49389</v>
      </c>
      <c r="U7986" t="s">
        <v>56322</v>
      </c>
      <c r="W7986" t="s">
        <v>45876</v>
      </c>
      <c r="X7986" t="s">
        <v>47433</v>
      </c>
    </row>
    <row r="7987" spans="1:24">
      <c r="A7987">
        <f>HYPERLINK("https://www.philgeps.gov.ph/GEPSNONPILOT/Tender/SplashBidNoticeAbstractUI.aspx?menuIndex=3&amp;refID=7152440&amp;Result=3","7152440")</f>
        <v>0</v>
      </c>
      <c r="B7987" t="s">
        <v>2411</v>
      </c>
      <c r="C7987" t="s">
        <v>11415</v>
      </c>
      <c r="E7987" t="s">
        <v>26048</v>
      </c>
      <c r="F7987" t="s">
        <v>32831</v>
      </c>
      <c r="G7987" t="s">
        <v>32839</v>
      </c>
      <c r="H7987" t="s">
        <v>32849</v>
      </c>
      <c r="I7987" t="s">
        <v>4177</v>
      </c>
      <c r="J7987" t="s">
        <v>37965</v>
      </c>
      <c r="K7987" t="s">
        <v>42742</v>
      </c>
      <c r="M7987" t="s">
        <v>45606</v>
      </c>
      <c r="N7987" t="s">
        <v>47424</v>
      </c>
      <c r="O7987" t="s">
        <v>47425</v>
      </c>
      <c r="P7987">
        <v>0</v>
      </c>
      <c r="Q7987">
        <v>3</v>
      </c>
      <c r="R7987" t="s">
        <v>47432</v>
      </c>
      <c r="S7987" t="s">
        <v>47597</v>
      </c>
      <c r="T7987" t="s">
        <v>49160</v>
      </c>
      <c r="U7987" t="s">
        <v>56323</v>
      </c>
      <c r="W7987" t="s">
        <v>45606</v>
      </c>
      <c r="X7987" t="s">
        <v>47433</v>
      </c>
    </row>
    <row r="7988" spans="1:24">
      <c r="A7988">
        <f>HYPERLINK("https://www.philgeps.gov.ph/GEPSNONPILOT/Tender/SplashBidNoticeAbstractUI.aspx?menuIndex=3&amp;refID=7152384&amp;Result=3","7152384")</f>
        <v>0</v>
      </c>
      <c r="B7988" t="s">
        <v>2669</v>
      </c>
      <c r="C7988" t="s">
        <v>11416</v>
      </c>
      <c r="D7988" t="s">
        <v>19043</v>
      </c>
      <c r="E7988" t="s">
        <v>26049</v>
      </c>
      <c r="F7988" t="s">
        <v>32831</v>
      </c>
      <c r="G7988" t="s">
        <v>32839</v>
      </c>
      <c r="H7988" t="s">
        <v>32849</v>
      </c>
      <c r="I7988" t="s">
        <v>4177</v>
      </c>
      <c r="J7988" t="s">
        <v>33118</v>
      </c>
      <c r="K7988" t="s">
        <v>42765</v>
      </c>
      <c r="M7988" t="s">
        <v>45892</v>
      </c>
      <c r="N7988" t="s">
        <v>47424</v>
      </c>
      <c r="O7988" t="s">
        <v>47425</v>
      </c>
      <c r="P7988">
        <v>0</v>
      </c>
      <c r="Q7988">
        <v>1</v>
      </c>
      <c r="R7988" t="s">
        <v>47432</v>
      </c>
      <c r="S7988" t="s">
        <v>47597</v>
      </c>
      <c r="T7988" t="s">
        <v>49139</v>
      </c>
      <c r="U7988" t="s">
        <v>56324</v>
      </c>
      <c r="W7988" t="s">
        <v>45892</v>
      </c>
      <c r="X7988" t="s">
        <v>47433</v>
      </c>
    </row>
    <row r="7989" spans="1:24">
      <c r="A7989">
        <f>HYPERLINK("https://www.philgeps.gov.ph/GEPSNONPILOT/Tender/SplashBidNoticeAbstractUI.aspx?menuIndex=3&amp;refID=7152516&amp;Result=3","7152516")</f>
        <v>0</v>
      </c>
      <c r="B7989" t="s">
        <v>2685</v>
      </c>
      <c r="C7989" t="s">
        <v>6669</v>
      </c>
      <c r="D7989" t="s">
        <v>19026</v>
      </c>
      <c r="E7989" t="s">
        <v>19790</v>
      </c>
      <c r="F7989" t="s">
        <v>32831</v>
      </c>
      <c r="G7989" t="s">
        <v>32839</v>
      </c>
      <c r="H7989" t="s">
        <v>32849</v>
      </c>
      <c r="I7989" t="s">
        <v>4177</v>
      </c>
      <c r="J7989" t="s">
        <v>32983</v>
      </c>
      <c r="K7989" t="s">
        <v>42730</v>
      </c>
      <c r="M7989" t="s">
        <v>45908</v>
      </c>
      <c r="N7989" t="s">
        <v>47424</v>
      </c>
      <c r="O7989" t="s">
        <v>47425</v>
      </c>
      <c r="P7989">
        <v>0</v>
      </c>
      <c r="Q7989">
        <v>3</v>
      </c>
      <c r="R7989" t="s">
        <v>47432</v>
      </c>
      <c r="S7989" t="s">
        <v>47597</v>
      </c>
      <c r="T7989" t="s">
        <v>49214</v>
      </c>
      <c r="U7989" t="s">
        <v>54976</v>
      </c>
      <c r="W7989" t="s">
        <v>45908</v>
      </c>
      <c r="X7989" t="s">
        <v>47433</v>
      </c>
    </row>
    <row r="7990" spans="1:24">
      <c r="A7990">
        <f>HYPERLINK("https://www.philgeps.gov.ph/GEPSNONPILOT/Tender/SplashBidNoticeAbstractUI.aspx?menuIndex=3&amp;refID=7152515&amp;Result=3","7152515")</f>
        <v>0</v>
      </c>
      <c r="B7990" t="s">
        <v>2456</v>
      </c>
      <c r="C7990" t="s">
        <v>11417</v>
      </c>
      <c r="D7990" t="s">
        <v>19024</v>
      </c>
      <c r="E7990" t="s">
        <v>26050</v>
      </c>
      <c r="F7990" t="s">
        <v>32831</v>
      </c>
      <c r="G7990" t="s">
        <v>32838</v>
      </c>
      <c r="H7990" t="s">
        <v>32848</v>
      </c>
      <c r="I7990" t="s">
        <v>32863</v>
      </c>
      <c r="J7990" t="s">
        <v>37966</v>
      </c>
      <c r="K7990" t="s">
        <v>42727</v>
      </c>
      <c r="L7990" t="s">
        <v>2456</v>
      </c>
      <c r="M7990" t="s">
        <v>45654</v>
      </c>
      <c r="N7990" t="s">
        <v>47424</v>
      </c>
      <c r="O7990" t="s">
        <v>47425</v>
      </c>
      <c r="P7990">
        <v>0</v>
      </c>
      <c r="Q7990">
        <v>0</v>
      </c>
      <c r="R7990" t="s">
        <v>47432</v>
      </c>
      <c r="S7990" t="s">
        <v>47597</v>
      </c>
      <c r="T7990" t="s">
        <v>49166</v>
      </c>
      <c r="U7990" t="s">
        <v>56325</v>
      </c>
      <c r="W7990" t="s">
        <v>45654</v>
      </c>
      <c r="X7990" t="s">
        <v>47433</v>
      </c>
    </row>
    <row r="7991" spans="1:24">
      <c r="A7991">
        <f>HYPERLINK("https://www.philgeps.gov.ph/GEPSNONPILOT/Tender/SplashBidNoticeAbstractUI.aspx?menuIndex=3&amp;refID=7152425&amp;Result=3","7152425")</f>
        <v>0</v>
      </c>
      <c r="B7991" t="s">
        <v>2686</v>
      </c>
      <c r="C7991" t="s">
        <v>11418</v>
      </c>
      <c r="D7991" t="s">
        <v>19062</v>
      </c>
      <c r="E7991" t="s">
        <v>26051</v>
      </c>
      <c r="F7991" t="s">
        <v>32831</v>
      </c>
      <c r="G7991" t="s">
        <v>32839</v>
      </c>
      <c r="H7991" t="s">
        <v>32849</v>
      </c>
      <c r="I7991" t="s">
        <v>4177</v>
      </c>
      <c r="J7991" t="s">
        <v>37967</v>
      </c>
      <c r="K7991" t="s">
        <v>42730</v>
      </c>
      <c r="M7991" t="s">
        <v>45909</v>
      </c>
      <c r="N7991" t="s">
        <v>47424</v>
      </c>
      <c r="O7991" t="s">
        <v>47425</v>
      </c>
      <c r="P7991">
        <v>0</v>
      </c>
      <c r="Q7991">
        <v>0</v>
      </c>
      <c r="R7991" t="s">
        <v>47432</v>
      </c>
      <c r="S7991" t="s">
        <v>47597</v>
      </c>
      <c r="T7991" t="s">
        <v>49214</v>
      </c>
      <c r="U7991" t="s">
        <v>56326</v>
      </c>
      <c r="V7991" t="s">
        <v>63513</v>
      </c>
      <c r="W7991" t="s">
        <v>45909</v>
      </c>
      <c r="X7991" t="s">
        <v>47433</v>
      </c>
    </row>
    <row r="7992" spans="1:24">
      <c r="A7992">
        <f>HYPERLINK("https://www.philgeps.gov.ph/GEPSNONPILOT/Tender/SplashBidNoticeAbstractUI.aspx?menuIndex=3&amp;refID=7152386&amp;Result=3","7152386")</f>
        <v>0</v>
      </c>
      <c r="B7992" t="s">
        <v>1237</v>
      </c>
      <c r="C7992" t="s">
        <v>11419</v>
      </c>
      <c r="D7992" t="s">
        <v>19081</v>
      </c>
      <c r="E7992" t="s">
        <v>25358</v>
      </c>
      <c r="F7992" t="s">
        <v>32831</v>
      </c>
      <c r="G7992" t="s">
        <v>32839</v>
      </c>
      <c r="H7992" t="s">
        <v>32849</v>
      </c>
      <c r="I7992" t="s">
        <v>4177</v>
      </c>
      <c r="J7992" t="s">
        <v>37968</v>
      </c>
      <c r="K7992" t="s">
        <v>42828</v>
      </c>
      <c r="M7992" t="s">
        <v>44307</v>
      </c>
      <c r="N7992" t="s">
        <v>47424</v>
      </c>
      <c r="O7992" t="s">
        <v>47425</v>
      </c>
      <c r="P7992">
        <v>0</v>
      </c>
      <c r="Q7992">
        <v>4</v>
      </c>
      <c r="R7992" t="s">
        <v>47432</v>
      </c>
      <c r="S7992" t="s">
        <v>47597</v>
      </c>
      <c r="T7992" t="s">
        <v>49283</v>
      </c>
      <c r="U7992" t="s">
        <v>56327</v>
      </c>
      <c r="W7992" t="s">
        <v>44307</v>
      </c>
      <c r="X7992" t="s">
        <v>47433</v>
      </c>
    </row>
    <row r="7993" spans="1:24">
      <c r="A7993">
        <f>HYPERLINK("https://www.philgeps.gov.ph/GEPSNONPILOT/Tender/SplashBidNoticeAbstractUI.aspx?menuIndex=3&amp;refID=7152514&amp;Result=3","7152514")</f>
        <v>0</v>
      </c>
      <c r="B7993" t="s">
        <v>1320</v>
      </c>
      <c r="C7993" t="s">
        <v>11420</v>
      </c>
      <c r="D7993" t="s">
        <v>19085</v>
      </c>
      <c r="E7993" t="s">
        <v>26052</v>
      </c>
      <c r="F7993" t="s">
        <v>32831</v>
      </c>
      <c r="G7993" t="s">
        <v>32838</v>
      </c>
      <c r="H7993" t="s">
        <v>32848</v>
      </c>
      <c r="I7993" t="s">
        <v>9577</v>
      </c>
      <c r="J7993" t="s">
        <v>37969</v>
      </c>
      <c r="K7993" t="s">
        <v>42731</v>
      </c>
      <c r="M7993" t="s">
        <v>44391</v>
      </c>
      <c r="N7993" t="s">
        <v>47424</v>
      </c>
      <c r="O7993" t="s">
        <v>47425</v>
      </c>
      <c r="P7993">
        <v>0</v>
      </c>
      <c r="Q7993">
        <v>0</v>
      </c>
      <c r="R7993" t="s">
        <v>47432</v>
      </c>
      <c r="S7993" t="s">
        <v>47597</v>
      </c>
      <c r="T7993" t="s">
        <v>49129</v>
      </c>
      <c r="U7993" t="s">
        <v>56328</v>
      </c>
      <c r="W7993" t="s">
        <v>44391</v>
      </c>
      <c r="X7993" t="s">
        <v>47433</v>
      </c>
    </row>
    <row r="7994" spans="1:24">
      <c r="A7994">
        <f>HYPERLINK("https://www.philgeps.gov.ph/GEPSNONPILOT/Tender/SplashBidNoticeAbstractUI.aspx?menuIndex=3&amp;refID=7152391&amp;Result=3","7152391")</f>
        <v>0</v>
      </c>
      <c r="B7994" t="s">
        <v>2363</v>
      </c>
      <c r="C7994" t="s">
        <v>11421</v>
      </c>
      <c r="D7994" t="s">
        <v>19047</v>
      </c>
      <c r="E7994" t="s">
        <v>26053</v>
      </c>
      <c r="F7994" t="s">
        <v>32831</v>
      </c>
      <c r="G7994" t="s">
        <v>32838</v>
      </c>
      <c r="H7994" t="s">
        <v>32848</v>
      </c>
      <c r="I7994" t="s">
        <v>32894</v>
      </c>
      <c r="J7994" t="s">
        <v>35979</v>
      </c>
      <c r="K7994" t="s">
        <v>42732</v>
      </c>
      <c r="M7994" t="s">
        <v>45703</v>
      </c>
      <c r="N7994" t="s">
        <v>47424</v>
      </c>
      <c r="O7994" t="s">
        <v>47425</v>
      </c>
      <c r="P7994">
        <v>0</v>
      </c>
      <c r="Q7994">
        <v>11</v>
      </c>
      <c r="R7994" t="s">
        <v>47432</v>
      </c>
      <c r="S7994" t="s">
        <v>47597</v>
      </c>
      <c r="T7994" t="s">
        <v>49237</v>
      </c>
      <c r="U7994" t="s">
        <v>55675</v>
      </c>
      <c r="W7994" t="s">
        <v>45703</v>
      </c>
      <c r="X7994" t="s">
        <v>47433</v>
      </c>
    </row>
    <row r="7995" spans="1:24">
      <c r="A7995">
        <f>HYPERLINK("https://www.philgeps.gov.ph/GEPSNONPILOT/Tender/SplashBidNoticeAbstractUI.aspx?menuIndex=3&amp;refID=7152436&amp;Result=3","7152436")</f>
        <v>0</v>
      </c>
      <c r="B7995" t="s">
        <v>2315</v>
      </c>
      <c r="C7995" t="s">
        <v>11422</v>
      </c>
      <c r="D7995" t="s">
        <v>19031</v>
      </c>
      <c r="E7995" t="s">
        <v>26054</v>
      </c>
      <c r="F7995" t="s">
        <v>32831</v>
      </c>
      <c r="G7995" t="s">
        <v>32839</v>
      </c>
      <c r="H7995" t="s">
        <v>32849</v>
      </c>
      <c r="I7995" t="s">
        <v>4177</v>
      </c>
      <c r="J7995" t="s">
        <v>33257</v>
      </c>
      <c r="K7995" t="s">
        <v>42781</v>
      </c>
      <c r="M7995" t="s">
        <v>45500</v>
      </c>
      <c r="N7995" t="s">
        <v>47424</v>
      </c>
      <c r="O7995" t="s">
        <v>47425</v>
      </c>
      <c r="P7995">
        <v>0</v>
      </c>
      <c r="Q7995">
        <v>0</v>
      </c>
      <c r="R7995" t="s">
        <v>47432</v>
      </c>
      <c r="S7995" t="s">
        <v>47597</v>
      </c>
      <c r="T7995" t="s">
        <v>49236</v>
      </c>
      <c r="U7995" t="s">
        <v>56329</v>
      </c>
      <c r="W7995" t="s">
        <v>45500</v>
      </c>
      <c r="X7995" t="s">
        <v>47433</v>
      </c>
    </row>
    <row r="7996" spans="1:24">
      <c r="A7996">
        <f>HYPERLINK("https://www.philgeps.gov.ph/GEPSNONPILOT/Tender/SplashBidNoticeAbstractUI.aspx?menuIndex=3&amp;refID=7152506&amp;Result=3","7152506")</f>
        <v>0</v>
      </c>
      <c r="B7996" t="s">
        <v>1597</v>
      </c>
      <c r="C7996" t="s">
        <v>11423</v>
      </c>
      <c r="D7996" t="s">
        <v>19031</v>
      </c>
      <c r="E7996" t="s">
        <v>26055</v>
      </c>
      <c r="F7996" t="s">
        <v>32831</v>
      </c>
      <c r="G7996" t="s">
        <v>32839</v>
      </c>
      <c r="H7996" t="s">
        <v>32848</v>
      </c>
      <c r="I7996" t="s">
        <v>4776</v>
      </c>
      <c r="J7996" t="s">
        <v>33083</v>
      </c>
      <c r="K7996" t="s">
        <v>42745</v>
      </c>
      <c r="M7996" t="s">
        <v>44719</v>
      </c>
      <c r="N7996" t="s">
        <v>47424</v>
      </c>
      <c r="O7996" t="s">
        <v>47425</v>
      </c>
      <c r="Q7996">
        <v>6</v>
      </c>
      <c r="R7996" t="s">
        <v>47432</v>
      </c>
      <c r="S7996" t="s">
        <v>47603</v>
      </c>
      <c r="T7996" t="s">
        <v>49291</v>
      </c>
      <c r="U7996" t="s">
        <v>56330</v>
      </c>
      <c r="V7996" t="s">
        <v>63051</v>
      </c>
      <c r="W7996" t="s">
        <v>44719</v>
      </c>
      <c r="X7996" t="s">
        <v>47433</v>
      </c>
    </row>
    <row r="7997" spans="1:24">
      <c r="A7997">
        <f>HYPERLINK("https://www.philgeps.gov.ph/GEPSNONPILOT/Tender/SplashBidNoticeAbstractUI.aspx?menuIndex=3&amp;refID=7152460&amp;Result=3","7152460")</f>
        <v>0</v>
      </c>
      <c r="B7997" t="s">
        <v>2315</v>
      </c>
      <c r="C7997" t="s">
        <v>11424</v>
      </c>
      <c r="D7997" t="s">
        <v>19031</v>
      </c>
      <c r="E7997" t="s">
        <v>26056</v>
      </c>
      <c r="F7997" t="s">
        <v>32831</v>
      </c>
      <c r="G7997" t="s">
        <v>32839</v>
      </c>
      <c r="H7997" t="s">
        <v>32849</v>
      </c>
      <c r="I7997" t="s">
        <v>4177</v>
      </c>
      <c r="J7997" t="s">
        <v>37970</v>
      </c>
      <c r="K7997" t="s">
        <v>42747</v>
      </c>
      <c r="M7997" t="s">
        <v>45500</v>
      </c>
      <c r="N7997" t="s">
        <v>47424</v>
      </c>
      <c r="O7997" t="s">
        <v>47425</v>
      </c>
      <c r="P7997">
        <v>0</v>
      </c>
      <c r="Q7997">
        <v>0</v>
      </c>
      <c r="R7997" t="s">
        <v>47432</v>
      </c>
      <c r="S7997" t="s">
        <v>47597</v>
      </c>
      <c r="T7997" t="s">
        <v>49236</v>
      </c>
      <c r="U7997" t="s">
        <v>56331</v>
      </c>
      <c r="W7997" t="s">
        <v>45500</v>
      </c>
      <c r="X7997" t="s">
        <v>47433</v>
      </c>
    </row>
    <row r="7998" spans="1:24">
      <c r="A7998">
        <f>HYPERLINK("https://www.philgeps.gov.ph/GEPSNONPILOT/Tender/SplashBidNoticeAbstractUI.aspx?menuIndex=3&amp;refID=7152502&amp;Result=3","7152502")</f>
        <v>0</v>
      </c>
      <c r="B7998" t="s">
        <v>2687</v>
      </c>
      <c r="C7998" t="s">
        <v>11425</v>
      </c>
      <c r="E7998" t="s">
        <v>26057</v>
      </c>
      <c r="F7998" t="s">
        <v>32831</v>
      </c>
      <c r="G7998" t="s">
        <v>32839</v>
      </c>
      <c r="H7998" t="s">
        <v>32849</v>
      </c>
      <c r="I7998" t="s">
        <v>4177</v>
      </c>
      <c r="J7998" t="s">
        <v>37971</v>
      </c>
      <c r="K7998" t="s">
        <v>42729</v>
      </c>
      <c r="M7998" t="s">
        <v>45910</v>
      </c>
      <c r="N7998" t="s">
        <v>47424</v>
      </c>
      <c r="O7998" t="s">
        <v>47425</v>
      </c>
      <c r="P7998">
        <v>0</v>
      </c>
      <c r="Q7998">
        <v>44</v>
      </c>
      <c r="R7998" t="s">
        <v>47432</v>
      </c>
      <c r="S7998" t="s">
        <v>47597</v>
      </c>
      <c r="T7998" t="s">
        <v>49221</v>
      </c>
      <c r="U7998" t="s">
        <v>56332</v>
      </c>
      <c r="V7998" t="s">
        <v>63514</v>
      </c>
      <c r="W7998" t="s">
        <v>45910</v>
      </c>
      <c r="X7998" t="s">
        <v>47433</v>
      </c>
    </row>
    <row r="7999" spans="1:24">
      <c r="A7999">
        <f>HYPERLINK("https://www.philgeps.gov.ph/GEPSNONPILOT/Tender/SplashBidNoticeAbstractUI.aspx?menuIndex=3&amp;refID=7152496&amp;Result=3","7152496")</f>
        <v>0</v>
      </c>
      <c r="B7999" t="s">
        <v>2688</v>
      </c>
      <c r="C7999" t="s">
        <v>11426</v>
      </c>
      <c r="D7999" t="s">
        <v>19082</v>
      </c>
      <c r="E7999" t="s">
        <v>26058</v>
      </c>
      <c r="F7999" t="s">
        <v>32831</v>
      </c>
      <c r="G7999" t="s">
        <v>32838</v>
      </c>
      <c r="H7999" t="s">
        <v>32848</v>
      </c>
      <c r="I7999" t="s">
        <v>32860</v>
      </c>
      <c r="J7999" t="s">
        <v>37972</v>
      </c>
      <c r="K7999" t="s">
        <v>42726</v>
      </c>
      <c r="M7999" t="s">
        <v>45911</v>
      </c>
      <c r="N7999" t="s">
        <v>47424</v>
      </c>
      <c r="O7999" t="s">
        <v>47425</v>
      </c>
      <c r="P7999">
        <v>0</v>
      </c>
      <c r="Q7999">
        <v>0</v>
      </c>
      <c r="R7999" t="s">
        <v>47432</v>
      </c>
      <c r="S7999" t="s">
        <v>47597</v>
      </c>
      <c r="T7999" t="s">
        <v>49107</v>
      </c>
      <c r="U7999" t="s">
        <v>56333</v>
      </c>
      <c r="W7999" t="s">
        <v>45911</v>
      </c>
      <c r="X7999" t="s">
        <v>47433</v>
      </c>
    </row>
    <row r="8000" spans="1:24">
      <c r="A8000">
        <f>HYPERLINK("https://www.philgeps.gov.ph/GEPSNONPILOT/Tender/SplashBidNoticeAbstractUI.aspx?menuIndex=3&amp;refID=7152451&amp;Result=3","7152451")</f>
        <v>0</v>
      </c>
      <c r="B8000" t="s">
        <v>2669</v>
      </c>
      <c r="C8000" t="s">
        <v>11427</v>
      </c>
      <c r="D8000" t="s">
        <v>19043</v>
      </c>
      <c r="E8000" t="s">
        <v>26059</v>
      </c>
      <c r="F8000" t="s">
        <v>32831</v>
      </c>
      <c r="G8000" t="s">
        <v>32839</v>
      </c>
      <c r="H8000" t="s">
        <v>32849</v>
      </c>
      <c r="I8000" t="s">
        <v>4177</v>
      </c>
      <c r="J8000" t="s">
        <v>33066</v>
      </c>
      <c r="K8000" t="s">
        <v>42765</v>
      </c>
      <c r="M8000" t="s">
        <v>45892</v>
      </c>
      <c r="N8000" t="s">
        <v>47424</v>
      </c>
      <c r="O8000" t="s">
        <v>47425</v>
      </c>
      <c r="P8000">
        <v>0</v>
      </c>
      <c r="Q8000">
        <v>2</v>
      </c>
      <c r="R8000" t="s">
        <v>47432</v>
      </c>
      <c r="S8000" t="s">
        <v>47597</v>
      </c>
      <c r="T8000" t="s">
        <v>49139</v>
      </c>
      <c r="U8000" t="s">
        <v>56324</v>
      </c>
      <c r="W8000" t="s">
        <v>45892</v>
      </c>
      <c r="X8000" t="s">
        <v>47433</v>
      </c>
    </row>
    <row r="8001" spans="1:24">
      <c r="A8001">
        <f>HYPERLINK("https://www.philgeps.gov.ph/GEPSNONPILOT/Tender/SplashBidNoticeAbstractUI.aspx?menuIndex=3&amp;refID=7152495&amp;Result=3","7152495")</f>
        <v>0</v>
      </c>
      <c r="B8001" t="s">
        <v>2182</v>
      </c>
      <c r="C8001" t="s">
        <v>11428</v>
      </c>
      <c r="D8001" t="s">
        <v>19021</v>
      </c>
      <c r="E8001" t="s">
        <v>26060</v>
      </c>
      <c r="F8001" t="s">
        <v>32831</v>
      </c>
      <c r="G8001" t="s">
        <v>32838</v>
      </c>
      <c r="H8001" t="s">
        <v>32848</v>
      </c>
      <c r="I8001" t="s">
        <v>4435</v>
      </c>
      <c r="J8001" t="s">
        <v>37246</v>
      </c>
      <c r="K8001" t="s">
        <v>42732</v>
      </c>
      <c r="M8001" t="s">
        <v>45362</v>
      </c>
      <c r="N8001" t="s">
        <v>47424</v>
      </c>
      <c r="O8001" t="s">
        <v>47425</v>
      </c>
      <c r="P8001">
        <v>0</v>
      </c>
      <c r="Q8001">
        <v>0</v>
      </c>
      <c r="R8001" t="s">
        <v>47432</v>
      </c>
      <c r="S8001" t="s">
        <v>47597</v>
      </c>
      <c r="T8001" t="s">
        <v>49141</v>
      </c>
      <c r="U8001" t="s">
        <v>56334</v>
      </c>
      <c r="W8001" t="s">
        <v>45362</v>
      </c>
      <c r="X8001" t="s">
        <v>47433</v>
      </c>
    </row>
    <row r="8002" spans="1:24">
      <c r="A8002">
        <f>HYPERLINK("https://www.philgeps.gov.ph/GEPSNONPILOT/Tender/SplashBidNoticeAbstractUI.aspx?menuIndex=3&amp;refID=7152494&amp;Result=3","7152494")</f>
        <v>0</v>
      </c>
      <c r="B8002" t="s">
        <v>2689</v>
      </c>
      <c r="C8002" t="s">
        <v>11429</v>
      </c>
      <c r="D8002" t="s">
        <v>19037</v>
      </c>
      <c r="E8002" t="s">
        <v>20202</v>
      </c>
      <c r="F8002" t="s">
        <v>32831</v>
      </c>
      <c r="G8002" t="s">
        <v>32839</v>
      </c>
      <c r="H8002" t="s">
        <v>32848</v>
      </c>
      <c r="I8002" t="s">
        <v>4776</v>
      </c>
      <c r="J8002" t="s">
        <v>37973</v>
      </c>
      <c r="K8002" t="s">
        <v>42747</v>
      </c>
      <c r="M8002" t="s">
        <v>45912</v>
      </c>
      <c r="N8002" t="s">
        <v>47424</v>
      </c>
      <c r="O8002" t="s">
        <v>47425</v>
      </c>
      <c r="P8002">
        <v>0</v>
      </c>
      <c r="Q8002">
        <v>6</v>
      </c>
      <c r="R8002" t="s">
        <v>47432</v>
      </c>
      <c r="S8002" t="s">
        <v>47597</v>
      </c>
      <c r="T8002" t="s">
        <v>49077</v>
      </c>
      <c r="U8002" t="s">
        <v>56335</v>
      </c>
      <c r="V8002" t="s">
        <v>63515</v>
      </c>
      <c r="W8002" t="s">
        <v>45912</v>
      </c>
      <c r="X8002" t="s">
        <v>47433</v>
      </c>
    </row>
    <row r="8003" spans="1:24">
      <c r="A8003">
        <f>HYPERLINK("https://www.philgeps.gov.ph/GEPSNONPILOT/Tender/SplashBidNoticeAbstractUI.aspx?menuIndex=3&amp;refID=7152484&amp;Result=3","7152484")</f>
        <v>0</v>
      </c>
      <c r="B8003" t="s">
        <v>2690</v>
      </c>
      <c r="C8003" t="s">
        <v>11430</v>
      </c>
      <c r="D8003" t="s">
        <v>19055</v>
      </c>
      <c r="E8003" t="s">
        <v>26061</v>
      </c>
      <c r="F8003" t="s">
        <v>32831</v>
      </c>
      <c r="G8003" t="s">
        <v>32838</v>
      </c>
      <c r="H8003" t="s">
        <v>32848</v>
      </c>
      <c r="I8003" t="s">
        <v>32855</v>
      </c>
      <c r="J8003" t="s">
        <v>37974</v>
      </c>
      <c r="K8003" t="s">
        <v>42742</v>
      </c>
      <c r="M8003" t="s">
        <v>45913</v>
      </c>
      <c r="N8003" t="s">
        <v>47424</v>
      </c>
      <c r="O8003" t="s">
        <v>47425</v>
      </c>
      <c r="P8003">
        <v>0</v>
      </c>
      <c r="Q8003">
        <v>10</v>
      </c>
      <c r="R8003" t="s">
        <v>47432</v>
      </c>
      <c r="S8003" t="s">
        <v>47597</v>
      </c>
      <c r="T8003" t="s">
        <v>49107</v>
      </c>
      <c r="U8003" t="s">
        <v>56336</v>
      </c>
      <c r="W8003" t="s">
        <v>45913</v>
      </c>
      <c r="X8003" t="s">
        <v>47433</v>
      </c>
    </row>
    <row r="8004" spans="1:24">
      <c r="A8004">
        <f>HYPERLINK("https://www.philgeps.gov.ph/GEPSNONPILOT/Tender/SplashBidNoticeAbstractUI.aspx?menuIndex=3&amp;refID=7152483&amp;Result=3","7152483")</f>
        <v>0</v>
      </c>
      <c r="B8004" t="s">
        <v>2691</v>
      </c>
      <c r="C8004" t="s">
        <v>11431</v>
      </c>
      <c r="D8004" t="s">
        <v>19077</v>
      </c>
      <c r="E8004" t="s">
        <v>25426</v>
      </c>
      <c r="F8004" t="s">
        <v>32831</v>
      </c>
      <c r="G8004" t="s">
        <v>32839</v>
      </c>
      <c r="H8004" t="s">
        <v>32848</v>
      </c>
      <c r="I8004" t="s">
        <v>7416</v>
      </c>
      <c r="J8004" t="s">
        <v>32983</v>
      </c>
      <c r="K8004" t="s">
        <v>42727</v>
      </c>
      <c r="L8004" t="s">
        <v>2691</v>
      </c>
      <c r="M8004" t="s">
        <v>45914</v>
      </c>
      <c r="N8004" t="s">
        <v>47424</v>
      </c>
      <c r="O8004" t="s">
        <v>47425</v>
      </c>
      <c r="P8004">
        <v>0</v>
      </c>
      <c r="Q8004">
        <v>2</v>
      </c>
      <c r="R8004" t="s">
        <v>47432</v>
      </c>
      <c r="S8004" t="s">
        <v>47597</v>
      </c>
      <c r="T8004" t="s">
        <v>49198</v>
      </c>
      <c r="U8004" t="s">
        <v>56337</v>
      </c>
      <c r="W8004" t="s">
        <v>45914</v>
      </c>
      <c r="X8004" t="s">
        <v>47433</v>
      </c>
    </row>
    <row r="8005" spans="1:24">
      <c r="A8005">
        <f>HYPERLINK("https://www.philgeps.gov.ph/GEPSNONPILOT/Tender/SplashBidNoticeAbstractUI.aspx?menuIndex=3&amp;refID=7152499&amp;Result=3","7152499")</f>
        <v>0</v>
      </c>
      <c r="B8005" t="s">
        <v>821</v>
      </c>
      <c r="C8005" t="s">
        <v>11432</v>
      </c>
      <c r="D8005" t="s">
        <v>19054</v>
      </c>
      <c r="E8005" t="s">
        <v>26062</v>
      </c>
      <c r="F8005" t="s">
        <v>32833</v>
      </c>
      <c r="G8005" t="s">
        <v>32839</v>
      </c>
      <c r="H8005" t="s">
        <v>32848</v>
      </c>
      <c r="I8005" t="s">
        <v>32925</v>
      </c>
      <c r="J8005" t="s">
        <v>33794</v>
      </c>
      <c r="K8005" t="s">
        <v>42730</v>
      </c>
      <c r="M8005" t="s">
        <v>43852</v>
      </c>
      <c r="N8005" t="s">
        <v>47424</v>
      </c>
      <c r="O8005" t="s">
        <v>47425</v>
      </c>
      <c r="P8005">
        <v>0</v>
      </c>
      <c r="Q8005">
        <v>5</v>
      </c>
      <c r="R8005" t="s">
        <v>47432</v>
      </c>
      <c r="S8005" t="s">
        <v>47597</v>
      </c>
      <c r="T8005" t="s">
        <v>49057</v>
      </c>
      <c r="U8005" t="s">
        <v>51197</v>
      </c>
      <c r="V8005" t="s">
        <v>62820</v>
      </c>
      <c r="W8005" t="s">
        <v>64447</v>
      </c>
      <c r="X8005" t="s">
        <v>47433</v>
      </c>
    </row>
    <row r="8006" spans="1:24">
      <c r="A8006">
        <f>HYPERLINK("https://www.philgeps.gov.ph/GEPSNONPILOT/Tender/SplashBidNoticeAbstractUI.aspx?menuIndex=3&amp;refID=7152476&amp;Result=3","7152476")</f>
        <v>0</v>
      </c>
      <c r="B8006" t="s">
        <v>1439</v>
      </c>
      <c r="C8006" t="s">
        <v>11433</v>
      </c>
      <c r="D8006" t="s">
        <v>19084</v>
      </c>
      <c r="E8006" t="s">
        <v>26063</v>
      </c>
      <c r="F8006" t="s">
        <v>32831</v>
      </c>
      <c r="G8006" t="s">
        <v>32838</v>
      </c>
      <c r="H8006" t="s">
        <v>32848</v>
      </c>
      <c r="I8006" t="s">
        <v>4438</v>
      </c>
      <c r="J8006" t="s">
        <v>37975</v>
      </c>
      <c r="K8006" t="s">
        <v>42727</v>
      </c>
      <c r="M8006" t="s">
        <v>44529</v>
      </c>
      <c r="N8006" t="s">
        <v>47424</v>
      </c>
      <c r="O8006" t="s">
        <v>47425</v>
      </c>
      <c r="P8006">
        <v>0</v>
      </c>
      <c r="Q8006">
        <v>2</v>
      </c>
      <c r="R8006" t="s">
        <v>47432</v>
      </c>
      <c r="S8006" t="s">
        <v>47597</v>
      </c>
      <c r="T8006" t="s">
        <v>49205</v>
      </c>
      <c r="U8006" t="s">
        <v>56338</v>
      </c>
      <c r="W8006" t="s">
        <v>44529</v>
      </c>
      <c r="X8006" t="s">
        <v>47433</v>
      </c>
    </row>
    <row r="8007" spans="1:24">
      <c r="A8007">
        <f>HYPERLINK("https://www.philgeps.gov.ph/GEPSNONPILOT/Tender/SplashBidNoticeAbstractUI.aspx?menuIndex=3&amp;refID=7152486&amp;Result=3","7152486")</f>
        <v>0</v>
      </c>
      <c r="B8007" t="s">
        <v>2315</v>
      </c>
      <c r="C8007" t="s">
        <v>11434</v>
      </c>
      <c r="D8007" t="s">
        <v>19031</v>
      </c>
      <c r="E8007" t="s">
        <v>26064</v>
      </c>
      <c r="F8007" t="s">
        <v>32831</v>
      </c>
      <c r="G8007" t="s">
        <v>32839</v>
      </c>
      <c r="H8007" t="s">
        <v>32848</v>
      </c>
      <c r="I8007" t="s">
        <v>32892</v>
      </c>
      <c r="J8007" t="s">
        <v>37976</v>
      </c>
      <c r="K8007" t="s">
        <v>42730</v>
      </c>
      <c r="M8007" t="s">
        <v>45500</v>
      </c>
      <c r="N8007" t="s">
        <v>47424</v>
      </c>
      <c r="O8007" t="s">
        <v>47425</v>
      </c>
      <c r="P8007">
        <v>0</v>
      </c>
      <c r="Q8007">
        <v>3</v>
      </c>
      <c r="R8007" t="s">
        <v>47432</v>
      </c>
      <c r="S8007" t="s">
        <v>47597</v>
      </c>
      <c r="T8007" t="s">
        <v>49236</v>
      </c>
      <c r="U8007" t="s">
        <v>56339</v>
      </c>
      <c r="W8007" t="s">
        <v>45500</v>
      </c>
      <c r="X8007" t="s">
        <v>47433</v>
      </c>
    </row>
    <row r="8008" spans="1:24">
      <c r="A8008">
        <f>HYPERLINK("https://www.philgeps.gov.ph/GEPSNONPILOT/Tender/SplashBidNoticeAbstractUI.aspx?menuIndex=3&amp;refID=7152472&amp;Result=3","7152472")</f>
        <v>0</v>
      </c>
      <c r="B8008" t="s">
        <v>2692</v>
      </c>
      <c r="C8008" t="s">
        <v>11435</v>
      </c>
      <c r="D8008" t="s">
        <v>19018</v>
      </c>
      <c r="E8008" t="s">
        <v>26065</v>
      </c>
      <c r="F8008" t="s">
        <v>32834</v>
      </c>
      <c r="G8008" t="s">
        <v>32840</v>
      </c>
      <c r="H8008" t="s">
        <v>32848</v>
      </c>
      <c r="I8008" t="s">
        <v>32927</v>
      </c>
      <c r="J8008" t="s">
        <v>33853</v>
      </c>
      <c r="K8008" t="s">
        <v>42758</v>
      </c>
      <c r="M8008" t="s">
        <v>45915</v>
      </c>
      <c r="N8008" t="s">
        <v>47424</v>
      </c>
      <c r="O8008" t="s">
        <v>47425</v>
      </c>
      <c r="P8008">
        <v>0</v>
      </c>
      <c r="Q8008">
        <v>0</v>
      </c>
      <c r="R8008" t="s">
        <v>47432</v>
      </c>
      <c r="S8008" t="s">
        <v>47597</v>
      </c>
      <c r="T8008" t="s">
        <v>49111</v>
      </c>
      <c r="U8008" t="s">
        <v>56340</v>
      </c>
      <c r="W8008" t="s">
        <v>45915</v>
      </c>
      <c r="X8008" t="s">
        <v>47433</v>
      </c>
    </row>
    <row r="8009" spans="1:24">
      <c r="A8009">
        <f>HYPERLINK("https://www.philgeps.gov.ph/GEPSNONPILOT/Tender/SplashBidNoticeAbstractUI.aspx?menuIndex=3&amp;refID=7152570&amp;Result=3","7152570")</f>
        <v>0</v>
      </c>
      <c r="B8009" t="s">
        <v>485</v>
      </c>
      <c r="C8009" t="s">
        <v>11436</v>
      </c>
      <c r="D8009" t="s">
        <v>19032</v>
      </c>
      <c r="E8009" t="s">
        <v>26066</v>
      </c>
      <c r="F8009" t="s">
        <v>32831</v>
      </c>
      <c r="G8009" t="s">
        <v>32839</v>
      </c>
      <c r="H8009" t="s">
        <v>32848</v>
      </c>
      <c r="I8009" t="s">
        <v>9577</v>
      </c>
      <c r="J8009" t="s">
        <v>37977</v>
      </c>
      <c r="K8009" t="s">
        <v>42726</v>
      </c>
      <c r="M8009" t="s">
        <v>43490</v>
      </c>
      <c r="N8009" t="s">
        <v>47424</v>
      </c>
      <c r="O8009" t="s">
        <v>47425</v>
      </c>
      <c r="P8009">
        <v>0</v>
      </c>
      <c r="Q8009">
        <v>0</v>
      </c>
      <c r="R8009" t="s">
        <v>47432</v>
      </c>
      <c r="S8009" t="s">
        <v>47597</v>
      </c>
      <c r="T8009" t="s">
        <v>49496</v>
      </c>
      <c r="U8009" t="s">
        <v>50335</v>
      </c>
      <c r="V8009" t="s">
        <v>63516</v>
      </c>
      <c r="W8009" t="s">
        <v>43490</v>
      </c>
      <c r="X8009" t="s">
        <v>47433</v>
      </c>
    </row>
    <row r="8010" spans="1:24">
      <c r="A8010">
        <f>HYPERLINK("https://www.philgeps.gov.ph/GEPSNONPILOT/Tender/SplashBidNoticeAbstractUI.aspx?menuIndex=3&amp;refID=7152565&amp;Result=3","7152565")</f>
        <v>0</v>
      </c>
      <c r="B8010" t="s">
        <v>2441</v>
      </c>
      <c r="C8010" t="s">
        <v>11437</v>
      </c>
      <c r="D8010" t="s">
        <v>19028</v>
      </c>
      <c r="E8010" t="s">
        <v>26067</v>
      </c>
      <c r="F8010" t="s">
        <v>32831</v>
      </c>
      <c r="G8010" t="s">
        <v>32838</v>
      </c>
      <c r="H8010" t="s">
        <v>32848</v>
      </c>
      <c r="I8010" t="s">
        <v>4222</v>
      </c>
      <c r="J8010" t="s">
        <v>37978</v>
      </c>
      <c r="K8010" t="s">
        <v>42786</v>
      </c>
      <c r="M8010" t="s">
        <v>45916</v>
      </c>
      <c r="N8010" t="s">
        <v>47424</v>
      </c>
      <c r="O8010" t="s">
        <v>47425</v>
      </c>
      <c r="P8010">
        <v>0</v>
      </c>
      <c r="Q8010">
        <v>2</v>
      </c>
      <c r="R8010" t="s">
        <v>47432</v>
      </c>
      <c r="S8010" t="s">
        <v>47597</v>
      </c>
      <c r="T8010" t="s">
        <v>49497</v>
      </c>
      <c r="U8010" t="s">
        <v>56341</v>
      </c>
      <c r="W8010" t="s">
        <v>45916</v>
      </c>
      <c r="X8010" t="s">
        <v>47433</v>
      </c>
    </row>
    <row r="8011" spans="1:24">
      <c r="A8011">
        <f>HYPERLINK("https://www.philgeps.gov.ph/GEPSNONPILOT/Tender/SplashBidNoticeAbstractUI.aspx?menuIndex=3&amp;refID=7152562&amp;Result=3","7152562")</f>
        <v>0</v>
      </c>
      <c r="B8011" t="s">
        <v>2693</v>
      </c>
      <c r="C8011" t="s">
        <v>11438</v>
      </c>
      <c r="D8011" t="s">
        <v>19034</v>
      </c>
      <c r="E8011" t="s">
        <v>26068</v>
      </c>
      <c r="F8011" t="s">
        <v>32831</v>
      </c>
      <c r="G8011" t="s">
        <v>32839</v>
      </c>
      <c r="H8011" t="s">
        <v>32848</v>
      </c>
      <c r="I8011" t="s">
        <v>32874</v>
      </c>
      <c r="J8011" t="s">
        <v>33288</v>
      </c>
      <c r="K8011" t="s">
        <v>42730</v>
      </c>
      <c r="M8011" t="s">
        <v>45917</v>
      </c>
      <c r="N8011" t="s">
        <v>47424</v>
      </c>
      <c r="O8011" t="s">
        <v>47425</v>
      </c>
      <c r="P8011">
        <v>0</v>
      </c>
      <c r="Q8011">
        <v>13</v>
      </c>
      <c r="R8011" t="s">
        <v>47432</v>
      </c>
      <c r="S8011" t="s">
        <v>47597</v>
      </c>
      <c r="T8011" t="s">
        <v>49236</v>
      </c>
      <c r="U8011" t="s">
        <v>56342</v>
      </c>
      <c r="W8011" t="s">
        <v>45917</v>
      </c>
      <c r="X8011" t="s">
        <v>47433</v>
      </c>
    </row>
    <row r="8012" spans="1:24">
      <c r="A8012">
        <f>HYPERLINK("https://www.philgeps.gov.ph/GEPSNONPILOT/Tender/SplashBidNoticeAbstractUI.aspx?menuIndex=3&amp;refID=7152557&amp;Result=3","7152557")</f>
        <v>0</v>
      </c>
      <c r="B8012" t="s">
        <v>2664</v>
      </c>
      <c r="C8012" t="s">
        <v>11439</v>
      </c>
      <c r="D8012" t="s">
        <v>19021</v>
      </c>
      <c r="E8012" t="s">
        <v>26069</v>
      </c>
      <c r="F8012" t="s">
        <v>32831</v>
      </c>
      <c r="G8012" t="s">
        <v>32838</v>
      </c>
      <c r="H8012" t="s">
        <v>32848</v>
      </c>
      <c r="I8012" t="s">
        <v>32884</v>
      </c>
      <c r="J8012" t="s">
        <v>35042</v>
      </c>
      <c r="K8012" t="s">
        <v>42745</v>
      </c>
      <c r="M8012" t="s">
        <v>45887</v>
      </c>
      <c r="N8012" t="s">
        <v>47424</v>
      </c>
      <c r="O8012" t="s">
        <v>47425</v>
      </c>
      <c r="Q8012">
        <v>5</v>
      </c>
      <c r="R8012" t="s">
        <v>47432</v>
      </c>
      <c r="S8012" t="s">
        <v>47604</v>
      </c>
      <c r="T8012" t="s">
        <v>49073</v>
      </c>
      <c r="U8012" t="s">
        <v>56343</v>
      </c>
      <c r="W8012" t="s">
        <v>45887</v>
      </c>
      <c r="X8012" t="s">
        <v>47433</v>
      </c>
    </row>
    <row r="8013" spans="1:24">
      <c r="A8013">
        <f>HYPERLINK("https://www.philgeps.gov.ph/GEPSNONPILOT/Tender/SplashBidNoticeAbstractUI.aspx?menuIndex=3&amp;refID=7152509&amp;Result=3","7152509")</f>
        <v>0</v>
      </c>
      <c r="B8013" t="s">
        <v>2663</v>
      </c>
      <c r="C8013" t="s">
        <v>7474</v>
      </c>
      <c r="D8013" t="s">
        <v>19054</v>
      </c>
      <c r="E8013" t="s">
        <v>26070</v>
      </c>
      <c r="F8013" t="s">
        <v>32831</v>
      </c>
      <c r="G8013" t="s">
        <v>32839</v>
      </c>
      <c r="H8013" t="s">
        <v>32848</v>
      </c>
      <c r="I8013" t="s">
        <v>4776</v>
      </c>
      <c r="J8013" t="s">
        <v>33090</v>
      </c>
      <c r="K8013" t="s">
        <v>42730</v>
      </c>
      <c r="M8013" t="s">
        <v>45886</v>
      </c>
      <c r="N8013" t="s">
        <v>47424</v>
      </c>
      <c r="O8013" t="s">
        <v>47425</v>
      </c>
      <c r="P8013">
        <v>0</v>
      </c>
      <c r="Q8013">
        <v>0</v>
      </c>
      <c r="R8013" t="s">
        <v>47432</v>
      </c>
      <c r="S8013" t="s">
        <v>47597</v>
      </c>
      <c r="T8013" t="s">
        <v>49498</v>
      </c>
      <c r="U8013" t="s">
        <v>56344</v>
      </c>
      <c r="V8013" t="s">
        <v>63517</v>
      </c>
      <c r="W8013" t="s">
        <v>45886</v>
      </c>
      <c r="X8013" t="s">
        <v>47433</v>
      </c>
    </row>
    <row r="8014" spans="1:24">
      <c r="A8014">
        <f>HYPERLINK("https://www.philgeps.gov.ph/GEPSNONPILOT/Tender/SplashBidNoticeAbstractUI.aspx?menuIndex=3&amp;refID=7152554&amp;Result=3","7152554")</f>
        <v>0</v>
      </c>
      <c r="B8014" t="s">
        <v>2694</v>
      </c>
      <c r="C8014" t="s">
        <v>11440</v>
      </c>
      <c r="D8014" t="s">
        <v>19019</v>
      </c>
      <c r="E8014" t="s">
        <v>26071</v>
      </c>
      <c r="F8014" t="s">
        <v>32831</v>
      </c>
      <c r="G8014" t="s">
        <v>32840</v>
      </c>
      <c r="H8014" t="s">
        <v>32848</v>
      </c>
      <c r="I8014" t="s">
        <v>32862</v>
      </c>
      <c r="J8014" t="s">
        <v>37979</v>
      </c>
      <c r="K8014" t="s">
        <v>42732</v>
      </c>
      <c r="M8014" t="s">
        <v>45918</v>
      </c>
      <c r="N8014" t="s">
        <v>47424</v>
      </c>
      <c r="O8014" t="s">
        <v>47425</v>
      </c>
      <c r="P8014">
        <v>0</v>
      </c>
      <c r="Q8014">
        <v>0</v>
      </c>
      <c r="R8014" t="s">
        <v>47432</v>
      </c>
      <c r="S8014" t="s">
        <v>47597</v>
      </c>
      <c r="T8014" t="s">
        <v>49330</v>
      </c>
      <c r="U8014" t="s">
        <v>56345</v>
      </c>
      <c r="W8014" t="s">
        <v>45918</v>
      </c>
      <c r="X8014" t="s">
        <v>47433</v>
      </c>
    </row>
    <row r="8015" spans="1:24">
      <c r="A8015">
        <f>HYPERLINK("https://www.philgeps.gov.ph/GEPSNONPILOT/Tender/SplashBidNoticeAbstractUI.aspx?menuIndex=3&amp;refID=7152551&amp;Result=3","7152551")</f>
        <v>0</v>
      </c>
      <c r="B8015" t="s">
        <v>634</v>
      </c>
      <c r="C8015" t="s">
        <v>5217</v>
      </c>
      <c r="D8015" t="s">
        <v>19044</v>
      </c>
      <c r="E8015" t="s">
        <v>26072</v>
      </c>
      <c r="F8015" t="s">
        <v>32831</v>
      </c>
      <c r="G8015" t="s">
        <v>32838</v>
      </c>
      <c r="H8015" t="s">
        <v>32848</v>
      </c>
      <c r="I8015" t="s">
        <v>4435</v>
      </c>
      <c r="J8015" t="s">
        <v>37980</v>
      </c>
      <c r="K8015" t="s">
        <v>42727</v>
      </c>
      <c r="M8015" t="s">
        <v>43651</v>
      </c>
      <c r="N8015" t="s">
        <v>47424</v>
      </c>
      <c r="O8015" t="s">
        <v>47425</v>
      </c>
      <c r="P8015">
        <v>0</v>
      </c>
      <c r="Q8015">
        <v>2</v>
      </c>
      <c r="R8015" t="s">
        <v>47432</v>
      </c>
      <c r="S8015" t="s">
        <v>47597</v>
      </c>
      <c r="T8015" t="s">
        <v>49255</v>
      </c>
      <c r="U8015" t="s">
        <v>56346</v>
      </c>
      <c r="V8015" t="s">
        <v>62770</v>
      </c>
      <c r="W8015" t="s">
        <v>43651</v>
      </c>
      <c r="X8015" t="s">
        <v>47433</v>
      </c>
    </row>
    <row r="8016" spans="1:24">
      <c r="A8016">
        <f>HYPERLINK("https://www.philgeps.gov.ph/GEPSNONPILOT/Tender/SplashBidNoticeAbstractUI.aspx?menuIndex=3&amp;refID=7152547&amp;Result=3","7152547")</f>
        <v>0</v>
      </c>
      <c r="B8016" t="s">
        <v>1291</v>
      </c>
      <c r="C8016" t="s">
        <v>11441</v>
      </c>
      <c r="D8016" t="s">
        <v>19023</v>
      </c>
      <c r="E8016" t="s">
        <v>26073</v>
      </c>
      <c r="F8016" t="s">
        <v>32831</v>
      </c>
      <c r="G8016" t="s">
        <v>32839</v>
      </c>
      <c r="H8016" t="s">
        <v>32849</v>
      </c>
      <c r="I8016" t="s">
        <v>4177</v>
      </c>
      <c r="J8016" t="s">
        <v>37981</v>
      </c>
      <c r="K8016" t="s">
        <v>42777</v>
      </c>
      <c r="M8016" t="s">
        <v>44361</v>
      </c>
      <c r="N8016" t="s">
        <v>47424</v>
      </c>
      <c r="O8016" t="s">
        <v>47425</v>
      </c>
      <c r="P8016">
        <v>0</v>
      </c>
      <c r="Q8016">
        <v>2</v>
      </c>
      <c r="R8016" t="s">
        <v>47432</v>
      </c>
      <c r="S8016" t="s">
        <v>47597</v>
      </c>
      <c r="T8016" t="s">
        <v>49283</v>
      </c>
      <c r="U8016" t="s">
        <v>56347</v>
      </c>
      <c r="W8016" t="s">
        <v>44361</v>
      </c>
      <c r="X8016" t="s">
        <v>47433</v>
      </c>
    </row>
    <row r="8017" spans="1:24">
      <c r="A8017">
        <f>HYPERLINK("https://www.philgeps.gov.ph/GEPSNONPILOT/Tender/SplashBidNoticeAbstractUI.aspx?menuIndex=3&amp;refID=7152561&amp;Result=3","7152561")</f>
        <v>0</v>
      </c>
      <c r="B8017" t="s">
        <v>2656</v>
      </c>
      <c r="C8017" t="s">
        <v>11442</v>
      </c>
      <c r="D8017" t="s">
        <v>19028</v>
      </c>
      <c r="E8017" t="s">
        <v>26074</v>
      </c>
      <c r="F8017" t="s">
        <v>32831</v>
      </c>
      <c r="G8017" t="s">
        <v>32839</v>
      </c>
      <c r="H8017" t="s">
        <v>32849</v>
      </c>
      <c r="I8017" t="s">
        <v>4177</v>
      </c>
      <c r="J8017" t="s">
        <v>37982</v>
      </c>
      <c r="K8017" t="s">
        <v>42729</v>
      </c>
      <c r="M8017" t="s">
        <v>45919</v>
      </c>
      <c r="N8017" t="s">
        <v>47424</v>
      </c>
      <c r="O8017" t="s">
        <v>47425</v>
      </c>
      <c r="P8017">
        <v>0</v>
      </c>
      <c r="Q8017">
        <v>0</v>
      </c>
      <c r="R8017" t="s">
        <v>47432</v>
      </c>
      <c r="S8017" t="s">
        <v>47597</v>
      </c>
      <c r="T8017" t="s">
        <v>49319</v>
      </c>
      <c r="U8017" t="s">
        <v>56348</v>
      </c>
      <c r="W8017" t="s">
        <v>45919</v>
      </c>
      <c r="X8017" t="s">
        <v>47433</v>
      </c>
    </row>
    <row r="8018" spans="1:24">
      <c r="A8018">
        <f>HYPERLINK("https://www.philgeps.gov.ph/GEPSNONPILOT/Tender/SplashBidNoticeAbstractUI.aspx?menuIndex=3&amp;refID=7152546&amp;Result=3","7152546")</f>
        <v>0</v>
      </c>
      <c r="B8018" t="s">
        <v>323</v>
      </c>
      <c r="C8018" t="s">
        <v>11443</v>
      </c>
      <c r="D8018" t="s">
        <v>19081</v>
      </c>
      <c r="E8018" t="s">
        <v>26075</v>
      </c>
      <c r="F8018" t="s">
        <v>32831</v>
      </c>
      <c r="G8018" t="s">
        <v>32838</v>
      </c>
      <c r="H8018" t="s">
        <v>32848</v>
      </c>
      <c r="I8018" t="s">
        <v>32862</v>
      </c>
      <c r="J8018" t="s">
        <v>37983</v>
      </c>
      <c r="K8018" t="s">
        <v>42726</v>
      </c>
      <c r="M8018" t="s">
        <v>43326</v>
      </c>
      <c r="N8018" t="s">
        <v>47424</v>
      </c>
      <c r="O8018" t="s">
        <v>47425</v>
      </c>
      <c r="P8018">
        <v>0</v>
      </c>
      <c r="Q8018">
        <v>2</v>
      </c>
      <c r="R8018" t="s">
        <v>47432</v>
      </c>
      <c r="S8018" t="s">
        <v>47597</v>
      </c>
      <c r="T8018" t="s">
        <v>49111</v>
      </c>
      <c r="U8018" t="s">
        <v>56349</v>
      </c>
      <c r="W8018" t="s">
        <v>43326</v>
      </c>
      <c r="X8018" t="s">
        <v>47433</v>
      </c>
    </row>
    <row r="8019" spans="1:24">
      <c r="A8019">
        <f>HYPERLINK("https://www.philgeps.gov.ph/GEPSNONPILOT/Tender/SplashBidNoticeAbstractUI.aspx?menuIndex=3&amp;refID=7152510&amp;Result=3","7152510")</f>
        <v>0</v>
      </c>
      <c r="B8019" t="s">
        <v>2695</v>
      </c>
      <c r="C8019" t="s">
        <v>11444</v>
      </c>
      <c r="D8019" t="s">
        <v>19078</v>
      </c>
      <c r="E8019" t="s">
        <v>22714</v>
      </c>
      <c r="F8019" t="s">
        <v>32831</v>
      </c>
      <c r="G8019" t="s">
        <v>32839</v>
      </c>
      <c r="H8019" t="s">
        <v>32849</v>
      </c>
      <c r="I8019" t="s">
        <v>4177</v>
      </c>
      <c r="J8019" t="s">
        <v>37984</v>
      </c>
      <c r="K8019" t="s">
        <v>42826</v>
      </c>
      <c r="M8019" t="s">
        <v>45920</v>
      </c>
      <c r="N8019" t="s">
        <v>47424</v>
      </c>
      <c r="O8019" t="s">
        <v>47425</v>
      </c>
      <c r="P8019">
        <v>0</v>
      </c>
      <c r="Q8019">
        <v>1</v>
      </c>
      <c r="R8019" t="s">
        <v>47432</v>
      </c>
      <c r="S8019" t="s">
        <v>47597</v>
      </c>
      <c r="T8019" t="s">
        <v>49112</v>
      </c>
      <c r="U8019" t="s">
        <v>56350</v>
      </c>
      <c r="W8019" t="s">
        <v>45920</v>
      </c>
      <c r="X8019" t="s">
        <v>47433</v>
      </c>
    </row>
    <row r="8020" spans="1:24">
      <c r="A8020">
        <f>HYPERLINK("https://www.philgeps.gov.ph/GEPSNONPILOT/Tender/SplashBidNoticeAbstractUI.aspx?menuIndex=3&amp;refID=7152543&amp;Result=3","7152543")</f>
        <v>0</v>
      </c>
      <c r="B8020" t="s">
        <v>2662</v>
      </c>
      <c r="C8020" t="s">
        <v>11445</v>
      </c>
      <c r="D8020" t="s">
        <v>19022</v>
      </c>
      <c r="E8020" t="s">
        <v>26076</v>
      </c>
      <c r="F8020" t="s">
        <v>32831</v>
      </c>
      <c r="G8020" t="s">
        <v>32840</v>
      </c>
      <c r="H8020" t="s">
        <v>32848</v>
      </c>
      <c r="I8020" t="s">
        <v>32858</v>
      </c>
      <c r="J8020" t="s">
        <v>37985</v>
      </c>
      <c r="K8020" t="s">
        <v>42759</v>
      </c>
      <c r="M8020" t="s">
        <v>45885</v>
      </c>
      <c r="N8020" t="s">
        <v>47424</v>
      </c>
      <c r="O8020" t="s">
        <v>47425</v>
      </c>
      <c r="P8020">
        <v>0</v>
      </c>
      <c r="Q8020">
        <v>1</v>
      </c>
      <c r="R8020" t="s">
        <v>47432</v>
      </c>
      <c r="S8020" t="s">
        <v>47597</v>
      </c>
      <c r="T8020" t="s">
        <v>49235</v>
      </c>
      <c r="U8020" t="s">
        <v>56351</v>
      </c>
      <c r="W8020" t="s">
        <v>45885</v>
      </c>
      <c r="X8020" t="s">
        <v>47433</v>
      </c>
    </row>
    <row r="8021" spans="1:24">
      <c r="A8021">
        <f>HYPERLINK("https://www.philgeps.gov.ph/GEPSNONPILOT/Tender/SplashBidNoticeAbstractUI.aspx?menuIndex=3&amp;refID=7152475&amp;Result=3","7152475")</f>
        <v>0</v>
      </c>
      <c r="B8021" t="s">
        <v>2411</v>
      </c>
      <c r="C8021" t="s">
        <v>11446</v>
      </c>
      <c r="E8021" t="s">
        <v>26077</v>
      </c>
      <c r="F8021" t="s">
        <v>32831</v>
      </c>
      <c r="G8021" t="s">
        <v>32839</v>
      </c>
      <c r="H8021" t="s">
        <v>32849</v>
      </c>
      <c r="I8021" t="s">
        <v>4177</v>
      </c>
      <c r="J8021" t="s">
        <v>37986</v>
      </c>
      <c r="K8021" t="s">
        <v>42791</v>
      </c>
      <c r="M8021" t="s">
        <v>45606</v>
      </c>
      <c r="N8021" t="s">
        <v>47424</v>
      </c>
      <c r="O8021" t="s">
        <v>47425</v>
      </c>
      <c r="P8021">
        <v>0</v>
      </c>
      <c r="Q8021">
        <v>3</v>
      </c>
      <c r="R8021" t="s">
        <v>47432</v>
      </c>
      <c r="S8021" t="s">
        <v>47597</v>
      </c>
      <c r="T8021" t="s">
        <v>49160</v>
      </c>
      <c r="U8021" t="s">
        <v>56323</v>
      </c>
      <c r="W8021" t="s">
        <v>45606</v>
      </c>
      <c r="X8021" t="s">
        <v>47433</v>
      </c>
    </row>
    <row r="8022" spans="1:24">
      <c r="A8022">
        <f>HYPERLINK("https://www.philgeps.gov.ph/GEPSNONPILOT/Tender/SplashBidNoticeAbstractUI.aspx?menuIndex=3&amp;refID=7152549&amp;Result=3","7152549")</f>
        <v>0</v>
      </c>
      <c r="B8022" t="s">
        <v>668</v>
      </c>
      <c r="C8022" t="s">
        <v>11447</v>
      </c>
      <c r="D8022" t="s">
        <v>19034</v>
      </c>
      <c r="E8022" t="s">
        <v>26078</v>
      </c>
      <c r="F8022" t="s">
        <v>32831</v>
      </c>
      <c r="G8022" t="s">
        <v>32839</v>
      </c>
      <c r="H8022" t="s">
        <v>32848</v>
      </c>
      <c r="I8022" t="s">
        <v>32886</v>
      </c>
      <c r="J8022" t="s">
        <v>37987</v>
      </c>
      <c r="K8022" t="s">
        <v>42729</v>
      </c>
      <c r="M8022" t="s">
        <v>43687</v>
      </c>
      <c r="N8022" t="s">
        <v>47424</v>
      </c>
      <c r="O8022" t="s">
        <v>47425</v>
      </c>
      <c r="P8022">
        <v>0</v>
      </c>
      <c r="Q8022">
        <v>2</v>
      </c>
      <c r="R8022" t="s">
        <v>47432</v>
      </c>
      <c r="S8022" t="s">
        <v>47597</v>
      </c>
      <c r="T8022" t="s">
        <v>49321</v>
      </c>
      <c r="U8022" t="s">
        <v>56352</v>
      </c>
      <c r="W8022" t="s">
        <v>43687</v>
      </c>
      <c r="X8022" t="s">
        <v>47433</v>
      </c>
    </row>
    <row r="8023" spans="1:24">
      <c r="A8023">
        <f>HYPERLINK("https://www.philgeps.gov.ph/GEPSNONPILOT/Tender/SplashBidNoticeAbstractUI.aspx?menuIndex=3&amp;refID=7152625&amp;Result=3","7152625")</f>
        <v>0</v>
      </c>
      <c r="B8023" t="s">
        <v>2662</v>
      </c>
      <c r="C8023" t="s">
        <v>11448</v>
      </c>
      <c r="D8023" t="s">
        <v>19022</v>
      </c>
      <c r="E8023" t="s">
        <v>26079</v>
      </c>
      <c r="F8023" t="s">
        <v>32831</v>
      </c>
      <c r="G8023" t="s">
        <v>32840</v>
      </c>
      <c r="H8023" t="s">
        <v>32848</v>
      </c>
      <c r="I8023" t="s">
        <v>32857</v>
      </c>
      <c r="J8023" t="s">
        <v>33198</v>
      </c>
      <c r="K8023" t="s">
        <v>42759</v>
      </c>
      <c r="M8023" t="s">
        <v>45885</v>
      </c>
      <c r="N8023" t="s">
        <v>47424</v>
      </c>
      <c r="O8023" t="s">
        <v>47425</v>
      </c>
      <c r="P8023">
        <v>0</v>
      </c>
      <c r="Q8023">
        <v>4</v>
      </c>
      <c r="R8023" t="s">
        <v>47432</v>
      </c>
      <c r="S8023" t="s">
        <v>47597</v>
      </c>
      <c r="T8023" t="s">
        <v>49235</v>
      </c>
      <c r="U8023" t="s">
        <v>56353</v>
      </c>
      <c r="W8023" t="s">
        <v>45885</v>
      </c>
      <c r="X8023" t="s">
        <v>47433</v>
      </c>
    </row>
    <row r="8024" spans="1:24">
      <c r="A8024">
        <f>HYPERLINK("https://www.philgeps.gov.ph/GEPSNONPILOT/Tender/SplashBidNoticeAbstractUI.aspx?menuIndex=3&amp;refID=7152616&amp;Result=3","7152616")</f>
        <v>0</v>
      </c>
      <c r="B8024" t="s">
        <v>681</v>
      </c>
      <c r="C8024" t="s">
        <v>11449</v>
      </c>
      <c r="D8024" t="s">
        <v>19018</v>
      </c>
      <c r="E8024" t="s">
        <v>26080</v>
      </c>
      <c r="F8024" t="s">
        <v>32831</v>
      </c>
      <c r="G8024" t="s">
        <v>32838</v>
      </c>
      <c r="H8024" t="s">
        <v>32848</v>
      </c>
      <c r="I8024" t="s">
        <v>7416</v>
      </c>
      <c r="J8024" t="s">
        <v>33402</v>
      </c>
      <c r="K8024" t="s">
        <v>42727</v>
      </c>
      <c r="M8024" t="s">
        <v>43700</v>
      </c>
      <c r="N8024" t="s">
        <v>47424</v>
      </c>
      <c r="O8024" t="s">
        <v>47425</v>
      </c>
      <c r="P8024">
        <v>0</v>
      </c>
      <c r="Q8024">
        <v>1</v>
      </c>
      <c r="R8024" t="s">
        <v>47432</v>
      </c>
      <c r="S8024" t="s">
        <v>47597</v>
      </c>
      <c r="T8024" t="s">
        <v>49214</v>
      </c>
      <c r="U8024" t="s">
        <v>56354</v>
      </c>
      <c r="V8024" t="s">
        <v>63518</v>
      </c>
      <c r="W8024" t="s">
        <v>43700</v>
      </c>
      <c r="X8024" t="s">
        <v>47433</v>
      </c>
    </row>
    <row r="8025" spans="1:24">
      <c r="A8025">
        <f>HYPERLINK("https://www.philgeps.gov.ph/GEPSNONPILOT/Tender/SplashBidNoticeAbstractUI.aspx?menuIndex=3&amp;refID=7152492&amp;Result=3","7152492")</f>
        <v>0</v>
      </c>
      <c r="B8025" t="s">
        <v>2696</v>
      </c>
      <c r="C8025" t="s">
        <v>11450</v>
      </c>
      <c r="D8025" t="s">
        <v>19090</v>
      </c>
      <c r="E8025" t="s">
        <v>26081</v>
      </c>
      <c r="F8025" t="s">
        <v>32831</v>
      </c>
      <c r="G8025" t="s">
        <v>32839</v>
      </c>
      <c r="H8025" t="s">
        <v>32849</v>
      </c>
      <c r="I8025" t="s">
        <v>4177</v>
      </c>
      <c r="J8025" t="s">
        <v>32985</v>
      </c>
      <c r="K8025" t="s">
        <v>42832</v>
      </c>
      <c r="M8025" t="s">
        <v>45921</v>
      </c>
      <c r="N8025" t="s">
        <v>47424</v>
      </c>
      <c r="O8025" t="s">
        <v>47425</v>
      </c>
      <c r="P8025">
        <v>0</v>
      </c>
      <c r="Q8025">
        <v>0</v>
      </c>
      <c r="R8025" t="s">
        <v>47432</v>
      </c>
      <c r="S8025" t="s">
        <v>47597</v>
      </c>
      <c r="T8025" t="s">
        <v>49107</v>
      </c>
      <c r="U8025" t="s">
        <v>56355</v>
      </c>
      <c r="W8025" t="s">
        <v>45921</v>
      </c>
      <c r="X8025" t="s">
        <v>47433</v>
      </c>
    </row>
    <row r="8026" spans="1:24">
      <c r="A8026">
        <f>HYPERLINK("https://www.philgeps.gov.ph/GEPSNONPILOT/Tender/SplashBidNoticeAbstractUI.aspx?menuIndex=3&amp;refID=7152620&amp;Result=3","7152620")</f>
        <v>0</v>
      </c>
      <c r="B8026" t="s">
        <v>2697</v>
      </c>
      <c r="C8026" t="s">
        <v>11451</v>
      </c>
      <c r="D8026" t="s">
        <v>19022</v>
      </c>
      <c r="E8026" t="s">
        <v>26082</v>
      </c>
      <c r="F8026" t="s">
        <v>32831</v>
      </c>
      <c r="G8026" t="s">
        <v>32839</v>
      </c>
      <c r="H8026" t="s">
        <v>32848</v>
      </c>
      <c r="I8026" t="s">
        <v>32855</v>
      </c>
      <c r="J8026" t="s">
        <v>37988</v>
      </c>
      <c r="K8026" t="s">
        <v>42730</v>
      </c>
      <c r="M8026" t="s">
        <v>45922</v>
      </c>
      <c r="N8026" t="s">
        <v>47424</v>
      </c>
      <c r="O8026" t="s">
        <v>47425</v>
      </c>
      <c r="P8026">
        <v>0</v>
      </c>
      <c r="Q8026">
        <v>3</v>
      </c>
      <c r="R8026" t="s">
        <v>47432</v>
      </c>
      <c r="S8026" t="s">
        <v>47597</v>
      </c>
      <c r="T8026" t="s">
        <v>49379</v>
      </c>
      <c r="U8026" t="s">
        <v>56356</v>
      </c>
      <c r="V8026" t="s">
        <v>63519</v>
      </c>
      <c r="W8026" t="s">
        <v>45922</v>
      </c>
      <c r="X8026" t="s">
        <v>47433</v>
      </c>
    </row>
    <row r="8027" spans="1:24">
      <c r="A8027">
        <f>HYPERLINK("https://www.philgeps.gov.ph/GEPSNONPILOT/Tender/SplashBidNoticeAbstractUI.aspx?menuIndex=3&amp;refID=7152608&amp;Result=3","7152608")</f>
        <v>0</v>
      </c>
      <c r="B8027" t="s">
        <v>2698</v>
      </c>
      <c r="C8027" t="s">
        <v>11452</v>
      </c>
      <c r="D8027" t="s">
        <v>19055</v>
      </c>
      <c r="E8027" t="s">
        <v>26083</v>
      </c>
      <c r="F8027" t="s">
        <v>32831</v>
      </c>
      <c r="G8027" t="s">
        <v>32839</v>
      </c>
      <c r="H8027" t="s">
        <v>32848</v>
      </c>
      <c r="I8027" t="s">
        <v>7416</v>
      </c>
      <c r="J8027" t="s">
        <v>37989</v>
      </c>
      <c r="K8027" t="s">
        <v>42727</v>
      </c>
      <c r="M8027" t="s">
        <v>45923</v>
      </c>
      <c r="N8027" t="s">
        <v>47424</v>
      </c>
      <c r="O8027" t="s">
        <v>47425</v>
      </c>
      <c r="P8027">
        <v>0</v>
      </c>
      <c r="Q8027">
        <v>0</v>
      </c>
      <c r="R8027" t="s">
        <v>47432</v>
      </c>
      <c r="S8027" t="s">
        <v>47597</v>
      </c>
      <c r="T8027" t="s">
        <v>49166</v>
      </c>
      <c r="U8027" t="s">
        <v>56357</v>
      </c>
      <c r="W8027" t="s">
        <v>45923</v>
      </c>
      <c r="X8027" t="s">
        <v>47433</v>
      </c>
    </row>
    <row r="8028" spans="1:24">
      <c r="A8028">
        <f>HYPERLINK("https://www.philgeps.gov.ph/GEPSNONPILOT/Tender/SplashBidNoticeAbstractUI.aspx?menuIndex=3&amp;refID=7152604&amp;Result=3","7152604")</f>
        <v>0</v>
      </c>
      <c r="B8028" t="s">
        <v>2448</v>
      </c>
      <c r="C8028" t="s">
        <v>11453</v>
      </c>
      <c r="D8028" t="s">
        <v>19055</v>
      </c>
      <c r="E8028" t="s">
        <v>26084</v>
      </c>
      <c r="F8028" t="s">
        <v>32831</v>
      </c>
      <c r="G8028" t="s">
        <v>32839</v>
      </c>
      <c r="H8028" t="s">
        <v>32848</v>
      </c>
      <c r="I8028" t="s">
        <v>7751</v>
      </c>
      <c r="J8028" t="s">
        <v>33032</v>
      </c>
      <c r="K8028" t="s">
        <v>42763</v>
      </c>
      <c r="M8028" t="s">
        <v>45646</v>
      </c>
      <c r="N8028" t="s">
        <v>47424</v>
      </c>
      <c r="O8028" t="s">
        <v>47425</v>
      </c>
      <c r="P8028">
        <v>0</v>
      </c>
      <c r="Q8028">
        <v>4</v>
      </c>
      <c r="R8028" t="s">
        <v>47432</v>
      </c>
      <c r="S8028" t="s">
        <v>47597</v>
      </c>
      <c r="T8028" t="s">
        <v>49112</v>
      </c>
      <c r="U8028" t="s">
        <v>56358</v>
      </c>
      <c r="W8028" t="s">
        <v>45646</v>
      </c>
      <c r="X8028" t="s">
        <v>47433</v>
      </c>
    </row>
    <row r="8029" spans="1:24">
      <c r="A8029">
        <f>HYPERLINK("https://www.philgeps.gov.ph/GEPSNONPILOT/Tender/SplashBidNoticeAbstractUI.aspx?menuIndex=3&amp;refID=7152507&amp;Result=3","7152507")</f>
        <v>0</v>
      </c>
      <c r="B8029" t="s">
        <v>2662</v>
      </c>
      <c r="C8029" t="s">
        <v>11454</v>
      </c>
      <c r="D8029" t="s">
        <v>19022</v>
      </c>
      <c r="E8029" t="s">
        <v>26085</v>
      </c>
      <c r="F8029" t="s">
        <v>32831</v>
      </c>
      <c r="G8029" t="s">
        <v>32840</v>
      </c>
      <c r="H8029" t="s">
        <v>32848</v>
      </c>
      <c r="I8029" t="s">
        <v>4446</v>
      </c>
      <c r="J8029" t="s">
        <v>37990</v>
      </c>
      <c r="K8029" t="s">
        <v>42831</v>
      </c>
      <c r="M8029" t="s">
        <v>45885</v>
      </c>
      <c r="N8029" t="s">
        <v>47424</v>
      </c>
      <c r="O8029" t="s">
        <v>47425</v>
      </c>
      <c r="P8029">
        <v>0</v>
      </c>
      <c r="Q8029">
        <v>4</v>
      </c>
      <c r="R8029" t="s">
        <v>47432</v>
      </c>
      <c r="S8029" t="s">
        <v>47597</v>
      </c>
      <c r="T8029" t="s">
        <v>49235</v>
      </c>
      <c r="U8029" t="s">
        <v>56359</v>
      </c>
      <c r="W8029" t="s">
        <v>45885</v>
      </c>
      <c r="X8029" t="s">
        <v>47433</v>
      </c>
    </row>
    <row r="8030" spans="1:24">
      <c r="A8030">
        <f>HYPERLINK("https://www.philgeps.gov.ph/GEPSNONPILOT/Tender/SplashBidNoticeAbstractUI.aspx?menuIndex=3&amp;refID=7152598&amp;Result=3","7152598")</f>
        <v>0</v>
      </c>
      <c r="B8030" t="s">
        <v>2699</v>
      </c>
      <c r="C8030" t="s">
        <v>11455</v>
      </c>
      <c r="D8030" t="s">
        <v>19018</v>
      </c>
      <c r="E8030" t="s">
        <v>21094</v>
      </c>
      <c r="F8030" t="s">
        <v>32831</v>
      </c>
      <c r="G8030" t="s">
        <v>32840</v>
      </c>
      <c r="H8030" t="s">
        <v>32848</v>
      </c>
      <c r="I8030" t="s">
        <v>32860</v>
      </c>
      <c r="J8030" t="s">
        <v>37991</v>
      </c>
      <c r="K8030" t="s">
        <v>42731</v>
      </c>
      <c r="M8030" t="s">
        <v>45924</v>
      </c>
      <c r="N8030" t="s">
        <v>47424</v>
      </c>
      <c r="O8030" t="s">
        <v>47425</v>
      </c>
      <c r="P8030">
        <v>0</v>
      </c>
      <c r="Q8030">
        <v>1</v>
      </c>
      <c r="R8030" t="s">
        <v>47432</v>
      </c>
      <c r="S8030" t="s">
        <v>47597</v>
      </c>
      <c r="T8030" t="s">
        <v>49499</v>
      </c>
      <c r="U8030" t="s">
        <v>56360</v>
      </c>
      <c r="V8030" t="s">
        <v>63520</v>
      </c>
      <c r="W8030" t="s">
        <v>45924</v>
      </c>
      <c r="X8030" t="s">
        <v>47433</v>
      </c>
    </row>
    <row r="8031" spans="1:24">
      <c r="A8031">
        <f>HYPERLINK("https://www.philgeps.gov.ph/GEPSNONPILOT/Tender/SplashBidNoticeAbstractUI.aspx?menuIndex=3&amp;refID=7152597&amp;Result=3","7152597")</f>
        <v>0</v>
      </c>
      <c r="B8031" t="s">
        <v>2182</v>
      </c>
      <c r="C8031" t="s">
        <v>11456</v>
      </c>
      <c r="D8031" t="s">
        <v>19021</v>
      </c>
      <c r="E8031" t="s">
        <v>26086</v>
      </c>
      <c r="F8031" t="s">
        <v>32831</v>
      </c>
      <c r="G8031" t="s">
        <v>32838</v>
      </c>
      <c r="H8031" t="s">
        <v>32848</v>
      </c>
      <c r="I8031" t="s">
        <v>10805</v>
      </c>
      <c r="J8031" t="s">
        <v>37992</v>
      </c>
      <c r="K8031" t="s">
        <v>42732</v>
      </c>
      <c r="M8031" t="s">
        <v>45362</v>
      </c>
      <c r="N8031" t="s">
        <v>47424</v>
      </c>
      <c r="O8031" t="s">
        <v>47425</v>
      </c>
      <c r="P8031">
        <v>0</v>
      </c>
      <c r="Q8031">
        <v>0</v>
      </c>
      <c r="R8031" t="s">
        <v>47432</v>
      </c>
      <c r="S8031" t="s">
        <v>47597</v>
      </c>
      <c r="T8031" t="s">
        <v>49141</v>
      </c>
      <c r="U8031" t="s">
        <v>56361</v>
      </c>
      <c r="W8031" t="s">
        <v>45362</v>
      </c>
      <c r="X8031" t="s">
        <v>47433</v>
      </c>
    </row>
    <row r="8032" spans="1:24">
      <c r="A8032">
        <f>HYPERLINK("https://www.philgeps.gov.ph/GEPSNONPILOT/Tender/SplashBidNoticeAbstractUI.aspx?menuIndex=3&amp;refID=7152545&amp;Result=3","7152545")</f>
        <v>0</v>
      </c>
      <c r="B8032" t="s">
        <v>681</v>
      </c>
      <c r="C8032" t="s">
        <v>11457</v>
      </c>
      <c r="D8032" t="s">
        <v>19018</v>
      </c>
      <c r="E8032" t="s">
        <v>26087</v>
      </c>
      <c r="F8032" t="s">
        <v>32831</v>
      </c>
      <c r="G8032" t="s">
        <v>32838</v>
      </c>
      <c r="H8032" t="s">
        <v>32848</v>
      </c>
      <c r="I8032" t="s">
        <v>32856</v>
      </c>
      <c r="J8032" t="s">
        <v>33040</v>
      </c>
      <c r="K8032" t="s">
        <v>42727</v>
      </c>
      <c r="M8032" t="s">
        <v>43700</v>
      </c>
      <c r="N8032" t="s">
        <v>47424</v>
      </c>
      <c r="O8032" t="s">
        <v>47425</v>
      </c>
      <c r="P8032">
        <v>0</v>
      </c>
      <c r="Q8032">
        <v>1</v>
      </c>
      <c r="R8032" t="s">
        <v>47432</v>
      </c>
      <c r="S8032" t="s">
        <v>47597</v>
      </c>
      <c r="T8032" t="s">
        <v>49214</v>
      </c>
      <c r="U8032" t="s">
        <v>56362</v>
      </c>
      <c r="V8032" t="s">
        <v>63521</v>
      </c>
      <c r="W8032" t="s">
        <v>43700</v>
      </c>
      <c r="X8032" t="s">
        <v>47433</v>
      </c>
    </row>
    <row r="8033" spans="1:24">
      <c r="A8033">
        <f>HYPERLINK("https://www.philgeps.gov.ph/GEPSNONPILOT/Tender/SplashBidNoticeAbstractUI.aspx?menuIndex=3&amp;refID=7152595&amp;Result=3","7152595")</f>
        <v>0</v>
      </c>
      <c r="B8033" t="s">
        <v>323</v>
      </c>
      <c r="C8033" t="s">
        <v>6484</v>
      </c>
      <c r="D8033" t="s">
        <v>19081</v>
      </c>
      <c r="E8033" t="s">
        <v>26088</v>
      </c>
      <c r="F8033" t="s">
        <v>32831</v>
      </c>
      <c r="G8033" t="s">
        <v>32838</v>
      </c>
      <c r="H8033" t="s">
        <v>32848</v>
      </c>
      <c r="I8033" t="s">
        <v>4776</v>
      </c>
      <c r="J8033" t="s">
        <v>37993</v>
      </c>
      <c r="K8033" t="s">
        <v>42726</v>
      </c>
      <c r="M8033" t="s">
        <v>43326</v>
      </c>
      <c r="N8033" t="s">
        <v>47424</v>
      </c>
      <c r="O8033" t="s">
        <v>47425</v>
      </c>
      <c r="P8033">
        <v>0</v>
      </c>
      <c r="Q8033">
        <v>0</v>
      </c>
      <c r="R8033" t="s">
        <v>47432</v>
      </c>
      <c r="S8033" t="s">
        <v>47597</v>
      </c>
      <c r="T8033" t="s">
        <v>49111</v>
      </c>
      <c r="U8033" t="s">
        <v>56363</v>
      </c>
      <c r="W8033" t="s">
        <v>43326</v>
      </c>
      <c r="X8033" t="s">
        <v>47433</v>
      </c>
    </row>
    <row r="8034" spans="1:24">
      <c r="A8034">
        <f>HYPERLINK("https://www.philgeps.gov.ph/GEPSNONPILOT/Tender/SplashBidNoticeAbstractUI.aspx?menuIndex=3&amp;refID=7152593&amp;Result=3","7152593")</f>
        <v>0</v>
      </c>
      <c r="B8034" t="s">
        <v>2461</v>
      </c>
      <c r="C8034" t="s">
        <v>11458</v>
      </c>
      <c r="D8034" t="s">
        <v>19037</v>
      </c>
      <c r="E8034" t="s">
        <v>26089</v>
      </c>
      <c r="F8034" t="s">
        <v>32831</v>
      </c>
      <c r="G8034" t="s">
        <v>32838</v>
      </c>
      <c r="H8034" t="s">
        <v>32848</v>
      </c>
      <c r="I8034" t="s">
        <v>32931</v>
      </c>
      <c r="J8034" t="s">
        <v>34390</v>
      </c>
      <c r="K8034" t="s">
        <v>42731</v>
      </c>
      <c r="M8034" t="s">
        <v>45659</v>
      </c>
      <c r="N8034" t="s">
        <v>47424</v>
      </c>
      <c r="O8034" t="s">
        <v>47425</v>
      </c>
      <c r="P8034">
        <v>0</v>
      </c>
      <c r="Q8034">
        <v>6</v>
      </c>
      <c r="R8034" t="s">
        <v>47432</v>
      </c>
      <c r="S8034" t="s">
        <v>47597</v>
      </c>
      <c r="T8034" t="s">
        <v>49163</v>
      </c>
      <c r="U8034" t="s">
        <v>56364</v>
      </c>
      <c r="W8034" t="s">
        <v>64509</v>
      </c>
      <c r="X8034" t="s">
        <v>47433</v>
      </c>
    </row>
    <row r="8035" spans="1:24">
      <c r="A8035">
        <f>HYPERLINK("https://www.philgeps.gov.ph/GEPSNONPILOT/Tender/SplashBidNoticeAbstractUI.aspx?menuIndex=3&amp;refID=7152602&amp;Result=3","7152602")</f>
        <v>0</v>
      </c>
      <c r="B8035" t="s">
        <v>2700</v>
      </c>
      <c r="C8035" t="s">
        <v>11459</v>
      </c>
      <c r="D8035" t="s">
        <v>19044</v>
      </c>
      <c r="E8035" t="s">
        <v>26090</v>
      </c>
      <c r="F8035" t="s">
        <v>32831</v>
      </c>
      <c r="G8035" t="s">
        <v>32839</v>
      </c>
      <c r="H8035" t="s">
        <v>32848</v>
      </c>
      <c r="I8035" t="s">
        <v>32855</v>
      </c>
      <c r="J8035" t="s">
        <v>37994</v>
      </c>
      <c r="K8035" t="s">
        <v>42748</v>
      </c>
      <c r="M8035" t="s">
        <v>45925</v>
      </c>
      <c r="N8035" t="s">
        <v>47424</v>
      </c>
      <c r="O8035" t="s">
        <v>47425</v>
      </c>
      <c r="P8035">
        <v>0</v>
      </c>
      <c r="Q8035">
        <v>2</v>
      </c>
      <c r="R8035" t="s">
        <v>47432</v>
      </c>
      <c r="S8035" t="s">
        <v>47597</v>
      </c>
      <c r="T8035" t="s">
        <v>49166</v>
      </c>
      <c r="U8035" t="s">
        <v>56365</v>
      </c>
      <c r="W8035" t="s">
        <v>45925</v>
      </c>
      <c r="X8035" t="s">
        <v>47433</v>
      </c>
    </row>
    <row r="8036" spans="1:24">
      <c r="A8036">
        <f>HYPERLINK("https://www.philgeps.gov.ph/GEPSNONPILOT/Tender/SplashBidNoticeAbstractUI.aspx?menuIndex=3&amp;refID=7152599&amp;Result=3","7152599")</f>
        <v>0</v>
      </c>
      <c r="B8036" t="s">
        <v>798</v>
      </c>
      <c r="C8036" t="s">
        <v>11460</v>
      </c>
      <c r="D8036" t="s">
        <v>19080</v>
      </c>
      <c r="E8036" t="s">
        <v>26091</v>
      </c>
      <c r="F8036" t="s">
        <v>32831</v>
      </c>
      <c r="G8036" t="s">
        <v>32839</v>
      </c>
      <c r="H8036" t="s">
        <v>32848</v>
      </c>
      <c r="I8036" t="s">
        <v>7416</v>
      </c>
      <c r="J8036" t="s">
        <v>37995</v>
      </c>
      <c r="K8036" t="s">
        <v>42727</v>
      </c>
      <c r="M8036" t="s">
        <v>43828</v>
      </c>
      <c r="N8036" t="s">
        <v>47424</v>
      </c>
      <c r="O8036" t="s">
        <v>47425</v>
      </c>
      <c r="P8036">
        <v>0</v>
      </c>
      <c r="Q8036">
        <v>0</v>
      </c>
      <c r="R8036" t="s">
        <v>47432</v>
      </c>
      <c r="S8036" t="s">
        <v>47597</v>
      </c>
      <c r="T8036" t="s">
        <v>49236</v>
      </c>
      <c r="U8036" t="s">
        <v>56366</v>
      </c>
      <c r="W8036" t="s">
        <v>43828</v>
      </c>
      <c r="X8036" t="s">
        <v>47433</v>
      </c>
    </row>
    <row r="8037" spans="1:24">
      <c r="A8037">
        <f>HYPERLINK("https://www.philgeps.gov.ph/GEPSNONPILOT/Tender/SplashBidNoticeAbstractUI.aspx?menuIndex=3&amp;refID=7152695&amp;Result=3","7152695")</f>
        <v>0</v>
      </c>
      <c r="B8037" t="s">
        <v>103</v>
      </c>
      <c r="C8037" t="s">
        <v>11461</v>
      </c>
      <c r="D8037" t="s">
        <v>19056</v>
      </c>
      <c r="E8037" t="s">
        <v>26092</v>
      </c>
      <c r="F8037" t="s">
        <v>32831</v>
      </c>
      <c r="G8037" t="s">
        <v>32838</v>
      </c>
      <c r="H8037" t="s">
        <v>32848</v>
      </c>
      <c r="I8037" t="s">
        <v>32860</v>
      </c>
      <c r="J8037" t="s">
        <v>37996</v>
      </c>
      <c r="K8037" t="s">
        <v>42742</v>
      </c>
      <c r="L8037" t="s">
        <v>103</v>
      </c>
      <c r="M8037" t="s">
        <v>43100</v>
      </c>
      <c r="N8037" t="s">
        <v>47424</v>
      </c>
      <c r="O8037" t="s">
        <v>47425</v>
      </c>
      <c r="Q8037">
        <v>8</v>
      </c>
      <c r="R8037" t="s">
        <v>47432</v>
      </c>
      <c r="S8037" t="s">
        <v>47605</v>
      </c>
      <c r="T8037" t="s">
        <v>49064</v>
      </c>
      <c r="U8037" t="s">
        <v>49808</v>
      </c>
      <c r="W8037" t="s">
        <v>43100</v>
      </c>
      <c r="X8037" t="s">
        <v>47433</v>
      </c>
    </row>
    <row r="8038" spans="1:24">
      <c r="A8038">
        <f>HYPERLINK("https://www.philgeps.gov.ph/GEPSNONPILOT/Tender/SplashBidNoticeAbstractUI.aspx?menuIndex=3&amp;refID=7152693&amp;Result=3","7152693")</f>
        <v>0</v>
      </c>
      <c r="B8038" t="s">
        <v>681</v>
      </c>
      <c r="C8038" t="s">
        <v>11462</v>
      </c>
      <c r="D8038" t="s">
        <v>19018</v>
      </c>
      <c r="E8038" t="s">
        <v>26093</v>
      </c>
      <c r="F8038" t="s">
        <v>32831</v>
      </c>
      <c r="G8038" t="s">
        <v>32838</v>
      </c>
      <c r="H8038" t="s">
        <v>32848</v>
      </c>
      <c r="I8038" t="s">
        <v>7416</v>
      </c>
      <c r="J8038" t="s">
        <v>37997</v>
      </c>
      <c r="K8038" t="s">
        <v>42727</v>
      </c>
      <c r="M8038" t="s">
        <v>43700</v>
      </c>
      <c r="N8038" t="s">
        <v>47424</v>
      </c>
      <c r="O8038" t="s">
        <v>47425</v>
      </c>
      <c r="P8038">
        <v>0</v>
      </c>
      <c r="Q8038">
        <v>0</v>
      </c>
      <c r="R8038" t="s">
        <v>47432</v>
      </c>
      <c r="S8038" t="s">
        <v>47597</v>
      </c>
      <c r="T8038" t="s">
        <v>49214</v>
      </c>
      <c r="U8038" t="s">
        <v>56367</v>
      </c>
      <c r="V8038" t="s">
        <v>63522</v>
      </c>
      <c r="W8038" t="s">
        <v>43700</v>
      </c>
      <c r="X8038" t="s">
        <v>47433</v>
      </c>
    </row>
    <row r="8039" spans="1:24">
      <c r="A8039">
        <f>HYPERLINK("https://www.philgeps.gov.ph/GEPSNONPILOT/Tender/SplashBidNoticeAbstractUI.aspx?menuIndex=3&amp;refID=7152685&amp;Result=3","7152685")</f>
        <v>0</v>
      </c>
      <c r="B8039" t="s">
        <v>2692</v>
      </c>
      <c r="C8039" t="s">
        <v>11463</v>
      </c>
      <c r="D8039" t="s">
        <v>19048</v>
      </c>
      <c r="E8039" t="s">
        <v>26094</v>
      </c>
      <c r="F8039" t="s">
        <v>32834</v>
      </c>
      <c r="G8039" t="s">
        <v>32840</v>
      </c>
      <c r="H8039" t="s">
        <v>32848</v>
      </c>
      <c r="I8039" t="s">
        <v>32927</v>
      </c>
      <c r="J8039" t="s">
        <v>33067</v>
      </c>
      <c r="K8039" t="s">
        <v>42748</v>
      </c>
      <c r="M8039" t="s">
        <v>45915</v>
      </c>
      <c r="N8039" t="s">
        <v>47424</v>
      </c>
      <c r="O8039" t="s">
        <v>47425</v>
      </c>
      <c r="P8039">
        <v>0</v>
      </c>
      <c r="Q8039">
        <v>0</v>
      </c>
      <c r="R8039" t="s">
        <v>47432</v>
      </c>
      <c r="S8039" t="s">
        <v>47597</v>
      </c>
      <c r="T8039" t="s">
        <v>49111</v>
      </c>
      <c r="U8039" t="s">
        <v>56368</v>
      </c>
      <c r="W8039" t="s">
        <v>45915</v>
      </c>
      <c r="X8039" t="s">
        <v>47433</v>
      </c>
    </row>
    <row r="8040" spans="1:24">
      <c r="A8040">
        <f>HYPERLINK("https://www.philgeps.gov.ph/GEPSNONPILOT/Tender/SplashBidNoticeAbstractUI.aspx?menuIndex=3&amp;refID=7152684&amp;Result=3","7152684")</f>
        <v>0</v>
      </c>
      <c r="B8040" t="s">
        <v>2701</v>
      </c>
      <c r="C8040" t="s">
        <v>4408</v>
      </c>
      <c r="D8040" t="s">
        <v>19026</v>
      </c>
      <c r="E8040" t="s">
        <v>19790</v>
      </c>
      <c r="F8040" t="s">
        <v>32831</v>
      </c>
      <c r="G8040" t="s">
        <v>32839</v>
      </c>
      <c r="H8040" t="s">
        <v>32849</v>
      </c>
      <c r="I8040" t="s">
        <v>4177</v>
      </c>
      <c r="J8040" t="s">
        <v>32983</v>
      </c>
      <c r="K8040" t="s">
        <v>42730</v>
      </c>
      <c r="M8040" t="s">
        <v>45926</v>
      </c>
      <c r="N8040" t="s">
        <v>47424</v>
      </c>
      <c r="O8040" t="s">
        <v>47425</v>
      </c>
      <c r="P8040">
        <v>0</v>
      </c>
      <c r="Q8040">
        <v>3</v>
      </c>
      <c r="R8040" t="s">
        <v>47432</v>
      </c>
      <c r="S8040" t="s">
        <v>47597</v>
      </c>
      <c r="T8040" t="s">
        <v>49214</v>
      </c>
      <c r="U8040" t="s">
        <v>54976</v>
      </c>
      <c r="W8040" t="s">
        <v>45926</v>
      </c>
      <c r="X8040" t="s">
        <v>47433</v>
      </c>
    </row>
    <row r="8041" spans="1:24">
      <c r="A8041">
        <f>HYPERLINK("https://www.philgeps.gov.ph/GEPSNONPILOT/Tender/SplashBidNoticeAbstractUI.aspx?menuIndex=3&amp;refID=7152686&amp;Result=3","7152686")</f>
        <v>0</v>
      </c>
      <c r="B8041" t="s">
        <v>1004</v>
      </c>
      <c r="C8041" t="s">
        <v>11464</v>
      </c>
      <c r="D8041" t="s">
        <v>19050</v>
      </c>
      <c r="E8041" t="s">
        <v>26095</v>
      </c>
      <c r="F8041" t="s">
        <v>32831</v>
      </c>
      <c r="G8041" t="s">
        <v>32838</v>
      </c>
      <c r="H8041" t="s">
        <v>32848</v>
      </c>
      <c r="I8041" t="s">
        <v>32867</v>
      </c>
      <c r="J8041" t="s">
        <v>33039</v>
      </c>
      <c r="K8041" t="s">
        <v>42745</v>
      </c>
      <c r="M8041" t="s">
        <v>44053</v>
      </c>
      <c r="N8041" t="s">
        <v>47424</v>
      </c>
      <c r="O8041" t="s">
        <v>47425</v>
      </c>
      <c r="P8041">
        <v>0</v>
      </c>
      <c r="Q8041">
        <v>4</v>
      </c>
      <c r="R8041" t="s">
        <v>47432</v>
      </c>
      <c r="S8041" t="s">
        <v>47597</v>
      </c>
      <c r="T8041" t="s">
        <v>49237</v>
      </c>
      <c r="U8041" t="s">
        <v>56369</v>
      </c>
      <c r="W8041" t="s">
        <v>44053</v>
      </c>
      <c r="X8041" t="s">
        <v>47433</v>
      </c>
    </row>
    <row r="8042" spans="1:24">
      <c r="A8042">
        <f>HYPERLINK("https://www.philgeps.gov.ph/GEPSNONPILOT/Tender/SplashBidNoticeAbstractUI.aspx?menuIndex=3&amp;refID=7152677&amp;Result=3","7152677")</f>
        <v>0</v>
      </c>
      <c r="B8042" t="s">
        <v>2702</v>
      </c>
      <c r="C8042" t="s">
        <v>11465</v>
      </c>
      <c r="D8042" t="s">
        <v>19045</v>
      </c>
      <c r="E8042" t="s">
        <v>26096</v>
      </c>
      <c r="F8042" t="s">
        <v>32831</v>
      </c>
      <c r="G8042" t="s">
        <v>32838</v>
      </c>
      <c r="H8042" t="s">
        <v>32848</v>
      </c>
      <c r="I8042" t="s">
        <v>7416</v>
      </c>
      <c r="J8042" t="s">
        <v>37998</v>
      </c>
      <c r="K8042" t="s">
        <v>42732</v>
      </c>
      <c r="M8042" t="s">
        <v>45927</v>
      </c>
      <c r="N8042" t="s">
        <v>47424</v>
      </c>
      <c r="O8042" t="s">
        <v>47425</v>
      </c>
      <c r="P8042">
        <v>0</v>
      </c>
      <c r="Q8042">
        <v>1</v>
      </c>
      <c r="R8042" t="s">
        <v>47432</v>
      </c>
      <c r="S8042" t="s">
        <v>47597</v>
      </c>
      <c r="T8042" t="s">
        <v>49477</v>
      </c>
      <c r="U8042" t="s">
        <v>50909</v>
      </c>
      <c r="W8042" t="s">
        <v>45927</v>
      </c>
      <c r="X8042" t="s">
        <v>47433</v>
      </c>
    </row>
    <row r="8043" spans="1:24">
      <c r="A8043">
        <f>HYPERLINK("https://www.philgeps.gov.ph/GEPSNONPILOT/Tender/SplashBidNoticeAbstractUI.aspx?menuIndex=3&amp;refID=7152513&amp;Result=3","7152513")</f>
        <v>0</v>
      </c>
      <c r="B8043" t="s">
        <v>2703</v>
      </c>
      <c r="C8043" t="s">
        <v>11466</v>
      </c>
      <c r="D8043" t="s">
        <v>19026</v>
      </c>
      <c r="E8043" t="s">
        <v>26097</v>
      </c>
      <c r="F8043" t="s">
        <v>32833</v>
      </c>
      <c r="G8043" t="s">
        <v>32839</v>
      </c>
      <c r="H8043" t="s">
        <v>32849</v>
      </c>
      <c r="I8043" t="s">
        <v>32919</v>
      </c>
      <c r="J8043" t="s">
        <v>37999</v>
      </c>
      <c r="K8043" t="s">
        <v>42732</v>
      </c>
      <c r="M8043" t="s">
        <v>45928</v>
      </c>
      <c r="N8043" t="s">
        <v>47424</v>
      </c>
      <c r="O8043" t="s">
        <v>47425</v>
      </c>
      <c r="P8043">
        <v>0</v>
      </c>
      <c r="Q8043">
        <v>2</v>
      </c>
      <c r="R8043" t="s">
        <v>47432</v>
      </c>
      <c r="S8043" t="s">
        <v>47597</v>
      </c>
      <c r="T8043" t="s">
        <v>49057</v>
      </c>
      <c r="U8043" t="s">
        <v>56370</v>
      </c>
      <c r="V8043" t="s">
        <v>63523</v>
      </c>
      <c r="W8043" t="s">
        <v>45928</v>
      </c>
      <c r="X8043" t="s">
        <v>47433</v>
      </c>
    </row>
    <row r="8044" spans="1:24">
      <c r="A8044">
        <f>HYPERLINK("https://www.philgeps.gov.ph/GEPSNONPILOT/Tender/SplashBidNoticeAbstractUI.aspx?menuIndex=3&amp;refID=7152672&amp;Result=3","7152672")</f>
        <v>0</v>
      </c>
      <c r="B8044" t="s">
        <v>2704</v>
      </c>
      <c r="C8044" t="s">
        <v>11467</v>
      </c>
      <c r="E8044" t="s">
        <v>26098</v>
      </c>
      <c r="F8044" t="s">
        <v>32831</v>
      </c>
      <c r="G8044" t="s">
        <v>32838</v>
      </c>
      <c r="H8044" t="s">
        <v>32848</v>
      </c>
      <c r="I8044" t="s">
        <v>7416</v>
      </c>
      <c r="J8044" t="s">
        <v>38000</v>
      </c>
      <c r="K8044" t="s">
        <v>42742</v>
      </c>
      <c r="M8044" t="s">
        <v>45929</v>
      </c>
      <c r="N8044" t="s">
        <v>47424</v>
      </c>
      <c r="O8044" t="s">
        <v>47425</v>
      </c>
      <c r="P8044">
        <v>0</v>
      </c>
      <c r="Q8044">
        <v>0</v>
      </c>
      <c r="R8044" t="s">
        <v>47432</v>
      </c>
      <c r="S8044" t="s">
        <v>47597</v>
      </c>
      <c r="T8044" t="s">
        <v>49105</v>
      </c>
      <c r="U8044" t="s">
        <v>56371</v>
      </c>
      <c r="W8044" t="s">
        <v>45929</v>
      </c>
      <c r="X8044" t="s">
        <v>47433</v>
      </c>
    </row>
    <row r="8045" spans="1:24">
      <c r="A8045">
        <f>HYPERLINK("https://www.philgeps.gov.ph/GEPSNONPILOT/Tender/SplashBidNoticeAbstractUI.aspx?menuIndex=3&amp;refID=7152681&amp;Result=3","7152681")</f>
        <v>0</v>
      </c>
      <c r="B8045" t="s">
        <v>2705</v>
      </c>
      <c r="C8045" t="s">
        <v>11468</v>
      </c>
      <c r="D8045" t="s">
        <v>19100</v>
      </c>
      <c r="E8045" t="s">
        <v>26099</v>
      </c>
      <c r="F8045" t="s">
        <v>32831</v>
      </c>
      <c r="G8045" t="s">
        <v>32839</v>
      </c>
      <c r="H8045" t="s">
        <v>32848</v>
      </c>
      <c r="I8045" t="s">
        <v>7751</v>
      </c>
      <c r="J8045" t="s">
        <v>38001</v>
      </c>
      <c r="K8045" t="s">
        <v>42763</v>
      </c>
      <c r="M8045" t="s">
        <v>45930</v>
      </c>
      <c r="N8045" t="s">
        <v>47424</v>
      </c>
      <c r="O8045" t="s">
        <v>47425</v>
      </c>
      <c r="P8045">
        <v>0</v>
      </c>
      <c r="Q8045">
        <v>5</v>
      </c>
      <c r="R8045" t="s">
        <v>47432</v>
      </c>
      <c r="S8045" t="s">
        <v>47597</v>
      </c>
      <c r="T8045" t="s">
        <v>49461</v>
      </c>
      <c r="U8045" t="s">
        <v>56372</v>
      </c>
      <c r="V8045" t="s">
        <v>63524</v>
      </c>
      <c r="W8045" t="s">
        <v>45930</v>
      </c>
      <c r="X8045" t="s">
        <v>47433</v>
      </c>
    </row>
    <row r="8046" spans="1:24">
      <c r="A8046">
        <f>HYPERLINK("https://www.philgeps.gov.ph/GEPSNONPILOT/Tender/SplashBidNoticeAbstractUI.aspx?menuIndex=3&amp;refID=7152612&amp;Result=3","7152612")</f>
        <v>0</v>
      </c>
      <c r="B8046" t="s">
        <v>999</v>
      </c>
      <c r="C8046" t="s">
        <v>11469</v>
      </c>
      <c r="D8046" t="s">
        <v>19017</v>
      </c>
      <c r="E8046" t="s">
        <v>26100</v>
      </c>
      <c r="F8046" t="s">
        <v>32831</v>
      </c>
      <c r="G8046" t="s">
        <v>32839</v>
      </c>
      <c r="H8046" t="s">
        <v>32848</v>
      </c>
      <c r="I8046" t="s">
        <v>32863</v>
      </c>
      <c r="J8046" t="s">
        <v>38002</v>
      </c>
      <c r="K8046" t="s">
        <v>42759</v>
      </c>
      <c r="M8046" t="s">
        <v>45931</v>
      </c>
      <c r="N8046" t="s">
        <v>47424</v>
      </c>
      <c r="O8046" t="s">
        <v>47425</v>
      </c>
      <c r="P8046">
        <v>0</v>
      </c>
      <c r="Q8046">
        <v>2</v>
      </c>
      <c r="R8046" t="s">
        <v>47432</v>
      </c>
      <c r="S8046" t="s">
        <v>47597</v>
      </c>
      <c r="T8046" t="s">
        <v>49084</v>
      </c>
      <c r="U8046" t="s">
        <v>56373</v>
      </c>
      <c r="W8046" t="s">
        <v>45931</v>
      </c>
      <c r="X8046" t="s">
        <v>47433</v>
      </c>
    </row>
    <row r="8047" spans="1:24">
      <c r="A8047">
        <f>HYPERLINK("https://www.philgeps.gov.ph/GEPSNONPILOT/Tender/SplashBidNoticeAbstractUI.aspx?menuIndex=3&amp;refID=7152705&amp;Result=3","7152705")</f>
        <v>0</v>
      </c>
      <c r="B8047" t="s">
        <v>2706</v>
      </c>
      <c r="C8047" t="s">
        <v>11470</v>
      </c>
      <c r="D8047" t="s">
        <v>19044</v>
      </c>
      <c r="E8047" t="s">
        <v>26101</v>
      </c>
      <c r="F8047" t="s">
        <v>32831</v>
      </c>
      <c r="G8047" t="s">
        <v>32839</v>
      </c>
      <c r="H8047" t="s">
        <v>32849</v>
      </c>
      <c r="I8047" t="s">
        <v>4177</v>
      </c>
      <c r="J8047" t="s">
        <v>38003</v>
      </c>
      <c r="K8047" t="s">
        <v>42732</v>
      </c>
      <c r="M8047" t="s">
        <v>45932</v>
      </c>
      <c r="N8047" t="s">
        <v>47424</v>
      </c>
      <c r="O8047" t="s">
        <v>47425</v>
      </c>
      <c r="P8047">
        <v>0</v>
      </c>
      <c r="Q8047">
        <v>1</v>
      </c>
      <c r="R8047" t="s">
        <v>47432</v>
      </c>
      <c r="S8047" t="s">
        <v>47597</v>
      </c>
      <c r="T8047" t="s">
        <v>49119</v>
      </c>
      <c r="U8047" t="s">
        <v>56374</v>
      </c>
      <c r="W8047" t="s">
        <v>45932</v>
      </c>
      <c r="X8047" t="s">
        <v>47433</v>
      </c>
    </row>
    <row r="8048" spans="1:24">
      <c r="A8048">
        <f>HYPERLINK("https://www.philgeps.gov.ph/GEPSNONPILOT/Tender/SplashBidNoticeAbstractUI.aspx?menuIndex=3&amp;refID=7152752&amp;Result=3","7152752")</f>
        <v>0</v>
      </c>
      <c r="B8048" t="s">
        <v>2656</v>
      </c>
      <c r="C8048" t="s">
        <v>11471</v>
      </c>
      <c r="D8048" t="s">
        <v>19028</v>
      </c>
      <c r="E8048" t="s">
        <v>26102</v>
      </c>
      <c r="F8048" t="s">
        <v>32831</v>
      </c>
      <c r="G8048" t="s">
        <v>32839</v>
      </c>
      <c r="H8048" t="s">
        <v>32849</v>
      </c>
      <c r="I8048" t="s">
        <v>4177</v>
      </c>
      <c r="J8048" t="s">
        <v>38004</v>
      </c>
      <c r="K8048" t="s">
        <v>42742</v>
      </c>
      <c r="M8048" t="s">
        <v>45919</v>
      </c>
      <c r="N8048" t="s">
        <v>47424</v>
      </c>
      <c r="O8048" t="s">
        <v>47425</v>
      </c>
      <c r="P8048">
        <v>0</v>
      </c>
      <c r="Q8048">
        <v>2</v>
      </c>
      <c r="R8048" t="s">
        <v>47432</v>
      </c>
      <c r="S8048" t="s">
        <v>47597</v>
      </c>
      <c r="T8048" t="s">
        <v>49319</v>
      </c>
      <c r="U8048" t="s">
        <v>56348</v>
      </c>
      <c r="W8048" t="s">
        <v>45919</v>
      </c>
      <c r="X8048" t="s">
        <v>47433</v>
      </c>
    </row>
    <row r="8049" spans="1:24">
      <c r="A8049">
        <f>HYPERLINK("https://www.philgeps.gov.ph/GEPSNONPILOT/Tender/SplashBidNoticeAbstractUI.aspx?menuIndex=3&amp;refID=7152748&amp;Result=3","7152748")</f>
        <v>0</v>
      </c>
      <c r="B8049" t="s">
        <v>1997</v>
      </c>
      <c r="C8049" t="s">
        <v>11472</v>
      </c>
      <c r="D8049" t="s">
        <v>19061</v>
      </c>
      <c r="E8049" t="s">
        <v>26103</v>
      </c>
      <c r="F8049" t="s">
        <v>32831</v>
      </c>
      <c r="G8049" t="s">
        <v>32838</v>
      </c>
      <c r="H8049" t="s">
        <v>32848</v>
      </c>
      <c r="I8049" t="s">
        <v>4776</v>
      </c>
      <c r="J8049" t="s">
        <v>33175</v>
      </c>
      <c r="K8049" t="s">
        <v>42726</v>
      </c>
      <c r="M8049" t="s">
        <v>45164</v>
      </c>
      <c r="N8049" t="s">
        <v>47424</v>
      </c>
      <c r="O8049" t="s">
        <v>47425</v>
      </c>
      <c r="P8049">
        <v>0</v>
      </c>
      <c r="Q8049">
        <v>0</v>
      </c>
      <c r="R8049" t="s">
        <v>47432</v>
      </c>
      <c r="S8049" t="s">
        <v>47597</v>
      </c>
      <c r="T8049" t="s">
        <v>49141</v>
      </c>
      <c r="U8049" t="s">
        <v>56375</v>
      </c>
      <c r="W8049" t="s">
        <v>45164</v>
      </c>
      <c r="X8049" t="s">
        <v>47433</v>
      </c>
    </row>
    <row r="8050" spans="1:24">
      <c r="A8050">
        <f>HYPERLINK("https://www.philgeps.gov.ph/GEPSNONPILOT/Tender/SplashBidNoticeAbstractUI.aspx?menuIndex=3&amp;refID=7152747&amp;Result=3","7152747")</f>
        <v>0</v>
      </c>
      <c r="B8050" t="s">
        <v>657</v>
      </c>
      <c r="C8050" t="s">
        <v>11473</v>
      </c>
      <c r="D8050" t="s">
        <v>19027</v>
      </c>
      <c r="E8050" t="s">
        <v>26104</v>
      </c>
      <c r="F8050" t="s">
        <v>32831</v>
      </c>
      <c r="G8050" t="s">
        <v>32839</v>
      </c>
      <c r="H8050" t="s">
        <v>32848</v>
      </c>
      <c r="I8050" t="s">
        <v>32863</v>
      </c>
      <c r="J8050" t="s">
        <v>38005</v>
      </c>
      <c r="K8050" t="s">
        <v>42732</v>
      </c>
      <c r="M8050" t="s">
        <v>43675</v>
      </c>
      <c r="N8050" t="s">
        <v>47424</v>
      </c>
      <c r="O8050" t="s">
        <v>47425</v>
      </c>
      <c r="P8050">
        <v>0</v>
      </c>
      <c r="Q8050">
        <v>0</v>
      </c>
      <c r="R8050" t="s">
        <v>47432</v>
      </c>
      <c r="S8050" t="s">
        <v>47597</v>
      </c>
      <c r="T8050" t="s">
        <v>49231</v>
      </c>
      <c r="U8050" t="s">
        <v>55155</v>
      </c>
      <c r="W8050" t="s">
        <v>43675</v>
      </c>
      <c r="X8050" t="s">
        <v>47433</v>
      </c>
    </row>
    <row r="8051" spans="1:24">
      <c r="A8051">
        <f>HYPERLINK("https://www.philgeps.gov.ph/GEPSNONPILOT/Tender/SplashBidNoticeAbstractUI.aspx?menuIndex=3&amp;refID=7152696&amp;Result=3","7152696")</f>
        <v>0</v>
      </c>
      <c r="B8051" t="s">
        <v>1838</v>
      </c>
      <c r="C8051" t="s">
        <v>11474</v>
      </c>
      <c r="D8051" t="s">
        <v>19049</v>
      </c>
      <c r="E8051" t="s">
        <v>26105</v>
      </c>
      <c r="F8051" t="s">
        <v>32831</v>
      </c>
      <c r="G8051" t="s">
        <v>32839</v>
      </c>
      <c r="H8051" t="s">
        <v>32848</v>
      </c>
      <c r="I8051" t="s">
        <v>32870</v>
      </c>
      <c r="J8051" t="s">
        <v>33087</v>
      </c>
      <c r="K8051" t="s">
        <v>42730</v>
      </c>
      <c r="M8051" t="s">
        <v>44972</v>
      </c>
      <c r="N8051" t="s">
        <v>47424</v>
      </c>
      <c r="O8051" t="s">
        <v>47425</v>
      </c>
      <c r="P8051">
        <v>0</v>
      </c>
      <c r="Q8051">
        <v>0</v>
      </c>
      <c r="R8051" t="s">
        <v>47432</v>
      </c>
      <c r="S8051" t="s">
        <v>47597</v>
      </c>
      <c r="T8051" t="s">
        <v>49114</v>
      </c>
      <c r="U8051" t="s">
        <v>56376</v>
      </c>
      <c r="V8051" t="s">
        <v>63525</v>
      </c>
      <c r="W8051" t="s">
        <v>44972</v>
      </c>
      <c r="X8051" t="s">
        <v>47433</v>
      </c>
    </row>
    <row r="8052" spans="1:24">
      <c r="A8052">
        <f>HYPERLINK("https://www.philgeps.gov.ph/GEPSNONPILOT/Tender/SplashBidNoticeAbstractUI.aspx?menuIndex=3&amp;refID=7152755&amp;Result=3","7152755")</f>
        <v>0</v>
      </c>
      <c r="B8052" t="s">
        <v>2707</v>
      </c>
      <c r="C8052" t="s">
        <v>11475</v>
      </c>
      <c r="D8052" t="s">
        <v>19058</v>
      </c>
      <c r="E8052" t="s">
        <v>26106</v>
      </c>
      <c r="F8052" t="s">
        <v>32831</v>
      </c>
      <c r="G8052" t="s">
        <v>32839</v>
      </c>
      <c r="H8052" t="s">
        <v>32848</v>
      </c>
      <c r="I8052" t="s">
        <v>7416</v>
      </c>
      <c r="J8052" t="s">
        <v>38006</v>
      </c>
      <c r="K8052" t="s">
        <v>42730</v>
      </c>
      <c r="M8052" t="s">
        <v>45933</v>
      </c>
      <c r="N8052" t="s">
        <v>47424</v>
      </c>
      <c r="O8052" t="s">
        <v>47425</v>
      </c>
      <c r="P8052">
        <v>0</v>
      </c>
      <c r="Q8052">
        <v>0</v>
      </c>
      <c r="R8052" t="s">
        <v>47432</v>
      </c>
      <c r="S8052" t="s">
        <v>47597</v>
      </c>
      <c r="T8052" t="s">
        <v>49123</v>
      </c>
      <c r="U8052" t="s">
        <v>56377</v>
      </c>
      <c r="V8052" t="s">
        <v>63526</v>
      </c>
      <c r="W8052" t="s">
        <v>45933</v>
      </c>
      <c r="X8052" t="s">
        <v>47433</v>
      </c>
    </row>
    <row r="8053" spans="1:24">
      <c r="A8053">
        <f>HYPERLINK("https://www.philgeps.gov.ph/GEPSNONPILOT/Tender/SplashBidNoticeAbstractUI.aspx?menuIndex=3&amp;refID=7152746&amp;Result=3","7152746")</f>
        <v>0</v>
      </c>
      <c r="B8053" t="s">
        <v>2708</v>
      </c>
      <c r="C8053" t="s">
        <v>11476</v>
      </c>
      <c r="D8053" t="s">
        <v>19022</v>
      </c>
      <c r="E8053" t="s">
        <v>26107</v>
      </c>
      <c r="F8053" t="s">
        <v>32831</v>
      </c>
      <c r="G8053" t="s">
        <v>32839</v>
      </c>
      <c r="H8053" t="s">
        <v>32848</v>
      </c>
      <c r="I8053" t="s">
        <v>4438</v>
      </c>
      <c r="J8053" t="s">
        <v>38007</v>
      </c>
      <c r="K8053" t="s">
        <v>42730</v>
      </c>
      <c r="M8053" t="s">
        <v>45934</v>
      </c>
      <c r="N8053" t="s">
        <v>47424</v>
      </c>
      <c r="O8053" t="s">
        <v>47425</v>
      </c>
      <c r="P8053">
        <v>0</v>
      </c>
      <c r="Q8053">
        <v>1</v>
      </c>
      <c r="R8053" t="s">
        <v>47432</v>
      </c>
      <c r="S8053" t="s">
        <v>47597</v>
      </c>
      <c r="T8053" t="s">
        <v>49166</v>
      </c>
      <c r="U8053" t="s">
        <v>56378</v>
      </c>
      <c r="V8053" t="s">
        <v>63527</v>
      </c>
      <c r="W8053" t="s">
        <v>45934</v>
      </c>
      <c r="X8053" t="s">
        <v>47433</v>
      </c>
    </row>
    <row r="8054" spans="1:24">
      <c r="A8054">
        <f>HYPERLINK("https://www.philgeps.gov.ph/GEPSNONPILOT/Tender/SplashBidNoticeAbstractUI.aspx?menuIndex=3&amp;refID=7152741&amp;Result=3","7152741")</f>
        <v>0</v>
      </c>
      <c r="B8054" t="s">
        <v>1740</v>
      </c>
      <c r="C8054" t="s">
        <v>11477</v>
      </c>
      <c r="D8054" t="s">
        <v>19068</v>
      </c>
      <c r="E8054" t="s">
        <v>26108</v>
      </c>
      <c r="F8054" t="s">
        <v>32831</v>
      </c>
      <c r="G8054" t="s">
        <v>32839</v>
      </c>
      <c r="H8054" t="s">
        <v>32848</v>
      </c>
      <c r="I8054" t="s">
        <v>4776</v>
      </c>
      <c r="J8054" t="s">
        <v>35524</v>
      </c>
      <c r="K8054" t="s">
        <v>42727</v>
      </c>
      <c r="M8054" t="s">
        <v>44863</v>
      </c>
      <c r="N8054" t="s">
        <v>47424</v>
      </c>
      <c r="O8054" t="s">
        <v>47425</v>
      </c>
      <c r="P8054">
        <v>0</v>
      </c>
      <c r="Q8054">
        <v>0</v>
      </c>
      <c r="R8054" t="s">
        <v>47432</v>
      </c>
      <c r="S8054" t="s">
        <v>47597</v>
      </c>
      <c r="T8054" t="s">
        <v>49267</v>
      </c>
      <c r="U8054" t="s">
        <v>56379</v>
      </c>
      <c r="W8054" t="s">
        <v>44863</v>
      </c>
      <c r="X8054" t="s">
        <v>47433</v>
      </c>
    </row>
    <row r="8055" spans="1:24">
      <c r="A8055">
        <f>HYPERLINK("https://www.philgeps.gov.ph/GEPSNONPILOT/Tender/SplashBidNoticeAbstractUI.aspx?menuIndex=3&amp;refID=7152759&amp;Result=3","7152759")</f>
        <v>0</v>
      </c>
      <c r="B8055" t="s">
        <v>1770</v>
      </c>
      <c r="C8055" t="s">
        <v>11478</v>
      </c>
      <c r="D8055" t="s">
        <v>19058</v>
      </c>
      <c r="E8055" t="s">
        <v>26109</v>
      </c>
      <c r="F8055" t="s">
        <v>32831</v>
      </c>
      <c r="G8055" t="s">
        <v>32840</v>
      </c>
      <c r="H8055" t="s">
        <v>32848</v>
      </c>
      <c r="I8055" t="s">
        <v>32856</v>
      </c>
      <c r="J8055" t="s">
        <v>35112</v>
      </c>
      <c r="K8055" t="s">
        <v>42726</v>
      </c>
      <c r="M8055" t="s">
        <v>44895</v>
      </c>
      <c r="N8055" t="s">
        <v>47424</v>
      </c>
      <c r="O8055" t="s">
        <v>47425</v>
      </c>
      <c r="P8055">
        <v>0</v>
      </c>
      <c r="Q8055">
        <v>0</v>
      </c>
      <c r="R8055" t="s">
        <v>47432</v>
      </c>
      <c r="S8055" t="s">
        <v>47597</v>
      </c>
      <c r="T8055" t="s">
        <v>49237</v>
      </c>
      <c r="U8055" t="s">
        <v>56380</v>
      </c>
      <c r="W8055" t="s">
        <v>44895</v>
      </c>
      <c r="X8055" t="s">
        <v>47433</v>
      </c>
    </row>
    <row r="8056" spans="1:24">
      <c r="A8056">
        <f>HYPERLINK("https://www.philgeps.gov.ph/GEPSNONPILOT/Tender/SplashBidNoticeAbstractUI.aspx?menuIndex=3&amp;refID=7152757&amp;Result=3","7152757")</f>
        <v>0</v>
      </c>
      <c r="B8056" t="s">
        <v>1357</v>
      </c>
      <c r="C8056" t="s">
        <v>11479</v>
      </c>
      <c r="D8056" t="s">
        <v>19112</v>
      </c>
      <c r="E8056" t="s">
        <v>26110</v>
      </c>
      <c r="F8056" t="s">
        <v>32831</v>
      </c>
      <c r="G8056" t="s">
        <v>32839</v>
      </c>
      <c r="H8056" t="s">
        <v>32848</v>
      </c>
      <c r="I8056" t="s">
        <v>32890</v>
      </c>
      <c r="J8056" t="s">
        <v>38008</v>
      </c>
      <c r="K8056" t="s">
        <v>42732</v>
      </c>
      <c r="M8056" t="s">
        <v>45854</v>
      </c>
      <c r="N8056" t="s">
        <v>47424</v>
      </c>
      <c r="O8056" t="s">
        <v>47425</v>
      </c>
      <c r="P8056">
        <v>0</v>
      </c>
      <c r="Q8056">
        <v>0</v>
      </c>
      <c r="R8056" t="s">
        <v>47432</v>
      </c>
      <c r="S8056" t="s">
        <v>47597</v>
      </c>
      <c r="T8056" t="s">
        <v>49221</v>
      </c>
      <c r="U8056" t="s">
        <v>56381</v>
      </c>
      <c r="W8056" t="s">
        <v>45854</v>
      </c>
      <c r="X8056" t="s">
        <v>47433</v>
      </c>
    </row>
    <row r="8057" spans="1:24">
      <c r="A8057">
        <f>HYPERLINK("https://www.philgeps.gov.ph/GEPSNONPILOT/Tender/SplashBidNoticeAbstractUI.aspx?menuIndex=3&amp;refID=7152743&amp;Result=3","7152743")</f>
        <v>0</v>
      </c>
      <c r="B8057" t="s">
        <v>2705</v>
      </c>
      <c r="C8057" t="s">
        <v>11480</v>
      </c>
      <c r="D8057" t="s">
        <v>19100</v>
      </c>
      <c r="E8057" t="s">
        <v>26111</v>
      </c>
      <c r="F8057" t="s">
        <v>32831</v>
      </c>
      <c r="G8057" t="s">
        <v>32839</v>
      </c>
      <c r="H8057" t="s">
        <v>32848</v>
      </c>
      <c r="I8057" t="s">
        <v>7416</v>
      </c>
      <c r="J8057" t="s">
        <v>38009</v>
      </c>
      <c r="K8057" t="s">
        <v>42730</v>
      </c>
      <c r="M8057" t="s">
        <v>45930</v>
      </c>
      <c r="N8057" t="s">
        <v>47424</v>
      </c>
      <c r="O8057" t="s">
        <v>47425</v>
      </c>
      <c r="P8057">
        <v>0</v>
      </c>
      <c r="Q8057">
        <v>0</v>
      </c>
      <c r="R8057" t="s">
        <v>47432</v>
      </c>
      <c r="S8057" t="s">
        <v>47597</v>
      </c>
      <c r="T8057" t="s">
        <v>49461</v>
      </c>
      <c r="U8057" t="s">
        <v>56382</v>
      </c>
      <c r="V8057" t="s">
        <v>63528</v>
      </c>
      <c r="W8057" t="s">
        <v>45930</v>
      </c>
      <c r="X8057" t="s">
        <v>47433</v>
      </c>
    </row>
    <row r="8058" spans="1:24">
      <c r="A8058">
        <f>HYPERLINK("https://www.philgeps.gov.ph/GEPSNONPILOT/Tender/SplashBidNoticeAbstractUI.aspx?menuIndex=3&amp;refID=7152751&amp;Result=3","7152751")</f>
        <v>0</v>
      </c>
      <c r="B8058" t="s">
        <v>2709</v>
      </c>
      <c r="C8058" t="s">
        <v>11481</v>
      </c>
      <c r="D8058" t="s">
        <v>19018</v>
      </c>
      <c r="E8058" t="s">
        <v>26112</v>
      </c>
      <c r="F8058" t="s">
        <v>32831</v>
      </c>
      <c r="G8058" t="s">
        <v>32839</v>
      </c>
      <c r="H8058" t="s">
        <v>32848</v>
      </c>
      <c r="I8058" t="s">
        <v>32870</v>
      </c>
      <c r="J8058" t="s">
        <v>38010</v>
      </c>
      <c r="K8058" t="s">
        <v>42745</v>
      </c>
      <c r="M8058" t="s">
        <v>45935</v>
      </c>
      <c r="N8058" t="s">
        <v>47424</v>
      </c>
      <c r="O8058" t="s">
        <v>47425</v>
      </c>
      <c r="P8058">
        <v>0</v>
      </c>
      <c r="Q8058">
        <v>0</v>
      </c>
      <c r="R8058" t="s">
        <v>47432</v>
      </c>
      <c r="S8058" t="s">
        <v>47597</v>
      </c>
      <c r="T8058" t="s">
        <v>49166</v>
      </c>
      <c r="U8058" t="s">
        <v>56383</v>
      </c>
      <c r="W8058" t="s">
        <v>45935</v>
      </c>
      <c r="X8058" t="s">
        <v>47433</v>
      </c>
    </row>
    <row r="8059" spans="1:24">
      <c r="A8059">
        <f>HYPERLINK("https://www.philgeps.gov.ph/GEPSNONPILOT/Tender/SplashBidNoticeAbstractUI.aspx?menuIndex=3&amp;refID=7152800&amp;Result=3","7152800")</f>
        <v>0</v>
      </c>
      <c r="B8059" t="s">
        <v>1974</v>
      </c>
      <c r="C8059" t="s">
        <v>11482</v>
      </c>
      <c r="D8059" t="s">
        <v>19048</v>
      </c>
      <c r="E8059" t="s">
        <v>19908</v>
      </c>
      <c r="F8059" t="s">
        <v>32831</v>
      </c>
      <c r="G8059" t="s">
        <v>32838</v>
      </c>
      <c r="H8059" t="s">
        <v>32848</v>
      </c>
      <c r="I8059" t="s">
        <v>4435</v>
      </c>
      <c r="J8059" t="s">
        <v>38011</v>
      </c>
      <c r="K8059" t="s">
        <v>42732</v>
      </c>
      <c r="M8059" t="s">
        <v>45135</v>
      </c>
      <c r="N8059" t="s">
        <v>47424</v>
      </c>
      <c r="O8059" t="s">
        <v>47425</v>
      </c>
      <c r="P8059">
        <v>0</v>
      </c>
      <c r="Q8059">
        <v>2</v>
      </c>
      <c r="R8059" t="s">
        <v>47432</v>
      </c>
      <c r="S8059" t="s">
        <v>47597</v>
      </c>
      <c r="T8059" t="s">
        <v>49107</v>
      </c>
      <c r="U8059" t="s">
        <v>56384</v>
      </c>
      <c r="W8059" t="s">
        <v>45135</v>
      </c>
      <c r="X8059" t="s">
        <v>47433</v>
      </c>
    </row>
    <row r="8060" spans="1:24">
      <c r="A8060">
        <f>HYPERLINK("https://www.philgeps.gov.ph/GEPSNONPILOT/Tender/SplashBidNoticeAbstractUI.aspx?menuIndex=3&amp;refID=7152615&amp;Result=3","7152615")</f>
        <v>0</v>
      </c>
      <c r="B8060" t="s">
        <v>2710</v>
      </c>
      <c r="C8060" t="s">
        <v>11483</v>
      </c>
      <c r="D8060" t="s">
        <v>19083</v>
      </c>
      <c r="E8060" t="s">
        <v>26113</v>
      </c>
      <c r="F8060" t="s">
        <v>32831</v>
      </c>
      <c r="G8060" t="s">
        <v>32838</v>
      </c>
      <c r="H8060" t="s">
        <v>32848</v>
      </c>
      <c r="I8060" t="s">
        <v>4487</v>
      </c>
      <c r="J8060" t="s">
        <v>38012</v>
      </c>
      <c r="K8060" t="s">
        <v>42748</v>
      </c>
      <c r="M8060" t="s">
        <v>45936</v>
      </c>
      <c r="N8060" t="s">
        <v>47424</v>
      </c>
      <c r="O8060" t="s">
        <v>47425</v>
      </c>
      <c r="P8060">
        <v>0</v>
      </c>
      <c r="Q8060">
        <v>4</v>
      </c>
      <c r="R8060" t="s">
        <v>47432</v>
      </c>
      <c r="S8060" t="s">
        <v>47597</v>
      </c>
      <c r="T8060" t="s">
        <v>49214</v>
      </c>
      <c r="U8060" t="s">
        <v>56385</v>
      </c>
      <c r="V8060" t="s">
        <v>63529</v>
      </c>
      <c r="W8060" t="s">
        <v>45936</v>
      </c>
      <c r="X8060" t="s">
        <v>47433</v>
      </c>
    </row>
    <row r="8061" spans="1:24">
      <c r="A8061">
        <f>HYPERLINK("https://www.philgeps.gov.ph/GEPSNONPILOT/Tender/SplashBidNoticeAbstractUI.aspx?menuIndex=3&amp;refID=7152794&amp;Result=3","7152794")</f>
        <v>0</v>
      </c>
      <c r="B8061" t="s">
        <v>688</v>
      </c>
      <c r="C8061" t="s">
        <v>11484</v>
      </c>
      <c r="E8061" t="s">
        <v>26114</v>
      </c>
      <c r="F8061" t="s">
        <v>32831</v>
      </c>
      <c r="G8061" t="s">
        <v>32839</v>
      </c>
      <c r="H8061" t="s">
        <v>32848</v>
      </c>
      <c r="I8061" t="s">
        <v>11484</v>
      </c>
      <c r="J8061" t="s">
        <v>35411</v>
      </c>
      <c r="K8061" t="s">
        <v>42732</v>
      </c>
      <c r="M8061" t="s">
        <v>43707</v>
      </c>
      <c r="N8061" t="s">
        <v>47424</v>
      </c>
      <c r="O8061" t="s">
        <v>47425</v>
      </c>
      <c r="P8061">
        <v>0</v>
      </c>
      <c r="Q8061">
        <v>0</v>
      </c>
      <c r="R8061" t="s">
        <v>47432</v>
      </c>
      <c r="S8061" t="s">
        <v>47597</v>
      </c>
      <c r="T8061" t="s">
        <v>49464</v>
      </c>
      <c r="U8061" t="s">
        <v>56386</v>
      </c>
      <c r="W8061" t="s">
        <v>43707</v>
      </c>
      <c r="X8061" t="s">
        <v>47433</v>
      </c>
    </row>
    <row r="8062" spans="1:24">
      <c r="A8062">
        <f>HYPERLINK("https://www.philgeps.gov.ph/GEPSNONPILOT/Tender/SplashBidNoticeAbstractUI.aspx?menuIndex=3&amp;refID=7152789&amp;Result=3","7152789")</f>
        <v>0</v>
      </c>
      <c r="B8062" t="s">
        <v>2269</v>
      </c>
      <c r="C8062" t="s">
        <v>11485</v>
      </c>
      <c r="D8062" t="s">
        <v>19018</v>
      </c>
      <c r="E8062" t="s">
        <v>26115</v>
      </c>
      <c r="F8062" t="s">
        <v>32831</v>
      </c>
      <c r="G8062" t="s">
        <v>32838</v>
      </c>
      <c r="H8062" t="s">
        <v>32848</v>
      </c>
      <c r="I8062" t="s">
        <v>4222</v>
      </c>
      <c r="J8062" t="s">
        <v>38013</v>
      </c>
      <c r="K8062" t="s">
        <v>42727</v>
      </c>
      <c r="M8062" t="s">
        <v>45453</v>
      </c>
      <c r="N8062" t="s">
        <v>47424</v>
      </c>
      <c r="O8062" t="s">
        <v>47425</v>
      </c>
      <c r="P8062">
        <v>0</v>
      </c>
      <c r="Q8062">
        <v>0</v>
      </c>
      <c r="R8062" t="s">
        <v>47432</v>
      </c>
      <c r="S8062" t="s">
        <v>47597</v>
      </c>
      <c r="T8062" t="s">
        <v>49328</v>
      </c>
      <c r="U8062" t="s">
        <v>55595</v>
      </c>
      <c r="W8062" t="s">
        <v>45453</v>
      </c>
      <c r="X8062" t="s">
        <v>47433</v>
      </c>
    </row>
    <row r="8063" spans="1:24">
      <c r="A8063">
        <f>HYPERLINK("https://www.philgeps.gov.ph/GEPSNONPILOT/Tender/SplashBidNoticeAbstractUI.aspx?menuIndex=3&amp;refID=7152797&amp;Result=3","7152797")</f>
        <v>0</v>
      </c>
      <c r="B8063" t="s">
        <v>1765</v>
      </c>
      <c r="C8063" t="s">
        <v>11486</v>
      </c>
      <c r="E8063" t="s">
        <v>26116</v>
      </c>
      <c r="F8063" t="s">
        <v>32831</v>
      </c>
      <c r="G8063" t="s">
        <v>32840</v>
      </c>
      <c r="H8063" t="s">
        <v>32848</v>
      </c>
      <c r="I8063" t="s">
        <v>32870</v>
      </c>
      <c r="J8063" t="s">
        <v>33249</v>
      </c>
      <c r="K8063" t="s">
        <v>42732</v>
      </c>
      <c r="M8063" t="s">
        <v>44890</v>
      </c>
      <c r="N8063" t="s">
        <v>47424</v>
      </c>
      <c r="O8063" t="s">
        <v>47425</v>
      </c>
      <c r="P8063">
        <v>0</v>
      </c>
      <c r="Q8063">
        <v>0</v>
      </c>
      <c r="R8063" t="s">
        <v>47432</v>
      </c>
      <c r="S8063" t="s">
        <v>47597</v>
      </c>
      <c r="T8063" t="s">
        <v>49235</v>
      </c>
      <c r="U8063" t="s">
        <v>56387</v>
      </c>
      <c r="V8063" t="s">
        <v>63530</v>
      </c>
      <c r="W8063" t="s">
        <v>44890</v>
      </c>
      <c r="X8063" t="s">
        <v>47433</v>
      </c>
    </row>
    <row r="8064" spans="1:24">
      <c r="A8064">
        <f>HYPERLINK("https://www.philgeps.gov.ph/GEPSNONPILOT/Tender/SplashBidNoticeAbstractUI.aspx?menuIndex=3&amp;refID=7152791&amp;Result=3","7152791")</f>
        <v>0</v>
      </c>
      <c r="B8064" t="s">
        <v>2656</v>
      </c>
      <c r="C8064" t="s">
        <v>11487</v>
      </c>
      <c r="D8064" t="s">
        <v>19028</v>
      </c>
      <c r="E8064" t="s">
        <v>26117</v>
      </c>
      <c r="F8064" t="s">
        <v>32831</v>
      </c>
      <c r="G8064" t="s">
        <v>32839</v>
      </c>
      <c r="H8064" t="s">
        <v>32849</v>
      </c>
      <c r="I8064" t="s">
        <v>4177</v>
      </c>
      <c r="J8064" t="s">
        <v>38014</v>
      </c>
      <c r="K8064" t="s">
        <v>42745</v>
      </c>
      <c r="M8064" t="s">
        <v>45919</v>
      </c>
      <c r="N8064" t="s">
        <v>47424</v>
      </c>
      <c r="O8064" t="s">
        <v>47425</v>
      </c>
      <c r="P8064">
        <v>0</v>
      </c>
      <c r="Q8064">
        <v>0</v>
      </c>
      <c r="R8064" t="s">
        <v>47432</v>
      </c>
      <c r="S8064" t="s">
        <v>47597</v>
      </c>
      <c r="T8064" t="s">
        <v>49166</v>
      </c>
      <c r="U8064" t="s">
        <v>56348</v>
      </c>
      <c r="W8064" t="s">
        <v>45919</v>
      </c>
      <c r="X8064" t="s">
        <v>47433</v>
      </c>
    </row>
    <row r="8065" spans="1:24">
      <c r="A8065">
        <f>HYPERLINK("https://www.philgeps.gov.ph/GEPSNONPILOT/Tender/SplashBidNoticeAbstractUI.aspx?menuIndex=3&amp;refID=7152740&amp;Result=3","7152740")</f>
        <v>0</v>
      </c>
      <c r="B8065" t="s">
        <v>1997</v>
      </c>
      <c r="C8065" t="s">
        <v>7492</v>
      </c>
      <c r="D8065" t="s">
        <v>19061</v>
      </c>
      <c r="E8065" t="s">
        <v>26118</v>
      </c>
      <c r="F8065" t="s">
        <v>32831</v>
      </c>
      <c r="G8065" t="s">
        <v>32838</v>
      </c>
      <c r="H8065" t="s">
        <v>32848</v>
      </c>
      <c r="I8065" t="s">
        <v>5379</v>
      </c>
      <c r="J8065" t="s">
        <v>38015</v>
      </c>
      <c r="K8065" t="s">
        <v>42726</v>
      </c>
      <c r="M8065" t="s">
        <v>45164</v>
      </c>
      <c r="N8065" t="s">
        <v>47424</v>
      </c>
      <c r="O8065" t="s">
        <v>47425</v>
      </c>
      <c r="P8065">
        <v>0</v>
      </c>
      <c r="Q8065">
        <v>0</v>
      </c>
      <c r="R8065" t="s">
        <v>47432</v>
      </c>
      <c r="S8065" t="s">
        <v>47597</v>
      </c>
      <c r="T8065" t="s">
        <v>49141</v>
      </c>
      <c r="U8065" t="s">
        <v>56375</v>
      </c>
      <c r="W8065" t="s">
        <v>45164</v>
      </c>
      <c r="X8065" t="s">
        <v>47433</v>
      </c>
    </row>
    <row r="8066" spans="1:24">
      <c r="A8066">
        <f>HYPERLINK("https://www.philgeps.gov.ph/GEPSNONPILOT/Tender/SplashBidNoticeAbstractUI.aspx?menuIndex=3&amp;refID=7152542&amp;Result=3","7152542")</f>
        <v>0</v>
      </c>
      <c r="B8066" t="s">
        <v>2688</v>
      </c>
      <c r="C8066" t="s">
        <v>11488</v>
      </c>
      <c r="D8066" t="s">
        <v>19082</v>
      </c>
      <c r="E8066" t="s">
        <v>26119</v>
      </c>
      <c r="F8066" t="s">
        <v>32831</v>
      </c>
      <c r="G8066" t="s">
        <v>32838</v>
      </c>
      <c r="H8066" t="s">
        <v>32848</v>
      </c>
      <c r="I8066" t="s">
        <v>11727</v>
      </c>
      <c r="J8066" t="s">
        <v>33497</v>
      </c>
      <c r="K8066" t="s">
        <v>42726</v>
      </c>
      <c r="M8066" t="s">
        <v>45911</v>
      </c>
      <c r="N8066" t="s">
        <v>47424</v>
      </c>
      <c r="O8066" t="s">
        <v>47425</v>
      </c>
      <c r="P8066">
        <v>0</v>
      </c>
      <c r="Q8066">
        <v>0</v>
      </c>
      <c r="R8066" t="s">
        <v>47432</v>
      </c>
      <c r="S8066" t="s">
        <v>47597</v>
      </c>
      <c r="T8066" t="s">
        <v>49107</v>
      </c>
      <c r="U8066" t="s">
        <v>56333</v>
      </c>
      <c r="W8066" t="s">
        <v>45911</v>
      </c>
      <c r="X8066" t="s">
        <v>47433</v>
      </c>
    </row>
    <row r="8067" spans="1:24">
      <c r="A8067">
        <f>HYPERLINK("https://www.philgeps.gov.ph/GEPSNONPILOT/Tender/SplashBidNoticeAbstractUI.aspx?menuIndex=3&amp;refID=7152782&amp;Result=3","7152782")</f>
        <v>0</v>
      </c>
      <c r="B8067" t="s">
        <v>2632</v>
      </c>
      <c r="C8067" t="s">
        <v>11489</v>
      </c>
      <c r="D8067" t="s">
        <v>19099</v>
      </c>
      <c r="E8067" t="s">
        <v>26120</v>
      </c>
      <c r="F8067" t="s">
        <v>32831</v>
      </c>
      <c r="G8067" t="s">
        <v>32839</v>
      </c>
      <c r="H8067" t="s">
        <v>32848</v>
      </c>
      <c r="I8067" t="s">
        <v>7416</v>
      </c>
      <c r="J8067" t="s">
        <v>38016</v>
      </c>
      <c r="K8067" t="s">
        <v>42730</v>
      </c>
      <c r="M8067" t="s">
        <v>45852</v>
      </c>
      <c r="N8067" t="s">
        <v>47424</v>
      </c>
      <c r="O8067" t="s">
        <v>47425</v>
      </c>
      <c r="P8067">
        <v>0</v>
      </c>
      <c r="Q8067">
        <v>1</v>
      </c>
      <c r="R8067" t="s">
        <v>47432</v>
      </c>
      <c r="S8067" t="s">
        <v>47597</v>
      </c>
      <c r="T8067" t="s">
        <v>49359</v>
      </c>
      <c r="U8067" t="s">
        <v>56388</v>
      </c>
      <c r="W8067" t="s">
        <v>45852</v>
      </c>
      <c r="X8067" t="s">
        <v>47433</v>
      </c>
    </row>
    <row r="8068" spans="1:24">
      <c r="A8068">
        <f>HYPERLINK("https://www.philgeps.gov.ph/GEPSNONPILOT/Tender/SplashBidNoticeAbstractUI.aspx?menuIndex=3&amp;refID=7152780&amp;Result=3","7152780")</f>
        <v>0</v>
      </c>
      <c r="B8068" t="s">
        <v>1974</v>
      </c>
      <c r="C8068" t="s">
        <v>11490</v>
      </c>
      <c r="D8068" t="s">
        <v>19048</v>
      </c>
      <c r="E8068" t="s">
        <v>19931</v>
      </c>
      <c r="F8068" t="s">
        <v>32831</v>
      </c>
      <c r="G8068" t="s">
        <v>32838</v>
      </c>
      <c r="H8068" t="s">
        <v>32848</v>
      </c>
      <c r="I8068" t="s">
        <v>32868</v>
      </c>
      <c r="J8068" t="s">
        <v>38017</v>
      </c>
      <c r="K8068" t="s">
        <v>42732</v>
      </c>
      <c r="M8068" t="s">
        <v>45135</v>
      </c>
      <c r="N8068" t="s">
        <v>47424</v>
      </c>
      <c r="O8068" t="s">
        <v>47425</v>
      </c>
      <c r="P8068">
        <v>0</v>
      </c>
      <c r="Q8068">
        <v>8</v>
      </c>
      <c r="R8068" t="s">
        <v>47432</v>
      </c>
      <c r="S8068" t="s">
        <v>47597</v>
      </c>
      <c r="T8068" t="s">
        <v>49107</v>
      </c>
      <c r="U8068" t="s">
        <v>56389</v>
      </c>
      <c r="W8068" t="s">
        <v>45135</v>
      </c>
      <c r="X8068" t="s">
        <v>47433</v>
      </c>
    </row>
    <row r="8069" spans="1:24">
      <c r="A8069">
        <f>HYPERLINK("https://www.philgeps.gov.ph/GEPSNONPILOT/Tender/SplashBidNoticeAbstractUI.aspx?menuIndex=3&amp;refID=7152776&amp;Result=3","7152776")</f>
        <v>0</v>
      </c>
      <c r="B8069" t="s">
        <v>2711</v>
      </c>
      <c r="C8069" t="s">
        <v>11491</v>
      </c>
      <c r="D8069" t="s">
        <v>19064</v>
      </c>
      <c r="E8069" t="s">
        <v>26121</v>
      </c>
      <c r="F8069" t="s">
        <v>32831</v>
      </c>
      <c r="G8069" t="s">
        <v>32838</v>
      </c>
      <c r="H8069" t="s">
        <v>32848</v>
      </c>
      <c r="I8069" t="s">
        <v>4776</v>
      </c>
      <c r="J8069" t="s">
        <v>34340</v>
      </c>
      <c r="K8069" t="s">
        <v>42745</v>
      </c>
      <c r="M8069" t="s">
        <v>45937</v>
      </c>
      <c r="N8069" t="s">
        <v>47424</v>
      </c>
      <c r="O8069" t="s">
        <v>47425</v>
      </c>
      <c r="P8069">
        <v>0</v>
      </c>
      <c r="Q8069">
        <v>0</v>
      </c>
      <c r="R8069" t="s">
        <v>47432</v>
      </c>
      <c r="S8069" t="s">
        <v>47597</v>
      </c>
      <c r="T8069" t="s">
        <v>49235</v>
      </c>
      <c r="U8069" t="s">
        <v>56390</v>
      </c>
      <c r="W8069" t="s">
        <v>45937</v>
      </c>
      <c r="X8069" t="s">
        <v>47433</v>
      </c>
    </row>
    <row r="8070" spans="1:24">
      <c r="A8070">
        <f>HYPERLINK("https://www.philgeps.gov.ph/GEPSNONPILOT/Tender/SplashBidNoticeAbstractUI.aspx?menuIndex=3&amp;refID=7152801&amp;Result=3","7152801")</f>
        <v>0</v>
      </c>
      <c r="B8070" t="s">
        <v>2712</v>
      </c>
      <c r="C8070" t="s">
        <v>11492</v>
      </c>
      <c r="D8070" t="s">
        <v>19059</v>
      </c>
      <c r="E8070" t="s">
        <v>24075</v>
      </c>
      <c r="F8070" t="s">
        <v>32831</v>
      </c>
      <c r="G8070" t="s">
        <v>32838</v>
      </c>
      <c r="H8070" t="s">
        <v>32848</v>
      </c>
      <c r="I8070" t="s">
        <v>32925</v>
      </c>
      <c r="J8070" t="s">
        <v>35912</v>
      </c>
      <c r="K8070" t="s">
        <v>42727</v>
      </c>
      <c r="M8070" t="s">
        <v>45938</v>
      </c>
      <c r="N8070" t="s">
        <v>47424</v>
      </c>
      <c r="O8070" t="s">
        <v>47425</v>
      </c>
      <c r="P8070">
        <v>0</v>
      </c>
      <c r="Q8070">
        <v>2</v>
      </c>
      <c r="R8070" t="s">
        <v>47432</v>
      </c>
      <c r="S8070" t="s">
        <v>47597</v>
      </c>
      <c r="T8070" t="s">
        <v>49111</v>
      </c>
      <c r="U8070" t="s">
        <v>56391</v>
      </c>
      <c r="W8070" t="s">
        <v>45938</v>
      </c>
      <c r="X8070" t="s">
        <v>47433</v>
      </c>
    </row>
    <row r="8071" spans="1:24">
      <c r="A8071">
        <f>HYPERLINK("https://www.philgeps.gov.ph/GEPSNONPILOT/Tender/SplashBidNoticeAbstractUI.aspx?menuIndex=3&amp;refID=7152851&amp;Result=3","7152851")</f>
        <v>0</v>
      </c>
      <c r="B8071" t="s">
        <v>1193</v>
      </c>
      <c r="C8071" t="s">
        <v>6518</v>
      </c>
      <c r="D8071" t="s">
        <v>19046</v>
      </c>
      <c r="E8071" t="s">
        <v>26122</v>
      </c>
      <c r="F8071" t="s">
        <v>32833</v>
      </c>
      <c r="G8071" t="s">
        <v>32838</v>
      </c>
      <c r="H8071" t="s">
        <v>32848</v>
      </c>
      <c r="I8071" t="s">
        <v>10805</v>
      </c>
      <c r="J8071" t="s">
        <v>38018</v>
      </c>
      <c r="K8071" t="s">
        <v>42726</v>
      </c>
      <c r="M8071" t="s">
        <v>44259</v>
      </c>
      <c r="N8071" t="s">
        <v>47424</v>
      </c>
      <c r="O8071" t="s">
        <v>47425</v>
      </c>
      <c r="P8071">
        <v>0</v>
      </c>
      <c r="Q8071">
        <v>0</v>
      </c>
      <c r="R8071" t="s">
        <v>47432</v>
      </c>
      <c r="S8071" t="s">
        <v>47597</v>
      </c>
      <c r="T8071" t="s">
        <v>49056</v>
      </c>
      <c r="U8071" t="s">
        <v>56392</v>
      </c>
      <c r="V8071" t="s">
        <v>62924</v>
      </c>
      <c r="W8071" t="s">
        <v>44259</v>
      </c>
      <c r="X8071" t="s">
        <v>47433</v>
      </c>
    </row>
    <row r="8072" spans="1:24">
      <c r="A8072">
        <f>HYPERLINK("https://www.philgeps.gov.ph/GEPSNONPILOT/Tender/SplashBidNoticeAbstractUI.aspx?menuIndex=3&amp;refID=7152850&amp;Result=3","7152850")</f>
        <v>0</v>
      </c>
      <c r="B8072" t="s">
        <v>2713</v>
      </c>
      <c r="C8072" t="s">
        <v>11493</v>
      </c>
      <c r="D8072" t="s">
        <v>19017</v>
      </c>
      <c r="E8072" t="s">
        <v>26123</v>
      </c>
      <c r="F8072" t="s">
        <v>32831</v>
      </c>
      <c r="G8072" t="s">
        <v>32838</v>
      </c>
      <c r="H8072" t="s">
        <v>32848</v>
      </c>
      <c r="I8072" t="s">
        <v>32868</v>
      </c>
      <c r="J8072" t="s">
        <v>38019</v>
      </c>
      <c r="K8072" t="s">
        <v>42726</v>
      </c>
      <c r="M8072" t="s">
        <v>45939</v>
      </c>
      <c r="N8072" t="s">
        <v>47424</v>
      </c>
      <c r="O8072" t="s">
        <v>47425</v>
      </c>
      <c r="P8072">
        <v>0</v>
      </c>
      <c r="Q8072">
        <v>12</v>
      </c>
      <c r="R8072" t="s">
        <v>47432</v>
      </c>
      <c r="S8072" t="s">
        <v>47597</v>
      </c>
      <c r="T8072" t="s">
        <v>49229</v>
      </c>
      <c r="U8072" t="s">
        <v>56393</v>
      </c>
      <c r="W8072" t="s">
        <v>45939</v>
      </c>
      <c r="X8072" t="s">
        <v>47433</v>
      </c>
    </row>
    <row r="8073" spans="1:24">
      <c r="A8073">
        <f>HYPERLINK("https://www.philgeps.gov.ph/GEPSNONPILOT/Tender/SplashBidNoticeAbstractUI.aspx?menuIndex=3&amp;refID=7152788&amp;Result=3","7152788")</f>
        <v>0</v>
      </c>
      <c r="B8073" t="s">
        <v>1997</v>
      </c>
      <c r="C8073" t="s">
        <v>11494</v>
      </c>
      <c r="D8073" t="s">
        <v>19061</v>
      </c>
      <c r="E8073" t="s">
        <v>26124</v>
      </c>
      <c r="F8073" t="s">
        <v>32831</v>
      </c>
      <c r="G8073" t="s">
        <v>32838</v>
      </c>
      <c r="H8073" t="s">
        <v>32848</v>
      </c>
      <c r="I8073" t="s">
        <v>4303</v>
      </c>
      <c r="J8073" t="s">
        <v>38020</v>
      </c>
      <c r="K8073" t="s">
        <v>42726</v>
      </c>
      <c r="M8073" t="s">
        <v>45164</v>
      </c>
      <c r="N8073" t="s">
        <v>47424</v>
      </c>
      <c r="O8073" t="s">
        <v>47425</v>
      </c>
      <c r="P8073">
        <v>0</v>
      </c>
      <c r="Q8073">
        <v>0</v>
      </c>
      <c r="R8073" t="s">
        <v>47432</v>
      </c>
      <c r="S8073" t="s">
        <v>47597</v>
      </c>
      <c r="T8073" t="s">
        <v>49141</v>
      </c>
      <c r="U8073" t="s">
        <v>56375</v>
      </c>
      <c r="W8073" t="s">
        <v>45164</v>
      </c>
      <c r="X8073" t="s">
        <v>47433</v>
      </c>
    </row>
    <row r="8074" spans="1:24">
      <c r="A8074">
        <f>HYPERLINK("https://www.philgeps.gov.ph/GEPSNONPILOT/Tender/SplashBidNoticeAbstractUI.aspx?menuIndex=3&amp;refID=7152843&amp;Result=3","7152843")</f>
        <v>0</v>
      </c>
      <c r="B8074" t="s">
        <v>1997</v>
      </c>
      <c r="C8074" t="s">
        <v>11495</v>
      </c>
      <c r="D8074" t="s">
        <v>19061</v>
      </c>
      <c r="E8074" t="s">
        <v>26125</v>
      </c>
      <c r="F8074" t="s">
        <v>32831</v>
      </c>
      <c r="G8074" t="s">
        <v>32838</v>
      </c>
      <c r="H8074" t="s">
        <v>32848</v>
      </c>
      <c r="I8074" t="s">
        <v>32863</v>
      </c>
      <c r="J8074" t="s">
        <v>38021</v>
      </c>
      <c r="K8074" t="s">
        <v>42726</v>
      </c>
      <c r="M8074" t="s">
        <v>45164</v>
      </c>
      <c r="N8074" t="s">
        <v>47424</v>
      </c>
      <c r="O8074" t="s">
        <v>47425</v>
      </c>
      <c r="P8074">
        <v>0</v>
      </c>
      <c r="Q8074">
        <v>0</v>
      </c>
      <c r="R8074" t="s">
        <v>47432</v>
      </c>
      <c r="S8074" t="s">
        <v>47597</v>
      </c>
      <c r="T8074" t="s">
        <v>49141</v>
      </c>
      <c r="U8074" t="s">
        <v>56375</v>
      </c>
      <c r="W8074" t="s">
        <v>45164</v>
      </c>
      <c r="X8074" t="s">
        <v>47433</v>
      </c>
    </row>
    <row r="8075" spans="1:24">
      <c r="A8075">
        <f>HYPERLINK("https://www.philgeps.gov.ph/GEPSNONPILOT/Tender/SplashBidNoticeAbstractUI.aspx?menuIndex=3&amp;refID=7152802&amp;Result=3","7152802")</f>
        <v>0</v>
      </c>
      <c r="B8075" t="s">
        <v>1158</v>
      </c>
      <c r="C8075" t="s">
        <v>11496</v>
      </c>
      <c r="D8075" t="s">
        <v>19021</v>
      </c>
      <c r="E8075" t="s">
        <v>26126</v>
      </c>
      <c r="F8075" t="s">
        <v>32831</v>
      </c>
      <c r="G8075" t="s">
        <v>32839</v>
      </c>
      <c r="H8075" t="s">
        <v>32848</v>
      </c>
      <c r="I8075" t="s">
        <v>32860</v>
      </c>
      <c r="J8075" t="s">
        <v>38022</v>
      </c>
      <c r="K8075" t="s">
        <v>42731</v>
      </c>
      <c r="M8075" t="s">
        <v>44223</v>
      </c>
      <c r="N8075" t="s">
        <v>47424</v>
      </c>
      <c r="O8075" t="s">
        <v>47425</v>
      </c>
      <c r="P8075">
        <v>0</v>
      </c>
      <c r="Q8075">
        <v>2</v>
      </c>
      <c r="R8075" t="s">
        <v>47432</v>
      </c>
      <c r="S8075" t="s">
        <v>47597</v>
      </c>
      <c r="T8075" t="s">
        <v>49166</v>
      </c>
      <c r="U8075" t="s">
        <v>56394</v>
      </c>
      <c r="V8075" t="s">
        <v>63531</v>
      </c>
      <c r="W8075" t="s">
        <v>44223</v>
      </c>
      <c r="X8075" t="s">
        <v>47433</v>
      </c>
    </row>
    <row r="8076" spans="1:24">
      <c r="A8076">
        <f>HYPERLINK("https://www.philgeps.gov.ph/GEPSNONPILOT/Tender/SplashBidNoticeAbstractUI.aspx?menuIndex=3&amp;refID=7152841&amp;Result=3","7152841")</f>
        <v>0</v>
      </c>
      <c r="B8076" t="s">
        <v>2039</v>
      </c>
      <c r="C8076" t="s">
        <v>11497</v>
      </c>
      <c r="D8076" t="s">
        <v>19080</v>
      </c>
      <c r="E8076" t="s">
        <v>26127</v>
      </c>
      <c r="F8076" t="s">
        <v>32831</v>
      </c>
      <c r="G8076" t="s">
        <v>32839</v>
      </c>
      <c r="H8076" t="s">
        <v>32849</v>
      </c>
      <c r="I8076" t="s">
        <v>4177</v>
      </c>
      <c r="J8076" t="s">
        <v>36189</v>
      </c>
      <c r="K8076" t="s">
        <v>42770</v>
      </c>
      <c r="M8076" t="s">
        <v>45208</v>
      </c>
      <c r="N8076" t="s">
        <v>47424</v>
      </c>
      <c r="O8076" t="s">
        <v>47425</v>
      </c>
      <c r="P8076">
        <v>0</v>
      </c>
      <c r="Q8076">
        <v>0</v>
      </c>
      <c r="R8076" t="s">
        <v>47432</v>
      </c>
      <c r="S8076" t="s">
        <v>47597</v>
      </c>
      <c r="T8076" t="s">
        <v>49160</v>
      </c>
      <c r="U8076" t="s">
        <v>56395</v>
      </c>
      <c r="W8076" t="s">
        <v>45208</v>
      </c>
      <c r="X8076" t="s">
        <v>47433</v>
      </c>
    </row>
    <row r="8077" spans="1:24">
      <c r="A8077">
        <f>HYPERLINK("https://www.philgeps.gov.ph/GEPSNONPILOT/Tender/SplashBidNoticeAbstractUI.aspx?menuIndex=3&amp;refID=7152838&amp;Result=3","7152838")</f>
        <v>0</v>
      </c>
      <c r="B8077" t="s">
        <v>2656</v>
      </c>
      <c r="C8077" t="s">
        <v>11498</v>
      </c>
      <c r="D8077" t="s">
        <v>19028</v>
      </c>
      <c r="E8077" t="s">
        <v>26128</v>
      </c>
      <c r="F8077" t="s">
        <v>32831</v>
      </c>
      <c r="G8077" t="s">
        <v>32839</v>
      </c>
      <c r="H8077" t="s">
        <v>32849</v>
      </c>
      <c r="I8077" t="s">
        <v>4177</v>
      </c>
      <c r="J8077" t="s">
        <v>38023</v>
      </c>
      <c r="K8077" t="s">
        <v>42745</v>
      </c>
      <c r="M8077" t="s">
        <v>45919</v>
      </c>
      <c r="N8077" t="s">
        <v>47424</v>
      </c>
      <c r="O8077" t="s">
        <v>47425</v>
      </c>
      <c r="P8077">
        <v>0</v>
      </c>
      <c r="Q8077">
        <v>0</v>
      </c>
      <c r="R8077" t="s">
        <v>47432</v>
      </c>
      <c r="S8077" t="s">
        <v>47597</v>
      </c>
      <c r="T8077" t="s">
        <v>49166</v>
      </c>
      <c r="U8077" t="s">
        <v>56348</v>
      </c>
      <c r="W8077" t="s">
        <v>45919</v>
      </c>
      <c r="X8077" t="s">
        <v>47433</v>
      </c>
    </row>
    <row r="8078" spans="1:24">
      <c r="A8078">
        <f>HYPERLINK("https://www.philgeps.gov.ph/GEPSNONPILOT/Tender/SplashBidNoticeAbstractUI.aspx?menuIndex=3&amp;refID=7152833&amp;Result=3","7152833")</f>
        <v>0</v>
      </c>
      <c r="B8078" t="s">
        <v>2525</v>
      </c>
      <c r="C8078" t="s">
        <v>11499</v>
      </c>
      <c r="D8078" t="s">
        <v>19071</v>
      </c>
      <c r="E8078" t="s">
        <v>26129</v>
      </c>
      <c r="F8078" t="s">
        <v>32831</v>
      </c>
      <c r="G8078" t="s">
        <v>32841</v>
      </c>
      <c r="H8078" t="s">
        <v>32848</v>
      </c>
      <c r="I8078" t="s">
        <v>4776</v>
      </c>
      <c r="J8078" t="s">
        <v>33223</v>
      </c>
      <c r="K8078" t="s">
        <v>42727</v>
      </c>
      <c r="M8078" t="s">
        <v>45733</v>
      </c>
      <c r="N8078" t="s">
        <v>47424</v>
      </c>
      <c r="O8078" t="s">
        <v>47425</v>
      </c>
      <c r="P8078">
        <v>0</v>
      </c>
      <c r="Q8078">
        <v>0</v>
      </c>
      <c r="R8078" t="s">
        <v>47432</v>
      </c>
      <c r="S8078" t="s">
        <v>47597</v>
      </c>
      <c r="T8078" t="s">
        <v>49166</v>
      </c>
      <c r="U8078" t="s">
        <v>55810</v>
      </c>
      <c r="V8078" t="s">
        <v>63439</v>
      </c>
      <c r="W8078" t="s">
        <v>45733</v>
      </c>
      <c r="X8078" t="s">
        <v>47433</v>
      </c>
    </row>
    <row r="8079" spans="1:24">
      <c r="A8079">
        <f>HYPERLINK("https://www.philgeps.gov.ph/GEPSNONPILOT/Tender/SplashBidNoticeAbstractUI.aspx?menuIndex=3&amp;refID=7152830&amp;Result=3","7152830")</f>
        <v>0</v>
      </c>
      <c r="B8079" t="s">
        <v>485</v>
      </c>
      <c r="C8079" t="s">
        <v>11500</v>
      </c>
      <c r="D8079" t="s">
        <v>19032</v>
      </c>
      <c r="E8079" t="s">
        <v>26130</v>
      </c>
      <c r="F8079" t="s">
        <v>32831</v>
      </c>
      <c r="G8079" t="s">
        <v>32839</v>
      </c>
      <c r="H8079" t="s">
        <v>32848</v>
      </c>
      <c r="I8079" t="s">
        <v>32870</v>
      </c>
      <c r="J8079" t="s">
        <v>38024</v>
      </c>
      <c r="K8079" t="s">
        <v>42774</v>
      </c>
      <c r="M8079" t="s">
        <v>43490</v>
      </c>
      <c r="N8079" t="s">
        <v>47424</v>
      </c>
      <c r="O8079" t="s">
        <v>47425</v>
      </c>
      <c r="P8079">
        <v>0</v>
      </c>
      <c r="Q8079">
        <v>0</v>
      </c>
      <c r="R8079" t="s">
        <v>47432</v>
      </c>
      <c r="S8079" t="s">
        <v>47597</v>
      </c>
      <c r="T8079" t="s">
        <v>49500</v>
      </c>
      <c r="U8079" t="s">
        <v>56396</v>
      </c>
      <c r="V8079" t="s">
        <v>63532</v>
      </c>
      <c r="W8079" t="s">
        <v>43490</v>
      </c>
      <c r="X8079" t="s">
        <v>47433</v>
      </c>
    </row>
    <row r="8080" spans="1:24">
      <c r="A8080">
        <f>HYPERLINK("https://www.philgeps.gov.ph/GEPSNONPILOT/Tender/SplashBidNoticeAbstractUI.aspx?menuIndex=3&amp;refID=7152823&amp;Result=3","7152823")</f>
        <v>0</v>
      </c>
      <c r="B8080" t="s">
        <v>1441</v>
      </c>
      <c r="C8080" t="s">
        <v>11501</v>
      </c>
      <c r="D8080" t="s">
        <v>19048</v>
      </c>
      <c r="E8080" t="s">
        <v>26131</v>
      </c>
      <c r="F8080" t="s">
        <v>32831</v>
      </c>
      <c r="G8080" t="s">
        <v>32839</v>
      </c>
      <c r="H8080" t="s">
        <v>32848</v>
      </c>
      <c r="I8080" t="s">
        <v>32909</v>
      </c>
      <c r="J8080" t="s">
        <v>35128</v>
      </c>
      <c r="K8080" t="s">
        <v>42727</v>
      </c>
      <c r="M8080" t="s">
        <v>44533</v>
      </c>
      <c r="N8080" t="s">
        <v>47424</v>
      </c>
      <c r="O8080" t="s">
        <v>47425</v>
      </c>
      <c r="P8080">
        <v>0</v>
      </c>
      <c r="Q8080">
        <v>1</v>
      </c>
      <c r="R8080" t="s">
        <v>47432</v>
      </c>
      <c r="S8080" t="s">
        <v>47597</v>
      </c>
      <c r="T8080" t="s">
        <v>49123</v>
      </c>
      <c r="U8080" t="s">
        <v>56397</v>
      </c>
      <c r="W8080" t="s">
        <v>44533</v>
      </c>
      <c r="X8080" t="s">
        <v>47433</v>
      </c>
    </row>
    <row r="8081" spans="1:24">
      <c r="A8081">
        <f>HYPERLINK("https://www.philgeps.gov.ph/GEPSNONPILOT/Tender/SplashBidNoticeAbstractUI.aspx?menuIndex=3&amp;refID=7152822&amp;Result=3","7152822")</f>
        <v>0</v>
      </c>
      <c r="B8081" t="s">
        <v>1974</v>
      </c>
      <c r="C8081" t="s">
        <v>11502</v>
      </c>
      <c r="D8081" t="s">
        <v>19048</v>
      </c>
      <c r="E8081" t="s">
        <v>19900</v>
      </c>
      <c r="F8081" t="s">
        <v>32831</v>
      </c>
      <c r="G8081" t="s">
        <v>32838</v>
      </c>
      <c r="H8081" t="s">
        <v>32848</v>
      </c>
      <c r="I8081" t="s">
        <v>32867</v>
      </c>
      <c r="J8081" t="s">
        <v>38025</v>
      </c>
      <c r="K8081" t="s">
        <v>42732</v>
      </c>
      <c r="M8081" t="s">
        <v>45135</v>
      </c>
      <c r="N8081" t="s">
        <v>47424</v>
      </c>
      <c r="O8081" t="s">
        <v>47425</v>
      </c>
      <c r="P8081">
        <v>0</v>
      </c>
      <c r="Q8081">
        <v>11</v>
      </c>
      <c r="R8081" t="s">
        <v>47432</v>
      </c>
      <c r="S8081" t="s">
        <v>47597</v>
      </c>
      <c r="T8081" t="s">
        <v>49107</v>
      </c>
      <c r="U8081" t="s">
        <v>56398</v>
      </c>
      <c r="W8081" t="s">
        <v>45135</v>
      </c>
      <c r="X8081" t="s">
        <v>47433</v>
      </c>
    </row>
    <row r="8082" spans="1:24">
      <c r="A8082">
        <f>HYPERLINK("https://www.philgeps.gov.ph/GEPSNONPILOT/Tender/SplashBidNoticeAbstractUI.aspx?menuIndex=3&amp;refID=7152820&amp;Result=3","7152820")</f>
        <v>0</v>
      </c>
      <c r="B8082" t="s">
        <v>2039</v>
      </c>
      <c r="C8082" t="s">
        <v>11503</v>
      </c>
      <c r="D8082" t="s">
        <v>19080</v>
      </c>
      <c r="E8082" t="s">
        <v>26132</v>
      </c>
      <c r="F8082" t="s">
        <v>32831</v>
      </c>
      <c r="G8082" t="s">
        <v>32839</v>
      </c>
      <c r="H8082" t="s">
        <v>32849</v>
      </c>
      <c r="I8082" t="s">
        <v>4177</v>
      </c>
      <c r="J8082" t="s">
        <v>33257</v>
      </c>
      <c r="K8082" t="s">
        <v>42770</v>
      </c>
      <c r="M8082" t="s">
        <v>45208</v>
      </c>
      <c r="N8082" t="s">
        <v>47424</v>
      </c>
      <c r="O8082" t="s">
        <v>47425</v>
      </c>
      <c r="P8082">
        <v>0</v>
      </c>
      <c r="Q8082">
        <v>0</v>
      </c>
      <c r="R8082" t="s">
        <v>47432</v>
      </c>
      <c r="S8082" t="s">
        <v>47597</v>
      </c>
      <c r="T8082" t="s">
        <v>49160</v>
      </c>
      <c r="U8082" t="s">
        <v>56395</v>
      </c>
      <c r="W8082" t="s">
        <v>45208</v>
      </c>
      <c r="X8082" t="s">
        <v>47433</v>
      </c>
    </row>
    <row r="8083" spans="1:24">
      <c r="A8083">
        <f>HYPERLINK("https://www.philgeps.gov.ph/GEPSNONPILOT/Tender/SplashBidNoticeAbstractUI.aspx?menuIndex=3&amp;refID=7152816&amp;Result=3","7152816")</f>
        <v>0</v>
      </c>
      <c r="B8083" t="s">
        <v>2277</v>
      </c>
      <c r="C8083" t="s">
        <v>10094</v>
      </c>
      <c r="D8083" t="s">
        <v>19031</v>
      </c>
      <c r="E8083" t="s">
        <v>26133</v>
      </c>
      <c r="F8083" t="s">
        <v>32831</v>
      </c>
      <c r="G8083" t="s">
        <v>32838</v>
      </c>
      <c r="H8083" t="s">
        <v>32848</v>
      </c>
      <c r="I8083" t="s">
        <v>32857</v>
      </c>
      <c r="J8083" t="s">
        <v>38026</v>
      </c>
      <c r="K8083" t="s">
        <v>42731</v>
      </c>
      <c r="M8083" t="s">
        <v>45538</v>
      </c>
      <c r="N8083" t="s">
        <v>47424</v>
      </c>
      <c r="O8083" t="s">
        <v>47425</v>
      </c>
      <c r="P8083">
        <v>0</v>
      </c>
      <c r="Q8083">
        <v>4</v>
      </c>
      <c r="R8083" t="s">
        <v>47432</v>
      </c>
      <c r="S8083" t="s">
        <v>47597</v>
      </c>
      <c r="T8083" t="s">
        <v>49214</v>
      </c>
      <c r="U8083" t="s">
        <v>56399</v>
      </c>
      <c r="W8083" t="s">
        <v>45538</v>
      </c>
      <c r="X8083" t="s">
        <v>47433</v>
      </c>
    </row>
    <row r="8084" spans="1:24">
      <c r="A8084">
        <f>HYPERLINK("https://www.philgeps.gov.ph/GEPSNONPILOT/Tender/SplashBidNoticeAbstractUI.aspx?menuIndex=3&amp;refID=7152798&amp;Result=3","7152798")</f>
        <v>0</v>
      </c>
      <c r="B8084" t="s">
        <v>2653</v>
      </c>
      <c r="C8084" t="s">
        <v>11504</v>
      </c>
      <c r="D8084" t="s">
        <v>19020</v>
      </c>
      <c r="E8084" t="s">
        <v>26134</v>
      </c>
      <c r="F8084" t="s">
        <v>32831</v>
      </c>
      <c r="G8084" t="s">
        <v>32838</v>
      </c>
      <c r="H8084" t="s">
        <v>32848</v>
      </c>
      <c r="I8084" t="s">
        <v>32854</v>
      </c>
      <c r="J8084" t="s">
        <v>32980</v>
      </c>
      <c r="K8084" t="s">
        <v>42730</v>
      </c>
      <c r="M8084" t="s">
        <v>45876</v>
      </c>
      <c r="N8084" t="s">
        <v>47424</v>
      </c>
      <c r="O8084" t="s">
        <v>47425</v>
      </c>
      <c r="P8084">
        <v>0</v>
      </c>
      <c r="Q8084">
        <v>3</v>
      </c>
      <c r="R8084" t="s">
        <v>47432</v>
      </c>
      <c r="S8084" t="s">
        <v>47597</v>
      </c>
      <c r="T8084" t="s">
        <v>49389</v>
      </c>
      <c r="U8084" t="s">
        <v>56400</v>
      </c>
      <c r="W8084" t="s">
        <v>45876</v>
      </c>
      <c r="X8084" t="s">
        <v>47433</v>
      </c>
    </row>
    <row r="8085" spans="1:24">
      <c r="A8085">
        <f>HYPERLINK("https://www.philgeps.gov.ph/GEPSNONPILOT/Tender/SplashBidNoticeAbstractUI.aspx?menuIndex=3&amp;refID=7152812&amp;Result=3","7152812")</f>
        <v>0</v>
      </c>
      <c r="B8085" t="s">
        <v>2714</v>
      </c>
      <c r="C8085" t="s">
        <v>11505</v>
      </c>
      <c r="D8085" t="s">
        <v>19057</v>
      </c>
      <c r="E8085" t="s">
        <v>24533</v>
      </c>
      <c r="F8085" t="s">
        <v>32831</v>
      </c>
      <c r="G8085" t="s">
        <v>32839</v>
      </c>
      <c r="H8085" t="s">
        <v>32849</v>
      </c>
      <c r="I8085" t="s">
        <v>4177</v>
      </c>
      <c r="J8085" t="s">
        <v>33044</v>
      </c>
      <c r="K8085" t="s">
        <v>42730</v>
      </c>
      <c r="M8085" t="s">
        <v>45940</v>
      </c>
      <c r="N8085" t="s">
        <v>47424</v>
      </c>
      <c r="O8085" t="s">
        <v>47425</v>
      </c>
      <c r="P8085">
        <v>0</v>
      </c>
      <c r="Q8085">
        <v>0</v>
      </c>
      <c r="R8085" t="s">
        <v>47432</v>
      </c>
      <c r="S8085" t="s">
        <v>47597</v>
      </c>
      <c r="T8085" t="s">
        <v>49141</v>
      </c>
      <c r="U8085" t="s">
        <v>56401</v>
      </c>
      <c r="W8085" t="s">
        <v>45940</v>
      </c>
      <c r="X8085" t="s">
        <v>47433</v>
      </c>
    </row>
    <row r="8086" spans="1:24">
      <c r="A8086">
        <f>HYPERLINK("https://www.philgeps.gov.ph/GEPSNONPILOT/Tender/SplashBidNoticeAbstractUI.aspx?menuIndex=3&amp;refID=7152842&amp;Result=3","7152842")</f>
        <v>0</v>
      </c>
      <c r="B8086" t="s">
        <v>2715</v>
      </c>
      <c r="C8086" t="s">
        <v>11506</v>
      </c>
      <c r="D8086" t="s">
        <v>19037</v>
      </c>
      <c r="E8086" t="s">
        <v>26135</v>
      </c>
      <c r="F8086" t="s">
        <v>32831</v>
      </c>
      <c r="G8086" t="s">
        <v>32839</v>
      </c>
      <c r="H8086" t="s">
        <v>32848</v>
      </c>
      <c r="I8086" t="s">
        <v>4177</v>
      </c>
      <c r="J8086" t="s">
        <v>33072</v>
      </c>
      <c r="K8086" t="s">
        <v>42730</v>
      </c>
      <c r="M8086" t="s">
        <v>45941</v>
      </c>
      <c r="N8086" t="s">
        <v>47424</v>
      </c>
      <c r="O8086" t="s">
        <v>47425</v>
      </c>
      <c r="P8086">
        <v>0</v>
      </c>
      <c r="Q8086">
        <v>0</v>
      </c>
      <c r="R8086" t="s">
        <v>47432</v>
      </c>
      <c r="S8086" t="s">
        <v>47597</v>
      </c>
      <c r="T8086" t="s">
        <v>49214</v>
      </c>
      <c r="U8086" t="s">
        <v>54685</v>
      </c>
      <c r="V8086" t="s">
        <v>63533</v>
      </c>
      <c r="W8086" t="s">
        <v>45941</v>
      </c>
      <c r="X8086" t="s">
        <v>47433</v>
      </c>
    </row>
    <row r="8087" spans="1:24">
      <c r="A8087">
        <f>HYPERLINK("https://www.philgeps.gov.ph/GEPSNONPILOT/Tender/SplashBidNoticeAbstractUI.aspx?menuIndex=3&amp;refID=7152840&amp;Result=3","7152840")</f>
        <v>0</v>
      </c>
      <c r="B8087" t="s">
        <v>2712</v>
      </c>
      <c r="C8087" t="s">
        <v>11507</v>
      </c>
      <c r="E8087" t="s">
        <v>25282</v>
      </c>
      <c r="F8087" t="s">
        <v>32831</v>
      </c>
      <c r="G8087" t="s">
        <v>32838</v>
      </c>
      <c r="H8087" t="s">
        <v>32848</v>
      </c>
      <c r="I8087" t="s">
        <v>32870</v>
      </c>
      <c r="J8087" t="s">
        <v>38027</v>
      </c>
      <c r="K8087" t="s">
        <v>42727</v>
      </c>
      <c r="M8087" t="s">
        <v>45938</v>
      </c>
      <c r="N8087" t="s">
        <v>47424</v>
      </c>
      <c r="O8087" t="s">
        <v>47425</v>
      </c>
      <c r="P8087">
        <v>0</v>
      </c>
      <c r="Q8087">
        <v>0</v>
      </c>
      <c r="R8087" t="s">
        <v>47432</v>
      </c>
      <c r="S8087" t="s">
        <v>47597</v>
      </c>
      <c r="T8087" t="s">
        <v>49111</v>
      </c>
      <c r="U8087" t="s">
        <v>56402</v>
      </c>
      <c r="W8087" t="s">
        <v>45938</v>
      </c>
      <c r="X8087" t="s">
        <v>47433</v>
      </c>
    </row>
    <row r="8088" spans="1:24">
      <c r="A8088">
        <f>HYPERLINK("https://www.philgeps.gov.ph/GEPSNONPILOT/Tender/SplashBidNoticeAbstractUI.aspx?menuIndex=3&amp;refID=7152804&amp;Result=3","7152804")</f>
        <v>0</v>
      </c>
      <c r="B8088" t="s">
        <v>718</v>
      </c>
      <c r="C8088" t="s">
        <v>11508</v>
      </c>
      <c r="D8088" t="s">
        <v>19017</v>
      </c>
      <c r="E8088" t="s">
        <v>26136</v>
      </c>
      <c r="F8088" t="s">
        <v>32831</v>
      </c>
      <c r="G8088" t="s">
        <v>32842</v>
      </c>
      <c r="H8088" t="s">
        <v>32848</v>
      </c>
      <c r="I8088" t="s">
        <v>32856</v>
      </c>
      <c r="J8088" t="s">
        <v>33292</v>
      </c>
      <c r="K8088" t="s">
        <v>42727</v>
      </c>
      <c r="M8088" t="s">
        <v>43738</v>
      </c>
      <c r="N8088" t="s">
        <v>47424</v>
      </c>
      <c r="O8088" t="s">
        <v>47425</v>
      </c>
      <c r="P8088">
        <v>0</v>
      </c>
      <c r="Q8088">
        <v>1</v>
      </c>
      <c r="R8088" t="s">
        <v>47432</v>
      </c>
      <c r="S8088" t="s">
        <v>47597</v>
      </c>
      <c r="T8088" t="s">
        <v>49255</v>
      </c>
      <c r="U8088" t="s">
        <v>56403</v>
      </c>
      <c r="V8088" t="s">
        <v>63534</v>
      </c>
      <c r="W8088" t="s">
        <v>43738</v>
      </c>
      <c r="X8088" t="s">
        <v>47433</v>
      </c>
    </row>
    <row r="8089" spans="1:24">
      <c r="A8089">
        <f>HYPERLINK("https://www.philgeps.gov.ph/GEPSNONPILOT/Tender/SplashBidNoticeAbstractUI.aspx?menuIndex=3&amp;refID=7152853&amp;Result=3","7152853")</f>
        <v>0</v>
      </c>
      <c r="B8089" t="s">
        <v>1974</v>
      </c>
      <c r="C8089" t="s">
        <v>11509</v>
      </c>
      <c r="D8089" t="s">
        <v>19048</v>
      </c>
      <c r="E8089" t="s">
        <v>19943</v>
      </c>
      <c r="F8089" t="s">
        <v>32831</v>
      </c>
      <c r="G8089" t="s">
        <v>32838</v>
      </c>
      <c r="H8089" t="s">
        <v>32848</v>
      </c>
      <c r="I8089" t="s">
        <v>32877</v>
      </c>
      <c r="J8089" t="s">
        <v>38028</v>
      </c>
      <c r="K8089" t="s">
        <v>42732</v>
      </c>
      <c r="M8089" t="s">
        <v>45135</v>
      </c>
      <c r="N8089" t="s">
        <v>47424</v>
      </c>
      <c r="O8089" t="s">
        <v>47425</v>
      </c>
      <c r="P8089">
        <v>0</v>
      </c>
      <c r="Q8089">
        <v>3</v>
      </c>
      <c r="R8089" t="s">
        <v>47432</v>
      </c>
      <c r="S8089" t="s">
        <v>47597</v>
      </c>
      <c r="T8089" t="s">
        <v>49107</v>
      </c>
      <c r="U8089" t="s">
        <v>56404</v>
      </c>
      <c r="W8089" t="s">
        <v>45135</v>
      </c>
      <c r="X8089" t="s">
        <v>47433</v>
      </c>
    </row>
    <row r="8090" spans="1:24">
      <c r="A8090">
        <f>HYPERLINK("https://www.philgeps.gov.ph/GEPSNONPILOT/Tender/SplashBidNoticeAbstractUI.aspx?menuIndex=3&amp;refID=7152815&amp;Result=3","7152815")</f>
        <v>0</v>
      </c>
      <c r="B8090" t="s">
        <v>2026</v>
      </c>
      <c r="C8090" t="s">
        <v>11510</v>
      </c>
      <c r="D8090" t="s">
        <v>19019</v>
      </c>
      <c r="E8090" t="s">
        <v>26137</v>
      </c>
      <c r="F8090" t="s">
        <v>32831</v>
      </c>
      <c r="G8090" t="s">
        <v>32839</v>
      </c>
      <c r="H8090" t="s">
        <v>32849</v>
      </c>
      <c r="I8090" t="s">
        <v>4177</v>
      </c>
      <c r="J8090" t="s">
        <v>38029</v>
      </c>
      <c r="K8090" t="s">
        <v>42730</v>
      </c>
      <c r="M8090" t="s">
        <v>45194</v>
      </c>
      <c r="N8090" t="s">
        <v>47424</v>
      </c>
      <c r="O8090" t="s">
        <v>47425</v>
      </c>
      <c r="P8090">
        <v>0</v>
      </c>
      <c r="Q8090">
        <v>0</v>
      </c>
      <c r="R8090" t="s">
        <v>47432</v>
      </c>
      <c r="S8090" t="s">
        <v>47597</v>
      </c>
      <c r="T8090" t="s">
        <v>49160</v>
      </c>
      <c r="U8090" t="s">
        <v>56405</v>
      </c>
      <c r="W8090" t="s">
        <v>45194</v>
      </c>
      <c r="X8090" t="s">
        <v>47433</v>
      </c>
    </row>
    <row r="8091" spans="1:24">
      <c r="A8091">
        <f>HYPERLINK("https://www.philgeps.gov.ph/GEPSNONPILOT/Tender/SplashBidNoticeAbstractUI.aspx?menuIndex=3&amp;refID=7152808&amp;Result=3","7152808")</f>
        <v>0</v>
      </c>
      <c r="B8091" t="s">
        <v>2707</v>
      </c>
      <c r="C8091" t="s">
        <v>11511</v>
      </c>
      <c r="D8091" t="s">
        <v>19058</v>
      </c>
      <c r="E8091" t="s">
        <v>26138</v>
      </c>
      <c r="F8091" t="s">
        <v>32831</v>
      </c>
      <c r="G8091" t="s">
        <v>32839</v>
      </c>
      <c r="H8091" t="s">
        <v>32848</v>
      </c>
      <c r="I8091" t="s">
        <v>7416</v>
      </c>
      <c r="J8091" t="s">
        <v>38030</v>
      </c>
      <c r="K8091" t="s">
        <v>42730</v>
      </c>
      <c r="M8091" t="s">
        <v>45933</v>
      </c>
      <c r="N8091" t="s">
        <v>47424</v>
      </c>
      <c r="O8091" t="s">
        <v>47425</v>
      </c>
      <c r="P8091">
        <v>0</v>
      </c>
      <c r="Q8091">
        <v>0</v>
      </c>
      <c r="R8091" t="s">
        <v>47432</v>
      </c>
      <c r="S8091" t="s">
        <v>47597</v>
      </c>
      <c r="T8091" t="s">
        <v>49123</v>
      </c>
      <c r="U8091" t="s">
        <v>56406</v>
      </c>
      <c r="V8091" t="s">
        <v>63535</v>
      </c>
      <c r="W8091" t="s">
        <v>45933</v>
      </c>
      <c r="X8091" t="s">
        <v>47433</v>
      </c>
    </row>
    <row r="8092" spans="1:24">
      <c r="A8092">
        <f>HYPERLINK("https://www.philgeps.gov.ph/GEPSNONPILOT/Tender/SplashBidNoticeAbstractUI.aspx?menuIndex=3&amp;refID=7152908&amp;Result=3","7152908")</f>
        <v>0</v>
      </c>
      <c r="B8092" t="s">
        <v>323</v>
      </c>
      <c r="C8092" t="s">
        <v>5029</v>
      </c>
      <c r="D8092" t="s">
        <v>19081</v>
      </c>
      <c r="E8092" t="s">
        <v>26139</v>
      </c>
      <c r="F8092" t="s">
        <v>32831</v>
      </c>
      <c r="G8092" t="s">
        <v>32838</v>
      </c>
      <c r="H8092" t="s">
        <v>32848</v>
      </c>
      <c r="I8092" t="s">
        <v>9577</v>
      </c>
      <c r="J8092" t="s">
        <v>38031</v>
      </c>
      <c r="K8092" t="s">
        <v>42726</v>
      </c>
      <c r="M8092" t="s">
        <v>43326</v>
      </c>
      <c r="N8092" t="s">
        <v>47424</v>
      </c>
      <c r="O8092" t="s">
        <v>47425</v>
      </c>
      <c r="P8092">
        <v>0</v>
      </c>
      <c r="Q8092">
        <v>2</v>
      </c>
      <c r="R8092" t="s">
        <v>47432</v>
      </c>
      <c r="S8092" t="s">
        <v>47597</v>
      </c>
      <c r="T8092" t="s">
        <v>49111</v>
      </c>
      <c r="U8092" t="s">
        <v>56407</v>
      </c>
      <c r="W8092" t="s">
        <v>43326</v>
      </c>
      <c r="X8092" t="s">
        <v>47433</v>
      </c>
    </row>
    <row r="8093" spans="1:24">
      <c r="A8093">
        <f>HYPERLINK("https://www.philgeps.gov.ph/GEPSNONPILOT/Tender/SplashBidNoticeAbstractUI.aspx?menuIndex=3&amp;refID=7152905&amp;Result=3","7152905")</f>
        <v>0</v>
      </c>
      <c r="B8093" t="s">
        <v>1950</v>
      </c>
      <c r="C8093" t="s">
        <v>11512</v>
      </c>
      <c r="D8093" t="s">
        <v>19074</v>
      </c>
      <c r="E8093" t="s">
        <v>26140</v>
      </c>
      <c r="F8093" t="s">
        <v>32831</v>
      </c>
      <c r="G8093" t="s">
        <v>32838</v>
      </c>
      <c r="H8093" t="s">
        <v>32848</v>
      </c>
      <c r="I8093" t="s">
        <v>4776</v>
      </c>
      <c r="J8093" t="s">
        <v>37906</v>
      </c>
      <c r="K8093" t="s">
        <v>42745</v>
      </c>
      <c r="M8093" t="s">
        <v>45107</v>
      </c>
      <c r="N8093" t="s">
        <v>47424</v>
      </c>
      <c r="O8093" t="s">
        <v>47425</v>
      </c>
      <c r="P8093">
        <v>0</v>
      </c>
      <c r="Q8093">
        <v>1</v>
      </c>
      <c r="R8093" t="s">
        <v>47432</v>
      </c>
      <c r="S8093" t="s">
        <v>47597</v>
      </c>
      <c r="T8093" t="s">
        <v>49235</v>
      </c>
      <c r="U8093" t="s">
        <v>54028</v>
      </c>
      <c r="W8093" t="s">
        <v>45107</v>
      </c>
      <c r="X8093" t="s">
        <v>47433</v>
      </c>
    </row>
    <row r="8094" spans="1:24">
      <c r="A8094">
        <f>HYPERLINK("https://www.philgeps.gov.ph/GEPSNONPILOT/Tender/SplashBidNoticeAbstractUI.aspx?menuIndex=3&amp;refID=7152904&amp;Result=3","7152904")</f>
        <v>0</v>
      </c>
      <c r="B8094" t="s">
        <v>2716</v>
      </c>
      <c r="C8094" t="s">
        <v>11513</v>
      </c>
      <c r="D8094" t="s">
        <v>19037</v>
      </c>
      <c r="E8094" t="s">
        <v>26141</v>
      </c>
      <c r="F8094" t="s">
        <v>32831</v>
      </c>
      <c r="G8094" t="s">
        <v>32839</v>
      </c>
      <c r="H8094" t="s">
        <v>32848</v>
      </c>
      <c r="I8094" t="s">
        <v>7416</v>
      </c>
      <c r="J8094" t="s">
        <v>38032</v>
      </c>
      <c r="K8094" t="s">
        <v>42748</v>
      </c>
      <c r="M8094" t="s">
        <v>45942</v>
      </c>
      <c r="N8094" t="s">
        <v>47424</v>
      </c>
      <c r="O8094" t="s">
        <v>47425</v>
      </c>
      <c r="P8094">
        <v>0</v>
      </c>
      <c r="Q8094">
        <v>0</v>
      </c>
      <c r="R8094" t="s">
        <v>47432</v>
      </c>
      <c r="S8094" t="s">
        <v>47597</v>
      </c>
      <c r="T8094" t="s">
        <v>49196</v>
      </c>
      <c r="U8094" t="s">
        <v>56408</v>
      </c>
      <c r="W8094" t="s">
        <v>45942</v>
      </c>
      <c r="X8094" t="s">
        <v>47433</v>
      </c>
    </row>
    <row r="8095" spans="1:24">
      <c r="A8095">
        <f>HYPERLINK("https://www.philgeps.gov.ph/GEPSNONPILOT/Tender/SplashBidNoticeAbstractUI.aspx?menuIndex=3&amp;refID=7152899&amp;Result=3","7152899")</f>
        <v>0</v>
      </c>
      <c r="B8095" t="s">
        <v>2656</v>
      </c>
      <c r="C8095" t="s">
        <v>11514</v>
      </c>
      <c r="D8095" t="s">
        <v>19028</v>
      </c>
      <c r="E8095" t="s">
        <v>26142</v>
      </c>
      <c r="F8095" t="s">
        <v>32831</v>
      </c>
      <c r="G8095" t="s">
        <v>32839</v>
      </c>
      <c r="H8095" t="s">
        <v>32849</v>
      </c>
      <c r="I8095" t="s">
        <v>4177</v>
      </c>
      <c r="J8095" t="s">
        <v>38033</v>
      </c>
      <c r="K8095" t="s">
        <v>42745</v>
      </c>
      <c r="M8095" t="s">
        <v>45919</v>
      </c>
      <c r="N8095" t="s">
        <v>47424</v>
      </c>
      <c r="O8095" t="s">
        <v>47425</v>
      </c>
      <c r="P8095">
        <v>0</v>
      </c>
      <c r="Q8095">
        <v>0</v>
      </c>
      <c r="R8095" t="s">
        <v>47432</v>
      </c>
      <c r="S8095" t="s">
        <v>47597</v>
      </c>
      <c r="T8095" t="s">
        <v>49166</v>
      </c>
      <c r="U8095" t="s">
        <v>56348</v>
      </c>
      <c r="W8095" t="s">
        <v>45919</v>
      </c>
      <c r="X8095" t="s">
        <v>47433</v>
      </c>
    </row>
    <row r="8096" spans="1:24">
      <c r="A8096">
        <f>HYPERLINK("https://www.philgeps.gov.ph/GEPSNONPILOT/Tender/SplashBidNoticeAbstractUI.aspx?menuIndex=3&amp;refID=7152888&amp;Result=3","7152888")</f>
        <v>0</v>
      </c>
      <c r="B8096" t="s">
        <v>2717</v>
      </c>
      <c r="C8096" t="s">
        <v>11515</v>
      </c>
      <c r="D8096" t="s">
        <v>19093</v>
      </c>
      <c r="E8096" t="s">
        <v>19987</v>
      </c>
      <c r="F8096" t="s">
        <v>32831</v>
      </c>
      <c r="G8096" t="s">
        <v>32839</v>
      </c>
      <c r="H8096" t="s">
        <v>32848</v>
      </c>
      <c r="I8096" t="s">
        <v>8577</v>
      </c>
      <c r="J8096" t="s">
        <v>32985</v>
      </c>
      <c r="K8096" t="s">
        <v>42727</v>
      </c>
      <c r="M8096" t="s">
        <v>45943</v>
      </c>
      <c r="N8096" t="s">
        <v>47424</v>
      </c>
      <c r="O8096" t="s">
        <v>47425</v>
      </c>
      <c r="P8096">
        <v>0</v>
      </c>
      <c r="Q8096">
        <v>4</v>
      </c>
      <c r="R8096" t="s">
        <v>47432</v>
      </c>
      <c r="S8096" t="s">
        <v>47597</v>
      </c>
      <c r="T8096" t="s">
        <v>49221</v>
      </c>
      <c r="U8096" t="s">
        <v>56409</v>
      </c>
      <c r="W8096" t="s">
        <v>45943</v>
      </c>
      <c r="X8096" t="s">
        <v>47433</v>
      </c>
    </row>
    <row r="8097" spans="1:24">
      <c r="A8097">
        <f>HYPERLINK("https://www.philgeps.gov.ph/GEPSNONPILOT/Tender/SplashBidNoticeAbstractUI.aspx?menuIndex=3&amp;refID=7152887&amp;Result=3","7152887")</f>
        <v>0</v>
      </c>
      <c r="B8097" t="s">
        <v>2718</v>
      </c>
      <c r="C8097" t="s">
        <v>11516</v>
      </c>
      <c r="D8097" t="s">
        <v>19037</v>
      </c>
      <c r="E8097" t="s">
        <v>26143</v>
      </c>
      <c r="F8097" t="s">
        <v>32831</v>
      </c>
      <c r="G8097" t="s">
        <v>32839</v>
      </c>
      <c r="H8097" t="s">
        <v>32848</v>
      </c>
      <c r="I8097" t="s">
        <v>8577</v>
      </c>
      <c r="J8097" t="s">
        <v>38034</v>
      </c>
      <c r="K8097" t="s">
        <v>42730</v>
      </c>
      <c r="M8097" t="s">
        <v>45944</v>
      </c>
      <c r="N8097" t="s">
        <v>47424</v>
      </c>
      <c r="O8097" t="s">
        <v>47425</v>
      </c>
      <c r="P8097">
        <v>0</v>
      </c>
      <c r="Q8097">
        <v>0</v>
      </c>
      <c r="R8097" t="s">
        <v>47432</v>
      </c>
      <c r="S8097" t="s">
        <v>47597</v>
      </c>
      <c r="T8097" t="s">
        <v>49056</v>
      </c>
      <c r="U8097" t="s">
        <v>56410</v>
      </c>
      <c r="V8097" t="s">
        <v>63536</v>
      </c>
      <c r="W8097" t="s">
        <v>45944</v>
      </c>
      <c r="X8097" t="s">
        <v>47433</v>
      </c>
    </row>
    <row r="8098" spans="1:24">
      <c r="A8098">
        <f>HYPERLINK("https://www.philgeps.gov.ph/GEPSNONPILOT/Tender/SplashBidNoticeAbstractUI.aspx?menuIndex=3&amp;refID=7152910&amp;Result=3","7152910")</f>
        <v>0</v>
      </c>
      <c r="B8098" t="s">
        <v>2632</v>
      </c>
      <c r="C8098" t="s">
        <v>11517</v>
      </c>
      <c r="D8098" t="s">
        <v>19099</v>
      </c>
      <c r="E8098" t="s">
        <v>26144</v>
      </c>
      <c r="F8098" t="s">
        <v>32831</v>
      </c>
      <c r="G8098" t="s">
        <v>32839</v>
      </c>
      <c r="H8098" t="s">
        <v>32850</v>
      </c>
      <c r="I8098" t="s">
        <v>11727</v>
      </c>
      <c r="J8098" t="s">
        <v>38035</v>
      </c>
      <c r="K8098" t="s">
        <v>42727</v>
      </c>
      <c r="M8098" t="s">
        <v>45852</v>
      </c>
      <c r="N8098" t="s">
        <v>47424</v>
      </c>
      <c r="O8098" t="s">
        <v>47425</v>
      </c>
      <c r="P8098">
        <v>0</v>
      </c>
      <c r="Q8098">
        <v>0</v>
      </c>
      <c r="R8098" t="s">
        <v>47432</v>
      </c>
      <c r="S8098" t="s">
        <v>47597</v>
      </c>
      <c r="T8098" t="s">
        <v>49359</v>
      </c>
      <c r="U8098" t="s">
        <v>56388</v>
      </c>
      <c r="W8098" t="s">
        <v>45852</v>
      </c>
      <c r="X8098" t="s">
        <v>47433</v>
      </c>
    </row>
    <row r="8099" spans="1:24">
      <c r="A8099">
        <f>HYPERLINK("https://www.philgeps.gov.ph/GEPSNONPILOT/Tender/SplashBidNoticeAbstractUI.aspx?menuIndex=3&amp;refID=7152880&amp;Result=3","7152880")</f>
        <v>0</v>
      </c>
      <c r="B8099" t="s">
        <v>1997</v>
      </c>
      <c r="C8099" t="s">
        <v>11518</v>
      </c>
      <c r="D8099" t="s">
        <v>19061</v>
      </c>
      <c r="E8099" t="s">
        <v>26145</v>
      </c>
      <c r="F8099" t="s">
        <v>32831</v>
      </c>
      <c r="G8099" t="s">
        <v>32838</v>
      </c>
      <c r="H8099" t="s">
        <v>32848</v>
      </c>
      <c r="I8099" t="s">
        <v>32864</v>
      </c>
      <c r="J8099" t="s">
        <v>38036</v>
      </c>
      <c r="K8099" t="s">
        <v>42726</v>
      </c>
      <c r="M8099" t="s">
        <v>45164</v>
      </c>
      <c r="N8099" t="s">
        <v>47424</v>
      </c>
      <c r="O8099" t="s">
        <v>47425</v>
      </c>
      <c r="P8099">
        <v>0</v>
      </c>
      <c r="Q8099">
        <v>1</v>
      </c>
      <c r="R8099" t="s">
        <v>47432</v>
      </c>
      <c r="S8099" t="s">
        <v>47597</v>
      </c>
      <c r="T8099" t="s">
        <v>49141</v>
      </c>
      <c r="U8099" t="s">
        <v>56375</v>
      </c>
      <c r="W8099" t="s">
        <v>45164</v>
      </c>
      <c r="X8099" t="s">
        <v>47433</v>
      </c>
    </row>
    <row r="8100" spans="1:24">
      <c r="A8100">
        <f>HYPERLINK("https://www.philgeps.gov.ph/GEPSNONPILOT/Tender/SplashBidNoticeAbstractUI.aspx?menuIndex=3&amp;refID=7152874&amp;Result=3","7152874")</f>
        <v>0</v>
      </c>
      <c r="B8100" t="s">
        <v>2719</v>
      </c>
      <c r="C8100" t="s">
        <v>11519</v>
      </c>
      <c r="D8100" t="s">
        <v>19103</v>
      </c>
      <c r="E8100" t="s">
        <v>26146</v>
      </c>
      <c r="F8100" t="s">
        <v>32831</v>
      </c>
      <c r="G8100" t="s">
        <v>32839</v>
      </c>
      <c r="H8100" t="s">
        <v>32848</v>
      </c>
      <c r="I8100" t="s">
        <v>32883</v>
      </c>
      <c r="J8100" t="s">
        <v>33437</v>
      </c>
      <c r="K8100" t="s">
        <v>42726</v>
      </c>
      <c r="M8100" t="s">
        <v>45945</v>
      </c>
      <c r="N8100" t="s">
        <v>47424</v>
      </c>
      <c r="O8100" t="s">
        <v>47425</v>
      </c>
      <c r="P8100">
        <v>0</v>
      </c>
      <c r="Q8100">
        <v>1</v>
      </c>
      <c r="R8100" t="s">
        <v>47432</v>
      </c>
      <c r="S8100" t="s">
        <v>47597</v>
      </c>
      <c r="T8100" t="s">
        <v>49265</v>
      </c>
      <c r="U8100" t="s">
        <v>56411</v>
      </c>
      <c r="W8100" t="s">
        <v>45945</v>
      </c>
      <c r="X8100" t="s">
        <v>47433</v>
      </c>
    </row>
    <row r="8101" spans="1:24">
      <c r="A8101">
        <f>HYPERLINK("https://www.philgeps.gov.ph/GEPSNONPILOT/Tender/SplashBidNoticeAbstractUI.aspx?menuIndex=3&amp;refID=7152884&amp;Result=3","7152884")</f>
        <v>0</v>
      </c>
      <c r="B8101" t="s">
        <v>1541</v>
      </c>
      <c r="C8101" t="s">
        <v>11520</v>
      </c>
      <c r="D8101" t="s">
        <v>19019</v>
      </c>
      <c r="E8101" t="s">
        <v>26147</v>
      </c>
      <c r="F8101" t="s">
        <v>32831</v>
      </c>
      <c r="G8101" t="s">
        <v>32839</v>
      </c>
      <c r="H8101" t="s">
        <v>32848</v>
      </c>
      <c r="I8101" t="s">
        <v>32858</v>
      </c>
      <c r="J8101" t="s">
        <v>38037</v>
      </c>
      <c r="K8101" t="s">
        <v>42727</v>
      </c>
      <c r="M8101" t="s">
        <v>44645</v>
      </c>
      <c r="N8101" t="s">
        <v>47424</v>
      </c>
      <c r="O8101" t="s">
        <v>47425</v>
      </c>
      <c r="P8101">
        <v>0</v>
      </c>
      <c r="Q8101">
        <v>7</v>
      </c>
      <c r="R8101" t="s">
        <v>47432</v>
      </c>
      <c r="S8101" t="s">
        <v>47597</v>
      </c>
      <c r="T8101" t="s">
        <v>49192</v>
      </c>
      <c r="U8101" t="s">
        <v>56412</v>
      </c>
      <c r="V8101" t="s">
        <v>63537</v>
      </c>
      <c r="W8101" t="s">
        <v>44645</v>
      </c>
      <c r="X8101" t="s">
        <v>47433</v>
      </c>
    </row>
    <row r="8102" spans="1:24">
      <c r="A8102">
        <f>HYPERLINK("https://www.philgeps.gov.ph/GEPSNONPILOT/Tender/SplashBidNoticeAbstractUI.aspx?menuIndex=3&amp;refID=7152872&amp;Result=3","7152872")</f>
        <v>0</v>
      </c>
      <c r="B8102" t="s">
        <v>1974</v>
      </c>
      <c r="C8102" t="s">
        <v>11521</v>
      </c>
      <c r="D8102" t="s">
        <v>19048</v>
      </c>
      <c r="E8102" t="s">
        <v>26148</v>
      </c>
      <c r="F8102" t="s">
        <v>32831</v>
      </c>
      <c r="G8102" t="s">
        <v>32838</v>
      </c>
      <c r="H8102" t="s">
        <v>32848</v>
      </c>
      <c r="I8102" t="s">
        <v>32963</v>
      </c>
      <c r="J8102" t="s">
        <v>37917</v>
      </c>
      <c r="K8102" t="s">
        <v>42732</v>
      </c>
      <c r="M8102" t="s">
        <v>45135</v>
      </c>
      <c r="N8102" t="s">
        <v>47424</v>
      </c>
      <c r="O8102" t="s">
        <v>47425</v>
      </c>
      <c r="P8102">
        <v>0</v>
      </c>
      <c r="Q8102">
        <v>1</v>
      </c>
      <c r="R8102" t="s">
        <v>47432</v>
      </c>
      <c r="S8102" t="s">
        <v>47597</v>
      </c>
      <c r="T8102" t="s">
        <v>49107</v>
      </c>
      <c r="U8102" t="s">
        <v>56413</v>
      </c>
      <c r="W8102" t="s">
        <v>45135</v>
      </c>
      <c r="X8102" t="s">
        <v>47433</v>
      </c>
    </row>
    <row r="8103" spans="1:24">
      <c r="A8103">
        <f>HYPERLINK("https://www.philgeps.gov.ph/GEPSNONPILOT/Tender/SplashBidNoticeAbstractUI.aspx?menuIndex=3&amp;refID=7152873&amp;Result=3","7152873")</f>
        <v>0</v>
      </c>
      <c r="B8103" t="s">
        <v>2720</v>
      </c>
      <c r="C8103" t="s">
        <v>11522</v>
      </c>
      <c r="D8103" t="s">
        <v>19078</v>
      </c>
      <c r="E8103" t="s">
        <v>23938</v>
      </c>
      <c r="F8103" t="s">
        <v>32831</v>
      </c>
      <c r="G8103" t="s">
        <v>32839</v>
      </c>
      <c r="H8103" t="s">
        <v>32849</v>
      </c>
      <c r="I8103" t="s">
        <v>4177</v>
      </c>
      <c r="J8103" t="s">
        <v>32983</v>
      </c>
      <c r="K8103" t="s">
        <v>42750</v>
      </c>
      <c r="L8103" t="s">
        <v>2720</v>
      </c>
      <c r="M8103" t="s">
        <v>45946</v>
      </c>
      <c r="N8103" t="s">
        <v>47424</v>
      </c>
      <c r="O8103" t="s">
        <v>47425</v>
      </c>
      <c r="P8103">
        <v>0</v>
      </c>
      <c r="Q8103">
        <v>0</v>
      </c>
      <c r="R8103" t="s">
        <v>47432</v>
      </c>
      <c r="S8103" t="s">
        <v>47597</v>
      </c>
      <c r="T8103" t="s">
        <v>49283</v>
      </c>
      <c r="U8103" t="s">
        <v>56414</v>
      </c>
      <c r="W8103" t="s">
        <v>45946</v>
      </c>
      <c r="X8103" t="s">
        <v>47433</v>
      </c>
    </row>
    <row r="8104" spans="1:24">
      <c r="A8104">
        <f>HYPERLINK("https://www.philgeps.gov.ph/GEPSNONPILOT/Tender/SplashBidNoticeAbstractUI.aspx?menuIndex=3&amp;refID=7152869&amp;Result=3","7152869")</f>
        <v>0</v>
      </c>
      <c r="B8104" t="s">
        <v>2631</v>
      </c>
      <c r="C8104" t="s">
        <v>11523</v>
      </c>
      <c r="D8104" t="s">
        <v>19063</v>
      </c>
      <c r="E8104" t="s">
        <v>26149</v>
      </c>
      <c r="F8104" t="s">
        <v>32831</v>
      </c>
      <c r="G8104" t="s">
        <v>32839</v>
      </c>
      <c r="H8104" t="s">
        <v>32848</v>
      </c>
      <c r="I8104" t="s">
        <v>32867</v>
      </c>
      <c r="J8104" t="s">
        <v>33007</v>
      </c>
      <c r="K8104" t="s">
        <v>42747</v>
      </c>
      <c r="M8104" t="s">
        <v>45851</v>
      </c>
      <c r="N8104" t="s">
        <v>47424</v>
      </c>
      <c r="O8104" t="s">
        <v>47425</v>
      </c>
      <c r="P8104">
        <v>0</v>
      </c>
      <c r="Q8104">
        <v>1</v>
      </c>
      <c r="R8104" t="s">
        <v>47432</v>
      </c>
      <c r="S8104" t="s">
        <v>47597</v>
      </c>
      <c r="T8104" t="s">
        <v>49162</v>
      </c>
      <c r="U8104" t="s">
        <v>56415</v>
      </c>
      <c r="W8104" t="s">
        <v>45851</v>
      </c>
      <c r="X8104" t="s">
        <v>47433</v>
      </c>
    </row>
    <row r="8105" spans="1:24">
      <c r="A8105">
        <f>HYPERLINK("https://www.philgeps.gov.ph/GEPSNONPILOT/Tender/SplashBidNoticeAbstractUI.aspx?menuIndex=3&amp;refID=7152909&amp;Result=3","7152909")</f>
        <v>0</v>
      </c>
      <c r="B8105" t="s">
        <v>1997</v>
      </c>
      <c r="C8105" t="s">
        <v>11524</v>
      </c>
      <c r="D8105" t="s">
        <v>19061</v>
      </c>
      <c r="E8105" t="s">
        <v>26150</v>
      </c>
      <c r="F8105" t="s">
        <v>32831</v>
      </c>
      <c r="G8105" t="s">
        <v>32838</v>
      </c>
      <c r="H8105" t="s">
        <v>32848</v>
      </c>
      <c r="I8105" t="s">
        <v>32870</v>
      </c>
      <c r="J8105" t="s">
        <v>38038</v>
      </c>
      <c r="K8105" t="s">
        <v>42726</v>
      </c>
      <c r="M8105" t="s">
        <v>45164</v>
      </c>
      <c r="N8105" t="s">
        <v>47424</v>
      </c>
      <c r="O8105" t="s">
        <v>47425</v>
      </c>
      <c r="P8105">
        <v>0</v>
      </c>
      <c r="Q8105">
        <v>0</v>
      </c>
      <c r="R8105" t="s">
        <v>47432</v>
      </c>
      <c r="S8105" t="s">
        <v>47597</v>
      </c>
      <c r="T8105" t="s">
        <v>49141</v>
      </c>
      <c r="U8105" t="s">
        <v>56416</v>
      </c>
      <c r="W8105" t="s">
        <v>45164</v>
      </c>
      <c r="X8105" t="s">
        <v>47433</v>
      </c>
    </row>
    <row r="8106" spans="1:24">
      <c r="A8106">
        <f>HYPERLINK("https://www.philgeps.gov.ph/GEPSNONPILOT/Tender/SplashBidNoticeAbstractUI.aspx?menuIndex=3&amp;refID=7152831&amp;Result=3","7152831")</f>
        <v>0</v>
      </c>
      <c r="B8106" t="s">
        <v>2721</v>
      </c>
      <c r="C8106" t="s">
        <v>11525</v>
      </c>
      <c r="D8106" t="s">
        <v>19045</v>
      </c>
      <c r="E8106" t="s">
        <v>26151</v>
      </c>
      <c r="F8106" t="s">
        <v>32831</v>
      </c>
      <c r="G8106" t="s">
        <v>32839</v>
      </c>
      <c r="H8106" t="s">
        <v>32849</v>
      </c>
      <c r="I8106" t="s">
        <v>4177</v>
      </c>
      <c r="J8106" t="s">
        <v>33118</v>
      </c>
      <c r="K8106" t="s">
        <v>42729</v>
      </c>
      <c r="M8106" t="s">
        <v>45947</v>
      </c>
      <c r="N8106" t="s">
        <v>47424</v>
      </c>
      <c r="O8106" t="s">
        <v>47425</v>
      </c>
      <c r="P8106">
        <v>0</v>
      </c>
      <c r="Q8106">
        <v>4</v>
      </c>
      <c r="R8106" t="s">
        <v>47432</v>
      </c>
      <c r="S8106" t="s">
        <v>47597</v>
      </c>
      <c r="T8106" t="s">
        <v>49193</v>
      </c>
      <c r="U8106" t="s">
        <v>56417</v>
      </c>
      <c r="W8106" t="s">
        <v>45947</v>
      </c>
      <c r="X8106" t="s">
        <v>47433</v>
      </c>
    </row>
    <row r="8107" spans="1:24">
      <c r="A8107">
        <f>HYPERLINK("https://www.philgeps.gov.ph/GEPSNONPILOT/Tender/SplashBidNoticeAbstractUI.aspx?menuIndex=3&amp;refID=7152871&amp;Result=3","7152871")</f>
        <v>0</v>
      </c>
      <c r="B8107" t="s">
        <v>2039</v>
      </c>
      <c r="C8107" t="s">
        <v>11526</v>
      </c>
      <c r="D8107" t="s">
        <v>19080</v>
      </c>
      <c r="E8107" t="s">
        <v>26152</v>
      </c>
      <c r="F8107" t="s">
        <v>32831</v>
      </c>
      <c r="G8107" t="s">
        <v>32839</v>
      </c>
      <c r="H8107" t="s">
        <v>32849</v>
      </c>
      <c r="I8107" t="s">
        <v>4177</v>
      </c>
      <c r="J8107" t="s">
        <v>33118</v>
      </c>
      <c r="K8107" t="s">
        <v>42770</v>
      </c>
      <c r="M8107" t="s">
        <v>45208</v>
      </c>
      <c r="N8107" t="s">
        <v>47424</v>
      </c>
      <c r="O8107" t="s">
        <v>47425</v>
      </c>
      <c r="P8107">
        <v>0</v>
      </c>
      <c r="Q8107">
        <v>0</v>
      </c>
      <c r="R8107" t="s">
        <v>47432</v>
      </c>
      <c r="S8107" t="s">
        <v>47597</v>
      </c>
      <c r="T8107" t="s">
        <v>49160</v>
      </c>
      <c r="U8107" t="s">
        <v>56395</v>
      </c>
      <c r="W8107" t="s">
        <v>45208</v>
      </c>
      <c r="X8107" t="s">
        <v>47433</v>
      </c>
    </row>
    <row r="8108" spans="1:24">
      <c r="A8108">
        <f>HYPERLINK("https://www.philgeps.gov.ph/GEPSNONPILOT/Tender/SplashBidNoticeAbstractUI.aspx?menuIndex=3&amp;refID=7152947&amp;Result=3","7152947")</f>
        <v>0</v>
      </c>
      <c r="B8108" t="s">
        <v>525</v>
      </c>
      <c r="C8108" t="s">
        <v>11527</v>
      </c>
      <c r="D8108" t="s">
        <v>19029</v>
      </c>
      <c r="E8108" t="s">
        <v>26153</v>
      </c>
      <c r="F8108" t="s">
        <v>32831</v>
      </c>
      <c r="G8108" t="s">
        <v>32839</v>
      </c>
      <c r="H8108" t="s">
        <v>32848</v>
      </c>
      <c r="I8108" t="s">
        <v>32871</v>
      </c>
      <c r="J8108" t="s">
        <v>33707</v>
      </c>
      <c r="K8108" t="s">
        <v>42727</v>
      </c>
      <c r="M8108" t="s">
        <v>43531</v>
      </c>
      <c r="N8108" t="s">
        <v>47424</v>
      </c>
      <c r="O8108" t="s">
        <v>47425</v>
      </c>
      <c r="P8108">
        <v>0</v>
      </c>
      <c r="Q8108">
        <v>25</v>
      </c>
      <c r="R8108" t="s">
        <v>47432</v>
      </c>
      <c r="S8108" t="s">
        <v>47597</v>
      </c>
      <c r="T8108" t="s">
        <v>49160</v>
      </c>
      <c r="U8108" t="s">
        <v>56418</v>
      </c>
      <c r="W8108" t="s">
        <v>43531</v>
      </c>
      <c r="X8108" t="s">
        <v>47433</v>
      </c>
    </row>
    <row r="8109" spans="1:24">
      <c r="A8109">
        <f>HYPERLINK("https://www.philgeps.gov.ph/GEPSNONPILOT/Tender/SplashBidNoticeAbstractUI.aspx?menuIndex=3&amp;refID=7152954&amp;Result=3","7152954")</f>
        <v>0</v>
      </c>
      <c r="B8109" t="s">
        <v>2717</v>
      </c>
      <c r="C8109" t="s">
        <v>11528</v>
      </c>
      <c r="D8109" t="s">
        <v>19093</v>
      </c>
      <c r="E8109" t="s">
        <v>20862</v>
      </c>
      <c r="F8109" t="s">
        <v>32831</v>
      </c>
      <c r="G8109" t="s">
        <v>32839</v>
      </c>
      <c r="H8109" t="s">
        <v>32849</v>
      </c>
      <c r="I8109" t="s">
        <v>32852</v>
      </c>
      <c r="J8109" t="s">
        <v>38039</v>
      </c>
      <c r="K8109" t="s">
        <v>42730</v>
      </c>
      <c r="M8109" t="s">
        <v>45943</v>
      </c>
      <c r="N8109" t="s">
        <v>47424</v>
      </c>
      <c r="O8109" t="s">
        <v>47425</v>
      </c>
      <c r="P8109">
        <v>0</v>
      </c>
      <c r="Q8109">
        <v>0</v>
      </c>
      <c r="R8109" t="s">
        <v>47432</v>
      </c>
      <c r="S8109" t="s">
        <v>47597</v>
      </c>
      <c r="T8109" t="s">
        <v>49221</v>
      </c>
      <c r="U8109" t="s">
        <v>56419</v>
      </c>
      <c r="W8109" t="s">
        <v>45943</v>
      </c>
      <c r="X8109" t="s">
        <v>47433</v>
      </c>
    </row>
    <row r="8110" spans="1:24">
      <c r="A8110">
        <f>HYPERLINK("https://www.philgeps.gov.ph/GEPSNONPILOT/Tender/SplashBidNoticeAbstractUI.aspx?menuIndex=3&amp;refID=7152953&amp;Result=3","7152953")</f>
        <v>0</v>
      </c>
      <c r="B8110" t="s">
        <v>770</v>
      </c>
      <c r="C8110" t="s">
        <v>11529</v>
      </c>
      <c r="D8110" t="s">
        <v>19042</v>
      </c>
      <c r="E8110" t="s">
        <v>26154</v>
      </c>
      <c r="F8110" t="s">
        <v>32831</v>
      </c>
      <c r="G8110" t="s">
        <v>32838</v>
      </c>
      <c r="H8110" t="s">
        <v>32848</v>
      </c>
      <c r="I8110" t="s">
        <v>4303</v>
      </c>
      <c r="J8110" t="s">
        <v>38040</v>
      </c>
      <c r="K8110" t="s">
        <v>42731</v>
      </c>
      <c r="M8110" t="s">
        <v>43799</v>
      </c>
      <c r="N8110" t="s">
        <v>47424</v>
      </c>
      <c r="O8110" t="s">
        <v>47425</v>
      </c>
      <c r="P8110">
        <v>0</v>
      </c>
      <c r="Q8110">
        <v>0</v>
      </c>
      <c r="R8110" t="s">
        <v>47432</v>
      </c>
      <c r="S8110" t="s">
        <v>47597</v>
      </c>
      <c r="T8110" t="s">
        <v>49111</v>
      </c>
      <c r="U8110" t="s">
        <v>56420</v>
      </c>
      <c r="W8110" t="s">
        <v>43799</v>
      </c>
      <c r="X8110" t="s">
        <v>47433</v>
      </c>
    </row>
    <row r="8111" spans="1:24">
      <c r="A8111">
        <f>HYPERLINK("https://www.philgeps.gov.ph/GEPSNONPILOT/Tender/SplashBidNoticeAbstractUI.aspx?menuIndex=3&amp;refID=7152944&amp;Result=3","7152944")</f>
        <v>0</v>
      </c>
      <c r="B8111" t="s">
        <v>2722</v>
      </c>
      <c r="C8111" t="s">
        <v>11530</v>
      </c>
      <c r="D8111" t="s">
        <v>19034</v>
      </c>
      <c r="E8111" t="s">
        <v>19311</v>
      </c>
      <c r="F8111" t="s">
        <v>32831</v>
      </c>
      <c r="G8111" t="s">
        <v>32839</v>
      </c>
      <c r="H8111" t="s">
        <v>32848</v>
      </c>
      <c r="I8111" t="s">
        <v>32855</v>
      </c>
      <c r="J8111" t="s">
        <v>38041</v>
      </c>
      <c r="K8111" t="s">
        <v>42727</v>
      </c>
      <c r="M8111" t="s">
        <v>45948</v>
      </c>
      <c r="N8111" t="s">
        <v>47424</v>
      </c>
      <c r="O8111" t="s">
        <v>47425</v>
      </c>
      <c r="P8111">
        <v>0</v>
      </c>
      <c r="Q8111">
        <v>1</v>
      </c>
      <c r="R8111" t="s">
        <v>47432</v>
      </c>
      <c r="S8111" t="s">
        <v>47597</v>
      </c>
      <c r="T8111" t="s">
        <v>49064</v>
      </c>
      <c r="U8111" t="s">
        <v>56421</v>
      </c>
      <c r="V8111" t="s">
        <v>63538</v>
      </c>
      <c r="W8111" t="s">
        <v>45948</v>
      </c>
      <c r="X8111" t="s">
        <v>47433</v>
      </c>
    </row>
    <row r="8112" spans="1:24">
      <c r="A8112">
        <f>HYPERLINK("https://www.philgeps.gov.ph/GEPSNONPILOT/Tender/SplashBidNoticeAbstractUI.aspx?menuIndex=3&amp;refID=7152940&amp;Result=3","7152940")</f>
        <v>0</v>
      </c>
      <c r="B8112" t="s">
        <v>2525</v>
      </c>
      <c r="C8112" t="s">
        <v>11531</v>
      </c>
      <c r="D8112" t="s">
        <v>19071</v>
      </c>
      <c r="E8112" t="s">
        <v>26155</v>
      </c>
      <c r="F8112" t="s">
        <v>32831</v>
      </c>
      <c r="G8112" t="s">
        <v>32839</v>
      </c>
      <c r="H8112" t="s">
        <v>32848</v>
      </c>
      <c r="I8112" t="s">
        <v>4776</v>
      </c>
      <c r="J8112" t="s">
        <v>38042</v>
      </c>
      <c r="K8112" t="s">
        <v>42727</v>
      </c>
      <c r="M8112" t="s">
        <v>45733</v>
      </c>
      <c r="N8112" t="s">
        <v>47424</v>
      </c>
      <c r="O8112" t="s">
        <v>47425</v>
      </c>
      <c r="P8112">
        <v>0</v>
      </c>
      <c r="Q8112">
        <v>1</v>
      </c>
      <c r="R8112" t="s">
        <v>47432</v>
      </c>
      <c r="S8112" t="s">
        <v>47597</v>
      </c>
      <c r="T8112" t="s">
        <v>49166</v>
      </c>
      <c r="U8112" t="s">
        <v>55810</v>
      </c>
      <c r="V8112" t="s">
        <v>63439</v>
      </c>
      <c r="W8112" t="s">
        <v>45733</v>
      </c>
      <c r="X8112" t="s">
        <v>47433</v>
      </c>
    </row>
    <row r="8113" spans="1:24">
      <c r="A8113">
        <f>HYPERLINK("https://www.philgeps.gov.ph/GEPSNONPILOT/Tender/SplashBidNoticeAbstractUI.aspx?menuIndex=3&amp;refID=7152785&amp;Result=3","7152785")</f>
        <v>0</v>
      </c>
      <c r="B8113" t="s">
        <v>180</v>
      </c>
      <c r="C8113" t="s">
        <v>11532</v>
      </c>
      <c r="D8113" t="s">
        <v>19021</v>
      </c>
      <c r="E8113" t="s">
        <v>26156</v>
      </c>
      <c r="F8113" t="s">
        <v>32831</v>
      </c>
      <c r="G8113" t="s">
        <v>32839</v>
      </c>
      <c r="H8113" t="s">
        <v>32848</v>
      </c>
      <c r="I8113" t="s">
        <v>4303</v>
      </c>
      <c r="J8113" t="s">
        <v>38043</v>
      </c>
      <c r="K8113" t="s">
        <v>42732</v>
      </c>
      <c r="M8113" t="s">
        <v>43178</v>
      </c>
      <c r="N8113" t="s">
        <v>47424</v>
      </c>
      <c r="O8113" t="s">
        <v>47425</v>
      </c>
      <c r="P8113">
        <v>0</v>
      </c>
      <c r="Q8113">
        <v>1</v>
      </c>
      <c r="R8113" t="s">
        <v>47432</v>
      </c>
      <c r="S8113" t="s">
        <v>47597</v>
      </c>
      <c r="T8113" t="s">
        <v>49173</v>
      </c>
      <c r="U8113" t="s">
        <v>56422</v>
      </c>
      <c r="W8113" t="s">
        <v>43178</v>
      </c>
      <c r="X8113" t="s">
        <v>47433</v>
      </c>
    </row>
    <row r="8114" spans="1:24">
      <c r="A8114">
        <f>HYPERLINK("https://www.philgeps.gov.ph/GEPSNONPILOT/Tender/SplashBidNoticeAbstractUI.aspx?menuIndex=3&amp;refID=7152937&amp;Result=3","7152937")</f>
        <v>0</v>
      </c>
      <c r="B8114" t="s">
        <v>2656</v>
      </c>
      <c r="C8114" t="s">
        <v>11533</v>
      </c>
      <c r="D8114" t="s">
        <v>19028</v>
      </c>
      <c r="E8114" t="s">
        <v>26157</v>
      </c>
      <c r="F8114" t="s">
        <v>32831</v>
      </c>
      <c r="G8114" t="s">
        <v>32839</v>
      </c>
      <c r="H8114" t="s">
        <v>32849</v>
      </c>
      <c r="I8114" t="s">
        <v>4177</v>
      </c>
      <c r="J8114" t="s">
        <v>38044</v>
      </c>
      <c r="K8114" t="s">
        <v>42787</v>
      </c>
      <c r="M8114" t="s">
        <v>45919</v>
      </c>
      <c r="N8114" t="s">
        <v>47424</v>
      </c>
      <c r="O8114" t="s">
        <v>47425</v>
      </c>
      <c r="P8114">
        <v>0</v>
      </c>
      <c r="Q8114">
        <v>0</v>
      </c>
      <c r="R8114" t="s">
        <v>47432</v>
      </c>
      <c r="S8114" t="s">
        <v>47597</v>
      </c>
      <c r="T8114" t="s">
        <v>49166</v>
      </c>
      <c r="U8114" t="s">
        <v>56348</v>
      </c>
      <c r="W8114" t="s">
        <v>45919</v>
      </c>
      <c r="X8114" t="s">
        <v>47433</v>
      </c>
    </row>
    <row r="8115" spans="1:24">
      <c r="A8115">
        <f>HYPERLINK("https://www.philgeps.gov.ph/GEPSNONPILOT/Tender/SplashBidNoticeAbstractUI.aspx?menuIndex=3&amp;refID=7152936&amp;Result=3","7152936")</f>
        <v>0</v>
      </c>
      <c r="B8115" t="s">
        <v>2723</v>
      </c>
      <c r="C8115" t="s">
        <v>11534</v>
      </c>
      <c r="D8115" t="s">
        <v>19038</v>
      </c>
      <c r="E8115" t="s">
        <v>26158</v>
      </c>
      <c r="F8115" t="s">
        <v>32833</v>
      </c>
      <c r="G8115" t="s">
        <v>32842</v>
      </c>
      <c r="H8115" t="s">
        <v>32848</v>
      </c>
      <c r="I8115" t="s">
        <v>4776</v>
      </c>
      <c r="J8115" t="s">
        <v>32980</v>
      </c>
      <c r="K8115" t="s">
        <v>42727</v>
      </c>
      <c r="L8115" t="s">
        <v>2723</v>
      </c>
      <c r="M8115" t="s">
        <v>45949</v>
      </c>
      <c r="N8115" t="s">
        <v>47424</v>
      </c>
      <c r="O8115" t="s">
        <v>47425</v>
      </c>
      <c r="P8115">
        <v>0</v>
      </c>
      <c r="Q8115">
        <v>2</v>
      </c>
      <c r="R8115" t="s">
        <v>47432</v>
      </c>
      <c r="S8115" t="s">
        <v>47597</v>
      </c>
      <c r="T8115" t="s">
        <v>49141</v>
      </c>
      <c r="U8115" t="s">
        <v>56423</v>
      </c>
      <c r="V8115" t="s">
        <v>63539</v>
      </c>
      <c r="W8115" t="s">
        <v>45949</v>
      </c>
      <c r="X8115" t="s">
        <v>47433</v>
      </c>
    </row>
    <row r="8116" spans="1:24">
      <c r="A8116">
        <f>HYPERLINK("https://www.philgeps.gov.ph/GEPSNONPILOT/Tender/SplashBidNoticeAbstractUI.aspx?menuIndex=3&amp;refID=7152931&amp;Result=3","7152931")</f>
        <v>0</v>
      </c>
      <c r="B8116" t="s">
        <v>2724</v>
      </c>
      <c r="C8116" t="s">
        <v>11535</v>
      </c>
      <c r="D8116" t="s">
        <v>19103</v>
      </c>
      <c r="E8116" t="s">
        <v>26159</v>
      </c>
      <c r="F8116" t="s">
        <v>32831</v>
      </c>
      <c r="G8116" t="s">
        <v>32839</v>
      </c>
      <c r="H8116" t="s">
        <v>32849</v>
      </c>
      <c r="I8116" t="s">
        <v>32899</v>
      </c>
      <c r="J8116" t="s">
        <v>33644</v>
      </c>
      <c r="K8116" t="s">
        <v>42748</v>
      </c>
      <c r="M8116" t="s">
        <v>45950</v>
      </c>
      <c r="N8116" t="s">
        <v>47424</v>
      </c>
      <c r="O8116" t="s">
        <v>47425</v>
      </c>
      <c r="P8116">
        <v>0</v>
      </c>
      <c r="Q8116">
        <v>0</v>
      </c>
      <c r="R8116" t="s">
        <v>47432</v>
      </c>
      <c r="S8116" t="s">
        <v>47597</v>
      </c>
      <c r="T8116" t="s">
        <v>49107</v>
      </c>
      <c r="U8116" t="s">
        <v>56424</v>
      </c>
      <c r="W8116" t="s">
        <v>45950</v>
      </c>
      <c r="X8116" t="s">
        <v>47433</v>
      </c>
    </row>
    <row r="8117" spans="1:24">
      <c r="A8117">
        <f>HYPERLINK("https://www.philgeps.gov.ph/GEPSNONPILOT/Tender/SplashBidNoticeAbstractUI.aspx?menuIndex=3&amp;refID=7152941&amp;Result=3","7152941")</f>
        <v>0</v>
      </c>
      <c r="B8117" t="s">
        <v>2652</v>
      </c>
      <c r="C8117" t="s">
        <v>11536</v>
      </c>
      <c r="D8117" t="s">
        <v>19064</v>
      </c>
      <c r="E8117" t="s">
        <v>26160</v>
      </c>
      <c r="F8117" t="s">
        <v>32831</v>
      </c>
      <c r="G8117" t="s">
        <v>32839</v>
      </c>
      <c r="H8117" t="s">
        <v>32849</v>
      </c>
      <c r="I8117" t="s">
        <v>4177</v>
      </c>
      <c r="J8117" t="s">
        <v>38045</v>
      </c>
      <c r="K8117" t="s">
        <v>42912</v>
      </c>
      <c r="M8117" t="s">
        <v>45875</v>
      </c>
      <c r="N8117" t="s">
        <v>47424</v>
      </c>
      <c r="O8117" t="s">
        <v>47425</v>
      </c>
      <c r="P8117">
        <v>0</v>
      </c>
      <c r="Q8117">
        <v>0</v>
      </c>
      <c r="R8117" t="s">
        <v>47432</v>
      </c>
      <c r="S8117" t="s">
        <v>47597</v>
      </c>
      <c r="T8117" t="s">
        <v>49214</v>
      </c>
      <c r="U8117" t="s">
        <v>56257</v>
      </c>
      <c r="V8117" t="s">
        <v>63540</v>
      </c>
      <c r="W8117" t="s">
        <v>45875</v>
      </c>
      <c r="X8117" t="s">
        <v>47433</v>
      </c>
    </row>
    <row r="8118" spans="1:24">
      <c r="A8118">
        <f>HYPERLINK("https://www.philgeps.gov.ph/GEPSNONPILOT/Tender/SplashBidNoticeAbstractUI.aspx?menuIndex=3&amp;refID=7152929&amp;Result=3","7152929")</f>
        <v>0</v>
      </c>
      <c r="B8118" t="s">
        <v>2719</v>
      </c>
      <c r="C8118" t="s">
        <v>11537</v>
      </c>
      <c r="D8118" t="s">
        <v>19103</v>
      </c>
      <c r="E8118" t="s">
        <v>26161</v>
      </c>
      <c r="F8118" t="s">
        <v>32831</v>
      </c>
      <c r="G8118" t="s">
        <v>32839</v>
      </c>
      <c r="H8118" t="s">
        <v>32848</v>
      </c>
      <c r="I8118" t="s">
        <v>32883</v>
      </c>
      <c r="J8118" t="s">
        <v>33014</v>
      </c>
      <c r="K8118" t="s">
        <v>42726</v>
      </c>
      <c r="M8118" t="s">
        <v>45945</v>
      </c>
      <c r="N8118" t="s">
        <v>47424</v>
      </c>
      <c r="O8118" t="s">
        <v>47425</v>
      </c>
      <c r="P8118">
        <v>0</v>
      </c>
      <c r="Q8118">
        <v>1</v>
      </c>
      <c r="R8118" t="s">
        <v>47432</v>
      </c>
      <c r="S8118" t="s">
        <v>47597</v>
      </c>
      <c r="T8118" t="s">
        <v>49265</v>
      </c>
      <c r="U8118" t="s">
        <v>56425</v>
      </c>
      <c r="W8118" t="s">
        <v>45945</v>
      </c>
      <c r="X8118" t="s">
        <v>47433</v>
      </c>
    </row>
    <row r="8119" spans="1:24">
      <c r="A8119">
        <f>HYPERLINK("https://www.philgeps.gov.ph/GEPSNONPILOT/Tender/SplashBidNoticeAbstractUI.aspx?menuIndex=3&amp;refID=7152922&amp;Result=3","7152922")</f>
        <v>0</v>
      </c>
      <c r="B8119" t="s">
        <v>2716</v>
      </c>
      <c r="C8119" t="s">
        <v>11538</v>
      </c>
      <c r="D8119" t="s">
        <v>19037</v>
      </c>
      <c r="E8119" t="s">
        <v>26162</v>
      </c>
      <c r="F8119" t="s">
        <v>32831</v>
      </c>
      <c r="G8119" t="s">
        <v>32839</v>
      </c>
      <c r="H8119" t="s">
        <v>32849</v>
      </c>
      <c r="I8119" t="s">
        <v>32913</v>
      </c>
      <c r="J8119" t="s">
        <v>32978</v>
      </c>
      <c r="K8119" t="s">
        <v>42763</v>
      </c>
      <c r="M8119" t="s">
        <v>45942</v>
      </c>
      <c r="N8119" t="s">
        <v>47424</v>
      </c>
      <c r="O8119" t="s">
        <v>47425</v>
      </c>
      <c r="P8119">
        <v>0</v>
      </c>
      <c r="Q8119">
        <v>0</v>
      </c>
      <c r="R8119" t="s">
        <v>47432</v>
      </c>
      <c r="S8119" t="s">
        <v>47597</v>
      </c>
      <c r="T8119" t="s">
        <v>49073</v>
      </c>
      <c r="U8119" t="s">
        <v>56426</v>
      </c>
      <c r="W8119" t="s">
        <v>45942</v>
      </c>
      <c r="X8119" t="s">
        <v>47433</v>
      </c>
    </row>
    <row r="8120" spans="1:24">
      <c r="A8120">
        <f>HYPERLINK("https://www.philgeps.gov.ph/GEPSNONPILOT/Tender/SplashBidNoticeAbstractUI.aspx?menuIndex=3&amp;refID=7152927&amp;Result=3","7152927")</f>
        <v>0</v>
      </c>
      <c r="B8120" t="s">
        <v>168</v>
      </c>
      <c r="C8120" t="s">
        <v>11539</v>
      </c>
      <c r="D8120" t="s">
        <v>19071</v>
      </c>
      <c r="E8120" t="s">
        <v>26163</v>
      </c>
      <c r="F8120" t="s">
        <v>32831</v>
      </c>
      <c r="G8120" t="s">
        <v>32839</v>
      </c>
      <c r="H8120" t="s">
        <v>32848</v>
      </c>
      <c r="I8120" t="s">
        <v>4303</v>
      </c>
      <c r="J8120" t="s">
        <v>38046</v>
      </c>
      <c r="K8120" t="s">
        <v>42745</v>
      </c>
      <c r="M8120" t="s">
        <v>43165</v>
      </c>
      <c r="N8120" t="s">
        <v>47424</v>
      </c>
      <c r="O8120" t="s">
        <v>47425</v>
      </c>
      <c r="Q8120">
        <v>0</v>
      </c>
      <c r="R8120" t="s">
        <v>47432</v>
      </c>
      <c r="S8120" t="s">
        <v>47606</v>
      </c>
      <c r="T8120" t="s">
        <v>49221</v>
      </c>
      <c r="U8120" t="s">
        <v>56427</v>
      </c>
      <c r="V8120" t="s">
        <v>62654</v>
      </c>
      <c r="W8120" t="s">
        <v>43165</v>
      </c>
      <c r="X8120" t="s">
        <v>47433</v>
      </c>
    </row>
    <row r="8121" spans="1:24">
      <c r="A8121">
        <f>HYPERLINK("https://www.philgeps.gov.ph/GEPSNONPILOT/Tender/SplashBidNoticeAbstractUI.aspx?menuIndex=3&amp;refID=7152933&amp;Result=3","7152933")</f>
        <v>0</v>
      </c>
      <c r="B8121" t="s">
        <v>1974</v>
      </c>
      <c r="C8121" t="s">
        <v>11540</v>
      </c>
      <c r="D8121" t="s">
        <v>19048</v>
      </c>
      <c r="E8121" t="s">
        <v>26164</v>
      </c>
      <c r="F8121" t="s">
        <v>32831</v>
      </c>
      <c r="G8121" t="s">
        <v>32838</v>
      </c>
      <c r="H8121" t="s">
        <v>32848</v>
      </c>
      <c r="I8121" t="s">
        <v>4438</v>
      </c>
      <c r="J8121" t="s">
        <v>38047</v>
      </c>
      <c r="K8121" t="s">
        <v>42732</v>
      </c>
      <c r="M8121" t="s">
        <v>45135</v>
      </c>
      <c r="N8121" t="s">
        <v>47424</v>
      </c>
      <c r="O8121" t="s">
        <v>47425</v>
      </c>
      <c r="P8121">
        <v>0</v>
      </c>
      <c r="Q8121">
        <v>2</v>
      </c>
      <c r="R8121" t="s">
        <v>47432</v>
      </c>
      <c r="S8121" t="s">
        <v>47597</v>
      </c>
      <c r="T8121" t="s">
        <v>49107</v>
      </c>
      <c r="U8121" t="s">
        <v>56428</v>
      </c>
      <c r="W8121" t="s">
        <v>45135</v>
      </c>
      <c r="X8121" t="s">
        <v>47433</v>
      </c>
    </row>
    <row r="8122" spans="1:24">
      <c r="A8122">
        <f>HYPERLINK("https://www.philgeps.gov.ph/GEPSNONPILOT/Tender/SplashBidNoticeAbstractUI.aspx?menuIndex=3&amp;refID=7152945&amp;Result=3","7152945")</f>
        <v>0</v>
      </c>
      <c r="B8122" t="s">
        <v>2725</v>
      </c>
      <c r="C8122" t="s">
        <v>11541</v>
      </c>
      <c r="D8122" t="s">
        <v>19104</v>
      </c>
      <c r="E8122" t="s">
        <v>26165</v>
      </c>
      <c r="F8122" t="s">
        <v>32831</v>
      </c>
      <c r="G8122" t="s">
        <v>32839</v>
      </c>
      <c r="H8122" t="s">
        <v>32848</v>
      </c>
      <c r="I8122" t="s">
        <v>7416</v>
      </c>
      <c r="J8122" t="s">
        <v>38048</v>
      </c>
      <c r="K8122" t="s">
        <v>42750</v>
      </c>
      <c r="L8122" t="s">
        <v>2725</v>
      </c>
      <c r="M8122" t="s">
        <v>45951</v>
      </c>
      <c r="N8122" t="s">
        <v>47424</v>
      </c>
      <c r="O8122" t="s">
        <v>47425</v>
      </c>
      <c r="P8122">
        <v>0</v>
      </c>
      <c r="Q8122">
        <v>0</v>
      </c>
      <c r="R8122" t="s">
        <v>47432</v>
      </c>
      <c r="S8122" t="s">
        <v>47597</v>
      </c>
      <c r="T8122" t="s">
        <v>49173</v>
      </c>
      <c r="U8122" t="s">
        <v>56429</v>
      </c>
      <c r="V8122" t="s">
        <v>63541</v>
      </c>
      <c r="W8122" t="s">
        <v>45951</v>
      </c>
      <c r="X8122" t="s">
        <v>47433</v>
      </c>
    </row>
    <row r="8123" spans="1:24">
      <c r="A8123">
        <f>HYPERLINK("https://www.philgeps.gov.ph/GEPSNONPILOT/Tender/SplashBidNoticeAbstractUI.aspx?menuIndex=3&amp;refID=7152697&amp;Result=3","7152697")</f>
        <v>0</v>
      </c>
      <c r="B8123" t="s">
        <v>1236</v>
      </c>
      <c r="C8123" t="s">
        <v>11542</v>
      </c>
      <c r="D8123" t="s">
        <v>19045</v>
      </c>
      <c r="E8123" t="s">
        <v>19215</v>
      </c>
      <c r="F8123" t="s">
        <v>32831</v>
      </c>
      <c r="G8123" t="s">
        <v>32839</v>
      </c>
      <c r="H8123" t="s">
        <v>32849</v>
      </c>
      <c r="I8123" t="s">
        <v>4177</v>
      </c>
      <c r="J8123" t="s">
        <v>33561</v>
      </c>
      <c r="K8123" t="s">
        <v>42763</v>
      </c>
      <c r="M8123" t="s">
        <v>44306</v>
      </c>
      <c r="N8123" t="s">
        <v>47424</v>
      </c>
      <c r="O8123" t="s">
        <v>47425</v>
      </c>
      <c r="P8123">
        <v>0</v>
      </c>
      <c r="Q8123">
        <v>2</v>
      </c>
      <c r="R8123" t="s">
        <v>47432</v>
      </c>
      <c r="S8123" t="s">
        <v>47597</v>
      </c>
      <c r="T8123" t="s">
        <v>49112</v>
      </c>
      <c r="U8123" t="s">
        <v>56430</v>
      </c>
      <c r="W8123" t="s">
        <v>44306</v>
      </c>
      <c r="X8123" t="s">
        <v>47433</v>
      </c>
    </row>
    <row r="8124" spans="1:24">
      <c r="A8124">
        <f>HYPERLINK("https://www.philgeps.gov.ph/GEPSNONPILOT/Tender/SplashBidNoticeAbstractUI.aspx?menuIndex=3&amp;refID=7152914&amp;Result=3","7152914")</f>
        <v>0</v>
      </c>
      <c r="B8124" t="s">
        <v>2525</v>
      </c>
      <c r="C8124" t="s">
        <v>11543</v>
      </c>
      <c r="D8124" t="s">
        <v>19071</v>
      </c>
      <c r="E8124" t="s">
        <v>26166</v>
      </c>
      <c r="F8124" t="s">
        <v>32831</v>
      </c>
      <c r="G8124" t="s">
        <v>32839</v>
      </c>
      <c r="H8124" t="s">
        <v>32848</v>
      </c>
      <c r="I8124" t="s">
        <v>4776</v>
      </c>
      <c r="J8124" t="s">
        <v>32980</v>
      </c>
      <c r="K8124" t="s">
        <v>42727</v>
      </c>
      <c r="M8124" t="s">
        <v>45733</v>
      </c>
      <c r="N8124" t="s">
        <v>47424</v>
      </c>
      <c r="O8124" t="s">
        <v>47425</v>
      </c>
      <c r="P8124">
        <v>0</v>
      </c>
      <c r="Q8124">
        <v>8</v>
      </c>
      <c r="R8124" t="s">
        <v>47432</v>
      </c>
      <c r="S8124" t="s">
        <v>47597</v>
      </c>
      <c r="T8124" t="s">
        <v>49166</v>
      </c>
      <c r="U8124" t="s">
        <v>56431</v>
      </c>
      <c r="V8124" t="s">
        <v>63439</v>
      </c>
      <c r="W8124" t="s">
        <v>45733</v>
      </c>
      <c r="X8124" t="s">
        <v>47433</v>
      </c>
    </row>
    <row r="8125" spans="1:24">
      <c r="A8125">
        <f>HYPERLINK("https://www.philgeps.gov.ph/GEPSNONPILOT/Tender/SplashBidNoticeAbstractUI.aspx?menuIndex=3&amp;refID=7152912&amp;Result=3","7152912")</f>
        <v>0</v>
      </c>
      <c r="B8125" t="s">
        <v>1016</v>
      </c>
      <c r="C8125" t="s">
        <v>11544</v>
      </c>
      <c r="D8125" t="s">
        <v>19062</v>
      </c>
      <c r="E8125" t="s">
        <v>26167</v>
      </c>
      <c r="F8125" t="s">
        <v>32831</v>
      </c>
      <c r="G8125" t="s">
        <v>32838</v>
      </c>
      <c r="H8125" t="s">
        <v>32848</v>
      </c>
      <c r="I8125" t="s">
        <v>9577</v>
      </c>
      <c r="J8125" t="s">
        <v>38049</v>
      </c>
      <c r="K8125" t="s">
        <v>42727</v>
      </c>
      <c r="M8125" t="s">
        <v>44066</v>
      </c>
      <c r="N8125" t="s">
        <v>47424</v>
      </c>
      <c r="O8125" t="s">
        <v>47425</v>
      </c>
      <c r="P8125">
        <v>0</v>
      </c>
      <c r="Q8125">
        <v>2</v>
      </c>
      <c r="R8125" t="s">
        <v>47432</v>
      </c>
      <c r="S8125" t="s">
        <v>47597</v>
      </c>
      <c r="T8125" t="s">
        <v>49212</v>
      </c>
      <c r="U8125" t="s">
        <v>54979</v>
      </c>
      <c r="V8125" t="s">
        <v>63250</v>
      </c>
      <c r="W8125" t="s">
        <v>44066</v>
      </c>
      <c r="X8125" t="s">
        <v>47433</v>
      </c>
    </row>
    <row r="8126" spans="1:24">
      <c r="A8126">
        <f>HYPERLINK("https://www.philgeps.gov.ph/GEPSNONPILOT/Tender/SplashBidNoticeAbstractUI.aspx?menuIndex=3&amp;refID=7152867&amp;Result=3","7152867")</f>
        <v>0</v>
      </c>
      <c r="B8126" t="s">
        <v>2656</v>
      </c>
      <c r="C8126" t="s">
        <v>11545</v>
      </c>
      <c r="D8126" t="s">
        <v>19028</v>
      </c>
      <c r="E8126" t="s">
        <v>26168</v>
      </c>
      <c r="F8126" t="s">
        <v>32831</v>
      </c>
      <c r="G8126" t="s">
        <v>32839</v>
      </c>
      <c r="H8126" t="s">
        <v>32849</v>
      </c>
      <c r="I8126" t="s">
        <v>4177</v>
      </c>
      <c r="J8126" t="s">
        <v>38050</v>
      </c>
      <c r="K8126" t="s">
        <v>42731</v>
      </c>
      <c r="M8126" t="s">
        <v>45919</v>
      </c>
      <c r="N8126" t="s">
        <v>47424</v>
      </c>
      <c r="O8126" t="s">
        <v>47425</v>
      </c>
      <c r="P8126">
        <v>0</v>
      </c>
      <c r="Q8126">
        <v>0</v>
      </c>
      <c r="R8126" t="s">
        <v>47432</v>
      </c>
      <c r="S8126" t="s">
        <v>47597</v>
      </c>
      <c r="T8126" t="s">
        <v>49166</v>
      </c>
      <c r="U8126" t="s">
        <v>56348</v>
      </c>
      <c r="W8126" t="s">
        <v>45919</v>
      </c>
      <c r="X8126" t="s">
        <v>47433</v>
      </c>
    </row>
    <row r="8127" spans="1:24">
      <c r="A8127">
        <f>HYPERLINK("https://www.philgeps.gov.ph/GEPSNONPILOT/Tender/SplashBidNoticeAbstractUI.aspx?menuIndex=3&amp;refID=7152855&amp;Result=3","7152855")</f>
        <v>0</v>
      </c>
      <c r="B8127" t="s">
        <v>345</v>
      </c>
      <c r="C8127" t="s">
        <v>11546</v>
      </c>
      <c r="D8127" t="s">
        <v>19074</v>
      </c>
      <c r="E8127" t="s">
        <v>26169</v>
      </c>
      <c r="F8127" t="s">
        <v>32831</v>
      </c>
      <c r="G8127" t="s">
        <v>32838</v>
      </c>
      <c r="H8127" t="s">
        <v>32850</v>
      </c>
      <c r="I8127" t="s">
        <v>32861</v>
      </c>
      <c r="J8127" t="s">
        <v>33468</v>
      </c>
      <c r="K8127" t="s">
        <v>42731</v>
      </c>
      <c r="M8127" t="s">
        <v>44082</v>
      </c>
      <c r="N8127" t="s">
        <v>47424</v>
      </c>
      <c r="O8127" t="s">
        <v>47425</v>
      </c>
      <c r="P8127">
        <v>0</v>
      </c>
      <c r="Q8127">
        <v>2</v>
      </c>
      <c r="R8127" t="s">
        <v>47432</v>
      </c>
      <c r="S8127" t="s">
        <v>47597</v>
      </c>
      <c r="T8127" t="s">
        <v>49107</v>
      </c>
      <c r="U8127" t="s">
        <v>56432</v>
      </c>
      <c r="W8127" t="s">
        <v>44082</v>
      </c>
      <c r="X8127" t="s">
        <v>47433</v>
      </c>
    </row>
    <row r="8128" spans="1:24">
      <c r="A8128">
        <f>HYPERLINK("https://www.philgeps.gov.ph/GEPSNONPILOT/Tender/SplashBidNoticeAbstractUI.aspx?menuIndex=3&amp;refID=7153000&amp;Result=3","7153000")</f>
        <v>0</v>
      </c>
      <c r="B8128" t="s">
        <v>2182</v>
      </c>
      <c r="C8128" t="s">
        <v>11547</v>
      </c>
      <c r="D8128" t="s">
        <v>19021</v>
      </c>
      <c r="E8128" t="s">
        <v>26170</v>
      </c>
      <c r="F8128" t="s">
        <v>32831</v>
      </c>
      <c r="G8128" t="s">
        <v>32838</v>
      </c>
      <c r="H8128" t="s">
        <v>32848</v>
      </c>
      <c r="I8128" t="s">
        <v>4487</v>
      </c>
      <c r="J8128" t="s">
        <v>33162</v>
      </c>
      <c r="K8128" t="s">
        <v>42732</v>
      </c>
      <c r="M8128" t="s">
        <v>45362</v>
      </c>
      <c r="N8128" t="s">
        <v>47424</v>
      </c>
      <c r="O8128" t="s">
        <v>47425</v>
      </c>
      <c r="P8128">
        <v>0</v>
      </c>
      <c r="Q8128">
        <v>2</v>
      </c>
      <c r="R8128" t="s">
        <v>47432</v>
      </c>
      <c r="S8128" t="s">
        <v>47597</v>
      </c>
      <c r="T8128" t="s">
        <v>49141</v>
      </c>
      <c r="U8128" t="s">
        <v>56433</v>
      </c>
      <c r="W8128" t="s">
        <v>45362</v>
      </c>
      <c r="X8128" t="s">
        <v>47433</v>
      </c>
    </row>
    <row r="8129" spans="1:24">
      <c r="A8129">
        <f>HYPERLINK("https://www.philgeps.gov.ph/GEPSNONPILOT/Tender/SplashBidNoticeAbstractUI.aspx?menuIndex=3&amp;refID=7152865&amp;Result=3","7152865")</f>
        <v>0</v>
      </c>
      <c r="B8129" t="s">
        <v>2726</v>
      </c>
      <c r="C8129" t="s">
        <v>11548</v>
      </c>
      <c r="D8129" t="s">
        <v>19030</v>
      </c>
      <c r="E8129" t="s">
        <v>26171</v>
      </c>
      <c r="F8129" t="s">
        <v>32831</v>
      </c>
      <c r="G8129" t="s">
        <v>32838</v>
      </c>
      <c r="H8129" t="s">
        <v>32848</v>
      </c>
      <c r="I8129" t="s">
        <v>32864</v>
      </c>
      <c r="J8129" t="s">
        <v>38051</v>
      </c>
      <c r="K8129" t="s">
        <v>42732</v>
      </c>
      <c r="M8129" t="s">
        <v>45952</v>
      </c>
      <c r="N8129" t="s">
        <v>47424</v>
      </c>
      <c r="O8129" t="s">
        <v>47425</v>
      </c>
      <c r="P8129">
        <v>0</v>
      </c>
      <c r="Q8129">
        <v>3</v>
      </c>
      <c r="R8129" t="s">
        <v>47432</v>
      </c>
      <c r="S8129" t="s">
        <v>47597</v>
      </c>
      <c r="T8129" t="s">
        <v>49089</v>
      </c>
      <c r="U8129" t="s">
        <v>56434</v>
      </c>
      <c r="W8129" t="s">
        <v>45952</v>
      </c>
      <c r="X8129" t="s">
        <v>47433</v>
      </c>
    </row>
    <row r="8130" spans="1:24">
      <c r="A8130">
        <f>HYPERLINK("https://www.philgeps.gov.ph/GEPSNONPILOT/Tender/SplashBidNoticeAbstractUI.aspx?menuIndex=3&amp;refID=7152923&amp;Result=3","7152923")</f>
        <v>0</v>
      </c>
      <c r="B8130" t="s">
        <v>2727</v>
      </c>
      <c r="C8130" t="s">
        <v>11549</v>
      </c>
      <c r="E8130" t="s">
        <v>26172</v>
      </c>
      <c r="F8130" t="s">
        <v>32831</v>
      </c>
      <c r="G8130" t="s">
        <v>32839</v>
      </c>
      <c r="H8130" t="s">
        <v>32848</v>
      </c>
      <c r="I8130" t="s">
        <v>32875</v>
      </c>
      <c r="J8130" t="s">
        <v>38052</v>
      </c>
      <c r="K8130" t="s">
        <v>42732</v>
      </c>
      <c r="M8130" t="s">
        <v>45953</v>
      </c>
      <c r="N8130" t="s">
        <v>47424</v>
      </c>
      <c r="O8130" t="s">
        <v>47425</v>
      </c>
      <c r="P8130">
        <v>0</v>
      </c>
      <c r="Q8130">
        <v>4</v>
      </c>
      <c r="R8130" t="s">
        <v>47432</v>
      </c>
      <c r="S8130" t="s">
        <v>47597</v>
      </c>
      <c r="T8130" t="s">
        <v>49127</v>
      </c>
      <c r="U8130" t="s">
        <v>56435</v>
      </c>
      <c r="W8130" t="s">
        <v>45953</v>
      </c>
      <c r="X8130" t="s">
        <v>47433</v>
      </c>
    </row>
    <row r="8131" spans="1:24">
      <c r="A8131">
        <f>HYPERLINK("https://www.philgeps.gov.ph/GEPSNONPILOT/Tender/SplashBidNoticeAbstractUI.aspx?menuIndex=3&amp;refID=7152915&amp;Result=3","7152915")</f>
        <v>0</v>
      </c>
      <c r="B8131" t="s">
        <v>1441</v>
      </c>
      <c r="C8131" t="s">
        <v>11550</v>
      </c>
      <c r="D8131" t="s">
        <v>19048</v>
      </c>
      <c r="E8131" t="s">
        <v>26173</v>
      </c>
      <c r="F8131" t="s">
        <v>32831</v>
      </c>
      <c r="G8131" t="s">
        <v>32839</v>
      </c>
      <c r="H8131" t="s">
        <v>32848</v>
      </c>
      <c r="I8131" t="s">
        <v>32870</v>
      </c>
      <c r="J8131" t="s">
        <v>38053</v>
      </c>
      <c r="K8131" t="s">
        <v>42727</v>
      </c>
      <c r="M8131" t="s">
        <v>44533</v>
      </c>
      <c r="N8131" t="s">
        <v>47424</v>
      </c>
      <c r="O8131" t="s">
        <v>47425</v>
      </c>
      <c r="P8131">
        <v>0</v>
      </c>
      <c r="Q8131">
        <v>0</v>
      </c>
      <c r="R8131" t="s">
        <v>47432</v>
      </c>
      <c r="S8131" t="s">
        <v>47597</v>
      </c>
      <c r="T8131" t="s">
        <v>49123</v>
      </c>
      <c r="U8131" t="s">
        <v>56436</v>
      </c>
      <c r="W8131" t="s">
        <v>44533</v>
      </c>
      <c r="X8131" t="s">
        <v>47433</v>
      </c>
    </row>
    <row r="8132" spans="1:24">
      <c r="A8132">
        <f>HYPERLINK("https://www.philgeps.gov.ph/GEPSNONPILOT/Tender/SplashBidNoticeAbstractUI.aspx?menuIndex=3&amp;refID=7152921&amp;Result=3","7152921")</f>
        <v>0</v>
      </c>
      <c r="B8132" t="s">
        <v>2669</v>
      </c>
      <c r="C8132" t="s">
        <v>5029</v>
      </c>
      <c r="D8132" t="s">
        <v>19043</v>
      </c>
      <c r="E8132" t="s">
        <v>26174</v>
      </c>
      <c r="F8132" t="s">
        <v>32831</v>
      </c>
      <c r="G8132" t="s">
        <v>32839</v>
      </c>
      <c r="H8132" t="s">
        <v>32848</v>
      </c>
      <c r="I8132" t="s">
        <v>32860</v>
      </c>
      <c r="J8132" t="s">
        <v>38054</v>
      </c>
      <c r="K8132" t="s">
        <v>42745</v>
      </c>
      <c r="M8132" t="s">
        <v>45892</v>
      </c>
      <c r="N8132" t="s">
        <v>47424</v>
      </c>
      <c r="O8132" t="s">
        <v>47425</v>
      </c>
      <c r="P8132">
        <v>0</v>
      </c>
      <c r="Q8132">
        <v>3</v>
      </c>
      <c r="R8132" t="s">
        <v>47432</v>
      </c>
      <c r="S8132" t="s">
        <v>47597</v>
      </c>
      <c r="T8132" t="s">
        <v>49216</v>
      </c>
      <c r="U8132" t="s">
        <v>56437</v>
      </c>
      <c r="W8132" t="s">
        <v>45892</v>
      </c>
      <c r="X8132" t="s">
        <v>47433</v>
      </c>
    </row>
    <row r="8133" spans="1:24">
      <c r="A8133">
        <f>HYPERLINK("https://www.philgeps.gov.ph/GEPSNONPILOT/Tender/SplashBidNoticeAbstractUI.aspx?menuIndex=3&amp;refID=7152883&amp;Result=3","7152883")</f>
        <v>0</v>
      </c>
      <c r="B8133" t="s">
        <v>1950</v>
      </c>
      <c r="C8133" t="s">
        <v>11551</v>
      </c>
      <c r="D8133" t="s">
        <v>19074</v>
      </c>
      <c r="E8133" t="s">
        <v>26175</v>
      </c>
      <c r="F8133" t="s">
        <v>32831</v>
      </c>
      <c r="G8133" t="s">
        <v>32838</v>
      </c>
      <c r="H8133" t="s">
        <v>32848</v>
      </c>
      <c r="I8133" t="s">
        <v>4435</v>
      </c>
      <c r="J8133" t="s">
        <v>38055</v>
      </c>
      <c r="K8133" t="s">
        <v>42745</v>
      </c>
      <c r="M8133" t="s">
        <v>45107</v>
      </c>
      <c r="N8133" t="s">
        <v>47424</v>
      </c>
      <c r="O8133" t="s">
        <v>47425</v>
      </c>
      <c r="P8133">
        <v>0</v>
      </c>
      <c r="Q8133">
        <v>3</v>
      </c>
      <c r="R8133" t="s">
        <v>47432</v>
      </c>
      <c r="S8133" t="s">
        <v>47597</v>
      </c>
      <c r="T8133" t="s">
        <v>49235</v>
      </c>
      <c r="U8133" t="s">
        <v>54028</v>
      </c>
      <c r="W8133" t="s">
        <v>45107</v>
      </c>
      <c r="X8133" t="s">
        <v>47433</v>
      </c>
    </row>
    <row r="8134" spans="1:24">
      <c r="A8134">
        <f>HYPERLINK("https://www.philgeps.gov.ph/GEPSNONPILOT/Tender/SplashBidNoticeAbstractUI.aspx?menuIndex=3&amp;refID=7153004&amp;Result=3","7153004")</f>
        <v>0</v>
      </c>
      <c r="B8134" t="s">
        <v>1541</v>
      </c>
      <c r="C8134" t="s">
        <v>11552</v>
      </c>
      <c r="D8134" t="s">
        <v>19019</v>
      </c>
      <c r="E8134" t="s">
        <v>26176</v>
      </c>
      <c r="F8134" t="s">
        <v>32831</v>
      </c>
      <c r="G8134" t="s">
        <v>32839</v>
      </c>
      <c r="H8134" t="s">
        <v>32848</v>
      </c>
      <c r="I8134" t="s">
        <v>32858</v>
      </c>
      <c r="J8134" t="s">
        <v>38056</v>
      </c>
      <c r="K8134" t="s">
        <v>42727</v>
      </c>
      <c r="M8134" t="s">
        <v>44645</v>
      </c>
      <c r="N8134" t="s">
        <v>47424</v>
      </c>
      <c r="O8134" t="s">
        <v>47425</v>
      </c>
      <c r="P8134">
        <v>0</v>
      </c>
      <c r="Q8134">
        <v>6</v>
      </c>
      <c r="R8134" t="s">
        <v>47432</v>
      </c>
      <c r="S8134" t="s">
        <v>47597</v>
      </c>
      <c r="T8134" t="s">
        <v>49192</v>
      </c>
      <c r="U8134" t="s">
        <v>56438</v>
      </c>
      <c r="V8134" t="s">
        <v>63537</v>
      </c>
      <c r="W8134" t="s">
        <v>44645</v>
      </c>
      <c r="X8134" t="s">
        <v>47433</v>
      </c>
    </row>
    <row r="8135" spans="1:24">
      <c r="A8135">
        <f>HYPERLINK("https://www.philgeps.gov.ph/GEPSNONPILOT/Tender/SplashBidNoticeAbstractUI.aspx?menuIndex=3&amp;refID=7153008&amp;Result=3","7153008")</f>
        <v>0</v>
      </c>
      <c r="B8135" t="s">
        <v>1444</v>
      </c>
      <c r="C8135" t="s">
        <v>11553</v>
      </c>
      <c r="D8135" t="s">
        <v>19080</v>
      </c>
      <c r="E8135" t="s">
        <v>26177</v>
      </c>
      <c r="F8135" t="s">
        <v>32831</v>
      </c>
      <c r="G8135" t="s">
        <v>32839</v>
      </c>
      <c r="H8135" t="s">
        <v>32848</v>
      </c>
      <c r="I8135" t="s">
        <v>32855</v>
      </c>
      <c r="J8135" t="s">
        <v>38057</v>
      </c>
      <c r="K8135" t="s">
        <v>42730</v>
      </c>
      <c r="M8135" t="s">
        <v>44536</v>
      </c>
      <c r="N8135" t="s">
        <v>47424</v>
      </c>
      <c r="O8135" t="s">
        <v>47425</v>
      </c>
      <c r="P8135">
        <v>0</v>
      </c>
      <c r="Q8135">
        <v>1</v>
      </c>
      <c r="R8135" t="s">
        <v>47432</v>
      </c>
      <c r="S8135" t="s">
        <v>47597</v>
      </c>
      <c r="T8135" t="s">
        <v>49377</v>
      </c>
      <c r="U8135" t="s">
        <v>56439</v>
      </c>
      <c r="W8135" t="s">
        <v>44536</v>
      </c>
      <c r="X8135" t="s">
        <v>47433</v>
      </c>
    </row>
    <row r="8136" spans="1:24">
      <c r="A8136">
        <f>HYPERLINK("https://www.philgeps.gov.ph/GEPSNONPILOT/Tender/SplashBidNoticeAbstractUI.aspx?menuIndex=3&amp;refID=7153006&amp;Result=3","7153006")</f>
        <v>0</v>
      </c>
      <c r="B8136" t="s">
        <v>2728</v>
      </c>
      <c r="C8136" t="s">
        <v>11554</v>
      </c>
      <c r="D8136" t="s">
        <v>19062</v>
      </c>
      <c r="E8136" t="s">
        <v>19311</v>
      </c>
      <c r="F8136" t="s">
        <v>32831</v>
      </c>
      <c r="G8136" t="s">
        <v>32840</v>
      </c>
      <c r="H8136" t="s">
        <v>32848</v>
      </c>
      <c r="I8136" t="s">
        <v>9577</v>
      </c>
      <c r="J8136" t="s">
        <v>38058</v>
      </c>
      <c r="K8136" t="s">
        <v>42732</v>
      </c>
      <c r="M8136" t="s">
        <v>45954</v>
      </c>
      <c r="N8136" t="s">
        <v>47424</v>
      </c>
      <c r="O8136" t="s">
        <v>47425</v>
      </c>
      <c r="P8136">
        <v>0</v>
      </c>
      <c r="Q8136">
        <v>1</v>
      </c>
      <c r="R8136" t="s">
        <v>47432</v>
      </c>
      <c r="S8136" t="s">
        <v>47597</v>
      </c>
      <c r="T8136" t="s">
        <v>49079</v>
      </c>
      <c r="U8136" t="s">
        <v>56440</v>
      </c>
      <c r="W8136" t="s">
        <v>45954</v>
      </c>
      <c r="X8136" t="s">
        <v>47433</v>
      </c>
    </row>
    <row r="8137" spans="1:24">
      <c r="A8137">
        <f>HYPERLINK("https://www.philgeps.gov.ph/GEPSNONPILOT/Tender/SplashBidNoticeAbstractUI.aspx?menuIndex=3&amp;refID=7152805&amp;Result=3","7152805")</f>
        <v>0</v>
      </c>
      <c r="B8137" t="s">
        <v>1823</v>
      </c>
      <c r="C8137" t="s">
        <v>11555</v>
      </c>
      <c r="D8137" t="s">
        <v>19100</v>
      </c>
      <c r="E8137" t="s">
        <v>26178</v>
      </c>
      <c r="F8137" t="s">
        <v>32831</v>
      </c>
      <c r="G8137" t="s">
        <v>32839</v>
      </c>
      <c r="H8137" t="s">
        <v>32849</v>
      </c>
      <c r="I8137" t="s">
        <v>4177</v>
      </c>
      <c r="J8137" t="s">
        <v>38059</v>
      </c>
      <c r="K8137" t="s">
        <v>42770</v>
      </c>
      <c r="M8137" t="s">
        <v>45955</v>
      </c>
      <c r="N8137" t="s">
        <v>47424</v>
      </c>
      <c r="O8137" t="s">
        <v>47425</v>
      </c>
      <c r="P8137">
        <v>0</v>
      </c>
      <c r="Q8137">
        <v>1</v>
      </c>
      <c r="R8137" t="s">
        <v>47432</v>
      </c>
      <c r="S8137" t="s">
        <v>47597</v>
      </c>
      <c r="T8137" t="s">
        <v>49283</v>
      </c>
      <c r="U8137" t="s">
        <v>56441</v>
      </c>
      <c r="W8137" t="s">
        <v>45955</v>
      </c>
      <c r="X8137" t="s">
        <v>47433</v>
      </c>
    </row>
    <row r="8138" spans="1:24">
      <c r="A8138">
        <f>HYPERLINK("https://www.philgeps.gov.ph/GEPSNONPILOT/Tender/SplashBidNoticeAbstractUI.aspx?menuIndex=3&amp;refID=7152986&amp;Result=3","7152986")</f>
        <v>0</v>
      </c>
      <c r="B8138" t="s">
        <v>1441</v>
      </c>
      <c r="C8138" t="s">
        <v>11556</v>
      </c>
      <c r="D8138" t="s">
        <v>19048</v>
      </c>
      <c r="E8138" t="s">
        <v>26179</v>
      </c>
      <c r="F8138" t="s">
        <v>32831</v>
      </c>
      <c r="G8138" t="s">
        <v>32839</v>
      </c>
      <c r="H8138" t="s">
        <v>32848</v>
      </c>
      <c r="I8138" t="s">
        <v>7751</v>
      </c>
      <c r="J8138" t="s">
        <v>33072</v>
      </c>
      <c r="K8138" t="s">
        <v>42727</v>
      </c>
      <c r="M8138" t="s">
        <v>44533</v>
      </c>
      <c r="N8138" t="s">
        <v>47424</v>
      </c>
      <c r="O8138" t="s">
        <v>47425</v>
      </c>
      <c r="P8138">
        <v>0</v>
      </c>
      <c r="Q8138">
        <v>0</v>
      </c>
      <c r="R8138" t="s">
        <v>47432</v>
      </c>
      <c r="S8138" t="s">
        <v>47597</v>
      </c>
      <c r="T8138" t="s">
        <v>49123</v>
      </c>
      <c r="U8138" t="s">
        <v>56442</v>
      </c>
      <c r="W8138" t="s">
        <v>44533</v>
      </c>
      <c r="X8138" t="s">
        <v>47433</v>
      </c>
    </row>
    <row r="8139" spans="1:24">
      <c r="A8139">
        <f>HYPERLINK("https://www.philgeps.gov.ph/GEPSNONPILOT/Tender/SplashBidNoticeAbstractUI.aspx?menuIndex=3&amp;refID=7152985&amp;Result=3","7152985")</f>
        <v>0</v>
      </c>
      <c r="B8139" t="s">
        <v>1004</v>
      </c>
      <c r="C8139" t="s">
        <v>11557</v>
      </c>
      <c r="D8139" t="s">
        <v>19050</v>
      </c>
      <c r="E8139" t="s">
        <v>26180</v>
      </c>
      <c r="F8139" t="s">
        <v>32831</v>
      </c>
      <c r="G8139" t="s">
        <v>32838</v>
      </c>
      <c r="H8139" t="s">
        <v>32848</v>
      </c>
      <c r="I8139" t="s">
        <v>32864</v>
      </c>
      <c r="J8139" t="s">
        <v>33007</v>
      </c>
      <c r="K8139" t="s">
        <v>42745</v>
      </c>
      <c r="M8139" t="s">
        <v>44053</v>
      </c>
      <c r="N8139" t="s">
        <v>47424</v>
      </c>
      <c r="O8139" t="s">
        <v>47425</v>
      </c>
      <c r="P8139">
        <v>0</v>
      </c>
      <c r="Q8139">
        <v>1</v>
      </c>
      <c r="R8139" t="s">
        <v>47432</v>
      </c>
      <c r="S8139" t="s">
        <v>47597</v>
      </c>
      <c r="T8139" t="s">
        <v>49237</v>
      </c>
      <c r="U8139" t="s">
        <v>56443</v>
      </c>
      <c r="W8139" t="s">
        <v>44053</v>
      </c>
      <c r="X8139" t="s">
        <v>47433</v>
      </c>
    </row>
    <row r="8140" spans="1:24">
      <c r="A8140">
        <f>HYPERLINK("https://www.philgeps.gov.ph/GEPSNONPILOT/Tender/SplashBidNoticeAbstractUI.aspx?menuIndex=3&amp;refID=7152978&amp;Result=3","7152978")</f>
        <v>0</v>
      </c>
      <c r="B8140" t="s">
        <v>2729</v>
      </c>
      <c r="C8140" t="s">
        <v>11558</v>
      </c>
      <c r="D8140" t="s">
        <v>19038</v>
      </c>
      <c r="E8140" t="s">
        <v>26181</v>
      </c>
      <c r="F8140" t="s">
        <v>32831</v>
      </c>
      <c r="G8140" t="s">
        <v>32839</v>
      </c>
      <c r="H8140" t="s">
        <v>32848</v>
      </c>
      <c r="I8140" t="s">
        <v>7416</v>
      </c>
      <c r="J8140" t="s">
        <v>38060</v>
      </c>
      <c r="K8140" t="s">
        <v>42727</v>
      </c>
      <c r="M8140" t="s">
        <v>45956</v>
      </c>
      <c r="N8140" t="s">
        <v>47424</v>
      </c>
      <c r="O8140" t="s">
        <v>47425</v>
      </c>
      <c r="P8140">
        <v>0</v>
      </c>
      <c r="Q8140">
        <v>1</v>
      </c>
      <c r="R8140" t="s">
        <v>47432</v>
      </c>
      <c r="S8140" t="s">
        <v>47597</v>
      </c>
      <c r="T8140" t="s">
        <v>49061</v>
      </c>
      <c r="U8140" t="s">
        <v>56444</v>
      </c>
      <c r="W8140" t="s">
        <v>45956</v>
      </c>
      <c r="X8140" t="s">
        <v>47433</v>
      </c>
    </row>
    <row r="8141" spans="1:24">
      <c r="A8141">
        <f>HYPERLINK("https://www.philgeps.gov.ph/GEPSNONPILOT/Tender/SplashBidNoticeAbstractUI.aspx?menuIndex=3&amp;refID=7152993&amp;Result=3","7152993")</f>
        <v>0</v>
      </c>
      <c r="B8141" t="s">
        <v>1950</v>
      </c>
      <c r="C8141" t="s">
        <v>11559</v>
      </c>
      <c r="D8141" t="s">
        <v>19074</v>
      </c>
      <c r="E8141" t="s">
        <v>26182</v>
      </c>
      <c r="F8141" t="s">
        <v>32831</v>
      </c>
      <c r="G8141" t="s">
        <v>32838</v>
      </c>
      <c r="H8141" t="s">
        <v>32848</v>
      </c>
      <c r="I8141" t="s">
        <v>32923</v>
      </c>
      <c r="J8141" t="s">
        <v>33044</v>
      </c>
      <c r="K8141" t="s">
        <v>42745</v>
      </c>
      <c r="M8141" t="s">
        <v>45107</v>
      </c>
      <c r="N8141" t="s">
        <v>47424</v>
      </c>
      <c r="O8141" t="s">
        <v>47425</v>
      </c>
      <c r="P8141">
        <v>0</v>
      </c>
      <c r="Q8141">
        <v>4</v>
      </c>
      <c r="R8141" t="s">
        <v>47432</v>
      </c>
      <c r="S8141" t="s">
        <v>47597</v>
      </c>
      <c r="T8141" t="s">
        <v>49235</v>
      </c>
      <c r="U8141" t="s">
        <v>54028</v>
      </c>
      <c r="W8141" t="s">
        <v>45107</v>
      </c>
      <c r="X8141" t="s">
        <v>47433</v>
      </c>
    </row>
    <row r="8142" spans="1:24">
      <c r="A8142">
        <f>HYPERLINK("https://www.philgeps.gov.ph/GEPSNONPILOT/Tender/SplashBidNoticeAbstractUI.aspx?menuIndex=3&amp;refID=7152969&amp;Result=3","7152969")</f>
        <v>0</v>
      </c>
      <c r="B8142" t="s">
        <v>920</v>
      </c>
      <c r="C8142" t="s">
        <v>11560</v>
      </c>
      <c r="E8142" t="s">
        <v>26183</v>
      </c>
      <c r="F8142" t="s">
        <v>32831</v>
      </c>
      <c r="G8142" t="s">
        <v>32839</v>
      </c>
      <c r="H8142" t="s">
        <v>32848</v>
      </c>
      <c r="I8142" t="s">
        <v>32852</v>
      </c>
      <c r="J8142" t="s">
        <v>38061</v>
      </c>
      <c r="K8142" t="s">
        <v>42732</v>
      </c>
      <c r="M8142" t="s">
        <v>43961</v>
      </c>
      <c r="N8142" t="s">
        <v>47424</v>
      </c>
      <c r="O8142" t="s">
        <v>47425</v>
      </c>
      <c r="P8142">
        <v>0</v>
      </c>
      <c r="Q8142">
        <v>4</v>
      </c>
      <c r="R8142" t="s">
        <v>47432</v>
      </c>
      <c r="S8142" t="s">
        <v>47597</v>
      </c>
      <c r="T8142" t="s">
        <v>49185</v>
      </c>
      <c r="U8142" t="s">
        <v>56445</v>
      </c>
      <c r="V8142" t="s">
        <v>62833</v>
      </c>
      <c r="W8142" t="s">
        <v>43961</v>
      </c>
      <c r="X8142" t="s">
        <v>47433</v>
      </c>
    </row>
    <row r="8143" spans="1:24">
      <c r="A8143">
        <f>HYPERLINK("https://www.philgeps.gov.ph/GEPSNONPILOT/Tender/SplashBidNoticeAbstractUI.aspx?menuIndex=3&amp;refID=7152964&amp;Result=3","7152964")</f>
        <v>0</v>
      </c>
      <c r="B8143" t="s">
        <v>2656</v>
      </c>
      <c r="C8143" t="s">
        <v>11561</v>
      </c>
      <c r="D8143" t="s">
        <v>19028</v>
      </c>
      <c r="E8143" t="s">
        <v>26184</v>
      </c>
      <c r="F8143" t="s">
        <v>32831</v>
      </c>
      <c r="G8143" t="s">
        <v>32839</v>
      </c>
      <c r="H8143" t="s">
        <v>32849</v>
      </c>
      <c r="I8143" t="s">
        <v>4177</v>
      </c>
      <c r="J8143" t="s">
        <v>38062</v>
      </c>
      <c r="K8143" t="s">
        <v>42727</v>
      </c>
      <c r="M8143" t="s">
        <v>45919</v>
      </c>
      <c r="N8143" t="s">
        <v>47424</v>
      </c>
      <c r="O8143" t="s">
        <v>47425</v>
      </c>
      <c r="P8143">
        <v>0</v>
      </c>
      <c r="Q8143">
        <v>0</v>
      </c>
      <c r="R8143" t="s">
        <v>47432</v>
      </c>
      <c r="S8143" t="s">
        <v>47597</v>
      </c>
      <c r="T8143" t="s">
        <v>49166</v>
      </c>
      <c r="U8143" t="s">
        <v>56348</v>
      </c>
      <c r="W8143" t="s">
        <v>45919</v>
      </c>
      <c r="X8143" t="s">
        <v>47433</v>
      </c>
    </row>
    <row r="8144" spans="1:24">
      <c r="A8144">
        <f>HYPERLINK("https://www.philgeps.gov.ph/GEPSNONPILOT/Tender/SplashBidNoticeAbstractUI.aspx?menuIndex=3&amp;refID=7153010&amp;Result=3","7153010")</f>
        <v>0</v>
      </c>
      <c r="B8144" t="s">
        <v>946</v>
      </c>
      <c r="C8144" t="s">
        <v>11562</v>
      </c>
      <c r="D8144" t="s">
        <v>19021</v>
      </c>
      <c r="E8144" t="s">
        <v>19471</v>
      </c>
      <c r="F8144" t="s">
        <v>32831</v>
      </c>
      <c r="G8144" t="s">
        <v>32839</v>
      </c>
      <c r="H8144" t="s">
        <v>32848</v>
      </c>
      <c r="I8144" t="s">
        <v>10643</v>
      </c>
      <c r="J8144" t="s">
        <v>35912</v>
      </c>
      <c r="K8144" t="s">
        <v>42726</v>
      </c>
      <c r="M8144" t="s">
        <v>43990</v>
      </c>
      <c r="N8144" t="s">
        <v>47424</v>
      </c>
      <c r="O8144" t="s">
        <v>47425</v>
      </c>
      <c r="P8144">
        <v>0</v>
      </c>
      <c r="Q8144">
        <v>0</v>
      </c>
      <c r="R8144" t="s">
        <v>47432</v>
      </c>
      <c r="S8144" t="s">
        <v>47597</v>
      </c>
      <c r="T8144" t="s">
        <v>49107</v>
      </c>
      <c r="U8144" t="s">
        <v>56446</v>
      </c>
      <c r="W8144" t="s">
        <v>43990</v>
      </c>
      <c r="X8144" t="s">
        <v>47433</v>
      </c>
    </row>
    <row r="8145" spans="1:24">
      <c r="A8145">
        <f>HYPERLINK("https://www.philgeps.gov.ph/GEPSNONPILOT/Tender/SplashBidNoticeAbstractUI.aspx?menuIndex=3&amp;refID=7153037&amp;Result=3","7153037")</f>
        <v>0</v>
      </c>
      <c r="B8145" t="s">
        <v>2730</v>
      </c>
      <c r="C8145" t="s">
        <v>11563</v>
      </c>
      <c r="E8145" t="s">
        <v>26185</v>
      </c>
      <c r="F8145" t="s">
        <v>32831</v>
      </c>
      <c r="G8145" t="s">
        <v>32838</v>
      </c>
      <c r="H8145" t="s">
        <v>32848</v>
      </c>
      <c r="I8145" t="s">
        <v>32931</v>
      </c>
      <c r="J8145" t="s">
        <v>38063</v>
      </c>
      <c r="K8145" t="s">
        <v>42732</v>
      </c>
      <c r="M8145" t="s">
        <v>45957</v>
      </c>
      <c r="N8145" t="s">
        <v>47424</v>
      </c>
      <c r="O8145" t="s">
        <v>47425</v>
      </c>
      <c r="P8145">
        <v>0</v>
      </c>
      <c r="Q8145">
        <v>3</v>
      </c>
      <c r="R8145" t="s">
        <v>47432</v>
      </c>
      <c r="S8145" t="s">
        <v>47597</v>
      </c>
      <c r="T8145" t="s">
        <v>49177</v>
      </c>
      <c r="U8145" t="s">
        <v>56447</v>
      </c>
      <c r="W8145" t="s">
        <v>45957</v>
      </c>
      <c r="X8145" t="s">
        <v>47433</v>
      </c>
    </row>
    <row r="8146" spans="1:24">
      <c r="A8146">
        <f>HYPERLINK("https://www.philgeps.gov.ph/GEPSNONPILOT/Tender/SplashBidNoticeAbstractUI.aspx?menuIndex=3&amp;refID=7152998&amp;Result=3","7152998")</f>
        <v>0</v>
      </c>
      <c r="B8146" t="s">
        <v>2525</v>
      </c>
      <c r="C8146" t="s">
        <v>11564</v>
      </c>
      <c r="D8146" t="s">
        <v>19071</v>
      </c>
      <c r="E8146" t="s">
        <v>26186</v>
      </c>
      <c r="F8146" t="s">
        <v>32831</v>
      </c>
      <c r="G8146" t="s">
        <v>32839</v>
      </c>
      <c r="H8146" t="s">
        <v>32848</v>
      </c>
      <c r="I8146" t="s">
        <v>32857</v>
      </c>
      <c r="J8146" t="s">
        <v>38064</v>
      </c>
      <c r="K8146" t="s">
        <v>42727</v>
      </c>
      <c r="M8146" t="s">
        <v>45733</v>
      </c>
      <c r="N8146" t="s">
        <v>47424</v>
      </c>
      <c r="O8146" t="s">
        <v>47425</v>
      </c>
      <c r="P8146">
        <v>0</v>
      </c>
      <c r="Q8146">
        <v>1</v>
      </c>
      <c r="R8146" t="s">
        <v>47432</v>
      </c>
      <c r="S8146" t="s">
        <v>47597</v>
      </c>
      <c r="T8146" t="s">
        <v>49166</v>
      </c>
      <c r="U8146" t="s">
        <v>55810</v>
      </c>
      <c r="V8146" t="s">
        <v>63439</v>
      </c>
      <c r="W8146" t="s">
        <v>45733</v>
      </c>
      <c r="X8146" t="s">
        <v>47433</v>
      </c>
    </row>
    <row r="8147" spans="1:24">
      <c r="A8147">
        <f>HYPERLINK("https://www.philgeps.gov.ph/GEPSNONPILOT/Tender/SplashBidNoticeAbstractUI.aspx?menuIndex=3&amp;refID=7152975&amp;Result=3","7152975")</f>
        <v>0</v>
      </c>
      <c r="B8147" t="s">
        <v>2525</v>
      </c>
      <c r="C8147" t="s">
        <v>11565</v>
      </c>
      <c r="D8147" t="s">
        <v>19071</v>
      </c>
      <c r="E8147" t="s">
        <v>26187</v>
      </c>
      <c r="F8147" t="s">
        <v>32831</v>
      </c>
      <c r="G8147" t="s">
        <v>32839</v>
      </c>
      <c r="H8147" t="s">
        <v>32848</v>
      </c>
      <c r="I8147" t="s">
        <v>7751</v>
      </c>
      <c r="J8147" t="s">
        <v>32985</v>
      </c>
      <c r="K8147" t="s">
        <v>42730</v>
      </c>
      <c r="M8147" t="s">
        <v>45733</v>
      </c>
      <c r="N8147" t="s">
        <v>47424</v>
      </c>
      <c r="O8147" t="s">
        <v>47425</v>
      </c>
      <c r="P8147">
        <v>0</v>
      </c>
      <c r="Q8147">
        <v>0</v>
      </c>
      <c r="R8147" t="s">
        <v>47432</v>
      </c>
      <c r="S8147" t="s">
        <v>47597</v>
      </c>
      <c r="T8147" t="s">
        <v>49166</v>
      </c>
      <c r="U8147" t="s">
        <v>55810</v>
      </c>
      <c r="V8147" t="s">
        <v>63439</v>
      </c>
      <c r="W8147" t="s">
        <v>45733</v>
      </c>
      <c r="X8147" t="s">
        <v>47433</v>
      </c>
    </row>
    <row r="8148" spans="1:24">
      <c r="A8148">
        <f>HYPERLINK("https://www.philgeps.gov.ph/GEPSNONPILOT/Tender/SplashBidNoticeAbstractUI.aspx?menuIndex=3&amp;refID=7153044&amp;Result=3","7153044")</f>
        <v>0</v>
      </c>
      <c r="B8148" t="s">
        <v>2652</v>
      </c>
      <c r="C8148" t="s">
        <v>11566</v>
      </c>
      <c r="D8148" t="s">
        <v>19064</v>
      </c>
      <c r="E8148" t="s">
        <v>26188</v>
      </c>
      <c r="F8148" t="s">
        <v>32831</v>
      </c>
      <c r="G8148" t="s">
        <v>32839</v>
      </c>
      <c r="H8148" t="s">
        <v>32849</v>
      </c>
      <c r="I8148" t="s">
        <v>4177</v>
      </c>
      <c r="J8148" t="s">
        <v>38065</v>
      </c>
      <c r="K8148" t="s">
        <v>42824</v>
      </c>
      <c r="M8148" t="s">
        <v>45875</v>
      </c>
      <c r="N8148" t="s">
        <v>47424</v>
      </c>
      <c r="O8148" t="s">
        <v>47425</v>
      </c>
      <c r="P8148">
        <v>0</v>
      </c>
      <c r="Q8148">
        <v>0</v>
      </c>
      <c r="R8148" t="s">
        <v>47432</v>
      </c>
      <c r="S8148" t="s">
        <v>47597</v>
      </c>
      <c r="T8148" t="s">
        <v>49214</v>
      </c>
      <c r="U8148" t="s">
        <v>56257</v>
      </c>
      <c r="V8148" t="s">
        <v>63504</v>
      </c>
      <c r="W8148" t="s">
        <v>45875</v>
      </c>
      <c r="X8148" t="s">
        <v>47433</v>
      </c>
    </row>
    <row r="8149" spans="1:24">
      <c r="A8149">
        <f>HYPERLINK("https://www.philgeps.gov.ph/GEPSNONPILOT/Tender/SplashBidNoticeAbstractUI.aspx?menuIndex=3&amp;refID=7152965&amp;Result=3","7152965")</f>
        <v>0</v>
      </c>
      <c r="B8149" t="s">
        <v>2719</v>
      </c>
      <c r="C8149" t="s">
        <v>11567</v>
      </c>
      <c r="D8149" t="s">
        <v>19103</v>
      </c>
      <c r="E8149" t="s">
        <v>26189</v>
      </c>
      <c r="F8149" t="s">
        <v>32831</v>
      </c>
      <c r="G8149" t="s">
        <v>32839</v>
      </c>
      <c r="H8149" t="s">
        <v>32848</v>
      </c>
      <c r="I8149" t="s">
        <v>32883</v>
      </c>
      <c r="J8149" t="s">
        <v>33098</v>
      </c>
      <c r="K8149" t="s">
        <v>42726</v>
      </c>
      <c r="M8149" t="s">
        <v>45945</v>
      </c>
      <c r="N8149" t="s">
        <v>47424</v>
      </c>
      <c r="O8149" t="s">
        <v>47425</v>
      </c>
      <c r="P8149">
        <v>0</v>
      </c>
      <c r="Q8149">
        <v>1</v>
      </c>
      <c r="R8149" t="s">
        <v>47432</v>
      </c>
      <c r="S8149" t="s">
        <v>47597</v>
      </c>
      <c r="T8149" t="s">
        <v>49265</v>
      </c>
      <c r="U8149" t="s">
        <v>56448</v>
      </c>
      <c r="W8149" t="s">
        <v>45945</v>
      </c>
      <c r="X8149" t="s">
        <v>47433</v>
      </c>
    </row>
    <row r="8150" spans="1:24">
      <c r="A8150">
        <f>HYPERLINK("https://www.philgeps.gov.ph/GEPSNONPILOT/Tender/SplashBidNoticeAbstractUI.aspx?menuIndex=3&amp;refID=7153042&amp;Result=3","7153042")</f>
        <v>0</v>
      </c>
      <c r="B8150" t="s">
        <v>2731</v>
      </c>
      <c r="C8150" t="s">
        <v>11568</v>
      </c>
      <c r="D8150" t="s">
        <v>19062</v>
      </c>
      <c r="E8150" t="s">
        <v>21330</v>
      </c>
      <c r="F8150" t="s">
        <v>32831</v>
      </c>
      <c r="G8150" t="s">
        <v>32839</v>
      </c>
      <c r="H8150" t="s">
        <v>32849</v>
      </c>
      <c r="I8150" t="s">
        <v>4177</v>
      </c>
      <c r="J8150" t="s">
        <v>38066</v>
      </c>
      <c r="K8150" t="s">
        <v>42763</v>
      </c>
      <c r="M8150" t="s">
        <v>45958</v>
      </c>
      <c r="N8150" t="s">
        <v>47424</v>
      </c>
      <c r="O8150" t="s">
        <v>47425</v>
      </c>
      <c r="P8150">
        <v>0</v>
      </c>
      <c r="Q8150">
        <v>1</v>
      </c>
      <c r="R8150" t="s">
        <v>47432</v>
      </c>
      <c r="S8150" t="s">
        <v>47597</v>
      </c>
      <c r="T8150" t="s">
        <v>49334</v>
      </c>
      <c r="U8150" t="s">
        <v>56449</v>
      </c>
      <c r="W8150" t="s">
        <v>45958</v>
      </c>
      <c r="X8150" t="s">
        <v>47433</v>
      </c>
    </row>
    <row r="8151" spans="1:24">
      <c r="A8151">
        <f>HYPERLINK("https://www.philgeps.gov.ph/GEPSNONPILOT/Tender/SplashBidNoticeAbstractUI.aspx?menuIndex=3&amp;refID=7153007&amp;Result=3","7153007")</f>
        <v>0</v>
      </c>
      <c r="B8151" t="s">
        <v>2692</v>
      </c>
      <c r="C8151" t="s">
        <v>11569</v>
      </c>
      <c r="D8151" t="s">
        <v>19048</v>
      </c>
      <c r="E8151" t="s">
        <v>26190</v>
      </c>
      <c r="F8151" t="s">
        <v>32834</v>
      </c>
      <c r="G8151" t="s">
        <v>32840</v>
      </c>
      <c r="H8151" t="s">
        <v>32848</v>
      </c>
      <c r="I8151" t="s">
        <v>32927</v>
      </c>
      <c r="J8151" t="s">
        <v>34129</v>
      </c>
      <c r="K8151" t="s">
        <v>42748</v>
      </c>
      <c r="M8151" t="s">
        <v>45915</v>
      </c>
      <c r="N8151" t="s">
        <v>47424</v>
      </c>
      <c r="O8151" t="s">
        <v>47425</v>
      </c>
      <c r="P8151">
        <v>0</v>
      </c>
      <c r="Q8151">
        <v>0</v>
      </c>
      <c r="R8151" t="s">
        <v>47432</v>
      </c>
      <c r="S8151" t="s">
        <v>47597</v>
      </c>
      <c r="T8151" t="s">
        <v>49111</v>
      </c>
      <c r="U8151" t="s">
        <v>56450</v>
      </c>
      <c r="W8151" t="s">
        <v>45915</v>
      </c>
      <c r="X8151" t="s">
        <v>47433</v>
      </c>
    </row>
    <row r="8152" spans="1:24">
      <c r="A8152">
        <f>HYPERLINK("https://www.philgeps.gov.ph/GEPSNONPILOT/Tender/SplashBidNoticeAbstractUI.aspx?menuIndex=3&amp;refID=7153047&amp;Result=3","7153047")</f>
        <v>0</v>
      </c>
      <c r="B8152" t="s">
        <v>323</v>
      </c>
      <c r="C8152" t="s">
        <v>11570</v>
      </c>
      <c r="D8152" t="s">
        <v>19081</v>
      </c>
      <c r="E8152" t="s">
        <v>26191</v>
      </c>
      <c r="F8152" t="s">
        <v>32831</v>
      </c>
      <c r="G8152" t="s">
        <v>32838</v>
      </c>
      <c r="H8152" t="s">
        <v>32848</v>
      </c>
      <c r="I8152" t="s">
        <v>4776</v>
      </c>
      <c r="J8152" t="s">
        <v>38067</v>
      </c>
      <c r="K8152" t="s">
        <v>42726</v>
      </c>
      <c r="M8152" t="s">
        <v>45062</v>
      </c>
      <c r="N8152" t="s">
        <v>47424</v>
      </c>
      <c r="O8152" t="s">
        <v>47425</v>
      </c>
      <c r="P8152">
        <v>0</v>
      </c>
      <c r="Q8152">
        <v>4</v>
      </c>
      <c r="R8152" t="s">
        <v>47432</v>
      </c>
      <c r="S8152" t="s">
        <v>47597</v>
      </c>
      <c r="T8152" t="s">
        <v>49111</v>
      </c>
      <c r="U8152" t="s">
        <v>56451</v>
      </c>
      <c r="W8152" t="s">
        <v>45062</v>
      </c>
      <c r="X8152" t="s">
        <v>47433</v>
      </c>
    </row>
    <row r="8153" spans="1:24">
      <c r="A8153">
        <f>HYPERLINK("https://www.philgeps.gov.ph/GEPSNONPILOT/Tender/SplashBidNoticeAbstractUI.aspx?menuIndex=3&amp;refID=7153030&amp;Result=3","7153030")</f>
        <v>0</v>
      </c>
      <c r="B8153" t="s">
        <v>1823</v>
      </c>
      <c r="C8153" t="s">
        <v>11571</v>
      </c>
      <c r="D8153" t="s">
        <v>19100</v>
      </c>
      <c r="E8153" t="s">
        <v>26192</v>
      </c>
      <c r="F8153" t="s">
        <v>32831</v>
      </c>
      <c r="G8153" t="s">
        <v>32839</v>
      </c>
      <c r="H8153" t="s">
        <v>32849</v>
      </c>
      <c r="I8153" t="s">
        <v>4177</v>
      </c>
      <c r="J8153" t="s">
        <v>38068</v>
      </c>
      <c r="K8153" t="s">
        <v>42763</v>
      </c>
      <c r="M8153" t="s">
        <v>45955</v>
      </c>
      <c r="N8153" t="s">
        <v>47424</v>
      </c>
      <c r="O8153" t="s">
        <v>47425</v>
      </c>
      <c r="P8153">
        <v>0</v>
      </c>
      <c r="Q8153">
        <v>1</v>
      </c>
      <c r="R8153" t="s">
        <v>47432</v>
      </c>
      <c r="S8153" t="s">
        <v>47597</v>
      </c>
      <c r="T8153" t="s">
        <v>49283</v>
      </c>
      <c r="U8153" t="s">
        <v>56452</v>
      </c>
      <c r="W8153" t="s">
        <v>45955</v>
      </c>
      <c r="X8153" t="s">
        <v>47433</v>
      </c>
    </row>
    <row r="8154" spans="1:24">
      <c r="A8154">
        <f>HYPERLINK("https://www.philgeps.gov.ph/GEPSNONPILOT/Tender/SplashBidNoticeAbstractUI.aspx?menuIndex=3&amp;refID=7152980&amp;Result=3","7152980")</f>
        <v>0</v>
      </c>
      <c r="B8154" t="s">
        <v>2732</v>
      </c>
      <c r="C8154" t="s">
        <v>11572</v>
      </c>
      <c r="D8154" t="s">
        <v>19038</v>
      </c>
      <c r="E8154" t="s">
        <v>19219</v>
      </c>
      <c r="F8154" t="s">
        <v>32831</v>
      </c>
      <c r="G8154" t="s">
        <v>32839</v>
      </c>
      <c r="H8154" t="s">
        <v>32849</v>
      </c>
      <c r="I8154" t="s">
        <v>4177</v>
      </c>
      <c r="J8154" t="s">
        <v>34851</v>
      </c>
      <c r="K8154" t="s">
        <v>42745</v>
      </c>
      <c r="M8154" t="s">
        <v>45959</v>
      </c>
      <c r="N8154" t="s">
        <v>47424</v>
      </c>
      <c r="O8154" t="s">
        <v>47425</v>
      </c>
      <c r="P8154">
        <v>0</v>
      </c>
      <c r="Q8154">
        <v>1</v>
      </c>
      <c r="R8154" t="s">
        <v>47432</v>
      </c>
      <c r="S8154" t="s">
        <v>47597</v>
      </c>
      <c r="T8154" t="s">
        <v>49108</v>
      </c>
      <c r="U8154" t="s">
        <v>56453</v>
      </c>
      <c r="W8154" t="s">
        <v>45959</v>
      </c>
      <c r="X8154" t="s">
        <v>47433</v>
      </c>
    </row>
    <row r="8155" spans="1:24">
      <c r="A8155">
        <f>HYPERLINK("https://www.philgeps.gov.ph/GEPSNONPILOT/Tender/SplashBidNoticeAbstractUI.aspx?menuIndex=3&amp;refID=7153050&amp;Result=3","7153050")</f>
        <v>0</v>
      </c>
      <c r="B8155" t="s">
        <v>2733</v>
      </c>
      <c r="C8155" t="s">
        <v>11573</v>
      </c>
      <c r="D8155" t="s">
        <v>19034</v>
      </c>
      <c r="E8155" t="s">
        <v>26193</v>
      </c>
      <c r="F8155" t="s">
        <v>32833</v>
      </c>
      <c r="G8155" t="s">
        <v>32840</v>
      </c>
      <c r="H8155" t="s">
        <v>32848</v>
      </c>
      <c r="I8155" t="s">
        <v>32857</v>
      </c>
      <c r="J8155" t="s">
        <v>38069</v>
      </c>
      <c r="K8155" t="s">
        <v>42731</v>
      </c>
      <c r="M8155" t="s">
        <v>45960</v>
      </c>
      <c r="N8155" t="s">
        <v>47424</v>
      </c>
      <c r="O8155" t="s">
        <v>47425</v>
      </c>
      <c r="P8155">
        <v>0</v>
      </c>
      <c r="Q8155">
        <v>7</v>
      </c>
      <c r="R8155" t="s">
        <v>47432</v>
      </c>
      <c r="S8155" t="s">
        <v>47597</v>
      </c>
      <c r="T8155" t="s">
        <v>49196</v>
      </c>
      <c r="U8155" t="s">
        <v>56454</v>
      </c>
      <c r="W8155" t="s">
        <v>45960</v>
      </c>
      <c r="X8155" t="s">
        <v>47433</v>
      </c>
    </row>
    <row r="8156" spans="1:24">
      <c r="A8156">
        <f>HYPERLINK("https://www.philgeps.gov.ph/GEPSNONPILOT/Tender/SplashBidNoticeAbstractUI.aspx?menuIndex=3&amp;refID=7153026&amp;Result=3","7153026")</f>
        <v>0</v>
      </c>
      <c r="B8156" t="s">
        <v>2734</v>
      </c>
      <c r="C8156" t="s">
        <v>11574</v>
      </c>
      <c r="D8156" t="s">
        <v>19027</v>
      </c>
      <c r="E8156" t="s">
        <v>19471</v>
      </c>
      <c r="F8156" t="s">
        <v>32831</v>
      </c>
      <c r="G8156" t="s">
        <v>32839</v>
      </c>
      <c r="H8156" t="s">
        <v>32848</v>
      </c>
      <c r="I8156" t="s">
        <v>7416</v>
      </c>
      <c r="J8156" t="s">
        <v>38070</v>
      </c>
      <c r="K8156" t="s">
        <v>42730</v>
      </c>
      <c r="M8156" t="s">
        <v>45961</v>
      </c>
      <c r="N8156" t="s">
        <v>47424</v>
      </c>
      <c r="O8156" t="s">
        <v>47425</v>
      </c>
      <c r="P8156">
        <v>0</v>
      </c>
      <c r="Q8156">
        <v>0</v>
      </c>
      <c r="R8156" t="s">
        <v>47432</v>
      </c>
      <c r="S8156" t="s">
        <v>47597</v>
      </c>
      <c r="T8156" t="s">
        <v>49214</v>
      </c>
      <c r="U8156" t="s">
        <v>50272</v>
      </c>
      <c r="W8156" t="s">
        <v>45961</v>
      </c>
      <c r="X8156" t="s">
        <v>47433</v>
      </c>
    </row>
    <row r="8157" spans="1:24">
      <c r="A8157">
        <f>HYPERLINK("https://www.philgeps.gov.ph/GEPSNONPILOT/Tender/SplashBidNoticeAbstractUI.aspx?menuIndex=3&amp;refID=7153034&amp;Result=3","7153034")</f>
        <v>0</v>
      </c>
      <c r="B8157" t="s">
        <v>2656</v>
      </c>
      <c r="C8157" t="s">
        <v>11575</v>
      </c>
      <c r="D8157" t="s">
        <v>19028</v>
      </c>
      <c r="E8157" t="s">
        <v>26194</v>
      </c>
      <c r="F8157" t="s">
        <v>32831</v>
      </c>
      <c r="G8157" t="s">
        <v>32839</v>
      </c>
      <c r="H8157" t="s">
        <v>32849</v>
      </c>
      <c r="I8157" t="s">
        <v>4177</v>
      </c>
      <c r="J8157" t="s">
        <v>38071</v>
      </c>
      <c r="K8157" t="s">
        <v>42742</v>
      </c>
      <c r="M8157" t="s">
        <v>45919</v>
      </c>
      <c r="N8157" t="s">
        <v>47424</v>
      </c>
      <c r="O8157" t="s">
        <v>47425</v>
      </c>
      <c r="P8157">
        <v>0</v>
      </c>
      <c r="Q8157">
        <v>0</v>
      </c>
      <c r="R8157" t="s">
        <v>47432</v>
      </c>
      <c r="S8157" t="s">
        <v>47597</v>
      </c>
      <c r="T8157" t="s">
        <v>49166</v>
      </c>
      <c r="U8157" t="s">
        <v>56348</v>
      </c>
      <c r="W8157" t="s">
        <v>45919</v>
      </c>
      <c r="X8157" t="s">
        <v>47433</v>
      </c>
    </row>
    <row r="8158" spans="1:24">
      <c r="A8158">
        <f>HYPERLINK("https://www.philgeps.gov.ph/GEPSNONPILOT/Tender/SplashBidNoticeAbstractUI.aspx?menuIndex=3&amp;refID=7153028&amp;Result=3","7153028")</f>
        <v>0</v>
      </c>
      <c r="B8158" t="s">
        <v>2735</v>
      </c>
      <c r="C8158" t="s">
        <v>11576</v>
      </c>
      <c r="D8158" t="s">
        <v>19077</v>
      </c>
      <c r="E8158" t="s">
        <v>26195</v>
      </c>
      <c r="F8158" t="s">
        <v>32831</v>
      </c>
      <c r="G8158" t="s">
        <v>32839</v>
      </c>
      <c r="H8158" t="s">
        <v>32848</v>
      </c>
      <c r="I8158" t="s">
        <v>4776</v>
      </c>
      <c r="J8158" t="s">
        <v>38072</v>
      </c>
      <c r="K8158" t="s">
        <v>42730</v>
      </c>
      <c r="M8158" t="s">
        <v>45962</v>
      </c>
      <c r="N8158" t="s">
        <v>47424</v>
      </c>
      <c r="O8158" t="s">
        <v>47425</v>
      </c>
      <c r="P8158">
        <v>0</v>
      </c>
      <c r="Q8158">
        <v>9</v>
      </c>
      <c r="R8158" t="s">
        <v>47432</v>
      </c>
      <c r="S8158" t="s">
        <v>47597</v>
      </c>
      <c r="T8158" t="s">
        <v>49393</v>
      </c>
      <c r="U8158" t="s">
        <v>56455</v>
      </c>
      <c r="W8158" t="s">
        <v>45962</v>
      </c>
      <c r="X8158" t="s">
        <v>47433</v>
      </c>
    </row>
    <row r="8159" spans="1:24">
      <c r="A8159">
        <f>HYPERLINK("https://www.philgeps.gov.ph/GEPSNONPILOT/Tender/SplashBidNoticeAbstractUI.aspx?menuIndex=3&amp;refID=7153036&amp;Result=3","7153036")</f>
        <v>0</v>
      </c>
      <c r="B8159" t="s">
        <v>2736</v>
      </c>
      <c r="C8159" t="s">
        <v>11577</v>
      </c>
      <c r="D8159" t="s">
        <v>19049</v>
      </c>
      <c r="E8159" t="s">
        <v>26196</v>
      </c>
      <c r="F8159" t="s">
        <v>32831</v>
      </c>
      <c r="G8159" t="s">
        <v>32839</v>
      </c>
      <c r="H8159" t="s">
        <v>32848</v>
      </c>
      <c r="I8159" t="s">
        <v>7416</v>
      </c>
      <c r="J8159" t="s">
        <v>38073</v>
      </c>
      <c r="K8159" t="s">
        <v>42730</v>
      </c>
      <c r="M8159" t="s">
        <v>45963</v>
      </c>
      <c r="N8159" t="s">
        <v>47424</v>
      </c>
      <c r="O8159" t="s">
        <v>47425</v>
      </c>
      <c r="P8159">
        <v>0</v>
      </c>
      <c r="Q8159">
        <v>0</v>
      </c>
      <c r="R8159" t="s">
        <v>47432</v>
      </c>
      <c r="S8159" t="s">
        <v>47597</v>
      </c>
      <c r="T8159" t="s">
        <v>49209</v>
      </c>
      <c r="U8159" t="s">
        <v>56456</v>
      </c>
      <c r="W8159" t="s">
        <v>45963</v>
      </c>
      <c r="X8159" t="s">
        <v>47433</v>
      </c>
    </row>
    <row r="8160" spans="1:24">
      <c r="A8160">
        <f>HYPERLINK("https://www.philgeps.gov.ph/GEPSNONPILOT/Tender/SplashBidNoticeAbstractUI.aspx?menuIndex=3&amp;refID=7153025&amp;Result=3","7153025")</f>
        <v>0</v>
      </c>
      <c r="B8160" t="s">
        <v>2723</v>
      </c>
      <c r="C8160" t="s">
        <v>11578</v>
      </c>
      <c r="D8160" t="s">
        <v>19038</v>
      </c>
      <c r="E8160" t="s">
        <v>26197</v>
      </c>
      <c r="F8160" t="s">
        <v>32833</v>
      </c>
      <c r="G8160" t="s">
        <v>32839</v>
      </c>
      <c r="H8160" t="s">
        <v>32849</v>
      </c>
      <c r="I8160" t="s">
        <v>4177</v>
      </c>
      <c r="J8160" t="s">
        <v>38074</v>
      </c>
      <c r="K8160" t="s">
        <v>42825</v>
      </c>
      <c r="L8160" t="s">
        <v>2723</v>
      </c>
      <c r="M8160" t="s">
        <v>45949</v>
      </c>
      <c r="N8160" t="s">
        <v>47424</v>
      </c>
      <c r="O8160" t="s">
        <v>47425</v>
      </c>
      <c r="P8160">
        <v>0</v>
      </c>
      <c r="Q8160">
        <v>0</v>
      </c>
      <c r="R8160" t="s">
        <v>47432</v>
      </c>
      <c r="S8160" t="s">
        <v>47597</v>
      </c>
      <c r="T8160" t="s">
        <v>49393</v>
      </c>
      <c r="U8160" t="s">
        <v>56457</v>
      </c>
      <c r="V8160" t="s">
        <v>63542</v>
      </c>
      <c r="W8160" t="s">
        <v>45949</v>
      </c>
      <c r="X8160" t="s">
        <v>47433</v>
      </c>
    </row>
    <row r="8161" spans="1:24">
      <c r="A8161">
        <f>HYPERLINK("https://www.philgeps.gov.ph/GEPSNONPILOT/Tender/SplashBidNoticeAbstractUI.aspx?menuIndex=3&amp;refID=7153019&amp;Result=3","7153019")</f>
        <v>0</v>
      </c>
      <c r="B8161" t="s">
        <v>2719</v>
      </c>
      <c r="C8161" t="s">
        <v>11579</v>
      </c>
      <c r="D8161" t="s">
        <v>19103</v>
      </c>
      <c r="E8161" t="s">
        <v>26198</v>
      </c>
      <c r="F8161" t="s">
        <v>32831</v>
      </c>
      <c r="G8161" t="s">
        <v>32839</v>
      </c>
      <c r="H8161" t="s">
        <v>32848</v>
      </c>
      <c r="I8161" t="s">
        <v>32883</v>
      </c>
      <c r="J8161" t="s">
        <v>38075</v>
      </c>
      <c r="K8161" t="s">
        <v>42726</v>
      </c>
      <c r="M8161" t="s">
        <v>45945</v>
      </c>
      <c r="N8161" t="s">
        <v>47424</v>
      </c>
      <c r="O8161" t="s">
        <v>47425</v>
      </c>
      <c r="P8161">
        <v>0</v>
      </c>
      <c r="Q8161">
        <v>0</v>
      </c>
      <c r="R8161" t="s">
        <v>47432</v>
      </c>
      <c r="S8161" t="s">
        <v>47597</v>
      </c>
      <c r="T8161" t="s">
        <v>49265</v>
      </c>
      <c r="U8161" t="s">
        <v>56458</v>
      </c>
      <c r="W8161" t="s">
        <v>45945</v>
      </c>
      <c r="X8161" t="s">
        <v>47433</v>
      </c>
    </row>
    <row r="8162" spans="1:24">
      <c r="A8162">
        <f>HYPERLINK("https://www.philgeps.gov.ph/GEPSNONPILOT/Tender/SplashBidNoticeAbstractUI.aspx?menuIndex=3&amp;refID=7153016&amp;Result=3","7153016")</f>
        <v>0</v>
      </c>
      <c r="B8162" t="s">
        <v>795</v>
      </c>
      <c r="C8162" t="s">
        <v>11580</v>
      </c>
      <c r="D8162" t="s">
        <v>19045</v>
      </c>
      <c r="E8162" t="s">
        <v>26199</v>
      </c>
      <c r="F8162" t="s">
        <v>32831</v>
      </c>
      <c r="G8162" t="s">
        <v>32838</v>
      </c>
      <c r="H8162" t="s">
        <v>32848</v>
      </c>
      <c r="I8162" t="s">
        <v>4776</v>
      </c>
      <c r="J8162" t="s">
        <v>32980</v>
      </c>
      <c r="K8162" t="s">
        <v>42748</v>
      </c>
      <c r="M8162" t="s">
        <v>43825</v>
      </c>
      <c r="N8162" t="s">
        <v>47424</v>
      </c>
      <c r="O8162" t="s">
        <v>47425</v>
      </c>
      <c r="P8162">
        <v>0</v>
      </c>
      <c r="Q8162">
        <v>7</v>
      </c>
      <c r="R8162" t="s">
        <v>47432</v>
      </c>
      <c r="S8162" t="s">
        <v>47597</v>
      </c>
      <c r="T8162" t="s">
        <v>49127</v>
      </c>
      <c r="U8162" t="s">
        <v>56459</v>
      </c>
      <c r="W8162" t="s">
        <v>43825</v>
      </c>
      <c r="X8162" t="s">
        <v>47433</v>
      </c>
    </row>
    <row r="8163" spans="1:24">
      <c r="A8163">
        <f>HYPERLINK("https://www.philgeps.gov.ph/GEPSNONPILOT/Tender/SplashBidNoticeAbstractUI.aspx?menuIndex=3&amp;refID=7153020&amp;Result=3","7153020")</f>
        <v>0</v>
      </c>
      <c r="B8163" t="s">
        <v>2674</v>
      </c>
      <c r="C8163" t="s">
        <v>11581</v>
      </c>
      <c r="D8163" t="s">
        <v>19077</v>
      </c>
      <c r="E8163" t="s">
        <v>26200</v>
      </c>
      <c r="F8163" t="s">
        <v>32831</v>
      </c>
      <c r="G8163" t="s">
        <v>32839</v>
      </c>
      <c r="H8163" t="s">
        <v>32849</v>
      </c>
      <c r="I8163" t="s">
        <v>4177</v>
      </c>
      <c r="J8163" t="s">
        <v>35198</v>
      </c>
      <c r="K8163" t="s">
        <v>42730</v>
      </c>
      <c r="M8163" t="s">
        <v>45897</v>
      </c>
      <c r="N8163" t="s">
        <v>47424</v>
      </c>
      <c r="O8163" t="s">
        <v>47425</v>
      </c>
      <c r="P8163">
        <v>0</v>
      </c>
      <c r="Q8163">
        <v>0</v>
      </c>
      <c r="R8163" t="s">
        <v>47432</v>
      </c>
      <c r="S8163" t="s">
        <v>47597</v>
      </c>
      <c r="T8163" t="s">
        <v>49231</v>
      </c>
      <c r="U8163" t="s">
        <v>56460</v>
      </c>
      <c r="W8163" t="s">
        <v>45897</v>
      </c>
      <c r="X8163" t="s">
        <v>47433</v>
      </c>
    </row>
    <row r="8164" spans="1:24">
      <c r="A8164">
        <f>HYPERLINK("https://www.philgeps.gov.ph/GEPSNONPILOT/Tender/SplashBidNoticeAbstractUI.aspx?menuIndex=3&amp;refID=7153018&amp;Result=3","7153018")</f>
        <v>0</v>
      </c>
      <c r="B8164" t="s">
        <v>2656</v>
      </c>
      <c r="C8164" t="s">
        <v>11582</v>
      </c>
      <c r="D8164" t="s">
        <v>19028</v>
      </c>
      <c r="E8164" t="s">
        <v>26201</v>
      </c>
      <c r="F8164" t="s">
        <v>32831</v>
      </c>
      <c r="G8164" t="s">
        <v>32839</v>
      </c>
      <c r="H8164" t="s">
        <v>32849</v>
      </c>
      <c r="I8164" t="s">
        <v>4177</v>
      </c>
      <c r="J8164" t="s">
        <v>38076</v>
      </c>
      <c r="K8164" t="s">
        <v>42731</v>
      </c>
      <c r="M8164" t="s">
        <v>45919</v>
      </c>
      <c r="N8164" t="s">
        <v>47424</v>
      </c>
      <c r="O8164" t="s">
        <v>47425</v>
      </c>
      <c r="P8164">
        <v>0</v>
      </c>
      <c r="Q8164">
        <v>0</v>
      </c>
      <c r="R8164" t="s">
        <v>47432</v>
      </c>
      <c r="S8164" t="s">
        <v>47597</v>
      </c>
      <c r="T8164" t="s">
        <v>49166</v>
      </c>
      <c r="U8164" t="s">
        <v>56348</v>
      </c>
      <c r="W8164" t="s">
        <v>45919</v>
      </c>
      <c r="X8164" t="s">
        <v>47433</v>
      </c>
    </row>
    <row r="8165" spans="1:24">
      <c r="A8165">
        <f>HYPERLINK("https://www.philgeps.gov.ph/GEPSNONPILOT/Tender/SplashBidNoticeAbstractUI.aspx?menuIndex=3&amp;refID=7153080&amp;Result=3","7153080")</f>
        <v>0</v>
      </c>
      <c r="B8165" t="s">
        <v>525</v>
      </c>
      <c r="C8165" t="s">
        <v>11583</v>
      </c>
      <c r="D8165" t="s">
        <v>19029</v>
      </c>
      <c r="E8165" t="s">
        <v>26202</v>
      </c>
      <c r="F8165" t="s">
        <v>32831</v>
      </c>
      <c r="G8165" t="s">
        <v>32839</v>
      </c>
      <c r="H8165" t="s">
        <v>32848</v>
      </c>
      <c r="I8165" t="s">
        <v>32871</v>
      </c>
      <c r="J8165" t="s">
        <v>38077</v>
      </c>
      <c r="K8165" t="s">
        <v>42727</v>
      </c>
      <c r="M8165" t="s">
        <v>43531</v>
      </c>
      <c r="N8165" t="s">
        <v>47424</v>
      </c>
      <c r="O8165" t="s">
        <v>47425</v>
      </c>
      <c r="P8165">
        <v>0</v>
      </c>
      <c r="Q8165">
        <v>6</v>
      </c>
      <c r="R8165" t="s">
        <v>47432</v>
      </c>
      <c r="S8165" t="s">
        <v>47597</v>
      </c>
      <c r="T8165" t="s">
        <v>49160</v>
      </c>
      <c r="U8165" t="s">
        <v>56461</v>
      </c>
      <c r="W8165" t="s">
        <v>43531</v>
      </c>
      <c r="X8165" t="s">
        <v>47433</v>
      </c>
    </row>
    <row r="8166" spans="1:24">
      <c r="A8166">
        <f>HYPERLINK("https://www.philgeps.gov.ph/GEPSNONPILOT/Tender/SplashBidNoticeAbstractUI.aspx?menuIndex=3&amp;refID=7153095&amp;Result=3","7153095")</f>
        <v>0</v>
      </c>
      <c r="B8166" t="s">
        <v>2737</v>
      </c>
      <c r="C8166" t="s">
        <v>11584</v>
      </c>
      <c r="D8166" t="s">
        <v>19034</v>
      </c>
      <c r="E8166" t="s">
        <v>19203</v>
      </c>
      <c r="F8166" t="s">
        <v>32831</v>
      </c>
      <c r="G8166" t="s">
        <v>32839</v>
      </c>
      <c r="H8166" t="s">
        <v>32849</v>
      </c>
      <c r="I8166" t="s">
        <v>4177</v>
      </c>
      <c r="J8166" t="s">
        <v>38078</v>
      </c>
      <c r="K8166" t="s">
        <v>42770</v>
      </c>
      <c r="M8166" t="s">
        <v>45964</v>
      </c>
      <c r="N8166" t="s">
        <v>47424</v>
      </c>
      <c r="O8166" t="s">
        <v>47425</v>
      </c>
      <c r="P8166">
        <v>0</v>
      </c>
      <c r="Q8166">
        <v>2</v>
      </c>
      <c r="R8166" t="s">
        <v>47432</v>
      </c>
      <c r="S8166" t="s">
        <v>47597</v>
      </c>
      <c r="T8166" t="s">
        <v>49142</v>
      </c>
      <c r="U8166" t="s">
        <v>56462</v>
      </c>
      <c r="W8166" t="s">
        <v>45964</v>
      </c>
      <c r="X8166" t="s">
        <v>47433</v>
      </c>
    </row>
    <row r="8167" spans="1:24">
      <c r="A8167">
        <f>HYPERLINK("https://www.philgeps.gov.ph/GEPSNONPILOT/Tender/SplashBidNoticeAbstractUI.aspx?menuIndex=3&amp;refID=7153099&amp;Result=3","7153099")</f>
        <v>0</v>
      </c>
      <c r="B8167" t="s">
        <v>2663</v>
      </c>
      <c r="C8167" t="s">
        <v>11585</v>
      </c>
      <c r="D8167" t="s">
        <v>19054</v>
      </c>
      <c r="E8167" t="s">
        <v>26203</v>
      </c>
      <c r="F8167" t="s">
        <v>32831</v>
      </c>
      <c r="G8167" t="s">
        <v>32839</v>
      </c>
      <c r="H8167" t="s">
        <v>32848</v>
      </c>
      <c r="I8167" t="s">
        <v>4558</v>
      </c>
      <c r="J8167" t="s">
        <v>33549</v>
      </c>
      <c r="K8167" t="s">
        <v>42730</v>
      </c>
      <c r="M8167" t="s">
        <v>45886</v>
      </c>
      <c r="N8167" t="s">
        <v>47424</v>
      </c>
      <c r="O8167" t="s">
        <v>47425</v>
      </c>
      <c r="P8167">
        <v>0</v>
      </c>
      <c r="Q8167">
        <v>2</v>
      </c>
      <c r="R8167" t="s">
        <v>47432</v>
      </c>
      <c r="S8167" t="s">
        <v>47597</v>
      </c>
      <c r="T8167" t="s">
        <v>49143</v>
      </c>
      <c r="U8167" t="s">
        <v>56463</v>
      </c>
      <c r="V8167" t="s">
        <v>63543</v>
      </c>
      <c r="W8167" t="s">
        <v>45886</v>
      </c>
      <c r="X8167" t="s">
        <v>47433</v>
      </c>
    </row>
    <row r="8168" spans="1:24">
      <c r="A8168">
        <f>HYPERLINK("https://www.philgeps.gov.ph/GEPSNONPILOT/Tender/SplashBidNoticeAbstractUI.aspx?menuIndex=3&amp;refID=7152919&amp;Result=3","7152919")</f>
        <v>0</v>
      </c>
      <c r="B8168" t="s">
        <v>2636</v>
      </c>
      <c r="C8168" t="s">
        <v>11586</v>
      </c>
      <c r="D8168" t="s">
        <v>19037</v>
      </c>
      <c r="E8168" t="s">
        <v>26204</v>
      </c>
      <c r="F8168" t="s">
        <v>32831</v>
      </c>
      <c r="G8168" t="s">
        <v>32839</v>
      </c>
      <c r="H8168" t="s">
        <v>32849</v>
      </c>
      <c r="I8168" t="s">
        <v>4177</v>
      </c>
      <c r="J8168" t="s">
        <v>38079</v>
      </c>
      <c r="K8168" t="s">
        <v>42746</v>
      </c>
      <c r="M8168" t="s">
        <v>45965</v>
      </c>
      <c r="N8168" t="s">
        <v>47424</v>
      </c>
      <c r="O8168" t="s">
        <v>47425</v>
      </c>
      <c r="P8168">
        <v>0</v>
      </c>
      <c r="Q8168">
        <v>0</v>
      </c>
      <c r="R8168" t="s">
        <v>47432</v>
      </c>
      <c r="S8168" t="s">
        <v>47597</v>
      </c>
      <c r="T8168" t="s">
        <v>49070</v>
      </c>
      <c r="U8168" t="s">
        <v>56464</v>
      </c>
      <c r="W8168" t="s">
        <v>45965</v>
      </c>
      <c r="X8168" t="s">
        <v>47433</v>
      </c>
    </row>
    <row r="8169" spans="1:24">
      <c r="A8169">
        <f>HYPERLINK("https://www.philgeps.gov.ph/GEPSNONPILOT/Tender/SplashBidNoticeAbstractUI.aspx?menuIndex=3&amp;refID=7153084&amp;Result=3","7153084")</f>
        <v>0</v>
      </c>
      <c r="B8169" t="s">
        <v>2738</v>
      </c>
      <c r="C8169" t="s">
        <v>11587</v>
      </c>
      <c r="D8169" t="s">
        <v>19078</v>
      </c>
      <c r="E8169" t="s">
        <v>26205</v>
      </c>
      <c r="F8169" t="s">
        <v>32831</v>
      </c>
      <c r="G8169" t="s">
        <v>32839</v>
      </c>
      <c r="H8169" t="s">
        <v>32849</v>
      </c>
      <c r="I8169" t="s">
        <v>4177</v>
      </c>
      <c r="J8169" t="s">
        <v>38080</v>
      </c>
      <c r="K8169" t="s">
        <v>42745</v>
      </c>
      <c r="M8169" t="s">
        <v>45966</v>
      </c>
      <c r="N8169" t="s">
        <v>47424</v>
      </c>
      <c r="O8169" t="s">
        <v>47425</v>
      </c>
      <c r="P8169">
        <v>0</v>
      </c>
      <c r="Q8169">
        <v>0</v>
      </c>
      <c r="R8169" t="s">
        <v>47432</v>
      </c>
      <c r="S8169" t="s">
        <v>47597</v>
      </c>
      <c r="T8169" t="s">
        <v>49112</v>
      </c>
      <c r="U8169" t="s">
        <v>56465</v>
      </c>
      <c r="W8169" t="s">
        <v>45966</v>
      </c>
      <c r="X8169" t="s">
        <v>47433</v>
      </c>
    </row>
    <row r="8170" spans="1:24">
      <c r="A8170">
        <f>HYPERLINK("https://www.philgeps.gov.ph/GEPSNONPILOT/Tender/SplashBidNoticeAbstractUI.aspx?menuIndex=3&amp;refID=7153091&amp;Result=3","7153091")</f>
        <v>0</v>
      </c>
      <c r="B8170" t="s">
        <v>171</v>
      </c>
      <c r="C8170" t="s">
        <v>11588</v>
      </c>
      <c r="E8170" t="s">
        <v>26206</v>
      </c>
      <c r="F8170" t="s">
        <v>32831</v>
      </c>
      <c r="G8170" t="s">
        <v>32838</v>
      </c>
      <c r="H8170" t="s">
        <v>32848</v>
      </c>
      <c r="I8170" t="s">
        <v>32958</v>
      </c>
      <c r="J8170" t="s">
        <v>38081</v>
      </c>
      <c r="K8170" t="s">
        <v>42730</v>
      </c>
      <c r="M8170" t="s">
        <v>43684</v>
      </c>
      <c r="N8170" t="s">
        <v>47424</v>
      </c>
      <c r="O8170" t="s">
        <v>47425</v>
      </c>
      <c r="P8170">
        <v>0</v>
      </c>
      <c r="Q8170">
        <v>1</v>
      </c>
      <c r="R8170" t="s">
        <v>47432</v>
      </c>
      <c r="S8170" t="s">
        <v>47597</v>
      </c>
      <c r="T8170" t="s">
        <v>49124</v>
      </c>
      <c r="U8170" t="s">
        <v>56466</v>
      </c>
      <c r="W8170" t="s">
        <v>64443</v>
      </c>
      <c r="X8170" t="s">
        <v>47433</v>
      </c>
    </row>
    <row r="8171" spans="1:24">
      <c r="A8171">
        <f>HYPERLINK("https://www.philgeps.gov.ph/GEPSNONPILOT/Tender/SplashBidNoticeAbstractUI.aspx?menuIndex=3&amp;refID=7153076&amp;Result=3","7153076")</f>
        <v>0</v>
      </c>
      <c r="B8171" t="s">
        <v>2739</v>
      </c>
      <c r="C8171" t="s">
        <v>11589</v>
      </c>
      <c r="D8171" t="s">
        <v>19018</v>
      </c>
      <c r="E8171" t="s">
        <v>26207</v>
      </c>
      <c r="F8171" t="s">
        <v>32831</v>
      </c>
      <c r="G8171" t="s">
        <v>32839</v>
      </c>
      <c r="H8171" t="s">
        <v>32848</v>
      </c>
      <c r="I8171" t="s">
        <v>7416</v>
      </c>
      <c r="J8171" t="s">
        <v>38082</v>
      </c>
      <c r="K8171" t="s">
        <v>42758</v>
      </c>
      <c r="M8171" t="s">
        <v>45967</v>
      </c>
      <c r="N8171" t="s">
        <v>47424</v>
      </c>
      <c r="O8171" t="s">
        <v>47425</v>
      </c>
      <c r="P8171">
        <v>0</v>
      </c>
      <c r="Q8171">
        <v>0</v>
      </c>
      <c r="R8171" t="s">
        <v>47432</v>
      </c>
      <c r="S8171" t="s">
        <v>47597</v>
      </c>
      <c r="T8171" t="s">
        <v>49217</v>
      </c>
      <c r="U8171" t="s">
        <v>56467</v>
      </c>
      <c r="W8171" t="s">
        <v>45967</v>
      </c>
      <c r="X8171" t="s">
        <v>47433</v>
      </c>
    </row>
    <row r="8172" spans="1:24">
      <c r="A8172">
        <f>HYPERLINK("https://www.philgeps.gov.ph/GEPSNONPILOT/Tender/SplashBidNoticeAbstractUI.aspx?menuIndex=3&amp;refID=7153074&amp;Result=3","7153074")</f>
        <v>0</v>
      </c>
      <c r="B8172" t="s">
        <v>2740</v>
      </c>
      <c r="C8172" t="s">
        <v>11590</v>
      </c>
      <c r="D8172" t="s">
        <v>19057</v>
      </c>
      <c r="E8172" t="s">
        <v>26208</v>
      </c>
      <c r="F8172" t="s">
        <v>32831</v>
      </c>
      <c r="G8172" t="s">
        <v>32839</v>
      </c>
      <c r="H8172" t="s">
        <v>32849</v>
      </c>
      <c r="I8172" t="s">
        <v>4177</v>
      </c>
      <c r="J8172" t="s">
        <v>33812</v>
      </c>
      <c r="K8172" t="s">
        <v>42825</v>
      </c>
      <c r="M8172" t="s">
        <v>45968</v>
      </c>
      <c r="N8172" t="s">
        <v>47424</v>
      </c>
      <c r="O8172" t="s">
        <v>47425</v>
      </c>
      <c r="P8172">
        <v>0</v>
      </c>
      <c r="Q8172">
        <v>0</v>
      </c>
      <c r="R8172" t="s">
        <v>47432</v>
      </c>
      <c r="S8172" t="s">
        <v>47597</v>
      </c>
      <c r="T8172" t="s">
        <v>49141</v>
      </c>
      <c r="U8172" t="s">
        <v>56468</v>
      </c>
      <c r="W8172" t="s">
        <v>45968</v>
      </c>
      <c r="X8172" t="s">
        <v>47433</v>
      </c>
    </row>
    <row r="8173" spans="1:24">
      <c r="A8173">
        <f>HYPERLINK("https://www.philgeps.gov.ph/GEPSNONPILOT/Tender/SplashBidNoticeAbstractUI.aspx?menuIndex=3&amp;refID=7153072&amp;Result=3","7153072")</f>
        <v>0</v>
      </c>
      <c r="B8173" t="s">
        <v>2741</v>
      </c>
      <c r="C8173" t="s">
        <v>11591</v>
      </c>
      <c r="D8173" t="s">
        <v>19038</v>
      </c>
      <c r="E8173" t="s">
        <v>26209</v>
      </c>
      <c r="F8173" t="s">
        <v>32831</v>
      </c>
      <c r="G8173" t="s">
        <v>32839</v>
      </c>
      <c r="H8173" t="s">
        <v>32849</v>
      </c>
      <c r="I8173" t="s">
        <v>4177</v>
      </c>
      <c r="J8173" t="s">
        <v>33424</v>
      </c>
      <c r="K8173" t="s">
        <v>42745</v>
      </c>
      <c r="M8173" t="s">
        <v>45969</v>
      </c>
      <c r="N8173" t="s">
        <v>47424</v>
      </c>
      <c r="O8173" t="s">
        <v>47425</v>
      </c>
      <c r="P8173">
        <v>0</v>
      </c>
      <c r="Q8173">
        <v>1</v>
      </c>
      <c r="R8173" t="s">
        <v>47432</v>
      </c>
      <c r="S8173" t="s">
        <v>47597</v>
      </c>
      <c r="T8173" t="s">
        <v>49108</v>
      </c>
      <c r="U8173" t="s">
        <v>56469</v>
      </c>
      <c r="W8173" t="s">
        <v>45969</v>
      </c>
      <c r="X8173" t="s">
        <v>47433</v>
      </c>
    </row>
    <row r="8174" spans="1:24">
      <c r="A8174">
        <f>HYPERLINK("https://www.philgeps.gov.ph/GEPSNONPILOT/Tender/SplashBidNoticeAbstractUI.aspx?menuIndex=3&amp;refID=7153130&amp;Result=3","7153130")</f>
        <v>0</v>
      </c>
      <c r="B8174" t="s">
        <v>2663</v>
      </c>
      <c r="C8174" t="s">
        <v>11585</v>
      </c>
      <c r="D8174" t="s">
        <v>19054</v>
      </c>
      <c r="E8174" t="s">
        <v>26210</v>
      </c>
      <c r="F8174" t="s">
        <v>32831</v>
      </c>
      <c r="G8174" t="s">
        <v>32839</v>
      </c>
      <c r="H8174" t="s">
        <v>32848</v>
      </c>
      <c r="I8174" t="s">
        <v>4558</v>
      </c>
      <c r="J8174" t="s">
        <v>38083</v>
      </c>
      <c r="K8174" t="s">
        <v>42730</v>
      </c>
      <c r="M8174" t="s">
        <v>45886</v>
      </c>
      <c r="N8174" t="s">
        <v>47424</v>
      </c>
      <c r="O8174" t="s">
        <v>47425</v>
      </c>
      <c r="P8174">
        <v>0</v>
      </c>
      <c r="Q8174">
        <v>1</v>
      </c>
      <c r="R8174" t="s">
        <v>47432</v>
      </c>
      <c r="S8174" t="s">
        <v>47597</v>
      </c>
      <c r="T8174" t="s">
        <v>49498</v>
      </c>
      <c r="U8174" t="s">
        <v>56470</v>
      </c>
      <c r="V8174" t="s">
        <v>63544</v>
      </c>
      <c r="W8174" t="s">
        <v>45886</v>
      </c>
      <c r="X8174" t="s">
        <v>47433</v>
      </c>
    </row>
    <row r="8175" spans="1:24">
      <c r="A8175">
        <f>HYPERLINK("https://www.philgeps.gov.ph/GEPSNONPILOT/Tender/SplashBidNoticeAbstractUI.aspx?menuIndex=3&amp;refID=7153023&amp;Result=3","7153023")</f>
        <v>0</v>
      </c>
      <c r="B8175" t="s">
        <v>2636</v>
      </c>
      <c r="C8175" t="s">
        <v>11592</v>
      </c>
      <c r="D8175" t="s">
        <v>19037</v>
      </c>
      <c r="E8175" t="s">
        <v>26211</v>
      </c>
      <c r="F8175" t="s">
        <v>32831</v>
      </c>
      <c r="G8175" t="s">
        <v>32839</v>
      </c>
      <c r="H8175" t="s">
        <v>32848</v>
      </c>
      <c r="I8175" t="s">
        <v>32924</v>
      </c>
      <c r="J8175" t="s">
        <v>38084</v>
      </c>
      <c r="K8175" t="s">
        <v>42727</v>
      </c>
      <c r="M8175" t="s">
        <v>45858</v>
      </c>
      <c r="N8175" t="s">
        <v>47424</v>
      </c>
      <c r="O8175" t="s">
        <v>47425</v>
      </c>
      <c r="P8175">
        <v>0</v>
      </c>
      <c r="Q8175">
        <v>0</v>
      </c>
      <c r="R8175" t="s">
        <v>47432</v>
      </c>
      <c r="S8175" t="s">
        <v>47597</v>
      </c>
      <c r="T8175" t="s">
        <v>49141</v>
      </c>
      <c r="U8175" t="s">
        <v>56471</v>
      </c>
      <c r="W8175" t="s">
        <v>45858</v>
      </c>
      <c r="X8175" t="s">
        <v>47433</v>
      </c>
    </row>
    <row r="8176" spans="1:24">
      <c r="A8176">
        <f>HYPERLINK("https://www.philgeps.gov.ph/GEPSNONPILOT/Tender/SplashBidNoticeAbstractUI.aspx?menuIndex=3&amp;refID=7153098&amp;Result=3","7153098")</f>
        <v>0</v>
      </c>
      <c r="B8176" t="s">
        <v>2739</v>
      </c>
      <c r="C8176" t="s">
        <v>11593</v>
      </c>
      <c r="D8176" t="s">
        <v>19018</v>
      </c>
      <c r="E8176" t="s">
        <v>26212</v>
      </c>
      <c r="F8176" t="s">
        <v>32831</v>
      </c>
      <c r="G8176" t="s">
        <v>32839</v>
      </c>
      <c r="H8176" t="s">
        <v>32848</v>
      </c>
      <c r="I8176" t="s">
        <v>32963</v>
      </c>
      <c r="J8176" t="s">
        <v>33133</v>
      </c>
      <c r="K8176" t="s">
        <v>42758</v>
      </c>
      <c r="M8176" t="s">
        <v>45967</v>
      </c>
      <c r="N8176" t="s">
        <v>47424</v>
      </c>
      <c r="O8176" t="s">
        <v>47425</v>
      </c>
      <c r="P8176">
        <v>0</v>
      </c>
      <c r="Q8176">
        <v>0</v>
      </c>
      <c r="R8176" t="s">
        <v>47432</v>
      </c>
      <c r="S8176" t="s">
        <v>47597</v>
      </c>
      <c r="T8176" t="s">
        <v>49217</v>
      </c>
      <c r="U8176" t="s">
        <v>56472</v>
      </c>
      <c r="W8176" t="s">
        <v>45967</v>
      </c>
      <c r="X8176" t="s">
        <v>47433</v>
      </c>
    </row>
    <row r="8177" spans="1:24">
      <c r="A8177">
        <f>HYPERLINK("https://www.philgeps.gov.ph/GEPSNONPILOT/Tender/SplashBidNoticeAbstractUI.aspx?menuIndex=3&amp;refID=7153137&amp;Result=3","7153137")</f>
        <v>0</v>
      </c>
      <c r="B8177" t="s">
        <v>2742</v>
      </c>
      <c r="C8177" t="s">
        <v>11594</v>
      </c>
      <c r="D8177" t="s">
        <v>19036</v>
      </c>
      <c r="E8177" t="s">
        <v>25184</v>
      </c>
      <c r="F8177" t="s">
        <v>32831</v>
      </c>
      <c r="G8177" t="s">
        <v>32839</v>
      </c>
      <c r="H8177" t="s">
        <v>32848</v>
      </c>
      <c r="I8177" t="s">
        <v>32868</v>
      </c>
      <c r="J8177" t="s">
        <v>38085</v>
      </c>
      <c r="K8177" t="s">
        <v>42763</v>
      </c>
      <c r="M8177" t="s">
        <v>45970</v>
      </c>
      <c r="N8177" t="s">
        <v>47424</v>
      </c>
      <c r="O8177" t="s">
        <v>47425</v>
      </c>
      <c r="P8177">
        <v>0</v>
      </c>
      <c r="Q8177">
        <v>5</v>
      </c>
      <c r="R8177" t="s">
        <v>47432</v>
      </c>
      <c r="S8177" t="s">
        <v>47597</v>
      </c>
      <c r="T8177" t="s">
        <v>49192</v>
      </c>
      <c r="U8177" t="s">
        <v>56473</v>
      </c>
      <c r="W8177" t="s">
        <v>45970</v>
      </c>
      <c r="X8177" t="s">
        <v>47433</v>
      </c>
    </row>
    <row r="8178" spans="1:24">
      <c r="A8178">
        <f>HYPERLINK("https://www.philgeps.gov.ph/GEPSNONPILOT/Tender/SplashBidNoticeAbstractUI.aspx?menuIndex=3&amp;refID=7153087&amp;Result=3","7153087")</f>
        <v>0</v>
      </c>
      <c r="B8178" t="s">
        <v>1441</v>
      </c>
      <c r="C8178" t="s">
        <v>11595</v>
      </c>
      <c r="E8178" t="s">
        <v>26213</v>
      </c>
      <c r="F8178" t="s">
        <v>32831</v>
      </c>
      <c r="G8178" t="s">
        <v>32839</v>
      </c>
      <c r="H8178" t="s">
        <v>32848</v>
      </c>
      <c r="I8178" t="s">
        <v>7416</v>
      </c>
      <c r="J8178" t="s">
        <v>38086</v>
      </c>
      <c r="K8178" t="s">
        <v>42727</v>
      </c>
      <c r="M8178" t="s">
        <v>44533</v>
      </c>
      <c r="N8178" t="s">
        <v>47424</v>
      </c>
      <c r="O8178" t="s">
        <v>47425</v>
      </c>
      <c r="P8178">
        <v>0</v>
      </c>
      <c r="Q8178">
        <v>0</v>
      </c>
      <c r="R8178" t="s">
        <v>47432</v>
      </c>
      <c r="S8178" t="s">
        <v>47597</v>
      </c>
      <c r="T8178" t="s">
        <v>49123</v>
      </c>
      <c r="U8178" t="s">
        <v>56474</v>
      </c>
      <c r="W8178" t="s">
        <v>44533</v>
      </c>
      <c r="X8178" t="s">
        <v>47433</v>
      </c>
    </row>
    <row r="8179" spans="1:24">
      <c r="A8179">
        <f>HYPERLINK("https://www.philgeps.gov.ph/GEPSNONPILOT/Tender/SplashBidNoticeAbstractUI.aspx?menuIndex=3&amp;refID=7153134&amp;Result=3","7153134")</f>
        <v>0</v>
      </c>
      <c r="B8179" t="s">
        <v>2743</v>
      </c>
      <c r="C8179" t="s">
        <v>11596</v>
      </c>
      <c r="D8179" t="s">
        <v>19080</v>
      </c>
      <c r="E8179" t="s">
        <v>26214</v>
      </c>
      <c r="F8179" t="s">
        <v>32831</v>
      </c>
      <c r="G8179" t="s">
        <v>32839</v>
      </c>
      <c r="H8179" t="s">
        <v>32849</v>
      </c>
      <c r="I8179" t="s">
        <v>4177</v>
      </c>
      <c r="J8179" t="s">
        <v>38087</v>
      </c>
      <c r="K8179" t="s">
        <v>42730</v>
      </c>
      <c r="M8179" t="s">
        <v>45971</v>
      </c>
      <c r="N8179" t="s">
        <v>47424</v>
      </c>
      <c r="O8179" t="s">
        <v>47425</v>
      </c>
      <c r="P8179">
        <v>0</v>
      </c>
      <c r="Q8179">
        <v>0</v>
      </c>
      <c r="R8179" t="s">
        <v>47432</v>
      </c>
      <c r="S8179" t="s">
        <v>47597</v>
      </c>
      <c r="T8179" t="s">
        <v>49079</v>
      </c>
      <c r="U8179" t="s">
        <v>56475</v>
      </c>
      <c r="W8179" t="s">
        <v>45971</v>
      </c>
      <c r="X8179" t="s">
        <v>47433</v>
      </c>
    </row>
    <row r="8180" spans="1:24">
      <c r="A8180">
        <f>HYPERLINK("https://www.philgeps.gov.ph/GEPSNONPILOT/Tender/SplashBidNoticeAbstractUI.aspx?menuIndex=3&amp;refID=7153085&amp;Result=3","7153085")</f>
        <v>0</v>
      </c>
      <c r="B8180" t="s">
        <v>795</v>
      </c>
      <c r="C8180" t="s">
        <v>11597</v>
      </c>
      <c r="D8180" t="s">
        <v>19045</v>
      </c>
      <c r="E8180" t="s">
        <v>26215</v>
      </c>
      <c r="F8180" t="s">
        <v>32831</v>
      </c>
      <c r="G8180" t="s">
        <v>32838</v>
      </c>
      <c r="H8180" t="s">
        <v>32848</v>
      </c>
      <c r="I8180" t="s">
        <v>32862</v>
      </c>
      <c r="J8180" t="s">
        <v>38088</v>
      </c>
      <c r="K8180" t="s">
        <v>42748</v>
      </c>
      <c r="M8180" t="s">
        <v>43825</v>
      </c>
      <c r="N8180" t="s">
        <v>47424</v>
      </c>
      <c r="O8180" t="s">
        <v>47425</v>
      </c>
      <c r="P8180">
        <v>0</v>
      </c>
      <c r="Q8180">
        <v>1</v>
      </c>
      <c r="R8180" t="s">
        <v>47432</v>
      </c>
      <c r="S8180" t="s">
        <v>47597</v>
      </c>
      <c r="T8180" t="s">
        <v>49127</v>
      </c>
      <c r="U8180" t="s">
        <v>56476</v>
      </c>
      <c r="W8180" t="s">
        <v>43825</v>
      </c>
      <c r="X8180" t="s">
        <v>47433</v>
      </c>
    </row>
    <row r="8181" spans="1:24">
      <c r="A8181">
        <f>HYPERLINK("https://www.philgeps.gov.ph/GEPSNONPILOT/Tender/SplashBidNoticeAbstractUI.aspx?menuIndex=3&amp;refID=7153024&amp;Result=3","7153024")</f>
        <v>0</v>
      </c>
      <c r="B8181" t="s">
        <v>1441</v>
      </c>
      <c r="C8181" t="s">
        <v>11598</v>
      </c>
      <c r="D8181" t="s">
        <v>19048</v>
      </c>
      <c r="E8181" t="s">
        <v>26216</v>
      </c>
      <c r="F8181" t="s">
        <v>32831</v>
      </c>
      <c r="G8181" t="s">
        <v>32839</v>
      </c>
      <c r="H8181" t="s">
        <v>32848</v>
      </c>
      <c r="I8181" t="s">
        <v>4558</v>
      </c>
      <c r="J8181" t="s">
        <v>38089</v>
      </c>
      <c r="K8181" t="s">
        <v>42727</v>
      </c>
      <c r="M8181" t="s">
        <v>44533</v>
      </c>
      <c r="N8181" t="s">
        <v>47424</v>
      </c>
      <c r="O8181" t="s">
        <v>47425</v>
      </c>
      <c r="P8181">
        <v>0</v>
      </c>
      <c r="Q8181">
        <v>1</v>
      </c>
      <c r="R8181" t="s">
        <v>47432</v>
      </c>
      <c r="S8181" t="s">
        <v>47597</v>
      </c>
      <c r="T8181" t="s">
        <v>49123</v>
      </c>
      <c r="U8181" t="s">
        <v>56477</v>
      </c>
      <c r="W8181" t="s">
        <v>44533</v>
      </c>
      <c r="X8181" t="s">
        <v>47433</v>
      </c>
    </row>
    <row r="8182" spans="1:24">
      <c r="A8182">
        <f>HYPERLINK("https://www.philgeps.gov.ph/GEPSNONPILOT/Tender/SplashBidNoticeAbstractUI.aspx?menuIndex=3&amp;refID=7153038&amp;Result=3","7153038")</f>
        <v>0</v>
      </c>
      <c r="B8182" t="s">
        <v>1318</v>
      </c>
      <c r="C8182" t="s">
        <v>11599</v>
      </c>
      <c r="E8182" t="s">
        <v>26217</v>
      </c>
      <c r="F8182" t="s">
        <v>32831</v>
      </c>
      <c r="G8182" t="s">
        <v>32839</v>
      </c>
      <c r="H8182" t="s">
        <v>32848</v>
      </c>
      <c r="I8182" t="s">
        <v>7416</v>
      </c>
      <c r="J8182" t="s">
        <v>38090</v>
      </c>
      <c r="K8182" t="s">
        <v>42732</v>
      </c>
      <c r="M8182" t="s">
        <v>44389</v>
      </c>
      <c r="N8182" t="s">
        <v>47424</v>
      </c>
      <c r="O8182" t="s">
        <v>47425</v>
      </c>
      <c r="P8182">
        <v>0</v>
      </c>
      <c r="Q8182">
        <v>0</v>
      </c>
      <c r="R8182" t="s">
        <v>47432</v>
      </c>
      <c r="S8182" t="s">
        <v>47597</v>
      </c>
      <c r="T8182" t="s">
        <v>49214</v>
      </c>
      <c r="U8182" t="s">
        <v>56478</v>
      </c>
      <c r="W8182" t="s">
        <v>44389</v>
      </c>
      <c r="X8182" t="s">
        <v>47433</v>
      </c>
    </row>
    <row r="8183" spans="1:24">
      <c r="A8183">
        <f>HYPERLINK("https://www.philgeps.gov.ph/GEPSNONPILOT/Tender/SplashBidNoticeAbstractUI.aspx?menuIndex=3&amp;refID=7153138&amp;Result=3","7153138")</f>
        <v>0</v>
      </c>
      <c r="B8183" t="s">
        <v>1462</v>
      </c>
      <c r="C8183" t="s">
        <v>11600</v>
      </c>
      <c r="D8183" t="s">
        <v>19018</v>
      </c>
      <c r="E8183" t="s">
        <v>19351</v>
      </c>
      <c r="F8183" t="s">
        <v>32831</v>
      </c>
      <c r="G8183" t="s">
        <v>32839</v>
      </c>
      <c r="H8183" t="s">
        <v>32849</v>
      </c>
      <c r="I8183" t="s">
        <v>32855</v>
      </c>
      <c r="J8183" t="s">
        <v>33401</v>
      </c>
      <c r="K8183" t="s">
        <v>42726</v>
      </c>
      <c r="M8183" t="s">
        <v>44554</v>
      </c>
      <c r="N8183" t="s">
        <v>47424</v>
      </c>
      <c r="O8183" t="s">
        <v>47425</v>
      </c>
      <c r="P8183">
        <v>0</v>
      </c>
      <c r="Q8183">
        <v>1</v>
      </c>
      <c r="R8183" t="s">
        <v>47432</v>
      </c>
      <c r="S8183" t="s">
        <v>47597</v>
      </c>
      <c r="T8183" t="s">
        <v>49127</v>
      </c>
      <c r="U8183" t="s">
        <v>56479</v>
      </c>
      <c r="W8183" t="s">
        <v>44554</v>
      </c>
      <c r="X8183" t="s">
        <v>47433</v>
      </c>
    </row>
    <row r="8184" spans="1:24">
      <c r="A8184">
        <f>HYPERLINK("https://www.philgeps.gov.ph/GEPSNONPILOT/Tender/SplashBidNoticeAbstractUI.aspx?menuIndex=3&amp;refID=7153122&amp;Result=3","7153122")</f>
        <v>0</v>
      </c>
      <c r="B8184" t="s">
        <v>2656</v>
      </c>
      <c r="C8184" t="s">
        <v>11601</v>
      </c>
      <c r="D8184" t="s">
        <v>19028</v>
      </c>
      <c r="E8184" t="s">
        <v>26218</v>
      </c>
      <c r="F8184" t="s">
        <v>32831</v>
      </c>
      <c r="G8184" t="s">
        <v>32839</v>
      </c>
      <c r="H8184" t="s">
        <v>32849</v>
      </c>
      <c r="I8184" t="s">
        <v>4177</v>
      </c>
      <c r="J8184" t="s">
        <v>38091</v>
      </c>
      <c r="K8184" t="s">
        <v>42727</v>
      </c>
      <c r="M8184" t="s">
        <v>45919</v>
      </c>
      <c r="N8184" t="s">
        <v>47424</v>
      </c>
      <c r="O8184" t="s">
        <v>47425</v>
      </c>
      <c r="P8184">
        <v>0</v>
      </c>
      <c r="Q8184">
        <v>0</v>
      </c>
      <c r="R8184" t="s">
        <v>47432</v>
      </c>
      <c r="S8184" t="s">
        <v>47597</v>
      </c>
      <c r="T8184" t="s">
        <v>49166</v>
      </c>
      <c r="U8184" t="s">
        <v>56348</v>
      </c>
      <c r="W8184" t="s">
        <v>45919</v>
      </c>
      <c r="X8184" t="s">
        <v>47433</v>
      </c>
    </row>
    <row r="8185" spans="1:24">
      <c r="A8185">
        <f>HYPERLINK("https://www.philgeps.gov.ph/GEPSNONPILOT/Tender/SplashBidNoticeAbstractUI.aspx?menuIndex=3&amp;refID=7153118&amp;Result=3","7153118")</f>
        <v>0</v>
      </c>
      <c r="B8185" t="s">
        <v>2616</v>
      </c>
      <c r="C8185" t="s">
        <v>11602</v>
      </c>
      <c r="D8185" t="s">
        <v>19062</v>
      </c>
      <c r="E8185" t="s">
        <v>26219</v>
      </c>
      <c r="F8185" t="s">
        <v>32831</v>
      </c>
      <c r="G8185" t="s">
        <v>32838</v>
      </c>
      <c r="H8185" t="s">
        <v>32848</v>
      </c>
      <c r="I8185" t="s">
        <v>4776</v>
      </c>
      <c r="J8185" t="s">
        <v>38092</v>
      </c>
      <c r="K8185" t="s">
        <v>42731</v>
      </c>
      <c r="M8185" t="s">
        <v>45835</v>
      </c>
      <c r="N8185" t="s">
        <v>47424</v>
      </c>
      <c r="O8185" t="s">
        <v>47425</v>
      </c>
      <c r="P8185">
        <v>0</v>
      </c>
      <c r="Q8185">
        <v>2</v>
      </c>
      <c r="R8185" t="s">
        <v>47432</v>
      </c>
      <c r="S8185" t="s">
        <v>47597</v>
      </c>
      <c r="T8185" t="s">
        <v>49370</v>
      </c>
      <c r="U8185" t="s">
        <v>56480</v>
      </c>
      <c r="V8185" t="s">
        <v>63545</v>
      </c>
      <c r="W8185" t="s">
        <v>45835</v>
      </c>
      <c r="X8185" t="s">
        <v>47433</v>
      </c>
    </row>
    <row r="8186" spans="1:24">
      <c r="A8186">
        <f>HYPERLINK("https://www.philgeps.gov.ph/GEPSNONPILOT/Tender/SplashBidNoticeAbstractUI.aspx?menuIndex=3&amp;refID=7153114&amp;Result=3","7153114")</f>
        <v>0</v>
      </c>
      <c r="B8186" t="s">
        <v>761</v>
      </c>
      <c r="C8186" t="s">
        <v>11603</v>
      </c>
      <c r="D8186" t="s">
        <v>19022</v>
      </c>
      <c r="E8186" t="s">
        <v>26220</v>
      </c>
      <c r="F8186" t="s">
        <v>32831</v>
      </c>
      <c r="G8186" t="s">
        <v>32838</v>
      </c>
      <c r="H8186" t="s">
        <v>32848</v>
      </c>
      <c r="I8186" t="s">
        <v>4438</v>
      </c>
      <c r="J8186" t="s">
        <v>33313</v>
      </c>
      <c r="K8186" t="s">
        <v>42727</v>
      </c>
      <c r="M8186" t="s">
        <v>43787</v>
      </c>
      <c r="N8186" t="s">
        <v>47424</v>
      </c>
      <c r="O8186" t="s">
        <v>47425</v>
      </c>
      <c r="P8186">
        <v>0</v>
      </c>
      <c r="Q8186">
        <v>2</v>
      </c>
      <c r="R8186" t="s">
        <v>47432</v>
      </c>
      <c r="S8186" t="s">
        <v>47597</v>
      </c>
      <c r="T8186" t="s">
        <v>49081</v>
      </c>
      <c r="U8186" t="s">
        <v>56481</v>
      </c>
      <c r="W8186" t="s">
        <v>43787</v>
      </c>
      <c r="X8186" t="s">
        <v>47433</v>
      </c>
    </row>
    <row r="8187" spans="1:24">
      <c r="A8187">
        <f>HYPERLINK("https://www.philgeps.gov.ph/GEPSNONPILOT/Tender/SplashBidNoticeAbstractUI.aspx?menuIndex=3&amp;refID=7153124&amp;Result=3","7153124")</f>
        <v>0</v>
      </c>
      <c r="B8187" t="s">
        <v>2741</v>
      </c>
      <c r="C8187" t="s">
        <v>11604</v>
      </c>
      <c r="D8187" t="s">
        <v>19038</v>
      </c>
      <c r="E8187" t="s">
        <v>20493</v>
      </c>
      <c r="F8187" t="s">
        <v>32831</v>
      </c>
      <c r="G8187" t="s">
        <v>32839</v>
      </c>
      <c r="H8187" t="s">
        <v>32849</v>
      </c>
      <c r="I8187" t="s">
        <v>4177</v>
      </c>
      <c r="J8187" t="s">
        <v>35540</v>
      </c>
      <c r="K8187" t="s">
        <v>42745</v>
      </c>
      <c r="M8187" t="s">
        <v>45969</v>
      </c>
      <c r="N8187" t="s">
        <v>47424</v>
      </c>
      <c r="O8187" t="s">
        <v>47425</v>
      </c>
      <c r="P8187">
        <v>0</v>
      </c>
      <c r="Q8187">
        <v>1</v>
      </c>
      <c r="R8187" t="s">
        <v>47432</v>
      </c>
      <c r="S8187" t="s">
        <v>47597</v>
      </c>
      <c r="T8187" t="s">
        <v>49104</v>
      </c>
      <c r="U8187" t="s">
        <v>56482</v>
      </c>
      <c r="W8187" t="s">
        <v>45969</v>
      </c>
      <c r="X8187" t="s">
        <v>47433</v>
      </c>
    </row>
    <row r="8188" spans="1:24">
      <c r="A8188">
        <f>HYPERLINK("https://www.philgeps.gov.ph/GEPSNONPILOT/Tender/SplashBidNoticeAbstractUI.aspx?menuIndex=3&amp;refID=7153110&amp;Result=3","7153110")</f>
        <v>0</v>
      </c>
      <c r="B8188" t="s">
        <v>1441</v>
      </c>
      <c r="C8188" t="s">
        <v>11605</v>
      </c>
      <c r="D8188" t="s">
        <v>19048</v>
      </c>
      <c r="E8188" t="s">
        <v>26221</v>
      </c>
      <c r="F8188" t="s">
        <v>32831</v>
      </c>
      <c r="G8188" t="s">
        <v>32839</v>
      </c>
      <c r="H8188" t="s">
        <v>32848</v>
      </c>
      <c r="I8188" t="s">
        <v>32922</v>
      </c>
      <c r="J8188" t="s">
        <v>35372</v>
      </c>
      <c r="K8188" t="s">
        <v>42727</v>
      </c>
      <c r="M8188" t="s">
        <v>44533</v>
      </c>
      <c r="N8188" t="s">
        <v>47424</v>
      </c>
      <c r="O8188" t="s">
        <v>47425</v>
      </c>
      <c r="P8188">
        <v>0</v>
      </c>
      <c r="Q8188">
        <v>0</v>
      </c>
      <c r="R8188" t="s">
        <v>47432</v>
      </c>
      <c r="S8188" t="s">
        <v>47597</v>
      </c>
      <c r="T8188" t="s">
        <v>49123</v>
      </c>
      <c r="U8188" t="s">
        <v>56483</v>
      </c>
      <c r="W8188" t="s">
        <v>44533</v>
      </c>
      <c r="X8188" t="s">
        <v>47433</v>
      </c>
    </row>
    <row r="8189" spans="1:24">
      <c r="A8189">
        <f>HYPERLINK("https://www.philgeps.gov.ph/GEPSNONPILOT/Tender/SplashBidNoticeAbstractUI.aspx?menuIndex=3&amp;refID=7153103&amp;Result=3","7153103")</f>
        <v>0</v>
      </c>
      <c r="B8189" t="s">
        <v>2723</v>
      </c>
      <c r="C8189" t="s">
        <v>11606</v>
      </c>
      <c r="D8189" t="s">
        <v>19038</v>
      </c>
      <c r="E8189" t="s">
        <v>26222</v>
      </c>
      <c r="F8189" t="s">
        <v>32833</v>
      </c>
      <c r="G8189" t="s">
        <v>32839</v>
      </c>
      <c r="H8189" t="s">
        <v>32849</v>
      </c>
      <c r="I8189" t="s">
        <v>4177</v>
      </c>
      <c r="J8189" t="s">
        <v>38093</v>
      </c>
      <c r="K8189" t="s">
        <v>42739</v>
      </c>
      <c r="L8189" t="s">
        <v>2723</v>
      </c>
      <c r="M8189" t="s">
        <v>45949</v>
      </c>
      <c r="N8189" t="s">
        <v>47424</v>
      </c>
      <c r="O8189" t="s">
        <v>47425</v>
      </c>
      <c r="P8189">
        <v>0</v>
      </c>
      <c r="Q8189">
        <v>0</v>
      </c>
      <c r="R8189" t="s">
        <v>47432</v>
      </c>
      <c r="S8189" t="s">
        <v>47597</v>
      </c>
      <c r="T8189" t="s">
        <v>49323</v>
      </c>
      <c r="U8189" t="s">
        <v>56484</v>
      </c>
      <c r="V8189" t="s">
        <v>63542</v>
      </c>
      <c r="W8189" t="s">
        <v>45949</v>
      </c>
      <c r="X8189" t="s">
        <v>47433</v>
      </c>
    </row>
    <row r="8190" spans="1:24">
      <c r="A8190">
        <f>HYPERLINK("https://www.philgeps.gov.ph/GEPSNONPILOT/Tender/SplashBidNoticeAbstractUI.aspx?menuIndex=3&amp;refID=7153135&amp;Result=3","7153135")</f>
        <v>0</v>
      </c>
      <c r="B8190" t="s">
        <v>400</v>
      </c>
      <c r="C8190" t="s">
        <v>11607</v>
      </c>
      <c r="D8190" t="s">
        <v>19017</v>
      </c>
      <c r="E8190" t="s">
        <v>26223</v>
      </c>
      <c r="F8190" t="s">
        <v>32831</v>
      </c>
      <c r="G8190" t="s">
        <v>32841</v>
      </c>
      <c r="H8190" t="s">
        <v>32848</v>
      </c>
      <c r="I8190" t="s">
        <v>32871</v>
      </c>
      <c r="J8190" t="s">
        <v>38094</v>
      </c>
      <c r="K8190" t="s">
        <v>42732</v>
      </c>
      <c r="M8190" t="s">
        <v>43405</v>
      </c>
      <c r="N8190" t="s">
        <v>47424</v>
      </c>
      <c r="O8190" t="s">
        <v>47425</v>
      </c>
      <c r="P8190">
        <v>0</v>
      </c>
      <c r="Q8190">
        <v>61</v>
      </c>
      <c r="R8190" t="s">
        <v>47432</v>
      </c>
      <c r="S8190" t="s">
        <v>47597</v>
      </c>
      <c r="T8190" t="s">
        <v>49237</v>
      </c>
      <c r="U8190" t="s">
        <v>56485</v>
      </c>
      <c r="W8190" t="s">
        <v>43405</v>
      </c>
      <c r="X8190" t="s">
        <v>47433</v>
      </c>
    </row>
    <row r="8191" spans="1:24">
      <c r="A8191">
        <f>HYPERLINK("https://www.philgeps.gov.ph/GEPSNONPILOT/Tender/SplashBidNoticeAbstractUI.aspx?menuIndex=3&amp;refID=7153102&amp;Result=3","7153102")</f>
        <v>0</v>
      </c>
      <c r="B8191" t="s">
        <v>2744</v>
      </c>
      <c r="C8191" t="s">
        <v>4120</v>
      </c>
      <c r="D8191" t="s">
        <v>19019</v>
      </c>
      <c r="E8191" t="s">
        <v>26224</v>
      </c>
      <c r="F8191" t="s">
        <v>32831</v>
      </c>
      <c r="G8191" t="s">
        <v>32839</v>
      </c>
      <c r="H8191" t="s">
        <v>32848</v>
      </c>
      <c r="I8191" t="s">
        <v>4558</v>
      </c>
      <c r="J8191" t="s">
        <v>33044</v>
      </c>
      <c r="K8191" t="s">
        <v>42760</v>
      </c>
      <c r="M8191" t="s">
        <v>45972</v>
      </c>
      <c r="N8191" t="s">
        <v>47424</v>
      </c>
      <c r="O8191" t="s">
        <v>47425</v>
      </c>
      <c r="P8191">
        <v>0</v>
      </c>
      <c r="Q8191">
        <v>1</v>
      </c>
      <c r="R8191" t="s">
        <v>47432</v>
      </c>
      <c r="S8191" t="s">
        <v>47597</v>
      </c>
      <c r="T8191" t="s">
        <v>49114</v>
      </c>
      <c r="U8191" t="s">
        <v>56486</v>
      </c>
      <c r="W8191" t="s">
        <v>45972</v>
      </c>
      <c r="X8191" t="s">
        <v>47433</v>
      </c>
    </row>
    <row r="8192" spans="1:24">
      <c r="A8192">
        <f>HYPERLINK("https://www.philgeps.gov.ph/GEPSNONPILOT/Tender/SplashBidNoticeAbstractUI.aspx?menuIndex=3&amp;refID=7153133&amp;Result=3","7153133")</f>
        <v>0</v>
      </c>
      <c r="B8192" t="s">
        <v>2745</v>
      </c>
      <c r="C8192" t="s">
        <v>11608</v>
      </c>
      <c r="D8192" t="s">
        <v>19060</v>
      </c>
      <c r="E8192" t="s">
        <v>26225</v>
      </c>
      <c r="F8192" t="s">
        <v>32832</v>
      </c>
      <c r="G8192" t="s">
        <v>32839</v>
      </c>
      <c r="H8192" t="s">
        <v>32848</v>
      </c>
      <c r="I8192" t="s">
        <v>32860</v>
      </c>
      <c r="J8192" t="s">
        <v>33703</v>
      </c>
      <c r="K8192" t="s">
        <v>42732</v>
      </c>
      <c r="M8192" t="s">
        <v>45973</v>
      </c>
      <c r="N8192" t="s">
        <v>47424</v>
      </c>
      <c r="O8192" t="s">
        <v>47425</v>
      </c>
      <c r="P8192">
        <v>0</v>
      </c>
      <c r="Q8192">
        <v>0</v>
      </c>
      <c r="R8192" t="s">
        <v>47432</v>
      </c>
      <c r="S8192" t="s">
        <v>47597</v>
      </c>
      <c r="T8192" t="s">
        <v>49501</v>
      </c>
      <c r="U8192" t="s">
        <v>56487</v>
      </c>
      <c r="W8192" t="s">
        <v>45973</v>
      </c>
      <c r="X8192" t="s">
        <v>47433</v>
      </c>
    </row>
    <row r="8193" spans="1:24">
      <c r="A8193">
        <f>HYPERLINK("https://www.philgeps.gov.ph/GEPSNONPILOT/Tender/SplashBidNoticeAbstractUI.aspx?menuIndex=3&amp;refID=7153113&amp;Result=3","7153113")</f>
        <v>0</v>
      </c>
      <c r="B8193" t="s">
        <v>2746</v>
      </c>
      <c r="C8193" t="s">
        <v>11609</v>
      </c>
      <c r="D8193" t="s">
        <v>19045</v>
      </c>
      <c r="E8193" t="s">
        <v>26226</v>
      </c>
      <c r="F8193" t="s">
        <v>32831</v>
      </c>
      <c r="G8193" t="s">
        <v>32843</v>
      </c>
      <c r="H8193" t="s">
        <v>32848</v>
      </c>
      <c r="I8193" t="s">
        <v>32860</v>
      </c>
      <c r="J8193" t="s">
        <v>33385</v>
      </c>
      <c r="K8193" t="s">
        <v>42731</v>
      </c>
      <c r="M8193" t="s">
        <v>45974</v>
      </c>
      <c r="N8193" t="s">
        <v>47424</v>
      </c>
      <c r="O8193" t="s">
        <v>47425</v>
      </c>
      <c r="P8193">
        <v>0</v>
      </c>
      <c r="Q8193">
        <v>0</v>
      </c>
      <c r="R8193" t="s">
        <v>47432</v>
      </c>
      <c r="S8193" t="s">
        <v>47597</v>
      </c>
      <c r="T8193" t="s">
        <v>49212</v>
      </c>
      <c r="U8193" t="s">
        <v>56488</v>
      </c>
      <c r="W8193" t="s">
        <v>45974</v>
      </c>
      <c r="X8193" t="s">
        <v>47433</v>
      </c>
    </row>
    <row r="8194" spans="1:24">
      <c r="A8194">
        <f>HYPERLINK("https://www.philgeps.gov.ph/GEPSNONPILOT/Tender/SplashBidNoticeAbstractUI.aspx?menuIndex=3&amp;refID=7153180&amp;Result=3","7153180")</f>
        <v>0</v>
      </c>
      <c r="B8194" t="s">
        <v>2669</v>
      </c>
      <c r="C8194" t="s">
        <v>11610</v>
      </c>
      <c r="D8194" t="s">
        <v>19043</v>
      </c>
      <c r="E8194" t="s">
        <v>26227</v>
      </c>
      <c r="F8194" t="s">
        <v>32831</v>
      </c>
      <c r="G8194" t="s">
        <v>32839</v>
      </c>
      <c r="H8194" t="s">
        <v>32848</v>
      </c>
      <c r="I8194" t="s">
        <v>7416</v>
      </c>
      <c r="J8194" t="s">
        <v>38095</v>
      </c>
      <c r="K8194" t="s">
        <v>42745</v>
      </c>
      <c r="M8194" t="s">
        <v>45892</v>
      </c>
      <c r="N8194" t="s">
        <v>47424</v>
      </c>
      <c r="O8194" t="s">
        <v>47425</v>
      </c>
      <c r="P8194">
        <v>0</v>
      </c>
      <c r="Q8194">
        <v>1</v>
      </c>
      <c r="R8194" t="s">
        <v>47432</v>
      </c>
      <c r="S8194" t="s">
        <v>47597</v>
      </c>
      <c r="T8194" t="s">
        <v>49216</v>
      </c>
      <c r="U8194" t="s">
        <v>56489</v>
      </c>
      <c r="W8194" t="s">
        <v>45892</v>
      </c>
      <c r="X8194" t="s">
        <v>47433</v>
      </c>
    </row>
    <row r="8195" spans="1:24">
      <c r="A8195">
        <f>HYPERLINK("https://www.philgeps.gov.ph/GEPSNONPILOT/Tender/SplashBidNoticeAbstractUI.aspx?menuIndex=3&amp;refID=7153119&amp;Result=3","7153119")</f>
        <v>0</v>
      </c>
      <c r="B8195" t="s">
        <v>2736</v>
      </c>
      <c r="C8195" t="s">
        <v>11611</v>
      </c>
      <c r="D8195" t="s">
        <v>19049</v>
      </c>
      <c r="E8195" t="s">
        <v>26228</v>
      </c>
      <c r="F8195" t="s">
        <v>32831</v>
      </c>
      <c r="G8195" t="s">
        <v>32839</v>
      </c>
      <c r="H8195" t="s">
        <v>32848</v>
      </c>
      <c r="I8195" t="s">
        <v>32863</v>
      </c>
      <c r="J8195" t="s">
        <v>38096</v>
      </c>
      <c r="K8195" t="s">
        <v>42763</v>
      </c>
      <c r="M8195" t="s">
        <v>45963</v>
      </c>
      <c r="N8195" t="s">
        <v>47424</v>
      </c>
      <c r="O8195" t="s">
        <v>47425</v>
      </c>
      <c r="P8195">
        <v>0</v>
      </c>
      <c r="Q8195">
        <v>0</v>
      </c>
      <c r="R8195" t="s">
        <v>47432</v>
      </c>
      <c r="S8195" t="s">
        <v>47597</v>
      </c>
      <c r="T8195" t="s">
        <v>49209</v>
      </c>
      <c r="U8195" t="s">
        <v>56456</v>
      </c>
      <c r="W8195" t="s">
        <v>45963</v>
      </c>
      <c r="X8195" t="s">
        <v>47433</v>
      </c>
    </row>
    <row r="8196" spans="1:24">
      <c r="A8196">
        <f>HYPERLINK("https://www.philgeps.gov.ph/GEPSNONPILOT/Tender/SplashBidNoticeAbstractUI.aspx?menuIndex=3&amp;refID=7153136&amp;Result=3","7153136")</f>
        <v>0</v>
      </c>
      <c r="B8196" t="s">
        <v>2363</v>
      </c>
      <c r="C8196" t="s">
        <v>11612</v>
      </c>
      <c r="E8196" t="s">
        <v>26229</v>
      </c>
      <c r="F8196" t="s">
        <v>32831</v>
      </c>
      <c r="G8196" t="s">
        <v>32839</v>
      </c>
      <c r="H8196" t="s">
        <v>32848</v>
      </c>
      <c r="I8196" t="s">
        <v>32868</v>
      </c>
      <c r="J8196" t="s">
        <v>38097</v>
      </c>
      <c r="K8196" t="s">
        <v>42732</v>
      </c>
      <c r="M8196" t="s">
        <v>45975</v>
      </c>
      <c r="N8196" t="s">
        <v>47424</v>
      </c>
      <c r="O8196" t="s">
        <v>47425</v>
      </c>
      <c r="Q8196">
        <v>4</v>
      </c>
      <c r="R8196" t="s">
        <v>47432</v>
      </c>
      <c r="S8196" t="s">
        <v>47607</v>
      </c>
      <c r="T8196" t="s">
        <v>49502</v>
      </c>
      <c r="U8196" t="s">
        <v>56490</v>
      </c>
      <c r="W8196" t="s">
        <v>45975</v>
      </c>
      <c r="X8196" t="s">
        <v>47433</v>
      </c>
    </row>
    <row r="8197" spans="1:24">
      <c r="A8197">
        <f>HYPERLINK("https://www.philgeps.gov.ph/GEPSNONPILOT/Tender/SplashBidNoticeAbstractUI.aspx?menuIndex=3&amp;refID=7153179&amp;Result=3","7153179")</f>
        <v>0</v>
      </c>
      <c r="B8197" t="s">
        <v>2747</v>
      </c>
      <c r="C8197" t="s">
        <v>11613</v>
      </c>
      <c r="D8197" t="s">
        <v>19088</v>
      </c>
      <c r="E8197" t="s">
        <v>26230</v>
      </c>
      <c r="F8197" t="s">
        <v>32831</v>
      </c>
      <c r="G8197" t="s">
        <v>32840</v>
      </c>
      <c r="H8197" t="s">
        <v>32848</v>
      </c>
      <c r="I8197" t="s">
        <v>32858</v>
      </c>
      <c r="J8197" t="s">
        <v>38098</v>
      </c>
      <c r="K8197" t="s">
        <v>42748</v>
      </c>
      <c r="M8197" t="s">
        <v>45976</v>
      </c>
      <c r="N8197" t="s">
        <v>47424</v>
      </c>
      <c r="O8197" t="s">
        <v>47425</v>
      </c>
      <c r="P8197">
        <v>0</v>
      </c>
      <c r="Q8197">
        <v>9</v>
      </c>
      <c r="R8197" t="s">
        <v>47432</v>
      </c>
      <c r="S8197" t="s">
        <v>47597</v>
      </c>
      <c r="T8197" t="s">
        <v>49163</v>
      </c>
      <c r="U8197" t="s">
        <v>56491</v>
      </c>
      <c r="W8197" t="s">
        <v>45976</v>
      </c>
      <c r="X8197" t="s">
        <v>47433</v>
      </c>
    </row>
    <row r="8198" spans="1:24">
      <c r="A8198">
        <f>HYPERLINK("https://www.philgeps.gov.ph/GEPSNONPILOT/Tender/SplashBidNoticeAbstractUI.aspx?menuIndex=3&amp;refID=7153174&amp;Result=3","7153174")</f>
        <v>0</v>
      </c>
      <c r="B8198" t="s">
        <v>2587</v>
      </c>
      <c r="C8198" t="s">
        <v>11614</v>
      </c>
      <c r="E8198" t="s">
        <v>26231</v>
      </c>
      <c r="F8198" t="s">
        <v>32831</v>
      </c>
      <c r="G8198" t="s">
        <v>32838</v>
      </c>
      <c r="H8198" t="s">
        <v>32848</v>
      </c>
      <c r="I8198" t="s">
        <v>32949</v>
      </c>
      <c r="J8198" t="s">
        <v>33119</v>
      </c>
      <c r="K8198" t="s">
        <v>42732</v>
      </c>
      <c r="M8198" t="s">
        <v>45806</v>
      </c>
      <c r="N8198" t="s">
        <v>47424</v>
      </c>
      <c r="O8198" t="s">
        <v>47425</v>
      </c>
      <c r="P8198">
        <v>0</v>
      </c>
      <c r="Q8198">
        <v>2</v>
      </c>
      <c r="R8198" t="s">
        <v>47432</v>
      </c>
      <c r="S8198" t="s">
        <v>47597</v>
      </c>
      <c r="T8198" t="s">
        <v>49107</v>
      </c>
      <c r="U8198" t="s">
        <v>56492</v>
      </c>
      <c r="W8198" t="s">
        <v>45806</v>
      </c>
      <c r="X8198" t="s">
        <v>47433</v>
      </c>
    </row>
    <row r="8199" spans="1:24">
      <c r="A8199">
        <f>HYPERLINK("https://www.philgeps.gov.ph/GEPSNONPILOT/Tender/SplashBidNoticeAbstractUI.aspx?menuIndex=3&amp;refID=7153173&amp;Result=3","7153173")</f>
        <v>0</v>
      </c>
      <c r="B8199" t="s">
        <v>1726</v>
      </c>
      <c r="C8199" t="s">
        <v>4090</v>
      </c>
      <c r="D8199" t="s">
        <v>19042</v>
      </c>
      <c r="E8199" t="s">
        <v>19434</v>
      </c>
      <c r="F8199" t="s">
        <v>32831</v>
      </c>
      <c r="G8199" t="s">
        <v>32839</v>
      </c>
      <c r="H8199" t="s">
        <v>32848</v>
      </c>
      <c r="I8199" t="s">
        <v>4776</v>
      </c>
      <c r="J8199" t="s">
        <v>35102</v>
      </c>
      <c r="K8199" t="s">
        <v>42726</v>
      </c>
      <c r="M8199" t="s">
        <v>44849</v>
      </c>
      <c r="N8199" t="s">
        <v>47424</v>
      </c>
      <c r="O8199" t="s">
        <v>47425</v>
      </c>
      <c r="P8199">
        <v>0</v>
      </c>
      <c r="Q8199">
        <v>1</v>
      </c>
      <c r="R8199" t="s">
        <v>47432</v>
      </c>
      <c r="S8199" t="s">
        <v>47597</v>
      </c>
      <c r="T8199" t="s">
        <v>49192</v>
      </c>
      <c r="U8199" t="s">
        <v>56493</v>
      </c>
      <c r="V8199" t="s">
        <v>63546</v>
      </c>
      <c r="W8199" t="s">
        <v>44849</v>
      </c>
      <c r="X8199" t="s">
        <v>47433</v>
      </c>
    </row>
    <row r="8200" spans="1:24">
      <c r="A8200">
        <f>HYPERLINK("https://www.philgeps.gov.ph/GEPSNONPILOT/Tender/SplashBidNoticeAbstractUI.aspx?menuIndex=3&amp;refID=7153168&amp;Result=3","7153168")</f>
        <v>0</v>
      </c>
      <c r="B8200" t="s">
        <v>1130</v>
      </c>
      <c r="C8200" t="s">
        <v>11615</v>
      </c>
      <c r="D8200" t="s">
        <v>19045</v>
      </c>
      <c r="E8200" t="s">
        <v>26232</v>
      </c>
      <c r="F8200" t="s">
        <v>32831</v>
      </c>
      <c r="G8200" t="s">
        <v>32839</v>
      </c>
      <c r="H8200" t="s">
        <v>32849</v>
      </c>
      <c r="I8200" t="s">
        <v>4177</v>
      </c>
      <c r="J8200" t="s">
        <v>38099</v>
      </c>
      <c r="K8200" t="s">
        <v>42763</v>
      </c>
      <c r="M8200" t="s">
        <v>45442</v>
      </c>
      <c r="N8200" t="s">
        <v>47424</v>
      </c>
      <c r="O8200" t="s">
        <v>47425</v>
      </c>
      <c r="P8200">
        <v>0</v>
      </c>
      <c r="Q8200">
        <v>0</v>
      </c>
      <c r="R8200" t="s">
        <v>47432</v>
      </c>
      <c r="S8200" t="s">
        <v>47597</v>
      </c>
      <c r="T8200" t="s">
        <v>49077</v>
      </c>
      <c r="U8200" t="s">
        <v>56494</v>
      </c>
      <c r="V8200" t="s">
        <v>63325</v>
      </c>
      <c r="W8200" t="s">
        <v>45442</v>
      </c>
      <c r="X8200" t="s">
        <v>47433</v>
      </c>
    </row>
    <row r="8201" spans="1:24">
      <c r="A8201">
        <f>HYPERLINK("https://www.philgeps.gov.ph/GEPSNONPILOT/Tender/SplashBidNoticeAbstractUI.aspx?menuIndex=3&amp;refID=7153166&amp;Result=3","7153166")</f>
        <v>0</v>
      </c>
      <c r="B8201" t="s">
        <v>2748</v>
      </c>
      <c r="C8201" t="s">
        <v>11616</v>
      </c>
      <c r="D8201" t="s">
        <v>19078</v>
      </c>
      <c r="E8201" t="s">
        <v>26233</v>
      </c>
      <c r="F8201" t="s">
        <v>32831</v>
      </c>
      <c r="G8201" t="s">
        <v>32839</v>
      </c>
      <c r="H8201" t="s">
        <v>32849</v>
      </c>
      <c r="I8201" t="s">
        <v>4177</v>
      </c>
      <c r="J8201" t="s">
        <v>33279</v>
      </c>
      <c r="K8201" t="s">
        <v>42804</v>
      </c>
      <c r="M8201" t="s">
        <v>45977</v>
      </c>
      <c r="N8201" t="s">
        <v>47424</v>
      </c>
      <c r="O8201" t="s">
        <v>47425</v>
      </c>
      <c r="P8201">
        <v>0</v>
      </c>
      <c r="Q8201">
        <v>0</v>
      </c>
      <c r="R8201" t="s">
        <v>47432</v>
      </c>
      <c r="S8201" t="s">
        <v>47597</v>
      </c>
      <c r="T8201" t="s">
        <v>49112</v>
      </c>
      <c r="U8201" t="s">
        <v>56495</v>
      </c>
      <c r="W8201" t="s">
        <v>45977</v>
      </c>
      <c r="X8201" t="s">
        <v>47433</v>
      </c>
    </row>
    <row r="8202" spans="1:24">
      <c r="A8202">
        <f>HYPERLINK("https://www.philgeps.gov.ph/GEPSNONPILOT/Tender/SplashBidNoticeAbstractUI.aspx?menuIndex=3&amp;refID=7153181&amp;Result=3","7153181")</f>
        <v>0</v>
      </c>
      <c r="B8202" t="s">
        <v>2749</v>
      </c>
      <c r="C8202" t="s">
        <v>11617</v>
      </c>
      <c r="D8202" t="s">
        <v>19046</v>
      </c>
      <c r="E8202" t="s">
        <v>20319</v>
      </c>
      <c r="F8202" t="s">
        <v>32831</v>
      </c>
      <c r="G8202" t="s">
        <v>32839</v>
      </c>
      <c r="H8202" t="s">
        <v>32848</v>
      </c>
      <c r="I8202" t="s">
        <v>7416</v>
      </c>
      <c r="J8202" t="s">
        <v>38100</v>
      </c>
      <c r="K8202" t="s">
        <v>42726</v>
      </c>
      <c r="M8202" t="s">
        <v>45978</v>
      </c>
      <c r="N8202" t="s">
        <v>47424</v>
      </c>
      <c r="O8202" t="s">
        <v>47425</v>
      </c>
      <c r="P8202">
        <v>0</v>
      </c>
      <c r="Q8202">
        <v>0</v>
      </c>
      <c r="R8202" t="s">
        <v>47432</v>
      </c>
      <c r="S8202" t="s">
        <v>47597</v>
      </c>
      <c r="T8202" t="s">
        <v>49166</v>
      </c>
      <c r="U8202" t="s">
        <v>56496</v>
      </c>
      <c r="V8202" t="s">
        <v>63547</v>
      </c>
      <c r="W8202" t="s">
        <v>45978</v>
      </c>
      <c r="X8202" t="s">
        <v>47433</v>
      </c>
    </row>
    <row r="8203" spans="1:24">
      <c r="A8203">
        <f>HYPERLINK("https://www.philgeps.gov.ph/GEPSNONPILOT/Tender/SplashBidNoticeAbstractUI.aspx?menuIndex=3&amp;refID=7153164&amp;Result=3","7153164")</f>
        <v>0</v>
      </c>
      <c r="B8203" t="s">
        <v>2687</v>
      </c>
      <c r="C8203" t="s">
        <v>11618</v>
      </c>
      <c r="E8203" t="s">
        <v>26234</v>
      </c>
      <c r="F8203" t="s">
        <v>32831</v>
      </c>
      <c r="G8203" t="s">
        <v>32839</v>
      </c>
      <c r="H8203" t="s">
        <v>32849</v>
      </c>
      <c r="I8203" t="s">
        <v>4177</v>
      </c>
      <c r="J8203" t="s">
        <v>38101</v>
      </c>
      <c r="K8203" t="s">
        <v>42770</v>
      </c>
      <c r="M8203" t="s">
        <v>45910</v>
      </c>
      <c r="N8203" t="s">
        <v>47424</v>
      </c>
      <c r="O8203" t="s">
        <v>47425</v>
      </c>
      <c r="P8203">
        <v>0</v>
      </c>
      <c r="Q8203">
        <v>41</v>
      </c>
      <c r="R8203" t="s">
        <v>47432</v>
      </c>
      <c r="S8203" t="s">
        <v>47597</v>
      </c>
      <c r="T8203" t="s">
        <v>49221</v>
      </c>
      <c r="U8203" t="s">
        <v>56497</v>
      </c>
      <c r="V8203" t="s">
        <v>63514</v>
      </c>
      <c r="W8203" t="s">
        <v>45910</v>
      </c>
      <c r="X8203" t="s">
        <v>47433</v>
      </c>
    </row>
    <row r="8204" spans="1:24">
      <c r="A8204">
        <f>HYPERLINK("https://www.philgeps.gov.ph/GEPSNONPILOT/Tender/SplashBidNoticeAbstractUI.aspx?menuIndex=3&amp;refID=7153176&amp;Result=3","7153176")</f>
        <v>0</v>
      </c>
      <c r="B8204" t="s">
        <v>1141</v>
      </c>
      <c r="C8204" t="s">
        <v>11619</v>
      </c>
      <c r="D8204" t="s">
        <v>19017</v>
      </c>
      <c r="E8204" t="s">
        <v>26235</v>
      </c>
      <c r="F8204" t="s">
        <v>32831</v>
      </c>
      <c r="G8204" t="s">
        <v>32838</v>
      </c>
      <c r="H8204" t="s">
        <v>32848</v>
      </c>
      <c r="I8204" t="s">
        <v>7416</v>
      </c>
      <c r="J8204" t="s">
        <v>38102</v>
      </c>
      <c r="K8204" t="s">
        <v>42727</v>
      </c>
      <c r="M8204" t="s">
        <v>44205</v>
      </c>
      <c r="N8204" t="s">
        <v>47424</v>
      </c>
      <c r="O8204" t="s">
        <v>47425</v>
      </c>
      <c r="P8204">
        <v>0</v>
      </c>
      <c r="Q8204">
        <v>1</v>
      </c>
      <c r="R8204" t="s">
        <v>47432</v>
      </c>
      <c r="S8204" t="s">
        <v>47597</v>
      </c>
      <c r="T8204" t="s">
        <v>49237</v>
      </c>
      <c r="U8204" t="s">
        <v>56498</v>
      </c>
      <c r="W8204" t="s">
        <v>64459</v>
      </c>
      <c r="X8204" t="s">
        <v>47433</v>
      </c>
    </row>
    <row r="8205" spans="1:24">
      <c r="A8205">
        <f>HYPERLINK("https://www.philgeps.gov.ph/GEPSNONPILOT/Tender/SplashBidNoticeAbstractUI.aspx?menuIndex=3&amp;refID=7153158&amp;Result=3","7153158")</f>
        <v>0</v>
      </c>
      <c r="B8205" t="s">
        <v>2750</v>
      </c>
      <c r="C8205" t="s">
        <v>11620</v>
      </c>
      <c r="D8205" t="s">
        <v>19045</v>
      </c>
      <c r="E8205" t="s">
        <v>26236</v>
      </c>
      <c r="F8205" t="s">
        <v>32831</v>
      </c>
      <c r="G8205" t="s">
        <v>32838</v>
      </c>
      <c r="H8205" t="s">
        <v>32848</v>
      </c>
      <c r="I8205" t="s">
        <v>32868</v>
      </c>
      <c r="J8205" t="s">
        <v>38103</v>
      </c>
      <c r="K8205" t="s">
        <v>42758</v>
      </c>
      <c r="M8205" t="s">
        <v>45979</v>
      </c>
      <c r="N8205" t="s">
        <v>47424</v>
      </c>
      <c r="O8205" t="s">
        <v>47425</v>
      </c>
      <c r="P8205">
        <v>0</v>
      </c>
      <c r="Q8205">
        <v>8</v>
      </c>
      <c r="R8205" t="s">
        <v>47432</v>
      </c>
      <c r="S8205" t="s">
        <v>47597</v>
      </c>
      <c r="T8205" t="s">
        <v>49229</v>
      </c>
      <c r="U8205" t="s">
        <v>56499</v>
      </c>
      <c r="W8205" t="s">
        <v>45979</v>
      </c>
      <c r="X8205" t="s">
        <v>47433</v>
      </c>
    </row>
    <row r="8206" spans="1:24">
      <c r="A8206">
        <f>HYPERLINK("https://www.philgeps.gov.ph/GEPSNONPILOT/Tender/SplashBidNoticeAbstractUI.aspx?menuIndex=3&amp;refID=7153156&amp;Result=3","7153156")</f>
        <v>0</v>
      </c>
      <c r="B8206" t="s">
        <v>2751</v>
      </c>
      <c r="C8206" t="s">
        <v>11621</v>
      </c>
      <c r="D8206" t="s">
        <v>19062</v>
      </c>
      <c r="E8206" t="s">
        <v>26237</v>
      </c>
      <c r="F8206" t="s">
        <v>32831</v>
      </c>
      <c r="G8206" t="s">
        <v>32839</v>
      </c>
      <c r="H8206" t="s">
        <v>32849</v>
      </c>
      <c r="I8206" t="s">
        <v>4177</v>
      </c>
      <c r="J8206" t="s">
        <v>38104</v>
      </c>
      <c r="K8206" t="s">
        <v>42727</v>
      </c>
      <c r="M8206" t="s">
        <v>45980</v>
      </c>
      <c r="N8206" t="s">
        <v>47424</v>
      </c>
      <c r="O8206" t="s">
        <v>47425</v>
      </c>
      <c r="P8206">
        <v>0</v>
      </c>
      <c r="Q8206">
        <v>0</v>
      </c>
      <c r="R8206" t="s">
        <v>47432</v>
      </c>
      <c r="S8206" t="s">
        <v>47597</v>
      </c>
      <c r="T8206" t="s">
        <v>49114</v>
      </c>
      <c r="U8206" t="s">
        <v>56500</v>
      </c>
      <c r="V8206" t="s">
        <v>63548</v>
      </c>
      <c r="W8206" t="s">
        <v>45980</v>
      </c>
      <c r="X8206" t="s">
        <v>47433</v>
      </c>
    </row>
    <row r="8207" spans="1:24">
      <c r="A8207">
        <f>HYPERLINK("https://www.philgeps.gov.ph/GEPSNONPILOT/Tender/SplashBidNoticeAbstractUI.aspx?menuIndex=3&amp;refID=7153105&amp;Result=3","7153105")</f>
        <v>0</v>
      </c>
      <c r="B8207" t="s">
        <v>2738</v>
      </c>
      <c r="C8207" t="s">
        <v>11622</v>
      </c>
      <c r="D8207" t="s">
        <v>19078</v>
      </c>
      <c r="E8207" t="s">
        <v>26238</v>
      </c>
      <c r="F8207" t="s">
        <v>32831</v>
      </c>
      <c r="G8207" t="s">
        <v>32839</v>
      </c>
      <c r="H8207" t="s">
        <v>32849</v>
      </c>
      <c r="I8207" t="s">
        <v>4177</v>
      </c>
      <c r="J8207" t="s">
        <v>38105</v>
      </c>
      <c r="K8207" t="s">
        <v>42745</v>
      </c>
      <c r="M8207" t="s">
        <v>45966</v>
      </c>
      <c r="N8207" t="s">
        <v>47424</v>
      </c>
      <c r="O8207" t="s">
        <v>47425</v>
      </c>
      <c r="P8207">
        <v>0</v>
      </c>
      <c r="Q8207">
        <v>0</v>
      </c>
      <c r="R8207" t="s">
        <v>47432</v>
      </c>
      <c r="S8207" t="s">
        <v>47597</v>
      </c>
      <c r="T8207" t="s">
        <v>49112</v>
      </c>
      <c r="U8207" t="s">
        <v>56465</v>
      </c>
      <c r="W8207" t="s">
        <v>45966</v>
      </c>
      <c r="X8207" t="s">
        <v>47433</v>
      </c>
    </row>
    <row r="8208" spans="1:24">
      <c r="A8208">
        <f>HYPERLINK("https://www.philgeps.gov.ph/GEPSNONPILOT/Tender/SplashBidNoticeAbstractUI.aspx?menuIndex=3&amp;refID=7153163&amp;Result=3","7153163")</f>
        <v>0</v>
      </c>
      <c r="B8208" t="s">
        <v>2752</v>
      </c>
      <c r="C8208" t="s">
        <v>11623</v>
      </c>
      <c r="E8208" t="s">
        <v>26239</v>
      </c>
      <c r="F8208" t="s">
        <v>32831</v>
      </c>
      <c r="G8208" t="s">
        <v>32839</v>
      </c>
      <c r="H8208" t="s">
        <v>32848</v>
      </c>
      <c r="I8208" t="s">
        <v>32858</v>
      </c>
      <c r="J8208" t="s">
        <v>33241</v>
      </c>
      <c r="K8208" t="s">
        <v>42726</v>
      </c>
      <c r="M8208" t="s">
        <v>45981</v>
      </c>
      <c r="N8208" t="s">
        <v>47424</v>
      </c>
      <c r="O8208" t="s">
        <v>47425</v>
      </c>
      <c r="P8208">
        <v>0</v>
      </c>
      <c r="Q8208">
        <v>3</v>
      </c>
      <c r="R8208" t="s">
        <v>47432</v>
      </c>
      <c r="S8208" t="s">
        <v>47597</v>
      </c>
      <c r="T8208" t="s">
        <v>49214</v>
      </c>
      <c r="U8208" t="s">
        <v>52173</v>
      </c>
      <c r="W8208" t="s">
        <v>45981</v>
      </c>
      <c r="X8208" t="s">
        <v>47433</v>
      </c>
    </row>
    <row r="8209" spans="1:24">
      <c r="A8209">
        <f>HYPERLINK("https://www.philgeps.gov.ph/GEPSNONPILOT/Tender/SplashBidNoticeAbstractUI.aspx?menuIndex=3&amp;refID=7153151&amp;Result=3","7153151")</f>
        <v>0</v>
      </c>
      <c r="B8209" t="s">
        <v>2753</v>
      </c>
      <c r="C8209" t="s">
        <v>11624</v>
      </c>
      <c r="D8209" t="s">
        <v>19038</v>
      </c>
      <c r="E8209" t="s">
        <v>26240</v>
      </c>
      <c r="F8209" t="s">
        <v>32831</v>
      </c>
      <c r="G8209" t="s">
        <v>32839</v>
      </c>
      <c r="H8209" t="s">
        <v>32848</v>
      </c>
      <c r="I8209" t="s">
        <v>4438</v>
      </c>
      <c r="J8209" t="s">
        <v>33118</v>
      </c>
      <c r="K8209" t="s">
        <v>42726</v>
      </c>
      <c r="M8209" t="s">
        <v>45982</v>
      </c>
      <c r="N8209" t="s">
        <v>47424</v>
      </c>
      <c r="O8209" t="s">
        <v>47425</v>
      </c>
      <c r="P8209">
        <v>0</v>
      </c>
      <c r="Q8209">
        <v>1</v>
      </c>
      <c r="R8209" t="s">
        <v>47432</v>
      </c>
      <c r="S8209" t="s">
        <v>47597</v>
      </c>
      <c r="T8209" t="s">
        <v>49063</v>
      </c>
      <c r="U8209" t="s">
        <v>56501</v>
      </c>
      <c r="W8209" t="s">
        <v>45982</v>
      </c>
      <c r="X8209" t="s">
        <v>47433</v>
      </c>
    </row>
    <row r="8210" spans="1:24">
      <c r="A8210">
        <f>HYPERLINK("https://www.philgeps.gov.ph/GEPSNONPILOT/Tender/SplashBidNoticeAbstractUI.aspx?menuIndex=3&amp;refID=7153101&amp;Result=3","7153101")</f>
        <v>0</v>
      </c>
      <c r="B8210" t="s">
        <v>2754</v>
      </c>
      <c r="C8210" t="s">
        <v>11625</v>
      </c>
      <c r="D8210" t="s">
        <v>19042</v>
      </c>
      <c r="E8210" t="s">
        <v>26241</v>
      </c>
      <c r="F8210" t="s">
        <v>32831</v>
      </c>
      <c r="G8210" t="s">
        <v>32839</v>
      </c>
      <c r="H8210" t="s">
        <v>32849</v>
      </c>
      <c r="I8210" t="s">
        <v>4177</v>
      </c>
      <c r="J8210" t="s">
        <v>38106</v>
      </c>
      <c r="K8210" t="s">
        <v>42830</v>
      </c>
      <c r="M8210" t="s">
        <v>45983</v>
      </c>
      <c r="N8210" t="s">
        <v>47424</v>
      </c>
      <c r="O8210" t="s">
        <v>47425</v>
      </c>
      <c r="P8210">
        <v>0</v>
      </c>
      <c r="Q8210">
        <v>0</v>
      </c>
      <c r="R8210" t="s">
        <v>47432</v>
      </c>
      <c r="S8210" t="s">
        <v>47597</v>
      </c>
      <c r="T8210" t="s">
        <v>49393</v>
      </c>
      <c r="U8210" t="s">
        <v>56502</v>
      </c>
      <c r="W8210" t="s">
        <v>45983</v>
      </c>
      <c r="X8210" t="s">
        <v>47433</v>
      </c>
    </row>
    <row r="8211" spans="1:24">
      <c r="A8211">
        <f>HYPERLINK("https://www.philgeps.gov.ph/GEPSNONPILOT/Tender/SplashBidNoticeAbstractUI.aspx?menuIndex=3&amp;refID=7153149&amp;Result=3","7153149")</f>
        <v>0</v>
      </c>
      <c r="B8211" t="s">
        <v>2755</v>
      </c>
      <c r="C8211" t="s">
        <v>11626</v>
      </c>
      <c r="D8211" t="s">
        <v>19034</v>
      </c>
      <c r="E8211" t="s">
        <v>26151</v>
      </c>
      <c r="F8211" t="s">
        <v>32831</v>
      </c>
      <c r="G8211" t="s">
        <v>32839</v>
      </c>
      <c r="H8211" t="s">
        <v>32848</v>
      </c>
      <c r="I8211" t="s">
        <v>7416</v>
      </c>
      <c r="J8211" t="s">
        <v>38107</v>
      </c>
      <c r="K8211" t="s">
        <v>42726</v>
      </c>
      <c r="L8211" t="s">
        <v>2755</v>
      </c>
      <c r="M8211" t="s">
        <v>45984</v>
      </c>
      <c r="N8211" t="s">
        <v>47424</v>
      </c>
      <c r="O8211" t="s">
        <v>47425</v>
      </c>
      <c r="P8211">
        <v>0</v>
      </c>
      <c r="Q8211">
        <v>0</v>
      </c>
      <c r="R8211" t="s">
        <v>47432</v>
      </c>
      <c r="S8211" t="s">
        <v>47597</v>
      </c>
      <c r="T8211" t="s">
        <v>49162</v>
      </c>
      <c r="U8211" t="s">
        <v>56503</v>
      </c>
      <c r="W8211" t="s">
        <v>45984</v>
      </c>
      <c r="X8211" t="s">
        <v>47433</v>
      </c>
    </row>
    <row r="8212" spans="1:24">
      <c r="A8212">
        <f>HYPERLINK("https://www.philgeps.gov.ph/GEPSNONPILOT/Tender/SplashBidNoticeAbstractUI.aspx?menuIndex=3&amp;refID=7153140&amp;Result=3","7153140")</f>
        <v>0</v>
      </c>
      <c r="B8212" t="s">
        <v>998</v>
      </c>
      <c r="C8212" t="s">
        <v>8763</v>
      </c>
      <c r="D8212" t="s">
        <v>19049</v>
      </c>
      <c r="E8212" t="s">
        <v>26242</v>
      </c>
      <c r="F8212" t="s">
        <v>32831</v>
      </c>
      <c r="G8212" t="s">
        <v>32840</v>
      </c>
      <c r="H8212" t="s">
        <v>32848</v>
      </c>
      <c r="I8212" t="s">
        <v>4558</v>
      </c>
      <c r="J8212" t="s">
        <v>38108</v>
      </c>
      <c r="K8212" t="s">
        <v>42732</v>
      </c>
      <c r="M8212" t="s">
        <v>44047</v>
      </c>
      <c r="N8212" t="s">
        <v>47424</v>
      </c>
      <c r="O8212" t="s">
        <v>47425</v>
      </c>
      <c r="Q8212">
        <v>9</v>
      </c>
      <c r="R8212" t="s">
        <v>47432</v>
      </c>
      <c r="S8212" t="s">
        <v>47608</v>
      </c>
      <c r="T8212" t="s">
        <v>49503</v>
      </c>
      <c r="U8212" t="s">
        <v>50613</v>
      </c>
      <c r="W8212" t="s">
        <v>44047</v>
      </c>
      <c r="X8212" t="s">
        <v>47433</v>
      </c>
    </row>
    <row r="8213" spans="1:24">
      <c r="A8213">
        <f>HYPERLINK("https://www.philgeps.gov.ph/GEPSNONPILOT/Tender/SplashBidNoticeAbstractUI.aspx?menuIndex=3&amp;refID=7153155&amp;Result=3","7153155")</f>
        <v>0</v>
      </c>
      <c r="B8213" t="s">
        <v>1886</v>
      </c>
      <c r="C8213" t="s">
        <v>11627</v>
      </c>
      <c r="D8213" t="s">
        <v>19062</v>
      </c>
      <c r="E8213" t="s">
        <v>26243</v>
      </c>
      <c r="F8213" t="s">
        <v>32831</v>
      </c>
      <c r="G8213" t="s">
        <v>32838</v>
      </c>
      <c r="H8213" t="s">
        <v>32848</v>
      </c>
      <c r="I8213" t="s">
        <v>5379</v>
      </c>
      <c r="J8213" t="s">
        <v>33859</v>
      </c>
      <c r="K8213" t="s">
        <v>42731</v>
      </c>
      <c r="M8213" t="s">
        <v>45031</v>
      </c>
      <c r="N8213" t="s">
        <v>47424</v>
      </c>
      <c r="O8213" t="s">
        <v>47425</v>
      </c>
      <c r="P8213">
        <v>0</v>
      </c>
      <c r="Q8213">
        <v>0</v>
      </c>
      <c r="R8213" t="s">
        <v>47432</v>
      </c>
      <c r="S8213" t="s">
        <v>47597</v>
      </c>
      <c r="T8213" t="s">
        <v>49107</v>
      </c>
      <c r="U8213" t="s">
        <v>55822</v>
      </c>
      <c r="V8213" t="s">
        <v>63549</v>
      </c>
      <c r="W8213" t="s">
        <v>45031</v>
      </c>
      <c r="X8213" t="s">
        <v>47433</v>
      </c>
    </row>
    <row r="8214" spans="1:24">
      <c r="A8214">
        <f>HYPERLINK("https://www.philgeps.gov.ph/GEPSNONPILOT/Tender/SplashBidNoticeAbstractUI.aspx?menuIndex=3&amp;refID=7153100&amp;Result=3","7153100")</f>
        <v>0</v>
      </c>
      <c r="B8214" t="s">
        <v>2656</v>
      </c>
      <c r="C8214" t="s">
        <v>11628</v>
      </c>
      <c r="D8214" t="s">
        <v>19028</v>
      </c>
      <c r="E8214" t="s">
        <v>26244</v>
      </c>
      <c r="F8214" t="s">
        <v>32831</v>
      </c>
      <c r="G8214" t="s">
        <v>32839</v>
      </c>
      <c r="H8214" t="s">
        <v>32849</v>
      </c>
      <c r="I8214" t="s">
        <v>4177</v>
      </c>
      <c r="J8214" t="s">
        <v>38109</v>
      </c>
      <c r="K8214" t="s">
        <v>42731</v>
      </c>
      <c r="M8214" t="s">
        <v>45919</v>
      </c>
      <c r="N8214" t="s">
        <v>47424</v>
      </c>
      <c r="O8214" t="s">
        <v>47425</v>
      </c>
      <c r="P8214">
        <v>0</v>
      </c>
      <c r="Q8214">
        <v>0</v>
      </c>
      <c r="R8214" t="s">
        <v>47432</v>
      </c>
      <c r="S8214" t="s">
        <v>47597</v>
      </c>
      <c r="T8214" t="s">
        <v>49166</v>
      </c>
      <c r="U8214" t="s">
        <v>56348</v>
      </c>
      <c r="W8214" t="s">
        <v>45919</v>
      </c>
      <c r="X8214" t="s">
        <v>47433</v>
      </c>
    </row>
    <row r="8215" spans="1:24">
      <c r="A8215">
        <f>HYPERLINK("https://www.philgeps.gov.ph/GEPSNONPILOT/Tender/SplashBidNoticeAbstractUI.aspx?menuIndex=3&amp;refID=7153071&amp;Result=3","7153071")</f>
        <v>0</v>
      </c>
      <c r="B8215" t="s">
        <v>2756</v>
      </c>
      <c r="C8215" t="s">
        <v>11629</v>
      </c>
      <c r="D8215" t="s">
        <v>19077</v>
      </c>
      <c r="E8215" t="s">
        <v>26245</v>
      </c>
      <c r="F8215" t="s">
        <v>32831</v>
      </c>
      <c r="G8215" t="s">
        <v>32838</v>
      </c>
      <c r="H8215" t="s">
        <v>32848</v>
      </c>
      <c r="I8215" t="s">
        <v>4487</v>
      </c>
      <c r="J8215" t="s">
        <v>33041</v>
      </c>
      <c r="K8215" t="s">
        <v>42732</v>
      </c>
      <c r="M8215" t="s">
        <v>45985</v>
      </c>
      <c r="N8215" t="s">
        <v>47424</v>
      </c>
      <c r="O8215" t="s">
        <v>47425</v>
      </c>
      <c r="P8215">
        <v>0</v>
      </c>
      <c r="Q8215">
        <v>0</v>
      </c>
      <c r="R8215" t="s">
        <v>47432</v>
      </c>
      <c r="S8215" t="s">
        <v>47597</v>
      </c>
      <c r="T8215" t="s">
        <v>49127</v>
      </c>
      <c r="U8215" t="s">
        <v>56504</v>
      </c>
      <c r="W8215" t="s">
        <v>45985</v>
      </c>
      <c r="X8215" t="s">
        <v>47433</v>
      </c>
    </row>
    <row r="8216" spans="1:24">
      <c r="A8216">
        <f>HYPERLINK("https://www.philgeps.gov.ph/GEPSNONPILOT/Tender/SplashBidNoticeAbstractUI.aspx?menuIndex=3&amp;refID=7153068&amp;Result=3","7153068")</f>
        <v>0</v>
      </c>
      <c r="B8216" t="s">
        <v>2757</v>
      </c>
      <c r="C8216" t="s">
        <v>11630</v>
      </c>
      <c r="D8216" t="s">
        <v>19039</v>
      </c>
      <c r="E8216" t="s">
        <v>26246</v>
      </c>
      <c r="F8216" t="s">
        <v>32831</v>
      </c>
      <c r="G8216" t="s">
        <v>32839</v>
      </c>
      <c r="H8216" t="s">
        <v>32849</v>
      </c>
      <c r="I8216" t="s">
        <v>4177</v>
      </c>
      <c r="J8216" t="s">
        <v>33178</v>
      </c>
      <c r="K8216" t="s">
        <v>42730</v>
      </c>
      <c r="M8216" t="s">
        <v>45986</v>
      </c>
      <c r="N8216" t="s">
        <v>47424</v>
      </c>
      <c r="O8216" t="s">
        <v>47425</v>
      </c>
      <c r="P8216">
        <v>0</v>
      </c>
      <c r="Q8216">
        <v>0</v>
      </c>
      <c r="R8216" t="s">
        <v>47432</v>
      </c>
      <c r="S8216" t="s">
        <v>47597</v>
      </c>
      <c r="T8216" t="s">
        <v>49192</v>
      </c>
      <c r="U8216" t="s">
        <v>56505</v>
      </c>
      <c r="W8216" t="s">
        <v>45986</v>
      </c>
      <c r="X8216" t="s">
        <v>47433</v>
      </c>
    </row>
    <row r="8217" spans="1:24">
      <c r="A8217">
        <f>HYPERLINK("https://www.philgeps.gov.ph/GEPSNONPILOT/Tender/SplashBidNoticeAbstractUI.aspx?menuIndex=3&amp;refID=7153064&amp;Result=3","7153064")</f>
        <v>0</v>
      </c>
      <c r="B8217" t="s">
        <v>1391</v>
      </c>
      <c r="C8217" t="s">
        <v>11631</v>
      </c>
      <c r="D8217" t="s">
        <v>19080</v>
      </c>
      <c r="E8217" t="s">
        <v>26247</v>
      </c>
      <c r="F8217" t="s">
        <v>32831</v>
      </c>
      <c r="G8217" t="s">
        <v>32839</v>
      </c>
      <c r="H8217" t="s">
        <v>32849</v>
      </c>
      <c r="I8217" t="s">
        <v>4177</v>
      </c>
      <c r="J8217" t="s">
        <v>38110</v>
      </c>
      <c r="K8217" t="s">
        <v>42784</v>
      </c>
      <c r="M8217" t="s">
        <v>44476</v>
      </c>
      <c r="N8217" t="s">
        <v>47424</v>
      </c>
      <c r="O8217" t="s">
        <v>47425</v>
      </c>
      <c r="P8217">
        <v>0</v>
      </c>
      <c r="Q8217">
        <v>0</v>
      </c>
      <c r="R8217" t="s">
        <v>47432</v>
      </c>
      <c r="S8217" t="s">
        <v>47597</v>
      </c>
      <c r="T8217" t="s">
        <v>49080</v>
      </c>
      <c r="U8217" t="s">
        <v>56506</v>
      </c>
      <c r="W8217" t="s">
        <v>44476</v>
      </c>
      <c r="X8217" t="s">
        <v>47433</v>
      </c>
    </row>
    <row r="8218" spans="1:24">
      <c r="A8218">
        <f>HYPERLINK("https://www.philgeps.gov.ph/GEPSNONPILOT/Tender/SplashBidNoticeAbstractUI.aspx?menuIndex=3&amp;refID=7153142&amp;Result=3","7153142")</f>
        <v>0</v>
      </c>
      <c r="B8218" t="s">
        <v>2746</v>
      </c>
      <c r="C8218" t="s">
        <v>11632</v>
      </c>
      <c r="D8218" t="s">
        <v>19045</v>
      </c>
      <c r="E8218" t="s">
        <v>26248</v>
      </c>
      <c r="F8218" t="s">
        <v>32831</v>
      </c>
      <c r="G8218" t="s">
        <v>32843</v>
      </c>
      <c r="H8218" t="s">
        <v>32848</v>
      </c>
      <c r="I8218" t="s">
        <v>7416</v>
      </c>
      <c r="J8218" t="s">
        <v>34331</v>
      </c>
      <c r="K8218" t="s">
        <v>42731</v>
      </c>
      <c r="M8218" t="s">
        <v>45974</v>
      </c>
      <c r="N8218" t="s">
        <v>47424</v>
      </c>
      <c r="O8218" t="s">
        <v>47425</v>
      </c>
      <c r="P8218">
        <v>0</v>
      </c>
      <c r="Q8218">
        <v>0</v>
      </c>
      <c r="R8218" t="s">
        <v>47432</v>
      </c>
      <c r="S8218" t="s">
        <v>47597</v>
      </c>
      <c r="T8218" t="s">
        <v>49212</v>
      </c>
      <c r="U8218" t="s">
        <v>56507</v>
      </c>
      <c r="W8218" t="s">
        <v>45974</v>
      </c>
      <c r="X8218" t="s">
        <v>47433</v>
      </c>
    </row>
    <row r="8219" spans="1:24">
      <c r="A8219">
        <f>HYPERLINK("https://www.philgeps.gov.ph/GEPSNONPILOT/Tender/SplashBidNoticeAbstractUI.aspx?menuIndex=3&amp;refID=7153059&amp;Result=3","7153059")</f>
        <v>0</v>
      </c>
      <c r="B8219" t="s">
        <v>980</v>
      </c>
      <c r="C8219" t="s">
        <v>11633</v>
      </c>
      <c r="D8219" t="s">
        <v>19022</v>
      </c>
      <c r="E8219" t="s">
        <v>26249</v>
      </c>
      <c r="F8219" t="s">
        <v>32831</v>
      </c>
      <c r="G8219" t="s">
        <v>32839</v>
      </c>
      <c r="H8219" t="s">
        <v>32849</v>
      </c>
      <c r="I8219" t="s">
        <v>4177</v>
      </c>
      <c r="J8219" t="s">
        <v>38111</v>
      </c>
      <c r="K8219" t="s">
        <v>42770</v>
      </c>
      <c r="M8219" t="s">
        <v>45987</v>
      </c>
      <c r="N8219" t="s">
        <v>47424</v>
      </c>
      <c r="O8219" t="s">
        <v>47425</v>
      </c>
      <c r="Q8219">
        <v>7</v>
      </c>
      <c r="R8219" t="s">
        <v>47432</v>
      </c>
      <c r="S8219" t="s">
        <v>47609</v>
      </c>
      <c r="T8219" t="s">
        <v>49160</v>
      </c>
      <c r="U8219" t="s">
        <v>56508</v>
      </c>
      <c r="W8219" t="s">
        <v>45987</v>
      </c>
      <c r="X8219" t="s">
        <v>47433</v>
      </c>
    </row>
    <row r="8220" spans="1:24">
      <c r="A8220">
        <f>HYPERLINK("https://www.philgeps.gov.ph/GEPSNONPILOT/Tender/SplashBidNoticeAbstractUI.aspx?menuIndex=3&amp;refID=7153152&amp;Result=3","7153152")</f>
        <v>0</v>
      </c>
      <c r="B8220" t="s">
        <v>2674</v>
      </c>
      <c r="C8220" t="s">
        <v>11634</v>
      </c>
      <c r="D8220" t="s">
        <v>19077</v>
      </c>
      <c r="E8220" t="s">
        <v>26250</v>
      </c>
      <c r="F8220" t="s">
        <v>32831</v>
      </c>
      <c r="G8220" t="s">
        <v>32840</v>
      </c>
      <c r="H8220" t="s">
        <v>32848</v>
      </c>
      <c r="I8220" t="s">
        <v>7819</v>
      </c>
      <c r="J8220" t="s">
        <v>33930</v>
      </c>
      <c r="K8220" t="s">
        <v>42730</v>
      </c>
      <c r="M8220" t="s">
        <v>45897</v>
      </c>
      <c r="N8220" t="s">
        <v>47424</v>
      </c>
      <c r="O8220" t="s">
        <v>47425</v>
      </c>
      <c r="P8220">
        <v>0</v>
      </c>
      <c r="Q8220">
        <v>2</v>
      </c>
      <c r="R8220" t="s">
        <v>47432</v>
      </c>
      <c r="S8220" t="s">
        <v>47597</v>
      </c>
      <c r="T8220" t="s">
        <v>49237</v>
      </c>
      <c r="U8220" t="s">
        <v>56509</v>
      </c>
      <c r="W8220" t="s">
        <v>45897</v>
      </c>
      <c r="X8220" t="s">
        <v>47433</v>
      </c>
    </row>
    <row r="8221" spans="1:24">
      <c r="A8221">
        <f>HYPERLINK("https://www.philgeps.gov.ph/GEPSNONPILOT/Tender/SplashBidNoticeAbstractUI.aspx?menuIndex=3&amp;refID=7153054&amp;Result=3","7153054")</f>
        <v>0</v>
      </c>
      <c r="B8221" t="s">
        <v>2525</v>
      </c>
      <c r="C8221" t="s">
        <v>11635</v>
      </c>
      <c r="D8221" t="s">
        <v>19071</v>
      </c>
      <c r="E8221" t="s">
        <v>26251</v>
      </c>
      <c r="F8221" t="s">
        <v>32831</v>
      </c>
      <c r="G8221" t="s">
        <v>32839</v>
      </c>
      <c r="H8221" t="s">
        <v>32848</v>
      </c>
      <c r="I8221" t="s">
        <v>4558</v>
      </c>
      <c r="J8221" t="s">
        <v>38112</v>
      </c>
      <c r="K8221" t="s">
        <v>42727</v>
      </c>
      <c r="M8221" t="s">
        <v>45733</v>
      </c>
      <c r="N8221" t="s">
        <v>47424</v>
      </c>
      <c r="O8221" t="s">
        <v>47425</v>
      </c>
      <c r="P8221">
        <v>0</v>
      </c>
      <c r="Q8221">
        <v>2</v>
      </c>
      <c r="R8221" t="s">
        <v>47432</v>
      </c>
      <c r="S8221" t="s">
        <v>47597</v>
      </c>
      <c r="T8221" t="s">
        <v>49166</v>
      </c>
      <c r="U8221" t="s">
        <v>55810</v>
      </c>
      <c r="V8221" t="s">
        <v>63439</v>
      </c>
      <c r="W8221" t="s">
        <v>45733</v>
      </c>
      <c r="X8221" t="s">
        <v>47433</v>
      </c>
    </row>
    <row r="8222" spans="1:24">
      <c r="A8222">
        <f>HYPERLINK("https://www.philgeps.gov.ph/GEPSNONPILOT/Tender/SplashBidNoticeAbstractUI.aspx?menuIndex=3&amp;refID=7153070&amp;Result=3","7153070")</f>
        <v>0</v>
      </c>
      <c r="B8222" t="s">
        <v>2758</v>
      </c>
      <c r="C8222" t="s">
        <v>11636</v>
      </c>
      <c r="D8222" t="s">
        <v>19034</v>
      </c>
      <c r="E8222" t="s">
        <v>26252</v>
      </c>
      <c r="F8222" t="s">
        <v>32831</v>
      </c>
      <c r="G8222" t="s">
        <v>32839</v>
      </c>
      <c r="H8222" t="s">
        <v>32848</v>
      </c>
      <c r="I8222" t="s">
        <v>4558</v>
      </c>
      <c r="J8222" t="s">
        <v>38113</v>
      </c>
      <c r="K8222" t="s">
        <v>42745</v>
      </c>
      <c r="M8222" t="s">
        <v>45988</v>
      </c>
      <c r="N8222" t="s">
        <v>47424</v>
      </c>
      <c r="O8222" t="s">
        <v>47425</v>
      </c>
      <c r="P8222">
        <v>0</v>
      </c>
      <c r="Q8222">
        <v>1</v>
      </c>
      <c r="R8222" t="s">
        <v>47432</v>
      </c>
      <c r="S8222" t="s">
        <v>47597</v>
      </c>
      <c r="T8222" t="s">
        <v>49162</v>
      </c>
      <c r="U8222" t="s">
        <v>56510</v>
      </c>
      <c r="W8222" t="s">
        <v>45988</v>
      </c>
      <c r="X8222" t="s">
        <v>47433</v>
      </c>
    </row>
    <row r="8223" spans="1:24">
      <c r="A8223">
        <f>HYPERLINK("https://www.philgeps.gov.ph/GEPSNONPILOT/Tender/SplashBidNoticeAbstractUI.aspx?menuIndex=3&amp;refID=7153224&amp;Result=3","7153224")</f>
        <v>0</v>
      </c>
      <c r="B8223" t="s">
        <v>1141</v>
      </c>
      <c r="C8223" t="s">
        <v>11637</v>
      </c>
      <c r="D8223" t="s">
        <v>19017</v>
      </c>
      <c r="E8223" t="s">
        <v>20625</v>
      </c>
      <c r="F8223" t="s">
        <v>32831</v>
      </c>
      <c r="G8223" t="s">
        <v>32838</v>
      </c>
      <c r="H8223" t="s">
        <v>32848</v>
      </c>
      <c r="I8223" t="s">
        <v>7416</v>
      </c>
      <c r="J8223" t="s">
        <v>32983</v>
      </c>
      <c r="K8223" t="s">
        <v>42727</v>
      </c>
      <c r="M8223" t="s">
        <v>44205</v>
      </c>
      <c r="N8223" t="s">
        <v>47424</v>
      </c>
      <c r="O8223" t="s">
        <v>47425</v>
      </c>
      <c r="P8223">
        <v>0</v>
      </c>
      <c r="Q8223">
        <v>0</v>
      </c>
      <c r="R8223" t="s">
        <v>47432</v>
      </c>
      <c r="S8223" t="s">
        <v>47597</v>
      </c>
      <c r="T8223" t="s">
        <v>49237</v>
      </c>
      <c r="U8223" t="s">
        <v>56511</v>
      </c>
      <c r="W8223" t="s">
        <v>64459</v>
      </c>
      <c r="X8223" t="s">
        <v>47433</v>
      </c>
    </row>
    <row r="8224" spans="1:24">
      <c r="A8224">
        <f>HYPERLINK("https://www.philgeps.gov.ph/GEPSNONPILOT/Tender/SplashBidNoticeAbstractUI.aspx?menuIndex=3&amp;refID=7153221&amp;Result=3","7153221")</f>
        <v>0</v>
      </c>
      <c r="B8224" t="s">
        <v>2759</v>
      </c>
      <c r="C8224" t="s">
        <v>11638</v>
      </c>
      <c r="D8224" t="s">
        <v>19019</v>
      </c>
      <c r="E8224" t="s">
        <v>26253</v>
      </c>
      <c r="F8224" t="s">
        <v>32831</v>
      </c>
      <c r="G8224" t="s">
        <v>32839</v>
      </c>
      <c r="H8224" t="s">
        <v>32848</v>
      </c>
      <c r="I8224" t="s">
        <v>4435</v>
      </c>
      <c r="J8224" t="s">
        <v>38114</v>
      </c>
      <c r="K8224" t="s">
        <v>42730</v>
      </c>
      <c r="M8224" t="s">
        <v>45989</v>
      </c>
      <c r="N8224" t="s">
        <v>47424</v>
      </c>
      <c r="O8224" t="s">
        <v>47425</v>
      </c>
      <c r="P8224">
        <v>0</v>
      </c>
      <c r="Q8224">
        <v>11</v>
      </c>
      <c r="R8224" t="s">
        <v>47432</v>
      </c>
      <c r="S8224" t="s">
        <v>47597</v>
      </c>
      <c r="T8224" t="s">
        <v>49079</v>
      </c>
      <c r="U8224" t="s">
        <v>56512</v>
      </c>
      <c r="W8224" t="s">
        <v>45989</v>
      </c>
      <c r="X8224" t="s">
        <v>47433</v>
      </c>
    </row>
    <row r="8225" spans="1:24">
      <c r="A8225">
        <f>HYPERLINK("https://www.philgeps.gov.ph/GEPSNONPILOT/Tender/SplashBidNoticeAbstractUI.aspx?menuIndex=3&amp;refID=7153218&amp;Result=3","7153218")</f>
        <v>0</v>
      </c>
      <c r="B8225" t="s">
        <v>2760</v>
      </c>
      <c r="C8225" t="s">
        <v>10252</v>
      </c>
      <c r="D8225" t="s">
        <v>19047</v>
      </c>
      <c r="E8225" t="s">
        <v>26254</v>
      </c>
      <c r="F8225" t="s">
        <v>32831</v>
      </c>
      <c r="G8225" t="s">
        <v>32842</v>
      </c>
      <c r="H8225" t="s">
        <v>32850</v>
      </c>
      <c r="I8225" t="s">
        <v>9577</v>
      </c>
      <c r="J8225" t="s">
        <v>33430</v>
      </c>
      <c r="K8225" t="s">
        <v>42727</v>
      </c>
      <c r="M8225" t="s">
        <v>45990</v>
      </c>
      <c r="N8225" t="s">
        <v>47424</v>
      </c>
      <c r="O8225" t="s">
        <v>47425</v>
      </c>
      <c r="P8225">
        <v>0</v>
      </c>
      <c r="Q8225">
        <v>5</v>
      </c>
      <c r="R8225" t="s">
        <v>47432</v>
      </c>
      <c r="S8225" t="s">
        <v>47597</v>
      </c>
      <c r="T8225" t="s">
        <v>49212</v>
      </c>
      <c r="U8225" t="s">
        <v>56513</v>
      </c>
      <c r="W8225" t="s">
        <v>45990</v>
      </c>
      <c r="X8225" t="s">
        <v>47433</v>
      </c>
    </row>
    <row r="8226" spans="1:24">
      <c r="A8226">
        <f>HYPERLINK("https://www.philgeps.gov.ph/GEPSNONPILOT/Tender/SplashBidNoticeAbstractUI.aspx?menuIndex=3&amp;refID=7153060&amp;Result=3","7153060")</f>
        <v>0</v>
      </c>
      <c r="B8226" t="s">
        <v>2761</v>
      </c>
      <c r="C8226" t="s">
        <v>11639</v>
      </c>
      <c r="D8226" t="s">
        <v>19067</v>
      </c>
      <c r="E8226" t="s">
        <v>22385</v>
      </c>
      <c r="F8226" t="s">
        <v>32831</v>
      </c>
      <c r="G8226" t="s">
        <v>32838</v>
      </c>
      <c r="H8226" t="s">
        <v>32849</v>
      </c>
      <c r="I8226" t="s">
        <v>4303</v>
      </c>
      <c r="J8226" t="s">
        <v>38115</v>
      </c>
      <c r="K8226" t="s">
        <v>42726</v>
      </c>
      <c r="M8226" t="s">
        <v>45991</v>
      </c>
      <c r="N8226" t="s">
        <v>47424</v>
      </c>
      <c r="O8226" t="s">
        <v>47425</v>
      </c>
      <c r="P8226">
        <v>0</v>
      </c>
      <c r="Q8226">
        <v>0</v>
      </c>
      <c r="R8226" t="s">
        <v>47432</v>
      </c>
      <c r="S8226" t="s">
        <v>47597</v>
      </c>
      <c r="T8226" t="s">
        <v>49504</v>
      </c>
      <c r="U8226" t="s">
        <v>56514</v>
      </c>
      <c r="W8226" t="s">
        <v>45991</v>
      </c>
      <c r="X8226" t="s">
        <v>47433</v>
      </c>
    </row>
    <row r="8227" spans="1:24">
      <c r="A8227">
        <f>HYPERLINK("https://www.philgeps.gov.ph/GEPSNONPILOT/Tender/SplashBidNoticeAbstractUI.aspx?menuIndex=3&amp;refID=7153216&amp;Result=3","7153216")</f>
        <v>0</v>
      </c>
      <c r="B8227" t="s">
        <v>1130</v>
      </c>
      <c r="C8227" t="s">
        <v>11640</v>
      </c>
      <c r="D8227" t="s">
        <v>19045</v>
      </c>
      <c r="E8227" t="s">
        <v>26255</v>
      </c>
      <c r="F8227" t="s">
        <v>32831</v>
      </c>
      <c r="G8227" t="s">
        <v>32839</v>
      </c>
      <c r="H8227" t="s">
        <v>32849</v>
      </c>
      <c r="I8227" t="s">
        <v>4177</v>
      </c>
      <c r="J8227" t="s">
        <v>38116</v>
      </c>
      <c r="K8227" t="s">
        <v>42729</v>
      </c>
      <c r="M8227" t="s">
        <v>45442</v>
      </c>
      <c r="N8227" t="s">
        <v>47424</v>
      </c>
      <c r="O8227" t="s">
        <v>47425</v>
      </c>
      <c r="P8227">
        <v>0</v>
      </c>
      <c r="Q8227">
        <v>0</v>
      </c>
      <c r="R8227" t="s">
        <v>47432</v>
      </c>
      <c r="S8227" t="s">
        <v>47597</v>
      </c>
      <c r="T8227" t="s">
        <v>49077</v>
      </c>
      <c r="U8227" t="s">
        <v>56515</v>
      </c>
      <c r="V8227" t="s">
        <v>63325</v>
      </c>
      <c r="W8227" t="s">
        <v>45442</v>
      </c>
      <c r="X8227" t="s">
        <v>47433</v>
      </c>
    </row>
    <row r="8228" spans="1:24">
      <c r="A8228">
        <f>HYPERLINK("https://www.philgeps.gov.ph/GEPSNONPILOT/Tender/SplashBidNoticeAbstractUI.aspx?menuIndex=3&amp;refID=7153214&amp;Result=3","7153214")</f>
        <v>0</v>
      </c>
      <c r="B8228" t="s">
        <v>2762</v>
      </c>
      <c r="C8228" t="s">
        <v>4142</v>
      </c>
      <c r="D8228" t="s">
        <v>19062</v>
      </c>
      <c r="E8228" t="s">
        <v>20783</v>
      </c>
      <c r="F8228" t="s">
        <v>32831</v>
      </c>
      <c r="G8228" t="s">
        <v>32842</v>
      </c>
      <c r="H8228" t="s">
        <v>32848</v>
      </c>
      <c r="I8228" t="s">
        <v>4558</v>
      </c>
      <c r="J8228" t="s">
        <v>33292</v>
      </c>
      <c r="K8228" t="s">
        <v>42758</v>
      </c>
      <c r="M8228" t="s">
        <v>45992</v>
      </c>
      <c r="N8228" t="s">
        <v>47424</v>
      </c>
      <c r="O8228" t="s">
        <v>47425</v>
      </c>
      <c r="P8228">
        <v>0</v>
      </c>
      <c r="Q8228">
        <v>0</v>
      </c>
      <c r="R8228" t="s">
        <v>47432</v>
      </c>
      <c r="S8228" t="s">
        <v>47597</v>
      </c>
      <c r="T8228" t="s">
        <v>49235</v>
      </c>
      <c r="U8228" t="s">
        <v>56516</v>
      </c>
      <c r="W8228" t="s">
        <v>45992</v>
      </c>
      <c r="X8228" t="s">
        <v>47433</v>
      </c>
    </row>
    <row r="8229" spans="1:24">
      <c r="A8229">
        <f>HYPERLINK("https://www.philgeps.gov.ph/GEPSNONPILOT/Tender/SplashBidNoticeAbstractUI.aspx?menuIndex=3&amp;refID=7153145&amp;Result=3","7153145")</f>
        <v>0</v>
      </c>
      <c r="B8229" t="s">
        <v>1740</v>
      </c>
      <c r="C8229" t="s">
        <v>11641</v>
      </c>
      <c r="D8229" t="s">
        <v>19068</v>
      </c>
      <c r="E8229" t="s">
        <v>26256</v>
      </c>
      <c r="F8229" t="s">
        <v>32831</v>
      </c>
      <c r="G8229" t="s">
        <v>32839</v>
      </c>
      <c r="H8229" t="s">
        <v>32848</v>
      </c>
      <c r="I8229" t="s">
        <v>4776</v>
      </c>
      <c r="J8229" t="s">
        <v>32980</v>
      </c>
      <c r="K8229" t="s">
        <v>42727</v>
      </c>
      <c r="M8229" t="s">
        <v>44863</v>
      </c>
      <c r="N8229" t="s">
        <v>47424</v>
      </c>
      <c r="O8229" t="s">
        <v>47425</v>
      </c>
      <c r="P8229">
        <v>0</v>
      </c>
      <c r="Q8229">
        <v>0</v>
      </c>
      <c r="R8229" t="s">
        <v>47432</v>
      </c>
      <c r="S8229" t="s">
        <v>47597</v>
      </c>
      <c r="T8229" t="s">
        <v>49267</v>
      </c>
      <c r="U8229" t="s">
        <v>56517</v>
      </c>
      <c r="W8229" t="s">
        <v>44863</v>
      </c>
      <c r="X8229" t="s">
        <v>47433</v>
      </c>
    </row>
    <row r="8230" spans="1:24">
      <c r="A8230">
        <f>HYPERLINK("https://www.philgeps.gov.ph/GEPSNONPILOT/Tender/SplashBidNoticeAbstractUI.aspx?menuIndex=3&amp;refID=7153167&amp;Result=3","7153167")</f>
        <v>0</v>
      </c>
      <c r="B8230" t="s">
        <v>2763</v>
      </c>
      <c r="C8230" t="s">
        <v>11642</v>
      </c>
      <c r="D8230" t="s">
        <v>19047</v>
      </c>
      <c r="E8230" t="s">
        <v>26257</v>
      </c>
      <c r="F8230" t="s">
        <v>32831</v>
      </c>
      <c r="G8230" t="s">
        <v>32840</v>
      </c>
      <c r="H8230" t="s">
        <v>32848</v>
      </c>
      <c r="I8230" t="s">
        <v>32868</v>
      </c>
      <c r="J8230" t="s">
        <v>38117</v>
      </c>
      <c r="K8230" t="s">
        <v>42732</v>
      </c>
      <c r="M8230" t="s">
        <v>45993</v>
      </c>
      <c r="N8230" t="s">
        <v>47424</v>
      </c>
      <c r="O8230" t="s">
        <v>47425</v>
      </c>
      <c r="P8230">
        <v>0</v>
      </c>
      <c r="Q8230">
        <v>1</v>
      </c>
      <c r="R8230" t="s">
        <v>47432</v>
      </c>
      <c r="S8230" t="s">
        <v>47597</v>
      </c>
      <c r="T8230" t="s">
        <v>49238</v>
      </c>
      <c r="U8230" t="s">
        <v>56518</v>
      </c>
      <c r="W8230" t="s">
        <v>45993</v>
      </c>
      <c r="X8230" t="s">
        <v>47433</v>
      </c>
    </row>
    <row r="8231" spans="1:24">
      <c r="A8231">
        <f>HYPERLINK("https://www.philgeps.gov.ph/GEPSNONPILOT/Tender/SplashBidNoticeAbstractUI.aspx?menuIndex=3&amp;refID=7153217&amp;Result=3","7153217")</f>
        <v>0</v>
      </c>
      <c r="B8231" t="s">
        <v>1672</v>
      </c>
      <c r="C8231" t="s">
        <v>11643</v>
      </c>
      <c r="D8231" t="s">
        <v>19104</v>
      </c>
      <c r="E8231" t="s">
        <v>26258</v>
      </c>
      <c r="F8231" t="s">
        <v>32831</v>
      </c>
      <c r="G8231" t="s">
        <v>32839</v>
      </c>
      <c r="H8231" t="s">
        <v>32848</v>
      </c>
      <c r="I8231" t="s">
        <v>32870</v>
      </c>
      <c r="J8231" t="s">
        <v>33758</v>
      </c>
      <c r="K8231" t="s">
        <v>42730</v>
      </c>
      <c r="M8231" t="s">
        <v>44790</v>
      </c>
      <c r="N8231" t="s">
        <v>47424</v>
      </c>
      <c r="O8231" t="s">
        <v>47425</v>
      </c>
      <c r="P8231">
        <v>0</v>
      </c>
      <c r="Q8231">
        <v>0</v>
      </c>
      <c r="R8231" t="s">
        <v>47432</v>
      </c>
      <c r="S8231" t="s">
        <v>47597</v>
      </c>
      <c r="T8231" t="s">
        <v>49321</v>
      </c>
      <c r="U8231" t="s">
        <v>53166</v>
      </c>
      <c r="V8231" t="s">
        <v>63550</v>
      </c>
      <c r="W8231" t="s">
        <v>44790</v>
      </c>
      <c r="X8231" t="s">
        <v>47433</v>
      </c>
    </row>
    <row r="8232" spans="1:24">
      <c r="A8232">
        <f>HYPERLINK("https://www.philgeps.gov.ph/GEPSNONPILOT/Tender/SplashBidNoticeAbstractUI.aspx?menuIndex=3&amp;refID=7153212&amp;Result=3","7153212")</f>
        <v>0</v>
      </c>
      <c r="B8232" t="s">
        <v>2764</v>
      </c>
      <c r="C8232" t="s">
        <v>11644</v>
      </c>
      <c r="D8232" t="s">
        <v>19037</v>
      </c>
      <c r="E8232" t="s">
        <v>26259</v>
      </c>
      <c r="F8232" t="s">
        <v>32831</v>
      </c>
      <c r="G8232" t="s">
        <v>32839</v>
      </c>
      <c r="H8232" t="s">
        <v>32849</v>
      </c>
      <c r="I8232" t="s">
        <v>4177</v>
      </c>
      <c r="J8232" t="s">
        <v>38118</v>
      </c>
      <c r="K8232" t="s">
        <v>42892</v>
      </c>
      <c r="M8232" t="s">
        <v>45994</v>
      </c>
      <c r="N8232" t="s">
        <v>47424</v>
      </c>
      <c r="O8232" t="s">
        <v>47425</v>
      </c>
      <c r="P8232">
        <v>0</v>
      </c>
      <c r="Q8232">
        <v>1</v>
      </c>
      <c r="R8232" t="s">
        <v>47432</v>
      </c>
      <c r="S8232" t="s">
        <v>47597</v>
      </c>
      <c r="T8232" t="s">
        <v>49080</v>
      </c>
      <c r="U8232" t="s">
        <v>56519</v>
      </c>
      <c r="W8232" t="s">
        <v>45994</v>
      </c>
      <c r="X8232" t="s">
        <v>47433</v>
      </c>
    </row>
    <row r="8233" spans="1:24">
      <c r="A8233">
        <f>HYPERLINK("https://www.philgeps.gov.ph/GEPSNONPILOT/Tender/SplashBidNoticeAbstractUI.aspx?menuIndex=3&amp;refID=7153210&amp;Result=3","7153210")</f>
        <v>0</v>
      </c>
      <c r="B8233" t="s">
        <v>2765</v>
      </c>
      <c r="C8233" t="s">
        <v>11645</v>
      </c>
      <c r="D8233" t="s">
        <v>19020</v>
      </c>
      <c r="E8233" t="s">
        <v>25009</v>
      </c>
      <c r="F8233" t="s">
        <v>32831</v>
      </c>
      <c r="G8233" t="s">
        <v>32839</v>
      </c>
      <c r="H8233" t="s">
        <v>32849</v>
      </c>
      <c r="I8233" t="s">
        <v>4177</v>
      </c>
      <c r="J8233" t="s">
        <v>37906</v>
      </c>
      <c r="K8233" t="s">
        <v>42750</v>
      </c>
      <c r="M8233" t="s">
        <v>45995</v>
      </c>
      <c r="N8233" t="s">
        <v>47424</v>
      </c>
      <c r="O8233" t="s">
        <v>47425</v>
      </c>
      <c r="P8233">
        <v>0</v>
      </c>
      <c r="Q8233">
        <v>0</v>
      </c>
      <c r="R8233" t="s">
        <v>47432</v>
      </c>
      <c r="S8233" t="s">
        <v>47597</v>
      </c>
      <c r="T8233" t="s">
        <v>49487</v>
      </c>
      <c r="U8233" t="s">
        <v>56520</v>
      </c>
      <c r="W8233" t="s">
        <v>45995</v>
      </c>
      <c r="X8233" t="s">
        <v>47433</v>
      </c>
    </row>
    <row r="8234" spans="1:24">
      <c r="A8234">
        <f>HYPERLINK("https://www.philgeps.gov.ph/GEPSNONPILOT/Tender/SplashBidNoticeAbstractUI.aspx?menuIndex=3&amp;refID=7153208&amp;Result=3","7153208")</f>
        <v>0</v>
      </c>
      <c r="B8234" t="s">
        <v>1141</v>
      </c>
      <c r="C8234" t="s">
        <v>11646</v>
      </c>
      <c r="D8234" t="s">
        <v>19017</v>
      </c>
      <c r="E8234" t="s">
        <v>26260</v>
      </c>
      <c r="F8234" t="s">
        <v>32831</v>
      </c>
      <c r="G8234" t="s">
        <v>32838</v>
      </c>
      <c r="H8234" t="s">
        <v>32848</v>
      </c>
      <c r="I8234" t="s">
        <v>7416</v>
      </c>
      <c r="J8234" t="s">
        <v>38119</v>
      </c>
      <c r="K8234" t="s">
        <v>42727</v>
      </c>
      <c r="M8234" t="s">
        <v>44205</v>
      </c>
      <c r="N8234" t="s">
        <v>47424</v>
      </c>
      <c r="O8234" t="s">
        <v>47425</v>
      </c>
      <c r="P8234">
        <v>0</v>
      </c>
      <c r="Q8234">
        <v>3</v>
      </c>
      <c r="R8234" t="s">
        <v>47432</v>
      </c>
      <c r="S8234" t="s">
        <v>47597</v>
      </c>
      <c r="T8234" t="s">
        <v>49237</v>
      </c>
      <c r="U8234" t="s">
        <v>56521</v>
      </c>
      <c r="W8234" t="s">
        <v>64459</v>
      </c>
      <c r="X8234" t="s">
        <v>47433</v>
      </c>
    </row>
    <row r="8235" spans="1:24">
      <c r="A8235">
        <f>HYPERLINK("https://www.philgeps.gov.ph/GEPSNONPILOT/Tender/SplashBidNoticeAbstractUI.aspx?menuIndex=3&amp;refID=7153213&amp;Result=3","7153213")</f>
        <v>0</v>
      </c>
      <c r="B8235" t="s">
        <v>2687</v>
      </c>
      <c r="C8235" t="s">
        <v>11647</v>
      </c>
      <c r="E8235" t="s">
        <v>26261</v>
      </c>
      <c r="F8235" t="s">
        <v>32831</v>
      </c>
      <c r="G8235" t="s">
        <v>32839</v>
      </c>
      <c r="H8235" t="s">
        <v>32849</v>
      </c>
      <c r="I8235" t="s">
        <v>4177</v>
      </c>
      <c r="J8235" t="s">
        <v>38120</v>
      </c>
      <c r="K8235" t="s">
        <v>42757</v>
      </c>
      <c r="M8235" t="s">
        <v>45910</v>
      </c>
      <c r="N8235" t="s">
        <v>47424</v>
      </c>
      <c r="O8235" t="s">
        <v>47425</v>
      </c>
      <c r="P8235">
        <v>0</v>
      </c>
      <c r="Q8235">
        <v>45</v>
      </c>
      <c r="R8235" t="s">
        <v>47432</v>
      </c>
      <c r="S8235" t="s">
        <v>47597</v>
      </c>
      <c r="T8235" t="s">
        <v>49221</v>
      </c>
      <c r="U8235" t="s">
        <v>51968</v>
      </c>
      <c r="V8235" t="s">
        <v>63514</v>
      </c>
      <c r="W8235" t="s">
        <v>45910</v>
      </c>
      <c r="X8235" t="s">
        <v>47433</v>
      </c>
    </row>
    <row r="8236" spans="1:24">
      <c r="A8236">
        <f>HYPERLINK("https://www.philgeps.gov.ph/GEPSNONPILOT/Tender/SplashBidNoticeAbstractUI.aspx?menuIndex=3&amp;refID=7153198&amp;Result=3","7153198")</f>
        <v>0</v>
      </c>
      <c r="B8236" t="s">
        <v>2687</v>
      </c>
      <c r="C8236" t="s">
        <v>11648</v>
      </c>
      <c r="E8236" t="s">
        <v>26262</v>
      </c>
      <c r="F8236" t="s">
        <v>32831</v>
      </c>
      <c r="G8236" t="s">
        <v>32839</v>
      </c>
      <c r="H8236" t="s">
        <v>32849</v>
      </c>
      <c r="I8236" t="s">
        <v>4177</v>
      </c>
      <c r="J8236" t="s">
        <v>38121</v>
      </c>
      <c r="K8236" t="s">
        <v>42862</v>
      </c>
      <c r="M8236" t="s">
        <v>45910</v>
      </c>
      <c r="N8236" t="s">
        <v>47424</v>
      </c>
      <c r="O8236" t="s">
        <v>47425</v>
      </c>
      <c r="P8236">
        <v>0</v>
      </c>
      <c r="Q8236">
        <v>49</v>
      </c>
      <c r="R8236" t="s">
        <v>47432</v>
      </c>
      <c r="S8236" t="s">
        <v>47597</v>
      </c>
      <c r="T8236" t="s">
        <v>49221</v>
      </c>
      <c r="U8236" t="s">
        <v>56522</v>
      </c>
      <c r="V8236" t="s">
        <v>63514</v>
      </c>
      <c r="W8236" t="s">
        <v>45910</v>
      </c>
      <c r="X8236" t="s">
        <v>47433</v>
      </c>
    </row>
    <row r="8237" spans="1:24">
      <c r="A8237">
        <f>HYPERLINK("https://www.philgeps.gov.ph/GEPSNONPILOT/Tender/SplashBidNoticeAbstractUI.aspx?menuIndex=3&amp;refID=7153197&amp;Result=3","7153197")</f>
        <v>0</v>
      </c>
      <c r="B8237" t="s">
        <v>1141</v>
      </c>
      <c r="C8237" t="s">
        <v>11649</v>
      </c>
      <c r="D8237" t="s">
        <v>19017</v>
      </c>
      <c r="E8237" t="s">
        <v>20559</v>
      </c>
      <c r="F8237" t="s">
        <v>32831</v>
      </c>
      <c r="G8237" t="s">
        <v>32838</v>
      </c>
      <c r="H8237" t="s">
        <v>32848</v>
      </c>
      <c r="I8237" t="s">
        <v>7416</v>
      </c>
      <c r="J8237" t="s">
        <v>37699</v>
      </c>
      <c r="K8237" t="s">
        <v>42727</v>
      </c>
      <c r="M8237" t="s">
        <v>44205</v>
      </c>
      <c r="N8237" t="s">
        <v>47424</v>
      </c>
      <c r="O8237" t="s">
        <v>47425</v>
      </c>
      <c r="P8237">
        <v>0</v>
      </c>
      <c r="Q8237">
        <v>3</v>
      </c>
      <c r="R8237" t="s">
        <v>47432</v>
      </c>
      <c r="S8237" t="s">
        <v>47597</v>
      </c>
      <c r="T8237" t="s">
        <v>49237</v>
      </c>
      <c r="U8237" t="s">
        <v>56523</v>
      </c>
      <c r="W8237" t="s">
        <v>64459</v>
      </c>
      <c r="X8237" t="s">
        <v>47433</v>
      </c>
    </row>
    <row r="8238" spans="1:24">
      <c r="A8238">
        <f>HYPERLINK("https://www.philgeps.gov.ph/GEPSNONPILOT/Tender/SplashBidNoticeAbstractUI.aspx?menuIndex=3&amp;refID=7153204&amp;Result=3","7153204")</f>
        <v>0</v>
      </c>
      <c r="B8238" t="s">
        <v>2737</v>
      </c>
      <c r="C8238" t="s">
        <v>11650</v>
      </c>
      <c r="D8238" t="s">
        <v>19034</v>
      </c>
      <c r="E8238" t="s">
        <v>19211</v>
      </c>
      <c r="F8238" t="s">
        <v>32831</v>
      </c>
      <c r="G8238" t="s">
        <v>32839</v>
      </c>
      <c r="H8238" t="s">
        <v>32849</v>
      </c>
      <c r="I8238" t="s">
        <v>4177</v>
      </c>
      <c r="J8238" t="s">
        <v>38122</v>
      </c>
      <c r="K8238" t="s">
        <v>42763</v>
      </c>
      <c r="M8238" t="s">
        <v>45964</v>
      </c>
      <c r="N8238" t="s">
        <v>47424</v>
      </c>
      <c r="O8238" t="s">
        <v>47425</v>
      </c>
      <c r="P8238">
        <v>0</v>
      </c>
      <c r="Q8238">
        <v>2</v>
      </c>
      <c r="R8238" t="s">
        <v>47432</v>
      </c>
      <c r="S8238" t="s">
        <v>47597</v>
      </c>
      <c r="T8238" t="s">
        <v>49142</v>
      </c>
      <c r="U8238" t="s">
        <v>56462</v>
      </c>
      <c r="W8238" t="s">
        <v>45964</v>
      </c>
      <c r="X8238" t="s">
        <v>47433</v>
      </c>
    </row>
    <row r="8239" spans="1:24">
      <c r="A8239">
        <f>HYPERLINK("https://www.philgeps.gov.ph/GEPSNONPILOT/Tender/SplashBidNoticeAbstractUI.aspx?menuIndex=3&amp;refID=7153069&amp;Result=3","7153069")</f>
        <v>0</v>
      </c>
      <c r="B8239" t="s">
        <v>2247</v>
      </c>
      <c r="C8239" t="s">
        <v>11651</v>
      </c>
      <c r="D8239" t="s">
        <v>19071</v>
      </c>
      <c r="E8239" t="s">
        <v>26263</v>
      </c>
      <c r="F8239" t="s">
        <v>32831</v>
      </c>
      <c r="G8239" t="s">
        <v>32839</v>
      </c>
      <c r="H8239" t="s">
        <v>32848</v>
      </c>
      <c r="I8239" t="s">
        <v>32870</v>
      </c>
      <c r="J8239" t="s">
        <v>38123</v>
      </c>
      <c r="K8239" t="s">
        <v>42732</v>
      </c>
      <c r="M8239" t="s">
        <v>45428</v>
      </c>
      <c r="N8239" t="s">
        <v>47424</v>
      </c>
      <c r="O8239" t="s">
        <v>47425</v>
      </c>
      <c r="P8239">
        <v>0</v>
      </c>
      <c r="Q8239">
        <v>0</v>
      </c>
      <c r="R8239" t="s">
        <v>47432</v>
      </c>
      <c r="S8239" t="s">
        <v>47597</v>
      </c>
      <c r="T8239" t="s">
        <v>49127</v>
      </c>
      <c r="U8239" t="s">
        <v>56524</v>
      </c>
      <c r="W8239" t="s">
        <v>45428</v>
      </c>
      <c r="X8239" t="s">
        <v>47433</v>
      </c>
    </row>
    <row r="8240" spans="1:24">
      <c r="A8240">
        <f>HYPERLINK("https://www.philgeps.gov.ph/GEPSNONPILOT/Tender/SplashBidNoticeAbstractUI.aspx?menuIndex=3&amp;refID=7153195&amp;Result=3","7153195")</f>
        <v>0</v>
      </c>
      <c r="B8240" t="s">
        <v>2766</v>
      </c>
      <c r="C8240" t="s">
        <v>11652</v>
      </c>
      <c r="E8240" t="s">
        <v>26264</v>
      </c>
      <c r="F8240" t="s">
        <v>32831</v>
      </c>
      <c r="G8240" t="s">
        <v>32839</v>
      </c>
      <c r="H8240" t="s">
        <v>32848</v>
      </c>
      <c r="I8240" t="s">
        <v>4487</v>
      </c>
      <c r="J8240" t="s">
        <v>33486</v>
      </c>
      <c r="K8240" t="s">
        <v>42732</v>
      </c>
      <c r="M8240" t="s">
        <v>45996</v>
      </c>
      <c r="N8240" t="s">
        <v>47424</v>
      </c>
      <c r="O8240" t="s">
        <v>47425</v>
      </c>
      <c r="P8240">
        <v>0</v>
      </c>
      <c r="Q8240">
        <v>0</v>
      </c>
      <c r="R8240" t="s">
        <v>47432</v>
      </c>
      <c r="S8240" t="s">
        <v>47597</v>
      </c>
      <c r="T8240" t="s">
        <v>49162</v>
      </c>
      <c r="U8240" t="s">
        <v>56525</v>
      </c>
      <c r="W8240" t="s">
        <v>45996</v>
      </c>
      <c r="X8240" t="s">
        <v>47433</v>
      </c>
    </row>
    <row r="8241" spans="1:24">
      <c r="A8241">
        <f>HYPERLINK("https://www.philgeps.gov.ph/GEPSNONPILOT/Tender/SplashBidNoticeAbstractUI.aspx?menuIndex=3&amp;refID=7153202&amp;Result=3","7153202")</f>
        <v>0</v>
      </c>
      <c r="B8241" t="s">
        <v>2663</v>
      </c>
      <c r="C8241" t="s">
        <v>11653</v>
      </c>
      <c r="D8241" t="s">
        <v>19054</v>
      </c>
      <c r="E8241" t="s">
        <v>26265</v>
      </c>
      <c r="F8241" t="s">
        <v>32831</v>
      </c>
      <c r="G8241" t="s">
        <v>32838</v>
      </c>
      <c r="H8241" t="s">
        <v>32850</v>
      </c>
      <c r="I8241" t="s">
        <v>32862</v>
      </c>
      <c r="J8241" t="s">
        <v>38124</v>
      </c>
      <c r="K8241" t="s">
        <v>42726</v>
      </c>
      <c r="M8241" t="s">
        <v>45886</v>
      </c>
      <c r="N8241" t="s">
        <v>47424</v>
      </c>
      <c r="O8241" t="s">
        <v>47425</v>
      </c>
      <c r="P8241">
        <v>0</v>
      </c>
      <c r="Q8241">
        <v>0</v>
      </c>
      <c r="R8241" t="s">
        <v>47432</v>
      </c>
      <c r="S8241" t="s">
        <v>47597</v>
      </c>
      <c r="T8241" t="s">
        <v>49491</v>
      </c>
      <c r="U8241" t="s">
        <v>56526</v>
      </c>
      <c r="V8241" t="s">
        <v>63551</v>
      </c>
      <c r="W8241" t="s">
        <v>45886</v>
      </c>
      <c r="X8241" t="s">
        <v>47433</v>
      </c>
    </row>
    <row r="8242" spans="1:24">
      <c r="A8242">
        <f>HYPERLINK("https://www.philgeps.gov.ph/GEPSNONPILOT/Tender/SplashBidNoticeAbstractUI.aspx?menuIndex=3&amp;refID=7153108&amp;Result=3","7153108")</f>
        <v>0</v>
      </c>
      <c r="B8242" t="s">
        <v>2247</v>
      </c>
      <c r="C8242" t="s">
        <v>11654</v>
      </c>
      <c r="D8242" t="s">
        <v>19071</v>
      </c>
      <c r="E8242" t="s">
        <v>26266</v>
      </c>
      <c r="F8242" t="s">
        <v>32831</v>
      </c>
      <c r="G8242" t="s">
        <v>32839</v>
      </c>
      <c r="H8242" t="s">
        <v>32848</v>
      </c>
      <c r="I8242" t="s">
        <v>4222</v>
      </c>
      <c r="J8242" t="s">
        <v>34451</v>
      </c>
      <c r="K8242" t="s">
        <v>42732</v>
      </c>
      <c r="M8242" t="s">
        <v>45428</v>
      </c>
      <c r="N8242" t="s">
        <v>47424</v>
      </c>
      <c r="O8242" t="s">
        <v>47425</v>
      </c>
      <c r="P8242">
        <v>0</v>
      </c>
      <c r="Q8242">
        <v>0</v>
      </c>
      <c r="R8242" t="s">
        <v>47432</v>
      </c>
      <c r="S8242" t="s">
        <v>47597</v>
      </c>
      <c r="T8242" t="s">
        <v>49127</v>
      </c>
      <c r="U8242" t="s">
        <v>56527</v>
      </c>
      <c r="W8242" t="s">
        <v>45428</v>
      </c>
      <c r="X8242" t="s">
        <v>47433</v>
      </c>
    </row>
    <row r="8243" spans="1:24">
      <c r="A8243">
        <f>HYPERLINK("https://www.philgeps.gov.ph/GEPSNONPILOT/Tender/SplashBidNoticeAbstractUI.aspx?menuIndex=3&amp;refID=7153012&amp;Result=3","7153012")</f>
        <v>0</v>
      </c>
      <c r="B8243" t="s">
        <v>2767</v>
      </c>
      <c r="C8243" t="s">
        <v>11655</v>
      </c>
      <c r="D8243" t="s">
        <v>19037</v>
      </c>
      <c r="E8243" t="s">
        <v>19471</v>
      </c>
      <c r="F8243" t="s">
        <v>32831</v>
      </c>
      <c r="G8243" t="s">
        <v>32840</v>
      </c>
      <c r="H8243" t="s">
        <v>32848</v>
      </c>
      <c r="I8243" t="s">
        <v>4776</v>
      </c>
      <c r="J8243" t="s">
        <v>36209</v>
      </c>
      <c r="K8243" t="s">
        <v>42727</v>
      </c>
      <c r="M8243" t="s">
        <v>45997</v>
      </c>
      <c r="N8243" t="s">
        <v>47424</v>
      </c>
      <c r="O8243" t="s">
        <v>47425</v>
      </c>
      <c r="P8243">
        <v>0</v>
      </c>
      <c r="Q8243">
        <v>1</v>
      </c>
      <c r="R8243" t="s">
        <v>47432</v>
      </c>
      <c r="S8243" t="s">
        <v>47597</v>
      </c>
      <c r="T8243" t="s">
        <v>49111</v>
      </c>
      <c r="U8243" t="s">
        <v>56528</v>
      </c>
      <c r="V8243" t="s">
        <v>63552</v>
      </c>
      <c r="W8243" t="s">
        <v>45997</v>
      </c>
      <c r="X8243" t="s">
        <v>47433</v>
      </c>
    </row>
    <row r="8244" spans="1:24">
      <c r="A8244">
        <f>HYPERLINK("https://www.philgeps.gov.ph/GEPSNONPILOT/Tender/SplashBidNoticeAbstractUI.aspx?menuIndex=3&amp;refID=7153189&amp;Result=3","7153189")</f>
        <v>0</v>
      </c>
      <c r="B8244" t="s">
        <v>1130</v>
      </c>
      <c r="C8244" t="s">
        <v>11656</v>
      </c>
      <c r="D8244" t="s">
        <v>19045</v>
      </c>
      <c r="E8244" t="s">
        <v>26267</v>
      </c>
      <c r="F8244" t="s">
        <v>32831</v>
      </c>
      <c r="G8244" t="s">
        <v>32839</v>
      </c>
      <c r="H8244" t="s">
        <v>32849</v>
      </c>
      <c r="I8244" t="s">
        <v>32855</v>
      </c>
      <c r="J8244" t="s">
        <v>38125</v>
      </c>
      <c r="K8244" t="s">
        <v>42763</v>
      </c>
      <c r="M8244" t="s">
        <v>45442</v>
      </c>
      <c r="N8244" t="s">
        <v>47424</v>
      </c>
      <c r="O8244" t="s">
        <v>47425</v>
      </c>
      <c r="P8244">
        <v>0</v>
      </c>
      <c r="Q8244">
        <v>0</v>
      </c>
      <c r="R8244" t="s">
        <v>47432</v>
      </c>
      <c r="S8244" t="s">
        <v>47597</v>
      </c>
      <c r="T8244" t="s">
        <v>49077</v>
      </c>
      <c r="U8244" t="s">
        <v>56529</v>
      </c>
      <c r="V8244" t="s">
        <v>63325</v>
      </c>
      <c r="W8244" t="s">
        <v>45442</v>
      </c>
      <c r="X8244" t="s">
        <v>47433</v>
      </c>
    </row>
    <row r="8245" spans="1:24">
      <c r="A8245">
        <f>HYPERLINK("https://www.philgeps.gov.ph/GEPSNONPILOT/Tender/SplashBidNoticeAbstractUI.aspx?menuIndex=3&amp;refID=7152963&amp;Result=3","7152963")</f>
        <v>0</v>
      </c>
      <c r="B8245" t="s">
        <v>795</v>
      </c>
      <c r="C8245" t="s">
        <v>11657</v>
      </c>
      <c r="D8245" t="s">
        <v>19045</v>
      </c>
      <c r="E8245" t="s">
        <v>26268</v>
      </c>
      <c r="F8245" t="s">
        <v>32831</v>
      </c>
      <c r="G8245" t="s">
        <v>32842</v>
      </c>
      <c r="H8245" t="s">
        <v>32848</v>
      </c>
      <c r="I8245" t="s">
        <v>32860</v>
      </c>
      <c r="J8245" t="s">
        <v>33815</v>
      </c>
      <c r="K8245" t="s">
        <v>42748</v>
      </c>
      <c r="M8245" t="s">
        <v>43825</v>
      </c>
      <c r="N8245" t="s">
        <v>47424</v>
      </c>
      <c r="O8245" t="s">
        <v>47425</v>
      </c>
      <c r="P8245">
        <v>0</v>
      </c>
      <c r="Q8245">
        <v>4</v>
      </c>
      <c r="R8245" t="s">
        <v>47432</v>
      </c>
      <c r="S8245" t="s">
        <v>47597</v>
      </c>
      <c r="T8245" t="s">
        <v>49127</v>
      </c>
      <c r="U8245" t="s">
        <v>56530</v>
      </c>
      <c r="W8245" t="s">
        <v>43825</v>
      </c>
      <c r="X8245" t="s">
        <v>47433</v>
      </c>
    </row>
    <row r="8246" spans="1:24">
      <c r="A8246">
        <f>HYPERLINK("https://www.philgeps.gov.ph/GEPSNONPILOT/Tender/SplashBidNoticeAbstractUI.aspx?menuIndex=3&amp;refID=7153186&amp;Result=3","7153186")</f>
        <v>0</v>
      </c>
      <c r="B8246" t="s">
        <v>400</v>
      </c>
      <c r="C8246" t="s">
        <v>11658</v>
      </c>
      <c r="D8246" t="s">
        <v>19017</v>
      </c>
      <c r="E8246" t="s">
        <v>26269</v>
      </c>
      <c r="F8246" t="s">
        <v>32831</v>
      </c>
      <c r="G8246" t="s">
        <v>32839</v>
      </c>
      <c r="H8246" t="s">
        <v>32848</v>
      </c>
      <c r="I8246" t="s">
        <v>32857</v>
      </c>
      <c r="J8246" t="s">
        <v>38126</v>
      </c>
      <c r="K8246" t="s">
        <v>42732</v>
      </c>
      <c r="M8246" t="s">
        <v>43405</v>
      </c>
      <c r="N8246" t="s">
        <v>47424</v>
      </c>
      <c r="O8246" t="s">
        <v>47425</v>
      </c>
      <c r="P8246">
        <v>0</v>
      </c>
      <c r="Q8246">
        <v>9</v>
      </c>
      <c r="R8246" t="s">
        <v>47432</v>
      </c>
      <c r="S8246" t="s">
        <v>47597</v>
      </c>
      <c r="T8246" t="s">
        <v>49077</v>
      </c>
      <c r="U8246" t="s">
        <v>56485</v>
      </c>
      <c r="W8246" t="s">
        <v>43405</v>
      </c>
      <c r="X8246" t="s">
        <v>47433</v>
      </c>
    </row>
    <row r="8247" spans="1:24">
      <c r="A8247">
        <f>HYPERLINK("https://www.philgeps.gov.ph/GEPSNONPILOT/Tender/SplashBidNoticeAbstractUI.aspx?menuIndex=3&amp;refID=7153215&amp;Result=3","7153215")</f>
        <v>0</v>
      </c>
      <c r="B8247" t="s">
        <v>2768</v>
      </c>
      <c r="C8247" t="s">
        <v>6112</v>
      </c>
      <c r="D8247" t="s">
        <v>19017</v>
      </c>
      <c r="E8247" t="s">
        <v>26270</v>
      </c>
      <c r="F8247" t="s">
        <v>32831</v>
      </c>
      <c r="G8247" t="s">
        <v>32839</v>
      </c>
      <c r="H8247" t="s">
        <v>32848</v>
      </c>
      <c r="I8247" t="s">
        <v>4222</v>
      </c>
      <c r="J8247" t="s">
        <v>37343</v>
      </c>
      <c r="K8247" t="s">
        <v>42730</v>
      </c>
      <c r="M8247" t="s">
        <v>45998</v>
      </c>
      <c r="N8247" t="s">
        <v>47424</v>
      </c>
      <c r="O8247" t="s">
        <v>47425</v>
      </c>
      <c r="P8247">
        <v>0</v>
      </c>
      <c r="Q8247">
        <v>2</v>
      </c>
      <c r="R8247" t="s">
        <v>47432</v>
      </c>
      <c r="S8247" t="s">
        <v>47597</v>
      </c>
      <c r="T8247" t="s">
        <v>49116</v>
      </c>
      <c r="U8247" t="s">
        <v>56531</v>
      </c>
      <c r="W8247" t="s">
        <v>45998</v>
      </c>
      <c r="X8247" t="s">
        <v>47433</v>
      </c>
    </row>
    <row r="8248" spans="1:24">
      <c r="A8248">
        <f>HYPERLINK("https://www.philgeps.gov.ph/GEPSNONPILOT/Tender/SplashBidNoticeAbstractUI.aspx?menuIndex=3&amp;refID=7153014&amp;Result=3","7153014")</f>
        <v>0</v>
      </c>
      <c r="B8248" t="s">
        <v>2739</v>
      </c>
      <c r="C8248" t="s">
        <v>11659</v>
      </c>
      <c r="D8248" t="s">
        <v>19018</v>
      </c>
      <c r="E8248" t="s">
        <v>26271</v>
      </c>
      <c r="F8248" t="s">
        <v>32831</v>
      </c>
      <c r="G8248" t="s">
        <v>32839</v>
      </c>
      <c r="H8248" t="s">
        <v>32848</v>
      </c>
      <c r="I8248" t="s">
        <v>7416</v>
      </c>
      <c r="J8248" t="s">
        <v>38127</v>
      </c>
      <c r="K8248" t="s">
        <v>42758</v>
      </c>
      <c r="M8248" t="s">
        <v>45999</v>
      </c>
      <c r="N8248" t="s">
        <v>47424</v>
      </c>
      <c r="O8248" t="s">
        <v>47425</v>
      </c>
      <c r="P8248">
        <v>0</v>
      </c>
      <c r="Q8248">
        <v>0</v>
      </c>
      <c r="R8248" t="s">
        <v>47432</v>
      </c>
      <c r="S8248" t="s">
        <v>47597</v>
      </c>
      <c r="T8248" t="s">
        <v>49217</v>
      </c>
      <c r="U8248" t="s">
        <v>56467</v>
      </c>
      <c r="W8248" t="s">
        <v>45999</v>
      </c>
      <c r="X8248" t="s">
        <v>47433</v>
      </c>
    </row>
    <row r="8249" spans="1:24">
      <c r="A8249">
        <f>HYPERLINK("https://www.philgeps.gov.ph/GEPSNONPILOT/Tender/SplashBidNoticeAbstractUI.aspx?menuIndex=3&amp;refID=7153275&amp;Result=3","7153275")</f>
        <v>0</v>
      </c>
      <c r="B8249" t="s">
        <v>2769</v>
      </c>
      <c r="C8249" t="s">
        <v>11660</v>
      </c>
      <c r="D8249" t="s">
        <v>19077</v>
      </c>
      <c r="E8249" t="s">
        <v>26272</v>
      </c>
      <c r="F8249" t="s">
        <v>32831</v>
      </c>
      <c r="G8249" t="s">
        <v>32839</v>
      </c>
      <c r="H8249" t="s">
        <v>32849</v>
      </c>
      <c r="I8249" t="s">
        <v>32852</v>
      </c>
      <c r="J8249" t="s">
        <v>33445</v>
      </c>
      <c r="K8249" t="s">
        <v>42730</v>
      </c>
      <c r="M8249" t="s">
        <v>46000</v>
      </c>
      <c r="N8249" t="s">
        <v>47424</v>
      </c>
      <c r="O8249" t="s">
        <v>47425</v>
      </c>
      <c r="P8249">
        <v>0</v>
      </c>
      <c r="Q8249">
        <v>2</v>
      </c>
      <c r="R8249" t="s">
        <v>47432</v>
      </c>
      <c r="S8249" t="s">
        <v>47597</v>
      </c>
      <c r="T8249" t="s">
        <v>49056</v>
      </c>
      <c r="U8249" t="s">
        <v>56532</v>
      </c>
      <c r="W8249" t="s">
        <v>46000</v>
      </c>
      <c r="X8249" t="s">
        <v>47433</v>
      </c>
    </row>
    <row r="8250" spans="1:24">
      <c r="A8250">
        <f>HYPERLINK("https://www.philgeps.gov.ph/GEPSNONPILOT/Tender/SplashBidNoticeAbstractUI.aspx?menuIndex=3&amp;refID=7152962&amp;Result=3","7152962")</f>
        <v>0</v>
      </c>
      <c r="B8250" t="s">
        <v>2736</v>
      </c>
      <c r="C8250" t="s">
        <v>11661</v>
      </c>
      <c r="D8250" t="s">
        <v>19049</v>
      </c>
      <c r="E8250" t="s">
        <v>26273</v>
      </c>
      <c r="F8250" t="s">
        <v>32831</v>
      </c>
      <c r="G8250" t="s">
        <v>32839</v>
      </c>
      <c r="H8250" t="s">
        <v>32848</v>
      </c>
      <c r="I8250" t="s">
        <v>32870</v>
      </c>
      <c r="J8250" t="s">
        <v>38128</v>
      </c>
      <c r="K8250" t="s">
        <v>42730</v>
      </c>
      <c r="M8250" t="s">
        <v>45963</v>
      </c>
      <c r="N8250" t="s">
        <v>47424</v>
      </c>
      <c r="O8250" t="s">
        <v>47425</v>
      </c>
      <c r="P8250">
        <v>0</v>
      </c>
      <c r="Q8250">
        <v>0</v>
      </c>
      <c r="R8250" t="s">
        <v>47432</v>
      </c>
      <c r="S8250" t="s">
        <v>47597</v>
      </c>
      <c r="T8250" t="s">
        <v>49209</v>
      </c>
      <c r="U8250" t="s">
        <v>56456</v>
      </c>
      <c r="W8250" t="s">
        <v>45963</v>
      </c>
      <c r="X8250" t="s">
        <v>47433</v>
      </c>
    </row>
    <row r="8251" spans="1:24">
      <c r="A8251">
        <f>HYPERLINK("https://www.philgeps.gov.ph/GEPSNONPILOT/Tender/SplashBidNoticeAbstractUI.aspx?menuIndex=3&amp;refID=7153274&amp;Result=3","7153274")</f>
        <v>0</v>
      </c>
      <c r="B8251" t="s">
        <v>2770</v>
      </c>
      <c r="C8251" t="s">
        <v>11662</v>
      </c>
      <c r="D8251" t="s">
        <v>19074</v>
      </c>
      <c r="E8251" t="s">
        <v>19835</v>
      </c>
      <c r="F8251" t="s">
        <v>32831</v>
      </c>
      <c r="G8251" t="s">
        <v>32839</v>
      </c>
      <c r="H8251" t="s">
        <v>32849</v>
      </c>
      <c r="I8251" t="s">
        <v>4177</v>
      </c>
      <c r="J8251" t="s">
        <v>34921</v>
      </c>
      <c r="K8251" t="s">
        <v>42862</v>
      </c>
      <c r="L8251" t="s">
        <v>2770</v>
      </c>
      <c r="M8251" t="s">
        <v>46001</v>
      </c>
      <c r="N8251" t="s">
        <v>47424</v>
      </c>
      <c r="O8251" t="s">
        <v>47425</v>
      </c>
      <c r="P8251">
        <v>0</v>
      </c>
      <c r="Q8251">
        <v>0</v>
      </c>
      <c r="R8251" t="s">
        <v>47432</v>
      </c>
      <c r="S8251" t="s">
        <v>47597</v>
      </c>
      <c r="T8251" t="s">
        <v>49427</v>
      </c>
      <c r="U8251" t="s">
        <v>56533</v>
      </c>
      <c r="W8251" t="s">
        <v>46001</v>
      </c>
      <c r="X8251" t="s">
        <v>47433</v>
      </c>
    </row>
    <row r="8252" spans="1:24">
      <c r="A8252">
        <f>HYPERLINK("https://www.philgeps.gov.ph/GEPSNONPILOT/Tender/SplashBidNoticeAbstractUI.aspx?menuIndex=3&amp;refID=7153191&amp;Result=3","7153191")</f>
        <v>0</v>
      </c>
      <c r="B8252" t="s">
        <v>1004</v>
      </c>
      <c r="C8252" t="s">
        <v>11663</v>
      </c>
      <c r="D8252" t="s">
        <v>19050</v>
      </c>
      <c r="E8252" t="s">
        <v>26274</v>
      </c>
      <c r="F8252" t="s">
        <v>32831</v>
      </c>
      <c r="G8252" t="s">
        <v>32840</v>
      </c>
      <c r="H8252" t="s">
        <v>32848</v>
      </c>
      <c r="I8252" t="s">
        <v>32860</v>
      </c>
      <c r="J8252" t="s">
        <v>34758</v>
      </c>
      <c r="K8252" t="s">
        <v>42745</v>
      </c>
      <c r="M8252" t="s">
        <v>44053</v>
      </c>
      <c r="N8252" t="s">
        <v>47424</v>
      </c>
      <c r="O8252" t="s">
        <v>47425</v>
      </c>
      <c r="P8252">
        <v>0</v>
      </c>
      <c r="Q8252">
        <v>3</v>
      </c>
      <c r="R8252" t="s">
        <v>47432</v>
      </c>
      <c r="S8252" t="s">
        <v>47597</v>
      </c>
      <c r="T8252" t="s">
        <v>49237</v>
      </c>
      <c r="U8252" t="s">
        <v>56534</v>
      </c>
      <c r="W8252" t="s">
        <v>44053</v>
      </c>
      <c r="X8252" t="s">
        <v>47433</v>
      </c>
    </row>
    <row r="8253" spans="1:24">
      <c r="A8253">
        <f>HYPERLINK("https://www.philgeps.gov.ph/GEPSNONPILOT/Tender/SplashBidNoticeAbstractUI.aspx?menuIndex=3&amp;refID=7153266&amp;Result=3","7153266")</f>
        <v>0</v>
      </c>
      <c r="B8253" t="s">
        <v>1629</v>
      </c>
      <c r="C8253" t="s">
        <v>11664</v>
      </c>
      <c r="D8253" t="s">
        <v>19021</v>
      </c>
      <c r="E8253" t="s">
        <v>26275</v>
      </c>
      <c r="F8253" t="s">
        <v>32831</v>
      </c>
      <c r="G8253" t="s">
        <v>32839</v>
      </c>
      <c r="H8253" t="s">
        <v>32848</v>
      </c>
      <c r="I8253" t="s">
        <v>4340</v>
      </c>
      <c r="J8253" t="s">
        <v>38129</v>
      </c>
      <c r="K8253" t="s">
        <v>42732</v>
      </c>
      <c r="M8253" t="s">
        <v>44745</v>
      </c>
      <c r="N8253" t="s">
        <v>47424</v>
      </c>
      <c r="O8253" t="s">
        <v>47425</v>
      </c>
      <c r="P8253">
        <v>0</v>
      </c>
      <c r="Q8253">
        <v>5</v>
      </c>
      <c r="R8253" t="s">
        <v>47432</v>
      </c>
      <c r="S8253" t="s">
        <v>47597</v>
      </c>
      <c r="T8253" t="s">
        <v>49461</v>
      </c>
      <c r="U8253" t="s">
        <v>56535</v>
      </c>
      <c r="V8253" t="s">
        <v>63553</v>
      </c>
      <c r="W8253" t="s">
        <v>44745</v>
      </c>
      <c r="X8253" t="s">
        <v>47433</v>
      </c>
    </row>
    <row r="8254" spans="1:24">
      <c r="A8254">
        <f>HYPERLINK("https://www.philgeps.gov.ph/GEPSNONPILOT/Tender/SplashBidNoticeAbstractUI.aspx?menuIndex=3&amp;refID=7153276&amp;Result=3","7153276")</f>
        <v>0</v>
      </c>
      <c r="B8254" t="s">
        <v>1141</v>
      </c>
      <c r="C8254" t="s">
        <v>11665</v>
      </c>
      <c r="D8254" t="s">
        <v>19017</v>
      </c>
      <c r="E8254" t="s">
        <v>22641</v>
      </c>
      <c r="F8254" t="s">
        <v>32831</v>
      </c>
      <c r="G8254" t="s">
        <v>32838</v>
      </c>
      <c r="H8254" t="s">
        <v>32848</v>
      </c>
      <c r="I8254" t="s">
        <v>32902</v>
      </c>
      <c r="J8254" t="s">
        <v>38130</v>
      </c>
      <c r="K8254" t="s">
        <v>42727</v>
      </c>
      <c r="M8254" t="s">
        <v>44205</v>
      </c>
      <c r="N8254" t="s">
        <v>47424</v>
      </c>
      <c r="O8254" t="s">
        <v>47425</v>
      </c>
      <c r="P8254">
        <v>0</v>
      </c>
      <c r="Q8254">
        <v>11</v>
      </c>
      <c r="R8254" t="s">
        <v>47432</v>
      </c>
      <c r="S8254" t="s">
        <v>47597</v>
      </c>
      <c r="T8254" t="s">
        <v>49237</v>
      </c>
      <c r="U8254" t="s">
        <v>56536</v>
      </c>
      <c r="W8254" t="s">
        <v>64459</v>
      </c>
      <c r="X8254" t="s">
        <v>47433</v>
      </c>
    </row>
    <row r="8255" spans="1:24">
      <c r="A8255">
        <f>HYPERLINK("https://www.philgeps.gov.ph/GEPSNONPILOT/Tender/SplashBidNoticeAbstractUI.aspx?menuIndex=3&amp;refID=7153255&amp;Result=3","7153255")</f>
        <v>0</v>
      </c>
      <c r="B8255" t="s">
        <v>1141</v>
      </c>
      <c r="C8255" t="s">
        <v>11666</v>
      </c>
      <c r="D8255" t="s">
        <v>19017</v>
      </c>
      <c r="E8255" t="s">
        <v>26276</v>
      </c>
      <c r="F8255" t="s">
        <v>32831</v>
      </c>
      <c r="G8255" t="s">
        <v>32838</v>
      </c>
      <c r="H8255" t="s">
        <v>32848</v>
      </c>
      <c r="I8255" t="s">
        <v>9577</v>
      </c>
      <c r="J8255" t="s">
        <v>38131</v>
      </c>
      <c r="K8255" t="s">
        <v>42727</v>
      </c>
      <c r="M8255" t="s">
        <v>44205</v>
      </c>
      <c r="N8255" t="s">
        <v>47424</v>
      </c>
      <c r="O8255" t="s">
        <v>47425</v>
      </c>
      <c r="P8255">
        <v>0</v>
      </c>
      <c r="Q8255">
        <v>4</v>
      </c>
      <c r="R8255" t="s">
        <v>47432</v>
      </c>
      <c r="S8255" t="s">
        <v>47597</v>
      </c>
      <c r="T8255" t="s">
        <v>49237</v>
      </c>
      <c r="U8255" t="s">
        <v>56537</v>
      </c>
      <c r="W8255" t="s">
        <v>64459</v>
      </c>
      <c r="X8255" t="s">
        <v>47433</v>
      </c>
    </row>
    <row r="8256" spans="1:24">
      <c r="A8256">
        <f>HYPERLINK("https://www.philgeps.gov.ph/GEPSNONPILOT/Tender/SplashBidNoticeAbstractUI.aspx?menuIndex=3&amp;refID=7153252&amp;Result=3","7153252")</f>
        <v>0</v>
      </c>
      <c r="B8256" t="s">
        <v>2770</v>
      </c>
      <c r="C8256" t="s">
        <v>11667</v>
      </c>
      <c r="D8256" t="s">
        <v>19074</v>
      </c>
      <c r="E8256" t="s">
        <v>19835</v>
      </c>
      <c r="F8256" t="s">
        <v>32831</v>
      </c>
      <c r="G8256" t="s">
        <v>32839</v>
      </c>
      <c r="H8256" t="s">
        <v>32849</v>
      </c>
      <c r="I8256" t="s">
        <v>4177</v>
      </c>
      <c r="J8256" t="s">
        <v>36118</v>
      </c>
      <c r="K8256" t="s">
        <v>42862</v>
      </c>
      <c r="L8256" t="s">
        <v>2770</v>
      </c>
      <c r="M8256" t="s">
        <v>46001</v>
      </c>
      <c r="N8256" t="s">
        <v>47424</v>
      </c>
      <c r="O8256" t="s">
        <v>47425</v>
      </c>
      <c r="P8256">
        <v>0</v>
      </c>
      <c r="Q8256">
        <v>0</v>
      </c>
      <c r="R8256" t="s">
        <v>47432</v>
      </c>
      <c r="S8256" t="s">
        <v>47597</v>
      </c>
      <c r="T8256" t="s">
        <v>49427</v>
      </c>
      <c r="U8256" t="s">
        <v>56538</v>
      </c>
      <c r="W8256" t="s">
        <v>46001</v>
      </c>
      <c r="X8256" t="s">
        <v>47433</v>
      </c>
    </row>
    <row r="8257" spans="1:24">
      <c r="A8257">
        <f>HYPERLINK("https://www.philgeps.gov.ph/GEPSNONPILOT/Tender/SplashBidNoticeAbstractUI.aspx?menuIndex=3&amp;refID=7153203&amp;Result=3","7153203")</f>
        <v>0</v>
      </c>
      <c r="B8257" t="s">
        <v>2750</v>
      </c>
      <c r="C8257" t="s">
        <v>11668</v>
      </c>
      <c r="D8257" t="s">
        <v>19045</v>
      </c>
      <c r="E8257" t="s">
        <v>11668</v>
      </c>
      <c r="F8257" t="s">
        <v>32831</v>
      </c>
      <c r="G8257" t="s">
        <v>32838</v>
      </c>
      <c r="H8257" t="s">
        <v>32848</v>
      </c>
      <c r="I8257" t="s">
        <v>32858</v>
      </c>
      <c r="J8257" t="s">
        <v>38132</v>
      </c>
      <c r="K8257" t="s">
        <v>42758</v>
      </c>
      <c r="M8257" t="s">
        <v>45979</v>
      </c>
      <c r="N8257" t="s">
        <v>47424</v>
      </c>
      <c r="O8257" t="s">
        <v>47425</v>
      </c>
      <c r="P8257">
        <v>0</v>
      </c>
      <c r="Q8257">
        <v>0</v>
      </c>
      <c r="R8257" t="s">
        <v>47432</v>
      </c>
      <c r="S8257" t="s">
        <v>47597</v>
      </c>
      <c r="T8257" t="s">
        <v>49229</v>
      </c>
      <c r="U8257" t="s">
        <v>56539</v>
      </c>
      <c r="W8257" t="s">
        <v>45979</v>
      </c>
      <c r="X8257" t="s">
        <v>47433</v>
      </c>
    </row>
    <row r="8258" spans="1:24">
      <c r="A8258">
        <f>HYPERLINK("https://www.philgeps.gov.ph/GEPSNONPILOT/Tender/SplashBidNoticeAbstractUI.aspx?menuIndex=3&amp;refID=7153271&amp;Result=3","7153271")</f>
        <v>0</v>
      </c>
      <c r="B8258" t="s">
        <v>2709</v>
      </c>
      <c r="C8258" t="s">
        <v>11669</v>
      </c>
      <c r="D8258" t="s">
        <v>19018</v>
      </c>
      <c r="E8258" t="s">
        <v>26277</v>
      </c>
      <c r="F8258" t="s">
        <v>32831</v>
      </c>
      <c r="G8258" t="s">
        <v>32839</v>
      </c>
      <c r="H8258" t="s">
        <v>32848</v>
      </c>
      <c r="I8258" t="s">
        <v>7416</v>
      </c>
      <c r="J8258" t="s">
        <v>38133</v>
      </c>
      <c r="K8258" t="s">
        <v>42745</v>
      </c>
      <c r="M8258" t="s">
        <v>45935</v>
      </c>
      <c r="N8258" t="s">
        <v>47424</v>
      </c>
      <c r="O8258" t="s">
        <v>47425</v>
      </c>
      <c r="P8258">
        <v>0</v>
      </c>
      <c r="Q8258">
        <v>0</v>
      </c>
      <c r="R8258" t="s">
        <v>47432</v>
      </c>
      <c r="S8258" t="s">
        <v>47597</v>
      </c>
      <c r="T8258" t="s">
        <v>49166</v>
      </c>
      <c r="U8258" t="s">
        <v>56540</v>
      </c>
      <c r="W8258" t="s">
        <v>45935</v>
      </c>
      <c r="X8258" t="s">
        <v>47433</v>
      </c>
    </row>
    <row r="8259" spans="1:24">
      <c r="A8259">
        <f>HYPERLINK("https://www.philgeps.gov.ph/GEPSNONPILOT/Tender/SplashBidNoticeAbstractUI.aspx?menuIndex=3&amp;refID=7153261&amp;Result=3","7153261")</f>
        <v>0</v>
      </c>
      <c r="B8259" t="s">
        <v>2769</v>
      </c>
      <c r="C8259" t="s">
        <v>11670</v>
      </c>
      <c r="D8259" t="s">
        <v>19077</v>
      </c>
      <c r="E8259" t="s">
        <v>24481</v>
      </c>
      <c r="F8259" t="s">
        <v>32831</v>
      </c>
      <c r="G8259" t="s">
        <v>32839</v>
      </c>
      <c r="H8259" t="s">
        <v>32849</v>
      </c>
      <c r="I8259" t="s">
        <v>32852</v>
      </c>
      <c r="J8259" t="s">
        <v>33057</v>
      </c>
      <c r="K8259" t="s">
        <v>42730</v>
      </c>
      <c r="M8259" t="s">
        <v>46000</v>
      </c>
      <c r="N8259" t="s">
        <v>47424</v>
      </c>
      <c r="O8259" t="s">
        <v>47425</v>
      </c>
      <c r="P8259">
        <v>0</v>
      </c>
      <c r="Q8259">
        <v>1</v>
      </c>
      <c r="R8259" t="s">
        <v>47432</v>
      </c>
      <c r="S8259" t="s">
        <v>47597</v>
      </c>
      <c r="T8259" t="s">
        <v>49056</v>
      </c>
      <c r="U8259" t="s">
        <v>56532</v>
      </c>
      <c r="W8259" t="s">
        <v>46000</v>
      </c>
      <c r="X8259" t="s">
        <v>47433</v>
      </c>
    </row>
    <row r="8260" spans="1:24">
      <c r="A8260">
        <f>HYPERLINK("https://www.philgeps.gov.ph/GEPSNONPILOT/Tender/SplashBidNoticeAbstractUI.aspx?menuIndex=3&amp;refID=7153246&amp;Result=3","7153246")</f>
        <v>0</v>
      </c>
      <c r="B8260" t="s">
        <v>2769</v>
      </c>
      <c r="C8260" t="s">
        <v>11671</v>
      </c>
      <c r="D8260" t="s">
        <v>19077</v>
      </c>
      <c r="E8260" t="s">
        <v>26278</v>
      </c>
      <c r="F8260" t="s">
        <v>32831</v>
      </c>
      <c r="G8260" t="s">
        <v>32839</v>
      </c>
      <c r="H8260" t="s">
        <v>32849</v>
      </c>
      <c r="I8260" t="s">
        <v>32852</v>
      </c>
      <c r="J8260" t="s">
        <v>33057</v>
      </c>
      <c r="K8260" t="s">
        <v>42730</v>
      </c>
      <c r="M8260" t="s">
        <v>46000</v>
      </c>
      <c r="N8260" t="s">
        <v>47424</v>
      </c>
      <c r="O8260" t="s">
        <v>47425</v>
      </c>
      <c r="P8260">
        <v>0</v>
      </c>
      <c r="Q8260">
        <v>0</v>
      </c>
      <c r="R8260" t="s">
        <v>47432</v>
      </c>
      <c r="S8260" t="s">
        <v>47597</v>
      </c>
      <c r="T8260" t="s">
        <v>49056</v>
      </c>
      <c r="U8260" t="s">
        <v>56532</v>
      </c>
      <c r="W8260" t="s">
        <v>46000</v>
      </c>
      <c r="X8260" t="s">
        <v>47433</v>
      </c>
    </row>
    <row r="8261" spans="1:24">
      <c r="A8261">
        <f>HYPERLINK("https://www.philgeps.gov.ph/GEPSNONPILOT/Tender/SplashBidNoticeAbstractUI.aspx?menuIndex=3&amp;refID=7153237&amp;Result=3","7153237")</f>
        <v>0</v>
      </c>
      <c r="B8261" t="s">
        <v>1130</v>
      </c>
      <c r="C8261" t="s">
        <v>11672</v>
      </c>
      <c r="D8261" t="s">
        <v>19045</v>
      </c>
      <c r="E8261" t="s">
        <v>26279</v>
      </c>
      <c r="F8261" t="s">
        <v>32831</v>
      </c>
      <c r="G8261" t="s">
        <v>32839</v>
      </c>
      <c r="H8261" t="s">
        <v>32849</v>
      </c>
      <c r="I8261" t="s">
        <v>4177</v>
      </c>
      <c r="J8261" t="s">
        <v>38134</v>
      </c>
      <c r="K8261" t="s">
        <v>42763</v>
      </c>
      <c r="M8261" t="s">
        <v>45442</v>
      </c>
      <c r="N8261" t="s">
        <v>47424</v>
      </c>
      <c r="O8261" t="s">
        <v>47425</v>
      </c>
      <c r="P8261">
        <v>0</v>
      </c>
      <c r="Q8261">
        <v>0</v>
      </c>
      <c r="R8261" t="s">
        <v>47432</v>
      </c>
      <c r="S8261" t="s">
        <v>47597</v>
      </c>
      <c r="T8261" t="s">
        <v>49077</v>
      </c>
      <c r="U8261" t="s">
        <v>56541</v>
      </c>
      <c r="V8261" t="s">
        <v>63325</v>
      </c>
      <c r="W8261" t="s">
        <v>45442</v>
      </c>
      <c r="X8261" t="s">
        <v>47433</v>
      </c>
    </row>
    <row r="8262" spans="1:24">
      <c r="A8262">
        <f>HYPERLINK("https://www.philgeps.gov.ph/GEPSNONPILOT/Tender/SplashBidNoticeAbstractUI.aspx?menuIndex=3&amp;refID=7153233&amp;Result=3","7153233")</f>
        <v>0</v>
      </c>
      <c r="B8262" t="s">
        <v>1141</v>
      </c>
      <c r="C8262" t="s">
        <v>11673</v>
      </c>
      <c r="D8262" t="s">
        <v>19017</v>
      </c>
      <c r="E8262" t="s">
        <v>22112</v>
      </c>
      <c r="F8262" t="s">
        <v>32831</v>
      </c>
      <c r="G8262" t="s">
        <v>32838</v>
      </c>
      <c r="H8262" t="s">
        <v>32848</v>
      </c>
      <c r="I8262" t="s">
        <v>7416</v>
      </c>
      <c r="J8262" t="s">
        <v>33573</v>
      </c>
      <c r="K8262" t="s">
        <v>42727</v>
      </c>
      <c r="M8262" t="s">
        <v>44205</v>
      </c>
      <c r="N8262" t="s">
        <v>47424</v>
      </c>
      <c r="O8262" t="s">
        <v>47425</v>
      </c>
      <c r="P8262">
        <v>0</v>
      </c>
      <c r="Q8262">
        <v>1</v>
      </c>
      <c r="R8262" t="s">
        <v>47432</v>
      </c>
      <c r="S8262" t="s">
        <v>47597</v>
      </c>
      <c r="T8262" t="s">
        <v>49111</v>
      </c>
      <c r="U8262" t="s">
        <v>56542</v>
      </c>
      <c r="W8262" t="s">
        <v>64459</v>
      </c>
      <c r="X8262" t="s">
        <v>47433</v>
      </c>
    </row>
    <row r="8263" spans="1:24">
      <c r="A8263">
        <f>HYPERLINK("https://www.philgeps.gov.ph/GEPSNONPILOT/Tender/SplashBidNoticeAbstractUI.aspx?menuIndex=3&amp;refID=7153249&amp;Result=3","7153249")</f>
        <v>0</v>
      </c>
      <c r="B8263" t="s">
        <v>1141</v>
      </c>
      <c r="C8263" t="s">
        <v>11674</v>
      </c>
      <c r="D8263" t="s">
        <v>19017</v>
      </c>
      <c r="E8263" t="s">
        <v>22249</v>
      </c>
      <c r="F8263" t="s">
        <v>32831</v>
      </c>
      <c r="G8263" t="s">
        <v>32838</v>
      </c>
      <c r="H8263" t="s">
        <v>32848</v>
      </c>
      <c r="I8263" t="s">
        <v>7416</v>
      </c>
      <c r="J8263" t="s">
        <v>38135</v>
      </c>
      <c r="K8263" t="s">
        <v>42727</v>
      </c>
      <c r="M8263" t="s">
        <v>44205</v>
      </c>
      <c r="N8263" t="s">
        <v>47424</v>
      </c>
      <c r="O8263" t="s">
        <v>47425</v>
      </c>
      <c r="P8263">
        <v>0</v>
      </c>
      <c r="Q8263">
        <v>0</v>
      </c>
      <c r="R8263" t="s">
        <v>47432</v>
      </c>
      <c r="S8263" t="s">
        <v>47597</v>
      </c>
      <c r="T8263" t="s">
        <v>49237</v>
      </c>
      <c r="U8263" t="s">
        <v>56543</v>
      </c>
      <c r="W8263" t="s">
        <v>64459</v>
      </c>
      <c r="X8263" t="s">
        <v>47433</v>
      </c>
    </row>
    <row r="8264" spans="1:24">
      <c r="A8264">
        <f>HYPERLINK("https://www.philgeps.gov.ph/GEPSNONPILOT/Tender/SplashBidNoticeAbstractUI.aspx?menuIndex=3&amp;refID=7153364&amp;Result=3","7153364")</f>
        <v>0</v>
      </c>
      <c r="B8264" t="s">
        <v>323</v>
      </c>
      <c r="C8264" t="s">
        <v>6484</v>
      </c>
      <c r="D8264" t="s">
        <v>19081</v>
      </c>
      <c r="E8264" t="s">
        <v>26280</v>
      </c>
      <c r="F8264" t="s">
        <v>32831</v>
      </c>
      <c r="G8264" t="s">
        <v>32838</v>
      </c>
      <c r="H8264" t="s">
        <v>32848</v>
      </c>
      <c r="I8264" t="s">
        <v>4776</v>
      </c>
      <c r="J8264" t="s">
        <v>38136</v>
      </c>
      <c r="K8264" t="s">
        <v>42726</v>
      </c>
      <c r="M8264" t="s">
        <v>45062</v>
      </c>
      <c r="N8264" t="s">
        <v>47424</v>
      </c>
      <c r="O8264" t="s">
        <v>47425</v>
      </c>
      <c r="P8264">
        <v>0</v>
      </c>
      <c r="Q8264">
        <v>0</v>
      </c>
      <c r="R8264" t="s">
        <v>47432</v>
      </c>
      <c r="S8264" t="s">
        <v>47597</v>
      </c>
      <c r="T8264" t="s">
        <v>49111</v>
      </c>
      <c r="U8264" t="s">
        <v>56544</v>
      </c>
      <c r="W8264" t="s">
        <v>45062</v>
      </c>
      <c r="X8264" t="s">
        <v>47433</v>
      </c>
    </row>
    <row r="8265" spans="1:24">
      <c r="A8265">
        <f>HYPERLINK("https://www.philgeps.gov.ph/GEPSNONPILOT/Tender/SplashBidNoticeAbstractUI.aspx?menuIndex=3&amp;refID=7153247&amp;Result=3","7153247")</f>
        <v>0</v>
      </c>
      <c r="B8265" t="s">
        <v>1004</v>
      </c>
      <c r="C8265" t="s">
        <v>11675</v>
      </c>
      <c r="D8265" t="s">
        <v>19050</v>
      </c>
      <c r="E8265" t="s">
        <v>26281</v>
      </c>
      <c r="F8265" t="s">
        <v>32831</v>
      </c>
      <c r="G8265" t="s">
        <v>32838</v>
      </c>
      <c r="H8265" t="s">
        <v>32848</v>
      </c>
      <c r="I8265" t="s">
        <v>7878</v>
      </c>
      <c r="J8265" t="s">
        <v>34940</v>
      </c>
      <c r="K8265" t="s">
        <v>42745</v>
      </c>
      <c r="M8265" t="s">
        <v>44053</v>
      </c>
      <c r="N8265" t="s">
        <v>47424</v>
      </c>
      <c r="O8265" t="s">
        <v>47425</v>
      </c>
      <c r="P8265">
        <v>0</v>
      </c>
      <c r="Q8265">
        <v>0</v>
      </c>
      <c r="R8265" t="s">
        <v>47432</v>
      </c>
      <c r="S8265" t="s">
        <v>47597</v>
      </c>
      <c r="T8265" t="s">
        <v>49237</v>
      </c>
      <c r="U8265" t="s">
        <v>56545</v>
      </c>
      <c r="W8265" t="s">
        <v>44053</v>
      </c>
      <c r="X8265" t="s">
        <v>47433</v>
      </c>
    </row>
    <row r="8266" spans="1:24">
      <c r="A8266">
        <f>HYPERLINK("https://www.philgeps.gov.ph/GEPSNONPILOT/Tender/SplashBidNoticeAbstractUI.aspx?menuIndex=3&amp;refID=7153363&amp;Result=3","7153363")</f>
        <v>0</v>
      </c>
      <c r="B8266" t="s">
        <v>2771</v>
      </c>
      <c r="C8266" t="s">
        <v>11676</v>
      </c>
      <c r="D8266" t="s">
        <v>19023</v>
      </c>
      <c r="E8266" t="s">
        <v>26282</v>
      </c>
      <c r="F8266" t="s">
        <v>32831</v>
      </c>
      <c r="G8266" t="s">
        <v>32839</v>
      </c>
      <c r="H8266" t="s">
        <v>32849</v>
      </c>
      <c r="I8266" t="s">
        <v>4177</v>
      </c>
      <c r="J8266" t="s">
        <v>36710</v>
      </c>
      <c r="K8266" t="s">
        <v>42745</v>
      </c>
      <c r="M8266" t="s">
        <v>46002</v>
      </c>
      <c r="N8266" t="s">
        <v>47424</v>
      </c>
      <c r="O8266" t="s">
        <v>47425</v>
      </c>
      <c r="P8266">
        <v>0</v>
      </c>
      <c r="Q8266">
        <v>4</v>
      </c>
      <c r="R8266" t="s">
        <v>47432</v>
      </c>
      <c r="S8266" t="s">
        <v>47597</v>
      </c>
      <c r="T8266" t="s">
        <v>49136</v>
      </c>
      <c r="U8266" t="s">
        <v>56546</v>
      </c>
      <c r="W8266" t="s">
        <v>46002</v>
      </c>
      <c r="X8266" t="s">
        <v>47433</v>
      </c>
    </row>
    <row r="8267" spans="1:24">
      <c r="A8267">
        <f>HYPERLINK("https://www.philgeps.gov.ph/GEPSNONPILOT/Tender/SplashBidNoticeAbstractUI.aspx?menuIndex=3&amp;refID=7153251&amp;Result=3","7153251")</f>
        <v>0</v>
      </c>
      <c r="B8267" t="s">
        <v>2683</v>
      </c>
      <c r="C8267" t="s">
        <v>7454</v>
      </c>
      <c r="D8267" t="s">
        <v>19091</v>
      </c>
      <c r="E8267" t="s">
        <v>26283</v>
      </c>
      <c r="F8267" t="s">
        <v>32831</v>
      </c>
      <c r="G8267" t="s">
        <v>32839</v>
      </c>
      <c r="H8267" t="s">
        <v>32849</v>
      </c>
      <c r="I8267" t="s">
        <v>4177</v>
      </c>
      <c r="J8267" t="s">
        <v>33044</v>
      </c>
      <c r="K8267" t="s">
        <v>42739</v>
      </c>
      <c r="M8267" t="s">
        <v>45906</v>
      </c>
      <c r="N8267" t="s">
        <v>47424</v>
      </c>
      <c r="O8267" t="s">
        <v>47425</v>
      </c>
      <c r="P8267">
        <v>0</v>
      </c>
      <c r="Q8267">
        <v>0</v>
      </c>
      <c r="R8267" t="s">
        <v>47432</v>
      </c>
      <c r="S8267" t="s">
        <v>47597</v>
      </c>
      <c r="T8267" t="s">
        <v>49214</v>
      </c>
      <c r="U8267" t="s">
        <v>56547</v>
      </c>
      <c r="W8267" t="s">
        <v>45906</v>
      </c>
      <c r="X8267" t="s">
        <v>47433</v>
      </c>
    </row>
    <row r="8268" spans="1:24">
      <c r="A8268">
        <f>HYPERLINK("https://www.philgeps.gov.ph/GEPSNONPILOT/Tender/SplashBidNoticeAbstractUI.aspx?menuIndex=3&amp;refID=7153352&amp;Result=3","7153352")</f>
        <v>0</v>
      </c>
      <c r="B8268" t="s">
        <v>108</v>
      </c>
      <c r="C8268" t="s">
        <v>11677</v>
      </c>
      <c r="D8268" t="s">
        <v>19058</v>
      </c>
      <c r="E8268" t="s">
        <v>26284</v>
      </c>
      <c r="F8268" t="s">
        <v>32831</v>
      </c>
      <c r="G8268" t="s">
        <v>32838</v>
      </c>
      <c r="H8268" t="s">
        <v>32848</v>
      </c>
      <c r="I8268" t="s">
        <v>32870</v>
      </c>
      <c r="J8268" t="s">
        <v>38137</v>
      </c>
      <c r="K8268" t="s">
        <v>42732</v>
      </c>
      <c r="M8268" t="s">
        <v>43105</v>
      </c>
      <c r="N8268" t="s">
        <v>47424</v>
      </c>
      <c r="O8268" t="s">
        <v>47425</v>
      </c>
      <c r="P8268">
        <v>0</v>
      </c>
      <c r="Q8268">
        <v>0</v>
      </c>
      <c r="R8268" t="s">
        <v>47432</v>
      </c>
      <c r="S8268" t="s">
        <v>47597</v>
      </c>
      <c r="T8268" t="s">
        <v>49243</v>
      </c>
      <c r="U8268" t="s">
        <v>56548</v>
      </c>
      <c r="W8268" t="s">
        <v>43105</v>
      </c>
      <c r="X8268" t="s">
        <v>47433</v>
      </c>
    </row>
    <row r="8269" spans="1:24">
      <c r="A8269">
        <f>HYPERLINK("https://www.philgeps.gov.ph/GEPSNONPILOT/Tender/SplashBidNoticeAbstractUI.aspx?menuIndex=3&amp;refID=7153350&amp;Result=3","7153350")</f>
        <v>0</v>
      </c>
      <c r="B8269" t="s">
        <v>2663</v>
      </c>
      <c r="C8269" t="s">
        <v>11678</v>
      </c>
      <c r="D8269" t="s">
        <v>19054</v>
      </c>
      <c r="E8269" t="s">
        <v>26285</v>
      </c>
      <c r="F8269" t="s">
        <v>32831</v>
      </c>
      <c r="G8269" t="s">
        <v>32838</v>
      </c>
      <c r="H8269" t="s">
        <v>32850</v>
      </c>
      <c r="I8269" t="s">
        <v>32866</v>
      </c>
      <c r="J8269" t="s">
        <v>38138</v>
      </c>
      <c r="K8269" t="s">
        <v>42726</v>
      </c>
      <c r="M8269" t="s">
        <v>45886</v>
      </c>
      <c r="N8269" t="s">
        <v>47424</v>
      </c>
      <c r="O8269" t="s">
        <v>47425</v>
      </c>
      <c r="P8269">
        <v>0</v>
      </c>
      <c r="Q8269">
        <v>0</v>
      </c>
      <c r="R8269" t="s">
        <v>47432</v>
      </c>
      <c r="S8269" t="s">
        <v>47597</v>
      </c>
      <c r="T8269" t="s">
        <v>49114</v>
      </c>
      <c r="U8269" t="s">
        <v>56549</v>
      </c>
      <c r="V8269" t="s">
        <v>63554</v>
      </c>
      <c r="W8269" t="s">
        <v>45886</v>
      </c>
      <c r="X8269" t="s">
        <v>47433</v>
      </c>
    </row>
    <row r="8270" spans="1:24">
      <c r="A8270">
        <f>HYPERLINK("https://www.philgeps.gov.ph/GEPSNONPILOT/Tender/SplashBidNoticeAbstractUI.aspx?menuIndex=3&amp;refID=7153336&amp;Result=3","7153336")</f>
        <v>0</v>
      </c>
      <c r="B8270" t="s">
        <v>2772</v>
      </c>
      <c r="C8270" t="s">
        <v>11679</v>
      </c>
      <c r="D8270" t="s">
        <v>19023</v>
      </c>
      <c r="E8270" t="s">
        <v>26286</v>
      </c>
      <c r="F8270" t="s">
        <v>32833</v>
      </c>
      <c r="G8270" t="s">
        <v>32839</v>
      </c>
      <c r="H8270" t="s">
        <v>32848</v>
      </c>
      <c r="I8270" t="s">
        <v>7416</v>
      </c>
      <c r="J8270" t="s">
        <v>33198</v>
      </c>
      <c r="K8270" t="s">
        <v>42758</v>
      </c>
      <c r="M8270" t="s">
        <v>46003</v>
      </c>
      <c r="N8270" t="s">
        <v>47424</v>
      </c>
      <c r="O8270" t="s">
        <v>47425</v>
      </c>
      <c r="P8270">
        <v>0</v>
      </c>
      <c r="Q8270">
        <v>1</v>
      </c>
      <c r="R8270" t="s">
        <v>47432</v>
      </c>
      <c r="S8270" t="s">
        <v>47597</v>
      </c>
      <c r="T8270" t="s">
        <v>49505</v>
      </c>
      <c r="U8270" t="s">
        <v>56550</v>
      </c>
      <c r="W8270" t="s">
        <v>46003</v>
      </c>
      <c r="X8270" t="s">
        <v>47433</v>
      </c>
    </row>
    <row r="8271" spans="1:24">
      <c r="A8271">
        <f>HYPERLINK("https://www.philgeps.gov.ph/GEPSNONPILOT/Tender/SplashBidNoticeAbstractUI.aspx?menuIndex=3&amp;refID=7153327&amp;Result=3","7153327")</f>
        <v>0</v>
      </c>
      <c r="B8271" t="s">
        <v>2773</v>
      </c>
      <c r="C8271" t="s">
        <v>11680</v>
      </c>
      <c r="D8271" t="s">
        <v>19022</v>
      </c>
      <c r="E8271" t="s">
        <v>26287</v>
      </c>
      <c r="F8271" t="s">
        <v>32832</v>
      </c>
      <c r="G8271" t="s">
        <v>32839</v>
      </c>
      <c r="H8271" t="s">
        <v>32850</v>
      </c>
      <c r="I8271" t="s">
        <v>32864</v>
      </c>
      <c r="J8271" t="s">
        <v>38139</v>
      </c>
      <c r="K8271" t="s">
        <v>42758</v>
      </c>
      <c r="M8271" t="s">
        <v>46004</v>
      </c>
      <c r="N8271" t="s">
        <v>47424</v>
      </c>
      <c r="O8271" t="s">
        <v>47425</v>
      </c>
      <c r="P8271">
        <v>0</v>
      </c>
      <c r="Q8271">
        <v>11</v>
      </c>
      <c r="R8271" t="s">
        <v>47432</v>
      </c>
      <c r="S8271" t="s">
        <v>47597</v>
      </c>
      <c r="T8271" t="s">
        <v>49143</v>
      </c>
      <c r="U8271" t="s">
        <v>56551</v>
      </c>
      <c r="W8271" t="s">
        <v>46004</v>
      </c>
      <c r="X8271" t="s">
        <v>47433</v>
      </c>
    </row>
    <row r="8272" spans="1:24">
      <c r="A8272">
        <f>HYPERLINK("https://www.philgeps.gov.ph/GEPSNONPILOT/Tender/SplashBidNoticeAbstractUI.aspx?menuIndex=3&amp;refID=7153359&amp;Result=3","7153359")</f>
        <v>0</v>
      </c>
      <c r="B8272" t="s">
        <v>1533</v>
      </c>
      <c r="C8272" t="s">
        <v>11681</v>
      </c>
      <c r="D8272" t="s">
        <v>19093</v>
      </c>
      <c r="E8272" t="s">
        <v>26288</v>
      </c>
      <c r="F8272" t="s">
        <v>32831</v>
      </c>
      <c r="G8272" t="s">
        <v>32839</v>
      </c>
      <c r="H8272" t="s">
        <v>32848</v>
      </c>
      <c r="I8272" t="s">
        <v>32857</v>
      </c>
      <c r="J8272" t="s">
        <v>38140</v>
      </c>
      <c r="K8272" t="s">
        <v>42729</v>
      </c>
      <c r="M8272" t="s">
        <v>44637</v>
      </c>
      <c r="N8272" t="s">
        <v>47424</v>
      </c>
      <c r="O8272" t="s">
        <v>47425</v>
      </c>
      <c r="P8272">
        <v>0</v>
      </c>
      <c r="Q8272">
        <v>10</v>
      </c>
      <c r="R8272" t="s">
        <v>47432</v>
      </c>
      <c r="S8272" t="s">
        <v>47597</v>
      </c>
      <c r="T8272" t="s">
        <v>49078</v>
      </c>
      <c r="U8272" t="s">
        <v>56552</v>
      </c>
      <c r="W8272" t="s">
        <v>44637</v>
      </c>
      <c r="X8272" t="s">
        <v>47433</v>
      </c>
    </row>
    <row r="8273" spans="1:24">
      <c r="A8273">
        <f>HYPERLINK("https://www.philgeps.gov.ph/GEPSNONPILOT/Tender/SplashBidNoticeAbstractUI.aspx?menuIndex=3&amp;refID=7153280&amp;Result=3","7153280")</f>
        <v>0</v>
      </c>
      <c r="B8273" t="s">
        <v>2774</v>
      </c>
      <c r="C8273" t="s">
        <v>11682</v>
      </c>
      <c r="D8273" t="s">
        <v>19038</v>
      </c>
      <c r="E8273" t="s">
        <v>19979</v>
      </c>
      <c r="F8273" t="s">
        <v>32831</v>
      </c>
      <c r="G8273" t="s">
        <v>32839</v>
      </c>
      <c r="H8273" t="s">
        <v>32849</v>
      </c>
      <c r="I8273" t="s">
        <v>4177</v>
      </c>
      <c r="J8273" t="s">
        <v>38141</v>
      </c>
      <c r="K8273" t="s">
        <v>42745</v>
      </c>
      <c r="M8273" t="s">
        <v>46005</v>
      </c>
      <c r="N8273" t="s">
        <v>47424</v>
      </c>
      <c r="O8273" t="s">
        <v>47425</v>
      </c>
      <c r="P8273">
        <v>0</v>
      </c>
      <c r="Q8273">
        <v>0</v>
      </c>
      <c r="R8273" t="s">
        <v>47432</v>
      </c>
      <c r="S8273" t="s">
        <v>47597</v>
      </c>
      <c r="T8273" t="s">
        <v>49091</v>
      </c>
      <c r="U8273" t="s">
        <v>56553</v>
      </c>
      <c r="W8273" t="s">
        <v>46005</v>
      </c>
      <c r="X8273" t="s">
        <v>47433</v>
      </c>
    </row>
    <row r="8274" spans="1:24">
      <c r="A8274">
        <f>HYPERLINK("https://www.philgeps.gov.ph/GEPSNONPILOT/Tender/SplashBidNoticeAbstractUI.aspx?menuIndex=3&amp;refID=7153320&amp;Result=3","7153320")</f>
        <v>0</v>
      </c>
      <c r="B8274" t="s">
        <v>2709</v>
      </c>
      <c r="C8274" t="s">
        <v>11683</v>
      </c>
      <c r="D8274" t="s">
        <v>19018</v>
      </c>
      <c r="E8274" t="s">
        <v>26289</v>
      </c>
      <c r="F8274" t="s">
        <v>32831</v>
      </c>
      <c r="G8274" t="s">
        <v>32839</v>
      </c>
      <c r="H8274" t="s">
        <v>32848</v>
      </c>
      <c r="I8274" t="s">
        <v>7416</v>
      </c>
      <c r="J8274" t="s">
        <v>38142</v>
      </c>
      <c r="K8274" t="s">
        <v>42745</v>
      </c>
      <c r="M8274" t="s">
        <v>45935</v>
      </c>
      <c r="N8274" t="s">
        <v>47424</v>
      </c>
      <c r="O8274" t="s">
        <v>47425</v>
      </c>
      <c r="P8274">
        <v>0</v>
      </c>
      <c r="Q8274">
        <v>0</v>
      </c>
      <c r="R8274" t="s">
        <v>47432</v>
      </c>
      <c r="S8274" t="s">
        <v>47597</v>
      </c>
      <c r="T8274" t="s">
        <v>49166</v>
      </c>
      <c r="U8274" t="s">
        <v>56540</v>
      </c>
      <c r="W8274" t="s">
        <v>45935</v>
      </c>
      <c r="X8274" t="s">
        <v>47433</v>
      </c>
    </row>
    <row r="8275" spans="1:24">
      <c r="A8275">
        <f>HYPERLINK("https://www.philgeps.gov.ph/GEPSNONPILOT/Tender/SplashBidNoticeAbstractUI.aspx?menuIndex=3&amp;refID=7153291&amp;Result=3","7153291")</f>
        <v>0</v>
      </c>
      <c r="B8275" t="s">
        <v>633</v>
      </c>
      <c r="C8275" t="s">
        <v>11684</v>
      </c>
      <c r="D8275" t="s">
        <v>19062</v>
      </c>
      <c r="E8275" t="s">
        <v>26290</v>
      </c>
      <c r="F8275" t="s">
        <v>32831</v>
      </c>
      <c r="G8275" t="s">
        <v>32839</v>
      </c>
      <c r="H8275" t="s">
        <v>32848</v>
      </c>
      <c r="I8275" t="s">
        <v>32860</v>
      </c>
      <c r="J8275" t="s">
        <v>38143</v>
      </c>
      <c r="K8275" t="s">
        <v>42750</v>
      </c>
      <c r="M8275" t="s">
        <v>43650</v>
      </c>
      <c r="N8275" t="s">
        <v>47424</v>
      </c>
      <c r="O8275" t="s">
        <v>47425</v>
      </c>
      <c r="P8275">
        <v>0</v>
      </c>
      <c r="Q8275">
        <v>3</v>
      </c>
      <c r="R8275" t="s">
        <v>47432</v>
      </c>
      <c r="S8275" t="s">
        <v>47597</v>
      </c>
      <c r="T8275" t="s">
        <v>49267</v>
      </c>
      <c r="U8275" t="s">
        <v>56554</v>
      </c>
      <c r="W8275" t="s">
        <v>43650</v>
      </c>
      <c r="X8275" t="s">
        <v>47433</v>
      </c>
    </row>
    <row r="8276" spans="1:24">
      <c r="A8276">
        <f>HYPERLINK("https://www.philgeps.gov.ph/GEPSNONPILOT/Tender/SplashBidNoticeAbstractUI.aspx?menuIndex=3&amp;refID=7153262&amp;Result=3","7153262")</f>
        <v>0</v>
      </c>
      <c r="B8276" t="s">
        <v>1141</v>
      </c>
      <c r="C8276" t="s">
        <v>11685</v>
      </c>
      <c r="D8276" t="s">
        <v>19017</v>
      </c>
      <c r="E8276" t="s">
        <v>26291</v>
      </c>
      <c r="F8276" t="s">
        <v>32831</v>
      </c>
      <c r="G8276" t="s">
        <v>32838</v>
      </c>
      <c r="H8276" t="s">
        <v>32848</v>
      </c>
      <c r="I8276" t="s">
        <v>10805</v>
      </c>
      <c r="J8276" t="s">
        <v>38144</v>
      </c>
      <c r="K8276" t="s">
        <v>42727</v>
      </c>
      <c r="M8276" t="s">
        <v>44205</v>
      </c>
      <c r="N8276" t="s">
        <v>47424</v>
      </c>
      <c r="O8276" t="s">
        <v>47425</v>
      </c>
      <c r="P8276">
        <v>0</v>
      </c>
      <c r="Q8276">
        <v>4</v>
      </c>
      <c r="R8276" t="s">
        <v>47432</v>
      </c>
      <c r="S8276" t="s">
        <v>47597</v>
      </c>
      <c r="T8276" t="s">
        <v>49237</v>
      </c>
      <c r="U8276" t="s">
        <v>56555</v>
      </c>
      <c r="W8276" t="s">
        <v>64459</v>
      </c>
      <c r="X8276" t="s">
        <v>47433</v>
      </c>
    </row>
    <row r="8277" spans="1:24">
      <c r="A8277">
        <f>HYPERLINK("https://www.philgeps.gov.ph/GEPSNONPILOT/Tender/SplashBidNoticeAbstractUI.aspx?menuIndex=3&amp;refID=7153329&amp;Result=3","7153329")</f>
        <v>0</v>
      </c>
      <c r="B8277" t="s">
        <v>2475</v>
      </c>
      <c r="C8277" t="s">
        <v>10166</v>
      </c>
      <c r="D8277" t="s">
        <v>19039</v>
      </c>
      <c r="E8277" t="s">
        <v>26292</v>
      </c>
      <c r="F8277" t="s">
        <v>32831</v>
      </c>
      <c r="G8277" t="s">
        <v>32839</v>
      </c>
      <c r="H8277" t="s">
        <v>32849</v>
      </c>
      <c r="I8277" t="s">
        <v>4177</v>
      </c>
      <c r="J8277" t="s">
        <v>32980</v>
      </c>
      <c r="K8277" t="s">
        <v>42745</v>
      </c>
      <c r="M8277" t="s">
        <v>45675</v>
      </c>
      <c r="N8277" t="s">
        <v>47424</v>
      </c>
      <c r="O8277" t="s">
        <v>47425</v>
      </c>
      <c r="P8277">
        <v>0</v>
      </c>
      <c r="Q8277">
        <v>0</v>
      </c>
      <c r="R8277" t="s">
        <v>47432</v>
      </c>
      <c r="S8277" t="s">
        <v>47597</v>
      </c>
      <c r="T8277" t="s">
        <v>49219</v>
      </c>
      <c r="U8277" t="s">
        <v>56556</v>
      </c>
      <c r="V8277" t="s">
        <v>63405</v>
      </c>
      <c r="W8277" t="s">
        <v>45675</v>
      </c>
      <c r="X8277" t="s">
        <v>47433</v>
      </c>
    </row>
    <row r="8278" spans="1:24">
      <c r="A8278">
        <f>HYPERLINK("https://www.philgeps.gov.ph/GEPSNONPILOT/Tender/SplashBidNoticeAbstractUI.aspx?menuIndex=3&amp;refID=7153288&amp;Result=3","7153288")</f>
        <v>0</v>
      </c>
      <c r="B8278" t="s">
        <v>2775</v>
      </c>
      <c r="C8278" t="s">
        <v>11686</v>
      </c>
      <c r="D8278" t="s">
        <v>19027</v>
      </c>
      <c r="E8278" t="s">
        <v>23115</v>
      </c>
      <c r="F8278" t="s">
        <v>32831</v>
      </c>
      <c r="G8278" t="s">
        <v>32839</v>
      </c>
      <c r="H8278" t="s">
        <v>32848</v>
      </c>
      <c r="I8278" t="s">
        <v>32858</v>
      </c>
      <c r="J8278" t="s">
        <v>38145</v>
      </c>
      <c r="K8278" t="s">
        <v>42731</v>
      </c>
      <c r="M8278" t="s">
        <v>46006</v>
      </c>
      <c r="N8278" t="s">
        <v>47424</v>
      </c>
      <c r="O8278" t="s">
        <v>47425</v>
      </c>
      <c r="P8278">
        <v>0</v>
      </c>
      <c r="Q8278">
        <v>1</v>
      </c>
      <c r="R8278" t="s">
        <v>47432</v>
      </c>
      <c r="S8278" t="s">
        <v>47597</v>
      </c>
      <c r="T8278" t="s">
        <v>49112</v>
      </c>
      <c r="U8278" t="s">
        <v>56557</v>
      </c>
      <c r="W8278" t="s">
        <v>46006</v>
      </c>
      <c r="X8278" t="s">
        <v>47433</v>
      </c>
    </row>
    <row r="8279" spans="1:24">
      <c r="A8279">
        <f>HYPERLINK("https://www.philgeps.gov.ph/GEPSNONPILOT/Tender/SplashBidNoticeAbstractUI.aspx?menuIndex=3&amp;refID=7153287&amp;Result=3","7153287")</f>
        <v>0</v>
      </c>
      <c r="B8279" t="s">
        <v>2768</v>
      </c>
      <c r="C8279" t="s">
        <v>11687</v>
      </c>
      <c r="D8279" t="s">
        <v>19017</v>
      </c>
      <c r="E8279" t="s">
        <v>26293</v>
      </c>
      <c r="F8279" t="s">
        <v>32831</v>
      </c>
      <c r="G8279" t="s">
        <v>32839</v>
      </c>
      <c r="H8279" t="s">
        <v>32848</v>
      </c>
      <c r="I8279" t="s">
        <v>32912</v>
      </c>
      <c r="J8279" t="s">
        <v>38146</v>
      </c>
      <c r="K8279" t="s">
        <v>42730</v>
      </c>
      <c r="M8279" t="s">
        <v>45998</v>
      </c>
      <c r="N8279" t="s">
        <v>47424</v>
      </c>
      <c r="O8279" t="s">
        <v>47425</v>
      </c>
      <c r="P8279">
        <v>0</v>
      </c>
      <c r="Q8279">
        <v>5</v>
      </c>
      <c r="R8279" t="s">
        <v>47432</v>
      </c>
      <c r="S8279" t="s">
        <v>47597</v>
      </c>
      <c r="T8279" t="s">
        <v>49081</v>
      </c>
      <c r="U8279" t="s">
        <v>56558</v>
      </c>
      <c r="W8279" t="s">
        <v>45998</v>
      </c>
      <c r="X8279" t="s">
        <v>47433</v>
      </c>
    </row>
    <row r="8280" spans="1:24">
      <c r="A8280">
        <f>HYPERLINK("https://www.philgeps.gov.ph/GEPSNONPILOT/Tender/SplashBidNoticeAbstractUI.aspx?menuIndex=3&amp;refID=7153284&amp;Result=3","7153284")</f>
        <v>0</v>
      </c>
      <c r="B8280" t="s">
        <v>2776</v>
      </c>
      <c r="C8280" t="s">
        <v>11688</v>
      </c>
      <c r="D8280" t="s">
        <v>19057</v>
      </c>
      <c r="E8280" t="s">
        <v>19861</v>
      </c>
      <c r="F8280" t="s">
        <v>32831</v>
      </c>
      <c r="G8280" t="s">
        <v>32839</v>
      </c>
      <c r="H8280" t="s">
        <v>32848</v>
      </c>
      <c r="I8280" t="s">
        <v>4558</v>
      </c>
      <c r="J8280" t="s">
        <v>35628</v>
      </c>
      <c r="K8280" t="s">
        <v>42732</v>
      </c>
      <c r="M8280" t="s">
        <v>46007</v>
      </c>
      <c r="N8280" t="s">
        <v>47424</v>
      </c>
      <c r="O8280" t="s">
        <v>47425</v>
      </c>
      <c r="P8280">
        <v>0</v>
      </c>
      <c r="Q8280">
        <v>0</v>
      </c>
      <c r="R8280" t="s">
        <v>47432</v>
      </c>
      <c r="S8280" t="s">
        <v>47597</v>
      </c>
      <c r="T8280" t="s">
        <v>49214</v>
      </c>
      <c r="U8280" t="s">
        <v>56559</v>
      </c>
      <c r="W8280" t="s">
        <v>46007</v>
      </c>
      <c r="X8280" t="s">
        <v>47433</v>
      </c>
    </row>
    <row r="8281" spans="1:24">
      <c r="A8281">
        <f>HYPERLINK("https://www.philgeps.gov.ph/GEPSNONPILOT/Tender/SplashBidNoticeAbstractUI.aspx?menuIndex=3&amp;refID=7153399&amp;Result=3","7153399")</f>
        <v>0</v>
      </c>
      <c r="B8281" t="s">
        <v>2777</v>
      </c>
      <c r="C8281" t="s">
        <v>11689</v>
      </c>
      <c r="D8281" t="s">
        <v>19022</v>
      </c>
      <c r="E8281" t="s">
        <v>26294</v>
      </c>
      <c r="F8281" t="s">
        <v>32831</v>
      </c>
      <c r="G8281" t="s">
        <v>32838</v>
      </c>
      <c r="H8281" t="s">
        <v>32848</v>
      </c>
      <c r="I8281" t="s">
        <v>32860</v>
      </c>
      <c r="J8281" t="s">
        <v>38147</v>
      </c>
      <c r="K8281" t="s">
        <v>42727</v>
      </c>
      <c r="M8281" t="s">
        <v>46008</v>
      </c>
      <c r="N8281" t="s">
        <v>47424</v>
      </c>
      <c r="O8281" t="s">
        <v>47425</v>
      </c>
      <c r="P8281">
        <v>0</v>
      </c>
      <c r="Q8281">
        <v>3</v>
      </c>
      <c r="R8281" t="s">
        <v>47432</v>
      </c>
      <c r="S8281" t="s">
        <v>47597</v>
      </c>
      <c r="T8281" t="s">
        <v>49239</v>
      </c>
      <c r="U8281" t="s">
        <v>56560</v>
      </c>
      <c r="W8281" t="s">
        <v>46008</v>
      </c>
      <c r="X8281" t="s">
        <v>47433</v>
      </c>
    </row>
    <row r="8282" spans="1:24">
      <c r="A8282">
        <f>HYPERLINK("https://www.philgeps.gov.ph/GEPSNONPILOT/Tender/SplashBidNoticeAbstractUI.aspx?menuIndex=3&amp;refID=7153306&amp;Result=3","7153306")</f>
        <v>0</v>
      </c>
      <c r="B8282" t="s">
        <v>2196</v>
      </c>
      <c r="C8282" t="s">
        <v>11690</v>
      </c>
      <c r="D8282" t="s">
        <v>19049</v>
      </c>
      <c r="E8282" t="s">
        <v>19311</v>
      </c>
      <c r="F8282" t="s">
        <v>32831</v>
      </c>
      <c r="G8282" t="s">
        <v>32839</v>
      </c>
      <c r="H8282" t="s">
        <v>32848</v>
      </c>
      <c r="I8282" t="s">
        <v>7416</v>
      </c>
      <c r="J8282" t="s">
        <v>38148</v>
      </c>
      <c r="K8282" t="s">
        <v>42727</v>
      </c>
      <c r="M8282" t="s">
        <v>45376</v>
      </c>
      <c r="N8282" t="s">
        <v>47424</v>
      </c>
      <c r="O8282" t="s">
        <v>47425</v>
      </c>
      <c r="P8282">
        <v>0</v>
      </c>
      <c r="Q8282">
        <v>0</v>
      </c>
      <c r="R8282" t="s">
        <v>47432</v>
      </c>
      <c r="S8282" t="s">
        <v>47597</v>
      </c>
      <c r="T8282" t="s">
        <v>49119</v>
      </c>
      <c r="U8282" t="s">
        <v>56561</v>
      </c>
      <c r="W8282" t="s">
        <v>45376</v>
      </c>
      <c r="X8282" t="s">
        <v>47433</v>
      </c>
    </row>
    <row r="8283" spans="1:24">
      <c r="A8283">
        <f>HYPERLINK("https://www.philgeps.gov.ph/GEPSNONPILOT/Tender/SplashBidNoticeAbstractUI.aspx?menuIndex=3&amp;refID=7153414&amp;Result=3","7153414")</f>
        <v>0</v>
      </c>
      <c r="B8283" t="s">
        <v>1330</v>
      </c>
      <c r="C8283" t="s">
        <v>11691</v>
      </c>
      <c r="D8283" t="s">
        <v>19095</v>
      </c>
      <c r="E8283" t="s">
        <v>26295</v>
      </c>
      <c r="F8283" t="s">
        <v>32831</v>
      </c>
      <c r="G8283" t="s">
        <v>32839</v>
      </c>
      <c r="H8283" t="s">
        <v>32848</v>
      </c>
      <c r="I8283" t="s">
        <v>7416</v>
      </c>
      <c r="J8283" t="s">
        <v>38149</v>
      </c>
      <c r="K8283" t="s">
        <v>42731</v>
      </c>
      <c r="M8283" t="s">
        <v>44401</v>
      </c>
      <c r="N8283" t="s">
        <v>47424</v>
      </c>
      <c r="O8283" t="s">
        <v>47425</v>
      </c>
      <c r="P8283">
        <v>0</v>
      </c>
      <c r="Q8283">
        <v>0</v>
      </c>
      <c r="R8283" t="s">
        <v>47432</v>
      </c>
      <c r="S8283" t="s">
        <v>47597</v>
      </c>
      <c r="T8283" t="s">
        <v>49068</v>
      </c>
      <c r="U8283" t="s">
        <v>56562</v>
      </c>
      <c r="V8283" t="s">
        <v>62961</v>
      </c>
      <c r="W8283" t="s">
        <v>44401</v>
      </c>
      <c r="X8283" t="s">
        <v>47433</v>
      </c>
    </row>
    <row r="8284" spans="1:24">
      <c r="A8284">
        <f>HYPERLINK("https://www.philgeps.gov.ph/GEPSNONPILOT/Tender/SplashBidNoticeAbstractUI.aspx?menuIndex=3&amp;refID=7153348&amp;Result=3","7153348")</f>
        <v>0</v>
      </c>
      <c r="B8284" t="s">
        <v>2778</v>
      </c>
      <c r="C8284" t="s">
        <v>6144</v>
      </c>
      <c r="E8284" t="s">
        <v>26296</v>
      </c>
      <c r="F8284" t="s">
        <v>32831</v>
      </c>
      <c r="G8284" t="s">
        <v>32839</v>
      </c>
      <c r="H8284" t="s">
        <v>32848</v>
      </c>
      <c r="I8284" t="s">
        <v>7416</v>
      </c>
      <c r="J8284" t="s">
        <v>38150</v>
      </c>
      <c r="K8284" t="s">
        <v>42732</v>
      </c>
      <c r="M8284" t="s">
        <v>46009</v>
      </c>
      <c r="N8284" t="s">
        <v>47424</v>
      </c>
      <c r="O8284" t="s">
        <v>47425</v>
      </c>
      <c r="P8284">
        <v>0</v>
      </c>
      <c r="Q8284">
        <v>0</v>
      </c>
      <c r="R8284" t="s">
        <v>47432</v>
      </c>
      <c r="S8284" t="s">
        <v>47597</v>
      </c>
      <c r="T8284" t="s">
        <v>49214</v>
      </c>
      <c r="U8284" t="s">
        <v>56563</v>
      </c>
      <c r="W8284" t="s">
        <v>46009</v>
      </c>
      <c r="X8284" t="s">
        <v>47433</v>
      </c>
    </row>
    <row r="8285" spans="1:24">
      <c r="A8285">
        <f>HYPERLINK("https://www.philgeps.gov.ph/GEPSNONPILOT/Tender/SplashBidNoticeAbstractUI.aspx?menuIndex=3&amp;refID=7153053&amp;Result=3","7153053")</f>
        <v>0</v>
      </c>
      <c r="B8285" t="s">
        <v>525</v>
      </c>
      <c r="C8285" t="s">
        <v>11692</v>
      </c>
      <c r="D8285" t="s">
        <v>19029</v>
      </c>
      <c r="E8285" t="s">
        <v>26297</v>
      </c>
      <c r="F8285" t="s">
        <v>32831</v>
      </c>
      <c r="G8285" t="s">
        <v>32839</v>
      </c>
      <c r="H8285" t="s">
        <v>32848</v>
      </c>
      <c r="I8285" t="s">
        <v>32871</v>
      </c>
      <c r="J8285" t="s">
        <v>38151</v>
      </c>
      <c r="K8285" t="s">
        <v>42727</v>
      </c>
      <c r="M8285" t="s">
        <v>43531</v>
      </c>
      <c r="N8285" t="s">
        <v>47424</v>
      </c>
      <c r="O8285" t="s">
        <v>47425</v>
      </c>
      <c r="P8285">
        <v>0</v>
      </c>
      <c r="Q8285">
        <v>21</v>
      </c>
      <c r="R8285" t="s">
        <v>47432</v>
      </c>
      <c r="S8285" t="s">
        <v>47597</v>
      </c>
      <c r="T8285" t="s">
        <v>49160</v>
      </c>
      <c r="U8285" t="s">
        <v>56564</v>
      </c>
      <c r="W8285" t="s">
        <v>43531</v>
      </c>
      <c r="X8285" t="s">
        <v>47433</v>
      </c>
    </row>
    <row r="8286" spans="1:24">
      <c r="A8286">
        <f>HYPERLINK("https://www.philgeps.gov.ph/GEPSNONPILOT/Tender/SplashBidNoticeAbstractUI.aspx?menuIndex=3&amp;refID=7153315&amp;Result=3","7153315")</f>
        <v>0</v>
      </c>
      <c r="B8286" t="s">
        <v>323</v>
      </c>
      <c r="C8286" t="s">
        <v>11693</v>
      </c>
      <c r="D8286" t="s">
        <v>19081</v>
      </c>
      <c r="E8286" t="s">
        <v>24384</v>
      </c>
      <c r="F8286" t="s">
        <v>32831</v>
      </c>
      <c r="G8286" t="s">
        <v>32838</v>
      </c>
      <c r="H8286" t="s">
        <v>32848</v>
      </c>
      <c r="I8286" t="s">
        <v>4438</v>
      </c>
      <c r="J8286" t="s">
        <v>33077</v>
      </c>
      <c r="K8286" t="s">
        <v>42726</v>
      </c>
      <c r="M8286" t="s">
        <v>45062</v>
      </c>
      <c r="N8286" t="s">
        <v>47424</v>
      </c>
      <c r="O8286" t="s">
        <v>47425</v>
      </c>
      <c r="P8286">
        <v>0</v>
      </c>
      <c r="Q8286">
        <v>0</v>
      </c>
      <c r="R8286" t="s">
        <v>47432</v>
      </c>
      <c r="S8286" t="s">
        <v>47597</v>
      </c>
      <c r="T8286" t="s">
        <v>49111</v>
      </c>
      <c r="U8286" t="s">
        <v>56565</v>
      </c>
      <c r="W8286" t="s">
        <v>45062</v>
      </c>
      <c r="X8286" t="s">
        <v>47433</v>
      </c>
    </row>
    <row r="8287" spans="1:24">
      <c r="A8287">
        <f>HYPERLINK("https://www.philgeps.gov.ph/GEPSNONPILOT/Tender/SplashBidNoticeAbstractUI.aspx?menuIndex=3&amp;refID=7153402&amp;Result=3","7153402")</f>
        <v>0</v>
      </c>
      <c r="B8287" t="s">
        <v>659</v>
      </c>
      <c r="C8287" t="s">
        <v>11694</v>
      </c>
      <c r="D8287" t="s">
        <v>19052</v>
      </c>
      <c r="E8287" t="s">
        <v>26298</v>
      </c>
      <c r="F8287" t="s">
        <v>32831</v>
      </c>
      <c r="G8287" t="s">
        <v>32839</v>
      </c>
      <c r="H8287" t="s">
        <v>32848</v>
      </c>
      <c r="I8287" t="s">
        <v>4558</v>
      </c>
      <c r="J8287" t="s">
        <v>34100</v>
      </c>
      <c r="K8287" t="s">
        <v>42726</v>
      </c>
      <c r="M8287" t="s">
        <v>43677</v>
      </c>
      <c r="N8287" t="s">
        <v>47424</v>
      </c>
      <c r="O8287" t="s">
        <v>47425</v>
      </c>
      <c r="P8287">
        <v>0</v>
      </c>
      <c r="Q8287">
        <v>6</v>
      </c>
      <c r="R8287" t="s">
        <v>47432</v>
      </c>
      <c r="S8287" t="s">
        <v>47597</v>
      </c>
      <c r="T8287" t="s">
        <v>49107</v>
      </c>
      <c r="U8287" t="s">
        <v>56566</v>
      </c>
      <c r="V8287" t="s">
        <v>62778</v>
      </c>
      <c r="W8287" t="s">
        <v>43677</v>
      </c>
      <c r="X8287" t="s">
        <v>47433</v>
      </c>
    </row>
    <row r="8288" spans="1:24">
      <c r="A8288">
        <f>HYPERLINK("https://www.philgeps.gov.ph/GEPSNONPILOT/Tender/SplashBidNoticeAbstractUI.aspx?menuIndex=3&amp;refID=7153393&amp;Result=3","7153393")</f>
        <v>0</v>
      </c>
      <c r="B8288" t="s">
        <v>1987</v>
      </c>
      <c r="C8288" t="s">
        <v>11695</v>
      </c>
      <c r="D8288" t="s">
        <v>19027</v>
      </c>
      <c r="E8288" t="s">
        <v>26299</v>
      </c>
      <c r="F8288" t="s">
        <v>32831</v>
      </c>
      <c r="G8288" t="s">
        <v>32838</v>
      </c>
      <c r="H8288" t="s">
        <v>32848</v>
      </c>
      <c r="I8288" t="s">
        <v>7416</v>
      </c>
      <c r="J8288" t="s">
        <v>38152</v>
      </c>
      <c r="K8288" t="s">
        <v>42727</v>
      </c>
      <c r="M8288" t="s">
        <v>45150</v>
      </c>
      <c r="N8288" t="s">
        <v>47424</v>
      </c>
      <c r="O8288" t="s">
        <v>47425</v>
      </c>
      <c r="P8288">
        <v>0</v>
      </c>
      <c r="Q8288">
        <v>4</v>
      </c>
      <c r="R8288" t="s">
        <v>47432</v>
      </c>
      <c r="S8288" t="s">
        <v>47597</v>
      </c>
      <c r="T8288" t="s">
        <v>49506</v>
      </c>
      <c r="U8288" t="s">
        <v>56567</v>
      </c>
      <c r="W8288" t="s">
        <v>45150</v>
      </c>
      <c r="X8288" t="s">
        <v>47433</v>
      </c>
    </row>
    <row r="8289" spans="1:24">
      <c r="A8289">
        <f>HYPERLINK("https://www.philgeps.gov.ph/GEPSNONPILOT/Tender/SplashBidNoticeAbstractUI.aspx?menuIndex=3&amp;refID=7153404&amp;Result=3","7153404")</f>
        <v>0</v>
      </c>
      <c r="B8289" t="s">
        <v>99</v>
      </c>
      <c r="C8289" t="s">
        <v>11696</v>
      </c>
      <c r="D8289" t="s">
        <v>19054</v>
      </c>
      <c r="E8289" t="s">
        <v>26300</v>
      </c>
      <c r="F8289" t="s">
        <v>32831</v>
      </c>
      <c r="G8289" t="s">
        <v>32839</v>
      </c>
      <c r="H8289" t="s">
        <v>32848</v>
      </c>
      <c r="I8289" t="s">
        <v>4487</v>
      </c>
      <c r="J8289" t="s">
        <v>38153</v>
      </c>
      <c r="K8289" t="s">
        <v>42730</v>
      </c>
      <c r="M8289" t="s">
        <v>43096</v>
      </c>
      <c r="N8289" t="s">
        <v>47424</v>
      </c>
      <c r="O8289" t="s">
        <v>47425</v>
      </c>
      <c r="P8289">
        <v>0</v>
      </c>
      <c r="Q8289">
        <v>0</v>
      </c>
      <c r="R8289" t="s">
        <v>47432</v>
      </c>
      <c r="S8289" t="s">
        <v>47597</v>
      </c>
      <c r="T8289" t="s">
        <v>49108</v>
      </c>
      <c r="U8289" t="s">
        <v>49821</v>
      </c>
      <c r="V8289" t="s">
        <v>62643</v>
      </c>
      <c r="W8289" t="s">
        <v>43096</v>
      </c>
      <c r="X8289" t="s">
        <v>47433</v>
      </c>
    </row>
    <row r="8290" spans="1:24">
      <c r="A8290">
        <f>HYPERLINK("https://www.philgeps.gov.ph/GEPSNONPILOT/Tender/SplashBidNoticeAbstractUI.aspx?menuIndex=3&amp;refID=7153391&amp;Result=3","7153391")</f>
        <v>0</v>
      </c>
      <c r="B8290" t="s">
        <v>2779</v>
      </c>
      <c r="C8290" t="s">
        <v>11697</v>
      </c>
      <c r="E8290" t="s">
        <v>26301</v>
      </c>
      <c r="F8290" t="s">
        <v>32833</v>
      </c>
      <c r="G8290" t="s">
        <v>32840</v>
      </c>
      <c r="H8290" t="s">
        <v>32848</v>
      </c>
      <c r="I8290" t="s">
        <v>32903</v>
      </c>
      <c r="J8290" t="s">
        <v>32976</v>
      </c>
      <c r="K8290" t="s">
        <v>42731</v>
      </c>
      <c r="N8290" t="s">
        <v>47424</v>
      </c>
      <c r="O8290" t="s">
        <v>47425</v>
      </c>
      <c r="P8290">
        <v>0</v>
      </c>
      <c r="Q8290">
        <v>2</v>
      </c>
      <c r="R8290" t="s">
        <v>47432</v>
      </c>
      <c r="S8290" t="s">
        <v>47597</v>
      </c>
      <c r="T8290" t="s">
        <v>49079</v>
      </c>
      <c r="U8290" t="s">
        <v>56568</v>
      </c>
      <c r="W8290" t="s">
        <v>64523</v>
      </c>
      <c r="X8290" t="s">
        <v>47433</v>
      </c>
    </row>
    <row r="8291" spans="1:24">
      <c r="A8291">
        <f>HYPERLINK("https://www.philgeps.gov.ph/GEPSNONPILOT/Tender/SplashBidNoticeAbstractUI.aspx?menuIndex=3&amp;refID=7153388&amp;Result=3","7153388")</f>
        <v>0</v>
      </c>
      <c r="B8291" t="s">
        <v>1839</v>
      </c>
      <c r="C8291" t="s">
        <v>11698</v>
      </c>
      <c r="D8291" t="s">
        <v>19033</v>
      </c>
      <c r="E8291" t="s">
        <v>26302</v>
      </c>
      <c r="F8291" t="s">
        <v>32831</v>
      </c>
      <c r="G8291" t="s">
        <v>32838</v>
      </c>
      <c r="H8291" t="s">
        <v>32848</v>
      </c>
      <c r="I8291" t="s">
        <v>32867</v>
      </c>
      <c r="J8291" t="s">
        <v>38154</v>
      </c>
      <c r="K8291" t="s">
        <v>42730</v>
      </c>
      <c r="M8291" t="s">
        <v>44973</v>
      </c>
      <c r="N8291" t="s">
        <v>47424</v>
      </c>
      <c r="O8291" t="s">
        <v>47425</v>
      </c>
      <c r="P8291">
        <v>0</v>
      </c>
      <c r="Q8291">
        <v>6</v>
      </c>
      <c r="R8291" t="s">
        <v>47432</v>
      </c>
      <c r="S8291" t="s">
        <v>47597</v>
      </c>
      <c r="T8291" t="s">
        <v>49235</v>
      </c>
      <c r="U8291" t="s">
        <v>56569</v>
      </c>
      <c r="W8291" t="s">
        <v>44973</v>
      </c>
      <c r="X8291" t="s">
        <v>47433</v>
      </c>
    </row>
    <row r="8292" spans="1:24">
      <c r="A8292">
        <f>HYPERLINK("https://www.philgeps.gov.ph/GEPSNONPILOT/Tender/SplashBidNoticeAbstractUI.aspx?menuIndex=3&amp;refID=7153390&amp;Result=3","7153390")</f>
        <v>0</v>
      </c>
      <c r="B8292" t="s">
        <v>2780</v>
      </c>
      <c r="C8292" t="s">
        <v>11699</v>
      </c>
      <c r="D8292" t="s">
        <v>19089</v>
      </c>
      <c r="E8292" t="s">
        <v>26303</v>
      </c>
      <c r="F8292" t="s">
        <v>32831</v>
      </c>
      <c r="G8292" t="s">
        <v>32839</v>
      </c>
      <c r="H8292" t="s">
        <v>32848</v>
      </c>
      <c r="I8292" t="s">
        <v>32864</v>
      </c>
      <c r="J8292" t="s">
        <v>33140</v>
      </c>
      <c r="K8292" t="s">
        <v>42731</v>
      </c>
      <c r="M8292" t="s">
        <v>46010</v>
      </c>
      <c r="N8292" t="s">
        <v>47424</v>
      </c>
      <c r="O8292" t="s">
        <v>47425</v>
      </c>
      <c r="P8292">
        <v>0</v>
      </c>
      <c r="Q8292">
        <v>4</v>
      </c>
      <c r="R8292" t="s">
        <v>47432</v>
      </c>
      <c r="S8292" t="s">
        <v>47597</v>
      </c>
      <c r="T8292" t="s">
        <v>49070</v>
      </c>
      <c r="U8292" t="s">
        <v>56570</v>
      </c>
      <c r="W8292" t="s">
        <v>46010</v>
      </c>
      <c r="X8292" t="s">
        <v>47433</v>
      </c>
    </row>
    <row r="8293" spans="1:24">
      <c r="A8293">
        <f>HYPERLINK("https://www.philgeps.gov.ph/GEPSNONPILOT/Tender/SplashBidNoticeAbstractUI.aspx?menuIndex=3&amp;refID=7153387&amp;Result=3","7153387")</f>
        <v>0</v>
      </c>
      <c r="B8293" t="s">
        <v>2781</v>
      </c>
      <c r="C8293" t="s">
        <v>11700</v>
      </c>
      <c r="D8293" t="s">
        <v>19030</v>
      </c>
      <c r="E8293" t="s">
        <v>26304</v>
      </c>
      <c r="F8293" t="s">
        <v>32831</v>
      </c>
      <c r="G8293" t="s">
        <v>32838</v>
      </c>
      <c r="H8293" t="s">
        <v>32848</v>
      </c>
      <c r="I8293" t="s">
        <v>4438</v>
      </c>
      <c r="J8293" t="s">
        <v>32980</v>
      </c>
      <c r="K8293" t="s">
        <v>42748</v>
      </c>
      <c r="M8293" t="s">
        <v>46011</v>
      </c>
      <c r="N8293" t="s">
        <v>47424</v>
      </c>
      <c r="O8293" t="s">
        <v>47425</v>
      </c>
      <c r="P8293">
        <v>0</v>
      </c>
      <c r="Q8293">
        <v>4</v>
      </c>
      <c r="R8293" t="s">
        <v>47432</v>
      </c>
      <c r="S8293" t="s">
        <v>47597</v>
      </c>
      <c r="T8293" t="s">
        <v>49212</v>
      </c>
      <c r="U8293" t="s">
        <v>56571</v>
      </c>
      <c r="W8293" t="s">
        <v>46011</v>
      </c>
      <c r="X8293" t="s">
        <v>47433</v>
      </c>
    </row>
    <row r="8294" spans="1:24">
      <c r="A8294">
        <f>HYPERLINK("https://www.philgeps.gov.ph/GEPSNONPILOT/Tender/SplashBidNoticeAbstractUI.aspx?menuIndex=3&amp;refID=7153384&amp;Result=3","7153384")</f>
        <v>0</v>
      </c>
      <c r="B8294" t="s">
        <v>2782</v>
      </c>
      <c r="C8294" t="s">
        <v>11701</v>
      </c>
      <c r="D8294" t="s">
        <v>19077</v>
      </c>
      <c r="E8294" t="s">
        <v>26305</v>
      </c>
      <c r="F8294" t="s">
        <v>32831</v>
      </c>
      <c r="G8294" t="s">
        <v>32839</v>
      </c>
      <c r="H8294" t="s">
        <v>32848</v>
      </c>
      <c r="I8294" t="s">
        <v>7751</v>
      </c>
      <c r="J8294" t="s">
        <v>38155</v>
      </c>
      <c r="K8294" t="s">
        <v>42759</v>
      </c>
      <c r="M8294" t="s">
        <v>46012</v>
      </c>
      <c r="N8294" t="s">
        <v>47424</v>
      </c>
      <c r="O8294" t="s">
        <v>47425</v>
      </c>
      <c r="P8294">
        <v>0</v>
      </c>
      <c r="Q8294">
        <v>1</v>
      </c>
      <c r="R8294" t="s">
        <v>47432</v>
      </c>
      <c r="S8294" t="s">
        <v>47597</v>
      </c>
      <c r="T8294" t="s">
        <v>49214</v>
      </c>
      <c r="U8294" t="s">
        <v>56572</v>
      </c>
      <c r="W8294" t="s">
        <v>46012</v>
      </c>
      <c r="X8294" t="s">
        <v>47433</v>
      </c>
    </row>
    <row r="8295" spans="1:24">
      <c r="A8295">
        <f>HYPERLINK("https://www.philgeps.gov.ph/GEPSNONPILOT/Tender/SplashBidNoticeAbstractUI.aspx?menuIndex=3&amp;refID=7153468&amp;Result=3","7153468")</f>
        <v>0</v>
      </c>
      <c r="B8295" t="s">
        <v>721</v>
      </c>
      <c r="C8295" t="s">
        <v>11702</v>
      </c>
      <c r="D8295" t="s">
        <v>19018</v>
      </c>
      <c r="E8295" t="s">
        <v>26306</v>
      </c>
      <c r="F8295" t="s">
        <v>32831</v>
      </c>
      <c r="G8295" t="s">
        <v>32838</v>
      </c>
      <c r="H8295" t="s">
        <v>32848</v>
      </c>
      <c r="I8295" t="s">
        <v>9577</v>
      </c>
      <c r="J8295" t="s">
        <v>38156</v>
      </c>
      <c r="K8295" t="s">
        <v>42732</v>
      </c>
      <c r="M8295" t="s">
        <v>43742</v>
      </c>
      <c r="N8295" t="s">
        <v>47424</v>
      </c>
      <c r="O8295" t="s">
        <v>47425</v>
      </c>
      <c r="P8295">
        <v>0</v>
      </c>
      <c r="Q8295">
        <v>2</v>
      </c>
      <c r="R8295" t="s">
        <v>47432</v>
      </c>
      <c r="S8295" t="s">
        <v>47597</v>
      </c>
      <c r="T8295" t="s">
        <v>49328</v>
      </c>
      <c r="U8295" t="s">
        <v>56573</v>
      </c>
      <c r="W8295" t="s">
        <v>43742</v>
      </c>
      <c r="X8295" t="s">
        <v>47433</v>
      </c>
    </row>
    <row r="8296" spans="1:24">
      <c r="A8296">
        <f>HYPERLINK("https://www.philgeps.gov.ph/GEPSNONPILOT/Tender/SplashBidNoticeAbstractUI.aspx?menuIndex=3&amp;refID=7153409&amp;Result=3","7153409")</f>
        <v>0</v>
      </c>
      <c r="B8296" t="s">
        <v>2780</v>
      </c>
      <c r="C8296" t="s">
        <v>11703</v>
      </c>
      <c r="D8296" t="s">
        <v>19089</v>
      </c>
      <c r="E8296" t="s">
        <v>26307</v>
      </c>
      <c r="F8296" t="s">
        <v>32831</v>
      </c>
      <c r="G8296" t="s">
        <v>32839</v>
      </c>
      <c r="H8296" t="s">
        <v>32848</v>
      </c>
      <c r="I8296" t="s">
        <v>7416</v>
      </c>
      <c r="J8296" t="s">
        <v>38157</v>
      </c>
      <c r="K8296" t="s">
        <v>42731</v>
      </c>
      <c r="M8296" t="s">
        <v>46010</v>
      </c>
      <c r="N8296" t="s">
        <v>47424</v>
      </c>
      <c r="O8296" t="s">
        <v>47425</v>
      </c>
      <c r="P8296">
        <v>0</v>
      </c>
      <c r="Q8296">
        <v>1</v>
      </c>
      <c r="R8296" t="s">
        <v>47432</v>
      </c>
      <c r="S8296" t="s">
        <v>47597</v>
      </c>
      <c r="T8296" t="s">
        <v>49070</v>
      </c>
      <c r="U8296" t="s">
        <v>56574</v>
      </c>
      <c r="W8296" t="s">
        <v>46010</v>
      </c>
      <c r="X8296" t="s">
        <v>47433</v>
      </c>
    </row>
    <row r="8297" spans="1:24">
      <c r="A8297">
        <f>HYPERLINK("https://www.philgeps.gov.ph/GEPSNONPILOT/Tender/SplashBidNoticeAbstractUI.aspx?menuIndex=3&amp;refID=7153406&amp;Result=3","7153406")</f>
        <v>0</v>
      </c>
      <c r="B8297" t="s">
        <v>1193</v>
      </c>
      <c r="C8297" t="s">
        <v>11704</v>
      </c>
      <c r="D8297" t="s">
        <v>19046</v>
      </c>
      <c r="E8297" t="s">
        <v>26308</v>
      </c>
      <c r="F8297" t="s">
        <v>32833</v>
      </c>
      <c r="G8297" t="s">
        <v>32838</v>
      </c>
      <c r="H8297" t="s">
        <v>32848</v>
      </c>
      <c r="I8297" t="s">
        <v>9577</v>
      </c>
      <c r="J8297" t="s">
        <v>33133</v>
      </c>
      <c r="K8297" t="s">
        <v>42726</v>
      </c>
      <c r="M8297" t="s">
        <v>44259</v>
      </c>
      <c r="N8297" t="s">
        <v>47424</v>
      </c>
      <c r="O8297" t="s">
        <v>47425</v>
      </c>
      <c r="P8297">
        <v>0</v>
      </c>
      <c r="Q8297">
        <v>2</v>
      </c>
      <c r="R8297" t="s">
        <v>47432</v>
      </c>
      <c r="S8297" t="s">
        <v>47597</v>
      </c>
      <c r="T8297" t="s">
        <v>49177</v>
      </c>
      <c r="U8297" t="s">
        <v>56575</v>
      </c>
      <c r="V8297" t="s">
        <v>62924</v>
      </c>
      <c r="W8297" t="s">
        <v>44259</v>
      </c>
      <c r="X8297" t="s">
        <v>47433</v>
      </c>
    </row>
    <row r="8298" spans="1:24">
      <c r="A8298">
        <f>HYPERLINK("https://www.philgeps.gov.ph/GEPSNONPILOT/Tender/SplashBidNoticeAbstractUI.aspx?menuIndex=3&amp;refID=7153467&amp;Result=3","7153467")</f>
        <v>0</v>
      </c>
      <c r="B8298" t="s">
        <v>99</v>
      </c>
      <c r="C8298" t="s">
        <v>11705</v>
      </c>
      <c r="D8298" t="s">
        <v>19054</v>
      </c>
      <c r="E8298" t="s">
        <v>26309</v>
      </c>
      <c r="F8298" t="s">
        <v>32831</v>
      </c>
      <c r="G8298" t="s">
        <v>32839</v>
      </c>
      <c r="H8298" t="s">
        <v>32848</v>
      </c>
      <c r="I8298" t="s">
        <v>4340</v>
      </c>
      <c r="J8298" t="s">
        <v>38158</v>
      </c>
      <c r="K8298" t="s">
        <v>42730</v>
      </c>
      <c r="M8298" t="s">
        <v>43096</v>
      </c>
      <c r="N8298" t="s">
        <v>47424</v>
      </c>
      <c r="O8298" t="s">
        <v>47425</v>
      </c>
      <c r="P8298">
        <v>0</v>
      </c>
      <c r="Q8298">
        <v>0</v>
      </c>
      <c r="R8298" t="s">
        <v>47432</v>
      </c>
      <c r="S8298" t="s">
        <v>47597</v>
      </c>
      <c r="T8298" t="s">
        <v>49108</v>
      </c>
      <c r="U8298" t="s">
        <v>49821</v>
      </c>
      <c r="V8298" t="s">
        <v>62643</v>
      </c>
      <c r="W8298" t="s">
        <v>43096</v>
      </c>
      <c r="X8298" t="s">
        <v>47433</v>
      </c>
    </row>
    <row r="8299" spans="1:24">
      <c r="A8299">
        <f>HYPERLINK("https://www.philgeps.gov.ph/GEPSNONPILOT/Tender/SplashBidNoticeAbstractUI.aspx?menuIndex=3&amp;refID=7153459&amp;Result=3","7153459")</f>
        <v>0</v>
      </c>
      <c r="B8299" t="s">
        <v>323</v>
      </c>
      <c r="C8299" t="s">
        <v>5029</v>
      </c>
      <c r="D8299" t="s">
        <v>19081</v>
      </c>
      <c r="E8299" t="s">
        <v>26310</v>
      </c>
      <c r="F8299" t="s">
        <v>32831</v>
      </c>
      <c r="G8299" t="s">
        <v>32838</v>
      </c>
      <c r="H8299" t="s">
        <v>32848</v>
      </c>
      <c r="I8299" t="s">
        <v>9577</v>
      </c>
      <c r="J8299" t="s">
        <v>38159</v>
      </c>
      <c r="K8299" t="s">
        <v>42726</v>
      </c>
      <c r="M8299" t="s">
        <v>43326</v>
      </c>
      <c r="N8299" t="s">
        <v>47424</v>
      </c>
      <c r="O8299" t="s">
        <v>47425</v>
      </c>
      <c r="P8299">
        <v>0</v>
      </c>
      <c r="Q8299">
        <v>0</v>
      </c>
      <c r="R8299" t="s">
        <v>47432</v>
      </c>
      <c r="S8299" t="s">
        <v>47597</v>
      </c>
      <c r="T8299" t="s">
        <v>49111</v>
      </c>
      <c r="U8299" t="s">
        <v>56576</v>
      </c>
      <c r="W8299" t="s">
        <v>43326</v>
      </c>
      <c r="X8299" t="s">
        <v>47433</v>
      </c>
    </row>
    <row r="8300" spans="1:24">
      <c r="A8300">
        <f>HYPERLINK("https://www.philgeps.gov.ph/GEPSNONPILOT/Tender/SplashBidNoticeAbstractUI.aspx?menuIndex=3&amp;refID=7153457&amp;Result=3","7153457")</f>
        <v>0</v>
      </c>
      <c r="B8300" t="s">
        <v>99</v>
      </c>
      <c r="C8300" t="s">
        <v>11706</v>
      </c>
      <c r="D8300" t="s">
        <v>19054</v>
      </c>
      <c r="E8300" t="s">
        <v>26311</v>
      </c>
      <c r="F8300" t="s">
        <v>32831</v>
      </c>
      <c r="G8300" t="s">
        <v>32839</v>
      </c>
      <c r="H8300" t="s">
        <v>32848</v>
      </c>
      <c r="I8300" t="s">
        <v>4340</v>
      </c>
      <c r="J8300" t="s">
        <v>38160</v>
      </c>
      <c r="K8300" t="s">
        <v>42730</v>
      </c>
      <c r="M8300" t="s">
        <v>43096</v>
      </c>
      <c r="N8300" t="s">
        <v>47424</v>
      </c>
      <c r="O8300" t="s">
        <v>47425</v>
      </c>
      <c r="P8300">
        <v>0</v>
      </c>
      <c r="Q8300">
        <v>0</v>
      </c>
      <c r="R8300" t="s">
        <v>47432</v>
      </c>
      <c r="S8300" t="s">
        <v>47597</v>
      </c>
      <c r="T8300" t="s">
        <v>49108</v>
      </c>
      <c r="U8300" t="s">
        <v>49821</v>
      </c>
      <c r="V8300" t="s">
        <v>62643</v>
      </c>
      <c r="W8300" t="s">
        <v>43096</v>
      </c>
      <c r="X8300" t="s">
        <v>47433</v>
      </c>
    </row>
    <row r="8301" spans="1:24">
      <c r="A8301">
        <f>HYPERLINK("https://www.philgeps.gov.ph/GEPSNONPILOT/Tender/SplashBidNoticeAbstractUI.aspx?menuIndex=3&amp;refID=7153454&amp;Result=3","7153454")</f>
        <v>0</v>
      </c>
      <c r="B8301" t="s">
        <v>1797</v>
      </c>
      <c r="C8301" t="s">
        <v>11707</v>
      </c>
      <c r="D8301" t="s">
        <v>19078</v>
      </c>
      <c r="E8301" t="s">
        <v>26312</v>
      </c>
      <c r="F8301" t="s">
        <v>32831</v>
      </c>
      <c r="G8301" t="s">
        <v>32839</v>
      </c>
      <c r="H8301" t="s">
        <v>32849</v>
      </c>
      <c r="I8301" t="s">
        <v>32866</v>
      </c>
      <c r="J8301" t="s">
        <v>38161</v>
      </c>
      <c r="K8301" t="s">
        <v>42747</v>
      </c>
      <c r="M8301" t="s">
        <v>44927</v>
      </c>
      <c r="N8301" t="s">
        <v>47424</v>
      </c>
      <c r="O8301" t="s">
        <v>47425</v>
      </c>
      <c r="P8301">
        <v>0</v>
      </c>
      <c r="Q8301">
        <v>0</v>
      </c>
      <c r="R8301" t="s">
        <v>47432</v>
      </c>
      <c r="S8301" t="s">
        <v>47597</v>
      </c>
      <c r="T8301" t="s">
        <v>49160</v>
      </c>
      <c r="U8301" t="s">
        <v>56577</v>
      </c>
      <c r="W8301" t="s">
        <v>44927</v>
      </c>
      <c r="X8301" t="s">
        <v>47433</v>
      </c>
    </row>
    <row r="8302" spans="1:24">
      <c r="A8302">
        <f>HYPERLINK("https://www.philgeps.gov.ph/GEPSNONPILOT/Tender/SplashBidNoticeAbstractUI.aspx?menuIndex=3&amp;refID=7153469&amp;Result=3","7153469")</f>
        <v>0</v>
      </c>
      <c r="B8302" t="s">
        <v>2692</v>
      </c>
      <c r="C8302" t="s">
        <v>11708</v>
      </c>
      <c r="D8302" t="s">
        <v>19048</v>
      </c>
      <c r="E8302" t="s">
        <v>26313</v>
      </c>
      <c r="F8302" t="s">
        <v>32834</v>
      </c>
      <c r="G8302" t="s">
        <v>32840</v>
      </c>
      <c r="H8302" t="s">
        <v>32848</v>
      </c>
      <c r="I8302" t="s">
        <v>32927</v>
      </c>
      <c r="J8302" t="s">
        <v>33479</v>
      </c>
      <c r="K8302" t="s">
        <v>42758</v>
      </c>
      <c r="M8302" t="s">
        <v>45915</v>
      </c>
      <c r="N8302" t="s">
        <v>47424</v>
      </c>
      <c r="O8302" t="s">
        <v>47425</v>
      </c>
      <c r="P8302">
        <v>0</v>
      </c>
      <c r="Q8302">
        <v>0</v>
      </c>
      <c r="R8302" t="s">
        <v>47432</v>
      </c>
      <c r="S8302" t="s">
        <v>47597</v>
      </c>
      <c r="T8302" t="s">
        <v>49111</v>
      </c>
      <c r="U8302" t="s">
        <v>56578</v>
      </c>
      <c r="W8302" t="s">
        <v>45915</v>
      </c>
      <c r="X8302" t="s">
        <v>47433</v>
      </c>
    </row>
    <row r="8303" spans="1:24">
      <c r="A8303">
        <f>HYPERLINK("https://www.philgeps.gov.ph/GEPSNONPILOT/Tender/SplashBidNoticeAbstractUI.aspx?menuIndex=3&amp;refID=7153448&amp;Result=3","7153448")</f>
        <v>0</v>
      </c>
      <c r="B8303" t="s">
        <v>2783</v>
      </c>
      <c r="C8303" t="s">
        <v>11709</v>
      </c>
      <c r="D8303" t="s">
        <v>19042</v>
      </c>
      <c r="E8303" t="s">
        <v>19311</v>
      </c>
      <c r="F8303" t="s">
        <v>32831</v>
      </c>
      <c r="G8303" t="s">
        <v>32839</v>
      </c>
      <c r="H8303" t="s">
        <v>32848</v>
      </c>
      <c r="I8303" t="s">
        <v>4471</v>
      </c>
      <c r="J8303" t="s">
        <v>38162</v>
      </c>
      <c r="K8303" t="s">
        <v>42731</v>
      </c>
      <c r="L8303" t="s">
        <v>2783</v>
      </c>
      <c r="M8303" t="s">
        <v>46013</v>
      </c>
      <c r="N8303" t="s">
        <v>47424</v>
      </c>
      <c r="O8303" t="s">
        <v>47425</v>
      </c>
      <c r="P8303">
        <v>0</v>
      </c>
      <c r="Q8303">
        <v>1</v>
      </c>
      <c r="R8303" t="s">
        <v>47432</v>
      </c>
      <c r="S8303" t="s">
        <v>47597</v>
      </c>
      <c r="T8303" t="s">
        <v>49129</v>
      </c>
      <c r="U8303" t="s">
        <v>56579</v>
      </c>
      <c r="V8303" t="s">
        <v>63555</v>
      </c>
      <c r="W8303" t="s">
        <v>46013</v>
      </c>
      <c r="X8303" t="s">
        <v>47433</v>
      </c>
    </row>
    <row r="8304" spans="1:24">
      <c r="A8304">
        <f>HYPERLINK("https://www.philgeps.gov.ph/GEPSNONPILOT/Tender/SplashBidNoticeAbstractUI.aspx?menuIndex=3&amp;refID=7153444&amp;Result=3","7153444")</f>
        <v>0</v>
      </c>
      <c r="B8304" t="s">
        <v>2475</v>
      </c>
      <c r="C8304" t="s">
        <v>11710</v>
      </c>
      <c r="D8304" t="s">
        <v>19039</v>
      </c>
      <c r="E8304" t="s">
        <v>26314</v>
      </c>
      <c r="F8304" t="s">
        <v>32831</v>
      </c>
      <c r="G8304" t="s">
        <v>32839</v>
      </c>
      <c r="H8304" t="s">
        <v>32849</v>
      </c>
      <c r="I8304" t="s">
        <v>4177</v>
      </c>
      <c r="J8304" t="s">
        <v>33044</v>
      </c>
      <c r="K8304" t="s">
        <v>42747</v>
      </c>
      <c r="M8304" t="s">
        <v>45675</v>
      </c>
      <c r="N8304" t="s">
        <v>47424</v>
      </c>
      <c r="O8304" t="s">
        <v>47425</v>
      </c>
      <c r="P8304">
        <v>0</v>
      </c>
      <c r="Q8304">
        <v>0</v>
      </c>
      <c r="R8304" t="s">
        <v>47432</v>
      </c>
      <c r="S8304" t="s">
        <v>47597</v>
      </c>
      <c r="T8304" t="s">
        <v>49219</v>
      </c>
      <c r="U8304" t="s">
        <v>56580</v>
      </c>
      <c r="V8304" t="s">
        <v>63405</v>
      </c>
      <c r="W8304" t="s">
        <v>45675</v>
      </c>
      <c r="X8304" t="s">
        <v>47433</v>
      </c>
    </row>
    <row r="8305" spans="1:24">
      <c r="A8305">
        <f>HYPERLINK("https://www.philgeps.gov.ph/GEPSNONPILOT/Tender/SplashBidNoticeAbstractUI.aspx?menuIndex=3&amp;refID=7153361&amp;Result=3","7153361")</f>
        <v>0</v>
      </c>
      <c r="B8305" t="s">
        <v>2784</v>
      </c>
      <c r="C8305" t="s">
        <v>11711</v>
      </c>
      <c r="D8305" t="s">
        <v>19079</v>
      </c>
      <c r="E8305" t="s">
        <v>26315</v>
      </c>
      <c r="F8305" t="s">
        <v>32831</v>
      </c>
      <c r="G8305" t="s">
        <v>32839</v>
      </c>
      <c r="H8305" t="s">
        <v>32848</v>
      </c>
      <c r="I8305" t="s">
        <v>7751</v>
      </c>
      <c r="J8305" t="s">
        <v>34530</v>
      </c>
      <c r="K8305" t="s">
        <v>42730</v>
      </c>
      <c r="M8305" t="s">
        <v>46014</v>
      </c>
      <c r="N8305" t="s">
        <v>47424</v>
      </c>
      <c r="O8305" t="s">
        <v>47425</v>
      </c>
      <c r="P8305">
        <v>0</v>
      </c>
      <c r="Q8305">
        <v>5</v>
      </c>
      <c r="R8305" t="s">
        <v>47432</v>
      </c>
      <c r="S8305" t="s">
        <v>47597</v>
      </c>
      <c r="T8305" t="s">
        <v>49231</v>
      </c>
      <c r="U8305" t="s">
        <v>56581</v>
      </c>
      <c r="W8305" t="s">
        <v>46014</v>
      </c>
      <c r="X8305" t="s">
        <v>47433</v>
      </c>
    </row>
    <row r="8306" spans="1:24">
      <c r="A8306">
        <f>HYPERLINK("https://www.philgeps.gov.ph/GEPSNONPILOT/Tender/SplashBidNoticeAbstractUI.aspx?menuIndex=3&amp;refID=7153464&amp;Result=3","7153464")</f>
        <v>0</v>
      </c>
      <c r="B8306" t="s">
        <v>525</v>
      </c>
      <c r="C8306" t="s">
        <v>11712</v>
      </c>
      <c r="D8306" t="s">
        <v>19029</v>
      </c>
      <c r="E8306" t="s">
        <v>26316</v>
      </c>
      <c r="F8306" t="s">
        <v>32831</v>
      </c>
      <c r="G8306" t="s">
        <v>32839</v>
      </c>
      <c r="H8306" t="s">
        <v>32848</v>
      </c>
      <c r="I8306" t="s">
        <v>4558</v>
      </c>
      <c r="J8306" t="s">
        <v>38163</v>
      </c>
      <c r="K8306" t="s">
        <v>42727</v>
      </c>
      <c r="M8306" t="s">
        <v>43531</v>
      </c>
      <c r="N8306" t="s">
        <v>47424</v>
      </c>
      <c r="O8306" t="s">
        <v>47425</v>
      </c>
      <c r="P8306">
        <v>0</v>
      </c>
      <c r="Q8306">
        <v>2</v>
      </c>
      <c r="R8306" t="s">
        <v>47432</v>
      </c>
      <c r="S8306" t="s">
        <v>47597</v>
      </c>
      <c r="T8306" t="s">
        <v>49221</v>
      </c>
      <c r="U8306" t="s">
        <v>56582</v>
      </c>
      <c r="W8306" t="s">
        <v>43531</v>
      </c>
      <c r="X8306" t="s">
        <v>47433</v>
      </c>
    </row>
    <row r="8307" spans="1:24">
      <c r="A8307">
        <f>HYPERLINK("https://www.philgeps.gov.ph/GEPSNONPILOT/Tender/SplashBidNoticeAbstractUI.aspx?menuIndex=3&amp;refID=7153396&amp;Result=3","7153396")</f>
        <v>0</v>
      </c>
      <c r="B8307" t="s">
        <v>99</v>
      </c>
      <c r="C8307" t="s">
        <v>11713</v>
      </c>
      <c r="D8307" t="s">
        <v>19054</v>
      </c>
      <c r="E8307" t="s">
        <v>26317</v>
      </c>
      <c r="F8307" t="s">
        <v>32831</v>
      </c>
      <c r="G8307" t="s">
        <v>32839</v>
      </c>
      <c r="H8307" t="s">
        <v>32848</v>
      </c>
      <c r="I8307" t="s">
        <v>7416</v>
      </c>
      <c r="J8307" t="s">
        <v>38164</v>
      </c>
      <c r="K8307" t="s">
        <v>42730</v>
      </c>
      <c r="M8307" t="s">
        <v>43096</v>
      </c>
      <c r="N8307" t="s">
        <v>47424</v>
      </c>
      <c r="O8307" t="s">
        <v>47425</v>
      </c>
      <c r="P8307">
        <v>0</v>
      </c>
      <c r="Q8307">
        <v>3</v>
      </c>
      <c r="R8307" t="s">
        <v>47432</v>
      </c>
      <c r="S8307" t="s">
        <v>47597</v>
      </c>
      <c r="T8307" t="s">
        <v>49221</v>
      </c>
      <c r="U8307" t="s">
        <v>56583</v>
      </c>
      <c r="V8307" t="s">
        <v>62643</v>
      </c>
      <c r="W8307" t="s">
        <v>43096</v>
      </c>
      <c r="X8307" t="s">
        <v>47433</v>
      </c>
    </row>
    <row r="8308" spans="1:24">
      <c r="A8308">
        <f>HYPERLINK("https://www.philgeps.gov.ph/GEPSNONPILOT/Tender/SplashBidNoticeAbstractUI.aspx?menuIndex=3&amp;refID=7153436&amp;Result=3","7153436")</f>
        <v>0</v>
      </c>
      <c r="B8308" t="s">
        <v>99</v>
      </c>
      <c r="C8308" t="s">
        <v>11714</v>
      </c>
      <c r="D8308" t="s">
        <v>19054</v>
      </c>
      <c r="E8308" t="s">
        <v>26318</v>
      </c>
      <c r="F8308" t="s">
        <v>32831</v>
      </c>
      <c r="G8308" t="s">
        <v>32839</v>
      </c>
      <c r="H8308" t="s">
        <v>32848</v>
      </c>
      <c r="I8308" t="s">
        <v>9577</v>
      </c>
      <c r="J8308" t="s">
        <v>38165</v>
      </c>
      <c r="K8308" t="s">
        <v>42730</v>
      </c>
      <c r="M8308" t="s">
        <v>43096</v>
      </c>
      <c r="N8308" t="s">
        <v>47424</v>
      </c>
      <c r="O8308" t="s">
        <v>47425</v>
      </c>
      <c r="P8308">
        <v>0</v>
      </c>
      <c r="Q8308">
        <v>0</v>
      </c>
      <c r="R8308" t="s">
        <v>47432</v>
      </c>
      <c r="S8308" t="s">
        <v>47597</v>
      </c>
      <c r="T8308" t="s">
        <v>49108</v>
      </c>
      <c r="U8308" t="s">
        <v>49821</v>
      </c>
      <c r="V8308" t="s">
        <v>62643</v>
      </c>
      <c r="W8308" t="s">
        <v>43096</v>
      </c>
      <c r="X8308" t="s">
        <v>47433</v>
      </c>
    </row>
    <row r="8309" spans="1:24">
      <c r="A8309">
        <f>HYPERLINK("https://www.philgeps.gov.ph/GEPSNONPILOT/Tender/SplashBidNoticeAbstractUI.aspx?menuIndex=3&amp;refID=7153427&amp;Result=3","7153427")</f>
        <v>0</v>
      </c>
      <c r="B8309" t="s">
        <v>2777</v>
      </c>
      <c r="C8309" t="s">
        <v>11715</v>
      </c>
      <c r="D8309" t="s">
        <v>19022</v>
      </c>
      <c r="E8309" t="s">
        <v>26319</v>
      </c>
      <c r="F8309" t="s">
        <v>32831</v>
      </c>
      <c r="G8309" t="s">
        <v>32838</v>
      </c>
      <c r="H8309" t="s">
        <v>32848</v>
      </c>
      <c r="I8309" t="s">
        <v>32860</v>
      </c>
      <c r="J8309" t="s">
        <v>37819</v>
      </c>
      <c r="K8309" t="s">
        <v>42727</v>
      </c>
      <c r="M8309" t="s">
        <v>46008</v>
      </c>
      <c r="N8309" t="s">
        <v>47424</v>
      </c>
      <c r="O8309" t="s">
        <v>47425</v>
      </c>
      <c r="P8309">
        <v>0</v>
      </c>
      <c r="Q8309">
        <v>1</v>
      </c>
      <c r="R8309" t="s">
        <v>47432</v>
      </c>
      <c r="S8309" t="s">
        <v>47597</v>
      </c>
      <c r="T8309" t="s">
        <v>49239</v>
      </c>
      <c r="U8309" t="s">
        <v>56584</v>
      </c>
      <c r="W8309" t="s">
        <v>46008</v>
      </c>
      <c r="X8309" t="s">
        <v>47433</v>
      </c>
    </row>
    <row r="8310" spans="1:24">
      <c r="A8310">
        <f>HYPERLINK("https://www.philgeps.gov.ph/GEPSNONPILOT/Tender/SplashBidNoticeAbstractUI.aspx?menuIndex=3&amp;refID=7153290&amp;Result=3","7153290")</f>
        <v>0</v>
      </c>
      <c r="B8310" t="s">
        <v>2769</v>
      </c>
      <c r="C8310" t="s">
        <v>11716</v>
      </c>
      <c r="D8310" t="s">
        <v>19077</v>
      </c>
      <c r="E8310" t="s">
        <v>26320</v>
      </c>
      <c r="F8310" t="s">
        <v>32831</v>
      </c>
      <c r="G8310" t="s">
        <v>32839</v>
      </c>
      <c r="H8310" t="s">
        <v>32848</v>
      </c>
      <c r="I8310" t="s">
        <v>4558</v>
      </c>
      <c r="J8310" t="s">
        <v>33486</v>
      </c>
      <c r="K8310" t="s">
        <v>42730</v>
      </c>
      <c r="M8310" t="s">
        <v>46000</v>
      </c>
      <c r="N8310" t="s">
        <v>47424</v>
      </c>
      <c r="O8310" t="s">
        <v>47425</v>
      </c>
      <c r="P8310">
        <v>0</v>
      </c>
      <c r="Q8310">
        <v>2</v>
      </c>
      <c r="R8310" t="s">
        <v>47432</v>
      </c>
      <c r="S8310" t="s">
        <v>47597</v>
      </c>
      <c r="T8310" t="s">
        <v>49056</v>
      </c>
      <c r="U8310" t="s">
        <v>56532</v>
      </c>
      <c r="W8310" t="s">
        <v>46000</v>
      </c>
      <c r="X8310" t="s">
        <v>47433</v>
      </c>
    </row>
    <row r="8311" spans="1:24">
      <c r="A8311">
        <f>HYPERLINK("https://www.philgeps.gov.ph/GEPSNONPILOT/Tender/SplashBidNoticeAbstractUI.aspx?menuIndex=3&amp;refID=7153439&amp;Result=3","7153439")</f>
        <v>0</v>
      </c>
      <c r="B8311" t="s">
        <v>2785</v>
      </c>
      <c r="C8311" t="s">
        <v>11717</v>
      </c>
      <c r="D8311" t="s">
        <v>19018</v>
      </c>
      <c r="E8311" t="s">
        <v>26321</v>
      </c>
      <c r="F8311" t="s">
        <v>32831</v>
      </c>
      <c r="G8311" t="s">
        <v>32842</v>
      </c>
      <c r="H8311" t="s">
        <v>32848</v>
      </c>
      <c r="I8311" t="s">
        <v>9577</v>
      </c>
      <c r="J8311" t="s">
        <v>38166</v>
      </c>
      <c r="K8311" t="s">
        <v>42745</v>
      </c>
      <c r="M8311" t="s">
        <v>46015</v>
      </c>
      <c r="N8311" t="s">
        <v>47424</v>
      </c>
      <c r="O8311" t="s">
        <v>47425</v>
      </c>
      <c r="P8311">
        <v>0</v>
      </c>
      <c r="Q8311">
        <v>3</v>
      </c>
      <c r="R8311" t="s">
        <v>47432</v>
      </c>
      <c r="S8311" t="s">
        <v>47597</v>
      </c>
      <c r="T8311" t="s">
        <v>49108</v>
      </c>
      <c r="U8311" t="s">
        <v>56585</v>
      </c>
      <c r="V8311" t="s">
        <v>63556</v>
      </c>
      <c r="W8311" t="s">
        <v>46015</v>
      </c>
      <c r="X8311" t="s">
        <v>47433</v>
      </c>
    </row>
    <row r="8312" spans="1:24">
      <c r="A8312">
        <f>HYPERLINK("https://www.philgeps.gov.ph/GEPSNONPILOT/Tender/SplashBidNoticeAbstractUI.aspx?menuIndex=3&amp;refID=7153424&amp;Result=3","7153424")</f>
        <v>0</v>
      </c>
      <c r="B8312" t="s">
        <v>99</v>
      </c>
      <c r="C8312" t="s">
        <v>11718</v>
      </c>
      <c r="D8312" t="s">
        <v>19054</v>
      </c>
      <c r="E8312" t="s">
        <v>26322</v>
      </c>
      <c r="F8312" t="s">
        <v>32831</v>
      </c>
      <c r="G8312" t="s">
        <v>32839</v>
      </c>
      <c r="H8312" t="s">
        <v>32848</v>
      </c>
      <c r="I8312" t="s">
        <v>9577</v>
      </c>
      <c r="J8312" t="s">
        <v>38167</v>
      </c>
      <c r="K8312" t="s">
        <v>42730</v>
      </c>
      <c r="M8312" t="s">
        <v>43096</v>
      </c>
      <c r="N8312" t="s">
        <v>47424</v>
      </c>
      <c r="O8312" t="s">
        <v>47425</v>
      </c>
      <c r="P8312">
        <v>0</v>
      </c>
      <c r="Q8312">
        <v>0</v>
      </c>
      <c r="R8312" t="s">
        <v>47432</v>
      </c>
      <c r="S8312" t="s">
        <v>47597</v>
      </c>
      <c r="T8312" t="s">
        <v>49108</v>
      </c>
      <c r="U8312" t="s">
        <v>49821</v>
      </c>
      <c r="V8312" t="s">
        <v>62643</v>
      </c>
      <c r="W8312" t="s">
        <v>43096</v>
      </c>
      <c r="X8312" t="s">
        <v>47433</v>
      </c>
    </row>
    <row r="8313" spans="1:24">
      <c r="A8313">
        <f>HYPERLINK("https://www.philgeps.gov.ph/GEPSNONPILOT/Tender/SplashBidNoticeAbstractUI.aspx?menuIndex=3&amp;refID=7153447&amp;Result=3","7153447")</f>
        <v>0</v>
      </c>
      <c r="B8313" t="s">
        <v>2743</v>
      </c>
      <c r="C8313" t="s">
        <v>11719</v>
      </c>
      <c r="D8313" t="s">
        <v>19080</v>
      </c>
      <c r="E8313" t="s">
        <v>26323</v>
      </c>
      <c r="F8313" t="s">
        <v>32831</v>
      </c>
      <c r="G8313" t="s">
        <v>32839</v>
      </c>
      <c r="H8313" t="s">
        <v>32848</v>
      </c>
      <c r="I8313" t="s">
        <v>4558</v>
      </c>
      <c r="J8313" t="s">
        <v>38168</v>
      </c>
      <c r="K8313" t="s">
        <v>42730</v>
      </c>
      <c r="M8313" t="s">
        <v>45971</v>
      </c>
      <c r="N8313" t="s">
        <v>47424</v>
      </c>
      <c r="O8313" t="s">
        <v>47425</v>
      </c>
      <c r="P8313">
        <v>0</v>
      </c>
      <c r="Q8313">
        <v>2</v>
      </c>
      <c r="R8313" t="s">
        <v>47432</v>
      </c>
      <c r="S8313" t="s">
        <v>47597</v>
      </c>
      <c r="T8313" t="s">
        <v>49079</v>
      </c>
      <c r="U8313" t="s">
        <v>56586</v>
      </c>
      <c r="W8313" t="s">
        <v>45971</v>
      </c>
      <c r="X8313" t="s">
        <v>47433</v>
      </c>
    </row>
    <row r="8314" spans="1:24">
      <c r="A8314">
        <f>HYPERLINK("https://www.philgeps.gov.ph/GEPSNONPILOT/Tender/SplashBidNoticeAbstractUI.aspx?menuIndex=3&amp;refID=7153380&amp;Result=3","7153380")</f>
        <v>0</v>
      </c>
      <c r="B8314" t="s">
        <v>2196</v>
      </c>
      <c r="C8314" t="s">
        <v>11720</v>
      </c>
      <c r="D8314" t="s">
        <v>19049</v>
      </c>
      <c r="E8314" t="s">
        <v>19835</v>
      </c>
      <c r="F8314" t="s">
        <v>32831</v>
      </c>
      <c r="G8314" t="s">
        <v>32838</v>
      </c>
      <c r="H8314" t="s">
        <v>32848</v>
      </c>
      <c r="I8314" t="s">
        <v>7416</v>
      </c>
      <c r="J8314" t="s">
        <v>38169</v>
      </c>
      <c r="K8314" t="s">
        <v>42726</v>
      </c>
      <c r="M8314" t="s">
        <v>45376</v>
      </c>
      <c r="N8314" t="s">
        <v>47424</v>
      </c>
      <c r="O8314" t="s">
        <v>47425</v>
      </c>
      <c r="P8314">
        <v>0</v>
      </c>
      <c r="Q8314">
        <v>0</v>
      </c>
      <c r="R8314" t="s">
        <v>47432</v>
      </c>
      <c r="S8314" t="s">
        <v>47597</v>
      </c>
      <c r="T8314" t="s">
        <v>49079</v>
      </c>
      <c r="U8314" t="s">
        <v>56587</v>
      </c>
      <c r="W8314" t="s">
        <v>45376</v>
      </c>
      <c r="X8314" t="s">
        <v>47433</v>
      </c>
    </row>
    <row r="8315" spans="1:24">
      <c r="A8315">
        <f>HYPERLINK("https://www.philgeps.gov.ph/GEPSNONPILOT/Tender/SplashBidNoticeAbstractUI.aspx?menuIndex=3&amp;refID=7153437&amp;Result=3","7153437")</f>
        <v>0</v>
      </c>
      <c r="B8315" t="s">
        <v>1330</v>
      </c>
      <c r="C8315" t="s">
        <v>11721</v>
      </c>
      <c r="D8315" t="s">
        <v>19095</v>
      </c>
      <c r="E8315" t="s">
        <v>26324</v>
      </c>
      <c r="F8315" t="s">
        <v>32831</v>
      </c>
      <c r="G8315" t="s">
        <v>32839</v>
      </c>
      <c r="H8315" t="s">
        <v>32848</v>
      </c>
      <c r="I8315" t="s">
        <v>7416</v>
      </c>
      <c r="J8315" t="s">
        <v>38170</v>
      </c>
      <c r="K8315" t="s">
        <v>42731</v>
      </c>
      <c r="M8315" t="s">
        <v>44401</v>
      </c>
      <c r="N8315" t="s">
        <v>47424</v>
      </c>
      <c r="O8315" t="s">
        <v>47425</v>
      </c>
      <c r="P8315">
        <v>0</v>
      </c>
      <c r="Q8315">
        <v>0</v>
      </c>
      <c r="R8315" t="s">
        <v>47432</v>
      </c>
      <c r="S8315" t="s">
        <v>47597</v>
      </c>
      <c r="T8315" t="s">
        <v>49068</v>
      </c>
      <c r="U8315" t="s">
        <v>56588</v>
      </c>
      <c r="V8315" t="s">
        <v>62961</v>
      </c>
      <c r="W8315" t="s">
        <v>44401</v>
      </c>
      <c r="X8315" t="s">
        <v>47433</v>
      </c>
    </row>
    <row r="8316" spans="1:24">
      <c r="A8316">
        <f>HYPERLINK("https://www.philgeps.gov.ph/GEPSNONPILOT/Tender/SplashBidNoticeAbstractUI.aspx?menuIndex=3&amp;refID=7153513&amp;Result=3","7153513")</f>
        <v>0</v>
      </c>
      <c r="B8316" t="s">
        <v>2636</v>
      </c>
      <c r="C8316" t="s">
        <v>11722</v>
      </c>
      <c r="D8316" t="s">
        <v>19037</v>
      </c>
      <c r="E8316" t="s">
        <v>26325</v>
      </c>
      <c r="F8316" t="s">
        <v>32831</v>
      </c>
      <c r="G8316" t="s">
        <v>32839</v>
      </c>
      <c r="H8316" t="s">
        <v>32848</v>
      </c>
      <c r="I8316" t="s">
        <v>11484</v>
      </c>
      <c r="J8316" t="s">
        <v>38171</v>
      </c>
      <c r="K8316" t="s">
        <v>42727</v>
      </c>
      <c r="M8316" t="s">
        <v>45858</v>
      </c>
      <c r="N8316" t="s">
        <v>47424</v>
      </c>
      <c r="O8316" t="s">
        <v>47425</v>
      </c>
      <c r="P8316">
        <v>0</v>
      </c>
      <c r="Q8316">
        <v>0</v>
      </c>
      <c r="R8316" t="s">
        <v>47432</v>
      </c>
      <c r="S8316" t="s">
        <v>47597</v>
      </c>
      <c r="T8316" t="s">
        <v>49141</v>
      </c>
      <c r="U8316" t="s">
        <v>56589</v>
      </c>
      <c r="W8316" t="s">
        <v>45858</v>
      </c>
      <c r="X8316" t="s">
        <v>47433</v>
      </c>
    </row>
    <row r="8317" spans="1:24">
      <c r="A8317">
        <f>HYPERLINK("https://www.philgeps.gov.ph/GEPSNONPILOT/Tender/SplashBidNoticeAbstractUI.aspx?menuIndex=3&amp;refID=7153510&amp;Result=3","7153510")</f>
        <v>0</v>
      </c>
      <c r="B8317" t="s">
        <v>2786</v>
      </c>
      <c r="C8317" t="s">
        <v>11723</v>
      </c>
      <c r="D8317" t="s">
        <v>19038</v>
      </c>
      <c r="E8317" t="s">
        <v>26326</v>
      </c>
      <c r="F8317" t="s">
        <v>32831</v>
      </c>
      <c r="G8317" t="s">
        <v>32838</v>
      </c>
      <c r="H8317" t="s">
        <v>32848</v>
      </c>
      <c r="I8317" t="s">
        <v>32863</v>
      </c>
      <c r="J8317" t="s">
        <v>34017</v>
      </c>
      <c r="K8317" t="s">
        <v>42732</v>
      </c>
      <c r="M8317" t="s">
        <v>46016</v>
      </c>
      <c r="N8317" t="s">
        <v>47424</v>
      </c>
      <c r="O8317" t="s">
        <v>47425</v>
      </c>
      <c r="P8317">
        <v>0</v>
      </c>
      <c r="Q8317">
        <v>0</v>
      </c>
      <c r="R8317" t="s">
        <v>47432</v>
      </c>
      <c r="S8317" t="s">
        <v>47597</v>
      </c>
      <c r="T8317" t="s">
        <v>49100</v>
      </c>
      <c r="U8317" t="s">
        <v>56590</v>
      </c>
      <c r="W8317" t="s">
        <v>46016</v>
      </c>
      <c r="X8317" t="s">
        <v>47433</v>
      </c>
    </row>
    <row r="8318" spans="1:24">
      <c r="A8318">
        <f>HYPERLINK("https://www.philgeps.gov.ph/GEPSNONPILOT/Tender/SplashBidNoticeAbstractUI.aspx?menuIndex=3&amp;refID=7153433&amp;Result=3","7153433")</f>
        <v>0</v>
      </c>
      <c r="B8318" t="s">
        <v>2247</v>
      </c>
      <c r="C8318" t="s">
        <v>11724</v>
      </c>
      <c r="D8318" t="s">
        <v>19071</v>
      </c>
      <c r="E8318" t="s">
        <v>26327</v>
      </c>
      <c r="F8318" t="s">
        <v>32831</v>
      </c>
      <c r="G8318" t="s">
        <v>32839</v>
      </c>
      <c r="H8318" t="s">
        <v>32848</v>
      </c>
      <c r="I8318" t="s">
        <v>5379</v>
      </c>
      <c r="J8318" t="s">
        <v>38172</v>
      </c>
      <c r="K8318" t="s">
        <v>42732</v>
      </c>
      <c r="M8318" t="s">
        <v>45428</v>
      </c>
      <c r="N8318" t="s">
        <v>47424</v>
      </c>
      <c r="O8318" t="s">
        <v>47425</v>
      </c>
      <c r="P8318">
        <v>0</v>
      </c>
      <c r="Q8318">
        <v>0</v>
      </c>
      <c r="R8318" t="s">
        <v>47432</v>
      </c>
      <c r="S8318" t="s">
        <v>47597</v>
      </c>
      <c r="T8318" t="s">
        <v>49127</v>
      </c>
      <c r="U8318" t="s">
        <v>56591</v>
      </c>
      <c r="W8318" t="s">
        <v>45428</v>
      </c>
      <c r="X8318" t="s">
        <v>47433</v>
      </c>
    </row>
    <row r="8319" spans="1:24">
      <c r="A8319">
        <f>HYPERLINK("https://www.philgeps.gov.ph/GEPSNONPILOT/Tender/SplashBidNoticeAbstractUI.aspx?menuIndex=3&amp;refID=7153506&amp;Result=3","7153506")</f>
        <v>0</v>
      </c>
      <c r="B8319" t="s">
        <v>2787</v>
      </c>
      <c r="C8319" t="s">
        <v>11725</v>
      </c>
      <c r="D8319" t="s">
        <v>19037</v>
      </c>
      <c r="E8319" t="s">
        <v>26328</v>
      </c>
      <c r="F8319" t="s">
        <v>32831</v>
      </c>
      <c r="G8319" t="s">
        <v>32839</v>
      </c>
      <c r="H8319" t="s">
        <v>32848</v>
      </c>
      <c r="I8319" t="s">
        <v>32860</v>
      </c>
      <c r="J8319" t="s">
        <v>38173</v>
      </c>
      <c r="K8319" t="s">
        <v>42747</v>
      </c>
      <c r="M8319" t="s">
        <v>46017</v>
      </c>
      <c r="N8319" t="s">
        <v>47424</v>
      </c>
      <c r="O8319" t="s">
        <v>47425</v>
      </c>
      <c r="P8319">
        <v>0</v>
      </c>
      <c r="Q8319">
        <v>4</v>
      </c>
      <c r="R8319" t="s">
        <v>47432</v>
      </c>
      <c r="S8319" t="s">
        <v>47597</v>
      </c>
      <c r="T8319" t="s">
        <v>49192</v>
      </c>
      <c r="U8319" t="s">
        <v>56592</v>
      </c>
      <c r="V8319" t="s">
        <v>63557</v>
      </c>
      <c r="W8319" t="s">
        <v>46017</v>
      </c>
      <c r="X8319" t="s">
        <v>47433</v>
      </c>
    </row>
    <row r="8320" spans="1:24">
      <c r="A8320">
        <f>HYPERLINK("https://www.philgeps.gov.ph/GEPSNONPILOT/Tender/SplashBidNoticeAbstractUI.aspx?menuIndex=3&amp;refID=7153499&amp;Result=3","7153499")</f>
        <v>0</v>
      </c>
      <c r="B8320" t="s">
        <v>99</v>
      </c>
      <c r="C8320" t="s">
        <v>11726</v>
      </c>
      <c r="D8320" t="s">
        <v>19054</v>
      </c>
      <c r="E8320" t="s">
        <v>26329</v>
      </c>
      <c r="F8320" t="s">
        <v>32831</v>
      </c>
      <c r="G8320" t="s">
        <v>32839</v>
      </c>
      <c r="H8320" t="s">
        <v>32848</v>
      </c>
      <c r="I8320" t="s">
        <v>32890</v>
      </c>
      <c r="J8320" t="s">
        <v>33635</v>
      </c>
      <c r="K8320" t="s">
        <v>42730</v>
      </c>
      <c r="M8320" t="s">
        <v>43096</v>
      </c>
      <c r="N8320" t="s">
        <v>47424</v>
      </c>
      <c r="O8320" t="s">
        <v>47425</v>
      </c>
      <c r="P8320">
        <v>0</v>
      </c>
      <c r="Q8320">
        <v>0</v>
      </c>
      <c r="R8320" t="s">
        <v>47432</v>
      </c>
      <c r="S8320" t="s">
        <v>47597</v>
      </c>
      <c r="T8320" t="s">
        <v>49108</v>
      </c>
      <c r="U8320" t="s">
        <v>49821</v>
      </c>
      <c r="V8320" t="s">
        <v>62643</v>
      </c>
      <c r="W8320" t="s">
        <v>43096</v>
      </c>
      <c r="X8320" t="s">
        <v>47433</v>
      </c>
    </row>
    <row r="8321" spans="1:24">
      <c r="A8321">
        <f>HYPERLINK("https://www.philgeps.gov.ph/GEPSNONPILOT/Tender/SplashBidNoticeAbstractUI.aspx?menuIndex=3&amp;refID=7153498&amp;Result=3","7153498")</f>
        <v>0</v>
      </c>
      <c r="B8321" t="s">
        <v>2788</v>
      </c>
      <c r="C8321" t="s">
        <v>11727</v>
      </c>
      <c r="D8321" t="s">
        <v>19064</v>
      </c>
      <c r="E8321" t="s">
        <v>23482</v>
      </c>
      <c r="F8321" t="s">
        <v>32833</v>
      </c>
      <c r="G8321" t="s">
        <v>32838</v>
      </c>
      <c r="H8321" t="s">
        <v>32848</v>
      </c>
      <c r="I8321" t="s">
        <v>11727</v>
      </c>
      <c r="J8321" t="s">
        <v>36125</v>
      </c>
      <c r="K8321" t="s">
        <v>42727</v>
      </c>
      <c r="M8321" t="s">
        <v>46018</v>
      </c>
      <c r="N8321" t="s">
        <v>47424</v>
      </c>
      <c r="O8321" t="s">
        <v>47425</v>
      </c>
      <c r="P8321">
        <v>0</v>
      </c>
      <c r="Q8321">
        <v>1</v>
      </c>
      <c r="R8321" t="s">
        <v>47432</v>
      </c>
      <c r="S8321" t="s">
        <v>47597</v>
      </c>
      <c r="T8321" t="s">
        <v>49057</v>
      </c>
      <c r="U8321" t="s">
        <v>56593</v>
      </c>
      <c r="W8321" t="s">
        <v>46018</v>
      </c>
      <c r="X8321" t="s">
        <v>47433</v>
      </c>
    </row>
    <row r="8322" spans="1:24">
      <c r="A8322">
        <f>HYPERLINK("https://www.philgeps.gov.ph/GEPSNONPILOT/Tender/SplashBidNoticeAbstractUI.aspx?menuIndex=3&amp;refID=7153416&amp;Result=3","7153416")</f>
        <v>0</v>
      </c>
      <c r="B8322" t="s">
        <v>99</v>
      </c>
      <c r="C8322" t="s">
        <v>11728</v>
      </c>
      <c r="D8322" t="s">
        <v>19054</v>
      </c>
      <c r="E8322" t="s">
        <v>26330</v>
      </c>
      <c r="F8322" t="s">
        <v>32831</v>
      </c>
      <c r="G8322" t="s">
        <v>32839</v>
      </c>
      <c r="H8322" t="s">
        <v>32848</v>
      </c>
      <c r="I8322" t="s">
        <v>4487</v>
      </c>
      <c r="J8322" t="s">
        <v>38174</v>
      </c>
      <c r="K8322" t="s">
        <v>42730</v>
      </c>
      <c r="M8322" t="s">
        <v>43096</v>
      </c>
      <c r="N8322" t="s">
        <v>47424</v>
      </c>
      <c r="O8322" t="s">
        <v>47425</v>
      </c>
      <c r="P8322">
        <v>0</v>
      </c>
      <c r="Q8322">
        <v>1</v>
      </c>
      <c r="R8322" t="s">
        <v>47432</v>
      </c>
      <c r="S8322" t="s">
        <v>47597</v>
      </c>
      <c r="T8322" t="s">
        <v>49108</v>
      </c>
      <c r="U8322" t="s">
        <v>49821</v>
      </c>
      <c r="V8322" t="s">
        <v>62643</v>
      </c>
      <c r="W8322" t="s">
        <v>43096</v>
      </c>
      <c r="X8322" t="s">
        <v>47433</v>
      </c>
    </row>
    <row r="8323" spans="1:24">
      <c r="A8323">
        <f>HYPERLINK("https://www.philgeps.gov.ph/GEPSNONPILOT/Tender/SplashBidNoticeAbstractUI.aspx?menuIndex=3&amp;refID=7153507&amp;Result=3","7153507")</f>
        <v>0</v>
      </c>
      <c r="B8323" t="s">
        <v>99</v>
      </c>
      <c r="C8323" t="s">
        <v>11729</v>
      </c>
      <c r="D8323" t="s">
        <v>19054</v>
      </c>
      <c r="E8323" t="s">
        <v>26331</v>
      </c>
      <c r="F8323" t="s">
        <v>32831</v>
      </c>
      <c r="G8323" t="s">
        <v>32839</v>
      </c>
      <c r="H8323" t="s">
        <v>32848</v>
      </c>
      <c r="I8323" t="s">
        <v>32890</v>
      </c>
      <c r="J8323" t="s">
        <v>38175</v>
      </c>
      <c r="K8323" t="s">
        <v>42730</v>
      </c>
      <c r="M8323" t="s">
        <v>43096</v>
      </c>
      <c r="N8323" t="s">
        <v>47424</v>
      </c>
      <c r="O8323" t="s">
        <v>47425</v>
      </c>
      <c r="P8323">
        <v>0</v>
      </c>
      <c r="Q8323">
        <v>0</v>
      </c>
      <c r="R8323" t="s">
        <v>47432</v>
      </c>
      <c r="S8323" t="s">
        <v>47597</v>
      </c>
      <c r="T8323" t="s">
        <v>49108</v>
      </c>
      <c r="U8323" t="s">
        <v>49821</v>
      </c>
      <c r="V8323" t="s">
        <v>62643</v>
      </c>
      <c r="W8323" t="s">
        <v>43096</v>
      </c>
      <c r="X8323" t="s">
        <v>47433</v>
      </c>
    </row>
    <row r="8324" spans="1:24">
      <c r="A8324">
        <f>HYPERLINK("https://www.philgeps.gov.ph/GEPSNONPILOT/Tender/SplashBidNoticeAbstractUI.aspx?menuIndex=3&amp;refID=7153495&amp;Result=3","7153495")</f>
        <v>0</v>
      </c>
      <c r="B8324" t="s">
        <v>2789</v>
      </c>
      <c r="C8324" t="s">
        <v>11730</v>
      </c>
      <c r="D8324" t="s">
        <v>19059</v>
      </c>
      <c r="E8324" t="s">
        <v>19203</v>
      </c>
      <c r="F8324" t="s">
        <v>32831</v>
      </c>
      <c r="G8324" t="s">
        <v>32839</v>
      </c>
      <c r="H8324" t="s">
        <v>32849</v>
      </c>
      <c r="I8324" t="s">
        <v>7416</v>
      </c>
      <c r="J8324" t="s">
        <v>38176</v>
      </c>
      <c r="K8324" t="s">
        <v>42727</v>
      </c>
      <c r="M8324" t="s">
        <v>46019</v>
      </c>
      <c r="N8324" t="s">
        <v>47424</v>
      </c>
      <c r="O8324" t="s">
        <v>47425</v>
      </c>
      <c r="P8324">
        <v>0</v>
      </c>
      <c r="Q8324">
        <v>2</v>
      </c>
      <c r="R8324" t="s">
        <v>47432</v>
      </c>
      <c r="S8324" t="s">
        <v>47597</v>
      </c>
      <c r="T8324" t="s">
        <v>49059</v>
      </c>
      <c r="U8324" t="s">
        <v>56594</v>
      </c>
      <c r="W8324" t="s">
        <v>46019</v>
      </c>
      <c r="X8324" t="s">
        <v>47433</v>
      </c>
    </row>
    <row r="8325" spans="1:24">
      <c r="A8325">
        <f>HYPERLINK("https://www.philgeps.gov.ph/GEPSNONPILOT/Tender/SplashBidNoticeAbstractUI.aspx?menuIndex=3&amp;refID=7153504&amp;Result=3","7153504")</f>
        <v>0</v>
      </c>
      <c r="B8325" t="s">
        <v>895</v>
      </c>
      <c r="C8325" t="s">
        <v>11731</v>
      </c>
      <c r="D8325" t="s">
        <v>19036</v>
      </c>
      <c r="E8325" t="s">
        <v>26332</v>
      </c>
      <c r="F8325" t="s">
        <v>32831</v>
      </c>
      <c r="G8325" t="s">
        <v>32839</v>
      </c>
      <c r="H8325" t="s">
        <v>32848</v>
      </c>
      <c r="I8325" t="s">
        <v>4558</v>
      </c>
      <c r="J8325" t="s">
        <v>37700</v>
      </c>
      <c r="K8325" t="s">
        <v>42727</v>
      </c>
      <c r="M8325" t="s">
        <v>43930</v>
      </c>
      <c r="N8325" t="s">
        <v>47424</v>
      </c>
      <c r="O8325" t="s">
        <v>47425</v>
      </c>
      <c r="P8325">
        <v>0</v>
      </c>
      <c r="Q8325">
        <v>0</v>
      </c>
      <c r="R8325" t="s">
        <v>47432</v>
      </c>
      <c r="S8325" t="s">
        <v>47597</v>
      </c>
      <c r="T8325" t="s">
        <v>49095</v>
      </c>
      <c r="U8325" t="s">
        <v>56595</v>
      </c>
      <c r="V8325" t="s">
        <v>62833</v>
      </c>
      <c r="W8325" t="s">
        <v>43930</v>
      </c>
      <c r="X8325" t="s">
        <v>47433</v>
      </c>
    </row>
    <row r="8326" spans="1:24">
      <c r="A8326">
        <f>HYPERLINK("https://www.philgeps.gov.ph/GEPSNONPILOT/Tender/SplashBidNoticeAbstractUI.aspx?menuIndex=3&amp;refID=7153431&amp;Result=3","7153431")</f>
        <v>0</v>
      </c>
      <c r="B8326" t="s">
        <v>1797</v>
      </c>
      <c r="C8326" t="s">
        <v>11732</v>
      </c>
      <c r="D8326" t="s">
        <v>19078</v>
      </c>
      <c r="E8326" t="s">
        <v>22788</v>
      </c>
      <c r="F8326" t="s">
        <v>32831</v>
      </c>
      <c r="G8326" t="s">
        <v>32839</v>
      </c>
      <c r="H8326" t="s">
        <v>32849</v>
      </c>
      <c r="I8326" t="s">
        <v>32866</v>
      </c>
      <c r="J8326" t="s">
        <v>38177</v>
      </c>
      <c r="K8326" t="s">
        <v>42832</v>
      </c>
      <c r="M8326" t="s">
        <v>44927</v>
      </c>
      <c r="N8326" t="s">
        <v>47424</v>
      </c>
      <c r="O8326" t="s">
        <v>47425</v>
      </c>
      <c r="P8326">
        <v>0</v>
      </c>
      <c r="Q8326">
        <v>0</v>
      </c>
      <c r="R8326" t="s">
        <v>47432</v>
      </c>
      <c r="S8326" t="s">
        <v>47597</v>
      </c>
      <c r="T8326" t="s">
        <v>49160</v>
      </c>
      <c r="U8326" t="s">
        <v>56596</v>
      </c>
      <c r="W8326" t="s">
        <v>44927</v>
      </c>
      <c r="X8326" t="s">
        <v>47433</v>
      </c>
    </row>
    <row r="8327" spans="1:24">
      <c r="A8327">
        <f>HYPERLINK("https://www.philgeps.gov.ph/GEPSNONPILOT/Tender/SplashBidNoticeAbstractUI.aspx?menuIndex=3&amp;refID=7153539&amp;Result=3","7153539")</f>
        <v>0</v>
      </c>
      <c r="B8327" t="s">
        <v>1725</v>
      </c>
      <c r="C8327" t="s">
        <v>11733</v>
      </c>
      <c r="D8327" t="s">
        <v>19080</v>
      </c>
      <c r="E8327" t="s">
        <v>26333</v>
      </c>
      <c r="F8327" t="s">
        <v>32831</v>
      </c>
      <c r="G8327" t="s">
        <v>32839</v>
      </c>
      <c r="H8327" t="s">
        <v>32849</v>
      </c>
      <c r="I8327" t="s">
        <v>32913</v>
      </c>
      <c r="J8327" t="s">
        <v>38178</v>
      </c>
      <c r="K8327" t="s">
        <v>42757</v>
      </c>
      <c r="M8327" t="s">
        <v>44848</v>
      </c>
      <c r="N8327" t="s">
        <v>47424</v>
      </c>
      <c r="O8327" t="s">
        <v>47425</v>
      </c>
      <c r="P8327">
        <v>0</v>
      </c>
      <c r="Q8327">
        <v>0</v>
      </c>
      <c r="R8327" t="s">
        <v>47432</v>
      </c>
      <c r="S8327" t="s">
        <v>47597</v>
      </c>
      <c r="T8327" t="s">
        <v>49267</v>
      </c>
      <c r="U8327" t="s">
        <v>56597</v>
      </c>
      <c r="W8327" t="s">
        <v>44848</v>
      </c>
      <c r="X8327" t="s">
        <v>47433</v>
      </c>
    </row>
    <row r="8328" spans="1:24">
      <c r="A8328">
        <f>HYPERLINK("https://www.philgeps.gov.ph/GEPSNONPILOT/Tender/SplashBidNoticeAbstractUI.aspx?menuIndex=3&amp;refID=7153486&amp;Result=3","7153486")</f>
        <v>0</v>
      </c>
      <c r="B8328" t="s">
        <v>1140</v>
      </c>
      <c r="C8328" t="s">
        <v>11734</v>
      </c>
      <c r="D8328" t="s">
        <v>19078</v>
      </c>
      <c r="E8328" t="s">
        <v>26334</v>
      </c>
      <c r="F8328" t="s">
        <v>32831</v>
      </c>
      <c r="G8328" t="s">
        <v>32839</v>
      </c>
      <c r="H8328" t="s">
        <v>32848</v>
      </c>
      <c r="I8328" t="s">
        <v>7416</v>
      </c>
      <c r="J8328" t="s">
        <v>32983</v>
      </c>
      <c r="K8328" t="s">
        <v>42730</v>
      </c>
      <c r="M8328" t="s">
        <v>44204</v>
      </c>
      <c r="N8328" t="s">
        <v>47424</v>
      </c>
      <c r="O8328" t="s">
        <v>47425</v>
      </c>
      <c r="P8328">
        <v>0</v>
      </c>
      <c r="Q8328">
        <v>3</v>
      </c>
      <c r="R8328" t="s">
        <v>47432</v>
      </c>
      <c r="S8328" t="s">
        <v>47597</v>
      </c>
      <c r="T8328" t="s">
        <v>49151</v>
      </c>
      <c r="U8328" t="s">
        <v>56598</v>
      </c>
      <c r="W8328" t="s">
        <v>44204</v>
      </c>
      <c r="X8328" t="s">
        <v>47433</v>
      </c>
    </row>
    <row r="8329" spans="1:24">
      <c r="A8329">
        <f>HYPERLINK("https://www.philgeps.gov.ph/GEPSNONPILOT/Tender/SplashBidNoticeAbstractUI.aspx?menuIndex=3&amp;refID=7153418&amp;Result=3","7153418")</f>
        <v>0</v>
      </c>
      <c r="B8329" t="s">
        <v>2790</v>
      </c>
      <c r="C8329" t="s">
        <v>11548</v>
      </c>
      <c r="D8329" t="s">
        <v>19017</v>
      </c>
      <c r="E8329" t="s">
        <v>26335</v>
      </c>
      <c r="F8329" t="s">
        <v>32831</v>
      </c>
      <c r="G8329" t="s">
        <v>32838</v>
      </c>
      <c r="H8329" t="s">
        <v>32848</v>
      </c>
      <c r="I8329" t="s">
        <v>32864</v>
      </c>
      <c r="J8329" t="s">
        <v>38179</v>
      </c>
      <c r="K8329" t="s">
        <v>42727</v>
      </c>
      <c r="M8329" t="s">
        <v>46020</v>
      </c>
      <c r="N8329" t="s">
        <v>47424</v>
      </c>
      <c r="O8329" t="s">
        <v>47425</v>
      </c>
      <c r="P8329">
        <v>0</v>
      </c>
      <c r="Q8329">
        <v>7</v>
      </c>
      <c r="R8329" t="s">
        <v>47432</v>
      </c>
      <c r="S8329" t="s">
        <v>47597</v>
      </c>
      <c r="T8329" t="s">
        <v>49507</v>
      </c>
      <c r="U8329" t="s">
        <v>56599</v>
      </c>
      <c r="W8329" t="s">
        <v>46020</v>
      </c>
      <c r="X8329" t="s">
        <v>47433</v>
      </c>
    </row>
    <row r="8330" spans="1:24">
      <c r="A8330">
        <f>HYPERLINK("https://www.philgeps.gov.ph/GEPSNONPILOT/Tender/SplashBidNoticeAbstractUI.aspx?menuIndex=3&amp;refID=7153566&amp;Result=3","7153566")</f>
        <v>0</v>
      </c>
      <c r="B8330" t="s">
        <v>1886</v>
      </c>
      <c r="C8330" t="s">
        <v>11735</v>
      </c>
      <c r="D8330" t="s">
        <v>19062</v>
      </c>
      <c r="E8330" t="s">
        <v>26336</v>
      </c>
      <c r="F8330" t="s">
        <v>32831</v>
      </c>
      <c r="G8330" t="s">
        <v>32839</v>
      </c>
      <c r="H8330" t="s">
        <v>32848</v>
      </c>
      <c r="I8330" t="s">
        <v>32883</v>
      </c>
      <c r="J8330" t="s">
        <v>33692</v>
      </c>
      <c r="K8330" t="s">
        <v>42730</v>
      </c>
      <c r="M8330" t="s">
        <v>45031</v>
      </c>
      <c r="N8330" t="s">
        <v>47424</v>
      </c>
      <c r="O8330" t="s">
        <v>47425</v>
      </c>
      <c r="P8330">
        <v>0</v>
      </c>
      <c r="Q8330">
        <v>4</v>
      </c>
      <c r="R8330" t="s">
        <v>47432</v>
      </c>
      <c r="S8330" t="s">
        <v>47597</v>
      </c>
      <c r="T8330" t="s">
        <v>49106</v>
      </c>
      <c r="U8330" t="s">
        <v>56600</v>
      </c>
      <c r="W8330" t="s">
        <v>45031</v>
      </c>
      <c r="X8330" t="s">
        <v>47433</v>
      </c>
    </row>
    <row r="8331" spans="1:24">
      <c r="A8331">
        <f>HYPERLINK("https://www.philgeps.gov.ph/GEPSNONPILOT/Tender/SplashBidNoticeAbstractUI.aspx?menuIndex=3&amp;refID=7153565&amp;Result=3","7153565")</f>
        <v>0</v>
      </c>
      <c r="B8331" t="s">
        <v>99</v>
      </c>
      <c r="C8331" t="s">
        <v>11736</v>
      </c>
      <c r="D8331" t="s">
        <v>19054</v>
      </c>
      <c r="E8331" t="s">
        <v>26337</v>
      </c>
      <c r="F8331" t="s">
        <v>32831</v>
      </c>
      <c r="G8331" t="s">
        <v>32839</v>
      </c>
      <c r="H8331" t="s">
        <v>32848</v>
      </c>
      <c r="I8331" t="s">
        <v>32857</v>
      </c>
      <c r="J8331" t="s">
        <v>38180</v>
      </c>
      <c r="K8331" t="s">
        <v>42730</v>
      </c>
      <c r="M8331" t="s">
        <v>43096</v>
      </c>
      <c r="N8331" t="s">
        <v>47424</v>
      </c>
      <c r="O8331" t="s">
        <v>47425</v>
      </c>
      <c r="P8331">
        <v>0</v>
      </c>
      <c r="Q8331">
        <v>0</v>
      </c>
      <c r="R8331" t="s">
        <v>47432</v>
      </c>
      <c r="S8331" t="s">
        <v>47597</v>
      </c>
      <c r="T8331" t="s">
        <v>49108</v>
      </c>
      <c r="U8331" t="s">
        <v>49821</v>
      </c>
      <c r="V8331" t="s">
        <v>62643</v>
      </c>
      <c r="W8331" t="s">
        <v>43096</v>
      </c>
      <c r="X8331" t="s">
        <v>47433</v>
      </c>
    </row>
    <row r="8332" spans="1:24">
      <c r="A8332">
        <f>HYPERLINK("https://www.philgeps.gov.ph/GEPSNONPILOT/Tender/SplashBidNoticeAbstractUI.aspx?menuIndex=3&amp;refID=7153485&amp;Result=3","7153485")</f>
        <v>0</v>
      </c>
      <c r="B8332" t="s">
        <v>2674</v>
      </c>
      <c r="C8332" t="s">
        <v>11737</v>
      </c>
      <c r="D8332" t="s">
        <v>19077</v>
      </c>
      <c r="E8332" t="s">
        <v>26338</v>
      </c>
      <c r="F8332" t="s">
        <v>32831</v>
      </c>
      <c r="G8332" t="s">
        <v>32840</v>
      </c>
      <c r="H8332" t="s">
        <v>32848</v>
      </c>
      <c r="I8332" t="s">
        <v>4438</v>
      </c>
      <c r="J8332" t="s">
        <v>38181</v>
      </c>
      <c r="K8332" t="s">
        <v>42730</v>
      </c>
      <c r="M8332" t="s">
        <v>45897</v>
      </c>
      <c r="N8332" t="s">
        <v>47424</v>
      </c>
      <c r="O8332" t="s">
        <v>47425</v>
      </c>
      <c r="P8332">
        <v>0</v>
      </c>
      <c r="Q8332">
        <v>0</v>
      </c>
      <c r="R8332" t="s">
        <v>47432</v>
      </c>
      <c r="S8332" t="s">
        <v>47597</v>
      </c>
      <c r="T8332" t="s">
        <v>49237</v>
      </c>
      <c r="U8332" t="s">
        <v>56601</v>
      </c>
      <c r="W8332" t="s">
        <v>45897</v>
      </c>
      <c r="X8332" t="s">
        <v>47433</v>
      </c>
    </row>
    <row r="8333" spans="1:24">
      <c r="A8333">
        <f>HYPERLINK("https://www.philgeps.gov.ph/GEPSNONPILOT/Tender/SplashBidNoticeAbstractUI.aspx?menuIndex=3&amp;refID=7153443&amp;Result=3","7153443")</f>
        <v>0</v>
      </c>
      <c r="B8333" t="s">
        <v>681</v>
      </c>
      <c r="C8333" t="s">
        <v>11738</v>
      </c>
      <c r="D8333" t="s">
        <v>19018</v>
      </c>
      <c r="E8333" t="s">
        <v>26339</v>
      </c>
      <c r="F8333" t="s">
        <v>32831</v>
      </c>
      <c r="G8333" t="s">
        <v>32838</v>
      </c>
      <c r="H8333" t="s">
        <v>32848</v>
      </c>
      <c r="I8333" t="s">
        <v>7416</v>
      </c>
      <c r="J8333" t="s">
        <v>38182</v>
      </c>
      <c r="K8333" t="s">
        <v>42727</v>
      </c>
      <c r="M8333" t="s">
        <v>43700</v>
      </c>
      <c r="N8333" t="s">
        <v>47424</v>
      </c>
      <c r="O8333" t="s">
        <v>47425</v>
      </c>
      <c r="P8333">
        <v>0</v>
      </c>
      <c r="Q8333">
        <v>1</v>
      </c>
      <c r="R8333" t="s">
        <v>47432</v>
      </c>
      <c r="S8333" t="s">
        <v>47597</v>
      </c>
      <c r="T8333" t="s">
        <v>49214</v>
      </c>
      <c r="U8333" t="s">
        <v>56602</v>
      </c>
      <c r="V8333" t="s">
        <v>63558</v>
      </c>
      <c r="W8333" t="s">
        <v>43700</v>
      </c>
      <c r="X8333" t="s">
        <v>47433</v>
      </c>
    </row>
    <row r="8334" spans="1:24">
      <c r="A8334">
        <f>HYPERLINK("https://www.philgeps.gov.ph/GEPSNONPILOT/Tender/SplashBidNoticeAbstractUI.aspx?menuIndex=3&amp;refID=7153551&amp;Result=3","7153551")</f>
        <v>0</v>
      </c>
      <c r="B8334" t="s">
        <v>2246</v>
      </c>
      <c r="C8334" t="s">
        <v>11739</v>
      </c>
      <c r="D8334" t="s">
        <v>19049</v>
      </c>
      <c r="E8334" t="s">
        <v>22758</v>
      </c>
      <c r="F8334" t="s">
        <v>32831</v>
      </c>
      <c r="G8334" t="s">
        <v>32839</v>
      </c>
      <c r="H8334" t="s">
        <v>32848</v>
      </c>
      <c r="I8334" t="s">
        <v>32878</v>
      </c>
      <c r="J8334" t="s">
        <v>32980</v>
      </c>
      <c r="K8334" t="s">
        <v>42726</v>
      </c>
      <c r="M8334" t="s">
        <v>45427</v>
      </c>
      <c r="N8334" t="s">
        <v>47424</v>
      </c>
      <c r="O8334" t="s">
        <v>47425</v>
      </c>
      <c r="P8334">
        <v>0</v>
      </c>
      <c r="Q8334">
        <v>2</v>
      </c>
      <c r="R8334" t="s">
        <v>47432</v>
      </c>
      <c r="S8334" t="s">
        <v>47597</v>
      </c>
      <c r="T8334" t="s">
        <v>49492</v>
      </c>
      <c r="U8334" t="s">
        <v>56603</v>
      </c>
      <c r="W8334" t="s">
        <v>45427</v>
      </c>
      <c r="X8334" t="s">
        <v>47433</v>
      </c>
    </row>
    <row r="8335" spans="1:24">
      <c r="A8335">
        <f>HYPERLINK("https://www.philgeps.gov.ph/GEPSNONPILOT/Tender/SplashBidNoticeAbstractUI.aspx?menuIndex=3&amp;refID=7153545&amp;Result=3","7153545")</f>
        <v>0</v>
      </c>
      <c r="B8335" t="s">
        <v>2791</v>
      </c>
      <c r="C8335" t="s">
        <v>11740</v>
      </c>
      <c r="D8335" t="s">
        <v>19034</v>
      </c>
      <c r="E8335" t="s">
        <v>26066</v>
      </c>
      <c r="F8335" t="s">
        <v>32831</v>
      </c>
      <c r="G8335" t="s">
        <v>32838</v>
      </c>
      <c r="H8335" t="s">
        <v>32848</v>
      </c>
      <c r="I8335" t="s">
        <v>6526</v>
      </c>
      <c r="J8335" t="s">
        <v>38183</v>
      </c>
      <c r="K8335" t="s">
        <v>42727</v>
      </c>
      <c r="M8335" t="s">
        <v>46021</v>
      </c>
      <c r="N8335" t="s">
        <v>47424</v>
      </c>
      <c r="O8335" t="s">
        <v>47425</v>
      </c>
      <c r="P8335">
        <v>0</v>
      </c>
      <c r="Q8335">
        <v>0</v>
      </c>
      <c r="R8335" t="s">
        <v>47432</v>
      </c>
      <c r="S8335" t="s">
        <v>47597</v>
      </c>
      <c r="T8335" t="s">
        <v>49166</v>
      </c>
      <c r="U8335" t="s">
        <v>56604</v>
      </c>
      <c r="W8335" t="s">
        <v>46021</v>
      </c>
      <c r="X8335" t="s">
        <v>47433</v>
      </c>
    </row>
    <row r="8336" spans="1:24">
      <c r="A8336">
        <f>HYPERLINK("https://www.philgeps.gov.ph/GEPSNONPILOT/Tender/SplashBidNoticeAbstractUI.aspx?menuIndex=3&amp;refID=7153558&amp;Result=3","7153558")</f>
        <v>0</v>
      </c>
      <c r="B8336" t="s">
        <v>1207</v>
      </c>
      <c r="C8336" t="s">
        <v>11741</v>
      </c>
      <c r="D8336" t="s">
        <v>19049</v>
      </c>
      <c r="E8336" t="s">
        <v>26340</v>
      </c>
      <c r="F8336" t="s">
        <v>32833</v>
      </c>
      <c r="G8336" t="s">
        <v>32838</v>
      </c>
      <c r="H8336" t="s">
        <v>32848</v>
      </c>
      <c r="I8336" t="s">
        <v>32881</v>
      </c>
      <c r="J8336" t="s">
        <v>33162</v>
      </c>
      <c r="K8336" t="s">
        <v>42730</v>
      </c>
      <c r="M8336" t="s">
        <v>44274</v>
      </c>
      <c r="N8336" t="s">
        <v>47424</v>
      </c>
      <c r="O8336" t="s">
        <v>47425</v>
      </c>
      <c r="P8336">
        <v>0</v>
      </c>
      <c r="Q8336">
        <v>1</v>
      </c>
      <c r="R8336" t="s">
        <v>47432</v>
      </c>
      <c r="S8336" t="s">
        <v>47597</v>
      </c>
      <c r="T8336" t="s">
        <v>49251</v>
      </c>
      <c r="U8336" t="s">
        <v>56605</v>
      </c>
      <c r="W8336" t="s">
        <v>44274</v>
      </c>
      <c r="X8336" t="s">
        <v>47433</v>
      </c>
    </row>
    <row r="8337" spans="1:24">
      <c r="A8337">
        <f>HYPERLINK("https://www.philgeps.gov.ph/GEPSNONPILOT/Tender/SplashBidNoticeAbstractUI.aspx?menuIndex=3&amp;refID=7153544&amp;Result=3","7153544")</f>
        <v>0</v>
      </c>
      <c r="B8337" t="s">
        <v>99</v>
      </c>
      <c r="C8337" t="s">
        <v>11742</v>
      </c>
      <c r="D8337" t="s">
        <v>19054</v>
      </c>
      <c r="E8337" t="s">
        <v>26341</v>
      </c>
      <c r="F8337" t="s">
        <v>32831</v>
      </c>
      <c r="G8337" t="s">
        <v>32839</v>
      </c>
      <c r="H8337" t="s">
        <v>32848</v>
      </c>
      <c r="I8337" t="s">
        <v>32856</v>
      </c>
      <c r="J8337" t="s">
        <v>33178</v>
      </c>
      <c r="K8337" t="s">
        <v>42730</v>
      </c>
      <c r="M8337" t="s">
        <v>43096</v>
      </c>
      <c r="N8337" t="s">
        <v>47424</v>
      </c>
      <c r="O8337" t="s">
        <v>47425</v>
      </c>
      <c r="P8337">
        <v>0</v>
      </c>
      <c r="Q8337">
        <v>0</v>
      </c>
      <c r="R8337" t="s">
        <v>47432</v>
      </c>
      <c r="S8337" t="s">
        <v>47597</v>
      </c>
      <c r="T8337" t="s">
        <v>49108</v>
      </c>
      <c r="U8337" t="s">
        <v>49821</v>
      </c>
      <c r="V8337" t="s">
        <v>62643</v>
      </c>
      <c r="W8337" t="s">
        <v>43096</v>
      </c>
      <c r="X8337" t="s">
        <v>47433</v>
      </c>
    </row>
    <row r="8338" spans="1:24">
      <c r="A8338">
        <f>HYPERLINK("https://www.philgeps.gov.ph/GEPSNONPILOT/Tender/SplashBidNoticeAbstractUI.aspx?menuIndex=3&amp;refID=7153543&amp;Result=3","7153543")</f>
        <v>0</v>
      </c>
      <c r="B8338" t="s">
        <v>2792</v>
      </c>
      <c r="C8338" t="s">
        <v>11743</v>
      </c>
      <c r="D8338" t="s">
        <v>19020</v>
      </c>
      <c r="E8338" t="s">
        <v>23763</v>
      </c>
      <c r="F8338" t="s">
        <v>32831</v>
      </c>
      <c r="G8338" t="s">
        <v>32840</v>
      </c>
      <c r="H8338" t="s">
        <v>32848</v>
      </c>
      <c r="I8338" t="s">
        <v>4438</v>
      </c>
      <c r="J8338" t="s">
        <v>33133</v>
      </c>
      <c r="K8338" t="s">
        <v>42759</v>
      </c>
      <c r="M8338" t="s">
        <v>46022</v>
      </c>
      <c r="N8338" t="s">
        <v>47424</v>
      </c>
      <c r="O8338" t="s">
        <v>47425</v>
      </c>
      <c r="P8338">
        <v>0</v>
      </c>
      <c r="Q8338">
        <v>1</v>
      </c>
      <c r="R8338" t="s">
        <v>47432</v>
      </c>
      <c r="S8338" t="s">
        <v>47597</v>
      </c>
      <c r="T8338" t="s">
        <v>49127</v>
      </c>
      <c r="U8338" t="s">
        <v>56606</v>
      </c>
      <c r="W8338" t="s">
        <v>46022</v>
      </c>
      <c r="X8338" t="s">
        <v>47433</v>
      </c>
    </row>
    <row r="8339" spans="1:24">
      <c r="A8339">
        <f>HYPERLINK("https://www.philgeps.gov.ph/GEPSNONPILOT/Tender/SplashBidNoticeAbstractUI.aspx?menuIndex=3&amp;refID=7153533&amp;Result=3","7153533")</f>
        <v>0</v>
      </c>
      <c r="B8339" t="s">
        <v>895</v>
      </c>
      <c r="C8339" t="s">
        <v>11744</v>
      </c>
      <c r="D8339" t="s">
        <v>19036</v>
      </c>
      <c r="E8339" t="s">
        <v>26342</v>
      </c>
      <c r="F8339" t="s">
        <v>32831</v>
      </c>
      <c r="G8339" t="s">
        <v>32839</v>
      </c>
      <c r="H8339" t="s">
        <v>32848</v>
      </c>
      <c r="I8339" t="s">
        <v>32864</v>
      </c>
      <c r="J8339" t="s">
        <v>38184</v>
      </c>
      <c r="K8339" t="s">
        <v>42727</v>
      </c>
      <c r="M8339" t="s">
        <v>44825</v>
      </c>
      <c r="N8339" t="s">
        <v>47424</v>
      </c>
      <c r="O8339" t="s">
        <v>47425</v>
      </c>
      <c r="P8339">
        <v>0</v>
      </c>
      <c r="Q8339">
        <v>3</v>
      </c>
      <c r="R8339" t="s">
        <v>47432</v>
      </c>
      <c r="S8339" t="s">
        <v>47597</v>
      </c>
      <c r="T8339" t="s">
        <v>49095</v>
      </c>
      <c r="U8339" t="s">
        <v>56607</v>
      </c>
      <c r="V8339" t="s">
        <v>62833</v>
      </c>
      <c r="W8339" t="s">
        <v>44825</v>
      </c>
      <c r="X8339" t="s">
        <v>47433</v>
      </c>
    </row>
    <row r="8340" spans="1:24">
      <c r="A8340">
        <f>HYPERLINK("https://www.philgeps.gov.ph/GEPSNONPILOT/Tender/SplashBidNoticeAbstractUI.aspx?menuIndex=3&amp;refID=7153531&amp;Result=3","7153531")</f>
        <v>0</v>
      </c>
      <c r="B8340" t="s">
        <v>1140</v>
      </c>
      <c r="C8340" t="s">
        <v>11745</v>
      </c>
      <c r="D8340" t="s">
        <v>19078</v>
      </c>
      <c r="E8340" t="s">
        <v>26343</v>
      </c>
      <c r="F8340" t="s">
        <v>32831</v>
      </c>
      <c r="G8340" t="s">
        <v>32839</v>
      </c>
      <c r="H8340" t="s">
        <v>32848</v>
      </c>
      <c r="I8340" t="s">
        <v>4446</v>
      </c>
      <c r="J8340" t="s">
        <v>33468</v>
      </c>
      <c r="K8340" t="s">
        <v>42750</v>
      </c>
      <c r="M8340" t="s">
        <v>44204</v>
      </c>
      <c r="N8340" t="s">
        <v>47424</v>
      </c>
      <c r="O8340" t="s">
        <v>47425</v>
      </c>
      <c r="P8340">
        <v>0</v>
      </c>
      <c r="Q8340">
        <v>4</v>
      </c>
      <c r="R8340" t="s">
        <v>47432</v>
      </c>
      <c r="S8340" t="s">
        <v>47597</v>
      </c>
      <c r="T8340" t="s">
        <v>49151</v>
      </c>
      <c r="U8340" t="s">
        <v>56608</v>
      </c>
      <c r="W8340" t="s">
        <v>44204</v>
      </c>
      <c r="X8340" t="s">
        <v>47433</v>
      </c>
    </row>
    <row r="8341" spans="1:24">
      <c r="A8341">
        <f>HYPERLINK("https://www.philgeps.gov.ph/GEPSNONPILOT/Tender/SplashBidNoticeAbstractUI.aspx?menuIndex=3&amp;refID=7153529&amp;Result=3","7153529")</f>
        <v>0</v>
      </c>
      <c r="B8341" t="s">
        <v>2674</v>
      </c>
      <c r="C8341" t="s">
        <v>11746</v>
      </c>
      <c r="D8341" t="s">
        <v>19077</v>
      </c>
      <c r="E8341" t="s">
        <v>26344</v>
      </c>
      <c r="F8341" t="s">
        <v>32831</v>
      </c>
      <c r="G8341" t="s">
        <v>32840</v>
      </c>
      <c r="H8341" t="s">
        <v>32848</v>
      </c>
      <c r="I8341" t="s">
        <v>7416</v>
      </c>
      <c r="J8341" t="s">
        <v>38185</v>
      </c>
      <c r="K8341" t="s">
        <v>42730</v>
      </c>
      <c r="M8341" t="s">
        <v>45897</v>
      </c>
      <c r="N8341" t="s">
        <v>47424</v>
      </c>
      <c r="O8341" t="s">
        <v>47425</v>
      </c>
      <c r="P8341">
        <v>0</v>
      </c>
      <c r="Q8341">
        <v>0</v>
      </c>
      <c r="R8341" t="s">
        <v>47432</v>
      </c>
      <c r="S8341" t="s">
        <v>47597</v>
      </c>
      <c r="T8341" t="s">
        <v>49237</v>
      </c>
      <c r="U8341" t="s">
        <v>56609</v>
      </c>
      <c r="W8341" t="s">
        <v>45897</v>
      </c>
      <c r="X8341" t="s">
        <v>47433</v>
      </c>
    </row>
    <row r="8342" spans="1:24">
      <c r="A8342">
        <f>HYPERLINK("https://www.philgeps.gov.ph/GEPSNONPILOT/Tender/SplashBidNoticeAbstractUI.aspx?menuIndex=3&amp;refID=7153525&amp;Result=3","7153525")</f>
        <v>0</v>
      </c>
      <c r="B8342" t="s">
        <v>99</v>
      </c>
      <c r="C8342" t="s">
        <v>11747</v>
      </c>
      <c r="D8342" t="s">
        <v>19054</v>
      </c>
      <c r="E8342" t="s">
        <v>26345</v>
      </c>
      <c r="F8342" t="s">
        <v>32831</v>
      </c>
      <c r="G8342" t="s">
        <v>32839</v>
      </c>
      <c r="H8342" t="s">
        <v>32848</v>
      </c>
      <c r="I8342" t="s">
        <v>4487</v>
      </c>
      <c r="J8342" t="s">
        <v>33364</v>
      </c>
      <c r="K8342" t="s">
        <v>42730</v>
      </c>
      <c r="M8342" t="s">
        <v>43096</v>
      </c>
      <c r="N8342" t="s">
        <v>47424</v>
      </c>
      <c r="O8342" t="s">
        <v>47425</v>
      </c>
      <c r="P8342">
        <v>0</v>
      </c>
      <c r="Q8342">
        <v>1</v>
      </c>
      <c r="R8342" t="s">
        <v>47432</v>
      </c>
      <c r="S8342" t="s">
        <v>47597</v>
      </c>
      <c r="T8342" t="s">
        <v>49108</v>
      </c>
      <c r="U8342" t="s">
        <v>49821</v>
      </c>
      <c r="V8342" t="s">
        <v>62643</v>
      </c>
      <c r="W8342" t="s">
        <v>43096</v>
      </c>
      <c r="X8342" t="s">
        <v>47433</v>
      </c>
    </row>
    <row r="8343" spans="1:24">
      <c r="A8343">
        <f>HYPERLINK("https://www.philgeps.gov.ph/GEPSNONPILOT/Tender/SplashBidNoticeAbstractUI.aspx?menuIndex=3&amp;refID=7153546&amp;Result=3","7153546")</f>
        <v>0</v>
      </c>
      <c r="B8343" t="s">
        <v>2793</v>
      </c>
      <c r="C8343" t="s">
        <v>11748</v>
      </c>
      <c r="D8343" t="s">
        <v>19067</v>
      </c>
      <c r="E8343" t="s">
        <v>26346</v>
      </c>
      <c r="F8343" t="s">
        <v>32833</v>
      </c>
      <c r="G8343" t="s">
        <v>32838</v>
      </c>
      <c r="H8343" t="s">
        <v>32848</v>
      </c>
      <c r="I8343" t="s">
        <v>4303</v>
      </c>
      <c r="J8343" t="s">
        <v>38186</v>
      </c>
      <c r="K8343" t="s">
        <v>42727</v>
      </c>
      <c r="M8343" t="s">
        <v>46023</v>
      </c>
      <c r="N8343" t="s">
        <v>47424</v>
      </c>
      <c r="O8343" t="s">
        <v>47425</v>
      </c>
      <c r="P8343">
        <v>0</v>
      </c>
      <c r="Q8343">
        <v>0</v>
      </c>
      <c r="R8343" t="s">
        <v>47432</v>
      </c>
      <c r="S8343" t="s">
        <v>47597</v>
      </c>
      <c r="T8343" t="s">
        <v>49114</v>
      </c>
      <c r="U8343" t="s">
        <v>56610</v>
      </c>
      <c r="W8343" t="s">
        <v>46023</v>
      </c>
      <c r="X8343" t="s">
        <v>47433</v>
      </c>
    </row>
    <row r="8344" spans="1:24">
      <c r="A8344">
        <f>HYPERLINK("https://www.philgeps.gov.ph/GEPSNONPILOT/Tender/SplashBidNoticeAbstractUI.aspx?menuIndex=3&amp;refID=7153536&amp;Result=3","7153536")</f>
        <v>0</v>
      </c>
      <c r="B8344" t="s">
        <v>1839</v>
      </c>
      <c r="C8344" t="s">
        <v>11749</v>
      </c>
      <c r="D8344" t="s">
        <v>19033</v>
      </c>
      <c r="E8344" t="s">
        <v>26347</v>
      </c>
      <c r="F8344" t="s">
        <v>32831</v>
      </c>
      <c r="G8344" t="s">
        <v>32838</v>
      </c>
      <c r="H8344" t="s">
        <v>32848</v>
      </c>
      <c r="I8344" t="s">
        <v>6526</v>
      </c>
      <c r="J8344" t="s">
        <v>38187</v>
      </c>
      <c r="K8344" t="s">
        <v>42760</v>
      </c>
      <c r="M8344" t="s">
        <v>44973</v>
      </c>
      <c r="N8344" t="s">
        <v>47424</v>
      </c>
      <c r="O8344" t="s">
        <v>47425</v>
      </c>
      <c r="P8344">
        <v>0</v>
      </c>
      <c r="Q8344">
        <v>0</v>
      </c>
      <c r="R8344" t="s">
        <v>47432</v>
      </c>
      <c r="S8344" t="s">
        <v>47597</v>
      </c>
      <c r="T8344" t="s">
        <v>49235</v>
      </c>
      <c r="U8344" t="s">
        <v>56611</v>
      </c>
      <c r="W8344" t="s">
        <v>44973</v>
      </c>
      <c r="X8344" t="s">
        <v>47433</v>
      </c>
    </row>
    <row r="8345" spans="1:24">
      <c r="A8345">
        <f>HYPERLINK("https://www.philgeps.gov.ph/GEPSNONPILOT/Tender/SplashBidNoticeAbstractUI.aspx?menuIndex=3&amp;refID=7153521&amp;Result=3","7153521")</f>
        <v>0</v>
      </c>
      <c r="B8345" t="s">
        <v>1770</v>
      </c>
      <c r="C8345" t="s">
        <v>11750</v>
      </c>
      <c r="D8345" t="s">
        <v>19058</v>
      </c>
      <c r="E8345" t="s">
        <v>26348</v>
      </c>
      <c r="F8345" t="s">
        <v>32831</v>
      </c>
      <c r="G8345" t="s">
        <v>32840</v>
      </c>
      <c r="H8345" t="s">
        <v>32848</v>
      </c>
      <c r="I8345" t="s">
        <v>32860</v>
      </c>
      <c r="J8345" t="s">
        <v>38188</v>
      </c>
      <c r="K8345" t="s">
        <v>42726</v>
      </c>
      <c r="M8345" t="s">
        <v>44895</v>
      </c>
      <c r="N8345" t="s">
        <v>47424</v>
      </c>
      <c r="O8345" t="s">
        <v>47425</v>
      </c>
      <c r="P8345">
        <v>0</v>
      </c>
      <c r="Q8345">
        <v>1</v>
      </c>
      <c r="R8345" t="s">
        <v>47432</v>
      </c>
      <c r="S8345" t="s">
        <v>47597</v>
      </c>
      <c r="T8345" t="s">
        <v>49237</v>
      </c>
      <c r="U8345" t="s">
        <v>56612</v>
      </c>
      <c r="W8345" t="s">
        <v>44895</v>
      </c>
      <c r="X8345" t="s">
        <v>47433</v>
      </c>
    </row>
    <row r="8346" spans="1:24">
      <c r="A8346">
        <f>HYPERLINK("https://www.philgeps.gov.ph/GEPSNONPILOT/Tender/SplashBidNoticeAbstractUI.aspx?menuIndex=3&amp;refID=7153516&amp;Result=3","7153516")</f>
        <v>0</v>
      </c>
      <c r="B8346" t="s">
        <v>2752</v>
      </c>
      <c r="C8346" t="s">
        <v>11751</v>
      </c>
      <c r="D8346" t="s">
        <v>19022</v>
      </c>
      <c r="E8346" t="s">
        <v>26349</v>
      </c>
      <c r="F8346" t="s">
        <v>32831</v>
      </c>
      <c r="G8346" t="s">
        <v>32839</v>
      </c>
      <c r="H8346" t="s">
        <v>32848</v>
      </c>
      <c r="I8346" t="s">
        <v>7416</v>
      </c>
      <c r="J8346" t="s">
        <v>38189</v>
      </c>
      <c r="K8346" t="s">
        <v>42731</v>
      </c>
      <c r="M8346" t="s">
        <v>45981</v>
      </c>
      <c r="N8346" t="s">
        <v>47424</v>
      </c>
      <c r="O8346" t="s">
        <v>47425</v>
      </c>
      <c r="P8346">
        <v>0</v>
      </c>
      <c r="Q8346">
        <v>3</v>
      </c>
      <c r="R8346" t="s">
        <v>47432</v>
      </c>
      <c r="S8346" t="s">
        <v>47597</v>
      </c>
      <c r="T8346" t="s">
        <v>49214</v>
      </c>
      <c r="U8346" t="s">
        <v>52173</v>
      </c>
      <c r="W8346" t="s">
        <v>45981</v>
      </c>
      <c r="X8346" t="s">
        <v>47433</v>
      </c>
    </row>
    <row r="8347" spans="1:24">
      <c r="A8347">
        <f>HYPERLINK("https://www.philgeps.gov.ph/GEPSNONPILOT/Tender/SplashBidNoticeAbstractUI.aspx?menuIndex=3&amp;refID=7153617&amp;Result=3","7153617")</f>
        <v>0</v>
      </c>
      <c r="B8347" t="s">
        <v>911</v>
      </c>
      <c r="C8347" t="s">
        <v>11752</v>
      </c>
      <c r="D8347" t="s">
        <v>19049</v>
      </c>
      <c r="E8347" t="s">
        <v>26350</v>
      </c>
      <c r="F8347" t="s">
        <v>32831</v>
      </c>
      <c r="G8347" t="s">
        <v>32838</v>
      </c>
      <c r="H8347" t="s">
        <v>32848</v>
      </c>
      <c r="I8347" t="s">
        <v>32883</v>
      </c>
      <c r="J8347" t="s">
        <v>38190</v>
      </c>
      <c r="K8347" t="s">
        <v>42727</v>
      </c>
      <c r="M8347" t="s">
        <v>43951</v>
      </c>
      <c r="N8347" t="s">
        <v>47424</v>
      </c>
      <c r="O8347" t="s">
        <v>47425</v>
      </c>
      <c r="P8347">
        <v>0</v>
      </c>
      <c r="Q8347">
        <v>0</v>
      </c>
      <c r="R8347" t="s">
        <v>47432</v>
      </c>
      <c r="S8347" t="s">
        <v>47597</v>
      </c>
      <c r="T8347" t="s">
        <v>49237</v>
      </c>
      <c r="U8347" t="s">
        <v>51540</v>
      </c>
      <c r="W8347" t="s">
        <v>43951</v>
      </c>
      <c r="X8347" t="s">
        <v>47433</v>
      </c>
    </row>
    <row r="8348" spans="1:24">
      <c r="A8348">
        <f>HYPERLINK("https://www.philgeps.gov.ph/GEPSNONPILOT/Tender/SplashBidNoticeAbstractUI.aspx?menuIndex=3&amp;refID=7153491&amp;Result=3","7153491")</f>
        <v>0</v>
      </c>
      <c r="B8348" t="s">
        <v>2791</v>
      </c>
      <c r="C8348" t="s">
        <v>11753</v>
      </c>
      <c r="D8348" t="s">
        <v>19034</v>
      </c>
      <c r="E8348" t="s">
        <v>25885</v>
      </c>
      <c r="F8348" t="s">
        <v>32831</v>
      </c>
      <c r="G8348" t="s">
        <v>32838</v>
      </c>
      <c r="H8348" t="s">
        <v>32848</v>
      </c>
      <c r="I8348" t="s">
        <v>6526</v>
      </c>
      <c r="J8348" t="s">
        <v>38191</v>
      </c>
      <c r="K8348" t="s">
        <v>42727</v>
      </c>
      <c r="M8348" t="s">
        <v>46021</v>
      </c>
      <c r="N8348" t="s">
        <v>47424</v>
      </c>
      <c r="O8348" t="s">
        <v>47425</v>
      </c>
      <c r="P8348">
        <v>0</v>
      </c>
      <c r="Q8348">
        <v>0</v>
      </c>
      <c r="R8348" t="s">
        <v>47432</v>
      </c>
      <c r="S8348" t="s">
        <v>47597</v>
      </c>
      <c r="T8348" t="s">
        <v>49166</v>
      </c>
      <c r="U8348" t="s">
        <v>56604</v>
      </c>
      <c r="W8348" t="s">
        <v>46021</v>
      </c>
      <c r="X8348" t="s">
        <v>47433</v>
      </c>
    </row>
    <row r="8349" spans="1:24">
      <c r="A8349">
        <f>HYPERLINK("https://www.philgeps.gov.ph/GEPSNONPILOT/Tender/SplashBidNoticeAbstractUI.aspx?menuIndex=3&amp;refID=7153553&amp;Result=3","7153553")</f>
        <v>0</v>
      </c>
      <c r="B8349" t="s">
        <v>2526</v>
      </c>
      <c r="C8349" t="s">
        <v>11754</v>
      </c>
      <c r="D8349" t="s">
        <v>19017</v>
      </c>
      <c r="E8349" t="s">
        <v>26351</v>
      </c>
      <c r="F8349" t="s">
        <v>32831</v>
      </c>
      <c r="G8349" t="s">
        <v>32840</v>
      </c>
      <c r="H8349" t="s">
        <v>32848</v>
      </c>
      <c r="I8349" t="s">
        <v>32860</v>
      </c>
      <c r="J8349" t="s">
        <v>33385</v>
      </c>
      <c r="K8349" t="s">
        <v>42726</v>
      </c>
      <c r="M8349" t="s">
        <v>45734</v>
      </c>
      <c r="N8349" t="s">
        <v>47424</v>
      </c>
      <c r="O8349" t="s">
        <v>47425</v>
      </c>
      <c r="P8349">
        <v>0</v>
      </c>
      <c r="Q8349">
        <v>2</v>
      </c>
      <c r="R8349" t="s">
        <v>47432</v>
      </c>
      <c r="S8349" t="s">
        <v>47597</v>
      </c>
      <c r="T8349" t="s">
        <v>49163</v>
      </c>
      <c r="U8349" t="s">
        <v>56613</v>
      </c>
      <c r="V8349" t="s">
        <v>63440</v>
      </c>
      <c r="W8349" t="s">
        <v>45734</v>
      </c>
      <c r="X8349" t="s">
        <v>47433</v>
      </c>
    </row>
    <row r="8350" spans="1:24">
      <c r="A8350">
        <f>HYPERLINK("https://www.philgeps.gov.ph/GEPSNONPILOT/Tender/SplashBidNoticeAbstractUI.aspx?menuIndex=3&amp;refID=7153612&amp;Result=3","7153612")</f>
        <v>0</v>
      </c>
      <c r="B8350" t="s">
        <v>2794</v>
      </c>
      <c r="C8350" t="s">
        <v>11755</v>
      </c>
      <c r="D8350" t="s">
        <v>19038</v>
      </c>
      <c r="E8350" t="s">
        <v>26352</v>
      </c>
      <c r="F8350" t="s">
        <v>32831</v>
      </c>
      <c r="G8350" t="s">
        <v>32842</v>
      </c>
      <c r="H8350" t="s">
        <v>32848</v>
      </c>
      <c r="I8350" t="s">
        <v>32860</v>
      </c>
      <c r="J8350" t="s">
        <v>38192</v>
      </c>
      <c r="K8350" t="s">
        <v>42726</v>
      </c>
      <c r="M8350" t="s">
        <v>46024</v>
      </c>
      <c r="N8350" t="s">
        <v>47424</v>
      </c>
      <c r="O8350" t="s">
        <v>47425</v>
      </c>
      <c r="P8350">
        <v>0</v>
      </c>
      <c r="Q8350">
        <v>1</v>
      </c>
      <c r="R8350" t="s">
        <v>47432</v>
      </c>
      <c r="S8350" t="s">
        <v>47597</v>
      </c>
      <c r="T8350" t="s">
        <v>49129</v>
      </c>
      <c r="U8350" t="s">
        <v>56614</v>
      </c>
      <c r="W8350" t="s">
        <v>46024</v>
      </c>
      <c r="X8350" t="s">
        <v>47433</v>
      </c>
    </row>
    <row r="8351" spans="1:24">
      <c r="A8351">
        <f>HYPERLINK("https://www.philgeps.gov.ph/GEPSNONPILOT/Tender/SplashBidNoticeAbstractUI.aspx?menuIndex=3&amp;refID=7153610&amp;Result=3","7153610")</f>
        <v>0</v>
      </c>
      <c r="B8351" t="s">
        <v>2692</v>
      </c>
      <c r="C8351" t="s">
        <v>11756</v>
      </c>
      <c r="D8351" t="s">
        <v>19048</v>
      </c>
      <c r="E8351" t="s">
        <v>26353</v>
      </c>
      <c r="F8351" t="s">
        <v>32834</v>
      </c>
      <c r="G8351" t="s">
        <v>32840</v>
      </c>
      <c r="H8351" t="s">
        <v>32848</v>
      </c>
      <c r="I8351" t="s">
        <v>32927</v>
      </c>
      <c r="J8351" t="s">
        <v>38193</v>
      </c>
      <c r="K8351" t="s">
        <v>42749</v>
      </c>
      <c r="M8351" t="s">
        <v>45915</v>
      </c>
      <c r="N8351" t="s">
        <v>47424</v>
      </c>
      <c r="O8351" t="s">
        <v>47425</v>
      </c>
      <c r="P8351">
        <v>0</v>
      </c>
      <c r="Q8351">
        <v>0</v>
      </c>
      <c r="R8351" t="s">
        <v>47432</v>
      </c>
      <c r="S8351" t="s">
        <v>47597</v>
      </c>
      <c r="T8351" t="s">
        <v>49111</v>
      </c>
      <c r="U8351" t="s">
        <v>56578</v>
      </c>
      <c r="W8351" t="s">
        <v>45915</v>
      </c>
      <c r="X8351" t="s">
        <v>47433</v>
      </c>
    </row>
    <row r="8352" spans="1:24">
      <c r="A8352">
        <f>HYPERLINK("https://www.philgeps.gov.ph/GEPSNONPILOT/Tender/SplashBidNoticeAbstractUI.aspx?menuIndex=3&amp;refID=7153515&amp;Result=3","7153515")</f>
        <v>0</v>
      </c>
      <c r="B8352" t="s">
        <v>99</v>
      </c>
      <c r="C8352" t="s">
        <v>11757</v>
      </c>
      <c r="D8352" t="s">
        <v>19054</v>
      </c>
      <c r="E8352" t="s">
        <v>26354</v>
      </c>
      <c r="F8352" t="s">
        <v>32831</v>
      </c>
      <c r="G8352" t="s">
        <v>32839</v>
      </c>
      <c r="H8352" t="s">
        <v>32848</v>
      </c>
      <c r="I8352" t="s">
        <v>4438</v>
      </c>
      <c r="J8352" t="s">
        <v>38194</v>
      </c>
      <c r="K8352" t="s">
        <v>42730</v>
      </c>
      <c r="M8352" t="s">
        <v>43096</v>
      </c>
      <c r="N8352" t="s">
        <v>47424</v>
      </c>
      <c r="O8352" t="s">
        <v>47425</v>
      </c>
      <c r="P8352">
        <v>0</v>
      </c>
      <c r="Q8352">
        <v>0</v>
      </c>
      <c r="R8352" t="s">
        <v>47432</v>
      </c>
      <c r="S8352" t="s">
        <v>47597</v>
      </c>
      <c r="T8352" t="s">
        <v>49108</v>
      </c>
      <c r="U8352" t="s">
        <v>49821</v>
      </c>
      <c r="V8352" t="s">
        <v>62643</v>
      </c>
      <c r="W8352" t="s">
        <v>43096</v>
      </c>
      <c r="X8352" t="s">
        <v>47433</v>
      </c>
    </row>
    <row r="8353" spans="1:24">
      <c r="A8353">
        <f>HYPERLINK("https://www.philgeps.gov.ph/GEPSNONPILOT/Tender/SplashBidNoticeAbstractUI.aspx?menuIndex=3&amp;refID=7153575&amp;Result=3","7153575")</f>
        <v>0</v>
      </c>
      <c r="B8353" t="s">
        <v>1740</v>
      </c>
      <c r="C8353" t="s">
        <v>11758</v>
      </c>
      <c r="D8353" t="s">
        <v>19068</v>
      </c>
      <c r="E8353" t="s">
        <v>26355</v>
      </c>
      <c r="F8353" t="s">
        <v>32831</v>
      </c>
      <c r="G8353" t="s">
        <v>32839</v>
      </c>
      <c r="H8353" t="s">
        <v>32848</v>
      </c>
      <c r="I8353" t="s">
        <v>4776</v>
      </c>
      <c r="J8353" t="s">
        <v>33133</v>
      </c>
      <c r="K8353" t="s">
        <v>42727</v>
      </c>
      <c r="M8353" t="s">
        <v>44863</v>
      </c>
      <c r="N8353" t="s">
        <v>47424</v>
      </c>
      <c r="O8353" t="s">
        <v>47425</v>
      </c>
      <c r="P8353">
        <v>0</v>
      </c>
      <c r="Q8353">
        <v>0</v>
      </c>
      <c r="R8353" t="s">
        <v>47432</v>
      </c>
      <c r="S8353" t="s">
        <v>47597</v>
      </c>
      <c r="T8353" t="s">
        <v>49267</v>
      </c>
      <c r="U8353" t="s">
        <v>56615</v>
      </c>
      <c r="W8353" t="s">
        <v>44863</v>
      </c>
      <c r="X8353" t="s">
        <v>47433</v>
      </c>
    </row>
    <row r="8354" spans="1:24">
      <c r="A8354">
        <f>HYPERLINK("https://www.philgeps.gov.ph/GEPSNONPILOT/Tender/SplashBidNoticeAbstractUI.aspx?menuIndex=3&amp;refID=7153606&amp;Result=3","7153606")</f>
        <v>0</v>
      </c>
      <c r="B8354" t="s">
        <v>99</v>
      </c>
      <c r="C8354" t="s">
        <v>11759</v>
      </c>
      <c r="D8354" t="s">
        <v>19054</v>
      </c>
      <c r="E8354" t="s">
        <v>26356</v>
      </c>
      <c r="F8354" t="s">
        <v>32831</v>
      </c>
      <c r="G8354" t="s">
        <v>32839</v>
      </c>
      <c r="H8354" t="s">
        <v>32848</v>
      </c>
      <c r="I8354" t="s">
        <v>32870</v>
      </c>
      <c r="J8354" t="s">
        <v>33017</v>
      </c>
      <c r="K8354" t="s">
        <v>42730</v>
      </c>
      <c r="M8354" t="s">
        <v>43096</v>
      </c>
      <c r="N8354" t="s">
        <v>47424</v>
      </c>
      <c r="O8354" t="s">
        <v>47425</v>
      </c>
      <c r="P8354">
        <v>0</v>
      </c>
      <c r="Q8354">
        <v>0</v>
      </c>
      <c r="R8354" t="s">
        <v>47432</v>
      </c>
      <c r="S8354" t="s">
        <v>47597</v>
      </c>
      <c r="T8354" t="s">
        <v>49108</v>
      </c>
      <c r="U8354" t="s">
        <v>56616</v>
      </c>
      <c r="V8354" t="s">
        <v>62643</v>
      </c>
      <c r="W8354" t="s">
        <v>43096</v>
      </c>
      <c r="X8354" t="s">
        <v>47433</v>
      </c>
    </row>
    <row r="8355" spans="1:24">
      <c r="A8355">
        <f>HYPERLINK("https://www.philgeps.gov.ph/GEPSNONPILOT/Tender/SplashBidNoticeAbstractUI.aspx?menuIndex=3&amp;refID=7153613&amp;Result=3","7153613")</f>
        <v>0</v>
      </c>
      <c r="B8355" t="s">
        <v>99</v>
      </c>
      <c r="C8355" t="s">
        <v>11760</v>
      </c>
      <c r="D8355" t="s">
        <v>19054</v>
      </c>
      <c r="E8355" t="s">
        <v>26357</v>
      </c>
      <c r="F8355" t="s">
        <v>32831</v>
      </c>
      <c r="G8355" t="s">
        <v>32839</v>
      </c>
      <c r="H8355" t="s">
        <v>32848</v>
      </c>
      <c r="I8355" t="s">
        <v>32925</v>
      </c>
      <c r="J8355" t="s">
        <v>35047</v>
      </c>
      <c r="K8355" t="s">
        <v>42730</v>
      </c>
      <c r="M8355" t="s">
        <v>43096</v>
      </c>
      <c r="N8355" t="s">
        <v>47424</v>
      </c>
      <c r="O8355" t="s">
        <v>47425</v>
      </c>
      <c r="P8355">
        <v>0</v>
      </c>
      <c r="Q8355">
        <v>0</v>
      </c>
      <c r="R8355" t="s">
        <v>47432</v>
      </c>
      <c r="S8355" t="s">
        <v>47597</v>
      </c>
      <c r="T8355" t="s">
        <v>49108</v>
      </c>
      <c r="U8355" t="s">
        <v>49821</v>
      </c>
      <c r="V8355" t="s">
        <v>62643</v>
      </c>
      <c r="W8355" t="s">
        <v>43096</v>
      </c>
      <c r="X8355" t="s">
        <v>47433</v>
      </c>
    </row>
    <row r="8356" spans="1:24">
      <c r="A8356">
        <f>HYPERLINK("https://www.philgeps.gov.ph/GEPSNONPILOT/Tender/SplashBidNoticeAbstractUI.aspx?menuIndex=3&amp;refID=7153605&amp;Result=3","7153605")</f>
        <v>0</v>
      </c>
      <c r="B8356" t="s">
        <v>2795</v>
      </c>
      <c r="C8356" t="s">
        <v>11761</v>
      </c>
      <c r="D8356" t="s">
        <v>19038</v>
      </c>
      <c r="E8356" t="s">
        <v>26358</v>
      </c>
      <c r="F8356" t="s">
        <v>32831</v>
      </c>
      <c r="G8356" t="s">
        <v>32839</v>
      </c>
      <c r="H8356" t="s">
        <v>32848</v>
      </c>
      <c r="I8356" t="s">
        <v>7751</v>
      </c>
      <c r="J8356" t="s">
        <v>38195</v>
      </c>
      <c r="K8356" t="s">
        <v>42729</v>
      </c>
      <c r="M8356" t="s">
        <v>46025</v>
      </c>
      <c r="N8356" t="s">
        <v>47424</v>
      </c>
      <c r="O8356" t="s">
        <v>47425</v>
      </c>
      <c r="P8356">
        <v>0</v>
      </c>
      <c r="Q8356">
        <v>0</v>
      </c>
      <c r="R8356" t="s">
        <v>47432</v>
      </c>
      <c r="S8356" t="s">
        <v>47597</v>
      </c>
      <c r="T8356" t="s">
        <v>49205</v>
      </c>
      <c r="U8356" t="s">
        <v>50828</v>
      </c>
      <c r="W8356" t="s">
        <v>46025</v>
      </c>
      <c r="X8356" t="s">
        <v>47433</v>
      </c>
    </row>
    <row r="8357" spans="1:24">
      <c r="A8357">
        <f>HYPERLINK("https://www.philgeps.gov.ph/GEPSNONPILOT/Tender/SplashBidNoticeAbstractUI.aspx?menuIndex=3&amp;refID=7153527&amp;Result=3","7153527")</f>
        <v>0</v>
      </c>
      <c r="B8357" t="s">
        <v>2796</v>
      </c>
      <c r="C8357" t="s">
        <v>9492</v>
      </c>
      <c r="D8357" t="s">
        <v>19091</v>
      </c>
      <c r="E8357" t="s">
        <v>26359</v>
      </c>
      <c r="F8357" t="s">
        <v>32831</v>
      </c>
      <c r="G8357" t="s">
        <v>32839</v>
      </c>
      <c r="H8357" t="s">
        <v>32849</v>
      </c>
      <c r="I8357" t="s">
        <v>4177</v>
      </c>
      <c r="J8357" t="s">
        <v>33044</v>
      </c>
      <c r="K8357" t="s">
        <v>42736</v>
      </c>
      <c r="M8357" t="s">
        <v>46026</v>
      </c>
      <c r="N8357" t="s">
        <v>47424</v>
      </c>
      <c r="O8357" t="s">
        <v>47425</v>
      </c>
      <c r="P8357">
        <v>0</v>
      </c>
      <c r="Q8357">
        <v>0</v>
      </c>
      <c r="R8357" t="s">
        <v>47432</v>
      </c>
      <c r="S8357" t="s">
        <v>47597</v>
      </c>
      <c r="T8357" t="s">
        <v>49214</v>
      </c>
      <c r="U8357" t="s">
        <v>56617</v>
      </c>
      <c r="W8357" t="s">
        <v>46026</v>
      </c>
      <c r="X8357" t="s">
        <v>47433</v>
      </c>
    </row>
    <row r="8358" spans="1:24">
      <c r="A8358">
        <f>HYPERLINK("https://www.philgeps.gov.ph/GEPSNONPILOT/Tender/SplashBidNoticeAbstractUI.aspx?menuIndex=3&amp;refID=7153599&amp;Result=3","7153599")</f>
        <v>0</v>
      </c>
      <c r="B8358" t="s">
        <v>205</v>
      </c>
      <c r="C8358" t="s">
        <v>11762</v>
      </c>
      <c r="D8358" t="s">
        <v>19055</v>
      </c>
      <c r="E8358" t="s">
        <v>26360</v>
      </c>
      <c r="F8358" t="s">
        <v>32831</v>
      </c>
      <c r="G8358" t="s">
        <v>32839</v>
      </c>
      <c r="H8358" t="s">
        <v>32849</v>
      </c>
      <c r="I8358" t="s">
        <v>4177</v>
      </c>
      <c r="J8358" t="s">
        <v>38196</v>
      </c>
      <c r="K8358" t="s">
        <v>42913</v>
      </c>
      <c r="M8358" t="s">
        <v>43203</v>
      </c>
      <c r="N8358" t="s">
        <v>47424</v>
      </c>
      <c r="O8358" t="s">
        <v>47425</v>
      </c>
      <c r="P8358">
        <v>0</v>
      </c>
      <c r="Q8358">
        <v>5</v>
      </c>
      <c r="R8358" t="s">
        <v>47432</v>
      </c>
      <c r="S8358" t="s">
        <v>47597</v>
      </c>
      <c r="T8358" t="s">
        <v>49236</v>
      </c>
      <c r="U8358" t="s">
        <v>56618</v>
      </c>
      <c r="W8358" t="s">
        <v>43203</v>
      </c>
      <c r="X8358" t="s">
        <v>47433</v>
      </c>
    </row>
    <row r="8359" spans="1:24">
      <c r="A8359">
        <f>HYPERLINK("https://www.philgeps.gov.ph/GEPSNONPILOT/Tender/SplashBidNoticeAbstractUI.aspx?menuIndex=3&amp;refID=7153608&amp;Result=3","7153608")</f>
        <v>0</v>
      </c>
      <c r="B8359" t="s">
        <v>2656</v>
      </c>
      <c r="C8359" t="s">
        <v>11763</v>
      </c>
      <c r="D8359" t="s">
        <v>19028</v>
      </c>
      <c r="E8359" t="s">
        <v>26361</v>
      </c>
      <c r="F8359" t="s">
        <v>32831</v>
      </c>
      <c r="G8359" t="s">
        <v>32839</v>
      </c>
      <c r="H8359" t="s">
        <v>32849</v>
      </c>
      <c r="I8359" t="s">
        <v>4177</v>
      </c>
      <c r="J8359" t="s">
        <v>38197</v>
      </c>
      <c r="K8359" t="s">
        <v>42794</v>
      </c>
      <c r="M8359" t="s">
        <v>45919</v>
      </c>
      <c r="N8359" t="s">
        <v>47424</v>
      </c>
      <c r="O8359" t="s">
        <v>47425</v>
      </c>
      <c r="P8359">
        <v>0</v>
      </c>
      <c r="Q8359">
        <v>0</v>
      </c>
      <c r="R8359" t="s">
        <v>47432</v>
      </c>
      <c r="S8359" t="s">
        <v>47597</v>
      </c>
      <c r="T8359" t="s">
        <v>49166</v>
      </c>
      <c r="U8359" t="s">
        <v>56348</v>
      </c>
      <c r="W8359" t="s">
        <v>45919</v>
      </c>
      <c r="X8359" t="s">
        <v>47433</v>
      </c>
    </row>
    <row r="8360" spans="1:24">
      <c r="A8360">
        <f>HYPERLINK("https://www.philgeps.gov.ph/GEPSNONPILOT/Tender/SplashBidNoticeAbstractUI.aspx?menuIndex=3&amp;refID=7153598&amp;Result=3","7153598")</f>
        <v>0</v>
      </c>
      <c r="B8360" t="s">
        <v>2797</v>
      </c>
      <c r="C8360" t="s">
        <v>11764</v>
      </c>
      <c r="D8360" t="s">
        <v>19030</v>
      </c>
      <c r="E8360" t="s">
        <v>26362</v>
      </c>
      <c r="F8360" t="s">
        <v>32831</v>
      </c>
      <c r="G8360" t="s">
        <v>32840</v>
      </c>
      <c r="H8360" t="s">
        <v>32848</v>
      </c>
      <c r="I8360" t="s">
        <v>10805</v>
      </c>
      <c r="J8360" t="s">
        <v>33077</v>
      </c>
      <c r="K8360" t="s">
        <v>42745</v>
      </c>
      <c r="M8360" t="s">
        <v>46027</v>
      </c>
      <c r="N8360" t="s">
        <v>47424</v>
      </c>
      <c r="O8360" t="s">
        <v>47425</v>
      </c>
      <c r="P8360">
        <v>0</v>
      </c>
      <c r="Q8360">
        <v>6</v>
      </c>
      <c r="R8360" t="s">
        <v>47432</v>
      </c>
      <c r="S8360" t="s">
        <v>47597</v>
      </c>
      <c r="T8360" t="s">
        <v>49229</v>
      </c>
      <c r="U8360" t="s">
        <v>56619</v>
      </c>
      <c r="W8360" t="s">
        <v>46027</v>
      </c>
      <c r="X8360" t="s">
        <v>47433</v>
      </c>
    </row>
    <row r="8361" spans="1:24">
      <c r="A8361">
        <f>HYPERLINK("https://www.philgeps.gov.ph/GEPSNONPILOT/Tender/SplashBidNoticeAbstractUI.aspx?menuIndex=3&amp;refID=7153614&amp;Result=3","7153614")</f>
        <v>0</v>
      </c>
      <c r="B8361" t="s">
        <v>2526</v>
      </c>
      <c r="C8361" t="s">
        <v>11765</v>
      </c>
      <c r="D8361" t="s">
        <v>19017</v>
      </c>
      <c r="E8361" t="s">
        <v>26351</v>
      </c>
      <c r="F8361" t="s">
        <v>32831</v>
      </c>
      <c r="G8361" t="s">
        <v>32838</v>
      </c>
      <c r="H8361" t="s">
        <v>32848</v>
      </c>
      <c r="I8361" t="s">
        <v>4487</v>
      </c>
      <c r="J8361" t="s">
        <v>35112</v>
      </c>
      <c r="K8361" t="s">
        <v>42726</v>
      </c>
      <c r="M8361" t="s">
        <v>45734</v>
      </c>
      <c r="N8361" t="s">
        <v>47424</v>
      </c>
      <c r="O8361" t="s">
        <v>47425</v>
      </c>
      <c r="P8361">
        <v>0</v>
      </c>
      <c r="Q8361">
        <v>4</v>
      </c>
      <c r="R8361" t="s">
        <v>47432</v>
      </c>
      <c r="S8361" t="s">
        <v>47597</v>
      </c>
      <c r="T8361" t="s">
        <v>49163</v>
      </c>
      <c r="U8361" t="s">
        <v>56620</v>
      </c>
      <c r="V8361" t="s">
        <v>63440</v>
      </c>
      <c r="W8361" t="s">
        <v>45734</v>
      </c>
      <c r="X8361" t="s">
        <v>47433</v>
      </c>
    </row>
    <row r="8362" spans="1:24">
      <c r="A8362">
        <f>HYPERLINK("https://www.philgeps.gov.ph/GEPSNONPILOT/Tender/SplashBidNoticeAbstractUI.aspx?menuIndex=3&amp;refID=7153660&amp;Result=3","7153660")</f>
        <v>0</v>
      </c>
      <c r="B8362" t="s">
        <v>2798</v>
      </c>
      <c r="C8362" t="s">
        <v>11766</v>
      </c>
      <c r="D8362" t="s">
        <v>19104</v>
      </c>
      <c r="E8362" t="s">
        <v>26363</v>
      </c>
      <c r="F8362" t="s">
        <v>32831</v>
      </c>
      <c r="G8362" t="s">
        <v>32840</v>
      </c>
      <c r="H8362" t="s">
        <v>32848</v>
      </c>
      <c r="I8362" t="s">
        <v>7416</v>
      </c>
      <c r="J8362" t="s">
        <v>38198</v>
      </c>
      <c r="K8362" t="s">
        <v>42727</v>
      </c>
      <c r="M8362" t="s">
        <v>46028</v>
      </c>
      <c r="N8362" t="s">
        <v>47424</v>
      </c>
      <c r="O8362" t="s">
        <v>47425</v>
      </c>
      <c r="P8362">
        <v>0</v>
      </c>
      <c r="Q8362">
        <v>0</v>
      </c>
      <c r="R8362" t="s">
        <v>47432</v>
      </c>
      <c r="S8362" t="s">
        <v>47597</v>
      </c>
      <c r="T8362" t="s">
        <v>49214</v>
      </c>
      <c r="U8362" t="s">
        <v>56621</v>
      </c>
      <c r="V8362" t="s">
        <v>63559</v>
      </c>
      <c r="W8362" t="s">
        <v>46028</v>
      </c>
      <c r="X8362" t="s">
        <v>47433</v>
      </c>
    </row>
    <row r="8363" spans="1:24">
      <c r="A8363">
        <f>HYPERLINK("https://www.philgeps.gov.ph/GEPSNONPILOT/Tender/SplashBidNoticeAbstractUI.aspx?menuIndex=3&amp;refID=7153658&amp;Result=3","7153658")</f>
        <v>0</v>
      </c>
      <c r="B8363" t="s">
        <v>99</v>
      </c>
      <c r="C8363" t="s">
        <v>11767</v>
      </c>
      <c r="D8363" t="s">
        <v>19054</v>
      </c>
      <c r="E8363" t="s">
        <v>26364</v>
      </c>
      <c r="F8363" t="s">
        <v>32831</v>
      </c>
      <c r="G8363" t="s">
        <v>32839</v>
      </c>
      <c r="H8363" t="s">
        <v>32848</v>
      </c>
      <c r="I8363" t="s">
        <v>4303</v>
      </c>
      <c r="J8363" t="s">
        <v>38199</v>
      </c>
      <c r="K8363" t="s">
        <v>42730</v>
      </c>
      <c r="M8363" t="s">
        <v>43171</v>
      </c>
      <c r="N8363" t="s">
        <v>47424</v>
      </c>
      <c r="O8363" t="s">
        <v>47425</v>
      </c>
      <c r="P8363">
        <v>0</v>
      </c>
      <c r="Q8363">
        <v>0</v>
      </c>
      <c r="R8363" t="s">
        <v>47432</v>
      </c>
      <c r="S8363" t="s">
        <v>47597</v>
      </c>
      <c r="T8363" t="s">
        <v>49108</v>
      </c>
      <c r="U8363" t="s">
        <v>49821</v>
      </c>
      <c r="V8363" t="s">
        <v>62643</v>
      </c>
      <c r="W8363" t="s">
        <v>43171</v>
      </c>
      <c r="X8363" t="s">
        <v>47433</v>
      </c>
    </row>
    <row r="8364" spans="1:24">
      <c r="A8364">
        <f>HYPERLINK("https://www.philgeps.gov.ph/GEPSNONPILOT/Tender/SplashBidNoticeAbstractUI.aspx?menuIndex=3&amp;refID=7153607&amp;Result=3","7153607")</f>
        <v>0</v>
      </c>
      <c r="B8364" t="s">
        <v>2799</v>
      </c>
      <c r="C8364" t="s">
        <v>11768</v>
      </c>
      <c r="E8364" t="s">
        <v>20585</v>
      </c>
      <c r="F8364" t="s">
        <v>32836</v>
      </c>
      <c r="G8364" t="s">
        <v>32839</v>
      </c>
      <c r="H8364" t="s">
        <v>32848</v>
      </c>
      <c r="I8364" t="s">
        <v>7416</v>
      </c>
      <c r="J8364" t="s">
        <v>38200</v>
      </c>
      <c r="K8364" t="s">
        <v>42726</v>
      </c>
      <c r="M8364" t="s">
        <v>46029</v>
      </c>
      <c r="N8364" t="s">
        <v>47424</v>
      </c>
      <c r="O8364" t="s">
        <v>47425</v>
      </c>
      <c r="P8364">
        <v>0</v>
      </c>
      <c r="Q8364">
        <v>3</v>
      </c>
      <c r="R8364" t="s">
        <v>47432</v>
      </c>
      <c r="S8364" t="s">
        <v>47597</v>
      </c>
      <c r="T8364" t="s">
        <v>49143</v>
      </c>
      <c r="U8364" t="s">
        <v>56622</v>
      </c>
      <c r="W8364" t="s">
        <v>46029</v>
      </c>
      <c r="X8364" t="s">
        <v>47433</v>
      </c>
    </row>
    <row r="8365" spans="1:24">
      <c r="A8365">
        <f>HYPERLINK("https://www.philgeps.gov.ph/GEPSNONPILOT/Tender/SplashBidNoticeAbstractUI.aspx?menuIndex=3&amp;refID=7153523&amp;Result=3","7153523")</f>
        <v>0</v>
      </c>
      <c r="B8365" t="s">
        <v>2571</v>
      </c>
      <c r="C8365" t="s">
        <v>11769</v>
      </c>
      <c r="D8365" t="s">
        <v>19060</v>
      </c>
      <c r="E8365" t="s">
        <v>26365</v>
      </c>
      <c r="F8365" t="s">
        <v>32831</v>
      </c>
      <c r="G8365" t="s">
        <v>32838</v>
      </c>
      <c r="H8365" t="s">
        <v>32848</v>
      </c>
      <c r="I8365" t="s">
        <v>4303</v>
      </c>
      <c r="J8365" t="s">
        <v>33133</v>
      </c>
      <c r="K8365" t="s">
        <v>42727</v>
      </c>
      <c r="M8365" t="s">
        <v>45787</v>
      </c>
      <c r="N8365" t="s">
        <v>47424</v>
      </c>
      <c r="O8365" t="s">
        <v>47425</v>
      </c>
      <c r="P8365">
        <v>0</v>
      </c>
      <c r="Q8365">
        <v>0</v>
      </c>
      <c r="R8365" t="s">
        <v>47432</v>
      </c>
      <c r="S8365" t="s">
        <v>47597</v>
      </c>
      <c r="T8365" t="s">
        <v>49239</v>
      </c>
      <c r="U8365" t="s">
        <v>56623</v>
      </c>
      <c r="W8365" t="s">
        <v>45787</v>
      </c>
      <c r="X8365" t="s">
        <v>47433</v>
      </c>
    </row>
    <row r="8366" spans="1:24">
      <c r="A8366">
        <f>HYPERLINK("https://www.philgeps.gov.ph/GEPSNONPILOT/Tender/SplashBidNoticeAbstractUI.aspx?menuIndex=3&amp;refID=7153596&amp;Result=3","7153596")</f>
        <v>0</v>
      </c>
      <c r="B8366" t="s">
        <v>99</v>
      </c>
      <c r="C8366" t="s">
        <v>11770</v>
      </c>
      <c r="D8366" t="s">
        <v>19054</v>
      </c>
      <c r="E8366" t="s">
        <v>26366</v>
      </c>
      <c r="F8366" t="s">
        <v>32831</v>
      </c>
      <c r="G8366" t="s">
        <v>32839</v>
      </c>
      <c r="H8366" t="s">
        <v>32848</v>
      </c>
      <c r="I8366" t="s">
        <v>32870</v>
      </c>
      <c r="J8366" t="s">
        <v>35509</v>
      </c>
      <c r="K8366" t="s">
        <v>42730</v>
      </c>
      <c r="M8366" t="s">
        <v>43096</v>
      </c>
      <c r="N8366" t="s">
        <v>47424</v>
      </c>
      <c r="O8366" t="s">
        <v>47425</v>
      </c>
      <c r="P8366">
        <v>0</v>
      </c>
      <c r="Q8366">
        <v>0</v>
      </c>
      <c r="R8366" t="s">
        <v>47432</v>
      </c>
      <c r="S8366" t="s">
        <v>47597</v>
      </c>
      <c r="T8366" t="s">
        <v>49108</v>
      </c>
      <c r="U8366" t="s">
        <v>56616</v>
      </c>
      <c r="V8366" t="s">
        <v>62643</v>
      </c>
      <c r="W8366" t="s">
        <v>43096</v>
      </c>
      <c r="X8366" t="s">
        <v>47433</v>
      </c>
    </row>
    <row r="8367" spans="1:24">
      <c r="A8367">
        <f>HYPERLINK("https://www.philgeps.gov.ph/GEPSNONPILOT/Tender/SplashBidNoticeAbstractUI.aspx?menuIndex=3&amp;refID=7153661&amp;Result=3","7153661")</f>
        <v>0</v>
      </c>
      <c r="B8367" t="s">
        <v>2800</v>
      </c>
      <c r="C8367" t="s">
        <v>11771</v>
      </c>
      <c r="D8367" t="s">
        <v>19017</v>
      </c>
      <c r="E8367" t="s">
        <v>26367</v>
      </c>
      <c r="F8367" t="s">
        <v>32833</v>
      </c>
      <c r="G8367" t="s">
        <v>32839</v>
      </c>
      <c r="H8367" t="s">
        <v>32849</v>
      </c>
      <c r="I8367" t="s">
        <v>7416</v>
      </c>
      <c r="J8367" t="s">
        <v>33703</v>
      </c>
      <c r="K8367" t="s">
        <v>42732</v>
      </c>
      <c r="M8367" t="s">
        <v>46030</v>
      </c>
      <c r="N8367" t="s">
        <v>47424</v>
      </c>
      <c r="O8367" t="s">
        <v>47425</v>
      </c>
      <c r="P8367">
        <v>0</v>
      </c>
      <c r="Q8367">
        <v>2</v>
      </c>
      <c r="R8367" t="s">
        <v>47432</v>
      </c>
      <c r="S8367" t="s">
        <v>47597</v>
      </c>
      <c r="T8367" t="s">
        <v>49508</v>
      </c>
      <c r="U8367" t="s">
        <v>56624</v>
      </c>
      <c r="W8367" t="s">
        <v>46030</v>
      </c>
      <c r="X8367" t="s">
        <v>47433</v>
      </c>
    </row>
    <row r="8368" spans="1:24">
      <c r="A8368">
        <f>HYPERLINK("https://www.philgeps.gov.ph/GEPSNONPILOT/Tender/SplashBidNoticeAbstractUI.aspx?menuIndex=3&amp;refID=7153648&amp;Result=3","7153648")</f>
        <v>0</v>
      </c>
      <c r="B8368" t="s">
        <v>2795</v>
      </c>
      <c r="C8368" t="s">
        <v>11772</v>
      </c>
      <c r="D8368" t="s">
        <v>19038</v>
      </c>
      <c r="E8368" t="s">
        <v>26368</v>
      </c>
      <c r="F8368" t="s">
        <v>32831</v>
      </c>
      <c r="G8368" t="s">
        <v>32839</v>
      </c>
      <c r="H8368" t="s">
        <v>32848</v>
      </c>
      <c r="I8368" t="s">
        <v>9577</v>
      </c>
      <c r="J8368" t="s">
        <v>38201</v>
      </c>
      <c r="K8368" t="s">
        <v>42730</v>
      </c>
      <c r="M8368" t="s">
        <v>46025</v>
      </c>
      <c r="N8368" t="s">
        <v>47424</v>
      </c>
      <c r="O8368" t="s">
        <v>47425</v>
      </c>
      <c r="P8368">
        <v>0</v>
      </c>
      <c r="Q8368">
        <v>2</v>
      </c>
      <c r="R8368" t="s">
        <v>47432</v>
      </c>
      <c r="S8368" t="s">
        <v>47597</v>
      </c>
      <c r="T8368" t="s">
        <v>49205</v>
      </c>
      <c r="U8368" t="s">
        <v>50828</v>
      </c>
      <c r="W8368" t="s">
        <v>46025</v>
      </c>
      <c r="X8368" t="s">
        <v>47433</v>
      </c>
    </row>
    <row r="8369" spans="1:24">
      <c r="A8369">
        <f>HYPERLINK("https://www.philgeps.gov.ph/GEPSNONPILOT/Tender/SplashBidNoticeAbstractUI.aspx?menuIndex=3&amp;refID=7153639&amp;Result=3","7153639")</f>
        <v>0</v>
      </c>
      <c r="B8369" t="s">
        <v>2798</v>
      </c>
      <c r="C8369" t="s">
        <v>11773</v>
      </c>
      <c r="D8369" t="s">
        <v>19104</v>
      </c>
      <c r="E8369" t="s">
        <v>26369</v>
      </c>
      <c r="F8369" t="s">
        <v>32831</v>
      </c>
      <c r="G8369" t="s">
        <v>32839</v>
      </c>
      <c r="H8369" t="s">
        <v>32848</v>
      </c>
      <c r="I8369" t="s">
        <v>32870</v>
      </c>
      <c r="J8369" t="s">
        <v>38202</v>
      </c>
      <c r="K8369" t="s">
        <v>42727</v>
      </c>
      <c r="M8369" t="s">
        <v>46028</v>
      </c>
      <c r="N8369" t="s">
        <v>47424</v>
      </c>
      <c r="O8369" t="s">
        <v>47425</v>
      </c>
      <c r="P8369">
        <v>0</v>
      </c>
      <c r="Q8369">
        <v>0</v>
      </c>
      <c r="R8369" t="s">
        <v>47432</v>
      </c>
      <c r="S8369" t="s">
        <v>47597</v>
      </c>
      <c r="T8369" t="s">
        <v>49214</v>
      </c>
      <c r="U8369" t="s">
        <v>56625</v>
      </c>
      <c r="V8369" t="s">
        <v>63560</v>
      </c>
      <c r="W8369" t="s">
        <v>46028</v>
      </c>
      <c r="X8369" t="s">
        <v>47433</v>
      </c>
    </row>
    <row r="8370" spans="1:24">
      <c r="A8370">
        <f>HYPERLINK("https://www.philgeps.gov.ph/GEPSNONPILOT/Tender/SplashBidNoticeAbstractUI.aspx?menuIndex=3&amp;refID=7153601&amp;Result=3","7153601")</f>
        <v>0</v>
      </c>
      <c r="B8370" t="s">
        <v>798</v>
      </c>
      <c r="C8370" t="s">
        <v>11774</v>
      </c>
      <c r="D8370" t="s">
        <v>19080</v>
      </c>
      <c r="E8370" t="s">
        <v>26370</v>
      </c>
      <c r="F8370" t="s">
        <v>32831</v>
      </c>
      <c r="G8370" t="s">
        <v>32839</v>
      </c>
      <c r="H8370" t="s">
        <v>32848</v>
      </c>
      <c r="I8370" t="s">
        <v>7416</v>
      </c>
      <c r="J8370" t="s">
        <v>38203</v>
      </c>
      <c r="K8370" t="s">
        <v>42727</v>
      </c>
      <c r="M8370" t="s">
        <v>43828</v>
      </c>
      <c r="N8370" t="s">
        <v>47424</v>
      </c>
      <c r="O8370" t="s">
        <v>47425</v>
      </c>
      <c r="P8370">
        <v>0</v>
      </c>
      <c r="Q8370">
        <v>6</v>
      </c>
      <c r="R8370" t="s">
        <v>47432</v>
      </c>
      <c r="S8370" t="s">
        <v>47597</v>
      </c>
      <c r="T8370" t="s">
        <v>49236</v>
      </c>
      <c r="U8370" t="s">
        <v>56626</v>
      </c>
      <c r="W8370" t="s">
        <v>43828</v>
      </c>
      <c r="X8370" t="s">
        <v>47433</v>
      </c>
    </row>
    <row r="8371" spans="1:24">
      <c r="A8371">
        <f>HYPERLINK("https://www.philgeps.gov.ph/GEPSNONPILOT/Tender/SplashBidNoticeAbstractUI.aspx?menuIndex=3&amp;refID=7153638&amp;Result=3","7153638")</f>
        <v>0</v>
      </c>
      <c r="B8371" t="s">
        <v>2801</v>
      </c>
      <c r="C8371" t="s">
        <v>11775</v>
      </c>
      <c r="D8371" t="s">
        <v>19061</v>
      </c>
      <c r="E8371" t="s">
        <v>19351</v>
      </c>
      <c r="F8371" t="s">
        <v>32831</v>
      </c>
      <c r="G8371" t="s">
        <v>32839</v>
      </c>
      <c r="H8371" t="s">
        <v>32848</v>
      </c>
      <c r="I8371" t="s">
        <v>32899</v>
      </c>
      <c r="J8371" t="s">
        <v>32980</v>
      </c>
      <c r="K8371" t="s">
        <v>42730</v>
      </c>
      <c r="M8371" t="s">
        <v>46031</v>
      </c>
      <c r="N8371" t="s">
        <v>47424</v>
      </c>
      <c r="O8371" t="s">
        <v>47425</v>
      </c>
      <c r="P8371">
        <v>0</v>
      </c>
      <c r="Q8371">
        <v>0</v>
      </c>
      <c r="R8371" t="s">
        <v>47432</v>
      </c>
      <c r="S8371" t="s">
        <v>47597</v>
      </c>
      <c r="T8371" t="s">
        <v>49141</v>
      </c>
      <c r="U8371" t="s">
        <v>56627</v>
      </c>
      <c r="W8371" t="s">
        <v>46031</v>
      </c>
      <c r="X8371" t="s">
        <v>47433</v>
      </c>
    </row>
    <row r="8372" spans="1:24">
      <c r="A8372">
        <f>HYPERLINK("https://www.philgeps.gov.ph/GEPSNONPILOT/Tender/SplashBidNoticeAbstractUI.aspx?menuIndex=3&amp;refID=7153636&amp;Result=3","7153636")</f>
        <v>0</v>
      </c>
      <c r="B8372" t="s">
        <v>2345</v>
      </c>
      <c r="C8372" t="s">
        <v>11776</v>
      </c>
      <c r="D8372" t="s">
        <v>19038</v>
      </c>
      <c r="E8372" t="s">
        <v>26371</v>
      </c>
      <c r="F8372" t="s">
        <v>32831</v>
      </c>
      <c r="G8372" t="s">
        <v>32838</v>
      </c>
      <c r="H8372" t="s">
        <v>32849</v>
      </c>
      <c r="I8372" t="s">
        <v>4177</v>
      </c>
      <c r="J8372" t="s">
        <v>38204</v>
      </c>
      <c r="K8372" t="s">
        <v>42747</v>
      </c>
      <c r="M8372" t="s">
        <v>45532</v>
      </c>
      <c r="N8372" t="s">
        <v>47424</v>
      </c>
      <c r="O8372" t="s">
        <v>47425</v>
      </c>
      <c r="P8372">
        <v>0</v>
      </c>
      <c r="Q8372">
        <v>2</v>
      </c>
      <c r="R8372" t="s">
        <v>47432</v>
      </c>
      <c r="S8372" t="s">
        <v>47597</v>
      </c>
      <c r="T8372" t="s">
        <v>49163</v>
      </c>
      <c r="U8372" t="s">
        <v>56628</v>
      </c>
      <c r="W8372" t="s">
        <v>45532</v>
      </c>
      <c r="X8372" t="s">
        <v>47433</v>
      </c>
    </row>
    <row r="8373" spans="1:24">
      <c r="A8373">
        <f>HYPERLINK("https://www.philgeps.gov.ph/GEPSNONPILOT/Tender/SplashBidNoticeAbstractUI.aspx?menuIndex=3&amp;refID=7153631&amp;Result=3","7153631")</f>
        <v>0</v>
      </c>
      <c r="B8373" t="s">
        <v>1207</v>
      </c>
      <c r="C8373" t="s">
        <v>11777</v>
      </c>
      <c r="D8373" t="s">
        <v>19049</v>
      </c>
      <c r="E8373" t="s">
        <v>26372</v>
      </c>
      <c r="F8373" t="s">
        <v>32833</v>
      </c>
      <c r="G8373" t="s">
        <v>32839</v>
      </c>
      <c r="H8373" t="s">
        <v>32848</v>
      </c>
      <c r="I8373" t="s">
        <v>32862</v>
      </c>
      <c r="J8373" t="s">
        <v>33855</v>
      </c>
      <c r="K8373" t="s">
        <v>42747</v>
      </c>
      <c r="M8373" t="s">
        <v>44274</v>
      </c>
      <c r="N8373" t="s">
        <v>47424</v>
      </c>
      <c r="O8373" t="s">
        <v>47425</v>
      </c>
      <c r="P8373">
        <v>0</v>
      </c>
      <c r="Q8373">
        <v>0</v>
      </c>
      <c r="R8373" t="s">
        <v>47432</v>
      </c>
      <c r="S8373" t="s">
        <v>47597</v>
      </c>
      <c r="T8373" t="s">
        <v>49251</v>
      </c>
      <c r="U8373" t="s">
        <v>56629</v>
      </c>
      <c r="W8373" t="s">
        <v>44274</v>
      </c>
      <c r="X8373" t="s">
        <v>47433</v>
      </c>
    </row>
    <row r="8374" spans="1:24">
      <c r="A8374">
        <f>HYPERLINK("https://www.philgeps.gov.ph/GEPSNONPILOT/Tender/SplashBidNoticeAbstractUI.aspx?menuIndex=3&amp;refID=7153629&amp;Result=3","7153629")</f>
        <v>0</v>
      </c>
      <c r="B8374" t="s">
        <v>2656</v>
      </c>
      <c r="C8374" t="s">
        <v>11778</v>
      </c>
      <c r="D8374" t="s">
        <v>19028</v>
      </c>
      <c r="E8374" t="s">
        <v>26373</v>
      </c>
      <c r="F8374" t="s">
        <v>32831</v>
      </c>
      <c r="G8374" t="s">
        <v>32839</v>
      </c>
      <c r="H8374" t="s">
        <v>32849</v>
      </c>
      <c r="I8374" t="s">
        <v>4177</v>
      </c>
      <c r="J8374" t="s">
        <v>38205</v>
      </c>
      <c r="K8374" t="s">
        <v>42745</v>
      </c>
      <c r="M8374" t="s">
        <v>45919</v>
      </c>
      <c r="N8374" t="s">
        <v>47424</v>
      </c>
      <c r="O8374" t="s">
        <v>47425</v>
      </c>
      <c r="P8374">
        <v>0</v>
      </c>
      <c r="Q8374">
        <v>0</v>
      </c>
      <c r="R8374" t="s">
        <v>47432</v>
      </c>
      <c r="S8374" t="s">
        <v>47597</v>
      </c>
      <c r="T8374" t="s">
        <v>49166</v>
      </c>
      <c r="U8374" t="s">
        <v>56348</v>
      </c>
      <c r="W8374" t="s">
        <v>45919</v>
      </c>
      <c r="X8374" t="s">
        <v>47433</v>
      </c>
    </row>
    <row r="8375" spans="1:24">
      <c r="A8375">
        <f>HYPERLINK("https://www.philgeps.gov.ph/GEPSNONPILOT/Tender/SplashBidNoticeAbstractUI.aspx?menuIndex=3&amp;refID=7153646&amp;Result=3","7153646")</f>
        <v>0</v>
      </c>
      <c r="B8375" t="s">
        <v>1705</v>
      </c>
      <c r="C8375" t="s">
        <v>11779</v>
      </c>
      <c r="D8375" t="s">
        <v>19017</v>
      </c>
      <c r="E8375" t="s">
        <v>26374</v>
      </c>
      <c r="F8375" t="s">
        <v>32831</v>
      </c>
      <c r="G8375" t="s">
        <v>32839</v>
      </c>
      <c r="H8375" t="s">
        <v>32848</v>
      </c>
      <c r="I8375" t="s">
        <v>5379</v>
      </c>
      <c r="J8375" t="s">
        <v>38206</v>
      </c>
      <c r="K8375" t="s">
        <v>42732</v>
      </c>
      <c r="M8375" t="s">
        <v>45770</v>
      </c>
      <c r="N8375" t="s">
        <v>47424</v>
      </c>
      <c r="O8375" t="s">
        <v>47425</v>
      </c>
      <c r="P8375">
        <v>0</v>
      </c>
      <c r="Q8375">
        <v>1</v>
      </c>
      <c r="R8375" t="s">
        <v>47432</v>
      </c>
      <c r="S8375" t="s">
        <v>47597</v>
      </c>
      <c r="T8375" t="s">
        <v>49152</v>
      </c>
      <c r="U8375" t="s">
        <v>56630</v>
      </c>
      <c r="W8375" t="s">
        <v>45770</v>
      </c>
      <c r="X8375" t="s">
        <v>47433</v>
      </c>
    </row>
    <row r="8376" spans="1:24">
      <c r="A8376">
        <f>HYPERLINK("https://www.philgeps.gov.ph/GEPSNONPILOT/Tender/SplashBidNoticeAbstractUI.aspx?menuIndex=3&amp;refID=7153625&amp;Result=3","7153625")</f>
        <v>0</v>
      </c>
      <c r="B8376" t="s">
        <v>2802</v>
      </c>
      <c r="C8376" t="s">
        <v>11780</v>
      </c>
      <c r="D8376" t="s">
        <v>19027</v>
      </c>
      <c r="E8376" t="s">
        <v>19169</v>
      </c>
      <c r="F8376" t="s">
        <v>32831</v>
      </c>
      <c r="G8376" t="s">
        <v>32839</v>
      </c>
      <c r="H8376" t="s">
        <v>32848</v>
      </c>
      <c r="I8376" t="s">
        <v>7751</v>
      </c>
      <c r="J8376" t="s">
        <v>33017</v>
      </c>
      <c r="K8376" t="s">
        <v>42730</v>
      </c>
      <c r="M8376" t="s">
        <v>46032</v>
      </c>
      <c r="N8376" t="s">
        <v>47424</v>
      </c>
      <c r="O8376" t="s">
        <v>47425</v>
      </c>
      <c r="P8376">
        <v>0</v>
      </c>
      <c r="Q8376">
        <v>2</v>
      </c>
      <c r="R8376" t="s">
        <v>47432</v>
      </c>
      <c r="S8376" t="s">
        <v>47597</v>
      </c>
      <c r="T8376" t="s">
        <v>49154</v>
      </c>
      <c r="U8376" t="s">
        <v>56631</v>
      </c>
      <c r="W8376" t="s">
        <v>46032</v>
      </c>
      <c r="X8376" t="s">
        <v>47433</v>
      </c>
    </row>
    <row r="8377" spans="1:24">
      <c r="A8377">
        <f>HYPERLINK("https://www.philgeps.gov.ph/GEPSNONPILOT/Tender/SplashBidNoticeAbstractUI.aspx?menuIndex=3&amp;refID=7153621&amp;Result=3","7153621")</f>
        <v>0</v>
      </c>
      <c r="B8377" t="s">
        <v>895</v>
      </c>
      <c r="C8377" t="s">
        <v>11781</v>
      </c>
      <c r="D8377" t="s">
        <v>19036</v>
      </c>
      <c r="E8377" t="s">
        <v>26375</v>
      </c>
      <c r="F8377" t="s">
        <v>32831</v>
      </c>
      <c r="G8377" t="s">
        <v>32839</v>
      </c>
      <c r="H8377" t="s">
        <v>32848</v>
      </c>
      <c r="I8377" t="s">
        <v>32871</v>
      </c>
      <c r="J8377" t="s">
        <v>35708</v>
      </c>
      <c r="K8377" t="s">
        <v>42729</v>
      </c>
      <c r="M8377" t="s">
        <v>43930</v>
      </c>
      <c r="N8377" t="s">
        <v>47424</v>
      </c>
      <c r="O8377" t="s">
        <v>47425</v>
      </c>
      <c r="P8377">
        <v>0</v>
      </c>
      <c r="Q8377">
        <v>8</v>
      </c>
      <c r="R8377" t="s">
        <v>47432</v>
      </c>
      <c r="S8377" t="s">
        <v>47597</v>
      </c>
      <c r="T8377" t="s">
        <v>49095</v>
      </c>
      <c r="U8377" t="s">
        <v>56632</v>
      </c>
      <c r="V8377" t="s">
        <v>62833</v>
      </c>
      <c r="W8377" t="s">
        <v>43930</v>
      </c>
      <c r="X8377" t="s">
        <v>47433</v>
      </c>
    </row>
    <row r="8378" spans="1:24">
      <c r="A8378">
        <f>HYPERLINK("https://www.philgeps.gov.ph/GEPSNONPILOT/Tender/SplashBidNoticeAbstractUI.aspx?menuIndex=3&amp;refID=7153618&amp;Result=3","7153618")</f>
        <v>0</v>
      </c>
      <c r="B8378" t="s">
        <v>1495</v>
      </c>
      <c r="C8378" t="s">
        <v>11782</v>
      </c>
      <c r="D8378" t="s">
        <v>19049</v>
      </c>
      <c r="E8378" t="s">
        <v>26376</v>
      </c>
      <c r="F8378" t="s">
        <v>32831</v>
      </c>
      <c r="G8378" t="s">
        <v>32840</v>
      </c>
      <c r="H8378" t="s">
        <v>32848</v>
      </c>
      <c r="I8378" t="s">
        <v>7416</v>
      </c>
      <c r="J8378" t="s">
        <v>38207</v>
      </c>
      <c r="K8378" t="s">
        <v>42726</v>
      </c>
      <c r="M8378" t="s">
        <v>44593</v>
      </c>
      <c r="N8378" t="s">
        <v>47424</v>
      </c>
      <c r="O8378" t="s">
        <v>47425</v>
      </c>
      <c r="P8378">
        <v>0</v>
      </c>
      <c r="Q8378">
        <v>0</v>
      </c>
      <c r="R8378" t="s">
        <v>47432</v>
      </c>
      <c r="S8378" t="s">
        <v>47597</v>
      </c>
      <c r="T8378" t="s">
        <v>49214</v>
      </c>
      <c r="U8378" t="s">
        <v>56633</v>
      </c>
      <c r="W8378" t="s">
        <v>44593</v>
      </c>
      <c r="X8378" t="s">
        <v>47433</v>
      </c>
    </row>
    <row r="8379" spans="1:24">
      <c r="A8379">
        <f>HYPERLINK("https://www.philgeps.gov.ph/GEPSNONPILOT/Tender/SplashBidNoticeAbstractUI.aspx?menuIndex=3&amp;refID=7153634&amp;Result=3","7153634")</f>
        <v>0</v>
      </c>
      <c r="B8379" t="s">
        <v>2803</v>
      </c>
      <c r="C8379" t="s">
        <v>4431</v>
      </c>
      <c r="D8379" t="s">
        <v>19071</v>
      </c>
      <c r="E8379" t="s">
        <v>26377</v>
      </c>
      <c r="F8379" t="s">
        <v>32831</v>
      </c>
      <c r="G8379" t="s">
        <v>32838</v>
      </c>
      <c r="H8379" t="s">
        <v>32848</v>
      </c>
      <c r="I8379" t="s">
        <v>32857</v>
      </c>
      <c r="J8379" t="s">
        <v>33031</v>
      </c>
      <c r="K8379" t="s">
        <v>42731</v>
      </c>
      <c r="M8379" t="s">
        <v>46033</v>
      </c>
      <c r="N8379" t="s">
        <v>47424</v>
      </c>
      <c r="O8379" t="s">
        <v>47425</v>
      </c>
      <c r="P8379">
        <v>0</v>
      </c>
      <c r="Q8379">
        <v>1</v>
      </c>
      <c r="R8379" t="s">
        <v>47432</v>
      </c>
      <c r="S8379" t="s">
        <v>47597</v>
      </c>
      <c r="T8379" t="s">
        <v>49111</v>
      </c>
      <c r="U8379" t="s">
        <v>56634</v>
      </c>
      <c r="W8379" t="s">
        <v>46033</v>
      </c>
      <c r="X8379" t="s">
        <v>47433</v>
      </c>
    </row>
    <row r="8380" spans="1:24">
      <c r="A8380">
        <f>HYPERLINK("https://www.philgeps.gov.ph/GEPSNONPILOT/Tender/SplashBidNoticeAbstractUI.aspx?menuIndex=3&amp;refID=7153594&amp;Result=3","7153594")</f>
        <v>0</v>
      </c>
      <c r="B8380" t="s">
        <v>2804</v>
      </c>
      <c r="C8380" t="s">
        <v>11783</v>
      </c>
      <c r="D8380" t="s">
        <v>19027</v>
      </c>
      <c r="E8380" t="s">
        <v>19169</v>
      </c>
      <c r="F8380" t="s">
        <v>32831</v>
      </c>
      <c r="G8380" t="s">
        <v>32839</v>
      </c>
      <c r="H8380" t="s">
        <v>32848</v>
      </c>
      <c r="I8380" t="s">
        <v>7751</v>
      </c>
      <c r="J8380" t="s">
        <v>33644</v>
      </c>
      <c r="K8380" t="s">
        <v>42730</v>
      </c>
      <c r="M8380" t="s">
        <v>46034</v>
      </c>
      <c r="N8380" t="s">
        <v>47424</v>
      </c>
      <c r="O8380" t="s">
        <v>47425</v>
      </c>
      <c r="P8380">
        <v>0</v>
      </c>
      <c r="Q8380">
        <v>2</v>
      </c>
      <c r="R8380" t="s">
        <v>47432</v>
      </c>
      <c r="S8380" t="s">
        <v>47597</v>
      </c>
      <c r="T8380" t="s">
        <v>49188</v>
      </c>
      <c r="U8380" t="s">
        <v>56635</v>
      </c>
      <c r="W8380" t="s">
        <v>46034</v>
      </c>
      <c r="X8380" t="s">
        <v>47433</v>
      </c>
    </row>
    <row r="8381" spans="1:24">
      <c r="A8381">
        <f>HYPERLINK("https://www.philgeps.gov.ph/GEPSNONPILOT/Tender/SplashBidNoticeAbstractUI.aspx?menuIndex=3&amp;refID=7153644&amp;Result=3","7153644")</f>
        <v>0</v>
      </c>
      <c r="B8381" t="s">
        <v>205</v>
      </c>
      <c r="C8381" t="s">
        <v>11784</v>
      </c>
      <c r="D8381" t="s">
        <v>19055</v>
      </c>
      <c r="E8381" t="s">
        <v>26378</v>
      </c>
      <c r="F8381" t="s">
        <v>32831</v>
      </c>
      <c r="G8381" t="s">
        <v>32839</v>
      </c>
      <c r="H8381" t="s">
        <v>32849</v>
      </c>
      <c r="I8381" t="s">
        <v>4177</v>
      </c>
      <c r="J8381" t="s">
        <v>38208</v>
      </c>
      <c r="K8381" t="s">
        <v>42729</v>
      </c>
      <c r="M8381" t="s">
        <v>43203</v>
      </c>
      <c r="N8381" t="s">
        <v>47424</v>
      </c>
      <c r="O8381" t="s">
        <v>47425</v>
      </c>
      <c r="P8381">
        <v>0</v>
      </c>
      <c r="Q8381">
        <v>1</v>
      </c>
      <c r="R8381" t="s">
        <v>47432</v>
      </c>
      <c r="S8381" t="s">
        <v>47597</v>
      </c>
      <c r="T8381" t="s">
        <v>49236</v>
      </c>
      <c r="U8381" t="s">
        <v>56636</v>
      </c>
      <c r="W8381" t="s">
        <v>43203</v>
      </c>
      <c r="X8381" t="s">
        <v>47433</v>
      </c>
    </row>
    <row r="8382" spans="1:24">
      <c r="A8382">
        <f>HYPERLINK("https://www.philgeps.gov.ph/GEPSNONPILOT/Tender/SplashBidNoticeAbstractUI.aspx?menuIndex=3&amp;refID=7153583&amp;Result=3","7153583")</f>
        <v>0</v>
      </c>
      <c r="B8382" t="s">
        <v>2663</v>
      </c>
      <c r="C8382" t="s">
        <v>11785</v>
      </c>
      <c r="D8382" t="s">
        <v>19054</v>
      </c>
      <c r="E8382" t="s">
        <v>26379</v>
      </c>
      <c r="F8382" t="s">
        <v>32831</v>
      </c>
      <c r="G8382" t="s">
        <v>32838</v>
      </c>
      <c r="H8382" t="s">
        <v>32848</v>
      </c>
      <c r="I8382" t="s">
        <v>32931</v>
      </c>
      <c r="J8382" t="s">
        <v>33789</v>
      </c>
      <c r="K8382" t="s">
        <v>42726</v>
      </c>
      <c r="M8382" t="s">
        <v>45886</v>
      </c>
      <c r="N8382" t="s">
        <v>47424</v>
      </c>
      <c r="O8382" t="s">
        <v>47425</v>
      </c>
      <c r="P8382">
        <v>0</v>
      </c>
      <c r="Q8382">
        <v>2</v>
      </c>
      <c r="R8382" t="s">
        <v>47432</v>
      </c>
      <c r="S8382" t="s">
        <v>47597</v>
      </c>
      <c r="T8382" t="s">
        <v>49491</v>
      </c>
      <c r="U8382" t="s">
        <v>56637</v>
      </c>
      <c r="V8382" t="s">
        <v>63561</v>
      </c>
      <c r="W8382" t="s">
        <v>45886</v>
      </c>
      <c r="X8382" t="s">
        <v>47433</v>
      </c>
    </row>
    <row r="8383" spans="1:24">
      <c r="A8383">
        <f>HYPERLINK("https://www.philgeps.gov.ph/GEPSNONPILOT/Tender/SplashBidNoticeAbstractUI.aspx?menuIndex=3&amp;refID=7153656&amp;Result=3","7153656")</f>
        <v>0</v>
      </c>
      <c r="B8383" t="s">
        <v>2656</v>
      </c>
      <c r="C8383" t="s">
        <v>11786</v>
      </c>
      <c r="D8383" t="s">
        <v>19028</v>
      </c>
      <c r="E8383" t="s">
        <v>26380</v>
      </c>
      <c r="F8383" t="s">
        <v>32831</v>
      </c>
      <c r="G8383" t="s">
        <v>32839</v>
      </c>
      <c r="H8383" t="s">
        <v>32849</v>
      </c>
      <c r="I8383" t="s">
        <v>4177</v>
      </c>
      <c r="J8383" t="s">
        <v>38209</v>
      </c>
      <c r="K8383" t="s">
        <v>42824</v>
      </c>
      <c r="M8383" t="s">
        <v>45919</v>
      </c>
      <c r="N8383" t="s">
        <v>47424</v>
      </c>
      <c r="O8383" t="s">
        <v>47425</v>
      </c>
      <c r="P8383">
        <v>0</v>
      </c>
      <c r="Q8383">
        <v>0</v>
      </c>
      <c r="R8383" t="s">
        <v>47432</v>
      </c>
      <c r="S8383" t="s">
        <v>47597</v>
      </c>
      <c r="T8383" t="s">
        <v>49166</v>
      </c>
      <c r="U8383" t="s">
        <v>56348</v>
      </c>
      <c r="W8383" t="s">
        <v>45919</v>
      </c>
      <c r="X8383" t="s">
        <v>47433</v>
      </c>
    </row>
    <row r="8384" spans="1:24">
      <c r="A8384">
        <f>HYPERLINK("https://www.philgeps.gov.ph/GEPSNONPILOT/Tender/SplashBidNoticeAbstractUI.aspx?menuIndex=3&amp;refID=7153652&amp;Result=3","7153652")</f>
        <v>0</v>
      </c>
      <c r="B8384" t="s">
        <v>2805</v>
      </c>
      <c r="C8384" t="s">
        <v>11787</v>
      </c>
      <c r="D8384" t="s">
        <v>19080</v>
      </c>
      <c r="E8384" t="s">
        <v>26381</v>
      </c>
      <c r="F8384" t="s">
        <v>32831</v>
      </c>
      <c r="G8384" t="s">
        <v>32839</v>
      </c>
      <c r="H8384" t="s">
        <v>32848</v>
      </c>
      <c r="I8384" t="s">
        <v>7416</v>
      </c>
      <c r="J8384" t="s">
        <v>38210</v>
      </c>
      <c r="K8384" t="s">
        <v>42730</v>
      </c>
      <c r="M8384" t="s">
        <v>46035</v>
      </c>
      <c r="N8384" t="s">
        <v>47424</v>
      </c>
      <c r="O8384" t="s">
        <v>47425</v>
      </c>
      <c r="P8384">
        <v>0</v>
      </c>
      <c r="Q8384">
        <v>0</v>
      </c>
      <c r="R8384" t="s">
        <v>47432</v>
      </c>
      <c r="S8384" t="s">
        <v>47597</v>
      </c>
      <c r="T8384" t="s">
        <v>49057</v>
      </c>
      <c r="U8384" t="s">
        <v>56638</v>
      </c>
      <c r="W8384" t="s">
        <v>46035</v>
      </c>
      <c r="X8384" t="s">
        <v>47433</v>
      </c>
    </row>
    <row r="8385" spans="1:24">
      <c r="A8385">
        <f>HYPERLINK("https://www.philgeps.gov.ph/GEPSNONPILOT/Tender/SplashBidNoticeAbstractUI.aspx?menuIndex=3&amp;refID=7153620&amp;Result=3","7153620")</f>
        <v>0</v>
      </c>
      <c r="B8385" t="s">
        <v>2636</v>
      </c>
      <c r="C8385" t="s">
        <v>11788</v>
      </c>
      <c r="D8385" t="s">
        <v>19037</v>
      </c>
      <c r="E8385" t="s">
        <v>26382</v>
      </c>
      <c r="F8385" t="s">
        <v>32831</v>
      </c>
      <c r="G8385" t="s">
        <v>32839</v>
      </c>
      <c r="H8385" t="s">
        <v>32848</v>
      </c>
      <c r="I8385" t="s">
        <v>6526</v>
      </c>
      <c r="J8385" t="s">
        <v>38211</v>
      </c>
      <c r="K8385" t="s">
        <v>42727</v>
      </c>
      <c r="M8385" t="s">
        <v>45858</v>
      </c>
      <c r="N8385" t="s">
        <v>47424</v>
      </c>
      <c r="O8385" t="s">
        <v>47425</v>
      </c>
      <c r="P8385">
        <v>0</v>
      </c>
      <c r="Q8385">
        <v>0</v>
      </c>
      <c r="R8385" t="s">
        <v>47432</v>
      </c>
      <c r="S8385" t="s">
        <v>47597</v>
      </c>
      <c r="T8385" t="s">
        <v>49141</v>
      </c>
      <c r="U8385" t="s">
        <v>56639</v>
      </c>
      <c r="W8385" t="s">
        <v>45858</v>
      </c>
      <c r="X8385" t="s">
        <v>47433</v>
      </c>
    </row>
    <row r="8386" spans="1:24">
      <c r="A8386">
        <f>HYPERLINK("https://www.philgeps.gov.ph/GEPSNONPILOT/Tender/SplashBidNoticeAbstractUI.aspx?menuIndex=3&amp;refID=7153591&amp;Result=3","7153591")</f>
        <v>0</v>
      </c>
      <c r="B8386" t="s">
        <v>99</v>
      </c>
      <c r="C8386" t="s">
        <v>11789</v>
      </c>
      <c r="D8386" t="s">
        <v>19054</v>
      </c>
      <c r="E8386" t="s">
        <v>26383</v>
      </c>
      <c r="F8386" t="s">
        <v>32831</v>
      </c>
      <c r="G8386" t="s">
        <v>32839</v>
      </c>
      <c r="H8386" t="s">
        <v>32848</v>
      </c>
      <c r="I8386" t="s">
        <v>4438</v>
      </c>
      <c r="J8386" t="s">
        <v>33706</v>
      </c>
      <c r="K8386" t="s">
        <v>42730</v>
      </c>
      <c r="M8386" t="s">
        <v>43096</v>
      </c>
      <c r="N8386" t="s">
        <v>47424</v>
      </c>
      <c r="O8386" t="s">
        <v>47425</v>
      </c>
      <c r="P8386">
        <v>0</v>
      </c>
      <c r="Q8386">
        <v>0</v>
      </c>
      <c r="R8386" t="s">
        <v>47432</v>
      </c>
      <c r="S8386" t="s">
        <v>47597</v>
      </c>
      <c r="T8386" t="s">
        <v>49108</v>
      </c>
      <c r="U8386" t="s">
        <v>49821</v>
      </c>
      <c r="V8386" t="s">
        <v>62643</v>
      </c>
      <c r="W8386" t="s">
        <v>43096</v>
      </c>
      <c r="X8386" t="s">
        <v>47433</v>
      </c>
    </row>
    <row r="8387" spans="1:24">
      <c r="A8387">
        <f>HYPERLINK("https://www.philgeps.gov.ph/GEPSNONPILOT/Tender/SplashBidNoticeAbstractUI.aspx?menuIndex=3&amp;refID=7153582&amp;Result=3","7153582")</f>
        <v>0</v>
      </c>
      <c r="B8387" t="s">
        <v>2636</v>
      </c>
      <c r="C8387" t="s">
        <v>11790</v>
      </c>
      <c r="D8387" t="s">
        <v>19037</v>
      </c>
      <c r="E8387" t="s">
        <v>26384</v>
      </c>
      <c r="F8387" t="s">
        <v>32831</v>
      </c>
      <c r="G8387" t="s">
        <v>32839</v>
      </c>
      <c r="H8387" t="s">
        <v>32848</v>
      </c>
      <c r="I8387" t="s">
        <v>4340</v>
      </c>
      <c r="J8387" t="s">
        <v>36399</v>
      </c>
      <c r="K8387" t="s">
        <v>42727</v>
      </c>
      <c r="M8387" t="s">
        <v>45858</v>
      </c>
      <c r="N8387" t="s">
        <v>47424</v>
      </c>
      <c r="O8387" t="s">
        <v>47425</v>
      </c>
      <c r="P8387">
        <v>0</v>
      </c>
      <c r="Q8387">
        <v>1</v>
      </c>
      <c r="R8387" t="s">
        <v>47432</v>
      </c>
      <c r="S8387" t="s">
        <v>47597</v>
      </c>
      <c r="T8387" t="s">
        <v>49141</v>
      </c>
      <c r="U8387" t="s">
        <v>56640</v>
      </c>
      <c r="W8387" t="s">
        <v>45858</v>
      </c>
      <c r="X8387" t="s">
        <v>47433</v>
      </c>
    </row>
    <row r="8388" spans="1:24">
      <c r="A8388">
        <f>HYPERLINK("https://www.philgeps.gov.ph/GEPSNONPILOT/Tender/SplashBidNoticeAbstractUI.aspx?menuIndex=3&amp;refID=7153622&amp;Result=3","7153622")</f>
        <v>0</v>
      </c>
      <c r="B8388" t="s">
        <v>99</v>
      </c>
      <c r="C8388" t="s">
        <v>11791</v>
      </c>
      <c r="D8388" t="s">
        <v>19054</v>
      </c>
      <c r="E8388" t="s">
        <v>26385</v>
      </c>
      <c r="F8388" t="s">
        <v>32831</v>
      </c>
      <c r="G8388" t="s">
        <v>32839</v>
      </c>
      <c r="H8388" t="s">
        <v>32848</v>
      </c>
      <c r="I8388" t="s">
        <v>32862</v>
      </c>
      <c r="J8388" t="s">
        <v>33031</v>
      </c>
      <c r="K8388" t="s">
        <v>42730</v>
      </c>
      <c r="M8388" t="s">
        <v>43096</v>
      </c>
      <c r="N8388" t="s">
        <v>47424</v>
      </c>
      <c r="O8388" t="s">
        <v>47425</v>
      </c>
      <c r="P8388">
        <v>0</v>
      </c>
      <c r="Q8388">
        <v>0</v>
      </c>
      <c r="R8388" t="s">
        <v>47432</v>
      </c>
      <c r="S8388" t="s">
        <v>47597</v>
      </c>
      <c r="T8388" t="s">
        <v>49108</v>
      </c>
      <c r="U8388" t="s">
        <v>49821</v>
      </c>
      <c r="V8388" t="s">
        <v>62643</v>
      </c>
      <c r="W8388" t="s">
        <v>43096</v>
      </c>
      <c r="X8388" t="s">
        <v>47433</v>
      </c>
    </row>
    <row r="8389" spans="1:24">
      <c r="A8389">
        <f>HYPERLINK("https://www.philgeps.gov.ph/GEPSNONPILOT/Tender/SplashBidNoticeAbstractUI.aspx?menuIndex=3&amp;refID=7153581&amp;Result=3","7153581")</f>
        <v>0</v>
      </c>
      <c r="B8389" t="s">
        <v>2806</v>
      </c>
      <c r="C8389" t="s">
        <v>11792</v>
      </c>
      <c r="D8389" t="s">
        <v>19026</v>
      </c>
      <c r="E8389" t="s">
        <v>24906</v>
      </c>
      <c r="F8389" t="s">
        <v>32831</v>
      </c>
      <c r="G8389" t="s">
        <v>32839</v>
      </c>
      <c r="H8389" t="s">
        <v>32848</v>
      </c>
      <c r="I8389" t="s">
        <v>7416</v>
      </c>
      <c r="J8389" t="s">
        <v>32983</v>
      </c>
      <c r="K8389" t="s">
        <v>42731</v>
      </c>
      <c r="L8389" t="s">
        <v>2806</v>
      </c>
      <c r="M8389" t="s">
        <v>46036</v>
      </c>
      <c r="N8389" t="s">
        <v>47424</v>
      </c>
      <c r="O8389" t="s">
        <v>47425</v>
      </c>
      <c r="P8389">
        <v>0</v>
      </c>
      <c r="Q8389">
        <v>4</v>
      </c>
      <c r="R8389" t="s">
        <v>47432</v>
      </c>
      <c r="S8389" t="s">
        <v>47597</v>
      </c>
      <c r="T8389" t="s">
        <v>49127</v>
      </c>
      <c r="U8389" t="s">
        <v>56641</v>
      </c>
      <c r="W8389" t="s">
        <v>46036</v>
      </c>
      <c r="X8389" t="s">
        <v>47433</v>
      </c>
    </row>
    <row r="8390" spans="1:24">
      <c r="A8390">
        <f>HYPERLINK("https://www.philgeps.gov.ph/GEPSNONPILOT/Tender/SplashBidNoticeAbstractUI.aspx?menuIndex=3&amp;refID=7153579&amp;Result=3","7153579")</f>
        <v>0</v>
      </c>
      <c r="B8390" t="s">
        <v>2796</v>
      </c>
      <c r="C8390" t="s">
        <v>9492</v>
      </c>
      <c r="D8390" t="s">
        <v>19091</v>
      </c>
      <c r="E8390" t="s">
        <v>26386</v>
      </c>
      <c r="F8390" t="s">
        <v>32831</v>
      </c>
      <c r="G8390" t="s">
        <v>32839</v>
      </c>
      <c r="H8390" t="s">
        <v>32849</v>
      </c>
      <c r="I8390" t="s">
        <v>4177</v>
      </c>
      <c r="J8390" t="s">
        <v>32979</v>
      </c>
      <c r="K8390" t="s">
        <v>42801</v>
      </c>
      <c r="M8390" t="s">
        <v>46026</v>
      </c>
      <c r="N8390" t="s">
        <v>47424</v>
      </c>
      <c r="O8390" t="s">
        <v>47425</v>
      </c>
      <c r="P8390">
        <v>0</v>
      </c>
      <c r="Q8390">
        <v>0</v>
      </c>
      <c r="R8390" t="s">
        <v>47432</v>
      </c>
      <c r="S8390" t="s">
        <v>47597</v>
      </c>
      <c r="T8390" t="s">
        <v>49214</v>
      </c>
      <c r="U8390" t="s">
        <v>54687</v>
      </c>
      <c r="W8390" t="s">
        <v>46026</v>
      </c>
      <c r="X8390" t="s">
        <v>47433</v>
      </c>
    </row>
    <row r="8391" spans="1:24">
      <c r="A8391">
        <f>HYPERLINK("https://www.philgeps.gov.ph/GEPSNONPILOT/Tender/SplashBidNoticeAbstractUI.aspx?menuIndex=3&amp;refID=7153703&amp;Result=3","7153703")</f>
        <v>0</v>
      </c>
      <c r="B8391" t="s">
        <v>2807</v>
      </c>
      <c r="C8391" t="s">
        <v>11793</v>
      </c>
      <c r="D8391" t="s">
        <v>19037</v>
      </c>
      <c r="E8391" t="s">
        <v>26387</v>
      </c>
      <c r="F8391" t="s">
        <v>32831</v>
      </c>
      <c r="G8391" t="s">
        <v>32838</v>
      </c>
      <c r="H8391" t="s">
        <v>32848</v>
      </c>
      <c r="I8391" t="s">
        <v>9577</v>
      </c>
      <c r="J8391" t="s">
        <v>33771</v>
      </c>
      <c r="K8391" t="s">
        <v>42727</v>
      </c>
      <c r="M8391" t="s">
        <v>46037</v>
      </c>
      <c r="N8391" t="s">
        <v>47424</v>
      </c>
      <c r="O8391" t="s">
        <v>47425</v>
      </c>
      <c r="P8391">
        <v>0</v>
      </c>
      <c r="Q8391">
        <v>0</v>
      </c>
      <c r="R8391" t="s">
        <v>47432</v>
      </c>
      <c r="S8391" t="s">
        <v>47597</v>
      </c>
      <c r="T8391" t="s">
        <v>49162</v>
      </c>
      <c r="U8391" t="s">
        <v>56642</v>
      </c>
      <c r="W8391" t="s">
        <v>46037</v>
      </c>
      <c r="X8391" t="s">
        <v>47433</v>
      </c>
    </row>
    <row r="8392" spans="1:24">
      <c r="A8392">
        <f>HYPERLINK("https://www.philgeps.gov.ph/GEPSNONPILOT/Tender/SplashBidNoticeAbstractUI.aspx?menuIndex=3&amp;refID=7153693&amp;Result=3","7153693")</f>
        <v>0</v>
      </c>
      <c r="B8392" t="s">
        <v>2808</v>
      </c>
      <c r="C8392" t="s">
        <v>11794</v>
      </c>
      <c r="D8392" t="s">
        <v>19027</v>
      </c>
      <c r="E8392" t="s">
        <v>26388</v>
      </c>
      <c r="F8392" t="s">
        <v>32831</v>
      </c>
      <c r="G8392" t="s">
        <v>32839</v>
      </c>
      <c r="H8392" t="s">
        <v>32848</v>
      </c>
      <c r="I8392" t="s">
        <v>7416</v>
      </c>
      <c r="J8392" t="s">
        <v>38212</v>
      </c>
      <c r="K8392" t="s">
        <v>42732</v>
      </c>
      <c r="M8392" t="s">
        <v>46038</v>
      </c>
      <c r="N8392" t="s">
        <v>47424</v>
      </c>
      <c r="O8392" t="s">
        <v>47425</v>
      </c>
      <c r="P8392">
        <v>0</v>
      </c>
      <c r="Q8392">
        <v>0</v>
      </c>
      <c r="R8392" t="s">
        <v>47432</v>
      </c>
      <c r="S8392" t="s">
        <v>47597</v>
      </c>
      <c r="T8392" t="s">
        <v>49110</v>
      </c>
      <c r="U8392" t="s">
        <v>56643</v>
      </c>
      <c r="W8392" t="s">
        <v>46038</v>
      </c>
      <c r="X8392" t="s">
        <v>47433</v>
      </c>
    </row>
    <row r="8393" spans="1:24">
      <c r="A8393">
        <f>HYPERLINK("https://www.philgeps.gov.ph/GEPSNONPILOT/Tender/SplashBidNoticeAbstractUI.aspx?menuIndex=3&amp;refID=7153705&amp;Result=3","7153705")</f>
        <v>0</v>
      </c>
      <c r="B8393" t="s">
        <v>2809</v>
      </c>
      <c r="C8393" t="s">
        <v>11795</v>
      </c>
      <c r="D8393" t="s">
        <v>19037</v>
      </c>
      <c r="E8393" t="s">
        <v>26389</v>
      </c>
      <c r="F8393" t="s">
        <v>32831</v>
      </c>
      <c r="G8393" t="s">
        <v>32840</v>
      </c>
      <c r="H8393" t="s">
        <v>32848</v>
      </c>
      <c r="I8393" t="s">
        <v>9577</v>
      </c>
      <c r="J8393" t="s">
        <v>38213</v>
      </c>
      <c r="K8393" t="s">
        <v>42748</v>
      </c>
      <c r="M8393" t="s">
        <v>46039</v>
      </c>
      <c r="N8393" t="s">
        <v>47424</v>
      </c>
      <c r="O8393" t="s">
        <v>47425</v>
      </c>
      <c r="P8393">
        <v>0</v>
      </c>
      <c r="Q8393">
        <v>0</v>
      </c>
      <c r="R8393" t="s">
        <v>47432</v>
      </c>
      <c r="S8393" t="s">
        <v>47597</v>
      </c>
      <c r="T8393" t="s">
        <v>49163</v>
      </c>
      <c r="U8393" t="s">
        <v>56644</v>
      </c>
      <c r="W8393" t="s">
        <v>46039</v>
      </c>
      <c r="X8393" t="s">
        <v>47433</v>
      </c>
    </row>
    <row r="8394" spans="1:24">
      <c r="A8394">
        <f>HYPERLINK("https://www.philgeps.gov.ph/GEPSNONPILOT/Tender/SplashBidNoticeAbstractUI.aspx?menuIndex=3&amp;refID=7153707&amp;Result=3","7153707")</f>
        <v>0</v>
      </c>
      <c r="B8394" t="s">
        <v>895</v>
      </c>
      <c r="C8394" t="s">
        <v>11796</v>
      </c>
      <c r="D8394" t="s">
        <v>19036</v>
      </c>
      <c r="E8394" t="s">
        <v>26390</v>
      </c>
      <c r="F8394" t="s">
        <v>32831</v>
      </c>
      <c r="G8394" t="s">
        <v>32839</v>
      </c>
      <c r="H8394" t="s">
        <v>32848</v>
      </c>
      <c r="I8394" t="s">
        <v>32871</v>
      </c>
      <c r="J8394" t="s">
        <v>34733</v>
      </c>
      <c r="K8394" t="s">
        <v>42729</v>
      </c>
      <c r="M8394" t="s">
        <v>43930</v>
      </c>
      <c r="N8394" t="s">
        <v>47424</v>
      </c>
      <c r="O8394" t="s">
        <v>47425</v>
      </c>
      <c r="P8394">
        <v>0</v>
      </c>
      <c r="Q8394">
        <v>23</v>
      </c>
      <c r="R8394" t="s">
        <v>47432</v>
      </c>
      <c r="S8394" t="s">
        <v>47597</v>
      </c>
      <c r="T8394" t="s">
        <v>49095</v>
      </c>
      <c r="U8394" t="s">
        <v>56645</v>
      </c>
      <c r="V8394" t="s">
        <v>62833</v>
      </c>
      <c r="W8394" t="s">
        <v>43930</v>
      </c>
      <c r="X8394" t="s">
        <v>47433</v>
      </c>
    </row>
    <row r="8395" spans="1:24">
      <c r="A8395">
        <f>HYPERLINK("https://www.philgeps.gov.ph/GEPSNONPILOT/Tender/SplashBidNoticeAbstractUI.aspx?menuIndex=3&amp;refID=7153691&amp;Result=3","7153691")</f>
        <v>0</v>
      </c>
      <c r="B8395" t="s">
        <v>1495</v>
      </c>
      <c r="C8395" t="s">
        <v>11797</v>
      </c>
      <c r="D8395" t="s">
        <v>19049</v>
      </c>
      <c r="E8395" t="s">
        <v>26376</v>
      </c>
      <c r="F8395" t="s">
        <v>32831</v>
      </c>
      <c r="G8395" t="s">
        <v>32840</v>
      </c>
      <c r="H8395" t="s">
        <v>32848</v>
      </c>
      <c r="I8395" t="s">
        <v>7416</v>
      </c>
      <c r="J8395" t="s">
        <v>38214</v>
      </c>
      <c r="K8395" t="s">
        <v>42726</v>
      </c>
      <c r="M8395" t="s">
        <v>44593</v>
      </c>
      <c r="N8395" t="s">
        <v>47424</v>
      </c>
      <c r="O8395" t="s">
        <v>47425</v>
      </c>
      <c r="P8395">
        <v>0</v>
      </c>
      <c r="Q8395">
        <v>0</v>
      </c>
      <c r="R8395" t="s">
        <v>47432</v>
      </c>
      <c r="S8395" t="s">
        <v>47597</v>
      </c>
      <c r="T8395" t="s">
        <v>49214</v>
      </c>
      <c r="U8395" t="s">
        <v>56646</v>
      </c>
      <c r="W8395" t="s">
        <v>44593</v>
      </c>
      <c r="X8395" t="s">
        <v>47433</v>
      </c>
    </row>
    <row r="8396" spans="1:24">
      <c r="A8396">
        <f>HYPERLINK("https://www.philgeps.gov.ph/GEPSNONPILOT/Tender/SplashBidNoticeAbstractUI.aspx?menuIndex=3&amp;refID=7153689&amp;Result=3","7153689")</f>
        <v>0</v>
      </c>
      <c r="B8396" t="s">
        <v>2810</v>
      </c>
      <c r="C8396" t="s">
        <v>11798</v>
      </c>
      <c r="E8396" t="s">
        <v>25282</v>
      </c>
      <c r="F8396" t="s">
        <v>32831</v>
      </c>
      <c r="G8396" t="s">
        <v>32839</v>
      </c>
      <c r="H8396" t="s">
        <v>32849</v>
      </c>
      <c r="I8396" t="s">
        <v>32949</v>
      </c>
      <c r="J8396" t="s">
        <v>38215</v>
      </c>
      <c r="K8396" t="s">
        <v>42732</v>
      </c>
      <c r="M8396" t="s">
        <v>46040</v>
      </c>
      <c r="N8396" t="s">
        <v>47424</v>
      </c>
      <c r="O8396" t="s">
        <v>47425</v>
      </c>
      <c r="P8396">
        <v>0</v>
      </c>
      <c r="Q8396">
        <v>0</v>
      </c>
      <c r="R8396" t="s">
        <v>47432</v>
      </c>
      <c r="S8396" t="s">
        <v>47597</v>
      </c>
      <c r="T8396" t="s">
        <v>49160</v>
      </c>
      <c r="U8396" t="s">
        <v>56647</v>
      </c>
      <c r="W8396" t="s">
        <v>46040</v>
      </c>
      <c r="X8396" t="s">
        <v>47433</v>
      </c>
    </row>
    <row r="8397" spans="1:24">
      <c r="A8397">
        <f>HYPERLINK("https://www.philgeps.gov.ph/GEPSNONPILOT/Tender/SplashBidNoticeAbstractUI.aspx?menuIndex=3&amp;refID=7153686&amp;Result=3","7153686")</f>
        <v>0</v>
      </c>
      <c r="B8397" t="s">
        <v>99</v>
      </c>
      <c r="C8397" t="s">
        <v>11799</v>
      </c>
      <c r="D8397" t="s">
        <v>19054</v>
      </c>
      <c r="E8397" t="s">
        <v>26391</v>
      </c>
      <c r="F8397" t="s">
        <v>32831</v>
      </c>
      <c r="G8397" t="s">
        <v>32839</v>
      </c>
      <c r="H8397" t="s">
        <v>32848</v>
      </c>
      <c r="I8397" t="s">
        <v>4303</v>
      </c>
      <c r="J8397" t="s">
        <v>38216</v>
      </c>
      <c r="K8397" t="s">
        <v>42730</v>
      </c>
      <c r="M8397" t="s">
        <v>43171</v>
      </c>
      <c r="N8397" t="s">
        <v>47424</v>
      </c>
      <c r="O8397" t="s">
        <v>47425</v>
      </c>
      <c r="P8397">
        <v>0</v>
      </c>
      <c r="Q8397">
        <v>0</v>
      </c>
      <c r="R8397" t="s">
        <v>47432</v>
      </c>
      <c r="S8397" t="s">
        <v>47597</v>
      </c>
      <c r="T8397" t="s">
        <v>49108</v>
      </c>
      <c r="U8397" t="s">
        <v>49821</v>
      </c>
      <c r="V8397" t="s">
        <v>62643</v>
      </c>
      <c r="W8397" t="s">
        <v>43171</v>
      </c>
      <c r="X8397" t="s">
        <v>47433</v>
      </c>
    </row>
    <row r="8398" spans="1:24">
      <c r="A8398">
        <f>HYPERLINK("https://www.philgeps.gov.ph/GEPSNONPILOT/Tender/SplashBidNoticeAbstractUI.aspx?menuIndex=3&amp;refID=7153696&amp;Result=3","7153696")</f>
        <v>0</v>
      </c>
      <c r="B8398" t="s">
        <v>2798</v>
      </c>
      <c r="C8398" t="s">
        <v>11800</v>
      </c>
      <c r="D8398" t="s">
        <v>19104</v>
      </c>
      <c r="E8398" t="s">
        <v>26392</v>
      </c>
      <c r="F8398" t="s">
        <v>32831</v>
      </c>
      <c r="G8398" t="s">
        <v>32840</v>
      </c>
      <c r="H8398" t="s">
        <v>32848</v>
      </c>
      <c r="I8398" t="s">
        <v>32884</v>
      </c>
      <c r="J8398" t="s">
        <v>38195</v>
      </c>
      <c r="K8398" t="s">
        <v>42727</v>
      </c>
      <c r="M8398" t="s">
        <v>46028</v>
      </c>
      <c r="N8398" t="s">
        <v>47424</v>
      </c>
      <c r="O8398" t="s">
        <v>47425</v>
      </c>
      <c r="P8398">
        <v>0</v>
      </c>
      <c r="Q8398">
        <v>2</v>
      </c>
      <c r="R8398" t="s">
        <v>47432</v>
      </c>
      <c r="S8398" t="s">
        <v>47597</v>
      </c>
      <c r="T8398" t="s">
        <v>49214</v>
      </c>
      <c r="U8398" t="s">
        <v>56621</v>
      </c>
      <c r="V8398" t="s">
        <v>63562</v>
      </c>
      <c r="W8398" t="s">
        <v>46028</v>
      </c>
      <c r="X8398" t="s">
        <v>47433</v>
      </c>
    </row>
    <row r="8399" spans="1:24">
      <c r="A8399">
        <f>HYPERLINK("https://www.philgeps.gov.ph/GEPSNONPILOT/Tender/SplashBidNoticeAbstractUI.aspx?menuIndex=3&amp;refID=7153690&amp;Result=3","7153690")</f>
        <v>0</v>
      </c>
      <c r="B8399" t="s">
        <v>2811</v>
      </c>
      <c r="C8399" t="s">
        <v>11801</v>
      </c>
      <c r="D8399" t="s">
        <v>19056</v>
      </c>
      <c r="E8399" t="s">
        <v>19351</v>
      </c>
      <c r="F8399" t="s">
        <v>32831</v>
      </c>
      <c r="G8399" t="s">
        <v>32838</v>
      </c>
      <c r="H8399" t="s">
        <v>32848</v>
      </c>
      <c r="I8399" t="s">
        <v>32912</v>
      </c>
      <c r="J8399" t="s">
        <v>33162</v>
      </c>
      <c r="K8399" t="s">
        <v>42731</v>
      </c>
      <c r="M8399" t="s">
        <v>46041</v>
      </c>
      <c r="N8399" t="s">
        <v>47424</v>
      </c>
      <c r="O8399" t="s">
        <v>47425</v>
      </c>
      <c r="P8399">
        <v>0</v>
      </c>
      <c r="Q8399">
        <v>1</v>
      </c>
      <c r="R8399" t="s">
        <v>47432</v>
      </c>
      <c r="S8399" t="s">
        <v>47597</v>
      </c>
      <c r="T8399" t="s">
        <v>49111</v>
      </c>
      <c r="U8399" t="s">
        <v>56648</v>
      </c>
      <c r="W8399" t="s">
        <v>46041</v>
      </c>
      <c r="X8399" t="s">
        <v>47433</v>
      </c>
    </row>
    <row r="8400" spans="1:24">
      <c r="A8400">
        <f>HYPERLINK("https://www.philgeps.gov.ph/GEPSNONPILOT/Tender/SplashBidNoticeAbstractUI.aspx?menuIndex=3&amp;refID=7153659&amp;Result=3","7153659")</f>
        <v>0</v>
      </c>
      <c r="B8400" t="s">
        <v>1987</v>
      </c>
      <c r="C8400" t="s">
        <v>11802</v>
      </c>
      <c r="D8400" t="s">
        <v>19027</v>
      </c>
      <c r="E8400" t="s">
        <v>26393</v>
      </c>
      <c r="F8400" t="s">
        <v>32831</v>
      </c>
      <c r="G8400" t="s">
        <v>32838</v>
      </c>
      <c r="H8400" t="s">
        <v>32848</v>
      </c>
      <c r="I8400" t="s">
        <v>32902</v>
      </c>
      <c r="J8400" t="s">
        <v>38217</v>
      </c>
      <c r="K8400" t="s">
        <v>42727</v>
      </c>
      <c r="M8400" t="s">
        <v>45150</v>
      </c>
      <c r="N8400" t="s">
        <v>47424</v>
      </c>
      <c r="O8400" t="s">
        <v>47425</v>
      </c>
      <c r="P8400">
        <v>0</v>
      </c>
      <c r="Q8400">
        <v>4</v>
      </c>
      <c r="R8400" t="s">
        <v>47432</v>
      </c>
      <c r="S8400" t="s">
        <v>47597</v>
      </c>
      <c r="T8400" t="s">
        <v>49506</v>
      </c>
      <c r="U8400" t="s">
        <v>56567</v>
      </c>
      <c r="W8400" t="s">
        <v>45150</v>
      </c>
      <c r="X8400" t="s">
        <v>47433</v>
      </c>
    </row>
    <row r="8401" spans="1:24">
      <c r="A8401">
        <f>HYPERLINK("https://www.philgeps.gov.ph/GEPSNONPILOT/Tender/SplashBidNoticeAbstractUI.aspx?menuIndex=3&amp;refID=7153681&amp;Result=3","7153681")</f>
        <v>0</v>
      </c>
      <c r="B8401" t="s">
        <v>2656</v>
      </c>
      <c r="C8401" t="s">
        <v>11803</v>
      </c>
      <c r="D8401" t="s">
        <v>19028</v>
      </c>
      <c r="E8401" t="s">
        <v>26394</v>
      </c>
      <c r="F8401" t="s">
        <v>32831</v>
      </c>
      <c r="G8401" t="s">
        <v>32839</v>
      </c>
      <c r="H8401" t="s">
        <v>32849</v>
      </c>
      <c r="I8401" t="s">
        <v>4177</v>
      </c>
      <c r="J8401" t="s">
        <v>38218</v>
      </c>
      <c r="K8401" t="s">
        <v>42727</v>
      </c>
      <c r="M8401" t="s">
        <v>45919</v>
      </c>
      <c r="N8401" t="s">
        <v>47424</v>
      </c>
      <c r="O8401" t="s">
        <v>47425</v>
      </c>
      <c r="P8401">
        <v>0</v>
      </c>
      <c r="Q8401">
        <v>0</v>
      </c>
      <c r="R8401" t="s">
        <v>47432</v>
      </c>
      <c r="S8401" t="s">
        <v>47597</v>
      </c>
      <c r="T8401" t="s">
        <v>49166</v>
      </c>
      <c r="U8401" t="s">
        <v>56348</v>
      </c>
      <c r="W8401" t="s">
        <v>45919</v>
      </c>
      <c r="X8401" t="s">
        <v>47433</v>
      </c>
    </row>
    <row r="8402" spans="1:24">
      <c r="A8402">
        <f>HYPERLINK("https://www.philgeps.gov.ph/GEPSNONPILOT/Tender/SplashBidNoticeAbstractUI.aspx?menuIndex=3&amp;refID=7153683&amp;Result=3","7153683")</f>
        <v>0</v>
      </c>
      <c r="B8402" t="s">
        <v>2798</v>
      </c>
      <c r="C8402" t="s">
        <v>11804</v>
      </c>
      <c r="D8402" t="s">
        <v>19104</v>
      </c>
      <c r="E8402" t="s">
        <v>26395</v>
      </c>
      <c r="F8402" t="s">
        <v>32831</v>
      </c>
      <c r="G8402" t="s">
        <v>32840</v>
      </c>
      <c r="H8402" t="s">
        <v>32848</v>
      </c>
      <c r="I8402" t="s">
        <v>32862</v>
      </c>
      <c r="J8402" t="s">
        <v>38219</v>
      </c>
      <c r="K8402" t="s">
        <v>42727</v>
      </c>
      <c r="M8402" t="s">
        <v>46028</v>
      </c>
      <c r="N8402" t="s">
        <v>47424</v>
      </c>
      <c r="O8402" t="s">
        <v>47425</v>
      </c>
      <c r="P8402">
        <v>0</v>
      </c>
      <c r="Q8402">
        <v>0</v>
      </c>
      <c r="R8402" t="s">
        <v>47432</v>
      </c>
      <c r="S8402" t="s">
        <v>47597</v>
      </c>
      <c r="T8402" t="s">
        <v>49214</v>
      </c>
      <c r="U8402" t="s">
        <v>56621</v>
      </c>
      <c r="V8402" t="s">
        <v>63563</v>
      </c>
      <c r="W8402" t="s">
        <v>46028</v>
      </c>
      <c r="X8402" t="s">
        <v>47433</v>
      </c>
    </row>
    <row r="8403" spans="1:24">
      <c r="A8403">
        <f>HYPERLINK("https://www.philgeps.gov.ph/GEPSNONPILOT/Tender/SplashBidNoticeAbstractUI.aspx?menuIndex=3&amp;refID=7153668&amp;Result=3","7153668")</f>
        <v>0</v>
      </c>
      <c r="B8403" t="s">
        <v>2798</v>
      </c>
      <c r="C8403" t="s">
        <v>11805</v>
      </c>
      <c r="D8403" t="s">
        <v>19104</v>
      </c>
      <c r="E8403" t="s">
        <v>26396</v>
      </c>
      <c r="F8403" t="s">
        <v>32831</v>
      </c>
      <c r="G8403" t="s">
        <v>32840</v>
      </c>
      <c r="H8403" t="s">
        <v>32848</v>
      </c>
      <c r="I8403" t="s">
        <v>32867</v>
      </c>
      <c r="J8403" t="s">
        <v>38220</v>
      </c>
      <c r="K8403" t="s">
        <v>42727</v>
      </c>
      <c r="M8403" t="s">
        <v>46028</v>
      </c>
      <c r="N8403" t="s">
        <v>47424</v>
      </c>
      <c r="O8403" t="s">
        <v>47425</v>
      </c>
      <c r="P8403">
        <v>0</v>
      </c>
      <c r="Q8403">
        <v>3</v>
      </c>
      <c r="R8403" t="s">
        <v>47432</v>
      </c>
      <c r="S8403" t="s">
        <v>47597</v>
      </c>
      <c r="T8403" t="s">
        <v>49214</v>
      </c>
      <c r="U8403" t="s">
        <v>56621</v>
      </c>
      <c r="V8403" t="s">
        <v>63564</v>
      </c>
      <c r="W8403" t="s">
        <v>46028</v>
      </c>
      <c r="X8403" t="s">
        <v>47433</v>
      </c>
    </row>
    <row r="8404" spans="1:24">
      <c r="A8404">
        <f>HYPERLINK("https://www.philgeps.gov.ph/GEPSNONPILOT/Tender/SplashBidNoticeAbstractUI.aspx?menuIndex=3&amp;refID=7153667&amp;Result=3","7153667")</f>
        <v>0</v>
      </c>
      <c r="B8404" t="s">
        <v>99</v>
      </c>
      <c r="C8404" t="s">
        <v>11806</v>
      </c>
      <c r="D8404" t="s">
        <v>19054</v>
      </c>
      <c r="E8404" t="s">
        <v>26397</v>
      </c>
      <c r="F8404" t="s">
        <v>32831</v>
      </c>
      <c r="G8404" t="s">
        <v>32839</v>
      </c>
      <c r="H8404" t="s">
        <v>32848</v>
      </c>
      <c r="I8404" t="s">
        <v>4303</v>
      </c>
      <c r="J8404" t="s">
        <v>33372</v>
      </c>
      <c r="K8404" t="s">
        <v>42730</v>
      </c>
      <c r="M8404" t="s">
        <v>43171</v>
      </c>
      <c r="N8404" t="s">
        <v>47424</v>
      </c>
      <c r="O8404" t="s">
        <v>47425</v>
      </c>
      <c r="P8404">
        <v>0</v>
      </c>
      <c r="Q8404">
        <v>0</v>
      </c>
      <c r="R8404" t="s">
        <v>47432</v>
      </c>
      <c r="S8404" t="s">
        <v>47597</v>
      </c>
      <c r="T8404" t="s">
        <v>49108</v>
      </c>
      <c r="U8404" t="s">
        <v>49821</v>
      </c>
      <c r="V8404" t="s">
        <v>62643</v>
      </c>
      <c r="W8404" t="s">
        <v>43171</v>
      </c>
      <c r="X8404" t="s">
        <v>47433</v>
      </c>
    </row>
    <row r="8405" spans="1:24">
      <c r="A8405">
        <f>HYPERLINK("https://www.philgeps.gov.ph/GEPSNONPILOT/Tender/SplashBidNoticeAbstractUI.aspx?menuIndex=3&amp;refID=7153685&amp;Result=3","7153685")</f>
        <v>0</v>
      </c>
      <c r="B8405" t="s">
        <v>2363</v>
      </c>
      <c r="C8405" t="s">
        <v>11807</v>
      </c>
      <c r="E8405" t="s">
        <v>26398</v>
      </c>
      <c r="F8405" t="s">
        <v>32831</v>
      </c>
      <c r="G8405" t="s">
        <v>32839</v>
      </c>
      <c r="H8405" t="s">
        <v>32848</v>
      </c>
      <c r="I8405" t="s">
        <v>32863</v>
      </c>
      <c r="J8405" t="s">
        <v>38221</v>
      </c>
      <c r="K8405" t="s">
        <v>42732</v>
      </c>
      <c r="M8405" t="s">
        <v>45975</v>
      </c>
      <c r="N8405" t="s">
        <v>47424</v>
      </c>
      <c r="O8405" t="s">
        <v>47425</v>
      </c>
      <c r="Q8405">
        <v>1</v>
      </c>
      <c r="R8405" t="s">
        <v>47432</v>
      </c>
      <c r="S8405" t="s">
        <v>47610</v>
      </c>
      <c r="T8405" t="s">
        <v>49509</v>
      </c>
      <c r="U8405" t="s">
        <v>56649</v>
      </c>
      <c r="W8405" t="s">
        <v>45975</v>
      </c>
      <c r="X8405" t="s">
        <v>47433</v>
      </c>
    </row>
    <row r="8406" spans="1:24">
      <c r="A8406">
        <f>HYPERLINK("https://www.philgeps.gov.ph/GEPSNONPILOT/Tender/SplashBidNoticeAbstractUI.aspx?menuIndex=3&amp;refID=7153672&amp;Result=3","7153672")</f>
        <v>0</v>
      </c>
      <c r="B8406" t="s">
        <v>1705</v>
      </c>
      <c r="C8406" t="s">
        <v>11808</v>
      </c>
      <c r="D8406" t="s">
        <v>19017</v>
      </c>
      <c r="E8406" t="s">
        <v>26399</v>
      </c>
      <c r="F8406" t="s">
        <v>32831</v>
      </c>
      <c r="G8406" t="s">
        <v>32839</v>
      </c>
      <c r="H8406" t="s">
        <v>32849</v>
      </c>
      <c r="I8406" t="s">
        <v>4177</v>
      </c>
      <c r="J8406" t="s">
        <v>38222</v>
      </c>
      <c r="K8406" t="s">
        <v>42732</v>
      </c>
      <c r="M8406" t="s">
        <v>45770</v>
      </c>
      <c r="N8406" t="s">
        <v>47424</v>
      </c>
      <c r="O8406" t="s">
        <v>47425</v>
      </c>
      <c r="P8406">
        <v>0</v>
      </c>
      <c r="Q8406">
        <v>0</v>
      </c>
      <c r="R8406" t="s">
        <v>47432</v>
      </c>
      <c r="S8406" t="s">
        <v>47597</v>
      </c>
      <c r="T8406" t="s">
        <v>49152</v>
      </c>
      <c r="U8406" t="s">
        <v>56650</v>
      </c>
      <c r="W8406" t="s">
        <v>45770</v>
      </c>
      <c r="X8406" t="s">
        <v>47433</v>
      </c>
    </row>
    <row r="8407" spans="1:24">
      <c r="A8407">
        <f>HYPERLINK("https://www.philgeps.gov.ph/GEPSNONPILOT/Tender/SplashBidNoticeAbstractUI.aspx?menuIndex=3&amp;refID=7153577&amp;Result=3","7153577")</f>
        <v>0</v>
      </c>
      <c r="B8407" t="s">
        <v>895</v>
      </c>
      <c r="C8407" t="s">
        <v>11809</v>
      </c>
      <c r="D8407" t="s">
        <v>19036</v>
      </c>
      <c r="E8407" t="s">
        <v>26400</v>
      </c>
      <c r="F8407" t="s">
        <v>32831</v>
      </c>
      <c r="G8407" t="s">
        <v>32839</v>
      </c>
      <c r="H8407" t="s">
        <v>32848</v>
      </c>
      <c r="I8407" t="s">
        <v>4487</v>
      </c>
      <c r="J8407" t="s">
        <v>33077</v>
      </c>
      <c r="K8407" t="s">
        <v>42727</v>
      </c>
      <c r="M8407" t="s">
        <v>44825</v>
      </c>
      <c r="N8407" t="s">
        <v>47424</v>
      </c>
      <c r="O8407" t="s">
        <v>47425</v>
      </c>
      <c r="P8407">
        <v>0</v>
      </c>
      <c r="Q8407">
        <v>0</v>
      </c>
      <c r="R8407" t="s">
        <v>47432</v>
      </c>
      <c r="S8407" t="s">
        <v>47597</v>
      </c>
      <c r="T8407" t="s">
        <v>49095</v>
      </c>
      <c r="U8407" t="s">
        <v>56651</v>
      </c>
      <c r="V8407" t="s">
        <v>62833</v>
      </c>
      <c r="W8407" t="s">
        <v>44825</v>
      </c>
      <c r="X8407" t="s">
        <v>47433</v>
      </c>
    </row>
    <row r="8408" spans="1:24">
      <c r="A8408">
        <f>HYPERLINK("https://www.philgeps.gov.ph/GEPSNONPILOT/Tender/SplashBidNoticeAbstractUI.aspx?menuIndex=3&amp;refID=7153484&amp;Result=3","7153484")</f>
        <v>0</v>
      </c>
      <c r="B8408" t="s">
        <v>99</v>
      </c>
      <c r="C8408" t="s">
        <v>11810</v>
      </c>
      <c r="D8408" t="s">
        <v>19054</v>
      </c>
      <c r="E8408" t="s">
        <v>26401</v>
      </c>
      <c r="F8408" t="s">
        <v>32831</v>
      </c>
      <c r="G8408" t="s">
        <v>32839</v>
      </c>
      <c r="H8408" t="s">
        <v>32848</v>
      </c>
      <c r="I8408" t="s">
        <v>5379</v>
      </c>
      <c r="J8408" t="s">
        <v>37087</v>
      </c>
      <c r="K8408" t="s">
        <v>42759</v>
      </c>
      <c r="M8408" t="s">
        <v>43096</v>
      </c>
      <c r="N8408" t="s">
        <v>47424</v>
      </c>
      <c r="O8408" t="s">
        <v>47425</v>
      </c>
      <c r="P8408">
        <v>0</v>
      </c>
      <c r="Q8408">
        <v>0</v>
      </c>
      <c r="R8408" t="s">
        <v>47432</v>
      </c>
      <c r="S8408" t="s">
        <v>47597</v>
      </c>
      <c r="T8408" t="s">
        <v>49108</v>
      </c>
      <c r="U8408" t="s">
        <v>49821</v>
      </c>
      <c r="V8408" t="s">
        <v>62643</v>
      </c>
      <c r="W8408" t="s">
        <v>43096</v>
      </c>
      <c r="X8408" t="s">
        <v>47433</v>
      </c>
    </row>
    <row r="8409" spans="1:24">
      <c r="A8409">
        <f>HYPERLINK("https://www.philgeps.gov.ph/GEPSNONPILOT/Tender/SplashBidNoticeAbstractUI.aspx?menuIndex=3&amp;refID=7153481&amp;Result=3","7153481")</f>
        <v>0</v>
      </c>
      <c r="B8409" t="s">
        <v>1344</v>
      </c>
      <c r="C8409" t="s">
        <v>11811</v>
      </c>
      <c r="D8409" t="s">
        <v>19077</v>
      </c>
      <c r="E8409" t="s">
        <v>19311</v>
      </c>
      <c r="F8409" t="s">
        <v>32833</v>
      </c>
      <c r="G8409" t="s">
        <v>32839</v>
      </c>
      <c r="H8409" t="s">
        <v>32848</v>
      </c>
      <c r="I8409" t="s">
        <v>4438</v>
      </c>
      <c r="J8409" t="s">
        <v>38223</v>
      </c>
      <c r="K8409" t="s">
        <v>42732</v>
      </c>
      <c r="M8409" t="s">
        <v>44417</v>
      </c>
      <c r="N8409" t="s">
        <v>47424</v>
      </c>
      <c r="O8409" t="s">
        <v>47425</v>
      </c>
      <c r="P8409">
        <v>0</v>
      </c>
      <c r="Q8409">
        <v>0</v>
      </c>
      <c r="R8409" t="s">
        <v>47432</v>
      </c>
      <c r="S8409" t="s">
        <v>47597</v>
      </c>
      <c r="T8409" t="s">
        <v>49470</v>
      </c>
      <c r="U8409" t="s">
        <v>56652</v>
      </c>
      <c r="V8409" t="s">
        <v>63565</v>
      </c>
      <c r="W8409" t="s">
        <v>44417</v>
      </c>
      <c r="X8409" t="s">
        <v>47433</v>
      </c>
    </row>
    <row r="8410" spans="1:24">
      <c r="A8410">
        <f>HYPERLINK("https://www.philgeps.gov.ph/GEPSNONPILOT/Tender/SplashBidNoticeAbstractUI.aspx?menuIndex=3&amp;refID=7153479&amp;Result=3","7153479")</f>
        <v>0</v>
      </c>
      <c r="B8410" t="s">
        <v>895</v>
      </c>
      <c r="C8410" t="s">
        <v>11812</v>
      </c>
      <c r="D8410" t="s">
        <v>19036</v>
      </c>
      <c r="E8410" t="s">
        <v>26402</v>
      </c>
      <c r="F8410" t="s">
        <v>32831</v>
      </c>
      <c r="G8410" t="s">
        <v>32839</v>
      </c>
      <c r="H8410" t="s">
        <v>32848</v>
      </c>
      <c r="I8410" t="s">
        <v>32949</v>
      </c>
      <c r="J8410" t="s">
        <v>33241</v>
      </c>
      <c r="K8410" t="s">
        <v>42727</v>
      </c>
      <c r="M8410" t="s">
        <v>44825</v>
      </c>
      <c r="N8410" t="s">
        <v>47424</v>
      </c>
      <c r="O8410" t="s">
        <v>47425</v>
      </c>
      <c r="P8410">
        <v>0</v>
      </c>
      <c r="Q8410">
        <v>4</v>
      </c>
      <c r="R8410" t="s">
        <v>47432</v>
      </c>
      <c r="S8410" t="s">
        <v>47597</v>
      </c>
      <c r="T8410" t="s">
        <v>49095</v>
      </c>
      <c r="U8410" t="s">
        <v>56653</v>
      </c>
      <c r="V8410" t="s">
        <v>63566</v>
      </c>
      <c r="W8410" t="s">
        <v>44825</v>
      </c>
      <c r="X8410" t="s">
        <v>47433</v>
      </c>
    </row>
    <row r="8411" spans="1:24">
      <c r="A8411">
        <f>HYPERLINK("https://www.philgeps.gov.ph/GEPSNONPILOT/Tender/SplashBidNoticeAbstractUI.aspx?menuIndex=3&amp;refID=7153483&amp;Result=3","7153483")</f>
        <v>0</v>
      </c>
      <c r="B8411" t="s">
        <v>2812</v>
      </c>
      <c r="C8411" t="s">
        <v>11813</v>
      </c>
      <c r="D8411" t="s">
        <v>19044</v>
      </c>
      <c r="E8411" t="s">
        <v>26403</v>
      </c>
      <c r="F8411" t="s">
        <v>32831</v>
      </c>
      <c r="G8411" t="s">
        <v>32838</v>
      </c>
      <c r="H8411" t="s">
        <v>32848</v>
      </c>
      <c r="I8411" t="s">
        <v>32901</v>
      </c>
      <c r="J8411" t="s">
        <v>38224</v>
      </c>
      <c r="K8411" t="s">
        <v>42745</v>
      </c>
      <c r="M8411" t="s">
        <v>46042</v>
      </c>
      <c r="N8411" t="s">
        <v>47424</v>
      </c>
      <c r="O8411" t="s">
        <v>47425</v>
      </c>
      <c r="P8411">
        <v>0</v>
      </c>
      <c r="Q8411">
        <v>1</v>
      </c>
      <c r="R8411" t="s">
        <v>47432</v>
      </c>
      <c r="S8411" t="s">
        <v>47597</v>
      </c>
      <c r="T8411" t="s">
        <v>49166</v>
      </c>
      <c r="U8411" t="s">
        <v>56654</v>
      </c>
      <c r="W8411" t="s">
        <v>46042</v>
      </c>
      <c r="X8411" t="s">
        <v>47433</v>
      </c>
    </row>
    <row r="8412" spans="1:24">
      <c r="A8412">
        <f>HYPERLINK("https://www.philgeps.gov.ph/GEPSNONPILOT/Tender/SplashBidNoticeAbstractUI.aspx?menuIndex=3&amp;refID=7153476&amp;Result=3","7153476")</f>
        <v>0</v>
      </c>
      <c r="B8412" t="s">
        <v>99</v>
      </c>
      <c r="C8412" t="s">
        <v>11814</v>
      </c>
      <c r="D8412" t="s">
        <v>19054</v>
      </c>
      <c r="E8412" t="s">
        <v>26404</v>
      </c>
      <c r="F8412" t="s">
        <v>32831</v>
      </c>
      <c r="G8412" t="s">
        <v>32839</v>
      </c>
      <c r="H8412" t="s">
        <v>32848</v>
      </c>
      <c r="I8412" t="s">
        <v>4340</v>
      </c>
      <c r="J8412" t="s">
        <v>38225</v>
      </c>
      <c r="K8412" t="s">
        <v>42730</v>
      </c>
      <c r="M8412" t="s">
        <v>43096</v>
      </c>
      <c r="N8412" t="s">
        <v>47424</v>
      </c>
      <c r="O8412" t="s">
        <v>47425</v>
      </c>
      <c r="P8412">
        <v>0</v>
      </c>
      <c r="Q8412">
        <v>0</v>
      </c>
      <c r="R8412" t="s">
        <v>47432</v>
      </c>
      <c r="S8412" t="s">
        <v>47597</v>
      </c>
      <c r="T8412" t="s">
        <v>49108</v>
      </c>
      <c r="U8412" t="s">
        <v>49821</v>
      </c>
      <c r="V8412" t="s">
        <v>62643</v>
      </c>
      <c r="W8412" t="s">
        <v>43096</v>
      </c>
      <c r="X8412" t="s">
        <v>47433</v>
      </c>
    </row>
    <row r="8413" spans="1:24">
      <c r="A8413">
        <f>HYPERLINK("https://www.philgeps.gov.ph/GEPSNONPILOT/Tender/SplashBidNoticeAbstractUI.aspx?menuIndex=3&amp;refID=7153472&amp;Result=3","7153472")</f>
        <v>0</v>
      </c>
      <c r="B8413" t="s">
        <v>2813</v>
      </c>
      <c r="C8413" t="s">
        <v>11815</v>
      </c>
      <c r="D8413" t="s">
        <v>19024</v>
      </c>
      <c r="E8413" t="s">
        <v>26405</v>
      </c>
      <c r="F8413" t="s">
        <v>32831</v>
      </c>
      <c r="G8413" t="s">
        <v>32839</v>
      </c>
      <c r="H8413" t="s">
        <v>32849</v>
      </c>
      <c r="I8413" t="s">
        <v>4177</v>
      </c>
      <c r="J8413" t="s">
        <v>38226</v>
      </c>
      <c r="K8413" t="s">
        <v>42763</v>
      </c>
      <c r="L8413" t="s">
        <v>2813</v>
      </c>
      <c r="M8413" t="s">
        <v>46043</v>
      </c>
      <c r="N8413" t="s">
        <v>47424</v>
      </c>
      <c r="O8413" t="s">
        <v>47425</v>
      </c>
      <c r="P8413">
        <v>0</v>
      </c>
      <c r="Q8413">
        <v>1</v>
      </c>
      <c r="R8413" t="s">
        <v>47432</v>
      </c>
      <c r="S8413" t="s">
        <v>47597</v>
      </c>
      <c r="T8413" t="s">
        <v>49510</v>
      </c>
      <c r="U8413" t="s">
        <v>56655</v>
      </c>
      <c r="V8413" t="s">
        <v>63567</v>
      </c>
      <c r="W8413" t="s">
        <v>46043</v>
      </c>
      <c r="X8413" t="s">
        <v>47433</v>
      </c>
    </row>
    <row r="8414" spans="1:24">
      <c r="A8414">
        <f>HYPERLINK("https://www.philgeps.gov.ph/GEPSNONPILOT/Tender/SplashBidNoticeAbstractUI.aspx?menuIndex=3&amp;refID=7153474&amp;Result=3","7153474")</f>
        <v>0</v>
      </c>
      <c r="B8414" t="s">
        <v>1207</v>
      </c>
      <c r="C8414" t="s">
        <v>11816</v>
      </c>
      <c r="D8414" t="s">
        <v>19049</v>
      </c>
      <c r="E8414" t="s">
        <v>26406</v>
      </c>
      <c r="F8414" t="s">
        <v>32833</v>
      </c>
      <c r="G8414" t="s">
        <v>32838</v>
      </c>
      <c r="H8414" t="s">
        <v>32848</v>
      </c>
      <c r="I8414" t="s">
        <v>7416</v>
      </c>
      <c r="J8414" t="s">
        <v>38227</v>
      </c>
      <c r="K8414" t="s">
        <v>42730</v>
      </c>
      <c r="M8414" t="s">
        <v>44274</v>
      </c>
      <c r="N8414" t="s">
        <v>47424</v>
      </c>
      <c r="O8414" t="s">
        <v>47425</v>
      </c>
      <c r="P8414">
        <v>0</v>
      </c>
      <c r="Q8414">
        <v>0</v>
      </c>
      <c r="R8414" t="s">
        <v>47432</v>
      </c>
      <c r="S8414" t="s">
        <v>47597</v>
      </c>
      <c r="T8414" t="s">
        <v>49251</v>
      </c>
      <c r="U8414" t="s">
        <v>56656</v>
      </c>
      <c r="W8414" t="s">
        <v>44274</v>
      </c>
      <c r="X8414" t="s">
        <v>47433</v>
      </c>
    </row>
    <row r="8415" spans="1:24">
      <c r="A8415">
        <f>HYPERLINK("https://www.philgeps.gov.ph/GEPSNONPILOT/Tender/SplashBidNoticeAbstractUI.aspx?menuIndex=3&amp;refID=7153376&amp;Result=3","7153376")</f>
        <v>0</v>
      </c>
      <c r="B8415" t="s">
        <v>2777</v>
      </c>
      <c r="C8415" t="s">
        <v>11817</v>
      </c>
      <c r="D8415" t="s">
        <v>19022</v>
      </c>
      <c r="E8415" t="s">
        <v>26407</v>
      </c>
      <c r="F8415" t="s">
        <v>32831</v>
      </c>
      <c r="G8415" t="s">
        <v>32838</v>
      </c>
      <c r="H8415" t="s">
        <v>32848</v>
      </c>
      <c r="I8415" t="s">
        <v>4340</v>
      </c>
      <c r="J8415" t="s">
        <v>38228</v>
      </c>
      <c r="K8415" t="s">
        <v>42727</v>
      </c>
      <c r="M8415" t="s">
        <v>46008</v>
      </c>
      <c r="N8415" t="s">
        <v>47424</v>
      </c>
      <c r="O8415" t="s">
        <v>47425</v>
      </c>
      <c r="P8415">
        <v>0</v>
      </c>
      <c r="Q8415">
        <v>1</v>
      </c>
      <c r="R8415" t="s">
        <v>47432</v>
      </c>
      <c r="S8415" t="s">
        <v>47597</v>
      </c>
      <c r="T8415" t="s">
        <v>49239</v>
      </c>
      <c r="U8415" t="s">
        <v>56657</v>
      </c>
      <c r="W8415" t="s">
        <v>46008</v>
      </c>
      <c r="X8415" t="s">
        <v>47433</v>
      </c>
    </row>
    <row r="8416" spans="1:24">
      <c r="A8416">
        <f>HYPERLINK("https://www.philgeps.gov.ph/GEPSNONPILOT/Tender/SplashBidNoticeAbstractUI.aspx?menuIndex=3&amp;refID=7153679&amp;Result=3","7153679")</f>
        <v>0</v>
      </c>
      <c r="B8416" t="s">
        <v>2666</v>
      </c>
      <c r="C8416" t="s">
        <v>5171</v>
      </c>
      <c r="D8416" t="s">
        <v>19077</v>
      </c>
      <c r="E8416" t="s">
        <v>26408</v>
      </c>
      <c r="F8416" t="s">
        <v>32831</v>
      </c>
      <c r="G8416" t="s">
        <v>32842</v>
      </c>
      <c r="H8416" t="s">
        <v>32848</v>
      </c>
      <c r="I8416" t="s">
        <v>4776</v>
      </c>
      <c r="J8416" t="s">
        <v>38229</v>
      </c>
      <c r="K8416" t="s">
        <v>42726</v>
      </c>
      <c r="M8416" t="s">
        <v>45889</v>
      </c>
      <c r="N8416" t="s">
        <v>47424</v>
      </c>
      <c r="O8416" t="s">
        <v>47425</v>
      </c>
      <c r="P8416">
        <v>0</v>
      </c>
      <c r="Q8416">
        <v>4</v>
      </c>
      <c r="R8416" t="s">
        <v>47432</v>
      </c>
      <c r="S8416" t="s">
        <v>47597</v>
      </c>
      <c r="T8416" t="s">
        <v>49279</v>
      </c>
      <c r="U8416" t="s">
        <v>56658</v>
      </c>
      <c r="V8416" t="s">
        <v>63568</v>
      </c>
      <c r="W8416" t="s">
        <v>45889</v>
      </c>
      <c r="X8416" t="s">
        <v>47433</v>
      </c>
    </row>
    <row r="8417" spans="1:24">
      <c r="A8417">
        <f>HYPERLINK("https://www.philgeps.gov.ph/GEPSNONPILOT/Tender/SplashBidNoticeAbstractUI.aspx?menuIndex=3&amp;refID=7153372&amp;Result=3","7153372")</f>
        <v>0</v>
      </c>
      <c r="B8417" t="s">
        <v>2692</v>
      </c>
      <c r="C8417" t="s">
        <v>11818</v>
      </c>
      <c r="D8417" t="s">
        <v>19073</v>
      </c>
      <c r="E8417" t="s">
        <v>26313</v>
      </c>
      <c r="F8417" t="s">
        <v>32834</v>
      </c>
      <c r="G8417" t="s">
        <v>32840</v>
      </c>
      <c r="H8417" t="s">
        <v>32848</v>
      </c>
      <c r="I8417" t="s">
        <v>32927</v>
      </c>
      <c r="J8417" t="s">
        <v>33479</v>
      </c>
      <c r="K8417" t="s">
        <v>42758</v>
      </c>
      <c r="M8417" t="s">
        <v>45915</v>
      </c>
      <c r="N8417" t="s">
        <v>47424</v>
      </c>
      <c r="O8417" t="s">
        <v>47425</v>
      </c>
      <c r="P8417">
        <v>0</v>
      </c>
      <c r="Q8417">
        <v>0</v>
      </c>
      <c r="R8417" t="s">
        <v>47432</v>
      </c>
      <c r="S8417" t="s">
        <v>47597</v>
      </c>
      <c r="T8417" t="s">
        <v>49111</v>
      </c>
      <c r="U8417" t="s">
        <v>56578</v>
      </c>
      <c r="W8417" t="s">
        <v>45915</v>
      </c>
      <c r="X8417" t="s">
        <v>47433</v>
      </c>
    </row>
    <row r="8418" spans="1:24">
      <c r="A8418">
        <f>HYPERLINK("https://www.philgeps.gov.ph/GEPSNONPILOT/Tender/SplashBidNoticeAbstractUI.aspx?menuIndex=3&amp;refID=7153666&amp;Result=3","7153666")</f>
        <v>0</v>
      </c>
      <c r="B8418" t="s">
        <v>2814</v>
      </c>
      <c r="C8418" t="s">
        <v>11819</v>
      </c>
      <c r="D8418" t="s">
        <v>19073</v>
      </c>
      <c r="E8418" t="s">
        <v>11819</v>
      </c>
      <c r="F8418" t="s">
        <v>32831</v>
      </c>
      <c r="G8418" t="s">
        <v>32839</v>
      </c>
      <c r="H8418" t="s">
        <v>32848</v>
      </c>
      <c r="I8418" t="s">
        <v>32876</v>
      </c>
      <c r="J8418" t="s">
        <v>33553</v>
      </c>
      <c r="K8418" t="s">
        <v>42729</v>
      </c>
      <c r="M8418" t="s">
        <v>46044</v>
      </c>
      <c r="N8418" t="s">
        <v>47424</v>
      </c>
      <c r="O8418" t="s">
        <v>47425</v>
      </c>
      <c r="P8418">
        <v>0</v>
      </c>
      <c r="Q8418">
        <v>11</v>
      </c>
      <c r="R8418" t="s">
        <v>47432</v>
      </c>
      <c r="S8418" t="s">
        <v>47597</v>
      </c>
      <c r="T8418" t="s">
        <v>49221</v>
      </c>
      <c r="U8418" t="s">
        <v>56659</v>
      </c>
      <c r="W8418" t="s">
        <v>46044</v>
      </c>
      <c r="X8418" t="s">
        <v>47433</v>
      </c>
    </row>
    <row r="8419" spans="1:24">
      <c r="A8419">
        <f>HYPERLINK("https://www.philgeps.gov.ph/GEPSNONPILOT/Tender/SplashBidNoticeAbstractUI.aspx?menuIndex=3&amp;refID=7153374&amp;Result=3","7153374")</f>
        <v>0</v>
      </c>
      <c r="B8419" t="s">
        <v>2815</v>
      </c>
      <c r="C8419" t="s">
        <v>11820</v>
      </c>
      <c r="D8419" t="s">
        <v>19086</v>
      </c>
      <c r="E8419" t="s">
        <v>26409</v>
      </c>
      <c r="F8419" t="s">
        <v>32831</v>
      </c>
      <c r="G8419" t="s">
        <v>32838</v>
      </c>
      <c r="H8419" t="s">
        <v>32849</v>
      </c>
      <c r="I8419" t="s">
        <v>4177</v>
      </c>
      <c r="J8419" t="s">
        <v>38230</v>
      </c>
      <c r="K8419" t="s">
        <v>42729</v>
      </c>
      <c r="M8419" t="s">
        <v>46045</v>
      </c>
      <c r="N8419" t="s">
        <v>47424</v>
      </c>
      <c r="O8419" t="s">
        <v>47425</v>
      </c>
      <c r="P8419">
        <v>0</v>
      </c>
      <c r="Q8419">
        <v>5</v>
      </c>
      <c r="R8419" t="s">
        <v>47432</v>
      </c>
      <c r="S8419" t="s">
        <v>47597</v>
      </c>
      <c r="T8419" t="s">
        <v>49177</v>
      </c>
      <c r="U8419" t="s">
        <v>56660</v>
      </c>
      <c r="V8419" t="s">
        <v>63569</v>
      </c>
      <c r="W8419" t="s">
        <v>46045</v>
      </c>
      <c r="X8419" t="s">
        <v>47433</v>
      </c>
    </row>
    <row r="8420" spans="1:24">
      <c r="A8420">
        <f>HYPERLINK("https://www.philgeps.gov.ph/GEPSNONPILOT/Tender/SplashBidNoticeAbstractUI.aspx?menuIndex=3&amp;refID=7153368&amp;Result=3","7153368")</f>
        <v>0</v>
      </c>
      <c r="B8420" t="s">
        <v>1688</v>
      </c>
      <c r="C8420" t="s">
        <v>11821</v>
      </c>
      <c r="D8420" t="s">
        <v>19078</v>
      </c>
      <c r="E8420" t="s">
        <v>26410</v>
      </c>
      <c r="F8420" t="s">
        <v>32831</v>
      </c>
      <c r="G8420" t="s">
        <v>32838</v>
      </c>
      <c r="H8420" t="s">
        <v>32848</v>
      </c>
      <c r="I8420" t="s">
        <v>32859</v>
      </c>
      <c r="J8420" t="s">
        <v>34968</v>
      </c>
      <c r="K8420" t="s">
        <v>42732</v>
      </c>
      <c r="L8420" t="s">
        <v>1688</v>
      </c>
      <c r="M8420" t="s">
        <v>44808</v>
      </c>
      <c r="N8420" t="s">
        <v>47424</v>
      </c>
      <c r="O8420" t="s">
        <v>47425</v>
      </c>
      <c r="P8420">
        <v>0</v>
      </c>
      <c r="Q8420">
        <v>4</v>
      </c>
      <c r="R8420" t="s">
        <v>47432</v>
      </c>
      <c r="S8420" t="s">
        <v>47597</v>
      </c>
      <c r="T8420" t="s">
        <v>49111</v>
      </c>
      <c r="U8420" t="s">
        <v>53382</v>
      </c>
      <c r="W8420" t="s">
        <v>44808</v>
      </c>
      <c r="X8420" t="s">
        <v>47433</v>
      </c>
    </row>
    <row r="8421" spans="1:24">
      <c r="A8421">
        <f>HYPERLINK("https://www.philgeps.gov.ph/GEPSNONPILOT/Tender/SplashBidNoticeAbstractUI.aspx?menuIndex=3&amp;refID=7153670&amp;Result=3","7153670")</f>
        <v>0</v>
      </c>
      <c r="B8421" t="s">
        <v>657</v>
      </c>
      <c r="C8421" t="s">
        <v>11822</v>
      </c>
      <c r="D8421" t="s">
        <v>19027</v>
      </c>
      <c r="E8421" t="s">
        <v>26411</v>
      </c>
      <c r="F8421" t="s">
        <v>32831</v>
      </c>
      <c r="G8421" t="s">
        <v>32838</v>
      </c>
      <c r="H8421" t="s">
        <v>32848</v>
      </c>
      <c r="I8421" t="s">
        <v>4558</v>
      </c>
      <c r="J8421" t="s">
        <v>38231</v>
      </c>
      <c r="K8421" t="s">
        <v>42732</v>
      </c>
      <c r="M8421" t="s">
        <v>43675</v>
      </c>
      <c r="N8421" t="s">
        <v>47424</v>
      </c>
      <c r="O8421" t="s">
        <v>47425</v>
      </c>
      <c r="P8421">
        <v>0</v>
      </c>
      <c r="Q8421">
        <v>2</v>
      </c>
      <c r="R8421" t="s">
        <v>47432</v>
      </c>
      <c r="S8421" t="s">
        <v>47597</v>
      </c>
      <c r="T8421" t="s">
        <v>49108</v>
      </c>
      <c r="U8421" t="s">
        <v>50905</v>
      </c>
      <c r="W8421" t="s">
        <v>43675</v>
      </c>
      <c r="X8421" t="s">
        <v>47433</v>
      </c>
    </row>
    <row r="8422" spans="1:24">
      <c r="A8422">
        <f>HYPERLINK("https://www.philgeps.gov.ph/GEPSNONPILOT/Tender/SplashBidNoticeAbstractUI.aspx?menuIndex=3&amp;refID=7153751&amp;Result=3","7153751")</f>
        <v>0</v>
      </c>
      <c r="B8422" t="s">
        <v>2816</v>
      </c>
      <c r="C8422" t="s">
        <v>11823</v>
      </c>
      <c r="D8422" t="s">
        <v>19056</v>
      </c>
      <c r="E8422" t="s">
        <v>21441</v>
      </c>
      <c r="F8422" t="s">
        <v>32831</v>
      </c>
      <c r="G8422" t="s">
        <v>32839</v>
      </c>
      <c r="H8422" t="s">
        <v>32848</v>
      </c>
      <c r="I8422" t="s">
        <v>32852</v>
      </c>
      <c r="J8422" t="s">
        <v>38232</v>
      </c>
      <c r="K8422" t="s">
        <v>42731</v>
      </c>
      <c r="M8422" t="s">
        <v>46046</v>
      </c>
      <c r="N8422" t="s">
        <v>47424</v>
      </c>
      <c r="O8422" t="s">
        <v>47425</v>
      </c>
      <c r="P8422">
        <v>0</v>
      </c>
      <c r="Q8422">
        <v>1</v>
      </c>
      <c r="R8422" t="s">
        <v>47432</v>
      </c>
      <c r="S8422" t="s">
        <v>47597</v>
      </c>
      <c r="T8422" t="s">
        <v>49252</v>
      </c>
      <c r="U8422" t="s">
        <v>56661</v>
      </c>
      <c r="W8422" t="s">
        <v>46046</v>
      </c>
      <c r="X8422" t="s">
        <v>47433</v>
      </c>
    </row>
    <row r="8423" spans="1:24">
      <c r="A8423">
        <f>HYPERLINK("https://www.philgeps.gov.ph/GEPSNONPILOT/Tender/SplashBidNoticeAbstractUI.aspx?menuIndex=3&amp;refID=7153365&amp;Result=3","7153365")</f>
        <v>0</v>
      </c>
      <c r="B8423" t="s">
        <v>2780</v>
      </c>
      <c r="C8423" t="s">
        <v>11824</v>
      </c>
      <c r="D8423" t="s">
        <v>19089</v>
      </c>
      <c r="E8423" t="s">
        <v>26412</v>
      </c>
      <c r="F8423" t="s">
        <v>32831</v>
      </c>
      <c r="G8423" t="s">
        <v>32839</v>
      </c>
      <c r="H8423" t="s">
        <v>32848</v>
      </c>
      <c r="I8423" t="s">
        <v>32855</v>
      </c>
      <c r="J8423" t="s">
        <v>38233</v>
      </c>
      <c r="K8423" t="s">
        <v>42731</v>
      </c>
      <c r="M8423" t="s">
        <v>46010</v>
      </c>
      <c r="N8423" t="s">
        <v>47424</v>
      </c>
      <c r="O8423" t="s">
        <v>47425</v>
      </c>
      <c r="P8423">
        <v>0</v>
      </c>
      <c r="Q8423">
        <v>0</v>
      </c>
      <c r="R8423" t="s">
        <v>47432</v>
      </c>
      <c r="S8423" t="s">
        <v>47597</v>
      </c>
      <c r="T8423" t="s">
        <v>49070</v>
      </c>
      <c r="U8423" t="s">
        <v>56662</v>
      </c>
      <c r="W8423" t="s">
        <v>46010</v>
      </c>
      <c r="X8423" t="s">
        <v>47433</v>
      </c>
    </row>
    <row r="8424" spans="1:24">
      <c r="A8424">
        <f>HYPERLINK("https://www.philgeps.gov.ph/GEPSNONPILOT/Tender/SplashBidNoticeAbstractUI.aspx?menuIndex=3&amp;refID=7153282&amp;Result=3","7153282")</f>
        <v>0</v>
      </c>
      <c r="B8424" t="s">
        <v>1141</v>
      </c>
      <c r="C8424" t="s">
        <v>11825</v>
      </c>
      <c r="D8424" t="s">
        <v>19017</v>
      </c>
      <c r="E8424" t="s">
        <v>26413</v>
      </c>
      <c r="F8424" t="s">
        <v>32831</v>
      </c>
      <c r="G8424" t="s">
        <v>32838</v>
      </c>
      <c r="H8424" t="s">
        <v>32848</v>
      </c>
      <c r="I8424" t="s">
        <v>32862</v>
      </c>
      <c r="J8424" t="s">
        <v>33692</v>
      </c>
      <c r="K8424" t="s">
        <v>42727</v>
      </c>
      <c r="M8424" t="s">
        <v>44205</v>
      </c>
      <c r="N8424" t="s">
        <v>47424</v>
      </c>
      <c r="O8424" t="s">
        <v>47425</v>
      </c>
      <c r="P8424">
        <v>0</v>
      </c>
      <c r="Q8424">
        <v>1</v>
      </c>
      <c r="R8424" t="s">
        <v>47432</v>
      </c>
      <c r="S8424" t="s">
        <v>47597</v>
      </c>
      <c r="T8424" t="s">
        <v>49237</v>
      </c>
      <c r="U8424" t="s">
        <v>56663</v>
      </c>
      <c r="W8424" t="s">
        <v>64459</v>
      </c>
      <c r="X8424" t="s">
        <v>47433</v>
      </c>
    </row>
    <row r="8425" spans="1:24">
      <c r="A8425">
        <f>HYPERLINK("https://www.philgeps.gov.ph/GEPSNONPILOT/Tender/SplashBidNoticeAbstractUI.aspx?menuIndex=3&amp;refID=7153746&amp;Result=3","7153746")</f>
        <v>0</v>
      </c>
      <c r="B8425" t="s">
        <v>2817</v>
      </c>
      <c r="C8425" t="s">
        <v>11826</v>
      </c>
      <c r="D8425" t="s">
        <v>19027</v>
      </c>
      <c r="E8425" t="s">
        <v>26414</v>
      </c>
      <c r="F8425" t="s">
        <v>32831</v>
      </c>
      <c r="G8425" t="s">
        <v>32839</v>
      </c>
      <c r="H8425" t="s">
        <v>32848</v>
      </c>
      <c r="I8425" t="s">
        <v>9577</v>
      </c>
      <c r="J8425" t="s">
        <v>38234</v>
      </c>
      <c r="K8425" t="s">
        <v>42748</v>
      </c>
      <c r="M8425" t="s">
        <v>46047</v>
      </c>
      <c r="N8425" t="s">
        <v>47424</v>
      </c>
      <c r="O8425" t="s">
        <v>47425</v>
      </c>
      <c r="P8425">
        <v>0</v>
      </c>
      <c r="Q8425">
        <v>2</v>
      </c>
      <c r="R8425" t="s">
        <v>47432</v>
      </c>
      <c r="S8425" t="s">
        <v>47597</v>
      </c>
      <c r="T8425" t="s">
        <v>49231</v>
      </c>
      <c r="U8425" t="s">
        <v>49907</v>
      </c>
      <c r="W8425" t="s">
        <v>46047</v>
      </c>
      <c r="X8425" t="s">
        <v>47433</v>
      </c>
    </row>
    <row r="8426" spans="1:24">
      <c r="A8426">
        <f>HYPERLINK("https://www.philgeps.gov.ph/GEPSNONPILOT/Tender/SplashBidNoticeAbstractUI.aspx?menuIndex=3&amp;refID=7153743&amp;Result=3","7153743")</f>
        <v>0</v>
      </c>
      <c r="B8426" t="s">
        <v>980</v>
      </c>
      <c r="C8426" t="s">
        <v>11827</v>
      </c>
      <c r="D8426" t="s">
        <v>19022</v>
      </c>
      <c r="E8426" t="s">
        <v>26415</v>
      </c>
      <c r="F8426" t="s">
        <v>32831</v>
      </c>
      <c r="G8426" t="s">
        <v>32838</v>
      </c>
      <c r="H8426" t="s">
        <v>32848</v>
      </c>
      <c r="I8426" t="s">
        <v>4487</v>
      </c>
      <c r="J8426" t="s">
        <v>38235</v>
      </c>
      <c r="K8426" t="s">
        <v>42727</v>
      </c>
      <c r="M8426" t="s">
        <v>45987</v>
      </c>
      <c r="N8426" t="s">
        <v>47424</v>
      </c>
      <c r="O8426" t="s">
        <v>47425</v>
      </c>
      <c r="P8426">
        <v>0</v>
      </c>
      <c r="Q8426">
        <v>7</v>
      </c>
      <c r="R8426" t="s">
        <v>47432</v>
      </c>
      <c r="S8426" t="s">
        <v>47597</v>
      </c>
      <c r="T8426" t="s">
        <v>49162</v>
      </c>
      <c r="U8426" t="s">
        <v>56664</v>
      </c>
      <c r="W8426" t="s">
        <v>45987</v>
      </c>
      <c r="X8426" t="s">
        <v>47433</v>
      </c>
    </row>
    <row r="8427" spans="1:24">
      <c r="A8427">
        <f>HYPERLINK("https://www.philgeps.gov.ph/GEPSNONPILOT/Tender/SplashBidNoticeAbstractUI.aspx?menuIndex=3&amp;refID=7153473&amp;Result=3","7153473")</f>
        <v>0</v>
      </c>
      <c r="B8427" t="s">
        <v>2818</v>
      </c>
      <c r="C8427" t="s">
        <v>4090</v>
      </c>
      <c r="D8427" t="s">
        <v>19057</v>
      </c>
      <c r="E8427" t="s">
        <v>19979</v>
      </c>
      <c r="F8427" t="s">
        <v>32831</v>
      </c>
      <c r="G8427" t="s">
        <v>32839</v>
      </c>
      <c r="H8427" t="s">
        <v>32848</v>
      </c>
      <c r="I8427" t="s">
        <v>4776</v>
      </c>
      <c r="J8427" t="s">
        <v>33025</v>
      </c>
      <c r="K8427" t="s">
        <v>42727</v>
      </c>
      <c r="M8427" t="s">
        <v>46048</v>
      </c>
      <c r="N8427" t="s">
        <v>47424</v>
      </c>
      <c r="O8427" t="s">
        <v>47425</v>
      </c>
      <c r="P8427">
        <v>0</v>
      </c>
      <c r="Q8427">
        <v>1</v>
      </c>
      <c r="R8427" t="s">
        <v>47432</v>
      </c>
      <c r="S8427" t="s">
        <v>47597</v>
      </c>
      <c r="T8427" t="s">
        <v>49162</v>
      </c>
      <c r="U8427" t="s">
        <v>56665</v>
      </c>
      <c r="W8427" t="s">
        <v>46048</v>
      </c>
      <c r="X8427" t="s">
        <v>47433</v>
      </c>
    </row>
    <row r="8428" spans="1:24">
      <c r="A8428">
        <f>HYPERLINK("https://www.philgeps.gov.ph/GEPSNONPILOT/Tender/SplashBidNoticeAbstractUI.aspx?menuIndex=3&amp;refID=7153748&amp;Result=3","7153748")</f>
        <v>0</v>
      </c>
      <c r="B8428" t="s">
        <v>2805</v>
      </c>
      <c r="C8428" t="s">
        <v>11828</v>
      </c>
      <c r="D8428" t="s">
        <v>19080</v>
      </c>
      <c r="E8428" t="s">
        <v>26416</v>
      </c>
      <c r="F8428" t="s">
        <v>32831</v>
      </c>
      <c r="G8428" t="s">
        <v>32839</v>
      </c>
      <c r="H8428" t="s">
        <v>32848</v>
      </c>
      <c r="I8428" t="s">
        <v>32862</v>
      </c>
      <c r="J8428" t="s">
        <v>33279</v>
      </c>
      <c r="K8428" t="s">
        <v>42730</v>
      </c>
      <c r="M8428" t="s">
        <v>46035</v>
      </c>
      <c r="N8428" t="s">
        <v>47424</v>
      </c>
      <c r="O8428" t="s">
        <v>47425</v>
      </c>
      <c r="P8428">
        <v>0</v>
      </c>
      <c r="Q8428">
        <v>0</v>
      </c>
      <c r="R8428" t="s">
        <v>47432</v>
      </c>
      <c r="S8428" t="s">
        <v>47597</v>
      </c>
      <c r="T8428" t="s">
        <v>49057</v>
      </c>
      <c r="U8428" t="s">
        <v>56666</v>
      </c>
      <c r="V8428" t="s">
        <v>63570</v>
      </c>
      <c r="W8428" t="s">
        <v>46035</v>
      </c>
      <c r="X8428" t="s">
        <v>47433</v>
      </c>
    </row>
    <row r="8429" spans="1:24">
      <c r="A8429">
        <f>HYPERLINK("https://www.philgeps.gov.ph/GEPSNONPILOT/Tender/SplashBidNoticeAbstractUI.aspx?menuIndex=3&amp;refID=7153737&amp;Result=3","7153737")</f>
        <v>0</v>
      </c>
      <c r="B8429" t="s">
        <v>736</v>
      </c>
      <c r="C8429" t="s">
        <v>5029</v>
      </c>
      <c r="D8429" t="s">
        <v>19062</v>
      </c>
      <c r="E8429" t="s">
        <v>26417</v>
      </c>
      <c r="F8429" t="s">
        <v>32831</v>
      </c>
      <c r="G8429" t="s">
        <v>32838</v>
      </c>
      <c r="H8429" t="s">
        <v>32848</v>
      </c>
      <c r="I8429" t="s">
        <v>9577</v>
      </c>
      <c r="J8429" t="s">
        <v>38236</v>
      </c>
      <c r="K8429" t="s">
        <v>42731</v>
      </c>
      <c r="M8429" t="s">
        <v>43758</v>
      </c>
      <c r="N8429" t="s">
        <v>47424</v>
      </c>
      <c r="O8429" t="s">
        <v>47425</v>
      </c>
      <c r="P8429">
        <v>0</v>
      </c>
      <c r="Q8429">
        <v>2</v>
      </c>
      <c r="R8429" t="s">
        <v>47432</v>
      </c>
      <c r="S8429" t="s">
        <v>47597</v>
      </c>
      <c r="T8429" t="s">
        <v>49127</v>
      </c>
      <c r="U8429" t="s">
        <v>51393</v>
      </c>
      <c r="W8429" t="s">
        <v>43758</v>
      </c>
      <c r="X8429" t="s">
        <v>47433</v>
      </c>
    </row>
    <row r="8430" spans="1:24">
      <c r="A8430">
        <f>HYPERLINK("https://www.philgeps.gov.ph/GEPSNONPILOT/Tender/SplashBidNoticeAbstractUI.aspx?menuIndex=3&amp;refID=7153734&amp;Result=3","7153734")</f>
        <v>0</v>
      </c>
      <c r="B8430" t="s">
        <v>2808</v>
      </c>
      <c r="C8430" t="s">
        <v>11829</v>
      </c>
      <c r="D8430" t="s">
        <v>19027</v>
      </c>
      <c r="E8430" t="s">
        <v>26418</v>
      </c>
      <c r="F8430" t="s">
        <v>32831</v>
      </c>
      <c r="G8430" t="s">
        <v>32839</v>
      </c>
      <c r="H8430" t="s">
        <v>32848</v>
      </c>
      <c r="I8430" t="s">
        <v>4471</v>
      </c>
      <c r="J8430" t="s">
        <v>38237</v>
      </c>
      <c r="K8430" t="s">
        <v>42732</v>
      </c>
      <c r="M8430" t="s">
        <v>46038</v>
      </c>
      <c r="N8430" t="s">
        <v>47424</v>
      </c>
      <c r="O8430" t="s">
        <v>47425</v>
      </c>
      <c r="P8430">
        <v>0</v>
      </c>
      <c r="Q8430">
        <v>0</v>
      </c>
      <c r="R8430" t="s">
        <v>47432</v>
      </c>
      <c r="S8430" t="s">
        <v>47597</v>
      </c>
      <c r="T8430" t="s">
        <v>49110</v>
      </c>
      <c r="U8430" t="s">
        <v>56667</v>
      </c>
      <c r="W8430" t="s">
        <v>46038</v>
      </c>
      <c r="X8430" t="s">
        <v>47433</v>
      </c>
    </row>
    <row r="8431" spans="1:24">
      <c r="A8431">
        <f>HYPERLINK("https://www.philgeps.gov.ph/GEPSNONPILOT/Tender/SplashBidNoticeAbstractUI.aspx?menuIndex=3&amp;refID=7153731&amp;Result=3","7153731")</f>
        <v>0</v>
      </c>
      <c r="B8431" t="s">
        <v>437</v>
      </c>
      <c r="C8431" t="s">
        <v>11830</v>
      </c>
      <c r="D8431" t="s">
        <v>19077</v>
      </c>
      <c r="E8431" t="s">
        <v>26419</v>
      </c>
      <c r="F8431" t="s">
        <v>32831</v>
      </c>
      <c r="G8431" t="s">
        <v>32838</v>
      </c>
      <c r="H8431" t="s">
        <v>32848</v>
      </c>
      <c r="I8431" t="s">
        <v>4177</v>
      </c>
      <c r="J8431" t="s">
        <v>33044</v>
      </c>
      <c r="K8431" t="s">
        <v>42770</v>
      </c>
      <c r="M8431" t="s">
        <v>43442</v>
      </c>
      <c r="N8431" t="s">
        <v>47424</v>
      </c>
      <c r="O8431" t="s">
        <v>47425</v>
      </c>
      <c r="P8431">
        <v>0</v>
      </c>
      <c r="Q8431">
        <v>1</v>
      </c>
      <c r="R8431" t="s">
        <v>47432</v>
      </c>
      <c r="S8431" t="s">
        <v>47597</v>
      </c>
      <c r="T8431" t="s">
        <v>49129</v>
      </c>
      <c r="U8431" t="s">
        <v>56668</v>
      </c>
      <c r="W8431" t="s">
        <v>43442</v>
      </c>
      <c r="X8431" t="s">
        <v>47433</v>
      </c>
    </row>
    <row r="8432" spans="1:24">
      <c r="A8432">
        <f>HYPERLINK("https://www.philgeps.gov.ph/GEPSNONPILOT/Tender/SplashBidNoticeAbstractUI.aspx?menuIndex=3&amp;refID=7153369&amp;Result=3","7153369")</f>
        <v>0</v>
      </c>
      <c r="B8432" t="s">
        <v>2709</v>
      </c>
      <c r="C8432" t="s">
        <v>11831</v>
      </c>
      <c r="D8432" t="s">
        <v>19018</v>
      </c>
      <c r="E8432" t="s">
        <v>26420</v>
      </c>
      <c r="F8432" t="s">
        <v>32831</v>
      </c>
      <c r="G8432" t="s">
        <v>32838</v>
      </c>
      <c r="H8432" t="s">
        <v>32848</v>
      </c>
      <c r="I8432" t="s">
        <v>4222</v>
      </c>
      <c r="J8432" t="s">
        <v>34095</v>
      </c>
      <c r="K8432" t="s">
        <v>42745</v>
      </c>
      <c r="M8432" t="s">
        <v>45935</v>
      </c>
      <c r="N8432" t="s">
        <v>47424</v>
      </c>
      <c r="O8432" t="s">
        <v>47425</v>
      </c>
      <c r="P8432">
        <v>0</v>
      </c>
      <c r="Q8432">
        <v>1</v>
      </c>
      <c r="R8432" t="s">
        <v>47432</v>
      </c>
      <c r="S8432" t="s">
        <v>47597</v>
      </c>
      <c r="T8432" t="s">
        <v>49212</v>
      </c>
      <c r="U8432" t="s">
        <v>56669</v>
      </c>
      <c r="W8432" t="s">
        <v>45935</v>
      </c>
      <c r="X8432" t="s">
        <v>47433</v>
      </c>
    </row>
    <row r="8433" spans="1:24">
      <c r="A8433">
        <f>HYPERLINK("https://www.philgeps.gov.ph/GEPSNONPILOT/Tender/SplashBidNoticeAbstractUI.aspx?menuIndex=3&amp;refID=7153780&amp;Result=3","7153780")</f>
        <v>0</v>
      </c>
      <c r="B8433" t="s">
        <v>2819</v>
      </c>
      <c r="C8433" t="s">
        <v>11832</v>
      </c>
      <c r="D8433" t="s">
        <v>19050</v>
      </c>
      <c r="E8433" t="s">
        <v>26421</v>
      </c>
      <c r="F8433" t="s">
        <v>32831</v>
      </c>
      <c r="G8433" t="s">
        <v>32838</v>
      </c>
      <c r="H8433" t="s">
        <v>32848</v>
      </c>
      <c r="I8433" t="s">
        <v>9577</v>
      </c>
      <c r="J8433" t="s">
        <v>38238</v>
      </c>
      <c r="K8433" t="s">
        <v>42730</v>
      </c>
      <c r="M8433" t="s">
        <v>46049</v>
      </c>
      <c r="N8433" t="s">
        <v>47424</v>
      </c>
      <c r="O8433" t="s">
        <v>47425</v>
      </c>
      <c r="P8433">
        <v>0</v>
      </c>
      <c r="Q8433">
        <v>1</v>
      </c>
      <c r="R8433" t="s">
        <v>47432</v>
      </c>
      <c r="S8433" t="s">
        <v>47597</v>
      </c>
      <c r="T8433" t="s">
        <v>49114</v>
      </c>
      <c r="U8433" t="s">
        <v>56670</v>
      </c>
      <c r="W8433" t="s">
        <v>46049</v>
      </c>
      <c r="X8433" t="s">
        <v>47433</v>
      </c>
    </row>
    <row r="8434" spans="1:24">
      <c r="A8434">
        <f>HYPERLINK("https://www.philgeps.gov.ph/GEPSNONPILOT/Tender/SplashBidNoticeAbstractUI.aspx?menuIndex=3&amp;refID=7153698&amp;Result=3","7153698")</f>
        <v>0</v>
      </c>
      <c r="B8434" t="s">
        <v>632</v>
      </c>
      <c r="C8434" t="s">
        <v>11833</v>
      </c>
      <c r="D8434" t="s">
        <v>19058</v>
      </c>
      <c r="E8434" t="s">
        <v>26422</v>
      </c>
      <c r="F8434" t="s">
        <v>32831</v>
      </c>
      <c r="G8434" t="s">
        <v>32839</v>
      </c>
      <c r="H8434" t="s">
        <v>32849</v>
      </c>
      <c r="I8434" t="s">
        <v>4177</v>
      </c>
      <c r="J8434" t="s">
        <v>38239</v>
      </c>
      <c r="K8434" t="s">
        <v>42757</v>
      </c>
      <c r="M8434" t="s">
        <v>43649</v>
      </c>
      <c r="N8434" t="s">
        <v>47424</v>
      </c>
      <c r="O8434" t="s">
        <v>47425</v>
      </c>
      <c r="P8434">
        <v>0</v>
      </c>
      <c r="Q8434">
        <v>0</v>
      </c>
      <c r="R8434" t="s">
        <v>47432</v>
      </c>
      <c r="S8434" t="s">
        <v>47597</v>
      </c>
      <c r="T8434" t="s">
        <v>49283</v>
      </c>
      <c r="U8434" t="s">
        <v>56671</v>
      </c>
      <c r="W8434" t="s">
        <v>43649</v>
      </c>
      <c r="X8434" t="s">
        <v>47433</v>
      </c>
    </row>
    <row r="8435" spans="1:24">
      <c r="A8435">
        <f>HYPERLINK("https://www.philgeps.gov.ph/GEPSNONPILOT/Tender/SplashBidNoticeAbstractUI.aspx?menuIndex=3&amp;refID=7153730&amp;Result=3","7153730")</f>
        <v>0</v>
      </c>
      <c r="B8435" t="s">
        <v>2232</v>
      </c>
      <c r="C8435" t="s">
        <v>11834</v>
      </c>
      <c r="D8435" t="s">
        <v>19062</v>
      </c>
      <c r="E8435" t="s">
        <v>26423</v>
      </c>
      <c r="F8435" t="s">
        <v>32831</v>
      </c>
      <c r="G8435" t="s">
        <v>32838</v>
      </c>
      <c r="H8435" t="s">
        <v>32848</v>
      </c>
      <c r="I8435" t="s">
        <v>32870</v>
      </c>
      <c r="J8435" t="s">
        <v>38240</v>
      </c>
      <c r="K8435" t="s">
        <v>42731</v>
      </c>
      <c r="M8435" t="s">
        <v>45413</v>
      </c>
      <c r="N8435" t="s">
        <v>47424</v>
      </c>
      <c r="O8435" t="s">
        <v>47425</v>
      </c>
      <c r="P8435">
        <v>0</v>
      </c>
      <c r="Q8435">
        <v>0</v>
      </c>
      <c r="R8435" t="s">
        <v>47432</v>
      </c>
      <c r="S8435" t="s">
        <v>47597</v>
      </c>
      <c r="T8435" t="s">
        <v>49214</v>
      </c>
      <c r="U8435" t="s">
        <v>54885</v>
      </c>
      <c r="W8435" t="s">
        <v>45413</v>
      </c>
      <c r="X8435" t="s">
        <v>47433</v>
      </c>
    </row>
    <row r="8436" spans="1:24">
      <c r="A8436">
        <f>HYPERLINK("https://www.philgeps.gov.ph/GEPSNONPILOT/Tender/SplashBidNoticeAbstractUI.aspx?menuIndex=3&amp;refID=7153728&amp;Result=3","7153728")</f>
        <v>0</v>
      </c>
      <c r="B8436" t="s">
        <v>1770</v>
      </c>
      <c r="C8436" t="s">
        <v>4226</v>
      </c>
      <c r="D8436" t="s">
        <v>19058</v>
      </c>
      <c r="E8436" t="s">
        <v>26424</v>
      </c>
      <c r="F8436" t="s">
        <v>32831</v>
      </c>
      <c r="G8436" t="s">
        <v>32840</v>
      </c>
      <c r="H8436" t="s">
        <v>32848</v>
      </c>
      <c r="I8436" t="s">
        <v>9577</v>
      </c>
      <c r="J8436" t="s">
        <v>33568</v>
      </c>
      <c r="K8436" t="s">
        <v>42726</v>
      </c>
      <c r="M8436" t="s">
        <v>44895</v>
      </c>
      <c r="N8436" t="s">
        <v>47424</v>
      </c>
      <c r="O8436" t="s">
        <v>47425</v>
      </c>
      <c r="P8436">
        <v>0</v>
      </c>
      <c r="Q8436">
        <v>0</v>
      </c>
      <c r="R8436" t="s">
        <v>47432</v>
      </c>
      <c r="S8436" t="s">
        <v>47597</v>
      </c>
      <c r="T8436" t="s">
        <v>49237</v>
      </c>
      <c r="U8436" t="s">
        <v>56672</v>
      </c>
      <c r="W8436" t="s">
        <v>44895</v>
      </c>
      <c r="X8436" t="s">
        <v>47433</v>
      </c>
    </row>
    <row r="8437" spans="1:24">
      <c r="A8437">
        <f>HYPERLINK("https://www.philgeps.gov.ph/GEPSNONPILOT/Tender/SplashBidNoticeAbstractUI.aspx?menuIndex=3&amp;refID=7153797&amp;Result=3","7153797")</f>
        <v>0</v>
      </c>
      <c r="B8437" t="s">
        <v>911</v>
      </c>
      <c r="C8437" t="s">
        <v>11835</v>
      </c>
      <c r="D8437" t="s">
        <v>19049</v>
      </c>
      <c r="E8437" t="s">
        <v>26425</v>
      </c>
      <c r="F8437" t="s">
        <v>32831</v>
      </c>
      <c r="G8437" t="s">
        <v>32838</v>
      </c>
      <c r="H8437" t="s">
        <v>32848</v>
      </c>
      <c r="I8437" t="s">
        <v>32859</v>
      </c>
      <c r="J8437" t="s">
        <v>35127</v>
      </c>
      <c r="K8437" t="s">
        <v>42727</v>
      </c>
      <c r="M8437" t="s">
        <v>43951</v>
      </c>
      <c r="N8437" t="s">
        <v>47424</v>
      </c>
      <c r="O8437" t="s">
        <v>47425</v>
      </c>
      <c r="P8437">
        <v>0</v>
      </c>
      <c r="Q8437">
        <v>1</v>
      </c>
      <c r="R8437" t="s">
        <v>47432</v>
      </c>
      <c r="S8437" t="s">
        <v>47597</v>
      </c>
      <c r="T8437" t="s">
        <v>49237</v>
      </c>
      <c r="U8437" t="s">
        <v>51540</v>
      </c>
      <c r="W8437" t="s">
        <v>43951</v>
      </c>
      <c r="X8437" t="s">
        <v>47433</v>
      </c>
    </row>
    <row r="8438" spans="1:24">
      <c r="A8438">
        <f>HYPERLINK("https://www.philgeps.gov.ph/GEPSNONPILOT/Tender/SplashBidNoticeAbstractUI.aspx?menuIndex=3&amp;refID=7153732&amp;Result=3","7153732")</f>
        <v>0</v>
      </c>
      <c r="B8438" t="s">
        <v>721</v>
      </c>
      <c r="C8438" t="s">
        <v>11836</v>
      </c>
      <c r="D8438" t="s">
        <v>19018</v>
      </c>
      <c r="E8438" t="s">
        <v>26426</v>
      </c>
      <c r="F8438" t="s">
        <v>32831</v>
      </c>
      <c r="G8438" t="s">
        <v>32838</v>
      </c>
      <c r="H8438" t="s">
        <v>32848</v>
      </c>
      <c r="I8438" t="s">
        <v>9577</v>
      </c>
      <c r="J8438" t="s">
        <v>38241</v>
      </c>
      <c r="K8438" t="s">
        <v>42732</v>
      </c>
      <c r="M8438" t="s">
        <v>43742</v>
      </c>
      <c r="N8438" t="s">
        <v>47424</v>
      </c>
      <c r="O8438" t="s">
        <v>47425</v>
      </c>
      <c r="P8438">
        <v>0</v>
      </c>
      <c r="Q8438">
        <v>1</v>
      </c>
      <c r="R8438" t="s">
        <v>47432</v>
      </c>
      <c r="S8438" t="s">
        <v>47597</v>
      </c>
      <c r="T8438" t="s">
        <v>49328</v>
      </c>
      <c r="U8438" t="s">
        <v>56573</v>
      </c>
      <c r="W8438" t="s">
        <v>43742</v>
      </c>
      <c r="X8438" t="s">
        <v>47433</v>
      </c>
    </row>
    <row r="8439" spans="1:24">
      <c r="A8439">
        <f>HYPERLINK("https://www.philgeps.gov.ph/GEPSNONPILOT/Tender/SplashBidNoticeAbstractUI.aspx?menuIndex=3&amp;refID=7153702&amp;Result=3","7153702")</f>
        <v>0</v>
      </c>
      <c r="B8439" t="s">
        <v>2820</v>
      </c>
      <c r="C8439" t="s">
        <v>11837</v>
      </c>
      <c r="D8439" t="s">
        <v>19017</v>
      </c>
      <c r="E8439" t="s">
        <v>26427</v>
      </c>
      <c r="F8439" t="s">
        <v>32831</v>
      </c>
      <c r="G8439" t="s">
        <v>32838</v>
      </c>
      <c r="H8439" t="s">
        <v>32850</v>
      </c>
      <c r="I8439" t="s">
        <v>32953</v>
      </c>
      <c r="J8439" t="s">
        <v>38242</v>
      </c>
      <c r="K8439" t="s">
        <v>42772</v>
      </c>
      <c r="M8439" t="s">
        <v>46050</v>
      </c>
      <c r="N8439" t="s">
        <v>47424</v>
      </c>
      <c r="O8439" t="s">
        <v>47425</v>
      </c>
      <c r="P8439">
        <v>0</v>
      </c>
      <c r="Q8439">
        <v>3</v>
      </c>
      <c r="R8439" t="s">
        <v>47432</v>
      </c>
      <c r="S8439" t="s">
        <v>47597</v>
      </c>
      <c r="T8439" t="s">
        <v>49163</v>
      </c>
      <c r="U8439" t="s">
        <v>56673</v>
      </c>
      <c r="W8439" t="s">
        <v>46050</v>
      </c>
      <c r="X8439" t="s">
        <v>47433</v>
      </c>
    </row>
    <row r="8440" spans="1:24">
      <c r="A8440">
        <f>HYPERLINK("https://www.philgeps.gov.ph/GEPSNONPILOT/Tender/SplashBidNoticeAbstractUI.aspx?menuIndex=3&amp;refID=7153792&amp;Result=3","7153792")</f>
        <v>0</v>
      </c>
      <c r="B8440" t="s">
        <v>770</v>
      </c>
      <c r="C8440" t="s">
        <v>11838</v>
      </c>
      <c r="D8440" t="s">
        <v>19042</v>
      </c>
      <c r="E8440" t="s">
        <v>26428</v>
      </c>
      <c r="F8440" t="s">
        <v>32831</v>
      </c>
      <c r="G8440" t="s">
        <v>32838</v>
      </c>
      <c r="H8440" t="s">
        <v>32848</v>
      </c>
      <c r="I8440" t="s">
        <v>32949</v>
      </c>
      <c r="J8440" t="s">
        <v>33296</v>
      </c>
      <c r="K8440" t="s">
        <v>42727</v>
      </c>
      <c r="M8440" t="s">
        <v>43799</v>
      </c>
      <c r="N8440" t="s">
        <v>47424</v>
      </c>
      <c r="O8440" t="s">
        <v>47425</v>
      </c>
      <c r="P8440">
        <v>0</v>
      </c>
      <c r="Q8440">
        <v>1</v>
      </c>
      <c r="R8440" t="s">
        <v>47432</v>
      </c>
      <c r="S8440" t="s">
        <v>47597</v>
      </c>
      <c r="T8440" t="s">
        <v>49111</v>
      </c>
      <c r="U8440" t="s">
        <v>56674</v>
      </c>
      <c r="W8440" t="s">
        <v>43799</v>
      </c>
      <c r="X8440" t="s">
        <v>47433</v>
      </c>
    </row>
    <row r="8441" spans="1:24">
      <c r="A8441">
        <f>HYPERLINK("https://www.philgeps.gov.ph/GEPSNONPILOT/Tender/SplashBidNoticeAbstractUI.aspx?menuIndex=3&amp;refID=7153741&amp;Result=3","7153741")</f>
        <v>0</v>
      </c>
      <c r="B8441" t="s">
        <v>99</v>
      </c>
      <c r="C8441" t="s">
        <v>11839</v>
      </c>
      <c r="D8441" t="s">
        <v>19054</v>
      </c>
      <c r="E8441" t="s">
        <v>26429</v>
      </c>
      <c r="F8441" t="s">
        <v>32831</v>
      </c>
      <c r="G8441" t="s">
        <v>32839</v>
      </c>
      <c r="H8441" t="s">
        <v>32848</v>
      </c>
      <c r="I8441" t="s">
        <v>4303</v>
      </c>
      <c r="J8441" t="s">
        <v>35081</v>
      </c>
      <c r="K8441" t="s">
        <v>42730</v>
      </c>
      <c r="M8441" t="s">
        <v>43171</v>
      </c>
      <c r="N8441" t="s">
        <v>47424</v>
      </c>
      <c r="O8441" t="s">
        <v>47425</v>
      </c>
      <c r="P8441">
        <v>0</v>
      </c>
      <c r="Q8441">
        <v>0</v>
      </c>
      <c r="R8441" t="s">
        <v>47432</v>
      </c>
      <c r="S8441" t="s">
        <v>47597</v>
      </c>
      <c r="T8441" t="s">
        <v>49108</v>
      </c>
      <c r="U8441" t="s">
        <v>49821</v>
      </c>
      <c r="V8441" t="s">
        <v>62643</v>
      </c>
      <c r="W8441" t="s">
        <v>43171</v>
      </c>
      <c r="X8441" t="s">
        <v>47433</v>
      </c>
    </row>
    <row r="8442" spans="1:24">
      <c r="A8442">
        <f>HYPERLINK("https://www.philgeps.gov.ph/GEPSNONPILOT/Tender/SplashBidNoticeAbstractUI.aspx?menuIndex=3&amp;refID=7153796&amp;Result=3","7153796")</f>
        <v>0</v>
      </c>
      <c r="B8442" t="s">
        <v>1130</v>
      </c>
      <c r="C8442" t="s">
        <v>11840</v>
      </c>
      <c r="D8442" t="s">
        <v>19045</v>
      </c>
      <c r="E8442" t="s">
        <v>26430</v>
      </c>
      <c r="F8442" t="s">
        <v>32831</v>
      </c>
      <c r="G8442" t="s">
        <v>32839</v>
      </c>
      <c r="H8442" t="s">
        <v>32849</v>
      </c>
      <c r="I8442" t="s">
        <v>4177</v>
      </c>
      <c r="J8442" t="s">
        <v>38243</v>
      </c>
      <c r="K8442" t="s">
        <v>42729</v>
      </c>
      <c r="M8442" t="s">
        <v>45442</v>
      </c>
      <c r="N8442" t="s">
        <v>47424</v>
      </c>
      <c r="O8442" t="s">
        <v>47425</v>
      </c>
      <c r="P8442">
        <v>0</v>
      </c>
      <c r="Q8442">
        <v>0</v>
      </c>
      <c r="R8442" t="s">
        <v>47432</v>
      </c>
      <c r="S8442" t="s">
        <v>47597</v>
      </c>
      <c r="T8442" t="s">
        <v>49077</v>
      </c>
      <c r="U8442" t="s">
        <v>56541</v>
      </c>
      <c r="V8442" t="s">
        <v>63325</v>
      </c>
      <c r="W8442" t="s">
        <v>45442</v>
      </c>
      <c r="X8442" t="s">
        <v>47433</v>
      </c>
    </row>
    <row r="8443" spans="1:24">
      <c r="A8443">
        <f>HYPERLINK("https://www.philgeps.gov.ph/GEPSNONPILOT/Tender/SplashBidNoticeAbstractUI.aspx?menuIndex=3&amp;refID=7153782&amp;Result=3","7153782")</f>
        <v>0</v>
      </c>
      <c r="B8443" t="s">
        <v>2232</v>
      </c>
      <c r="C8443" t="s">
        <v>11841</v>
      </c>
      <c r="D8443" t="s">
        <v>19062</v>
      </c>
      <c r="E8443" t="s">
        <v>26431</v>
      </c>
      <c r="F8443" t="s">
        <v>32831</v>
      </c>
      <c r="G8443" t="s">
        <v>32838</v>
      </c>
      <c r="H8443" t="s">
        <v>32848</v>
      </c>
      <c r="I8443" t="s">
        <v>32909</v>
      </c>
      <c r="J8443" t="s">
        <v>38244</v>
      </c>
      <c r="K8443" t="s">
        <v>42731</v>
      </c>
      <c r="M8443" t="s">
        <v>45413</v>
      </c>
      <c r="N8443" t="s">
        <v>47424</v>
      </c>
      <c r="O8443" t="s">
        <v>47425</v>
      </c>
      <c r="P8443">
        <v>0</v>
      </c>
      <c r="Q8443">
        <v>1</v>
      </c>
      <c r="R8443" t="s">
        <v>47432</v>
      </c>
      <c r="S8443" t="s">
        <v>47597</v>
      </c>
      <c r="T8443" t="s">
        <v>49214</v>
      </c>
      <c r="U8443" t="s">
        <v>54885</v>
      </c>
      <c r="W8443" t="s">
        <v>45413</v>
      </c>
      <c r="X8443" t="s">
        <v>47433</v>
      </c>
    </row>
    <row r="8444" spans="1:24">
      <c r="A8444">
        <f>HYPERLINK("https://www.philgeps.gov.ph/GEPSNONPILOT/Tender/SplashBidNoticeAbstractUI.aspx?menuIndex=3&amp;refID=7153781&amp;Result=3","7153781")</f>
        <v>0</v>
      </c>
      <c r="B8444" t="s">
        <v>1420</v>
      </c>
      <c r="C8444" t="s">
        <v>11842</v>
      </c>
      <c r="D8444" t="s">
        <v>19033</v>
      </c>
      <c r="E8444" t="s">
        <v>26432</v>
      </c>
      <c r="F8444" t="s">
        <v>32831</v>
      </c>
      <c r="G8444" t="s">
        <v>32839</v>
      </c>
      <c r="H8444" t="s">
        <v>32848</v>
      </c>
      <c r="I8444" t="s">
        <v>32857</v>
      </c>
      <c r="J8444" t="s">
        <v>38245</v>
      </c>
      <c r="K8444" t="s">
        <v>42774</v>
      </c>
      <c r="M8444" t="s">
        <v>44583</v>
      </c>
      <c r="N8444" t="s">
        <v>47424</v>
      </c>
      <c r="O8444" t="s">
        <v>47425</v>
      </c>
      <c r="P8444">
        <v>0</v>
      </c>
      <c r="Q8444">
        <v>41</v>
      </c>
      <c r="R8444" t="s">
        <v>47432</v>
      </c>
      <c r="S8444" t="s">
        <v>47597</v>
      </c>
      <c r="T8444" t="s">
        <v>49221</v>
      </c>
      <c r="U8444" t="s">
        <v>56675</v>
      </c>
      <c r="W8444" t="s">
        <v>64468</v>
      </c>
      <c r="X8444" t="s">
        <v>47433</v>
      </c>
    </row>
    <row r="8445" spans="1:24">
      <c r="A8445">
        <f>HYPERLINK("https://www.philgeps.gov.ph/GEPSNONPILOT/Tender/SplashBidNoticeAbstractUI.aspx?menuIndex=3&amp;refID=7153772&amp;Result=3","7153772")</f>
        <v>0</v>
      </c>
      <c r="B8445" t="s">
        <v>1892</v>
      </c>
      <c r="C8445" t="s">
        <v>11843</v>
      </c>
      <c r="D8445" t="s">
        <v>19027</v>
      </c>
      <c r="E8445" t="s">
        <v>26433</v>
      </c>
      <c r="F8445" t="s">
        <v>32831</v>
      </c>
      <c r="G8445" t="s">
        <v>32839</v>
      </c>
      <c r="H8445" t="s">
        <v>32848</v>
      </c>
      <c r="I8445" t="s">
        <v>32864</v>
      </c>
      <c r="J8445" t="s">
        <v>33860</v>
      </c>
      <c r="K8445" t="s">
        <v>42732</v>
      </c>
      <c r="M8445" t="s">
        <v>45039</v>
      </c>
      <c r="N8445" t="s">
        <v>47424</v>
      </c>
      <c r="O8445" t="s">
        <v>47425</v>
      </c>
      <c r="P8445">
        <v>0</v>
      </c>
      <c r="Q8445">
        <v>1</v>
      </c>
      <c r="R8445" t="s">
        <v>47432</v>
      </c>
      <c r="S8445" t="s">
        <v>47597</v>
      </c>
      <c r="T8445" t="s">
        <v>49214</v>
      </c>
      <c r="U8445" t="s">
        <v>56676</v>
      </c>
      <c r="W8445" t="s">
        <v>45039</v>
      </c>
      <c r="X8445" t="s">
        <v>47433</v>
      </c>
    </row>
    <row r="8446" spans="1:24">
      <c r="A8446">
        <f>HYPERLINK("https://www.philgeps.gov.ph/GEPSNONPILOT/Tender/SplashBidNoticeAbstractUI.aspx?menuIndex=3&amp;refID=7153770&amp;Result=3","7153770")</f>
        <v>0</v>
      </c>
      <c r="B8446" t="s">
        <v>2821</v>
      </c>
      <c r="C8446" t="s">
        <v>11844</v>
      </c>
      <c r="D8446" t="s">
        <v>19038</v>
      </c>
      <c r="E8446" t="s">
        <v>26434</v>
      </c>
      <c r="F8446" t="s">
        <v>32831</v>
      </c>
      <c r="G8446" t="s">
        <v>32839</v>
      </c>
      <c r="H8446" t="s">
        <v>32849</v>
      </c>
      <c r="I8446" t="s">
        <v>4177</v>
      </c>
      <c r="J8446" t="s">
        <v>38246</v>
      </c>
      <c r="K8446" t="s">
        <v>42730</v>
      </c>
      <c r="M8446" t="s">
        <v>46051</v>
      </c>
      <c r="N8446" t="s">
        <v>47424</v>
      </c>
      <c r="O8446" t="s">
        <v>47425</v>
      </c>
      <c r="P8446">
        <v>0</v>
      </c>
      <c r="Q8446">
        <v>1</v>
      </c>
      <c r="R8446" t="s">
        <v>47432</v>
      </c>
      <c r="S8446" t="s">
        <v>47597</v>
      </c>
      <c r="T8446" t="s">
        <v>49214</v>
      </c>
      <c r="U8446" t="s">
        <v>56677</v>
      </c>
      <c r="W8446" t="s">
        <v>46051</v>
      </c>
      <c r="X8446" t="s">
        <v>47433</v>
      </c>
    </row>
    <row r="8447" spans="1:24">
      <c r="A8447">
        <f>HYPERLINK("https://www.philgeps.gov.ph/GEPSNONPILOT/Tender/SplashBidNoticeAbstractUI.aspx?menuIndex=3&amp;refID=7153769&amp;Result=3","7153769")</f>
        <v>0</v>
      </c>
      <c r="B8447" t="s">
        <v>1185</v>
      </c>
      <c r="C8447" t="s">
        <v>11845</v>
      </c>
      <c r="D8447" t="s">
        <v>19080</v>
      </c>
      <c r="E8447" t="s">
        <v>26435</v>
      </c>
      <c r="F8447" t="s">
        <v>32831</v>
      </c>
      <c r="G8447" t="s">
        <v>32839</v>
      </c>
      <c r="H8447" t="s">
        <v>32848</v>
      </c>
      <c r="I8447" t="s">
        <v>7751</v>
      </c>
      <c r="J8447" t="s">
        <v>38247</v>
      </c>
      <c r="K8447" t="s">
        <v>42726</v>
      </c>
      <c r="M8447" t="s">
        <v>44251</v>
      </c>
      <c r="N8447" t="s">
        <v>47424</v>
      </c>
      <c r="O8447" t="s">
        <v>47425</v>
      </c>
      <c r="P8447">
        <v>0</v>
      </c>
      <c r="Q8447">
        <v>1</v>
      </c>
      <c r="R8447" t="s">
        <v>47432</v>
      </c>
      <c r="S8447" t="s">
        <v>47597</v>
      </c>
      <c r="T8447" t="s">
        <v>49322</v>
      </c>
      <c r="U8447" t="s">
        <v>56678</v>
      </c>
      <c r="V8447" t="s">
        <v>62917</v>
      </c>
      <c r="W8447" t="s">
        <v>44251</v>
      </c>
      <c r="X8447" t="s">
        <v>47433</v>
      </c>
    </row>
    <row r="8448" spans="1:24">
      <c r="A8448">
        <f>HYPERLINK("https://www.philgeps.gov.ph/GEPSNONPILOT/Tender/SplashBidNoticeAbstractUI.aspx?menuIndex=3&amp;refID=7153766&amp;Result=3","7153766")</f>
        <v>0</v>
      </c>
      <c r="B8448" t="s">
        <v>215</v>
      </c>
      <c r="C8448" t="s">
        <v>11846</v>
      </c>
      <c r="D8448" t="s">
        <v>19080</v>
      </c>
      <c r="E8448" t="s">
        <v>26436</v>
      </c>
      <c r="F8448" t="s">
        <v>32831</v>
      </c>
      <c r="G8448" t="s">
        <v>32839</v>
      </c>
      <c r="H8448" t="s">
        <v>32849</v>
      </c>
      <c r="I8448" t="s">
        <v>4177</v>
      </c>
      <c r="J8448" t="s">
        <v>32978</v>
      </c>
      <c r="K8448" t="s">
        <v>42730</v>
      </c>
      <c r="L8448" t="s">
        <v>215</v>
      </c>
      <c r="M8448" t="s">
        <v>43213</v>
      </c>
      <c r="N8448" t="s">
        <v>47424</v>
      </c>
      <c r="O8448" t="s">
        <v>47425</v>
      </c>
      <c r="P8448">
        <v>0</v>
      </c>
      <c r="Q8448">
        <v>0</v>
      </c>
      <c r="R8448" t="s">
        <v>47432</v>
      </c>
      <c r="S8448" t="s">
        <v>47597</v>
      </c>
      <c r="T8448" t="s">
        <v>49214</v>
      </c>
      <c r="U8448" t="s">
        <v>56679</v>
      </c>
      <c r="W8448" t="s">
        <v>43213</v>
      </c>
      <c r="X8448" t="s">
        <v>47433</v>
      </c>
    </row>
    <row r="8449" spans="1:24">
      <c r="A8449">
        <f>HYPERLINK("https://www.philgeps.gov.ph/GEPSNONPILOT/Tender/SplashBidNoticeAbstractUI.aspx?menuIndex=3&amp;refID=7153785&amp;Result=3","7153785")</f>
        <v>0</v>
      </c>
      <c r="B8449" t="s">
        <v>2666</v>
      </c>
      <c r="C8449" t="s">
        <v>5171</v>
      </c>
      <c r="D8449" t="s">
        <v>19077</v>
      </c>
      <c r="E8449" t="s">
        <v>26437</v>
      </c>
      <c r="F8449" t="s">
        <v>32831</v>
      </c>
      <c r="G8449" t="s">
        <v>32838</v>
      </c>
      <c r="H8449" t="s">
        <v>32848</v>
      </c>
      <c r="I8449" t="s">
        <v>4776</v>
      </c>
      <c r="J8449" t="s">
        <v>38248</v>
      </c>
      <c r="K8449" t="s">
        <v>42726</v>
      </c>
      <c r="M8449" t="s">
        <v>45889</v>
      </c>
      <c r="N8449" t="s">
        <v>47424</v>
      </c>
      <c r="O8449" t="s">
        <v>47425</v>
      </c>
      <c r="P8449">
        <v>0</v>
      </c>
      <c r="Q8449">
        <v>5</v>
      </c>
      <c r="R8449" t="s">
        <v>47432</v>
      </c>
      <c r="S8449" t="s">
        <v>47597</v>
      </c>
      <c r="T8449" t="s">
        <v>49279</v>
      </c>
      <c r="U8449" t="s">
        <v>56680</v>
      </c>
      <c r="V8449" t="s">
        <v>63508</v>
      </c>
      <c r="W8449" t="s">
        <v>45889</v>
      </c>
      <c r="X8449" t="s">
        <v>47433</v>
      </c>
    </row>
    <row r="8450" spans="1:24">
      <c r="A8450">
        <f>HYPERLINK("https://www.philgeps.gov.ph/GEPSNONPILOT/Tender/SplashBidNoticeAbstractUI.aspx?menuIndex=3&amp;refID=7153747&amp;Result=3","7153747")</f>
        <v>0</v>
      </c>
      <c r="B8450" t="s">
        <v>2429</v>
      </c>
      <c r="C8450" t="s">
        <v>11847</v>
      </c>
      <c r="D8450" t="s">
        <v>19064</v>
      </c>
      <c r="E8450" t="s">
        <v>26438</v>
      </c>
      <c r="F8450" t="s">
        <v>32831</v>
      </c>
      <c r="G8450" t="s">
        <v>32839</v>
      </c>
      <c r="H8450" t="s">
        <v>32848</v>
      </c>
      <c r="I8450" t="s">
        <v>5379</v>
      </c>
      <c r="J8450" t="s">
        <v>33692</v>
      </c>
      <c r="K8450" t="s">
        <v>42731</v>
      </c>
      <c r="M8450" t="s">
        <v>45626</v>
      </c>
      <c r="N8450" t="s">
        <v>47424</v>
      </c>
      <c r="O8450" t="s">
        <v>47425</v>
      </c>
      <c r="P8450">
        <v>0</v>
      </c>
      <c r="Q8450">
        <v>0</v>
      </c>
      <c r="R8450" t="s">
        <v>47432</v>
      </c>
      <c r="S8450" t="s">
        <v>47597</v>
      </c>
      <c r="T8450" t="s">
        <v>49055</v>
      </c>
      <c r="U8450" t="s">
        <v>52984</v>
      </c>
      <c r="W8450" t="s">
        <v>45626</v>
      </c>
      <c r="X8450" t="s">
        <v>47433</v>
      </c>
    </row>
    <row r="8451" spans="1:24">
      <c r="A8451">
        <f>HYPERLINK("https://www.philgeps.gov.ph/GEPSNONPILOT/Tender/SplashBidNoticeAbstractUI.aspx?menuIndex=3&amp;refID=7153775&amp;Result=3","7153775")</f>
        <v>0</v>
      </c>
      <c r="B8451" t="s">
        <v>2822</v>
      </c>
      <c r="C8451" t="s">
        <v>11848</v>
      </c>
      <c r="D8451" t="s">
        <v>19045</v>
      </c>
      <c r="E8451" t="s">
        <v>26439</v>
      </c>
      <c r="F8451" t="s">
        <v>32831</v>
      </c>
      <c r="G8451" t="s">
        <v>32839</v>
      </c>
      <c r="H8451" t="s">
        <v>32848</v>
      </c>
      <c r="I8451" t="s">
        <v>4303</v>
      </c>
      <c r="J8451" t="s">
        <v>33007</v>
      </c>
      <c r="K8451" t="s">
        <v>42727</v>
      </c>
      <c r="M8451" t="s">
        <v>46052</v>
      </c>
      <c r="N8451" t="s">
        <v>47424</v>
      </c>
      <c r="O8451" t="s">
        <v>47425</v>
      </c>
      <c r="P8451">
        <v>0</v>
      </c>
      <c r="Q8451">
        <v>1</v>
      </c>
      <c r="R8451" t="s">
        <v>47432</v>
      </c>
      <c r="S8451" t="s">
        <v>47597</v>
      </c>
      <c r="T8451" t="s">
        <v>49424</v>
      </c>
      <c r="U8451" t="s">
        <v>56681</v>
      </c>
      <c r="V8451" t="s">
        <v>63571</v>
      </c>
      <c r="W8451" t="s">
        <v>46052</v>
      </c>
      <c r="X8451" t="s">
        <v>47433</v>
      </c>
    </row>
    <row r="8452" spans="1:24">
      <c r="A8452">
        <f>HYPERLINK("https://www.philgeps.gov.ph/GEPSNONPILOT/Tender/SplashBidNoticeAbstractUI.aspx?menuIndex=3&amp;refID=7153844&amp;Result=3","7153844")</f>
        <v>0</v>
      </c>
      <c r="B8452" t="s">
        <v>1636</v>
      </c>
      <c r="C8452" t="s">
        <v>11849</v>
      </c>
      <c r="D8452" t="s">
        <v>19081</v>
      </c>
      <c r="E8452" t="s">
        <v>23910</v>
      </c>
      <c r="F8452" t="s">
        <v>32831</v>
      </c>
      <c r="G8452" t="s">
        <v>32839</v>
      </c>
      <c r="H8452" t="s">
        <v>32849</v>
      </c>
      <c r="I8452" t="s">
        <v>4177</v>
      </c>
      <c r="J8452" t="s">
        <v>33044</v>
      </c>
      <c r="K8452" t="s">
        <v>42745</v>
      </c>
      <c r="M8452" t="s">
        <v>44752</v>
      </c>
      <c r="N8452" t="s">
        <v>47424</v>
      </c>
      <c r="O8452" t="s">
        <v>47425</v>
      </c>
      <c r="P8452">
        <v>0</v>
      </c>
      <c r="Q8452">
        <v>0</v>
      </c>
      <c r="R8452" t="s">
        <v>47432</v>
      </c>
      <c r="S8452" t="s">
        <v>47597</v>
      </c>
      <c r="T8452" t="s">
        <v>49318</v>
      </c>
      <c r="U8452" t="s">
        <v>56682</v>
      </c>
      <c r="W8452" t="s">
        <v>44752</v>
      </c>
      <c r="X8452" t="s">
        <v>47433</v>
      </c>
    </row>
    <row r="8453" spans="1:24">
      <c r="A8453">
        <f>HYPERLINK("https://www.philgeps.gov.ph/GEPSNONPILOT/Tender/SplashBidNoticeAbstractUI.aspx?menuIndex=3&amp;refID=7153791&amp;Result=3","7153791")</f>
        <v>0</v>
      </c>
      <c r="B8453" t="s">
        <v>2823</v>
      </c>
      <c r="C8453" t="s">
        <v>11850</v>
      </c>
      <c r="D8453" t="s">
        <v>19056</v>
      </c>
      <c r="E8453" t="s">
        <v>25800</v>
      </c>
      <c r="F8453" t="s">
        <v>32831</v>
      </c>
      <c r="G8453" t="s">
        <v>32839</v>
      </c>
      <c r="H8453" t="s">
        <v>32848</v>
      </c>
      <c r="I8453" t="s">
        <v>32857</v>
      </c>
      <c r="J8453" t="s">
        <v>33078</v>
      </c>
      <c r="K8453" t="s">
        <v>42750</v>
      </c>
      <c r="M8453" t="s">
        <v>46053</v>
      </c>
      <c r="N8453" t="s">
        <v>47424</v>
      </c>
      <c r="O8453" t="s">
        <v>47425</v>
      </c>
      <c r="P8453">
        <v>0</v>
      </c>
      <c r="Q8453">
        <v>5</v>
      </c>
      <c r="R8453" t="s">
        <v>47432</v>
      </c>
      <c r="S8453" t="s">
        <v>47597</v>
      </c>
      <c r="T8453" t="s">
        <v>49214</v>
      </c>
      <c r="U8453" t="s">
        <v>56683</v>
      </c>
      <c r="W8453" t="s">
        <v>46053</v>
      </c>
      <c r="X8453" t="s">
        <v>47433</v>
      </c>
    </row>
    <row r="8454" spans="1:24">
      <c r="A8454">
        <f>HYPERLINK("https://www.philgeps.gov.ph/GEPSNONPILOT/Tender/SplashBidNoticeAbstractUI.aspx?menuIndex=3&amp;refID=7153839&amp;Result=3","7153839")</f>
        <v>0</v>
      </c>
      <c r="B8454" t="s">
        <v>1946</v>
      </c>
      <c r="C8454" t="s">
        <v>11851</v>
      </c>
      <c r="D8454" t="s">
        <v>19037</v>
      </c>
      <c r="E8454" t="s">
        <v>26440</v>
      </c>
      <c r="F8454" t="s">
        <v>32831</v>
      </c>
      <c r="G8454" t="s">
        <v>32839</v>
      </c>
      <c r="H8454" t="s">
        <v>32849</v>
      </c>
      <c r="I8454" t="s">
        <v>4177</v>
      </c>
      <c r="J8454" t="s">
        <v>33044</v>
      </c>
      <c r="K8454" t="s">
        <v>42730</v>
      </c>
      <c r="M8454" t="s">
        <v>45103</v>
      </c>
      <c r="N8454" t="s">
        <v>47424</v>
      </c>
      <c r="O8454" t="s">
        <v>47425</v>
      </c>
      <c r="P8454">
        <v>0</v>
      </c>
      <c r="Q8454">
        <v>1</v>
      </c>
      <c r="R8454" t="s">
        <v>47432</v>
      </c>
      <c r="S8454" t="s">
        <v>47597</v>
      </c>
      <c r="T8454" t="s">
        <v>49080</v>
      </c>
      <c r="U8454" t="s">
        <v>54017</v>
      </c>
      <c r="W8454" t="s">
        <v>64493</v>
      </c>
      <c r="X8454" t="s">
        <v>47433</v>
      </c>
    </row>
    <row r="8455" spans="1:24">
      <c r="A8455">
        <f>HYPERLINK("https://www.philgeps.gov.ph/GEPSNONPILOT/Tender/SplashBidNoticeAbstractUI.aspx?menuIndex=3&amp;refID=7153764&amp;Result=3","7153764")</f>
        <v>0</v>
      </c>
      <c r="B8455" t="s">
        <v>99</v>
      </c>
      <c r="C8455" t="s">
        <v>11852</v>
      </c>
      <c r="D8455" t="s">
        <v>19054</v>
      </c>
      <c r="E8455" t="s">
        <v>26441</v>
      </c>
      <c r="F8455" t="s">
        <v>32831</v>
      </c>
      <c r="G8455" t="s">
        <v>32839</v>
      </c>
      <c r="H8455" t="s">
        <v>32848</v>
      </c>
      <c r="I8455" t="s">
        <v>4303</v>
      </c>
      <c r="J8455" t="s">
        <v>38249</v>
      </c>
      <c r="K8455" t="s">
        <v>42730</v>
      </c>
      <c r="M8455" t="s">
        <v>43171</v>
      </c>
      <c r="N8455" t="s">
        <v>47424</v>
      </c>
      <c r="O8455" t="s">
        <v>47425</v>
      </c>
      <c r="P8455">
        <v>0</v>
      </c>
      <c r="Q8455">
        <v>0</v>
      </c>
      <c r="R8455" t="s">
        <v>47432</v>
      </c>
      <c r="S8455" t="s">
        <v>47597</v>
      </c>
      <c r="T8455" t="s">
        <v>49108</v>
      </c>
      <c r="U8455" t="s">
        <v>49821</v>
      </c>
      <c r="V8455" t="s">
        <v>62643</v>
      </c>
      <c r="W8455" t="s">
        <v>43171</v>
      </c>
      <c r="X8455" t="s">
        <v>47433</v>
      </c>
    </row>
    <row r="8456" spans="1:24">
      <c r="A8456">
        <f>HYPERLINK("https://www.philgeps.gov.ph/GEPSNONPILOT/Tender/SplashBidNoticeAbstractUI.aspx?menuIndex=3&amp;refID=7153837&amp;Result=3","7153837")</f>
        <v>0</v>
      </c>
      <c r="B8456" t="s">
        <v>2807</v>
      </c>
      <c r="C8456" t="s">
        <v>11853</v>
      </c>
      <c r="D8456" t="s">
        <v>19037</v>
      </c>
      <c r="E8456" t="s">
        <v>26442</v>
      </c>
      <c r="F8456" t="s">
        <v>32831</v>
      </c>
      <c r="G8456" t="s">
        <v>32839</v>
      </c>
      <c r="H8456" t="s">
        <v>32848</v>
      </c>
      <c r="I8456" t="s">
        <v>9577</v>
      </c>
      <c r="J8456" t="s">
        <v>33523</v>
      </c>
      <c r="K8456" t="s">
        <v>42730</v>
      </c>
      <c r="M8456" t="s">
        <v>46037</v>
      </c>
      <c r="N8456" t="s">
        <v>47424</v>
      </c>
      <c r="O8456" t="s">
        <v>47425</v>
      </c>
      <c r="P8456">
        <v>0</v>
      </c>
      <c r="Q8456">
        <v>1</v>
      </c>
      <c r="R8456" t="s">
        <v>47432</v>
      </c>
      <c r="S8456" t="s">
        <v>47597</v>
      </c>
      <c r="T8456" t="s">
        <v>49077</v>
      </c>
      <c r="U8456" t="s">
        <v>56684</v>
      </c>
      <c r="W8456" t="s">
        <v>46037</v>
      </c>
      <c r="X8456" t="s">
        <v>47433</v>
      </c>
    </row>
    <row r="8457" spans="1:24">
      <c r="A8457">
        <f>HYPERLINK("https://www.philgeps.gov.ph/GEPSNONPILOT/Tender/SplashBidNoticeAbstractUI.aspx?menuIndex=3&amp;refID=7153794&amp;Result=3","7153794")</f>
        <v>0</v>
      </c>
      <c r="B8457" t="s">
        <v>2808</v>
      </c>
      <c r="C8457" t="s">
        <v>11854</v>
      </c>
      <c r="D8457" t="s">
        <v>19027</v>
      </c>
      <c r="E8457" t="s">
        <v>26443</v>
      </c>
      <c r="F8457" t="s">
        <v>32831</v>
      </c>
      <c r="G8457" t="s">
        <v>32839</v>
      </c>
      <c r="H8457" t="s">
        <v>32848</v>
      </c>
      <c r="I8457" t="s">
        <v>6526</v>
      </c>
      <c r="J8457" t="s">
        <v>38250</v>
      </c>
      <c r="K8457" t="s">
        <v>42732</v>
      </c>
      <c r="M8457" t="s">
        <v>46038</v>
      </c>
      <c r="N8457" t="s">
        <v>47424</v>
      </c>
      <c r="O8457" t="s">
        <v>47425</v>
      </c>
      <c r="P8457">
        <v>0</v>
      </c>
      <c r="Q8457">
        <v>0</v>
      </c>
      <c r="R8457" t="s">
        <v>47432</v>
      </c>
      <c r="S8457" t="s">
        <v>47597</v>
      </c>
      <c r="T8457" t="s">
        <v>49110</v>
      </c>
      <c r="U8457" t="s">
        <v>56685</v>
      </c>
      <c r="W8457" t="s">
        <v>46038</v>
      </c>
      <c r="X8457" t="s">
        <v>47433</v>
      </c>
    </row>
    <row r="8458" spans="1:24">
      <c r="A8458">
        <f>HYPERLINK("https://www.philgeps.gov.ph/GEPSNONPILOT/Tender/SplashBidNoticeAbstractUI.aspx?menuIndex=3&amp;refID=7153829&amp;Result=3","7153829")</f>
        <v>0</v>
      </c>
      <c r="B8458" t="s">
        <v>2822</v>
      </c>
      <c r="C8458" t="s">
        <v>11855</v>
      </c>
      <c r="D8458" t="s">
        <v>19045</v>
      </c>
      <c r="E8458" t="s">
        <v>26439</v>
      </c>
      <c r="F8458" t="s">
        <v>32831</v>
      </c>
      <c r="G8458" t="s">
        <v>32839</v>
      </c>
      <c r="H8458" t="s">
        <v>32848</v>
      </c>
      <c r="I8458" t="s">
        <v>4303</v>
      </c>
      <c r="J8458" t="s">
        <v>33133</v>
      </c>
      <c r="K8458" t="s">
        <v>42727</v>
      </c>
      <c r="M8458" t="s">
        <v>46052</v>
      </c>
      <c r="N8458" t="s">
        <v>47424</v>
      </c>
      <c r="O8458" t="s">
        <v>47425</v>
      </c>
      <c r="P8458">
        <v>0</v>
      </c>
      <c r="Q8458">
        <v>1</v>
      </c>
      <c r="R8458" t="s">
        <v>47432</v>
      </c>
      <c r="S8458" t="s">
        <v>47597</v>
      </c>
      <c r="T8458" t="s">
        <v>49424</v>
      </c>
      <c r="U8458" t="s">
        <v>56686</v>
      </c>
      <c r="V8458" t="s">
        <v>63572</v>
      </c>
      <c r="W8458" t="s">
        <v>46052</v>
      </c>
      <c r="X8458" t="s">
        <v>47433</v>
      </c>
    </row>
    <row r="8459" spans="1:24">
      <c r="A8459">
        <f>HYPERLINK("https://www.philgeps.gov.ph/GEPSNONPILOT/Tender/SplashBidNoticeAbstractUI.aspx?menuIndex=3&amp;refID=7153843&amp;Result=3","7153843")</f>
        <v>0</v>
      </c>
      <c r="B8459" t="s">
        <v>99</v>
      </c>
      <c r="C8459" t="s">
        <v>11856</v>
      </c>
      <c r="D8459" t="s">
        <v>19054</v>
      </c>
      <c r="E8459" t="s">
        <v>26444</v>
      </c>
      <c r="F8459" t="s">
        <v>32831</v>
      </c>
      <c r="G8459" t="s">
        <v>32839</v>
      </c>
      <c r="H8459" t="s">
        <v>32848</v>
      </c>
      <c r="I8459" t="s">
        <v>7416</v>
      </c>
      <c r="J8459" t="s">
        <v>38251</v>
      </c>
      <c r="K8459" t="s">
        <v>42730</v>
      </c>
      <c r="M8459" t="s">
        <v>43171</v>
      </c>
      <c r="N8459" t="s">
        <v>47424</v>
      </c>
      <c r="O8459" t="s">
        <v>47425</v>
      </c>
      <c r="P8459">
        <v>0</v>
      </c>
      <c r="Q8459">
        <v>0</v>
      </c>
      <c r="R8459" t="s">
        <v>47432</v>
      </c>
      <c r="S8459" t="s">
        <v>47597</v>
      </c>
      <c r="T8459" t="s">
        <v>49108</v>
      </c>
      <c r="U8459" t="s">
        <v>49821</v>
      </c>
      <c r="V8459" t="s">
        <v>62643</v>
      </c>
      <c r="W8459" t="s">
        <v>43171</v>
      </c>
      <c r="X8459" t="s">
        <v>47433</v>
      </c>
    </row>
    <row r="8460" spans="1:24">
      <c r="A8460">
        <f>HYPERLINK("https://www.philgeps.gov.ph/GEPSNONPILOT/Tender/SplashBidNoticeAbstractUI.aspx?menuIndex=3&amp;refID=7153827&amp;Result=3","7153827")</f>
        <v>0</v>
      </c>
      <c r="B8460" t="s">
        <v>99</v>
      </c>
      <c r="C8460" t="s">
        <v>11857</v>
      </c>
      <c r="D8460" t="s">
        <v>19054</v>
      </c>
      <c r="E8460" t="s">
        <v>26445</v>
      </c>
      <c r="F8460" t="s">
        <v>32831</v>
      </c>
      <c r="G8460" t="s">
        <v>32839</v>
      </c>
      <c r="H8460" t="s">
        <v>32848</v>
      </c>
      <c r="I8460" t="s">
        <v>7416</v>
      </c>
      <c r="J8460" t="s">
        <v>38252</v>
      </c>
      <c r="K8460" t="s">
        <v>42730</v>
      </c>
      <c r="M8460" t="s">
        <v>43171</v>
      </c>
      <c r="N8460" t="s">
        <v>47424</v>
      </c>
      <c r="O8460" t="s">
        <v>47425</v>
      </c>
      <c r="P8460">
        <v>0</v>
      </c>
      <c r="Q8460">
        <v>0</v>
      </c>
      <c r="R8460" t="s">
        <v>47432</v>
      </c>
      <c r="S8460" t="s">
        <v>47597</v>
      </c>
      <c r="T8460" t="s">
        <v>49108</v>
      </c>
      <c r="U8460" t="s">
        <v>49821</v>
      </c>
      <c r="V8460" t="s">
        <v>62643</v>
      </c>
      <c r="W8460" t="s">
        <v>43171</v>
      </c>
      <c r="X8460" t="s">
        <v>47433</v>
      </c>
    </row>
    <row r="8461" spans="1:24">
      <c r="A8461">
        <f>HYPERLINK("https://www.philgeps.gov.ph/GEPSNONPILOT/Tender/SplashBidNoticeAbstractUI.aspx?menuIndex=3&amp;refID=7153762&amp;Result=3","7153762")</f>
        <v>0</v>
      </c>
      <c r="B8461" t="s">
        <v>770</v>
      </c>
      <c r="C8461" t="s">
        <v>7183</v>
      </c>
      <c r="D8461" t="s">
        <v>19042</v>
      </c>
      <c r="E8461" t="s">
        <v>26446</v>
      </c>
      <c r="F8461" t="s">
        <v>32831</v>
      </c>
      <c r="G8461" t="s">
        <v>32838</v>
      </c>
      <c r="H8461" t="s">
        <v>32848</v>
      </c>
      <c r="I8461" t="s">
        <v>6526</v>
      </c>
      <c r="J8461" t="s">
        <v>33112</v>
      </c>
      <c r="K8461" t="s">
        <v>42731</v>
      </c>
      <c r="M8461" t="s">
        <v>43799</v>
      </c>
      <c r="N8461" t="s">
        <v>47424</v>
      </c>
      <c r="O8461" t="s">
        <v>47425</v>
      </c>
      <c r="P8461">
        <v>0</v>
      </c>
      <c r="Q8461">
        <v>0</v>
      </c>
      <c r="R8461" t="s">
        <v>47432</v>
      </c>
      <c r="S8461" t="s">
        <v>47597</v>
      </c>
      <c r="T8461" t="s">
        <v>49111</v>
      </c>
      <c r="U8461" t="s">
        <v>56687</v>
      </c>
      <c r="W8461" t="s">
        <v>43799</v>
      </c>
      <c r="X8461" t="s">
        <v>47433</v>
      </c>
    </row>
    <row r="8462" spans="1:24">
      <c r="A8462">
        <f>HYPERLINK("https://www.philgeps.gov.ph/GEPSNONPILOT/Tender/SplashBidNoticeAbstractUI.aspx?menuIndex=3&amp;refID=7153823&amp;Result=3","7153823")</f>
        <v>0</v>
      </c>
      <c r="B8462" t="s">
        <v>2429</v>
      </c>
      <c r="C8462" t="s">
        <v>11858</v>
      </c>
      <c r="D8462" t="s">
        <v>19064</v>
      </c>
      <c r="E8462" t="s">
        <v>26447</v>
      </c>
      <c r="F8462" t="s">
        <v>32831</v>
      </c>
      <c r="G8462" t="s">
        <v>32839</v>
      </c>
      <c r="H8462" t="s">
        <v>32848</v>
      </c>
      <c r="I8462" t="s">
        <v>9577</v>
      </c>
      <c r="J8462" t="s">
        <v>38253</v>
      </c>
      <c r="K8462" t="s">
        <v>42731</v>
      </c>
      <c r="M8462" t="s">
        <v>45626</v>
      </c>
      <c r="N8462" t="s">
        <v>47424</v>
      </c>
      <c r="O8462" t="s">
        <v>47425</v>
      </c>
      <c r="P8462">
        <v>0</v>
      </c>
      <c r="Q8462">
        <v>0</v>
      </c>
      <c r="R8462" t="s">
        <v>47432</v>
      </c>
      <c r="S8462" t="s">
        <v>47597</v>
      </c>
      <c r="T8462" t="s">
        <v>49055</v>
      </c>
      <c r="U8462" t="s">
        <v>51307</v>
      </c>
      <c r="W8462" t="s">
        <v>45626</v>
      </c>
      <c r="X8462" t="s">
        <v>47433</v>
      </c>
    </row>
    <row r="8463" spans="1:24">
      <c r="A8463">
        <f>HYPERLINK("https://www.philgeps.gov.ph/GEPSNONPILOT/Tender/SplashBidNoticeAbstractUI.aspx?menuIndex=3&amp;refID=7153818&amp;Result=3","7153818")</f>
        <v>0</v>
      </c>
      <c r="B8463" t="s">
        <v>2735</v>
      </c>
      <c r="C8463" t="s">
        <v>11859</v>
      </c>
      <c r="D8463" t="s">
        <v>19077</v>
      </c>
      <c r="E8463" t="s">
        <v>26448</v>
      </c>
      <c r="F8463" t="s">
        <v>32831</v>
      </c>
      <c r="G8463" t="s">
        <v>32838</v>
      </c>
      <c r="H8463" t="s">
        <v>32848</v>
      </c>
      <c r="I8463" t="s">
        <v>32917</v>
      </c>
      <c r="J8463" t="s">
        <v>33395</v>
      </c>
      <c r="K8463" t="s">
        <v>42730</v>
      </c>
      <c r="M8463" t="s">
        <v>45962</v>
      </c>
      <c r="N8463" t="s">
        <v>47424</v>
      </c>
      <c r="O8463" t="s">
        <v>47425</v>
      </c>
      <c r="P8463">
        <v>0</v>
      </c>
      <c r="Q8463">
        <v>1</v>
      </c>
      <c r="R8463" t="s">
        <v>47432</v>
      </c>
      <c r="S8463" t="s">
        <v>47597</v>
      </c>
      <c r="T8463" t="s">
        <v>49214</v>
      </c>
      <c r="U8463" t="s">
        <v>56688</v>
      </c>
      <c r="W8463" t="s">
        <v>45962</v>
      </c>
      <c r="X8463" t="s">
        <v>47433</v>
      </c>
    </row>
    <row r="8464" spans="1:24">
      <c r="A8464">
        <f>HYPERLINK("https://www.philgeps.gov.ph/GEPSNONPILOT/Tender/SplashBidNoticeAbstractUI.aspx?menuIndex=3&amp;refID=7153816&amp;Result=3","7153816")</f>
        <v>0</v>
      </c>
      <c r="B8464" t="s">
        <v>2232</v>
      </c>
      <c r="C8464" t="s">
        <v>11860</v>
      </c>
      <c r="D8464" t="s">
        <v>19062</v>
      </c>
      <c r="E8464" t="s">
        <v>26449</v>
      </c>
      <c r="F8464" t="s">
        <v>32831</v>
      </c>
      <c r="G8464" t="s">
        <v>32838</v>
      </c>
      <c r="H8464" t="s">
        <v>32848</v>
      </c>
      <c r="I8464" t="s">
        <v>10805</v>
      </c>
      <c r="J8464" t="s">
        <v>33461</v>
      </c>
      <c r="K8464" t="s">
        <v>42731</v>
      </c>
      <c r="M8464" t="s">
        <v>45413</v>
      </c>
      <c r="N8464" t="s">
        <v>47424</v>
      </c>
      <c r="O8464" t="s">
        <v>47425</v>
      </c>
      <c r="P8464">
        <v>0</v>
      </c>
      <c r="Q8464">
        <v>2</v>
      </c>
      <c r="R8464" t="s">
        <v>47432</v>
      </c>
      <c r="S8464" t="s">
        <v>47597</v>
      </c>
      <c r="T8464" t="s">
        <v>49214</v>
      </c>
      <c r="U8464" t="s">
        <v>54885</v>
      </c>
      <c r="W8464" t="s">
        <v>45413</v>
      </c>
      <c r="X8464" t="s">
        <v>47433</v>
      </c>
    </row>
    <row r="8465" spans="1:24">
      <c r="A8465">
        <f>HYPERLINK("https://www.philgeps.gov.ph/GEPSNONPILOT/Tender/SplashBidNoticeAbstractUI.aspx?menuIndex=3&amp;refID=7153834&amp;Result=3","7153834")</f>
        <v>0</v>
      </c>
      <c r="B8465" t="s">
        <v>1831</v>
      </c>
      <c r="C8465" t="s">
        <v>11861</v>
      </c>
      <c r="D8465" t="s">
        <v>19070</v>
      </c>
      <c r="E8465" t="s">
        <v>21918</v>
      </c>
      <c r="F8465" t="s">
        <v>32831</v>
      </c>
      <c r="G8465" t="s">
        <v>32839</v>
      </c>
      <c r="H8465" t="s">
        <v>32849</v>
      </c>
      <c r="I8465" t="s">
        <v>4177</v>
      </c>
      <c r="J8465" t="s">
        <v>33044</v>
      </c>
      <c r="K8465" t="s">
        <v>42730</v>
      </c>
      <c r="M8465" t="s">
        <v>44965</v>
      </c>
      <c r="N8465" t="s">
        <v>47424</v>
      </c>
      <c r="O8465" t="s">
        <v>47425</v>
      </c>
      <c r="P8465">
        <v>0</v>
      </c>
      <c r="Q8465">
        <v>0</v>
      </c>
      <c r="R8465" t="s">
        <v>47432</v>
      </c>
      <c r="S8465" t="s">
        <v>47597</v>
      </c>
      <c r="T8465" t="s">
        <v>49107</v>
      </c>
      <c r="U8465" t="s">
        <v>53625</v>
      </c>
      <c r="W8465" t="s">
        <v>44965</v>
      </c>
      <c r="X8465" t="s">
        <v>47433</v>
      </c>
    </row>
    <row r="8466" spans="1:24">
      <c r="A8466">
        <f>HYPERLINK("https://www.philgeps.gov.ph/GEPSNONPILOT/Tender/SplashBidNoticeAbstractUI.aspx?menuIndex=3&amp;refID=7153835&amp;Result=3","7153835")</f>
        <v>0</v>
      </c>
      <c r="B8466" t="s">
        <v>1130</v>
      </c>
      <c r="C8466" t="s">
        <v>11862</v>
      </c>
      <c r="D8466" t="s">
        <v>19045</v>
      </c>
      <c r="E8466" t="s">
        <v>26450</v>
      </c>
      <c r="F8466" t="s">
        <v>32831</v>
      </c>
      <c r="G8466" t="s">
        <v>32839</v>
      </c>
      <c r="H8466" t="s">
        <v>32849</v>
      </c>
      <c r="I8466" t="s">
        <v>4177</v>
      </c>
      <c r="J8466" t="s">
        <v>38254</v>
      </c>
      <c r="K8466" t="s">
        <v>42729</v>
      </c>
      <c r="M8466" t="s">
        <v>45442</v>
      </c>
      <c r="N8466" t="s">
        <v>47424</v>
      </c>
      <c r="O8466" t="s">
        <v>47425</v>
      </c>
      <c r="P8466">
        <v>0</v>
      </c>
      <c r="Q8466">
        <v>0</v>
      </c>
      <c r="R8466" t="s">
        <v>47432</v>
      </c>
      <c r="S8466" t="s">
        <v>47597</v>
      </c>
      <c r="T8466" t="s">
        <v>49077</v>
      </c>
      <c r="U8466" t="s">
        <v>56541</v>
      </c>
      <c r="V8466" t="s">
        <v>63325</v>
      </c>
      <c r="W8466" t="s">
        <v>45442</v>
      </c>
      <c r="X8466" t="s">
        <v>47433</v>
      </c>
    </row>
    <row r="8467" spans="1:24">
      <c r="A8467">
        <f>HYPERLINK("https://www.philgeps.gov.ph/GEPSNONPILOT/Tender/SplashBidNoticeAbstractUI.aspx?menuIndex=3&amp;refID=7153833&amp;Result=3","7153833")</f>
        <v>0</v>
      </c>
      <c r="B8467" t="s">
        <v>956</v>
      </c>
      <c r="C8467" t="s">
        <v>11863</v>
      </c>
      <c r="D8467" t="s">
        <v>19038</v>
      </c>
      <c r="E8467" t="s">
        <v>26451</v>
      </c>
      <c r="F8467" t="s">
        <v>32831</v>
      </c>
      <c r="G8467" t="s">
        <v>32839</v>
      </c>
      <c r="H8467" t="s">
        <v>32849</v>
      </c>
      <c r="I8467" t="s">
        <v>4177</v>
      </c>
      <c r="J8467" t="s">
        <v>32978</v>
      </c>
      <c r="K8467" t="s">
        <v>42732</v>
      </c>
      <c r="M8467" t="s">
        <v>44002</v>
      </c>
      <c r="N8467" t="s">
        <v>47424</v>
      </c>
      <c r="O8467" t="s">
        <v>47425</v>
      </c>
      <c r="P8467">
        <v>0</v>
      </c>
      <c r="Q8467">
        <v>0</v>
      </c>
      <c r="R8467" t="s">
        <v>47432</v>
      </c>
      <c r="S8467" t="s">
        <v>47597</v>
      </c>
      <c r="T8467" t="s">
        <v>49108</v>
      </c>
      <c r="U8467" t="s">
        <v>56689</v>
      </c>
      <c r="V8467" t="s">
        <v>62833</v>
      </c>
      <c r="W8467" t="s">
        <v>44002</v>
      </c>
      <c r="X8467" t="s">
        <v>47433</v>
      </c>
    </row>
    <row r="8468" spans="1:24">
      <c r="A8468">
        <f>HYPERLINK("https://www.philgeps.gov.ph/GEPSNONPILOT/Tender/SplashBidNoticeAbstractUI.aspx?menuIndex=3&amp;refID=7153817&amp;Result=3","7153817")</f>
        <v>0</v>
      </c>
      <c r="B8468" t="s">
        <v>736</v>
      </c>
      <c r="C8468" t="s">
        <v>11864</v>
      </c>
      <c r="D8468" t="s">
        <v>19062</v>
      </c>
      <c r="E8468" t="s">
        <v>26452</v>
      </c>
      <c r="F8468" t="s">
        <v>32831</v>
      </c>
      <c r="G8468" t="s">
        <v>32838</v>
      </c>
      <c r="H8468" t="s">
        <v>32848</v>
      </c>
      <c r="I8468" t="s">
        <v>10805</v>
      </c>
      <c r="J8468" t="s">
        <v>33090</v>
      </c>
      <c r="K8468" t="s">
        <v>42731</v>
      </c>
      <c r="M8468" t="s">
        <v>43758</v>
      </c>
      <c r="N8468" t="s">
        <v>47424</v>
      </c>
      <c r="O8468" t="s">
        <v>47425</v>
      </c>
      <c r="P8468">
        <v>0</v>
      </c>
      <c r="Q8468">
        <v>1</v>
      </c>
      <c r="R8468" t="s">
        <v>47432</v>
      </c>
      <c r="S8468" t="s">
        <v>47597</v>
      </c>
      <c r="T8468" t="s">
        <v>49079</v>
      </c>
      <c r="U8468" t="s">
        <v>56690</v>
      </c>
      <c r="W8468" t="s">
        <v>43758</v>
      </c>
      <c r="X8468" t="s">
        <v>47433</v>
      </c>
    </row>
    <row r="8469" spans="1:24">
      <c r="A8469">
        <f>HYPERLINK("https://www.philgeps.gov.ph/GEPSNONPILOT/Tender/SplashBidNoticeAbstractUI.aspx?menuIndex=3&amp;refID=7153882&amp;Result=3","7153882")</f>
        <v>0</v>
      </c>
      <c r="B8469" t="s">
        <v>793</v>
      </c>
      <c r="C8469" t="s">
        <v>11865</v>
      </c>
      <c r="D8469" t="s">
        <v>19048</v>
      </c>
      <c r="E8469" t="s">
        <v>26453</v>
      </c>
      <c r="F8469" t="s">
        <v>32831</v>
      </c>
      <c r="G8469" t="s">
        <v>32838</v>
      </c>
      <c r="H8469" t="s">
        <v>32848</v>
      </c>
      <c r="I8469" t="s">
        <v>4438</v>
      </c>
      <c r="J8469" t="s">
        <v>33424</v>
      </c>
      <c r="K8469" t="s">
        <v>42747</v>
      </c>
      <c r="M8469" t="s">
        <v>43823</v>
      </c>
      <c r="N8469" t="s">
        <v>47424</v>
      </c>
      <c r="O8469" t="s">
        <v>47425</v>
      </c>
      <c r="P8469">
        <v>0</v>
      </c>
      <c r="Q8469">
        <v>1</v>
      </c>
      <c r="R8469" t="s">
        <v>47432</v>
      </c>
      <c r="S8469" t="s">
        <v>47597</v>
      </c>
      <c r="T8469" t="s">
        <v>49162</v>
      </c>
      <c r="U8469" t="s">
        <v>56691</v>
      </c>
      <c r="W8469" t="s">
        <v>43823</v>
      </c>
      <c r="X8469" t="s">
        <v>47433</v>
      </c>
    </row>
    <row r="8470" spans="1:24">
      <c r="A8470">
        <f>HYPERLINK("https://www.philgeps.gov.ph/GEPSNONPILOT/Tender/SplashBidNoticeAbstractUI.aspx?menuIndex=3&amp;refID=7153815&amp;Result=3","7153815")</f>
        <v>0</v>
      </c>
      <c r="B8470" t="s">
        <v>2807</v>
      </c>
      <c r="C8470" t="s">
        <v>11866</v>
      </c>
      <c r="D8470" t="s">
        <v>19037</v>
      </c>
      <c r="E8470" t="s">
        <v>26454</v>
      </c>
      <c r="F8470" t="s">
        <v>32831</v>
      </c>
      <c r="G8470" t="s">
        <v>32839</v>
      </c>
      <c r="H8470" t="s">
        <v>32848</v>
      </c>
      <c r="I8470" t="s">
        <v>9577</v>
      </c>
      <c r="J8470" t="s">
        <v>38255</v>
      </c>
      <c r="K8470" t="s">
        <v>42730</v>
      </c>
      <c r="M8470" t="s">
        <v>46037</v>
      </c>
      <c r="N8470" t="s">
        <v>47424</v>
      </c>
      <c r="O8470" t="s">
        <v>47425</v>
      </c>
      <c r="P8470">
        <v>0</v>
      </c>
      <c r="Q8470">
        <v>0</v>
      </c>
      <c r="R8470" t="s">
        <v>47432</v>
      </c>
      <c r="S8470" t="s">
        <v>47597</v>
      </c>
      <c r="T8470" t="s">
        <v>49077</v>
      </c>
      <c r="U8470" t="s">
        <v>56692</v>
      </c>
      <c r="W8470" t="s">
        <v>46037</v>
      </c>
      <c r="X8470" t="s">
        <v>47433</v>
      </c>
    </row>
    <row r="8471" spans="1:24">
      <c r="A8471">
        <f>HYPERLINK("https://www.philgeps.gov.ph/GEPSNONPILOT/Tender/SplashBidNoticeAbstractUI.aspx?menuIndex=3&amp;refID=7153879&amp;Result=3","7153879")</f>
        <v>0</v>
      </c>
      <c r="B8471" t="s">
        <v>295</v>
      </c>
      <c r="C8471" t="s">
        <v>11867</v>
      </c>
      <c r="D8471" t="s">
        <v>19036</v>
      </c>
      <c r="E8471" t="s">
        <v>26455</v>
      </c>
      <c r="F8471" t="s">
        <v>32831</v>
      </c>
      <c r="G8471" t="s">
        <v>32838</v>
      </c>
      <c r="H8471" t="s">
        <v>32848</v>
      </c>
      <c r="I8471" t="s">
        <v>32859</v>
      </c>
      <c r="J8471" t="s">
        <v>38256</v>
      </c>
      <c r="K8471" t="s">
        <v>42730</v>
      </c>
      <c r="M8471" t="s">
        <v>46054</v>
      </c>
      <c r="N8471" t="s">
        <v>47424</v>
      </c>
      <c r="O8471" t="s">
        <v>47425</v>
      </c>
      <c r="P8471">
        <v>0</v>
      </c>
      <c r="Q8471">
        <v>1</v>
      </c>
      <c r="R8471" t="s">
        <v>47432</v>
      </c>
      <c r="S8471" t="s">
        <v>47597</v>
      </c>
      <c r="T8471" t="s">
        <v>49114</v>
      </c>
      <c r="U8471" t="s">
        <v>56693</v>
      </c>
      <c r="W8471" t="s">
        <v>46054</v>
      </c>
      <c r="X8471" t="s">
        <v>47433</v>
      </c>
    </row>
    <row r="8472" spans="1:24">
      <c r="A8472">
        <f>HYPERLINK("https://www.philgeps.gov.ph/GEPSNONPILOT/Tender/SplashBidNoticeAbstractUI.aspx?menuIndex=3&amp;refID=7153867&amp;Result=3","7153867")</f>
        <v>0</v>
      </c>
      <c r="B8472" t="s">
        <v>2429</v>
      </c>
      <c r="C8472" t="s">
        <v>11858</v>
      </c>
      <c r="D8472" t="s">
        <v>19064</v>
      </c>
      <c r="E8472" t="s">
        <v>26456</v>
      </c>
      <c r="F8472" t="s">
        <v>32831</v>
      </c>
      <c r="G8472" t="s">
        <v>32839</v>
      </c>
      <c r="H8472" t="s">
        <v>32848</v>
      </c>
      <c r="I8472" t="s">
        <v>9577</v>
      </c>
      <c r="J8472" t="s">
        <v>38257</v>
      </c>
      <c r="K8472" t="s">
        <v>42731</v>
      </c>
      <c r="M8472" t="s">
        <v>45626</v>
      </c>
      <c r="N8472" t="s">
        <v>47424</v>
      </c>
      <c r="O8472" t="s">
        <v>47425</v>
      </c>
      <c r="P8472">
        <v>0</v>
      </c>
      <c r="Q8472">
        <v>0</v>
      </c>
      <c r="R8472" t="s">
        <v>47432</v>
      </c>
      <c r="S8472" t="s">
        <v>47597</v>
      </c>
      <c r="T8472" t="s">
        <v>49055</v>
      </c>
      <c r="U8472" t="s">
        <v>51307</v>
      </c>
      <c r="W8472" t="s">
        <v>45626</v>
      </c>
      <c r="X8472" t="s">
        <v>47433</v>
      </c>
    </row>
    <row r="8473" spans="1:24">
      <c r="A8473">
        <f>HYPERLINK("https://www.philgeps.gov.ph/GEPSNONPILOT/Tender/SplashBidNoticeAbstractUI.aspx?menuIndex=3&amp;refID=7153866&amp;Result=3","7153866")</f>
        <v>0</v>
      </c>
      <c r="B8473" t="s">
        <v>736</v>
      </c>
      <c r="C8473" t="s">
        <v>11868</v>
      </c>
      <c r="D8473" t="s">
        <v>19062</v>
      </c>
      <c r="E8473" t="s">
        <v>26457</v>
      </c>
      <c r="F8473" t="s">
        <v>32831</v>
      </c>
      <c r="G8473" t="s">
        <v>32838</v>
      </c>
      <c r="H8473" t="s">
        <v>32848</v>
      </c>
      <c r="I8473" t="s">
        <v>10888</v>
      </c>
      <c r="J8473" t="s">
        <v>38258</v>
      </c>
      <c r="K8473" t="s">
        <v>42731</v>
      </c>
      <c r="M8473" t="s">
        <v>43758</v>
      </c>
      <c r="N8473" t="s">
        <v>47424</v>
      </c>
      <c r="O8473" t="s">
        <v>47425</v>
      </c>
      <c r="P8473">
        <v>0</v>
      </c>
      <c r="Q8473">
        <v>1</v>
      </c>
      <c r="R8473" t="s">
        <v>47432</v>
      </c>
      <c r="S8473" t="s">
        <v>47597</v>
      </c>
      <c r="T8473" t="s">
        <v>49127</v>
      </c>
      <c r="U8473" t="s">
        <v>56694</v>
      </c>
      <c r="W8473" t="s">
        <v>43758</v>
      </c>
      <c r="X8473" t="s">
        <v>47433</v>
      </c>
    </row>
    <row r="8474" spans="1:24">
      <c r="A8474">
        <f>HYPERLINK("https://www.philgeps.gov.ph/GEPSNONPILOT/Tender/SplashBidNoticeAbstractUI.aspx?menuIndex=3&amp;refID=7153889&amp;Result=3","7153889")</f>
        <v>0</v>
      </c>
      <c r="B8474" t="s">
        <v>1130</v>
      </c>
      <c r="C8474" t="s">
        <v>11869</v>
      </c>
      <c r="D8474" t="s">
        <v>19045</v>
      </c>
      <c r="E8474" t="s">
        <v>26458</v>
      </c>
      <c r="F8474" t="s">
        <v>32831</v>
      </c>
      <c r="G8474" t="s">
        <v>32839</v>
      </c>
      <c r="H8474" t="s">
        <v>32849</v>
      </c>
      <c r="I8474" t="s">
        <v>32852</v>
      </c>
      <c r="J8474" t="s">
        <v>38259</v>
      </c>
      <c r="K8474" t="s">
        <v>42751</v>
      </c>
      <c r="M8474" t="s">
        <v>45442</v>
      </c>
      <c r="N8474" t="s">
        <v>47424</v>
      </c>
      <c r="O8474" t="s">
        <v>47425</v>
      </c>
      <c r="P8474">
        <v>0</v>
      </c>
      <c r="Q8474">
        <v>4</v>
      </c>
      <c r="R8474" t="s">
        <v>47432</v>
      </c>
      <c r="S8474" t="s">
        <v>47597</v>
      </c>
      <c r="T8474" t="s">
        <v>49077</v>
      </c>
      <c r="U8474" t="s">
        <v>56695</v>
      </c>
      <c r="V8474" t="s">
        <v>63325</v>
      </c>
      <c r="W8474" t="s">
        <v>45442</v>
      </c>
      <c r="X8474" t="s">
        <v>47433</v>
      </c>
    </row>
    <row r="8475" spans="1:24">
      <c r="A8475">
        <f>HYPERLINK("https://www.philgeps.gov.ph/GEPSNONPILOT/Tender/SplashBidNoticeAbstractUI.aspx?menuIndex=3&amp;refID=7153865&amp;Result=3","7153865")</f>
        <v>0</v>
      </c>
      <c r="B8475" t="s">
        <v>2824</v>
      </c>
      <c r="C8475" t="s">
        <v>3940</v>
      </c>
      <c r="E8475" t="s">
        <v>26459</v>
      </c>
      <c r="F8475" t="s">
        <v>32831</v>
      </c>
      <c r="G8475" t="s">
        <v>32839</v>
      </c>
      <c r="H8475" t="s">
        <v>32849</v>
      </c>
      <c r="I8475" t="s">
        <v>4177</v>
      </c>
      <c r="J8475" t="s">
        <v>38260</v>
      </c>
      <c r="K8475" t="s">
        <v>42732</v>
      </c>
      <c r="M8475" t="s">
        <v>46055</v>
      </c>
      <c r="N8475" t="s">
        <v>47424</v>
      </c>
      <c r="O8475" t="s">
        <v>47425</v>
      </c>
      <c r="P8475">
        <v>0</v>
      </c>
      <c r="Q8475">
        <v>0</v>
      </c>
      <c r="R8475" t="s">
        <v>47432</v>
      </c>
      <c r="S8475" t="s">
        <v>47597</v>
      </c>
      <c r="T8475" t="s">
        <v>49100</v>
      </c>
      <c r="U8475" t="s">
        <v>56696</v>
      </c>
      <c r="W8475" t="s">
        <v>46055</v>
      </c>
      <c r="X8475" t="s">
        <v>47433</v>
      </c>
    </row>
    <row r="8476" spans="1:24">
      <c r="A8476">
        <f>HYPERLINK("https://www.philgeps.gov.ph/GEPSNONPILOT/Tender/SplashBidNoticeAbstractUI.aspx?menuIndex=3&amp;refID=7153864&amp;Result=3","7153864")</f>
        <v>0</v>
      </c>
      <c r="B8476" t="s">
        <v>2526</v>
      </c>
      <c r="C8476" t="s">
        <v>11870</v>
      </c>
      <c r="D8476" t="s">
        <v>19017</v>
      </c>
      <c r="E8476" t="s">
        <v>26460</v>
      </c>
      <c r="F8476" t="s">
        <v>32831</v>
      </c>
      <c r="G8476" t="s">
        <v>32838</v>
      </c>
      <c r="H8476" t="s">
        <v>32848</v>
      </c>
      <c r="I8476" t="s">
        <v>32864</v>
      </c>
      <c r="J8476" t="s">
        <v>33026</v>
      </c>
      <c r="K8476" t="s">
        <v>42726</v>
      </c>
      <c r="M8476" t="s">
        <v>45734</v>
      </c>
      <c r="N8476" t="s">
        <v>47424</v>
      </c>
      <c r="O8476" t="s">
        <v>47425</v>
      </c>
      <c r="P8476">
        <v>0</v>
      </c>
      <c r="Q8476">
        <v>22</v>
      </c>
      <c r="R8476" t="s">
        <v>47432</v>
      </c>
      <c r="S8476" t="s">
        <v>47597</v>
      </c>
      <c r="T8476" t="s">
        <v>49163</v>
      </c>
      <c r="U8476" t="s">
        <v>56697</v>
      </c>
      <c r="V8476" t="s">
        <v>63573</v>
      </c>
      <c r="W8476" t="s">
        <v>45734</v>
      </c>
      <c r="X8476" t="s">
        <v>47433</v>
      </c>
    </row>
    <row r="8477" spans="1:24">
      <c r="A8477">
        <f>HYPERLINK("https://www.philgeps.gov.ph/GEPSNONPILOT/Tender/SplashBidNoticeAbstractUI.aspx?menuIndex=3&amp;refID=7153881&amp;Result=3","7153881")</f>
        <v>0</v>
      </c>
      <c r="B8477" t="s">
        <v>2825</v>
      </c>
      <c r="C8477" t="s">
        <v>9894</v>
      </c>
      <c r="D8477" t="s">
        <v>19057</v>
      </c>
      <c r="E8477" t="s">
        <v>19219</v>
      </c>
      <c r="F8477" t="s">
        <v>32831</v>
      </c>
      <c r="G8477" t="s">
        <v>32839</v>
      </c>
      <c r="H8477" t="s">
        <v>32848</v>
      </c>
      <c r="I8477" t="s">
        <v>4558</v>
      </c>
      <c r="J8477" t="s">
        <v>32976</v>
      </c>
      <c r="K8477" t="s">
        <v>42727</v>
      </c>
      <c r="M8477" t="s">
        <v>46056</v>
      </c>
      <c r="N8477" t="s">
        <v>47424</v>
      </c>
      <c r="O8477" t="s">
        <v>47425</v>
      </c>
      <c r="P8477">
        <v>0</v>
      </c>
      <c r="Q8477">
        <v>0</v>
      </c>
      <c r="R8477" t="s">
        <v>47432</v>
      </c>
      <c r="S8477" t="s">
        <v>47597</v>
      </c>
      <c r="T8477" t="s">
        <v>49162</v>
      </c>
      <c r="U8477" t="s">
        <v>56698</v>
      </c>
      <c r="W8477" t="s">
        <v>46056</v>
      </c>
      <c r="X8477" t="s">
        <v>47433</v>
      </c>
    </row>
    <row r="8478" spans="1:24">
      <c r="A8478">
        <f>HYPERLINK("https://www.philgeps.gov.ph/GEPSNONPILOT/Tender/SplashBidNoticeAbstractUI.aspx?menuIndex=3&amp;refID=7153862&amp;Result=3","7153862")</f>
        <v>0</v>
      </c>
      <c r="B8478" t="s">
        <v>998</v>
      </c>
      <c r="C8478" t="s">
        <v>11871</v>
      </c>
      <c r="E8478" t="s">
        <v>26461</v>
      </c>
      <c r="F8478" t="s">
        <v>32831</v>
      </c>
      <c r="G8478" t="s">
        <v>32839</v>
      </c>
      <c r="H8478" t="s">
        <v>32848</v>
      </c>
      <c r="I8478" t="s">
        <v>32857</v>
      </c>
      <c r="J8478" t="s">
        <v>38261</v>
      </c>
      <c r="K8478" t="s">
        <v>42730</v>
      </c>
      <c r="M8478" t="s">
        <v>45330</v>
      </c>
      <c r="N8478" t="s">
        <v>47424</v>
      </c>
      <c r="O8478" t="s">
        <v>47425</v>
      </c>
      <c r="P8478">
        <v>0</v>
      </c>
      <c r="Q8478">
        <v>2</v>
      </c>
      <c r="R8478" t="s">
        <v>47432</v>
      </c>
      <c r="S8478" t="s">
        <v>47597</v>
      </c>
      <c r="T8478" t="s">
        <v>49236</v>
      </c>
      <c r="U8478" t="s">
        <v>56699</v>
      </c>
      <c r="W8478" t="s">
        <v>45330</v>
      </c>
      <c r="X8478" t="s">
        <v>47433</v>
      </c>
    </row>
    <row r="8479" spans="1:24">
      <c r="A8479">
        <f>HYPERLINK("https://www.philgeps.gov.ph/GEPSNONPILOT/Tender/SplashBidNoticeAbstractUI.aspx?menuIndex=3&amp;refID=7153795&amp;Result=3","7153795")</f>
        <v>0</v>
      </c>
      <c r="B8479" t="s">
        <v>2429</v>
      </c>
      <c r="C8479" t="s">
        <v>11847</v>
      </c>
      <c r="D8479" t="s">
        <v>19064</v>
      </c>
      <c r="E8479" t="s">
        <v>26462</v>
      </c>
      <c r="F8479" t="s">
        <v>32831</v>
      </c>
      <c r="G8479" t="s">
        <v>32839</v>
      </c>
      <c r="H8479" t="s">
        <v>32848</v>
      </c>
      <c r="I8479" t="s">
        <v>5379</v>
      </c>
      <c r="J8479" t="s">
        <v>32983</v>
      </c>
      <c r="K8479" t="s">
        <v>42731</v>
      </c>
      <c r="M8479" t="s">
        <v>45626</v>
      </c>
      <c r="N8479" t="s">
        <v>47424</v>
      </c>
      <c r="O8479" t="s">
        <v>47425</v>
      </c>
      <c r="P8479">
        <v>0</v>
      </c>
      <c r="Q8479">
        <v>0</v>
      </c>
      <c r="R8479" t="s">
        <v>47432</v>
      </c>
      <c r="S8479" t="s">
        <v>47597</v>
      </c>
      <c r="T8479" t="s">
        <v>49055</v>
      </c>
      <c r="U8479" t="s">
        <v>52984</v>
      </c>
      <c r="W8479" t="s">
        <v>45626</v>
      </c>
      <c r="X8479" t="s">
        <v>47433</v>
      </c>
    </row>
    <row r="8480" spans="1:24">
      <c r="A8480">
        <f>HYPERLINK("https://www.philgeps.gov.ph/GEPSNONPILOT/Tender/SplashBidNoticeAbstractUI.aspx?menuIndex=3&amp;refID=7153840&amp;Result=3","7153840")</f>
        <v>0</v>
      </c>
      <c r="B8480" t="s">
        <v>2824</v>
      </c>
      <c r="C8480" t="s">
        <v>3940</v>
      </c>
      <c r="E8480" t="s">
        <v>26463</v>
      </c>
      <c r="F8480" t="s">
        <v>32831</v>
      </c>
      <c r="G8480" t="s">
        <v>32839</v>
      </c>
      <c r="H8480" t="s">
        <v>32849</v>
      </c>
      <c r="I8480" t="s">
        <v>4177</v>
      </c>
      <c r="J8480" t="s">
        <v>32980</v>
      </c>
      <c r="K8480" t="s">
        <v>42732</v>
      </c>
      <c r="M8480" t="s">
        <v>46055</v>
      </c>
      <c r="N8480" t="s">
        <v>47424</v>
      </c>
      <c r="O8480" t="s">
        <v>47425</v>
      </c>
      <c r="P8480">
        <v>0</v>
      </c>
      <c r="Q8480">
        <v>0</v>
      </c>
      <c r="R8480" t="s">
        <v>47432</v>
      </c>
      <c r="S8480" t="s">
        <v>47597</v>
      </c>
      <c r="T8480" t="s">
        <v>49511</v>
      </c>
      <c r="U8480" t="s">
        <v>56696</v>
      </c>
      <c r="W8480" t="s">
        <v>46055</v>
      </c>
      <c r="X8480" t="s">
        <v>47433</v>
      </c>
    </row>
    <row r="8481" spans="1:24">
      <c r="A8481">
        <f>HYPERLINK("https://www.philgeps.gov.ph/GEPSNONPILOT/Tender/SplashBidNoticeAbstractUI.aspx?menuIndex=3&amp;refID=7153888&amp;Result=3","7153888")</f>
        <v>0</v>
      </c>
      <c r="B8481" t="s">
        <v>222</v>
      </c>
      <c r="C8481" t="s">
        <v>4340</v>
      </c>
      <c r="D8481" t="s">
        <v>19070</v>
      </c>
      <c r="E8481" t="s">
        <v>26464</v>
      </c>
      <c r="F8481" t="s">
        <v>32831</v>
      </c>
      <c r="G8481" t="s">
        <v>32838</v>
      </c>
      <c r="H8481" t="s">
        <v>32848</v>
      </c>
      <c r="I8481" t="s">
        <v>32860</v>
      </c>
      <c r="J8481" t="s">
        <v>38262</v>
      </c>
      <c r="K8481" t="s">
        <v>42732</v>
      </c>
      <c r="M8481" t="s">
        <v>43220</v>
      </c>
      <c r="N8481" t="s">
        <v>47424</v>
      </c>
      <c r="O8481" t="s">
        <v>47425</v>
      </c>
      <c r="P8481">
        <v>0</v>
      </c>
      <c r="Q8481">
        <v>2</v>
      </c>
      <c r="R8481" t="s">
        <v>47432</v>
      </c>
      <c r="S8481" t="s">
        <v>47597</v>
      </c>
      <c r="T8481" t="s">
        <v>49103</v>
      </c>
      <c r="U8481" t="s">
        <v>50036</v>
      </c>
      <c r="W8481" t="s">
        <v>43220</v>
      </c>
      <c r="X8481" t="s">
        <v>47433</v>
      </c>
    </row>
    <row r="8482" spans="1:24">
      <c r="A8482">
        <f>HYPERLINK("https://www.philgeps.gov.ph/GEPSNONPILOT/Tender/SplashBidNoticeAbstractUI.aspx?menuIndex=3&amp;refID=7153932&amp;Result=3","7153932")</f>
        <v>0</v>
      </c>
      <c r="B8482" t="s">
        <v>666</v>
      </c>
      <c r="C8482" t="s">
        <v>11872</v>
      </c>
      <c r="D8482" t="s">
        <v>19034</v>
      </c>
      <c r="E8482" t="s">
        <v>26465</v>
      </c>
      <c r="F8482" t="s">
        <v>32831</v>
      </c>
      <c r="G8482" t="s">
        <v>32839</v>
      </c>
      <c r="H8482" t="s">
        <v>32849</v>
      </c>
      <c r="I8482" t="s">
        <v>4177</v>
      </c>
      <c r="J8482" t="s">
        <v>32978</v>
      </c>
      <c r="K8482" t="s">
        <v>42732</v>
      </c>
      <c r="M8482" t="s">
        <v>43685</v>
      </c>
      <c r="N8482" t="s">
        <v>47424</v>
      </c>
      <c r="O8482" t="s">
        <v>47425</v>
      </c>
      <c r="P8482">
        <v>0</v>
      </c>
      <c r="Q8482">
        <v>0</v>
      </c>
      <c r="R8482" t="s">
        <v>47432</v>
      </c>
      <c r="S8482" t="s">
        <v>47597</v>
      </c>
      <c r="T8482" t="s">
        <v>49069</v>
      </c>
      <c r="U8482" t="s">
        <v>53174</v>
      </c>
      <c r="W8482" t="s">
        <v>43685</v>
      </c>
      <c r="X8482" t="s">
        <v>47433</v>
      </c>
    </row>
    <row r="8483" spans="1:24">
      <c r="A8483">
        <f>HYPERLINK("https://www.philgeps.gov.ph/GEPSNONPILOT/Tender/SplashBidNoticeAbstractUI.aspx?menuIndex=3&amp;refID=7153935&amp;Result=3","7153935")</f>
        <v>0</v>
      </c>
      <c r="B8483" t="s">
        <v>1185</v>
      </c>
      <c r="C8483" t="s">
        <v>11873</v>
      </c>
      <c r="D8483" t="s">
        <v>19080</v>
      </c>
      <c r="E8483" t="s">
        <v>26466</v>
      </c>
      <c r="F8483" t="s">
        <v>32831</v>
      </c>
      <c r="G8483" t="s">
        <v>32839</v>
      </c>
      <c r="H8483" t="s">
        <v>32848</v>
      </c>
      <c r="I8483" t="s">
        <v>7751</v>
      </c>
      <c r="J8483" t="s">
        <v>36254</v>
      </c>
      <c r="K8483" t="s">
        <v>42726</v>
      </c>
      <c r="M8483" t="s">
        <v>44251</v>
      </c>
      <c r="N8483" t="s">
        <v>47424</v>
      </c>
      <c r="O8483" t="s">
        <v>47425</v>
      </c>
      <c r="P8483">
        <v>0</v>
      </c>
      <c r="Q8483">
        <v>1</v>
      </c>
      <c r="R8483" t="s">
        <v>47432</v>
      </c>
      <c r="S8483" t="s">
        <v>47597</v>
      </c>
      <c r="T8483" t="s">
        <v>49322</v>
      </c>
      <c r="U8483" t="s">
        <v>56700</v>
      </c>
      <c r="V8483" t="s">
        <v>63574</v>
      </c>
      <c r="W8483" t="s">
        <v>44251</v>
      </c>
      <c r="X8483" t="s">
        <v>47433</v>
      </c>
    </row>
    <row r="8484" spans="1:24">
      <c r="A8484">
        <f>HYPERLINK("https://www.philgeps.gov.ph/GEPSNONPILOT/Tender/SplashBidNoticeAbstractUI.aspx?menuIndex=3&amp;refID=7153863&amp;Result=3","7153863")</f>
        <v>0</v>
      </c>
      <c r="B8484" t="s">
        <v>1130</v>
      </c>
      <c r="C8484" t="s">
        <v>11874</v>
      </c>
      <c r="D8484" t="s">
        <v>19045</v>
      </c>
      <c r="E8484" t="s">
        <v>26467</v>
      </c>
      <c r="F8484" t="s">
        <v>32831</v>
      </c>
      <c r="G8484" t="s">
        <v>32839</v>
      </c>
      <c r="H8484" t="s">
        <v>32849</v>
      </c>
      <c r="I8484" t="s">
        <v>4177</v>
      </c>
      <c r="J8484" t="s">
        <v>38263</v>
      </c>
      <c r="K8484" t="s">
        <v>42729</v>
      </c>
      <c r="M8484" t="s">
        <v>45442</v>
      </c>
      <c r="N8484" t="s">
        <v>47424</v>
      </c>
      <c r="O8484" t="s">
        <v>47425</v>
      </c>
      <c r="P8484">
        <v>0</v>
      </c>
      <c r="Q8484">
        <v>0</v>
      </c>
      <c r="R8484" t="s">
        <v>47432</v>
      </c>
      <c r="S8484" t="s">
        <v>47597</v>
      </c>
      <c r="T8484" t="s">
        <v>49077</v>
      </c>
      <c r="U8484" t="s">
        <v>56541</v>
      </c>
      <c r="V8484" t="s">
        <v>63325</v>
      </c>
      <c r="W8484" t="s">
        <v>45442</v>
      </c>
      <c r="X8484" t="s">
        <v>47433</v>
      </c>
    </row>
    <row r="8485" spans="1:24">
      <c r="A8485">
        <f>HYPERLINK("https://www.philgeps.gov.ph/GEPSNONPILOT/Tender/SplashBidNoticeAbstractUI.aspx?menuIndex=3&amp;refID=7153860&amp;Result=3","7153860")</f>
        <v>0</v>
      </c>
      <c r="B8485" t="s">
        <v>99</v>
      </c>
      <c r="C8485" t="s">
        <v>11875</v>
      </c>
      <c r="D8485" t="s">
        <v>19054</v>
      </c>
      <c r="E8485" t="s">
        <v>26468</v>
      </c>
      <c r="F8485" t="s">
        <v>32831</v>
      </c>
      <c r="G8485" t="s">
        <v>32839</v>
      </c>
      <c r="H8485" t="s">
        <v>32848</v>
      </c>
      <c r="I8485" t="s">
        <v>7416</v>
      </c>
      <c r="J8485" t="s">
        <v>38264</v>
      </c>
      <c r="K8485" t="s">
        <v>42730</v>
      </c>
      <c r="M8485" t="s">
        <v>43171</v>
      </c>
      <c r="N8485" t="s">
        <v>47424</v>
      </c>
      <c r="O8485" t="s">
        <v>47425</v>
      </c>
      <c r="P8485">
        <v>0</v>
      </c>
      <c r="Q8485">
        <v>0</v>
      </c>
      <c r="R8485" t="s">
        <v>47432</v>
      </c>
      <c r="S8485" t="s">
        <v>47597</v>
      </c>
      <c r="T8485" t="s">
        <v>49221</v>
      </c>
      <c r="U8485" t="s">
        <v>56583</v>
      </c>
      <c r="V8485" t="s">
        <v>62643</v>
      </c>
      <c r="W8485" t="s">
        <v>43171</v>
      </c>
      <c r="X8485" t="s">
        <v>47433</v>
      </c>
    </row>
    <row r="8486" spans="1:24">
      <c r="A8486">
        <f>HYPERLINK("https://www.philgeps.gov.ph/GEPSNONPILOT/Tender/SplashBidNoticeAbstractUI.aspx?menuIndex=3&amp;refID=7153927&amp;Result=3","7153927")</f>
        <v>0</v>
      </c>
      <c r="B8486" t="s">
        <v>674</v>
      </c>
      <c r="C8486" t="s">
        <v>11876</v>
      </c>
      <c r="D8486" t="s">
        <v>19058</v>
      </c>
      <c r="E8486" t="s">
        <v>26469</v>
      </c>
      <c r="F8486" t="s">
        <v>32831</v>
      </c>
      <c r="G8486" t="s">
        <v>32840</v>
      </c>
      <c r="H8486" t="s">
        <v>32848</v>
      </c>
      <c r="I8486" t="s">
        <v>7416</v>
      </c>
      <c r="J8486" t="s">
        <v>38265</v>
      </c>
      <c r="K8486" t="s">
        <v>42732</v>
      </c>
      <c r="M8486" t="s">
        <v>43693</v>
      </c>
      <c r="N8486" t="s">
        <v>47424</v>
      </c>
      <c r="O8486" t="s">
        <v>47425</v>
      </c>
      <c r="P8486">
        <v>0</v>
      </c>
      <c r="Q8486">
        <v>0</v>
      </c>
      <c r="R8486" t="s">
        <v>47432</v>
      </c>
      <c r="S8486" t="s">
        <v>47597</v>
      </c>
      <c r="T8486" t="s">
        <v>49237</v>
      </c>
      <c r="U8486" t="s">
        <v>56701</v>
      </c>
      <c r="W8486" t="s">
        <v>43693</v>
      </c>
      <c r="X8486" t="s">
        <v>47433</v>
      </c>
    </row>
    <row r="8487" spans="1:24">
      <c r="A8487">
        <f>HYPERLINK("https://www.philgeps.gov.ph/GEPSNONPILOT/Tender/SplashBidNoticeAbstractUI.aspx?menuIndex=3&amp;refID=7153923&amp;Result=3","7153923")</f>
        <v>0</v>
      </c>
      <c r="B8487" t="s">
        <v>209</v>
      </c>
      <c r="C8487" t="s">
        <v>11877</v>
      </c>
      <c r="D8487" t="s">
        <v>19061</v>
      </c>
      <c r="E8487" t="s">
        <v>26470</v>
      </c>
      <c r="F8487" t="s">
        <v>32831</v>
      </c>
      <c r="G8487" t="s">
        <v>32839</v>
      </c>
      <c r="H8487" t="s">
        <v>32848</v>
      </c>
      <c r="I8487" t="s">
        <v>32855</v>
      </c>
      <c r="J8487" t="s">
        <v>38266</v>
      </c>
      <c r="K8487" t="s">
        <v>42730</v>
      </c>
      <c r="M8487" t="s">
        <v>43207</v>
      </c>
      <c r="N8487" t="s">
        <v>47424</v>
      </c>
      <c r="O8487" t="s">
        <v>47425</v>
      </c>
      <c r="P8487">
        <v>0</v>
      </c>
      <c r="Q8487">
        <v>3</v>
      </c>
      <c r="R8487" t="s">
        <v>47432</v>
      </c>
      <c r="S8487" t="s">
        <v>47597</v>
      </c>
      <c r="T8487" t="s">
        <v>49114</v>
      </c>
      <c r="U8487" t="s">
        <v>56702</v>
      </c>
      <c r="W8487" t="s">
        <v>43207</v>
      </c>
      <c r="X8487" t="s">
        <v>47433</v>
      </c>
    </row>
    <row r="8488" spans="1:24">
      <c r="A8488">
        <f>HYPERLINK("https://www.philgeps.gov.ph/GEPSNONPILOT/Tender/SplashBidNoticeAbstractUI.aspx?menuIndex=3&amp;refID=7153928&amp;Result=3","7153928")</f>
        <v>0</v>
      </c>
      <c r="B8488" t="s">
        <v>1130</v>
      </c>
      <c r="C8488" t="s">
        <v>11878</v>
      </c>
      <c r="D8488" t="s">
        <v>19045</v>
      </c>
      <c r="E8488" t="s">
        <v>26471</v>
      </c>
      <c r="F8488" t="s">
        <v>32831</v>
      </c>
      <c r="G8488" t="s">
        <v>32839</v>
      </c>
      <c r="H8488" t="s">
        <v>32849</v>
      </c>
      <c r="I8488" t="s">
        <v>4177</v>
      </c>
      <c r="J8488" t="s">
        <v>38267</v>
      </c>
      <c r="K8488" t="s">
        <v>42729</v>
      </c>
      <c r="M8488" t="s">
        <v>45442</v>
      </c>
      <c r="N8488" t="s">
        <v>47424</v>
      </c>
      <c r="O8488" t="s">
        <v>47425</v>
      </c>
      <c r="P8488">
        <v>0</v>
      </c>
      <c r="Q8488">
        <v>0</v>
      </c>
      <c r="R8488" t="s">
        <v>47432</v>
      </c>
      <c r="S8488" t="s">
        <v>47597</v>
      </c>
      <c r="T8488" t="s">
        <v>49077</v>
      </c>
      <c r="U8488" t="s">
        <v>56695</v>
      </c>
      <c r="V8488" t="s">
        <v>63325</v>
      </c>
      <c r="W8488" t="s">
        <v>45442</v>
      </c>
      <c r="X8488" t="s">
        <v>47433</v>
      </c>
    </row>
    <row r="8489" spans="1:24">
      <c r="A8489">
        <f>HYPERLINK("https://www.philgeps.gov.ph/GEPSNONPILOT/Tender/SplashBidNoticeAbstractUI.aspx?menuIndex=3&amp;refID=7153916&amp;Result=3","7153916")</f>
        <v>0</v>
      </c>
      <c r="B8489" t="s">
        <v>2808</v>
      </c>
      <c r="C8489" t="s">
        <v>11879</v>
      </c>
      <c r="D8489" t="s">
        <v>19027</v>
      </c>
      <c r="E8489" t="s">
        <v>26472</v>
      </c>
      <c r="F8489" t="s">
        <v>32831</v>
      </c>
      <c r="G8489" t="s">
        <v>32839</v>
      </c>
      <c r="H8489" t="s">
        <v>32848</v>
      </c>
      <c r="I8489" t="s">
        <v>7416</v>
      </c>
      <c r="J8489" t="s">
        <v>38268</v>
      </c>
      <c r="K8489" t="s">
        <v>42732</v>
      </c>
      <c r="M8489" t="s">
        <v>46038</v>
      </c>
      <c r="N8489" t="s">
        <v>47424</v>
      </c>
      <c r="O8489" t="s">
        <v>47425</v>
      </c>
      <c r="P8489">
        <v>0</v>
      </c>
      <c r="Q8489">
        <v>1</v>
      </c>
      <c r="R8489" t="s">
        <v>47432</v>
      </c>
      <c r="S8489" t="s">
        <v>47597</v>
      </c>
      <c r="T8489" t="s">
        <v>49444</v>
      </c>
      <c r="U8489" t="s">
        <v>56703</v>
      </c>
      <c r="W8489" t="s">
        <v>46038</v>
      </c>
      <c r="X8489" t="s">
        <v>47433</v>
      </c>
    </row>
    <row r="8490" spans="1:24">
      <c r="A8490">
        <f>HYPERLINK("https://www.philgeps.gov.ph/GEPSNONPILOT/Tender/SplashBidNoticeAbstractUI.aspx?menuIndex=3&amp;refID=7153913&amp;Result=3","7153913")</f>
        <v>0</v>
      </c>
      <c r="B8490" t="s">
        <v>2826</v>
      </c>
      <c r="C8490" t="s">
        <v>11880</v>
      </c>
      <c r="D8490" t="s">
        <v>19058</v>
      </c>
      <c r="E8490" t="s">
        <v>26473</v>
      </c>
      <c r="F8490" t="s">
        <v>32831</v>
      </c>
      <c r="G8490" t="s">
        <v>32842</v>
      </c>
      <c r="H8490" t="s">
        <v>32848</v>
      </c>
      <c r="I8490" t="s">
        <v>32860</v>
      </c>
      <c r="J8490" t="s">
        <v>37819</v>
      </c>
      <c r="K8490" t="s">
        <v>42731</v>
      </c>
      <c r="M8490" t="s">
        <v>46057</v>
      </c>
      <c r="N8490" t="s">
        <v>47424</v>
      </c>
      <c r="O8490" t="s">
        <v>47425</v>
      </c>
      <c r="P8490">
        <v>0</v>
      </c>
      <c r="Q8490">
        <v>3</v>
      </c>
      <c r="R8490" t="s">
        <v>47432</v>
      </c>
      <c r="S8490" t="s">
        <v>47597</v>
      </c>
      <c r="T8490" t="s">
        <v>49141</v>
      </c>
      <c r="U8490" t="s">
        <v>56704</v>
      </c>
      <c r="W8490" t="s">
        <v>46057</v>
      </c>
      <c r="X8490" t="s">
        <v>47433</v>
      </c>
    </row>
    <row r="8491" spans="1:24">
      <c r="A8491">
        <f>HYPERLINK("https://www.philgeps.gov.ph/GEPSNONPILOT/Tender/SplashBidNoticeAbstractUI.aspx?menuIndex=3&amp;refID=7153934&amp;Result=3","7153934")</f>
        <v>0</v>
      </c>
      <c r="B8491" t="s">
        <v>2429</v>
      </c>
      <c r="C8491" t="s">
        <v>11881</v>
      </c>
      <c r="D8491" t="s">
        <v>19064</v>
      </c>
      <c r="E8491" t="s">
        <v>26474</v>
      </c>
      <c r="F8491" t="s">
        <v>32831</v>
      </c>
      <c r="G8491" t="s">
        <v>32839</v>
      </c>
      <c r="H8491" t="s">
        <v>32848</v>
      </c>
      <c r="I8491" t="s">
        <v>5379</v>
      </c>
      <c r="J8491" t="s">
        <v>38269</v>
      </c>
      <c r="K8491" t="s">
        <v>42731</v>
      </c>
      <c r="M8491" t="s">
        <v>45626</v>
      </c>
      <c r="N8491" t="s">
        <v>47424</v>
      </c>
      <c r="O8491" t="s">
        <v>47425</v>
      </c>
      <c r="P8491">
        <v>0</v>
      </c>
      <c r="Q8491">
        <v>0</v>
      </c>
      <c r="R8491" t="s">
        <v>47432</v>
      </c>
      <c r="S8491" t="s">
        <v>47597</v>
      </c>
      <c r="T8491" t="s">
        <v>49055</v>
      </c>
      <c r="U8491" t="s">
        <v>52984</v>
      </c>
      <c r="W8491" t="s">
        <v>45626</v>
      </c>
      <c r="X8491" t="s">
        <v>47433</v>
      </c>
    </row>
    <row r="8492" spans="1:24">
      <c r="A8492">
        <f>HYPERLINK("https://www.philgeps.gov.ph/GEPSNONPILOT/Tender/SplashBidNoticeAbstractUI.aspx?menuIndex=3&amp;refID=7153994&amp;Result=3","7153994")</f>
        <v>0</v>
      </c>
      <c r="B8492" t="s">
        <v>2827</v>
      </c>
      <c r="C8492" t="s">
        <v>11882</v>
      </c>
      <c r="D8492" t="s">
        <v>19056</v>
      </c>
      <c r="E8492" t="s">
        <v>26475</v>
      </c>
      <c r="F8492" t="s">
        <v>32831</v>
      </c>
      <c r="G8492" t="s">
        <v>32839</v>
      </c>
      <c r="H8492" t="s">
        <v>32848</v>
      </c>
      <c r="I8492" t="s">
        <v>32861</v>
      </c>
      <c r="J8492" t="s">
        <v>38270</v>
      </c>
      <c r="K8492" t="s">
        <v>42732</v>
      </c>
      <c r="M8492" t="s">
        <v>46058</v>
      </c>
      <c r="N8492" t="s">
        <v>47424</v>
      </c>
      <c r="O8492" t="s">
        <v>47425</v>
      </c>
      <c r="P8492">
        <v>0</v>
      </c>
      <c r="Q8492">
        <v>10</v>
      </c>
      <c r="R8492" t="s">
        <v>47432</v>
      </c>
      <c r="S8492" t="s">
        <v>47597</v>
      </c>
      <c r="T8492" t="s">
        <v>49512</v>
      </c>
      <c r="U8492" t="s">
        <v>56705</v>
      </c>
      <c r="W8492" t="s">
        <v>46058</v>
      </c>
      <c r="X8492" t="s">
        <v>47433</v>
      </c>
    </row>
    <row r="8493" spans="1:24">
      <c r="A8493">
        <f>HYPERLINK("https://www.philgeps.gov.ph/GEPSNONPILOT/Tender/SplashBidNoticeAbstractUI.aspx?menuIndex=3&amp;refID=7153920&amp;Result=3","7153920")</f>
        <v>0</v>
      </c>
      <c r="B8493" t="s">
        <v>2636</v>
      </c>
      <c r="C8493" t="s">
        <v>11883</v>
      </c>
      <c r="D8493" t="s">
        <v>19037</v>
      </c>
      <c r="E8493" t="s">
        <v>26476</v>
      </c>
      <c r="F8493" t="s">
        <v>32831</v>
      </c>
      <c r="G8493" t="s">
        <v>32839</v>
      </c>
      <c r="H8493" t="s">
        <v>32849</v>
      </c>
      <c r="I8493" t="s">
        <v>4177</v>
      </c>
      <c r="J8493" t="s">
        <v>37567</v>
      </c>
      <c r="K8493" t="s">
        <v>42892</v>
      </c>
      <c r="M8493" t="s">
        <v>45965</v>
      </c>
      <c r="N8493" t="s">
        <v>47424</v>
      </c>
      <c r="O8493" t="s">
        <v>47425</v>
      </c>
      <c r="P8493">
        <v>0</v>
      </c>
      <c r="Q8493">
        <v>2</v>
      </c>
      <c r="R8493" t="s">
        <v>47432</v>
      </c>
      <c r="S8493" t="s">
        <v>47597</v>
      </c>
      <c r="T8493" t="s">
        <v>49137</v>
      </c>
      <c r="U8493" t="s">
        <v>56706</v>
      </c>
      <c r="W8493" t="s">
        <v>45965</v>
      </c>
      <c r="X8493" t="s">
        <v>47433</v>
      </c>
    </row>
    <row r="8494" spans="1:24">
      <c r="A8494">
        <f>HYPERLINK("https://www.philgeps.gov.ph/GEPSNONPILOT/Tender/SplashBidNoticeAbstractUI.aspx?menuIndex=3&amp;refID=7153917&amp;Result=3","7153917")</f>
        <v>0</v>
      </c>
      <c r="B8494" t="s">
        <v>485</v>
      </c>
      <c r="C8494" t="s">
        <v>11884</v>
      </c>
      <c r="D8494" t="s">
        <v>19032</v>
      </c>
      <c r="E8494" t="s">
        <v>26477</v>
      </c>
      <c r="F8494" t="s">
        <v>32831</v>
      </c>
      <c r="G8494" t="s">
        <v>32839</v>
      </c>
      <c r="H8494" t="s">
        <v>32848</v>
      </c>
      <c r="I8494" t="s">
        <v>5379</v>
      </c>
      <c r="J8494" t="s">
        <v>33644</v>
      </c>
      <c r="K8494" t="s">
        <v>42777</v>
      </c>
      <c r="M8494" t="s">
        <v>43490</v>
      </c>
      <c r="N8494" t="s">
        <v>47424</v>
      </c>
      <c r="O8494" t="s">
        <v>47425</v>
      </c>
      <c r="P8494">
        <v>0</v>
      </c>
      <c r="Q8494">
        <v>0</v>
      </c>
      <c r="R8494" t="s">
        <v>47432</v>
      </c>
      <c r="S8494" t="s">
        <v>47597</v>
      </c>
      <c r="T8494" t="s">
        <v>49513</v>
      </c>
      <c r="U8494" t="s">
        <v>56707</v>
      </c>
      <c r="V8494" t="s">
        <v>63575</v>
      </c>
      <c r="W8494" t="s">
        <v>43490</v>
      </c>
      <c r="X8494" t="s">
        <v>47433</v>
      </c>
    </row>
    <row r="8495" spans="1:24">
      <c r="A8495">
        <f>HYPERLINK("https://www.philgeps.gov.ph/GEPSNONPILOT/Tender/SplashBidNoticeAbstractUI.aspx?menuIndex=3&amp;refID=7153986&amp;Result=3","7153986")</f>
        <v>0</v>
      </c>
      <c r="B8495" t="s">
        <v>2429</v>
      </c>
      <c r="C8495" t="s">
        <v>11885</v>
      </c>
      <c r="D8495" t="s">
        <v>19064</v>
      </c>
      <c r="E8495" t="s">
        <v>26478</v>
      </c>
      <c r="F8495" t="s">
        <v>32831</v>
      </c>
      <c r="G8495" t="s">
        <v>32839</v>
      </c>
      <c r="H8495" t="s">
        <v>32848</v>
      </c>
      <c r="I8495" t="s">
        <v>4558</v>
      </c>
      <c r="J8495" t="s">
        <v>33232</v>
      </c>
      <c r="K8495" t="s">
        <v>42731</v>
      </c>
      <c r="M8495" t="s">
        <v>45626</v>
      </c>
      <c r="N8495" t="s">
        <v>47424</v>
      </c>
      <c r="O8495" t="s">
        <v>47425</v>
      </c>
      <c r="P8495">
        <v>0</v>
      </c>
      <c r="Q8495">
        <v>1</v>
      </c>
      <c r="R8495" t="s">
        <v>47432</v>
      </c>
      <c r="S8495" t="s">
        <v>47597</v>
      </c>
      <c r="T8495" t="s">
        <v>49055</v>
      </c>
      <c r="U8495" t="s">
        <v>56708</v>
      </c>
      <c r="W8495" t="s">
        <v>45626</v>
      </c>
      <c r="X8495" t="s">
        <v>47433</v>
      </c>
    </row>
    <row r="8496" spans="1:24">
      <c r="A8496">
        <f>HYPERLINK("https://www.philgeps.gov.ph/GEPSNONPILOT/Tender/SplashBidNoticeAbstractUI.aspx?menuIndex=3&amp;refID=7153987&amp;Result=3","7153987")</f>
        <v>0</v>
      </c>
      <c r="B8496" t="s">
        <v>674</v>
      </c>
      <c r="C8496" t="s">
        <v>11886</v>
      </c>
      <c r="D8496" t="s">
        <v>19058</v>
      </c>
      <c r="E8496" t="s">
        <v>26479</v>
      </c>
      <c r="F8496" t="s">
        <v>32831</v>
      </c>
      <c r="G8496" t="s">
        <v>32839</v>
      </c>
      <c r="H8496" t="s">
        <v>32848</v>
      </c>
      <c r="I8496" t="s">
        <v>7751</v>
      </c>
      <c r="J8496" t="s">
        <v>33083</v>
      </c>
      <c r="K8496" t="s">
        <v>42732</v>
      </c>
      <c r="M8496" t="s">
        <v>44520</v>
      </c>
      <c r="N8496" t="s">
        <v>47424</v>
      </c>
      <c r="O8496" t="s">
        <v>47425</v>
      </c>
      <c r="P8496">
        <v>0</v>
      </c>
      <c r="Q8496">
        <v>1</v>
      </c>
      <c r="R8496" t="s">
        <v>47432</v>
      </c>
      <c r="S8496" t="s">
        <v>47597</v>
      </c>
      <c r="T8496" t="s">
        <v>49236</v>
      </c>
      <c r="U8496" t="s">
        <v>56709</v>
      </c>
      <c r="W8496" t="s">
        <v>44520</v>
      </c>
      <c r="X8496" t="s">
        <v>47433</v>
      </c>
    </row>
    <row r="8497" spans="1:24">
      <c r="A8497">
        <f>HYPERLINK("https://www.philgeps.gov.ph/GEPSNONPILOT/Tender/SplashBidNoticeAbstractUI.aspx?menuIndex=3&amp;refID=7153977&amp;Result=3","7153977")</f>
        <v>0</v>
      </c>
      <c r="B8497" t="s">
        <v>793</v>
      </c>
      <c r="C8497" t="s">
        <v>11887</v>
      </c>
      <c r="D8497" t="s">
        <v>19048</v>
      </c>
      <c r="E8497" t="s">
        <v>26480</v>
      </c>
      <c r="F8497" t="s">
        <v>32831</v>
      </c>
      <c r="G8497" t="s">
        <v>32838</v>
      </c>
      <c r="H8497" t="s">
        <v>32848</v>
      </c>
      <c r="I8497" t="s">
        <v>32883</v>
      </c>
      <c r="J8497" t="s">
        <v>38271</v>
      </c>
      <c r="K8497" t="s">
        <v>42727</v>
      </c>
      <c r="M8497" t="s">
        <v>43823</v>
      </c>
      <c r="N8497" t="s">
        <v>47424</v>
      </c>
      <c r="O8497" t="s">
        <v>47425</v>
      </c>
      <c r="P8497">
        <v>0</v>
      </c>
      <c r="Q8497">
        <v>8</v>
      </c>
      <c r="R8497" t="s">
        <v>47432</v>
      </c>
      <c r="S8497" t="s">
        <v>47597</v>
      </c>
      <c r="T8497" t="s">
        <v>49162</v>
      </c>
      <c r="U8497" t="s">
        <v>56710</v>
      </c>
      <c r="W8497" t="s">
        <v>43823</v>
      </c>
      <c r="X8497" t="s">
        <v>47433</v>
      </c>
    </row>
    <row r="8498" spans="1:24">
      <c r="A8498">
        <f>HYPERLINK("https://www.philgeps.gov.ph/GEPSNONPILOT/Tender/SplashBidNoticeAbstractUI.aspx?menuIndex=3&amp;refID=7153971&amp;Result=3","7153971")</f>
        <v>0</v>
      </c>
      <c r="B8498" t="s">
        <v>1062</v>
      </c>
      <c r="C8498" t="s">
        <v>11888</v>
      </c>
      <c r="D8498" t="s">
        <v>19019</v>
      </c>
      <c r="E8498" t="s">
        <v>26481</v>
      </c>
      <c r="F8498" t="s">
        <v>32831</v>
      </c>
      <c r="G8498" t="s">
        <v>32845</v>
      </c>
      <c r="H8498" t="s">
        <v>14069</v>
      </c>
      <c r="I8498" t="s">
        <v>14069</v>
      </c>
      <c r="J8498" t="s">
        <v>38272</v>
      </c>
      <c r="K8498" t="s">
        <v>42757</v>
      </c>
      <c r="M8498" t="s">
        <v>46059</v>
      </c>
      <c r="N8498" t="s">
        <v>47424</v>
      </c>
      <c r="O8498" t="s">
        <v>47425</v>
      </c>
      <c r="P8498">
        <v>0</v>
      </c>
      <c r="Q8498">
        <v>9</v>
      </c>
      <c r="R8498" t="s">
        <v>47432</v>
      </c>
      <c r="S8498" t="s">
        <v>47597</v>
      </c>
      <c r="T8498" t="s">
        <v>49069</v>
      </c>
      <c r="U8498" t="s">
        <v>56711</v>
      </c>
      <c r="V8498" t="s">
        <v>63576</v>
      </c>
      <c r="W8498" t="s">
        <v>46059</v>
      </c>
      <c r="X8498" t="s">
        <v>47433</v>
      </c>
    </row>
    <row r="8499" spans="1:24">
      <c r="A8499">
        <f>HYPERLINK("https://www.philgeps.gov.ph/GEPSNONPILOT/Tender/SplashBidNoticeAbstractUI.aspx?menuIndex=3&amp;refID=7153876&amp;Result=3","7153876")</f>
        <v>0</v>
      </c>
      <c r="B8499" t="s">
        <v>2631</v>
      </c>
      <c r="C8499" t="s">
        <v>11889</v>
      </c>
      <c r="D8499" t="s">
        <v>19063</v>
      </c>
      <c r="E8499" t="s">
        <v>26482</v>
      </c>
      <c r="F8499" t="s">
        <v>32831</v>
      </c>
      <c r="G8499" t="s">
        <v>32839</v>
      </c>
      <c r="H8499" t="s">
        <v>32848</v>
      </c>
      <c r="I8499" t="s">
        <v>4776</v>
      </c>
      <c r="J8499" t="s">
        <v>33395</v>
      </c>
      <c r="K8499" t="s">
        <v>42747</v>
      </c>
      <c r="M8499" t="s">
        <v>45851</v>
      </c>
      <c r="N8499" t="s">
        <v>47424</v>
      </c>
      <c r="O8499" t="s">
        <v>47425</v>
      </c>
      <c r="P8499">
        <v>0</v>
      </c>
      <c r="Q8499">
        <v>0</v>
      </c>
      <c r="R8499" t="s">
        <v>47432</v>
      </c>
      <c r="S8499" t="s">
        <v>47597</v>
      </c>
      <c r="T8499" t="s">
        <v>49162</v>
      </c>
      <c r="U8499" t="s">
        <v>56712</v>
      </c>
      <c r="W8499" t="s">
        <v>45851</v>
      </c>
      <c r="X8499" t="s">
        <v>47433</v>
      </c>
    </row>
    <row r="8500" spans="1:24">
      <c r="A8500">
        <f>HYPERLINK("https://www.philgeps.gov.ph/GEPSNONPILOT/Tender/SplashBidNoticeAbstractUI.aspx?menuIndex=3&amp;refID=7153868&amp;Result=3","7153868")</f>
        <v>0</v>
      </c>
      <c r="B8500" t="s">
        <v>2828</v>
      </c>
      <c r="C8500" t="s">
        <v>11890</v>
      </c>
      <c r="D8500" t="s">
        <v>19048</v>
      </c>
      <c r="E8500" t="s">
        <v>26483</v>
      </c>
      <c r="F8500" t="s">
        <v>32831</v>
      </c>
      <c r="G8500" t="s">
        <v>32839</v>
      </c>
      <c r="H8500" t="s">
        <v>32848</v>
      </c>
      <c r="I8500" t="s">
        <v>7416</v>
      </c>
      <c r="J8500" t="s">
        <v>38273</v>
      </c>
      <c r="K8500" t="s">
        <v>42727</v>
      </c>
      <c r="M8500" t="s">
        <v>46060</v>
      </c>
      <c r="N8500" t="s">
        <v>47424</v>
      </c>
      <c r="O8500" t="s">
        <v>47425</v>
      </c>
      <c r="P8500">
        <v>0</v>
      </c>
      <c r="Q8500">
        <v>0</v>
      </c>
      <c r="R8500" t="s">
        <v>47432</v>
      </c>
      <c r="S8500" t="s">
        <v>47597</v>
      </c>
      <c r="T8500" t="s">
        <v>49514</v>
      </c>
      <c r="U8500" t="s">
        <v>56713</v>
      </c>
      <c r="W8500" t="s">
        <v>46060</v>
      </c>
      <c r="X8500" t="s">
        <v>47433</v>
      </c>
    </row>
    <row r="8501" spans="1:24">
      <c r="A8501">
        <f>HYPERLINK("https://www.philgeps.gov.ph/GEPSNONPILOT/Tender/SplashBidNoticeAbstractUI.aspx?menuIndex=3&amp;refID=7153861&amp;Result=3","7153861")</f>
        <v>0</v>
      </c>
      <c r="B8501" t="s">
        <v>2232</v>
      </c>
      <c r="C8501" t="s">
        <v>11891</v>
      </c>
      <c r="D8501" t="s">
        <v>19062</v>
      </c>
      <c r="E8501" t="s">
        <v>26484</v>
      </c>
      <c r="F8501" t="s">
        <v>32831</v>
      </c>
      <c r="G8501" t="s">
        <v>32838</v>
      </c>
      <c r="H8501" t="s">
        <v>32848</v>
      </c>
      <c r="I8501" t="s">
        <v>32860</v>
      </c>
      <c r="J8501" t="s">
        <v>38274</v>
      </c>
      <c r="K8501" t="s">
        <v>42731</v>
      </c>
      <c r="M8501" t="s">
        <v>45413</v>
      </c>
      <c r="N8501" t="s">
        <v>47424</v>
      </c>
      <c r="O8501" t="s">
        <v>47425</v>
      </c>
      <c r="P8501">
        <v>0</v>
      </c>
      <c r="Q8501">
        <v>1</v>
      </c>
      <c r="R8501" t="s">
        <v>47432</v>
      </c>
      <c r="S8501" t="s">
        <v>47597</v>
      </c>
      <c r="T8501" t="s">
        <v>49214</v>
      </c>
      <c r="U8501" t="s">
        <v>54885</v>
      </c>
      <c r="W8501" t="s">
        <v>45413</v>
      </c>
      <c r="X8501" t="s">
        <v>47433</v>
      </c>
    </row>
    <row r="8502" spans="1:24">
      <c r="A8502">
        <f>HYPERLINK("https://www.philgeps.gov.ph/GEPSNONPILOT/Tender/SplashBidNoticeAbstractUI.aspx?menuIndex=3&amp;refID=7153965&amp;Result=3","7153965")</f>
        <v>0</v>
      </c>
      <c r="B8502" t="s">
        <v>2829</v>
      </c>
      <c r="C8502" t="s">
        <v>9702</v>
      </c>
      <c r="D8502" t="s">
        <v>19061</v>
      </c>
      <c r="E8502" t="s">
        <v>26485</v>
      </c>
      <c r="F8502" t="s">
        <v>32831</v>
      </c>
      <c r="G8502" t="s">
        <v>32839</v>
      </c>
      <c r="H8502" t="s">
        <v>32848</v>
      </c>
      <c r="I8502" t="s">
        <v>32858</v>
      </c>
      <c r="J8502" t="s">
        <v>38275</v>
      </c>
      <c r="K8502" t="s">
        <v>42730</v>
      </c>
      <c r="M8502" t="s">
        <v>46061</v>
      </c>
      <c r="N8502" t="s">
        <v>47424</v>
      </c>
      <c r="O8502" t="s">
        <v>47425</v>
      </c>
      <c r="P8502">
        <v>0</v>
      </c>
      <c r="Q8502">
        <v>0</v>
      </c>
      <c r="R8502" t="s">
        <v>47432</v>
      </c>
      <c r="S8502" t="s">
        <v>47597</v>
      </c>
      <c r="T8502" t="s">
        <v>49162</v>
      </c>
      <c r="U8502" t="s">
        <v>56714</v>
      </c>
      <c r="W8502" t="s">
        <v>46061</v>
      </c>
      <c r="X8502" t="s">
        <v>47433</v>
      </c>
    </row>
    <row r="8503" spans="1:24">
      <c r="A8503">
        <f>HYPERLINK("https://www.philgeps.gov.ph/GEPSNONPILOT/Tender/SplashBidNoticeAbstractUI.aspx?menuIndex=3&amp;refID=7153975&amp;Result=3","7153975")</f>
        <v>0</v>
      </c>
      <c r="B8503" t="s">
        <v>345</v>
      </c>
      <c r="C8503" t="s">
        <v>11892</v>
      </c>
      <c r="D8503" t="s">
        <v>19074</v>
      </c>
      <c r="E8503" t="s">
        <v>26486</v>
      </c>
      <c r="F8503" t="s">
        <v>32831</v>
      </c>
      <c r="G8503" t="s">
        <v>32838</v>
      </c>
      <c r="H8503" t="s">
        <v>32850</v>
      </c>
      <c r="I8503" t="s">
        <v>32856</v>
      </c>
      <c r="J8503" t="s">
        <v>33226</v>
      </c>
      <c r="K8503" t="s">
        <v>42731</v>
      </c>
      <c r="M8503" t="s">
        <v>44082</v>
      </c>
      <c r="N8503" t="s">
        <v>47424</v>
      </c>
      <c r="O8503" t="s">
        <v>47425</v>
      </c>
      <c r="P8503">
        <v>0</v>
      </c>
      <c r="Q8503">
        <v>0</v>
      </c>
      <c r="R8503" t="s">
        <v>47432</v>
      </c>
      <c r="S8503" t="s">
        <v>47597</v>
      </c>
      <c r="T8503" t="s">
        <v>49107</v>
      </c>
      <c r="U8503" t="s">
        <v>56715</v>
      </c>
      <c r="W8503" t="s">
        <v>44082</v>
      </c>
      <c r="X8503" t="s">
        <v>47433</v>
      </c>
    </row>
    <row r="8504" spans="1:24">
      <c r="A8504">
        <f>HYPERLINK("https://www.philgeps.gov.ph/GEPSNONPILOT/Tender/SplashBidNoticeAbstractUI.aspx?menuIndex=3&amp;refID=7153964&amp;Result=3","7153964")</f>
        <v>0</v>
      </c>
      <c r="B8504" t="s">
        <v>2808</v>
      </c>
      <c r="C8504" t="s">
        <v>11893</v>
      </c>
      <c r="D8504" t="s">
        <v>19027</v>
      </c>
      <c r="E8504" t="s">
        <v>26487</v>
      </c>
      <c r="F8504" t="s">
        <v>32831</v>
      </c>
      <c r="G8504" t="s">
        <v>32839</v>
      </c>
      <c r="H8504" t="s">
        <v>32848</v>
      </c>
      <c r="I8504" t="s">
        <v>7416</v>
      </c>
      <c r="J8504" t="s">
        <v>38276</v>
      </c>
      <c r="K8504" t="s">
        <v>42732</v>
      </c>
      <c r="M8504" t="s">
        <v>46038</v>
      </c>
      <c r="N8504" t="s">
        <v>47424</v>
      </c>
      <c r="O8504" t="s">
        <v>47425</v>
      </c>
      <c r="P8504">
        <v>0</v>
      </c>
      <c r="Q8504">
        <v>1</v>
      </c>
      <c r="R8504" t="s">
        <v>47432</v>
      </c>
      <c r="S8504" t="s">
        <v>47597</v>
      </c>
      <c r="T8504" t="s">
        <v>49444</v>
      </c>
      <c r="U8504" t="s">
        <v>56716</v>
      </c>
      <c r="W8504" t="s">
        <v>46038</v>
      </c>
      <c r="X8504" t="s">
        <v>47433</v>
      </c>
    </row>
    <row r="8505" spans="1:24">
      <c r="A8505">
        <f>HYPERLINK("https://www.philgeps.gov.ph/GEPSNONPILOT/Tender/SplashBidNoticeAbstractUI.aspx?menuIndex=3&amp;refID=7153991&amp;Result=3","7153991")</f>
        <v>0</v>
      </c>
      <c r="B8505" t="s">
        <v>1571</v>
      </c>
      <c r="C8505" t="s">
        <v>11894</v>
      </c>
      <c r="D8505" t="s">
        <v>19060</v>
      </c>
      <c r="E8505" t="s">
        <v>26488</v>
      </c>
      <c r="F8505" t="s">
        <v>32831</v>
      </c>
      <c r="G8505" t="s">
        <v>32839</v>
      </c>
      <c r="H8505" t="s">
        <v>32848</v>
      </c>
      <c r="I8505" t="s">
        <v>11727</v>
      </c>
      <c r="J8505" t="s">
        <v>38277</v>
      </c>
      <c r="K8505" t="s">
        <v>42727</v>
      </c>
      <c r="M8505" t="s">
        <v>44680</v>
      </c>
      <c r="N8505" t="s">
        <v>47424</v>
      </c>
      <c r="O8505" t="s">
        <v>47425</v>
      </c>
      <c r="P8505">
        <v>0</v>
      </c>
      <c r="Q8505">
        <v>1</v>
      </c>
      <c r="R8505" t="s">
        <v>47432</v>
      </c>
      <c r="S8505" t="s">
        <v>47597</v>
      </c>
      <c r="T8505" t="s">
        <v>49359</v>
      </c>
      <c r="U8505" t="s">
        <v>56717</v>
      </c>
      <c r="V8505" t="s">
        <v>63042</v>
      </c>
      <c r="W8505" t="s">
        <v>44680</v>
      </c>
      <c r="X8505" t="s">
        <v>47433</v>
      </c>
    </row>
    <row r="8506" spans="1:24">
      <c r="A8506">
        <f>HYPERLINK("https://www.philgeps.gov.ph/GEPSNONPILOT/Tender/SplashBidNoticeAbstractUI.aspx?menuIndex=3&amp;refID=7153969&amp;Result=3","7153969")</f>
        <v>0</v>
      </c>
      <c r="B8506" t="s">
        <v>2012</v>
      </c>
      <c r="C8506" t="s">
        <v>10499</v>
      </c>
      <c r="D8506" t="s">
        <v>19095</v>
      </c>
      <c r="E8506" t="s">
        <v>26489</v>
      </c>
      <c r="F8506" t="s">
        <v>32831</v>
      </c>
      <c r="G8506" t="s">
        <v>32839</v>
      </c>
      <c r="H8506" t="s">
        <v>32848</v>
      </c>
      <c r="I8506" t="s">
        <v>4776</v>
      </c>
      <c r="J8506" t="s">
        <v>37920</v>
      </c>
      <c r="K8506" t="s">
        <v>42732</v>
      </c>
      <c r="L8506" t="s">
        <v>2012</v>
      </c>
      <c r="M8506" t="s">
        <v>45179</v>
      </c>
      <c r="N8506" t="s">
        <v>47424</v>
      </c>
      <c r="O8506" t="s">
        <v>47425</v>
      </c>
      <c r="P8506">
        <v>0</v>
      </c>
      <c r="Q8506">
        <v>4</v>
      </c>
      <c r="R8506" t="s">
        <v>47432</v>
      </c>
      <c r="S8506" t="s">
        <v>47597</v>
      </c>
      <c r="T8506" t="s">
        <v>49107</v>
      </c>
      <c r="U8506" t="s">
        <v>56718</v>
      </c>
      <c r="W8506" t="s">
        <v>45179</v>
      </c>
      <c r="X8506" t="s">
        <v>47433</v>
      </c>
    </row>
    <row r="8507" spans="1:24">
      <c r="A8507">
        <f>HYPERLINK("https://www.philgeps.gov.ph/GEPSNONPILOT/Tender/SplashBidNoticeAbstractUI.aspx?menuIndex=3&amp;refID=7154039&amp;Result=3","7154039")</f>
        <v>0</v>
      </c>
      <c r="B8507" t="s">
        <v>2830</v>
      </c>
      <c r="C8507" t="s">
        <v>11895</v>
      </c>
      <c r="D8507" t="s">
        <v>19063</v>
      </c>
      <c r="E8507" t="s">
        <v>26490</v>
      </c>
      <c r="F8507" t="s">
        <v>32831</v>
      </c>
      <c r="G8507" t="s">
        <v>32841</v>
      </c>
      <c r="H8507" t="s">
        <v>32848</v>
      </c>
      <c r="I8507" t="s">
        <v>32857</v>
      </c>
      <c r="J8507" t="s">
        <v>38278</v>
      </c>
      <c r="K8507" t="s">
        <v>42763</v>
      </c>
      <c r="M8507" t="s">
        <v>46062</v>
      </c>
      <c r="N8507" t="s">
        <v>47424</v>
      </c>
      <c r="O8507" t="s">
        <v>47425</v>
      </c>
      <c r="P8507">
        <v>0</v>
      </c>
      <c r="Q8507">
        <v>13</v>
      </c>
      <c r="R8507" t="s">
        <v>47432</v>
      </c>
      <c r="S8507" t="s">
        <v>47597</v>
      </c>
      <c r="T8507" t="s">
        <v>49247</v>
      </c>
      <c r="U8507" t="s">
        <v>56719</v>
      </c>
      <c r="W8507" t="s">
        <v>46062</v>
      </c>
      <c r="X8507" t="s">
        <v>47433</v>
      </c>
    </row>
    <row r="8508" spans="1:24">
      <c r="A8508">
        <f>HYPERLINK("https://www.philgeps.gov.ph/GEPSNONPILOT/Tender/SplashBidNoticeAbstractUI.aspx?menuIndex=3&amp;refID=7153978&amp;Result=3","7153978")</f>
        <v>0</v>
      </c>
      <c r="B8508" t="s">
        <v>2831</v>
      </c>
      <c r="C8508" t="s">
        <v>11896</v>
      </c>
      <c r="D8508" t="s">
        <v>19077</v>
      </c>
      <c r="E8508" t="s">
        <v>26491</v>
      </c>
      <c r="F8508" t="s">
        <v>32831</v>
      </c>
      <c r="G8508" t="s">
        <v>32839</v>
      </c>
      <c r="H8508" t="s">
        <v>32848</v>
      </c>
      <c r="I8508" t="s">
        <v>32855</v>
      </c>
      <c r="J8508" t="s">
        <v>38279</v>
      </c>
      <c r="K8508" t="s">
        <v>42730</v>
      </c>
      <c r="M8508" t="s">
        <v>46063</v>
      </c>
      <c r="N8508" t="s">
        <v>47424</v>
      </c>
      <c r="O8508" t="s">
        <v>47425</v>
      </c>
      <c r="P8508">
        <v>0</v>
      </c>
      <c r="Q8508">
        <v>3</v>
      </c>
      <c r="R8508" t="s">
        <v>47432</v>
      </c>
      <c r="S8508" t="s">
        <v>47597</v>
      </c>
      <c r="T8508" t="s">
        <v>49221</v>
      </c>
      <c r="U8508" t="s">
        <v>56720</v>
      </c>
      <c r="W8508" t="s">
        <v>46063</v>
      </c>
      <c r="X8508" t="s">
        <v>47433</v>
      </c>
    </row>
    <row r="8509" spans="1:24">
      <c r="A8509">
        <f>HYPERLINK("https://www.philgeps.gov.ph/GEPSNONPILOT/Tender/SplashBidNoticeAbstractUI.aspx?menuIndex=3&amp;refID=7154038&amp;Result=3","7154038")</f>
        <v>0</v>
      </c>
      <c r="B8509" t="s">
        <v>2429</v>
      </c>
      <c r="C8509" t="s">
        <v>11897</v>
      </c>
      <c r="D8509" t="s">
        <v>19064</v>
      </c>
      <c r="E8509" t="s">
        <v>26492</v>
      </c>
      <c r="F8509" t="s">
        <v>32831</v>
      </c>
      <c r="G8509" t="s">
        <v>32839</v>
      </c>
      <c r="H8509" t="s">
        <v>32848</v>
      </c>
      <c r="I8509" t="s">
        <v>10805</v>
      </c>
      <c r="J8509" t="s">
        <v>33568</v>
      </c>
      <c r="K8509" t="s">
        <v>42731</v>
      </c>
      <c r="M8509" t="s">
        <v>45626</v>
      </c>
      <c r="N8509" t="s">
        <v>47424</v>
      </c>
      <c r="O8509" t="s">
        <v>47425</v>
      </c>
      <c r="P8509">
        <v>0</v>
      </c>
      <c r="Q8509">
        <v>0</v>
      </c>
      <c r="R8509" t="s">
        <v>47432</v>
      </c>
      <c r="S8509" t="s">
        <v>47597</v>
      </c>
      <c r="T8509" t="s">
        <v>49055</v>
      </c>
      <c r="U8509" t="s">
        <v>56721</v>
      </c>
      <c r="W8509" t="s">
        <v>45626</v>
      </c>
      <c r="X8509" t="s">
        <v>47433</v>
      </c>
    </row>
    <row r="8510" spans="1:24">
      <c r="A8510">
        <f>HYPERLINK("https://www.philgeps.gov.ph/GEPSNONPILOT/Tender/SplashBidNoticeAbstractUI.aspx?menuIndex=3&amp;refID=7154042&amp;Result=3","7154042")</f>
        <v>0</v>
      </c>
      <c r="B8510" t="s">
        <v>1420</v>
      </c>
      <c r="C8510" t="s">
        <v>11898</v>
      </c>
      <c r="D8510" t="s">
        <v>19033</v>
      </c>
      <c r="E8510" t="s">
        <v>26493</v>
      </c>
      <c r="F8510" t="s">
        <v>32831</v>
      </c>
      <c r="G8510" t="s">
        <v>32839</v>
      </c>
      <c r="H8510" t="s">
        <v>32848</v>
      </c>
      <c r="I8510" t="s">
        <v>32857</v>
      </c>
      <c r="J8510" t="s">
        <v>38280</v>
      </c>
      <c r="K8510" t="s">
        <v>42774</v>
      </c>
      <c r="M8510" t="s">
        <v>44583</v>
      </c>
      <c r="N8510" t="s">
        <v>47424</v>
      </c>
      <c r="O8510" t="s">
        <v>47425</v>
      </c>
      <c r="P8510">
        <v>0</v>
      </c>
      <c r="Q8510">
        <v>21</v>
      </c>
      <c r="R8510" t="s">
        <v>47432</v>
      </c>
      <c r="S8510" t="s">
        <v>47597</v>
      </c>
      <c r="T8510" t="s">
        <v>49221</v>
      </c>
      <c r="U8510" t="s">
        <v>56675</v>
      </c>
      <c r="W8510" t="s">
        <v>64468</v>
      </c>
      <c r="X8510" t="s">
        <v>47433</v>
      </c>
    </row>
    <row r="8511" spans="1:24">
      <c r="A8511">
        <f>HYPERLINK("https://www.philgeps.gov.ph/GEPSNONPILOT/Tender/SplashBidNoticeAbstractUI.aspx?menuIndex=3&amp;refID=7154026&amp;Result=3","7154026")</f>
        <v>0</v>
      </c>
      <c r="B8511" t="s">
        <v>2832</v>
      </c>
      <c r="C8511" t="s">
        <v>11899</v>
      </c>
      <c r="D8511" t="s">
        <v>19040</v>
      </c>
      <c r="E8511" t="s">
        <v>26494</v>
      </c>
      <c r="F8511" t="s">
        <v>32831</v>
      </c>
      <c r="G8511" t="s">
        <v>32839</v>
      </c>
      <c r="H8511" t="s">
        <v>32850</v>
      </c>
      <c r="I8511" t="s">
        <v>32890</v>
      </c>
      <c r="J8511" t="s">
        <v>32978</v>
      </c>
      <c r="K8511" t="s">
        <v>42730</v>
      </c>
      <c r="M8511" t="s">
        <v>46064</v>
      </c>
      <c r="N8511" t="s">
        <v>47424</v>
      </c>
      <c r="O8511" t="s">
        <v>47425</v>
      </c>
      <c r="P8511">
        <v>0</v>
      </c>
      <c r="Q8511">
        <v>0</v>
      </c>
      <c r="R8511" t="s">
        <v>47432</v>
      </c>
      <c r="S8511" t="s">
        <v>47597</v>
      </c>
      <c r="T8511" t="s">
        <v>49288</v>
      </c>
      <c r="U8511" t="s">
        <v>56722</v>
      </c>
      <c r="W8511" t="s">
        <v>46064</v>
      </c>
      <c r="X8511" t="s">
        <v>47433</v>
      </c>
    </row>
    <row r="8512" spans="1:24">
      <c r="A8512">
        <f>HYPERLINK("https://www.philgeps.gov.ph/GEPSNONPILOT/Tender/SplashBidNoticeAbstractUI.aspx?menuIndex=3&amp;refID=7154024&amp;Result=3","7154024")</f>
        <v>0</v>
      </c>
      <c r="B8512" t="s">
        <v>2833</v>
      </c>
      <c r="C8512" t="s">
        <v>11900</v>
      </c>
      <c r="D8512" t="s">
        <v>19073</v>
      </c>
      <c r="E8512" t="s">
        <v>22303</v>
      </c>
      <c r="F8512" t="s">
        <v>32831</v>
      </c>
      <c r="G8512" t="s">
        <v>32838</v>
      </c>
      <c r="H8512" t="s">
        <v>32848</v>
      </c>
      <c r="I8512" t="s">
        <v>6526</v>
      </c>
      <c r="J8512" t="s">
        <v>38281</v>
      </c>
      <c r="K8512" t="s">
        <v>42730</v>
      </c>
      <c r="M8512" t="s">
        <v>46065</v>
      </c>
      <c r="N8512" t="s">
        <v>47424</v>
      </c>
      <c r="O8512" t="s">
        <v>47425</v>
      </c>
      <c r="P8512">
        <v>0</v>
      </c>
      <c r="Q8512">
        <v>0</v>
      </c>
      <c r="R8512" t="s">
        <v>47432</v>
      </c>
      <c r="S8512" t="s">
        <v>47597</v>
      </c>
      <c r="T8512" t="s">
        <v>49237</v>
      </c>
      <c r="U8512" t="s">
        <v>56723</v>
      </c>
      <c r="W8512" t="s">
        <v>46065</v>
      </c>
      <c r="X8512" t="s">
        <v>47433</v>
      </c>
    </row>
    <row r="8513" spans="1:24">
      <c r="A8513">
        <f>HYPERLINK("https://www.philgeps.gov.ph/GEPSNONPILOT/Tender/SplashBidNoticeAbstractUI.aspx?menuIndex=3&amp;refID=7153914&amp;Result=3","7153914")</f>
        <v>0</v>
      </c>
      <c r="B8513" t="s">
        <v>2834</v>
      </c>
      <c r="C8513" t="s">
        <v>11901</v>
      </c>
      <c r="D8513" t="s">
        <v>19030</v>
      </c>
      <c r="E8513" t="s">
        <v>26495</v>
      </c>
      <c r="F8513" t="s">
        <v>32831</v>
      </c>
      <c r="G8513" t="s">
        <v>32840</v>
      </c>
      <c r="H8513" t="s">
        <v>32848</v>
      </c>
      <c r="I8513" t="s">
        <v>7416</v>
      </c>
      <c r="J8513" t="s">
        <v>33415</v>
      </c>
      <c r="K8513" t="s">
        <v>42727</v>
      </c>
      <c r="M8513" t="s">
        <v>46066</v>
      </c>
      <c r="N8513" t="s">
        <v>47424</v>
      </c>
      <c r="O8513" t="s">
        <v>47425</v>
      </c>
      <c r="P8513">
        <v>0</v>
      </c>
      <c r="Q8513">
        <v>3</v>
      </c>
      <c r="R8513" t="s">
        <v>47432</v>
      </c>
      <c r="S8513" t="s">
        <v>47597</v>
      </c>
      <c r="T8513" t="s">
        <v>49166</v>
      </c>
      <c r="U8513" t="s">
        <v>56724</v>
      </c>
      <c r="W8513" t="s">
        <v>46066</v>
      </c>
      <c r="X8513" t="s">
        <v>47433</v>
      </c>
    </row>
    <row r="8514" spans="1:24">
      <c r="A8514">
        <f>HYPERLINK("https://www.philgeps.gov.ph/GEPSNONPILOT/Tender/SplashBidNoticeAbstractUI.aspx?menuIndex=3&amp;refID=7154043&amp;Result=3","7154043")</f>
        <v>0</v>
      </c>
      <c r="B8514" t="s">
        <v>2835</v>
      </c>
      <c r="C8514" t="s">
        <v>11902</v>
      </c>
      <c r="D8514" t="s">
        <v>19050</v>
      </c>
      <c r="E8514" t="s">
        <v>26496</v>
      </c>
      <c r="F8514" t="s">
        <v>32831</v>
      </c>
      <c r="G8514" t="s">
        <v>32839</v>
      </c>
      <c r="H8514" t="s">
        <v>32848</v>
      </c>
      <c r="I8514" t="s">
        <v>7416</v>
      </c>
      <c r="J8514" t="s">
        <v>38282</v>
      </c>
      <c r="K8514" t="s">
        <v>42726</v>
      </c>
      <c r="M8514" t="s">
        <v>46067</v>
      </c>
      <c r="N8514" t="s">
        <v>47424</v>
      </c>
      <c r="O8514" t="s">
        <v>47425</v>
      </c>
      <c r="P8514">
        <v>0</v>
      </c>
      <c r="Q8514">
        <v>0</v>
      </c>
      <c r="R8514" t="s">
        <v>47432</v>
      </c>
      <c r="S8514" t="s">
        <v>47597</v>
      </c>
      <c r="T8514" t="s">
        <v>49059</v>
      </c>
      <c r="U8514" t="s">
        <v>56725</v>
      </c>
      <c r="W8514" t="s">
        <v>46067</v>
      </c>
      <c r="X8514" t="s">
        <v>47433</v>
      </c>
    </row>
    <row r="8515" spans="1:24">
      <c r="A8515">
        <f>HYPERLINK("https://www.philgeps.gov.ph/GEPSNONPILOT/Tender/SplashBidNoticeAbstractUI.aspx?menuIndex=3&amp;refID=7154034&amp;Result=3","7154034")</f>
        <v>0</v>
      </c>
      <c r="B8515" t="s">
        <v>2232</v>
      </c>
      <c r="C8515" t="s">
        <v>11903</v>
      </c>
      <c r="D8515" t="s">
        <v>19062</v>
      </c>
      <c r="E8515" t="s">
        <v>26497</v>
      </c>
      <c r="F8515" t="s">
        <v>32831</v>
      </c>
      <c r="G8515" t="s">
        <v>32838</v>
      </c>
      <c r="H8515" t="s">
        <v>32848</v>
      </c>
      <c r="I8515" t="s">
        <v>32870</v>
      </c>
      <c r="J8515" t="s">
        <v>38283</v>
      </c>
      <c r="K8515" t="s">
        <v>42831</v>
      </c>
      <c r="M8515" t="s">
        <v>45413</v>
      </c>
      <c r="N8515" t="s">
        <v>47424</v>
      </c>
      <c r="O8515" t="s">
        <v>47425</v>
      </c>
      <c r="P8515">
        <v>0</v>
      </c>
      <c r="Q8515">
        <v>0</v>
      </c>
      <c r="R8515" t="s">
        <v>47432</v>
      </c>
      <c r="S8515" t="s">
        <v>47597</v>
      </c>
      <c r="T8515" t="s">
        <v>49214</v>
      </c>
      <c r="U8515" t="s">
        <v>54885</v>
      </c>
      <c r="W8515" t="s">
        <v>45413</v>
      </c>
      <c r="X8515" t="s">
        <v>47433</v>
      </c>
    </row>
    <row r="8516" spans="1:24">
      <c r="A8516">
        <f>HYPERLINK("https://www.philgeps.gov.ph/GEPSNONPILOT/Tender/SplashBidNoticeAbstractUI.aspx?menuIndex=3&amp;refID=7154041&amp;Result=3","7154041")</f>
        <v>0</v>
      </c>
      <c r="B8516" t="s">
        <v>674</v>
      </c>
      <c r="C8516" t="s">
        <v>11904</v>
      </c>
      <c r="D8516" t="s">
        <v>19058</v>
      </c>
      <c r="E8516" t="s">
        <v>26498</v>
      </c>
      <c r="F8516" t="s">
        <v>32831</v>
      </c>
      <c r="G8516" t="s">
        <v>32838</v>
      </c>
      <c r="H8516" t="s">
        <v>32848</v>
      </c>
      <c r="I8516" t="s">
        <v>32870</v>
      </c>
      <c r="J8516" t="s">
        <v>34149</v>
      </c>
      <c r="K8516" t="s">
        <v>42732</v>
      </c>
      <c r="M8516" t="s">
        <v>43693</v>
      </c>
      <c r="N8516" t="s">
        <v>47424</v>
      </c>
      <c r="O8516" t="s">
        <v>47425</v>
      </c>
      <c r="P8516">
        <v>0</v>
      </c>
      <c r="Q8516">
        <v>0</v>
      </c>
      <c r="R8516" t="s">
        <v>47432</v>
      </c>
      <c r="S8516" t="s">
        <v>47597</v>
      </c>
      <c r="T8516" t="s">
        <v>49237</v>
      </c>
      <c r="U8516" t="s">
        <v>56726</v>
      </c>
      <c r="W8516" t="s">
        <v>43693</v>
      </c>
      <c r="X8516" t="s">
        <v>47433</v>
      </c>
    </row>
    <row r="8517" spans="1:24">
      <c r="A8517">
        <f>HYPERLINK("https://www.philgeps.gov.ph/GEPSNONPILOT/Tender/SplashBidNoticeAbstractUI.aspx?menuIndex=3&amp;refID=7154009&amp;Result=3","7154009")</f>
        <v>0</v>
      </c>
      <c r="B8517" t="s">
        <v>2389</v>
      </c>
      <c r="C8517" t="s">
        <v>11905</v>
      </c>
      <c r="D8517" t="s">
        <v>19043</v>
      </c>
      <c r="E8517" t="s">
        <v>26499</v>
      </c>
      <c r="F8517" t="s">
        <v>32831</v>
      </c>
      <c r="G8517" t="s">
        <v>32841</v>
      </c>
      <c r="H8517" t="s">
        <v>32848</v>
      </c>
      <c r="I8517" t="s">
        <v>7416</v>
      </c>
      <c r="J8517" t="s">
        <v>38284</v>
      </c>
      <c r="K8517" t="s">
        <v>42748</v>
      </c>
      <c r="M8517" t="s">
        <v>45580</v>
      </c>
      <c r="N8517" t="s">
        <v>47424</v>
      </c>
      <c r="O8517" t="s">
        <v>47425</v>
      </c>
      <c r="P8517">
        <v>0</v>
      </c>
      <c r="Q8517">
        <v>0</v>
      </c>
      <c r="R8517" t="s">
        <v>47432</v>
      </c>
      <c r="S8517" t="s">
        <v>47597</v>
      </c>
      <c r="T8517" t="s">
        <v>49061</v>
      </c>
      <c r="U8517" t="s">
        <v>56727</v>
      </c>
      <c r="W8517" t="s">
        <v>45580</v>
      </c>
      <c r="X8517" t="s">
        <v>47433</v>
      </c>
    </row>
    <row r="8518" spans="1:24">
      <c r="A8518">
        <f>HYPERLINK("https://www.philgeps.gov.ph/GEPSNONPILOT/Tender/SplashBidNoticeAbstractUI.aspx?menuIndex=3&amp;refID=7154022&amp;Result=3","7154022")</f>
        <v>0</v>
      </c>
      <c r="B8518" t="s">
        <v>2836</v>
      </c>
      <c r="C8518" t="s">
        <v>11906</v>
      </c>
      <c r="D8518" t="s">
        <v>19061</v>
      </c>
      <c r="E8518" t="s">
        <v>26500</v>
      </c>
      <c r="F8518" t="s">
        <v>32831</v>
      </c>
      <c r="G8518" t="s">
        <v>32839</v>
      </c>
      <c r="H8518" t="s">
        <v>32848</v>
      </c>
      <c r="I8518" t="s">
        <v>7751</v>
      </c>
      <c r="J8518" t="s">
        <v>32985</v>
      </c>
      <c r="K8518" t="s">
        <v>42730</v>
      </c>
      <c r="M8518" t="s">
        <v>46068</v>
      </c>
      <c r="N8518" t="s">
        <v>47424</v>
      </c>
      <c r="O8518" t="s">
        <v>47425</v>
      </c>
      <c r="P8518">
        <v>0</v>
      </c>
      <c r="Q8518">
        <v>0</v>
      </c>
      <c r="R8518" t="s">
        <v>47432</v>
      </c>
      <c r="S8518" t="s">
        <v>47597</v>
      </c>
      <c r="T8518" t="s">
        <v>49123</v>
      </c>
      <c r="U8518" t="s">
        <v>56728</v>
      </c>
      <c r="W8518" t="s">
        <v>46068</v>
      </c>
      <c r="X8518" t="s">
        <v>47433</v>
      </c>
    </row>
    <row r="8519" spans="1:24">
      <c r="A8519">
        <f>HYPERLINK("https://www.philgeps.gov.ph/GEPSNONPILOT/Tender/SplashBidNoticeAbstractUI.aspx?menuIndex=3&amp;refID=7154008&amp;Result=3","7154008")</f>
        <v>0</v>
      </c>
      <c r="B8519" t="s">
        <v>2831</v>
      </c>
      <c r="C8519" t="s">
        <v>11907</v>
      </c>
      <c r="D8519" t="s">
        <v>19077</v>
      </c>
      <c r="E8519" t="s">
        <v>26501</v>
      </c>
      <c r="F8519" t="s">
        <v>32831</v>
      </c>
      <c r="G8519" t="s">
        <v>32839</v>
      </c>
      <c r="H8519" t="s">
        <v>32848</v>
      </c>
      <c r="I8519" t="s">
        <v>10805</v>
      </c>
      <c r="J8519" t="s">
        <v>33241</v>
      </c>
      <c r="K8519" t="s">
        <v>42729</v>
      </c>
      <c r="M8519" t="s">
        <v>46063</v>
      </c>
      <c r="N8519" t="s">
        <v>47424</v>
      </c>
      <c r="O8519" t="s">
        <v>47425</v>
      </c>
      <c r="P8519">
        <v>0</v>
      </c>
      <c r="Q8519">
        <v>6</v>
      </c>
      <c r="R8519" t="s">
        <v>47432</v>
      </c>
      <c r="S8519" t="s">
        <v>47597</v>
      </c>
      <c r="T8519" t="s">
        <v>49221</v>
      </c>
      <c r="U8519" t="s">
        <v>56729</v>
      </c>
      <c r="W8519" t="s">
        <v>46063</v>
      </c>
      <c r="X8519" t="s">
        <v>47433</v>
      </c>
    </row>
    <row r="8520" spans="1:24">
      <c r="A8520">
        <f>HYPERLINK("https://www.philgeps.gov.ph/GEPSNONPILOT/Tender/SplashBidNoticeAbstractUI.aspx?menuIndex=3&amp;refID=7154002&amp;Result=3","7154002")</f>
        <v>0</v>
      </c>
      <c r="B8520" t="s">
        <v>209</v>
      </c>
      <c r="C8520" t="s">
        <v>11908</v>
      </c>
      <c r="D8520" t="s">
        <v>19061</v>
      </c>
      <c r="E8520" t="s">
        <v>26502</v>
      </c>
      <c r="F8520" t="s">
        <v>32831</v>
      </c>
      <c r="G8520" t="s">
        <v>32839</v>
      </c>
      <c r="H8520" t="s">
        <v>32848</v>
      </c>
      <c r="I8520" t="s">
        <v>32860</v>
      </c>
      <c r="J8520" t="s">
        <v>38285</v>
      </c>
      <c r="K8520" t="s">
        <v>42730</v>
      </c>
      <c r="M8520" t="s">
        <v>43207</v>
      </c>
      <c r="N8520" t="s">
        <v>47424</v>
      </c>
      <c r="O8520" t="s">
        <v>47425</v>
      </c>
      <c r="P8520">
        <v>0</v>
      </c>
      <c r="Q8520">
        <v>1</v>
      </c>
      <c r="R8520" t="s">
        <v>47432</v>
      </c>
      <c r="S8520" t="s">
        <v>47597</v>
      </c>
      <c r="T8520" t="s">
        <v>49114</v>
      </c>
      <c r="U8520" t="s">
        <v>56730</v>
      </c>
      <c r="W8520" t="s">
        <v>43207</v>
      </c>
      <c r="X8520" t="s">
        <v>47433</v>
      </c>
    </row>
    <row r="8521" spans="1:24">
      <c r="A8521">
        <f>HYPERLINK("https://www.philgeps.gov.ph/GEPSNONPILOT/Tender/SplashBidNoticeAbstractUI.aspx?menuIndex=3&amp;refID=7154020&amp;Result=3","7154020")</f>
        <v>0</v>
      </c>
      <c r="B8521" t="s">
        <v>2108</v>
      </c>
      <c r="C8521" t="s">
        <v>11909</v>
      </c>
      <c r="D8521" t="s">
        <v>19031</v>
      </c>
      <c r="E8521" t="s">
        <v>26503</v>
      </c>
      <c r="F8521" t="s">
        <v>32831</v>
      </c>
      <c r="G8521" t="s">
        <v>32838</v>
      </c>
      <c r="H8521" t="s">
        <v>32848</v>
      </c>
      <c r="I8521" t="s">
        <v>32871</v>
      </c>
      <c r="J8521" t="s">
        <v>38286</v>
      </c>
      <c r="K8521" t="s">
        <v>42727</v>
      </c>
      <c r="M8521" t="s">
        <v>45282</v>
      </c>
      <c r="N8521" t="s">
        <v>47424</v>
      </c>
      <c r="O8521" t="s">
        <v>47425</v>
      </c>
      <c r="P8521">
        <v>0</v>
      </c>
      <c r="Q8521">
        <v>2</v>
      </c>
      <c r="R8521" t="s">
        <v>47432</v>
      </c>
      <c r="S8521" t="s">
        <v>47597</v>
      </c>
      <c r="T8521" t="s">
        <v>49056</v>
      </c>
      <c r="U8521" t="s">
        <v>56731</v>
      </c>
      <c r="W8521" t="s">
        <v>45282</v>
      </c>
      <c r="X8521" t="s">
        <v>47433</v>
      </c>
    </row>
    <row r="8522" spans="1:24">
      <c r="A8522">
        <f>HYPERLINK("https://www.philgeps.gov.ph/GEPSNONPILOT/Tender/SplashBidNoticeAbstractUI.aspx?menuIndex=3&amp;refID=7154016&amp;Result=3","7154016")</f>
        <v>0</v>
      </c>
      <c r="B8522" t="s">
        <v>2837</v>
      </c>
      <c r="C8522" t="s">
        <v>11910</v>
      </c>
      <c r="D8522" t="s">
        <v>19113</v>
      </c>
      <c r="E8522" t="s">
        <v>26504</v>
      </c>
      <c r="F8522" t="s">
        <v>32831</v>
      </c>
      <c r="G8522" t="s">
        <v>32839</v>
      </c>
      <c r="H8522" t="s">
        <v>32850</v>
      </c>
      <c r="I8522" t="s">
        <v>32863</v>
      </c>
      <c r="J8522" t="s">
        <v>38287</v>
      </c>
      <c r="K8522" t="s">
        <v>42775</v>
      </c>
      <c r="M8522" t="s">
        <v>46069</v>
      </c>
      <c r="N8522" t="s">
        <v>47424</v>
      </c>
      <c r="O8522" t="s">
        <v>47425</v>
      </c>
      <c r="P8522">
        <v>0</v>
      </c>
      <c r="Q8522">
        <v>1</v>
      </c>
      <c r="R8522" t="s">
        <v>47432</v>
      </c>
      <c r="S8522" t="s">
        <v>47597</v>
      </c>
      <c r="T8522" t="s">
        <v>49319</v>
      </c>
      <c r="U8522" t="s">
        <v>56732</v>
      </c>
      <c r="V8522" t="s">
        <v>63577</v>
      </c>
      <c r="W8522" t="s">
        <v>64524</v>
      </c>
      <c r="X8522" t="s">
        <v>47433</v>
      </c>
    </row>
    <row r="8523" spans="1:24">
      <c r="A8523">
        <f>HYPERLINK("https://www.philgeps.gov.ph/GEPSNONPILOT/Tender/SplashBidNoticeAbstractUI.aspx?menuIndex=3&amp;refID=7154089&amp;Result=3","7154089")</f>
        <v>0</v>
      </c>
      <c r="B8523" t="s">
        <v>1291</v>
      </c>
      <c r="C8523" t="s">
        <v>11911</v>
      </c>
      <c r="D8523" t="s">
        <v>19023</v>
      </c>
      <c r="E8523" t="s">
        <v>26505</v>
      </c>
      <c r="F8523" t="s">
        <v>32831</v>
      </c>
      <c r="G8523" t="s">
        <v>32839</v>
      </c>
      <c r="H8523" t="s">
        <v>32849</v>
      </c>
      <c r="I8523" t="s">
        <v>4177</v>
      </c>
      <c r="J8523" t="s">
        <v>38288</v>
      </c>
      <c r="K8523" t="s">
        <v>42745</v>
      </c>
      <c r="M8523" t="s">
        <v>44361</v>
      </c>
      <c r="N8523" t="s">
        <v>47424</v>
      </c>
      <c r="O8523" t="s">
        <v>47425</v>
      </c>
      <c r="P8523">
        <v>0</v>
      </c>
      <c r="Q8523">
        <v>2</v>
      </c>
      <c r="R8523" t="s">
        <v>47432</v>
      </c>
      <c r="S8523" t="s">
        <v>47597</v>
      </c>
      <c r="T8523" t="s">
        <v>49129</v>
      </c>
      <c r="U8523" t="s">
        <v>56733</v>
      </c>
      <c r="W8523" t="s">
        <v>44361</v>
      </c>
      <c r="X8523" t="s">
        <v>47433</v>
      </c>
    </row>
    <row r="8524" spans="1:24">
      <c r="A8524">
        <f>HYPERLINK("https://www.philgeps.gov.ph/GEPSNONPILOT/Tender/SplashBidNoticeAbstractUI.aspx?menuIndex=3&amp;refID=7154000&amp;Result=3","7154000")</f>
        <v>0</v>
      </c>
      <c r="B8524" t="s">
        <v>67</v>
      </c>
      <c r="C8524" t="s">
        <v>11912</v>
      </c>
      <c r="D8524" t="s">
        <v>19079</v>
      </c>
      <c r="E8524" t="s">
        <v>26506</v>
      </c>
      <c r="F8524" t="s">
        <v>32831</v>
      </c>
      <c r="G8524" t="s">
        <v>32839</v>
      </c>
      <c r="H8524" t="s">
        <v>32848</v>
      </c>
      <c r="I8524" t="s">
        <v>32886</v>
      </c>
      <c r="J8524" t="s">
        <v>34921</v>
      </c>
      <c r="K8524" t="s">
        <v>42729</v>
      </c>
      <c r="M8524" t="s">
        <v>44711</v>
      </c>
      <c r="N8524" t="s">
        <v>47424</v>
      </c>
      <c r="O8524" t="s">
        <v>47425</v>
      </c>
      <c r="P8524">
        <v>0</v>
      </c>
      <c r="Q8524">
        <v>5</v>
      </c>
      <c r="R8524" t="s">
        <v>47432</v>
      </c>
      <c r="S8524" t="s">
        <v>47597</v>
      </c>
      <c r="T8524" t="s">
        <v>49338</v>
      </c>
      <c r="U8524" t="s">
        <v>56734</v>
      </c>
      <c r="W8524" t="s">
        <v>44711</v>
      </c>
      <c r="X8524" t="s">
        <v>47433</v>
      </c>
    </row>
    <row r="8525" spans="1:24">
      <c r="A8525">
        <f>HYPERLINK("https://www.philgeps.gov.ph/GEPSNONPILOT/Tender/SplashBidNoticeAbstractUI.aspx?menuIndex=3&amp;refID=7154087&amp;Result=3","7154087")</f>
        <v>0</v>
      </c>
      <c r="B8525" t="s">
        <v>2838</v>
      </c>
      <c r="C8525" t="s">
        <v>11913</v>
      </c>
      <c r="D8525" t="s">
        <v>19047</v>
      </c>
      <c r="E8525" t="s">
        <v>26507</v>
      </c>
      <c r="F8525" t="s">
        <v>32831</v>
      </c>
      <c r="G8525" t="s">
        <v>32839</v>
      </c>
      <c r="H8525" t="s">
        <v>32849</v>
      </c>
      <c r="I8525" t="s">
        <v>4177</v>
      </c>
      <c r="J8525" t="s">
        <v>38289</v>
      </c>
      <c r="K8525" t="s">
        <v>42763</v>
      </c>
      <c r="M8525" t="s">
        <v>46070</v>
      </c>
      <c r="N8525" t="s">
        <v>47424</v>
      </c>
      <c r="O8525" t="s">
        <v>47425</v>
      </c>
      <c r="P8525">
        <v>0</v>
      </c>
      <c r="Q8525">
        <v>1</v>
      </c>
      <c r="R8525" t="s">
        <v>47432</v>
      </c>
      <c r="S8525" t="s">
        <v>47597</v>
      </c>
      <c r="T8525" t="s">
        <v>49377</v>
      </c>
      <c r="U8525" t="s">
        <v>56735</v>
      </c>
      <c r="W8525" t="s">
        <v>46070</v>
      </c>
      <c r="X8525" t="s">
        <v>47433</v>
      </c>
    </row>
    <row r="8526" spans="1:24">
      <c r="A8526">
        <f>HYPERLINK("https://www.philgeps.gov.ph/GEPSNONPILOT/Tender/SplashBidNoticeAbstractUI.aspx?menuIndex=3&amp;refID=7154019&amp;Result=3","7154019")</f>
        <v>0</v>
      </c>
      <c r="B8526" t="s">
        <v>2012</v>
      </c>
      <c r="C8526" t="s">
        <v>10499</v>
      </c>
      <c r="D8526" t="s">
        <v>19095</v>
      </c>
      <c r="E8526" t="s">
        <v>26508</v>
      </c>
      <c r="F8526" t="s">
        <v>32831</v>
      </c>
      <c r="G8526" t="s">
        <v>32839</v>
      </c>
      <c r="H8526" t="s">
        <v>32848</v>
      </c>
      <c r="I8526" t="s">
        <v>4776</v>
      </c>
      <c r="J8526" t="s">
        <v>38290</v>
      </c>
      <c r="K8526" t="s">
        <v>42732</v>
      </c>
      <c r="L8526" t="s">
        <v>2012</v>
      </c>
      <c r="M8526" t="s">
        <v>45179</v>
      </c>
      <c r="N8526" t="s">
        <v>47424</v>
      </c>
      <c r="O8526" t="s">
        <v>47425</v>
      </c>
      <c r="P8526">
        <v>0</v>
      </c>
      <c r="Q8526">
        <v>4</v>
      </c>
      <c r="R8526" t="s">
        <v>47432</v>
      </c>
      <c r="S8526" t="s">
        <v>47597</v>
      </c>
      <c r="T8526" t="s">
        <v>49515</v>
      </c>
      <c r="U8526" t="s">
        <v>56718</v>
      </c>
      <c r="W8526" t="s">
        <v>45179</v>
      </c>
      <c r="X8526" t="s">
        <v>47433</v>
      </c>
    </row>
    <row r="8527" spans="1:24">
      <c r="A8527">
        <f>HYPERLINK("https://www.philgeps.gov.ph/GEPSNONPILOT/Tender/SplashBidNoticeAbstractUI.aspx?menuIndex=3&amp;refID=7154080&amp;Result=3","7154080")</f>
        <v>0</v>
      </c>
      <c r="B8527" t="s">
        <v>2096</v>
      </c>
      <c r="C8527" t="s">
        <v>11914</v>
      </c>
      <c r="D8527" t="s">
        <v>19023</v>
      </c>
      <c r="E8527" t="s">
        <v>20152</v>
      </c>
      <c r="F8527" t="s">
        <v>32831</v>
      </c>
      <c r="G8527" t="s">
        <v>32839</v>
      </c>
      <c r="H8527" t="s">
        <v>32848</v>
      </c>
      <c r="I8527" t="s">
        <v>7416</v>
      </c>
      <c r="J8527" t="s">
        <v>32980</v>
      </c>
      <c r="K8527" t="s">
        <v>42748</v>
      </c>
      <c r="M8527" t="s">
        <v>45270</v>
      </c>
      <c r="N8527" t="s">
        <v>47424</v>
      </c>
      <c r="O8527" t="s">
        <v>47425</v>
      </c>
      <c r="P8527">
        <v>0</v>
      </c>
      <c r="Q8527">
        <v>0</v>
      </c>
      <c r="R8527" t="s">
        <v>47432</v>
      </c>
      <c r="S8527" t="s">
        <v>47597</v>
      </c>
      <c r="T8527" t="s">
        <v>49114</v>
      </c>
      <c r="U8527" t="s">
        <v>54548</v>
      </c>
      <c r="W8527" t="s">
        <v>64499</v>
      </c>
      <c r="X8527" t="s">
        <v>47433</v>
      </c>
    </row>
    <row r="8528" spans="1:24">
      <c r="A8528">
        <f>HYPERLINK("https://www.philgeps.gov.ph/GEPSNONPILOT/Tender/SplashBidNoticeAbstractUI.aspx?menuIndex=3&amp;refID=7154079&amp;Result=3","7154079")</f>
        <v>0</v>
      </c>
      <c r="B8528" t="s">
        <v>2636</v>
      </c>
      <c r="C8528" t="s">
        <v>11915</v>
      </c>
      <c r="D8528" t="s">
        <v>19037</v>
      </c>
      <c r="E8528" t="s">
        <v>26509</v>
      </c>
      <c r="F8528" t="s">
        <v>32831</v>
      </c>
      <c r="G8528" t="s">
        <v>32839</v>
      </c>
      <c r="H8528" t="s">
        <v>32848</v>
      </c>
      <c r="I8528" t="s">
        <v>7416</v>
      </c>
      <c r="J8528" t="s">
        <v>38291</v>
      </c>
      <c r="K8528" t="s">
        <v>42731</v>
      </c>
      <c r="M8528" t="s">
        <v>45965</v>
      </c>
      <c r="N8528" t="s">
        <v>47424</v>
      </c>
      <c r="O8528" t="s">
        <v>47425</v>
      </c>
      <c r="P8528">
        <v>0</v>
      </c>
      <c r="Q8528">
        <v>0</v>
      </c>
      <c r="R8528" t="s">
        <v>47432</v>
      </c>
      <c r="S8528" t="s">
        <v>47597</v>
      </c>
      <c r="T8528" t="s">
        <v>49070</v>
      </c>
      <c r="U8528" t="s">
        <v>56736</v>
      </c>
      <c r="W8528" t="s">
        <v>45965</v>
      </c>
      <c r="X8528" t="s">
        <v>47433</v>
      </c>
    </row>
    <row r="8529" spans="1:24">
      <c r="A8529">
        <f>HYPERLINK("https://www.philgeps.gov.ph/GEPSNONPILOT/Tender/SplashBidNoticeAbstractUI.aspx?menuIndex=3&amp;refID=7154072&amp;Result=3","7154072")</f>
        <v>0</v>
      </c>
      <c r="B8529" t="s">
        <v>131</v>
      </c>
      <c r="C8529" t="s">
        <v>11916</v>
      </c>
      <c r="D8529" t="s">
        <v>19064</v>
      </c>
      <c r="E8529" t="s">
        <v>26510</v>
      </c>
      <c r="F8529" t="s">
        <v>32831</v>
      </c>
      <c r="G8529" t="s">
        <v>32840</v>
      </c>
      <c r="H8529" t="s">
        <v>32848</v>
      </c>
      <c r="I8529" t="s">
        <v>32860</v>
      </c>
      <c r="J8529" t="s">
        <v>38292</v>
      </c>
      <c r="K8529" t="s">
        <v>42730</v>
      </c>
      <c r="M8529" t="s">
        <v>43128</v>
      </c>
      <c r="N8529" t="s">
        <v>47424</v>
      </c>
      <c r="O8529" t="s">
        <v>47425</v>
      </c>
      <c r="P8529">
        <v>0</v>
      </c>
      <c r="Q8529">
        <v>0</v>
      </c>
      <c r="R8529" t="s">
        <v>47432</v>
      </c>
      <c r="S8529" t="s">
        <v>47597</v>
      </c>
      <c r="T8529" t="s">
        <v>49114</v>
      </c>
      <c r="U8529" t="s">
        <v>49863</v>
      </c>
      <c r="W8529" t="s">
        <v>43128</v>
      </c>
      <c r="X8529" t="s">
        <v>47433</v>
      </c>
    </row>
    <row r="8530" spans="1:24">
      <c r="A8530">
        <f>HYPERLINK("https://www.philgeps.gov.ph/GEPSNONPILOT/Tender/SplashBidNoticeAbstractUI.aspx?menuIndex=3&amp;refID=7154084&amp;Result=3","7154084")</f>
        <v>0</v>
      </c>
      <c r="B8530" t="s">
        <v>345</v>
      </c>
      <c r="C8530" t="s">
        <v>11917</v>
      </c>
      <c r="D8530" t="s">
        <v>19074</v>
      </c>
      <c r="E8530" t="s">
        <v>26511</v>
      </c>
      <c r="F8530" t="s">
        <v>32831</v>
      </c>
      <c r="G8530" t="s">
        <v>32838</v>
      </c>
      <c r="H8530" t="s">
        <v>32850</v>
      </c>
      <c r="I8530" t="s">
        <v>4340</v>
      </c>
      <c r="J8530" t="s">
        <v>35203</v>
      </c>
      <c r="K8530" t="s">
        <v>42731</v>
      </c>
      <c r="M8530" t="s">
        <v>44082</v>
      </c>
      <c r="N8530" t="s">
        <v>47424</v>
      </c>
      <c r="O8530" t="s">
        <v>47425</v>
      </c>
      <c r="P8530">
        <v>0</v>
      </c>
      <c r="Q8530">
        <v>1</v>
      </c>
      <c r="R8530" t="s">
        <v>47432</v>
      </c>
      <c r="S8530" t="s">
        <v>47597</v>
      </c>
      <c r="T8530" t="s">
        <v>49141</v>
      </c>
      <c r="U8530" t="s">
        <v>56737</v>
      </c>
      <c r="W8530" t="s">
        <v>44082</v>
      </c>
      <c r="X8530" t="s">
        <v>47433</v>
      </c>
    </row>
    <row r="8531" spans="1:24">
      <c r="A8531">
        <f>HYPERLINK("https://www.philgeps.gov.ph/GEPSNONPILOT/Tender/SplashBidNoticeAbstractUI.aspx?menuIndex=3&amp;refID=7154092&amp;Result=3","7154092")</f>
        <v>0</v>
      </c>
      <c r="B8531" t="s">
        <v>2820</v>
      </c>
      <c r="C8531" t="s">
        <v>11918</v>
      </c>
      <c r="D8531" t="s">
        <v>19017</v>
      </c>
      <c r="E8531" t="s">
        <v>24916</v>
      </c>
      <c r="F8531" t="s">
        <v>32831</v>
      </c>
      <c r="G8531" t="s">
        <v>32838</v>
      </c>
      <c r="H8531" t="s">
        <v>32848</v>
      </c>
      <c r="I8531" t="s">
        <v>4487</v>
      </c>
      <c r="J8531" t="s">
        <v>32978</v>
      </c>
      <c r="K8531" t="s">
        <v>42751</v>
      </c>
      <c r="M8531" t="s">
        <v>46050</v>
      </c>
      <c r="N8531" t="s">
        <v>47424</v>
      </c>
      <c r="O8531" t="s">
        <v>47425</v>
      </c>
      <c r="P8531">
        <v>0</v>
      </c>
      <c r="Q8531">
        <v>20</v>
      </c>
      <c r="R8531" t="s">
        <v>47432</v>
      </c>
      <c r="S8531" t="s">
        <v>47597</v>
      </c>
      <c r="T8531" t="s">
        <v>49497</v>
      </c>
      <c r="U8531" t="s">
        <v>56738</v>
      </c>
      <c r="W8531" t="s">
        <v>46050</v>
      </c>
      <c r="X8531" t="s">
        <v>47433</v>
      </c>
    </row>
    <row r="8532" spans="1:24">
      <c r="A8532">
        <f>HYPERLINK("https://www.philgeps.gov.ph/GEPSNONPILOT/Tender/SplashBidNoticeAbstractUI.aspx?menuIndex=3&amp;refID=7154071&amp;Result=3","7154071")</f>
        <v>0</v>
      </c>
      <c r="B8532" t="s">
        <v>2839</v>
      </c>
      <c r="C8532" t="s">
        <v>11919</v>
      </c>
      <c r="D8532" t="s">
        <v>19023</v>
      </c>
      <c r="E8532" t="s">
        <v>26512</v>
      </c>
      <c r="F8532" t="s">
        <v>32831</v>
      </c>
      <c r="G8532" t="s">
        <v>32839</v>
      </c>
      <c r="H8532" t="s">
        <v>32848</v>
      </c>
      <c r="I8532" t="s">
        <v>32867</v>
      </c>
      <c r="J8532" t="s">
        <v>38293</v>
      </c>
      <c r="K8532" t="s">
        <v>42763</v>
      </c>
      <c r="L8532" t="s">
        <v>2839</v>
      </c>
      <c r="M8532" t="s">
        <v>46071</v>
      </c>
      <c r="N8532" t="s">
        <v>47424</v>
      </c>
      <c r="O8532" t="s">
        <v>47425</v>
      </c>
      <c r="P8532">
        <v>0</v>
      </c>
      <c r="Q8532">
        <v>9</v>
      </c>
      <c r="R8532" t="s">
        <v>47432</v>
      </c>
      <c r="S8532" t="s">
        <v>47597</v>
      </c>
      <c r="T8532" t="s">
        <v>49112</v>
      </c>
      <c r="U8532" t="s">
        <v>56739</v>
      </c>
      <c r="W8532" t="s">
        <v>46071</v>
      </c>
      <c r="X8532" t="s">
        <v>47433</v>
      </c>
    </row>
    <row r="8533" spans="1:24">
      <c r="A8533">
        <f>HYPERLINK("https://www.philgeps.gov.ph/GEPSNONPILOT/Tender/SplashBidNoticeAbstractUI.aspx?menuIndex=3&amp;refID=7154069&amp;Result=3","7154069")</f>
        <v>0</v>
      </c>
      <c r="B8533" t="s">
        <v>2840</v>
      </c>
      <c r="C8533" t="s">
        <v>11920</v>
      </c>
      <c r="D8533" t="s">
        <v>19020</v>
      </c>
      <c r="E8533" t="s">
        <v>26513</v>
      </c>
      <c r="F8533" t="s">
        <v>32831</v>
      </c>
      <c r="G8533" t="s">
        <v>32839</v>
      </c>
      <c r="H8533" t="s">
        <v>32849</v>
      </c>
      <c r="I8533" t="s">
        <v>4177</v>
      </c>
      <c r="J8533" t="s">
        <v>32978</v>
      </c>
      <c r="K8533" t="s">
        <v>42791</v>
      </c>
      <c r="M8533" t="s">
        <v>46072</v>
      </c>
      <c r="N8533" t="s">
        <v>47424</v>
      </c>
      <c r="O8533" t="s">
        <v>47425</v>
      </c>
      <c r="P8533">
        <v>0</v>
      </c>
      <c r="Q8533">
        <v>1</v>
      </c>
      <c r="R8533" t="s">
        <v>47432</v>
      </c>
      <c r="S8533" t="s">
        <v>47597</v>
      </c>
      <c r="T8533" t="s">
        <v>49063</v>
      </c>
      <c r="U8533" t="s">
        <v>56740</v>
      </c>
      <c r="V8533" t="s">
        <v>63578</v>
      </c>
      <c r="W8533" t="s">
        <v>46072</v>
      </c>
      <c r="X8533" t="s">
        <v>47433</v>
      </c>
    </row>
    <row r="8534" spans="1:24">
      <c r="A8534">
        <f>HYPERLINK("https://www.philgeps.gov.ph/GEPSNONPILOT/Tender/SplashBidNoticeAbstractUI.aspx?menuIndex=3&amp;refID=7154141&amp;Result=3","7154141")</f>
        <v>0</v>
      </c>
      <c r="B8534" t="s">
        <v>1130</v>
      </c>
      <c r="C8534" t="s">
        <v>11921</v>
      </c>
      <c r="D8534" t="s">
        <v>19045</v>
      </c>
      <c r="E8534" t="s">
        <v>26514</v>
      </c>
      <c r="F8534" t="s">
        <v>32831</v>
      </c>
      <c r="G8534" t="s">
        <v>32839</v>
      </c>
      <c r="H8534" t="s">
        <v>32849</v>
      </c>
      <c r="I8534" t="s">
        <v>4177</v>
      </c>
      <c r="J8534" t="s">
        <v>38294</v>
      </c>
      <c r="K8534" t="s">
        <v>42729</v>
      </c>
      <c r="M8534" t="s">
        <v>45442</v>
      </c>
      <c r="N8534" t="s">
        <v>47424</v>
      </c>
      <c r="O8534" t="s">
        <v>47425</v>
      </c>
      <c r="P8534">
        <v>0</v>
      </c>
      <c r="Q8534">
        <v>0</v>
      </c>
      <c r="R8534" t="s">
        <v>47432</v>
      </c>
      <c r="S8534" t="s">
        <v>47597</v>
      </c>
      <c r="T8534" t="s">
        <v>49181</v>
      </c>
      <c r="U8534" t="s">
        <v>56695</v>
      </c>
      <c r="V8534" t="s">
        <v>63325</v>
      </c>
      <c r="W8534" t="s">
        <v>45442</v>
      </c>
      <c r="X8534" t="s">
        <v>47433</v>
      </c>
    </row>
    <row r="8535" spans="1:24">
      <c r="A8535">
        <f>HYPERLINK("https://www.philgeps.gov.ph/GEPSNONPILOT/Tender/SplashBidNoticeAbstractUI.aspx?menuIndex=3&amp;refID=7154007&amp;Result=3","7154007")</f>
        <v>0</v>
      </c>
      <c r="B8535" t="s">
        <v>2232</v>
      </c>
      <c r="C8535" t="s">
        <v>11922</v>
      </c>
      <c r="D8535" t="s">
        <v>19062</v>
      </c>
      <c r="E8535" t="s">
        <v>26515</v>
      </c>
      <c r="F8535" t="s">
        <v>32831</v>
      </c>
      <c r="G8535" t="s">
        <v>32838</v>
      </c>
      <c r="H8535" t="s">
        <v>32848</v>
      </c>
      <c r="I8535" t="s">
        <v>32870</v>
      </c>
      <c r="J8535" t="s">
        <v>38295</v>
      </c>
      <c r="K8535" t="s">
        <v>42831</v>
      </c>
      <c r="M8535" t="s">
        <v>45413</v>
      </c>
      <c r="N8535" t="s">
        <v>47424</v>
      </c>
      <c r="O8535" t="s">
        <v>47425</v>
      </c>
      <c r="P8535">
        <v>0</v>
      </c>
      <c r="Q8535">
        <v>0</v>
      </c>
      <c r="R8535" t="s">
        <v>47432</v>
      </c>
      <c r="S8535" t="s">
        <v>47597</v>
      </c>
      <c r="T8535" t="s">
        <v>49214</v>
      </c>
      <c r="U8535" t="s">
        <v>54885</v>
      </c>
      <c r="W8535" t="s">
        <v>45413</v>
      </c>
      <c r="X8535" t="s">
        <v>47433</v>
      </c>
    </row>
    <row r="8536" spans="1:24">
      <c r="A8536">
        <f>HYPERLINK("https://www.philgeps.gov.ph/GEPSNONPILOT/Tender/SplashBidNoticeAbstractUI.aspx?menuIndex=3&amp;refID=7154070&amp;Result=3","7154070")</f>
        <v>0</v>
      </c>
      <c r="B8536" t="s">
        <v>2429</v>
      </c>
      <c r="C8536" t="s">
        <v>11923</v>
      </c>
      <c r="D8536" t="s">
        <v>19064</v>
      </c>
      <c r="E8536" t="s">
        <v>26516</v>
      </c>
      <c r="F8536" t="s">
        <v>32831</v>
      </c>
      <c r="G8536" t="s">
        <v>32839</v>
      </c>
      <c r="H8536" t="s">
        <v>32848</v>
      </c>
      <c r="I8536" t="s">
        <v>32885</v>
      </c>
      <c r="J8536" t="s">
        <v>33595</v>
      </c>
      <c r="K8536" t="s">
        <v>42731</v>
      </c>
      <c r="M8536" t="s">
        <v>45626</v>
      </c>
      <c r="N8536" t="s">
        <v>47424</v>
      </c>
      <c r="O8536" t="s">
        <v>47425</v>
      </c>
      <c r="P8536">
        <v>0</v>
      </c>
      <c r="Q8536">
        <v>0</v>
      </c>
      <c r="R8536" t="s">
        <v>47432</v>
      </c>
      <c r="S8536" t="s">
        <v>47597</v>
      </c>
      <c r="T8536" t="s">
        <v>49055</v>
      </c>
      <c r="U8536" t="s">
        <v>56741</v>
      </c>
      <c r="W8536" t="s">
        <v>45626</v>
      </c>
      <c r="X8536" t="s">
        <v>47433</v>
      </c>
    </row>
    <row r="8537" spans="1:24">
      <c r="A8537">
        <f>HYPERLINK("https://www.philgeps.gov.ph/GEPSNONPILOT/Tender/SplashBidNoticeAbstractUI.aspx?menuIndex=3&amp;refID=7154133&amp;Result=3","7154133")</f>
        <v>0</v>
      </c>
      <c r="B8537" t="s">
        <v>674</v>
      </c>
      <c r="C8537" t="s">
        <v>11924</v>
      </c>
      <c r="D8537" t="s">
        <v>19058</v>
      </c>
      <c r="E8537" t="s">
        <v>26517</v>
      </c>
      <c r="F8537" t="s">
        <v>32831</v>
      </c>
      <c r="G8537" t="s">
        <v>32838</v>
      </c>
      <c r="H8537" t="s">
        <v>32848</v>
      </c>
      <c r="I8537" t="s">
        <v>32870</v>
      </c>
      <c r="J8537" t="s">
        <v>38296</v>
      </c>
      <c r="K8537" t="s">
        <v>42732</v>
      </c>
      <c r="M8537" t="s">
        <v>43693</v>
      </c>
      <c r="N8537" t="s">
        <v>47424</v>
      </c>
      <c r="O8537" t="s">
        <v>47425</v>
      </c>
      <c r="P8537">
        <v>0</v>
      </c>
      <c r="Q8537">
        <v>0</v>
      </c>
      <c r="R8537" t="s">
        <v>47432</v>
      </c>
      <c r="S8537" t="s">
        <v>47597</v>
      </c>
      <c r="T8537" t="s">
        <v>49237</v>
      </c>
      <c r="U8537" t="s">
        <v>56742</v>
      </c>
      <c r="W8537" t="s">
        <v>43693</v>
      </c>
      <c r="X8537" t="s">
        <v>47433</v>
      </c>
    </row>
    <row r="8538" spans="1:24">
      <c r="A8538">
        <f>HYPERLINK("https://www.philgeps.gov.ph/GEPSNONPILOT/Tender/SplashBidNoticeAbstractUI.aspx?menuIndex=3&amp;refID=7154078&amp;Result=3","7154078")</f>
        <v>0</v>
      </c>
      <c r="B8538" t="s">
        <v>2833</v>
      </c>
      <c r="C8538" t="s">
        <v>11925</v>
      </c>
      <c r="D8538" t="s">
        <v>19073</v>
      </c>
      <c r="E8538" t="s">
        <v>22236</v>
      </c>
      <c r="F8538" t="s">
        <v>32831</v>
      </c>
      <c r="G8538" t="s">
        <v>32838</v>
      </c>
      <c r="H8538" t="s">
        <v>32848</v>
      </c>
      <c r="I8538" t="s">
        <v>6526</v>
      </c>
      <c r="J8538" t="s">
        <v>33364</v>
      </c>
      <c r="K8538" t="s">
        <v>42730</v>
      </c>
      <c r="M8538" t="s">
        <v>46065</v>
      </c>
      <c r="N8538" t="s">
        <v>47424</v>
      </c>
      <c r="O8538" t="s">
        <v>47425</v>
      </c>
      <c r="Q8538">
        <v>0</v>
      </c>
      <c r="R8538" t="s">
        <v>47432</v>
      </c>
      <c r="S8538" t="s">
        <v>47611</v>
      </c>
      <c r="T8538" t="s">
        <v>49237</v>
      </c>
      <c r="U8538" t="s">
        <v>56723</v>
      </c>
      <c r="W8538" t="s">
        <v>46065</v>
      </c>
      <c r="X8538" t="s">
        <v>47433</v>
      </c>
    </row>
    <row r="8539" spans="1:24">
      <c r="A8539">
        <f>HYPERLINK("https://www.philgeps.gov.ph/GEPSNONPILOT/Tender/SplashBidNoticeAbstractUI.aspx?menuIndex=3&amp;refID=7154140&amp;Result=3","7154140")</f>
        <v>0</v>
      </c>
      <c r="B8539" t="s">
        <v>2480</v>
      </c>
      <c r="C8539" t="s">
        <v>5509</v>
      </c>
      <c r="D8539" t="s">
        <v>19075</v>
      </c>
      <c r="E8539" t="s">
        <v>26518</v>
      </c>
      <c r="F8539" t="s">
        <v>32831</v>
      </c>
      <c r="G8539" t="s">
        <v>32838</v>
      </c>
      <c r="H8539" t="s">
        <v>32848</v>
      </c>
      <c r="I8539" t="s">
        <v>4438</v>
      </c>
      <c r="J8539" t="s">
        <v>33133</v>
      </c>
      <c r="K8539" t="s">
        <v>42732</v>
      </c>
      <c r="M8539" t="s">
        <v>45682</v>
      </c>
      <c r="N8539" t="s">
        <v>47424</v>
      </c>
      <c r="O8539" t="s">
        <v>47425</v>
      </c>
      <c r="P8539">
        <v>0</v>
      </c>
      <c r="Q8539">
        <v>1</v>
      </c>
      <c r="R8539" t="s">
        <v>47432</v>
      </c>
      <c r="S8539" t="s">
        <v>47597</v>
      </c>
      <c r="T8539" t="s">
        <v>49123</v>
      </c>
      <c r="U8539" t="s">
        <v>56743</v>
      </c>
      <c r="W8539" t="s">
        <v>45682</v>
      </c>
      <c r="X8539" t="s">
        <v>47433</v>
      </c>
    </row>
    <row r="8540" spans="1:24">
      <c r="A8540">
        <f>HYPERLINK("https://www.philgeps.gov.ph/GEPSNONPILOT/Tender/SplashBidNoticeAbstractUI.aspx?menuIndex=3&amp;refID=7154125&amp;Result=3","7154125")</f>
        <v>0</v>
      </c>
      <c r="B8540" t="s">
        <v>2517</v>
      </c>
      <c r="C8540" t="s">
        <v>11926</v>
      </c>
      <c r="D8540" t="s">
        <v>19017</v>
      </c>
      <c r="E8540" t="s">
        <v>26519</v>
      </c>
      <c r="F8540" t="s">
        <v>32831</v>
      </c>
      <c r="G8540" t="s">
        <v>32838</v>
      </c>
      <c r="H8540" t="s">
        <v>32848</v>
      </c>
      <c r="I8540" t="s">
        <v>7416</v>
      </c>
      <c r="J8540" t="s">
        <v>38297</v>
      </c>
      <c r="K8540" t="s">
        <v>42727</v>
      </c>
      <c r="M8540" t="s">
        <v>45725</v>
      </c>
      <c r="N8540" t="s">
        <v>47424</v>
      </c>
      <c r="O8540" t="s">
        <v>47425</v>
      </c>
      <c r="P8540">
        <v>0</v>
      </c>
      <c r="Q8540">
        <v>2</v>
      </c>
      <c r="R8540" t="s">
        <v>47432</v>
      </c>
      <c r="S8540" t="s">
        <v>47597</v>
      </c>
      <c r="T8540" t="s">
        <v>49237</v>
      </c>
      <c r="U8540" t="s">
        <v>56744</v>
      </c>
      <c r="W8540" t="s">
        <v>45725</v>
      </c>
      <c r="X8540" t="s">
        <v>47433</v>
      </c>
    </row>
    <row r="8541" spans="1:24">
      <c r="A8541">
        <f>HYPERLINK("https://www.philgeps.gov.ph/GEPSNONPILOT/Tender/SplashBidNoticeAbstractUI.aspx?menuIndex=3&amp;refID=7154081&amp;Result=3","7154081")</f>
        <v>0</v>
      </c>
      <c r="B8541" t="s">
        <v>2841</v>
      </c>
      <c r="C8541" t="s">
        <v>11927</v>
      </c>
      <c r="E8541" t="s">
        <v>26520</v>
      </c>
      <c r="F8541" t="s">
        <v>32831</v>
      </c>
      <c r="G8541" t="s">
        <v>32844</v>
      </c>
      <c r="H8541" t="s">
        <v>14069</v>
      </c>
      <c r="I8541" t="s">
        <v>14069</v>
      </c>
      <c r="J8541" t="s">
        <v>38298</v>
      </c>
      <c r="K8541" t="s">
        <v>42732</v>
      </c>
      <c r="M8541" t="s">
        <v>46073</v>
      </c>
      <c r="N8541" t="s">
        <v>47424</v>
      </c>
      <c r="O8541" t="s">
        <v>47425</v>
      </c>
      <c r="P8541">
        <v>0</v>
      </c>
      <c r="Q8541">
        <v>4</v>
      </c>
      <c r="R8541" t="s">
        <v>47432</v>
      </c>
      <c r="S8541" t="s">
        <v>47597</v>
      </c>
      <c r="T8541" t="s">
        <v>49516</v>
      </c>
      <c r="U8541" t="s">
        <v>56745</v>
      </c>
      <c r="W8541" t="s">
        <v>46073</v>
      </c>
      <c r="X8541" t="s">
        <v>47433</v>
      </c>
    </row>
    <row r="8542" spans="1:24">
      <c r="A8542">
        <f>HYPERLINK("https://www.philgeps.gov.ph/GEPSNONPILOT/Tender/SplashBidNoticeAbstractUI.aspx?menuIndex=3&amp;refID=7154139&amp;Result=3","7154139")</f>
        <v>0</v>
      </c>
      <c r="B8542" t="s">
        <v>2511</v>
      </c>
      <c r="C8542" t="s">
        <v>11928</v>
      </c>
      <c r="D8542" t="s">
        <v>19068</v>
      </c>
      <c r="E8542" t="s">
        <v>26521</v>
      </c>
      <c r="F8542" t="s">
        <v>32831</v>
      </c>
      <c r="G8542" t="s">
        <v>32839</v>
      </c>
      <c r="H8542" t="s">
        <v>32848</v>
      </c>
      <c r="I8542" t="s">
        <v>7416</v>
      </c>
      <c r="J8542" t="s">
        <v>38299</v>
      </c>
      <c r="K8542" t="s">
        <v>42727</v>
      </c>
      <c r="M8542" t="s">
        <v>45718</v>
      </c>
      <c r="N8542" t="s">
        <v>47424</v>
      </c>
      <c r="O8542" t="s">
        <v>47425</v>
      </c>
      <c r="P8542">
        <v>0</v>
      </c>
      <c r="Q8542">
        <v>0</v>
      </c>
      <c r="R8542" t="s">
        <v>47432</v>
      </c>
      <c r="S8542" t="s">
        <v>47597</v>
      </c>
      <c r="T8542" t="s">
        <v>49162</v>
      </c>
      <c r="U8542" t="s">
        <v>56746</v>
      </c>
      <c r="W8542" t="s">
        <v>45718</v>
      </c>
      <c r="X8542" t="s">
        <v>47433</v>
      </c>
    </row>
    <row r="8543" spans="1:24">
      <c r="A8543">
        <f>HYPERLINK("https://www.philgeps.gov.ph/GEPSNONPILOT/Tender/SplashBidNoticeAbstractUI.aspx?menuIndex=3&amp;refID=7154115&amp;Result=3","7154115")</f>
        <v>0</v>
      </c>
      <c r="B8543" t="s">
        <v>1665</v>
      </c>
      <c r="C8543" t="s">
        <v>11929</v>
      </c>
      <c r="D8543" t="s">
        <v>19095</v>
      </c>
      <c r="E8543" t="s">
        <v>26522</v>
      </c>
      <c r="F8543" t="s">
        <v>32831</v>
      </c>
      <c r="G8543" t="s">
        <v>32839</v>
      </c>
      <c r="H8543" t="s">
        <v>32848</v>
      </c>
      <c r="I8543" t="s">
        <v>32931</v>
      </c>
      <c r="J8543" t="s">
        <v>38300</v>
      </c>
      <c r="K8543" t="s">
        <v>42732</v>
      </c>
      <c r="M8543" t="s">
        <v>44782</v>
      </c>
      <c r="N8543" t="s">
        <v>47424</v>
      </c>
      <c r="O8543" t="s">
        <v>47425</v>
      </c>
      <c r="P8543">
        <v>0</v>
      </c>
      <c r="Q8543">
        <v>4</v>
      </c>
      <c r="R8543" t="s">
        <v>47432</v>
      </c>
      <c r="S8543" t="s">
        <v>47597</v>
      </c>
      <c r="T8543" t="s">
        <v>49214</v>
      </c>
      <c r="U8543" t="s">
        <v>56747</v>
      </c>
      <c r="W8543" t="s">
        <v>64483</v>
      </c>
      <c r="X8543" t="s">
        <v>47433</v>
      </c>
    </row>
    <row r="8544" spans="1:24">
      <c r="A8544">
        <f>HYPERLINK("https://www.philgeps.gov.ph/GEPSNONPILOT/Tender/SplashBidNoticeAbstractUI.aspx?menuIndex=3&amp;refID=7154110&amp;Result=3","7154110")</f>
        <v>0</v>
      </c>
      <c r="B8544" t="s">
        <v>2680</v>
      </c>
      <c r="C8544" t="s">
        <v>11930</v>
      </c>
      <c r="D8544" t="s">
        <v>19065</v>
      </c>
      <c r="E8544" t="s">
        <v>26523</v>
      </c>
      <c r="F8544" t="s">
        <v>32831</v>
      </c>
      <c r="G8544" t="s">
        <v>32840</v>
      </c>
      <c r="H8544" t="s">
        <v>32848</v>
      </c>
      <c r="I8544" t="s">
        <v>32857</v>
      </c>
      <c r="J8544" t="s">
        <v>38301</v>
      </c>
      <c r="K8544" t="s">
        <v>42727</v>
      </c>
      <c r="M8544" t="s">
        <v>45903</v>
      </c>
      <c r="N8544" t="s">
        <v>47424</v>
      </c>
      <c r="O8544" t="s">
        <v>47425</v>
      </c>
      <c r="P8544">
        <v>0</v>
      </c>
      <c r="Q8544">
        <v>2</v>
      </c>
      <c r="R8544" t="s">
        <v>47432</v>
      </c>
      <c r="S8544" t="s">
        <v>47597</v>
      </c>
      <c r="T8544" t="s">
        <v>49114</v>
      </c>
      <c r="U8544" t="s">
        <v>56748</v>
      </c>
      <c r="W8544" t="s">
        <v>45903</v>
      </c>
      <c r="X8544" t="s">
        <v>47433</v>
      </c>
    </row>
    <row r="8545" spans="1:24">
      <c r="A8545">
        <f>HYPERLINK("https://www.philgeps.gov.ph/GEPSNONPILOT/Tender/SplashBidNoticeAbstractUI.aspx?menuIndex=3&amp;refID=7154131&amp;Result=3","7154131")</f>
        <v>0</v>
      </c>
      <c r="B8545" t="s">
        <v>2429</v>
      </c>
      <c r="C8545" t="s">
        <v>11931</v>
      </c>
      <c r="D8545" t="s">
        <v>19064</v>
      </c>
      <c r="E8545" t="s">
        <v>26524</v>
      </c>
      <c r="F8545" t="s">
        <v>32831</v>
      </c>
      <c r="G8545" t="s">
        <v>32839</v>
      </c>
      <c r="H8545" t="s">
        <v>32848</v>
      </c>
      <c r="I8545" t="s">
        <v>10805</v>
      </c>
      <c r="J8545" t="s">
        <v>33509</v>
      </c>
      <c r="K8545" t="s">
        <v>42731</v>
      </c>
      <c r="M8545" t="s">
        <v>45626</v>
      </c>
      <c r="N8545" t="s">
        <v>47424</v>
      </c>
      <c r="O8545" t="s">
        <v>47425</v>
      </c>
      <c r="P8545">
        <v>0</v>
      </c>
      <c r="Q8545">
        <v>0</v>
      </c>
      <c r="R8545" t="s">
        <v>47432</v>
      </c>
      <c r="S8545" t="s">
        <v>47597</v>
      </c>
      <c r="T8545" t="s">
        <v>49055</v>
      </c>
      <c r="U8545" t="s">
        <v>56749</v>
      </c>
      <c r="W8545" t="s">
        <v>45626</v>
      </c>
      <c r="X8545" t="s">
        <v>47433</v>
      </c>
    </row>
    <row r="8546" spans="1:24">
      <c r="A8546">
        <f>HYPERLINK("https://www.philgeps.gov.ph/GEPSNONPILOT/Tender/SplashBidNoticeAbstractUI.aspx?menuIndex=3&amp;refID=7154107&amp;Result=3","7154107")</f>
        <v>0</v>
      </c>
      <c r="B8546" t="s">
        <v>1950</v>
      </c>
      <c r="C8546" t="s">
        <v>11932</v>
      </c>
      <c r="D8546" t="s">
        <v>19074</v>
      </c>
      <c r="E8546" t="s">
        <v>24802</v>
      </c>
      <c r="F8546" t="s">
        <v>32831</v>
      </c>
      <c r="G8546" t="s">
        <v>32838</v>
      </c>
      <c r="H8546" t="s">
        <v>32848</v>
      </c>
      <c r="I8546" t="s">
        <v>32868</v>
      </c>
      <c r="J8546" t="s">
        <v>38302</v>
      </c>
      <c r="K8546" t="s">
        <v>42745</v>
      </c>
      <c r="M8546" t="s">
        <v>45107</v>
      </c>
      <c r="N8546" t="s">
        <v>47424</v>
      </c>
      <c r="O8546" t="s">
        <v>47425</v>
      </c>
      <c r="P8546">
        <v>0</v>
      </c>
      <c r="Q8546">
        <v>7</v>
      </c>
      <c r="R8546" t="s">
        <v>47432</v>
      </c>
      <c r="S8546" t="s">
        <v>47597</v>
      </c>
      <c r="T8546" t="s">
        <v>49111</v>
      </c>
      <c r="U8546" t="s">
        <v>54028</v>
      </c>
      <c r="W8546" t="s">
        <v>45107</v>
      </c>
      <c r="X8546" t="s">
        <v>47433</v>
      </c>
    </row>
    <row r="8547" spans="1:24">
      <c r="A8547">
        <f>HYPERLINK("https://www.philgeps.gov.ph/GEPSNONPILOT/Tender/SplashBidNoticeAbstractUI.aspx?menuIndex=3&amp;refID=7154106&amp;Result=3","7154106")</f>
        <v>0</v>
      </c>
      <c r="B8547" t="s">
        <v>2839</v>
      </c>
      <c r="C8547" t="s">
        <v>11933</v>
      </c>
      <c r="D8547" t="s">
        <v>19023</v>
      </c>
      <c r="E8547" t="s">
        <v>26525</v>
      </c>
      <c r="F8547" t="s">
        <v>32831</v>
      </c>
      <c r="G8547" t="s">
        <v>32839</v>
      </c>
      <c r="H8547" t="s">
        <v>32848</v>
      </c>
      <c r="I8547" t="s">
        <v>32869</v>
      </c>
      <c r="J8547" t="s">
        <v>38303</v>
      </c>
      <c r="K8547" t="s">
        <v>42763</v>
      </c>
      <c r="L8547" t="s">
        <v>2839</v>
      </c>
      <c r="M8547" t="s">
        <v>46071</v>
      </c>
      <c r="N8547" t="s">
        <v>47424</v>
      </c>
      <c r="O8547" t="s">
        <v>47425</v>
      </c>
      <c r="P8547">
        <v>0</v>
      </c>
      <c r="Q8547">
        <v>12</v>
      </c>
      <c r="R8547" t="s">
        <v>47432</v>
      </c>
      <c r="S8547" t="s">
        <v>47597</v>
      </c>
      <c r="T8547" t="s">
        <v>49112</v>
      </c>
      <c r="U8547" t="s">
        <v>56750</v>
      </c>
      <c r="W8547" t="s">
        <v>46071</v>
      </c>
      <c r="X8547" t="s">
        <v>47433</v>
      </c>
    </row>
    <row r="8548" spans="1:24">
      <c r="A8548">
        <f>HYPERLINK("https://www.philgeps.gov.ph/GEPSNONPILOT/Tender/SplashBidNoticeAbstractUI.aspx?menuIndex=3&amp;refID=7154104&amp;Result=3","7154104")</f>
        <v>0</v>
      </c>
      <c r="B8548" t="s">
        <v>674</v>
      </c>
      <c r="C8548" t="s">
        <v>11934</v>
      </c>
      <c r="D8548" t="s">
        <v>19058</v>
      </c>
      <c r="E8548" t="s">
        <v>26526</v>
      </c>
      <c r="F8548" t="s">
        <v>32831</v>
      </c>
      <c r="G8548" t="s">
        <v>32840</v>
      </c>
      <c r="H8548" t="s">
        <v>32848</v>
      </c>
      <c r="I8548" t="s">
        <v>7416</v>
      </c>
      <c r="J8548" t="s">
        <v>38304</v>
      </c>
      <c r="K8548" t="s">
        <v>42732</v>
      </c>
      <c r="M8548" t="s">
        <v>43693</v>
      </c>
      <c r="N8548" t="s">
        <v>47424</v>
      </c>
      <c r="O8548" t="s">
        <v>47425</v>
      </c>
      <c r="P8548">
        <v>0</v>
      </c>
      <c r="Q8548">
        <v>0</v>
      </c>
      <c r="R8548" t="s">
        <v>47432</v>
      </c>
      <c r="S8548" t="s">
        <v>47597</v>
      </c>
      <c r="T8548" t="s">
        <v>49237</v>
      </c>
      <c r="U8548" t="s">
        <v>56751</v>
      </c>
      <c r="W8548" t="s">
        <v>43693</v>
      </c>
      <c r="X8548" t="s">
        <v>47433</v>
      </c>
    </row>
    <row r="8549" spans="1:24">
      <c r="A8549">
        <f>HYPERLINK("https://www.philgeps.gov.ph/GEPSNONPILOT/Tender/SplashBidNoticeAbstractUI.aspx?menuIndex=3&amp;refID=7154116&amp;Result=3","7154116")</f>
        <v>0</v>
      </c>
      <c r="B8549" t="s">
        <v>2842</v>
      </c>
      <c r="C8549" t="s">
        <v>11935</v>
      </c>
      <c r="D8549" t="s">
        <v>19017</v>
      </c>
      <c r="E8549" t="s">
        <v>20432</v>
      </c>
      <c r="F8549" t="s">
        <v>32831</v>
      </c>
      <c r="G8549" t="s">
        <v>32839</v>
      </c>
      <c r="H8549" t="s">
        <v>32848</v>
      </c>
      <c r="I8549" t="s">
        <v>32884</v>
      </c>
      <c r="J8549" t="s">
        <v>35128</v>
      </c>
      <c r="K8549" t="s">
        <v>42759</v>
      </c>
      <c r="M8549" t="s">
        <v>46074</v>
      </c>
      <c r="N8549" t="s">
        <v>47424</v>
      </c>
      <c r="O8549" t="s">
        <v>47425</v>
      </c>
      <c r="P8549">
        <v>0</v>
      </c>
      <c r="Q8549">
        <v>8</v>
      </c>
      <c r="R8549" t="s">
        <v>47432</v>
      </c>
      <c r="S8549" t="s">
        <v>47597</v>
      </c>
      <c r="T8549" t="s">
        <v>49114</v>
      </c>
      <c r="U8549" t="s">
        <v>56752</v>
      </c>
      <c r="W8549" t="s">
        <v>46074</v>
      </c>
      <c r="X8549" t="s">
        <v>47433</v>
      </c>
    </row>
    <row r="8550" spans="1:24">
      <c r="A8550">
        <f>HYPERLINK("https://www.philgeps.gov.ph/GEPSNONPILOT/Tender/SplashBidNoticeAbstractUI.aspx?menuIndex=3&amp;refID=7154035&amp;Result=3","7154035")</f>
        <v>0</v>
      </c>
      <c r="B8550" t="s">
        <v>2843</v>
      </c>
      <c r="C8550" t="s">
        <v>11936</v>
      </c>
      <c r="D8550" t="s">
        <v>19074</v>
      </c>
      <c r="E8550" t="s">
        <v>26527</v>
      </c>
      <c r="F8550" t="s">
        <v>32831</v>
      </c>
      <c r="G8550" t="s">
        <v>32839</v>
      </c>
      <c r="H8550" t="s">
        <v>14069</v>
      </c>
      <c r="I8550" t="s">
        <v>14069</v>
      </c>
      <c r="J8550" t="s">
        <v>33626</v>
      </c>
      <c r="K8550" t="s">
        <v>42730</v>
      </c>
      <c r="M8550" t="s">
        <v>46075</v>
      </c>
      <c r="N8550" t="s">
        <v>47424</v>
      </c>
      <c r="O8550" t="s">
        <v>47425</v>
      </c>
      <c r="P8550">
        <v>0</v>
      </c>
      <c r="Q8550">
        <v>3</v>
      </c>
      <c r="R8550" t="s">
        <v>47432</v>
      </c>
      <c r="S8550" t="s">
        <v>47597</v>
      </c>
      <c r="T8550" t="s">
        <v>49071</v>
      </c>
      <c r="U8550" t="s">
        <v>56753</v>
      </c>
      <c r="W8550" t="s">
        <v>46075</v>
      </c>
      <c r="X8550" t="s">
        <v>47433</v>
      </c>
    </row>
    <row r="8551" spans="1:24">
      <c r="A8551">
        <f>HYPERLINK("https://www.philgeps.gov.ph/GEPSNONPILOT/Tender/SplashBidNoticeAbstractUI.aspx?menuIndex=3&amp;refID=7154187&amp;Result=3","7154187")</f>
        <v>0</v>
      </c>
      <c r="B8551" t="s">
        <v>1130</v>
      </c>
      <c r="C8551" t="s">
        <v>11937</v>
      </c>
      <c r="D8551" t="s">
        <v>19045</v>
      </c>
      <c r="E8551" t="s">
        <v>26528</v>
      </c>
      <c r="F8551" t="s">
        <v>32831</v>
      </c>
      <c r="G8551" t="s">
        <v>32839</v>
      </c>
      <c r="H8551" t="s">
        <v>32849</v>
      </c>
      <c r="I8551" t="s">
        <v>4177</v>
      </c>
      <c r="J8551" t="s">
        <v>38305</v>
      </c>
      <c r="K8551" t="s">
        <v>42728</v>
      </c>
      <c r="M8551" t="s">
        <v>45442</v>
      </c>
      <c r="N8551" t="s">
        <v>47424</v>
      </c>
      <c r="O8551" t="s">
        <v>47425</v>
      </c>
      <c r="P8551">
        <v>0</v>
      </c>
      <c r="Q8551">
        <v>0</v>
      </c>
      <c r="R8551" t="s">
        <v>47432</v>
      </c>
      <c r="S8551" t="s">
        <v>47597</v>
      </c>
      <c r="T8551" t="s">
        <v>49181</v>
      </c>
      <c r="U8551" t="s">
        <v>56695</v>
      </c>
      <c r="V8551" t="s">
        <v>63325</v>
      </c>
      <c r="W8551" t="s">
        <v>45442</v>
      </c>
      <c r="X8551" t="s">
        <v>47433</v>
      </c>
    </row>
    <row r="8552" spans="1:24">
      <c r="A8552">
        <f>HYPERLINK("https://www.philgeps.gov.ph/GEPSNONPILOT/Tender/SplashBidNoticeAbstractUI.aspx?menuIndex=3&amp;refID=7154113&amp;Result=3","7154113")</f>
        <v>0</v>
      </c>
      <c r="B8552" t="s">
        <v>2833</v>
      </c>
      <c r="C8552" t="s">
        <v>11938</v>
      </c>
      <c r="D8552" t="s">
        <v>19073</v>
      </c>
      <c r="E8552" t="s">
        <v>26235</v>
      </c>
      <c r="F8552" t="s">
        <v>32831</v>
      </c>
      <c r="G8552" t="s">
        <v>32838</v>
      </c>
      <c r="H8552" t="s">
        <v>32848</v>
      </c>
      <c r="I8552" t="s">
        <v>32862</v>
      </c>
      <c r="J8552" t="s">
        <v>38306</v>
      </c>
      <c r="K8552" t="s">
        <v>42730</v>
      </c>
      <c r="M8552" t="s">
        <v>46065</v>
      </c>
      <c r="N8552" t="s">
        <v>47424</v>
      </c>
      <c r="O8552" t="s">
        <v>47425</v>
      </c>
      <c r="P8552">
        <v>0</v>
      </c>
      <c r="Q8552">
        <v>0</v>
      </c>
      <c r="R8552" t="s">
        <v>47432</v>
      </c>
      <c r="S8552" t="s">
        <v>47597</v>
      </c>
      <c r="T8552" t="s">
        <v>49237</v>
      </c>
      <c r="U8552" t="s">
        <v>56723</v>
      </c>
      <c r="W8552" t="s">
        <v>46065</v>
      </c>
      <c r="X8552" t="s">
        <v>47433</v>
      </c>
    </row>
    <row r="8553" spans="1:24">
      <c r="A8553">
        <f>HYPERLINK("https://www.philgeps.gov.ph/GEPSNONPILOT/Tender/SplashBidNoticeAbstractUI.aspx?menuIndex=3&amp;refID=7154182&amp;Result=3","7154182")</f>
        <v>0</v>
      </c>
      <c r="B8553" t="s">
        <v>2429</v>
      </c>
      <c r="C8553" t="s">
        <v>11939</v>
      </c>
      <c r="D8553" t="s">
        <v>19064</v>
      </c>
      <c r="E8553" t="s">
        <v>26529</v>
      </c>
      <c r="F8553" t="s">
        <v>32831</v>
      </c>
      <c r="G8553" t="s">
        <v>32839</v>
      </c>
      <c r="H8553" t="s">
        <v>32848</v>
      </c>
      <c r="I8553" t="s">
        <v>32863</v>
      </c>
      <c r="J8553" t="s">
        <v>33385</v>
      </c>
      <c r="K8553" t="s">
        <v>42731</v>
      </c>
      <c r="M8553" t="s">
        <v>45626</v>
      </c>
      <c r="N8553" t="s">
        <v>47424</v>
      </c>
      <c r="O8553" t="s">
        <v>47425</v>
      </c>
      <c r="P8553">
        <v>0</v>
      </c>
      <c r="Q8553">
        <v>0</v>
      </c>
      <c r="R8553" t="s">
        <v>47432</v>
      </c>
      <c r="S8553" t="s">
        <v>47597</v>
      </c>
      <c r="T8553" t="s">
        <v>49055</v>
      </c>
      <c r="U8553" t="s">
        <v>56754</v>
      </c>
      <c r="W8553" t="s">
        <v>45626</v>
      </c>
      <c r="X8553" t="s">
        <v>47433</v>
      </c>
    </row>
    <row r="8554" spans="1:24">
      <c r="A8554">
        <f>HYPERLINK("https://www.philgeps.gov.ph/GEPSNONPILOT/Tender/SplashBidNoticeAbstractUI.aspx?menuIndex=3&amp;refID=7154130&amp;Result=3","7154130")</f>
        <v>0</v>
      </c>
      <c r="B8554" t="s">
        <v>467</v>
      </c>
      <c r="C8554" t="s">
        <v>11940</v>
      </c>
      <c r="D8554" t="s">
        <v>19023</v>
      </c>
      <c r="E8554" t="s">
        <v>20152</v>
      </c>
      <c r="F8554" t="s">
        <v>32831</v>
      </c>
      <c r="G8554" t="s">
        <v>32839</v>
      </c>
      <c r="H8554" t="s">
        <v>32848</v>
      </c>
      <c r="I8554" t="s">
        <v>7416</v>
      </c>
      <c r="J8554" t="s">
        <v>32980</v>
      </c>
      <c r="K8554" t="s">
        <v>42748</v>
      </c>
      <c r="M8554" t="s">
        <v>43472</v>
      </c>
      <c r="N8554" t="s">
        <v>47424</v>
      </c>
      <c r="O8554" t="s">
        <v>47425</v>
      </c>
      <c r="P8554">
        <v>0</v>
      </c>
      <c r="Q8554">
        <v>1</v>
      </c>
      <c r="R8554" t="s">
        <v>47432</v>
      </c>
      <c r="S8554" t="s">
        <v>47597</v>
      </c>
      <c r="T8554" t="s">
        <v>49114</v>
      </c>
      <c r="U8554" t="s">
        <v>54529</v>
      </c>
      <c r="W8554" t="s">
        <v>64439</v>
      </c>
      <c r="X8554" t="s">
        <v>47433</v>
      </c>
    </row>
    <row r="8555" spans="1:24">
      <c r="A8555">
        <f>HYPERLINK("https://www.philgeps.gov.ph/GEPSNONPILOT/Tender/SplashBidNoticeAbstractUI.aspx?menuIndex=3&amp;refID=7154180&amp;Result=3","7154180")</f>
        <v>0</v>
      </c>
      <c r="B8555" t="s">
        <v>2108</v>
      </c>
      <c r="C8555" t="s">
        <v>11941</v>
      </c>
      <c r="D8555" t="s">
        <v>19031</v>
      </c>
      <c r="E8555" t="s">
        <v>26530</v>
      </c>
      <c r="F8555" t="s">
        <v>32831</v>
      </c>
      <c r="G8555" t="s">
        <v>32838</v>
      </c>
      <c r="H8555" t="s">
        <v>32848</v>
      </c>
      <c r="I8555" t="s">
        <v>32864</v>
      </c>
      <c r="J8555" t="s">
        <v>33657</v>
      </c>
      <c r="K8555" t="s">
        <v>42727</v>
      </c>
      <c r="M8555" t="s">
        <v>45282</v>
      </c>
      <c r="N8555" t="s">
        <v>47424</v>
      </c>
      <c r="O8555" t="s">
        <v>47425</v>
      </c>
      <c r="P8555">
        <v>0</v>
      </c>
      <c r="Q8555">
        <v>6</v>
      </c>
      <c r="R8555" t="s">
        <v>47432</v>
      </c>
      <c r="S8555" t="s">
        <v>47597</v>
      </c>
      <c r="T8555" t="s">
        <v>49056</v>
      </c>
      <c r="U8555" t="s">
        <v>56755</v>
      </c>
      <c r="W8555" t="s">
        <v>45282</v>
      </c>
      <c r="X8555" t="s">
        <v>47433</v>
      </c>
    </row>
    <row r="8556" spans="1:24">
      <c r="A8556">
        <f>HYPERLINK("https://www.philgeps.gov.ph/GEPSNONPILOT/Tender/SplashBidNoticeAbstractUI.aspx?menuIndex=3&amp;refID=7154171&amp;Result=3","7154171")</f>
        <v>0</v>
      </c>
      <c r="B8556" t="s">
        <v>2088</v>
      </c>
      <c r="C8556" t="s">
        <v>11942</v>
      </c>
      <c r="D8556" t="s">
        <v>19044</v>
      </c>
      <c r="E8556" t="s">
        <v>20319</v>
      </c>
      <c r="F8556" t="s">
        <v>32831</v>
      </c>
      <c r="G8556" t="s">
        <v>32839</v>
      </c>
      <c r="H8556" t="s">
        <v>32848</v>
      </c>
      <c r="I8556" t="s">
        <v>4776</v>
      </c>
      <c r="J8556" t="s">
        <v>33428</v>
      </c>
      <c r="K8556" t="s">
        <v>42730</v>
      </c>
      <c r="M8556" t="s">
        <v>45260</v>
      </c>
      <c r="N8556" t="s">
        <v>47424</v>
      </c>
      <c r="O8556" t="s">
        <v>47425</v>
      </c>
      <c r="P8556">
        <v>0</v>
      </c>
      <c r="Q8556">
        <v>1</v>
      </c>
      <c r="R8556" t="s">
        <v>47432</v>
      </c>
      <c r="S8556" t="s">
        <v>47597</v>
      </c>
      <c r="T8556" t="s">
        <v>49112</v>
      </c>
      <c r="U8556" t="s">
        <v>56756</v>
      </c>
      <c r="W8556" t="s">
        <v>45260</v>
      </c>
      <c r="X8556" t="s">
        <v>47433</v>
      </c>
    </row>
    <row r="8557" spans="1:24">
      <c r="A8557">
        <f>HYPERLINK("https://www.philgeps.gov.ph/GEPSNONPILOT/Tender/SplashBidNoticeAbstractUI.aspx?menuIndex=3&amp;refID=7154103&amp;Result=3","7154103")</f>
        <v>0</v>
      </c>
      <c r="B8557" t="s">
        <v>2840</v>
      </c>
      <c r="C8557" t="s">
        <v>11943</v>
      </c>
      <c r="D8557" t="s">
        <v>19020</v>
      </c>
      <c r="E8557" t="s">
        <v>26531</v>
      </c>
      <c r="F8557" t="s">
        <v>32831</v>
      </c>
      <c r="G8557" t="s">
        <v>32839</v>
      </c>
      <c r="H8557" t="s">
        <v>32849</v>
      </c>
      <c r="I8557" t="s">
        <v>4177</v>
      </c>
      <c r="J8557" t="s">
        <v>32978</v>
      </c>
      <c r="K8557" t="s">
        <v>42747</v>
      </c>
      <c r="M8557" t="s">
        <v>46072</v>
      </c>
      <c r="N8557" t="s">
        <v>47424</v>
      </c>
      <c r="O8557" t="s">
        <v>47425</v>
      </c>
      <c r="P8557">
        <v>0</v>
      </c>
      <c r="Q8557">
        <v>0</v>
      </c>
      <c r="R8557" t="s">
        <v>47432</v>
      </c>
      <c r="S8557" t="s">
        <v>47597</v>
      </c>
      <c r="T8557" t="s">
        <v>49063</v>
      </c>
      <c r="U8557" t="s">
        <v>56757</v>
      </c>
      <c r="V8557" t="s">
        <v>63578</v>
      </c>
      <c r="W8557" t="s">
        <v>46072</v>
      </c>
      <c r="X8557" t="s">
        <v>47433</v>
      </c>
    </row>
    <row r="8558" spans="1:24">
      <c r="A8558">
        <f>HYPERLINK("https://www.philgeps.gov.ph/GEPSNONPILOT/Tender/SplashBidNoticeAbstractUI.aspx?menuIndex=3&amp;refID=7154169&amp;Result=3","7154169")</f>
        <v>0</v>
      </c>
      <c r="B8558" t="s">
        <v>2844</v>
      </c>
      <c r="C8558" t="s">
        <v>11944</v>
      </c>
      <c r="D8558" t="s">
        <v>19036</v>
      </c>
      <c r="E8558" t="s">
        <v>26532</v>
      </c>
      <c r="F8558" t="s">
        <v>32831</v>
      </c>
      <c r="G8558" t="s">
        <v>32839</v>
      </c>
      <c r="H8558" t="s">
        <v>32849</v>
      </c>
      <c r="I8558" t="s">
        <v>4177</v>
      </c>
      <c r="J8558" t="s">
        <v>38307</v>
      </c>
      <c r="K8558" t="s">
        <v>42763</v>
      </c>
      <c r="M8558" t="s">
        <v>46076</v>
      </c>
      <c r="N8558" t="s">
        <v>47424</v>
      </c>
      <c r="O8558" t="s">
        <v>47425</v>
      </c>
      <c r="P8558">
        <v>0</v>
      </c>
      <c r="Q8558">
        <v>0</v>
      </c>
      <c r="R8558" t="s">
        <v>47432</v>
      </c>
      <c r="S8558" t="s">
        <v>47597</v>
      </c>
      <c r="T8558" t="s">
        <v>49221</v>
      </c>
      <c r="U8558" t="s">
        <v>56758</v>
      </c>
      <c r="V8558" t="s">
        <v>63579</v>
      </c>
      <c r="W8558" t="s">
        <v>46076</v>
      </c>
      <c r="X8558" t="s">
        <v>47433</v>
      </c>
    </row>
    <row r="8559" spans="1:24">
      <c r="A8559">
        <f>HYPERLINK("https://www.philgeps.gov.ph/GEPSNONPILOT/Tender/SplashBidNoticeAbstractUI.aspx?menuIndex=3&amp;refID=7154165&amp;Result=3","7154165")</f>
        <v>0</v>
      </c>
      <c r="B8559" t="s">
        <v>2348</v>
      </c>
      <c r="C8559" t="s">
        <v>11945</v>
      </c>
      <c r="E8559" t="s">
        <v>26533</v>
      </c>
      <c r="F8559" t="s">
        <v>32831</v>
      </c>
      <c r="G8559" t="s">
        <v>32839</v>
      </c>
      <c r="H8559" t="s">
        <v>32848</v>
      </c>
      <c r="I8559" t="s">
        <v>32870</v>
      </c>
      <c r="J8559" t="s">
        <v>38308</v>
      </c>
      <c r="K8559" t="s">
        <v>42748</v>
      </c>
      <c r="M8559" t="s">
        <v>45535</v>
      </c>
      <c r="N8559" t="s">
        <v>47424</v>
      </c>
      <c r="O8559" t="s">
        <v>47425</v>
      </c>
      <c r="P8559">
        <v>0</v>
      </c>
      <c r="Q8559">
        <v>0</v>
      </c>
      <c r="R8559" t="s">
        <v>47432</v>
      </c>
      <c r="S8559" t="s">
        <v>47597</v>
      </c>
      <c r="T8559" t="s">
        <v>49116</v>
      </c>
      <c r="U8559" t="s">
        <v>56759</v>
      </c>
      <c r="W8559" t="s">
        <v>45535</v>
      </c>
      <c r="X8559" t="s">
        <v>47433</v>
      </c>
    </row>
    <row r="8560" spans="1:24">
      <c r="A8560">
        <f>HYPERLINK("https://www.philgeps.gov.ph/GEPSNONPILOT/Tender/SplashBidNoticeAbstractUI.aspx?menuIndex=3&amp;refID=7154161&amp;Result=3","7154161")</f>
        <v>0</v>
      </c>
      <c r="B8560" t="s">
        <v>345</v>
      </c>
      <c r="C8560" t="s">
        <v>11946</v>
      </c>
      <c r="D8560" t="s">
        <v>19074</v>
      </c>
      <c r="E8560" t="s">
        <v>26534</v>
      </c>
      <c r="F8560" t="s">
        <v>32831</v>
      </c>
      <c r="G8560" t="s">
        <v>32838</v>
      </c>
      <c r="H8560" t="s">
        <v>32850</v>
      </c>
      <c r="I8560" t="s">
        <v>32856</v>
      </c>
      <c r="J8560" t="s">
        <v>33148</v>
      </c>
      <c r="K8560" t="s">
        <v>42731</v>
      </c>
      <c r="M8560" t="s">
        <v>44082</v>
      </c>
      <c r="N8560" t="s">
        <v>47424</v>
      </c>
      <c r="O8560" t="s">
        <v>47425</v>
      </c>
      <c r="P8560">
        <v>0</v>
      </c>
      <c r="Q8560">
        <v>0</v>
      </c>
      <c r="R8560" t="s">
        <v>47432</v>
      </c>
      <c r="S8560" t="s">
        <v>47597</v>
      </c>
      <c r="T8560" t="s">
        <v>49107</v>
      </c>
      <c r="U8560" t="s">
        <v>56760</v>
      </c>
      <c r="W8560" t="s">
        <v>44082</v>
      </c>
      <c r="X8560" t="s">
        <v>47433</v>
      </c>
    </row>
    <row r="8561" spans="1:24">
      <c r="A8561">
        <f>HYPERLINK("https://www.philgeps.gov.ph/GEPSNONPILOT/Tender/SplashBidNoticeAbstractUI.aspx?menuIndex=3&amp;refID=7154159&amp;Result=3","7154159")</f>
        <v>0</v>
      </c>
      <c r="B8561" t="s">
        <v>2845</v>
      </c>
      <c r="C8561" t="s">
        <v>11947</v>
      </c>
      <c r="E8561" t="s">
        <v>26535</v>
      </c>
      <c r="F8561" t="s">
        <v>32831</v>
      </c>
      <c r="G8561" t="s">
        <v>32839</v>
      </c>
      <c r="H8561" t="s">
        <v>32848</v>
      </c>
      <c r="I8561" t="s">
        <v>4438</v>
      </c>
      <c r="J8561" t="s">
        <v>33401</v>
      </c>
      <c r="K8561" t="s">
        <v>42732</v>
      </c>
      <c r="M8561" t="s">
        <v>46077</v>
      </c>
      <c r="N8561" t="s">
        <v>47424</v>
      </c>
      <c r="O8561" t="s">
        <v>47425</v>
      </c>
      <c r="P8561">
        <v>0</v>
      </c>
      <c r="Q8561">
        <v>2</v>
      </c>
      <c r="R8561" t="s">
        <v>47432</v>
      </c>
      <c r="S8561" t="s">
        <v>47597</v>
      </c>
      <c r="T8561" t="s">
        <v>49364</v>
      </c>
      <c r="U8561" t="s">
        <v>56761</v>
      </c>
      <c r="W8561" t="s">
        <v>46077</v>
      </c>
      <c r="X8561" t="s">
        <v>47433</v>
      </c>
    </row>
    <row r="8562" spans="1:24">
      <c r="A8562">
        <f>HYPERLINK("https://www.philgeps.gov.ph/GEPSNONPILOT/Tender/SplashBidNoticeAbstractUI.aspx?menuIndex=3&amp;refID=7154168&amp;Result=3","7154168")</f>
        <v>0</v>
      </c>
      <c r="B8562" t="s">
        <v>2800</v>
      </c>
      <c r="C8562" t="s">
        <v>11948</v>
      </c>
      <c r="D8562" t="s">
        <v>19017</v>
      </c>
      <c r="E8562" t="s">
        <v>26536</v>
      </c>
      <c r="F8562" t="s">
        <v>32833</v>
      </c>
      <c r="G8562" t="s">
        <v>32839</v>
      </c>
      <c r="H8562" t="s">
        <v>32850</v>
      </c>
      <c r="I8562" t="s">
        <v>32858</v>
      </c>
      <c r="J8562" t="s">
        <v>33703</v>
      </c>
      <c r="K8562" t="s">
        <v>42750</v>
      </c>
      <c r="M8562" t="s">
        <v>46030</v>
      </c>
      <c r="N8562" t="s">
        <v>47424</v>
      </c>
      <c r="O8562" t="s">
        <v>47425</v>
      </c>
      <c r="P8562">
        <v>0</v>
      </c>
      <c r="Q8562">
        <v>1</v>
      </c>
      <c r="R8562" t="s">
        <v>47432</v>
      </c>
      <c r="S8562" t="s">
        <v>47597</v>
      </c>
      <c r="T8562" t="s">
        <v>49517</v>
      </c>
      <c r="U8562" t="s">
        <v>56762</v>
      </c>
      <c r="W8562" t="s">
        <v>46030</v>
      </c>
      <c r="X8562" t="s">
        <v>47433</v>
      </c>
    </row>
    <row r="8563" spans="1:24">
      <c r="A8563">
        <f>HYPERLINK("https://www.philgeps.gov.ph/GEPSNONPILOT/Tender/SplashBidNoticeAbstractUI.aspx?menuIndex=3&amp;refID=7154155&amp;Result=3","7154155")</f>
        <v>0</v>
      </c>
      <c r="B8563" t="s">
        <v>2680</v>
      </c>
      <c r="C8563" t="s">
        <v>11949</v>
      </c>
      <c r="D8563" t="s">
        <v>19065</v>
      </c>
      <c r="E8563" t="s">
        <v>26537</v>
      </c>
      <c r="F8563" t="s">
        <v>32831</v>
      </c>
      <c r="G8563" t="s">
        <v>32840</v>
      </c>
      <c r="H8563" t="s">
        <v>32848</v>
      </c>
      <c r="I8563" t="s">
        <v>32890</v>
      </c>
      <c r="J8563" t="s">
        <v>38309</v>
      </c>
      <c r="K8563" t="s">
        <v>42727</v>
      </c>
      <c r="M8563" t="s">
        <v>45903</v>
      </c>
      <c r="N8563" t="s">
        <v>47424</v>
      </c>
      <c r="O8563" t="s">
        <v>47425</v>
      </c>
      <c r="P8563">
        <v>0</v>
      </c>
      <c r="Q8563">
        <v>0</v>
      </c>
      <c r="R8563" t="s">
        <v>47432</v>
      </c>
      <c r="S8563" t="s">
        <v>47597</v>
      </c>
      <c r="T8563" t="s">
        <v>49114</v>
      </c>
      <c r="U8563" t="s">
        <v>56763</v>
      </c>
      <c r="W8563" t="s">
        <v>45903</v>
      </c>
      <c r="X8563" t="s">
        <v>47433</v>
      </c>
    </row>
    <row r="8564" spans="1:24">
      <c r="A8564">
        <f>HYPERLINK("https://www.philgeps.gov.ph/GEPSNONPILOT/Tender/SplashBidNoticeAbstractUI.aspx?menuIndex=3&amp;refID=7154176&amp;Result=3","7154176")</f>
        <v>0</v>
      </c>
      <c r="B8564" t="s">
        <v>2833</v>
      </c>
      <c r="C8564" t="s">
        <v>11950</v>
      </c>
      <c r="D8564" t="s">
        <v>19073</v>
      </c>
      <c r="E8564" t="s">
        <v>26260</v>
      </c>
      <c r="F8564" t="s">
        <v>32831</v>
      </c>
      <c r="G8564" t="s">
        <v>32838</v>
      </c>
      <c r="H8564" t="s">
        <v>32848</v>
      </c>
      <c r="I8564" t="s">
        <v>32862</v>
      </c>
      <c r="J8564" t="s">
        <v>38310</v>
      </c>
      <c r="K8564" t="s">
        <v>42730</v>
      </c>
      <c r="M8564" t="s">
        <v>46065</v>
      </c>
      <c r="N8564" t="s">
        <v>47424</v>
      </c>
      <c r="O8564" t="s">
        <v>47425</v>
      </c>
      <c r="P8564">
        <v>0</v>
      </c>
      <c r="Q8564">
        <v>0</v>
      </c>
      <c r="R8564" t="s">
        <v>47432</v>
      </c>
      <c r="S8564" t="s">
        <v>47597</v>
      </c>
      <c r="T8564" t="s">
        <v>49237</v>
      </c>
      <c r="U8564" t="s">
        <v>56723</v>
      </c>
      <c r="W8564" t="s">
        <v>46065</v>
      </c>
      <c r="X8564" t="s">
        <v>47433</v>
      </c>
    </row>
    <row r="8565" spans="1:24">
      <c r="A8565">
        <f>HYPERLINK("https://www.philgeps.gov.ph/GEPSNONPILOT/Tender/SplashBidNoticeAbstractUI.aspx?menuIndex=3&amp;refID=7154158&amp;Result=3","7154158")</f>
        <v>0</v>
      </c>
      <c r="B8565" t="s">
        <v>1439</v>
      </c>
      <c r="C8565" t="s">
        <v>11951</v>
      </c>
      <c r="D8565" t="s">
        <v>19114</v>
      </c>
      <c r="E8565" t="s">
        <v>26538</v>
      </c>
      <c r="F8565" t="s">
        <v>32831</v>
      </c>
      <c r="G8565" t="s">
        <v>32839</v>
      </c>
      <c r="H8565" t="s">
        <v>32848</v>
      </c>
      <c r="I8565" t="s">
        <v>32883</v>
      </c>
      <c r="J8565" t="s">
        <v>33081</v>
      </c>
      <c r="K8565" t="s">
        <v>42729</v>
      </c>
      <c r="M8565" t="s">
        <v>46078</v>
      </c>
      <c r="N8565" t="s">
        <v>47424</v>
      </c>
      <c r="O8565" t="s">
        <v>47425</v>
      </c>
      <c r="P8565">
        <v>0</v>
      </c>
      <c r="Q8565">
        <v>0</v>
      </c>
      <c r="R8565" t="s">
        <v>47432</v>
      </c>
      <c r="S8565" t="s">
        <v>47597</v>
      </c>
      <c r="T8565" t="s">
        <v>49393</v>
      </c>
      <c r="U8565" t="s">
        <v>56764</v>
      </c>
      <c r="W8565" t="s">
        <v>46078</v>
      </c>
      <c r="X8565" t="s">
        <v>47433</v>
      </c>
    </row>
    <row r="8566" spans="1:24">
      <c r="A8566">
        <f>HYPERLINK("https://www.philgeps.gov.ph/GEPSNONPILOT/Tender/SplashBidNoticeAbstractUI.aspx?menuIndex=3&amp;refID=7154170&amp;Result=3","7154170")</f>
        <v>0</v>
      </c>
      <c r="B8566" t="s">
        <v>2846</v>
      </c>
      <c r="C8566" t="s">
        <v>11952</v>
      </c>
      <c r="D8566" t="s">
        <v>19031</v>
      </c>
      <c r="E8566" t="s">
        <v>26539</v>
      </c>
      <c r="F8566" t="s">
        <v>32831</v>
      </c>
      <c r="G8566" t="s">
        <v>32839</v>
      </c>
      <c r="H8566" t="s">
        <v>32848</v>
      </c>
      <c r="I8566" t="s">
        <v>32870</v>
      </c>
      <c r="J8566" t="s">
        <v>32980</v>
      </c>
      <c r="K8566" t="s">
        <v>42732</v>
      </c>
      <c r="M8566" t="s">
        <v>46079</v>
      </c>
      <c r="N8566" t="s">
        <v>47424</v>
      </c>
      <c r="O8566" t="s">
        <v>47425</v>
      </c>
      <c r="P8566">
        <v>0</v>
      </c>
      <c r="Q8566">
        <v>0</v>
      </c>
      <c r="R8566" t="s">
        <v>47432</v>
      </c>
      <c r="S8566" t="s">
        <v>47597</v>
      </c>
      <c r="T8566" t="s">
        <v>49177</v>
      </c>
      <c r="U8566" t="s">
        <v>56765</v>
      </c>
      <c r="W8566" t="s">
        <v>46079</v>
      </c>
      <c r="X8566" t="s">
        <v>47433</v>
      </c>
    </row>
    <row r="8567" spans="1:24">
      <c r="A8567">
        <f>HYPERLINK("https://www.philgeps.gov.ph/GEPSNONPILOT/Tender/SplashBidNoticeAbstractUI.aspx?menuIndex=3&amp;refID=7154149&amp;Result=3","7154149")</f>
        <v>0</v>
      </c>
      <c r="B8567" t="s">
        <v>2636</v>
      </c>
      <c r="C8567" t="s">
        <v>11953</v>
      </c>
      <c r="D8567" t="s">
        <v>19037</v>
      </c>
      <c r="E8567" t="s">
        <v>26540</v>
      </c>
      <c r="F8567" t="s">
        <v>32831</v>
      </c>
      <c r="G8567" t="s">
        <v>32839</v>
      </c>
      <c r="H8567" t="s">
        <v>32848</v>
      </c>
      <c r="I8567" t="s">
        <v>7416</v>
      </c>
      <c r="J8567" t="s">
        <v>38311</v>
      </c>
      <c r="K8567" t="s">
        <v>42731</v>
      </c>
      <c r="M8567" t="s">
        <v>45965</v>
      </c>
      <c r="N8567" t="s">
        <v>47424</v>
      </c>
      <c r="O8567" t="s">
        <v>47425</v>
      </c>
      <c r="P8567">
        <v>0</v>
      </c>
      <c r="Q8567">
        <v>0</v>
      </c>
      <c r="R8567" t="s">
        <v>47432</v>
      </c>
      <c r="S8567" t="s">
        <v>47597</v>
      </c>
      <c r="T8567" t="s">
        <v>49070</v>
      </c>
      <c r="U8567" t="s">
        <v>56766</v>
      </c>
      <c r="W8567" t="s">
        <v>45965</v>
      </c>
      <c r="X8567" t="s">
        <v>47433</v>
      </c>
    </row>
    <row r="8568" spans="1:24">
      <c r="A8568">
        <f>HYPERLINK("https://www.philgeps.gov.ph/GEPSNONPILOT/Tender/SplashBidNoticeAbstractUI.aspx?menuIndex=3&amp;refID=7154157&amp;Result=3","7154157")</f>
        <v>0</v>
      </c>
      <c r="B8568" t="s">
        <v>674</v>
      </c>
      <c r="C8568" t="s">
        <v>11954</v>
      </c>
      <c r="D8568" t="s">
        <v>19058</v>
      </c>
      <c r="E8568" t="s">
        <v>26541</v>
      </c>
      <c r="F8568" t="s">
        <v>32831</v>
      </c>
      <c r="G8568" t="s">
        <v>32840</v>
      </c>
      <c r="H8568" t="s">
        <v>32848</v>
      </c>
      <c r="I8568" t="s">
        <v>7416</v>
      </c>
      <c r="J8568" t="s">
        <v>38312</v>
      </c>
      <c r="K8568" t="s">
        <v>42732</v>
      </c>
      <c r="M8568" t="s">
        <v>43693</v>
      </c>
      <c r="N8568" t="s">
        <v>47424</v>
      </c>
      <c r="O8568" t="s">
        <v>47425</v>
      </c>
      <c r="P8568">
        <v>0</v>
      </c>
      <c r="Q8568">
        <v>0</v>
      </c>
      <c r="R8568" t="s">
        <v>47432</v>
      </c>
      <c r="S8568" t="s">
        <v>47597</v>
      </c>
      <c r="T8568" t="s">
        <v>49237</v>
      </c>
      <c r="U8568" t="s">
        <v>56767</v>
      </c>
      <c r="W8568" t="s">
        <v>43693</v>
      </c>
      <c r="X8568" t="s">
        <v>47433</v>
      </c>
    </row>
    <row r="8569" spans="1:24">
      <c r="A8569">
        <f>HYPERLINK("https://www.philgeps.gov.ph/GEPSNONPILOT/Tender/SplashBidNoticeAbstractUI.aspx?menuIndex=3&amp;refID=7154145&amp;Result=3","7154145")</f>
        <v>0</v>
      </c>
      <c r="B8569" t="s">
        <v>1193</v>
      </c>
      <c r="C8569" t="s">
        <v>11955</v>
      </c>
      <c r="D8569" t="s">
        <v>19046</v>
      </c>
      <c r="E8569" t="s">
        <v>26542</v>
      </c>
      <c r="F8569" t="s">
        <v>32833</v>
      </c>
      <c r="G8569" t="s">
        <v>32839</v>
      </c>
      <c r="H8569" t="s">
        <v>32848</v>
      </c>
      <c r="I8569" t="s">
        <v>32862</v>
      </c>
      <c r="J8569" t="s">
        <v>32978</v>
      </c>
      <c r="K8569" t="s">
        <v>42726</v>
      </c>
      <c r="M8569" t="s">
        <v>44259</v>
      </c>
      <c r="N8569" t="s">
        <v>47424</v>
      </c>
      <c r="O8569" t="s">
        <v>47425</v>
      </c>
      <c r="P8569">
        <v>0</v>
      </c>
      <c r="Q8569">
        <v>1</v>
      </c>
      <c r="R8569" t="s">
        <v>47432</v>
      </c>
      <c r="S8569" t="s">
        <v>47597</v>
      </c>
      <c r="T8569" t="s">
        <v>49302</v>
      </c>
      <c r="U8569" t="s">
        <v>56768</v>
      </c>
      <c r="V8569" t="s">
        <v>63580</v>
      </c>
      <c r="W8569" t="s">
        <v>44259</v>
      </c>
      <c r="X8569" t="s">
        <v>47433</v>
      </c>
    </row>
    <row r="8570" spans="1:24">
      <c r="A8570">
        <f>HYPERLINK("https://www.philgeps.gov.ph/GEPSNONPILOT/Tender/SplashBidNoticeAbstractUI.aspx?menuIndex=3&amp;refID=7154144&amp;Result=3","7154144")</f>
        <v>0</v>
      </c>
      <c r="B8570" t="s">
        <v>2833</v>
      </c>
      <c r="C8570" t="s">
        <v>11956</v>
      </c>
      <c r="D8570" t="s">
        <v>19073</v>
      </c>
      <c r="E8570" t="s">
        <v>20559</v>
      </c>
      <c r="F8570" t="s">
        <v>32831</v>
      </c>
      <c r="G8570" t="s">
        <v>32838</v>
      </c>
      <c r="H8570" t="s">
        <v>32848</v>
      </c>
      <c r="I8570" t="s">
        <v>6526</v>
      </c>
      <c r="J8570" t="s">
        <v>38313</v>
      </c>
      <c r="K8570" t="s">
        <v>42730</v>
      </c>
      <c r="M8570" t="s">
        <v>46065</v>
      </c>
      <c r="N8570" t="s">
        <v>47424</v>
      </c>
      <c r="O8570" t="s">
        <v>47425</v>
      </c>
      <c r="P8570">
        <v>0</v>
      </c>
      <c r="Q8570">
        <v>1</v>
      </c>
      <c r="R8570" t="s">
        <v>47432</v>
      </c>
      <c r="S8570" t="s">
        <v>47597</v>
      </c>
      <c r="T8570" t="s">
        <v>49237</v>
      </c>
      <c r="U8570" t="s">
        <v>56723</v>
      </c>
      <c r="W8570" t="s">
        <v>46065</v>
      </c>
      <c r="X8570" t="s">
        <v>47433</v>
      </c>
    </row>
    <row r="8571" spans="1:24">
      <c r="A8571">
        <f>HYPERLINK("https://www.philgeps.gov.ph/GEPSNONPILOT/Tender/SplashBidNoticeAbstractUI.aspx?menuIndex=3&amp;refID=7154099&amp;Result=3","7154099")</f>
        <v>0</v>
      </c>
      <c r="B8571" t="s">
        <v>2843</v>
      </c>
      <c r="C8571" t="s">
        <v>11957</v>
      </c>
      <c r="D8571" t="s">
        <v>19074</v>
      </c>
      <c r="E8571" t="s">
        <v>26543</v>
      </c>
      <c r="F8571" t="s">
        <v>32831</v>
      </c>
      <c r="G8571" t="s">
        <v>32839</v>
      </c>
      <c r="H8571" t="s">
        <v>14069</v>
      </c>
      <c r="I8571" t="s">
        <v>14069</v>
      </c>
      <c r="J8571" t="s">
        <v>38314</v>
      </c>
      <c r="K8571" t="s">
        <v>42727</v>
      </c>
      <c r="M8571" t="s">
        <v>46075</v>
      </c>
      <c r="N8571" t="s">
        <v>47424</v>
      </c>
      <c r="O8571" t="s">
        <v>47425</v>
      </c>
      <c r="P8571">
        <v>0</v>
      </c>
      <c r="Q8571">
        <v>0</v>
      </c>
      <c r="R8571" t="s">
        <v>47432</v>
      </c>
      <c r="S8571" t="s">
        <v>47597</v>
      </c>
      <c r="T8571" t="s">
        <v>49065</v>
      </c>
      <c r="U8571" t="s">
        <v>56769</v>
      </c>
      <c r="W8571" t="s">
        <v>46075</v>
      </c>
      <c r="X8571" t="s">
        <v>47433</v>
      </c>
    </row>
    <row r="8572" spans="1:24">
      <c r="A8572">
        <f>HYPERLINK("https://www.philgeps.gov.ph/GEPSNONPILOT/Tender/SplashBidNoticeAbstractUI.aspx?menuIndex=3&amp;refID=7154153&amp;Result=3","7154153")</f>
        <v>0</v>
      </c>
      <c r="B8572" t="s">
        <v>2486</v>
      </c>
      <c r="C8572" t="s">
        <v>11958</v>
      </c>
      <c r="D8572" t="s">
        <v>19017</v>
      </c>
      <c r="E8572" t="s">
        <v>26544</v>
      </c>
      <c r="F8572" t="s">
        <v>32831</v>
      </c>
      <c r="G8572" t="s">
        <v>32839</v>
      </c>
      <c r="H8572" t="s">
        <v>32848</v>
      </c>
      <c r="I8572" t="s">
        <v>10805</v>
      </c>
      <c r="J8572" t="s">
        <v>38315</v>
      </c>
      <c r="K8572" t="s">
        <v>42729</v>
      </c>
      <c r="M8572" t="s">
        <v>45689</v>
      </c>
      <c r="N8572" t="s">
        <v>47424</v>
      </c>
      <c r="O8572" t="s">
        <v>47425</v>
      </c>
      <c r="P8572">
        <v>0</v>
      </c>
      <c r="Q8572">
        <v>24</v>
      </c>
      <c r="R8572" t="s">
        <v>47432</v>
      </c>
      <c r="S8572" t="s">
        <v>47597</v>
      </c>
      <c r="T8572" t="s">
        <v>49470</v>
      </c>
      <c r="U8572" t="s">
        <v>56770</v>
      </c>
      <c r="W8572" t="s">
        <v>45689</v>
      </c>
      <c r="X8572" t="s">
        <v>47433</v>
      </c>
    </row>
    <row r="8573" spans="1:24">
      <c r="A8573">
        <f>HYPERLINK("https://www.philgeps.gov.ph/GEPSNONPILOT/Tender/SplashBidNoticeAbstractUI.aspx?menuIndex=3&amp;refID=7154233&amp;Result=3","7154233")</f>
        <v>0</v>
      </c>
      <c r="B8573" t="s">
        <v>1641</v>
      </c>
      <c r="C8573" t="s">
        <v>11959</v>
      </c>
      <c r="D8573" t="s">
        <v>19042</v>
      </c>
      <c r="E8573" t="s">
        <v>26545</v>
      </c>
      <c r="F8573" t="s">
        <v>32831</v>
      </c>
      <c r="G8573" t="s">
        <v>32839</v>
      </c>
      <c r="H8573" t="s">
        <v>32848</v>
      </c>
      <c r="I8573" t="s">
        <v>32883</v>
      </c>
      <c r="J8573" t="s">
        <v>34447</v>
      </c>
      <c r="K8573" t="s">
        <v>42729</v>
      </c>
      <c r="L8573" t="s">
        <v>1641</v>
      </c>
      <c r="M8573" t="s">
        <v>44758</v>
      </c>
      <c r="N8573" t="s">
        <v>47424</v>
      </c>
      <c r="O8573" t="s">
        <v>47425</v>
      </c>
      <c r="P8573">
        <v>0</v>
      </c>
      <c r="Q8573">
        <v>4</v>
      </c>
      <c r="R8573" t="s">
        <v>47432</v>
      </c>
      <c r="S8573" t="s">
        <v>47597</v>
      </c>
      <c r="T8573" t="s">
        <v>49283</v>
      </c>
      <c r="U8573" t="s">
        <v>56771</v>
      </c>
      <c r="V8573" t="s">
        <v>63581</v>
      </c>
      <c r="W8573" t="s">
        <v>44758</v>
      </c>
      <c r="X8573" t="s">
        <v>47433</v>
      </c>
    </row>
    <row r="8574" spans="1:24">
      <c r="A8574">
        <f>HYPERLINK("https://www.philgeps.gov.ph/GEPSNONPILOT/Tender/SplashBidNoticeAbstractUI.aspx?menuIndex=3&amp;refID=7154232&amp;Result=3","7154232")</f>
        <v>0</v>
      </c>
      <c r="B8574" t="s">
        <v>1130</v>
      </c>
      <c r="C8574" t="s">
        <v>11960</v>
      </c>
      <c r="D8574" t="s">
        <v>19045</v>
      </c>
      <c r="E8574" t="s">
        <v>26546</v>
      </c>
      <c r="F8574" t="s">
        <v>32831</v>
      </c>
      <c r="G8574" t="s">
        <v>32839</v>
      </c>
      <c r="H8574" t="s">
        <v>32849</v>
      </c>
      <c r="I8574" t="s">
        <v>4177</v>
      </c>
      <c r="J8574" t="s">
        <v>38316</v>
      </c>
      <c r="K8574" t="s">
        <v>42729</v>
      </c>
      <c r="M8574" t="s">
        <v>45442</v>
      </c>
      <c r="N8574" t="s">
        <v>47424</v>
      </c>
      <c r="O8574" t="s">
        <v>47425</v>
      </c>
      <c r="P8574">
        <v>0</v>
      </c>
      <c r="Q8574">
        <v>0</v>
      </c>
      <c r="R8574" t="s">
        <v>47432</v>
      </c>
      <c r="S8574" t="s">
        <v>47597</v>
      </c>
      <c r="T8574" t="s">
        <v>49181</v>
      </c>
      <c r="U8574" t="s">
        <v>56695</v>
      </c>
      <c r="V8574" t="s">
        <v>63325</v>
      </c>
      <c r="W8574" t="s">
        <v>45442</v>
      </c>
      <c r="X8574" t="s">
        <v>47433</v>
      </c>
    </row>
    <row r="8575" spans="1:24">
      <c r="A8575">
        <f>HYPERLINK("https://www.philgeps.gov.ph/GEPSNONPILOT/Tender/SplashBidNoticeAbstractUI.aspx?menuIndex=3&amp;refID=7154228&amp;Result=3","7154228")</f>
        <v>0</v>
      </c>
      <c r="B8575" t="s">
        <v>2636</v>
      </c>
      <c r="C8575" t="s">
        <v>11961</v>
      </c>
      <c r="D8575" t="s">
        <v>19037</v>
      </c>
      <c r="E8575" t="s">
        <v>26547</v>
      </c>
      <c r="F8575" t="s">
        <v>32831</v>
      </c>
      <c r="G8575" t="s">
        <v>32839</v>
      </c>
      <c r="H8575" t="s">
        <v>32848</v>
      </c>
      <c r="I8575" t="s">
        <v>7416</v>
      </c>
      <c r="J8575" t="s">
        <v>38317</v>
      </c>
      <c r="K8575" t="s">
        <v>42727</v>
      </c>
      <c r="M8575" t="s">
        <v>45965</v>
      </c>
      <c r="N8575" t="s">
        <v>47424</v>
      </c>
      <c r="O8575" t="s">
        <v>47425</v>
      </c>
      <c r="P8575">
        <v>0</v>
      </c>
      <c r="Q8575">
        <v>0</v>
      </c>
      <c r="R8575" t="s">
        <v>47432</v>
      </c>
      <c r="S8575" t="s">
        <v>47597</v>
      </c>
      <c r="T8575" t="s">
        <v>49070</v>
      </c>
      <c r="U8575" t="s">
        <v>56772</v>
      </c>
      <c r="W8575" t="s">
        <v>45965</v>
      </c>
      <c r="X8575" t="s">
        <v>47433</v>
      </c>
    </row>
    <row r="8576" spans="1:24">
      <c r="A8576">
        <f>HYPERLINK("https://www.philgeps.gov.ph/GEPSNONPILOT/Tender/SplashBidNoticeAbstractUI.aspx?menuIndex=3&amp;refID=7154226&amp;Result=3","7154226")</f>
        <v>0</v>
      </c>
      <c r="B8576" t="s">
        <v>2511</v>
      </c>
      <c r="C8576" t="s">
        <v>11962</v>
      </c>
      <c r="D8576" t="s">
        <v>19068</v>
      </c>
      <c r="E8576" t="s">
        <v>26548</v>
      </c>
      <c r="F8576" t="s">
        <v>32831</v>
      </c>
      <c r="G8576" t="s">
        <v>32839</v>
      </c>
      <c r="H8576" t="s">
        <v>32848</v>
      </c>
      <c r="I8576" t="s">
        <v>7416</v>
      </c>
      <c r="J8576" t="s">
        <v>38318</v>
      </c>
      <c r="K8576" t="s">
        <v>42727</v>
      </c>
      <c r="M8576" t="s">
        <v>45718</v>
      </c>
      <c r="N8576" t="s">
        <v>47424</v>
      </c>
      <c r="O8576" t="s">
        <v>47425</v>
      </c>
      <c r="P8576">
        <v>0</v>
      </c>
      <c r="Q8576">
        <v>0</v>
      </c>
      <c r="R8576" t="s">
        <v>47432</v>
      </c>
      <c r="S8576" t="s">
        <v>47597</v>
      </c>
      <c r="T8576" t="s">
        <v>49162</v>
      </c>
      <c r="U8576" t="s">
        <v>56773</v>
      </c>
      <c r="W8576" t="s">
        <v>45718</v>
      </c>
      <c r="X8576" t="s">
        <v>47433</v>
      </c>
    </row>
    <row r="8577" spans="1:24">
      <c r="A8577">
        <f>HYPERLINK("https://www.philgeps.gov.ph/GEPSNONPILOT/Tender/SplashBidNoticeAbstractUI.aspx?menuIndex=3&amp;refID=7154179&amp;Result=3","7154179")</f>
        <v>0</v>
      </c>
      <c r="B8577" t="s">
        <v>2211</v>
      </c>
      <c r="C8577" t="s">
        <v>11963</v>
      </c>
      <c r="D8577" t="s">
        <v>19031</v>
      </c>
      <c r="E8577" t="s">
        <v>26549</v>
      </c>
      <c r="F8577" t="s">
        <v>32831</v>
      </c>
      <c r="G8577" t="s">
        <v>32838</v>
      </c>
      <c r="H8577" t="s">
        <v>32848</v>
      </c>
      <c r="I8577" t="s">
        <v>4776</v>
      </c>
      <c r="J8577" t="s">
        <v>33133</v>
      </c>
      <c r="K8577" t="s">
        <v>42732</v>
      </c>
      <c r="M8577" t="s">
        <v>45391</v>
      </c>
      <c r="N8577" t="s">
        <v>47424</v>
      </c>
      <c r="O8577" t="s">
        <v>47425</v>
      </c>
      <c r="P8577">
        <v>0</v>
      </c>
      <c r="Q8577">
        <v>0</v>
      </c>
      <c r="R8577" t="s">
        <v>47432</v>
      </c>
      <c r="S8577" t="s">
        <v>47597</v>
      </c>
      <c r="T8577" t="s">
        <v>49237</v>
      </c>
      <c r="U8577" t="s">
        <v>56774</v>
      </c>
      <c r="V8577" t="s">
        <v>63302</v>
      </c>
      <c r="W8577" t="s">
        <v>45391</v>
      </c>
      <c r="X8577" t="s">
        <v>47433</v>
      </c>
    </row>
    <row r="8578" spans="1:24">
      <c r="A8578">
        <f>HYPERLINK("https://www.philgeps.gov.ph/GEPSNONPILOT/Tender/SplashBidNoticeAbstractUI.aspx?menuIndex=3&amp;refID=7154236&amp;Result=3","7154236")</f>
        <v>0</v>
      </c>
      <c r="B8578" t="s">
        <v>2847</v>
      </c>
      <c r="C8578" t="s">
        <v>11964</v>
      </c>
      <c r="D8578" t="s">
        <v>19034</v>
      </c>
      <c r="E8578" t="s">
        <v>26550</v>
      </c>
      <c r="F8578" t="s">
        <v>32831</v>
      </c>
      <c r="G8578" t="s">
        <v>32838</v>
      </c>
      <c r="H8578" t="s">
        <v>32848</v>
      </c>
      <c r="I8578" t="s">
        <v>32886</v>
      </c>
      <c r="J8578" t="s">
        <v>33338</v>
      </c>
      <c r="K8578" t="s">
        <v>42745</v>
      </c>
      <c r="M8578" t="s">
        <v>46080</v>
      </c>
      <c r="N8578" t="s">
        <v>47424</v>
      </c>
      <c r="O8578" t="s">
        <v>47425</v>
      </c>
      <c r="P8578">
        <v>0</v>
      </c>
      <c r="Q8578">
        <v>3</v>
      </c>
      <c r="R8578" t="s">
        <v>47432</v>
      </c>
      <c r="S8578" t="s">
        <v>47597</v>
      </c>
      <c r="T8578" t="s">
        <v>49107</v>
      </c>
      <c r="U8578" t="s">
        <v>56775</v>
      </c>
      <c r="W8578" t="s">
        <v>46080</v>
      </c>
      <c r="X8578" t="s">
        <v>47433</v>
      </c>
    </row>
    <row r="8579" spans="1:24">
      <c r="A8579">
        <f>HYPERLINK("https://www.philgeps.gov.ph/GEPSNONPILOT/Tender/SplashBidNoticeAbstractUI.aspx?menuIndex=3&amp;refID=7154225&amp;Result=3","7154225")</f>
        <v>0</v>
      </c>
      <c r="B8579" t="s">
        <v>67</v>
      </c>
      <c r="C8579" t="s">
        <v>11965</v>
      </c>
      <c r="D8579" t="s">
        <v>19079</v>
      </c>
      <c r="E8579" t="s">
        <v>26551</v>
      </c>
      <c r="F8579" t="s">
        <v>32831</v>
      </c>
      <c r="G8579" t="s">
        <v>32839</v>
      </c>
      <c r="H8579" t="s">
        <v>32848</v>
      </c>
      <c r="I8579" t="s">
        <v>32886</v>
      </c>
      <c r="J8579" t="s">
        <v>33465</v>
      </c>
      <c r="K8579" t="s">
        <v>42729</v>
      </c>
      <c r="M8579" t="s">
        <v>44711</v>
      </c>
      <c r="N8579" t="s">
        <v>47424</v>
      </c>
      <c r="O8579" t="s">
        <v>47425</v>
      </c>
      <c r="P8579">
        <v>0</v>
      </c>
      <c r="Q8579">
        <v>13</v>
      </c>
      <c r="R8579" t="s">
        <v>47432</v>
      </c>
      <c r="S8579" t="s">
        <v>47597</v>
      </c>
      <c r="T8579" t="s">
        <v>49338</v>
      </c>
      <c r="U8579" t="s">
        <v>56776</v>
      </c>
      <c r="W8579" t="s">
        <v>44711</v>
      </c>
      <c r="X8579" t="s">
        <v>47433</v>
      </c>
    </row>
    <row r="8580" spans="1:24">
      <c r="A8580">
        <f>HYPERLINK("https://www.philgeps.gov.ph/GEPSNONPILOT/Tender/SplashBidNoticeAbstractUI.aspx?menuIndex=3&amp;refID=7154221&amp;Result=3","7154221")</f>
        <v>0</v>
      </c>
      <c r="B8580" t="s">
        <v>2486</v>
      </c>
      <c r="C8580" t="s">
        <v>11966</v>
      </c>
      <c r="D8580" t="s">
        <v>19017</v>
      </c>
      <c r="E8580" t="s">
        <v>26552</v>
      </c>
      <c r="F8580" t="s">
        <v>32831</v>
      </c>
      <c r="G8580" t="s">
        <v>32839</v>
      </c>
      <c r="H8580" t="s">
        <v>32848</v>
      </c>
      <c r="I8580" t="s">
        <v>10805</v>
      </c>
      <c r="J8580" t="s">
        <v>36189</v>
      </c>
      <c r="K8580" t="s">
        <v>42729</v>
      </c>
      <c r="M8580" t="s">
        <v>45689</v>
      </c>
      <c r="N8580" t="s">
        <v>47424</v>
      </c>
      <c r="O8580" t="s">
        <v>47425</v>
      </c>
      <c r="P8580">
        <v>0</v>
      </c>
      <c r="Q8580">
        <v>24</v>
      </c>
      <c r="R8580" t="s">
        <v>47432</v>
      </c>
      <c r="S8580" t="s">
        <v>47597</v>
      </c>
      <c r="T8580" t="s">
        <v>49470</v>
      </c>
      <c r="U8580" t="s">
        <v>56777</v>
      </c>
      <c r="W8580" t="s">
        <v>45689</v>
      </c>
      <c r="X8580" t="s">
        <v>47433</v>
      </c>
    </row>
    <row r="8581" spans="1:24">
      <c r="A8581">
        <f>HYPERLINK("https://www.philgeps.gov.ph/GEPSNONPILOT/Tender/SplashBidNoticeAbstractUI.aspx?menuIndex=3&amp;refID=7154224&amp;Result=3","7154224")</f>
        <v>0</v>
      </c>
      <c r="B8581" t="s">
        <v>2848</v>
      </c>
      <c r="C8581" t="s">
        <v>11967</v>
      </c>
      <c r="D8581" t="s">
        <v>19044</v>
      </c>
      <c r="E8581" t="s">
        <v>11967</v>
      </c>
      <c r="F8581" t="s">
        <v>32831</v>
      </c>
      <c r="G8581" t="s">
        <v>32839</v>
      </c>
      <c r="H8581" t="s">
        <v>32848</v>
      </c>
      <c r="I8581" t="s">
        <v>4558</v>
      </c>
      <c r="J8581" t="s">
        <v>38319</v>
      </c>
      <c r="K8581" t="s">
        <v>42732</v>
      </c>
      <c r="M8581" t="s">
        <v>46081</v>
      </c>
      <c r="N8581" t="s">
        <v>47424</v>
      </c>
      <c r="O8581" t="s">
        <v>47425</v>
      </c>
      <c r="Q8581">
        <v>7</v>
      </c>
      <c r="R8581" t="s">
        <v>47432</v>
      </c>
      <c r="S8581" t="s">
        <v>47612</v>
      </c>
      <c r="T8581" t="s">
        <v>49221</v>
      </c>
      <c r="U8581" t="s">
        <v>56778</v>
      </c>
      <c r="V8581" t="s">
        <v>63582</v>
      </c>
      <c r="W8581" t="s">
        <v>46081</v>
      </c>
      <c r="X8581" t="s">
        <v>47433</v>
      </c>
    </row>
    <row r="8582" spans="1:24">
      <c r="A8582">
        <f>HYPERLINK("https://www.philgeps.gov.ph/GEPSNONPILOT/Tender/SplashBidNoticeAbstractUI.aspx?menuIndex=3&amp;refID=7154227&amp;Result=3","7154227")</f>
        <v>0</v>
      </c>
      <c r="B8582" t="s">
        <v>2833</v>
      </c>
      <c r="C8582" t="s">
        <v>11968</v>
      </c>
      <c r="D8582" t="s">
        <v>19073</v>
      </c>
      <c r="E8582" t="s">
        <v>22112</v>
      </c>
      <c r="F8582" t="s">
        <v>32831</v>
      </c>
      <c r="G8582" t="s">
        <v>32838</v>
      </c>
      <c r="H8582" t="s">
        <v>32848</v>
      </c>
      <c r="I8582" t="s">
        <v>7416</v>
      </c>
      <c r="J8582" t="s">
        <v>38320</v>
      </c>
      <c r="K8582" t="s">
        <v>42730</v>
      </c>
      <c r="M8582" t="s">
        <v>46065</v>
      </c>
      <c r="N8582" t="s">
        <v>47424</v>
      </c>
      <c r="O8582" t="s">
        <v>47425</v>
      </c>
      <c r="P8582">
        <v>0</v>
      </c>
      <c r="Q8582">
        <v>0</v>
      </c>
      <c r="R8582" t="s">
        <v>47432</v>
      </c>
      <c r="S8582" t="s">
        <v>47597</v>
      </c>
      <c r="T8582" t="s">
        <v>49237</v>
      </c>
      <c r="U8582" t="s">
        <v>56723</v>
      </c>
      <c r="W8582" t="s">
        <v>46065</v>
      </c>
      <c r="X8582" t="s">
        <v>47433</v>
      </c>
    </row>
    <row r="8583" spans="1:24">
      <c r="A8583">
        <f>HYPERLINK("https://www.philgeps.gov.ph/GEPSNONPILOT/Tender/SplashBidNoticeAbstractUI.aspx?menuIndex=3&amp;refID=7154239&amp;Result=3","7154239")</f>
        <v>0</v>
      </c>
      <c r="B8583" t="s">
        <v>2849</v>
      </c>
      <c r="C8583" t="s">
        <v>11969</v>
      </c>
      <c r="D8583" t="s">
        <v>19026</v>
      </c>
      <c r="E8583" t="s">
        <v>24906</v>
      </c>
      <c r="F8583" t="s">
        <v>32831</v>
      </c>
      <c r="G8583" t="s">
        <v>32839</v>
      </c>
      <c r="H8583" t="s">
        <v>32848</v>
      </c>
      <c r="I8583" t="s">
        <v>7416</v>
      </c>
      <c r="J8583" t="s">
        <v>33087</v>
      </c>
      <c r="K8583" t="s">
        <v>42731</v>
      </c>
      <c r="L8583" t="s">
        <v>2849</v>
      </c>
      <c r="M8583" t="s">
        <v>46082</v>
      </c>
      <c r="N8583" t="s">
        <v>47424</v>
      </c>
      <c r="O8583" t="s">
        <v>47425</v>
      </c>
      <c r="P8583">
        <v>0</v>
      </c>
      <c r="Q8583">
        <v>5</v>
      </c>
      <c r="R8583" t="s">
        <v>47432</v>
      </c>
      <c r="S8583" t="s">
        <v>47597</v>
      </c>
      <c r="T8583" t="s">
        <v>49127</v>
      </c>
      <c r="U8583" t="s">
        <v>56779</v>
      </c>
      <c r="W8583" t="s">
        <v>46082</v>
      </c>
      <c r="X8583" t="s">
        <v>47433</v>
      </c>
    </row>
    <row r="8584" spans="1:24">
      <c r="A8584">
        <f>HYPERLINK("https://www.philgeps.gov.ph/GEPSNONPILOT/Tender/SplashBidNoticeAbstractUI.aspx?menuIndex=3&amp;refID=7154274&amp;Result=3","7154274")</f>
        <v>0</v>
      </c>
      <c r="B8584" t="s">
        <v>2207</v>
      </c>
      <c r="C8584" t="s">
        <v>11970</v>
      </c>
      <c r="D8584" t="s">
        <v>19074</v>
      </c>
      <c r="E8584" t="s">
        <v>26553</v>
      </c>
      <c r="F8584" t="s">
        <v>32831</v>
      </c>
      <c r="G8584" t="s">
        <v>32839</v>
      </c>
      <c r="H8584" t="s">
        <v>32849</v>
      </c>
      <c r="I8584" t="s">
        <v>4177</v>
      </c>
      <c r="J8584" t="s">
        <v>38321</v>
      </c>
      <c r="K8584" t="s">
        <v>42779</v>
      </c>
      <c r="M8584" t="s">
        <v>45387</v>
      </c>
      <c r="N8584" t="s">
        <v>47424</v>
      </c>
      <c r="O8584" t="s">
        <v>47425</v>
      </c>
      <c r="P8584">
        <v>0</v>
      </c>
      <c r="Q8584">
        <v>0</v>
      </c>
      <c r="R8584" t="s">
        <v>47432</v>
      </c>
      <c r="S8584" t="s">
        <v>47597</v>
      </c>
      <c r="T8584" t="s">
        <v>49141</v>
      </c>
      <c r="U8584" t="s">
        <v>56780</v>
      </c>
      <c r="W8584" t="s">
        <v>45387</v>
      </c>
      <c r="X8584" t="s">
        <v>47433</v>
      </c>
    </row>
    <row r="8585" spans="1:24">
      <c r="A8585">
        <f>HYPERLINK("https://www.philgeps.gov.ph/GEPSNONPILOT/Tender/SplashBidNoticeAbstractUI.aspx?menuIndex=3&amp;refID=7154147&amp;Result=3","7154147")</f>
        <v>0</v>
      </c>
      <c r="B8585" t="s">
        <v>67</v>
      </c>
      <c r="C8585" t="s">
        <v>11971</v>
      </c>
      <c r="D8585" t="s">
        <v>19079</v>
      </c>
      <c r="E8585" t="s">
        <v>26554</v>
      </c>
      <c r="F8585" t="s">
        <v>32831</v>
      </c>
      <c r="G8585" t="s">
        <v>32839</v>
      </c>
      <c r="H8585" t="s">
        <v>32848</v>
      </c>
      <c r="I8585" t="s">
        <v>32886</v>
      </c>
      <c r="J8585" t="s">
        <v>34921</v>
      </c>
      <c r="K8585" t="s">
        <v>42729</v>
      </c>
      <c r="M8585" t="s">
        <v>44711</v>
      </c>
      <c r="N8585" t="s">
        <v>47424</v>
      </c>
      <c r="O8585" t="s">
        <v>47425</v>
      </c>
      <c r="P8585">
        <v>0</v>
      </c>
      <c r="Q8585">
        <v>9</v>
      </c>
      <c r="R8585" t="s">
        <v>47432</v>
      </c>
      <c r="S8585" t="s">
        <v>47597</v>
      </c>
      <c r="T8585" t="s">
        <v>49338</v>
      </c>
      <c r="U8585" t="s">
        <v>56781</v>
      </c>
      <c r="W8585" t="s">
        <v>44711</v>
      </c>
      <c r="X8585" t="s">
        <v>47433</v>
      </c>
    </row>
    <row r="8586" spans="1:24">
      <c r="A8586">
        <f>HYPERLINK("https://www.philgeps.gov.ph/GEPSNONPILOT/Tender/SplashBidNoticeAbstractUI.aspx?menuIndex=3&amp;refID=7154219&amp;Result=3","7154219")</f>
        <v>0</v>
      </c>
      <c r="B8586" t="s">
        <v>2850</v>
      </c>
      <c r="C8586" t="s">
        <v>9702</v>
      </c>
      <c r="D8586" t="s">
        <v>19061</v>
      </c>
      <c r="E8586" t="s">
        <v>26555</v>
      </c>
      <c r="F8586" t="s">
        <v>32831</v>
      </c>
      <c r="G8586" t="s">
        <v>32839</v>
      </c>
      <c r="H8586" t="s">
        <v>32848</v>
      </c>
      <c r="I8586" t="s">
        <v>32858</v>
      </c>
      <c r="J8586" t="s">
        <v>38322</v>
      </c>
      <c r="K8586" t="s">
        <v>42730</v>
      </c>
      <c r="M8586" t="s">
        <v>46083</v>
      </c>
      <c r="N8586" t="s">
        <v>47424</v>
      </c>
      <c r="O8586" t="s">
        <v>47425</v>
      </c>
      <c r="P8586">
        <v>0</v>
      </c>
      <c r="Q8586">
        <v>1</v>
      </c>
      <c r="R8586" t="s">
        <v>47432</v>
      </c>
      <c r="S8586" t="s">
        <v>47597</v>
      </c>
      <c r="T8586" t="s">
        <v>49123</v>
      </c>
      <c r="U8586" t="s">
        <v>56782</v>
      </c>
      <c r="W8586" t="s">
        <v>46083</v>
      </c>
      <c r="X8586" t="s">
        <v>47433</v>
      </c>
    </row>
    <row r="8587" spans="1:24">
      <c r="A8587">
        <f>HYPERLINK("https://www.philgeps.gov.ph/GEPSNONPILOT/Tender/SplashBidNoticeAbstractUI.aspx?menuIndex=3&amp;refID=7154283&amp;Result=3","7154283")</f>
        <v>0</v>
      </c>
      <c r="B8587" t="s">
        <v>2851</v>
      </c>
      <c r="C8587" t="s">
        <v>11972</v>
      </c>
      <c r="D8587" t="s">
        <v>19037</v>
      </c>
      <c r="E8587" t="s">
        <v>26556</v>
      </c>
      <c r="F8587" t="s">
        <v>32831</v>
      </c>
      <c r="G8587" t="s">
        <v>32838</v>
      </c>
      <c r="H8587" t="s">
        <v>32848</v>
      </c>
      <c r="I8587" t="s">
        <v>9281</v>
      </c>
      <c r="J8587" t="s">
        <v>35961</v>
      </c>
      <c r="K8587" t="s">
        <v>42729</v>
      </c>
      <c r="M8587" t="s">
        <v>46084</v>
      </c>
      <c r="N8587" t="s">
        <v>47424</v>
      </c>
      <c r="O8587" t="s">
        <v>47425</v>
      </c>
      <c r="P8587">
        <v>0</v>
      </c>
      <c r="Q8587">
        <v>7</v>
      </c>
      <c r="R8587" t="s">
        <v>47432</v>
      </c>
      <c r="S8587" t="s">
        <v>47597</v>
      </c>
      <c r="T8587" t="s">
        <v>49080</v>
      </c>
      <c r="U8587" t="s">
        <v>56783</v>
      </c>
      <c r="W8587" t="s">
        <v>46084</v>
      </c>
      <c r="X8587" t="s">
        <v>47433</v>
      </c>
    </row>
    <row r="8588" spans="1:24">
      <c r="A8588">
        <f>HYPERLINK("https://www.philgeps.gov.ph/GEPSNONPILOT/Tender/SplashBidNoticeAbstractUI.aspx?menuIndex=3&amp;refID=7154278&amp;Result=3","7154278")</f>
        <v>0</v>
      </c>
      <c r="B8588" t="s">
        <v>2852</v>
      </c>
      <c r="C8588" t="s">
        <v>11973</v>
      </c>
      <c r="D8588" t="s">
        <v>19057</v>
      </c>
      <c r="E8588" t="s">
        <v>23170</v>
      </c>
      <c r="F8588" t="s">
        <v>32832</v>
      </c>
      <c r="G8588" t="s">
        <v>32839</v>
      </c>
      <c r="H8588" t="s">
        <v>32849</v>
      </c>
      <c r="I8588" t="s">
        <v>4177</v>
      </c>
      <c r="J8588" t="s">
        <v>38323</v>
      </c>
      <c r="K8588" t="s">
        <v>42747</v>
      </c>
      <c r="M8588" t="s">
        <v>46085</v>
      </c>
      <c r="N8588" t="s">
        <v>47424</v>
      </c>
      <c r="O8588" t="s">
        <v>47425</v>
      </c>
      <c r="P8588">
        <v>0</v>
      </c>
      <c r="Q8588">
        <v>0</v>
      </c>
      <c r="R8588" t="s">
        <v>47432</v>
      </c>
      <c r="S8588" t="s">
        <v>47597</v>
      </c>
      <c r="T8588" t="s">
        <v>49266</v>
      </c>
      <c r="U8588" t="s">
        <v>56784</v>
      </c>
      <c r="W8588" t="s">
        <v>46085</v>
      </c>
      <c r="X8588" t="s">
        <v>47433</v>
      </c>
    </row>
    <row r="8589" spans="1:24">
      <c r="A8589">
        <f>HYPERLINK("https://www.philgeps.gov.ph/GEPSNONPILOT/Tender/SplashBidNoticeAbstractUI.aspx?menuIndex=3&amp;refID=7154276&amp;Result=3","7154276")</f>
        <v>0</v>
      </c>
      <c r="B8589" t="s">
        <v>2088</v>
      </c>
      <c r="C8589" t="s">
        <v>11974</v>
      </c>
      <c r="D8589" t="s">
        <v>19044</v>
      </c>
      <c r="E8589" t="s">
        <v>20035</v>
      </c>
      <c r="F8589" t="s">
        <v>32831</v>
      </c>
      <c r="G8589" t="s">
        <v>32839</v>
      </c>
      <c r="H8589" t="s">
        <v>32848</v>
      </c>
      <c r="I8589" t="s">
        <v>32897</v>
      </c>
      <c r="J8589" t="s">
        <v>33118</v>
      </c>
      <c r="K8589" t="s">
        <v>42747</v>
      </c>
      <c r="M8589" t="s">
        <v>45260</v>
      </c>
      <c r="N8589" t="s">
        <v>47424</v>
      </c>
      <c r="O8589" t="s">
        <v>47425</v>
      </c>
      <c r="P8589">
        <v>0</v>
      </c>
      <c r="Q8589">
        <v>2</v>
      </c>
      <c r="R8589" t="s">
        <v>47432</v>
      </c>
      <c r="S8589" t="s">
        <v>47597</v>
      </c>
      <c r="T8589" t="s">
        <v>49112</v>
      </c>
      <c r="U8589" t="s">
        <v>56785</v>
      </c>
      <c r="W8589" t="s">
        <v>45260</v>
      </c>
      <c r="X8589" t="s">
        <v>47433</v>
      </c>
    </row>
    <row r="8590" spans="1:24">
      <c r="A8590">
        <f>HYPERLINK("https://www.philgeps.gov.ph/GEPSNONPILOT/Tender/SplashBidNoticeAbstractUI.aspx?menuIndex=3&amp;refID=7154269&amp;Result=3","7154269")</f>
        <v>0</v>
      </c>
      <c r="B8590" t="s">
        <v>2215</v>
      </c>
      <c r="C8590" t="s">
        <v>11975</v>
      </c>
      <c r="D8590" t="s">
        <v>19077</v>
      </c>
      <c r="E8590" t="s">
        <v>26557</v>
      </c>
      <c r="F8590" t="s">
        <v>32831</v>
      </c>
      <c r="G8590" t="s">
        <v>32839</v>
      </c>
      <c r="H8590" t="s">
        <v>32849</v>
      </c>
      <c r="I8590" t="s">
        <v>4177</v>
      </c>
      <c r="J8590" t="s">
        <v>38324</v>
      </c>
      <c r="K8590" t="s">
        <v>42824</v>
      </c>
      <c r="M8590" t="s">
        <v>45395</v>
      </c>
      <c r="N8590" t="s">
        <v>47424</v>
      </c>
      <c r="O8590" t="s">
        <v>47425</v>
      </c>
      <c r="P8590">
        <v>0</v>
      </c>
      <c r="Q8590">
        <v>0</v>
      </c>
      <c r="R8590" t="s">
        <v>47432</v>
      </c>
      <c r="S8590" t="s">
        <v>47597</v>
      </c>
      <c r="T8590" t="s">
        <v>49236</v>
      </c>
      <c r="U8590" t="s">
        <v>56786</v>
      </c>
      <c r="W8590" t="s">
        <v>45395</v>
      </c>
      <c r="X8590" t="s">
        <v>47433</v>
      </c>
    </row>
    <row r="8591" spans="1:24">
      <c r="A8591">
        <f>HYPERLINK("https://www.philgeps.gov.ph/GEPSNONPILOT/Tender/SplashBidNoticeAbstractUI.aspx?menuIndex=3&amp;refID=7154268&amp;Result=3","7154268")</f>
        <v>0</v>
      </c>
      <c r="B8591" t="s">
        <v>2853</v>
      </c>
      <c r="C8591" t="s">
        <v>11976</v>
      </c>
      <c r="D8591" t="s">
        <v>19044</v>
      </c>
      <c r="E8591" t="s">
        <v>19555</v>
      </c>
      <c r="F8591" t="s">
        <v>32831</v>
      </c>
      <c r="G8591" t="s">
        <v>32841</v>
      </c>
      <c r="H8591" t="s">
        <v>32848</v>
      </c>
      <c r="I8591" t="s">
        <v>7416</v>
      </c>
      <c r="J8591" t="s">
        <v>38325</v>
      </c>
      <c r="K8591" t="s">
        <v>42730</v>
      </c>
      <c r="M8591" t="s">
        <v>46086</v>
      </c>
      <c r="N8591" t="s">
        <v>47424</v>
      </c>
      <c r="O8591" t="s">
        <v>47425</v>
      </c>
      <c r="P8591">
        <v>0</v>
      </c>
      <c r="Q8591">
        <v>0</v>
      </c>
      <c r="R8591" t="s">
        <v>47432</v>
      </c>
      <c r="S8591" t="s">
        <v>47597</v>
      </c>
      <c r="T8591" t="s">
        <v>49063</v>
      </c>
      <c r="U8591" t="s">
        <v>56787</v>
      </c>
      <c r="W8591" t="s">
        <v>46086</v>
      </c>
      <c r="X8591" t="s">
        <v>47433</v>
      </c>
    </row>
    <row r="8592" spans="1:24">
      <c r="A8592">
        <f>HYPERLINK("https://www.philgeps.gov.ph/GEPSNONPILOT/Tender/SplashBidNoticeAbstractUI.aspx?menuIndex=3&amp;refID=7154208&amp;Result=3","7154208")</f>
        <v>0</v>
      </c>
      <c r="B8592" t="s">
        <v>2215</v>
      </c>
      <c r="C8592" t="s">
        <v>11977</v>
      </c>
      <c r="D8592" t="s">
        <v>19077</v>
      </c>
      <c r="E8592" t="s">
        <v>26558</v>
      </c>
      <c r="F8592" t="s">
        <v>32831</v>
      </c>
      <c r="G8592" t="s">
        <v>32839</v>
      </c>
      <c r="H8592" t="s">
        <v>32849</v>
      </c>
      <c r="I8592" t="s">
        <v>4177</v>
      </c>
      <c r="J8592" t="s">
        <v>38326</v>
      </c>
      <c r="K8592" t="s">
        <v>42756</v>
      </c>
      <c r="M8592" t="s">
        <v>45395</v>
      </c>
      <c r="N8592" t="s">
        <v>47424</v>
      </c>
      <c r="O8592" t="s">
        <v>47425</v>
      </c>
      <c r="P8592">
        <v>0</v>
      </c>
      <c r="Q8592">
        <v>0</v>
      </c>
      <c r="R8592" t="s">
        <v>47432</v>
      </c>
      <c r="S8592" t="s">
        <v>47597</v>
      </c>
      <c r="T8592" t="s">
        <v>49236</v>
      </c>
      <c r="U8592" t="s">
        <v>56788</v>
      </c>
      <c r="W8592" t="s">
        <v>45395</v>
      </c>
      <c r="X8592" t="s">
        <v>47433</v>
      </c>
    </row>
    <row r="8593" spans="1:24">
      <c r="A8593">
        <f>HYPERLINK("https://www.philgeps.gov.ph/GEPSNONPILOT/Tender/SplashBidNoticeAbstractUI.aspx?menuIndex=3&amp;refID=7154101&amp;Result=3","7154101")</f>
        <v>0</v>
      </c>
      <c r="B8593" t="s">
        <v>2838</v>
      </c>
      <c r="C8593" t="s">
        <v>11978</v>
      </c>
      <c r="D8593" t="s">
        <v>19047</v>
      </c>
      <c r="E8593" t="s">
        <v>26559</v>
      </c>
      <c r="F8593" t="s">
        <v>32831</v>
      </c>
      <c r="G8593" t="s">
        <v>32839</v>
      </c>
      <c r="H8593" t="s">
        <v>32848</v>
      </c>
      <c r="I8593" t="s">
        <v>4487</v>
      </c>
      <c r="J8593" t="s">
        <v>38327</v>
      </c>
      <c r="K8593" t="s">
        <v>42727</v>
      </c>
      <c r="M8593" t="s">
        <v>46070</v>
      </c>
      <c r="N8593" t="s">
        <v>47424</v>
      </c>
      <c r="O8593" t="s">
        <v>47425</v>
      </c>
      <c r="P8593">
        <v>0</v>
      </c>
      <c r="Q8593">
        <v>1</v>
      </c>
      <c r="R8593" t="s">
        <v>47432</v>
      </c>
      <c r="S8593" t="s">
        <v>47597</v>
      </c>
      <c r="T8593" t="s">
        <v>49213</v>
      </c>
      <c r="U8593" t="s">
        <v>56789</v>
      </c>
      <c r="W8593" t="s">
        <v>46070</v>
      </c>
      <c r="X8593" t="s">
        <v>47433</v>
      </c>
    </row>
    <row r="8594" spans="1:24">
      <c r="A8594">
        <f>HYPERLINK("https://www.philgeps.gov.ph/GEPSNONPILOT/Tender/SplashBidNoticeAbstractUI.aspx?menuIndex=3&amp;refID=7154258&amp;Result=3","7154258")</f>
        <v>0</v>
      </c>
      <c r="B8594" t="s">
        <v>2429</v>
      </c>
      <c r="C8594" t="s">
        <v>11979</v>
      </c>
      <c r="D8594" t="s">
        <v>19064</v>
      </c>
      <c r="E8594" t="s">
        <v>25602</v>
      </c>
      <c r="F8594" t="s">
        <v>32831</v>
      </c>
      <c r="G8594" t="s">
        <v>32839</v>
      </c>
      <c r="H8594" t="s">
        <v>32848</v>
      </c>
      <c r="I8594" t="s">
        <v>4340</v>
      </c>
      <c r="J8594" t="s">
        <v>38328</v>
      </c>
      <c r="K8594" t="s">
        <v>42731</v>
      </c>
      <c r="M8594" t="s">
        <v>45626</v>
      </c>
      <c r="N8594" t="s">
        <v>47424</v>
      </c>
      <c r="O8594" t="s">
        <v>47425</v>
      </c>
      <c r="P8594">
        <v>0</v>
      </c>
      <c r="Q8594">
        <v>0</v>
      </c>
      <c r="R8594" t="s">
        <v>47432</v>
      </c>
      <c r="S8594" t="s">
        <v>47597</v>
      </c>
      <c r="T8594" t="s">
        <v>49055</v>
      </c>
      <c r="U8594" t="s">
        <v>56790</v>
      </c>
      <c r="W8594" t="s">
        <v>45626</v>
      </c>
      <c r="X8594" t="s">
        <v>47433</v>
      </c>
    </row>
    <row r="8595" spans="1:24">
      <c r="A8595">
        <f>HYPERLINK("https://www.philgeps.gov.ph/GEPSNONPILOT/Tender/SplashBidNoticeAbstractUI.aspx?menuIndex=3&amp;refID=7154255&amp;Result=3","7154255")</f>
        <v>0</v>
      </c>
      <c r="B8595" t="s">
        <v>736</v>
      </c>
      <c r="C8595" t="s">
        <v>11980</v>
      </c>
      <c r="D8595" t="s">
        <v>19062</v>
      </c>
      <c r="E8595" t="s">
        <v>26560</v>
      </c>
      <c r="F8595" t="s">
        <v>32831</v>
      </c>
      <c r="G8595" t="s">
        <v>32838</v>
      </c>
      <c r="H8595" t="s">
        <v>32848</v>
      </c>
      <c r="I8595" t="s">
        <v>4487</v>
      </c>
      <c r="J8595" t="s">
        <v>33041</v>
      </c>
      <c r="K8595" t="s">
        <v>42731</v>
      </c>
      <c r="M8595" t="s">
        <v>43758</v>
      </c>
      <c r="N8595" t="s">
        <v>47424</v>
      </c>
      <c r="O8595" t="s">
        <v>47425</v>
      </c>
      <c r="P8595">
        <v>0</v>
      </c>
      <c r="Q8595">
        <v>2</v>
      </c>
      <c r="R8595" t="s">
        <v>47432</v>
      </c>
      <c r="S8595" t="s">
        <v>47597</v>
      </c>
      <c r="T8595" t="s">
        <v>49127</v>
      </c>
      <c r="U8595" t="s">
        <v>56791</v>
      </c>
      <c r="W8595" t="s">
        <v>43758</v>
      </c>
      <c r="X8595" t="s">
        <v>47433</v>
      </c>
    </row>
    <row r="8596" spans="1:24">
      <c r="A8596">
        <f>HYPERLINK("https://www.philgeps.gov.ph/GEPSNONPILOT/Tender/SplashBidNoticeAbstractUI.aspx?menuIndex=3&amp;refID=7153970&amp;Result=3","7153970")</f>
        <v>0</v>
      </c>
      <c r="B8596" t="s">
        <v>2844</v>
      </c>
      <c r="C8596" t="s">
        <v>11981</v>
      </c>
      <c r="D8596" t="s">
        <v>19036</v>
      </c>
      <c r="E8596" t="s">
        <v>26561</v>
      </c>
      <c r="F8596" t="s">
        <v>32831</v>
      </c>
      <c r="G8596" t="s">
        <v>32839</v>
      </c>
      <c r="H8596" t="s">
        <v>32848</v>
      </c>
      <c r="I8596" t="s">
        <v>7416</v>
      </c>
      <c r="J8596" t="s">
        <v>38329</v>
      </c>
      <c r="K8596" t="s">
        <v>42730</v>
      </c>
      <c r="M8596" t="s">
        <v>46076</v>
      </c>
      <c r="N8596" t="s">
        <v>47424</v>
      </c>
      <c r="O8596" t="s">
        <v>47425</v>
      </c>
      <c r="P8596">
        <v>0</v>
      </c>
      <c r="Q8596">
        <v>0</v>
      </c>
      <c r="R8596" t="s">
        <v>47432</v>
      </c>
      <c r="S8596" t="s">
        <v>47597</v>
      </c>
      <c r="T8596" t="s">
        <v>49221</v>
      </c>
      <c r="U8596" t="s">
        <v>56792</v>
      </c>
      <c r="V8596" t="s">
        <v>63583</v>
      </c>
      <c r="W8596" t="s">
        <v>46076</v>
      </c>
      <c r="X8596" t="s">
        <v>47433</v>
      </c>
    </row>
    <row r="8597" spans="1:24">
      <c r="A8597">
        <f>HYPERLINK("https://www.philgeps.gov.ph/GEPSNONPILOT/Tender/SplashBidNoticeAbstractUI.aspx?menuIndex=3&amp;refID=7154250&amp;Result=3","7154250")</f>
        <v>0</v>
      </c>
      <c r="B8597" t="s">
        <v>2676</v>
      </c>
      <c r="C8597" t="s">
        <v>11982</v>
      </c>
      <c r="D8597" t="s">
        <v>19058</v>
      </c>
      <c r="E8597" t="s">
        <v>26562</v>
      </c>
      <c r="F8597" t="s">
        <v>32831</v>
      </c>
      <c r="G8597" t="s">
        <v>32842</v>
      </c>
      <c r="H8597" t="s">
        <v>32848</v>
      </c>
      <c r="I8597" t="s">
        <v>4776</v>
      </c>
      <c r="J8597" t="s">
        <v>38330</v>
      </c>
      <c r="K8597" t="s">
        <v>42731</v>
      </c>
      <c r="M8597" t="s">
        <v>45899</v>
      </c>
      <c r="N8597" t="s">
        <v>47424</v>
      </c>
      <c r="O8597" t="s">
        <v>47425</v>
      </c>
      <c r="P8597">
        <v>0</v>
      </c>
      <c r="Q8597">
        <v>4</v>
      </c>
      <c r="R8597" t="s">
        <v>47432</v>
      </c>
      <c r="S8597" t="s">
        <v>47597</v>
      </c>
      <c r="T8597" t="s">
        <v>49214</v>
      </c>
      <c r="U8597" t="s">
        <v>56793</v>
      </c>
      <c r="W8597" t="s">
        <v>45899</v>
      </c>
      <c r="X8597" t="s">
        <v>47433</v>
      </c>
    </row>
    <row r="8598" spans="1:24">
      <c r="A8598">
        <f>HYPERLINK("https://www.philgeps.gov.ph/GEPSNONPILOT/Tender/SplashBidNoticeAbstractUI.aspx?menuIndex=3&amp;refID=7154254&amp;Result=3","7154254")</f>
        <v>0</v>
      </c>
      <c r="B8598" t="s">
        <v>2854</v>
      </c>
      <c r="C8598" t="s">
        <v>11983</v>
      </c>
      <c r="D8598" t="s">
        <v>19022</v>
      </c>
      <c r="E8598" t="s">
        <v>22111</v>
      </c>
      <c r="F8598" t="s">
        <v>32831</v>
      </c>
      <c r="G8598" t="s">
        <v>32839</v>
      </c>
      <c r="H8598" t="s">
        <v>32848</v>
      </c>
      <c r="I8598" t="s">
        <v>4438</v>
      </c>
      <c r="J8598" t="s">
        <v>38331</v>
      </c>
      <c r="K8598" t="s">
        <v>42745</v>
      </c>
      <c r="M8598" t="s">
        <v>46087</v>
      </c>
      <c r="N8598" t="s">
        <v>47424</v>
      </c>
      <c r="O8598" t="s">
        <v>47425</v>
      </c>
      <c r="P8598">
        <v>0</v>
      </c>
      <c r="Q8598">
        <v>1</v>
      </c>
      <c r="R8598" t="s">
        <v>47432</v>
      </c>
      <c r="S8598" t="s">
        <v>47597</v>
      </c>
      <c r="T8598" t="s">
        <v>49490</v>
      </c>
      <c r="U8598" t="s">
        <v>56794</v>
      </c>
      <c r="V8598" t="s">
        <v>63584</v>
      </c>
      <c r="W8598" t="s">
        <v>46087</v>
      </c>
      <c r="X8598" t="s">
        <v>47433</v>
      </c>
    </row>
    <row r="8599" spans="1:24">
      <c r="A8599">
        <f>HYPERLINK("https://www.philgeps.gov.ph/GEPSNONPILOT/Tender/SplashBidNoticeAbstractUI.aspx?menuIndex=3&amp;refID=7154260&amp;Result=3","7154260")</f>
        <v>0</v>
      </c>
      <c r="B8599" t="s">
        <v>672</v>
      </c>
      <c r="C8599" t="s">
        <v>11984</v>
      </c>
      <c r="D8599" t="s">
        <v>19085</v>
      </c>
      <c r="E8599" t="s">
        <v>26563</v>
      </c>
      <c r="F8599" t="s">
        <v>32831</v>
      </c>
      <c r="G8599" t="s">
        <v>32839</v>
      </c>
      <c r="H8599" t="s">
        <v>32848</v>
      </c>
      <c r="I8599" t="s">
        <v>32892</v>
      </c>
      <c r="J8599" t="s">
        <v>38332</v>
      </c>
      <c r="K8599" t="s">
        <v>42726</v>
      </c>
      <c r="M8599" t="s">
        <v>43691</v>
      </c>
      <c r="N8599" t="s">
        <v>47424</v>
      </c>
      <c r="O8599" t="s">
        <v>47425</v>
      </c>
      <c r="P8599">
        <v>0</v>
      </c>
      <c r="Q8599">
        <v>1</v>
      </c>
      <c r="R8599" t="s">
        <v>47432</v>
      </c>
      <c r="S8599" t="s">
        <v>47597</v>
      </c>
      <c r="T8599" t="s">
        <v>49162</v>
      </c>
      <c r="U8599" t="s">
        <v>56795</v>
      </c>
      <c r="V8599" t="s">
        <v>63585</v>
      </c>
      <c r="W8599" t="s">
        <v>43691</v>
      </c>
      <c r="X8599" t="s">
        <v>47433</v>
      </c>
    </row>
    <row r="8600" spans="1:24">
      <c r="A8600">
        <f>HYPERLINK("https://www.philgeps.gov.ph/GEPSNONPILOT/Tender/SplashBidNoticeAbstractUI.aspx?menuIndex=3&amp;refID=7154253&amp;Result=3","7154253")</f>
        <v>0</v>
      </c>
      <c r="B8600" t="s">
        <v>2232</v>
      </c>
      <c r="C8600" t="s">
        <v>11985</v>
      </c>
      <c r="D8600" t="s">
        <v>19062</v>
      </c>
      <c r="E8600" t="s">
        <v>26564</v>
      </c>
      <c r="F8600" t="s">
        <v>32831</v>
      </c>
      <c r="G8600" t="s">
        <v>32838</v>
      </c>
      <c r="H8600" t="s">
        <v>32848</v>
      </c>
      <c r="I8600" t="s">
        <v>32870</v>
      </c>
      <c r="J8600" t="s">
        <v>38333</v>
      </c>
      <c r="K8600" t="s">
        <v>42731</v>
      </c>
      <c r="M8600" t="s">
        <v>45413</v>
      </c>
      <c r="N8600" t="s">
        <v>47424</v>
      </c>
      <c r="O8600" t="s">
        <v>47425</v>
      </c>
      <c r="P8600">
        <v>0</v>
      </c>
      <c r="Q8600">
        <v>1</v>
      </c>
      <c r="R8600" t="s">
        <v>47432</v>
      </c>
      <c r="S8600" t="s">
        <v>47597</v>
      </c>
      <c r="T8600" t="s">
        <v>49214</v>
      </c>
      <c r="U8600" t="s">
        <v>54885</v>
      </c>
      <c r="W8600" t="s">
        <v>45413</v>
      </c>
      <c r="X8600" t="s">
        <v>47433</v>
      </c>
    </row>
    <row r="8601" spans="1:24">
      <c r="A8601">
        <f>HYPERLINK("https://www.philgeps.gov.ph/GEPSNONPILOT/Tender/SplashBidNoticeAbstractUI.aspx?menuIndex=3&amp;refID=7154320&amp;Result=3","7154320")</f>
        <v>0</v>
      </c>
      <c r="B8601" t="s">
        <v>2511</v>
      </c>
      <c r="C8601" t="s">
        <v>11986</v>
      </c>
      <c r="D8601" t="s">
        <v>19068</v>
      </c>
      <c r="E8601" t="s">
        <v>26565</v>
      </c>
      <c r="F8601" t="s">
        <v>32831</v>
      </c>
      <c r="G8601" t="s">
        <v>32841</v>
      </c>
      <c r="H8601" t="s">
        <v>32848</v>
      </c>
      <c r="I8601" t="s">
        <v>7416</v>
      </c>
      <c r="J8601" t="s">
        <v>38334</v>
      </c>
      <c r="K8601" t="s">
        <v>42727</v>
      </c>
      <c r="M8601" t="s">
        <v>45718</v>
      </c>
      <c r="N8601" t="s">
        <v>47424</v>
      </c>
      <c r="O8601" t="s">
        <v>47425</v>
      </c>
      <c r="P8601">
        <v>0</v>
      </c>
      <c r="Q8601">
        <v>0</v>
      </c>
      <c r="R8601" t="s">
        <v>47432</v>
      </c>
      <c r="S8601" t="s">
        <v>47597</v>
      </c>
      <c r="T8601" t="s">
        <v>49162</v>
      </c>
      <c r="U8601" t="s">
        <v>56796</v>
      </c>
      <c r="W8601" t="s">
        <v>45718</v>
      </c>
      <c r="X8601" t="s">
        <v>47433</v>
      </c>
    </row>
    <row r="8602" spans="1:24">
      <c r="A8602">
        <f>HYPERLINK("https://www.philgeps.gov.ph/GEPSNONPILOT/Tender/SplashBidNoticeAbstractUI.aspx?menuIndex=3&amp;refID=7154318&amp;Result=3","7154318")</f>
        <v>0</v>
      </c>
      <c r="B8602" t="s">
        <v>2855</v>
      </c>
      <c r="C8602" t="s">
        <v>11987</v>
      </c>
      <c r="D8602" t="s">
        <v>19044</v>
      </c>
      <c r="E8602" t="s">
        <v>19555</v>
      </c>
      <c r="F8602" t="s">
        <v>32831</v>
      </c>
      <c r="G8602" t="s">
        <v>32839</v>
      </c>
      <c r="H8602" t="s">
        <v>32848</v>
      </c>
      <c r="I8602" t="s">
        <v>7751</v>
      </c>
      <c r="J8602" t="s">
        <v>32980</v>
      </c>
      <c r="K8602" t="s">
        <v>42730</v>
      </c>
      <c r="M8602" t="s">
        <v>46088</v>
      </c>
      <c r="N8602" t="s">
        <v>47424</v>
      </c>
      <c r="O8602" t="s">
        <v>47425</v>
      </c>
      <c r="P8602">
        <v>0</v>
      </c>
      <c r="Q8602">
        <v>1</v>
      </c>
      <c r="R8602" t="s">
        <v>47432</v>
      </c>
      <c r="S8602" t="s">
        <v>47597</v>
      </c>
      <c r="T8602" t="s">
        <v>49063</v>
      </c>
      <c r="U8602" t="s">
        <v>56797</v>
      </c>
      <c r="W8602" t="s">
        <v>46088</v>
      </c>
      <c r="X8602" t="s">
        <v>47433</v>
      </c>
    </row>
    <row r="8603" spans="1:24">
      <c r="A8603">
        <f>HYPERLINK("https://www.philgeps.gov.ph/GEPSNONPILOT/Tender/SplashBidNoticeAbstractUI.aspx?menuIndex=3&amp;refID=7154290&amp;Result=3","7154290")</f>
        <v>0</v>
      </c>
      <c r="B8603" t="s">
        <v>674</v>
      </c>
      <c r="C8603" t="s">
        <v>11988</v>
      </c>
      <c r="D8603" t="s">
        <v>19058</v>
      </c>
      <c r="E8603" t="s">
        <v>26566</v>
      </c>
      <c r="F8603" t="s">
        <v>32831</v>
      </c>
      <c r="G8603" t="s">
        <v>32839</v>
      </c>
      <c r="H8603" t="s">
        <v>32848</v>
      </c>
      <c r="I8603" t="s">
        <v>7751</v>
      </c>
      <c r="J8603" t="s">
        <v>33066</v>
      </c>
      <c r="K8603" t="s">
        <v>42732</v>
      </c>
      <c r="M8603" t="s">
        <v>44520</v>
      </c>
      <c r="N8603" t="s">
        <v>47424</v>
      </c>
      <c r="O8603" t="s">
        <v>47425</v>
      </c>
      <c r="P8603">
        <v>0</v>
      </c>
      <c r="Q8603">
        <v>4</v>
      </c>
      <c r="R8603" t="s">
        <v>47432</v>
      </c>
      <c r="S8603" t="s">
        <v>47597</v>
      </c>
      <c r="T8603" t="s">
        <v>49236</v>
      </c>
      <c r="U8603" t="s">
        <v>56798</v>
      </c>
      <c r="W8603" t="s">
        <v>44520</v>
      </c>
      <c r="X8603" t="s">
        <v>47433</v>
      </c>
    </row>
    <row r="8604" spans="1:24">
      <c r="A8604">
        <f>HYPERLINK("https://www.philgeps.gov.ph/GEPSNONPILOT/Tender/SplashBidNoticeAbstractUI.aspx?menuIndex=3&amp;refID=7154317&amp;Result=3","7154317")</f>
        <v>0</v>
      </c>
      <c r="B8604" t="s">
        <v>1839</v>
      </c>
      <c r="C8604" t="s">
        <v>11989</v>
      </c>
      <c r="D8604" t="s">
        <v>19033</v>
      </c>
      <c r="E8604" t="s">
        <v>26567</v>
      </c>
      <c r="F8604" t="s">
        <v>32831</v>
      </c>
      <c r="G8604" t="s">
        <v>32838</v>
      </c>
      <c r="H8604" t="s">
        <v>32849</v>
      </c>
      <c r="I8604" t="s">
        <v>4177</v>
      </c>
      <c r="J8604" t="s">
        <v>33606</v>
      </c>
      <c r="K8604" t="s">
        <v>42743</v>
      </c>
      <c r="M8604" t="s">
        <v>44973</v>
      </c>
      <c r="N8604" t="s">
        <v>47424</v>
      </c>
      <c r="O8604" t="s">
        <v>47425</v>
      </c>
      <c r="P8604">
        <v>0</v>
      </c>
      <c r="Q8604">
        <v>3</v>
      </c>
      <c r="R8604" t="s">
        <v>47432</v>
      </c>
      <c r="S8604" t="s">
        <v>47597</v>
      </c>
      <c r="T8604" t="s">
        <v>49177</v>
      </c>
      <c r="U8604" t="s">
        <v>56799</v>
      </c>
      <c r="W8604" t="s">
        <v>44973</v>
      </c>
      <c r="X8604" t="s">
        <v>47433</v>
      </c>
    </row>
    <row r="8605" spans="1:24">
      <c r="A8605">
        <f>HYPERLINK("https://www.philgeps.gov.ph/GEPSNONPILOT/Tender/SplashBidNoticeAbstractUI.aspx?menuIndex=3&amp;refID=7154286&amp;Result=3","7154286")</f>
        <v>0</v>
      </c>
      <c r="B8605" t="s">
        <v>2315</v>
      </c>
      <c r="C8605" t="s">
        <v>11990</v>
      </c>
      <c r="D8605" t="s">
        <v>19031</v>
      </c>
      <c r="E8605" t="s">
        <v>26568</v>
      </c>
      <c r="F8605" t="s">
        <v>32831</v>
      </c>
      <c r="G8605" t="s">
        <v>32839</v>
      </c>
      <c r="H8605" t="s">
        <v>32849</v>
      </c>
      <c r="I8605" t="s">
        <v>4177</v>
      </c>
      <c r="J8605" t="s">
        <v>33118</v>
      </c>
      <c r="K8605" t="s">
        <v>42728</v>
      </c>
      <c r="M8605" t="s">
        <v>45500</v>
      </c>
      <c r="N8605" t="s">
        <v>47424</v>
      </c>
      <c r="O8605" t="s">
        <v>47425</v>
      </c>
      <c r="P8605">
        <v>0</v>
      </c>
      <c r="Q8605">
        <v>1</v>
      </c>
      <c r="R8605" t="s">
        <v>47432</v>
      </c>
      <c r="S8605" t="s">
        <v>47597</v>
      </c>
      <c r="T8605" t="s">
        <v>49236</v>
      </c>
      <c r="U8605" t="s">
        <v>56800</v>
      </c>
      <c r="W8605" t="s">
        <v>45500</v>
      </c>
      <c r="X8605" t="s">
        <v>47433</v>
      </c>
    </row>
    <row r="8606" spans="1:24">
      <c r="A8606">
        <f>HYPERLINK("https://www.philgeps.gov.ph/GEPSNONPILOT/Tender/SplashBidNoticeAbstractUI.aspx?menuIndex=3&amp;refID=7154259&amp;Result=3","7154259")</f>
        <v>0</v>
      </c>
      <c r="B8606" t="s">
        <v>2851</v>
      </c>
      <c r="C8606" t="s">
        <v>11991</v>
      </c>
      <c r="D8606" t="s">
        <v>19037</v>
      </c>
      <c r="E8606" t="s">
        <v>26569</v>
      </c>
      <c r="F8606" t="s">
        <v>32831</v>
      </c>
      <c r="G8606" t="s">
        <v>32838</v>
      </c>
      <c r="H8606" t="s">
        <v>32848</v>
      </c>
      <c r="I8606" t="s">
        <v>32886</v>
      </c>
      <c r="J8606" t="s">
        <v>38335</v>
      </c>
      <c r="K8606" t="s">
        <v>42729</v>
      </c>
      <c r="M8606" t="s">
        <v>46084</v>
      </c>
      <c r="N8606" t="s">
        <v>47424</v>
      </c>
      <c r="O8606" t="s">
        <v>47425</v>
      </c>
      <c r="P8606">
        <v>0</v>
      </c>
      <c r="Q8606">
        <v>2</v>
      </c>
      <c r="R8606" t="s">
        <v>47432</v>
      </c>
      <c r="S8606" t="s">
        <v>47597</v>
      </c>
      <c r="T8606" t="s">
        <v>49080</v>
      </c>
      <c r="U8606" t="s">
        <v>56801</v>
      </c>
      <c r="W8606" t="s">
        <v>46084</v>
      </c>
      <c r="X8606" t="s">
        <v>47433</v>
      </c>
    </row>
    <row r="8607" spans="1:24">
      <c r="A8607">
        <f>HYPERLINK("https://www.philgeps.gov.ph/GEPSNONPILOT/Tender/SplashBidNoticeAbstractUI.aspx?menuIndex=3&amp;refID=7154315&amp;Result=3","7154315")</f>
        <v>0</v>
      </c>
      <c r="B8607" t="s">
        <v>2833</v>
      </c>
      <c r="C8607" t="s">
        <v>11992</v>
      </c>
      <c r="D8607" t="s">
        <v>19073</v>
      </c>
      <c r="E8607" t="s">
        <v>22249</v>
      </c>
      <c r="F8607" t="s">
        <v>32831</v>
      </c>
      <c r="G8607" t="s">
        <v>32838</v>
      </c>
      <c r="H8607" t="s">
        <v>32848</v>
      </c>
      <c r="I8607" t="s">
        <v>7416</v>
      </c>
      <c r="J8607" t="s">
        <v>33249</v>
      </c>
      <c r="K8607" t="s">
        <v>42730</v>
      </c>
      <c r="M8607" t="s">
        <v>46065</v>
      </c>
      <c r="N8607" t="s">
        <v>47424</v>
      </c>
      <c r="O8607" t="s">
        <v>47425</v>
      </c>
      <c r="P8607">
        <v>0</v>
      </c>
      <c r="Q8607">
        <v>3</v>
      </c>
      <c r="R8607" t="s">
        <v>47432</v>
      </c>
      <c r="S8607" t="s">
        <v>47597</v>
      </c>
      <c r="T8607" t="s">
        <v>49237</v>
      </c>
      <c r="U8607" t="s">
        <v>56723</v>
      </c>
      <c r="W8607" t="s">
        <v>46065</v>
      </c>
      <c r="X8607" t="s">
        <v>47433</v>
      </c>
    </row>
    <row r="8608" spans="1:24">
      <c r="A8608">
        <f>HYPERLINK("https://www.philgeps.gov.ph/GEPSNONPILOT/Tender/SplashBidNoticeAbstractUI.aspx?menuIndex=3&amp;refID=7154312&amp;Result=3","7154312")</f>
        <v>0</v>
      </c>
      <c r="B8608" t="s">
        <v>2856</v>
      </c>
      <c r="C8608" t="s">
        <v>11993</v>
      </c>
      <c r="D8608" t="s">
        <v>19093</v>
      </c>
      <c r="E8608" t="s">
        <v>26570</v>
      </c>
      <c r="F8608" t="s">
        <v>32831</v>
      </c>
      <c r="G8608" t="s">
        <v>32839</v>
      </c>
      <c r="H8608" t="s">
        <v>32849</v>
      </c>
      <c r="I8608" t="s">
        <v>4177</v>
      </c>
      <c r="J8608" t="s">
        <v>38336</v>
      </c>
      <c r="K8608" t="s">
        <v>42729</v>
      </c>
      <c r="M8608" t="s">
        <v>46089</v>
      </c>
      <c r="N8608" t="s">
        <v>47424</v>
      </c>
      <c r="O8608" t="s">
        <v>47425</v>
      </c>
      <c r="P8608">
        <v>0</v>
      </c>
      <c r="Q8608">
        <v>4</v>
      </c>
      <c r="R8608" t="s">
        <v>47432</v>
      </c>
      <c r="S8608" t="s">
        <v>47597</v>
      </c>
      <c r="T8608" t="s">
        <v>49160</v>
      </c>
      <c r="U8608" t="s">
        <v>56802</v>
      </c>
      <c r="W8608" t="s">
        <v>46089</v>
      </c>
      <c r="X8608" t="s">
        <v>47433</v>
      </c>
    </row>
    <row r="8609" spans="1:24">
      <c r="A8609">
        <f>HYPERLINK("https://www.philgeps.gov.ph/GEPSNONPILOT/Tender/SplashBidNoticeAbstractUI.aspx?menuIndex=3&amp;refID=7154307&amp;Result=3","7154307")</f>
        <v>0</v>
      </c>
      <c r="B8609" t="s">
        <v>2486</v>
      </c>
      <c r="C8609" t="s">
        <v>11994</v>
      </c>
      <c r="D8609" t="s">
        <v>19017</v>
      </c>
      <c r="E8609" t="s">
        <v>26571</v>
      </c>
      <c r="F8609" t="s">
        <v>32831</v>
      </c>
      <c r="G8609" t="s">
        <v>32839</v>
      </c>
      <c r="H8609" t="s">
        <v>32848</v>
      </c>
      <c r="I8609" t="s">
        <v>10805</v>
      </c>
      <c r="J8609" t="s">
        <v>33072</v>
      </c>
      <c r="K8609" t="s">
        <v>42747</v>
      </c>
      <c r="M8609" t="s">
        <v>45689</v>
      </c>
      <c r="N8609" t="s">
        <v>47424</v>
      </c>
      <c r="O8609" t="s">
        <v>47425</v>
      </c>
      <c r="P8609">
        <v>0</v>
      </c>
      <c r="Q8609">
        <v>17</v>
      </c>
      <c r="R8609" t="s">
        <v>47432</v>
      </c>
      <c r="S8609" t="s">
        <v>47597</v>
      </c>
      <c r="T8609" t="s">
        <v>49470</v>
      </c>
      <c r="U8609" t="s">
        <v>56803</v>
      </c>
      <c r="W8609" t="s">
        <v>45689</v>
      </c>
      <c r="X8609" t="s">
        <v>47433</v>
      </c>
    </row>
    <row r="8610" spans="1:24">
      <c r="A8610">
        <f>HYPERLINK("https://www.philgeps.gov.ph/GEPSNONPILOT/Tender/SplashBidNoticeAbstractUI.aspx?menuIndex=3&amp;refID=7154319&amp;Result=3","7154319")</f>
        <v>0</v>
      </c>
      <c r="B8610" t="s">
        <v>2854</v>
      </c>
      <c r="C8610" t="s">
        <v>11995</v>
      </c>
      <c r="D8610" t="s">
        <v>19022</v>
      </c>
      <c r="E8610" t="s">
        <v>21427</v>
      </c>
      <c r="F8610" t="s">
        <v>32831</v>
      </c>
      <c r="G8610" t="s">
        <v>32839</v>
      </c>
      <c r="H8610" t="s">
        <v>32848</v>
      </c>
      <c r="I8610" t="s">
        <v>9577</v>
      </c>
      <c r="J8610" t="s">
        <v>38337</v>
      </c>
      <c r="K8610" t="s">
        <v>42745</v>
      </c>
      <c r="M8610" t="s">
        <v>46087</v>
      </c>
      <c r="N8610" t="s">
        <v>47424</v>
      </c>
      <c r="O8610" t="s">
        <v>47425</v>
      </c>
      <c r="P8610">
        <v>0</v>
      </c>
      <c r="Q8610">
        <v>2</v>
      </c>
      <c r="R8610" t="s">
        <v>47432</v>
      </c>
      <c r="S8610" t="s">
        <v>47597</v>
      </c>
      <c r="T8610" t="s">
        <v>49490</v>
      </c>
      <c r="U8610" t="s">
        <v>56804</v>
      </c>
      <c r="V8610" t="s">
        <v>63584</v>
      </c>
      <c r="W8610" t="s">
        <v>46087</v>
      </c>
      <c r="X8610" t="s">
        <v>47433</v>
      </c>
    </row>
    <row r="8611" spans="1:24">
      <c r="A8611">
        <f>HYPERLINK("https://www.philgeps.gov.ph/GEPSNONPILOT/Tender/SplashBidNoticeAbstractUI.aspx?menuIndex=3&amp;refID=7154215&amp;Result=3","7154215")</f>
        <v>0</v>
      </c>
      <c r="B8611" t="s">
        <v>2709</v>
      </c>
      <c r="C8611" t="s">
        <v>11996</v>
      </c>
      <c r="D8611" t="s">
        <v>19018</v>
      </c>
      <c r="E8611" t="s">
        <v>26572</v>
      </c>
      <c r="F8611" t="s">
        <v>32831</v>
      </c>
      <c r="G8611" t="s">
        <v>32838</v>
      </c>
      <c r="H8611" t="s">
        <v>32848</v>
      </c>
      <c r="I8611" t="s">
        <v>4776</v>
      </c>
      <c r="J8611" t="s">
        <v>33433</v>
      </c>
      <c r="K8611" t="s">
        <v>42745</v>
      </c>
      <c r="M8611" t="s">
        <v>45935</v>
      </c>
      <c r="N8611" t="s">
        <v>47424</v>
      </c>
      <c r="O8611" t="s">
        <v>47425</v>
      </c>
      <c r="P8611">
        <v>0</v>
      </c>
      <c r="Q8611">
        <v>0</v>
      </c>
      <c r="R8611" t="s">
        <v>47432</v>
      </c>
      <c r="S8611" t="s">
        <v>47597</v>
      </c>
      <c r="T8611" t="s">
        <v>49061</v>
      </c>
      <c r="U8611" t="s">
        <v>56805</v>
      </c>
      <c r="W8611" t="s">
        <v>45935</v>
      </c>
      <c r="X8611" t="s">
        <v>47433</v>
      </c>
    </row>
    <row r="8612" spans="1:24">
      <c r="A8612">
        <f>HYPERLINK("https://www.philgeps.gov.ph/GEPSNONPILOT/Tender/SplashBidNoticeAbstractUI.aspx?menuIndex=3&amp;refID=7154304&amp;Result=3","7154304")</f>
        <v>0</v>
      </c>
      <c r="B8612" t="s">
        <v>1864</v>
      </c>
      <c r="C8612" t="s">
        <v>11997</v>
      </c>
      <c r="D8612" t="s">
        <v>19045</v>
      </c>
      <c r="E8612" t="s">
        <v>26573</v>
      </c>
      <c r="F8612" t="s">
        <v>32831</v>
      </c>
      <c r="G8612" t="s">
        <v>32841</v>
      </c>
      <c r="H8612" t="s">
        <v>32848</v>
      </c>
      <c r="I8612" t="s">
        <v>32870</v>
      </c>
      <c r="J8612" t="s">
        <v>38338</v>
      </c>
      <c r="K8612" t="s">
        <v>42747</v>
      </c>
      <c r="M8612" t="s">
        <v>45006</v>
      </c>
      <c r="N8612" t="s">
        <v>47424</v>
      </c>
      <c r="O8612" t="s">
        <v>47425</v>
      </c>
      <c r="P8612">
        <v>0</v>
      </c>
      <c r="Q8612">
        <v>0</v>
      </c>
      <c r="R8612" t="s">
        <v>47432</v>
      </c>
      <c r="S8612" t="s">
        <v>47597</v>
      </c>
      <c r="T8612" t="s">
        <v>49243</v>
      </c>
      <c r="U8612" t="s">
        <v>56806</v>
      </c>
      <c r="W8612" t="s">
        <v>45006</v>
      </c>
      <c r="X8612" t="s">
        <v>47433</v>
      </c>
    </row>
    <row r="8613" spans="1:24">
      <c r="A8613">
        <f>HYPERLINK("https://www.philgeps.gov.ph/GEPSNONPILOT/Tender/SplashBidNoticeAbstractUI.aspx?menuIndex=3&amp;refID=7154302&amp;Result=3","7154302")</f>
        <v>0</v>
      </c>
      <c r="B8613" t="s">
        <v>1641</v>
      </c>
      <c r="C8613" t="s">
        <v>11998</v>
      </c>
      <c r="D8613" t="s">
        <v>19042</v>
      </c>
      <c r="E8613" t="s">
        <v>26574</v>
      </c>
      <c r="F8613" t="s">
        <v>32831</v>
      </c>
      <c r="G8613" t="s">
        <v>32839</v>
      </c>
      <c r="H8613" t="s">
        <v>32848</v>
      </c>
      <c r="I8613" t="s">
        <v>32883</v>
      </c>
      <c r="J8613" t="s">
        <v>33083</v>
      </c>
      <c r="K8613" t="s">
        <v>42729</v>
      </c>
      <c r="L8613" t="s">
        <v>1641</v>
      </c>
      <c r="M8613" t="s">
        <v>44758</v>
      </c>
      <c r="N8613" t="s">
        <v>47424</v>
      </c>
      <c r="O8613" t="s">
        <v>47425</v>
      </c>
      <c r="P8613">
        <v>0</v>
      </c>
      <c r="Q8613">
        <v>1</v>
      </c>
      <c r="R8613" t="s">
        <v>47432</v>
      </c>
      <c r="S8613" t="s">
        <v>47597</v>
      </c>
      <c r="T8613" t="s">
        <v>49283</v>
      </c>
      <c r="U8613" t="s">
        <v>56807</v>
      </c>
      <c r="V8613" t="s">
        <v>63581</v>
      </c>
      <c r="W8613" t="s">
        <v>44758</v>
      </c>
      <c r="X8613" t="s">
        <v>47433</v>
      </c>
    </row>
    <row r="8614" spans="1:24">
      <c r="A8614">
        <f>HYPERLINK("https://www.philgeps.gov.ph/GEPSNONPILOT/Tender/SplashBidNoticeAbstractUI.aspx?menuIndex=3&amp;refID=7154326&amp;Result=3","7154326")</f>
        <v>0</v>
      </c>
      <c r="B8614" t="s">
        <v>2088</v>
      </c>
      <c r="C8614" t="s">
        <v>11999</v>
      </c>
      <c r="D8614" t="s">
        <v>19044</v>
      </c>
      <c r="E8614" t="s">
        <v>20795</v>
      </c>
      <c r="F8614" t="s">
        <v>32831</v>
      </c>
      <c r="G8614" t="s">
        <v>32839</v>
      </c>
      <c r="H8614" t="s">
        <v>32848</v>
      </c>
      <c r="I8614" t="s">
        <v>32883</v>
      </c>
      <c r="J8614" t="s">
        <v>33055</v>
      </c>
      <c r="K8614" t="s">
        <v>42730</v>
      </c>
      <c r="M8614" t="s">
        <v>45260</v>
      </c>
      <c r="N8614" t="s">
        <v>47424</v>
      </c>
      <c r="O8614" t="s">
        <v>47425</v>
      </c>
      <c r="P8614">
        <v>0</v>
      </c>
      <c r="Q8614">
        <v>4</v>
      </c>
      <c r="R8614" t="s">
        <v>47432</v>
      </c>
      <c r="S8614" t="s">
        <v>47597</v>
      </c>
      <c r="T8614" t="s">
        <v>49112</v>
      </c>
      <c r="U8614" t="s">
        <v>56808</v>
      </c>
      <c r="W8614" t="s">
        <v>45260</v>
      </c>
      <c r="X8614" t="s">
        <v>47433</v>
      </c>
    </row>
    <row r="8615" spans="1:24">
      <c r="A8615">
        <f>HYPERLINK("https://www.philgeps.gov.ph/GEPSNONPILOT/Tender/SplashBidNoticeAbstractUI.aspx?menuIndex=3&amp;refID=7154298&amp;Result=3","7154298")</f>
        <v>0</v>
      </c>
      <c r="B8615" t="s">
        <v>2429</v>
      </c>
      <c r="C8615" t="s">
        <v>12000</v>
      </c>
      <c r="D8615" t="s">
        <v>19064</v>
      </c>
      <c r="E8615" t="s">
        <v>23809</v>
      </c>
      <c r="F8615" t="s">
        <v>32831</v>
      </c>
      <c r="G8615" t="s">
        <v>32839</v>
      </c>
      <c r="H8615" t="s">
        <v>32848</v>
      </c>
      <c r="I8615" t="s">
        <v>9577</v>
      </c>
      <c r="J8615" t="s">
        <v>33086</v>
      </c>
      <c r="K8615" t="s">
        <v>42731</v>
      </c>
      <c r="M8615" t="s">
        <v>45626</v>
      </c>
      <c r="N8615" t="s">
        <v>47424</v>
      </c>
      <c r="O8615" t="s">
        <v>47425</v>
      </c>
      <c r="P8615">
        <v>0</v>
      </c>
      <c r="Q8615">
        <v>0</v>
      </c>
      <c r="R8615" t="s">
        <v>47432</v>
      </c>
      <c r="S8615" t="s">
        <v>47597</v>
      </c>
      <c r="T8615" t="s">
        <v>49055</v>
      </c>
      <c r="U8615" t="s">
        <v>51307</v>
      </c>
      <c r="W8615" t="s">
        <v>45626</v>
      </c>
      <c r="X8615" t="s">
        <v>47433</v>
      </c>
    </row>
    <row r="8616" spans="1:24">
      <c r="A8616">
        <f>HYPERLINK("https://www.philgeps.gov.ph/GEPSNONPILOT/Tender/SplashBidNoticeAbstractUI.aspx?menuIndex=3&amp;refID=7154295&amp;Result=3","7154295")</f>
        <v>0</v>
      </c>
      <c r="B8616" t="s">
        <v>736</v>
      </c>
      <c r="C8616" t="s">
        <v>12001</v>
      </c>
      <c r="D8616" t="s">
        <v>19088</v>
      </c>
      <c r="E8616" t="s">
        <v>26575</v>
      </c>
      <c r="F8616" t="s">
        <v>32831</v>
      </c>
      <c r="G8616" t="s">
        <v>32838</v>
      </c>
      <c r="H8616" t="s">
        <v>32848</v>
      </c>
      <c r="I8616" t="s">
        <v>4222</v>
      </c>
      <c r="J8616" t="s">
        <v>36994</v>
      </c>
      <c r="K8616" t="s">
        <v>42731</v>
      </c>
      <c r="M8616" t="s">
        <v>43758</v>
      </c>
      <c r="N8616" t="s">
        <v>47424</v>
      </c>
      <c r="O8616" t="s">
        <v>47425</v>
      </c>
      <c r="P8616">
        <v>0</v>
      </c>
      <c r="Q8616">
        <v>0</v>
      </c>
      <c r="R8616" t="s">
        <v>47432</v>
      </c>
      <c r="S8616" t="s">
        <v>47597</v>
      </c>
      <c r="T8616" t="s">
        <v>49127</v>
      </c>
      <c r="U8616" t="s">
        <v>56809</v>
      </c>
      <c r="W8616" t="s">
        <v>43758</v>
      </c>
      <c r="X8616" t="s">
        <v>47433</v>
      </c>
    </row>
    <row r="8617" spans="1:24">
      <c r="A8617">
        <f>HYPERLINK("https://www.philgeps.gov.ph/GEPSNONPILOT/Tender/SplashBidNoticeAbstractUI.aspx?menuIndex=3&amp;refID=7154310&amp;Result=3","7154310")</f>
        <v>0</v>
      </c>
      <c r="B8617" t="s">
        <v>2771</v>
      </c>
      <c r="C8617" t="s">
        <v>12002</v>
      </c>
      <c r="D8617" t="s">
        <v>19023</v>
      </c>
      <c r="E8617" t="s">
        <v>26576</v>
      </c>
      <c r="F8617" t="s">
        <v>32831</v>
      </c>
      <c r="G8617" t="s">
        <v>32839</v>
      </c>
      <c r="H8617" t="s">
        <v>32849</v>
      </c>
      <c r="I8617" t="s">
        <v>4177</v>
      </c>
      <c r="J8617" t="s">
        <v>33072</v>
      </c>
      <c r="K8617" t="s">
        <v>42730</v>
      </c>
      <c r="M8617" t="s">
        <v>46002</v>
      </c>
      <c r="N8617" t="s">
        <v>47424</v>
      </c>
      <c r="O8617" t="s">
        <v>47425</v>
      </c>
      <c r="P8617">
        <v>0</v>
      </c>
      <c r="Q8617">
        <v>3</v>
      </c>
      <c r="R8617" t="s">
        <v>47432</v>
      </c>
      <c r="S8617" t="s">
        <v>47597</v>
      </c>
      <c r="T8617" t="s">
        <v>49136</v>
      </c>
      <c r="U8617" t="s">
        <v>56810</v>
      </c>
      <c r="W8617" t="s">
        <v>46002</v>
      </c>
      <c r="X8617" t="s">
        <v>47433</v>
      </c>
    </row>
    <row r="8618" spans="1:24">
      <c r="A8618">
        <f>HYPERLINK("https://www.philgeps.gov.ph/GEPSNONPILOT/Tender/SplashBidNoticeAbstractUI.aspx?menuIndex=3&amp;refID=7154294&amp;Result=3","7154294")</f>
        <v>0</v>
      </c>
      <c r="B8618" t="s">
        <v>67</v>
      </c>
      <c r="C8618" t="s">
        <v>12003</v>
      </c>
      <c r="D8618" t="s">
        <v>19079</v>
      </c>
      <c r="E8618" t="s">
        <v>26577</v>
      </c>
      <c r="F8618" t="s">
        <v>32831</v>
      </c>
      <c r="G8618" t="s">
        <v>32839</v>
      </c>
      <c r="H8618" t="s">
        <v>32848</v>
      </c>
      <c r="I8618" t="s">
        <v>32886</v>
      </c>
      <c r="J8618" t="s">
        <v>33083</v>
      </c>
      <c r="K8618" t="s">
        <v>42729</v>
      </c>
      <c r="M8618" t="s">
        <v>44711</v>
      </c>
      <c r="N8618" t="s">
        <v>47424</v>
      </c>
      <c r="O8618" t="s">
        <v>47425</v>
      </c>
      <c r="P8618">
        <v>0</v>
      </c>
      <c r="Q8618">
        <v>6</v>
      </c>
      <c r="R8618" t="s">
        <v>47432</v>
      </c>
      <c r="S8618" t="s">
        <v>47597</v>
      </c>
      <c r="T8618" t="s">
        <v>49338</v>
      </c>
      <c r="U8618" t="s">
        <v>56811</v>
      </c>
      <c r="W8618" t="s">
        <v>44711</v>
      </c>
      <c r="X8618" t="s">
        <v>47433</v>
      </c>
    </row>
    <row r="8619" spans="1:24">
      <c r="A8619">
        <f>HYPERLINK("https://www.philgeps.gov.ph/GEPSNONPILOT/Tender/SplashBidNoticeAbstractUI.aspx?menuIndex=3&amp;refID=7154292&amp;Result=3","7154292")</f>
        <v>0</v>
      </c>
      <c r="B8619" t="s">
        <v>2182</v>
      </c>
      <c r="C8619" t="s">
        <v>12004</v>
      </c>
      <c r="D8619" t="s">
        <v>19021</v>
      </c>
      <c r="E8619" t="s">
        <v>26578</v>
      </c>
      <c r="F8619" t="s">
        <v>32831</v>
      </c>
      <c r="G8619" t="s">
        <v>32838</v>
      </c>
      <c r="H8619" t="s">
        <v>32848</v>
      </c>
      <c r="I8619" t="s">
        <v>9577</v>
      </c>
      <c r="J8619" t="s">
        <v>38339</v>
      </c>
      <c r="K8619" t="s">
        <v>42732</v>
      </c>
      <c r="M8619" t="s">
        <v>45362</v>
      </c>
      <c r="N8619" t="s">
        <v>47424</v>
      </c>
      <c r="O8619" t="s">
        <v>47425</v>
      </c>
      <c r="P8619">
        <v>0</v>
      </c>
      <c r="Q8619">
        <v>0</v>
      </c>
      <c r="R8619" t="s">
        <v>47432</v>
      </c>
      <c r="S8619" t="s">
        <v>47597</v>
      </c>
      <c r="T8619" t="s">
        <v>49141</v>
      </c>
      <c r="U8619" t="s">
        <v>56812</v>
      </c>
      <c r="W8619" t="s">
        <v>45362</v>
      </c>
      <c r="X8619" t="s">
        <v>47433</v>
      </c>
    </row>
    <row r="8620" spans="1:24">
      <c r="A8620">
        <f>HYPERLINK("https://www.philgeps.gov.ph/GEPSNONPILOT/Tender/SplashBidNoticeAbstractUI.aspx?menuIndex=3&amp;refID=7154316&amp;Result=3","7154316")</f>
        <v>0</v>
      </c>
      <c r="B8620" t="s">
        <v>1130</v>
      </c>
      <c r="C8620" t="s">
        <v>12005</v>
      </c>
      <c r="D8620" t="s">
        <v>19045</v>
      </c>
      <c r="E8620" t="s">
        <v>26579</v>
      </c>
      <c r="F8620" t="s">
        <v>32831</v>
      </c>
      <c r="G8620" t="s">
        <v>32839</v>
      </c>
      <c r="H8620" t="s">
        <v>32849</v>
      </c>
      <c r="I8620" t="s">
        <v>4177</v>
      </c>
      <c r="J8620" t="s">
        <v>38340</v>
      </c>
      <c r="K8620" t="s">
        <v>42729</v>
      </c>
      <c r="M8620" t="s">
        <v>45442</v>
      </c>
      <c r="N8620" t="s">
        <v>47424</v>
      </c>
      <c r="O8620" t="s">
        <v>47425</v>
      </c>
      <c r="P8620">
        <v>0</v>
      </c>
      <c r="Q8620">
        <v>0</v>
      </c>
      <c r="R8620" t="s">
        <v>47432</v>
      </c>
      <c r="S8620" t="s">
        <v>47597</v>
      </c>
      <c r="T8620" t="s">
        <v>49181</v>
      </c>
      <c r="U8620" t="s">
        <v>54967</v>
      </c>
      <c r="V8620" t="s">
        <v>63325</v>
      </c>
      <c r="W8620" t="s">
        <v>45442</v>
      </c>
      <c r="X8620" t="s">
        <v>47433</v>
      </c>
    </row>
    <row r="8621" spans="1:24">
      <c r="A8621">
        <f>HYPERLINK("https://www.philgeps.gov.ph/GEPSNONPILOT/Tender/SplashBidNoticeAbstractUI.aspx?menuIndex=3&amp;refID=7154245&amp;Result=3","7154245")</f>
        <v>0</v>
      </c>
      <c r="B8621" t="s">
        <v>943</v>
      </c>
      <c r="C8621" t="s">
        <v>5165</v>
      </c>
      <c r="D8621" t="s">
        <v>19073</v>
      </c>
      <c r="E8621" t="s">
        <v>26580</v>
      </c>
      <c r="F8621" t="s">
        <v>32834</v>
      </c>
      <c r="G8621" t="s">
        <v>32839</v>
      </c>
      <c r="H8621" t="s">
        <v>32849</v>
      </c>
      <c r="I8621" t="s">
        <v>4177</v>
      </c>
      <c r="J8621" t="s">
        <v>38341</v>
      </c>
      <c r="K8621" t="s">
        <v>42730</v>
      </c>
      <c r="M8621" t="s">
        <v>43987</v>
      </c>
      <c r="N8621" t="s">
        <v>47424</v>
      </c>
      <c r="O8621" t="s">
        <v>47425</v>
      </c>
      <c r="P8621">
        <v>0</v>
      </c>
      <c r="Q8621">
        <v>0</v>
      </c>
      <c r="R8621" t="s">
        <v>47432</v>
      </c>
      <c r="S8621" t="s">
        <v>47597</v>
      </c>
      <c r="T8621" t="s">
        <v>49288</v>
      </c>
      <c r="U8621" t="s">
        <v>56813</v>
      </c>
      <c r="W8621" t="s">
        <v>43987</v>
      </c>
      <c r="X8621" t="s">
        <v>47433</v>
      </c>
    </row>
    <row r="8622" spans="1:24">
      <c r="A8622">
        <f>HYPERLINK("https://www.philgeps.gov.ph/GEPSNONPILOT/Tender/SplashBidNoticeAbstractUI.aspx?menuIndex=3&amp;refID=7154309&amp;Result=3","7154309")</f>
        <v>0</v>
      </c>
      <c r="B8622" t="s">
        <v>1319</v>
      </c>
      <c r="C8622" t="s">
        <v>12006</v>
      </c>
      <c r="D8622" t="s">
        <v>19083</v>
      </c>
      <c r="E8622" t="s">
        <v>26581</v>
      </c>
      <c r="F8622" t="s">
        <v>32831</v>
      </c>
      <c r="G8622" t="s">
        <v>32838</v>
      </c>
      <c r="H8622" t="s">
        <v>32850</v>
      </c>
      <c r="I8622" t="s">
        <v>32866</v>
      </c>
      <c r="J8622" t="s">
        <v>38342</v>
      </c>
      <c r="K8622" t="s">
        <v>42730</v>
      </c>
      <c r="M8622" t="s">
        <v>44390</v>
      </c>
      <c r="N8622" t="s">
        <v>47424</v>
      </c>
      <c r="O8622" t="s">
        <v>47425</v>
      </c>
      <c r="Q8622">
        <v>2</v>
      </c>
      <c r="R8622" t="s">
        <v>47432</v>
      </c>
      <c r="S8622" t="s">
        <v>47613</v>
      </c>
      <c r="T8622" t="s">
        <v>49111</v>
      </c>
      <c r="U8622" t="s">
        <v>56814</v>
      </c>
      <c r="W8622" t="s">
        <v>44390</v>
      </c>
      <c r="X8622" t="s">
        <v>47433</v>
      </c>
    </row>
    <row r="8623" spans="1:24">
      <c r="A8623">
        <f>HYPERLINK("https://www.philgeps.gov.ph/GEPSNONPILOT/Tender/SplashBidNoticeAbstractUI.aspx?menuIndex=3&amp;refID=7154291&amp;Result=3","7154291")</f>
        <v>0</v>
      </c>
      <c r="B8623" t="s">
        <v>1439</v>
      </c>
      <c r="C8623" t="s">
        <v>12007</v>
      </c>
      <c r="D8623" t="s">
        <v>19037</v>
      </c>
      <c r="E8623" t="s">
        <v>26582</v>
      </c>
      <c r="F8623" t="s">
        <v>32831</v>
      </c>
      <c r="G8623" t="s">
        <v>32841</v>
      </c>
      <c r="H8623" t="s">
        <v>32848</v>
      </c>
      <c r="I8623" t="s">
        <v>32958</v>
      </c>
      <c r="J8623" t="s">
        <v>38343</v>
      </c>
      <c r="K8623" t="s">
        <v>42730</v>
      </c>
      <c r="M8623" t="s">
        <v>46078</v>
      </c>
      <c r="N8623" t="s">
        <v>47424</v>
      </c>
      <c r="O8623" t="s">
        <v>47425</v>
      </c>
      <c r="P8623">
        <v>0</v>
      </c>
      <c r="Q8623">
        <v>2</v>
      </c>
      <c r="R8623" t="s">
        <v>47432</v>
      </c>
      <c r="S8623" t="s">
        <v>47597</v>
      </c>
      <c r="T8623" t="s">
        <v>49110</v>
      </c>
      <c r="U8623" t="s">
        <v>56815</v>
      </c>
      <c r="W8623" t="s">
        <v>46078</v>
      </c>
      <c r="X8623" t="s">
        <v>47433</v>
      </c>
    </row>
    <row r="8624" spans="1:24">
      <c r="A8624">
        <f>HYPERLINK("https://www.philgeps.gov.ph/GEPSNONPILOT/Tender/SplashBidNoticeAbstractUI.aspx?menuIndex=3&amp;refID=7154299&amp;Result=3","7154299")</f>
        <v>0</v>
      </c>
      <c r="B8624" t="s">
        <v>2857</v>
      </c>
      <c r="C8624" t="s">
        <v>7481</v>
      </c>
      <c r="D8624" t="s">
        <v>19033</v>
      </c>
      <c r="E8624" t="s">
        <v>26583</v>
      </c>
      <c r="F8624" t="s">
        <v>32831</v>
      </c>
      <c r="G8624" t="s">
        <v>32839</v>
      </c>
      <c r="H8624" t="s">
        <v>32848</v>
      </c>
      <c r="I8624" t="s">
        <v>7416</v>
      </c>
      <c r="J8624" t="s">
        <v>38344</v>
      </c>
      <c r="K8624" t="s">
        <v>42750</v>
      </c>
      <c r="M8624" t="s">
        <v>46090</v>
      </c>
      <c r="N8624" t="s">
        <v>47424</v>
      </c>
      <c r="O8624" t="s">
        <v>47425</v>
      </c>
      <c r="P8624">
        <v>0</v>
      </c>
      <c r="Q8624">
        <v>2</v>
      </c>
      <c r="R8624" t="s">
        <v>47432</v>
      </c>
      <c r="S8624" t="s">
        <v>47597</v>
      </c>
      <c r="T8624" t="s">
        <v>49221</v>
      </c>
      <c r="U8624" t="s">
        <v>56816</v>
      </c>
      <c r="W8624" t="s">
        <v>46090</v>
      </c>
      <c r="X8624" t="s">
        <v>47433</v>
      </c>
    </row>
    <row r="8625" spans="1:24">
      <c r="A8625">
        <f>HYPERLINK("https://www.philgeps.gov.ph/GEPSNONPILOT/Tender/SplashBidNoticeAbstractUI.aspx?menuIndex=3&amp;refID=7154242&amp;Result=3","7154242")</f>
        <v>0</v>
      </c>
      <c r="B8625" t="s">
        <v>1770</v>
      </c>
      <c r="C8625" t="s">
        <v>12008</v>
      </c>
      <c r="D8625" t="s">
        <v>19058</v>
      </c>
      <c r="E8625" t="s">
        <v>26584</v>
      </c>
      <c r="F8625" t="s">
        <v>32831</v>
      </c>
      <c r="G8625" t="s">
        <v>32839</v>
      </c>
      <c r="H8625" t="s">
        <v>32848</v>
      </c>
      <c r="I8625" t="s">
        <v>32855</v>
      </c>
      <c r="J8625" t="s">
        <v>38345</v>
      </c>
      <c r="K8625" t="s">
        <v>42750</v>
      </c>
      <c r="M8625" t="s">
        <v>44895</v>
      </c>
      <c r="N8625" t="s">
        <v>47424</v>
      </c>
      <c r="O8625" t="s">
        <v>47425</v>
      </c>
      <c r="P8625">
        <v>0</v>
      </c>
      <c r="Q8625">
        <v>0</v>
      </c>
      <c r="R8625" t="s">
        <v>47432</v>
      </c>
      <c r="S8625" t="s">
        <v>47597</v>
      </c>
      <c r="T8625" t="s">
        <v>49236</v>
      </c>
      <c r="U8625" t="s">
        <v>56817</v>
      </c>
      <c r="W8625" t="s">
        <v>44895</v>
      </c>
      <c r="X8625" t="s">
        <v>47433</v>
      </c>
    </row>
    <row r="8626" spans="1:24">
      <c r="A8626">
        <f>HYPERLINK("https://www.philgeps.gov.ph/GEPSNONPILOT/Tender/SplashBidNoticeAbstractUI.aspx?menuIndex=3&amp;refID=7154205&amp;Result=3","7154205")</f>
        <v>0</v>
      </c>
      <c r="B8626" t="s">
        <v>2232</v>
      </c>
      <c r="C8626" t="s">
        <v>12009</v>
      </c>
      <c r="D8626" t="s">
        <v>19062</v>
      </c>
      <c r="E8626" t="s">
        <v>26585</v>
      </c>
      <c r="F8626" t="s">
        <v>32831</v>
      </c>
      <c r="G8626" t="s">
        <v>32838</v>
      </c>
      <c r="H8626" t="s">
        <v>32848</v>
      </c>
      <c r="I8626" t="s">
        <v>32860</v>
      </c>
      <c r="J8626" t="s">
        <v>38346</v>
      </c>
      <c r="K8626" t="s">
        <v>42731</v>
      </c>
      <c r="M8626" t="s">
        <v>45413</v>
      </c>
      <c r="N8626" t="s">
        <v>47424</v>
      </c>
      <c r="O8626" t="s">
        <v>47425</v>
      </c>
      <c r="P8626">
        <v>0</v>
      </c>
      <c r="Q8626">
        <v>3</v>
      </c>
      <c r="R8626" t="s">
        <v>47432</v>
      </c>
      <c r="S8626" t="s">
        <v>47597</v>
      </c>
      <c r="T8626" t="s">
        <v>49214</v>
      </c>
      <c r="U8626" t="s">
        <v>54885</v>
      </c>
      <c r="W8626" t="s">
        <v>45413</v>
      </c>
      <c r="X8626" t="s">
        <v>47433</v>
      </c>
    </row>
    <row r="8627" spans="1:24">
      <c r="A8627">
        <f>HYPERLINK("https://www.philgeps.gov.ph/GEPSNONPILOT/Tender/SplashBidNoticeAbstractUI.aspx?menuIndex=3&amp;refID=7154243&amp;Result=3","7154243")</f>
        <v>0</v>
      </c>
      <c r="B8627" t="s">
        <v>1439</v>
      </c>
      <c r="C8627" t="s">
        <v>12010</v>
      </c>
      <c r="D8627" t="s">
        <v>19037</v>
      </c>
      <c r="E8627" t="s">
        <v>26586</v>
      </c>
      <c r="F8627" t="s">
        <v>32831</v>
      </c>
      <c r="G8627" t="s">
        <v>32841</v>
      </c>
      <c r="H8627" t="s">
        <v>32848</v>
      </c>
      <c r="I8627" t="s">
        <v>32875</v>
      </c>
      <c r="J8627" t="s">
        <v>38347</v>
      </c>
      <c r="K8627" t="s">
        <v>42730</v>
      </c>
      <c r="M8627" t="s">
        <v>46078</v>
      </c>
      <c r="N8627" t="s">
        <v>47424</v>
      </c>
      <c r="O8627" t="s">
        <v>47425</v>
      </c>
      <c r="P8627">
        <v>0</v>
      </c>
      <c r="Q8627">
        <v>2</v>
      </c>
      <c r="R8627" t="s">
        <v>47432</v>
      </c>
      <c r="S8627" t="s">
        <v>47597</v>
      </c>
      <c r="T8627" t="s">
        <v>49110</v>
      </c>
      <c r="U8627" t="s">
        <v>56818</v>
      </c>
      <c r="W8627" t="s">
        <v>46078</v>
      </c>
      <c r="X8627" t="s">
        <v>47433</v>
      </c>
    </row>
    <row r="8628" spans="1:24">
      <c r="A8628">
        <f>HYPERLINK("https://www.philgeps.gov.ph/GEPSNONPILOT/Tender/SplashBidNoticeAbstractUI.aspx?menuIndex=3&amp;refID=7154196&amp;Result=3","7154196")</f>
        <v>0</v>
      </c>
      <c r="B8628" t="s">
        <v>1439</v>
      </c>
      <c r="C8628" t="s">
        <v>12011</v>
      </c>
      <c r="D8628" t="s">
        <v>19037</v>
      </c>
      <c r="E8628" t="s">
        <v>26587</v>
      </c>
      <c r="F8628" t="s">
        <v>32831</v>
      </c>
      <c r="G8628" t="s">
        <v>32841</v>
      </c>
      <c r="H8628" t="s">
        <v>32848</v>
      </c>
      <c r="I8628" t="s">
        <v>32890</v>
      </c>
      <c r="J8628" t="s">
        <v>38348</v>
      </c>
      <c r="K8628" t="s">
        <v>42763</v>
      </c>
      <c r="M8628" t="s">
        <v>46078</v>
      </c>
      <c r="N8628" t="s">
        <v>47424</v>
      </c>
      <c r="O8628" t="s">
        <v>47425</v>
      </c>
      <c r="P8628">
        <v>0</v>
      </c>
      <c r="Q8628">
        <v>2</v>
      </c>
      <c r="R8628" t="s">
        <v>47432</v>
      </c>
      <c r="S8628" t="s">
        <v>47597</v>
      </c>
      <c r="T8628" t="s">
        <v>49110</v>
      </c>
      <c r="U8628" t="s">
        <v>56819</v>
      </c>
      <c r="W8628" t="s">
        <v>46078</v>
      </c>
      <c r="X8628" t="s">
        <v>47433</v>
      </c>
    </row>
    <row r="8629" spans="1:24">
      <c r="A8629">
        <f>HYPERLINK("https://www.philgeps.gov.ph/GEPSNONPILOT/Tender/SplashBidNoticeAbstractUI.aspx?menuIndex=3&amp;refID=7154246&amp;Result=3","7154246")</f>
        <v>0</v>
      </c>
      <c r="B8629" t="s">
        <v>2653</v>
      </c>
      <c r="C8629" t="s">
        <v>12012</v>
      </c>
      <c r="D8629" t="s">
        <v>19020</v>
      </c>
      <c r="E8629" t="s">
        <v>26588</v>
      </c>
      <c r="F8629" t="s">
        <v>32831</v>
      </c>
      <c r="G8629" t="s">
        <v>32839</v>
      </c>
      <c r="H8629" t="s">
        <v>32848</v>
      </c>
      <c r="I8629" t="s">
        <v>7751</v>
      </c>
      <c r="J8629" t="s">
        <v>33046</v>
      </c>
      <c r="K8629" t="s">
        <v>42727</v>
      </c>
      <c r="M8629" t="s">
        <v>45876</v>
      </c>
      <c r="N8629" t="s">
        <v>47424</v>
      </c>
      <c r="O8629" t="s">
        <v>47425</v>
      </c>
      <c r="P8629">
        <v>0</v>
      </c>
      <c r="Q8629">
        <v>2</v>
      </c>
      <c r="R8629" t="s">
        <v>47432</v>
      </c>
      <c r="S8629" t="s">
        <v>47597</v>
      </c>
      <c r="T8629" t="s">
        <v>49367</v>
      </c>
      <c r="U8629" t="s">
        <v>56820</v>
      </c>
      <c r="W8629" t="s">
        <v>45876</v>
      </c>
      <c r="X8629" t="s">
        <v>47433</v>
      </c>
    </row>
    <row r="8630" spans="1:24">
      <c r="A8630">
        <f>HYPERLINK("https://www.philgeps.gov.ph/GEPSNONPILOT/Tender/SplashBidNoticeAbstractUI.aspx?menuIndex=3&amp;refID=7154189&amp;Result=3","7154189")</f>
        <v>0</v>
      </c>
      <c r="B8630" t="s">
        <v>188</v>
      </c>
      <c r="C8630" t="s">
        <v>12013</v>
      </c>
      <c r="D8630" t="s">
        <v>19035</v>
      </c>
      <c r="E8630" t="s">
        <v>26589</v>
      </c>
      <c r="F8630" t="s">
        <v>32831</v>
      </c>
      <c r="G8630" t="s">
        <v>32839</v>
      </c>
      <c r="H8630" t="s">
        <v>32850</v>
      </c>
      <c r="I8630" t="s">
        <v>32911</v>
      </c>
      <c r="J8630" t="s">
        <v>33017</v>
      </c>
      <c r="K8630" t="s">
        <v>42807</v>
      </c>
      <c r="M8630" t="s">
        <v>43186</v>
      </c>
      <c r="N8630" t="s">
        <v>47424</v>
      </c>
      <c r="O8630" t="s">
        <v>47425</v>
      </c>
      <c r="Q8630">
        <v>5</v>
      </c>
      <c r="R8630" t="s">
        <v>47432</v>
      </c>
      <c r="S8630" t="s">
        <v>47614</v>
      </c>
      <c r="T8630" t="s">
        <v>49192</v>
      </c>
      <c r="U8630" t="s">
        <v>56821</v>
      </c>
      <c r="V8630" t="s">
        <v>63586</v>
      </c>
      <c r="W8630" t="s">
        <v>43186</v>
      </c>
      <c r="X8630" t="s">
        <v>47433</v>
      </c>
    </row>
    <row r="8631" spans="1:24">
      <c r="A8631">
        <f>HYPERLINK("https://www.philgeps.gov.ph/GEPSNONPILOT/Tender/SplashBidNoticeAbstractUI.aspx?menuIndex=3&amp;refID=7154240&amp;Result=3","7154240")</f>
        <v>0</v>
      </c>
      <c r="B8631" t="s">
        <v>2215</v>
      </c>
      <c r="C8631" t="s">
        <v>12014</v>
      </c>
      <c r="D8631" t="s">
        <v>19077</v>
      </c>
      <c r="E8631" t="s">
        <v>26590</v>
      </c>
      <c r="F8631" t="s">
        <v>32831</v>
      </c>
      <c r="G8631" t="s">
        <v>32839</v>
      </c>
      <c r="H8631" t="s">
        <v>32849</v>
      </c>
      <c r="I8631" t="s">
        <v>4177</v>
      </c>
      <c r="J8631" t="s">
        <v>38349</v>
      </c>
      <c r="K8631" t="s">
        <v>42909</v>
      </c>
      <c r="M8631" t="s">
        <v>45395</v>
      </c>
      <c r="N8631" t="s">
        <v>47424</v>
      </c>
      <c r="O8631" t="s">
        <v>47425</v>
      </c>
      <c r="P8631">
        <v>0</v>
      </c>
      <c r="Q8631">
        <v>1</v>
      </c>
      <c r="R8631" t="s">
        <v>47432</v>
      </c>
      <c r="S8631" t="s">
        <v>47597</v>
      </c>
      <c r="T8631" t="s">
        <v>49236</v>
      </c>
      <c r="U8631" t="s">
        <v>56822</v>
      </c>
      <c r="W8631" t="s">
        <v>45395</v>
      </c>
      <c r="X8631" t="s">
        <v>47433</v>
      </c>
    </row>
    <row r="8632" spans="1:24">
      <c r="A8632">
        <f>HYPERLINK("https://www.philgeps.gov.ph/GEPSNONPILOT/Tender/SplashBidNoticeAbstractUI.aspx?menuIndex=3&amp;refID=7154193&amp;Result=3","7154193")</f>
        <v>0</v>
      </c>
      <c r="B8632" t="s">
        <v>1864</v>
      </c>
      <c r="C8632" t="s">
        <v>12015</v>
      </c>
      <c r="D8632" t="s">
        <v>19045</v>
      </c>
      <c r="E8632" t="s">
        <v>26591</v>
      </c>
      <c r="F8632" t="s">
        <v>32831</v>
      </c>
      <c r="G8632" t="s">
        <v>32841</v>
      </c>
      <c r="H8632" t="s">
        <v>32848</v>
      </c>
      <c r="I8632" t="s">
        <v>7751</v>
      </c>
      <c r="J8632" t="s">
        <v>36025</v>
      </c>
      <c r="K8632" t="s">
        <v>42729</v>
      </c>
      <c r="M8632" t="s">
        <v>45006</v>
      </c>
      <c r="N8632" t="s">
        <v>47424</v>
      </c>
      <c r="O8632" t="s">
        <v>47425</v>
      </c>
      <c r="P8632">
        <v>0</v>
      </c>
      <c r="Q8632">
        <v>1</v>
      </c>
      <c r="R8632" t="s">
        <v>47432</v>
      </c>
      <c r="S8632" t="s">
        <v>47597</v>
      </c>
      <c r="T8632" t="s">
        <v>49243</v>
      </c>
      <c r="U8632" t="s">
        <v>56823</v>
      </c>
      <c r="W8632" t="s">
        <v>45006</v>
      </c>
      <c r="X8632" t="s">
        <v>47433</v>
      </c>
    </row>
    <row r="8633" spans="1:24">
      <c r="A8633">
        <f>HYPERLINK("https://www.philgeps.gov.ph/GEPSNONPILOT/Tender/SplashBidNoticeAbstractUI.aspx?menuIndex=3&amp;refID=7154096&amp;Result=3","7154096")</f>
        <v>0</v>
      </c>
      <c r="B8633" t="s">
        <v>1439</v>
      </c>
      <c r="C8633" t="s">
        <v>12016</v>
      </c>
      <c r="D8633" t="s">
        <v>19106</v>
      </c>
      <c r="E8633" t="s">
        <v>26592</v>
      </c>
      <c r="F8633" t="s">
        <v>32831</v>
      </c>
      <c r="G8633" t="s">
        <v>32839</v>
      </c>
      <c r="H8633" t="s">
        <v>32848</v>
      </c>
      <c r="I8633" t="s">
        <v>32875</v>
      </c>
      <c r="J8633" t="s">
        <v>38350</v>
      </c>
      <c r="K8633" t="s">
        <v>42730</v>
      </c>
      <c r="M8633" t="s">
        <v>46078</v>
      </c>
      <c r="N8633" t="s">
        <v>47424</v>
      </c>
      <c r="O8633" t="s">
        <v>47425</v>
      </c>
      <c r="P8633">
        <v>0</v>
      </c>
      <c r="Q8633">
        <v>2</v>
      </c>
      <c r="R8633" t="s">
        <v>47432</v>
      </c>
      <c r="S8633" t="s">
        <v>47597</v>
      </c>
      <c r="T8633" t="s">
        <v>49393</v>
      </c>
      <c r="U8633" t="s">
        <v>56824</v>
      </c>
      <c r="W8633" t="s">
        <v>46078</v>
      </c>
      <c r="X8633" t="s">
        <v>47433</v>
      </c>
    </row>
    <row r="8634" spans="1:24">
      <c r="A8634">
        <f>HYPERLINK("https://www.philgeps.gov.ph/GEPSNONPILOT/Tender/SplashBidNoticeAbstractUI.aspx?menuIndex=3&amp;refID=7154194&amp;Result=3","7154194")</f>
        <v>0</v>
      </c>
      <c r="B8634" t="s">
        <v>2207</v>
      </c>
      <c r="C8634" t="s">
        <v>12017</v>
      </c>
      <c r="D8634" t="s">
        <v>19074</v>
      </c>
      <c r="E8634" t="s">
        <v>26593</v>
      </c>
      <c r="F8634" t="s">
        <v>32831</v>
      </c>
      <c r="G8634" t="s">
        <v>32839</v>
      </c>
      <c r="H8634" t="s">
        <v>32849</v>
      </c>
      <c r="I8634" t="s">
        <v>4177</v>
      </c>
      <c r="J8634" t="s">
        <v>32976</v>
      </c>
      <c r="K8634" t="s">
        <v>42731</v>
      </c>
      <c r="M8634" t="s">
        <v>45387</v>
      </c>
      <c r="N8634" t="s">
        <v>47424</v>
      </c>
      <c r="O8634" t="s">
        <v>47425</v>
      </c>
      <c r="P8634">
        <v>0</v>
      </c>
      <c r="Q8634">
        <v>0</v>
      </c>
      <c r="R8634" t="s">
        <v>47432</v>
      </c>
      <c r="S8634" t="s">
        <v>47597</v>
      </c>
      <c r="T8634" t="s">
        <v>49141</v>
      </c>
      <c r="U8634" t="s">
        <v>56825</v>
      </c>
      <c r="W8634" t="s">
        <v>45387</v>
      </c>
      <c r="X8634" t="s">
        <v>47433</v>
      </c>
    </row>
    <row r="8635" spans="1:24">
      <c r="A8635">
        <f>HYPERLINK("https://www.philgeps.gov.ph/GEPSNONPILOT/Tender/SplashBidNoticeAbstractUI.aspx?menuIndex=3&amp;refID=7154068&amp;Result=3","7154068")</f>
        <v>0</v>
      </c>
      <c r="B8635" t="s">
        <v>1130</v>
      </c>
      <c r="C8635" t="s">
        <v>12018</v>
      </c>
      <c r="D8635" t="s">
        <v>19045</v>
      </c>
      <c r="E8635" t="s">
        <v>26594</v>
      </c>
      <c r="F8635" t="s">
        <v>32831</v>
      </c>
      <c r="G8635" t="s">
        <v>32839</v>
      </c>
      <c r="H8635" t="s">
        <v>32849</v>
      </c>
      <c r="I8635" t="s">
        <v>4177</v>
      </c>
      <c r="J8635" t="s">
        <v>38351</v>
      </c>
      <c r="K8635" t="s">
        <v>42729</v>
      </c>
      <c r="M8635" t="s">
        <v>45442</v>
      </c>
      <c r="N8635" t="s">
        <v>47424</v>
      </c>
      <c r="O8635" t="s">
        <v>47425</v>
      </c>
      <c r="P8635">
        <v>0</v>
      </c>
      <c r="Q8635">
        <v>0</v>
      </c>
      <c r="R8635" t="s">
        <v>47432</v>
      </c>
      <c r="S8635" t="s">
        <v>47597</v>
      </c>
      <c r="T8635" t="s">
        <v>49181</v>
      </c>
      <c r="U8635" t="s">
        <v>56695</v>
      </c>
      <c r="V8635" t="s">
        <v>63325</v>
      </c>
      <c r="W8635" t="s">
        <v>45442</v>
      </c>
      <c r="X8635" t="s">
        <v>47433</v>
      </c>
    </row>
    <row r="8636" spans="1:24">
      <c r="A8636">
        <f>HYPERLINK("https://www.philgeps.gov.ph/GEPSNONPILOT/Tender/SplashBidNoticeAbstractUI.aspx?menuIndex=3&amp;refID=7154066&amp;Result=3","7154066")</f>
        <v>0</v>
      </c>
      <c r="B8636" t="s">
        <v>2232</v>
      </c>
      <c r="C8636" t="s">
        <v>12019</v>
      </c>
      <c r="D8636" t="s">
        <v>19062</v>
      </c>
      <c r="E8636" t="s">
        <v>26595</v>
      </c>
      <c r="F8636" t="s">
        <v>32831</v>
      </c>
      <c r="G8636" t="s">
        <v>32838</v>
      </c>
      <c r="H8636" t="s">
        <v>32848</v>
      </c>
      <c r="I8636" t="s">
        <v>7416</v>
      </c>
      <c r="J8636" t="s">
        <v>33031</v>
      </c>
      <c r="K8636" t="s">
        <v>42731</v>
      </c>
      <c r="M8636" t="s">
        <v>45413</v>
      </c>
      <c r="N8636" t="s">
        <v>47424</v>
      </c>
      <c r="O8636" t="s">
        <v>47425</v>
      </c>
      <c r="P8636">
        <v>0</v>
      </c>
      <c r="Q8636">
        <v>3</v>
      </c>
      <c r="R8636" t="s">
        <v>47432</v>
      </c>
      <c r="S8636" t="s">
        <v>47597</v>
      </c>
      <c r="T8636" t="s">
        <v>49214</v>
      </c>
      <c r="U8636" t="s">
        <v>54885</v>
      </c>
      <c r="W8636" t="s">
        <v>45413</v>
      </c>
      <c r="X8636" t="s">
        <v>47433</v>
      </c>
    </row>
    <row r="8637" spans="1:24">
      <c r="A8637">
        <f>HYPERLINK("https://www.philgeps.gov.ph/GEPSNONPILOT/Tender/SplashBidNoticeAbstractUI.aspx?menuIndex=3&amp;refID=7154064&amp;Result=3","7154064")</f>
        <v>0</v>
      </c>
      <c r="B8637" t="s">
        <v>2108</v>
      </c>
      <c r="C8637" t="s">
        <v>11620</v>
      </c>
      <c r="D8637" t="s">
        <v>19031</v>
      </c>
      <c r="E8637" t="s">
        <v>26596</v>
      </c>
      <c r="F8637" t="s">
        <v>32831</v>
      </c>
      <c r="G8637" t="s">
        <v>32838</v>
      </c>
      <c r="H8637" t="s">
        <v>32848</v>
      </c>
      <c r="I8637" t="s">
        <v>32868</v>
      </c>
      <c r="J8637" t="s">
        <v>34743</v>
      </c>
      <c r="K8637" t="s">
        <v>42727</v>
      </c>
      <c r="M8637" t="s">
        <v>45282</v>
      </c>
      <c r="N8637" t="s">
        <v>47424</v>
      </c>
      <c r="O8637" t="s">
        <v>47425</v>
      </c>
      <c r="P8637">
        <v>0</v>
      </c>
      <c r="Q8637">
        <v>7</v>
      </c>
      <c r="R8637" t="s">
        <v>47432</v>
      </c>
      <c r="S8637" t="s">
        <v>47597</v>
      </c>
      <c r="T8637" t="s">
        <v>49056</v>
      </c>
      <c r="U8637" t="s">
        <v>56826</v>
      </c>
      <c r="W8637" t="s">
        <v>45282</v>
      </c>
      <c r="X8637" t="s">
        <v>47433</v>
      </c>
    </row>
    <row r="8638" spans="1:24">
      <c r="A8638">
        <f>HYPERLINK("https://www.philgeps.gov.ph/GEPSNONPILOT/Tender/SplashBidNoticeAbstractUI.aspx?menuIndex=3&amp;refID=7154200&amp;Result=3","7154200")</f>
        <v>0</v>
      </c>
      <c r="B8638" t="s">
        <v>2833</v>
      </c>
      <c r="C8638" t="s">
        <v>12020</v>
      </c>
      <c r="D8638" t="s">
        <v>19073</v>
      </c>
      <c r="E8638" t="s">
        <v>20625</v>
      </c>
      <c r="F8638" t="s">
        <v>32831</v>
      </c>
      <c r="G8638" t="s">
        <v>32838</v>
      </c>
      <c r="H8638" t="s">
        <v>32848</v>
      </c>
      <c r="I8638" t="s">
        <v>32856</v>
      </c>
      <c r="J8638" t="s">
        <v>38352</v>
      </c>
      <c r="K8638" t="s">
        <v>42730</v>
      </c>
      <c r="M8638" t="s">
        <v>46065</v>
      </c>
      <c r="N8638" t="s">
        <v>47424</v>
      </c>
      <c r="O8638" t="s">
        <v>47425</v>
      </c>
      <c r="P8638">
        <v>0</v>
      </c>
      <c r="Q8638">
        <v>1</v>
      </c>
      <c r="R8638" t="s">
        <v>47432</v>
      </c>
      <c r="S8638" t="s">
        <v>47597</v>
      </c>
      <c r="T8638" t="s">
        <v>49237</v>
      </c>
      <c r="U8638" t="s">
        <v>56723</v>
      </c>
      <c r="W8638" t="s">
        <v>46065</v>
      </c>
      <c r="X8638" t="s">
        <v>47433</v>
      </c>
    </row>
    <row r="8639" spans="1:24">
      <c r="A8639">
        <f>HYPERLINK("https://www.philgeps.gov.ph/GEPSNONPILOT/Tender/SplashBidNoticeAbstractUI.aspx?menuIndex=3&amp;refID=7154095&amp;Result=3","7154095")</f>
        <v>0</v>
      </c>
      <c r="B8639" t="s">
        <v>2600</v>
      </c>
      <c r="C8639" t="s">
        <v>12021</v>
      </c>
      <c r="D8639" t="s">
        <v>19017</v>
      </c>
      <c r="E8639" t="s">
        <v>26597</v>
      </c>
      <c r="F8639" t="s">
        <v>32831</v>
      </c>
      <c r="G8639" t="s">
        <v>32838</v>
      </c>
      <c r="H8639" t="s">
        <v>14069</v>
      </c>
      <c r="I8639" t="s">
        <v>4487</v>
      </c>
      <c r="J8639" t="s">
        <v>32985</v>
      </c>
      <c r="K8639" t="s">
        <v>42775</v>
      </c>
      <c r="M8639" t="s">
        <v>45819</v>
      </c>
      <c r="N8639" t="s">
        <v>47424</v>
      </c>
      <c r="O8639" t="s">
        <v>47425</v>
      </c>
      <c r="P8639">
        <v>0</v>
      </c>
      <c r="Q8639">
        <v>2</v>
      </c>
      <c r="R8639" t="s">
        <v>47432</v>
      </c>
      <c r="S8639" t="s">
        <v>47597</v>
      </c>
      <c r="T8639" t="s">
        <v>49228</v>
      </c>
      <c r="U8639" t="s">
        <v>56827</v>
      </c>
      <c r="W8639" t="s">
        <v>45819</v>
      </c>
      <c r="X8639" t="s">
        <v>47433</v>
      </c>
    </row>
    <row r="8640" spans="1:24">
      <c r="A8640">
        <f>HYPERLINK("https://www.philgeps.gov.ph/GEPSNONPILOT/Tender/SplashBidNoticeAbstractUI.aspx?menuIndex=3&amp;refID=7154093&amp;Result=3","7154093")</f>
        <v>0</v>
      </c>
      <c r="B8640" t="s">
        <v>131</v>
      </c>
      <c r="C8640" t="s">
        <v>12022</v>
      </c>
      <c r="D8640" t="s">
        <v>19064</v>
      </c>
      <c r="E8640" t="s">
        <v>26598</v>
      </c>
      <c r="F8640" t="s">
        <v>32831</v>
      </c>
      <c r="G8640" t="s">
        <v>32840</v>
      </c>
      <c r="H8640" t="s">
        <v>32848</v>
      </c>
      <c r="I8640" t="s">
        <v>7416</v>
      </c>
      <c r="J8640" t="s">
        <v>38353</v>
      </c>
      <c r="K8640" t="s">
        <v>42730</v>
      </c>
      <c r="M8640" t="s">
        <v>43128</v>
      </c>
      <c r="N8640" t="s">
        <v>47424</v>
      </c>
      <c r="O8640" t="s">
        <v>47425</v>
      </c>
      <c r="P8640">
        <v>0</v>
      </c>
      <c r="Q8640">
        <v>0</v>
      </c>
      <c r="R8640" t="s">
        <v>47432</v>
      </c>
      <c r="S8640" t="s">
        <v>47597</v>
      </c>
      <c r="T8640" t="s">
        <v>49214</v>
      </c>
      <c r="U8640" t="s">
        <v>49863</v>
      </c>
      <c r="W8640" t="s">
        <v>43128</v>
      </c>
      <c r="X8640" t="s">
        <v>47433</v>
      </c>
    </row>
    <row r="8641" spans="1:24">
      <c r="A8641">
        <f>HYPERLINK("https://www.philgeps.gov.ph/GEPSNONPILOT/Tender/SplashBidNoticeAbstractUI.aspx?menuIndex=3&amp;refID=7154191&amp;Result=3","7154191")</f>
        <v>0</v>
      </c>
      <c r="B8641" t="s">
        <v>2680</v>
      </c>
      <c r="C8641" t="s">
        <v>12023</v>
      </c>
      <c r="D8641" t="s">
        <v>19065</v>
      </c>
      <c r="E8641" t="s">
        <v>26599</v>
      </c>
      <c r="F8641" t="s">
        <v>32831</v>
      </c>
      <c r="G8641" t="s">
        <v>32840</v>
      </c>
      <c r="H8641" t="s">
        <v>32848</v>
      </c>
      <c r="I8641" t="s">
        <v>32890</v>
      </c>
      <c r="J8641" t="s">
        <v>33353</v>
      </c>
      <c r="K8641" t="s">
        <v>42727</v>
      </c>
      <c r="M8641" t="s">
        <v>45903</v>
      </c>
      <c r="N8641" t="s">
        <v>47424</v>
      </c>
      <c r="O8641" t="s">
        <v>47425</v>
      </c>
      <c r="P8641">
        <v>0</v>
      </c>
      <c r="Q8641">
        <v>0</v>
      </c>
      <c r="R8641" t="s">
        <v>47432</v>
      </c>
      <c r="S8641" t="s">
        <v>47597</v>
      </c>
      <c r="T8641" t="s">
        <v>49114</v>
      </c>
      <c r="U8641" t="s">
        <v>56828</v>
      </c>
      <c r="W8641" t="s">
        <v>45903</v>
      </c>
      <c r="X8641" t="s">
        <v>47433</v>
      </c>
    </row>
    <row r="8642" spans="1:24">
      <c r="A8642">
        <f>HYPERLINK("https://www.philgeps.gov.ph/GEPSNONPILOT/Tender/SplashBidNoticeAbstractUI.aspx?menuIndex=3&amp;refID=7154045&amp;Result=3","7154045")</f>
        <v>0</v>
      </c>
      <c r="B8642" t="s">
        <v>1723</v>
      </c>
      <c r="C8642" t="s">
        <v>12024</v>
      </c>
      <c r="D8642" t="s">
        <v>19024</v>
      </c>
      <c r="E8642" t="s">
        <v>26600</v>
      </c>
      <c r="F8642" t="s">
        <v>32831</v>
      </c>
      <c r="G8642" t="s">
        <v>32838</v>
      </c>
      <c r="H8642" t="s">
        <v>32848</v>
      </c>
      <c r="I8642" t="s">
        <v>5379</v>
      </c>
      <c r="J8642" t="s">
        <v>38354</v>
      </c>
      <c r="K8642" t="s">
        <v>42748</v>
      </c>
      <c r="M8642" t="s">
        <v>44846</v>
      </c>
      <c r="N8642" t="s">
        <v>47424</v>
      </c>
      <c r="O8642" t="s">
        <v>47425</v>
      </c>
      <c r="P8642">
        <v>0</v>
      </c>
      <c r="Q8642">
        <v>0</v>
      </c>
      <c r="R8642" t="s">
        <v>47432</v>
      </c>
      <c r="S8642" t="s">
        <v>47597</v>
      </c>
      <c r="T8642" t="s">
        <v>49115</v>
      </c>
      <c r="U8642" t="s">
        <v>56829</v>
      </c>
      <c r="W8642" t="s">
        <v>44846</v>
      </c>
      <c r="X8642" t="s">
        <v>47433</v>
      </c>
    </row>
    <row r="8643" spans="1:24">
      <c r="A8643">
        <f>HYPERLINK("https://www.philgeps.gov.ph/GEPSNONPILOT/Tender/SplashBidNoticeAbstractUI.aspx?menuIndex=3&amp;refID=7153999&amp;Result=3","7153999")</f>
        <v>0</v>
      </c>
      <c r="B8643" t="s">
        <v>2840</v>
      </c>
      <c r="C8643" t="s">
        <v>12025</v>
      </c>
      <c r="D8643" t="s">
        <v>19020</v>
      </c>
      <c r="E8643" t="s">
        <v>26601</v>
      </c>
      <c r="F8643" t="s">
        <v>32831</v>
      </c>
      <c r="G8643" t="s">
        <v>32839</v>
      </c>
      <c r="H8643" t="s">
        <v>32849</v>
      </c>
      <c r="I8643" t="s">
        <v>4177</v>
      </c>
      <c r="J8643" t="s">
        <v>36264</v>
      </c>
      <c r="K8643" t="s">
        <v>42779</v>
      </c>
      <c r="M8643" t="s">
        <v>46072</v>
      </c>
      <c r="N8643" t="s">
        <v>47424</v>
      </c>
      <c r="O8643" t="s">
        <v>47425</v>
      </c>
      <c r="P8643">
        <v>0</v>
      </c>
      <c r="Q8643">
        <v>0</v>
      </c>
      <c r="R8643" t="s">
        <v>47432</v>
      </c>
      <c r="S8643" t="s">
        <v>47597</v>
      </c>
      <c r="T8643" t="s">
        <v>49063</v>
      </c>
      <c r="U8643" t="s">
        <v>56830</v>
      </c>
      <c r="V8643" t="s">
        <v>63578</v>
      </c>
      <c r="W8643" t="s">
        <v>46072</v>
      </c>
      <c r="X8643" t="s">
        <v>47433</v>
      </c>
    </row>
    <row r="8644" spans="1:24">
      <c r="A8644">
        <f>HYPERLINK("https://www.philgeps.gov.ph/GEPSNONPILOT/Tender/SplashBidNoticeAbstractUI.aspx?menuIndex=3&amp;refID=7154303&amp;Result=3","7154303")</f>
        <v>0</v>
      </c>
      <c r="B8644" t="s">
        <v>2858</v>
      </c>
      <c r="C8644" t="s">
        <v>12026</v>
      </c>
      <c r="D8644" t="s">
        <v>19078</v>
      </c>
      <c r="E8644" t="s">
        <v>26602</v>
      </c>
      <c r="F8644" t="s">
        <v>32831</v>
      </c>
      <c r="G8644" t="s">
        <v>32839</v>
      </c>
      <c r="H8644" t="s">
        <v>32849</v>
      </c>
      <c r="I8644" t="s">
        <v>4177</v>
      </c>
      <c r="J8644" t="s">
        <v>37382</v>
      </c>
      <c r="K8644" t="s">
        <v>42763</v>
      </c>
      <c r="M8644" t="s">
        <v>46091</v>
      </c>
      <c r="N8644" t="s">
        <v>47424</v>
      </c>
      <c r="O8644" t="s">
        <v>47425</v>
      </c>
      <c r="P8644">
        <v>0</v>
      </c>
      <c r="Q8644">
        <v>0</v>
      </c>
      <c r="R8644" t="s">
        <v>47432</v>
      </c>
      <c r="S8644" t="s">
        <v>47597</v>
      </c>
      <c r="T8644" t="s">
        <v>49518</v>
      </c>
      <c r="U8644" t="s">
        <v>56831</v>
      </c>
      <c r="W8644" t="s">
        <v>46091</v>
      </c>
      <c r="X8644" t="s">
        <v>47433</v>
      </c>
    </row>
    <row r="8645" spans="1:24">
      <c r="A8645">
        <f>HYPERLINK("https://www.philgeps.gov.ph/GEPSNONPILOT/Tender/SplashBidNoticeAbstractUI.aspx?menuIndex=3&amp;refID=7154048&amp;Result=3","7154048")</f>
        <v>0</v>
      </c>
      <c r="B8645" t="s">
        <v>481</v>
      </c>
      <c r="C8645" t="s">
        <v>12027</v>
      </c>
      <c r="D8645" t="s">
        <v>19065</v>
      </c>
      <c r="E8645" t="s">
        <v>26603</v>
      </c>
      <c r="F8645" t="s">
        <v>32831</v>
      </c>
      <c r="G8645" t="s">
        <v>32839</v>
      </c>
      <c r="H8645" t="s">
        <v>32848</v>
      </c>
      <c r="I8645" t="s">
        <v>7751</v>
      </c>
      <c r="J8645" t="s">
        <v>38355</v>
      </c>
      <c r="K8645" t="s">
        <v>42730</v>
      </c>
      <c r="L8645" t="s">
        <v>481</v>
      </c>
      <c r="M8645" t="s">
        <v>43486</v>
      </c>
      <c r="N8645" t="s">
        <v>47424</v>
      </c>
      <c r="O8645" t="s">
        <v>47425</v>
      </c>
      <c r="P8645">
        <v>0</v>
      </c>
      <c r="Q8645">
        <v>2</v>
      </c>
      <c r="R8645" t="s">
        <v>47432</v>
      </c>
      <c r="S8645" t="s">
        <v>47597</v>
      </c>
      <c r="T8645" t="s">
        <v>49236</v>
      </c>
      <c r="U8645" t="s">
        <v>50529</v>
      </c>
      <c r="V8645" t="s">
        <v>62740</v>
      </c>
      <c r="W8645" t="s">
        <v>43486</v>
      </c>
      <c r="X8645" t="s">
        <v>47433</v>
      </c>
    </row>
    <row r="8646" spans="1:24">
      <c r="A8646">
        <f>HYPERLINK("https://www.philgeps.gov.ph/GEPSNONPILOT/Tender/SplashBidNoticeAbstractUI.aspx?menuIndex=3&amp;refID=7153961&amp;Result=3","7153961")</f>
        <v>0</v>
      </c>
      <c r="B8646" t="s">
        <v>1130</v>
      </c>
      <c r="C8646" t="s">
        <v>12028</v>
      </c>
      <c r="D8646" t="s">
        <v>19045</v>
      </c>
      <c r="E8646" t="s">
        <v>26604</v>
      </c>
      <c r="F8646" t="s">
        <v>32831</v>
      </c>
      <c r="G8646" t="s">
        <v>32839</v>
      </c>
      <c r="H8646" t="s">
        <v>32849</v>
      </c>
      <c r="I8646" t="s">
        <v>32852</v>
      </c>
      <c r="J8646" t="s">
        <v>38356</v>
      </c>
      <c r="K8646" t="s">
        <v>42751</v>
      </c>
      <c r="M8646" t="s">
        <v>45442</v>
      </c>
      <c r="N8646" t="s">
        <v>47424</v>
      </c>
      <c r="O8646" t="s">
        <v>47425</v>
      </c>
      <c r="P8646">
        <v>0</v>
      </c>
      <c r="Q8646">
        <v>3</v>
      </c>
      <c r="R8646" t="s">
        <v>47432</v>
      </c>
      <c r="S8646" t="s">
        <v>47597</v>
      </c>
      <c r="T8646" t="s">
        <v>49077</v>
      </c>
      <c r="U8646" t="s">
        <v>56695</v>
      </c>
      <c r="V8646" t="s">
        <v>63325</v>
      </c>
      <c r="W8646" t="s">
        <v>45442</v>
      </c>
      <c r="X8646" t="s">
        <v>47433</v>
      </c>
    </row>
    <row r="8647" spans="1:24">
      <c r="A8647">
        <f>HYPERLINK("https://www.philgeps.gov.ph/GEPSNONPILOT/Tender/SplashBidNoticeAbstractUI.aspx?menuIndex=3&amp;refID=7154065&amp;Result=3","7154065")</f>
        <v>0</v>
      </c>
      <c r="B8647" t="s">
        <v>2838</v>
      </c>
      <c r="C8647" t="s">
        <v>12029</v>
      </c>
      <c r="D8647" t="s">
        <v>19047</v>
      </c>
      <c r="E8647" t="s">
        <v>26605</v>
      </c>
      <c r="F8647" t="s">
        <v>32831</v>
      </c>
      <c r="G8647" t="s">
        <v>32839</v>
      </c>
      <c r="H8647" t="s">
        <v>32849</v>
      </c>
      <c r="I8647" t="s">
        <v>4177</v>
      </c>
      <c r="J8647" t="s">
        <v>38357</v>
      </c>
      <c r="K8647" t="s">
        <v>42763</v>
      </c>
      <c r="M8647" t="s">
        <v>46070</v>
      </c>
      <c r="N8647" t="s">
        <v>47424</v>
      </c>
      <c r="O8647" t="s">
        <v>47425</v>
      </c>
      <c r="P8647">
        <v>0</v>
      </c>
      <c r="Q8647">
        <v>2</v>
      </c>
      <c r="R8647" t="s">
        <v>47432</v>
      </c>
      <c r="S8647" t="s">
        <v>47597</v>
      </c>
      <c r="T8647" t="s">
        <v>49214</v>
      </c>
      <c r="U8647" t="s">
        <v>56735</v>
      </c>
      <c r="W8647" t="s">
        <v>46070</v>
      </c>
      <c r="X8647" t="s">
        <v>47433</v>
      </c>
    </row>
    <row r="8648" spans="1:24">
      <c r="A8648">
        <f>HYPERLINK("https://www.philgeps.gov.ph/GEPSNONPILOT/Tender/SplashBidNoticeAbstractUI.aspx?menuIndex=3&amp;refID=7153952&amp;Result=3","7153952")</f>
        <v>0</v>
      </c>
      <c r="B8648" t="s">
        <v>2856</v>
      </c>
      <c r="C8648" t="s">
        <v>12030</v>
      </c>
      <c r="D8648" t="s">
        <v>19093</v>
      </c>
      <c r="E8648" t="s">
        <v>26606</v>
      </c>
      <c r="F8648" t="s">
        <v>32831</v>
      </c>
      <c r="G8648" t="s">
        <v>32839</v>
      </c>
      <c r="H8648" t="s">
        <v>32849</v>
      </c>
      <c r="I8648" t="s">
        <v>4177</v>
      </c>
      <c r="J8648" t="s">
        <v>38358</v>
      </c>
      <c r="K8648" t="s">
        <v>42729</v>
      </c>
      <c r="M8648" t="s">
        <v>46089</v>
      </c>
      <c r="N8648" t="s">
        <v>47424</v>
      </c>
      <c r="O8648" t="s">
        <v>47425</v>
      </c>
      <c r="P8648">
        <v>0</v>
      </c>
      <c r="Q8648">
        <v>4</v>
      </c>
      <c r="R8648" t="s">
        <v>47432</v>
      </c>
      <c r="S8648" t="s">
        <v>47597</v>
      </c>
      <c r="T8648" t="s">
        <v>49236</v>
      </c>
      <c r="U8648" t="s">
        <v>56832</v>
      </c>
      <c r="W8648" t="s">
        <v>46089</v>
      </c>
      <c r="X8648" t="s">
        <v>47433</v>
      </c>
    </row>
    <row r="8649" spans="1:24">
      <c r="A8649">
        <f>HYPERLINK("https://www.philgeps.gov.ph/GEPSNONPILOT/Tender/SplashBidNoticeAbstractUI.aspx?menuIndex=3&amp;refID=7153945&amp;Result=3","7153945")</f>
        <v>0</v>
      </c>
      <c r="B8649" t="s">
        <v>809</v>
      </c>
      <c r="C8649" t="s">
        <v>12031</v>
      </c>
      <c r="D8649" t="s">
        <v>19057</v>
      </c>
      <c r="E8649" t="s">
        <v>26607</v>
      </c>
      <c r="F8649" t="s">
        <v>32831</v>
      </c>
      <c r="G8649" t="s">
        <v>32839</v>
      </c>
      <c r="H8649" t="s">
        <v>32848</v>
      </c>
      <c r="I8649" t="s">
        <v>5667</v>
      </c>
      <c r="J8649" t="s">
        <v>33528</v>
      </c>
      <c r="K8649" t="s">
        <v>42732</v>
      </c>
      <c r="M8649" t="s">
        <v>46092</v>
      </c>
      <c r="N8649" t="s">
        <v>47424</v>
      </c>
      <c r="O8649" t="s">
        <v>47425</v>
      </c>
      <c r="P8649">
        <v>0</v>
      </c>
      <c r="Q8649">
        <v>3</v>
      </c>
      <c r="R8649" t="s">
        <v>47432</v>
      </c>
      <c r="S8649" t="s">
        <v>47597</v>
      </c>
      <c r="T8649" t="s">
        <v>49114</v>
      </c>
      <c r="U8649" t="s">
        <v>56833</v>
      </c>
      <c r="W8649" t="s">
        <v>46092</v>
      </c>
      <c r="X8649" t="s">
        <v>47433</v>
      </c>
    </row>
    <row r="8650" spans="1:24">
      <c r="A8650">
        <f>HYPERLINK("https://www.philgeps.gov.ph/GEPSNONPILOT/Tender/SplashBidNoticeAbstractUI.aspx?menuIndex=3&amp;refID=7153939&amp;Result=3","7153939")</f>
        <v>0</v>
      </c>
      <c r="B8650" t="s">
        <v>2232</v>
      </c>
      <c r="C8650" t="s">
        <v>12032</v>
      </c>
      <c r="D8650" t="s">
        <v>19062</v>
      </c>
      <c r="E8650" t="s">
        <v>26608</v>
      </c>
      <c r="F8650" t="s">
        <v>32831</v>
      </c>
      <c r="G8650" t="s">
        <v>32838</v>
      </c>
      <c r="H8650" t="s">
        <v>32848</v>
      </c>
      <c r="I8650" t="s">
        <v>10805</v>
      </c>
      <c r="J8650" t="s">
        <v>38359</v>
      </c>
      <c r="K8650" t="s">
        <v>42731</v>
      </c>
      <c r="M8650" t="s">
        <v>45413</v>
      </c>
      <c r="N8650" t="s">
        <v>47424</v>
      </c>
      <c r="O8650" t="s">
        <v>47425</v>
      </c>
      <c r="P8650">
        <v>0</v>
      </c>
      <c r="Q8650">
        <v>3</v>
      </c>
      <c r="R8650" t="s">
        <v>47432</v>
      </c>
      <c r="S8650" t="s">
        <v>47597</v>
      </c>
      <c r="T8650" t="s">
        <v>49214</v>
      </c>
      <c r="U8650" t="s">
        <v>54885</v>
      </c>
      <c r="W8650" t="s">
        <v>45413</v>
      </c>
      <c r="X8650" t="s">
        <v>47433</v>
      </c>
    </row>
    <row r="8651" spans="1:24">
      <c r="A8651">
        <f>HYPERLINK("https://www.philgeps.gov.ph/GEPSNONPILOT/Tender/SplashBidNoticeAbstractUI.aspx?menuIndex=3&amp;refID=7154059&amp;Result=3","7154059")</f>
        <v>0</v>
      </c>
      <c r="B8651" t="s">
        <v>2480</v>
      </c>
      <c r="C8651" t="s">
        <v>12033</v>
      </c>
      <c r="D8651" t="s">
        <v>19075</v>
      </c>
      <c r="E8651" t="s">
        <v>26609</v>
      </c>
      <c r="F8651" t="s">
        <v>32831</v>
      </c>
      <c r="G8651" t="s">
        <v>32839</v>
      </c>
      <c r="H8651" t="s">
        <v>32848</v>
      </c>
      <c r="I8651" t="s">
        <v>32874</v>
      </c>
      <c r="J8651" t="s">
        <v>33257</v>
      </c>
      <c r="K8651" t="s">
        <v>42732</v>
      </c>
      <c r="M8651" t="s">
        <v>45682</v>
      </c>
      <c r="N8651" t="s">
        <v>47424</v>
      </c>
      <c r="O8651" t="s">
        <v>47425</v>
      </c>
      <c r="P8651">
        <v>0</v>
      </c>
      <c r="Q8651">
        <v>10</v>
      </c>
      <c r="R8651" t="s">
        <v>47432</v>
      </c>
      <c r="S8651" t="s">
        <v>47597</v>
      </c>
      <c r="T8651" t="s">
        <v>49160</v>
      </c>
      <c r="U8651" t="s">
        <v>56834</v>
      </c>
      <c r="W8651" t="s">
        <v>45682</v>
      </c>
      <c r="X8651" t="s">
        <v>47433</v>
      </c>
    </row>
    <row r="8652" spans="1:24">
      <c r="A8652">
        <f>HYPERLINK("https://www.philgeps.gov.ph/GEPSNONPILOT/Tender/SplashBidNoticeAbstractUI.aspx?menuIndex=3&amp;refID=7153938&amp;Result=3","7153938")</f>
        <v>0</v>
      </c>
      <c r="B8652" t="s">
        <v>99</v>
      </c>
      <c r="C8652" t="s">
        <v>12034</v>
      </c>
      <c r="D8652" t="s">
        <v>19054</v>
      </c>
      <c r="E8652" t="s">
        <v>26610</v>
      </c>
      <c r="F8652" t="s">
        <v>32831</v>
      </c>
      <c r="G8652" t="s">
        <v>32839</v>
      </c>
      <c r="H8652" t="s">
        <v>32848</v>
      </c>
      <c r="I8652" t="s">
        <v>4558</v>
      </c>
      <c r="J8652" t="s">
        <v>38360</v>
      </c>
      <c r="K8652" t="s">
        <v>42730</v>
      </c>
      <c r="M8652" t="s">
        <v>43171</v>
      </c>
      <c r="N8652" t="s">
        <v>47424</v>
      </c>
      <c r="O8652" t="s">
        <v>47425</v>
      </c>
      <c r="P8652">
        <v>0</v>
      </c>
      <c r="Q8652">
        <v>1</v>
      </c>
      <c r="R8652" t="s">
        <v>47432</v>
      </c>
      <c r="S8652" t="s">
        <v>47597</v>
      </c>
      <c r="T8652" t="s">
        <v>49108</v>
      </c>
      <c r="U8652" t="s">
        <v>49821</v>
      </c>
      <c r="V8652" t="s">
        <v>62643</v>
      </c>
      <c r="W8652" t="s">
        <v>43171</v>
      </c>
      <c r="X8652" t="s">
        <v>47433</v>
      </c>
    </row>
    <row r="8653" spans="1:24">
      <c r="A8653">
        <f>HYPERLINK("https://www.philgeps.gov.ph/GEPSNONPILOT/Tender/SplashBidNoticeAbstractUI.aspx?menuIndex=3&amp;refID=7153910&amp;Result=3","7153910")</f>
        <v>0</v>
      </c>
      <c r="B8653" t="s">
        <v>2859</v>
      </c>
      <c r="C8653" t="s">
        <v>12035</v>
      </c>
      <c r="D8653" t="s">
        <v>19079</v>
      </c>
      <c r="E8653" t="s">
        <v>26611</v>
      </c>
      <c r="F8653" t="s">
        <v>32831</v>
      </c>
      <c r="G8653" t="s">
        <v>32839</v>
      </c>
      <c r="H8653" t="s">
        <v>32848</v>
      </c>
      <c r="I8653" t="s">
        <v>7416</v>
      </c>
      <c r="J8653" t="s">
        <v>38361</v>
      </c>
      <c r="K8653" t="s">
        <v>42730</v>
      </c>
      <c r="M8653" t="s">
        <v>46093</v>
      </c>
      <c r="N8653" t="s">
        <v>47424</v>
      </c>
      <c r="O8653" t="s">
        <v>47425</v>
      </c>
      <c r="P8653">
        <v>0</v>
      </c>
      <c r="Q8653">
        <v>0</v>
      </c>
      <c r="R8653" t="s">
        <v>47432</v>
      </c>
      <c r="S8653" t="s">
        <v>47597</v>
      </c>
      <c r="T8653" t="s">
        <v>49192</v>
      </c>
      <c r="U8653" t="s">
        <v>56835</v>
      </c>
      <c r="W8653" t="s">
        <v>46093</v>
      </c>
      <c r="X8653" t="s">
        <v>47433</v>
      </c>
    </row>
    <row r="8654" spans="1:24">
      <c r="A8654">
        <f>HYPERLINK("https://www.philgeps.gov.ph/GEPSNONPILOT/Tender/SplashBidNoticeAbstractUI.aspx?menuIndex=3&amp;refID=7153998&amp;Result=3","7153998")</f>
        <v>0</v>
      </c>
      <c r="B8654" t="s">
        <v>1130</v>
      </c>
      <c r="C8654" t="s">
        <v>12036</v>
      </c>
      <c r="D8654" t="s">
        <v>19045</v>
      </c>
      <c r="E8654" t="s">
        <v>26612</v>
      </c>
      <c r="F8654" t="s">
        <v>32831</v>
      </c>
      <c r="G8654" t="s">
        <v>32839</v>
      </c>
      <c r="H8654" t="s">
        <v>32849</v>
      </c>
      <c r="I8654" t="s">
        <v>4177</v>
      </c>
      <c r="J8654" t="s">
        <v>38362</v>
      </c>
      <c r="K8654" t="s">
        <v>42729</v>
      </c>
      <c r="M8654" t="s">
        <v>45442</v>
      </c>
      <c r="N8654" t="s">
        <v>47424</v>
      </c>
      <c r="O8654" t="s">
        <v>47425</v>
      </c>
      <c r="P8654">
        <v>0</v>
      </c>
      <c r="Q8654">
        <v>0</v>
      </c>
      <c r="R8654" t="s">
        <v>47432</v>
      </c>
      <c r="S8654" t="s">
        <v>47597</v>
      </c>
      <c r="T8654" t="s">
        <v>49077</v>
      </c>
      <c r="U8654" t="s">
        <v>56695</v>
      </c>
      <c r="V8654" t="s">
        <v>63325</v>
      </c>
      <c r="W8654" t="s">
        <v>45442</v>
      </c>
      <c r="X8654" t="s">
        <v>47433</v>
      </c>
    </row>
    <row r="8655" spans="1:24">
      <c r="A8655">
        <f>HYPERLINK("https://www.philgeps.gov.ph/GEPSNONPILOT/Tender/SplashBidNoticeAbstractUI.aspx?menuIndex=3&amp;refID=7153909&amp;Result=3","7153909")</f>
        <v>0</v>
      </c>
      <c r="B8655" t="s">
        <v>2860</v>
      </c>
      <c r="C8655" t="s">
        <v>12037</v>
      </c>
      <c r="D8655" t="s">
        <v>19084</v>
      </c>
      <c r="E8655" t="s">
        <v>26613</v>
      </c>
      <c r="F8655" t="s">
        <v>32831</v>
      </c>
      <c r="G8655" t="s">
        <v>32839</v>
      </c>
      <c r="H8655" t="s">
        <v>32849</v>
      </c>
      <c r="I8655" t="s">
        <v>32852</v>
      </c>
      <c r="J8655" t="s">
        <v>35952</v>
      </c>
      <c r="K8655" t="s">
        <v>42773</v>
      </c>
      <c r="M8655" t="s">
        <v>46094</v>
      </c>
      <c r="N8655" t="s">
        <v>47424</v>
      </c>
      <c r="O8655" t="s">
        <v>47425</v>
      </c>
      <c r="P8655">
        <v>0</v>
      </c>
      <c r="Q8655">
        <v>12</v>
      </c>
      <c r="R8655" t="s">
        <v>47432</v>
      </c>
      <c r="S8655" t="s">
        <v>47597</v>
      </c>
      <c r="T8655" t="s">
        <v>49236</v>
      </c>
      <c r="U8655" t="s">
        <v>56836</v>
      </c>
      <c r="V8655" t="s">
        <v>63587</v>
      </c>
      <c r="W8655" t="s">
        <v>46094</v>
      </c>
      <c r="X8655" t="s">
        <v>47433</v>
      </c>
    </row>
    <row r="8656" spans="1:24">
      <c r="A8656">
        <f>HYPERLINK("https://www.philgeps.gov.ph/GEPSNONPILOT/Tender/SplashBidNoticeAbstractUI.aspx?menuIndex=3&amp;refID=7154044&amp;Result=3","7154044")</f>
        <v>0</v>
      </c>
      <c r="B8656" t="s">
        <v>2844</v>
      </c>
      <c r="C8656" t="s">
        <v>12038</v>
      </c>
      <c r="D8656" t="s">
        <v>19036</v>
      </c>
      <c r="E8656" t="s">
        <v>26614</v>
      </c>
      <c r="F8656" t="s">
        <v>32831</v>
      </c>
      <c r="G8656" t="s">
        <v>32839</v>
      </c>
      <c r="H8656" t="s">
        <v>32849</v>
      </c>
      <c r="I8656" t="s">
        <v>32863</v>
      </c>
      <c r="J8656" t="s">
        <v>38363</v>
      </c>
      <c r="K8656" t="s">
        <v>42763</v>
      </c>
      <c r="M8656" t="s">
        <v>46076</v>
      </c>
      <c r="N8656" t="s">
        <v>47424</v>
      </c>
      <c r="O8656" t="s">
        <v>47425</v>
      </c>
      <c r="P8656">
        <v>0</v>
      </c>
      <c r="Q8656">
        <v>0</v>
      </c>
      <c r="R8656" t="s">
        <v>47432</v>
      </c>
      <c r="S8656" t="s">
        <v>47597</v>
      </c>
      <c r="T8656" t="s">
        <v>49221</v>
      </c>
      <c r="U8656" t="s">
        <v>56837</v>
      </c>
      <c r="V8656" t="s">
        <v>63588</v>
      </c>
      <c r="W8656" t="s">
        <v>46076</v>
      </c>
      <c r="X8656" t="s">
        <v>47433</v>
      </c>
    </row>
    <row r="8657" spans="1:24">
      <c r="A8657">
        <f>HYPERLINK("https://www.philgeps.gov.ph/GEPSNONPILOT/Tender/SplashBidNoticeAbstractUI.aspx?menuIndex=3&amp;refID=7153900&amp;Result=3","7153900")</f>
        <v>0</v>
      </c>
      <c r="B8657" t="s">
        <v>2429</v>
      </c>
      <c r="C8657" t="s">
        <v>12039</v>
      </c>
      <c r="D8657" t="s">
        <v>19064</v>
      </c>
      <c r="E8657" t="s">
        <v>26615</v>
      </c>
      <c r="F8657" t="s">
        <v>32831</v>
      </c>
      <c r="G8657" t="s">
        <v>32839</v>
      </c>
      <c r="H8657" t="s">
        <v>32848</v>
      </c>
      <c r="I8657" t="s">
        <v>10805</v>
      </c>
      <c r="J8657" t="s">
        <v>38364</v>
      </c>
      <c r="K8657" t="s">
        <v>42731</v>
      </c>
      <c r="M8657" t="s">
        <v>45626</v>
      </c>
      <c r="N8657" t="s">
        <v>47424</v>
      </c>
      <c r="O8657" t="s">
        <v>47425</v>
      </c>
      <c r="P8657">
        <v>0</v>
      </c>
      <c r="Q8657">
        <v>0</v>
      </c>
      <c r="R8657" t="s">
        <v>47432</v>
      </c>
      <c r="S8657" t="s">
        <v>47597</v>
      </c>
      <c r="T8657" t="s">
        <v>49055</v>
      </c>
      <c r="U8657" t="s">
        <v>56838</v>
      </c>
      <c r="W8657" t="s">
        <v>45626</v>
      </c>
      <c r="X8657" t="s">
        <v>47433</v>
      </c>
    </row>
    <row r="8658" spans="1:24">
      <c r="A8658">
        <f>HYPERLINK("https://www.philgeps.gov.ph/GEPSNONPILOT/Tender/SplashBidNoticeAbstractUI.aspx?menuIndex=3&amp;refID=7153948&amp;Result=3","7153948")</f>
        <v>0</v>
      </c>
      <c r="B8658" t="s">
        <v>1593</v>
      </c>
      <c r="C8658" t="s">
        <v>12040</v>
      </c>
      <c r="D8658" t="s">
        <v>19025</v>
      </c>
      <c r="E8658" t="s">
        <v>26616</v>
      </c>
      <c r="F8658" t="s">
        <v>32831</v>
      </c>
      <c r="G8658" t="s">
        <v>32838</v>
      </c>
      <c r="H8658" t="s">
        <v>32848</v>
      </c>
      <c r="I8658" t="s">
        <v>32862</v>
      </c>
      <c r="J8658" t="s">
        <v>38365</v>
      </c>
      <c r="K8658" t="s">
        <v>42726</v>
      </c>
      <c r="M8658" t="s">
        <v>44707</v>
      </c>
      <c r="N8658" t="s">
        <v>47424</v>
      </c>
      <c r="O8658" t="s">
        <v>47425</v>
      </c>
      <c r="P8658">
        <v>0</v>
      </c>
      <c r="Q8658">
        <v>1</v>
      </c>
      <c r="R8658" t="s">
        <v>47432</v>
      </c>
      <c r="S8658" t="s">
        <v>47597</v>
      </c>
      <c r="T8658" t="s">
        <v>49100</v>
      </c>
      <c r="U8658" t="s">
        <v>56839</v>
      </c>
      <c r="W8658" t="s">
        <v>44707</v>
      </c>
      <c r="X8658" t="s">
        <v>47433</v>
      </c>
    </row>
    <row r="8659" spans="1:24">
      <c r="A8659">
        <f>HYPERLINK("https://www.philgeps.gov.ph/GEPSNONPILOT/Tender/SplashBidNoticeAbstractUI.aspx?menuIndex=3&amp;refID=7153963&amp;Result=3","7153963")</f>
        <v>0</v>
      </c>
      <c r="B8659" t="s">
        <v>2429</v>
      </c>
      <c r="C8659" t="s">
        <v>12041</v>
      </c>
      <c r="D8659" t="s">
        <v>19064</v>
      </c>
      <c r="E8659" t="s">
        <v>26617</v>
      </c>
      <c r="F8659" t="s">
        <v>32831</v>
      </c>
      <c r="G8659" t="s">
        <v>32839</v>
      </c>
      <c r="H8659" t="s">
        <v>32848</v>
      </c>
      <c r="I8659" t="s">
        <v>32885</v>
      </c>
      <c r="J8659" t="s">
        <v>38366</v>
      </c>
      <c r="K8659" t="s">
        <v>42731</v>
      </c>
      <c r="M8659" t="s">
        <v>45626</v>
      </c>
      <c r="N8659" t="s">
        <v>47424</v>
      </c>
      <c r="O8659" t="s">
        <v>47425</v>
      </c>
      <c r="P8659">
        <v>0</v>
      </c>
      <c r="Q8659">
        <v>0</v>
      </c>
      <c r="R8659" t="s">
        <v>47432</v>
      </c>
      <c r="S8659" t="s">
        <v>47597</v>
      </c>
      <c r="T8659" t="s">
        <v>49055</v>
      </c>
      <c r="U8659" t="s">
        <v>56840</v>
      </c>
      <c r="W8659" t="s">
        <v>45626</v>
      </c>
      <c r="X8659" t="s">
        <v>47433</v>
      </c>
    </row>
    <row r="8660" spans="1:24">
      <c r="A8660">
        <f>HYPERLINK("https://www.philgeps.gov.ph/GEPSNONPILOT/Tender/SplashBidNoticeAbstractUI.aspx?menuIndex=3&amp;refID=7153891&amp;Result=3","7153891")</f>
        <v>0</v>
      </c>
      <c r="B8660" t="s">
        <v>980</v>
      </c>
      <c r="C8660" t="s">
        <v>12042</v>
      </c>
      <c r="D8660" t="s">
        <v>19022</v>
      </c>
      <c r="E8660" t="s">
        <v>26618</v>
      </c>
      <c r="F8660" t="s">
        <v>32831</v>
      </c>
      <c r="G8660" t="s">
        <v>32838</v>
      </c>
      <c r="H8660" t="s">
        <v>32848</v>
      </c>
      <c r="I8660" t="s">
        <v>7416</v>
      </c>
      <c r="J8660" t="s">
        <v>38367</v>
      </c>
      <c r="K8660" t="s">
        <v>42727</v>
      </c>
      <c r="M8660" t="s">
        <v>45987</v>
      </c>
      <c r="N8660" t="s">
        <v>47424</v>
      </c>
      <c r="O8660" t="s">
        <v>47425</v>
      </c>
      <c r="P8660">
        <v>0</v>
      </c>
      <c r="Q8660">
        <v>1</v>
      </c>
      <c r="R8660" t="s">
        <v>47432</v>
      </c>
      <c r="S8660" t="s">
        <v>47597</v>
      </c>
      <c r="T8660" t="s">
        <v>49162</v>
      </c>
      <c r="U8660" t="s">
        <v>56664</v>
      </c>
      <c r="W8660" t="s">
        <v>45987</v>
      </c>
      <c r="X8660" t="s">
        <v>47433</v>
      </c>
    </row>
    <row r="8661" spans="1:24">
      <c r="A8661">
        <f>HYPERLINK("https://www.philgeps.gov.ph/GEPSNONPILOT/Tender/SplashBidNoticeAbstractUI.aspx?menuIndex=3&amp;refID=7153857&amp;Result=3","7153857")</f>
        <v>0</v>
      </c>
      <c r="B8661" t="s">
        <v>2861</v>
      </c>
      <c r="C8661" t="s">
        <v>12043</v>
      </c>
      <c r="D8661" t="s">
        <v>19062</v>
      </c>
      <c r="E8661" t="s">
        <v>26619</v>
      </c>
      <c r="F8661" t="s">
        <v>32833</v>
      </c>
      <c r="G8661" t="s">
        <v>32838</v>
      </c>
      <c r="H8661" t="s">
        <v>32848</v>
      </c>
      <c r="I8661" t="s">
        <v>32858</v>
      </c>
      <c r="J8661" t="s">
        <v>38368</v>
      </c>
      <c r="K8661" t="s">
        <v>42732</v>
      </c>
      <c r="M8661" t="s">
        <v>46095</v>
      </c>
      <c r="N8661" t="s">
        <v>47424</v>
      </c>
      <c r="O8661" t="s">
        <v>47425</v>
      </c>
      <c r="P8661">
        <v>0</v>
      </c>
      <c r="Q8661">
        <v>4</v>
      </c>
      <c r="R8661" t="s">
        <v>47432</v>
      </c>
      <c r="S8661" t="s">
        <v>47597</v>
      </c>
      <c r="T8661" t="s">
        <v>49119</v>
      </c>
      <c r="U8661" t="s">
        <v>56841</v>
      </c>
      <c r="W8661" t="s">
        <v>46095</v>
      </c>
      <c r="X8661" t="s">
        <v>47433</v>
      </c>
    </row>
    <row r="8662" spans="1:24">
      <c r="A8662">
        <f>HYPERLINK("https://www.philgeps.gov.ph/GEPSNONPILOT/Tender/SplashBidNoticeAbstractUI.aspx?menuIndex=3&amp;refID=7153936&amp;Result=3","7153936")</f>
        <v>0</v>
      </c>
      <c r="B8662" t="s">
        <v>966</v>
      </c>
      <c r="C8662" t="s">
        <v>12044</v>
      </c>
      <c r="D8662" t="s">
        <v>19033</v>
      </c>
      <c r="E8662" t="s">
        <v>26620</v>
      </c>
      <c r="F8662" t="s">
        <v>32831</v>
      </c>
      <c r="G8662" t="s">
        <v>32840</v>
      </c>
      <c r="H8662" t="s">
        <v>32848</v>
      </c>
      <c r="I8662" t="s">
        <v>9577</v>
      </c>
      <c r="J8662" t="s">
        <v>38369</v>
      </c>
      <c r="K8662" t="s">
        <v>42726</v>
      </c>
      <c r="M8662" t="s">
        <v>44012</v>
      </c>
      <c r="N8662" t="s">
        <v>47424</v>
      </c>
      <c r="O8662" t="s">
        <v>47425</v>
      </c>
      <c r="P8662">
        <v>0</v>
      </c>
      <c r="Q8662">
        <v>1</v>
      </c>
      <c r="R8662" t="s">
        <v>47432</v>
      </c>
      <c r="S8662" t="s">
        <v>47597</v>
      </c>
      <c r="T8662" t="s">
        <v>49237</v>
      </c>
      <c r="U8662" t="s">
        <v>56842</v>
      </c>
      <c r="W8662" t="s">
        <v>44012</v>
      </c>
      <c r="X8662" t="s">
        <v>47433</v>
      </c>
    </row>
    <row r="8663" spans="1:24">
      <c r="A8663">
        <f>HYPERLINK("https://www.philgeps.gov.ph/GEPSNONPILOT/Tender/SplashBidNoticeAbstractUI.aspx?menuIndex=3&amp;refID=7153853&amp;Result=3","7153853")</f>
        <v>0</v>
      </c>
      <c r="B8663" t="s">
        <v>2808</v>
      </c>
      <c r="C8663" t="s">
        <v>12045</v>
      </c>
      <c r="D8663" t="s">
        <v>19027</v>
      </c>
      <c r="E8663" t="s">
        <v>26621</v>
      </c>
      <c r="F8663" t="s">
        <v>32831</v>
      </c>
      <c r="G8663" t="s">
        <v>32839</v>
      </c>
      <c r="H8663" t="s">
        <v>32848</v>
      </c>
      <c r="I8663" t="s">
        <v>7416</v>
      </c>
      <c r="J8663" t="s">
        <v>38370</v>
      </c>
      <c r="K8663" t="s">
        <v>42732</v>
      </c>
      <c r="M8663" t="s">
        <v>46038</v>
      </c>
      <c r="N8663" t="s">
        <v>47424</v>
      </c>
      <c r="O8663" t="s">
        <v>47425</v>
      </c>
      <c r="P8663">
        <v>0</v>
      </c>
      <c r="Q8663">
        <v>1</v>
      </c>
      <c r="R8663" t="s">
        <v>47432</v>
      </c>
      <c r="S8663" t="s">
        <v>47597</v>
      </c>
      <c r="T8663" t="s">
        <v>49444</v>
      </c>
      <c r="U8663" t="s">
        <v>56843</v>
      </c>
      <c r="W8663" t="s">
        <v>46038</v>
      </c>
      <c r="X8663" t="s">
        <v>47433</v>
      </c>
    </row>
    <row r="8664" spans="1:24">
      <c r="A8664">
        <f>HYPERLINK("https://www.philgeps.gov.ph/GEPSNONPILOT/Tender/SplashBidNoticeAbstractUI.aspx?menuIndex=3&amp;refID=7153899&amp;Result=3","7153899")</f>
        <v>0</v>
      </c>
      <c r="B8664" t="s">
        <v>2786</v>
      </c>
      <c r="C8664" t="s">
        <v>12046</v>
      </c>
      <c r="D8664" t="s">
        <v>19038</v>
      </c>
      <c r="E8664" t="s">
        <v>26622</v>
      </c>
      <c r="F8664" t="s">
        <v>32831</v>
      </c>
      <c r="G8664" t="s">
        <v>32840</v>
      </c>
      <c r="H8664" t="s">
        <v>32848</v>
      </c>
      <c r="I8664" t="s">
        <v>32910</v>
      </c>
      <c r="J8664" t="s">
        <v>38371</v>
      </c>
      <c r="K8664" t="s">
        <v>42732</v>
      </c>
      <c r="M8664" t="s">
        <v>46016</v>
      </c>
      <c r="N8664" t="s">
        <v>47424</v>
      </c>
      <c r="O8664" t="s">
        <v>47425</v>
      </c>
      <c r="P8664">
        <v>0</v>
      </c>
      <c r="Q8664">
        <v>2</v>
      </c>
      <c r="R8664" t="s">
        <v>47432</v>
      </c>
      <c r="S8664" t="s">
        <v>47597</v>
      </c>
      <c r="T8664" t="s">
        <v>49100</v>
      </c>
      <c r="U8664" t="s">
        <v>56844</v>
      </c>
      <c r="W8664" t="s">
        <v>46016</v>
      </c>
      <c r="X8664" t="s">
        <v>47433</v>
      </c>
    </row>
    <row r="8665" spans="1:24">
      <c r="A8665">
        <f>HYPERLINK("https://www.philgeps.gov.ph/GEPSNONPILOT/Tender/SplashBidNoticeAbstractUI.aspx?menuIndex=3&amp;refID=7153845&amp;Result=3","7153845")</f>
        <v>0</v>
      </c>
      <c r="B8665" t="s">
        <v>295</v>
      </c>
      <c r="C8665" t="s">
        <v>12047</v>
      </c>
      <c r="D8665" t="s">
        <v>19036</v>
      </c>
      <c r="E8665" t="s">
        <v>26623</v>
      </c>
      <c r="F8665" t="s">
        <v>32831</v>
      </c>
      <c r="G8665" t="s">
        <v>32838</v>
      </c>
      <c r="H8665" t="s">
        <v>32848</v>
      </c>
      <c r="I8665" t="s">
        <v>32883</v>
      </c>
      <c r="J8665" t="s">
        <v>33067</v>
      </c>
      <c r="K8665" t="s">
        <v>42730</v>
      </c>
      <c r="M8665" t="s">
        <v>46054</v>
      </c>
      <c r="N8665" t="s">
        <v>47424</v>
      </c>
      <c r="O8665" t="s">
        <v>47425</v>
      </c>
      <c r="P8665">
        <v>0</v>
      </c>
      <c r="Q8665">
        <v>1</v>
      </c>
      <c r="R8665" t="s">
        <v>47432</v>
      </c>
      <c r="S8665" t="s">
        <v>47597</v>
      </c>
      <c r="T8665" t="s">
        <v>49114</v>
      </c>
      <c r="U8665" t="s">
        <v>56845</v>
      </c>
      <c r="W8665" t="s">
        <v>46054</v>
      </c>
      <c r="X8665" t="s">
        <v>47433</v>
      </c>
    </row>
    <row r="8666" spans="1:24">
      <c r="A8666">
        <f>HYPERLINK("https://www.philgeps.gov.ph/GEPSNONPILOT/Tender/SplashBidNoticeAbstractUI.aspx?menuIndex=3&amp;refID=7153812&amp;Result=3","7153812")</f>
        <v>0</v>
      </c>
      <c r="B8666" t="s">
        <v>2862</v>
      </c>
      <c r="C8666" t="s">
        <v>12048</v>
      </c>
      <c r="D8666" t="s">
        <v>19017</v>
      </c>
      <c r="E8666" t="s">
        <v>26624</v>
      </c>
      <c r="F8666" t="s">
        <v>32831</v>
      </c>
      <c r="G8666" t="s">
        <v>32841</v>
      </c>
      <c r="H8666" t="s">
        <v>32848</v>
      </c>
      <c r="I8666" t="s">
        <v>32888</v>
      </c>
      <c r="J8666" t="s">
        <v>35469</v>
      </c>
      <c r="K8666" t="s">
        <v>42774</v>
      </c>
      <c r="M8666" t="s">
        <v>46096</v>
      </c>
      <c r="N8666" t="s">
        <v>47424</v>
      </c>
      <c r="O8666" t="s">
        <v>47425</v>
      </c>
      <c r="P8666">
        <v>0</v>
      </c>
      <c r="Q8666">
        <v>1</v>
      </c>
      <c r="R8666" t="s">
        <v>47432</v>
      </c>
      <c r="S8666" t="s">
        <v>47597</v>
      </c>
      <c r="T8666" t="s">
        <v>49237</v>
      </c>
      <c r="U8666" t="s">
        <v>56846</v>
      </c>
      <c r="W8666" t="s">
        <v>46096</v>
      </c>
      <c r="X8666" t="s">
        <v>47433</v>
      </c>
    </row>
    <row r="8667" spans="1:24">
      <c r="A8667">
        <f>HYPERLINK("https://www.philgeps.gov.ph/GEPSNONPILOT/Tender/SplashBidNoticeAbstractUI.aspx?menuIndex=3&amp;refID=7153897&amp;Result=3","7153897")</f>
        <v>0</v>
      </c>
      <c r="B8667" t="s">
        <v>1420</v>
      </c>
      <c r="C8667" t="s">
        <v>12049</v>
      </c>
      <c r="D8667" t="s">
        <v>19033</v>
      </c>
      <c r="E8667" t="s">
        <v>26625</v>
      </c>
      <c r="F8667" t="s">
        <v>32831</v>
      </c>
      <c r="G8667" t="s">
        <v>32839</v>
      </c>
      <c r="H8667" t="s">
        <v>32848</v>
      </c>
      <c r="I8667" t="s">
        <v>32857</v>
      </c>
      <c r="J8667" t="s">
        <v>38372</v>
      </c>
      <c r="K8667" t="s">
        <v>42774</v>
      </c>
      <c r="M8667" t="s">
        <v>44583</v>
      </c>
      <c r="N8667" t="s">
        <v>47424</v>
      </c>
      <c r="O8667" t="s">
        <v>47425</v>
      </c>
      <c r="P8667">
        <v>0</v>
      </c>
      <c r="Q8667">
        <v>36</v>
      </c>
      <c r="R8667" t="s">
        <v>47432</v>
      </c>
      <c r="S8667" t="s">
        <v>47597</v>
      </c>
      <c r="T8667" t="s">
        <v>49221</v>
      </c>
      <c r="U8667" t="s">
        <v>56675</v>
      </c>
      <c r="W8667" t="s">
        <v>64468</v>
      </c>
      <c r="X8667" t="s">
        <v>47433</v>
      </c>
    </row>
    <row r="8668" spans="1:24">
      <c r="A8668">
        <f>HYPERLINK("https://www.philgeps.gov.ph/GEPSNONPILOT/Tender/SplashBidNoticeAbstractUI.aspx?menuIndex=3&amp;refID=7153801&amp;Result=3","7153801")</f>
        <v>0</v>
      </c>
      <c r="B8668" t="s">
        <v>2863</v>
      </c>
      <c r="C8668" t="s">
        <v>12050</v>
      </c>
      <c r="D8668" t="s">
        <v>19018</v>
      </c>
      <c r="E8668" t="s">
        <v>26626</v>
      </c>
      <c r="F8668" t="s">
        <v>32831</v>
      </c>
      <c r="G8668" t="s">
        <v>32839</v>
      </c>
      <c r="H8668" t="s">
        <v>32849</v>
      </c>
      <c r="I8668" t="s">
        <v>4177</v>
      </c>
      <c r="J8668" t="s">
        <v>33044</v>
      </c>
      <c r="K8668" t="s">
        <v>42747</v>
      </c>
      <c r="M8668" t="s">
        <v>46097</v>
      </c>
      <c r="N8668" t="s">
        <v>47424</v>
      </c>
      <c r="O8668" t="s">
        <v>47425</v>
      </c>
      <c r="P8668">
        <v>0</v>
      </c>
      <c r="Q8668">
        <v>0</v>
      </c>
      <c r="R8668" t="s">
        <v>47432</v>
      </c>
      <c r="S8668" t="s">
        <v>47597</v>
      </c>
      <c r="T8668" t="s">
        <v>49166</v>
      </c>
      <c r="U8668" t="s">
        <v>56847</v>
      </c>
      <c r="V8668" t="s">
        <v>63589</v>
      </c>
      <c r="W8668" t="s">
        <v>46097</v>
      </c>
      <c r="X8668" t="s">
        <v>47433</v>
      </c>
    </row>
    <row r="8669" spans="1:24">
      <c r="A8669">
        <f>HYPERLINK("https://www.philgeps.gov.ph/GEPSNONPILOT/Tender/SplashBidNoticeAbstractUI.aspx?menuIndex=3&amp;refID=7153890&amp;Result=3","7153890")</f>
        <v>0</v>
      </c>
      <c r="B8669" t="s">
        <v>2824</v>
      </c>
      <c r="C8669" t="s">
        <v>12051</v>
      </c>
      <c r="E8669" t="s">
        <v>26627</v>
      </c>
      <c r="F8669" t="s">
        <v>32831</v>
      </c>
      <c r="G8669" t="s">
        <v>32839</v>
      </c>
      <c r="H8669" t="s">
        <v>32849</v>
      </c>
      <c r="I8669" t="s">
        <v>4177</v>
      </c>
      <c r="J8669" t="s">
        <v>32980</v>
      </c>
      <c r="K8669" t="s">
        <v>42732</v>
      </c>
      <c r="M8669" t="s">
        <v>46055</v>
      </c>
      <c r="N8669" t="s">
        <v>47424</v>
      </c>
      <c r="O8669" t="s">
        <v>47425</v>
      </c>
      <c r="P8669">
        <v>0</v>
      </c>
      <c r="Q8669">
        <v>0</v>
      </c>
      <c r="R8669" t="s">
        <v>47432</v>
      </c>
      <c r="S8669" t="s">
        <v>47597</v>
      </c>
      <c r="T8669" t="s">
        <v>49511</v>
      </c>
      <c r="U8669" t="s">
        <v>56848</v>
      </c>
      <c r="W8669" t="s">
        <v>46055</v>
      </c>
      <c r="X8669" t="s">
        <v>47433</v>
      </c>
    </row>
    <row r="8670" spans="1:24">
      <c r="A8670">
        <f>HYPERLINK("https://www.philgeps.gov.ph/GEPSNONPILOT/Tender/SplashBidNoticeAbstractUI.aspx?menuIndex=3&amp;refID=7153850&amp;Result=3","7153850")</f>
        <v>0</v>
      </c>
      <c r="B8670" t="s">
        <v>2864</v>
      </c>
      <c r="C8670" t="s">
        <v>12052</v>
      </c>
      <c r="D8670" t="s">
        <v>19091</v>
      </c>
      <c r="E8670" t="s">
        <v>19203</v>
      </c>
      <c r="F8670" t="s">
        <v>32831</v>
      </c>
      <c r="G8670" t="s">
        <v>32839</v>
      </c>
      <c r="H8670" t="s">
        <v>32849</v>
      </c>
      <c r="I8670" t="s">
        <v>4177</v>
      </c>
      <c r="J8670" t="s">
        <v>32976</v>
      </c>
      <c r="K8670" t="s">
        <v>42727</v>
      </c>
      <c r="M8670" t="s">
        <v>46098</v>
      </c>
      <c r="N8670" t="s">
        <v>47424</v>
      </c>
      <c r="O8670" t="s">
        <v>47425</v>
      </c>
      <c r="P8670">
        <v>0</v>
      </c>
      <c r="Q8670">
        <v>0</v>
      </c>
      <c r="R8670" t="s">
        <v>47432</v>
      </c>
      <c r="S8670" t="s">
        <v>47597</v>
      </c>
      <c r="T8670" t="s">
        <v>49204</v>
      </c>
      <c r="U8670" t="s">
        <v>56849</v>
      </c>
      <c r="W8670" t="s">
        <v>46098</v>
      </c>
      <c r="X8670" t="s">
        <v>47433</v>
      </c>
    </row>
    <row r="8671" spans="1:24">
      <c r="A8671">
        <f>HYPERLINK("https://www.philgeps.gov.ph/GEPSNONPILOT/Tender/SplashBidNoticeAbstractUI.aspx?menuIndex=3&amp;refID=7153846&amp;Result=3","7153846")</f>
        <v>0</v>
      </c>
      <c r="B8671" t="s">
        <v>1665</v>
      </c>
      <c r="C8671" t="s">
        <v>12053</v>
      </c>
      <c r="D8671" t="s">
        <v>19095</v>
      </c>
      <c r="E8671" t="s">
        <v>26628</v>
      </c>
      <c r="F8671" t="s">
        <v>32831</v>
      </c>
      <c r="G8671" t="s">
        <v>32840</v>
      </c>
      <c r="H8671" t="s">
        <v>32848</v>
      </c>
      <c r="I8671" t="s">
        <v>32860</v>
      </c>
      <c r="J8671" t="s">
        <v>32983</v>
      </c>
      <c r="K8671" t="s">
        <v>42732</v>
      </c>
      <c r="M8671" t="s">
        <v>44782</v>
      </c>
      <c r="N8671" t="s">
        <v>47424</v>
      </c>
      <c r="O8671" t="s">
        <v>47425</v>
      </c>
      <c r="P8671">
        <v>0</v>
      </c>
      <c r="Q8671">
        <v>1</v>
      </c>
      <c r="R8671" t="s">
        <v>47432</v>
      </c>
      <c r="S8671" t="s">
        <v>47597</v>
      </c>
      <c r="T8671" t="s">
        <v>49056</v>
      </c>
      <c r="U8671" t="s">
        <v>56850</v>
      </c>
      <c r="W8671" t="s">
        <v>64483</v>
      </c>
      <c r="X8671" t="s">
        <v>47433</v>
      </c>
    </row>
    <row r="8672" spans="1:24">
      <c r="A8672">
        <f>HYPERLINK("https://www.philgeps.gov.ph/GEPSNONPILOT/Tender/SplashBidNoticeAbstractUI.aspx?menuIndex=3&amp;refID=7153760&amp;Result=3","7153760")</f>
        <v>0</v>
      </c>
      <c r="B8672" t="s">
        <v>2636</v>
      </c>
      <c r="C8672" t="s">
        <v>12054</v>
      </c>
      <c r="E8672" t="s">
        <v>26629</v>
      </c>
      <c r="F8672" t="s">
        <v>32831</v>
      </c>
      <c r="G8672" t="s">
        <v>32839</v>
      </c>
      <c r="H8672" t="s">
        <v>32848</v>
      </c>
      <c r="I8672" t="s">
        <v>32860</v>
      </c>
      <c r="J8672" t="s">
        <v>38373</v>
      </c>
      <c r="K8672" t="s">
        <v>42727</v>
      </c>
      <c r="M8672" t="s">
        <v>45858</v>
      </c>
      <c r="N8672" t="s">
        <v>47424</v>
      </c>
      <c r="O8672" t="s">
        <v>47425</v>
      </c>
      <c r="P8672">
        <v>0</v>
      </c>
      <c r="Q8672">
        <v>0</v>
      </c>
      <c r="R8672" t="s">
        <v>47432</v>
      </c>
      <c r="S8672" t="s">
        <v>47597</v>
      </c>
      <c r="T8672" t="s">
        <v>49141</v>
      </c>
      <c r="U8672" t="s">
        <v>56851</v>
      </c>
      <c r="W8672" t="s">
        <v>45858</v>
      </c>
      <c r="X8672" t="s">
        <v>47433</v>
      </c>
    </row>
    <row r="8673" spans="1:24">
      <c r="A8673">
        <f>HYPERLINK("https://www.philgeps.gov.ph/GEPSNONPILOT/Tender/SplashBidNoticeAbstractUI.aspx?menuIndex=3&amp;refID=7153892&amp;Result=3","7153892")</f>
        <v>0</v>
      </c>
      <c r="B8673" t="s">
        <v>1062</v>
      </c>
      <c r="C8673" t="s">
        <v>12055</v>
      </c>
      <c r="D8673" t="s">
        <v>19019</v>
      </c>
      <c r="E8673" t="s">
        <v>26630</v>
      </c>
      <c r="F8673" t="s">
        <v>32831</v>
      </c>
      <c r="G8673" t="s">
        <v>32845</v>
      </c>
      <c r="H8673" t="s">
        <v>14069</v>
      </c>
      <c r="I8673" t="s">
        <v>14069</v>
      </c>
      <c r="J8673" t="s">
        <v>38374</v>
      </c>
      <c r="K8673" t="s">
        <v>42770</v>
      </c>
      <c r="M8673" t="s">
        <v>46059</v>
      </c>
      <c r="N8673" t="s">
        <v>47424</v>
      </c>
      <c r="O8673" t="s">
        <v>47425</v>
      </c>
      <c r="P8673">
        <v>0</v>
      </c>
      <c r="Q8673">
        <v>10</v>
      </c>
      <c r="R8673" t="s">
        <v>47432</v>
      </c>
      <c r="S8673" t="s">
        <v>47597</v>
      </c>
      <c r="T8673" t="s">
        <v>49069</v>
      </c>
      <c r="U8673" t="s">
        <v>56711</v>
      </c>
      <c r="V8673" t="s">
        <v>63590</v>
      </c>
      <c r="W8673" t="s">
        <v>46059</v>
      </c>
      <c r="X8673" t="s">
        <v>47433</v>
      </c>
    </row>
    <row r="8674" spans="1:24">
      <c r="A8674">
        <f>HYPERLINK("https://www.philgeps.gov.ph/GEPSNONPILOT/Tender/SplashBidNoticeAbstractUI.aspx?menuIndex=3&amp;refID=7153811&amp;Result=3","7153811")</f>
        <v>0</v>
      </c>
      <c r="B8674" t="s">
        <v>1665</v>
      </c>
      <c r="C8674" t="s">
        <v>12056</v>
      </c>
      <c r="D8674" t="s">
        <v>19095</v>
      </c>
      <c r="E8674" t="s">
        <v>26631</v>
      </c>
      <c r="F8674" t="s">
        <v>32831</v>
      </c>
      <c r="G8674" t="s">
        <v>32839</v>
      </c>
      <c r="H8674" t="s">
        <v>32848</v>
      </c>
      <c r="I8674" t="s">
        <v>7751</v>
      </c>
      <c r="J8674" t="s">
        <v>33177</v>
      </c>
      <c r="K8674" t="s">
        <v>42732</v>
      </c>
      <c r="M8674" t="s">
        <v>44782</v>
      </c>
      <c r="N8674" t="s">
        <v>47424</v>
      </c>
      <c r="O8674" t="s">
        <v>47425</v>
      </c>
      <c r="P8674">
        <v>0</v>
      </c>
      <c r="Q8674">
        <v>0</v>
      </c>
      <c r="R8674" t="s">
        <v>47432</v>
      </c>
      <c r="S8674" t="s">
        <v>47597</v>
      </c>
      <c r="T8674" t="s">
        <v>49077</v>
      </c>
      <c r="U8674" t="s">
        <v>56852</v>
      </c>
      <c r="W8674" t="s">
        <v>64483</v>
      </c>
      <c r="X8674" t="s">
        <v>47433</v>
      </c>
    </row>
    <row r="8675" spans="1:24">
      <c r="A8675">
        <f>HYPERLINK("https://www.philgeps.gov.ph/GEPSNONPILOT/Tender/SplashBidNoticeAbstractUI.aspx?menuIndex=3&amp;refID=7154373&amp;Result=3","7154373")</f>
        <v>0</v>
      </c>
      <c r="B8675" t="s">
        <v>736</v>
      </c>
      <c r="C8675" t="s">
        <v>5825</v>
      </c>
      <c r="D8675" t="s">
        <v>19062</v>
      </c>
      <c r="E8675" t="s">
        <v>26632</v>
      </c>
      <c r="F8675" t="s">
        <v>32831</v>
      </c>
      <c r="G8675" t="s">
        <v>32838</v>
      </c>
      <c r="H8675" t="s">
        <v>32848</v>
      </c>
      <c r="I8675" t="s">
        <v>4222</v>
      </c>
      <c r="J8675" t="s">
        <v>38375</v>
      </c>
      <c r="K8675" t="s">
        <v>42731</v>
      </c>
      <c r="M8675" t="s">
        <v>43758</v>
      </c>
      <c r="N8675" t="s">
        <v>47424</v>
      </c>
      <c r="O8675" t="s">
        <v>47425</v>
      </c>
      <c r="P8675">
        <v>0</v>
      </c>
      <c r="Q8675">
        <v>0</v>
      </c>
      <c r="R8675" t="s">
        <v>47432</v>
      </c>
      <c r="S8675" t="s">
        <v>47597</v>
      </c>
      <c r="T8675" t="s">
        <v>49127</v>
      </c>
      <c r="U8675" t="s">
        <v>56853</v>
      </c>
      <c r="W8675" t="s">
        <v>43758</v>
      </c>
      <c r="X8675" t="s">
        <v>47433</v>
      </c>
    </row>
    <row r="8676" spans="1:24">
      <c r="A8676">
        <f>HYPERLINK("https://www.philgeps.gov.ph/GEPSNONPILOT/Tender/SplashBidNoticeAbstractUI.aspx?menuIndex=3&amp;refID=7153810&amp;Result=3","7153810")</f>
        <v>0</v>
      </c>
      <c r="B8676" t="s">
        <v>1495</v>
      </c>
      <c r="C8676" t="s">
        <v>12057</v>
      </c>
      <c r="D8676" t="s">
        <v>19049</v>
      </c>
      <c r="E8676" t="s">
        <v>26376</v>
      </c>
      <c r="F8676" t="s">
        <v>32831</v>
      </c>
      <c r="G8676" t="s">
        <v>32840</v>
      </c>
      <c r="H8676" t="s">
        <v>32848</v>
      </c>
      <c r="I8676" t="s">
        <v>7416</v>
      </c>
      <c r="J8676" t="s">
        <v>38376</v>
      </c>
      <c r="K8676" t="s">
        <v>42726</v>
      </c>
      <c r="M8676" t="s">
        <v>44593</v>
      </c>
      <c r="N8676" t="s">
        <v>47424</v>
      </c>
      <c r="O8676" t="s">
        <v>47425</v>
      </c>
      <c r="P8676">
        <v>0</v>
      </c>
      <c r="Q8676">
        <v>0</v>
      </c>
      <c r="R8676" t="s">
        <v>47432</v>
      </c>
      <c r="S8676" t="s">
        <v>47597</v>
      </c>
      <c r="T8676" t="s">
        <v>49214</v>
      </c>
      <c r="U8676" t="s">
        <v>56854</v>
      </c>
      <c r="W8676" t="s">
        <v>44593</v>
      </c>
      <c r="X8676" t="s">
        <v>47433</v>
      </c>
    </row>
    <row r="8677" spans="1:24">
      <c r="A8677">
        <f>HYPERLINK("https://www.philgeps.gov.ph/GEPSNONPILOT/Tender/SplashBidNoticeAbstractUI.aspx?menuIndex=3&amp;refID=7153798&amp;Result=3","7153798")</f>
        <v>0</v>
      </c>
      <c r="B8677" t="s">
        <v>99</v>
      </c>
      <c r="C8677" t="s">
        <v>12058</v>
      </c>
      <c r="D8677" t="s">
        <v>19054</v>
      </c>
      <c r="E8677" t="s">
        <v>26633</v>
      </c>
      <c r="F8677" t="s">
        <v>32831</v>
      </c>
      <c r="G8677" t="s">
        <v>32839</v>
      </c>
      <c r="H8677" t="s">
        <v>32848</v>
      </c>
      <c r="I8677" t="s">
        <v>4303</v>
      </c>
      <c r="J8677" t="s">
        <v>38377</v>
      </c>
      <c r="K8677" t="s">
        <v>42730</v>
      </c>
      <c r="M8677" t="s">
        <v>43171</v>
      </c>
      <c r="N8677" t="s">
        <v>47424</v>
      </c>
      <c r="O8677" t="s">
        <v>47425</v>
      </c>
      <c r="P8677">
        <v>0</v>
      </c>
      <c r="Q8677">
        <v>0</v>
      </c>
      <c r="R8677" t="s">
        <v>47432</v>
      </c>
      <c r="S8677" t="s">
        <v>47597</v>
      </c>
      <c r="T8677" t="s">
        <v>49108</v>
      </c>
      <c r="U8677" t="s">
        <v>49821</v>
      </c>
      <c r="V8677" t="s">
        <v>62643</v>
      </c>
      <c r="W8677" t="s">
        <v>43171</v>
      </c>
      <c r="X8677" t="s">
        <v>47433</v>
      </c>
    </row>
    <row r="8678" spans="1:24">
      <c r="A8678">
        <f>HYPERLINK("https://www.philgeps.gov.ph/GEPSNONPILOT/Tender/SplashBidNoticeAbstractUI.aspx?menuIndex=3&amp;refID=7154371&amp;Result=3","7154371")</f>
        <v>0</v>
      </c>
      <c r="B8678" t="s">
        <v>312</v>
      </c>
      <c r="C8678" t="s">
        <v>12059</v>
      </c>
      <c r="D8678" t="s">
        <v>19018</v>
      </c>
      <c r="E8678" t="s">
        <v>26634</v>
      </c>
      <c r="F8678" t="s">
        <v>32831</v>
      </c>
      <c r="G8678" t="s">
        <v>32839</v>
      </c>
      <c r="H8678" t="s">
        <v>32848</v>
      </c>
      <c r="I8678" t="s">
        <v>4222</v>
      </c>
      <c r="J8678" t="s">
        <v>33044</v>
      </c>
      <c r="K8678" t="s">
        <v>42730</v>
      </c>
      <c r="M8678" t="s">
        <v>43314</v>
      </c>
      <c r="N8678" t="s">
        <v>47424</v>
      </c>
      <c r="O8678" t="s">
        <v>47425</v>
      </c>
      <c r="P8678">
        <v>0</v>
      </c>
      <c r="Q8678">
        <v>0</v>
      </c>
      <c r="R8678" t="s">
        <v>47432</v>
      </c>
      <c r="S8678" t="s">
        <v>47597</v>
      </c>
      <c r="T8678" t="s">
        <v>49174</v>
      </c>
      <c r="U8678" t="s">
        <v>56855</v>
      </c>
      <c r="W8678" t="s">
        <v>43314</v>
      </c>
      <c r="X8678" t="s">
        <v>47433</v>
      </c>
    </row>
    <row r="8679" spans="1:24">
      <c r="A8679">
        <f>HYPERLINK("https://www.philgeps.gov.ph/GEPSNONPILOT/Tender/SplashBidNoticeAbstractUI.aspx?menuIndex=3&amp;refID=7153761&amp;Result=3","7153761")</f>
        <v>0</v>
      </c>
      <c r="B8679" t="s">
        <v>421</v>
      </c>
      <c r="C8679" t="s">
        <v>12060</v>
      </c>
      <c r="D8679" t="s">
        <v>19021</v>
      </c>
      <c r="E8679" t="s">
        <v>26635</v>
      </c>
      <c r="F8679" t="s">
        <v>32831</v>
      </c>
      <c r="G8679" t="s">
        <v>32839</v>
      </c>
      <c r="H8679" t="s">
        <v>32848</v>
      </c>
      <c r="I8679" t="s">
        <v>32859</v>
      </c>
      <c r="J8679" t="s">
        <v>38378</v>
      </c>
      <c r="K8679" t="s">
        <v>42730</v>
      </c>
      <c r="M8679" t="s">
        <v>46099</v>
      </c>
      <c r="N8679" t="s">
        <v>47424</v>
      </c>
      <c r="O8679" t="s">
        <v>47425</v>
      </c>
      <c r="P8679">
        <v>0</v>
      </c>
      <c r="Q8679">
        <v>2</v>
      </c>
      <c r="R8679" t="s">
        <v>47432</v>
      </c>
      <c r="S8679" t="s">
        <v>47597</v>
      </c>
      <c r="T8679" t="s">
        <v>49319</v>
      </c>
      <c r="U8679" t="s">
        <v>56856</v>
      </c>
      <c r="W8679" t="s">
        <v>46099</v>
      </c>
      <c r="X8679" t="s">
        <v>47433</v>
      </c>
    </row>
    <row r="8680" spans="1:24">
      <c r="A8680">
        <f>HYPERLINK("https://www.philgeps.gov.ph/GEPSNONPILOT/Tender/SplashBidNoticeAbstractUI.aspx?menuIndex=3&amp;refID=7154361&amp;Result=3","7154361")</f>
        <v>0</v>
      </c>
      <c r="B8680" t="s">
        <v>2833</v>
      </c>
      <c r="C8680" t="s">
        <v>12061</v>
      </c>
      <c r="D8680" t="s">
        <v>19073</v>
      </c>
      <c r="E8680" t="s">
        <v>26276</v>
      </c>
      <c r="F8680" t="s">
        <v>32831</v>
      </c>
      <c r="G8680" t="s">
        <v>32838</v>
      </c>
      <c r="H8680" t="s">
        <v>32848</v>
      </c>
      <c r="I8680" t="s">
        <v>7416</v>
      </c>
      <c r="J8680" t="s">
        <v>38379</v>
      </c>
      <c r="K8680" t="s">
        <v>42730</v>
      </c>
      <c r="M8680" t="s">
        <v>46065</v>
      </c>
      <c r="N8680" t="s">
        <v>47424</v>
      </c>
      <c r="O8680" t="s">
        <v>47425</v>
      </c>
      <c r="P8680">
        <v>0</v>
      </c>
      <c r="Q8680">
        <v>1</v>
      </c>
      <c r="R8680" t="s">
        <v>47432</v>
      </c>
      <c r="S8680" t="s">
        <v>47597</v>
      </c>
      <c r="T8680" t="s">
        <v>49237</v>
      </c>
      <c r="U8680" t="s">
        <v>56723</v>
      </c>
      <c r="W8680" t="s">
        <v>46065</v>
      </c>
      <c r="X8680" t="s">
        <v>47433</v>
      </c>
    </row>
    <row r="8681" spans="1:24">
      <c r="A8681">
        <f>HYPERLINK("https://www.philgeps.gov.ph/GEPSNONPILOT/Tender/SplashBidNoticeAbstractUI.aspx?menuIndex=3&amp;refID=7154376&amp;Result=3","7154376")</f>
        <v>0</v>
      </c>
      <c r="B8681" t="s">
        <v>2865</v>
      </c>
      <c r="C8681" t="s">
        <v>12062</v>
      </c>
      <c r="D8681" t="s">
        <v>19077</v>
      </c>
      <c r="E8681" t="s">
        <v>26636</v>
      </c>
      <c r="F8681" t="s">
        <v>32831</v>
      </c>
      <c r="G8681" t="s">
        <v>32842</v>
      </c>
      <c r="H8681" t="s">
        <v>32848</v>
      </c>
      <c r="I8681" t="s">
        <v>9577</v>
      </c>
      <c r="J8681" t="s">
        <v>33072</v>
      </c>
      <c r="K8681" t="s">
        <v>42732</v>
      </c>
      <c r="M8681" t="s">
        <v>46100</v>
      </c>
      <c r="N8681" t="s">
        <v>47424</v>
      </c>
      <c r="O8681" t="s">
        <v>47425</v>
      </c>
      <c r="P8681">
        <v>0</v>
      </c>
      <c r="Q8681">
        <v>5</v>
      </c>
      <c r="R8681" t="s">
        <v>47432</v>
      </c>
      <c r="S8681" t="s">
        <v>47597</v>
      </c>
      <c r="T8681" t="s">
        <v>49055</v>
      </c>
      <c r="U8681" t="s">
        <v>56857</v>
      </c>
      <c r="W8681" t="s">
        <v>46100</v>
      </c>
      <c r="X8681" t="s">
        <v>47433</v>
      </c>
    </row>
    <row r="8682" spans="1:24">
      <c r="A8682">
        <f>HYPERLINK("https://www.philgeps.gov.ph/GEPSNONPILOT/Tender/SplashBidNoticeAbstractUI.aspx?menuIndex=3&amp;refID=7153898&amp;Result=3","7153898")</f>
        <v>0</v>
      </c>
      <c r="B8682" t="s">
        <v>2232</v>
      </c>
      <c r="C8682" t="s">
        <v>12063</v>
      </c>
      <c r="D8682" t="s">
        <v>19062</v>
      </c>
      <c r="E8682" t="s">
        <v>26637</v>
      </c>
      <c r="F8682" t="s">
        <v>32831</v>
      </c>
      <c r="G8682" t="s">
        <v>32838</v>
      </c>
      <c r="H8682" t="s">
        <v>32848</v>
      </c>
      <c r="I8682" t="s">
        <v>10805</v>
      </c>
      <c r="J8682" t="s">
        <v>38380</v>
      </c>
      <c r="K8682" t="s">
        <v>42731</v>
      </c>
      <c r="M8682" t="s">
        <v>45413</v>
      </c>
      <c r="N8682" t="s">
        <v>47424</v>
      </c>
      <c r="O8682" t="s">
        <v>47425</v>
      </c>
      <c r="P8682">
        <v>0</v>
      </c>
      <c r="Q8682">
        <v>2</v>
      </c>
      <c r="R8682" t="s">
        <v>47432</v>
      </c>
      <c r="S8682" t="s">
        <v>47597</v>
      </c>
      <c r="T8682" t="s">
        <v>49214</v>
      </c>
      <c r="U8682" t="s">
        <v>54885</v>
      </c>
      <c r="W8682" t="s">
        <v>45413</v>
      </c>
      <c r="X8682" t="s">
        <v>47433</v>
      </c>
    </row>
    <row r="8683" spans="1:24">
      <c r="A8683">
        <f>HYPERLINK("https://www.philgeps.gov.ph/GEPSNONPILOT/Tender/SplashBidNoticeAbstractUI.aspx?menuIndex=3&amp;refID=7154355&amp;Result=3","7154355")</f>
        <v>0</v>
      </c>
      <c r="B8683" t="s">
        <v>1864</v>
      </c>
      <c r="C8683" t="s">
        <v>12064</v>
      </c>
      <c r="D8683" t="s">
        <v>19045</v>
      </c>
      <c r="E8683" t="s">
        <v>26638</v>
      </c>
      <c r="F8683" t="s">
        <v>32831</v>
      </c>
      <c r="G8683" t="s">
        <v>32841</v>
      </c>
      <c r="H8683" t="s">
        <v>32848</v>
      </c>
      <c r="I8683" t="s">
        <v>32870</v>
      </c>
      <c r="J8683" t="s">
        <v>33044</v>
      </c>
      <c r="K8683" t="s">
        <v>42745</v>
      </c>
      <c r="M8683" t="s">
        <v>45006</v>
      </c>
      <c r="N8683" t="s">
        <v>47424</v>
      </c>
      <c r="O8683" t="s">
        <v>47425</v>
      </c>
      <c r="P8683">
        <v>0</v>
      </c>
      <c r="Q8683">
        <v>0</v>
      </c>
      <c r="R8683" t="s">
        <v>47432</v>
      </c>
      <c r="S8683" t="s">
        <v>47597</v>
      </c>
      <c r="T8683" t="s">
        <v>49243</v>
      </c>
      <c r="U8683" t="s">
        <v>56806</v>
      </c>
      <c r="W8683" t="s">
        <v>45006</v>
      </c>
      <c r="X8683" t="s">
        <v>47433</v>
      </c>
    </row>
    <row r="8684" spans="1:24">
      <c r="A8684">
        <f>HYPERLINK("https://www.philgeps.gov.ph/GEPSNONPILOT/Tender/SplashBidNoticeAbstractUI.aspx?menuIndex=3&amp;refID=7154364&amp;Result=3","7154364")</f>
        <v>0</v>
      </c>
      <c r="B8684" t="s">
        <v>2866</v>
      </c>
      <c r="C8684" t="s">
        <v>12065</v>
      </c>
      <c r="D8684" t="s">
        <v>19059</v>
      </c>
      <c r="E8684" t="s">
        <v>26639</v>
      </c>
      <c r="F8684" t="s">
        <v>32831</v>
      </c>
      <c r="G8684" t="s">
        <v>32839</v>
      </c>
      <c r="H8684" t="s">
        <v>32849</v>
      </c>
      <c r="I8684" t="s">
        <v>4177</v>
      </c>
      <c r="J8684" t="s">
        <v>38381</v>
      </c>
      <c r="K8684" t="s">
        <v>42862</v>
      </c>
      <c r="M8684" t="s">
        <v>46101</v>
      </c>
      <c r="N8684" t="s">
        <v>47424</v>
      </c>
      <c r="O8684" t="s">
        <v>47425</v>
      </c>
      <c r="P8684">
        <v>0</v>
      </c>
      <c r="Q8684">
        <v>81</v>
      </c>
      <c r="R8684" t="s">
        <v>47432</v>
      </c>
      <c r="S8684" t="s">
        <v>47597</v>
      </c>
      <c r="T8684" t="s">
        <v>49236</v>
      </c>
      <c r="U8684" t="s">
        <v>56858</v>
      </c>
      <c r="V8684" t="s">
        <v>63591</v>
      </c>
      <c r="W8684" t="s">
        <v>46142</v>
      </c>
      <c r="X8684" t="s">
        <v>47433</v>
      </c>
    </row>
    <row r="8685" spans="1:24">
      <c r="A8685">
        <f>HYPERLINK("https://www.philgeps.gov.ph/GEPSNONPILOT/Tender/SplashBidNoticeAbstractUI.aspx?menuIndex=3&amp;refID=7154358&amp;Result=3","7154358")</f>
        <v>0</v>
      </c>
      <c r="B8685" t="s">
        <v>1641</v>
      </c>
      <c r="C8685" t="s">
        <v>12066</v>
      </c>
      <c r="D8685" t="s">
        <v>19042</v>
      </c>
      <c r="E8685" t="s">
        <v>26640</v>
      </c>
      <c r="F8685" t="s">
        <v>32831</v>
      </c>
      <c r="G8685" t="s">
        <v>32839</v>
      </c>
      <c r="H8685" t="s">
        <v>32849</v>
      </c>
      <c r="I8685" t="s">
        <v>4177</v>
      </c>
      <c r="J8685" t="s">
        <v>38382</v>
      </c>
      <c r="K8685" t="s">
        <v>42771</v>
      </c>
      <c r="L8685" t="s">
        <v>1641</v>
      </c>
      <c r="M8685" t="s">
        <v>44758</v>
      </c>
      <c r="N8685" t="s">
        <v>47424</v>
      </c>
      <c r="O8685" t="s">
        <v>47425</v>
      </c>
      <c r="P8685">
        <v>0</v>
      </c>
      <c r="Q8685">
        <v>0</v>
      </c>
      <c r="R8685" t="s">
        <v>47432</v>
      </c>
      <c r="S8685" t="s">
        <v>47597</v>
      </c>
      <c r="T8685" t="s">
        <v>49283</v>
      </c>
      <c r="U8685" t="s">
        <v>56859</v>
      </c>
      <c r="V8685" t="s">
        <v>63581</v>
      </c>
      <c r="W8685" t="s">
        <v>44758</v>
      </c>
      <c r="X8685" t="s">
        <v>47433</v>
      </c>
    </row>
    <row r="8686" spans="1:24">
      <c r="A8686">
        <f>HYPERLINK("https://www.philgeps.gov.ph/GEPSNONPILOT/Tender/SplashBidNoticeAbstractUI.aspx?menuIndex=3&amp;refID=7154354&amp;Result=3","7154354")</f>
        <v>0</v>
      </c>
      <c r="B8686" t="s">
        <v>1193</v>
      </c>
      <c r="C8686" t="s">
        <v>12067</v>
      </c>
      <c r="D8686" t="s">
        <v>19046</v>
      </c>
      <c r="E8686" t="s">
        <v>26641</v>
      </c>
      <c r="F8686" t="s">
        <v>32833</v>
      </c>
      <c r="G8686" t="s">
        <v>32839</v>
      </c>
      <c r="H8686" t="s">
        <v>32848</v>
      </c>
      <c r="I8686" t="s">
        <v>4471</v>
      </c>
      <c r="J8686" t="s">
        <v>33841</v>
      </c>
      <c r="K8686" t="s">
        <v>42726</v>
      </c>
      <c r="M8686" t="s">
        <v>44259</v>
      </c>
      <c r="N8686" t="s">
        <v>47424</v>
      </c>
      <c r="O8686" t="s">
        <v>47425</v>
      </c>
      <c r="P8686">
        <v>0</v>
      </c>
      <c r="Q8686">
        <v>2</v>
      </c>
      <c r="R8686" t="s">
        <v>47432</v>
      </c>
      <c r="S8686" t="s">
        <v>47597</v>
      </c>
      <c r="T8686" t="s">
        <v>49302</v>
      </c>
      <c r="U8686" t="s">
        <v>56860</v>
      </c>
      <c r="V8686" t="s">
        <v>63580</v>
      </c>
      <c r="W8686" t="s">
        <v>44259</v>
      </c>
      <c r="X8686" t="s">
        <v>47433</v>
      </c>
    </row>
    <row r="8687" spans="1:24">
      <c r="A8687">
        <f>HYPERLINK("https://www.philgeps.gov.ph/GEPSNONPILOT/Tender/SplashBidNoticeAbstractUI.aspx?menuIndex=3&amp;refID=7154351&amp;Result=3","7154351")</f>
        <v>0</v>
      </c>
      <c r="B8687" t="s">
        <v>2636</v>
      </c>
      <c r="C8687" t="s">
        <v>12068</v>
      </c>
      <c r="D8687" t="s">
        <v>19037</v>
      </c>
      <c r="E8687" t="s">
        <v>26642</v>
      </c>
      <c r="F8687" t="s">
        <v>32831</v>
      </c>
      <c r="G8687" t="s">
        <v>32839</v>
      </c>
      <c r="H8687" t="s">
        <v>32848</v>
      </c>
      <c r="I8687" t="s">
        <v>7416</v>
      </c>
      <c r="J8687" t="s">
        <v>38383</v>
      </c>
      <c r="K8687" t="s">
        <v>42727</v>
      </c>
      <c r="M8687" t="s">
        <v>45965</v>
      </c>
      <c r="N8687" t="s">
        <v>47424</v>
      </c>
      <c r="O8687" t="s">
        <v>47425</v>
      </c>
      <c r="P8687">
        <v>0</v>
      </c>
      <c r="Q8687">
        <v>0</v>
      </c>
      <c r="R8687" t="s">
        <v>47432</v>
      </c>
      <c r="S8687" t="s">
        <v>47597</v>
      </c>
      <c r="T8687" t="s">
        <v>49070</v>
      </c>
      <c r="U8687" t="s">
        <v>56861</v>
      </c>
      <c r="W8687" t="s">
        <v>45965</v>
      </c>
      <c r="X8687" t="s">
        <v>47433</v>
      </c>
    </row>
    <row r="8688" spans="1:24">
      <c r="A8688">
        <f>HYPERLINK("https://www.philgeps.gov.ph/GEPSNONPILOT/Tender/SplashBidNoticeAbstractUI.aspx?menuIndex=3&amp;refID=7154347&amp;Result=3","7154347")</f>
        <v>0</v>
      </c>
      <c r="B8688" t="s">
        <v>1597</v>
      </c>
      <c r="C8688" t="s">
        <v>12069</v>
      </c>
      <c r="D8688" t="s">
        <v>19031</v>
      </c>
      <c r="E8688" t="s">
        <v>26643</v>
      </c>
      <c r="F8688" t="s">
        <v>32831</v>
      </c>
      <c r="G8688" t="s">
        <v>32839</v>
      </c>
      <c r="H8688" t="s">
        <v>32848</v>
      </c>
      <c r="I8688" t="s">
        <v>32931</v>
      </c>
      <c r="J8688" t="s">
        <v>38384</v>
      </c>
      <c r="K8688" t="s">
        <v>42729</v>
      </c>
      <c r="M8688" t="s">
        <v>44719</v>
      </c>
      <c r="N8688" t="s">
        <v>47424</v>
      </c>
      <c r="O8688" t="s">
        <v>47425</v>
      </c>
      <c r="P8688">
        <v>0</v>
      </c>
      <c r="Q8688">
        <v>10</v>
      </c>
      <c r="R8688" t="s">
        <v>47432</v>
      </c>
      <c r="S8688" t="s">
        <v>47597</v>
      </c>
      <c r="T8688" t="s">
        <v>49291</v>
      </c>
      <c r="U8688" t="s">
        <v>56862</v>
      </c>
      <c r="V8688" t="s">
        <v>63051</v>
      </c>
      <c r="W8688" t="s">
        <v>44719</v>
      </c>
      <c r="X8688" t="s">
        <v>47433</v>
      </c>
    </row>
    <row r="8689" spans="1:24">
      <c r="A8689">
        <f>HYPERLINK("https://www.philgeps.gov.ph/GEPSNONPILOT/Tender/SplashBidNoticeAbstractUI.aspx?menuIndex=3&amp;refID=7154357&amp;Result=3","7154357")</f>
        <v>0</v>
      </c>
      <c r="B8689" t="s">
        <v>2767</v>
      </c>
      <c r="C8689" t="s">
        <v>12070</v>
      </c>
      <c r="D8689" t="s">
        <v>19037</v>
      </c>
      <c r="E8689" t="s">
        <v>26644</v>
      </c>
      <c r="F8689" t="s">
        <v>32831</v>
      </c>
      <c r="G8689" t="s">
        <v>32840</v>
      </c>
      <c r="H8689" t="s">
        <v>32848</v>
      </c>
      <c r="I8689" t="s">
        <v>4776</v>
      </c>
      <c r="J8689" t="s">
        <v>33162</v>
      </c>
      <c r="K8689" t="s">
        <v>42727</v>
      </c>
      <c r="M8689" t="s">
        <v>45997</v>
      </c>
      <c r="N8689" t="s">
        <v>47424</v>
      </c>
      <c r="O8689" t="s">
        <v>47425</v>
      </c>
      <c r="P8689">
        <v>0</v>
      </c>
      <c r="Q8689">
        <v>0</v>
      </c>
      <c r="R8689" t="s">
        <v>47432</v>
      </c>
      <c r="S8689" t="s">
        <v>47597</v>
      </c>
      <c r="T8689" t="s">
        <v>49111</v>
      </c>
      <c r="U8689" t="s">
        <v>56528</v>
      </c>
      <c r="V8689" t="s">
        <v>63592</v>
      </c>
      <c r="W8689" t="s">
        <v>45997</v>
      </c>
      <c r="X8689" t="s">
        <v>47433</v>
      </c>
    </row>
    <row r="8690" spans="1:24">
      <c r="A8690">
        <f>HYPERLINK("https://www.philgeps.gov.ph/GEPSNONPILOT/Tender/SplashBidNoticeAbstractUI.aspx?menuIndex=3&amp;refID=7154336&amp;Result=3","7154336")</f>
        <v>0</v>
      </c>
      <c r="B8690" t="s">
        <v>911</v>
      </c>
      <c r="C8690" t="s">
        <v>12071</v>
      </c>
      <c r="D8690" t="s">
        <v>19049</v>
      </c>
      <c r="E8690" t="s">
        <v>26645</v>
      </c>
      <c r="F8690" t="s">
        <v>32831</v>
      </c>
      <c r="G8690" t="s">
        <v>32838</v>
      </c>
      <c r="H8690" t="s">
        <v>32848</v>
      </c>
      <c r="I8690" t="s">
        <v>32884</v>
      </c>
      <c r="J8690" t="s">
        <v>38385</v>
      </c>
      <c r="K8690" t="s">
        <v>42730</v>
      </c>
      <c r="M8690" t="s">
        <v>43951</v>
      </c>
      <c r="N8690" t="s">
        <v>47424</v>
      </c>
      <c r="O8690" t="s">
        <v>47425</v>
      </c>
      <c r="P8690">
        <v>0</v>
      </c>
      <c r="Q8690">
        <v>2</v>
      </c>
      <c r="R8690" t="s">
        <v>47432</v>
      </c>
      <c r="S8690" t="s">
        <v>47597</v>
      </c>
      <c r="T8690" t="s">
        <v>49237</v>
      </c>
      <c r="U8690" t="s">
        <v>51540</v>
      </c>
      <c r="W8690" t="s">
        <v>43951</v>
      </c>
      <c r="X8690" t="s">
        <v>47433</v>
      </c>
    </row>
    <row r="8691" spans="1:24">
      <c r="A8691">
        <f>HYPERLINK("https://www.philgeps.gov.ph/GEPSNONPILOT/Tender/SplashBidNoticeAbstractUI.aspx?menuIndex=3&amp;refID=7154334&amp;Result=3","7154334")</f>
        <v>0</v>
      </c>
      <c r="B8691" t="s">
        <v>2315</v>
      </c>
      <c r="C8691" t="s">
        <v>12072</v>
      </c>
      <c r="D8691" t="s">
        <v>19031</v>
      </c>
      <c r="E8691" t="s">
        <v>26646</v>
      </c>
      <c r="F8691" t="s">
        <v>32831</v>
      </c>
      <c r="G8691" t="s">
        <v>32839</v>
      </c>
      <c r="H8691" t="s">
        <v>32849</v>
      </c>
      <c r="I8691" t="s">
        <v>4177</v>
      </c>
      <c r="J8691" t="s">
        <v>38386</v>
      </c>
      <c r="K8691" t="s">
        <v>42728</v>
      </c>
      <c r="M8691" t="s">
        <v>45500</v>
      </c>
      <c r="N8691" t="s">
        <v>47424</v>
      </c>
      <c r="O8691" t="s">
        <v>47425</v>
      </c>
      <c r="P8691">
        <v>0</v>
      </c>
      <c r="Q8691">
        <v>0</v>
      </c>
      <c r="R8691" t="s">
        <v>47432</v>
      </c>
      <c r="S8691" t="s">
        <v>47597</v>
      </c>
      <c r="T8691" t="s">
        <v>49236</v>
      </c>
      <c r="U8691" t="s">
        <v>56863</v>
      </c>
      <c r="W8691" t="s">
        <v>45500</v>
      </c>
      <c r="X8691" t="s">
        <v>47433</v>
      </c>
    </row>
    <row r="8692" spans="1:24">
      <c r="A8692">
        <f>HYPERLINK("https://www.philgeps.gov.ph/GEPSNONPILOT/Tender/SplashBidNoticeAbstractUI.aspx?menuIndex=3&amp;refID=7154330&amp;Result=3","7154330")</f>
        <v>0</v>
      </c>
      <c r="B8692" t="s">
        <v>2232</v>
      </c>
      <c r="C8692" t="s">
        <v>12073</v>
      </c>
      <c r="D8692" t="s">
        <v>19062</v>
      </c>
      <c r="E8692" t="s">
        <v>26647</v>
      </c>
      <c r="F8692" t="s">
        <v>32831</v>
      </c>
      <c r="G8692" t="s">
        <v>32838</v>
      </c>
      <c r="H8692" t="s">
        <v>32848</v>
      </c>
      <c r="I8692" t="s">
        <v>7416</v>
      </c>
      <c r="J8692" t="s">
        <v>38387</v>
      </c>
      <c r="K8692" t="s">
        <v>42738</v>
      </c>
      <c r="M8692" t="s">
        <v>45413</v>
      </c>
      <c r="N8692" t="s">
        <v>47424</v>
      </c>
      <c r="O8692" t="s">
        <v>47425</v>
      </c>
      <c r="P8692">
        <v>0</v>
      </c>
      <c r="Q8692">
        <v>2</v>
      </c>
      <c r="R8692" t="s">
        <v>47432</v>
      </c>
      <c r="S8692" t="s">
        <v>47597</v>
      </c>
      <c r="T8692" t="s">
        <v>49214</v>
      </c>
      <c r="U8692" t="s">
        <v>54885</v>
      </c>
      <c r="W8692" t="s">
        <v>45413</v>
      </c>
      <c r="X8692" t="s">
        <v>47433</v>
      </c>
    </row>
    <row r="8693" spans="1:24">
      <c r="A8693">
        <f>HYPERLINK("https://www.philgeps.gov.ph/GEPSNONPILOT/Tender/SplashBidNoticeAbstractUI.aspx?menuIndex=3&amp;refID=7154327&amp;Result=3","7154327")</f>
        <v>0</v>
      </c>
      <c r="B8693" t="s">
        <v>2858</v>
      </c>
      <c r="C8693" t="s">
        <v>12074</v>
      </c>
      <c r="D8693" t="s">
        <v>19078</v>
      </c>
      <c r="E8693" t="s">
        <v>26648</v>
      </c>
      <c r="F8693" t="s">
        <v>32831</v>
      </c>
      <c r="G8693" t="s">
        <v>32839</v>
      </c>
      <c r="H8693" t="s">
        <v>32849</v>
      </c>
      <c r="I8693" t="s">
        <v>4177</v>
      </c>
      <c r="J8693" t="s">
        <v>38388</v>
      </c>
      <c r="K8693" t="s">
        <v>42770</v>
      </c>
      <c r="M8693" t="s">
        <v>46091</v>
      </c>
      <c r="N8693" t="s">
        <v>47424</v>
      </c>
      <c r="O8693" t="s">
        <v>47425</v>
      </c>
      <c r="P8693">
        <v>0</v>
      </c>
      <c r="Q8693">
        <v>0</v>
      </c>
      <c r="R8693" t="s">
        <v>47432</v>
      </c>
      <c r="S8693" t="s">
        <v>47597</v>
      </c>
      <c r="T8693" t="s">
        <v>49173</v>
      </c>
      <c r="U8693" t="s">
        <v>56864</v>
      </c>
      <c r="W8693" t="s">
        <v>46091</v>
      </c>
      <c r="X8693" t="s">
        <v>47433</v>
      </c>
    </row>
    <row r="8694" spans="1:24">
      <c r="A8694">
        <f>HYPERLINK("https://www.philgeps.gov.ph/GEPSNONPILOT/Tender/SplashBidNoticeAbstractUI.aspx?menuIndex=3&amp;refID=7154359&amp;Result=3","7154359")</f>
        <v>0</v>
      </c>
      <c r="B8694" t="s">
        <v>2867</v>
      </c>
      <c r="C8694" t="s">
        <v>12075</v>
      </c>
      <c r="D8694" t="s">
        <v>19052</v>
      </c>
      <c r="E8694" t="s">
        <v>26649</v>
      </c>
      <c r="F8694" t="s">
        <v>32831</v>
      </c>
      <c r="G8694" t="s">
        <v>32839</v>
      </c>
      <c r="H8694" t="s">
        <v>32849</v>
      </c>
      <c r="I8694" t="s">
        <v>4177</v>
      </c>
      <c r="J8694" t="s">
        <v>32978</v>
      </c>
      <c r="K8694" t="s">
        <v>42729</v>
      </c>
      <c r="M8694" t="s">
        <v>46102</v>
      </c>
      <c r="N8694" t="s">
        <v>47424</v>
      </c>
      <c r="O8694" t="s">
        <v>47425</v>
      </c>
      <c r="P8694">
        <v>0</v>
      </c>
      <c r="Q8694">
        <v>0</v>
      </c>
      <c r="R8694" t="s">
        <v>47432</v>
      </c>
      <c r="S8694" t="s">
        <v>47597</v>
      </c>
      <c r="T8694" t="s">
        <v>49214</v>
      </c>
      <c r="U8694" t="s">
        <v>56865</v>
      </c>
      <c r="W8694" t="s">
        <v>46102</v>
      </c>
      <c r="X8694" t="s">
        <v>47433</v>
      </c>
    </row>
    <row r="8695" spans="1:24">
      <c r="A8695">
        <f>HYPERLINK("https://www.philgeps.gov.ph/GEPSNONPILOT/Tender/SplashBidNoticeAbstractUI.aspx?menuIndex=3&amp;refID=7153757&amp;Result=3","7153757")</f>
        <v>0</v>
      </c>
      <c r="B8695" t="s">
        <v>2808</v>
      </c>
      <c r="C8695" t="s">
        <v>12076</v>
      </c>
      <c r="D8695" t="s">
        <v>19027</v>
      </c>
      <c r="E8695" t="s">
        <v>26650</v>
      </c>
      <c r="F8695" t="s">
        <v>32831</v>
      </c>
      <c r="G8695" t="s">
        <v>32839</v>
      </c>
      <c r="H8695" t="s">
        <v>32848</v>
      </c>
      <c r="I8695" t="s">
        <v>7416</v>
      </c>
      <c r="J8695" t="s">
        <v>38389</v>
      </c>
      <c r="K8695" t="s">
        <v>42732</v>
      </c>
      <c r="M8695" t="s">
        <v>46038</v>
      </c>
      <c r="N8695" t="s">
        <v>47424</v>
      </c>
      <c r="O8695" t="s">
        <v>47425</v>
      </c>
      <c r="P8695">
        <v>0</v>
      </c>
      <c r="Q8695">
        <v>1</v>
      </c>
      <c r="R8695" t="s">
        <v>47432</v>
      </c>
      <c r="S8695" t="s">
        <v>47597</v>
      </c>
      <c r="T8695" t="s">
        <v>49110</v>
      </c>
      <c r="U8695" t="s">
        <v>56866</v>
      </c>
      <c r="W8695" t="s">
        <v>46038</v>
      </c>
      <c r="X8695" t="s">
        <v>47433</v>
      </c>
    </row>
    <row r="8696" spans="1:24">
      <c r="A8696">
        <f>HYPERLINK("https://www.philgeps.gov.ph/GEPSNONPILOT/Tender/SplashBidNoticeAbstractUI.aspx?menuIndex=3&amp;refID=7153725&amp;Result=3","7153725")</f>
        <v>0</v>
      </c>
      <c r="B8696" t="s">
        <v>1665</v>
      </c>
      <c r="C8696" t="s">
        <v>12077</v>
      </c>
      <c r="D8696" t="s">
        <v>19095</v>
      </c>
      <c r="E8696" t="s">
        <v>26651</v>
      </c>
      <c r="F8696" t="s">
        <v>32831</v>
      </c>
      <c r="G8696" t="s">
        <v>32839</v>
      </c>
      <c r="H8696" t="s">
        <v>32848</v>
      </c>
      <c r="I8696" t="s">
        <v>4487</v>
      </c>
      <c r="J8696" t="s">
        <v>33108</v>
      </c>
      <c r="K8696" t="s">
        <v>42732</v>
      </c>
      <c r="M8696" t="s">
        <v>44782</v>
      </c>
      <c r="N8696" t="s">
        <v>47424</v>
      </c>
      <c r="O8696" t="s">
        <v>47425</v>
      </c>
      <c r="P8696">
        <v>0</v>
      </c>
      <c r="Q8696">
        <v>3</v>
      </c>
      <c r="R8696" t="s">
        <v>47432</v>
      </c>
      <c r="S8696" t="s">
        <v>47597</v>
      </c>
      <c r="T8696" t="s">
        <v>49077</v>
      </c>
      <c r="U8696" t="s">
        <v>56867</v>
      </c>
      <c r="W8696" t="s">
        <v>64483</v>
      </c>
      <c r="X8696" t="s">
        <v>47433</v>
      </c>
    </row>
    <row r="8697" spans="1:24">
      <c r="A8697">
        <f>HYPERLINK("https://www.philgeps.gov.ph/GEPSNONPILOT/Tender/SplashBidNoticeAbstractUI.aspx?menuIndex=3&amp;refID=7154349&amp;Result=3","7154349")</f>
        <v>0</v>
      </c>
      <c r="B8697" t="s">
        <v>2868</v>
      </c>
      <c r="C8697" t="s">
        <v>12078</v>
      </c>
      <c r="D8697" t="s">
        <v>19023</v>
      </c>
      <c r="E8697" t="s">
        <v>26652</v>
      </c>
      <c r="F8697" t="s">
        <v>32831</v>
      </c>
      <c r="G8697" t="s">
        <v>32839</v>
      </c>
      <c r="H8697" t="s">
        <v>32848</v>
      </c>
      <c r="I8697" t="s">
        <v>7751</v>
      </c>
      <c r="J8697" t="s">
        <v>33078</v>
      </c>
      <c r="K8697" t="s">
        <v>42759</v>
      </c>
      <c r="M8697" t="s">
        <v>46103</v>
      </c>
      <c r="N8697" t="s">
        <v>47424</v>
      </c>
      <c r="O8697" t="s">
        <v>47425</v>
      </c>
      <c r="P8697">
        <v>0</v>
      </c>
      <c r="Q8697">
        <v>0</v>
      </c>
      <c r="R8697" t="s">
        <v>47432</v>
      </c>
      <c r="S8697" t="s">
        <v>47597</v>
      </c>
      <c r="T8697" t="s">
        <v>49214</v>
      </c>
      <c r="U8697" t="s">
        <v>56868</v>
      </c>
      <c r="W8697" t="s">
        <v>46103</v>
      </c>
      <c r="X8697" t="s">
        <v>47433</v>
      </c>
    </row>
    <row r="8698" spans="1:24">
      <c r="A8698">
        <f>HYPERLINK("https://www.philgeps.gov.ph/GEPSNONPILOT/Tender/SplashBidNoticeAbstractUI.aspx?menuIndex=3&amp;refID=7153722&amp;Result=3","7153722")</f>
        <v>0</v>
      </c>
      <c r="B8698" t="s">
        <v>1747</v>
      </c>
      <c r="C8698" t="s">
        <v>12079</v>
      </c>
      <c r="D8698" t="s">
        <v>19058</v>
      </c>
      <c r="E8698" t="s">
        <v>26653</v>
      </c>
      <c r="F8698" t="s">
        <v>32831</v>
      </c>
      <c r="G8698" t="s">
        <v>32839</v>
      </c>
      <c r="H8698" t="s">
        <v>32848</v>
      </c>
      <c r="I8698" t="s">
        <v>9577</v>
      </c>
      <c r="J8698" t="s">
        <v>38390</v>
      </c>
      <c r="K8698" t="s">
        <v>42727</v>
      </c>
      <c r="M8698" t="s">
        <v>44870</v>
      </c>
      <c r="N8698" t="s">
        <v>47424</v>
      </c>
      <c r="O8698" t="s">
        <v>47425</v>
      </c>
      <c r="P8698">
        <v>0</v>
      </c>
      <c r="Q8698">
        <v>2</v>
      </c>
      <c r="R8698" t="s">
        <v>47432</v>
      </c>
      <c r="S8698" t="s">
        <v>47597</v>
      </c>
      <c r="T8698" t="s">
        <v>49127</v>
      </c>
      <c r="U8698" t="s">
        <v>56869</v>
      </c>
      <c r="W8698" t="s">
        <v>44870</v>
      </c>
      <c r="X8698" t="s">
        <v>47433</v>
      </c>
    </row>
    <row r="8699" spans="1:24">
      <c r="A8699">
        <f>HYPERLINK("https://www.philgeps.gov.ph/GEPSNONPILOT/Tender/SplashBidNoticeAbstractUI.aspx?menuIndex=3&amp;refID=7153714&amp;Result=3","7153714")</f>
        <v>0</v>
      </c>
      <c r="B8699" t="s">
        <v>1831</v>
      </c>
      <c r="C8699" t="s">
        <v>12080</v>
      </c>
      <c r="D8699" t="s">
        <v>19070</v>
      </c>
      <c r="E8699" t="s">
        <v>21879</v>
      </c>
      <c r="F8699" t="s">
        <v>32831</v>
      </c>
      <c r="G8699" t="s">
        <v>32839</v>
      </c>
      <c r="H8699" t="s">
        <v>32849</v>
      </c>
      <c r="I8699" t="s">
        <v>4177</v>
      </c>
      <c r="J8699" t="s">
        <v>33644</v>
      </c>
      <c r="K8699" t="s">
        <v>42730</v>
      </c>
      <c r="M8699" t="s">
        <v>44965</v>
      </c>
      <c r="N8699" t="s">
        <v>47424</v>
      </c>
      <c r="O8699" t="s">
        <v>47425</v>
      </c>
      <c r="P8699">
        <v>0</v>
      </c>
      <c r="Q8699">
        <v>0</v>
      </c>
      <c r="R8699" t="s">
        <v>47432</v>
      </c>
      <c r="S8699" t="s">
        <v>47597</v>
      </c>
      <c r="T8699" t="s">
        <v>49107</v>
      </c>
      <c r="U8699" t="s">
        <v>53625</v>
      </c>
      <c r="W8699" t="s">
        <v>44965</v>
      </c>
      <c r="X8699" t="s">
        <v>47433</v>
      </c>
    </row>
    <row r="8700" spans="1:24">
      <c r="A8700">
        <f>HYPERLINK("https://www.philgeps.gov.ph/GEPSNONPILOT/Tender/SplashBidNoticeAbstractUI.aspx?menuIndex=3&amp;refID=7153710&amp;Result=3","7153710")</f>
        <v>0</v>
      </c>
      <c r="B8700" t="s">
        <v>2869</v>
      </c>
      <c r="C8700" t="s">
        <v>12081</v>
      </c>
      <c r="D8700" t="s">
        <v>19023</v>
      </c>
      <c r="E8700" t="s">
        <v>26654</v>
      </c>
      <c r="F8700" t="s">
        <v>32831</v>
      </c>
      <c r="G8700" t="s">
        <v>32839</v>
      </c>
      <c r="H8700" t="s">
        <v>32848</v>
      </c>
      <c r="I8700" t="s">
        <v>4446</v>
      </c>
      <c r="J8700" t="s">
        <v>38391</v>
      </c>
      <c r="K8700" t="s">
        <v>42748</v>
      </c>
      <c r="M8700" t="s">
        <v>46104</v>
      </c>
      <c r="N8700" t="s">
        <v>47424</v>
      </c>
      <c r="O8700" t="s">
        <v>47425</v>
      </c>
      <c r="P8700">
        <v>0</v>
      </c>
      <c r="Q8700">
        <v>4</v>
      </c>
      <c r="R8700" t="s">
        <v>47432</v>
      </c>
      <c r="S8700" t="s">
        <v>47597</v>
      </c>
      <c r="T8700" t="s">
        <v>49166</v>
      </c>
      <c r="U8700" t="s">
        <v>56870</v>
      </c>
      <c r="W8700" t="s">
        <v>46104</v>
      </c>
      <c r="X8700" t="s">
        <v>47433</v>
      </c>
    </row>
    <row r="8701" spans="1:24">
      <c r="A8701">
        <f>HYPERLINK("https://www.philgeps.gov.ph/GEPSNONPILOT/Tender/SplashBidNoticeAbstractUI.aspx?menuIndex=3&amp;refID=7153709&amp;Result=3","7153709")</f>
        <v>0</v>
      </c>
      <c r="B8701" t="s">
        <v>2834</v>
      </c>
      <c r="C8701" t="s">
        <v>12082</v>
      </c>
      <c r="D8701" t="s">
        <v>19030</v>
      </c>
      <c r="E8701" t="s">
        <v>26655</v>
      </c>
      <c r="F8701" t="s">
        <v>32831</v>
      </c>
      <c r="G8701" t="s">
        <v>32840</v>
      </c>
      <c r="H8701" t="s">
        <v>32848</v>
      </c>
      <c r="I8701" t="s">
        <v>32886</v>
      </c>
      <c r="J8701" t="s">
        <v>33714</v>
      </c>
      <c r="K8701" t="s">
        <v>42727</v>
      </c>
      <c r="M8701" t="s">
        <v>46066</v>
      </c>
      <c r="N8701" t="s">
        <v>47424</v>
      </c>
      <c r="O8701" t="s">
        <v>47425</v>
      </c>
      <c r="P8701">
        <v>0</v>
      </c>
      <c r="Q8701">
        <v>6</v>
      </c>
      <c r="R8701" t="s">
        <v>47432</v>
      </c>
      <c r="S8701" t="s">
        <v>47597</v>
      </c>
      <c r="T8701" t="s">
        <v>49166</v>
      </c>
      <c r="U8701" t="s">
        <v>56871</v>
      </c>
      <c r="W8701" t="s">
        <v>46066</v>
      </c>
      <c r="X8701" t="s">
        <v>47433</v>
      </c>
    </row>
    <row r="8702" spans="1:24">
      <c r="A8702">
        <f>HYPERLINK("https://www.philgeps.gov.ph/GEPSNONPILOT/Tender/SplashBidNoticeAbstractUI.aspx?menuIndex=3&amp;refID=7153281&amp;Result=3","7153281")</f>
        <v>0</v>
      </c>
      <c r="B8702" t="s">
        <v>2870</v>
      </c>
      <c r="C8702" t="s">
        <v>5774</v>
      </c>
      <c r="E8702" t="s">
        <v>26656</v>
      </c>
      <c r="F8702" t="s">
        <v>32831</v>
      </c>
      <c r="G8702" t="s">
        <v>32838</v>
      </c>
      <c r="H8702" t="s">
        <v>32848</v>
      </c>
      <c r="I8702" t="s">
        <v>4222</v>
      </c>
      <c r="J8702" t="s">
        <v>33084</v>
      </c>
      <c r="K8702" t="s">
        <v>42732</v>
      </c>
      <c r="M8702" t="s">
        <v>46105</v>
      </c>
      <c r="N8702" t="s">
        <v>47424</v>
      </c>
      <c r="O8702" t="s">
        <v>47425</v>
      </c>
      <c r="P8702">
        <v>0</v>
      </c>
      <c r="Q8702">
        <v>0</v>
      </c>
      <c r="R8702" t="s">
        <v>47432</v>
      </c>
      <c r="S8702" t="s">
        <v>47597</v>
      </c>
      <c r="T8702" t="s">
        <v>49237</v>
      </c>
      <c r="U8702" t="s">
        <v>56872</v>
      </c>
      <c r="W8702" t="s">
        <v>46105</v>
      </c>
      <c r="X8702" t="s">
        <v>47433</v>
      </c>
    </row>
    <row r="8703" spans="1:24">
      <c r="A8703">
        <f>HYPERLINK("https://www.philgeps.gov.ph/GEPSNONPILOT/Tender/SplashBidNoticeAbstractUI.aspx?menuIndex=3&amp;refID=7153712&amp;Result=3","7153712")</f>
        <v>0</v>
      </c>
      <c r="B8703" t="s">
        <v>99</v>
      </c>
      <c r="C8703" t="s">
        <v>12083</v>
      </c>
      <c r="D8703" t="s">
        <v>19054</v>
      </c>
      <c r="E8703" t="s">
        <v>26657</v>
      </c>
      <c r="F8703" t="s">
        <v>32831</v>
      </c>
      <c r="G8703" t="s">
        <v>32839</v>
      </c>
      <c r="H8703" t="s">
        <v>32848</v>
      </c>
      <c r="I8703" t="s">
        <v>4303</v>
      </c>
      <c r="J8703" t="s">
        <v>38392</v>
      </c>
      <c r="K8703" t="s">
        <v>42730</v>
      </c>
      <c r="M8703" t="s">
        <v>43171</v>
      </c>
      <c r="N8703" t="s">
        <v>47424</v>
      </c>
      <c r="O8703" t="s">
        <v>47425</v>
      </c>
      <c r="P8703">
        <v>0</v>
      </c>
      <c r="Q8703">
        <v>0</v>
      </c>
      <c r="R8703" t="s">
        <v>47432</v>
      </c>
      <c r="S8703" t="s">
        <v>47597</v>
      </c>
      <c r="T8703" t="s">
        <v>49108</v>
      </c>
      <c r="U8703" t="s">
        <v>49821</v>
      </c>
      <c r="V8703" t="s">
        <v>62643</v>
      </c>
      <c r="W8703" t="s">
        <v>43171</v>
      </c>
      <c r="X8703" t="s">
        <v>47433</v>
      </c>
    </row>
    <row r="8704" spans="1:24">
      <c r="A8704">
        <f>HYPERLINK("https://www.philgeps.gov.ph/GEPSNONPILOT/Tender/SplashBidNoticeAbstractUI.aspx?menuIndex=3&amp;refID=7153724&amp;Result=3","7153724")</f>
        <v>0</v>
      </c>
      <c r="B8704" t="s">
        <v>215</v>
      </c>
      <c r="C8704" t="s">
        <v>12084</v>
      </c>
      <c r="D8704" t="s">
        <v>19080</v>
      </c>
      <c r="E8704" t="s">
        <v>26658</v>
      </c>
      <c r="F8704" t="s">
        <v>32831</v>
      </c>
      <c r="G8704" t="s">
        <v>32839</v>
      </c>
      <c r="H8704" t="s">
        <v>32849</v>
      </c>
      <c r="I8704" t="s">
        <v>4177</v>
      </c>
      <c r="J8704" t="s">
        <v>33072</v>
      </c>
      <c r="K8704" t="s">
        <v>42730</v>
      </c>
      <c r="L8704" t="s">
        <v>215</v>
      </c>
      <c r="M8704" t="s">
        <v>43213</v>
      </c>
      <c r="N8704" t="s">
        <v>47424</v>
      </c>
      <c r="O8704" t="s">
        <v>47425</v>
      </c>
      <c r="P8704">
        <v>0</v>
      </c>
      <c r="Q8704">
        <v>0</v>
      </c>
      <c r="R8704" t="s">
        <v>47432</v>
      </c>
      <c r="S8704" t="s">
        <v>47597</v>
      </c>
      <c r="T8704" t="s">
        <v>49214</v>
      </c>
      <c r="U8704" t="s">
        <v>56679</v>
      </c>
      <c r="W8704" t="s">
        <v>43213</v>
      </c>
      <c r="X8704" t="s">
        <v>47433</v>
      </c>
    </row>
    <row r="8705" spans="1:24">
      <c r="A8705">
        <f>HYPERLINK("https://www.philgeps.gov.ph/GEPSNONPILOT/Tender/SplashBidNoticeAbstractUI.aspx?menuIndex=3&amp;refID=7153230&amp;Result=3","7153230")</f>
        <v>0</v>
      </c>
      <c r="B8705" t="s">
        <v>2871</v>
      </c>
      <c r="C8705" t="s">
        <v>12085</v>
      </c>
      <c r="E8705" t="s">
        <v>26659</v>
      </c>
      <c r="F8705" t="s">
        <v>32831</v>
      </c>
      <c r="G8705" t="s">
        <v>32839</v>
      </c>
      <c r="H8705" t="s">
        <v>32848</v>
      </c>
      <c r="I8705" t="s">
        <v>7751</v>
      </c>
      <c r="J8705" t="s">
        <v>38393</v>
      </c>
      <c r="K8705" t="s">
        <v>42732</v>
      </c>
      <c r="M8705" t="s">
        <v>46106</v>
      </c>
      <c r="N8705" t="s">
        <v>47424</v>
      </c>
      <c r="O8705" t="s">
        <v>47425</v>
      </c>
      <c r="P8705">
        <v>0</v>
      </c>
      <c r="Q8705">
        <v>1</v>
      </c>
      <c r="R8705" t="s">
        <v>47432</v>
      </c>
      <c r="S8705" t="s">
        <v>47597</v>
      </c>
      <c r="T8705" t="s">
        <v>49091</v>
      </c>
      <c r="U8705" t="s">
        <v>56873</v>
      </c>
      <c r="V8705" t="s">
        <v>63593</v>
      </c>
      <c r="W8705" t="s">
        <v>46106</v>
      </c>
      <c r="X8705" t="s">
        <v>47433</v>
      </c>
    </row>
    <row r="8706" spans="1:24">
      <c r="A8706">
        <f>HYPERLINK("https://www.philgeps.gov.ph/GEPSNONPILOT/Tender/SplashBidNoticeAbstractUI.aspx?menuIndex=3&amp;refID=7154333&amp;Result=3","7154333")</f>
        <v>0</v>
      </c>
      <c r="B8706" t="s">
        <v>2429</v>
      </c>
      <c r="C8706" t="s">
        <v>12086</v>
      </c>
      <c r="D8706" t="s">
        <v>19064</v>
      </c>
      <c r="E8706" t="s">
        <v>26660</v>
      </c>
      <c r="F8706" t="s">
        <v>32831</v>
      </c>
      <c r="G8706" t="s">
        <v>32839</v>
      </c>
      <c r="H8706" t="s">
        <v>32848</v>
      </c>
      <c r="I8706" t="s">
        <v>32864</v>
      </c>
      <c r="J8706" t="s">
        <v>33366</v>
      </c>
      <c r="K8706" t="s">
        <v>42731</v>
      </c>
      <c r="M8706" t="s">
        <v>45626</v>
      </c>
      <c r="N8706" t="s">
        <v>47424</v>
      </c>
      <c r="O8706" t="s">
        <v>47425</v>
      </c>
      <c r="P8706">
        <v>0</v>
      </c>
      <c r="Q8706">
        <v>0</v>
      </c>
      <c r="R8706" t="s">
        <v>47432</v>
      </c>
      <c r="S8706" t="s">
        <v>47597</v>
      </c>
      <c r="T8706" t="s">
        <v>49055</v>
      </c>
      <c r="U8706" t="s">
        <v>55662</v>
      </c>
      <c r="W8706" t="s">
        <v>45626</v>
      </c>
      <c r="X8706" t="s">
        <v>47433</v>
      </c>
    </row>
    <row r="8707" spans="1:24">
      <c r="A8707">
        <f>HYPERLINK("https://www.philgeps.gov.ph/GEPSNONPILOT/Tender/SplashBidNoticeAbstractUI.aspx?menuIndex=3&amp;refID=7153227&amp;Result=3","7153227")</f>
        <v>0</v>
      </c>
      <c r="B8707" t="s">
        <v>2740</v>
      </c>
      <c r="C8707" t="s">
        <v>12087</v>
      </c>
      <c r="D8707" t="s">
        <v>19057</v>
      </c>
      <c r="E8707" t="s">
        <v>26661</v>
      </c>
      <c r="F8707" t="s">
        <v>32831</v>
      </c>
      <c r="G8707" t="s">
        <v>32839</v>
      </c>
      <c r="H8707" t="s">
        <v>32849</v>
      </c>
      <c r="I8707" t="s">
        <v>4177</v>
      </c>
      <c r="J8707" t="s">
        <v>38394</v>
      </c>
      <c r="K8707" t="s">
        <v>42794</v>
      </c>
      <c r="M8707" t="s">
        <v>45968</v>
      </c>
      <c r="N8707" t="s">
        <v>47424</v>
      </c>
      <c r="O8707" t="s">
        <v>47425</v>
      </c>
      <c r="P8707">
        <v>0</v>
      </c>
      <c r="Q8707">
        <v>0</v>
      </c>
      <c r="R8707" t="s">
        <v>47432</v>
      </c>
      <c r="S8707" t="s">
        <v>47597</v>
      </c>
      <c r="T8707" t="s">
        <v>49141</v>
      </c>
      <c r="U8707" t="s">
        <v>56468</v>
      </c>
      <c r="W8707" t="s">
        <v>45968</v>
      </c>
      <c r="X8707" t="s">
        <v>47433</v>
      </c>
    </row>
    <row r="8708" spans="1:24">
      <c r="A8708">
        <f>HYPERLINK("https://www.philgeps.gov.ph/GEPSNONPILOT/Tender/SplashBidNoticeAbstractUI.aspx?menuIndex=3&amp;refID=7153229&amp;Result=3","7153229")</f>
        <v>0</v>
      </c>
      <c r="B8708" t="s">
        <v>1015</v>
      </c>
      <c r="C8708" t="s">
        <v>12088</v>
      </c>
      <c r="D8708" t="s">
        <v>19017</v>
      </c>
      <c r="E8708" t="s">
        <v>26662</v>
      </c>
      <c r="F8708" t="s">
        <v>32831</v>
      </c>
      <c r="G8708" t="s">
        <v>32839</v>
      </c>
      <c r="H8708" t="s">
        <v>32848</v>
      </c>
      <c r="I8708" t="s">
        <v>32868</v>
      </c>
      <c r="J8708" t="s">
        <v>38395</v>
      </c>
      <c r="K8708" t="s">
        <v>42730</v>
      </c>
      <c r="M8708" t="s">
        <v>44065</v>
      </c>
      <c r="N8708" t="s">
        <v>47424</v>
      </c>
      <c r="O8708" t="s">
        <v>47425</v>
      </c>
      <c r="P8708">
        <v>0</v>
      </c>
      <c r="Q8708">
        <v>8</v>
      </c>
      <c r="R8708" t="s">
        <v>47432</v>
      </c>
      <c r="S8708" t="s">
        <v>47597</v>
      </c>
      <c r="T8708" t="s">
        <v>49108</v>
      </c>
      <c r="U8708" t="s">
        <v>56874</v>
      </c>
      <c r="W8708" t="s">
        <v>44065</v>
      </c>
      <c r="X8708" t="s">
        <v>47433</v>
      </c>
    </row>
    <row r="8709" spans="1:24">
      <c r="A8709">
        <f>HYPERLINK("https://www.philgeps.gov.ph/GEPSNONPILOT/Tender/SplashBidNoticeAbstractUI.aspx?menuIndex=3&amp;refID=7154374&amp;Result=3","7154374")</f>
        <v>0</v>
      </c>
      <c r="B8709" t="s">
        <v>2232</v>
      </c>
      <c r="C8709" t="s">
        <v>12089</v>
      </c>
      <c r="D8709" t="s">
        <v>19062</v>
      </c>
      <c r="E8709" t="s">
        <v>26663</v>
      </c>
      <c r="F8709" t="s">
        <v>32831</v>
      </c>
      <c r="G8709" t="s">
        <v>32838</v>
      </c>
      <c r="H8709" t="s">
        <v>32848</v>
      </c>
      <c r="I8709" t="s">
        <v>7416</v>
      </c>
      <c r="J8709" t="s">
        <v>38396</v>
      </c>
      <c r="K8709" t="s">
        <v>42738</v>
      </c>
      <c r="M8709" t="s">
        <v>45413</v>
      </c>
      <c r="N8709" t="s">
        <v>47424</v>
      </c>
      <c r="O8709" t="s">
        <v>47425</v>
      </c>
      <c r="P8709">
        <v>0</v>
      </c>
      <c r="Q8709">
        <v>4</v>
      </c>
      <c r="R8709" t="s">
        <v>47432</v>
      </c>
      <c r="S8709" t="s">
        <v>47597</v>
      </c>
      <c r="T8709" t="s">
        <v>49214</v>
      </c>
      <c r="U8709" t="s">
        <v>54885</v>
      </c>
      <c r="W8709" t="s">
        <v>45413</v>
      </c>
      <c r="X8709" t="s">
        <v>47433</v>
      </c>
    </row>
    <row r="8710" spans="1:24">
      <c r="A8710">
        <f>HYPERLINK("https://www.philgeps.gov.ph/GEPSNONPILOT/Tender/SplashBidNoticeAbstractUI.aspx?menuIndex=3&amp;refID=7152961&amp;Result=3","7152961")</f>
        <v>0</v>
      </c>
      <c r="B8710" t="s">
        <v>2669</v>
      </c>
      <c r="C8710" t="s">
        <v>12090</v>
      </c>
      <c r="D8710" t="s">
        <v>19043</v>
      </c>
      <c r="E8710" t="s">
        <v>26664</v>
      </c>
      <c r="F8710" t="s">
        <v>32831</v>
      </c>
      <c r="G8710" t="s">
        <v>32839</v>
      </c>
      <c r="H8710" t="s">
        <v>32848</v>
      </c>
      <c r="I8710" t="s">
        <v>6526</v>
      </c>
      <c r="J8710" t="s">
        <v>38397</v>
      </c>
      <c r="K8710" t="s">
        <v>42745</v>
      </c>
      <c r="M8710" t="s">
        <v>45892</v>
      </c>
      <c r="N8710" t="s">
        <v>47424</v>
      </c>
      <c r="O8710" t="s">
        <v>47425</v>
      </c>
      <c r="P8710">
        <v>0</v>
      </c>
      <c r="Q8710">
        <v>0</v>
      </c>
      <c r="R8710" t="s">
        <v>47432</v>
      </c>
      <c r="S8710" t="s">
        <v>47597</v>
      </c>
      <c r="T8710" t="s">
        <v>49216</v>
      </c>
      <c r="U8710" t="s">
        <v>56437</v>
      </c>
      <c r="W8710" t="s">
        <v>45892</v>
      </c>
      <c r="X8710" t="s">
        <v>47433</v>
      </c>
    </row>
    <row r="8711" spans="1:24">
      <c r="A8711">
        <f>HYPERLINK("https://www.philgeps.gov.ph/GEPSNONPILOT/Tender/SplashBidNoticeAbstractUI.aspx?menuIndex=3&amp;refID=7152775&amp;Result=3","7152775")</f>
        <v>0</v>
      </c>
      <c r="B8711" t="s">
        <v>1997</v>
      </c>
      <c r="C8711" t="s">
        <v>12091</v>
      </c>
      <c r="D8711" t="s">
        <v>19061</v>
      </c>
      <c r="E8711" t="s">
        <v>26665</v>
      </c>
      <c r="F8711" t="s">
        <v>32831</v>
      </c>
      <c r="G8711" t="s">
        <v>32838</v>
      </c>
      <c r="H8711" t="s">
        <v>32848</v>
      </c>
      <c r="I8711" t="s">
        <v>32862</v>
      </c>
      <c r="J8711" t="s">
        <v>38398</v>
      </c>
      <c r="K8711" t="s">
        <v>42726</v>
      </c>
      <c r="M8711" t="s">
        <v>45164</v>
      </c>
      <c r="N8711" t="s">
        <v>47424</v>
      </c>
      <c r="O8711" t="s">
        <v>47425</v>
      </c>
      <c r="P8711">
        <v>0</v>
      </c>
      <c r="Q8711">
        <v>0</v>
      </c>
      <c r="R8711" t="s">
        <v>47432</v>
      </c>
      <c r="S8711" t="s">
        <v>47597</v>
      </c>
      <c r="T8711" t="s">
        <v>49141</v>
      </c>
      <c r="U8711" t="s">
        <v>56375</v>
      </c>
      <c r="W8711" t="s">
        <v>45164</v>
      </c>
      <c r="X8711" t="s">
        <v>47433</v>
      </c>
    </row>
    <row r="8712" spans="1:24">
      <c r="A8712">
        <f>HYPERLINK("https://www.philgeps.gov.ph/GEPSNONPILOT/Tender/SplashBidNoticeAbstractUI.aspx?menuIndex=3&amp;refID=7152769&amp;Result=3","7152769")</f>
        <v>0</v>
      </c>
      <c r="B8712" t="s">
        <v>2705</v>
      </c>
      <c r="C8712" t="s">
        <v>12092</v>
      </c>
      <c r="D8712" t="s">
        <v>19100</v>
      </c>
      <c r="E8712" t="s">
        <v>26666</v>
      </c>
      <c r="F8712" t="s">
        <v>32831</v>
      </c>
      <c r="G8712" t="s">
        <v>32839</v>
      </c>
      <c r="H8712" t="s">
        <v>32848</v>
      </c>
      <c r="I8712" t="s">
        <v>7416</v>
      </c>
      <c r="J8712" t="s">
        <v>38399</v>
      </c>
      <c r="K8712" t="s">
        <v>42730</v>
      </c>
      <c r="M8712" t="s">
        <v>45930</v>
      </c>
      <c r="N8712" t="s">
        <v>47424</v>
      </c>
      <c r="O8712" t="s">
        <v>47425</v>
      </c>
      <c r="P8712">
        <v>0</v>
      </c>
      <c r="Q8712">
        <v>0</v>
      </c>
      <c r="R8712" t="s">
        <v>47432</v>
      </c>
      <c r="S8712" t="s">
        <v>47597</v>
      </c>
      <c r="T8712" t="s">
        <v>49461</v>
      </c>
      <c r="U8712" t="s">
        <v>56382</v>
      </c>
      <c r="V8712" t="s">
        <v>63594</v>
      </c>
      <c r="W8712" t="s">
        <v>45930</v>
      </c>
      <c r="X8712" t="s">
        <v>47433</v>
      </c>
    </row>
    <row r="8713" spans="1:24">
      <c r="A8713">
        <f>HYPERLINK("https://www.philgeps.gov.ph/GEPSNONPILOT/Tender/SplashBidNoticeAbstractUI.aspx?menuIndex=3&amp;refID=7154420&amp;Result=3","7154420")</f>
        <v>0</v>
      </c>
      <c r="B8713" t="s">
        <v>2872</v>
      </c>
      <c r="C8713" t="s">
        <v>12093</v>
      </c>
      <c r="D8713" t="s">
        <v>19044</v>
      </c>
      <c r="E8713" t="s">
        <v>19555</v>
      </c>
      <c r="F8713" t="s">
        <v>32831</v>
      </c>
      <c r="G8713" t="s">
        <v>32839</v>
      </c>
      <c r="H8713" t="s">
        <v>32849</v>
      </c>
      <c r="I8713" t="s">
        <v>4177</v>
      </c>
      <c r="J8713" t="s">
        <v>38400</v>
      </c>
      <c r="K8713" t="s">
        <v>42730</v>
      </c>
      <c r="M8713" t="s">
        <v>46107</v>
      </c>
      <c r="N8713" t="s">
        <v>47424</v>
      </c>
      <c r="O8713" t="s">
        <v>47425</v>
      </c>
      <c r="P8713">
        <v>0</v>
      </c>
      <c r="Q8713">
        <v>0</v>
      </c>
      <c r="R8713" t="s">
        <v>47432</v>
      </c>
      <c r="S8713" t="s">
        <v>47597</v>
      </c>
      <c r="T8713" t="s">
        <v>49063</v>
      </c>
      <c r="U8713" t="s">
        <v>56875</v>
      </c>
      <c r="W8713" t="s">
        <v>46107</v>
      </c>
      <c r="X8713" t="s">
        <v>47433</v>
      </c>
    </row>
    <row r="8714" spans="1:24">
      <c r="A8714">
        <f>HYPERLINK("https://www.philgeps.gov.ph/GEPSNONPILOT/Tender/SplashBidNoticeAbstractUI.aspx?menuIndex=3&amp;refID=7154419&amp;Result=3","7154419")</f>
        <v>0</v>
      </c>
      <c r="B8714" t="s">
        <v>2873</v>
      </c>
      <c r="C8714" t="s">
        <v>12094</v>
      </c>
      <c r="E8714" t="s">
        <v>26667</v>
      </c>
      <c r="F8714" t="s">
        <v>32831</v>
      </c>
      <c r="G8714" t="s">
        <v>32838</v>
      </c>
      <c r="H8714" t="s">
        <v>32848</v>
      </c>
      <c r="I8714" t="s">
        <v>10888</v>
      </c>
      <c r="J8714" t="s">
        <v>38401</v>
      </c>
      <c r="K8714" t="s">
        <v>42732</v>
      </c>
      <c r="M8714" t="s">
        <v>46108</v>
      </c>
      <c r="N8714" t="s">
        <v>47424</v>
      </c>
      <c r="O8714" t="s">
        <v>47425</v>
      </c>
      <c r="Q8714">
        <v>3</v>
      </c>
      <c r="R8714" t="s">
        <v>47432</v>
      </c>
      <c r="S8714" t="s">
        <v>47615</v>
      </c>
      <c r="T8714" t="s">
        <v>49079</v>
      </c>
      <c r="U8714" t="s">
        <v>56876</v>
      </c>
      <c r="W8714" t="s">
        <v>46108</v>
      </c>
      <c r="X8714" t="s">
        <v>47433</v>
      </c>
    </row>
    <row r="8715" spans="1:24">
      <c r="A8715">
        <f>HYPERLINK("https://www.philgeps.gov.ph/GEPSNONPILOT/Tender/SplashBidNoticeAbstractUI.aspx?menuIndex=3&amp;refID=7154418&amp;Result=3","7154418")</f>
        <v>0</v>
      </c>
      <c r="B8715" t="s">
        <v>2874</v>
      </c>
      <c r="C8715" t="s">
        <v>12095</v>
      </c>
      <c r="D8715" t="s">
        <v>19079</v>
      </c>
      <c r="E8715" t="s">
        <v>26668</v>
      </c>
      <c r="F8715" t="s">
        <v>32832</v>
      </c>
      <c r="G8715" t="s">
        <v>32846</v>
      </c>
      <c r="H8715" t="s">
        <v>32849</v>
      </c>
      <c r="I8715" t="s">
        <v>32889</v>
      </c>
      <c r="J8715" t="s">
        <v>36001</v>
      </c>
      <c r="K8715" t="s">
        <v>42726</v>
      </c>
      <c r="M8715" t="s">
        <v>46109</v>
      </c>
      <c r="N8715" t="s">
        <v>47424</v>
      </c>
      <c r="O8715" t="s">
        <v>47425</v>
      </c>
      <c r="P8715">
        <v>0</v>
      </c>
      <c r="Q8715">
        <v>0</v>
      </c>
      <c r="R8715" t="s">
        <v>47432</v>
      </c>
      <c r="S8715" t="s">
        <v>47597</v>
      </c>
      <c r="T8715" t="s">
        <v>49209</v>
      </c>
      <c r="U8715" t="s">
        <v>56877</v>
      </c>
      <c r="W8715" t="s">
        <v>46109</v>
      </c>
      <c r="X8715" t="s">
        <v>47433</v>
      </c>
    </row>
    <row r="8716" spans="1:24">
      <c r="A8716">
        <f>HYPERLINK("https://www.philgeps.gov.ph/GEPSNONPILOT/Tender/SplashBidNoticeAbstractUI.aspx?menuIndex=3&amp;refID=7154407&amp;Result=3","7154407")</f>
        <v>0</v>
      </c>
      <c r="B8716" t="s">
        <v>195</v>
      </c>
      <c r="C8716" t="s">
        <v>12096</v>
      </c>
      <c r="D8716" t="s">
        <v>19021</v>
      </c>
      <c r="E8716" t="s">
        <v>26669</v>
      </c>
      <c r="F8716" t="s">
        <v>32831</v>
      </c>
      <c r="G8716" t="s">
        <v>32839</v>
      </c>
      <c r="H8716" t="s">
        <v>32848</v>
      </c>
      <c r="I8716" t="s">
        <v>32921</v>
      </c>
      <c r="J8716" t="s">
        <v>38402</v>
      </c>
      <c r="K8716" t="s">
        <v>42730</v>
      </c>
      <c r="M8716" t="s">
        <v>43193</v>
      </c>
      <c r="N8716" t="s">
        <v>47424</v>
      </c>
      <c r="O8716" t="s">
        <v>47425</v>
      </c>
      <c r="P8716">
        <v>0</v>
      </c>
      <c r="Q8716">
        <v>2</v>
      </c>
      <c r="R8716" t="s">
        <v>47432</v>
      </c>
      <c r="S8716" t="s">
        <v>47597</v>
      </c>
      <c r="T8716" t="s">
        <v>49089</v>
      </c>
      <c r="U8716" t="s">
        <v>56878</v>
      </c>
      <c r="W8716" t="s">
        <v>43193</v>
      </c>
      <c r="X8716" t="s">
        <v>47433</v>
      </c>
    </row>
    <row r="8717" spans="1:24">
      <c r="A8717">
        <f>HYPERLINK("https://www.philgeps.gov.ph/GEPSNONPILOT/Tender/SplashBidNoticeAbstractUI.aspx?menuIndex=3&amp;refID=7154417&amp;Result=3","7154417")</f>
        <v>0</v>
      </c>
      <c r="B8717" t="s">
        <v>2511</v>
      </c>
      <c r="C8717" t="s">
        <v>12097</v>
      </c>
      <c r="D8717" t="s">
        <v>19068</v>
      </c>
      <c r="E8717" t="s">
        <v>26670</v>
      </c>
      <c r="F8717" t="s">
        <v>32831</v>
      </c>
      <c r="G8717" t="s">
        <v>32841</v>
      </c>
      <c r="H8717" t="s">
        <v>32848</v>
      </c>
      <c r="I8717" t="s">
        <v>7416</v>
      </c>
      <c r="J8717" t="s">
        <v>38403</v>
      </c>
      <c r="K8717" t="s">
        <v>42727</v>
      </c>
      <c r="M8717" t="s">
        <v>45718</v>
      </c>
      <c r="N8717" t="s">
        <v>47424</v>
      </c>
      <c r="O8717" t="s">
        <v>47425</v>
      </c>
      <c r="P8717">
        <v>0</v>
      </c>
      <c r="Q8717">
        <v>0</v>
      </c>
      <c r="R8717" t="s">
        <v>47432</v>
      </c>
      <c r="S8717" t="s">
        <v>47597</v>
      </c>
      <c r="T8717" t="s">
        <v>49162</v>
      </c>
      <c r="U8717" t="s">
        <v>56879</v>
      </c>
      <c r="W8717" t="s">
        <v>45718</v>
      </c>
      <c r="X8717" t="s">
        <v>47433</v>
      </c>
    </row>
    <row r="8718" spans="1:24">
      <c r="A8718">
        <f>HYPERLINK("https://www.philgeps.gov.ph/GEPSNONPILOT/Tender/SplashBidNoticeAbstractUI.aspx?menuIndex=3&amp;refID=7154410&amp;Result=3","7154410")</f>
        <v>0</v>
      </c>
      <c r="B8718" t="s">
        <v>2875</v>
      </c>
      <c r="C8718" t="s">
        <v>12098</v>
      </c>
      <c r="D8718" t="s">
        <v>19068</v>
      </c>
      <c r="E8718" t="s">
        <v>26671</v>
      </c>
      <c r="F8718" t="s">
        <v>32831</v>
      </c>
      <c r="G8718" t="s">
        <v>32839</v>
      </c>
      <c r="H8718" t="s">
        <v>32848</v>
      </c>
      <c r="I8718" t="s">
        <v>4222</v>
      </c>
      <c r="J8718" t="s">
        <v>38404</v>
      </c>
      <c r="K8718" t="s">
        <v>42731</v>
      </c>
      <c r="M8718" t="s">
        <v>46110</v>
      </c>
      <c r="N8718" t="s">
        <v>47424</v>
      </c>
      <c r="O8718" t="s">
        <v>47425</v>
      </c>
      <c r="P8718">
        <v>0</v>
      </c>
      <c r="Q8718">
        <v>1</v>
      </c>
      <c r="R8718" t="s">
        <v>47432</v>
      </c>
      <c r="S8718" t="s">
        <v>47597</v>
      </c>
      <c r="T8718" t="s">
        <v>49214</v>
      </c>
      <c r="U8718" t="s">
        <v>56880</v>
      </c>
      <c r="V8718" t="s">
        <v>63595</v>
      </c>
      <c r="W8718" t="s">
        <v>46110</v>
      </c>
      <c r="X8718" t="s">
        <v>47433</v>
      </c>
    </row>
    <row r="8719" spans="1:24">
      <c r="A8719">
        <f>HYPERLINK("https://www.philgeps.gov.ph/GEPSNONPILOT/Tender/SplashBidNoticeAbstractUI.aspx?menuIndex=3&amp;refID=7154405&amp;Result=3","7154405")</f>
        <v>0</v>
      </c>
      <c r="B8719" t="s">
        <v>2876</v>
      </c>
      <c r="C8719" t="s">
        <v>7474</v>
      </c>
      <c r="D8719" t="s">
        <v>19017</v>
      </c>
      <c r="E8719" t="s">
        <v>26672</v>
      </c>
      <c r="F8719" t="s">
        <v>32831</v>
      </c>
      <c r="G8719" t="s">
        <v>32838</v>
      </c>
      <c r="H8719" t="s">
        <v>32848</v>
      </c>
      <c r="I8719" t="s">
        <v>4776</v>
      </c>
      <c r="J8719" t="s">
        <v>36125</v>
      </c>
      <c r="K8719" t="s">
        <v>42727</v>
      </c>
      <c r="M8719" t="s">
        <v>46111</v>
      </c>
      <c r="N8719" t="s">
        <v>47424</v>
      </c>
      <c r="O8719" t="s">
        <v>47425</v>
      </c>
      <c r="P8719">
        <v>0</v>
      </c>
      <c r="Q8719">
        <v>4</v>
      </c>
      <c r="R8719" t="s">
        <v>47432</v>
      </c>
      <c r="S8719" t="s">
        <v>47597</v>
      </c>
      <c r="T8719" t="s">
        <v>49214</v>
      </c>
      <c r="U8719" t="s">
        <v>56881</v>
      </c>
      <c r="V8719" t="s">
        <v>63596</v>
      </c>
      <c r="W8719" t="s">
        <v>46111</v>
      </c>
      <c r="X8719" t="s">
        <v>47433</v>
      </c>
    </row>
    <row r="8720" spans="1:24">
      <c r="A8720">
        <f>HYPERLINK("https://www.philgeps.gov.ph/GEPSNONPILOT/Tender/SplashBidNoticeAbstractUI.aspx?menuIndex=3&amp;refID=7154404&amp;Result=3","7154404")</f>
        <v>0</v>
      </c>
      <c r="B8720" t="s">
        <v>2429</v>
      </c>
      <c r="C8720" t="s">
        <v>12099</v>
      </c>
      <c r="D8720" t="s">
        <v>19064</v>
      </c>
      <c r="E8720" t="s">
        <v>26673</v>
      </c>
      <c r="F8720" t="s">
        <v>32831</v>
      </c>
      <c r="G8720" t="s">
        <v>32839</v>
      </c>
      <c r="H8720" t="s">
        <v>32848</v>
      </c>
      <c r="I8720" t="s">
        <v>9577</v>
      </c>
      <c r="J8720" t="s">
        <v>38405</v>
      </c>
      <c r="K8720" t="s">
        <v>42731</v>
      </c>
      <c r="M8720" t="s">
        <v>45626</v>
      </c>
      <c r="N8720" t="s">
        <v>47424</v>
      </c>
      <c r="O8720" t="s">
        <v>47425</v>
      </c>
      <c r="P8720">
        <v>0</v>
      </c>
      <c r="Q8720">
        <v>0</v>
      </c>
      <c r="R8720" t="s">
        <v>47432</v>
      </c>
      <c r="S8720" t="s">
        <v>47597</v>
      </c>
      <c r="T8720" t="s">
        <v>49055</v>
      </c>
      <c r="U8720" t="s">
        <v>51307</v>
      </c>
      <c r="W8720" t="s">
        <v>45626</v>
      </c>
      <c r="X8720" t="s">
        <v>47433</v>
      </c>
    </row>
    <row r="8721" spans="1:24">
      <c r="A8721">
        <f>HYPERLINK("https://www.philgeps.gov.ph/GEPSNONPILOT/Tender/SplashBidNoticeAbstractUI.aspx?menuIndex=3&amp;refID=7154411&amp;Result=3","7154411")</f>
        <v>0</v>
      </c>
      <c r="B8721" t="s">
        <v>421</v>
      </c>
      <c r="C8721" t="s">
        <v>12100</v>
      </c>
      <c r="D8721" t="s">
        <v>19021</v>
      </c>
      <c r="E8721" t="s">
        <v>26674</v>
      </c>
      <c r="F8721" t="s">
        <v>32831</v>
      </c>
      <c r="G8721" t="s">
        <v>32841</v>
      </c>
      <c r="H8721" t="s">
        <v>32848</v>
      </c>
      <c r="I8721" t="s">
        <v>32945</v>
      </c>
      <c r="J8721" t="s">
        <v>33055</v>
      </c>
      <c r="K8721" t="s">
        <v>42747</v>
      </c>
      <c r="M8721" t="s">
        <v>46112</v>
      </c>
      <c r="N8721" t="s">
        <v>47424</v>
      </c>
      <c r="O8721" t="s">
        <v>47425</v>
      </c>
      <c r="P8721">
        <v>0</v>
      </c>
      <c r="Q8721">
        <v>2</v>
      </c>
      <c r="R8721" t="s">
        <v>47432</v>
      </c>
      <c r="S8721" t="s">
        <v>47597</v>
      </c>
      <c r="T8721" t="s">
        <v>49105</v>
      </c>
      <c r="U8721" t="s">
        <v>56882</v>
      </c>
      <c r="W8721" t="s">
        <v>46112</v>
      </c>
      <c r="X8721" t="s">
        <v>47433</v>
      </c>
    </row>
    <row r="8722" spans="1:24">
      <c r="A8722">
        <f>HYPERLINK("https://www.philgeps.gov.ph/GEPSNONPILOT/Tender/SplashBidNoticeAbstractUI.aspx?menuIndex=3&amp;refID=7154402&amp;Result=3","7154402")</f>
        <v>0</v>
      </c>
      <c r="B8722" t="s">
        <v>280</v>
      </c>
      <c r="C8722" t="s">
        <v>12101</v>
      </c>
      <c r="D8722" t="s">
        <v>19044</v>
      </c>
      <c r="E8722" t="s">
        <v>24202</v>
      </c>
      <c r="F8722" t="s">
        <v>32831</v>
      </c>
      <c r="G8722" t="s">
        <v>32839</v>
      </c>
      <c r="H8722" t="s">
        <v>32849</v>
      </c>
      <c r="I8722" t="s">
        <v>4177</v>
      </c>
      <c r="J8722" t="s">
        <v>33044</v>
      </c>
      <c r="K8722" t="s">
        <v>42730</v>
      </c>
      <c r="M8722" t="s">
        <v>43279</v>
      </c>
      <c r="N8722" t="s">
        <v>47424</v>
      </c>
      <c r="O8722" t="s">
        <v>47425</v>
      </c>
      <c r="P8722">
        <v>0</v>
      </c>
      <c r="Q8722">
        <v>0</v>
      </c>
      <c r="R8722" t="s">
        <v>47432</v>
      </c>
      <c r="S8722" t="s">
        <v>47597</v>
      </c>
      <c r="T8722" t="s">
        <v>49089</v>
      </c>
      <c r="U8722" t="s">
        <v>50199</v>
      </c>
      <c r="W8722" t="s">
        <v>43279</v>
      </c>
      <c r="X8722" t="s">
        <v>47433</v>
      </c>
    </row>
    <row r="8723" spans="1:24">
      <c r="A8723">
        <f>HYPERLINK("https://www.philgeps.gov.ph/GEPSNONPILOT/Tender/SplashBidNoticeAbstractUI.aspx?menuIndex=3&amp;refID=7154399&amp;Result=3","7154399")</f>
        <v>0</v>
      </c>
      <c r="B8723" t="s">
        <v>966</v>
      </c>
      <c r="C8723" t="s">
        <v>12102</v>
      </c>
      <c r="D8723" t="s">
        <v>19033</v>
      </c>
      <c r="E8723" t="s">
        <v>26675</v>
      </c>
      <c r="F8723" t="s">
        <v>32831</v>
      </c>
      <c r="G8723" t="s">
        <v>32839</v>
      </c>
      <c r="H8723" t="s">
        <v>32848</v>
      </c>
      <c r="I8723" t="s">
        <v>7751</v>
      </c>
      <c r="J8723" t="s">
        <v>38406</v>
      </c>
      <c r="K8723" t="s">
        <v>42730</v>
      </c>
      <c r="M8723" t="s">
        <v>44012</v>
      </c>
      <c r="N8723" t="s">
        <v>47424</v>
      </c>
      <c r="O8723" t="s">
        <v>47425</v>
      </c>
      <c r="P8723">
        <v>0</v>
      </c>
      <c r="Q8723">
        <v>1</v>
      </c>
      <c r="R8723" t="s">
        <v>47432</v>
      </c>
      <c r="S8723" t="s">
        <v>47597</v>
      </c>
      <c r="T8723" t="s">
        <v>49160</v>
      </c>
      <c r="U8723" t="s">
        <v>56883</v>
      </c>
      <c r="W8723" t="s">
        <v>44012</v>
      </c>
      <c r="X8723" t="s">
        <v>47433</v>
      </c>
    </row>
    <row r="8724" spans="1:24">
      <c r="A8724">
        <f>HYPERLINK("https://www.philgeps.gov.ph/GEPSNONPILOT/Tender/SplashBidNoticeAbstractUI.aspx?menuIndex=3&amp;refID=7154389&amp;Result=3","7154389")</f>
        <v>0</v>
      </c>
      <c r="B8724" t="s">
        <v>1439</v>
      </c>
      <c r="C8724" t="s">
        <v>12103</v>
      </c>
      <c r="D8724" t="s">
        <v>19115</v>
      </c>
      <c r="E8724" t="s">
        <v>26676</v>
      </c>
      <c r="F8724" t="s">
        <v>32831</v>
      </c>
      <c r="G8724" t="s">
        <v>32841</v>
      </c>
      <c r="H8724" t="s">
        <v>32848</v>
      </c>
      <c r="I8724" t="s">
        <v>32859</v>
      </c>
      <c r="J8724" t="s">
        <v>38407</v>
      </c>
      <c r="K8724" t="s">
        <v>42729</v>
      </c>
      <c r="M8724" t="s">
        <v>46078</v>
      </c>
      <c r="N8724" t="s">
        <v>47424</v>
      </c>
      <c r="O8724" t="s">
        <v>47425</v>
      </c>
      <c r="P8724">
        <v>0</v>
      </c>
      <c r="Q8724">
        <v>2</v>
      </c>
      <c r="R8724" t="s">
        <v>47432</v>
      </c>
      <c r="S8724" t="s">
        <v>47597</v>
      </c>
      <c r="T8724" t="s">
        <v>49110</v>
      </c>
      <c r="U8724" t="s">
        <v>56884</v>
      </c>
      <c r="W8724" t="s">
        <v>46078</v>
      </c>
      <c r="X8724" t="s">
        <v>47433</v>
      </c>
    </row>
    <row r="8725" spans="1:24">
      <c r="A8725">
        <f>HYPERLINK("https://www.philgeps.gov.ph/GEPSNONPILOT/Tender/SplashBidNoticeAbstractUI.aspx?menuIndex=3&amp;refID=7154388&amp;Result=3","7154388")</f>
        <v>0</v>
      </c>
      <c r="B8725" t="s">
        <v>1028</v>
      </c>
      <c r="C8725" t="s">
        <v>12104</v>
      </c>
      <c r="D8725" t="s">
        <v>19044</v>
      </c>
      <c r="E8725" t="s">
        <v>26677</v>
      </c>
      <c r="F8725" t="s">
        <v>32831</v>
      </c>
      <c r="G8725" t="s">
        <v>32839</v>
      </c>
      <c r="H8725" t="s">
        <v>32849</v>
      </c>
      <c r="I8725" t="s">
        <v>4177</v>
      </c>
      <c r="J8725" t="s">
        <v>38408</v>
      </c>
      <c r="K8725" t="s">
        <v>42729</v>
      </c>
      <c r="M8725" t="s">
        <v>44080</v>
      </c>
      <c r="N8725" t="s">
        <v>47424</v>
      </c>
      <c r="O8725" t="s">
        <v>47425</v>
      </c>
      <c r="P8725">
        <v>0</v>
      </c>
      <c r="Q8725">
        <v>0</v>
      </c>
      <c r="R8725" t="s">
        <v>47432</v>
      </c>
      <c r="S8725" t="s">
        <v>47597</v>
      </c>
      <c r="T8725" t="s">
        <v>49177</v>
      </c>
      <c r="U8725" t="s">
        <v>56885</v>
      </c>
      <c r="V8725" t="s">
        <v>62833</v>
      </c>
      <c r="W8725" t="s">
        <v>44080</v>
      </c>
      <c r="X8725" t="s">
        <v>47433</v>
      </c>
    </row>
    <row r="8726" spans="1:24">
      <c r="A8726">
        <f>HYPERLINK("https://www.philgeps.gov.ph/GEPSNONPILOT/Tender/SplashBidNoticeAbstractUI.aspx?menuIndex=3&amp;refID=7154390&amp;Result=3","7154390")</f>
        <v>0</v>
      </c>
      <c r="B8726" t="s">
        <v>1963</v>
      </c>
      <c r="C8726" t="s">
        <v>12105</v>
      </c>
      <c r="D8726" t="s">
        <v>19037</v>
      </c>
      <c r="E8726" t="s">
        <v>22845</v>
      </c>
      <c r="F8726" t="s">
        <v>32831</v>
      </c>
      <c r="G8726" t="s">
        <v>32838</v>
      </c>
      <c r="H8726" t="s">
        <v>32848</v>
      </c>
      <c r="I8726" t="s">
        <v>32863</v>
      </c>
      <c r="J8726" t="s">
        <v>32985</v>
      </c>
      <c r="K8726" t="s">
        <v>42732</v>
      </c>
      <c r="M8726" t="s">
        <v>45123</v>
      </c>
      <c r="N8726" t="s">
        <v>47424</v>
      </c>
      <c r="O8726" t="s">
        <v>47425</v>
      </c>
      <c r="P8726">
        <v>0</v>
      </c>
      <c r="Q8726">
        <v>5</v>
      </c>
      <c r="R8726" t="s">
        <v>47432</v>
      </c>
      <c r="S8726" t="s">
        <v>47597</v>
      </c>
      <c r="T8726" t="s">
        <v>49519</v>
      </c>
      <c r="U8726" t="s">
        <v>56886</v>
      </c>
      <c r="V8726" t="s">
        <v>63201</v>
      </c>
      <c r="W8726" t="s">
        <v>45123</v>
      </c>
      <c r="X8726" t="s">
        <v>47433</v>
      </c>
    </row>
    <row r="8727" spans="1:24">
      <c r="A8727">
        <f>HYPERLINK("https://www.philgeps.gov.ph/GEPSNONPILOT/Tender/SplashBidNoticeAbstractUI.aspx?menuIndex=3&amp;refID=7154384&amp;Result=3","7154384")</f>
        <v>0</v>
      </c>
      <c r="B8727" t="s">
        <v>1319</v>
      </c>
      <c r="C8727" t="s">
        <v>12106</v>
      </c>
      <c r="D8727" t="s">
        <v>19083</v>
      </c>
      <c r="E8727" t="s">
        <v>26678</v>
      </c>
      <c r="F8727" t="s">
        <v>32831</v>
      </c>
      <c r="G8727" t="s">
        <v>32840</v>
      </c>
      <c r="H8727" t="s">
        <v>32848</v>
      </c>
      <c r="I8727" t="s">
        <v>10805</v>
      </c>
      <c r="J8727" t="s">
        <v>33677</v>
      </c>
      <c r="K8727" t="s">
        <v>42730</v>
      </c>
      <c r="M8727" t="s">
        <v>44390</v>
      </c>
      <c r="N8727" t="s">
        <v>47424</v>
      </c>
      <c r="O8727" t="s">
        <v>47425</v>
      </c>
      <c r="Q8727">
        <v>2</v>
      </c>
      <c r="R8727" t="s">
        <v>47432</v>
      </c>
      <c r="S8727" t="s">
        <v>47616</v>
      </c>
      <c r="T8727" t="s">
        <v>49111</v>
      </c>
      <c r="U8727" t="s">
        <v>56887</v>
      </c>
      <c r="W8727" t="s">
        <v>44390</v>
      </c>
      <c r="X8727" t="s">
        <v>47433</v>
      </c>
    </row>
    <row r="8728" spans="1:24">
      <c r="A8728">
        <f>HYPERLINK("https://www.philgeps.gov.ph/GEPSNONPILOT/Tender/SplashBidNoticeAbstractUI.aspx?menuIndex=3&amp;refID=7154383&amp;Result=3","7154383")</f>
        <v>0</v>
      </c>
      <c r="B8728" t="s">
        <v>2877</v>
      </c>
      <c r="C8728" t="s">
        <v>12107</v>
      </c>
      <c r="E8728" t="s">
        <v>26679</v>
      </c>
      <c r="F8728" t="s">
        <v>32831</v>
      </c>
      <c r="G8728" t="s">
        <v>32838</v>
      </c>
      <c r="H8728" t="s">
        <v>32848</v>
      </c>
      <c r="I8728" t="s">
        <v>4438</v>
      </c>
      <c r="J8728" t="s">
        <v>38409</v>
      </c>
      <c r="K8728" t="s">
        <v>42732</v>
      </c>
      <c r="M8728" t="s">
        <v>46113</v>
      </c>
      <c r="N8728" t="s">
        <v>47424</v>
      </c>
      <c r="O8728" t="s">
        <v>47425</v>
      </c>
      <c r="P8728">
        <v>0</v>
      </c>
      <c r="Q8728">
        <v>8</v>
      </c>
      <c r="R8728" t="s">
        <v>47432</v>
      </c>
      <c r="S8728" t="s">
        <v>47597</v>
      </c>
      <c r="T8728" t="s">
        <v>49163</v>
      </c>
      <c r="U8728" t="s">
        <v>56888</v>
      </c>
      <c r="W8728" t="s">
        <v>46113</v>
      </c>
      <c r="X8728" t="s">
        <v>47433</v>
      </c>
    </row>
    <row r="8729" spans="1:24">
      <c r="A8729">
        <f>HYPERLINK("https://www.philgeps.gov.ph/GEPSNONPILOT/Tender/SplashBidNoticeAbstractUI.aspx?menuIndex=3&amp;refID=7154387&amp;Result=3","7154387")</f>
        <v>0</v>
      </c>
      <c r="B8729" t="s">
        <v>2878</v>
      </c>
      <c r="C8729" t="s">
        <v>12108</v>
      </c>
      <c r="D8729" t="s">
        <v>19025</v>
      </c>
      <c r="E8729" t="s">
        <v>26680</v>
      </c>
      <c r="F8729" t="s">
        <v>32831</v>
      </c>
      <c r="G8729" t="s">
        <v>32842</v>
      </c>
      <c r="H8729" t="s">
        <v>32848</v>
      </c>
      <c r="I8729" t="s">
        <v>4438</v>
      </c>
      <c r="J8729" t="s">
        <v>33044</v>
      </c>
      <c r="K8729" t="s">
        <v>42730</v>
      </c>
      <c r="M8729" t="s">
        <v>46114</v>
      </c>
      <c r="N8729" t="s">
        <v>47424</v>
      </c>
      <c r="O8729" t="s">
        <v>47425</v>
      </c>
      <c r="P8729">
        <v>0</v>
      </c>
      <c r="Q8729">
        <v>3</v>
      </c>
      <c r="R8729" t="s">
        <v>47432</v>
      </c>
      <c r="S8729" t="s">
        <v>47597</v>
      </c>
      <c r="T8729" t="s">
        <v>49100</v>
      </c>
      <c r="U8729" t="s">
        <v>56889</v>
      </c>
      <c r="V8729" t="s">
        <v>63597</v>
      </c>
      <c r="W8729" t="s">
        <v>46114</v>
      </c>
      <c r="X8729" t="s">
        <v>47433</v>
      </c>
    </row>
    <row r="8730" spans="1:24">
      <c r="A8730">
        <f>HYPERLINK("https://www.philgeps.gov.ph/GEPSNONPILOT/Tender/SplashBidNoticeAbstractUI.aspx?menuIndex=3&amp;refID=7152772&amp;Result=3","7152772")</f>
        <v>0</v>
      </c>
      <c r="B8730" t="s">
        <v>2039</v>
      </c>
      <c r="C8730" t="s">
        <v>12109</v>
      </c>
      <c r="D8730" t="s">
        <v>19080</v>
      </c>
      <c r="E8730" t="s">
        <v>26681</v>
      </c>
      <c r="F8730" t="s">
        <v>32831</v>
      </c>
      <c r="G8730" t="s">
        <v>32839</v>
      </c>
      <c r="H8730" t="s">
        <v>32849</v>
      </c>
      <c r="I8730" t="s">
        <v>4177</v>
      </c>
      <c r="J8730" t="s">
        <v>33257</v>
      </c>
      <c r="K8730" t="s">
        <v>42770</v>
      </c>
      <c r="M8730" t="s">
        <v>45208</v>
      </c>
      <c r="N8730" t="s">
        <v>47424</v>
      </c>
      <c r="O8730" t="s">
        <v>47425</v>
      </c>
      <c r="P8730">
        <v>0</v>
      </c>
      <c r="Q8730">
        <v>0</v>
      </c>
      <c r="R8730" t="s">
        <v>47432</v>
      </c>
      <c r="S8730" t="s">
        <v>47597</v>
      </c>
      <c r="T8730" t="s">
        <v>49160</v>
      </c>
      <c r="U8730" t="s">
        <v>56395</v>
      </c>
      <c r="W8730" t="s">
        <v>45208</v>
      </c>
      <c r="X8730" t="s">
        <v>47433</v>
      </c>
    </row>
    <row r="8731" spans="1:24">
      <c r="A8731">
        <f>HYPERLINK("https://www.philgeps.gov.ph/GEPSNONPILOT/Tender/SplashBidNoticeAbstractUI.aspx?menuIndex=3&amp;refID=7154379&amp;Result=3","7154379")</f>
        <v>0</v>
      </c>
      <c r="B8731" t="s">
        <v>2851</v>
      </c>
      <c r="C8731" t="s">
        <v>12110</v>
      </c>
      <c r="D8731" t="s">
        <v>19046</v>
      </c>
      <c r="E8731" t="s">
        <v>26682</v>
      </c>
      <c r="F8731" t="s">
        <v>32831</v>
      </c>
      <c r="G8731" t="s">
        <v>32838</v>
      </c>
      <c r="H8731" t="s">
        <v>32848</v>
      </c>
      <c r="I8731" t="s">
        <v>9281</v>
      </c>
      <c r="J8731" t="s">
        <v>38410</v>
      </c>
      <c r="K8731" t="s">
        <v>42729</v>
      </c>
      <c r="M8731" t="s">
        <v>46084</v>
      </c>
      <c r="N8731" t="s">
        <v>47424</v>
      </c>
      <c r="O8731" t="s">
        <v>47425</v>
      </c>
      <c r="P8731">
        <v>0</v>
      </c>
      <c r="Q8731">
        <v>7</v>
      </c>
      <c r="R8731" t="s">
        <v>47432</v>
      </c>
      <c r="S8731" t="s">
        <v>47597</v>
      </c>
      <c r="T8731" t="s">
        <v>49080</v>
      </c>
      <c r="U8731" t="s">
        <v>56890</v>
      </c>
      <c r="W8731" t="s">
        <v>46084</v>
      </c>
      <c r="X8731" t="s">
        <v>47433</v>
      </c>
    </row>
    <row r="8732" spans="1:24">
      <c r="A8732">
        <f>HYPERLINK("https://www.philgeps.gov.ph/GEPSNONPILOT/Tender/SplashBidNoticeAbstractUI.aspx?menuIndex=3&amp;refID=7152766&amp;Result=3","7152766")</f>
        <v>0</v>
      </c>
      <c r="B8732" t="s">
        <v>323</v>
      </c>
      <c r="C8732" t="s">
        <v>12111</v>
      </c>
      <c r="D8732" t="s">
        <v>19081</v>
      </c>
      <c r="E8732" t="s">
        <v>26683</v>
      </c>
      <c r="F8732" t="s">
        <v>32831</v>
      </c>
      <c r="G8732" t="s">
        <v>32838</v>
      </c>
      <c r="H8732" t="s">
        <v>32848</v>
      </c>
      <c r="I8732" t="s">
        <v>32860</v>
      </c>
      <c r="J8732" t="s">
        <v>32983</v>
      </c>
      <c r="K8732" t="s">
        <v>42726</v>
      </c>
      <c r="M8732" t="s">
        <v>43326</v>
      </c>
      <c r="N8732" t="s">
        <v>47424</v>
      </c>
      <c r="O8732" t="s">
        <v>47425</v>
      </c>
      <c r="P8732">
        <v>0</v>
      </c>
      <c r="Q8732">
        <v>3</v>
      </c>
      <c r="R8732" t="s">
        <v>47432</v>
      </c>
      <c r="S8732" t="s">
        <v>47597</v>
      </c>
      <c r="T8732" t="s">
        <v>49111</v>
      </c>
      <c r="U8732" t="s">
        <v>56891</v>
      </c>
      <c r="W8732" t="s">
        <v>43326</v>
      </c>
      <c r="X8732" t="s">
        <v>47433</v>
      </c>
    </row>
    <row r="8733" spans="1:24">
      <c r="A8733">
        <f>HYPERLINK("https://www.philgeps.gov.ph/GEPSNONPILOT/Tender/SplashBidNoticeAbstractUI.aspx?menuIndex=3&amp;refID=7152764&amp;Result=3","7152764")</f>
        <v>0</v>
      </c>
      <c r="B8733" t="s">
        <v>2662</v>
      </c>
      <c r="C8733" t="s">
        <v>12112</v>
      </c>
      <c r="D8733" t="s">
        <v>19022</v>
      </c>
      <c r="E8733" t="s">
        <v>26684</v>
      </c>
      <c r="F8733" t="s">
        <v>32831</v>
      </c>
      <c r="G8733" t="s">
        <v>32840</v>
      </c>
      <c r="H8733" t="s">
        <v>32848</v>
      </c>
      <c r="I8733" t="s">
        <v>4446</v>
      </c>
      <c r="J8733" t="s">
        <v>38411</v>
      </c>
      <c r="K8733" t="s">
        <v>42776</v>
      </c>
      <c r="M8733" t="s">
        <v>45885</v>
      </c>
      <c r="N8733" t="s">
        <v>47424</v>
      </c>
      <c r="O8733" t="s">
        <v>47425</v>
      </c>
      <c r="P8733">
        <v>0</v>
      </c>
      <c r="Q8733">
        <v>3</v>
      </c>
      <c r="R8733" t="s">
        <v>47432</v>
      </c>
      <c r="S8733" t="s">
        <v>47597</v>
      </c>
      <c r="T8733" t="s">
        <v>49235</v>
      </c>
      <c r="U8733" t="s">
        <v>56892</v>
      </c>
      <c r="W8733" t="s">
        <v>45885</v>
      </c>
      <c r="X8733" t="s">
        <v>47433</v>
      </c>
    </row>
    <row r="8734" spans="1:24">
      <c r="A8734">
        <f>HYPERLINK("https://www.philgeps.gov.ph/GEPSNONPILOT/Tender/SplashBidNoticeAbstractUI.aspx?menuIndex=3&amp;refID=7154377&amp;Result=3","7154377")</f>
        <v>0</v>
      </c>
      <c r="B8734" t="s">
        <v>91</v>
      </c>
      <c r="C8734" t="s">
        <v>12113</v>
      </c>
      <c r="E8734" t="s">
        <v>26685</v>
      </c>
      <c r="F8734" t="s">
        <v>32831</v>
      </c>
      <c r="G8734" t="s">
        <v>32839</v>
      </c>
      <c r="H8734" t="s">
        <v>32848</v>
      </c>
      <c r="I8734" t="s">
        <v>32870</v>
      </c>
      <c r="J8734" t="s">
        <v>33083</v>
      </c>
      <c r="K8734" t="s">
        <v>42732</v>
      </c>
      <c r="M8734" t="s">
        <v>43088</v>
      </c>
      <c r="N8734" t="s">
        <v>47424</v>
      </c>
      <c r="O8734" t="s">
        <v>47425</v>
      </c>
      <c r="Q8734">
        <v>0</v>
      </c>
      <c r="R8734" t="s">
        <v>47432</v>
      </c>
      <c r="S8734" t="s">
        <v>47617</v>
      </c>
      <c r="T8734" t="s">
        <v>49112</v>
      </c>
      <c r="U8734" t="s">
        <v>56893</v>
      </c>
      <c r="W8734" t="s">
        <v>43088</v>
      </c>
      <c r="X8734" t="s">
        <v>47433</v>
      </c>
    </row>
    <row r="8735" spans="1:24">
      <c r="A8735">
        <f>HYPERLINK("https://www.philgeps.gov.ph/GEPSNONPILOT/Tender/SplashBidNoticeAbstractUI.aspx?menuIndex=3&amp;refID=7152762&amp;Result=3","7152762")</f>
        <v>0</v>
      </c>
      <c r="B8735" t="s">
        <v>1997</v>
      </c>
      <c r="C8735" t="s">
        <v>5171</v>
      </c>
      <c r="D8735" t="s">
        <v>19061</v>
      </c>
      <c r="E8735" t="s">
        <v>26686</v>
      </c>
      <c r="F8735" t="s">
        <v>32831</v>
      </c>
      <c r="G8735" t="s">
        <v>32838</v>
      </c>
      <c r="H8735" t="s">
        <v>32848</v>
      </c>
      <c r="I8735" t="s">
        <v>9577</v>
      </c>
      <c r="J8735" t="s">
        <v>38412</v>
      </c>
      <c r="K8735" t="s">
        <v>42726</v>
      </c>
      <c r="M8735" t="s">
        <v>45164</v>
      </c>
      <c r="N8735" t="s">
        <v>47424</v>
      </c>
      <c r="O8735" t="s">
        <v>47425</v>
      </c>
      <c r="P8735">
        <v>0</v>
      </c>
      <c r="Q8735">
        <v>0</v>
      </c>
      <c r="R8735" t="s">
        <v>47432</v>
      </c>
      <c r="S8735" t="s">
        <v>47597</v>
      </c>
      <c r="T8735" t="s">
        <v>49141</v>
      </c>
      <c r="U8735" t="s">
        <v>56375</v>
      </c>
      <c r="W8735" t="s">
        <v>45164</v>
      </c>
      <c r="X8735" t="s">
        <v>47433</v>
      </c>
    </row>
    <row r="8736" spans="1:24">
      <c r="A8736">
        <f>HYPERLINK("https://www.philgeps.gov.ph/GEPSNONPILOT/Tender/SplashBidNoticeAbstractUI.aspx?menuIndex=3&amp;refID=7152734&amp;Result=3","7152734")</f>
        <v>0</v>
      </c>
      <c r="B8736" t="s">
        <v>2697</v>
      </c>
      <c r="C8736" t="s">
        <v>12114</v>
      </c>
      <c r="D8736" t="s">
        <v>19022</v>
      </c>
      <c r="E8736" t="s">
        <v>26687</v>
      </c>
      <c r="F8736" t="s">
        <v>32831</v>
      </c>
      <c r="G8736" t="s">
        <v>32839</v>
      </c>
      <c r="H8736" t="s">
        <v>32849</v>
      </c>
      <c r="I8736" t="s">
        <v>32889</v>
      </c>
      <c r="J8736" t="s">
        <v>32978</v>
      </c>
      <c r="K8736" t="s">
        <v>42770</v>
      </c>
      <c r="M8736" t="s">
        <v>45922</v>
      </c>
      <c r="N8736" t="s">
        <v>47424</v>
      </c>
      <c r="O8736" t="s">
        <v>47425</v>
      </c>
      <c r="P8736">
        <v>0</v>
      </c>
      <c r="Q8736">
        <v>2</v>
      </c>
      <c r="R8736" t="s">
        <v>47432</v>
      </c>
      <c r="S8736" t="s">
        <v>47597</v>
      </c>
      <c r="T8736" t="s">
        <v>49520</v>
      </c>
      <c r="U8736" t="s">
        <v>56356</v>
      </c>
      <c r="V8736" t="s">
        <v>63519</v>
      </c>
      <c r="W8736" t="s">
        <v>45922</v>
      </c>
      <c r="X8736" t="s">
        <v>47433</v>
      </c>
    </row>
    <row r="8737" spans="1:24">
      <c r="A8737">
        <f>HYPERLINK("https://www.philgeps.gov.ph/GEPSNONPILOT/Tender/SplashBidNoticeAbstractUI.aspx?menuIndex=3&amp;refID=7154380&amp;Result=3","7154380")</f>
        <v>0</v>
      </c>
      <c r="B8737" t="s">
        <v>2088</v>
      </c>
      <c r="C8737" t="s">
        <v>12115</v>
      </c>
      <c r="D8737" t="s">
        <v>19044</v>
      </c>
      <c r="E8737" t="s">
        <v>19796</v>
      </c>
      <c r="F8737" t="s">
        <v>32831</v>
      </c>
      <c r="G8737" t="s">
        <v>32839</v>
      </c>
      <c r="H8737" t="s">
        <v>32848</v>
      </c>
      <c r="I8737" t="s">
        <v>11727</v>
      </c>
      <c r="J8737" t="s">
        <v>33257</v>
      </c>
      <c r="K8737" t="s">
        <v>42730</v>
      </c>
      <c r="M8737" t="s">
        <v>45260</v>
      </c>
      <c r="N8737" t="s">
        <v>47424</v>
      </c>
      <c r="O8737" t="s">
        <v>47425</v>
      </c>
      <c r="P8737">
        <v>0</v>
      </c>
      <c r="Q8737">
        <v>1</v>
      </c>
      <c r="R8737" t="s">
        <v>47432</v>
      </c>
      <c r="S8737" t="s">
        <v>47597</v>
      </c>
      <c r="T8737" t="s">
        <v>49112</v>
      </c>
      <c r="U8737" t="s">
        <v>56894</v>
      </c>
      <c r="W8737" t="s">
        <v>45260</v>
      </c>
      <c r="X8737" t="s">
        <v>47433</v>
      </c>
    </row>
    <row r="8738" spans="1:24">
      <c r="A8738">
        <f>HYPERLINK("https://www.philgeps.gov.ph/GEPSNONPILOT/Tender/SplashBidNoticeAbstractUI.aspx?menuIndex=3&amp;refID=7152727&amp;Result=3","7152727")</f>
        <v>0</v>
      </c>
      <c r="B8738" t="s">
        <v>1320</v>
      </c>
      <c r="C8738" t="s">
        <v>12116</v>
      </c>
      <c r="D8738" t="s">
        <v>19085</v>
      </c>
      <c r="E8738" t="s">
        <v>26688</v>
      </c>
      <c r="F8738" t="s">
        <v>32831</v>
      </c>
      <c r="G8738" t="s">
        <v>32838</v>
      </c>
      <c r="H8738" t="s">
        <v>32848</v>
      </c>
      <c r="I8738" t="s">
        <v>7416</v>
      </c>
      <c r="J8738" t="s">
        <v>38413</v>
      </c>
      <c r="K8738" t="s">
        <v>42731</v>
      </c>
      <c r="M8738" t="s">
        <v>44391</v>
      </c>
      <c r="N8738" t="s">
        <v>47424</v>
      </c>
      <c r="O8738" t="s">
        <v>47425</v>
      </c>
      <c r="P8738">
        <v>0</v>
      </c>
      <c r="Q8738">
        <v>0</v>
      </c>
      <c r="R8738" t="s">
        <v>47432</v>
      </c>
      <c r="S8738" t="s">
        <v>47597</v>
      </c>
      <c r="T8738" t="s">
        <v>49129</v>
      </c>
      <c r="U8738" t="s">
        <v>56895</v>
      </c>
      <c r="W8738" t="s">
        <v>44391</v>
      </c>
      <c r="X8738" t="s">
        <v>47433</v>
      </c>
    </row>
    <row r="8739" spans="1:24">
      <c r="A8739">
        <f>HYPERLINK("https://www.philgeps.gov.ph/GEPSNONPILOT/Tender/SplashBidNoticeAbstractUI.aspx?menuIndex=3&amp;refID=7154422&amp;Result=3","7154422")</f>
        <v>0</v>
      </c>
      <c r="B8739" t="s">
        <v>2232</v>
      </c>
      <c r="C8739" t="s">
        <v>12117</v>
      </c>
      <c r="D8739" t="s">
        <v>19062</v>
      </c>
      <c r="E8739" t="s">
        <v>26689</v>
      </c>
      <c r="F8739" t="s">
        <v>32831</v>
      </c>
      <c r="G8739" t="s">
        <v>32838</v>
      </c>
      <c r="H8739" t="s">
        <v>32848</v>
      </c>
      <c r="I8739" t="s">
        <v>7416</v>
      </c>
      <c r="J8739" t="s">
        <v>38414</v>
      </c>
      <c r="K8739" t="s">
        <v>42731</v>
      </c>
      <c r="M8739" t="s">
        <v>45413</v>
      </c>
      <c r="N8739" t="s">
        <v>47424</v>
      </c>
      <c r="O8739" t="s">
        <v>47425</v>
      </c>
      <c r="P8739">
        <v>0</v>
      </c>
      <c r="Q8739">
        <v>0</v>
      </c>
      <c r="R8739" t="s">
        <v>47432</v>
      </c>
      <c r="S8739" t="s">
        <v>47597</v>
      </c>
      <c r="T8739" t="s">
        <v>49214</v>
      </c>
      <c r="U8739" t="s">
        <v>54885</v>
      </c>
      <c r="W8739" t="s">
        <v>45413</v>
      </c>
      <c r="X8739" t="s">
        <v>47433</v>
      </c>
    </row>
    <row r="8740" spans="1:24">
      <c r="A8740">
        <f>HYPERLINK("https://www.philgeps.gov.ph/GEPSNONPILOT/Tender/SplashBidNoticeAbstractUI.aspx?menuIndex=3&amp;refID=7153228&amp;Result=3","7153228")</f>
        <v>0</v>
      </c>
      <c r="B8740" t="s">
        <v>1130</v>
      </c>
      <c r="C8740" t="s">
        <v>12118</v>
      </c>
      <c r="D8740" t="s">
        <v>19045</v>
      </c>
      <c r="E8740" t="s">
        <v>26690</v>
      </c>
      <c r="F8740" t="s">
        <v>32831</v>
      </c>
      <c r="G8740" t="s">
        <v>32839</v>
      </c>
      <c r="H8740" t="s">
        <v>32849</v>
      </c>
      <c r="I8740" t="s">
        <v>4177</v>
      </c>
      <c r="J8740" t="s">
        <v>38415</v>
      </c>
      <c r="K8740" t="s">
        <v>42729</v>
      </c>
      <c r="M8740" t="s">
        <v>45442</v>
      </c>
      <c r="N8740" t="s">
        <v>47424</v>
      </c>
      <c r="O8740" t="s">
        <v>47425</v>
      </c>
      <c r="P8740">
        <v>0</v>
      </c>
      <c r="Q8740">
        <v>0</v>
      </c>
      <c r="R8740" t="s">
        <v>47432</v>
      </c>
      <c r="S8740" t="s">
        <v>47597</v>
      </c>
      <c r="T8740" t="s">
        <v>49077</v>
      </c>
      <c r="U8740" t="s">
        <v>56541</v>
      </c>
      <c r="V8740" t="s">
        <v>63325</v>
      </c>
      <c r="W8740" t="s">
        <v>45442</v>
      </c>
      <c r="X8740" t="s">
        <v>47433</v>
      </c>
    </row>
    <row r="8741" spans="1:24">
      <c r="A8741">
        <f>HYPERLINK("https://www.philgeps.gov.ph/GEPSNONPILOT/Tender/SplashBidNoticeAbstractUI.aspx?menuIndex=3&amp;refID=7154450&amp;Result=3","7154450")</f>
        <v>0</v>
      </c>
      <c r="B8741" t="s">
        <v>894</v>
      </c>
      <c r="C8741" t="s">
        <v>12119</v>
      </c>
      <c r="D8741" t="s">
        <v>19027</v>
      </c>
      <c r="E8741" t="s">
        <v>26691</v>
      </c>
      <c r="F8741" t="s">
        <v>32831</v>
      </c>
      <c r="G8741" t="s">
        <v>32838</v>
      </c>
      <c r="H8741" t="s">
        <v>32848</v>
      </c>
      <c r="I8741" t="s">
        <v>32860</v>
      </c>
      <c r="J8741" t="s">
        <v>38416</v>
      </c>
      <c r="K8741" t="s">
        <v>42759</v>
      </c>
      <c r="M8741" t="s">
        <v>43929</v>
      </c>
      <c r="N8741" t="s">
        <v>47424</v>
      </c>
      <c r="O8741" t="s">
        <v>47425</v>
      </c>
      <c r="P8741">
        <v>0</v>
      </c>
      <c r="Q8741">
        <v>6</v>
      </c>
      <c r="R8741" t="s">
        <v>47432</v>
      </c>
      <c r="S8741" t="s">
        <v>47597</v>
      </c>
      <c r="T8741" t="s">
        <v>49477</v>
      </c>
      <c r="U8741" t="s">
        <v>51340</v>
      </c>
      <c r="W8741" t="s">
        <v>43929</v>
      </c>
      <c r="X8741" t="s">
        <v>47433</v>
      </c>
    </row>
    <row r="8742" spans="1:24">
      <c r="A8742">
        <f>HYPERLINK("https://www.philgeps.gov.ph/GEPSNONPILOT/Tender/SplashBidNoticeAbstractUI.aspx?menuIndex=3&amp;refID=7154454&amp;Result=3","7154454")</f>
        <v>0</v>
      </c>
      <c r="B8742" t="s">
        <v>584</v>
      </c>
      <c r="C8742" t="s">
        <v>12120</v>
      </c>
      <c r="E8742" t="s">
        <v>26692</v>
      </c>
      <c r="F8742" t="s">
        <v>32831</v>
      </c>
      <c r="G8742" t="s">
        <v>32838</v>
      </c>
      <c r="H8742" t="s">
        <v>32848</v>
      </c>
      <c r="I8742" t="s">
        <v>4487</v>
      </c>
      <c r="J8742" t="s">
        <v>32978</v>
      </c>
      <c r="K8742" t="s">
        <v>42747</v>
      </c>
      <c r="M8742" t="s">
        <v>46115</v>
      </c>
      <c r="N8742" t="s">
        <v>47424</v>
      </c>
      <c r="O8742" t="s">
        <v>47425</v>
      </c>
      <c r="Q8742">
        <v>8</v>
      </c>
      <c r="R8742" t="s">
        <v>47432</v>
      </c>
      <c r="S8742" t="s">
        <v>47618</v>
      </c>
      <c r="T8742" t="s">
        <v>49166</v>
      </c>
      <c r="U8742" t="s">
        <v>56896</v>
      </c>
      <c r="W8742" t="s">
        <v>46115</v>
      </c>
      <c r="X8742" t="s">
        <v>47433</v>
      </c>
    </row>
    <row r="8743" spans="1:24">
      <c r="A8743">
        <f>HYPERLINK("https://www.philgeps.gov.ph/GEPSNONPILOT/Tender/SplashBidNoticeAbstractUI.aspx?menuIndex=3&amp;refID=7154453&amp;Result=3","7154453")</f>
        <v>0</v>
      </c>
      <c r="B8743" t="s">
        <v>2088</v>
      </c>
      <c r="C8743" t="s">
        <v>12121</v>
      </c>
      <c r="D8743" t="s">
        <v>19044</v>
      </c>
      <c r="E8743" t="s">
        <v>19791</v>
      </c>
      <c r="F8743" t="s">
        <v>32831</v>
      </c>
      <c r="G8743" t="s">
        <v>32839</v>
      </c>
      <c r="H8743" t="s">
        <v>32848</v>
      </c>
      <c r="I8743" t="s">
        <v>32931</v>
      </c>
      <c r="J8743" t="s">
        <v>38417</v>
      </c>
      <c r="K8743" t="s">
        <v>42730</v>
      </c>
      <c r="M8743" t="s">
        <v>45260</v>
      </c>
      <c r="N8743" t="s">
        <v>47424</v>
      </c>
      <c r="O8743" t="s">
        <v>47425</v>
      </c>
      <c r="P8743">
        <v>0</v>
      </c>
      <c r="Q8743">
        <v>5</v>
      </c>
      <c r="R8743" t="s">
        <v>47432</v>
      </c>
      <c r="S8743" t="s">
        <v>47597</v>
      </c>
      <c r="T8743" t="s">
        <v>49112</v>
      </c>
      <c r="U8743" t="s">
        <v>56897</v>
      </c>
      <c r="W8743" t="s">
        <v>45260</v>
      </c>
      <c r="X8743" t="s">
        <v>47433</v>
      </c>
    </row>
    <row r="8744" spans="1:24">
      <c r="A8744">
        <f>HYPERLINK("https://www.philgeps.gov.ph/GEPSNONPILOT/Tender/SplashBidNoticeAbstractUI.aspx?menuIndex=3&amp;refID=7154452&amp;Result=3","7154452")</f>
        <v>0</v>
      </c>
      <c r="B8744" t="s">
        <v>2232</v>
      </c>
      <c r="C8744" t="s">
        <v>12122</v>
      </c>
      <c r="D8744" t="s">
        <v>19062</v>
      </c>
      <c r="E8744" t="s">
        <v>26693</v>
      </c>
      <c r="F8744" t="s">
        <v>32831</v>
      </c>
      <c r="G8744" t="s">
        <v>32838</v>
      </c>
      <c r="H8744" t="s">
        <v>32848</v>
      </c>
      <c r="I8744" t="s">
        <v>32860</v>
      </c>
      <c r="J8744" t="s">
        <v>38418</v>
      </c>
      <c r="K8744" t="s">
        <v>42731</v>
      </c>
      <c r="M8744" t="s">
        <v>45413</v>
      </c>
      <c r="N8744" t="s">
        <v>47424</v>
      </c>
      <c r="O8744" t="s">
        <v>47425</v>
      </c>
      <c r="P8744">
        <v>0</v>
      </c>
      <c r="Q8744">
        <v>5</v>
      </c>
      <c r="R8744" t="s">
        <v>47432</v>
      </c>
      <c r="S8744" t="s">
        <v>47597</v>
      </c>
      <c r="T8744" t="s">
        <v>49214</v>
      </c>
      <c r="U8744" t="s">
        <v>54885</v>
      </c>
      <c r="W8744" t="s">
        <v>45413</v>
      </c>
      <c r="X8744" t="s">
        <v>47433</v>
      </c>
    </row>
    <row r="8745" spans="1:24">
      <c r="A8745">
        <f>HYPERLINK("https://www.philgeps.gov.ph/GEPSNONPILOT/Tender/SplashBidNoticeAbstractUI.aspx?menuIndex=3&amp;refID=7152737&amp;Result=3","7152737")</f>
        <v>0</v>
      </c>
      <c r="B8745" t="s">
        <v>2879</v>
      </c>
      <c r="C8745" t="s">
        <v>12123</v>
      </c>
      <c r="D8745" t="s">
        <v>19045</v>
      </c>
      <c r="E8745" t="s">
        <v>25846</v>
      </c>
      <c r="F8745" t="s">
        <v>32831</v>
      </c>
      <c r="G8745" t="s">
        <v>32839</v>
      </c>
      <c r="H8745" t="s">
        <v>32850</v>
      </c>
      <c r="I8745" t="s">
        <v>10805</v>
      </c>
      <c r="J8745" t="s">
        <v>34755</v>
      </c>
      <c r="K8745" t="s">
        <v>42727</v>
      </c>
      <c r="M8745" t="s">
        <v>46116</v>
      </c>
      <c r="N8745" t="s">
        <v>47424</v>
      </c>
      <c r="O8745" t="s">
        <v>47425</v>
      </c>
      <c r="P8745">
        <v>0</v>
      </c>
      <c r="Q8745">
        <v>2</v>
      </c>
      <c r="R8745" t="s">
        <v>47432</v>
      </c>
      <c r="S8745" t="s">
        <v>47597</v>
      </c>
      <c r="T8745" t="s">
        <v>49334</v>
      </c>
      <c r="U8745" t="s">
        <v>56898</v>
      </c>
      <c r="V8745" t="s">
        <v>63598</v>
      </c>
      <c r="W8745" t="s">
        <v>46116</v>
      </c>
      <c r="X8745" t="s">
        <v>47433</v>
      </c>
    </row>
    <row r="8746" spans="1:24">
      <c r="A8746">
        <f>HYPERLINK("https://www.philgeps.gov.ph/GEPSNONPILOT/Tender/SplashBidNoticeAbstractUI.aspx?menuIndex=3&amp;refID=7154451&amp;Result=3","7154451")</f>
        <v>0</v>
      </c>
      <c r="B8746" t="s">
        <v>2315</v>
      </c>
      <c r="C8746" t="s">
        <v>12124</v>
      </c>
      <c r="D8746" t="s">
        <v>19031</v>
      </c>
      <c r="E8746" t="s">
        <v>26694</v>
      </c>
      <c r="F8746" t="s">
        <v>32831</v>
      </c>
      <c r="G8746" t="s">
        <v>32839</v>
      </c>
      <c r="H8746" t="s">
        <v>32849</v>
      </c>
      <c r="I8746" t="s">
        <v>4177</v>
      </c>
      <c r="J8746" t="s">
        <v>38419</v>
      </c>
      <c r="K8746" t="s">
        <v>42763</v>
      </c>
      <c r="M8746" t="s">
        <v>45500</v>
      </c>
      <c r="N8746" t="s">
        <v>47424</v>
      </c>
      <c r="O8746" t="s">
        <v>47425</v>
      </c>
      <c r="P8746">
        <v>0</v>
      </c>
      <c r="Q8746">
        <v>0</v>
      </c>
      <c r="R8746" t="s">
        <v>47432</v>
      </c>
      <c r="S8746" t="s">
        <v>47597</v>
      </c>
      <c r="T8746" t="s">
        <v>49139</v>
      </c>
      <c r="U8746" t="s">
        <v>56899</v>
      </c>
      <c r="W8746" t="s">
        <v>45500</v>
      </c>
      <c r="X8746" t="s">
        <v>47433</v>
      </c>
    </row>
    <row r="8747" spans="1:24">
      <c r="A8747">
        <f>HYPERLINK("https://www.philgeps.gov.ph/GEPSNONPILOT/Tender/SplashBidNoticeAbstractUI.aspx?menuIndex=3&amp;refID=7154449&amp;Result=3","7154449")</f>
        <v>0</v>
      </c>
      <c r="B8747" t="s">
        <v>1003</v>
      </c>
      <c r="C8747" t="s">
        <v>12125</v>
      </c>
      <c r="D8747" t="s">
        <v>19042</v>
      </c>
      <c r="E8747" t="s">
        <v>26695</v>
      </c>
      <c r="F8747" t="s">
        <v>32831</v>
      </c>
      <c r="G8747" t="s">
        <v>32842</v>
      </c>
      <c r="H8747" t="s">
        <v>32848</v>
      </c>
      <c r="I8747" t="s">
        <v>4340</v>
      </c>
      <c r="J8747" t="s">
        <v>36380</v>
      </c>
      <c r="K8747" t="s">
        <v>42767</v>
      </c>
      <c r="L8747" t="s">
        <v>1003</v>
      </c>
      <c r="M8747" t="s">
        <v>44052</v>
      </c>
      <c r="N8747" t="s">
        <v>47424</v>
      </c>
      <c r="O8747" t="s">
        <v>47425</v>
      </c>
      <c r="P8747">
        <v>0</v>
      </c>
      <c r="Q8747">
        <v>4</v>
      </c>
      <c r="R8747" t="s">
        <v>47432</v>
      </c>
      <c r="S8747" t="s">
        <v>47597</v>
      </c>
      <c r="T8747" t="s">
        <v>49163</v>
      </c>
      <c r="U8747" t="s">
        <v>56900</v>
      </c>
      <c r="W8747" t="s">
        <v>44052</v>
      </c>
      <c r="X8747" t="s">
        <v>47433</v>
      </c>
    </row>
    <row r="8748" spans="1:24">
      <c r="A8748">
        <f>HYPERLINK("https://www.philgeps.gov.ph/GEPSNONPILOT/Tender/SplashBidNoticeAbstractUI.aspx?menuIndex=3&amp;refID=7154448&amp;Result=3","7154448")</f>
        <v>0</v>
      </c>
      <c r="B8748" t="s">
        <v>1641</v>
      </c>
      <c r="C8748" t="s">
        <v>12126</v>
      </c>
      <c r="D8748" t="s">
        <v>19042</v>
      </c>
      <c r="E8748" t="s">
        <v>26696</v>
      </c>
      <c r="F8748" t="s">
        <v>32831</v>
      </c>
      <c r="G8748" t="s">
        <v>32839</v>
      </c>
      <c r="H8748" t="s">
        <v>32848</v>
      </c>
      <c r="I8748" t="s">
        <v>4487</v>
      </c>
      <c r="J8748" t="s">
        <v>33279</v>
      </c>
      <c r="K8748" t="s">
        <v>42747</v>
      </c>
      <c r="L8748" t="s">
        <v>1641</v>
      </c>
      <c r="M8748" t="s">
        <v>44758</v>
      </c>
      <c r="N8748" t="s">
        <v>47424</v>
      </c>
      <c r="O8748" t="s">
        <v>47425</v>
      </c>
      <c r="P8748">
        <v>0</v>
      </c>
      <c r="Q8748">
        <v>2</v>
      </c>
      <c r="R8748" t="s">
        <v>47432</v>
      </c>
      <c r="S8748" t="s">
        <v>47597</v>
      </c>
      <c r="T8748" t="s">
        <v>49283</v>
      </c>
      <c r="U8748" t="s">
        <v>56901</v>
      </c>
      <c r="V8748" t="s">
        <v>63581</v>
      </c>
      <c r="W8748" t="s">
        <v>44758</v>
      </c>
      <c r="X8748" t="s">
        <v>47433</v>
      </c>
    </row>
    <row r="8749" spans="1:24">
      <c r="A8749">
        <f>HYPERLINK("https://www.philgeps.gov.ph/GEPSNONPILOT/Tender/SplashBidNoticeAbstractUI.aspx?menuIndex=3&amp;refID=7154447&amp;Result=3","7154447")</f>
        <v>0</v>
      </c>
      <c r="B8749" t="s">
        <v>2880</v>
      </c>
      <c r="C8749" t="s">
        <v>12127</v>
      </c>
      <c r="D8749" t="s">
        <v>19061</v>
      </c>
      <c r="E8749" t="s">
        <v>26697</v>
      </c>
      <c r="F8749" t="s">
        <v>32831</v>
      </c>
      <c r="G8749" t="s">
        <v>32838</v>
      </c>
      <c r="H8749" t="s">
        <v>32848</v>
      </c>
      <c r="I8749" t="s">
        <v>32863</v>
      </c>
      <c r="J8749" t="s">
        <v>33087</v>
      </c>
      <c r="K8749" t="s">
        <v>42730</v>
      </c>
      <c r="M8749" t="s">
        <v>46117</v>
      </c>
      <c r="N8749" t="s">
        <v>47424</v>
      </c>
      <c r="O8749" t="s">
        <v>47425</v>
      </c>
      <c r="P8749">
        <v>0</v>
      </c>
      <c r="Q8749">
        <v>1</v>
      </c>
      <c r="R8749" t="s">
        <v>47432</v>
      </c>
      <c r="S8749" t="s">
        <v>47597</v>
      </c>
      <c r="T8749" t="s">
        <v>49107</v>
      </c>
      <c r="U8749" t="s">
        <v>56902</v>
      </c>
      <c r="W8749" t="s">
        <v>46117</v>
      </c>
      <c r="X8749" t="s">
        <v>47433</v>
      </c>
    </row>
    <row r="8750" spans="1:24">
      <c r="A8750">
        <f>HYPERLINK("https://www.philgeps.gov.ph/GEPSNONPILOT/Tender/SplashBidNoticeAbstractUI.aspx?menuIndex=3&amp;refID=7154446&amp;Result=3","7154446")</f>
        <v>0</v>
      </c>
      <c r="B8750" t="s">
        <v>2875</v>
      </c>
      <c r="C8750" t="s">
        <v>12128</v>
      </c>
      <c r="D8750" t="s">
        <v>19068</v>
      </c>
      <c r="E8750" t="s">
        <v>26698</v>
      </c>
      <c r="F8750" t="s">
        <v>32831</v>
      </c>
      <c r="G8750" t="s">
        <v>32839</v>
      </c>
      <c r="H8750" t="s">
        <v>32848</v>
      </c>
      <c r="I8750" t="s">
        <v>4776</v>
      </c>
      <c r="J8750" t="s">
        <v>38420</v>
      </c>
      <c r="K8750" t="s">
        <v>42731</v>
      </c>
      <c r="M8750" t="s">
        <v>46110</v>
      </c>
      <c r="N8750" t="s">
        <v>47424</v>
      </c>
      <c r="O8750" t="s">
        <v>47425</v>
      </c>
      <c r="P8750">
        <v>0</v>
      </c>
      <c r="Q8750">
        <v>4</v>
      </c>
      <c r="R8750" t="s">
        <v>47432</v>
      </c>
      <c r="S8750" t="s">
        <v>47597</v>
      </c>
      <c r="T8750" t="s">
        <v>49236</v>
      </c>
      <c r="U8750" t="s">
        <v>56903</v>
      </c>
      <c r="W8750" t="s">
        <v>46110</v>
      </c>
      <c r="X8750" t="s">
        <v>47433</v>
      </c>
    </row>
    <row r="8751" spans="1:24">
      <c r="A8751">
        <f>HYPERLINK("https://www.philgeps.gov.ph/GEPSNONPILOT/Tender/SplashBidNoticeAbstractUI.aspx?menuIndex=3&amp;refID=7152761&amp;Result=3","7152761")</f>
        <v>0</v>
      </c>
      <c r="B8751" t="s">
        <v>1765</v>
      </c>
      <c r="C8751" t="s">
        <v>12129</v>
      </c>
      <c r="E8751" t="s">
        <v>26699</v>
      </c>
      <c r="F8751" t="s">
        <v>32831</v>
      </c>
      <c r="G8751" t="s">
        <v>32840</v>
      </c>
      <c r="H8751" t="s">
        <v>32848</v>
      </c>
      <c r="I8751" t="s">
        <v>32870</v>
      </c>
      <c r="J8751" t="s">
        <v>33078</v>
      </c>
      <c r="K8751" t="s">
        <v>42732</v>
      </c>
      <c r="M8751" t="s">
        <v>44890</v>
      </c>
      <c r="N8751" t="s">
        <v>47424</v>
      </c>
      <c r="O8751" t="s">
        <v>47425</v>
      </c>
      <c r="P8751">
        <v>0</v>
      </c>
      <c r="Q8751">
        <v>0</v>
      </c>
      <c r="R8751" t="s">
        <v>47432</v>
      </c>
      <c r="S8751" t="s">
        <v>47597</v>
      </c>
      <c r="T8751" t="s">
        <v>49235</v>
      </c>
      <c r="U8751" t="s">
        <v>56904</v>
      </c>
      <c r="V8751" t="s">
        <v>63530</v>
      </c>
      <c r="W8751" t="s">
        <v>44890</v>
      </c>
      <c r="X8751" t="s">
        <v>47433</v>
      </c>
    </row>
    <row r="8752" spans="1:24">
      <c r="A8752">
        <f>HYPERLINK("https://www.philgeps.gov.ph/GEPSNONPILOT/Tender/SplashBidNoticeAbstractUI.aspx?menuIndex=3&amp;refID=7154433&amp;Result=3","7154433")</f>
        <v>0</v>
      </c>
      <c r="B8752" t="s">
        <v>2866</v>
      </c>
      <c r="C8752" t="s">
        <v>12130</v>
      </c>
      <c r="D8752" t="s">
        <v>19059</v>
      </c>
      <c r="E8752" t="s">
        <v>26700</v>
      </c>
      <c r="F8752" t="s">
        <v>32831</v>
      </c>
      <c r="G8752" t="s">
        <v>32839</v>
      </c>
      <c r="H8752" t="s">
        <v>32849</v>
      </c>
      <c r="I8752" t="s">
        <v>4177</v>
      </c>
      <c r="J8752" t="s">
        <v>33257</v>
      </c>
      <c r="K8752" t="s">
        <v>42757</v>
      </c>
      <c r="M8752" t="s">
        <v>46101</v>
      </c>
      <c r="N8752" t="s">
        <v>47424</v>
      </c>
      <c r="O8752" t="s">
        <v>47425</v>
      </c>
      <c r="P8752">
        <v>0</v>
      </c>
      <c r="Q8752">
        <v>80</v>
      </c>
      <c r="R8752" t="s">
        <v>47432</v>
      </c>
      <c r="S8752" t="s">
        <v>47597</v>
      </c>
      <c r="T8752" t="s">
        <v>49236</v>
      </c>
      <c r="U8752" t="s">
        <v>56858</v>
      </c>
      <c r="V8752" t="s">
        <v>63599</v>
      </c>
      <c r="W8752" t="s">
        <v>46142</v>
      </c>
      <c r="X8752" t="s">
        <v>47433</v>
      </c>
    </row>
    <row r="8753" spans="1:24">
      <c r="A8753">
        <f>HYPERLINK("https://www.philgeps.gov.ph/GEPSNONPILOT/Tender/SplashBidNoticeAbstractUI.aspx?menuIndex=3&amp;refID=7152955&amp;Result=3","7152955")</f>
        <v>0</v>
      </c>
      <c r="B8753" t="s">
        <v>1649</v>
      </c>
      <c r="C8753" t="s">
        <v>12131</v>
      </c>
      <c r="D8753" t="s">
        <v>19018</v>
      </c>
      <c r="E8753" t="s">
        <v>26701</v>
      </c>
      <c r="F8753" t="s">
        <v>32831</v>
      </c>
      <c r="G8753" t="s">
        <v>32838</v>
      </c>
      <c r="H8753" t="s">
        <v>32848</v>
      </c>
      <c r="I8753" t="s">
        <v>32864</v>
      </c>
      <c r="J8753" t="s">
        <v>38421</v>
      </c>
      <c r="K8753" t="s">
        <v>42732</v>
      </c>
      <c r="M8753" t="s">
        <v>46118</v>
      </c>
      <c r="N8753" t="s">
        <v>47424</v>
      </c>
      <c r="O8753" t="s">
        <v>47425</v>
      </c>
      <c r="P8753">
        <v>0</v>
      </c>
      <c r="Q8753">
        <v>10</v>
      </c>
      <c r="R8753" t="s">
        <v>47432</v>
      </c>
      <c r="S8753" t="s">
        <v>47597</v>
      </c>
      <c r="T8753" t="s">
        <v>49212</v>
      </c>
      <c r="U8753" t="s">
        <v>56905</v>
      </c>
      <c r="W8753" t="s">
        <v>46118</v>
      </c>
      <c r="X8753" t="s">
        <v>47433</v>
      </c>
    </row>
    <row r="8754" spans="1:24">
      <c r="A8754">
        <f>HYPERLINK("https://www.philgeps.gov.ph/GEPSNONPILOT/Tender/SplashBidNoticeAbstractUI.aspx?menuIndex=3&amp;refID=7154431&amp;Result=3","7154431")</f>
        <v>0</v>
      </c>
      <c r="B8754" t="s">
        <v>2881</v>
      </c>
      <c r="C8754" t="s">
        <v>12132</v>
      </c>
      <c r="D8754" t="s">
        <v>19034</v>
      </c>
      <c r="E8754" t="s">
        <v>26702</v>
      </c>
      <c r="F8754" t="s">
        <v>32831</v>
      </c>
      <c r="G8754" t="s">
        <v>32839</v>
      </c>
      <c r="H8754" t="s">
        <v>32848</v>
      </c>
      <c r="I8754" t="s">
        <v>32925</v>
      </c>
      <c r="J8754" t="s">
        <v>33012</v>
      </c>
      <c r="K8754" t="s">
        <v>42730</v>
      </c>
      <c r="M8754" t="s">
        <v>46119</v>
      </c>
      <c r="N8754" t="s">
        <v>47424</v>
      </c>
      <c r="O8754" t="s">
        <v>47425</v>
      </c>
      <c r="P8754">
        <v>0</v>
      </c>
      <c r="Q8754">
        <v>6</v>
      </c>
      <c r="R8754" t="s">
        <v>47432</v>
      </c>
      <c r="S8754" t="s">
        <v>47597</v>
      </c>
      <c r="T8754" t="s">
        <v>49129</v>
      </c>
      <c r="U8754" t="s">
        <v>56906</v>
      </c>
      <c r="V8754" t="s">
        <v>63600</v>
      </c>
      <c r="W8754" t="s">
        <v>46119</v>
      </c>
      <c r="X8754" t="s">
        <v>47433</v>
      </c>
    </row>
    <row r="8755" spans="1:24">
      <c r="A8755">
        <f>HYPERLINK("https://www.philgeps.gov.ph/GEPSNONPILOT/Tender/SplashBidNoticeAbstractUI.aspx?menuIndex=3&amp;refID=7154426&amp;Result=3","7154426")</f>
        <v>0</v>
      </c>
      <c r="B8755" t="s">
        <v>2854</v>
      </c>
      <c r="C8755" t="s">
        <v>12133</v>
      </c>
      <c r="D8755" t="s">
        <v>19022</v>
      </c>
      <c r="E8755" t="s">
        <v>23302</v>
      </c>
      <c r="F8755" t="s">
        <v>32831</v>
      </c>
      <c r="G8755" t="s">
        <v>32839</v>
      </c>
      <c r="H8755" t="s">
        <v>32848</v>
      </c>
      <c r="I8755" t="s">
        <v>32862</v>
      </c>
      <c r="J8755" t="s">
        <v>33044</v>
      </c>
      <c r="K8755" t="s">
        <v>42745</v>
      </c>
      <c r="M8755" t="s">
        <v>46087</v>
      </c>
      <c r="N8755" t="s">
        <v>47424</v>
      </c>
      <c r="O8755" t="s">
        <v>47425</v>
      </c>
      <c r="P8755">
        <v>0</v>
      </c>
      <c r="Q8755">
        <v>0</v>
      </c>
      <c r="R8755" t="s">
        <v>47432</v>
      </c>
      <c r="S8755" t="s">
        <v>47597</v>
      </c>
      <c r="T8755" t="s">
        <v>49490</v>
      </c>
      <c r="U8755" t="s">
        <v>56907</v>
      </c>
      <c r="V8755" t="s">
        <v>63584</v>
      </c>
      <c r="W8755" t="s">
        <v>46087</v>
      </c>
      <c r="X8755" t="s">
        <v>47433</v>
      </c>
    </row>
    <row r="8756" spans="1:24">
      <c r="A8756">
        <f>HYPERLINK("https://www.philgeps.gov.ph/GEPSNONPILOT/Tender/SplashBidNoticeAbstractUI.aspx?menuIndex=3&amp;refID=7154425&amp;Result=3","7154425")</f>
        <v>0</v>
      </c>
      <c r="B8756" t="s">
        <v>1963</v>
      </c>
      <c r="C8756" t="s">
        <v>12134</v>
      </c>
      <c r="D8756" t="s">
        <v>19037</v>
      </c>
      <c r="E8756" t="s">
        <v>26703</v>
      </c>
      <c r="F8756" t="s">
        <v>32831</v>
      </c>
      <c r="G8756" t="s">
        <v>32840</v>
      </c>
      <c r="H8756" t="s">
        <v>32848</v>
      </c>
      <c r="I8756" t="s">
        <v>9577</v>
      </c>
      <c r="J8756" t="s">
        <v>38422</v>
      </c>
      <c r="K8756" t="s">
        <v>42732</v>
      </c>
      <c r="M8756" t="s">
        <v>45123</v>
      </c>
      <c r="N8756" t="s">
        <v>47424</v>
      </c>
      <c r="O8756" t="s">
        <v>47425</v>
      </c>
      <c r="P8756">
        <v>0</v>
      </c>
      <c r="Q8756">
        <v>1</v>
      </c>
      <c r="R8756" t="s">
        <v>47432</v>
      </c>
      <c r="S8756" t="s">
        <v>47597</v>
      </c>
      <c r="T8756" t="s">
        <v>49150</v>
      </c>
      <c r="U8756" t="s">
        <v>56908</v>
      </c>
      <c r="V8756" t="s">
        <v>63201</v>
      </c>
      <c r="W8756" t="s">
        <v>45123</v>
      </c>
      <c r="X8756" t="s">
        <v>47433</v>
      </c>
    </row>
    <row r="8757" spans="1:24">
      <c r="A8757">
        <f>HYPERLINK("https://www.philgeps.gov.ph/GEPSNONPILOT/Tender/SplashBidNoticeAbstractUI.aspx?menuIndex=3&amp;refID=7152725&amp;Result=3","7152725")</f>
        <v>0</v>
      </c>
      <c r="B8757" t="s">
        <v>2455</v>
      </c>
      <c r="C8757" t="s">
        <v>12135</v>
      </c>
      <c r="D8757" t="s">
        <v>19080</v>
      </c>
      <c r="E8757" t="s">
        <v>12135</v>
      </c>
      <c r="F8757" t="s">
        <v>32831</v>
      </c>
      <c r="G8757" t="s">
        <v>32840</v>
      </c>
      <c r="H8757" t="s">
        <v>32848</v>
      </c>
      <c r="I8757" t="s">
        <v>32851</v>
      </c>
      <c r="J8757" t="s">
        <v>38423</v>
      </c>
      <c r="K8757" t="s">
        <v>42727</v>
      </c>
      <c r="M8757" t="s">
        <v>45653</v>
      </c>
      <c r="N8757" t="s">
        <v>47424</v>
      </c>
      <c r="O8757" t="s">
        <v>47425</v>
      </c>
      <c r="P8757">
        <v>0</v>
      </c>
      <c r="Q8757">
        <v>0</v>
      </c>
      <c r="R8757" t="s">
        <v>47432</v>
      </c>
      <c r="S8757" t="s">
        <v>47597</v>
      </c>
      <c r="T8757" t="s">
        <v>49162</v>
      </c>
      <c r="U8757" t="s">
        <v>56909</v>
      </c>
      <c r="W8757" t="s">
        <v>45653</v>
      </c>
      <c r="X8757" t="s">
        <v>47433</v>
      </c>
    </row>
    <row r="8758" spans="1:24">
      <c r="A8758">
        <f>HYPERLINK("https://www.philgeps.gov.ph/GEPSNONPILOT/Tender/SplashBidNoticeAbstractUI.aspx?menuIndex=3&amp;refID=7154424&amp;Result=3","7154424")</f>
        <v>0</v>
      </c>
      <c r="B8758" t="s">
        <v>966</v>
      </c>
      <c r="C8758" t="s">
        <v>12136</v>
      </c>
      <c r="D8758" t="s">
        <v>19033</v>
      </c>
      <c r="E8758" t="s">
        <v>26704</v>
      </c>
      <c r="F8758" t="s">
        <v>32831</v>
      </c>
      <c r="G8758" t="s">
        <v>32839</v>
      </c>
      <c r="H8758" t="s">
        <v>32848</v>
      </c>
      <c r="I8758" t="s">
        <v>32882</v>
      </c>
      <c r="J8758" t="s">
        <v>32978</v>
      </c>
      <c r="K8758" t="s">
        <v>42730</v>
      </c>
      <c r="M8758" t="s">
        <v>44012</v>
      </c>
      <c r="N8758" t="s">
        <v>47424</v>
      </c>
      <c r="O8758" t="s">
        <v>47425</v>
      </c>
      <c r="P8758">
        <v>0</v>
      </c>
      <c r="Q8758">
        <v>5</v>
      </c>
      <c r="R8758" t="s">
        <v>47432</v>
      </c>
      <c r="S8758" t="s">
        <v>47597</v>
      </c>
      <c r="T8758" t="s">
        <v>49160</v>
      </c>
      <c r="U8758" t="s">
        <v>56910</v>
      </c>
      <c r="W8758" t="s">
        <v>44012</v>
      </c>
      <c r="X8758" t="s">
        <v>47433</v>
      </c>
    </row>
    <row r="8759" spans="1:24">
      <c r="A8759">
        <f>HYPERLINK("https://www.philgeps.gov.ph/GEPSNONPILOT/Tender/SplashBidNoticeAbstractUI.aspx?menuIndex=3&amp;refID=7154423&amp;Result=3","7154423")</f>
        <v>0</v>
      </c>
      <c r="B8759" t="s">
        <v>2486</v>
      </c>
      <c r="C8759" t="s">
        <v>12137</v>
      </c>
      <c r="D8759" t="s">
        <v>19017</v>
      </c>
      <c r="E8759" t="s">
        <v>26705</v>
      </c>
      <c r="F8759" t="s">
        <v>32831</v>
      </c>
      <c r="G8759" t="s">
        <v>32839</v>
      </c>
      <c r="H8759" t="s">
        <v>32848</v>
      </c>
      <c r="I8759" t="s">
        <v>10805</v>
      </c>
      <c r="J8759" t="s">
        <v>38424</v>
      </c>
      <c r="K8759" t="s">
        <v>42747</v>
      </c>
      <c r="M8759" t="s">
        <v>45689</v>
      </c>
      <c r="N8759" t="s">
        <v>47424</v>
      </c>
      <c r="O8759" t="s">
        <v>47425</v>
      </c>
      <c r="P8759">
        <v>0</v>
      </c>
      <c r="Q8759">
        <v>12</v>
      </c>
      <c r="R8759" t="s">
        <v>47432</v>
      </c>
      <c r="S8759" t="s">
        <v>47597</v>
      </c>
      <c r="T8759" t="s">
        <v>49470</v>
      </c>
      <c r="U8759" t="s">
        <v>56911</v>
      </c>
      <c r="W8759" t="s">
        <v>45689</v>
      </c>
      <c r="X8759" t="s">
        <v>47433</v>
      </c>
    </row>
    <row r="8760" spans="1:24">
      <c r="A8760">
        <f>HYPERLINK("https://www.philgeps.gov.ph/GEPSNONPILOT/Tender/SplashBidNoticeAbstractUI.aspx?menuIndex=3&amp;refID=7152724&amp;Result=3","7152724")</f>
        <v>0</v>
      </c>
      <c r="B8760" t="s">
        <v>345</v>
      </c>
      <c r="C8760" t="s">
        <v>12138</v>
      </c>
      <c r="D8760" t="s">
        <v>19074</v>
      </c>
      <c r="E8760" t="s">
        <v>26706</v>
      </c>
      <c r="F8760" t="s">
        <v>32831</v>
      </c>
      <c r="G8760" t="s">
        <v>32838</v>
      </c>
      <c r="H8760" t="s">
        <v>32850</v>
      </c>
      <c r="I8760" t="s">
        <v>32857</v>
      </c>
      <c r="J8760" t="s">
        <v>33416</v>
      </c>
      <c r="K8760" t="s">
        <v>42731</v>
      </c>
      <c r="M8760" t="s">
        <v>44082</v>
      </c>
      <c r="N8760" t="s">
        <v>47424</v>
      </c>
      <c r="O8760" t="s">
        <v>47425</v>
      </c>
      <c r="P8760">
        <v>0</v>
      </c>
      <c r="Q8760">
        <v>2</v>
      </c>
      <c r="R8760" t="s">
        <v>47432</v>
      </c>
      <c r="S8760" t="s">
        <v>47597</v>
      </c>
      <c r="T8760" t="s">
        <v>49107</v>
      </c>
      <c r="U8760" t="s">
        <v>56912</v>
      </c>
      <c r="W8760" t="s">
        <v>44082</v>
      </c>
      <c r="X8760" t="s">
        <v>47433</v>
      </c>
    </row>
    <row r="8761" spans="1:24">
      <c r="A8761">
        <f>HYPERLINK("https://www.philgeps.gov.ph/GEPSNONPILOT/Tender/SplashBidNoticeAbstractUI.aspx?menuIndex=3&amp;refID=7154489&amp;Result=3","7154489")</f>
        <v>0</v>
      </c>
      <c r="B8761" t="s">
        <v>768</v>
      </c>
      <c r="C8761" t="s">
        <v>12139</v>
      </c>
      <c r="D8761" t="s">
        <v>19091</v>
      </c>
      <c r="E8761" t="s">
        <v>26707</v>
      </c>
      <c r="F8761" t="s">
        <v>32831</v>
      </c>
      <c r="G8761" t="s">
        <v>32839</v>
      </c>
      <c r="H8761" t="s">
        <v>32848</v>
      </c>
      <c r="I8761" t="s">
        <v>4438</v>
      </c>
      <c r="J8761" t="s">
        <v>33118</v>
      </c>
      <c r="K8761" t="s">
        <v>42730</v>
      </c>
      <c r="M8761" t="s">
        <v>43797</v>
      </c>
      <c r="N8761" t="s">
        <v>47424</v>
      </c>
      <c r="O8761" t="s">
        <v>47425</v>
      </c>
      <c r="P8761">
        <v>0</v>
      </c>
      <c r="Q8761">
        <v>1</v>
      </c>
      <c r="R8761" t="s">
        <v>47432</v>
      </c>
      <c r="S8761" t="s">
        <v>47597</v>
      </c>
      <c r="T8761" t="s">
        <v>49267</v>
      </c>
      <c r="U8761" t="s">
        <v>56913</v>
      </c>
      <c r="W8761" t="s">
        <v>43797</v>
      </c>
      <c r="X8761" t="s">
        <v>47433</v>
      </c>
    </row>
    <row r="8762" spans="1:24">
      <c r="A8762">
        <f>HYPERLINK("https://www.philgeps.gov.ph/GEPSNONPILOT/Tender/SplashBidNoticeAbstractUI.aspx?menuIndex=3&amp;refID=7154430&amp;Result=3","7154430")</f>
        <v>0</v>
      </c>
      <c r="B8762" t="s">
        <v>1473</v>
      </c>
      <c r="C8762" t="s">
        <v>12140</v>
      </c>
      <c r="D8762" t="s">
        <v>19067</v>
      </c>
      <c r="E8762" t="s">
        <v>26529</v>
      </c>
      <c r="F8762" t="s">
        <v>32831</v>
      </c>
      <c r="G8762" t="s">
        <v>32838</v>
      </c>
      <c r="H8762" t="s">
        <v>32848</v>
      </c>
      <c r="I8762" t="s">
        <v>6526</v>
      </c>
      <c r="J8762" t="s">
        <v>34129</v>
      </c>
      <c r="K8762" t="s">
        <v>42726</v>
      </c>
      <c r="M8762" t="s">
        <v>44566</v>
      </c>
      <c r="N8762" t="s">
        <v>47424</v>
      </c>
      <c r="O8762" t="s">
        <v>47425</v>
      </c>
      <c r="P8762">
        <v>0</v>
      </c>
      <c r="Q8762">
        <v>2</v>
      </c>
      <c r="R8762" t="s">
        <v>47432</v>
      </c>
      <c r="S8762" t="s">
        <v>47597</v>
      </c>
      <c r="T8762" t="s">
        <v>49237</v>
      </c>
      <c r="U8762" t="s">
        <v>56914</v>
      </c>
      <c r="W8762" t="s">
        <v>44566</v>
      </c>
      <c r="X8762" t="s">
        <v>47433</v>
      </c>
    </row>
    <row r="8763" spans="1:24">
      <c r="A8763">
        <f>HYPERLINK("https://www.philgeps.gov.ph/GEPSNONPILOT/Tender/SplashBidNoticeAbstractUI.aspx?menuIndex=3&amp;refID=7154487&amp;Result=3","7154487")</f>
        <v>0</v>
      </c>
      <c r="B8763" t="s">
        <v>1641</v>
      </c>
      <c r="C8763" t="s">
        <v>12141</v>
      </c>
      <c r="D8763" t="s">
        <v>19042</v>
      </c>
      <c r="E8763" t="s">
        <v>26708</v>
      </c>
      <c r="F8763" t="s">
        <v>32831</v>
      </c>
      <c r="G8763" t="s">
        <v>32839</v>
      </c>
      <c r="H8763" t="s">
        <v>32848</v>
      </c>
      <c r="I8763" t="s">
        <v>4487</v>
      </c>
      <c r="J8763" t="s">
        <v>38425</v>
      </c>
      <c r="K8763" t="s">
        <v>42747</v>
      </c>
      <c r="L8763" t="s">
        <v>1641</v>
      </c>
      <c r="M8763" t="s">
        <v>44758</v>
      </c>
      <c r="N8763" t="s">
        <v>47424</v>
      </c>
      <c r="O8763" t="s">
        <v>47425</v>
      </c>
      <c r="P8763">
        <v>0</v>
      </c>
      <c r="Q8763">
        <v>2</v>
      </c>
      <c r="R8763" t="s">
        <v>47432</v>
      </c>
      <c r="S8763" t="s">
        <v>47597</v>
      </c>
      <c r="T8763" t="s">
        <v>49283</v>
      </c>
      <c r="U8763" t="s">
        <v>56915</v>
      </c>
      <c r="V8763" t="s">
        <v>63581</v>
      </c>
      <c r="W8763" t="s">
        <v>44758</v>
      </c>
      <c r="X8763" t="s">
        <v>47433</v>
      </c>
    </row>
    <row r="8764" spans="1:24">
      <c r="A8764">
        <f>HYPERLINK("https://www.philgeps.gov.ph/GEPSNONPILOT/Tender/SplashBidNoticeAbstractUI.aspx?menuIndex=3&amp;refID=7154485&amp;Result=3","7154485")</f>
        <v>0</v>
      </c>
      <c r="B8764" t="s">
        <v>2315</v>
      </c>
      <c r="C8764" t="s">
        <v>12142</v>
      </c>
      <c r="D8764" t="s">
        <v>19031</v>
      </c>
      <c r="E8764" t="s">
        <v>26709</v>
      </c>
      <c r="F8764" t="s">
        <v>32831</v>
      </c>
      <c r="G8764" t="s">
        <v>32839</v>
      </c>
      <c r="H8764" t="s">
        <v>32848</v>
      </c>
      <c r="I8764" t="s">
        <v>7416</v>
      </c>
      <c r="J8764" t="s">
        <v>38426</v>
      </c>
      <c r="K8764" t="s">
        <v>42730</v>
      </c>
      <c r="M8764" t="s">
        <v>45500</v>
      </c>
      <c r="N8764" t="s">
        <v>47424</v>
      </c>
      <c r="O8764" t="s">
        <v>47425</v>
      </c>
      <c r="P8764">
        <v>0</v>
      </c>
      <c r="Q8764">
        <v>0</v>
      </c>
      <c r="R8764" t="s">
        <v>47432</v>
      </c>
      <c r="S8764" t="s">
        <v>47597</v>
      </c>
      <c r="T8764" t="s">
        <v>49236</v>
      </c>
      <c r="U8764" t="s">
        <v>56916</v>
      </c>
      <c r="W8764" t="s">
        <v>45500</v>
      </c>
      <c r="X8764" t="s">
        <v>47433</v>
      </c>
    </row>
    <row r="8765" spans="1:24">
      <c r="A8765">
        <f>HYPERLINK("https://www.philgeps.gov.ph/GEPSNONPILOT/Tender/SplashBidNoticeAbstractUI.aspx?menuIndex=3&amp;refID=7154482&amp;Result=3","7154482")</f>
        <v>0</v>
      </c>
      <c r="B8765" t="s">
        <v>2739</v>
      </c>
      <c r="C8765" t="s">
        <v>12143</v>
      </c>
      <c r="D8765" t="s">
        <v>19018</v>
      </c>
      <c r="E8765" t="s">
        <v>26710</v>
      </c>
      <c r="F8765" t="s">
        <v>32831</v>
      </c>
      <c r="G8765" t="s">
        <v>32839</v>
      </c>
      <c r="H8765" t="s">
        <v>32848</v>
      </c>
      <c r="I8765" t="s">
        <v>7751</v>
      </c>
      <c r="J8765" t="s">
        <v>38427</v>
      </c>
      <c r="K8765" t="s">
        <v>42758</v>
      </c>
      <c r="M8765" t="s">
        <v>46120</v>
      </c>
      <c r="N8765" t="s">
        <v>47424</v>
      </c>
      <c r="O8765" t="s">
        <v>47425</v>
      </c>
      <c r="P8765">
        <v>0</v>
      </c>
      <c r="Q8765">
        <v>0</v>
      </c>
      <c r="R8765" t="s">
        <v>47432</v>
      </c>
      <c r="S8765" t="s">
        <v>47597</v>
      </c>
      <c r="T8765" t="s">
        <v>49173</v>
      </c>
      <c r="U8765" t="s">
        <v>56917</v>
      </c>
      <c r="W8765" t="s">
        <v>46120</v>
      </c>
      <c r="X8765" t="s">
        <v>47433</v>
      </c>
    </row>
    <row r="8766" spans="1:24">
      <c r="A8766">
        <f>HYPERLINK("https://www.philgeps.gov.ph/GEPSNONPILOT/Tender/SplashBidNoticeAbstractUI.aspx?menuIndex=3&amp;refID=7154434&amp;Result=3","7154434")</f>
        <v>0</v>
      </c>
      <c r="B8766" t="s">
        <v>2877</v>
      </c>
      <c r="C8766" t="s">
        <v>12144</v>
      </c>
      <c r="E8766" t="s">
        <v>26711</v>
      </c>
      <c r="F8766" t="s">
        <v>32831</v>
      </c>
      <c r="G8766" t="s">
        <v>32838</v>
      </c>
      <c r="H8766" t="s">
        <v>32848</v>
      </c>
      <c r="I8766" t="s">
        <v>32860</v>
      </c>
      <c r="J8766" t="s">
        <v>38428</v>
      </c>
      <c r="K8766" t="s">
        <v>42732</v>
      </c>
      <c r="M8766" t="s">
        <v>46113</v>
      </c>
      <c r="N8766" t="s">
        <v>47424</v>
      </c>
      <c r="O8766" t="s">
        <v>47425</v>
      </c>
      <c r="P8766">
        <v>0</v>
      </c>
      <c r="Q8766">
        <v>8</v>
      </c>
      <c r="R8766" t="s">
        <v>47432</v>
      </c>
      <c r="S8766" t="s">
        <v>47597</v>
      </c>
      <c r="T8766" t="s">
        <v>49163</v>
      </c>
      <c r="U8766" t="s">
        <v>56918</v>
      </c>
      <c r="W8766" t="s">
        <v>46113</v>
      </c>
      <c r="X8766" t="s">
        <v>47433</v>
      </c>
    </row>
    <row r="8767" spans="1:24">
      <c r="A8767">
        <f>HYPERLINK("https://www.philgeps.gov.ph/GEPSNONPILOT/Tender/SplashBidNoticeAbstractUI.aspx?menuIndex=3&amp;refID=7154480&amp;Result=3","7154480")</f>
        <v>0</v>
      </c>
      <c r="B8767" t="s">
        <v>2851</v>
      </c>
      <c r="C8767" t="s">
        <v>12145</v>
      </c>
      <c r="D8767" t="s">
        <v>19046</v>
      </c>
      <c r="E8767" t="s">
        <v>26712</v>
      </c>
      <c r="F8767" t="s">
        <v>32831</v>
      </c>
      <c r="G8767" t="s">
        <v>32838</v>
      </c>
      <c r="H8767" t="s">
        <v>32848</v>
      </c>
      <c r="I8767" t="s">
        <v>9281</v>
      </c>
      <c r="J8767" t="s">
        <v>38429</v>
      </c>
      <c r="K8767" t="s">
        <v>42729</v>
      </c>
      <c r="M8767" t="s">
        <v>46084</v>
      </c>
      <c r="N8767" t="s">
        <v>47424</v>
      </c>
      <c r="O8767" t="s">
        <v>47425</v>
      </c>
      <c r="P8767">
        <v>0</v>
      </c>
      <c r="Q8767">
        <v>5</v>
      </c>
      <c r="R8767" t="s">
        <v>47432</v>
      </c>
      <c r="S8767" t="s">
        <v>47597</v>
      </c>
      <c r="T8767" t="s">
        <v>49080</v>
      </c>
      <c r="U8767" t="s">
        <v>56919</v>
      </c>
      <c r="W8767" t="s">
        <v>46084</v>
      </c>
      <c r="X8767" t="s">
        <v>47433</v>
      </c>
    </row>
    <row r="8768" spans="1:24">
      <c r="A8768">
        <f>HYPERLINK("https://www.philgeps.gov.ph/GEPSNONPILOT/Tender/SplashBidNoticeAbstractUI.aspx?menuIndex=3&amp;refID=7154478&amp;Result=3","7154478")</f>
        <v>0</v>
      </c>
      <c r="B8768" t="s">
        <v>2511</v>
      </c>
      <c r="C8768" t="s">
        <v>12146</v>
      </c>
      <c r="D8768" t="s">
        <v>19068</v>
      </c>
      <c r="E8768" t="s">
        <v>26713</v>
      </c>
      <c r="F8768" t="s">
        <v>32831</v>
      </c>
      <c r="G8768" t="s">
        <v>32838</v>
      </c>
      <c r="H8768" t="s">
        <v>32848</v>
      </c>
      <c r="I8768" t="s">
        <v>7416</v>
      </c>
      <c r="J8768" t="s">
        <v>38430</v>
      </c>
      <c r="K8768" t="s">
        <v>42727</v>
      </c>
      <c r="M8768" t="s">
        <v>45718</v>
      </c>
      <c r="N8768" t="s">
        <v>47424</v>
      </c>
      <c r="O8768" t="s">
        <v>47425</v>
      </c>
      <c r="P8768">
        <v>0</v>
      </c>
      <c r="Q8768">
        <v>0</v>
      </c>
      <c r="R8768" t="s">
        <v>47432</v>
      </c>
      <c r="S8768" t="s">
        <v>47597</v>
      </c>
      <c r="T8768" t="s">
        <v>49162</v>
      </c>
      <c r="U8768" t="s">
        <v>56920</v>
      </c>
      <c r="W8768" t="s">
        <v>45718</v>
      </c>
      <c r="X8768" t="s">
        <v>47433</v>
      </c>
    </row>
    <row r="8769" spans="1:24">
      <c r="A8769">
        <f>HYPERLINK("https://www.philgeps.gov.ph/GEPSNONPILOT/Tender/SplashBidNoticeAbstractUI.aspx?menuIndex=3&amp;refID=7154477&amp;Result=3","7154477")</f>
        <v>0</v>
      </c>
      <c r="B8769" t="s">
        <v>2882</v>
      </c>
      <c r="C8769" t="s">
        <v>12147</v>
      </c>
      <c r="D8769" t="s">
        <v>19022</v>
      </c>
      <c r="E8769" t="s">
        <v>26714</v>
      </c>
      <c r="F8769" t="s">
        <v>32833</v>
      </c>
      <c r="G8769" t="s">
        <v>32838</v>
      </c>
      <c r="H8769" t="s">
        <v>32850</v>
      </c>
      <c r="I8769" t="s">
        <v>32863</v>
      </c>
      <c r="J8769" t="s">
        <v>38431</v>
      </c>
      <c r="K8769" t="s">
        <v>42727</v>
      </c>
      <c r="M8769" t="s">
        <v>46121</v>
      </c>
      <c r="N8769" t="s">
        <v>47424</v>
      </c>
      <c r="O8769" t="s">
        <v>47425</v>
      </c>
      <c r="P8769">
        <v>0</v>
      </c>
      <c r="Q8769">
        <v>3</v>
      </c>
      <c r="R8769" t="s">
        <v>47432</v>
      </c>
      <c r="S8769" t="s">
        <v>47597</v>
      </c>
      <c r="T8769" t="s">
        <v>49079</v>
      </c>
      <c r="U8769" t="s">
        <v>56921</v>
      </c>
      <c r="W8769" t="s">
        <v>46121</v>
      </c>
      <c r="X8769" t="s">
        <v>47433</v>
      </c>
    </row>
    <row r="8770" spans="1:24">
      <c r="A8770">
        <f>HYPERLINK("https://www.philgeps.gov.ph/GEPSNONPILOT/Tender/SplashBidNoticeAbstractUI.aspx?menuIndex=3&amp;refID=7154474&amp;Result=3","7154474")</f>
        <v>0</v>
      </c>
      <c r="B8770" t="s">
        <v>2653</v>
      </c>
      <c r="C8770" t="s">
        <v>12148</v>
      </c>
      <c r="D8770" t="s">
        <v>19020</v>
      </c>
      <c r="E8770" t="s">
        <v>26715</v>
      </c>
      <c r="F8770" t="s">
        <v>32831</v>
      </c>
      <c r="G8770" t="s">
        <v>32839</v>
      </c>
      <c r="H8770" t="s">
        <v>32848</v>
      </c>
      <c r="I8770" t="s">
        <v>4487</v>
      </c>
      <c r="J8770" t="s">
        <v>38432</v>
      </c>
      <c r="K8770" t="s">
        <v>42727</v>
      </c>
      <c r="M8770" t="s">
        <v>45876</v>
      </c>
      <c r="N8770" t="s">
        <v>47424</v>
      </c>
      <c r="O8770" t="s">
        <v>47425</v>
      </c>
      <c r="P8770">
        <v>0</v>
      </c>
      <c r="Q8770">
        <v>8</v>
      </c>
      <c r="R8770" t="s">
        <v>47432</v>
      </c>
      <c r="S8770" t="s">
        <v>47597</v>
      </c>
      <c r="T8770" t="s">
        <v>49367</v>
      </c>
      <c r="U8770" t="s">
        <v>56922</v>
      </c>
      <c r="W8770" t="s">
        <v>45876</v>
      </c>
      <c r="X8770" t="s">
        <v>47433</v>
      </c>
    </row>
    <row r="8771" spans="1:24">
      <c r="A8771">
        <f>HYPERLINK("https://www.philgeps.gov.ph/GEPSNONPILOT/Tender/SplashBidNoticeAbstractUI.aspx?menuIndex=3&amp;refID=7154473&amp;Result=3","7154473")</f>
        <v>0</v>
      </c>
      <c r="B8771" t="s">
        <v>2883</v>
      </c>
      <c r="C8771" t="s">
        <v>12149</v>
      </c>
      <c r="D8771" t="s">
        <v>19045</v>
      </c>
      <c r="E8771" t="s">
        <v>26716</v>
      </c>
      <c r="F8771" t="s">
        <v>32831</v>
      </c>
      <c r="G8771" t="s">
        <v>32839</v>
      </c>
      <c r="H8771" t="s">
        <v>32849</v>
      </c>
      <c r="I8771" t="s">
        <v>4177</v>
      </c>
      <c r="J8771" t="s">
        <v>32980</v>
      </c>
      <c r="K8771" t="s">
        <v>42881</v>
      </c>
      <c r="M8771" t="s">
        <v>46122</v>
      </c>
      <c r="N8771" t="s">
        <v>47424</v>
      </c>
      <c r="O8771" t="s">
        <v>47425</v>
      </c>
      <c r="P8771">
        <v>0</v>
      </c>
      <c r="Q8771">
        <v>0</v>
      </c>
      <c r="R8771" t="s">
        <v>47432</v>
      </c>
      <c r="S8771" t="s">
        <v>47597</v>
      </c>
      <c r="T8771" t="s">
        <v>49393</v>
      </c>
      <c r="U8771" t="s">
        <v>56923</v>
      </c>
      <c r="V8771" t="s">
        <v>63601</v>
      </c>
      <c r="W8771" t="s">
        <v>46122</v>
      </c>
      <c r="X8771" t="s">
        <v>47433</v>
      </c>
    </row>
    <row r="8772" spans="1:24">
      <c r="A8772">
        <f>HYPERLINK("https://www.philgeps.gov.ph/GEPSNONPILOT/Tender/SplashBidNoticeAbstractUI.aspx?menuIndex=3&amp;refID=7154471&amp;Result=3","7154471")</f>
        <v>0</v>
      </c>
      <c r="B8772" t="s">
        <v>2848</v>
      </c>
      <c r="C8772" t="s">
        <v>12150</v>
      </c>
      <c r="D8772" t="s">
        <v>19044</v>
      </c>
      <c r="E8772" t="s">
        <v>12150</v>
      </c>
      <c r="F8772" t="s">
        <v>32831</v>
      </c>
      <c r="G8772" t="s">
        <v>32839</v>
      </c>
      <c r="H8772" t="s">
        <v>32848</v>
      </c>
      <c r="I8772" t="s">
        <v>32861</v>
      </c>
      <c r="J8772" t="s">
        <v>38433</v>
      </c>
      <c r="K8772" t="s">
        <v>42732</v>
      </c>
      <c r="M8772" t="s">
        <v>46081</v>
      </c>
      <c r="N8772" t="s">
        <v>47424</v>
      </c>
      <c r="O8772" t="s">
        <v>47425</v>
      </c>
      <c r="Q8772">
        <v>6</v>
      </c>
      <c r="R8772" t="s">
        <v>47432</v>
      </c>
      <c r="S8772" t="s">
        <v>47619</v>
      </c>
      <c r="T8772" t="s">
        <v>49221</v>
      </c>
      <c r="U8772" t="s">
        <v>56778</v>
      </c>
      <c r="V8772" t="s">
        <v>63582</v>
      </c>
      <c r="W8772" t="s">
        <v>46081</v>
      </c>
      <c r="X8772" t="s">
        <v>47433</v>
      </c>
    </row>
    <row r="8773" spans="1:24">
      <c r="A8773">
        <f>HYPERLINK("https://www.philgeps.gov.ph/GEPSNONPILOT/Tender/SplashBidNoticeAbstractUI.aspx?menuIndex=3&amp;refID=7154421&amp;Result=3","7154421")</f>
        <v>0</v>
      </c>
      <c r="B8773" t="s">
        <v>2739</v>
      </c>
      <c r="C8773" t="s">
        <v>12151</v>
      </c>
      <c r="D8773" t="s">
        <v>19018</v>
      </c>
      <c r="E8773" t="s">
        <v>26717</v>
      </c>
      <c r="F8773" t="s">
        <v>32831</v>
      </c>
      <c r="G8773" t="s">
        <v>32839</v>
      </c>
      <c r="H8773" t="s">
        <v>32848</v>
      </c>
      <c r="I8773" t="s">
        <v>7416</v>
      </c>
      <c r="J8773" t="s">
        <v>32985</v>
      </c>
      <c r="K8773" t="s">
        <v>42758</v>
      </c>
      <c r="M8773" t="s">
        <v>46120</v>
      </c>
      <c r="N8773" t="s">
        <v>47424</v>
      </c>
      <c r="O8773" t="s">
        <v>47425</v>
      </c>
      <c r="P8773">
        <v>0</v>
      </c>
      <c r="Q8773">
        <v>0</v>
      </c>
      <c r="R8773" t="s">
        <v>47432</v>
      </c>
      <c r="S8773" t="s">
        <v>47597</v>
      </c>
      <c r="T8773" t="s">
        <v>49173</v>
      </c>
      <c r="U8773" t="s">
        <v>56924</v>
      </c>
      <c r="W8773" t="s">
        <v>46120</v>
      </c>
      <c r="X8773" t="s">
        <v>47433</v>
      </c>
    </row>
    <row r="8774" spans="1:24">
      <c r="A8774">
        <f>HYPERLINK("https://www.philgeps.gov.ph/GEPSNONPILOT/Tender/SplashBidNoticeAbstractUI.aspx?menuIndex=3&amp;refID=7154520&amp;Result=3","7154520")</f>
        <v>0</v>
      </c>
      <c r="B8774" t="s">
        <v>2247</v>
      </c>
      <c r="C8774" t="s">
        <v>12152</v>
      </c>
      <c r="D8774" t="s">
        <v>19071</v>
      </c>
      <c r="E8774" t="s">
        <v>26718</v>
      </c>
      <c r="F8774" t="s">
        <v>32831</v>
      </c>
      <c r="G8774" t="s">
        <v>32839</v>
      </c>
      <c r="H8774" t="s">
        <v>32848</v>
      </c>
      <c r="I8774" t="s">
        <v>32859</v>
      </c>
      <c r="J8774" t="s">
        <v>38434</v>
      </c>
      <c r="K8774" t="s">
        <v>42732</v>
      </c>
      <c r="M8774" t="s">
        <v>45428</v>
      </c>
      <c r="N8774" t="s">
        <v>47424</v>
      </c>
      <c r="O8774" t="s">
        <v>47425</v>
      </c>
      <c r="P8774">
        <v>0</v>
      </c>
      <c r="Q8774">
        <v>2</v>
      </c>
      <c r="R8774" t="s">
        <v>47432</v>
      </c>
      <c r="S8774" t="s">
        <v>47597</v>
      </c>
      <c r="T8774" t="s">
        <v>49127</v>
      </c>
      <c r="U8774" t="s">
        <v>56925</v>
      </c>
      <c r="W8774" t="s">
        <v>45428</v>
      </c>
      <c r="X8774" t="s">
        <v>47433</v>
      </c>
    </row>
    <row r="8775" spans="1:24">
      <c r="A8775">
        <f>HYPERLINK("https://www.philgeps.gov.ph/GEPSNONPILOT/Tender/SplashBidNoticeAbstractUI.aspx?menuIndex=3&amp;refID=7154530&amp;Result=3","7154530")</f>
        <v>0</v>
      </c>
      <c r="B8775" t="s">
        <v>2653</v>
      </c>
      <c r="C8775" t="s">
        <v>12153</v>
      </c>
      <c r="D8775" t="s">
        <v>19020</v>
      </c>
      <c r="E8775" t="s">
        <v>26719</v>
      </c>
      <c r="F8775" t="s">
        <v>32831</v>
      </c>
      <c r="G8775" t="s">
        <v>32839</v>
      </c>
      <c r="H8775" t="s">
        <v>32848</v>
      </c>
      <c r="I8775" t="s">
        <v>4487</v>
      </c>
      <c r="J8775" t="s">
        <v>38435</v>
      </c>
      <c r="K8775" t="s">
        <v>42727</v>
      </c>
      <c r="M8775" t="s">
        <v>45876</v>
      </c>
      <c r="N8775" t="s">
        <v>47424</v>
      </c>
      <c r="O8775" t="s">
        <v>47425</v>
      </c>
      <c r="P8775">
        <v>0</v>
      </c>
      <c r="Q8775">
        <v>7</v>
      </c>
      <c r="R8775" t="s">
        <v>47432</v>
      </c>
      <c r="S8775" t="s">
        <v>47597</v>
      </c>
      <c r="T8775" t="s">
        <v>49367</v>
      </c>
      <c r="U8775" t="s">
        <v>56926</v>
      </c>
      <c r="W8775" t="s">
        <v>45876</v>
      </c>
      <c r="X8775" t="s">
        <v>47433</v>
      </c>
    </row>
    <row r="8776" spans="1:24">
      <c r="A8776">
        <f>HYPERLINK("https://www.philgeps.gov.ph/GEPSNONPILOT/Tender/SplashBidNoticeAbstractUI.aspx?menuIndex=3&amp;refID=7154468&amp;Result=3","7154468")</f>
        <v>0</v>
      </c>
      <c r="B8776" t="s">
        <v>2854</v>
      </c>
      <c r="C8776" t="s">
        <v>12154</v>
      </c>
      <c r="D8776" t="s">
        <v>19022</v>
      </c>
      <c r="E8776" t="s">
        <v>23136</v>
      </c>
      <c r="F8776" t="s">
        <v>32831</v>
      </c>
      <c r="G8776" t="s">
        <v>32839</v>
      </c>
      <c r="H8776" t="s">
        <v>32848</v>
      </c>
      <c r="I8776" t="s">
        <v>32855</v>
      </c>
      <c r="J8776" t="s">
        <v>38436</v>
      </c>
      <c r="K8776" t="s">
        <v>42745</v>
      </c>
      <c r="M8776" t="s">
        <v>46087</v>
      </c>
      <c r="N8776" t="s">
        <v>47424</v>
      </c>
      <c r="O8776" t="s">
        <v>47425</v>
      </c>
      <c r="P8776">
        <v>0</v>
      </c>
      <c r="Q8776">
        <v>5</v>
      </c>
      <c r="R8776" t="s">
        <v>47432</v>
      </c>
      <c r="S8776" t="s">
        <v>47597</v>
      </c>
      <c r="T8776" t="s">
        <v>49490</v>
      </c>
      <c r="U8776" t="s">
        <v>56927</v>
      </c>
      <c r="V8776" t="s">
        <v>63584</v>
      </c>
      <c r="W8776" t="s">
        <v>46087</v>
      </c>
      <c r="X8776" t="s">
        <v>47433</v>
      </c>
    </row>
    <row r="8777" spans="1:24">
      <c r="A8777">
        <f>HYPERLINK("https://www.philgeps.gov.ph/GEPSNONPILOT/Tender/SplashBidNoticeAbstractUI.aspx?menuIndex=3&amp;refID=7154438&amp;Result=3","7154438")</f>
        <v>0</v>
      </c>
      <c r="B8777" t="s">
        <v>2884</v>
      </c>
      <c r="C8777" t="s">
        <v>12155</v>
      </c>
      <c r="D8777" t="s">
        <v>19018</v>
      </c>
      <c r="E8777" t="s">
        <v>19937</v>
      </c>
      <c r="F8777" t="s">
        <v>32831</v>
      </c>
      <c r="G8777" t="s">
        <v>32839</v>
      </c>
      <c r="H8777" t="s">
        <v>32848</v>
      </c>
      <c r="I8777" t="s">
        <v>7416</v>
      </c>
      <c r="J8777" t="s">
        <v>38437</v>
      </c>
      <c r="K8777" t="s">
        <v>42731</v>
      </c>
      <c r="M8777" t="s">
        <v>46123</v>
      </c>
      <c r="N8777" t="s">
        <v>47424</v>
      </c>
      <c r="O8777" t="s">
        <v>47425</v>
      </c>
      <c r="P8777">
        <v>0</v>
      </c>
      <c r="Q8777">
        <v>0</v>
      </c>
      <c r="R8777" t="s">
        <v>47432</v>
      </c>
      <c r="S8777" t="s">
        <v>47597</v>
      </c>
      <c r="T8777" t="s">
        <v>49107</v>
      </c>
      <c r="U8777" t="s">
        <v>56928</v>
      </c>
      <c r="W8777" t="s">
        <v>46123</v>
      </c>
      <c r="X8777" t="s">
        <v>47433</v>
      </c>
    </row>
    <row r="8778" spans="1:24">
      <c r="A8778">
        <f>HYPERLINK("https://www.philgeps.gov.ph/GEPSNONPILOT/Tender/SplashBidNoticeAbstractUI.aspx?menuIndex=3&amp;refID=7154524&amp;Result=3","7154524")</f>
        <v>0</v>
      </c>
      <c r="B8778" t="s">
        <v>1770</v>
      </c>
      <c r="C8778" t="s">
        <v>12156</v>
      </c>
      <c r="D8778" t="s">
        <v>19058</v>
      </c>
      <c r="E8778" t="s">
        <v>26720</v>
      </c>
      <c r="F8778" t="s">
        <v>32831</v>
      </c>
      <c r="G8778" t="s">
        <v>32840</v>
      </c>
      <c r="H8778" t="s">
        <v>32848</v>
      </c>
      <c r="I8778" t="s">
        <v>10888</v>
      </c>
      <c r="J8778" t="s">
        <v>33771</v>
      </c>
      <c r="K8778" t="s">
        <v>42726</v>
      </c>
      <c r="M8778" t="s">
        <v>44895</v>
      </c>
      <c r="N8778" t="s">
        <v>47424</v>
      </c>
      <c r="O8778" t="s">
        <v>47425</v>
      </c>
      <c r="P8778">
        <v>0</v>
      </c>
      <c r="Q8778">
        <v>0</v>
      </c>
      <c r="R8778" t="s">
        <v>47432</v>
      </c>
      <c r="S8778" t="s">
        <v>47597</v>
      </c>
      <c r="T8778" t="s">
        <v>49237</v>
      </c>
      <c r="U8778" t="s">
        <v>56929</v>
      </c>
      <c r="W8778" t="s">
        <v>44895</v>
      </c>
      <c r="X8778" t="s">
        <v>47433</v>
      </c>
    </row>
    <row r="8779" spans="1:24">
      <c r="A8779">
        <f>HYPERLINK("https://www.philgeps.gov.ph/GEPSNONPILOT/Tender/SplashBidNoticeAbstractUI.aspx?menuIndex=3&amp;refID=7154529&amp;Result=3","7154529")</f>
        <v>0</v>
      </c>
      <c r="B8779" t="s">
        <v>725</v>
      </c>
      <c r="C8779" t="s">
        <v>12157</v>
      </c>
      <c r="D8779" t="s">
        <v>19052</v>
      </c>
      <c r="E8779" t="s">
        <v>26721</v>
      </c>
      <c r="F8779" t="s">
        <v>32831</v>
      </c>
      <c r="G8779" t="s">
        <v>32839</v>
      </c>
      <c r="H8779" t="s">
        <v>32848</v>
      </c>
      <c r="I8779" t="s">
        <v>4438</v>
      </c>
      <c r="J8779" t="s">
        <v>38438</v>
      </c>
      <c r="K8779" t="s">
        <v>42727</v>
      </c>
      <c r="M8779" t="s">
        <v>43746</v>
      </c>
      <c r="N8779" t="s">
        <v>47424</v>
      </c>
      <c r="O8779" t="s">
        <v>47425</v>
      </c>
      <c r="P8779">
        <v>0</v>
      </c>
      <c r="Q8779">
        <v>2</v>
      </c>
      <c r="R8779" t="s">
        <v>47432</v>
      </c>
      <c r="S8779" t="s">
        <v>47597</v>
      </c>
      <c r="T8779" t="s">
        <v>49267</v>
      </c>
      <c r="U8779" t="s">
        <v>56930</v>
      </c>
      <c r="W8779" t="s">
        <v>43746</v>
      </c>
      <c r="X8779" t="s">
        <v>47433</v>
      </c>
    </row>
    <row r="8780" spans="1:24">
      <c r="A8780">
        <f>HYPERLINK("https://www.philgeps.gov.ph/GEPSNONPILOT/Tender/SplashBidNoticeAbstractUI.aspx?menuIndex=3&amp;refID=7154523&amp;Result=3","7154523")</f>
        <v>0</v>
      </c>
      <c r="B8780" t="s">
        <v>2232</v>
      </c>
      <c r="C8780" t="s">
        <v>12158</v>
      </c>
      <c r="D8780" t="s">
        <v>19062</v>
      </c>
      <c r="E8780" t="s">
        <v>26722</v>
      </c>
      <c r="F8780" t="s">
        <v>32831</v>
      </c>
      <c r="G8780" t="s">
        <v>32838</v>
      </c>
      <c r="H8780" t="s">
        <v>32848</v>
      </c>
      <c r="I8780" t="s">
        <v>4340</v>
      </c>
      <c r="J8780" t="s">
        <v>36991</v>
      </c>
      <c r="K8780" t="s">
        <v>42731</v>
      </c>
      <c r="M8780" t="s">
        <v>45413</v>
      </c>
      <c r="N8780" t="s">
        <v>47424</v>
      </c>
      <c r="O8780" t="s">
        <v>47425</v>
      </c>
      <c r="P8780">
        <v>0</v>
      </c>
      <c r="Q8780">
        <v>1</v>
      </c>
      <c r="R8780" t="s">
        <v>47432</v>
      </c>
      <c r="S8780" t="s">
        <v>47597</v>
      </c>
      <c r="T8780" t="s">
        <v>49214</v>
      </c>
      <c r="U8780" t="s">
        <v>54885</v>
      </c>
      <c r="W8780" t="s">
        <v>45413</v>
      </c>
      <c r="X8780" t="s">
        <v>47433</v>
      </c>
    </row>
    <row r="8781" spans="1:24">
      <c r="A8781">
        <f>HYPERLINK("https://www.philgeps.gov.ph/GEPSNONPILOT/Tender/SplashBidNoticeAbstractUI.aspx?menuIndex=3&amp;refID=7154522&amp;Result=3","7154522")</f>
        <v>0</v>
      </c>
      <c r="B8781" t="s">
        <v>1236</v>
      </c>
      <c r="C8781" t="s">
        <v>12159</v>
      </c>
      <c r="D8781" t="s">
        <v>19045</v>
      </c>
      <c r="E8781" t="s">
        <v>19351</v>
      </c>
      <c r="F8781" t="s">
        <v>32831</v>
      </c>
      <c r="G8781" t="s">
        <v>32839</v>
      </c>
      <c r="H8781" t="s">
        <v>32848</v>
      </c>
      <c r="I8781" t="s">
        <v>4558</v>
      </c>
      <c r="J8781" t="s">
        <v>33644</v>
      </c>
      <c r="K8781" t="s">
        <v>42730</v>
      </c>
      <c r="M8781" t="s">
        <v>44306</v>
      </c>
      <c r="N8781" t="s">
        <v>47424</v>
      </c>
      <c r="O8781" t="s">
        <v>47425</v>
      </c>
      <c r="P8781">
        <v>0</v>
      </c>
      <c r="Q8781">
        <v>4</v>
      </c>
      <c r="R8781" t="s">
        <v>47432</v>
      </c>
      <c r="S8781" t="s">
        <v>47597</v>
      </c>
      <c r="T8781" t="s">
        <v>49112</v>
      </c>
      <c r="U8781" t="s">
        <v>56931</v>
      </c>
      <c r="W8781" t="s">
        <v>44306</v>
      </c>
      <c r="X8781" t="s">
        <v>47433</v>
      </c>
    </row>
    <row r="8782" spans="1:24">
      <c r="A8782">
        <f>HYPERLINK("https://www.philgeps.gov.ph/GEPSNONPILOT/Tender/SplashBidNoticeAbstractUI.aspx?menuIndex=3&amp;refID=7153723&amp;Result=3","7153723")</f>
        <v>0</v>
      </c>
      <c r="B8782" t="s">
        <v>2676</v>
      </c>
      <c r="C8782" t="s">
        <v>12160</v>
      </c>
      <c r="D8782" t="s">
        <v>19058</v>
      </c>
      <c r="E8782" t="s">
        <v>26723</v>
      </c>
      <c r="F8782" t="s">
        <v>32831</v>
      </c>
      <c r="G8782" t="s">
        <v>32842</v>
      </c>
      <c r="H8782" t="s">
        <v>32848</v>
      </c>
      <c r="I8782" t="s">
        <v>9577</v>
      </c>
      <c r="J8782" t="s">
        <v>38439</v>
      </c>
      <c r="K8782" t="s">
        <v>42731</v>
      </c>
      <c r="M8782" t="s">
        <v>45899</v>
      </c>
      <c r="N8782" t="s">
        <v>47424</v>
      </c>
      <c r="O8782" t="s">
        <v>47425</v>
      </c>
      <c r="P8782">
        <v>0</v>
      </c>
      <c r="Q8782">
        <v>3</v>
      </c>
      <c r="R8782" t="s">
        <v>47432</v>
      </c>
      <c r="S8782" t="s">
        <v>47597</v>
      </c>
      <c r="T8782" t="s">
        <v>49214</v>
      </c>
      <c r="U8782" t="s">
        <v>56932</v>
      </c>
      <c r="W8782" t="s">
        <v>45899</v>
      </c>
      <c r="X8782" t="s">
        <v>47433</v>
      </c>
    </row>
    <row r="8783" spans="1:24">
      <c r="A8783">
        <f>HYPERLINK("https://www.philgeps.gov.ph/GEPSNONPILOT/Tender/SplashBidNoticeAbstractUI.aspx?menuIndex=3&amp;refID=7154513&amp;Result=3","7154513")</f>
        <v>0</v>
      </c>
      <c r="B8783" t="s">
        <v>911</v>
      </c>
      <c r="C8783" t="s">
        <v>12161</v>
      </c>
      <c r="D8783" t="s">
        <v>19049</v>
      </c>
      <c r="E8783" t="s">
        <v>26724</v>
      </c>
      <c r="F8783" t="s">
        <v>32831</v>
      </c>
      <c r="G8783" t="s">
        <v>32838</v>
      </c>
      <c r="H8783" t="s">
        <v>32848</v>
      </c>
      <c r="I8783" t="s">
        <v>32952</v>
      </c>
      <c r="J8783" t="s">
        <v>33041</v>
      </c>
      <c r="K8783" t="s">
        <v>42727</v>
      </c>
      <c r="M8783" t="s">
        <v>43951</v>
      </c>
      <c r="N8783" t="s">
        <v>47424</v>
      </c>
      <c r="O8783" t="s">
        <v>47425</v>
      </c>
      <c r="P8783">
        <v>0</v>
      </c>
      <c r="Q8783">
        <v>3</v>
      </c>
      <c r="R8783" t="s">
        <v>47432</v>
      </c>
      <c r="S8783" t="s">
        <v>47597</v>
      </c>
      <c r="T8783" t="s">
        <v>49237</v>
      </c>
      <c r="U8783" t="s">
        <v>51540</v>
      </c>
      <c r="W8783" t="s">
        <v>43951</v>
      </c>
      <c r="X8783" t="s">
        <v>47433</v>
      </c>
    </row>
    <row r="8784" spans="1:24">
      <c r="A8784">
        <f>HYPERLINK("https://www.philgeps.gov.ph/GEPSNONPILOT/Tender/SplashBidNoticeAbstractUI.aspx?menuIndex=3&amp;refID=7154509&amp;Result=3","7154509")</f>
        <v>0</v>
      </c>
      <c r="B8784" t="s">
        <v>2885</v>
      </c>
      <c r="C8784" t="s">
        <v>12162</v>
      </c>
      <c r="D8784" t="s">
        <v>19019</v>
      </c>
      <c r="E8784" t="s">
        <v>26725</v>
      </c>
      <c r="F8784" t="s">
        <v>32831</v>
      </c>
      <c r="G8784" t="s">
        <v>32842</v>
      </c>
      <c r="H8784" t="s">
        <v>32848</v>
      </c>
      <c r="I8784" t="s">
        <v>4776</v>
      </c>
      <c r="J8784" t="s">
        <v>33087</v>
      </c>
      <c r="K8784" t="s">
        <v>42731</v>
      </c>
      <c r="M8784" t="s">
        <v>46124</v>
      </c>
      <c r="N8784" t="s">
        <v>47424</v>
      </c>
      <c r="O8784" t="s">
        <v>47425</v>
      </c>
      <c r="P8784">
        <v>0</v>
      </c>
      <c r="Q8784">
        <v>3</v>
      </c>
      <c r="R8784" t="s">
        <v>47432</v>
      </c>
      <c r="S8784" t="s">
        <v>47597</v>
      </c>
      <c r="T8784" t="s">
        <v>49100</v>
      </c>
      <c r="U8784" t="s">
        <v>56933</v>
      </c>
      <c r="W8784" t="s">
        <v>46124</v>
      </c>
      <c r="X8784" t="s">
        <v>47433</v>
      </c>
    </row>
    <row r="8785" spans="1:24">
      <c r="A8785">
        <f>HYPERLINK("https://www.philgeps.gov.ph/GEPSNONPILOT/Tender/SplashBidNoticeAbstractUI.aspx?menuIndex=3&amp;refID=7154475&amp;Result=3","7154475")</f>
        <v>0</v>
      </c>
      <c r="B8785" t="s">
        <v>2866</v>
      </c>
      <c r="C8785" t="s">
        <v>12163</v>
      </c>
      <c r="D8785" t="s">
        <v>19059</v>
      </c>
      <c r="E8785" t="s">
        <v>26726</v>
      </c>
      <c r="F8785" t="s">
        <v>32831</v>
      </c>
      <c r="G8785" t="s">
        <v>32839</v>
      </c>
      <c r="H8785" t="s">
        <v>32849</v>
      </c>
      <c r="I8785" t="s">
        <v>4177</v>
      </c>
      <c r="J8785" t="s">
        <v>33083</v>
      </c>
      <c r="K8785" t="s">
        <v>42780</v>
      </c>
      <c r="M8785" t="s">
        <v>46101</v>
      </c>
      <c r="N8785" t="s">
        <v>47424</v>
      </c>
      <c r="O8785" t="s">
        <v>47425</v>
      </c>
      <c r="P8785">
        <v>0</v>
      </c>
      <c r="Q8785">
        <v>80</v>
      </c>
      <c r="R8785" t="s">
        <v>47432</v>
      </c>
      <c r="S8785" t="s">
        <v>47597</v>
      </c>
      <c r="T8785" t="s">
        <v>49236</v>
      </c>
      <c r="U8785" t="s">
        <v>56858</v>
      </c>
      <c r="V8785" t="s">
        <v>63602</v>
      </c>
      <c r="W8785" t="s">
        <v>46142</v>
      </c>
      <c r="X8785" t="s">
        <v>47433</v>
      </c>
    </row>
    <row r="8786" spans="1:24">
      <c r="A8786">
        <f>HYPERLINK("https://www.philgeps.gov.ph/GEPSNONPILOT/Tender/SplashBidNoticeAbstractUI.aspx?menuIndex=3&amp;refID=7154519&amp;Result=3","7154519")</f>
        <v>0</v>
      </c>
      <c r="B8786" t="s">
        <v>1641</v>
      </c>
      <c r="C8786" t="s">
        <v>12164</v>
      </c>
      <c r="D8786" t="s">
        <v>19042</v>
      </c>
      <c r="E8786" t="s">
        <v>26727</v>
      </c>
      <c r="F8786" t="s">
        <v>32831</v>
      </c>
      <c r="G8786" t="s">
        <v>32839</v>
      </c>
      <c r="H8786" t="s">
        <v>32848</v>
      </c>
      <c r="I8786" t="s">
        <v>32856</v>
      </c>
      <c r="J8786" t="s">
        <v>38440</v>
      </c>
      <c r="K8786" t="s">
        <v>42730</v>
      </c>
      <c r="L8786" t="s">
        <v>1641</v>
      </c>
      <c r="M8786" t="s">
        <v>44758</v>
      </c>
      <c r="N8786" t="s">
        <v>47424</v>
      </c>
      <c r="O8786" t="s">
        <v>47425</v>
      </c>
      <c r="P8786">
        <v>0</v>
      </c>
      <c r="Q8786">
        <v>1</v>
      </c>
      <c r="R8786" t="s">
        <v>47432</v>
      </c>
      <c r="S8786" t="s">
        <v>47597</v>
      </c>
      <c r="T8786" t="s">
        <v>49283</v>
      </c>
      <c r="U8786" t="s">
        <v>56934</v>
      </c>
      <c r="V8786" t="s">
        <v>63581</v>
      </c>
      <c r="W8786" t="s">
        <v>44758</v>
      </c>
      <c r="X8786" t="s">
        <v>47433</v>
      </c>
    </row>
    <row r="8787" spans="1:24">
      <c r="A8787">
        <f>HYPERLINK("https://www.philgeps.gov.ph/GEPSNONPILOT/Tender/SplashBidNoticeAbstractUI.aspx?menuIndex=3&amp;refID=7154503&amp;Result=3","7154503")</f>
        <v>0</v>
      </c>
      <c r="B8787" t="s">
        <v>2211</v>
      </c>
      <c r="C8787" t="s">
        <v>12165</v>
      </c>
      <c r="D8787" t="s">
        <v>19104</v>
      </c>
      <c r="E8787" t="s">
        <v>26728</v>
      </c>
      <c r="F8787" t="s">
        <v>32831</v>
      </c>
      <c r="G8787" t="s">
        <v>32838</v>
      </c>
      <c r="H8787" t="s">
        <v>32848</v>
      </c>
      <c r="I8787" t="s">
        <v>7416</v>
      </c>
      <c r="J8787" t="s">
        <v>38441</v>
      </c>
      <c r="K8787" t="s">
        <v>42727</v>
      </c>
      <c r="M8787" t="s">
        <v>45391</v>
      </c>
      <c r="N8787" t="s">
        <v>47424</v>
      </c>
      <c r="O8787" t="s">
        <v>47425</v>
      </c>
      <c r="P8787">
        <v>0</v>
      </c>
      <c r="Q8787">
        <v>0</v>
      </c>
      <c r="R8787" t="s">
        <v>47432</v>
      </c>
      <c r="S8787" t="s">
        <v>47597</v>
      </c>
      <c r="T8787" t="s">
        <v>49214</v>
      </c>
      <c r="U8787" t="s">
        <v>56935</v>
      </c>
      <c r="V8787" t="s">
        <v>63302</v>
      </c>
      <c r="W8787" t="s">
        <v>45391</v>
      </c>
      <c r="X8787" t="s">
        <v>47433</v>
      </c>
    </row>
    <row r="8788" spans="1:24">
      <c r="A8788">
        <f>HYPERLINK("https://www.philgeps.gov.ph/GEPSNONPILOT/Tender/SplashBidNoticeAbstractUI.aspx?menuIndex=3&amp;refID=7154515&amp;Result=3","7154515")</f>
        <v>0</v>
      </c>
      <c r="B8788" t="s">
        <v>2886</v>
      </c>
      <c r="C8788" t="s">
        <v>12166</v>
      </c>
      <c r="D8788" t="s">
        <v>19070</v>
      </c>
      <c r="E8788" t="s">
        <v>26729</v>
      </c>
      <c r="F8788" t="s">
        <v>32831</v>
      </c>
      <c r="G8788" t="s">
        <v>32839</v>
      </c>
      <c r="H8788" t="s">
        <v>32848</v>
      </c>
      <c r="I8788" t="s">
        <v>32883</v>
      </c>
      <c r="J8788" t="s">
        <v>32985</v>
      </c>
      <c r="K8788" t="s">
        <v>42726</v>
      </c>
      <c r="M8788" t="s">
        <v>46125</v>
      </c>
      <c r="N8788" t="s">
        <v>47424</v>
      </c>
      <c r="O8788" t="s">
        <v>47425</v>
      </c>
      <c r="P8788">
        <v>0</v>
      </c>
      <c r="Q8788">
        <v>2</v>
      </c>
      <c r="R8788" t="s">
        <v>47432</v>
      </c>
      <c r="S8788" t="s">
        <v>47597</v>
      </c>
      <c r="T8788" t="s">
        <v>49151</v>
      </c>
      <c r="U8788" t="s">
        <v>56936</v>
      </c>
      <c r="W8788" t="s">
        <v>46125</v>
      </c>
      <c r="X8788" t="s">
        <v>47433</v>
      </c>
    </row>
    <row r="8789" spans="1:24">
      <c r="A8789">
        <f>HYPERLINK("https://www.philgeps.gov.ph/GEPSNONPILOT/Tender/SplashBidNoticeAbstractUI.aspx?menuIndex=3&amp;refID=7154368&amp;Result=3","7154368")</f>
        <v>0</v>
      </c>
      <c r="B8789" t="s">
        <v>2059</v>
      </c>
      <c r="C8789" t="s">
        <v>12167</v>
      </c>
      <c r="D8789" t="s">
        <v>19057</v>
      </c>
      <c r="E8789" t="s">
        <v>26730</v>
      </c>
      <c r="F8789" t="s">
        <v>32831</v>
      </c>
      <c r="G8789" t="s">
        <v>32839</v>
      </c>
      <c r="H8789" t="s">
        <v>32848</v>
      </c>
      <c r="I8789" t="s">
        <v>4487</v>
      </c>
      <c r="J8789" t="s">
        <v>38442</v>
      </c>
      <c r="K8789" t="s">
        <v>42732</v>
      </c>
      <c r="M8789" t="s">
        <v>46126</v>
      </c>
      <c r="N8789" t="s">
        <v>47424</v>
      </c>
      <c r="O8789" t="s">
        <v>47425</v>
      </c>
      <c r="P8789">
        <v>0</v>
      </c>
      <c r="Q8789">
        <v>7</v>
      </c>
      <c r="R8789" t="s">
        <v>47432</v>
      </c>
      <c r="S8789" t="s">
        <v>47597</v>
      </c>
      <c r="T8789" t="s">
        <v>49394</v>
      </c>
      <c r="U8789" t="s">
        <v>56937</v>
      </c>
      <c r="W8789" t="s">
        <v>45229</v>
      </c>
      <c r="X8789" t="s">
        <v>47433</v>
      </c>
    </row>
    <row r="8790" spans="1:24">
      <c r="A8790">
        <f>HYPERLINK("https://www.philgeps.gov.ph/GEPSNONPILOT/Tender/SplashBidNoticeAbstractUI.aspx?menuIndex=3&amp;refID=7154574&amp;Result=3","7154574")</f>
        <v>0</v>
      </c>
      <c r="B8790" t="s">
        <v>1641</v>
      </c>
      <c r="C8790" t="s">
        <v>12168</v>
      </c>
      <c r="D8790" t="s">
        <v>19042</v>
      </c>
      <c r="E8790" t="s">
        <v>26731</v>
      </c>
      <c r="F8790" t="s">
        <v>32831</v>
      </c>
      <c r="G8790" t="s">
        <v>32839</v>
      </c>
      <c r="H8790" t="s">
        <v>32848</v>
      </c>
      <c r="I8790" t="s">
        <v>7416</v>
      </c>
      <c r="J8790" t="s">
        <v>38443</v>
      </c>
      <c r="K8790" t="s">
        <v>42729</v>
      </c>
      <c r="L8790" t="s">
        <v>1641</v>
      </c>
      <c r="M8790" t="s">
        <v>44758</v>
      </c>
      <c r="N8790" t="s">
        <v>47424</v>
      </c>
      <c r="O8790" t="s">
        <v>47425</v>
      </c>
      <c r="P8790">
        <v>0</v>
      </c>
      <c r="Q8790">
        <v>0</v>
      </c>
      <c r="R8790" t="s">
        <v>47432</v>
      </c>
      <c r="S8790" t="s">
        <v>47597</v>
      </c>
      <c r="T8790" t="s">
        <v>49283</v>
      </c>
      <c r="U8790" t="s">
        <v>56938</v>
      </c>
      <c r="V8790" t="s">
        <v>63581</v>
      </c>
      <c r="W8790" t="s">
        <v>44758</v>
      </c>
      <c r="X8790" t="s">
        <v>47433</v>
      </c>
    </row>
    <row r="8791" spans="1:24">
      <c r="A8791">
        <f>HYPERLINK("https://www.philgeps.gov.ph/GEPSNONPILOT/Tender/SplashBidNoticeAbstractUI.aspx?menuIndex=3&amp;refID=7154488&amp;Result=3","7154488")</f>
        <v>0</v>
      </c>
      <c r="B8791" t="s">
        <v>1028</v>
      </c>
      <c r="C8791" t="s">
        <v>12169</v>
      </c>
      <c r="D8791" t="s">
        <v>19044</v>
      </c>
      <c r="E8791" t="s">
        <v>26732</v>
      </c>
      <c r="F8791" t="s">
        <v>32831</v>
      </c>
      <c r="G8791" t="s">
        <v>32839</v>
      </c>
      <c r="H8791" t="s">
        <v>32848</v>
      </c>
      <c r="I8791" t="s">
        <v>4222</v>
      </c>
      <c r="J8791" t="s">
        <v>38444</v>
      </c>
      <c r="K8791" t="s">
        <v>42732</v>
      </c>
      <c r="M8791" t="s">
        <v>44080</v>
      </c>
      <c r="N8791" t="s">
        <v>47424</v>
      </c>
      <c r="O8791" t="s">
        <v>47425</v>
      </c>
      <c r="P8791">
        <v>0</v>
      </c>
      <c r="Q8791">
        <v>0</v>
      </c>
      <c r="R8791" t="s">
        <v>47432</v>
      </c>
      <c r="S8791" t="s">
        <v>47597</v>
      </c>
      <c r="T8791" t="s">
        <v>49177</v>
      </c>
      <c r="U8791" t="s">
        <v>56939</v>
      </c>
      <c r="V8791" t="s">
        <v>62833</v>
      </c>
      <c r="W8791" t="s">
        <v>44080</v>
      </c>
      <c r="X8791" t="s">
        <v>47433</v>
      </c>
    </row>
    <row r="8792" spans="1:24">
      <c r="A8792">
        <f>HYPERLINK("https://www.philgeps.gov.ph/GEPSNONPILOT/Tender/SplashBidNoticeAbstractUI.aspx?menuIndex=3&amp;refID=7154504&amp;Result=3","7154504")</f>
        <v>0</v>
      </c>
      <c r="B8792" t="s">
        <v>2876</v>
      </c>
      <c r="C8792" t="s">
        <v>12170</v>
      </c>
      <c r="D8792" t="s">
        <v>19017</v>
      </c>
      <c r="E8792" t="s">
        <v>26733</v>
      </c>
      <c r="F8792" t="s">
        <v>32831</v>
      </c>
      <c r="G8792" t="s">
        <v>32838</v>
      </c>
      <c r="H8792" t="s">
        <v>32848</v>
      </c>
      <c r="I8792" t="s">
        <v>32934</v>
      </c>
      <c r="J8792" t="s">
        <v>33223</v>
      </c>
      <c r="K8792" t="s">
        <v>42727</v>
      </c>
      <c r="M8792" t="s">
        <v>46111</v>
      </c>
      <c r="N8792" t="s">
        <v>47424</v>
      </c>
      <c r="O8792" t="s">
        <v>47425</v>
      </c>
      <c r="P8792">
        <v>0</v>
      </c>
      <c r="Q8792">
        <v>3</v>
      </c>
      <c r="R8792" t="s">
        <v>47432</v>
      </c>
      <c r="S8792" t="s">
        <v>47597</v>
      </c>
      <c r="T8792" t="s">
        <v>49214</v>
      </c>
      <c r="U8792" t="s">
        <v>56940</v>
      </c>
      <c r="V8792" t="s">
        <v>63596</v>
      </c>
      <c r="W8792" t="s">
        <v>46111</v>
      </c>
      <c r="X8792" t="s">
        <v>47433</v>
      </c>
    </row>
    <row r="8793" spans="1:24">
      <c r="A8793">
        <f>HYPERLINK("https://www.philgeps.gov.ph/GEPSNONPILOT/Tender/SplashBidNoticeAbstractUI.aspx?menuIndex=3&amp;refID=7154514&amp;Result=3","7154514")</f>
        <v>0</v>
      </c>
      <c r="B8793" t="s">
        <v>2887</v>
      </c>
      <c r="C8793" t="s">
        <v>12171</v>
      </c>
      <c r="D8793" t="s">
        <v>19038</v>
      </c>
      <c r="E8793" t="s">
        <v>26734</v>
      </c>
      <c r="F8793" t="s">
        <v>32831</v>
      </c>
      <c r="G8793" t="s">
        <v>32838</v>
      </c>
      <c r="H8793" t="s">
        <v>32848</v>
      </c>
      <c r="I8793" t="s">
        <v>32862</v>
      </c>
      <c r="J8793" t="s">
        <v>38445</v>
      </c>
      <c r="K8793" t="s">
        <v>42732</v>
      </c>
      <c r="M8793" t="s">
        <v>46127</v>
      </c>
      <c r="N8793" t="s">
        <v>47424</v>
      </c>
      <c r="O8793" t="s">
        <v>47425</v>
      </c>
      <c r="P8793">
        <v>0</v>
      </c>
      <c r="Q8793">
        <v>0</v>
      </c>
      <c r="R8793" t="s">
        <v>47432</v>
      </c>
      <c r="S8793" t="s">
        <v>47597</v>
      </c>
      <c r="T8793" t="s">
        <v>49237</v>
      </c>
      <c r="U8793" t="s">
        <v>56941</v>
      </c>
      <c r="W8793" t="s">
        <v>46127</v>
      </c>
      <c r="X8793" t="s">
        <v>47433</v>
      </c>
    </row>
    <row r="8794" spans="1:24">
      <c r="A8794">
        <f>HYPERLINK("https://www.philgeps.gov.ph/GEPSNONPILOT/Tender/SplashBidNoticeAbstractUI.aspx?menuIndex=3&amp;refID=7154567&amp;Result=3","7154567")</f>
        <v>0</v>
      </c>
      <c r="B8794" t="s">
        <v>1770</v>
      </c>
      <c r="C8794" t="s">
        <v>12172</v>
      </c>
      <c r="D8794" t="s">
        <v>19058</v>
      </c>
      <c r="E8794" t="s">
        <v>26735</v>
      </c>
      <c r="F8794" t="s">
        <v>32831</v>
      </c>
      <c r="G8794" t="s">
        <v>32840</v>
      </c>
      <c r="H8794" t="s">
        <v>32848</v>
      </c>
      <c r="I8794" t="s">
        <v>10888</v>
      </c>
      <c r="J8794" t="s">
        <v>33922</v>
      </c>
      <c r="K8794" t="s">
        <v>42726</v>
      </c>
      <c r="M8794" t="s">
        <v>44895</v>
      </c>
      <c r="N8794" t="s">
        <v>47424</v>
      </c>
      <c r="O8794" t="s">
        <v>47425</v>
      </c>
      <c r="P8794">
        <v>0</v>
      </c>
      <c r="Q8794">
        <v>0</v>
      </c>
      <c r="R8794" t="s">
        <v>47432</v>
      </c>
      <c r="S8794" t="s">
        <v>47597</v>
      </c>
      <c r="T8794" t="s">
        <v>49237</v>
      </c>
      <c r="U8794" t="s">
        <v>56942</v>
      </c>
      <c r="W8794" t="s">
        <v>44895</v>
      </c>
      <c r="X8794" t="s">
        <v>47433</v>
      </c>
    </row>
    <row r="8795" spans="1:24">
      <c r="A8795">
        <f>HYPERLINK("https://www.philgeps.gov.ph/GEPSNONPILOT/Tender/SplashBidNoticeAbstractUI.aspx?menuIndex=3&amp;refID=7154562&amp;Result=3","7154562")</f>
        <v>0</v>
      </c>
      <c r="B8795" t="s">
        <v>1028</v>
      </c>
      <c r="C8795" t="s">
        <v>12173</v>
      </c>
      <c r="D8795" t="s">
        <v>19044</v>
      </c>
      <c r="E8795" t="s">
        <v>26736</v>
      </c>
      <c r="F8795" t="s">
        <v>32831</v>
      </c>
      <c r="G8795" t="s">
        <v>32838</v>
      </c>
      <c r="H8795" t="s">
        <v>32848</v>
      </c>
      <c r="I8795" t="s">
        <v>7416</v>
      </c>
      <c r="J8795" t="s">
        <v>38446</v>
      </c>
      <c r="K8795" t="s">
        <v>42732</v>
      </c>
      <c r="M8795" t="s">
        <v>44080</v>
      </c>
      <c r="N8795" t="s">
        <v>47424</v>
      </c>
      <c r="O8795" t="s">
        <v>47425</v>
      </c>
      <c r="P8795">
        <v>0</v>
      </c>
      <c r="Q8795">
        <v>0</v>
      </c>
      <c r="R8795" t="s">
        <v>47432</v>
      </c>
      <c r="S8795" t="s">
        <v>47597</v>
      </c>
      <c r="T8795" t="s">
        <v>49177</v>
      </c>
      <c r="U8795" t="s">
        <v>56943</v>
      </c>
      <c r="V8795" t="s">
        <v>62867</v>
      </c>
      <c r="W8795" t="s">
        <v>44080</v>
      </c>
      <c r="X8795" t="s">
        <v>47433</v>
      </c>
    </row>
    <row r="8796" spans="1:24">
      <c r="A8796">
        <f>HYPERLINK("https://www.philgeps.gov.ph/GEPSNONPILOT/Tender/SplashBidNoticeAbstractUI.aspx?menuIndex=3&amp;refID=7154572&amp;Result=3","7154572")</f>
        <v>0</v>
      </c>
      <c r="B8796" t="s">
        <v>1162</v>
      </c>
      <c r="C8796" t="s">
        <v>12174</v>
      </c>
      <c r="D8796" t="s">
        <v>19050</v>
      </c>
      <c r="E8796" t="s">
        <v>26737</v>
      </c>
      <c r="F8796" t="s">
        <v>32831</v>
      </c>
      <c r="G8796" t="s">
        <v>32839</v>
      </c>
      <c r="H8796" t="s">
        <v>32848</v>
      </c>
      <c r="I8796" t="s">
        <v>4776</v>
      </c>
      <c r="J8796" t="s">
        <v>36840</v>
      </c>
      <c r="K8796" t="s">
        <v>42730</v>
      </c>
      <c r="M8796" t="s">
        <v>46128</v>
      </c>
      <c r="N8796" t="s">
        <v>47424</v>
      </c>
      <c r="O8796" t="s">
        <v>47425</v>
      </c>
      <c r="P8796">
        <v>0</v>
      </c>
      <c r="Q8796">
        <v>0</v>
      </c>
      <c r="R8796" t="s">
        <v>47432</v>
      </c>
      <c r="S8796" t="s">
        <v>47597</v>
      </c>
      <c r="T8796" t="s">
        <v>49150</v>
      </c>
      <c r="U8796" t="s">
        <v>56944</v>
      </c>
      <c r="W8796" t="s">
        <v>46128</v>
      </c>
      <c r="X8796" t="s">
        <v>47433</v>
      </c>
    </row>
    <row r="8797" spans="1:24">
      <c r="A8797">
        <f>HYPERLINK("https://www.philgeps.gov.ph/GEPSNONPILOT/Tender/SplashBidNoticeAbstractUI.aspx?menuIndex=3&amp;refID=7154505&amp;Result=3","7154505")</f>
        <v>0</v>
      </c>
      <c r="B8797" t="s">
        <v>2088</v>
      </c>
      <c r="C8797" t="s">
        <v>12175</v>
      </c>
      <c r="D8797" t="s">
        <v>19044</v>
      </c>
      <c r="E8797" t="s">
        <v>26738</v>
      </c>
      <c r="F8797" t="s">
        <v>32831</v>
      </c>
      <c r="G8797" t="s">
        <v>32839</v>
      </c>
      <c r="H8797" t="s">
        <v>32848</v>
      </c>
      <c r="I8797" t="s">
        <v>7751</v>
      </c>
      <c r="J8797" t="s">
        <v>38447</v>
      </c>
      <c r="K8797" t="s">
        <v>42747</v>
      </c>
      <c r="M8797" t="s">
        <v>45260</v>
      </c>
      <c r="N8797" t="s">
        <v>47424</v>
      </c>
      <c r="O8797" t="s">
        <v>47425</v>
      </c>
      <c r="P8797">
        <v>0</v>
      </c>
      <c r="Q8797">
        <v>9</v>
      </c>
      <c r="R8797" t="s">
        <v>47432</v>
      </c>
      <c r="S8797" t="s">
        <v>47597</v>
      </c>
      <c r="T8797" t="s">
        <v>49112</v>
      </c>
      <c r="U8797" t="s">
        <v>56945</v>
      </c>
      <c r="W8797" t="s">
        <v>45260</v>
      </c>
      <c r="X8797" t="s">
        <v>47433</v>
      </c>
    </row>
    <row r="8798" spans="1:24">
      <c r="A8798">
        <f>HYPERLINK("https://www.philgeps.gov.ph/GEPSNONPILOT/Tender/SplashBidNoticeAbstractUI.aspx?menuIndex=3&amp;refID=7154554&amp;Result=3","7154554")</f>
        <v>0</v>
      </c>
      <c r="B8798" t="s">
        <v>2232</v>
      </c>
      <c r="C8798" t="s">
        <v>12176</v>
      </c>
      <c r="D8798" t="s">
        <v>19062</v>
      </c>
      <c r="E8798" t="s">
        <v>26739</v>
      </c>
      <c r="F8798" t="s">
        <v>32831</v>
      </c>
      <c r="G8798" t="s">
        <v>32838</v>
      </c>
      <c r="H8798" t="s">
        <v>32848</v>
      </c>
      <c r="I8798" t="s">
        <v>32870</v>
      </c>
      <c r="J8798" t="s">
        <v>38448</v>
      </c>
      <c r="K8798" t="s">
        <v>42738</v>
      </c>
      <c r="M8798" t="s">
        <v>45413</v>
      </c>
      <c r="N8798" t="s">
        <v>47424</v>
      </c>
      <c r="O8798" t="s">
        <v>47425</v>
      </c>
      <c r="P8798">
        <v>0</v>
      </c>
      <c r="Q8798">
        <v>0</v>
      </c>
      <c r="R8798" t="s">
        <v>47432</v>
      </c>
      <c r="S8798" t="s">
        <v>47597</v>
      </c>
      <c r="T8798" t="s">
        <v>49214</v>
      </c>
      <c r="U8798" t="s">
        <v>54885</v>
      </c>
      <c r="W8798" t="s">
        <v>45413</v>
      </c>
      <c r="X8798" t="s">
        <v>47433</v>
      </c>
    </row>
    <row r="8799" spans="1:24">
      <c r="A8799">
        <f>HYPERLINK("https://www.philgeps.gov.ph/GEPSNONPILOT/Tender/SplashBidNoticeAbstractUI.aspx?menuIndex=3&amp;refID=7154553&amp;Result=3","7154553")</f>
        <v>0</v>
      </c>
      <c r="B8799" t="s">
        <v>2875</v>
      </c>
      <c r="C8799" t="s">
        <v>12177</v>
      </c>
      <c r="D8799" t="s">
        <v>19068</v>
      </c>
      <c r="E8799" t="s">
        <v>26740</v>
      </c>
      <c r="F8799" t="s">
        <v>32831</v>
      </c>
      <c r="G8799" t="s">
        <v>32839</v>
      </c>
      <c r="H8799" t="s">
        <v>32848</v>
      </c>
      <c r="I8799" t="s">
        <v>7416</v>
      </c>
      <c r="J8799" t="s">
        <v>33044</v>
      </c>
      <c r="K8799" t="s">
        <v>42731</v>
      </c>
      <c r="M8799" t="s">
        <v>46110</v>
      </c>
      <c r="N8799" t="s">
        <v>47424</v>
      </c>
      <c r="O8799" t="s">
        <v>47425</v>
      </c>
      <c r="P8799">
        <v>0</v>
      </c>
      <c r="Q8799">
        <v>0</v>
      </c>
      <c r="R8799" t="s">
        <v>47432</v>
      </c>
      <c r="S8799" t="s">
        <v>47597</v>
      </c>
      <c r="T8799" t="s">
        <v>49214</v>
      </c>
      <c r="U8799" t="s">
        <v>56946</v>
      </c>
      <c r="W8799" t="s">
        <v>46110</v>
      </c>
      <c r="X8799" t="s">
        <v>47433</v>
      </c>
    </row>
    <row r="8800" spans="1:24">
      <c r="A8800">
        <f>HYPERLINK("https://www.philgeps.gov.ph/GEPSNONPILOT/Tender/SplashBidNoticeAbstractUI.aspx?menuIndex=3&amp;refID=7154551&amp;Result=3","7154551")</f>
        <v>0</v>
      </c>
      <c r="B8800" t="s">
        <v>74</v>
      </c>
      <c r="C8800" t="s">
        <v>12178</v>
      </c>
      <c r="D8800" t="s">
        <v>19033</v>
      </c>
      <c r="E8800" t="s">
        <v>26741</v>
      </c>
      <c r="F8800" t="s">
        <v>32831</v>
      </c>
      <c r="G8800" t="s">
        <v>32838</v>
      </c>
      <c r="H8800" t="s">
        <v>32848</v>
      </c>
      <c r="I8800" t="s">
        <v>7416</v>
      </c>
      <c r="J8800" t="s">
        <v>38449</v>
      </c>
      <c r="K8800" t="s">
        <v>42758</v>
      </c>
      <c r="M8800" t="s">
        <v>43071</v>
      </c>
      <c r="N8800" t="s">
        <v>47424</v>
      </c>
      <c r="O8800" t="s">
        <v>47425</v>
      </c>
      <c r="P8800">
        <v>0</v>
      </c>
      <c r="Q8800">
        <v>3</v>
      </c>
      <c r="R8800" t="s">
        <v>47432</v>
      </c>
      <c r="S8800" t="s">
        <v>47597</v>
      </c>
      <c r="T8800" t="s">
        <v>49205</v>
      </c>
      <c r="U8800" t="s">
        <v>56947</v>
      </c>
      <c r="V8800" t="s">
        <v>62634</v>
      </c>
      <c r="W8800" t="s">
        <v>43071</v>
      </c>
      <c r="X8800" t="s">
        <v>47433</v>
      </c>
    </row>
    <row r="8801" spans="1:24">
      <c r="A8801">
        <f>HYPERLINK("https://www.philgeps.gov.ph/GEPSNONPILOT/Tender/SplashBidNoticeAbstractUI.aspx?menuIndex=3&amp;refID=7154565&amp;Result=3","7154565")</f>
        <v>0</v>
      </c>
      <c r="B8801" t="s">
        <v>2709</v>
      </c>
      <c r="C8801" t="s">
        <v>12179</v>
      </c>
      <c r="D8801" t="s">
        <v>19018</v>
      </c>
      <c r="E8801" t="s">
        <v>26742</v>
      </c>
      <c r="F8801" t="s">
        <v>32831</v>
      </c>
      <c r="G8801" t="s">
        <v>32839</v>
      </c>
      <c r="H8801" t="s">
        <v>32848</v>
      </c>
      <c r="I8801" t="s">
        <v>7416</v>
      </c>
      <c r="J8801" t="s">
        <v>38450</v>
      </c>
      <c r="K8801" t="s">
        <v>42730</v>
      </c>
      <c r="M8801" t="s">
        <v>45935</v>
      </c>
      <c r="N8801" t="s">
        <v>47424</v>
      </c>
      <c r="O8801" t="s">
        <v>47425</v>
      </c>
      <c r="P8801">
        <v>0</v>
      </c>
      <c r="Q8801">
        <v>0</v>
      </c>
      <c r="R8801" t="s">
        <v>47432</v>
      </c>
      <c r="S8801" t="s">
        <v>47597</v>
      </c>
      <c r="T8801" t="s">
        <v>49211</v>
      </c>
      <c r="U8801" t="s">
        <v>56948</v>
      </c>
      <c r="W8801" t="s">
        <v>45935</v>
      </c>
      <c r="X8801" t="s">
        <v>47433</v>
      </c>
    </row>
    <row r="8802" spans="1:24">
      <c r="A8802">
        <f>HYPERLINK("https://www.philgeps.gov.ph/GEPSNONPILOT/Tender/SplashBidNoticeAbstractUI.aspx?menuIndex=3&amp;refID=7154546&amp;Result=3","7154546")</f>
        <v>0</v>
      </c>
      <c r="B8802" t="s">
        <v>2888</v>
      </c>
      <c r="C8802" t="s">
        <v>12180</v>
      </c>
      <c r="D8802" t="s">
        <v>19053</v>
      </c>
      <c r="E8802" t="s">
        <v>26743</v>
      </c>
      <c r="F8802" t="s">
        <v>32831</v>
      </c>
      <c r="G8802" t="s">
        <v>32838</v>
      </c>
      <c r="H8802" t="s">
        <v>32848</v>
      </c>
      <c r="I8802" t="s">
        <v>4776</v>
      </c>
      <c r="J8802" t="s">
        <v>38451</v>
      </c>
      <c r="K8802" t="s">
        <v>42748</v>
      </c>
      <c r="M8802" t="s">
        <v>46129</v>
      </c>
      <c r="N8802" t="s">
        <v>47424</v>
      </c>
      <c r="O8802" t="s">
        <v>47425</v>
      </c>
      <c r="P8802">
        <v>0</v>
      </c>
      <c r="Q8802">
        <v>0</v>
      </c>
      <c r="R8802" t="s">
        <v>47432</v>
      </c>
      <c r="S8802" t="s">
        <v>47597</v>
      </c>
      <c r="T8802" t="s">
        <v>49163</v>
      </c>
      <c r="U8802" t="s">
        <v>56949</v>
      </c>
      <c r="W8802" t="s">
        <v>46129</v>
      </c>
      <c r="X8802" t="s">
        <v>47433</v>
      </c>
    </row>
    <row r="8803" spans="1:24">
      <c r="A8803">
        <f>HYPERLINK("https://www.philgeps.gov.ph/GEPSNONPILOT/Tender/SplashBidNoticeAbstractUI.aspx?menuIndex=3&amp;refID=7154540&amp;Result=3","7154540")</f>
        <v>0</v>
      </c>
      <c r="B8803" t="s">
        <v>793</v>
      </c>
      <c r="C8803" t="s">
        <v>12181</v>
      </c>
      <c r="D8803" t="s">
        <v>19048</v>
      </c>
      <c r="E8803" t="s">
        <v>26744</v>
      </c>
      <c r="F8803" t="s">
        <v>32831</v>
      </c>
      <c r="G8803" t="s">
        <v>32838</v>
      </c>
      <c r="H8803" t="s">
        <v>32848</v>
      </c>
      <c r="I8803" t="s">
        <v>32859</v>
      </c>
      <c r="J8803" t="s">
        <v>33007</v>
      </c>
      <c r="K8803" t="s">
        <v>42727</v>
      </c>
      <c r="M8803" t="s">
        <v>43823</v>
      </c>
      <c r="N8803" t="s">
        <v>47424</v>
      </c>
      <c r="O8803" t="s">
        <v>47425</v>
      </c>
      <c r="P8803">
        <v>0</v>
      </c>
      <c r="Q8803">
        <v>4</v>
      </c>
      <c r="R8803" t="s">
        <v>47432</v>
      </c>
      <c r="S8803" t="s">
        <v>47597</v>
      </c>
      <c r="T8803" t="s">
        <v>49162</v>
      </c>
      <c r="U8803" t="s">
        <v>56950</v>
      </c>
      <c r="W8803" t="s">
        <v>43823</v>
      </c>
      <c r="X8803" t="s">
        <v>47433</v>
      </c>
    </row>
    <row r="8804" spans="1:24">
      <c r="A8804">
        <f>HYPERLINK("https://www.philgeps.gov.ph/GEPSNONPILOT/Tender/SplashBidNoticeAbstractUI.aspx?menuIndex=3&amp;refID=7154559&amp;Result=3","7154559")</f>
        <v>0</v>
      </c>
      <c r="B8804" t="s">
        <v>224</v>
      </c>
      <c r="C8804" t="s">
        <v>4344</v>
      </c>
      <c r="D8804" t="s">
        <v>19027</v>
      </c>
      <c r="E8804" t="s">
        <v>19452</v>
      </c>
      <c r="F8804" t="s">
        <v>32831</v>
      </c>
      <c r="G8804" t="s">
        <v>32840</v>
      </c>
      <c r="H8804" t="s">
        <v>32848</v>
      </c>
      <c r="I8804" t="s">
        <v>32855</v>
      </c>
      <c r="J8804" t="s">
        <v>33338</v>
      </c>
      <c r="K8804" t="s">
        <v>42727</v>
      </c>
      <c r="M8804" t="s">
        <v>43222</v>
      </c>
      <c r="N8804" t="s">
        <v>47424</v>
      </c>
      <c r="O8804" t="s">
        <v>47425</v>
      </c>
      <c r="P8804">
        <v>0</v>
      </c>
      <c r="Q8804">
        <v>11</v>
      </c>
      <c r="R8804" t="s">
        <v>47432</v>
      </c>
      <c r="S8804" t="s">
        <v>47597</v>
      </c>
      <c r="T8804" t="s">
        <v>49151</v>
      </c>
      <c r="U8804" t="s">
        <v>56951</v>
      </c>
      <c r="W8804" t="s">
        <v>43222</v>
      </c>
      <c r="X8804" t="s">
        <v>47433</v>
      </c>
    </row>
    <row r="8805" spans="1:24">
      <c r="A8805">
        <f>HYPERLINK("https://www.philgeps.gov.ph/GEPSNONPILOT/Tender/SplashBidNoticeAbstractUI.aspx?menuIndex=3&amp;refID=7154536&amp;Result=3","7154536")</f>
        <v>0</v>
      </c>
      <c r="B8805" t="s">
        <v>2854</v>
      </c>
      <c r="C8805" t="s">
        <v>12182</v>
      </c>
      <c r="D8805" t="s">
        <v>19022</v>
      </c>
      <c r="E8805" t="s">
        <v>19905</v>
      </c>
      <c r="F8805" t="s">
        <v>32831</v>
      </c>
      <c r="G8805" t="s">
        <v>32839</v>
      </c>
      <c r="H8805" t="s">
        <v>32848</v>
      </c>
      <c r="I8805" t="s">
        <v>32855</v>
      </c>
      <c r="J8805" t="s">
        <v>33087</v>
      </c>
      <c r="K8805" t="s">
        <v>42745</v>
      </c>
      <c r="M8805" t="s">
        <v>46087</v>
      </c>
      <c r="N8805" t="s">
        <v>47424</v>
      </c>
      <c r="O8805" t="s">
        <v>47425</v>
      </c>
      <c r="P8805">
        <v>0</v>
      </c>
      <c r="Q8805">
        <v>4</v>
      </c>
      <c r="R8805" t="s">
        <v>47432</v>
      </c>
      <c r="S8805" t="s">
        <v>47597</v>
      </c>
      <c r="T8805" t="s">
        <v>49490</v>
      </c>
      <c r="U8805" t="s">
        <v>56952</v>
      </c>
      <c r="V8805" t="s">
        <v>63584</v>
      </c>
      <c r="W8805" t="s">
        <v>46087</v>
      </c>
      <c r="X8805" t="s">
        <v>47433</v>
      </c>
    </row>
    <row r="8806" spans="1:24">
      <c r="A8806">
        <f>HYPERLINK("https://www.philgeps.gov.ph/GEPSNONPILOT/Tender/SplashBidNoticeAbstractUI.aspx?menuIndex=3&amp;refID=7154549&amp;Result=3","7154549")</f>
        <v>0</v>
      </c>
      <c r="B8806" t="s">
        <v>311</v>
      </c>
      <c r="C8806" t="s">
        <v>12183</v>
      </c>
      <c r="D8806" t="s">
        <v>19064</v>
      </c>
      <c r="E8806" t="s">
        <v>26745</v>
      </c>
      <c r="F8806" t="s">
        <v>32831</v>
      </c>
      <c r="G8806" t="s">
        <v>32838</v>
      </c>
      <c r="H8806" t="s">
        <v>32848</v>
      </c>
      <c r="I8806" t="s">
        <v>32870</v>
      </c>
      <c r="J8806" t="s">
        <v>33292</v>
      </c>
      <c r="K8806" t="s">
        <v>42763</v>
      </c>
      <c r="M8806" t="s">
        <v>43313</v>
      </c>
      <c r="N8806" t="s">
        <v>47424</v>
      </c>
      <c r="O8806" t="s">
        <v>47425</v>
      </c>
      <c r="P8806">
        <v>0</v>
      </c>
      <c r="Q8806">
        <v>0</v>
      </c>
      <c r="R8806" t="s">
        <v>47432</v>
      </c>
      <c r="S8806" t="s">
        <v>47597</v>
      </c>
      <c r="T8806" t="s">
        <v>49056</v>
      </c>
      <c r="U8806" t="s">
        <v>54186</v>
      </c>
      <c r="W8806" t="s">
        <v>43313</v>
      </c>
      <c r="X8806" t="s">
        <v>47433</v>
      </c>
    </row>
    <row r="8807" spans="1:24">
      <c r="A8807">
        <f>HYPERLINK("https://www.philgeps.gov.ph/GEPSNONPILOT/Tender/SplashBidNoticeAbstractUI.aspx?menuIndex=3&amp;refID=7154560&amp;Result=3","7154560")</f>
        <v>0</v>
      </c>
      <c r="B8807" t="s">
        <v>2851</v>
      </c>
      <c r="C8807" t="s">
        <v>12184</v>
      </c>
      <c r="D8807" t="s">
        <v>19046</v>
      </c>
      <c r="E8807" t="s">
        <v>26746</v>
      </c>
      <c r="F8807" t="s">
        <v>32831</v>
      </c>
      <c r="G8807" t="s">
        <v>32838</v>
      </c>
      <c r="H8807" t="s">
        <v>32848</v>
      </c>
      <c r="I8807" t="s">
        <v>32886</v>
      </c>
      <c r="J8807" t="s">
        <v>37783</v>
      </c>
      <c r="K8807" t="s">
        <v>42729</v>
      </c>
      <c r="M8807" t="s">
        <v>46084</v>
      </c>
      <c r="N8807" t="s">
        <v>47424</v>
      </c>
      <c r="O8807" t="s">
        <v>47425</v>
      </c>
      <c r="P8807">
        <v>0</v>
      </c>
      <c r="Q8807">
        <v>2</v>
      </c>
      <c r="R8807" t="s">
        <v>47432</v>
      </c>
      <c r="S8807" t="s">
        <v>47597</v>
      </c>
      <c r="T8807" t="s">
        <v>49080</v>
      </c>
      <c r="U8807" t="s">
        <v>56953</v>
      </c>
      <c r="W8807" t="s">
        <v>46084</v>
      </c>
      <c r="X8807" t="s">
        <v>47433</v>
      </c>
    </row>
    <row r="8808" spans="1:24">
      <c r="A8808">
        <f>HYPERLINK("https://www.philgeps.gov.ph/GEPSNONPILOT/Tender/SplashBidNoticeAbstractUI.aspx?menuIndex=3&amp;refID=7154543&amp;Result=3","7154543")</f>
        <v>0</v>
      </c>
      <c r="B8808" t="s">
        <v>2889</v>
      </c>
      <c r="C8808" t="s">
        <v>12185</v>
      </c>
      <c r="D8808" t="s">
        <v>19080</v>
      </c>
      <c r="E8808" t="s">
        <v>26747</v>
      </c>
      <c r="F8808" t="s">
        <v>32831</v>
      </c>
      <c r="G8808" t="s">
        <v>32839</v>
      </c>
      <c r="H8808" t="s">
        <v>32848</v>
      </c>
      <c r="I8808" t="s">
        <v>7416</v>
      </c>
      <c r="J8808" t="s">
        <v>38452</v>
      </c>
      <c r="K8808" t="s">
        <v>42729</v>
      </c>
      <c r="L8808" t="s">
        <v>2889</v>
      </c>
      <c r="M8808" t="s">
        <v>46130</v>
      </c>
      <c r="N8808" t="s">
        <v>47424</v>
      </c>
      <c r="O8808" t="s">
        <v>47425</v>
      </c>
      <c r="P8808">
        <v>0</v>
      </c>
      <c r="Q8808">
        <v>0</v>
      </c>
      <c r="R8808" t="s">
        <v>47432</v>
      </c>
      <c r="S8808" t="s">
        <v>47597</v>
      </c>
      <c r="T8808" t="s">
        <v>49104</v>
      </c>
      <c r="U8808" t="s">
        <v>56954</v>
      </c>
      <c r="V8808" t="s">
        <v>63603</v>
      </c>
      <c r="W8808" t="s">
        <v>46130</v>
      </c>
      <c r="X8808" t="s">
        <v>47433</v>
      </c>
    </row>
    <row r="8809" spans="1:24">
      <c r="A8809">
        <f>HYPERLINK("https://www.philgeps.gov.ph/GEPSNONPILOT/Tender/SplashBidNoticeAbstractUI.aspx?menuIndex=3&amp;refID=7154539&amp;Result=3","7154539")</f>
        <v>0</v>
      </c>
      <c r="B8809" t="s">
        <v>2890</v>
      </c>
      <c r="C8809" t="s">
        <v>12186</v>
      </c>
      <c r="D8809" t="s">
        <v>19078</v>
      </c>
      <c r="E8809" t="s">
        <v>26748</v>
      </c>
      <c r="F8809" t="s">
        <v>32831</v>
      </c>
      <c r="G8809" t="s">
        <v>32839</v>
      </c>
      <c r="H8809" t="s">
        <v>32849</v>
      </c>
      <c r="I8809" t="s">
        <v>4177</v>
      </c>
      <c r="J8809" t="s">
        <v>33066</v>
      </c>
      <c r="K8809" t="s">
        <v>42766</v>
      </c>
      <c r="M8809" t="s">
        <v>46131</v>
      </c>
      <c r="N8809" t="s">
        <v>47424</v>
      </c>
      <c r="O8809" t="s">
        <v>47425</v>
      </c>
      <c r="P8809">
        <v>0</v>
      </c>
      <c r="Q8809">
        <v>2</v>
      </c>
      <c r="R8809" t="s">
        <v>47432</v>
      </c>
      <c r="S8809" t="s">
        <v>47597</v>
      </c>
      <c r="T8809" t="s">
        <v>49236</v>
      </c>
      <c r="U8809" t="s">
        <v>56955</v>
      </c>
      <c r="V8809" t="s">
        <v>63604</v>
      </c>
      <c r="W8809" t="s">
        <v>46131</v>
      </c>
      <c r="X8809" t="s">
        <v>47433</v>
      </c>
    </row>
    <row r="8810" spans="1:24">
      <c r="A8810">
        <f>HYPERLINK("https://www.philgeps.gov.ph/GEPSNONPILOT/Tender/SplashBidNoticeAbstractUI.aspx?menuIndex=3&amp;refID=7154499&amp;Result=3","7154499")</f>
        <v>0</v>
      </c>
      <c r="B8810" t="s">
        <v>2890</v>
      </c>
      <c r="C8810" t="s">
        <v>12187</v>
      </c>
      <c r="D8810" t="s">
        <v>19078</v>
      </c>
      <c r="E8810" t="s">
        <v>26749</v>
      </c>
      <c r="F8810" t="s">
        <v>32831</v>
      </c>
      <c r="G8810" t="s">
        <v>32839</v>
      </c>
      <c r="H8810" t="s">
        <v>32849</v>
      </c>
      <c r="I8810" t="s">
        <v>4177</v>
      </c>
      <c r="J8810" t="s">
        <v>33083</v>
      </c>
      <c r="K8810" t="s">
        <v>42751</v>
      </c>
      <c r="M8810" t="s">
        <v>46131</v>
      </c>
      <c r="N8810" t="s">
        <v>47424</v>
      </c>
      <c r="O8810" t="s">
        <v>47425</v>
      </c>
      <c r="P8810">
        <v>0</v>
      </c>
      <c r="Q8810">
        <v>2</v>
      </c>
      <c r="R8810" t="s">
        <v>47432</v>
      </c>
      <c r="S8810" t="s">
        <v>47597</v>
      </c>
      <c r="T8810" t="s">
        <v>49236</v>
      </c>
      <c r="U8810" t="s">
        <v>56955</v>
      </c>
      <c r="V8810" t="s">
        <v>63604</v>
      </c>
      <c r="W8810" t="s">
        <v>46131</v>
      </c>
      <c r="X8810" t="s">
        <v>47433</v>
      </c>
    </row>
    <row r="8811" spans="1:24">
      <c r="A8811">
        <f>HYPERLINK("https://www.philgeps.gov.ph/GEPSNONPILOT/Tender/SplashBidNoticeAbstractUI.aspx?menuIndex=3&amp;refID=7154612&amp;Result=3","7154612")</f>
        <v>0</v>
      </c>
      <c r="B8811" t="s">
        <v>793</v>
      </c>
      <c r="C8811" t="s">
        <v>12188</v>
      </c>
      <c r="D8811" t="s">
        <v>19048</v>
      </c>
      <c r="E8811" t="s">
        <v>26750</v>
      </c>
      <c r="F8811" t="s">
        <v>32831</v>
      </c>
      <c r="G8811" t="s">
        <v>32838</v>
      </c>
      <c r="H8811" t="s">
        <v>32848</v>
      </c>
      <c r="I8811" t="s">
        <v>4776</v>
      </c>
      <c r="J8811" t="s">
        <v>32983</v>
      </c>
      <c r="K8811" t="s">
        <v>42730</v>
      </c>
      <c r="M8811" t="s">
        <v>43823</v>
      </c>
      <c r="N8811" t="s">
        <v>47424</v>
      </c>
      <c r="O8811" t="s">
        <v>47425</v>
      </c>
      <c r="P8811">
        <v>0</v>
      </c>
      <c r="Q8811">
        <v>9</v>
      </c>
      <c r="R8811" t="s">
        <v>47432</v>
      </c>
      <c r="S8811" t="s">
        <v>47597</v>
      </c>
      <c r="T8811" t="s">
        <v>49162</v>
      </c>
      <c r="U8811" t="s">
        <v>56956</v>
      </c>
      <c r="W8811" t="s">
        <v>43823</v>
      </c>
      <c r="X8811" t="s">
        <v>47433</v>
      </c>
    </row>
    <row r="8812" spans="1:24">
      <c r="A8812">
        <f>HYPERLINK("https://www.philgeps.gov.ph/GEPSNONPILOT/Tender/SplashBidNoticeAbstractUI.aspx?menuIndex=3&amp;refID=7154533&amp;Result=3","7154533")</f>
        <v>0</v>
      </c>
      <c r="B8812" t="s">
        <v>2866</v>
      </c>
      <c r="C8812" t="s">
        <v>12189</v>
      </c>
      <c r="D8812" t="s">
        <v>19059</v>
      </c>
      <c r="E8812" t="s">
        <v>26751</v>
      </c>
      <c r="F8812" t="s">
        <v>32831</v>
      </c>
      <c r="G8812" t="s">
        <v>32839</v>
      </c>
      <c r="H8812" t="s">
        <v>32849</v>
      </c>
      <c r="I8812" t="s">
        <v>4177</v>
      </c>
      <c r="J8812" t="s">
        <v>33257</v>
      </c>
      <c r="K8812" t="s">
        <v>42780</v>
      </c>
      <c r="M8812" t="s">
        <v>46101</v>
      </c>
      <c r="N8812" t="s">
        <v>47424</v>
      </c>
      <c r="O8812" t="s">
        <v>47425</v>
      </c>
      <c r="P8812">
        <v>0</v>
      </c>
      <c r="Q8812">
        <v>79</v>
      </c>
      <c r="R8812" t="s">
        <v>47432</v>
      </c>
      <c r="S8812" t="s">
        <v>47597</v>
      </c>
      <c r="T8812" t="s">
        <v>49236</v>
      </c>
      <c r="U8812" t="s">
        <v>56858</v>
      </c>
      <c r="V8812" t="s">
        <v>63599</v>
      </c>
      <c r="W8812" t="s">
        <v>46142</v>
      </c>
      <c r="X8812" t="s">
        <v>47433</v>
      </c>
    </row>
    <row r="8813" spans="1:24">
      <c r="A8813">
        <f>HYPERLINK("https://www.philgeps.gov.ph/GEPSNONPILOT/Tender/SplashBidNoticeAbstractUI.aspx?menuIndex=3&amp;refID=7154607&amp;Result=3","7154607")</f>
        <v>0</v>
      </c>
      <c r="B8813" t="s">
        <v>2232</v>
      </c>
      <c r="C8813" t="s">
        <v>12190</v>
      </c>
      <c r="D8813" t="s">
        <v>19062</v>
      </c>
      <c r="E8813" t="s">
        <v>26752</v>
      </c>
      <c r="F8813" t="s">
        <v>32831</v>
      </c>
      <c r="G8813" t="s">
        <v>32838</v>
      </c>
      <c r="H8813" t="s">
        <v>32848</v>
      </c>
      <c r="I8813" t="s">
        <v>4340</v>
      </c>
      <c r="J8813" t="s">
        <v>35864</v>
      </c>
      <c r="K8813" t="s">
        <v>42731</v>
      </c>
      <c r="M8813" t="s">
        <v>45413</v>
      </c>
      <c r="N8813" t="s">
        <v>47424</v>
      </c>
      <c r="O8813" t="s">
        <v>47425</v>
      </c>
      <c r="P8813">
        <v>0</v>
      </c>
      <c r="Q8813">
        <v>1</v>
      </c>
      <c r="R8813" t="s">
        <v>47432</v>
      </c>
      <c r="S8813" t="s">
        <v>47597</v>
      </c>
      <c r="T8813" t="s">
        <v>49214</v>
      </c>
      <c r="U8813" t="s">
        <v>54885</v>
      </c>
      <c r="W8813" t="s">
        <v>45413</v>
      </c>
      <c r="X8813" t="s">
        <v>47433</v>
      </c>
    </row>
    <row r="8814" spans="1:24">
      <c r="A8814">
        <f>HYPERLINK("https://www.philgeps.gov.ph/GEPSNONPILOT/Tender/SplashBidNoticeAbstractUI.aspx?menuIndex=3&amp;refID=7154531&amp;Result=3","7154531")</f>
        <v>0</v>
      </c>
      <c r="B8814" t="s">
        <v>421</v>
      </c>
      <c r="C8814" t="s">
        <v>12191</v>
      </c>
      <c r="D8814" t="s">
        <v>19021</v>
      </c>
      <c r="E8814" t="s">
        <v>26753</v>
      </c>
      <c r="F8814" t="s">
        <v>32831</v>
      </c>
      <c r="G8814" t="s">
        <v>32841</v>
      </c>
      <c r="H8814" t="s">
        <v>32848</v>
      </c>
      <c r="I8814" t="s">
        <v>32883</v>
      </c>
      <c r="J8814" t="s">
        <v>33016</v>
      </c>
      <c r="K8814" t="s">
        <v>42747</v>
      </c>
      <c r="M8814" t="s">
        <v>46112</v>
      </c>
      <c r="N8814" t="s">
        <v>47424</v>
      </c>
      <c r="O8814" t="s">
        <v>47425</v>
      </c>
      <c r="P8814">
        <v>0</v>
      </c>
      <c r="Q8814">
        <v>8</v>
      </c>
      <c r="R8814" t="s">
        <v>47432</v>
      </c>
      <c r="S8814" t="s">
        <v>47597</v>
      </c>
      <c r="T8814" t="s">
        <v>49105</v>
      </c>
      <c r="U8814" t="s">
        <v>56957</v>
      </c>
      <c r="W8814" t="s">
        <v>46112</v>
      </c>
      <c r="X8814" t="s">
        <v>47433</v>
      </c>
    </row>
    <row r="8815" spans="1:24">
      <c r="A8815">
        <f>HYPERLINK("https://www.philgeps.gov.ph/GEPSNONPILOT/Tender/SplashBidNoticeAbstractUI.aspx?menuIndex=3&amp;refID=7154605&amp;Result=3","7154605")</f>
        <v>0</v>
      </c>
      <c r="B8815" t="s">
        <v>2891</v>
      </c>
      <c r="C8815" t="s">
        <v>12192</v>
      </c>
      <c r="D8815" t="s">
        <v>19077</v>
      </c>
      <c r="E8815" t="s">
        <v>19203</v>
      </c>
      <c r="F8815" t="s">
        <v>32831</v>
      </c>
      <c r="G8815" t="s">
        <v>32839</v>
      </c>
      <c r="H8815" t="s">
        <v>32850</v>
      </c>
      <c r="I8815" t="s">
        <v>4177</v>
      </c>
      <c r="J8815" t="s">
        <v>38453</v>
      </c>
      <c r="K8815" t="s">
        <v>42727</v>
      </c>
      <c r="L8815" t="s">
        <v>2891</v>
      </c>
      <c r="M8815" t="s">
        <v>46132</v>
      </c>
      <c r="N8815" t="s">
        <v>47424</v>
      </c>
      <c r="O8815" t="s">
        <v>47425</v>
      </c>
      <c r="P8815">
        <v>0</v>
      </c>
      <c r="Q8815">
        <v>0</v>
      </c>
      <c r="R8815" t="s">
        <v>47432</v>
      </c>
      <c r="S8815" t="s">
        <v>47597</v>
      </c>
      <c r="T8815" t="s">
        <v>49141</v>
      </c>
      <c r="U8815" t="s">
        <v>56958</v>
      </c>
      <c r="W8815" t="s">
        <v>46132</v>
      </c>
      <c r="X8815" t="s">
        <v>47433</v>
      </c>
    </row>
    <row r="8816" spans="1:24">
      <c r="A8816">
        <f>HYPERLINK("https://www.philgeps.gov.ph/GEPSNONPILOT/Tender/SplashBidNoticeAbstractUI.aspx?menuIndex=3&amp;refID=7154500&amp;Result=3","7154500")</f>
        <v>0</v>
      </c>
      <c r="B8816" t="s">
        <v>2854</v>
      </c>
      <c r="C8816" t="s">
        <v>12193</v>
      </c>
      <c r="D8816" t="s">
        <v>19022</v>
      </c>
      <c r="E8816" t="s">
        <v>20597</v>
      </c>
      <c r="F8816" t="s">
        <v>32831</v>
      </c>
      <c r="G8816" t="s">
        <v>32839</v>
      </c>
      <c r="H8816" t="s">
        <v>32848</v>
      </c>
      <c r="I8816" t="s">
        <v>7416</v>
      </c>
      <c r="J8816" t="s">
        <v>38454</v>
      </c>
      <c r="K8816" t="s">
        <v>42745</v>
      </c>
      <c r="M8816" t="s">
        <v>46087</v>
      </c>
      <c r="N8816" t="s">
        <v>47424</v>
      </c>
      <c r="O8816" t="s">
        <v>47425</v>
      </c>
      <c r="P8816">
        <v>0</v>
      </c>
      <c r="Q8816">
        <v>2</v>
      </c>
      <c r="R8816" t="s">
        <v>47432</v>
      </c>
      <c r="S8816" t="s">
        <v>47597</v>
      </c>
      <c r="T8816" t="s">
        <v>49490</v>
      </c>
      <c r="U8816" t="s">
        <v>56959</v>
      </c>
      <c r="V8816" t="s">
        <v>63584</v>
      </c>
      <c r="W8816" t="s">
        <v>46087</v>
      </c>
      <c r="X8816" t="s">
        <v>47433</v>
      </c>
    </row>
    <row r="8817" spans="1:24">
      <c r="A8817">
        <f>HYPERLINK("https://www.philgeps.gov.ph/GEPSNONPILOT/Tender/SplashBidNoticeAbstractUI.aspx?menuIndex=3&amp;refID=7154598&amp;Result=3","7154598")</f>
        <v>0</v>
      </c>
      <c r="B8817" t="s">
        <v>1162</v>
      </c>
      <c r="C8817" t="s">
        <v>12194</v>
      </c>
      <c r="D8817" t="s">
        <v>19050</v>
      </c>
      <c r="E8817" t="s">
        <v>26754</v>
      </c>
      <c r="F8817" t="s">
        <v>32831</v>
      </c>
      <c r="G8817" t="s">
        <v>32839</v>
      </c>
      <c r="H8817" t="s">
        <v>32848</v>
      </c>
      <c r="I8817" t="s">
        <v>32912</v>
      </c>
      <c r="J8817" t="s">
        <v>38455</v>
      </c>
      <c r="K8817" t="s">
        <v>42759</v>
      </c>
      <c r="M8817" t="s">
        <v>46128</v>
      </c>
      <c r="N8817" t="s">
        <v>47424</v>
      </c>
      <c r="O8817" t="s">
        <v>47425</v>
      </c>
      <c r="P8817">
        <v>0</v>
      </c>
      <c r="Q8817">
        <v>0</v>
      </c>
      <c r="R8817" t="s">
        <v>47432</v>
      </c>
      <c r="S8817" t="s">
        <v>47597</v>
      </c>
      <c r="T8817" t="s">
        <v>49150</v>
      </c>
      <c r="U8817" t="s">
        <v>56960</v>
      </c>
      <c r="W8817" t="s">
        <v>46128</v>
      </c>
      <c r="X8817" t="s">
        <v>47433</v>
      </c>
    </row>
    <row r="8818" spans="1:24">
      <c r="A8818">
        <f>HYPERLINK("https://www.philgeps.gov.ph/GEPSNONPILOT/Tender/SplashBidNoticeAbstractUI.aspx?menuIndex=3&amp;refID=7154596&amp;Result=3","7154596")</f>
        <v>0</v>
      </c>
      <c r="B8818" t="s">
        <v>2886</v>
      </c>
      <c r="C8818" t="s">
        <v>12195</v>
      </c>
      <c r="D8818" t="s">
        <v>19070</v>
      </c>
      <c r="E8818" t="s">
        <v>26755</v>
      </c>
      <c r="F8818" t="s">
        <v>32831</v>
      </c>
      <c r="G8818" t="s">
        <v>32839</v>
      </c>
      <c r="H8818" t="s">
        <v>32848</v>
      </c>
      <c r="I8818" t="s">
        <v>32883</v>
      </c>
      <c r="J8818" t="s">
        <v>32985</v>
      </c>
      <c r="K8818" t="s">
        <v>42726</v>
      </c>
      <c r="M8818" t="s">
        <v>46125</v>
      </c>
      <c r="N8818" t="s">
        <v>47424</v>
      </c>
      <c r="O8818" t="s">
        <v>47425</v>
      </c>
      <c r="P8818">
        <v>0</v>
      </c>
      <c r="Q8818">
        <v>2</v>
      </c>
      <c r="R8818" t="s">
        <v>47432</v>
      </c>
      <c r="S8818" t="s">
        <v>47597</v>
      </c>
      <c r="T8818" t="s">
        <v>49151</v>
      </c>
      <c r="U8818" t="s">
        <v>56961</v>
      </c>
      <c r="W8818" t="s">
        <v>46125</v>
      </c>
      <c r="X8818" t="s">
        <v>47433</v>
      </c>
    </row>
    <row r="8819" spans="1:24">
      <c r="A8819">
        <f>HYPERLINK("https://www.philgeps.gov.ph/GEPSNONPILOT/Tender/SplashBidNoticeAbstractUI.aspx?menuIndex=3&amp;refID=7154594&amp;Result=3","7154594")</f>
        <v>0</v>
      </c>
      <c r="B8819" t="s">
        <v>2674</v>
      </c>
      <c r="C8819" t="s">
        <v>12196</v>
      </c>
      <c r="D8819" t="s">
        <v>19077</v>
      </c>
      <c r="E8819" t="s">
        <v>26756</v>
      </c>
      <c r="F8819" t="s">
        <v>32831</v>
      </c>
      <c r="G8819" t="s">
        <v>32839</v>
      </c>
      <c r="H8819" t="s">
        <v>32850</v>
      </c>
      <c r="I8819" t="s">
        <v>32859</v>
      </c>
      <c r="J8819" t="s">
        <v>38456</v>
      </c>
      <c r="K8819" t="s">
        <v>42730</v>
      </c>
      <c r="M8819" t="s">
        <v>45897</v>
      </c>
      <c r="N8819" t="s">
        <v>47424</v>
      </c>
      <c r="O8819" t="s">
        <v>47425</v>
      </c>
      <c r="P8819">
        <v>0</v>
      </c>
      <c r="Q8819">
        <v>0</v>
      </c>
      <c r="R8819" t="s">
        <v>47432</v>
      </c>
      <c r="S8819" t="s">
        <v>47597</v>
      </c>
      <c r="T8819" t="s">
        <v>49173</v>
      </c>
      <c r="U8819" t="s">
        <v>56962</v>
      </c>
      <c r="V8819" t="s">
        <v>63605</v>
      </c>
      <c r="W8819" t="s">
        <v>45897</v>
      </c>
      <c r="X8819" t="s">
        <v>47433</v>
      </c>
    </row>
    <row r="8820" spans="1:24">
      <c r="A8820">
        <f>HYPERLINK("https://www.philgeps.gov.ph/GEPSNONPILOT/Tender/SplashBidNoticeAbstractUI.aspx?menuIndex=3&amp;refID=7154564&amp;Result=3","7154564")</f>
        <v>0</v>
      </c>
      <c r="B8820" t="s">
        <v>1312</v>
      </c>
      <c r="C8820" t="s">
        <v>12197</v>
      </c>
      <c r="D8820" t="s">
        <v>19054</v>
      </c>
      <c r="E8820" t="s">
        <v>26757</v>
      </c>
      <c r="F8820" t="s">
        <v>32831</v>
      </c>
      <c r="G8820" t="s">
        <v>32839</v>
      </c>
      <c r="H8820" t="s">
        <v>32848</v>
      </c>
      <c r="I8820" t="s">
        <v>9577</v>
      </c>
      <c r="J8820" t="s">
        <v>38457</v>
      </c>
      <c r="K8820" t="s">
        <v>42732</v>
      </c>
      <c r="M8820" t="s">
        <v>44383</v>
      </c>
      <c r="N8820" t="s">
        <v>47424</v>
      </c>
      <c r="O8820" t="s">
        <v>47425</v>
      </c>
      <c r="P8820">
        <v>0</v>
      </c>
      <c r="Q8820">
        <v>1</v>
      </c>
      <c r="R8820" t="s">
        <v>47432</v>
      </c>
      <c r="S8820" t="s">
        <v>47597</v>
      </c>
      <c r="T8820" t="s">
        <v>49122</v>
      </c>
      <c r="U8820" t="s">
        <v>56963</v>
      </c>
      <c r="W8820" t="s">
        <v>44383</v>
      </c>
      <c r="X8820" t="s">
        <v>47433</v>
      </c>
    </row>
    <row r="8821" spans="1:24">
      <c r="A8821">
        <f>HYPERLINK("https://www.philgeps.gov.ph/GEPSNONPILOT/Tender/SplashBidNoticeAbstractUI.aspx?menuIndex=3&amp;refID=7154603&amp;Result=3","7154603")</f>
        <v>0</v>
      </c>
      <c r="B8821" t="s">
        <v>2854</v>
      </c>
      <c r="C8821" t="s">
        <v>12198</v>
      </c>
      <c r="D8821" t="s">
        <v>19022</v>
      </c>
      <c r="E8821" t="s">
        <v>25839</v>
      </c>
      <c r="F8821" t="s">
        <v>32831</v>
      </c>
      <c r="G8821" t="s">
        <v>32839</v>
      </c>
      <c r="H8821" t="s">
        <v>32849</v>
      </c>
      <c r="I8821" t="s">
        <v>32889</v>
      </c>
      <c r="J8821" t="s">
        <v>32978</v>
      </c>
      <c r="K8821" t="s">
        <v>42730</v>
      </c>
      <c r="M8821" t="s">
        <v>46087</v>
      </c>
      <c r="N8821" t="s">
        <v>47424</v>
      </c>
      <c r="O8821" t="s">
        <v>47425</v>
      </c>
      <c r="P8821">
        <v>0</v>
      </c>
      <c r="Q8821">
        <v>1</v>
      </c>
      <c r="R8821" t="s">
        <v>47432</v>
      </c>
      <c r="S8821" t="s">
        <v>47597</v>
      </c>
      <c r="T8821" t="s">
        <v>49490</v>
      </c>
      <c r="U8821" t="s">
        <v>56964</v>
      </c>
      <c r="V8821" t="s">
        <v>63584</v>
      </c>
      <c r="W8821" t="s">
        <v>46087</v>
      </c>
      <c r="X8821" t="s">
        <v>47433</v>
      </c>
    </row>
    <row r="8822" spans="1:24">
      <c r="A8822">
        <f>HYPERLINK("https://www.philgeps.gov.ph/GEPSNONPILOT/Tender/SplashBidNoticeAbstractUI.aspx?menuIndex=3&amp;refID=7154589&amp;Result=3","7154589")</f>
        <v>0</v>
      </c>
      <c r="B8822" t="s">
        <v>2247</v>
      </c>
      <c r="C8822" t="s">
        <v>12199</v>
      </c>
      <c r="D8822" t="s">
        <v>19071</v>
      </c>
      <c r="E8822" t="s">
        <v>26758</v>
      </c>
      <c r="F8822" t="s">
        <v>32831</v>
      </c>
      <c r="G8822" t="s">
        <v>32839</v>
      </c>
      <c r="H8822" t="s">
        <v>32848</v>
      </c>
      <c r="I8822" t="s">
        <v>4558</v>
      </c>
      <c r="J8822" t="s">
        <v>34062</v>
      </c>
      <c r="K8822" t="s">
        <v>42732</v>
      </c>
      <c r="M8822" t="s">
        <v>45428</v>
      </c>
      <c r="N8822" t="s">
        <v>47424</v>
      </c>
      <c r="O8822" t="s">
        <v>47425</v>
      </c>
      <c r="P8822">
        <v>0</v>
      </c>
      <c r="Q8822">
        <v>1</v>
      </c>
      <c r="R8822" t="s">
        <v>47432</v>
      </c>
      <c r="S8822" t="s">
        <v>47597</v>
      </c>
      <c r="T8822" t="s">
        <v>49127</v>
      </c>
      <c r="U8822" t="s">
        <v>56965</v>
      </c>
      <c r="W8822" t="s">
        <v>45428</v>
      </c>
      <c r="X8822" t="s">
        <v>47433</v>
      </c>
    </row>
    <row r="8823" spans="1:24">
      <c r="A8823">
        <f>HYPERLINK("https://www.philgeps.gov.ph/GEPSNONPILOT/Tender/SplashBidNoticeAbstractUI.aspx?menuIndex=3&amp;refID=7154597&amp;Result=3","7154597")</f>
        <v>0</v>
      </c>
      <c r="B8823" t="s">
        <v>2892</v>
      </c>
      <c r="C8823" t="s">
        <v>12200</v>
      </c>
      <c r="D8823" t="s">
        <v>19037</v>
      </c>
      <c r="E8823" t="s">
        <v>26759</v>
      </c>
      <c r="F8823" t="s">
        <v>32831</v>
      </c>
      <c r="G8823" t="s">
        <v>32839</v>
      </c>
      <c r="H8823" t="s">
        <v>32848</v>
      </c>
      <c r="I8823" t="s">
        <v>7416</v>
      </c>
      <c r="J8823" t="s">
        <v>38458</v>
      </c>
      <c r="K8823" t="s">
        <v>42763</v>
      </c>
      <c r="M8823" t="s">
        <v>46133</v>
      </c>
      <c r="N8823" t="s">
        <v>47424</v>
      </c>
      <c r="O8823" t="s">
        <v>47425</v>
      </c>
      <c r="P8823">
        <v>0</v>
      </c>
      <c r="Q8823">
        <v>1</v>
      </c>
      <c r="R8823" t="s">
        <v>47432</v>
      </c>
      <c r="S8823" t="s">
        <v>47597</v>
      </c>
      <c r="T8823" t="s">
        <v>49424</v>
      </c>
      <c r="U8823" t="s">
        <v>56966</v>
      </c>
      <c r="W8823" t="s">
        <v>46133</v>
      </c>
      <c r="X8823" t="s">
        <v>47433</v>
      </c>
    </row>
    <row r="8824" spans="1:24">
      <c r="A8824">
        <f>HYPERLINK("https://www.philgeps.gov.ph/GEPSNONPILOT/Tender/SplashBidNoticeAbstractUI.aspx?menuIndex=3&amp;refID=7154587&amp;Result=3","7154587")</f>
        <v>0</v>
      </c>
      <c r="B8824" t="s">
        <v>2771</v>
      </c>
      <c r="C8824" t="s">
        <v>12201</v>
      </c>
      <c r="D8824" t="s">
        <v>19023</v>
      </c>
      <c r="E8824" t="s">
        <v>26760</v>
      </c>
      <c r="F8824" t="s">
        <v>32831</v>
      </c>
      <c r="G8824" t="s">
        <v>32839</v>
      </c>
      <c r="H8824" t="s">
        <v>32848</v>
      </c>
      <c r="I8824" t="s">
        <v>7751</v>
      </c>
      <c r="J8824" t="s">
        <v>36123</v>
      </c>
      <c r="K8824" t="s">
        <v>42730</v>
      </c>
      <c r="M8824" t="s">
        <v>46002</v>
      </c>
      <c r="N8824" t="s">
        <v>47424</v>
      </c>
      <c r="O8824" t="s">
        <v>47425</v>
      </c>
      <c r="P8824">
        <v>0</v>
      </c>
      <c r="Q8824">
        <v>9</v>
      </c>
      <c r="R8824" t="s">
        <v>47432</v>
      </c>
      <c r="S8824" t="s">
        <v>47597</v>
      </c>
      <c r="T8824" t="s">
        <v>49136</v>
      </c>
      <c r="U8824" t="s">
        <v>56967</v>
      </c>
      <c r="W8824" t="s">
        <v>46002</v>
      </c>
      <c r="X8824" t="s">
        <v>47433</v>
      </c>
    </row>
    <row r="8825" spans="1:24">
      <c r="A8825">
        <f>HYPERLINK("https://www.philgeps.gov.ph/GEPSNONPILOT/Tender/SplashBidNoticeAbstractUI.aspx?menuIndex=3&amp;refID=7154611&amp;Result=3","7154611")</f>
        <v>0</v>
      </c>
      <c r="B8825" t="s">
        <v>1162</v>
      </c>
      <c r="C8825" t="s">
        <v>12202</v>
      </c>
      <c r="D8825" t="s">
        <v>19050</v>
      </c>
      <c r="E8825" t="s">
        <v>12202</v>
      </c>
      <c r="F8825" t="s">
        <v>32831</v>
      </c>
      <c r="G8825" t="s">
        <v>32839</v>
      </c>
      <c r="H8825" t="s">
        <v>32848</v>
      </c>
      <c r="I8825" t="s">
        <v>4303</v>
      </c>
      <c r="J8825" t="s">
        <v>38459</v>
      </c>
      <c r="K8825" t="s">
        <v>42730</v>
      </c>
      <c r="M8825" t="s">
        <v>46128</v>
      </c>
      <c r="N8825" t="s">
        <v>47424</v>
      </c>
      <c r="O8825" t="s">
        <v>47425</v>
      </c>
      <c r="P8825">
        <v>0</v>
      </c>
      <c r="Q8825">
        <v>0</v>
      </c>
      <c r="R8825" t="s">
        <v>47432</v>
      </c>
      <c r="S8825" t="s">
        <v>47597</v>
      </c>
      <c r="T8825" t="s">
        <v>49150</v>
      </c>
      <c r="U8825" t="s">
        <v>56968</v>
      </c>
      <c r="W8825" t="s">
        <v>46128</v>
      </c>
      <c r="X8825" t="s">
        <v>47433</v>
      </c>
    </row>
    <row r="8826" spans="1:24">
      <c r="A8826">
        <f>HYPERLINK("https://www.philgeps.gov.ph/GEPSNONPILOT/Tender/SplashBidNoticeAbstractUI.aspx?menuIndex=3&amp;refID=7154585&amp;Result=3","7154585")</f>
        <v>0</v>
      </c>
      <c r="B8826" t="s">
        <v>2215</v>
      </c>
      <c r="C8826" t="s">
        <v>12203</v>
      </c>
      <c r="D8826" t="s">
        <v>19077</v>
      </c>
      <c r="E8826" t="s">
        <v>26761</v>
      </c>
      <c r="F8826" t="s">
        <v>32831</v>
      </c>
      <c r="G8826" t="s">
        <v>32841</v>
      </c>
      <c r="H8826" t="s">
        <v>32849</v>
      </c>
      <c r="I8826" t="s">
        <v>4177</v>
      </c>
      <c r="J8826" t="s">
        <v>33111</v>
      </c>
      <c r="K8826" t="s">
        <v>42876</v>
      </c>
      <c r="M8826" t="s">
        <v>45395</v>
      </c>
      <c r="N8826" t="s">
        <v>47424</v>
      </c>
      <c r="O8826" t="s">
        <v>47425</v>
      </c>
      <c r="Q8826">
        <v>0</v>
      </c>
      <c r="R8826" t="s">
        <v>47432</v>
      </c>
      <c r="S8826" t="s">
        <v>47620</v>
      </c>
      <c r="T8826" t="s">
        <v>49370</v>
      </c>
      <c r="U8826" t="s">
        <v>56189</v>
      </c>
      <c r="W8826" t="s">
        <v>45395</v>
      </c>
      <c r="X8826" t="s">
        <v>47433</v>
      </c>
    </row>
    <row r="8827" spans="1:24">
      <c r="A8827">
        <f>HYPERLINK("https://www.philgeps.gov.ph/GEPSNONPILOT/Tender/SplashBidNoticeAbstractUI.aspx?menuIndex=3&amp;refID=7154584&amp;Result=3","7154584")</f>
        <v>0</v>
      </c>
      <c r="B8827" t="s">
        <v>1777</v>
      </c>
      <c r="C8827" t="s">
        <v>12204</v>
      </c>
      <c r="D8827" t="s">
        <v>19074</v>
      </c>
      <c r="E8827" t="s">
        <v>26762</v>
      </c>
      <c r="F8827" t="s">
        <v>32831</v>
      </c>
      <c r="G8827" t="s">
        <v>32839</v>
      </c>
      <c r="H8827" t="s">
        <v>32848</v>
      </c>
      <c r="I8827" t="s">
        <v>4558</v>
      </c>
      <c r="J8827" t="s">
        <v>33257</v>
      </c>
      <c r="K8827" t="s">
        <v>42730</v>
      </c>
      <c r="M8827" t="s">
        <v>44902</v>
      </c>
      <c r="N8827" t="s">
        <v>47424</v>
      </c>
      <c r="O8827" t="s">
        <v>47425</v>
      </c>
      <c r="P8827">
        <v>0</v>
      </c>
      <c r="Q8827">
        <v>5</v>
      </c>
      <c r="R8827" t="s">
        <v>47432</v>
      </c>
      <c r="S8827" t="s">
        <v>47597</v>
      </c>
      <c r="T8827" t="s">
        <v>49160</v>
      </c>
      <c r="U8827" t="s">
        <v>56969</v>
      </c>
      <c r="W8827" t="s">
        <v>44902</v>
      </c>
      <c r="X8827" t="s">
        <v>47433</v>
      </c>
    </row>
    <row r="8828" spans="1:24">
      <c r="A8828">
        <f>HYPERLINK("https://www.philgeps.gov.ph/GEPSNONPILOT/Tender/SplashBidNoticeAbstractUI.aspx?menuIndex=3&amp;refID=7154593&amp;Result=3","7154593")</f>
        <v>0</v>
      </c>
      <c r="B8828" t="s">
        <v>2893</v>
      </c>
      <c r="C8828" t="s">
        <v>12205</v>
      </c>
      <c r="D8828" t="s">
        <v>19034</v>
      </c>
      <c r="E8828" t="s">
        <v>19130</v>
      </c>
      <c r="F8828" t="s">
        <v>32831</v>
      </c>
      <c r="G8828" t="s">
        <v>32839</v>
      </c>
      <c r="H8828" t="s">
        <v>32848</v>
      </c>
      <c r="I8828" t="s">
        <v>7416</v>
      </c>
      <c r="J8828" t="s">
        <v>38460</v>
      </c>
      <c r="K8828" t="s">
        <v>42726</v>
      </c>
      <c r="L8828" t="s">
        <v>2893</v>
      </c>
      <c r="M8828" t="s">
        <v>46134</v>
      </c>
      <c r="N8828" t="s">
        <v>47424</v>
      </c>
      <c r="O8828" t="s">
        <v>47425</v>
      </c>
      <c r="P8828">
        <v>0</v>
      </c>
      <c r="Q8828">
        <v>0</v>
      </c>
      <c r="R8828" t="s">
        <v>47432</v>
      </c>
      <c r="S8828" t="s">
        <v>47597</v>
      </c>
      <c r="T8828" t="s">
        <v>49127</v>
      </c>
      <c r="U8828" t="s">
        <v>56970</v>
      </c>
      <c r="W8828" t="s">
        <v>46134</v>
      </c>
      <c r="X8828" t="s">
        <v>47433</v>
      </c>
    </row>
    <row r="8829" spans="1:24">
      <c r="A8829">
        <f>HYPERLINK("https://www.philgeps.gov.ph/GEPSNONPILOT/Tender/SplashBidNoticeAbstractUI.aspx?menuIndex=3&amp;refID=7154583&amp;Result=3","7154583")</f>
        <v>0</v>
      </c>
      <c r="B8829" t="s">
        <v>1162</v>
      </c>
      <c r="C8829" t="s">
        <v>12206</v>
      </c>
      <c r="D8829" t="s">
        <v>19050</v>
      </c>
      <c r="E8829" t="s">
        <v>26763</v>
      </c>
      <c r="F8829" t="s">
        <v>32831</v>
      </c>
      <c r="G8829" t="s">
        <v>32839</v>
      </c>
      <c r="H8829" t="s">
        <v>32848</v>
      </c>
      <c r="I8829" t="s">
        <v>6526</v>
      </c>
      <c r="J8829" t="s">
        <v>33936</v>
      </c>
      <c r="K8829" t="s">
        <v>42730</v>
      </c>
      <c r="M8829" t="s">
        <v>46128</v>
      </c>
      <c r="N8829" t="s">
        <v>47424</v>
      </c>
      <c r="O8829" t="s">
        <v>47425</v>
      </c>
      <c r="P8829">
        <v>0</v>
      </c>
      <c r="Q8829">
        <v>0</v>
      </c>
      <c r="R8829" t="s">
        <v>47432</v>
      </c>
      <c r="S8829" t="s">
        <v>47597</v>
      </c>
      <c r="T8829" t="s">
        <v>49150</v>
      </c>
      <c r="U8829" t="s">
        <v>56971</v>
      </c>
      <c r="W8829" t="s">
        <v>46128</v>
      </c>
      <c r="X8829" t="s">
        <v>47433</v>
      </c>
    </row>
    <row r="8830" spans="1:24">
      <c r="A8830">
        <f>HYPERLINK("https://www.philgeps.gov.ph/GEPSNONPILOT/Tender/SplashBidNoticeAbstractUI.aspx?menuIndex=3&amp;refID=7154498&amp;Result=3","7154498")</f>
        <v>0</v>
      </c>
      <c r="B8830" t="s">
        <v>2429</v>
      </c>
      <c r="C8830" t="s">
        <v>12099</v>
      </c>
      <c r="D8830" t="s">
        <v>19064</v>
      </c>
      <c r="E8830" t="s">
        <v>26764</v>
      </c>
      <c r="F8830" t="s">
        <v>32831</v>
      </c>
      <c r="G8830" t="s">
        <v>32839</v>
      </c>
      <c r="H8830" t="s">
        <v>32848</v>
      </c>
      <c r="I8830" t="s">
        <v>9577</v>
      </c>
      <c r="J8830" t="s">
        <v>38461</v>
      </c>
      <c r="K8830" t="s">
        <v>42731</v>
      </c>
      <c r="M8830" t="s">
        <v>45626</v>
      </c>
      <c r="N8830" t="s">
        <v>47424</v>
      </c>
      <c r="O8830" t="s">
        <v>47425</v>
      </c>
      <c r="P8830">
        <v>0</v>
      </c>
      <c r="Q8830">
        <v>0</v>
      </c>
      <c r="R8830" t="s">
        <v>47432</v>
      </c>
      <c r="S8830" t="s">
        <v>47597</v>
      </c>
      <c r="T8830" t="s">
        <v>49055</v>
      </c>
      <c r="U8830" t="s">
        <v>51307</v>
      </c>
      <c r="W8830" t="s">
        <v>45626</v>
      </c>
      <c r="X8830" t="s">
        <v>47433</v>
      </c>
    </row>
    <row r="8831" spans="1:24">
      <c r="A8831">
        <f>HYPERLINK("https://www.philgeps.gov.ph/GEPSNONPILOT/Tender/SplashBidNoticeAbstractUI.aspx?menuIndex=3&amp;refID=7154630&amp;Result=3","7154630")</f>
        <v>0</v>
      </c>
      <c r="B8831" t="s">
        <v>2894</v>
      </c>
      <c r="C8831" t="s">
        <v>12207</v>
      </c>
      <c r="D8831" t="s">
        <v>19042</v>
      </c>
      <c r="E8831" t="s">
        <v>26765</v>
      </c>
      <c r="F8831" t="s">
        <v>32831</v>
      </c>
      <c r="G8831" t="s">
        <v>32839</v>
      </c>
      <c r="H8831" t="s">
        <v>32849</v>
      </c>
      <c r="I8831" t="s">
        <v>4177</v>
      </c>
      <c r="J8831" t="s">
        <v>36189</v>
      </c>
      <c r="K8831" t="s">
        <v>42773</v>
      </c>
      <c r="M8831" t="s">
        <v>46135</v>
      </c>
      <c r="N8831" t="s">
        <v>47424</v>
      </c>
      <c r="O8831" t="s">
        <v>47425</v>
      </c>
      <c r="P8831">
        <v>0</v>
      </c>
      <c r="Q8831">
        <v>0</v>
      </c>
      <c r="R8831" t="s">
        <v>47432</v>
      </c>
      <c r="S8831" t="s">
        <v>47597</v>
      </c>
      <c r="T8831" t="s">
        <v>49521</v>
      </c>
      <c r="U8831" t="s">
        <v>56972</v>
      </c>
      <c r="V8831" t="s">
        <v>63291</v>
      </c>
      <c r="W8831" t="s">
        <v>46135</v>
      </c>
      <c r="X8831" t="s">
        <v>47433</v>
      </c>
    </row>
    <row r="8832" spans="1:24">
      <c r="A8832">
        <f>HYPERLINK("https://www.philgeps.gov.ph/GEPSNONPILOT/Tender/SplashBidNoticeAbstractUI.aspx?menuIndex=3&amp;refID=7154592&amp;Result=3","7154592")</f>
        <v>0</v>
      </c>
      <c r="B8832" t="s">
        <v>1969</v>
      </c>
      <c r="C8832" t="s">
        <v>12208</v>
      </c>
      <c r="D8832" t="s">
        <v>19047</v>
      </c>
      <c r="E8832" t="s">
        <v>26766</v>
      </c>
      <c r="F8832" t="s">
        <v>32831</v>
      </c>
      <c r="G8832" t="s">
        <v>32838</v>
      </c>
      <c r="H8832" t="s">
        <v>32848</v>
      </c>
      <c r="I8832" t="s">
        <v>4222</v>
      </c>
      <c r="J8832" t="s">
        <v>38462</v>
      </c>
      <c r="K8832" t="s">
        <v>42726</v>
      </c>
      <c r="M8832" t="s">
        <v>46136</v>
      </c>
      <c r="N8832" t="s">
        <v>47424</v>
      </c>
      <c r="O8832" t="s">
        <v>47425</v>
      </c>
      <c r="P8832">
        <v>0</v>
      </c>
      <c r="Q8832">
        <v>2</v>
      </c>
      <c r="R8832" t="s">
        <v>47432</v>
      </c>
      <c r="S8832" t="s">
        <v>47597</v>
      </c>
      <c r="T8832" t="s">
        <v>49119</v>
      </c>
      <c r="U8832" t="s">
        <v>56973</v>
      </c>
      <c r="W8832" t="s">
        <v>64494</v>
      </c>
      <c r="X8832" t="s">
        <v>47433</v>
      </c>
    </row>
    <row r="8833" spans="1:24">
      <c r="A8833">
        <f>HYPERLINK("https://www.philgeps.gov.ph/GEPSNONPILOT/Tender/SplashBidNoticeAbstractUI.aspx?menuIndex=3&amp;refID=7154601&amp;Result=3","7154601")</f>
        <v>0</v>
      </c>
      <c r="B8833" t="s">
        <v>2215</v>
      </c>
      <c r="C8833" t="s">
        <v>12209</v>
      </c>
      <c r="D8833" t="s">
        <v>19077</v>
      </c>
      <c r="E8833" t="s">
        <v>26767</v>
      </c>
      <c r="F8833" t="s">
        <v>32831</v>
      </c>
      <c r="G8833" t="s">
        <v>32841</v>
      </c>
      <c r="H8833" t="s">
        <v>32849</v>
      </c>
      <c r="I8833" t="s">
        <v>4177</v>
      </c>
      <c r="J8833" t="s">
        <v>33111</v>
      </c>
      <c r="K8833" t="s">
        <v>42811</v>
      </c>
      <c r="M8833" t="s">
        <v>45395</v>
      </c>
      <c r="N8833" t="s">
        <v>47424</v>
      </c>
      <c r="O8833" t="s">
        <v>47425</v>
      </c>
      <c r="Q8833">
        <v>0</v>
      </c>
      <c r="R8833" t="s">
        <v>47432</v>
      </c>
      <c r="S8833" t="s">
        <v>47621</v>
      </c>
      <c r="T8833" t="s">
        <v>49370</v>
      </c>
      <c r="U8833" t="s">
        <v>56189</v>
      </c>
      <c r="W8833" t="s">
        <v>45395</v>
      </c>
      <c r="X8833" t="s">
        <v>47433</v>
      </c>
    </row>
    <row r="8834" spans="1:24">
      <c r="A8834">
        <f>HYPERLINK("https://www.philgeps.gov.ph/GEPSNONPILOT/Tender/SplashBidNoticeAbstractUI.aspx?menuIndex=3&amp;refID=7154579&amp;Result=3","7154579")</f>
        <v>0</v>
      </c>
      <c r="B8834" t="s">
        <v>2890</v>
      </c>
      <c r="C8834" t="s">
        <v>12210</v>
      </c>
      <c r="D8834" t="s">
        <v>19078</v>
      </c>
      <c r="E8834" t="s">
        <v>26768</v>
      </c>
      <c r="F8834" t="s">
        <v>32831</v>
      </c>
      <c r="G8834" t="s">
        <v>32839</v>
      </c>
      <c r="H8834" t="s">
        <v>32849</v>
      </c>
      <c r="I8834" t="s">
        <v>4177</v>
      </c>
      <c r="J8834" t="s">
        <v>33083</v>
      </c>
      <c r="K8834" t="s">
        <v>42751</v>
      </c>
      <c r="M8834" t="s">
        <v>46131</v>
      </c>
      <c r="N8834" t="s">
        <v>47424</v>
      </c>
      <c r="O8834" t="s">
        <v>47425</v>
      </c>
      <c r="P8834">
        <v>0</v>
      </c>
      <c r="Q8834">
        <v>2</v>
      </c>
      <c r="R8834" t="s">
        <v>47432</v>
      </c>
      <c r="S8834" t="s">
        <v>47597</v>
      </c>
      <c r="T8834" t="s">
        <v>49236</v>
      </c>
      <c r="U8834" t="s">
        <v>56974</v>
      </c>
      <c r="V8834" t="s">
        <v>63604</v>
      </c>
      <c r="W8834" t="s">
        <v>46131</v>
      </c>
      <c r="X8834" t="s">
        <v>47433</v>
      </c>
    </row>
    <row r="8835" spans="1:24">
      <c r="A8835">
        <f>HYPERLINK("https://www.philgeps.gov.ph/GEPSNONPILOT/Tender/SplashBidNoticeAbstractUI.aspx?menuIndex=3&amp;refID=7154653&amp;Result=3","7154653")</f>
        <v>0</v>
      </c>
      <c r="B8835" t="s">
        <v>1162</v>
      </c>
      <c r="C8835" t="s">
        <v>12211</v>
      </c>
      <c r="D8835" t="s">
        <v>19050</v>
      </c>
      <c r="E8835" t="s">
        <v>12211</v>
      </c>
      <c r="F8835" t="s">
        <v>32831</v>
      </c>
      <c r="G8835" t="s">
        <v>32839</v>
      </c>
      <c r="H8835" t="s">
        <v>32848</v>
      </c>
      <c r="I8835" t="s">
        <v>9577</v>
      </c>
      <c r="J8835" t="s">
        <v>38463</v>
      </c>
      <c r="K8835" t="s">
        <v>42730</v>
      </c>
      <c r="M8835" t="s">
        <v>46128</v>
      </c>
      <c r="N8835" t="s">
        <v>47424</v>
      </c>
      <c r="O8835" t="s">
        <v>47425</v>
      </c>
      <c r="P8835">
        <v>0</v>
      </c>
      <c r="Q8835">
        <v>0</v>
      </c>
      <c r="R8835" t="s">
        <v>47432</v>
      </c>
      <c r="S8835" t="s">
        <v>47597</v>
      </c>
      <c r="T8835" t="s">
        <v>49150</v>
      </c>
      <c r="U8835" t="s">
        <v>56975</v>
      </c>
      <c r="W8835" t="s">
        <v>46128</v>
      </c>
      <c r="X8835" t="s">
        <v>47433</v>
      </c>
    </row>
    <row r="8836" spans="1:24">
      <c r="A8836">
        <f>HYPERLINK("https://www.philgeps.gov.ph/GEPSNONPILOT/Tender/SplashBidNoticeAbstractUI.aspx?menuIndex=3&amp;refID=7154648&amp;Result=3","7154648")</f>
        <v>0</v>
      </c>
      <c r="B8836" t="s">
        <v>2232</v>
      </c>
      <c r="C8836" t="s">
        <v>12212</v>
      </c>
      <c r="D8836" t="s">
        <v>19062</v>
      </c>
      <c r="E8836" t="s">
        <v>26769</v>
      </c>
      <c r="F8836" t="s">
        <v>32831</v>
      </c>
      <c r="G8836" t="s">
        <v>32838</v>
      </c>
      <c r="H8836" t="s">
        <v>32848</v>
      </c>
      <c r="I8836" t="s">
        <v>7416</v>
      </c>
      <c r="J8836" t="s">
        <v>38464</v>
      </c>
      <c r="K8836" t="s">
        <v>42731</v>
      </c>
      <c r="M8836" t="s">
        <v>45413</v>
      </c>
      <c r="N8836" t="s">
        <v>47424</v>
      </c>
      <c r="O8836" t="s">
        <v>47425</v>
      </c>
      <c r="P8836">
        <v>0</v>
      </c>
      <c r="Q8836">
        <v>3</v>
      </c>
      <c r="R8836" t="s">
        <v>47432</v>
      </c>
      <c r="S8836" t="s">
        <v>47597</v>
      </c>
      <c r="T8836" t="s">
        <v>49214</v>
      </c>
      <c r="U8836" t="s">
        <v>54885</v>
      </c>
      <c r="W8836" t="s">
        <v>45413</v>
      </c>
      <c r="X8836" t="s">
        <v>47433</v>
      </c>
    </row>
    <row r="8837" spans="1:24">
      <c r="A8837">
        <f>HYPERLINK("https://www.philgeps.gov.ph/GEPSNONPILOT/Tender/SplashBidNoticeAbstractUI.aspx?menuIndex=3&amp;refID=7154646&amp;Result=3","7154646")</f>
        <v>0</v>
      </c>
      <c r="B8837" t="s">
        <v>1162</v>
      </c>
      <c r="C8837" t="s">
        <v>12213</v>
      </c>
      <c r="D8837" t="s">
        <v>19050</v>
      </c>
      <c r="E8837" t="s">
        <v>12213</v>
      </c>
      <c r="F8837" t="s">
        <v>32831</v>
      </c>
      <c r="G8837" t="s">
        <v>32839</v>
      </c>
      <c r="H8837" t="s">
        <v>32848</v>
      </c>
      <c r="I8837" t="s">
        <v>32870</v>
      </c>
      <c r="J8837" t="s">
        <v>38465</v>
      </c>
      <c r="K8837" t="s">
        <v>42759</v>
      </c>
      <c r="M8837" t="s">
        <v>46128</v>
      </c>
      <c r="N8837" t="s">
        <v>47424</v>
      </c>
      <c r="O8837" t="s">
        <v>47425</v>
      </c>
      <c r="P8837">
        <v>0</v>
      </c>
      <c r="Q8837">
        <v>0</v>
      </c>
      <c r="R8837" t="s">
        <v>47432</v>
      </c>
      <c r="S8837" t="s">
        <v>47597</v>
      </c>
      <c r="T8837" t="s">
        <v>49150</v>
      </c>
      <c r="U8837" t="s">
        <v>56976</v>
      </c>
      <c r="W8837" t="s">
        <v>46128</v>
      </c>
      <c r="X8837" t="s">
        <v>47433</v>
      </c>
    </row>
    <row r="8838" spans="1:24">
      <c r="A8838">
        <f>HYPERLINK("https://www.philgeps.gov.ph/GEPSNONPILOT/Tender/SplashBidNoticeAbstractUI.aspx?menuIndex=3&amp;refID=7154588&amp;Result=3","7154588")</f>
        <v>0</v>
      </c>
      <c r="B8838" t="s">
        <v>311</v>
      </c>
      <c r="C8838" t="s">
        <v>12214</v>
      </c>
      <c r="D8838" t="s">
        <v>19064</v>
      </c>
      <c r="E8838" t="s">
        <v>26770</v>
      </c>
      <c r="F8838" t="s">
        <v>32831</v>
      </c>
      <c r="G8838" t="s">
        <v>32839</v>
      </c>
      <c r="H8838" t="s">
        <v>32848</v>
      </c>
      <c r="I8838" t="s">
        <v>6526</v>
      </c>
      <c r="J8838" t="s">
        <v>33090</v>
      </c>
      <c r="K8838" t="s">
        <v>42763</v>
      </c>
      <c r="M8838" t="s">
        <v>43313</v>
      </c>
      <c r="N8838" t="s">
        <v>47424</v>
      </c>
      <c r="O8838" t="s">
        <v>47425</v>
      </c>
      <c r="P8838">
        <v>0</v>
      </c>
      <c r="Q8838">
        <v>0</v>
      </c>
      <c r="R8838" t="s">
        <v>47432</v>
      </c>
      <c r="S8838" t="s">
        <v>47597</v>
      </c>
      <c r="T8838" t="s">
        <v>49196</v>
      </c>
      <c r="U8838" t="s">
        <v>50222</v>
      </c>
      <c r="W8838" t="s">
        <v>43313</v>
      </c>
      <c r="X8838" t="s">
        <v>47433</v>
      </c>
    </row>
    <row r="8839" spans="1:24">
      <c r="A8839">
        <f>HYPERLINK("https://www.philgeps.gov.ph/GEPSNONPILOT/Tender/SplashBidNoticeAbstractUI.aspx?menuIndex=3&amp;refID=7154640&amp;Result=3","7154640")</f>
        <v>0</v>
      </c>
      <c r="B8839" t="s">
        <v>2215</v>
      </c>
      <c r="C8839" t="s">
        <v>12215</v>
      </c>
      <c r="D8839" t="s">
        <v>19077</v>
      </c>
      <c r="E8839" t="s">
        <v>26771</v>
      </c>
      <c r="F8839" t="s">
        <v>32831</v>
      </c>
      <c r="G8839" t="s">
        <v>32841</v>
      </c>
      <c r="H8839" t="s">
        <v>32849</v>
      </c>
      <c r="I8839" t="s">
        <v>4177</v>
      </c>
      <c r="J8839" t="s">
        <v>34860</v>
      </c>
      <c r="K8839" t="s">
        <v>42757</v>
      </c>
      <c r="M8839" t="s">
        <v>45395</v>
      </c>
      <c r="N8839" t="s">
        <v>47424</v>
      </c>
      <c r="O8839" t="s">
        <v>47425</v>
      </c>
      <c r="P8839">
        <v>0</v>
      </c>
      <c r="Q8839">
        <v>1</v>
      </c>
      <c r="R8839" t="s">
        <v>47432</v>
      </c>
      <c r="S8839" t="s">
        <v>47597</v>
      </c>
      <c r="T8839" t="s">
        <v>49370</v>
      </c>
      <c r="U8839" t="s">
        <v>56189</v>
      </c>
      <c r="W8839" t="s">
        <v>45395</v>
      </c>
      <c r="X8839" t="s">
        <v>47433</v>
      </c>
    </row>
    <row r="8840" spans="1:24">
      <c r="A8840">
        <f>HYPERLINK("https://www.philgeps.gov.ph/GEPSNONPILOT/Tender/SplashBidNoticeAbstractUI.aspx?menuIndex=3&amp;refID=7154637&amp;Result=3","7154637")</f>
        <v>0</v>
      </c>
      <c r="B8840" t="s">
        <v>694</v>
      </c>
      <c r="C8840" t="s">
        <v>12216</v>
      </c>
      <c r="E8840" t="s">
        <v>26772</v>
      </c>
      <c r="F8840" t="s">
        <v>32831</v>
      </c>
      <c r="G8840" t="s">
        <v>32838</v>
      </c>
      <c r="H8840" t="s">
        <v>32848</v>
      </c>
      <c r="I8840" t="s">
        <v>32857</v>
      </c>
      <c r="J8840" t="s">
        <v>33464</v>
      </c>
      <c r="K8840" t="s">
        <v>42732</v>
      </c>
      <c r="M8840" t="s">
        <v>43713</v>
      </c>
      <c r="N8840" t="s">
        <v>47424</v>
      </c>
      <c r="O8840" t="s">
        <v>47425</v>
      </c>
      <c r="P8840">
        <v>0</v>
      </c>
      <c r="Q8840">
        <v>1</v>
      </c>
      <c r="R8840" t="s">
        <v>47432</v>
      </c>
      <c r="S8840" t="s">
        <v>47597</v>
      </c>
      <c r="T8840" t="s">
        <v>49243</v>
      </c>
      <c r="U8840" t="s">
        <v>56977</v>
      </c>
      <c r="V8840" t="s">
        <v>63108</v>
      </c>
      <c r="W8840" t="s">
        <v>43713</v>
      </c>
      <c r="X8840" t="s">
        <v>47433</v>
      </c>
    </row>
    <row r="8841" spans="1:24">
      <c r="A8841">
        <f>HYPERLINK("https://www.philgeps.gov.ph/GEPSNONPILOT/Tender/SplashBidNoticeAbstractUI.aspx?menuIndex=3&amp;refID=7154569&amp;Result=3","7154569")</f>
        <v>0</v>
      </c>
      <c r="B8841" t="s">
        <v>1130</v>
      </c>
      <c r="C8841" t="s">
        <v>12217</v>
      </c>
      <c r="D8841" t="s">
        <v>19045</v>
      </c>
      <c r="E8841" t="s">
        <v>26773</v>
      </c>
      <c r="F8841" t="s">
        <v>32831</v>
      </c>
      <c r="G8841" t="s">
        <v>32838</v>
      </c>
      <c r="H8841" t="s">
        <v>32848</v>
      </c>
      <c r="I8841" t="s">
        <v>9577</v>
      </c>
      <c r="J8841" t="s">
        <v>38466</v>
      </c>
      <c r="K8841" t="s">
        <v>42745</v>
      </c>
      <c r="M8841" t="s">
        <v>44191</v>
      </c>
      <c r="N8841" t="s">
        <v>47424</v>
      </c>
      <c r="O8841" t="s">
        <v>47425</v>
      </c>
      <c r="P8841">
        <v>0</v>
      </c>
      <c r="Q8841">
        <v>0</v>
      </c>
      <c r="R8841" t="s">
        <v>47432</v>
      </c>
      <c r="S8841" t="s">
        <v>47597</v>
      </c>
      <c r="T8841" t="s">
        <v>49237</v>
      </c>
      <c r="U8841" t="s">
        <v>56978</v>
      </c>
      <c r="W8841" t="s">
        <v>44191</v>
      </c>
      <c r="X8841" t="s">
        <v>47433</v>
      </c>
    </row>
    <row r="8842" spans="1:24">
      <c r="A8842">
        <f>HYPERLINK("https://www.philgeps.gov.ph/GEPSNONPILOT/Tender/SplashBidNoticeAbstractUI.aspx?menuIndex=3&amp;refID=7154628&amp;Result=3","7154628")</f>
        <v>0</v>
      </c>
      <c r="B8842" t="s">
        <v>2895</v>
      </c>
      <c r="C8842" t="s">
        <v>12218</v>
      </c>
      <c r="D8842" t="s">
        <v>19017</v>
      </c>
      <c r="E8842" t="s">
        <v>26774</v>
      </c>
      <c r="F8842" t="s">
        <v>32831</v>
      </c>
      <c r="G8842" t="s">
        <v>32841</v>
      </c>
      <c r="H8842" t="s">
        <v>32848</v>
      </c>
      <c r="I8842" t="s">
        <v>9577</v>
      </c>
      <c r="J8842" t="s">
        <v>33193</v>
      </c>
      <c r="K8842" t="s">
        <v>42730</v>
      </c>
      <c r="M8842" t="s">
        <v>46137</v>
      </c>
      <c r="N8842" t="s">
        <v>47424</v>
      </c>
      <c r="O8842" t="s">
        <v>47425</v>
      </c>
      <c r="Q8842">
        <v>6</v>
      </c>
      <c r="R8842" t="s">
        <v>47432</v>
      </c>
      <c r="S8842" t="s">
        <v>47622</v>
      </c>
      <c r="T8842" t="s">
        <v>49522</v>
      </c>
      <c r="U8842" t="s">
        <v>56979</v>
      </c>
      <c r="W8842" t="s">
        <v>46137</v>
      </c>
      <c r="X8842" t="s">
        <v>47433</v>
      </c>
    </row>
    <row r="8843" spans="1:24">
      <c r="A8843">
        <f>HYPERLINK("https://www.philgeps.gov.ph/GEPSNONPILOT/Tender/SplashBidNoticeAbstractUI.aspx?menuIndex=3&amp;refID=7154645&amp;Result=3","7154645")</f>
        <v>0</v>
      </c>
      <c r="B8843" t="s">
        <v>1977</v>
      </c>
      <c r="C8843" t="s">
        <v>12219</v>
      </c>
      <c r="D8843" t="s">
        <v>19073</v>
      </c>
      <c r="E8843" t="s">
        <v>26775</v>
      </c>
      <c r="F8843" t="s">
        <v>32831</v>
      </c>
      <c r="G8843" t="s">
        <v>32839</v>
      </c>
      <c r="H8843" t="s">
        <v>32848</v>
      </c>
      <c r="I8843" t="s">
        <v>4558</v>
      </c>
      <c r="J8843" t="s">
        <v>38467</v>
      </c>
      <c r="K8843" t="s">
        <v>42732</v>
      </c>
      <c r="M8843" t="s">
        <v>46138</v>
      </c>
      <c r="N8843" t="s">
        <v>47424</v>
      </c>
      <c r="O8843" t="s">
        <v>47425</v>
      </c>
      <c r="P8843">
        <v>0</v>
      </c>
      <c r="Q8843">
        <v>2</v>
      </c>
      <c r="R8843" t="s">
        <v>47432</v>
      </c>
      <c r="S8843" t="s">
        <v>47597</v>
      </c>
      <c r="T8843" t="s">
        <v>49461</v>
      </c>
      <c r="U8843" t="s">
        <v>56980</v>
      </c>
      <c r="W8843" t="s">
        <v>46138</v>
      </c>
      <c r="X8843" t="s">
        <v>47433</v>
      </c>
    </row>
    <row r="8844" spans="1:24">
      <c r="A8844">
        <f>HYPERLINK("https://www.philgeps.gov.ph/GEPSNONPILOT/Tender/SplashBidNoticeAbstractUI.aspx?menuIndex=3&amp;refID=7154639&amp;Result=3","7154639")</f>
        <v>0</v>
      </c>
      <c r="B8844" t="s">
        <v>2896</v>
      </c>
      <c r="C8844" t="s">
        <v>12220</v>
      </c>
      <c r="D8844" t="s">
        <v>19062</v>
      </c>
      <c r="E8844" t="s">
        <v>26776</v>
      </c>
      <c r="F8844" t="s">
        <v>32831</v>
      </c>
      <c r="G8844" t="s">
        <v>32838</v>
      </c>
      <c r="H8844" t="s">
        <v>32848</v>
      </c>
      <c r="I8844" t="s">
        <v>32855</v>
      </c>
      <c r="J8844" t="s">
        <v>36946</v>
      </c>
      <c r="K8844" t="s">
        <v>42731</v>
      </c>
      <c r="M8844" t="s">
        <v>46139</v>
      </c>
      <c r="N8844" t="s">
        <v>47424</v>
      </c>
      <c r="O8844" t="s">
        <v>47425</v>
      </c>
      <c r="P8844">
        <v>0</v>
      </c>
      <c r="Q8844">
        <v>10</v>
      </c>
      <c r="R8844" t="s">
        <v>47432</v>
      </c>
      <c r="S8844" t="s">
        <v>47597</v>
      </c>
      <c r="T8844" t="s">
        <v>49107</v>
      </c>
      <c r="U8844" t="s">
        <v>56981</v>
      </c>
      <c r="V8844" t="s">
        <v>63606</v>
      </c>
      <c r="W8844" t="s">
        <v>46139</v>
      </c>
      <c r="X8844" t="s">
        <v>47433</v>
      </c>
    </row>
    <row r="8845" spans="1:24">
      <c r="A8845">
        <f>HYPERLINK("https://www.philgeps.gov.ph/GEPSNONPILOT/Tender/SplashBidNoticeAbstractUI.aspx?menuIndex=3&amp;refID=7154632&amp;Result=3","7154632")</f>
        <v>0</v>
      </c>
      <c r="B8845" t="s">
        <v>2891</v>
      </c>
      <c r="C8845" t="s">
        <v>12221</v>
      </c>
      <c r="D8845" t="s">
        <v>19077</v>
      </c>
      <c r="E8845" t="s">
        <v>19211</v>
      </c>
      <c r="F8845" t="s">
        <v>32831</v>
      </c>
      <c r="G8845" t="s">
        <v>32839</v>
      </c>
      <c r="H8845" t="s">
        <v>32850</v>
      </c>
      <c r="I8845" t="s">
        <v>4177</v>
      </c>
      <c r="J8845" t="s">
        <v>34925</v>
      </c>
      <c r="K8845" t="s">
        <v>42727</v>
      </c>
      <c r="L8845" t="s">
        <v>2891</v>
      </c>
      <c r="M8845" t="s">
        <v>46132</v>
      </c>
      <c r="N8845" t="s">
        <v>47424</v>
      </c>
      <c r="O8845" t="s">
        <v>47425</v>
      </c>
      <c r="P8845">
        <v>0</v>
      </c>
      <c r="Q8845">
        <v>0</v>
      </c>
      <c r="R8845" t="s">
        <v>47432</v>
      </c>
      <c r="S8845" t="s">
        <v>47597</v>
      </c>
      <c r="T8845" t="s">
        <v>49116</v>
      </c>
      <c r="U8845" t="s">
        <v>56982</v>
      </c>
      <c r="W8845" t="s">
        <v>46132</v>
      </c>
      <c r="X8845" t="s">
        <v>47433</v>
      </c>
    </row>
    <row r="8846" spans="1:24">
      <c r="A8846">
        <f>HYPERLINK("https://www.philgeps.gov.ph/GEPSNONPILOT/Tender/SplashBidNoticeAbstractUI.aspx?menuIndex=3&amp;refID=7154627&amp;Result=3","7154627")</f>
        <v>0</v>
      </c>
      <c r="B8846" t="s">
        <v>2306</v>
      </c>
      <c r="C8846" t="s">
        <v>12222</v>
      </c>
      <c r="D8846" t="s">
        <v>19043</v>
      </c>
      <c r="E8846" t="s">
        <v>19845</v>
      </c>
      <c r="F8846" t="s">
        <v>32831</v>
      </c>
      <c r="G8846" t="s">
        <v>32838</v>
      </c>
      <c r="H8846" t="s">
        <v>32848</v>
      </c>
      <c r="I8846" t="s">
        <v>32913</v>
      </c>
      <c r="J8846" t="s">
        <v>33311</v>
      </c>
      <c r="K8846" t="s">
        <v>42727</v>
      </c>
      <c r="M8846" t="s">
        <v>45491</v>
      </c>
      <c r="N8846" t="s">
        <v>47424</v>
      </c>
      <c r="O8846" t="s">
        <v>47425</v>
      </c>
      <c r="P8846">
        <v>0</v>
      </c>
      <c r="Q8846">
        <v>0</v>
      </c>
      <c r="R8846" t="s">
        <v>47432</v>
      </c>
      <c r="S8846" t="s">
        <v>47597</v>
      </c>
      <c r="T8846" t="s">
        <v>49523</v>
      </c>
      <c r="U8846" t="s">
        <v>56983</v>
      </c>
      <c r="W8846" t="s">
        <v>45491</v>
      </c>
      <c r="X8846" t="s">
        <v>47433</v>
      </c>
    </row>
    <row r="8847" spans="1:24">
      <c r="A8847">
        <f>HYPERLINK("https://www.philgeps.gov.ph/GEPSNONPILOT/Tender/SplashBidNoticeAbstractUI.aspx?menuIndex=3&amp;refID=7154625&amp;Result=3","7154625")</f>
        <v>0</v>
      </c>
      <c r="B8847" t="s">
        <v>1162</v>
      </c>
      <c r="C8847" t="s">
        <v>12223</v>
      </c>
      <c r="D8847" t="s">
        <v>19050</v>
      </c>
      <c r="E8847" t="s">
        <v>12223</v>
      </c>
      <c r="F8847" t="s">
        <v>32831</v>
      </c>
      <c r="G8847" t="s">
        <v>32839</v>
      </c>
      <c r="H8847" t="s">
        <v>32848</v>
      </c>
      <c r="I8847" t="s">
        <v>32911</v>
      </c>
      <c r="J8847" t="s">
        <v>35082</v>
      </c>
      <c r="K8847" t="s">
        <v>42759</v>
      </c>
      <c r="M8847" t="s">
        <v>46128</v>
      </c>
      <c r="N8847" t="s">
        <v>47424</v>
      </c>
      <c r="O8847" t="s">
        <v>47425</v>
      </c>
      <c r="P8847">
        <v>0</v>
      </c>
      <c r="Q8847">
        <v>0</v>
      </c>
      <c r="R8847" t="s">
        <v>47432</v>
      </c>
      <c r="S8847" t="s">
        <v>47597</v>
      </c>
      <c r="T8847" t="s">
        <v>49150</v>
      </c>
      <c r="U8847" t="s">
        <v>56984</v>
      </c>
      <c r="W8847" t="s">
        <v>46128</v>
      </c>
      <c r="X8847" t="s">
        <v>47433</v>
      </c>
    </row>
    <row r="8848" spans="1:24">
      <c r="A8848">
        <f>HYPERLINK("https://www.philgeps.gov.ph/GEPSNONPILOT/Tender/SplashBidNoticeAbstractUI.aspx?menuIndex=3&amp;refID=7154686&amp;Result=3","7154686")</f>
        <v>0</v>
      </c>
      <c r="B8848" t="s">
        <v>2568</v>
      </c>
      <c r="C8848" t="s">
        <v>12224</v>
      </c>
      <c r="D8848" t="s">
        <v>19073</v>
      </c>
      <c r="E8848" t="s">
        <v>26777</v>
      </c>
      <c r="F8848" t="s">
        <v>32831</v>
      </c>
      <c r="G8848" t="s">
        <v>32838</v>
      </c>
      <c r="H8848" t="s">
        <v>32848</v>
      </c>
      <c r="I8848" t="s">
        <v>7416</v>
      </c>
      <c r="J8848" t="s">
        <v>38468</v>
      </c>
      <c r="K8848" t="s">
        <v>42732</v>
      </c>
      <c r="M8848" t="s">
        <v>45784</v>
      </c>
      <c r="N8848" t="s">
        <v>47424</v>
      </c>
      <c r="O8848" t="s">
        <v>47425</v>
      </c>
      <c r="P8848">
        <v>0</v>
      </c>
      <c r="Q8848">
        <v>1</v>
      </c>
      <c r="R8848" t="s">
        <v>47432</v>
      </c>
      <c r="S8848" t="s">
        <v>47597</v>
      </c>
      <c r="T8848" t="s">
        <v>49123</v>
      </c>
      <c r="U8848" t="s">
        <v>56985</v>
      </c>
      <c r="W8848" t="s">
        <v>45784</v>
      </c>
      <c r="X8848" t="s">
        <v>47433</v>
      </c>
    </row>
    <row r="8849" spans="1:24">
      <c r="A8849">
        <f>HYPERLINK("https://www.philgeps.gov.ph/GEPSNONPILOT/Tender/SplashBidNoticeAbstractUI.aspx?menuIndex=3&amp;refID=7154684&amp;Result=3","7154684")</f>
        <v>0</v>
      </c>
      <c r="B8849" t="s">
        <v>793</v>
      </c>
      <c r="C8849" t="s">
        <v>12225</v>
      </c>
      <c r="D8849" t="s">
        <v>19048</v>
      </c>
      <c r="E8849" t="s">
        <v>21606</v>
      </c>
      <c r="F8849" t="s">
        <v>32831</v>
      </c>
      <c r="G8849" t="s">
        <v>32839</v>
      </c>
      <c r="H8849" t="s">
        <v>32848</v>
      </c>
      <c r="I8849" t="s">
        <v>32859</v>
      </c>
      <c r="J8849" t="s">
        <v>36020</v>
      </c>
      <c r="K8849" t="s">
        <v>42730</v>
      </c>
      <c r="M8849" t="s">
        <v>43823</v>
      </c>
      <c r="N8849" t="s">
        <v>47424</v>
      </c>
      <c r="O8849" t="s">
        <v>47425</v>
      </c>
      <c r="P8849">
        <v>0</v>
      </c>
      <c r="Q8849">
        <v>1</v>
      </c>
      <c r="R8849" t="s">
        <v>47432</v>
      </c>
      <c r="S8849" t="s">
        <v>47597</v>
      </c>
      <c r="T8849" t="s">
        <v>49291</v>
      </c>
      <c r="U8849" t="s">
        <v>56986</v>
      </c>
      <c r="W8849" t="s">
        <v>43823</v>
      </c>
      <c r="X8849" t="s">
        <v>47433</v>
      </c>
    </row>
    <row r="8850" spans="1:24">
      <c r="A8850">
        <f>HYPERLINK("https://www.philgeps.gov.ph/GEPSNONPILOT/Tender/SplashBidNoticeAbstractUI.aspx?menuIndex=3&amp;refID=7154682&amp;Result=3","7154682")</f>
        <v>0</v>
      </c>
      <c r="B8850" t="s">
        <v>719</v>
      </c>
      <c r="C8850" t="s">
        <v>12226</v>
      </c>
      <c r="D8850" t="s">
        <v>19017</v>
      </c>
      <c r="E8850" t="s">
        <v>26778</v>
      </c>
      <c r="F8850" t="s">
        <v>32831</v>
      </c>
      <c r="G8850" t="s">
        <v>32838</v>
      </c>
      <c r="H8850" t="s">
        <v>32848</v>
      </c>
      <c r="I8850" t="s">
        <v>32860</v>
      </c>
      <c r="J8850" t="s">
        <v>38469</v>
      </c>
      <c r="K8850" t="s">
        <v>42732</v>
      </c>
      <c r="M8850" t="s">
        <v>46140</v>
      </c>
      <c r="N8850" t="s">
        <v>47424</v>
      </c>
      <c r="O8850" t="s">
        <v>47425</v>
      </c>
      <c r="P8850">
        <v>0</v>
      </c>
      <c r="Q8850">
        <v>0</v>
      </c>
      <c r="R8850" t="s">
        <v>47432</v>
      </c>
      <c r="S8850" t="s">
        <v>47597</v>
      </c>
      <c r="T8850" t="s">
        <v>49166</v>
      </c>
      <c r="U8850" t="s">
        <v>56987</v>
      </c>
      <c r="W8850" t="s">
        <v>46140</v>
      </c>
      <c r="X8850" t="s">
        <v>47433</v>
      </c>
    </row>
    <row r="8851" spans="1:24">
      <c r="A8851">
        <f>HYPERLINK("https://www.philgeps.gov.ph/GEPSNONPILOT/Tender/SplashBidNoticeAbstractUI.aspx?menuIndex=3&amp;refID=7154652&amp;Result=3","7154652")</f>
        <v>0</v>
      </c>
      <c r="B8851" t="s">
        <v>2897</v>
      </c>
      <c r="C8851" t="s">
        <v>4595</v>
      </c>
      <c r="D8851" t="s">
        <v>19047</v>
      </c>
      <c r="E8851" t="s">
        <v>19501</v>
      </c>
      <c r="F8851" t="s">
        <v>32831</v>
      </c>
      <c r="G8851" t="s">
        <v>32839</v>
      </c>
      <c r="H8851" t="s">
        <v>32848</v>
      </c>
      <c r="I8851" t="s">
        <v>32855</v>
      </c>
      <c r="J8851" t="s">
        <v>38470</v>
      </c>
      <c r="K8851" t="s">
        <v>42758</v>
      </c>
      <c r="M8851" t="s">
        <v>46141</v>
      </c>
      <c r="N8851" t="s">
        <v>47424</v>
      </c>
      <c r="O8851" t="s">
        <v>47425</v>
      </c>
      <c r="P8851">
        <v>0</v>
      </c>
      <c r="Q8851">
        <v>1</v>
      </c>
      <c r="R8851" t="s">
        <v>47432</v>
      </c>
      <c r="S8851" t="s">
        <v>47597</v>
      </c>
      <c r="T8851" t="s">
        <v>49114</v>
      </c>
      <c r="U8851" t="s">
        <v>50280</v>
      </c>
      <c r="W8851" t="s">
        <v>46141</v>
      </c>
      <c r="X8851" t="s">
        <v>47433</v>
      </c>
    </row>
    <row r="8852" spans="1:24">
      <c r="A8852">
        <f>HYPERLINK("https://www.philgeps.gov.ph/GEPSNONPILOT/Tender/SplashBidNoticeAbstractUI.aspx?menuIndex=3&amp;refID=7154678&amp;Result=3","7154678")</f>
        <v>0</v>
      </c>
      <c r="B8852" t="s">
        <v>1969</v>
      </c>
      <c r="C8852" t="s">
        <v>12227</v>
      </c>
      <c r="D8852" t="s">
        <v>19047</v>
      </c>
      <c r="E8852" t="s">
        <v>26779</v>
      </c>
      <c r="F8852" t="s">
        <v>32831</v>
      </c>
      <c r="G8852" t="s">
        <v>32840</v>
      </c>
      <c r="H8852" t="s">
        <v>32848</v>
      </c>
      <c r="I8852" t="s">
        <v>7416</v>
      </c>
      <c r="J8852" t="s">
        <v>38471</v>
      </c>
      <c r="K8852" t="s">
        <v>42731</v>
      </c>
      <c r="M8852" t="s">
        <v>46136</v>
      </c>
      <c r="N8852" t="s">
        <v>47424</v>
      </c>
      <c r="O8852" t="s">
        <v>47425</v>
      </c>
      <c r="P8852">
        <v>0</v>
      </c>
      <c r="Q8852">
        <v>1</v>
      </c>
      <c r="R8852" t="s">
        <v>47432</v>
      </c>
      <c r="S8852" t="s">
        <v>47597</v>
      </c>
      <c r="T8852" t="s">
        <v>49119</v>
      </c>
      <c r="U8852" t="s">
        <v>56988</v>
      </c>
      <c r="W8852" t="s">
        <v>64494</v>
      </c>
      <c r="X8852" t="s">
        <v>47433</v>
      </c>
    </row>
    <row r="8853" spans="1:24">
      <c r="A8853">
        <f>HYPERLINK("https://www.philgeps.gov.ph/GEPSNONPILOT/Tender/SplashBidNoticeAbstractUI.aspx?menuIndex=3&amp;refID=7154675&amp;Result=3","7154675")</f>
        <v>0</v>
      </c>
      <c r="B8853" t="s">
        <v>2851</v>
      </c>
      <c r="C8853" t="s">
        <v>12228</v>
      </c>
      <c r="D8853" t="s">
        <v>19046</v>
      </c>
      <c r="E8853" t="s">
        <v>26780</v>
      </c>
      <c r="F8853" t="s">
        <v>32831</v>
      </c>
      <c r="G8853" t="s">
        <v>32838</v>
      </c>
      <c r="H8853" t="s">
        <v>32848</v>
      </c>
      <c r="I8853" t="s">
        <v>32886</v>
      </c>
      <c r="J8853" t="s">
        <v>38472</v>
      </c>
      <c r="K8853" t="s">
        <v>42729</v>
      </c>
      <c r="M8853" t="s">
        <v>46084</v>
      </c>
      <c r="N8853" t="s">
        <v>47424</v>
      </c>
      <c r="O8853" t="s">
        <v>47425</v>
      </c>
      <c r="P8853">
        <v>0</v>
      </c>
      <c r="Q8853">
        <v>2</v>
      </c>
      <c r="R8853" t="s">
        <v>47432</v>
      </c>
      <c r="S8853" t="s">
        <v>47597</v>
      </c>
      <c r="T8853" t="s">
        <v>49080</v>
      </c>
      <c r="U8853" t="s">
        <v>56989</v>
      </c>
      <c r="W8853" t="s">
        <v>46084</v>
      </c>
      <c r="X8853" t="s">
        <v>47433</v>
      </c>
    </row>
    <row r="8854" spans="1:24">
      <c r="A8854">
        <f>HYPERLINK("https://www.philgeps.gov.ph/GEPSNONPILOT/Tender/SplashBidNoticeAbstractUI.aspx?menuIndex=3&amp;refID=7154681&amp;Result=3","7154681")</f>
        <v>0</v>
      </c>
      <c r="B8854" t="s">
        <v>1162</v>
      </c>
      <c r="C8854" t="s">
        <v>12229</v>
      </c>
      <c r="D8854" t="s">
        <v>19050</v>
      </c>
      <c r="E8854" t="s">
        <v>12229</v>
      </c>
      <c r="F8854" t="s">
        <v>32831</v>
      </c>
      <c r="G8854" t="s">
        <v>32839</v>
      </c>
      <c r="H8854" t="s">
        <v>32848</v>
      </c>
      <c r="I8854" t="s">
        <v>4776</v>
      </c>
      <c r="J8854" t="s">
        <v>33246</v>
      </c>
      <c r="K8854" t="s">
        <v>42730</v>
      </c>
      <c r="M8854" t="s">
        <v>46128</v>
      </c>
      <c r="N8854" t="s">
        <v>47424</v>
      </c>
      <c r="O8854" t="s">
        <v>47425</v>
      </c>
      <c r="P8854">
        <v>0</v>
      </c>
      <c r="Q8854">
        <v>2</v>
      </c>
      <c r="R8854" t="s">
        <v>47432</v>
      </c>
      <c r="S8854" t="s">
        <v>47597</v>
      </c>
      <c r="T8854" t="s">
        <v>49150</v>
      </c>
      <c r="U8854" t="s">
        <v>56990</v>
      </c>
      <c r="W8854" t="s">
        <v>46128</v>
      </c>
      <c r="X8854" t="s">
        <v>47433</v>
      </c>
    </row>
    <row r="8855" spans="1:24">
      <c r="A8855">
        <f>HYPERLINK("https://www.philgeps.gov.ph/GEPSNONPILOT/Tender/SplashBidNoticeAbstractUI.aspx?menuIndex=3&amp;refID=7154624&amp;Result=3","7154624")</f>
        <v>0</v>
      </c>
      <c r="B8855" t="s">
        <v>539</v>
      </c>
      <c r="C8855" t="s">
        <v>12230</v>
      </c>
      <c r="D8855" t="s">
        <v>19057</v>
      </c>
      <c r="E8855" t="s">
        <v>26781</v>
      </c>
      <c r="F8855" t="s">
        <v>32831</v>
      </c>
      <c r="G8855" t="s">
        <v>32839</v>
      </c>
      <c r="H8855" t="s">
        <v>32848</v>
      </c>
      <c r="I8855" t="s">
        <v>32858</v>
      </c>
      <c r="J8855" t="s">
        <v>38473</v>
      </c>
      <c r="K8855" t="s">
        <v>42730</v>
      </c>
      <c r="M8855" t="s">
        <v>43545</v>
      </c>
      <c r="N8855" t="s">
        <v>47424</v>
      </c>
      <c r="O8855" t="s">
        <v>47425</v>
      </c>
      <c r="P8855">
        <v>0</v>
      </c>
      <c r="Q8855">
        <v>2</v>
      </c>
      <c r="R8855" t="s">
        <v>47432</v>
      </c>
      <c r="S8855" t="s">
        <v>47597</v>
      </c>
      <c r="T8855" t="s">
        <v>49107</v>
      </c>
      <c r="U8855" t="s">
        <v>56991</v>
      </c>
      <c r="W8855" t="s">
        <v>43545</v>
      </c>
      <c r="X8855" t="s">
        <v>47433</v>
      </c>
    </row>
    <row r="8856" spans="1:24">
      <c r="A8856">
        <f>HYPERLINK("https://www.philgeps.gov.ph/GEPSNONPILOT/Tender/SplashBidNoticeAbstractUI.aspx?menuIndex=3&amp;refID=7154667&amp;Result=3","7154667")</f>
        <v>0</v>
      </c>
      <c r="B8856" t="s">
        <v>2890</v>
      </c>
      <c r="C8856" t="s">
        <v>12186</v>
      </c>
      <c r="D8856" t="s">
        <v>19078</v>
      </c>
      <c r="E8856" t="s">
        <v>26782</v>
      </c>
      <c r="F8856" t="s">
        <v>32831</v>
      </c>
      <c r="G8856" t="s">
        <v>32839</v>
      </c>
      <c r="H8856" t="s">
        <v>32849</v>
      </c>
      <c r="I8856" t="s">
        <v>4177</v>
      </c>
      <c r="J8856" t="s">
        <v>38474</v>
      </c>
      <c r="K8856" t="s">
        <v>42729</v>
      </c>
      <c r="M8856" t="s">
        <v>46131</v>
      </c>
      <c r="N8856" t="s">
        <v>47424</v>
      </c>
      <c r="O8856" t="s">
        <v>47425</v>
      </c>
      <c r="P8856">
        <v>0</v>
      </c>
      <c r="Q8856">
        <v>1</v>
      </c>
      <c r="R8856" t="s">
        <v>47432</v>
      </c>
      <c r="S8856" t="s">
        <v>47597</v>
      </c>
      <c r="T8856" t="s">
        <v>49236</v>
      </c>
      <c r="U8856" t="s">
        <v>56974</v>
      </c>
      <c r="V8856" t="s">
        <v>63604</v>
      </c>
      <c r="W8856" t="s">
        <v>46131</v>
      </c>
      <c r="X8856" t="s">
        <v>47433</v>
      </c>
    </row>
    <row r="8857" spans="1:24">
      <c r="A8857">
        <f>HYPERLINK("https://www.philgeps.gov.ph/GEPSNONPILOT/Tender/SplashBidNoticeAbstractUI.aspx?menuIndex=3&amp;refID=7154666&amp;Result=3","7154666")</f>
        <v>0</v>
      </c>
      <c r="B8857" t="s">
        <v>2866</v>
      </c>
      <c r="C8857" t="s">
        <v>12231</v>
      </c>
      <c r="D8857" t="s">
        <v>19059</v>
      </c>
      <c r="E8857" t="s">
        <v>26783</v>
      </c>
      <c r="F8857" t="s">
        <v>32831</v>
      </c>
      <c r="G8857" t="s">
        <v>32839</v>
      </c>
      <c r="H8857" t="s">
        <v>32849</v>
      </c>
      <c r="I8857" t="s">
        <v>4177</v>
      </c>
      <c r="J8857" t="s">
        <v>33066</v>
      </c>
      <c r="K8857" t="s">
        <v>42761</v>
      </c>
      <c r="M8857" t="s">
        <v>46142</v>
      </c>
      <c r="N8857" t="s">
        <v>47424</v>
      </c>
      <c r="O8857" t="s">
        <v>47425</v>
      </c>
      <c r="P8857">
        <v>0</v>
      </c>
      <c r="Q8857">
        <v>80</v>
      </c>
      <c r="R8857" t="s">
        <v>47432</v>
      </c>
      <c r="S8857" t="s">
        <v>47597</v>
      </c>
      <c r="T8857" t="s">
        <v>49236</v>
      </c>
      <c r="U8857" t="s">
        <v>56858</v>
      </c>
      <c r="V8857" t="s">
        <v>63607</v>
      </c>
      <c r="W8857" t="s">
        <v>46142</v>
      </c>
      <c r="X8857" t="s">
        <v>47433</v>
      </c>
    </row>
    <row r="8858" spans="1:24">
      <c r="A8858">
        <f>HYPERLINK("https://www.philgeps.gov.ph/GEPSNONPILOT/Tender/SplashBidNoticeAbstractUI.aspx?menuIndex=3&amp;refID=7154664&amp;Result=3","7154664")</f>
        <v>0</v>
      </c>
      <c r="B8858" t="s">
        <v>2898</v>
      </c>
      <c r="C8858" t="s">
        <v>12232</v>
      </c>
      <c r="D8858" t="s">
        <v>19074</v>
      </c>
      <c r="E8858" t="s">
        <v>26784</v>
      </c>
      <c r="F8858" t="s">
        <v>32831</v>
      </c>
      <c r="G8858" t="s">
        <v>32838</v>
      </c>
      <c r="H8858" t="s">
        <v>32848</v>
      </c>
      <c r="I8858" t="s">
        <v>32903</v>
      </c>
      <c r="J8858" t="s">
        <v>33132</v>
      </c>
      <c r="K8858" t="s">
        <v>42726</v>
      </c>
      <c r="M8858" t="s">
        <v>46143</v>
      </c>
      <c r="N8858" t="s">
        <v>47424</v>
      </c>
      <c r="O8858" t="s">
        <v>47425</v>
      </c>
      <c r="P8858">
        <v>0</v>
      </c>
      <c r="Q8858">
        <v>1</v>
      </c>
      <c r="R8858" t="s">
        <v>47432</v>
      </c>
      <c r="S8858" t="s">
        <v>47597</v>
      </c>
      <c r="T8858" t="s">
        <v>49107</v>
      </c>
      <c r="U8858" t="s">
        <v>56992</v>
      </c>
      <c r="V8858" t="s">
        <v>63608</v>
      </c>
      <c r="W8858" t="s">
        <v>46143</v>
      </c>
      <c r="X8858" t="s">
        <v>47433</v>
      </c>
    </row>
    <row r="8859" spans="1:24">
      <c r="A8859">
        <f>HYPERLINK("https://www.philgeps.gov.ph/GEPSNONPILOT/Tender/SplashBidNoticeAbstractUI.aspx?menuIndex=3&amp;refID=7154663&amp;Result=3","7154663")</f>
        <v>0</v>
      </c>
      <c r="B8859" t="s">
        <v>1162</v>
      </c>
      <c r="C8859" t="s">
        <v>12233</v>
      </c>
      <c r="D8859" t="s">
        <v>19050</v>
      </c>
      <c r="E8859" t="s">
        <v>12233</v>
      </c>
      <c r="F8859" t="s">
        <v>32831</v>
      </c>
      <c r="G8859" t="s">
        <v>32839</v>
      </c>
      <c r="H8859" t="s">
        <v>32848</v>
      </c>
      <c r="I8859" t="s">
        <v>32912</v>
      </c>
      <c r="J8859" t="s">
        <v>38475</v>
      </c>
      <c r="K8859" t="s">
        <v>42759</v>
      </c>
      <c r="M8859" t="s">
        <v>46128</v>
      </c>
      <c r="N8859" t="s">
        <v>47424</v>
      </c>
      <c r="O8859" t="s">
        <v>47425</v>
      </c>
      <c r="P8859">
        <v>0</v>
      </c>
      <c r="Q8859">
        <v>0</v>
      </c>
      <c r="R8859" t="s">
        <v>47432</v>
      </c>
      <c r="S8859" t="s">
        <v>47597</v>
      </c>
      <c r="T8859" t="s">
        <v>49150</v>
      </c>
      <c r="U8859" t="s">
        <v>56993</v>
      </c>
      <c r="W8859" t="s">
        <v>46128</v>
      </c>
      <c r="X8859" t="s">
        <v>47433</v>
      </c>
    </row>
    <row r="8860" spans="1:24">
      <c r="A8860">
        <f>HYPERLINK("https://www.philgeps.gov.ph/GEPSNONPILOT/Tender/SplashBidNoticeAbstractUI.aspx?menuIndex=3&amp;refID=7154662&amp;Result=3","7154662")</f>
        <v>0</v>
      </c>
      <c r="B8860" t="s">
        <v>1641</v>
      </c>
      <c r="C8860" t="s">
        <v>12234</v>
      </c>
      <c r="D8860" t="s">
        <v>19042</v>
      </c>
      <c r="E8860" t="s">
        <v>26785</v>
      </c>
      <c r="F8860" t="s">
        <v>32831</v>
      </c>
      <c r="G8860" t="s">
        <v>32839</v>
      </c>
      <c r="H8860" t="s">
        <v>32848</v>
      </c>
      <c r="I8860" t="s">
        <v>7416</v>
      </c>
      <c r="J8860" t="s">
        <v>38476</v>
      </c>
      <c r="K8860" t="s">
        <v>42729</v>
      </c>
      <c r="L8860" t="s">
        <v>1641</v>
      </c>
      <c r="M8860" t="s">
        <v>44758</v>
      </c>
      <c r="N8860" t="s">
        <v>47424</v>
      </c>
      <c r="O8860" t="s">
        <v>47425</v>
      </c>
      <c r="P8860">
        <v>0</v>
      </c>
      <c r="Q8860">
        <v>0</v>
      </c>
      <c r="R8860" t="s">
        <v>47432</v>
      </c>
      <c r="S8860" t="s">
        <v>47597</v>
      </c>
      <c r="T8860" t="s">
        <v>49283</v>
      </c>
      <c r="U8860" t="s">
        <v>56994</v>
      </c>
      <c r="V8860" t="s">
        <v>63581</v>
      </c>
      <c r="W8860" t="s">
        <v>44758</v>
      </c>
      <c r="X8860" t="s">
        <v>47433</v>
      </c>
    </row>
    <row r="8861" spans="1:24">
      <c r="A8861">
        <f>HYPERLINK("https://www.philgeps.gov.ph/GEPSNONPILOT/Tender/SplashBidNoticeAbstractUI.aspx?menuIndex=3&amp;refID=7154716&amp;Result=3","7154716")</f>
        <v>0</v>
      </c>
      <c r="B8861" t="s">
        <v>1162</v>
      </c>
      <c r="C8861" t="s">
        <v>12235</v>
      </c>
      <c r="D8861" t="s">
        <v>19050</v>
      </c>
      <c r="E8861" t="s">
        <v>26786</v>
      </c>
      <c r="F8861" t="s">
        <v>32831</v>
      </c>
      <c r="G8861" t="s">
        <v>32839</v>
      </c>
      <c r="H8861" t="s">
        <v>32848</v>
      </c>
      <c r="I8861" t="s">
        <v>32870</v>
      </c>
      <c r="J8861" t="s">
        <v>38477</v>
      </c>
      <c r="K8861" t="s">
        <v>42759</v>
      </c>
      <c r="M8861" t="s">
        <v>46128</v>
      </c>
      <c r="N8861" t="s">
        <v>47424</v>
      </c>
      <c r="O8861" t="s">
        <v>47425</v>
      </c>
      <c r="P8861">
        <v>0</v>
      </c>
      <c r="Q8861">
        <v>0</v>
      </c>
      <c r="R8861" t="s">
        <v>47432</v>
      </c>
      <c r="S8861" t="s">
        <v>47597</v>
      </c>
      <c r="T8861" t="s">
        <v>49150</v>
      </c>
      <c r="U8861" t="s">
        <v>56995</v>
      </c>
      <c r="W8861" t="s">
        <v>46128</v>
      </c>
      <c r="X8861" t="s">
        <v>47433</v>
      </c>
    </row>
    <row r="8862" spans="1:24">
      <c r="A8862">
        <f>HYPERLINK("https://www.philgeps.gov.ph/GEPSNONPILOT/Tender/SplashBidNoticeAbstractUI.aspx?menuIndex=3&amp;refID=7154622&amp;Result=3","7154622")</f>
        <v>0</v>
      </c>
      <c r="B8862" t="s">
        <v>1969</v>
      </c>
      <c r="C8862" t="s">
        <v>12236</v>
      </c>
      <c r="D8862" t="s">
        <v>19047</v>
      </c>
      <c r="E8862" t="s">
        <v>26787</v>
      </c>
      <c r="F8862" t="s">
        <v>32831</v>
      </c>
      <c r="G8862" t="s">
        <v>32840</v>
      </c>
      <c r="H8862" t="s">
        <v>32848</v>
      </c>
      <c r="I8862" t="s">
        <v>4487</v>
      </c>
      <c r="J8862" t="s">
        <v>38478</v>
      </c>
      <c r="K8862" t="s">
        <v>42731</v>
      </c>
      <c r="M8862" t="s">
        <v>45129</v>
      </c>
      <c r="N8862" t="s">
        <v>47424</v>
      </c>
      <c r="O8862" t="s">
        <v>47425</v>
      </c>
      <c r="P8862">
        <v>0</v>
      </c>
      <c r="Q8862">
        <v>1</v>
      </c>
      <c r="R8862" t="s">
        <v>47432</v>
      </c>
      <c r="S8862" t="s">
        <v>47597</v>
      </c>
      <c r="T8862" t="s">
        <v>49119</v>
      </c>
      <c r="U8862" t="s">
        <v>56996</v>
      </c>
      <c r="W8862" t="s">
        <v>64494</v>
      </c>
      <c r="X8862" t="s">
        <v>47433</v>
      </c>
    </row>
    <row r="8863" spans="1:24">
      <c r="A8863">
        <f>HYPERLINK("https://www.philgeps.gov.ph/GEPSNONPILOT/Tender/SplashBidNoticeAbstractUI.aspx?menuIndex=3&amp;refID=7154714&amp;Result=3","7154714")</f>
        <v>0</v>
      </c>
      <c r="B8863" t="s">
        <v>2211</v>
      </c>
      <c r="C8863" t="s">
        <v>12237</v>
      </c>
      <c r="D8863" t="s">
        <v>19104</v>
      </c>
      <c r="E8863" t="s">
        <v>22023</v>
      </c>
      <c r="F8863" t="s">
        <v>32831</v>
      </c>
      <c r="G8863" t="s">
        <v>32838</v>
      </c>
      <c r="H8863" t="s">
        <v>32848</v>
      </c>
      <c r="I8863" t="s">
        <v>7416</v>
      </c>
      <c r="J8863" t="s">
        <v>38479</v>
      </c>
      <c r="K8863" t="s">
        <v>42727</v>
      </c>
      <c r="M8863" t="s">
        <v>45391</v>
      </c>
      <c r="N8863" t="s">
        <v>47424</v>
      </c>
      <c r="O8863" t="s">
        <v>47425</v>
      </c>
      <c r="P8863">
        <v>0</v>
      </c>
      <c r="Q8863">
        <v>0</v>
      </c>
      <c r="R8863" t="s">
        <v>47432</v>
      </c>
      <c r="S8863" t="s">
        <v>47597</v>
      </c>
      <c r="T8863" t="s">
        <v>49252</v>
      </c>
      <c r="U8863" t="s">
        <v>56997</v>
      </c>
      <c r="V8863" t="s">
        <v>63302</v>
      </c>
      <c r="W8863" t="s">
        <v>45391</v>
      </c>
      <c r="X8863" t="s">
        <v>47433</v>
      </c>
    </row>
    <row r="8864" spans="1:24">
      <c r="A8864">
        <f>HYPERLINK("https://www.philgeps.gov.ph/GEPSNONPILOT/Tender/SplashBidNoticeAbstractUI.aspx?menuIndex=3&amp;refID=7154709&amp;Result=3","7154709")</f>
        <v>0</v>
      </c>
      <c r="B8864" t="s">
        <v>674</v>
      </c>
      <c r="C8864" t="s">
        <v>12238</v>
      </c>
      <c r="D8864" t="s">
        <v>19058</v>
      </c>
      <c r="E8864" t="s">
        <v>26788</v>
      </c>
      <c r="F8864" t="s">
        <v>32831</v>
      </c>
      <c r="G8864" t="s">
        <v>32839</v>
      </c>
      <c r="H8864" t="s">
        <v>32848</v>
      </c>
      <c r="I8864" t="s">
        <v>7416</v>
      </c>
      <c r="J8864" t="s">
        <v>38480</v>
      </c>
      <c r="K8864" t="s">
        <v>42732</v>
      </c>
      <c r="M8864" t="s">
        <v>44520</v>
      </c>
      <c r="N8864" t="s">
        <v>47424</v>
      </c>
      <c r="O8864" t="s">
        <v>47425</v>
      </c>
      <c r="P8864">
        <v>0</v>
      </c>
      <c r="Q8864">
        <v>1</v>
      </c>
      <c r="R8864" t="s">
        <v>47432</v>
      </c>
      <c r="S8864" t="s">
        <v>47597</v>
      </c>
      <c r="T8864" t="s">
        <v>49236</v>
      </c>
      <c r="U8864" t="s">
        <v>56998</v>
      </c>
      <c r="W8864" t="s">
        <v>44520</v>
      </c>
      <c r="X8864" t="s">
        <v>47433</v>
      </c>
    </row>
    <row r="8865" spans="1:24">
      <c r="A8865">
        <f>HYPERLINK("https://www.philgeps.gov.ph/GEPSNONPILOT/Tender/SplashBidNoticeAbstractUI.aspx?menuIndex=3&amp;refID=7154670&amp;Result=3","7154670")</f>
        <v>0</v>
      </c>
      <c r="B8865" t="s">
        <v>2147</v>
      </c>
      <c r="C8865" t="s">
        <v>12239</v>
      </c>
      <c r="D8865" t="s">
        <v>19086</v>
      </c>
      <c r="E8865" t="s">
        <v>19541</v>
      </c>
      <c r="F8865" t="s">
        <v>32831</v>
      </c>
      <c r="G8865" t="s">
        <v>32839</v>
      </c>
      <c r="H8865" t="s">
        <v>32849</v>
      </c>
      <c r="I8865" t="s">
        <v>4177</v>
      </c>
      <c r="J8865" t="s">
        <v>38481</v>
      </c>
      <c r="K8865" t="s">
        <v>42730</v>
      </c>
      <c r="M8865" t="s">
        <v>45327</v>
      </c>
      <c r="N8865" t="s">
        <v>47424</v>
      </c>
      <c r="O8865" t="s">
        <v>47425</v>
      </c>
      <c r="P8865">
        <v>0</v>
      </c>
      <c r="Q8865">
        <v>2</v>
      </c>
      <c r="R8865" t="s">
        <v>47432</v>
      </c>
      <c r="S8865" t="s">
        <v>47597</v>
      </c>
      <c r="T8865" t="s">
        <v>49177</v>
      </c>
      <c r="U8865" t="s">
        <v>56999</v>
      </c>
      <c r="W8865" t="s">
        <v>64503</v>
      </c>
      <c r="X8865" t="s">
        <v>47433</v>
      </c>
    </row>
    <row r="8866" spans="1:24">
      <c r="A8866">
        <f>HYPERLINK("https://www.philgeps.gov.ph/GEPSNONPILOT/Tender/SplashBidNoticeAbstractUI.aspx?menuIndex=3&amp;refID=7154680&amp;Result=3","7154680")</f>
        <v>0</v>
      </c>
      <c r="B8866" t="s">
        <v>224</v>
      </c>
      <c r="C8866" t="s">
        <v>4344</v>
      </c>
      <c r="D8866" t="s">
        <v>19027</v>
      </c>
      <c r="E8866" t="s">
        <v>26789</v>
      </c>
      <c r="F8866" t="s">
        <v>32831</v>
      </c>
      <c r="G8866" t="s">
        <v>32840</v>
      </c>
      <c r="H8866" t="s">
        <v>32848</v>
      </c>
      <c r="I8866" t="s">
        <v>32855</v>
      </c>
      <c r="J8866" t="s">
        <v>33433</v>
      </c>
      <c r="K8866" t="s">
        <v>42727</v>
      </c>
      <c r="M8866" t="s">
        <v>43222</v>
      </c>
      <c r="N8866" t="s">
        <v>47424</v>
      </c>
      <c r="O8866" t="s">
        <v>47425</v>
      </c>
      <c r="P8866">
        <v>0</v>
      </c>
      <c r="Q8866">
        <v>12</v>
      </c>
      <c r="R8866" t="s">
        <v>47432</v>
      </c>
      <c r="S8866" t="s">
        <v>47597</v>
      </c>
      <c r="T8866" t="s">
        <v>49151</v>
      </c>
      <c r="U8866" t="s">
        <v>57000</v>
      </c>
      <c r="W8866" t="s">
        <v>43222</v>
      </c>
      <c r="X8866" t="s">
        <v>47433</v>
      </c>
    </row>
    <row r="8867" spans="1:24">
      <c r="A8867">
        <f>HYPERLINK("https://www.philgeps.gov.ph/GEPSNONPILOT/Tender/SplashBidNoticeAbstractUI.aspx?menuIndex=3&amp;refID=7154708&amp;Result=3","7154708")</f>
        <v>0</v>
      </c>
      <c r="B8867" t="s">
        <v>1130</v>
      </c>
      <c r="C8867" t="s">
        <v>12240</v>
      </c>
      <c r="D8867" t="s">
        <v>19045</v>
      </c>
      <c r="E8867" t="s">
        <v>26790</v>
      </c>
      <c r="F8867" t="s">
        <v>32831</v>
      </c>
      <c r="G8867" t="s">
        <v>32838</v>
      </c>
      <c r="H8867" t="s">
        <v>32848</v>
      </c>
      <c r="I8867" t="s">
        <v>32874</v>
      </c>
      <c r="J8867" t="s">
        <v>38482</v>
      </c>
      <c r="K8867" t="s">
        <v>42745</v>
      </c>
      <c r="M8867" t="s">
        <v>44191</v>
      </c>
      <c r="N8867" t="s">
        <v>47424</v>
      </c>
      <c r="O8867" t="s">
        <v>47425</v>
      </c>
      <c r="P8867">
        <v>0</v>
      </c>
      <c r="Q8867">
        <v>4</v>
      </c>
      <c r="R8867" t="s">
        <v>47432</v>
      </c>
      <c r="S8867" t="s">
        <v>47597</v>
      </c>
      <c r="T8867" t="s">
        <v>49237</v>
      </c>
      <c r="U8867" t="s">
        <v>57001</v>
      </c>
      <c r="W8867" t="s">
        <v>44191</v>
      </c>
      <c r="X8867" t="s">
        <v>47433</v>
      </c>
    </row>
    <row r="8868" spans="1:24">
      <c r="A8868">
        <f>HYPERLINK("https://www.philgeps.gov.ph/GEPSNONPILOT/Tender/SplashBidNoticeAbstractUI.aspx?menuIndex=3&amp;refID=7154671&amp;Result=3","7154671")</f>
        <v>0</v>
      </c>
      <c r="B8868" t="s">
        <v>1162</v>
      </c>
      <c r="C8868" t="s">
        <v>12241</v>
      </c>
      <c r="D8868" t="s">
        <v>19050</v>
      </c>
      <c r="E8868" t="s">
        <v>12241</v>
      </c>
      <c r="F8868" t="s">
        <v>32831</v>
      </c>
      <c r="G8868" t="s">
        <v>32839</v>
      </c>
      <c r="H8868" t="s">
        <v>32848</v>
      </c>
      <c r="I8868" t="s">
        <v>4222</v>
      </c>
      <c r="J8868" t="s">
        <v>38483</v>
      </c>
      <c r="K8868" t="s">
        <v>42730</v>
      </c>
      <c r="M8868" t="s">
        <v>46128</v>
      </c>
      <c r="N8868" t="s">
        <v>47424</v>
      </c>
      <c r="O8868" t="s">
        <v>47425</v>
      </c>
      <c r="P8868">
        <v>0</v>
      </c>
      <c r="Q8868">
        <v>0</v>
      </c>
      <c r="R8868" t="s">
        <v>47432</v>
      </c>
      <c r="S8868" t="s">
        <v>47597</v>
      </c>
      <c r="T8868" t="s">
        <v>49150</v>
      </c>
      <c r="U8868" t="s">
        <v>57002</v>
      </c>
      <c r="W8868" t="s">
        <v>46128</v>
      </c>
      <c r="X8868" t="s">
        <v>47433</v>
      </c>
    </row>
    <row r="8869" spans="1:24">
      <c r="A8869">
        <f>HYPERLINK("https://www.philgeps.gov.ph/GEPSNONPILOT/Tender/SplashBidNoticeAbstractUI.aspx?menuIndex=3&amp;refID=7154576&amp;Result=3","7154576")</f>
        <v>0</v>
      </c>
      <c r="B8869" t="s">
        <v>2899</v>
      </c>
      <c r="C8869" t="s">
        <v>12242</v>
      </c>
      <c r="E8869" t="s">
        <v>19311</v>
      </c>
      <c r="F8869" t="s">
        <v>32831</v>
      </c>
      <c r="G8869" t="s">
        <v>32839</v>
      </c>
      <c r="H8869" t="s">
        <v>32848</v>
      </c>
      <c r="I8869" t="s">
        <v>32858</v>
      </c>
      <c r="J8869" t="s">
        <v>38484</v>
      </c>
      <c r="K8869" t="s">
        <v>42732</v>
      </c>
      <c r="M8869" t="s">
        <v>46144</v>
      </c>
      <c r="N8869" t="s">
        <v>47424</v>
      </c>
      <c r="O8869" t="s">
        <v>47425</v>
      </c>
      <c r="P8869">
        <v>0</v>
      </c>
      <c r="Q8869">
        <v>0</v>
      </c>
      <c r="R8869" t="s">
        <v>47432</v>
      </c>
      <c r="S8869" t="s">
        <v>47597</v>
      </c>
      <c r="T8869" t="s">
        <v>49141</v>
      </c>
      <c r="U8869" t="s">
        <v>57003</v>
      </c>
      <c r="W8869" t="s">
        <v>46144</v>
      </c>
      <c r="X8869" t="s">
        <v>47433</v>
      </c>
    </row>
    <row r="8870" spans="1:24">
      <c r="A8870">
        <f>HYPERLINK("https://www.philgeps.gov.ph/GEPSNONPILOT/Tender/SplashBidNoticeAbstractUI.aspx?menuIndex=3&amp;refID=7154497&amp;Result=3","7154497")</f>
        <v>0</v>
      </c>
      <c r="B8870" t="s">
        <v>2709</v>
      </c>
      <c r="C8870" t="s">
        <v>12243</v>
      </c>
      <c r="D8870" t="s">
        <v>19018</v>
      </c>
      <c r="E8870" t="s">
        <v>24517</v>
      </c>
      <c r="F8870" t="s">
        <v>32831</v>
      </c>
      <c r="G8870" t="s">
        <v>32839</v>
      </c>
      <c r="H8870" t="s">
        <v>32848</v>
      </c>
      <c r="I8870" t="s">
        <v>7416</v>
      </c>
      <c r="J8870" t="s">
        <v>38485</v>
      </c>
      <c r="K8870" t="s">
        <v>42745</v>
      </c>
      <c r="M8870" t="s">
        <v>45935</v>
      </c>
      <c r="N8870" t="s">
        <v>47424</v>
      </c>
      <c r="O8870" t="s">
        <v>47425</v>
      </c>
      <c r="P8870">
        <v>0</v>
      </c>
      <c r="Q8870">
        <v>0</v>
      </c>
      <c r="R8870" t="s">
        <v>47432</v>
      </c>
      <c r="S8870" t="s">
        <v>47597</v>
      </c>
      <c r="T8870" t="s">
        <v>49107</v>
      </c>
      <c r="U8870" t="s">
        <v>56948</v>
      </c>
      <c r="W8870" t="s">
        <v>45935</v>
      </c>
      <c r="X8870" t="s">
        <v>47433</v>
      </c>
    </row>
    <row r="8871" spans="1:24">
      <c r="A8871">
        <f>HYPERLINK("https://www.philgeps.gov.ph/GEPSNONPILOT/Tender/SplashBidNoticeAbstractUI.aspx?menuIndex=3&amp;refID=7154707&amp;Result=3","7154707")</f>
        <v>0</v>
      </c>
      <c r="B8871" t="s">
        <v>2833</v>
      </c>
      <c r="C8871" t="s">
        <v>12244</v>
      </c>
      <c r="D8871" t="s">
        <v>19073</v>
      </c>
      <c r="E8871" t="s">
        <v>26291</v>
      </c>
      <c r="F8871" t="s">
        <v>32831</v>
      </c>
      <c r="G8871" t="s">
        <v>32838</v>
      </c>
      <c r="H8871" t="s">
        <v>32848</v>
      </c>
      <c r="I8871" t="s">
        <v>7416</v>
      </c>
      <c r="J8871" t="s">
        <v>33249</v>
      </c>
      <c r="K8871" t="s">
        <v>42730</v>
      </c>
      <c r="M8871" t="s">
        <v>46065</v>
      </c>
      <c r="N8871" t="s">
        <v>47424</v>
      </c>
      <c r="O8871" t="s">
        <v>47425</v>
      </c>
      <c r="P8871">
        <v>0</v>
      </c>
      <c r="Q8871">
        <v>4</v>
      </c>
      <c r="R8871" t="s">
        <v>47432</v>
      </c>
      <c r="S8871" t="s">
        <v>47597</v>
      </c>
      <c r="T8871" t="s">
        <v>49237</v>
      </c>
      <c r="U8871" t="s">
        <v>56723</v>
      </c>
      <c r="W8871" t="s">
        <v>46065</v>
      </c>
      <c r="X8871" t="s">
        <v>47433</v>
      </c>
    </row>
    <row r="8872" spans="1:24">
      <c r="A8872">
        <f>HYPERLINK("https://www.philgeps.gov.ph/GEPSNONPILOT/Tender/SplashBidNoticeAbstractUI.aspx?menuIndex=3&amp;refID=7154700&amp;Result=3","7154700")</f>
        <v>0</v>
      </c>
      <c r="B8872" t="s">
        <v>2888</v>
      </c>
      <c r="C8872" t="s">
        <v>12245</v>
      </c>
      <c r="D8872" t="s">
        <v>19053</v>
      </c>
      <c r="E8872" t="s">
        <v>26791</v>
      </c>
      <c r="F8872" t="s">
        <v>32831</v>
      </c>
      <c r="G8872" t="s">
        <v>32838</v>
      </c>
      <c r="H8872" t="s">
        <v>32848</v>
      </c>
      <c r="I8872" t="s">
        <v>11484</v>
      </c>
      <c r="J8872" t="s">
        <v>38486</v>
      </c>
      <c r="K8872" t="s">
        <v>42727</v>
      </c>
      <c r="M8872" t="s">
        <v>46129</v>
      </c>
      <c r="N8872" t="s">
        <v>47424</v>
      </c>
      <c r="O8872" t="s">
        <v>47425</v>
      </c>
      <c r="P8872">
        <v>0</v>
      </c>
      <c r="Q8872">
        <v>0</v>
      </c>
      <c r="R8872" t="s">
        <v>47432</v>
      </c>
      <c r="S8872" t="s">
        <v>47597</v>
      </c>
      <c r="T8872" t="s">
        <v>49163</v>
      </c>
      <c r="U8872" t="s">
        <v>57004</v>
      </c>
      <c r="W8872" t="s">
        <v>46129</v>
      </c>
      <c r="X8872" t="s">
        <v>47433</v>
      </c>
    </row>
    <row r="8873" spans="1:24">
      <c r="A8873">
        <f>HYPERLINK("https://www.philgeps.gov.ph/GEPSNONPILOT/Tender/SplashBidNoticeAbstractUI.aspx?menuIndex=3&amp;refID=7154705&amp;Result=3","7154705")</f>
        <v>0</v>
      </c>
      <c r="B8873" t="s">
        <v>2854</v>
      </c>
      <c r="C8873" t="s">
        <v>12246</v>
      </c>
      <c r="D8873" t="s">
        <v>19022</v>
      </c>
      <c r="E8873" t="s">
        <v>25832</v>
      </c>
      <c r="F8873" t="s">
        <v>32831</v>
      </c>
      <c r="G8873" t="s">
        <v>32839</v>
      </c>
      <c r="H8873" t="s">
        <v>32849</v>
      </c>
      <c r="I8873" t="s">
        <v>32889</v>
      </c>
      <c r="J8873" t="s">
        <v>36020</v>
      </c>
      <c r="K8873" t="s">
        <v>42729</v>
      </c>
      <c r="M8873" t="s">
        <v>46087</v>
      </c>
      <c r="N8873" t="s">
        <v>47424</v>
      </c>
      <c r="O8873" t="s">
        <v>47425</v>
      </c>
      <c r="P8873">
        <v>0</v>
      </c>
      <c r="Q8873">
        <v>0</v>
      </c>
      <c r="R8873" t="s">
        <v>47432</v>
      </c>
      <c r="S8873" t="s">
        <v>47597</v>
      </c>
      <c r="T8873" t="s">
        <v>49490</v>
      </c>
      <c r="U8873" t="s">
        <v>57005</v>
      </c>
      <c r="V8873" t="s">
        <v>63584</v>
      </c>
      <c r="W8873" t="s">
        <v>46087</v>
      </c>
      <c r="X8873" t="s">
        <v>47433</v>
      </c>
    </row>
    <row r="8874" spans="1:24">
      <c r="A8874">
        <f>HYPERLINK("https://www.philgeps.gov.ph/GEPSNONPILOT/Tender/SplashBidNoticeAbstractUI.aspx?menuIndex=3&amp;refID=7154749&amp;Result=3","7154749")</f>
        <v>0</v>
      </c>
      <c r="B8874" t="s">
        <v>2277</v>
      </c>
      <c r="C8874" t="s">
        <v>12247</v>
      </c>
      <c r="D8874" t="s">
        <v>19031</v>
      </c>
      <c r="E8874" t="s">
        <v>26792</v>
      </c>
      <c r="F8874" t="s">
        <v>32831</v>
      </c>
      <c r="G8874" t="s">
        <v>32838</v>
      </c>
      <c r="H8874" t="s">
        <v>32848</v>
      </c>
      <c r="I8874" t="s">
        <v>32931</v>
      </c>
      <c r="J8874" t="s">
        <v>33479</v>
      </c>
      <c r="K8874" t="s">
        <v>42731</v>
      </c>
      <c r="M8874" t="s">
        <v>45461</v>
      </c>
      <c r="N8874" t="s">
        <v>47424</v>
      </c>
      <c r="O8874" t="s">
        <v>47425</v>
      </c>
      <c r="P8874">
        <v>0</v>
      </c>
      <c r="Q8874">
        <v>4</v>
      </c>
      <c r="R8874" t="s">
        <v>47432</v>
      </c>
      <c r="S8874" t="s">
        <v>47597</v>
      </c>
      <c r="T8874" t="s">
        <v>49214</v>
      </c>
      <c r="U8874" t="s">
        <v>57006</v>
      </c>
      <c r="W8874" t="s">
        <v>45461</v>
      </c>
      <c r="X8874" t="s">
        <v>47433</v>
      </c>
    </row>
    <row r="8875" spans="1:24">
      <c r="A8875">
        <f>HYPERLINK("https://www.philgeps.gov.ph/GEPSNONPILOT/Tender/SplashBidNoticeAbstractUI.aspx?menuIndex=3&amp;refID=7154711&amp;Result=3","7154711")</f>
        <v>0</v>
      </c>
      <c r="B8875" t="s">
        <v>1977</v>
      </c>
      <c r="C8875" t="s">
        <v>12248</v>
      </c>
      <c r="D8875" t="s">
        <v>19073</v>
      </c>
      <c r="E8875" t="s">
        <v>26793</v>
      </c>
      <c r="F8875" t="s">
        <v>32831</v>
      </c>
      <c r="G8875" t="s">
        <v>32839</v>
      </c>
      <c r="H8875" t="s">
        <v>32848</v>
      </c>
      <c r="I8875" t="s">
        <v>4438</v>
      </c>
      <c r="J8875" t="s">
        <v>33108</v>
      </c>
      <c r="K8875" t="s">
        <v>42732</v>
      </c>
      <c r="M8875" t="s">
        <v>46138</v>
      </c>
      <c r="N8875" t="s">
        <v>47424</v>
      </c>
      <c r="O8875" t="s">
        <v>47425</v>
      </c>
      <c r="P8875">
        <v>0</v>
      </c>
      <c r="Q8875">
        <v>0</v>
      </c>
      <c r="R8875" t="s">
        <v>47432</v>
      </c>
      <c r="S8875" t="s">
        <v>47597</v>
      </c>
      <c r="T8875" t="s">
        <v>49461</v>
      </c>
      <c r="U8875" t="s">
        <v>57007</v>
      </c>
      <c r="W8875" t="s">
        <v>46138</v>
      </c>
      <c r="X8875" t="s">
        <v>47433</v>
      </c>
    </row>
    <row r="8876" spans="1:24">
      <c r="A8876">
        <f>HYPERLINK("https://www.philgeps.gov.ph/GEPSNONPILOT/Tender/SplashBidNoticeAbstractUI.aspx?menuIndex=3&amp;refID=7154762&amp;Result=3","7154762")</f>
        <v>0</v>
      </c>
      <c r="B8876" t="s">
        <v>2833</v>
      </c>
      <c r="C8876" t="s">
        <v>12249</v>
      </c>
      <c r="D8876" t="s">
        <v>19073</v>
      </c>
      <c r="E8876" t="s">
        <v>26413</v>
      </c>
      <c r="F8876" t="s">
        <v>32831</v>
      </c>
      <c r="G8876" t="s">
        <v>32838</v>
      </c>
      <c r="H8876" t="s">
        <v>32848</v>
      </c>
      <c r="I8876" t="s">
        <v>32862</v>
      </c>
      <c r="J8876" t="s">
        <v>38487</v>
      </c>
      <c r="K8876" t="s">
        <v>42730</v>
      </c>
      <c r="M8876" t="s">
        <v>46065</v>
      </c>
      <c r="N8876" t="s">
        <v>47424</v>
      </c>
      <c r="O8876" t="s">
        <v>47425</v>
      </c>
      <c r="P8876">
        <v>0</v>
      </c>
      <c r="Q8876">
        <v>0</v>
      </c>
      <c r="R8876" t="s">
        <v>47432</v>
      </c>
      <c r="S8876" t="s">
        <v>47597</v>
      </c>
      <c r="T8876" t="s">
        <v>49237</v>
      </c>
      <c r="U8876" t="s">
        <v>56723</v>
      </c>
      <c r="W8876" t="s">
        <v>46065</v>
      </c>
      <c r="X8876" t="s">
        <v>47433</v>
      </c>
    </row>
    <row r="8877" spans="1:24">
      <c r="A8877">
        <f>HYPERLINK("https://www.philgeps.gov.ph/GEPSNONPILOT/Tender/SplashBidNoticeAbstractUI.aspx?menuIndex=3&amp;refID=7154702&amp;Result=3","7154702")</f>
        <v>0</v>
      </c>
      <c r="B8877" t="s">
        <v>1162</v>
      </c>
      <c r="C8877" t="s">
        <v>12250</v>
      </c>
      <c r="D8877" t="s">
        <v>19050</v>
      </c>
      <c r="E8877" t="s">
        <v>12250</v>
      </c>
      <c r="F8877" t="s">
        <v>32831</v>
      </c>
      <c r="G8877" t="s">
        <v>32839</v>
      </c>
      <c r="H8877" t="s">
        <v>32848</v>
      </c>
      <c r="I8877" t="s">
        <v>4487</v>
      </c>
      <c r="J8877" t="s">
        <v>32980</v>
      </c>
      <c r="K8877" t="s">
        <v>42730</v>
      </c>
      <c r="M8877" t="s">
        <v>46128</v>
      </c>
      <c r="N8877" t="s">
        <v>47424</v>
      </c>
      <c r="O8877" t="s">
        <v>47425</v>
      </c>
      <c r="P8877">
        <v>0</v>
      </c>
      <c r="Q8877">
        <v>0</v>
      </c>
      <c r="R8877" t="s">
        <v>47432</v>
      </c>
      <c r="S8877" t="s">
        <v>47597</v>
      </c>
      <c r="T8877" t="s">
        <v>49108</v>
      </c>
      <c r="U8877" t="s">
        <v>57008</v>
      </c>
      <c r="W8877" t="s">
        <v>46128</v>
      </c>
      <c r="X8877" t="s">
        <v>47433</v>
      </c>
    </row>
    <row r="8878" spans="1:24">
      <c r="A8878">
        <f>HYPERLINK("https://www.philgeps.gov.ph/GEPSNONPILOT/Tender/SplashBidNoticeAbstractUI.aspx?menuIndex=3&amp;refID=7154761&amp;Result=3","7154761")</f>
        <v>0</v>
      </c>
      <c r="B8878" t="s">
        <v>2900</v>
      </c>
      <c r="C8878" t="s">
        <v>12251</v>
      </c>
      <c r="D8878" t="s">
        <v>19038</v>
      </c>
      <c r="E8878" t="s">
        <v>26794</v>
      </c>
      <c r="F8878" t="s">
        <v>32831</v>
      </c>
      <c r="G8878" t="s">
        <v>32839</v>
      </c>
      <c r="H8878" t="s">
        <v>32848</v>
      </c>
      <c r="I8878" t="s">
        <v>32857</v>
      </c>
      <c r="J8878" t="s">
        <v>38488</v>
      </c>
      <c r="K8878" t="s">
        <v>42730</v>
      </c>
      <c r="M8878" t="s">
        <v>46145</v>
      </c>
      <c r="N8878" t="s">
        <v>47424</v>
      </c>
      <c r="O8878" t="s">
        <v>47425</v>
      </c>
      <c r="P8878">
        <v>0</v>
      </c>
      <c r="Q8878">
        <v>4</v>
      </c>
      <c r="R8878" t="s">
        <v>47432</v>
      </c>
      <c r="S8878" t="s">
        <v>47597</v>
      </c>
      <c r="T8878" t="s">
        <v>49524</v>
      </c>
      <c r="U8878" t="s">
        <v>57009</v>
      </c>
      <c r="W8878" t="s">
        <v>46145</v>
      </c>
      <c r="X8878" t="s">
        <v>47433</v>
      </c>
    </row>
    <row r="8879" spans="1:24">
      <c r="A8879">
        <f>HYPERLINK("https://www.philgeps.gov.ph/GEPSNONPILOT/Tender/SplashBidNoticeAbstractUI.aspx?menuIndex=3&amp;refID=7154759&amp;Result=3","7154759")</f>
        <v>0</v>
      </c>
      <c r="B8879" t="s">
        <v>2854</v>
      </c>
      <c r="C8879" t="s">
        <v>12252</v>
      </c>
      <c r="D8879" t="s">
        <v>19022</v>
      </c>
      <c r="E8879" t="s">
        <v>25831</v>
      </c>
      <c r="F8879" t="s">
        <v>32831</v>
      </c>
      <c r="G8879" t="s">
        <v>32839</v>
      </c>
      <c r="H8879" t="s">
        <v>32849</v>
      </c>
      <c r="I8879" t="s">
        <v>32889</v>
      </c>
      <c r="J8879" t="s">
        <v>32978</v>
      </c>
      <c r="K8879" t="s">
        <v>42730</v>
      </c>
      <c r="M8879" t="s">
        <v>46087</v>
      </c>
      <c r="N8879" t="s">
        <v>47424</v>
      </c>
      <c r="O8879" t="s">
        <v>47425</v>
      </c>
      <c r="P8879">
        <v>0</v>
      </c>
      <c r="Q8879">
        <v>1</v>
      </c>
      <c r="R8879" t="s">
        <v>47432</v>
      </c>
      <c r="S8879" t="s">
        <v>47597</v>
      </c>
      <c r="T8879" t="s">
        <v>49490</v>
      </c>
      <c r="U8879" t="s">
        <v>57010</v>
      </c>
      <c r="V8879" t="s">
        <v>63584</v>
      </c>
      <c r="W8879" t="s">
        <v>46087</v>
      </c>
      <c r="X8879" t="s">
        <v>47433</v>
      </c>
    </row>
    <row r="8880" spans="1:24">
      <c r="A8880">
        <f>HYPERLINK("https://www.philgeps.gov.ph/GEPSNONPILOT/Tender/SplashBidNoticeAbstractUI.aspx?menuIndex=3&amp;refID=7154753&amp;Result=3","7154753")</f>
        <v>0</v>
      </c>
      <c r="B8880" t="s">
        <v>772</v>
      </c>
      <c r="C8880" t="s">
        <v>12253</v>
      </c>
      <c r="D8880" t="s">
        <v>19058</v>
      </c>
      <c r="E8880" t="s">
        <v>26795</v>
      </c>
      <c r="F8880" t="s">
        <v>32831</v>
      </c>
      <c r="G8880" t="s">
        <v>32839</v>
      </c>
      <c r="H8880" t="s">
        <v>32849</v>
      </c>
      <c r="I8880" t="s">
        <v>4177</v>
      </c>
      <c r="J8880" t="s">
        <v>33083</v>
      </c>
      <c r="K8880" t="s">
        <v>42770</v>
      </c>
      <c r="M8880" t="s">
        <v>43801</v>
      </c>
      <c r="N8880" t="s">
        <v>47424</v>
      </c>
      <c r="O8880" t="s">
        <v>47425</v>
      </c>
      <c r="P8880">
        <v>0</v>
      </c>
      <c r="Q8880">
        <v>0</v>
      </c>
      <c r="R8880" t="s">
        <v>47432</v>
      </c>
      <c r="S8880" t="s">
        <v>47597</v>
      </c>
      <c r="T8880" t="s">
        <v>49221</v>
      </c>
      <c r="U8880" t="s">
        <v>57011</v>
      </c>
      <c r="W8880" t="s">
        <v>43801</v>
      </c>
      <c r="X8880" t="s">
        <v>47433</v>
      </c>
    </row>
    <row r="8881" spans="1:24">
      <c r="A8881">
        <f>HYPERLINK("https://www.philgeps.gov.ph/GEPSNONPILOT/Tender/SplashBidNoticeAbstractUI.aspx?menuIndex=3&amp;refID=7154703&amp;Result=3","7154703")</f>
        <v>0</v>
      </c>
      <c r="B8881" t="s">
        <v>2827</v>
      </c>
      <c r="C8881" t="s">
        <v>12254</v>
      </c>
      <c r="D8881" t="s">
        <v>19056</v>
      </c>
      <c r="E8881" t="s">
        <v>26796</v>
      </c>
      <c r="F8881" t="s">
        <v>32831</v>
      </c>
      <c r="G8881" t="s">
        <v>32839</v>
      </c>
      <c r="H8881" t="s">
        <v>32848</v>
      </c>
      <c r="I8881" t="s">
        <v>32861</v>
      </c>
      <c r="J8881" t="s">
        <v>38489</v>
      </c>
      <c r="K8881" t="s">
        <v>42732</v>
      </c>
      <c r="M8881" t="s">
        <v>46058</v>
      </c>
      <c r="N8881" t="s">
        <v>47424</v>
      </c>
      <c r="O8881" t="s">
        <v>47425</v>
      </c>
      <c r="P8881">
        <v>0</v>
      </c>
      <c r="Q8881">
        <v>23</v>
      </c>
      <c r="R8881" t="s">
        <v>47432</v>
      </c>
      <c r="S8881" t="s">
        <v>47597</v>
      </c>
      <c r="T8881" t="s">
        <v>49319</v>
      </c>
      <c r="U8881" t="s">
        <v>57012</v>
      </c>
      <c r="W8881" t="s">
        <v>46058</v>
      </c>
      <c r="X8881" t="s">
        <v>47433</v>
      </c>
    </row>
    <row r="8882" spans="1:24">
      <c r="A8882">
        <f>HYPERLINK("https://www.philgeps.gov.ph/GEPSNONPILOT/Tender/SplashBidNoticeAbstractUI.aspx?menuIndex=3&amp;refID=7154699&amp;Result=3","7154699")</f>
        <v>0</v>
      </c>
      <c r="B8882" t="s">
        <v>2890</v>
      </c>
      <c r="C8882" t="s">
        <v>12255</v>
      </c>
      <c r="D8882" t="s">
        <v>19078</v>
      </c>
      <c r="E8882" t="s">
        <v>26797</v>
      </c>
      <c r="F8882" t="s">
        <v>32831</v>
      </c>
      <c r="G8882" t="s">
        <v>32839</v>
      </c>
      <c r="H8882" t="s">
        <v>32849</v>
      </c>
      <c r="I8882" t="s">
        <v>4177</v>
      </c>
      <c r="J8882" t="s">
        <v>33118</v>
      </c>
      <c r="K8882" t="s">
        <v>42729</v>
      </c>
      <c r="M8882" t="s">
        <v>46131</v>
      </c>
      <c r="N8882" t="s">
        <v>47424</v>
      </c>
      <c r="O8882" t="s">
        <v>47425</v>
      </c>
      <c r="P8882">
        <v>0</v>
      </c>
      <c r="Q8882">
        <v>1</v>
      </c>
      <c r="R8882" t="s">
        <v>47432</v>
      </c>
      <c r="S8882" t="s">
        <v>47597</v>
      </c>
      <c r="T8882" t="s">
        <v>49236</v>
      </c>
      <c r="U8882" t="s">
        <v>53800</v>
      </c>
      <c r="V8882" t="s">
        <v>63604</v>
      </c>
      <c r="W8882" t="s">
        <v>46131</v>
      </c>
      <c r="X8882" t="s">
        <v>47433</v>
      </c>
    </row>
    <row r="8883" spans="1:24">
      <c r="A8883">
        <f>HYPERLINK("https://www.philgeps.gov.ph/GEPSNONPILOT/Tender/SplashBidNoticeAbstractUI.aspx?menuIndex=3&amp;refID=7154748&amp;Result=3","7154748")</f>
        <v>0</v>
      </c>
      <c r="B8883" t="s">
        <v>2568</v>
      </c>
      <c r="C8883" t="s">
        <v>12256</v>
      </c>
      <c r="D8883" t="s">
        <v>19073</v>
      </c>
      <c r="E8883" t="s">
        <v>26798</v>
      </c>
      <c r="F8883" t="s">
        <v>32831</v>
      </c>
      <c r="G8883" t="s">
        <v>32838</v>
      </c>
      <c r="H8883" t="s">
        <v>32848</v>
      </c>
      <c r="I8883" t="s">
        <v>7416</v>
      </c>
      <c r="J8883" t="s">
        <v>38490</v>
      </c>
      <c r="K8883" t="s">
        <v>42732</v>
      </c>
      <c r="M8883" t="s">
        <v>45784</v>
      </c>
      <c r="N8883" t="s">
        <v>47424</v>
      </c>
      <c r="O8883" t="s">
        <v>47425</v>
      </c>
      <c r="P8883">
        <v>0</v>
      </c>
      <c r="Q8883">
        <v>0</v>
      </c>
      <c r="R8883" t="s">
        <v>47432</v>
      </c>
      <c r="S8883" t="s">
        <v>47597</v>
      </c>
      <c r="T8883" t="s">
        <v>49057</v>
      </c>
      <c r="U8883" t="s">
        <v>57013</v>
      </c>
      <c r="W8883" t="s">
        <v>45784</v>
      </c>
      <c r="X8883" t="s">
        <v>47433</v>
      </c>
    </row>
    <row r="8884" spans="1:24">
      <c r="A8884">
        <f>HYPERLINK("https://www.philgeps.gov.ph/GEPSNONPILOT/Tender/SplashBidNoticeAbstractUI.aspx?menuIndex=3&amp;refID=7154712&amp;Result=3","7154712")</f>
        <v>0</v>
      </c>
      <c r="B8884" t="s">
        <v>2866</v>
      </c>
      <c r="C8884" t="s">
        <v>12257</v>
      </c>
      <c r="D8884" t="s">
        <v>19059</v>
      </c>
      <c r="E8884" t="s">
        <v>26799</v>
      </c>
      <c r="F8884" t="s">
        <v>32831</v>
      </c>
      <c r="G8884" t="s">
        <v>32839</v>
      </c>
      <c r="H8884" t="s">
        <v>32849</v>
      </c>
      <c r="I8884" t="s">
        <v>4177</v>
      </c>
      <c r="J8884" t="s">
        <v>38438</v>
      </c>
      <c r="K8884" t="s">
        <v>42780</v>
      </c>
      <c r="M8884" t="s">
        <v>46101</v>
      </c>
      <c r="N8884" t="s">
        <v>47424</v>
      </c>
      <c r="O8884" t="s">
        <v>47425</v>
      </c>
      <c r="P8884">
        <v>0</v>
      </c>
      <c r="Q8884">
        <v>80</v>
      </c>
      <c r="R8884" t="s">
        <v>47432</v>
      </c>
      <c r="S8884" t="s">
        <v>47597</v>
      </c>
      <c r="T8884" t="s">
        <v>49236</v>
      </c>
      <c r="U8884" t="s">
        <v>56858</v>
      </c>
      <c r="V8884" t="s">
        <v>63609</v>
      </c>
      <c r="W8884" t="s">
        <v>46142</v>
      </c>
      <c r="X8884" t="s">
        <v>47433</v>
      </c>
    </row>
    <row r="8885" spans="1:24">
      <c r="A8885">
        <f>HYPERLINK("https://www.philgeps.gov.ph/GEPSNONPILOT/Tender/SplashBidNoticeAbstractUI.aspx?menuIndex=3&amp;refID=7154752&amp;Result=3","7154752")</f>
        <v>0</v>
      </c>
      <c r="B8885" t="s">
        <v>2901</v>
      </c>
      <c r="C8885" t="s">
        <v>12258</v>
      </c>
      <c r="D8885" t="s">
        <v>19091</v>
      </c>
      <c r="E8885" t="s">
        <v>26800</v>
      </c>
      <c r="F8885" t="s">
        <v>32831</v>
      </c>
      <c r="G8885" t="s">
        <v>32839</v>
      </c>
      <c r="H8885" t="s">
        <v>32848</v>
      </c>
      <c r="I8885" t="s">
        <v>32935</v>
      </c>
      <c r="J8885" t="s">
        <v>33044</v>
      </c>
      <c r="K8885" t="s">
        <v>42747</v>
      </c>
      <c r="M8885" t="s">
        <v>46146</v>
      </c>
      <c r="N8885" t="s">
        <v>47424</v>
      </c>
      <c r="O8885" t="s">
        <v>47425</v>
      </c>
      <c r="P8885">
        <v>0</v>
      </c>
      <c r="Q8885">
        <v>0</v>
      </c>
      <c r="R8885" t="s">
        <v>47432</v>
      </c>
      <c r="S8885" t="s">
        <v>47597</v>
      </c>
      <c r="T8885" t="s">
        <v>49160</v>
      </c>
      <c r="U8885" t="s">
        <v>57014</v>
      </c>
      <c r="W8885" t="s">
        <v>46146</v>
      </c>
      <c r="X8885" t="s">
        <v>47433</v>
      </c>
    </row>
    <row r="8886" spans="1:24">
      <c r="A8886">
        <f>HYPERLINK("https://www.philgeps.gov.ph/GEPSNONPILOT/Tender/SplashBidNoticeAbstractUI.aspx?menuIndex=3&amp;refID=7154739&amp;Result=3","7154739")</f>
        <v>0</v>
      </c>
      <c r="B8886" t="s">
        <v>1236</v>
      </c>
      <c r="C8886" t="s">
        <v>12259</v>
      </c>
      <c r="D8886" t="s">
        <v>19045</v>
      </c>
      <c r="E8886" t="s">
        <v>19606</v>
      </c>
      <c r="F8886" t="s">
        <v>32831</v>
      </c>
      <c r="G8886" t="s">
        <v>32839</v>
      </c>
      <c r="H8886" t="s">
        <v>32848</v>
      </c>
      <c r="I8886" t="s">
        <v>4558</v>
      </c>
      <c r="J8886" t="s">
        <v>38491</v>
      </c>
      <c r="K8886" t="s">
        <v>42730</v>
      </c>
      <c r="M8886" t="s">
        <v>44306</v>
      </c>
      <c r="N8886" t="s">
        <v>47424</v>
      </c>
      <c r="O8886" t="s">
        <v>47425</v>
      </c>
      <c r="P8886">
        <v>0</v>
      </c>
      <c r="Q8886">
        <v>1</v>
      </c>
      <c r="R8886" t="s">
        <v>47432</v>
      </c>
      <c r="S8886" t="s">
        <v>47597</v>
      </c>
      <c r="T8886" t="s">
        <v>49112</v>
      </c>
      <c r="U8886" t="s">
        <v>57015</v>
      </c>
      <c r="W8886" t="s">
        <v>44306</v>
      </c>
      <c r="X8886" t="s">
        <v>47433</v>
      </c>
    </row>
    <row r="8887" spans="1:24">
      <c r="A8887">
        <f>HYPERLINK("https://www.philgeps.gov.ph/GEPSNONPILOT/Tender/SplashBidNoticeAbstractUI.aspx?menuIndex=3&amp;refID=7154729&amp;Result=3","7154729")</f>
        <v>0</v>
      </c>
      <c r="B8887" t="s">
        <v>1654</v>
      </c>
      <c r="C8887" t="s">
        <v>12260</v>
      </c>
      <c r="D8887" t="s">
        <v>19058</v>
      </c>
      <c r="E8887" t="s">
        <v>26801</v>
      </c>
      <c r="F8887" t="s">
        <v>32831</v>
      </c>
      <c r="G8887" t="s">
        <v>32839</v>
      </c>
      <c r="H8887" t="s">
        <v>32848</v>
      </c>
      <c r="I8887" t="s">
        <v>32855</v>
      </c>
      <c r="J8887" t="s">
        <v>38492</v>
      </c>
      <c r="K8887" t="s">
        <v>42730</v>
      </c>
      <c r="M8887" t="s">
        <v>44771</v>
      </c>
      <c r="N8887" t="s">
        <v>47424</v>
      </c>
      <c r="O8887" t="s">
        <v>47425</v>
      </c>
      <c r="P8887">
        <v>0</v>
      </c>
      <c r="Q8887">
        <v>1</v>
      </c>
      <c r="R8887" t="s">
        <v>47432</v>
      </c>
      <c r="S8887" t="s">
        <v>47597</v>
      </c>
      <c r="T8887" t="s">
        <v>49160</v>
      </c>
      <c r="U8887" t="s">
        <v>57016</v>
      </c>
      <c r="W8887" t="s">
        <v>44771</v>
      </c>
      <c r="X8887" t="s">
        <v>47433</v>
      </c>
    </row>
    <row r="8888" spans="1:24">
      <c r="A8888">
        <f>HYPERLINK("https://www.philgeps.gov.ph/GEPSNONPILOT/Tender/SplashBidNoticeAbstractUI.aspx?menuIndex=3&amp;refID=7154760&amp;Result=3","7154760")</f>
        <v>0</v>
      </c>
      <c r="B8888" t="s">
        <v>2866</v>
      </c>
      <c r="C8888" t="s">
        <v>12261</v>
      </c>
      <c r="D8888" t="s">
        <v>19059</v>
      </c>
      <c r="E8888" t="s">
        <v>26802</v>
      </c>
      <c r="F8888" t="s">
        <v>32831</v>
      </c>
      <c r="G8888" t="s">
        <v>32839</v>
      </c>
      <c r="H8888" t="s">
        <v>32849</v>
      </c>
      <c r="I8888" t="s">
        <v>4177</v>
      </c>
      <c r="J8888" t="s">
        <v>33118</v>
      </c>
      <c r="K8888" t="s">
        <v>42763</v>
      </c>
      <c r="M8888" t="s">
        <v>46101</v>
      </c>
      <c r="N8888" t="s">
        <v>47424</v>
      </c>
      <c r="O8888" t="s">
        <v>47425</v>
      </c>
      <c r="P8888">
        <v>0</v>
      </c>
      <c r="Q8888">
        <v>79</v>
      </c>
      <c r="R8888" t="s">
        <v>47432</v>
      </c>
      <c r="S8888" t="s">
        <v>47597</v>
      </c>
      <c r="T8888" t="s">
        <v>49236</v>
      </c>
      <c r="U8888" t="s">
        <v>56858</v>
      </c>
      <c r="V8888" t="s">
        <v>63610</v>
      </c>
      <c r="W8888" t="s">
        <v>46142</v>
      </c>
      <c r="X8888" t="s">
        <v>47433</v>
      </c>
    </row>
    <row r="8889" spans="1:24">
      <c r="A8889">
        <f>HYPERLINK("https://www.philgeps.gov.ph/GEPSNONPILOT/Tender/SplashBidNoticeAbstractUI.aspx?menuIndex=3&amp;refID=7154728&amp;Result=3","7154728")</f>
        <v>0</v>
      </c>
      <c r="B8889" t="s">
        <v>2571</v>
      </c>
      <c r="C8889" t="s">
        <v>12262</v>
      </c>
      <c r="D8889" t="s">
        <v>19060</v>
      </c>
      <c r="E8889" t="s">
        <v>26803</v>
      </c>
      <c r="F8889" t="s">
        <v>32831</v>
      </c>
      <c r="G8889" t="s">
        <v>32839</v>
      </c>
      <c r="H8889" t="s">
        <v>32849</v>
      </c>
      <c r="I8889" t="s">
        <v>4177</v>
      </c>
      <c r="J8889" t="s">
        <v>33118</v>
      </c>
      <c r="K8889" t="s">
        <v>42823</v>
      </c>
      <c r="M8889" t="s">
        <v>45787</v>
      </c>
      <c r="N8889" t="s">
        <v>47424</v>
      </c>
      <c r="O8889" t="s">
        <v>47425</v>
      </c>
      <c r="P8889">
        <v>0</v>
      </c>
      <c r="Q8889">
        <v>1</v>
      </c>
      <c r="R8889" t="s">
        <v>47432</v>
      </c>
      <c r="S8889" t="s">
        <v>47597</v>
      </c>
      <c r="T8889" t="s">
        <v>49160</v>
      </c>
      <c r="U8889" t="s">
        <v>57017</v>
      </c>
      <c r="W8889" t="s">
        <v>45787</v>
      </c>
      <c r="X8889" t="s">
        <v>47433</v>
      </c>
    </row>
    <row r="8890" spans="1:24">
      <c r="A8890">
        <f>HYPERLINK("https://www.philgeps.gov.ph/GEPSNONPILOT/Tender/SplashBidNoticeAbstractUI.aspx?menuIndex=3&amp;refID=7154723&amp;Result=3","7154723")</f>
        <v>0</v>
      </c>
      <c r="B8890" t="s">
        <v>63</v>
      </c>
      <c r="C8890" t="s">
        <v>12263</v>
      </c>
      <c r="D8890" t="s">
        <v>19017</v>
      </c>
      <c r="E8890" t="s">
        <v>19937</v>
      </c>
      <c r="F8890" t="s">
        <v>32831</v>
      </c>
      <c r="G8890" t="s">
        <v>32838</v>
      </c>
      <c r="H8890" t="s">
        <v>32848</v>
      </c>
      <c r="I8890" t="s">
        <v>32864</v>
      </c>
      <c r="J8890" t="s">
        <v>38493</v>
      </c>
      <c r="K8890" t="s">
        <v>42726</v>
      </c>
      <c r="M8890" t="s">
        <v>43060</v>
      </c>
      <c r="N8890" t="s">
        <v>47424</v>
      </c>
      <c r="O8890" t="s">
        <v>47425</v>
      </c>
      <c r="P8890">
        <v>0</v>
      </c>
      <c r="Q8890">
        <v>9</v>
      </c>
      <c r="R8890" t="s">
        <v>47432</v>
      </c>
      <c r="S8890" t="s">
        <v>47597</v>
      </c>
      <c r="T8890" t="s">
        <v>49350</v>
      </c>
      <c r="U8890" t="s">
        <v>57018</v>
      </c>
      <c r="W8890" t="s">
        <v>43060</v>
      </c>
      <c r="X8890" t="s">
        <v>47433</v>
      </c>
    </row>
    <row r="8891" spans="1:24">
      <c r="A8891">
        <f>HYPERLINK("https://www.philgeps.gov.ph/GEPSNONPILOT/Tender/SplashBidNoticeAbstractUI.aspx?menuIndex=3&amp;refID=7154719&amp;Result=3","7154719")</f>
        <v>0</v>
      </c>
      <c r="B8891" t="s">
        <v>2902</v>
      </c>
      <c r="C8891" t="s">
        <v>12264</v>
      </c>
      <c r="D8891" t="s">
        <v>19070</v>
      </c>
      <c r="E8891" t="s">
        <v>26804</v>
      </c>
      <c r="F8891" t="s">
        <v>32831</v>
      </c>
      <c r="G8891" t="s">
        <v>32839</v>
      </c>
      <c r="H8891" t="s">
        <v>32848</v>
      </c>
      <c r="I8891" t="s">
        <v>10643</v>
      </c>
      <c r="J8891" t="s">
        <v>38494</v>
      </c>
      <c r="K8891" t="s">
        <v>42727</v>
      </c>
      <c r="M8891" t="s">
        <v>46147</v>
      </c>
      <c r="N8891" t="s">
        <v>47424</v>
      </c>
      <c r="O8891" t="s">
        <v>47425</v>
      </c>
      <c r="P8891">
        <v>0</v>
      </c>
      <c r="Q8891">
        <v>2</v>
      </c>
      <c r="R8891" t="s">
        <v>47432</v>
      </c>
      <c r="S8891" t="s">
        <v>47597</v>
      </c>
      <c r="T8891" t="s">
        <v>49162</v>
      </c>
      <c r="U8891" t="s">
        <v>57019</v>
      </c>
      <c r="V8891" t="s">
        <v>63611</v>
      </c>
      <c r="W8891" t="s">
        <v>46147</v>
      </c>
      <c r="X8891" t="s">
        <v>47433</v>
      </c>
    </row>
    <row r="8892" spans="1:24">
      <c r="A8892">
        <f>HYPERLINK("https://www.philgeps.gov.ph/GEPSNONPILOT/Tender/SplashBidNoticeAbstractUI.aspx?menuIndex=3&amp;refID=7154735&amp;Result=3","7154735")</f>
        <v>0</v>
      </c>
      <c r="B8892" t="s">
        <v>1977</v>
      </c>
      <c r="C8892" t="s">
        <v>12265</v>
      </c>
      <c r="D8892" t="s">
        <v>19073</v>
      </c>
      <c r="E8892" t="s">
        <v>26805</v>
      </c>
      <c r="F8892" t="s">
        <v>32831</v>
      </c>
      <c r="G8892" t="s">
        <v>32839</v>
      </c>
      <c r="H8892" t="s">
        <v>32848</v>
      </c>
      <c r="I8892" t="s">
        <v>7416</v>
      </c>
      <c r="J8892" t="s">
        <v>38495</v>
      </c>
      <c r="K8892" t="s">
        <v>42732</v>
      </c>
      <c r="M8892" t="s">
        <v>46138</v>
      </c>
      <c r="N8892" t="s">
        <v>47424</v>
      </c>
      <c r="O8892" t="s">
        <v>47425</v>
      </c>
      <c r="P8892">
        <v>0</v>
      </c>
      <c r="Q8892">
        <v>2</v>
      </c>
      <c r="R8892" t="s">
        <v>47432</v>
      </c>
      <c r="S8892" t="s">
        <v>47597</v>
      </c>
      <c r="T8892" t="s">
        <v>49461</v>
      </c>
      <c r="U8892" t="s">
        <v>57020</v>
      </c>
      <c r="W8892" t="s">
        <v>46138</v>
      </c>
      <c r="X8892" t="s">
        <v>47433</v>
      </c>
    </row>
    <row r="8893" spans="1:24">
      <c r="A8893">
        <f>HYPERLINK("https://www.philgeps.gov.ph/GEPSNONPILOT/Tender/SplashBidNoticeAbstractUI.aspx?menuIndex=3&amp;refID=7154741&amp;Result=3","7154741")</f>
        <v>0</v>
      </c>
      <c r="B8893" t="s">
        <v>2833</v>
      </c>
      <c r="C8893" t="s">
        <v>12266</v>
      </c>
      <c r="D8893" t="s">
        <v>19073</v>
      </c>
      <c r="E8893" t="s">
        <v>22641</v>
      </c>
      <c r="F8893" t="s">
        <v>32831</v>
      </c>
      <c r="G8893" t="s">
        <v>32838</v>
      </c>
      <c r="H8893" t="s">
        <v>32848</v>
      </c>
      <c r="I8893" t="s">
        <v>32862</v>
      </c>
      <c r="J8893" t="s">
        <v>38496</v>
      </c>
      <c r="K8893" t="s">
        <v>42730</v>
      </c>
      <c r="M8893" t="s">
        <v>46065</v>
      </c>
      <c r="N8893" t="s">
        <v>47424</v>
      </c>
      <c r="O8893" t="s">
        <v>47425</v>
      </c>
      <c r="P8893">
        <v>0</v>
      </c>
      <c r="Q8893">
        <v>0</v>
      </c>
      <c r="R8893" t="s">
        <v>47432</v>
      </c>
      <c r="S8893" t="s">
        <v>47597</v>
      </c>
      <c r="T8893" t="s">
        <v>49237</v>
      </c>
      <c r="U8893" t="s">
        <v>57021</v>
      </c>
      <c r="W8893" t="s">
        <v>46065</v>
      </c>
      <c r="X8893" t="s">
        <v>47433</v>
      </c>
    </row>
    <row r="8894" spans="1:24">
      <c r="A8894">
        <f>HYPERLINK("https://www.philgeps.gov.ph/GEPSNONPILOT/Tender/SplashBidNoticeAbstractUI.aspx?menuIndex=3&amp;refID=7154718&amp;Result=3","7154718")</f>
        <v>0</v>
      </c>
      <c r="B8894" t="s">
        <v>2903</v>
      </c>
      <c r="C8894" t="s">
        <v>12267</v>
      </c>
      <c r="D8894" t="s">
        <v>19049</v>
      </c>
      <c r="E8894" t="s">
        <v>19787</v>
      </c>
      <c r="F8894" t="s">
        <v>32831</v>
      </c>
      <c r="G8894" t="s">
        <v>32840</v>
      </c>
      <c r="H8894" t="s">
        <v>32848</v>
      </c>
      <c r="I8894" t="s">
        <v>32878</v>
      </c>
      <c r="J8894" t="s">
        <v>34070</v>
      </c>
      <c r="K8894" t="s">
        <v>42730</v>
      </c>
      <c r="M8894" t="s">
        <v>46148</v>
      </c>
      <c r="N8894" t="s">
        <v>47424</v>
      </c>
      <c r="O8894" t="s">
        <v>47425</v>
      </c>
      <c r="P8894">
        <v>0</v>
      </c>
      <c r="Q8894">
        <v>1</v>
      </c>
      <c r="R8894" t="s">
        <v>47432</v>
      </c>
      <c r="S8894" t="s">
        <v>47597</v>
      </c>
      <c r="T8894" t="s">
        <v>49107</v>
      </c>
      <c r="U8894" t="s">
        <v>57022</v>
      </c>
      <c r="W8894" t="s">
        <v>46148</v>
      </c>
      <c r="X8894" t="s">
        <v>47433</v>
      </c>
    </row>
    <row r="8895" spans="1:24">
      <c r="A8895">
        <f>HYPERLINK("https://www.philgeps.gov.ph/GEPSNONPILOT/Tender/SplashBidNoticeAbstractUI.aspx?menuIndex=3&amp;refID=7154694&amp;Result=3","7154694")</f>
        <v>0</v>
      </c>
      <c r="B8895" t="s">
        <v>2571</v>
      </c>
      <c r="C8895" t="s">
        <v>12268</v>
      </c>
      <c r="D8895" t="s">
        <v>19060</v>
      </c>
      <c r="E8895" t="s">
        <v>26806</v>
      </c>
      <c r="F8895" t="s">
        <v>32831</v>
      </c>
      <c r="G8895" t="s">
        <v>32839</v>
      </c>
      <c r="H8895" t="s">
        <v>32849</v>
      </c>
      <c r="I8895" t="s">
        <v>4177</v>
      </c>
      <c r="J8895" t="s">
        <v>33257</v>
      </c>
      <c r="K8895" t="s">
        <v>42914</v>
      </c>
      <c r="M8895" t="s">
        <v>45787</v>
      </c>
      <c r="N8895" t="s">
        <v>47424</v>
      </c>
      <c r="O8895" t="s">
        <v>47425</v>
      </c>
      <c r="P8895">
        <v>0</v>
      </c>
      <c r="Q8895">
        <v>2</v>
      </c>
      <c r="R8895" t="s">
        <v>47432</v>
      </c>
      <c r="S8895" t="s">
        <v>47597</v>
      </c>
      <c r="T8895" t="s">
        <v>49160</v>
      </c>
      <c r="U8895" t="s">
        <v>57023</v>
      </c>
      <c r="W8895" t="s">
        <v>45787</v>
      </c>
      <c r="X8895" t="s">
        <v>47433</v>
      </c>
    </row>
    <row r="8896" spans="1:24">
      <c r="A8896">
        <f>HYPERLINK("https://www.philgeps.gov.ph/GEPSNONPILOT/Tender/SplashBidNoticeAbstractUI.aspx?menuIndex=3&amp;refID=7154742&amp;Result=3","7154742")</f>
        <v>0</v>
      </c>
      <c r="B8896" t="s">
        <v>1641</v>
      </c>
      <c r="C8896" t="s">
        <v>12269</v>
      </c>
      <c r="D8896" t="s">
        <v>19042</v>
      </c>
      <c r="E8896" t="s">
        <v>26807</v>
      </c>
      <c r="F8896" t="s">
        <v>32831</v>
      </c>
      <c r="G8896" t="s">
        <v>32839</v>
      </c>
      <c r="H8896" t="s">
        <v>32848</v>
      </c>
      <c r="I8896" t="s">
        <v>32869</v>
      </c>
      <c r="J8896" t="s">
        <v>38497</v>
      </c>
      <c r="K8896" t="s">
        <v>42747</v>
      </c>
      <c r="L8896" t="s">
        <v>1641</v>
      </c>
      <c r="M8896" t="s">
        <v>44758</v>
      </c>
      <c r="N8896" t="s">
        <v>47424</v>
      </c>
      <c r="O8896" t="s">
        <v>47425</v>
      </c>
      <c r="P8896">
        <v>0</v>
      </c>
      <c r="Q8896">
        <v>5</v>
      </c>
      <c r="R8896" t="s">
        <v>47432</v>
      </c>
      <c r="S8896" t="s">
        <v>47597</v>
      </c>
      <c r="T8896" t="s">
        <v>49283</v>
      </c>
      <c r="U8896" t="s">
        <v>57024</v>
      </c>
      <c r="V8896" t="s">
        <v>63581</v>
      </c>
      <c r="W8896" t="s">
        <v>44758</v>
      </c>
      <c r="X8896" t="s">
        <v>47433</v>
      </c>
    </row>
    <row r="8897" spans="1:24">
      <c r="A8897">
        <f>HYPERLINK("https://www.philgeps.gov.ph/GEPSNONPILOT/Tender/SplashBidNoticeAbstractUI.aspx?menuIndex=3&amp;refID=7154800&amp;Result=3","7154800")</f>
        <v>0</v>
      </c>
      <c r="B8897" t="s">
        <v>1789</v>
      </c>
      <c r="C8897" t="s">
        <v>12270</v>
      </c>
      <c r="D8897" t="s">
        <v>19030</v>
      </c>
      <c r="E8897" t="s">
        <v>19343</v>
      </c>
      <c r="F8897" t="s">
        <v>32831</v>
      </c>
      <c r="G8897" t="s">
        <v>32841</v>
      </c>
      <c r="H8897" t="s">
        <v>32848</v>
      </c>
      <c r="I8897" t="s">
        <v>4558</v>
      </c>
      <c r="J8897" t="s">
        <v>32980</v>
      </c>
      <c r="K8897" t="s">
        <v>42731</v>
      </c>
      <c r="M8897" t="s">
        <v>44919</v>
      </c>
      <c r="N8897" t="s">
        <v>47424</v>
      </c>
      <c r="O8897" t="s">
        <v>47425</v>
      </c>
      <c r="P8897">
        <v>0</v>
      </c>
      <c r="Q8897">
        <v>8</v>
      </c>
      <c r="R8897" t="s">
        <v>47432</v>
      </c>
      <c r="S8897" t="s">
        <v>47597</v>
      </c>
      <c r="T8897" t="s">
        <v>49214</v>
      </c>
      <c r="U8897" t="s">
        <v>53471</v>
      </c>
      <c r="V8897" t="s">
        <v>63127</v>
      </c>
      <c r="W8897" t="s">
        <v>44919</v>
      </c>
      <c r="X8897" t="s">
        <v>47433</v>
      </c>
    </row>
    <row r="8898" spans="1:24">
      <c r="A8898">
        <f>HYPERLINK("https://www.philgeps.gov.ph/GEPSNONPILOT/Tender/SplashBidNoticeAbstractUI.aspx?menuIndex=3&amp;refID=7154697&amp;Result=3","7154697")</f>
        <v>0</v>
      </c>
      <c r="B8898" t="s">
        <v>1969</v>
      </c>
      <c r="C8898" t="s">
        <v>12271</v>
      </c>
      <c r="D8898" t="s">
        <v>19047</v>
      </c>
      <c r="E8898" t="s">
        <v>26808</v>
      </c>
      <c r="F8898" t="s">
        <v>32831</v>
      </c>
      <c r="G8898" t="s">
        <v>32840</v>
      </c>
      <c r="H8898" t="s">
        <v>32848</v>
      </c>
      <c r="I8898" t="s">
        <v>7416</v>
      </c>
      <c r="J8898" t="s">
        <v>38498</v>
      </c>
      <c r="K8898" t="s">
        <v>42727</v>
      </c>
      <c r="M8898" t="s">
        <v>46136</v>
      </c>
      <c r="N8898" t="s">
        <v>47424</v>
      </c>
      <c r="O8898" t="s">
        <v>47425</v>
      </c>
      <c r="P8898">
        <v>0</v>
      </c>
      <c r="Q8898">
        <v>1</v>
      </c>
      <c r="R8898" t="s">
        <v>47432</v>
      </c>
      <c r="S8898" t="s">
        <v>47597</v>
      </c>
      <c r="T8898" t="s">
        <v>49119</v>
      </c>
      <c r="U8898" t="s">
        <v>56988</v>
      </c>
      <c r="W8898" t="s">
        <v>64494</v>
      </c>
      <c r="X8898" t="s">
        <v>47433</v>
      </c>
    </row>
    <row r="8899" spans="1:24">
      <c r="A8899">
        <f>HYPERLINK("https://www.philgeps.gov.ph/GEPSNONPILOT/Tender/SplashBidNoticeAbstractUI.aspx?menuIndex=3&amp;refID=7154794&amp;Result=3","7154794")</f>
        <v>0</v>
      </c>
      <c r="B8899" t="s">
        <v>2904</v>
      </c>
      <c r="C8899" t="s">
        <v>12272</v>
      </c>
      <c r="D8899" t="s">
        <v>19022</v>
      </c>
      <c r="E8899" t="s">
        <v>26809</v>
      </c>
      <c r="F8899" t="s">
        <v>32831</v>
      </c>
      <c r="G8899" t="s">
        <v>32839</v>
      </c>
      <c r="H8899" t="s">
        <v>32849</v>
      </c>
      <c r="I8899" t="s">
        <v>32855</v>
      </c>
      <c r="J8899" t="s">
        <v>38499</v>
      </c>
      <c r="K8899" t="s">
        <v>42730</v>
      </c>
      <c r="M8899" t="s">
        <v>46149</v>
      </c>
      <c r="N8899" t="s">
        <v>47424</v>
      </c>
      <c r="O8899" t="s">
        <v>47425</v>
      </c>
      <c r="P8899">
        <v>0</v>
      </c>
      <c r="Q8899">
        <v>1</v>
      </c>
      <c r="R8899" t="s">
        <v>47432</v>
      </c>
      <c r="S8899" t="s">
        <v>47597</v>
      </c>
      <c r="T8899" t="s">
        <v>49128</v>
      </c>
      <c r="U8899" t="s">
        <v>57025</v>
      </c>
      <c r="W8899" t="s">
        <v>46149</v>
      </c>
      <c r="X8899" t="s">
        <v>47433</v>
      </c>
    </row>
    <row r="8900" spans="1:24">
      <c r="A8900">
        <f>HYPERLINK("https://www.philgeps.gov.ph/GEPSNONPILOT/Tender/SplashBidNoticeAbstractUI.aspx?menuIndex=3&amp;refID=7154805&amp;Result=3","7154805")</f>
        <v>0</v>
      </c>
      <c r="B8900" t="s">
        <v>798</v>
      </c>
      <c r="C8900" t="s">
        <v>12273</v>
      </c>
      <c r="D8900" t="s">
        <v>19080</v>
      </c>
      <c r="E8900" t="s">
        <v>26810</v>
      </c>
      <c r="F8900" t="s">
        <v>32831</v>
      </c>
      <c r="G8900" t="s">
        <v>32839</v>
      </c>
      <c r="H8900" t="s">
        <v>32848</v>
      </c>
      <c r="I8900" t="s">
        <v>4558</v>
      </c>
      <c r="J8900" t="s">
        <v>38500</v>
      </c>
      <c r="K8900" t="s">
        <v>42727</v>
      </c>
      <c r="M8900" t="s">
        <v>43828</v>
      </c>
      <c r="N8900" t="s">
        <v>47424</v>
      </c>
      <c r="O8900" t="s">
        <v>47425</v>
      </c>
      <c r="P8900">
        <v>0</v>
      </c>
      <c r="Q8900">
        <v>3</v>
      </c>
      <c r="R8900" t="s">
        <v>47432</v>
      </c>
      <c r="S8900" t="s">
        <v>47597</v>
      </c>
      <c r="T8900" t="s">
        <v>49236</v>
      </c>
      <c r="U8900" t="s">
        <v>57026</v>
      </c>
      <c r="W8900" t="s">
        <v>43828</v>
      </c>
      <c r="X8900" t="s">
        <v>47433</v>
      </c>
    </row>
    <row r="8901" spans="1:24">
      <c r="A8901">
        <f>HYPERLINK("https://www.philgeps.gov.ph/GEPSNONPILOT/Tender/SplashBidNoticeAbstractUI.aspx?menuIndex=3&amp;refID=7154792&amp;Result=3","7154792")</f>
        <v>0</v>
      </c>
      <c r="B8901" t="s">
        <v>1115</v>
      </c>
      <c r="C8901" t="s">
        <v>12274</v>
      </c>
      <c r="D8901" t="s">
        <v>19017</v>
      </c>
      <c r="E8901" t="s">
        <v>26811</v>
      </c>
      <c r="F8901" t="s">
        <v>32831</v>
      </c>
      <c r="G8901" t="s">
        <v>32839</v>
      </c>
      <c r="H8901" t="s">
        <v>32848</v>
      </c>
      <c r="I8901" t="s">
        <v>32867</v>
      </c>
      <c r="J8901" t="s">
        <v>38501</v>
      </c>
      <c r="K8901" t="s">
        <v>42732</v>
      </c>
      <c r="M8901" t="s">
        <v>46150</v>
      </c>
      <c r="N8901" t="s">
        <v>47424</v>
      </c>
      <c r="O8901" t="s">
        <v>47425</v>
      </c>
      <c r="P8901">
        <v>0</v>
      </c>
      <c r="Q8901">
        <v>26</v>
      </c>
      <c r="R8901" t="s">
        <v>47432</v>
      </c>
      <c r="S8901" t="s">
        <v>47597</v>
      </c>
      <c r="T8901" t="s">
        <v>49319</v>
      </c>
      <c r="U8901" t="s">
        <v>57027</v>
      </c>
      <c r="V8901" t="s">
        <v>62898</v>
      </c>
      <c r="W8901" t="s">
        <v>46150</v>
      </c>
      <c r="X8901" t="s">
        <v>47433</v>
      </c>
    </row>
    <row r="8902" spans="1:24">
      <c r="A8902">
        <f>HYPERLINK("https://www.philgeps.gov.ph/GEPSNONPILOT/Tender/SplashBidNoticeAbstractUI.aspx?menuIndex=3&amp;refID=7154733&amp;Result=3","7154733")</f>
        <v>0</v>
      </c>
      <c r="B8902" t="s">
        <v>2854</v>
      </c>
      <c r="C8902" t="s">
        <v>12275</v>
      </c>
      <c r="D8902" t="s">
        <v>19022</v>
      </c>
      <c r="E8902" t="s">
        <v>25838</v>
      </c>
      <c r="F8902" t="s">
        <v>32831</v>
      </c>
      <c r="G8902" t="s">
        <v>32839</v>
      </c>
      <c r="H8902" t="s">
        <v>32849</v>
      </c>
      <c r="I8902" t="s">
        <v>32889</v>
      </c>
      <c r="J8902" t="s">
        <v>32978</v>
      </c>
      <c r="K8902" t="s">
        <v>42730</v>
      </c>
      <c r="M8902" t="s">
        <v>46087</v>
      </c>
      <c r="N8902" t="s">
        <v>47424</v>
      </c>
      <c r="O8902" t="s">
        <v>47425</v>
      </c>
      <c r="P8902">
        <v>0</v>
      </c>
      <c r="Q8902">
        <v>1</v>
      </c>
      <c r="R8902" t="s">
        <v>47432</v>
      </c>
      <c r="S8902" t="s">
        <v>47597</v>
      </c>
      <c r="T8902" t="s">
        <v>49490</v>
      </c>
      <c r="U8902" t="s">
        <v>57010</v>
      </c>
      <c r="V8902" t="s">
        <v>63584</v>
      </c>
      <c r="W8902" t="s">
        <v>46087</v>
      </c>
      <c r="X8902" t="s">
        <v>47433</v>
      </c>
    </row>
    <row r="8903" spans="1:24">
      <c r="A8903">
        <f>HYPERLINK("https://www.philgeps.gov.ph/GEPSNONPILOT/Tender/SplashBidNoticeAbstractUI.aspx?menuIndex=3&amp;refID=7154799&amp;Result=3","7154799")</f>
        <v>0</v>
      </c>
      <c r="B8903" t="s">
        <v>2905</v>
      </c>
      <c r="C8903" t="s">
        <v>12276</v>
      </c>
      <c r="D8903" t="s">
        <v>19057</v>
      </c>
      <c r="E8903" t="s">
        <v>19351</v>
      </c>
      <c r="F8903" t="s">
        <v>32831</v>
      </c>
      <c r="G8903" t="s">
        <v>32839</v>
      </c>
      <c r="H8903" t="s">
        <v>32849</v>
      </c>
      <c r="I8903" t="s">
        <v>4177</v>
      </c>
      <c r="J8903" t="s">
        <v>32978</v>
      </c>
      <c r="K8903" t="s">
        <v>42732</v>
      </c>
      <c r="M8903" t="s">
        <v>46151</v>
      </c>
      <c r="N8903" t="s">
        <v>47424</v>
      </c>
      <c r="O8903" t="s">
        <v>47425</v>
      </c>
      <c r="P8903">
        <v>0</v>
      </c>
      <c r="Q8903">
        <v>1</v>
      </c>
      <c r="R8903" t="s">
        <v>47432</v>
      </c>
      <c r="S8903" t="s">
        <v>47597</v>
      </c>
      <c r="T8903" t="s">
        <v>49079</v>
      </c>
      <c r="U8903" t="s">
        <v>57028</v>
      </c>
      <c r="W8903" t="s">
        <v>46151</v>
      </c>
      <c r="X8903" t="s">
        <v>47433</v>
      </c>
    </row>
    <row r="8904" spans="1:24">
      <c r="A8904">
        <f>HYPERLINK("https://www.philgeps.gov.ph/GEPSNONPILOT/Tender/SplashBidNoticeAbstractUI.aspx?menuIndex=3&amp;refID=7154791&amp;Result=3","7154791")</f>
        <v>0</v>
      </c>
      <c r="B8904" t="s">
        <v>994</v>
      </c>
      <c r="C8904" t="s">
        <v>12277</v>
      </c>
      <c r="D8904" t="s">
        <v>19031</v>
      </c>
      <c r="E8904" t="s">
        <v>24219</v>
      </c>
      <c r="F8904" t="s">
        <v>32831</v>
      </c>
      <c r="G8904" t="s">
        <v>32839</v>
      </c>
      <c r="H8904" t="s">
        <v>32848</v>
      </c>
      <c r="I8904" t="s">
        <v>32857</v>
      </c>
      <c r="J8904" t="s">
        <v>33044</v>
      </c>
      <c r="K8904" t="s">
        <v>42730</v>
      </c>
      <c r="M8904" t="s">
        <v>44043</v>
      </c>
      <c r="N8904" t="s">
        <v>47424</v>
      </c>
      <c r="O8904" t="s">
        <v>47425</v>
      </c>
      <c r="P8904">
        <v>0</v>
      </c>
      <c r="Q8904">
        <v>1</v>
      </c>
      <c r="R8904" t="s">
        <v>47432</v>
      </c>
      <c r="S8904" t="s">
        <v>47597</v>
      </c>
      <c r="T8904" t="s">
        <v>49162</v>
      </c>
      <c r="U8904" t="s">
        <v>57029</v>
      </c>
      <c r="V8904" t="s">
        <v>63612</v>
      </c>
      <c r="W8904" t="s">
        <v>44043</v>
      </c>
      <c r="X8904" t="s">
        <v>47433</v>
      </c>
    </row>
    <row r="8905" spans="1:24">
      <c r="A8905">
        <f>HYPERLINK("https://www.philgeps.gov.ph/GEPSNONPILOT/Tender/SplashBidNoticeAbstractUI.aspx?menuIndex=3&amp;refID=7154785&amp;Result=3","7154785")</f>
        <v>0</v>
      </c>
      <c r="B8905" t="s">
        <v>2906</v>
      </c>
      <c r="C8905" t="s">
        <v>12278</v>
      </c>
      <c r="D8905" t="s">
        <v>19093</v>
      </c>
      <c r="E8905" t="s">
        <v>26812</v>
      </c>
      <c r="F8905" t="s">
        <v>32831</v>
      </c>
      <c r="G8905" t="s">
        <v>32839</v>
      </c>
      <c r="H8905" t="s">
        <v>32848</v>
      </c>
      <c r="I8905" t="s">
        <v>4776</v>
      </c>
      <c r="J8905" t="s">
        <v>38502</v>
      </c>
      <c r="K8905" t="s">
        <v>42727</v>
      </c>
      <c r="M8905" t="s">
        <v>46152</v>
      </c>
      <c r="N8905" t="s">
        <v>47424</v>
      </c>
      <c r="O8905" t="s">
        <v>47425</v>
      </c>
      <c r="P8905">
        <v>0</v>
      </c>
      <c r="Q8905">
        <v>4</v>
      </c>
      <c r="R8905" t="s">
        <v>47432</v>
      </c>
      <c r="S8905" t="s">
        <v>47597</v>
      </c>
      <c r="T8905" t="s">
        <v>49173</v>
      </c>
      <c r="U8905" t="s">
        <v>57030</v>
      </c>
      <c r="W8905" t="s">
        <v>46152</v>
      </c>
      <c r="X8905" t="s">
        <v>47433</v>
      </c>
    </row>
    <row r="8906" spans="1:24">
      <c r="A8906">
        <f>HYPERLINK("https://www.philgeps.gov.ph/GEPSNONPILOT/Tender/SplashBidNoticeAbstractUI.aspx?menuIndex=3&amp;refID=7154746&amp;Result=3","7154746")</f>
        <v>0</v>
      </c>
      <c r="B8906" t="s">
        <v>1312</v>
      </c>
      <c r="C8906" t="s">
        <v>12279</v>
      </c>
      <c r="D8906" t="s">
        <v>19054</v>
      </c>
      <c r="E8906" t="s">
        <v>26813</v>
      </c>
      <c r="F8906" t="s">
        <v>32831</v>
      </c>
      <c r="G8906" t="s">
        <v>32839</v>
      </c>
      <c r="H8906" t="s">
        <v>32848</v>
      </c>
      <c r="I8906" t="s">
        <v>9577</v>
      </c>
      <c r="J8906" t="s">
        <v>38503</v>
      </c>
      <c r="K8906" t="s">
        <v>42732</v>
      </c>
      <c r="M8906" t="s">
        <v>44383</v>
      </c>
      <c r="N8906" t="s">
        <v>47424</v>
      </c>
      <c r="O8906" t="s">
        <v>47425</v>
      </c>
      <c r="P8906">
        <v>0</v>
      </c>
      <c r="Q8906">
        <v>2</v>
      </c>
      <c r="R8906" t="s">
        <v>47432</v>
      </c>
      <c r="S8906" t="s">
        <v>47597</v>
      </c>
      <c r="T8906" t="s">
        <v>49122</v>
      </c>
      <c r="U8906" t="s">
        <v>56963</v>
      </c>
      <c r="W8906" t="s">
        <v>44383</v>
      </c>
      <c r="X8906" t="s">
        <v>47433</v>
      </c>
    </row>
    <row r="8907" spans="1:24">
      <c r="A8907">
        <f>HYPERLINK("https://www.philgeps.gov.ph/GEPSNONPILOT/Tender/SplashBidNoticeAbstractUI.aspx?menuIndex=3&amp;refID=7154793&amp;Result=3","7154793")</f>
        <v>0</v>
      </c>
      <c r="B8907" t="s">
        <v>2866</v>
      </c>
      <c r="C8907" t="s">
        <v>12280</v>
      </c>
      <c r="D8907" t="s">
        <v>19059</v>
      </c>
      <c r="E8907" t="s">
        <v>26814</v>
      </c>
      <c r="F8907" t="s">
        <v>32831</v>
      </c>
      <c r="G8907" t="s">
        <v>32839</v>
      </c>
      <c r="H8907" t="s">
        <v>32849</v>
      </c>
      <c r="I8907" t="s">
        <v>4177</v>
      </c>
      <c r="J8907" t="s">
        <v>38504</v>
      </c>
      <c r="K8907" t="s">
        <v>42763</v>
      </c>
      <c r="M8907" t="s">
        <v>46101</v>
      </c>
      <c r="N8907" t="s">
        <v>47424</v>
      </c>
      <c r="O8907" t="s">
        <v>47425</v>
      </c>
      <c r="P8907">
        <v>0</v>
      </c>
      <c r="Q8907">
        <v>72</v>
      </c>
      <c r="R8907" t="s">
        <v>47432</v>
      </c>
      <c r="S8907" t="s">
        <v>47597</v>
      </c>
      <c r="T8907" t="s">
        <v>49236</v>
      </c>
      <c r="U8907" t="s">
        <v>56858</v>
      </c>
      <c r="V8907" t="s">
        <v>63613</v>
      </c>
      <c r="W8907" t="s">
        <v>46142</v>
      </c>
      <c r="X8907" t="s">
        <v>47433</v>
      </c>
    </row>
    <row r="8908" spans="1:24">
      <c r="A8908">
        <f>HYPERLINK("https://www.philgeps.gov.ph/GEPSNONPILOT/Tender/SplashBidNoticeAbstractUI.aspx?menuIndex=3&amp;refID=7154828&amp;Result=3","7154828")</f>
        <v>0</v>
      </c>
      <c r="B8908" t="s">
        <v>107</v>
      </c>
      <c r="C8908" t="s">
        <v>12281</v>
      </c>
      <c r="D8908" t="s">
        <v>19034</v>
      </c>
      <c r="E8908" t="s">
        <v>20424</v>
      </c>
      <c r="F8908" t="s">
        <v>32831</v>
      </c>
      <c r="G8908" t="s">
        <v>32839</v>
      </c>
      <c r="H8908" t="s">
        <v>32848</v>
      </c>
      <c r="I8908" t="s">
        <v>4487</v>
      </c>
      <c r="J8908" t="s">
        <v>33868</v>
      </c>
      <c r="K8908" t="s">
        <v>42730</v>
      </c>
      <c r="M8908" t="s">
        <v>43104</v>
      </c>
      <c r="N8908" t="s">
        <v>47424</v>
      </c>
      <c r="O8908" t="s">
        <v>47425</v>
      </c>
      <c r="P8908">
        <v>0</v>
      </c>
      <c r="Q8908">
        <v>2</v>
      </c>
      <c r="R8908" t="s">
        <v>47432</v>
      </c>
      <c r="S8908" t="s">
        <v>47597</v>
      </c>
      <c r="T8908" t="s">
        <v>49118</v>
      </c>
      <c r="U8908" t="s">
        <v>57031</v>
      </c>
      <c r="W8908" t="s">
        <v>43104</v>
      </c>
      <c r="X8908" t="s">
        <v>47433</v>
      </c>
    </row>
    <row r="8909" spans="1:24">
      <c r="A8909">
        <f>HYPERLINK("https://www.philgeps.gov.ph/GEPSNONPILOT/Tender/SplashBidNoticeAbstractUI.aspx?menuIndex=3&amp;refID=7154789&amp;Result=3","7154789")</f>
        <v>0</v>
      </c>
      <c r="B8909" t="s">
        <v>2044</v>
      </c>
      <c r="C8909" t="s">
        <v>12282</v>
      </c>
      <c r="D8909" t="s">
        <v>19045</v>
      </c>
      <c r="E8909" t="s">
        <v>26815</v>
      </c>
      <c r="F8909" t="s">
        <v>32831</v>
      </c>
      <c r="G8909" t="s">
        <v>32841</v>
      </c>
      <c r="H8909" t="s">
        <v>32848</v>
      </c>
      <c r="I8909" t="s">
        <v>32876</v>
      </c>
      <c r="J8909" t="s">
        <v>38505</v>
      </c>
      <c r="K8909" t="s">
        <v>42727</v>
      </c>
      <c r="M8909" t="s">
        <v>45245</v>
      </c>
      <c r="N8909" t="s">
        <v>47424</v>
      </c>
      <c r="O8909" t="s">
        <v>47425</v>
      </c>
      <c r="P8909">
        <v>0</v>
      </c>
      <c r="Q8909">
        <v>19</v>
      </c>
      <c r="R8909" t="s">
        <v>47432</v>
      </c>
      <c r="S8909" t="s">
        <v>47597</v>
      </c>
      <c r="T8909" t="s">
        <v>49214</v>
      </c>
      <c r="U8909" t="s">
        <v>57032</v>
      </c>
      <c r="W8909" t="s">
        <v>45245</v>
      </c>
      <c r="X8909" t="s">
        <v>47433</v>
      </c>
    </row>
    <row r="8910" spans="1:24">
      <c r="A8910">
        <f>HYPERLINK("https://www.philgeps.gov.ph/GEPSNONPILOT/Tender/SplashBidNoticeAbstractUI.aspx?menuIndex=3&amp;refID=7154837&amp;Result=3","7154837")</f>
        <v>0</v>
      </c>
      <c r="B8910" t="s">
        <v>2907</v>
      </c>
      <c r="C8910" t="s">
        <v>12283</v>
      </c>
      <c r="D8910" t="s">
        <v>19088</v>
      </c>
      <c r="E8910" t="s">
        <v>26816</v>
      </c>
      <c r="F8910" t="s">
        <v>32831</v>
      </c>
      <c r="G8910" t="s">
        <v>32838</v>
      </c>
      <c r="H8910" t="s">
        <v>32848</v>
      </c>
      <c r="I8910" t="s">
        <v>9577</v>
      </c>
      <c r="J8910" t="s">
        <v>33433</v>
      </c>
      <c r="K8910" t="s">
        <v>42726</v>
      </c>
      <c r="M8910" t="s">
        <v>46153</v>
      </c>
      <c r="N8910" t="s">
        <v>47424</v>
      </c>
      <c r="O8910" t="s">
        <v>47425</v>
      </c>
      <c r="P8910">
        <v>0</v>
      </c>
      <c r="Q8910">
        <v>3</v>
      </c>
      <c r="R8910" t="s">
        <v>47432</v>
      </c>
      <c r="S8910" t="s">
        <v>47597</v>
      </c>
      <c r="T8910" t="s">
        <v>49237</v>
      </c>
      <c r="U8910" t="s">
        <v>57033</v>
      </c>
      <c r="W8910" t="s">
        <v>46153</v>
      </c>
      <c r="X8910" t="s">
        <v>47433</v>
      </c>
    </row>
    <row r="8911" spans="1:24">
      <c r="A8911">
        <f>HYPERLINK("https://www.philgeps.gov.ph/GEPSNONPILOT/Tender/SplashBidNoticeAbstractUI.aspx?menuIndex=3&amp;refID=7154786&amp;Result=3","7154786")</f>
        <v>0</v>
      </c>
      <c r="B8911" t="s">
        <v>2833</v>
      </c>
      <c r="C8911" t="s">
        <v>12284</v>
      </c>
      <c r="D8911" t="s">
        <v>19073</v>
      </c>
      <c r="E8911" t="s">
        <v>26817</v>
      </c>
      <c r="F8911" t="s">
        <v>32831</v>
      </c>
      <c r="G8911" t="s">
        <v>32839</v>
      </c>
      <c r="H8911" t="s">
        <v>32848</v>
      </c>
      <c r="I8911" t="s">
        <v>32860</v>
      </c>
      <c r="J8911" t="s">
        <v>38506</v>
      </c>
      <c r="K8911" t="s">
        <v>42730</v>
      </c>
      <c r="M8911" t="s">
        <v>46065</v>
      </c>
      <c r="N8911" t="s">
        <v>47424</v>
      </c>
      <c r="O8911" t="s">
        <v>47425</v>
      </c>
      <c r="Q8911">
        <v>4</v>
      </c>
      <c r="R8911" t="s">
        <v>47432</v>
      </c>
      <c r="S8911" t="s">
        <v>47623</v>
      </c>
      <c r="T8911" t="s">
        <v>49192</v>
      </c>
      <c r="U8911" t="s">
        <v>57034</v>
      </c>
      <c r="W8911" t="s">
        <v>46065</v>
      </c>
      <c r="X8911" t="s">
        <v>47433</v>
      </c>
    </row>
    <row r="8912" spans="1:24">
      <c r="A8912">
        <f>HYPERLINK("https://www.philgeps.gov.ph/GEPSNONPILOT/Tender/SplashBidNoticeAbstractUI.aspx?menuIndex=3&amp;refID=7154833&amp;Result=3","7154833")</f>
        <v>0</v>
      </c>
      <c r="B8912" t="s">
        <v>345</v>
      </c>
      <c r="C8912" t="s">
        <v>12285</v>
      </c>
      <c r="D8912" t="s">
        <v>19074</v>
      </c>
      <c r="E8912" t="s">
        <v>26818</v>
      </c>
      <c r="F8912" t="s">
        <v>32831</v>
      </c>
      <c r="G8912" t="s">
        <v>32838</v>
      </c>
      <c r="H8912" t="s">
        <v>32850</v>
      </c>
      <c r="I8912" t="s">
        <v>32857</v>
      </c>
      <c r="J8912" t="s">
        <v>33162</v>
      </c>
      <c r="K8912" t="s">
        <v>42731</v>
      </c>
      <c r="M8912" t="s">
        <v>44082</v>
      </c>
      <c r="N8912" t="s">
        <v>47424</v>
      </c>
      <c r="O8912" t="s">
        <v>47425</v>
      </c>
      <c r="P8912">
        <v>0</v>
      </c>
      <c r="Q8912">
        <v>1</v>
      </c>
      <c r="R8912" t="s">
        <v>47432</v>
      </c>
      <c r="S8912" t="s">
        <v>47597</v>
      </c>
      <c r="T8912" t="s">
        <v>49107</v>
      </c>
      <c r="U8912" t="s">
        <v>57035</v>
      </c>
      <c r="W8912" t="s">
        <v>44082</v>
      </c>
      <c r="X8912" t="s">
        <v>47433</v>
      </c>
    </row>
    <row r="8913" spans="1:24">
      <c r="A8913">
        <f>HYPERLINK("https://www.philgeps.gov.ph/GEPSNONPILOT/Tender/SplashBidNoticeAbstractUI.aspx?menuIndex=3&amp;refID=7154838&amp;Result=3","7154838")</f>
        <v>0</v>
      </c>
      <c r="B8913" t="s">
        <v>798</v>
      </c>
      <c r="C8913" t="s">
        <v>12286</v>
      </c>
      <c r="D8913" t="s">
        <v>19080</v>
      </c>
      <c r="E8913" t="s">
        <v>26819</v>
      </c>
      <c r="F8913" t="s">
        <v>32831</v>
      </c>
      <c r="G8913" t="s">
        <v>32839</v>
      </c>
      <c r="H8913" t="s">
        <v>32848</v>
      </c>
      <c r="I8913" t="s">
        <v>32857</v>
      </c>
      <c r="J8913" t="s">
        <v>38507</v>
      </c>
      <c r="K8913" t="s">
        <v>42727</v>
      </c>
      <c r="M8913" t="s">
        <v>43828</v>
      </c>
      <c r="N8913" t="s">
        <v>47424</v>
      </c>
      <c r="O8913" t="s">
        <v>47425</v>
      </c>
      <c r="P8913">
        <v>0</v>
      </c>
      <c r="Q8913">
        <v>4</v>
      </c>
      <c r="R8913" t="s">
        <v>47432</v>
      </c>
      <c r="S8913" t="s">
        <v>47597</v>
      </c>
      <c r="T8913" t="s">
        <v>49236</v>
      </c>
      <c r="U8913" t="s">
        <v>57036</v>
      </c>
      <c r="W8913" t="s">
        <v>43828</v>
      </c>
      <c r="X8913" t="s">
        <v>47433</v>
      </c>
    </row>
    <row r="8914" spans="1:24">
      <c r="A8914">
        <f>HYPERLINK("https://www.philgeps.gov.ph/GEPSNONPILOT/Tender/SplashBidNoticeAbstractUI.aspx?menuIndex=3&amp;refID=7154830&amp;Result=3","7154830")</f>
        <v>0</v>
      </c>
      <c r="B8914" t="s">
        <v>311</v>
      </c>
      <c r="C8914" t="s">
        <v>12287</v>
      </c>
      <c r="D8914" t="s">
        <v>19064</v>
      </c>
      <c r="E8914" t="s">
        <v>26820</v>
      </c>
      <c r="F8914" t="s">
        <v>32831</v>
      </c>
      <c r="G8914" t="s">
        <v>32838</v>
      </c>
      <c r="H8914" t="s">
        <v>32848</v>
      </c>
      <c r="I8914" t="s">
        <v>32853</v>
      </c>
      <c r="J8914" t="s">
        <v>38508</v>
      </c>
      <c r="K8914" t="s">
        <v>42763</v>
      </c>
      <c r="M8914" t="s">
        <v>43313</v>
      </c>
      <c r="N8914" t="s">
        <v>47424</v>
      </c>
      <c r="O8914" t="s">
        <v>47425</v>
      </c>
      <c r="P8914">
        <v>0</v>
      </c>
      <c r="Q8914">
        <v>0</v>
      </c>
      <c r="R8914" t="s">
        <v>47432</v>
      </c>
      <c r="S8914" t="s">
        <v>47597</v>
      </c>
      <c r="T8914" t="s">
        <v>49106</v>
      </c>
      <c r="U8914" t="s">
        <v>54186</v>
      </c>
      <c r="W8914" t="s">
        <v>43313</v>
      </c>
      <c r="X8914" t="s">
        <v>47433</v>
      </c>
    </row>
    <row r="8915" spans="1:24">
      <c r="A8915">
        <f>HYPERLINK("https://www.philgeps.gov.ph/GEPSNONPILOT/Tender/SplashBidNoticeAbstractUI.aspx?menuIndex=3&amp;refID=7154831&amp;Result=3","7154831")</f>
        <v>0</v>
      </c>
      <c r="B8915" t="s">
        <v>994</v>
      </c>
      <c r="C8915" t="s">
        <v>12288</v>
      </c>
      <c r="D8915" t="s">
        <v>19031</v>
      </c>
      <c r="E8915" t="s">
        <v>19995</v>
      </c>
      <c r="F8915" t="s">
        <v>32831</v>
      </c>
      <c r="G8915" t="s">
        <v>32839</v>
      </c>
      <c r="H8915" t="s">
        <v>32849</v>
      </c>
      <c r="I8915" t="s">
        <v>4177</v>
      </c>
      <c r="J8915" t="s">
        <v>38509</v>
      </c>
      <c r="K8915" t="s">
        <v>42729</v>
      </c>
      <c r="M8915" t="s">
        <v>44043</v>
      </c>
      <c r="N8915" t="s">
        <v>47424</v>
      </c>
      <c r="O8915" t="s">
        <v>47425</v>
      </c>
      <c r="P8915">
        <v>0</v>
      </c>
      <c r="Q8915">
        <v>0</v>
      </c>
      <c r="R8915" t="s">
        <v>47432</v>
      </c>
      <c r="S8915" t="s">
        <v>47597</v>
      </c>
      <c r="T8915" t="s">
        <v>49162</v>
      </c>
      <c r="U8915" t="s">
        <v>57037</v>
      </c>
      <c r="W8915" t="s">
        <v>44043</v>
      </c>
      <c r="X8915" t="s">
        <v>47433</v>
      </c>
    </row>
    <row r="8916" spans="1:24">
      <c r="A8916">
        <f>HYPERLINK("https://www.philgeps.gov.ph/GEPSNONPILOT/Tender/SplashBidNoticeAbstractUI.aspx?menuIndex=3&amp;refID=7154826&amp;Result=3","7154826")</f>
        <v>0</v>
      </c>
      <c r="B8916" t="s">
        <v>2216</v>
      </c>
      <c r="C8916" t="s">
        <v>12289</v>
      </c>
      <c r="D8916" t="s">
        <v>19047</v>
      </c>
      <c r="E8916" t="s">
        <v>26821</v>
      </c>
      <c r="F8916" t="s">
        <v>32831</v>
      </c>
      <c r="G8916" t="s">
        <v>32839</v>
      </c>
      <c r="H8916" t="s">
        <v>32848</v>
      </c>
      <c r="I8916" t="s">
        <v>9577</v>
      </c>
      <c r="J8916" t="s">
        <v>38510</v>
      </c>
      <c r="K8916" t="s">
        <v>42730</v>
      </c>
      <c r="M8916" t="s">
        <v>45396</v>
      </c>
      <c r="N8916" t="s">
        <v>47424</v>
      </c>
      <c r="O8916" t="s">
        <v>47425</v>
      </c>
      <c r="P8916">
        <v>0</v>
      </c>
      <c r="Q8916">
        <v>2</v>
      </c>
      <c r="R8916" t="s">
        <v>47432</v>
      </c>
      <c r="S8916" t="s">
        <v>47597</v>
      </c>
      <c r="T8916" t="s">
        <v>49127</v>
      </c>
      <c r="U8916" t="s">
        <v>57038</v>
      </c>
      <c r="W8916" t="s">
        <v>45396</v>
      </c>
      <c r="X8916" t="s">
        <v>47433</v>
      </c>
    </row>
    <row r="8917" spans="1:24">
      <c r="A8917">
        <f>HYPERLINK("https://www.philgeps.gov.ph/GEPSNONPILOT/Tender/SplashBidNoticeAbstractUI.aspx?menuIndex=3&amp;refID=7154823&amp;Result=3","7154823")</f>
        <v>0</v>
      </c>
      <c r="B8917" t="s">
        <v>1811</v>
      </c>
      <c r="C8917" t="s">
        <v>12290</v>
      </c>
      <c r="D8917" t="s">
        <v>19027</v>
      </c>
      <c r="E8917" t="s">
        <v>26822</v>
      </c>
      <c r="F8917" t="s">
        <v>32831</v>
      </c>
      <c r="G8917" t="s">
        <v>32839</v>
      </c>
      <c r="H8917" t="s">
        <v>32848</v>
      </c>
      <c r="I8917" t="s">
        <v>4177</v>
      </c>
      <c r="J8917" t="s">
        <v>33078</v>
      </c>
      <c r="K8917" t="s">
        <v>42729</v>
      </c>
      <c r="M8917" t="s">
        <v>44944</v>
      </c>
      <c r="N8917" t="s">
        <v>47424</v>
      </c>
      <c r="O8917" t="s">
        <v>47425</v>
      </c>
      <c r="P8917">
        <v>0</v>
      </c>
      <c r="Q8917">
        <v>1</v>
      </c>
      <c r="R8917" t="s">
        <v>47432</v>
      </c>
      <c r="S8917" t="s">
        <v>47597</v>
      </c>
      <c r="T8917" t="s">
        <v>49166</v>
      </c>
      <c r="U8917" t="s">
        <v>57039</v>
      </c>
      <c r="W8917" t="s">
        <v>44944</v>
      </c>
      <c r="X8917" t="s">
        <v>47433</v>
      </c>
    </row>
    <row r="8918" spans="1:24">
      <c r="A8918">
        <f>HYPERLINK("https://www.philgeps.gov.ph/GEPSNONPILOT/Tender/SplashBidNoticeAbstractUI.aspx?menuIndex=3&amp;refID=7154825&amp;Result=3","7154825")</f>
        <v>0</v>
      </c>
      <c r="B8918" t="s">
        <v>2621</v>
      </c>
      <c r="C8918" t="s">
        <v>12291</v>
      </c>
      <c r="D8918" t="s">
        <v>19038</v>
      </c>
      <c r="E8918" t="s">
        <v>26823</v>
      </c>
      <c r="F8918" t="s">
        <v>32831</v>
      </c>
      <c r="G8918" t="s">
        <v>32839</v>
      </c>
      <c r="H8918" t="s">
        <v>32848</v>
      </c>
      <c r="I8918" t="s">
        <v>32860</v>
      </c>
      <c r="J8918" t="s">
        <v>38511</v>
      </c>
      <c r="K8918" t="s">
        <v>42730</v>
      </c>
      <c r="M8918" t="s">
        <v>45840</v>
      </c>
      <c r="N8918" t="s">
        <v>47424</v>
      </c>
      <c r="O8918" t="s">
        <v>47425</v>
      </c>
      <c r="P8918">
        <v>0</v>
      </c>
      <c r="Q8918">
        <v>2</v>
      </c>
      <c r="R8918" t="s">
        <v>47432</v>
      </c>
      <c r="S8918" t="s">
        <v>47597</v>
      </c>
      <c r="T8918" t="s">
        <v>49221</v>
      </c>
      <c r="U8918" t="s">
        <v>57040</v>
      </c>
      <c r="W8918" t="s">
        <v>45840</v>
      </c>
      <c r="X8918" t="s">
        <v>47433</v>
      </c>
    </row>
    <row r="8919" spans="1:24">
      <c r="A8919">
        <f>HYPERLINK("https://www.philgeps.gov.ph/GEPSNONPILOT/Tender/SplashBidNoticeAbstractUI.aspx?menuIndex=3&amp;refID=7154818&amp;Result=3","7154818")</f>
        <v>0</v>
      </c>
      <c r="B8919" t="s">
        <v>798</v>
      </c>
      <c r="C8919" t="s">
        <v>12292</v>
      </c>
      <c r="D8919" t="s">
        <v>19080</v>
      </c>
      <c r="E8919" t="s">
        <v>26824</v>
      </c>
      <c r="F8919" t="s">
        <v>32831</v>
      </c>
      <c r="G8919" t="s">
        <v>32839</v>
      </c>
      <c r="H8919" t="s">
        <v>32848</v>
      </c>
      <c r="I8919" t="s">
        <v>32857</v>
      </c>
      <c r="J8919" t="s">
        <v>38512</v>
      </c>
      <c r="K8919" t="s">
        <v>42727</v>
      </c>
      <c r="M8919" t="s">
        <v>43828</v>
      </c>
      <c r="N8919" t="s">
        <v>47424</v>
      </c>
      <c r="O8919" t="s">
        <v>47425</v>
      </c>
      <c r="P8919">
        <v>0</v>
      </c>
      <c r="Q8919">
        <v>8</v>
      </c>
      <c r="R8919" t="s">
        <v>47432</v>
      </c>
      <c r="S8919" t="s">
        <v>47597</v>
      </c>
      <c r="T8919" t="s">
        <v>49236</v>
      </c>
      <c r="U8919" t="s">
        <v>57041</v>
      </c>
      <c r="W8919" t="s">
        <v>43828</v>
      </c>
      <c r="X8919" t="s">
        <v>47433</v>
      </c>
    </row>
    <row r="8920" spans="1:24">
      <c r="A8920">
        <f>HYPERLINK("https://www.philgeps.gov.ph/GEPSNONPILOT/Tender/SplashBidNoticeAbstractUI.aspx?menuIndex=3&amp;refID=7154817&amp;Result=3","7154817")</f>
        <v>0</v>
      </c>
      <c r="B8920" t="s">
        <v>2904</v>
      </c>
      <c r="C8920" t="s">
        <v>12293</v>
      </c>
      <c r="D8920" t="s">
        <v>19022</v>
      </c>
      <c r="E8920" t="s">
        <v>26825</v>
      </c>
      <c r="F8920" t="s">
        <v>32831</v>
      </c>
      <c r="G8920" t="s">
        <v>32839</v>
      </c>
      <c r="H8920" t="s">
        <v>32848</v>
      </c>
      <c r="I8920" t="s">
        <v>32869</v>
      </c>
      <c r="J8920" t="s">
        <v>38513</v>
      </c>
      <c r="K8920" t="s">
        <v>42730</v>
      </c>
      <c r="M8920" t="s">
        <v>46149</v>
      </c>
      <c r="N8920" t="s">
        <v>47424</v>
      </c>
      <c r="O8920" t="s">
        <v>47425</v>
      </c>
      <c r="P8920">
        <v>0</v>
      </c>
      <c r="Q8920">
        <v>7</v>
      </c>
      <c r="R8920" t="s">
        <v>47432</v>
      </c>
      <c r="S8920" t="s">
        <v>47597</v>
      </c>
      <c r="T8920" t="s">
        <v>49128</v>
      </c>
      <c r="U8920" t="s">
        <v>57042</v>
      </c>
      <c r="W8920" t="s">
        <v>46149</v>
      </c>
      <c r="X8920" t="s">
        <v>47433</v>
      </c>
    </row>
    <row r="8921" spans="1:24">
      <c r="A8921">
        <f>HYPERLINK("https://www.philgeps.gov.ph/GEPSNONPILOT/Tender/SplashBidNoticeAbstractUI.aspx?menuIndex=3&amp;refID=7154814&amp;Result=3","7154814")</f>
        <v>0</v>
      </c>
      <c r="B8921" t="s">
        <v>2793</v>
      </c>
      <c r="C8921" t="s">
        <v>12294</v>
      </c>
      <c r="D8921" t="s">
        <v>19095</v>
      </c>
      <c r="E8921" t="s">
        <v>26826</v>
      </c>
      <c r="F8921" t="s">
        <v>32833</v>
      </c>
      <c r="G8921" t="s">
        <v>32838</v>
      </c>
      <c r="H8921" t="s">
        <v>32848</v>
      </c>
      <c r="I8921" t="s">
        <v>32909</v>
      </c>
      <c r="J8921" t="s">
        <v>38514</v>
      </c>
      <c r="K8921" t="s">
        <v>42727</v>
      </c>
      <c r="M8921" t="s">
        <v>46023</v>
      </c>
      <c r="N8921" t="s">
        <v>47424</v>
      </c>
      <c r="O8921" t="s">
        <v>47425</v>
      </c>
      <c r="P8921">
        <v>0</v>
      </c>
      <c r="Q8921">
        <v>1</v>
      </c>
      <c r="R8921" t="s">
        <v>47432</v>
      </c>
      <c r="S8921" t="s">
        <v>47597</v>
      </c>
      <c r="T8921" t="s">
        <v>49107</v>
      </c>
      <c r="U8921" t="s">
        <v>52173</v>
      </c>
      <c r="W8921" t="s">
        <v>46023</v>
      </c>
      <c r="X8921" t="s">
        <v>47433</v>
      </c>
    </row>
    <row r="8922" spans="1:24">
      <c r="A8922">
        <f>HYPERLINK("https://www.philgeps.gov.ph/GEPSNONPILOT/Tender/SplashBidNoticeAbstractUI.aspx?menuIndex=3&amp;refID=7154824&amp;Result=3","7154824")</f>
        <v>0</v>
      </c>
      <c r="B8922" t="s">
        <v>421</v>
      </c>
      <c r="C8922" t="s">
        <v>12295</v>
      </c>
      <c r="D8922" t="s">
        <v>19116</v>
      </c>
      <c r="E8922" t="s">
        <v>26827</v>
      </c>
      <c r="F8922" t="s">
        <v>32831</v>
      </c>
      <c r="G8922" t="s">
        <v>32839</v>
      </c>
      <c r="H8922" t="s">
        <v>32848</v>
      </c>
      <c r="I8922" t="s">
        <v>32875</v>
      </c>
      <c r="J8922" t="s">
        <v>38515</v>
      </c>
      <c r="K8922" t="s">
        <v>42747</v>
      </c>
      <c r="M8922" t="s">
        <v>46099</v>
      </c>
      <c r="N8922" t="s">
        <v>47424</v>
      </c>
      <c r="O8922" t="s">
        <v>47425</v>
      </c>
      <c r="P8922">
        <v>0</v>
      </c>
      <c r="Q8922">
        <v>5</v>
      </c>
      <c r="R8922" t="s">
        <v>47432</v>
      </c>
      <c r="S8922" t="s">
        <v>47597</v>
      </c>
      <c r="T8922" t="s">
        <v>49319</v>
      </c>
      <c r="U8922" t="s">
        <v>57043</v>
      </c>
      <c r="W8922" t="s">
        <v>46099</v>
      </c>
      <c r="X8922" t="s">
        <v>47433</v>
      </c>
    </row>
    <row r="8923" spans="1:24">
      <c r="A8923">
        <f>HYPERLINK("https://www.philgeps.gov.ph/GEPSNONPILOT/Tender/SplashBidNoticeAbstractUI.aspx?menuIndex=3&amp;refID=7154812&amp;Result=3","7154812")</f>
        <v>0</v>
      </c>
      <c r="B8923" t="s">
        <v>2051</v>
      </c>
      <c r="C8923" t="s">
        <v>12296</v>
      </c>
      <c r="D8923" t="s">
        <v>19017</v>
      </c>
      <c r="E8923" t="s">
        <v>26828</v>
      </c>
      <c r="F8923" t="s">
        <v>32831</v>
      </c>
      <c r="G8923" t="s">
        <v>32839</v>
      </c>
      <c r="H8923" t="s">
        <v>32848</v>
      </c>
      <c r="I8923" t="s">
        <v>32871</v>
      </c>
      <c r="J8923" t="s">
        <v>36025</v>
      </c>
      <c r="K8923" t="s">
        <v>42727</v>
      </c>
      <c r="M8923" t="s">
        <v>46154</v>
      </c>
      <c r="N8923" t="s">
        <v>47424</v>
      </c>
      <c r="O8923" t="s">
        <v>47425</v>
      </c>
      <c r="P8923">
        <v>0</v>
      </c>
      <c r="Q8923">
        <v>20</v>
      </c>
      <c r="R8923" t="s">
        <v>47432</v>
      </c>
      <c r="S8923" t="s">
        <v>47597</v>
      </c>
      <c r="T8923" t="s">
        <v>49160</v>
      </c>
      <c r="U8923" t="s">
        <v>57044</v>
      </c>
      <c r="W8923" t="s">
        <v>46154</v>
      </c>
      <c r="X8923" t="s">
        <v>47433</v>
      </c>
    </row>
    <row r="8924" spans="1:24">
      <c r="A8924">
        <f>HYPERLINK("https://www.philgeps.gov.ph/GEPSNONPILOT/Tender/SplashBidNoticeAbstractUI.aspx?menuIndex=3&amp;refID=7154816&amp;Result=3","7154816")</f>
        <v>0</v>
      </c>
      <c r="B8924" t="s">
        <v>2908</v>
      </c>
      <c r="C8924" t="s">
        <v>12297</v>
      </c>
      <c r="D8924" t="s">
        <v>19103</v>
      </c>
      <c r="E8924" t="s">
        <v>19979</v>
      </c>
      <c r="F8924" t="s">
        <v>32831</v>
      </c>
      <c r="G8924" t="s">
        <v>32839</v>
      </c>
      <c r="H8924" t="s">
        <v>32849</v>
      </c>
      <c r="I8924" t="s">
        <v>4177</v>
      </c>
      <c r="J8924" t="s">
        <v>38516</v>
      </c>
      <c r="K8924" t="s">
        <v>42798</v>
      </c>
      <c r="M8924" t="s">
        <v>46155</v>
      </c>
      <c r="N8924" t="s">
        <v>47424</v>
      </c>
      <c r="O8924" t="s">
        <v>47425</v>
      </c>
      <c r="P8924">
        <v>0</v>
      </c>
      <c r="Q8924">
        <v>0</v>
      </c>
      <c r="R8924" t="s">
        <v>47432</v>
      </c>
      <c r="S8924" t="s">
        <v>47597</v>
      </c>
      <c r="T8924" t="s">
        <v>49107</v>
      </c>
      <c r="U8924" t="s">
        <v>57045</v>
      </c>
      <c r="W8924" t="s">
        <v>46155</v>
      </c>
      <c r="X8924" t="s">
        <v>47433</v>
      </c>
    </row>
    <row r="8925" spans="1:24">
      <c r="A8925">
        <f>HYPERLINK("https://www.philgeps.gov.ph/GEPSNONPILOT/Tender/SplashBidNoticeAbstractUI.aspx?menuIndex=3&amp;refID=7154807&amp;Result=3","7154807")</f>
        <v>0</v>
      </c>
      <c r="B8925" t="s">
        <v>2571</v>
      </c>
      <c r="C8925" t="s">
        <v>12298</v>
      </c>
      <c r="D8925" t="s">
        <v>19060</v>
      </c>
      <c r="E8925" t="s">
        <v>26829</v>
      </c>
      <c r="F8925" t="s">
        <v>32831</v>
      </c>
      <c r="G8925" t="s">
        <v>32839</v>
      </c>
      <c r="H8925" t="s">
        <v>32848</v>
      </c>
      <c r="I8925" t="s">
        <v>7416</v>
      </c>
      <c r="J8925" t="s">
        <v>38517</v>
      </c>
      <c r="K8925" t="s">
        <v>42730</v>
      </c>
      <c r="M8925" t="s">
        <v>45787</v>
      </c>
      <c r="N8925" t="s">
        <v>47424</v>
      </c>
      <c r="O8925" t="s">
        <v>47425</v>
      </c>
      <c r="P8925">
        <v>0</v>
      </c>
      <c r="Q8925">
        <v>0</v>
      </c>
      <c r="R8925" t="s">
        <v>47432</v>
      </c>
      <c r="S8925" t="s">
        <v>47597</v>
      </c>
      <c r="T8925" t="s">
        <v>49525</v>
      </c>
      <c r="U8925" t="s">
        <v>57046</v>
      </c>
      <c r="W8925" t="s">
        <v>45787</v>
      </c>
      <c r="X8925" t="s">
        <v>47433</v>
      </c>
    </row>
    <row r="8926" spans="1:24">
      <c r="A8926">
        <f>HYPERLINK("https://www.philgeps.gov.ph/GEPSNONPILOT/Tender/SplashBidNoticeAbstractUI.aspx?menuIndex=3&amp;refID=7154806&amp;Result=3","7154806")</f>
        <v>0</v>
      </c>
      <c r="B8926" t="s">
        <v>2908</v>
      </c>
      <c r="C8926" t="s">
        <v>12297</v>
      </c>
      <c r="D8926" t="s">
        <v>19103</v>
      </c>
      <c r="E8926" t="s">
        <v>19144</v>
      </c>
      <c r="F8926" t="s">
        <v>32831</v>
      </c>
      <c r="G8926" t="s">
        <v>32839</v>
      </c>
      <c r="H8926" t="s">
        <v>32849</v>
      </c>
      <c r="I8926" t="s">
        <v>4177</v>
      </c>
      <c r="J8926" t="s">
        <v>38518</v>
      </c>
      <c r="K8926" t="s">
        <v>42731</v>
      </c>
      <c r="M8926" t="s">
        <v>46155</v>
      </c>
      <c r="N8926" t="s">
        <v>47424</v>
      </c>
      <c r="O8926" t="s">
        <v>47425</v>
      </c>
      <c r="P8926">
        <v>0</v>
      </c>
      <c r="Q8926">
        <v>0</v>
      </c>
      <c r="R8926" t="s">
        <v>47432</v>
      </c>
      <c r="S8926" t="s">
        <v>47597</v>
      </c>
      <c r="T8926" t="s">
        <v>49107</v>
      </c>
      <c r="U8926" t="s">
        <v>57047</v>
      </c>
      <c r="W8926" t="s">
        <v>46155</v>
      </c>
      <c r="X8926" t="s">
        <v>47433</v>
      </c>
    </row>
    <row r="8927" spans="1:24">
      <c r="A8927">
        <f>HYPERLINK("https://www.philgeps.gov.ph/GEPSNONPILOT/Tender/SplashBidNoticeAbstractUI.aspx?menuIndex=3&amp;refID=7154784&amp;Result=3","7154784")</f>
        <v>0</v>
      </c>
      <c r="B8927" t="s">
        <v>2854</v>
      </c>
      <c r="C8927" t="s">
        <v>12299</v>
      </c>
      <c r="D8927" t="s">
        <v>19022</v>
      </c>
      <c r="E8927" t="s">
        <v>19931</v>
      </c>
      <c r="F8927" t="s">
        <v>32831</v>
      </c>
      <c r="G8927" t="s">
        <v>32839</v>
      </c>
      <c r="H8927" t="s">
        <v>32849</v>
      </c>
      <c r="I8927" t="s">
        <v>4177</v>
      </c>
      <c r="J8927" t="s">
        <v>33118</v>
      </c>
      <c r="K8927" t="s">
        <v>42728</v>
      </c>
      <c r="M8927" t="s">
        <v>46087</v>
      </c>
      <c r="N8927" t="s">
        <v>47424</v>
      </c>
      <c r="O8927" t="s">
        <v>47425</v>
      </c>
      <c r="P8927">
        <v>0</v>
      </c>
      <c r="Q8927">
        <v>1</v>
      </c>
      <c r="R8927" t="s">
        <v>47432</v>
      </c>
      <c r="S8927" t="s">
        <v>47597</v>
      </c>
      <c r="T8927" t="s">
        <v>49490</v>
      </c>
      <c r="U8927" t="s">
        <v>57048</v>
      </c>
      <c r="V8927" t="s">
        <v>63584</v>
      </c>
      <c r="W8927" t="s">
        <v>46087</v>
      </c>
      <c r="X8927" t="s">
        <v>47433</v>
      </c>
    </row>
    <row r="8928" spans="1:24">
      <c r="A8928">
        <f>HYPERLINK("https://www.philgeps.gov.ph/GEPSNONPILOT/Tender/SplashBidNoticeAbstractUI.aspx?menuIndex=3&amp;refID=7154822&amp;Result=3","7154822")</f>
        <v>0</v>
      </c>
      <c r="B8928" t="s">
        <v>311</v>
      </c>
      <c r="C8928" t="s">
        <v>12300</v>
      </c>
      <c r="D8928" t="s">
        <v>19064</v>
      </c>
      <c r="E8928" t="s">
        <v>26830</v>
      </c>
      <c r="F8928" t="s">
        <v>32831</v>
      </c>
      <c r="G8928" t="s">
        <v>32838</v>
      </c>
      <c r="H8928" t="s">
        <v>32848</v>
      </c>
      <c r="I8928" t="s">
        <v>32870</v>
      </c>
      <c r="J8928" t="s">
        <v>38519</v>
      </c>
      <c r="K8928" t="s">
        <v>42763</v>
      </c>
      <c r="M8928" t="s">
        <v>43313</v>
      </c>
      <c r="N8928" t="s">
        <v>47424</v>
      </c>
      <c r="O8928" t="s">
        <v>47425</v>
      </c>
      <c r="P8928">
        <v>0</v>
      </c>
      <c r="Q8928">
        <v>0</v>
      </c>
      <c r="R8928" t="s">
        <v>47432</v>
      </c>
      <c r="S8928" t="s">
        <v>47597</v>
      </c>
      <c r="T8928" t="s">
        <v>49106</v>
      </c>
      <c r="U8928" t="s">
        <v>54186</v>
      </c>
      <c r="W8928" t="s">
        <v>43313</v>
      </c>
      <c r="X8928" t="s">
        <v>47433</v>
      </c>
    </row>
    <row r="8929" spans="1:24">
      <c r="A8929">
        <f>HYPERLINK("https://www.philgeps.gov.ph/GEPSNONPILOT/Tender/SplashBidNoticeAbstractUI.aspx?menuIndex=3&amp;refID=7154781&amp;Result=3","7154781")</f>
        <v>0</v>
      </c>
      <c r="B8929" t="s">
        <v>107</v>
      </c>
      <c r="C8929" t="s">
        <v>12301</v>
      </c>
      <c r="D8929" t="s">
        <v>19034</v>
      </c>
      <c r="E8929" t="s">
        <v>26831</v>
      </c>
      <c r="F8929" t="s">
        <v>32831</v>
      </c>
      <c r="G8929" t="s">
        <v>32839</v>
      </c>
      <c r="H8929" t="s">
        <v>32848</v>
      </c>
      <c r="I8929" t="s">
        <v>4487</v>
      </c>
      <c r="J8929" t="s">
        <v>34187</v>
      </c>
      <c r="K8929" t="s">
        <v>42730</v>
      </c>
      <c r="M8929" t="s">
        <v>43104</v>
      </c>
      <c r="N8929" t="s">
        <v>47424</v>
      </c>
      <c r="O8929" t="s">
        <v>47425</v>
      </c>
      <c r="P8929">
        <v>0</v>
      </c>
      <c r="Q8929">
        <v>0</v>
      </c>
      <c r="R8929" t="s">
        <v>47432</v>
      </c>
      <c r="S8929" t="s">
        <v>47597</v>
      </c>
      <c r="T8929" t="s">
        <v>49526</v>
      </c>
      <c r="U8929" t="s">
        <v>57049</v>
      </c>
      <c r="W8929" t="s">
        <v>43104</v>
      </c>
      <c r="X8929" t="s">
        <v>47433</v>
      </c>
    </row>
    <row r="8930" spans="1:24">
      <c r="A8930">
        <f>HYPERLINK("https://www.philgeps.gov.ph/GEPSNONPILOT/Tender/SplashBidNoticeAbstractUI.aspx?menuIndex=3&amp;refID=7154778&amp;Result=3","7154778")</f>
        <v>0</v>
      </c>
      <c r="B8930" t="s">
        <v>1756</v>
      </c>
      <c r="C8930" t="s">
        <v>12302</v>
      </c>
      <c r="D8930" t="s">
        <v>19021</v>
      </c>
      <c r="E8930" t="s">
        <v>26832</v>
      </c>
      <c r="F8930" t="s">
        <v>32831</v>
      </c>
      <c r="G8930" t="s">
        <v>32839</v>
      </c>
      <c r="H8930" t="s">
        <v>32849</v>
      </c>
      <c r="I8930" t="s">
        <v>4177</v>
      </c>
      <c r="J8930" t="s">
        <v>38520</v>
      </c>
      <c r="K8930" t="s">
        <v>42748</v>
      </c>
      <c r="M8930" t="s">
        <v>44880</v>
      </c>
      <c r="N8930" t="s">
        <v>47424</v>
      </c>
      <c r="O8930" t="s">
        <v>47425</v>
      </c>
      <c r="P8930">
        <v>0</v>
      </c>
      <c r="Q8930">
        <v>9</v>
      </c>
      <c r="R8930" t="s">
        <v>47432</v>
      </c>
      <c r="S8930" t="s">
        <v>47597</v>
      </c>
      <c r="T8930" t="s">
        <v>49424</v>
      </c>
      <c r="U8930" t="s">
        <v>57050</v>
      </c>
      <c r="V8930" t="s">
        <v>62833</v>
      </c>
      <c r="W8930" t="s">
        <v>44880</v>
      </c>
      <c r="X8930" t="s">
        <v>47433</v>
      </c>
    </row>
    <row r="8931" spans="1:24">
      <c r="A8931">
        <f>HYPERLINK("https://www.philgeps.gov.ph/GEPSNONPILOT/Tender/SplashBidNoticeAbstractUI.aspx?menuIndex=3&amp;refID=7154795&amp;Result=3","7154795")</f>
        <v>0</v>
      </c>
      <c r="B8931" t="s">
        <v>2026</v>
      </c>
      <c r="C8931" t="s">
        <v>12303</v>
      </c>
      <c r="D8931" t="s">
        <v>19117</v>
      </c>
      <c r="E8931" t="s">
        <v>26833</v>
      </c>
      <c r="F8931" t="s">
        <v>32831</v>
      </c>
      <c r="G8931" t="s">
        <v>32839</v>
      </c>
      <c r="H8931" t="s">
        <v>32848</v>
      </c>
      <c r="I8931" t="s">
        <v>9577</v>
      </c>
      <c r="J8931" t="s">
        <v>33249</v>
      </c>
      <c r="K8931" t="s">
        <v>42732</v>
      </c>
      <c r="M8931" t="s">
        <v>45194</v>
      </c>
      <c r="N8931" t="s">
        <v>47424</v>
      </c>
      <c r="O8931" t="s">
        <v>47425</v>
      </c>
      <c r="P8931">
        <v>0</v>
      </c>
      <c r="Q8931">
        <v>3</v>
      </c>
      <c r="R8931" t="s">
        <v>47432</v>
      </c>
      <c r="S8931" t="s">
        <v>47597</v>
      </c>
      <c r="T8931" t="s">
        <v>49127</v>
      </c>
      <c r="U8931" t="s">
        <v>57051</v>
      </c>
      <c r="W8931" t="s">
        <v>45194</v>
      </c>
      <c r="X8931" t="s">
        <v>47433</v>
      </c>
    </row>
    <row r="8932" spans="1:24">
      <c r="A8932">
        <f>HYPERLINK("https://www.philgeps.gov.ph/GEPSNONPILOT/Tender/SplashBidNoticeAbstractUI.aspx?menuIndex=3&amp;refID=7154768&amp;Result=3","7154768")</f>
        <v>0</v>
      </c>
      <c r="B8932" t="s">
        <v>293</v>
      </c>
      <c r="C8932" t="s">
        <v>12304</v>
      </c>
      <c r="D8932" t="s">
        <v>19074</v>
      </c>
      <c r="E8932" t="s">
        <v>26834</v>
      </c>
      <c r="F8932" t="s">
        <v>32831</v>
      </c>
      <c r="G8932" t="s">
        <v>32838</v>
      </c>
      <c r="H8932" t="s">
        <v>32848</v>
      </c>
      <c r="I8932" t="s">
        <v>32876</v>
      </c>
      <c r="J8932" t="s">
        <v>38521</v>
      </c>
      <c r="K8932" t="s">
        <v>42727</v>
      </c>
      <c r="M8932" t="s">
        <v>43294</v>
      </c>
      <c r="N8932" t="s">
        <v>47424</v>
      </c>
      <c r="O8932" t="s">
        <v>47425</v>
      </c>
      <c r="P8932">
        <v>0</v>
      </c>
      <c r="Q8932">
        <v>11</v>
      </c>
      <c r="R8932" t="s">
        <v>47432</v>
      </c>
      <c r="S8932" t="s">
        <v>47597</v>
      </c>
      <c r="T8932" t="s">
        <v>49214</v>
      </c>
      <c r="U8932" t="s">
        <v>57052</v>
      </c>
      <c r="W8932" t="s">
        <v>43294</v>
      </c>
      <c r="X8932" t="s">
        <v>47433</v>
      </c>
    </row>
    <row r="8933" spans="1:24">
      <c r="A8933">
        <f>HYPERLINK("https://www.philgeps.gov.ph/GEPSNONPILOT/Tender/SplashBidNoticeAbstractUI.aspx?menuIndex=3&amp;refID=7154765&amp;Result=3","7154765")</f>
        <v>0</v>
      </c>
      <c r="B8933" t="s">
        <v>994</v>
      </c>
      <c r="C8933" t="s">
        <v>12305</v>
      </c>
      <c r="D8933" t="s">
        <v>19031</v>
      </c>
      <c r="E8933" t="s">
        <v>25282</v>
      </c>
      <c r="F8933" t="s">
        <v>32831</v>
      </c>
      <c r="G8933" t="s">
        <v>32839</v>
      </c>
      <c r="H8933" t="s">
        <v>32848</v>
      </c>
      <c r="I8933" t="s">
        <v>32859</v>
      </c>
      <c r="J8933" t="s">
        <v>34061</v>
      </c>
      <c r="K8933" t="s">
        <v>42730</v>
      </c>
      <c r="M8933" t="s">
        <v>44043</v>
      </c>
      <c r="N8933" t="s">
        <v>47424</v>
      </c>
      <c r="O8933" t="s">
        <v>47425</v>
      </c>
      <c r="P8933">
        <v>0</v>
      </c>
      <c r="Q8933">
        <v>2</v>
      </c>
      <c r="R8933" t="s">
        <v>47432</v>
      </c>
      <c r="S8933" t="s">
        <v>47597</v>
      </c>
      <c r="T8933" t="s">
        <v>49162</v>
      </c>
      <c r="U8933" t="s">
        <v>57053</v>
      </c>
      <c r="V8933" t="s">
        <v>63614</v>
      </c>
      <c r="W8933" t="s">
        <v>44043</v>
      </c>
      <c r="X8933" t="s">
        <v>47433</v>
      </c>
    </row>
    <row r="8934" spans="1:24">
      <c r="A8934">
        <f>HYPERLINK("https://www.philgeps.gov.ph/GEPSNONPILOT/Tender/SplashBidNoticeAbstractUI.aspx?menuIndex=3&amp;refID=7154811&amp;Result=3","7154811")</f>
        <v>0</v>
      </c>
      <c r="B8934" t="s">
        <v>994</v>
      </c>
      <c r="C8934" t="s">
        <v>12306</v>
      </c>
      <c r="D8934" t="s">
        <v>19031</v>
      </c>
      <c r="E8934" t="s">
        <v>22097</v>
      </c>
      <c r="F8934" t="s">
        <v>32831</v>
      </c>
      <c r="G8934" t="s">
        <v>32839</v>
      </c>
      <c r="H8934" t="s">
        <v>32848</v>
      </c>
      <c r="I8934" t="s">
        <v>32851</v>
      </c>
      <c r="J8934" t="s">
        <v>32985</v>
      </c>
      <c r="K8934" t="s">
        <v>42730</v>
      </c>
      <c r="M8934" t="s">
        <v>44043</v>
      </c>
      <c r="N8934" t="s">
        <v>47424</v>
      </c>
      <c r="O8934" t="s">
        <v>47425</v>
      </c>
      <c r="P8934">
        <v>0</v>
      </c>
      <c r="Q8934">
        <v>2</v>
      </c>
      <c r="R8934" t="s">
        <v>47432</v>
      </c>
      <c r="S8934" t="s">
        <v>47597</v>
      </c>
      <c r="T8934" t="s">
        <v>49162</v>
      </c>
      <c r="U8934" t="s">
        <v>57054</v>
      </c>
      <c r="V8934" t="s">
        <v>63615</v>
      </c>
      <c r="W8934" t="s">
        <v>44043</v>
      </c>
      <c r="X8934" t="s">
        <v>47433</v>
      </c>
    </row>
    <row r="8935" spans="1:24">
      <c r="A8935">
        <f>HYPERLINK("https://www.philgeps.gov.ph/GEPSNONPILOT/Tender/SplashBidNoticeAbstractUI.aspx?menuIndex=3&amp;refID=7154693&amp;Result=3","7154693")</f>
        <v>0</v>
      </c>
      <c r="B8935" t="s">
        <v>2674</v>
      </c>
      <c r="C8935" t="s">
        <v>12307</v>
      </c>
      <c r="D8935" t="s">
        <v>19077</v>
      </c>
      <c r="E8935" t="s">
        <v>26835</v>
      </c>
      <c r="F8935" t="s">
        <v>32831</v>
      </c>
      <c r="G8935" t="s">
        <v>32839</v>
      </c>
      <c r="H8935" t="s">
        <v>32848</v>
      </c>
      <c r="I8935" t="s">
        <v>7751</v>
      </c>
      <c r="J8935" t="s">
        <v>33794</v>
      </c>
      <c r="K8935" t="s">
        <v>42730</v>
      </c>
      <c r="M8935" t="s">
        <v>45897</v>
      </c>
      <c r="N8935" t="s">
        <v>47424</v>
      </c>
      <c r="O8935" t="s">
        <v>47425</v>
      </c>
      <c r="P8935">
        <v>0</v>
      </c>
      <c r="Q8935">
        <v>3</v>
      </c>
      <c r="R8935" t="s">
        <v>47432</v>
      </c>
      <c r="S8935" t="s">
        <v>47597</v>
      </c>
      <c r="T8935" t="s">
        <v>49173</v>
      </c>
      <c r="U8935" t="s">
        <v>57055</v>
      </c>
      <c r="W8935" t="s">
        <v>45897</v>
      </c>
      <c r="X8935" t="s">
        <v>47433</v>
      </c>
    </row>
    <row r="8936" spans="1:24">
      <c r="A8936">
        <f>HYPERLINK("https://www.philgeps.gov.ph/GEPSNONPILOT/Tender/SplashBidNoticeAbstractUI.aspx?menuIndex=3&amp;refID=7154722&amp;Result=3","7154722")</f>
        <v>0</v>
      </c>
      <c r="B8936" t="s">
        <v>2890</v>
      </c>
      <c r="C8936" t="s">
        <v>12308</v>
      </c>
      <c r="D8936" t="s">
        <v>19078</v>
      </c>
      <c r="E8936" t="s">
        <v>26836</v>
      </c>
      <c r="F8936" t="s">
        <v>32831</v>
      </c>
      <c r="G8936" t="s">
        <v>32839</v>
      </c>
      <c r="H8936" t="s">
        <v>32849</v>
      </c>
      <c r="I8936" t="s">
        <v>4177</v>
      </c>
      <c r="J8936" t="s">
        <v>32978</v>
      </c>
      <c r="K8936" t="s">
        <v>42730</v>
      </c>
      <c r="M8936" t="s">
        <v>46131</v>
      </c>
      <c r="N8936" t="s">
        <v>47424</v>
      </c>
      <c r="O8936" t="s">
        <v>47425</v>
      </c>
      <c r="P8936">
        <v>0</v>
      </c>
      <c r="Q8936">
        <v>2</v>
      </c>
      <c r="R8936" t="s">
        <v>47432</v>
      </c>
      <c r="S8936" t="s">
        <v>47597</v>
      </c>
      <c r="T8936" t="s">
        <v>49236</v>
      </c>
      <c r="U8936" t="s">
        <v>53800</v>
      </c>
      <c r="V8936" t="s">
        <v>63604</v>
      </c>
      <c r="W8936" t="s">
        <v>46131</v>
      </c>
      <c r="X8936" t="s">
        <v>47433</v>
      </c>
    </row>
    <row r="8937" spans="1:24">
      <c r="A8937">
        <f>HYPERLINK("https://www.philgeps.gov.ph/GEPSNONPILOT/Tender/SplashBidNoticeAbstractUI.aspx?menuIndex=3&amp;refID=7154908&amp;Result=3","7154908")</f>
        <v>0</v>
      </c>
      <c r="B8937" t="s">
        <v>1927</v>
      </c>
      <c r="C8937" t="s">
        <v>12309</v>
      </c>
      <c r="D8937" t="s">
        <v>19018</v>
      </c>
      <c r="E8937" t="s">
        <v>26837</v>
      </c>
      <c r="F8937" t="s">
        <v>32831</v>
      </c>
      <c r="G8937" t="s">
        <v>32839</v>
      </c>
      <c r="H8937" t="s">
        <v>32849</v>
      </c>
      <c r="I8937" t="s">
        <v>4177</v>
      </c>
      <c r="J8937" t="s">
        <v>38522</v>
      </c>
      <c r="K8937" t="s">
        <v>42732</v>
      </c>
      <c r="L8937" t="s">
        <v>1927</v>
      </c>
      <c r="M8937" t="s">
        <v>46156</v>
      </c>
      <c r="N8937" t="s">
        <v>47424</v>
      </c>
      <c r="O8937" t="s">
        <v>47425</v>
      </c>
      <c r="P8937">
        <v>0</v>
      </c>
      <c r="Q8937">
        <v>0</v>
      </c>
      <c r="R8937" t="s">
        <v>47432</v>
      </c>
      <c r="S8937" t="s">
        <v>47597</v>
      </c>
      <c r="T8937" t="s">
        <v>49236</v>
      </c>
      <c r="U8937" t="s">
        <v>57056</v>
      </c>
      <c r="V8937" t="s">
        <v>63616</v>
      </c>
      <c r="W8937" t="s">
        <v>46156</v>
      </c>
      <c r="X8937" t="s">
        <v>47433</v>
      </c>
    </row>
    <row r="8938" spans="1:24">
      <c r="A8938">
        <f>HYPERLINK("https://www.philgeps.gov.ph/GEPSNONPILOT/Tender/SplashBidNoticeAbstractUI.aspx?menuIndex=3&amp;refID=7154701&amp;Result=3","7154701")</f>
        <v>0</v>
      </c>
      <c r="B8938" t="s">
        <v>1645</v>
      </c>
      <c r="C8938" t="s">
        <v>12310</v>
      </c>
      <c r="D8938" t="s">
        <v>19034</v>
      </c>
      <c r="E8938" t="s">
        <v>20017</v>
      </c>
      <c r="F8938" t="s">
        <v>32831</v>
      </c>
      <c r="G8938" t="s">
        <v>32838</v>
      </c>
      <c r="H8938" t="s">
        <v>32848</v>
      </c>
      <c r="I8938" t="s">
        <v>9577</v>
      </c>
      <c r="J8938" t="s">
        <v>32980</v>
      </c>
      <c r="K8938" t="s">
        <v>42730</v>
      </c>
      <c r="M8938" t="s">
        <v>44762</v>
      </c>
      <c r="N8938" t="s">
        <v>47424</v>
      </c>
      <c r="O8938" t="s">
        <v>47425</v>
      </c>
      <c r="P8938">
        <v>0</v>
      </c>
      <c r="Q8938">
        <v>0</v>
      </c>
      <c r="R8938" t="s">
        <v>47432</v>
      </c>
      <c r="S8938" t="s">
        <v>47597</v>
      </c>
      <c r="T8938" t="s">
        <v>49214</v>
      </c>
      <c r="U8938" t="s">
        <v>57057</v>
      </c>
      <c r="W8938" t="s">
        <v>44762</v>
      </c>
      <c r="X8938" t="s">
        <v>47433</v>
      </c>
    </row>
    <row r="8939" spans="1:24">
      <c r="A8939">
        <f>HYPERLINK("https://www.philgeps.gov.ph/GEPSNONPILOT/Tender/SplashBidNoticeAbstractUI.aspx?menuIndex=3&amp;refID=7154810&amp;Result=3","7154810")</f>
        <v>0</v>
      </c>
      <c r="B8939" t="s">
        <v>311</v>
      </c>
      <c r="C8939" t="s">
        <v>12311</v>
      </c>
      <c r="D8939" t="s">
        <v>19064</v>
      </c>
      <c r="E8939" t="s">
        <v>26838</v>
      </c>
      <c r="F8939" t="s">
        <v>32831</v>
      </c>
      <c r="G8939" t="s">
        <v>32838</v>
      </c>
      <c r="H8939" t="s">
        <v>32848</v>
      </c>
      <c r="I8939" t="s">
        <v>32870</v>
      </c>
      <c r="J8939" t="s">
        <v>38523</v>
      </c>
      <c r="K8939" t="s">
        <v>42763</v>
      </c>
      <c r="M8939" t="s">
        <v>43313</v>
      </c>
      <c r="N8939" t="s">
        <v>47424</v>
      </c>
      <c r="O8939" t="s">
        <v>47425</v>
      </c>
      <c r="P8939">
        <v>0</v>
      </c>
      <c r="Q8939">
        <v>0</v>
      </c>
      <c r="R8939" t="s">
        <v>47432</v>
      </c>
      <c r="S8939" t="s">
        <v>47597</v>
      </c>
      <c r="T8939" t="s">
        <v>49106</v>
      </c>
      <c r="U8939" t="s">
        <v>54186</v>
      </c>
      <c r="W8939" t="s">
        <v>43313</v>
      </c>
      <c r="X8939" t="s">
        <v>47433</v>
      </c>
    </row>
    <row r="8940" spans="1:24">
      <c r="A8940">
        <f>HYPERLINK("https://www.philgeps.gov.ph/GEPSNONPILOT/Tender/SplashBidNoticeAbstractUI.aspx?menuIndex=3&amp;refID=7154906&amp;Result=3","7154906")</f>
        <v>0</v>
      </c>
      <c r="B8940" t="s">
        <v>282</v>
      </c>
      <c r="C8940" t="s">
        <v>12312</v>
      </c>
      <c r="D8940" t="s">
        <v>19052</v>
      </c>
      <c r="E8940" t="s">
        <v>26839</v>
      </c>
      <c r="F8940" t="s">
        <v>32831</v>
      </c>
      <c r="G8940" t="s">
        <v>32839</v>
      </c>
      <c r="H8940" t="s">
        <v>32849</v>
      </c>
      <c r="I8940" t="s">
        <v>4177</v>
      </c>
      <c r="J8940" t="s">
        <v>38524</v>
      </c>
      <c r="K8940" t="s">
        <v>42851</v>
      </c>
      <c r="M8940" t="s">
        <v>43281</v>
      </c>
      <c r="N8940" t="s">
        <v>47424</v>
      </c>
      <c r="O8940" t="s">
        <v>47425</v>
      </c>
      <c r="P8940">
        <v>0</v>
      </c>
      <c r="Q8940">
        <v>0</v>
      </c>
      <c r="R8940" t="s">
        <v>47432</v>
      </c>
      <c r="S8940" t="s">
        <v>47597</v>
      </c>
      <c r="T8940" t="s">
        <v>49181</v>
      </c>
      <c r="U8940" t="s">
        <v>57058</v>
      </c>
      <c r="W8940" t="s">
        <v>43281</v>
      </c>
      <c r="X8940" t="s">
        <v>47433</v>
      </c>
    </row>
    <row r="8941" spans="1:24">
      <c r="A8941">
        <f>HYPERLINK("https://www.philgeps.gov.ph/GEPSNONPILOT/Tender/SplashBidNoticeAbstractUI.aspx?menuIndex=3&amp;refID=7154901&amp;Result=3","7154901")</f>
        <v>0</v>
      </c>
      <c r="B8941" t="s">
        <v>2909</v>
      </c>
      <c r="C8941" t="s">
        <v>12313</v>
      </c>
      <c r="D8941" t="s">
        <v>19024</v>
      </c>
      <c r="E8941" t="s">
        <v>26840</v>
      </c>
      <c r="F8941" t="s">
        <v>32831</v>
      </c>
      <c r="G8941" t="s">
        <v>32839</v>
      </c>
      <c r="H8941" t="s">
        <v>32849</v>
      </c>
      <c r="I8941" t="s">
        <v>4177</v>
      </c>
      <c r="J8941" t="s">
        <v>38525</v>
      </c>
      <c r="K8941" t="s">
        <v>42742</v>
      </c>
      <c r="M8941" t="s">
        <v>46157</v>
      </c>
      <c r="N8941" t="s">
        <v>47424</v>
      </c>
      <c r="O8941" t="s">
        <v>47425</v>
      </c>
      <c r="P8941">
        <v>0</v>
      </c>
      <c r="Q8941">
        <v>0</v>
      </c>
      <c r="R8941" t="s">
        <v>47432</v>
      </c>
      <c r="S8941" t="s">
        <v>47597</v>
      </c>
      <c r="T8941" t="s">
        <v>49319</v>
      </c>
      <c r="U8941" t="s">
        <v>57059</v>
      </c>
      <c r="W8941" t="s">
        <v>46157</v>
      </c>
      <c r="X8941" t="s">
        <v>47433</v>
      </c>
    </row>
    <row r="8942" spans="1:24">
      <c r="A8942">
        <f>HYPERLINK("https://www.philgeps.gov.ph/GEPSNONPILOT/Tender/SplashBidNoticeAbstractUI.aspx?menuIndex=3&amp;refID=7154889&amp;Result=3","7154889")</f>
        <v>0</v>
      </c>
      <c r="B8942" t="s">
        <v>1927</v>
      </c>
      <c r="C8942" t="s">
        <v>12314</v>
      </c>
      <c r="D8942" t="s">
        <v>19018</v>
      </c>
      <c r="E8942" t="s">
        <v>26841</v>
      </c>
      <c r="F8942" t="s">
        <v>32831</v>
      </c>
      <c r="G8942" t="s">
        <v>32839</v>
      </c>
      <c r="H8942" t="s">
        <v>32849</v>
      </c>
      <c r="I8942" t="s">
        <v>4177</v>
      </c>
      <c r="J8942" t="s">
        <v>33083</v>
      </c>
      <c r="K8942" t="s">
        <v>42732</v>
      </c>
      <c r="L8942" t="s">
        <v>1927</v>
      </c>
      <c r="M8942" t="s">
        <v>46156</v>
      </c>
      <c r="N8942" t="s">
        <v>47424</v>
      </c>
      <c r="O8942" t="s">
        <v>47425</v>
      </c>
      <c r="P8942">
        <v>0</v>
      </c>
      <c r="Q8942">
        <v>0</v>
      </c>
      <c r="R8942" t="s">
        <v>47432</v>
      </c>
      <c r="S8942" t="s">
        <v>47597</v>
      </c>
      <c r="T8942" t="s">
        <v>49236</v>
      </c>
      <c r="U8942" t="s">
        <v>57056</v>
      </c>
      <c r="V8942" t="s">
        <v>63616</v>
      </c>
      <c r="W8942" t="s">
        <v>46156</v>
      </c>
      <c r="X8942" t="s">
        <v>47433</v>
      </c>
    </row>
    <row r="8943" spans="1:24">
      <c r="A8943">
        <f>HYPERLINK("https://www.philgeps.gov.ph/GEPSNONPILOT/Tender/SplashBidNoticeAbstractUI.aspx?menuIndex=3&amp;refID=7154764&amp;Result=3","7154764")</f>
        <v>0</v>
      </c>
      <c r="B8943" t="s">
        <v>2910</v>
      </c>
      <c r="C8943" t="s">
        <v>12315</v>
      </c>
      <c r="D8943" t="s">
        <v>19018</v>
      </c>
      <c r="E8943" t="s">
        <v>26291</v>
      </c>
      <c r="F8943" t="s">
        <v>32831</v>
      </c>
      <c r="G8943" t="s">
        <v>32838</v>
      </c>
      <c r="H8943" t="s">
        <v>32848</v>
      </c>
      <c r="I8943" t="s">
        <v>32911</v>
      </c>
      <c r="J8943" t="s">
        <v>33868</v>
      </c>
      <c r="K8943" t="s">
        <v>42732</v>
      </c>
      <c r="M8943" t="s">
        <v>46158</v>
      </c>
      <c r="N8943" t="s">
        <v>47424</v>
      </c>
      <c r="O8943" t="s">
        <v>47425</v>
      </c>
      <c r="P8943">
        <v>0</v>
      </c>
      <c r="Q8943">
        <v>0</v>
      </c>
      <c r="R8943" t="s">
        <v>47432</v>
      </c>
      <c r="S8943" t="s">
        <v>47597</v>
      </c>
      <c r="T8943" t="s">
        <v>49114</v>
      </c>
      <c r="U8943" t="s">
        <v>57060</v>
      </c>
      <c r="W8943" t="s">
        <v>46158</v>
      </c>
      <c r="X8943" t="s">
        <v>47433</v>
      </c>
    </row>
    <row r="8944" spans="1:24">
      <c r="A8944">
        <f>HYPERLINK("https://www.philgeps.gov.ph/GEPSNONPILOT/Tender/SplashBidNoticeAbstractUI.aspx?menuIndex=3&amp;refID=7154884&amp;Result=3","7154884")</f>
        <v>0</v>
      </c>
      <c r="B8944" t="s">
        <v>282</v>
      </c>
      <c r="C8944" t="s">
        <v>12316</v>
      </c>
      <c r="D8944" t="s">
        <v>19052</v>
      </c>
      <c r="E8944" t="s">
        <v>26842</v>
      </c>
      <c r="F8944" t="s">
        <v>32831</v>
      </c>
      <c r="G8944" t="s">
        <v>32839</v>
      </c>
      <c r="H8944" t="s">
        <v>32849</v>
      </c>
      <c r="I8944" t="s">
        <v>4177</v>
      </c>
      <c r="J8944" t="s">
        <v>38526</v>
      </c>
      <c r="K8944" t="s">
        <v>42915</v>
      </c>
      <c r="M8944" t="s">
        <v>43281</v>
      </c>
      <c r="N8944" t="s">
        <v>47424</v>
      </c>
      <c r="O8944" t="s">
        <v>47425</v>
      </c>
      <c r="P8944">
        <v>0</v>
      </c>
      <c r="Q8944">
        <v>1</v>
      </c>
      <c r="R8944" t="s">
        <v>47432</v>
      </c>
      <c r="S8944" t="s">
        <v>47597</v>
      </c>
      <c r="T8944" t="s">
        <v>49181</v>
      </c>
      <c r="U8944" t="s">
        <v>57061</v>
      </c>
      <c r="W8944" t="s">
        <v>43281</v>
      </c>
      <c r="X8944" t="s">
        <v>47433</v>
      </c>
    </row>
    <row r="8945" spans="1:24">
      <c r="A8945">
        <f>HYPERLINK("https://www.philgeps.gov.ph/GEPSNONPILOT/Tender/SplashBidNoticeAbstractUI.aspx?menuIndex=3&amp;refID=7154900&amp;Result=3","7154900")</f>
        <v>0</v>
      </c>
      <c r="B8945" t="s">
        <v>1927</v>
      </c>
      <c r="C8945" t="s">
        <v>12317</v>
      </c>
      <c r="D8945" t="s">
        <v>19018</v>
      </c>
      <c r="E8945" t="s">
        <v>26843</v>
      </c>
      <c r="F8945" t="s">
        <v>32831</v>
      </c>
      <c r="G8945" t="s">
        <v>32839</v>
      </c>
      <c r="H8945" t="s">
        <v>32849</v>
      </c>
      <c r="I8945" t="s">
        <v>4177</v>
      </c>
      <c r="J8945" t="s">
        <v>38527</v>
      </c>
      <c r="K8945" t="s">
        <v>42732</v>
      </c>
      <c r="L8945" t="s">
        <v>1927</v>
      </c>
      <c r="M8945" t="s">
        <v>46156</v>
      </c>
      <c r="N8945" t="s">
        <v>47424</v>
      </c>
      <c r="O8945" t="s">
        <v>47425</v>
      </c>
      <c r="P8945">
        <v>0</v>
      </c>
      <c r="Q8945">
        <v>0</v>
      </c>
      <c r="R8945" t="s">
        <v>47432</v>
      </c>
      <c r="S8945" t="s">
        <v>47597</v>
      </c>
      <c r="T8945" t="s">
        <v>49236</v>
      </c>
      <c r="U8945" t="s">
        <v>57056</v>
      </c>
      <c r="V8945" t="s">
        <v>63616</v>
      </c>
      <c r="W8945" t="s">
        <v>46156</v>
      </c>
      <c r="X8945" t="s">
        <v>47433</v>
      </c>
    </row>
    <row r="8946" spans="1:24">
      <c r="A8946">
        <f>HYPERLINK("https://www.philgeps.gov.ph/GEPSNONPILOT/Tender/SplashBidNoticeAbstractUI.aspx?menuIndex=3&amp;refID=7154907&amp;Result=3","7154907")</f>
        <v>0</v>
      </c>
      <c r="B8946" t="s">
        <v>948</v>
      </c>
      <c r="C8946" t="s">
        <v>12318</v>
      </c>
      <c r="D8946" t="s">
        <v>19017</v>
      </c>
      <c r="E8946" t="s">
        <v>26844</v>
      </c>
      <c r="F8946" t="s">
        <v>32831</v>
      </c>
      <c r="G8946" t="s">
        <v>32838</v>
      </c>
      <c r="H8946" t="s">
        <v>32848</v>
      </c>
      <c r="I8946" t="s">
        <v>9577</v>
      </c>
      <c r="J8946" t="s">
        <v>38528</v>
      </c>
      <c r="K8946" t="s">
        <v>42731</v>
      </c>
      <c r="M8946" t="s">
        <v>43994</v>
      </c>
      <c r="N8946" t="s">
        <v>47424</v>
      </c>
      <c r="O8946" t="s">
        <v>47425</v>
      </c>
      <c r="P8946">
        <v>0</v>
      </c>
      <c r="Q8946">
        <v>0</v>
      </c>
      <c r="R8946" t="s">
        <v>47432</v>
      </c>
      <c r="S8946" t="s">
        <v>47597</v>
      </c>
      <c r="T8946" t="s">
        <v>49105</v>
      </c>
      <c r="U8946" t="s">
        <v>51473</v>
      </c>
      <c r="W8946" t="s">
        <v>43994</v>
      </c>
      <c r="X8946" t="s">
        <v>47433</v>
      </c>
    </row>
    <row r="8947" spans="1:24">
      <c r="A8947">
        <f>HYPERLINK("https://www.philgeps.gov.ph/GEPSNONPILOT/Tender/SplashBidNoticeAbstractUI.aspx?menuIndex=3&amp;refID=7154769&amp;Result=3","7154769")</f>
        <v>0</v>
      </c>
      <c r="B8947" t="s">
        <v>2323</v>
      </c>
      <c r="C8947" t="s">
        <v>12319</v>
      </c>
      <c r="D8947" t="s">
        <v>19023</v>
      </c>
      <c r="E8947" t="s">
        <v>26003</v>
      </c>
      <c r="F8947" t="s">
        <v>32831</v>
      </c>
      <c r="G8947" t="s">
        <v>32838</v>
      </c>
      <c r="H8947" t="s">
        <v>32848</v>
      </c>
      <c r="I8947" t="s">
        <v>4303</v>
      </c>
      <c r="J8947" t="s">
        <v>38529</v>
      </c>
      <c r="K8947" t="s">
        <v>42726</v>
      </c>
      <c r="M8947" t="s">
        <v>45508</v>
      </c>
      <c r="N8947" t="s">
        <v>47424</v>
      </c>
      <c r="O8947" t="s">
        <v>47425</v>
      </c>
      <c r="P8947">
        <v>0</v>
      </c>
      <c r="Q8947">
        <v>2</v>
      </c>
      <c r="R8947" t="s">
        <v>47432</v>
      </c>
      <c r="S8947" t="s">
        <v>47597</v>
      </c>
      <c r="T8947" t="s">
        <v>49237</v>
      </c>
      <c r="U8947" t="s">
        <v>57062</v>
      </c>
      <c r="W8947" t="s">
        <v>45508</v>
      </c>
      <c r="X8947" t="s">
        <v>47433</v>
      </c>
    </row>
    <row r="8948" spans="1:24">
      <c r="A8948">
        <f>HYPERLINK("https://www.philgeps.gov.ph/GEPSNONPILOT/Tender/SplashBidNoticeAbstractUI.aspx?menuIndex=3&amp;refID=7154944&amp;Result=3","7154944")</f>
        <v>0</v>
      </c>
      <c r="B8948" t="s">
        <v>1227</v>
      </c>
      <c r="C8948" t="s">
        <v>12320</v>
      </c>
      <c r="D8948" t="s">
        <v>19080</v>
      </c>
      <c r="E8948" t="s">
        <v>26845</v>
      </c>
      <c r="F8948" t="s">
        <v>32831</v>
      </c>
      <c r="G8948" t="s">
        <v>32841</v>
      </c>
      <c r="H8948" t="s">
        <v>32849</v>
      </c>
      <c r="I8948" t="s">
        <v>4177</v>
      </c>
      <c r="J8948" t="s">
        <v>33528</v>
      </c>
      <c r="K8948" t="s">
        <v>42851</v>
      </c>
      <c r="M8948" t="s">
        <v>46159</v>
      </c>
      <c r="N8948" t="s">
        <v>47424</v>
      </c>
      <c r="O8948" t="s">
        <v>47425</v>
      </c>
      <c r="P8948">
        <v>0</v>
      </c>
      <c r="Q8948">
        <v>1</v>
      </c>
      <c r="R8948" t="s">
        <v>47432</v>
      </c>
      <c r="S8948" t="s">
        <v>47597</v>
      </c>
      <c r="T8948" t="s">
        <v>49394</v>
      </c>
      <c r="U8948" t="s">
        <v>57063</v>
      </c>
      <c r="V8948" t="s">
        <v>62932</v>
      </c>
      <c r="W8948" t="s">
        <v>44296</v>
      </c>
      <c r="X8948" t="s">
        <v>47433</v>
      </c>
    </row>
    <row r="8949" spans="1:24">
      <c r="A8949">
        <f>HYPERLINK("https://www.philgeps.gov.ph/GEPSNONPILOT/Tender/SplashBidNoticeAbstractUI.aspx?menuIndex=3&amp;refID=7154951&amp;Result=3","7154951")</f>
        <v>0</v>
      </c>
      <c r="B8949" t="s">
        <v>668</v>
      </c>
      <c r="C8949" t="s">
        <v>12321</v>
      </c>
      <c r="D8949" t="s">
        <v>19034</v>
      </c>
      <c r="E8949" t="s">
        <v>26846</v>
      </c>
      <c r="F8949" t="s">
        <v>32831</v>
      </c>
      <c r="G8949" t="s">
        <v>32839</v>
      </c>
      <c r="H8949" t="s">
        <v>32849</v>
      </c>
      <c r="I8949" t="s">
        <v>4177</v>
      </c>
      <c r="J8949" t="s">
        <v>38530</v>
      </c>
      <c r="K8949" t="s">
        <v>42770</v>
      </c>
      <c r="M8949" t="s">
        <v>44913</v>
      </c>
      <c r="N8949" t="s">
        <v>47424</v>
      </c>
      <c r="O8949" t="s">
        <v>47425</v>
      </c>
      <c r="P8949">
        <v>0</v>
      </c>
      <c r="Q8949">
        <v>0</v>
      </c>
      <c r="R8949" t="s">
        <v>47432</v>
      </c>
      <c r="S8949" t="s">
        <v>47597</v>
      </c>
      <c r="T8949" t="s">
        <v>49338</v>
      </c>
      <c r="U8949" t="s">
        <v>57064</v>
      </c>
      <c r="W8949" t="s">
        <v>44913</v>
      </c>
      <c r="X8949" t="s">
        <v>47433</v>
      </c>
    </row>
    <row r="8950" spans="1:24">
      <c r="A8950">
        <f>HYPERLINK("https://www.philgeps.gov.ph/GEPSNONPILOT/Tender/SplashBidNoticeAbstractUI.aspx?menuIndex=3&amp;refID=7154896&amp;Result=3","7154896")</f>
        <v>0</v>
      </c>
      <c r="B8950" t="s">
        <v>394</v>
      </c>
      <c r="C8950" t="s">
        <v>12322</v>
      </c>
      <c r="D8950" t="s">
        <v>19074</v>
      </c>
      <c r="E8950" t="s">
        <v>26847</v>
      </c>
      <c r="F8950" t="s">
        <v>32831</v>
      </c>
      <c r="G8950" t="s">
        <v>32839</v>
      </c>
      <c r="H8950" t="s">
        <v>32849</v>
      </c>
      <c r="I8950" t="s">
        <v>4177</v>
      </c>
      <c r="J8950" t="s">
        <v>33087</v>
      </c>
      <c r="K8950" t="s">
        <v>42729</v>
      </c>
      <c r="M8950" t="s">
        <v>43399</v>
      </c>
      <c r="N8950" t="s">
        <v>47424</v>
      </c>
      <c r="O8950" t="s">
        <v>47425</v>
      </c>
      <c r="P8950">
        <v>0</v>
      </c>
      <c r="Q8950">
        <v>0</v>
      </c>
      <c r="R8950" t="s">
        <v>47432</v>
      </c>
      <c r="S8950" t="s">
        <v>47597</v>
      </c>
      <c r="T8950" t="s">
        <v>49141</v>
      </c>
      <c r="U8950" t="s">
        <v>57065</v>
      </c>
      <c r="W8950" t="s">
        <v>43399</v>
      </c>
      <c r="X8950" t="s">
        <v>47433</v>
      </c>
    </row>
    <row r="8951" spans="1:24">
      <c r="A8951">
        <f>HYPERLINK("https://www.philgeps.gov.ph/GEPSNONPILOT/Tender/SplashBidNoticeAbstractUI.aspx?menuIndex=3&amp;refID=7154949&amp;Result=3","7154949")</f>
        <v>0</v>
      </c>
      <c r="B8951" t="s">
        <v>668</v>
      </c>
      <c r="C8951" t="s">
        <v>12323</v>
      </c>
      <c r="D8951" t="s">
        <v>19034</v>
      </c>
      <c r="E8951" t="s">
        <v>26848</v>
      </c>
      <c r="F8951" t="s">
        <v>32831</v>
      </c>
      <c r="G8951" t="s">
        <v>32839</v>
      </c>
      <c r="H8951" t="s">
        <v>32849</v>
      </c>
      <c r="I8951" t="s">
        <v>4177</v>
      </c>
      <c r="J8951" t="s">
        <v>38531</v>
      </c>
      <c r="K8951" t="s">
        <v>42747</v>
      </c>
      <c r="M8951" t="s">
        <v>44913</v>
      </c>
      <c r="N8951" t="s">
        <v>47424</v>
      </c>
      <c r="O8951" t="s">
        <v>47425</v>
      </c>
      <c r="P8951">
        <v>0</v>
      </c>
      <c r="Q8951">
        <v>0</v>
      </c>
      <c r="R8951" t="s">
        <v>47432</v>
      </c>
      <c r="S8951" t="s">
        <v>47597</v>
      </c>
      <c r="T8951" t="s">
        <v>49321</v>
      </c>
      <c r="U8951" t="s">
        <v>57066</v>
      </c>
      <c r="W8951" t="s">
        <v>44913</v>
      </c>
      <c r="X8951" t="s">
        <v>47433</v>
      </c>
    </row>
    <row r="8952" spans="1:24">
      <c r="A8952">
        <f>HYPERLINK("https://www.philgeps.gov.ph/GEPSNONPILOT/Tender/SplashBidNoticeAbstractUI.aspx?menuIndex=3&amp;refID=7154877&amp;Result=3","7154877")</f>
        <v>0</v>
      </c>
      <c r="B8952" t="s">
        <v>2909</v>
      </c>
      <c r="C8952" t="s">
        <v>12324</v>
      </c>
      <c r="D8952" t="s">
        <v>19024</v>
      </c>
      <c r="E8952" t="s">
        <v>26849</v>
      </c>
      <c r="F8952" t="s">
        <v>32831</v>
      </c>
      <c r="G8952" t="s">
        <v>32839</v>
      </c>
      <c r="H8952" t="s">
        <v>32849</v>
      </c>
      <c r="I8952" t="s">
        <v>4177</v>
      </c>
      <c r="J8952" t="s">
        <v>34188</v>
      </c>
      <c r="K8952" t="s">
        <v>42735</v>
      </c>
      <c r="M8952" t="s">
        <v>46157</v>
      </c>
      <c r="N8952" t="s">
        <v>47424</v>
      </c>
      <c r="O8952" t="s">
        <v>47425</v>
      </c>
      <c r="P8952">
        <v>0</v>
      </c>
      <c r="Q8952">
        <v>0</v>
      </c>
      <c r="R8952" t="s">
        <v>47432</v>
      </c>
      <c r="S8952" t="s">
        <v>47597</v>
      </c>
      <c r="T8952" t="s">
        <v>49319</v>
      </c>
      <c r="U8952" t="s">
        <v>57067</v>
      </c>
      <c r="W8952" t="s">
        <v>46157</v>
      </c>
      <c r="X8952" t="s">
        <v>47433</v>
      </c>
    </row>
    <row r="8953" spans="1:24">
      <c r="A8953">
        <f>HYPERLINK("https://www.philgeps.gov.ph/GEPSNONPILOT/Tender/SplashBidNoticeAbstractUI.aspx?menuIndex=3&amp;refID=7154947&amp;Result=3","7154947")</f>
        <v>0</v>
      </c>
      <c r="B8953" t="s">
        <v>911</v>
      </c>
      <c r="C8953" t="s">
        <v>12325</v>
      </c>
      <c r="D8953" t="s">
        <v>19049</v>
      </c>
      <c r="E8953" t="s">
        <v>26850</v>
      </c>
      <c r="F8953" t="s">
        <v>32831</v>
      </c>
      <c r="G8953" t="s">
        <v>32839</v>
      </c>
      <c r="H8953" t="s">
        <v>32848</v>
      </c>
      <c r="I8953" t="s">
        <v>32868</v>
      </c>
      <c r="J8953" t="s">
        <v>38532</v>
      </c>
      <c r="K8953" t="s">
        <v>42745</v>
      </c>
      <c r="M8953" t="s">
        <v>43951</v>
      </c>
      <c r="N8953" t="s">
        <v>47424</v>
      </c>
      <c r="O8953" t="s">
        <v>47425</v>
      </c>
      <c r="Q8953">
        <v>5</v>
      </c>
      <c r="R8953" t="s">
        <v>47432</v>
      </c>
      <c r="S8953" t="s">
        <v>47624</v>
      </c>
      <c r="T8953" t="s">
        <v>49221</v>
      </c>
      <c r="U8953" t="s">
        <v>52589</v>
      </c>
      <c r="W8953" t="s">
        <v>43951</v>
      </c>
      <c r="X8953" t="s">
        <v>47433</v>
      </c>
    </row>
    <row r="8954" spans="1:24">
      <c r="A8954">
        <f>HYPERLINK("https://www.philgeps.gov.ph/GEPSNONPILOT/Tender/SplashBidNoticeAbstractUI.aspx?menuIndex=3&amp;refID=7154873&amp;Result=3","7154873")</f>
        <v>0</v>
      </c>
      <c r="B8954" t="s">
        <v>1236</v>
      </c>
      <c r="C8954" t="s">
        <v>12326</v>
      </c>
      <c r="D8954" t="s">
        <v>19045</v>
      </c>
      <c r="E8954" t="s">
        <v>19790</v>
      </c>
      <c r="F8954" t="s">
        <v>32831</v>
      </c>
      <c r="G8954" t="s">
        <v>32839</v>
      </c>
      <c r="H8954" t="s">
        <v>32848</v>
      </c>
      <c r="I8954" t="s">
        <v>32870</v>
      </c>
      <c r="J8954" t="s">
        <v>36086</v>
      </c>
      <c r="K8954" t="s">
        <v>42730</v>
      </c>
      <c r="M8954" t="s">
        <v>44306</v>
      </c>
      <c r="N8954" t="s">
        <v>47424</v>
      </c>
      <c r="O8954" t="s">
        <v>47425</v>
      </c>
      <c r="P8954">
        <v>0</v>
      </c>
      <c r="Q8954">
        <v>0</v>
      </c>
      <c r="R8954" t="s">
        <v>47432</v>
      </c>
      <c r="S8954" t="s">
        <v>47597</v>
      </c>
      <c r="T8954" t="s">
        <v>49112</v>
      </c>
      <c r="U8954" t="s">
        <v>57068</v>
      </c>
      <c r="W8954" t="s">
        <v>44306</v>
      </c>
      <c r="X8954" t="s">
        <v>47433</v>
      </c>
    </row>
    <row r="8955" spans="1:24">
      <c r="A8955">
        <f>HYPERLINK("https://www.philgeps.gov.ph/GEPSNONPILOT/Tender/SplashBidNoticeAbstractUI.aspx?menuIndex=3&amp;refID=7154887&amp;Result=3","7154887")</f>
        <v>0</v>
      </c>
      <c r="B8955" t="s">
        <v>2571</v>
      </c>
      <c r="C8955" t="s">
        <v>12327</v>
      </c>
      <c r="D8955" t="s">
        <v>19060</v>
      </c>
      <c r="E8955" t="s">
        <v>26851</v>
      </c>
      <c r="F8955" t="s">
        <v>32831</v>
      </c>
      <c r="G8955" t="s">
        <v>32839</v>
      </c>
      <c r="H8955" t="s">
        <v>32848</v>
      </c>
      <c r="I8955" t="s">
        <v>7416</v>
      </c>
      <c r="J8955" t="s">
        <v>38533</v>
      </c>
      <c r="K8955" t="s">
        <v>42730</v>
      </c>
      <c r="M8955" t="s">
        <v>45787</v>
      </c>
      <c r="N8955" t="s">
        <v>47424</v>
      </c>
      <c r="O8955" t="s">
        <v>47425</v>
      </c>
      <c r="P8955">
        <v>0</v>
      </c>
      <c r="Q8955">
        <v>0</v>
      </c>
      <c r="R8955" t="s">
        <v>47432</v>
      </c>
      <c r="S8955" t="s">
        <v>47597</v>
      </c>
      <c r="T8955" t="s">
        <v>49127</v>
      </c>
      <c r="U8955" t="s">
        <v>57069</v>
      </c>
      <c r="W8955" t="s">
        <v>45787</v>
      </c>
      <c r="X8955" t="s">
        <v>47433</v>
      </c>
    </row>
    <row r="8956" spans="1:24">
      <c r="A8956">
        <f>HYPERLINK("https://www.philgeps.gov.ph/GEPSNONPILOT/Tender/SplashBidNoticeAbstractUI.aspx?menuIndex=3&amp;refID=7154942&amp;Result=3","7154942")</f>
        <v>0</v>
      </c>
      <c r="B8956" t="s">
        <v>2216</v>
      </c>
      <c r="C8956" t="s">
        <v>12328</v>
      </c>
      <c r="D8956" t="s">
        <v>19047</v>
      </c>
      <c r="E8956" t="s">
        <v>26852</v>
      </c>
      <c r="F8956" t="s">
        <v>32831</v>
      </c>
      <c r="G8956" t="s">
        <v>32839</v>
      </c>
      <c r="H8956" t="s">
        <v>32848</v>
      </c>
      <c r="I8956" t="s">
        <v>32870</v>
      </c>
      <c r="J8956" t="s">
        <v>38534</v>
      </c>
      <c r="K8956" t="s">
        <v>42916</v>
      </c>
      <c r="M8956" t="s">
        <v>45396</v>
      </c>
      <c r="N8956" t="s">
        <v>47424</v>
      </c>
      <c r="O8956" t="s">
        <v>47425</v>
      </c>
      <c r="P8956">
        <v>0</v>
      </c>
      <c r="Q8956">
        <v>0</v>
      </c>
      <c r="R8956" t="s">
        <v>47432</v>
      </c>
      <c r="S8956" t="s">
        <v>47597</v>
      </c>
      <c r="T8956" t="s">
        <v>49127</v>
      </c>
      <c r="U8956" t="s">
        <v>57070</v>
      </c>
      <c r="W8956" t="s">
        <v>45396</v>
      </c>
      <c r="X8956" t="s">
        <v>47433</v>
      </c>
    </row>
    <row r="8957" spans="1:24">
      <c r="A8957">
        <f>HYPERLINK("https://www.philgeps.gov.ph/GEPSNONPILOT/Tender/SplashBidNoticeAbstractUI.aspx?menuIndex=3&amp;refID=7154939&amp;Result=3","7154939")</f>
        <v>0</v>
      </c>
      <c r="B8957" t="s">
        <v>648</v>
      </c>
      <c r="C8957" t="s">
        <v>12329</v>
      </c>
      <c r="D8957" t="s">
        <v>19044</v>
      </c>
      <c r="E8957" t="s">
        <v>26853</v>
      </c>
      <c r="F8957" t="s">
        <v>32831</v>
      </c>
      <c r="G8957" t="s">
        <v>32839</v>
      </c>
      <c r="H8957" t="s">
        <v>32848</v>
      </c>
      <c r="I8957" t="s">
        <v>32918</v>
      </c>
      <c r="J8957" t="s">
        <v>34112</v>
      </c>
      <c r="K8957" t="s">
        <v>42729</v>
      </c>
      <c r="M8957" t="s">
        <v>44684</v>
      </c>
      <c r="N8957" t="s">
        <v>47424</v>
      </c>
      <c r="O8957" t="s">
        <v>47425</v>
      </c>
      <c r="P8957">
        <v>0</v>
      </c>
      <c r="Q8957">
        <v>4</v>
      </c>
      <c r="R8957" t="s">
        <v>47432</v>
      </c>
      <c r="S8957" t="s">
        <v>47597</v>
      </c>
      <c r="T8957" t="s">
        <v>49359</v>
      </c>
      <c r="U8957" t="s">
        <v>57071</v>
      </c>
      <c r="W8957" t="s">
        <v>44684</v>
      </c>
      <c r="X8957" t="s">
        <v>47433</v>
      </c>
    </row>
    <row r="8958" spans="1:24">
      <c r="A8958">
        <f>HYPERLINK("https://www.philgeps.gov.ph/GEPSNONPILOT/Tender/SplashBidNoticeAbstractUI.aspx?menuIndex=3&amp;refID=7154767&amp;Result=3","7154767")</f>
        <v>0</v>
      </c>
      <c r="B8958" t="s">
        <v>2709</v>
      </c>
      <c r="C8958" t="s">
        <v>12330</v>
      </c>
      <c r="D8958" t="s">
        <v>19018</v>
      </c>
      <c r="E8958" t="s">
        <v>26854</v>
      </c>
      <c r="F8958" t="s">
        <v>32831</v>
      </c>
      <c r="G8958" t="s">
        <v>32839</v>
      </c>
      <c r="H8958" t="s">
        <v>32848</v>
      </c>
      <c r="I8958" t="s">
        <v>7416</v>
      </c>
      <c r="J8958" t="s">
        <v>33072</v>
      </c>
      <c r="K8958" t="s">
        <v>42745</v>
      </c>
      <c r="M8958" t="s">
        <v>45935</v>
      </c>
      <c r="N8958" t="s">
        <v>47424</v>
      </c>
      <c r="O8958" t="s">
        <v>47425</v>
      </c>
      <c r="P8958">
        <v>0</v>
      </c>
      <c r="Q8958">
        <v>0</v>
      </c>
      <c r="R8958" t="s">
        <v>47432</v>
      </c>
      <c r="S8958" t="s">
        <v>47597</v>
      </c>
      <c r="T8958" t="s">
        <v>49211</v>
      </c>
      <c r="U8958" t="s">
        <v>57072</v>
      </c>
      <c r="W8958" t="s">
        <v>45935</v>
      </c>
      <c r="X8958" t="s">
        <v>47433</v>
      </c>
    </row>
    <row r="8959" spans="1:24">
      <c r="A8959">
        <f>HYPERLINK("https://www.philgeps.gov.ph/GEPSNONPILOT/Tender/SplashBidNoticeAbstractUI.aspx?menuIndex=3&amp;refID=7154936&amp;Result=3","7154936")</f>
        <v>0</v>
      </c>
      <c r="B8959" t="s">
        <v>1540</v>
      </c>
      <c r="C8959" t="s">
        <v>12331</v>
      </c>
      <c r="D8959" t="s">
        <v>19017</v>
      </c>
      <c r="E8959" t="s">
        <v>26855</v>
      </c>
      <c r="F8959" t="s">
        <v>32831</v>
      </c>
      <c r="G8959" t="s">
        <v>32838</v>
      </c>
      <c r="H8959" t="s">
        <v>32848</v>
      </c>
      <c r="I8959" t="s">
        <v>32867</v>
      </c>
      <c r="J8959" t="s">
        <v>32978</v>
      </c>
      <c r="K8959" t="s">
        <v>42747</v>
      </c>
      <c r="M8959" t="s">
        <v>46160</v>
      </c>
      <c r="N8959" t="s">
        <v>47424</v>
      </c>
      <c r="O8959" t="s">
        <v>47425</v>
      </c>
      <c r="Q8959">
        <v>11</v>
      </c>
      <c r="R8959" t="s">
        <v>47432</v>
      </c>
      <c r="S8959" t="s">
        <v>47625</v>
      </c>
      <c r="T8959" t="s">
        <v>49061</v>
      </c>
      <c r="U8959" t="s">
        <v>57073</v>
      </c>
      <c r="W8959" t="s">
        <v>46945</v>
      </c>
      <c r="X8959" t="s">
        <v>47433</v>
      </c>
    </row>
    <row r="8960" spans="1:24">
      <c r="A8960">
        <f>HYPERLINK("https://www.philgeps.gov.ph/GEPSNONPILOT/Tender/SplashBidNoticeAbstractUI.aspx?menuIndex=3&amp;refID=7154927&amp;Result=3","7154927")</f>
        <v>0</v>
      </c>
      <c r="B8960" t="s">
        <v>911</v>
      </c>
      <c r="C8960" t="s">
        <v>12332</v>
      </c>
      <c r="D8960" t="s">
        <v>19049</v>
      </c>
      <c r="E8960" t="s">
        <v>26856</v>
      </c>
      <c r="F8960" t="s">
        <v>32831</v>
      </c>
      <c r="G8960" t="s">
        <v>32838</v>
      </c>
      <c r="H8960" t="s">
        <v>32848</v>
      </c>
      <c r="I8960" t="s">
        <v>5379</v>
      </c>
      <c r="J8960" t="s">
        <v>38535</v>
      </c>
      <c r="K8960" t="s">
        <v>42747</v>
      </c>
      <c r="M8960" t="s">
        <v>43951</v>
      </c>
      <c r="N8960" t="s">
        <v>47424</v>
      </c>
      <c r="O8960" t="s">
        <v>47425</v>
      </c>
      <c r="P8960">
        <v>0</v>
      </c>
      <c r="Q8960">
        <v>0</v>
      </c>
      <c r="R8960" t="s">
        <v>47432</v>
      </c>
      <c r="S8960" t="s">
        <v>47597</v>
      </c>
      <c r="T8960" t="s">
        <v>49237</v>
      </c>
      <c r="U8960" t="s">
        <v>51540</v>
      </c>
      <c r="W8960" t="s">
        <v>43951</v>
      </c>
      <c r="X8960" t="s">
        <v>47433</v>
      </c>
    </row>
    <row r="8961" spans="1:24">
      <c r="A8961">
        <f>HYPERLINK("https://www.philgeps.gov.ph/GEPSNONPILOT/Tender/SplashBidNoticeAbstractUI.aspx?menuIndex=3&amp;refID=7154948&amp;Result=3","7154948")</f>
        <v>0</v>
      </c>
      <c r="B8961" t="s">
        <v>324</v>
      </c>
      <c r="C8961" t="s">
        <v>12333</v>
      </c>
      <c r="D8961" t="s">
        <v>19049</v>
      </c>
      <c r="E8961" t="s">
        <v>26857</v>
      </c>
      <c r="F8961" t="s">
        <v>32831</v>
      </c>
      <c r="G8961" t="s">
        <v>32839</v>
      </c>
      <c r="H8961" t="s">
        <v>32848</v>
      </c>
      <c r="I8961" t="s">
        <v>32859</v>
      </c>
      <c r="J8961" t="s">
        <v>38536</v>
      </c>
      <c r="K8961" t="s">
        <v>42747</v>
      </c>
      <c r="M8961" t="s">
        <v>43327</v>
      </c>
      <c r="N8961" t="s">
        <v>47424</v>
      </c>
      <c r="O8961" t="s">
        <v>47425</v>
      </c>
      <c r="P8961">
        <v>0</v>
      </c>
      <c r="Q8961">
        <v>3</v>
      </c>
      <c r="R8961" t="s">
        <v>47432</v>
      </c>
      <c r="S8961" t="s">
        <v>47597</v>
      </c>
      <c r="T8961" t="s">
        <v>49461</v>
      </c>
      <c r="U8961" t="s">
        <v>57074</v>
      </c>
      <c r="W8961" t="s">
        <v>43327</v>
      </c>
      <c r="X8961" t="s">
        <v>47433</v>
      </c>
    </row>
    <row r="8962" spans="1:24">
      <c r="A8962">
        <f>HYPERLINK("https://www.philgeps.gov.ph/GEPSNONPILOT/Tender/SplashBidNoticeAbstractUI.aspx?menuIndex=3&amp;refID=7154946&amp;Result=3","7154946")</f>
        <v>0</v>
      </c>
      <c r="B8962" t="s">
        <v>1045</v>
      </c>
      <c r="C8962" t="s">
        <v>12334</v>
      </c>
      <c r="D8962" t="s">
        <v>19040</v>
      </c>
      <c r="E8962" t="s">
        <v>26858</v>
      </c>
      <c r="F8962" t="s">
        <v>32831</v>
      </c>
      <c r="G8962" t="s">
        <v>32839</v>
      </c>
      <c r="H8962" t="s">
        <v>32849</v>
      </c>
      <c r="I8962" t="s">
        <v>7416</v>
      </c>
      <c r="J8962" t="s">
        <v>38537</v>
      </c>
      <c r="K8962" t="s">
        <v>42730</v>
      </c>
      <c r="M8962" t="s">
        <v>44101</v>
      </c>
      <c r="N8962" t="s">
        <v>47424</v>
      </c>
      <c r="O8962" t="s">
        <v>47425</v>
      </c>
      <c r="P8962">
        <v>0</v>
      </c>
      <c r="Q8962">
        <v>0</v>
      </c>
      <c r="R8962" t="s">
        <v>47432</v>
      </c>
      <c r="S8962" t="s">
        <v>47597</v>
      </c>
      <c r="T8962" t="s">
        <v>49206</v>
      </c>
      <c r="U8962" t="s">
        <v>57075</v>
      </c>
      <c r="V8962" t="s">
        <v>62871</v>
      </c>
      <c r="W8962" t="s">
        <v>44101</v>
      </c>
      <c r="X8962" t="s">
        <v>47433</v>
      </c>
    </row>
    <row r="8963" spans="1:24">
      <c r="A8963">
        <f>HYPERLINK("https://www.philgeps.gov.ph/GEPSNONPILOT/Tender/SplashBidNoticeAbstractUI.aspx?menuIndex=3&amp;refID=7154938&amp;Result=3","7154938")</f>
        <v>0</v>
      </c>
      <c r="B8963" t="s">
        <v>948</v>
      </c>
      <c r="C8963" t="s">
        <v>12335</v>
      </c>
      <c r="D8963" t="s">
        <v>19017</v>
      </c>
      <c r="E8963" t="s">
        <v>26844</v>
      </c>
      <c r="F8963" t="s">
        <v>32831</v>
      </c>
      <c r="G8963" t="s">
        <v>32838</v>
      </c>
      <c r="H8963" t="s">
        <v>32848</v>
      </c>
      <c r="I8963" t="s">
        <v>9577</v>
      </c>
      <c r="J8963" t="s">
        <v>33433</v>
      </c>
      <c r="K8963" t="s">
        <v>42731</v>
      </c>
      <c r="M8963" t="s">
        <v>43994</v>
      </c>
      <c r="N8963" t="s">
        <v>47424</v>
      </c>
      <c r="O8963" t="s">
        <v>47425</v>
      </c>
      <c r="P8963">
        <v>0</v>
      </c>
      <c r="Q8963">
        <v>0</v>
      </c>
      <c r="R8963" t="s">
        <v>47432</v>
      </c>
      <c r="S8963" t="s">
        <v>47597</v>
      </c>
      <c r="T8963" t="s">
        <v>49105</v>
      </c>
      <c r="U8963" t="s">
        <v>51473</v>
      </c>
      <c r="W8963" t="s">
        <v>43994</v>
      </c>
      <c r="X8963" t="s">
        <v>47433</v>
      </c>
    </row>
    <row r="8964" spans="1:24">
      <c r="A8964">
        <f>HYPERLINK("https://www.philgeps.gov.ph/GEPSNONPILOT/Tender/SplashBidNoticeAbstractUI.aspx?menuIndex=3&amp;refID=7154933&amp;Result=3","7154933")</f>
        <v>0</v>
      </c>
      <c r="B8964" t="s">
        <v>1186</v>
      </c>
      <c r="C8964" t="s">
        <v>6504</v>
      </c>
      <c r="D8964" t="s">
        <v>19088</v>
      </c>
      <c r="E8964" t="s">
        <v>26859</v>
      </c>
      <c r="F8964" t="s">
        <v>32831</v>
      </c>
      <c r="G8964" t="s">
        <v>32838</v>
      </c>
      <c r="H8964" t="s">
        <v>32850</v>
      </c>
      <c r="I8964" t="s">
        <v>4446</v>
      </c>
      <c r="J8964" t="s">
        <v>33087</v>
      </c>
      <c r="K8964" t="s">
        <v>42726</v>
      </c>
      <c r="M8964" t="s">
        <v>46161</v>
      </c>
      <c r="N8964" t="s">
        <v>47424</v>
      </c>
      <c r="O8964" t="s">
        <v>47425</v>
      </c>
      <c r="P8964">
        <v>0</v>
      </c>
      <c r="Q8964">
        <v>7</v>
      </c>
      <c r="R8964" t="s">
        <v>47432</v>
      </c>
      <c r="S8964" t="s">
        <v>47597</v>
      </c>
      <c r="T8964" t="s">
        <v>49163</v>
      </c>
      <c r="U8964" t="s">
        <v>51549</v>
      </c>
      <c r="W8964" t="s">
        <v>46161</v>
      </c>
      <c r="X8964" t="s">
        <v>47433</v>
      </c>
    </row>
    <row r="8965" spans="1:24">
      <c r="A8965">
        <f>HYPERLINK("https://www.philgeps.gov.ph/GEPSNONPILOT/Tender/SplashBidNoticeAbstractUI.aspx?menuIndex=3&amp;refID=7154915&amp;Result=3","7154915")</f>
        <v>0</v>
      </c>
      <c r="B8965" t="s">
        <v>394</v>
      </c>
      <c r="C8965" t="s">
        <v>12336</v>
      </c>
      <c r="D8965" t="s">
        <v>19074</v>
      </c>
      <c r="E8965" t="s">
        <v>26860</v>
      </c>
      <c r="F8965" t="s">
        <v>32831</v>
      </c>
      <c r="G8965" t="s">
        <v>32840</v>
      </c>
      <c r="H8965" t="s">
        <v>32848</v>
      </c>
      <c r="I8965" t="s">
        <v>32870</v>
      </c>
      <c r="J8965" t="s">
        <v>38538</v>
      </c>
      <c r="K8965" t="s">
        <v>42729</v>
      </c>
      <c r="M8965" t="s">
        <v>43399</v>
      </c>
      <c r="N8965" t="s">
        <v>47424</v>
      </c>
      <c r="O8965" t="s">
        <v>47425</v>
      </c>
      <c r="P8965">
        <v>0</v>
      </c>
      <c r="Q8965">
        <v>0</v>
      </c>
      <c r="R8965" t="s">
        <v>47432</v>
      </c>
      <c r="S8965" t="s">
        <v>47597</v>
      </c>
      <c r="T8965" t="s">
        <v>49141</v>
      </c>
      <c r="U8965" t="s">
        <v>57076</v>
      </c>
      <c r="W8965" t="s">
        <v>43399</v>
      </c>
      <c r="X8965" t="s">
        <v>47433</v>
      </c>
    </row>
    <row r="8966" spans="1:24">
      <c r="A8966">
        <f>HYPERLINK("https://www.philgeps.gov.ph/GEPSNONPILOT/Tender/SplashBidNoticeAbstractUI.aspx?menuIndex=3&amp;refID=7154913&amp;Result=3","7154913")</f>
        <v>0</v>
      </c>
      <c r="B8966" t="s">
        <v>1236</v>
      </c>
      <c r="C8966" t="s">
        <v>12337</v>
      </c>
      <c r="D8966" t="s">
        <v>19045</v>
      </c>
      <c r="E8966" t="s">
        <v>19351</v>
      </c>
      <c r="F8966" t="s">
        <v>32831</v>
      </c>
      <c r="G8966" t="s">
        <v>32839</v>
      </c>
      <c r="H8966" t="s">
        <v>32849</v>
      </c>
      <c r="I8966" t="s">
        <v>4177</v>
      </c>
      <c r="J8966" t="s">
        <v>38539</v>
      </c>
      <c r="K8966" t="s">
        <v>42747</v>
      </c>
      <c r="M8966" t="s">
        <v>44306</v>
      </c>
      <c r="N8966" t="s">
        <v>47424</v>
      </c>
      <c r="O8966" t="s">
        <v>47425</v>
      </c>
      <c r="P8966">
        <v>0</v>
      </c>
      <c r="Q8966">
        <v>0</v>
      </c>
      <c r="R8966" t="s">
        <v>47432</v>
      </c>
      <c r="S8966" t="s">
        <v>47597</v>
      </c>
      <c r="T8966" t="s">
        <v>49108</v>
      </c>
      <c r="U8966" t="s">
        <v>57077</v>
      </c>
      <c r="W8966" t="s">
        <v>44306</v>
      </c>
      <c r="X8966" t="s">
        <v>47433</v>
      </c>
    </row>
    <row r="8967" spans="1:24">
      <c r="A8967">
        <f>HYPERLINK("https://www.philgeps.gov.ph/GEPSNONPILOT/Tender/SplashBidNoticeAbstractUI.aspx?menuIndex=3&amp;refID=7154911&amp;Result=3","7154911")</f>
        <v>0</v>
      </c>
      <c r="B8967" t="s">
        <v>2911</v>
      </c>
      <c r="C8967" t="s">
        <v>12338</v>
      </c>
      <c r="D8967" t="s">
        <v>19026</v>
      </c>
      <c r="E8967" t="s">
        <v>20783</v>
      </c>
      <c r="F8967" t="s">
        <v>32831</v>
      </c>
      <c r="G8967" t="s">
        <v>32839</v>
      </c>
      <c r="H8967" t="s">
        <v>32848</v>
      </c>
      <c r="I8967" t="s">
        <v>32852</v>
      </c>
      <c r="J8967" t="s">
        <v>32980</v>
      </c>
      <c r="K8967" t="s">
        <v>42726</v>
      </c>
      <c r="M8967" t="s">
        <v>46162</v>
      </c>
      <c r="N8967" t="s">
        <v>47424</v>
      </c>
      <c r="O8967" t="s">
        <v>47425</v>
      </c>
      <c r="P8967">
        <v>0</v>
      </c>
      <c r="Q8967">
        <v>3</v>
      </c>
      <c r="R8967" t="s">
        <v>47432</v>
      </c>
      <c r="S8967" t="s">
        <v>47597</v>
      </c>
      <c r="T8967" t="s">
        <v>49141</v>
      </c>
      <c r="U8967" t="s">
        <v>57078</v>
      </c>
      <c r="W8967" t="s">
        <v>46162</v>
      </c>
      <c r="X8967" t="s">
        <v>47433</v>
      </c>
    </row>
    <row r="8968" spans="1:24">
      <c r="A8968">
        <f>HYPERLINK("https://www.philgeps.gov.ph/GEPSNONPILOT/Tender/SplashBidNoticeAbstractUI.aspx?menuIndex=3&amp;refID=7154926&amp;Result=3","7154926")</f>
        <v>0</v>
      </c>
      <c r="B8968" t="s">
        <v>2912</v>
      </c>
      <c r="C8968" t="s">
        <v>12339</v>
      </c>
      <c r="D8968" t="s">
        <v>19060</v>
      </c>
      <c r="E8968" t="s">
        <v>26861</v>
      </c>
      <c r="F8968" t="s">
        <v>32831</v>
      </c>
      <c r="G8968" t="s">
        <v>32839</v>
      </c>
      <c r="H8968" t="s">
        <v>32848</v>
      </c>
      <c r="I8968" t="s">
        <v>7416</v>
      </c>
      <c r="J8968" t="s">
        <v>38540</v>
      </c>
      <c r="K8968" t="s">
        <v>42730</v>
      </c>
      <c r="M8968" t="s">
        <v>46163</v>
      </c>
      <c r="N8968" t="s">
        <v>47424</v>
      </c>
      <c r="O8968" t="s">
        <v>47425</v>
      </c>
      <c r="P8968">
        <v>0</v>
      </c>
      <c r="Q8968">
        <v>0</v>
      </c>
      <c r="R8968" t="s">
        <v>47432</v>
      </c>
      <c r="S8968" t="s">
        <v>47597</v>
      </c>
      <c r="T8968" t="s">
        <v>49127</v>
      </c>
      <c r="U8968" t="s">
        <v>57079</v>
      </c>
      <c r="W8968" t="s">
        <v>46163</v>
      </c>
      <c r="X8968" t="s">
        <v>47433</v>
      </c>
    </row>
    <row r="8969" spans="1:24">
      <c r="A8969">
        <f>HYPERLINK("https://www.philgeps.gov.ph/GEPSNONPILOT/Tender/SplashBidNoticeAbstractUI.aspx?menuIndex=3&amp;refID=7154872&amp;Result=3","7154872")</f>
        <v>0</v>
      </c>
      <c r="B8969" t="s">
        <v>282</v>
      </c>
      <c r="C8969" t="s">
        <v>12340</v>
      </c>
      <c r="D8969" t="s">
        <v>19052</v>
      </c>
      <c r="E8969" t="s">
        <v>26862</v>
      </c>
      <c r="F8969" t="s">
        <v>32831</v>
      </c>
      <c r="G8969" t="s">
        <v>32839</v>
      </c>
      <c r="H8969" t="s">
        <v>32849</v>
      </c>
      <c r="I8969" t="s">
        <v>4177</v>
      </c>
      <c r="J8969" t="s">
        <v>38541</v>
      </c>
      <c r="K8969" t="s">
        <v>42917</v>
      </c>
      <c r="M8969" t="s">
        <v>43281</v>
      </c>
      <c r="N8969" t="s">
        <v>47424</v>
      </c>
      <c r="O8969" t="s">
        <v>47425</v>
      </c>
      <c r="P8969">
        <v>0</v>
      </c>
      <c r="Q8969">
        <v>1</v>
      </c>
      <c r="R8969" t="s">
        <v>47432</v>
      </c>
      <c r="S8969" t="s">
        <v>47597</v>
      </c>
      <c r="T8969" t="s">
        <v>49181</v>
      </c>
      <c r="U8969" t="s">
        <v>57080</v>
      </c>
      <c r="W8969" t="s">
        <v>43281</v>
      </c>
      <c r="X8969" t="s">
        <v>47433</v>
      </c>
    </row>
    <row r="8970" spans="1:24">
      <c r="A8970">
        <f>HYPERLINK("https://www.philgeps.gov.ph/GEPSNONPILOT/Tender/SplashBidNoticeAbstractUI.aspx?menuIndex=3&amp;refID=7154871&amp;Result=3","7154871")</f>
        <v>0</v>
      </c>
      <c r="B8970" t="s">
        <v>1927</v>
      </c>
      <c r="C8970" t="s">
        <v>12341</v>
      </c>
      <c r="D8970" t="s">
        <v>19018</v>
      </c>
      <c r="E8970" t="s">
        <v>26863</v>
      </c>
      <c r="F8970" t="s">
        <v>32831</v>
      </c>
      <c r="G8970" t="s">
        <v>32839</v>
      </c>
      <c r="H8970" t="s">
        <v>32849</v>
      </c>
      <c r="I8970" t="s">
        <v>4177</v>
      </c>
      <c r="J8970" t="s">
        <v>33257</v>
      </c>
      <c r="K8970" t="s">
        <v>42732</v>
      </c>
      <c r="L8970" t="s">
        <v>1927</v>
      </c>
      <c r="M8970" t="s">
        <v>46156</v>
      </c>
      <c r="N8970" t="s">
        <v>47424</v>
      </c>
      <c r="O8970" t="s">
        <v>47425</v>
      </c>
      <c r="P8970">
        <v>0</v>
      </c>
      <c r="Q8970">
        <v>0</v>
      </c>
      <c r="R8970" t="s">
        <v>47432</v>
      </c>
      <c r="S8970" t="s">
        <v>47597</v>
      </c>
      <c r="T8970" t="s">
        <v>49236</v>
      </c>
      <c r="U8970" t="s">
        <v>57056</v>
      </c>
      <c r="V8970" t="s">
        <v>63616</v>
      </c>
      <c r="W8970" t="s">
        <v>46156</v>
      </c>
      <c r="X8970" t="s">
        <v>47433</v>
      </c>
    </row>
    <row r="8971" spans="1:24">
      <c r="A8971">
        <f>HYPERLINK("https://www.philgeps.gov.ph/GEPSNONPILOT/Tender/SplashBidNoticeAbstractUI.aspx?menuIndex=3&amp;refID=7154916&amp;Result=3","7154916")</f>
        <v>0</v>
      </c>
      <c r="B8971" t="s">
        <v>282</v>
      </c>
      <c r="C8971" t="s">
        <v>12342</v>
      </c>
      <c r="D8971" t="s">
        <v>19052</v>
      </c>
      <c r="E8971" t="s">
        <v>26864</v>
      </c>
      <c r="F8971" t="s">
        <v>32831</v>
      </c>
      <c r="G8971" t="s">
        <v>32839</v>
      </c>
      <c r="H8971" t="s">
        <v>32849</v>
      </c>
      <c r="I8971" t="s">
        <v>4177</v>
      </c>
      <c r="J8971" t="s">
        <v>38542</v>
      </c>
      <c r="K8971" t="s">
        <v>42770</v>
      </c>
      <c r="M8971" t="s">
        <v>43281</v>
      </c>
      <c r="N8971" t="s">
        <v>47424</v>
      </c>
      <c r="O8971" t="s">
        <v>47425</v>
      </c>
      <c r="P8971">
        <v>0</v>
      </c>
      <c r="Q8971">
        <v>0</v>
      </c>
      <c r="R8971" t="s">
        <v>47432</v>
      </c>
      <c r="S8971" t="s">
        <v>47597</v>
      </c>
      <c r="T8971" t="s">
        <v>49181</v>
      </c>
      <c r="U8971" t="s">
        <v>57081</v>
      </c>
      <c r="W8971" t="s">
        <v>43281</v>
      </c>
      <c r="X8971" t="s">
        <v>47433</v>
      </c>
    </row>
    <row r="8972" spans="1:24">
      <c r="A8972">
        <f>HYPERLINK("https://www.philgeps.gov.ph/GEPSNONPILOT/Tender/SplashBidNoticeAbstractUI.aspx?menuIndex=3&amp;refID=7154919&amp;Result=3","7154919")</f>
        <v>0</v>
      </c>
      <c r="B8972" t="s">
        <v>2913</v>
      </c>
      <c r="C8972" t="s">
        <v>5134</v>
      </c>
      <c r="D8972" t="s">
        <v>19022</v>
      </c>
      <c r="E8972" t="s">
        <v>22714</v>
      </c>
      <c r="F8972" t="s">
        <v>32831</v>
      </c>
      <c r="G8972" t="s">
        <v>32838</v>
      </c>
      <c r="H8972" t="s">
        <v>32848</v>
      </c>
      <c r="I8972" t="s">
        <v>32864</v>
      </c>
      <c r="J8972" t="s">
        <v>38543</v>
      </c>
      <c r="K8972" t="s">
        <v>42758</v>
      </c>
      <c r="M8972" t="s">
        <v>46164</v>
      </c>
      <c r="N8972" t="s">
        <v>47424</v>
      </c>
      <c r="O8972" t="s">
        <v>47425</v>
      </c>
      <c r="P8972">
        <v>0</v>
      </c>
      <c r="Q8972">
        <v>6</v>
      </c>
      <c r="R8972" t="s">
        <v>47432</v>
      </c>
      <c r="S8972" t="s">
        <v>47597</v>
      </c>
      <c r="T8972" t="s">
        <v>49237</v>
      </c>
      <c r="U8972" t="s">
        <v>57082</v>
      </c>
      <c r="V8972" t="s">
        <v>63617</v>
      </c>
      <c r="W8972" t="s">
        <v>46164</v>
      </c>
      <c r="X8972" t="s">
        <v>47433</v>
      </c>
    </row>
    <row r="8973" spans="1:24">
      <c r="A8973">
        <f>HYPERLINK("https://www.philgeps.gov.ph/GEPSNONPILOT/Tender/SplashBidNoticeAbstractUI.aspx?menuIndex=3&amp;refID=7154981&amp;Result=3","7154981")</f>
        <v>0</v>
      </c>
      <c r="B8973" t="s">
        <v>2914</v>
      </c>
      <c r="C8973" t="s">
        <v>12343</v>
      </c>
      <c r="D8973" t="s">
        <v>19026</v>
      </c>
      <c r="E8973" t="s">
        <v>26865</v>
      </c>
      <c r="F8973" t="s">
        <v>32831</v>
      </c>
      <c r="G8973" t="s">
        <v>32839</v>
      </c>
      <c r="H8973" t="s">
        <v>32848</v>
      </c>
      <c r="I8973" t="s">
        <v>32851</v>
      </c>
      <c r="J8973" t="s">
        <v>32980</v>
      </c>
      <c r="K8973" t="s">
        <v>42726</v>
      </c>
      <c r="M8973" t="s">
        <v>46165</v>
      </c>
      <c r="N8973" t="s">
        <v>47424</v>
      </c>
      <c r="O8973" t="s">
        <v>47425</v>
      </c>
      <c r="P8973">
        <v>0</v>
      </c>
      <c r="Q8973">
        <v>5</v>
      </c>
      <c r="R8973" t="s">
        <v>47432</v>
      </c>
      <c r="S8973" t="s">
        <v>47597</v>
      </c>
      <c r="T8973" t="s">
        <v>49114</v>
      </c>
      <c r="U8973" t="s">
        <v>57083</v>
      </c>
      <c r="W8973" t="s">
        <v>46165</v>
      </c>
      <c r="X8973" t="s">
        <v>47433</v>
      </c>
    </row>
    <row r="8974" spans="1:24">
      <c r="A8974">
        <f>HYPERLINK("https://www.philgeps.gov.ph/GEPSNONPILOT/Tender/SplashBidNoticeAbstractUI.aspx?menuIndex=3&amp;refID=7154979&amp;Result=3","7154979")</f>
        <v>0</v>
      </c>
      <c r="B8974" t="s">
        <v>1915</v>
      </c>
      <c r="C8974" t="s">
        <v>12344</v>
      </c>
      <c r="D8974" t="s">
        <v>19030</v>
      </c>
      <c r="E8974" t="s">
        <v>26866</v>
      </c>
      <c r="F8974" t="s">
        <v>32831</v>
      </c>
      <c r="G8974" t="s">
        <v>32839</v>
      </c>
      <c r="H8974" t="s">
        <v>32849</v>
      </c>
      <c r="I8974" t="s">
        <v>4177</v>
      </c>
      <c r="J8974" t="s">
        <v>38544</v>
      </c>
      <c r="K8974" t="s">
        <v>42763</v>
      </c>
      <c r="M8974" t="s">
        <v>45067</v>
      </c>
      <c r="N8974" t="s">
        <v>47424</v>
      </c>
      <c r="O8974" t="s">
        <v>47425</v>
      </c>
      <c r="P8974">
        <v>0</v>
      </c>
      <c r="Q8974">
        <v>9</v>
      </c>
      <c r="R8974" t="s">
        <v>47432</v>
      </c>
      <c r="S8974" t="s">
        <v>47597</v>
      </c>
      <c r="T8974" t="s">
        <v>49236</v>
      </c>
      <c r="U8974" t="s">
        <v>57084</v>
      </c>
      <c r="W8974" t="s">
        <v>64492</v>
      </c>
      <c r="X8974" t="s">
        <v>47433</v>
      </c>
    </row>
    <row r="8975" spans="1:24">
      <c r="A8975">
        <f>HYPERLINK("https://www.philgeps.gov.ph/GEPSNONPILOT/Tender/SplashBidNoticeAbstractUI.aspx?menuIndex=3&amp;refID=7154774&amp;Result=3","7154774")</f>
        <v>0</v>
      </c>
      <c r="B8975" t="s">
        <v>1236</v>
      </c>
      <c r="C8975" t="s">
        <v>12345</v>
      </c>
      <c r="D8975" t="s">
        <v>19045</v>
      </c>
      <c r="E8975" t="s">
        <v>19645</v>
      </c>
      <c r="F8975" t="s">
        <v>32831</v>
      </c>
      <c r="G8975" t="s">
        <v>32839</v>
      </c>
      <c r="H8975" t="s">
        <v>32848</v>
      </c>
      <c r="I8975" t="s">
        <v>8577</v>
      </c>
      <c r="J8975" t="s">
        <v>38545</v>
      </c>
      <c r="K8975" t="s">
        <v>42730</v>
      </c>
      <c r="M8975" t="s">
        <v>44306</v>
      </c>
      <c r="N8975" t="s">
        <v>47424</v>
      </c>
      <c r="O8975" t="s">
        <v>47425</v>
      </c>
      <c r="P8975">
        <v>0</v>
      </c>
      <c r="Q8975">
        <v>2</v>
      </c>
      <c r="R8975" t="s">
        <v>47432</v>
      </c>
      <c r="S8975" t="s">
        <v>47597</v>
      </c>
      <c r="T8975" t="s">
        <v>49112</v>
      </c>
      <c r="U8975" t="s">
        <v>57085</v>
      </c>
      <c r="W8975" t="s">
        <v>44306</v>
      </c>
      <c r="X8975" t="s">
        <v>47433</v>
      </c>
    </row>
    <row r="8976" spans="1:24">
      <c r="A8976">
        <f>HYPERLINK("https://www.philgeps.gov.ph/GEPSNONPILOT/Tender/SplashBidNoticeAbstractUI.aspx?menuIndex=3&amp;refID=7154978&amp;Result=3","7154978")</f>
        <v>0</v>
      </c>
      <c r="B8976" t="s">
        <v>1915</v>
      </c>
      <c r="C8976" t="s">
        <v>12346</v>
      </c>
      <c r="D8976" t="s">
        <v>19030</v>
      </c>
      <c r="E8976" t="s">
        <v>26867</v>
      </c>
      <c r="F8976" t="s">
        <v>32831</v>
      </c>
      <c r="G8976" t="s">
        <v>32839</v>
      </c>
      <c r="H8976" t="s">
        <v>32849</v>
      </c>
      <c r="I8976" t="s">
        <v>4177</v>
      </c>
      <c r="J8976" t="s">
        <v>38544</v>
      </c>
      <c r="K8976" t="s">
        <v>42770</v>
      </c>
      <c r="M8976" t="s">
        <v>45067</v>
      </c>
      <c r="N8976" t="s">
        <v>47424</v>
      </c>
      <c r="O8976" t="s">
        <v>47425</v>
      </c>
      <c r="P8976">
        <v>0</v>
      </c>
      <c r="Q8976">
        <v>9</v>
      </c>
      <c r="R8976" t="s">
        <v>47432</v>
      </c>
      <c r="S8976" t="s">
        <v>47597</v>
      </c>
      <c r="T8976" t="s">
        <v>49236</v>
      </c>
      <c r="U8976" t="s">
        <v>57084</v>
      </c>
      <c r="W8976" t="s">
        <v>64492</v>
      </c>
      <c r="X8976" t="s">
        <v>47433</v>
      </c>
    </row>
    <row r="8977" spans="1:24">
      <c r="A8977">
        <f>HYPERLINK("https://www.philgeps.gov.ph/GEPSNONPILOT/Tender/SplashBidNoticeAbstractUI.aspx?menuIndex=3&amp;refID=7154975&amp;Result=3","7154975")</f>
        <v>0</v>
      </c>
      <c r="B8977" t="s">
        <v>1915</v>
      </c>
      <c r="C8977" t="s">
        <v>12347</v>
      </c>
      <c r="D8977" t="s">
        <v>19030</v>
      </c>
      <c r="E8977" t="s">
        <v>26868</v>
      </c>
      <c r="F8977" t="s">
        <v>32831</v>
      </c>
      <c r="G8977" t="s">
        <v>32839</v>
      </c>
      <c r="H8977" t="s">
        <v>32849</v>
      </c>
      <c r="I8977" t="s">
        <v>4177</v>
      </c>
      <c r="J8977" t="s">
        <v>37878</v>
      </c>
      <c r="K8977" t="s">
        <v>42747</v>
      </c>
      <c r="M8977" t="s">
        <v>45067</v>
      </c>
      <c r="N8977" t="s">
        <v>47424</v>
      </c>
      <c r="O8977" t="s">
        <v>47425</v>
      </c>
      <c r="P8977">
        <v>0</v>
      </c>
      <c r="Q8977">
        <v>6</v>
      </c>
      <c r="R8977" t="s">
        <v>47432</v>
      </c>
      <c r="S8977" t="s">
        <v>47597</v>
      </c>
      <c r="T8977" t="s">
        <v>49236</v>
      </c>
      <c r="U8977" t="s">
        <v>57084</v>
      </c>
      <c r="W8977" t="s">
        <v>64492</v>
      </c>
      <c r="X8977" t="s">
        <v>47433</v>
      </c>
    </row>
    <row r="8978" spans="1:24">
      <c r="A8978">
        <f>HYPERLINK("https://www.philgeps.gov.ph/GEPSNONPILOT/Tender/SplashBidNoticeAbstractUI.aspx?menuIndex=3&amp;refID=7154972&amp;Result=3","7154972")</f>
        <v>0</v>
      </c>
      <c r="B8978" t="s">
        <v>1011</v>
      </c>
      <c r="C8978" t="s">
        <v>12348</v>
      </c>
      <c r="D8978" t="s">
        <v>19017</v>
      </c>
      <c r="E8978" t="s">
        <v>21207</v>
      </c>
      <c r="F8978" t="s">
        <v>32831</v>
      </c>
      <c r="G8978" t="s">
        <v>32839</v>
      </c>
      <c r="H8978" t="s">
        <v>14069</v>
      </c>
      <c r="I8978" t="s">
        <v>14069</v>
      </c>
      <c r="J8978" t="s">
        <v>33066</v>
      </c>
      <c r="K8978" t="s">
        <v>42763</v>
      </c>
      <c r="M8978" t="s">
        <v>44060</v>
      </c>
      <c r="N8978" t="s">
        <v>47424</v>
      </c>
      <c r="O8978" t="s">
        <v>47425</v>
      </c>
      <c r="P8978">
        <v>0</v>
      </c>
      <c r="Q8978">
        <v>7</v>
      </c>
      <c r="R8978" t="s">
        <v>47432</v>
      </c>
      <c r="S8978" t="s">
        <v>47597</v>
      </c>
      <c r="T8978" t="s">
        <v>49071</v>
      </c>
      <c r="U8978" t="s">
        <v>57086</v>
      </c>
      <c r="W8978" t="s">
        <v>44060</v>
      </c>
      <c r="X8978" t="s">
        <v>47433</v>
      </c>
    </row>
    <row r="8979" spans="1:24">
      <c r="A8979">
        <f>HYPERLINK("https://www.philgeps.gov.ph/GEPSNONPILOT/Tender/SplashBidNoticeAbstractUI.aspx?menuIndex=3&amp;refID=7154950&amp;Result=3","7154950")</f>
        <v>0</v>
      </c>
      <c r="B8979" t="s">
        <v>2915</v>
      </c>
      <c r="C8979" t="s">
        <v>11639</v>
      </c>
      <c r="D8979" t="s">
        <v>19030</v>
      </c>
      <c r="E8979" t="s">
        <v>19203</v>
      </c>
      <c r="F8979" t="s">
        <v>32831</v>
      </c>
      <c r="G8979" t="s">
        <v>32838</v>
      </c>
      <c r="H8979" t="s">
        <v>32848</v>
      </c>
      <c r="I8979" t="s">
        <v>32863</v>
      </c>
      <c r="J8979" t="s">
        <v>33007</v>
      </c>
      <c r="K8979" t="s">
        <v>42886</v>
      </c>
      <c r="M8979" t="s">
        <v>46166</v>
      </c>
      <c r="N8979" t="s">
        <v>47424</v>
      </c>
      <c r="O8979" t="s">
        <v>47425</v>
      </c>
      <c r="P8979">
        <v>0</v>
      </c>
      <c r="Q8979">
        <v>0</v>
      </c>
      <c r="R8979" t="s">
        <v>47432</v>
      </c>
      <c r="S8979" t="s">
        <v>47597</v>
      </c>
      <c r="T8979" t="s">
        <v>49079</v>
      </c>
      <c r="U8979" t="s">
        <v>57087</v>
      </c>
      <c r="W8979" t="s">
        <v>46166</v>
      </c>
      <c r="X8979" t="s">
        <v>47433</v>
      </c>
    </row>
    <row r="8980" spans="1:24">
      <c r="A8980">
        <f>HYPERLINK("https://www.philgeps.gov.ph/GEPSNONPILOT/Tender/SplashBidNoticeAbstractUI.aspx?menuIndex=3&amp;refID=7154971&amp;Result=3","7154971")</f>
        <v>0</v>
      </c>
      <c r="B8980" t="s">
        <v>1045</v>
      </c>
      <c r="C8980" t="s">
        <v>12349</v>
      </c>
      <c r="D8980" t="s">
        <v>19040</v>
      </c>
      <c r="E8980" t="s">
        <v>26869</v>
      </c>
      <c r="F8980" t="s">
        <v>32831</v>
      </c>
      <c r="G8980" t="s">
        <v>32839</v>
      </c>
      <c r="H8980" t="s">
        <v>32848</v>
      </c>
      <c r="I8980" t="s">
        <v>32892</v>
      </c>
      <c r="J8980" t="s">
        <v>33044</v>
      </c>
      <c r="K8980" t="s">
        <v>42745</v>
      </c>
      <c r="M8980" t="s">
        <v>44101</v>
      </c>
      <c r="N8980" t="s">
        <v>47424</v>
      </c>
      <c r="O8980" t="s">
        <v>47425</v>
      </c>
      <c r="P8980">
        <v>0</v>
      </c>
      <c r="Q8980">
        <v>3</v>
      </c>
      <c r="R8980" t="s">
        <v>47432</v>
      </c>
      <c r="S8980" t="s">
        <v>47597</v>
      </c>
      <c r="T8980" t="s">
        <v>49206</v>
      </c>
      <c r="U8980" t="s">
        <v>57088</v>
      </c>
      <c r="V8980" t="s">
        <v>62871</v>
      </c>
      <c r="W8980" t="s">
        <v>44101</v>
      </c>
      <c r="X8980" t="s">
        <v>47433</v>
      </c>
    </row>
    <row r="8981" spans="1:24">
      <c r="A8981">
        <f>HYPERLINK("https://www.philgeps.gov.ph/GEPSNONPILOT/Tender/SplashBidNoticeAbstractUI.aspx?menuIndex=3&amp;refID=7154859&amp;Result=3","7154859")</f>
        <v>0</v>
      </c>
      <c r="B8981" t="s">
        <v>2916</v>
      </c>
      <c r="C8981" t="s">
        <v>12350</v>
      </c>
      <c r="D8981" t="s">
        <v>19103</v>
      </c>
      <c r="E8981" t="s">
        <v>26870</v>
      </c>
      <c r="F8981" t="s">
        <v>32831</v>
      </c>
      <c r="G8981" t="s">
        <v>32839</v>
      </c>
      <c r="H8981" t="s">
        <v>32849</v>
      </c>
      <c r="I8981" t="s">
        <v>4177</v>
      </c>
      <c r="J8981" t="s">
        <v>38546</v>
      </c>
      <c r="K8981" t="s">
        <v>42851</v>
      </c>
      <c r="M8981" t="s">
        <v>46167</v>
      </c>
      <c r="N8981" t="s">
        <v>47424</v>
      </c>
      <c r="O8981" t="s">
        <v>47425</v>
      </c>
      <c r="P8981">
        <v>0</v>
      </c>
      <c r="Q8981">
        <v>2</v>
      </c>
      <c r="R8981" t="s">
        <v>47432</v>
      </c>
      <c r="S8981" t="s">
        <v>47597</v>
      </c>
      <c r="T8981" t="s">
        <v>49214</v>
      </c>
      <c r="U8981" t="s">
        <v>57089</v>
      </c>
      <c r="V8981" t="s">
        <v>63618</v>
      </c>
      <c r="W8981" t="s">
        <v>46167</v>
      </c>
      <c r="X8981" t="s">
        <v>47433</v>
      </c>
    </row>
    <row r="8982" spans="1:24">
      <c r="A8982">
        <f>HYPERLINK("https://www.philgeps.gov.ph/GEPSNONPILOT/Tender/SplashBidNoticeAbstractUI.aspx?menuIndex=3&amp;refID=7154966&amp;Result=3","7154966")</f>
        <v>0</v>
      </c>
      <c r="B8982" t="s">
        <v>1045</v>
      </c>
      <c r="C8982" t="s">
        <v>12351</v>
      </c>
      <c r="D8982" t="s">
        <v>19040</v>
      </c>
      <c r="E8982" t="s">
        <v>26871</v>
      </c>
      <c r="F8982" t="s">
        <v>32831</v>
      </c>
      <c r="G8982" t="s">
        <v>32839</v>
      </c>
      <c r="H8982" t="s">
        <v>32848</v>
      </c>
      <c r="I8982" t="s">
        <v>32958</v>
      </c>
      <c r="J8982" t="s">
        <v>33348</v>
      </c>
      <c r="K8982" t="s">
        <v>42745</v>
      </c>
      <c r="M8982" t="s">
        <v>44101</v>
      </c>
      <c r="N8982" t="s">
        <v>47424</v>
      </c>
      <c r="O8982" t="s">
        <v>47425</v>
      </c>
      <c r="P8982">
        <v>0</v>
      </c>
      <c r="Q8982">
        <v>1</v>
      </c>
      <c r="R8982" t="s">
        <v>47432</v>
      </c>
      <c r="S8982" t="s">
        <v>47597</v>
      </c>
      <c r="T8982" t="s">
        <v>49206</v>
      </c>
      <c r="U8982" t="s">
        <v>57090</v>
      </c>
      <c r="V8982" t="s">
        <v>62871</v>
      </c>
      <c r="W8982" t="s">
        <v>44101</v>
      </c>
      <c r="X8982" t="s">
        <v>47433</v>
      </c>
    </row>
    <row r="8983" spans="1:24">
      <c r="A8983">
        <f>HYPERLINK("https://www.philgeps.gov.ph/GEPSNONPILOT/Tender/SplashBidNoticeAbstractUI.aspx?menuIndex=3&amp;refID=7155030&amp;Result=3","7155030")</f>
        <v>0</v>
      </c>
      <c r="B8983" t="s">
        <v>338</v>
      </c>
      <c r="C8983" t="s">
        <v>12352</v>
      </c>
      <c r="D8983" t="s">
        <v>19019</v>
      </c>
      <c r="E8983" t="s">
        <v>26872</v>
      </c>
      <c r="F8983" t="s">
        <v>32833</v>
      </c>
      <c r="G8983" t="s">
        <v>32838</v>
      </c>
      <c r="H8983" t="s">
        <v>32848</v>
      </c>
      <c r="I8983" t="s">
        <v>9577</v>
      </c>
      <c r="J8983" t="s">
        <v>33771</v>
      </c>
      <c r="K8983" t="s">
        <v>42760</v>
      </c>
      <c r="M8983" t="s">
        <v>44099</v>
      </c>
      <c r="N8983" t="s">
        <v>47424</v>
      </c>
      <c r="O8983" t="s">
        <v>47425</v>
      </c>
      <c r="P8983">
        <v>0</v>
      </c>
      <c r="Q8983">
        <v>6</v>
      </c>
      <c r="R8983" t="s">
        <v>47432</v>
      </c>
      <c r="S8983" t="s">
        <v>47597</v>
      </c>
      <c r="T8983" t="s">
        <v>49141</v>
      </c>
      <c r="U8983" t="s">
        <v>57091</v>
      </c>
      <c r="V8983" t="s">
        <v>50084</v>
      </c>
      <c r="W8983" t="s">
        <v>44099</v>
      </c>
      <c r="X8983" t="s">
        <v>47433</v>
      </c>
    </row>
    <row r="8984" spans="1:24">
      <c r="A8984">
        <f>HYPERLINK("https://www.philgeps.gov.ph/GEPSNONPILOT/Tender/SplashBidNoticeAbstractUI.aspx?menuIndex=3&amp;refID=7154983&amp;Result=3","7154983")</f>
        <v>0</v>
      </c>
      <c r="B8984" t="s">
        <v>1915</v>
      </c>
      <c r="C8984" t="s">
        <v>12353</v>
      </c>
      <c r="D8984" t="s">
        <v>19030</v>
      </c>
      <c r="E8984" t="s">
        <v>26873</v>
      </c>
      <c r="F8984" t="s">
        <v>32831</v>
      </c>
      <c r="G8984" t="s">
        <v>32839</v>
      </c>
      <c r="H8984" t="s">
        <v>32849</v>
      </c>
      <c r="I8984" t="s">
        <v>4177</v>
      </c>
      <c r="J8984" t="s">
        <v>38547</v>
      </c>
      <c r="K8984" t="s">
        <v>42770</v>
      </c>
      <c r="M8984" t="s">
        <v>45067</v>
      </c>
      <c r="N8984" t="s">
        <v>47424</v>
      </c>
      <c r="O8984" t="s">
        <v>47425</v>
      </c>
      <c r="P8984">
        <v>0</v>
      </c>
      <c r="Q8984">
        <v>10</v>
      </c>
      <c r="R8984" t="s">
        <v>47432</v>
      </c>
      <c r="S8984" t="s">
        <v>47597</v>
      </c>
      <c r="T8984" t="s">
        <v>49236</v>
      </c>
      <c r="U8984" t="s">
        <v>57084</v>
      </c>
      <c r="W8984" t="s">
        <v>64492</v>
      </c>
      <c r="X8984" t="s">
        <v>47433</v>
      </c>
    </row>
    <row r="8985" spans="1:24">
      <c r="A8985">
        <f>HYPERLINK("https://www.philgeps.gov.ph/GEPSNONPILOT/Tender/SplashBidNoticeAbstractUI.aspx?menuIndex=3&amp;refID=7155024&amp;Result=3","7155024")</f>
        <v>0</v>
      </c>
      <c r="B8985" t="s">
        <v>1990</v>
      </c>
      <c r="C8985" t="s">
        <v>12354</v>
      </c>
      <c r="D8985" t="s">
        <v>19075</v>
      </c>
      <c r="E8985" t="s">
        <v>26874</v>
      </c>
      <c r="F8985" t="s">
        <v>32831</v>
      </c>
      <c r="G8985" t="s">
        <v>32839</v>
      </c>
      <c r="H8985" t="s">
        <v>32849</v>
      </c>
      <c r="I8985" t="s">
        <v>4177</v>
      </c>
      <c r="J8985" t="s">
        <v>38548</v>
      </c>
      <c r="K8985" t="s">
        <v>42829</v>
      </c>
      <c r="M8985" t="s">
        <v>46168</v>
      </c>
      <c r="N8985" t="s">
        <v>47424</v>
      </c>
      <c r="O8985" t="s">
        <v>47425</v>
      </c>
      <c r="Q8985">
        <v>2</v>
      </c>
      <c r="R8985" t="s">
        <v>47432</v>
      </c>
      <c r="S8985" t="s">
        <v>47626</v>
      </c>
      <c r="T8985" t="s">
        <v>49236</v>
      </c>
      <c r="U8985" t="s">
        <v>57092</v>
      </c>
      <c r="W8985" t="s">
        <v>46168</v>
      </c>
      <c r="X8985" t="s">
        <v>47433</v>
      </c>
    </row>
    <row r="8986" spans="1:24">
      <c r="A8986">
        <f>HYPERLINK("https://www.philgeps.gov.ph/GEPSNONPILOT/Tender/SplashBidNoticeAbstractUI.aspx?menuIndex=3&amp;refID=7154866&amp;Result=3","7154866")</f>
        <v>0</v>
      </c>
      <c r="B8986" t="s">
        <v>1927</v>
      </c>
      <c r="C8986" t="s">
        <v>12355</v>
      </c>
      <c r="D8986" t="s">
        <v>19018</v>
      </c>
      <c r="E8986" t="s">
        <v>26875</v>
      </c>
      <c r="F8986" t="s">
        <v>32831</v>
      </c>
      <c r="G8986" t="s">
        <v>32839</v>
      </c>
      <c r="H8986" t="s">
        <v>32849</v>
      </c>
      <c r="I8986" t="s">
        <v>4177</v>
      </c>
      <c r="J8986" t="s">
        <v>33083</v>
      </c>
      <c r="K8986" t="s">
        <v>42732</v>
      </c>
      <c r="L8986" t="s">
        <v>1927</v>
      </c>
      <c r="M8986" t="s">
        <v>46156</v>
      </c>
      <c r="N8986" t="s">
        <v>47424</v>
      </c>
      <c r="O8986" t="s">
        <v>47425</v>
      </c>
      <c r="P8986">
        <v>0</v>
      </c>
      <c r="Q8986">
        <v>0</v>
      </c>
      <c r="R8986" t="s">
        <v>47432</v>
      </c>
      <c r="S8986" t="s">
        <v>47597</v>
      </c>
      <c r="T8986" t="s">
        <v>49236</v>
      </c>
      <c r="U8986" t="s">
        <v>57056</v>
      </c>
      <c r="V8986" t="s">
        <v>63616</v>
      </c>
      <c r="W8986" t="s">
        <v>46156</v>
      </c>
      <c r="X8986" t="s">
        <v>47433</v>
      </c>
    </row>
    <row r="8987" spans="1:24">
      <c r="A8987">
        <f>HYPERLINK("https://www.philgeps.gov.ph/GEPSNONPILOT/Tender/SplashBidNoticeAbstractUI.aspx?menuIndex=3&amp;refID=7154965&amp;Result=3","7154965")</f>
        <v>0</v>
      </c>
      <c r="B8987" t="s">
        <v>668</v>
      </c>
      <c r="C8987" t="s">
        <v>12356</v>
      </c>
      <c r="D8987" t="s">
        <v>19034</v>
      </c>
      <c r="E8987" t="s">
        <v>26876</v>
      </c>
      <c r="F8987" t="s">
        <v>32831</v>
      </c>
      <c r="G8987" t="s">
        <v>32839</v>
      </c>
      <c r="H8987" t="s">
        <v>32848</v>
      </c>
      <c r="I8987" t="s">
        <v>32863</v>
      </c>
      <c r="J8987" t="s">
        <v>33644</v>
      </c>
      <c r="K8987" t="s">
        <v>42731</v>
      </c>
      <c r="M8987" t="s">
        <v>44913</v>
      </c>
      <c r="N8987" t="s">
        <v>47424</v>
      </c>
      <c r="O8987" t="s">
        <v>47425</v>
      </c>
      <c r="P8987">
        <v>0</v>
      </c>
      <c r="Q8987">
        <v>3</v>
      </c>
      <c r="R8987" t="s">
        <v>47432</v>
      </c>
      <c r="S8987" t="s">
        <v>47597</v>
      </c>
      <c r="T8987" t="s">
        <v>49321</v>
      </c>
      <c r="U8987" t="s">
        <v>57093</v>
      </c>
      <c r="W8987" t="s">
        <v>44913</v>
      </c>
      <c r="X8987" t="s">
        <v>47433</v>
      </c>
    </row>
    <row r="8988" spans="1:24">
      <c r="A8988">
        <f>HYPERLINK("https://www.philgeps.gov.ph/GEPSNONPILOT/Tender/SplashBidNoticeAbstractUI.aspx?menuIndex=3&amp;refID=7154925&amp;Result=3","7154925")</f>
        <v>0</v>
      </c>
      <c r="B8988" t="s">
        <v>394</v>
      </c>
      <c r="C8988" t="s">
        <v>12357</v>
      </c>
      <c r="D8988" t="s">
        <v>19074</v>
      </c>
      <c r="E8988" t="s">
        <v>26877</v>
      </c>
      <c r="F8988" t="s">
        <v>32831</v>
      </c>
      <c r="G8988" t="s">
        <v>32839</v>
      </c>
      <c r="H8988" t="s">
        <v>32848</v>
      </c>
      <c r="I8988" t="s">
        <v>32870</v>
      </c>
      <c r="J8988" t="s">
        <v>38549</v>
      </c>
      <c r="K8988" t="s">
        <v>42729</v>
      </c>
      <c r="M8988" t="s">
        <v>43399</v>
      </c>
      <c r="N8988" t="s">
        <v>47424</v>
      </c>
      <c r="O8988" t="s">
        <v>47425</v>
      </c>
      <c r="P8988">
        <v>0</v>
      </c>
      <c r="Q8988">
        <v>0</v>
      </c>
      <c r="R8988" t="s">
        <v>47432</v>
      </c>
      <c r="S8988" t="s">
        <v>47597</v>
      </c>
      <c r="T8988" t="s">
        <v>49141</v>
      </c>
      <c r="U8988" t="s">
        <v>57094</v>
      </c>
      <c r="W8988" t="s">
        <v>43399</v>
      </c>
      <c r="X8988" t="s">
        <v>47433</v>
      </c>
    </row>
    <row r="8989" spans="1:24">
      <c r="A8989">
        <f>HYPERLINK("https://www.philgeps.gov.ph/GEPSNONPILOT/Tender/SplashBidNoticeAbstractUI.aspx?menuIndex=3&amp;refID=7155013&amp;Result=3","7155013")</f>
        <v>0</v>
      </c>
      <c r="B8989" t="s">
        <v>2110</v>
      </c>
      <c r="C8989" t="s">
        <v>12358</v>
      </c>
      <c r="E8989" t="s">
        <v>26878</v>
      </c>
      <c r="F8989" t="s">
        <v>32831</v>
      </c>
      <c r="G8989" t="s">
        <v>32839</v>
      </c>
      <c r="H8989" t="s">
        <v>32848</v>
      </c>
      <c r="I8989" t="s">
        <v>32855</v>
      </c>
      <c r="J8989" t="s">
        <v>38550</v>
      </c>
      <c r="K8989" t="s">
        <v>42731</v>
      </c>
      <c r="M8989" t="s">
        <v>45284</v>
      </c>
      <c r="N8989" t="s">
        <v>47424</v>
      </c>
      <c r="O8989" t="s">
        <v>47425</v>
      </c>
      <c r="P8989">
        <v>0</v>
      </c>
      <c r="Q8989">
        <v>0</v>
      </c>
      <c r="R8989" t="s">
        <v>47432</v>
      </c>
      <c r="S8989" t="s">
        <v>47597</v>
      </c>
      <c r="T8989" t="s">
        <v>49056</v>
      </c>
      <c r="U8989" t="s">
        <v>57095</v>
      </c>
      <c r="W8989" t="s">
        <v>45284</v>
      </c>
      <c r="X8989" t="s">
        <v>47433</v>
      </c>
    </row>
    <row r="8990" spans="1:24">
      <c r="A8990">
        <f>HYPERLINK("https://www.philgeps.gov.ph/GEPSNONPILOT/Tender/SplashBidNoticeAbstractUI.aspx?menuIndex=3&amp;refID=7155027&amp;Result=3","7155027")</f>
        <v>0</v>
      </c>
      <c r="B8990" t="s">
        <v>2917</v>
      </c>
      <c r="C8990" t="s">
        <v>12359</v>
      </c>
      <c r="E8990" t="s">
        <v>26879</v>
      </c>
      <c r="F8990" t="s">
        <v>32831</v>
      </c>
      <c r="G8990" t="s">
        <v>32838</v>
      </c>
      <c r="H8990" t="s">
        <v>32848</v>
      </c>
      <c r="I8990" t="s">
        <v>32870</v>
      </c>
      <c r="J8990" t="s">
        <v>38551</v>
      </c>
      <c r="K8990" t="s">
        <v>42732</v>
      </c>
      <c r="M8990" t="s">
        <v>46169</v>
      </c>
      <c r="N8990" t="s">
        <v>47424</v>
      </c>
      <c r="O8990" t="s">
        <v>47425</v>
      </c>
      <c r="P8990">
        <v>0</v>
      </c>
      <c r="Q8990">
        <v>0</v>
      </c>
      <c r="R8990" t="s">
        <v>47432</v>
      </c>
      <c r="S8990" t="s">
        <v>47597</v>
      </c>
      <c r="T8990" t="s">
        <v>49239</v>
      </c>
      <c r="U8990" t="s">
        <v>57096</v>
      </c>
      <c r="W8990" t="s">
        <v>46169</v>
      </c>
      <c r="X8990" t="s">
        <v>47433</v>
      </c>
    </row>
    <row r="8991" spans="1:24">
      <c r="A8991">
        <f>HYPERLINK("https://www.philgeps.gov.ph/GEPSNONPILOT/Tender/SplashBidNoticeAbstractUI.aspx?menuIndex=3&amp;refID=7155022&amp;Result=3","7155022")</f>
        <v>0</v>
      </c>
      <c r="B8991" t="s">
        <v>2110</v>
      </c>
      <c r="C8991" t="s">
        <v>12360</v>
      </c>
      <c r="E8991" t="s">
        <v>26880</v>
      </c>
      <c r="F8991" t="s">
        <v>32831</v>
      </c>
      <c r="G8991" t="s">
        <v>32839</v>
      </c>
      <c r="H8991" t="s">
        <v>32848</v>
      </c>
      <c r="I8991" t="s">
        <v>7416</v>
      </c>
      <c r="J8991" t="s">
        <v>38552</v>
      </c>
      <c r="K8991" t="s">
        <v>42731</v>
      </c>
      <c r="M8991" t="s">
        <v>45284</v>
      </c>
      <c r="N8991" t="s">
        <v>47424</v>
      </c>
      <c r="O8991" t="s">
        <v>47425</v>
      </c>
      <c r="P8991">
        <v>0</v>
      </c>
      <c r="Q8991">
        <v>0</v>
      </c>
      <c r="R8991" t="s">
        <v>47432</v>
      </c>
      <c r="S8991" t="s">
        <v>47597</v>
      </c>
      <c r="T8991" t="s">
        <v>49056</v>
      </c>
      <c r="U8991" t="s">
        <v>57097</v>
      </c>
      <c r="W8991" t="s">
        <v>45284</v>
      </c>
      <c r="X8991" t="s">
        <v>47433</v>
      </c>
    </row>
    <row r="8992" spans="1:24">
      <c r="A8992">
        <f>HYPERLINK("https://www.philgeps.gov.ph/GEPSNONPILOT/Tender/SplashBidNoticeAbstractUI.aspx?menuIndex=3&amp;refID=7155001&amp;Result=3","7155001")</f>
        <v>0</v>
      </c>
      <c r="B8992" t="s">
        <v>2918</v>
      </c>
      <c r="C8992" t="s">
        <v>12361</v>
      </c>
      <c r="D8992" t="s">
        <v>19038</v>
      </c>
      <c r="E8992" t="s">
        <v>19203</v>
      </c>
      <c r="F8992" t="s">
        <v>32831</v>
      </c>
      <c r="G8992" t="s">
        <v>32840</v>
      </c>
      <c r="H8992" t="s">
        <v>32848</v>
      </c>
      <c r="I8992" t="s">
        <v>32864</v>
      </c>
      <c r="J8992" t="s">
        <v>35837</v>
      </c>
      <c r="K8992" t="s">
        <v>42801</v>
      </c>
      <c r="M8992" t="s">
        <v>46170</v>
      </c>
      <c r="N8992" t="s">
        <v>47424</v>
      </c>
      <c r="O8992" t="s">
        <v>47425</v>
      </c>
      <c r="P8992">
        <v>0</v>
      </c>
      <c r="Q8992">
        <v>1</v>
      </c>
      <c r="R8992" t="s">
        <v>47432</v>
      </c>
      <c r="S8992" t="s">
        <v>47597</v>
      </c>
      <c r="T8992" t="s">
        <v>49079</v>
      </c>
      <c r="U8992" t="s">
        <v>57098</v>
      </c>
      <c r="W8992" t="s">
        <v>46170</v>
      </c>
      <c r="X8992" t="s">
        <v>47433</v>
      </c>
    </row>
    <row r="8993" spans="1:24">
      <c r="A8993">
        <f>HYPERLINK("https://www.philgeps.gov.ph/GEPSNONPILOT/Tender/SplashBidNoticeAbstractUI.aspx?menuIndex=3&amp;refID=7155015&amp;Result=3","7155015")</f>
        <v>0</v>
      </c>
      <c r="B8993" t="s">
        <v>1990</v>
      </c>
      <c r="C8993" t="s">
        <v>12362</v>
      </c>
      <c r="D8993" t="s">
        <v>19075</v>
      </c>
      <c r="E8993" t="s">
        <v>26881</v>
      </c>
      <c r="F8993" t="s">
        <v>32831</v>
      </c>
      <c r="G8993" t="s">
        <v>32839</v>
      </c>
      <c r="H8993" t="s">
        <v>32849</v>
      </c>
      <c r="I8993" t="s">
        <v>4177</v>
      </c>
      <c r="J8993" t="s">
        <v>38548</v>
      </c>
      <c r="K8993" t="s">
        <v>42829</v>
      </c>
      <c r="M8993" t="s">
        <v>46168</v>
      </c>
      <c r="N8993" t="s">
        <v>47424</v>
      </c>
      <c r="O8993" t="s">
        <v>47425</v>
      </c>
      <c r="Q8993">
        <v>2</v>
      </c>
      <c r="R8993" t="s">
        <v>47432</v>
      </c>
      <c r="S8993" t="s">
        <v>47627</v>
      </c>
      <c r="T8993" t="s">
        <v>49236</v>
      </c>
      <c r="U8993" t="s">
        <v>57092</v>
      </c>
      <c r="W8993" t="s">
        <v>46168</v>
      </c>
      <c r="X8993" t="s">
        <v>47433</v>
      </c>
    </row>
    <row r="8994" spans="1:24">
      <c r="A8994">
        <f>HYPERLINK("https://www.philgeps.gov.ph/GEPSNONPILOT/Tender/SplashBidNoticeAbstractUI.aspx?menuIndex=3&amp;refID=7155011&amp;Result=3","7155011")</f>
        <v>0</v>
      </c>
      <c r="B8994" t="s">
        <v>2919</v>
      </c>
      <c r="C8994" t="s">
        <v>12363</v>
      </c>
      <c r="D8994" t="s">
        <v>19039</v>
      </c>
      <c r="E8994" t="s">
        <v>26882</v>
      </c>
      <c r="F8994" t="s">
        <v>32833</v>
      </c>
      <c r="G8994" t="s">
        <v>32839</v>
      </c>
      <c r="H8994" t="s">
        <v>32849</v>
      </c>
      <c r="I8994" t="s">
        <v>4177</v>
      </c>
      <c r="J8994" t="s">
        <v>33067</v>
      </c>
      <c r="K8994" t="s">
        <v>42747</v>
      </c>
      <c r="L8994" t="s">
        <v>2919</v>
      </c>
      <c r="M8994" t="s">
        <v>46171</v>
      </c>
      <c r="N8994" t="s">
        <v>47424</v>
      </c>
      <c r="O8994" t="s">
        <v>47425</v>
      </c>
      <c r="P8994">
        <v>0</v>
      </c>
      <c r="Q8994">
        <v>0</v>
      </c>
      <c r="R8994" t="s">
        <v>47432</v>
      </c>
      <c r="S8994" t="s">
        <v>47597</v>
      </c>
      <c r="T8994" t="s">
        <v>49398</v>
      </c>
      <c r="U8994" t="s">
        <v>57099</v>
      </c>
      <c r="V8994" t="s">
        <v>63619</v>
      </c>
      <c r="W8994" t="s">
        <v>46171</v>
      </c>
      <c r="X8994" t="s">
        <v>47433</v>
      </c>
    </row>
    <row r="8995" spans="1:24">
      <c r="A8995">
        <f>HYPERLINK("https://www.philgeps.gov.ph/GEPSNONPILOT/Tender/SplashBidNoticeAbstractUI.aspx?menuIndex=3&amp;refID=7154999&amp;Result=3","7154999")</f>
        <v>0</v>
      </c>
      <c r="B8995" t="s">
        <v>1149</v>
      </c>
      <c r="C8995" t="s">
        <v>12364</v>
      </c>
      <c r="D8995" t="s">
        <v>19079</v>
      </c>
      <c r="E8995" t="s">
        <v>26883</v>
      </c>
      <c r="F8995" t="s">
        <v>32831</v>
      </c>
      <c r="G8995" t="s">
        <v>32839</v>
      </c>
      <c r="H8995" t="s">
        <v>32848</v>
      </c>
      <c r="I8995" t="s">
        <v>32926</v>
      </c>
      <c r="J8995" t="s">
        <v>38553</v>
      </c>
      <c r="K8995" t="s">
        <v>42731</v>
      </c>
      <c r="M8995" t="s">
        <v>45518</v>
      </c>
      <c r="N8995" t="s">
        <v>47424</v>
      </c>
      <c r="O8995" t="s">
        <v>47425</v>
      </c>
      <c r="P8995">
        <v>0</v>
      </c>
      <c r="Q8995">
        <v>0</v>
      </c>
      <c r="R8995" t="s">
        <v>47432</v>
      </c>
      <c r="S8995" t="s">
        <v>47597</v>
      </c>
      <c r="T8995" t="s">
        <v>49319</v>
      </c>
      <c r="U8995" t="s">
        <v>57100</v>
      </c>
      <c r="W8995" t="s">
        <v>45518</v>
      </c>
      <c r="X8995" t="s">
        <v>47433</v>
      </c>
    </row>
    <row r="8996" spans="1:24">
      <c r="A8996">
        <f>HYPERLINK("https://www.philgeps.gov.ph/GEPSNONPILOT/Tender/SplashBidNoticeAbstractUI.aspx?menuIndex=3&amp;refID=7155021&amp;Result=3","7155021")</f>
        <v>0</v>
      </c>
      <c r="B8996" t="s">
        <v>338</v>
      </c>
      <c r="C8996" t="s">
        <v>12365</v>
      </c>
      <c r="D8996" t="s">
        <v>19019</v>
      </c>
      <c r="E8996" t="s">
        <v>26884</v>
      </c>
      <c r="F8996" t="s">
        <v>32833</v>
      </c>
      <c r="G8996" t="s">
        <v>32838</v>
      </c>
      <c r="H8996" t="s">
        <v>32848</v>
      </c>
      <c r="I8996" t="s">
        <v>32906</v>
      </c>
      <c r="J8996" t="s">
        <v>33077</v>
      </c>
      <c r="K8996" t="s">
        <v>42759</v>
      </c>
      <c r="M8996" t="s">
        <v>44099</v>
      </c>
      <c r="N8996" t="s">
        <v>47424</v>
      </c>
      <c r="O8996" t="s">
        <v>47425</v>
      </c>
      <c r="P8996">
        <v>0</v>
      </c>
      <c r="Q8996">
        <v>5</v>
      </c>
      <c r="R8996" t="s">
        <v>47432</v>
      </c>
      <c r="S8996" t="s">
        <v>47597</v>
      </c>
      <c r="T8996" t="s">
        <v>49141</v>
      </c>
      <c r="U8996" t="s">
        <v>57101</v>
      </c>
      <c r="V8996" t="s">
        <v>50084</v>
      </c>
      <c r="W8996" t="s">
        <v>44099</v>
      </c>
      <c r="X8996" t="s">
        <v>47433</v>
      </c>
    </row>
    <row r="8997" spans="1:24">
      <c r="A8997">
        <f>HYPERLINK("https://www.philgeps.gov.ph/GEPSNONPILOT/Tender/SplashBidNoticeAbstractUI.aspx?menuIndex=3&amp;refID=7154980&amp;Result=3","7154980")</f>
        <v>0</v>
      </c>
      <c r="B8997" t="s">
        <v>1915</v>
      </c>
      <c r="C8997" t="s">
        <v>12366</v>
      </c>
      <c r="D8997" t="s">
        <v>19030</v>
      </c>
      <c r="E8997" t="s">
        <v>26885</v>
      </c>
      <c r="F8997" t="s">
        <v>32831</v>
      </c>
      <c r="G8997" t="s">
        <v>32839</v>
      </c>
      <c r="H8997" t="s">
        <v>32849</v>
      </c>
      <c r="I8997" t="s">
        <v>4177</v>
      </c>
      <c r="J8997" t="s">
        <v>36370</v>
      </c>
      <c r="K8997" t="s">
        <v>42757</v>
      </c>
      <c r="M8997" t="s">
        <v>45067</v>
      </c>
      <c r="N8997" t="s">
        <v>47424</v>
      </c>
      <c r="O8997" t="s">
        <v>47425</v>
      </c>
      <c r="P8997">
        <v>0</v>
      </c>
      <c r="Q8997">
        <v>12</v>
      </c>
      <c r="R8997" t="s">
        <v>47432</v>
      </c>
      <c r="S8997" t="s">
        <v>47597</v>
      </c>
      <c r="T8997" t="s">
        <v>49236</v>
      </c>
      <c r="U8997" t="s">
        <v>57084</v>
      </c>
      <c r="W8997" t="s">
        <v>64492</v>
      </c>
      <c r="X8997" t="s">
        <v>47433</v>
      </c>
    </row>
    <row r="8998" spans="1:24">
      <c r="A8998">
        <f>HYPERLINK("https://www.philgeps.gov.ph/GEPSNONPILOT/Tender/SplashBidNoticeAbstractUI.aspx?menuIndex=3&amp;refID=7154998&amp;Result=3","7154998")</f>
        <v>0</v>
      </c>
      <c r="B8998" t="s">
        <v>2920</v>
      </c>
      <c r="C8998" t="s">
        <v>12367</v>
      </c>
      <c r="D8998" t="s">
        <v>19026</v>
      </c>
      <c r="E8998" t="s">
        <v>26886</v>
      </c>
      <c r="F8998" t="s">
        <v>32831</v>
      </c>
      <c r="G8998" t="s">
        <v>32839</v>
      </c>
      <c r="H8998" t="s">
        <v>32849</v>
      </c>
      <c r="I8998" t="s">
        <v>4177</v>
      </c>
      <c r="J8998" t="s">
        <v>38554</v>
      </c>
      <c r="K8998" t="s">
        <v>42789</v>
      </c>
      <c r="M8998" t="s">
        <v>46172</v>
      </c>
      <c r="N8998" t="s">
        <v>47424</v>
      </c>
      <c r="O8998" t="s">
        <v>47425</v>
      </c>
      <c r="P8998">
        <v>0</v>
      </c>
      <c r="Q8998">
        <v>78</v>
      </c>
      <c r="R8998" t="s">
        <v>47432</v>
      </c>
      <c r="S8998" t="s">
        <v>47597</v>
      </c>
      <c r="T8998" t="s">
        <v>49221</v>
      </c>
      <c r="U8998" t="s">
        <v>57102</v>
      </c>
      <c r="W8998" t="s">
        <v>46172</v>
      </c>
      <c r="X8998" t="s">
        <v>47433</v>
      </c>
    </row>
    <row r="8999" spans="1:24">
      <c r="A8999">
        <f>HYPERLINK("https://www.philgeps.gov.ph/GEPSNONPILOT/Tender/SplashBidNoticeAbstractUI.aspx?menuIndex=3&amp;refID=7155076&amp;Result=3","7155076")</f>
        <v>0</v>
      </c>
      <c r="B8999" t="s">
        <v>2137</v>
      </c>
      <c r="C8999" t="s">
        <v>12368</v>
      </c>
      <c r="D8999" t="s">
        <v>19033</v>
      </c>
      <c r="E8999" t="s">
        <v>25800</v>
      </c>
      <c r="F8999" t="s">
        <v>32831</v>
      </c>
      <c r="G8999" t="s">
        <v>32839</v>
      </c>
      <c r="H8999" t="s">
        <v>32848</v>
      </c>
      <c r="I8999" t="s">
        <v>4558</v>
      </c>
      <c r="J8999" t="s">
        <v>38555</v>
      </c>
      <c r="K8999" t="s">
        <v>42726</v>
      </c>
      <c r="M8999" t="s">
        <v>45315</v>
      </c>
      <c r="N8999" t="s">
        <v>47424</v>
      </c>
      <c r="O8999" t="s">
        <v>47425</v>
      </c>
      <c r="P8999">
        <v>0</v>
      </c>
      <c r="Q8999">
        <v>2</v>
      </c>
      <c r="R8999" t="s">
        <v>47432</v>
      </c>
      <c r="S8999" t="s">
        <v>47597</v>
      </c>
      <c r="T8999" t="s">
        <v>49318</v>
      </c>
      <c r="U8999" t="s">
        <v>57103</v>
      </c>
      <c r="W8999" t="s">
        <v>45315</v>
      </c>
      <c r="X8999" t="s">
        <v>47433</v>
      </c>
    </row>
    <row r="9000" spans="1:24">
      <c r="A9000">
        <f>HYPERLINK("https://www.philgeps.gov.ph/GEPSNONPILOT/Tender/SplashBidNoticeAbstractUI.aspx?menuIndex=3&amp;refID=7154992&amp;Result=3","7154992")</f>
        <v>0</v>
      </c>
      <c r="B9000" t="s">
        <v>1915</v>
      </c>
      <c r="C9000" t="s">
        <v>12369</v>
      </c>
      <c r="D9000" t="s">
        <v>19030</v>
      </c>
      <c r="E9000" t="s">
        <v>26887</v>
      </c>
      <c r="F9000" t="s">
        <v>32831</v>
      </c>
      <c r="G9000" t="s">
        <v>32839</v>
      </c>
      <c r="H9000" t="s">
        <v>32849</v>
      </c>
      <c r="I9000" t="s">
        <v>4177</v>
      </c>
      <c r="J9000" t="s">
        <v>38556</v>
      </c>
      <c r="K9000" t="s">
        <v>42763</v>
      </c>
      <c r="M9000" t="s">
        <v>45067</v>
      </c>
      <c r="N9000" t="s">
        <v>47424</v>
      </c>
      <c r="O9000" t="s">
        <v>47425</v>
      </c>
      <c r="P9000">
        <v>0</v>
      </c>
      <c r="Q9000">
        <v>11</v>
      </c>
      <c r="R9000" t="s">
        <v>47432</v>
      </c>
      <c r="S9000" t="s">
        <v>47597</v>
      </c>
      <c r="T9000" t="s">
        <v>49236</v>
      </c>
      <c r="U9000" t="s">
        <v>57084</v>
      </c>
      <c r="W9000" t="s">
        <v>64492</v>
      </c>
      <c r="X9000" t="s">
        <v>47433</v>
      </c>
    </row>
    <row r="9001" spans="1:24">
      <c r="A9001">
        <f>HYPERLINK("https://www.philgeps.gov.ph/GEPSNONPILOT/Tender/SplashBidNoticeAbstractUI.aspx?menuIndex=3&amp;refID=7155070&amp;Result=3","7155070")</f>
        <v>0</v>
      </c>
      <c r="B9001" t="s">
        <v>424</v>
      </c>
      <c r="C9001" t="s">
        <v>12370</v>
      </c>
      <c r="D9001" t="s">
        <v>19062</v>
      </c>
      <c r="E9001" t="s">
        <v>20597</v>
      </c>
      <c r="F9001" t="s">
        <v>32831</v>
      </c>
      <c r="G9001" t="s">
        <v>32841</v>
      </c>
      <c r="H9001" t="s">
        <v>32848</v>
      </c>
      <c r="I9001" t="s">
        <v>4558</v>
      </c>
      <c r="J9001" t="s">
        <v>38557</v>
      </c>
      <c r="K9001" t="s">
        <v>42730</v>
      </c>
      <c r="M9001" t="s">
        <v>43429</v>
      </c>
      <c r="N9001" t="s">
        <v>47424</v>
      </c>
      <c r="O9001" t="s">
        <v>47425</v>
      </c>
      <c r="P9001">
        <v>0</v>
      </c>
      <c r="Q9001">
        <v>3</v>
      </c>
      <c r="R9001" t="s">
        <v>47432</v>
      </c>
      <c r="S9001" t="s">
        <v>47597</v>
      </c>
      <c r="T9001" t="s">
        <v>49079</v>
      </c>
      <c r="U9001" t="s">
        <v>57104</v>
      </c>
      <c r="W9001" t="s">
        <v>43429</v>
      </c>
      <c r="X9001" t="s">
        <v>47433</v>
      </c>
    </row>
    <row r="9002" spans="1:24">
      <c r="A9002">
        <f>HYPERLINK("https://www.philgeps.gov.ph/GEPSNONPILOT/Tender/SplashBidNoticeAbstractUI.aspx?menuIndex=3&amp;refID=7155080&amp;Result=3","7155080")</f>
        <v>0</v>
      </c>
      <c r="B9002" t="s">
        <v>424</v>
      </c>
      <c r="C9002" t="s">
        <v>12371</v>
      </c>
      <c r="D9002" t="s">
        <v>19062</v>
      </c>
      <c r="E9002" t="s">
        <v>26888</v>
      </c>
      <c r="F9002" t="s">
        <v>32831</v>
      </c>
      <c r="G9002" t="s">
        <v>32839</v>
      </c>
      <c r="H9002" t="s">
        <v>32848</v>
      </c>
      <c r="I9002" t="s">
        <v>7416</v>
      </c>
      <c r="J9002" t="s">
        <v>38558</v>
      </c>
      <c r="K9002" t="s">
        <v>42745</v>
      </c>
      <c r="M9002" t="s">
        <v>43429</v>
      </c>
      <c r="N9002" t="s">
        <v>47424</v>
      </c>
      <c r="O9002" t="s">
        <v>47425</v>
      </c>
      <c r="P9002">
        <v>0</v>
      </c>
      <c r="Q9002">
        <v>2</v>
      </c>
      <c r="R9002" t="s">
        <v>47432</v>
      </c>
      <c r="S9002" t="s">
        <v>47597</v>
      </c>
      <c r="T9002" t="s">
        <v>49079</v>
      </c>
      <c r="U9002" t="s">
        <v>57105</v>
      </c>
      <c r="W9002" t="s">
        <v>43429</v>
      </c>
      <c r="X9002" t="s">
        <v>47433</v>
      </c>
    </row>
    <row r="9003" spans="1:24">
      <c r="A9003">
        <f>HYPERLINK("https://www.philgeps.gov.ph/GEPSNONPILOT/Tender/SplashBidNoticeAbstractUI.aspx?menuIndex=3&amp;refID=7155063&amp;Result=3","7155063")</f>
        <v>0</v>
      </c>
      <c r="B9003" t="s">
        <v>1162</v>
      </c>
      <c r="C9003" t="s">
        <v>12372</v>
      </c>
      <c r="D9003" t="s">
        <v>19050</v>
      </c>
      <c r="E9003" t="s">
        <v>26889</v>
      </c>
      <c r="F9003" t="s">
        <v>32831</v>
      </c>
      <c r="G9003" t="s">
        <v>32839</v>
      </c>
      <c r="H9003" t="s">
        <v>32849</v>
      </c>
      <c r="I9003" t="s">
        <v>4177</v>
      </c>
      <c r="J9003" t="s">
        <v>38559</v>
      </c>
      <c r="K9003" t="s">
        <v>42770</v>
      </c>
      <c r="M9003" t="s">
        <v>46173</v>
      </c>
      <c r="N9003" t="s">
        <v>47424</v>
      </c>
      <c r="O9003" t="s">
        <v>47425</v>
      </c>
      <c r="P9003">
        <v>0</v>
      </c>
      <c r="Q9003">
        <v>0</v>
      </c>
      <c r="R9003" t="s">
        <v>47432</v>
      </c>
      <c r="S9003" t="s">
        <v>47597</v>
      </c>
      <c r="T9003" t="s">
        <v>49138</v>
      </c>
      <c r="U9003" t="s">
        <v>57106</v>
      </c>
      <c r="W9003" t="s">
        <v>46173</v>
      </c>
      <c r="X9003" t="s">
        <v>47433</v>
      </c>
    </row>
    <row r="9004" spans="1:24">
      <c r="A9004">
        <f>HYPERLINK("https://www.philgeps.gov.ph/GEPSNONPILOT/Tender/SplashBidNoticeAbstractUI.aspx?menuIndex=3&amp;refID=7155060&amp;Result=3","7155060")</f>
        <v>0</v>
      </c>
      <c r="B9004" t="s">
        <v>2110</v>
      </c>
      <c r="C9004" t="s">
        <v>12373</v>
      </c>
      <c r="E9004" t="s">
        <v>20050</v>
      </c>
      <c r="F9004" t="s">
        <v>32831</v>
      </c>
      <c r="G9004" t="s">
        <v>32839</v>
      </c>
      <c r="H9004" t="s">
        <v>32849</v>
      </c>
      <c r="I9004" t="s">
        <v>4177</v>
      </c>
      <c r="J9004" t="s">
        <v>38560</v>
      </c>
      <c r="K9004" t="s">
        <v>42780</v>
      </c>
      <c r="M9004" t="s">
        <v>45284</v>
      </c>
      <c r="N9004" t="s">
        <v>47424</v>
      </c>
      <c r="O9004" t="s">
        <v>47425</v>
      </c>
      <c r="P9004">
        <v>0</v>
      </c>
      <c r="Q9004">
        <v>1</v>
      </c>
      <c r="R9004" t="s">
        <v>47432</v>
      </c>
      <c r="S9004" t="s">
        <v>47597</v>
      </c>
      <c r="T9004" t="s">
        <v>49236</v>
      </c>
      <c r="U9004" t="s">
        <v>57107</v>
      </c>
      <c r="W9004" t="s">
        <v>45284</v>
      </c>
      <c r="X9004" t="s">
        <v>47433</v>
      </c>
    </row>
    <row r="9005" spans="1:24">
      <c r="A9005">
        <f>HYPERLINK("https://www.philgeps.gov.ph/GEPSNONPILOT/Tender/SplashBidNoticeAbstractUI.aspx?menuIndex=3&amp;refID=7155056&amp;Result=3","7155056")</f>
        <v>0</v>
      </c>
      <c r="B9005" t="s">
        <v>2167</v>
      </c>
      <c r="C9005" t="s">
        <v>12374</v>
      </c>
      <c r="D9005" t="s">
        <v>19017</v>
      </c>
      <c r="E9005" t="s">
        <v>26890</v>
      </c>
      <c r="F9005" t="s">
        <v>32833</v>
      </c>
      <c r="G9005" t="s">
        <v>32839</v>
      </c>
      <c r="H9005" t="s">
        <v>32850</v>
      </c>
      <c r="I9005" t="s">
        <v>4487</v>
      </c>
      <c r="J9005" t="s">
        <v>33087</v>
      </c>
      <c r="K9005" t="s">
        <v>42775</v>
      </c>
      <c r="M9005" t="s">
        <v>45345</v>
      </c>
      <c r="N9005" t="s">
        <v>47424</v>
      </c>
      <c r="O9005" t="s">
        <v>47425</v>
      </c>
      <c r="P9005">
        <v>0</v>
      </c>
      <c r="Q9005">
        <v>1</v>
      </c>
      <c r="R9005" t="s">
        <v>47432</v>
      </c>
      <c r="S9005" t="s">
        <v>47597</v>
      </c>
      <c r="T9005" t="s">
        <v>49133</v>
      </c>
      <c r="U9005" t="s">
        <v>54694</v>
      </c>
      <c r="V9005" t="s">
        <v>63291</v>
      </c>
      <c r="W9005" t="s">
        <v>45345</v>
      </c>
      <c r="X9005" t="s">
        <v>47433</v>
      </c>
    </row>
    <row r="9006" spans="1:24">
      <c r="A9006">
        <f>HYPERLINK("https://www.philgeps.gov.ph/GEPSNONPILOT/Tender/SplashBidNoticeAbstractUI.aspx?menuIndex=3&amp;refID=7155007&amp;Result=3","7155007")</f>
        <v>0</v>
      </c>
      <c r="B9006" t="s">
        <v>2571</v>
      </c>
      <c r="C9006" t="s">
        <v>12375</v>
      </c>
      <c r="D9006" t="s">
        <v>19060</v>
      </c>
      <c r="E9006" t="s">
        <v>26891</v>
      </c>
      <c r="F9006" t="s">
        <v>32831</v>
      </c>
      <c r="G9006" t="s">
        <v>32839</v>
      </c>
      <c r="H9006" t="s">
        <v>32848</v>
      </c>
      <c r="I9006" t="s">
        <v>32859</v>
      </c>
      <c r="J9006" t="s">
        <v>33017</v>
      </c>
      <c r="K9006" t="s">
        <v>42747</v>
      </c>
      <c r="M9006" t="s">
        <v>45787</v>
      </c>
      <c r="N9006" t="s">
        <v>47424</v>
      </c>
      <c r="O9006" t="s">
        <v>47425</v>
      </c>
      <c r="P9006">
        <v>0</v>
      </c>
      <c r="Q9006">
        <v>2</v>
      </c>
      <c r="R9006" t="s">
        <v>47432</v>
      </c>
      <c r="S9006" t="s">
        <v>47597</v>
      </c>
      <c r="T9006" t="s">
        <v>49127</v>
      </c>
      <c r="U9006" t="s">
        <v>57108</v>
      </c>
      <c r="W9006" t="s">
        <v>45787</v>
      </c>
      <c r="X9006" t="s">
        <v>47433</v>
      </c>
    </row>
    <row r="9007" spans="1:24">
      <c r="A9007">
        <f>HYPERLINK("https://www.philgeps.gov.ph/GEPSNONPILOT/Tender/SplashBidNoticeAbstractUI.aspx?menuIndex=3&amp;refID=7155121&amp;Result=3","7155121")</f>
        <v>0</v>
      </c>
      <c r="B9007" t="s">
        <v>2921</v>
      </c>
      <c r="C9007" t="s">
        <v>12376</v>
      </c>
      <c r="D9007" t="s">
        <v>19049</v>
      </c>
      <c r="E9007" t="s">
        <v>26892</v>
      </c>
      <c r="F9007" t="s">
        <v>32831</v>
      </c>
      <c r="G9007" t="s">
        <v>32838</v>
      </c>
      <c r="H9007" t="s">
        <v>32848</v>
      </c>
      <c r="I9007" t="s">
        <v>32874</v>
      </c>
      <c r="J9007" t="s">
        <v>33025</v>
      </c>
      <c r="K9007" t="s">
        <v>42730</v>
      </c>
      <c r="M9007" t="s">
        <v>46174</v>
      </c>
      <c r="N9007" t="s">
        <v>47424</v>
      </c>
      <c r="O9007" t="s">
        <v>47425</v>
      </c>
      <c r="P9007">
        <v>0</v>
      </c>
      <c r="Q9007">
        <v>1</v>
      </c>
      <c r="R9007" t="s">
        <v>47432</v>
      </c>
      <c r="S9007" t="s">
        <v>47597</v>
      </c>
      <c r="T9007" t="s">
        <v>49162</v>
      </c>
      <c r="U9007" t="s">
        <v>57109</v>
      </c>
      <c r="W9007" t="s">
        <v>46174</v>
      </c>
      <c r="X9007" t="s">
        <v>47433</v>
      </c>
    </row>
    <row r="9008" spans="1:24">
      <c r="A9008">
        <f>HYPERLINK("https://www.philgeps.gov.ph/GEPSNONPILOT/Tender/SplashBidNoticeAbstractUI.aspx?menuIndex=3&amp;refID=7155010&amp;Result=3","7155010")</f>
        <v>0</v>
      </c>
      <c r="B9008" t="s">
        <v>2922</v>
      </c>
      <c r="C9008" t="s">
        <v>12377</v>
      </c>
      <c r="E9008" t="s">
        <v>26893</v>
      </c>
      <c r="F9008" t="s">
        <v>32831</v>
      </c>
      <c r="G9008" t="s">
        <v>32839</v>
      </c>
      <c r="H9008" t="s">
        <v>32848</v>
      </c>
      <c r="I9008" t="s">
        <v>9577</v>
      </c>
      <c r="J9008" t="s">
        <v>33041</v>
      </c>
      <c r="K9008" t="s">
        <v>42732</v>
      </c>
      <c r="M9008" t="s">
        <v>46175</v>
      </c>
      <c r="N9008" t="s">
        <v>47424</v>
      </c>
      <c r="O9008" t="s">
        <v>47425</v>
      </c>
      <c r="P9008">
        <v>0</v>
      </c>
      <c r="Q9008">
        <v>0</v>
      </c>
      <c r="R9008" t="s">
        <v>47432</v>
      </c>
      <c r="S9008" t="s">
        <v>47597</v>
      </c>
      <c r="T9008" t="s">
        <v>49155</v>
      </c>
      <c r="U9008" t="s">
        <v>57110</v>
      </c>
      <c r="W9008" t="s">
        <v>46175</v>
      </c>
      <c r="X9008" t="s">
        <v>47433</v>
      </c>
    </row>
    <row r="9009" spans="1:24">
      <c r="A9009">
        <f>HYPERLINK("https://www.philgeps.gov.ph/GEPSNONPILOT/Tender/SplashBidNoticeAbstractUI.aspx?menuIndex=3&amp;refID=7155120&amp;Result=3","7155120")</f>
        <v>0</v>
      </c>
      <c r="B9009" t="s">
        <v>2923</v>
      </c>
      <c r="C9009" t="s">
        <v>12378</v>
      </c>
      <c r="D9009" t="s">
        <v>19069</v>
      </c>
      <c r="E9009" t="s">
        <v>26894</v>
      </c>
      <c r="F9009" t="s">
        <v>32831</v>
      </c>
      <c r="G9009" t="s">
        <v>32839</v>
      </c>
      <c r="H9009" t="s">
        <v>32848</v>
      </c>
      <c r="I9009" t="s">
        <v>32857</v>
      </c>
      <c r="J9009" t="s">
        <v>33291</v>
      </c>
      <c r="K9009" t="s">
        <v>42726</v>
      </c>
      <c r="M9009" t="s">
        <v>46176</v>
      </c>
      <c r="N9009" t="s">
        <v>47424</v>
      </c>
      <c r="O9009" t="s">
        <v>47425</v>
      </c>
      <c r="P9009">
        <v>0</v>
      </c>
      <c r="Q9009">
        <v>2</v>
      </c>
      <c r="R9009" t="s">
        <v>47432</v>
      </c>
      <c r="S9009" t="s">
        <v>47597</v>
      </c>
      <c r="T9009" t="s">
        <v>49214</v>
      </c>
      <c r="U9009" t="s">
        <v>57111</v>
      </c>
      <c r="W9009" t="s">
        <v>46176</v>
      </c>
      <c r="X9009" t="s">
        <v>47433</v>
      </c>
    </row>
    <row r="9010" spans="1:24">
      <c r="A9010">
        <f>HYPERLINK("https://www.philgeps.gov.ph/GEPSNONPILOT/Tender/SplashBidNoticeAbstractUI.aspx?menuIndex=3&amp;refID=7155079&amp;Result=3","7155079")</f>
        <v>0</v>
      </c>
      <c r="B9010" t="s">
        <v>2110</v>
      </c>
      <c r="C9010" t="s">
        <v>12379</v>
      </c>
      <c r="E9010" t="s">
        <v>26895</v>
      </c>
      <c r="F9010" t="s">
        <v>32831</v>
      </c>
      <c r="G9010" t="s">
        <v>32839</v>
      </c>
      <c r="H9010" t="s">
        <v>32849</v>
      </c>
      <c r="I9010" t="s">
        <v>4177</v>
      </c>
      <c r="J9010" t="s">
        <v>33528</v>
      </c>
      <c r="K9010" t="s">
        <v>42780</v>
      </c>
      <c r="M9010" t="s">
        <v>45284</v>
      </c>
      <c r="N9010" t="s">
        <v>47424</v>
      </c>
      <c r="O9010" t="s">
        <v>47425</v>
      </c>
      <c r="P9010">
        <v>0</v>
      </c>
      <c r="Q9010">
        <v>1</v>
      </c>
      <c r="R9010" t="s">
        <v>47432</v>
      </c>
      <c r="S9010" t="s">
        <v>47597</v>
      </c>
      <c r="T9010" t="s">
        <v>49236</v>
      </c>
      <c r="U9010" t="s">
        <v>57112</v>
      </c>
      <c r="W9010" t="s">
        <v>45284</v>
      </c>
      <c r="X9010" t="s">
        <v>47433</v>
      </c>
    </row>
    <row r="9011" spans="1:24">
      <c r="A9011">
        <f>HYPERLINK("https://www.philgeps.gov.ph/GEPSNONPILOT/Tender/SplashBidNoticeAbstractUI.aspx?menuIndex=3&amp;refID=7155114&amp;Result=3","7155114")</f>
        <v>0</v>
      </c>
      <c r="B9011" t="s">
        <v>1417</v>
      </c>
      <c r="C9011" t="s">
        <v>12380</v>
      </c>
      <c r="D9011" t="s">
        <v>19047</v>
      </c>
      <c r="E9011" t="s">
        <v>22722</v>
      </c>
      <c r="F9011" t="s">
        <v>32831</v>
      </c>
      <c r="G9011" t="s">
        <v>32838</v>
      </c>
      <c r="H9011" t="s">
        <v>32848</v>
      </c>
      <c r="I9011" t="s">
        <v>4303</v>
      </c>
      <c r="J9011" t="s">
        <v>38561</v>
      </c>
      <c r="K9011" t="s">
        <v>42747</v>
      </c>
      <c r="M9011" t="s">
        <v>44505</v>
      </c>
      <c r="N9011" t="s">
        <v>47424</v>
      </c>
      <c r="O9011" t="s">
        <v>47425</v>
      </c>
      <c r="P9011">
        <v>0</v>
      </c>
      <c r="Q9011">
        <v>1</v>
      </c>
      <c r="R9011" t="s">
        <v>47432</v>
      </c>
      <c r="S9011" t="s">
        <v>47597</v>
      </c>
      <c r="T9011" t="s">
        <v>49497</v>
      </c>
      <c r="U9011" t="s">
        <v>57113</v>
      </c>
      <c r="V9011" t="s">
        <v>63620</v>
      </c>
      <c r="W9011" t="s">
        <v>44505</v>
      </c>
      <c r="X9011" t="s">
        <v>47433</v>
      </c>
    </row>
    <row r="9012" spans="1:24">
      <c r="A9012">
        <f>HYPERLINK("https://www.philgeps.gov.ph/GEPSNONPILOT/Tender/SplashBidNoticeAbstractUI.aspx?menuIndex=3&amp;refID=7155058&amp;Result=3","7155058")</f>
        <v>0</v>
      </c>
      <c r="B9012" t="s">
        <v>2924</v>
      </c>
      <c r="C9012" t="s">
        <v>12381</v>
      </c>
      <c r="E9012" t="s">
        <v>26896</v>
      </c>
      <c r="F9012" t="s">
        <v>32831</v>
      </c>
      <c r="G9012" t="s">
        <v>32839</v>
      </c>
      <c r="H9012" t="s">
        <v>32848</v>
      </c>
      <c r="I9012" t="s">
        <v>7751</v>
      </c>
      <c r="J9012" t="s">
        <v>34100</v>
      </c>
      <c r="K9012" t="s">
        <v>42732</v>
      </c>
      <c r="M9012" t="s">
        <v>46177</v>
      </c>
      <c r="N9012" t="s">
        <v>47424</v>
      </c>
      <c r="O9012" t="s">
        <v>47425</v>
      </c>
      <c r="P9012">
        <v>0</v>
      </c>
      <c r="Q9012">
        <v>0</v>
      </c>
      <c r="R9012" t="s">
        <v>47432</v>
      </c>
      <c r="S9012" t="s">
        <v>47597</v>
      </c>
      <c r="T9012" t="s">
        <v>49107</v>
      </c>
      <c r="U9012" t="s">
        <v>57114</v>
      </c>
      <c r="W9012" t="s">
        <v>46177</v>
      </c>
      <c r="X9012" t="s">
        <v>47433</v>
      </c>
    </row>
    <row r="9013" spans="1:24">
      <c r="A9013">
        <f>HYPERLINK("https://www.philgeps.gov.ph/GEPSNONPILOT/Tender/SplashBidNoticeAbstractUI.aspx?menuIndex=3&amp;refID=7155109&amp;Result=3","7155109")</f>
        <v>0</v>
      </c>
      <c r="B9013" t="s">
        <v>1265</v>
      </c>
      <c r="C9013" t="s">
        <v>12382</v>
      </c>
      <c r="D9013" t="s">
        <v>19024</v>
      </c>
      <c r="E9013" t="s">
        <v>26897</v>
      </c>
      <c r="F9013" t="s">
        <v>32831</v>
      </c>
      <c r="G9013" t="s">
        <v>32839</v>
      </c>
      <c r="H9013" t="s">
        <v>32848</v>
      </c>
      <c r="I9013" t="s">
        <v>32857</v>
      </c>
      <c r="J9013" t="s">
        <v>38562</v>
      </c>
      <c r="K9013" t="s">
        <v>42726</v>
      </c>
      <c r="M9013" t="s">
        <v>44335</v>
      </c>
      <c r="N9013" t="s">
        <v>47424</v>
      </c>
      <c r="O9013" t="s">
        <v>47425</v>
      </c>
      <c r="P9013">
        <v>0</v>
      </c>
      <c r="Q9013">
        <v>2</v>
      </c>
      <c r="R9013" t="s">
        <v>47432</v>
      </c>
      <c r="S9013" t="s">
        <v>47597</v>
      </c>
      <c r="T9013" t="s">
        <v>49166</v>
      </c>
      <c r="U9013" t="s">
        <v>57115</v>
      </c>
      <c r="W9013" t="s">
        <v>44335</v>
      </c>
      <c r="X9013" t="s">
        <v>47433</v>
      </c>
    </row>
    <row r="9014" spans="1:24">
      <c r="A9014">
        <f>HYPERLINK("https://www.philgeps.gov.ph/GEPSNONPILOT/Tender/SplashBidNoticeAbstractUI.aspx?menuIndex=3&amp;refID=7155102&amp;Result=3","7155102")</f>
        <v>0</v>
      </c>
      <c r="B9014" t="s">
        <v>2925</v>
      </c>
      <c r="C9014" t="s">
        <v>12383</v>
      </c>
      <c r="D9014" t="s">
        <v>19057</v>
      </c>
      <c r="E9014" t="s">
        <v>26898</v>
      </c>
      <c r="F9014" t="s">
        <v>32831</v>
      </c>
      <c r="G9014" t="s">
        <v>32839</v>
      </c>
      <c r="H9014" t="s">
        <v>32849</v>
      </c>
      <c r="I9014" t="s">
        <v>4177</v>
      </c>
      <c r="J9014" t="s">
        <v>38563</v>
      </c>
      <c r="K9014" t="s">
        <v>42730</v>
      </c>
      <c r="M9014" t="s">
        <v>46178</v>
      </c>
      <c r="N9014" t="s">
        <v>47424</v>
      </c>
      <c r="O9014" t="s">
        <v>47425</v>
      </c>
      <c r="P9014">
        <v>0</v>
      </c>
      <c r="Q9014">
        <v>0</v>
      </c>
      <c r="R9014" t="s">
        <v>47432</v>
      </c>
      <c r="S9014" t="s">
        <v>47597</v>
      </c>
      <c r="T9014" t="s">
        <v>49527</v>
      </c>
      <c r="U9014" t="s">
        <v>57116</v>
      </c>
      <c r="W9014" t="s">
        <v>46178</v>
      </c>
      <c r="X9014" t="s">
        <v>47433</v>
      </c>
    </row>
    <row r="9015" spans="1:24">
      <c r="A9015">
        <f>HYPERLINK("https://www.philgeps.gov.ph/GEPSNONPILOT/Tender/SplashBidNoticeAbstractUI.aspx?menuIndex=3&amp;refID=7154967&amp;Result=3","7154967")</f>
        <v>0</v>
      </c>
      <c r="B9015" t="s">
        <v>648</v>
      </c>
      <c r="C9015" t="s">
        <v>12384</v>
      </c>
      <c r="D9015" t="s">
        <v>19044</v>
      </c>
      <c r="E9015" t="s">
        <v>26899</v>
      </c>
      <c r="F9015" t="s">
        <v>32831</v>
      </c>
      <c r="G9015" t="s">
        <v>32839</v>
      </c>
      <c r="H9015" t="s">
        <v>32848</v>
      </c>
      <c r="I9015" t="s">
        <v>32855</v>
      </c>
      <c r="J9015" t="s">
        <v>38564</v>
      </c>
      <c r="K9015" t="s">
        <v>42730</v>
      </c>
      <c r="M9015" t="s">
        <v>44684</v>
      </c>
      <c r="N9015" t="s">
        <v>47424</v>
      </c>
      <c r="O9015" t="s">
        <v>47425</v>
      </c>
      <c r="P9015">
        <v>0</v>
      </c>
      <c r="Q9015">
        <v>5</v>
      </c>
      <c r="R9015" t="s">
        <v>47432</v>
      </c>
      <c r="S9015" t="s">
        <v>47597</v>
      </c>
      <c r="T9015" t="s">
        <v>49095</v>
      </c>
      <c r="U9015" t="s">
        <v>57117</v>
      </c>
      <c r="W9015" t="s">
        <v>44684</v>
      </c>
      <c r="X9015" t="s">
        <v>47433</v>
      </c>
    </row>
    <row r="9016" spans="1:24">
      <c r="A9016">
        <f>HYPERLINK("https://www.philgeps.gov.ph/GEPSNONPILOT/Tender/SplashBidNoticeAbstractUI.aspx?menuIndex=3&amp;refID=7155101&amp;Result=3","7155101")</f>
        <v>0</v>
      </c>
      <c r="B9016" t="s">
        <v>1951</v>
      </c>
      <c r="C9016" t="s">
        <v>12385</v>
      </c>
      <c r="D9016" t="s">
        <v>19084</v>
      </c>
      <c r="E9016" t="s">
        <v>26900</v>
      </c>
      <c r="F9016" t="s">
        <v>32831</v>
      </c>
      <c r="G9016" t="s">
        <v>32839</v>
      </c>
      <c r="H9016" t="s">
        <v>32848</v>
      </c>
      <c r="I9016" t="s">
        <v>7416</v>
      </c>
      <c r="J9016" t="s">
        <v>38565</v>
      </c>
      <c r="K9016" t="s">
        <v>42730</v>
      </c>
      <c r="M9016" t="s">
        <v>45108</v>
      </c>
      <c r="N9016" t="s">
        <v>47424</v>
      </c>
      <c r="O9016" t="s">
        <v>47425</v>
      </c>
      <c r="P9016">
        <v>0</v>
      </c>
      <c r="Q9016">
        <v>0</v>
      </c>
      <c r="R9016" t="s">
        <v>47432</v>
      </c>
      <c r="S9016" t="s">
        <v>47597</v>
      </c>
      <c r="T9016" t="s">
        <v>49214</v>
      </c>
      <c r="U9016" t="s">
        <v>57118</v>
      </c>
      <c r="W9016" t="s">
        <v>45108</v>
      </c>
      <c r="X9016" t="s">
        <v>47433</v>
      </c>
    </row>
    <row r="9017" spans="1:24">
      <c r="A9017">
        <f>HYPERLINK("https://www.philgeps.gov.ph/GEPSNONPILOT/Tender/SplashBidNoticeAbstractUI.aspx?menuIndex=3&amp;refID=7155098&amp;Result=3","7155098")</f>
        <v>0</v>
      </c>
      <c r="B9017" t="s">
        <v>2926</v>
      </c>
      <c r="C9017" t="s">
        <v>12386</v>
      </c>
      <c r="D9017" t="s">
        <v>19063</v>
      </c>
      <c r="E9017" t="s">
        <v>26901</v>
      </c>
      <c r="F9017" t="s">
        <v>32833</v>
      </c>
      <c r="G9017" t="s">
        <v>32839</v>
      </c>
      <c r="H9017" t="s">
        <v>32848</v>
      </c>
      <c r="I9017" t="s">
        <v>32856</v>
      </c>
      <c r="J9017" t="s">
        <v>34548</v>
      </c>
      <c r="K9017" t="s">
        <v>42729</v>
      </c>
      <c r="M9017" t="s">
        <v>46179</v>
      </c>
      <c r="N9017" t="s">
        <v>47424</v>
      </c>
      <c r="O9017" t="s">
        <v>47425</v>
      </c>
      <c r="P9017">
        <v>0</v>
      </c>
      <c r="Q9017">
        <v>0</v>
      </c>
      <c r="R9017" t="s">
        <v>47432</v>
      </c>
      <c r="S9017" t="s">
        <v>47597</v>
      </c>
      <c r="T9017" t="s">
        <v>49196</v>
      </c>
      <c r="U9017" t="s">
        <v>57119</v>
      </c>
      <c r="W9017" t="s">
        <v>46179</v>
      </c>
      <c r="X9017" t="s">
        <v>47433</v>
      </c>
    </row>
    <row r="9018" spans="1:24">
      <c r="A9018">
        <f>HYPERLINK("https://www.philgeps.gov.ph/GEPSNONPILOT/Tender/SplashBidNoticeAbstractUI.aspx?menuIndex=3&amp;refID=7155097&amp;Result=3","7155097")</f>
        <v>0</v>
      </c>
      <c r="B9018" t="s">
        <v>468</v>
      </c>
      <c r="C9018" t="s">
        <v>12387</v>
      </c>
      <c r="D9018" t="s">
        <v>19031</v>
      </c>
      <c r="E9018" t="s">
        <v>26902</v>
      </c>
      <c r="F9018" t="s">
        <v>32831</v>
      </c>
      <c r="G9018" t="s">
        <v>32839</v>
      </c>
      <c r="H9018" t="s">
        <v>32849</v>
      </c>
      <c r="I9018" t="s">
        <v>4177</v>
      </c>
      <c r="J9018" t="s">
        <v>38566</v>
      </c>
      <c r="K9018" t="s">
        <v>42918</v>
      </c>
      <c r="M9018" t="s">
        <v>43473</v>
      </c>
      <c r="N9018" t="s">
        <v>47424</v>
      </c>
      <c r="O9018" t="s">
        <v>47425</v>
      </c>
      <c r="P9018">
        <v>0</v>
      </c>
      <c r="Q9018">
        <v>0</v>
      </c>
      <c r="R9018" t="s">
        <v>47432</v>
      </c>
      <c r="S9018" t="s">
        <v>47597</v>
      </c>
      <c r="T9018" t="s">
        <v>49393</v>
      </c>
      <c r="U9018" t="s">
        <v>57120</v>
      </c>
      <c r="W9018" t="s">
        <v>64525</v>
      </c>
      <c r="X9018" t="s">
        <v>47433</v>
      </c>
    </row>
    <row r="9019" spans="1:24">
      <c r="A9019">
        <f>HYPERLINK("https://www.philgeps.gov.ph/GEPSNONPILOT/Tender/SplashBidNoticeAbstractUI.aspx?menuIndex=3&amp;refID=7155094&amp;Result=3","7155094")</f>
        <v>0</v>
      </c>
      <c r="B9019" t="s">
        <v>1265</v>
      </c>
      <c r="C9019" t="s">
        <v>12388</v>
      </c>
      <c r="D9019" t="s">
        <v>19024</v>
      </c>
      <c r="E9019" t="s">
        <v>26903</v>
      </c>
      <c r="F9019" t="s">
        <v>32831</v>
      </c>
      <c r="G9019" t="s">
        <v>32839</v>
      </c>
      <c r="H9019" t="s">
        <v>32849</v>
      </c>
      <c r="I9019" t="s">
        <v>4177</v>
      </c>
      <c r="J9019" t="s">
        <v>35531</v>
      </c>
      <c r="K9019" t="s">
        <v>42726</v>
      </c>
      <c r="M9019" t="s">
        <v>44335</v>
      </c>
      <c r="N9019" t="s">
        <v>47424</v>
      </c>
      <c r="O9019" t="s">
        <v>47425</v>
      </c>
      <c r="P9019">
        <v>0</v>
      </c>
      <c r="Q9019">
        <v>0</v>
      </c>
      <c r="R9019" t="s">
        <v>47432</v>
      </c>
      <c r="S9019" t="s">
        <v>47597</v>
      </c>
      <c r="T9019" t="s">
        <v>49162</v>
      </c>
      <c r="U9019" t="s">
        <v>57121</v>
      </c>
      <c r="W9019" t="s">
        <v>44335</v>
      </c>
      <c r="X9019" t="s">
        <v>47433</v>
      </c>
    </row>
    <row r="9020" spans="1:24">
      <c r="A9020">
        <f>HYPERLINK("https://www.philgeps.gov.ph/GEPSNONPILOT/Tender/SplashBidNoticeAbstractUI.aspx?menuIndex=3&amp;refID=7155111&amp;Result=3","7155111")</f>
        <v>0</v>
      </c>
      <c r="B9020" t="s">
        <v>1109</v>
      </c>
      <c r="C9020" t="s">
        <v>12389</v>
      </c>
      <c r="D9020" t="s">
        <v>19031</v>
      </c>
      <c r="E9020" t="s">
        <v>26904</v>
      </c>
      <c r="F9020" t="s">
        <v>32831</v>
      </c>
      <c r="G9020" t="s">
        <v>32839</v>
      </c>
      <c r="H9020" t="s">
        <v>32849</v>
      </c>
      <c r="I9020" t="s">
        <v>4177</v>
      </c>
      <c r="J9020" t="s">
        <v>38567</v>
      </c>
      <c r="K9020" t="s">
        <v>42728</v>
      </c>
      <c r="L9020" t="s">
        <v>1109</v>
      </c>
      <c r="M9020" t="s">
        <v>44169</v>
      </c>
      <c r="N9020" t="s">
        <v>47424</v>
      </c>
      <c r="O9020" t="s">
        <v>47425</v>
      </c>
      <c r="P9020">
        <v>0</v>
      </c>
      <c r="Q9020">
        <v>1</v>
      </c>
      <c r="R9020" t="s">
        <v>47432</v>
      </c>
      <c r="S9020" t="s">
        <v>47597</v>
      </c>
      <c r="T9020" t="s">
        <v>49236</v>
      </c>
      <c r="U9020" t="s">
        <v>57122</v>
      </c>
      <c r="W9020" t="s">
        <v>44169</v>
      </c>
      <c r="X9020" t="s">
        <v>47433</v>
      </c>
    </row>
    <row r="9021" spans="1:24">
      <c r="A9021">
        <f>HYPERLINK("https://www.philgeps.gov.ph/GEPSNONPILOT/Tender/SplashBidNoticeAbstractUI.aspx?menuIndex=3&amp;refID=7155095&amp;Result=3","7155095")</f>
        <v>0</v>
      </c>
      <c r="B9021" t="s">
        <v>1511</v>
      </c>
      <c r="C9021" t="s">
        <v>12390</v>
      </c>
      <c r="D9021" t="s">
        <v>19021</v>
      </c>
      <c r="E9021" t="s">
        <v>26905</v>
      </c>
      <c r="F9021" t="s">
        <v>32831</v>
      </c>
      <c r="G9021" t="s">
        <v>32838</v>
      </c>
      <c r="H9021" t="s">
        <v>32848</v>
      </c>
      <c r="I9021" t="s">
        <v>10805</v>
      </c>
      <c r="J9021" t="s">
        <v>33486</v>
      </c>
      <c r="K9021" t="s">
        <v>42726</v>
      </c>
      <c r="M9021" t="s">
        <v>44610</v>
      </c>
      <c r="N9021" t="s">
        <v>47424</v>
      </c>
      <c r="O9021" t="s">
        <v>47425</v>
      </c>
      <c r="P9021">
        <v>0</v>
      </c>
      <c r="Q9021">
        <v>1</v>
      </c>
      <c r="R9021" t="s">
        <v>47432</v>
      </c>
      <c r="S9021" t="s">
        <v>47597</v>
      </c>
      <c r="T9021" t="s">
        <v>49163</v>
      </c>
      <c r="U9021" t="s">
        <v>57123</v>
      </c>
      <c r="V9021" t="s">
        <v>63621</v>
      </c>
      <c r="W9021" t="s">
        <v>44610</v>
      </c>
      <c r="X9021" t="s">
        <v>47433</v>
      </c>
    </row>
    <row r="9022" spans="1:24">
      <c r="A9022">
        <f>HYPERLINK("https://www.philgeps.gov.ph/GEPSNONPILOT/Tender/SplashBidNoticeAbstractUI.aspx?menuIndex=3&amp;refID=7155117&amp;Result=3","7155117")</f>
        <v>0</v>
      </c>
      <c r="B9022" t="s">
        <v>2927</v>
      </c>
      <c r="C9022" t="s">
        <v>12391</v>
      </c>
      <c r="D9022" t="s">
        <v>19057</v>
      </c>
      <c r="E9022" t="s">
        <v>26898</v>
      </c>
      <c r="F9022" t="s">
        <v>32831</v>
      </c>
      <c r="G9022" t="s">
        <v>32839</v>
      </c>
      <c r="H9022" t="s">
        <v>32849</v>
      </c>
      <c r="I9022" t="s">
        <v>32851</v>
      </c>
      <c r="J9022" t="s">
        <v>33007</v>
      </c>
      <c r="K9022" t="s">
        <v>42731</v>
      </c>
      <c r="M9022" t="s">
        <v>46180</v>
      </c>
      <c r="N9022" t="s">
        <v>47424</v>
      </c>
      <c r="O9022" t="s">
        <v>47425</v>
      </c>
      <c r="P9022">
        <v>0</v>
      </c>
      <c r="Q9022">
        <v>0</v>
      </c>
      <c r="R9022" t="s">
        <v>47432</v>
      </c>
      <c r="S9022" t="s">
        <v>47597</v>
      </c>
      <c r="T9022" t="s">
        <v>49254</v>
      </c>
      <c r="U9022" t="s">
        <v>57124</v>
      </c>
      <c r="W9022" t="s">
        <v>46180</v>
      </c>
      <c r="X9022" t="s">
        <v>47433</v>
      </c>
    </row>
    <row r="9023" spans="1:24">
      <c r="A9023">
        <f>HYPERLINK("https://www.philgeps.gov.ph/GEPSNONPILOT/Tender/SplashBidNoticeAbstractUI.aspx?menuIndex=3&amp;refID=7155090&amp;Result=3","7155090")</f>
        <v>0</v>
      </c>
      <c r="B9023" t="s">
        <v>1527</v>
      </c>
      <c r="C9023" t="s">
        <v>12392</v>
      </c>
      <c r="D9023" t="s">
        <v>19057</v>
      </c>
      <c r="E9023" t="s">
        <v>26304</v>
      </c>
      <c r="F9023" t="s">
        <v>32831</v>
      </c>
      <c r="G9023" t="s">
        <v>32839</v>
      </c>
      <c r="H9023" t="s">
        <v>32848</v>
      </c>
      <c r="I9023" t="s">
        <v>4435</v>
      </c>
      <c r="J9023" t="s">
        <v>38568</v>
      </c>
      <c r="K9023" t="s">
        <v>42758</v>
      </c>
      <c r="M9023" t="s">
        <v>44630</v>
      </c>
      <c r="N9023" t="s">
        <v>47424</v>
      </c>
      <c r="O9023" t="s">
        <v>47425</v>
      </c>
      <c r="P9023">
        <v>0</v>
      </c>
      <c r="Q9023">
        <v>1</v>
      </c>
      <c r="R9023" t="s">
        <v>47432</v>
      </c>
      <c r="S9023" t="s">
        <v>47597</v>
      </c>
      <c r="T9023" t="s">
        <v>49079</v>
      </c>
      <c r="U9023" t="s">
        <v>57125</v>
      </c>
      <c r="V9023" t="s">
        <v>63622</v>
      </c>
      <c r="W9023" t="s">
        <v>44630</v>
      </c>
      <c r="X9023" t="s">
        <v>47433</v>
      </c>
    </row>
    <row r="9024" spans="1:24">
      <c r="A9024">
        <f>HYPERLINK("https://www.philgeps.gov.ph/GEPSNONPILOT/Tender/SplashBidNoticeAbstractUI.aspx?menuIndex=3&amp;refID=7155108&amp;Result=3","7155108")</f>
        <v>0</v>
      </c>
      <c r="B9024" t="s">
        <v>468</v>
      </c>
      <c r="C9024" t="s">
        <v>12393</v>
      </c>
      <c r="D9024" t="s">
        <v>19031</v>
      </c>
      <c r="E9024" t="s">
        <v>26906</v>
      </c>
      <c r="F9024" t="s">
        <v>32831</v>
      </c>
      <c r="G9024" t="s">
        <v>32839</v>
      </c>
      <c r="H9024" t="s">
        <v>32849</v>
      </c>
      <c r="I9024" t="s">
        <v>4177</v>
      </c>
      <c r="J9024" t="s">
        <v>38569</v>
      </c>
      <c r="K9024" t="s">
        <v>42842</v>
      </c>
      <c r="M9024" t="s">
        <v>43473</v>
      </c>
      <c r="N9024" t="s">
        <v>47424</v>
      </c>
      <c r="O9024" t="s">
        <v>47425</v>
      </c>
      <c r="P9024">
        <v>0</v>
      </c>
      <c r="Q9024">
        <v>1</v>
      </c>
      <c r="R9024" t="s">
        <v>47432</v>
      </c>
      <c r="S9024" t="s">
        <v>47597</v>
      </c>
      <c r="T9024" t="s">
        <v>49393</v>
      </c>
      <c r="U9024" t="s">
        <v>57126</v>
      </c>
      <c r="W9024" t="s">
        <v>64525</v>
      </c>
      <c r="X9024" t="s">
        <v>47433</v>
      </c>
    </row>
    <row r="9025" spans="1:24">
      <c r="A9025">
        <f>HYPERLINK("https://www.philgeps.gov.ph/GEPSNONPILOT/Tender/SplashBidNoticeAbstractUI.aspx?menuIndex=3&amp;refID=7155093&amp;Result=3","7155093")</f>
        <v>0</v>
      </c>
      <c r="B9025" t="s">
        <v>960</v>
      </c>
      <c r="C9025" t="s">
        <v>12394</v>
      </c>
      <c r="D9025" t="s">
        <v>19017</v>
      </c>
      <c r="E9025" t="s">
        <v>26907</v>
      </c>
      <c r="F9025" t="s">
        <v>32831</v>
      </c>
      <c r="G9025" t="s">
        <v>32839</v>
      </c>
      <c r="H9025" t="s">
        <v>32848</v>
      </c>
      <c r="I9025" t="s">
        <v>32894</v>
      </c>
      <c r="J9025" t="s">
        <v>38570</v>
      </c>
      <c r="K9025" t="s">
        <v>42774</v>
      </c>
      <c r="M9025" t="s">
        <v>46181</v>
      </c>
      <c r="N9025" t="s">
        <v>47424</v>
      </c>
      <c r="O9025" t="s">
        <v>47425</v>
      </c>
      <c r="Q9025">
        <v>6</v>
      </c>
      <c r="R9025" t="s">
        <v>47432</v>
      </c>
      <c r="S9025" t="s">
        <v>47628</v>
      </c>
      <c r="T9025" t="s">
        <v>49192</v>
      </c>
      <c r="U9025" t="s">
        <v>57127</v>
      </c>
      <c r="W9025" t="s">
        <v>46181</v>
      </c>
      <c r="X9025" t="s">
        <v>47433</v>
      </c>
    </row>
    <row r="9026" spans="1:24">
      <c r="A9026">
        <f>HYPERLINK("https://www.philgeps.gov.ph/GEPSNONPILOT/Tender/SplashBidNoticeAbstractUI.aspx?menuIndex=3&amp;refID=7155081&amp;Result=3","7155081")</f>
        <v>0</v>
      </c>
      <c r="B9026" t="s">
        <v>1951</v>
      </c>
      <c r="C9026" t="s">
        <v>12395</v>
      </c>
      <c r="D9026" t="s">
        <v>19084</v>
      </c>
      <c r="E9026" t="s">
        <v>26908</v>
      </c>
      <c r="F9026" t="s">
        <v>32831</v>
      </c>
      <c r="G9026" t="s">
        <v>32839</v>
      </c>
      <c r="H9026" t="s">
        <v>32848</v>
      </c>
      <c r="I9026" t="s">
        <v>32870</v>
      </c>
      <c r="J9026" t="s">
        <v>38571</v>
      </c>
      <c r="K9026" t="s">
        <v>42812</v>
      </c>
      <c r="M9026" t="s">
        <v>45108</v>
      </c>
      <c r="N9026" t="s">
        <v>47424</v>
      </c>
      <c r="O9026" t="s">
        <v>47425</v>
      </c>
      <c r="P9026">
        <v>0</v>
      </c>
      <c r="Q9026">
        <v>0</v>
      </c>
      <c r="R9026" t="s">
        <v>47432</v>
      </c>
      <c r="S9026" t="s">
        <v>47597</v>
      </c>
      <c r="T9026" t="s">
        <v>49214</v>
      </c>
      <c r="U9026" t="s">
        <v>57128</v>
      </c>
      <c r="W9026" t="s">
        <v>45108</v>
      </c>
      <c r="X9026" t="s">
        <v>47433</v>
      </c>
    </row>
    <row r="9027" spans="1:24">
      <c r="A9027">
        <f>HYPERLINK("https://www.philgeps.gov.ph/GEPSNONPILOT/Tender/SplashBidNoticeAbstractUI.aspx?menuIndex=3&amp;refID=7155088&amp;Result=3","7155088")</f>
        <v>0</v>
      </c>
      <c r="B9027" t="s">
        <v>2926</v>
      </c>
      <c r="C9027" t="s">
        <v>12396</v>
      </c>
      <c r="D9027" t="s">
        <v>19063</v>
      </c>
      <c r="E9027" t="s">
        <v>26909</v>
      </c>
      <c r="F9027" t="s">
        <v>32833</v>
      </c>
      <c r="G9027" t="s">
        <v>32839</v>
      </c>
      <c r="H9027" t="s">
        <v>32848</v>
      </c>
      <c r="I9027" t="s">
        <v>4303</v>
      </c>
      <c r="J9027" t="s">
        <v>38572</v>
      </c>
      <c r="K9027" t="s">
        <v>42729</v>
      </c>
      <c r="M9027" t="s">
        <v>46179</v>
      </c>
      <c r="N9027" t="s">
        <v>47424</v>
      </c>
      <c r="O9027" t="s">
        <v>47425</v>
      </c>
      <c r="P9027">
        <v>0</v>
      </c>
      <c r="Q9027">
        <v>0</v>
      </c>
      <c r="R9027" t="s">
        <v>47432</v>
      </c>
      <c r="S9027" t="s">
        <v>47597</v>
      </c>
      <c r="T9027" t="s">
        <v>49196</v>
      </c>
      <c r="U9027" t="s">
        <v>57129</v>
      </c>
      <c r="W9027" t="s">
        <v>46179</v>
      </c>
      <c r="X9027" t="s">
        <v>47433</v>
      </c>
    </row>
    <row r="9028" spans="1:24">
      <c r="A9028">
        <f>HYPERLINK("https://www.philgeps.gov.ph/GEPSNONPILOT/Tender/SplashBidNoticeAbstractUI.aspx?menuIndex=3&amp;refID=7155086&amp;Result=3","7155086")</f>
        <v>0</v>
      </c>
      <c r="B9028" t="s">
        <v>1109</v>
      </c>
      <c r="C9028" t="s">
        <v>12397</v>
      </c>
      <c r="D9028" t="s">
        <v>19031</v>
      </c>
      <c r="E9028" t="s">
        <v>26910</v>
      </c>
      <c r="F9028" t="s">
        <v>32831</v>
      </c>
      <c r="G9028" t="s">
        <v>32839</v>
      </c>
      <c r="H9028" t="s">
        <v>32849</v>
      </c>
      <c r="I9028" t="s">
        <v>4177</v>
      </c>
      <c r="J9028" t="s">
        <v>33078</v>
      </c>
      <c r="K9028" t="s">
        <v>42730</v>
      </c>
      <c r="L9028" t="s">
        <v>1109</v>
      </c>
      <c r="M9028" t="s">
        <v>44169</v>
      </c>
      <c r="N9028" t="s">
        <v>47424</v>
      </c>
      <c r="O9028" t="s">
        <v>47425</v>
      </c>
      <c r="P9028">
        <v>0</v>
      </c>
      <c r="Q9028">
        <v>1</v>
      </c>
      <c r="R9028" t="s">
        <v>47432</v>
      </c>
      <c r="S9028" t="s">
        <v>47597</v>
      </c>
      <c r="T9028" t="s">
        <v>49236</v>
      </c>
      <c r="U9028" t="s">
        <v>57130</v>
      </c>
      <c r="W9028" t="s">
        <v>44169</v>
      </c>
      <c r="X9028" t="s">
        <v>47433</v>
      </c>
    </row>
    <row r="9029" spans="1:24">
      <c r="A9029">
        <f>HYPERLINK("https://www.philgeps.gov.ph/GEPSNONPILOT/Tender/SplashBidNoticeAbstractUI.aspx?menuIndex=3&amp;refID=7155062&amp;Result=3","7155062")</f>
        <v>0</v>
      </c>
      <c r="B9029" t="s">
        <v>1963</v>
      </c>
      <c r="C9029" t="s">
        <v>12398</v>
      </c>
      <c r="D9029" t="s">
        <v>19037</v>
      </c>
      <c r="E9029" t="s">
        <v>26911</v>
      </c>
      <c r="F9029" t="s">
        <v>32831</v>
      </c>
      <c r="G9029" t="s">
        <v>32840</v>
      </c>
      <c r="H9029" t="s">
        <v>32848</v>
      </c>
      <c r="I9029" t="s">
        <v>32867</v>
      </c>
      <c r="J9029" t="s">
        <v>38573</v>
      </c>
      <c r="K9029" t="s">
        <v>42732</v>
      </c>
      <c r="M9029" t="s">
        <v>45123</v>
      </c>
      <c r="N9029" t="s">
        <v>47424</v>
      </c>
      <c r="O9029" t="s">
        <v>47425</v>
      </c>
      <c r="P9029">
        <v>0</v>
      </c>
      <c r="Q9029">
        <v>5</v>
      </c>
      <c r="R9029" t="s">
        <v>47432</v>
      </c>
      <c r="S9029" t="s">
        <v>47597</v>
      </c>
      <c r="T9029" t="s">
        <v>49150</v>
      </c>
      <c r="U9029" t="s">
        <v>57131</v>
      </c>
      <c r="V9029" t="s">
        <v>63201</v>
      </c>
      <c r="W9029" t="s">
        <v>45123</v>
      </c>
      <c r="X9029" t="s">
        <v>47433</v>
      </c>
    </row>
    <row r="9030" spans="1:24">
      <c r="A9030">
        <f>HYPERLINK("https://www.philgeps.gov.ph/GEPSNONPILOT/Tender/SplashBidNoticeAbstractUI.aspx?menuIndex=3&amp;refID=7155041&amp;Result=3","7155041")</f>
        <v>0</v>
      </c>
      <c r="B9030" t="s">
        <v>2917</v>
      </c>
      <c r="C9030" t="s">
        <v>12399</v>
      </c>
      <c r="E9030" t="s">
        <v>26912</v>
      </c>
      <c r="F9030" t="s">
        <v>32831</v>
      </c>
      <c r="G9030" t="s">
        <v>32838</v>
      </c>
      <c r="H9030" t="s">
        <v>32848</v>
      </c>
      <c r="I9030" t="s">
        <v>6526</v>
      </c>
      <c r="J9030" t="s">
        <v>38574</v>
      </c>
      <c r="K9030" t="s">
        <v>42732</v>
      </c>
      <c r="M9030" t="s">
        <v>46169</v>
      </c>
      <c r="N9030" t="s">
        <v>47424</v>
      </c>
      <c r="O9030" t="s">
        <v>47425</v>
      </c>
      <c r="P9030">
        <v>0</v>
      </c>
      <c r="Q9030">
        <v>0</v>
      </c>
      <c r="R9030" t="s">
        <v>47432</v>
      </c>
      <c r="S9030" t="s">
        <v>47597</v>
      </c>
      <c r="T9030" t="s">
        <v>49239</v>
      </c>
      <c r="U9030" t="s">
        <v>57132</v>
      </c>
      <c r="W9030" t="s">
        <v>46169</v>
      </c>
      <c r="X9030" t="s">
        <v>47433</v>
      </c>
    </row>
    <row r="9031" spans="1:24">
      <c r="A9031">
        <f>HYPERLINK("https://www.philgeps.gov.ph/GEPSNONPILOT/Tender/SplashBidNoticeAbstractUI.aspx?menuIndex=3&amp;refID=7155085&amp;Result=3","7155085")</f>
        <v>0</v>
      </c>
      <c r="B9031" t="s">
        <v>2928</v>
      </c>
      <c r="C9031" t="s">
        <v>9197</v>
      </c>
      <c r="D9031" t="s">
        <v>19045</v>
      </c>
      <c r="E9031" t="s">
        <v>26913</v>
      </c>
      <c r="F9031" t="s">
        <v>32831</v>
      </c>
      <c r="G9031" t="s">
        <v>32839</v>
      </c>
      <c r="H9031" t="s">
        <v>32849</v>
      </c>
      <c r="I9031" t="s">
        <v>4177</v>
      </c>
      <c r="J9031" t="s">
        <v>38575</v>
      </c>
      <c r="K9031" t="s">
        <v>42727</v>
      </c>
      <c r="M9031" t="s">
        <v>46182</v>
      </c>
      <c r="N9031" t="s">
        <v>47424</v>
      </c>
      <c r="O9031" t="s">
        <v>47425</v>
      </c>
      <c r="P9031">
        <v>0</v>
      </c>
      <c r="Q9031">
        <v>0</v>
      </c>
      <c r="R9031" t="s">
        <v>47432</v>
      </c>
      <c r="S9031" t="s">
        <v>47597</v>
      </c>
      <c r="T9031" t="s">
        <v>49057</v>
      </c>
      <c r="U9031" t="s">
        <v>57133</v>
      </c>
      <c r="W9031" t="s">
        <v>46182</v>
      </c>
      <c r="X9031" t="s">
        <v>47433</v>
      </c>
    </row>
    <row r="9032" spans="1:24">
      <c r="A9032">
        <f>HYPERLINK("https://www.philgeps.gov.ph/GEPSNONPILOT/Tender/SplashBidNoticeAbstractUI.aspx?menuIndex=3&amp;refID=7155040&amp;Result=3","7155040")</f>
        <v>0</v>
      </c>
      <c r="B9032" t="s">
        <v>2929</v>
      </c>
      <c r="C9032" t="s">
        <v>12400</v>
      </c>
      <c r="D9032" t="s">
        <v>19017</v>
      </c>
      <c r="E9032" t="s">
        <v>26914</v>
      </c>
      <c r="F9032" t="s">
        <v>32831</v>
      </c>
      <c r="G9032" t="s">
        <v>32838</v>
      </c>
      <c r="H9032" t="s">
        <v>32848</v>
      </c>
      <c r="I9032" t="s">
        <v>32864</v>
      </c>
      <c r="J9032" t="s">
        <v>38576</v>
      </c>
      <c r="K9032" t="s">
        <v>42748</v>
      </c>
      <c r="M9032" t="s">
        <v>46183</v>
      </c>
      <c r="N9032" t="s">
        <v>47424</v>
      </c>
      <c r="O9032" t="s">
        <v>47425</v>
      </c>
      <c r="P9032">
        <v>0</v>
      </c>
      <c r="Q9032">
        <v>7</v>
      </c>
      <c r="R9032" t="s">
        <v>47432</v>
      </c>
      <c r="S9032" t="s">
        <v>47597</v>
      </c>
      <c r="T9032" t="s">
        <v>49212</v>
      </c>
      <c r="U9032" t="s">
        <v>57134</v>
      </c>
      <c r="W9032" t="s">
        <v>46183</v>
      </c>
      <c r="X9032" t="s">
        <v>47433</v>
      </c>
    </row>
    <row r="9033" spans="1:24">
      <c r="A9033">
        <f>HYPERLINK("https://www.philgeps.gov.ph/GEPSNONPILOT/Tender/SplashBidNoticeAbstractUI.aspx?menuIndex=3&amp;refID=7155049&amp;Result=3","7155049")</f>
        <v>0</v>
      </c>
      <c r="B9033" t="s">
        <v>2926</v>
      </c>
      <c r="C9033" t="s">
        <v>12401</v>
      </c>
      <c r="D9033" t="s">
        <v>19063</v>
      </c>
      <c r="E9033" t="s">
        <v>26915</v>
      </c>
      <c r="F9033" t="s">
        <v>32833</v>
      </c>
      <c r="G9033" t="s">
        <v>32839</v>
      </c>
      <c r="H9033" t="s">
        <v>32848</v>
      </c>
      <c r="I9033" t="s">
        <v>4435</v>
      </c>
      <c r="J9033" t="s">
        <v>33078</v>
      </c>
      <c r="K9033" t="s">
        <v>42763</v>
      </c>
      <c r="M9033" t="s">
        <v>46179</v>
      </c>
      <c r="N9033" t="s">
        <v>47424</v>
      </c>
      <c r="O9033" t="s">
        <v>47425</v>
      </c>
      <c r="P9033">
        <v>0</v>
      </c>
      <c r="Q9033">
        <v>3</v>
      </c>
      <c r="R9033" t="s">
        <v>47432</v>
      </c>
      <c r="S9033" t="s">
        <v>47597</v>
      </c>
      <c r="T9033" t="s">
        <v>49196</v>
      </c>
      <c r="U9033" t="s">
        <v>57135</v>
      </c>
      <c r="W9033" t="s">
        <v>46179</v>
      </c>
      <c r="X9033" t="s">
        <v>47433</v>
      </c>
    </row>
    <row r="9034" spans="1:24">
      <c r="A9034">
        <f>HYPERLINK("https://www.philgeps.gov.ph/GEPSNONPILOT/Tender/SplashBidNoticeAbstractUI.aspx?menuIndex=3&amp;refID=7155036&amp;Result=3","7155036")</f>
        <v>0</v>
      </c>
      <c r="B9034" t="s">
        <v>2917</v>
      </c>
      <c r="C9034" t="s">
        <v>12402</v>
      </c>
      <c r="E9034" t="s">
        <v>26916</v>
      </c>
      <c r="F9034" t="s">
        <v>32831</v>
      </c>
      <c r="G9034" t="s">
        <v>32838</v>
      </c>
      <c r="H9034" t="s">
        <v>32848</v>
      </c>
      <c r="I9034" t="s">
        <v>32884</v>
      </c>
      <c r="J9034" t="s">
        <v>33162</v>
      </c>
      <c r="K9034" t="s">
        <v>42732</v>
      </c>
      <c r="M9034" t="s">
        <v>46169</v>
      </c>
      <c r="N9034" t="s">
        <v>47424</v>
      </c>
      <c r="O9034" t="s">
        <v>47425</v>
      </c>
      <c r="P9034">
        <v>0</v>
      </c>
      <c r="Q9034">
        <v>1</v>
      </c>
      <c r="R9034" t="s">
        <v>47432</v>
      </c>
      <c r="S9034" t="s">
        <v>47597</v>
      </c>
      <c r="T9034" t="s">
        <v>49239</v>
      </c>
      <c r="U9034" t="s">
        <v>57136</v>
      </c>
      <c r="W9034" t="s">
        <v>46169</v>
      </c>
      <c r="X9034" t="s">
        <v>47433</v>
      </c>
    </row>
    <row r="9035" spans="1:24">
      <c r="A9035">
        <f>HYPERLINK("https://www.philgeps.gov.ph/GEPSNONPILOT/Tender/SplashBidNoticeAbstractUI.aspx?menuIndex=3&amp;refID=7155046&amp;Result=3","7155046")</f>
        <v>0</v>
      </c>
      <c r="B9035" t="s">
        <v>1963</v>
      </c>
      <c r="C9035" t="s">
        <v>12403</v>
      </c>
      <c r="D9035" t="s">
        <v>19037</v>
      </c>
      <c r="E9035" t="s">
        <v>26917</v>
      </c>
      <c r="F9035" t="s">
        <v>32831</v>
      </c>
      <c r="G9035" t="s">
        <v>32838</v>
      </c>
      <c r="H9035" t="s">
        <v>32848</v>
      </c>
      <c r="I9035" t="s">
        <v>32863</v>
      </c>
      <c r="J9035" t="s">
        <v>33044</v>
      </c>
      <c r="K9035" t="s">
        <v>42732</v>
      </c>
      <c r="M9035" t="s">
        <v>45123</v>
      </c>
      <c r="N9035" t="s">
        <v>47424</v>
      </c>
      <c r="O9035" t="s">
        <v>47425</v>
      </c>
      <c r="P9035">
        <v>0</v>
      </c>
      <c r="Q9035">
        <v>2</v>
      </c>
      <c r="R9035" t="s">
        <v>47432</v>
      </c>
      <c r="S9035" t="s">
        <v>47597</v>
      </c>
      <c r="T9035" t="s">
        <v>49229</v>
      </c>
      <c r="U9035" t="s">
        <v>57137</v>
      </c>
      <c r="V9035" t="s">
        <v>63201</v>
      </c>
      <c r="W9035" t="s">
        <v>45123</v>
      </c>
      <c r="X9035" t="s">
        <v>47433</v>
      </c>
    </row>
    <row r="9036" spans="1:24">
      <c r="A9036">
        <f>HYPERLINK("https://www.philgeps.gov.ph/GEPSNONPILOT/Tender/SplashBidNoticeAbstractUI.aspx?menuIndex=3&amp;refID=7155052&amp;Result=3","7155052")</f>
        <v>0</v>
      </c>
      <c r="B9036" t="s">
        <v>2930</v>
      </c>
      <c r="C9036" t="s">
        <v>12404</v>
      </c>
      <c r="D9036" t="s">
        <v>19044</v>
      </c>
      <c r="E9036" t="s">
        <v>19211</v>
      </c>
      <c r="F9036" t="s">
        <v>32831</v>
      </c>
      <c r="G9036" t="s">
        <v>32839</v>
      </c>
      <c r="H9036" t="s">
        <v>32849</v>
      </c>
      <c r="I9036" t="s">
        <v>4177</v>
      </c>
      <c r="J9036" t="s">
        <v>38577</v>
      </c>
      <c r="K9036" t="s">
        <v>42730</v>
      </c>
      <c r="M9036" t="s">
        <v>46184</v>
      </c>
      <c r="N9036" t="s">
        <v>47424</v>
      </c>
      <c r="O9036" t="s">
        <v>47425</v>
      </c>
      <c r="P9036">
        <v>0</v>
      </c>
      <c r="Q9036">
        <v>0</v>
      </c>
      <c r="R9036" t="s">
        <v>47432</v>
      </c>
      <c r="S9036" t="s">
        <v>47597</v>
      </c>
      <c r="T9036" t="s">
        <v>49141</v>
      </c>
      <c r="U9036" t="s">
        <v>51656</v>
      </c>
      <c r="W9036" t="s">
        <v>46184</v>
      </c>
      <c r="X9036" t="s">
        <v>47433</v>
      </c>
    </row>
    <row r="9037" spans="1:24">
      <c r="A9037">
        <f>HYPERLINK("https://www.philgeps.gov.ph/GEPSNONPILOT/Tender/SplashBidNoticeAbstractUI.aspx?menuIndex=3&amp;refID=7155039&amp;Result=3","7155039")</f>
        <v>0</v>
      </c>
      <c r="B9037" t="s">
        <v>424</v>
      </c>
      <c r="C9037" t="s">
        <v>12405</v>
      </c>
      <c r="D9037" t="s">
        <v>19062</v>
      </c>
      <c r="E9037" t="s">
        <v>26918</v>
      </c>
      <c r="F9037" t="s">
        <v>32831</v>
      </c>
      <c r="G9037" t="s">
        <v>32839</v>
      </c>
      <c r="H9037" t="s">
        <v>32849</v>
      </c>
      <c r="I9037" t="s">
        <v>4177</v>
      </c>
      <c r="J9037" t="s">
        <v>38578</v>
      </c>
      <c r="K9037" t="s">
        <v>42747</v>
      </c>
      <c r="M9037" t="s">
        <v>43429</v>
      </c>
      <c r="N9037" t="s">
        <v>47424</v>
      </c>
      <c r="O9037" t="s">
        <v>47425</v>
      </c>
      <c r="P9037">
        <v>0</v>
      </c>
      <c r="Q9037">
        <v>0</v>
      </c>
      <c r="R9037" t="s">
        <v>47432</v>
      </c>
      <c r="S9037" t="s">
        <v>47597</v>
      </c>
      <c r="T9037" t="s">
        <v>49079</v>
      </c>
      <c r="U9037" t="s">
        <v>57138</v>
      </c>
      <c r="W9037" t="s">
        <v>43429</v>
      </c>
      <c r="X9037" t="s">
        <v>47433</v>
      </c>
    </row>
    <row r="9038" spans="1:24">
      <c r="A9038">
        <f>HYPERLINK("https://www.philgeps.gov.ph/GEPSNONPILOT/Tender/SplashBidNoticeAbstractUI.aspx?menuIndex=3&amp;refID=7155158&amp;Result=3","7155158")</f>
        <v>0</v>
      </c>
      <c r="B9038" t="s">
        <v>2931</v>
      </c>
      <c r="C9038" t="s">
        <v>12406</v>
      </c>
      <c r="D9038" t="s">
        <v>19057</v>
      </c>
      <c r="E9038" t="s">
        <v>26919</v>
      </c>
      <c r="F9038" t="s">
        <v>32831</v>
      </c>
      <c r="G9038" t="s">
        <v>32839</v>
      </c>
      <c r="H9038" t="s">
        <v>32848</v>
      </c>
      <c r="I9038" t="s">
        <v>32853</v>
      </c>
      <c r="J9038" t="s">
        <v>33644</v>
      </c>
      <c r="K9038" t="s">
        <v>42726</v>
      </c>
      <c r="M9038" t="s">
        <v>46185</v>
      </c>
      <c r="N9038" t="s">
        <v>47424</v>
      </c>
      <c r="O9038" t="s">
        <v>47425</v>
      </c>
      <c r="P9038">
        <v>0</v>
      </c>
      <c r="Q9038">
        <v>0</v>
      </c>
      <c r="R9038" t="s">
        <v>47432</v>
      </c>
      <c r="S9038" t="s">
        <v>47597</v>
      </c>
      <c r="T9038" t="s">
        <v>49079</v>
      </c>
      <c r="U9038" t="s">
        <v>57139</v>
      </c>
      <c r="W9038" t="s">
        <v>46185</v>
      </c>
      <c r="X9038" t="s">
        <v>47433</v>
      </c>
    </row>
    <row r="9039" spans="1:24">
      <c r="A9039">
        <f>HYPERLINK("https://www.philgeps.gov.ph/GEPSNONPILOT/Tender/SplashBidNoticeAbstractUI.aspx?menuIndex=3&amp;refID=7155157&amp;Result=3","7155157")</f>
        <v>0</v>
      </c>
      <c r="B9039" t="s">
        <v>2932</v>
      </c>
      <c r="C9039" t="s">
        <v>12407</v>
      </c>
      <c r="E9039" t="s">
        <v>19144</v>
      </c>
      <c r="F9039" t="s">
        <v>32831</v>
      </c>
      <c r="G9039" t="s">
        <v>32839</v>
      </c>
      <c r="H9039" t="s">
        <v>32848</v>
      </c>
      <c r="I9039" t="s">
        <v>7416</v>
      </c>
      <c r="J9039" t="s">
        <v>38579</v>
      </c>
      <c r="K9039" t="s">
        <v>42727</v>
      </c>
      <c r="M9039" t="s">
        <v>46186</v>
      </c>
      <c r="N9039" t="s">
        <v>47424</v>
      </c>
      <c r="O9039" t="s">
        <v>47425</v>
      </c>
      <c r="P9039">
        <v>0</v>
      </c>
      <c r="Q9039">
        <v>1</v>
      </c>
      <c r="R9039" t="s">
        <v>47432</v>
      </c>
      <c r="S9039" t="s">
        <v>47597</v>
      </c>
      <c r="T9039" t="s">
        <v>49370</v>
      </c>
      <c r="U9039" t="s">
        <v>57140</v>
      </c>
      <c r="W9039" t="s">
        <v>46186</v>
      </c>
      <c r="X9039" t="s">
        <v>47433</v>
      </c>
    </row>
    <row r="9040" spans="1:24">
      <c r="A9040">
        <f>HYPERLINK("https://www.philgeps.gov.ph/GEPSNONPILOT/Tender/SplashBidNoticeAbstractUI.aspx?menuIndex=3&amp;refID=7155153&amp;Result=3","7155153")</f>
        <v>0</v>
      </c>
      <c r="B9040" t="s">
        <v>2614</v>
      </c>
      <c r="C9040" t="s">
        <v>12408</v>
      </c>
      <c r="D9040" t="s">
        <v>19017</v>
      </c>
      <c r="E9040" t="s">
        <v>26920</v>
      </c>
      <c r="F9040" t="s">
        <v>32831</v>
      </c>
      <c r="G9040" t="s">
        <v>32839</v>
      </c>
      <c r="H9040" t="s">
        <v>32848</v>
      </c>
      <c r="I9040" t="s">
        <v>32869</v>
      </c>
      <c r="J9040" t="s">
        <v>32985</v>
      </c>
      <c r="K9040" t="s">
        <v>42745</v>
      </c>
      <c r="M9040" t="s">
        <v>46187</v>
      </c>
      <c r="N9040" t="s">
        <v>47424</v>
      </c>
      <c r="O9040" t="s">
        <v>47425</v>
      </c>
      <c r="P9040">
        <v>0</v>
      </c>
      <c r="Q9040">
        <v>5</v>
      </c>
      <c r="R9040" t="s">
        <v>47432</v>
      </c>
      <c r="S9040" t="s">
        <v>47597</v>
      </c>
      <c r="T9040" t="s">
        <v>49115</v>
      </c>
      <c r="U9040" t="s">
        <v>57141</v>
      </c>
      <c r="W9040" t="s">
        <v>64520</v>
      </c>
      <c r="X9040" t="s">
        <v>47433</v>
      </c>
    </row>
    <row r="9041" spans="1:24">
      <c r="A9041">
        <f>HYPERLINK("https://www.philgeps.gov.ph/GEPSNONPILOT/Tender/SplashBidNoticeAbstractUI.aspx?menuIndex=3&amp;refID=7155152&amp;Result=3","7155152")</f>
        <v>0</v>
      </c>
      <c r="B9041" t="s">
        <v>2131</v>
      </c>
      <c r="C9041" t="s">
        <v>12409</v>
      </c>
      <c r="D9041" t="s">
        <v>19027</v>
      </c>
      <c r="E9041" t="s">
        <v>19861</v>
      </c>
      <c r="F9041" t="s">
        <v>32831</v>
      </c>
      <c r="G9041" t="s">
        <v>32839</v>
      </c>
      <c r="H9041" t="s">
        <v>32848</v>
      </c>
      <c r="I9041" t="s">
        <v>32932</v>
      </c>
      <c r="J9041" t="s">
        <v>35447</v>
      </c>
      <c r="K9041" t="s">
        <v>42759</v>
      </c>
      <c r="M9041" t="s">
        <v>45306</v>
      </c>
      <c r="N9041" t="s">
        <v>47424</v>
      </c>
      <c r="O9041" t="s">
        <v>47425</v>
      </c>
      <c r="P9041">
        <v>0</v>
      </c>
      <c r="Q9041">
        <v>0</v>
      </c>
      <c r="R9041" t="s">
        <v>47432</v>
      </c>
      <c r="S9041" t="s">
        <v>47597</v>
      </c>
      <c r="T9041" t="s">
        <v>49109</v>
      </c>
      <c r="U9041" t="s">
        <v>57142</v>
      </c>
      <c r="W9041" t="s">
        <v>45306</v>
      </c>
      <c r="X9041" t="s">
        <v>47433</v>
      </c>
    </row>
    <row r="9042" spans="1:24">
      <c r="A9042">
        <f>HYPERLINK("https://www.philgeps.gov.ph/GEPSNONPILOT/Tender/SplashBidNoticeAbstractUI.aspx?menuIndex=3&amp;refID=7155151&amp;Result=3","7155151")</f>
        <v>0</v>
      </c>
      <c r="B9042" t="s">
        <v>1756</v>
      </c>
      <c r="C9042" t="s">
        <v>12410</v>
      </c>
      <c r="D9042" t="s">
        <v>19021</v>
      </c>
      <c r="E9042" t="s">
        <v>26921</v>
      </c>
      <c r="F9042" t="s">
        <v>32831</v>
      </c>
      <c r="G9042" t="s">
        <v>32840</v>
      </c>
      <c r="H9042" t="s">
        <v>32848</v>
      </c>
      <c r="I9042" t="s">
        <v>32929</v>
      </c>
      <c r="J9042" t="s">
        <v>38580</v>
      </c>
      <c r="K9042" t="s">
        <v>42748</v>
      </c>
      <c r="M9042" t="s">
        <v>44880</v>
      </c>
      <c r="N9042" t="s">
        <v>47424</v>
      </c>
      <c r="O9042" t="s">
        <v>47425</v>
      </c>
      <c r="P9042">
        <v>0</v>
      </c>
      <c r="Q9042">
        <v>0</v>
      </c>
      <c r="R9042" t="s">
        <v>47432</v>
      </c>
      <c r="S9042" t="s">
        <v>47597</v>
      </c>
      <c r="T9042" t="s">
        <v>49107</v>
      </c>
      <c r="U9042" t="s">
        <v>57143</v>
      </c>
      <c r="W9042" t="s">
        <v>44880</v>
      </c>
      <c r="X9042" t="s">
        <v>47433</v>
      </c>
    </row>
    <row r="9043" spans="1:24">
      <c r="A9043">
        <f>HYPERLINK("https://www.philgeps.gov.ph/GEPSNONPILOT/Tender/SplashBidNoticeAbstractUI.aspx?menuIndex=3&amp;refID=7155150&amp;Result=3","7155150")</f>
        <v>0</v>
      </c>
      <c r="B9043" t="s">
        <v>2932</v>
      </c>
      <c r="C9043" t="s">
        <v>12411</v>
      </c>
      <c r="E9043" t="s">
        <v>19219</v>
      </c>
      <c r="F9043" t="s">
        <v>32831</v>
      </c>
      <c r="G9043" t="s">
        <v>32839</v>
      </c>
      <c r="H9043" t="s">
        <v>32848</v>
      </c>
      <c r="I9043" t="s">
        <v>7416</v>
      </c>
      <c r="J9043" t="s">
        <v>38581</v>
      </c>
      <c r="K9043" t="s">
        <v>42727</v>
      </c>
      <c r="M9043" t="s">
        <v>46186</v>
      </c>
      <c r="N9043" t="s">
        <v>47424</v>
      </c>
      <c r="O9043" t="s">
        <v>47425</v>
      </c>
      <c r="P9043">
        <v>0</v>
      </c>
      <c r="Q9043">
        <v>0</v>
      </c>
      <c r="R9043" t="s">
        <v>47432</v>
      </c>
      <c r="S9043" t="s">
        <v>47597</v>
      </c>
      <c r="T9043" t="s">
        <v>49370</v>
      </c>
      <c r="U9043" t="s">
        <v>57144</v>
      </c>
      <c r="W9043" t="s">
        <v>46186</v>
      </c>
      <c r="X9043" t="s">
        <v>47433</v>
      </c>
    </row>
    <row r="9044" spans="1:24">
      <c r="A9044">
        <f>HYPERLINK("https://www.philgeps.gov.ph/GEPSNONPILOT/Tender/SplashBidNoticeAbstractUI.aspx?menuIndex=3&amp;refID=7155146&amp;Result=3","7155146")</f>
        <v>0</v>
      </c>
      <c r="B9044" t="s">
        <v>1951</v>
      </c>
      <c r="C9044" t="s">
        <v>12412</v>
      </c>
      <c r="D9044" t="s">
        <v>19084</v>
      </c>
      <c r="E9044" t="s">
        <v>26922</v>
      </c>
      <c r="F9044" t="s">
        <v>32831</v>
      </c>
      <c r="G9044" t="s">
        <v>32839</v>
      </c>
      <c r="H9044" t="s">
        <v>32848</v>
      </c>
      <c r="I9044" t="s">
        <v>4487</v>
      </c>
      <c r="J9044" t="s">
        <v>32983</v>
      </c>
      <c r="K9044" t="s">
        <v>42730</v>
      </c>
      <c r="M9044" t="s">
        <v>45108</v>
      </c>
      <c r="N9044" t="s">
        <v>47424</v>
      </c>
      <c r="O9044" t="s">
        <v>47425</v>
      </c>
      <c r="P9044">
        <v>0</v>
      </c>
      <c r="Q9044">
        <v>1</v>
      </c>
      <c r="R9044" t="s">
        <v>47432</v>
      </c>
      <c r="S9044" t="s">
        <v>47597</v>
      </c>
      <c r="T9044" t="s">
        <v>49192</v>
      </c>
      <c r="U9044" t="s">
        <v>57145</v>
      </c>
      <c r="W9044" t="s">
        <v>45108</v>
      </c>
      <c r="X9044" t="s">
        <v>47433</v>
      </c>
    </row>
    <row r="9045" spans="1:24">
      <c r="A9045">
        <f>HYPERLINK("https://www.philgeps.gov.ph/GEPSNONPILOT/Tender/SplashBidNoticeAbstractUI.aspx?menuIndex=3&amp;refID=7155144&amp;Result=3","7155144")</f>
        <v>0</v>
      </c>
      <c r="B9045" t="s">
        <v>272</v>
      </c>
      <c r="C9045" t="s">
        <v>12413</v>
      </c>
      <c r="D9045" t="s">
        <v>19077</v>
      </c>
      <c r="E9045" t="s">
        <v>26923</v>
      </c>
      <c r="F9045" t="s">
        <v>32831</v>
      </c>
      <c r="G9045" t="s">
        <v>32839</v>
      </c>
      <c r="H9045" t="s">
        <v>32848</v>
      </c>
      <c r="I9045" t="s">
        <v>32949</v>
      </c>
      <c r="J9045" t="s">
        <v>38582</v>
      </c>
      <c r="K9045" t="s">
        <v>42732</v>
      </c>
      <c r="M9045" t="s">
        <v>46188</v>
      </c>
      <c r="N9045" t="s">
        <v>47424</v>
      </c>
      <c r="O9045" t="s">
        <v>47425</v>
      </c>
      <c r="P9045">
        <v>0</v>
      </c>
      <c r="Q9045">
        <v>1</v>
      </c>
      <c r="R9045" t="s">
        <v>47432</v>
      </c>
      <c r="S9045" t="s">
        <v>47597</v>
      </c>
      <c r="T9045" t="s">
        <v>49221</v>
      </c>
      <c r="U9045" t="s">
        <v>57146</v>
      </c>
      <c r="V9045" t="s">
        <v>63623</v>
      </c>
      <c r="W9045" t="s">
        <v>46188</v>
      </c>
      <c r="X9045" t="s">
        <v>47433</v>
      </c>
    </row>
    <row r="9046" spans="1:24">
      <c r="A9046">
        <f>HYPERLINK("https://www.philgeps.gov.ph/GEPSNONPILOT/Tender/SplashBidNoticeAbstractUI.aspx?menuIndex=3&amp;refID=7155143&amp;Result=3","7155143")</f>
        <v>0</v>
      </c>
      <c r="B9046" t="s">
        <v>2933</v>
      </c>
      <c r="C9046" t="s">
        <v>12414</v>
      </c>
      <c r="D9046" t="s">
        <v>19095</v>
      </c>
      <c r="E9046" t="s">
        <v>23938</v>
      </c>
      <c r="F9046" t="s">
        <v>32831</v>
      </c>
      <c r="G9046" t="s">
        <v>32839</v>
      </c>
      <c r="H9046" t="s">
        <v>32848</v>
      </c>
      <c r="I9046" t="s">
        <v>4776</v>
      </c>
      <c r="J9046" t="s">
        <v>35023</v>
      </c>
      <c r="K9046" t="s">
        <v>42731</v>
      </c>
      <c r="M9046" t="s">
        <v>46189</v>
      </c>
      <c r="N9046" t="s">
        <v>47424</v>
      </c>
      <c r="O9046" t="s">
        <v>47425</v>
      </c>
      <c r="P9046">
        <v>0</v>
      </c>
      <c r="Q9046">
        <v>8</v>
      </c>
      <c r="R9046" t="s">
        <v>47432</v>
      </c>
      <c r="S9046" t="s">
        <v>47597</v>
      </c>
      <c r="T9046" t="s">
        <v>49138</v>
      </c>
      <c r="U9046" t="s">
        <v>57147</v>
      </c>
      <c r="W9046" t="s">
        <v>46189</v>
      </c>
      <c r="X9046" t="s">
        <v>47433</v>
      </c>
    </row>
    <row r="9047" spans="1:24">
      <c r="A9047">
        <f>HYPERLINK("https://www.philgeps.gov.ph/GEPSNONPILOT/Tender/SplashBidNoticeAbstractUI.aspx?menuIndex=3&amp;refID=7155042&amp;Result=3","7155042")</f>
        <v>0</v>
      </c>
      <c r="B9047" t="s">
        <v>1162</v>
      </c>
      <c r="C9047" t="s">
        <v>12415</v>
      </c>
      <c r="D9047" t="s">
        <v>19050</v>
      </c>
      <c r="E9047" t="s">
        <v>26924</v>
      </c>
      <c r="F9047" t="s">
        <v>32831</v>
      </c>
      <c r="G9047" t="s">
        <v>32839</v>
      </c>
      <c r="H9047" t="s">
        <v>32849</v>
      </c>
      <c r="I9047" t="s">
        <v>4177</v>
      </c>
      <c r="J9047" t="s">
        <v>38583</v>
      </c>
      <c r="K9047" t="s">
        <v>42770</v>
      </c>
      <c r="M9047" t="s">
        <v>46173</v>
      </c>
      <c r="N9047" t="s">
        <v>47424</v>
      </c>
      <c r="O9047" t="s">
        <v>47425</v>
      </c>
      <c r="P9047">
        <v>0</v>
      </c>
      <c r="Q9047">
        <v>1</v>
      </c>
      <c r="R9047" t="s">
        <v>47432</v>
      </c>
      <c r="S9047" t="s">
        <v>47597</v>
      </c>
      <c r="T9047" t="s">
        <v>49138</v>
      </c>
      <c r="U9047" t="s">
        <v>57148</v>
      </c>
      <c r="W9047" t="s">
        <v>46173</v>
      </c>
      <c r="X9047" t="s">
        <v>47433</v>
      </c>
    </row>
    <row r="9048" spans="1:24">
      <c r="A9048">
        <f>HYPERLINK("https://www.philgeps.gov.ph/GEPSNONPILOT/Tender/SplashBidNoticeAbstractUI.aspx?menuIndex=3&amp;refID=7155139&amp;Result=3","7155139")</f>
        <v>0</v>
      </c>
      <c r="B9048" t="s">
        <v>272</v>
      </c>
      <c r="C9048" t="s">
        <v>12416</v>
      </c>
      <c r="D9048" t="s">
        <v>19077</v>
      </c>
      <c r="E9048" t="s">
        <v>26925</v>
      </c>
      <c r="F9048" t="s">
        <v>32831</v>
      </c>
      <c r="G9048" t="s">
        <v>32839</v>
      </c>
      <c r="H9048" t="s">
        <v>32848</v>
      </c>
      <c r="I9048" t="s">
        <v>32857</v>
      </c>
      <c r="J9048" t="s">
        <v>38584</v>
      </c>
      <c r="K9048" t="s">
        <v>42732</v>
      </c>
      <c r="M9048" t="s">
        <v>46188</v>
      </c>
      <c r="N9048" t="s">
        <v>47424</v>
      </c>
      <c r="O9048" t="s">
        <v>47425</v>
      </c>
      <c r="P9048">
        <v>0</v>
      </c>
      <c r="Q9048">
        <v>4</v>
      </c>
      <c r="R9048" t="s">
        <v>47432</v>
      </c>
      <c r="S9048" t="s">
        <v>47597</v>
      </c>
      <c r="T9048" t="s">
        <v>49221</v>
      </c>
      <c r="U9048" t="s">
        <v>57149</v>
      </c>
      <c r="V9048" t="s">
        <v>63623</v>
      </c>
      <c r="W9048" t="s">
        <v>46188</v>
      </c>
      <c r="X9048" t="s">
        <v>47433</v>
      </c>
    </row>
    <row r="9049" spans="1:24">
      <c r="A9049">
        <f>HYPERLINK("https://www.philgeps.gov.ph/GEPSNONPILOT/Tender/SplashBidNoticeAbstractUI.aspx?menuIndex=3&amp;refID=7155137&amp;Result=3","7155137")</f>
        <v>0</v>
      </c>
      <c r="B9049" t="s">
        <v>2396</v>
      </c>
      <c r="C9049" t="s">
        <v>12417</v>
      </c>
      <c r="D9049" t="s">
        <v>19017</v>
      </c>
      <c r="E9049" t="s">
        <v>26926</v>
      </c>
      <c r="F9049" t="s">
        <v>32831</v>
      </c>
      <c r="G9049" t="s">
        <v>32839</v>
      </c>
      <c r="H9049" t="s">
        <v>32848</v>
      </c>
      <c r="I9049" t="s">
        <v>4558</v>
      </c>
      <c r="J9049" t="s">
        <v>38585</v>
      </c>
      <c r="K9049" t="s">
        <v>42729</v>
      </c>
      <c r="M9049" t="s">
        <v>45588</v>
      </c>
      <c r="N9049" t="s">
        <v>47424</v>
      </c>
      <c r="O9049" t="s">
        <v>47425</v>
      </c>
      <c r="P9049">
        <v>0</v>
      </c>
      <c r="Q9049">
        <v>7</v>
      </c>
      <c r="R9049" t="s">
        <v>47432</v>
      </c>
      <c r="S9049" t="s">
        <v>47597</v>
      </c>
      <c r="T9049" t="s">
        <v>49461</v>
      </c>
      <c r="U9049" t="s">
        <v>57150</v>
      </c>
      <c r="W9049" t="s">
        <v>45588</v>
      </c>
      <c r="X9049" t="s">
        <v>47433</v>
      </c>
    </row>
    <row r="9050" spans="1:24">
      <c r="A9050">
        <f>HYPERLINK("https://www.philgeps.gov.ph/GEPSNONPILOT/Tender/SplashBidNoticeAbstractUI.aspx?menuIndex=3&amp;refID=7155134&amp;Result=3","7155134")</f>
        <v>0</v>
      </c>
      <c r="B9050" t="s">
        <v>1265</v>
      </c>
      <c r="C9050" t="s">
        <v>12418</v>
      </c>
      <c r="D9050" t="s">
        <v>19024</v>
      </c>
      <c r="E9050" t="s">
        <v>26927</v>
      </c>
      <c r="F9050" t="s">
        <v>32831</v>
      </c>
      <c r="G9050" t="s">
        <v>32839</v>
      </c>
      <c r="H9050" t="s">
        <v>32848</v>
      </c>
      <c r="I9050" t="s">
        <v>32857</v>
      </c>
      <c r="J9050" t="s">
        <v>32983</v>
      </c>
      <c r="K9050" t="s">
        <v>42726</v>
      </c>
      <c r="M9050" t="s">
        <v>44335</v>
      </c>
      <c r="N9050" t="s">
        <v>47424</v>
      </c>
      <c r="O9050" t="s">
        <v>47425</v>
      </c>
      <c r="P9050">
        <v>0</v>
      </c>
      <c r="Q9050">
        <v>0</v>
      </c>
      <c r="R9050" t="s">
        <v>47432</v>
      </c>
      <c r="S9050" t="s">
        <v>47597</v>
      </c>
      <c r="T9050" t="s">
        <v>49116</v>
      </c>
      <c r="U9050" t="s">
        <v>57151</v>
      </c>
      <c r="W9050" t="s">
        <v>44335</v>
      </c>
      <c r="X9050" t="s">
        <v>47433</v>
      </c>
    </row>
    <row r="9051" spans="1:24">
      <c r="A9051">
        <f>HYPERLINK("https://www.philgeps.gov.ph/GEPSNONPILOT/Tender/SplashBidNoticeAbstractUI.aspx?menuIndex=3&amp;refID=7155131&amp;Result=3","7155131")</f>
        <v>0</v>
      </c>
      <c r="B9051" t="s">
        <v>1951</v>
      </c>
      <c r="C9051" t="s">
        <v>12419</v>
      </c>
      <c r="D9051" t="s">
        <v>19084</v>
      </c>
      <c r="E9051" t="s">
        <v>26928</v>
      </c>
      <c r="F9051" t="s">
        <v>32831</v>
      </c>
      <c r="G9051" t="s">
        <v>32839</v>
      </c>
      <c r="H9051" t="s">
        <v>32848</v>
      </c>
      <c r="I9051" t="s">
        <v>32965</v>
      </c>
      <c r="J9051" t="s">
        <v>36698</v>
      </c>
      <c r="K9051" t="s">
        <v>42730</v>
      </c>
      <c r="M9051" t="s">
        <v>45108</v>
      </c>
      <c r="N9051" t="s">
        <v>47424</v>
      </c>
      <c r="O9051" t="s">
        <v>47425</v>
      </c>
      <c r="P9051">
        <v>0</v>
      </c>
      <c r="Q9051">
        <v>2</v>
      </c>
      <c r="R9051" t="s">
        <v>47432</v>
      </c>
      <c r="S9051" t="s">
        <v>47597</v>
      </c>
      <c r="T9051" t="s">
        <v>49214</v>
      </c>
      <c r="U9051" t="s">
        <v>57152</v>
      </c>
      <c r="W9051" t="s">
        <v>45108</v>
      </c>
      <c r="X9051" t="s">
        <v>47433</v>
      </c>
    </row>
    <row r="9052" spans="1:24">
      <c r="A9052">
        <f>HYPERLINK("https://www.philgeps.gov.ph/GEPSNONPILOT/Tender/SplashBidNoticeAbstractUI.aspx?menuIndex=3&amp;refID=7155130&amp;Result=3","7155130")</f>
        <v>0</v>
      </c>
      <c r="B9052" t="s">
        <v>1417</v>
      </c>
      <c r="C9052" t="s">
        <v>12420</v>
      </c>
      <c r="D9052" t="s">
        <v>19047</v>
      </c>
      <c r="E9052" t="s">
        <v>22699</v>
      </c>
      <c r="F9052" t="s">
        <v>32831</v>
      </c>
      <c r="G9052" t="s">
        <v>32838</v>
      </c>
      <c r="H9052" t="s">
        <v>32848</v>
      </c>
      <c r="I9052" t="s">
        <v>9577</v>
      </c>
      <c r="J9052" t="s">
        <v>38586</v>
      </c>
      <c r="K9052" t="s">
        <v>42747</v>
      </c>
      <c r="M9052" t="s">
        <v>44505</v>
      </c>
      <c r="N9052" t="s">
        <v>47424</v>
      </c>
      <c r="O9052" t="s">
        <v>47425</v>
      </c>
      <c r="P9052">
        <v>0</v>
      </c>
      <c r="Q9052">
        <v>3</v>
      </c>
      <c r="R9052" t="s">
        <v>47432</v>
      </c>
      <c r="S9052" t="s">
        <v>47597</v>
      </c>
      <c r="T9052" t="s">
        <v>49497</v>
      </c>
      <c r="U9052" t="s">
        <v>57153</v>
      </c>
      <c r="V9052" t="s">
        <v>63624</v>
      </c>
      <c r="W9052" t="s">
        <v>44505</v>
      </c>
      <c r="X9052" t="s">
        <v>47433</v>
      </c>
    </row>
    <row r="9053" spans="1:24">
      <c r="A9053">
        <f>HYPERLINK("https://www.philgeps.gov.ph/GEPSNONPILOT/Tender/SplashBidNoticeAbstractUI.aspx?menuIndex=3&amp;refID=7155129&amp;Result=3","7155129")</f>
        <v>0</v>
      </c>
      <c r="B9053" t="s">
        <v>2934</v>
      </c>
      <c r="C9053" t="s">
        <v>12421</v>
      </c>
      <c r="D9053" t="s">
        <v>19049</v>
      </c>
      <c r="E9053" t="s">
        <v>26929</v>
      </c>
      <c r="F9053" t="s">
        <v>32831</v>
      </c>
      <c r="G9053" t="s">
        <v>32839</v>
      </c>
      <c r="H9053" t="s">
        <v>32849</v>
      </c>
      <c r="I9053" t="s">
        <v>4177</v>
      </c>
      <c r="J9053" t="s">
        <v>38587</v>
      </c>
      <c r="K9053" t="s">
        <v>42743</v>
      </c>
      <c r="M9053" t="s">
        <v>46190</v>
      </c>
      <c r="N9053" t="s">
        <v>47424</v>
      </c>
      <c r="O9053" t="s">
        <v>47425</v>
      </c>
      <c r="P9053">
        <v>0</v>
      </c>
      <c r="Q9053">
        <v>1</v>
      </c>
      <c r="R9053" t="s">
        <v>47432</v>
      </c>
      <c r="S9053" t="s">
        <v>47597</v>
      </c>
      <c r="T9053" t="s">
        <v>49056</v>
      </c>
      <c r="U9053" t="s">
        <v>57154</v>
      </c>
      <c r="W9053" t="s">
        <v>46190</v>
      </c>
      <c r="X9053" t="s">
        <v>47433</v>
      </c>
    </row>
    <row r="9054" spans="1:24">
      <c r="A9054">
        <f>HYPERLINK("https://www.philgeps.gov.ph/GEPSNONPILOT/Tender/SplashBidNoticeAbstractUI.aspx?menuIndex=3&amp;refID=7155127&amp;Result=3","7155127")</f>
        <v>0</v>
      </c>
      <c r="B9054" t="s">
        <v>2396</v>
      </c>
      <c r="C9054" t="s">
        <v>12422</v>
      </c>
      <c r="D9054" t="s">
        <v>19017</v>
      </c>
      <c r="E9054" t="s">
        <v>26930</v>
      </c>
      <c r="F9054" t="s">
        <v>32831</v>
      </c>
      <c r="G9054" t="s">
        <v>32839</v>
      </c>
      <c r="H9054" t="s">
        <v>32848</v>
      </c>
      <c r="I9054" t="s">
        <v>4558</v>
      </c>
      <c r="J9054" t="s">
        <v>38585</v>
      </c>
      <c r="K9054" t="s">
        <v>42729</v>
      </c>
      <c r="M9054" t="s">
        <v>45588</v>
      </c>
      <c r="N9054" t="s">
        <v>47424</v>
      </c>
      <c r="O9054" t="s">
        <v>47425</v>
      </c>
      <c r="P9054">
        <v>0</v>
      </c>
      <c r="Q9054">
        <v>9</v>
      </c>
      <c r="R9054" t="s">
        <v>47432</v>
      </c>
      <c r="S9054" t="s">
        <v>47597</v>
      </c>
      <c r="T9054" t="s">
        <v>49461</v>
      </c>
      <c r="U9054" t="s">
        <v>57155</v>
      </c>
      <c r="W9054" t="s">
        <v>45588</v>
      </c>
      <c r="X9054" t="s">
        <v>47433</v>
      </c>
    </row>
    <row r="9055" spans="1:24">
      <c r="A9055">
        <f>HYPERLINK("https://www.philgeps.gov.ph/GEPSNONPILOT/Tender/SplashBidNoticeAbstractUI.aspx?menuIndex=3&amp;refID=7155124&amp;Result=3","7155124")</f>
        <v>0</v>
      </c>
      <c r="B9055" t="s">
        <v>2935</v>
      </c>
      <c r="C9055" t="s">
        <v>12423</v>
      </c>
      <c r="D9055" t="s">
        <v>19057</v>
      </c>
      <c r="E9055" t="s">
        <v>26898</v>
      </c>
      <c r="F9055" t="s">
        <v>32831</v>
      </c>
      <c r="G9055" t="s">
        <v>32839</v>
      </c>
      <c r="H9055" t="s">
        <v>32849</v>
      </c>
      <c r="I9055" t="s">
        <v>4177</v>
      </c>
      <c r="J9055" t="s">
        <v>33090</v>
      </c>
      <c r="K9055" t="s">
        <v>42727</v>
      </c>
      <c r="M9055" t="s">
        <v>46191</v>
      </c>
      <c r="N9055" t="s">
        <v>47424</v>
      </c>
      <c r="O9055" t="s">
        <v>47425</v>
      </c>
      <c r="P9055">
        <v>0</v>
      </c>
      <c r="Q9055">
        <v>0</v>
      </c>
      <c r="R9055" t="s">
        <v>47432</v>
      </c>
      <c r="S9055" t="s">
        <v>47597</v>
      </c>
      <c r="T9055" t="s">
        <v>49254</v>
      </c>
      <c r="U9055" t="s">
        <v>57156</v>
      </c>
      <c r="W9055" t="s">
        <v>46191</v>
      </c>
      <c r="X9055" t="s">
        <v>47433</v>
      </c>
    </row>
    <row r="9056" spans="1:24">
      <c r="A9056">
        <f>HYPERLINK("https://www.philgeps.gov.ph/GEPSNONPILOT/Tender/SplashBidNoticeAbstractUI.aspx?menuIndex=3&amp;refID=7155033&amp;Result=3","7155033")</f>
        <v>0</v>
      </c>
      <c r="B9056" t="s">
        <v>2917</v>
      </c>
      <c r="C9056" t="s">
        <v>12424</v>
      </c>
      <c r="E9056" t="s">
        <v>26931</v>
      </c>
      <c r="F9056" t="s">
        <v>32831</v>
      </c>
      <c r="G9056" t="s">
        <v>32838</v>
      </c>
      <c r="H9056" t="s">
        <v>32848</v>
      </c>
      <c r="I9056" t="s">
        <v>32870</v>
      </c>
      <c r="J9056" t="s">
        <v>38588</v>
      </c>
      <c r="K9056" t="s">
        <v>42732</v>
      </c>
      <c r="M9056" t="s">
        <v>46169</v>
      </c>
      <c r="N9056" t="s">
        <v>47424</v>
      </c>
      <c r="O9056" t="s">
        <v>47425</v>
      </c>
      <c r="P9056">
        <v>0</v>
      </c>
      <c r="Q9056">
        <v>0</v>
      </c>
      <c r="R9056" t="s">
        <v>47432</v>
      </c>
      <c r="S9056" t="s">
        <v>47597</v>
      </c>
      <c r="T9056" t="s">
        <v>49239</v>
      </c>
      <c r="U9056" t="s">
        <v>57157</v>
      </c>
      <c r="W9056" t="s">
        <v>46169</v>
      </c>
      <c r="X9056" t="s">
        <v>47433</v>
      </c>
    </row>
    <row r="9057" spans="1:24">
      <c r="A9057">
        <f>HYPERLINK("https://www.philgeps.gov.ph/GEPSNONPILOT/Tender/SplashBidNoticeAbstractUI.aspx?menuIndex=3&amp;refID=7155147&amp;Result=3","7155147")</f>
        <v>0</v>
      </c>
      <c r="B9057" t="s">
        <v>272</v>
      </c>
      <c r="C9057" t="s">
        <v>12425</v>
      </c>
      <c r="D9057" t="s">
        <v>19077</v>
      </c>
      <c r="E9057" t="s">
        <v>26932</v>
      </c>
      <c r="F9057" t="s">
        <v>32831</v>
      </c>
      <c r="G9057" t="s">
        <v>32839</v>
      </c>
      <c r="H9057" t="s">
        <v>32848</v>
      </c>
      <c r="I9057" t="s">
        <v>32949</v>
      </c>
      <c r="J9057" t="s">
        <v>38589</v>
      </c>
      <c r="K9057" t="s">
        <v>42732</v>
      </c>
      <c r="M9057" t="s">
        <v>46188</v>
      </c>
      <c r="N9057" t="s">
        <v>47424</v>
      </c>
      <c r="O9057" t="s">
        <v>47425</v>
      </c>
      <c r="P9057">
        <v>0</v>
      </c>
      <c r="Q9057">
        <v>0</v>
      </c>
      <c r="R9057" t="s">
        <v>47432</v>
      </c>
      <c r="S9057" t="s">
        <v>47597</v>
      </c>
      <c r="T9057" t="s">
        <v>49221</v>
      </c>
      <c r="U9057" t="s">
        <v>57158</v>
      </c>
      <c r="V9057" t="s">
        <v>63623</v>
      </c>
      <c r="W9057" t="s">
        <v>46188</v>
      </c>
      <c r="X9057" t="s">
        <v>47433</v>
      </c>
    </row>
    <row r="9058" spans="1:24">
      <c r="A9058">
        <f>HYPERLINK("https://www.philgeps.gov.ph/GEPSNONPILOT/Tender/SplashBidNoticeAbstractUI.aspx?menuIndex=3&amp;refID=7155135&amp;Result=3","7155135")</f>
        <v>0</v>
      </c>
      <c r="B9058" t="s">
        <v>272</v>
      </c>
      <c r="C9058" t="s">
        <v>12426</v>
      </c>
      <c r="D9058" t="s">
        <v>19077</v>
      </c>
      <c r="E9058" t="s">
        <v>26933</v>
      </c>
      <c r="F9058" t="s">
        <v>32831</v>
      </c>
      <c r="G9058" t="s">
        <v>32839</v>
      </c>
      <c r="H9058" t="s">
        <v>32848</v>
      </c>
      <c r="I9058" t="s">
        <v>32860</v>
      </c>
      <c r="J9058" t="s">
        <v>38590</v>
      </c>
      <c r="K9058" t="s">
        <v>42732</v>
      </c>
      <c r="M9058" t="s">
        <v>46188</v>
      </c>
      <c r="N9058" t="s">
        <v>47424</v>
      </c>
      <c r="O9058" t="s">
        <v>47425</v>
      </c>
      <c r="P9058">
        <v>0</v>
      </c>
      <c r="Q9058">
        <v>4</v>
      </c>
      <c r="R9058" t="s">
        <v>47432</v>
      </c>
      <c r="S9058" t="s">
        <v>47597</v>
      </c>
      <c r="T9058" t="s">
        <v>49221</v>
      </c>
      <c r="U9058" t="s">
        <v>57159</v>
      </c>
      <c r="V9058" t="s">
        <v>63623</v>
      </c>
      <c r="W9058" t="s">
        <v>46188</v>
      </c>
      <c r="X9058" t="s">
        <v>47433</v>
      </c>
    </row>
    <row r="9059" spans="1:24">
      <c r="A9059">
        <f>HYPERLINK("https://www.philgeps.gov.ph/GEPSNONPILOT/Tender/SplashBidNoticeAbstractUI.aspx?menuIndex=3&amp;refID=7154991&amp;Result=3","7154991")</f>
        <v>0</v>
      </c>
      <c r="B9059" t="s">
        <v>2936</v>
      </c>
      <c r="C9059" t="s">
        <v>12427</v>
      </c>
      <c r="D9059" t="s">
        <v>19020</v>
      </c>
      <c r="E9059" t="s">
        <v>26934</v>
      </c>
      <c r="F9059" t="s">
        <v>32831</v>
      </c>
      <c r="G9059" t="s">
        <v>32839</v>
      </c>
      <c r="H9059" t="s">
        <v>32848</v>
      </c>
      <c r="I9059" t="s">
        <v>4776</v>
      </c>
      <c r="J9059" t="s">
        <v>38591</v>
      </c>
      <c r="K9059" t="s">
        <v>42726</v>
      </c>
      <c r="M9059" t="s">
        <v>46192</v>
      </c>
      <c r="N9059" t="s">
        <v>47424</v>
      </c>
      <c r="O9059" t="s">
        <v>47425</v>
      </c>
      <c r="Q9059">
        <v>3</v>
      </c>
      <c r="R9059" t="s">
        <v>47432</v>
      </c>
      <c r="S9059" t="s">
        <v>47629</v>
      </c>
      <c r="T9059" t="s">
        <v>49214</v>
      </c>
      <c r="U9059" t="s">
        <v>57160</v>
      </c>
      <c r="V9059" t="s">
        <v>63625</v>
      </c>
      <c r="W9059" t="s">
        <v>46192</v>
      </c>
      <c r="X9059" t="s">
        <v>47433</v>
      </c>
    </row>
    <row r="9060" spans="1:24">
      <c r="A9060">
        <f>HYPERLINK("https://www.philgeps.gov.ph/GEPSNONPILOT/Tender/SplashBidNoticeAbstractUI.aspx?menuIndex=3&amp;refID=7154990&amp;Result=3","7154990")</f>
        <v>0</v>
      </c>
      <c r="B9060" t="s">
        <v>2107</v>
      </c>
      <c r="C9060" t="s">
        <v>12428</v>
      </c>
      <c r="D9060" t="s">
        <v>19100</v>
      </c>
      <c r="E9060" t="s">
        <v>26935</v>
      </c>
      <c r="F9060" t="s">
        <v>32831</v>
      </c>
      <c r="G9060" t="s">
        <v>32839</v>
      </c>
      <c r="H9060" t="s">
        <v>32849</v>
      </c>
      <c r="I9060" t="s">
        <v>4177</v>
      </c>
      <c r="J9060" t="s">
        <v>35538</v>
      </c>
      <c r="K9060" t="s">
        <v>42919</v>
      </c>
      <c r="M9060" t="s">
        <v>45281</v>
      </c>
      <c r="N9060" t="s">
        <v>47424</v>
      </c>
      <c r="O9060" t="s">
        <v>47425</v>
      </c>
      <c r="P9060">
        <v>0</v>
      </c>
      <c r="Q9060">
        <v>1</v>
      </c>
      <c r="R9060" t="s">
        <v>47432</v>
      </c>
      <c r="S9060" t="s">
        <v>47597</v>
      </c>
      <c r="T9060" t="s">
        <v>49160</v>
      </c>
      <c r="U9060" t="s">
        <v>57161</v>
      </c>
      <c r="W9060" t="s">
        <v>45281</v>
      </c>
      <c r="X9060" t="s">
        <v>47433</v>
      </c>
    </row>
    <row r="9061" spans="1:24">
      <c r="A9061">
        <f>HYPERLINK("https://www.philgeps.gov.ph/GEPSNONPILOT/Tender/SplashBidNoticeAbstractUI.aspx?menuIndex=3&amp;refID=7155185&amp;Result=3","7155185")</f>
        <v>0</v>
      </c>
      <c r="B9061" t="s">
        <v>2923</v>
      </c>
      <c r="C9061" t="s">
        <v>12429</v>
      </c>
      <c r="D9061" t="s">
        <v>19069</v>
      </c>
      <c r="E9061" t="s">
        <v>26936</v>
      </c>
      <c r="F9061" t="s">
        <v>32831</v>
      </c>
      <c r="G9061" t="s">
        <v>32839</v>
      </c>
      <c r="H9061" t="s">
        <v>32848</v>
      </c>
      <c r="I9061" t="s">
        <v>7416</v>
      </c>
      <c r="J9061" t="s">
        <v>33338</v>
      </c>
      <c r="K9061" t="s">
        <v>42758</v>
      </c>
      <c r="M9061" t="s">
        <v>46176</v>
      </c>
      <c r="N9061" t="s">
        <v>47424</v>
      </c>
      <c r="O9061" t="s">
        <v>47425</v>
      </c>
      <c r="P9061">
        <v>0</v>
      </c>
      <c r="Q9061">
        <v>0</v>
      </c>
      <c r="R9061" t="s">
        <v>47432</v>
      </c>
      <c r="S9061" t="s">
        <v>47597</v>
      </c>
      <c r="T9061" t="s">
        <v>49214</v>
      </c>
      <c r="U9061" t="s">
        <v>53471</v>
      </c>
      <c r="W9061" t="s">
        <v>46176</v>
      </c>
      <c r="X9061" t="s">
        <v>47433</v>
      </c>
    </row>
    <row r="9062" spans="1:24">
      <c r="A9062">
        <f>HYPERLINK("https://www.philgeps.gov.ph/GEPSNONPILOT/Tender/SplashBidNoticeAbstractUI.aspx?menuIndex=3&amp;refID=7155184&amp;Result=3","7155184")</f>
        <v>0</v>
      </c>
      <c r="B9062" t="s">
        <v>468</v>
      </c>
      <c r="C9062" t="s">
        <v>12430</v>
      </c>
      <c r="D9062" t="s">
        <v>19031</v>
      </c>
      <c r="E9062" t="s">
        <v>26937</v>
      </c>
      <c r="F9062" t="s">
        <v>32831</v>
      </c>
      <c r="G9062" t="s">
        <v>32839</v>
      </c>
      <c r="H9062" t="s">
        <v>32848</v>
      </c>
      <c r="I9062" t="s">
        <v>4558</v>
      </c>
      <c r="J9062" t="s">
        <v>38592</v>
      </c>
      <c r="K9062" t="s">
        <v>42727</v>
      </c>
      <c r="M9062" t="s">
        <v>43473</v>
      </c>
      <c r="N9062" t="s">
        <v>47424</v>
      </c>
      <c r="O9062" t="s">
        <v>47425</v>
      </c>
      <c r="P9062">
        <v>0</v>
      </c>
      <c r="Q9062">
        <v>1</v>
      </c>
      <c r="R9062" t="s">
        <v>47432</v>
      </c>
      <c r="S9062" t="s">
        <v>47597</v>
      </c>
      <c r="T9062" t="s">
        <v>49166</v>
      </c>
      <c r="U9062" t="s">
        <v>57162</v>
      </c>
      <c r="W9062" t="s">
        <v>64440</v>
      </c>
      <c r="X9062" t="s">
        <v>47433</v>
      </c>
    </row>
    <row r="9063" spans="1:24">
      <c r="A9063">
        <f>HYPERLINK("https://www.philgeps.gov.ph/GEPSNONPILOT/Tender/SplashBidNoticeAbstractUI.aspx?menuIndex=3&amp;refID=7155145&amp;Result=3","7155145")</f>
        <v>0</v>
      </c>
      <c r="B9063" t="s">
        <v>2396</v>
      </c>
      <c r="C9063" t="s">
        <v>12431</v>
      </c>
      <c r="D9063" t="s">
        <v>19017</v>
      </c>
      <c r="E9063" t="s">
        <v>26938</v>
      </c>
      <c r="F9063" t="s">
        <v>32831</v>
      </c>
      <c r="G9063" t="s">
        <v>32839</v>
      </c>
      <c r="H9063" t="s">
        <v>32848</v>
      </c>
      <c r="I9063" t="s">
        <v>9577</v>
      </c>
      <c r="J9063" t="s">
        <v>38593</v>
      </c>
      <c r="K9063" t="s">
        <v>42729</v>
      </c>
      <c r="M9063" t="s">
        <v>45588</v>
      </c>
      <c r="N9063" t="s">
        <v>47424</v>
      </c>
      <c r="O9063" t="s">
        <v>47425</v>
      </c>
      <c r="P9063">
        <v>0</v>
      </c>
      <c r="Q9063">
        <v>3</v>
      </c>
      <c r="R9063" t="s">
        <v>47432</v>
      </c>
      <c r="S9063" t="s">
        <v>47597</v>
      </c>
      <c r="T9063" t="s">
        <v>49461</v>
      </c>
      <c r="U9063" t="s">
        <v>57163</v>
      </c>
      <c r="W9063" t="s">
        <v>45588</v>
      </c>
      <c r="X9063" t="s">
        <v>47433</v>
      </c>
    </row>
    <row r="9064" spans="1:24">
      <c r="A9064">
        <f>HYPERLINK("https://www.philgeps.gov.ph/GEPSNONPILOT/Tender/SplashBidNoticeAbstractUI.aspx?menuIndex=3&amp;refID=7155182&amp;Result=3","7155182")</f>
        <v>0</v>
      </c>
      <c r="B9064" t="s">
        <v>2937</v>
      </c>
      <c r="C9064" t="s">
        <v>12432</v>
      </c>
      <c r="E9064" t="s">
        <v>19979</v>
      </c>
      <c r="F9064" t="s">
        <v>32831</v>
      </c>
      <c r="G9064" t="s">
        <v>32839</v>
      </c>
      <c r="H9064" t="s">
        <v>32848</v>
      </c>
      <c r="I9064" t="s">
        <v>7416</v>
      </c>
      <c r="J9064" t="s">
        <v>38594</v>
      </c>
      <c r="K9064" t="s">
        <v>42727</v>
      </c>
      <c r="M9064" t="s">
        <v>46193</v>
      </c>
      <c r="N9064" t="s">
        <v>47424</v>
      </c>
      <c r="O9064" t="s">
        <v>47425</v>
      </c>
      <c r="P9064">
        <v>0</v>
      </c>
      <c r="Q9064">
        <v>0</v>
      </c>
      <c r="R9064" t="s">
        <v>47432</v>
      </c>
      <c r="S9064" t="s">
        <v>47597</v>
      </c>
      <c r="T9064" t="s">
        <v>49370</v>
      </c>
      <c r="U9064" t="s">
        <v>57164</v>
      </c>
      <c r="W9064" t="s">
        <v>64526</v>
      </c>
      <c r="X9064" t="s">
        <v>47433</v>
      </c>
    </row>
    <row r="9065" spans="1:24">
      <c r="A9065">
        <f>HYPERLINK("https://www.philgeps.gov.ph/GEPSNONPILOT/Tender/SplashBidNoticeAbstractUI.aspx?menuIndex=3&amp;refID=7155035&amp;Result=3","7155035")</f>
        <v>0</v>
      </c>
      <c r="B9065" t="s">
        <v>689</v>
      </c>
      <c r="C9065" t="s">
        <v>12433</v>
      </c>
      <c r="E9065" t="s">
        <v>26939</v>
      </c>
      <c r="F9065" t="s">
        <v>32831</v>
      </c>
      <c r="G9065" t="s">
        <v>32839</v>
      </c>
      <c r="H9065" t="s">
        <v>32848</v>
      </c>
      <c r="I9065" t="s">
        <v>32863</v>
      </c>
      <c r="J9065" t="s">
        <v>33794</v>
      </c>
      <c r="K9065" t="s">
        <v>42732</v>
      </c>
      <c r="M9065" t="s">
        <v>45151</v>
      </c>
      <c r="N9065" t="s">
        <v>47424</v>
      </c>
      <c r="O9065" t="s">
        <v>47425</v>
      </c>
      <c r="P9065">
        <v>0</v>
      </c>
      <c r="Q9065">
        <v>8</v>
      </c>
      <c r="R9065" t="s">
        <v>47432</v>
      </c>
      <c r="S9065" t="s">
        <v>47597</v>
      </c>
      <c r="T9065" t="s">
        <v>49077</v>
      </c>
      <c r="U9065" t="s">
        <v>57165</v>
      </c>
      <c r="W9065" t="s">
        <v>45151</v>
      </c>
      <c r="X9065" t="s">
        <v>47433</v>
      </c>
    </row>
    <row r="9066" spans="1:24">
      <c r="A9066">
        <f>HYPERLINK("https://www.philgeps.gov.ph/GEPSNONPILOT/Tender/SplashBidNoticeAbstractUI.aspx?menuIndex=3&amp;refID=7155186&amp;Result=3","7155186")</f>
        <v>0</v>
      </c>
      <c r="B9066" t="s">
        <v>468</v>
      </c>
      <c r="C9066" t="s">
        <v>12434</v>
      </c>
      <c r="D9066" t="s">
        <v>19031</v>
      </c>
      <c r="E9066" t="s">
        <v>26940</v>
      </c>
      <c r="F9066" t="s">
        <v>32831</v>
      </c>
      <c r="G9066" t="s">
        <v>32839</v>
      </c>
      <c r="H9066" t="s">
        <v>32848</v>
      </c>
      <c r="I9066" t="s">
        <v>32857</v>
      </c>
      <c r="J9066" t="s">
        <v>37207</v>
      </c>
      <c r="K9066" t="s">
        <v>42727</v>
      </c>
      <c r="M9066" t="s">
        <v>43473</v>
      </c>
      <c r="N9066" t="s">
        <v>47424</v>
      </c>
      <c r="O9066" t="s">
        <v>47425</v>
      </c>
      <c r="P9066">
        <v>0</v>
      </c>
      <c r="Q9066">
        <v>2</v>
      </c>
      <c r="R9066" t="s">
        <v>47432</v>
      </c>
      <c r="S9066" t="s">
        <v>47597</v>
      </c>
      <c r="T9066" t="s">
        <v>49166</v>
      </c>
      <c r="U9066" t="s">
        <v>57166</v>
      </c>
      <c r="W9066" t="s">
        <v>64440</v>
      </c>
      <c r="X9066" t="s">
        <v>47433</v>
      </c>
    </row>
    <row r="9067" spans="1:24">
      <c r="A9067">
        <f>HYPERLINK("https://www.philgeps.gov.ph/GEPSNONPILOT/Tender/SplashBidNoticeAbstractUI.aspx?menuIndex=3&amp;refID=7155181&amp;Result=3","7155181")</f>
        <v>0</v>
      </c>
      <c r="B9067" t="s">
        <v>2220</v>
      </c>
      <c r="C9067" t="s">
        <v>12435</v>
      </c>
      <c r="D9067" t="s">
        <v>19062</v>
      </c>
      <c r="E9067" t="s">
        <v>26941</v>
      </c>
      <c r="F9067" t="s">
        <v>32831</v>
      </c>
      <c r="G9067" t="s">
        <v>32838</v>
      </c>
      <c r="H9067" t="s">
        <v>32848</v>
      </c>
      <c r="I9067" t="s">
        <v>4303</v>
      </c>
      <c r="J9067" t="s">
        <v>38595</v>
      </c>
      <c r="K9067" t="s">
        <v>42730</v>
      </c>
      <c r="M9067" t="s">
        <v>45400</v>
      </c>
      <c r="N9067" t="s">
        <v>47424</v>
      </c>
      <c r="O9067" t="s">
        <v>47425</v>
      </c>
      <c r="P9067">
        <v>0</v>
      </c>
      <c r="Q9067">
        <v>2</v>
      </c>
      <c r="R9067" t="s">
        <v>47432</v>
      </c>
      <c r="S9067" t="s">
        <v>47597</v>
      </c>
      <c r="T9067" t="s">
        <v>49237</v>
      </c>
      <c r="U9067" t="s">
        <v>54865</v>
      </c>
      <c r="W9067" t="s">
        <v>45400</v>
      </c>
      <c r="X9067" t="s">
        <v>47433</v>
      </c>
    </row>
    <row r="9068" spans="1:24">
      <c r="A9068">
        <f>HYPERLINK("https://www.philgeps.gov.ph/GEPSNONPILOT/Tender/SplashBidNoticeAbstractUI.aspx?menuIndex=3&amp;refID=7155179&amp;Result=3","7155179")</f>
        <v>0</v>
      </c>
      <c r="B9068" t="s">
        <v>468</v>
      </c>
      <c r="C9068" t="s">
        <v>12436</v>
      </c>
      <c r="D9068" t="s">
        <v>19031</v>
      </c>
      <c r="E9068" t="s">
        <v>26942</v>
      </c>
      <c r="F9068" t="s">
        <v>32831</v>
      </c>
      <c r="G9068" t="s">
        <v>32839</v>
      </c>
      <c r="H9068" t="s">
        <v>32848</v>
      </c>
      <c r="I9068" t="s">
        <v>32861</v>
      </c>
      <c r="J9068" t="s">
        <v>38596</v>
      </c>
      <c r="K9068" t="s">
        <v>42727</v>
      </c>
      <c r="M9068" t="s">
        <v>43473</v>
      </c>
      <c r="N9068" t="s">
        <v>47424</v>
      </c>
      <c r="O9068" t="s">
        <v>47425</v>
      </c>
      <c r="P9068">
        <v>0</v>
      </c>
      <c r="Q9068">
        <v>2</v>
      </c>
      <c r="R9068" t="s">
        <v>47432</v>
      </c>
      <c r="S9068" t="s">
        <v>47597</v>
      </c>
      <c r="T9068" t="s">
        <v>49166</v>
      </c>
      <c r="U9068" t="s">
        <v>57167</v>
      </c>
      <c r="W9068" t="s">
        <v>64440</v>
      </c>
      <c r="X9068" t="s">
        <v>47433</v>
      </c>
    </row>
    <row r="9069" spans="1:24">
      <c r="A9069">
        <f>HYPERLINK("https://www.philgeps.gov.ph/GEPSNONPILOT/Tender/SplashBidNoticeAbstractUI.aspx?menuIndex=3&amp;refID=7155178&amp;Result=3","7155178")</f>
        <v>0</v>
      </c>
      <c r="B9069" t="s">
        <v>2923</v>
      </c>
      <c r="C9069" t="s">
        <v>12437</v>
      </c>
      <c r="D9069" t="s">
        <v>19069</v>
      </c>
      <c r="E9069" t="s">
        <v>26943</v>
      </c>
      <c r="F9069" t="s">
        <v>32831</v>
      </c>
      <c r="G9069" t="s">
        <v>32839</v>
      </c>
      <c r="H9069" t="s">
        <v>32848</v>
      </c>
      <c r="I9069" t="s">
        <v>7416</v>
      </c>
      <c r="J9069" t="s">
        <v>38597</v>
      </c>
      <c r="K9069" t="s">
        <v>42758</v>
      </c>
      <c r="M9069" t="s">
        <v>46176</v>
      </c>
      <c r="N9069" t="s">
        <v>47424</v>
      </c>
      <c r="O9069" t="s">
        <v>47425</v>
      </c>
      <c r="P9069">
        <v>0</v>
      </c>
      <c r="Q9069">
        <v>0</v>
      </c>
      <c r="R9069" t="s">
        <v>47432</v>
      </c>
      <c r="S9069" t="s">
        <v>47597</v>
      </c>
      <c r="T9069" t="s">
        <v>49214</v>
      </c>
      <c r="U9069" t="s">
        <v>53471</v>
      </c>
      <c r="W9069" t="s">
        <v>46176</v>
      </c>
      <c r="X9069" t="s">
        <v>47433</v>
      </c>
    </row>
    <row r="9070" spans="1:24">
      <c r="A9070">
        <f>HYPERLINK("https://www.philgeps.gov.ph/GEPSNONPILOT/Tender/SplashBidNoticeAbstractUI.aspx?menuIndex=3&amp;refID=7155092&amp;Result=3","7155092")</f>
        <v>0</v>
      </c>
      <c r="B9070" t="s">
        <v>1115</v>
      </c>
      <c r="C9070" t="s">
        <v>12438</v>
      </c>
      <c r="E9070" t="s">
        <v>26944</v>
      </c>
      <c r="F9070" t="s">
        <v>32831</v>
      </c>
      <c r="G9070" t="s">
        <v>32838</v>
      </c>
      <c r="H9070" t="s">
        <v>32848</v>
      </c>
      <c r="I9070" t="s">
        <v>14069</v>
      </c>
      <c r="J9070" t="s">
        <v>32978</v>
      </c>
      <c r="K9070" t="s">
        <v>42732</v>
      </c>
      <c r="M9070" t="s">
        <v>46194</v>
      </c>
      <c r="N9070" t="s">
        <v>47424</v>
      </c>
      <c r="O9070" t="s">
        <v>47425</v>
      </c>
      <c r="Q9070">
        <v>1</v>
      </c>
      <c r="R9070" t="s">
        <v>47432</v>
      </c>
      <c r="S9070" t="s">
        <v>47630</v>
      </c>
      <c r="T9070" t="s">
        <v>49068</v>
      </c>
      <c r="U9070" t="s">
        <v>57168</v>
      </c>
      <c r="W9070" t="s">
        <v>46194</v>
      </c>
      <c r="X9070" t="s">
        <v>47433</v>
      </c>
    </row>
    <row r="9071" spans="1:24">
      <c r="A9071">
        <f>HYPERLINK("https://www.philgeps.gov.ph/GEPSNONPILOT/Tender/SplashBidNoticeAbstractUI.aspx?menuIndex=3&amp;refID=7155174&amp;Result=3","7155174")</f>
        <v>0</v>
      </c>
      <c r="B9071" t="s">
        <v>595</v>
      </c>
      <c r="C9071" t="s">
        <v>12439</v>
      </c>
      <c r="D9071" t="s">
        <v>19043</v>
      </c>
      <c r="E9071" t="s">
        <v>26945</v>
      </c>
      <c r="F9071" t="s">
        <v>32831</v>
      </c>
      <c r="G9071" t="s">
        <v>32839</v>
      </c>
      <c r="H9071" t="s">
        <v>32849</v>
      </c>
      <c r="I9071" t="s">
        <v>4177</v>
      </c>
      <c r="J9071" t="s">
        <v>38598</v>
      </c>
      <c r="K9071" t="s">
        <v>42780</v>
      </c>
      <c r="M9071" t="s">
        <v>43608</v>
      </c>
      <c r="N9071" t="s">
        <v>47424</v>
      </c>
      <c r="O9071" t="s">
        <v>47425</v>
      </c>
      <c r="P9071">
        <v>0</v>
      </c>
      <c r="Q9071">
        <v>0</v>
      </c>
      <c r="R9071" t="s">
        <v>47432</v>
      </c>
      <c r="S9071" t="s">
        <v>47597</v>
      </c>
      <c r="T9071" t="s">
        <v>49209</v>
      </c>
      <c r="U9071" t="s">
        <v>57169</v>
      </c>
      <c r="V9071" t="s">
        <v>62765</v>
      </c>
      <c r="W9071" t="s">
        <v>43608</v>
      </c>
      <c r="X9071" t="s">
        <v>47433</v>
      </c>
    </row>
    <row r="9072" spans="1:24">
      <c r="A9072">
        <f>HYPERLINK("https://www.philgeps.gov.ph/GEPSNONPILOT/Tender/SplashBidNoticeAbstractUI.aspx?menuIndex=3&amp;refID=7155180&amp;Result=3","7155180")</f>
        <v>0</v>
      </c>
      <c r="B9072" t="s">
        <v>468</v>
      </c>
      <c r="C9072" t="s">
        <v>12440</v>
      </c>
      <c r="D9072" t="s">
        <v>19031</v>
      </c>
      <c r="E9072" t="s">
        <v>26946</v>
      </c>
      <c r="F9072" t="s">
        <v>32831</v>
      </c>
      <c r="G9072" t="s">
        <v>32839</v>
      </c>
      <c r="H9072" t="s">
        <v>32848</v>
      </c>
      <c r="I9072" t="s">
        <v>4558</v>
      </c>
      <c r="J9072" t="s">
        <v>38599</v>
      </c>
      <c r="K9072" t="s">
        <v>42727</v>
      </c>
      <c r="M9072" t="s">
        <v>43473</v>
      </c>
      <c r="N9072" t="s">
        <v>47424</v>
      </c>
      <c r="O9072" t="s">
        <v>47425</v>
      </c>
      <c r="P9072">
        <v>0</v>
      </c>
      <c r="Q9072">
        <v>1</v>
      </c>
      <c r="R9072" t="s">
        <v>47432</v>
      </c>
      <c r="S9072" t="s">
        <v>47597</v>
      </c>
      <c r="T9072" t="s">
        <v>49166</v>
      </c>
      <c r="U9072" t="s">
        <v>57170</v>
      </c>
      <c r="W9072" t="s">
        <v>64440</v>
      </c>
      <c r="X9072" t="s">
        <v>47433</v>
      </c>
    </row>
    <row r="9073" spans="1:24">
      <c r="A9073">
        <f>HYPERLINK("https://www.philgeps.gov.ph/GEPSNONPILOT/Tender/SplashBidNoticeAbstractUI.aspx?menuIndex=3&amp;refID=7155177&amp;Result=3","7155177")</f>
        <v>0</v>
      </c>
      <c r="B9073" t="s">
        <v>2220</v>
      </c>
      <c r="C9073" t="s">
        <v>12441</v>
      </c>
      <c r="D9073" t="s">
        <v>19062</v>
      </c>
      <c r="E9073" t="s">
        <v>26947</v>
      </c>
      <c r="F9073" t="s">
        <v>32831</v>
      </c>
      <c r="G9073" t="s">
        <v>32838</v>
      </c>
      <c r="H9073" t="s">
        <v>32848</v>
      </c>
      <c r="I9073" t="s">
        <v>4303</v>
      </c>
      <c r="J9073" t="s">
        <v>38600</v>
      </c>
      <c r="K9073" t="s">
        <v>42730</v>
      </c>
      <c r="M9073" t="s">
        <v>45400</v>
      </c>
      <c r="N9073" t="s">
        <v>47424</v>
      </c>
      <c r="O9073" t="s">
        <v>47425</v>
      </c>
      <c r="P9073">
        <v>0</v>
      </c>
      <c r="Q9073">
        <v>2</v>
      </c>
      <c r="R9073" t="s">
        <v>47432</v>
      </c>
      <c r="S9073" t="s">
        <v>47597</v>
      </c>
      <c r="T9073" t="s">
        <v>49237</v>
      </c>
      <c r="U9073" t="s">
        <v>54865</v>
      </c>
      <c r="W9073" t="s">
        <v>45400</v>
      </c>
      <c r="X9073" t="s">
        <v>47433</v>
      </c>
    </row>
    <row r="9074" spans="1:24">
      <c r="A9074">
        <f>HYPERLINK("https://www.philgeps.gov.ph/GEPSNONPILOT/Tender/SplashBidNoticeAbstractUI.aspx?menuIndex=3&amp;refID=7155171&amp;Result=3","7155171")</f>
        <v>0</v>
      </c>
      <c r="B9074" t="s">
        <v>468</v>
      </c>
      <c r="C9074" t="s">
        <v>12442</v>
      </c>
      <c r="D9074" t="s">
        <v>19031</v>
      </c>
      <c r="E9074" t="s">
        <v>26948</v>
      </c>
      <c r="F9074" t="s">
        <v>32831</v>
      </c>
      <c r="G9074" t="s">
        <v>32839</v>
      </c>
      <c r="H9074" t="s">
        <v>32848</v>
      </c>
      <c r="I9074" t="s">
        <v>4558</v>
      </c>
      <c r="J9074" t="s">
        <v>38601</v>
      </c>
      <c r="K9074" t="s">
        <v>42727</v>
      </c>
      <c r="M9074" t="s">
        <v>43473</v>
      </c>
      <c r="N9074" t="s">
        <v>47424</v>
      </c>
      <c r="O9074" t="s">
        <v>47425</v>
      </c>
      <c r="P9074">
        <v>0</v>
      </c>
      <c r="Q9074">
        <v>3</v>
      </c>
      <c r="R9074" t="s">
        <v>47432</v>
      </c>
      <c r="S9074" t="s">
        <v>47597</v>
      </c>
      <c r="T9074" t="s">
        <v>49166</v>
      </c>
      <c r="U9074" t="s">
        <v>57171</v>
      </c>
      <c r="W9074" t="s">
        <v>64440</v>
      </c>
      <c r="X9074" t="s">
        <v>47433</v>
      </c>
    </row>
    <row r="9075" spans="1:24">
      <c r="A9075">
        <f>HYPERLINK("https://www.philgeps.gov.ph/GEPSNONPILOT/Tender/SplashBidNoticeAbstractUI.aspx?menuIndex=3&amp;refID=7155169&amp;Result=3","7155169")</f>
        <v>0</v>
      </c>
      <c r="B9075" t="s">
        <v>468</v>
      </c>
      <c r="C9075" t="s">
        <v>12443</v>
      </c>
      <c r="D9075" t="s">
        <v>19031</v>
      </c>
      <c r="E9075" t="s">
        <v>26949</v>
      </c>
      <c r="F9075" t="s">
        <v>32831</v>
      </c>
      <c r="G9075" t="s">
        <v>32839</v>
      </c>
      <c r="H9075" t="s">
        <v>32848</v>
      </c>
      <c r="I9075" t="s">
        <v>32861</v>
      </c>
      <c r="J9075" t="s">
        <v>38421</v>
      </c>
      <c r="K9075" t="s">
        <v>42727</v>
      </c>
      <c r="M9075" t="s">
        <v>43473</v>
      </c>
      <c r="N9075" t="s">
        <v>47424</v>
      </c>
      <c r="O9075" t="s">
        <v>47425</v>
      </c>
      <c r="P9075">
        <v>0</v>
      </c>
      <c r="Q9075">
        <v>4</v>
      </c>
      <c r="R9075" t="s">
        <v>47432</v>
      </c>
      <c r="S9075" t="s">
        <v>47597</v>
      </c>
      <c r="T9075" t="s">
        <v>49166</v>
      </c>
      <c r="U9075" t="s">
        <v>57172</v>
      </c>
      <c r="W9075" t="s">
        <v>64440</v>
      </c>
      <c r="X9075" t="s">
        <v>47433</v>
      </c>
    </row>
    <row r="9076" spans="1:24">
      <c r="A9076">
        <f>HYPERLINK("https://www.philgeps.gov.ph/GEPSNONPILOT/Tender/SplashBidNoticeAbstractUI.aspx?menuIndex=3&amp;refID=7155172&amp;Result=3","7155172")</f>
        <v>0</v>
      </c>
      <c r="B9076" t="s">
        <v>1756</v>
      </c>
      <c r="C9076" t="s">
        <v>12444</v>
      </c>
      <c r="D9076" t="s">
        <v>19021</v>
      </c>
      <c r="E9076" t="s">
        <v>26950</v>
      </c>
      <c r="F9076" t="s">
        <v>32831</v>
      </c>
      <c r="G9076" t="s">
        <v>32840</v>
      </c>
      <c r="H9076" t="s">
        <v>32848</v>
      </c>
      <c r="I9076" t="s">
        <v>32929</v>
      </c>
      <c r="J9076" t="s">
        <v>35288</v>
      </c>
      <c r="K9076" t="s">
        <v>42748</v>
      </c>
      <c r="M9076" t="s">
        <v>44880</v>
      </c>
      <c r="N9076" t="s">
        <v>47424</v>
      </c>
      <c r="O9076" t="s">
        <v>47425</v>
      </c>
      <c r="P9076">
        <v>0</v>
      </c>
      <c r="Q9076">
        <v>1</v>
      </c>
      <c r="R9076" t="s">
        <v>47432</v>
      </c>
      <c r="S9076" t="s">
        <v>47597</v>
      </c>
      <c r="T9076" t="s">
        <v>49107</v>
      </c>
      <c r="U9076" t="s">
        <v>57173</v>
      </c>
      <c r="W9076" t="s">
        <v>44880</v>
      </c>
      <c r="X9076" t="s">
        <v>47433</v>
      </c>
    </row>
    <row r="9077" spans="1:24">
      <c r="A9077">
        <f>HYPERLINK("https://www.philgeps.gov.ph/GEPSNONPILOT/Tender/SplashBidNoticeAbstractUI.aspx?menuIndex=3&amp;refID=7155175&amp;Result=3","7155175")</f>
        <v>0</v>
      </c>
      <c r="B9077" t="s">
        <v>2923</v>
      </c>
      <c r="C9077" t="s">
        <v>12445</v>
      </c>
      <c r="D9077" t="s">
        <v>19069</v>
      </c>
      <c r="E9077" t="s">
        <v>26951</v>
      </c>
      <c r="F9077" t="s">
        <v>32831</v>
      </c>
      <c r="G9077" t="s">
        <v>32839</v>
      </c>
      <c r="H9077" t="s">
        <v>32848</v>
      </c>
      <c r="I9077" t="s">
        <v>7416</v>
      </c>
      <c r="J9077" t="s">
        <v>38602</v>
      </c>
      <c r="K9077" t="s">
        <v>42758</v>
      </c>
      <c r="M9077" t="s">
        <v>46176</v>
      </c>
      <c r="N9077" t="s">
        <v>47424</v>
      </c>
      <c r="O9077" t="s">
        <v>47425</v>
      </c>
      <c r="P9077">
        <v>0</v>
      </c>
      <c r="Q9077">
        <v>0</v>
      </c>
      <c r="R9077" t="s">
        <v>47432</v>
      </c>
      <c r="S9077" t="s">
        <v>47597</v>
      </c>
      <c r="T9077" t="s">
        <v>49214</v>
      </c>
      <c r="U9077" t="s">
        <v>53471</v>
      </c>
      <c r="W9077" t="s">
        <v>46176</v>
      </c>
      <c r="X9077" t="s">
        <v>47433</v>
      </c>
    </row>
    <row r="9078" spans="1:24">
      <c r="A9078">
        <f>HYPERLINK("https://www.philgeps.gov.ph/GEPSNONPILOT/Tender/SplashBidNoticeAbstractUI.aspx?menuIndex=3&amp;refID=7155162&amp;Result=3","7155162")</f>
        <v>0</v>
      </c>
      <c r="B9078" t="s">
        <v>2137</v>
      </c>
      <c r="C9078" t="s">
        <v>12446</v>
      </c>
      <c r="D9078" t="s">
        <v>19033</v>
      </c>
      <c r="E9078" t="s">
        <v>26952</v>
      </c>
      <c r="F9078" t="s">
        <v>32831</v>
      </c>
      <c r="G9078" t="s">
        <v>32839</v>
      </c>
      <c r="H9078" t="s">
        <v>32848</v>
      </c>
      <c r="I9078" t="s">
        <v>7751</v>
      </c>
      <c r="J9078" t="s">
        <v>38603</v>
      </c>
      <c r="K9078" t="s">
        <v>42730</v>
      </c>
      <c r="M9078" t="s">
        <v>45315</v>
      </c>
      <c r="N9078" t="s">
        <v>47424</v>
      </c>
      <c r="O9078" t="s">
        <v>47425</v>
      </c>
      <c r="P9078">
        <v>0</v>
      </c>
      <c r="Q9078">
        <v>8</v>
      </c>
      <c r="R9078" t="s">
        <v>47432</v>
      </c>
      <c r="S9078" t="s">
        <v>47597</v>
      </c>
      <c r="T9078" t="s">
        <v>49146</v>
      </c>
      <c r="U9078" t="s">
        <v>57174</v>
      </c>
      <c r="W9078" t="s">
        <v>45315</v>
      </c>
      <c r="X9078" t="s">
        <v>47433</v>
      </c>
    </row>
    <row r="9079" spans="1:24">
      <c r="A9079">
        <f>HYPERLINK("https://www.philgeps.gov.ph/GEPSNONPILOT/Tender/SplashBidNoticeAbstractUI.aspx?menuIndex=3&amp;refID=7154989&amp;Result=3","7154989")</f>
        <v>0</v>
      </c>
      <c r="B9079" t="s">
        <v>444</v>
      </c>
      <c r="C9079" t="s">
        <v>12447</v>
      </c>
      <c r="D9079" t="s">
        <v>19057</v>
      </c>
      <c r="E9079" t="s">
        <v>19937</v>
      </c>
      <c r="F9079" t="s">
        <v>32831</v>
      </c>
      <c r="G9079" t="s">
        <v>32839</v>
      </c>
      <c r="H9079" t="s">
        <v>32848</v>
      </c>
      <c r="I9079" t="s">
        <v>4303</v>
      </c>
      <c r="J9079" t="s">
        <v>38604</v>
      </c>
      <c r="K9079" t="s">
        <v>42732</v>
      </c>
      <c r="M9079" t="s">
        <v>43449</v>
      </c>
      <c r="N9079" t="s">
        <v>47424</v>
      </c>
      <c r="O9079" t="s">
        <v>47425</v>
      </c>
      <c r="P9079">
        <v>0</v>
      </c>
      <c r="Q9079">
        <v>0</v>
      </c>
      <c r="R9079" t="s">
        <v>47432</v>
      </c>
      <c r="S9079" t="s">
        <v>47597</v>
      </c>
      <c r="T9079" t="s">
        <v>49214</v>
      </c>
      <c r="U9079" t="s">
        <v>57175</v>
      </c>
      <c r="W9079" t="s">
        <v>43449</v>
      </c>
      <c r="X9079" t="s">
        <v>47433</v>
      </c>
    </row>
    <row r="9080" spans="1:24">
      <c r="A9080">
        <f>HYPERLINK("https://www.philgeps.gov.ph/GEPSNONPILOT/Tender/SplashBidNoticeAbstractUI.aspx?menuIndex=3&amp;refID=7155173&amp;Result=3","7155173")</f>
        <v>0</v>
      </c>
      <c r="B9080" t="s">
        <v>2131</v>
      </c>
      <c r="C9080" t="s">
        <v>12448</v>
      </c>
      <c r="D9080" t="s">
        <v>19027</v>
      </c>
      <c r="E9080" t="s">
        <v>19861</v>
      </c>
      <c r="F9080" t="s">
        <v>32831</v>
      </c>
      <c r="G9080" t="s">
        <v>32839</v>
      </c>
      <c r="H9080" t="s">
        <v>32848</v>
      </c>
      <c r="I9080" t="s">
        <v>32938</v>
      </c>
      <c r="J9080" t="s">
        <v>35752</v>
      </c>
      <c r="K9080" t="s">
        <v>42759</v>
      </c>
      <c r="M9080" t="s">
        <v>45306</v>
      </c>
      <c r="N9080" t="s">
        <v>47424</v>
      </c>
      <c r="O9080" t="s">
        <v>47425</v>
      </c>
      <c r="P9080">
        <v>0</v>
      </c>
      <c r="Q9080">
        <v>0</v>
      </c>
      <c r="R9080" t="s">
        <v>47432</v>
      </c>
      <c r="S9080" t="s">
        <v>47597</v>
      </c>
      <c r="T9080" t="s">
        <v>49109</v>
      </c>
      <c r="U9080" t="s">
        <v>57176</v>
      </c>
      <c r="W9080" t="s">
        <v>45306</v>
      </c>
      <c r="X9080" t="s">
        <v>47433</v>
      </c>
    </row>
    <row r="9081" spans="1:24">
      <c r="A9081">
        <f>HYPERLINK("https://www.philgeps.gov.ph/GEPSNONPILOT/Tender/SplashBidNoticeAbstractUI.aspx?menuIndex=3&amp;refID=7155160&amp;Result=3","7155160")</f>
        <v>0</v>
      </c>
      <c r="B9081" t="s">
        <v>2938</v>
      </c>
      <c r="C9081" t="s">
        <v>12449</v>
      </c>
      <c r="D9081" t="s">
        <v>19023</v>
      </c>
      <c r="E9081" t="s">
        <v>19144</v>
      </c>
      <c r="F9081" t="s">
        <v>32831</v>
      </c>
      <c r="G9081" t="s">
        <v>32839</v>
      </c>
      <c r="H9081" t="s">
        <v>32848</v>
      </c>
      <c r="I9081" t="s">
        <v>7416</v>
      </c>
      <c r="J9081" t="s">
        <v>32983</v>
      </c>
      <c r="K9081" t="s">
        <v>42726</v>
      </c>
      <c r="M9081" t="s">
        <v>46195</v>
      </c>
      <c r="N9081" t="s">
        <v>47424</v>
      </c>
      <c r="O9081" t="s">
        <v>47425</v>
      </c>
      <c r="P9081">
        <v>0</v>
      </c>
      <c r="Q9081">
        <v>0</v>
      </c>
      <c r="R9081" t="s">
        <v>47432</v>
      </c>
      <c r="S9081" t="s">
        <v>47597</v>
      </c>
      <c r="T9081" t="s">
        <v>49114</v>
      </c>
      <c r="U9081" t="s">
        <v>57177</v>
      </c>
      <c r="W9081" t="s">
        <v>64527</v>
      </c>
      <c r="X9081" t="s">
        <v>47433</v>
      </c>
    </row>
    <row r="9082" spans="1:24">
      <c r="A9082">
        <f>HYPERLINK("https://www.philgeps.gov.ph/GEPSNONPILOT/Tender/SplashBidNoticeAbstractUI.aspx?menuIndex=3&amp;refID=7154985&amp;Result=3","7154985")</f>
        <v>0</v>
      </c>
      <c r="B9082" t="s">
        <v>1915</v>
      </c>
      <c r="C9082" t="s">
        <v>12450</v>
      </c>
      <c r="D9082" t="s">
        <v>19030</v>
      </c>
      <c r="E9082" t="s">
        <v>26953</v>
      </c>
      <c r="F9082" t="s">
        <v>32831</v>
      </c>
      <c r="G9082" t="s">
        <v>32839</v>
      </c>
      <c r="H9082" t="s">
        <v>32849</v>
      </c>
      <c r="I9082" t="s">
        <v>4177</v>
      </c>
      <c r="J9082" t="s">
        <v>38605</v>
      </c>
      <c r="K9082" t="s">
        <v>42770</v>
      </c>
      <c r="M9082" t="s">
        <v>45067</v>
      </c>
      <c r="N9082" t="s">
        <v>47424</v>
      </c>
      <c r="O9082" t="s">
        <v>47425</v>
      </c>
      <c r="P9082">
        <v>0</v>
      </c>
      <c r="Q9082">
        <v>11</v>
      </c>
      <c r="R9082" t="s">
        <v>47432</v>
      </c>
      <c r="S9082" t="s">
        <v>47597</v>
      </c>
      <c r="T9082" t="s">
        <v>49236</v>
      </c>
      <c r="U9082" t="s">
        <v>57084</v>
      </c>
      <c r="W9082" t="s">
        <v>64492</v>
      </c>
      <c r="X9082" t="s">
        <v>47433</v>
      </c>
    </row>
    <row r="9083" spans="1:24">
      <c r="A9083">
        <f>HYPERLINK("https://www.philgeps.gov.ph/GEPSNONPILOT/Tender/SplashBidNoticeAbstractUI.aspx?menuIndex=3&amp;refID=7154987&amp;Result=3","7154987")</f>
        <v>0</v>
      </c>
      <c r="B9083" t="s">
        <v>1915</v>
      </c>
      <c r="C9083" t="s">
        <v>12451</v>
      </c>
      <c r="D9083" t="s">
        <v>19030</v>
      </c>
      <c r="E9083" t="s">
        <v>26954</v>
      </c>
      <c r="F9083" t="s">
        <v>32831</v>
      </c>
      <c r="G9083" t="s">
        <v>32839</v>
      </c>
      <c r="H9083" t="s">
        <v>32849</v>
      </c>
      <c r="I9083" t="s">
        <v>4177</v>
      </c>
      <c r="J9083" t="s">
        <v>38605</v>
      </c>
      <c r="K9083" t="s">
        <v>42770</v>
      </c>
      <c r="M9083" t="s">
        <v>45067</v>
      </c>
      <c r="N9083" t="s">
        <v>47424</v>
      </c>
      <c r="O9083" t="s">
        <v>47425</v>
      </c>
      <c r="P9083">
        <v>0</v>
      </c>
      <c r="Q9083">
        <v>11</v>
      </c>
      <c r="R9083" t="s">
        <v>47432</v>
      </c>
      <c r="S9083" t="s">
        <v>47597</v>
      </c>
      <c r="T9083" t="s">
        <v>49236</v>
      </c>
      <c r="U9083" t="s">
        <v>57084</v>
      </c>
      <c r="W9083" t="s">
        <v>64492</v>
      </c>
      <c r="X9083" t="s">
        <v>47433</v>
      </c>
    </row>
    <row r="9084" spans="1:24">
      <c r="A9084">
        <f>HYPERLINK("https://www.philgeps.gov.ph/GEPSNONPILOT/Tender/SplashBidNoticeAbstractUI.aspx?menuIndex=3&amp;refID=7155073&amp;Result=3","7155073")</f>
        <v>0</v>
      </c>
      <c r="B9084" t="s">
        <v>1265</v>
      </c>
      <c r="C9084" t="s">
        <v>12452</v>
      </c>
      <c r="D9084" t="s">
        <v>19024</v>
      </c>
      <c r="E9084" t="s">
        <v>26955</v>
      </c>
      <c r="F9084" t="s">
        <v>32831</v>
      </c>
      <c r="G9084" t="s">
        <v>32839</v>
      </c>
      <c r="H9084" t="s">
        <v>32849</v>
      </c>
      <c r="I9084" t="s">
        <v>4177</v>
      </c>
      <c r="J9084" t="s">
        <v>35602</v>
      </c>
      <c r="K9084" t="s">
        <v>42726</v>
      </c>
      <c r="M9084" t="s">
        <v>44335</v>
      </c>
      <c r="N9084" t="s">
        <v>47424</v>
      </c>
      <c r="O9084" t="s">
        <v>47425</v>
      </c>
      <c r="P9084">
        <v>0</v>
      </c>
      <c r="Q9084">
        <v>0</v>
      </c>
      <c r="R9084" t="s">
        <v>47432</v>
      </c>
      <c r="S9084" t="s">
        <v>47597</v>
      </c>
      <c r="T9084" t="s">
        <v>49214</v>
      </c>
      <c r="U9084" t="s">
        <v>57178</v>
      </c>
      <c r="W9084" t="s">
        <v>44335</v>
      </c>
      <c r="X9084" t="s">
        <v>47433</v>
      </c>
    </row>
    <row r="9085" spans="1:24">
      <c r="A9085">
        <f>HYPERLINK("https://www.philgeps.gov.ph/GEPSNONPILOT/Tender/SplashBidNoticeAbstractUI.aspx?menuIndex=3&amp;refID=7154961&amp;Result=3","7154961")</f>
        <v>0</v>
      </c>
      <c r="B9085" t="s">
        <v>668</v>
      </c>
      <c r="C9085" t="s">
        <v>12453</v>
      </c>
      <c r="D9085" t="s">
        <v>19034</v>
      </c>
      <c r="E9085" t="s">
        <v>26956</v>
      </c>
      <c r="F9085" t="s">
        <v>32831</v>
      </c>
      <c r="G9085" t="s">
        <v>32839</v>
      </c>
      <c r="H9085" t="s">
        <v>32848</v>
      </c>
      <c r="I9085" t="s">
        <v>32867</v>
      </c>
      <c r="J9085" t="s">
        <v>35672</v>
      </c>
      <c r="K9085" t="s">
        <v>42730</v>
      </c>
      <c r="M9085" t="s">
        <v>44913</v>
      </c>
      <c r="N9085" t="s">
        <v>47424</v>
      </c>
      <c r="O9085" t="s">
        <v>47425</v>
      </c>
      <c r="P9085">
        <v>0</v>
      </c>
      <c r="Q9085">
        <v>2</v>
      </c>
      <c r="R9085" t="s">
        <v>47432</v>
      </c>
      <c r="S9085" t="s">
        <v>47597</v>
      </c>
      <c r="T9085" t="s">
        <v>49338</v>
      </c>
      <c r="U9085" t="s">
        <v>57179</v>
      </c>
      <c r="W9085" t="s">
        <v>44913</v>
      </c>
      <c r="X9085" t="s">
        <v>47433</v>
      </c>
    </row>
    <row r="9086" spans="1:24">
      <c r="A9086">
        <f>HYPERLINK("https://www.philgeps.gov.ph/GEPSNONPILOT/Tender/SplashBidNoticeAbstractUI.aspx?menuIndex=3&amp;refID=7154958&amp;Result=3","7154958")</f>
        <v>0</v>
      </c>
      <c r="B9086" t="s">
        <v>2939</v>
      </c>
      <c r="C9086" t="s">
        <v>12454</v>
      </c>
      <c r="D9086" t="s">
        <v>19057</v>
      </c>
      <c r="E9086" t="s">
        <v>26957</v>
      </c>
      <c r="F9086" t="s">
        <v>32831</v>
      </c>
      <c r="G9086" t="s">
        <v>32839</v>
      </c>
      <c r="H9086" t="s">
        <v>32849</v>
      </c>
      <c r="I9086" t="s">
        <v>32852</v>
      </c>
      <c r="J9086" t="s">
        <v>38606</v>
      </c>
      <c r="K9086" t="s">
        <v>42727</v>
      </c>
      <c r="M9086" t="s">
        <v>46196</v>
      </c>
      <c r="N9086" t="s">
        <v>47424</v>
      </c>
      <c r="O9086" t="s">
        <v>47425</v>
      </c>
      <c r="P9086">
        <v>0</v>
      </c>
      <c r="Q9086">
        <v>2</v>
      </c>
      <c r="R9086" t="s">
        <v>47432</v>
      </c>
      <c r="S9086" t="s">
        <v>47597</v>
      </c>
      <c r="T9086" t="s">
        <v>49141</v>
      </c>
      <c r="U9086" t="s">
        <v>57180</v>
      </c>
      <c r="W9086" t="s">
        <v>46196</v>
      </c>
      <c r="X9086" t="s">
        <v>47433</v>
      </c>
    </row>
    <row r="9087" spans="1:24">
      <c r="A9087">
        <f>HYPERLINK("https://www.philgeps.gov.ph/GEPSNONPILOT/Tender/SplashBidNoticeAbstractUI.aspx?menuIndex=3&amp;refID=7154963&amp;Result=3","7154963")</f>
        <v>0</v>
      </c>
      <c r="B9087" t="s">
        <v>668</v>
      </c>
      <c r="C9087" t="s">
        <v>12455</v>
      </c>
      <c r="D9087" t="s">
        <v>19034</v>
      </c>
      <c r="E9087" t="s">
        <v>26958</v>
      </c>
      <c r="F9087" t="s">
        <v>32831</v>
      </c>
      <c r="G9087" t="s">
        <v>32839</v>
      </c>
      <c r="H9087" t="s">
        <v>32848</v>
      </c>
      <c r="I9087" t="s">
        <v>4303</v>
      </c>
      <c r="J9087" t="s">
        <v>38607</v>
      </c>
      <c r="K9087" t="s">
        <v>42763</v>
      </c>
      <c r="M9087" t="s">
        <v>44913</v>
      </c>
      <c r="N9087" t="s">
        <v>47424</v>
      </c>
      <c r="O9087" t="s">
        <v>47425</v>
      </c>
      <c r="P9087">
        <v>0</v>
      </c>
      <c r="Q9087">
        <v>0</v>
      </c>
      <c r="R9087" t="s">
        <v>47432</v>
      </c>
      <c r="S9087" t="s">
        <v>47597</v>
      </c>
      <c r="T9087" t="s">
        <v>49321</v>
      </c>
      <c r="U9087" t="s">
        <v>57181</v>
      </c>
      <c r="W9087" t="s">
        <v>44913</v>
      </c>
      <c r="X9087" t="s">
        <v>47433</v>
      </c>
    </row>
    <row r="9088" spans="1:24">
      <c r="A9088">
        <f>HYPERLINK("https://www.philgeps.gov.ph/GEPSNONPILOT/Tender/SplashBidNoticeAbstractUI.aspx?menuIndex=3&amp;refID=7154962&amp;Result=3","7154962")</f>
        <v>0</v>
      </c>
      <c r="B9088" t="s">
        <v>2771</v>
      </c>
      <c r="C9088" t="s">
        <v>12456</v>
      </c>
      <c r="D9088" t="s">
        <v>19023</v>
      </c>
      <c r="E9088" t="s">
        <v>26576</v>
      </c>
      <c r="F9088" t="s">
        <v>32831</v>
      </c>
      <c r="G9088" t="s">
        <v>32839</v>
      </c>
      <c r="H9088" t="s">
        <v>32849</v>
      </c>
      <c r="I9088" t="s">
        <v>4177</v>
      </c>
      <c r="J9088" t="s">
        <v>32978</v>
      </c>
      <c r="K9088" t="s">
        <v>42730</v>
      </c>
      <c r="M9088" t="s">
        <v>46002</v>
      </c>
      <c r="N9088" t="s">
        <v>47424</v>
      </c>
      <c r="O9088" t="s">
        <v>47425</v>
      </c>
      <c r="P9088">
        <v>0</v>
      </c>
      <c r="Q9088">
        <v>3</v>
      </c>
      <c r="R9088" t="s">
        <v>47432</v>
      </c>
      <c r="S9088" t="s">
        <v>47597</v>
      </c>
      <c r="T9088" t="s">
        <v>49136</v>
      </c>
      <c r="U9088" t="s">
        <v>57182</v>
      </c>
      <c r="W9088" t="s">
        <v>46002</v>
      </c>
      <c r="X9088" t="s">
        <v>47433</v>
      </c>
    </row>
    <row r="9089" spans="1:24">
      <c r="A9089">
        <f>HYPERLINK("https://www.philgeps.gov.ph/GEPSNONPILOT/Tender/SplashBidNoticeAbstractUI.aspx?menuIndex=3&amp;refID=7155229&amp;Result=3","7155229")</f>
        <v>0</v>
      </c>
      <c r="B9089" t="s">
        <v>2940</v>
      </c>
      <c r="C9089" t="s">
        <v>6484</v>
      </c>
      <c r="D9089" t="s">
        <v>19044</v>
      </c>
      <c r="E9089" t="s">
        <v>26959</v>
      </c>
      <c r="F9089" t="s">
        <v>32831</v>
      </c>
      <c r="G9089" t="s">
        <v>32839</v>
      </c>
      <c r="H9089" t="s">
        <v>32848</v>
      </c>
      <c r="I9089" t="s">
        <v>32860</v>
      </c>
      <c r="J9089" t="s">
        <v>38608</v>
      </c>
      <c r="K9089" t="s">
        <v>42727</v>
      </c>
      <c r="M9089" t="s">
        <v>46197</v>
      </c>
      <c r="N9089" t="s">
        <v>47424</v>
      </c>
      <c r="O9089" t="s">
        <v>47425</v>
      </c>
      <c r="P9089">
        <v>0</v>
      </c>
      <c r="Q9089">
        <v>3</v>
      </c>
      <c r="R9089" t="s">
        <v>47432</v>
      </c>
      <c r="S9089" t="s">
        <v>47597</v>
      </c>
      <c r="T9089" t="s">
        <v>49135</v>
      </c>
      <c r="U9089" t="s">
        <v>57183</v>
      </c>
      <c r="W9089" t="s">
        <v>46197</v>
      </c>
      <c r="X9089" t="s">
        <v>47433</v>
      </c>
    </row>
    <row r="9090" spans="1:24">
      <c r="A9090">
        <f>HYPERLINK("https://www.philgeps.gov.ph/GEPSNONPILOT/Tender/SplashBidNoticeAbstractUI.aspx?menuIndex=3&amp;refID=7155230&amp;Result=3","7155230")</f>
        <v>0</v>
      </c>
      <c r="B9090" t="s">
        <v>563</v>
      </c>
      <c r="C9090" t="s">
        <v>12457</v>
      </c>
      <c r="D9090" t="s">
        <v>19060</v>
      </c>
      <c r="E9090" t="s">
        <v>26960</v>
      </c>
      <c r="F9090" t="s">
        <v>32831</v>
      </c>
      <c r="G9090" t="s">
        <v>32839</v>
      </c>
      <c r="H9090" t="s">
        <v>32848</v>
      </c>
      <c r="I9090" t="s">
        <v>7416</v>
      </c>
      <c r="J9090" t="s">
        <v>38609</v>
      </c>
      <c r="K9090" t="s">
        <v>42730</v>
      </c>
      <c r="M9090" t="s">
        <v>46198</v>
      </c>
      <c r="N9090" t="s">
        <v>47424</v>
      </c>
      <c r="O9090" t="s">
        <v>47425</v>
      </c>
      <c r="P9090">
        <v>0</v>
      </c>
      <c r="Q9090">
        <v>0</v>
      </c>
      <c r="R9090" t="s">
        <v>47432</v>
      </c>
      <c r="S9090" t="s">
        <v>47597</v>
      </c>
      <c r="T9090" t="s">
        <v>49470</v>
      </c>
      <c r="U9090" t="s">
        <v>57184</v>
      </c>
      <c r="W9090" t="s">
        <v>64528</v>
      </c>
      <c r="X9090" t="s">
        <v>47433</v>
      </c>
    </row>
    <row r="9091" spans="1:24">
      <c r="A9091">
        <f>HYPERLINK("https://www.philgeps.gov.ph/GEPSNONPILOT/Tender/SplashBidNoticeAbstractUI.aspx?menuIndex=3&amp;refID=7155223&amp;Result=3","7155223")</f>
        <v>0</v>
      </c>
      <c r="B9091" t="s">
        <v>192</v>
      </c>
      <c r="C9091" t="s">
        <v>12458</v>
      </c>
      <c r="D9091" t="s">
        <v>19057</v>
      </c>
      <c r="E9091" t="s">
        <v>26961</v>
      </c>
      <c r="F9091" t="s">
        <v>32831</v>
      </c>
      <c r="G9091" t="s">
        <v>32839</v>
      </c>
      <c r="H9091" t="s">
        <v>32848</v>
      </c>
      <c r="I9091" t="s">
        <v>7751</v>
      </c>
      <c r="J9091" t="s">
        <v>38610</v>
      </c>
      <c r="K9091" t="s">
        <v>42730</v>
      </c>
      <c r="M9091" t="s">
        <v>43190</v>
      </c>
      <c r="N9091" t="s">
        <v>47424</v>
      </c>
      <c r="O9091" t="s">
        <v>47425</v>
      </c>
      <c r="P9091">
        <v>0</v>
      </c>
      <c r="Q9091">
        <v>4</v>
      </c>
      <c r="R9091" t="s">
        <v>47432</v>
      </c>
      <c r="S9091" t="s">
        <v>47597</v>
      </c>
      <c r="T9091" t="s">
        <v>49118</v>
      </c>
      <c r="U9091" t="s">
        <v>57185</v>
      </c>
      <c r="W9091" t="s">
        <v>43190</v>
      </c>
      <c r="X9091" t="s">
        <v>47433</v>
      </c>
    </row>
    <row r="9092" spans="1:24">
      <c r="A9092">
        <f>HYPERLINK("https://www.philgeps.gov.ph/GEPSNONPILOT/Tender/SplashBidNoticeAbstractUI.aspx?menuIndex=3&amp;refID=7155217&amp;Result=3","7155217")</f>
        <v>0</v>
      </c>
      <c r="B9092" t="s">
        <v>595</v>
      </c>
      <c r="C9092" t="s">
        <v>12459</v>
      </c>
      <c r="D9092" t="s">
        <v>19043</v>
      </c>
      <c r="E9092" t="s">
        <v>26962</v>
      </c>
      <c r="F9092" t="s">
        <v>32831</v>
      </c>
      <c r="G9092" t="s">
        <v>32839</v>
      </c>
      <c r="H9092" t="s">
        <v>32849</v>
      </c>
      <c r="I9092" t="s">
        <v>4177</v>
      </c>
      <c r="J9092" t="s">
        <v>33241</v>
      </c>
      <c r="K9092" t="s">
        <v>42729</v>
      </c>
      <c r="M9092" t="s">
        <v>43608</v>
      </c>
      <c r="N9092" t="s">
        <v>47424</v>
      </c>
      <c r="O9092" t="s">
        <v>47425</v>
      </c>
      <c r="P9092">
        <v>0</v>
      </c>
      <c r="Q9092">
        <v>0</v>
      </c>
      <c r="R9092" t="s">
        <v>47432</v>
      </c>
      <c r="S9092" t="s">
        <v>47597</v>
      </c>
      <c r="T9092" t="s">
        <v>49209</v>
      </c>
      <c r="U9092" t="s">
        <v>57186</v>
      </c>
      <c r="V9092" t="s">
        <v>62765</v>
      </c>
      <c r="W9092" t="s">
        <v>43608</v>
      </c>
      <c r="X9092" t="s">
        <v>47433</v>
      </c>
    </row>
    <row r="9093" spans="1:24">
      <c r="A9093">
        <f>HYPERLINK("https://www.philgeps.gov.ph/GEPSNONPILOT/Tender/SplashBidNoticeAbstractUI.aspx?menuIndex=3&amp;refID=7155213&amp;Result=3","7155213")</f>
        <v>0</v>
      </c>
      <c r="B9093" t="s">
        <v>1218</v>
      </c>
      <c r="C9093" t="s">
        <v>12460</v>
      </c>
      <c r="D9093" t="s">
        <v>19030</v>
      </c>
      <c r="E9093" t="s">
        <v>26963</v>
      </c>
      <c r="F9093" t="s">
        <v>32831</v>
      </c>
      <c r="G9093" t="s">
        <v>32839</v>
      </c>
      <c r="H9093" t="s">
        <v>32848</v>
      </c>
      <c r="I9093" t="s">
        <v>4558</v>
      </c>
      <c r="J9093" t="s">
        <v>38611</v>
      </c>
      <c r="K9093" t="s">
        <v>42732</v>
      </c>
      <c r="M9093" t="s">
        <v>44286</v>
      </c>
      <c r="N9093" t="s">
        <v>47424</v>
      </c>
      <c r="O9093" t="s">
        <v>47425</v>
      </c>
      <c r="P9093">
        <v>0</v>
      </c>
      <c r="Q9093">
        <v>36</v>
      </c>
      <c r="R9093" t="s">
        <v>47432</v>
      </c>
      <c r="S9093" t="s">
        <v>47597</v>
      </c>
      <c r="T9093" t="s">
        <v>49384</v>
      </c>
      <c r="U9093" t="s">
        <v>57187</v>
      </c>
      <c r="V9093" t="s">
        <v>63266</v>
      </c>
      <c r="W9093" t="s">
        <v>44286</v>
      </c>
      <c r="X9093" t="s">
        <v>47433</v>
      </c>
    </row>
    <row r="9094" spans="1:24">
      <c r="A9094">
        <f>HYPERLINK("https://www.philgeps.gov.ph/GEPSNONPILOT/Tender/SplashBidNoticeAbstractUI.aspx?menuIndex=3&amp;refID=7155216&amp;Result=3","7155216")</f>
        <v>0</v>
      </c>
      <c r="B9094" t="s">
        <v>1218</v>
      </c>
      <c r="C9094" t="s">
        <v>12461</v>
      </c>
      <c r="D9094" t="s">
        <v>19030</v>
      </c>
      <c r="E9094" t="s">
        <v>26964</v>
      </c>
      <c r="F9094" t="s">
        <v>32831</v>
      </c>
      <c r="G9094" t="s">
        <v>32839</v>
      </c>
      <c r="H9094" t="s">
        <v>32848</v>
      </c>
      <c r="I9094" t="s">
        <v>32871</v>
      </c>
      <c r="J9094" t="s">
        <v>38612</v>
      </c>
      <c r="K9094" t="s">
        <v>42732</v>
      </c>
      <c r="M9094" t="s">
        <v>44286</v>
      </c>
      <c r="N9094" t="s">
        <v>47424</v>
      </c>
      <c r="O9094" t="s">
        <v>47425</v>
      </c>
      <c r="P9094">
        <v>0</v>
      </c>
      <c r="Q9094">
        <v>71</v>
      </c>
      <c r="R9094" t="s">
        <v>47432</v>
      </c>
      <c r="S9094" t="s">
        <v>47597</v>
      </c>
      <c r="T9094" t="s">
        <v>49470</v>
      </c>
      <c r="U9094" t="s">
        <v>57188</v>
      </c>
      <c r="V9094" t="s">
        <v>63266</v>
      </c>
      <c r="W9094" t="s">
        <v>44286</v>
      </c>
      <c r="X9094" t="s">
        <v>47433</v>
      </c>
    </row>
    <row r="9095" spans="1:24">
      <c r="A9095">
        <f>HYPERLINK("https://www.philgeps.gov.ph/GEPSNONPILOT/Tender/SplashBidNoticeAbstractUI.aspx?menuIndex=3&amp;refID=7155218&amp;Result=3","7155218")</f>
        <v>0</v>
      </c>
      <c r="B9095" t="s">
        <v>1894</v>
      </c>
      <c r="C9095" t="s">
        <v>12462</v>
      </c>
      <c r="E9095" t="s">
        <v>26965</v>
      </c>
      <c r="F9095" t="s">
        <v>32831</v>
      </c>
      <c r="G9095" t="s">
        <v>32838</v>
      </c>
      <c r="H9095" t="s">
        <v>32848</v>
      </c>
      <c r="I9095" t="s">
        <v>4438</v>
      </c>
      <c r="J9095" t="s">
        <v>38613</v>
      </c>
      <c r="K9095" t="s">
        <v>42748</v>
      </c>
      <c r="N9095" t="s">
        <v>47424</v>
      </c>
      <c r="O9095" t="s">
        <v>47425</v>
      </c>
      <c r="P9095">
        <v>0</v>
      </c>
      <c r="Q9095">
        <v>2</v>
      </c>
      <c r="R9095" t="s">
        <v>47432</v>
      </c>
      <c r="S9095" t="s">
        <v>47597</v>
      </c>
      <c r="T9095" t="s">
        <v>49111</v>
      </c>
      <c r="U9095" t="s">
        <v>53972</v>
      </c>
      <c r="W9095" t="s">
        <v>45041</v>
      </c>
      <c r="X9095" t="s">
        <v>47433</v>
      </c>
    </row>
    <row r="9096" spans="1:24">
      <c r="A9096">
        <f>HYPERLINK("https://www.philgeps.gov.ph/GEPSNONPILOT/Tender/SplashBidNoticeAbstractUI.aspx?menuIndex=3&amp;refID=7154986&amp;Result=3","7154986")</f>
        <v>0</v>
      </c>
      <c r="B9096" t="s">
        <v>2914</v>
      </c>
      <c r="C9096" t="s">
        <v>12463</v>
      </c>
      <c r="D9096" t="s">
        <v>19026</v>
      </c>
      <c r="E9096" t="s">
        <v>26966</v>
      </c>
      <c r="F9096" t="s">
        <v>32831</v>
      </c>
      <c r="G9096" t="s">
        <v>32839</v>
      </c>
      <c r="H9096" t="s">
        <v>14069</v>
      </c>
      <c r="I9096" t="s">
        <v>7416</v>
      </c>
      <c r="J9096" t="s">
        <v>38614</v>
      </c>
      <c r="K9096" t="s">
        <v>42726</v>
      </c>
      <c r="M9096" t="s">
        <v>46165</v>
      </c>
      <c r="N9096" t="s">
        <v>47424</v>
      </c>
      <c r="O9096" t="s">
        <v>47425</v>
      </c>
      <c r="P9096">
        <v>0</v>
      </c>
      <c r="Q9096">
        <v>3</v>
      </c>
      <c r="R9096" t="s">
        <v>47432</v>
      </c>
      <c r="S9096" t="s">
        <v>47597</v>
      </c>
      <c r="T9096" t="s">
        <v>49114</v>
      </c>
      <c r="U9096" t="s">
        <v>57189</v>
      </c>
      <c r="W9096" t="s">
        <v>46165</v>
      </c>
      <c r="X9096" t="s">
        <v>47433</v>
      </c>
    </row>
    <row r="9097" spans="1:24">
      <c r="A9097">
        <f>HYPERLINK("https://www.philgeps.gov.ph/GEPSNONPILOT/Tender/SplashBidNoticeAbstractUI.aspx?menuIndex=3&amp;refID=7155214&amp;Result=3","7155214")</f>
        <v>0</v>
      </c>
      <c r="B9097" t="s">
        <v>1894</v>
      </c>
      <c r="C9097" t="s">
        <v>12464</v>
      </c>
      <c r="D9097" t="s">
        <v>19092</v>
      </c>
      <c r="E9097" t="s">
        <v>26967</v>
      </c>
      <c r="F9097" t="s">
        <v>32831</v>
      </c>
      <c r="G9097" t="s">
        <v>32838</v>
      </c>
      <c r="H9097" t="s">
        <v>32849</v>
      </c>
      <c r="I9097" t="s">
        <v>4177</v>
      </c>
      <c r="J9097" t="s">
        <v>38615</v>
      </c>
      <c r="K9097" t="s">
        <v>42730</v>
      </c>
      <c r="M9097" t="s">
        <v>45041</v>
      </c>
      <c r="N9097" t="s">
        <v>47424</v>
      </c>
      <c r="O9097" t="s">
        <v>47425</v>
      </c>
      <c r="P9097">
        <v>0</v>
      </c>
      <c r="Q9097">
        <v>2</v>
      </c>
      <c r="R9097" t="s">
        <v>47432</v>
      </c>
      <c r="S9097" t="s">
        <v>47597</v>
      </c>
      <c r="T9097" t="s">
        <v>49111</v>
      </c>
      <c r="U9097" t="s">
        <v>53972</v>
      </c>
      <c r="W9097" t="s">
        <v>45041</v>
      </c>
      <c r="X9097" t="s">
        <v>47433</v>
      </c>
    </row>
    <row r="9098" spans="1:24">
      <c r="A9098">
        <f>HYPERLINK("https://www.philgeps.gov.ph/GEPSNONPILOT/Tender/SplashBidNoticeAbstractUI.aspx?menuIndex=3&amp;refID=7155208&amp;Result=3","7155208")</f>
        <v>0</v>
      </c>
      <c r="B9098" t="s">
        <v>1526</v>
      </c>
      <c r="C9098" t="s">
        <v>12465</v>
      </c>
      <c r="D9098" t="s">
        <v>19044</v>
      </c>
      <c r="E9098" t="s">
        <v>26968</v>
      </c>
      <c r="F9098" t="s">
        <v>32831</v>
      </c>
      <c r="G9098" t="s">
        <v>32839</v>
      </c>
      <c r="H9098" t="s">
        <v>32848</v>
      </c>
      <c r="I9098" t="s">
        <v>32864</v>
      </c>
      <c r="J9098" t="s">
        <v>38616</v>
      </c>
      <c r="K9098" t="s">
        <v>42750</v>
      </c>
      <c r="M9098" t="s">
        <v>44629</v>
      </c>
      <c r="N9098" t="s">
        <v>47424</v>
      </c>
      <c r="O9098" t="s">
        <v>47425</v>
      </c>
      <c r="Q9098">
        <v>19</v>
      </c>
      <c r="R9098" t="s">
        <v>47432</v>
      </c>
      <c r="S9098" t="s">
        <v>47631</v>
      </c>
      <c r="T9098" t="s">
        <v>49464</v>
      </c>
      <c r="U9098" t="s">
        <v>57190</v>
      </c>
      <c r="W9098" t="s">
        <v>44629</v>
      </c>
      <c r="X9098" t="s">
        <v>47433</v>
      </c>
    </row>
    <row r="9099" spans="1:24">
      <c r="A9099">
        <f>HYPERLINK("https://www.philgeps.gov.ph/GEPSNONPILOT/Tender/SplashBidNoticeAbstractUI.aspx?menuIndex=3&amp;refID=7155206&amp;Result=3","7155206")</f>
        <v>0</v>
      </c>
      <c r="B9099" t="s">
        <v>1218</v>
      </c>
      <c r="C9099" t="s">
        <v>12466</v>
      </c>
      <c r="D9099" t="s">
        <v>19030</v>
      </c>
      <c r="E9099" t="s">
        <v>26969</v>
      </c>
      <c r="F9099" t="s">
        <v>32831</v>
      </c>
      <c r="G9099" t="s">
        <v>32839</v>
      </c>
      <c r="H9099" t="s">
        <v>32848</v>
      </c>
      <c r="I9099" t="s">
        <v>32874</v>
      </c>
      <c r="J9099" t="s">
        <v>38617</v>
      </c>
      <c r="K9099" t="s">
        <v>42732</v>
      </c>
      <c r="M9099" t="s">
        <v>44286</v>
      </c>
      <c r="N9099" t="s">
        <v>47424</v>
      </c>
      <c r="O9099" t="s">
        <v>47425</v>
      </c>
      <c r="P9099">
        <v>0</v>
      </c>
      <c r="Q9099">
        <v>38</v>
      </c>
      <c r="R9099" t="s">
        <v>47432</v>
      </c>
      <c r="S9099" t="s">
        <v>47597</v>
      </c>
      <c r="T9099" t="s">
        <v>49221</v>
      </c>
      <c r="U9099" t="s">
        <v>57191</v>
      </c>
      <c r="V9099" t="s">
        <v>63266</v>
      </c>
      <c r="W9099" t="s">
        <v>44286</v>
      </c>
      <c r="X9099" t="s">
        <v>47433</v>
      </c>
    </row>
    <row r="9100" spans="1:24">
      <c r="A9100">
        <f>HYPERLINK("https://www.philgeps.gov.ph/GEPSNONPILOT/Tender/SplashBidNoticeAbstractUI.aspx?menuIndex=3&amp;refID=7155203&amp;Result=3","7155203")</f>
        <v>0</v>
      </c>
      <c r="B9100" t="s">
        <v>1025</v>
      </c>
      <c r="C9100" t="s">
        <v>12467</v>
      </c>
      <c r="D9100" t="s">
        <v>19100</v>
      </c>
      <c r="E9100" t="s">
        <v>26970</v>
      </c>
      <c r="F9100" t="s">
        <v>32831</v>
      </c>
      <c r="G9100" t="s">
        <v>32839</v>
      </c>
      <c r="H9100" t="s">
        <v>32850</v>
      </c>
      <c r="I9100" t="s">
        <v>32863</v>
      </c>
      <c r="J9100" t="s">
        <v>38618</v>
      </c>
      <c r="K9100" t="s">
        <v>42807</v>
      </c>
      <c r="M9100" t="s">
        <v>44075</v>
      </c>
      <c r="N9100" t="s">
        <v>47424</v>
      </c>
      <c r="O9100" t="s">
        <v>47425</v>
      </c>
      <c r="P9100">
        <v>0</v>
      </c>
      <c r="Q9100">
        <v>0</v>
      </c>
      <c r="R9100" t="s">
        <v>47432</v>
      </c>
      <c r="S9100" t="s">
        <v>47597</v>
      </c>
      <c r="T9100" t="s">
        <v>49185</v>
      </c>
      <c r="U9100" t="s">
        <v>57192</v>
      </c>
      <c r="W9100" t="s">
        <v>44075</v>
      </c>
      <c r="X9100" t="s">
        <v>47433</v>
      </c>
    </row>
    <row r="9101" spans="1:24">
      <c r="A9101">
        <f>HYPERLINK("https://www.philgeps.gov.ph/GEPSNONPILOT/Tender/SplashBidNoticeAbstractUI.aspx?menuIndex=3&amp;refID=7155201&amp;Result=3","7155201")</f>
        <v>0</v>
      </c>
      <c r="B9101" t="s">
        <v>595</v>
      </c>
      <c r="C9101" t="s">
        <v>12468</v>
      </c>
      <c r="D9101" t="s">
        <v>19043</v>
      </c>
      <c r="E9101" t="s">
        <v>26971</v>
      </c>
      <c r="F9101" t="s">
        <v>32831</v>
      </c>
      <c r="G9101" t="s">
        <v>32839</v>
      </c>
      <c r="H9101" t="s">
        <v>32849</v>
      </c>
      <c r="I9101" t="s">
        <v>4177</v>
      </c>
      <c r="J9101" t="s">
        <v>33193</v>
      </c>
      <c r="K9101" t="s">
        <v>42729</v>
      </c>
      <c r="M9101" t="s">
        <v>43608</v>
      </c>
      <c r="N9101" t="s">
        <v>47424</v>
      </c>
      <c r="O9101" t="s">
        <v>47425</v>
      </c>
      <c r="P9101">
        <v>0</v>
      </c>
      <c r="Q9101">
        <v>0</v>
      </c>
      <c r="R9101" t="s">
        <v>47432</v>
      </c>
      <c r="S9101" t="s">
        <v>47597</v>
      </c>
      <c r="T9101" t="s">
        <v>49209</v>
      </c>
      <c r="U9101" t="s">
        <v>57193</v>
      </c>
      <c r="V9101" t="s">
        <v>62765</v>
      </c>
      <c r="W9101" t="s">
        <v>43608</v>
      </c>
      <c r="X9101" t="s">
        <v>47433</v>
      </c>
    </row>
    <row r="9102" spans="1:24">
      <c r="A9102">
        <f>HYPERLINK("https://www.philgeps.gov.ph/GEPSNONPILOT/Tender/SplashBidNoticeAbstractUI.aspx?menuIndex=3&amp;refID=7155196&amp;Result=3","7155196")</f>
        <v>0</v>
      </c>
      <c r="B9102" t="s">
        <v>1067</v>
      </c>
      <c r="C9102" t="s">
        <v>12469</v>
      </c>
      <c r="D9102" t="s">
        <v>19017</v>
      </c>
      <c r="E9102" t="s">
        <v>20779</v>
      </c>
      <c r="F9102" t="s">
        <v>32831</v>
      </c>
      <c r="G9102" t="s">
        <v>32839</v>
      </c>
      <c r="H9102" t="s">
        <v>32848</v>
      </c>
      <c r="I9102" t="s">
        <v>4438</v>
      </c>
      <c r="J9102" t="s">
        <v>38619</v>
      </c>
      <c r="K9102" t="s">
        <v>42807</v>
      </c>
      <c r="M9102" t="s">
        <v>44124</v>
      </c>
      <c r="N9102" t="s">
        <v>47424</v>
      </c>
      <c r="O9102" t="s">
        <v>47425</v>
      </c>
      <c r="P9102">
        <v>0</v>
      </c>
      <c r="Q9102">
        <v>3</v>
      </c>
      <c r="R9102" t="s">
        <v>47432</v>
      </c>
      <c r="S9102" t="s">
        <v>47597</v>
      </c>
      <c r="T9102" t="s">
        <v>49528</v>
      </c>
      <c r="U9102" t="s">
        <v>57194</v>
      </c>
      <c r="V9102" t="s">
        <v>62714</v>
      </c>
      <c r="W9102" t="s">
        <v>44124</v>
      </c>
      <c r="X9102" t="s">
        <v>47433</v>
      </c>
    </row>
    <row r="9103" spans="1:24">
      <c r="A9103">
        <f>HYPERLINK("https://www.philgeps.gov.ph/GEPSNONPILOT/Tender/SplashBidNoticeAbstractUI.aspx?menuIndex=3&amp;refID=7155215&amp;Result=3","7155215")</f>
        <v>0</v>
      </c>
      <c r="B9103" t="s">
        <v>2941</v>
      </c>
      <c r="C9103" t="s">
        <v>12470</v>
      </c>
      <c r="D9103" t="s">
        <v>19038</v>
      </c>
      <c r="E9103" t="s">
        <v>26972</v>
      </c>
      <c r="F9103" t="s">
        <v>32831</v>
      </c>
      <c r="G9103" t="s">
        <v>32839</v>
      </c>
      <c r="H9103" t="s">
        <v>32848</v>
      </c>
      <c r="I9103" t="s">
        <v>7416</v>
      </c>
      <c r="J9103" t="s">
        <v>38620</v>
      </c>
      <c r="K9103" t="s">
        <v>42726</v>
      </c>
      <c r="M9103" t="s">
        <v>46199</v>
      </c>
      <c r="N9103" t="s">
        <v>47424</v>
      </c>
      <c r="O9103" t="s">
        <v>47425</v>
      </c>
      <c r="P9103">
        <v>0</v>
      </c>
      <c r="Q9103">
        <v>0</v>
      </c>
      <c r="R9103" t="s">
        <v>47432</v>
      </c>
      <c r="S9103" t="s">
        <v>47597</v>
      </c>
      <c r="T9103" t="s">
        <v>49192</v>
      </c>
      <c r="U9103" t="s">
        <v>57195</v>
      </c>
      <c r="V9103" t="s">
        <v>63626</v>
      </c>
      <c r="W9103" t="s">
        <v>46199</v>
      </c>
      <c r="X9103" t="s">
        <v>47433</v>
      </c>
    </row>
    <row r="9104" spans="1:24">
      <c r="A9104">
        <f>HYPERLINK("https://www.philgeps.gov.ph/GEPSNONPILOT/Tender/SplashBidNoticeAbstractUI.aspx?menuIndex=3&amp;refID=7155212&amp;Result=3","7155212")</f>
        <v>0</v>
      </c>
      <c r="B9104" t="s">
        <v>2137</v>
      </c>
      <c r="C9104" t="s">
        <v>12471</v>
      </c>
      <c r="D9104" t="s">
        <v>19033</v>
      </c>
      <c r="E9104" t="s">
        <v>26973</v>
      </c>
      <c r="F9104" t="s">
        <v>32831</v>
      </c>
      <c r="G9104" t="s">
        <v>32839</v>
      </c>
      <c r="H9104" t="s">
        <v>32848</v>
      </c>
      <c r="I9104" t="s">
        <v>32882</v>
      </c>
      <c r="J9104" t="s">
        <v>38621</v>
      </c>
      <c r="K9104" t="s">
        <v>42747</v>
      </c>
      <c r="M9104" t="s">
        <v>45315</v>
      </c>
      <c r="N9104" t="s">
        <v>47424</v>
      </c>
      <c r="O9104" t="s">
        <v>47425</v>
      </c>
      <c r="P9104">
        <v>0</v>
      </c>
      <c r="Q9104">
        <v>4</v>
      </c>
      <c r="R9104" t="s">
        <v>47432</v>
      </c>
      <c r="S9104" t="s">
        <v>47597</v>
      </c>
      <c r="T9104" t="s">
        <v>49146</v>
      </c>
      <c r="U9104" t="s">
        <v>57196</v>
      </c>
      <c r="W9104" t="s">
        <v>45315</v>
      </c>
      <c r="X9104" t="s">
        <v>47433</v>
      </c>
    </row>
    <row r="9105" spans="1:24">
      <c r="A9105">
        <f>HYPERLINK("https://www.philgeps.gov.ph/GEPSNONPILOT/Tender/SplashBidNoticeAbstractUI.aspx?menuIndex=3&amp;refID=7155198&amp;Result=3","7155198")</f>
        <v>0</v>
      </c>
      <c r="B9105" t="s">
        <v>192</v>
      </c>
      <c r="C9105" t="s">
        <v>12472</v>
      </c>
      <c r="D9105" t="s">
        <v>19057</v>
      </c>
      <c r="E9105" t="s">
        <v>26974</v>
      </c>
      <c r="F9105" t="s">
        <v>32831</v>
      </c>
      <c r="G9105" t="s">
        <v>32839</v>
      </c>
      <c r="H9105" t="s">
        <v>32848</v>
      </c>
      <c r="I9105" t="s">
        <v>32886</v>
      </c>
      <c r="J9105" t="s">
        <v>34921</v>
      </c>
      <c r="K9105" t="s">
        <v>42747</v>
      </c>
      <c r="M9105" t="s">
        <v>43190</v>
      </c>
      <c r="N9105" t="s">
        <v>47424</v>
      </c>
      <c r="O9105" t="s">
        <v>47425</v>
      </c>
      <c r="P9105">
        <v>0</v>
      </c>
      <c r="Q9105">
        <v>10</v>
      </c>
      <c r="R9105" t="s">
        <v>47432</v>
      </c>
      <c r="S9105" t="s">
        <v>47597</v>
      </c>
      <c r="T9105" t="s">
        <v>49118</v>
      </c>
      <c r="U9105" t="s">
        <v>57197</v>
      </c>
      <c r="W9105" t="s">
        <v>43190</v>
      </c>
      <c r="X9105" t="s">
        <v>47433</v>
      </c>
    </row>
    <row r="9106" spans="1:24">
      <c r="A9106">
        <f>HYPERLINK("https://www.philgeps.gov.ph/GEPSNONPILOT/Tender/SplashBidNoticeAbstractUI.aspx?menuIndex=3&amp;refID=7155195&amp;Result=3","7155195")</f>
        <v>0</v>
      </c>
      <c r="B9106" t="s">
        <v>468</v>
      </c>
      <c r="C9106" t="s">
        <v>12473</v>
      </c>
      <c r="D9106" t="s">
        <v>19031</v>
      </c>
      <c r="E9106" t="s">
        <v>26975</v>
      </c>
      <c r="F9106" t="s">
        <v>32831</v>
      </c>
      <c r="G9106" t="s">
        <v>32839</v>
      </c>
      <c r="H9106" t="s">
        <v>32848</v>
      </c>
      <c r="I9106" t="s">
        <v>32875</v>
      </c>
      <c r="J9106" t="s">
        <v>38622</v>
      </c>
      <c r="K9106" t="s">
        <v>42727</v>
      </c>
      <c r="M9106" t="s">
        <v>43473</v>
      </c>
      <c r="N9106" t="s">
        <v>47424</v>
      </c>
      <c r="O9106" t="s">
        <v>47425</v>
      </c>
      <c r="P9106">
        <v>0</v>
      </c>
      <c r="Q9106">
        <v>2</v>
      </c>
      <c r="R9106" t="s">
        <v>47432</v>
      </c>
      <c r="S9106" t="s">
        <v>47597</v>
      </c>
      <c r="T9106" t="s">
        <v>49166</v>
      </c>
      <c r="U9106" t="s">
        <v>57198</v>
      </c>
      <c r="W9106" t="s">
        <v>64440</v>
      </c>
      <c r="X9106" t="s">
        <v>47433</v>
      </c>
    </row>
    <row r="9107" spans="1:24">
      <c r="A9107">
        <f>HYPERLINK("https://www.philgeps.gov.ph/GEPSNONPILOT/Tender/SplashBidNoticeAbstractUI.aspx?menuIndex=3&amp;refID=7154957&amp;Result=3","7154957")</f>
        <v>0</v>
      </c>
      <c r="B9107" t="s">
        <v>2942</v>
      </c>
      <c r="C9107" t="s">
        <v>12474</v>
      </c>
      <c r="D9107" t="s">
        <v>19017</v>
      </c>
      <c r="E9107" t="s">
        <v>26976</v>
      </c>
      <c r="F9107" t="s">
        <v>32831</v>
      </c>
      <c r="G9107" t="s">
        <v>32838</v>
      </c>
      <c r="H9107" t="s">
        <v>32848</v>
      </c>
      <c r="I9107" t="s">
        <v>32894</v>
      </c>
      <c r="J9107" t="s">
        <v>33238</v>
      </c>
      <c r="K9107" t="s">
        <v>42732</v>
      </c>
      <c r="M9107" t="s">
        <v>46200</v>
      </c>
      <c r="N9107" t="s">
        <v>47424</v>
      </c>
      <c r="O9107" t="s">
        <v>47425</v>
      </c>
      <c r="P9107">
        <v>0</v>
      </c>
      <c r="Q9107">
        <v>1</v>
      </c>
      <c r="R9107" t="s">
        <v>47432</v>
      </c>
      <c r="S9107" t="s">
        <v>47597</v>
      </c>
      <c r="T9107" t="s">
        <v>49107</v>
      </c>
      <c r="U9107" t="s">
        <v>57199</v>
      </c>
      <c r="W9107" t="s">
        <v>46200</v>
      </c>
      <c r="X9107" t="s">
        <v>47433</v>
      </c>
    </row>
    <row r="9108" spans="1:24">
      <c r="A9108">
        <f>HYPERLINK("https://www.philgeps.gov.ph/GEPSNONPILOT/Tender/SplashBidNoticeAbstractUI.aspx?menuIndex=3&amp;refID=7154956&amp;Result=3","7154956")</f>
        <v>0</v>
      </c>
      <c r="B9108" t="s">
        <v>668</v>
      </c>
      <c r="C9108" t="s">
        <v>12475</v>
      </c>
      <c r="D9108" t="s">
        <v>19034</v>
      </c>
      <c r="E9108" t="s">
        <v>26977</v>
      </c>
      <c r="F9108" t="s">
        <v>32831</v>
      </c>
      <c r="G9108" t="s">
        <v>32839</v>
      </c>
      <c r="H9108" t="s">
        <v>32848</v>
      </c>
      <c r="I9108" t="s">
        <v>7416</v>
      </c>
      <c r="J9108" t="s">
        <v>38623</v>
      </c>
      <c r="K9108" t="s">
        <v>42791</v>
      </c>
      <c r="M9108" t="s">
        <v>44913</v>
      </c>
      <c r="N9108" t="s">
        <v>47424</v>
      </c>
      <c r="O9108" t="s">
        <v>47425</v>
      </c>
      <c r="P9108">
        <v>0</v>
      </c>
      <c r="Q9108">
        <v>0</v>
      </c>
      <c r="R9108" t="s">
        <v>47432</v>
      </c>
      <c r="S9108" t="s">
        <v>47597</v>
      </c>
      <c r="T9108" t="s">
        <v>49338</v>
      </c>
      <c r="U9108" t="s">
        <v>57200</v>
      </c>
      <c r="W9108" t="s">
        <v>44913</v>
      </c>
      <c r="X9108" t="s">
        <v>47433</v>
      </c>
    </row>
    <row r="9109" spans="1:24">
      <c r="A9109">
        <f>HYPERLINK("https://www.philgeps.gov.ph/GEPSNONPILOT/Tender/SplashBidNoticeAbstractUI.aspx?menuIndex=3&amp;refID=7154955&amp;Result=3","7154955")</f>
        <v>0</v>
      </c>
      <c r="B9109" t="s">
        <v>2943</v>
      </c>
      <c r="C9109" t="s">
        <v>12476</v>
      </c>
      <c r="D9109" t="s">
        <v>19086</v>
      </c>
      <c r="E9109" t="s">
        <v>19845</v>
      </c>
      <c r="F9109" t="s">
        <v>32831</v>
      </c>
      <c r="G9109" t="s">
        <v>32839</v>
      </c>
      <c r="H9109" t="s">
        <v>32848</v>
      </c>
      <c r="I9109" t="s">
        <v>4438</v>
      </c>
      <c r="J9109" t="s">
        <v>38624</v>
      </c>
      <c r="K9109" t="s">
        <v>42726</v>
      </c>
      <c r="M9109" t="s">
        <v>46201</v>
      </c>
      <c r="N9109" t="s">
        <v>47424</v>
      </c>
      <c r="O9109" t="s">
        <v>47425</v>
      </c>
      <c r="P9109">
        <v>0</v>
      </c>
      <c r="Q9109">
        <v>2</v>
      </c>
      <c r="R9109" t="s">
        <v>47432</v>
      </c>
      <c r="S9109" t="s">
        <v>47597</v>
      </c>
      <c r="T9109" t="s">
        <v>49177</v>
      </c>
      <c r="U9109" t="s">
        <v>57201</v>
      </c>
      <c r="W9109" t="s">
        <v>46201</v>
      </c>
      <c r="X9109" t="s">
        <v>47433</v>
      </c>
    </row>
    <row r="9110" spans="1:24">
      <c r="A9110">
        <f>HYPERLINK("https://www.philgeps.gov.ph/GEPSNONPILOT/Tender/SplashBidNoticeAbstractUI.aspx?menuIndex=3&amp;refID=7155191&amp;Result=3","7155191")</f>
        <v>0</v>
      </c>
      <c r="B9110" t="s">
        <v>468</v>
      </c>
      <c r="C9110" t="s">
        <v>12477</v>
      </c>
      <c r="D9110" t="s">
        <v>19031</v>
      </c>
      <c r="E9110" t="s">
        <v>26978</v>
      </c>
      <c r="F9110" t="s">
        <v>32831</v>
      </c>
      <c r="G9110" t="s">
        <v>32839</v>
      </c>
      <c r="H9110" t="s">
        <v>32848</v>
      </c>
      <c r="I9110" t="s">
        <v>32859</v>
      </c>
      <c r="J9110" t="s">
        <v>35125</v>
      </c>
      <c r="K9110" t="s">
        <v>42727</v>
      </c>
      <c r="M9110" t="s">
        <v>43473</v>
      </c>
      <c r="N9110" t="s">
        <v>47424</v>
      </c>
      <c r="O9110" t="s">
        <v>47425</v>
      </c>
      <c r="P9110">
        <v>0</v>
      </c>
      <c r="Q9110">
        <v>2</v>
      </c>
      <c r="R9110" t="s">
        <v>47432</v>
      </c>
      <c r="S9110" t="s">
        <v>47597</v>
      </c>
      <c r="T9110" t="s">
        <v>49166</v>
      </c>
      <c r="U9110" t="s">
        <v>57202</v>
      </c>
      <c r="W9110" t="s">
        <v>64440</v>
      </c>
      <c r="X9110" t="s">
        <v>47433</v>
      </c>
    </row>
    <row r="9111" spans="1:24">
      <c r="A9111">
        <f>HYPERLINK("https://www.philgeps.gov.ph/GEPSNONPILOT/Tender/SplashBidNoticeAbstractUI.aspx?menuIndex=3&amp;refID=7154953&amp;Result=3","7154953")</f>
        <v>0</v>
      </c>
      <c r="B9111" t="s">
        <v>2939</v>
      </c>
      <c r="C9111" t="s">
        <v>12478</v>
      </c>
      <c r="D9111" t="s">
        <v>19057</v>
      </c>
      <c r="E9111" t="s">
        <v>22850</v>
      </c>
      <c r="F9111" t="s">
        <v>32831</v>
      </c>
      <c r="G9111" t="s">
        <v>32839</v>
      </c>
      <c r="H9111" t="s">
        <v>32849</v>
      </c>
      <c r="I9111" t="s">
        <v>32852</v>
      </c>
      <c r="J9111" t="s">
        <v>38625</v>
      </c>
      <c r="K9111" t="s">
        <v>42727</v>
      </c>
      <c r="M9111" t="s">
        <v>46196</v>
      </c>
      <c r="N9111" t="s">
        <v>47424</v>
      </c>
      <c r="O9111" t="s">
        <v>47425</v>
      </c>
      <c r="P9111">
        <v>0</v>
      </c>
      <c r="Q9111">
        <v>2</v>
      </c>
      <c r="R9111" t="s">
        <v>47432</v>
      </c>
      <c r="S9111" t="s">
        <v>47597</v>
      </c>
      <c r="T9111" t="s">
        <v>49141</v>
      </c>
      <c r="U9111" t="s">
        <v>57180</v>
      </c>
      <c r="W9111" t="s">
        <v>46196</v>
      </c>
      <c r="X9111" t="s">
        <v>47433</v>
      </c>
    </row>
    <row r="9112" spans="1:24">
      <c r="A9112">
        <f>HYPERLINK("https://www.philgeps.gov.ph/GEPSNONPILOT/Tender/SplashBidNoticeAbstractUI.aspx?menuIndex=3&amp;refID=7154856&amp;Result=3","7154856")</f>
        <v>0</v>
      </c>
      <c r="B9112" t="s">
        <v>107</v>
      </c>
      <c r="C9112" t="s">
        <v>12479</v>
      </c>
      <c r="D9112" t="s">
        <v>19034</v>
      </c>
      <c r="E9112" t="s">
        <v>26979</v>
      </c>
      <c r="F9112" t="s">
        <v>32831</v>
      </c>
      <c r="G9112" t="s">
        <v>32839</v>
      </c>
      <c r="H9112" t="s">
        <v>32848</v>
      </c>
      <c r="I9112" t="s">
        <v>32868</v>
      </c>
      <c r="J9112" t="s">
        <v>38626</v>
      </c>
      <c r="K9112" t="s">
        <v>42730</v>
      </c>
      <c r="M9112" t="s">
        <v>43104</v>
      </c>
      <c r="N9112" t="s">
        <v>47424</v>
      </c>
      <c r="O9112" t="s">
        <v>47425</v>
      </c>
      <c r="P9112">
        <v>0</v>
      </c>
      <c r="Q9112">
        <v>2</v>
      </c>
      <c r="R9112" t="s">
        <v>47432</v>
      </c>
      <c r="S9112" t="s">
        <v>47597</v>
      </c>
      <c r="T9112" t="s">
        <v>49078</v>
      </c>
      <c r="U9112" t="s">
        <v>57203</v>
      </c>
      <c r="W9112" t="s">
        <v>43104</v>
      </c>
      <c r="X9112" t="s">
        <v>47433</v>
      </c>
    </row>
    <row r="9113" spans="1:24">
      <c r="A9113">
        <f>HYPERLINK("https://www.philgeps.gov.ph/GEPSNONPILOT/Tender/SplashBidNoticeAbstractUI.aspx?menuIndex=3&amp;refID=7154850&amp;Result=3","7154850")</f>
        <v>0</v>
      </c>
      <c r="B9113" t="s">
        <v>2944</v>
      </c>
      <c r="C9113" t="s">
        <v>12480</v>
      </c>
      <c r="D9113" t="s">
        <v>19062</v>
      </c>
      <c r="E9113" t="s">
        <v>26980</v>
      </c>
      <c r="F9113" t="s">
        <v>32831</v>
      </c>
      <c r="G9113" t="s">
        <v>32839</v>
      </c>
      <c r="H9113" t="s">
        <v>32848</v>
      </c>
      <c r="I9113" t="s">
        <v>32858</v>
      </c>
      <c r="J9113" t="s">
        <v>38627</v>
      </c>
      <c r="K9113" t="s">
        <v>42727</v>
      </c>
      <c r="M9113" t="s">
        <v>46202</v>
      </c>
      <c r="N9113" t="s">
        <v>47424</v>
      </c>
      <c r="O9113" t="s">
        <v>47425</v>
      </c>
      <c r="Q9113">
        <v>2</v>
      </c>
      <c r="R9113" t="s">
        <v>47432</v>
      </c>
      <c r="S9113" t="s">
        <v>47632</v>
      </c>
      <c r="T9113" t="s">
        <v>49100</v>
      </c>
      <c r="U9113" t="s">
        <v>57204</v>
      </c>
      <c r="W9113" t="s">
        <v>46202</v>
      </c>
      <c r="X9113" t="s">
        <v>47433</v>
      </c>
    </row>
    <row r="9114" spans="1:24">
      <c r="A9114">
        <f>HYPERLINK("https://www.philgeps.gov.ph/GEPSNONPILOT/Tender/SplashBidNoticeAbstractUI.aspx?menuIndex=3&amp;refID=7155167&amp;Result=3","7155167")</f>
        <v>0</v>
      </c>
      <c r="B9114" t="s">
        <v>2923</v>
      </c>
      <c r="C9114" t="s">
        <v>12481</v>
      </c>
      <c r="D9114" t="s">
        <v>19069</v>
      </c>
      <c r="E9114" t="s">
        <v>26981</v>
      </c>
      <c r="F9114" t="s">
        <v>32831</v>
      </c>
      <c r="G9114" t="s">
        <v>32839</v>
      </c>
      <c r="H9114" t="s">
        <v>32848</v>
      </c>
      <c r="I9114" t="s">
        <v>7416</v>
      </c>
      <c r="J9114" t="s">
        <v>38628</v>
      </c>
      <c r="K9114" t="s">
        <v>42758</v>
      </c>
      <c r="M9114" t="s">
        <v>46176</v>
      </c>
      <c r="N9114" t="s">
        <v>47424</v>
      </c>
      <c r="O9114" t="s">
        <v>47425</v>
      </c>
      <c r="P9114">
        <v>0</v>
      </c>
      <c r="Q9114">
        <v>0</v>
      </c>
      <c r="R9114" t="s">
        <v>47432</v>
      </c>
      <c r="S9114" t="s">
        <v>47597</v>
      </c>
      <c r="T9114" t="s">
        <v>49214</v>
      </c>
      <c r="U9114" t="s">
        <v>53471</v>
      </c>
      <c r="W9114" t="s">
        <v>46176</v>
      </c>
      <c r="X9114" t="s">
        <v>47433</v>
      </c>
    </row>
    <row r="9115" spans="1:24">
      <c r="A9115">
        <f>HYPERLINK("https://www.philgeps.gov.ph/GEPSNONPILOT/Tender/SplashBidNoticeAbstractUI.aspx?menuIndex=3&amp;refID=7154848&amp;Result=3","7154848")</f>
        <v>0</v>
      </c>
      <c r="B9115" t="s">
        <v>798</v>
      </c>
      <c r="C9115" t="s">
        <v>12482</v>
      </c>
      <c r="D9115" t="s">
        <v>19080</v>
      </c>
      <c r="E9115" t="s">
        <v>26982</v>
      </c>
      <c r="F9115" t="s">
        <v>32831</v>
      </c>
      <c r="G9115" t="s">
        <v>32839</v>
      </c>
      <c r="H9115" t="s">
        <v>32848</v>
      </c>
      <c r="I9115" t="s">
        <v>32931</v>
      </c>
      <c r="J9115" t="s">
        <v>38629</v>
      </c>
      <c r="K9115" t="s">
        <v>42727</v>
      </c>
      <c r="M9115" t="s">
        <v>43828</v>
      </c>
      <c r="N9115" t="s">
        <v>47424</v>
      </c>
      <c r="O9115" t="s">
        <v>47425</v>
      </c>
      <c r="P9115">
        <v>0</v>
      </c>
      <c r="Q9115">
        <v>7</v>
      </c>
      <c r="R9115" t="s">
        <v>47432</v>
      </c>
      <c r="S9115" t="s">
        <v>47597</v>
      </c>
      <c r="T9115" t="s">
        <v>49236</v>
      </c>
      <c r="U9115" t="s">
        <v>57205</v>
      </c>
      <c r="W9115" t="s">
        <v>43828</v>
      </c>
      <c r="X9115" t="s">
        <v>47433</v>
      </c>
    </row>
    <row r="9116" spans="1:24">
      <c r="A9116">
        <f>HYPERLINK("https://www.philgeps.gov.ph/GEPSNONPILOT/Tender/SplashBidNoticeAbstractUI.aspx?menuIndex=3&amp;refID=7154845&amp;Result=3","7154845")</f>
        <v>0</v>
      </c>
      <c r="B9116" t="s">
        <v>107</v>
      </c>
      <c r="C9116" t="s">
        <v>12483</v>
      </c>
      <c r="D9116" t="s">
        <v>19034</v>
      </c>
      <c r="E9116" t="s">
        <v>26983</v>
      </c>
      <c r="F9116" t="s">
        <v>32831</v>
      </c>
      <c r="G9116" t="s">
        <v>32839</v>
      </c>
      <c r="H9116" t="s">
        <v>32848</v>
      </c>
      <c r="I9116" t="s">
        <v>4435</v>
      </c>
      <c r="J9116" t="s">
        <v>33031</v>
      </c>
      <c r="K9116" t="s">
        <v>42730</v>
      </c>
      <c r="M9116" t="s">
        <v>43104</v>
      </c>
      <c r="N9116" t="s">
        <v>47424</v>
      </c>
      <c r="O9116" t="s">
        <v>47425</v>
      </c>
      <c r="P9116">
        <v>0</v>
      </c>
      <c r="Q9116">
        <v>2</v>
      </c>
      <c r="R9116" t="s">
        <v>47432</v>
      </c>
      <c r="S9116" t="s">
        <v>47597</v>
      </c>
      <c r="T9116" t="s">
        <v>49219</v>
      </c>
      <c r="U9116" t="s">
        <v>57206</v>
      </c>
      <c r="W9116" t="s">
        <v>43104</v>
      </c>
      <c r="X9116" t="s">
        <v>47433</v>
      </c>
    </row>
    <row r="9117" spans="1:24">
      <c r="A9117">
        <f>HYPERLINK("https://www.philgeps.gov.ph/GEPSNONPILOT/Tender/SplashBidNoticeAbstractUI.aspx?menuIndex=3&amp;refID=7154840&amp;Result=3","7154840")</f>
        <v>0</v>
      </c>
      <c r="B9117" t="s">
        <v>311</v>
      </c>
      <c r="C9117" t="s">
        <v>12484</v>
      </c>
      <c r="D9117" t="s">
        <v>19064</v>
      </c>
      <c r="E9117" t="s">
        <v>26984</v>
      </c>
      <c r="F9117" t="s">
        <v>32831</v>
      </c>
      <c r="G9117" t="s">
        <v>32839</v>
      </c>
      <c r="H9117" t="s">
        <v>32848</v>
      </c>
      <c r="I9117" t="s">
        <v>6526</v>
      </c>
      <c r="J9117" t="s">
        <v>33424</v>
      </c>
      <c r="K9117" t="s">
        <v>42763</v>
      </c>
      <c r="M9117" t="s">
        <v>43313</v>
      </c>
      <c r="N9117" t="s">
        <v>47424</v>
      </c>
      <c r="O9117" t="s">
        <v>47425</v>
      </c>
      <c r="P9117">
        <v>0</v>
      </c>
      <c r="Q9117">
        <v>0</v>
      </c>
      <c r="R9117" t="s">
        <v>47432</v>
      </c>
      <c r="S9117" t="s">
        <v>47597</v>
      </c>
      <c r="T9117" t="s">
        <v>49192</v>
      </c>
      <c r="U9117" t="s">
        <v>50222</v>
      </c>
      <c r="W9117" t="s">
        <v>43313</v>
      </c>
      <c r="X9117" t="s">
        <v>47433</v>
      </c>
    </row>
    <row r="9118" spans="1:24">
      <c r="A9118">
        <f>HYPERLINK("https://www.philgeps.gov.ph/GEPSNONPILOT/Tender/SplashBidNoticeAbstractUI.aspx?menuIndex=3&amp;refID=7154691&amp;Result=3","7154691")</f>
        <v>0</v>
      </c>
      <c r="B9118" t="s">
        <v>1162</v>
      </c>
      <c r="C9118" t="s">
        <v>12485</v>
      </c>
      <c r="D9118" t="s">
        <v>19050</v>
      </c>
      <c r="E9118" t="s">
        <v>12485</v>
      </c>
      <c r="F9118" t="s">
        <v>32831</v>
      </c>
      <c r="G9118" t="s">
        <v>32839</v>
      </c>
      <c r="H9118" t="s">
        <v>32848</v>
      </c>
      <c r="I9118" t="s">
        <v>4776</v>
      </c>
      <c r="J9118" t="s">
        <v>32983</v>
      </c>
      <c r="K9118" t="s">
        <v>42730</v>
      </c>
      <c r="M9118" t="s">
        <v>46128</v>
      </c>
      <c r="N9118" t="s">
        <v>47424</v>
      </c>
      <c r="O9118" t="s">
        <v>47425</v>
      </c>
      <c r="P9118">
        <v>0</v>
      </c>
      <c r="Q9118">
        <v>1</v>
      </c>
      <c r="R9118" t="s">
        <v>47432</v>
      </c>
      <c r="S9118" t="s">
        <v>47597</v>
      </c>
      <c r="T9118" t="s">
        <v>49108</v>
      </c>
      <c r="U9118" t="s">
        <v>57207</v>
      </c>
      <c r="W9118" t="s">
        <v>46128</v>
      </c>
      <c r="X9118" t="s">
        <v>47433</v>
      </c>
    </row>
    <row r="9119" spans="1:24">
      <c r="A9119">
        <f>HYPERLINK("https://www.philgeps.gov.ph/GEPSNONPILOT/Tender/SplashBidNoticeAbstractUI.aspx?menuIndex=3&amp;refID=7154689&amp;Result=3","7154689")</f>
        <v>0</v>
      </c>
      <c r="B9119" t="s">
        <v>1529</v>
      </c>
      <c r="C9119" t="s">
        <v>12486</v>
      </c>
      <c r="E9119" t="s">
        <v>26985</v>
      </c>
      <c r="F9119" t="s">
        <v>32831</v>
      </c>
      <c r="G9119" t="s">
        <v>32838</v>
      </c>
      <c r="H9119" t="s">
        <v>32848</v>
      </c>
      <c r="I9119" t="s">
        <v>32929</v>
      </c>
      <c r="J9119" t="s">
        <v>35371</v>
      </c>
      <c r="K9119" t="s">
        <v>42732</v>
      </c>
      <c r="M9119" t="s">
        <v>44632</v>
      </c>
      <c r="N9119" t="s">
        <v>47424</v>
      </c>
      <c r="O9119" t="s">
        <v>47425</v>
      </c>
      <c r="P9119">
        <v>0</v>
      </c>
      <c r="Q9119">
        <v>2</v>
      </c>
      <c r="R9119" t="s">
        <v>47432</v>
      </c>
      <c r="S9119" t="s">
        <v>47597</v>
      </c>
      <c r="T9119" t="s">
        <v>49166</v>
      </c>
      <c r="U9119" t="s">
        <v>57208</v>
      </c>
      <c r="W9119" t="s">
        <v>44632</v>
      </c>
      <c r="X9119" t="s">
        <v>47433</v>
      </c>
    </row>
    <row r="9120" spans="1:24">
      <c r="A9120">
        <f>HYPERLINK("https://www.philgeps.gov.ph/GEPSNONPILOT/Tender/SplashBidNoticeAbstractUI.aspx?menuIndex=3&amp;refID=7155194&amp;Result=3","7155194")</f>
        <v>0</v>
      </c>
      <c r="B9120" t="s">
        <v>468</v>
      </c>
      <c r="C9120" t="s">
        <v>12487</v>
      </c>
      <c r="D9120" t="s">
        <v>19031</v>
      </c>
      <c r="E9120" t="s">
        <v>26986</v>
      </c>
      <c r="F9120" t="s">
        <v>32831</v>
      </c>
      <c r="G9120" t="s">
        <v>32839</v>
      </c>
      <c r="H9120" t="s">
        <v>32848</v>
      </c>
      <c r="I9120" t="s">
        <v>32883</v>
      </c>
      <c r="J9120" t="s">
        <v>33090</v>
      </c>
      <c r="K9120" t="s">
        <v>42727</v>
      </c>
      <c r="M9120" t="s">
        <v>43473</v>
      </c>
      <c r="N9120" t="s">
        <v>47424</v>
      </c>
      <c r="O9120" t="s">
        <v>47425</v>
      </c>
      <c r="P9120">
        <v>0</v>
      </c>
      <c r="Q9120">
        <v>3</v>
      </c>
      <c r="R9120" t="s">
        <v>47432</v>
      </c>
      <c r="S9120" t="s">
        <v>47597</v>
      </c>
      <c r="T9120" t="s">
        <v>49166</v>
      </c>
      <c r="U9120" t="s">
        <v>57209</v>
      </c>
      <c r="W9120" t="s">
        <v>64440</v>
      </c>
      <c r="X9120" t="s">
        <v>47433</v>
      </c>
    </row>
    <row r="9121" spans="1:24">
      <c r="A9121">
        <f>HYPERLINK("https://www.philgeps.gov.ph/GEPSNONPILOT/Tender/SplashBidNoticeAbstractUI.aspx?menuIndex=3&amp;refID=7154688&amp;Result=3","7154688")</f>
        <v>0</v>
      </c>
      <c r="B9121" t="s">
        <v>2088</v>
      </c>
      <c r="C9121" t="s">
        <v>12488</v>
      </c>
      <c r="D9121" t="s">
        <v>19044</v>
      </c>
      <c r="E9121" t="s">
        <v>25959</v>
      </c>
      <c r="F9121" t="s">
        <v>32831</v>
      </c>
      <c r="G9121" t="s">
        <v>32839</v>
      </c>
      <c r="H9121" t="s">
        <v>32848</v>
      </c>
      <c r="I9121" t="s">
        <v>7751</v>
      </c>
      <c r="J9121" t="s">
        <v>33032</v>
      </c>
      <c r="K9121" t="s">
        <v>42763</v>
      </c>
      <c r="M9121" t="s">
        <v>45260</v>
      </c>
      <c r="N9121" t="s">
        <v>47424</v>
      </c>
      <c r="O9121" t="s">
        <v>47425</v>
      </c>
      <c r="P9121">
        <v>0</v>
      </c>
      <c r="Q9121">
        <v>5</v>
      </c>
      <c r="R9121" t="s">
        <v>47432</v>
      </c>
      <c r="S9121" t="s">
        <v>47597</v>
      </c>
      <c r="T9121" t="s">
        <v>49112</v>
      </c>
      <c r="U9121" t="s">
        <v>57210</v>
      </c>
      <c r="W9121" t="s">
        <v>45260</v>
      </c>
      <c r="X9121" t="s">
        <v>47433</v>
      </c>
    </row>
    <row r="9122" spans="1:24">
      <c r="A9122">
        <f>HYPERLINK("https://www.philgeps.gov.ph/GEPSNONPILOT/Tender/SplashBidNoticeAbstractUI.aspx?menuIndex=3&amp;refID=7119860&amp;Result=3","7119860")</f>
        <v>0</v>
      </c>
      <c r="B9122" t="s">
        <v>859</v>
      </c>
      <c r="C9122" t="s">
        <v>12489</v>
      </c>
      <c r="D9122" t="s">
        <v>19102</v>
      </c>
      <c r="E9122" t="s">
        <v>26987</v>
      </c>
      <c r="F9122" t="s">
        <v>32831</v>
      </c>
      <c r="G9122" t="s">
        <v>32838</v>
      </c>
      <c r="H9122" t="s">
        <v>32848</v>
      </c>
      <c r="I9122" t="s">
        <v>10888</v>
      </c>
      <c r="J9122" t="s">
        <v>38630</v>
      </c>
      <c r="K9122" t="s">
        <v>42729</v>
      </c>
      <c r="M9122" t="s">
        <v>43893</v>
      </c>
      <c r="N9122" t="s">
        <v>47424</v>
      </c>
      <c r="O9122" t="s">
        <v>47425</v>
      </c>
      <c r="P9122">
        <v>0</v>
      </c>
      <c r="Q9122">
        <v>0</v>
      </c>
      <c r="R9122" t="s">
        <v>47433</v>
      </c>
      <c r="S9122" t="s">
        <v>47633</v>
      </c>
      <c r="T9122" t="s">
        <v>49529</v>
      </c>
      <c r="U9122" t="s">
        <v>57211</v>
      </c>
      <c r="W9122" t="s">
        <v>64448</v>
      </c>
      <c r="X9122" t="s">
        <v>47449</v>
      </c>
    </row>
    <row r="9123" spans="1:24">
      <c r="A9123">
        <f>HYPERLINK("https://www.philgeps.gov.ph/GEPSNONPILOT/Tender/SplashBidNoticeAbstractUI.aspx?menuIndex=3&amp;refID=7136057&amp;Result=3","7136057")</f>
        <v>0</v>
      </c>
      <c r="B9123" t="s">
        <v>2945</v>
      </c>
      <c r="C9123" t="s">
        <v>12490</v>
      </c>
      <c r="D9123" t="s">
        <v>19032</v>
      </c>
      <c r="E9123" t="s">
        <v>26988</v>
      </c>
      <c r="F9123" t="s">
        <v>32831</v>
      </c>
      <c r="G9123" t="s">
        <v>32839</v>
      </c>
      <c r="H9123" t="s">
        <v>32849</v>
      </c>
      <c r="I9123" t="s">
        <v>4177</v>
      </c>
      <c r="J9123" t="s">
        <v>38631</v>
      </c>
      <c r="K9123" t="s">
        <v>42830</v>
      </c>
      <c r="M9123" t="s">
        <v>46203</v>
      </c>
      <c r="N9123" t="s">
        <v>47424</v>
      </c>
      <c r="O9123" t="s">
        <v>47425</v>
      </c>
      <c r="P9123">
        <v>0</v>
      </c>
      <c r="Q9123">
        <v>0</v>
      </c>
      <c r="R9123" t="s">
        <v>47433</v>
      </c>
      <c r="S9123" t="s">
        <v>47633</v>
      </c>
      <c r="T9123" t="s">
        <v>49221</v>
      </c>
      <c r="U9123" t="s">
        <v>57212</v>
      </c>
      <c r="W9123" t="s">
        <v>46203</v>
      </c>
      <c r="X9123" t="s">
        <v>47441</v>
      </c>
    </row>
    <row r="9124" spans="1:24">
      <c r="A9124">
        <f>HYPERLINK("https://www.philgeps.gov.ph/GEPSNONPILOT/Tender/SplashBidNoticeAbstractUI.aspx?menuIndex=3&amp;refID=7134967&amp;Result=3","7134967")</f>
        <v>0</v>
      </c>
      <c r="B9124" t="s">
        <v>1748</v>
      </c>
      <c r="C9124" t="s">
        <v>12491</v>
      </c>
      <c r="D9124" t="s">
        <v>19048</v>
      </c>
      <c r="E9124" t="s">
        <v>19777</v>
      </c>
      <c r="F9124" t="s">
        <v>32831</v>
      </c>
      <c r="G9124" t="s">
        <v>32839</v>
      </c>
      <c r="H9124" t="s">
        <v>32848</v>
      </c>
      <c r="I9124" t="s">
        <v>7416</v>
      </c>
      <c r="J9124" t="s">
        <v>38632</v>
      </c>
      <c r="K9124" t="s">
        <v>42742</v>
      </c>
      <c r="M9124" t="s">
        <v>44872</v>
      </c>
      <c r="N9124" t="s">
        <v>47424</v>
      </c>
      <c r="O9124" t="s">
        <v>47425</v>
      </c>
      <c r="P9124">
        <v>0</v>
      </c>
      <c r="Q9124">
        <v>0</v>
      </c>
      <c r="R9124" t="s">
        <v>47433</v>
      </c>
      <c r="S9124" t="s">
        <v>47633</v>
      </c>
      <c r="T9124" t="s">
        <v>49214</v>
      </c>
      <c r="U9124" t="s">
        <v>57213</v>
      </c>
      <c r="V9124" t="s">
        <v>63110</v>
      </c>
      <c r="W9124" t="s">
        <v>44872</v>
      </c>
      <c r="X9124" t="s">
        <v>47444</v>
      </c>
    </row>
    <row r="9125" spans="1:24">
      <c r="A9125">
        <f>HYPERLINK("https://www.philgeps.gov.ph/GEPSNONPILOT/Tender/SplashBidNoticeAbstractUI.aspx?menuIndex=3&amp;refID=7155189&amp;Result=3","7155189")</f>
        <v>0</v>
      </c>
      <c r="B9125" t="s">
        <v>1894</v>
      </c>
      <c r="C9125" t="s">
        <v>12492</v>
      </c>
      <c r="D9125" t="s">
        <v>19031</v>
      </c>
      <c r="E9125" t="s">
        <v>26989</v>
      </c>
      <c r="F9125" t="s">
        <v>32831</v>
      </c>
      <c r="G9125" t="s">
        <v>32838</v>
      </c>
      <c r="H9125" t="s">
        <v>32848</v>
      </c>
      <c r="I9125" t="s">
        <v>32856</v>
      </c>
      <c r="J9125" t="s">
        <v>32979</v>
      </c>
      <c r="K9125" t="s">
        <v>42758</v>
      </c>
      <c r="M9125" t="s">
        <v>45041</v>
      </c>
      <c r="N9125" t="s">
        <v>47424</v>
      </c>
      <c r="O9125" t="s">
        <v>47425</v>
      </c>
      <c r="P9125">
        <v>0</v>
      </c>
      <c r="Q9125">
        <v>0</v>
      </c>
      <c r="R9125" t="s">
        <v>47432</v>
      </c>
      <c r="S9125" t="s">
        <v>47597</v>
      </c>
      <c r="T9125" t="s">
        <v>49111</v>
      </c>
      <c r="U9125" t="s">
        <v>53972</v>
      </c>
      <c r="W9125" t="s">
        <v>45041</v>
      </c>
      <c r="X9125" t="s">
        <v>47433</v>
      </c>
    </row>
    <row r="9126" spans="1:24">
      <c r="A9126">
        <f>HYPERLINK("https://www.philgeps.gov.ph/GEPSNONPILOT/Tender/SplashBidNoticeAbstractUI.aspx?menuIndex=3&amp;refID=7154952&amp;Result=3","7154952")</f>
        <v>0</v>
      </c>
      <c r="B9126" t="s">
        <v>1045</v>
      </c>
      <c r="C9126" t="s">
        <v>12493</v>
      </c>
      <c r="D9126" t="s">
        <v>19040</v>
      </c>
      <c r="E9126" t="s">
        <v>26990</v>
      </c>
      <c r="F9126" t="s">
        <v>32831</v>
      </c>
      <c r="G9126" t="s">
        <v>32839</v>
      </c>
      <c r="H9126" t="s">
        <v>32849</v>
      </c>
      <c r="I9126" t="s">
        <v>7416</v>
      </c>
      <c r="J9126" t="s">
        <v>38633</v>
      </c>
      <c r="K9126" t="s">
        <v>42729</v>
      </c>
      <c r="M9126" t="s">
        <v>44101</v>
      </c>
      <c r="N9126" t="s">
        <v>47424</v>
      </c>
      <c r="O9126" t="s">
        <v>47425</v>
      </c>
      <c r="P9126">
        <v>0</v>
      </c>
      <c r="Q9126">
        <v>0</v>
      </c>
      <c r="R9126" t="s">
        <v>47432</v>
      </c>
      <c r="S9126" t="s">
        <v>47597</v>
      </c>
      <c r="T9126" t="s">
        <v>49206</v>
      </c>
      <c r="U9126" t="s">
        <v>57214</v>
      </c>
      <c r="V9126" t="s">
        <v>62871</v>
      </c>
      <c r="W9126" t="s">
        <v>44101</v>
      </c>
      <c r="X9126" t="s">
        <v>47433</v>
      </c>
    </row>
    <row r="9127" spans="1:24">
      <c r="A9127">
        <f>HYPERLINK("https://www.philgeps.gov.ph/GEPSNONPILOT/Tender/SplashBidNoticeAbstractUI.aspx?menuIndex=3&amp;refID=7155188&amp;Result=3","7155188")</f>
        <v>0</v>
      </c>
      <c r="B9127" t="s">
        <v>468</v>
      </c>
      <c r="C9127" t="s">
        <v>12494</v>
      </c>
      <c r="D9127" t="s">
        <v>19031</v>
      </c>
      <c r="E9127" t="s">
        <v>26991</v>
      </c>
      <c r="F9127" t="s">
        <v>32831</v>
      </c>
      <c r="G9127" t="s">
        <v>32839</v>
      </c>
      <c r="H9127" t="s">
        <v>32848</v>
      </c>
      <c r="I9127" t="s">
        <v>4487</v>
      </c>
      <c r="J9127" t="s">
        <v>38634</v>
      </c>
      <c r="K9127" t="s">
        <v>42727</v>
      </c>
      <c r="M9127" t="s">
        <v>43473</v>
      </c>
      <c r="N9127" t="s">
        <v>47424</v>
      </c>
      <c r="O9127" t="s">
        <v>47425</v>
      </c>
      <c r="P9127">
        <v>0</v>
      </c>
      <c r="Q9127">
        <v>0</v>
      </c>
      <c r="R9127" t="s">
        <v>47432</v>
      </c>
      <c r="S9127" t="s">
        <v>47597</v>
      </c>
      <c r="T9127" t="s">
        <v>49166</v>
      </c>
      <c r="U9127" t="s">
        <v>57215</v>
      </c>
      <c r="W9127" t="s">
        <v>64440</v>
      </c>
      <c r="X9127" t="s">
        <v>47433</v>
      </c>
    </row>
    <row r="9128" spans="1:24">
      <c r="A9128">
        <f>HYPERLINK("https://www.philgeps.gov.ph/GEPSNONPILOT/Tender/SplashBidNoticeAbstractUI.aspx?menuIndex=3&amp;refID=7136056&amp;Result=3","7136056")</f>
        <v>0</v>
      </c>
      <c r="B9128" t="s">
        <v>2945</v>
      </c>
      <c r="C9128" t="s">
        <v>12495</v>
      </c>
      <c r="D9128" t="s">
        <v>19032</v>
      </c>
      <c r="E9128" t="s">
        <v>26992</v>
      </c>
      <c r="F9128" t="s">
        <v>32831</v>
      </c>
      <c r="G9128" t="s">
        <v>32839</v>
      </c>
      <c r="H9128" t="s">
        <v>32849</v>
      </c>
      <c r="I9128" t="s">
        <v>4177</v>
      </c>
      <c r="J9128" t="s">
        <v>38635</v>
      </c>
      <c r="K9128" t="s">
        <v>42789</v>
      </c>
      <c r="M9128" t="s">
        <v>46203</v>
      </c>
      <c r="N9128" t="s">
        <v>47424</v>
      </c>
      <c r="O9128" t="s">
        <v>47425</v>
      </c>
      <c r="P9128">
        <v>0</v>
      </c>
      <c r="Q9128">
        <v>0</v>
      </c>
      <c r="R9128" t="s">
        <v>47433</v>
      </c>
      <c r="S9128" t="s">
        <v>47633</v>
      </c>
      <c r="T9128" t="s">
        <v>49221</v>
      </c>
      <c r="U9128" t="s">
        <v>57216</v>
      </c>
      <c r="W9128" t="s">
        <v>46203</v>
      </c>
      <c r="X9128" t="s">
        <v>47441</v>
      </c>
    </row>
    <row r="9129" spans="1:24">
      <c r="A9129">
        <f>HYPERLINK("https://www.philgeps.gov.ph/GEPSNONPILOT/Tender/SplashBidNoticeAbstractUI.aspx?menuIndex=3&amp;refID=7132860&amp;Result=3","7132860")</f>
        <v>0</v>
      </c>
      <c r="B9129" t="s">
        <v>1551</v>
      </c>
      <c r="C9129" t="s">
        <v>7454</v>
      </c>
      <c r="D9129" t="s">
        <v>19091</v>
      </c>
      <c r="E9129" t="s">
        <v>26993</v>
      </c>
      <c r="F9129" t="s">
        <v>32831</v>
      </c>
      <c r="G9129" t="s">
        <v>32839</v>
      </c>
      <c r="H9129" t="s">
        <v>32849</v>
      </c>
      <c r="I9129" t="s">
        <v>32863</v>
      </c>
      <c r="J9129" t="s">
        <v>32980</v>
      </c>
      <c r="K9129" t="s">
        <v>42790</v>
      </c>
      <c r="M9129" t="s">
        <v>44657</v>
      </c>
      <c r="N9129" t="s">
        <v>47424</v>
      </c>
      <c r="O9129" t="s">
        <v>47425</v>
      </c>
      <c r="P9129">
        <v>0</v>
      </c>
      <c r="Q9129">
        <v>0</v>
      </c>
      <c r="R9129" t="s">
        <v>47433</v>
      </c>
      <c r="S9129" t="s">
        <v>47633</v>
      </c>
      <c r="T9129" t="s">
        <v>49237</v>
      </c>
      <c r="U9129" t="s">
        <v>57217</v>
      </c>
      <c r="W9129" t="s">
        <v>44657</v>
      </c>
      <c r="X9129" t="s">
        <v>47444</v>
      </c>
    </row>
    <row r="9130" spans="1:24">
      <c r="A9130">
        <f>HYPERLINK("https://www.philgeps.gov.ph/GEPSNONPILOT/Tender/SplashBidNoticeAbstractUI.aspx?menuIndex=3&amp;refID=7119781&amp;Result=3","7119781")</f>
        <v>0</v>
      </c>
      <c r="B9130" t="s">
        <v>859</v>
      </c>
      <c r="C9130" t="s">
        <v>12496</v>
      </c>
      <c r="D9130" t="s">
        <v>19102</v>
      </c>
      <c r="E9130" t="s">
        <v>26994</v>
      </c>
      <c r="F9130" t="s">
        <v>32831</v>
      </c>
      <c r="G9130" t="s">
        <v>32838</v>
      </c>
      <c r="H9130" t="s">
        <v>32848</v>
      </c>
      <c r="I9130" t="s">
        <v>10888</v>
      </c>
      <c r="J9130" t="s">
        <v>38636</v>
      </c>
      <c r="K9130" t="s">
        <v>42729</v>
      </c>
      <c r="M9130" t="s">
        <v>43893</v>
      </c>
      <c r="N9130" t="s">
        <v>47424</v>
      </c>
      <c r="O9130" t="s">
        <v>47425</v>
      </c>
      <c r="P9130">
        <v>0</v>
      </c>
      <c r="Q9130">
        <v>0</v>
      </c>
      <c r="R9130" t="s">
        <v>47433</v>
      </c>
      <c r="S9130" t="s">
        <v>47633</v>
      </c>
      <c r="T9130" t="s">
        <v>49529</v>
      </c>
      <c r="U9130" t="s">
        <v>57218</v>
      </c>
      <c r="W9130" t="s">
        <v>64448</v>
      </c>
      <c r="X9130" t="s">
        <v>47449</v>
      </c>
    </row>
    <row r="9131" spans="1:24">
      <c r="A9131">
        <f>HYPERLINK("https://www.philgeps.gov.ph/GEPSNONPILOT/Tender/SplashBidNoticeAbstractUI.aspx?menuIndex=3&amp;refID=7134946&amp;Result=3","7134946")</f>
        <v>0</v>
      </c>
      <c r="B9131" t="s">
        <v>762</v>
      </c>
      <c r="C9131" t="s">
        <v>12497</v>
      </c>
      <c r="D9131" t="s">
        <v>19054</v>
      </c>
      <c r="E9131" t="s">
        <v>26995</v>
      </c>
      <c r="F9131" t="s">
        <v>32831</v>
      </c>
      <c r="G9131" t="s">
        <v>32841</v>
      </c>
      <c r="H9131" t="s">
        <v>32849</v>
      </c>
      <c r="I9131" t="s">
        <v>4177</v>
      </c>
      <c r="J9131" t="s">
        <v>38637</v>
      </c>
      <c r="K9131" t="s">
        <v>42732</v>
      </c>
      <c r="M9131" t="s">
        <v>43788</v>
      </c>
      <c r="N9131" t="s">
        <v>47424</v>
      </c>
      <c r="O9131" t="s">
        <v>47425</v>
      </c>
      <c r="P9131">
        <v>0</v>
      </c>
      <c r="Q9131">
        <v>3</v>
      </c>
      <c r="R9131" t="s">
        <v>47433</v>
      </c>
      <c r="S9131" t="s">
        <v>47633</v>
      </c>
      <c r="T9131" t="s">
        <v>49059</v>
      </c>
      <c r="U9131" t="s">
        <v>57219</v>
      </c>
      <c r="W9131" t="s">
        <v>43788</v>
      </c>
      <c r="X9131" t="s">
        <v>47444</v>
      </c>
    </row>
    <row r="9132" spans="1:24">
      <c r="A9132">
        <f>HYPERLINK("https://www.philgeps.gov.ph/GEPSNONPILOT/Tender/SplashBidNoticeAbstractUI.aspx?menuIndex=3&amp;refID=7114138&amp;Result=3","7114138")</f>
        <v>0</v>
      </c>
      <c r="B9132" t="s">
        <v>2946</v>
      </c>
      <c r="C9132" t="s">
        <v>12498</v>
      </c>
      <c r="D9132" t="s">
        <v>19038</v>
      </c>
      <c r="E9132" t="s">
        <v>26996</v>
      </c>
      <c r="F9132" t="s">
        <v>32831</v>
      </c>
      <c r="G9132" t="s">
        <v>32839</v>
      </c>
      <c r="H9132" t="s">
        <v>32848</v>
      </c>
      <c r="I9132" t="s">
        <v>32854</v>
      </c>
      <c r="J9132" t="s">
        <v>33500</v>
      </c>
      <c r="K9132" t="s">
        <v>42727</v>
      </c>
      <c r="M9132" t="s">
        <v>46204</v>
      </c>
      <c r="N9132" t="s">
        <v>47424</v>
      </c>
      <c r="O9132" t="s">
        <v>47425</v>
      </c>
      <c r="P9132">
        <v>0</v>
      </c>
      <c r="Q9132">
        <v>1</v>
      </c>
      <c r="R9132" t="s">
        <v>47433</v>
      </c>
      <c r="S9132" t="s">
        <v>47633</v>
      </c>
      <c r="T9132" t="s">
        <v>49212</v>
      </c>
      <c r="U9132" t="s">
        <v>57220</v>
      </c>
      <c r="W9132" t="s">
        <v>46204</v>
      </c>
      <c r="X9132" t="s">
        <v>47452</v>
      </c>
    </row>
    <row r="9133" spans="1:24">
      <c r="A9133">
        <f>HYPERLINK("https://www.philgeps.gov.ph/GEPSNONPILOT/Tender/SplashBidNoticeAbstractUI.aspx?menuIndex=3&amp;refID=7155239&amp;Result=3","7155239")</f>
        <v>0</v>
      </c>
      <c r="B9133" t="s">
        <v>2947</v>
      </c>
      <c r="C9133" t="s">
        <v>5410</v>
      </c>
      <c r="D9133" t="s">
        <v>19042</v>
      </c>
      <c r="E9133" t="s">
        <v>19203</v>
      </c>
      <c r="F9133" t="s">
        <v>32831</v>
      </c>
      <c r="G9133" t="s">
        <v>32839</v>
      </c>
      <c r="H9133" t="s">
        <v>32848</v>
      </c>
      <c r="I9133" t="s">
        <v>7416</v>
      </c>
      <c r="J9133" t="s">
        <v>38638</v>
      </c>
      <c r="K9133" t="s">
        <v>42730</v>
      </c>
      <c r="M9133" t="s">
        <v>46205</v>
      </c>
      <c r="N9133" t="s">
        <v>47424</v>
      </c>
      <c r="O9133" t="s">
        <v>47425</v>
      </c>
      <c r="P9133">
        <v>0</v>
      </c>
      <c r="Q9133">
        <v>1</v>
      </c>
      <c r="R9133" t="s">
        <v>47432</v>
      </c>
      <c r="S9133" t="s">
        <v>47597</v>
      </c>
      <c r="T9133" t="s">
        <v>49304</v>
      </c>
      <c r="U9133" t="s">
        <v>57221</v>
      </c>
      <c r="W9133" t="s">
        <v>46205</v>
      </c>
      <c r="X9133" t="s">
        <v>47433</v>
      </c>
    </row>
    <row r="9134" spans="1:24">
      <c r="A9134">
        <f>HYPERLINK("https://www.philgeps.gov.ph/GEPSNONPILOT/Tender/SplashBidNoticeAbstractUI.aspx?menuIndex=3&amp;refID=7155237&amp;Result=3","7155237")</f>
        <v>0</v>
      </c>
      <c r="B9134" t="s">
        <v>563</v>
      </c>
      <c r="C9134" t="s">
        <v>12499</v>
      </c>
      <c r="D9134" t="s">
        <v>19060</v>
      </c>
      <c r="E9134" t="s">
        <v>26997</v>
      </c>
      <c r="F9134" t="s">
        <v>32831</v>
      </c>
      <c r="G9134" t="s">
        <v>32839</v>
      </c>
      <c r="H9134" t="s">
        <v>32848</v>
      </c>
      <c r="I9134" t="s">
        <v>7751</v>
      </c>
      <c r="J9134" t="s">
        <v>34447</v>
      </c>
      <c r="K9134" t="s">
        <v>42763</v>
      </c>
      <c r="M9134" t="s">
        <v>46198</v>
      </c>
      <c r="N9134" t="s">
        <v>47424</v>
      </c>
      <c r="O9134" t="s">
        <v>47425</v>
      </c>
      <c r="P9134">
        <v>0</v>
      </c>
      <c r="Q9134">
        <v>3</v>
      </c>
      <c r="R9134" t="s">
        <v>47432</v>
      </c>
      <c r="S9134" t="s">
        <v>47597</v>
      </c>
      <c r="T9134" t="s">
        <v>49470</v>
      </c>
      <c r="U9134" t="s">
        <v>57222</v>
      </c>
      <c r="W9134" t="s">
        <v>64528</v>
      </c>
      <c r="X9134" t="s">
        <v>47433</v>
      </c>
    </row>
    <row r="9135" spans="1:24">
      <c r="A9135">
        <f>HYPERLINK("https://www.philgeps.gov.ph/GEPSNONPILOT/Tender/SplashBidNoticeAbstractUI.aspx?menuIndex=3&amp;refID=7133546&amp;Result=3","7133546")</f>
        <v>0</v>
      </c>
      <c r="B9135" t="s">
        <v>2005</v>
      </c>
      <c r="C9135" t="s">
        <v>12500</v>
      </c>
      <c r="D9135" t="s">
        <v>19052</v>
      </c>
      <c r="E9135" t="s">
        <v>26998</v>
      </c>
      <c r="F9135" t="s">
        <v>32831</v>
      </c>
      <c r="G9135" t="s">
        <v>32839</v>
      </c>
      <c r="H9135" t="s">
        <v>32848</v>
      </c>
      <c r="I9135" t="s">
        <v>32914</v>
      </c>
      <c r="J9135" t="s">
        <v>33528</v>
      </c>
      <c r="K9135" t="s">
        <v>42770</v>
      </c>
      <c r="M9135" t="s">
        <v>45843</v>
      </c>
      <c r="N9135" t="s">
        <v>47424</v>
      </c>
      <c r="O9135" t="s">
        <v>47425</v>
      </c>
      <c r="P9135">
        <v>0</v>
      </c>
      <c r="Q9135">
        <v>13</v>
      </c>
      <c r="R9135" t="s">
        <v>47433</v>
      </c>
      <c r="S9135" t="s">
        <v>47633</v>
      </c>
      <c r="T9135" t="s">
        <v>49249</v>
      </c>
      <c r="U9135" t="s">
        <v>57223</v>
      </c>
      <c r="V9135" t="s">
        <v>63627</v>
      </c>
      <c r="W9135" t="s">
        <v>45843</v>
      </c>
      <c r="X9135" t="s">
        <v>47444</v>
      </c>
    </row>
    <row r="9136" spans="1:24">
      <c r="A9136">
        <f>HYPERLINK("https://www.philgeps.gov.ph/GEPSNONPILOT/Tender/SplashBidNoticeAbstractUI.aspx?menuIndex=3&amp;refID=7099899-2&amp;Result=3","7099899-2")</f>
        <v>0</v>
      </c>
      <c r="B9136" t="s">
        <v>1484</v>
      </c>
      <c r="C9136" t="s">
        <v>12501</v>
      </c>
      <c r="D9136" t="s">
        <v>19031</v>
      </c>
      <c r="E9136" t="s">
        <v>26999</v>
      </c>
      <c r="F9136" t="s">
        <v>32831</v>
      </c>
      <c r="G9136" t="s">
        <v>32839</v>
      </c>
      <c r="H9136" t="s">
        <v>14069</v>
      </c>
      <c r="I9136" t="s">
        <v>14069</v>
      </c>
      <c r="J9136" t="s">
        <v>38639</v>
      </c>
      <c r="K9136" t="s">
        <v>42730</v>
      </c>
      <c r="L9136" t="s">
        <v>43020</v>
      </c>
      <c r="M9136" t="s">
        <v>46206</v>
      </c>
      <c r="N9136" t="s">
        <v>47424</v>
      </c>
      <c r="O9136" t="s">
        <v>47425</v>
      </c>
      <c r="P9136">
        <v>0</v>
      </c>
      <c r="Q9136">
        <v>2</v>
      </c>
      <c r="R9136" t="s">
        <v>47433</v>
      </c>
      <c r="S9136" t="s">
        <v>47633</v>
      </c>
      <c r="T9136" t="s">
        <v>49192</v>
      </c>
      <c r="U9136" t="s">
        <v>57224</v>
      </c>
      <c r="W9136" t="s">
        <v>46206</v>
      </c>
      <c r="X9136" t="s">
        <v>47434</v>
      </c>
    </row>
    <row r="9137" spans="1:24">
      <c r="A9137">
        <f>HYPERLINK("https://www.philgeps.gov.ph/GEPSNONPILOT/Tender/SplashBidNoticeAbstractUI.aspx?menuIndex=3&amp;refID=7127144&amp;Result=3","7127144")</f>
        <v>0</v>
      </c>
      <c r="B9137" t="s">
        <v>2948</v>
      </c>
      <c r="C9137" t="s">
        <v>12502</v>
      </c>
      <c r="D9137" t="s">
        <v>19060</v>
      </c>
      <c r="E9137" t="s">
        <v>27000</v>
      </c>
      <c r="F9137" t="s">
        <v>32831</v>
      </c>
      <c r="G9137" t="s">
        <v>32839</v>
      </c>
      <c r="H9137" t="s">
        <v>32848</v>
      </c>
      <c r="I9137" t="s">
        <v>4438</v>
      </c>
      <c r="J9137" t="s">
        <v>38640</v>
      </c>
      <c r="K9137" t="s">
        <v>42747</v>
      </c>
      <c r="M9137" t="s">
        <v>46207</v>
      </c>
      <c r="N9137" t="s">
        <v>47424</v>
      </c>
      <c r="O9137" t="s">
        <v>47425</v>
      </c>
      <c r="P9137">
        <v>0</v>
      </c>
      <c r="Q9137">
        <v>1</v>
      </c>
      <c r="R9137" t="s">
        <v>47433</v>
      </c>
      <c r="S9137" t="s">
        <v>47633</v>
      </c>
      <c r="T9137" t="s">
        <v>49097</v>
      </c>
      <c r="U9137" t="s">
        <v>57225</v>
      </c>
      <c r="V9137" t="s">
        <v>63628</v>
      </c>
      <c r="W9137" t="s">
        <v>46207</v>
      </c>
      <c r="X9137" t="s">
        <v>47446</v>
      </c>
    </row>
    <row r="9138" spans="1:24">
      <c r="A9138">
        <f>HYPERLINK("https://www.philgeps.gov.ph/GEPSNONPILOT/Tender/SplashBidNoticeAbstractUI.aspx?menuIndex=3&amp;refID=7155183&amp;Result=3","7155183")</f>
        <v>0</v>
      </c>
      <c r="B9138" t="s">
        <v>2614</v>
      </c>
      <c r="C9138" t="s">
        <v>12503</v>
      </c>
      <c r="D9138" t="s">
        <v>19017</v>
      </c>
      <c r="E9138" t="s">
        <v>27001</v>
      </c>
      <c r="F9138" t="s">
        <v>32831</v>
      </c>
      <c r="G9138" t="s">
        <v>32839</v>
      </c>
      <c r="H9138" t="s">
        <v>32848</v>
      </c>
      <c r="I9138" t="s">
        <v>4303</v>
      </c>
      <c r="J9138" t="s">
        <v>32985</v>
      </c>
      <c r="K9138" t="s">
        <v>42726</v>
      </c>
      <c r="M9138" t="s">
        <v>46208</v>
      </c>
      <c r="N9138" t="s">
        <v>47424</v>
      </c>
      <c r="O9138" t="s">
        <v>47425</v>
      </c>
      <c r="P9138">
        <v>0</v>
      </c>
      <c r="Q9138">
        <v>0</v>
      </c>
      <c r="R9138" t="s">
        <v>47432</v>
      </c>
      <c r="S9138" t="s">
        <v>47597</v>
      </c>
      <c r="T9138" t="s">
        <v>49530</v>
      </c>
      <c r="U9138" t="s">
        <v>57226</v>
      </c>
      <c r="W9138" t="s">
        <v>64520</v>
      </c>
      <c r="X9138" t="s">
        <v>47433</v>
      </c>
    </row>
    <row r="9139" spans="1:24">
      <c r="A9139">
        <f>HYPERLINK("https://www.philgeps.gov.ph/GEPSNONPILOT/Tender/SplashBidNoticeAbstractUI.aspx?menuIndex=3&amp;refID=7155232&amp;Result=3","7155232")</f>
        <v>0</v>
      </c>
      <c r="B9139" t="s">
        <v>563</v>
      </c>
      <c r="C9139" t="s">
        <v>12504</v>
      </c>
      <c r="D9139" t="s">
        <v>19060</v>
      </c>
      <c r="E9139" t="s">
        <v>27002</v>
      </c>
      <c r="F9139" t="s">
        <v>32831</v>
      </c>
      <c r="G9139" t="s">
        <v>32839</v>
      </c>
      <c r="H9139" t="s">
        <v>32848</v>
      </c>
      <c r="I9139" t="s">
        <v>32925</v>
      </c>
      <c r="J9139" t="s">
        <v>34828</v>
      </c>
      <c r="K9139" t="s">
        <v>42730</v>
      </c>
      <c r="M9139" t="s">
        <v>46198</v>
      </c>
      <c r="N9139" t="s">
        <v>47424</v>
      </c>
      <c r="O9139" t="s">
        <v>47425</v>
      </c>
      <c r="P9139">
        <v>0</v>
      </c>
      <c r="Q9139">
        <v>5</v>
      </c>
      <c r="R9139" t="s">
        <v>47432</v>
      </c>
      <c r="S9139" t="s">
        <v>47597</v>
      </c>
      <c r="T9139" t="s">
        <v>49470</v>
      </c>
      <c r="U9139" t="s">
        <v>57227</v>
      </c>
      <c r="W9139" t="s">
        <v>64528</v>
      </c>
      <c r="X9139" t="s">
        <v>47433</v>
      </c>
    </row>
    <row r="9140" spans="1:24">
      <c r="A9140">
        <f>HYPERLINK("https://www.philgeps.gov.ph/GEPSNONPILOT/Tender/SplashBidNoticeAbstractUI.aspx?menuIndex=3&amp;refID=7155231&amp;Result=3","7155231")</f>
        <v>0</v>
      </c>
      <c r="B9140" t="s">
        <v>2949</v>
      </c>
      <c r="C9140" t="s">
        <v>4694</v>
      </c>
      <c r="D9140" t="s">
        <v>19042</v>
      </c>
      <c r="E9140" t="s">
        <v>19203</v>
      </c>
      <c r="F9140" t="s">
        <v>32831</v>
      </c>
      <c r="G9140" t="s">
        <v>32839</v>
      </c>
      <c r="H9140" t="s">
        <v>32848</v>
      </c>
      <c r="I9140" t="s">
        <v>7416</v>
      </c>
      <c r="J9140" t="s">
        <v>38641</v>
      </c>
      <c r="K9140" t="s">
        <v>42730</v>
      </c>
      <c r="M9140" t="s">
        <v>46209</v>
      </c>
      <c r="N9140" t="s">
        <v>47424</v>
      </c>
      <c r="O9140" t="s">
        <v>47425</v>
      </c>
      <c r="P9140">
        <v>0</v>
      </c>
      <c r="Q9140">
        <v>0</v>
      </c>
      <c r="R9140" t="s">
        <v>47432</v>
      </c>
      <c r="S9140" t="s">
        <v>47597</v>
      </c>
      <c r="T9140" t="s">
        <v>49398</v>
      </c>
      <c r="U9140" t="s">
        <v>56089</v>
      </c>
      <c r="W9140" t="s">
        <v>46209</v>
      </c>
      <c r="X9140" t="s">
        <v>47433</v>
      </c>
    </row>
    <row r="9141" spans="1:24">
      <c r="A9141">
        <f>HYPERLINK("https://www.philgeps.gov.ph/GEPSNONPILOT/Tender/SplashBidNoticeAbstractUI.aspx?menuIndex=3&amp;refID=7154661&amp;Result=3","7154661")</f>
        <v>0</v>
      </c>
      <c r="B9141" t="s">
        <v>2950</v>
      </c>
      <c r="C9141" t="s">
        <v>12505</v>
      </c>
      <c r="D9141" t="s">
        <v>19034</v>
      </c>
      <c r="E9141" t="s">
        <v>21868</v>
      </c>
      <c r="F9141" t="s">
        <v>32831</v>
      </c>
      <c r="G9141" t="s">
        <v>32839</v>
      </c>
      <c r="H9141" t="s">
        <v>32849</v>
      </c>
      <c r="I9141" t="s">
        <v>4177</v>
      </c>
      <c r="J9141" t="s">
        <v>32985</v>
      </c>
      <c r="K9141" t="s">
        <v>42728</v>
      </c>
      <c r="M9141" t="s">
        <v>46210</v>
      </c>
      <c r="N9141" t="s">
        <v>47424</v>
      </c>
      <c r="O9141" t="s">
        <v>47425</v>
      </c>
      <c r="P9141">
        <v>0</v>
      </c>
      <c r="Q9141">
        <v>0</v>
      </c>
      <c r="R9141" t="s">
        <v>47432</v>
      </c>
      <c r="S9141" t="s">
        <v>47597</v>
      </c>
      <c r="T9141" t="s">
        <v>49056</v>
      </c>
      <c r="U9141" t="s">
        <v>57228</v>
      </c>
      <c r="W9141" t="s">
        <v>46210</v>
      </c>
      <c r="X9141" t="s">
        <v>47433</v>
      </c>
    </row>
    <row r="9142" spans="1:24">
      <c r="A9142">
        <f>HYPERLINK("https://www.philgeps.gov.ph/GEPSNONPILOT/Tender/SplashBidNoticeAbstractUI.aspx?menuIndex=3&amp;refID=7143830&amp;Result=3","7143830")</f>
        <v>0</v>
      </c>
      <c r="B9142" t="s">
        <v>2029</v>
      </c>
      <c r="C9142" t="s">
        <v>12506</v>
      </c>
      <c r="D9142" t="s">
        <v>19067</v>
      </c>
      <c r="E9142" t="s">
        <v>27003</v>
      </c>
      <c r="F9142" t="s">
        <v>32831</v>
      </c>
      <c r="G9142" t="s">
        <v>32839</v>
      </c>
      <c r="H9142" t="s">
        <v>32848</v>
      </c>
      <c r="I9142" t="s">
        <v>4438</v>
      </c>
      <c r="J9142" t="s">
        <v>33131</v>
      </c>
      <c r="K9142" t="s">
        <v>42732</v>
      </c>
      <c r="M9142" t="s">
        <v>45197</v>
      </c>
      <c r="N9142" t="s">
        <v>47424</v>
      </c>
      <c r="O9142" t="s">
        <v>47425</v>
      </c>
      <c r="P9142">
        <v>0</v>
      </c>
      <c r="Q9142">
        <v>0</v>
      </c>
      <c r="R9142" t="s">
        <v>47433</v>
      </c>
      <c r="S9142" t="s">
        <v>47633</v>
      </c>
      <c r="T9142" t="s">
        <v>49185</v>
      </c>
      <c r="U9142" t="s">
        <v>57229</v>
      </c>
      <c r="V9142" t="s">
        <v>63629</v>
      </c>
      <c r="W9142" t="s">
        <v>45197</v>
      </c>
      <c r="X9142" t="s">
        <v>47439</v>
      </c>
    </row>
    <row r="9143" spans="1:24">
      <c r="A9143">
        <f>HYPERLINK("https://www.philgeps.gov.ph/GEPSNONPILOT/Tender/SplashBidNoticeAbstractUI.aspx?menuIndex=3&amp;refID=7143756&amp;Result=3","7143756")</f>
        <v>0</v>
      </c>
      <c r="B9143" t="s">
        <v>2029</v>
      </c>
      <c r="C9143" t="s">
        <v>12507</v>
      </c>
      <c r="D9143" t="s">
        <v>19067</v>
      </c>
      <c r="E9143" t="s">
        <v>27004</v>
      </c>
      <c r="F9143" t="s">
        <v>32831</v>
      </c>
      <c r="G9143" t="s">
        <v>32839</v>
      </c>
      <c r="H9143" t="s">
        <v>32848</v>
      </c>
      <c r="I9143" t="s">
        <v>32879</v>
      </c>
      <c r="J9143" t="s">
        <v>33279</v>
      </c>
      <c r="K9143" t="s">
        <v>42732</v>
      </c>
      <c r="M9143" t="s">
        <v>45197</v>
      </c>
      <c r="N9143" t="s">
        <v>47424</v>
      </c>
      <c r="O9143" t="s">
        <v>47425</v>
      </c>
      <c r="P9143">
        <v>0</v>
      </c>
      <c r="Q9143">
        <v>1</v>
      </c>
      <c r="R9143" t="s">
        <v>47433</v>
      </c>
      <c r="S9143" t="s">
        <v>47633</v>
      </c>
      <c r="T9143" t="s">
        <v>49185</v>
      </c>
      <c r="U9143" t="s">
        <v>57230</v>
      </c>
      <c r="V9143" t="s">
        <v>63630</v>
      </c>
      <c r="W9143" t="s">
        <v>45197</v>
      </c>
      <c r="X9143" t="s">
        <v>47439</v>
      </c>
    </row>
    <row r="9144" spans="1:24">
      <c r="A9144">
        <f>HYPERLINK("https://www.philgeps.gov.ph/GEPSNONPILOT/Tender/SplashBidNoticeAbstractUI.aspx?menuIndex=3&amp;refID=7155235&amp;Result=3","7155235")</f>
        <v>0</v>
      </c>
      <c r="B9144" t="s">
        <v>1894</v>
      </c>
      <c r="C9144" t="s">
        <v>12508</v>
      </c>
      <c r="D9144" t="s">
        <v>19092</v>
      </c>
      <c r="E9144" t="s">
        <v>27005</v>
      </c>
      <c r="F9144" t="s">
        <v>32831</v>
      </c>
      <c r="G9144" t="s">
        <v>32838</v>
      </c>
      <c r="H9144" t="s">
        <v>32848</v>
      </c>
      <c r="I9144" t="s">
        <v>4438</v>
      </c>
      <c r="J9144" t="s">
        <v>38642</v>
      </c>
      <c r="K9144" t="s">
        <v>42748</v>
      </c>
      <c r="M9144" t="s">
        <v>45041</v>
      </c>
      <c r="N9144" t="s">
        <v>47424</v>
      </c>
      <c r="O9144" t="s">
        <v>47425</v>
      </c>
      <c r="P9144">
        <v>0</v>
      </c>
      <c r="Q9144">
        <v>0</v>
      </c>
      <c r="R9144" t="s">
        <v>47432</v>
      </c>
      <c r="S9144" t="s">
        <v>47597</v>
      </c>
      <c r="T9144" t="s">
        <v>49111</v>
      </c>
      <c r="U9144" t="s">
        <v>53972</v>
      </c>
      <c r="W9144" t="s">
        <v>45041</v>
      </c>
      <c r="X9144" t="s">
        <v>47433</v>
      </c>
    </row>
    <row r="9145" spans="1:24">
      <c r="A9145">
        <f>HYPERLINK("https://www.philgeps.gov.ph/GEPSNONPILOT/Tender/SplashBidNoticeAbstractUI.aspx?menuIndex=3&amp;refID=7142847&amp;Result=3","7142847")</f>
        <v>0</v>
      </c>
      <c r="B9145" t="s">
        <v>539</v>
      </c>
      <c r="C9145" t="s">
        <v>12509</v>
      </c>
      <c r="D9145" t="s">
        <v>19057</v>
      </c>
      <c r="E9145" t="s">
        <v>27006</v>
      </c>
      <c r="F9145" t="s">
        <v>32831</v>
      </c>
      <c r="G9145" t="s">
        <v>32839</v>
      </c>
      <c r="H9145" t="s">
        <v>32849</v>
      </c>
      <c r="I9145" t="s">
        <v>4177</v>
      </c>
      <c r="J9145" t="s">
        <v>38643</v>
      </c>
      <c r="K9145" t="s">
        <v>42730</v>
      </c>
      <c r="M9145" t="s">
        <v>43545</v>
      </c>
      <c r="N9145" t="s">
        <v>47424</v>
      </c>
      <c r="O9145" t="s">
        <v>47425</v>
      </c>
      <c r="P9145">
        <v>0</v>
      </c>
      <c r="Q9145">
        <v>0</v>
      </c>
      <c r="R9145" t="s">
        <v>47433</v>
      </c>
      <c r="S9145" t="s">
        <v>47633</v>
      </c>
      <c r="T9145" t="s">
        <v>49163</v>
      </c>
      <c r="U9145" t="s">
        <v>57231</v>
      </c>
      <c r="W9145" t="s">
        <v>43545</v>
      </c>
      <c r="X9145" t="s">
        <v>47439</v>
      </c>
    </row>
    <row r="9146" spans="1:24">
      <c r="A9146">
        <f>HYPERLINK("https://www.philgeps.gov.ph/GEPSNONPILOT/Tender/SplashBidNoticeAbstractUI.aspx?menuIndex=3&amp;refID=7142890&amp;Result=3","7142890")</f>
        <v>0</v>
      </c>
      <c r="B9146" t="s">
        <v>539</v>
      </c>
      <c r="C9146" t="s">
        <v>12510</v>
      </c>
      <c r="D9146" t="s">
        <v>19057</v>
      </c>
      <c r="E9146" t="s">
        <v>27007</v>
      </c>
      <c r="F9146" t="s">
        <v>32831</v>
      </c>
      <c r="G9146" t="s">
        <v>32839</v>
      </c>
      <c r="H9146" t="s">
        <v>32849</v>
      </c>
      <c r="I9146" t="s">
        <v>4177</v>
      </c>
      <c r="J9146" t="s">
        <v>38643</v>
      </c>
      <c r="K9146" t="s">
        <v>42730</v>
      </c>
      <c r="M9146" t="s">
        <v>43545</v>
      </c>
      <c r="N9146" t="s">
        <v>47424</v>
      </c>
      <c r="O9146" t="s">
        <v>47425</v>
      </c>
      <c r="P9146">
        <v>0</v>
      </c>
      <c r="Q9146">
        <v>0</v>
      </c>
      <c r="R9146" t="s">
        <v>47433</v>
      </c>
      <c r="S9146" t="s">
        <v>47633</v>
      </c>
      <c r="T9146" t="s">
        <v>49163</v>
      </c>
      <c r="U9146" t="s">
        <v>57232</v>
      </c>
      <c r="W9146" t="s">
        <v>43545</v>
      </c>
      <c r="X9146" t="s">
        <v>47439</v>
      </c>
    </row>
    <row r="9147" spans="1:24">
      <c r="A9147">
        <f>HYPERLINK("https://www.philgeps.gov.ph/GEPSNONPILOT/Tender/SplashBidNoticeAbstractUI.aspx?menuIndex=3&amp;refID=7155241&amp;Result=3","7155241")</f>
        <v>0</v>
      </c>
      <c r="B9147" t="s">
        <v>563</v>
      </c>
      <c r="C9147" t="s">
        <v>12511</v>
      </c>
      <c r="D9147" t="s">
        <v>19060</v>
      </c>
      <c r="E9147" t="s">
        <v>27008</v>
      </c>
      <c r="F9147" t="s">
        <v>32831</v>
      </c>
      <c r="G9147" t="s">
        <v>32839</v>
      </c>
      <c r="H9147" t="s">
        <v>32848</v>
      </c>
      <c r="I9147" t="s">
        <v>7416</v>
      </c>
      <c r="J9147" t="s">
        <v>33553</v>
      </c>
      <c r="K9147" t="s">
        <v>42763</v>
      </c>
      <c r="M9147" t="s">
        <v>46198</v>
      </c>
      <c r="N9147" t="s">
        <v>47424</v>
      </c>
      <c r="O9147" t="s">
        <v>47425</v>
      </c>
      <c r="P9147">
        <v>0</v>
      </c>
      <c r="Q9147">
        <v>1</v>
      </c>
      <c r="R9147" t="s">
        <v>47432</v>
      </c>
      <c r="S9147" t="s">
        <v>47597</v>
      </c>
      <c r="T9147" t="s">
        <v>49470</v>
      </c>
      <c r="U9147" t="s">
        <v>57233</v>
      </c>
      <c r="W9147" t="s">
        <v>64528</v>
      </c>
      <c r="X9147" t="s">
        <v>47433</v>
      </c>
    </row>
    <row r="9148" spans="1:24">
      <c r="A9148">
        <f>HYPERLINK("https://www.philgeps.gov.ph/GEPSNONPILOT/Tender/SplashBidNoticeAbstractUI.aspx?menuIndex=3&amp;refID=7155236&amp;Result=3","7155236")</f>
        <v>0</v>
      </c>
      <c r="B9148" t="s">
        <v>2940</v>
      </c>
      <c r="C9148" t="s">
        <v>5029</v>
      </c>
      <c r="D9148" t="s">
        <v>19044</v>
      </c>
      <c r="E9148" t="s">
        <v>27009</v>
      </c>
      <c r="F9148" t="s">
        <v>32831</v>
      </c>
      <c r="G9148" t="s">
        <v>32839</v>
      </c>
      <c r="H9148" t="s">
        <v>32848</v>
      </c>
      <c r="I9148" t="s">
        <v>9577</v>
      </c>
      <c r="J9148" t="s">
        <v>38644</v>
      </c>
      <c r="K9148" t="s">
        <v>42727</v>
      </c>
      <c r="M9148" t="s">
        <v>46197</v>
      </c>
      <c r="N9148" t="s">
        <v>47424</v>
      </c>
      <c r="O9148" t="s">
        <v>47425</v>
      </c>
      <c r="P9148">
        <v>0</v>
      </c>
      <c r="Q9148">
        <v>2</v>
      </c>
      <c r="R9148" t="s">
        <v>47432</v>
      </c>
      <c r="S9148" t="s">
        <v>47597</v>
      </c>
      <c r="T9148" t="s">
        <v>49135</v>
      </c>
      <c r="U9148" t="s">
        <v>57234</v>
      </c>
      <c r="W9148" t="s">
        <v>46197</v>
      </c>
      <c r="X9148" t="s">
        <v>47433</v>
      </c>
    </row>
    <row r="9149" spans="1:24">
      <c r="A9149">
        <f>HYPERLINK("https://www.philgeps.gov.ph/GEPSNONPILOT/Tender/SplashBidNoticeAbstractUI.aspx?menuIndex=3&amp;refID=7141813&amp;Result=3","7141813")</f>
        <v>0</v>
      </c>
      <c r="B9149" t="s">
        <v>2951</v>
      </c>
      <c r="C9149" t="s">
        <v>12512</v>
      </c>
      <c r="D9149" t="s">
        <v>19030</v>
      </c>
      <c r="E9149" t="s">
        <v>19219</v>
      </c>
      <c r="F9149" t="s">
        <v>32833</v>
      </c>
      <c r="G9149" t="s">
        <v>32838</v>
      </c>
      <c r="H9149" t="s">
        <v>32848</v>
      </c>
      <c r="I9149" t="s">
        <v>32858</v>
      </c>
      <c r="J9149" t="s">
        <v>33044</v>
      </c>
      <c r="K9149" t="s">
        <v>42726</v>
      </c>
      <c r="L9149" t="s">
        <v>2951</v>
      </c>
      <c r="M9149" t="s">
        <v>46211</v>
      </c>
      <c r="N9149" t="s">
        <v>47424</v>
      </c>
      <c r="O9149" t="s">
        <v>47425</v>
      </c>
      <c r="P9149">
        <v>0</v>
      </c>
      <c r="Q9149">
        <v>2</v>
      </c>
      <c r="R9149" t="s">
        <v>47433</v>
      </c>
      <c r="S9149" t="s">
        <v>47633</v>
      </c>
      <c r="T9149" t="s">
        <v>49107</v>
      </c>
      <c r="U9149" t="s">
        <v>57235</v>
      </c>
      <c r="V9149" t="s">
        <v>63631</v>
      </c>
      <c r="W9149" t="s">
        <v>46211</v>
      </c>
      <c r="X9149" t="s">
        <v>47440</v>
      </c>
    </row>
    <row r="9150" spans="1:24">
      <c r="A9150">
        <f>HYPERLINK("https://www.philgeps.gov.ph/GEPSNONPILOT/Tender/SplashBidNoticeAbstractUI.aspx?menuIndex=3&amp;refID=7142420&amp;Result=3","7142420")</f>
        <v>0</v>
      </c>
      <c r="B9150" t="s">
        <v>263</v>
      </c>
      <c r="C9150" t="s">
        <v>12513</v>
      </c>
      <c r="D9150" t="s">
        <v>19083</v>
      </c>
      <c r="E9150" t="s">
        <v>27010</v>
      </c>
      <c r="F9150" t="s">
        <v>32831</v>
      </c>
      <c r="G9150" t="s">
        <v>32839</v>
      </c>
      <c r="H9150" t="s">
        <v>32848</v>
      </c>
      <c r="I9150" t="s">
        <v>7416</v>
      </c>
      <c r="J9150" t="s">
        <v>38645</v>
      </c>
      <c r="K9150" t="s">
        <v>42745</v>
      </c>
      <c r="M9150" t="s">
        <v>43262</v>
      </c>
      <c r="N9150" t="s">
        <v>47424</v>
      </c>
      <c r="O9150" t="s">
        <v>47425</v>
      </c>
      <c r="P9150">
        <v>0</v>
      </c>
      <c r="Q9150">
        <v>0</v>
      </c>
      <c r="R9150" t="s">
        <v>47433</v>
      </c>
      <c r="S9150" t="s">
        <v>47633</v>
      </c>
      <c r="T9150" t="s">
        <v>49162</v>
      </c>
      <c r="U9150" t="s">
        <v>57236</v>
      </c>
      <c r="W9150" t="s">
        <v>43262</v>
      </c>
      <c r="X9150" t="s">
        <v>47439</v>
      </c>
    </row>
    <row r="9151" spans="1:24">
      <c r="A9151">
        <f>HYPERLINK("https://www.philgeps.gov.ph/GEPSNONPILOT/Tender/SplashBidNoticeAbstractUI.aspx?menuIndex=3&amp;refID=7155233&amp;Result=3","7155233")</f>
        <v>0</v>
      </c>
      <c r="B9151" t="s">
        <v>2137</v>
      </c>
      <c r="C9151" t="s">
        <v>12514</v>
      </c>
      <c r="D9151" t="s">
        <v>19033</v>
      </c>
      <c r="E9151" t="s">
        <v>27011</v>
      </c>
      <c r="F9151" t="s">
        <v>32831</v>
      </c>
      <c r="G9151" t="s">
        <v>32839</v>
      </c>
      <c r="H9151" t="s">
        <v>32848</v>
      </c>
      <c r="I9151" t="s">
        <v>32883</v>
      </c>
      <c r="J9151" t="s">
        <v>33078</v>
      </c>
      <c r="K9151" t="s">
        <v>42727</v>
      </c>
      <c r="M9151" t="s">
        <v>45315</v>
      </c>
      <c r="N9151" t="s">
        <v>47424</v>
      </c>
      <c r="O9151" t="s">
        <v>47425</v>
      </c>
      <c r="P9151">
        <v>0</v>
      </c>
      <c r="Q9151">
        <v>4</v>
      </c>
      <c r="R9151" t="s">
        <v>47432</v>
      </c>
      <c r="S9151" t="s">
        <v>47597</v>
      </c>
      <c r="T9151" t="s">
        <v>49318</v>
      </c>
      <c r="U9151" t="s">
        <v>57237</v>
      </c>
      <c r="W9151" t="s">
        <v>45315</v>
      </c>
      <c r="X9151" t="s">
        <v>47433</v>
      </c>
    </row>
    <row r="9152" spans="1:24">
      <c r="A9152">
        <f>HYPERLINK("https://www.philgeps.gov.ph/GEPSNONPILOT/Tender/SplashBidNoticeAbstractUI.aspx?menuIndex=3&amp;refID=7133427&amp;Result=3","7133427")</f>
        <v>0</v>
      </c>
      <c r="B9152" t="s">
        <v>2005</v>
      </c>
      <c r="C9152" t="s">
        <v>12515</v>
      </c>
      <c r="D9152" t="s">
        <v>19052</v>
      </c>
      <c r="E9152" t="s">
        <v>27012</v>
      </c>
      <c r="F9152" t="s">
        <v>32831</v>
      </c>
      <c r="G9152" t="s">
        <v>32839</v>
      </c>
      <c r="H9152" t="s">
        <v>32848</v>
      </c>
      <c r="I9152" t="s">
        <v>32914</v>
      </c>
      <c r="J9152" t="s">
        <v>33561</v>
      </c>
      <c r="K9152" t="s">
        <v>42729</v>
      </c>
      <c r="M9152" t="s">
        <v>45843</v>
      </c>
      <c r="N9152" t="s">
        <v>47424</v>
      </c>
      <c r="O9152" t="s">
        <v>47425</v>
      </c>
      <c r="P9152">
        <v>0</v>
      </c>
      <c r="Q9152">
        <v>11</v>
      </c>
      <c r="R9152" t="s">
        <v>47433</v>
      </c>
      <c r="S9152" t="s">
        <v>47633</v>
      </c>
      <c r="T9152" t="s">
        <v>49160</v>
      </c>
      <c r="U9152" t="s">
        <v>57238</v>
      </c>
      <c r="V9152" t="s">
        <v>63492</v>
      </c>
      <c r="W9152" t="s">
        <v>45843</v>
      </c>
      <c r="X9152" t="s">
        <v>47444</v>
      </c>
    </row>
    <row r="9153" spans="1:24">
      <c r="A9153">
        <f>HYPERLINK("https://www.philgeps.gov.ph/GEPSNONPILOT/Tender/SplashBidNoticeAbstractUI.aspx?menuIndex=3&amp;refID=7140577&amp;Result=3","7140577")</f>
        <v>0</v>
      </c>
      <c r="B9153" t="s">
        <v>263</v>
      </c>
      <c r="C9153" t="s">
        <v>12516</v>
      </c>
      <c r="D9153" t="s">
        <v>19083</v>
      </c>
      <c r="E9153" t="s">
        <v>27013</v>
      </c>
      <c r="F9153" t="s">
        <v>32831</v>
      </c>
      <c r="G9153" t="s">
        <v>32839</v>
      </c>
      <c r="H9153" t="s">
        <v>32848</v>
      </c>
      <c r="I9153" t="s">
        <v>7416</v>
      </c>
      <c r="J9153" t="s">
        <v>33118</v>
      </c>
      <c r="K9153" t="s">
        <v>42730</v>
      </c>
      <c r="M9153" t="s">
        <v>43262</v>
      </c>
      <c r="N9153" t="s">
        <v>47424</v>
      </c>
      <c r="O9153" t="s">
        <v>47425</v>
      </c>
      <c r="P9153">
        <v>0</v>
      </c>
      <c r="Q9153">
        <v>0</v>
      </c>
      <c r="R9153" t="s">
        <v>47433</v>
      </c>
      <c r="S9153" t="s">
        <v>47633</v>
      </c>
      <c r="T9153" t="s">
        <v>49160</v>
      </c>
      <c r="U9153" t="s">
        <v>57239</v>
      </c>
      <c r="W9153" t="s">
        <v>43262</v>
      </c>
      <c r="X9153" t="s">
        <v>47440</v>
      </c>
    </row>
    <row r="9154" spans="1:24">
      <c r="A9154">
        <f>HYPERLINK("https://www.philgeps.gov.ph/GEPSNONPILOT/Tender/SplashBidNoticeAbstractUI.aspx?menuIndex=3&amp;refID=7154692&amp;Result=3","7154692")</f>
        <v>0</v>
      </c>
      <c r="B9154" t="s">
        <v>895</v>
      </c>
      <c r="C9154" t="s">
        <v>12517</v>
      </c>
      <c r="D9154" t="s">
        <v>19036</v>
      </c>
      <c r="E9154" t="s">
        <v>27014</v>
      </c>
      <c r="F9154" t="s">
        <v>32831</v>
      </c>
      <c r="G9154" t="s">
        <v>32839</v>
      </c>
      <c r="H9154" t="s">
        <v>32848</v>
      </c>
      <c r="I9154" t="s">
        <v>32859</v>
      </c>
      <c r="J9154" t="s">
        <v>35715</v>
      </c>
      <c r="K9154" t="s">
        <v>42727</v>
      </c>
      <c r="M9154" t="s">
        <v>44963</v>
      </c>
      <c r="N9154" t="s">
        <v>47424</v>
      </c>
      <c r="O9154" t="s">
        <v>47425</v>
      </c>
      <c r="P9154">
        <v>0</v>
      </c>
      <c r="Q9154">
        <v>3</v>
      </c>
      <c r="R9154" t="s">
        <v>47432</v>
      </c>
      <c r="S9154" t="s">
        <v>47597</v>
      </c>
      <c r="T9154" t="s">
        <v>49095</v>
      </c>
      <c r="U9154" t="s">
        <v>57240</v>
      </c>
      <c r="W9154" t="s">
        <v>44963</v>
      </c>
      <c r="X9154" t="s">
        <v>47433</v>
      </c>
    </row>
    <row r="9155" spans="1:24">
      <c r="A9155">
        <f>HYPERLINK("https://www.philgeps.gov.ph/GEPSNONPILOT/Tender/SplashBidNoticeAbstractUI.aspx?menuIndex=3&amp;refID=7141146&amp;Result=3","7141146")</f>
        <v>0</v>
      </c>
      <c r="B9155" t="s">
        <v>263</v>
      </c>
      <c r="C9155" t="s">
        <v>12518</v>
      </c>
      <c r="D9155" t="s">
        <v>19083</v>
      </c>
      <c r="E9155" t="s">
        <v>27015</v>
      </c>
      <c r="F9155" t="s">
        <v>32831</v>
      </c>
      <c r="G9155" t="s">
        <v>32839</v>
      </c>
      <c r="H9155" t="s">
        <v>32848</v>
      </c>
      <c r="I9155" t="s">
        <v>7416</v>
      </c>
      <c r="J9155" t="s">
        <v>38646</v>
      </c>
      <c r="K9155" t="s">
        <v>42745</v>
      </c>
      <c r="M9155" t="s">
        <v>43262</v>
      </c>
      <c r="N9155" t="s">
        <v>47424</v>
      </c>
      <c r="O9155" t="s">
        <v>47425</v>
      </c>
      <c r="P9155">
        <v>0</v>
      </c>
      <c r="Q9155">
        <v>2</v>
      </c>
      <c r="R9155" t="s">
        <v>47433</v>
      </c>
      <c r="S9155" t="s">
        <v>47633</v>
      </c>
      <c r="T9155" t="s">
        <v>49162</v>
      </c>
      <c r="U9155" t="s">
        <v>57241</v>
      </c>
      <c r="W9155" t="s">
        <v>43262</v>
      </c>
      <c r="X9155" t="s">
        <v>47440</v>
      </c>
    </row>
    <row r="9156" spans="1:24">
      <c r="A9156">
        <f>HYPERLINK("https://www.philgeps.gov.ph/GEPSNONPILOT/Tender/SplashBidNoticeAbstractUI.aspx?menuIndex=3&amp;refID=7146191&amp;Result=3","7146191")</f>
        <v>0</v>
      </c>
      <c r="B9156" t="s">
        <v>2952</v>
      </c>
      <c r="C9156" t="s">
        <v>12519</v>
      </c>
      <c r="D9156" t="s">
        <v>19044</v>
      </c>
      <c r="E9156" t="s">
        <v>27016</v>
      </c>
      <c r="F9156" t="s">
        <v>32831</v>
      </c>
      <c r="G9156" t="s">
        <v>32839</v>
      </c>
      <c r="H9156" t="s">
        <v>32848</v>
      </c>
      <c r="I9156" t="s">
        <v>4303</v>
      </c>
      <c r="J9156" t="s">
        <v>32978</v>
      </c>
      <c r="K9156" t="s">
        <v>42727</v>
      </c>
      <c r="M9156" t="s">
        <v>46212</v>
      </c>
      <c r="N9156" t="s">
        <v>47424</v>
      </c>
      <c r="O9156" t="s">
        <v>47425</v>
      </c>
      <c r="P9156">
        <v>0</v>
      </c>
      <c r="Q9156">
        <v>1</v>
      </c>
      <c r="R9156" t="s">
        <v>47433</v>
      </c>
      <c r="S9156" t="s">
        <v>47633</v>
      </c>
      <c r="T9156" t="s">
        <v>49112</v>
      </c>
      <c r="U9156" t="s">
        <v>57242</v>
      </c>
      <c r="W9156" t="s">
        <v>46212</v>
      </c>
      <c r="X9156" t="s">
        <v>47438</v>
      </c>
    </row>
    <row r="9157" spans="1:24">
      <c r="A9157">
        <f>HYPERLINK("https://www.philgeps.gov.ph/GEPSNONPILOT/Tender/SplashBidNoticeAbstractUI.aspx?menuIndex=3&amp;refID=7146357&amp;Result=3","7146357")</f>
        <v>0</v>
      </c>
      <c r="B9157" t="s">
        <v>2953</v>
      </c>
      <c r="C9157" t="s">
        <v>12520</v>
      </c>
      <c r="D9157" t="s">
        <v>19051</v>
      </c>
      <c r="E9157" t="s">
        <v>27017</v>
      </c>
      <c r="F9157" t="s">
        <v>32831</v>
      </c>
      <c r="G9157" t="s">
        <v>32839</v>
      </c>
      <c r="H9157" t="s">
        <v>32849</v>
      </c>
      <c r="I9157" t="s">
        <v>4177</v>
      </c>
      <c r="J9157" t="s">
        <v>38647</v>
      </c>
      <c r="K9157" t="s">
        <v>42729</v>
      </c>
      <c r="M9157" t="s">
        <v>46213</v>
      </c>
      <c r="N9157" t="s">
        <v>47424</v>
      </c>
      <c r="O9157" t="s">
        <v>47425</v>
      </c>
      <c r="P9157">
        <v>0</v>
      </c>
      <c r="Q9157">
        <v>0</v>
      </c>
      <c r="R9157" t="s">
        <v>47433</v>
      </c>
      <c r="S9157" t="s">
        <v>47633</v>
      </c>
      <c r="T9157" t="s">
        <v>49221</v>
      </c>
      <c r="U9157" t="s">
        <v>57243</v>
      </c>
      <c r="W9157" t="s">
        <v>46213</v>
      </c>
      <c r="X9157" t="s">
        <v>47438</v>
      </c>
    </row>
    <row r="9158" spans="1:24">
      <c r="A9158">
        <f>HYPERLINK("https://www.philgeps.gov.ph/GEPSNONPILOT/Tender/SplashBidNoticeAbstractUI.aspx?menuIndex=3&amp;refID=7140649&amp;Result=3","7140649")</f>
        <v>0</v>
      </c>
      <c r="B9158" t="s">
        <v>263</v>
      </c>
      <c r="C9158" t="s">
        <v>12521</v>
      </c>
      <c r="D9158" t="s">
        <v>19083</v>
      </c>
      <c r="E9158" t="s">
        <v>27018</v>
      </c>
      <c r="F9158" t="s">
        <v>32831</v>
      </c>
      <c r="G9158" t="s">
        <v>32839</v>
      </c>
      <c r="H9158" t="s">
        <v>32848</v>
      </c>
      <c r="I9158" t="s">
        <v>7416</v>
      </c>
      <c r="J9158" t="s">
        <v>38648</v>
      </c>
      <c r="K9158" t="s">
        <v>42745</v>
      </c>
      <c r="M9158" t="s">
        <v>43262</v>
      </c>
      <c r="N9158" t="s">
        <v>47424</v>
      </c>
      <c r="O9158" t="s">
        <v>47425</v>
      </c>
      <c r="P9158">
        <v>0</v>
      </c>
      <c r="Q9158">
        <v>0</v>
      </c>
      <c r="R9158" t="s">
        <v>47433</v>
      </c>
      <c r="S9158" t="s">
        <v>47633</v>
      </c>
      <c r="T9158" t="s">
        <v>49162</v>
      </c>
      <c r="U9158" t="s">
        <v>57244</v>
      </c>
      <c r="W9158" t="s">
        <v>43262</v>
      </c>
      <c r="X9158" t="s">
        <v>47440</v>
      </c>
    </row>
    <row r="9159" spans="1:24">
      <c r="A9159">
        <f>HYPERLINK("https://www.philgeps.gov.ph/GEPSNONPILOT/Tender/SplashBidNoticeAbstractUI.aspx?menuIndex=3&amp;refID=7146084&amp;Result=3","7146084")</f>
        <v>0</v>
      </c>
      <c r="B9159" t="s">
        <v>2153</v>
      </c>
      <c r="C9159" t="s">
        <v>12522</v>
      </c>
      <c r="D9159" t="s">
        <v>19044</v>
      </c>
      <c r="E9159" t="s">
        <v>27019</v>
      </c>
      <c r="F9159" t="s">
        <v>32831</v>
      </c>
      <c r="G9159" t="s">
        <v>32839</v>
      </c>
      <c r="H9159" t="s">
        <v>32848</v>
      </c>
      <c r="I9159" t="s">
        <v>32870</v>
      </c>
      <c r="J9159" t="s">
        <v>38649</v>
      </c>
      <c r="K9159" t="s">
        <v>42727</v>
      </c>
      <c r="M9159" t="s">
        <v>45334</v>
      </c>
      <c r="N9159" t="s">
        <v>47424</v>
      </c>
      <c r="O9159" t="s">
        <v>47425</v>
      </c>
      <c r="P9159">
        <v>0</v>
      </c>
      <c r="Q9159">
        <v>0</v>
      </c>
      <c r="R9159" t="s">
        <v>47433</v>
      </c>
      <c r="S9159" t="s">
        <v>47633</v>
      </c>
      <c r="T9159" t="s">
        <v>49112</v>
      </c>
      <c r="U9159" t="s">
        <v>57245</v>
      </c>
      <c r="W9159" t="s">
        <v>45334</v>
      </c>
      <c r="X9159" t="s">
        <v>47438</v>
      </c>
    </row>
    <row r="9160" spans="1:24">
      <c r="A9160">
        <f>HYPERLINK("https://www.philgeps.gov.ph/GEPSNONPILOT/Tender/SplashBidNoticeAbstractUI.aspx?menuIndex=3&amp;refID=7145918&amp;Result=3","7145918")</f>
        <v>0</v>
      </c>
      <c r="B9160" t="s">
        <v>2954</v>
      </c>
      <c r="C9160" t="s">
        <v>12523</v>
      </c>
      <c r="D9160" t="s">
        <v>19044</v>
      </c>
      <c r="E9160" t="s">
        <v>27020</v>
      </c>
      <c r="F9160" t="s">
        <v>32831</v>
      </c>
      <c r="G9160" t="s">
        <v>32839</v>
      </c>
      <c r="H9160" t="s">
        <v>32848</v>
      </c>
      <c r="I9160" t="s">
        <v>4303</v>
      </c>
      <c r="J9160" t="s">
        <v>38650</v>
      </c>
      <c r="K9160" t="s">
        <v>42727</v>
      </c>
      <c r="M9160" t="s">
        <v>46214</v>
      </c>
      <c r="N9160" t="s">
        <v>47424</v>
      </c>
      <c r="O9160" t="s">
        <v>47425</v>
      </c>
      <c r="P9160">
        <v>0</v>
      </c>
      <c r="Q9160">
        <v>1</v>
      </c>
      <c r="R9160" t="s">
        <v>47433</v>
      </c>
      <c r="S9160" t="s">
        <v>47633</v>
      </c>
      <c r="T9160" t="s">
        <v>49112</v>
      </c>
      <c r="U9160" t="s">
        <v>57246</v>
      </c>
      <c r="W9160" t="s">
        <v>46214</v>
      </c>
      <c r="X9160" t="s">
        <v>47438</v>
      </c>
    </row>
    <row r="9161" spans="1:24">
      <c r="A9161">
        <f>HYPERLINK("https://www.philgeps.gov.ph/GEPSNONPILOT/Tender/SplashBidNoticeAbstractUI.aspx?menuIndex=3&amp;refID=7146113&amp;Result=3","7146113")</f>
        <v>0</v>
      </c>
      <c r="B9161" t="s">
        <v>2955</v>
      </c>
      <c r="C9161" t="s">
        <v>12524</v>
      </c>
      <c r="D9161" t="s">
        <v>19017</v>
      </c>
      <c r="E9161" t="s">
        <v>27021</v>
      </c>
      <c r="F9161" t="s">
        <v>32831</v>
      </c>
      <c r="G9161" t="s">
        <v>32839</v>
      </c>
      <c r="H9161" t="s">
        <v>32849</v>
      </c>
      <c r="I9161" t="s">
        <v>4177</v>
      </c>
      <c r="J9161" t="s">
        <v>38651</v>
      </c>
      <c r="K9161" t="s">
        <v>42732</v>
      </c>
      <c r="M9161" t="s">
        <v>46215</v>
      </c>
      <c r="N9161" t="s">
        <v>47424</v>
      </c>
      <c r="O9161" t="s">
        <v>47425</v>
      </c>
      <c r="P9161">
        <v>0</v>
      </c>
      <c r="Q9161">
        <v>7</v>
      </c>
      <c r="R9161" t="s">
        <v>47433</v>
      </c>
      <c r="S9161" t="s">
        <v>47633</v>
      </c>
      <c r="T9161" t="s">
        <v>49106</v>
      </c>
      <c r="U9161" t="s">
        <v>57247</v>
      </c>
      <c r="W9161" t="s">
        <v>46215</v>
      </c>
      <c r="X9161" t="s">
        <v>47438</v>
      </c>
    </row>
    <row r="9162" spans="1:24">
      <c r="A9162">
        <f>HYPERLINK("https://www.philgeps.gov.ph/GEPSNONPILOT/Tender/SplashBidNoticeAbstractUI.aspx?menuIndex=3&amp;refID=7145525&amp;Result=3","7145525")</f>
        <v>0</v>
      </c>
      <c r="B9162" t="s">
        <v>2956</v>
      </c>
      <c r="C9162" t="s">
        <v>12525</v>
      </c>
      <c r="D9162" t="s">
        <v>19038</v>
      </c>
      <c r="E9162" t="s">
        <v>27022</v>
      </c>
      <c r="F9162" t="s">
        <v>32831</v>
      </c>
      <c r="G9162" t="s">
        <v>32838</v>
      </c>
      <c r="H9162" t="s">
        <v>32848</v>
      </c>
      <c r="I9162" t="s">
        <v>5379</v>
      </c>
      <c r="J9162" t="s">
        <v>33226</v>
      </c>
      <c r="K9162" t="s">
        <v>42757</v>
      </c>
      <c r="M9162" t="s">
        <v>46216</v>
      </c>
      <c r="N9162" t="s">
        <v>47424</v>
      </c>
      <c r="O9162" t="s">
        <v>47425</v>
      </c>
      <c r="P9162">
        <v>0</v>
      </c>
      <c r="Q9162">
        <v>0</v>
      </c>
      <c r="R9162" t="s">
        <v>47433</v>
      </c>
      <c r="S9162" t="s">
        <v>47633</v>
      </c>
      <c r="T9162" t="s">
        <v>49163</v>
      </c>
      <c r="U9162" t="s">
        <v>57248</v>
      </c>
      <c r="V9162" t="s">
        <v>63632</v>
      </c>
      <c r="W9162" t="s">
        <v>46216</v>
      </c>
      <c r="X9162" t="s">
        <v>47438</v>
      </c>
    </row>
    <row r="9163" spans="1:24">
      <c r="A9163">
        <f>HYPERLINK("https://www.philgeps.gov.ph/GEPSNONPILOT/Tender/SplashBidNoticeAbstractUI.aspx?menuIndex=3&amp;refID=7142782&amp;Result=3","7142782")</f>
        <v>0</v>
      </c>
      <c r="B9163" t="s">
        <v>539</v>
      </c>
      <c r="C9163" t="s">
        <v>12526</v>
      </c>
      <c r="D9163" t="s">
        <v>19057</v>
      </c>
      <c r="E9163" t="s">
        <v>27023</v>
      </c>
      <c r="F9163" t="s">
        <v>32831</v>
      </c>
      <c r="G9163" t="s">
        <v>32839</v>
      </c>
      <c r="H9163" t="s">
        <v>32849</v>
      </c>
      <c r="I9163" t="s">
        <v>4177</v>
      </c>
      <c r="J9163" t="s">
        <v>38643</v>
      </c>
      <c r="K9163" t="s">
        <v>42730</v>
      </c>
      <c r="M9163" t="s">
        <v>43545</v>
      </c>
      <c r="N9163" t="s">
        <v>47424</v>
      </c>
      <c r="O9163" t="s">
        <v>47425</v>
      </c>
      <c r="P9163">
        <v>0</v>
      </c>
      <c r="Q9163">
        <v>0</v>
      </c>
      <c r="R9163" t="s">
        <v>47433</v>
      </c>
      <c r="S9163" t="s">
        <v>47633</v>
      </c>
      <c r="T9163" t="s">
        <v>49163</v>
      </c>
      <c r="U9163" t="s">
        <v>57249</v>
      </c>
      <c r="W9163" t="s">
        <v>43545</v>
      </c>
      <c r="X9163" t="s">
        <v>47439</v>
      </c>
    </row>
    <row r="9164" spans="1:24">
      <c r="A9164">
        <f>HYPERLINK("https://www.philgeps.gov.ph/GEPSNONPILOT/Tender/SplashBidNoticeAbstractUI.aspx?menuIndex=3&amp;refID=7145510&amp;Result=3","7145510")</f>
        <v>0</v>
      </c>
      <c r="B9164" t="s">
        <v>2954</v>
      </c>
      <c r="C9164" t="s">
        <v>12527</v>
      </c>
      <c r="D9164" t="s">
        <v>19044</v>
      </c>
      <c r="E9164" t="s">
        <v>27024</v>
      </c>
      <c r="F9164" t="s">
        <v>32831</v>
      </c>
      <c r="G9164" t="s">
        <v>32839</v>
      </c>
      <c r="H9164" t="s">
        <v>32848</v>
      </c>
      <c r="I9164" t="s">
        <v>4303</v>
      </c>
      <c r="J9164" t="s">
        <v>33090</v>
      </c>
      <c r="K9164" t="s">
        <v>42727</v>
      </c>
      <c r="M9164" t="s">
        <v>46214</v>
      </c>
      <c r="N9164" t="s">
        <v>47424</v>
      </c>
      <c r="O9164" t="s">
        <v>47425</v>
      </c>
      <c r="P9164">
        <v>0</v>
      </c>
      <c r="Q9164">
        <v>1</v>
      </c>
      <c r="R9164" t="s">
        <v>47433</v>
      </c>
      <c r="S9164" t="s">
        <v>47633</v>
      </c>
      <c r="T9164" t="s">
        <v>49112</v>
      </c>
      <c r="U9164" t="s">
        <v>57250</v>
      </c>
      <c r="W9164" t="s">
        <v>46214</v>
      </c>
      <c r="X9164" t="s">
        <v>47438</v>
      </c>
    </row>
    <row r="9165" spans="1:24">
      <c r="A9165">
        <f>HYPERLINK("https://www.philgeps.gov.ph/GEPSNONPILOT/Tender/SplashBidNoticeAbstractUI.aspx?menuIndex=3&amp;refID=7146184&amp;Result=3","7146184")</f>
        <v>0</v>
      </c>
      <c r="B9165" t="s">
        <v>2957</v>
      </c>
      <c r="C9165" t="s">
        <v>12528</v>
      </c>
      <c r="D9165" t="s">
        <v>19026</v>
      </c>
      <c r="E9165" t="s">
        <v>27025</v>
      </c>
      <c r="F9165" t="s">
        <v>32831</v>
      </c>
      <c r="G9165" t="s">
        <v>32839</v>
      </c>
      <c r="H9165" t="s">
        <v>32848</v>
      </c>
      <c r="I9165" t="s">
        <v>4487</v>
      </c>
      <c r="J9165" t="s">
        <v>38652</v>
      </c>
      <c r="K9165" t="s">
        <v>42730</v>
      </c>
      <c r="M9165" t="s">
        <v>46217</v>
      </c>
      <c r="N9165" t="s">
        <v>47424</v>
      </c>
      <c r="O9165" t="s">
        <v>47425</v>
      </c>
      <c r="P9165">
        <v>0</v>
      </c>
      <c r="Q9165">
        <v>3</v>
      </c>
      <c r="R9165" t="s">
        <v>47433</v>
      </c>
      <c r="S9165" t="s">
        <v>47633</v>
      </c>
      <c r="T9165" t="s">
        <v>49081</v>
      </c>
      <c r="U9165" t="s">
        <v>57251</v>
      </c>
      <c r="W9165" t="s">
        <v>46217</v>
      </c>
      <c r="X9165" t="s">
        <v>47438</v>
      </c>
    </row>
    <row r="9166" spans="1:24">
      <c r="A9166">
        <f>HYPERLINK("https://www.philgeps.gov.ph/GEPSNONPILOT/Tender/SplashBidNoticeAbstractUI.aspx?menuIndex=3&amp;refID=7140553&amp;Result=3","7140553")</f>
        <v>0</v>
      </c>
      <c r="B9166" t="s">
        <v>263</v>
      </c>
      <c r="C9166" t="s">
        <v>12529</v>
      </c>
      <c r="D9166" t="s">
        <v>19083</v>
      </c>
      <c r="E9166" t="s">
        <v>27026</v>
      </c>
      <c r="F9166" t="s">
        <v>32831</v>
      </c>
      <c r="G9166" t="s">
        <v>32839</v>
      </c>
      <c r="H9166" t="s">
        <v>32848</v>
      </c>
      <c r="I9166" t="s">
        <v>4177</v>
      </c>
      <c r="J9166" t="s">
        <v>38653</v>
      </c>
      <c r="K9166" t="s">
        <v>42729</v>
      </c>
      <c r="M9166" t="s">
        <v>43262</v>
      </c>
      <c r="N9166" t="s">
        <v>47424</v>
      </c>
      <c r="O9166" t="s">
        <v>47425</v>
      </c>
      <c r="P9166">
        <v>0</v>
      </c>
      <c r="Q9166">
        <v>0</v>
      </c>
      <c r="R9166" t="s">
        <v>47433</v>
      </c>
      <c r="S9166" t="s">
        <v>47633</v>
      </c>
      <c r="T9166" t="s">
        <v>49162</v>
      </c>
      <c r="U9166" t="s">
        <v>57252</v>
      </c>
      <c r="W9166" t="s">
        <v>43262</v>
      </c>
      <c r="X9166" t="s">
        <v>47440</v>
      </c>
    </row>
    <row r="9167" spans="1:24">
      <c r="A9167">
        <f>HYPERLINK("https://www.philgeps.gov.ph/GEPSNONPILOT/Tender/SplashBidNoticeAbstractUI.aspx?menuIndex=3&amp;refID=7147526&amp;Result=3","7147526")</f>
        <v>0</v>
      </c>
      <c r="B9167" t="s">
        <v>108</v>
      </c>
      <c r="C9167" t="s">
        <v>12530</v>
      </c>
      <c r="D9167" t="s">
        <v>19058</v>
      </c>
      <c r="E9167" t="s">
        <v>27027</v>
      </c>
      <c r="F9167" t="s">
        <v>32831</v>
      </c>
      <c r="G9167" t="s">
        <v>32839</v>
      </c>
      <c r="H9167" t="s">
        <v>32848</v>
      </c>
      <c r="I9167" t="s">
        <v>7416</v>
      </c>
      <c r="J9167" t="s">
        <v>38654</v>
      </c>
      <c r="K9167" t="s">
        <v>42732</v>
      </c>
      <c r="M9167" t="s">
        <v>43105</v>
      </c>
      <c r="N9167" t="s">
        <v>47424</v>
      </c>
      <c r="O9167" t="s">
        <v>47425</v>
      </c>
      <c r="P9167">
        <v>0</v>
      </c>
      <c r="Q9167">
        <v>0</v>
      </c>
      <c r="R9167" t="s">
        <v>47433</v>
      </c>
      <c r="S9167" t="s">
        <v>47633</v>
      </c>
      <c r="T9167" t="s">
        <v>49243</v>
      </c>
      <c r="U9167" t="s">
        <v>57253</v>
      </c>
      <c r="W9167" t="s">
        <v>43105</v>
      </c>
      <c r="X9167" t="s">
        <v>47438</v>
      </c>
    </row>
    <row r="9168" spans="1:24">
      <c r="A9168">
        <f>HYPERLINK("https://www.philgeps.gov.ph/GEPSNONPILOT/Tender/SplashBidNoticeAbstractUI.aspx?menuIndex=3&amp;refID=7145622&amp;Result=3","7145622")</f>
        <v>0</v>
      </c>
      <c r="B9168" t="s">
        <v>67</v>
      </c>
      <c r="C9168" t="s">
        <v>12531</v>
      </c>
      <c r="D9168" t="s">
        <v>19079</v>
      </c>
      <c r="E9168" t="s">
        <v>27028</v>
      </c>
      <c r="F9168" t="s">
        <v>32831</v>
      </c>
      <c r="G9168" t="s">
        <v>32842</v>
      </c>
      <c r="H9168" t="s">
        <v>32848</v>
      </c>
      <c r="I9168" t="s">
        <v>4438</v>
      </c>
      <c r="J9168" t="s">
        <v>38655</v>
      </c>
      <c r="K9168" t="s">
        <v>42730</v>
      </c>
      <c r="M9168" t="s">
        <v>44461</v>
      </c>
      <c r="N9168" t="s">
        <v>47424</v>
      </c>
      <c r="O9168" t="s">
        <v>47425</v>
      </c>
      <c r="Q9168">
        <v>3</v>
      </c>
      <c r="R9168" t="s">
        <v>47433</v>
      </c>
      <c r="S9168" t="s">
        <v>47634</v>
      </c>
      <c r="T9168" t="s">
        <v>49063</v>
      </c>
      <c r="U9168" t="s">
        <v>57254</v>
      </c>
      <c r="W9168" t="s">
        <v>44461</v>
      </c>
      <c r="X9168" t="s">
        <v>47438</v>
      </c>
    </row>
    <row r="9169" spans="1:24">
      <c r="A9169">
        <f>HYPERLINK("https://www.philgeps.gov.ph/GEPSNONPILOT/Tender/SplashBidNoticeAbstractUI.aspx?menuIndex=3&amp;refID=7147510&amp;Result=3","7147510")</f>
        <v>0</v>
      </c>
      <c r="B9169" t="s">
        <v>108</v>
      </c>
      <c r="C9169" t="s">
        <v>12532</v>
      </c>
      <c r="D9169" t="s">
        <v>19058</v>
      </c>
      <c r="E9169" t="s">
        <v>27029</v>
      </c>
      <c r="F9169" t="s">
        <v>32831</v>
      </c>
      <c r="G9169" t="s">
        <v>32839</v>
      </c>
      <c r="H9169" t="s">
        <v>32848</v>
      </c>
      <c r="I9169" t="s">
        <v>7416</v>
      </c>
      <c r="J9169" t="s">
        <v>38656</v>
      </c>
      <c r="K9169" t="s">
        <v>42732</v>
      </c>
      <c r="M9169" t="s">
        <v>43105</v>
      </c>
      <c r="N9169" t="s">
        <v>47424</v>
      </c>
      <c r="O9169" t="s">
        <v>47425</v>
      </c>
      <c r="P9169">
        <v>0</v>
      </c>
      <c r="Q9169">
        <v>0</v>
      </c>
      <c r="R9169" t="s">
        <v>47433</v>
      </c>
      <c r="S9169" t="s">
        <v>47633</v>
      </c>
      <c r="T9169" t="s">
        <v>49243</v>
      </c>
      <c r="U9169" t="s">
        <v>57255</v>
      </c>
      <c r="W9169" t="s">
        <v>43105</v>
      </c>
      <c r="X9169" t="s">
        <v>47438</v>
      </c>
    </row>
    <row r="9170" spans="1:24">
      <c r="A9170">
        <f>HYPERLINK("https://www.philgeps.gov.ph/GEPSNONPILOT/Tender/SplashBidNoticeAbstractUI.aspx?menuIndex=3&amp;refID=7147495&amp;Result=3","7147495")</f>
        <v>0</v>
      </c>
      <c r="B9170" t="s">
        <v>108</v>
      </c>
      <c r="C9170" t="s">
        <v>12533</v>
      </c>
      <c r="D9170" t="s">
        <v>19058</v>
      </c>
      <c r="E9170" t="s">
        <v>27030</v>
      </c>
      <c r="F9170" t="s">
        <v>32831</v>
      </c>
      <c r="G9170" t="s">
        <v>32839</v>
      </c>
      <c r="H9170" t="s">
        <v>32848</v>
      </c>
      <c r="I9170" t="s">
        <v>7416</v>
      </c>
      <c r="J9170" t="s">
        <v>38657</v>
      </c>
      <c r="K9170" t="s">
        <v>42732</v>
      </c>
      <c r="M9170" t="s">
        <v>43105</v>
      </c>
      <c r="N9170" t="s">
        <v>47424</v>
      </c>
      <c r="O9170" t="s">
        <v>47425</v>
      </c>
      <c r="P9170">
        <v>0</v>
      </c>
      <c r="Q9170">
        <v>0</v>
      </c>
      <c r="R9170" t="s">
        <v>47433</v>
      </c>
      <c r="S9170" t="s">
        <v>47633</v>
      </c>
      <c r="T9170" t="s">
        <v>49243</v>
      </c>
      <c r="U9170" t="s">
        <v>57256</v>
      </c>
      <c r="W9170" t="s">
        <v>43105</v>
      </c>
      <c r="X9170" t="s">
        <v>47438</v>
      </c>
    </row>
    <row r="9171" spans="1:24">
      <c r="A9171">
        <f>HYPERLINK("https://www.philgeps.gov.ph/GEPSNONPILOT/Tender/SplashBidNoticeAbstractUI.aspx?menuIndex=3&amp;refID=7147431&amp;Result=3","7147431")</f>
        <v>0</v>
      </c>
      <c r="B9171" t="s">
        <v>108</v>
      </c>
      <c r="C9171" t="s">
        <v>12534</v>
      </c>
      <c r="D9171" t="s">
        <v>19058</v>
      </c>
      <c r="E9171" t="s">
        <v>27031</v>
      </c>
      <c r="F9171" t="s">
        <v>32831</v>
      </c>
      <c r="G9171" t="s">
        <v>32839</v>
      </c>
      <c r="H9171" t="s">
        <v>32848</v>
      </c>
      <c r="I9171" t="s">
        <v>7416</v>
      </c>
      <c r="J9171" t="s">
        <v>38658</v>
      </c>
      <c r="K9171" t="s">
        <v>42732</v>
      </c>
      <c r="M9171" t="s">
        <v>43105</v>
      </c>
      <c r="N9171" t="s">
        <v>47424</v>
      </c>
      <c r="O9171" t="s">
        <v>47425</v>
      </c>
      <c r="P9171">
        <v>0</v>
      </c>
      <c r="Q9171">
        <v>0</v>
      </c>
      <c r="R9171" t="s">
        <v>47433</v>
      </c>
      <c r="S9171" t="s">
        <v>47633</v>
      </c>
      <c r="T9171" t="s">
        <v>49243</v>
      </c>
      <c r="U9171" t="s">
        <v>57257</v>
      </c>
      <c r="W9171" t="s">
        <v>43105</v>
      </c>
      <c r="X9171" t="s">
        <v>47438</v>
      </c>
    </row>
    <row r="9172" spans="1:24">
      <c r="A9172">
        <f>HYPERLINK("https://www.philgeps.gov.ph/GEPSNONPILOT/Tender/SplashBidNoticeAbstractUI.aspx?menuIndex=3&amp;refID=7141970&amp;Result=3","7141970")</f>
        <v>0</v>
      </c>
      <c r="B9172" t="s">
        <v>2958</v>
      </c>
      <c r="C9172" t="s">
        <v>12535</v>
      </c>
      <c r="D9172" t="s">
        <v>19037</v>
      </c>
      <c r="E9172" t="s">
        <v>19838</v>
      </c>
      <c r="F9172" t="s">
        <v>32831</v>
      </c>
      <c r="G9172" t="s">
        <v>32839</v>
      </c>
      <c r="H9172" t="s">
        <v>32848</v>
      </c>
      <c r="I9172" t="s">
        <v>7416</v>
      </c>
      <c r="J9172" t="s">
        <v>38659</v>
      </c>
      <c r="K9172" t="s">
        <v>42731</v>
      </c>
      <c r="M9172" t="s">
        <v>46218</v>
      </c>
      <c r="N9172" t="s">
        <v>47424</v>
      </c>
      <c r="O9172" t="s">
        <v>47425</v>
      </c>
      <c r="P9172">
        <v>0</v>
      </c>
      <c r="Q9172">
        <v>0</v>
      </c>
      <c r="R9172" t="s">
        <v>47433</v>
      </c>
      <c r="S9172" t="s">
        <v>47633</v>
      </c>
      <c r="T9172" t="s">
        <v>49177</v>
      </c>
      <c r="U9172" t="s">
        <v>57258</v>
      </c>
      <c r="V9172" t="s">
        <v>63633</v>
      </c>
      <c r="W9172" t="s">
        <v>46218</v>
      </c>
      <c r="X9172" t="s">
        <v>47440</v>
      </c>
    </row>
    <row r="9173" spans="1:24">
      <c r="A9173">
        <f>HYPERLINK("https://www.philgeps.gov.ph/GEPSNONPILOT/Tender/SplashBidNoticeAbstractUI.aspx?menuIndex=3&amp;refID=7147480&amp;Result=3","7147480")</f>
        <v>0</v>
      </c>
      <c r="B9173" t="s">
        <v>108</v>
      </c>
      <c r="C9173" t="s">
        <v>12536</v>
      </c>
      <c r="D9173" t="s">
        <v>19058</v>
      </c>
      <c r="E9173" t="s">
        <v>27032</v>
      </c>
      <c r="F9173" t="s">
        <v>32831</v>
      </c>
      <c r="G9173" t="s">
        <v>32839</v>
      </c>
      <c r="H9173" t="s">
        <v>32848</v>
      </c>
      <c r="I9173" t="s">
        <v>7416</v>
      </c>
      <c r="J9173" t="s">
        <v>38660</v>
      </c>
      <c r="K9173" t="s">
        <v>42732</v>
      </c>
      <c r="M9173" t="s">
        <v>43105</v>
      </c>
      <c r="N9173" t="s">
        <v>47424</v>
      </c>
      <c r="O9173" t="s">
        <v>47425</v>
      </c>
      <c r="P9173">
        <v>0</v>
      </c>
      <c r="Q9173">
        <v>0</v>
      </c>
      <c r="R9173" t="s">
        <v>47433</v>
      </c>
      <c r="S9173" t="s">
        <v>47633</v>
      </c>
      <c r="T9173" t="s">
        <v>49243</v>
      </c>
      <c r="U9173" t="s">
        <v>57259</v>
      </c>
      <c r="W9173" t="s">
        <v>43105</v>
      </c>
      <c r="X9173" t="s">
        <v>47438</v>
      </c>
    </row>
    <row r="9174" spans="1:24">
      <c r="A9174">
        <f>HYPERLINK("https://www.philgeps.gov.ph/GEPSNONPILOT/Tender/SplashBidNoticeAbstractUI.aspx?menuIndex=3&amp;refID=7145710&amp;Result=3","7145710")</f>
        <v>0</v>
      </c>
      <c r="B9174" t="s">
        <v>535</v>
      </c>
      <c r="C9174" t="s">
        <v>12537</v>
      </c>
      <c r="D9174" t="s">
        <v>19019</v>
      </c>
      <c r="E9174" t="s">
        <v>27033</v>
      </c>
      <c r="F9174" t="s">
        <v>32831</v>
      </c>
      <c r="G9174" t="s">
        <v>32841</v>
      </c>
      <c r="H9174" t="s">
        <v>32849</v>
      </c>
      <c r="I9174" t="s">
        <v>4177</v>
      </c>
      <c r="J9174" t="s">
        <v>38661</v>
      </c>
      <c r="K9174" t="s">
        <v>42732</v>
      </c>
      <c r="M9174" t="s">
        <v>43541</v>
      </c>
      <c r="N9174" t="s">
        <v>47424</v>
      </c>
      <c r="O9174" t="s">
        <v>47425</v>
      </c>
      <c r="P9174">
        <v>0</v>
      </c>
      <c r="Q9174">
        <v>0</v>
      </c>
      <c r="R9174" t="s">
        <v>47433</v>
      </c>
      <c r="S9174" t="s">
        <v>47633</v>
      </c>
      <c r="T9174" t="s">
        <v>49237</v>
      </c>
      <c r="U9174" t="s">
        <v>57260</v>
      </c>
      <c r="W9174" t="s">
        <v>43541</v>
      </c>
      <c r="X9174" t="s">
        <v>47438</v>
      </c>
    </row>
    <row r="9175" spans="1:24">
      <c r="A9175">
        <f>HYPERLINK("https://www.philgeps.gov.ph/GEPSNONPILOT/Tender/SplashBidNoticeAbstractUI.aspx?menuIndex=3&amp;refID=7147000&amp;Result=3","7147000")</f>
        <v>0</v>
      </c>
      <c r="B9175" t="s">
        <v>2428</v>
      </c>
      <c r="C9175" t="s">
        <v>12538</v>
      </c>
      <c r="D9175" t="s">
        <v>19036</v>
      </c>
      <c r="E9175" t="s">
        <v>27034</v>
      </c>
      <c r="F9175" t="s">
        <v>32831</v>
      </c>
      <c r="G9175" t="s">
        <v>32839</v>
      </c>
      <c r="H9175" t="s">
        <v>32849</v>
      </c>
      <c r="I9175" t="s">
        <v>4177</v>
      </c>
      <c r="J9175" t="s">
        <v>38662</v>
      </c>
      <c r="K9175" t="s">
        <v>42747</v>
      </c>
      <c r="M9175" t="s">
        <v>45625</v>
      </c>
      <c r="N9175" t="s">
        <v>47424</v>
      </c>
      <c r="O9175" t="s">
        <v>47425</v>
      </c>
      <c r="P9175">
        <v>0</v>
      </c>
      <c r="Q9175">
        <v>0</v>
      </c>
      <c r="R9175" t="s">
        <v>47433</v>
      </c>
      <c r="S9175" t="s">
        <v>47633</v>
      </c>
      <c r="T9175" t="s">
        <v>49231</v>
      </c>
      <c r="U9175" t="s">
        <v>57261</v>
      </c>
      <c r="W9175" t="s">
        <v>45625</v>
      </c>
      <c r="X9175" t="s">
        <v>47438</v>
      </c>
    </row>
    <row r="9176" spans="1:24">
      <c r="A9176">
        <f>HYPERLINK("https://www.philgeps.gov.ph/GEPSNONPILOT/Tender/SplashBidNoticeAbstractUI.aspx?menuIndex=3&amp;refID=7145484&amp;Result=3","7145484")</f>
        <v>0</v>
      </c>
      <c r="B9176" t="s">
        <v>2954</v>
      </c>
      <c r="C9176" t="s">
        <v>12539</v>
      </c>
      <c r="D9176" t="s">
        <v>19044</v>
      </c>
      <c r="E9176" t="s">
        <v>27035</v>
      </c>
      <c r="F9176" t="s">
        <v>32831</v>
      </c>
      <c r="G9176" t="s">
        <v>32839</v>
      </c>
      <c r="H9176" t="s">
        <v>32848</v>
      </c>
      <c r="I9176" t="s">
        <v>4303</v>
      </c>
      <c r="J9176" t="s">
        <v>38663</v>
      </c>
      <c r="K9176" t="s">
        <v>42727</v>
      </c>
      <c r="M9176" t="s">
        <v>46214</v>
      </c>
      <c r="N9176" t="s">
        <v>47424</v>
      </c>
      <c r="O9176" t="s">
        <v>47425</v>
      </c>
      <c r="P9176">
        <v>0</v>
      </c>
      <c r="Q9176">
        <v>1</v>
      </c>
      <c r="R9176" t="s">
        <v>47433</v>
      </c>
      <c r="S9176" t="s">
        <v>47633</v>
      </c>
      <c r="T9176" t="s">
        <v>49112</v>
      </c>
      <c r="U9176" t="s">
        <v>57262</v>
      </c>
      <c r="W9176" t="s">
        <v>46214</v>
      </c>
      <c r="X9176" t="s">
        <v>47438</v>
      </c>
    </row>
    <row r="9177" spans="1:24">
      <c r="A9177">
        <f>HYPERLINK("https://www.philgeps.gov.ph/GEPSNONPILOT/Tender/SplashBidNoticeAbstractUI.aspx?menuIndex=3&amp;refID=7146926&amp;Result=3","7146926")</f>
        <v>0</v>
      </c>
      <c r="B9177" t="s">
        <v>1823</v>
      </c>
      <c r="C9177" t="s">
        <v>12540</v>
      </c>
      <c r="D9177" t="s">
        <v>19100</v>
      </c>
      <c r="E9177" t="s">
        <v>27036</v>
      </c>
      <c r="F9177" t="s">
        <v>32831</v>
      </c>
      <c r="G9177" t="s">
        <v>32839</v>
      </c>
      <c r="H9177" t="s">
        <v>32848</v>
      </c>
      <c r="I9177" t="s">
        <v>4340</v>
      </c>
      <c r="J9177" t="s">
        <v>38664</v>
      </c>
      <c r="K9177" t="s">
        <v>42732</v>
      </c>
      <c r="M9177" t="s">
        <v>46219</v>
      </c>
      <c r="N9177" t="s">
        <v>47424</v>
      </c>
      <c r="O9177" t="s">
        <v>47425</v>
      </c>
      <c r="P9177">
        <v>0</v>
      </c>
      <c r="Q9177">
        <v>0</v>
      </c>
      <c r="R9177" t="s">
        <v>47433</v>
      </c>
      <c r="S9177" t="s">
        <v>47633</v>
      </c>
      <c r="T9177" t="s">
        <v>49243</v>
      </c>
      <c r="U9177" t="s">
        <v>57263</v>
      </c>
      <c r="W9177" t="s">
        <v>64529</v>
      </c>
      <c r="X9177" t="s">
        <v>47438</v>
      </c>
    </row>
    <row r="9178" spans="1:24">
      <c r="A9178">
        <f>HYPERLINK("https://www.philgeps.gov.ph/GEPSNONPILOT/Tender/SplashBidNoticeAbstractUI.aspx?menuIndex=3&amp;refID=7147470&amp;Result=3","7147470")</f>
        <v>0</v>
      </c>
      <c r="B9178" t="s">
        <v>108</v>
      </c>
      <c r="C9178" t="s">
        <v>12541</v>
      </c>
      <c r="D9178" t="s">
        <v>19058</v>
      </c>
      <c r="E9178" t="s">
        <v>27037</v>
      </c>
      <c r="F9178" t="s">
        <v>32831</v>
      </c>
      <c r="G9178" t="s">
        <v>32839</v>
      </c>
      <c r="H9178" t="s">
        <v>32848</v>
      </c>
      <c r="I9178" t="s">
        <v>7416</v>
      </c>
      <c r="J9178" t="s">
        <v>38665</v>
      </c>
      <c r="K9178" t="s">
        <v>42732</v>
      </c>
      <c r="M9178" t="s">
        <v>43105</v>
      </c>
      <c r="N9178" t="s">
        <v>47424</v>
      </c>
      <c r="O9178" t="s">
        <v>47425</v>
      </c>
      <c r="P9178">
        <v>0</v>
      </c>
      <c r="Q9178">
        <v>0</v>
      </c>
      <c r="R9178" t="s">
        <v>47433</v>
      </c>
      <c r="S9178" t="s">
        <v>47633</v>
      </c>
      <c r="T9178" t="s">
        <v>49243</v>
      </c>
      <c r="U9178" t="s">
        <v>57264</v>
      </c>
      <c r="W9178" t="s">
        <v>43105</v>
      </c>
      <c r="X9178" t="s">
        <v>47438</v>
      </c>
    </row>
    <row r="9179" spans="1:24">
      <c r="A9179">
        <f>HYPERLINK("https://www.philgeps.gov.ph/GEPSNONPILOT/Tender/SplashBidNoticeAbstractUI.aspx?menuIndex=3&amp;refID=7147232&amp;Result=3","7147232")</f>
        <v>0</v>
      </c>
      <c r="B9179" t="s">
        <v>108</v>
      </c>
      <c r="C9179" t="s">
        <v>12542</v>
      </c>
      <c r="D9179" t="s">
        <v>19058</v>
      </c>
      <c r="E9179" t="s">
        <v>27038</v>
      </c>
      <c r="F9179" t="s">
        <v>32831</v>
      </c>
      <c r="G9179" t="s">
        <v>32841</v>
      </c>
      <c r="H9179" t="s">
        <v>32848</v>
      </c>
      <c r="I9179" t="s">
        <v>7416</v>
      </c>
      <c r="J9179" t="s">
        <v>38666</v>
      </c>
      <c r="K9179" t="s">
        <v>42732</v>
      </c>
      <c r="M9179" t="s">
        <v>43105</v>
      </c>
      <c r="N9179" t="s">
        <v>47424</v>
      </c>
      <c r="O9179" t="s">
        <v>47425</v>
      </c>
      <c r="P9179">
        <v>0</v>
      </c>
      <c r="Q9179">
        <v>0</v>
      </c>
      <c r="R9179" t="s">
        <v>47433</v>
      </c>
      <c r="S9179" t="s">
        <v>47633</v>
      </c>
      <c r="T9179" t="s">
        <v>49243</v>
      </c>
      <c r="U9179" t="s">
        <v>57265</v>
      </c>
      <c r="W9179" t="s">
        <v>43105</v>
      </c>
      <c r="X9179" t="s">
        <v>47438</v>
      </c>
    </row>
    <row r="9180" spans="1:24">
      <c r="A9180">
        <f>HYPERLINK("https://www.philgeps.gov.ph/GEPSNONPILOT/Tender/SplashBidNoticeAbstractUI.aspx?menuIndex=3&amp;refID=7148331&amp;Result=3","7148331")</f>
        <v>0</v>
      </c>
      <c r="B9180" t="s">
        <v>2418</v>
      </c>
      <c r="C9180" t="s">
        <v>12543</v>
      </c>
      <c r="D9180" t="s">
        <v>19027</v>
      </c>
      <c r="E9180" t="s">
        <v>27039</v>
      </c>
      <c r="F9180" t="s">
        <v>32831</v>
      </c>
      <c r="G9180" t="s">
        <v>32839</v>
      </c>
      <c r="H9180" t="s">
        <v>32848</v>
      </c>
      <c r="I9180" t="s">
        <v>4438</v>
      </c>
      <c r="J9180" t="s">
        <v>38667</v>
      </c>
      <c r="K9180" t="s">
        <v>42732</v>
      </c>
      <c r="M9180" t="s">
        <v>45613</v>
      </c>
      <c r="N9180" t="s">
        <v>47424</v>
      </c>
      <c r="O9180" t="s">
        <v>47425</v>
      </c>
      <c r="P9180">
        <v>0</v>
      </c>
      <c r="Q9180">
        <v>1</v>
      </c>
      <c r="R9180" t="s">
        <v>47433</v>
      </c>
      <c r="S9180" t="s">
        <v>47633</v>
      </c>
      <c r="T9180" t="s">
        <v>49243</v>
      </c>
      <c r="U9180" t="s">
        <v>57266</v>
      </c>
      <c r="V9180" t="s">
        <v>63379</v>
      </c>
      <c r="W9180" t="s">
        <v>45613</v>
      </c>
      <c r="X9180" t="s">
        <v>47437</v>
      </c>
    </row>
    <row r="9181" spans="1:24">
      <c r="A9181">
        <f>HYPERLINK("https://www.philgeps.gov.ph/GEPSNONPILOT/Tender/SplashBidNoticeAbstractUI.aspx?menuIndex=3&amp;refID=7148326&amp;Result=3","7148326")</f>
        <v>0</v>
      </c>
      <c r="B9181" t="s">
        <v>2418</v>
      </c>
      <c r="C9181" t="s">
        <v>12544</v>
      </c>
      <c r="D9181" t="s">
        <v>19027</v>
      </c>
      <c r="E9181" t="s">
        <v>27040</v>
      </c>
      <c r="F9181" t="s">
        <v>32831</v>
      </c>
      <c r="G9181" t="s">
        <v>32839</v>
      </c>
      <c r="H9181" t="s">
        <v>32848</v>
      </c>
      <c r="I9181" t="s">
        <v>10643</v>
      </c>
      <c r="J9181" t="s">
        <v>33970</v>
      </c>
      <c r="K9181" t="s">
        <v>42732</v>
      </c>
      <c r="M9181" t="s">
        <v>45613</v>
      </c>
      <c r="N9181" t="s">
        <v>47424</v>
      </c>
      <c r="O9181" t="s">
        <v>47425</v>
      </c>
      <c r="P9181">
        <v>0</v>
      </c>
      <c r="Q9181">
        <v>0</v>
      </c>
      <c r="R9181" t="s">
        <v>47433</v>
      </c>
      <c r="S9181" t="s">
        <v>47633</v>
      </c>
      <c r="T9181" t="s">
        <v>49243</v>
      </c>
      <c r="U9181" t="s">
        <v>57267</v>
      </c>
      <c r="V9181" t="s">
        <v>63379</v>
      </c>
      <c r="W9181" t="s">
        <v>45613</v>
      </c>
      <c r="X9181" t="s">
        <v>47437</v>
      </c>
    </row>
    <row r="9182" spans="1:24">
      <c r="A9182">
        <f>HYPERLINK("https://www.philgeps.gov.ph/GEPSNONPILOT/Tender/SplashBidNoticeAbstractUI.aspx?menuIndex=3&amp;refID=7148323&amp;Result=3","7148323")</f>
        <v>0</v>
      </c>
      <c r="B9182" t="s">
        <v>2418</v>
      </c>
      <c r="C9182" t="s">
        <v>12545</v>
      </c>
      <c r="D9182" t="s">
        <v>19027</v>
      </c>
      <c r="E9182" t="s">
        <v>27041</v>
      </c>
      <c r="F9182" t="s">
        <v>32831</v>
      </c>
      <c r="G9182" t="s">
        <v>32839</v>
      </c>
      <c r="H9182" t="s">
        <v>32848</v>
      </c>
      <c r="I9182" t="s">
        <v>32874</v>
      </c>
      <c r="J9182" t="s">
        <v>38668</v>
      </c>
      <c r="K9182" t="s">
        <v>42732</v>
      </c>
      <c r="M9182" t="s">
        <v>45613</v>
      </c>
      <c r="N9182" t="s">
        <v>47424</v>
      </c>
      <c r="O9182" t="s">
        <v>47425</v>
      </c>
      <c r="P9182">
        <v>0</v>
      </c>
      <c r="Q9182">
        <v>5</v>
      </c>
      <c r="R9182" t="s">
        <v>47433</v>
      </c>
      <c r="S9182" t="s">
        <v>47633</v>
      </c>
      <c r="T9182" t="s">
        <v>49243</v>
      </c>
      <c r="U9182" t="s">
        <v>57268</v>
      </c>
      <c r="V9182" t="s">
        <v>63379</v>
      </c>
      <c r="W9182" t="s">
        <v>45613</v>
      </c>
      <c r="X9182" t="s">
        <v>47437</v>
      </c>
    </row>
    <row r="9183" spans="1:24">
      <c r="A9183">
        <f>HYPERLINK("https://www.philgeps.gov.ph/GEPSNONPILOT/Tender/SplashBidNoticeAbstractUI.aspx?menuIndex=3&amp;refID=7148321&amp;Result=3","7148321")</f>
        <v>0</v>
      </c>
      <c r="B9183" t="s">
        <v>2418</v>
      </c>
      <c r="C9183" t="s">
        <v>12546</v>
      </c>
      <c r="D9183" t="s">
        <v>19027</v>
      </c>
      <c r="E9183" t="s">
        <v>27042</v>
      </c>
      <c r="F9183" t="s">
        <v>32831</v>
      </c>
      <c r="G9183" t="s">
        <v>32839</v>
      </c>
      <c r="H9183" t="s">
        <v>32848</v>
      </c>
      <c r="I9183" t="s">
        <v>4558</v>
      </c>
      <c r="J9183" t="s">
        <v>38669</v>
      </c>
      <c r="K9183" t="s">
        <v>42732</v>
      </c>
      <c r="M9183" t="s">
        <v>45613</v>
      </c>
      <c r="N9183" t="s">
        <v>47424</v>
      </c>
      <c r="O9183" t="s">
        <v>47425</v>
      </c>
      <c r="P9183">
        <v>0</v>
      </c>
      <c r="Q9183">
        <v>3</v>
      </c>
      <c r="R9183" t="s">
        <v>47433</v>
      </c>
      <c r="S9183" t="s">
        <v>47633</v>
      </c>
      <c r="T9183" t="s">
        <v>49243</v>
      </c>
      <c r="U9183" t="s">
        <v>57269</v>
      </c>
      <c r="V9183" t="s">
        <v>63379</v>
      </c>
      <c r="W9183" t="s">
        <v>45613</v>
      </c>
      <c r="X9183" t="s">
        <v>47437</v>
      </c>
    </row>
    <row r="9184" spans="1:24">
      <c r="A9184">
        <f>HYPERLINK("https://www.philgeps.gov.ph/GEPSNONPILOT/Tender/SplashBidNoticeAbstractUI.aspx?menuIndex=3&amp;refID=7148307&amp;Result=3","7148307")</f>
        <v>0</v>
      </c>
      <c r="B9184" t="s">
        <v>2418</v>
      </c>
      <c r="C9184" t="s">
        <v>12547</v>
      </c>
      <c r="D9184" t="s">
        <v>19027</v>
      </c>
      <c r="E9184" t="s">
        <v>27043</v>
      </c>
      <c r="F9184" t="s">
        <v>32831</v>
      </c>
      <c r="G9184" t="s">
        <v>32839</v>
      </c>
      <c r="H9184" t="s">
        <v>32848</v>
      </c>
      <c r="I9184" t="s">
        <v>4487</v>
      </c>
      <c r="J9184" t="s">
        <v>34331</v>
      </c>
      <c r="K9184" t="s">
        <v>42732</v>
      </c>
      <c r="M9184" t="s">
        <v>45613</v>
      </c>
      <c r="N9184" t="s">
        <v>47424</v>
      </c>
      <c r="O9184" t="s">
        <v>47425</v>
      </c>
      <c r="P9184">
        <v>0</v>
      </c>
      <c r="Q9184">
        <v>0</v>
      </c>
      <c r="R9184" t="s">
        <v>47433</v>
      </c>
      <c r="S9184" t="s">
        <v>47633</v>
      </c>
      <c r="T9184" t="s">
        <v>49243</v>
      </c>
      <c r="U9184" t="s">
        <v>57270</v>
      </c>
      <c r="V9184" t="s">
        <v>63634</v>
      </c>
      <c r="W9184" t="s">
        <v>45613</v>
      </c>
      <c r="X9184" t="s">
        <v>47437</v>
      </c>
    </row>
    <row r="9185" spans="1:24">
      <c r="A9185">
        <f>HYPERLINK("https://www.philgeps.gov.ph/GEPSNONPILOT/Tender/SplashBidNoticeAbstractUI.aspx?menuIndex=3&amp;refID=7147199&amp;Result=3","7147199")</f>
        <v>0</v>
      </c>
      <c r="B9185" t="s">
        <v>719</v>
      </c>
      <c r="C9185" t="s">
        <v>12548</v>
      </c>
      <c r="D9185" t="s">
        <v>19017</v>
      </c>
      <c r="E9185" t="s">
        <v>27044</v>
      </c>
      <c r="F9185" t="s">
        <v>32831</v>
      </c>
      <c r="G9185" t="s">
        <v>32841</v>
      </c>
      <c r="H9185" t="s">
        <v>32848</v>
      </c>
      <c r="I9185" t="s">
        <v>32857</v>
      </c>
      <c r="J9185" t="s">
        <v>36123</v>
      </c>
      <c r="K9185" t="s">
        <v>42732</v>
      </c>
      <c r="M9185" t="s">
        <v>46220</v>
      </c>
      <c r="N9185" t="s">
        <v>47424</v>
      </c>
      <c r="O9185" t="s">
        <v>47425</v>
      </c>
      <c r="P9185">
        <v>0</v>
      </c>
      <c r="Q9185">
        <v>8</v>
      </c>
      <c r="R9185" t="s">
        <v>47433</v>
      </c>
      <c r="S9185" t="s">
        <v>47633</v>
      </c>
      <c r="T9185" t="s">
        <v>49111</v>
      </c>
      <c r="U9185" t="s">
        <v>57271</v>
      </c>
      <c r="W9185" t="s">
        <v>46220</v>
      </c>
      <c r="X9185" t="s">
        <v>47438</v>
      </c>
    </row>
    <row r="9186" spans="1:24">
      <c r="A9186">
        <f>HYPERLINK("https://www.philgeps.gov.ph/GEPSNONPILOT/Tender/SplashBidNoticeAbstractUI.aspx?menuIndex=3&amp;refID=7146892&amp;Result=3","7146892")</f>
        <v>0</v>
      </c>
      <c r="B9186" t="s">
        <v>2428</v>
      </c>
      <c r="C9186" t="s">
        <v>12549</v>
      </c>
      <c r="D9186" t="s">
        <v>19036</v>
      </c>
      <c r="E9186" t="s">
        <v>27045</v>
      </c>
      <c r="F9186" t="s">
        <v>32831</v>
      </c>
      <c r="G9186" t="s">
        <v>32839</v>
      </c>
      <c r="H9186" t="s">
        <v>32849</v>
      </c>
      <c r="I9186" t="s">
        <v>4177</v>
      </c>
      <c r="J9186" t="s">
        <v>38670</v>
      </c>
      <c r="K9186" t="s">
        <v>42743</v>
      </c>
      <c r="M9186" t="s">
        <v>45625</v>
      </c>
      <c r="N9186" t="s">
        <v>47424</v>
      </c>
      <c r="O9186" t="s">
        <v>47425</v>
      </c>
      <c r="P9186">
        <v>0</v>
      </c>
      <c r="Q9186">
        <v>0</v>
      </c>
      <c r="R9186" t="s">
        <v>47433</v>
      </c>
      <c r="S9186" t="s">
        <v>47633</v>
      </c>
      <c r="T9186" t="s">
        <v>49192</v>
      </c>
      <c r="U9186" t="s">
        <v>57272</v>
      </c>
      <c r="W9186" t="s">
        <v>45625</v>
      </c>
      <c r="X9186" t="s">
        <v>47438</v>
      </c>
    </row>
    <row r="9187" spans="1:24">
      <c r="A9187">
        <f>HYPERLINK("https://www.philgeps.gov.ph/GEPSNONPILOT/Tender/SplashBidNoticeAbstractUI.aspx?menuIndex=3&amp;refID=7148304&amp;Result=3","7148304")</f>
        <v>0</v>
      </c>
      <c r="B9187" t="s">
        <v>2418</v>
      </c>
      <c r="C9187" t="s">
        <v>12550</v>
      </c>
      <c r="D9187" t="s">
        <v>19027</v>
      </c>
      <c r="E9187" t="s">
        <v>27046</v>
      </c>
      <c r="F9187" t="s">
        <v>32831</v>
      </c>
      <c r="G9187" t="s">
        <v>32839</v>
      </c>
      <c r="H9187" t="s">
        <v>32848</v>
      </c>
      <c r="I9187" t="s">
        <v>32859</v>
      </c>
      <c r="J9187" t="s">
        <v>38671</v>
      </c>
      <c r="K9187" t="s">
        <v>42732</v>
      </c>
      <c r="M9187" t="s">
        <v>45613</v>
      </c>
      <c r="N9187" t="s">
        <v>47424</v>
      </c>
      <c r="O9187" t="s">
        <v>47425</v>
      </c>
      <c r="P9187">
        <v>0</v>
      </c>
      <c r="Q9187">
        <v>2</v>
      </c>
      <c r="R9187" t="s">
        <v>47433</v>
      </c>
      <c r="S9187" t="s">
        <v>47633</v>
      </c>
      <c r="T9187" t="s">
        <v>49243</v>
      </c>
      <c r="U9187" t="s">
        <v>57273</v>
      </c>
      <c r="V9187" t="s">
        <v>63635</v>
      </c>
      <c r="W9187" t="s">
        <v>45613</v>
      </c>
      <c r="X9187" t="s">
        <v>47437</v>
      </c>
    </row>
    <row r="9188" spans="1:24">
      <c r="A9188">
        <f>HYPERLINK("https://www.philgeps.gov.ph/GEPSNONPILOT/Tender/SplashBidNoticeAbstractUI.aspx?menuIndex=3&amp;refID=7148299&amp;Result=3","7148299")</f>
        <v>0</v>
      </c>
      <c r="B9188" t="s">
        <v>2418</v>
      </c>
      <c r="C9188" t="s">
        <v>12551</v>
      </c>
      <c r="D9188" t="s">
        <v>19027</v>
      </c>
      <c r="E9188" t="s">
        <v>27047</v>
      </c>
      <c r="F9188" t="s">
        <v>32831</v>
      </c>
      <c r="G9188" t="s">
        <v>32839</v>
      </c>
      <c r="H9188" t="s">
        <v>32848</v>
      </c>
      <c r="I9188" t="s">
        <v>4487</v>
      </c>
      <c r="J9188" t="s">
        <v>33623</v>
      </c>
      <c r="K9188" t="s">
        <v>42732</v>
      </c>
      <c r="M9188" t="s">
        <v>45613</v>
      </c>
      <c r="N9188" t="s">
        <v>47424</v>
      </c>
      <c r="O9188" t="s">
        <v>47425</v>
      </c>
      <c r="P9188">
        <v>0</v>
      </c>
      <c r="Q9188">
        <v>0</v>
      </c>
      <c r="R9188" t="s">
        <v>47433</v>
      </c>
      <c r="S9188" t="s">
        <v>47633</v>
      </c>
      <c r="T9188" t="s">
        <v>49243</v>
      </c>
      <c r="U9188" t="s">
        <v>57274</v>
      </c>
      <c r="V9188" t="s">
        <v>63635</v>
      </c>
      <c r="W9188" t="s">
        <v>45613</v>
      </c>
      <c r="X9188" t="s">
        <v>47437</v>
      </c>
    </row>
    <row r="9189" spans="1:24">
      <c r="A9189">
        <f>HYPERLINK("https://www.philgeps.gov.ph/GEPSNONPILOT/Tender/SplashBidNoticeAbstractUI.aspx?menuIndex=3&amp;refID=7146983&amp;Result=3","7146983")</f>
        <v>0</v>
      </c>
      <c r="B9189" t="s">
        <v>1823</v>
      </c>
      <c r="C9189" t="s">
        <v>12552</v>
      </c>
      <c r="D9189" t="s">
        <v>19100</v>
      </c>
      <c r="E9189" t="s">
        <v>27048</v>
      </c>
      <c r="F9189" t="s">
        <v>32831</v>
      </c>
      <c r="G9189" t="s">
        <v>32839</v>
      </c>
      <c r="H9189" t="s">
        <v>32848</v>
      </c>
      <c r="I9189" t="s">
        <v>32867</v>
      </c>
      <c r="J9189" t="s">
        <v>33133</v>
      </c>
      <c r="K9189" t="s">
        <v>42732</v>
      </c>
      <c r="M9189" t="s">
        <v>46219</v>
      </c>
      <c r="N9189" t="s">
        <v>47424</v>
      </c>
      <c r="O9189" t="s">
        <v>47425</v>
      </c>
      <c r="P9189">
        <v>0</v>
      </c>
      <c r="Q9189">
        <v>1</v>
      </c>
      <c r="R9189" t="s">
        <v>47433</v>
      </c>
      <c r="S9189" t="s">
        <v>47633</v>
      </c>
      <c r="T9189" t="s">
        <v>49243</v>
      </c>
      <c r="U9189" t="s">
        <v>57275</v>
      </c>
      <c r="W9189" t="s">
        <v>64529</v>
      </c>
      <c r="X9189" t="s">
        <v>47438</v>
      </c>
    </row>
    <row r="9190" spans="1:24">
      <c r="A9190">
        <f>HYPERLINK("https://www.philgeps.gov.ph/GEPSNONPILOT/Tender/SplashBidNoticeAbstractUI.aspx?menuIndex=3&amp;refID=7147809&amp;Result=3","7147809")</f>
        <v>0</v>
      </c>
      <c r="B9190" t="s">
        <v>2959</v>
      </c>
      <c r="C9190" t="s">
        <v>12553</v>
      </c>
      <c r="D9190" t="s">
        <v>19074</v>
      </c>
      <c r="E9190" t="s">
        <v>27049</v>
      </c>
      <c r="F9190" t="s">
        <v>32831</v>
      </c>
      <c r="G9190" t="s">
        <v>32838</v>
      </c>
      <c r="H9190" t="s">
        <v>32848</v>
      </c>
      <c r="I9190" t="s">
        <v>32858</v>
      </c>
      <c r="J9190" t="s">
        <v>38672</v>
      </c>
      <c r="K9190" t="s">
        <v>42726</v>
      </c>
      <c r="M9190" t="s">
        <v>46221</v>
      </c>
      <c r="N9190" t="s">
        <v>47424</v>
      </c>
      <c r="O9190" t="s">
        <v>47425</v>
      </c>
      <c r="P9190">
        <v>0</v>
      </c>
      <c r="Q9190">
        <v>6</v>
      </c>
      <c r="R9190" t="s">
        <v>47433</v>
      </c>
      <c r="S9190" t="s">
        <v>47633</v>
      </c>
      <c r="T9190" t="s">
        <v>49111</v>
      </c>
      <c r="U9190" t="s">
        <v>57276</v>
      </c>
      <c r="W9190" t="s">
        <v>46221</v>
      </c>
      <c r="X9190" t="s">
        <v>47438</v>
      </c>
    </row>
    <row r="9191" spans="1:24">
      <c r="A9191">
        <f>HYPERLINK("https://www.philgeps.gov.ph/GEPSNONPILOT/Tender/SplashBidNoticeAbstractUI.aspx?menuIndex=3&amp;refID=7148315&amp;Result=3","7148315")</f>
        <v>0</v>
      </c>
      <c r="B9191" t="s">
        <v>2418</v>
      </c>
      <c r="C9191" t="s">
        <v>12554</v>
      </c>
      <c r="D9191" t="s">
        <v>19027</v>
      </c>
      <c r="E9191" t="s">
        <v>27050</v>
      </c>
      <c r="F9191" t="s">
        <v>32831</v>
      </c>
      <c r="G9191" t="s">
        <v>32839</v>
      </c>
      <c r="H9191" t="s">
        <v>32848</v>
      </c>
      <c r="I9191" t="s">
        <v>4558</v>
      </c>
      <c r="J9191" t="s">
        <v>38673</v>
      </c>
      <c r="K9191" t="s">
        <v>42732</v>
      </c>
      <c r="M9191" t="s">
        <v>45613</v>
      </c>
      <c r="N9191" t="s">
        <v>47424</v>
      </c>
      <c r="O9191" t="s">
        <v>47425</v>
      </c>
      <c r="P9191">
        <v>0</v>
      </c>
      <c r="Q9191">
        <v>1</v>
      </c>
      <c r="R9191" t="s">
        <v>47433</v>
      </c>
      <c r="S9191" t="s">
        <v>47633</v>
      </c>
      <c r="T9191" t="s">
        <v>49243</v>
      </c>
      <c r="U9191" t="s">
        <v>57277</v>
      </c>
      <c r="V9191" t="s">
        <v>63379</v>
      </c>
      <c r="W9191" t="s">
        <v>45613</v>
      </c>
      <c r="X9191" t="s">
        <v>47437</v>
      </c>
    </row>
    <row r="9192" spans="1:24">
      <c r="A9192">
        <f>HYPERLINK("https://www.philgeps.gov.ph/GEPSNONPILOT/Tender/SplashBidNoticeAbstractUI.aspx?menuIndex=3&amp;refID=7147409&amp;Result=3","7147409")</f>
        <v>0</v>
      </c>
      <c r="B9192" t="s">
        <v>108</v>
      </c>
      <c r="C9192" t="s">
        <v>12555</v>
      </c>
      <c r="D9192" t="s">
        <v>19058</v>
      </c>
      <c r="E9192" t="s">
        <v>27051</v>
      </c>
      <c r="F9192" t="s">
        <v>32831</v>
      </c>
      <c r="G9192" t="s">
        <v>32838</v>
      </c>
      <c r="H9192" t="s">
        <v>32848</v>
      </c>
      <c r="I9192" t="s">
        <v>32874</v>
      </c>
      <c r="J9192" t="s">
        <v>33868</v>
      </c>
      <c r="K9192" t="s">
        <v>42732</v>
      </c>
      <c r="M9192" t="s">
        <v>43105</v>
      </c>
      <c r="N9192" t="s">
        <v>47424</v>
      </c>
      <c r="O9192" t="s">
        <v>47425</v>
      </c>
      <c r="P9192">
        <v>0</v>
      </c>
      <c r="Q9192">
        <v>6</v>
      </c>
      <c r="R9192" t="s">
        <v>47433</v>
      </c>
      <c r="S9192" t="s">
        <v>47633</v>
      </c>
      <c r="T9192" t="s">
        <v>49243</v>
      </c>
      <c r="U9192" t="s">
        <v>56548</v>
      </c>
      <c r="W9192" t="s">
        <v>43105</v>
      </c>
      <c r="X9192" t="s">
        <v>47438</v>
      </c>
    </row>
    <row r="9193" spans="1:24">
      <c r="A9193">
        <f>HYPERLINK("https://www.philgeps.gov.ph/GEPSNONPILOT/Tender/SplashBidNoticeAbstractUI.aspx?menuIndex=3&amp;refID=7147780&amp;Result=3","7147780")</f>
        <v>0</v>
      </c>
      <c r="B9193" t="s">
        <v>317</v>
      </c>
      <c r="C9193" t="s">
        <v>12556</v>
      </c>
      <c r="D9193" t="s">
        <v>19020</v>
      </c>
      <c r="E9193" t="s">
        <v>27052</v>
      </c>
      <c r="F9193" t="s">
        <v>32831</v>
      </c>
      <c r="G9193" t="s">
        <v>32839</v>
      </c>
      <c r="H9193" t="s">
        <v>32848</v>
      </c>
      <c r="I9193" t="s">
        <v>4558</v>
      </c>
      <c r="J9193" t="s">
        <v>32983</v>
      </c>
      <c r="K9193" t="s">
        <v>42779</v>
      </c>
      <c r="M9193" t="s">
        <v>43319</v>
      </c>
      <c r="N9193" t="s">
        <v>47424</v>
      </c>
      <c r="O9193" t="s">
        <v>47425</v>
      </c>
      <c r="P9193">
        <v>0</v>
      </c>
      <c r="Q9193">
        <v>0</v>
      </c>
      <c r="R9193" t="s">
        <v>47433</v>
      </c>
      <c r="S9193" t="s">
        <v>47633</v>
      </c>
      <c r="T9193" t="s">
        <v>49068</v>
      </c>
      <c r="U9193" t="s">
        <v>57278</v>
      </c>
      <c r="V9193" t="s">
        <v>62682</v>
      </c>
      <c r="W9193" t="s">
        <v>43319</v>
      </c>
      <c r="X9193" t="s">
        <v>47438</v>
      </c>
    </row>
    <row r="9194" spans="1:24">
      <c r="A9194">
        <f>HYPERLINK("https://www.philgeps.gov.ph/GEPSNONPILOT/Tender/SplashBidNoticeAbstractUI.aspx?menuIndex=3&amp;refID=7148294&amp;Result=3","7148294")</f>
        <v>0</v>
      </c>
      <c r="B9194" t="s">
        <v>721</v>
      </c>
      <c r="C9194" t="s">
        <v>12557</v>
      </c>
      <c r="D9194" t="s">
        <v>19018</v>
      </c>
      <c r="E9194" t="s">
        <v>27053</v>
      </c>
      <c r="F9194" t="s">
        <v>32831</v>
      </c>
      <c r="G9194" t="s">
        <v>32838</v>
      </c>
      <c r="H9194" t="s">
        <v>32848</v>
      </c>
      <c r="I9194" t="s">
        <v>4303</v>
      </c>
      <c r="J9194" t="s">
        <v>38674</v>
      </c>
      <c r="K9194" t="s">
        <v>42732</v>
      </c>
      <c r="M9194" t="s">
        <v>43742</v>
      </c>
      <c r="N9194" t="s">
        <v>47424</v>
      </c>
      <c r="O9194" t="s">
        <v>47425</v>
      </c>
      <c r="P9194">
        <v>0</v>
      </c>
      <c r="Q9194">
        <v>0</v>
      </c>
      <c r="R9194" t="s">
        <v>47433</v>
      </c>
      <c r="S9194" t="s">
        <v>47633</v>
      </c>
      <c r="T9194" t="s">
        <v>49328</v>
      </c>
      <c r="U9194" t="s">
        <v>56573</v>
      </c>
      <c r="W9194" t="s">
        <v>43742</v>
      </c>
      <c r="X9194" t="s">
        <v>47437</v>
      </c>
    </row>
    <row r="9195" spans="1:24">
      <c r="A9195">
        <f>HYPERLINK("https://www.philgeps.gov.ph/GEPSNONPILOT/Tender/SplashBidNoticeAbstractUI.aspx?menuIndex=3&amp;refID=7147597&amp;Result=3","7147597")</f>
        <v>0</v>
      </c>
      <c r="B9195" t="s">
        <v>108</v>
      </c>
      <c r="C9195" t="s">
        <v>12558</v>
      </c>
      <c r="D9195" t="s">
        <v>19058</v>
      </c>
      <c r="E9195" t="s">
        <v>27054</v>
      </c>
      <c r="F9195" t="s">
        <v>32831</v>
      </c>
      <c r="G9195" t="s">
        <v>32839</v>
      </c>
      <c r="H9195" t="s">
        <v>32848</v>
      </c>
      <c r="I9195" t="s">
        <v>7416</v>
      </c>
      <c r="J9195" t="s">
        <v>38675</v>
      </c>
      <c r="K9195" t="s">
        <v>42732</v>
      </c>
      <c r="M9195" t="s">
        <v>43105</v>
      </c>
      <c r="N9195" t="s">
        <v>47424</v>
      </c>
      <c r="O9195" t="s">
        <v>47425</v>
      </c>
      <c r="P9195">
        <v>0</v>
      </c>
      <c r="Q9195">
        <v>0</v>
      </c>
      <c r="R9195" t="s">
        <v>47433</v>
      </c>
      <c r="S9195" t="s">
        <v>47633</v>
      </c>
      <c r="T9195" t="s">
        <v>49243</v>
      </c>
      <c r="U9195" t="s">
        <v>57279</v>
      </c>
      <c r="W9195" t="s">
        <v>43105</v>
      </c>
      <c r="X9195" t="s">
        <v>47438</v>
      </c>
    </row>
    <row r="9196" spans="1:24">
      <c r="A9196">
        <f>HYPERLINK("https://www.philgeps.gov.ph/GEPSNONPILOT/Tender/SplashBidNoticeAbstractUI.aspx?menuIndex=3&amp;refID=7147564&amp;Result=3","7147564")</f>
        <v>0</v>
      </c>
      <c r="B9196" t="s">
        <v>108</v>
      </c>
      <c r="C9196" t="s">
        <v>12559</v>
      </c>
      <c r="D9196" t="s">
        <v>19058</v>
      </c>
      <c r="E9196" t="s">
        <v>27055</v>
      </c>
      <c r="F9196" t="s">
        <v>32831</v>
      </c>
      <c r="G9196" t="s">
        <v>32839</v>
      </c>
      <c r="H9196" t="s">
        <v>32848</v>
      </c>
      <c r="I9196" t="s">
        <v>7416</v>
      </c>
      <c r="J9196" t="s">
        <v>38676</v>
      </c>
      <c r="K9196" t="s">
        <v>42732</v>
      </c>
      <c r="M9196" t="s">
        <v>43105</v>
      </c>
      <c r="N9196" t="s">
        <v>47424</v>
      </c>
      <c r="O9196" t="s">
        <v>47425</v>
      </c>
      <c r="P9196">
        <v>0</v>
      </c>
      <c r="Q9196">
        <v>0</v>
      </c>
      <c r="R9196" t="s">
        <v>47433</v>
      </c>
      <c r="S9196" t="s">
        <v>47633</v>
      </c>
      <c r="T9196" t="s">
        <v>49243</v>
      </c>
      <c r="U9196" t="s">
        <v>57280</v>
      </c>
      <c r="W9196" t="s">
        <v>43105</v>
      </c>
      <c r="X9196" t="s">
        <v>47438</v>
      </c>
    </row>
    <row r="9197" spans="1:24">
      <c r="A9197">
        <f>HYPERLINK("https://www.philgeps.gov.ph/GEPSNONPILOT/Tender/SplashBidNoticeAbstractUI.aspx?menuIndex=3&amp;refID=7147562&amp;Result=3","7147562")</f>
        <v>0</v>
      </c>
      <c r="B9197" t="s">
        <v>2960</v>
      </c>
      <c r="C9197" t="s">
        <v>12560</v>
      </c>
      <c r="D9197" t="s">
        <v>19019</v>
      </c>
      <c r="E9197" t="s">
        <v>27056</v>
      </c>
      <c r="F9197" t="s">
        <v>32831</v>
      </c>
      <c r="G9197" t="s">
        <v>32839</v>
      </c>
      <c r="H9197" t="s">
        <v>32848</v>
      </c>
      <c r="I9197" t="s">
        <v>32856</v>
      </c>
      <c r="J9197" t="s">
        <v>38677</v>
      </c>
      <c r="K9197" t="s">
        <v>42727</v>
      </c>
      <c r="M9197" t="s">
        <v>46222</v>
      </c>
      <c r="N9197" t="s">
        <v>47424</v>
      </c>
      <c r="O9197" t="s">
        <v>47425</v>
      </c>
      <c r="P9197">
        <v>0</v>
      </c>
      <c r="Q9197">
        <v>3</v>
      </c>
      <c r="R9197" t="s">
        <v>47433</v>
      </c>
      <c r="S9197" t="s">
        <v>47633</v>
      </c>
      <c r="T9197" t="s">
        <v>49112</v>
      </c>
      <c r="U9197" t="s">
        <v>57281</v>
      </c>
      <c r="W9197" t="s">
        <v>46222</v>
      </c>
      <c r="X9197" t="s">
        <v>47438</v>
      </c>
    </row>
    <row r="9198" spans="1:24">
      <c r="A9198">
        <f>HYPERLINK("https://www.philgeps.gov.ph/GEPSNONPILOT/Tender/SplashBidNoticeAbstractUI.aspx?menuIndex=3&amp;refID=7147762&amp;Result=3","7147762")</f>
        <v>0</v>
      </c>
      <c r="B9198" t="s">
        <v>317</v>
      </c>
      <c r="C9198" t="s">
        <v>12561</v>
      </c>
      <c r="D9198" t="s">
        <v>19020</v>
      </c>
      <c r="E9198" t="s">
        <v>27057</v>
      </c>
      <c r="F9198" t="s">
        <v>32831</v>
      </c>
      <c r="G9198" t="s">
        <v>32839</v>
      </c>
      <c r="H9198" t="s">
        <v>32848</v>
      </c>
      <c r="I9198" t="s">
        <v>4776</v>
      </c>
      <c r="J9198" t="s">
        <v>33626</v>
      </c>
      <c r="K9198" t="s">
        <v>42779</v>
      </c>
      <c r="M9198" t="s">
        <v>43319</v>
      </c>
      <c r="N9198" t="s">
        <v>47424</v>
      </c>
      <c r="O9198" t="s">
        <v>47425</v>
      </c>
      <c r="P9198">
        <v>0</v>
      </c>
      <c r="Q9198">
        <v>2</v>
      </c>
      <c r="R9198" t="s">
        <v>47433</v>
      </c>
      <c r="S9198" t="s">
        <v>47633</v>
      </c>
      <c r="T9198" t="s">
        <v>49068</v>
      </c>
      <c r="U9198" t="s">
        <v>57282</v>
      </c>
      <c r="V9198" t="s">
        <v>62682</v>
      </c>
      <c r="W9198" t="s">
        <v>43319</v>
      </c>
      <c r="X9198" t="s">
        <v>47438</v>
      </c>
    </row>
    <row r="9199" spans="1:24">
      <c r="A9199">
        <f>HYPERLINK("https://www.philgeps.gov.ph/GEPSNONPILOT/Tender/SplashBidNoticeAbstractUI.aspx?menuIndex=3&amp;refID=7148301&amp;Result=3","7148301")</f>
        <v>0</v>
      </c>
      <c r="B9199" t="s">
        <v>2418</v>
      </c>
      <c r="C9199" t="s">
        <v>12562</v>
      </c>
      <c r="D9199" t="s">
        <v>19027</v>
      </c>
      <c r="E9199" t="s">
        <v>27058</v>
      </c>
      <c r="F9199" t="s">
        <v>32831</v>
      </c>
      <c r="G9199" t="s">
        <v>32839</v>
      </c>
      <c r="H9199" t="s">
        <v>32848</v>
      </c>
      <c r="I9199" t="s">
        <v>32862</v>
      </c>
      <c r="J9199" t="s">
        <v>38678</v>
      </c>
      <c r="K9199" t="s">
        <v>42732</v>
      </c>
      <c r="M9199" t="s">
        <v>45613</v>
      </c>
      <c r="N9199" t="s">
        <v>47424</v>
      </c>
      <c r="O9199" t="s">
        <v>47425</v>
      </c>
      <c r="P9199">
        <v>0</v>
      </c>
      <c r="Q9199">
        <v>1</v>
      </c>
      <c r="R9199" t="s">
        <v>47433</v>
      </c>
      <c r="S9199" t="s">
        <v>47633</v>
      </c>
      <c r="T9199" t="s">
        <v>49243</v>
      </c>
      <c r="U9199" t="s">
        <v>57283</v>
      </c>
      <c r="V9199" t="s">
        <v>63379</v>
      </c>
      <c r="W9199" t="s">
        <v>45613</v>
      </c>
      <c r="X9199" t="s">
        <v>47437</v>
      </c>
    </row>
    <row r="9200" spans="1:24">
      <c r="A9200">
        <f>HYPERLINK("https://www.philgeps.gov.ph/GEPSNONPILOT/Tender/SplashBidNoticeAbstractUI.aspx?menuIndex=3&amp;refID=7146796&amp;Result=3","7146796")</f>
        <v>0</v>
      </c>
      <c r="B9200" t="s">
        <v>1823</v>
      </c>
      <c r="C9200" t="s">
        <v>12563</v>
      </c>
      <c r="D9200" t="s">
        <v>19100</v>
      </c>
      <c r="E9200" t="s">
        <v>27059</v>
      </c>
      <c r="F9200" t="s">
        <v>32831</v>
      </c>
      <c r="G9200" t="s">
        <v>32839</v>
      </c>
      <c r="H9200" t="s">
        <v>32848</v>
      </c>
      <c r="I9200" t="s">
        <v>4487</v>
      </c>
      <c r="J9200" t="s">
        <v>38679</v>
      </c>
      <c r="K9200" t="s">
        <v>42732</v>
      </c>
      <c r="M9200" t="s">
        <v>46219</v>
      </c>
      <c r="N9200" t="s">
        <v>47424</v>
      </c>
      <c r="O9200" t="s">
        <v>47425</v>
      </c>
      <c r="P9200">
        <v>0</v>
      </c>
      <c r="Q9200">
        <v>0</v>
      </c>
      <c r="R9200" t="s">
        <v>47433</v>
      </c>
      <c r="S9200" t="s">
        <v>47633</v>
      </c>
      <c r="T9200" t="s">
        <v>49243</v>
      </c>
      <c r="U9200" t="s">
        <v>57284</v>
      </c>
      <c r="W9200" t="s">
        <v>64529</v>
      </c>
      <c r="X9200" t="s">
        <v>47438</v>
      </c>
    </row>
    <row r="9201" spans="1:24">
      <c r="A9201">
        <f>HYPERLINK("https://www.philgeps.gov.ph/GEPSNONPILOT/Tender/SplashBidNoticeAbstractUI.aspx?menuIndex=3&amp;refID=7147545&amp;Result=3","7147545")</f>
        <v>0</v>
      </c>
      <c r="B9201" t="s">
        <v>108</v>
      </c>
      <c r="C9201" t="s">
        <v>12564</v>
      </c>
      <c r="D9201" t="s">
        <v>19058</v>
      </c>
      <c r="E9201" t="s">
        <v>27060</v>
      </c>
      <c r="F9201" t="s">
        <v>32831</v>
      </c>
      <c r="G9201" t="s">
        <v>32839</v>
      </c>
      <c r="H9201" t="s">
        <v>32848</v>
      </c>
      <c r="I9201" t="s">
        <v>7416</v>
      </c>
      <c r="J9201" t="s">
        <v>38680</v>
      </c>
      <c r="K9201" t="s">
        <v>42732</v>
      </c>
      <c r="M9201" t="s">
        <v>43105</v>
      </c>
      <c r="N9201" t="s">
        <v>47424</v>
      </c>
      <c r="O9201" t="s">
        <v>47425</v>
      </c>
      <c r="P9201">
        <v>0</v>
      </c>
      <c r="Q9201">
        <v>0</v>
      </c>
      <c r="R9201" t="s">
        <v>47433</v>
      </c>
      <c r="S9201" t="s">
        <v>47633</v>
      </c>
      <c r="T9201" t="s">
        <v>49243</v>
      </c>
      <c r="U9201" t="s">
        <v>57285</v>
      </c>
      <c r="W9201" t="s">
        <v>43105</v>
      </c>
      <c r="X9201" t="s">
        <v>47438</v>
      </c>
    </row>
    <row r="9202" spans="1:24">
      <c r="A9202">
        <f>HYPERLINK("https://www.philgeps.gov.ph/GEPSNONPILOT/Tender/SplashBidNoticeAbstractUI.aspx?menuIndex=3&amp;refID=7146752&amp;Result=3","7146752")</f>
        <v>0</v>
      </c>
      <c r="B9202" t="s">
        <v>1823</v>
      </c>
      <c r="C9202" t="s">
        <v>12565</v>
      </c>
      <c r="D9202" t="s">
        <v>19100</v>
      </c>
      <c r="E9202" t="s">
        <v>27061</v>
      </c>
      <c r="F9202" t="s">
        <v>32831</v>
      </c>
      <c r="G9202" t="s">
        <v>32839</v>
      </c>
      <c r="H9202" t="s">
        <v>32848</v>
      </c>
      <c r="I9202" t="s">
        <v>4776</v>
      </c>
      <c r="J9202" t="s">
        <v>35970</v>
      </c>
      <c r="K9202" t="s">
        <v>42732</v>
      </c>
      <c r="M9202" t="s">
        <v>46219</v>
      </c>
      <c r="N9202" t="s">
        <v>47424</v>
      </c>
      <c r="O9202" t="s">
        <v>47425</v>
      </c>
      <c r="P9202">
        <v>0</v>
      </c>
      <c r="Q9202">
        <v>0</v>
      </c>
      <c r="R9202" t="s">
        <v>47433</v>
      </c>
      <c r="S9202" t="s">
        <v>47633</v>
      </c>
      <c r="T9202" t="s">
        <v>49243</v>
      </c>
      <c r="U9202" t="s">
        <v>57286</v>
      </c>
      <c r="W9202" t="s">
        <v>64529</v>
      </c>
      <c r="X9202" t="s">
        <v>47438</v>
      </c>
    </row>
    <row r="9203" spans="1:24">
      <c r="A9203">
        <f>HYPERLINK("https://www.philgeps.gov.ph/GEPSNONPILOT/Tender/SplashBidNoticeAbstractUI.aspx?menuIndex=3&amp;refID=7147576&amp;Result=3","7147576")</f>
        <v>0</v>
      </c>
      <c r="B9203" t="s">
        <v>108</v>
      </c>
      <c r="C9203" t="s">
        <v>12566</v>
      </c>
      <c r="D9203" t="s">
        <v>19058</v>
      </c>
      <c r="E9203" t="s">
        <v>27062</v>
      </c>
      <c r="F9203" t="s">
        <v>32831</v>
      </c>
      <c r="G9203" t="s">
        <v>32839</v>
      </c>
      <c r="H9203" t="s">
        <v>32848</v>
      </c>
      <c r="I9203" t="s">
        <v>7416</v>
      </c>
      <c r="J9203" t="s">
        <v>38681</v>
      </c>
      <c r="K9203" t="s">
        <v>42732</v>
      </c>
      <c r="M9203" t="s">
        <v>43105</v>
      </c>
      <c r="N9203" t="s">
        <v>47424</v>
      </c>
      <c r="O9203" t="s">
        <v>47425</v>
      </c>
      <c r="P9203">
        <v>0</v>
      </c>
      <c r="Q9203">
        <v>0</v>
      </c>
      <c r="R9203" t="s">
        <v>47433</v>
      </c>
      <c r="S9203" t="s">
        <v>47633</v>
      </c>
      <c r="T9203" t="s">
        <v>49243</v>
      </c>
      <c r="U9203" t="s">
        <v>57287</v>
      </c>
      <c r="W9203" t="s">
        <v>43105</v>
      </c>
      <c r="X9203" t="s">
        <v>47438</v>
      </c>
    </row>
    <row r="9204" spans="1:24">
      <c r="A9204">
        <f>HYPERLINK("https://www.philgeps.gov.ph/GEPSNONPILOT/Tender/SplashBidNoticeAbstractUI.aspx?menuIndex=3&amp;refID=7146726&amp;Result=3","7146726")</f>
        <v>0</v>
      </c>
      <c r="B9204" t="s">
        <v>1823</v>
      </c>
      <c r="C9204" t="s">
        <v>12567</v>
      </c>
      <c r="D9204" t="s">
        <v>19100</v>
      </c>
      <c r="E9204" t="s">
        <v>27036</v>
      </c>
      <c r="F9204" t="s">
        <v>32831</v>
      </c>
      <c r="G9204" t="s">
        <v>32839</v>
      </c>
      <c r="H9204" t="s">
        <v>32848</v>
      </c>
      <c r="I9204" t="s">
        <v>7416</v>
      </c>
      <c r="J9204" t="s">
        <v>38682</v>
      </c>
      <c r="K9204" t="s">
        <v>42732</v>
      </c>
      <c r="M9204" t="s">
        <v>46219</v>
      </c>
      <c r="N9204" t="s">
        <v>47424</v>
      </c>
      <c r="O9204" t="s">
        <v>47425</v>
      </c>
      <c r="P9204">
        <v>0</v>
      </c>
      <c r="Q9204">
        <v>0</v>
      </c>
      <c r="R9204" t="s">
        <v>47433</v>
      </c>
      <c r="S9204" t="s">
        <v>47633</v>
      </c>
      <c r="T9204" t="s">
        <v>49243</v>
      </c>
      <c r="U9204" t="s">
        <v>57288</v>
      </c>
      <c r="W9204" t="s">
        <v>64529</v>
      </c>
      <c r="X9204" t="s">
        <v>47438</v>
      </c>
    </row>
    <row r="9205" spans="1:24">
      <c r="A9205">
        <f>HYPERLINK("https://www.philgeps.gov.ph/GEPSNONPILOT/Tender/SplashBidNoticeAbstractUI.aspx?menuIndex=3&amp;refID=7145464&amp;Result=3","7145464")</f>
        <v>0</v>
      </c>
      <c r="B9205" t="s">
        <v>2961</v>
      </c>
      <c r="C9205" t="s">
        <v>12568</v>
      </c>
      <c r="D9205" t="s">
        <v>19027</v>
      </c>
      <c r="E9205" t="s">
        <v>27063</v>
      </c>
      <c r="F9205" t="s">
        <v>32831</v>
      </c>
      <c r="G9205" t="s">
        <v>32839</v>
      </c>
      <c r="H9205" t="s">
        <v>32848</v>
      </c>
      <c r="I9205" t="s">
        <v>32855</v>
      </c>
      <c r="J9205" t="s">
        <v>33083</v>
      </c>
      <c r="K9205" t="s">
        <v>42727</v>
      </c>
      <c r="M9205" t="s">
        <v>46223</v>
      </c>
      <c r="N9205" t="s">
        <v>47424</v>
      </c>
      <c r="O9205" t="s">
        <v>47425</v>
      </c>
      <c r="P9205">
        <v>0</v>
      </c>
      <c r="Q9205">
        <v>9</v>
      </c>
      <c r="R9205" t="s">
        <v>47433</v>
      </c>
      <c r="S9205" t="s">
        <v>47633</v>
      </c>
      <c r="T9205" t="s">
        <v>49236</v>
      </c>
      <c r="U9205" t="s">
        <v>57289</v>
      </c>
      <c r="V9205" t="s">
        <v>63636</v>
      </c>
      <c r="W9205" t="s">
        <v>46223</v>
      </c>
      <c r="X9205" t="s">
        <v>47438</v>
      </c>
    </row>
    <row r="9206" spans="1:24">
      <c r="A9206">
        <f>HYPERLINK("https://www.philgeps.gov.ph/GEPSNONPILOT/Tender/SplashBidNoticeAbstractUI.aspx?menuIndex=3&amp;refID=7146778&amp;Result=3","7146778")</f>
        <v>0</v>
      </c>
      <c r="B9206" t="s">
        <v>2428</v>
      </c>
      <c r="C9206" t="s">
        <v>12569</v>
      </c>
      <c r="D9206" t="s">
        <v>19036</v>
      </c>
      <c r="E9206" t="s">
        <v>27064</v>
      </c>
      <c r="F9206" t="s">
        <v>32831</v>
      </c>
      <c r="G9206" t="s">
        <v>32839</v>
      </c>
      <c r="H9206" t="s">
        <v>32849</v>
      </c>
      <c r="I9206" t="s">
        <v>4177</v>
      </c>
      <c r="J9206" t="s">
        <v>38683</v>
      </c>
      <c r="K9206" t="s">
        <v>42747</v>
      </c>
      <c r="M9206" t="s">
        <v>45625</v>
      </c>
      <c r="N9206" t="s">
        <v>47424</v>
      </c>
      <c r="O9206" t="s">
        <v>47425</v>
      </c>
      <c r="P9206">
        <v>0</v>
      </c>
      <c r="Q9206">
        <v>0</v>
      </c>
      <c r="R9206" t="s">
        <v>47433</v>
      </c>
      <c r="S9206" t="s">
        <v>47633</v>
      </c>
      <c r="T9206" t="s">
        <v>49204</v>
      </c>
      <c r="U9206" t="s">
        <v>57290</v>
      </c>
      <c r="W9206" t="s">
        <v>45625</v>
      </c>
      <c r="X9206" t="s">
        <v>47438</v>
      </c>
    </row>
    <row r="9207" spans="1:24">
      <c r="A9207">
        <f>HYPERLINK("https://www.philgeps.gov.ph/GEPSNONPILOT/Tender/SplashBidNoticeAbstractUI.aspx?menuIndex=3&amp;refID=7145333&amp;Result=3","7145333")</f>
        <v>0</v>
      </c>
      <c r="B9207" t="s">
        <v>2568</v>
      </c>
      <c r="C9207" t="s">
        <v>12570</v>
      </c>
      <c r="D9207" t="s">
        <v>19073</v>
      </c>
      <c r="E9207" t="s">
        <v>27065</v>
      </c>
      <c r="F9207" t="s">
        <v>32831</v>
      </c>
      <c r="G9207" t="s">
        <v>32838</v>
      </c>
      <c r="H9207" t="s">
        <v>32848</v>
      </c>
      <c r="I9207" t="s">
        <v>4776</v>
      </c>
      <c r="J9207" t="s">
        <v>38684</v>
      </c>
      <c r="K9207" t="s">
        <v>42732</v>
      </c>
      <c r="M9207" t="s">
        <v>45784</v>
      </c>
      <c r="N9207" t="s">
        <v>47424</v>
      </c>
      <c r="O9207" t="s">
        <v>47425</v>
      </c>
      <c r="P9207">
        <v>0</v>
      </c>
      <c r="Q9207">
        <v>0</v>
      </c>
      <c r="R9207" t="s">
        <v>47433</v>
      </c>
      <c r="S9207" t="s">
        <v>47633</v>
      </c>
      <c r="T9207" t="s">
        <v>49059</v>
      </c>
      <c r="U9207" t="s">
        <v>57291</v>
      </c>
      <c r="W9207" t="s">
        <v>45784</v>
      </c>
      <c r="X9207" t="s">
        <v>47438</v>
      </c>
    </row>
    <row r="9208" spans="1:24">
      <c r="A9208">
        <f>HYPERLINK("https://www.philgeps.gov.ph/GEPSNONPILOT/Tender/SplashBidNoticeAbstractUI.aspx?menuIndex=3&amp;refID=7146890&amp;Result=3","7146890")</f>
        <v>0</v>
      </c>
      <c r="B9208" t="s">
        <v>2953</v>
      </c>
      <c r="C9208" t="s">
        <v>12571</v>
      </c>
      <c r="D9208" t="s">
        <v>19051</v>
      </c>
      <c r="E9208" t="s">
        <v>27066</v>
      </c>
      <c r="F9208" t="s">
        <v>32831</v>
      </c>
      <c r="G9208" t="s">
        <v>32839</v>
      </c>
      <c r="H9208" t="s">
        <v>32849</v>
      </c>
      <c r="I9208" t="s">
        <v>4177</v>
      </c>
      <c r="J9208" t="s">
        <v>38685</v>
      </c>
      <c r="K9208" t="s">
        <v>42790</v>
      </c>
      <c r="M9208" t="s">
        <v>46213</v>
      </c>
      <c r="N9208" t="s">
        <v>47424</v>
      </c>
      <c r="O9208" t="s">
        <v>47425</v>
      </c>
      <c r="P9208">
        <v>0</v>
      </c>
      <c r="Q9208">
        <v>0</v>
      </c>
      <c r="R9208" t="s">
        <v>47433</v>
      </c>
      <c r="S9208" t="s">
        <v>47633</v>
      </c>
      <c r="T9208" t="s">
        <v>49221</v>
      </c>
      <c r="U9208" t="s">
        <v>57292</v>
      </c>
      <c r="W9208" t="s">
        <v>46213</v>
      </c>
      <c r="X9208" t="s">
        <v>47438</v>
      </c>
    </row>
    <row r="9209" spans="1:24">
      <c r="A9209">
        <f>HYPERLINK("https://www.philgeps.gov.ph/GEPSNONPILOT/Tender/SplashBidNoticeAbstractUI.aspx?menuIndex=3&amp;refID=7146546&amp;Result=3","7146546")</f>
        <v>0</v>
      </c>
      <c r="B9209" t="s">
        <v>2953</v>
      </c>
      <c r="C9209" t="s">
        <v>12572</v>
      </c>
      <c r="D9209" t="s">
        <v>19051</v>
      </c>
      <c r="E9209" t="s">
        <v>27067</v>
      </c>
      <c r="F9209" t="s">
        <v>32831</v>
      </c>
      <c r="G9209" t="s">
        <v>32839</v>
      </c>
      <c r="H9209" t="s">
        <v>32849</v>
      </c>
      <c r="I9209" t="s">
        <v>4177</v>
      </c>
      <c r="J9209" t="s">
        <v>38686</v>
      </c>
      <c r="K9209" t="s">
        <v>42729</v>
      </c>
      <c r="M9209" t="s">
        <v>46213</v>
      </c>
      <c r="N9209" t="s">
        <v>47424</v>
      </c>
      <c r="O9209" t="s">
        <v>47425</v>
      </c>
      <c r="P9209">
        <v>0</v>
      </c>
      <c r="Q9209">
        <v>0</v>
      </c>
      <c r="R9209" t="s">
        <v>47433</v>
      </c>
      <c r="S9209" t="s">
        <v>47633</v>
      </c>
      <c r="T9209" t="s">
        <v>49221</v>
      </c>
      <c r="U9209" t="s">
        <v>57293</v>
      </c>
      <c r="W9209" t="s">
        <v>46213</v>
      </c>
      <c r="X9209" t="s">
        <v>47438</v>
      </c>
    </row>
    <row r="9210" spans="1:24">
      <c r="A9210">
        <f>HYPERLINK("https://www.philgeps.gov.ph/GEPSNONPILOT/Tender/SplashBidNoticeAbstractUI.aspx?menuIndex=3&amp;refID=7148844&amp;Result=3","7148844")</f>
        <v>0</v>
      </c>
      <c r="B9210" t="s">
        <v>2962</v>
      </c>
      <c r="C9210" t="s">
        <v>12573</v>
      </c>
      <c r="D9210" t="s">
        <v>19044</v>
      </c>
      <c r="E9210" t="s">
        <v>19219</v>
      </c>
      <c r="F9210" t="s">
        <v>32831</v>
      </c>
      <c r="G9210" t="s">
        <v>32839</v>
      </c>
      <c r="H9210" t="s">
        <v>32848</v>
      </c>
      <c r="I9210" t="s">
        <v>7416</v>
      </c>
      <c r="J9210" t="s">
        <v>38687</v>
      </c>
      <c r="K9210" t="s">
        <v>42730</v>
      </c>
      <c r="M9210" t="s">
        <v>46224</v>
      </c>
      <c r="N9210" t="s">
        <v>47424</v>
      </c>
      <c r="O9210" t="s">
        <v>47425</v>
      </c>
      <c r="P9210">
        <v>0</v>
      </c>
      <c r="Q9210">
        <v>0</v>
      </c>
      <c r="R9210" t="s">
        <v>47433</v>
      </c>
      <c r="S9210" t="s">
        <v>47633</v>
      </c>
      <c r="T9210" t="s">
        <v>49212</v>
      </c>
      <c r="U9210" t="s">
        <v>51857</v>
      </c>
      <c r="V9210" t="s">
        <v>62896</v>
      </c>
      <c r="W9210" t="s">
        <v>46224</v>
      </c>
      <c r="X9210" t="s">
        <v>47436</v>
      </c>
    </row>
    <row r="9211" spans="1:24">
      <c r="A9211">
        <f>HYPERLINK("https://www.philgeps.gov.ph/GEPSNONPILOT/Tender/SplashBidNoticeAbstractUI.aspx?menuIndex=3&amp;refID=7148302&amp;Result=3","7148302")</f>
        <v>0</v>
      </c>
      <c r="B9211" t="s">
        <v>2418</v>
      </c>
      <c r="C9211" t="s">
        <v>12574</v>
      </c>
      <c r="D9211" t="s">
        <v>19027</v>
      </c>
      <c r="E9211" t="s">
        <v>27068</v>
      </c>
      <c r="F9211" t="s">
        <v>32831</v>
      </c>
      <c r="G9211" t="s">
        <v>32839</v>
      </c>
      <c r="H9211" t="s">
        <v>32848</v>
      </c>
      <c r="I9211" t="s">
        <v>32852</v>
      </c>
      <c r="J9211" t="s">
        <v>38688</v>
      </c>
      <c r="K9211" t="s">
        <v>42732</v>
      </c>
      <c r="M9211" t="s">
        <v>45613</v>
      </c>
      <c r="N9211" t="s">
        <v>47424</v>
      </c>
      <c r="O9211" t="s">
        <v>47425</v>
      </c>
      <c r="P9211">
        <v>0</v>
      </c>
      <c r="Q9211">
        <v>1</v>
      </c>
      <c r="R9211" t="s">
        <v>47433</v>
      </c>
      <c r="S9211" t="s">
        <v>47633</v>
      </c>
      <c r="T9211" t="s">
        <v>49243</v>
      </c>
      <c r="U9211" t="s">
        <v>57294</v>
      </c>
      <c r="V9211" t="s">
        <v>63635</v>
      </c>
      <c r="W9211" t="s">
        <v>45613</v>
      </c>
      <c r="X9211" t="s">
        <v>47437</v>
      </c>
    </row>
    <row r="9212" spans="1:24">
      <c r="A9212">
        <f>HYPERLINK("https://www.philgeps.gov.ph/GEPSNONPILOT/Tender/SplashBidNoticeAbstractUI.aspx?menuIndex=3&amp;refID=7148812&amp;Result=3","7148812")</f>
        <v>0</v>
      </c>
      <c r="B9212" t="s">
        <v>1612</v>
      </c>
      <c r="C9212" t="s">
        <v>12575</v>
      </c>
      <c r="D9212" t="s">
        <v>19049</v>
      </c>
      <c r="E9212" t="s">
        <v>27069</v>
      </c>
      <c r="F9212" t="s">
        <v>32831</v>
      </c>
      <c r="G9212" t="s">
        <v>32841</v>
      </c>
      <c r="H9212" t="s">
        <v>32848</v>
      </c>
      <c r="I9212" t="s">
        <v>4776</v>
      </c>
      <c r="J9212" t="s">
        <v>38689</v>
      </c>
      <c r="K9212" t="s">
        <v>42729</v>
      </c>
      <c r="M9212" t="s">
        <v>44728</v>
      </c>
      <c r="N9212" t="s">
        <v>47424</v>
      </c>
      <c r="O9212" t="s">
        <v>47425</v>
      </c>
      <c r="P9212">
        <v>0</v>
      </c>
      <c r="Q9212">
        <v>7</v>
      </c>
      <c r="R9212" t="s">
        <v>47433</v>
      </c>
      <c r="S9212" t="s">
        <v>47633</v>
      </c>
      <c r="T9212" t="s">
        <v>49135</v>
      </c>
      <c r="U9212" t="s">
        <v>57295</v>
      </c>
      <c r="V9212" t="s">
        <v>63637</v>
      </c>
      <c r="W9212" t="s">
        <v>44728</v>
      </c>
      <c r="X9212" t="s">
        <v>47436</v>
      </c>
    </row>
    <row r="9213" spans="1:24">
      <c r="A9213">
        <f>HYPERLINK("https://www.philgeps.gov.ph/GEPSNONPILOT/Tender/SplashBidNoticeAbstractUI.aspx?menuIndex=3&amp;refID=7148848&amp;Result=3","7148848")</f>
        <v>0</v>
      </c>
      <c r="B9213" t="s">
        <v>2962</v>
      </c>
      <c r="C9213" t="s">
        <v>12576</v>
      </c>
      <c r="D9213" t="s">
        <v>19044</v>
      </c>
      <c r="E9213" t="s">
        <v>19144</v>
      </c>
      <c r="F9213" t="s">
        <v>32831</v>
      </c>
      <c r="G9213" t="s">
        <v>32839</v>
      </c>
      <c r="H9213" t="s">
        <v>32848</v>
      </c>
      <c r="I9213" t="s">
        <v>7416</v>
      </c>
      <c r="J9213" t="s">
        <v>38690</v>
      </c>
      <c r="K9213" t="s">
        <v>42730</v>
      </c>
      <c r="M9213" t="s">
        <v>46224</v>
      </c>
      <c r="N9213" t="s">
        <v>47424</v>
      </c>
      <c r="O9213" t="s">
        <v>47425</v>
      </c>
      <c r="P9213">
        <v>0</v>
      </c>
      <c r="Q9213">
        <v>0</v>
      </c>
      <c r="R9213" t="s">
        <v>47433</v>
      </c>
      <c r="S9213" t="s">
        <v>47633</v>
      </c>
      <c r="T9213" t="s">
        <v>49397</v>
      </c>
      <c r="U9213" t="s">
        <v>57296</v>
      </c>
      <c r="V9213" t="s">
        <v>62896</v>
      </c>
      <c r="W9213" t="s">
        <v>46224</v>
      </c>
      <c r="X9213" t="s">
        <v>47436</v>
      </c>
    </row>
    <row r="9214" spans="1:24">
      <c r="A9214">
        <f>HYPERLINK("https://www.philgeps.gov.ph/GEPSNONPILOT/Tender/SplashBidNoticeAbstractUI.aspx?menuIndex=3&amp;refID=7148833&amp;Result=3","7148833")</f>
        <v>0</v>
      </c>
      <c r="B9214" t="s">
        <v>1612</v>
      </c>
      <c r="C9214" t="s">
        <v>12577</v>
      </c>
      <c r="D9214" t="s">
        <v>19049</v>
      </c>
      <c r="E9214" t="s">
        <v>27070</v>
      </c>
      <c r="F9214" t="s">
        <v>32831</v>
      </c>
      <c r="G9214" t="s">
        <v>32841</v>
      </c>
      <c r="H9214" t="s">
        <v>32848</v>
      </c>
      <c r="I9214" t="s">
        <v>4438</v>
      </c>
      <c r="J9214" t="s">
        <v>34331</v>
      </c>
      <c r="K9214" t="s">
        <v>42727</v>
      </c>
      <c r="M9214" t="s">
        <v>44728</v>
      </c>
      <c r="N9214" t="s">
        <v>47424</v>
      </c>
      <c r="O9214" t="s">
        <v>47425</v>
      </c>
      <c r="P9214">
        <v>0</v>
      </c>
      <c r="Q9214">
        <v>2</v>
      </c>
      <c r="R9214" t="s">
        <v>47433</v>
      </c>
      <c r="S9214" t="s">
        <v>47633</v>
      </c>
      <c r="T9214" t="s">
        <v>49135</v>
      </c>
      <c r="U9214" t="s">
        <v>57295</v>
      </c>
      <c r="V9214" t="s">
        <v>63638</v>
      </c>
      <c r="W9214" t="s">
        <v>44728</v>
      </c>
      <c r="X9214" t="s">
        <v>47436</v>
      </c>
    </row>
    <row r="9215" spans="1:24">
      <c r="A9215">
        <f>HYPERLINK("https://www.philgeps.gov.ph/GEPSNONPILOT/Tender/SplashBidNoticeAbstractUI.aspx?menuIndex=3&amp;refID=7148636&amp;Result=3","7148636")</f>
        <v>0</v>
      </c>
      <c r="B9215" t="s">
        <v>719</v>
      </c>
      <c r="C9215" t="s">
        <v>12578</v>
      </c>
      <c r="D9215" t="s">
        <v>19017</v>
      </c>
      <c r="E9215" t="s">
        <v>27071</v>
      </c>
      <c r="F9215" t="s">
        <v>32831</v>
      </c>
      <c r="G9215" t="s">
        <v>32839</v>
      </c>
      <c r="H9215" t="s">
        <v>32848</v>
      </c>
      <c r="I9215" t="s">
        <v>4487</v>
      </c>
      <c r="J9215" t="s">
        <v>38691</v>
      </c>
      <c r="K9215" t="s">
        <v>42732</v>
      </c>
      <c r="M9215" t="s">
        <v>46140</v>
      </c>
      <c r="N9215" t="s">
        <v>47424</v>
      </c>
      <c r="O9215" t="s">
        <v>47425</v>
      </c>
      <c r="P9215">
        <v>0</v>
      </c>
      <c r="Q9215">
        <v>8</v>
      </c>
      <c r="R9215" t="s">
        <v>47433</v>
      </c>
      <c r="S9215" t="s">
        <v>47633</v>
      </c>
      <c r="T9215" t="s">
        <v>49112</v>
      </c>
      <c r="U9215" t="s">
        <v>57297</v>
      </c>
      <c r="W9215" t="s">
        <v>46140</v>
      </c>
      <c r="X9215" t="s">
        <v>47436</v>
      </c>
    </row>
    <row r="9216" spans="1:24">
      <c r="A9216">
        <f>HYPERLINK("https://www.philgeps.gov.ph/GEPSNONPILOT/Tender/SplashBidNoticeAbstractUI.aspx?menuIndex=3&amp;refID=7141383&amp;Result=3","7141383")</f>
        <v>0</v>
      </c>
      <c r="B9216" t="s">
        <v>41</v>
      </c>
      <c r="C9216" t="s">
        <v>12579</v>
      </c>
      <c r="D9216" t="s">
        <v>19030</v>
      </c>
      <c r="E9216" t="s">
        <v>27072</v>
      </c>
      <c r="F9216" t="s">
        <v>32831</v>
      </c>
      <c r="G9216" t="s">
        <v>32839</v>
      </c>
      <c r="H9216" t="s">
        <v>32849</v>
      </c>
      <c r="I9216" t="s">
        <v>4177</v>
      </c>
      <c r="J9216" t="s">
        <v>33083</v>
      </c>
      <c r="K9216" t="s">
        <v>42729</v>
      </c>
      <c r="M9216" t="s">
        <v>43038</v>
      </c>
      <c r="N9216" t="s">
        <v>47424</v>
      </c>
      <c r="O9216" t="s">
        <v>47425</v>
      </c>
      <c r="P9216">
        <v>0</v>
      </c>
      <c r="Q9216">
        <v>34</v>
      </c>
      <c r="R9216" t="s">
        <v>47433</v>
      </c>
      <c r="S9216" t="s">
        <v>47633</v>
      </c>
      <c r="T9216" t="s">
        <v>49173</v>
      </c>
      <c r="U9216" t="s">
        <v>57298</v>
      </c>
      <c r="W9216" t="s">
        <v>43038</v>
      </c>
      <c r="X9216" t="s">
        <v>47440</v>
      </c>
    </row>
    <row r="9217" spans="1:24">
      <c r="A9217">
        <f>HYPERLINK("https://www.philgeps.gov.ph/GEPSNONPILOT/Tender/SplashBidNoticeAbstractUI.aspx?menuIndex=3&amp;refID=7148609&amp;Result=3","7148609")</f>
        <v>0</v>
      </c>
      <c r="B9217" t="s">
        <v>2059</v>
      </c>
      <c r="C9217" t="s">
        <v>12580</v>
      </c>
      <c r="D9217" t="s">
        <v>19057</v>
      </c>
      <c r="E9217" t="s">
        <v>27073</v>
      </c>
      <c r="F9217" t="s">
        <v>32831</v>
      </c>
      <c r="G9217" t="s">
        <v>32839</v>
      </c>
      <c r="H9217" t="s">
        <v>32848</v>
      </c>
      <c r="I9217" t="s">
        <v>6526</v>
      </c>
      <c r="J9217" t="s">
        <v>38692</v>
      </c>
      <c r="K9217" t="s">
        <v>42732</v>
      </c>
      <c r="M9217" t="s">
        <v>45229</v>
      </c>
      <c r="N9217" t="s">
        <v>47424</v>
      </c>
      <c r="O9217" t="s">
        <v>47425</v>
      </c>
      <c r="P9217">
        <v>0</v>
      </c>
      <c r="Q9217">
        <v>0</v>
      </c>
      <c r="R9217" t="s">
        <v>47433</v>
      </c>
      <c r="S9217" t="s">
        <v>47633</v>
      </c>
      <c r="T9217" t="s">
        <v>49415</v>
      </c>
      <c r="U9217" t="s">
        <v>57299</v>
      </c>
      <c r="W9217" t="s">
        <v>45229</v>
      </c>
      <c r="X9217" t="s">
        <v>47436</v>
      </c>
    </row>
    <row r="9218" spans="1:24">
      <c r="A9218">
        <f>HYPERLINK("https://www.philgeps.gov.ph/GEPSNONPILOT/Tender/SplashBidNoticeAbstractUI.aspx?menuIndex=3&amp;refID=7147623&amp;Result=3","7147623")</f>
        <v>0</v>
      </c>
      <c r="B9218" t="s">
        <v>108</v>
      </c>
      <c r="C9218" t="s">
        <v>12581</v>
      </c>
      <c r="D9218" t="s">
        <v>19058</v>
      </c>
      <c r="E9218" t="s">
        <v>27074</v>
      </c>
      <c r="F9218" t="s">
        <v>32831</v>
      </c>
      <c r="G9218" t="s">
        <v>32839</v>
      </c>
      <c r="H9218" t="s">
        <v>32848</v>
      </c>
      <c r="I9218" t="s">
        <v>7416</v>
      </c>
      <c r="J9218" t="s">
        <v>38693</v>
      </c>
      <c r="K9218" t="s">
        <v>42732</v>
      </c>
      <c r="M9218" t="s">
        <v>43105</v>
      </c>
      <c r="N9218" t="s">
        <v>47424</v>
      </c>
      <c r="O9218" t="s">
        <v>47425</v>
      </c>
      <c r="P9218">
        <v>0</v>
      </c>
      <c r="Q9218">
        <v>0</v>
      </c>
      <c r="R9218" t="s">
        <v>47433</v>
      </c>
      <c r="S9218" t="s">
        <v>47633</v>
      </c>
      <c r="T9218" t="s">
        <v>49243</v>
      </c>
      <c r="U9218" t="s">
        <v>57300</v>
      </c>
      <c r="W9218" t="s">
        <v>43105</v>
      </c>
      <c r="X9218" t="s">
        <v>47438</v>
      </c>
    </row>
    <row r="9219" spans="1:24">
      <c r="A9219">
        <f>HYPERLINK("https://www.philgeps.gov.ph/GEPSNONPILOT/Tender/SplashBidNoticeAbstractUI.aspx?menuIndex=3&amp;refID=7148605&amp;Result=3","7148605")</f>
        <v>0</v>
      </c>
      <c r="B9219" t="s">
        <v>2059</v>
      </c>
      <c r="C9219" t="s">
        <v>12582</v>
      </c>
      <c r="D9219" t="s">
        <v>19057</v>
      </c>
      <c r="E9219" t="s">
        <v>27075</v>
      </c>
      <c r="F9219" t="s">
        <v>32831</v>
      </c>
      <c r="G9219" t="s">
        <v>32839</v>
      </c>
      <c r="H9219" t="s">
        <v>32848</v>
      </c>
      <c r="I9219" t="s">
        <v>4438</v>
      </c>
      <c r="J9219" t="s">
        <v>38694</v>
      </c>
      <c r="K9219" t="s">
        <v>42732</v>
      </c>
      <c r="M9219" t="s">
        <v>45229</v>
      </c>
      <c r="N9219" t="s">
        <v>47424</v>
      </c>
      <c r="O9219" t="s">
        <v>47425</v>
      </c>
      <c r="P9219">
        <v>0</v>
      </c>
      <c r="Q9219">
        <v>2</v>
      </c>
      <c r="R9219" t="s">
        <v>47433</v>
      </c>
      <c r="S9219" t="s">
        <v>47633</v>
      </c>
      <c r="T9219" t="s">
        <v>49415</v>
      </c>
      <c r="U9219" t="s">
        <v>57301</v>
      </c>
      <c r="W9219" t="s">
        <v>45229</v>
      </c>
      <c r="X9219" t="s">
        <v>47436</v>
      </c>
    </row>
    <row r="9220" spans="1:24">
      <c r="A9220">
        <f>HYPERLINK("https://www.philgeps.gov.ph/GEPSNONPILOT/Tender/SplashBidNoticeAbstractUI.aspx?menuIndex=3&amp;refID=7148603&amp;Result=3","7148603")</f>
        <v>0</v>
      </c>
      <c r="B9220" t="s">
        <v>2059</v>
      </c>
      <c r="C9220" t="s">
        <v>12583</v>
      </c>
      <c r="D9220" t="s">
        <v>19057</v>
      </c>
      <c r="E9220" t="s">
        <v>27076</v>
      </c>
      <c r="F9220" t="s">
        <v>32831</v>
      </c>
      <c r="G9220" t="s">
        <v>32839</v>
      </c>
      <c r="H9220" t="s">
        <v>32848</v>
      </c>
      <c r="I9220" t="s">
        <v>32861</v>
      </c>
      <c r="J9220" t="s">
        <v>34129</v>
      </c>
      <c r="K9220" t="s">
        <v>42732</v>
      </c>
      <c r="M9220" t="s">
        <v>45229</v>
      </c>
      <c r="N9220" t="s">
        <v>47424</v>
      </c>
      <c r="O9220" t="s">
        <v>47425</v>
      </c>
      <c r="P9220">
        <v>0</v>
      </c>
      <c r="Q9220">
        <v>2</v>
      </c>
      <c r="R9220" t="s">
        <v>47433</v>
      </c>
      <c r="S9220" t="s">
        <v>47633</v>
      </c>
      <c r="T9220" t="s">
        <v>49415</v>
      </c>
      <c r="U9220" t="s">
        <v>57302</v>
      </c>
      <c r="W9220" t="s">
        <v>45229</v>
      </c>
      <c r="X9220" t="s">
        <v>47436</v>
      </c>
    </row>
    <row r="9221" spans="1:24">
      <c r="A9221">
        <f>HYPERLINK("https://www.philgeps.gov.ph/GEPSNONPILOT/Tender/SplashBidNoticeAbstractUI.aspx?menuIndex=3&amp;refID=7148829&amp;Result=3","7148829")</f>
        <v>0</v>
      </c>
      <c r="B9221" t="s">
        <v>1612</v>
      </c>
      <c r="C9221" t="s">
        <v>12584</v>
      </c>
      <c r="D9221" t="s">
        <v>19049</v>
      </c>
      <c r="E9221" t="s">
        <v>27077</v>
      </c>
      <c r="F9221" t="s">
        <v>32831</v>
      </c>
      <c r="G9221" t="s">
        <v>32841</v>
      </c>
      <c r="H9221" t="s">
        <v>32848</v>
      </c>
      <c r="I9221" t="s">
        <v>32944</v>
      </c>
      <c r="J9221" t="s">
        <v>38695</v>
      </c>
      <c r="K9221" t="s">
        <v>42727</v>
      </c>
      <c r="M9221" t="s">
        <v>44728</v>
      </c>
      <c r="N9221" t="s">
        <v>47424</v>
      </c>
      <c r="O9221" t="s">
        <v>47425</v>
      </c>
      <c r="P9221">
        <v>0</v>
      </c>
      <c r="Q9221">
        <v>0</v>
      </c>
      <c r="R9221" t="s">
        <v>47433</v>
      </c>
      <c r="S9221" t="s">
        <v>47633</v>
      </c>
      <c r="T9221" t="s">
        <v>49135</v>
      </c>
      <c r="U9221" t="s">
        <v>57295</v>
      </c>
      <c r="V9221" t="s">
        <v>63637</v>
      </c>
      <c r="W9221" t="s">
        <v>44728</v>
      </c>
      <c r="X9221" t="s">
        <v>47436</v>
      </c>
    </row>
    <row r="9222" spans="1:24">
      <c r="A9222">
        <f>HYPERLINK("https://www.philgeps.gov.ph/GEPSNONPILOT/Tender/SplashBidNoticeAbstractUI.aspx?menuIndex=3&amp;refID=7148820&amp;Result=3","7148820")</f>
        <v>0</v>
      </c>
      <c r="B9222" t="s">
        <v>1612</v>
      </c>
      <c r="C9222" t="s">
        <v>12585</v>
      </c>
      <c r="D9222" t="s">
        <v>19049</v>
      </c>
      <c r="E9222" t="s">
        <v>27078</v>
      </c>
      <c r="F9222" t="s">
        <v>32831</v>
      </c>
      <c r="G9222" t="s">
        <v>32841</v>
      </c>
      <c r="H9222" t="s">
        <v>32848</v>
      </c>
      <c r="I9222" t="s">
        <v>10805</v>
      </c>
      <c r="J9222" t="s">
        <v>38696</v>
      </c>
      <c r="K9222" t="s">
        <v>42727</v>
      </c>
      <c r="M9222" t="s">
        <v>44728</v>
      </c>
      <c r="N9222" t="s">
        <v>47424</v>
      </c>
      <c r="O9222" t="s">
        <v>47425</v>
      </c>
      <c r="P9222">
        <v>0</v>
      </c>
      <c r="Q9222">
        <v>4</v>
      </c>
      <c r="R9222" t="s">
        <v>47433</v>
      </c>
      <c r="S9222" t="s">
        <v>47633</v>
      </c>
      <c r="T9222" t="s">
        <v>49135</v>
      </c>
      <c r="U9222" t="s">
        <v>57295</v>
      </c>
      <c r="V9222" t="s">
        <v>63637</v>
      </c>
      <c r="W9222" t="s">
        <v>44728</v>
      </c>
      <c r="X9222" t="s">
        <v>47436</v>
      </c>
    </row>
    <row r="9223" spans="1:24">
      <c r="A9223">
        <f>HYPERLINK("https://www.philgeps.gov.ph/GEPSNONPILOT/Tender/SplashBidNoticeAbstractUI.aspx?menuIndex=3&amp;refID=7146847&amp;Result=3","7146847")</f>
        <v>0</v>
      </c>
      <c r="B9223" t="s">
        <v>1823</v>
      </c>
      <c r="C9223" t="s">
        <v>12586</v>
      </c>
      <c r="D9223" t="s">
        <v>19100</v>
      </c>
      <c r="E9223" t="s">
        <v>27036</v>
      </c>
      <c r="F9223" t="s">
        <v>32831</v>
      </c>
      <c r="G9223" t="s">
        <v>32839</v>
      </c>
      <c r="H9223" t="s">
        <v>32848</v>
      </c>
      <c r="I9223" t="s">
        <v>9577</v>
      </c>
      <c r="J9223" t="s">
        <v>38697</v>
      </c>
      <c r="K9223" t="s">
        <v>42732</v>
      </c>
      <c r="M9223" t="s">
        <v>46219</v>
      </c>
      <c r="N9223" t="s">
        <v>47424</v>
      </c>
      <c r="O9223" t="s">
        <v>47425</v>
      </c>
      <c r="P9223">
        <v>0</v>
      </c>
      <c r="Q9223">
        <v>0</v>
      </c>
      <c r="R9223" t="s">
        <v>47433</v>
      </c>
      <c r="S9223" t="s">
        <v>47633</v>
      </c>
      <c r="T9223" t="s">
        <v>49243</v>
      </c>
      <c r="U9223" t="s">
        <v>57303</v>
      </c>
      <c r="W9223" t="s">
        <v>64529</v>
      </c>
      <c r="X9223" t="s">
        <v>47438</v>
      </c>
    </row>
    <row r="9224" spans="1:24">
      <c r="A9224">
        <f>HYPERLINK("https://www.philgeps.gov.ph/GEPSNONPILOT/Tender/SplashBidNoticeAbstractUI.aspx?menuIndex=3&amp;refID=7148602&amp;Result=3","7148602")</f>
        <v>0</v>
      </c>
      <c r="B9224" t="s">
        <v>2059</v>
      </c>
      <c r="C9224" t="s">
        <v>12587</v>
      </c>
      <c r="D9224" t="s">
        <v>19057</v>
      </c>
      <c r="E9224" t="s">
        <v>27079</v>
      </c>
      <c r="F9224" t="s">
        <v>32831</v>
      </c>
      <c r="G9224" t="s">
        <v>32839</v>
      </c>
      <c r="H9224" t="s">
        <v>32848</v>
      </c>
      <c r="I9224" t="s">
        <v>9577</v>
      </c>
      <c r="J9224" t="s">
        <v>38698</v>
      </c>
      <c r="K9224" t="s">
        <v>42732</v>
      </c>
      <c r="M9224" t="s">
        <v>45229</v>
      </c>
      <c r="N9224" t="s">
        <v>47424</v>
      </c>
      <c r="O9224" t="s">
        <v>47425</v>
      </c>
      <c r="P9224">
        <v>0</v>
      </c>
      <c r="Q9224">
        <v>2</v>
      </c>
      <c r="R9224" t="s">
        <v>47433</v>
      </c>
      <c r="S9224" t="s">
        <v>47633</v>
      </c>
      <c r="T9224" t="s">
        <v>49415</v>
      </c>
      <c r="U9224" t="s">
        <v>57304</v>
      </c>
      <c r="W9224" t="s">
        <v>45229</v>
      </c>
      <c r="X9224" t="s">
        <v>47436</v>
      </c>
    </row>
    <row r="9225" spans="1:24">
      <c r="A9225">
        <f>HYPERLINK("https://www.philgeps.gov.ph/GEPSNONPILOT/Tender/SplashBidNoticeAbstractUI.aspx?menuIndex=3&amp;refID=7148345&amp;Result=3","7148345")</f>
        <v>0</v>
      </c>
      <c r="B9225" t="s">
        <v>2418</v>
      </c>
      <c r="C9225" t="s">
        <v>12588</v>
      </c>
      <c r="D9225" t="s">
        <v>19027</v>
      </c>
      <c r="E9225" t="s">
        <v>27080</v>
      </c>
      <c r="F9225" t="s">
        <v>32831</v>
      </c>
      <c r="G9225" t="s">
        <v>32839</v>
      </c>
      <c r="H9225" t="s">
        <v>32848</v>
      </c>
      <c r="I9225" t="s">
        <v>32870</v>
      </c>
      <c r="J9225" t="s">
        <v>38699</v>
      </c>
      <c r="K9225" t="s">
        <v>42732</v>
      </c>
      <c r="M9225" t="s">
        <v>45613</v>
      </c>
      <c r="N9225" t="s">
        <v>47424</v>
      </c>
      <c r="O9225" t="s">
        <v>47425</v>
      </c>
      <c r="P9225">
        <v>0</v>
      </c>
      <c r="Q9225">
        <v>0</v>
      </c>
      <c r="R9225" t="s">
        <v>47433</v>
      </c>
      <c r="S9225" t="s">
        <v>47633</v>
      </c>
      <c r="T9225" t="s">
        <v>49243</v>
      </c>
      <c r="U9225" t="s">
        <v>57305</v>
      </c>
      <c r="V9225" t="s">
        <v>63379</v>
      </c>
      <c r="W9225" t="s">
        <v>45613</v>
      </c>
      <c r="X9225" t="s">
        <v>47437</v>
      </c>
    </row>
    <row r="9226" spans="1:24">
      <c r="A9226">
        <f>HYPERLINK("https://www.philgeps.gov.ph/GEPSNONPILOT/Tender/SplashBidNoticeAbstractUI.aspx?menuIndex=3&amp;refID=7148607&amp;Result=3","7148607")</f>
        <v>0</v>
      </c>
      <c r="B9226" t="s">
        <v>2059</v>
      </c>
      <c r="C9226" t="s">
        <v>12589</v>
      </c>
      <c r="D9226" t="s">
        <v>19057</v>
      </c>
      <c r="E9226" t="s">
        <v>27081</v>
      </c>
      <c r="F9226" t="s">
        <v>32831</v>
      </c>
      <c r="G9226" t="s">
        <v>32839</v>
      </c>
      <c r="H9226" t="s">
        <v>32848</v>
      </c>
      <c r="I9226" t="s">
        <v>7416</v>
      </c>
      <c r="J9226" t="s">
        <v>38700</v>
      </c>
      <c r="K9226" t="s">
        <v>42732</v>
      </c>
      <c r="M9226" t="s">
        <v>45229</v>
      </c>
      <c r="N9226" t="s">
        <v>47424</v>
      </c>
      <c r="O9226" t="s">
        <v>47425</v>
      </c>
      <c r="P9226">
        <v>0</v>
      </c>
      <c r="Q9226">
        <v>1</v>
      </c>
      <c r="R9226" t="s">
        <v>47433</v>
      </c>
      <c r="S9226" t="s">
        <v>47633</v>
      </c>
      <c r="T9226" t="s">
        <v>49415</v>
      </c>
      <c r="U9226" t="s">
        <v>57306</v>
      </c>
      <c r="W9226" t="s">
        <v>45229</v>
      </c>
      <c r="X9226" t="s">
        <v>47436</v>
      </c>
    </row>
    <row r="9227" spans="1:24">
      <c r="A9227">
        <f>HYPERLINK("https://www.philgeps.gov.ph/GEPSNONPILOT/Tender/SplashBidNoticeAbstractUI.aspx?menuIndex=3&amp;refID=7149219&amp;Result=3","7149219")</f>
        <v>0</v>
      </c>
      <c r="B9227" t="s">
        <v>2963</v>
      </c>
      <c r="C9227" t="s">
        <v>4591</v>
      </c>
      <c r="D9227" t="s">
        <v>19057</v>
      </c>
      <c r="E9227" t="s">
        <v>22731</v>
      </c>
      <c r="F9227" t="s">
        <v>32831</v>
      </c>
      <c r="G9227" t="s">
        <v>32839</v>
      </c>
      <c r="H9227" t="s">
        <v>32849</v>
      </c>
      <c r="I9227" t="s">
        <v>4177</v>
      </c>
      <c r="J9227" t="s">
        <v>38701</v>
      </c>
      <c r="K9227" t="s">
        <v>42730</v>
      </c>
      <c r="M9227" t="s">
        <v>46225</v>
      </c>
      <c r="N9227" t="s">
        <v>47424</v>
      </c>
      <c r="O9227" t="s">
        <v>47425</v>
      </c>
      <c r="P9227">
        <v>0</v>
      </c>
      <c r="Q9227">
        <v>1</v>
      </c>
      <c r="R9227" t="s">
        <v>47433</v>
      </c>
      <c r="S9227" t="s">
        <v>47633</v>
      </c>
      <c r="T9227" t="s">
        <v>49213</v>
      </c>
      <c r="U9227" t="s">
        <v>57307</v>
      </c>
      <c r="W9227" t="s">
        <v>46225</v>
      </c>
      <c r="X9227" t="s">
        <v>47434</v>
      </c>
    </row>
    <row r="9228" spans="1:24">
      <c r="A9228">
        <f>HYPERLINK("https://www.philgeps.gov.ph/GEPSNONPILOT/Tender/SplashBidNoticeAbstractUI.aspx?menuIndex=3&amp;refID=7148839&amp;Result=3","7148839")</f>
        <v>0</v>
      </c>
      <c r="B9228" t="s">
        <v>2964</v>
      </c>
      <c r="C9228" t="s">
        <v>12590</v>
      </c>
      <c r="D9228" t="s">
        <v>19044</v>
      </c>
      <c r="E9228" t="s">
        <v>19219</v>
      </c>
      <c r="F9228" t="s">
        <v>32831</v>
      </c>
      <c r="G9228" t="s">
        <v>32839</v>
      </c>
      <c r="H9228" t="s">
        <v>32848</v>
      </c>
      <c r="I9228" t="s">
        <v>7416</v>
      </c>
      <c r="J9228" t="s">
        <v>38702</v>
      </c>
      <c r="K9228" t="s">
        <v>42730</v>
      </c>
      <c r="M9228" t="s">
        <v>46226</v>
      </c>
      <c r="N9228" t="s">
        <v>47424</v>
      </c>
      <c r="O9228" t="s">
        <v>47425</v>
      </c>
      <c r="P9228">
        <v>0</v>
      </c>
      <c r="Q9228">
        <v>0</v>
      </c>
      <c r="R9228" t="s">
        <v>47433</v>
      </c>
      <c r="S9228" t="s">
        <v>47633</v>
      </c>
      <c r="T9228" t="s">
        <v>49111</v>
      </c>
      <c r="U9228" t="s">
        <v>51857</v>
      </c>
      <c r="V9228" t="s">
        <v>62896</v>
      </c>
      <c r="W9228" t="s">
        <v>46226</v>
      </c>
      <c r="X9228" t="s">
        <v>47436</v>
      </c>
    </row>
    <row r="9229" spans="1:24">
      <c r="A9229">
        <f>HYPERLINK("https://www.philgeps.gov.ph/GEPSNONPILOT/Tender/SplashBidNoticeAbstractUI.aspx?menuIndex=3&amp;refID=7149199&amp;Result=3","7149199")</f>
        <v>0</v>
      </c>
      <c r="B9229" t="s">
        <v>2965</v>
      </c>
      <c r="C9229" t="s">
        <v>12591</v>
      </c>
      <c r="D9229" t="s">
        <v>19037</v>
      </c>
      <c r="E9229" t="s">
        <v>24219</v>
      </c>
      <c r="F9229" t="s">
        <v>32831</v>
      </c>
      <c r="G9229" t="s">
        <v>32839</v>
      </c>
      <c r="H9229" t="s">
        <v>32848</v>
      </c>
      <c r="I9229" t="s">
        <v>10888</v>
      </c>
      <c r="J9229" t="s">
        <v>38703</v>
      </c>
      <c r="K9229" t="s">
        <v>42745</v>
      </c>
      <c r="M9229" t="s">
        <v>46227</v>
      </c>
      <c r="N9229" t="s">
        <v>47424</v>
      </c>
      <c r="O9229" t="s">
        <v>47425</v>
      </c>
      <c r="P9229">
        <v>0</v>
      </c>
      <c r="Q9229">
        <v>1</v>
      </c>
      <c r="R9229" t="s">
        <v>47433</v>
      </c>
      <c r="S9229" t="s">
        <v>47633</v>
      </c>
      <c r="T9229" t="s">
        <v>49107</v>
      </c>
      <c r="U9229" t="s">
        <v>57308</v>
      </c>
      <c r="W9229" t="s">
        <v>46227</v>
      </c>
      <c r="X9229" t="s">
        <v>47435</v>
      </c>
    </row>
    <row r="9230" spans="1:24">
      <c r="A9230">
        <f>HYPERLINK("https://www.philgeps.gov.ph/GEPSNONPILOT/Tender/SplashBidNoticeAbstractUI.aspx?menuIndex=3&amp;refID=7148836&amp;Result=3","7148836")</f>
        <v>0</v>
      </c>
      <c r="B9230" t="s">
        <v>1612</v>
      </c>
      <c r="C9230" t="s">
        <v>12592</v>
      </c>
      <c r="D9230" t="s">
        <v>19049</v>
      </c>
      <c r="E9230" t="s">
        <v>27082</v>
      </c>
      <c r="F9230" t="s">
        <v>32831</v>
      </c>
      <c r="G9230" t="s">
        <v>32841</v>
      </c>
      <c r="H9230" t="s">
        <v>32848</v>
      </c>
      <c r="I9230" t="s">
        <v>10805</v>
      </c>
      <c r="J9230" t="s">
        <v>33292</v>
      </c>
      <c r="K9230" t="s">
        <v>42742</v>
      </c>
      <c r="M9230" t="s">
        <v>44728</v>
      </c>
      <c r="N9230" t="s">
        <v>47424</v>
      </c>
      <c r="O9230" t="s">
        <v>47425</v>
      </c>
      <c r="P9230">
        <v>0</v>
      </c>
      <c r="Q9230">
        <v>1</v>
      </c>
      <c r="R9230" t="s">
        <v>47433</v>
      </c>
      <c r="S9230" t="s">
        <v>47633</v>
      </c>
      <c r="T9230" t="s">
        <v>49135</v>
      </c>
      <c r="U9230" t="s">
        <v>57295</v>
      </c>
      <c r="V9230" t="s">
        <v>63639</v>
      </c>
      <c r="W9230" t="s">
        <v>44728</v>
      </c>
      <c r="X9230" t="s">
        <v>47436</v>
      </c>
    </row>
    <row r="9231" spans="1:24">
      <c r="A9231">
        <f>HYPERLINK("https://www.philgeps.gov.ph/GEPSNONPILOT/Tender/SplashBidNoticeAbstractUI.aspx?menuIndex=3&amp;refID=7149192&amp;Result=3","7149192")</f>
        <v>0</v>
      </c>
      <c r="B9231" t="s">
        <v>2965</v>
      </c>
      <c r="C9231" t="s">
        <v>12593</v>
      </c>
      <c r="D9231" t="s">
        <v>19037</v>
      </c>
      <c r="E9231" t="s">
        <v>24075</v>
      </c>
      <c r="F9231" t="s">
        <v>32831</v>
      </c>
      <c r="G9231" t="s">
        <v>32839</v>
      </c>
      <c r="H9231" t="s">
        <v>32848</v>
      </c>
      <c r="I9231" t="s">
        <v>7416</v>
      </c>
      <c r="J9231" t="s">
        <v>38704</v>
      </c>
      <c r="K9231" t="s">
        <v>42745</v>
      </c>
      <c r="M9231" t="s">
        <v>46227</v>
      </c>
      <c r="N9231" t="s">
        <v>47424</v>
      </c>
      <c r="O9231" t="s">
        <v>47425</v>
      </c>
      <c r="P9231">
        <v>0</v>
      </c>
      <c r="Q9231">
        <v>0</v>
      </c>
      <c r="R9231" t="s">
        <v>47433</v>
      </c>
      <c r="S9231" t="s">
        <v>47633</v>
      </c>
      <c r="T9231" t="s">
        <v>49107</v>
      </c>
      <c r="U9231" t="s">
        <v>57309</v>
      </c>
      <c r="W9231" t="s">
        <v>46227</v>
      </c>
      <c r="X9231" t="s">
        <v>47435</v>
      </c>
    </row>
    <row r="9232" spans="1:24">
      <c r="A9232">
        <f>HYPERLINK("https://www.philgeps.gov.ph/GEPSNONPILOT/Tender/SplashBidNoticeAbstractUI.aspx?menuIndex=3&amp;refID=7148349&amp;Result=3","7148349")</f>
        <v>0</v>
      </c>
      <c r="B9232" t="s">
        <v>2418</v>
      </c>
      <c r="C9232" t="s">
        <v>12594</v>
      </c>
      <c r="D9232" t="s">
        <v>19027</v>
      </c>
      <c r="E9232" t="s">
        <v>27083</v>
      </c>
      <c r="F9232" t="s">
        <v>32831</v>
      </c>
      <c r="G9232" t="s">
        <v>32839</v>
      </c>
      <c r="H9232" t="s">
        <v>32848</v>
      </c>
      <c r="I9232" t="s">
        <v>32874</v>
      </c>
      <c r="J9232" t="s">
        <v>38705</v>
      </c>
      <c r="K9232" t="s">
        <v>42732</v>
      </c>
      <c r="M9232" t="s">
        <v>45613</v>
      </c>
      <c r="N9232" t="s">
        <v>47424</v>
      </c>
      <c r="O9232" t="s">
        <v>47425</v>
      </c>
      <c r="P9232">
        <v>0</v>
      </c>
      <c r="Q9232">
        <v>5</v>
      </c>
      <c r="R9232" t="s">
        <v>47433</v>
      </c>
      <c r="S9232" t="s">
        <v>47633</v>
      </c>
      <c r="T9232" t="s">
        <v>49243</v>
      </c>
      <c r="U9232" t="s">
        <v>57310</v>
      </c>
      <c r="V9232" t="s">
        <v>63635</v>
      </c>
      <c r="W9232" t="s">
        <v>45613</v>
      </c>
      <c r="X9232" t="s">
        <v>47437</v>
      </c>
    </row>
    <row r="9233" spans="1:24">
      <c r="A9233">
        <f>HYPERLINK("https://www.philgeps.gov.ph/GEPSNONPILOT/Tender/SplashBidNoticeAbstractUI.aspx?menuIndex=3&amp;refID=7149214&amp;Result=3","7149214")</f>
        <v>0</v>
      </c>
      <c r="B9233" t="s">
        <v>2948</v>
      </c>
      <c r="C9233" t="s">
        <v>12595</v>
      </c>
      <c r="D9233" t="s">
        <v>19060</v>
      </c>
      <c r="E9233" t="s">
        <v>27084</v>
      </c>
      <c r="F9233" t="s">
        <v>32831</v>
      </c>
      <c r="G9233" t="s">
        <v>32839</v>
      </c>
      <c r="H9233" t="s">
        <v>32848</v>
      </c>
      <c r="I9233" t="s">
        <v>32859</v>
      </c>
      <c r="J9233" t="s">
        <v>38706</v>
      </c>
      <c r="K9233" t="s">
        <v>42729</v>
      </c>
      <c r="M9233" t="s">
        <v>46207</v>
      </c>
      <c r="N9233" t="s">
        <v>47424</v>
      </c>
      <c r="O9233" t="s">
        <v>47425</v>
      </c>
      <c r="P9233">
        <v>0</v>
      </c>
      <c r="Q9233">
        <v>1</v>
      </c>
      <c r="R9233" t="s">
        <v>47433</v>
      </c>
      <c r="S9233" t="s">
        <v>47633</v>
      </c>
      <c r="T9233" t="s">
        <v>49334</v>
      </c>
      <c r="U9233" t="s">
        <v>57311</v>
      </c>
      <c r="V9233" t="s">
        <v>63640</v>
      </c>
      <c r="W9233" t="s">
        <v>46207</v>
      </c>
      <c r="X9233" t="s">
        <v>47434</v>
      </c>
    </row>
    <row r="9234" spans="1:24">
      <c r="A9234">
        <f>HYPERLINK("https://www.philgeps.gov.ph/GEPSNONPILOT/Tender/SplashBidNoticeAbstractUI.aspx?menuIndex=3&amp;refID=7149187&amp;Result=3","7149187")</f>
        <v>0</v>
      </c>
      <c r="B9234" t="s">
        <v>2965</v>
      </c>
      <c r="C9234" t="s">
        <v>12596</v>
      </c>
      <c r="D9234" t="s">
        <v>19037</v>
      </c>
      <c r="E9234" t="s">
        <v>23900</v>
      </c>
      <c r="F9234" t="s">
        <v>32831</v>
      </c>
      <c r="G9234" t="s">
        <v>32839</v>
      </c>
      <c r="H9234" t="s">
        <v>32848</v>
      </c>
      <c r="I9234" t="s">
        <v>7416</v>
      </c>
      <c r="J9234" t="s">
        <v>38707</v>
      </c>
      <c r="K9234" t="s">
        <v>42747</v>
      </c>
      <c r="M9234" t="s">
        <v>46227</v>
      </c>
      <c r="N9234" t="s">
        <v>47424</v>
      </c>
      <c r="O9234" t="s">
        <v>47425</v>
      </c>
      <c r="P9234">
        <v>0</v>
      </c>
      <c r="Q9234">
        <v>0</v>
      </c>
      <c r="R9234" t="s">
        <v>47433</v>
      </c>
      <c r="S9234" t="s">
        <v>47633</v>
      </c>
      <c r="T9234" t="s">
        <v>49107</v>
      </c>
      <c r="U9234" t="s">
        <v>57312</v>
      </c>
      <c r="W9234" t="s">
        <v>46227</v>
      </c>
      <c r="X9234" t="s">
        <v>47435</v>
      </c>
    </row>
    <row r="9235" spans="1:24">
      <c r="A9235">
        <f>HYPERLINK("https://www.philgeps.gov.ph/GEPSNONPILOT/Tender/SplashBidNoticeAbstractUI.aspx?menuIndex=3&amp;refID=7149057&amp;Result=3","7149057")</f>
        <v>0</v>
      </c>
      <c r="B9235" t="s">
        <v>2966</v>
      </c>
      <c r="C9235" t="s">
        <v>12597</v>
      </c>
      <c r="D9235" t="s">
        <v>19037</v>
      </c>
      <c r="E9235" t="s">
        <v>19351</v>
      </c>
      <c r="F9235" t="s">
        <v>32831</v>
      </c>
      <c r="G9235" t="s">
        <v>32839</v>
      </c>
      <c r="H9235" t="s">
        <v>32848</v>
      </c>
      <c r="I9235" t="s">
        <v>4177</v>
      </c>
      <c r="J9235" t="s">
        <v>38708</v>
      </c>
      <c r="K9235" t="s">
        <v>42732</v>
      </c>
      <c r="M9235" t="s">
        <v>46228</v>
      </c>
      <c r="N9235" t="s">
        <v>47424</v>
      </c>
      <c r="O9235" t="s">
        <v>47425</v>
      </c>
      <c r="P9235">
        <v>0</v>
      </c>
      <c r="Q9235">
        <v>0</v>
      </c>
      <c r="R9235" t="s">
        <v>47433</v>
      </c>
      <c r="S9235" t="s">
        <v>47633</v>
      </c>
      <c r="T9235" t="s">
        <v>49214</v>
      </c>
      <c r="U9235" t="s">
        <v>57313</v>
      </c>
      <c r="W9235" t="s">
        <v>46228</v>
      </c>
      <c r="X9235" t="s">
        <v>47435</v>
      </c>
    </row>
    <row r="9236" spans="1:24">
      <c r="A9236">
        <f>HYPERLINK("https://www.philgeps.gov.ph/GEPSNONPILOT/Tender/SplashBidNoticeAbstractUI.aspx?menuIndex=3&amp;refID=7149215&amp;Result=3","7149215")</f>
        <v>0</v>
      </c>
      <c r="B9236" t="s">
        <v>2967</v>
      </c>
      <c r="C9236" t="s">
        <v>12598</v>
      </c>
      <c r="D9236" t="s">
        <v>19069</v>
      </c>
      <c r="E9236" t="s">
        <v>21319</v>
      </c>
      <c r="F9236" t="s">
        <v>32831</v>
      </c>
      <c r="G9236" t="s">
        <v>32839</v>
      </c>
      <c r="H9236" t="s">
        <v>32848</v>
      </c>
      <c r="I9236" t="s">
        <v>32876</v>
      </c>
      <c r="J9236" t="s">
        <v>33291</v>
      </c>
      <c r="K9236" t="s">
        <v>42730</v>
      </c>
      <c r="M9236" t="s">
        <v>46229</v>
      </c>
      <c r="N9236" t="s">
        <v>47424</v>
      </c>
      <c r="O9236" t="s">
        <v>47425</v>
      </c>
      <c r="P9236">
        <v>0</v>
      </c>
      <c r="Q9236">
        <v>5</v>
      </c>
      <c r="R9236" t="s">
        <v>47433</v>
      </c>
      <c r="S9236" t="s">
        <v>47633</v>
      </c>
      <c r="T9236" t="s">
        <v>49531</v>
      </c>
      <c r="U9236" t="s">
        <v>57314</v>
      </c>
      <c r="W9236" t="s">
        <v>46229</v>
      </c>
      <c r="X9236" t="s">
        <v>47434</v>
      </c>
    </row>
    <row r="9237" spans="1:24">
      <c r="A9237">
        <f>HYPERLINK("https://www.philgeps.gov.ph/GEPSNONPILOT/Tender/SplashBidNoticeAbstractUI.aspx?menuIndex=3&amp;refID=7149036&amp;Result=3","7149036")</f>
        <v>0</v>
      </c>
      <c r="B9237" t="s">
        <v>2968</v>
      </c>
      <c r="C9237" t="s">
        <v>12599</v>
      </c>
      <c r="D9237" t="s">
        <v>19056</v>
      </c>
      <c r="E9237" t="s">
        <v>27085</v>
      </c>
      <c r="F9237" t="s">
        <v>32831</v>
      </c>
      <c r="G9237" t="s">
        <v>32839</v>
      </c>
      <c r="H9237" t="s">
        <v>32848</v>
      </c>
      <c r="I9237" t="s">
        <v>4487</v>
      </c>
      <c r="J9237" t="s">
        <v>33067</v>
      </c>
      <c r="K9237" t="s">
        <v>42727</v>
      </c>
      <c r="M9237" t="s">
        <v>46230</v>
      </c>
      <c r="N9237" t="s">
        <v>47424</v>
      </c>
      <c r="O9237" t="s">
        <v>47425</v>
      </c>
      <c r="P9237">
        <v>0</v>
      </c>
      <c r="Q9237">
        <v>3</v>
      </c>
      <c r="R9237" t="s">
        <v>47433</v>
      </c>
      <c r="S9237" t="s">
        <v>47633</v>
      </c>
      <c r="T9237" t="s">
        <v>49237</v>
      </c>
      <c r="U9237" t="s">
        <v>57315</v>
      </c>
      <c r="W9237" t="s">
        <v>46230</v>
      </c>
      <c r="X9237" t="s">
        <v>47435</v>
      </c>
    </row>
    <row r="9238" spans="1:24">
      <c r="A9238">
        <f>HYPERLINK("https://www.philgeps.gov.ph/GEPSNONPILOT/Tender/SplashBidNoticeAbstractUI.aspx?menuIndex=3&amp;refID=7149030&amp;Result=3","7149030")</f>
        <v>0</v>
      </c>
      <c r="B9238" t="s">
        <v>2968</v>
      </c>
      <c r="C9238" t="s">
        <v>12600</v>
      </c>
      <c r="D9238" t="s">
        <v>19056</v>
      </c>
      <c r="E9238" t="s">
        <v>27086</v>
      </c>
      <c r="F9238" t="s">
        <v>32831</v>
      </c>
      <c r="G9238" t="s">
        <v>32839</v>
      </c>
      <c r="H9238" t="s">
        <v>32848</v>
      </c>
      <c r="I9238" t="s">
        <v>32879</v>
      </c>
      <c r="J9238" t="s">
        <v>38709</v>
      </c>
      <c r="K9238" t="s">
        <v>42727</v>
      </c>
      <c r="M9238" t="s">
        <v>46230</v>
      </c>
      <c r="N9238" t="s">
        <v>47424</v>
      </c>
      <c r="O9238" t="s">
        <v>47425</v>
      </c>
      <c r="P9238">
        <v>0</v>
      </c>
      <c r="Q9238">
        <v>0</v>
      </c>
      <c r="R9238" t="s">
        <v>47433</v>
      </c>
      <c r="S9238" t="s">
        <v>47633</v>
      </c>
      <c r="T9238" t="s">
        <v>49237</v>
      </c>
      <c r="U9238" t="s">
        <v>57316</v>
      </c>
      <c r="W9238" t="s">
        <v>46230</v>
      </c>
      <c r="X9238" t="s">
        <v>47435</v>
      </c>
    </row>
    <row r="9239" spans="1:24">
      <c r="A9239">
        <f>HYPERLINK("https://www.philgeps.gov.ph/GEPSNONPILOT/Tender/SplashBidNoticeAbstractUI.aspx?menuIndex=3&amp;refID=7149194&amp;Result=3","7149194")</f>
        <v>0</v>
      </c>
      <c r="B9239" t="s">
        <v>2965</v>
      </c>
      <c r="C9239" t="s">
        <v>12601</v>
      </c>
      <c r="D9239" t="s">
        <v>19037</v>
      </c>
      <c r="E9239" t="s">
        <v>25282</v>
      </c>
      <c r="F9239" t="s">
        <v>32831</v>
      </c>
      <c r="G9239" t="s">
        <v>32839</v>
      </c>
      <c r="H9239" t="s">
        <v>32848</v>
      </c>
      <c r="I9239" t="s">
        <v>7416</v>
      </c>
      <c r="J9239" t="s">
        <v>38710</v>
      </c>
      <c r="K9239" t="s">
        <v>42745</v>
      </c>
      <c r="M9239" t="s">
        <v>46227</v>
      </c>
      <c r="N9239" t="s">
        <v>47424</v>
      </c>
      <c r="O9239" t="s">
        <v>47425</v>
      </c>
      <c r="P9239">
        <v>0</v>
      </c>
      <c r="Q9239">
        <v>0</v>
      </c>
      <c r="R9239" t="s">
        <v>47433</v>
      </c>
      <c r="S9239" t="s">
        <v>47633</v>
      </c>
      <c r="T9239" t="s">
        <v>49107</v>
      </c>
      <c r="U9239" t="s">
        <v>57317</v>
      </c>
      <c r="W9239" t="s">
        <v>46227</v>
      </c>
      <c r="X9239" t="s">
        <v>47435</v>
      </c>
    </row>
    <row r="9240" spans="1:24">
      <c r="A9240">
        <f>HYPERLINK("https://www.philgeps.gov.ph/GEPSNONPILOT/Tender/SplashBidNoticeAbstractUI.aspx?menuIndex=3&amp;refID=7149221&amp;Result=3","7149221")</f>
        <v>0</v>
      </c>
      <c r="B9240" t="s">
        <v>2771</v>
      </c>
      <c r="C9240" t="s">
        <v>12602</v>
      </c>
      <c r="D9240" t="s">
        <v>19023</v>
      </c>
      <c r="E9240" t="s">
        <v>27087</v>
      </c>
      <c r="F9240" t="s">
        <v>32831</v>
      </c>
      <c r="G9240" t="s">
        <v>32839</v>
      </c>
      <c r="H9240" t="s">
        <v>32849</v>
      </c>
      <c r="I9240" t="s">
        <v>4177</v>
      </c>
      <c r="J9240" t="s">
        <v>34733</v>
      </c>
      <c r="K9240" t="s">
        <v>42761</v>
      </c>
      <c r="M9240" t="s">
        <v>46002</v>
      </c>
      <c r="N9240" t="s">
        <v>47424</v>
      </c>
      <c r="O9240" t="s">
        <v>47425</v>
      </c>
      <c r="P9240">
        <v>0</v>
      </c>
      <c r="Q9240">
        <v>1</v>
      </c>
      <c r="R9240" t="s">
        <v>47433</v>
      </c>
      <c r="S9240" t="s">
        <v>47633</v>
      </c>
      <c r="T9240" t="s">
        <v>49199</v>
      </c>
      <c r="U9240" t="s">
        <v>57318</v>
      </c>
      <c r="W9240" t="s">
        <v>46002</v>
      </c>
      <c r="X9240" t="s">
        <v>47434</v>
      </c>
    </row>
    <row r="9241" spans="1:24">
      <c r="A9241">
        <f>HYPERLINK("https://www.philgeps.gov.ph/GEPSNONPILOT/Tender/SplashBidNoticeAbstractUI.aspx?menuIndex=3&amp;refID=7148943&amp;Result=3","7148943")</f>
        <v>0</v>
      </c>
      <c r="B9241" t="s">
        <v>2511</v>
      </c>
      <c r="C9241" t="s">
        <v>12603</v>
      </c>
      <c r="D9241" t="s">
        <v>19068</v>
      </c>
      <c r="E9241" t="s">
        <v>21181</v>
      </c>
      <c r="F9241" t="s">
        <v>32831</v>
      </c>
      <c r="G9241" t="s">
        <v>32839</v>
      </c>
      <c r="H9241" t="s">
        <v>32849</v>
      </c>
      <c r="I9241" t="s">
        <v>4177</v>
      </c>
      <c r="J9241" t="s">
        <v>38711</v>
      </c>
      <c r="K9241" t="s">
        <v>42757</v>
      </c>
      <c r="L9241" t="s">
        <v>2511</v>
      </c>
      <c r="M9241" t="s">
        <v>46231</v>
      </c>
      <c r="N9241" t="s">
        <v>47424</v>
      </c>
      <c r="O9241" t="s">
        <v>47425</v>
      </c>
      <c r="P9241">
        <v>0</v>
      </c>
      <c r="Q9241">
        <v>1</v>
      </c>
      <c r="R9241" t="s">
        <v>47433</v>
      </c>
      <c r="S9241" t="s">
        <v>47633</v>
      </c>
      <c r="T9241" t="s">
        <v>49160</v>
      </c>
      <c r="U9241" t="s">
        <v>57319</v>
      </c>
      <c r="W9241" t="s">
        <v>46231</v>
      </c>
      <c r="X9241" t="s">
        <v>47435</v>
      </c>
    </row>
    <row r="9242" spans="1:24">
      <c r="A9242">
        <f>HYPERLINK("https://www.philgeps.gov.ph/GEPSNONPILOT/Tender/SplashBidNoticeAbstractUI.aspx?menuIndex=3&amp;refID=7149059&amp;Result=3","7149059")</f>
        <v>0</v>
      </c>
      <c r="B9242" t="s">
        <v>2969</v>
      </c>
      <c r="C9242" t="s">
        <v>12604</v>
      </c>
      <c r="D9242" t="s">
        <v>19027</v>
      </c>
      <c r="E9242" t="s">
        <v>19937</v>
      </c>
      <c r="F9242" t="s">
        <v>32831</v>
      </c>
      <c r="G9242" t="s">
        <v>32838</v>
      </c>
      <c r="H9242" t="s">
        <v>32848</v>
      </c>
      <c r="I9242" t="s">
        <v>4487</v>
      </c>
      <c r="J9242" t="s">
        <v>33500</v>
      </c>
      <c r="K9242" t="s">
        <v>42732</v>
      </c>
      <c r="M9242" t="s">
        <v>46232</v>
      </c>
      <c r="N9242" t="s">
        <v>47424</v>
      </c>
      <c r="O9242" t="s">
        <v>47425</v>
      </c>
      <c r="P9242">
        <v>0</v>
      </c>
      <c r="Q9242">
        <v>3</v>
      </c>
      <c r="R9242" t="s">
        <v>47433</v>
      </c>
      <c r="S9242" t="s">
        <v>47633</v>
      </c>
      <c r="T9242" t="s">
        <v>49370</v>
      </c>
      <c r="U9242" t="s">
        <v>56834</v>
      </c>
      <c r="W9242" t="s">
        <v>46232</v>
      </c>
      <c r="X9242" t="s">
        <v>47435</v>
      </c>
    </row>
    <row r="9243" spans="1:24">
      <c r="A9243">
        <f>HYPERLINK("https://www.philgeps.gov.ph/GEPSNONPILOT/Tender/SplashBidNoticeAbstractUI.aspx?menuIndex=3&amp;refID=7148939&amp;Result=3","7148939")</f>
        <v>0</v>
      </c>
      <c r="B9243" t="s">
        <v>2970</v>
      </c>
      <c r="C9243" t="s">
        <v>12605</v>
      </c>
      <c r="D9243" t="s">
        <v>19054</v>
      </c>
      <c r="E9243" t="s">
        <v>27088</v>
      </c>
      <c r="F9243" t="s">
        <v>32831</v>
      </c>
      <c r="G9243" t="s">
        <v>32839</v>
      </c>
      <c r="H9243" t="s">
        <v>32848</v>
      </c>
      <c r="I9243" t="s">
        <v>32929</v>
      </c>
      <c r="J9243" t="s">
        <v>38712</v>
      </c>
      <c r="K9243" t="s">
        <v>42730</v>
      </c>
      <c r="M9243" t="s">
        <v>46233</v>
      </c>
      <c r="N9243" t="s">
        <v>47424</v>
      </c>
      <c r="O9243" t="s">
        <v>47425</v>
      </c>
      <c r="P9243">
        <v>0</v>
      </c>
      <c r="Q9243">
        <v>2</v>
      </c>
      <c r="R9243" t="s">
        <v>47433</v>
      </c>
      <c r="S9243" t="s">
        <v>47633</v>
      </c>
      <c r="T9243" t="s">
        <v>49125</v>
      </c>
      <c r="U9243" t="s">
        <v>57320</v>
      </c>
      <c r="V9243" t="s">
        <v>63641</v>
      </c>
      <c r="W9243" t="s">
        <v>46233</v>
      </c>
      <c r="X9243" t="s">
        <v>47435</v>
      </c>
    </row>
    <row r="9244" spans="1:24">
      <c r="A9244">
        <f>HYPERLINK("https://www.philgeps.gov.ph/GEPSNONPILOT/Tender/SplashBidNoticeAbstractUI.aspx?menuIndex=3&amp;refID=7148344&amp;Result=3","7148344")</f>
        <v>0</v>
      </c>
      <c r="B9244" t="s">
        <v>2418</v>
      </c>
      <c r="C9244" t="s">
        <v>12606</v>
      </c>
      <c r="D9244" t="s">
        <v>19027</v>
      </c>
      <c r="E9244" t="s">
        <v>27089</v>
      </c>
      <c r="F9244" t="s">
        <v>32831</v>
      </c>
      <c r="G9244" t="s">
        <v>32839</v>
      </c>
      <c r="H9244" t="s">
        <v>32848</v>
      </c>
      <c r="I9244" t="s">
        <v>9577</v>
      </c>
      <c r="J9244" t="s">
        <v>38713</v>
      </c>
      <c r="K9244" t="s">
        <v>42732</v>
      </c>
      <c r="M9244" t="s">
        <v>45613</v>
      </c>
      <c r="N9244" t="s">
        <v>47424</v>
      </c>
      <c r="O9244" t="s">
        <v>47425</v>
      </c>
      <c r="P9244">
        <v>0</v>
      </c>
      <c r="Q9244">
        <v>0</v>
      </c>
      <c r="R9244" t="s">
        <v>47433</v>
      </c>
      <c r="S9244" t="s">
        <v>47633</v>
      </c>
      <c r="T9244" t="s">
        <v>49243</v>
      </c>
      <c r="U9244" t="s">
        <v>57321</v>
      </c>
      <c r="V9244" t="s">
        <v>63379</v>
      </c>
      <c r="W9244" t="s">
        <v>45613</v>
      </c>
      <c r="X9244" t="s">
        <v>47437</v>
      </c>
    </row>
    <row r="9245" spans="1:24">
      <c r="A9245">
        <f>HYPERLINK("https://www.philgeps.gov.ph/GEPSNONPILOT/Tender/SplashBidNoticeAbstractUI.aspx?menuIndex=3&amp;refID=7149025&amp;Result=3","7149025")</f>
        <v>0</v>
      </c>
      <c r="B9245" t="s">
        <v>1748</v>
      </c>
      <c r="C9245" t="s">
        <v>9046</v>
      </c>
      <c r="D9245" t="s">
        <v>19048</v>
      </c>
      <c r="E9245" t="s">
        <v>27090</v>
      </c>
      <c r="F9245" t="s">
        <v>32831</v>
      </c>
      <c r="G9245" t="s">
        <v>32839</v>
      </c>
      <c r="H9245" t="s">
        <v>32848</v>
      </c>
      <c r="I9245" t="s">
        <v>7416</v>
      </c>
      <c r="J9245" t="s">
        <v>38714</v>
      </c>
      <c r="K9245" t="s">
        <v>42742</v>
      </c>
      <c r="M9245" t="s">
        <v>44872</v>
      </c>
      <c r="N9245" t="s">
        <v>47424</v>
      </c>
      <c r="O9245" t="s">
        <v>47425</v>
      </c>
      <c r="P9245">
        <v>0</v>
      </c>
      <c r="Q9245">
        <v>0</v>
      </c>
      <c r="R9245" t="s">
        <v>47433</v>
      </c>
      <c r="S9245" t="s">
        <v>47633</v>
      </c>
      <c r="T9245" t="s">
        <v>49214</v>
      </c>
      <c r="U9245" t="s">
        <v>57322</v>
      </c>
      <c r="V9245" t="s">
        <v>63110</v>
      </c>
      <c r="W9245" t="s">
        <v>44872</v>
      </c>
      <c r="X9245" t="s">
        <v>47435</v>
      </c>
    </row>
    <row r="9246" spans="1:24">
      <c r="A9246">
        <f>HYPERLINK("https://www.philgeps.gov.ph/GEPSNONPILOT/Tender/SplashBidNoticeAbstractUI.aspx?menuIndex=3&amp;refID=7148340&amp;Result=3","7148340")</f>
        <v>0</v>
      </c>
      <c r="B9246" t="s">
        <v>2418</v>
      </c>
      <c r="C9246" t="s">
        <v>12607</v>
      </c>
      <c r="D9246" t="s">
        <v>19027</v>
      </c>
      <c r="E9246" t="s">
        <v>27091</v>
      </c>
      <c r="F9246" t="s">
        <v>32831</v>
      </c>
      <c r="G9246" t="s">
        <v>32839</v>
      </c>
      <c r="H9246" t="s">
        <v>32848</v>
      </c>
      <c r="I9246" t="s">
        <v>4487</v>
      </c>
      <c r="J9246" t="s">
        <v>33364</v>
      </c>
      <c r="K9246" t="s">
        <v>42732</v>
      </c>
      <c r="M9246" t="s">
        <v>45613</v>
      </c>
      <c r="N9246" t="s">
        <v>47424</v>
      </c>
      <c r="O9246" t="s">
        <v>47425</v>
      </c>
      <c r="P9246">
        <v>0</v>
      </c>
      <c r="Q9246">
        <v>0</v>
      </c>
      <c r="R9246" t="s">
        <v>47433</v>
      </c>
      <c r="S9246" t="s">
        <v>47633</v>
      </c>
      <c r="T9246" t="s">
        <v>49243</v>
      </c>
      <c r="U9246" t="s">
        <v>57323</v>
      </c>
      <c r="V9246" t="s">
        <v>63379</v>
      </c>
      <c r="W9246" t="s">
        <v>45613</v>
      </c>
      <c r="X9246" t="s">
        <v>47437</v>
      </c>
    </row>
    <row r="9247" spans="1:24">
      <c r="A9247">
        <f>HYPERLINK("https://www.philgeps.gov.ph/GEPSNONPILOT/Tender/SplashBidNoticeAbstractUI.aspx?menuIndex=3&amp;refID=7149004&amp;Result=3","7149004")</f>
        <v>0</v>
      </c>
      <c r="B9247" t="s">
        <v>1748</v>
      </c>
      <c r="C9247" t="s">
        <v>12608</v>
      </c>
      <c r="D9247" t="s">
        <v>19048</v>
      </c>
      <c r="E9247" t="s">
        <v>19203</v>
      </c>
      <c r="F9247" t="s">
        <v>32831</v>
      </c>
      <c r="G9247" t="s">
        <v>32839</v>
      </c>
      <c r="H9247" t="s">
        <v>32848</v>
      </c>
      <c r="I9247" t="s">
        <v>7416</v>
      </c>
      <c r="J9247" t="s">
        <v>38715</v>
      </c>
      <c r="K9247" t="s">
        <v>42742</v>
      </c>
      <c r="M9247" t="s">
        <v>44872</v>
      </c>
      <c r="N9247" t="s">
        <v>47424</v>
      </c>
      <c r="O9247" t="s">
        <v>47425</v>
      </c>
      <c r="P9247">
        <v>0</v>
      </c>
      <c r="Q9247">
        <v>0</v>
      </c>
      <c r="R9247" t="s">
        <v>47433</v>
      </c>
      <c r="S9247" t="s">
        <v>47633</v>
      </c>
      <c r="T9247" t="s">
        <v>49214</v>
      </c>
      <c r="U9247" t="s">
        <v>57324</v>
      </c>
      <c r="V9247" t="s">
        <v>63642</v>
      </c>
      <c r="W9247" t="s">
        <v>44872</v>
      </c>
      <c r="X9247" t="s">
        <v>47435</v>
      </c>
    </row>
    <row r="9248" spans="1:24">
      <c r="A9248">
        <f>HYPERLINK("https://www.philgeps.gov.ph/GEPSNONPILOT/Tender/SplashBidNoticeAbstractUI.aspx?menuIndex=3&amp;refID=7148604&amp;Result=3","7148604")</f>
        <v>0</v>
      </c>
      <c r="B9248" t="s">
        <v>2059</v>
      </c>
      <c r="C9248" t="s">
        <v>12580</v>
      </c>
      <c r="D9248" t="s">
        <v>19057</v>
      </c>
      <c r="E9248" t="s">
        <v>27092</v>
      </c>
      <c r="F9248" t="s">
        <v>32831</v>
      </c>
      <c r="G9248" t="s">
        <v>32839</v>
      </c>
      <c r="H9248" t="s">
        <v>32848</v>
      </c>
      <c r="I9248" t="s">
        <v>6526</v>
      </c>
      <c r="J9248" t="s">
        <v>38716</v>
      </c>
      <c r="K9248" t="s">
        <v>42732</v>
      </c>
      <c r="M9248" t="s">
        <v>45229</v>
      </c>
      <c r="N9248" t="s">
        <v>47424</v>
      </c>
      <c r="O9248" t="s">
        <v>47425</v>
      </c>
      <c r="P9248">
        <v>0</v>
      </c>
      <c r="Q9248">
        <v>0</v>
      </c>
      <c r="R9248" t="s">
        <v>47433</v>
      </c>
      <c r="S9248" t="s">
        <v>47633</v>
      </c>
      <c r="T9248" t="s">
        <v>49415</v>
      </c>
      <c r="U9248" t="s">
        <v>57299</v>
      </c>
      <c r="W9248" t="s">
        <v>45229</v>
      </c>
      <c r="X9248" t="s">
        <v>47436</v>
      </c>
    </row>
    <row r="9249" spans="1:24">
      <c r="A9249">
        <f>HYPERLINK("https://www.philgeps.gov.ph/GEPSNONPILOT/Tender/SplashBidNoticeAbstractUI.aspx?menuIndex=3&amp;refID=7148937&amp;Result=3","7148937")</f>
        <v>0</v>
      </c>
      <c r="B9249" t="s">
        <v>958</v>
      </c>
      <c r="C9249" t="s">
        <v>12609</v>
      </c>
      <c r="D9249" t="s">
        <v>19049</v>
      </c>
      <c r="E9249" t="s">
        <v>27093</v>
      </c>
      <c r="F9249" t="s">
        <v>32831</v>
      </c>
      <c r="G9249" t="s">
        <v>32838</v>
      </c>
      <c r="H9249" t="s">
        <v>32848</v>
      </c>
      <c r="I9249" t="s">
        <v>5379</v>
      </c>
      <c r="J9249" t="s">
        <v>32983</v>
      </c>
      <c r="K9249" t="s">
        <v>42732</v>
      </c>
      <c r="M9249" t="s">
        <v>44004</v>
      </c>
      <c r="N9249" t="s">
        <v>47424</v>
      </c>
      <c r="O9249" t="s">
        <v>47425</v>
      </c>
      <c r="P9249">
        <v>0</v>
      </c>
      <c r="Q9249">
        <v>0</v>
      </c>
      <c r="R9249" t="s">
        <v>47433</v>
      </c>
      <c r="S9249" t="s">
        <v>47633</v>
      </c>
      <c r="T9249" t="s">
        <v>49212</v>
      </c>
      <c r="U9249" t="s">
        <v>57325</v>
      </c>
      <c r="W9249" t="s">
        <v>44004</v>
      </c>
      <c r="X9249" t="s">
        <v>47435</v>
      </c>
    </row>
    <row r="9250" spans="1:24">
      <c r="A9250">
        <f>HYPERLINK("https://www.philgeps.gov.ph/GEPSNONPILOT/Tender/SplashBidNoticeAbstractUI.aspx?menuIndex=3&amp;refID=7149014&amp;Result=3","7149014")</f>
        <v>0</v>
      </c>
      <c r="B9250" t="s">
        <v>1748</v>
      </c>
      <c r="C9250" t="s">
        <v>12610</v>
      </c>
      <c r="D9250" t="s">
        <v>19048</v>
      </c>
      <c r="E9250" t="s">
        <v>21081</v>
      </c>
      <c r="F9250" t="s">
        <v>32831</v>
      </c>
      <c r="G9250" t="s">
        <v>32839</v>
      </c>
      <c r="H9250" t="s">
        <v>32848</v>
      </c>
      <c r="I9250" t="s">
        <v>32852</v>
      </c>
      <c r="J9250" t="s">
        <v>38717</v>
      </c>
      <c r="K9250" t="s">
        <v>42742</v>
      </c>
      <c r="M9250" t="s">
        <v>44872</v>
      </c>
      <c r="N9250" t="s">
        <v>47424</v>
      </c>
      <c r="O9250" t="s">
        <v>47425</v>
      </c>
      <c r="P9250">
        <v>0</v>
      </c>
      <c r="Q9250">
        <v>1</v>
      </c>
      <c r="R9250" t="s">
        <v>47433</v>
      </c>
      <c r="S9250" t="s">
        <v>47633</v>
      </c>
      <c r="T9250" t="s">
        <v>49214</v>
      </c>
      <c r="U9250" t="s">
        <v>57326</v>
      </c>
      <c r="V9250" t="s">
        <v>63110</v>
      </c>
      <c r="W9250" t="s">
        <v>44872</v>
      </c>
      <c r="X9250" t="s">
        <v>47435</v>
      </c>
    </row>
    <row r="9251" spans="1:24">
      <c r="A9251">
        <f>HYPERLINK("https://www.philgeps.gov.ph/GEPSNONPILOT/Tender/SplashBidNoticeAbstractUI.aspx?menuIndex=3&amp;refID=7149264&amp;Result=3","7149264")</f>
        <v>0</v>
      </c>
      <c r="B9251" t="s">
        <v>108</v>
      </c>
      <c r="C9251" t="s">
        <v>12611</v>
      </c>
      <c r="D9251" t="s">
        <v>19058</v>
      </c>
      <c r="E9251" t="s">
        <v>27094</v>
      </c>
      <c r="F9251" t="s">
        <v>32831</v>
      </c>
      <c r="G9251" t="s">
        <v>32839</v>
      </c>
      <c r="H9251" t="s">
        <v>32848</v>
      </c>
      <c r="I9251" t="s">
        <v>7416</v>
      </c>
      <c r="J9251" t="s">
        <v>38718</v>
      </c>
      <c r="K9251" t="s">
        <v>42732</v>
      </c>
      <c r="M9251" t="s">
        <v>43105</v>
      </c>
      <c r="N9251" t="s">
        <v>47424</v>
      </c>
      <c r="O9251" t="s">
        <v>47425</v>
      </c>
      <c r="P9251">
        <v>0</v>
      </c>
      <c r="Q9251">
        <v>0</v>
      </c>
      <c r="R9251" t="s">
        <v>47433</v>
      </c>
      <c r="S9251" t="s">
        <v>47633</v>
      </c>
      <c r="T9251" t="s">
        <v>49243</v>
      </c>
      <c r="U9251" t="s">
        <v>57327</v>
      </c>
      <c r="W9251" t="s">
        <v>43105</v>
      </c>
      <c r="X9251" t="s">
        <v>47434</v>
      </c>
    </row>
    <row r="9252" spans="1:24">
      <c r="A9252">
        <f>HYPERLINK("https://www.philgeps.gov.ph/GEPSNONPILOT/Tender/SplashBidNoticeAbstractUI.aspx?menuIndex=3&amp;refID=7149261&amp;Result=3","7149261")</f>
        <v>0</v>
      </c>
      <c r="B9252" t="s">
        <v>2771</v>
      </c>
      <c r="C9252" t="s">
        <v>12612</v>
      </c>
      <c r="D9252" t="s">
        <v>19023</v>
      </c>
      <c r="E9252" t="s">
        <v>27095</v>
      </c>
      <c r="F9252" t="s">
        <v>32831</v>
      </c>
      <c r="G9252" t="s">
        <v>32839</v>
      </c>
      <c r="H9252" t="s">
        <v>32849</v>
      </c>
      <c r="I9252" t="s">
        <v>4177</v>
      </c>
      <c r="J9252" t="s">
        <v>33078</v>
      </c>
      <c r="K9252" t="s">
        <v>42730</v>
      </c>
      <c r="M9252" t="s">
        <v>46002</v>
      </c>
      <c r="N9252" t="s">
        <v>47424</v>
      </c>
      <c r="O9252" t="s">
        <v>47425</v>
      </c>
      <c r="P9252">
        <v>0</v>
      </c>
      <c r="Q9252">
        <v>0</v>
      </c>
      <c r="R9252" t="s">
        <v>47433</v>
      </c>
      <c r="S9252" t="s">
        <v>47633</v>
      </c>
      <c r="T9252" t="s">
        <v>49532</v>
      </c>
      <c r="U9252" t="s">
        <v>57328</v>
      </c>
      <c r="W9252" t="s">
        <v>46002</v>
      </c>
      <c r="X9252" t="s">
        <v>47434</v>
      </c>
    </row>
    <row r="9253" spans="1:24">
      <c r="A9253">
        <f>HYPERLINK("https://www.philgeps.gov.ph/GEPSNONPILOT/Tender/SplashBidNoticeAbstractUI.aspx?menuIndex=3&amp;refID=7149265&amp;Result=3","7149265")</f>
        <v>0</v>
      </c>
      <c r="B9253" t="s">
        <v>2971</v>
      </c>
      <c r="C9253" t="s">
        <v>12613</v>
      </c>
      <c r="D9253" t="s">
        <v>19034</v>
      </c>
      <c r="E9253" t="s">
        <v>19555</v>
      </c>
      <c r="F9253" t="s">
        <v>32831</v>
      </c>
      <c r="G9253" t="s">
        <v>32839</v>
      </c>
      <c r="H9253" t="s">
        <v>32848</v>
      </c>
      <c r="I9253" t="s">
        <v>7416</v>
      </c>
      <c r="J9253" t="s">
        <v>38719</v>
      </c>
      <c r="K9253" t="s">
        <v>42726</v>
      </c>
      <c r="L9253" t="s">
        <v>2971</v>
      </c>
      <c r="M9253" t="s">
        <v>46234</v>
      </c>
      <c r="N9253" t="s">
        <v>47424</v>
      </c>
      <c r="O9253" t="s">
        <v>47425</v>
      </c>
      <c r="P9253">
        <v>0</v>
      </c>
      <c r="Q9253">
        <v>0</v>
      </c>
      <c r="R9253" t="s">
        <v>47433</v>
      </c>
      <c r="S9253" t="s">
        <v>47633</v>
      </c>
      <c r="T9253" t="s">
        <v>49163</v>
      </c>
      <c r="U9253" t="s">
        <v>57329</v>
      </c>
      <c r="W9253" t="s">
        <v>46234</v>
      </c>
      <c r="X9253" t="s">
        <v>47434</v>
      </c>
    </row>
    <row r="9254" spans="1:24">
      <c r="A9254">
        <f>HYPERLINK("https://www.philgeps.gov.ph/GEPSNONPILOT/Tender/SplashBidNoticeAbstractUI.aspx?menuIndex=3&amp;refID=7149259&amp;Result=3","7149259")</f>
        <v>0</v>
      </c>
      <c r="B9254" t="s">
        <v>67</v>
      </c>
      <c r="C9254" t="s">
        <v>12614</v>
      </c>
      <c r="D9254" t="s">
        <v>19079</v>
      </c>
      <c r="E9254" t="s">
        <v>27096</v>
      </c>
      <c r="F9254" t="s">
        <v>32831</v>
      </c>
      <c r="G9254" t="s">
        <v>32842</v>
      </c>
      <c r="H9254" t="s">
        <v>32848</v>
      </c>
      <c r="I9254" t="s">
        <v>4471</v>
      </c>
      <c r="J9254" t="s">
        <v>33140</v>
      </c>
      <c r="K9254" t="s">
        <v>42730</v>
      </c>
      <c r="M9254" t="s">
        <v>44461</v>
      </c>
      <c r="N9254" t="s">
        <v>47424</v>
      </c>
      <c r="O9254" t="s">
        <v>47425</v>
      </c>
      <c r="P9254">
        <v>0</v>
      </c>
      <c r="Q9254">
        <v>6</v>
      </c>
      <c r="R9254" t="s">
        <v>47433</v>
      </c>
      <c r="S9254" t="s">
        <v>47633</v>
      </c>
      <c r="T9254" t="s">
        <v>49166</v>
      </c>
      <c r="U9254" t="s">
        <v>57330</v>
      </c>
      <c r="W9254" t="s">
        <v>44461</v>
      </c>
      <c r="X9254" t="s">
        <v>47434</v>
      </c>
    </row>
    <row r="9255" spans="1:24">
      <c r="A9255">
        <f>HYPERLINK("https://www.philgeps.gov.ph/GEPSNONPILOT/Tender/SplashBidNoticeAbstractUI.aspx?menuIndex=3&amp;refID=7149268&amp;Result=3","7149268")</f>
        <v>0</v>
      </c>
      <c r="B9255" t="s">
        <v>108</v>
      </c>
      <c r="C9255" t="s">
        <v>12615</v>
      </c>
      <c r="D9255" t="s">
        <v>19058</v>
      </c>
      <c r="E9255" t="s">
        <v>27097</v>
      </c>
      <c r="F9255" t="s">
        <v>32831</v>
      </c>
      <c r="G9255" t="s">
        <v>32839</v>
      </c>
      <c r="H9255" t="s">
        <v>32848</v>
      </c>
      <c r="I9255" t="s">
        <v>7416</v>
      </c>
      <c r="J9255" t="s">
        <v>38720</v>
      </c>
      <c r="K9255" t="s">
        <v>42732</v>
      </c>
      <c r="M9255" t="s">
        <v>43105</v>
      </c>
      <c r="N9255" t="s">
        <v>47424</v>
      </c>
      <c r="O9255" t="s">
        <v>47425</v>
      </c>
      <c r="P9255">
        <v>0</v>
      </c>
      <c r="Q9255">
        <v>0</v>
      </c>
      <c r="R9255" t="s">
        <v>47433</v>
      </c>
      <c r="S9255" t="s">
        <v>47633</v>
      </c>
      <c r="T9255" t="s">
        <v>49243</v>
      </c>
      <c r="U9255" t="s">
        <v>57331</v>
      </c>
      <c r="W9255" t="s">
        <v>43105</v>
      </c>
      <c r="X9255" t="s">
        <v>47434</v>
      </c>
    </row>
    <row r="9256" spans="1:24">
      <c r="A9256">
        <f>HYPERLINK("https://www.philgeps.gov.ph/GEPSNONPILOT/Tender/SplashBidNoticeAbstractUI.aspx?menuIndex=3&amp;refID=7149255&amp;Result=3","7149255")</f>
        <v>0</v>
      </c>
      <c r="B9256" t="s">
        <v>67</v>
      </c>
      <c r="C9256" t="s">
        <v>12616</v>
      </c>
      <c r="D9256" t="s">
        <v>19079</v>
      </c>
      <c r="E9256" t="s">
        <v>27098</v>
      </c>
      <c r="F9256" t="s">
        <v>32831</v>
      </c>
      <c r="G9256" t="s">
        <v>32842</v>
      </c>
      <c r="H9256" t="s">
        <v>32848</v>
      </c>
      <c r="I9256" t="s">
        <v>4303</v>
      </c>
      <c r="J9256" t="s">
        <v>35912</v>
      </c>
      <c r="K9256" t="s">
        <v>42730</v>
      </c>
      <c r="M9256" t="s">
        <v>44461</v>
      </c>
      <c r="N9256" t="s">
        <v>47424</v>
      </c>
      <c r="O9256" t="s">
        <v>47425</v>
      </c>
      <c r="Q9256">
        <v>0</v>
      </c>
      <c r="R9256" t="s">
        <v>47433</v>
      </c>
      <c r="S9256" t="s">
        <v>47635</v>
      </c>
      <c r="T9256" t="s">
        <v>49063</v>
      </c>
      <c r="U9256" t="s">
        <v>57332</v>
      </c>
      <c r="W9256" t="s">
        <v>44461</v>
      </c>
      <c r="X9256" t="s">
        <v>47434</v>
      </c>
    </row>
    <row r="9257" spans="1:24">
      <c r="A9257">
        <f>HYPERLINK("https://www.philgeps.gov.ph/GEPSNONPILOT/Tender/SplashBidNoticeAbstractUI.aspx?menuIndex=3&amp;refID=7148336&amp;Result=3","7148336")</f>
        <v>0</v>
      </c>
      <c r="B9257" t="s">
        <v>2418</v>
      </c>
      <c r="C9257" t="s">
        <v>12617</v>
      </c>
      <c r="D9257" t="s">
        <v>19027</v>
      </c>
      <c r="E9257" t="s">
        <v>27099</v>
      </c>
      <c r="F9257" t="s">
        <v>32831</v>
      </c>
      <c r="G9257" t="s">
        <v>32839</v>
      </c>
      <c r="H9257" t="s">
        <v>32848</v>
      </c>
      <c r="I9257" t="s">
        <v>8781</v>
      </c>
      <c r="J9257" t="s">
        <v>38721</v>
      </c>
      <c r="K9257" t="s">
        <v>42732</v>
      </c>
      <c r="M9257" t="s">
        <v>45613</v>
      </c>
      <c r="N9257" t="s">
        <v>47424</v>
      </c>
      <c r="O9257" t="s">
        <v>47425</v>
      </c>
      <c r="P9257">
        <v>0</v>
      </c>
      <c r="Q9257">
        <v>0</v>
      </c>
      <c r="R9257" t="s">
        <v>47433</v>
      </c>
      <c r="S9257" t="s">
        <v>47633</v>
      </c>
      <c r="T9257" t="s">
        <v>49243</v>
      </c>
      <c r="U9257" t="s">
        <v>57333</v>
      </c>
      <c r="V9257" t="s">
        <v>63379</v>
      </c>
      <c r="W9257" t="s">
        <v>45613</v>
      </c>
      <c r="X9257" t="s">
        <v>47437</v>
      </c>
    </row>
    <row r="9258" spans="1:24">
      <c r="A9258">
        <f>HYPERLINK("https://www.philgeps.gov.ph/GEPSNONPILOT/Tender/SplashBidNoticeAbstractUI.aspx?menuIndex=3&amp;refID=7149253&amp;Result=3","7149253")</f>
        <v>0</v>
      </c>
      <c r="B9258" t="s">
        <v>1665</v>
      </c>
      <c r="C9258" t="s">
        <v>12618</v>
      </c>
      <c r="D9258" t="s">
        <v>19095</v>
      </c>
      <c r="E9258" t="s">
        <v>27100</v>
      </c>
      <c r="F9258" t="s">
        <v>32831</v>
      </c>
      <c r="G9258" t="s">
        <v>32840</v>
      </c>
      <c r="H9258" t="s">
        <v>32848</v>
      </c>
      <c r="I9258" t="s">
        <v>32862</v>
      </c>
      <c r="J9258" t="s">
        <v>38722</v>
      </c>
      <c r="K9258" t="s">
        <v>42732</v>
      </c>
      <c r="M9258" t="s">
        <v>44782</v>
      </c>
      <c r="N9258" t="s">
        <v>47424</v>
      </c>
      <c r="O9258" t="s">
        <v>47425</v>
      </c>
      <c r="P9258">
        <v>0</v>
      </c>
      <c r="Q9258">
        <v>0</v>
      </c>
      <c r="R9258" t="s">
        <v>47433</v>
      </c>
      <c r="S9258" t="s">
        <v>47633</v>
      </c>
      <c r="T9258" t="s">
        <v>49214</v>
      </c>
      <c r="U9258" t="s">
        <v>57334</v>
      </c>
      <c r="W9258" t="s">
        <v>64483</v>
      </c>
      <c r="X9258" t="s">
        <v>47434</v>
      </c>
    </row>
    <row r="9259" spans="1:24">
      <c r="A9259">
        <f>HYPERLINK("https://www.philgeps.gov.ph/GEPSNONPILOT/Tender/SplashBidNoticeAbstractUI.aspx?menuIndex=3&amp;refID=7149260&amp;Result=3","7149260")</f>
        <v>0</v>
      </c>
      <c r="B9259" t="s">
        <v>1665</v>
      </c>
      <c r="C9259" t="s">
        <v>12619</v>
      </c>
      <c r="D9259" t="s">
        <v>19095</v>
      </c>
      <c r="E9259" t="s">
        <v>27101</v>
      </c>
      <c r="F9259" t="s">
        <v>32831</v>
      </c>
      <c r="G9259" t="s">
        <v>32840</v>
      </c>
      <c r="H9259" t="s">
        <v>32848</v>
      </c>
      <c r="I9259" t="s">
        <v>32870</v>
      </c>
      <c r="J9259" t="s">
        <v>38723</v>
      </c>
      <c r="K9259" t="s">
        <v>42732</v>
      </c>
      <c r="M9259" t="s">
        <v>44782</v>
      </c>
      <c r="N9259" t="s">
        <v>47424</v>
      </c>
      <c r="O9259" t="s">
        <v>47425</v>
      </c>
      <c r="P9259">
        <v>0</v>
      </c>
      <c r="Q9259">
        <v>0</v>
      </c>
      <c r="R9259" t="s">
        <v>47433</v>
      </c>
      <c r="S9259" t="s">
        <v>47633</v>
      </c>
      <c r="T9259" t="s">
        <v>49214</v>
      </c>
      <c r="U9259" t="s">
        <v>57335</v>
      </c>
      <c r="W9259" t="s">
        <v>64483</v>
      </c>
      <c r="X9259" t="s">
        <v>47434</v>
      </c>
    </row>
    <row r="9260" spans="1:24">
      <c r="A9260">
        <f>HYPERLINK("https://www.philgeps.gov.ph/GEPSNONPILOT/Tender/SplashBidNoticeAbstractUI.aspx?menuIndex=3&amp;refID=7149252&amp;Result=3","7149252")</f>
        <v>0</v>
      </c>
      <c r="B9260" t="s">
        <v>67</v>
      </c>
      <c r="C9260" t="s">
        <v>12620</v>
      </c>
      <c r="D9260" t="s">
        <v>19079</v>
      </c>
      <c r="E9260" t="s">
        <v>27102</v>
      </c>
      <c r="F9260" t="s">
        <v>32831</v>
      </c>
      <c r="G9260" t="s">
        <v>32842</v>
      </c>
      <c r="H9260" t="s">
        <v>32848</v>
      </c>
      <c r="I9260" t="s">
        <v>4471</v>
      </c>
      <c r="J9260" t="s">
        <v>33031</v>
      </c>
      <c r="K9260" t="s">
        <v>42730</v>
      </c>
      <c r="M9260" t="s">
        <v>44461</v>
      </c>
      <c r="N9260" t="s">
        <v>47424</v>
      </c>
      <c r="O9260" t="s">
        <v>47425</v>
      </c>
      <c r="Q9260">
        <v>2</v>
      </c>
      <c r="R9260" t="s">
        <v>47433</v>
      </c>
      <c r="S9260" t="s">
        <v>47636</v>
      </c>
      <c r="T9260" t="s">
        <v>49063</v>
      </c>
      <c r="U9260" t="s">
        <v>57336</v>
      </c>
      <c r="W9260" t="s">
        <v>44461</v>
      </c>
      <c r="X9260" t="s">
        <v>47434</v>
      </c>
    </row>
    <row r="9261" spans="1:24">
      <c r="A9261">
        <f>HYPERLINK("https://www.philgeps.gov.ph/GEPSNONPILOT/Tender/SplashBidNoticeAbstractUI.aspx?menuIndex=3&amp;refID=7149333&amp;Result=3","7149333")</f>
        <v>0</v>
      </c>
      <c r="B9261" t="s">
        <v>2968</v>
      </c>
      <c r="C9261" t="s">
        <v>12621</v>
      </c>
      <c r="D9261" t="s">
        <v>19056</v>
      </c>
      <c r="E9261" t="s">
        <v>27103</v>
      </c>
      <c r="F9261" t="s">
        <v>32831</v>
      </c>
      <c r="G9261" t="s">
        <v>32839</v>
      </c>
      <c r="H9261" t="s">
        <v>32849</v>
      </c>
      <c r="I9261" t="s">
        <v>4177</v>
      </c>
      <c r="J9261" t="s">
        <v>32976</v>
      </c>
      <c r="K9261" t="s">
        <v>42727</v>
      </c>
      <c r="M9261" t="s">
        <v>46230</v>
      </c>
      <c r="N9261" t="s">
        <v>47424</v>
      </c>
      <c r="O9261" t="s">
        <v>47425</v>
      </c>
      <c r="P9261">
        <v>0</v>
      </c>
      <c r="Q9261">
        <v>0</v>
      </c>
      <c r="R9261" t="s">
        <v>47433</v>
      </c>
      <c r="S9261" t="s">
        <v>47633</v>
      </c>
      <c r="T9261" t="s">
        <v>49237</v>
      </c>
      <c r="U9261" t="s">
        <v>57337</v>
      </c>
      <c r="W9261" t="s">
        <v>46230</v>
      </c>
      <c r="X9261" t="s">
        <v>47434</v>
      </c>
    </row>
    <row r="9262" spans="1:24">
      <c r="A9262">
        <f>HYPERLINK("https://www.philgeps.gov.ph/GEPSNONPILOT/Tender/SplashBidNoticeAbstractUI.aspx?menuIndex=3&amp;refID=7149258&amp;Result=3","7149258")</f>
        <v>0</v>
      </c>
      <c r="B9262" t="s">
        <v>67</v>
      </c>
      <c r="C9262" t="s">
        <v>12622</v>
      </c>
      <c r="D9262" t="s">
        <v>19079</v>
      </c>
      <c r="E9262" t="s">
        <v>27104</v>
      </c>
      <c r="F9262" t="s">
        <v>32831</v>
      </c>
      <c r="G9262" t="s">
        <v>32842</v>
      </c>
      <c r="H9262" t="s">
        <v>32848</v>
      </c>
      <c r="I9262" t="s">
        <v>4471</v>
      </c>
      <c r="J9262" t="s">
        <v>33486</v>
      </c>
      <c r="K9262" t="s">
        <v>42730</v>
      </c>
      <c r="M9262" t="s">
        <v>44461</v>
      </c>
      <c r="N9262" t="s">
        <v>47424</v>
      </c>
      <c r="O9262" t="s">
        <v>47425</v>
      </c>
      <c r="Q9262">
        <v>8</v>
      </c>
      <c r="R9262" t="s">
        <v>47433</v>
      </c>
      <c r="S9262" t="s">
        <v>47637</v>
      </c>
      <c r="T9262" t="s">
        <v>49063</v>
      </c>
      <c r="U9262" t="s">
        <v>57338</v>
      </c>
      <c r="W9262" t="s">
        <v>44461</v>
      </c>
      <c r="X9262" t="s">
        <v>47434</v>
      </c>
    </row>
    <row r="9263" spans="1:24">
      <c r="A9263">
        <f>HYPERLINK("https://www.philgeps.gov.ph/GEPSNONPILOT/Tender/SplashBidNoticeAbstractUI.aspx?menuIndex=3&amp;refID=7149331&amp;Result=3","7149331")</f>
        <v>0</v>
      </c>
      <c r="B9263" t="s">
        <v>108</v>
      </c>
      <c r="C9263" t="s">
        <v>12623</v>
      </c>
      <c r="D9263" t="s">
        <v>19058</v>
      </c>
      <c r="E9263" t="s">
        <v>27105</v>
      </c>
      <c r="F9263" t="s">
        <v>32831</v>
      </c>
      <c r="G9263" t="s">
        <v>32839</v>
      </c>
      <c r="H9263" t="s">
        <v>32848</v>
      </c>
      <c r="I9263" t="s">
        <v>4471</v>
      </c>
      <c r="J9263" t="s">
        <v>38724</v>
      </c>
      <c r="K9263" t="s">
        <v>42732</v>
      </c>
      <c r="M9263" t="s">
        <v>43105</v>
      </c>
      <c r="N9263" t="s">
        <v>47424</v>
      </c>
      <c r="O9263" t="s">
        <v>47425</v>
      </c>
      <c r="P9263">
        <v>0</v>
      </c>
      <c r="Q9263">
        <v>1</v>
      </c>
      <c r="R9263" t="s">
        <v>47433</v>
      </c>
      <c r="S9263" t="s">
        <v>47633</v>
      </c>
      <c r="T9263" t="s">
        <v>49283</v>
      </c>
      <c r="U9263" t="s">
        <v>57339</v>
      </c>
      <c r="W9263" t="s">
        <v>43105</v>
      </c>
      <c r="X9263" t="s">
        <v>47434</v>
      </c>
    </row>
    <row r="9264" spans="1:24">
      <c r="A9264">
        <f>HYPERLINK("https://www.philgeps.gov.ph/GEPSNONPILOT/Tender/SplashBidNoticeAbstractUI.aspx?menuIndex=3&amp;refID=7149326&amp;Result=3","7149326")</f>
        <v>0</v>
      </c>
      <c r="B9264" t="s">
        <v>1736</v>
      </c>
      <c r="C9264" t="s">
        <v>12624</v>
      </c>
      <c r="D9264" t="s">
        <v>19054</v>
      </c>
      <c r="E9264" t="s">
        <v>27106</v>
      </c>
      <c r="F9264" t="s">
        <v>32831</v>
      </c>
      <c r="G9264" t="s">
        <v>32839</v>
      </c>
      <c r="H9264" t="s">
        <v>32849</v>
      </c>
      <c r="I9264" t="s">
        <v>4177</v>
      </c>
      <c r="J9264" t="s">
        <v>38725</v>
      </c>
      <c r="K9264" t="s">
        <v>42728</v>
      </c>
      <c r="L9264" t="s">
        <v>1736</v>
      </c>
      <c r="M9264" t="s">
        <v>44859</v>
      </c>
      <c r="N9264" t="s">
        <v>47424</v>
      </c>
      <c r="O9264" t="s">
        <v>47425</v>
      </c>
      <c r="P9264">
        <v>0</v>
      </c>
      <c r="Q9264">
        <v>0</v>
      </c>
      <c r="R9264" t="s">
        <v>47433</v>
      </c>
      <c r="S9264" t="s">
        <v>47633</v>
      </c>
      <c r="T9264" t="s">
        <v>49069</v>
      </c>
      <c r="U9264" t="s">
        <v>57340</v>
      </c>
      <c r="V9264" t="s">
        <v>63112</v>
      </c>
      <c r="W9264" t="s">
        <v>44859</v>
      </c>
      <c r="X9264" t="s">
        <v>47434</v>
      </c>
    </row>
    <row r="9265" spans="1:24">
      <c r="A9265">
        <f>HYPERLINK("https://www.philgeps.gov.ph/GEPSNONPILOT/Tender/SplashBidNoticeAbstractUI.aspx?menuIndex=3&amp;refID=7144771&amp;Result=3","7144771")</f>
        <v>0</v>
      </c>
      <c r="B9265" t="s">
        <v>2775</v>
      </c>
      <c r="C9265" t="s">
        <v>12625</v>
      </c>
      <c r="D9265" t="s">
        <v>19027</v>
      </c>
      <c r="E9265" t="s">
        <v>22788</v>
      </c>
      <c r="F9265" t="s">
        <v>32831</v>
      </c>
      <c r="G9265" t="s">
        <v>32841</v>
      </c>
      <c r="H9265" t="s">
        <v>32848</v>
      </c>
      <c r="I9265" t="s">
        <v>32858</v>
      </c>
      <c r="J9265" t="s">
        <v>38726</v>
      </c>
      <c r="K9265" t="s">
        <v>42748</v>
      </c>
      <c r="M9265" t="s">
        <v>46006</v>
      </c>
      <c r="N9265" t="s">
        <v>47424</v>
      </c>
      <c r="O9265" t="s">
        <v>47425</v>
      </c>
      <c r="P9265">
        <v>0</v>
      </c>
      <c r="Q9265">
        <v>1</v>
      </c>
      <c r="R9265" t="s">
        <v>47433</v>
      </c>
      <c r="S9265" t="s">
        <v>47633</v>
      </c>
      <c r="T9265" t="s">
        <v>49111</v>
      </c>
      <c r="U9265" t="s">
        <v>57341</v>
      </c>
      <c r="W9265" t="s">
        <v>46006</v>
      </c>
      <c r="X9265" t="s">
        <v>47439</v>
      </c>
    </row>
    <row r="9266" spans="1:24">
      <c r="A9266">
        <f>HYPERLINK("https://www.philgeps.gov.ph/GEPSNONPILOT/Tender/SplashBidNoticeAbstractUI.aspx?menuIndex=3&amp;refID=7149323&amp;Result=3","7149323")</f>
        <v>0</v>
      </c>
      <c r="B9266" t="s">
        <v>2972</v>
      </c>
      <c r="C9266" t="s">
        <v>12626</v>
      </c>
      <c r="D9266" t="s">
        <v>19017</v>
      </c>
      <c r="E9266" t="s">
        <v>27107</v>
      </c>
      <c r="F9266" t="s">
        <v>32831</v>
      </c>
      <c r="G9266" t="s">
        <v>32840</v>
      </c>
      <c r="H9266" t="s">
        <v>32848</v>
      </c>
      <c r="I9266" t="s">
        <v>4487</v>
      </c>
      <c r="J9266" t="s">
        <v>35628</v>
      </c>
      <c r="K9266" t="s">
        <v>42727</v>
      </c>
      <c r="M9266" t="s">
        <v>46235</v>
      </c>
      <c r="N9266" t="s">
        <v>47424</v>
      </c>
      <c r="O9266" t="s">
        <v>47425</v>
      </c>
      <c r="P9266">
        <v>0</v>
      </c>
      <c r="Q9266">
        <v>24</v>
      </c>
      <c r="R9266" t="s">
        <v>47433</v>
      </c>
      <c r="S9266" t="s">
        <v>47633</v>
      </c>
      <c r="T9266" t="s">
        <v>49198</v>
      </c>
      <c r="U9266" t="s">
        <v>57342</v>
      </c>
      <c r="W9266" t="s">
        <v>46235</v>
      </c>
      <c r="X9266" t="s">
        <v>47434</v>
      </c>
    </row>
    <row r="9267" spans="1:24">
      <c r="A9267">
        <f>HYPERLINK("https://www.philgeps.gov.ph/GEPSNONPILOT/Tender/SplashBidNoticeAbstractUI.aspx?menuIndex=3&amp;refID=7149314&amp;Result=3","7149314")</f>
        <v>0</v>
      </c>
      <c r="B9267" t="s">
        <v>2277</v>
      </c>
      <c r="C9267" t="s">
        <v>12627</v>
      </c>
      <c r="D9267" t="s">
        <v>19031</v>
      </c>
      <c r="E9267" t="s">
        <v>27108</v>
      </c>
      <c r="F9267" t="s">
        <v>32831</v>
      </c>
      <c r="G9267" t="s">
        <v>32838</v>
      </c>
      <c r="H9267" t="s">
        <v>32848</v>
      </c>
      <c r="I9267" t="s">
        <v>32898</v>
      </c>
      <c r="J9267" t="s">
        <v>33193</v>
      </c>
      <c r="K9267" t="s">
        <v>42731</v>
      </c>
      <c r="M9267" t="s">
        <v>45461</v>
      </c>
      <c r="N9267" t="s">
        <v>47424</v>
      </c>
      <c r="O9267" t="s">
        <v>47425</v>
      </c>
      <c r="P9267">
        <v>0</v>
      </c>
      <c r="Q9267">
        <v>3</v>
      </c>
      <c r="R9267" t="s">
        <v>47433</v>
      </c>
      <c r="S9267" t="s">
        <v>47633</v>
      </c>
      <c r="T9267" t="s">
        <v>49214</v>
      </c>
      <c r="U9267" t="s">
        <v>57343</v>
      </c>
      <c r="W9267" t="s">
        <v>45461</v>
      </c>
      <c r="X9267" t="s">
        <v>47434</v>
      </c>
    </row>
    <row r="9268" spans="1:24">
      <c r="A9268">
        <f>HYPERLINK("https://www.philgeps.gov.ph/GEPSNONPILOT/Tender/SplashBidNoticeAbstractUI.aspx?menuIndex=3&amp;refID=7149263&amp;Result=3","7149263")</f>
        <v>0</v>
      </c>
      <c r="B9268" t="s">
        <v>1736</v>
      </c>
      <c r="C9268" t="s">
        <v>12628</v>
      </c>
      <c r="D9268" t="s">
        <v>19054</v>
      </c>
      <c r="E9268" t="s">
        <v>27109</v>
      </c>
      <c r="F9268" t="s">
        <v>32831</v>
      </c>
      <c r="G9268" t="s">
        <v>32839</v>
      </c>
      <c r="H9268" t="s">
        <v>32848</v>
      </c>
      <c r="I9268" t="s">
        <v>4471</v>
      </c>
      <c r="J9268" t="s">
        <v>33411</v>
      </c>
      <c r="K9268" t="s">
        <v>42730</v>
      </c>
      <c r="L9268" t="s">
        <v>1736</v>
      </c>
      <c r="M9268" t="s">
        <v>44859</v>
      </c>
      <c r="N9268" t="s">
        <v>47424</v>
      </c>
      <c r="O9268" t="s">
        <v>47425</v>
      </c>
      <c r="P9268">
        <v>0</v>
      </c>
      <c r="Q9268">
        <v>1</v>
      </c>
      <c r="R9268" t="s">
        <v>47433</v>
      </c>
      <c r="S9268" t="s">
        <v>47633</v>
      </c>
      <c r="T9268" t="s">
        <v>49111</v>
      </c>
      <c r="U9268" t="s">
        <v>57344</v>
      </c>
      <c r="V9268" t="s">
        <v>63112</v>
      </c>
      <c r="W9268" t="s">
        <v>44859</v>
      </c>
      <c r="X9268" t="s">
        <v>47434</v>
      </c>
    </row>
    <row r="9269" spans="1:24">
      <c r="A9269">
        <f>HYPERLINK("https://www.philgeps.gov.ph/GEPSNONPILOT/Tender/SplashBidNoticeAbstractUI.aspx?menuIndex=3&amp;refID=7149313&amp;Result=3","7149313")</f>
        <v>0</v>
      </c>
      <c r="B9269" t="s">
        <v>108</v>
      </c>
      <c r="C9269" t="s">
        <v>12629</v>
      </c>
      <c r="D9269" t="s">
        <v>19058</v>
      </c>
      <c r="E9269" t="s">
        <v>27110</v>
      </c>
      <c r="F9269" t="s">
        <v>32831</v>
      </c>
      <c r="G9269" t="s">
        <v>32839</v>
      </c>
      <c r="H9269" t="s">
        <v>32848</v>
      </c>
      <c r="I9269" t="s">
        <v>7416</v>
      </c>
      <c r="J9269" t="s">
        <v>38727</v>
      </c>
      <c r="K9269" t="s">
        <v>42732</v>
      </c>
      <c r="M9269" t="s">
        <v>43105</v>
      </c>
      <c r="N9269" t="s">
        <v>47424</v>
      </c>
      <c r="O9269" t="s">
        <v>47425</v>
      </c>
      <c r="P9269">
        <v>0</v>
      </c>
      <c r="Q9269">
        <v>0</v>
      </c>
      <c r="R9269" t="s">
        <v>47433</v>
      </c>
      <c r="S9269" t="s">
        <v>47633</v>
      </c>
      <c r="T9269" t="s">
        <v>49243</v>
      </c>
      <c r="U9269" t="s">
        <v>57345</v>
      </c>
      <c r="W9269" t="s">
        <v>43105</v>
      </c>
      <c r="X9269" t="s">
        <v>47434</v>
      </c>
    </row>
    <row r="9270" spans="1:24">
      <c r="A9270">
        <f>HYPERLINK("https://www.philgeps.gov.ph/GEPSNONPILOT/Tender/SplashBidNoticeAbstractUI.aspx?menuIndex=3&amp;refID=7149324&amp;Result=3","7149324")</f>
        <v>0</v>
      </c>
      <c r="B9270" t="s">
        <v>2968</v>
      </c>
      <c r="C9270" t="s">
        <v>12630</v>
      </c>
      <c r="D9270" t="s">
        <v>19056</v>
      </c>
      <c r="E9270" t="s">
        <v>27111</v>
      </c>
      <c r="F9270" t="s">
        <v>32831</v>
      </c>
      <c r="G9270" t="s">
        <v>32839</v>
      </c>
      <c r="H9270" t="s">
        <v>32849</v>
      </c>
      <c r="I9270" t="s">
        <v>4177</v>
      </c>
      <c r="J9270" t="s">
        <v>38728</v>
      </c>
      <c r="K9270" t="s">
        <v>42727</v>
      </c>
      <c r="M9270" t="s">
        <v>46230</v>
      </c>
      <c r="N9270" t="s">
        <v>47424</v>
      </c>
      <c r="O9270" t="s">
        <v>47425</v>
      </c>
      <c r="P9270">
        <v>0</v>
      </c>
      <c r="Q9270">
        <v>0</v>
      </c>
      <c r="R9270" t="s">
        <v>47433</v>
      </c>
      <c r="S9270" t="s">
        <v>47633</v>
      </c>
      <c r="T9270" t="s">
        <v>49237</v>
      </c>
      <c r="U9270" t="s">
        <v>57346</v>
      </c>
      <c r="W9270" t="s">
        <v>46230</v>
      </c>
      <c r="X9270" t="s">
        <v>47434</v>
      </c>
    </row>
    <row r="9271" spans="1:24">
      <c r="A9271">
        <f>HYPERLINK("https://www.philgeps.gov.ph/GEPSNONPILOT/Tender/SplashBidNoticeAbstractUI.aspx?menuIndex=3&amp;refID=7149308&amp;Result=3","7149308")</f>
        <v>0</v>
      </c>
      <c r="B9271" t="s">
        <v>108</v>
      </c>
      <c r="C9271" t="s">
        <v>12631</v>
      </c>
      <c r="D9271" t="s">
        <v>19058</v>
      </c>
      <c r="E9271" t="s">
        <v>27112</v>
      </c>
      <c r="F9271" t="s">
        <v>32831</v>
      </c>
      <c r="G9271" t="s">
        <v>32839</v>
      </c>
      <c r="H9271" t="s">
        <v>32848</v>
      </c>
      <c r="I9271" t="s">
        <v>7416</v>
      </c>
      <c r="J9271" t="s">
        <v>38729</v>
      </c>
      <c r="K9271" t="s">
        <v>42732</v>
      </c>
      <c r="M9271" t="s">
        <v>43105</v>
      </c>
      <c r="N9271" t="s">
        <v>47424</v>
      </c>
      <c r="O9271" t="s">
        <v>47425</v>
      </c>
      <c r="P9271">
        <v>0</v>
      </c>
      <c r="Q9271">
        <v>0</v>
      </c>
      <c r="R9271" t="s">
        <v>47433</v>
      </c>
      <c r="S9271" t="s">
        <v>47633</v>
      </c>
      <c r="T9271" t="s">
        <v>49243</v>
      </c>
      <c r="U9271" t="s">
        <v>57347</v>
      </c>
      <c r="W9271" t="s">
        <v>43105</v>
      </c>
      <c r="X9271" t="s">
        <v>47434</v>
      </c>
    </row>
    <row r="9272" spans="1:24">
      <c r="A9272">
        <f>HYPERLINK("https://www.philgeps.gov.ph/GEPSNONPILOT/Tender/SplashBidNoticeAbstractUI.aspx?menuIndex=3&amp;refID=7149320&amp;Result=3","7149320")</f>
        <v>0</v>
      </c>
      <c r="B9272" t="s">
        <v>108</v>
      </c>
      <c r="C9272" t="s">
        <v>12632</v>
      </c>
      <c r="D9272" t="s">
        <v>19058</v>
      </c>
      <c r="E9272" t="s">
        <v>27113</v>
      </c>
      <c r="F9272" t="s">
        <v>32831</v>
      </c>
      <c r="G9272" t="s">
        <v>32839</v>
      </c>
      <c r="H9272" t="s">
        <v>32848</v>
      </c>
      <c r="I9272" t="s">
        <v>7416</v>
      </c>
      <c r="J9272" t="s">
        <v>38730</v>
      </c>
      <c r="K9272" t="s">
        <v>42732</v>
      </c>
      <c r="M9272" t="s">
        <v>43105</v>
      </c>
      <c r="N9272" t="s">
        <v>47424</v>
      </c>
      <c r="O9272" t="s">
        <v>47425</v>
      </c>
      <c r="P9272">
        <v>0</v>
      </c>
      <c r="Q9272">
        <v>0</v>
      </c>
      <c r="R9272" t="s">
        <v>47433</v>
      </c>
      <c r="S9272" t="s">
        <v>47633</v>
      </c>
      <c r="T9272" t="s">
        <v>49243</v>
      </c>
      <c r="U9272" t="s">
        <v>57348</v>
      </c>
      <c r="W9272" t="s">
        <v>43105</v>
      </c>
      <c r="X9272" t="s">
        <v>47434</v>
      </c>
    </row>
    <row r="9273" spans="1:24">
      <c r="A9273">
        <f>HYPERLINK("https://www.philgeps.gov.ph/GEPSNONPILOT/Tender/SplashBidNoticeAbstractUI.aspx?menuIndex=3&amp;refID=7149297&amp;Result=3","7149297")</f>
        <v>0</v>
      </c>
      <c r="B9273" t="s">
        <v>108</v>
      </c>
      <c r="C9273" t="s">
        <v>12633</v>
      </c>
      <c r="D9273" t="s">
        <v>19058</v>
      </c>
      <c r="E9273" t="s">
        <v>27114</v>
      </c>
      <c r="F9273" t="s">
        <v>32831</v>
      </c>
      <c r="G9273" t="s">
        <v>32839</v>
      </c>
      <c r="H9273" t="s">
        <v>32848</v>
      </c>
      <c r="I9273" t="s">
        <v>7416</v>
      </c>
      <c r="J9273" t="s">
        <v>38731</v>
      </c>
      <c r="K9273" t="s">
        <v>42732</v>
      </c>
      <c r="M9273" t="s">
        <v>43105</v>
      </c>
      <c r="N9273" t="s">
        <v>47424</v>
      </c>
      <c r="O9273" t="s">
        <v>47425</v>
      </c>
      <c r="P9273">
        <v>0</v>
      </c>
      <c r="Q9273">
        <v>0</v>
      </c>
      <c r="R9273" t="s">
        <v>47433</v>
      </c>
      <c r="S9273" t="s">
        <v>47633</v>
      </c>
      <c r="T9273" t="s">
        <v>49243</v>
      </c>
      <c r="U9273" t="s">
        <v>57349</v>
      </c>
      <c r="W9273" t="s">
        <v>43105</v>
      </c>
      <c r="X9273" t="s">
        <v>47434</v>
      </c>
    </row>
    <row r="9274" spans="1:24">
      <c r="A9274">
        <f>HYPERLINK("https://www.philgeps.gov.ph/GEPSNONPILOT/Tender/SplashBidNoticeAbstractUI.aspx?menuIndex=3&amp;refID=7148851&amp;Result=3","7148851")</f>
        <v>0</v>
      </c>
      <c r="B9274" t="s">
        <v>2973</v>
      </c>
      <c r="C9274" t="s">
        <v>12634</v>
      </c>
      <c r="D9274" t="s">
        <v>19044</v>
      </c>
      <c r="E9274" t="s">
        <v>19219</v>
      </c>
      <c r="F9274" t="s">
        <v>32831</v>
      </c>
      <c r="G9274" t="s">
        <v>32839</v>
      </c>
      <c r="H9274" t="s">
        <v>32848</v>
      </c>
      <c r="I9274" t="s">
        <v>7416</v>
      </c>
      <c r="J9274" t="s">
        <v>38732</v>
      </c>
      <c r="K9274" t="s">
        <v>42730</v>
      </c>
      <c r="M9274" t="s">
        <v>46236</v>
      </c>
      <c r="N9274" t="s">
        <v>47424</v>
      </c>
      <c r="O9274" t="s">
        <v>47425</v>
      </c>
      <c r="P9274">
        <v>0</v>
      </c>
      <c r="Q9274">
        <v>0</v>
      </c>
      <c r="R9274" t="s">
        <v>47433</v>
      </c>
      <c r="S9274" t="s">
        <v>47633</v>
      </c>
      <c r="T9274" t="s">
        <v>49237</v>
      </c>
      <c r="U9274" t="s">
        <v>51857</v>
      </c>
      <c r="V9274" t="s">
        <v>62896</v>
      </c>
      <c r="W9274" t="s">
        <v>46236</v>
      </c>
      <c r="X9274" t="s">
        <v>47436</v>
      </c>
    </row>
    <row r="9275" spans="1:24">
      <c r="A9275">
        <f>HYPERLINK("https://www.philgeps.gov.ph/GEPSNONPILOT/Tender/SplashBidNoticeAbstractUI.aspx?menuIndex=3&amp;refID=7149293&amp;Result=3","7149293")</f>
        <v>0</v>
      </c>
      <c r="B9275" t="s">
        <v>108</v>
      </c>
      <c r="C9275" t="s">
        <v>12635</v>
      </c>
      <c r="D9275" t="s">
        <v>19058</v>
      </c>
      <c r="E9275" t="s">
        <v>27115</v>
      </c>
      <c r="F9275" t="s">
        <v>32831</v>
      </c>
      <c r="G9275" t="s">
        <v>32839</v>
      </c>
      <c r="H9275" t="s">
        <v>32848</v>
      </c>
      <c r="I9275" t="s">
        <v>7416</v>
      </c>
      <c r="J9275" t="s">
        <v>38733</v>
      </c>
      <c r="K9275" t="s">
        <v>42732</v>
      </c>
      <c r="M9275" t="s">
        <v>43105</v>
      </c>
      <c r="N9275" t="s">
        <v>47424</v>
      </c>
      <c r="O9275" t="s">
        <v>47425</v>
      </c>
      <c r="P9275">
        <v>0</v>
      </c>
      <c r="Q9275">
        <v>0</v>
      </c>
      <c r="R9275" t="s">
        <v>47433</v>
      </c>
      <c r="S9275" t="s">
        <v>47633</v>
      </c>
      <c r="T9275" t="s">
        <v>49243</v>
      </c>
      <c r="U9275" t="s">
        <v>57349</v>
      </c>
      <c r="W9275" t="s">
        <v>43105</v>
      </c>
      <c r="X9275" t="s">
        <v>47434</v>
      </c>
    </row>
    <row r="9276" spans="1:24">
      <c r="A9276">
        <f>HYPERLINK("https://www.philgeps.gov.ph/GEPSNONPILOT/Tender/SplashBidNoticeAbstractUI.aspx?menuIndex=3&amp;refID=7149316&amp;Result=3","7149316")</f>
        <v>0</v>
      </c>
      <c r="B9276" t="s">
        <v>2367</v>
      </c>
      <c r="C9276" t="s">
        <v>12636</v>
      </c>
      <c r="E9276" t="s">
        <v>27116</v>
      </c>
      <c r="F9276" t="s">
        <v>32831</v>
      </c>
      <c r="G9276" t="s">
        <v>32839</v>
      </c>
      <c r="H9276" t="s">
        <v>32848</v>
      </c>
      <c r="I9276" t="s">
        <v>7416</v>
      </c>
      <c r="J9276" t="s">
        <v>38734</v>
      </c>
      <c r="K9276" t="s">
        <v>42732</v>
      </c>
      <c r="M9276" t="s">
        <v>45557</v>
      </c>
      <c r="N9276" t="s">
        <v>47424</v>
      </c>
      <c r="O9276" t="s">
        <v>47425</v>
      </c>
      <c r="P9276">
        <v>0</v>
      </c>
      <c r="Q9276">
        <v>3</v>
      </c>
      <c r="R9276" t="s">
        <v>47433</v>
      </c>
      <c r="S9276" t="s">
        <v>47633</v>
      </c>
      <c r="T9276" t="s">
        <v>49265</v>
      </c>
      <c r="U9276" t="s">
        <v>57350</v>
      </c>
      <c r="W9276" t="s">
        <v>45557</v>
      </c>
      <c r="X9276" t="s">
        <v>47434</v>
      </c>
    </row>
    <row r="9277" spans="1:24">
      <c r="A9277">
        <f>HYPERLINK("https://www.philgeps.gov.ph/GEPSNONPILOT/Tender/SplashBidNoticeAbstractUI.aspx?menuIndex=3&amp;refID=7149311&amp;Result=3","7149311")</f>
        <v>0</v>
      </c>
      <c r="B9277" t="s">
        <v>661</v>
      </c>
      <c r="C9277" t="s">
        <v>12637</v>
      </c>
      <c r="D9277" t="s">
        <v>19058</v>
      </c>
      <c r="E9277" t="s">
        <v>27117</v>
      </c>
      <c r="F9277" t="s">
        <v>32831</v>
      </c>
      <c r="G9277" t="s">
        <v>32839</v>
      </c>
      <c r="H9277" t="s">
        <v>32848</v>
      </c>
      <c r="I9277" t="s">
        <v>7416</v>
      </c>
      <c r="J9277" t="s">
        <v>38735</v>
      </c>
      <c r="K9277" t="s">
        <v>42731</v>
      </c>
      <c r="M9277" t="s">
        <v>43679</v>
      </c>
      <c r="N9277" t="s">
        <v>47424</v>
      </c>
      <c r="O9277" t="s">
        <v>47425</v>
      </c>
      <c r="P9277">
        <v>0</v>
      </c>
      <c r="Q9277">
        <v>0</v>
      </c>
      <c r="R9277" t="s">
        <v>47433</v>
      </c>
      <c r="S9277" t="s">
        <v>47633</v>
      </c>
      <c r="T9277" t="s">
        <v>49237</v>
      </c>
      <c r="U9277" t="s">
        <v>57351</v>
      </c>
      <c r="W9277" t="s">
        <v>43679</v>
      </c>
      <c r="X9277" t="s">
        <v>47434</v>
      </c>
    </row>
    <row r="9278" spans="1:24">
      <c r="A9278">
        <f>HYPERLINK("https://www.philgeps.gov.ph/GEPSNONPILOT/Tender/SplashBidNoticeAbstractUI.aspx?menuIndex=3&amp;refID=7149287&amp;Result=3","7149287")</f>
        <v>0</v>
      </c>
      <c r="B9278" t="s">
        <v>108</v>
      </c>
      <c r="C9278" t="s">
        <v>12638</v>
      </c>
      <c r="D9278" t="s">
        <v>19058</v>
      </c>
      <c r="E9278" t="s">
        <v>27118</v>
      </c>
      <c r="F9278" t="s">
        <v>32831</v>
      </c>
      <c r="G9278" t="s">
        <v>32839</v>
      </c>
      <c r="H9278" t="s">
        <v>32848</v>
      </c>
      <c r="I9278" t="s">
        <v>7416</v>
      </c>
      <c r="J9278" t="s">
        <v>35597</v>
      </c>
      <c r="K9278" t="s">
        <v>42732</v>
      </c>
      <c r="M9278" t="s">
        <v>43105</v>
      </c>
      <c r="N9278" t="s">
        <v>47424</v>
      </c>
      <c r="O9278" t="s">
        <v>47425</v>
      </c>
      <c r="P9278">
        <v>0</v>
      </c>
      <c r="Q9278">
        <v>0</v>
      </c>
      <c r="R9278" t="s">
        <v>47433</v>
      </c>
      <c r="S9278" t="s">
        <v>47633</v>
      </c>
      <c r="T9278" t="s">
        <v>49243</v>
      </c>
      <c r="U9278" t="s">
        <v>57352</v>
      </c>
      <c r="W9278" t="s">
        <v>43105</v>
      </c>
      <c r="X9278" t="s">
        <v>47434</v>
      </c>
    </row>
    <row r="9279" spans="1:24">
      <c r="A9279">
        <f>HYPERLINK("https://www.philgeps.gov.ph/GEPSNONPILOT/Tender/SplashBidNoticeAbstractUI.aspx?menuIndex=3&amp;refID=7149273&amp;Result=3","7149273")</f>
        <v>0</v>
      </c>
      <c r="B9279" t="s">
        <v>261</v>
      </c>
      <c r="C9279" t="s">
        <v>12639</v>
      </c>
      <c r="D9279" t="s">
        <v>19059</v>
      </c>
      <c r="E9279" t="s">
        <v>27119</v>
      </c>
      <c r="F9279" t="s">
        <v>32831</v>
      </c>
      <c r="G9279" t="s">
        <v>32839</v>
      </c>
      <c r="H9279" t="s">
        <v>32849</v>
      </c>
      <c r="I9279" t="s">
        <v>4177</v>
      </c>
      <c r="J9279" t="s">
        <v>32983</v>
      </c>
      <c r="K9279" t="s">
        <v>42726</v>
      </c>
      <c r="M9279" t="s">
        <v>43260</v>
      </c>
      <c r="N9279" t="s">
        <v>47424</v>
      </c>
      <c r="O9279" t="s">
        <v>47425</v>
      </c>
      <c r="P9279">
        <v>0</v>
      </c>
      <c r="Q9279">
        <v>2</v>
      </c>
      <c r="R9279" t="s">
        <v>47433</v>
      </c>
      <c r="S9279" t="s">
        <v>47633</v>
      </c>
      <c r="T9279" t="s">
        <v>49237</v>
      </c>
      <c r="U9279" t="s">
        <v>57353</v>
      </c>
      <c r="V9279" t="s">
        <v>63643</v>
      </c>
      <c r="W9279" t="s">
        <v>43260</v>
      </c>
      <c r="X9279" t="s">
        <v>47434</v>
      </c>
    </row>
    <row r="9280" spans="1:24">
      <c r="A9280">
        <f>HYPERLINK("https://www.philgeps.gov.ph/GEPSNONPILOT/Tender/SplashBidNoticeAbstractUI.aspx?menuIndex=3&amp;refID=7149307&amp;Result=3","7149307")</f>
        <v>0</v>
      </c>
      <c r="B9280" t="s">
        <v>192</v>
      </c>
      <c r="C9280" t="s">
        <v>12640</v>
      </c>
      <c r="D9280" t="s">
        <v>19057</v>
      </c>
      <c r="E9280" t="s">
        <v>27120</v>
      </c>
      <c r="F9280" t="s">
        <v>32831</v>
      </c>
      <c r="G9280" t="s">
        <v>32838</v>
      </c>
      <c r="H9280" t="s">
        <v>32848</v>
      </c>
      <c r="I9280" t="s">
        <v>32860</v>
      </c>
      <c r="J9280" t="s">
        <v>38736</v>
      </c>
      <c r="K9280" t="s">
        <v>42730</v>
      </c>
      <c r="M9280" t="s">
        <v>43190</v>
      </c>
      <c r="N9280" t="s">
        <v>47424</v>
      </c>
      <c r="O9280" t="s">
        <v>47425</v>
      </c>
      <c r="P9280">
        <v>0</v>
      </c>
      <c r="Q9280">
        <v>5</v>
      </c>
      <c r="R9280" t="s">
        <v>47433</v>
      </c>
      <c r="S9280" t="s">
        <v>47633</v>
      </c>
      <c r="T9280" t="s">
        <v>49163</v>
      </c>
      <c r="U9280" t="s">
        <v>57354</v>
      </c>
      <c r="W9280" t="s">
        <v>43190</v>
      </c>
      <c r="X9280" t="s">
        <v>47434</v>
      </c>
    </row>
    <row r="9281" spans="1:24">
      <c r="A9281">
        <f>HYPERLINK("https://www.philgeps.gov.ph/GEPSNONPILOT/Tender/SplashBidNoticeAbstractUI.aspx?menuIndex=3&amp;refID=7149270&amp;Result=3","7149270")</f>
        <v>0</v>
      </c>
      <c r="B9281" t="s">
        <v>747</v>
      </c>
      <c r="C9281" t="s">
        <v>12641</v>
      </c>
      <c r="D9281" t="s">
        <v>19041</v>
      </c>
      <c r="E9281" t="s">
        <v>20808</v>
      </c>
      <c r="F9281" t="s">
        <v>32831</v>
      </c>
      <c r="G9281" t="s">
        <v>32839</v>
      </c>
      <c r="H9281" t="s">
        <v>32848</v>
      </c>
      <c r="I9281" t="s">
        <v>7416</v>
      </c>
      <c r="J9281" t="s">
        <v>38737</v>
      </c>
      <c r="K9281" t="s">
        <v>42727</v>
      </c>
      <c r="M9281" t="s">
        <v>43770</v>
      </c>
      <c r="N9281" t="s">
        <v>47424</v>
      </c>
      <c r="O9281" t="s">
        <v>47425</v>
      </c>
      <c r="P9281">
        <v>0</v>
      </c>
      <c r="Q9281">
        <v>0</v>
      </c>
      <c r="R9281" t="s">
        <v>47433</v>
      </c>
      <c r="S9281" t="s">
        <v>47633</v>
      </c>
      <c r="T9281" t="s">
        <v>49130</v>
      </c>
      <c r="U9281" t="s">
        <v>57355</v>
      </c>
      <c r="W9281" t="s">
        <v>43770</v>
      </c>
      <c r="X9281" t="s">
        <v>47434</v>
      </c>
    </row>
    <row r="9282" spans="1:24">
      <c r="A9282">
        <f>HYPERLINK("https://www.philgeps.gov.ph/GEPSNONPILOT/Tender/SplashBidNoticeAbstractUI.aspx?menuIndex=3&amp;refID=7149249&amp;Result=3","7149249")</f>
        <v>0</v>
      </c>
      <c r="B9282" t="s">
        <v>1665</v>
      </c>
      <c r="C9282" t="s">
        <v>12642</v>
      </c>
      <c r="D9282" t="s">
        <v>19095</v>
      </c>
      <c r="E9282" t="s">
        <v>27121</v>
      </c>
      <c r="F9282" t="s">
        <v>32831</v>
      </c>
      <c r="G9282" t="s">
        <v>32840</v>
      </c>
      <c r="H9282" t="s">
        <v>32848</v>
      </c>
      <c r="I9282" t="s">
        <v>5379</v>
      </c>
      <c r="J9282" t="s">
        <v>35743</v>
      </c>
      <c r="K9282" t="s">
        <v>42732</v>
      </c>
      <c r="M9282" t="s">
        <v>44782</v>
      </c>
      <c r="N9282" t="s">
        <v>47424</v>
      </c>
      <c r="O9282" t="s">
        <v>47425</v>
      </c>
      <c r="P9282">
        <v>0</v>
      </c>
      <c r="Q9282">
        <v>0</v>
      </c>
      <c r="R9282" t="s">
        <v>47433</v>
      </c>
      <c r="S9282" t="s">
        <v>47633</v>
      </c>
      <c r="T9282" t="s">
        <v>49214</v>
      </c>
      <c r="U9282" t="s">
        <v>57356</v>
      </c>
      <c r="W9282" t="s">
        <v>64483</v>
      </c>
      <c r="X9282" t="s">
        <v>47434</v>
      </c>
    </row>
    <row r="9283" spans="1:24">
      <c r="A9283">
        <f>HYPERLINK("https://www.philgeps.gov.ph/GEPSNONPILOT/Tender/SplashBidNoticeAbstractUI.aspx?menuIndex=3&amp;refID=7149019&amp;Result=3","7149019")</f>
        <v>0</v>
      </c>
      <c r="B9283" t="s">
        <v>2974</v>
      </c>
      <c r="C9283" t="s">
        <v>12643</v>
      </c>
      <c r="D9283" t="s">
        <v>19038</v>
      </c>
      <c r="E9283" t="s">
        <v>19219</v>
      </c>
      <c r="F9283" t="s">
        <v>32833</v>
      </c>
      <c r="G9283" t="s">
        <v>32839</v>
      </c>
      <c r="H9283" t="s">
        <v>32849</v>
      </c>
      <c r="I9283" t="s">
        <v>4177</v>
      </c>
      <c r="J9283" t="s">
        <v>33978</v>
      </c>
      <c r="K9283" t="s">
        <v>42886</v>
      </c>
      <c r="L9283" t="s">
        <v>2974</v>
      </c>
      <c r="M9283" t="s">
        <v>46237</v>
      </c>
      <c r="N9283" t="s">
        <v>47424</v>
      </c>
      <c r="O9283" t="s">
        <v>47425</v>
      </c>
      <c r="P9283">
        <v>0</v>
      </c>
      <c r="Q9283">
        <v>2</v>
      </c>
      <c r="R9283" t="s">
        <v>47433</v>
      </c>
      <c r="S9283" t="s">
        <v>47633</v>
      </c>
      <c r="T9283" t="s">
        <v>49310</v>
      </c>
      <c r="U9283" t="s">
        <v>57357</v>
      </c>
      <c r="W9283" t="s">
        <v>46237</v>
      </c>
      <c r="X9283" t="s">
        <v>47435</v>
      </c>
    </row>
    <row r="9284" spans="1:24">
      <c r="A9284">
        <f>HYPERLINK("https://www.philgeps.gov.ph/GEPSNONPILOT/Tender/SplashBidNoticeAbstractUI.aspx?menuIndex=3&amp;refID=7149284&amp;Result=3","7149284")</f>
        <v>0</v>
      </c>
      <c r="B9284" t="s">
        <v>108</v>
      </c>
      <c r="C9284" t="s">
        <v>12644</v>
      </c>
      <c r="D9284" t="s">
        <v>19058</v>
      </c>
      <c r="E9284" t="s">
        <v>27122</v>
      </c>
      <c r="F9284" t="s">
        <v>32831</v>
      </c>
      <c r="G9284" t="s">
        <v>32839</v>
      </c>
      <c r="H9284" t="s">
        <v>32848</v>
      </c>
      <c r="I9284" t="s">
        <v>7416</v>
      </c>
      <c r="J9284" t="s">
        <v>38738</v>
      </c>
      <c r="K9284" t="s">
        <v>42732</v>
      </c>
      <c r="M9284" t="s">
        <v>43105</v>
      </c>
      <c r="N9284" t="s">
        <v>47424</v>
      </c>
      <c r="O9284" t="s">
        <v>47425</v>
      </c>
      <c r="P9284">
        <v>0</v>
      </c>
      <c r="Q9284">
        <v>0</v>
      </c>
      <c r="R9284" t="s">
        <v>47433</v>
      </c>
      <c r="S9284" t="s">
        <v>47633</v>
      </c>
      <c r="T9284" t="s">
        <v>49243</v>
      </c>
      <c r="U9284" t="s">
        <v>57358</v>
      </c>
      <c r="W9284" t="s">
        <v>43105</v>
      </c>
      <c r="X9284" t="s">
        <v>47434</v>
      </c>
    </row>
    <row r="9285" spans="1:24">
      <c r="A9285">
        <f>HYPERLINK("https://www.philgeps.gov.ph/GEPSNONPILOT/Tender/SplashBidNoticeAbstractUI.aspx?menuIndex=3&amp;refID=7149251&amp;Result=3","7149251")</f>
        <v>0</v>
      </c>
      <c r="B9285" t="s">
        <v>67</v>
      </c>
      <c r="C9285" t="s">
        <v>12645</v>
      </c>
      <c r="D9285" t="s">
        <v>19079</v>
      </c>
      <c r="E9285" t="s">
        <v>27123</v>
      </c>
      <c r="F9285" t="s">
        <v>32831</v>
      </c>
      <c r="G9285" t="s">
        <v>32842</v>
      </c>
      <c r="H9285" t="s">
        <v>32848</v>
      </c>
      <c r="I9285" t="s">
        <v>4776</v>
      </c>
      <c r="J9285" t="s">
        <v>33072</v>
      </c>
      <c r="K9285" t="s">
        <v>42730</v>
      </c>
      <c r="M9285" t="s">
        <v>44461</v>
      </c>
      <c r="N9285" t="s">
        <v>47424</v>
      </c>
      <c r="O9285" t="s">
        <v>47425</v>
      </c>
      <c r="P9285">
        <v>0</v>
      </c>
      <c r="Q9285">
        <v>1</v>
      </c>
      <c r="R9285" t="s">
        <v>47433</v>
      </c>
      <c r="S9285" t="s">
        <v>47633</v>
      </c>
      <c r="T9285" t="s">
        <v>49166</v>
      </c>
      <c r="U9285" t="s">
        <v>57359</v>
      </c>
      <c r="W9285" t="s">
        <v>44461</v>
      </c>
      <c r="X9285" t="s">
        <v>47434</v>
      </c>
    </row>
    <row r="9286" spans="1:24">
      <c r="A9286">
        <f>HYPERLINK("https://www.philgeps.gov.ph/GEPSNONPILOT/Tender/SplashBidNoticeAbstractUI.aspx?menuIndex=3&amp;refID=7149239&amp;Result=3","7149239")</f>
        <v>0</v>
      </c>
      <c r="B9286" t="s">
        <v>1615</v>
      </c>
      <c r="C9286" t="s">
        <v>12646</v>
      </c>
      <c r="D9286" t="s">
        <v>19038</v>
      </c>
      <c r="E9286" t="s">
        <v>27124</v>
      </c>
      <c r="F9286" t="s">
        <v>32831</v>
      </c>
      <c r="G9286" t="s">
        <v>32839</v>
      </c>
      <c r="H9286" t="s">
        <v>32848</v>
      </c>
      <c r="I9286" t="s">
        <v>7416</v>
      </c>
      <c r="J9286" t="s">
        <v>38739</v>
      </c>
      <c r="K9286" t="s">
        <v>42731</v>
      </c>
      <c r="M9286" t="s">
        <v>44731</v>
      </c>
      <c r="N9286" t="s">
        <v>47424</v>
      </c>
      <c r="O9286" t="s">
        <v>47425</v>
      </c>
      <c r="P9286">
        <v>0</v>
      </c>
      <c r="Q9286">
        <v>0</v>
      </c>
      <c r="R9286" t="s">
        <v>47433</v>
      </c>
      <c r="S9286" t="s">
        <v>47633</v>
      </c>
      <c r="T9286" t="s">
        <v>49166</v>
      </c>
      <c r="U9286" t="s">
        <v>57360</v>
      </c>
      <c r="W9286" t="s">
        <v>44731</v>
      </c>
      <c r="X9286" t="s">
        <v>47434</v>
      </c>
    </row>
    <row r="9287" spans="1:24">
      <c r="A9287">
        <f>HYPERLINK("https://www.philgeps.gov.ph/GEPSNONPILOT/Tender/SplashBidNoticeAbstractUI.aspx?menuIndex=3&amp;refID=7149288&amp;Result=3","7149288")</f>
        <v>0</v>
      </c>
      <c r="B9287" t="s">
        <v>2164</v>
      </c>
      <c r="C9287" t="s">
        <v>12647</v>
      </c>
      <c r="D9287" t="s">
        <v>19020</v>
      </c>
      <c r="E9287" t="s">
        <v>27125</v>
      </c>
      <c r="F9287" t="s">
        <v>32831</v>
      </c>
      <c r="G9287" t="s">
        <v>32839</v>
      </c>
      <c r="H9287" t="s">
        <v>14069</v>
      </c>
      <c r="I9287" t="s">
        <v>32893</v>
      </c>
      <c r="J9287" t="s">
        <v>32980</v>
      </c>
      <c r="K9287" t="s">
        <v>42801</v>
      </c>
      <c r="M9287" t="s">
        <v>45342</v>
      </c>
      <c r="N9287" t="s">
        <v>47424</v>
      </c>
      <c r="O9287" t="s">
        <v>47425</v>
      </c>
      <c r="P9287">
        <v>0</v>
      </c>
      <c r="Q9287">
        <v>0</v>
      </c>
      <c r="R9287" t="s">
        <v>47433</v>
      </c>
      <c r="S9287" t="s">
        <v>47633</v>
      </c>
      <c r="T9287" t="s">
        <v>49445</v>
      </c>
      <c r="U9287" t="s">
        <v>57361</v>
      </c>
      <c r="W9287" t="s">
        <v>45342</v>
      </c>
      <c r="X9287" t="s">
        <v>47434</v>
      </c>
    </row>
    <row r="9288" spans="1:24">
      <c r="A9288">
        <f>HYPERLINK("https://www.philgeps.gov.ph/GEPSNONPILOT/Tender/SplashBidNoticeAbstractUI.aspx?menuIndex=3&amp;refID=7149237&amp;Result=3","7149237")</f>
        <v>0</v>
      </c>
      <c r="B9288" t="s">
        <v>2975</v>
      </c>
      <c r="C9288" t="s">
        <v>12648</v>
      </c>
      <c r="D9288" t="s">
        <v>19020</v>
      </c>
      <c r="E9288" t="s">
        <v>27126</v>
      </c>
      <c r="F9288" t="s">
        <v>32831</v>
      </c>
      <c r="G9288" t="s">
        <v>32839</v>
      </c>
      <c r="H9288" t="s">
        <v>32848</v>
      </c>
      <c r="I9288" t="s">
        <v>7416</v>
      </c>
      <c r="J9288" t="s">
        <v>38740</v>
      </c>
      <c r="K9288" t="s">
        <v>42726</v>
      </c>
      <c r="M9288" t="s">
        <v>46238</v>
      </c>
      <c r="N9288" t="s">
        <v>47424</v>
      </c>
      <c r="O9288" t="s">
        <v>47425</v>
      </c>
      <c r="P9288">
        <v>0</v>
      </c>
      <c r="Q9288">
        <v>1</v>
      </c>
      <c r="R9288" t="s">
        <v>47433</v>
      </c>
      <c r="S9288" t="s">
        <v>47633</v>
      </c>
      <c r="T9288" t="s">
        <v>49177</v>
      </c>
      <c r="U9288" t="s">
        <v>57362</v>
      </c>
      <c r="W9288" t="s">
        <v>46238</v>
      </c>
      <c r="X9288" t="s">
        <v>47434</v>
      </c>
    </row>
    <row r="9289" spans="1:24">
      <c r="A9289">
        <f>HYPERLINK("https://www.philgeps.gov.ph/GEPSNONPILOT/Tender/SplashBidNoticeAbstractUI.aspx?menuIndex=3&amp;refID=7149245&amp;Result=3","7149245")</f>
        <v>0</v>
      </c>
      <c r="B9289" t="s">
        <v>1665</v>
      </c>
      <c r="C9289" t="s">
        <v>12649</v>
      </c>
      <c r="D9289" t="s">
        <v>19095</v>
      </c>
      <c r="E9289" t="s">
        <v>27127</v>
      </c>
      <c r="F9289" t="s">
        <v>32831</v>
      </c>
      <c r="G9289" t="s">
        <v>32840</v>
      </c>
      <c r="H9289" t="s">
        <v>32848</v>
      </c>
      <c r="I9289" t="s">
        <v>32853</v>
      </c>
      <c r="J9289" t="s">
        <v>38741</v>
      </c>
      <c r="K9289" t="s">
        <v>42732</v>
      </c>
      <c r="M9289" t="s">
        <v>44782</v>
      </c>
      <c r="N9289" t="s">
        <v>47424</v>
      </c>
      <c r="O9289" t="s">
        <v>47425</v>
      </c>
      <c r="P9289">
        <v>0</v>
      </c>
      <c r="Q9289">
        <v>0</v>
      </c>
      <c r="R9289" t="s">
        <v>47433</v>
      </c>
      <c r="S9289" t="s">
        <v>47633</v>
      </c>
      <c r="T9289" t="s">
        <v>49214</v>
      </c>
      <c r="U9289" t="s">
        <v>57363</v>
      </c>
      <c r="W9289" t="s">
        <v>64483</v>
      </c>
      <c r="X9289" t="s">
        <v>47434</v>
      </c>
    </row>
    <row r="9290" spans="1:24">
      <c r="A9290">
        <f>HYPERLINK("https://www.philgeps.gov.ph/GEPSNONPILOT/Tender/SplashBidNoticeAbstractUI.aspx?menuIndex=3&amp;refID=7144312&amp;Result=3","7144312")</f>
        <v>0</v>
      </c>
      <c r="B9290" t="s">
        <v>704</v>
      </c>
      <c r="C9290" t="s">
        <v>12650</v>
      </c>
      <c r="D9290" t="s">
        <v>19052</v>
      </c>
      <c r="E9290" t="s">
        <v>27128</v>
      </c>
      <c r="F9290" t="s">
        <v>32831</v>
      </c>
      <c r="G9290" t="s">
        <v>32839</v>
      </c>
      <c r="H9290" t="s">
        <v>32848</v>
      </c>
      <c r="I9290" t="s">
        <v>32868</v>
      </c>
      <c r="J9290" t="s">
        <v>38742</v>
      </c>
      <c r="K9290" t="s">
        <v>42730</v>
      </c>
      <c r="M9290" t="s">
        <v>43723</v>
      </c>
      <c r="N9290" t="s">
        <v>47424</v>
      </c>
      <c r="O9290" t="s">
        <v>47425</v>
      </c>
      <c r="P9290">
        <v>0</v>
      </c>
      <c r="Q9290">
        <v>3</v>
      </c>
      <c r="R9290" t="s">
        <v>47433</v>
      </c>
      <c r="S9290" t="s">
        <v>47633</v>
      </c>
      <c r="T9290" t="s">
        <v>49162</v>
      </c>
      <c r="U9290" t="s">
        <v>57364</v>
      </c>
      <c r="W9290" t="s">
        <v>43723</v>
      </c>
      <c r="X9290" t="s">
        <v>47439</v>
      </c>
    </row>
    <row r="9291" spans="1:24">
      <c r="A9291">
        <f>HYPERLINK("https://www.philgeps.gov.ph/GEPSNONPILOT/Tender/SplashBidNoticeAbstractUI.aspx?menuIndex=3&amp;refID=7149242&amp;Result=3","7149242")</f>
        <v>0</v>
      </c>
      <c r="B9291" t="s">
        <v>2975</v>
      </c>
      <c r="C9291" t="s">
        <v>12651</v>
      </c>
      <c r="D9291" t="s">
        <v>19020</v>
      </c>
      <c r="E9291" t="s">
        <v>27129</v>
      </c>
      <c r="F9291" t="s">
        <v>32831</v>
      </c>
      <c r="G9291" t="s">
        <v>32839</v>
      </c>
      <c r="H9291" t="s">
        <v>32848</v>
      </c>
      <c r="I9291" t="s">
        <v>32853</v>
      </c>
      <c r="J9291" t="s">
        <v>36581</v>
      </c>
      <c r="K9291" t="s">
        <v>42726</v>
      </c>
      <c r="M9291" t="s">
        <v>46238</v>
      </c>
      <c r="N9291" t="s">
        <v>47424</v>
      </c>
      <c r="O9291" t="s">
        <v>47425</v>
      </c>
      <c r="P9291">
        <v>0</v>
      </c>
      <c r="Q9291">
        <v>0</v>
      </c>
      <c r="R9291" t="s">
        <v>47433</v>
      </c>
      <c r="S9291" t="s">
        <v>47633</v>
      </c>
      <c r="T9291" t="s">
        <v>49114</v>
      </c>
      <c r="U9291" t="s">
        <v>57365</v>
      </c>
      <c r="W9291" t="s">
        <v>46238</v>
      </c>
      <c r="X9291" t="s">
        <v>47434</v>
      </c>
    </row>
    <row r="9292" spans="1:24">
      <c r="A9292">
        <f>HYPERLINK("https://www.philgeps.gov.ph/GEPSNONPILOT/Tender/SplashBidNoticeAbstractUI.aspx?menuIndex=3&amp;refID=7144213&amp;Result=3","7144213")</f>
        <v>0</v>
      </c>
      <c r="B9292" t="s">
        <v>342</v>
      </c>
      <c r="C9292" t="s">
        <v>12652</v>
      </c>
      <c r="D9292" t="s">
        <v>19047</v>
      </c>
      <c r="E9292" t="s">
        <v>27130</v>
      </c>
      <c r="F9292" t="s">
        <v>32831</v>
      </c>
      <c r="G9292" t="s">
        <v>32839</v>
      </c>
      <c r="H9292" t="s">
        <v>32848</v>
      </c>
      <c r="I9292" t="s">
        <v>32868</v>
      </c>
      <c r="J9292" t="s">
        <v>38743</v>
      </c>
      <c r="K9292" t="s">
        <v>42747</v>
      </c>
      <c r="M9292" t="s">
        <v>43345</v>
      </c>
      <c r="N9292" t="s">
        <v>47424</v>
      </c>
      <c r="O9292" t="s">
        <v>47425</v>
      </c>
      <c r="P9292">
        <v>0</v>
      </c>
      <c r="Q9292">
        <v>6</v>
      </c>
      <c r="R9292" t="s">
        <v>47433</v>
      </c>
      <c r="S9292" t="s">
        <v>47633</v>
      </c>
      <c r="T9292" t="s">
        <v>49192</v>
      </c>
      <c r="U9292" t="s">
        <v>57366</v>
      </c>
      <c r="W9292" t="s">
        <v>64530</v>
      </c>
      <c r="X9292" t="s">
        <v>47439</v>
      </c>
    </row>
    <row r="9293" spans="1:24">
      <c r="A9293">
        <f>HYPERLINK("https://www.philgeps.gov.ph/GEPSNONPILOT/Tender/SplashBidNoticeAbstractUI.aspx?menuIndex=3&amp;refID=7144095&amp;Result=3","7144095")</f>
        <v>0</v>
      </c>
      <c r="B9293" t="s">
        <v>2976</v>
      </c>
      <c r="C9293" t="s">
        <v>12653</v>
      </c>
      <c r="D9293" t="s">
        <v>19017</v>
      </c>
      <c r="E9293" t="s">
        <v>27131</v>
      </c>
      <c r="F9293" t="s">
        <v>32831</v>
      </c>
      <c r="G9293" t="s">
        <v>32839</v>
      </c>
      <c r="H9293" t="s">
        <v>32848</v>
      </c>
      <c r="I9293" t="s">
        <v>9577</v>
      </c>
      <c r="J9293" t="s">
        <v>38744</v>
      </c>
      <c r="K9293" t="s">
        <v>42726</v>
      </c>
      <c r="M9293" t="s">
        <v>46239</v>
      </c>
      <c r="N9293" t="s">
        <v>47424</v>
      </c>
      <c r="O9293" t="s">
        <v>47425</v>
      </c>
      <c r="P9293">
        <v>0</v>
      </c>
      <c r="Q9293">
        <v>1</v>
      </c>
      <c r="R9293" t="s">
        <v>47433</v>
      </c>
      <c r="S9293" t="s">
        <v>47633</v>
      </c>
      <c r="T9293" t="s">
        <v>49192</v>
      </c>
      <c r="U9293" t="s">
        <v>57367</v>
      </c>
      <c r="V9293" t="s">
        <v>63644</v>
      </c>
      <c r="W9293" t="s">
        <v>46239</v>
      </c>
      <c r="X9293" t="s">
        <v>47439</v>
      </c>
    </row>
    <row r="9294" spans="1:24">
      <c r="A9294">
        <f>HYPERLINK("https://www.philgeps.gov.ph/GEPSNONPILOT/Tender/SplashBidNoticeAbstractUI.aspx?menuIndex=3&amp;refID=7149290&amp;Result=3","7149290")</f>
        <v>0</v>
      </c>
      <c r="B9294" t="s">
        <v>1736</v>
      </c>
      <c r="C9294" t="s">
        <v>12654</v>
      </c>
      <c r="D9294" t="s">
        <v>19054</v>
      </c>
      <c r="E9294" t="s">
        <v>27132</v>
      </c>
      <c r="F9294" t="s">
        <v>32831</v>
      </c>
      <c r="G9294" t="s">
        <v>32839</v>
      </c>
      <c r="H9294" t="s">
        <v>32848</v>
      </c>
      <c r="I9294" t="s">
        <v>32855</v>
      </c>
      <c r="J9294" t="s">
        <v>34104</v>
      </c>
      <c r="K9294" t="s">
        <v>42730</v>
      </c>
      <c r="L9294" t="s">
        <v>1736</v>
      </c>
      <c r="M9294" t="s">
        <v>44859</v>
      </c>
      <c r="N9294" t="s">
        <v>47424</v>
      </c>
      <c r="O9294" t="s">
        <v>47425</v>
      </c>
      <c r="P9294">
        <v>0</v>
      </c>
      <c r="Q9294">
        <v>1</v>
      </c>
      <c r="R9294" t="s">
        <v>47433</v>
      </c>
      <c r="S9294" t="s">
        <v>47633</v>
      </c>
      <c r="T9294" t="s">
        <v>49111</v>
      </c>
      <c r="U9294" t="s">
        <v>57368</v>
      </c>
      <c r="V9294" t="s">
        <v>63645</v>
      </c>
      <c r="W9294" t="s">
        <v>44859</v>
      </c>
      <c r="X9294" t="s">
        <v>47434</v>
      </c>
    </row>
    <row r="9295" spans="1:24">
      <c r="A9295">
        <f>HYPERLINK("https://www.philgeps.gov.ph/GEPSNONPILOT/Tender/SplashBidNoticeAbstractUI.aspx?menuIndex=3&amp;refID=7149227&amp;Result=3","7149227")</f>
        <v>0</v>
      </c>
      <c r="B9295" t="s">
        <v>2977</v>
      </c>
      <c r="C9295" t="s">
        <v>12655</v>
      </c>
      <c r="D9295" t="s">
        <v>19077</v>
      </c>
      <c r="E9295" t="s">
        <v>27133</v>
      </c>
      <c r="F9295" t="s">
        <v>32831</v>
      </c>
      <c r="G9295" t="s">
        <v>32839</v>
      </c>
      <c r="H9295" t="s">
        <v>32849</v>
      </c>
      <c r="I9295" t="s">
        <v>4177</v>
      </c>
      <c r="J9295" t="s">
        <v>38745</v>
      </c>
      <c r="K9295" t="s">
        <v>42730</v>
      </c>
      <c r="M9295" t="s">
        <v>46240</v>
      </c>
      <c r="N9295" t="s">
        <v>47424</v>
      </c>
      <c r="O9295" t="s">
        <v>47425</v>
      </c>
      <c r="P9295">
        <v>0</v>
      </c>
      <c r="Q9295">
        <v>0</v>
      </c>
      <c r="R9295" t="s">
        <v>47433</v>
      </c>
      <c r="S9295" t="s">
        <v>47633</v>
      </c>
      <c r="T9295" t="s">
        <v>49250</v>
      </c>
      <c r="U9295" t="s">
        <v>57369</v>
      </c>
      <c r="W9295" t="s">
        <v>46240</v>
      </c>
      <c r="X9295" t="s">
        <v>47434</v>
      </c>
    </row>
    <row r="9296" spans="1:24">
      <c r="A9296">
        <f>HYPERLINK("https://www.philgeps.gov.ph/GEPSNONPILOT/Tender/SplashBidNoticeAbstractUI.aspx?menuIndex=3&amp;refID=7149224&amp;Result=3","7149224")</f>
        <v>0</v>
      </c>
      <c r="B9296" t="s">
        <v>2977</v>
      </c>
      <c r="C9296" t="s">
        <v>12656</v>
      </c>
      <c r="D9296" t="s">
        <v>19077</v>
      </c>
      <c r="E9296" t="s">
        <v>27088</v>
      </c>
      <c r="F9296" t="s">
        <v>32831</v>
      </c>
      <c r="G9296" t="s">
        <v>32839</v>
      </c>
      <c r="H9296" t="s">
        <v>32849</v>
      </c>
      <c r="I9296" t="s">
        <v>4177</v>
      </c>
      <c r="J9296" t="s">
        <v>38746</v>
      </c>
      <c r="K9296" t="s">
        <v>42727</v>
      </c>
      <c r="M9296" t="s">
        <v>46240</v>
      </c>
      <c r="N9296" t="s">
        <v>47424</v>
      </c>
      <c r="O9296" t="s">
        <v>47425</v>
      </c>
      <c r="P9296">
        <v>0</v>
      </c>
      <c r="Q9296">
        <v>0</v>
      </c>
      <c r="R9296" t="s">
        <v>47433</v>
      </c>
      <c r="S9296" t="s">
        <v>47633</v>
      </c>
      <c r="T9296" t="s">
        <v>49250</v>
      </c>
      <c r="U9296" t="s">
        <v>57370</v>
      </c>
      <c r="W9296" t="s">
        <v>46240</v>
      </c>
      <c r="X9296" t="s">
        <v>47434</v>
      </c>
    </row>
    <row r="9297" spans="1:24">
      <c r="A9297">
        <f>HYPERLINK("https://www.philgeps.gov.ph/GEPSNONPILOT/Tender/SplashBidNoticeAbstractUI.aspx?menuIndex=3&amp;refID=7140403&amp;Result=3","7140403")</f>
        <v>0</v>
      </c>
      <c r="B9297" t="s">
        <v>2978</v>
      </c>
      <c r="C9297" t="s">
        <v>12657</v>
      </c>
      <c r="E9297" t="s">
        <v>27134</v>
      </c>
      <c r="F9297" t="s">
        <v>32831</v>
      </c>
      <c r="G9297" t="s">
        <v>32839</v>
      </c>
      <c r="H9297" t="s">
        <v>32849</v>
      </c>
      <c r="I9297" t="s">
        <v>4177</v>
      </c>
      <c r="J9297" t="s">
        <v>36873</v>
      </c>
      <c r="K9297" t="s">
        <v>42732</v>
      </c>
      <c r="M9297" t="s">
        <v>46241</v>
      </c>
      <c r="N9297" t="s">
        <v>47424</v>
      </c>
      <c r="O9297" t="s">
        <v>47425</v>
      </c>
      <c r="P9297">
        <v>0</v>
      </c>
      <c r="Q9297">
        <v>3</v>
      </c>
      <c r="R9297" t="s">
        <v>47433</v>
      </c>
      <c r="S9297" t="s">
        <v>47633</v>
      </c>
      <c r="T9297" t="s">
        <v>49173</v>
      </c>
      <c r="U9297" t="s">
        <v>57371</v>
      </c>
      <c r="W9297" t="s">
        <v>46241</v>
      </c>
      <c r="X9297" t="s">
        <v>47440</v>
      </c>
    </row>
    <row r="9298" spans="1:24">
      <c r="A9298">
        <f>HYPERLINK("https://www.philgeps.gov.ph/GEPSNONPILOT/Tender/SplashBidNoticeAbstractUI.aspx?menuIndex=3&amp;refID=7144165&amp;Result=3","7144165")</f>
        <v>0</v>
      </c>
      <c r="B9298" t="s">
        <v>2976</v>
      </c>
      <c r="C9298" t="s">
        <v>12658</v>
      </c>
      <c r="D9298" t="s">
        <v>19017</v>
      </c>
      <c r="E9298" t="s">
        <v>27135</v>
      </c>
      <c r="F9298" t="s">
        <v>32831</v>
      </c>
      <c r="G9298" t="s">
        <v>32839</v>
      </c>
      <c r="H9298" t="s">
        <v>32848</v>
      </c>
      <c r="I9298" t="s">
        <v>4340</v>
      </c>
      <c r="J9298" t="s">
        <v>38747</v>
      </c>
      <c r="K9298" t="s">
        <v>42726</v>
      </c>
      <c r="M9298" t="s">
        <v>46239</v>
      </c>
      <c r="N9298" t="s">
        <v>47424</v>
      </c>
      <c r="O9298" t="s">
        <v>47425</v>
      </c>
      <c r="P9298">
        <v>0</v>
      </c>
      <c r="Q9298">
        <v>0</v>
      </c>
      <c r="R9298" t="s">
        <v>47433</v>
      </c>
      <c r="S9298" t="s">
        <v>47633</v>
      </c>
      <c r="T9298" t="s">
        <v>49192</v>
      </c>
      <c r="U9298" t="s">
        <v>57367</v>
      </c>
      <c r="V9298" t="s">
        <v>63646</v>
      </c>
      <c r="W9298" t="s">
        <v>46239</v>
      </c>
      <c r="X9298" t="s">
        <v>47439</v>
      </c>
    </row>
    <row r="9299" spans="1:24">
      <c r="A9299">
        <f>HYPERLINK("https://www.philgeps.gov.ph/GEPSNONPILOT/Tender/SplashBidNoticeAbstractUI.aspx?menuIndex=3&amp;refID=7139616&amp;Result=3","7139616")</f>
        <v>0</v>
      </c>
      <c r="B9299" t="s">
        <v>2979</v>
      </c>
      <c r="C9299" t="s">
        <v>12659</v>
      </c>
      <c r="D9299" t="s">
        <v>19029</v>
      </c>
      <c r="E9299" t="s">
        <v>27136</v>
      </c>
      <c r="F9299" t="s">
        <v>32831</v>
      </c>
      <c r="G9299" t="s">
        <v>32839</v>
      </c>
      <c r="H9299" t="s">
        <v>32849</v>
      </c>
      <c r="I9299" t="s">
        <v>4177</v>
      </c>
      <c r="J9299" t="s">
        <v>35305</v>
      </c>
      <c r="K9299" t="s">
        <v>42730</v>
      </c>
      <c r="M9299" t="s">
        <v>46242</v>
      </c>
      <c r="N9299" t="s">
        <v>47424</v>
      </c>
      <c r="O9299" t="s">
        <v>47425</v>
      </c>
      <c r="P9299">
        <v>0</v>
      </c>
      <c r="Q9299">
        <v>0</v>
      </c>
      <c r="R9299" t="s">
        <v>47433</v>
      </c>
      <c r="S9299" t="s">
        <v>47633</v>
      </c>
      <c r="T9299" t="s">
        <v>49236</v>
      </c>
      <c r="U9299" t="s">
        <v>54685</v>
      </c>
      <c r="W9299" t="s">
        <v>46242</v>
      </c>
      <c r="X9299" t="s">
        <v>47440</v>
      </c>
    </row>
    <row r="9300" spans="1:24">
      <c r="A9300">
        <f>HYPERLINK("https://www.philgeps.gov.ph/GEPSNONPILOT/Tender/SplashBidNoticeAbstractUI.aspx?menuIndex=3&amp;refID=7139552&amp;Result=3","7139552")</f>
        <v>0</v>
      </c>
      <c r="B9300" t="s">
        <v>2979</v>
      </c>
      <c r="C9300" t="s">
        <v>12660</v>
      </c>
      <c r="D9300" t="s">
        <v>19029</v>
      </c>
      <c r="E9300" t="s">
        <v>27137</v>
      </c>
      <c r="F9300" t="s">
        <v>32831</v>
      </c>
      <c r="G9300" t="s">
        <v>32839</v>
      </c>
      <c r="H9300" t="s">
        <v>32849</v>
      </c>
      <c r="I9300" t="s">
        <v>4177</v>
      </c>
      <c r="J9300" t="s">
        <v>38748</v>
      </c>
      <c r="K9300" t="s">
        <v>42770</v>
      </c>
      <c r="M9300" t="s">
        <v>46242</v>
      </c>
      <c r="N9300" t="s">
        <v>47424</v>
      </c>
      <c r="O9300" t="s">
        <v>47425</v>
      </c>
      <c r="P9300">
        <v>0</v>
      </c>
      <c r="Q9300">
        <v>1</v>
      </c>
      <c r="R9300" t="s">
        <v>47433</v>
      </c>
      <c r="S9300" t="s">
        <v>47633</v>
      </c>
      <c r="T9300" t="s">
        <v>49236</v>
      </c>
      <c r="U9300" t="s">
        <v>54685</v>
      </c>
      <c r="W9300" t="s">
        <v>46242</v>
      </c>
      <c r="X9300" t="s">
        <v>47440</v>
      </c>
    </row>
    <row r="9301" spans="1:24">
      <c r="A9301">
        <f>HYPERLINK("https://www.philgeps.gov.ph/GEPSNONPILOT/Tender/SplashBidNoticeAbstractUI.aspx?menuIndex=3&amp;refID=7144155&amp;Result=3","7144155")</f>
        <v>0</v>
      </c>
      <c r="B9301" t="s">
        <v>342</v>
      </c>
      <c r="C9301" t="s">
        <v>12661</v>
      </c>
      <c r="D9301" t="s">
        <v>19047</v>
      </c>
      <c r="E9301" t="s">
        <v>27138</v>
      </c>
      <c r="F9301" t="s">
        <v>32831</v>
      </c>
      <c r="G9301" t="s">
        <v>32839</v>
      </c>
      <c r="H9301" t="s">
        <v>32848</v>
      </c>
      <c r="I9301" t="s">
        <v>32860</v>
      </c>
      <c r="J9301" t="s">
        <v>38749</v>
      </c>
      <c r="K9301" t="s">
        <v>42747</v>
      </c>
      <c r="M9301" t="s">
        <v>43345</v>
      </c>
      <c r="N9301" t="s">
        <v>47424</v>
      </c>
      <c r="O9301" t="s">
        <v>47425</v>
      </c>
      <c r="P9301">
        <v>0</v>
      </c>
      <c r="Q9301">
        <v>2</v>
      </c>
      <c r="R9301" t="s">
        <v>47433</v>
      </c>
      <c r="S9301" t="s">
        <v>47633</v>
      </c>
      <c r="T9301" t="s">
        <v>49192</v>
      </c>
      <c r="U9301" t="s">
        <v>57372</v>
      </c>
      <c r="W9301" t="s">
        <v>64530</v>
      </c>
      <c r="X9301" t="s">
        <v>47439</v>
      </c>
    </row>
    <row r="9302" spans="1:24">
      <c r="A9302">
        <f>HYPERLINK("https://www.philgeps.gov.ph/GEPSNONPILOT/Tender/SplashBidNoticeAbstractUI.aspx?menuIndex=3&amp;refID=7139416&amp;Result=3","7139416")</f>
        <v>0</v>
      </c>
      <c r="B9302" t="s">
        <v>2979</v>
      </c>
      <c r="C9302" t="s">
        <v>12662</v>
      </c>
      <c r="D9302" t="s">
        <v>19029</v>
      </c>
      <c r="E9302" t="s">
        <v>27139</v>
      </c>
      <c r="F9302" t="s">
        <v>32831</v>
      </c>
      <c r="G9302" t="s">
        <v>32839</v>
      </c>
      <c r="H9302" t="s">
        <v>32849</v>
      </c>
      <c r="I9302" t="s">
        <v>4177</v>
      </c>
      <c r="J9302" t="s">
        <v>34447</v>
      </c>
      <c r="K9302" t="s">
        <v>42770</v>
      </c>
      <c r="M9302" t="s">
        <v>46242</v>
      </c>
      <c r="N9302" t="s">
        <v>47424</v>
      </c>
      <c r="O9302" t="s">
        <v>47425</v>
      </c>
      <c r="P9302">
        <v>0</v>
      </c>
      <c r="Q9302">
        <v>1</v>
      </c>
      <c r="R9302" t="s">
        <v>47433</v>
      </c>
      <c r="S9302" t="s">
        <v>47633</v>
      </c>
      <c r="T9302" t="s">
        <v>49236</v>
      </c>
      <c r="U9302" t="s">
        <v>54685</v>
      </c>
      <c r="W9302" t="s">
        <v>46242</v>
      </c>
      <c r="X9302" t="s">
        <v>47440</v>
      </c>
    </row>
    <row r="9303" spans="1:24">
      <c r="A9303">
        <f>HYPERLINK("https://www.philgeps.gov.ph/GEPSNONPILOT/Tender/SplashBidNoticeAbstractUI.aspx?menuIndex=3&amp;refID=7154660&amp;Result=3","7154660")</f>
        <v>0</v>
      </c>
      <c r="B9303" t="s">
        <v>1969</v>
      </c>
      <c r="C9303" t="s">
        <v>12663</v>
      </c>
      <c r="D9303" t="s">
        <v>19047</v>
      </c>
      <c r="E9303" t="s">
        <v>27140</v>
      </c>
      <c r="F9303" t="s">
        <v>32831</v>
      </c>
      <c r="G9303" t="s">
        <v>32840</v>
      </c>
      <c r="H9303" t="s">
        <v>32848</v>
      </c>
      <c r="I9303" t="s">
        <v>32860</v>
      </c>
      <c r="J9303" t="s">
        <v>38750</v>
      </c>
      <c r="K9303" t="s">
        <v>42726</v>
      </c>
      <c r="M9303" t="s">
        <v>45129</v>
      </c>
      <c r="N9303" t="s">
        <v>47424</v>
      </c>
      <c r="O9303" t="s">
        <v>47425</v>
      </c>
      <c r="P9303">
        <v>0</v>
      </c>
      <c r="Q9303">
        <v>5</v>
      </c>
      <c r="R9303" t="s">
        <v>47432</v>
      </c>
      <c r="S9303" t="s">
        <v>47597</v>
      </c>
      <c r="T9303" t="s">
        <v>49119</v>
      </c>
      <c r="U9303" t="s">
        <v>57373</v>
      </c>
      <c r="W9303" t="s">
        <v>64494</v>
      </c>
      <c r="X9303" t="s">
        <v>47433</v>
      </c>
    </row>
    <row r="9304" spans="1:24">
      <c r="A9304">
        <f>HYPERLINK("https://www.philgeps.gov.ph/GEPSNONPILOT/Tender/SplashBidNoticeAbstractUI.aspx?menuIndex=3&amp;refID=7149226&amp;Result=3","7149226")</f>
        <v>0</v>
      </c>
      <c r="B9304" t="s">
        <v>2977</v>
      </c>
      <c r="C9304" t="s">
        <v>12664</v>
      </c>
      <c r="D9304" t="s">
        <v>19077</v>
      </c>
      <c r="E9304" t="s">
        <v>27141</v>
      </c>
      <c r="F9304" t="s">
        <v>32831</v>
      </c>
      <c r="G9304" t="s">
        <v>32839</v>
      </c>
      <c r="H9304" t="s">
        <v>32849</v>
      </c>
      <c r="I9304" t="s">
        <v>4177</v>
      </c>
      <c r="J9304" t="s">
        <v>38751</v>
      </c>
      <c r="K9304" t="s">
        <v>42727</v>
      </c>
      <c r="M9304" t="s">
        <v>46240</v>
      </c>
      <c r="N9304" t="s">
        <v>47424</v>
      </c>
      <c r="O9304" t="s">
        <v>47425</v>
      </c>
      <c r="P9304">
        <v>0</v>
      </c>
      <c r="Q9304">
        <v>0</v>
      </c>
      <c r="R9304" t="s">
        <v>47433</v>
      </c>
      <c r="S9304" t="s">
        <v>47633</v>
      </c>
      <c r="T9304" t="s">
        <v>49250</v>
      </c>
      <c r="U9304" t="s">
        <v>57374</v>
      </c>
      <c r="W9304" t="s">
        <v>46240</v>
      </c>
      <c r="X9304" t="s">
        <v>47434</v>
      </c>
    </row>
    <row r="9305" spans="1:24">
      <c r="A9305">
        <f>HYPERLINK("https://www.philgeps.gov.ph/GEPSNONPILOT/Tender/SplashBidNoticeAbstractUI.aspx?menuIndex=3&amp;refID=7154659&amp;Result=3","7154659")</f>
        <v>0</v>
      </c>
      <c r="B9305" t="s">
        <v>895</v>
      </c>
      <c r="C9305" t="s">
        <v>12665</v>
      </c>
      <c r="D9305" t="s">
        <v>19036</v>
      </c>
      <c r="E9305" t="s">
        <v>27142</v>
      </c>
      <c r="F9305" t="s">
        <v>32831</v>
      </c>
      <c r="G9305" t="s">
        <v>32839</v>
      </c>
      <c r="H9305" t="s">
        <v>32848</v>
      </c>
      <c r="I9305" t="s">
        <v>32859</v>
      </c>
      <c r="J9305" t="s">
        <v>38752</v>
      </c>
      <c r="K9305" t="s">
        <v>42727</v>
      </c>
      <c r="M9305" t="s">
        <v>44963</v>
      </c>
      <c r="N9305" t="s">
        <v>47424</v>
      </c>
      <c r="O9305" t="s">
        <v>47425</v>
      </c>
      <c r="P9305">
        <v>0</v>
      </c>
      <c r="Q9305">
        <v>5</v>
      </c>
      <c r="R9305" t="s">
        <v>47432</v>
      </c>
      <c r="S9305" t="s">
        <v>47597</v>
      </c>
      <c r="T9305" t="s">
        <v>49095</v>
      </c>
      <c r="U9305" t="s">
        <v>57375</v>
      </c>
      <c r="W9305" t="s">
        <v>44963</v>
      </c>
      <c r="X9305" t="s">
        <v>47433</v>
      </c>
    </row>
    <row r="9306" spans="1:24">
      <c r="A9306">
        <f>HYPERLINK("https://www.philgeps.gov.ph/GEPSNONPILOT/Tender/SplashBidNoticeAbstractUI.aspx?menuIndex=3&amp;refID=7154655&amp;Result=3","7154655")</f>
        <v>0</v>
      </c>
      <c r="B9306" t="s">
        <v>224</v>
      </c>
      <c r="C9306" t="s">
        <v>4344</v>
      </c>
      <c r="D9306" t="s">
        <v>19027</v>
      </c>
      <c r="E9306" t="s">
        <v>27143</v>
      </c>
      <c r="F9306" t="s">
        <v>32831</v>
      </c>
      <c r="G9306" t="s">
        <v>32840</v>
      </c>
      <c r="H9306" t="s">
        <v>32848</v>
      </c>
      <c r="I9306" t="s">
        <v>32855</v>
      </c>
      <c r="J9306" t="s">
        <v>33133</v>
      </c>
      <c r="K9306" t="s">
        <v>42727</v>
      </c>
      <c r="M9306" t="s">
        <v>43222</v>
      </c>
      <c r="N9306" t="s">
        <v>47424</v>
      </c>
      <c r="O9306" t="s">
        <v>47425</v>
      </c>
      <c r="P9306">
        <v>0</v>
      </c>
      <c r="Q9306">
        <v>10</v>
      </c>
      <c r="R9306" t="s">
        <v>47432</v>
      </c>
      <c r="S9306" t="s">
        <v>47597</v>
      </c>
      <c r="T9306" t="s">
        <v>49151</v>
      </c>
      <c r="U9306" t="s">
        <v>57376</v>
      </c>
      <c r="W9306" t="s">
        <v>43222</v>
      </c>
      <c r="X9306" t="s">
        <v>47433</v>
      </c>
    </row>
    <row r="9307" spans="1:24">
      <c r="A9307">
        <f>HYPERLINK("https://www.philgeps.gov.ph/GEPSNONPILOT/Tender/SplashBidNoticeAbstractUI.aspx?menuIndex=3&amp;refID=7154621&amp;Result=3","7154621")</f>
        <v>0</v>
      </c>
      <c r="B9307" t="s">
        <v>895</v>
      </c>
      <c r="C9307" t="s">
        <v>12666</v>
      </c>
      <c r="D9307" t="s">
        <v>19036</v>
      </c>
      <c r="E9307" t="s">
        <v>27144</v>
      </c>
      <c r="F9307" t="s">
        <v>32831</v>
      </c>
      <c r="G9307" t="s">
        <v>32839</v>
      </c>
      <c r="H9307" t="s">
        <v>32848</v>
      </c>
      <c r="I9307" t="s">
        <v>32859</v>
      </c>
      <c r="J9307" t="s">
        <v>38753</v>
      </c>
      <c r="K9307" t="s">
        <v>42730</v>
      </c>
      <c r="M9307" t="s">
        <v>44963</v>
      </c>
      <c r="N9307" t="s">
        <v>47424</v>
      </c>
      <c r="O9307" t="s">
        <v>47425</v>
      </c>
      <c r="P9307">
        <v>0</v>
      </c>
      <c r="Q9307">
        <v>7</v>
      </c>
      <c r="R9307" t="s">
        <v>47432</v>
      </c>
      <c r="S9307" t="s">
        <v>47597</v>
      </c>
      <c r="T9307" t="s">
        <v>49095</v>
      </c>
      <c r="U9307" t="s">
        <v>57377</v>
      </c>
      <c r="W9307" t="s">
        <v>44963</v>
      </c>
      <c r="X9307" t="s">
        <v>47433</v>
      </c>
    </row>
    <row r="9308" spans="1:24">
      <c r="A9308">
        <f>HYPERLINK("https://www.philgeps.gov.ph/GEPSNONPILOT/Tender/SplashBidNoticeAbstractUI.aspx?menuIndex=3&amp;refID=7154620&amp;Result=3","7154620")</f>
        <v>0</v>
      </c>
      <c r="B9308" t="s">
        <v>2890</v>
      </c>
      <c r="C9308" t="s">
        <v>12187</v>
      </c>
      <c r="D9308" t="s">
        <v>19078</v>
      </c>
      <c r="E9308" t="s">
        <v>27145</v>
      </c>
      <c r="F9308" t="s">
        <v>32831</v>
      </c>
      <c r="G9308" t="s">
        <v>32839</v>
      </c>
      <c r="H9308" t="s">
        <v>32849</v>
      </c>
      <c r="I9308" t="s">
        <v>4177</v>
      </c>
      <c r="J9308" t="s">
        <v>33083</v>
      </c>
      <c r="K9308" t="s">
        <v>42751</v>
      </c>
      <c r="M9308" t="s">
        <v>46131</v>
      </c>
      <c r="N9308" t="s">
        <v>47424</v>
      </c>
      <c r="O9308" t="s">
        <v>47425</v>
      </c>
      <c r="P9308">
        <v>0</v>
      </c>
      <c r="Q9308">
        <v>2</v>
      </c>
      <c r="R9308" t="s">
        <v>47432</v>
      </c>
      <c r="S9308" t="s">
        <v>47597</v>
      </c>
      <c r="T9308" t="s">
        <v>49236</v>
      </c>
      <c r="U9308" t="s">
        <v>56974</v>
      </c>
      <c r="V9308" t="s">
        <v>63604</v>
      </c>
      <c r="W9308" t="s">
        <v>46131</v>
      </c>
      <c r="X9308" t="s">
        <v>47433</v>
      </c>
    </row>
    <row r="9309" spans="1:24">
      <c r="A9309">
        <f>HYPERLINK("https://www.philgeps.gov.ph/GEPSNONPILOT/Tender/SplashBidNoticeAbstractUI.aspx?menuIndex=3&amp;refID=7139698&amp;Result=3","7139698")</f>
        <v>0</v>
      </c>
      <c r="B9309" t="s">
        <v>2979</v>
      </c>
      <c r="C9309" t="s">
        <v>12667</v>
      </c>
      <c r="D9309" t="s">
        <v>19029</v>
      </c>
      <c r="E9309" t="s">
        <v>27146</v>
      </c>
      <c r="F9309" t="s">
        <v>32831</v>
      </c>
      <c r="G9309" t="s">
        <v>32839</v>
      </c>
      <c r="H9309" t="s">
        <v>32849</v>
      </c>
      <c r="I9309" t="s">
        <v>4177</v>
      </c>
      <c r="J9309" t="s">
        <v>38754</v>
      </c>
      <c r="K9309" t="s">
        <v>42824</v>
      </c>
      <c r="M9309" t="s">
        <v>46242</v>
      </c>
      <c r="N9309" t="s">
        <v>47424</v>
      </c>
      <c r="O9309" t="s">
        <v>47425</v>
      </c>
      <c r="P9309">
        <v>0</v>
      </c>
      <c r="Q9309">
        <v>1</v>
      </c>
      <c r="R9309" t="s">
        <v>47433</v>
      </c>
      <c r="S9309" t="s">
        <v>47633</v>
      </c>
      <c r="T9309" t="s">
        <v>49236</v>
      </c>
      <c r="U9309" t="s">
        <v>54685</v>
      </c>
      <c r="W9309" t="s">
        <v>46242</v>
      </c>
      <c r="X9309" t="s">
        <v>47440</v>
      </c>
    </row>
    <row r="9310" spans="1:24">
      <c r="A9310">
        <f>HYPERLINK("https://www.philgeps.gov.ph/GEPSNONPILOT/Tender/SplashBidNoticeAbstractUI.aspx?menuIndex=3&amp;refID=7154618&amp;Result=3","7154618")</f>
        <v>0</v>
      </c>
      <c r="B9310" t="s">
        <v>892</v>
      </c>
      <c r="C9310" t="s">
        <v>12668</v>
      </c>
      <c r="D9310" t="s">
        <v>19083</v>
      </c>
      <c r="E9310" t="s">
        <v>27147</v>
      </c>
      <c r="F9310" t="s">
        <v>32831</v>
      </c>
      <c r="G9310" t="s">
        <v>32838</v>
      </c>
      <c r="H9310" t="s">
        <v>32848</v>
      </c>
      <c r="I9310" t="s">
        <v>5379</v>
      </c>
      <c r="J9310" t="s">
        <v>33311</v>
      </c>
      <c r="K9310" t="s">
        <v>42758</v>
      </c>
      <c r="M9310" t="s">
        <v>43927</v>
      </c>
      <c r="N9310" t="s">
        <v>47424</v>
      </c>
      <c r="O9310" t="s">
        <v>47425</v>
      </c>
      <c r="P9310">
        <v>0</v>
      </c>
      <c r="Q9310">
        <v>0</v>
      </c>
      <c r="R9310" t="s">
        <v>47432</v>
      </c>
      <c r="S9310" t="s">
        <v>47597</v>
      </c>
      <c r="T9310" t="s">
        <v>49111</v>
      </c>
      <c r="U9310" t="s">
        <v>57378</v>
      </c>
      <c r="W9310" t="s">
        <v>43927</v>
      </c>
      <c r="X9310" t="s">
        <v>47433</v>
      </c>
    </row>
    <row r="9311" spans="1:24">
      <c r="A9311">
        <f>HYPERLINK("https://www.philgeps.gov.ph/GEPSNONPILOT/Tender/SplashBidNoticeAbstractUI.aspx?menuIndex=3&amp;refID=7138430&amp;Result=3","7138430")</f>
        <v>0</v>
      </c>
      <c r="B9311" t="s">
        <v>168</v>
      </c>
      <c r="C9311" t="s">
        <v>12669</v>
      </c>
      <c r="D9311" t="s">
        <v>19071</v>
      </c>
      <c r="E9311" t="s">
        <v>27148</v>
      </c>
      <c r="F9311" t="s">
        <v>32831</v>
      </c>
      <c r="G9311" t="s">
        <v>32839</v>
      </c>
      <c r="H9311" t="s">
        <v>32849</v>
      </c>
      <c r="I9311" t="s">
        <v>4177</v>
      </c>
      <c r="J9311" t="s">
        <v>35952</v>
      </c>
      <c r="K9311" t="s">
        <v>42780</v>
      </c>
      <c r="M9311" t="s">
        <v>43165</v>
      </c>
      <c r="N9311" t="s">
        <v>47424</v>
      </c>
      <c r="O9311" t="s">
        <v>47425</v>
      </c>
      <c r="P9311">
        <v>0</v>
      </c>
      <c r="Q9311">
        <v>2</v>
      </c>
      <c r="R9311" t="s">
        <v>47433</v>
      </c>
      <c r="S9311" t="s">
        <v>47633</v>
      </c>
      <c r="T9311" t="s">
        <v>49112</v>
      </c>
      <c r="U9311" t="s">
        <v>57379</v>
      </c>
      <c r="V9311" t="s">
        <v>62654</v>
      </c>
      <c r="W9311" t="s">
        <v>43165</v>
      </c>
      <c r="X9311" t="s">
        <v>47441</v>
      </c>
    </row>
    <row r="9312" spans="1:24">
      <c r="A9312">
        <f>HYPERLINK("https://www.philgeps.gov.ph/GEPSNONPILOT/Tender/SplashBidNoticeAbstractUI.aspx?menuIndex=3&amp;refID=7140483&amp;Result=3","7140483")</f>
        <v>0</v>
      </c>
      <c r="B9312" t="s">
        <v>2980</v>
      </c>
      <c r="C9312" t="s">
        <v>12670</v>
      </c>
      <c r="D9312" t="s">
        <v>19018</v>
      </c>
      <c r="E9312" t="s">
        <v>19169</v>
      </c>
      <c r="F9312" t="s">
        <v>32831</v>
      </c>
      <c r="G9312" t="s">
        <v>32839</v>
      </c>
      <c r="H9312" t="s">
        <v>32848</v>
      </c>
      <c r="I9312" t="s">
        <v>4177</v>
      </c>
      <c r="J9312" t="s">
        <v>32978</v>
      </c>
      <c r="K9312" t="s">
        <v>42748</v>
      </c>
      <c r="M9312" t="s">
        <v>46243</v>
      </c>
      <c r="N9312" t="s">
        <v>47424</v>
      </c>
      <c r="O9312" t="s">
        <v>47425</v>
      </c>
      <c r="P9312">
        <v>0</v>
      </c>
      <c r="Q9312">
        <v>0</v>
      </c>
      <c r="R9312" t="s">
        <v>47433</v>
      </c>
      <c r="S9312" t="s">
        <v>47633</v>
      </c>
      <c r="T9312" t="s">
        <v>49213</v>
      </c>
      <c r="U9312" t="s">
        <v>57380</v>
      </c>
      <c r="V9312" t="s">
        <v>63647</v>
      </c>
      <c r="W9312" t="s">
        <v>46243</v>
      </c>
      <c r="X9312" t="s">
        <v>47440</v>
      </c>
    </row>
    <row r="9313" spans="1:24">
      <c r="A9313">
        <f>HYPERLINK("https://www.philgeps.gov.ph/GEPSNONPILOT/Tender/SplashBidNoticeAbstractUI.aspx?menuIndex=3&amp;refID=7149381&amp;Result=3","7149381")</f>
        <v>0</v>
      </c>
      <c r="B9313" t="s">
        <v>2981</v>
      </c>
      <c r="C9313" t="s">
        <v>12671</v>
      </c>
      <c r="E9313" t="s">
        <v>27149</v>
      </c>
      <c r="F9313" t="s">
        <v>32831</v>
      </c>
      <c r="G9313" t="s">
        <v>32839</v>
      </c>
      <c r="H9313" t="s">
        <v>32848</v>
      </c>
      <c r="I9313" t="s">
        <v>7416</v>
      </c>
      <c r="J9313" t="s">
        <v>38755</v>
      </c>
      <c r="K9313" t="s">
        <v>42726</v>
      </c>
      <c r="M9313" t="s">
        <v>46244</v>
      </c>
      <c r="N9313" t="s">
        <v>47424</v>
      </c>
      <c r="O9313" t="s">
        <v>47425</v>
      </c>
      <c r="P9313">
        <v>0</v>
      </c>
      <c r="Q9313">
        <v>0</v>
      </c>
      <c r="R9313" t="s">
        <v>47433</v>
      </c>
      <c r="S9313" t="s">
        <v>47633</v>
      </c>
      <c r="T9313" t="s">
        <v>49235</v>
      </c>
      <c r="U9313" t="s">
        <v>57381</v>
      </c>
      <c r="W9313" t="s">
        <v>46244</v>
      </c>
      <c r="X9313" t="s">
        <v>47434</v>
      </c>
    </row>
    <row r="9314" spans="1:24">
      <c r="A9314">
        <f>HYPERLINK("https://www.philgeps.gov.ph/GEPSNONPILOT/Tender/SplashBidNoticeAbstractUI.aspx?menuIndex=3&amp;refID=7149374&amp;Result=3","7149374")</f>
        <v>0</v>
      </c>
      <c r="B9314" t="s">
        <v>661</v>
      </c>
      <c r="C9314" t="s">
        <v>12672</v>
      </c>
      <c r="D9314" t="s">
        <v>19058</v>
      </c>
      <c r="E9314" t="s">
        <v>27150</v>
      </c>
      <c r="F9314" t="s">
        <v>32831</v>
      </c>
      <c r="G9314" t="s">
        <v>32839</v>
      </c>
      <c r="H9314" t="s">
        <v>32848</v>
      </c>
      <c r="I9314" t="s">
        <v>7416</v>
      </c>
      <c r="J9314" t="s">
        <v>38756</v>
      </c>
      <c r="K9314" t="s">
        <v>42731</v>
      </c>
      <c r="M9314" t="s">
        <v>43679</v>
      </c>
      <c r="N9314" t="s">
        <v>47424</v>
      </c>
      <c r="O9314" t="s">
        <v>47425</v>
      </c>
      <c r="P9314">
        <v>0</v>
      </c>
      <c r="Q9314">
        <v>0</v>
      </c>
      <c r="R9314" t="s">
        <v>47433</v>
      </c>
      <c r="S9314" t="s">
        <v>47633</v>
      </c>
      <c r="T9314" t="s">
        <v>49237</v>
      </c>
      <c r="U9314" t="s">
        <v>57382</v>
      </c>
      <c r="W9314" t="s">
        <v>43679</v>
      </c>
      <c r="X9314" t="s">
        <v>47434</v>
      </c>
    </row>
    <row r="9315" spans="1:24">
      <c r="A9315">
        <f>HYPERLINK("https://www.philgeps.gov.ph/GEPSNONPILOT/Tender/SplashBidNoticeAbstractUI.aspx?menuIndex=3&amp;refID=7149373&amp;Result=3","7149373")</f>
        <v>0</v>
      </c>
      <c r="B9315" t="s">
        <v>2277</v>
      </c>
      <c r="C9315" t="s">
        <v>12673</v>
      </c>
      <c r="D9315" t="s">
        <v>19031</v>
      </c>
      <c r="E9315" t="s">
        <v>27151</v>
      </c>
      <c r="F9315" t="s">
        <v>32831</v>
      </c>
      <c r="G9315" t="s">
        <v>32838</v>
      </c>
      <c r="H9315" t="s">
        <v>32848</v>
      </c>
      <c r="I9315" t="s">
        <v>4303</v>
      </c>
      <c r="J9315" t="s">
        <v>38757</v>
      </c>
      <c r="K9315" t="s">
        <v>42731</v>
      </c>
      <c r="M9315" t="s">
        <v>45461</v>
      </c>
      <c r="N9315" t="s">
        <v>47424</v>
      </c>
      <c r="O9315" t="s">
        <v>47425</v>
      </c>
      <c r="P9315">
        <v>0</v>
      </c>
      <c r="Q9315">
        <v>1</v>
      </c>
      <c r="R9315" t="s">
        <v>47433</v>
      </c>
      <c r="S9315" t="s">
        <v>47633</v>
      </c>
      <c r="T9315" t="s">
        <v>49214</v>
      </c>
      <c r="U9315" t="s">
        <v>57383</v>
      </c>
      <c r="W9315" t="s">
        <v>45461</v>
      </c>
      <c r="X9315" t="s">
        <v>47434</v>
      </c>
    </row>
    <row r="9316" spans="1:24">
      <c r="A9316">
        <f>HYPERLINK("https://www.philgeps.gov.ph/GEPSNONPILOT/Tender/SplashBidNoticeAbstractUI.aspx?menuIndex=3&amp;refID=7149334&amp;Result=3","7149334")</f>
        <v>0</v>
      </c>
      <c r="B9316" t="s">
        <v>2367</v>
      </c>
      <c r="C9316" t="s">
        <v>12674</v>
      </c>
      <c r="E9316" t="s">
        <v>27152</v>
      </c>
      <c r="F9316" t="s">
        <v>32831</v>
      </c>
      <c r="G9316" t="s">
        <v>32839</v>
      </c>
      <c r="H9316" t="s">
        <v>32848</v>
      </c>
      <c r="I9316" t="s">
        <v>7416</v>
      </c>
      <c r="J9316" t="s">
        <v>38758</v>
      </c>
      <c r="K9316" t="s">
        <v>42732</v>
      </c>
      <c r="M9316" t="s">
        <v>45557</v>
      </c>
      <c r="N9316" t="s">
        <v>47424</v>
      </c>
      <c r="O9316" t="s">
        <v>47425</v>
      </c>
      <c r="P9316">
        <v>0</v>
      </c>
      <c r="Q9316">
        <v>7</v>
      </c>
      <c r="R9316" t="s">
        <v>47433</v>
      </c>
      <c r="S9316" t="s">
        <v>47633</v>
      </c>
      <c r="T9316" t="s">
        <v>49265</v>
      </c>
      <c r="U9316" t="s">
        <v>57350</v>
      </c>
      <c r="W9316" t="s">
        <v>45557</v>
      </c>
      <c r="X9316" t="s">
        <v>47434</v>
      </c>
    </row>
    <row r="9317" spans="1:24">
      <c r="A9317">
        <f>HYPERLINK("https://www.philgeps.gov.ph/GEPSNONPILOT/Tender/SplashBidNoticeAbstractUI.aspx?menuIndex=3&amp;refID=7149375&amp;Result=3","7149375")</f>
        <v>0</v>
      </c>
      <c r="B9317" t="s">
        <v>2982</v>
      </c>
      <c r="C9317" t="s">
        <v>12675</v>
      </c>
      <c r="D9317" t="s">
        <v>19070</v>
      </c>
      <c r="E9317" t="s">
        <v>27153</v>
      </c>
      <c r="F9317" t="s">
        <v>32831</v>
      </c>
      <c r="G9317" t="s">
        <v>32839</v>
      </c>
      <c r="H9317" t="s">
        <v>32848</v>
      </c>
      <c r="I9317" t="s">
        <v>32857</v>
      </c>
      <c r="J9317" t="s">
        <v>33364</v>
      </c>
      <c r="K9317" t="s">
        <v>42730</v>
      </c>
      <c r="M9317" t="s">
        <v>46245</v>
      </c>
      <c r="N9317" t="s">
        <v>47424</v>
      </c>
      <c r="O9317" t="s">
        <v>47425</v>
      </c>
      <c r="P9317">
        <v>0</v>
      </c>
      <c r="Q9317">
        <v>0</v>
      </c>
      <c r="R9317" t="s">
        <v>47433</v>
      </c>
      <c r="S9317" t="s">
        <v>47633</v>
      </c>
      <c r="T9317" t="s">
        <v>49163</v>
      </c>
      <c r="U9317" t="s">
        <v>57384</v>
      </c>
      <c r="W9317" t="s">
        <v>46245</v>
      </c>
      <c r="X9317" t="s">
        <v>47434</v>
      </c>
    </row>
    <row r="9318" spans="1:24">
      <c r="A9318">
        <f>HYPERLINK("https://www.philgeps.gov.ph/GEPSNONPILOT/Tender/SplashBidNoticeAbstractUI.aspx?menuIndex=3&amp;refID=7149361&amp;Result=3","7149361")</f>
        <v>0</v>
      </c>
      <c r="B9318" t="s">
        <v>2983</v>
      </c>
      <c r="C9318" t="s">
        <v>12676</v>
      </c>
      <c r="D9318" t="s">
        <v>19021</v>
      </c>
      <c r="E9318" t="s">
        <v>27154</v>
      </c>
      <c r="F9318" t="s">
        <v>32831</v>
      </c>
      <c r="G9318" t="s">
        <v>32839</v>
      </c>
      <c r="H9318" t="s">
        <v>32849</v>
      </c>
      <c r="I9318" t="s">
        <v>32852</v>
      </c>
      <c r="J9318" t="s">
        <v>32980</v>
      </c>
      <c r="K9318" t="s">
        <v>42730</v>
      </c>
      <c r="M9318" t="s">
        <v>46246</v>
      </c>
      <c r="N9318" t="s">
        <v>47424</v>
      </c>
      <c r="O9318" t="s">
        <v>47425</v>
      </c>
      <c r="P9318">
        <v>0</v>
      </c>
      <c r="Q9318">
        <v>2</v>
      </c>
      <c r="R9318" t="s">
        <v>47433</v>
      </c>
      <c r="S9318" t="s">
        <v>47633</v>
      </c>
      <c r="T9318" t="s">
        <v>49166</v>
      </c>
      <c r="U9318" t="s">
        <v>57385</v>
      </c>
      <c r="V9318" t="s">
        <v>63648</v>
      </c>
      <c r="W9318" t="s">
        <v>46246</v>
      </c>
      <c r="X9318" t="s">
        <v>47434</v>
      </c>
    </row>
    <row r="9319" spans="1:24">
      <c r="A9319">
        <f>HYPERLINK("https://www.philgeps.gov.ph/GEPSNONPILOT/Tender/SplashBidNoticeAbstractUI.aspx?menuIndex=3&amp;refID=7149359&amp;Result=3","7149359")</f>
        <v>0</v>
      </c>
      <c r="B9319" t="s">
        <v>214</v>
      </c>
      <c r="C9319" t="s">
        <v>12677</v>
      </c>
      <c r="D9319" t="s">
        <v>19047</v>
      </c>
      <c r="E9319" t="s">
        <v>27155</v>
      </c>
      <c r="F9319" t="s">
        <v>32831</v>
      </c>
      <c r="G9319" t="s">
        <v>32839</v>
      </c>
      <c r="H9319" t="s">
        <v>32849</v>
      </c>
      <c r="I9319" t="s">
        <v>4177</v>
      </c>
      <c r="J9319" t="s">
        <v>33626</v>
      </c>
      <c r="K9319" t="s">
        <v>42745</v>
      </c>
      <c r="M9319" t="s">
        <v>43212</v>
      </c>
      <c r="N9319" t="s">
        <v>47424</v>
      </c>
      <c r="O9319" t="s">
        <v>47425</v>
      </c>
      <c r="P9319">
        <v>0</v>
      </c>
      <c r="Q9319">
        <v>0</v>
      </c>
      <c r="R9319" t="s">
        <v>47433</v>
      </c>
      <c r="S9319" t="s">
        <v>47633</v>
      </c>
      <c r="T9319" t="s">
        <v>49238</v>
      </c>
      <c r="U9319" t="s">
        <v>50022</v>
      </c>
      <c r="W9319" t="s">
        <v>43212</v>
      </c>
      <c r="X9319" t="s">
        <v>47434</v>
      </c>
    </row>
    <row r="9320" spans="1:24">
      <c r="A9320">
        <f>HYPERLINK("https://www.philgeps.gov.ph/GEPSNONPILOT/Tender/SplashBidNoticeAbstractUI.aspx?menuIndex=3&amp;refID=7149354&amp;Result=3","7149354")</f>
        <v>0</v>
      </c>
      <c r="B9320" t="s">
        <v>2277</v>
      </c>
      <c r="C9320" t="s">
        <v>12678</v>
      </c>
      <c r="D9320" t="s">
        <v>19031</v>
      </c>
      <c r="E9320" t="s">
        <v>27156</v>
      </c>
      <c r="F9320" t="s">
        <v>32831</v>
      </c>
      <c r="G9320" t="s">
        <v>32838</v>
      </c>
      <c r="H9320" t="s">
        <v>32848</v>
      </c>
      <c r="I9320" t="s">
        <v>32860</v>
      </c>
      <c r="J9320" t="s">
        <v>33677</v>
      </c>
      <c r="K9320" t="s">
        <v>42731</v>
      </c>
      <c r="M9320" t="s">
        <v>45461</v>
      </c>
      <c r="N9320" t="s">
        <v>47424</v>
      </c>
      <c r="O9320" t="s">
        <v>47425</v>
      </c>
      <c r="P9320">
        <v>0</v>
      </c>
      <c r="Q9320">
        <v>2</v>
      </c>
      <c r="R9320" t="s">
        <v>47433</v>
      </c>
      <c r="S9320" t="s">
        <v>47633</v>
      </c>
      <c r="T9320" t="s">
        <v>49214</v>
      </c>
      <c r="U9320" t="s">
        <v>57386</v>
      </c>
      <c r="W9320" t="s">
        <v>45461</v>
      </c>
      <c r="X9320" t="s">
        <v>47434</v>
      </c>
    </row>
    <row r="9321" spans="1:24">
      <c r="A9321">
        <f>HYPERLINK("https://www.philgeps.gov.ph/GEPSNONPILOT/Tender/SplashBidNoticeAbstractUI.aspx?menuIndex=3&amp;refID=7149352&amp;Result=3","7149352")</f>
        <v>0</v>
      </c>
      <c r="B9321" t="s">
        <v>295</v>
      </c>
      <c r="C9321" t="s">
        <v>7474</v>
      </c>
      <c r="D9321" t="s">
        <v>19074</v>
      </c>
      <c r="E9321" t="s">
        <v>27157</v>
      </c>
      <c r="F9321" t="s">
        <v>32831</v>
      </c>
      <c r="G9321" t="s">
        <v>32838</v>
      </c>
      <c r="H9321" t="s">
        <v>32848</v>
      </c>
      <c r="I9321" t="s">
        <v>4776</v>
      </c>
      <c r="J9321" t="s">
        <v>33077</v>
      </c>
      <c r="K9321" t="s">
        <v>42726</v>
      </c>
      <c r="M9321" t="s">
        <v>43296</v>
      </c>
      <c r="N9321" t="s">
        <v>47424</v>
      </c>
      <c r="O9321" t="s">
        <v>47425</v>
      </c>
      <c r="P9321">
        <v>0</v>
      </c>
      <c r="Q9321">
        <v>3</v>
      </c>
      <c r="R9321" t="s">
        <v>47433</v>
      </c>
      <c r="S9321" t="s">
        <v>47633</v>
      </c>
      <c r="T9321" t="s">
        <v>49212</v>
      </c>
      <c r="U9321" t="s">
        <v>57387</v>
      </c>
      <c r="W9321" t="s">
        <v>43296</v>
      </c>
      <c r="X9321" t="s">
        <v>47434</v>
      </c>
    </row>
    <row r="9322" spans="1:24">
      <c r="A9322">
        <f>HYPERLINK("https://www.philgeps.gov.ph/GEPSNONPILOT/Tender/SplashBidNoticeAbstractUI.aspx?menuIndex=3&amp;refID=7149347&amp;Result=3","7149347")</f>
        <v>0</v>
      </c>
      <c r="B9322" t="s">
        <v>2485</v>
      </c>
      <c r="C9322" t="s">
        <v>12679</v>
      </c>
      <c r="D9322" t="s">
        <v>19031</v>
      </c>
      <c r="E9322" t="s">
        <v>27158</v>
      </c>
      <c r="F9322" t="s">
        <v>32831</v>
      </c>
      <c r="G9322" t="s">
        <v>32839</v>
      </c>
      <c r="H9322" t="s">
        <v>32848</v>
      </c>
      <c r="I9322" t="s">
        <v>4776</v>
      </c>
      <c r="J9322" t="s">
        <v>34100</v>
      </c>
      <c r="K9322" t="s">
        <v>42727</v>
      </c>
      <c r="M9322" t="s">
        <v>45688</v>
      </c>
      <c r="N9322" t="s">
        <v>47424</v>
      </c>
      <c r="O9322" t="s">
        <v>47425</v>
      </c>
      <c r="P9322">
        <v>0</v>
      </c>
      <c r="Q9322">
        <v>5</v>
      </c>
      <c r="R9322" t="s">
        <v>47433</v>
      </c>
      <c r="S9322" t="s">
        <v>47633</v>
      </c>
      <c r="T9322" t="s">
        <v>49533</v>
      </c>
      <c r="U9322" t="s">
        <v>57388</v>
      </c>
      <c r="W9322" t="s">
        <v>64510</v>
      </c>
      <c r="X9322" t="s">
        <v>47434</v>
      </c>
    </row>
    <row r="9323" spans="1:24">
      <c r="A9323">
        <f>HYPERLINK("https://www.philgeps.gov.ph/GEPSNONPILOT/Tender/SplashBidNoticeAbstractUI.aspx?menuIndex=3&amp;refID=7149376&amp;Result=3","7149376")</f>
        <v>0</v>
      </c>
      <c r="B9323" t="s">
        <v>143</v>
      </c>
      <c r="C9323" t="s">
        <v>12680</v>
      </c>
      <c r="D9323" t="s">
        <v>19065</v>
      </c>
      <c r="E9323" t="s">
        <v>27159</v>
      </c>
      <c r="F9323" t="s">
        <v>32831</v>
      </c>
      <c r="G9323" t="s">
        <v>32839</v>
      </c>
      <c r="H9323" t="s">
        <v>32848</v>
      </c>
      <c r="I9323" t="s">
        <v>4558</v>
      </c>
      <c r="J9323" t="s">
        <v>38759</v>
      </c>
      <c r="K9323" t="s">
        <v>42779</v>
      </c>
      <c r="M9323" t="s">
        <v>43140</v>
      </c>
      <c r="N9323" t="s">
        <v>47424</v>
      </c>
      <c r="O9323" t="s">
        <v>47425</v>
      </c>
      <c r="P9323">
        <v>0</v>
      </c>
      <c r="Q9323">
        <v>13</v>
      </c>
      <c r="R9323" t="s">
        <v>47433</v>
      </c>
      <c r="S9323" t="s">
        <v>47633</v>
      </c>
      <c r="T9323" t="s">
        <v>49107</v>
      </c>
      <c r="U9323" t="s">
        <v>57389</v>
      </c>
      <c r="W9323" t="s">
        <v>43140</v>
      </c>
      <c r="X9323" t="s">
        <v>47434</v>
      </c>
    </row>
    <row r="9324" spans="1:24">
      <c r="A9324">
        <f>HYPERLINK("https://www.philgeps.gov.ph/GEPSNONPILOT/Tender/SplashBidNoticeAbstractUI.aspx?menuIndex=3&amp;refID=7149371&amp;Result=3","7149371")</f>
        <v>0</v>
      </c>
      <c r="B9324" t="s">
        <v>1400</v>
      </c>
      <c r="C9324" t="s">
        <v>12681</v>
      </c>
      <c r="D9324" t="s">
        <v>19057</v>
      </c>
      <c r="E9324" t="s">
        <v>27160</v>
      </c>
      <c r="F9324" t="s">
        <v>32831</v>
      </c>
      <c r="G9324" t="s">
        <v>32839</v>
      </c>
      <c r="H9324" t="s">
        <v>32848</v>
      </c>
      <c r="I9324" t="s">
        <v>32886</v>
      </c>
      <c r="J9324" t="s">
        <v>35198</v>
      </c>
      <c r="K9324" t="s">
        <v>42729</v>
      </c>
      <c r="M9324" t="s">
        <v>44485</v>
      </c>
      <c r="N9324" t="s">
        <v>47424</v>
      </c>
      <c r="O9324" t="s">
        <v>47425</v>
      </c>
      <c r="P9324">
        <v>0</v>
      </c>
      <c r="Q9324">
        <v>5</v>
      </c>
      <c r="R9324" t="s">
        <v>47433</v>
      </c>
      <c r="S9324" t="s">
        <v>47633</v>
      </c>
      <c r="T9324" t="s">
        <v>49237</v>
      </c>
      <c r="U9324" t="s">
        <v>57390</v>
      </c>
      <c r="W9324" t="s">
        <v>44485</v>
      </c>
      <c r="X9324" t="s">
        <v>47434</v>
      </c>
    </row>
    <row r="9325" spans="1:24">
      <c r="A9325">
        <f>HYPERLINK("https://www.philgeps.gov.ph/GEPSNONPILOT/Tender/SplashBidNoticeAbstractUI.aspx?menuIndex=3&amp;refID=7149345&amp;Result=3","7149345")</f>
        <v>0</v>
      </c>
      <c r="B9325" t="s">
        <v>956</v>
      </c>
      <c r="C9325" t="s">
        <v>12682</v>
      </c>
      <c r="D9325" t="s">
        <v>19038</v>
      </c>
      <c r="E9325" t="s">
        <v>27161</v>
      </c>
      <c r="F9325" t="s">
        <v>32831</v>
      </c>
      <c r="G9325" t="s">
        <v>32839</v>
      </c>
      <c r="H9325" t="s">
        <v>32849</v>
      </c>
      <c r="I9325" t="s">
        <v>4177</v>
      </c>
      <c r="J9325" t="s">
        <v>32978</v>
      </c>
      <c r="K9325" t="s">
        <v>42732</v>
      </c>
      <c r="M9325" t="s">
        <v>44002</v>
      </c>
      <c r="N9325" t="s">
        <v>47424</v>
      </c>
      <c r="O9325" t="s">
        <v>47425</v>
      </c>
      <c r="P9325">
        <v>0</v>
      </c>
      <c r="Q9325">
        <v>0</v>
      </c>
      <c r="R9325" t="s">
        <v>47433</v>
      </c>
      <c r="S9325" t="s">
        <v>47633</v>
      </c>
      <c r="T9325" t="s">
        <v>49166</v>
      </c>
      <c r="U9325" t="s">
        <v>57391</v>
      </c>
      <c r="V9325" t="s">
        <v>62833</v>
      </c>
      <c r="W9325" t="s">
        <v>44002</v>
      </c>
      <c r="X9325" t="s">
        <v>47434</v>
      </c>
    </row>
    <row r="9326" spans="1:24">
      <c r="A9326">
        <f>HYPERLINK("https://www.philgeps.gov.ph/GEPSNONPILOT/Tender/SplashBidNoticeAbstractUI.aspx?menuIndex=3&amp;refID=7149341&amp;Result=3","7149341")</f>
        <v>0</v>
      </c>
      <c r="B9326" t="s">
        <v>661</v>
      </c>
      <c r="C9326" t="s">
        <v>12683</v>
      </c>
      <c r="D9326" t="s">
        <v>19058</v>
      </c>
      <c r="E9326" t="s">
        <v>27162</v>
      </c>
      <c r="F9326" t="s">
        <v>32831</v>
      </c>
      <c r="G9326" t="s">
        <v>32839</v>
      </c>
      <c r="H9326" t="s">
        <v>32848</v>
      </c>
      <c r="I9326" t="s">
        <v>7416</v>
      </c>
      <c r="J9326" t="s">
        <v>38760</v>
      </c>
      <c r="K9326" t="s">
        <v>42731</v>
      </c>
      <c r="M9326" t="s">
        <v>43679</v>
      </c>
      <c r="N9326" t="s">
        <v>47424</v>
      </c>
      <c r="O9326" t="s">
        <v>47425</v>
      </c>
      <c r="P9326">
        <v>0</v>
      </c>
      <c r="Q9326">
        <v>0</v>
      </c>
      <c r="R9326" t="s">
        <v>47433</v>
      </c>
      <c r="S9326" t="s">
        <v>47633</v>
      </c>
      <c r="T9326" t="s">
        <v>49237</v>
      </c>
      <c r="U9326" t="s">
        <v>57382</v>
      </c>
      <c r="W9326" t="s">
        <v>43679</v>
      </c>
      <c r="X9326" t="s">
        <v>47434</v>
      </c>
    </row>
    <row r="9327" spans="1:24">
      <c r="A9327">
        <f>HYPERLINK("https://www.philgeps.gov.ph/GEPSNONPILOT/Tender/SplashBidNoticeAbstractUI.aspx?menuIndex=3&amp;refID=7149343&amp;Result=3","7149343")</f>
        <v>0</v>
      </c>
      <c r="B9327" t="s">
        <v>2984</v>
      </c>
      <c r="C9327" t="s">
        <v>4226</v>
      </c>
      <c r="D9327" t="s">
        <v>19027</v>
      </c>
      <c r="E9327" t="s">
        <v>27163</v>
      </c>
      <c r="F9327" t="s">
        <v>32831</v>
      </c>
      <c r="G9327" t="s">
        <v>32839</v>
      </c>
      <c r="H9327" t="s">
        <v>32848</v>
      </c>
      <c r="I9327" t="s">
        <v>32860</v>
      </c>
      <c r="J9327" t="s">
        <v>38761</v>
      </c>
      <c r="K9327" t="s">
        <v>42730</v>
      </c>
      <c r="M9327" t="s">
        <v>46247</v>
      </c>
      <c r="N9327" t="s">
        <v>47424</v>
      </c>
      <c r="O9327" t="s">
        <v>47425</v>
      </c>
      <c r="P9327">
        <v>0</v>
      </c>
      <c r="Q9327">
        <v>0</v>
      </c>
      <c r="R9327" t="s">
        <v>47433</v>
      </c>
      <c r="S9327" t="s">
        <v>47633</v>
      </c>
      <c r="T9327" t="s">
        <v>49162</v>
      </c>
      <c r="U9327" t="s">
        <v>57392</v>
      </c>
      <c r="W9327" t="s">
        <v>46247</v>
      </c>
      <c r="X9327" t="s">
        <v>47434</v>
      </c>
    </row>
    <row r="9328" spans="1:24">
      <c r="A9328">
        <f>HYPERLINK("https://www.philgeps.gov.ph/GEPSNONPILOT/Tender/SplashBidNoticeAbstractUI.aspx?menuIndex=3&amp;refID=7149336&amp;Result=3","7149336")</f>
        <v>0</v>
      </c>
      <c r="B9328" t="s">
        <v>2985</v>
      </c>
      <c r="C9328" t="s">
        <v>12684</v>
      </c>
      <c r="D9328" t="s">
        <v>19017</v>
      </c>
      <c r="E9328" t="s">
        <v>20926</v>
      </c>
      <c r="F9328" t="s">
        <v>32831</v>
      </c>
      <c r="G9328" t="s">
        <v>32838</v>
      </c>
      <c r="H9328" t="s">
        <v>32848</v>
      </c>
      <c r="I9328" t="s">
        <v>4776</v>
      </c>
      <c r="J9328" t="s">
        <v>33140</v>
      </c>
      <c r="K9328" t="s">
        <v>42727</v>
      </c>
      <c r="M9328" t="s">
        <v>46248</v>
      </c>
      <c r="N9328" t="s">
        <v>47424</v>
      </c>
      <c r="O9328" t="s">
        <v>47425</v>
      </c>
      <c r="P9328">
        <v>0</v>
      </c>
      <c r="Q9328">
        <v>11</v>
      </c>
      <c r="R9328" t="s">
        <v>47433</v>
      </c>
      <c r="S9328" t="s">
        <v>47633</v>
      </c>
      <c r="T9328" t="s">
        <v>49163</v>
      </c>
      <c r="U9328" t="s">
        <v>57393</v>
      </c>
      <c r="V9328" t="s">
        <v>63649</v>
      </c>
      <c r="W9328" t="s">
        <v>46248</v>
      </c>
      <c r="X9328" t="s">
        <v>47434</v>
      </c>
    </row>
    <row r="9329" spans="1:24">
      <c r="A9329">
        <f>HYPERLINK("https://www.philgeps.gov.ph/GEPSNONPILOT/Tender/SplashBidNoticeAbstractUI.aspx?menuIndex=3&amp;refID=7149368&amp;Result=3","7149368")</f>
        <v>0</v>
      </c>
      <c r="B9329" t="s">
        <v>2986</v>
      </c>
      <c r="C9329" t="s">
        <v>12685</v>
      </c>
      <c r="D9329" t="s">
        <v>19045</v>
      </c>
      <c r="E9329" t="s">
        <v>19211</v>
      </c>
      <c r="F9329" t="s">
        <v>32831</v>
      </c>
      <c r="G9329" t="s">
        <v>32839</v>
      </c>
      <c r="H9329" t="s">
        <v>32849</v>
      </c>
      <c r="I9329" t="s">
        <v>4177</v>
      </c>
      <c r="J9329" t="s">
        <v>38762</v>
      </c>
      <c r="K9329" t="s">
        <v>42745</v>
      </c>
      <c r="M9329" t="s">
        <v>46249</v>
      </c>
      <c r="N9329" t="s">
        <v>47424</v>
      </c>
      <c r="O9329" t="s">
        <v>47425</v>
      </c>
      <c r="P9329">
        <v>0</v>
      </c>
      <c r="Q9329">
        <v>0</v>
      </c>
      <c r="R9329" t="s">
        <v>47433</v>
      </c>
      <c r="S9329" t="s">
        <v>47633</v>
      </c>
      <c r="T9329" t="s">
        <v>49163</v>
      </c>
      <c r="U9329" t="s">
        <v>57394</v>
      </c>
      <c r="W9329" t="s">
        <v>46249</v>
      </c>
      <c r="X9329" t="s">
        <v>47434</v>
      </c>
    </row>
    <row r="9330" spans="1:24">
      <c r="A9330">
        <f>HYPERLINK("https://www.philgeps.gov.ph/GEPSNONPILOT/Tender/SplashBidNoticeAbstractUI.aspx?menuIndex=3&amp;refID=7149424&amp;Result=3","7149424")</f>
        <v>0</v>
      </c>
      <c r="B9330" t="s">
        <v>1936</v>
      </c>
      <c r="C9330" t="s">
        <v>12686</v>
      </c>
      <c r="D9330" t="s">
        <v>19095</v>
      </c>
      <c r="E9330" t="s">
        <v>21072</v>
      </c>
      <c r="F9330" t="s">
        <v>32831</v>
      </c>
      <c r="G9330" t="s">
        <v>32838</v>
      </c>
      <c r="H9330" t="s">
        <v>32848</v>
      </c>
      <c r="I9330" t="s">
        <v>32860</v>
      </c>
      <c r="J9330" t="s">
        <v>34431</v>
      </c>
      <c r="K9330" t="s">
        <v>42726</v>
      </c>
      <c r="M9330" t="s">
        <v>45091</v>
      </c>
      <c r="N9330" t="s">
        <v>47424</v>
      </c>
      <c r="O9330" t="s">
        <v>47425</v>
      </c>
      <c r="P9330">
        <v>0</v>
      </c>
      <c r="Q9330">
        <v>2</v>
      </c>
      <c r="R9330" t="s">
        <v>47433</v>
      </c>
      <c r="S9330" t="s">
        <v>47633</v>
      </c>
      <c r="T9330" t="s">
        <v>49111</v>
      </c>
      <c r="U9330" t="s">
        <v>57395</v>
      </c>
      <c r="W9330" t="s">
        <v>45091</v>
      </c>
      <c r="X9330" t="s">
        <v>47434</v>
      </c>
    </row>
    <row r="9331" spans="1:24">
      <c r="A9331">
        <f>HYPERLINK("https://www.philgeps.gov.ph/GEPSNONPILOT/Tender/SplashBidNoticeAbstractUI.aspx?menuIndex=3&amp;refID=7154657&amp;Result=3","7154657")</f>
        <v>0</v>
      </c>
      <c r="B9331" t="s">
        <v>2987</v>
      </c>
      <c r="C9331" t="s">
        <v>12687</v>
      </c>
      <c r="D9331" t="s">
        <v>19017</v>
      </c>
      <c r="E9331" t="s">
        <v>27164</v>
      </c>
      <c r="F9331" t="s">
        <v>32831</v>
      </c>
      <c r="G9331" t="s">
        <v>32838</v>
      </c>
      <c r="H9331" t="s">
        <v>32848</v>
      </c>
      <c r="I9331" t="s">
        <v>32902</v>
      </c>
      <c r="J9331" t="s">
        <v>34042</v>
      </c>
      <c r="K9331" t="s">
        <v>42732</v>
      </c>
      <c r="M9331" t="s">
        <v>46250</v>
      </c>
      <c r="N9331" t="s">
        <v>47424</v>
      </c>
      <c r="O9331" t="s">
        <v>47425</v>
      </c>
      <c r="P9331">
        <v>0</v>
      </c>
      <c r="Q9331">
        <v>11</v>
      </c>
      <c r="R9331" t="s">
        <v>47432</v>
      </c>
      <c r="S9331" t="s">
        <v>47597</v>
      </c>
      <c r="T9331" t="s">
        <v>49255</v>
      </c>
      <c r="U9331" t="s">
        <v>57396</v>
      </c>
      <c r="V9331" t="s">
        <v>63650</v>
      </c>
      <c r="W9331" t="s">
        <v>46250</v>
      </c>
      <c r="X9331" t="s">
        <v>47433</v>
      </c>
    </row>
    <row r="9332" spans="1:24">
      <c r="A9332">
        <f>HYPERLINK("https://www.philgeps.gov.ph/GEPSNONPILOT/Tender/SplashBidNoticeAbstractUI.aspx?menuIndex=3&amp;refID=7149339&amp;Result=3","7149339")</f>
        <v>0</v>
      </c>
      <c r="B9332" t="s">
        <v>2986</v>
      </c>
      <c r="C9332" t="s">
        <v>12688</v>
      </c>
      <c r="D9332" t="s">
        <v>19045</v>
      </c>
      <c r="E9332" t="s">
        <v>19203</v>
      </c>
      <c r="F9332" t="s">
        <v>32831</v>
      </c>
      <c r="G9332" t="s">
        <v>32839</v>
      </c>
      <c r="H9332" t="s">
        <v>32849</v>
      </c>
      <c r="I9332" t="s">
        <v>4177</v>
      </c>
      <c r="J9332" t="s">
        <v>38763</v>
      </c>
      <c r="K9332" t="s">
        <v>42727</v>
      </c>
      <c r="M9332" t="s">
        <v>46249</v>
      </c>
      <c r="N9332" t="s">
        <v>47424</v>
      </c>
      <c r="O9332" t="s">
        <v>47425</v>
      </c>
      <c r="P9332">
        <v>0</v>
      </c>
      <c r="Q9332">
        <v>0</v>
      </c>
      <c r="R9332" t="s">
        <v>47433</v>
      </c>
      <c r="S9332" t="s">
        <v>47633</v>
      </c>
      <c r="T9332" t="s">
        <v>49163</v>
      </c>
      <c r="U9332" t="s">
        <v>57397</v>
      </c>
      <c r="W9332" t="s">
        <v>46249</v>
      </c>
      <c r="X9332" t="s">
        <v>47434</v>
      </c>
    </row>
    <row r="9333" spans="1:24">
      <c r="A9333">
        <f>HYPERLINK("https://www.philgeps.gov.ph/GEPSNONPILOT/Tender/SplashBidNoticeAbstractUI.aspx?menuIndex=3&amp;refID=7149418&amp;Result=3","7149418")</f>
        <v>0</v>
      </c>
      <c r="B9333" t="s">
        <v>143</v>
      </c>
      <c r="C9333" t="s">
        <v>12689</v>
      </c>
      <c r="D9333" t="s">
        <v>19065</v>
      </c>
      <c r="E9333" t="s">
        <v>27165</v>
      </c>
      <c r="F9333" t="s">
        <v>32831</v>
      </c>
      <c r="G9333" t="s">
        <v>32839</v>
      </c>
      <c r="H9333" t="s">
        <v>32848</v>
      </c>
      <c r="I9333" t="s">
        <v>32871</v>
      </c>
      <c r="J9333" t="s">
        <v>38764</v>
      </c>
      <c r="K9333" t="s">
        <v>42747</v>
      </c>
      <c r="M9333" t="s">
        <v>43140</v>
      </c>
      <c r="N9333" t="s">
        <v>47424</v>
      </c>
      <c r="O9333" t="s">
        <v>47425</v>
      </c>
      <c r="P9333">
        <v>0</v>
      </c>
      <c r="Q9333">
        <v>32</v>
      </c>
      <c r="R9333" t="s">
        <v>47433</v>
      </c>
      <c r="S9333" t="s">
        <v>47633</v>
      </c>
      <c r="T9333" t="s">
        <v>49107</v>
      </c>
      <c r="U9333" t="s">
        <v>57398</v>
      </c>
      <c r="W9333" t="s">
        <v>43140</v>
      </c>
      <c r="X9333" t="s">
        <v>47434</v>
      </c>
    </row>
    <row r="9334" spans="1:24">
      <c r="A9334">
        <f>HYPERLINK("https://www.philgeps.gov.ph/GEPSNONPILOT/Tender/SplashBidNoticeAbstractUI.aspx?menuIndex=3&amp;refID=7149417&amp;Result=3","7149417")</f>
        <v>0</v>
      </c>
      <c r="B9334" t="s">
        <v>2984</v>
      </c>
      <c r="C9334" t="s">
        <v>12690</v>
      </c>
      <c r="D9334" t="s">
        <v>19027</v>
      </c>
      <c r="E9334" t="s">
        <v>27166</v>
      </c>
      <c r="F9334" t="s">
        <v>32831</v>
      </c>
      <c r="G9334" t="s">
        <v>32839</v>
      </c>
      <c r="H9334" t="s">
        <v>32848</v>
      </c>
      <c r="I9334" t="s">
        <v>32932</v>
      </c>
      <c r="J9334" t="s">
        <v>38765</v>
      </c>
      <c r="K9334" t="s">
        <v>42730</v>
      </c>
      <c r="M9334" t="s">
        <v>46247</v>
      </c>
      <c r="N9334" t="s">
        <v>47424</v>
      </c>
      <c r="O9334" t="s">
        <v>47425</v>
      </c>
      <c r="P9334">
        <v>0</v>
      </c>
      <c r="Q9334">
        <v>1</v>
      </c>
      <c r="R9334" t="s">
        <v>47433</v>
      </c>
      <c r="S9334" t="s">
        <v>47633</v>
      </c>
      <c r="T9334" t="s">
        <v>49162</v>
      </c>
      <c r="U9334" t="s">
        <v>57399</v>
      </c>
      <c r="W9334" t="s">
        <v>46247</v>
      </c>
      <c r="X9334" t="s">
        <v>47434</v>
      </c>
    </row>
    <row r="9335" spans="1:24">
      <c r="A9335">
        <f>HYPERLINK("https://www.philgeps.gov.ph/GEPSNONPILOT/Tender/SplashBidNoticeAbstractUI.aspx?menuIndex=3&amp;refID=7143991&amp;Result=3","7143991")</f>
        <v>0</v>
      </c>
      <c r="B9335" t="s">
        <v>1782</v>
      </c>
      <c r="C9335" t="s">
        <v>12691</v>
      </c>
      <c r="D9335" t="s">
        <v>19035</v>
      </c>
      <c r="E9335" t="s">
        <v>27167</v>
      </c>
      <c r="F9335" t="s">
        <v>32831</v>
      </c>
      <c r="G9335" t="s">
        <v>32839</v>
      </c>
      <c r="H9335" t="s">
        <v>32848</v>
      </c>
      <c r="I9335" t="s">
        <v>9577</v>
      </c>
      <c r="J9335" t="s">
        <v>38766</v>
      </c>
      <c r="K9335" t="s">
        <v>42731</v>
      </c>
      <c r="M9335" t="s">
        <v>46251</v>
      </c>
      <c r="N9335" t="s">
        <v>47424</v>
      </c>
      <c r="O9335" t="s">
        <v>47425</v>
      </c>
      <c r="P9335">
        <v>0</v>
      </c>
      <c r="Q9335">
        <v>4</v>
      </c>
      <c r="R9335" t="s">
        <v>47433</v>
      </c>
      <c r="S9335" t="s">
        <v>47633</v>
      </c>
      <c r="T9335" t="s">
        <v>49348</v>
      </c>
      <c r="U9335" t="s">
        <v>57400</v>
      </c>
      <c r="W9335" t="s">
        <v>46251</v>
      </c>
      <c r="X9335" t="s">
        <v>47439</v>
      </c>
    </row>
    <row r="9336" spans="1:24">
      <c r="A9336">
        <f>HYPERLINK("https://www.philgeps.gov.ph/GEPSNONPILOT/Tender/SplashBidNoticeAbstractUI.aspx?menuIndex=3&amp;refID=7154658&amp;Result=3","7154658")</f>
        <v>0</v>
      </c>
      <c r="B9336" t="s">
        <v>2854</v>
      </c>
      <c r="C9336" t="s">
        <v>12692</v>
      </c>
      <c r="D9336" t="s">
        <v>19022</v>
      </c>
      <c r="E9336" t="s">
        <v>25833</v>
      </c>
      <c r="F9336" t="s">
        <v>32831</v>
      </c>
      <c r="G9336" t="s">
        <v>32839</v>
      </c>
      <c r="H9336" t="s">
        <v>32849</v>
      </c>
      <c r="I9336" t="s">
        <v>32889</v>
      </c>
      <c r="J9336" t="s">
        <v>33024</v>
      </c>
      <c r="K9336" t="s">
        <v>42773</v>
      </c>
      <c r="M9336" t="s">
        <v>46087</v>
      </c>
      <c r="N9336" t="s">
        <v>47424</v>
      </c>
      <c r="O9336" t="s">
        <v>47425</v>
      </c>
      <c r="P9336">
        <v>0</v>
      </c>
      <c r="Q9336">
        <v>0</v>
      </c>
      <c r="R9336" t="s">
        <v>47432</v>
      </c>
      <c r="S9336" t="s">
        <v>47597</v>
      </c>
      <c r="T9336" t="s">
        <v>49490</v>
      </c>
      <c r="U9336" t="s">
        <v>57401</v>
      </c>
      <c r="V9336" t="s">
        <v>63584</v>
      </c>
      <c r="W9336" t="s">
        <v>46087</v>
      </c>
      <c r="X9336" t="s">
        <v>47433</v>
      </c>
    </row>
    <row r="9337" spans="1:24">
      <c r="A9337">
        <f>HYPERLINK("https://www.philgeps.gov.ph/GEPSNONPILOT/Tender/SplashBidNoticeAbstractUI.aspx?menuIndex=3&amp;refID=7149413&amp;Result=3","7149413")</f>
        <v>0</v>
      </c>
      <c r="B9337" t="s">
        <v>2988</v>
      </c>
      <c r="C9337" t="s">
        <v>12693</v>
      </c>
      <c r="D9337" t="s">
        <v>19023</v>
      </c>
      <c r="E9337" t="s">
        <v>27168</v>
      </c>
      <c r="F9337" t="s">
        <v>32831</v>
      </c>
      <c r="G9337" t="s">
        <v>32839</v>
      </c>
      <c r="H9337" t="s">
        <v>32849</v>
      </c>
      <c r="I9337" t="s">
        <v>4177</v>
      </c>
      <c r="J9337" t="s">
        <v>32980</v>
      </c>
      <c r="K9337" t="s">
        <v>42730</v>
      </c>
      <c r="M9337" t="s">
        <v>46252</v>
      </c>
      <c r="N9337" t="s">
        <v>47424</v>
      </c>
      <c r="O9337" t="s">
        <v>47425</v>
      </c>
      <c r="P9337">
        <v>0</v>
      </c>
      <c r="Q9337">
        <v>1</v>
      </c>
      <c r="R9337" t="s">
        <v>47433</v>
      </c>
      <c r="S9337" t="s">
        <v>47633</v>
      </c>
      <c r="T9337" t="s">
        <v>49237</v>
      </c>
      <c r="U9337" t="s">
        <v>57402</v>
      </c>
      <c r="W9337" t="s">
        <v>46252</v>
      </c>
      <c r="X9337" t="s">
        <v>47434</v>
      </c>
    </row>
    <row r="9338" spans="1:24">
      <c r="A9338">
        <f>HYPERLINK("https://www.philgeps.gov.ph/GEPSNONPILOT/Tender/SplashBidNoticeAbstractUI.aspx?menuIndex=3&amp;refID=7149411&amp;Result=3","7149411")</f>
        <v>0</v>
      </c>
      <c r="B9338" t="s">
        <v>2989</v>
      </c>
      <c r="C9338" t="s">
        <v>12694</v>
      </c>
      <c r="D9338" t="s">
        <v>19061</v>
      </c>
      <c r="E9338" t="s">
        <v>27169</v>
      </c>
      <c r="F9338" t="s">
        <v>32831</v>
      </c>
      <c r="G9338" t="s">
        <v>32839</v>
      </c>
      <c r="H9338" t="s">
        <v>32849</v>
      </c>
      <c r="I9338" t="s">
        <v>4177</v>
      </c>
      <c r="J9338" t="s">
        <v>38767</v>
      </c>
      <c r="K9338" t="s">
        <v>42730</v>
      </c>
      <c r="M9338" t="s">
        <v>46253</v>
      </c>
      <c r="N9338" t="s">
        <v>47424</v>
      </c>
      <c r="O9338" t="s">
        <v>47425</v>
      </c>
      <c r="P9338">
        <v>0</v>
      </c>
      <c r="Q9338">
        <v>1</v>
      </c>
      <c r="R9338" t="s">
        <v>47433</v>
      </c>
      <c r="S9338" t="s">
        <v>47633</v>
      </c>
      <c r="T9338" t="s">
        <v>49237</v>
      </c>
      <c r="U9338" t="s">
        <v>57403</v>
      </c>
      <c r="V9338" t="s">
        <v>63651</v>
      </c>
      <c r="W9338" t="s">
        <v>46253</v>
      </c>
      <c r="X9338" t="s">
        <v>47434</v>
      </c>
    </row>
    <row r="9339" spans="1:24">
      <c r="A9339">
        <f>HYPERLINK("https://www.philgeps.gov.ph/GEPSNONPILOT/Tender/SplashBidNoticeAbstractUI.aspx?menuIndex=3&amp;refID=7149410&amp;Result=3","7149410")</f>
        <v>0</v>
      </c>
      <c r="B9339" t="s">
        <v>1747</v>
      </c>
      <c r="C9339" t="s">
        <v>12695</v>
      </c>
      <c r="D9339" t="s">
        <v>19058</v>
      </c>
      <c r="E9339" t="s">
        <v>27170</v>
      </c>
      <c r="F9339" t="s">
        <v>32831</v>
      </c>
      <c r="G9339" t="s">
        <v>32839</v>
      </c>
      <c r="H9339" t="s">
        <v>32848</v>
      </c>
      <c r="I9339" t="s">
        <v>4487</v>
      </c>
      <c r="J9339" t="s">
        <v>38768</v>
      </c>
      <c r="K9339" t="s">
        <v>42730</v>
      </c>
      <c r="M9339" t="s">
        <v>44870</v>
      </c>
      <c r="N9339" t="s">
        <v>47424</v>
      </c>
      <c r="O9339" t="s">
        <v>47425</v>
      </c>
      <c r="P9339">
        <v>0</v>
      </c>
      <c r="Q9339">
        <v>1</v>
      </c>
      <c r="R9339" t="s">
        <v>47433</v>
      </c>
      <c r="S9339" t="s">
        <v>47633</v>
      </c>
      <c r="T9339" t="s">
        <v>49237</v>
      </c>
      <c r="U9339" t="s">
        <v>57404</v>
      </c>
      <c r="W9339" t="s">
        <v>44870</v>
      </c>
      <c r="X9339" t="s">
        <v>47434</v>
      </c>
    </row>
    <row r="9340" spans="1:24">
      <c r="A9340">
        <f>HYPERLINK("https://www.philgeps.gov.ph/GEPSNONPILOT/Tender/SplashBidNoticeAbstractUI.aspx?menuIndex=3&amp;refID=7149402&amp;Result=3","7149402")</f>
        <v>0</v>
      </c>
      <c r="B9340" t="s">
        <v>1747</v>
      </c>
      <c r="C9340" t="s">
        <v>12696</v>
      </c>
      <c r="D9340" t="s">
        <v>19058</v>
      </c>
      <c r="E9340" t="s">
        <v>27171</v>
      </c>
      <c r="F9340" t="s">
        <v>32831</v>
      </c>
      <c r="G9340" t="s">
        <v>32839</v>
      </c>
      <c r="H9340" t="s">
        <v>32848</v>
      </c>
      <c r="I9340" t="s">
        <v>10805</v>
      </c>
      <c r="J9340" t="s">
        <v>38769</v>
      </c>
      <c r="K9340" t="s">
        <v>42727</v>
      </c>
      <c r="M9340" t="s">
        <v>44870</v>
      </c>
      <c r="N9340" t="s">
        <v>47424</v>
      </c>
      <c r="O9340" t="s">
        <v>47425</v>
      </c>
      <c r="P9340">
        <v>0</v>
      </c>
      <c r="Q9340">
        <v>0</v>
      </c>
      <c r="R9340" t="s">
        <v>47433</v>
      </c>
      <c r="S9340" t="s">
        <v>47633</v>
      </c>
      <c r="T9340" t="s">
        <v>49237</v>
      </c>
      <c r="U9340" t="s">
        <v>57405</v>
      </c>
      <c r="W9340" t="s">
        <v>44870</v>
      </c>
      <c r="X9340" t="s">
        <v>47434</v>
      </c>
    </row>
    <row r="9341" spans="1:24">
      <c r="A9341">
        <f>HYPERLINK("https://www.philgeps.gov.ph/GEPSNONPILOT/Tender/SplashBidNoticeAbstractUI.aspx?menuIndex=3&amp;refID=7149400&amp;Result=3","7149400")</f>
        <v>0</v>
      </c>
      <c r="B9341" t="s">
        <v>2984</v>
      </c>
      <c r="C9341" t="s">
        <v>12697</v>
      </c>
      <c r="D9341" t="s">
        <v>19027</v>
      </c>
      <c r="E9341" t="s">
        <v>27172</v>
      </c>
      <c r="F9341" t="s">
        <v>32831</v>
      </c>
      <c r="G9341" t="s">
        <v>32839</v>
      </c>
      <c r="H9341" t="s">
        <v>32848</v>
      </c>
      <c r="I9341" t="s">
        <v>32932</v>
      </c>
      <c r="J9341" t="s">
        <v>34721</v>
      </c>
      <c r="K9341" t="s">
        <v>42730</v>
      </c>
      <c r="M9341" t="s">
        <v>46247</v>
      </c>
      <c r="N9341" t="s">
        <v>47424</v>
      </c>
      <c r="O9341" t="s">
        <v>47425</v>
      </c>
      <c r="P9341">
        <v>0</v>
      </c>
      <c r="Q9341">
        <v>1</v>
      </c>
      <c r="R9341" t="s">
        <v>47433</v>
      </c>
      <c r="S9341" t="s">
        <v>47633</v>
      </c>
      <c r="T9341" t="s">
        <v>49162</v>
      </c>
      <c r="U9341" t="s">
        <v>57406</v>
      </c>
      <c r="W9341" t="s">
        <v>46247</v>
      </c>
      <c r="X9341" t="s">
        <v>47434</v>
      </c>
    </row>
    <row r="9342" spans="1:24">
      <c r="A9342">
        <f>HYPERLINK("https://www.philgeps.gov.ph/GEPSNONPILOT/Tender/SplashBidNoticeAbstractUI.aspx?menuIndex=3&amp;refID=7149397&amp;Result=3","7149397")</f>
        <v>0</v>
      </c>
      <c r="B9342" t="s">
        <v>1747</v>
      </c>
      <c r="C9342" t="s">
        <v>12698</v>
      </c>
      <c r="D9342" t="s">
        <v>19058</v>
      </c>
      <c r="E9342" t="s">
        <v>27173</v>
      </c>
      <c r="F9342" t="s">
        <v>32831</v>
      </c>
      <c r="G9342" t="s">
        <v>32839</v>
      </c>
      <c r="H9342" t="s">
        <v>32848</v>
      </c>
      <c r="I9342" t="s">
        <v>4487</v>
      </c>
      <c r="J9342" t="s">
        <v>33433</v>
      </c>
      <c r="K9342" t="s">
        <v>42727</v>
      </c>
      <c r="M9342" t="s">
        <v>44870</v>
      </c>
      <c r="N9342" t="s">
        <v>47424</v>
      </c>
      <c r="O9342" t="s">
        <v>47425</v>
      </c>
      <c r="P9342">
        <v>0</v>
      </c>
      <c r="Q9342">
        <v>0</v>
      </c>
      <c r="R9342" t="s">
        <v>47433</v>
      </c>
      <c r="S9342" t="s">
        <v>47633</v>
      </c>
      <c r="T9342" t="s">
        <v>49237</v>
      </c>
      <c r="U9342" t="s">
        <v>57407</v>
      </c>
      <c r="W9342" t="s">
        <v>44870</v>
      </c>
      <c r="X9342" t="s">
        <v>47434</v>
      </c>
    </row>
    <row r="9343" spans="1:24">
      <c r="A9343">
        <f>HYPERLINK("https://www.philgeps.gov.ph/GEPSNONPILOT/Tender/SplashBidNoticeAbstractUI.aspx?menuIndex=3&amp;refID=7149393&amp;Result=3","7149393")</f>
        <v>0</v>
      </c>
      <c r="B9343" t="s">
        <v>2990</v>
      </c>
      <c r="C9343" t="s">
        <v>12699</v>
      </c>
      <c r="D9343" t="s">
        <v>19074</v>
      </c>
      <c r="E9343" t="s">
        <v>27174</v>
      </c>
      <c r="F9343" t="s">
        <v>32831</v>
      </c>
      <c r="G9343" t="s">
        <v>32839</v>
      </c>
      <c r="H9343" t="s">
        <v>32848</v>
      </c>
      <c r="I9343" t="s">
        <v>4776</v>
      </c>
      <c r="J9343" t="s">
        <v>38770</v>
      </c>
      <c r="K9343" t="s">
        <v>42745</v>
      </c>
      <c r="M9343" t="s">
        <v>46254</v>
      </c>
      <c r="N9343" t="s">
        <v>47424</v>
      </c>
      <c r="O9343" t="s">
        <v>47425</v>
      </c>
      <c r="P9343">
        <v>0</v>
      </c>
      <c r="Q9343">
        <v>7</v>
      </c>
      <c r="R9343" t="s">
        <v>47433</v>
      </c>
      <c r="S9343" t="s">
        <v>47633</v>
      </c>
      <c r="T9343" t="s">
        <v>49192</v>
      </c>
      <c r="U9343" t="s">
        <v>57408</v>
      </c>
      <c r="W9343" t="s">
        <v>46254</v>
      </c>
      <c r="X9343" t="s">
        <v>47434</v>
      </c>
    </row>
    <row r="9344" spans="1:24">
      <c r="A9344">
        <f>HYPERLINK("https://www.philgeps.gov.ph/GEPSNONPILOT/Tender/SplashBidNoticeAbstractUI.aspx?menuIndex=3&amp;refID=7149392&amp;Result=3","7149392")</f>
        <v>0</v>
      </c>
      <c r="B9344" t="s">
        <v>2411</v>
      </c>
      <c r="C9344" t="s">
        <v>12700</v>
      </c>
      <c r="E9344" t="s">
        <v>27175</v>
      </c>
      <c r="F9344" t="s">
        <v>32831</v>
      </c>
      <c r="G9344" t="s">
        <v>32839</v>
      </c>
      <c r="H9344" t="s">
        <v>32848</v>
      </c>
      <c r="I9344" t="s">
        <v>9577</v>
      </c>
      <c r="J9344" t="s">
        <v>38771</v>
      </c>
      <c r="K9344" t="s">
        <v>42727</v>
      </c>
      <c r="M9344" t="s">
        <v>45606</v>
      </c>
      <c r="N9344" t="s">
        <v>47424</v>
      </c>
      <c r="O9344" t="s">
        <v>47425</v>
      </c>
      <c r="P9344">
        <v>0</v>
      </c>
      <c r="Q9344">
        <v>1</v>
      </c>
      <c r="R9344" t="s">
        <v>47433</v>
      </c>
      <c r="S9344" t="s">
        <v>47633</v>
      </c>
      <c r="T9344" t="s">
        <v>49059</v>
      </c>
      <c r="U9344" t="s">
        <v>55387</v>
      </c>
      <c r="W9344" t="s">
        <v>45606</v>
      </c>
      <c r="X9344" t="s">
        <v>47434</v>
      </c>
    </row>
    <row r="9345" spans="1:24">
      <c r="A9345">
        <f>HYPERLINK("https://www.philgeps.gov.ph/GEPSNONPILOT/Tender/SplashBidNoticeAbstractUI.aspx?menuIndex=3&amp;refID=7149432&amp;Result=3","7149432")</f>
        <v>0</v>
      </c>
      <c r="B9345" t="s">
        <v>794</v>
      </c>
      <c r="C9345" t="s">
        <v>12701</v>
      </c>
      <c r="D9345" t="s">
        <v>19088</v>
      </c>
      <c r="E9345" t="s">
        <v>27176</v>
      </c>
      <c r="F9345" t="s">
        <v>32831</v>
      </c>
      <c r="G9345" t="s">
        <v>32838</v>
      </c>
      <c r="H9345" t="s">
        <v>32848</v>
      </c>
      <c r="I9345" t="s">
        <v>32902</v>
      </c>
      <c r="J9345" t="s">
        <v>33162</v>
      </c>
      <c r="K9345" t="s">
        <v>42726</v>
      </c>
      <c r="M9345" t="s">
        <v>43824</v>
      </c>
      <c r="N9345" t="s">
        <v>47424</v>
      </c>
      <c r="O9345" t="s">
        <v>47425</v>
      </c>
      <c r="P9345">
        <v>0</v>
      </c>
      <c r="Q9345">
        <v>10</v>
      </c>
      <c r="R9345" t="s">
        <v>47433</v>
      </c>
      <c r="S9345" t="s">
        <v>47633</v>
      </c>
      <c r="T9345" t="s">
        <v>49237</v>
      </c>
      <c r="U9345" t="s">
        <v>57409</v>
      </c>
      <c r="W9345" t="s">
        <v>43824</v>
      </c>
      <c r="X9345" t="s">
        <v>47434</v>
      </c>
    </row>
    <row r="9346" spans="1:24">
      <c r="A9346">
        <f>HYPERLINK("https://www.philgeps.gov.ph/GEPSNONPILOT/Tender/SplashBidNoticeAbstractUI.aspx?menuIndex=3&amp;refID=7149500&amp;Result=3","7149500")</f>
        <v>0</v>
      </c>
      <c r="B9346" t="s">
        <v>1344</v>
      </c>
      <c r="C9346" t="s">
        <v>12702</v>
      </c>
      <c r="D9346" t="s">
        <v>19077</v>
      </c>
      <c r="E9346" t="s">
        <v>22758</v>
      </c>
      <c r="F9346" t="s">
        <v>32833</v>
      </c>
      <c r="G9346" t="s">
        <v>32839</v>
      </c>
      <c r="H9346" t="s">
        <v>32848</v>
      </c>
      <c r="I9346" t="s">
        <v>7751</v>
      </c>
      <c r="J9346" t="s">
        <v>38772</v>
      </c>
      <c r="K9346" t="s">
        <v>42732</v>
      </c>
      <c r="M9346" t="s">
        <v>44417</v>
      </c>
      <c r="N9346" t="s">
        <v>47424</v>
      </c>
      <c r="O9346" t="s">
        <v>47425</v>
      </c>
      <c r="P9346">
        <v>0</v>
      </c>
      <c r="Q9346">
        <v>2</v>
      </c>
      <c r="R9346" t="s">
        <v>47433</v>
      </c>
      <c r="S9346" t="s">
        <v>47633</v>
      </c>
      <c r="T9346" t="s">
        <v>49231</v>
      </c>
      <c r="U9346" t="s">
        <v>57410</v>
      </c>
      <c r="W9346" t="s">
        <v>44417</v>
      </c>
      <c r="X9346" t="s">
        <v>47434</v>
      </c>
    </row>
    <row r="9347" spans="1:24">
      <c r="A9347">
        <f>HYPERLINK("https://www.philgeps.gov.ph/GEPSNONPILOT/Tender/SplashBidNoticeAbstractUI.aspx?menuIndex=3&amp;refID=7149420&amp;Result=3","7149420")</f>
        <v>0</v>
      </c>
      <c r="B9347" t="s">
        <v>2991</v>
      </c>
      <c r="C9347" t="s">
        <v>12703</v>
      </c>
      <c r="D9347" t="s">
        <v>19021</v>
      </c>
      <c r="E9347" t="s">
        <v>27177</v>
      </c>
      <c r="F9347" t="s">
        <v>32831</v>
      </c>
      <c r="G9347" t="s">
        <v>32839</v>
      </c>
      <c r="H9347" t="s">
        <v>32848</v>
      </c>
      <c r="I9347" t="s">
        <v>8577</v>
      </c>
      <c r="J9347" t="s">
        <v>33087</v>
      </c>
      <c r="K9347" t="s">
        <v>42763</v>
      </c>
      <c r="L9347" t="s">
        <v>2991</v>
      </c>
      <c r="M9347" t="s">
        <v>46255</v>
      </c>
      <c r="N9347" t="s">
        <v>47424</v>
      </c>
      <c r="O9347" t="s">
        <v>47425</v>
      </c>
      <c r="P9347">
        <v>0</v>
      </c>
      <c r="Q9347">
        <v>4</v>
      </c>
      <c r="R9347" t="s">
        <v>47433</v>
      </c>
      <c r="S9347" t="s">
        <v>47633</v>
      </c>
      <c r="T9347" t="s">
        <v>49255</v>
      </c>
      <c r="U9347" t="s">
        <v>57411</v>
      </c>
      <c r="W9347" t="s">
        <v>46255</v>
      </c>
      <c r="X9347" t="s">
        <v>47434</v>
      </c>
    </row>
    <row r="9348" spans="1:24">
      <c r="A9348">
        <f>HYPERLINK("https://www.philgeps.gov.ph/GEPSNONPILOT/Tender/SplashBidNoticeAbstractUI.aspx?menuIndex=3&amp;refID=7149496&amp;Result=3","7149496")</f>
        <v>0</v>
      </c>
      <c r="B9348" t="s">
        <v>2411</v>
      </c>
      <c r="C9348" t="s">
        <v>12704</v>
      </c>
      <c r="E9348" t="s">
        <v>27178</v>
      </c>
      <c r="F9348" t="s">
        <v>32831</v>
      </c>
      <c r="G9348" t="s">
        <v>32839</v>
      </c>
      <c r="H9348" t="s">
        <v>32848</v>
      </c>
      <c r="I9348" t="s">
        <v>7751</v>
      </c>
      <c r="J9348" t="s">
        <v>33364</v>
      </c>
      <c r="K9348" t="s">
        <v>42727</v>
      </c>
      <c r="M9348" t="s">
        <v>45606</v>
      </c>
      <c r="N9348" t="s">
        <v>47424</v>
      </c>
      <c r="O9348" t="s">
        <v>47425</v>
      </c>
      <c r="P9348">
        <v>0</v>
      </c>
      <c r="Q9348">
        <v>0</v>
      </c>
      <c r="R9348" t="s">
        <v>47433</v>
      </c>
      <c r="S9348" t="s">
        <v>47633</v>
      </c>
      <c r="T9348" t="s">
        <v>49192</v>
      </c>
      <c r="U9348" t="s">
        <v>57412</v>
      </c>
      <c r="W9348" t="s">
        <v>45606</v>
      </c>
      <c r="X9348" t="s">
        <v>47434</v>
      </c>
    </row>
    <row r="9349" spans="1:24">
      <c r="A9349">
        <f>HYPERLINK("https://www.philgeps.gov.ph/GEPSNONPILOT/Tender/SplashBidNoticeAbstractUI.aspx?menuIndex=3&amp;refID=7149407&amp;Result=3","7149407")</f>
        <v>0</v>
      </c>
      <c r="B9349" t="s">
        <v>276</v>
      </c>
      <c r="C9349" t="s">
        <v>12705</v>
      </c>
      <c r="D9349" t="s">
        <v>19043</v>
      </c>
      <c r="E9349" t="s">
        <v>27179</v>
      </c>
      <c r="F9349" t="s">
        <v>32831</v>
      </c>
      <c r="G9349" t="s">
        <v>32840</v>
      </c>
      <c r="H9349" t="s">
        <v>32848</v>
      </c>
      <c r="I9349" t="s">
        <v>4558</v>
      </c>
      <c r="J9349" t="s">
        <v>38773</v>
      </c>
      <c r="K9349" t="s">
        <v>42732</v>
      </c>
      <c r="M9349" t="s">
        <v>43275</v>
      </c>
      <c r="N9349" t="s">
        <v>47424</v>
      </c>
      <c r="O9349" t="s">
        <v>47425</v>
      </c>
      <c r="P9349">
        <v>0</v>
      </c>
      <c r="Q9349">
        <v>21</v>
      </c>
      <c r="R9349" t="s">
        <v>47433</v>
      </c>
      <c r="S9349" t="s">
        <v>47633</v>
      </c>
      <c r="T9349" t="s">
        <v>49163</v>
      </c>
      <c r="U9349" t="s">
        <v>57413</v>
      </c>
      <c r="W9349" t="s">
        <v>43275</v>
      </c>
      <c r="X9349" t="s">
        <v>47434</v>
      </c>
    </row>
    <row r="9350" spans="1:24">
      <c r="A9350">
        <f>HYPERLINK("https://www.philgeps.gov.ph/GEPSNONPILOT/Tender/SplashBidNoticeAbstractUI.aspx?menuIndex=3&amp;refID=7149493&amp;Result=3","7149493")</f>
        <v>0</v>
      </c>
      <c r="B9350" t="s">
        <v>2992</v>
      </c>
      <c r="C9350" t="s">
        <v>12706</v>
      </c>
      <c r="D9350" t="s">
        <v>19055</v>
      </c>
      <c r="E9350" t="s">
        <v>27180</v>
      </c>
      <c r="F9350" t="s">
        <v>32831</v>
      </c>
      <c r="G9350" t="s">
        <v>32839</v>
      </c>
      <c r="H9350" t="s">
        <v>32848</v>
      </c>
      <c r="I9350" t="s">
        <v>4303</v>
      </c>
      <c r="J9350" t="s">
        <v>38774</v>
      </c>
      <c r="K9350" t="s">
        <v>42730</v>
      </c>
      <c r="M9350" t="s">
        <v>46256</v>
      </c>
      <c r="N9350" t="s">
        <v>47424</v>
      </c>
      <c r="O9350" t="s">
        <v>47425</v>
      </c>
      <c r="P9350">
        <v>0</v>
      </c>
      <c r="Q9350">
        <v>0</v>
      </c>
      <c r="R9350" t="s">
        <v>47433</v>
      </c>
      <c r="S9350" t="s">
        <v>47633</v>
      </c>
      <c r="T9350" t="s">
        <v>49265</v>
      </c>
      <c r="U9350" t="s">
        <v>57414</v>
      </c>
      <c r="V9350" t="s">
        <v>63652</v>
      </c>
      <c r="W9350" t="s">
        <v>46256</v>
      </c>
      <c r="X9350" t="s">
        <v>47434</v>
      </c>
    </row>
    <row r="9351" spans="1:24">
      <c r="A9351">
        <f>HYPERLINK("https://www.philgeps.gov.ph/GEPSNONPILOT/Tender/SplashBidNoticeAbstractUI.aspx?menuIndex=3&amp;refID=7149491&amp;Result=3","7149491")</f>
        <v>0</v>
      </c>
      <c r="B9351" t="s">
        <v>2993</v>
      </c>
      <c r="C9351" t="s">
        <v>12707</v>
      </c>
      <c r="D9351" t="s">
        <v>19057</v>
      </c>
      <c r="E9351" t="s">
        <v>27181</v>
      </c>
      <c r="F9351" t="s">
        <v>32831</v>
      </c>
      <c r="G9351" t="s">
        <v>32839</v>
      </c>
      <c r="H9351" t="s">
        <v>32849</v>
      </c>
      <c r="I9351" t="s">
        <v>4177</v>
      </c>
      <c r="J9351" t="s">
        <v>38775</v>
      </c>
      <c r="K9351" t="s">
        <v>42747</v>
      </c>
      <c r="M9351" t="s">
        <v>46257</v>
      </c>
      <c r="N9351" t="s">
        <v>47424</v>
      </c>
      <c r="O9351" t="s">
        <v>47425</v>
      </c>
      <c r="P9351">
        <v>0</v>
      </c>
      <c r="Q9351">
        <v>1</v>
      </c>
      <c r="R9351" t="s">
        <v>47433</v>
      </c>
      <c r="S9351" t="s">
        <v>47633</v>
      </c>
      <c r="T9351" t="s">
        <v>49214</v>
      </c>
      <c r="U9351" t="s">
        <v>57415</v>
      </c>
      <c r="W9351" t="s">
        <v>46257</v>
      </c>
      <c r="X9351" t="s">
        <v>47434</v>
      </c>
    </row>
    <row r="9352" spans="1:24">
      <c r="A9352">
        <f>HYPERLINK("https://www.philgeps.gov.ph/GEPSNONPILOT/Tender/SplashBidNoticeAbstractUI.aspx?menuIndex=3&amp;refID=7149468&amp;Result=3","7149468")</f>
        <v>0</v>
      </c>
      <c r="B9352" t="s">
        <v>1551</v>
      </c>
      <c r="C9352" t="s">
        <v>7454</v>
      </c>
      <c r="D9352" t="s">
        <v>19091</v>
      </c>
      <c r="E9352" t="s">
        <v>27182</v>
      </c>
      <c r="F9352" t="s">
        <v>32831</v>
      </c>
      <c r="G9352" t="s">
        <v>32839</v>
      </c>
      <c r="H9352" t="s">
        <v>32849</v>
      </c>
      <c r="I9352" t="s">
        <v>4177</v>
      </c>
      <c r="J9352" t="s">
        <v>33220</v>
      </c>
      <c r="K9352" t="s">
        <v>42749</v>
      </c>
      <c r="M9352" t="s">
        <v>44657</v>
      </c>
      <c r="N9352" t="s">
        <v>47424</v>
      </c>
      <c r="O9352" t="s">
        <v>47425</v>
      </c>
      <c r="P9352">
        <v>0</v>
      </c>
      <c r="Q9352">
        <v>0</v>
      </c>
      <c r="R9352" t="s">
        <v>47433</v>
      </c>
      <c r="S9352" t="s">
        <v>47633</v>
      </c>
      <c r="T9352" t="s">
        <v>49237</v>
      </c>
      <c r="U9352" t="s">
        <v>57416</v>
      </c>
      <c r="W9352" t="s">
        <v>44657</v>
      </c>
      <c r="X9352" t="s">
        <v>47434</v>
      </c>
    </row>
    <row r="9353" spans="1:24">
      <c r="A9353">
        <f>HYPERLINK("https://www.philgeps.gov.ph/GEPSNONPILOT/Tender/SplashBidNoticeAbstractUI.aspx?menuIndex=3&amp;refID=7149497&amp;Result=3","7149497")</f>
        <v>0</v>
      </c>
      <c r="B9353" t="s">
        <v>2665</v>
      </c>
      <c r="C9353" t="s">
        <v>12708</v>
      </c>
      <c r="E9353" t="s">
        <v>27183</v>
      </c>
      <c r="F9353" t="s">
        <v>32831</v>
      </c>
      <c r="G9353" t="s">
        <v>32839</v>
      </c>
      <c r="H9353" t="s">
        <v>32849</v>
      </c>
      <c r="I9353" t="s">
        <v>4177</v>
      </c>
      <c r="J9353" t="s">
        <v>33111</v>
      </c>
      <c r="K9353" t="s">
        <v>42732</v>
      </c>
      <c r="M9353" t="s">
        <v>45888</v>
      </c>
      <c r="N9353" t="s">
        <v>47424</v>
      </c>
      <c r="O9353" t="s">
        <v>47425</v>
      </c>
      <c r="P9353">
        <v>0</v>
      </c>
      <c r="Q9353">
        <v>0</v>
      </c>
      <c r="R9353" t="s">
        <v>47433</v>
      </c>
      <c r="S9353" t="s">
        <v>47633</v>
      </c>
      <c r="T9353" t="s">
        <v>49255</v>
      </c>
      <c r="U9353" t="s">
        <v>57417</v>
      </c>
      <c r="W9353" t="s">
        <v>45888</v>
      </c>
      <c r="X9353" t="s">
        <v>47434</v>
      </c>
    </row>
    <row r="9354" spans="1:24">
      <c r="A9354">
        <f>HYPERLINK("https://www.philgeps.gov.ph/GEPSNONPILOT/Tender/SplashBidNoticeAbstractUI.aspx?menuIndex=3&amp;refID=7149466&amp;Result=3","7149466")</f>
        <v>0</v>
      </c>
      <c r="B9354" t="s">
        <v>67</v>
      </c>
      <c r="C9354" t="s">
        <v>12709</v>
      </c>
      <c r="D9354" t="s">
        <v>19079</v>
      </c>
      <c r="E9354" t="s">
        <v>12709</v>
      </c>
      <c r="F9354" t="s">
        <v>32831</v>
      </c>
      <c r="G9354" t="s">
        <v>32840</v>
      </c>
      <c r="H9354" t="s">
        <v>32848</v>
      </c>
      <c r="I9354" t="s">
        <v>32960</v>
      </c>
      <c r="J9354" t="s">
        <v>38776</v>
      </c>
      <c r="K9354" t="s">
        <v>42730</v>
      </c>
      <c r="M9354" t="s">
        <v>46258</v>
      </c>
      <c r="N9354" t="s">
        <v>47424</v>
      </c>
      <c r="O9354" t="s">
        <v>47425</v>
      </c>
      <c r="P9354">
        <v>0</v>
      </c>
      <c r="Q9354">
        <v>4</v>
      </c>
      <c r="R9354" t="s">
        <v>47433</v>
      </c>
      <c r="S9354" t="s">
        <v>47633</v>
      </c>
      <c r="T9354" t="s">
        <v>49135</v>
      </c>
      <c r="U9354" t="s">
        <v>57418</v>
      </c>
      <c r="W9354" t="s">
        <v>46258</v>
      </c>
      <c r="X9354" t="s">
        <v>47434</v>
      </c>
    </row>
    <row r="9355" spans="1:24">
      <c r="A9355">
        <f>HYPERLINK("https://www.philgeps.gov.ph/GEPSNONPILOT/Tender/SplashBidNoticeAbstractUI.aspx?menuIndex=3&amp;refID=7149462&amp;Result=3","7149462")</f>
        <v>0</v>
      </c>
      <c r="B9355" t="s">
        <v>437</v>
      </c>
      <c r="C9355" t="s">
        <v>12710</v>
      </c>
      <c r="D9355" t="s">
        <v>19017</v>
      </c>
      <c r="E9355" t="s">
        <v>27184</v>
      </c>
      <c r="F9355" t="s">
        <v>32831</v>
      </c>
      <c r="G9355" t="s">
        <v>32839</v>
      </c>
      <c r="H9355" t="s">
        <v>32848</v>
      </c>
      <c r="I9355" t="s">
        <v>4487</v>
      </c>
      <c r="J9355" t="s">
        <v>38777</v>
      </c>
      <c r="K9355" t="s">
        <v>42729</v>
      </c>
      <c r="M9355" t="s">
        <v>46259</v>
      </c>
      <c r="N9355" t="s">
        <v>47424</v>
      </c>
      <c r="O9355" t="s">
        <v>47425</v>
      </c>
      <c r="P9355">
        <v>0</v>
      </c>
      <c r="Q9355">
        <v>10</v>
      </c>
      <c r="R9355" t="s">
        <v>47433</v>
      </c>
      <c r="S9355" t="s">
        <v>47633</v>
      </c>
      <c r="T9355" t="s">
        <v>49192</v>
      </c>
      <c r="U9355" t="s">
        <v>57419</v>
      </c>
      <c r="W9355" t="s">
        <v>46259</v>
      </c>
      <c r="X9355" t="s">
        <v>47434</v>
      </c>
    </row>
    <row r="9356" spans="1:24">
      <c r="A9356">
        <f>HYPERLINK("https://www.philgeps.gov.ph/GEPSNONPILOT/Tender/SplashBidNoticeAbstractUI.aspx?menuIndex=3&amp;refID=7149487&amp;Result=3","7149487")</f>
        <v>0</v>
      </c>
      <c r="B9356" t="s">
        <v>661</v>
      </c>
      <c r="C9356" t="s">
        <v>12711</v>
      </c>
      <c r="D9356" t="s">
        <v>19058</v>
      </c>
      <c r="E9356" t="s">
        <v>27185</v>
      </c>
      <c r="F9356" t="s">
        <v>32831</v>
      </c>
      <c r="G9356" t="s">
        <v>32839</v>
      </c>
      <c r="H9356" t="s">
        <v>32848</v>
      </c>
      <c r="I9356" t="s">
        <v>7751</v>
      </c>
      <c r="J9356" t="s">
        <v>36609</v>
      </c>
      <c r="K9356" t="s">
        <v>42731</v>
      </c>
      <c r="M9356" t="s">
        <v>43679</v>
      </c>
      <c r="N9356" t="s">
        <v>47424</v>
      </c>
      <c r="O9356" t="s">
        <v>47425</v>
      </c>
      <c r="P9356">
        <v>0</v>
      </c>
      <c r="Q9356">
        <v>0</v>
      </c>
      <c r="R9356" t="s">
        <v>47433</v>
      </c>
      <c r="S9356" t="s">
        <v>47633</v>
      </c>
      <c r="T9356" t="s">
        <v>49237</v>
      </c>
      <c r="U9356" t="s">
        <v>57420</v>
      </c>
      <c r="W9356" t="s">
        <v>43679</v>
      </c>
      <c r="X9356" t="s">
        <v>47434</v>
      </c>
    </row>
    <row r="9357" spans="1:24">
      <c r="A9357">
        <f>HYPERLINK("https://www.philgeps.gov.ph/GEPSNONPILOT/Tender/SplashBidNoticeAbstractUI.aspx?menuIndex=3&amp;refID=7149472&amp;Result=3","7149472")</f>
        <v>0</v>
      </c>
      <c r="B9357" t="s">
        <v>2053</v>
      </c>
      <c r="C9357" t="s">
        <v>12712</v>
      </c>
      <c r="D9357" t="s">
        <v>19031</v>
      </c>
      <c r="E9357" t="s">
        <v>27186</v>
      </c>
      <c r="F9357" t="s">
        <v>32831</v>
      </c>
      <c r="G9357" t="s">
        <v>32838</v>
      </c>
      <c r="H9357" t="s">
        <v>32848</v>
      </c>
      <c r="I9357" t="s">
        <v>4303</v>
      </c>
      <c r="J9357" t="s">
        <v>34357</v>
      </c>
      <c r="K9357" t="s">
        <v>42727</v>
      </c>
      <c r="M9357" t="s">
        <v>45223</v>
      </c>
      <c r="N9357" t="s">
        <v>47424</v>
      </c>
      <c r="O9357" t="s">
        <v>47425</v>
      </c>
      <c r="P9357">
        <v>0</v>
      </c>
      <c r="Q9357">
        <v>0</v>
      </c>
      <c r="R9357" t="s">
        <v>47433</v>
      </c>
      <c r="S9357" t="s">
        <v>47633</v>
      </c>
      <c r="T9357" t="s">
        <v>49212</v>
      </c>
      <c r="U9357" t="s">
        <v>57421</v>
      </c>
      <c r="W9357" t="s">
        <v>45223</v>
      </c>
      <c r="X9357" t="s">
        <v>47434</v>
      </c>
    </row>
    <row r="9358" spans="1:24">
      <c r="A9358">
        <f>HYPERLINK("https://www.philgeps.gov.ph/GEPSNONPILOT/Tender/SplashBidNoticeAbstractUI.aspx?menuIndex=3&amp;refID=7149454&amp;Result=3","7149454")</f>
        <v>0</v>
      </c>
      <c r="B9358" t="s">
        <v>661</v>
      </c>
      <c r="C9358" t="s">
        <v>12713</v>
      </c>
      <c r="D9358" t="s">
        <v>19058</v>
      </c>
      <c r="E9358" t="s">
        <v>27187</v>
      </c>
      <c r="F9358" t="s">
        <v>32831</v>
      </c>
      <c r="G9358" t="s">
        <v>32839</v>
      </c>
      <c r="H9358" t="s">
        <v>32848</v>
      </c>
      <c r="I9358" t="s">
        <v>7416</v>
      </c>
      <c r="J9358" t="s">
        <v>38778</v>
      </c>
      <c r="K9358" t="s">
        <v>42731</v>
      </c>
      <c r="M9358" t="s">
        <v>43679</v>
      </c>
      <c r="N9358" t="s">
        <v>47424</v>
      </c>
      <c r="O9358" t="s">
        <v>47425</v>
      </c>
      <c r="P9358">
        <v>0</v>
      </c>
      <c r="Q9358">
        <v>0</v>
      </c>
      <c r="R9358" t="s">
        <v>47433</v>
      </c>
      <c r="S9358" t="s">
        <v>47633</v>
      </c>
      <c r="T9358" t="s">
        <v>49237</v>
      </c>
      <c r="U9358" t="s">
        <v>57422</v>
      </c>
      <c r="W9358" t="s">
        <v>43679</v>
      </c>
      <c r="X9358" t="s">
        <v>47434</v>
      </c>
    </row>
    <row r="9359" spans="1:24">
      <c r="A9359">
        <f>HYPERLINK("https://www.philgeps.gov.ph/GEPSNONPILOT/Tender/SplashBidNoticeAbstractUI.aspx?menuIndex=3&amp;refID=7149414&amp;Result=3","7149414")</f>
        <v>0</v>
      </c>
      <c r="B9359" t="s">
        <v>661</v>
      </c>
      <c r="C9359" t="s">
        <v>12714</v>
      </c>
      <c r="D9359" t="s">
        <v>19058</v>
      </c>
      <c r="E9359" t="s">
        <v>27188</v>
      </c>
      <c r="F9359" t="s">
        <v>32831</v>
      </c>
      <c r="G9359" t="s">
        <v>32839</v>
      </c>
      <c r="H9359" t="s">
        <v>32848</v>
      </c>
      <c r="I9359" t="s">
        <v>32857</v>
      </c>
      <c r="J9359" t="s">
        <v>38779</v>
      </c>
      <c r="K9359" t="s">
        <v>42731</v>
      </c>
      <c r="M9359" t="s">
        <v>43679</v>
      </c>
      <c r="N9359" t="s">
        <v>47424</v>
      </c>
      <c r="O9359" t="s">
        <v>47425</v>
      </c>
      <c r="P9359">
        <v>0</v>
      </c>
      <c r="Q9359">
        <v>2</v>
      </c>
      <c r="R9359" t="s">
        <v>47433</v>
      </c>
      <c r="S9359" t="s">
        <v>47633</v>
      </c>
      <c r="T9359" t="s">
        <v>49237</v>
      </c>
      <c r="U9359" t="s">
        <v>57423</v>
      </c>
      <c r="W9359" t="s">
        <v>43679</v>
      </c>
      <c r="X9359" t="s">
        <v>47434</v>
      </c>
    </row>
    <row r="9360" spans="1:24">
      <c r="A9360">
        <f>HYPERLINK("https://www.philgeps.gov.ph/GEPSNONPILOT/Tender/SplashBidNoticeAbstractUI.aspx?menuIndex=3&amp;refID=7149449&amp;Result=3","7149449")</f>
        <v>0</v>
      </c>
      <c r="B9360" t="s">
        <v>2243</v>
      </c>
      <c r="C9360" t="s">
        <v>12715</v>
      </c>
      <c r="D9360" t="s">
        <v>19036</v>
      </c>
      <c r="E9360" t="s">
        <v>27189</v>
      </c>
      <c r="F9360" t="s">
        <v>32831</v>
      </c>
      <c r="G9360" t="s">
        <v>32845</v>
      </c>
      <c r="H9360" t="s">
        <v>32849</v>
      </c>
      <c r="I9360" t="s">
        <v>4177</v>
      </c>
      <c r="J9360" t="s">
        <v>38780</v>
      </c>
      <c r="K9360" t="s">
        <v>42862</v>
      </c>
      <c r="M9360" t="s">
        <v>45424</v>
      </c>
      <c r="N9360" t="s">
        <v>47424</v>
      </c>
      <c r="O9360" t="s">
        <v>47425</v>
      </c>
      <c r="P9360">
        <v>0</v>
      </c>
      <c r="Q9360">
        <v>0</v>
      </c>
      <c r="R9360" t="s">
        <v>47433</v>
      </c>
      <c r="S9360" t="s">
        <v>47633</v>
      </c>
      <c r="T9360" t="s">
        <v>49214</v>
      </c>
      <c r="U9360" t="s">
        <v>57424</v>
      </c>
      <c r="W9360" t="s">
        <v>45424</v>
      </c>
      <c r="X9360" t="s">
        <v>47434</v>
      </c>
    </row>
    <row r="9361" spans="1:24">
      <c r="A9361">
        <f>HYPERLINK("https://www.philgeps.gov.ph/GEPSNONPILOT/Tender/SplashBidNoticeAbstractUI.aspx?menuIndex=3&amp;refID=7149419&amp;Result=3","7149419")</f>
        <v>0</v>
      </c>
      <c r="B9361" t="s">
        <v>2277</v>
      </c>
      <c r="C9361" t="s">
        <v>12716</v>
      </c>
      <c r="D9361" t="s">
        <v>19031</v>
      </c>
      <c r="E9361" t="s">
        <v>27190</v>
      </c>
      <c r="F9361" t="s">
        <v>32831</v>
      </c>
      <c r="G9361" t="s">
        <v>32838</v>
      </c>
      <c r="H9361" t="s">
        <v>32848</v>
      </c>
      <c r="I9361" t="s">
        <v>4471</v>
      </c>
      <c r="J9361" t="s">
        <v>38781</v>
      </c>
      <c r="K9361" t="s">
        <v>42730</v>
      </c>
      <c r="M9361" t="s">
        <v>45461</v>
      </c>
      <c r="N9361" t="s">
        <v>47424</v>
      </c>
      <c r="O9361" t="s">
        <v>47425</v>
      </c>
      <c r="P9361">
        <v>0</v>
      </c>
      <c r="Q9361">
        <v>8</v>
      </c>
      <c r="R9361" t="s">
        <v>47433</v>
      </c>
      <c r="S9361" t="s">
        <v>47633</v>
      </c>
      <c r="T9361" t="s">
        <v>49214</v>
      </c>
      <c r="U9361" t="s">
        <v>57425</v>
      </c>
      <c r="W9361" t="s">
        <v>45461</v>
      </c>
      <c r="X9361" t="s">
        <v>47434</v>
      </c>
    </row>
    <row r="9362" spans="1:24">
      <c r="A9362">
        <f>HYPERLINK("https://www.philgeps.gov.ph/GEPSNONPILOT/Tender/SplashBidNoticeAbstractUI.aspx?menuIndex=3&amp;refID=7149438&amp;Result=3","7149438")</f>
        <v>0</v>
      </c>
      <c r="B9362" t="s">
        <v>2994</v>
      </c>
      <c r="C9362" t="s">
        <v>12717</v>
      </c>
      <c r="D9362" t="s">
        <v>19027</v>
      </c>
      <c r="E9362" t="s">
        <v>20851</v>
      </c>
      <c r="F9362" t="s">
        <v>32831</v>
      </c>
      <c r="G9362" t="s">
        <v>32839</v>
      </c>
      <c r="H9362" t="s">
        <v>32848</v>
      </c>
      <c r="I9362" t="s">
        <v>32858</v>
      </c>
      <c r="J9362" t="s">
        <v>33268</v>
      </c>
      <c r="K9362" t="s">
        <v>42759</v>
      </c>
      <c r="M9362" t="s">
        <v>46260</v>
      </c>
      <c r="N9362" t="s">
        <v>47424</v>
      </c>
      <c r="O9362" t="s">
        <v>47425</v>
      </c>
      <c r="P9362">
        <v>0</v>
      </c>
      <c r="Q9362">
        <v>1</v>
      </c>
      <c r="R9362" t="s">
        <v>47433</v>
      </c>
      <c r="S9362" t="s">
        <v>47633</v>
      </c>
      <c r="T9362" t="s">
        <v>49231</v>
      </c>
      <c r="U9362" t="s">
        <v>57426</v>
      </c>
      <c r="W9362" t="s">
        <v>46260</v>
      </c>
      <c r="X9362" t="s">
        <v>47434</v>
      </c>
    </row>
    <row r="9363" spans="1:24">
      <c r="A9363">
        <f>HYPERLINK("https://www.philgeps.gov.ph/GEPSNONPILOT/Tender/SplashBidNoticeAbstractUI.aspx?menuIndex=3&amp;refID=7149569&amp;Result=3","7149569")</f>
        <v>0</v>
      </c>
      <c r="B9363" t="s">
        <v>2995</v>
      </c>
      <c r="C9363" t="s">
        <v>12718</v>
      </c>
      <c r="D9363" t="s">
        <v>19061</v>
      </c>
      <c r="E9363" t="s">
        <v>27191</v>
      </c>
      <c r="F9363" t="s">
        <v>32831</v>
      </c>
      <c r="G9363" t="s">
        <v>32839</v>
      </c>
      <c r="H9363" t="s">
        <v>32848</v>
      </c>
      <c r="I9363" t="s">
        <v>32860</v>
      </c>
      <c r="J9363" t="s">
        <v>38782</v>
      </c>
      <c r="K9363" t="s">
        <v>42732</v>
      </c>
      <c r="M9363" t="s">
        <v>46261</v>
      </c>
      <c r="N9363" t="s">
        <v>47424</v>
      </c>
      <c r="O9363" t="s">
        <v>47425</v>
      </c>
      <c r="P9363">
        <v>0</v>
      </c>
      <c r="Q9363">
        <v>2</v>
      </c>
      <c r="R9363" t="s">
        <v>47433</v>
      </c>
      <c r="S9363" t="s">
        <v>47633</v>
      </c>
      <c r="T9363" t="s">
        <v>49192</v>
      </c>
      <c r="U9363" t="s">
        <v>57427</v>
      </c>
      <c r="W9363" t="s">
        <v>46261</v>
      </c>
      <c r="X9363" t="s">
        <v>47434</v>
      </c>
    </row>
    <row r="9364" spans="1:24">
      <c r="A9364">
        <f>HYPERLINK("https://www.philgeps.gov.ph/GEPSNONPILOT/Tender/SplashBidNoticeAbstractUI.aspx?menuIndex=3&amp;refID=7149563&amp;Result=3","7149563")</f>
        <v>0</v>
      </c>
      <c r="B9364" t="s">
        <v>2996</v>
      </c>
      <c r="C9364" t="s">
        <v>12719</v>
      </c>
      <c r="D9364" t="s">
        <v>19056</v>
      </c>
      <c r="E9364" t="s">
        <v>27192</v>
      </c>
      <c r="F9364" t="s">
        <v>32831</v>
      </c>
      <c r="G9364" t="s">
        <v>32838</v>
      </c>
      <c r="H9364" t="s">
        <v>32848</v>
      </c>
      <c r="I9364" t="s">
        <v>4438</v>
      </c>
      <c r="J9364" t="s">
        <v>38783</v>
      </c>
      <c r="K9364" t="s">
        <v>42730</v>
      </c>
      <c r="M9364" t="s">
        <v>46262</v>
      </c>
      <c r="N9364" t="s">
        <v>47424</v>
      </c>
      <c r="O9364" t="s">
        <v>47425</v>
      </c>
      <c r="P9364">
        <v>0</v>
      </c>
      <c r="Q9364">
        <v>0</v>
      </c>
      <c r="R9364" t="s">
        <v>47433</v>
      </c>
      <c r="S9364" t="s">
        <v>47633</v>
      </c>
      <c r="T9364" t="s">
        <v>49111</v>
      </c>
      <c r="U9364" t="s">
        <v>57428</v>
      </c>
      <c r="W9364" t="s">
        <v>46262</v>
      </c>
      <c r="X9364" t="s">
        <v>47434</v>
      </c>
    </row>
    <row r="9365" spans="1:24">
      <c r="A9365">
        <f>HYPERLINK("https://www.philgeps.gov.ph/GEPSNONPILOT/Tender/SplashBidNoticeAbstractUI.aspx?menuIndex=3&amp;refID=7149559&amp;Result=3","7149559")</f>
        <v>0</v>
      </c>
      <c r="B9365" t="s">
        <v>221</v>
      </c>
      <c r="C9365" t="s">
        <v>12720</v>
      </c>
      <c r="D9365" t="s">
        <v>19062</v>
      </c>
      <c r="E9365" t="s">
        <v>27193</v>
      </c>
      <c r="F9365" t="s">
        <v>32831</v>
      </c>
      <c r="G9365" t="s">
        <v>32838</v>
      </c>
      <c r="H9365" t="s">
        <v>14069</v>
      </c>
      <c r="I9365" t="s">
        <v>14069</v>
      </c>
      <c r="J9365" t="s">
        <v>38784</v>
      </c>
      <c r="K9365" t="s">
        <v>42732</v>
      </c>
      <c r="L9365" t="s">
        <v>221</v>
      </c>
      <c r="M9365" t="s">
        <v>46263</v>
      </c>
      <c r="N9365" t="s">
        <v>47424</v>
      </c>
      <c r="O9365" t="s">
        <v>47425</v>
      </c>
      <c r="P9365">
        <v>0</v>
      </c>
      <c r="Q9365">
        <v>0</v>
      </c>
      <c r="R9365" t="s">
        <v>47433</v>
      </c>
      <c r="S9365" t="s">
        <v>47633</v>
      </c>
      <c r="T9365" t="s">
        <v>49239</v>
      </c>
      <c r="U9365" t="s">
        <v>57429</v>
      </c>
      <c r="W9365" t="s">
        <v>46263</v>
      </c>
      <c r="X9365" t="s">
        <v>47434</v>
      </c>
    </row>
    <row r="9366" spans="1:24">
      <c r="A9366">
        <f>HYPERLINK("https://www.philgeps.gov.ph/GEPSNONPILOT/Tender/SplashBidNoticeAbstractUI.aspx?menuIndex=3&amp;refID=7149550&amp;Result=3","7149550")</f>
        <v>0</v>
      </c>
      <c r="B9366" t="s">
        <v>2993</v>
      </c>
      <c r="C9366" t="s">
        <v>12721</v>
      </c>
      <c r="D9366" t="s">
        <v>19057</v>
      </c>
      <c r="E9366" t="s">
        <v>27194</v>
      </c>
      <c r="F9366" t="s">
        <v>32831</v>
      </c>
      <c r="G9366" t="s">
        <v>32839</v>
      </c>
      <c r="H9366" t="s">
        <v>32849</v>
      </c>
      <c r="I9366" t="s">
        <v>4177</v>
      </c>
      <c r="J9366" t="s">
        <v>33257</v>
      </c>
      <c r="K9366" t="s">
        <v>42770</v>
      </c>
      <c r="M9366" t="s">
        <v>46257</v>
      </c>
      <c r="N9366" t="s">
        <v>47424</v>
      </c>
      <c r="O9366" t="s">
        <v>47425</v>
      </c>
      <c r="P9366">
        <v>0</v>
      </c>
      <c r="Q9366">
        <v>1</v>
      </c>
      <c r="R9366" t="s">
        <v>47433</v>
      </c>
      <c r="S9366" t="s">
        <v>47633</v>
      </c>
      <c r="T9366" t="s">
        <v>49139</v>
      </c>
      <c r="U9366" t="s">
        <v>57430</v>
      </c>
      <c r="W9366" t="s">
        <v>46257</v>
      </c>
      <c r="X9366" t="s">
        <v>47434</v>
      </c>
    </row>
    <row r="9367" spans="1:24">
      <c r="A9367">
        <f>HYPERLINK("https://www.philgeps.gov.ph/GEPSNONPILOT/Tender/SplashBidNoticeAbstractUI.aspx?menuIndex=3&amp;refID=7149482&amp;Result=3","7149482")</f>
        <v>0</v>
      </c>
      <c r="B9367" t="s">
        <v>67</v>
      </c>
      <c r="C9367" t="s">
        <v>12722</v>
      </c>
      <c r="D9367" t="s">
        <v>19079</v>
      </c>
      <c r="E9367" t="s">
        <v>12722</v>
      </c>
      <c r="F9367" t="s">
        <v>32831</v>
      </c>
      <c r="G9367" t="s">
        <v>32838</v>
      </c>
      <c r="H9367" t="s">
        <v>32848</v>
      </c>
      <c r="I9367" t="s">
        <v>6526</v>
      </c>
      <c r="J9367" t="s">
        <v>33007</v>
      </c>
      <c r="K9367" t="s">
        <v>42730</v>
      </c>
      <c r="M9367" t="s">
        <v>46258</v>
      </c>
      <c r="N9367" t="s">
        <v>47424</v>
      </c>
      <c r="O9367" t="s">
        <v>47425</v>
      </c>
      <c r="P9367">
        <v>0</v>
      </c>
      <c r="Q9367">
        <v>1</v>
      </c>
      <c r="R9367" t="s">
        <v>47433</v>
      </c>
      <c r="S9367" t="s">
        <v>47633</v>
      </c>
      <c r="T9367" t="s">
        <v>49135</v>
      </c>
      <c r="U9367" t="s">
        <v>57431</v>
      </c>
      <c r="W9367" t="s">
        <v>46258</v>
      </c>
      <c r="X9367" t="s">
        <v>47434</v>
      </c>
    </row>
    <row r="9368" spans="1:24">
      <c r="A9368">
        <f>HYPERLINK("https://www.philgeps.gov.ph/GEPSNONPILOT/Tender/SplashBidNoticeAbstractUI.aspx?menuIndex=3&amp;refID=7149547&amp;Result=3","7149547")</f>
        <v>0</v>
      </c>
      <c r="B9368" t="s">
        <v>1607</v>
      </c>
      <c r="C9368" t="s">
        <v>12723</v>
      </c>
      <c r="D9368" t="s">
        <v>19048</v>
      </c>
      <c r="E9368" t="s">
        <v>27195</v>
      </c>
      <c r="F9368" t="s">
        <v>32831</v>
      </c>
      <c r="G9368" t="s">
        <v>32839</v>
      </c>
      <c r="H9368" t="s">
        <v>32848</v>
      </c>
      <c r="I9368" t="s">
        <v>4776</v>
      </c>
      <c r="J9368" t="s">
        <v>38785</v>
      </c>
      <c r="K9368" t="s">
        <v>42727</v>
      </c>
      <c r="M9368" t="s">
        <v>44723</v>
      </c>
      <c r="N9368" t="s">
        <v>47424</v>
      </c>
      <c r="O9368" t="s">
        <v>47425</v>
      </c>
      <c r="P9368">
        <v>0</v>
      </c>
      <c r="Q9368">
        <v>7</v>
      </c>
      <c r="R9368" t="s">
        <v>47433</v>
      </c>
      <c r="S9368" t="s">
        <v>47633</v>
      </c>
      <c r="T9368" t="s">
        <v>49059</v>
      </c>
      <c r="U9368" t="s">
        <v>57432</v>
      </c>
      <c r="W9368" t="s">
        <v>44723</v>
      </c>
      <c r="X9368" t="s">
        <v>47434</v>
      </c>
    </row>
    <row r="9369" spans="1:24">
      <c r="A9369">
        <f>HYPERLINK("https://www.philgeps.gov.ph/GEPSNONPILOT/Tender/SplashBidNoticeAbstractUI.aspx?menuIndex=3&amp;refID=7149344&amp;Result=3","7149344")</f>
        <v>0</v>
      </c>
      <c r="B9369" t="s">
        <v>2997</v>
      </c>
      <c r="C9369" t="s">
        <v>12724</v>
      </c>
      <c r="D9369" t="s">
        <v>19052</v>
      </c>
      <c r="E9369" t="s">
        <v>27088</v>
      </c>
      <c r="F9369" t="s">
        <v>32831</v>
      </c>
      <c r="G9369" t="s">
        <v>32839</v>
      </c>
      <c r="H9369" t="s">
        <v>32849</v>
      </c>
      <c r="I9369" t="s">
        <v>32852</v>
      </c>
      <c r="J9369" t="s">
        <v>32983</v>
      </c>
      <c r="K9369" t="s">
        <v>42730</v>
      </c>
      <c r="M9369" t="s">
        <v>46264</v>
      </c>
      <c r="N9369" t="s">
        <v>47424</v>
      </c>
      <c r="O9369" t="s">
        <v>47425</v>
      </c>
      <c r="P9369">
        <v>0</v>
      </c>
      <c r="Q9369">
        <v>0</v>
      </c>
      <c r="R9369" t="s">
        <v>47433</v>
      </c>
      <c r="S9369" t="s">
        <v>47633</v>
      </c>
      <c r="T9369" t="s">
        <v>49236</v>
      </c>
      <c r="U9369" t="s">
        <v>57433</v>
      </c>
      <c r="V9369" t="s">
        <v>63653</v>
      </c>
      <c r="W9369" t="s">
        <v>46264</v>
      </c>
      <c r="X9369" t="s">
        <v>47434</v>
      </c>
    </row>
    <row r="9370" spans="1:24">
      <c r="A9370">
        <f>HYPERLINK("https://www.philgeps.gov.ph/GEPSNONPILOT/Tender/SplashBidNoticeAbstractUI.aspx?menuIndex=3&amp;refID=7149540&amp;Result=3","7149540")</f>
        <v>0</v>
      </c>
      <c r="B9370" t="s">
        <v>1759</v>
      </c>
      <c r="C9370" t="s">
        <v>12725</v>
      </c>
      <c r="D9370" t="s">
        <v>19058</v>
      </c>
      <c r="E9370" t="s">
        <v>27196</v>
      </c>
      <c r="F9370" t="s">
        <v>32831</v>
      </c>
      <c r="G9370" t="s">
        <v>32839</v>
      </c>
      <c r="H9370" t="s">
        <v>32849</v>
      </c>
      <c r="I9370" t="s">
        <v>4177</v>
      </c>
      <c r="J9370" t="s">
        <v>33118</v>
      </c>
      <c r="K9370" t="s">
        <v>42729</v>
      </c>
      <c r="M9370" t="s">
        <v>44883</v>
      </c>
      <c r="N9370" t="s">
        <v>47424</v>
      </c>
      <c r="O9370" t="s">
        <v>47425</v>
      </c>
      <c r="Q9370">
        <v>0</v>
      </c>
      <c r="R9370" t="s">
        <v>47433</v>
      </c>
      <c r="S9370" t="s">
        <v>47638</v>
      </c>
      <c r="T9370" t="s">
        <v>49160</v>
      </c>
      <c r="U9370" t="s">
        <v>57434</v>
      </c>
      <c r="V9370" t="s">
        <v>63115</v>
      </c>
      <c r="W9370" t="s">
        <v>44883</v>
      </c>
      <c r="X9370" t="s">
        <v>47434</v>
      </c>
    </row>
    <row r="9371" spans="1:24">
      <c r="A9371">
        <f>HYPERLINK("https://www.philgeps.gov.ph/GEPSNONPILOT/Tender/SplashBidNoticeAbstractUI.aspx?menuIndex=3&amp;refID=7149536&amp;Result=3","7149536")</f>
        <v>0</v>
      </c>
      <c r="B9371" t="s">
        <v>862</v>
      </c>
      <c r="C9371" t="s">
        <v>12726</v>
      </c>
      <c r="D9371" t="s">
        <v>19074</v>
      </c>
      <c r="E9371" t="s">
        <v>27197</v>
      </c>
      <c r="F9371" t="s">
        <v>32831</v>
      </c>
      <c r="G9371" t="s">
        <v>32839</v>
      </c>
      <c r="H9371" t="s">
        <v>32849</v>
      </c>
      <c r="I9371" t="s">
        <v>4177</v>
      </c>
      <c r="J9371" t="s">
        <v>38786</v>
      </c>
      <c r="K9371" t="s">
        <v>42763</v>
      </c>
      <c r="M9371" t="s">
        <v>43896</v>
      </c>
      <c r="N9371" t="s">
        <v>47424</v>
      </c>
      <c r="O9371" t="s">
        <v>47425</v>
      </c>
      <c r="P9371">
        <v>0</v>
      </c>
      <c r="Q9371">
        <v>0</v>
      </c>
      <c r="R9371" t="s">
        <v>47433</v>
      </c>
      <c r="S9371" t="s">
        <v>47633</v>
      </c>
      <c r="T9371" t="s">
        <v>49173</v>
      </c>
      <c r="U9371" t="s">
        <v>57435</v>
      </c>
      <c r="W9371" t="s">
        <v>43896</v>
      </c>
      <c r="X9371" t="s">
        <v>47434</v>
      </c>
    </row>
    <row r="9372" spans="1:24">
      <c r="A9372">
        <f>HYPERLINK("https://www.philgeps.gov.ph/GEPSNONPILOT/Tender/SplashBidNoticeAbstractUI.aspx?menuIndex=3&amp;refID=7149529&amp;Result=3","7149529")</f>
        <v>0</v>
      </c>
      <c r="B9372" t="s">
        <v>1683</v>
      </c>
      <c r="C9372" t="s">
        <v>12727</v>
      </c>
      <c r="D9372" t="s">
        <v>19021</v>
      </c>
      <c r="E9372" t="s">
        <v>27198</v>
      </c>
      <c r="F9372" t="s">
        <v>32831</v>
      </c>
      <c r="G9372" t="s">
        <v>32839</v>
      </c>
      <c r="H9372" t="s">
        <v>32848</v>
      </c>
      <c r="I9372" t="s">
        <v>4303</v>
      </c>
      <c r="J9372" t="s">
        <v>38787</v>
      </c>
      <c r="K9372" t="s">
        <v>42730</v>
      </c>
      <c r="M9372" t="s">
        <v>44803</v>
      </c>
      <c r="N9372" t="s">
        <v>47424</v>
      </c>
      <c r="O9372" t="s">
        <v>47425</v>
      </c>
      <c r="P9372">
        <v>0</v>
      </c>
      <c r="Q9372">
        <v>0</v>
      </c>
      <c r="R9372" t="s">
        <v>47433</v>
      </c>
      <c r="S9372" t="s">
        <v>47633</v>
      </c>
      <c r="T9372" t="s">
        <v>49163</v>
      </c>
      <c r="U9372" t="s">
        <v>57436</v>
      </c>
      <c r="V9372" t="s">
        <v>63654</v>
      </c>
      <c r="W9372" t="s">
        <v>44803</v>
      </c>
      <c r="X9372" t="s">
        <v>47434</v>
      </c>
    </row>
    <row r="9373" spans="1:24">
      <c r="A9373">
        <f>HYPERLINK("https://www.philgeps.gov.ph/GEPSNONPILOT/Tender/SplashBidNoticeAbstractUI.aspx?menuIndex=3&amp;refID=7149524&amp;Result=3","7149524")</f>
        <v>0</v>
      </c>
      <c r="B9373" t="s">
        <v>2342</v>
      </c>
      <c r="C9373" t="s">
        <v>12728</v>
      </c>
      <c r="D9373" t="s">
        <v>19044</v>
      </c>
      <c r="E9373" t="s">
        <v>26182</v>
      </c>
      <c r="F9373" t="s">
        <v>32831</v>
      </c>
      <c r="G9373" t="s">
        <v>32839</v>
      </c>
      <c r="H9373" t="s">
        <v>32848</v>
      </c>
      <c r="I9373" t="s">
        <v>4776</v>
      </c>
      <c r="J9373" t="s">
        <v>33433</v>
      </c>
      <c r="K9373" t="s">
        <v>42727</v>
      </c>
      <c r="M9373" t="s">
        <v>45529</v>
      </c>
      <c r="N9373" t="s">
        <v>47424</v>
      </c>
      <c r="O9373" t="s">
        <v>47425</v>
      </c>
      <c r="P9373">
        <v>0</v>
      </c>
      <c r="Q9373">
        <v>0</v>
      </c>
      <c r="R9373" t="s">
        <v>47433</v>
      </c>
      <c r="S9373" t="s">
        <v>47633</v>
      </c>
      <c r="T9373" t="s">
        <v>49080</v>
      </c>
      <c r="U9373" t="s">
        <v>57437</v>
      </c>
      <c r="W9373" t="s">
        <v>45529</v>
      </c>
      <c r="X9373" t="s">
        <v>47434</v>
      </c>
    </row>
    <row r="9374" spans="1:24">
      <c r="A9374">
        <f>HYPERLINK("https://www.philgeps.gov.ph/GEPSNONPILOT/Tender/SplashBidNoticeAbstractUI.aspx?menuIndex=3&amp;refID=7149523&amp;Result=3","7149523")</f>
        <v>0</v>
      </c>
      <c r="B9374" t="s">
        <v>2992</v>
      </c>
      <c r="C9374" t="s">
        <v>12729</v>
      </c>
      <c r="D9374" t="s">
        <v>19055</v>
      </c>
      <c r="E9374" t="s">
        <v>27199</v>
      </c>
      <c r="F9374" t="s">
        <v>32831</v>
      </c>
      <c r="G9374" t="s">
        <v>32839</v>
      </c>
      <c r="H9374" t="s">
        <v>32848</v>
      </c>
      <c r="I9374" t="s">
        <v>4303</v>
      </c>
      <c r="J9374" t="s">
        <v>38788</v>
      </c>
      <c r="K9374" t="s">
        <v>42730</v>
      </c>
      <c r="M9374" t="s">
        <v>46256</v>
      </c>
      <c r="N9374" t="s">
        <v>47424</v>
      </c>
      <c r="O9374" t="s">
        <v>47425</v>
      </c>
      <c r="P9374">
        <v>0</v>
      </c>
      <c r="Q9374">
        <v>0</v>
      </c>
      <c r="R9374" t="s">
        <v>47433</v>
      </c>
      <c r="S9374" t="s">
        <v>47633</v>
      </c>
      <c r="T9374" t="s">
        <v>49265</v>
      </c>
      <c r="U9374" t="s">
        <v>57414</v>
      </c>
      <c r="V9374" t="s">
        <v>63655</v>
      </c>
      <c r="W9374" t="s">
        <v>46256</v>
      </c>
      <c r="X9374" t="s">
        <v>47434</v>
      </c>
    </row>
    <row r="9375" spans="1:24">
      <c r="A9375">
        <f>HYPERLINK("https://www.philgeps.gov.ph/GEPSNONPILOT/Tender/SplashBidNoticeAbstractUI.aspx?menuIndex=3&amp;refID=7149520&amp;Result=3","7149520")</f>
        <v>0</v>
      </c>
      <c r="B9375" t="s">
        <v>143</v>
      </c>
      <c r="C9375" t="s">
        <v>12730</v>
      </c>
      <c r="D9375" t="s">
        <v>19065</v>
      </c>
      <c r="E9375" t="s">
        <v>27200</v>
      </c>
      <c r="F9375" t="s">
        <v>32831</v>
      </c>
      <c r="G9375" t="s">
        <v>32839</v>
      </c>
      <c r="H9375" t="s">
        <v>32848</v>
      </c>
      <c r="I9375" t="s">
        <v>32871</v>
      </c>
      <c r="J9375" t="s">
        <v>38789</v>
      </c>
      <c r="K9375" t="s">
        <v>42750</v>
      </c>
      <c r="M9375" t="s">
        <v>43140</v>
      </c>
      <c r="N9375" t="s">
        <v>47424</v>
      </c>
      <c r="O9375" t="s">
        <v>47425</v>
      </c>
      <c r="P9375">
        <v>0</v>
      </c>
      <c r="Q9375">
        <v>10</v>
      </c>
      <c r="R9375" t="s">
        <v>47433</v>
      </c>
      <c r="S9375" t="s">
        <v>47633</v>
      </c>
      <c r="T9375" t="s">
        <v>49107</v>
      </c>
      <c r="U9375" t="s">
        <v>57438</v>
      </c>
      <c r="W9375" t="s">
        <v>43140</v>
      </c>
      <c r="X9375" t="s">
        <v>47434</v>
      </c>
    </row>
    <row r="9376" spans="1:24">
      <c r="A9376">
        <f>HYPERLINK("https://www.philgeps.gov.ph/GEPSNONPILOT/Tender/SplashBidNoticeAbstractUI.aspx?menuIndex=3&amp;refID=7149519&amp;Result=3","7149519")</f>
        <v>0</v>
      </c>
      <c r="B9376" t="s">
        <v>583</v>
      </c>
      <c r="C9376" t="s">
        <v>12731</v>
      </c>
      <c r="D9376" t="s">
        <v>19118</v>
      </c>
      <c r="E9376" t="s">
        <v>12731</v>
      </c>
      <c r="F9376" t="s">
        <v>32831</v>
      </c>
      <c r="G9376" t="s">
        <v>32838</v>
      </c>
      <c r="H9376" t="s">
        <v>32848</v>
      </c>
      <c r="I9376" t="s">
        <v>4471</v>
      </c>
      <c r="J9376" t="s">
        <v>33025</v>
      </c>
      <c r="K9376" t="s">
        <v>42745</v>
      </c>
      <c r="M9376" t="s">
        <v>43594</v>
      </c>
      <c r="N9376" t="s">
        <v>47424</v>
      </c>
      <c r="O9376" t="s">
        <v>47425</v>
      </c>
      <c r="P9376">
        <v>0</v>
      </c>
      <c r="Q9376">
        <v>1</v>
      </c>
      <c r="R9376" t="s">
        <v>47433</v>
      </c>
      <c r="S9376" t="s">
        <v>47633</v>
      </c>
      <c r="T9376" t="s">
        <v>49166</v>
      </c>
      <c r="U9376" t="s">
        <v>57439</v>
      </c>
      <c r="V9376" t="s">
        <v>63656</v>
      </c>
      <c r="W9376" t="s">
        <v>43594</v>
      </c>
      <c r="X9376" t="s">
        <v>47434</v>
      </c>
    </row>
    <row r="9377" spans="1:24">
      <c r="A9377">
        <f>HYPERLINK("https://www.philgeps.gov.ph/GEPSNONPILOT/Tender/SplashBidNoticeAbstractUI.aspx?menuIndex=3&amp;refID=7149514&amp;Result=3","7149514")</f>
        <v>0</v>
      </c>
      <c r="B9377" t="s">
        <v>221</v>
      </c>
      <c r="C9377" t="s">
        <v>12732</v>
      </c>
      <c r="D9377" t="s">
        <v>19062</v>
      </c>
      <c r="E9377" t="s">
        <v>27201</v>
      </c>
      <c r="F9377" t="s">
        <v>32831</v>
      </c>
      <c r="G9377" t="s">
        <v>32838</v>
      </c>
      <c r="H9377" t="s">
        <v>14069</v>
      </c>
      <c r="I9377" t="s">
        <v>14069</v>
      </c>
      <c r="J9377" t="s">
        <v>38790</v>
      </c>
      <c r="K9377" t="s">
        <v>42732</v>
      </c>
      <c r="L9377" t="s">
        <v>221</v>
      </c>
      <c r="M9377" t="s">
        <v>46263</v>
      </c>
      <c r="N9377" t="s">
        <v>47424</v>
      </c>
      <c r="O9377" t="s">
        <v>47425</v>
      </c>
      <c r="P9377">
        <v>0</v>
      </c>
      <c r="Q9377">
        <v>0</v>
      </c>
      <c r="R9377" t="s">
        <v>47433</v>
      </c>
      <c r="S9377" t="s">
        <v>47633</v>
      </c>
      <c r="T9377" t="s">
        <v>49239</v>
      </c>
      <c r="U9377" t="s">
        <v>57429</v>
      </c>
      <c r="W9377" t="s">
        <v>46263</v>
      </c>
      <c r="X9377" t="s">
        <v>47434</v>
      </c>
    </row>
    <row r="9378" spans="1:24">
      <c r="A9378">
        <f>HYPERLINK("https://www.philgeps.gov.ph/GEPSNONPILOT/Tender/SplashBidNoticeAbstractUI.aspx?menuIndex=3&amp;refID=7149543&amp;Result=3","7149543")</f>
        <v>0</v>
      </c>
      <c r="B9378" t="s">
        <v>2998</v>
      </c>
      <c r="C9378" t="s">
        <v>12733</v>
      </c>
      <c r="D9378" t="s">
        <v>19025</v>
      </c>
      <c r="E9378" t="s">
        <v>27202</v>
      </c>
      <c r="F9378" t="s">
        <v>32831</v>
      </c>
      <c r="G9378" t="s">
        <v>32839</v>
      </c>
      <c r="H9378" t="s">
        <v>32848</v>
      </c>
      <c r="I9378" t="s">
        <v>32870</v>
      </c>
      <c r="J9378" t="s">
        <v>38791</v>
      </c>
      <c r="K9378" t="s">
        <v>42730</v>
      </c>
      <c r="M9378" t="s">
        <v>46265</v>
      </c>
      <c r="N9378" t="s">
        <v>47424</v>
      </c>
      <c r="O9378" t="s">
        <v>47425</v>
      </c>
      <c r="P9378">
        <v>0</v>
      </c>
      <c r="Q9378">
        <v>0</v>
      </c>
      <c r="R9378" t="s">
        <v>47433</v>
      </c>
      <c r="S9378" t="s">
        <v>47633</v>
      </c>
      <c r="T9378" t="s">
        <v>49163</v>
      </c>
      <c r="U9378" t="s">
        <v>57440</v>
      </c>
      <c r="W9378" t="s">
        <v>46265</v>
      </c>
      <c r="X9378" t="s">
        <v>47434</v>
      </c>
    </row>
    <row r="9379" spans="1:24">
      <c r="A9379">
        <f>HYPERLINK("https://www.philgeps.gov.ph/GEPSNONPILOT/Tender/SplashBidNoticeAbstractUI.aspx?menuIndex=3&amp;refID=7149511&amp;Result=3","7149511")</f>
        <v>0</v>
      </c>
      <c r="B9379" t="s">
        <v>2999</v>
      </c>
      <c r="C9379" t="s">
        <v>12734</v>
      </c>
      <c r="D9379" t="s">
        <v>19080</v>
      </c>
      <c r="E9379" t="s">
        <v>27203</v>
      </c>
      <c r="F9379" t="s">
        <v>32831</v>
      </c>
      <c r="G9379" t="s">
        <v>32839</v>
      </c>
      <c r="H9379" t="s">
        <v>32848</v>
      </c>
      <c r="I9379" t="s">
        <v>4776</v>
      </c>
      <c r="J9379" t="s">
        <v>38792</v>
      </c>
      <c r="K9379" t="s">
        <v>42730</v>
      </c>
      <c r="M9379" t="s">
        <v>46266</v>
      </c>
      <c r="N9379" t="s">
        <v>47424</v>
      </c>
      <c r="O9379" t="s">
        <v>47425</v>
      </c>
      <c r="P9379">
        <v>0</v>
      </c>
      <c r="Q9379">
        <v>4</v>
      </c>
      <c r="R9379" t="s">
        <v>47433</v>
      </c>
      <c r="S9379" t="s">
        <v>47633</v>
      </c>
      <c r="T9379" t="s">
        <v>49202</v>
      </c>
      <c r="U9379" t="s">
        <v>57441</v>
      </c>
      <c r="W9379" t="s">
        <v>46266</v>
      </c>
      <c r="X9379" t="s">
        <v>47434</v>
      </c>
    </row>
    <row r="9380" spans="1:24">
      <c r="A9380">
        <f>HYPERLINK("https://www.philgeps.gov.ph/GEPSNONPILOT/Tender/SplashBidNoticeAbstractUI.aspx?menuIndex=3&amp;refID=7149517&amp;Result=3","7149517")</f>
        <v>0</v>
      </c>
      <c r="B9380" t="s">
        <v>958</v>
      </c>
      <c r="C9380" t="s">
        <v>12735</v>
      </c>
      <c r="D9380" t="s">
        <v>19092</v>
      </c>
      <c r="E9380" t="s">
        <v>22691</v>
      </c>
      <c r="F9380" t="s">
        <v>32831</v>
      </c>
      <c r="G9380" t="s">
        <v>32839</v>
      </c>
      <c r="H9380" t="s">
        <v>32848</v>
      </c>
      <c r="I9380" t="s">
        <v>4222</v>
      </c>
      <c r="J9380" t="s">
        <v>38793</v>
      </c>
      <c r="K9380" t="s">
        <v>42732</v>
      </c>
      <c r="M9380" t="s">
        <v>46267</v>
      </c>
      <c r="N9380" t="s">
        <v>47424</v>
      </c>
      <c r="O9380" t="s">
        <v>47425</v>
      </c>
      <c r="Q9380">
        <v>3</v>
      </c>
      <c r="R9380" t="s">
        <v>47433</v>
      </c>
      <c r="S9380" t="s">
        <v>47639</v>
      </c>
      <c r="T9380" t="s">
        <v>49302</v>
      </c>
      <c r="U9380" t="s">
        <v>57442</v>
      </c>
      <c r="W9380" t="s">
        <v>46267</v>
      </c>
      <c r="X9380" t="s">
        <v>47434</v>
      </c>
    </row>
    <row r="9381" spans="1:24">
      <c r="A9381">
        <f>HYPERLINK("https://www.philgeps.gov.ph/GEPSNONPILOT/Tender/SplashBidNoticeAbstractUI.aspx?menuIndex=3&amp;refID=7149436&amp;Result=3","7149436")</f>
        <v>0</v>
      </c>
      <c r="B9381" t="s">
        <v>295</v>
      </c>
      <c r="C9381" t="s">
        <v>12736</v>
      </c>
      <c r="D9381" t="s">
        <v>19074</v>
      </c>
      <c r="E9381" t="s">
        <v>27204</v>
      </c>
      <c r="F9381" t="s">
        <v>32831</v>
      </c>
      <c r="G9381" t="s">
        <v>32838</v>
      </c>
      <c r="H9381" t="s">
        <v>32848</v>
      </c>
      <c r="I9381" t="s">
        <v>32866</v>
      </c>
      <c r="J9381" t="s">
        <v>38794</v>
      </c>
      <c r="K9381" t="s">
        <v>42726</v>
      </c>
      <c r="M9381" t="s">
        <v>43296</v>
      </c>
      <c r="N9381" t="s">
        <v>47424</v>
      </c>
      <c r="O9381" t="s">
        <v>47425</v>
      </c>
      <c r="P9381">
        <v>0</v>
      </c>
      <c r="Q9381">
        <v>0</v>
      </c>
      <c r="R9381" t="s">
        <v>47433</v>
      </c>
      <c r="S9381" t="s">
        <v>47633</v>
      </c>
      <c r="T9381" t="s">
        <v>49212</v>
      </c>
      <c r="U9381" t="s">
        <v>57443</v>
      </c>
      <c r="W9381" t="s">
        <v>43296</v>
      </c>
      <c r="X9381" t="s">
        <v>47434</v>
      </c>
    </row>
    <row r="9382" spans="1:24">
      <c r="A9382">
        <f>HYPERLINK("https://www.philgeps.gov.ph/GEPSNONPILOT/Tender/SplashBidNoticeAbstractUI.aspx?menuIndex=3&amp;refID=7149463&amp;Result=3","7149463")</f>
        <v>0</v>
      </c>
      <c r="B9382" t="s">
        <v>3000</v>
      </c>
      <c r="C9382" t="s">
        <v>12737</v>
      </c>
      <c r="D9382" t="s">
        <v>19035</v>
      </c>
      <c r="E9382" t="s">
        <v>27205</v>
      </c>
      <c r="F9382" t="s">
        <v>32831</v>
      </c>
      <c r="G9382" t="s">
        <v>32839</v>
      </c>
      <c r="H9382" t="s">
        <v>32848</v>
      </c>
      <c r="I9382" t="s">
        <v>32859</v>
      </c>
      <c r="J9382" t="s">
        <v>35198</v>
      </c>
      <c r="K9382" t="s">
        <v>42748</v>
      </c>
      <c r="M9382" t="s">
        <v>46268</v>
      </c>
      <c r="N9382" t="s">
        <v>47424</v>
      </c>
      <c r="O9382" t="s">
        <v>47425</v>
      </c>
      <c r="P9382">
        <v>0</v>
      </c>
      <c r="Q9382">
        <v>3</v>
      </c>
      <c r="R9382" t="s">
        <v>47433</v>
      </c>
      <c r="S9382" t="s">
        <v>47633</v>
      </c>
      <c r="T9382" t="s">
        <v>49129</v>
      </c>
      <c r="U9382" t="s">
        <v>57444</v>
      </c>
      <c r="W9382" t="s">
        <v>46268</v>
      </c>
      <c r="X9382" t="s">
        <v>47434</v>
      </c>
    </row>
    <row r="9383" spans="1:24">
      <c r="A9383">
        <f>HYPERLINK("https://www.philgeps.gov.ph/GEPSNONPILOT/Tender/SplashBidNoticeAbstractUI.aspx?menuIndex=3&amp;refID=7149427&amp;Result=3","7149427")</f>
        <v>0</v>
      </c>
      <c r="B9383" t="s">
        <v>192</v>
      </c>
      <c r="C9383" t="s">
        <v>12738</v>
      </c>
      <c r="D9383" t="s">
        <v>19057</v>
      </c>
      <c r="E9383" t="s">
        <v>27206</v>
      </c>
      <c r="F9383" t="s">
        <v>32831</v>
      </c>
      <c r="G9383" t="s">
        <v>32838</v>
      </c>
      <c r="H9383" t="s">
        <v>32848</v>
      </c>
      <c r="I9383" t="s">
        <v>32874</v>
      </c>
      <c r="J9383" t="s">
        <v>33241</v>
      </c>
      <c r="K9383" t="s">
        <v>42747</v>
      </c>
      <c r="M9383" t="s">
        <v>43190</v>
      </c>
      <c r="N9383" t="s">
        <v>47424</v>
      </c>
      <c r="O9383" t="s">
        <v>47425</v>
      </c>
      <c r="P9383">
        <v>0</v>
      </c>
      <c r="Q9383">
        <v>11</v>
      </c>
      <c r="R9383" t="s">
        <v>47433</v>
      </c>
      <c r="S9383" t="s">
        <v>47633</v>
      </c>
      <c r="T9383" t="s">
        <v>49163</v>
      </c>
      <c r="U9383" t="s">
        <v>57445</v>
      </c>
      <c r="W9383" t="s">
        <v>43190</v>
      </c>
      <c r="X9383" t="s">
        <v>47434</v>
      </c>
    </row>
    <row r="9384" spans="1:24">
      <c r="A9384">
        <f>HYPERLINK("https://www.philgeps.gov.ph/GEPSNONPILOT/Tender/SplashBidNoticeAbstractUI.aspx?menuIndex=3&amp;refID=7149541&amp;Result=3","7149541")</f>
        <v>0</v>
      </c>
      <c r="B9384" t="s">
        <v>3001</v>
      </c>
      <c r="C9384" t="s">
        <v>12739</v>
      </c>
      <c r="D9384" t="s">
        <v>19056</v>
      </c>
      <c r="E9384" t="s">
        <v>27207</v>
      </c>
      <c r="F9384" t="s">
        <v>32831</v>
      </c>
      <c r="G9384" t="s">
        <v>32839</v>
      </c>
      <c r="H9384" t="s">
        <v>32849</v>
      </c>
      <c r="I9384" t="s">
        <v>4177</v>
      </c>
      <c r="J9384" t="s">
        <v>38795</v>
      </c>
      <c r="K9384" t="s">
        <v>42909</v>
      </c>
      <c r="M9384" t="s">
        <v>46269</v>
      </c>
      <c r="N9384" t="s">
        <v>47424</v>
      </c>
      <c r="O9384" t="s">
        <v>47425</v>
      </c>
      <c r="P9384">
        <v>0</v>
      </c>
      <c r="Q9384">
        <v>6</v>
      </c>
      <c r="R9384" t="s">
        <v>47433</v>
      </c>
      <c r="S9384" t="s">
        <v>47633</v>
      </c>
      <c r="T9384" t="s">
        <v>49231</v>
      </c>
      <c r="U9384" t="s">
        <v>57446</v>
      </c>
      <c r="W9384" t="s">
        <v>64531</v>
      </c>
      <c r="X9384" t="s">
        <v>47434</v>
      </c>
    </row>
    <row r="9385" spans="1:24">
      <c r="A9385">
        <f>HYPERLINK("https://www.philgeps.gov.ph/GEPSNONPILOT/Tender/SplashBidNoticeAbstractUI.aspx?menuIndex=3&amp;refID=7149388&amp;Result=3","7149388")</f>
        <v>0</v>
      </c>
      <c r="B9385" t="s">
        <v>3002</v>
      </c>
      <c r="C9385" t="s">
        <v>12740</v>
      </c>
      <c r="D9385" t="s">
        <v>19077</v>
      </c>
      <c r="E9385" t="s">
        <v>27208</v>
      </c>
      <c r="F9385" t="s">
        <v>32831</v>
      </c>
      <c r="G9385" t="s">
        <v>32839</v>
      </c>
      <c r="H9385" t="s">
        <v>32849</v>
      </c>
      <c r="I9385" t="s">
        <v>7416</v>
      </c>
      <c r="J9385" t="s">
        <v>38796</v>
      </c>
      <c r="K9385" t="s">
        <v>42760</v>
      </c>
      <c r="M9385" t="s">
        <v>46270</v>
      </c>
      <c r="N9385" t="s">
        <v>47424</v>
      </c>
      <c r="O9385" t="s">
        <v>47425</v>
      </c>
      <c r="P9385">
        <v>0</v>
      </c>
      <c r="Q9385">
        <v>0</v>
      </c>
      <c r="R9385" t="s">
        <v>47433</v>
      </c>
      <c r="S9385" t="s">
        <v>47633</v>
      </c>
      <c r="T9385" t="s">
        <v>49059</v>
      </c>
      <c r="U9385" t="s">
        <v>57447</v>
      </c>
      <c r="W9385" t="s">
        <v>46270</v>
      </c>
      <c r="X9385" t="s">
        <v>47434</v>
      </c>
    </row>
    <row r="9386" spans="1:24">
      <c r="A9386">
        <f>HYPERLINK("https://www.philgeps.gov.ph/GEPSNONPILOT/Tender/SplashBidNoticeAbstractUI.aspx?menuIndex=3&amp;refID=7149386&amp;Result=3","7149386")</f>
        <v>0</v>
      </c>
      <c r="B9386" t="s">
        <v>1375</v>
      </c>
      <c r="C9386" t="s">
        <v>12741</v>
      </c>
      <c r="D9386" t="s">
        <v>19049</v>
      </c>
      <c r="E9386" t="s">
        <v>27209</v>
      </c>
      <c r="F9386" t="s">
        <v>32831</v>
      </c>
      <c r="G9386" t="s">
        <v>32839</v>
      </c>
      <c r="H9386" t="s">
        <v>32848</v>
      </c>
      <c r="I9386" t="s">
        <v>4222</v>
      </c>
      <c r="J9386" t="s">
        <v>33445</v>
      </c>
      <c r="K9386" t="s">
        <v>42730</v>
      </c>
      <c r="M9386" t="s">
        <v>44456</v>
      </c>
      <c r="N9386" t="s">
        <v>47424</v>
      </c>
      <c r="O9386" t="s">
        <v>47425</v>
      </c>
      <c r="P9386">
        <v>0</v>
      </c>
      <c r="Q9386">
        <v>0</v>
      </c>
      <c r="R9386" t="s">
        <v>47433</v>
      </c>
      <c r="S9386" t="s">
        <v>47633</v>
      </c>
      <c r="T9386" t="s">
        <v>49239</v>
      </c>
      <c r="U9386" t="s">
        <v>57448</v>
      </c>
      <c r="W9386" t="s">
        <v>64466</v>
      </c>
      <c r="X9386" t="s">
        <v>47434</v>
      </c>
    </row>
    <row r="9387" spans="1:24">
      <c r="A9387">
        <f>HYPERLINK("https://www.philgeps.gov.ph/GEPSNONPILOT/Tender/SplashBidNoticeAbstractUI.aspx?menuIndex=3&amp;refID=7149383&amp;Result=3","7149383")</f>
        <v>0</v>
      </c>
      <c r="B9387" t="s">
        <v>2303</v>
      </c>
      <c r="C9387" t="s">
        <v>12742</v>
      </c>
      <c r="D9387" t="s">
        <v>19037</v>
      </c>
      <c r="E9387" t="s">
        <v>27210</v>
      </c>
      <c r="F9387" t="s">
        <v>32831</v>
      </c>
      <c r="G9387" t="s">
        <v>32839</v>
      </c>
      <c r="H9387" t="s">
        <v>32848</v>
      </c>
      <c r="I9387" t="s">
        <v>7751</v>
      </c>
      <c r="J9387" t="s">
        <v>33083</v>
      </c>
      <c r="K9387" t="s">
        <v>42747</v>
      </c>
      <c r="M9387" t="s">
        <v>45488</v>
      </c>
      <c r="N9387" t="s">
        <v>47424</v>
      </c>
      <c r="O9387" t="s">
        <v>47425</v>
      </c>
      <c r="P9387">
        <v>0</v>
      </c>
      <c r="Q9387">
        <v>3</v>
      </c>
      <c r="R9387" t="s">
        <v>47433</v>
      </c>
      <c r="S9387" t="s">
        <v>47633</v>
      </c>
      <c r="T9387" t="s">
        <v>49185</v>
      </c>
      <c r="U9387" t="s">
        <v>57449</v>
      </c>
      <c r="W9387" t="s">
        <v>45488</v>
      </c>
      <c r="X9387" t="s">
        <v>47434</v>
      </c>
    </row>
    <row r="9388" spans="1:24">
      <c r="A9388">
        <f>HYPERLINK("https://www.philgeps.gov.ph/GEPSNONPILOT/Tender/SplashBidNoticeAbstractUI.aspx?menuIndex=3&amp;refID=7149562&amp;Result=3","7149562")</f>
        <v>0</v>
      </c>
      <c r="B9388" t="s">
        <v>1683</v>
      </c>
      <c r="C9388" t="s">
        <v>12743</v>
      </c>
      <c r="D9388" t="s">
        <v>19021</v>
      </c>
      <c r="E9388" t="s">
        <v>27211</v>
      </c>
      <c r="F9388" t="s">
        <v>32831</v>
      </c>
      <c r="G9388" t="s">
        <v>32839</v>
      </c>
      <c r="H9388" t="s">
        <v>32848</v>
      </c>
      <c r="I9388" t="s">
        <v>4471</v>
      </c>
      <c r="J9388" t="s">
        <v>38797</v>
      </c>
      <c r="K9388" t="s">
        <v>42730</v>
      </c>
      <c r="M9388" t="s">
        <v>44803</v>
      </c>
      <c r="N9388" t="s">
        <v>47424</v>
      </c>
      <c r="O9388" t="s">
        <v>47425</v>
      </c>
      <c r="P9388">
        <v>0</v>
      </c>
      <c r="Q9388">
        <v>0</v>
      </c>
      <c r="R9388" t="s">
        <v>47433</v>
      </c>
      <c r="S9388" t="s">
        <v>47633</v>
      </c>
      <c r="T9388" t="s">
        <v>49163</v>
      </c>
      <c r="U9388" t="s">
        <v>57450</v>
      </c>
      <c r="V9388" t="s">
        <v>63657</v>
      </c>
      <c r="W9388" t="s">
        <v>44803</v>
      </c>
      <c r="X9388" t="s">
        <v>47434</v>
      </c>
    </row>
    <row r="9389" spans="1:24">
      <c r="A9389">
        <f>HYPERLINK("https://www.philgeps.gov.ph/GEPSNONPILOT/Tender/SplashBidNoticeAbstractUI.aspx?menuIndex=3&amp;refID=7149335&amp;Result=3","7149335")</f>
        <v>0</v>
      </c>
      <c r="B9389" t="s">
        <v>2340</v>
      </c>
      <c r="C9389" t="s">
        <v>12744</v>
      </c>
      <c r="D9389" t="s">
        <v>19054</v>
      </c>
      <c r="E9389" t="s">
        <v>27212</v>
      </c>
      <c r="F9389" t="s">
        <v>32833</v>
      </c>
      <c r="G9389" t="s">
        <v>32840</v>
      </c>
      <c r="H9389" t="s">
        <v>32848</v>
      </c>
      <c r="I9389" t="s">
        <v>32883</v>
      </c>
      <c r="J9389" t="s">
        <v>33929</v>
      </c>
      <c r="K9389" t="s">
        <v>42730</v>
      </c>
      <c r="M9389" t="s">
        <v>45527</v>
      </c>
      <c r="N9389" t="s">
        <v>47424</v>
      </c>
      <c r="O9389" t="s">
        <v>47425</v>
      </c>
      <c r="P9389">
        <v>0</v>
      </c>
      <c r="Q9389">
        <v>0</v>
      </c>
      <c r="R9389" t="s">
        <v>47433</v>
      </c>
      <c r="S9389" t="s">
        <v>47633</v>
      </c>
      <c r="T9389" t="s">
        <v>49192</v>
      </c>
      <c r="U9389" t="s">
        <v>57451</v>
      </c>
      <c r="V9389" t="s">
        <v>63658</v>
      </c>
      <c r="W9389" t="s">
        <v>45527</v>
      </c>
      <c r="X9389" t="s">
        <v>47434</v>
      </c>
    </row>
    <row r="9390" spans="1:24">
      <c r="A9390">
        <f>HYPERLINK("https://www.philgeps.gov.ph/GEPSNONPILOT/Tender/SplashBidNoticeAbstractUI.aspx?menuIndex=3&amp;refID=7149385&amp;Result=3","7149385")</f>
        <v>0</v>
      </c>
      <c r="B9390" t="s">
        <v>1747</v>
      </c>
      <c r="C9390" t="s">
        <v>12745</v>
      </c>
      <c r="D9390" t="s">
        <v>19058</v>
      </c>
      <c r="E9390" t="s">
        <v>27213</v>
      </c>
      <c r="F9390" t="s">
        <v>32831</v>
      </c>
      <c r="G9390" t="s">
        <v>32839</v>
      </c>
      <c r="H9390" t="s">
        <v>32848</v>
      </c>
      <c r="I9390" t="s">
        <v>4487</v>
      </c>
      <c r="J9390" t="s">
        <v>33578</v>
      </c>
      <c r="K9390" t="s">
        <v>42727</v>
      </c>
      <c r="M9390" t="s">
        <v>44870</v>
      </c>
      <c r="N9390" t="s">
        <v>47424</v>
      </c>
      <c r="O9390" t="s">
        <v>47425</v>
      </c>
      <c r="P9390">
        <v>0</v>
      </c>
      <c r="Q9390">
        <v>0</v>
      </c>
      <c r="R9390" t="s">
        <v>47433</v>
      </c>
      <c r="S9390" t="s">
        <v>47633</v>
      </c>
      <c r="T9390" t="s">
        <v>49237</v>
      </c>
      <c r="U9390" t="s">
        <v>57452</v>
      </c>
      <c r="W9390" t="s">
        <v>44870</v>
      </c>
      <c r="X9390" t="s">
        <v>47434</v>
      </c>
    </row>
    <row r="9391" spans="1:24">
      <c r="A9391">
        <f>HYPERLINK("https://www.philgeps.gov.ph/GEPSNONPILOT/Tender/SplashBidNoticeAbstractUI.aspx?menuIndex=3&amp;refID=7149384&amp;Result=3","7149384")</f>
        <v>0</v>
      </c>
      <c r="B9391" t="s">
        <v>2984</v>
      </c>
      <c r="C9391" t="s">
        <v>12310</v>
      </c>
      <c r="D9391" t="s">
        <v>19027</v>
      </c>
      <c r="E9391" t="s">
        <v>27214</v>
      </c>
      <c r="F9391" t="s">
        <v>32831</v>
      </c>
      <c r="G9391" t="s">
        <v>32839</v>
      </c>
      <c r="H9391" t="s">
        <v>32848</v>
      </c>
      <c r="I9391" t="s">
        <v>4776</v>
      </c>
      <c r="J9391" t="s">
        <v>34352</v>
      </c>
      <c r="K9391" t="s">
        <v>42730</v>
      </c>
      <c r="M9391" t="s">
        <v>46247</v>
      </c>
      <c r="N9391" t="s">
        <v>47424</v>
      </c>
      <c r="O9391" t="s">
        <v>47425</v>
      </c>
      <c r="P9391">
        <v>0</v>
      </c>
      <c r="Q9391">
        <v>0</v>
      </c>
      <c r="R9391" t="s">
        <v>47433</v>
      </c>
      <c r="S9391" t="s">
        <v>47633</v>
      </c>
      <c r="T9391" t="s">
        <v>49162</v>
      </c>
      <c r="U9391" t="s">
        <v>57453</v>
      </c>
      <c r="W9391" t="s">
        <v>46247</v>
      </c>
      <c r="X9391" t="s">
        <v>47434</v>
      </c>
    </row>
    <row r="9392" spans="1:24">
      <c r="A9392">
        <f>HYPERLINK("https://www.philgeps.gov.ph/GEPSNONPILOT/Tender/SplashBidNoticeAbstractUI.aspx?menuIndex=3&amp;refID=7154490&amp;Result=3","7154490")</f>
        <v>0</v>
      </c>
      <c r="B9392" t="s">
        <v>2038</v>
      </c>
      <c r="C9392" t="s">
        <v>12746</v>
      </c>
      <c r="D9392" t="s">
        <v>19037</v>
      </c>
      <c r="E9392" t="s">
        <v>27215</v>
      </c>
      <c r="F9392" t="s">
        <v>32831</v>
      </c>
      <c r="G9392" t="s">
        <v>32840</v>
      </c>
      <c r="H9392" t="s">
        <v>32848</v>
      </c>
      <c r="I9392" t="s">
        <v>32860</v>
      </c>
      <c r="J9392" t="s">
        <v>38798</v>
      </c>
      <c r="K9392" t="s">
        <v>42727</v>
      </c>
      <c r="M9392" t="s">
        <v>45207</v>
      </c>
      <c r="N9392" t="s">
        <v>47424</v>
      </c>
      <c r="O9392" t="s">
        <v>47425</v>
      </c>
      <c r="P9392">
        <v>0</v>
      </c>
      <c r="Q9392">
        <v>3</v>
      </c>
      <c r="R9392" t="s">
        <v>47432</v>
      </c>
      <c r="S9392" t="s">
        <v>47597</v>
      </c>
      <c r="T9392" t="s">
        <v>49214</v>
      </c>
      <c r="U9392" t="s">
        <v>57454</v>
      </c>
      <c r="V9392" t="s">
        <v>63659</v>
      </c>
      <c r="W9392" t="s">
        <v>45207</v>
      </c>
      <c r="X9392" t="s">
        <v>47433</v>
      </c>
    </row>
    <row r="9393" spans="1:24">
      <c r="A9393">
        <f>HYPERLINK("https://www.philgeps.gov.ph/GEPSNONPILOT/Tender/SplashBidNoticeAbstractUI.aspx?menuIndex=3&amp;refID=7149433&amp;Result=3","7149433")</f>
        <v>0</v>
      </c>
      <c r="B9393" t="s">
        <v>969</v>
      </c>
      <c r="C9393" t="s">
        <v>12747</v>
      </c>
      <c r="D9393" t="s">
        <v>19021</v>
      </c>
      <c r="E9393" t="s">
        <v>27216</v>
      </c>
      <c r="F9393" t="s">
        <v>32831</v>
      </c>
      <c r="G9393" t="s">
        <v>32839</v>
      </c>
      <c r="H9393" t="s">
        <v>32848</v>
      </c>
      <c r="I9393" t="s">
        <v>32858</v>
      </c>
      <c r="J9393" t="s">
        <v>33706</v>
      </c>
      <c r="K9393" t="s">
        <v>42730</v>
      </c>
      <c r="M9393" t="s">
        <v>44015</v>
      </c>
      <c r="N9393" t="s">
        <v>47424</v>
      </c>
      <c r="O9393" t="s">
        <v>47425</v>
      </c>
      <c r="P9393">
        <v>0</v>
      </c>
      <c r="Q9393">
        <v>4</v>
      </c>
      <c r="R9393" t="s">
        <v>47433</v>
      </c>
      <c r="S9393" t="s">
        <v>47633</v>
      </c>
      <c r="T9393" t="s">
        <v>49244</v>
      </c>
      <c r="U9393" t="s">
        <v>57455</v>
      </c>
      <c r="V9393" t="s">
        <v>62852</v>
      </c>
      <c r="W9393" t="s">
        <v>44015</v>
      </c>
      <c r="X9393" t="s">
        <v>47434</v>
      </c>
    </row>
    <row r="9394" spans="1:24">
      <c r="A9394">
        <f>HYPERLINK("https://www.philgeps.gov.ph/GEPSNONPILOT/Tender/SplashBidNoticeAbstractUI.aspx?menuIndex=3&amp;refID=7154617&amp;Result=3","7154617")</f>
        <v>0</v>
      </c>
      <c r="B9394" t="s">
        <v>2215</v>
      </c>
      <c r="C9394" t="s">
        <v>12748</v>
      </c>
      <c r="D9394" t="s">
        <v>19077</v>
      </c>
      <c r="E9394" t="s">
        <v>27217</v>
      </c>
      <c r="F9394" t="s">
        <v>32831</v>
      </c>
      <c r="G9394" t="s">
        <v>32841</v>
      </c>
      <c r="H9394" t="s">
        <v>32849</v>
      </c>
      <c r="I9394" t="s">
        <v>4177</v>
      </c>
      <c r="J9394" t="s">
        <v>36338</v>
      </c>
      <c r="K9394" t="s">
        <v>42920</v>
      </c>
      <c r="M9394" t="s">
        <v>45395</v>
      </c>
      <c r="N9394" t="s">
        <v>47424</v>
      </c>
      <c r="O9394" t="s">
        <v>47425</v>
      </c>
      <c r="Q9394">
        <v>0</v>
      </c>
      <c r="R9394" t="s">
        <v>47432</v>
      </c>
      <c r="S9394" t="s">
        <v>47640</v>
      </c>
      <c r="T9394" t="s">
        <v>49370</v>
      </c>
      <c r="U9394" t="s">
        <v>56189</v>
      </c>
      <c r="W9394" t="s">
        <v>45395</v>
      </c>
      <c r="X9394" t="s">
        <v>47433</v>
      </c>
    </row>
    <row r="9395" spans="1:24">
      <c r="A9395">
        <f>HYPERLINK("https://www.philgeps.gov.ph/GEPSNONPILOT/Tender/SplashBidNoticeAbstractUI.aspx?menuIndex=3&amp;refID=7154467&amp;Result=3","7154467")</f>
        <v>0</v>
      </c>
      <c r="B9395" t="s">
        <v>1418</v>
      </c>
      <c r="C9395" t="s">
        <v>12749</v>
      </c>
      <c r="D9395" t="s">
        <v>19034</v>
      </c>
      <c r="E9395" t="s">
        <v>27218</v>
      </c>
      <c r="F9395" t="s">
        <v>32831</v>
      </c>
      <c r="G9395" t="s">
        <v>32839</v>
      </c>
      <c r="H9395" t="s">
        <v>32848</v>
      </c>
      <c r="I9395" t="s">
        <v>4558</v>
      </c>
      <c r="J9395" t="s">
        <v>38799</v>
      </c>
      <c r="K9395" t="s">
        <v>42730</v>
      </c>
      <c r="M9395" t="s">
        <v>44506</v>
      </c>
      <c r="N9395" t="s">
        <v>47424</v>
      </c>
      <c r="O9395" t="s">
        <v>47425</v>
      </c>
      <c r="P9395">
        <v>0</v>
      </c>
      <c r="Q9395">
        <v>1</v>
      </c>
      <c r="R9395" t="s">
        <v>47432</v>
      </c>
      <c r="S9395" t="s">
        <v>47597</v>
      </c>
      <c r="T9395" t="s">
        <v>49127</v>
      </c>
      <c r="U9395" t="s">
        <v>57456</v>
      </c>
      <c r="W9395" t="s">
        <v>44506</v>
      </c>
      <c r="X9395" t="s">
        <v>47433</v>
      </c>
    </row>
    <row r="9396" spans="1:24">
      <c r="A9396">
        <f>HYPERLINK("https://www.philgeps.gov.ph/GEPSNONPILOT/Tender/SplashBidNoticeAbstractUI.aspx?menuIndex=3&amp;refID=7149429&amp;Result=3","7149429")</f>
        <v>0</v>
      </c>
      <c r="B9396" t="s">
        <v>2053</v>
      </c>
      <c r="C9396" t="s">
        <v>12750</v>
      </c>
      <c r="D9396" t="s">
        <v>19031</v>
      </c>
      <c r="E9396" t="s">
        <v>27219</v>
      </c>
      <c r="F9396" t="s">
        <v>32831</v>
      </c>
      <c r="G9396" t="s">
        <v>32838</v>
      </c>
      <c r="H9396" t="s">
        <v>32848</v>
      </c>
      <c r="I9396" t="s">
        <v>32851</v>
      </c>
      <c r="J9396" t="s">
        <v>32985</v>
      </c>
      <c r="K9396" t="s">
        <v>42730</v>
      </c>
      <c r="M9396" t="s">
        <v>45223</v>
      </c>
      <c r="N9396" t="s">
        <v>47424</v>
      </c>
      <c r="O9396" t="s">
        <v>47425</v>
      </c>
      <c r="P9396">
        <v>0</v>
      </c>
      <c r="Q9396">
        <v>1</v>
      </c>
      <c r="R9396" t="s">
        <v>47433</v>
      </c>
      <c r="S9396" t="s">
        <v>47633</v>
      </c>
      <c r="T9396" t="s">
        <v>49212</v>
      </c>
      <c r="U9396" t="s">
        <v>57457</v>
      </c>
      <c r="W9396" t="s">
        <v>45223</v>
      </c>
      <c r="X9396" t="s">
        <v>47434</v>
      </c>
    </row>
    <row r="9397" spans="1:24">
      <c r="A9397">
        <f>HYPERLINK("https://www.philgeps.gov.ph/GEPSNONPILOT/Tender/SplashBidNoticeAbstractUI.aspx?menuIndex=3&amp;refID=7149613&amp;Result=3","7149613")</f>
        <v>0</v>
      </c>
      <c r="B9397" t="s">
        <v>3003</v>
      </c>
      <c r="C9397" t="s">
        <v>12751</v>
      </c>
      <c r="D9397" t="s">
        <v>19055</v>
      </c>
      <c r="E9397" t="s">
        <v>27180</v>
      </c>
      <c r="F9397" t="s">
        <v>32831</v>
      </c>
      <c r="G9397" t="s">
        <v>32839</v>
      </c>
      <c r="H9397" t="s">
        <v>32848</v>
      </c>
      <c r="I9397" t="s">
        <v>4303</v>
      </c>
      <c r="J9397" t="s">
        <v>38800</v>
      </c>
      <c r="K9397" t="s">
        <v>42730</v>
      </c>
      <c r="M9397" t="s">
        <v>46271</v>
      </c>
      <c r="N9397" t="s">
        <v>47424</v>
      </c>
      <c r="O9397" t="s">
        <v>47425</v>
      </c>
      <c r="P9397">
        <v>0</v>
      </c>
      <c r="Q9397">
        <v>0</v>
      </c>
      <c r="R9397" t="s">
        <v>47433</v>
      </c>
      <c r="S9397" t="s">
        <v>47633</v>
      </c>
      <c r="T9397" t="s">
        <v>49265</v>
      </c>
      <c r="U9397" t="s">
        <v>57414</v>
      </c>
      <c r="V9397" t="s">
        <v>63660</v>
      </c>
      <c r="W9397" t="s">
        <v>46271</v>
      </c>
      <c r="X9397" t="s">
        <v>47434</v>
      </c>
    </row>
    <row r="9398" spans="1:24">
      <c r="A9398">
        <f>HYPERLINK("https://www.philgeps.gov.ph/GEPSNONPILOT/Tender/SplashBidNoticeAbstractUI.aspx?menuIndex=3&amp;refID=7154613&amp;Result=3","7154613")</f>
        <v>0</v>
      </c>
      <c r="B9398" t="s">
        <v>224</v>
      </c>
      <c r="C9398" t="s">
        <v>4344</v>
      </c>
      <c r="D9398" t="s">
        <v>19027</v>
      </c>
      <c r="E9398" t="s">
        <v>27220</v>
      </c>
      <c r="F9398" t="s">
        <v>32831</v>
      </c>
      <c r="G9398" t="s">
        <v>32840</v>
      </c>
      <c r="H9398" t="s">
        <v>32848</v>
      </c>
      <c r="I9398" t="s">
        <v>32855</v>
      </c>
      <c r="J9398" t="s">
        <v>33077</v>
      </c>
      <c r="K9398" t="s">
        <v>42727</v>
      </c>
      <c r="M9398" t="s">
        <v>43222</v>
      </c>
      <c r="N9398" t="s">
        <v>47424</v>
      </c>
      <c r="O9398" t="s">
        <v>47425</v>
      </c>
      <c r="P9398">
        <v>0</v>
      </c>
      <c r="Q9398">
        <v>10</v>
      </c>
      <c r="R9398" t="s">
        <v>47432</v>
      </c>
      <c r="S9398" t="s">
        <v>47597</v>
      </c>
      <c r="T9398" t="s">
        <v>49151</v>
      </c>
      <c r="U9398" t="s">
        <v>57458</v>
      </c>
      <c r="W9398" t="s">
        <v>43222</v>
      </c>
      <c r="X9398" t="s">
        <v>47433</v>
      </c>
    </row>
    <row r="9399" spans="1:24">
      <c r="A9399">
        <f>HYPERLINK("https://www.philgeps.gov.ph/GEPSNONPILOT/Tender/SplashBidNoticeAbstractUI.aspx?menuIndex=3&amp;refID=7149610&amp;Result=3","7149610")</f>
        <v>0</v>
      </c>
      <c r="B9399" t="s">
        <v>221</v>
      </c>
      <c r="C9399" t="s">
        <v>12752</v>
      </c>
      <c r="D9399" t="s">
        <v>19062</v>
      </c>
      <c r="E9399" t="s">
        <v>27221</v>
      </c>
      <c r="F9399" t="s">
        <v>32831</v>
      </c>
      <c r="G9399" t="s">
        <v>32838</v>
      </c>
      <c r="H9399" t="s">
        <v>14069</v>
      </c>
      <c r="I9399" t="s">
        <v>14069</v>
      </c>
      <c r="J9399" t="s">
        <v>38801</v>
      </c>
      <c r="K9399" t="s">
        <v>42732</v>
      </c>
      <c r="L9399" t="s">
        <v>221</v>
      </c>
      <c r="M9399" t="s">
        <v>46263</v>
      </c>
      <c r="N9399" t="s">
        <v>47424</v>
      </c>
      <c r="O9399" t="s">
        <v>47425</v>
      </c>
      <c r="P9399">
        <v>0</v>
      </c>
      <c r="Q9399">
        <v>0</v>
      </c>
      <c r="R9399" t="s">
        <v>47433</v>
      </c>
      <c r="S9399" t="s">
        <v>47633</v>
      </c>
      <c r="T9399" t="s">
        <v>49239</v>
      </c>
      <c r="U9399" t="s">
        <v>57459</v>
      </c>
      <c r="W9399" t="s">
        <v>46263</v>
      </c>
      <c r="X9399" t="s">
        <v>47434</v>
      </c>
    </row>
    <row r="9400" spans="1:24">
      <c r="A9400">
        <f>HYPERLINK("https://www.philgeps.gov.ph/GEPSNONPILOT/Tender/SplashBidNoticeAbstractUI.aspx?menuIndex=3&amp;refID=7149606&amp;Result=3","7149606")</f>
        <v>0</v>
      </c>
      <c r="B9400" t="s">
        <v>1759</v>
      </c>
      <c r="C9400" t="s">
        <v>12753</v>
      </c>
      <c r="D9400" t="s">
        <v>19058</v>
      </c>
      <c r="E9400" t="s">
        <v>27222</v>
      </c>
      <c r="F9400" t="s">
        <v>32831</v>
      </c>
      <c r="G9400" t="s">
        <v>32839</v>
      </c>
      <c r="H9400" t="s">
        <v>32848</v>
      </c>
      <c r="I9400" t="s">
        <v>32855</v>
      </c>
      <c r="J9400" t="s">
        <v>38802</v>
      </c>
      <c r="K9400" t="s">
        <v>42730</v>
      </c>
      <c r="M9400" t="s">
        <v>44883</v>
      </c>
      <c r="N9400" t="s">
        <v>47424</v>
      </c>
      <c r="O9400" t="s">
        <v>47425</v>
      </c>
      <c r="Q9400">
        <v>0</v>
      </c>
      <c r="R9400" t="s">
        <v>47433</v>
      </c>
      <c r="S9400" t="s">
        <v>47641</v>
      </c>
      <c r="T9400" t="s">
        <v>49162</v>
      </c>
      <c r="U9400" t="s">
        <v>57460</v>
      </c>
      <c r="V9400" t="s">
        <v>63115</v>
      </c>
      <c r="W9400" t="s">
        <v>44883</v>
      </c>
      <c r="X9400" t="s">
        <v>47434</v>
      </c>
    </row>
    <row r="9401" spans="1:24">
      <c r="A9401">
        <f>HYPERLINK("https://www.philgeps.gov.ph/GEPSNONPILOT/Tender/SplashBidNoticeAbstractUI.aspx?menuIndex=3&amp;refID=7154493&amp;Result=3","7154493")</f>
        <v>0</v>
      </c>
      <c r="B9401" t="s">
        <v>2232</v>
      </c>
      <c r="C9401" t="s">
        <v>12754</v>
      </c>
      <c r="D9401" t="s">
        <v>19062</v>
      </c>
      <c r="E9401" t="s">
        <v>27223</v>
      </c>
      <c r="F9401" t="s">
        <v>32831</v>
      </c>
      <c r="G9401" t="s">
        <v>32838</v>
      </c>
      <c r="H9401" t="s">
        <v>32848</v>
      </c>
      <c r="I9401" t="s">
        <v>10805</v>
      </c>
      <c r="J9401" t="s">
        <v>36522</v>
      </c>
      <c r="K9401" t="s">
        <v>42731</v>
      </c>
      <c r="M9401" t="s">
        <v>45413</v>
      </c>
      <c r="N9401" t="s">
        <v>47424</v>
      </c>
      <c r="O9401" t="s">
        <v>47425</v>
      </c>
      <c r="P9401">
        <v>0</v>
      </c>
      <c r="Q9401">
        <v>2</v>
      </c>
      <c r="R9401" t="s">
        <v>47432</v>
      </c>
      <c r="S9401" t="s">
        <v>47597</v>
      </c>
      <c r="T9401" t="s">
        <v>49214</v>
      </c>
      <c r="U9401" t="s">
        <v>54885</v>
      </c>
      <c r="W9401" t="s">
        <v>45413</v>
      </c>
      <c r="X9401" t="s">
        <v>47433</v>
      </c>
    </row>
    <row r="9402" spans="1:24">
      <c r="A9402">
        <f>HYPERLINK("https://www.philgeps.gov.ph/GEPSNONPILOT/Tender/SplashBidNoticeAbstractUI.aspx?menuIndex=3&amp;refID=7149601&amp;Result=3","7149601")</f>
        <v>0</v>
      </c>
      <c r="B9402" t="s">
        <v>1831</v>
      </c>
      <c r="C9402" t="s">
        <v>12755</v>
      </c>
      <c r="D9402" t="s">
        <v>19070</v>
      </c>
      <c r="E9402" t="s">
        <v>27224</v>
      </c>
      <c r="F9402" t="s">
        <v>32831</v>
      </c>
      <c r="G9402" t="s">
        <v>32839</v>
      </c>
      <c r="H9402" t="s">
        <v>32848</v>
      </c>
      <c r="I9402" t="s">
        <v>5379</v>
      </c>
      <c r="J9402" t="s">
        <v>34664</v>
      </c>
      <c r="K9402" t="s">
        <v>42730</v>
      </c>
      <c r="M9402" t="s">
        <v>44965</v>
      </c>
      <c r="N9402" t="s">
        <v>47424</v>
      </c>
      <c r="O9402" t="s">
        <v>47425</v>
      </c>
      <c r="P9402">
        <v>0</v>
      </c>
      <c r="Q9402">
        <v>0</v>
      </c>
      <c r="R9402" t="s">
        <v>47433</v>
      </c>
      <c r="S9402" t="s">
        <v>47633</v>
      </c>
      <c r="T9402" t="s">
        <v>49163</v>
      </c>
      <c r="U9402" t="s">
        <v>57461</v>
      </c>
      <c r="W9402" t="s">
        <v>44965</v>
      </c>
      <c r="X9402" t="s">
        <v>47434</v>
      </c>
    </row>
    <row r="9403" spans="1:24">
      <c r="A9403">
        <f>HYPERLINK("https://www.philgeps.gov.ph/GEPSNONPILOT/Tender/SplashBidNoticeAbstractUI.aspx?menuIndex=3&amp;refID=7149611&amp;Result=3","7149611")</f>
        <v>0</v>
      </c>
      <c r="B9403" t="s">
        <v>1088</v>
      </c>
      <c r="C9403" t="s">
        <v>12756</v>
      </c>
      <c r="D9403" t="s">
        <v>19028</v>
      </c>
      <c r="E9403" t="s">
        <v>27225</v>
      </c>
      <c r="F9403" t="s">
        <v>32831</v>
      </c>
      <c r="G9403" t="s">
        <v>32839</v>
      </c>
      <c r="H9403" t="s">
        <v>32849</v>
      </c>
      <c r="I9403" t="s">
        <v>4177</v>
      </c>
      <c r="J9403" t="s">
        <v>38803</v>
      </c>
      <c r="K9403" t="s">
        <v>42747</v>
      </c>
      <c r="M9403" t="s">
        <v>44147</v>
      </c>
      <c r="N9403" t="s">
        <v>47424</v>
      </c>
      <c r="O9403" t="s">
        <v>47425</v>
      </c>
      <c r="P9403">
        <v>0</v>
      </c>
      <c r="Q9403">
        <v>2</v>
      </c>
      <c r="R9403" t="s">
        <v>47433</v>
      </c>
      <c r="S9403" t="s">
        <v>47633</v>
      </c>
      <c r="T9403" t="s">
        <v>49173</v>
      </c>
      <c r="U9403" t="s">
        <v>57462</v>
      </c>
      <c r="V9403" t="s">
        <v>63661</v>
      </c>
      <c r="W9403" t="s">
        <v>44147</v>
      </c>
      <c r="X9403" t="s">
        <v>47434</v>
      </c>
    </row>
    <row r="9404" spans="1:24">
      <c r="A9404">
        <f>HYPERLINK("https://www.philgeps.gov.ph/GEPSNONPILOT/Tender/SplashBidNoticeAbstractUI.aspx?menuIndex=3&amp;refID=7149594&amp;Result=3","7149594")</f>
        <v>0</v>
      </c>
      <c r="B9404" t="s">
        <v>261</v>
      </c>
      <c r="C9404" t="s">
        <v>4408</v>
      </c>
      <c r="D9404" t="s">
        <v>19059</v>
      </c>
      <c r="E9404" t="s">
        <v>27226</v>
      </c>
      <c r="F9404" t="s">
        <v>32831</v>
      </c>
      <c r="G9404" t="s">
        <v>32839</v>
      </c>
      <c r="H9404" t="s">
        <v>32849</v>
      </c>
      <c r="I9404" t="s">
        <v>4177</v>
      </c>
      <c r="J9404" t="s">
        <v>32983</v>
      </c>
      <c r="K9404" t="s">
        <v>42726</v>
      </c>
      <c r="M9404" t="s">
        <v>43260</v>
      </c>
      <c r="N9404" t="s">
        <v>47424</v>
      </c>
      <c r="O9404" t="s">
        <v>47425</v>
      </c>
      <c r="P9404">
        <v>0</v>
      </c>
      <c r="Q9404">
        <v>3</v>
      </c>
      <c r="R9404" t="s">
        <v>47433</v>
      </c>
      <c r="S9404" t="s">
        <v>47633</v>
      </c>
      <c r="T9404" t="s">
        <v>49214</v>
      </c>
      <c r="U9404" t="s">
        <v>57463</v>
      </c>
      <c r="V9404" t="s">
        <v>63662</v>
      </c>
      <c r="W9404" t="s">
        <v>43260</v>
      </c>
      <c r="X9404" t="s">
        <v>47434</v>
      </c>
    </row>
    <row r="9405" spans="1:24">
      <c r="A9405">
        <f>HYPERLINK("https://www.philgeps.gov.ph/GEPSNONPILOT/Tender/SplashBidNoticeAbstractUI.aspx?menuIndex=3&amp;refID=7149607&amp;Result=3","7149607")</f>
        <v>0</v>
      </c>
      <c r="B9405" t="s">
        <v>3004</v>
      </c>
      <c r="C9405" t="s">
        <v>12757</v>
      </c>
      <c r="D9405" t="s">
        <v>19061</v>
      </c>
      <c r="E9405" t="s">
        <v>27227</v>
      </c>
      <c r="F9405" t="s">
        <v>32831</v>
      </c>
      <c r="G9405" t="s">
        <v>32838</v>
      </c>
      <c r="H9405" t="s">
        <v>32848</v>
      </c>
      <c r="I9405" t="s">
        <v>4558</v>
      </c>
      <c r="J9405" t="s">
        <v>33508</v>
      </c>
      <c r="K9405" t="s">
        <v>42726</v>
      </c>
      <c r="L9405" t="s">
        <v>3004</v>
      </c>
      <c r="M9405" t="s">
        <v>46272</v>
      </c>
      <c r="N9405" t="s">
        <v>47424</v>
      </c>
      <c r="O9405" t="s">
        <v>47425</v>
      </c>
      <c r="P9405">
        <v>0</v>
      </c>
      <c r="Q9405">
        <v>0</v>
      </c>
      <c r="R9405" t="s">
        <v>47433</v>
      </c>
      <c r="S9405" t="s">
        <v>47633</v>
      </c>
      <c r="T9405" t="s">
        <v>49166</v>
      </c>
      <c r="U9405" t="s">
        <v>57464</v>
      </c>
      <c r="W9405" t="s">
        <v>46272</v>
      </c>
      <c r="X9405" t="s">
        <v>47434</v>
      </c>
    </row>
    <row r="9406" spans="1:24">
      <c r="A9406">
        <f>HYPERLINK("https://www.philgeps.gov.ph/GEPSNONPILOT/Tender/SplashBidNoticeAbstractUI.aspx?menuIndex=3&amp;refID=7149502&amp;Result=3","7149502")</f>
        <v>0</v>
      </c>
      <c r="B9406" t="s">
        <v>956</v>
      </c>
      <c r="C9406" t="s">
        <v>12758</v>
      </c>
      <c r="D9406" t="s">
        <v>19038</v>
      </c>
      <c r="E9406" t="s">
        <v>27228</v>
      </c>
      <c r="F9406" t="s">
        <v>32831</v>
      </c>
      <c r="G9406" t="s">
        <v>32839</v>
      </c>
      <c r="H9406" t="s">
        <v>32848</v>
      </c>
      <c r="I9406" t="s">
        <v>32858</v>
      </c>
      <c r="J9406" t="s">
        <v>33078</v>
      </c>
      <c r="K9406" t="s">
        <v>42732</v>
      </c>
      <c r="M9406" t="s">
        <v>44002</v>
      </c>
      <c r="N9406" t="s">
        <v>47424</v>
      </c>
      <c r="O9406" t="s">
        <v>47425</v>
      </c>
      <c r="P9406">
        <v>0</v>
      </c>
      <c r="Q9406">
        <v>4</v>
      </c>
      <c r="R9406" t="s">
        <v>47433</v>
      </c>
      <c r="S9406" t="s">
        <v>47633</v>
      </c>
      <c r="T9406" t="s">
        <v>49321</v>
      </c>
      <c r="U9406" t="s">
        <v>57465</v>
      </c>
      <c r="V9406" t="s">
        <v>62833</v>
      </c>
      <c r="W9406" t="s">
        <v>44002</v>
      </c>
      <c r="X9406" t="s">
        <v>47434</v>
      </c>
    </row>
    <row r="9407" spans="1:24">
      <c r="A9407">
        <f>HYPERLINK("https://www.philgeps.gov.ph/GEPSNONPILOT/Tender/SplashBidNoticeAbstractUI.aspx?menuIndex=3&amp;refID=7149589&amp;Result=3","7149589")</f>
        <v>0</v>
      </c>
      <c r="B9407" t="s">
        <v>1316</v>
      </c>
      <c r="C9407" t="s">
        <v>12759</v>
      </c>
      <c r="D9407" t="s">
        <v>19035</v>
      </c>
      <c r="E9407" t="s">
        <v>27229</v>
      </c>
      <c r="F9407" t="s">
        <v>32831</v>
      </c>
      <c r="G9407" t="s">
        <v>32839</v>
      </c>
      <c r="H9407" t="s">
        <v>32849</v>
      </c>
      <c r="I9407" t="s">
        <v>4177</v>
      </c>
      <c r="J9407" t="s">
        <v>38804</v>
      </c>
      <c r="K9407" t="s">
        <v>42747</v>
      </c>
      <c r="M9407" t="s">
        <v>44387</v>
      </c>
      <c r="N9407" t="s">
        <v>47424</v>
      </c>
      <c r="O9407" t="s">
        <v>47425</v>
      </c>
      <c r="P9407">
        <v>0</v>
      </c>
      <c r="Q9407">
        <v>0</v>
      </c>
      <c r="R9407" t="s">
        <v>47433</v>
      </c>
      <c r="S9407" t="s">
        <v>47633</v>
      </c>
      <c r="T9407" t="s">
        <v>49159</v>
      </c>
      <c r="U9407" t="s">
        <v>57466</v>
      </c>
      <c r="W9407" t="s">
        <v>44387</v>
      </c>
      <c r="X9407" t="s">
        <v>47434</v>
      </c>
    </row>
    <row r="9408" spans="1:24">
      <c r="A9408">
        <f>HYPERLINK("https://www.philgeps.gov.ph/GEPSNONPILOT/Tender/SplashBidNoticeAbstractUI.aspx?menuIndex=3&amp;refID=7149564&amp;Result=3","7149564")</f>
        <v>0</v>
      </c>
      <c r="B9408" t="s">
        <v>767</v>
      </c>
      <c r="C9408" t="s">
        <v>12760</v>
      </c>
      <c r="D9408" t="s">
        <v>19077</v>
      </c>
      <c r="E9408" t="s">
        <v>19670</v>
      </c>
      <c r="F9408" t="s">
        <v>32831</v>
      </c>
      <c r="G9408" t="s">
        <v>32838</v>
      </c>
      <c r="H9408" t="s">
        <v>32848</v>
      </c>
      <c r="I9408" t="s">
        <v>32857</v>
      </c>
      <c r="J9408" t="s">
        <v>38805</v>
      </c>
      <c r="K9408" t="s">
        <v>42726</v>
      </c>
      <c r="M9408" t="s">
        <v>43796</v>
      </c>
      <c r="N9408" t="s">
        <v>47424</v>
      </c>
      <c r="O9408" t="s">
        <v>47425</v>
      </c>
      <c r="P9408">
        <v>0</v>
      </c>
      <c r="Q9408">
        <v>4</v>
      </c>
      <c r="R9408" t="s">
        <v>47433</v>
      </c>
      <c r="S9408" t="s">
        <v>47633</v>
      </c>
      <c r="T9408" t="s">
        <v>49235</v>
      </c>
      <c r="U9408" t="s">
        <v>51099</v>
      </c>
      <c r="W9408" t="s">
        <v>43796</v>
      </c>
      <c r="X9408" t="s">
        <v>47434</v>
      </c>
    </row>
    <row r="9409" spans="1:24">
      <c r="A9409">
        <f>HYPERLINK("https://www.philgeps.gov.ph/GEPSNONPILOT/Tender/SplashBidNoticeAbstractUI.aspx?menuIndex=3&amp;refID=7149598&amp;Result=3","7149598")</f>
        <v>0</v>
      </c>
      <c r="B9409" t="s">
        <v>3005</v>
      </c>
      <c r="C9409" t="s">
        <v>12761</v>
      </c>
      <c r="D9409" t="s">
        <v>19017</v>
      </c>
      <c r="E9409" t="s">
        <v>20585</v>
      </c>
      <c r="F9409" t="s">
        <v>32831</v>
      </c>
      <c r="G9409" t="s">
        <v>32839</v>
      </c>
      <c r="H9409" t="s">
        <v>32848</v>
      </c>
      <c r="I9409" t="s">
        <v>32858</v>
      </c>
      <c r="J9409" t="s">
        <v>38806</v>
      </c>
      <c r="K9409" t="s">
        <v>42758</v>
      </c>
      <c r="M9409" t="s">
        <v>46273</v>
      </c>
      <c r="N9409" t="s">
        <v>47424</v>
      </c>
      <c r="O9409" t="s">
        <v>47425</v>
      </c>
      <c r="P9409">
        <v>0</v>
      </c>
      <c r="Q9409">
        <v>6</v>
      </c>
      <c r="R9409" t="s">
        <v>47433</v>
      </c>
      <c r="S9409" t="s">
        <v>47633</v>
      </c>
      <c r="T9409" t="s">
        <v>49212</v>
      </c>
      <c r="U9409" t="s">
        <v>57467</v>
      </c>
      <c r="W9409" t="s">
        <v>46273</v>
      </c>
      <c r="X9409" t="s">
        <v>47434</v>
      </c>
    </row>
    <row r="9410" spans="1:24">
      <c r="A9410">
        <f>HYPERLINK("https://www.philgeps.gov.ph/GEPSNONPILOT/Tender/SplashBidNoticeAbstractUI.aspx?menuIndex=3&amp;refID=7149605&amp;Result=3","7149605")</f>
        <v>0</v>
      </c>
      <c r="B9410" t="s">
        <v>767</v>
      </c>
      <c r="C9410" t="s">
        <v>12762</v>
      </c>
      <c r="D9410" t="s">
        <v>19077</v>
      </c>
      <c r="E9410" t="s">
        <v>19863</v>
      </c>
      <c r="F9410" t="s">
        <v>32831</v>
      </c>
      <c r="G9410" t="s">
        <v>32838</v>
      </c>
      <c r="H9410" t="s">
        <v>32848</v>
      </c>
      <c r="I9410" t="s">
        <v>32861</v>
      </c>
      <c r="J9410" t="s">
        <v>33929</v>
      </c>
      <c r="K9410" t="s">
        <v>42730</v>
      </c>
      <c r="M9410" t="s">
        <v>43796</v>
      </c>
      <c r="N9410" t="s">
        <v>47424</v>
      </c>
      <c r="O9410" t="s">
        <v>47425</v>
      </c>
      <c r="P9410">
        <v>0</v>
      </c>
      <c r="Q9410">
        <v>5</v>
      </c>
      <c r="R9410" t="s">
        <v>47433</v>
      </c>
      <c r="S9410" t="s">
        <v>47633</v>
      </c>
      <c r="T9410" t="s">
        <v>49235</v>
      </c>
      <c r="U9410" t="s">
        <v>51099</v>
      </c>
      <c r="W9410" t="s">
        <v>43796</v>
      </c>
      <c r="X9410" t="s">
        <v>47434</v>
      </c>
    </row>
    <row r="9411" spans="1:24">
      <c r="A9411">
        <f>HYPERLINK("https://www.philgeps.gov.ph/GEPSNONPILOT/Tender/SplashBidNoticeAbstractUI.aspx?menuIndex=3&amp;refID=7149587&amp;Result=3","7149587")</f>
        <v>0</v>
      </c>
      <c r="B9411" t="s">
        <v>1736</v>
      </c>
      <c r="C9411" t="s">
        <v>12763</v>
      </c>
      <c r="D9411" t="s">
        <v>19054</v>
      </c>
      <c r="E9411" t="s">
        <v>27230</v>
      </c>
      <c r="F9411" t="s">
        <v>32831</v>
      </c>
      <c r="G9411" t="s">
        <v>32838</v>
      </c>
      <c r="H9411" t="s">
        <v>32848</v>
      </c>
      <c r="I9411" t="s">
        <v>32859</v>
      </c>
      <c r="J9411" t="s">
        <v>38807</v>
      </c>
      <c r="K9411" t="s">
        <v>42730</v>
      </c>
      <c r="L9411" t="s">
        <v>1736</v>
      </c>
      <c r="M9411" t="s">
        <v>44859</v>
      </c>
      <c r="N9411" t="s">
        <v>47424</v>
      </c>
      <c r="O9411" t="s">
        <v>47425</v>
      </c>
      <c r="P9411">
        <v>0</v>
      </c>
      <c r="Q9411">
        <v>1</v>
      </c>
      <c r="R9411" t="s">
        <v>47433</v>
      </c>
      <c r="S9411" t="s">
        <v>47633</v>
      </c>
      <c r="T9411" t="s">
        <v>49111</v>
      </c>
      <c r="U9411" t="s">
        <v>57468</v>
      </c>
      <c r="V9411" t="s">
        <v>63112</v>
      </c>
      <c r="W9411" t="s">
        <v>44859</v>
      </c>
      <c r="X9411" t="s">
        <v>47434</v>
      </c>
    </row>
    <row r="9412" spans="1:24">
      <c r="A9412">
        <f>HYPERLINK("https://www.philgeps.gov.ph/GEPSNONPILOT/Tender/SplashBidNoticeAbstractUI.aspx?menuIndex=3&amp;refID=7149599&amp;Result=3","7149599")</f>
        <v>0</v>
      </c>
      <c r="B9412" t="s">
        <v>3006</v>
      </c>
      <c r="C9412" t="s">
        <v>12764</v>
      </c>
      <c r="D9412" t="s">
        <v>19056</v>
      </c>
      <c r="E9412" t="s">
        <v>27231</v>
      </c>
      <c r="F9412" t="s">
        <v>32831</v>
      </c>
      <c r="G9412" t="s">
        <v>32839</v>
      </c>
      <c r="H9412" t="s">
        <v>32848</v>
      </c>
      <c r="I9412" t="s">
        <v>7751</v>
      </c>
      <c r="J9412" t="s">
        <v>33046</v>
      </c>
      <c r="K9412" t="s">
        <v>42732</v>
      </c>
      <c r="M9412" t="s">
        <v>46274</v>
      </c>
      <c r="N9412" t="s">
        <v>47424</v>
      </c>
      <c r="O9412" t="s">
        <v>47425</v>
      </c>
      <c r="P9412">
        <v>0</v>
      </c>
      <c r="Q9412">
        <v>4</v>
      </c>
      <c r="R9412" t="s">
        <v>47433</v>
      </c>
      <c r="S9412" t="s">
        <v>47633</v>
      </c>
      <c r="T9412" t="s">
        <v>49181</v>
      </c>
      <c r="U9412" t="s">
        <v>57469</v>
      </c>
      <c r="W9412" t="s">
        <v>46274</v>
      </c>
      <c r="X9412" t="s">
        <v>47434</v>
      </c>
    </row>
    <row r="9413" spans="1:24">
      <c r="A9413">
        <f>HYPERLINK("https://www.philgeps.gov.ph/GEPSNONPILOT/Tender/SplashBidNoticeAbstractUI.aspx?menuIndex=3&amp;refID=7149689&amp;Result=3","7149689")</f>
        <v>0</v>
      </c>
      <c r="B9413" t="s">
        <v>221</v>
      </c>
      <c r="C9413" t="s">
        <v>12765</v>
      </c>
      <c r="D9413" t="s">
        <v>19062</v>
      </c>
      <c r="E9413" t="s">
        <v>27232</v>
      </c>
      <c r="F9413" t="s">
        <v>32831</v>
      </c>
      <c r="G9413" t="s">
        <v>32838</v>
      </c>
      <c r="H9413" t="s">
        <v>14069</v>
      </c>
      <c r="I9413" t="s">
        <v>14069</v>
      </c>
      <c r="J9413" t="s">
        <v>38808</v>
      </c>
      <c r="K9413" t="s">
        <v>42732</v>
      </c>
      <c r="L9413" t="s">
        <v>221</v>
      </c>
      <c r="M9413" t="s">
        <v>46263</v>
      </c>
      <c r="N9413" t="s">
        <v>47424</v>
      </c>
      <c r="O9413" t="s">
        <v>47425</v>
      </c>
      <c r="P9413">
        <v>0</v>
      </c>
      <c r="Q9413">
        <v>1</v>
      </c>
      <c r="R9413" t="s">
        <v>47433</v>
      </c>
      <c r="S9413" t="s">
        <v>47633</v>
      </c>
      <c r="T9413" t="s">
        <v>49239</v>
      </c>
      <c r="U9413" t="s">
        <v>57459</v>
      </c>
      <c r="W9413" t="s">
        <v>46263</v>
      </c>
      <c r="X9413" t="s">
        <v>47434</v>
      </c>
    </row>
    <row r="9414" spans="1:24">
      <c r="A9414">
        <f>HYPERLINK("https://www.philgeps.gov.ph/GEPSNONPILOT/Tender/SplashBidNoticeAbstractUI.aspx?menuIndex=3&amp;refID=7149592&amp;Result=3","7149592")</f>
        <v>0</v>
      </c>
      <c r="B9414" t="s">
        <v>3007</v>
      </c>
      <c r="C9414" t="s">
        <v>12766</v>
      </c>
      <c r="D9414" t="s">
        <v>19034</v>
      </c>
      <c r="E9414" t="s">
        <v>19555</v>
      </c>
      <c r="F9414" t="s">
        <v>32831</v>
      </c>
      <c r="G9414" t="s">
        <v>32839</v>
      </c>
      <c r="H9414" t="s">
        <v>32848</v>
      </c>
      <c r="I9414" t="s">
        <v>7416</v>
      </c>
      <c r="J9414" t="s">
        <v>38809</v>
      </c>
      <c r="K9414" t="s">
        <v>42727</v>
      </c>
      <c r="M9414" t="s">
        <v>46275</v>
      </c>
      <c r="N9414" t="s">
        <v>47424</v>
      </c>
      <c r="O9414" t="s">
        <v>47425</v>
      </c>
      <c r="P9414">
        <v>0</v>
      </c>
      <c r="Q9414">
        <v>0</v>
      </c>
      <c r="R9414" t="s">
        <v>47433</v>
      </c>
      <c r="S9414" t="s">
        <v>47633</v>
      </c>
      <c r="T9414" t="s">
        <v>49061</v>
      </c>
      <c r="U9414" t="s">
        <v>57470</v>
      </c>
      <c r="W9414" t="s">
        <v>46275</v>
      </c>
      <c r="X9414" t="s">
        <v>47434</v>
      </c>
    </row>
    <row r="9415" spans="1:24">
      <c r="A9415">
        <f>HYPERLINK("https://www.philgeps.gov.ph/GEPSNONPILOT/Tender/SplashBidNoticeAbstractUI.aspx?menuIndex=3&amp;refID=7149682&amp;Result=3","7149682")</f>
        <v>0</v>
      </c>
      <c r="B9415" t="s">
        <v>2675</v>
      </c>
      <c r="C9415" t="s">
        <v>12767</v>
      </c>
      <c r="D9415" t="s">
        <v>19058</v>
      </c>
      <c r="E9415" t="s">
        <v>27233</v>
      </c>
      <c r="F9415" t="s">
        <v>32833</v>
      </c>
      <c r="G9415" t="s">
        <v>32839</v>
      </c>
      <c r="H9415" t="s">
        <v>32848</v>
      </c>
      <c r="I9415" t="s">
        <v>7416</v>
      </c>
      <c r="J9415" t="s">
        <v>38810</v>
      </c>
      <c r="K9415" t="s">
        <v>42730</v>
      </c>
      <c r="M9415" t="s">
        <v>46276</v>
      </c>
      <c r="N9415" t="s">
        <v>47424</v>
      </c>
      <c r="O9415" t="s">
        <v>47425</v>
      </c>
      <c r="P9415">
        <v>0</v>
      </c>
      <c r="Q9415">
        <v>0</v>
      </c>
      <c r="R9415" t="s">
        <v>47433</v>
      </c>
      <c r="S9415" t="s">
        <v>47633</v>
      </c>
      <c r="T9415" t="s">
        <v>49080</v>
      </c>
      <c r="U9415" t="s">
        <v>56297</v>
      </c>
      <c r="W9415" t="s">
        <v>46276</v>
      </c>
      <c r="X9415" t="s">
        <v>47434</v>
      </c>
    </row>
    <row r="9416" spans="1:24">
      <c r="A9416">
        <f>HYPERLINK("https://www.philgeps.gov.ph/GEPSNONPILOT/Tender/SplashBidNoticeAbstractUI.aspx?menuIndex=3&amp;refID=7149678&amp;Result=3","7149678")</f>
        <v>0</v>
      </c>
      <c r="B9416" t="s">
        <v>2998</v>
      </c>
      <c r="C9416" t="s">
        <v>12768</v>
      </c>
      <c r="D9416" t="s">
        <v>19025</v>
      </c>
      <c r="E9416" t="s">
        <v>27234</v>
      </c>
      <c r="F9416" t="s">
        <v>32831</v>
      </c>
      <c r="G9416" t="s">
        <v>32839</v>
      </c>
      <c r="H9416" t="s">
        <v>32848</v>
      </c>
      <c r="I9416" t="s">
        <v>32870</v>
      </c>
      <c r="J9416" t="s">
        <v>33692</v>
      </c>
      <c r="K9416" t="s">
        <v>42727</v>
      </c>
      <c r="M9416" t="s">
        <v>46265</v>
      </c>
      <c r="N9416" t="s">
        <v>47424</v>
      </c>
      <c r="O9416" t="s">
        <v>47425</v>
      </c>
      <c r="P9416">
        <v>0</v>
      </c>
      <c r="Q9416">
        <v>0</v>
      </c>
      <c r="R9416" t="s">
        <v>47433</v>
      </c>
      <c r="S9416" t="s">
        <v>47633</v>
      </c>
      <c r="T9416" t="s">
        <v>49163</v>
      </c>
      <c r="U9416" t="s">
        <v>57471</v>
      </c>
      <c r="W9416" t="s">
        <v>46265</v>
      </c>
      <c r="X9416" t="s">
        <v>47434</v>
      </c>
    </row>
    <row r="9417" spans="1:24">
      <c r="A9417">
        <f>HYPERLINK("https://www.philgeps.gov.ph/GEPSNONPILOT/Tender/SplashBidNoticeAbstractUI.aspx?menuIndex=3&amp;refID=7149596&amp;Result=3","7149596")</f>
        <v>0</v>
      </c>
      <c r="B9417" t="s">
        <v>221</v>
      </c>
      <c r="C9417" t="s">
        <v>12769</v>
      </c>
      <c r="D9417" t="s">
        <v>19022</v>
      </c>
      <c r="E9417" t="s">
        <v>27235</v>
      </c>
      <c r="F9417" t="s">
        <v>32831</v>
      </c>
      <c r="G9417" t="s">
        <v>32838</v>
      </c>
      <c r="H9417" t="s">
        <v>14069</v>
      </c>
      <c r="I9417" t="s">
        <v>14069</v>
      </c>
      <c r="J9417" t="s">
        <v>38811</v>
      </c>
      <c r="K9417" t="s">
        <v>42732</v>
      </c>
      <c r="L9417" t="s">
        <v>221</v>
      </c>
      <c r="M9417" t="s">
        <v>46263</v>
      </c>
      <c r="N9417" t="s">
        <v>47424</v>
      </c>
      <c r="O9417" t="s">
        <v>47425</v>
      </c>
      <c r="P9417">
        <v>0</v>
      </c>
      <c r="Q9417">
        <v>0</v>
      </c>
      <c r="R9417" t="s">
        <v>47433</v>
      </c>
      <c r="S9417" t="s">
        <v>47633</v>
      </c>
      <c r="T9417" t="s">
        <v>49239</v>
      </c>
      <c r="U9417" t="s">
        <v>57459</v>
      </c>
      <c r="W9417" t="s">
        <v>46263</v>
      </c>
      <c r="X9417" t="s">
        <v>47434</v>
      </c>
    </row>
    <row r="9418" spans="1:24">
      <c r="A9418">
        <f>HYPERLINK("https://www.philgeps.gov.ph/GEPSNONPILOT/Tender/SplashBidNoticeAbstractUI.aspx?menuIndex=3&amp;refID=7149588&amp;Result=3","7149588")</f>
        <v>0</v>
      </c>
      <c r="B9418" t="s">
        <v>958</v>
      </c>
      <c r="C9418" t="s">
        <v>12770</v>
      </c>
      <c r="D9418" t="s">
        <v>19102</v>
      </c>
      <c r="E9418" t="s">
        <v>27236</v>
      </c>
      <c r="F9418" t="s">
        <v>32831</v>
      </c>
      <c r="G9418" t="s">
        <v>32839</v>
      </c>
      <c r="H9418" t="s">
        <v>32848</v>
      </c>
      <c r="I9418" t="s">
        <v>4222</v>
      </c>
      <c r="J9418" t="s">
        <v>38812</v>
      </c>
      <c r="K9418" t="s">
        <v>42732</v>
      </c>
      <c r="M9418" t="s">
        <v>46267</v>
      </c>
      <c r="N9418" t="s">
        <v>47424</v>
      </c>
      <c r="O9418" t="s">
        <v>47425</v>
      </c>
      <c r="Q9418">
        <v>3</v>
      </c>
      <c r="R9418" t="s">
        <v>47433</v>
      </c>
      <c r="S9418" t="s">
        <v>47642</v>
      </c>
      <c r="T9418" t="s">
        <v>49302</v>
      </c>
      <c r="U9418" t="s">
        <v>57472</v>
      </c>
      <c r="W9418" t="s">
        <v>46267</v>
      </c>
      <c r="X9418" t="s">
        <v>47434</v>
      </c>
    </row>
    <row r="9419" spans="1:24">
      <c r="A9419">
        <f>HYPERLINK("https://www.philgeps.gov.ph/GEPSNONPILOT/Tender/SplashBidNoticeAbstractUI.aspx?menuIndex=3&amp;refID=7149667&amp;Result=3","7149667")</f>
        <v>0</v>
      </c>
      <c r="B9419" t="s">
        <v>3008</v>
      </c>
      <c r="C9419" t="s">
        <v>12771</v>
      </c>
      <c r="D9419" t="s">
        <v>19061</v>
      </c>
      <c r="E9419" t="s">
        <v>27237</v>
      </c>
      <c r="F9419" t="s">
        <v>32831</v>
      </c>
      <c r="G9419" t="s">
        <v>32839</v>
      </c>
      <c r="H9419" t="s">
        <v>32848</v>
      </c>
      <c r="I9419" t="s">
        <v>32882</v>
      </c>
      <c r="J9419" t="s">
        <v>33771</v>
      </c>
      <c r="K9419" t="s">
        <v>42732</v>
      </c>
      <c r="M9419" t="s">
        <v>46277</v>
      </c>
      <c r="N9419" t="s">
        <v>47424</v>
      </c>
      <c r="O9419" t="s">
        <v>47425</v>
      </c>
      <c r="P9419">
        <v>0</v>
      </c>
      <c r="Q9419">
        <v>0</v>
      </c>
      <c r="R9419" t="s">
        <v>47433</v>
      </c>
      <c r="S9419" t="s">
        <v>47633</v>
      </c>
      <c r="T9419" t="s">
        <v>49166</v>
      </c>
      <c r="U9419" t="s">
        <v>57473</v>
      </c>
      <c r="W9419" t="s">
        <v>46277</v>
      </c>
      <c r="X9419" t="s">
        <v>47434</v>
      </c>
    </row>
    <row r="9420" spans="1:24">
      <c r="A9420">
        <f>HYPERLINK("https://www.philgeps.gov.ph/GEPSNONPILOT/Tender/SplashBidNoticeAbstractUI.aspx?menuIndex=3&amp;refID=7149663&amp;Result=3","7149663")</f>
        <v>0</v>
      </c>
      <c r="B9420" t="s">
        <v>3009</v>
      </c>
      <c r="C9420" t="s">
        <v>4775</v>
      </c>
      <c r="D9420" t="s">
        <v>19079</v>
      </c>
      <c r="E9420" t="s">
        <v>20152</v>
      </c>
      <c r="F9420" t="s">
        <v>32831</v>
      </c>
      <c r="G9420" t="s">
        <v>32839</v>
      </c>
      <c r="H9420" t="s">
        <v>32849</v>
      </c>
      <c r="I9420" t="s">
        <v>4177</v>
      </c>
      <c r="J9420" t="s">
        <v>34112</v>
      </c>
      <c r="K9420" t="s">
        <v>42728</v>
      </c>
      <c r="M9420" t="s">
        <v>46278</v>
      </c>
      <c r="N9420" t="s">
        <v>47424</v>
      </c>
      <c r="O9420" t="s">
        <v>47425</v>
      </c>
      <c r="P9420">
        <v>0</v>
      </c>
      <c r="Q9420">
        <v>0</v>
      </c>
      <c r="R9420" t="s">
        <v>47433</v>
      </c>
      <c r="S9420" t="s">
        <v>47633</v>
      </c>
      <c r="T9420" t="s">
        <v>49173</v>
      </c>
      <c r="U9420" t="s">
        <v>57474</v>
      </c>
      <c r="W9420" t="s">
        <v>46278</v>
      </c>
      <c r="X9420" t="s">
        <v>47434</v>
      </c>
    </row>
    <row r="9421" spans="1:24">
      <c r="A9421">
        <f>HYPERLINK("https://www.philgeps.gov.ph/GEPSNONPILOT/Tender/SplashBidNoticeAbstractUI.aspx?menuIndex=3&amp;refID=7149669&amp;Result=3","7149669")</f>
        <v>0</v>
      </c>
      <c r="B9421" t="s">
        <v>221</v>
      </c>
      <c r="C9421" t="s">
        <v>12772</v>
      </c>
      <c r="D9421" t="s">
        <v>19022</v>
      </c>
      <c r="E9421" t="s">
        <v>27238</v>
      </c>
      <c r="F9421" t="s">
        <v>32831</v>
      </c>
      <c r="G9421" t="s">
        <v>32838</v>
      </c>
      <c r="H9421" t="s">
        <v>14069</v>
      </c>
      <c r="I9421" t="s">
        <v>14069</v>
      </c>
      <c r="J9421" t="s">
        <v>38813</v>
      </c>
      <c r="K9421" t="s">
        <v>42732</v>
      </c>
      <c r="L9421" t="s">
        <v>221</v>
      </c>
      <c r="M9421" t="s">
        <v>46263</v>
      </c>
      <c r="N9421" t="s">
        <v>47424</v>
      </c>
      <c r="O9421" t="s">
        <v>47425</v>
      </c>
      <c r="P9421">
        <v>0</v>
      </c>
      <c r="Q9421">
        <v>0</v>
      </c>
      <c r="R9421" t="s">
        <v>47433</v>
      </c>
      <c r="S9421" t="s">
        <v>47633</v>
      </c>
      <c r="T9421" t="s">
        <v>49239</v>
      </c>
      <c r="U9421" t="s">
        <v>57459</v>
      </c>
      <c r="W9421" t="s">
        <v>46263</v>
      </c>
      <c r="X9421" t="s">
        <v>47434</v>
      </c>
    </row>
    <row r="9422" spans="1:24">
      <c r="A9422">
        <f>HYPERLINK("https://www.philgeps.gov.ph/GEPSNONPILOT/Tender/SplashBidNoticeAbstractUI.aspx?menuIndex=3&amp;refID=7149656&amp;Result=3","7149656")</f>
        <v>0</v>
      </c>
      <c r="B9422" t="s">
        <v>221</v>
      </c>
      <c r="C9422" t="s">
        <v>12773</v>
      </c>
      <c r="D9422" t="s">
        <v>19062</v>
      </c>
      <c r="E9422" t="s">
        <v>27239</v>
      </c>
      <c r="F9422" t="s">
        <v>32831</v>
      </c>
      <c r="G9422" t="s">
        <v>32838</v>
      </c>
      <c r="H9422" t="s">
        <v>14069</v>
      </c>
      <c r="I9422" t="s">
        <v>14069</v>
      </c>
      <c r="J9422" t="s">
        <v>38814</v>
      </c>
      <c r="K9422" t="s">
        <v>42732</v>
      </c>
      <c r="L9422" t="s">
        <v>221</v>
      </c>
      <c r="M9422" t="s">
        <v>46263</v>
      </c>
      <c r="N9422" t="s">
        <v>47424</v>
      </c>
      <c r="O9422" t="s">
        <v>47425</v>
      </c>
      <c r="P9422">
        <v>0</v>
      </c>
      <c r="Q9422">
        <v>0</v>
      </c>
      <c r="R9422" t="s">
        <v>47433</v>
      </c>
      <c r="S9422" t="s">
        <v>47633</v>
      </c>
      <c r="T9422" t="s">
        <v>49239</v>
      </c>
      <c r="U9422" t="s">
        <v>57459</v>
      </c>
      <c r="W9422" t="s">
        <v>46263</v>
      </c>
      <c r="X9422" t="s">
        <v>47434</v>
      </c>
    </row>
    <row r="9423" spans="1:24">
      <c r="A9423">
        <f>HYPERLINK("https://www.philgeps.gov.ph/GEPSNONPILOT/Tender/SplashBidNoticeAbstractUI.aspx?menuIndex=3&amp;refID=7149655&amp;Result=3","7149655")</f>
        <v>0</v>
      </c>
      <c r="B9423" t="s">
        <v>3010</v>
      </c>
      <c r="C9423" t="s">
        <v>4859</v>
      </c>
      <c r="D9423" t="s">
        <v>19017</v>
      </c>
      <c r="E9423" t="s">
        <v>27240</v>
      </c>
      <c r="F9423" t="s">
        <v>32831</v>
      </c>
      <c r="G9423" t="s">
        <v>32839</v>
      </c>
      <c r="H9423" t="s">
        <v>32848</v>
      </c>
      <c r="I9423" t="s">
        <v>9577</v>
      </c>
      <c r="J9423" t="s">
        <v>38815</v>
      </c>
      <c r="K9423" t="s">
        <v>42732</v>
      </c>
      <c r="M9423" t="s">
        <v>46279</v>
      </c>
      <c r="N9423" t="s">
        <v>47424</v>
      </c>
      <c r="O9423" t="s">
        <v>47425</v>
      </c>
      <c r="P9423">
        <v>0</v>
      </c>
      <c r="Q9423">
        <v>2</v>
      </c>
      <c r="R9423" t="s">
        <v>47433</v>
      </c>
      <c r="S9423" t="s">
        <v>47633</v>
      </c>
      <c r="T9423" t="s">
        <v>49212</v>
      </c>
      <c r="U9423" t="s">
        <v>57475</v>
      </c>
      <c r="W9423" t="s">
        <v>46279</v>
      </c>
      <c r="X9423" t="s">
        <v>47434</v>
      </c>
    </row>
    <row r="9424" spans="1:24">
      <c r="A9424">
        <f>HYPERLINK("https://www.philgeps.gov.ph/GEPSNONPILOT/Tender/SplashBidNoticeAbstractUI.aspx?menuIndex=3&amp;refID=7149637&amp;Result=3","7149637")</f>
        <v>0</v>
      </c>
      <c r="B9424" t="s">
        <v>2998</v>
      </c>
      <c r="C9424" t="s">
        <v>12774</v>
      </c>
      <c r="D9424" t="s">
        <v>19025</v>
      </c>
      <c r="E9424" t="s">
        <v>27241</v>
      </c>
      <c r="F9424" t="s">
        <v>32831</v>
      </c>
      <c r="G9424" t="s">
        <v>32839</v>
      </c>
      <c r="H9424" t="s">
        <v>32848</v>
      </c>
      <c r="I9424" t="s">
        <v>7751</v>
      </c>
      <c r="J9424" t="s">
        <v>33118</v>
      </c>
      <c r="K9424" t="s">
        <v>42730</v>
      </c>
      <c r="M9424" t="s">
        <v>46265</v>
      </c>
      <c r="N9424" t="s">
        <v>47424</v>
      </c>
      <c r="O9424" t="s">
        <v>47425</v>
      </c>
      <c r="P9424">
        <v>0</v>
      </c>
      <c r="Q9424">
        <v>1</v>
      </c>
      <c r="R9424" t="s">
        <v>47433</v>
      </c>
      <c r="S9424" t="s">
        <v>47633</v>
      </c>
      <c r="T9424" t="s">
        <v>49163</v>
      </c>
      <c r="U9424" t="s">
        <v>57476</v>
      </c>
      <c r="W9424" t="s">
        <v>46265</v>
      </c>
      <c r="X9424" t="s">
        <v>47434</v>
      </c>
    </row>
    <row r="9425" spans="1:24">
      <c r="A9425">
        <f>HYPERLINK("https://www.philgeps.gov.ph/GEPSNONPILOT/Tender/SplashBidNoticeAbstractUI.aspx?menuIndex=3&amp;refID=7149652&amp;Result=3","7149652")</f>
        <v>0</v>
      </c>
      <c r="B9425" t="s">
        <v>956</v>
      </c>
      <c r="C9425" t="s">
        <v>12775</v>
      </c>
      <c r="D9425" t="s">
        <v>19038</v>
      </c>
      <c r="E9425" t="s">
        <v>27242</v>
      </c>
      <c r="F9425" t="s">
        <v>32831</v>
      </c>
      <c r="G9425" t="s">
        <v>32839</v>
      </c>
      <c r="H9425" t="s">
        <v>32848</v>
      </c>
      <c r="I9425" t="s">
        <v>32857</v>
      </c>
      <c r="J9425" t="s">
        <v>38816</v>
      </c>
      <c r="K9425" t="s">
        <v>42732</v>
      </c>
      <c r="M9425" t="s">
        <v>44002</v>
      </c>
      <c r="N9425" t="s">
        <v>47424</v>
      </c>
      <c r="O9425" t="s">
        <v>47425</v>
      </c>
      <c r="P9425">
        <v>0</v>
      </c>
      <c r="Q9425">
        <v>11</v>
      </c>
      <c r="R9425" t="s">
        <v>47433</v>
      </c>
      <c r="S9425" t="s">
        <v>47633</v>
      </c>
      <c r="T9425" t="s">
        <v>49534</v>
      </c>
      <c r="U9425" t="s">
        <v>57477</v>
      </c>
      <c r="V9425" t="s">
        <v>62833</v>
      </c>
      <c r="W9425" t="s">
        <v>44002</v>
      </c>
      <c r="X9425" t="s">
        <v>47434</v>
      </c>
    </row>
    <row r="9426" spans="1:24">
      <c r="A9426">
        <f>HYPERLINK("https://www.philgeps.gov.ph/GEPSNONPILOT/Tender/SplashBidNoticeAbstractUI.aspx?menuIndex=3&amp;refID=7149627&amp;Result=3","7149627")</f>
        <v>0</v>
      </c>
      <c r="B9426" t="s">
        <v>2733</v>
      </c>
      <c r="C9426" t="s">
        <v>12776</v>
      </c>
      <c r="D9426" t="s">
        <v>19034</v>
      </c>
      <c r="E9426" t="s">
        <v>27243</v>
      </c>
      <c r="F9426" t="s">
        <v>32833</v>
      </c>
      <c r="G9426" t="s">
        <v>32840</v>
      </c>
      <c r="H9426" t="s">
        <v>32848</v>
      </c>
      <c r="I9426" t="s">
        <v>32870</v>
      </c>
      <c r="J9426" t="s">
        <v>38817</v>
      </c>
      <c r="K9426" t="s">
        <v>42731</v>
      </c>
      <c r="M9426" t="s">
        <v>45960</v>
      </c>
      <c r="N9426" t="s">
        <v>47424</v>
      </c>
      <c r="O9426" t="s">
        <v>47425</v>
      </c>
      <c r="P9426">
        <v>0</v>
      </c>
      <c r="Q9426">
        <v>0</v>
      </c>
      <c r="R9426" t="s">
        <v>47433</v>
      </c>
      <c r="S9426" t="s">
        <v>47633</v>
      </c>
      <c r="T9426" t="s">
        <v>49080</v>
      </c>
      <c r="U9426" t="s">
        <v>57478</v>
      </c>
      <c r="W9426" t="s">
        <v>45960</v>
      </c>
      <c r="X9426" t="s">
        <v>47434</v>
      </c>
    </row>
    <row r="9427" spans="1:24">
      <c r="A9427">
        <f>HYPERLINK("https://www.philgeps.gov.ph/GEPSNONPILOT/Tender/SplashBidNoticeAbstractUI.aspx?menuIndex=3&amp;refID=7149662&amp;Result=3","7149662")</f>
        <v>0</v>
      </c>
      <c r="B9427" t="s">
        <v>3011</v>
      </c>
      <c r="C9427" t="s">
        <v>12777</v>
      </c>
      <c r="D9427" t="s">
        <v>19028</v>
      </c>
      <c r="E9427" t="s">
        <v>27244</v>
      </c>
      <c r="F9427" t="s">
        <v>32831</v>
      </c>
      <c r="G9427" t="s">
        <v>32839</v>
      </c>
      <c r="H9427" t="s">
        <v>32848</v>
      </c>
      <c r="I9427" t="s">
        <v>32883</v>
      </c>
      <c r="J9427" t="s">
        <v>38818</v>
      </c>
      <c r="K9427" t="s">
        <v>42729</v>
      </c>
      <c r="M9427" t="s">
        <v>46280</v>
      </c>
      <c r="N9427" t="s">
        <v>47424</v>
      </c>
      <c r="O9427" t="s">
        <v>47425</v>
      </c>
      <c r="P9427">
        <v>0</v>
      </c>
      <c r="Q9427">
        <v>2</v>
      </c>
      <c r="R9427" t="s">
        <v>47433</v>
      </c>
      <c r="S9427" t="s">
        <v>47633</v>
      </c>
      <c r="T9427" t="s">
        <v>49415</v>
      </c>
      <c r="U9427" t="s">
        <v>57479</v>
      </c>
      <c r="W9427" t="s">
        <v>46280</v>
      </c>
      <c r="X9427" t="s">
        <v>47434</v>
      </c>
    </row>
    <row r="9428" spans="1:24">
      <c r="A9428">
        <f>HYPERLINK("https://www.philgeps.gov.ph/GEPSNONPILOT/Tender/SplashBidNoticeAbstractUI.aspx?menuIndex=3&amp;refID=7149623&amp;Result=3","7149623")</f>
        <v>0</v>
      </c>
      <c r="B9428" t="s">
        <v>192</v>
      </c>
      <c r="C9428" t="s">
        <v>12778</v>
      </c>
      <c r="D9428" t="s">
        <v>19057</v>
      </c>
      <c r="E9428" t="s">
        <v>27245</v>
      </c>
      <c r="F9428" t="s">
        <v>32831</v>
      </c>
      <c r="G9428" t="s">
        <v>32838</v>
      </c>
      <c r="H9428" t="s">
        <v>32848</v>
      </c>
      <c r="I9428" t="s">
        <v>32860</v>
      </c>
      <c r="J9428" t="s">
        <v>38819</v>
      </c>
      <c r="K9428" t="s">
        <v>42730</v>
      </c>
      <c r="M9428" t="s">
        <v>43190</v>
      </c>
      <c r="N9428" t="s">
        <v>47424</v>
      </c>
      <c r="O9428" t="s">
        <v>47425</v>
      </c>
      <c r="P9428">
        <v>0</v>
      </c>
      <c r="Q9428">
        <v>6</v>
      </c>
      <c r="R9428" t="s">
        <v>47433</v>
      </c>
      <c r="S9428" t="s">
        <v>47633</v>
      </c>
      <c r="T9428" t="s">
        <v>49163</v>
      </c>
      <c r="U9428" t="s">
        <v>57480</v>
      </c>
      <c r="W9428" t="s">
        <v>43190</v>
      </c>
      <c r="X9428" t="s">
        <v>47434</v>
      </c>
    </row>
    <row r="9429" spans="1:24">
      <c r="A9429">
        <f>HYPERLINK("https://www.philgeps.gov.ph/GEPSNONPILOT/Tender/SplashBidNoticeAbstractUI.aspx?menuIndex=3&amp;refID=7149679&amp;Result=3","7149679")</f>
        <v>0</v>
      </c>
      <c r="B9429" t="s">
        <v>827</v>
      </c>
      <c r="C9429" t="s">
        <v>12779</v>
      </c>
      <c r="D9429" t="s">
        <v>19026</v>
      </c>
      <c r="E9429" t="s">
        <v>27246</v>
      </c>
      <c r="F9429" t="s">
        <v>32831</v>
      </c>
      <c r="G9429" t="s">
        <v>32838</v>
      </c>
      <c r="H9429" t="s">
        <v>32848</v>
      </c>
      <c r="I9429" t="s">
        <v>32874</v>
      </c>
      <c r="J9429" t="s">
        <v>38820</v>
      </c>
      <c r="K9429" t="s">
        <v>42727</v>
      </c>
      <c r="L9429" t="s">
        <v>827</v>
      </c>
      <c r="M9429" t="s">
        <v>46281</v>
      </c>
      <c r="N9429" t="s">
        <v>47424</v>
      </c>
      <c r="O9429" t="s">
        <v>47425</v>
      </c>
      <c r="P9429">
        <v>0</v>
      </c>
      <c r="Q9429">
        <v>14</v>
      </c>
      <c r="R9429" t="s">
        <v>47433</v>
      </c>
      <c r="S9429" t="s">
        <v>47633</v>
      </c>
      <c r="T9429" t="s">
        <v>49111</v>
      </c>
      <c r="U9429" t="s">
        <v>57481</v>
      </c>
      <c r="W9429" t="s">
        <v>46281</v>
      </c>
      <c r="X9429" t="s">
        <v>47434</v>
      </c>
    </row>
    <row r="9430" spans="1:24">
      <c r="A9430">
        <f>HYPERLINK("https://www.philgeps.gov.ph/GEPSNONPILOT/Tender/SplashBidNoticeAbstractUI.aspx?menuIndex=3&amp;refID=7149614&amp;Result=3","7149614")</f>
        <v>0</v>
      </c>
      <c r="B9430" t="s">
        <v>1770</v>
      </c>
      <c r="C9430" t="s">
        <v>12780</v>
      </c>
      <c r="D9430" t="s">
        <v>19058</v>
      </c>
      <c r="E9430" t="s">
        <v>27247</v>
      </c>
      <c r="F9430" t="s">
        <v>32831</v>
      </c>
      <c r="G9430" t="s">
        <v>32839</v>
      </c>
      <c r="H9430" t="s">
        <v>32848</v>
      </c>
      <c r="I9430" t="s">
        <v>32855</v>
      </c>
      <c r="J9430" t="s">
        <v>38821</v>
      </c>
      <c r="K9430" t="s">
        <v>42750</v>
      </c>
      <c r="M9430" t="s">
        <v>44895</v>
      </c>
      <c r="N9430" t="s">
        <v>47424</v>
      </c>
      <c r="O9430" t="s">
        <v>47425</v>
      </c>
      <c r="P9430">
        <v>0</v>
      </c>
      <c r="Q9430">
        <v>0</v>
      </c>
      <c r="R9430" t="s">
        <v>47433</v>
      </c>
      <c r="S9430" t="s">
        <v>47633</v>
      </c>
      <c r="T9430" t="s">
        <v>49080</v>
      </c>
      <c r="U9430" t="s">
        <v>57482</v>
      </c>
      <c r="W9430" t="s">
        <v>44895</v>
      </c>
      <c r="X9430" t="s">
        <v>47434</v>
      </c>
    </row>
    <row r="9431" spans="1:24">
      <c r="A9431">
        <f>HYPERLINK("https://www.philgeps.gov.ph/GEPSNONPILOT/Tender/SplashBidNoticeAbstractUI.aspx?menuIndex=3&amp;refID=7149580&amp;Result=3","7149580")</f>
        <v>0</v>
      </c>
      <c r="B9431" t="s">
        <v>767</v>
      </c>
      <c r="C9431" t="s">
        <v>12781</v>
      </c>
      <c r="D9431" t="s">
        <v>19077</v>
      </c>
      <c r="E9431" t="s">
        <v>19865</v>
      </c>
      <c r="F9431" t="s">
        <v>32831</v>
      </c>
      <c r="G9431" t="s">
        <v>32838</v>
      </c>
      <c r="H9431" t="s">
        <v>32848</v>
      </c>
      <c r="I9431" t="s">
        <v>32857</v>
      </c>
      <c r="J9431" t="s">
        <v>33044</v>
      </c>
      <c r="K9431" t="s">
        <v>42726</v>
      </c>
      <c r="M9431" t="s">
        <v>43796</v>
      </c>
      <c r="N9431" t="s">
        <v>47424</v>
      </c>
      <c r="O9431" t="s">
        <v>47425</v>
      </c>
      <c r="P9431">
        <v>0</v>
      </c>
      <c r="Q9431">
        <v>22</v>
      </c>
      <c r="R9431" t="s">
        <v>47433</v>
      </c>
      <c r="S9431" t="s">
        <v>47633</v>
      </c>
      <c r="T9431" t="s">
        <v>49235</v>
      </c>
      <c r="U9431" t="s">
        <v>51099</v>
      </c>
      <c r="W9431" t="s">
        <v>43796</v>
      </c>
      <c r="X9431" t="s">
        <v>47434</v>
      </c>
    </row>
    <row r="9432" spans="1:24">
      <c r="A9432">
        <f>HYPERLINK("https://www.philgeps.gov.ph/GEPSNONPILOT/Tender/SplashBidNoticeAbstractUI.aspx?menuIndex=3&amp;refID=7149629&amp;Result=3","7149629")</f>
        <v>0</v>
      </c>
      <c r="B9432" t="s">
        <v>221</v>
      </c>
      <c r="C9432" t="s">
        <v>12782</v>
      </c>
      <c r="D9432" t="s">
        <v>19062</v>
      </c>
      <c r="E9432" t="s">
        <v>27248</v>
      </c>
      <c r="F9432" t="s">
        <v>32831</v>
      </c>
      <c r="G9432" t="s">
        <v>32838</v>
      </c>
      <c r="H9432" t="s">
        <v>14069</v>
      </c>
      <c r="I9432" t="s">
        <v>14069</v>
      </c>
      <c r="J9432" t="s">
        <v>38822</v>
      </c>
      <c r="K9432" t="s">
        <v>42732</v>
      </c>
      <c r="L9432" t="s">
        <v>221</v>
      </c>
      <c r="M9432" t="s">
        <v>46263</v>
      </c>
      <c r="N9432" t="s">
        <v>47424</v>
      </c>
      <c r="O9432" t="s">
        <v>47425</v>
      </c>
      <c r="P9432">
        <v>0</v>
      </c>
      <c r="Q9432">
        <v>0</v>
      </c>
      <c r="R9432" t="s">
        <v>47433</v>
      </c>
      <c r="S9432" t="s">
        <v>47633</v>
      </c>
      <c r="T9432" t="s">
        <v>49239</v>
      </c>
      <c r="U9432" t="s">
        <v>57459</v>
      </c>
      <c r="W9432" t="s">
        <v>46263</v>
      </c>
      <c r="X9432" t="s">
        <v>47434</v>
      </c>
    </row>
    <row r="9433" spans="1:24">
      <c r="A9433">
        <f>HYPERLINK("https://www.philgeps.gov.ph/GEPSNONPILOT/Tender/SplashBidNoticeAbstractUI.aspx?menuIndex=3&amp;refID=7149691&amp;Result=3","7149691")</f>
        <v>0</v>
      </c>
      <c r="B9433" t="s">
        <v>1770</v>
      </c>
      <c r="C9433" t="s">
        <v>12783</v>
      </c>
      <c r="D9433" t="s">
        <v>19058</v>
      </c>
      <c r="E9433" t="s">
        <v>27249</v>
      </c>
      <c r="F9433" t="s">
        <v>32831</v>
      </c>
      <c r="G9433" t="s">
        <v>32839</v>
      </c>
      <c r="H9433" t="s">
        <v>32848</v>
      </c>
      <c r="I9433" t="s">
        <v>4471</v>
      </c>
      <c r="J9433" t="s">
        <v>38823</v>
      </c>
      <c r="K9433" t="s">
        <v>42750</v>
      </c>
      <c r="M9433" t="s">
        <v>44895</v>
      </c>
      <c r="N9433" t="s">
        <v>47424</v>
      </c>
      <c r="O9433" t="s">
        <v>47425</v>
      </c>
      <c r="P9433">
        <v>0</v>
      </c>
      <c r="Q9433">
        <v>1</v>
      </c>
      <c r="R9433" t="s">
        <v>47433</v>
      </c>
      <c r="S9433" t="s">
        <v>47633</v>
      </c>
      <c r="T9433" t="s">
        <v>49080</v>
      </c>
      <c r="U9433" t="s">
        <v>57483</v>
      </c>
      <c r="W9433" t="s">
        <v>44895</v>
      </c>
      <c r="X9433" t="s">
        <v>47434</v>
      </c>
    </row>
    <row r="9434" spans="1:24">
      <c r="A9434">
        <f>HYPERLINK("https://www.philgeps.gov.ph/GEPSNONPILOT/Tender/SplashBidNoticeAbstractUI.aspx?menuIndex=3&amp;refID=7149621&amp;Result=3","7149621")</f>
        <v>0</v>
      </c>
      <c r="B9434" t="s">
        <v>862</v>
      </c>
      <c r="C9434" t="s">
        <v>12784</v>
      </c>
      <c r="D9434" t="s">
        <v>19074</v>
      </c>
      <c r="E9434" t="s">
        <v>27250</v>
      </c>
      <c r="F9434" t="s">
        <v>32831</v>
      </c>
      <c r="G9434" t="s">
        <v>32839</v>
      </c>
      <c r="H9434" t="s">
        <v>32849</v>
      </c>
      <c r="I9434" t="s">
        <v>4177</v>
      </c>
      <c r="J9434" t="s">
        <v>38824</v>
      </c>
      <c r="K9434" t="s">
        <v>42763</v>
      </c>
      <c r="M9434" t="s">
        <v>43896</v>
      </c>
      <c r="N9434" t="s">
        <v>47424</v>
      </c>
      <c r="O9434" t="s">
        <v>47425</v>
      </c>
      <c r="P9434">
        <v>0</v>
      </c>
      <c r="Q9434">
        <v>0</v>
      </c>
      <c r="R9434" t="s">
        <v>47433</v>
      </c>
      <c r="S9434" t="s">
        <v>47633</v>
      </c>
      <c r="T9434" t="s">
        <v>49173</v>
      </c>
      <c r="U9434" t="s">
        <v>51270</v>
      </c>
      <c r="W9434" t="s">
        <v>43896</v>
      </c>
      <c r="X9434" t="s">
        <v>47434</v>
      </c>
    </row>
    <row r="9435" spans="1:24">
      <c r="A9435">
        <f>HYPERLINK("https://www.philgeps.gov.ph/GEPSNONPILOT/Tender/SplashBidNoticeAbstractUI.aspx?menuIndex=3&amp;refID=7149579&amp;Result=3","7149579")</f>
        <v>0</v>
      </c>
      <c r="B9435" t="s">
        <v>2998</v>
      </c>
      <c r="C9435" t="s">
        <v>12785</v>
      </c>
      <c r="D9435" t="s">
        <v>19025</v>
      </c>
      <c r="E9435" t="s">
        <v>20673</v>
      </c>
      <c r="F9435" t="s">
        <v>32831</v>
      </c>
      <c r="G9435" t="s">
        <v>32839</v>
      </c>
      <c r="H9435" t="s">
        <v>32848</v>
      </c>
      <c r="I9435" t="s">
        <v>7751</v>
      </c>
      <c r="J9435" t="s">
        <v>33044</v>
      </c>
      <c r="K9435" t="s">
        <v>42730</v>
      </c>
      <c r="M9435" t="s">
        <v>46265</v>
      </c>
      <c r="N9435" t="s">
        <v>47424</v>
      </c>
      <c r="O9435" t="s">
        <v>47425</v>
      </c>
      <c r="P9435">
        <v>0</v>
      </c>
      <c r="Q9435">
        <v>0</v>
      </c>
      <c r="R9435" t="s">
        <v>47433</v>
      </c>
      <c r="S9435" t="s">
        <v>47633</v>
      </c>
      <c r="T9435" t="s">
        <v>49163</v>
      </c>
      <c r="U9435" t="s">
        <v>57484</v>
      </c>
      <c r="W9435" t="s">
        <v>46265</v>
      </c>
      <c r="X9435" t="s">
        <v>47434</v>
      </c>
    </row>
    <row r="9436" spans="1:24">
      <c r="A9436">
        <f>HYPERLINK("https://www.philgeps.gov.ph/GEPSNONPILOT/Tender/SplashBidNoticeAbstractUI.aspx?menuIndex=3&amp;refID=7149768&amp;Result=3","7149768")</f>
        <v>0</v>
      </c>
      <c r="B9436" t="s">
        <v>214</v>
      </c>
      <c r="C9436" t="s">
        <v>12786</v>
      </c>
      <c r="D9436" t="s">
        <v>19047</v>
      </c>
      <c r="E9436" t="s">
        <v>27251</v>
      </c>
      <c r="F9436" t="s">
        <v>32831</v>
      </c>
      <c r="G9436" t="s">
        <v>32839</v>
      </c>
      <c r="H9436" t="s">
        <v>32848</v>
      </c>
      <c r="I9436" t="s">
        <v>4558</v>
      </c>
      <c r="J9436" t="s">
        <v>38825</v>
      </c>
      <c r="K9436" t="s">
        <v>42726</v>
      </c>
      <c r="M9436" t="s">
        <v>43890</v>
      </c>
      <c r="N9436" t="s">
        <v>47424</v>
      </c>
      <c r="O9436" t="s">
        <v>47425</v>
      </c>
      <c r="P9436">
        <v>0</v>
      </c>
      <c r="Q9436">
        <v>2</v>
      </c>
      <c r="R9436" t="s">
        <v>47433</v>
      </c>
      <c r="S9436" t="s">
        <v>47633</v>
      </c>
      <c r="T9436" t="s">
        <v>49238</v>
      </c>
      <c r="U9436" t="s">
        <v>53657</v>
      </c>
      <c r="W9436" t="s">
        <v>43890</v>
      </c>
      <c r="X9436" t="s">
        <v>47434</v>
      </c>
    </row>
    <row r="9437" spans="1:24">
      <c r="A9437">
        <f>HYPERLINK("https://www.philgeps.gov.ph/GEPSNONPILOT/Tender/SplashBidNoticeAbstractUI.aspx?menuIndex=3&amp;refID=7149765&amp;Result=3","7149765")</f>
        <v>0</v>
      </c>
      <c r="B9437" t="s">
        <v>2994</v>
      </c>
      <c r="C9437" t="s">
        <v>12787</v>
      </c>
      <c r="D9437" t="s">
        <v>19027</v>
      </c>
      <c r="E9437" t="s">
        <v>24306</v>
      </c>
      <c r="F9437" t="s">
        <v>32831</v>
      </c>
      <c r="G9437" t="s">
        <v>32839</v>
      </c>
      <c r="H9437" t="s">
        <v>32848</v>
      </c>
      <c r="I9437" t="s">
        <v>32858</v>
      </c>
      <c r="J9437" t="s">
        <v>38826</v>
      </c>
      <c r="K9437" t="s">
        <v>42759</v>
      </c>
      <c r="M9437" t="s">
        <v>46260</v>
      </c>
      <c r="N9437" t="s">
        <v>47424</v>
      </c>
      <c r="O9437" t="s">
        <v>47425</v>
      </c>
      <c r="P9437">
        <v>0</v>
      </c>
      <c r="Q9437">
        <v>1</v>
      </c>
      <c r="R9437" t="s">
        <v>47433</v>
      </c>
      <c r="S9437" t="s">
        <v>47633</v>
      </c>
      <c r="T9437" t="s">
        <v>49231</v>
      </c>
      <c r="U9437" t="s">
        <v>57485</v>
      </c>
      <c r="W9437" t="s">
        <v>46260</v>
      </c>
      <c r="X9437" t="s">
        <v>47434</v>
      </c>
    </row>
    <row r="9438" spans="1:24">
      <c r="A9438">
        <f>HYPERLINK("https://www.philgeps.gov.ph/GEPSNONPILOT/Tender/SplashBidNoticeAbstractUI.aspx?menuIndex=3&amp;refID=7149661&amp;Result=3","7149661")</f>
        <v>0</v>
      </c>
      <c r="B9438" t="s">
        <v>1864</v>
      </c>
      <c r="C9438" t="s">
        <v>12788</v>
      </c>
      <c r="D9438" t="s">
        <v>19045</v>
      </c>
      <c r="E9438" t="s">
        <v>27252</v>
      </c>
      <c r="F9438" t="s">
        <v>32831</v>
      </c>
      <c r="G9438" t="s">
        <v>32839</v>
      </c>
      <c r="H9438" t="s">
        <v>32849</v>
      </c>
      <c r="I9438" t="s">
        <v>4177</v>
      </c>
      <c r="J9438" t="s">
        <v>37123</v>
      </c>
      <c r="K9438" t="s">
        <v>42763</v>
      </c>
      <c r="M9438" t="s">
        <v>45006</v>
      </c>
      <c r="N9438" t="s">
        <v>47424</v>
      </c>
      <c r="O9438" t="s">
        <v>47425</v>
      </c>
      <c r="P9438">
        <v>0</v>
      </c>
      <c r="Q9438">
        <v>4</v>
      </c>
      <c r="R9438" t="s">
        <v>47433</v>
      </c>
      <c r="S9438" t="s">
        <v>47633</v>
      </c>
      <c r="T9438" t="s">
        <v>49173</v>
      </c>
      <c r="U9438" t="s">
        <v>57486</v>
      </c>
      <c r="W9438" t="s">
        <v>45006</v>
      </c>
      <c r="X9438" t="s">
        <v>47434</v>
      </c>
    </row>
    <row r="9439" spans="1:24">
      <c r="A9439">
        <f>HYPERLINK("https://www.philgeps.gov.ph/GEPSNONPILOT/Tender/SplashBidNoticeAbstractUI.aspx?menuIndex=3&amp;refID=7149764&amp;Result=3","7149764")</f>
        <v>0</v>
      </c>
      <c r="B9439" t="s">
        <v>3012</v>
      </c>
      <c r="C9439" t="s">
        <v>12789</v>
      </c>
      <c r="D9439" t="s">
        <v>19047</v>
      </c>
      <c r="E9439" t="s">
        <v>27253</v>
      </c>
      <c r="F9439" t="s">
        <v>32831</v>
      </c>
      <c r="G9439" t="s">
        <v>32840</v>
      </c>
      <c r="H9439" t="s">
        <v>32848</v>
      </c>
      <c r="I9439" t="s">
        <v>32860</v>
      </c>
      <c r="J9439" t="s">
        <v>33627</v>
      </c>
      <c r="K9439" t="s">
        <v>42749</v>
      </c>
      <c r="M9439" t="s">
        <v>46282</v>
      </c>
      <c r="N9439" t="s">
        <v>47424</v>
      </c>
      <c r="O9439" t="s">
        <v>47425</v>
      </c>
      <c r="P9439">
        <v>0</v>
      </c>
      <c r="Q9439">
        <v>8</v>
      </c>
      <c r="R9439" t="s">
        <v>47433</v>
      </c>
      <c r="S9439" t="s">
        <v>47633</v>
      </c>
      <c r="T9439" t="s">
        <v>49177</v>
      </c>
      <c r="U9439" t="s">
        <v>57487</v>
      </c>
      <c r="W9439" t="s">
        <v>46282</v>
      </c>
      <c r="X9439" t="s">
        <v>47434</v>
      </c>
    </row>
    <row r="9440" spans="1:24">
      <c r="A9440">
        <f>HYPERLINK("https://www.philgeps.gov.ph/GEPSNONPILOT/Tender/SplashBidNoticeAbstractUI.aspx?menuIndex=3&amp;refID=7149758&amp;Result=3","7149758")</f>
        <v>0</v>
      </c>
      <c r="B9440" t="s">
        <v>3013</v>
      </c>
      <c r="C9440" t="s">
        <v>12790</v>
      </c>
      <c r="D9440" t="s">
        <v>19021</v>
      </c>
      <c r="E9440" t="s">
        <v>19351</v>
      </c>
      <c r="F9440" t="s">
        <v>32831</v>
      </c>
      <c r="G9440" t="s">
        <v>32839</v>
      </c>
      <c r="H9440" t="s">
        <v>32848</v>
      </c>
      <c r="I9440" t="s">
        <v>32915</v>
      </c>
      <c r="J9440" t="s">
        <v>38827</v>
      </c>
      <c r="K9440" t="s">
        <v>42727</v>
      </c>
      <c r="M9440" t="s">
        <v>46283</v>
      </c>
      <c r="N9440" t="s">
        <v>47424</v>
      </c>
      <c r="O9440" t="s">
        <v>47425</v>
      </c>
      <c r="P9440">
        <v>0</v>
      </c>
      <c r="Q9440">
        <v>1</v>
      </c>
      <c r="R9440" t="s">
        <v>47433</v>
      </c>
      <c r="S9440" t="s">
        <v>47633</v>
      </c>
      <c r="T9440" t="s">
        <v>49111</v>
      </c>
      <c r="U9440" t="s">
        <v>57488</v>
      </c>
      <c r="W9440" t="s">
        <v>46283</v>
      </c>
      <c r="X9440" t="s">
        <v>47434</v>
      </c>
    </row>
    <row r="9441" spans="1:24">
      <c r="A9441">
        <f>HYPERLINK("https://www.philgeps.gov.ph/GEPSNONPILOT/Tender/SplashBidNoticeAbstractUI.aspx?menuIndex=3&amp;refID=7149642&amp;Result=3","7149642")</f>
        <v>0</v>
      </c>
      <c r="B9441" t="s">
        <v>2271</v>
      </c>
      <c r="C9441" t="s">
        <v>12791</v>
      </c>
      <c r="D9441" t="s">
        <v>19077</v>
      </c>
      <c r="E9441" t="s">
        <v>19311</v>
      </c>
      <c r="F9441" t="s">
        <v>32831</v>
      </c>
      <c r="G9441" t="s">
        <v>32839</v>
      </c>
      <c r="H9441" t="s">
        <v>32848</v>
      </c>
      <c r="I9441" t="s">
        <v>32855</v>
      </c>
      <c r="J9441" t="s">
        <v>38828</v>
      </c>
      <c r="K9441" t="s">
        <v>42730</v>
      </c>
      <c r="M9441" t="s">
        <v>45455</v>
      </c>
      <c r="N9441" t="s">
        <v>47424</v>
      </c>
      <c r="O9441" t="s">
        <v>47425</v>
      </c>
      <c r="P9441">
        <v>0</v>
      </c>
      <c r="Q9441">
        <v>1</v>
      </c>
      <c r="R9441" t="s">
        <v>47433</v>
      </c>
      <c r="S9441" t="s">
        <v>47633</v>
      </c>
      <c r="T9441" t="s">
        <v>49239</v>
      </c>
      <c r="U9441" t="s">
        <v>57489</v>
      </c>
      <c r="W9441" t="s">
        <v>45455</v>
      </c>
      <c r="X9441" t="s">
        <v>47434</v>
      </c>
    </row>
    <row r="9442" spans="1:24">
      <c r="A9442">
        <f>HYPERLINK("https://www.philgeps.gov.ph/GEPSNONPILOT/Tender/SplashBidNoticeAbstractUI.aspx?menuIndex=3&amp;refID=7149752&amp;Result=3","7149752")</f>
        <v>0</v>
      </c>
      <c r="B9442" t="s">
        <v>1607</v>
      </c>
      <c r="C9442" t="s">
        <v>12792</v>
      </c>
      <c r="D9442" t="s">
        <v>19048</v>
      </c>
      <c r="E9442" t="s">
        <v>27254</v>
      </c>
      <c r="F9442" t="s">
        <v>32831</v>
      </c>
      <c r="G9442" t="s">
        <v>32839</v>
      </c>
      <c r="H9442" t="s">
        <v>32848</v>
      </c>
      <c r="I9442" t="s">
        <v>32852</v>
      </c>
      <c r="J9442" t="s">
        <v>38829</v>
      </c>
      <c r="K9442" t="s">
        <v>42730</v>
      </c>
      <c r="M9442" t="s">
        <v>44723</v>
      </c>
      <c r="N9442" t="s">
        <v>47424</v>
      </c>
      <c r="O9442" t="s">
        <v>47425</v>
      </c>
      <c r="Q9442">
        <v>3</v>
      </c>
      <c r="R9442" t="s">
        <v>47433</v>
      </c>
      <c r="S9442" t="s">
        <v>47643</v>
      </c>
      <c r="T9442" t="s">
        <v>49160</v>
      </c>
      <c r="U9442" t="s">
        <v>57490</v>
      </c>
      <c r="W9442" t="s">
        <v>44723</v>
      </c>
      <c r="X9442" t="s">
        <v>47434</v>
      </c>
    </row>
    <row r="9443" spans="1:24">
      <c r="A9443">
        <f>HYPERLINK("https://www.philgeps.gov.ph/GEPSNONPILOT/Tender/SplashBidNoticeAbstractUI.aspx?menuIndex=3&amp;refID=7149586&amp;Result=3","7149586")</f>
        <v>0</v>
      </c>
      <c r="B9443" t="s">
        <v>3014</v>
      </c>
      <c r="C9443" t="s">
        <v>12793</v>
      </c>
      <c r="D9443" t="s">
        <v>19062</v>
      </c>
      <c r="E9443" t="s">
        <v>27255</v>
      </c>
      <c r="F9443" t="s">
        <v>32831</v>
      </c>
      <c r="G9443" t="s">
        <v>32838</v>
      </c>
      <c r="H9443" t="s">
        <v>32848</v>
      </c>
      <c r="I9443" t="s">
        <v>6526</v>
      </c>
      <c r="J9443" t="s">
        <v>33291</v>
      </c>
      <c r="K9443" t="s">
        <v>42730</v>
      </c>
      <c r="M9443" t="s">
        <v>46284</v>
      </c>
      <c r="N9443" t="s">
        <v>47424</v>
      </c>
      <c r="O9443" t="s">
        <v>47425</v>
      </c>
      <c r="P9443">
        <v>0</v>
      </c>
      <c r="Q9443">
        <v>0</v>
      </c>
      <c r="R9443" t="s">
        <v>47433</v>
      </c>
      <c r="S9443" t="s">
        <v>47633</v>
      </c>
      <c r="T9443" t="s">
        <v>49107</v>
      </c>
      <c r="U9443" t="s">
        <v>57491</v>
      </c>
      <c r="W9443" t="s">
        <v>46284</v>
      </c>
      <c r="X9443" t="s">
        <v>47434</v>
      </c>
    </row>
    <row r="9444" spans="1:24">
      <c r="A9444">
        <f>HYPERLINK("https://www.philgeps.gov.ph/GEPSNONPILOT/Tender/SplashBidNoticeAbstractUI.aspx?menuIndex=3&amp;refID=7149735&amp;Result=3","7149735")</f>
        <v>0</v>
      </c>
      <c r="B9444" t="s">
        <v>221</v>
      </c>
      <c r="C9444" t="s">
        <v>12794</v>
      </c>
      <c r="D9444" t="s">
        <v>19062</v>
      </c>
      <c r="E9444" t="s">
        <v>27256</v>
      </c>
      <c r="F9444" t="s">
        <v>32831</v>
      </c>
      <c r="G9444" t="s">
        <v>32838</v>
      </c>
      <c r="H9444" t="s">
        <v>14069</v>
      </c>
      <c r="I9444" t="s">
        <v>14069</v>
      </c>
      <c r="J9444" t="s">
        <v>38830</v>
      </c>
      <c r="K9444" t="s">
        <v>42732</v>
      </c>
      <c r="L9444" t="s">
        <v>221</v>
      </c>
      <c r="M9444" t="s">
        <v>46263</v>
      </c>
      <c r="N9444" t="s">
        <v>47424</v>
      </c>
      <c r="O9444" t="s">
        <v>47425</v>
      </c>
      <c r="P9444">
        <v>0</v>
      </c>
      <c r="Q9444">
        <v>2</v>
      </c>
      <c r="R9444" t="s">
        <v>47433</v>
      </c>
      <c r="S9444" t="s">
        <v>47633</v>
      </c>
      <c r="T9444" t="s">
        <v>49239</v>
      </c>
      <c r="U9444" t="s">
        <v>57429</v>
      </c>
      <c r="W9444" t="s">
        <v>46263</v>
      </c>
      <c r="X9444" t="s">
        <v>47434</v>
      </c>
    </row>
    <row r="9445" spans="1:24">
      <c r="A9445">
        <f>HYPERLINK("https://www.philgeps.gov.ph/GEPSNONPILOT/Tender/SplashBidNoticeAbstractUI.aspx?menuIndex=3&amp;refID=7149688&amp;Result=3","7149688")</f>
        <v>0</v>
      </c>
      <c r="B9445" t="s">
        <v>1759</v>
      </c>
      <c r="C9445" t="s">
        <v>12795</v>
      </c>
      <c r="D9445" t="s">
        <v>19058</v>
      </c>
      <c r="E9445" t="s">
        <v>27257</v>
      </c>
      <c r="F9445" t="s">
        <v>32831</v>
      </c>
      <c r="G9445" t="s">
        <v>32839</v>
      </c>
      <c r="H9445" t="s">
        <v>32848</v>
      </c>
      <c r="I9445" t="s">
        <v>32855</v>
      </c>
      <c r="J9445" t="s">
        <v>38831</v>
      </c>
      <c r="K9445" t="s">
        <v>42730</v>
      </c>
      <c r="M9445" t="s">
        <v>44883</v>
      </c>
      <c r="N9445" t="s">
        <v>47424</v>
      </c>
      <c r="O9445" t="s">
        <v>47425</v>
      </c>
      <c r="Q9445">
        <v>0</v>
      </c>
      <c r="R9445" t="s">
        <v>47433</v>
      </c>
      <c r="S9445" t="s">
        <v>47644</v>
      </c>
      <c r="T9445" t="s">
        <v>49162</v>
      </c>
      <c r="U9445" t="s">
        <v>57492</v>
      </c>
      <c r="V9445" t="s">
        <v>63115</v>
      </c>
      <c r="W9445" t="s">
        <v>44883</v>
      </c>
      <c r="X9445" t="s">
        <v>47434</v>
      </c>
    </row>
    <row r="9446" spans="1:24">
      <c r="A9446">
        <f>HYPERLINK("https://www.philgeps.gov.ph/GEPSNONPILOT/Tender/SplashBidNoticeAbstractUI.aspx?menuIndex=3&amp;refID=7149724&amp;Result=3","7149724")</f>
        <v>0</v>
      </c>
      <c r="B9446" t="s">
        <v>3015</v>
      </c>
      <c r="C9446" t="s">
        <v>12796</v>
      </c>
      <c r="D9446" t="s">
        <v>19037</v>
      </c>
      <c r="E9446" t="s">
        <v>20769</v>
      </c>
      <c r="F9446" t="s">
        <v>32831</v>
      </c>
      <c r="G9446" t="s">
        <v>32839</v>
      </c>
      <c r="H9446" t="s">
        <v>32848</v>
      </c>
      <c r="I9446" t="s">
        <v>7416</v>
      </c>
      <c r="J9446" t="s">
        <v>37246</v>
      </c>
      <c r="K9446" t="s">
        <v>42727</v>
      </c>
      <c r="M9446" t="s">
        <v>46285</v>
      </c>
      <c r="N9446" t="s">
        <v>47424</v>
      </c>
      <c r="O9446" t="s">
        <v>47425</v>
      </c>
      <c r="P9446">
        <v>0</v>
      </c>
      <c r="Q9446">
        <v>0</v>
      </c>
      <c r="R9446" t="s">
        <v>47433</v>
      </c>
      <c r="S9446" t="s">
        <v>47633</v>
      </c>
      <c r="T9446" t="s">
        <v>49214</v>
      </c>
      <c r="U9446" t="s">
        <v>57493</v>
      </c>
      <c r="W9446" t="s">
        <v>46285</v>
      </c>
      <c r="X9446" t="s">
        <v>47434</v>
      </c>
    </row>
    <row r="9447" spans="1:24">
      <c r="A9447">
        <f>HYPERLINK("https://www.philgeps.gov.ph/GEPSNONPILOT/Tender/SplashBidNoticeAbstractUI.aspx?menuIndex=3&amp;refID=7149723&amp;Result=3","7149723")</f>
        <v>0</v>
      </c>
      <c r="B9447" t="s">
        <v>221</v>
      </c>
      <c r="C9447" t="s">
        <v>12797</v>
      </c>
      <c r="D9447" t="s">
        <v>19062</v>
      </c>
      <c r="E9447" t="s">
        <v>27258</v>
      </c>
      <c r="F9447" t="s">
        <v>32831</v>
      </c>
      <c r="G9447" t="s">
        <v>32838</v>
      </c>
      <c r="H9447" t="s">
        <v>14069</v>
      </c>
      <c r="I9447" t="s">
        <v>14069</v>
      </c>
      <c r="J9447" t="s">
        <v>38832</v>
      </c>
      <c r="K9447" t="s">
        <v>42732</v>
      </c>
      <c r="L9447" t="s">
        <v>221</v>
      </c>
      <c r="M9447" t="s">
        <v>46263</v>
      </c>
      <c r="N9447" t="s">
        <v>47424</v>
      </c>
      <c r="O9447" t="s">
        <v>47425</v>
      </c>
      <c r="P9447">
        <v>0</v>
      </c>
      <c r="Q9447">
        <v>0</v>
      </c>
      <c r="R9447" t="s">
        <v>47433</v>
      </c>
      <c r="S9447" t="s">
        <v>47633</v>
      </c>
      <c r="T9447" t="s">
        <v>49239</v>
      </c>
      <c r="U9447" t="s">
        <v>57429</v>
      </c>
      <c r="W9447" t="s">
        <v>46263</v>
      </c>
      <c r="X9447" t="s">
        <v>47434</v>
      </c>
    </row>
    <row r="9448" spans="1:24">
      <c r="A9448">
        <f>HYPERLINK("https://www.philgeps.gov.ph/GEPSNONPILOT/Tender/SplashBidNoticeAbstractUI.aspx?menuIndex=3&amp;refID=7149720&amp;Result=3","7149720")</f>
        <v>0</v>
      </c>
      <c r="B9448" t="s">
        <v>2957</v>
      </c>
      <c r="C9448" t="s">
        <v>11504</v>
      </c>
      <c r="D9448" t="s">
        <v>19026</v>
      </c>
      <c r="E9448" t="s">
        <v>27259</v>
      </c>
      <c r="F9448" t="s">
        <v>32831</v>
      </c>
      <c r="G9448" t="s">
        <v>32839</v>
      </c>
      <c r="H9448" t="s">
        <v>32848</v>
      </c>
      <c r="I9448" t="s">
        <v>32854</v>
      </c>
      <c r="J9448" t="s">
        <v>32985</v>
      </c>
      <c r="K9448" t="s">
        <v>42727</v>
      </c>
      <c r="M9448" t="s">
        <v>46217</v>
      </c>
      <c r="N9448" t="s">
        <v>47424</v>
      </c>
      <c r="O9448" t="s">
        <v>47425</v>
      </c>
      <c r="P9448">
        <v>0</v>
      </c>
      <c r="Q9448">
        <v>0</v>
      </c>
      <c r="R9448" t="s">
        <v>47433</v>
      </c>
      <c r="S9448" t="s">
        <v>47633</v>
      </c>
      <c r="T9448" t="s">
        <v>49081</v>
      </c>
      <c r="U9448" t="s">
        <v>57494</v>
      </c>
      <c r="W9448" t="s">
        <v>46217</v>
      </c>
      <c r="X9448" t="s">
        <v>47434</v>
      </c>
    </row>
    <row r="9449" spans="1:24">
      <c r="A9449">
        <f>HYPERLINK("https://www.philgeps.gov.ph/GEPSNONPILOT/Tender/SplashBidNoticeAbstractUI.aspx?menuIndex=3&amp;refID=7149718&amp;Result=3","7149718")</f>
        <v>0</v>
      </c>
      <c r="B9449" t="s">
        <v>1593</v>
      </c>
      <c r="C9449" t="s">
        <v>12798</v>
      </c>
      <c r="D9449" t="s">
        <v>19025</v>
      </c>
      <c r="E9449" t="s">
        <v>27260</v>
      </c>
      <c r="F9449" t="s">
        <v>32831</v>
      </c>
      <c r="G9449" t="s">
        <v>32838</v>
      </c>
      <c r="H9449" t="s">
        <v>32848</v>
      </c>
      <c r="I9449" t="s">
        <v>7416</v>
      </c>
      <c r="J9449" t="s">
        <v>38833</v>
      </c>
      <c r="K9449" t="s">
        <v>42726</v>
      </c>
      <c r="M9449" t="s">
        <v>44707</v>
      </c>
      <c r="N9449" t="s">
        <v>47424</v>
      </c>
      <c r="O9449" t="s">
        <v>47425</v>
      </c>
      <c r="P9449">
        <v>0</v>
      </c>
      <c r="Q9449">
        <v>0</v>
      </c>
      <c r="R9449" t="s">
        <v>47433</v>
      </c>
      <c r="S9449" t="s">
        <v>47633</v>
      </c>
      <c r="T9449" t="s">
        <v>49107</v>
      </c>
      <c r="U9449" t="s">
        <v>57495</v>
      </c>
      <c r="W9449" t="s">
        <v>44707</v>
      </c>
      <c r="X9449" t="s">
        <v>47434</v>
      </c>
    </row>
    <row r="9450" spans="1:24">
      <c r="A9450">
        <f>HYPERLINK("https://www.philgeps.gov.ph/GEPSNONPILOT/Tender/SplashBidNoticeAbstractUI.aspx?menuIndex=3&amp;refID=7149709&amp;Result=3","7149709")</f>
        <v>0</v>
      </c>
      <c r="B9450" t="s">
        <v>221</v>
      </c>
      <c r="C9450" t="s">
        <v>12799</v>
      </c>
      <c r="D9450" t="s">
        <v>19062</v>
      </c>
      <c r="E9450" t="s">
        <v>27261</v>
      </c>
      <c r="F9450" t="s">
        <v>32831</v>
      </c>
      <c r="G9450" t="s">
        <v>32838</v>
      </c>
      <c r="H9450" t="s">
        <v>14069</v>
      </c>
      <c r="I9450" t="s">
        <v>14069</v>
      </c>
      <c r="J9450" t="s">
        <v>38834</v>
      </c>
      <c r="K9450" t="s">
        <v>42732</v>
      </c>
      <c r="L9450" t="s">
        <v>221</v>
      </c>
      <c r="M9450" t="s">
        <v>46263</v>
      </c>
      <c r="N9450" t="s">
        <v>47424</v>
      </c>
      <c r="O9450" t="s">
        <v>47425</v>
      </c>
      <c r="P9450">
        <v>0</v>
      </c>
      <c r="Q9450">
        <v>0</v>
      </c>
      <c r="R9450" t="s">
        <v>47433</v>
      </c>
      <c r="S9450" t="s">
        <v>47633</v>
      </c>
      <c r="T9450" t="s">
        <v>49239</v>
      </c>
      <c r="U9450" t="s">
        <v>57459</v>
      </c>
      <c r="W9450" t="s">
        <v>46263</v>
      </c>
      <c r="X9450" t="s">
        <v>47434</v>
      </c>
    </row>
    <row r="9451" spans="1:24">
      <c r="A9451">
        <f>HYPERLINK("https://www.philgeps.gov.ph/GEPSNONPILOT/Tender/SplashBidNoticeAbstractUI.aspx?menuIndex=3&amp;refID=7149707&amp;Result=3","7149707")</f>
        <v>0</v>
      </c>
      <c r="B9451" t="s">
        <v>721</v>
      </c>
      <c r="C9451" t="s">
        <v>12800</v>
      </c>
      <c r="D9451" t="s">
        <v>19018</v>
      </c>
      <c r="E9451" t="s">
        <v>27262</v>
      </c>
      <c r="F9451" t="s">
        <v>32831</v>
      </c>
      <c r="G9451" t="s">
        <v>32838</v>
      </c>
      <c r="H9451" t="s">
        <v>32848</v>
      </c>
      <c r="I9451" t="s">
        <v>4303</v>
      </c>
      <c r="J9451" t="s">
        <v>34579</v>
      </c>
      <c r="K9451" t="s">
        <v>42732</v>
      </c>
      <c r="M9451" t="s">
        <v>43742</v>
      </c>
      <c r="N9451" t="s">
        <v>47424</v>
      </c>
      <c r="O9451" t="s">
        <v>47425</v>
      </c>
      <c r="P9451">
        <v>0</v>
      </c>
      <c r="Q9451">
        <v>0</v>
      </c>
      <c r="R9451" t="s">
        <v>47433</v>
      </c>
      <c r="S9451" t="s">
        <v>47633</v>
      </c>
      <c r="T9451" t="s">
        <v>49328</v>
      </c>
      <c r="U9451" t="s">
        <v>56573</v>
      </c>
      <c r="W9451" t="s">
        <v>43742</v>
      </c>
      <c r="X9451" t="s">
        <v>47434</v>
      </c>
    </row>
    <row r="9452" spans="1:24">
      <c r="A9452">
        <f>HYPERLINK("https://www.philgeps.gov.ph/GEPSNONPILOT/Tender/SplashBidNoticeAbstractUI.aspx?menuIndex=3&amp;refID=7149750&amp;Result=3","7149750")</f>
        <v>0</v>
      </c>
      <c r="B9452" t="s">
        <v>3016</v>
      </c>
      <c r="C9452" t="s">
        <v>12801</v>
      </c>
      <c r="D9452" t="s">
        <v>19077</v>
      </c>
      <c r="E9452" t="s">
        <v>19529</v>
      </c>
      <c r="F9452" t="s">
        <v>32831</v>
      </c>
      <c r="G9452" t="s">
        <v>32839</v>
      </c>
      <c r="H9452" t="s">
        <v>32849</v>
      </c>
      <c r="I9452" t="s">
        <v>4177</v>
      </c>
      <c r="J9452" t="s">
        <v>33044</v>
      </c>
      <c r="K9452" t="s">
        <v>42736</v>
      </c>
      <c r="M9452" t="s">
        <v>46286</v>
      </c>
      <c r="N9452" t="s">
        <v>47424</v>
      </c>
      <c r="O9452" t="s">
        <v>47425</v>
      </c>
      <c r="P9452">
        <v>0</v>
      </c>
      <c r="Q9452">
        <v>0</v>
      </c>
      <c r="R9452" t="s">
        <v>47433</v>
      </c>
      <c r="S9452" t="s">
        <v>47633</v>
      </c>
      <c r="T9452" t="s">
        <v>49066</v>
      </c>
      <c r="U9452" t="s">
        <v>57496</v>
      </c>
      <c r="V9452" t="s">
        <v>63663</v>
      </c>
      <c r="W9452" t="s">
        <v>46286</v>
      </c>
      <c r="X9452" t="s">
        <v>47434</v>
      </c>
    </row>
    <row r="9453" spans="1:24">
      <c r="A9453">
        <f>HYPERLINK("https://www.philgeps.gov.ph/GEPSNONPILOT/Tender/SplashBidNoticeAbstractUI.aspx?menuIndex=3&amp;refID=7149593&amp;Result=3","7149593")</f>
        <v>0</v>
      </c>
      <c r="B9453" t="s">
        <v>87</v>
      </c>
      <c r="C9453" t="s">
        <v>12802</v>
      </c>
      <c r="D9453" t="s">
        <v>19050</v>
      </c>
      <c r="E9453" t="s">
        <v>27263</v>
      </c>
      <c r="F9453" t="s">
        <v>32831</v>
      </c>
      <c r="G9453" t="s">
        <v>32840</v>
      </c>
      <c r="H9453" t="s">
        <v>32848</v>
      </c>
      <c r="I9453" t="s">
        <v>10805</v>
      </c>
      <c r="J9453" t="s">
        <v>38835</v>
      </c>
      <c r="K9453" t="s">
        <v>42727</v>
      </c>
      <c r="M9453" t="s">
        <v>43084</v>
      </c>
      <c r="N9453" t="s">
        <v>47424</v>
      </c>
      <c r="O9453" t="s">
        <v>47425</v>
      </c>
      <c r="P9453">
        <v>0</v>
      </c>
      <c r="Q9453">
        <v>1</v>
      </c>
      <c r="R9453" t="s">
        <v>47433</v>
      </c>
      <c r="S9453" t="s">
        <v>47633</v>
      </c>
      <c r="T9453" t="s">
        <v>49229</v>
      </c>
      <c r="U9453" t="s">
        <v>57497</v>
      </c>
      <c r="W9453" t="s">
        <v>43084</v>
      </c>
      <c r="X9453" t="s">
        <v>47434</v>
      </c>
    </row>
    <row r="9454" spans="1:24">
      <c r="A9454">
        <f>HYPERLINK("https://www.philgeps.gov.ph/GEPSNONPILOT/Tender/SplashBidNoticeAbstractUI.aspx?menuIndex=3&amp;refID=7149699&amp;Result=3","7149699")</f>
        <v>0</v>
      </c>
      <c r="B9454" t="s">
        <v>2038</v>
      </c>
      <c r="C9454" t="s">
        <v>12803</v>
      </c>
      <c r="D9454" t="s">
        <v>19037</v>
      </c>
      <c r="E9454" t="s">
        <v>27264</v>
      </c>
      <c r="F9454" t="s">
        <v>32831</v>
      </c>
      <c r="G9454" t="s">
        <v>32839</v>
      </c>
      <c r="H9454" t="s">
        <v>32848</v>
      </c>
      <c r="I9454" t="s">
        <v>32914</v>
      </c>
      <c r="J9454" t="s">
        <v>38836</v>
      </c>
      <c r="K9454" t="s">
        <v>42747</v>
      </c>
      <c r="M9454" t="s">
        <v>45207</v>
      </c>
      <c r="N9454" t="s">
        <v>47424</v>
      </c>
      <c r="O9454" t="s">
        <v>47425</v>
      </c>
      <c r="P9454">
        <v>0</v>
      </c>
      <c r="Q9454">
        <v>11</v>
      </c>
      <c r="R9454" t="s">
        <v>47433</v>
      </c>
      <c r="S9454" t="s">
        <v>47633</v>
      </c>
      <c r="T9454" t="s">
        <v>49073</v>
      </c>
      <c r="U9454" t="s">
        <v>57498</v>
      </c>
      <c r="V9454" t="s">
        <v>63664</v>
      </c>
      <c r="W9454" t="s">
        <v>45207</v>
      </c>
      <c r="X9454" t="s">
        <v>47434</v>
      </c>
    </row>
    <row r="9455" spans="1:24">
      <c r="A9455">
        <f>HYPERLINK("https://www.philgeps.gov.ph/GEPSNONPILOT/Tender/SplashBidNoticeAbstractUI.aspx?menuIndex=3&amp;refID=7149693&amp;Result=3","7149693")</f>
        <v>0</v>
      </c>
      <c r="B9455" t="s">
        <v>1254</v>
      </c>
      <c r="C9455" t="s">
        <v>12804</v>
      </c>
      <c r="D9455" t="s">
        <v>19041</v>
      </c>
      <c r="E9455" t="s">
        <v>27265</v>
      </c>
      <c r="F9455" t="s">
        <v>32831</v>
      </c>
      <c r="G9455" t="s">
        <v>32839</v>
      </c>
      <c r="H9455" t="s">
        <v>32849</v>
      </c>
      <c r="I9455" t="s">
        <v>4177</v>
      </c>
      <c r="J9455" t="s">
        <v>38837</v>
      </c>
      <c r="K9455" t="s">
        <v>42809</v>
      </c>
      <c r="M9455" t="s">
        <v>44324</v>
      </c>
      <c r="N9455" t="s">
        <v>47424</v>
      </c>
      <c r="O9455" t="s">
        <v>47425</v>
      </c>
      <c r="P9455">
        <v>0</v>
      </c>
      <c r="Q9455">
        <v>0</v>
      </c>
      <c r="R9455" t="s">
        <v>47433</v>
      </c>
      <c r="S9455" t="s">
        <v>47633</v>
      </c>
      <c r="T9455" t="s">
        <v>49111</v>
      </c>
      <c r="U9455" t="s">
        <v>57499</v>
      </c>
      <c r="V9455" t="s">
        <v>62941</v>
      </c>
      <c r="W9455" t="s">
        <v>44324</v>
      </c>
      <c r="X9455" t="s">
        <v>47434</v>
      </c>
    </row>
    <row r="9456" spans="1:24">
      <c r="A9456">
        <f>HYPERLINK("https://www.philgeps.gov.ph/GEPSNONPILOT/Tender/SplashBidNoticeAbstractUI.aspx?menuIndex=3&amp;refID=7149704&amp;Result=3","7149704")</f>
        <v>0</v>
      </c>
      <c r="B9456" t="s">
        <v>3017</v>
      </c>
      <c r="C9456" t="s">
        <v>12805</v>
      </c>
      <c r="D9456" t="s">
        <v>19030</v>
      </c>
      <c r="E9456" t="s">
        <v>27266</v>
      </c>
      <c r="F9456" t="s">
        <v>32831</v>
      </c>
      <c r="G9456" t="s">
        <v>32839</v>
      </c>
      <c r="H9456" t="s">
        <v>32848</v>
      </c>
      <c r="I9456" t="s">
        <v>4776</v>
      </c>
      <c r="J9456" t="s">
        <v>38838</v>
      </c>
      <c r="K9456" t="s">
        <v>42732</v>
      </c>
      <c r="M9456" t="s">
        <v>46287</v>
      </c>
      <c r="N9456" t="s">
        <v>47424</v>
      </c>
      <c r="O9456" t="s">
        <v>47425</v>
      </c>
      <c r="P9456">
        <v>0</v>
      </c>
      <c r="Q9456">
        <v>9</v>
      </c>
      <c r="R9456" t="s">
        <v>47433</v>
      </c>
      <c r="S9456" t="s">
        <v>47633</v>
      </c>
      <c r="T9456" t="s">
        <v>49177</v>
      </c>
      <c r="U9456" t="s">
        <v>57500</v>
      </c>
      <c r="W9456" t="s">
        <v>46287</v>
      </c>
      <c r="X9456" t="s">
        <v>47434</v>
      </c>
    </row>
    <row r="9457" spans="1:24">
      <c r="A9457">
        <f>HYPERLINK("https://www.philgeps.gov.ph/GEPSNONPILOT/Tender/SplashBidNoticeAbstractUI.aspx?menuIndex=3&amp;refID=7149703&amp;Result=3","7149703")</f>
        <v>0</v>
      </c>
      <c r="B9457" t="s">
        <v>1864</v>
      </c>
      <c r="C9457" t="s">
        <v>12806</v>
      </c>
      <c r="D9457" t="s">
        <v>19045</v>
      </c>
      <c r="E9457" t="s">
        <v>27267</v>
      </c>
      <c r="F9457" t="s">
        <v>32831</v>
      </c>
      <c r="G9457" t="s">
        <v>32839</v>
      </c>
      <c r="H9457" t="s">
        <v>32849</v>
      </c>
      <c r="I9457" t="s">
        <v>4177</v>
      </c>
      <c r="J9457" t="s">
        <v>33017</v>
      </c>
      <c r="K9457" t="s">
        <v>42729</v>
      </c>
      <c r="M9457" t="s">
        <v>45006</v>
      </c>
      <c r="N9457" t="s">
        <v>47424</v>
      </c>
      <c r="O9457" t="s">
        <v>47425</v>
      </c>
      <c r="P9457">
        <v>0</v>
      </c>
      <c r="Q9457">
        <v>2</v>
      </c>
      <c r="R9457" t="s">
        <v>47433</v>
      </c>
      <c r="S9457" t="s">
        <v>47633</v>
      </c>
      <c r="T9457" t="s">
        <v>49173</v>
      </c>
      <c r="U9457" t="s">
        <v>57486</v>
      </c>
      <c r="W9457" t="s">
        <v>45006</v>
      </c>
      <c r="X9457" t="s">
        <v>47434</v>
      </c>
    </row>
    <row r="9458" spans="1:24">
      <c r="A9458">
        <f>HYPERLINK("https://www.philgeps.gov.ph/GEPSNONPILOT/Tender/SplashBidNoticeAbstractUI.aspx?menuIndex=3&amp;refID=7154462&amp;Result=3","7154462")</f>
        <v>0</v>
      </c>
      <c r="B9458" t="s">
        <v>2876</v>
      </c>
      <c r="C9458" t="s">
        <v>5171</v>
      </c>
      <c r="D9458" t="s">
        <v>19017</v>
      </c>
      <c r="E9458" t="s">
        <v>27268</v>
      </c>
      <c r="F9458" t="s">
        <v>32831</v>
      </c>
      <c r="G9458" t="s">
        <v>32842</v>
      </c>
      <c r="H9458" t="s">
        <v>32848</v>
      </c>
      <c r="I9458" t="s">
        <v>9577</v>
      </c>
      <c r="J9458" t="s">
        <v>38839</v>
      </c>
      <c r="K9458" t="s">
        <v>42727</v>
      </c>
      <c r="M9458" t="s">
        <v>46111</v>
      </c>
      <c r="N9458" t="s">
        <v>47424</v>
      </c>
      <c r="O9458" t="s">
        <v>47425</v>
      </c>
      <c r="P9458">
        <v>0</v>
      </c>
      <c r="Q9458">
        <v>3</v>
      </c>
      <c r="R9458" t="s">
        <v>47432</v>
      </c>
      <c r="S9458" t="s">
        <v>47597</v>
      </c>
      <c r="T9458" t="s">
        <v>49214</v>
      </c>
      <c r="U9458" t="s">
        <v>57501</v>
      </c>
      <c r="V9458" t="s">
        <v>63596</v>
      </c>
      <c r="W9458" t="s">
        <v>46111</v>
      </c>
      <c r="X9458" t="s">
        <v>47433</v>
      </c>
    </row>
    <row r="9459" spans="1:24">
      <c r="A9459">
        <f>HYPERLINK("https://www.philgeps.gov.ph/GEPSNONPILOT/Tender/SplashBidNoticeAbstractUI.aspx?menuIndex=3&amp;refID=7154461&amp;Result=3","7154461")</f>
        <v>0</v>
      </c>
      <c r="B9459" t="s">
        <v>645</v>
      </c>
      <c r="C9459" t="s">
        <v>12807</v>
      </c>
      <c r="D9459" t="s">
        <v>19037</v>
      </c>
      <c r="E9459" t="s">
        <v>27269</v>
      </c>
      <c r="F9459" t="s">
        <v>32831</v>
      </c>
      <c r="G9459" t="s">
        <v>32839</v>
      </c>
      <c r="H9459" t="s">
        <v>32848</v>
      </c>
      <c r="I9459" t="s">
        <v>32857</v>
      </c>
      <c r="J9459" t="s">
        <v>38840</v>
      </c>
      <c r="K9459" t="s">
        <v>42732</v>
      </c>
      <c r="M9459" t="s">
        <v>43662</v>
      </c>
      <c r="N9459" t="s">
        <v>47424</v>
      </c>
      <c r="O9459" t="s">
        <v>47425</v>
      </c>
      <c r="P9459">
        <v>0</v>
      </c>
      <c r="Q9459">
        <v>32</v>
      </c>
      <c r="R9459" t="s">
        <v>47432</v>
      </c>
      <c r="S9459" t="s">
        <v>47597</v>
      </c>
      <c r="T9459" t="s">
        <v>49160</v>
      </c>
      <c r="U9459" t="s">
        <v>57502</v>
      </c>
      <c r="W9459" t="s">
        <v>43662</v>
      </c>
      <c r="X9459" t="s">
        <v>47433</v>
      </c>
    </row>
    <row r="9460" spans="1:24">
      <c r="A9460">
        <f>HYPERLINK("https://www.philgeps.gov.ph/GEPSNONPILOT/Tender/SplashBidNoticeAbstractUI.aspx?menuIndex=3&amp;refID=7154464&amp;Result=3","7154464")</f>
        <v>0</v>
      </c>
      <c r="B9460" t="s">
        <v>1420</v>
      </c>
      <c r="C9460" t="s">
        <v>12808</v>
      </c>
      <c r="D9460" t="s">
        <v>19033</v>
      </c>
      <c r="E9460" t="s">
        <v>27270</v>
      </c>
      <c r="F9460" t="s">
        <v>32831</v>
      </c>
      <c r="G9460" t="s">
        <v>32839</v>
      </c>
      <c r="H9460" t="s">
        <v>32849</v>
      </c>
      <c r="I9460" t="s">
        <v>4177</v>
      </c>
      <c r="J9460" t="s">
        <v>38841</v>
      </c>
      <c r="K9460" t="s">
        <v>42747</v>
      </c>
      <c r="M9460" t="s">
        <v>44508</v>
      </c>
      <c r="N9460" t="s">
        <v>47424</v>
      </c>
      <c r="O9460" t="s">
        <v>47425</v>
      </c>
      <c r="P9460">
        <v>0</v>
      </c>
      <c r="Q9460">
        <v>5</v>
      </c>
      <c r="R9460" t="s">
        <v>47432</v>
      </c>
      <c r="S9460" t="s">
        <v>47597</v>
      </c>
      <c r="T9460" t="s">
        <v>49160</v>
      </c>
      <c r="U9460" t="s">
        <v>57503</v>
      </c>
      <c r="W9460" t="s">
        <v>64468</v>
      </c>
      <c r="X9460" t="s">
        <v>47433</v>
      </c>
    </row>
    <row r="9461" spans="1:24">
      <c r="A9461">
        <f>HYPERLINK("https://www.philgeps.gov.ph/GEPSNONPILOT/Tender/SplashBidNoticeAbstractUI.aspx?menuIndex=3&amp;refID=7154455&amp;Result=3","7154455")</f>
        <v>0</v>
      </c>
      <c r="B9461" t="s">
        <v>2950</v>
      </c>
      <c r="C9461" t="s">
        <v>12809</v>
      </c>
      <c r="D9461" t="s">
        <v>19034</v>
      </c>
      <c r="E9461" t="s">
        <v>21800</v>
      </c>
      <c r="F9461" t="s">
        <v>32831</v>
      </c>
      <c r="G9461" t="s">
        <v>32839</v>
      </c>
      <c r="H9461" t="s">
        <v>32849</v>
      </c>
      <c r="I9461" t="s">
        <v>4177</v>
      </c>
      <c r="J9461" t="s">
        <v>32985</v>
      </c>
      <c r="K9461" t="s">
        <v>42729</v>
      </c>
      <c r="M9461" t="s">
        <v>46210</v>
      </c>
      <c r="N9461" t="s">
        <v>47424</v>
      </c>
      <c r="O9461" t="s">
        <v>47425</v>
      </c>
      <c r="P9461">
        <v>0</v>
      </c>
      <c r="Q9461">
        <v>0</v>
      </c>
      <c r="R9461" t="s">
        <v>47432</v>
      </c>
      <c r="S9461" t="s">
        <v>47597</v>
      </c>
      <c r="T9461" t="s">
        <v>49056</v>
      </c>
      <c r="U9461" t="s">
        <v>57504</v>
      </c>
      <c r="W9461" t="s">
        <v>46210</v>
      </c>
      <c r="X9461" t="s">
        <v>47433</v>
      </c>
    </row>
    <row r="9462" spans="1:24">
      <c r="A9462">
        <f>HYPERLINK("https://www.philgeps.gov.ph/GEPSNONPILOT/Tender/SplashBidNoticeAbstractUI.aspx?menuIndex=3&amp;refID=7149759&amp;Result=3","7149759")</f>
        <v>0</v>
      </c>
      <c r="B9462" t="s">
        <v>261</v>
      </c>
      <c r="C9462" t="s">
        <v>12810</v>
      </c>
      <c r="D9462" t="s">
        <v>19059</v>
      </c>
      <c r="E9462" t="s">
        <v>27271</v>
      </c>
      <c r="F9462" t="s">
        <v>32831</v>
      </c>
      <c r="G9462" t="s">
        <v>32839</v>
      </c>
      <c r="H9462" t="s">
        <v>32849</v>
      </c>
      <c r="I9462" t="s">
        <v>4177</v>
      </c>
      <c r="J9462" t="s">
        <v>32985</v>
      </c>
      <c r="K9462" t="s">
        <v>42726</v>
      </c>
      <c r="M9462" t="s">
        <v>43260</v>
      </c>
      <c r="N9462" t="s">
        <v>47424</v>
      </c>
      <c r="O9462" t="s">
        <v>47425</v>
      </c>
      <c r="P9462">
        <v>0</v>
      </c>
      <c r="Q9462">
        <v>2</v>
      </c>
      <c r="R9462" t="s">
        <v>47433</v>
      </c>
      <c r="S9462" t="s">
        <v>47633</v>
      </c>
      <c r="T9462" t="s">
        <v>49214</v>
      </c>
      <c r="U9462" t="s">
        <v>57505</v>
      </c>
      <c r="V9462" t="s">
        <v>63665</v>
      </c>
      <c r="W9462" t="s">
        <v>43260</v>
      </c>
      <c r="X9462" t="s">
        <v>47434</v>
      </c>
    </row>
    <row r="9463" spans="1:24">
      <c r="A9463">
        <f>HYPERLINK("https://www.philgeps.gov.ph/GEPSNONPILOT/Tender/SplashBidNoticeAbstractUI.aspx?menuIndex=3&amp;refID=7152723&amp;Result=3","7152723")</f>
        <v>0</v>
      </c>
      <c r="B9463" t="s">
        <v>2752</v>
      </c>
      <c r="C9463" t="s">
        <v>12811</v>
      </c>
      <c r="D9463" t="s">
        <v>19022</v>
      </c>
      <c r="E9463" t="s">
        <v>27272</v>
      </c>
      <c r="F9463" t="s">
        <v>32831</v>
      </c>
      <c r="G9463" t="s">
        <v>32839</v>
      </c>
      <c r="H9463" t="s">
        <v>32849</v>
      </c>
      <c r="I9463" t="s">
        <v>4177</v>
      </c>
      <c r="J9463" t="s">
        <v>33978</v>
      </c>
      <c r="K9463" t="s">
        <v>42726</v>
      </c>
      <c r="M9463" t="s">
        <v>45981</v>
      </c>
      <c r="N9463" t="s">
        <v>47424</v>
      </c>
      <c r="O9463" t="s">
        <v>47425</v>
      </c>
      <c r="P9463">
        <v>0</v>
      </c>
      <c r="Q9463">
        <v>0</v>
      </c>
      <c r="R9463" t="s">
        <v>47432</v>
      </c>
      <c r="S9463" t="s">
        <v>47597</v>
      </c>
      <c r="T9463" t="s">
        <v>49214</v>
      </c>
      <c r="U9463" t="s">
        <v>52173</v>
      </c>
      <c r="W9463" t="s">
        <v>45981</v>
      </c>
      <c r="X9463" t="s">
        <v>47433</v>
      </c>
    </row>
    <row r="9464" spans="1:24">
      <c r="A9464">
        <f>HYPERLINK("https://www.philgeps.gov.ph/GEPSNONPILOT/Tender/SplashBidNoticeAbstractUI.aspx?menuIndex=3&amp;refID=7152718&amp;Result=3","7152718")</f>
        <v>0</v>
      </c>
      <c r="B9464" t="s">
        <v>2705</v>
      </c>
      <c r="C9464" t="s">
        <v>12812</v>
      </c>
      <c r="D9464" t="s">
        <v>19100</v>
      </c>
      <c r="E9464" t="s">
        <v>27273</v>
      </c>
      <c r="F9464" t="s">
        <v>32831</v>
      </c>
      <c r="G9464" t="s">
        <v>32839</v>
      </c>
      <c r="H9464" t="s">
        <v>32848</v>
      </c>
      <c r="I9464" t="s">
        <v>32870</v>
      </c>
      <c r="J9464" t="s">
        <v>38842</v>
      </c>
      <c r="K9464" t="s">
        <v>42730</v>
      </c>
      <c r="M9464" t="s">
        <v>45930</v>
      </c>
      <c r="N9464" t="s">
        <v>47424</v>
      </c>
      <c r="O9464" t="s">
        <v>47425</v>
      </c>
      <c r="P9464">
        <v>0</v>
      </c>
      <c r="Q9464">
        <v>0</v>
      </c>
      <c r="R9464" t="s">
        <v>47432</v>
      </c>
      <c r="S9464" t="s">
        <v>47597</v>
      </c>
      <c r="T9464" t="s">
        <v>49461</v>
      </c>
      <c r="U9464" t="s">
        <v>57506</v>
      </c>
      <c r="V9464" t="s">
        <v>63666</v>
      </c>
      <c r="W9464" t="s">
        <v>45930</v>
      </c>
      <c r="X9464" t="s">
        <v>47433</v>
      </c>
    </row>
    <row r="9465" spans="1:24">
      <c r="A9465">
        <f>HYPERLINK("https://www.philgeps.gov.ph/GEPSNONPILOT/Tender/SplashBidNoticeAbstractUI.aspx?menuIndex=3&amp;refID=7152706&amp;Result=3","7152706")</f>
        <v>0</v>
      </c>
      <c r="B9465" t="s">
        <v>2663</v>
      </c>
      <c r="C9465" t="s">
        <v>11585</v>
      </c>
      <c r="D9465" t="s">
        <v>19054</v>
      </c>
      <c r="E9465" t="s">
        <v>27274</v>
      </c>
      <c r="F9465" t="s">
        <v>32831</v>
      </c>
      <c r="G9465" t="s">
        <v>32838</v>
      </c>
      <c r="H9465" t="s">
        <v>32848</v>
      </c>
      <c r="I9465" t="s">
        <v>4558</v>
      </c>
      <c r="J9465" t="s">
        <v>33133</v>
      </c>
      <c r="K9465" t="s">
        <v>42726</v>
      </c>
      <c r="M9465" t="s">
        <v>45886</v>
      </c>
      <c r="N9465" t="s">
        <v>47424</v>
      </c>
      <c r="O9465" t="s">
        <v>47425</v>
      </c>
      <c r="P9465">
        <v>0</v>
      </c>
      <c r="Q9465">
        <v>1</v>
      </c>
      <c r="R9465" t="s">
        <v>47432</v>
      </c>
      <c r="S9465" t="s">
        <v>47597</v>
      </c>
      <c r="T9465" t="s">
        <v>49491</v>
      </c>
      <c r="U9465" t="s">
        <v>57507</v>
      </c>
      <c r="V9465" t="s">
        <v>63667</v>
      </c>
      <c r="W9465" t="s">
        <v>45886</v>
      </c>
      <c r="X9465" t="s">
        <v>47433</v>
      </c>
    </row>
    <row r="9466" spans="1:24">
      <c r="A9466">
        <f>HYPERLINK("https://www.philgeps.gov.ph/GEPSNONPILOT/Tender/SplashBidNoticeAbstractUI.aspx?menuIndex=3&amp;refID=7152671&amp;Result=3","7152671")</f>
        <v>0</v>
      </c>
      <c r="B9466" t="s">
        <v>345</v>
      </c>
      <c r="C9466" t="s">
        <v>12813</v>
      </c>
      <c r="D9466" t="s">
        <v>19074</v>
      </c>
      <c r="E9466" t="s">
        <v>27275</v>
      </c>
      <c r="F9466" t="s">
        <v>32831</v>
      </c>
      <c r="G9466" t="s">
        <v>32838</v>
      </c>
      <c r="H9466" t="s">
        <v>32850</v>
      </c>
      <c r="I9466" t="s">
        <v>4340</v>
      </c>
      <c r="J9466" t="s">
        <v>33077</v>
      </c>
      <c r="K9466" t="s">
        <v>42731</v>
      </c>
      <c r="M9466" t="s">
        <v>44082</v>
      </c>
      <c r="N9466" t="s">
        <v>47424</v>
      </c>
      <c r="O9466" t="s">
        <v>47425</v>
      </c>
      <c r="P9466">
        <v>0</v>
      </c>
      <c r="Q9466">
        <v>0</v>
      </c>
      <c r="R9466" t="s">
        <v>47432</v>
      </c>
      <c r="S9466" t="s">
        <v>47597</v>
      </c>
      <c r="T9466" t="s">
        <v>49107</v>
      </c>
      <c r="U9466" t="s">
        <v>57508</v>
      </c>
      <c r="W9466" t="s">
        <v>44082</v>
      </c>
      <c r="X9466" t="s">
        <v>47433</v>
      </c>
    </row>
    <row r="9467" spans="1:24">
      <c r="A9467">
        <f>HYPERLINK("https://www.philgeps.gov.ph/GEPSNONPILOT/Tender/SplashBidNoticeAbstractUI.aspx?menuIndex=3&amp;refID=7152661&amp;Result=3","7152661")</f>
        <v>0</v>
      </c>
      <c r="B9467" t="s">
        <v>662</v>
      </c>
      <c r="C9467" t="s">
        <v>12814</v>
      </c>
      <c r="D9467" t="s">
        <v>19095</v>
      </c>
      <c r="E9467" t="s">
        <v>27276</v>
      </c>
      <c r="F9467" t="s">
        <v>32831</v>
      </c>
      <c r="G9467" t="s">
        <v>32838</v>
      </c>
      <c r="H9467" t="s">
        <v>32848</v>
      </c>
      <c r="I9467" t="s">
        <v>4558</v>
      </c>
      <c r="J9467" t="s">
        <v>38843</v>
      </c>
      <c r="K9467" t="s">
        <v>42727</v>
      </c>
      <c r="M9467" t="s">
        <v>43680</v>
      </c>
      <c r="N9467" t="s">
        <v>47424</v>
      </c>
      <c r="O9467" t="s">
        <v>47425</v>
      </c>
      <c r="P9467">
        <v>0</v>
      </c>
      <c r="Q9467">
        <v>1</v>
      </c>
      <c r="R9467" t="s">
        <v>47432</v>
      </c>
      <c r="S9467" t="s">
        <v>47597</v>
      </c>
      <c r="T9467" t="s">
        <v>49239</v>
      </c>
      <c r="U9467" t="s">
        <v>57509</v>
      </c>
      <c r="W9467" t="s">
        <v>43680</v>
      </c>
      <c r="X9467" t="s">
        <v>47433</v>
      </c>
    </row>
    <row r="9468" spans="1:24">
      <c r="A9468">
        <f>HYPERLINK("https://www.philgeps.gov.ph/GEPSNONPILOT/Tender/SplashBidNoticeAbstractUI.aspx?menuIndex=3&amp;refID=7152653&amp;Result=3","7152653")</f>
        <v>0</v>
      </c>
      <c r="B9468" t="s">
        <v>661</v>
      </c>
      <c r="C9468" t="s">
        <v>12815</v>
      </c>
      <c r="D9468" t="s">
        <v>19058</v>
      </c>
      <c r="E9468" t="s">
        <v>27277</v>
      </c>
      <c r="F9468" t="s">
        <v>32831</v>
      </c>
      <c r="G9468" t="s">
        <v>32839</v>
      </c>
      <c r="H9468" t="s">
        <v>32848</v>
      </c>
      <c r="I9468" t="s">
        <v>4438</v>
      </c>
      <c r="J9468" t="s">
        <v>38844</v>
      </c>
      <c r="K9468" t="s">
        <v>42731</v>
      </c>
      <c r="M9468" t="s">
        <v>43679</v>
      </c>
      <c r="N9468" t="s">
        <v>47424</v>
      </c>
      <c r="O9468" t="s">
        <v>47425</v>
      </c>
      <c r="P9468">
        <v>0</v>
      </c>
      <c r="Q9468">
        <v>1</v>
      </c>
      <c r="R9468" t="s">
        <v>47432</v>
      </c>
      <c r="S9468" t="s">
        <v>47597</v>
      </c>
      <c r="T9468" t="s">
        <v>49056</v>
      </c>
      <c r="U9468" t="s">
        <v>57510</v>
      </c>
      <c r="W9468" t="s">
        <v>43679</v>
      </c>
      <c r="X9468" t="s">
        <v>47433</v>
      </c>
    </row>
    <row r="9469" spans="1:24">
      <c r="A9469">
        <f>HYPERLINK("https://www.philgeps.gov.ph/GEPSNONPILOT/Tender/SplashBidNoticeAbstractUI.aspx?menuIndex=3&amp;refID=7152650&amp;Result=3","7152650")</f>
        <v>0</v>
      </c>
      <c r="B9469" t="s">
        <v>3018</v>
      </c>
      <c r="C9469" t="s">
        <v>12816</v>
      </c>
      <c r="D9469" t="s">
        <v>19062</v>
      </c>
      <c r="E9469" t="s">
        <v>27278</v>
      </c>
      <c r="F9469" t="s">
        <v>32831</v>
      </c>
      <c r="G9469" t="s">
        <v>32840</v>
      </c>
      <c r="H9469" t="s">
        <v>32848</v>
      </c>
      <c r="I9469" t="s">
        <v>32860</v>
      </c>
      <c r="J9469" t="s">
        <v>32976</v>
      </c>
      <c r="K9469" t="s">
        <v>42727</v>
      </c>
      <c r="L9469" t="s">
        <v>3018</v>
      </c>
      <c r="M9469" t="s">
        <v>46288</v>
      </c>
      <c r="N9469" t="s">
        <v>47424</v>
      </c>
      <c r="O9469" t="s">
        <v>47425</v>
      </c>
      <c r="P9469">
        <v>0</v>
      </c>
      <c r="Q9469">
        <v>5</v>
      </c>
      <c r="R9469" t="s">
        <v>47432</v>
      </c>
      <c r="S9469" t="s">
        <v>47597</v>
      </c>
      <c r="T9469" t="s">
        <v>49163</v>
      </c>
      <c r="U9469" t="s">
        <v>57511</v>
      </c>
      <c r="V9469" t="s">
        <v>63668</v>
      </c>
      <c r="W9469" t="s">
        <v>46288</v>
      </c>
      <c r="X9469" t="s">
        <v>47433</v>
      </c>
    </row>
    <row r="9470" spans="1:24">
      <c r="A9470">
        <f>HYPERLINK("https://www.philgeps.gov.ph/GEPSNONPILOT/Tender/SplashBidNoticeAbstractUI.aspx?menuIndex=3&amp;refID=7152720&amp;Result=3","7152720")</f>
        <v>0</v>
      </c>
      <c r="B9470" t="s">
        <v>798</v>
      </c>
      <c r="C9470" t="s">
        <v>12817</v>
      </c>
      <c r="D9470" t="s">
        <v>19080</v>
      </c>
      <c r="E9470" t="s">
        <v>27279</v>
      </c>
      <c r="F9470" t="s">
        <v>32831</v>
      </c>
      <c r="G9470" t="s">
        <v>32839</v>
      </c>
      <c r="H9470" t="s">
        <v>32849</v>
      </c>
      <c r="I9470" t="s">
        <v>4177</v>
      </c>
      <c r="J9470" t="s">
        <v>38845</v>
      </c>
      <c r="K9470" t="s">
        <v>42763</v>
      </c>
      <c r="M9470" t="s">
        <v>43828</v>
      </c>
      <c r="N9470" t="s">
        <v>47424</v>
      </c>
      <c r="O9470" t="s">
        <v>47425</v>
      </c>
      <c r="P9470">
        <v>0</v>
      </c>
      <c r="Q9470">
        <v>0</v>
      </c>
      <c r="R9470" t="s">
        <v>47432</v>
      </c>
      <c r="S9470" t="s">
        <v>47597</v>
      </c>
      <c r="T9470" t="s">
        <v>49236</v>
      </c>
      <c r="U9470" t="s">
        <v>57512</v>
      </c>
      <c r="W9470" t="s">
        <v>43828</v>
      </c>
      <c r="X9470" t="s">
        <v>47433</v>
      </c>
    </row>
    <row r="9471" spans="1:24">
      <c r="A9471">
        <f>HYPERLINK("https://www.philgeps.gov.ph/GEPSNONPILOT/Tender/SplashBidNoticeAbstractUI.aspx?menuIndex=3&amp;refID=7152647&amp;Result=3","7152647")</f>
        <v>0</v>
      </c>
      <c r="B9471" t="s">
        <v>1004</v>
      </c>
      <c r="C9471" t="s">
        <v>12818</v>
      </c>
      <c r="D9471" t="s">
        <v>19050</v>
      </c>
      <c r="E9471" t="s">
        <v>27280</v>
      </c>
      <c r="F9471" t="s">
        <v>32831</v>
      </c>
      <c r="G9471" t="s">
        <v>32838</v>
      </c>
      <c r="H9471" t="s">
        <v>32848</v>
      </c>
      <c r="I9471" t="s">
        <v>32860</v>
      </c>
      <c r="J9471" t="s">
        <v>33162</v>
      </c>
      <c r="K9471" t="s">
        <v>42730</v>
      </c>
      <c r="M9471" t="s">
        <v>44053</v>
      </c>
      <c r="N9471" t="s">
        <v>47424</v>
      </c>
      <c r="O9471" t="s">
        <v>47425</v>
      </c>
      <c r="P9471">
        <v>0</v>
      </c>
      <c r="Q9471">
        <v>0</v>
      </c>
      <c r="R9471" t="s">
        <v>47432</v>
      </c>
      <c r="S9471" t="s">
        <v>47597</v>
      </c>
      <c r="T9471" t="s">
        <v>49237</v>
      </c>
      <c r="U9471" t="s">
        <v>57513</v>
      </c>
      <c r="W9471" t="s">
        <v>44053</v>
      </c>
      <c r="X9471" t="s">
        <v>47433</v>
      </c>
    </row>
    <row r="9472" spans="1:24">
      <c r="A9472">
        <f>HYPERLINK("https://www.philgeps.gov.ph/GEPSNONPILOT/Tender/SplashBidNoticeAbstractUI.aspx?menuIndex=3&amp;refID=7152645&amp;Result=3","7152645")</f>
        <v>0</v>
      </c>
      <c r="B9472" t="s">
        <v>1665</v>
      </c>
      <c r="C9472" t="s">
        <v>12819</v>
      </c>
      <c r="D9472" t="s">
        <v>19095</v>
      </c>
      <c r="E9472" t="s">
        <v>27281</v>
      </c>
      <c r="F9472" t="s">
        <v>32831</v>
      </c>
      <c r="G9472" t="s">
        <v>32839</v>
      </c>
      <c r="H9472" t="s">
        <v>32849</v>
      </c>
      <c r="I9472" t="s">
        <v>4177</v>
      </c>
      <c r="J9472" t="s">
        <v>33066</v>
      </c>
      <c r="K9472" t="s">
        <v>42763</v>
      </c>
      <c r="M9472" t="s">
        <v>44782</v>
      </c>
      <c r="N9472" t="s">
        <v>47424</v>
      </c>
      <c r="O9472" t="s">
        <v>47425</v>
      </c>
      <c r="P9472">
        <v>0</v>
      </c>
      <c r="Q9472">
        <v>0</v>
      </c>
      <c r="R9472" t="s">
        <v>47432</v>
      </c>
      <c r="S9472" t="s">
        <v>47597</v>
      </c>
      <c r="T9472" t="s">
        <v>49077</v>
      </c>
      <c r="U9472" t="s">
        <v>57514</v>
      </c>
      <c r="W9472" t="s">
        <v>64483</v>
      </c>
      <c r="X9472" t="s">
        <v>47433</v>
      </c>
    </row>
    <row r="9473" spans="1:24">
      <c r="A9473">
        <f>HYPERLINK("https://www.philgeps.gov.ph/GEPSNONPILOT/Tender/SplashBidNoticeAbstractUI.aspx?menuIndex=3&amp;refID=7152639&amp;Result=3","7152639")</f>
        <v>0</v>
      </c>
      <c r="B9473" t="s">
        <v>3019</v>
      </c>
      <c r="C9473" t="s">
        <v>12820</v>
      </c>
      <c r="D9473" t="s">
        <v>19023</v>
      </c>
      <c r="E9473" t="s">
        <v>27282</v>
      </c>
      <c r="F9473" t="s">
        <v>32831</v>
      </c>
      <c r="G9473" t="s">
        <v>32839</v>
      </c>
      <c r="H9473" t="s">
        <v>32848</v>
      </c>
      <c r="I9473" t="s">
        <v>7416</v>
      </c>
      <c r="J9473" t="s">
        <v>38846</v>
      </c>
      <c r="K9473" t="s">
        <v>42758</v>
      </c>
      <c r="M9473" t="s">
        <v>46289</v>
      </c>
      <c r="N9473" t="s">
        <v>47424</v>
      </c>
      <c r="O9473" t="s">
        <v>47425</v>
      </c>
      <c r="P9473">
        <v>0</v>
      </c>
      <c r="Q9473">
        <v>1</v>
      </c>
      <c r="R9473" t="s">
        <v>47432</v>
      </c>
      <c r="S9473" t="s">
        <v>47597</v>
      </c>
      <c r="T9473" t="s">
        <v>49214</v>
      </c>
      <c r="U9473" t="s">
        <v>57515</v>
      </c>
      <c r="W9473" t="s">
        <v>46289</v>
      </c>
      <c r="X9473" t="s">
        <v>47433</v>
      </c>
    </row>
    <row r="9474" spans="1:24">
      <c r="A9474">
        <f>HYPERLINK("https://www.philgeps.gov.ph/GEPSNONPILOT/Tender/SplashBidNoticeAbstractUI.aspx?menuIndex=3&amp;refID=7154456&amp;Result=3","7154456")</f>
        <v>0</v>
      </c>
      <c r="B9474" t="s">
        <v>2709</v>
      </c>
      <c r="C9474" t="s">
        <v>12821</v>
      </c>
      <c r="D9474" t="s">
        <v>19018</v>
      </c>
      <c r="E9474" t="s">
        <v>21772</v>
      </c>
      <c r="F9474" t="s">
        <v>32831</v>
      </c>
      <c r="G9474" t="s">
        <v>32839</v>
      </c>
      <c r="H9474" t="s">
        <v>32848</v>
      </c>
      <c r="I9474" t="s">
        <v>7416</v>
      </c>
      <c r="J9474" t="s">
        <v>38847</v>
      </c>
      <c r="K9474" t="s">
        <v>42730</v>
      </c>
      <c r="M9474" t="s">
        <v>45935</v>
      </c>
      <c r="N9474" t="s">
        <v>47424</v>
      </c>
      <c r="O9474" t="s">
        <v>47425</v>
      </c>
      <c r="P9474">
        <v>0</v>
      </c>
      <c r="Q9474">
        <v>0</v>
      </c>
      <c r="R9474" t="s">
        <v>47432</v>
      </c>
      <c r="S9474" t="s">
        <v>47597</v>
      </c>
      <c r="T9474" t="s">
        <v>49211</v>
      </c>
      <c r="U9474" t="s">
        <v>56948</v>
      </c>
      <c r="W9474" t="s">
        <v>45935</v>
      </c>
      <c r="X9474" t="s">
        <v>47433</v>
      </c>
    </row>
    <row r="9475" spans="1:24">
      <c r="A9475">
        <f>HYPERLINK("https://www.philgeps.gov.ph/GEPSNONPILOT/Tender/SplashBidNoticeAbstractUI.aspx?menuIndex=3&amp;refID=7152631&amp;Result=3","7152631")</f>
        <v>0</v>
      </c>
      <c r="B9475" t="s">
        <v>3020</v>
      </c>
      <c r="C9475" t="s">
        <v>9894</v>
      </c>
      <c r="D9475" t="s">
        <v>19057</v>
      </c>
      <c r="E9475" t="s">
        <v>19979</v>
      </c>
      <c r="F9475" t="s">
        <v>32831</v>
      </c>
      <c r="G9475" t="s">
        <v>32839</v>
      </c>
      <c r="H9475" t="s">
        <v>32848</v>
      </c>
      <c r="I9475" t="s">
        <v>4558</v>
      </c>
      <c r="J9475" t="s">
        <v>33978</v>
      </c>
      <c r="K9475" t="s">
        <v>42727</v>
      </c>
      <c r="M9475" t="s">
        <v>46290</v>
      </c>
      <c r="N9475" t="s">
        <v>47424</v>
      </c>
      <c r="O9475" t="s">
        <v>47425</v>
      </c>
      <c r="P9475">
        <v>0</v>
      </c>
      <c r="Q9475">
        <v>0</v>
      </c>
      <c r="R9475" t="s">
        <v>47432</v>
      </c>
      <c r="S9475" t="s">
        <v>47597</v>
      </c>
      <c r="T9475" t="s">
        <v>49162</v>
      </c>
      <c r="U9475" t="s">
        <v>57516</v>
      </c>
      <c r="W9475" t="s">
        <v>46290</v>
      </c>
      <c r="X9475" t="s">
        <v>47433</v>
      </c>
    </row>
    <row r="9476" spans="1:24">
      <c r="A9476">
        <f>HYPERLINK("https://www.philgeps.gov.ph/GEPSNONPILOT/Tender/SplashBidNoticeAbstractUI.aspx?menuIndex=3&amp;refID=7152649&amp;Result=3","7152649")</f>
        <v>0</v>
      </c>
      <c r="B9476" t="s">
        <v>3021</v>
      </c>
      <c r="C9476" t="s">
        <v>12822</v>
      </c>
      <c r="D9476" t="s">
        <v>19034</v>
      </c>
      <c r="E9476" t="s">
        <v>27283</v>
      </c>
      <c r="F9476" t="s">
        <v>32831</v>
      </c>
      <c r="G9476" t="s">
        <v>32839</v>
      </c>
      <c r="H9476" t="s">
        <v>32848</v>
      </c>
      <c r="I9476" t="s">
        <v>32860</v>
      </c>
      <c r="J9476" t="s">
        <v>38848</v>
      </c>
      <c r="K9476" t="s">
        <v>42730</v>
      </c>
      <c r="L9476" t="s">
        <v>3021</v>
      </c>
      <c r="M9476" t="s">
        <v>46291</v>
      </c>
      <c r="N9476" t="s">
        <v>47424</v>
      </c>
      <c r="O9476" t="s">
        <v>47425</v>
      </c>
      <c r="Q9476">
        <v>1</v>
      </c>
      <c r="R9476" t="s">
        <v>47432</v>
      </c>
      <c r="S9476" t="s">
        <v>47586</v>
      </c>
      <c r="T9476" t="s">
        <v>49470</v>
      </c>
      <c r="U9476" t="s">
        <v>57517</v>
      </c>
      <c r="V9476" t="s">
        <v>50828</v>
      </c>
      <c r="W9476" t="s">
        <v>46291</v>
      </c>
      <c r="X9476" t="s">
        <v>47433</v>
      </c>
    </row>
    <row r="9477" spans="1:24">
      <c r="A9477">
        <f>HYPERLINK("https://www.philgeps.gov.ph/GEPSNONPILOT/Tender/SplashBidNoticeAbstractUI.aspx?menuIndex=3&amp;refID=7152587&amp;Result=3","7152587")</f>
        <v>0</v>
      </c>
      <c r="B9477" t="s">
        <v>1665</v>
      </c>
      <c r="C9477" t="s">
        <v>12823</v>
      </c>
      <c r="D9477" t="s">
        <v>19095</v>
      </c>
      <c r="E9477" t="s">
        <v>27284</v>
      </c>
      <c r="F9477" t="s">
        <v>32831</v>
      </c>
      <c r="G9477" t="s">
        <v>32840</v>
      </c>
      <c r="H9477" t="s">
        <v>32848</v>
      </c>
      <c r="I9477" t="s">
        <v>7416</v>
      </c>
      <c r="J9477" t="s">
        <v>38849</v>
      </c>
      <c r="K9477" t="s">
        <v>42732</v>
      </c>
      <c r="M9477" t="s">
        <v>46292</v>
      </c>
      <c r="N9477" t="s">
        <v>47424</v>
      </c>
      <c r="O9477" t="s">
        <v>47425</v>
      </c>
      <c r="P9477">
        <v>0</v>
      </c>
      <c r="Q9477">
        <v>0</v>
      </c>
      <c r="R9477" t="s">
        <v>47432</v>
      </c>
      <c r="S9477" t="s">
        <v>47597</v>
      </c>
      <c r="T9477" t="s">
        <v>49056</v>
      </c>
      <c r="U9477" t="s">
        <v>57518</v>
      </c>
      <c r="W9477" t="s">
        <v>46292</v>
      </c>
      <c r="X9477" t="s">
        <v>47433</v>
      </c>
    </row>
    <row r="9478" spans="1:24">
      <c r="A9478">
        <f>HYPERLINK("https://www.philgeps.gov.ph/GEPSNONPILOT/Tender/SplashBidNoticeAbstractUI.aspx?menuIndex=3&amp;refID=7152581&amp;Result=3","7152581")</f>
        <v>0</v>
      </c>
      <c r="B9478" t="s">
        <v>3022</v>
      </c>
      <c r="C9478" t="s">
        <v>12824</v>
      </c>
      <c r="D9478" t="s">
        <v>19052</v>
      </c>
      <c r="E9478" t="s">
        <v>19977</v>
      </c>
      <c r="F9478" t="s">
        <v>32831</v>
      </c>
      <c r="G9478" t="s">
        <v>32839</v>
      </c>
      <c r="H9478" t="s">
        <v>32848</v>
      </c>
      <c r="I9478" t="s">
        <v>4303</v>
      </c>
      <c r="J9478" t="s">
        <v>38850</v>
      </c>
      <c r="K9478" t="s">
        <v>42732</v>
      </c>
      <c r="M9478" t="s">
        <v>46293</v>
      </c>
      <c r="N9478" t="s">
        <v>47424</v>
      </c>
      <c r="O9478" t="s">
        <v>47425</v>
      </c>
      <c r="P9478">
        <v>0</v>
      </c>
      <c r="Q9478">
        <v>1</v>
      </c>
      <c r="R9478" t="s">
        <v>47432</v>
      </c>
      <c r="S9478" t="s">
        <v>47597</v>
      </c>
      <c r="T9478" t="s">
        <v>49221</v>
      </c>
      <c r="U9478" t="s">
        <v>57519</v>
      </c>
      <c r="W9478" t="s">
        <v>46293</v>
      </c>
      <c r="X9478" t="s">
        <v>47433</v>
      </c>
    </row>
    <row r="9479" spans="1:24">
      <c r="A9479">
        <f>HYPERLINK("https://www.philgeps.gov.ph/GEPSNONPILOT/Tender/SplashBidNoticeAbstractUI.aspx?menuIndex=3&amp;refID=7152642&amp;Result=3","7152642")</f>
        <v>0</v>
      </c>
      <c r="B9479" t="s">
        <v>1236</v>
      </c>
      <c r="C9479" t="s">
        <v>12825</v>
      </c>
      <c r="D9479" t="s">
        <v>19045</v>
      </c>
      <c r="E9479" t="s">
        <v>19198</v>
      </c>
      <c r="F9479" t="s">
        <v>32831</v>
      </c>
      <c r="G9479" t="s">
        <v>32839</v>
      </c>
      <c r="H9479" t="s">
        <v>32849</v>
      </c>
      <c r="I9479" t="s">
        <v>4177</v>
      </c>
      <c r="J9479" t="s">
        <v>33118</v>
      </c>
      <c r="K9479" t="s">
        <v>42763</v>
      </c>
      <c r="M9479" t="s">
        <v>44306</v>
      </c>
      <c r="N9479" t="s">
        <v>47424</v>
      </c>
      <c r="O9479" t="s">
        <v>47425</v>
      </c>
      <c r="P9479">
        <v>0</v>
      </c>
      <c r="Q9479">
        <v>2</v>
      </c>
      <c r="R9479" t="s">
        <v>47432</v>
      </c>
      <c r="S9479" t="s">
        <v>47597</v>
      </c>
      <c r="T9479" t="s">
        <v>49112</v>
      </c>
      <c r="U9479" t="s">
        <v>57520</v>
      </c>
      <c r="W9479" t="s">
        <v>44306</v>
      </c>
      <c r="X9479" t="s">
        <v>47433</v>
      </c>
    </row>
    <row r="9480" spans="1:24">
      <c r="A9480">
        <f>HYPERLINK("https://www.philgeps.gov.ph/GEPSNONPILOT/Tender/SplashBidNoticeAbstractUI.aspx?menuIndex=3&amp;refID=7152580&amp;Result=3","7152580")</f>
        <v>0</v>
      </c>
      <c r="B9480" t="s">
        <v>1357</v>
      </c>
      <c r="C9480" t="s">
        <v>12826</v>
      </c>
      <c r="D9480" t="s">
        <v>19119</v>
      </c>
      <c r="E9480" t="s">
        <v>27285</v>
      </c>
      <c r="F9480" t="s">
        <v>32831</v>
      </c>
      <c r="G9480" t="s">
        <v>32839</v>
      </c>
      <c r="H9480" t="s">
        <v>32848</v>
      </c>
      <c r="I9480" t="s">
        <v>32883</v>
      </c>
      <c r="J9480" t="s">
        <v>38851</v>
      </c>
      <c r="K9480" t="s">
        <v>42730</v>
      </c>
      <c r="M9480" t="s">
        <v>45854</v>
      </c>
      <c r="N9480" t="s">
        <v>47424</v>
      </c>
      <c r="O9480" t="s">
        <v>47425</v>
      </c>
      <c r="P9480">
        <v>0</v>
      </c>
      <c r="Q9480">
        <v>4</v>
      </c>
      <c r="R9480" t="s">
        <v>47432</v>
      </c>
      <c r="S9480" t="s">
        <v>47597</v>
      </c>
      <c r="T9480" t="s">
        <v>49221</v>
      </c>
      <c r="U9480" t="s">
        <v>57521</v>
      </c>
      <c r="W9480" t="s">
        <v>45854</v>
      </c>
      <c r="X9480" t="s">
        <v>47433</v>
      </c>
    </row>
    <row r="9481" spans="1:24">
      <c r="A9481">
        <f>HYPERLINK("https://www.philgeps.gov.ph/GEPSNONPILOT/Tender/SplashBidNoticeAbstractUI.aspx?menuIndex=3&amp;refID=7152571&amp;Result=3","7152571")</f>
        <v>0</v>
      </c>
      <c r="B9481" t="s">
        <v>1760</v>
      </c>
      <c r="C9481" t="s">
        <v>12827</v>
      </c>
      <c r="D9481" t="s">
        <v>19058</v>
      </c>
      <c r="E9481" t="s">
        <v>27286</v>
      </c>
      <c r="F9481" t="s">
        <v>32831</v>
      </c>
      <c r="G9481" t="s">
        <v>32839</v>
      </c>
      <c r="H9481" t="s">
        <v>32848</v>
      </c>
      <c r="I9481" t="s">
        <v>7416</v>
      </c>
      <c r="J9481" t="s">
        <v>38852</v>
      </c>
      <c r="K9481" t="s">
        <v>42746</v>
      </c>
      <c r="M9481" t="s">
        <v>44884</v>
      </c>
      <c r="N9481" t="s">
        <v>47424</v>
      </c>
      <c r="O9481" t="s">
        <v>47425</v>
      </c>
      <c r="P9481">
        <v>0</v>
      </c>
      <c r="Q9481">
        <v>1</v>
      </c>
      <c r="R9481" t="s">
        <v>47432</v>
      </c>
      <c r="S9481" t="s">
        <v>47597</v>
      </c>
      <c r="T9481" t="s">
        <v>49173</v>
      </c>
      <c r="U9481" t="s">
        <v>57522</v>
      </c>
      <c r="W9481" t="s">
        <v>44884</v>
      </c>
      <c r="X9481" t="s">
        <v>47433</v>
      </c>
    </row>
    <row r="9482" spans="1:24">
      <c r="A9482">
        <f>HYPERLINK("https://www.philgeps.gov.ph/GEPSNONPILOT/Tender/SplashBidNoticeAbstractUI.aspx?menuIndex=3&amp;refID=7149575&amp;Result=3","7149575")</f>
        <v>0</v>
      </c>
      <c r="B9482" t="s">
        <v>3023</v>
      </c>
      <c r="C9482" t="s">
        <v>12828</v>
      </c>
      <c r="D9482" t="s">
        <v>19044</v>
      </c>
      <c r="E9482" t="s">
        <v>27141</v>
      </c>
      <c r="F9482" t="s">
        <v>32831</v>
      </c>
      <c r="G9482" t="s">
        <v>32838</v>
      </c>
      <c r="H9482" t="s">
        <v>32848</v>
      </c>
      <c r="I9482" t="s">
        <v>32931</v>
      </c>
      <c r="J9482" t="s">
        <v>33193</v>
      </c>
      <c r="K9482" t="s">
        <v>42730</v>
      </c>
      <c r="M9482" t="s">
        <v>46294</v>
      </c>
      <c r="N9482" t="s">
        <v>47424</v>
      </c>
      <c r="O9482" t="s">
        <v>47425</v>
      </c>
      <c r="P9482">
        <v>0</v>
      </c>
      <c r="Q9482">
        <v>15</v>
      </c>
      <c r="R9482" t="s">
        <v>47433</v>
      </c>
      <c r="S9482" t="s">
        <v>47633</v>
      </c>
      <c r="T9482" t="s">
        <v>49162</v>
      </c>
      <c r="U9482" t="s">
        <v>57523</v>
      </c>
      <c r="V9482" t="s">
        <v>63669</v>
      </c>
      <c r="W9482" t="s">
        <v>46294</v>
      </c>
      <c r="X9482" t="s">
        <v>47434</v>
      </c>
    </row>
    <row r="9483" spans="1:24">
      <c r="A9483">
        <f>HYPERLINK("https://www.philgeps.gov.ph/GEPSNONPILOT/Tender/SplashBidNoticeAbstractUI.aspx?menuIndex=3&amp;refID=7152541&amp;Result=3","7152541")</f>
        <v>0</v>
      </c>
      <c r="B9483" t="s">
        <v>3024</v>
      </c>
      <c r="C9483" t="s">
        <v>9492</v>
      </c>
      <c r="E9483" t="s">
        <v>27287</v>
      </c>
      <c r="F9483" t="s">
        <v>32831</v>
      </c>
      <c r="G9483" t="s">
        <v>32839</v>
      </c>
      <c r="H9483" t="s">
        <v>32849</v>
      </c>
      <c r="I9483" t="s">
        <v>4177</v>
      </c>
      <c r="J9483" t="s">
        <v>33338</v>
      </c>
      <c r="K9483" t="s">
        <v>42731</v>
      </c>
      <c r="M9483" t="s">
        <v>44657</v>
      </c>
      <c r="N9483" t="s">
        <v>47424</v>
      </c>
      <c r="O9483" t="s">
        <v>47425</v>
      </c>
      <c r="P9483">
        <v>0</v>
      </c>
      <c r="Q9483">
        <v>0</v>
      </c>
      <c r="R9483" t="s">
        <v>47432</v>
      </c>
      <c r="S9483" t="s">
        <v>47597</v>
      </c>
      <c r="T9483" t="s">
        <v>49177</v>
      </c>
      <c r="U9483" t="s">
        <v>57524</v>
      </c>
      <c r="W9483" t="s">
        <v>44657</v>
      </c>
      <c r="X9483" t="s">
        <v>47433</v>
      </c>
    </row>
    <row r="9484" spans="1:24">
      <c r="A9484">
        <f>HYPERLINK("https://www.philgeps.gov.ph/GEPSNONPILOT/Tender/SplashBidNoticeAbstractUI.aspx?menuIndex=3&amp;refID=7152527&amp;Result=3","7152527")</f>
        <v>0</v>
      </c>
      <c r="B9484" t="s">
        <v>1439</v>
      </c>
      <c r="C9484" t="s">
        <v>11433</v>
      </c>
      <c r="D9484" t="s">
        <v>19027</v>
      </c>
      <c r="E9484" t="s">
        <v>27288</v>
      </c>
      <c r="F9484" t="s">
        <v>32831</v>
      </c>
      <c r="G9484" t="s">
        <v>32838</v>
      </c>
      <c r="H9484" t="s">
        <v>32848</v>
      </c>
      <c r="I9484" t="s">
        <v>4438</v>
      </c>
      <c r="J9484" t="s">
        <v>38309</v>
      </c>
      <c r="K9484" t="s">
        <v>42727</v>
      </c>
      <c r="M9484" t="s">
        <v>44529</v>
      </c>
      <c r="N9484" t="s">
        <v>47424</v>
      </c>
      <c r="O9484" t="s">
        <v>47425</v>
      </c>
      <c r="P9484">
        <v>0</v>
      </c>
      <c r="Q9484">
        <v>3</v>
      </c>
      <c r="R9484" t="s">
        <v>47432</v>
      </c>
      <c r="S9484" t="s">
        <v>47597</v>
      </c>
      <c r="T9484" t="s">
        <v>49205</v>
      </c>
      <c r="U9484" t="s">
        <v>57525</v>
      </c>
      <c r="W9484" t="s">
        <v>44529</v>
      </c>
      <c r="X9484" t="s">
        <v>47433</v>
      </c>
    </row>
    <row r="9485" spans="1:24">
      <c r="A9485">
        <f>HYPERLINK("https://www.philgeps.gov.ph/GEPSNONPILOT/Tender/SplashBidNoticeAbstractUI.aspx?menuIndex=3&amp;refID=7152525&amp;Result=3","7152525")</f>
        <v>0</v>
      </c>
      <c r="B9485" t="s">
        <v>2697</v>
      </c>
      <c r="C9485" t="s">
        <v>12829</v>
      </c>
      <c r="D9485" t="s">
        <v>19022</v>
      </c>
      <c r="E9485" t="s">
        <v>27289</v>
      </c>
      <c r="F9485" t="s">
        <v>32831</v>
      </c>
      <c r="G9485" t="s">
        <v>32839</v>
      </c>
      <c r="H9485" t="s">
        <v>32848</v>
      </c>
      <c r="I9485" t="s">
        <v>7751</v>
      </c>
      <c r="J9485" t="s">
        <v>34095</v>
      </c>
      <c r="K9485" t="s">
        <v>42730</v>
      </c>
      <c r="M9485" t="s">
        <v>45922</v>
      </c>
      <c r="N9485" t="s">
        <v>47424</v>
      </c>
      <c r="O9485" t="s">
        <v>47425</v>
      </c>
      <c r="P9485">
        <v>0</v>
      </c>
      <c r="Q9485">
        <v>0</v>
      </c>
      <c r="R9485" t="s">
        <v>47432</v>
      </c>
      <c r="S9485" t="s">
        <v>47597</v>
      </c>
      <c r="T9485" t="s">
        <v>49535</v>
      </c>
      <c r="U9485" t="s">
        <v>56356</v>
      </c>
      <c r="V9485" t="s">
        <v>63670</v>
      </c>
      <c r="W9485" t="s">
        <v>45922</v>
      </c>
      <c r="X9485" t="s">
        <v>47433</v>
      </c>
    </row>
    <row r="9486" spans="1:24">
      <c r="A9486">
        <f>HYPERLINK("https://www.philgeps.gov.ph/GEPSNONPILOT/Tender/SplashBidNoticeAbstractUI.aspx?menuIndex=3&amp;refID=7152524&amp;Result=3","7152524")</f>
        <v>0</v>
      </c>
      <c r="B9486" t="s">
        <v>2688</v>
      </c>
      <c r="C9486" t="s">
        <v>12830</v>
      </c>
      <c r="D9486" t="s">
        <v>19082</v>
      </c>
      <c r="E9486" t="s">
        <v>27290</v>
      </c>
      <c r="F9486" t="s">
        <v>32831</v>
      </c>
      <c r="G9486" t="s">
        <v>32838</v>
      </c>
      <c r="H9486" t="s">
        <v>32848</v>
      </c>
      <c r="I9486" t="s">
        <v>9577</v>
      </c>
      <c r="J9486" t="s">
        <v>38853</v>
      </c>
      <c r="K9486" t="s">
        <v>42726</v>
      </c>
      <c r="M9486" t="s">
        <v>45911</v>
      </c>
      <c r="N9486" t="s">
        <v>47424</v>
      </c>
      <c r="O9486" t="s">
        <v>47425</v>
      </c>
      <c r="P9486">
        <v>0</v>
      </c>
      <c r="Q9486">
        <v>0</v>
      </c>
      <c r="R9486" t="s">
        <v>47432</v>
      </c>
      <c r="S9486" t="s">
        <v>47597</v>
      </c>
      <c r="T9486" t="s">
        <v>49107</v>
      </c>
      <c r="U9486" t="s">
        <v>56333</v>
      </c>
      <c r="W9486" t="s">
        <v>45911</v>
      </c>
      <c r="X9486" t="s">
        <v>47433</v>
      </c>
    </row>
    <row r="9487" spans="1:24">
      <c r="A9487">
        <f>HYPERLINK("https://www.philgeps.gov.ph/GEPSNONPILOT/Tender/SplashBidNoticeAbstractUI.aspx?menuIndex=3&amp;refID=7154458&amp;Result=3","7154458")</f>
        <v>0</v>
      </c>
      <c r="B9487" t="s">
        <v>3025</v>
      </c>
      <c r="C9487" t="s">
        <v>12831</v>
      </c>
      <c r="D9487" t="s">
        <v>19046</v>
      </c>
      <c r="E9487" t="s">
        <v>19211</v>
      </c>
      <c r="F9487" t="s">
        <v>32831</v>
      </c>
      <c r="G9487" t="s">
        <v>32839</v>
      </c>
      <c r="H9487" t="s">
        <v>32848</v>
      </c>
      <c r="I9487" t="s">
        <v>7416</v>
      </c>
      <c r="J9487" t="s">
        <v>38854</v>
      </c>
      <c r="K9487" t="s">
        <v>42730</v>
      </c>
      <c r="M9487" t="s">
        <v>46295</v>
      </c>
      <c r="N9487" t="s">
        <v>47424</v>
      </c>
      <c r="O9487" t="s">
        <v>47425</v>
      </c>
      <c r="P9487">
        <v>0</v>
      </c>
      <c r="Q9487">
        <v>0</v>
      </c>
      <c r="R9487" t="s">
        <v>47432</v>
      </c>
      <c r="S9487" t="s">
        <v>47597</v>
      </c>
      <c r="T9487" t="s">
        <v>49056</v>
      </c>
      <c r="U9487" t="s">
        <v>57526</v>
      </c>
      <c r="W9487" t="s">
        <v>46295</v>
      </c>
      <c r="X9487" t="s">
        <v>47433</v>
      </c>
    </row>
    <row r="9488" spans="1:24">
      <c r="A9488">
        <f>HYPERLINK("https://www.philgeps.gov.ph/GEPSNONPILOT/Tender/SplashBidNoticeAbstractUI.aspx?menuIndex=3&amp;refID=7152526&amp;Result=3","7152526")</f>
        <v>0</v>
      </c>
      <c r="B9488" t="s">
        <v>1711</v>
      </c>
      <c r="C9488" t="s">
        <v>12832</v>
      </c>
      <c r="D9488" t="s">
        <v>19018</v>
      </c>
      <c r="E9488" t="s">
        <v>27291</v>
      </c>
      <c r="F9488" t="s">
        <v>32831</v>
      </c>
      <c r="G9488" t="s">
        <v>32838</v>
      </c>
      <c r="H9488" t="s">
        <v>32848</v>
      </c>
      <c r="I9488" t="s">
        <v>4435</v>
      </c>
      <c r="J9488" t="s">
        <v>38855</v>
      </c>
      <c r="K9488" t="s">
        <v>42731</v>
      </c>
      <c r="L9488" t="s">
        <v>1711</v>
      </c>
      <c r="M9488" t="s">
        <v>44833</v>
      </c>
      <c r="N9488" t="s">
        <v>47424</v>
      </c>
      <c r="O9488" t="s">
        <v>47425</v>
      </c>
      <c r="P9488">
        <v>0</v>
      </c>
      <c r="Q9488">
        <v>2</v>
      </c>
      <c r="R9488" t="s">
        <v>47432</v>
      </c>
      <c r="S9488" t="s">
        <v>47597</v>
      </c>
      <c r="T9488" t="s">
        <v>49107</v>
      </c>
      <c r="U9488" t="s">
        <v>57527</v>
      </c>
      <c r="W9488" t="s">
        <v>44833</v>
      </c>
      <c r="X9488" t="s">
        <v>47433</v>
      </c>
    </row>
    <row r="9489" spans="1:24">
      <c r="A9489">
        <f>HYPERLINK("https://www.philgeps.gov.ph/GEPSNONPILOT/Tender/SplashBidNoticeAbstractUI.aspx?menuIndex=3&amp;refID=7152335&amp;Result=3","7152335")</f>
        <v>0</v>
      </c>
      <c r="B9489" t="s">
        <v>2475</v>
      </c>
      <c r="C9489" t="s">
        <v>4888</v>
      </c>
      <c r="D9489" t="s">
        <v>19039</v>
      </c>
      <c r="E9489" t="s">
        <v>27292</v>
      </c>
      <c r="F9489" t="s">
        <v>32831</v>
      </c>
      <c r="G9489" t="s">
        <v>32839</v>
      </c>
      <c r="H9489" t="s">
        <v>32849</v>
      </c>
      <c r="I9489" t="s">
        <v>4177</v>
      </c>
      <c r="J9489" t="s">
        <v>32980</v>
      </c>
      <c r="K9489" t="s">
        <v>42745</v>
      </c>
      <c r="M9489" t="s">
        <v>45675</v>
      </c>
      <c r="N9489" t="s">
        <v>47424</v>
      </c>
      <c r="O9489" t="s">
        <v>47425</v>
      </c>
      <c r="P9489">
        <v>0</v>
      </c>
      <c r="Q9489">
        <v>1</v>
      </c>
      <c r="R9489" t="s">
        <v>47432</v>
      </c>
      <c r="S9489" t="s">
        <v>47597</v>
      </c>
      <c r="T9489" t="s">
        <v>49219</v>
      </c>
      <c r="U9489" t="s">
        <v>57528</v>
      </c>
      <c r="V9489" t="s">
        <v>63671</v>
      </c>
      <c r="W9489" t="s">
        <v>45675</v>
      </c>
      <c r="X9489" t="s">
        <v>47433</v>
      </c>
    </row>
    <row r="9490" spans="1:24">
      <c r="A9490">
        <f>HYPERLINK("https://www.philgeps.gov.ph/GEPSNONPILOT/Tender/SplashBidNoticeAbstractUI.aspx?menuIndex=3&amp;refID=7149827&amp;Result=3","7149827")</f>
        <v>0</v>
      </c>
      <c r="B9490" t="s">
        <v>2277</v>
      </c>
      <c r="C9490" t="s">
        <v>12833</v>
      </c>
      <c r="D9490" t="s">
        <v>19031</v>
      </c>
      <c r="E9490" t="s">
        <v>27293</v>
      </c>
      <c r="F9490" t="s">
        <v>32831</v>
      </c>
      <c r="G9490" t="s">
        <v>32838</v>
      </c>
      <c r="H9490" t="s">
        <v>32848</v>
      </c>
      <c r="I9490" t="s">
        <v>32855</v>
      </c>
      <c r="J9490" t="s">
        <v>38856</v>
      </c>
      <c r="K9490" t="s">
        <v>42731</v>
      </c>
      <c r="M9490" t="s">
        <v>45461</v>
      </c>
      <c r="N9490" t="s">
        <v>47424</v>
      </c>
      <c r="O9490" t="s">
        <v>47425</v>
      </c>
      <c r="P9490">
        <v>0</v>
      </c>
      <c r="Q9490">
        <v>3</v>
      </c>
      <c r="R9490" t="s">
        <v>47433</v>
      </c>
      <c r="S9490" t="s">
        <v>47633</v>
      </c>
      <c r="T9490" t="s">
        <v>49214</v>
      </c>
      <c r="U9490" t="s">
        <v>57529</v>
      </c>
      <c r="W9490" t="s">
        <v>45461</v>
      </c>
      <c r="X9490" t="s">
        <v>47434</v>
      </c>
    </row>
    <row r="9491" spans="1:24">
      <c r="A9491">
        <f>HYPERLINK("https://www.philgeps.gov.ph/GEPSNONPILOT/Tender/SplashBidNoticeAbstractUI.aspx?menuIndex=3&amp;refID=7152583&amp;Result=3","7152583")</f>
        <v>0</v>
      </c>
      <c r="B9491" t="s">
        <v>1320</v>
      </c>
      <c r="C9491" t="s">
        <v>12834</v>
      </c>
      <c r="D9491" t="s">
        <v>19085</v>
      </c>
      <c r="E9491" t="s">
        <v>27294</v>
      </c>
      <c r="F9491" t="s">
        <v>32831</v>
      </c>
      <c r="G9491" t="s">
        <v>32838</v>
      </c>
      <c r="H9491" t="s">
        <v>32848</v>
      </c>
      <c r="I9491" t="s">
        <v>7416</v>
      </c>
      <c r="J9491" t="s">
        <v>38857</v>
      </c>
      <c r="K9491" t="s">
        <v>42731</v>
      </c>
      <c r="M9491" t="s">
        <v>44391</v>
      </c>
      <c r="N9491" t="s">
        <v>47424</v>
      </c>
      <c r="O9491" t="s">
        <v>47425</v>
      </c>
      <c r="P9491">
        <v>0</v>
      </c>
      <c r="Q9491">
        <v>0</v>
      </c>
      <c r="R9491" t="s">
        <v>47432</v>
      </c>
      <c r="S9491" t="s">
        <v>47597</v>
      </c>
      <c r="T9491" t="s">
        <v>49129</v>
      </c>
      <c r="U9491" t="s">
        <v>57530</v>
      </c>
      <c r="W9491" t="s">
        <v>44391</v>
      </c>
      <c r="X9491" t="s">
        <v>47433</v>
      </c>
    </row>
    <row r="9492" spans="1:24">
      <c r="A9492">
        <f>HYPERLINK("https://www.philgeps.gov.ph/GEPSNONPILOT/Tender/SplashBidNoticeAbstractUI.aspx?menuIndex=3&amp;refID=7149839&amp;Result=3","7149839")</f>
        <v>0</v>
      </c>
      <c r="B9492" t="s">
        <v>1864</v>
      </c>
      <c r="C9492" t="s">
        <v>4067</v>
      </c>
      <c r="D9492" t="s">
        <v>19045</v>
      </c>
      <c r="E9492" t="s">
        <v>27295</v>
      </c>
      <c r="F9492" t="s">
        <v>32831</v>
      </c>
      <c r="G9492" t="s">
        <v>32839</v>
      </c>
      <c r="H9492" t="s">
        <v>32848</v>
      </c>
      <c r="I9492" t="s">
        <v>9577</v>
      </c>
      <c r="J9492" t="s">
        <v>33175</v>
      </c>
      <c r="K9492" t="s">
        <v>42731</v>
      </c>
      <c r="M9492" t="s">
        <v>45006</v>
      </c>
      <c r="N9492" t="s">
        <v>47424</v>
      </c>
      <c r="O9492" t="s">
        <v>47425</v>
      </c>
      <c r="P9492">
        <v>0</v>
      </c>
      <c r="Q9492">
        <v>1</v>
      </c>
      <c r="R9492" t="s">
        <v>47433</v>
      </c>
      <c r="S9492" t="s">
        <v>47633</v>
      </c>
      <c r="T9492" t="s">
        <v>49173</v>
      </c>
      <c r="U9492" t="s">
        <v>57531</v>
      </c>
      <c r="W9492" t="s">
        <v>45006</v>
      </c>
      <c r="X9492" t="s">
        <v>47434</v>
      </c>
    </row>
    <row r="9493" spans="1:24">
      <c r="A9493">
        <f>HYPERLINK("https://www.philgeps.gov.ph/GEPSNONPILOT/Tender/SplashBidNoticeAbstractUI.aspx?menuIndex=3&amp;refID=7149833&amp;Result=3","7149833")</f>
        <v>0</v>
      </c>
      <c r="B9493" t="s">
        <v>1118</v>
      </c>
      <c r="C9493" t="s">
        <v>12835</v>
      </c>
      <c r="D9493" t="s">
        <v>19060</v>
      </c>
      <c r="E9493" t="s">
        <v>27296</v>
      </c>
      <c r="F9493" t="s">
        <v>32831</v>
      </c>
      <c r="G9493" t="s">
        <v>32839</v>
      </c>
      <c r="H9493" t="s">
        <v>32848</v>
      </c>
      <c r="I9493" t="s">
        <v>32867</v>
      </c>
      <c r="J9493" t="s">
        <v>38858</v>
      </c>
      <c r="K9493" t="s">
        <v>42726</v>
      </c>
      <c r="M9493" t="s">
        <v>45853</v>
      </c>
      <c r="N9493" t="s">
        <v>47424</v>
      </c>
      <c r="O9493" t="s">
        <v>47425</v>
      </c>
      <c r="P9493">
        <v>0</v>
      </c>
      <c r="Q9493">
        <v>7</v>
      </c>
      <c r="R9493" t="s">
        <v>47433</v>
      </c>
      <c r="S9493" t="s">
        <v>47633</v>
      </c>
      <c r="T9493" t="s">
        <v>49338</v>
      </c>
      <c r="U9493" t="s">
        <v>57532</v>
      </c>
      <c r="V9493" t="s">
        <v>63672</v>
      </c>
      <c r="W9493" t="s">
        <v>45853</v>
      </c>
      <c r="X9493" t="s">
        <v>47434</v>
      </c>
    </row>
    <row r="9494" spans="1:24">
      <c r="A9494">
        <f>HYPERLINK("https://www.philgeps.gov.ph/GEPSNONPILOT/Tender/SplashBidNoticeAbstractUI.aspx?menuIndex=3&amp;refID=7149831&amp;Result=3","7149831")</f>
        <v>0</v>
      </c>
      <c r="B9494" t="s">
        <v>862</v>
      </c>
      <c r="C9494" t="s">
        <v>12836</v>
      </c>
      <c r="D9494" t="s">
        <v>19074</v>
      </c>
      <c r="E9494" t="s">
        <v>27297</v>
      </c>
      <c r="F9494" t="s">
        <v>32831</v>
      </c>
      <c r="G9494" t="s">
        <v>32839</v>
      </c>
      <c r="H9494" t="s">
        <v>32849</v>
      </c>
      <c r="I9494" t="s">
        <v>4177</v>
      </c>
      <c r="J9494" t="s">
        <v>38859</v>
      </c>
      <c r="K9494" t="s">
        <v>42763</v>
      </c>
      <c r="M9494" t="s">
        <v>43896</v>
      </c>
      <c r="N9494" t="s">
        <v>47424</v>
      </c>
      <c r="O9494" t="s">
        <v>47425</v>
      </c>
      <c r="P9494">
        <v>0</v>
      </c>
      <c r="Q9494">
        <v>0</v>
      </c>
      <c r="R9494" t="s">
        <v>47433</v>
      </c>
      <c r="S9494" t="s">
        <v>47633</v>
      </c>
      <c r="T9494" t="s">
        <v>49173</v>
      </c>
      <c r="U9494" t="s">
        <v>51270</v>
      </c>
      <c r="W9494" t="s">
        <v>43896</v>
      </c>
      <c r="X9494" t="s">
        <v>47434</v>
      </c>
    </row>
    <row r="9495" spans="1:24">
      <c r="A9495">
        <f>HYPERLINK("https://www.philgeps.gov.ph/GEPSNONPILOT/Tender/SplashBidNoticeAbstractUI.aspx?menuIndex=3&amp;refID=7152590&amp;Result=3","7152590")</f>
        <v>0</v>
      </c>
      <c r="B9495" t="s">
        <v>2690</v>
      </c>
      <c r="C9495" t="s">
        <v>12837</v>
      </c>
      <c r="D9495" t="s">
        <v>19055</v>
      </c>
      <c r="E9495" t="s">
        <v>27298</v>
      </c>
      <c r="F9495" t="s">
        <v>32831</v>
      </c>
      <c r="G9495" t="s">
        <v>32838</v>
      </c>
      <c r="H9495" t="s">
        <v>32848</v>
      </c>
      <c r="I9495" t="s">
        <v>32855</v>
      </c>
      <c r="J9495" t="s">
        <v>38860</v>
      </c>
      <c r="K9495" t="s">
        <v>42742</v>
      </c>
      <c r="M9495" t="s">
        <v>45913</v>
      </c>
      <c r="N9495" t="s">
        <v>47424</v>
      </c>
      <c r="O9495" t="s">
        <v>47425</v>
      </c>
      <c r="P9495">
        <v>0</v>
      </c>
      <c r="Q9495">
        <v>12</v>
      </c>
      <c r="R9495" t="s">
        <v>47432</v>
      </c>
      <c r="S9495" t="s">
        <v>47597</v>
      </c>
      <c r="T9495" t="s">
        <v>49107</v>
      </c>
      <c r="U9495" t="s">
        <v>57533</v>
      </c>
      <c r="W9495" t="s">
        <v>45913</v>
      </c>
      <c r="X9495" t="s">
        <v>47433</v>
      </c>
    </row>
    <row r="9496" spans="1:24">
      <c r="A9496">
        <f>HYPERLINK("https://www.philgeps.gov.ph/GEPSNONPILOT/Tender/SplashBidNoticeAbstractUI.aspx?menuIndex=3&amp;refID=7149828&amp;Result=3","7149828")</f>
        <v>0</v>
      </c>
      <c r="B9496" t="s">
        <v>3026</v>
      </c>
      <c r="C9496" t="s">
        <v>12838</v>
      </c>
      <c r="D9496" t="s">
        <v>19047</v>
      </c>
      <c r="E9496" t="s">
        <v>27299</v>
      </c>
      <c r="F9496" t="s">
        <v>32831</v>
      </c>
      <c r="G9496" t="s">
        <v>32839</v>
      </c>
      <c r="H9496" t="s">
        <v>32848</v>
      </c>
      <c r="I9496" t="s">
        <v>7416</v>
      </c>
      <c r="J9496" t="s">
        <v>38861</v>
      </c>
      <c r="K9496" t="s">
        <v>42731</v>
      </c>
      <c r="M9496" t="s">
        <v>46296</v>
      </c>
      <c r="N9496" t="s">
        <v>47424</v>
      </c>
      <c r="O9496" t="s">
        <v>47425</v>
      </c>
      <c r="P9496">
        <v>0</v>
      </c>
      <c r="Q9496">
        <v>0</v>
      </c>
      <c r="R9496" t="s">
        <v>47433</v>
      </c>
      <c r="S9496" t="s">
        <v>47633</v>
      </c>
      <c r="T9496" t="s">
        <v>49069</v>
      </c>
      <c r="U9496" t="s">
        <v>57534</v>
      </c>
      <c r="W9496" t="s">
        <v>46296</v>
      </c>
      <c r="X9496" t="s">
        <v>47434</v>
      </c>
    </row>
    <row r="9497" spans="1:24">
      <c r="A9497">
        <f>HYPERLINK("https://www.philgeps.gov.ph/GEPSNONPILOT/Tender/SplashBidNoticeAbstractUI.aspx?menuIndex=3&amp;refID=7149814&amp;Result=3","7149814")</f>
        <v>0</v>
      </c>
      <c r="B9497" t="s">
        <v>660</v>
      </c>
      <c r="C9497" t="s">
        <v>12839</v>
      </c>
      <c r="E9497" t="s">
        <v>27300</v>
      </c>
      <c r="F9497" t="s">
        <v>32831</v>
      </c>
      <c r="G9497" t="s">
        <v>32841</v>
      </c>
      <c r="H9497" t="s">
        <v>32848</v>
      </c>
      <c r="I9497" t="s">
        <v>32856</v>
      </c>
      <c r="J9497" t="s">
        <v>38862</v>
      </c>
      <c r="K9497" t="s">
        <v>42732</v>
      </c>
      <c r="M9497" t="s">
        <v>43678</v>
      </c>
      <c r="N9497" t="s">
        <v>47424</v>
      </c>
      <c r="O9497" t="s">
        <v>47425</v>
      </c>
      <c r="P9497">
        <v>0</v>
      </c>
      <c r="Q9497">
        <v>16</v>
      </c>
      <c r="R9497" t="s">
        <v>47433</v>
      </c>
      <c r="S9497" t="s">
        <v>47633</v>
      </c>
      <c r="T9497" t="s">
        <v>49192</v>
      </c>
      <c r="U9497" t="s">
        <v>57535</v>
      </c>
      <c r="W9497" t="s">
        <v>43678</v>
      </c>
      <c r="X9497" t="s">
        <v>47434</v>
      </c>
    </row>
    <row r="9498" spans="1:24">
      <c r="A9498">
        <f>HYPERLINK("https://www.philgeps.gov.ph/GEPSNONPILOT/Tender/SplashBidNoticeAbstractUI.aspx?menuIndex=3&amp;refID=7149836&amp;Result=3","7149836")</f>
        <v>0</v>
      </c>
      <c r="B9498" t="s">
        <v>3027</v>
      </c>
      <c r="C9498" t="s">
        <v>12840</v>
      </c>
      <c r="D9498" t="s">
        <v>19057</v>
      </c>
      <c r="E9498" t="s">
        <v>27088</v>
      </c>
      <c r="F9498" t="s">
        <v>32831</v>
      </c>
      <c r="G9498" t="s">
        <v>32839</v>
      </c>
      <c r="H9498" t="s">
        <v>32848</v>
      </c>
      <c r="I9498" t="s">
        <v>7819</v>
      </c>
      <c r="J9498" t="s">
        <v>33084</v>
      </c>
      <c r="K9498" t="s">
        <v>42726</v>
      </c>
      <c r="M9498" t="s">
        <v>46297</v>
      </c>
      <c r="N9498" t="s">
        <v>47424</v>
      </c>
      <c r="O9498" t="s">
        <v>47425</v>
      </c>
      <c r="P9498">
        <v>0</v>
      </c>
      <c r="Q9498">
        <v>0</v>
      </c>
      <c r="R9498" t="s">
        <v>47433</v>
      </c>
      <c r="S9498" t="s">
        <v>47633</v>
      </c>
      <c r="T9498" t="s">
        <v>49114</v>
      </c>
      <c r="U9498" t="s">
        <v>57536</v>
      </c>
      <c r="V9498" t="s">
        <v>63673</v>
      </c>
      <c r="W9498" t="s">
        <v>46297</v>
      </c>
      <c r="X9498" t="s">
        <v>47434</v>
      </c>
    </row>
    <row r="9499" spans="1:24">
      <c r="A9499">
        <f>HYPERLINK("https://www.philgeps.gov.ph/GEPSNONPILOT/Tender/SplashBidNoticeAbstractUI.aspx?menuIndex=3&amp;refID=7152522&amp;Result=3","7152522")</f>
        <v>0</v>
      </c>
      <c r="B9499" t="s">
        <v>1665</v>
      </c>
      <c r="C9499" t="s">
        <v>12841</v>
      </c>
      <c r="D9499" t="s">
        <v>19095</v>
      </c>
      <c r="E9499" t="s">
        <v>27301</v>
      </c>
      <c r="F9499" t="s">
        <v>32831</v>
      </c>
      <c r="G9499" t="s">
        <v>32840</v>
      </c>
      <c r="H9499" t="s">
        <v>32848</v>
      </c>
      <c r="I9499" t="s">
        <v>7416</v>
      </c>
      <c r="J9499" t="s">
        <v>38863</v>
      </c>
      <c r="K9499" t="s">
        <v>42732</v>
      </c>
      <c r="M9499" t="s">
        <v>46292</v>
      </c>
      <c r="N9499" t="s">
        <v>47424</v>
      </c>
      <c r="O9499" t="s">
        <v>47425</v>
      </c>
      <c r="P9499">
        <v>0</v>
      </c>
      <c r="Q9499">
        <v>0</v>
      </c>
      <c r="R9499" t="s">
        <v>47432</v>
      </c>
      <c r="S9499" t="s">
        <v>47597</v>
      </c>
      <c r="T9499" t="s">
        <v>49079</v>
      </c>
      <c r="U9499" t="s">
        <v>57537</v>
      </c>
      <c r="W9499" t="s">
        <v>46292</v>
      </c>
      <c r="X9499" t="s">
        <v>47433</v>
      </c>
    </row>
    <row r="9500" spans="1:24">
      <c r="A9500">
        <f>HYPERLINK("https://www.philgeps.gov.ph/GEPSNONPILOT/Tender/SplashBidNoticeAbstractUI.aspx?menuIndex=3&amp;refID=7149813&amp;Result=3","7149813")</f>
        <v>0</v>
      </c>
      <c r="B9500" t="s">
        <v>721</v>
      </c>
      <c r="C9500" t="s">
        <v>12842</v>
      </c>
      <c r="D9500" t="s">
        <v>19018</v>
      </c>
      <c r="E9500" t="s">
        <v>27302</v>
      </c>
      <c r="F9500" t="s">
        <v>32831</v>
      </c>
      <c r="G9500" t="s">
        <v>32838</v>
      </c>
      <c r="H9500" t="s">
        <v>32848</v>
      </c>
      <c r="I9500" t="s">
        <v>4222</v>
      </c>
      <c r="J9500" t="s">
        <v>32985</v>
      </c>
      <c r="K9500" t="s">
        <v>42732</v>
      </c>
      <c r="M9500" t="s">
        <v>43742</v>
      </c>
      <c r="N9500" t="s">
        <v>47424</v>
      </c>
      <c r="O9500" t="s">
        <v>47425</v>
      </c>
      <c r="P9500">
        <v>0</v>
      </c>
      <c r="Q9500">
        <v>0</v>
      </c>
      <c r="R9500" t="s">
        <v>47433</v>
      </c>
      <c r="S9500" t="s">
        <v>47633</v>
      </c>
      <c r="T9500" t="s">
        <v>49328</v>
      </c>
      <c r="U9500" t="s">
        <v>56573</v>
      </c>
      <c r="W9500" t="s">
        <v>43742</v>
      </c>
      <c r="X9500" t="s">
        <v>47434</v>
      </c>
    </row>
    <row r="9501" spans="1:24">
      <c r="A9501">
        <f>HYPERLINK("https://www.philgeps.gov.ph/GEPSNONPILOT/Tender/SplashBidNoticeAbstractUI.aspx?menuIndex=3&amp;refID=7149803&amp;Result=3","7149803")</f>
        <v>0</v>
      </c>
      <c r="B9501" t="s">
        <v>2957</v>
      </c>
      <c r="C9501" t="s">
        <v>12843</v>
      </c>
      <c r="D9501" t="s">
        <v>19026</v>
      </c>
      <c r="E9501" t="s">
        <v>27303</v>
      </c>
      <c r="F9501" t="s">
        <v>32831</v>
      </c>
      <c r="G9501" t="s">
        <v>32839</v>
      </c>
      <c r="H9501" t="s">
        <v>32848</v>
      </c>
      <c r="I9501" t="s">
        <v>7416</v>
      </c>
      <c r="J9501" t="s">
        <v>38864</v>
      </c>
      <c r="K9501" t="s">
        <v>42727</v>
      </c>
      <c r="M9501" t="s">
        <v>46217</v>
      </c>
      <c r="N9501" t="s">
        <v>47424</v>
      </c>
      <c r="O9501" t="s">
        <v>47425</v>
      </c>
      <c r="P9501">
        <v>0</v>
      </c>
      <c r="Q9501">
        <v>0</v>
      </c>
      <c r="R9501" t="s">
        <v>47433</v>
      </c>
      <c r="S9501" t="s">
        <v>47633</v>
      </c>
      <c r="T9501" t="s">
        <v>49255</v>
      </c>
      <c r="U9501" t="s">
        <v>57538</v>
      </c>
      <c r="W9501" t="s">
        <v>46217</v>
      </c>
      <c r="X9501" t="s">
        <v>47434</v>
      </c>
    </row>
    <row r="9502" spans="1:24">
      <c r="A9502">
        <f>HYPERLINK("https://www.philgeps.gov.ph/GEPSNONPILOT/Tender/SplashBidNoticeAbstractUI.aspx?menuIndex=3&amp;refID=7149825&amp;Result=3","7149825")</f>
        <v>0</v>
      </c>
      <c r="B9502" t="s">
        <v>631</v>
      </c>
      <c r="C9502" t="s">
        <v>12844</v>
      </c>
      <c r="D9502" t="s">
        <v>19024</v>
      </c>
      <c r="E9502" t="s">
        <v>27304</v>
      </c>
      <c r="F9502" t="s">
        <v>32831</v>
      </c>
      <c r="G9502" t="s">
        <v>32838</v>
      </c>
      <c r="H9502" t="s">
        <v>32848</v>
      </c>
      <c r="I9502" t="s">
        <v>11484</v>
      </c>
      <c r="J9502" t="s">
        <v>38865</v>
      </c>
      <c r="K9502" t="s">
        <v>42731</v>
      </c>
      <c r="M9502" t="s">
        <v>43648</v>
      </c>
      <c r="N9502" t="s">
        <v>47424</v>
      </c>
      <c r="O9502" t="s">
        <v>47425</v>
      </c>
      <c r="P9502">
        <v>0</v>
      </c>
      <c r="Q9502">
        <v>3</v>
      </c>
      <c r="R9502" t="s">
        <v>47433</v>
      </c>
      <c r="S9502" t="s">
        <v>47633</v>
      </c>
      <c r="T9502" t="s">
        <v>49237</v>
      </c>
      <c r="U9502" t="s">
        <v>57539</v>
      </c>
      <c r="W9502" t="s">
        <v>43648</v>
      </c>
      <c r="X9502" t="s">
        <v>47434</v>
      </c>
    </row>
    <row r="9503" spans="1:24">
      <c r="A9503">
        <f>HYPERLINK("https://www.philgeps.gov.ph/GEPSNONPILOT/Tender/SplashBidNoticeAbstractUI.aspx?menuIndex=3&amp;refID=7152574&amp;Result=3","7152574")</f>
        <v>0</v>
      </c>
      <c r="B9503" t="s">
        <v>662</v>
      </c>
      <c r="C9503" t="s">
        <v>12845</v>
      </c>
      <c r="D9503" t="s">
        <v>19095</v>
      </c>
      <c r="E9503" t="s">
        <v>27305</v>
      </c>
      <c r="F9503" t="s">
        <v>32831</v>
      </c>
      <c r="G9503" t="s">
        <v>32838</v>
      </c>
      <c r="H9503" t="s">
        <v>32848</v>
      </c>
      <c r="I9503" t="s">
        <v>4776</v>
      </c>
      <c r="J9503" t="s">
        <v>32976</v>
      </c>
      <c r="K9503" t="s">
        <v>42727</v>
      </c>
      <c r="M9503" t="s">
        <v>43680</v>
      </c>
      <c r="N9503" t="s">
        <v>47424</v>
      </c>
      <c r="O9503" t="s">
        <v>47425</v>
      </c>
      <c r="P9503">
        <v>0</v>
      </c>
      <c r="Q9503">
        <v>1</v>
      </c>
      <c r="R9503" t="s">
        <v>47432</v>
      </c>
      <c r="S9503" t="s">
        <v>47597</v>
      </c>
      <c r="T9503" t="s">
        <v>49239</v>
      </c>
      <c r="U9503" t="s">
        <v>57540</v>
      </c>
      <c r="W9503" t="s">
        <v>43680</v>
      </c>
      <c r="X9503" t="s">
        <v>47433</v>
      </c>
    </row>
    <row r="9504" spans="1:24">
      <c r="A9504">
        <f>HYPERLINK("https://www.philgeps.gov.ph/GEPSNONPILOT/Tender/SplashBidNoticeAbstractUI.aspx?menuIndex=3&amp;refID=7149792&amp;Result=3","7149792")</f>
        <v>0</v>
      </c>
      <c r="B9504" t="s">
        <v>565</v>
      </c>
      <c r="C9504" t="s">
        <v>12846</v>
      </c>
      <c r="D9504" t="s">
        <v>19020</v>
      </c>
      <c r="E9504" t="s">
        <v>27306</v>
      </c>
      <c r="F9504" t="s">
        <v>32831</v>
      </c>
      <c r="G9504" t="s">
        <v>32838</v>
      </c>
      <c r="H9504" t="s">
        <v>32848</v>
      </c>
      <c r="I9504" t="s">
        <v>32859</v>
      </c>
      <c r="J9504" t="s">
        <v>38866</v>
      </c>
      <c r="K9504" t="s">
        <v>42727</v>
      </c>
      <c r="M9504" t="s">
        <v>43575</v>
      </c>
      <c r="N9504" t="s">
        <v>47424</v>
      </c>
      <c r="O9504" t="s">
        <v>47425</v>
      </c>
      <c r="P9504">
        <v>0</v>
      </c>
      <c r="Q9504">
        <v>1</v>
      </c>
      <c r="R9504" t="s">
        <v>47433</v>
      </c>
      <c r="S9504" t="s">
        <v>47633</v>
      </c>
      <c r="T9504" t="s">
        <v>49212</v>
      </c>
      <c r="U9504" t="s">
        <v>57541</v>
      </c>
      <c r="W9504" t="s">
        <v>43575</v>
      </c>
      <c r="X9504" t="s">
        <v>47434</v>
      </c>
    </row>
    <row r="9505" spans="1:24">
      <c r="A9505">
        <f>HYPERLINK("https://www.philgeps.gov.ph/GEPSNONPILOT/Tender/SplashBidNoticeAbstractUI.aspx?menuIndex=3&amp;refID=7149810&amp;Result=3","7149810")</f>
        <v>0</v>
      </c>
      <c r="B9505" t="s">
        <v>261</v>
      </c>
      <c r="C9505" t="s">
        <v>12847</v>
      </c>
      <c r="D9505" t="s">
        <v>19059</v>
      </c>
      <c r="E9505" t="s">
        <v>27307</v>
      </c>
      <c r="F9505" t="s">
        <v>32831</v>
      </c>
      <c r="G9505" t="s">
        <v>32839</v>
      </c>
      <c r="H9505" t="s">
        <v>32849</v>
      </c>
      <c r="I9505" t="s">
        <v>4177</v>
      </c>
      <c r="J9505" t="s">
        <v>32980</v>
      </c>
      <c r="K9505" t="s">
        <v>42726</v>
      </c>
      <c r="M9505" t="s">
        <v>43260</v>
      </c>
      <c r="N9505" t="s">
        <v>47424</v>
      </c>
      <c r="O9505" t="s">
        <v>47425</v>
      </c>
      <c r="P9505">
        <v>0</v>
      </c>
      <c r="Q9505">
        <v>2</v>
      </c>
      <c r="R9505" t="s">
        <v>47433</v>
      </c>
      <c r="S9505" t="s">
        <v>47633</v>
      </c>
      <c r="T9505" t="s">
        <v>49214</v>
      </c>
      <c r="U9505" t="s">
        <v>57542</v>
      </c>
      <c r="V9505" t="s">
        <v>63674</v>
      </c>
      <c r="W9505" t="s">
        <v>43260</v>
      </c>
      <c r="X9505" t="s">
        <v>47434</v>
      </c>
    </row>
    <row r="9506" spans="1:24">
      <c r="A9506">
        <f>HYPERLINK("https://www.philgeps.gov.ph/GEPSNONPILOT/Tender/SplashBidNoticeAbstractUI.aspx?menuIndex=3&amp;refID=7149895&amp;Result=3","7149895")</f>
        <v>0</v>
      </c>
      <c r="B9506" t="s">
        <v>3028</v>
      </c>
      <c r="C9506" t="s">
        <v>4459</v>
      </c>
      <c r="D9506" t="s">
        <v>19043</v>
      </c>
      <c r="E9506" t="s">
        <v>27308</v>
      </c>
      <c r="F9506" t="s">
        <v>32831</v>
      </c>
      <c r="G9506" t="s">
        <v>32839</v>
      </c>
      <c r="H9506" t="s">
        <v>32849</v>
      </c>
      <c r="I9506" t="s">
        <v>4177</v>
      </c>
      <c r="J9506" t="s">
        <v>32979</v>
      </c>
      <c r="K9506" t="s">
        <v>42730</v>
      </c>
      <c r="M9506" t="s">
        <v>46298</v>
      </c>
      <c r="N9506" t="s">
        <v>47424</v>
      </c>
      <c r="O9506" t="s">
        <v>47425</v>
      </c>
      <c r="P9506">
        <v>0</v>
      </c>
      <c r="Q9506">
        <v>0</v>
      </c>
      <c r="R9506" t="s">
        <v>47433</v>
      </c>
      <c r="S9506" t="s">
        <v>47633</v>
      </c>
      <c r="T9506" t="s">
        <v>49237</v>
      </c>
      <c r="U9506" t="s">
        <v>57543</v>
      </c>
      <c r="W9506" t="s">
        <v>46298</v>
      </c>
      <c r="X9506" t="s">
        <v>47434</v>
      </c>
    </row>
    <row r="9507" spans="1:24">
      <c r="A9507">
        <f>HYPERLINK("https://www.philgeps.gov.ph/GEPSNONPILOT/Tender/SplashBidNoticeAbstractUI.aspx?menuIndex=3&amp;refID=7149796&amp;Result=3","7149796")</f>
        <v>0</v>
      </c>
      <c r="B9507" t="s">
        <v>1151</v>
      </c>
      <c r="C9507" t="s">
        <v>12848</v>
      </c>
      <c r="D9507" t="s">
        <v>19091</v>
      </c>
      <c r="E9507" t="s">
        <v>27309</v>
      </c>
      <c r="F9507" t="s">
        <v>32831</v>
      </c>
      <c r="G9507" t="s">
        <v>32839</v>
      </c>
      <c r="H9507" t="s">
        <v>32849</v>
      </c>
      <c r="I9507" t="s">
        <v>4177</v>
      </c>
      <c r="J9507" t="s">
        <v>38867</v>
      </c>
      <c r="K9507" t="s">
        <v>42827</v>
      </c>
      <c r="M9507" t="s">
        <v>44215</v>
      </c>
      <c r="N9507" t="s">
        <v>47424</v>
      </c>
      <c r="O9507" t="s">
        <v>47425</v>
      </c>
      <c r="P9507">
        <v>0</v>
      </c>
      <c r="Q9507">
        <v>2</v>
      </c>
      <c r="R9507" t="s">
        <v>47433</v>
      </c>
      <c r="S9507" t="s">
        <v>47633</v>
      </c>
      <c r="T9507" t="s">
        <v>49278</v>
      </c>
      <c r="U9507" t="s">
        <v>57544</v>
      </c>
      <c r="W9507" t="s">
        <v>44215</v>
      </c>
      <c r="X9507" t="s">
        <v>47434</v>
      </c>
    </row>
    <row r="9508" spans="1:24">
      <c r="A9508">
        <f>HYPERLINK("https://www.philgeps.gov.ph/GEPSNONPILOT/Tender/SplashBidNoticeAbstractUI.aspx?menuIndex=3&amp;refID=7149807&amp;Result=3","7149807")</f>
        <v>0</v>
      </c>
      <c r="B9508" t="s">
        <v>3029</v>
      </c>
      <c r="C9508" t="s">
        <v>12849</v>
      </c>
      <c r="D9508" t="s">
        <v>19037</v>
      </c>
      <c r="E9508" t="s">
        <v>27310</v>
      </c>
      <c r="F9508" t="s">
        <v>32831</v>
      </c>
      <c r="G9508" t="s">
        <v>32839</v>
      </c>
      <c r="H9508" t="s">
        <v>32848</v>
      </c>
      <c r="I9508" t="s">
        <v>32903</v>
      </c>
      <c r="J9508" t="s">
        <v>38868</v>
      </c>
      <c r="K9508" t="s">
        <v>42780</v>
      </c>
      <c r="M9508" t="s">
        <v>46299</v>
      </c>
      <c r="N9508" t="s">
        <v>47424</v>
      </c>
      <c r="O9508" t="s">
        <v>47425</v>
      </c>
      <c r="P9508">
        <v>0</v>
      </c>
      <c r="Q9508">
        <v>2</v>
      </c>
      <c r="R9508" t="s">
        <v>47433</v>
      </c>
      <c r="S9508" t="s">
        <v>47633</v>
      </c>
      <c r="T9508" t="s">
        <v>49141</v>
      </c>
      <c r="U9508" t="s">
        <v>57545</v>
      </c>
      <c r="V9508" t="s">
        <v>63675</v>
      </c>
      <c r="W9508" t="s">
        <v>46299</v>
      </c>
      <c r="X9508" t="s">
        <v>47434</v>
      </c>
    </row>
    <row r="9509" spans="1:24">
      <c r="A9509">
        <f>HYPERLINK("https://www.philgeps.gov.ph/GEPSNONPILOT/Tender/SplashBidNoticeAbstractUI.aspx?menuIndex=3&amp;refID=7149830&amp;Result=3","7149830")</f>
        <v>0</v>
      </c>
      <c r="B9509" t="s">
        <v>3030</v>
      </c>
      <c r="C9509" t="s">
        <v>12850</v>
      </c>
      <c r="D9509" t="s">
        <v>19091</v>
      </c>
      <c r="E9509" t="s">
        <v>27311</v>
      </c>
      <c r="F9509" t="s">
        <v>32831</v>
      </c>
      <c r="G9509" t="s">
        <v>32839</v>
      </c>
      <c r="H9509" t="s">
        <v>32848</v>
      </c>
      <c r="I9509" t="s">
        <v>7416</v>
      </c>
      <c r="J9509" t="s">
        <v>33087</v>
      </c>
      <c r="K9509" t="s">
        <v>42729</v>
      </c>
      <c r="M9509" t="s">
        <v>46300</v>
      </c>
      <c r="N9509" t="s">
        <v>47424</v>
      </c>
      <c r="O9509" t="s">
        <v>47425</v>
      </c>
      <c r="P9509">
        <v>0</v>
      </c>
      <c r="Q9509">
        <v>1</v>
      </c>
      <c r="R9509" t="s">
        <v>47433</v>
      </c>
      <c r="S9509" t="s">
        <v>47633</v>
      </c>
      <c r="T9509" t="s">
        <v>49204</v>
      </c>
      <c r="U9509" t="s">
        <v>57546</v>
      </c>
      <c r="W9509" t="s">
        <v>46300</v>
      </c>
      <c r="X9509" t="s">
        <v>47434</v>
      </c>
    </row>
    <row r="9510" spans="1:24">
      <c r="A9510">
        <f>HYPERLINK("https://www.philgeps.gov.ph/GEPSNONPILOT/Tender/SplashBidNoticeAbstractUI.aspx?menuIndex=3&amp;refID=7149883&amp;Result=3","7149883")</f>
        <v>0</v>
      </c>
      <c r="B9510" t="s">
        <v>2350</v>
      </c>
      <c r="C9510" t="s">
        <v>12851</v>
      </c>
      <c r="D9510" t="s">
        <v>19018</v>
      </c>
      <c r="E9510" t="s">
        <v>27312</v>
      </c>
      <c r="F9510" t="s">
        <v>32831</v>
      </c>
      <c r="G9510" t="s">
        <v>32840</v>
      </c>
      <c r="H9510" t="s">
        <v>32848</v>
      </c>
      <c r="I9510" t="s">
        <v>32855</v>
      </c>
      <c r="J9510" t="s">
        <v>33421</v>
      </c>
      <c r="K9510" t="s">
        <v>42747</v>
      </c>
      <c r="M9510" t="s">
        <v>45539</v>
      </c>
      <c r="N9510" t="s">
        <v>47424</v>
      </c>
      <c r="O9510" t="s">
        <v>47425</v>
      </c>
      <c r="Q9510">
        <v>3</v>
      </c>
      <c r="R9510" t="s">
        <v>47433</v>
      </c>
      <c r="S9510" t="s">
        <v>47645</v>
      </c>
      <c r="T9510" t="s">
        <v>49100</v>
      </c>
      <c r="U9510" t="s">
        <v>50084</v>
      </c>
      <c r="W9510" t="s">
        <v>45539</v>
      </c>
      <c r="X9510" t="s">
        <v>47434</v>
      </c>
    </row>
    <row r="9511" spans="1:24">
      <c r="A9511">
        <f>HYPERLINK("https://www.philgeps.gov.ph/GEPSNONPILOT/Tender/SplashBidNoticeAbstractUI.aspx?menuIndex=3&amp;refID=7149882&amp;Result=3","7149882")</f>
        <v>0</v>
      </c>
      <c r="B9511" t="s">
        <v>3031</v>
      </c>
      <c r="C9511" t="s">
        <v>12852</v>
      </c>
      <c r="D9511" t="s">
        <v>19095</v>
      </c>
      <c r="E9511" t="s">
        <v>27313</v>
      </c>
      <c r="F9511" t="s">
        <v>32831</v>
      </c>
      <c r="G9511" t="s">
        <v>32839</v>
      </c>
      <c r="H9511" t="s">
        <v>32849</v>
      </c>
      <c r="I9511" t="s">
        <v>4177</v>
      </c>
      <c r="J9511" t="s">
        <v>38869</v>
      </c>
      <c r="K9511" t="s">
        <v>42763</v>
      </c>
      <c r="M9511" t="s">
        <v>46301</v>
      </c>
      <c r="N9511" t="s">
        <v>47424</v>
      </c>
      <c r="O9511" t="s">
        <v>47425</v>
      </c>
      <c r="P9511">
        <v>0</v>
      </c>
      <c r="Q9511">
        <v>2</v>
      </c>
      <c r="R9511" t="s">
        <v>47433</v>
      </c>
      <c r="S9511" t="s">
        <v>47633</v>
      </c>
      <c r="T9511" t="s">
        <v>49254</v>
      </c>
      <c r="U9511" t="s">
        <v>57547</v>
      </c>
      <c r="W9511" t="s">
        <v>46301</v>
      </c>
      <c r="X9511" t="s">
        <v>47434</v>
      </c>
    </row>
    <row r="9512" spans="1:24">
      <c r="A9512">
        <f>HYPERLINK("https://www.philgeps.gov.ph/GEPSNONPILOT/Tender/SplashBidNoticeAbstractUI.aspx?menuIndex=3&amp;refID=7149880&amp;Result=3","7149880")</f>
        <v>0</v>
      </c>
      <c r="B9512" t="s">
        <v>3032</v>
      </c>
      <c r="C9512" t="s">
        <v>12853</v>
      </c>
      <c r="D9512" t="s">
        <v>19051</v>
      </c>
      <c r="E9512" t="s">
        <v>19645</v>
      </c>
      <c r="F9512" t="s">
        <v>32831</v>
      </c>
      <c r="G9512" t="s">
        <v>32839</v>
      </c>
      <c r="H9512" t="s">
        <v>32848</v>
      </c>
      <c r="I9512" t="s">
        <v>32883</v>
      </c>
      <c r="J9512" t="s">
        <v>38870</v>
      </c>
      <c r="K9512" t="s">
        <v>42730</v>
      </c>
      <c r="M9512" t="s">
        <v>46302</v>
      </c>
      <c r="N9512" t="s">
        <v>47424</v>
      </c>
      <c r="O9512" t="s">
        <v>47425</v>
      </c>
      <c r="P9512">
        <v>0</v>
      </c>
      <c r="Q9512">
        <v>5</v>
      </c>
      <c r="R9512" t="s">
        <v>47433</v>
      </c>
      <c r="S9512" t="s">
        <v>47633</v>
      </c>
      <c r="T9512" t="s">
        <v>49123</v>
      </c>
      <c r="U9512" t="s">
        <v>57548</v>
      </c>
      <c r="W9512" t="s">
        <v>46302</v>
      </c>
      <c r="X9512" t="s">
        <v>47434</v>
      </c>
    </row>
    <row r="9513" spans="1:24">
      <c r="A9513">
        <f>HYPERLINK("https://www.philgeps.gov.ph/GEPSNONPILOT/Tender/SplashBidNoticeAbstractUI.aspx?menuIndex=3&amp;refID=7149878&amp;Result=3","7149878")</f>
        <v>0</v>
      </c>
      <c r="B9513" t="s">
        <v>2994</v>
      </c>
      <c r="C9513" t="s">
        <v>12854</v>
      </c>
      <c r="D9513" t="s">
        <v>19027</v>
      </c>
      <c r="E9513" t="s">
        <v>22247</v>
      </c>
      <c r="F9513" t="s">
        <v>32831</v>
      </c>
      <c r="G9513" t="s">
        <v>32839</v>
      </c>
      <c r="H9513" t="s">
        <v>32848</v>
      </c>
      <c r="I9513" t="s">
        <v>32911</v>
      </c>
      <c r="J9513" t="s">
        <v>33086</v>
      </c>
      <c r="K9513" t="s">
        <v>42801</v>
      </c>
      <c r="M9513" t="s">
        <v>46260</v>
      </c>
      <c r="N9513" t="s">
        <v>47424</v>
      </c>
      <c r="O9513" t="s">
        <v>47425</v>
      </c>
      <c r="P9513">
        <v>0</v>
      </c>
      <c r="Q9513">
        <v>0</v>
      </c>
      <c r="R9513" t="s">
        <v>47433</v>
      </c>
      <c r="S9513" t="s">
        <v>47633</v>
      </c>
      <c r="T9513" t="s">
        <v>49231</v>
      </c>
      <c r="U9513" t="s">
        <v>57549</v>
      </c>
      <c r="W9513" t="s">
        <v>46260</v>
      </c>
      <c r="X9513" t="s">
        <v>47434</v>
      </c>
    </row>
    <row r="9514" spans="1:24">
      <c r="A9514">
        <f>HYPERLINK("https://www.philgeps.gov.ph/GEPSNONPILOT/Tender/SplashBidNoticeAbstractUI.aspx?menuIndex=3&amp;refID=7149875&amp;Result=3","7149875")</f>
        <v>0</v>
      </c>
      <c r="B9514" t="s">
        <v>3033</v>
      </c>
      <c r="C9514" t="s">
        <v>8832</v>
      </c>
      <c r="D9514" t="s">
        <v>19021</v>
      </c>
      <c r="E9514" t="s">
        <v>27314</v>
      </c>
      <c r="F9514" t="s">
        <v>32831</v>
      </c>
      <c r="G9514" t="s">
        <v>32839</v>
      </c>
      <c r="H9514" t="s">
        <v>32848</v>
      </c>
      <c r="I9514" t="s">
        <v>7416</v>
      </c>
      <c r="J9514" t="s">
        <v>38871</v>
      </c>
      <c r="K9514" t="s">
        <v>42731</v>
      </c>
      <c r="M9514" t="s">
        <v>46303</v>
      </c>
      <c r="N9514" t="s">
        <v>47424</v>
      </c>
      <c r="O9514" t="s">
        <v>47425</v>
      </c>
      <c r="P9514">
        <v>0</v>
      </c>
      <c r="Q9514">
        <v>2</v>
      </c>
      <c r="R9514" t="s">
        <v>47433</v>
      </c>
      <c r="S9514" t="s">
        <v>47633</v>
      </c>
      <c r="T9514" t="s">
        <v>49112</v>
      </c>
      <c r="U9514" t="s">
        <v>57550</v>
      </c>
      <c r="W9514" t="s">
        <v>46303</v>
      </c>
      <c r="X9514" t="s">
        <v>47434</v>
      </c>
    </row>
    <row r="9515" spans="1:24">
      <c r="A9515">
        <f>HYPERLINK("https://www.philgeps.gov.ph/GEPSNONPILOT/Tender/SplashBidNoticeAbstractUI.aspx?menuIndex=3&amp;refID=7149884&amp;Result=3","7149884")</f>
        <v>0</v>
      </c>
      <c r="B9515" t="s">
        <v>3034</v>
      </c>
      <c r="C9515" t="s">
        <v>12855</v>
      </c>
      <c r="D9515" t="s">
        <v>19022</v>
      </c>
      <c r="E9515" t="s">
        <v>27315</v>
      </c>
      <c r="F9515" t="s">
        <v>32831</v>
      </c>
      <c r="G9515" t="s">
        <v>32840</v>
      </c>
      <c r="H9515" t="s">
        <v>32848</v>
      </c>
      <c r="I9515" t="s">
        <v>32867</v>
      </c>
      <c r="J9515" t="s">
        <v>38872</v>
      </c>
      <c r="K9515" t="s">
        <v>42726</v>
      </c>
      <c r="M9515" t="s">
        <v>46304</v>
      </c>
      <c r="N9515" t="s">
        <v>47424</v>
      </c>
      <c r="O9515" t="s">
        <v>47425</v>
      </c>
      <c r="P9515">
        <v>0</v>
      </c>
      <c r="Q9515">
        <v>2</v>
      </c>
      <c r="R9515" t="s">
        <v>47433</v>
      </c>
      <c r="S9515" t="s">
        <v>47633</v>
      </c>
      <c r="T9515" t="s">
        <v>49114</v>
      </c>
      <c r="U9515" t="s">
        <v>57551</v>
      </c>
      <c r="V9515" t="s">
        <v>63676</v>
      </c>
      <c r="W9515" t="s">
        <v>46304</v>
      </c>
      <c r="X9515" t="s">
        <v>47434</v>
      </c>
    </row>
    <row r="9516" spans="1:24">
      <c r="A9516">
        <f>HYPERLINK("https://www.philgeps.gov.ph/GEPSNONPILOT/Tender/SplashBidNoticeAbstractUI.aspx?menuIndex=3&amp;refID=7149874&amp;Result=3","7149874")</f>
        <v>0</v>
      </c>
      <c r="B9516" t="s">
        <v>1425</v>
      </c>
      <c r="C9516" t="s">
        <v>5171</v>
      </c>
      <c r="D9516" t="s">
        <v>19073</v>
      </c>
      <c r="E9516" t="s">
        <v>27316</v>
      </c>
      <c r="F9516" t="s">
        <v>32831</v>
      </c>
      <c r="G9516" t="s">
        <v>32839</v>
      </c>
      <c r="H9516" t="s">
        <v>32848</v>
      </c>
      <c r="I9516" t="s">
        <v>9577</v>
      </c>
      <c r="J9516" t="s">
        <v>34310</v>
      </c>
      <c r="K9516" t="s">
        <v>42730</v>
      </c>
      <c r="M9516" t="s">
        <v>44514</v>
      </c>
      <c r="N9516" t="s">
        <v>47424</v>
      </c>
      <c r="O9516" t="s">
        <v>47425</v>
      </c>
      <c r="P9516">
        <v>0</v>
      </c>
      <c r="Q9516">
        <v>0</v>
      </c>
      <c r="R9516" t="s">
        <v>47433</v>
      </c>
      <c r="S9516" t="s">
        <v>47633</v>
      </c>
      <c r="T9516" t="s">
        <v>49111</v>
      </c>
      <c r="U9516" t="s">
        <v>57552</v>
      </c>
      <c r="W9516" t="s">
        <v>44514</v>
      </c>
      <c r="X9516" t="s">
        <v>47434</v>
      </c>
    </row>
    <row r="9517" spans="1:24">
      <c r="A9517">
        <f>HYPERLINK("https://www.philgeps.gov.ph/GEPSNONPILOT/Tender/SplashBidNoticeAbstractUI.aspx?menuIndex=3&amp;refID=7149873&amp;Result=3","7149873")</f>
        <v>0</v>
      </c>
      <c r="B9517" t="s">
        <v>3035</v>
      </c>
      <c r="C9517" t="s">
        <v>12856</v>
      </c>
      <c r="D9517" t="s">
        <v>19026</v>
      </c>
      <c r="E9517" t="s">
        <v>27317</v>
      </c>
      <c r="F9517" t="s">
        <v>32831</v>
      </c>
      <c r="G9517" t="s">
        <v>32841</v>
      </c>
      <c r="H9517" t="s">
        <v>32849</v>
      </c>
      <c r="I9517" t="s">
        <v>4177</v>
      </c>
      <c r="J9517" t="s">
        <v>33041</v>
      </c>
      <c r="K9517" t="s">
        <v>42732</v>
      </c>
      <c r="M9517" t="s">
        <v>46305</v>
      </c>
      <c r="N9517" t="s">
        <v>47424</v>
      </c>
      <c r="O9517" t="s">
        <v>47425</v>
      </c>
      <c r="P9517">
        <v>0</v>
      </c>
      <c r="Q9517">
        <v>1</v>
      </c>
      <c r="R9517" t="s">
        <v>47433</v>
      </c>
      <c r="S9517" t="s">
        <v>47633</v>
      </c>
      <c r="T9517" t="s">
        <v>49163</v>
      </c>
      <c r="U9517" t="s">
        <v>57553</v>
      </c>
      <c r="W9517" t="s">
        <v>46305</v>
      </c>
      <c r="X9517" t="s">
        <v>47434</v>
      </c>
    </row>
    <row r="9518" spans="1:24">
      <c r="A9518">
        <f>HYPERLINK("https://www.philgeps.gov.ph/GEPSNONPILOT/Tender/SplashBidNoticeAbstractUI.aspx?menuIndex=3&amp;refID=7149957&amp;Result=3","7149957")</f>
        <v>0</v>
      </c>
      <c r="B9518" t="s">
        <v>2031</v>
      </c>
      <c r="C9518" t="s">
        <v>12857</v>
      </c>
      <c r="D9518" t="s">
        <v>19060</v>
      </c>
      <c r="E9518" t="s">
        <v>27318</v>
      </c>
      <c r="F9518" t="s">
        <v>32831</v>
      </c>
      <c r="G9518" t="s">
        <v>32838</v>
      </c>
      <c r="H9518" t="s">
        <v>32848</v>
      </c>
      <c r="I9518" t="s">
        <v>32948</v>
      </c>
      <c r="J9518" t="s">
        <v>32985</v>
      </c>
      <c r="K9518" t="s">
        <v>42732</v>
      </c>
      <c r="M9518" t="s">
        <v>46306</v>
      </c>
      <c r="N9518" t="s">
        <v>47424</v>
      </c>
      <c r="O9518" t="s">
        <v>47425</v>
      </c>
      <c r="P9518">
        <v>0</v>
      </c>
      <c r="Q9518">
        <v>6</v>
      </c>
      <c r="R9518" t="s">
        <v>47433</v>
      </c>
      <c r="S9518" t="s">
        <v>47633</v>
      </c>
      <c r="T9518" t="s">
        <v>49089</v>
      </c>
      <c r="U9518" t="s">
        <v>57554</v>
      </c>
      <c r="W9518" t="s">
        <v>46306</v>
      </c>
      <c r="X9518" t="s">
        <v>47434</v>
      </c>
    </row>
    <row r="9519" spans="1:24">
      <c r="A9519">
        <f>HYPERLINK("https://www.philgeps.gov.ph/GEPSNONPILOT/Tender/SplashBidNoticeAbstractUI.aspx?menuIndex=3&amp;refID=7152523&amp;Result=3","7152523")</f>
        <v>0</v>
      </c>
      <c r="B9519" t="s">
        <v>866</v>
      </c>
      <c r="C9519" t="s">
        <v>12858</v>
      </c>
      <c r="E9519" t="s">
        <v>27319</v>
      </c>
      <c r="F9519" t="s">
        <v>32831</v>
      </c>
      <c r="G9519" t="s">
        <v>32839</v>
      </c>
      <c r="H9519" t="s">
        <v>32849</v>
      </c>
      <c r="I9519" t="s">
        <v>32903</v>
      </c>
      <c r="J9519" t="s">
        <v>33044</v>
      </c>
      <c r="K9519" t="s">
        <v>42732</v>
      </c>
      <c r="M9519" t="s">
        <v>43900</v>
      </c>
      <c r="N9519" t="s">
        <v>47424</v>
      </c>
      <c r="O9519" t="s">
        <v>47425</v>
      </c>
      <c r="P9519">
        <v>0</v>
      </c>
      <c r="Q9519">
        <v>1</v>
      </c>
      <c r="R9519" t="s">
        <v>47432</v>
      </c>
      <c r="S9519" t="s">
        <v>47597</v>
      </c>
      <c r="T9519" t="s">
        <v>49536</v>
      </c>
      <c r="U9519" t="s">
        <v>57555</v>
      </c>
      <c r="W9519" t="s">
        <v>43900</v>
      </c>
      <c r="X9519" t="s">
        <v>47433</v>
      </c>
    </row>
    <row r="9520" spans="1:24">
      <c r="A9520">
        <f>HYPERLINK("https://www.philgeps.gov.ph/GEPSNONPILOT/Tender/SplashBidNoticeAbstractUI.aspx?menuIndex=3&amp;refID=7149894&amp;Result=3","7149894")</f>
        <v>0</v>
      </c>
      <c r="B9520" t="s">
        <v>2880</v>
      </c>
      <c r="C9520" t="s">
        <v>12859</v>
      </c>
      <c r="D9520" t="s">
        <v>19061</v>
      </c>
      <c r="E9520" t="s">
        <v>27320</v>
      </c>
      <c r="F9520" t="s">
        <v>32831</v>
      </c>
      <c r="G9520" t="s">
        <v>32838</v>
      </c>
      <c r="H9520" t="s">
        <v>32848</v>
      </c>
      <c r="I9520" t="s">
        <v>32860</v>
      </c>
      <c r="J9520" t="s">
        <v>38873</v>
      </c>
      <c r="K9520" t="s">
        <v>42730</v>
      </c>
      <c r="M9520" t="s">
        <v>46117</v>
      </c>
      <c r="N9520" t="s">
        <v>47424</v>
      </c>
      <c r="O9520" t="s">
        <v>47425</v>
      </c>
      <c r="P9520">
        <v>0</v>
      </c>
      <c r="Q9520">
        <v>3</v>
      </c>
      <c r="R9520" t="s">
        <v>47433</v>
      </c>
      <c r="S9520" t="s">
        <v>47633</v>
      </c>
      <c r="T9520" t="s">
        <v>49163</v>
      </c>
      <c r="U9520" t="s">
        <v>57556</v>
      </c>
      <c r="W9520" t="s">
        <v>46117</v>
      </c>
      <c r="X9520" t="s">
        <v>47434</v>
      </c>
    </row>
    <row r="9521" spans="1:24">
      <c r="A9521">
        <f>HYPERLINK("https://www.philgeps.gov.ph/GEPSNONPILOT/Tender/SplashBidNoticeAbstractUI.aspx?menuIndex=3&amp;refID=7149946&amp;Result=3","7149946")</f>
        <v>0</v>
      </c>
      <c r="B9521" t="s">
        <v>583</v>
      </c>
      <c r="C9521" t="s">
        <v>12860</v>
      </c>
      <c r="D9521" t="s">
        <v>19069</v>
      </c>
      <c r="E9521" t="s">
        <v>27321</v>
      </c>
      <c r="F9521" t="s">
        <v>32831</v>
      </c>
      <c r="G9521" t="s">
        <v>32839</v>
      </c>
      <c r="H9521" t="s">
        <v>32848</v>
      </c>
      <c r="I9521" t="s">
        <v>32860</v>
      </c>
      <c r="J9521" t="s">
        <v>32980</v>
      </c>
      <c r="K9521" t="s">
        <v>42730</v>
      </c>
      <c r="M9521" t="s">
        <v>43594</v>
      </c>
      <c r="N9521" t="s">
        <v>47424</v>
      </c>
      <c r="O9521" t="s">
        <v>47425</v>
      </c>
      <c r="P9521">
        <v>0</v>
      </c>
      <c r="Q9521">
        <v>1</v>
      </c>
      <c r="R9521" t="s">
        <v>47433</v>
      </c>
      <c r="S9521" t="s">
        <v>47633</v>
      </c>
      <c r="T9521" t="s">
        <v>49055</v>
      </c>
      <c r="U9521" t="s">
        <v>57557</v>
      </c>
      <c r="V9521" t="s">
        <v>63097</v>
      </c>
      <c r="W9521" t="s">
        <v>43594</v>
      </c>
      <c r="X9521" t="s">
        <v>47434</v>
      </c>
    </row>
    <row r="9522" spans="1:24">
      <c r="A9522">
        <f>HYPERLINK("https://www.philgeps.gov.ph/GEPSNONPILOT/Tender/SplashBidNoticeAbstractUI.aspx?menuIndex=3&amp;refID=7149939&amp;Result=3","7149939")</f>
        <v>0</v>
      </c>
      <c r="B9522" t="s">
        <v>2980</v>
      </c>
      <c r="C9522" t="s">
        <v>12861</v>
      </c>
      <c r="D9522" t="s">
        <v>19018</v>
      </c>
      <c r="E9522" t="s">
        <v>27322</v>
      </c>
      <c r="F9522" t="s">
        <v>32831</v>
      </c>
      <c r="G9522" t="s">
        <v>32839</v>
      </c>
      <c r="H9522" t="s">
        <v>32848</v>
      </c>
      <c r="I9522" t="s">
        <v>4177</v>
      </c>
      <c r="J9522" t="s">
        <v>32978</v>
      </c>
      <c r="K9522" t="s">
        <v>42748</v>
      </c>
      <c r="M9522" t="s">
        <v>46243</v>
      </c>
      <c r="N9522" t="s">
        <v>47424</v>
      </c>
      <c r="O9522" t="s">
        <v>47425</v>
      </c>
      <c r="P9522">
        <v>0</v>
      </c>
      <c r="Q9522">
        <v>0</v>
      </c>
      <c r="R9522" t="s">
        <v>47433</v>
      </c>
      <c r="S9522" t="s">
        <v>47633</v>
      </c>
      <c r="T9522" t="s">
        <v>49213</v>
      </c>
      <c r="U9522" t="s">
        <v>57558</v>
      </c>
      <c r="V9522" t="s">
        <v>63677</v>
      </c>
      <c r="W9522" t="s">
        <v>46243</v>
      </c>
      <c r="X9522" t="s">
        <v>47434</v>
      </c>
    </row>
    <row r="9523" spans="1:24">
      <c r="A9523">
        <f>HYPERLINK("https://www.philgeps.gov.ph/GEPSNONPILOT/Tender/SplashBidNoticeAbstractUI.aspx?menuIndex=3&amp;refID=7149933&amp;Result=3","7149933")</f>
        <v>0</v>
      </c>
      <c r="B9523" t="s">
        <v>2515</v>
      </c>
      <c r="C9523" t="s">
        <v>12862</v>
      </c>
      <c r="D9523" t="s">
        <v>19048</v>
      </c>
      <c r="E9523" t="s">
        <v>27323</v>
      </c>
      <c r="F9523" t="s">
        <v>32831</v>
      </c>
      <c r="G9523" t="s">
        <v>32839</v>
      </c>
      <c r="H9523" t="s">
        <v>32848</v>
      </c>
      <c r="I9523" t="s">
        <v>4446</v>
      </c>
      <c r="J9523" t="s">
        <v>33031</v>
      </c>
      <c r="K9523" t="s">
        <v>42744</v>
      </c>
      <c r="M9523" t="s">
        <v>46307</v>
      </c>
      <c r="N9523" t="s">
        <v>47424</v>
      </c>
      <c r="O9523" t="s">
        <v>47425</v>
      </c>
      <c r="P9523">
        <v>0</v>
      </c>
      <c r="Q9523">
        <v>4</v>
      </c>
      <c r="R9523" t="s">
        <v>47433</v>
      </c>
      <c r="S9523" t="s">
        <v>47633</v>
      </c>
      <c r="T9523" t="s">
        <v>49195</v>
      </c>
      <c r="U9523" t="s">
        <v>57559</v>
      </c>
      <c r="W9523" t="s">
        <v>46307</v>
      </c>
      <c r="X9523" t="s">
        <v>47434</v>
      </c>
    </row>
    <row r="9524" spans="1:24">
      <c r="A9524">
        <f>HYPERLINK("https://www.philgeps.gov.ph/GEPSNONPILOT/Tender/SplashBidNoticeAbstractUI.aspx?menuIndex=3&amp;refID=7149892&amp;Result=3","7149892")</f>
        <v>0</v>
      </c>
      <c r="B9524" t="s">
        <v>2350</v>
      </c>
      <c r="C9524" t="s">
        <v>12863</v>
      </c>
      <c r="D9524" t="s">
        <v>19018</v>
      </c>
      <c r="E9524" t="s">
        <v>27324</v>
      </c>
      <c r="F9524" t="s">
        <v>32831</v>
      </c>
      <c r="G9524" t="s">
        <v>32838</v>
      </c>
      <c r="H9524" t="s">
        <v>32848</v>
      </c>
      <c r="I9524" t="s">
        <v>32855</v>
      </c>
      <c r="J9524" t="s">
        <v>33241</v>
      </c>
      <c r="K9524" t="s">
        <v>42732</v>
      </c>
      <c r="M9524" t="s">
        <v>45539</v>
      </c>
      <c r="N9524" t="s">
        <v>47424</v>
      </c>
      <c r="O9524" t="s">
        <v>47425</v>
      </c>
      <c r="Q9524">
        <v>4</v>
      </c>
      <c r="R9524" t="s">
        <v>47433</v>
      </c>
      <c r="S9524" t="s">
        <v>47646</v>
      </c>
      <c r="T9524" t="s">
        <v>49100</v>
      </c>
      <c r="U9524" t="s">
        <v>50084</v>
      </c>
      <c r="W9524" t="s">
        <v>45539</v>
      </c>
      <c r="X9524" t="s">
        <v>47434</v>
      </c>
    </row>
    <row r="9525" spans="1:24">
      <c r="A9525">
        <f>HYPERLINK("https://www.philgeps.gov.ph/GEPSNONPILOT/Tender/SplashBidNoticeAbstractUI.aspx?menuIndex=3&amp;refID=7149932&amp;Result=3","7149932")</f>
        <v>0</v>
      </c>
      <c r="B9525" t="s">
        <v>2239</v>
      </c>
      <c r="C9525" t="s">
        <v>12864</v>
      </c>
      <c r="D9525" t="s">
        <v>19061</v>
      </c>
      <c r="E9525" t="s">
        <v>27325</v>
      </c>
      <c r="F9525" t="s">
        <v>32831</v>
      </c>
      <c r="G9525" t="s">
        <v>32839</v>
      </c>
      <c r="H9525" t="s">
        <v>32849</v>
      </c>
      <c r="I9525" t="s">
        <v>4177</v>
      </c>
      <c r="J9525" t="s">
        <v>38874</v>
      </c>
      <c r="K9525" t="s">
        <v>42747</v>
      </c>
      <c r="M9525" t="s">
        <v>46308</v>
      </c>
      <c r="N9525" t="s">
        <v>47424</v>
      </c>
      <c r="O9525" t="s">
        <v>47425</v>
      </c>
      <c r="P9525">
        <v>0</v>
      </c>
      <c r="Q9525">
        <v>0</v>
      </c>
      <c r="R9525" t="s">
        <v>47433</v>
      </c>
      <c r="S9525" t="s">
        <v>47633</v>
      </c>
      <c r="T9525" t="s">
        <v>49160</v>
      </c>
      <c r="U9525" t="s">
        <v>57560</v>
      </c>
      <c r="W9525" t="s">
        <v>46308</v>
      </c>
      <c r="X9525" t="s">
        <v>47434</v>
      </c>
    </row>
    <row r="9526" spans="1:24">
      <c r="A9526">
        <f>HYPERLINK("https://www.philgeps.gov.ph/GEPSNONPILOT/Tender/SplashBidNoticeAbstractUI.aspx?menuIndex=3&amp;refID=7149763&amp;Result=3","7149763")</f>
        <v>0</v>
      </c>
      <c r="B9526" t="s">
        <v>3036</v>
      </c>
      <c r="C9526" t="s">
        <v>12865</v>
      </c>
      <c r="E9526" t="s">
        <v>27326</v>
      </c>
      <c r="F9526" t="s">
        <v>32831</v>
      </c>
      <c r="G9526" t="s">
        <v>32839</v>
      </c>
      <c r="H9526" t="s">
        <v>32848</v>
      </c>
      <c r="I9526" t="s">
        <v>32870</v>
      </c>
      <c r="J9526" t="s">
        <v>38875</v>
      </c>
      <c r="K9526" t="s">
        <v>42732</v>
      </c>
      <c r="M9526" t="s">
        <v>46309</v>
      </c>
      <c r="N9526" t="s">
        <v>47424</v>
      </c>
      <c r="O9526" t="s">
        <v>47425</v>
      </c>
      <c r="P9526">
        <v>0</v>
      </c>
      <c r="Q9526">
        <v>0</v>
      </c>
      <c r="R9526" t="s">
        <v>47433</v>
      </c>
      <c r="S9526" t="s">
        <v>47633</v>
      </c>
      <c r="T9526" t="s">
        <v>49237</v>
      </c>
      <c r="U9526" t="s">
        <v>57561</v>
      </c>
      <c r="V9526" t="s">
        <v>62833</v>
      </c>
      <c r="W9526" t="s">
        <v>46309</v>
      </c>
      <c r="X9526" t="s">
        <v>47434</v>
      </c>
    </row>
    <row r="9527" spans="1:24">
      <c r="A9527">
        <f>HYPERLINK("https://www.philgeps.gov.ph/GEPSNONPILOT/Tender/SplashBidNoticeAbstractUI.aspx?menuIndex=3&amp;refID=7149929&amp;Result=3","7149929")</f>
        <v>0</v>
      </c>
      <c r="B9527" t="s">
        <v>200</v>
      </c>
      <c r="C9527" t="s">
        <v>12866</v>
      </c>
      <c r="D9527" t="s">
        <v>19042</v>
      </c>
      <c r="E9527" t="s">
        <v>19311</v>
      </c>
      <c r="F9527" t="s">
        <v>32831</v>
      </c>
      <c r="G9527" t="s">
        <v>32839</v>
      </c>
      <c r="H9527" t="s">
        <v>32849</v>
      </c>
      <c r="I9527" t="s">
        <v>4177</v>
      </c>
      <c r="J9527" t="s">
        <v>38876</v>
      </c>
      <c r="K9527" t="s">
        <v>42781</v>
      </c>
      <c r="M9527" t="s">
        <v>43198</v>
      </c>
      <c r="N9527" t="s">
        <v>47424</v>
      </c>
      <c r="O9527" t="s">
        <v>47425</v>
      </c>
      <c r="P9527">
        <v>0</v>
      </c>
      <c r="Q9527">
        <v>1</v>
      </c>
      <c r="R9527" t="s">
        <v>47433</v>
      </c>
      <c r="S9527" t="s">
        <v>47633</v>
      </c>
      <c r="T9527" t="s">
        <v>49204</v>
      </c>
      <c r="U9527" t="s">
        <v>57562</v>
      </c>
      <c r="W9527" t="s">
        <v>43198</v>
      </c>
      <c r="X9527" t="s">
        <v>47434</v>
      </c>
    </row>
    <row r="9528" spans="1:24">
      <c r="A9528">
        <f>HYPERLINK("https://www.philgeps.gov.ph/GEPSNONPILOT/Tender/SplashBidNoticeAbstractUI.aspx?menuIndex=3&amp;refID=7149954&amp;Result=3","7149954")</f>
        <v>0</v>
      </c>
      <c r="B9528" t="s">
        <v>1425</v>
      </c>
      <c r="C9528" t="s">
        <v>5171</v>
      </c>
      <c r="D9528" t="s">
        <v>19073</v>
      </c>
      <c r="E9528" t="s">
        <v>27327</v>
      </c>
      <c r="F9528" t="s">
        <v>32831</v>
      </c>
      <c r="G9528" t="s">
        <v>32839</v>
      </c>
      <c r="H9528" t="s">
        <v>32848</v>
      </c>
      <c r="I9528" t="s">
        <v>9577</v>
      </c>
      <c r="J9528" t="s">
        <v>38877</v>
      </c>
      <c r="K9528" t="s">
        <v>42730</v>
      </c>
      <c r="M9528" t="s">
        <v>44514</v>
      </c>
      <c r="N9528" t="s">
        <v>47424</v>
      </c>
      <c r="O9528" t="s">
        <v>47425</v>
      </c>
      <c r="P9528">
        <v>0</v>
      </c>
      <c r="Q9528">
        <v>0</v>
      </c>
      <c r="R9528" t="s">
        <v>47433</v>
      </c>
      <c r="S9528" t="s">
        <v>47633</v>
      </c>
      <c r="T9528" t="s">
        <v>49111</v>
      </c>
      <c r="U9528" t="s">
        <v>57563</v>
      </c>
      <c r="W9528" t="s">
        <v>44514</v>
      </c>
      <c r="X9528" t="s">
        <v>47434</v>
      </c>
    </row>
    <row r="9529" spans="1:24">
      <c r="A9529">
        <f>HYPERLINK("https://www.philgeps.gov.ph/GEPSNONPILOT/Tender/SplashBidNoticeAbstractUI.aspx?menuIndex=3&amp;refID=7149942&amp;Result=3","7149942")</f>
        <v>0</v>
      </c>
      <c r="B9529" t="s">
        <v>3037</v>
      </c>
      <c r="C9529" t="s">
        <v>12867</v>
      </c>
      <c r="D9529" t="s">
        <v>19060</v>
      </c>
      <c r="E9529" t="s">
        <v>27328</v>
      </c>
      <c r="F9529" t="s">
        <v>32831</v>
      </c>
      <c r="G9529" t="s">
        <v>32839</v>
      </c>
      <c r="H9529" t="s">
        <v>32849</v>
      </c>
      <c r="I9529" t="s">
        <v>4177</v>
      </c>
      <c r="J9529" t="s">
        <v>38878</v>
      </c>
      <c r="K9529" t="s">
        <v>42780</v>
      </c>
      <c r="M9529" t="s">
        <v>46310</v>
      </c>
      <c r="N9529" t="s">
        <v>47424</v>
      </c>
      <c r="O9529" t="s">
        <v>47425</v>
      </c>
      <c r="P9529">
        <v>0</v>
      </c>
      <c r="Q9529">
        <v>0</v>
      </c>
      <c r="R9529" t="s">
        <v>47433</v>
      </c>
      <c r="S9529" t="s">
        <v>47633</v>
      </c>
      <c r="T9529" t="s">
        <v>49231</v>
      </c>
      <c r="U9529" t="s">
        <v>57564</v>
      </c>
      <c r="W9529" t="s">
        <v>46310</v>
      </c>
      <c r="X9529" t="s">
        <v>47434</v>
      </c>
    </row>
    <row r="9530" spans="1:24">
      <c r="A9530">
        <f>HYPERLINK("https://www.philgeps.gov.ph/GEPSNONPILOT/Tender/SplashBidNoticeAbstractUI.aspx?menuIndex=3&amp;refID=7149927&amp;Result=3","7149927")</f>
        <v>0</v>
      </c>
      <c r="B9530" t="s">
        <v>862</v>
      </c>
      <c r="C9530" t="s">
        <v>12868</v>
      </c>
      <c r="D9530" t="s">
        <v>19074</v>
      </c>
      <c r="E9530" t="s">
        <v>27329</v>
      </c>
      <c r="F9530" t="s">
        <v>32831</v>
      </c>
      <c r="G9530" t="s">
        <v>32839</v>
      </c>
      <c r="H9530" t="s">
        <v>32849</v>
      </c>
      <c r="I9530" t="s">
        <v>4177</v>
      </c>
      <c r="J9530" t="s">
        <v>38879</v>
      </c>
      <c r="K9530" t="s">
        <v>42763</v>
      </c>
      <c r="M9530" t="s">
        <v>43896</v>
      </c>
      <c r="N9530" t="s">
        <v>47424</v>
      </c>
      <c r="O9530" t="s">
        <v>47425</v>
      </c>
      <c r="P9530">
        <v>0</v>
      </c>
      <c r="Q9530">
        <v>0</v>
      </c>
      <c r="R9530" t="s">
        <v>47433</v>
      </c>
      <c r="S9530" t="s">
        <v>47633</v>
      </c>
      <c r="T9530" t="s">
        <v>49173</v>
      </c>
      <c r="U9530" t="s">
        <v>51270</v>
      </c>
      <c r="W9530" t="s">
        <v>43896</v>
      </c>
      <c r="X9530" t="s">
        <v>47434</v>
      </c>
    </row>
    <row r="9531" spans="1:24">
      <c r="A9531">
        <f>HYPERLINK("https://www.philgeps.gov.ph/GEPSNONPILOT/Tender/SplashBidNoticeAbstractUI.aspx?menuIndex=3&amp;refID=7149911&amp;Result=3","7149911")</f>
        <v>0</v>
      </c>
      <c r="B9531" t="s">
        <v>3038</v>
      </c>
      <c r="C9531" t="s">
        <v>12869</v>
      </c>
      <c r="D9531" t="s">
        <v>19091</v>
      </c>
      <c r="E9531" t="s">
        <v>19351</v>
      </c>
      <c r="F9531" t="s">
        <v>32831</v>
      </c>
      <c r="G9531" t="s">
        <v>32839</v>
      </c>
      <c r="H9531" t="s">
        <v>32848</v>
      </c>
      <c r="I9531" t="s">
        <v>32867</v>
      </c>
      <c r="J9531" t="s">
        <v>33315</v>
      </c>
      <c r="K9531" t="s">
        <v>42731</v>
      </c>
      <c r="M9531" t="s">
        <v>46311</v>
      </c>
      <c r="N9531" t="s">
        <v>47424</v>
      </c>
      <c r="O9531" t="s">
        <v>47425</v>
      </c>
      <c r="P9531">
        <v>0</v>
      </c>
      <c r="Q9531">
        <v>3</v>
      </c>
      <c r="R9531" t="s">
        <v>47433</v>
      </c>
      <c r="S9531" t="s">
        <v>47633</v>
      </c>
      <c r="T9531" t="s">
        <v>49212</v>
      </c>
      <c r="U9531" t="s">
        <v>57565</v>
      </c>
      <c r="W9531" t="s">
        <v>46311</v>
      </c>
      <c r="X9531" t="s">
        <v>47434</v>
      </c>
    </row>
    <row r="9532" spans="1:24">
      <c r="A9532">
        <f>HYPERLINK("https://www.philgeps.gov.ph/GEPSNONPILOT/Tender/SplashBidNoticeAbstractUI.aspx?menuIndex=3&amp;refID=7149912&amp;Result=3","7149912")</f>
        <v>0</v>
      </c>
      <c r="B9532" t="s">
        <v>3039</v>
      </c>
      <c r="C9532" t="s">
        <v>12870</v>
      </c>
      <c r="D9532" t="s">
        <v>19093</v>
      </c>
      <c r="E9532" t="s">
        <v>27330</v>
      </c>
      <c r="F9532" t="s">
        <v>32831</v>
      </c>
      <c r="G9532" t="s">
        <v>32839</v>
      </c>
      <c r="H9532" t="s">
        <v>32848</v>
      </c>
      <c r="I9532" t="s">
        <v>32923</v>
      </c>
      <c r="J9532" t="s">
        <v>33031</v>
      </c>
      <c r="K9532" t="s">
        <v>42745</v>
      </c>
      <c r="L9532" t="s">
        <v>3039</v>
      </c>
      <c r="M9532" t="s">
        <v>46312</v>
      </c>
      <c r="N9532" t="s">
        <v>47424</v>
      </c>
      <c r="O9532" t="s">
        <v>47425</v>
      </c>
      <c r="P9532">
        <v>0</v>
      </c>
      <c r="Q9532">
        <v>5</v>
      </c>
      <c r="R9532" t="s">
        <v>47433</v>
      </c>
      <c r="S9532" t="s">
        <v>47633</v>
      </c>
      <c r="T9532" t="s">
        <v>49185</v>
      </c>
      <c r="U9532" t="s">
        <v>57566</v>
      </c>
      <c r="V9532" t="s">
        <v>63678</v>
      </c>
      <c r="W9532" t="s">
        <v>46312</v>
      </c>
      <c r="X9532" t="s">
        <v>47434</v>
      </c>
    </row>
    <row r="9533" spans="1:24">
      <c r="A9533">
        <f>HYPERLINK("https://www.philgeps.gov.ph/GEPSNONPILOT/Tender/SplashBidNoticeAbstractUI.aspx?menuIndex=3&amp;refID=7149920&amp;Result=3","7149920")</f>
        <v>0</v>
      </c>
      <c r="B9533" t="s">
        <v>3040</v>
      </c>
      <c r="C9533" t="s">
        <v>12871</v>
      </c>
      <c r="D9533" t="s">
        <v>19043</v>
      </c>
      <c r="E9533" t="s">
        <v>27308</v>
      </c>
      <c r="F9533" t="s">
        <v>32831</v>
      </c>
      <c r="G9533" t="s">
        <v>32839</v>
      </c>
      <c r="H9533" t="s">
        <v>32848</v>
      </c>
      <c r="I9533" t="s">
        <v>7416</v>
      </c>
      <c r="J9533" t="s">
        <v>38880</v>
      </c>
      <c r="K9533" t="s">
        <v>42727</v>
      </c>
      <c r="M9533" t="s">
        <v>46313</v>
      </c>
      <c r="N9533" t="s">
        <v>47424</v>
      </c>
      <c r="O9533" t="s">
        <v>47425</v>
      </c>
      <c r="P9533">
        <v>0</v>
      </c>
      <c r="Q9533">
        <v>0</v>
      </c>
      <c r="R9533" t="s">
        <v>47433</v>
      </c>
      <c r="S9533" t="s">
        <v>47633</v>
      </c>
      <c r="T9533" t="s">
        <v>49237</v>
      </c>
      <c r="U9533" t="s">
        <v>57567</v>
      </c>
      <c r="W9533" t="s">
        <v>46313</v>
      </c>
      <c r="X9533" t="s">
        <v>47434</v>
      </c>
    </row>
    <row r="9534" spans="1:24">
      <c r="A9534">
        <f>HYPERLINK("https://www.philgeps.gov.ph/GEPSNONPILOT/Tender/SplashBidNoticeAbstractUI.aspx?menuIndex=3&amp;refID=7150017&amp;Result=3","7150017")</f>
        <v>0</v>
      </c>
      <c r="B9534" t="s">
        <v>721</v>
      </c>
      <c r="C9534" t="s">
        <v>12872</v>
      </c>
      <c r="D9534" t="s">
        <v>19018</v>
      </c>
      <c r="E9534" t="s">
        <v>27331</v>
      </c>
      <c r="F9534" t="s">
        <v>32831</v>
      </c>
      <c r="G9534" t="s">
        <v>32838</v>
      </c>
      <c r="H9534" t="s">
        <v>32848</v>
      </c>
      <c r="I9534" t="s">
        <v>4222</v>
      </c>
      <c r="J9534" t="s">
        <v>38881</v>
      </c>
      <c r="K9534" t="s">
        <v>42732</v>
      </c>
      <c r="M9534" t="s">
        <v>43742</v>
      </c>
      <c r="N9534" t="s">
        <v>47424</v>
      </c>
      <c r="O9534" t="s">
        <v>47425</v>
      </c>
      <c r="P9534">
        <v>0</v>
      </c>
      <c r="Q9534">
        <v>0</v>
      </c>
      <c r="R9534" t="s">
        <v>47433</v>
      </c>
      <c r="S9534" t="s">
        <v>47633</v>
      </c>
      <c r="T9534" t="s">
        <v>49328</v>
      </c>
      <c r="U9534" t="s">
        <v>56573</v>
      </c>
      <c r="W9534" t="s">
        <v>43742</v>
      </c>
      <c r="X9534" t="s">
        <v>47434</v>
      </c>
    </row>
    <row r="9535" spans="1:24">
      <c r="A9535">
        <f>HYPERLINK("https://www.philgeps.gov.ph/GEPSNONPILOT/Tender/SplashBidNoticeAbstractUI.aspx?menuIndex=3&amp;refID=7149916&amp;Result=3","7149916")</f>
        <v>0</v>
      </c>
      <c r="B9535" t="s">
        <v>865</v>
      </c>
      <c r="C9535" t="s">
        <v>12873</v>
      </c>
      <c r="D9535" t="s">
        <v>19077</v>
      </c>
      <c r="E9535" t="s">
        <v>19202</v>
      </c>
      <c r="F9535" t="s">
        <v>32831</v>
      </c>
      <c r="G9535" t="s">
        <v>32839</v>
      </c>
      <c r="H9535" t="s">
        <v>32849</v>
      </c>
      <c r="I9535" t="s">
        <v>4177</v>
      </c>
      <c r="J9535" t="s">
        <v>34733</v>
      </c>
      <c r="K9535" t="s">
        <v>42780</v>
      </c>
      <c r="M9535" t="s">
        <v>43899</v>
      </c>
      <c r="N9535" t="s">
        <v>47424</v>
      </c>
      <c r="O9535" t="s">
        <v>47425</v>
      </c>
      <c r="P9535">
        <v>0</v>
      </c>
      <c r="Q9535">
        <v>0</v>
      </c>
      <c r="R9535" t="s">
        <v>47433</v>
      </c>
      <c r="S9535" t="s">
        <v>47633</v>
      </c>
      <c r="T9535" t="s">
        <v>49057</v>
      </c>
      <c r="U9535" t="s">
        <v>57568</v>
      </c>
      <c r="V9535" t="s">
        <v>63679</v>
      </c>
      <c r="W9535" t="s">
        <v>43899</v>
      </c>
      <c r="X9535" t="s">
        <v>47434</v>
      </c>
    </row>
    <row r="9536" spans="1:24">
      <c r="A9536">
        <f>HYPERLINK("https://www.philgeps.gov.ph/GEPSNONPILOT/Tender/SplashBidNoticeAbstractUI.aspx?menuIndex=3&amp;refID=7150016&amp;Result=3","7150016")</f>
        <v>0</v>
      </c>
      <c r="B9536" t="s">
        <v>1425</v>
      </c>
      <c r="C9536" t="s">
        <v>5171</v>
      </c>
      <c r="D9536" t="s">
        <v>19073</v>
      </c>
      <c r="E9536" t="s">
        <v>27332</v>
      </c>
      <c r="F9536" t="s">
        <v>32831</v>
      </c>
      <c r="G9536" t="s">
        <v>32839</v>
      </c>
      <c r="H9536" t="s">
        <v>32848</v>
      </c>
      <c r="I9536" t="s">
        <v>9577</v>
      </c>
      <c r="J9536" t="s">
        <v>38882</v>
      </c>
      <c r="K9536" t="s">
        <v>42730</v>
      </c>
      <c r="M9536" t="s">
        <v>44514</v>
      </c>
      <c r="N9536" t="s">
        <v>47424</v>
      </c>
      <c r="O9536" t="s">
        <v>47425</v>
      </c>
      <c r="P9536">
        <v>0</v>
      </c>
      <c r="Q9536">
        <v>0</v>
      </c>
      <c r="R9536" t="s">
        <v>47433</v>
      </c>
      <c r="S9536" t="s">
        <v>47633</v>
      </c>
      <c r="T9536" t="s">
        <v>49111</v>
      </c>
      <c r="U9536" t="s">
        <v>57569</v>
      </c>
      <c r="W9536" t="s">
        <v>44514</v>
      </c>
      <c r="X9536" t="s">
        <v>47434</v>
      </c>
    </row>
    <row r="9537" spans="1:24">
      <c r="A9537">
        <f>HYPERLINK("https://www.philgeps.gov.ph/GEPSNONPILOT/Tender/SplashBidNoticeAbstractUI.aspx?menuIndex=3&amp;refID=7149935&amp;Result=3","7149935")</f>
        <v>0</v>
      </c>
      <c r="B9537" t="s">
        <v>2998</v>
      </c>
      <c r="C9537" t="s">
        <v>12874</v>
      </c>
      <c r="D9537" t="s">
        <v>19025</v>
      </c>
      <c r="E9537" t="s">
        <v>27333</v>
      </c>
      <c r="F9537" t="s">
        <v>32831</v>
      </c>
      <c r="G9537" t="s">
        <v>32839</v>
      </c>
      <c r="H9537" t="s">
        <v>32849</v>
      </c>
      <c r="I9537" t="s">
        <v>4177</v>
      </c>
      <c r="J9537" t="s">
        <v>38883</v>
      </c>
      <c r="K9537" t="s">
        <v>42757</v>
      </c>
      <c r="M9537" t="s">
        <v>46265</v>
      </c>
      <c r="N9537" t="s">
        <v>47424</v>
      </c>
      <c r="O9537" t="s">
        <v>47425</v>
      </c>
      <c r="P9537">
        <v>0</v>
      </c>
      <c r="Q9537">
        <v>0</v>
      </c>
      <c r="R9537" t="s">
        <v>47433</v>
      </c>
      <c r="S9537" t="s">
        <v>47633</v>
      </c>
      <c r="T9537" t="s">
        <v>49169</v>
      </c>
      <c r="U9537" t="s">
        <v>57570</v>
      </c>
      <c r="W9537" t="s">
        <v>46265</v>
      </c>
      <c r="X9537" t="s">
        <v>47434</v>
      </c>
    </row>
    <row r="9538" spans="1:24">
      <c r="A9538">
        <f>HYPERLINK("https://www.philgeps.gov.ph/GEPSNONPILOT/Tender/SplashBidNoticeAbstractUI.aspx?menuIndex=3&amp;refID=7150004&amp;Result=3","7150004")</f>
        <v>0</v>
      </c>
      <c r="B9538" t="s">
        <v>2031</v>
      </c>
      <c r="C9538" t="s">
        <v>12875</v>
      </c>
      <c r="D9538" t="s">
        <v>19030</v>
      </c>
      <c r="E9538" t="s">
        <v>27334</v>
      </c>
      <c r="F9538" t="s">
        <v>32831</v>
      </c>
      <c r="G9538" t="s">
        <v>32838</v>
      </c>
      <c r="H9538" t="s">
        <v>32848</v>
      </c>
      <c r="I9538" t="s">
        <v>32894</v>
      </c>
      <c r="J9538" t="s">
        <v>33067</v>
      </c>
      <c r="K9538" t="s">
        <v>42732</v>
      </c>
      <c r="M9538" t="s">
        <v>46306</v>
      </c>
      <c r="N9538" t="s">
        <v>47424</v>
      </c>
      <c r="O9538" t="s">
        <v>47425</v>
      </c>
      <c r="P9538">
        <v>0</v>
      </c>
      <c r="Q9538">
        <v>4</v>
      </c>
      <c r="R9538" t="s">
        <v>47433</v>
      </c>
      <c r="S9538" t="s">
        <v>47633</v>
      </c>
      <c r="T9538" t="s">
        <v>49089</v>
      </c>
      <c r="U9538" t="s">
        <v>57571</v>
      </c>
      <c r="W9538" t="s">
        <v>46306</v>
      </c>
      <c r="X9538" t="s">
        <v>47434</v>
      </c>
    </row>
    <row r="9539" spans="1:24">
      <c r="A9539">
        <f>HYPERLINK("https://www.philgeps.gov.ph/GEPSNONPILOT/Tender/SplashBidNoticeAbstractUI.aspx?menuIndex=3&amp;refID=7150013&amp;Result=3","7150013")</f>
        <v>0</v>
      </c>
      <c r="B9539" t="s">
        <v>3041</v>
      </c>
      <c r="C9539" t="s">
        <v>12876</v>
      </c>
      <c r="D9539" t="s">
        <v>19043</v>
      </c>
      <c r="E9539" t="s">
        <v>27335</v>
      </c>
      <c r="F9539" t="s">
        <v>32831</v>
      </c>
      <c r="G9539" t="s">
        <v>32839</v>
      </c>
      <c r="H9539" t="s">
        <v>32848</v>
      </c>
      <c r="I9539" t="s">
        <v>7416</v>
      </c>
      <c r="J9539" t="s">
        <v>38884</v>
      </c>
      <c r="K9539" t="s">
        <v>42727</v>
      </c>
      <c r="M9539" t="s">
        <v>46314</v>
      </c>
      <c r="N9539" t="s">
        <v>47424</v>
      </c>
      <c r="O9539" t="s">
        <v>47425</v>
      </c>
      <c r="P9539">
        <v>0</v>
      </c>
      <c r="Q9539">
        <v>0</v>
      </c>
      <c r="R9539" t="s">
        <v>47433</v>
      </c>
      <c r="S9539" t="s">
        <v>47633</v>
      </c>
      <c r="T9539" t="s">
        <v>49237</v>
      </c>
      <c r="U9539" t="s">
        <v>57567</v>
      </c>
      <c r="W9539" t="s">
        <v>46314</v>
      </c>
      <c r="X9539" t="s">
        <v>47434</v>
      </c>
    </row>
    <row r="9540" spans="1:24">
      <c r="A9540">
        <f>HYPERLINK("https://www.philgeps.gov.ph/GEPSNONPILOT/Tender/SplashBidNoticeAbstractUI.aspx?menuIndex=3&amp;refID=7150000&amp;Result=3","7150000")</f>
        <v>0</v>
      </c>
      <c r="B9540" t="s">
        <v>3042</v>
      </c>
      <c r="C9540" t="s">
        <v>12877</v>
      </c>
      <c r="D9540" t="s">
        <v>19018</v>
      </c>
      <c r="E9540" t="s">
        <v>19645</v>
      </c>
      <c r="F9540" t="s">
        <v>32831</v>
      </c>
      <c r="G9540" t="s">
        <v>32839</v>
      </c>
      <c r="H9540" t="s">
        <v>32848</v>
      </c>
      <c r="I9540" t="s">
        <v>7416</v>
      </c>
      <c r="J9540" t="s">
        <v>38430</v>
      </c>
      <c r="K9540" t="s">
        <v>42726</v>
      </c>
      <c r="M9540" t="s">
        <v>46315</v>
      </c>
      <c r="N9540" t="s">
        <v>47424</v>
      </c>
      <c r="O9540" t="s">
        <v>47425</v>
      </c>
      <c r="P9540">
        <v>0</v>
      </c>
      <c r="Q9540">
        <v>0</v>
      </c>
      <c r="R9540" t="s">
        <v>47433</v>
      </c>
      <c r="S9540" t="s">
        <v>47633</v>
      </c>
      <c r="T9540" t="s">
        <v>49166</v>
      </c>
      <c r="U9540" t="s">
        <v>57572</v>
      </c>
      <c r="W9540" t="s">
        <v>46315</v>
      </c>
      <c r="X9540" t="s">
        <v>47434</v>
      </c>
    </row>
    <row r="9541" spans="1:24">
      <c r="A9541">
        <f>HYPERLINK("https://www.philgeps.gov.ph/GEPSNONPILOT/Tender/SplashBidNoticeAbstractUI.aspx?menuIndex=3&amp;refID=7150005&amp;Result=3","7150005")</f>
        <v>0</v>
      </c>
      <c r="B9541" t="s">
        <v>958</v>
      </c>
      <c r="C9541" t="s">
        <v>12878</v>
      </c>
      <c r="D9541" t="s">
        <v>19049</v>
      </c>
      <c r="E9541" t="s">
        <v>27336</v>
      </c>
      <c r="F9541" t="s">
        <v>32831</v>
      </c>
      <c r="G9541" t="s">
        <v>32840</v>
      </c>
      <c r="H9541" t="s">
        <v>32848</v>
      </c>
      <c r="I9541" t="s">
        <v>32857</v>
      </c>
      <c r="J9541" t="s">
        <v>37501</v>
      </c>
      <c r="K9541" t="s">
        <v>42732</v>
      </c>
      <c r="M9541" t="s">
        <v>44004</v>
      </c>
      <c r="N9541" t="s">
        <v>47424</v>
      </c>
      <c r="O9541" t="s">
        <v>47425</v>
      </c>
      <c r="P9541">
        <v>0</v>
      </c>
      <c r="Q9541">
        <v>1</v>
      </c>
      <c r="R9541" t="s">
        <v>47433</v>
      </c>
      <c r="S9541" t="s">
        <v>47633</v>
      </c>
      <c r="T9541" t="s">
        <v>49212</v>
      </c>
      <c r="U9541" t="s">
        <v>57573</v>
      </c>
      <c r="W9541" t="s">
        <v>44004</v>
      </c>
      <c r="X9541" t="s">
        <v>47434</v>
      </c>
    </row>
    <row r="9542" spans="1:24">
      <c r="A9542">
        <f>HYPERLINK("https://www.philgeps.gov.ph/GEPSNONPILOT/Tender/SplashBidNoticeAbstractUI.aspx?menuIndex=3&amp;refID=7149993&amp;Result=3","7149993")</f>
        <v>0</v>
      </c>
      <c r="B9542" t="s">
        <v>3043</v>
      </c>
      <c r="C9542" t="s">
        <v>9197</v>
      </c>
      <c r="D9542" t="s">
        <v>19026</v>
      </c>
      <c r="E9542" t="s">
        <v>19645</v>
      </c>
      <c r="F9542" t="s">
        <v>32831</v>
      </c>
      <c r="G9542" t="s">
        <v>32839</v>
      </c>
      <c r="H9542" t="s">
        <v>32849</v>
      </c>
      <c r="I9542" t="s">
        <v>4177</v>
      </c>
      <c r="J9542" t="s">
        <v>32980</v>
      </c>
      <c r="K9542" t="s">
        <v>42730</v>
      </c>
      <c r="M9542" t="s">
        <v>46316</v>
      </c>
      <c r="N9542" t="s">
        <v>47424</v>
      </c>
      <c r="O9542" t="s">
        <v>47425</v>
      </c>
      <c r="P9542">
        <v>0</v>
      </c>
      <c r="Q9542">
        <v>3</v>
      </c>
      <c r="R9542" t="s">
        <v>47433</v>
      </c>
      <c r="S9542" t="s">
        <v>47633</v>
      </c>
      <c r="T9542" t="s">
        <v>49237</v>
      </c>
      <c r="U9542" t="s">
        <v>54976</v>
      </c>
      <c r="W9542" t="s">
        <v>46316</v>
      </c>
      <c r="X9542" t="s">
        <v>47434</v>
      </c>
    </row>
    <row r="9543" spans="1:24">
      <c r="A9543">
        <f>HYPERLINK("https://www.philgeps.gov.ph/GEPSNONPILOT/Tender/SplashBidNoticeAbstractUI.aspx?menuIndex=3&amp;refID=7150018&amp;Result=3","7150018")</f>
        <v>0</v>
      </c>
      <c r="B9543" t="s">
        <v>2980</v>
      </c>
      <c r="C9543" t="s">
        <v>12879</v>
      </c>
      <c r="D9543" t="s">
        <v>19018</v>
      </c>
      <c r="E9543" t="s">
        <v>27337</v>
      </c>
      <c r="F9543" t="s">
        <v>32831</v>
      </c>
      <c r="G9543" t="s">
        <v>32839</v>
      </c>
      <c r="H9543" t="s">
        <v>32848</v>
      </c>
      <c r="I9543" t="s">
        <v>4177</v>
      </c>
      <c r="J9543" t="s">
        <v>33644</v>
      </c>
      <c r="K9543" t="s">
        <v>42748</v>
      </c>
      <c r="M9543" t="s">
        <v>46243</v>
      </c>
      <c r="N9543" t="s">
        <v>47424</v>
      </c>
      <c r="O9543" t="s">
        <v>47425</v>
      </c>
      <c r="P9543">
        <v>0</v>
      </c>
      <c r="Q9543">
        <v>0</v>
      </c>
      <c r="R9543" t="s">
        <v>47433</v>
      </c>
      <c r="S9543" t="s">
        <v>47633</v>
      </c>
      <c r="T9543" t="s">
        <v>49213</v>
      </c>
      <c r="U9543" t="s">
        <v>57574</v>
      </c>
      <c r="V9543" t="s">
        <v>63680</v>
      </c>
      <c r="W9543" t="s">
        <v>46243</v>
      </c>
      <c r="X9543" t="s">
        <v>47434</v>
      </c>
    </row>
    <row r="9544" spans="1:24">
      <c r="A9544">
        <f>HYPERLINK("https://www.philgeps.gov.ph/GEPSNONPILOT/Tender/SplashBidNoticeAbstractUI.aspx?menuIndex=3&amp;refID=7149919&amp;Result=3","7149919")</f>
        <v>0</v>
      </c>
      <c r="B9544" t="s">
        <v>1425</v>
      </c>
      <c r="C9544" t="s">
        <v>5171</v>
      </c>
      <c r="D9544" t="s">
        <v>19073</v>
      </c>
      <c r="E9544" t="s">
        <v>27338</v>
      </c>
      <c r="F9544" t="s">
        <v>32831</v>
      </c>
      <c r="G9544" t="s">
        <v>32839</v>
      </c>
      <c r="H9544" t="s">
        <v>32848</v>
      </c>
      <c r="I9544" t="s">
        <v>9577</v>
      </c>
      <c r="J9544" t="s">
        <v>38885</v>
      </c>
      <c r="K9544" t="s">
        <v>42730</v>
      </c>
      <c r="M9544" t="s">
        <v>44514</v>
      </c>
      <c r="N9544" t="s">
        <v>47424</v>
      </c>
      <c r="O9544" t="s">
        <v>47425</v>
      </c>
      <c r="P9544">
        <v>0</v>
      </c>
      <c r="Q9544">
        <v>0</v>
      </c>
      <c r="R9544" t="s">
        <v>47433</v>
      </c>
      <c r="S9544" t="s">
        <v>47633</v>
      </c>
      <c r="T9544" t="s">
        <v>49111</v>
      </c>
      <c r="U9544" t="s">
        <v>57575</v>
      </c>
      <c r="W9544" t="s">
        <v>44514</v>
      </c>
      <c r="X9544" t="s">
        <v>47434</v>
      </c>
    </row>
    <row r="9545" spans="1:24">
      <c r="A9545">
        <f>HYPERLINK("https://www.philgeps.gov.ph/GEPSNONPILOT/Tender/SplashBidNoticeAbstractUI.aspx?menuIndex=3&amp;refID=7149986&amp;Result=3","7149986")</f>
        <v>0</v>
      </c>
      <c r="B9545" t="s">
        <v>3044</v>
      </c>
      <c r="C9545" t="s">
        <v>12880</v>
      </c>
      <c r="D9545" t="s">
        <v>19074</v>
      </c>
      <c r="E9545" t="s">
        <v>27339</v>
      </c>
      <c r="F9545" t="s">
        <v>32833</v>
      </c>
      <c r="G9545" t="s">
        <v>32842</v>
      </c>
      <c r="H9545" t="s">
        <v>32848</v>
      </c>
      <c r="I9545" t="s">
        <v>32860</v>
      </c>
      <c r="J9545" t="s">
        <v>38886</v>
      </c>
      <c r="K9545" t="s">
        <v>42726</v>
      </c>
      <c r="L9545" t="s">
        <v>3044</v>
      </c>
      <c r="M9545" t="s">
        <v>46317</v>
      </c>
      <c r="N9545" t="s">
        <v>47424</v>
      </c>
      <c r="O9545" t="s">
        <v>47425</v>
      </c>
      <c r="P9545">
        <v>0</v>
      </c>
      <c r="Q9545">
        <v>5</v>
      </c>
      <c r="R9545" t="s">
        <v>47433</v>
      </c>
      <c r="S9545" t="s">
        <v>47633</v>
      </c>
      <c r="T9545" t="s">
        <v>49237</v>
      </c>
      <c r="U9545" t="s">
        <v>57576</v>
      </c>
      <c r="V9545" t="s">
        <v>63681</v>
      </c>
      <c r="W9545" t="s">
        <v>46317</v>
      </c>
      <c r="X9545" t="s">
        <v>47434</v>
      </c>
    </row>
    <row r="9546" spans="1:24">
      <c r="A9546">
        <f>HYPERLINK("https://www.philgeps.gov.ph/GEPSNONPILOT/Tender/SplashBidNoticeAbstractUI.aspx?menuIndex=3&amp;refID=7149977&amp;Result=3","7149977")</f>
        <v>0</v>
      </c>
      <c r="B9546" t="s">
        <v>3045</v>
      </c>
      <c r="C9546" t="s">
        <v>12881</v>
      </c>
      <c r="D9546" t="s">
        <v>19046</v>
      </c>
      <c r="E9546" t="s">
        <v>19311</v>
      </c>
      <c r="F9546" t="s">
        <v>32831</v>
      </c>
      <c r="G9546" t="s">
        <v>32839</v>
      </c>
      <c r="H9546" t="s">
        <v>32848</v>
      </c>
      <c r="I9546" t="s">
        <v>7416</v>
      </c>
      <c r="J9546" t="s">
        <v>38887</v>
      </c>
      <c r="K9546" t="s">
        <v>42727</v>
      </c>
      <c r="M9546" t="s">
        <v>46318</v>
      </c>
      <c r="N9546" t="s">
        <v>47424</v>
      </c>
      <c r="O9546" t="s">
        <v>47425</v>
      </c>
      <c r="P9546">
        <v>0</v>
      </c>
      <c r="Q9546">
        <v>0</v>
      </c>
      <c r="R9546" t="s">
        <v>47433</v>
      </c>
      <c r="S9546" t="s">
        <v>47633</v>
      </c>
      <c r="T9546" t="s">
        <v>49237</v>
      </c>
      <c r="U9546" t="s">
        <v>57577</v>
      </c>
      <c r="W9546" t="s">
        <v>46318</v>
      </c>
      <c r="X9546" t="s">
        <v>47434</v>
      </c>
    </row>
    <row r="9547" spans="1:24">
      <c r="A9547">
        <f>HYPERLINK("https://www.philgeps.gov.ph/GEPSNONPILOT/Tender/SplashBidNoticeAbstractUI.aspx?menuIndex=3&amp;refID=7149966&amp;Result=3","7149966")</f>
        <v>0</v>
      </c>
      <c r="B9547" t="s">
        <v>2999</v>
      </c>
      <c r="C9547" t="s">
        <v>12882</v>
      </c>
      <c r="D9547" t="s">
        <v>19080</v>
      </c>
      <c r="E9547" t="s">
        <v>27340</v>
      </c>
      <c r="F9547" t="s">
        <v>32831</v>
      </c>
      <c r="G9547" t="s">
        <v>32839</v>
      </c>
      <c r="H9547" t="s">
        <v>32848</v>
      </c>
      <c r="I9547" t="s">
        <v>4487</v>
      </c>
      <c r="J9547" t="s">
        <v>38888</v>
      </c>
      <c r="K9547" t="s">
        <v>42730</v>
      </c>
      <c r="M9547" t="s">
        <v>46266</v>
      </c>
      <c r="N9547" t="s">
        <v>47424</v>
      </c>
      <c r="O9547" t="s">
        <v>47425</v>
      </c>
      <c r="P9547">
        <v>0</v>
      </c>
      <c r="Q9547">
        <v>0</v>
      </c>
      <c r="R9547" t="s">
        <v>47433</v>
      </c>
      <c r="S9547" t="s">
        <v>47633</v>
      </c>
      <c r="T9547" t="s">
        <v>49202</v>
      </c>
      <c r="U9547" t="s">
        <v>57578</v>
      </c>
      <c r="W9547" t="s">
        <v>46266</v>
      </c>
      <c r="X9547" t="s">
        <v>47434</v>
      </c>
    </row>
    <row r="9548" spans="1:24">
      <c r="A9548">
        <f>HYPERLINK("https://www.philgeps.gov.ph/GEPSNONPILOT/Tender/SplashBidNoticeAbstractUI.aspx?menuIndex=3&amp;refID=7149965&amp;Result=3","7149965")</f>
        <v>0</v>
      </c>
      <c r="B9548" t="s">
        <v>2277</v>
      </c>
      <c r="C9548" t="s">
        <v>12883</v>
      </c>
      <c r="D9548" t="s">
        <v>19031</v>
      </c>
      <c r="E9548" t="s">
        <v>27341</v>
      </c>
      <c r="F9548" t="s">
        <v>32831</v>
      </c>
      <c r="G9548" t="s">
        <v>32838</v>
      </c>
      <c r="H9548" t="s">
        <v>32848</v>
      </c>
      <c r="I9548" t="s">
        <v>32872</v>
      </c>
      <c r="J9548" t="s">
        <v>33479</v>
      </c>
      <c r="K9548" t="s">
        <v>42731</v>
      </c>
      <c r="M9548" t="s">
        <v>45461</v>
      </c>
      <c r="N9548" t="s">
        <v>47424</v>
      </c>
      <c r="O9548" t="s">
        <v>47425</v>
      </c>
      <c r="P9548">
        <v>0</v>
      </c>
      <c r="Q9548">
        <v>2</v>
      </c>
      <c r="R9548" t="s">
        <v>47433</v>
      </c>
      <c r="S9548" t="s">
        <v>47633</v>
      </c>
      <c r="T9548" t="s">
        <v>49214</v>
      </c>
      <c r="U9548" t="s">
        <v>57579</v>
      </c>
      <c r="W9548" t="s">
        <v>45461</v>
      </c>
      <c r="X9548" t="s">
        <v>47434</v>
      </c>
    </row>
    <row r="9549" spans="1:24">
      <c r="A9549">
        <f>HYPERLINK("https://www.philgeps.gov.ph/GEPSNONPILOT/Tender/SplashBidNoticeAbstractUI.aspx?menuIndex=3&amp;refID=7149994&amp;Result=3","7149994")</f>
        <v>0</v>
      </c>
      <c r="B9549" t="s">
        <v>2350</v>
      </c>
      <c r="C9549" t="s">
        <v>12884</v>
      </c>
      <c r="D9549" t="s">
        <v>19018</v>
      </c>
      <c r="E9549" t="s">
        <v>27342</v>
      </c>
      <c r="F9549" t="s">
        <v>32831</v>
      </c>
      <c r="G9549" t="s">
        <v>32838</v>
      </c>
      <c r="H9549" t="s">
        <v>32848</v>
      </c>
      <c r="I9549" t="s">
        <v>32874</v>
      </c>
      <c r="J9549" t="s">
        <v>33227</v>
      </c>
      <c r="K9549" t="s">
        <v>42732</v>
      </c>
      <c r="M9549" t="s">
        <v>45539</v>
      </c>
      <c r="N9549" t="s">
        <v>47424</v>
      </c>
      <c r="O9549" t="s">
        <v>47425</v>
      </c>
      <c r="Q9549">
        <v>11</v>
      </c>
      <c r="R9549" t="s">
        <v>47433</v>
      </c>
      <c r="S9549" t="s">
        <v>47647</v>
      </c>
      <c r="T9549" t="s">
        <v>49100</v>
      </c>
      <c r="U9549" t="s">
        <v>50084</v>
      </c>
      <c r="W9549" t="s">
        <v>45539</v>
      </c>
      <c r="X9549" t="s">
        <v>47434</v>
      </c>
    </row>
    <row r="9550" spans="1:24">
      <c r="A9550">
        <f>HYPERLINK("https://www.philgeps.gov.ph/GEPSNONPILOT/Tender/SplashBidNoticeAbstractUI.aspx?menuIndex=3&amp;refID=7150104&amp;Result=3","7150104")</f>
        <v>0</v>
      </c>
      <c r="B9550" t="s">
        <v>2313</v>
      </c>
      <c r="C9550" t="s">
        <v>12885</v>
      </c>
      <c r="E9550" t="s">
        <v>27343</v>
      </c>
      <c r="F9550" t="s">
        <v>32831</v>
      </c>
      <c r="G9550" t="s">
        <v>32838</v>
      </c>
      <c r="H9550" t="s">
        <v>32849</v>
      </c>
      <c r="I9550" t="s">
        <v>32852</v>
      </c>
      <c r="J9550" t="s">
        <v>38889</v>
      </c>
      <c r="K9550" t="s">
        <v>42732</v>
      </c>
      <c r="M9550" t="s">
        <v>45498</v>
      </c>
      <c r="N9550" t="s">
        <v>47424</v>
      </c>
      <c r="O9550" t="s">
        <v>47425</v>
      </c>
      <c r="Q9550">
        <v>1</v>
      </c>
      <c r="R9550" t="s">
        <v>47433</v>
      </c>
      <c r="S9550" t="s">
        <v>47648</v>
      </c>
      <c r="T9550" t="s">
        <v>49235</v>
      </c>
      <c r="U9550" t="s">
        <v>57580</v>
      </c>
      <c r="W9550" t="s">
        <v>45498</v>
      </c>
      <c r="X9550" t="s">
        <v>47434</v>
      </c>
    </row>
    <row r="9551" spans="1:24">
      <c r="A9551">
        <f>HYPERLINK("https://www.philgeps.gov.ph/GEPSNONPILOT/Tender/SplashBidNoticeAbstractUI.aspx?menuIndex=3&amp;refID=7149992&amp;Result=3","7149992")</f>
        <v>0</v>
      </c>
      <c r="B9551" t="s">
        <v>2638</v>
      </c>
      <c r="C9551" t="s">
        <v>12886</v>
      </c>
      <c r="D9551" t="s">
        <v>19023</v>
      </c>
      <c r="E9551" t="s">
        <v>27344</v>
      </c>
      <c r="F9551" t="s">
        <v>32831</v>
      </c>
      <c r="G9551" t="s">
        <v>32838</v>
      </c>
      <c r="H9551" t="s">
        <v>32848</v>
      </c>
      <c r="I9551" t="s">
        <v>32887</v>
      </c>
      <c r="J9551" t="s">
        <v>33578</v>
      </c>
      <c r="K9551" t="s">
        <v>42727</v>
      </c>
      <c r="M9551" t="s">
        <v>45860</v>
      </c>
      <c r="N9551" t="s">
        <v>47424</v>
      </c>
      <c r="O9551" t="s">
        <v>47425</v>
      </c>
      <c r="P9551">
        <v>0</v>
      </c>
      <c r="Q9551">
        <v>1</v>
      </c>
      <c r="R9551" t="s">
        <v>47433</v>
      </c>
      <c r="S9551" t="s">
        <v>47633</v>
      </c>
      <c r="T9551" t="s">
        <v>49239</v>
      </c>
      <c r="U9551" t="s">
        <v>56225</v>
      </c>
      <c r="V9551" t="s">
        <v>63682</v>
      </c>
      <c r="W9551" t="s">
        <v>45860</v>
      </c>
      <c r="X9551" t="s">
        <v>47434</v>
      </c>
    </row>
    <row r="9552" spans="1:24">
      <c r="A9552">
        <f>HYPERLINK("https://www.philgeps.gov.ph/GEPSNONPILOT/Tender/SplashBidNoticeAbstractUI.aspx?menuIndex=3&amp;refID=7150103&amp;Result=3","7150103")</f>
        <v>0</v>
      </c>
      <c r="B9552" t="s">
        <v>771</v>
      </c>
      <c r="C9552" t="s">
        <v>12887</v>
      </c>
      <c r="D9552" t="s">
        <v>19073</v>
      </c>
      <c r="E9552" t="s">
        <v>27345</v>
      </c>
      <c r="F9552" t="s">
        <v>32831</v>
      </c>
      <c r="G9552" t="s">
        <v>32839</v>
      </c>
      <c r="H9552" t="s">
        <v>32848</v>
      </c>
      <c r="I9552" t="s">
        <v>32961</v>
      </c>
      <c r="J9552" t="s">
        <v>38890</v>
      </c>
      <c r="K9552" t="s">
        <v>42730</v>
      </c>
      <c r="M9552" t="s">
        <v>43800</v>
      </c>
      <c r="N9552" t="s">
        <v>47424</v>
      </c>
      <c r="O9552" t="s">
        <v>47425</v>
      </c>
      <c r="P9552">
        <v>0</v>
      </c>
      <c r="Q9552">
        <v>5</v>
      </c>
      <c r="R9552" t="s">
        <v>47433</v>
      </c>
      <c r="S9552" t="s">
        <v>47633</v>
      </c>
      <c r="T9552" t="s">
        <v>49470</v>
      </c>
      <c r="U9552" t="s">
        <v>57581</v>
      </c>
      <c r="V9552" t="s">
        <v>63683</v>
      </c>
      <c r="W9552" t="s">
        <v>43800</v>
      </c>
      <c r="X9552" t="s">
        <v>47434</v>
      </c>
    </row>
    <row r="9553" spans="1:24">
      <c r="A9553">
        <f>HYPERLINK("https://www.philgeps.gov.ph/GEPSNONPILOT/Tender/SplashBidNoticeAbstractUI.aspx?menuIndex=3&amp;refID=7149980&amp;Result=3","7149980")</f>
        <v>0</v>
      </c>
      <c r="B9553" t="s">
        <v>2754</v>
      </c>
      <c r="C9553" t="s">
        <v>12888</v>
      </c>
      <c r="D9553" t="s">
        <v>19042</v>
      </c>
      <c r="E9553" t="s">
        <v>27346</v>
      </c>
      <c r="F9553" t="s">
        <v>32831</v>
      </c>
      <c r="G9553" t="s">
        <v>32839</v>
      </c>
      <c r="H9553" t="s">
        <v>32849</v>
      </c>
      <c r="I9553" t="s">
        <v>4177</v>
      </c>
      <c r="J9553" t="s">
        <v>38891</v>
      </c>
      <c r="K9553" t="s">
        <v>42784</v>
      </c>
      <c r="M9553" t="s">
        <v>45983</v>
      </c>
      <c r="N9553" t="s">
        <v>47424</v>
      </c>
      <c r="O9553" t="s">
        <v>47425</v>
      </c>
      <c r="P9553">
        <v>0</v>
      </c>
      <c r="Q9553">
        <v>0</v>
      </c>
      <c r="R9553" t="s">
        <v>47433</v>
      </c>
      <c r="S9553" t="s">
        <v>47633</v>
      </c>
      <c r="T9553" t="s">
        <v>49231</v>
      </c>
      <c r="U9553" t="s">
        <v>57582</v>
      </c>
      <c r="W9553" t="s">
        <v>45983</v>
      </c>
      <c r="X9553" t="s">
        <v>47434</v>
      </c>
    </row>
    <row r="9554" spans="1:24">
      <c r="A9554">
        <f>HYPERLINK("https://www.philgeps.gov.ph/GEPSNONPILOT/Tender/SplashBidNoticeAbstractUI.aspx?menuIndex=3&amp;refID=7150082&amp;Result=3","7150082")</f>
        <v>0</v>
      </c>
      <c r="B9554" t="s">
        <v>2485</v>
      </c>
      <c r="C9554" t="s">
        <v>12889</v>
      </c>
      <c r="D9554" t="s">
        <v>19031</v>
      </c>
      <c r="E9554" t="s">
        <v>27347</v>
      </c>
      <c r="F9554" t="s">
        <v>32831</v>
      </c>
      <c r="G9554" t="s">
        <v>32839</v>
      </c>
      <c r="H9554" t="s">
        <v>32849</v>
      </c>
      <c r="I9554" t="s">
        <v>4177</v>
      </c>
      <c r="J9554" t="s">
        <v>33257</v>
      </c>
      <c r="K9554" t="s">
        <v>42728</v>
      </c>
      <c r="M9554" t="s">
        <v>45688</v>
      </c>
      <c r="N9554" t="s">
        <v>47424</v>
      </c>
      <c r="O9554" t="s">
        <v>47425</v>
      </c>
      <c r="P9554">
        <v>0</v>
      </c>
      <c r="Q9554">
        <v>1</v>
      </c>
      <c r="R9554" t="s">
        <v>47433</v>
      </c>
      <c r="S9554" t="s">
        <v>47633</v>
      </c>
      <c r="T9554" t="s">
        <v>49112</v>
      </c>
      <c r="U9554" t="s">
        <v>57583</v>
      </c>
      <c r="W9554" t="s">
        <v>64510</v>
      </c>
      <c r="X9554" t="s">
        <v>47434</v>
      </c>
    </row>
    <row r="9555" spans="1:24">
      <c r="A9555">
        <f>HYPERLINK("https://www.philgeps.gov.ph/GEPSNONPILOT/Tender/SplashBidNoticeAbstractUI.aspx?menuIndex=3&amp;refID=7150076&amp;Result=3","7150076")</f>
        <v>0</v>
      </c>
      <c r="B9555" t="s">
        <v>3039</v>
      </c>
      <c r="C9555" t="s">
        <v>12890</v>
      </c>
      <c r="D9555" t="s">
        <v>19093</v>
      </c>
      <c r="E9555" t="s">
        <v>27348</v>
      </c>
      <c r="F9555" t="s">
        <v>32831</v>
      </c>
      <c r="G9555" t="s">
        <v>32838</v>
      </c>
      <c r="H9555" t="s">
        <v>32848</v>
      </c>
      <c r="I9555" t="s">
        <v>32862</v>
      </c>
      <c r="J9555" t="s">
        <v>33261</v>
      </c>
      <c r="K9555" t="s">
        <v>42731</v>
      </c>
      <c r="L9555" t="s">
        <v>3039</v>
      </c>
      <c r="M9555" t="s">
        <v>46312</v>
      </c>
      <c r="N9555" t="s">
        <v>47424</v>
      </c>
      <c r="O9555" t="s">
        <v>47425</v>
      </c>
      <c r="P9555">
        <v>0</v>
      </c>
      <c r="Q9555">
        <v>1</v>
      </c>
      <c r="R9555" t="s">
        <v>47433</v>
      </c>
      <c r="S9555" t="s">
        <v>47633</v>
      </c>
      <c r="T9555" t="s">
        <v>49350</v>
      </c>
      <c r="U9555" t="s">
        <v>57584</v>
      </c>
      <c r="V9555" t="s">
        <v>63684</v>
      </c>
      <c r="W9555" t="s">
        <v>46312</v>
      </c>
      <c r="X9555" t="s">
        <v>47434</v>
      </c>
    </row>
    <row r="9556" spans="1:24">
      <c r="A9556">
        <f>HYPERLINK("https://www.philgeps.gov.ph/GEPSNONPILOT/Tender/SplashBidNoticeAbstractUI.aspx?menuIndex=3&amp;refID=7150072&amp;Result=3","7150072")</f>
        <v>0</v>
      </c>
      <c r="B9556" t="s">
        <v>2059</v>
      </c>
      <c r="C9556" t="s">
        <v>12891</v>
      </c>
      <c r="D9556" t="s">
        <v>19057</v>
      </c>
      <c r="E9556" t="s">
        <v>27349</v>
      </c>
      <c r="F9556" t="s">
        <v>32831</v>
      </c>
      <c r="G9556" t="s">
        <v>32839</v>
      </c>
      <c r="H9556" t="s">
        <v>32848</v>
      </c>
      <c r="I9556" t="s">
        <v>32926</v>
      </c>
      <c r="J9556" t="s">
        <v>34390</v>
      </c>
      <c r="K9556" t="s">
        <v>42732</v>
      </c>
      <c r="M9556" t="s">
        <v>45229</v>
      </c>
      <c r="N9556" t="s">
        <v>47424</v>
      </c>
      <c r="O9556" t="s">
        <v>47425</v>
      </c>
      <c r="P9556">
        <v>0</v>
      </c>
      <c r="Q9556">
        <v>1</v>
      </c>
      <c r="R9556" t="s">
        <v>47433</v>
      </c>
      <c r="S9556" t="s">
        <v>47633</v>
      </c>
      <c r="T9556" t="s">
        <v>49415</v>
      </c>
      <c r="U9556" t="s">
        <v>57585</v>
      </c>
      <c r="W9556" t="s">
        <v>45229</v>
      </c>
      <c r="X9556" t="s">
        <v>47434</v>
      </c>
    </row>
    <row r="9557" spans="1:24">
      <c r="A9557">
        <f>HYPERLINK("https://www.philgeps.gov.ph/GEPSNONPILOT/Tender/SplashBidNoticeAbstractUI.aspx?menuIndex=3&amp;refID=7150069&amp;Result=3","7150069")</f>
        <v>0</v>
      </c>
      <c r="B9557" t="s">
        <v>3042</v>
      </c>
      <c r="C9557" t="s">
        <v>12892</v>
      </c>
      <c r="D9557" t="s">
        <v>19018</v>
      </c>
      <c r="E9557" t="s">
        <v>27350</v>
      </c>
      <c r="F9557" t="s">
        <v>32831</v>
      </c>
      <c r="G9557" t="s">
        <v>32839</v>
      </c>
      <c r="H9557" t="s">
        <v>32848</v>
      </c>
      <c r="I9557" t="s">
        <v>7416</v>
      </c>
      <c r="J9557" t="s">
        <v>38430</v>
      </c>
      <c r="K9557" t="s">
        <v>42726</v>
      </c>
      <c r="M9557" t="s">
        <v>46315</v>
      </c>
      <c r="N9557" t="s">
        <v>47424</v>
      </c>
      <c r="O9557" t="s">
        <v>47425</v>
      </c>
      <c r="P9557">
        <v>0</v>
      </c>
      <c r="Q9557">
        <v>0</v>
      </c>
      <c r="R9557" t="s">
        <v>47433</v>
      </c>
      <c r="S9557" t="s">
        <v>47633</v>
      </c>
      <c r="T9557" t="s">
        <v>49214</v>
      </c>
      <c r="U9557" t="s">
        <v>57586</v>
      </c>
      <c r="W9557" t="s">
        <v>46315</v>
      </c>
      <c r="X9557" t="s">
        <v>47434</v>
      </c>
    </row>
    <row r="9558" spans="1:24">
      <c r="A9558">
        <f>HYPERLINK("https://www.philgeps.gov.ph/GEPSNONPILOT/Tender/SplashBidNoticeAbstractUI.aspx?menuIndex=3&amp;refID=7149876&amp;Result=3","7149876")</f>
        <v>0</v>
      </c>
      <c r="B9558" t="s">
        <v>2239</v>
      </c>
      <c r="C9558" t="s">
        <v>12893</v>
      </c>
      <c r="D9558" t="s">
        <v>19061</v>
      </c>
      <c r="E9558" t="s">
        <v>27351</v>
      </c>
      <c r="F9558" t="s">
        <v>32831</v>
      </c>
      <c r="G9558" t="s">
        <v>32839</v>
      </c>
      <c r="H9558" t="s">
        <v>32849</v>
      </c>
      <c r="I9558" t="s">
        <v>4177</v>
      </c>
      <c r="J9558" t="s">
        <v>38892</v>
      </c>
      <c r="K9558" t="s">
        <v>42763</v>
      </c>
      <c r="M9558" t="s">
        <v>46308</v>
      </c>
      <c r="N9558" t="s">
        <v>47424</v>
      </c>
      <c r="O9558" t="s">
        <v>47425</v>
      </c>
      <c r="P9558">
        <v>0</v>
      </c>
      <c r="Q9558">
        <v>0</v>
      </c>
      <c r="R9558" t="s">
        <v>47433</v>
      </c>
      <c r="S9558" t="s">
        <v>47633</v>
      </c>
      <c r="T9558" t="s">
        <v>49160</v>
      </c>
      <c r="U9558" t="s">
        <v>57587</v>
      </c>
      <c r="W9558" t="s">
        <v>46308</v>
      </c>
      <c r="X9558" t="s">
        <v>47434</v>
      </c>
    </row>
    <row r="9559" spans="1:24">
      <c r="A9559">
        <f>HYPERLINK("https://www.philgeps.gov.ph/GEPSNONPILOT/Tender/SplashBidNoticeAbstractUI.aspx?menuIndex=3&amp;refID=7150075&amp;Result=3","7150075")</f>
        <v>0</v>
      </c>
      <c r="B9559" t="s">
        <v>1425</v>
      </c>
      <c r="C9559" t="s">
        <v>12894</v>
      </c>
      <c r="D9559" t="s">
        <v>19073</v>
      </c>
      <c r="E9559" t="s">
        <v>27352</v>
      </c>
      <c r="F9559" t="s">
        <v>32831</v>
      </c>
      <c r="G9559" t="s">
        <v>32839</v>
      </c>
      <c r="H9559" t="s">
        <v>32848</v>
      </c>
      <c r="I9559" t="s">
        <v>4438</v>
      </c>
      <c r="J9559" t="s">
        <v>38893</v>
      </c>
      <c r="K9559" t="s">
        <v>42730</v>
      </c>
      <c r="M9559" t="s">
        <v>44514</v>
      </c>
      <c r="N9559" t="s">
        <v>47424</v>
      </c>
      <c r="O9559" t="s">
        <v>47425</v>
      </c>
      <c r="P9559">
        <v>0</v>
      </c>
      <c r="Q9559">
        <v>0</v>
      </c>
      <c r="R9559" t="s">
        <v>47433</v>
      </c>
      <c r="S9559" t="s">
        <v>47633</v>
      </c>
      <c r="T9559" t="s">
        <v>49111</v>
      </c>
      <c r="U9559" t="s">
        <v>57588</v>
      </c>
      <c r="W9559" t="s">
        <v>44514</v>
      </c>
      <c r="X9559" t="s">
        <v>47434</v>
      </c>
    </row>
    <row r="9560" spans="1:24">
      <c r="A9560">
        <f>HYPERLINK("https://www.philgeps.gov.ph/GEPSNONPILOT/Tender/SplashBidNoticeAbstractUI.aspx?menuIndex=3&amp;refID=7150091&amp;Result=3","7150091")</f>
        <v>0</v>
      </c>
      <c r="B9560" t="s">
        <v>2485</v>
      </c>
      <c r="C9560" t="s">
        <v>12895</v>
      </c>
      <c r="D9560" t="s">
        <v>19031</v>
      </c>
      <c r="E9560" t="s">
        <v>27353</v>
      </c>
      <c r="F9560" t="s">
        <v>32831</v>
      </c>
      <c r="G9560" t="s">
        <v>32839</v>
      </c>
      <c r="H9560" t="s">
        <v>32849</v>
      </c>
      <c r="I9560" t="s">
        <v>4177</v>
      </c>
      <c r="J9560" t="s">
        <v>33552</v>
      </c>
      <c r="K9560" t="s">
        <v>42747</v>
      </c>
      <c r="M9560" t="s">
        <v>45688</v>
      </c>
      <c r="N9560" t="s">
        <v>47424</v>
      </c>
      <c r="O9560" t="s">
        <v>47425</v>
      </c>
      <c r="P9560">
        <v>0</v>
      </c>
      <c r="Q9560">
        <v>1</v>
      </c>
      <c r="R9560" t="s">
        <v>47433</v>
      </c>
      <c r="S9560" t="s">
        <v>47633</v>
      </c>
      <c r="T9560" t="s">
        <v>49265</v>
      </c>
      <c r="U9560" t="s">
        <v>57589</v>
      </c>
      <c r="W9560" t="s">
        <v>64510</v>
      </c>
      <c r="X9560" t="s">
        <v>47434</v>
      </c>
    </row>
    <row r="9561" spans="1:24">
      <c r="A9561">
        <f>HYPERLINK("https://www.philgeps.gov.ph/GEPSNONPILOT/Tender/SplashBidNoticeAbstractUI.aspx?menuIndex=3&amp;refID=7150064&amp;Result=3","7150064")</f>
        <v>0</v>
      </c>
      <c r="B9561" t="s">
        <v>1425</v>
      </c>
      <c r="C9561" t="s">
        <v>5171</v>
      </c>
      <c r="D9561" t="s">
        <v>19073</v>
      </c>
      <c r="E9561" t="s">
        <v>27354</v>
      </c>
      <c r="F9561" t="s">
        <v>32831</v>
      </c>
      <c r="G9561" t="s">
        <v>32839</v>
      </c>
      <c r="H9561" t="s">
        <v>32848</v>
      </c>
      <c r="I9561" t="s">
        <v>9577</v>
      </c>
      <c r="J9561" t="s">
        <v>38894</v>
      </c>
      <c r="K9561" t="s">
        <v>42730</v>
      </c>
      <c r="M9561" t="s">
        <v>44514</v>
      </c>
      <c r="N9561" t="s">
        <v>47424</v>
      </c>
      <c r="O9561" t="s">
        <v>47425</v>
      </c>
      <c r="P9561">
        <v>0</v>
      </c>
      <c r="Q9561">
        <v>0</v>
      </c>
      <c r="R9561" t="s">
        <v>47433</v>
      </c>
      <c r="S9561" t="s">
        <v>47633</v>
      </c>
      <c r="T9561" t="s">
        <v>49111</v>
      </c>
      <c r="U9561" t="s">
        <v>57590</v>
      </c>
      <c r="W9561" t="s">
        <v>44514</v>
      </c>
      <c r="X9561" t="s">
        <v>47434</v>
      </c>
    </row>
    <row r="9562" spans="1:24">
      <c r="A9562">
        <f>HYPERLINK("https://www.philgeps.gov.ph/GEPSNONPILOT/Tender/SplashBidNoticeAbstractUI.aspx?menuIndex=3&amp;refID=7150060&amp;Result=3","7150060")</f>
        <v>0</v>
      </c>
      <c r="B9562" t="s">
        <v>2960</v>
      </c>
      <c r="C9562" t="s">
        <v>12896</v>
      </c>
      <c r="D9562" t="s">
        <v>19019</v>
      </c>
      <c r="E9562" t="s">
        <v>27355</v>
      </c>
      <c r="F9562" t="s">
        <v>32831</v>
      </c>
      <c r="G9562" t="s">
        <v>32839</v>
      </c>
      <c r="H9562" t="s">
        <v>32849</v>
      </c>
      <c r="I9562" t="s">
        <v>4177</v>
      </c>
      <c r="J9562" t="s">
        <v>33707</v>
      </c>
      <c r="K9562" t="s">
        <v>42796</v>
      </c>
      <c r="M9562" t="s">
        <v>46222</v>
      </c>
      <c r="N9562" t="s">
        <v>47424</v>
      </c>
      <c r="O9562" t="s">
        <v>47425</v>
      </c>
      <c r="P9562">
        <v>0</v>
      </c>
      <c r="Q9562">
        <v>0</v>
      </c>
      <c r="R9562" t="s">
        <v>47433</v>
      </c>
      <c r="S9562" t="s">
        <v>47633</v>
      </c>
      <c r="T9562" t="s">
        <v>49112</v>
      </c>
      <c r="U9562" t="s">
        <v>57591</v>
      </c>
      <c r="W9562" t="s">
        <v>46222</v>
      </c>
      <c r="X9562" t="s">
        <v>47434</v>
      </c>
    </row>
    <row r="9563" spans="1:24">
      <c r="A9563">
        <f>HYPERLINK("https://www.philgeps.gov.ph/GEPSNONPILOT/Tender/SplashBidNoticeAbstractUI.aspx?menuIndex=3&amp;refID=7150084&amp;Result=3","7150084")</f>
        <v>0</v>
      </c>
      <c r="B9563" t="s">
        <v>3046</v>
      </c>
      <c r="C9563" t="s">
        <v>12897</v>
      </c>
      <c r="D9563" t="s">
        <v>19031</v>
      </c>
      <c r="E9563" t="s">
        <v>27356</v>
      </c>
      <c r="F9563" t="s">
        <v>32833</v>
      </c>
      <c r="G9563" t="s">
        <v>32838</v>
      </c>
      <c r="H9563" t="s">
        <v>32848</v>
      </c>
      <c r="I9563" t="s">
        <v>32870</v>
      </c>
      <c r="J9563" t="s">
        <v>38895</v>
      </c>
      <c r="K9563" t="s">
        <v>42727</v>
      </c>
      <c r="M9563" t="s">
        <v>46319</v>
      </c>
      <c r="N9563" t="s">
        <v>47424</v>
      </c>
      <c r="O9563" t="s">
        <v>47425</v>
      </c>
      <c r="P9563">
        <v>0</v>
      </c>
      <c r="Q9563">
        <v>0</v>
      </c>
      <c r="R9563" t="s">
        <v>47433</v>
      </c>
      <c r="S9563" t="s">
        <v>47633</v>
      </c>
      <c r="T9563" t="s">
        <v>49212</v>
      </c>
      <c r="U9563" t="s">
        <v>57592</v>
      </c>
      <c r="W9563" t="s">
        <v>46319</v>
      </c>
      <c r="X9563" t="s">
        <v>47434</v>
      </c>
    </row>
    <row r="9564" spans="1:24">
      <c r="A9564">
        <f>HYPERLINK("https://www.philgeps.gov.ph/GEPSNONPILOT/Tender/SplashBidNoticeAbstractUI.aspx?menuIndex=3&amp;refID=7150067&amp;Result=3","7150067")</f>
        <v>0</v>
      </c>
      <c r="B9564" t="s">
        <v>1312</v>
      </c>
      <c r="C9564" t="s">
        <v>12898</v>
      </c>
      <c r="D9564" t="s">
        <v>19054</v>
      </c>
      <c r="E9564" t="s">
        <v>27357</v>
      </c>
      <c r="F9564" t="s">
        <v>32831</v>
      </c>
      <c r="G9564" t="s">
        <v>32838</v>
      </c>
      <c r="H9564" t="s">
        <v>32848</v>
      </c>
      <c r="I9564" t="s">
        <v>5379</v>
      </c>
      <c r="J9564" t="s">
        <v>33508</v>
      </c>
      <c r="K9564" t="s">
        <v>42732</v>
      </c>
      <c r="M9564" t="s">
        <v>44383</v>
      </c>
      <c r="N9564" t="s">
        <v>47424</v>
      </c>
      <c r="O9564" t="s">
        <v>47425</v>
      </c>
      <c r="P9564">
        <v>0</v>
      </c>
      <c r="Q9564">
        <v>0</v>
      </c>
      <c r="R9564" t="s">
        <v>47433</v>
      </c>
      <c r="S9564" t="s">
        <v>47633</v>
      </c>
      <c r="T9564" t="s">
        <v>49243</v>
      </c>
      <c r="U9564" t="s">
        <v>57593</v>
      </c>
      <c r="W9564" t="s">
        <v>44383</v>
      </c>
      <c r="X9564" t="s">
        <v>47434</v>
      </c>
    </row>
    <row r="9565" spans="1:24">
      <c r="A9565">
        <f>HYPERLINK("https://www.philgeps.gov.ph/GEPSNONPILOT/Tender/SplashBidNoticeAbstractUI.aspx?menuIndex=3&amp;refID=7150038&amp;Result=3","7150038")</f>
        <v>0</v>
      </c>
      <c r="B9565" t="s">
        <v>2530</v>
      </c>
      <c r="C9565" t="s">
        <v>12899</v>
      </c>
      <c r="D9565" t="s">
        <v>19045</v>
      </c>
      <c r="E9565" t="s">
        <v>27358</v>
      </c>
      <c r="F9565" t="s">
        <v>32831</v>
      </c>
      <c r="G9565" t="s">
        <v>32839</v>
      </c>
      <c r="H9565" t="s">
        <v>32848</v>
      </c>
      <c r="I9565" t="s">
        <v>32902</v>
      </c>
      <c r="J9565" t="s">
        <v>38896</v>
      </c>
      <c r="K9565" t="s">
        <v>42747</v>
      </c>
      <c r="M9565" t="s">
        <v>45739</v>
      </c>
      <c r="N9565" t="s">
        <v>47424</v>
      </c>
      <c r="O9565" t="s">
        <v>47425</v>
      </c>
      <c r="P9565">
        <v>0</v>
      </c>
      <c r="Q9565">
        <v>1</v>
      </c>
      <c r="R9565" t="s">
        <v>47433</v>
      </c>
      <c r="S9565" t="s">
        <v>47633</v>
      </c>
      <c r="T9565" t="s">
        <v>49221</v>
      </c>
      <c r="U9565" t="s">
        <v>57594</v>
      </c>
      <c r="W9565" t="s">
        <v>45739</v>
      </c>
      <c r="X9565" t="s">
        <v>47434</v>
      </c>
    </row>
    <row r="9566" spans="1:24">
      <c r="A9566">
        <f>HYPERLINK("https://www.philgeps.gov.ph/GEPSNONPILOT/Tender/SplashBidNoticeAbstractUI.aspx?menuIndex=3&amp;refID=7150029&amp;Result=3","7150029")</f>
        <v>0</v>
      </c>
      <c r="B9566" t="s">
        <v>2456</v>
      </c>
      <c r="C9566" t="s">
        <v>6723</v>
      </c>
      <c r="D9566" t="s">
        <v>19024</v>
      </c>
      <c r="E9566" t="s">
        <v>27359</v>
      </c>
      <c r="F9566" t="s">
        <v>32831</v>
      </c>
      <c r="G9566" t="s">
        <v>32838</v>
      </c>
      <c r="H9566" t="s">
        <v>32848</v>
      </c>
      <c r="I9566" t="s">
        <v>32870</v>
      </c>
      <c r="J9566" t="s">
        <v>38897</v>
      </c>
      <c r="K9566" t="s">
        <v>42727</v>
      </c>
      <c r="L9566" t="s">
        <v>2456</v>
      </c>
      <c r="M9566" t="s">
        <v>45654</v>
      </c>
      <c r="N9566" t="s">
        <v>47424</v>
      </c>
      <c r="O9566" t="s">
        <v>47425</v>
      </c>
      <c r="P9566">
        <v>0</v>
      </c>
      <c r="Q9566">
        <v>0</v>
      </c>
      <c r="R9566" t="s">
        <v>47433</v>
      </c>
      <c r="S9566" t="s">
        <v>47633</v>
      </c>
      <c r="T9566" t="s">
        <v>49111</v>
      </c>
      <c r="U9566" t="s">
        <v>57595</v>
      </c>
      <c r="W9566" t="s">
        <v>45654</v>
      </c>
      <c r="X9566" t="s">
        <v>47434</v>
      </c>
    </row>
    <row r="9567" spans="1:24">
      <c r="A9567">
        <f>HYPERLINK("https://www.philgeps.gov.ph/GEPSNONPILOT/Tender/SplashBidNoticeAbstractUI.aspx?menuIndex=3&amp;refID=7149886&amp;Result=3","7149886")</f>
        <v>0</v>
      </c>
      <c r="B9567" t="s">
        <v>3009</v>
      </c>
      <c r="C9567" t="s">
        <v>12900</v>
      </c>
      <c r="D9567" t="s">
        <v>19079</v>
      </c>
      <c r="E9567" t="s">
        <v>19888</v>
      </c>
      <c r="F9567" t="s">
        <v>32831</v>
      </c>
      <c r="G9567" t="s">
        <v>32840</v>
      </c>
      <c r="H9567" t="s">
        <v>32848</v>
      </c>
      <c r="I9567" t="s">
        <v>7416</v>
      </c>
      <c r="J9567" t="s">
        <v>38898</v>
      </c>
      <c r="K9567" t="s">
        <v>42727</v>
      </c>
      <c r="M9567" t="s">
        <v>46278</v>
      </c>
      <c r="N9567" t="s">
        <v>47424</v>
      </c>
      <c r="O9567" t="s">
        <v>47425</v>
      </c>
      <c r="P9567">
        <v>0</v>
      </c>
      <c r="Q9567">
        <v>0</v>
      </c>
      <c r="R9567" t="s">
        <v>47433</v>
      </c>
      <c r="S9567" t="s">
        <v>47633</v>
      </c>
      <c r="T9567" t="s">
        <v>49173</v>
      </c>
      <c r="U9567" t="s">
        <v>57596</v>
      </c>
      <c r="W9567" t="s">
        <v>46278</v>
      </c>
      <c r="X9567" t="s">
        <v>47434</v>
      </c>
    </row>
    <row r="9568" spans="1:24">
      <c r="A9568">
        <f>HYPERLINK("https://www.philgeps.gov.ph/GEPSNONPILOT/Tender/SplashBidNoticeAbstractUI.aspx?menuIndex=3&amp;refID=7150107&amp;Result=3","7150107")</f>
        <v>0</v>
      </c>
      <c r="B9568" t="s">
        <v>3037</v>
      </c>
      <c r="C9568" t="s">
        <v>12901</v>
      </c>
      <c r="D9568" t="s">
        <v>19060</v>
      </c>
      <c r="E9568" t="s">
        <v>27360</v>
      </c>
      <c r="F9568" t="s">
        <v>32831</v>
      </c>
      <c r="G9568" t="s">
        <v>32839</v>
      </c>
      <c r="H9568" t="s">
        <v>32849</v>
      </c>
      <c r="I9568" t="s">
        <v>4177</v>
      </c>
      <c r="J9568" t="s">
        <v>38899</v>
      </c>
      <c r="K9568" t="s">
        <v>42780</v>
      </c>
      <c r="M9568" t="s">
        <v>46310</v>
      </c>
      <c r="N9568" t="s">
        <v>47424</v>
      </c>
      <c r="O9568" t="s">
        <v>47425</v>
      </c>
      <c r="P9568">
        <v>0</v>
      </c>
      <c r="Q9568">
        <v>0</v>
      </c>
      <c r="R9568" t="s">
        <v>47433</v>
      </c>
      <c r="S9568" t="s">
        <v>47633</v>
      </c>
      <c r="T9568" t="s">
        <v>49231</v>
      </c>
      <c r="U9568" t="s">
        <v>57597</v>
      </c>
      <c r="W9568" t="s">
        <v>46310</v>
      </c>
      <c r="X9568" t="s">
        <v>47434</v>
      </c>
    </row>
    <row r="9569" spans="1:24">
      <c r="A9569">
        <f>HYPERLINK("https://www.philgeps.gov.ph/GEPSNONPILOT/Tender/SplashBidNoticeAbstractUI.aspx?menuIndex=3&amp;refID=7150163&amp;Result=3","7150163")</f>
        <v>0</v>
      </c>
      <c r="B9569" t="s">
        <v>3047</v>
      </c>
      <c r="C9569" t="s">
        <v>12902</v>
      </c>
      <c r="D9569" t="s">
        <v>19044</v>
      </c>
      <c r="E9569" t="s">
        <v>19189</v>
      </c>
      <c r="F9569" t="s">
        <v>32831</v>
      </c>
      <c r="G9569" t="s">
        <v>32839</v>
      </c>
      <c r="H9569" t="s">
        <v>32848</v>
      </c>
      <c r="I9569" t="s">
        <v>32854</v>
      </c>
      <c r="J9569" t="s">
        <v>38900</v>
      </c>
      <c r="K9569" t="s">
        <v>42730</v>
      </c>
      <c r="M9569" t="s">
        <v>46320</v>
      </c>
      <c r="N9569" t="s">
        <v>47424</v>
      </c>
      <c r="O9569" t="s">
        <v>47425</v>
      </c>
      <c r="P9569">
        <v>0</v>
      </c>
      <c r="Q9569">
        <v>2</v>
      </c>
      <c r="R9569" t="s">
        <v>47433</v>
      </c>
      <c r="S9569" t="s">
        <v>47633</v>
      </c>
      <c r="T9569" t="s">
        <v>49065</v>
      </c>
      <c r="U9569" t="s">
        <v>57598</v>
      </c>
      <c r="W9569" t="s">
        <v>46320</v>
      </c>
      <c r="X9569" t="s">
        <v>47434</v>
      </c>
    </row>
    <row r="9570" spans="1:24">
      <c r="A9570">
        <f>HYPERLINK("https://www.philgeps.gov.ph/GEPSNONPILOT/Tender/SplashBidNoticeAbstractUI.aspx?menuIndex=3&amp;refID=7150022&amp;Result=3","7150022")</f>
        <v>0</v>
      </c>
      <c r="B9570" t="s">
        <v>862</v>
      </c>
      <c r="C9570" t="s">
        <v>12903</v>
      </c>
      <c r="D9570" t="s">
        <v>19074</v>
      </c>
      <c r="E9570" t="s">
        <v>27361</v>
      </c>
      <c r="F9570" t="s">
        <v>32831</v>
      </c>
      <c r="G9570" t="s">
        <v>32839</v>
      </c>
      <c r="H9570" t="s">
        <v>32849</v>
      </c>
      <c r="I9570" t="s">
        <v>4177</v>
      </c>
      <c r="J9570" t="s">
        <v>38901</v>
      </c>
      <c r="K9570" t="s">
        <v>42770</v>
      </c>
      <c r="M9570" t="s">
        <v>43896</v>
      </c>
      <c r="N9570" t="s">
        <v>47424</v>
      </c>
      <c r="O9570" t="s">
        <v>47425</v>
      </c>
      <c r="P9570">
        <v>0</v>
      </c>
      <c r="Q9570">
        <v>0</v>
      </c>
      <c r="R9570" t="s">
        <v>47433</v>
      </c>
      <c r="S9570" t="s">
        <v>47633</v>
      </c>
      <c r="T9570" t="s">
        <v>49173</v>
      </c>
      <c r="U9570" t="s">
        <v>51270</v>
      </c>
      <c r="W9570" t="s">
        <v>43896</v>
      </c>
      <c r="X9570" t="s">
        <v>47434</v>
      </c>
    </row>
    <row r="9571" spans="1:24">
      <c r="A9571">
        <f>HYPERLINK("https://www.philgeps.gov.ph/GEPSNONPILOT/Tender/SplashBidNoticeAbstractUI.aspx?menuIndex=3&amp;refID=7150159&amp;Result=3","7150159")</f>
        <v>0</v>
      </c>
      <c r="B9571" t="s">
        <v>3048</v>
      </c>
      <c r="C9571" t="s">
        <v>12904</v>
      </c>
      <c r="D9571" t="s">
        <v>19044</v>
      </c>
      <c r="E9571" t="s">
        <v>27362</v>
      </c>
      <c r="F9571" t="s">
        <v>32831</v>
      </c>
      <c r="G9571" t="s">
        <v>32839</v>
      </c>
      <c r="H9571" t="s">
        <v>32849</v>
      </c>
      <c r="I9571" t="s">
        <v>4177</v>
      </c>
      <c r="J9571" t="s">
        <v>33416</v>
      </c>
      <c r="K9571" t="s">
        <v>42747</v>
      </c>
      <c r="M9571" t="s">
        <v>46321</v>
      </c>
      <c r="N9571" t="s">
        <v>47424</v>
      </c>
      <c r="O9571" t="s">
        <v>47425</v>
      </c>
      <c r="P9571">
        <v>0</v>
      </c>
      <c r="Q9571">
        <v>0</v>
      </c>
      <c r="R9571" t="s">
        <v>47433</v>
      </c>
      <c r="S9571" t="s">
        <v>47633</v>
      </c>
      <c r="T9571" t="s">
        <v>49198</v>
      </c>
      <c r="U9571" t="s">
        <v>57599</v>
      </c>
      <c r="W9571" t="s">
        <v>46321</v>
      </c>
      <c r="X9571" t="s">
        <v>47434</v>
      </c>
    </row>
    <row r="9572" spans="1:24">
      <c r="A9572">
        <f>HYPERLINK("https://www.philgeps.gov.ph/GEPSNONPILOT/Tender/SplashBidNoticeAbstractUI.aspx?menuIndex=3&amp;refID=7150050&amp;Result=3","7150050")</f>
        <v>0</v>
      </c>
      <c r="B9572" t="s">
        <v>1158</v>
      </c>
      <c r="C9572" t="s">
        <v>12905</v>
      </c>
      <c r="D9572" t="s">
        <v>19021</v>
      </c>
      <c r="E9572" t="s">
        <v>24467</v>
      </c>
      <c r="F9572" t="s">
        <v>32831</v>
      </c>
      <c r="G9572" t="s">
        <v>32839</v>
      </c>
      <c r="H9572" t="s">
        <v>32849</v>
      </c>
      <c r="I9572" t="s">
        <v>4177</v>
      </c>
      <c r="J9572" t="s">
        <v>38902</v>
      </c>
      <c r="K9572" t="s">
        <v>42780</v>
      </c>
      <c r="M9572" t="s">
        <v>44223</v>
      </c>
      <c r="N9572" t="s">
        <v>47424</v>
      </c>
      <c r="O9572" t="s">
        <v>47425</v>
      </c>
      <c r="P9572">
        <v>0</v>
      </c>
      <c r="Q9572">
        <v>99</v>
      </c>
      <c r="R9572" t="s">
        <v>47433</v>
      </c>
      <c r="S9572" t="s">
        <v>47633</v>
      </c>
      <c r="T9572" t="s">
        <v>49112</v>
      </c>
      <c r="U9572" t="s">
        <v>57600</v>
      </c>
      <c r="V9572" t="s">
        <v>63685</v>
      </c>
      <c r="W9572" t="s">
        <v>44223</v>
      </c>
      <c r="X9572" t="s">
        <v>47434</v>
      </c>
    </row>
    <row r="9573" spans="1:24">
      <c r="A9573">
        <f>HYPERLINK("https://www.philgeps.gov.ph/GEPSNONPILOT/Tender/SplashBidNoticeAbstractUI.aspx?menuIndex=3&amp;refID=7150047&amp;Result=3","7150047")</f>
        <v>0</v>
      </c>
      <c r="B9573" t="s">
        <v>3049</v>
      </c>
      <c r="C9573" t="s">
        <v>12906</v>
      </c>
      <c r="D9573" t="s">
        <v>19034</v>
      </c>
      <c r="E9573" t="s">
        <v>19144</v>
      </c>
      <c r="F9573" t="s">
        <v>32831</v>
      </c>
      <c r="G9573" t="s">
        <v>32839</v>
      </c>
      <c r="H9573" t="s">
        <v>32849</v>
      </c>
      <c r="I9573" t="s">
        <v>4177</v>
      </c>
      <c r="J9573" t="s">
        <v>38903</v>
      </c>
      <c r="K9573" t="s">
        <v>42770</v>
      </c>
      <c r="M9573" t="s">
        <v>46322</v>
      </c>
      <c r="N9573" t="s">
        <v>47424</v>
      </c>
      <c r="O9573" t="s">
        <v>47425</v>
      </c>
      <c r="P9573">
        <v>0</v>
      </c>
      <c r="Q9573">
        <v>0</v>
      </c>
      <c r="R9573" t="s">
        <v>47433</v>
      </c>
      <c r="S9573" t="s">
        <v>47633</v>
      </c>
      <c r="T9573" t="s">
        <v>49377</v>
      </c>
      <c r="U9573" t="s">
        <v>57601</v>
      </c>
      <c r="W9573" t="s">
        <v>46322</v>
      </c>
      <c r="X9573" t="s">
        <v>47434</v>
      </c>
    </row>
    <row r="9574" spans="1:24">
      <c r="A9574">
        <f>HYPERLINK("https://www.philgeps.gov.ph/GEPSNONPILOT/Tender/SplashBidNoticeAbstractUI.aspx?menuIndex=3&amp;refID=7150150&amp;Result=3","7150150")</f>
        <v>0</v>
      </c>
      <c r="B9574" t="s">
        <v>2485</v>
      </c>
      <c r="C9574" t="s">
        <v>12907</v>
      </c>
      <c r="D9574" t="s">
        <v>19031</v>
      </c>
      <c r="E9574" t="s">
        <v>27363</v>
      </c>
      <c r="F9574" t="s">
        <v>32831</v>
      </c>
      <c r="G9574" t="s">
        <v>32839</v>
      </c>
      <c r="H9574" t="s">
        <v>32849</v>
      </c>
      <c r="I9574" t="s">
        <v>4177</v>
      </c>
      <c r="J9574" t="s">
        <v>33552</v>
      </c>
      <c r="K9574" t="s">
        <v>42747</v>
      </c>
      <c r="M9574" t="s">
        <v>45688</v>
      </c>
      <c r="N9574" t="s">
        <v>47424</v>
      </c>
      <c r="O9574" t="s">
        <v>47425</v>
      </c>
      <c r="P9574">
        <v>0</v>
      </c>
      <c r="Q9574">
        <v>0</v>
      </c>
      <c r="R9574" t="s">
        <v>47433</v>
      </c>
      <c r="S9574" t="s">
        <v>47633</v>
      </c>
      <c r="T9574" t="s">
        <v>49192</v>
      </c>
      <c r="U9574" t="s">
        <v>57602</v>
      </c>
      <c r="W9574" t="s">
        <v>64510</v>
      </c>
      <c r="X9574" t="s">
        <v>47434</v>
      </c>
    </row>
    <row r="9575" spans="1:24">
      <c r="A9575">
        <f>HYPERLINK("https://www.philgeps.gov.ph/GEPSNONPILOT/Tender/SplashBidNoticeAbstractUI.aspx?menuIndex=3&amp;refID=7150148&amp;Result=3","7150148")</f>
        <v>0</v>
      </c>
      <c r="B9575" t="s">
        <v>3037</v>
      </c>
      <c r="C9575" t="s">
        <v>12908</v>
      </c>
      <c r="D9575" t="s">
        <v>19060</v>
      </c>
      <c r="E9575" t="s">
        <v>27364</v>
      </c>
      <c r="F9575" t="s">
        <v>32831</v>
      </c>
      <c r="G9575" t="s">
        <v>32839</v>
      </c>
      <c r="H9575" t="s">
        <v>32849</v>
      </c>
      <c r="I9575" t="s">
        <v>4177</v>
      </c>
      <c r="J9575" t="s">
        <v>38904</v>
      </c>
      <c r="K9575" t="s">
        <v>42770</v>
      </c>
      <c r="M9575" t="s">
        <v>46310</v>
      </c>
      <c r="N9575" t="s">
        <v>47424</v>
      </c>
      <c r="O9575" t="s">
        <v>47425</v>
      </c>
      <c r="P9575">
        <v>0</v>
      </c>
      <c r="Q9575">
        <v>0</v>
      </c>
      <c r="R9575" t="s">
        <v>47433</v>
      </c>
      <c r="S9575" t="s">
        <v>47633</v>
      </c>
      <c r="T9575" t="s">
        <v>49231</v>
      </c>
      <c r="U9575" t="s">
        <v>57603</v>
      </c>
      <c r="W9575" t="s">
        <v>46310</v>
      </c>
      <c r="X9575" t="s">
        <v>47434</v>
      </c>
    </row>
    <row r="9576" spans="1:24">
      <c r="A9576">
        <f>HYPERLINK("https://www.philgeps.gov.ph/GEPSNONPILOT/Tender/SplashBidNoticeAbstractUI.aspx?menuIndex=3&amp;refID=7150034&amp;Result=3","7150034")</f>
        <v>0</v>
      </c>
      <c r="B9576" t="s">
        <v>2960</v>
      </c>
      <c r="C9576" t="s">
        <v>12909</v>
      </c>
      <c r="D9576" t="s">
        <v>19019</v>
      </c>
      <c r="E9576" t="s">
        <v>27365</v>
      </c>
      <c r="F9576" t="s">
        <v>32831</v>
      </c>
      <c r="G9576" t="s">
        <v>32839</v>
      </c>
      <c r="H9576" t="s">
        <v>32849</v>
      </c>
      <c r="I9576" t="s">
        <v>4177</v>
      </c>
      <c r="J9576" t="s">
        <v>33118</v>
      </c>
      <c r="K9576" t="s">
        <v>42737</v>
      </c>
      <c r="M9576" t="s">
        <v>46222</v>
      </c>
      <c r="N9576" t="s">
        <v>47424</v>
      </c>
      <c r="O9576" t="s">
        <v>47425</v>
      </c>
      <c r="P9576">
        <v>0</v>
      </c>
      <c r="Q9576">
        <v>0</v>
      </c>
      <c r="R9576" t="s">
        <v>47433</v>
      </c>
      <c r="S9576" t="s">
        <v>47633</v>
      </c>
      <c r="T9576" t="s">
        <v>49112</v>
      </c>
      <c r="U9576" t="s">
        <v>57604</v>
      </c>
      <c r="W9576" t="s">
        <v>46222</v>
      </c>
      <c r="X9576" t="s">
        <v>47434</v>
      </c>
    </row>
    <row r="9577" spans="1:24">
      <c r="A9577">
        <f>HYPERLINK("https://www.philgeps.gov.ph/GEPSNONPILOT/Tender/SplashBidNoticeAbstractUI.aspx?menuIndex=3&amp;refID=7150147&amp;Result=3","7150147")</f>
        <v>0</v>
      </c>
      <c r="B9577" t="s">
        <v>217</v>
      </c>
      <c r="C9577" t="s">
        <v>12910</v>
      </c>
      <c r="D9577" t="s">
        <v>19037</v>
      </c>
      <c r="E9577" t="s">
        <v>27366</v>
      </c>
      <c r="F9577" t="s">
        <v>32831</v>
      </c>
      <c r="G9577" t="s">
        <v>32839</v>
      </c>
      <c r="H9577" t="s">
        <v>32848</v>
      </c>
      <c r="I9577" t="s">
        <v>32870</v>
      </c>
      <c r="J9577" t="s">
        <v>38905</v>
      </c>
      <c r="K9577" t="s">
        <v>42730</v>
      </c>
      <c r="M9577" t="s">
        <v>43215</v>
      </c>
      <c r="N9577" t="s">
        <v>47424</v>
      </c>
      <c r="O9577" t="s">
        <v>47425</v>
      </c>
      <c r="Q9577">
        <v>0</v>
      </c>
      <c r="R9577" t="s">
        <v>47433</v>
      </c>
      <c r="S9577" t="s">
        <v>47649</v>
      </c>
      <c r="T9577" t="s">
        <v>49149</v>
      </c>
      <c r="U9577" t="s">
        <v>57605</v>
      </c>
      <c r="W9577" t="s">
        <v>43392</v>
      </c>
      <c r="X9577" t="s">
        <v>47434</v>
      </c>
    </row>
    <row r="9578" spans="1:24">
      <c r="A9578">
        <f>HYPERLINK("https://www.philgeps.gov.ph/GEPSNONPILOT/Tender/SplashBidNoticeAbstractUI.aspx?menuIndex=3&amp;refID=7150138&amp;Result=3","7150138")</f>
        <v>0</v>
      </c>
      <c r="B9578" t="s">
        <v>1170</v>
      </c>
      <c r="C9578" t="s">
        <v>12911</v>
      </c>
      <c r="D9578" t="s">
        <v>19095</v>
      </c>
      <c r="E9578" t="s">
        <v>27367</v>
      </c>
      <c r="F9578" t="s">
        <v>32831</v>
      </c>
      <c r="G9578" t="s">
        <v>32839</v>
      </c>
      <c r="H9578" t="s">
        <v>32849</v>
      </c>
      <c r="I9578" t="s">
        <v>4177</v>
      </c>
      <c r="J9578" t="s">
        <v>33111</v>
      </c>
      <c r="K9578" t="s">
        <v>42732</v>
      </c>
      <c r="M9578" t="s">
        <v>44236</v>
      </c>
      <c r="N9578" t="s">
        <v>47424</v>
      </c>
      <c r="O9578" t="s">
        <v>47425</v>
      </c>
      <c r="P9578">
        <v>0</v>
      </c>
      <c r="Q9578">
        <v>1</v>
      </c>
      <c r="R9578" t="s">
        <v>47433</v>
      </c>
      <c r="S9578" t="s">
        <v>47633</v>
      </c>
      <c r="T9578" t="s">
        <v>49173</v>
      </c>
      <c r="U9578" t="s">
        <v>57606</v>
      </c>
      <c r="V9578" t="s">
        <v>63686</v>
      </c>
      <c r="W9578" t="s">
        <v>44236</v>
      </c>
      <c r="X9578" t="s">
        <v>47434</v>
      </c>
    </row>
    <row r="9579" spans="1:24">
      <c r="A9579">
        <f>HYPERLINK("https://www.philgeps.gov.ph/GEPSNONPILOT/Tender/SplashBidNoticeAbstractUI.aspx?menuIndex=3&amp;refID=7150066&amp;Result=3","7150066")</f>
        <v>0</v>
      </c>
      <c r="B9579" t="s">
        <v>3017</v>
      </c>
      <c r="C9579" t="s">
        <v>12912</v>
      </c>
      <c r="D9579" t="s">
        <v>19030</v>
      </c>
      <c r="E9579" t="s">
        <v>27368</v>
      </c>
      <c r="F9579" t="s">
        <v>32831</v>
      </c>
      <c r="G9579" t="s">
        <v>32839</v>
      </c>
      <c r="H9579" t="s">
        <v>32849</v>
      </c>
      <c r="I9579" t="s">
        <v>4177</v>
      </c>
      <c r="J9579" t="s">
        <v>38906</v>
      </c>
      <c r="K9579" t="s">
        <v>42732</v>
      </c>
      <c r="M9579" t="s">
        <v>46287</v>
      </c>
      <c r="N9579" t="s">
        <v>47424</v>
      </c>
      <c r="O9579" t="s">
        <v>47425</v>
      </c>
      <c r="P9579">
        <v>0</v>
      </c>
      <c r="Q9579">
        <v>0</v>
      </c>
      <c r="R9579" t="s">
        <v>47433</v>
      </c>
      <c r="S9579" t="s">
        <v>47633</v>
      </c>
      <c r="T9579" t="s">
        <v>49177</v>
      </c>
      <c r="U9579" t="s">
        <v>57607</v>
      </c>
      <c r="W9579" t="s">
        <v>46287</v>
      </c>
      <c r="X9579" t="s">
        <v>47434</v>
      </c>
    </row>
    <row r="9580" spans="1:24">
      <c r="A9580">
        <f>HYPERLINK("https://www.philgeps.gov.ph/GEPSNONPILOT/Tender/SplashBidNoticeAbstractUI.aspx?menuIndex=3&amp;refID=7150158&amp;Result=3","7150158")</f>
        <v>0</v>
      </c>
      <c r="B9580" t="s">
        <v>263</v>
      </c>
      <c r="C9580" t="s">
        <v>12913</v>
      </c>
      <c r="D9580" t="s">
        <v>19083</v>
      </c>
      <c r="E9580" t="s">
        <v>27369</v>
      </c>
      <c r="F9580" t="s">
        <v>32831</v>
      </c>
      <c r="G9580" t="s">
        <v>32838</v>
      </c>
      <c r="H9580" t="s">
        <v>32848</v>
      </c>
      <c r="I9580" t="s">
        <v>7416</v>
      </c>
      <c r="J9580" t="s">
        <v>38907</v>
      </c>
      <c r="K9580" t="s">
        <v>42727</v>
      </c>
      <c r="M9580" t="s">
        <v>43262</v>
      </c>
      <c r="N9580" t="s">
        <v>47424</v>
      </c>
      <c r="O9580" t="s">
        <v>47425</v>
      </c>
      <c r="P9580">
        <v>0</v>
      </c>
      <c r="Q9580">
        <v>2</v>
      </c>
      <c r="R9580" t="s">
        <v>47433</v>
      </c>
      <c r="S9580" t="s">
        <v>47633</v>
      </c>
      <c r="T9580" t="s">
        <v>49244</v>
      </c>
      <c r="U9580" t="s">
        <v>57608</v>
      </c>
      <c r="W9580" t="s">
        <v>43262</v>
      </c>
      <c r="X9580" t="s">
        <v>47434</v>
      </c>
    </row>
    <row r="9581" spans="1:24">
      <c r="A9581">
        <f>HYPERLINK("https://www.philgeps.gov.ph/GEPSNONPILOT/Tender/SplashBidNoticeAbstractUI.aspx?menuIndex=3&amp;refID=7150136&amp;Result=3","7150136")</f>
        <v>0</v>
      </c>
      <c r="B9581" t="s">
        <v>3050</v>
      </c>
      <c r="C9581" t="s">
        <v>12914</v>
      </c>
      <c r="D9581" t="s">
        <v>19017</v>
      </c>
      <c r="E9581" t="s">
        <v>27370</v>
      </c>
      <c r="F9581" t="s">
        <v>32833</v>
      </c>
      <c r="G9581" t="s">
        <v>32842</v>
      </c>
      <c r="H9581" t="s">
        <v>32848</v>
      </c>
      <c r="I9581" t="s">
        <v>32860</v>
      </c>
      <c r="J9581" t="s">
        <v>33090</v>
      </c>
      <c r="K9581" t="s">
        <v>42750</v>
      </c>
      <c r="M9581" t="s">
        <v>46323</v>
      </c>
      <c r="N9581" t="s">
        <v>47424</v>
      </c>
      <c r="O9581" t="s">
        <v>47425</v>
      </c>
      <c r="P9581">
        <v>0</v>
      </c>
      <c r="Q9581">
        <v>4</v>
      </c>
      <c r="R9581" t="s">
        <v>47433</v>
      </c>
      <c r="S9581" t="s">
        <v>47633</v>
      </c>
      <c r="T9581" t="s">
        <v>49212</v>
      </c>
      <c r="U9581" t="s">
        <v>57609</v>
      </c>
      <c r="W9581" t="s">
        <v>46323</v>
      </c>
      <c r="X9581" t="s">
        <v>47434</v>
      </c>
    </row>
    <row r="9582" spans="1:24">
      <c r="A9582">
        <f>HYPERLINK("https://www.philgeps.gov.ph/GEPSNONPILOT/Tender/SplashBidNoticeAbstractUI.aspx?menuIndex=3&amp;refID=7150128&amp;Result=3","7150128")</f>
        <v>0</v>
      </c>
      <c r="B9582" t="s">
        <v>1629</v>
      </c>
      <c r="C9582" t="s">
        <v>12915</v>
      </c>
      <c r="D9582" t="s">
        <v>19021</v>
      </c>
      <c r="E9582" t="s">
        <v>27371</v>
      </c>
      <c r="F9582" t="s">
        <v>32831</v>
      </c>
      <c r="G9582" t="s">
        <v>32839</v>
      </c>
      <c r="H9582" t="s">
        <v>32848</v>
      </c>
      <c r="I9582" t="s">
        <v>32871</v>
      </c>
      <c r="J9582" t="s">
        <v>36801</v>
      </c>
      <c r="K9582" t="s">
        <v>42732</v>
      </c>
      <c r="M9582" t="s">
        <v>44745</v>
      </c>
      <c r="N9582" t="s">
        <v>47424</v>
      </c>
      <c r="O9582" t="s">
        <v>47425</v>
      </c>
      <c r="P9582">
        <v>0</v>
      </c>
      <c r="Q9582">
        <v>8</v>
      </c>
      <c r="R9582" t="s">
        <v>47433</v>
      </c>
      <c r="S9582" t="s">
        <v>47633</v>
      </c>
      <c r="T9582" t="s">
        <v>49464</v>
      </c>
      <c r="U9582" t="s">
        <v>57610</v>
      </c>
      <c r="V9582" t="s">
        <v>63369</v>
      </c>
      <c r="W9582" t="s">
        <v>44745</v>
      </c>
      <c r="X9582" t="s">
        <v>47434</v>
      </c>
    </row>
    <row r="9583" spans="1:24">
      <c r="A9583">
        <f>HYPERLINK("https://www.philgeps.gov.ph/GEPSNONPILOT/Tender/SplashBidNoticeAbstractUI.aspx?menuIndex=3&amp;refID=7150125&amp;Result=3","7150125")</f>
        <v>0</v>
      </c>
      <c r="B9583" t="s">
        <v>3037</v>
      </c>
      <c r="C9583" t="s">
        <v>12916</v>
      </c>
      <c r="D9583" t="s">
        <v>19060</v>
      </c>
      <c r="E9583" t="s">
        <v>27372</v>
      </c>
      <c r="F9583" t="s">
        <v>32831</v>
      </c>
      <c r="G9583" t="s">
        <v>32839</v>
      </c>
      <c r="H9583" t="s">
        <v>32849</v>
      </c>
      <c r="I9583" t="s">
        <v>4177</v>
      </c>
      <c r="J9583" t="s">
        <v>38908</v>
      </c>
      <c r="K9583" t="s">
        <v>42763</v>
      </c>
      <c r="M9583" t="s">
        <v>46310</v>
      </c>
      <c r="N9583" t="s">
        <v>47424</v>
      </c>
      <c r="O9583" t="s">
        <v>47425</v>
      </c>
      <c r="P9583">
        <v>0</v>
      </c>
      <c r="Q9583">
        <v>0</v>
      </c>
      <c r="R9583" t="s">
        <v>47433</v>
      </c>
      <c r="S9583" t="s">
        <v>47633</v>
      </c>
      <c r="T9583" t="s">
        <v>49231</v>
      </c>
      <c r="U9583" t="s">
        <v>57611</v>
      </c>
      <c r="W9583" t="s">
        <v>46310</v>
      </c>
      <c r="X9583" t="s">
        <v>47434</v>
      </c>
    </row>
    <row r="9584" spans="1:24">
      <c r="A9584">
        <f>HYPERLINK("https://www.philgeps.gov.ph/GEPSNONPILOT/Tender/SplashBidNoticeAbstractUI.aspx?menuIndex=3&amp;refID=7150140&amp;Result=3","7150140")</f>
        <v>0</v>
      </c>
      <c r="B9584" t="s">
        <v>3051</v>
      </c>
      <c r="C9584" t="s">
        <v>12917</v>
      </c>
      <c r="D9584" t="s">
        <v>19017</v>
      </c>
      <c r="E9584" t="s">
        <v>27373</v>
      </c>
      <c r="F9584" t="s">
        <v>32831</v>
      </c>
      <c r="G9584" t="s">
        <v>32840</v>
      </c>
      <c r="H9584" t="s">
        <v>32848</v>
      </c>
      <c r="I9584" t="s">
        <v>32869</v>
      </c>
      <c r="J9584" t="s">
        <v>32980</v>
      </c>
      <c r="K9584" t="s">
        <v>42732</v>
      </c>
      <c r="M9584" t="s">
        <v>46324</v>
      </c>
      <c r="N9584" t="s">
        <v>47424</v>
      </c>
      <c r="O9584" t="s">
        <v>47425</v>
      </c>
      <c r="P9584">
        <v>0</v>
      </c>
      <c r="Q9584">
        <v>3</v>
      </c>
      <c r="R9584" t="s">
        <v>47433</v>
      </c>
      <c r="S9584" t="s">
        <v>47633</v>
      </c>
      <c r="T9584" t="s">
        <v>49185</v>
      </c>
      <c r="U9584" t="s">
        <v>57612</v>
      </c>
      <c r="W9584" t="s">
        <v>46324</v>
      </c>
      <c r="X9584" t="s">
        <v>47434</v>
      </c>
    </row>
    <row r="9585" spans="1:24">
      <c r="A9585">
        <f>HYPERLINK("https://www.philgeps.gov.ph/GEPSNONPILOT/Tender/SplashBidNoticeAbstractUI.aspx?menuIndex=3&amp;refID=7150124&amp;Result=3","7150124")</f>
        <v>0</v>
      </c>
      <c r="B9585" t="s">
        <v>215</v>
      </c>
      <c r="C9585" t="s">
        <v>12918</v>
      </c>
      <c r="D9585" t="s">
        <v>19080</v>
      </c>
      <c r="E9585" t="s">
        <v>27374</v>
      </c>
      <c r="F9585" t="s">
        <v>32831</v>
      </c>
      <c r="G9585" t="s">
        <v>32839</v>
      </c>
      <c r="H9585" t="s">
        <v>32848</v>
      </c>
      <c r="I9585" t="s">
        <v>8781</v>
      </c>
      <c r="J9585" t="s">
        <v>38909</v>
      </c>
      <c r="K9585" t="s">
        <v>42748</v>
      </c>
      <c r="L9585" t="s">
        <v>215</v>
      </c>
      <c r="M9585" t="s">
        <v>43213</v>
      </c>
      <c r="N9585" t="s">
        <v>47424</v>
      </c>
      <c r="O9585" t="s">
        <v>47425</v>
      </c>
      <c r="P9585">
        <v>0</v>
      </c>
      <c r="Q9585">
        <v>1</v>
      </c>
      <c r="R9585" t="s">
        <v>47433</v>
      </c>
      <c r="S9585" t="s">
        <v>47633</v>
      </c>
      <c r="T9585" t="s">
        <v>49173</v>
      </c>
      <c r="U9585" t="s">
        <v>50024</v>
      </c>
      <c r="W9585" t="s">
        <v>43213</v>
      </c>
      <c r="X9585" t="s">
        <v>47434</v>
      </c>
    </row>
    <row r="9586" spans="1:24">
      <c r="A9586">
        <f>HYPERLINK("https://www.philgeps.gov.ph/GEPSNONPILOT/Tender/SplashBidNoticeAbstractUI.aspx?menuIndex=3&amp;refID=7150117&amp;Result=3","7150117")</f>
        <v>0</v>
      </c>
      <c r="B9586" t="s">
        <v>2680</v>
      </c>
      <c r="C9586" t="s">
        <v>12919</v>
      </c>
      <c r="D9586" t="s">
        <v>19065</v>
      </c>
      <c r="E9586" t="s">
        <v>27375</v>
      </c>
      <c r="F9586" t="s">
        <v>32831</v>
      </c>
      <c r="G9586" t="s">
        <v>32839</v>
      </c>
      <c r="H9586" t="s">
        <v>32849</v>
      </c>
      <c r="I9586" t="s">
        <v>4177</v>
      </c>
      <c r="J9586" t="s">
        <v>33044</v>
      </c>
      <c r="K9586" t="s">
        <v>42730</v>
      </c>
      <c r="M9586" t="s">
        <v>45903</v>
      </c>
      <c r="N9586" t="s">
        <v>47424</v>
      </c>
      <c r="O9586" t="s">
        <v>47425</v>
      </c>
      <c r="P9586">
        <v>0</v>
      </c>
      <c r="Q9586">
        <v>0</v>
      </c>
      <c r="R9586" t="s">
        <v>47433</v>
      </c>
      <c r="S9586" t="s">
        <v>47633</v>
      </c>
      <c r="T9586" t="s">
        <v>49212</v>
      </c>
      <c r="U9586" t="s">
        <v>57613</v>
      </c>
      <c r="W9586" t="s">
        <v>45903</v>
      </c>
      <c r="X9586" t="s">
        <v>47434</v>
      </c>
    </row>
    <row r="9587" spans="1:24">
      <c r="A9587">
        <f>HYPERLINK("https://www.philgeps.gov.ph/GEPSNONPILOT/Tender/SplashBidNoticeAbstractUI.aspx?menuIndex=3&amp;refID=7150116&amp;Result=3","7150116")</f>
        <v>0</v>
      </c>
      <c r="B9587" t="s">
        <v>1629</v>
      </c>
      <c r="C9587" t="s">
        <v>12920</v>
      </c>
      <c r="D9587" t="s">
        <v>19021</v>
      </c>
      <c r="E9587" t="s">
        <v>27376</v>
      </c>
      <c r="F9587" t="s">
        <v>32831</v>
      </c>
      <c r="G9587" t="s">
        <v>32839</v>
      </c>
      <c r="H9587" t="s">
        <v>32848</v>
      </c>
      <c r="I9587" t="s">
        <v>32880</v>
      </c>
      <c r="J9587" t="s">
        <v>38910</v>
      </c>
      <c r="K9587" t="s">
        <v>42732</v>
      </c>
      <c r="M9587" t="s">
        <v>44745</v>
      </c>
      <c r="N9587" t="s">
        <v>47424</v>
      </c>
      <c r="O9587" t="s">
        <v>47425</v>
      </c>
      <c r="P9587">
        <v>0</v>
      </c>
      <c r="Q9587">
        <v>12</v>
      </c>
      <c r="R9587" t="s">
        <v>47433</v>
      </c>
      <c r="S9587" t="s">
        <v>47633</v>
      </c>
      <c r="T9587" t="s">
        <v>49265</v>
      </c>
      <c r="U9587" t="s">
        <v>57614</v>
      </c>
      <c r="V9587" t="s">
        <v>63687</v>
      </c>
      <c r="W9587" t="s">
        <v>44745</v>
      </c>
      <c r="X9587" t="s">
        <v>47434</v>
      </c>
    </row>
    <row r="9588" spans="1:24">
      <c r="A9588">
        <f>HYPERLINK("https://www.philgeps.gov.ph/GEPSNONPILOT/Tender/SplashBidNoticeAbstractUI.aspx?menuIndex=3&amp;refID=7150106&amp;Result=3","7150106")</f>
        <v>0</v>
      </c>
      <c r="B9588" t="s">
        <v>3052</v>
      </c>
      <c r="C9588" t="s">
        <v>12921</v>
      </c>
      <c r="D9588" t="s">
        <v>19024</v>
      </c>
      <c r="E9588" t="s">
        <v>27377</v>
      </c>
      <c r="F9588" t="s">
        <v>32831</v>
      </c>
      <c r="G9588" t="s">
        <v>32839</v>
      </c>
      <c r="H9588" t="s">
        <v>32848</v>
      </c>
      <c r="I9588" t="s">
        <v>7416</v>
      </c>
      <c r="J9588" t="s">
        <v>38911</v>
      </c>
      <c r="K9588" t="s">
        <v>42726</v>
      </c>
      <c r="M9588" t="s">
        <v>46325</v>
      </c>
      <c r="N9588" t="s">
        <v>47424</v>
      </c>
      <c r="O9588" t="s">
        <v>47425</v>
      </c>
      <c r="P9588">
        <v>0</v>
      </c>
      <c r="Q9588">
        <v>0</v>
      </c>
      <c r="R9588" t="s">
        <v>47433</v>
      </c>
      <c r="S9588" t="s">
        <v>47633</v>
      </c>
      <c r="T9588" t="s">
        <v>49057</v>
      </c>
      <c r="U9588" t="s">
        <v>57615</v>
      </c>
      <c r="V9588" t="s">
        <v>63688</v>
      </c>
      <c r="W9588" t="s">
        <v>46325</v>
      </c>
      <c r="X9588" t="s">
        <v>47434</v>
      </c>
    </row>
    <row r="9589" spans="1:24">
      <c r="A9589">
        <f>HYPERLINK("https://www.philgeps.gov.ph/GEPSNONPILOT/Tender/SplashBidNoticeAbstractUI.aspx?menuIndex=3&amp;refID=7150145&amp;Result=3","7150145")</f>
        <v>0</v>
      </c>
      <c r="B9589" t="s">
        <v>1425</v>
      </c>
      <c r="C9589" t="s">
        <v>12894</v>
      </c>
      <c r="D9589" t="s">
        <v>19073</v>
      </c>
      <c r="E9589" t="s">
        <v>27378</v>
      </c>
      <c r="F9589" t="s">
        <v>32831</v>
      </c>
      <c r="G9589" t="s">
        <v>32839</v>
      </c>
      <c r="H9589" t="s">
        <v>32848</v>
      </c>
      <c r="I9589" t="s">
        <v>4438</v>
      </c>
      <c r="J9589" t="s">
        <v>38893</v>
      </c>
      <c r="K9589" t="s">
        <v>42730</v>
      </c>
      <c r="M9589" t="s">
        <v>44514</v>
      </c>
      <c r="N9589" t="s">
        <v>47424</v>
      </c>
      <c r="O9589" t="s">
        <v>47425</v>
      </c>
      <c r="P9589">
        <v>0</v>
      </c>
      <c r="Q9589">
        <v>0</v>
      </c>
      <c r="R9589" t="s">
        <v>47433</v>
      </c>
      <c r="S9589" t="s">
        <v>47633</v>
      </c>
      <c r="T9589" t="s">
        <v>49111</v>
      </c>
      <c r="U9589" t="s">
        <v>57616</v>
      </c>
      <c r="W9589" t="s">
        <v>44514</v>
      </c>
      <c r="X9589" t="s">
        <v>47434</v>
      </c>
    </row>
    <row r="9590" spans="1:24">
      <c r="A9590">
        <f>HYPERLINK("https://www.philgeps.gov.ph/GEPSNONPILOT/Tender/SplashBidNoticeAbstractUI.aspx?menuIndex=3&amp;refID=7149979&amp;Result=3","7149979")</f>
        <v>0</v>
      </c>
      <c r="B9590" t="s">
        <v>3053</v>
      </c>
      <c r="C9590" t="s">
        <v>12922</v>
      </c>
      <c r="D9590" t="s">
        <v>19043</v>
      </c>
      <c r="E9590" t="s">
        <v>19311</v>
      </c>
      <c r="F9590" t="s">
        <v>32831</v>
      </c>
      <c r="G9590" t="s">
        <v>32839</v>
      </c>
      <c r="H9590" t="s">
        <v>32848</v>
      </c>
      <c r="I9590" t="s">
        <v>4438</v>
      </c>
      <c r="J9590" t="s">
        <v>38912</v>
      </c>
      <c r="K9590" t="s">
        <v>42726</v>
      </c>
      <c r="M9590" t="s">
        <v>46326</v>
      </c>
      <c r="N9590" t="s">
        <v>47424</v>
      </c>
      <c r="O9590" t="s">
        <v>47425</v>
      </c>
      <c r="P9590">
        <v>0</v>
      </c>
      <c r="Q9590">
        <v>1</v>
      </c>
      <c r="R9590" t="s">
        <v>47433</v>
      </c>
      <c r="S9590" t="s">
        <v>47633</v>
      </c>
      <c r="T9590" t="s">
        <v>49237</v>
      </c>
      <c r="U9590" t="s">
        <v>49907</v>
      </c>
      <c r="W9590" t="s">
        <v>46326</v>
      </c>
      <c r="X9590" t="s">
        <v>47434</v>
      </c>
    </row>
    <row r="9591" spans="1:24">
      <c r="A9591">
        <f>HYPERLINK("https://www.philgeps.gov.ph/GEPSNONPILOT/Tender/SplashBidNoticeAbstractUI.aspx?menuIndex=3&amp;refID=7150126&amp;Result=3","7150126")</f>
        <v>0</v>
      </c>
      <c r="B9591" t="s">
        <v>2680</v>
      </c>
      <c r="C9591" t="s">
        <v>12923</v>
      </c>
      <c r="D9591" t="s">
        <v>19065</v>
      </c>
      <c r="E9591" t="s">
        <v>27379</v>
      </c>
      <c r="F9591" t="s">
        <v>32831</v>
      </c>
      <c r="G9591" t="s">
        <v>32839</v>
      </c>
      <c r="H9591" t="s">
        <v>32849</v>
      </c>
      <c r="I9591" t="s">
        <v>4177</v>
      </c>
      <c r="J9591" t="s">
        <v>32985</v>
      </c>
      <c r="K9591" t="s">
        <v>42730</v>
      </c>
      <c r="M9591" t="s">
        <v>45903</v>
      </c>
      <c r="N9591" t="s">
        <v>47424</v>
      </c>
      <c r="O9591" t="s">
        <v>47425</v>
      </c>
      <c r="P9591">
        <v>0</v>
      </c>
      <c r="Q9591">
        <v>0</v>
      </c>
      <c r="R9591" t="s">
        <v>47433</v>
      </c>
      <c r="S9591" t="s">
        <v>47633</v>
      </c>
      <c r="T9591" t="s">
        <v>49212</v>
      </c>
      <c r="U9591" t="s">
        <v>57617</v>
      </c>
      <c r="W9591" t="s">
        <v>45903</v>
      </c>
      <c r="X9591" t="s">
        <v>47434</v>
      </c>
    </row>
    <row r="9592" spans="1:24">
      <c r="A9592">
        <f>HYPERLINK("https://www.philgeps.gov.ph/GEPSNONPILOT/Tender/SplashBidNoticeAbstractUI.aspx?menuIndex=3&amp;refID=7149960&amp;Result=3","7149960")</f>
        <v>0</v>
      </c>
      <c r="B9592" t="s">
        <v>1595</v>
      </c>
      <c r="C9592" t="s">
        <v>12924</v>
      </c>
      <c r="D9592" t="s">
        <v>19022</v>
      </c>
      <c r="E9592" t="s">
        <v>27380</v>
      </c>
      <c r="F9592" t="s">
        <v>32831</v>
      </c>
      <c r="G9592" t="s">
        <v>32839</v>
      </c>
      <c r="H9592" t="s">
        <v>32849</v>
      </c>
      <c r="I9592" t="s">
        <v>4177</v>
      </c>
      <c r="J9592" t="s">
        <v>38913</v>
      </c>
      <c r="K9592" t="s">
        <v>42732</v>
      </c>
      <c r="M9592" t="s">
        <v>44709</v>
      </c>
      <c r="N9592" t="s">
        <v>47424</v>
      </c>
      <c r="O9592" t="s">
        <v>47425</v>
      </c>
      <c r="P9592">
        <v>0</v>
      </c>
      <c r="Q9592">
        <v>1</v>
      </c>
      <c r="R9592" t="s">
        <v>47433</v>
      </c>
      <c r="S9592" t="s">
        <v>47633</v>
      </c>
      <c r="T9592" t="s">
        <v>49370</v>
      </c>
      <c r="U9592" t="s">
        <v>57618</v>
      </c>
      <c r="W9592" t="s">
        <v>44709</v>
      </c>
      <c r="X9592" t="s">
        <v>47434</v>
      </c>
    </row>
    <row r="9593" spans="1:24">
      <c r="A9593">
        <f>HYPERLINK("https://www.philgeps.gov.ph/GEPSNONPILOT/Tender/SplashBidNoticeAbstractUI.aspx?menuIndex=3&amp;refID=7149959&amp;Result=3","7149959")</f>
        <v>0</v>
      </c>
      <c r="B9593" t="s">
        <v>1400</v>
      </c>
      <c r="C9593" t="s">
        <v>12925</v>
      </c>
      <c r="D9593" t="s">
        <v>19057</v>
      </c>
      <c r="E9593" t="s">
        <v>27381</v>
      </c>
      <c r="F9593" t="s">
        <v>32831</v>
      </c>
      <c r="G9593" t="s">
        <v>32839</v>
      </c>
      <c r="H9593" t="s">
        <v>32849</v>
      </c>
      <c r="I9593" t="s">
        <v>4177</v>
      </c>
      <c r="J9593" t="s">
        <v>38914</v>
      </c>
      <c r="K9593" t="s">
        <v>42770</v>
      </c>
      <c r="M9593" t="s">
        <v>44485</v>
      </c>
      <c r="N9593" t="s">
        <v>47424</v>
      </c>
      <c r="O9593" t="s">
        <v>47425</v>
      </c>
      <c r="P9593">
        <v>0</v>
      </c>
      <c r="Q9593">
        <v>0</v>
      </c>
      <c r="R9593" t="s">
        <v>47433</v>
      </c>
      <c r="S9593" t="s">
        <v>47633</v>
      </c>
      <c r="T9593" t="s">
        <v>49181</v>
      </c>
      <c r="U9593" t="s">
        <v>57619</v>
      </c>
      <c r="W9593" t="s">
        <v>44485</v>
      </c>
      <c r="X9593" t="s">
        <v>47434</v>
      </c>
    </row>
    <row r="9594" spans="1:24">
      <c r="A9594">
        <f>HYPERLINK("https://www.philgeps.gov.ph/GEPSNONPILOT/Tender/SplashBidNoticeAbstractUI.aspx?menuIndex=3&amp;refID=7149910&amp;Result=3","7149910")</f>
        <v>0</v>
      </c>
      <c r="B9594" t="s">
        <v>3054</v>
      </c>
      <c r="C9594" t="s">
        <v>12926</v>
      </c>
      <c r="D9594" t="s">
        <v>19024</v>
      </c>
      <c r="E9594" t="s">
        <v>27382</v>
      </c>
      <c r="F9594" t="s">
        <v>32831</v>
      </c>
      <c r="G9594" t="s">
        <v>32839</v>
      </c>
      <c r="H9594" t="s">
        <v>32848</v>
      </c>
      <c r="I9594" t="s">
        <v>7416</v>
      </c>
      <c r="J9594" t="s">
        <v>38915</v>
      </c>
      <c r="K9594" t="s">
        <v>42730</v>
      </c>
      <c r="M9594" t="s">
        <v>46327</v>
      </c>
      <c r="N9594" t="s">
        <v>47424</v>
      </c>
      <c r="O9594" t="s">
        <v>47425</v>
      </c>
      <c r="P9594">
        <v>0</v>
      </c>
      <c r="Q9594">
        <v>0</v>
      </c>
      <c r="R9594" t="s">
        <v>47433</v>
      </c>
      <c r="S9594" t="s">
        <v>47633</v>
      </c>
      <c r="T9594" t="s">
        <v>49192</v>
      </c>
      <c r="U9594" t="s">
        <v>57620</v>
      </c>
      <c r="W9594" t="s">
        <v>46327</v>
      </c>
      <c r="X9594" t="s">
        <v>47434</v>
      </c>
    </row>
    <row r="9595" spans="1:24">
      <c r="A9595">
        <f>HYPERLINK("https://www.philgeps.gov.ph/GEPSNONPILOT/Tender/SplashBidNoticeAbstractUI.aspx?menuIndex=3&amp;refID=7149909&amp;Result=3","7149909")</f>
        <v>0</v>
      </c>
      <c r="B9595" t="s">
        <v>2029</v>
      </c>
      <c r="C9595" t="s">
        <v>10154</v>
      </c>
      <c r="D9595" t="s">
        <v>19067</v>
      </c>
      <c r="E9595" t="s">
        <v>27383</v>
      </c>
      <c r="F9595" t="s">
        <v>32831</v>
      </c>
      <c r="G9595" t="s">
        <v>32839</v>
      </c>
      <c r="H9595" t="s">
        <v>32848</v>
      </c>
      <c r="I9595" t="s">
        <v>4487</v>
      </c>
      <c r="J9595" t="s">
        <v>38916</v>
      </c>
      <c r="K9595" t="s">
        <v>42732</v>
      </c>
      <c r="M9595" t="s">
        <v>45197</v>
      </c>
      <c r="N9595" t="s">
        <v>47424</v>
      </c>
      <c r="O9595" t="s">
        <v>47425</v>
      </c>
      <c r="P9595">
        <v>0</v>
      </c>
      <c r="Q9595">
        <v>2</v>
      </c>
      <c r="R9595" t="s">
        <v>47433</v>
      </c>
      <c r="S9595" t="s">
        <v>47633</v>
      </c>
      <c r="T9595" t="s">
        <v>49537</v>
      </c>
      <c r="U9595" t="s">
        <v>57621</v>
      </c>
      <c r="V9595" t="s">
        <v>63689</v>
      </c>
      <c r="W9595" t="s">
        <v>45197</v>
      </c>
      <c r="X9595" t="s">
        <v>47434</v>
      </c>
    </row>
    <row r="9596" spans="1:24">
      <c r="A9596">
        <f>HYPERLINK("https://www.philgeps.gov.ph/GEPSNONPILOT/Tender/SplashBidNoticeAbstractUI.aspx?menuIndex=3&amp;refID=7149908&amp;Result=3","7149908")</f>
        <v>0</v>
      </c>
      <c r="B9596" t="s">
        <v>721</v>
      </c>
      <c r="C9596" t="s">
        <v>12927</v>
      </c>
      <c r="D9596" t="s">
        <v>19018</v>
      </c>
      <c r="E9596" t="s">
        <v>27384</v>
      </c>
      <c r="F9596" t="s">
        <v>32831</v>
      </c>
      <c r="G9596" t="s">
        <v>32838</v>
      </c>
      <c r="H9596" t="s">
        <v>32848</v>
      </c>
      <c r="I9596" t="s">
        <v>4222</v>
      </c>
      <c r="J9596" t="s">
        <v>38256</v>
      </c>
      <c r="K9596" t="s">
        <v>42732</v>
      </c>
      <c r="M9596" t="s">
        <v>43742</v>
      </c>
      <c r="N9596" t="s">
        <v>47424</v>
      </c>
      <c r="O9596" t="s">
        <v>47425</v>
      </c>
      <c r="P9596">
        <v>0</v>
      </c>
      <c r="Q9596">
        <v>0</v>
      </c>
      <c r="R9596" t="s">
        <v>47433</v>
      </c>
      <c r="S9596" t="s">
        <v>47633</v>
      </c>
      <c r="T9596" t="s">
        <v>49328</v>
      </c>
      <c r="U9596" t="s">
        <v>56573</v>
      </c>
      <c r="W9596" t="s">
        <v>43742</v>
      </c>
      <c r="X9596" t="s">
        <v>47434</v>
      </c>
    </row>
    <row r="9597" spans="1:24">
      <c r="A9597">
        <f>HYPERLINK("https://www.philgeps.gov.ph/GEPSNONPILOT/Tender/SplashBidNoticeAbstractUI.aspx?menuIndex=3&amp;refID=7149904&amp;Result=3","7149904")</f>
        <v>0</v>
      </c>
      <c r="B9597" t="s">
        <v>2993</v>
      </c>
      <c r="C9597" t="s">
        <v>12928</v>
      </c>
      <c r="D9597" t="s">
        <v>19057</v>
      </c>
      <c r="E9597" t="s">
        <v>27385</v>
      </c>
      <c r="F9597" t="s">
        <v>32831</v>
      </c>
      <c r="G9597" t="s">
        <v>32839</v>
      </c>
      <c r="H9597" t="s">
        <v>32849</v>
      </c>
      <c r="I9597" t="s">
        <v>4177</v>
      </c>
      <c r="J9597" t="s">
        <v>33016</v>
      </c>
      <c r="K9597" t="s">
        <v>42728</v>
      </c>
      <c r="M9597" t="s">
        <v>46257</v>
      </c>
      <c r="N9597" t="s">
        <v>47424</v>
      </c>
      <c r="O9597" t="s">
        <v>47425</v>
      </c>
      <c r="P9597">
        <v>0</v>
      </c>
      <c r="Q9597">
        <v>1</v>
      </c>
      <c r="R9597" t="s">
        <v>47433</v>
      </c>
      <c r="S9597" t="s">
        <v>47633</v>
      </c>
      <c r="T9597" t="s">
        <v>49236</v>
      </c>
      <c r="U9597" t="s">
        <v>57622</v>
      </c>
      <c r="W9597" t="s">
        <v>46257</v>
      </c>
      <c r="X9597" t="s">
        <v>47434</v>
      </c>
    </row>
    <row r="9598" spans="1:24">
      <c r="A9598">
        <f>HYPERLINK("https://www.philgeps.gov.ph/GEPSNONPILOT/Tender/SplashBidNoticeAbstractUI.aspx?menuIndex=3&amp;refID=7149964&amp;Result=3","7149964")</f>
        <v>0</v>
      </c>
      <c r="B9598" t="s">
        <v>3025</v>
      </c>
      <c r="C9598" t="s">
        <v>12929</v>
      </c>
      <c r="D9598" t="s">
        <v>19046</v>
      </c>
      <c r="E9598" t="s">
        <v>19203</v>
      </c>
      <c r="F9598" t="s">
        <v>32831</v>
      </c>
      <c r="G9598" t="s">
        <v>32839</v>
      </c>
      <c r="H9598" t="s">
        <v>32848</v>
      </c>
      <c r="I9598" t="s">
        <v>7751</v>
      </c>
      <c r="J9598" t="s">
        <v>33087</v>
      </c>
      <c r="K9598" t="s">
        <v>42730</v>
      </c>
      <c r="M9598" t="s">
        <v>46295</v>
      </c>
      <c r="N9598" t="s">
        <v>47424</v>
      </c>
      <c r="O9598" t="s">
        <v>47425</v>
      </c>
      <c r="P9598">
        <v>0</v>
      </c>
      <c r="Q9598">
        <v>0</v>
      </c>
      <c r="R9598" t="s">
        <v>47433</v>
      </c>
      <c r="S9598" t="s">
        <v>47633</v>
      </c>
      <c r="T9598" t="s">
        <v>49214</v>
      </c>
      <c r="U9598" t="s">
        <v>57623</v>
      </c>
      <c r="W9598" t="s">
        <v>46295</v>
      </c>
      <c r="X9598" t="s">
        <v>47434</v>
      </c>
    </row>
    <row r="9599" spans="1:24">
      <c r="A9599">
        <f>HYPERLINK("https://www.philgeps.gov.ph/GEPSNONPILOT/Tender/SplashBidNoticeAbstractUI.aspx?menuIndex=3&amp;refID=7149871&amp;Result=3","7149871")</f>
        <v>0</v>
      </c>
      <c r="B9599" t="s">
        <v>3055</v>
      </c>
      <c r="C9599" t="s">
        <v>12930</v>
      </c>
      <c r="D9599" t="s">
        <v>19077</v>
      </c>
      <c r="E9599" t="s">
        <v>27386</v>
      </c>
      <c r="F9599" t="s">
        <v>32831</v>
      </c>
      <c r="G9599" t="s">
        <v>32839</v>
      </c>
      <c r="H9599" t="s">
        <v>32848</v>
      </c>
      <c r="I9599" t="s">
        <v>7751</v>
      </c>
      <c r="J9599" t="s">
        <v>34930</v>
      </c>
      <c r="K9599" t="s">
        <v>42726</v>
      </c>
      <c r="M9599" t="s">
        <v>46328</v>
      </c>
      <c r="N9599" t="s">
        <v>47424</v>
      </c>
      <c r="O9599" t="s">
        <v>47425</v>
      </c>
      <c r="P9599">
        <v>0</v>
      </c>
      <c r="Q9599">
        <v>0</v>
      </c>
      <c r="R9599" t="s">
        <v>47433</v>
      </c>
      <c r="S9599" t="s">
        <v>47633</v>
      </c>
      <c r="T9599" t="s">
        <v>49163</v>
      </c>
      <c r="U9599" t="s">
        <v>57624</v>
      </c>
      <c r="W9599" t="s">
        <v>46328</v>
      </c>
      <c r="X9599" t="s">
        <v>47434</v>
      </c>
    </row>
    <row r="9600" spans="1:24">
      <c r="A9600">
        <f>HYPERLINK("https://www.philgeps.gov.ph/GEPSNONPILOT/Tender/SplashBidNoticeAbstractUI.aspx?menuIndex=3&amp;refID=7149864&amp;Result=3","7149864")</f>
        <v>0</v>
      </c>
      <c r="B9600" t="s">
        <v>958</v>
      </c>
      <c r="C9600" t="s">
        <v>12931</v>
      </c>
      <c r="D9600" t="s">
        <v>19064</v>
      </c>
      <c r="E9600" t="s">
        <v>27387</v>
      </c>
      <c r="F9600" t="s">
        <v>32831</v>
      </c>
      <c r="G9600" t="s">
        <v>32840</v>
      </c>
      <c r="H9600" t="s">
        <v>32848</v>
      </c>
      <c r="I9600" t="s">
        <v>9577</v>
      </c>
      <c r="J9600" t="s">
        <v>38917</v>
      </c>
      <c r="K9600" t="s">
        <v>42732</v>
      </c>
      <c r="M9600" t="s">
        <v>44004</v>
      </c>
      <c r="N9600" t="s">
        <v>47424</v>
      </c>
      <c r="O9600" t="s">
        <v>47425</v>
      </c>
      <c r="P9600">
        <v>0</v>
      </c>
      <c r="Q9600">
        <v>6</v>
      </c>
      <c r="R9600" t="s">
        <v>47433</v>
      </c>
      <c r="S9600" t="s">
        <v>47633</v>
      </c>
      <c r="T9600" t="s">
        <v>49159</v>
      </c>
      <c r="U9600" t="s">
        <v>57625</v>
      </c>
      <c r="W9600" t="s">
        <v>44004</v>
      </c>
      <c r="X9600" t="s">
        <v>47434</v>
      </c>
    </row>
    <row r="9601" spans="1:24">
      <c r="A9601">
        <f>HYPERLINK("https://www.philgeps.gov.ph/GEPSNONPILOT/Tender/SplashBidNoticeAbstractUI.aspx?menuIndex=3&amp;refID=7150123&amp;Result=3","7150123")</f>
        <v>0</v>
      </c>
      <c r="B9601" t="s">
        <v>3056</v>
      </c>
      <c r="C9601" t="s">
        <v>12932</v>
      </c>
      <c r="D9601" t="s">
        <v>19052</v>
      </c>
      <c r="E9601" t="s">
        <v>22649</v>
      </c>
      <c r="F9601" t="s">
        <v>32831</v>
      </c>
      <c r="G9601" t="s">
        <v>32839</v>
      </c>
      <c r="H9601" t="s">
        <v>32849</v>
      </c>
      <c r="I9601" t="s">
        <v>4177</v>
      </c>
      <c r="J9601" t="s">
        <v>38918</v>
      </c>
      <c r="K9601" t="s">
        <v>42729</v>
      </c>
      <c r="M9601" t="s">
        <v>46329</v>
      </c>
      <c r="N9601" t="s">
        <v>47424</v>
      </c>
      <c r="O9601" t="s">
        <v>47425</v>
      </c>
      <c r="P9601">
        <v>0</v>
      </c>
      <c r="Q9601">
        <v>2</v>
      </c>
      <c r="R9601" t="s">
        <v>47433</v>
      </c>
      <c r="S9601" t="s">
        <v>47633</v>
      </c>
      <c r="T9601" t="s">
        <v>49163</v>
      </c>
      <c r="U9601" t="s">
        <v>55179</v>
      </c>
      <c r="W9601" t="s">
        <v>46329</v>
      </c>
      <c r="X9601" t="s">
        <v>47434</v>
      </c>
    </row>
    <row r="9602" spans="1:24">
      <c r="A9602">
        <f>HYPERLINK("https://www.philgeps.gov.ph/GEPSNONPILOT/Tender/SplashBidNoticeAbstractUI.aspx?menuIndex=3&amp;refID=7149859&amp;Result=3","7149859")</f>
        <v>0</v>
      </c>
      <c r="B9602" t="s">
        <v>3033</v>
      </c>
      <c r="C9602" t="s">
        <v>8832</v>
      </c>
      <c r="D9602" t="s">
        <v>19021</v>
      </c>
      <c r="E9602" t="s">
        <v>27388</v>
      </c>
      <c r="F9602" t="s">
        <v>32831</v>
      </c>
      <c r="G9602" t="s">
        <v>32839</v>
      </c>
      <c r="H9602" t="s">
        <v>32848</v>
      </c>
      <c r="I9602" t="s">
        <v>7416</v>
      </c>
      <c r="J9602" t="s">
        <v>33087</v>
      </c>
      <c r="K9602" t="s">
        <v>42731</v>
      </c>
      <c r="M9602" t="s">
        <v>46303</v>
      </c>
      <c r="N9602" t="s">
        <v>47424</v>
      </c>
      <c r="O9602" t="s">
        <v>47425</v>
      </c>
      <c r="P9602">
        <v>0</v>
      </c>
      <c r="Q9602">
        <v>1</v>
      </c>
      <c r="R9602" t="s">
        <v>47433</v>
      </c>
      <c r="S9602" t="s">
        <v>47633</v>
      </c>
      <c r="T9602" t="s">
        <v>49112</v>
      </c>
      <c r="U9602" t="s">
        <v>57626</v>
      </c>
      <c r="W9602" t="s">
        <v>46303</v>
      </c>
      <c r="X9602" t="s">
        <v>47434</v>
      </c>
    </row>
    <row r="9603" spans="1:24">
      <c r="A9603">
        <f>HYPERLINK("https://www.philgeps.gov.ph/GEPSNONPILOT/Tender/SplashBidNoticeAbstractUI.aspx?menuIndex=3&amp;refID=7149856&amp;Result=3","7149856")</f>
        <v>0</v>
      </c>
      <c r="B9603" t="s">
        <v>3001</v>
      </c>
      <c r="C9603" t="s">
        <v>12933</v>
      </c>
      <c r="D9603" t="s">
        <v>19056</v>
      </c>
      <c r="E9603" t="s">
        <v>27389</v>
      </c>
      <c r="F9603" t="s">
        <v>32831</v>
      </c>
      <c r="G9603" t="s">
        <v>32839</v>
      </c>
      <c r="H9603" t="s">
        <v>32849</v>
      </c>
      <c r="I9603" t="s">
        <v>4177</v>
      </c>
      <c r="J9603" t="s">
        <v>38919</v>
      </c>
      <c r="K9603" t="s">
        <v>42814</v>
      </c>
      <c r="M9603" t="s">
        <v>46269</v>
      </c>
      <c r="N9603" t="s">
        <v>47424</v>
      </c>
      <c r="O9603" t="s">
        <v>47425</v>
      </c>
      <c r="P9603">
        <v>0</v>
      </c>
      <c r="Q9603">
        <v>5</v>
      </c>
      <c r="R9603" t="s">
        <v>47433</v>
      </c>
      <c r="S9603" t="s">
        <v>47633</v>
      </c>
      <c r="T9603" t="s">
        <v>49231</v>
      </c>
      <c r="U9603" t="s">
        <v>57446</v>
      </c>
      <c r="W9603" t="s">
        <v>64531</v>
      </c>
      <c r="X9603" t="s">
        <v>47434</v>
      </c>
    </row>
    <row r="9604" spans="1:24">
      <c r="A9604">
        <f>HYPERLINK("https://www.philgeps.gov.ph/GEPSNONPILOT/Tender/SplashBidNoticeAbstractUI.aspx?menuIndex=3&amp;refID=7150019&amp;Result=3","7150019")</f>
        <v>0</v>
      </c>
      <c r="B9604" t="s">
        <v>2880</v>
      </c>
      <c r="C9604" t="s">
        <v>12934</v>
      </c>
      <c r="D9604" t="s">
        <v>19061</v>
      </c>
      <c r="E9604" t="s">
        <v>27390</v>
      </c>
      <c r="F9604" t="s">
        <v>32831</v>
      </c>
      <c r="G9604" t="s">
        <v>32838</v>
      </c>
      <c r="H9604" t="s">
        <v>32848</v>
      </c>
      <c r="I9604" t="s">
        <v>4776</v>
      </c>
      <c r="J9604" t="s">
        <v>33041</v>
      </c>
      <c r="K9604" t="s">
        <v>42730</v>
      </c>
      <c r="M9604" t="s">
        <v>46117</v>
      </c>
      <c r="N9604" t="s">
        <v>47424</v>
      </c>
      <c r="O9604" t="s">
        <v>47425</v>
      </c>
      <c r="P9604">
        <v>0</v>
      </c>
      <c r="Q9604">
        <v>0</v>
      </c>
      <c r="R9604" t="s">
        <v>47433</v>
      </c>
      <c r="S9604" t="s">
        <v>47633</v>
      </c>
      <c r="T9604" t="s">
        <v>49163</v>
      </c>
      <c r="U9604" t="s">
        <v>57627</v>
      </c>
      <c r="W9604" t="s">
        <v>46117</v>
      </c>
      <c r="X9604" t="s">
        <v>47434</v>
      </c>
    </row>
    <row r="9605" spans="1:24">
      <c r="A9605">
        <f>HYPERLINK("https://www.philgeps.gov.ph/GEPSNONPILOT/Tender/SplashBidNoticeAbstractUI.aspx?menuIndex=3&amp;refID=7149786&amp;Result=3","7149786")</f>
        <v>0</v>
      </c>
      <c r="B9605" t="s">
        <v>2638</v>
      </c>
      <c r="C9605" t="s">
        <v>12935</v>
      </c>
      <c r="D9605" t="s">
        <v>19023</v>
      </c>
      <c r="E9605" t="s">
        <v>27391</v>
      </c>
      <c r="F9605" t="s">
        <v>32831</v>
      </c>
      <c r="G9605" t="s">
        <v>32838</v>
      </c>
      <c r="H9605" t="s">
        <v>32848</v>
      </c>
      <c r="I9605" t="s">
        <v>32902</v>
      </c>
      <c r="J9605" t="s">
        <v>33606</v>
      </c>
      <c r="K9605" t="s">
        <v>42727</v>
      </c>
      <c r="M9605" t="s">
        <v>45860</v>
      </c>
      <c r="N9605" t="s">
        <v>47424</v>
      </c>
      <c r="O9605" t="s">
        <v>47425</v>
      </c>
      <c r="P9605">
        <v>0</v>
      </c>
      <c r="Q9605">
        <v>2</v>
      </c>
      <c r="R9605" t="s">
        <v>47433</v>
      </c>
      <c r="S9605" t="s">
        <v>47633</v>
      </c>
      <c r="T9605" t="s">
        <v>49239</v>
      </c>
      <c r="U9605" t="s">
        <v>56225</v>
      </c>
      <c r="V9605" t="s">
        <v>63690</v>
      </c>
      <c r="W9605" t="s">
        <v>45860</v>
      </c>
      <c r="X9605" t="s">
        <v>47434</v>
      </c>
    </row>
    <row r="9606" spans="1:24">
      <c r="A9606">
        <f>HYPERLINK("https://www.philgeps.gov.ph/GEPSNONPILOT/Tender/SplashBidNoticeAbstractUI.aspx?menuIndex=3&amp;refID=7150161&amp;Result=3","7150161")</f>
        <v>0</v>
      </c>
      <c r="B9606" t="s">
        <v>1425</v>
      </c>
      <c r="C9606" t="s">
        <v>5171</v>
      </c>
      <c r="D9606" t="s">
        <v>19073</v>
      </c>
      <c r="E9606" t="s">
        <v>27392</v>
      </c>
      <c r="F9606" t="s">
        <v>32831</v>
      </c>
      <c r="G9606" t="s">
        <v>32839</v>
      </c>
      <c r="H9606" t="s">
        <v>32848</v>
      </c>
      <c r="I9606" t="s">
        <v>9577</v>
      </c>
      <c r="J9606" t="s">
        <v>38920</v>
      </c>
      <c r="K9606" t="s">
        <v>42730</v>
      </c>
      <c r="M9606" t="s">
        <v>44514</v>
      </c>
      <c r="N9606" t="s">
        <v>47424</v>
      </c>
      <c r="O9606" t="s">
        <v>47425</v>
      </c>
      <c r="P9606">
        <v>0</v>
      </c>
      <c r="Q9606">
        <v>0</v>
      </c>
      <c r="R9606" t="s">
        <v>47433</v>
      </c>
      <c r="S9606" t="s">
        <v>47633</v>
      </c>
      <c r="T9606" t="s">
        <v>49111</v>
      </c>
      <c r="U9606" t="s">
        <v>57628</v>
      </c>
      <c r="W9606" t="s">
        <v>44514</v>
      </c>
      <c r="X9606" t="s">
        <v>47434</v>
      </c>
    </row>
    <row r="9607" spans="1:24">
      <c r="A9607">
        <f>HYPERLINK("https://www.philgeps.gov.ph/GEPSNONPILOT/Tender/SplashBidNoticeAbstractUI.aspx?menuIndex=3&amp;refID=7149783&amp;Result=3","7149783")</f>
        <v>0</v>
      </c>
      <c r="B9607" t="s">
        <v>2984</v>
      </c>
      <c r="C9607" t="s">
        <v>12936</v>
      </c>
      <c r="D9607" t="s">
        <v>19027</v>
      </c>
      <c r="E9607" t="s">
        <v>27393</v>
      </c>
      <c r="F9607" t="s">
        <v>32831</v>
      </c>
      <c r="G9607" t="s">
        <v>32839</v>
      </c>
      <c r="H9607" t="s">
        <v>32848</v>
      </c>
      <c r="I9607" t="s">
        <v>32854</v>
      </c>
      <c r="J9607" t="s">
        <v>33292</v>
      </c>
      <c r="K9607" t="s">
        <v>42730</v>
      </c>
      <c r="M9607" t="s">
        <v>46247</v>
      </c>
      <c r="N9607" t="s">
        <v>47424</v>
      </c>
      <c r="O9607" t="s">
        <v>47425</v>
      </c>
      <c r="P9607">
        <v>0</v>
      </c>
      <c r="Q9607">
        <v>1</v>
      </c>
      <c r="R9607" t="s">
        <v>47433</v>
      </c>
      <c r="S9607" t="s">
        <v>47633</v>
      </c>
      <c r="T9607" t="s">
        <v>49162</v>
      </c>
      <c r="U9607" t="s">
        <v>57629</v>
      </c>
      <c r="W9607" t="s">
        <v>46247</v>
      </c>
      <c r="X9607" t="s">
        <v>47434</v>
      </c>
    </row>
    <row r="9608" spans="1:24">
      <c r="A9608">
        <f>HYPERLINK("https://www.philgeps.gov.ph/GEPSNONPILOT/Tender/SplashBidNoticeAbstractUI.aspx?menuIndex=3&amp;refID=7149780&amp;Result=3","7149780")</f>
        <v>0</v>
      </c>
      <c r="B9608" t="s">
        <v>721</v>
      </c>
      <c r="C9608" t="s">
        <v>12937</v>
      </c>
      <c r="D9608" t="s">
        <v>19018</v>
      </c>
      <c r="E9608" t="s">
        <v>27394</v>
      </c>
      <c r="F9608" t="s">
        <v>32831</v>
      </c>
      <c r="G9608" t="s">
        <v>32838</v>
      </c>
      <c r="H9608" t="s">
        <v>32848</v>
      </c>
      <c r="I9608" t="s">
        <v>4303</v>
      </c>
      <c r="J9608" t="s">
        <v>33087</v>
      </c>
      <c r="K9608" t="s">
        <v>42732</v>
      </c>
      <c r="M9608" t="s">
        <v>43742</v>
      </c>
      <c r="N9608" t="s">
        <v>47424</v>
      </c>
      <c r="O9608" t="s">
        <v>47425</v>
      </c>
      <c r="P9608">
        <v>0</v>
      </c>
      <c r="Q9608">
        <v>0</v>
      </c>
      <c r="R9608" t="s">
        <v>47433</v>
      </c>
      <c r="S9608" t="s">
        <v>47633</v>
      </c>
      <c r="T9608" t="s">
        <v>49328</v>
      </c>
      <c r="U9608" t="s">
        <v>56573</v>
      </c>
      <c r="W9608" t="s">
        <v>43742</v>
      </c>
      <c r="X9608" t="s">
        <v>47434</v>
      </c>
    </row>
    <row r="9609" spans="1:24">
      <c r="A9609">
        <f>HYPERLINK("https://www.philgeps.gov.ph/GEPSNONPILOT/Tender/SplashBidNoticeAbstractUI.aspx?menuIndex=3&amp;refID=7149770&amp;Result=3","7149770")</f>
        <v>0</v>
      </c>
      <c r="B9609" t="s">
        <v>3057</v>
      </c>
      <c r="C9609" t="s">
        <v>12938</v>
      </c>
      <c r="D9609" t="s">
        <v>19054</v>
      </c>
      <c r="E9609" t="s">
        <v>27395</v>
      </c>
      <c r="F9609" t="s">
        <v>32831</v>
      </c>
      <c r="G9609" t="s">
        <v>32839</v>
      </c>
      <c r="H9609" t="s">
        <v>32848</v>
      </c>
      <c r="I9609" t="s">
        <v>10805</v>
      </c>
      <c r="J9609" t="s">
        <v>38921</v>
      </c>
      <c r="K9609" t="s">
        <v>42731</v>
      </c>
      <c r="M9609" t="s">
        <v>46330</v>
      </c>
      <c r="N9609" t="s">
        <v>47424</v>
      </c>
      <c r="O9609" t="s">
        <v>47425</v>
      </c>
      <c r="P9609">
        <v>0</v>
      </c>
      <c r="Q9609">
        <v>0</v>
      </c>
      <c r="R9609" t="s">
        <v>47433</v>
      </c>
      <c r="S9609" t="s">
        <v>47633</v>
      </c>
      <c r="T9609" t="s">
        <v>49328</v>
      </c>
      <c r="U9609" t="s">
        <v>57630</v>
      </c>
      <c r="W9609" t="s">
        <v>46330</v>
      </c>
      <c r="X9609" t="s">
        <v>47434</v>
      </c>
    </row>
    <row r="9610" spans="1:24">
      <c r="A9610">
        <f>HYPERLINK("https://www.philgeps.gov.ph/GEPSNONPILOT/Tender/SplashBidNoticeAbstractUI.aspx?menuIndex=3&amp;refID=7152333&amp;Result=3","7152333")</f>
        <v>0</v>
      </c>
      <c r="B9610" t="s">
        <v>3058</v>
      </c>
      <c r="C9610" t="s">
        <v>12939</v>
      </c>
      <c r="D9610" t="s">
        <v>19056</v>
      </c>
      <c r="E9610" t="s">
        <v>27396</v>
      </c>
      <c r="F9610" t="s">
        <v>32831</v>
      </c>
      <c r="G9610" t="s">
        <v>32838</v>
      </c>
      <c r="H9610" t="s">
        <v>32849</v>
      </c>
      <c r="I9610" t="s">
        <v>4177</v>
      </c>
      <c r="J9610" t="s">
        <v>38922</v>
      </c>
      <c r="K9610" t="s">
        <v>42730</v>
      </c>
      <c r="M9610" t="s">
        <v>46331</v>
      </c>
      <c r="N9610" t="s">
        <v>47424</v>
      </c>
      <c r="O9610" t="s">
        <v>47425</v>
      </c>
      <c r="P9610">
        <v>0</v>
      </c>
      <c r="Q9610">
        <v>2</v>
      </c>
      <c r="R9610" t="s">
        <v>47432</v>
      </c>
      <c r="S9610" t="s">
        <v>47597</v>
      </c>
      <c r="T9610" t="s">
        <v>49141</v>
      </c>
      <c r="U9610" t="s">
        <v>57631</v>
      </c>
      <c r="W9610" t="s">
        <v>46331</v>
      </c>
      <c r="X9610" t="s">
        <v>47433</v>
      </c>
    </row>
    <row r="9611" spans="1:24">
      <c r="A9611">
        <f>HYPERLINK("https://www.philgeps.gov.ph/GEPSNONPILOT/Tender/SplashBidNoticeAbstractUI.aspx?menuIndex=3&amp;refID=7152279&amp;Result=3","7152279")</f>
        <v>0</v>
      </c>
      <c r="B9611" t="s">
        <v>1688</v>
      </c>
      <c r="C9611" t="s">
        <v>12940</v>
      </c>
      <c r="D9611" t="s">
        <v>19078</v>
      </c>
      <c r="E9611" t="s">
        <v>27397</v>
      </c>
      <c r="F9611" t="s">
        <v>32831</v>
      </c>
      <c r="G9611" t="s">
        <v>32840</v>
      </c>
      <c r="H9611" t="s">
        <v>32848</v>
      </c>
      <c r="I9611" t="s">
        <v>4438</v>
      </c>
      <c r="J9611" t="s">
        <v>38923</v>
      </c>
      <c r="K9611" t="s">
        <v>42732</v>
      </c>
      <c r="L9611" t="s">
        <v>1688</v>
      </c>
      <c r="M9611" t="s">
        <v>44808</v>
      </c>
      <c r="N9611" t="s">
        <v>47424</v>
      </c>
      <c r="O9611" t="s">
        <v>47425</v>
      </c>
      <c r="P9611">
        <v>0</v>
      </c>
      <c r="Q9611">
        <v>1</v>
      </c>
      <c r="R9611" t="s">
        <v>47432</v>
      </c>
      <c r="S9611" t="s">
        <v>47597</v>
      </c>
      <c r="T9611" t="s">
        <v>49111</v>
      </c>
      <c r="U9611" t="s">
        <v>53382</v>
      </c>
      <c r="W9611" t="s">
        <v>44808</v>
      </c>
      <c r="X9611" t="s">
        <v>47433</v>
      </c>
    </row>
    <row r="9612" spans="1:24">
      <c r="A9612">
        <f>HYPERLINK("https://www.philgeps.gov.ph/GEPSNONPILOT/Tender/SplashBidNoticeAbstractUI.aspx?menuIndex=3&amp;refID=7149852&amp;Result=3","7149852")</f>
        <v>0</v>
      </c>
      <c r="B9612" t="s">
        <v>2984</v>
      </c>
      <c r="C9612" t="s">
        <v>4226</v>
      </c>
      <c r="D9612" t="s">
        <v>19027</v>
      </c>
      <c r="E9612" t="s">
        <v>27398</v>
      </c>
      <c r="F9612" t="s">
        <v>32831</v>
      </c>
      <c r="G9612" t="s">
        <v>32839</v>
      </c>
      <c r="H9612" t="s">
        <v>32848</v>
      </c>
      <c r="I9612" t="s">
        <v>32860</v>
      </c>
      <c r="J9612" t="s">
        <v>38924</v>
      </c>
      <c r="K9612" t="s">
        <v>42730</v>
      </c>
      <c r="M9612" t="s">
        <v>46247</v>
      </c>
      <c r="N9612" t="s">
        <v>47424</v>
      </c>
      <c r="O9612" t="s">
        <v>47425</v>
      </c>
      <c r="P9612">
        <v>0</v>
      </c>
      <c r="Q9612">
        <v>0</v>
      </c>
      <c r="R9612" t="s">
        <v>47433</v>
      </c>
      <c r="S9612" t="s">
        <v>47633</v>
      </c>
      <c r="T9612" t="s">
        <v>49162</v>
      </c>
      <c r="U9612" t="s">
        <v>57632</v>
      </c>
      <c r="W9612" t="s">
        <v>46247</v>
      </c>
      <c r="X9612" t="s">
        <v>47434</v>
      </c>
    </row>
    <row r="9613" spans="1:24">
      <c r="A9613">
        <f>HYPERLINK("https://www.philgeps.gov.ph/GEPSNONPILOT/Tender/SplashBidNoticeAbstractUI.aspx?menuIndex=3&amp;refID=7149902&amp;Result=3","7149902")</f>
        <v>0</v>
      </c>
      <c r="B9613" t="s">
        <v>2239</v>
      </c>
      <c r="C9613" t="s">
        <v>12941</v>
      </c>
      <c r="D9613" t="s">
        <v>19061</v>
      </c>
      <c r="E9613" t="s">
        <v>27399</v>
      </c>
      <c r="F9613" t="s">
        <v>32831</v>
      </c>
      <c r="G9613" t="s">
        <v>32839</v>
      </c>
      <c r="H9613" t="s">
        <v>32849</v>
      </c>
      <c r="I9613" t="s">
        <v>4177</v>
      </c>
      <c r="J9613" t="s">
        <v>38925</v>
      </c>
      <c r="K9613" t="s">
        <v>42763</v>
      </c>
      <c r="M9613" t="s">
        <v>46308</v>
      </c>
      <c r="N9613" t="s">
        <v>47424</v>
      </c>
      <c r="O9613" t="s">
        <v>47425</v>
      </c>
      <c r="P9613">
        <v>0</v>
      </c>
      <c r="Q9613">
        <v>0</v>
      </c>
      <c r="R9613" t="s">
        <v>47433</v>
      </c>
      <c r="S9613" t="s">
        <v>47633</v>
      </c>
      <c r="T9613" t="s">
        <v>49160</v>
      </c>
      <c r="U9613" t="s">
        <v>57633</v>
      </c>
      <c r="W9613" t="s">
        <v>46308</v>
      </c>
      <c r="X9613" t="s">
        <v>47434</v>
      </c>
    </row>
    <row r="9614" spans="1:24">
      <c r="A9614">
        <f>HYPERLINK("https://www.philgeps.gov.ph/GEPSNONPILOT/Tender/SplashBidNoticeAbstractUI.aspx?menuIndex=3&amp;refID=7149772&amp;Result=3","7149772")</f>
        <v>0</v>
      </c>
      <c r="B9614" t="s">
        <v>3026</v>
      </c>
      <c r="C9614" t="s">
        <v>12942</v>
      </c>
      <c r="D9614" t="s">
        <v>19047</v>
      </c>
      <c r="E9614" t="s">
        <v>27400</v>
      </c>
      <c r="F9614" t="s">
        <v>32831</v>
      </c>
      <c r="G9614" t="s">
        <v>32840</v>
      </c>
      <c r="H9614" t="s">
        <v>32848</v>
      </c>
      <c r="I9614" t="s">
        <v>7416</v>
      </c>
      <c r="J9614" t="s">
        <v>38926</v>
      </c>
      <c r="K9614" t="s">
        <v>42731</v>
      </c>
      <c r="M9614" t="s">
        <v>46296</v>
      </c>
      <c r="N9614" t="s">
        <v>47424</v>
      </c>
      <c r="O9614" t="s">
        <v>47425</v>
      </c>
      <c r="P9614">
        <v>0</v>
      </c>
      <c r="Q9614">
        <v>2</v>
      </c>
      <c r="R9614" t="s">
        <v>47433</v>
      </c>
      <c r="S9614" t="s">
        <v>47633</v>
      </c>
      <c r="T9614" t="s">
        <v>49069</v>
      </c>
      <c r="U9614" t="s">
        <v>57534</v>
      </c>
      <c r="W9614" t="s">
        <v>46296</v>
      </c>
      <c r="X9614" t="s">
        <v>47434</v>
      </c>
    </row>
    <row r="9615" spans="1:24">
      <c r="A9615">
        <f>HYPERLINK("https://www.philgeps.gov.ph/GEPSNONPILOT/Tender/SplashBidNoticeAbstractUI.aspx?menuIndex=3&amp;refID=7150218&amp;Result=3","7150218")</f>
        <v>0</v>
      </c>
      <c r="B9615" t="s">
        <v>3059</v>
      </c>
      <c r="C9615" t="s">
        <v>12943</v>
      </c>
      <c r="D9615" t="s">
        <v>19037</v>
      </c>
      <c r="E9615" t="s">
        <v>20769</v>
      </c>
      <c r="F9615" t="s">
        <v>32833</v>
      </c>
      <c r="G9615" t="s">
        <v>32840</v>
      </c>
      <c r="H9615" t="s">
        <v>32848</v>
      </c>
      <c r="I9615" t="s">
        <v>32856</v>
      </c>
      <c r="J9615" t="s">
        <v>33978</v>
      </c>
      <c r="K9615" t="s">
        <v>42727</v>
      </c>
      <c r="M9615" t="s">
        <v>46332</v>
      </c>
      <c r="N9615" t="s">
        <v>47424</v>
      </c>
      <c r="O9615" t="s">
        <v>47425</v>
      </c>
      <c r="P9615">
        <v>0</v>
      </c>
      <c r="Q9615">
        <v>0</v>
      </c>
      <c r="R9615" t="s">
        <v>47433</v>
      </c>
      <c r="S9615" t="s">
        <v>47633</v>
      </c>
      <c r="T9615" t="s">
        <v>49538</v>
      </c>
      <c r="U9615" t="s">
        <v>57634</v>
      </c>
      <c r="W9615" t="s">
        <v>46332</v>
      </c>
      <c r="X9615" t="s">
        <v>47434</v>
      </c>
    </row>
    <row r="9616" spans="1:24">
      <c r="A9616">
        <f>HYPERLINK("https://www.philgeps.gov.ph/GEPSNONPILOT/Tender/SplashBidNoticeAbstractUI.aspx?menuIndex=3&amp;refID=7149958&amp;Result=3","7149958")</f>
        <v>0</v>
      </c>
      <c r="B9616" t="s">
        <v>2350</v>
      </c>
      <c r="C9616" t="s">
        <v>12944</v>
      </c>
      <c r="D9616" t="s">
        <v>19018</v>
      </c>
      <c r="E9616" t="s">
        <v>27401</v>
      </c>
      <c r="F9616" t="s">
        <v>32831</v>
      </c>
      <c r="G9616" t="s">
        <v>32838</v>
      </c>
      <c r="H9616" t="s">
        <v>32848</v>
      </c>
      <c r="I9616" t="s">
        <v>32874</v>
      </c>
      <c r="J9616" t="s">
        <v>32976</v>
      </c>
      <c r="K9616" t="s">
        <v>42732</v>
      </c>
      <c r="M9616" t="s">
        <v>45539</v>
      </c>
      <c r="N9616" t="s">
        <v>47424</v>
      </c>
      <c r="O9616" t="s">
        <v>47425</v>
      </c>
      <c r="Q9616">
        <v>10</v>
      </c>
      <c r="R9616" t="s">
        <v>47433</v>
      </c>
      <c r="S9616" t="s">
        <v>47646</v>
      </c>
      <c r="T9616" t="s">
        <v>49100</v>
      </c>
      <c r="U9616" t="s">
        <v>50084</v>
      </c>
      <c r="W9616" t="s">
        <v>45539</v>
      </c>
      <c r="X9616" t="s">
        <v>47434</v>
      </c>
    </row>
    <row r="9617" spans="1:24">
      <c r="A9617">
        <f>HYPERLINK("https://www.philgeps.gov.ph/GEPSNONPILOT/Tender/SplashBidNoticeAbstractUI.aspx?menuIndex=3&amp;refID=7150201&amp;Result=3","7150201")</f>
        <v>0</v>
      </c>
      <c r="B9617" t="s">
        <v>1684</v>
      </c>
      <c r="C9617" t="s">
        <v>12945</v>
      </c>
      <c r="D9617" t="s">
        <v>19022</v>
      </c>
      <c r="E9617" t="s">
        <v>27402</v>
      </c>
      <c r="F9617" t="s">
        <v>32831</v>
      </c>
      <c r="G9617" t="s">
        <v>32838</v>
      </c>
      <c r="H9617" t="s">
        <v>32848</v>
      </c>
      <c r="I9617" t="s">
        <v>32855</v>
      </c>
      <c r="J9617" t="s">
        <v>38927</v>
      </c>
      <c r="K9617" t="s">
        <v>42731</v>
      </c>
      <c r="M9617" t="s">
        <v>44804</v>
      </c>
      <c r="N9617" t="s">
        <v>47424</v>
      </c>
      <c r="O9617" t="s">
        <v>47425</v>
      </c>
      <c r="P9617">
        <v>0</v>
      </c>
      <c r="Q9617">
        <v>6</v>
      </c>
      <c r="R9617" t="s">
        <v>47433</v>
      </c>
      <c r="S9617" t="s">
        <v>47633</v>
      </c>
      <c r="T9617" t="s">
        <v>49255</v>
      </c>
      <c r="U9617" t="s">
        <v>57635</v>
      </c>
      <c r="W9617" t="s">
        <v>44804</v>
      </c>
      <c r="X9617" t="s">
        <v>47434</v>
      </c>
    </row>
    <row r="9618" spans="1:24">
      <c r="A9618">
        <f>HYPERLINK("https://www.philgeps.gov.ph/GEPSNONPILOT/Tender/SplashBidNoticeAbstractUI.aspx?menuIndex=3&amp;refID=7152332&amp;Result=3","7152332")</f>
        <v>0</v>
      </c>
      <c r="B9618" t="s">
        <v>2657</v>
      </c>
      <c r="C9618" t="s">
        <v>12946</v>
      </c>
      <c r="D9618" t="s">
        <v>19056</v>
      </c>
      <c r="E9618" t="s">
        <v>27403</v>
      </c>
      <c r="F9618" t="s">
        <v>32831</v>
      </c>
      <c r="G9618" t="s">
        <v>32839</v>
      </c>
      <c r="H9618" t="s">
        <v>32849</v>
      </c>
      <c r="I9618" t="s">
        <v>4177</v>
      </c>
      <c r="J9618" t="s">
        <v>33083</v>
      </c>
      <c r="K9618" t="s">
        <v>42732</v>
      </c>
      <c r="M9618" t="s">
        <v>45880</v>
      </c>
      <c r="N9618" t="s">
        <v>47424</v>
      </c>
      <c r="O9618" t="s">
        <v>47425</v>
      </c>
      <c r="P9618">
        <v>0</v>
      </c>
      <c r="Q9618">
        <v>0</v>
      </c>
      <c r="R9618" t="s">
        <v>47432</v>
      </c>
      <c r="S9618" t="s">
        <v>47597</v>
      </c>
      <c r="T9618" t="s">
        <v>49139</v>
      </c>
      <c r="U9618" t="s">
        <v>57636</v>
      </c>
      <c r="W9618" t="s">
        <v>45880</v>
      </c>
      <c r="X9618" t="s">
        <v>47433</v>
      </c>
    </row>
    <row r="9619" spans="1:24">
      <c r="A9619">
        <f>HYPERLINK("https://www.philgeps.gov.ph/GEPSNONPILOT/Tender/SplashBidNoticeAbstractUI.aspx?menuIndex=3&amp;refID=7150224&amp;Result=3","7150224")</f>
        <v>0</v>
      </c>
      <c r="B9619" t="s">
        <v>2029</v>
      </c>
      <c r="C9619" t="s">
        <v>12947</v>
      </c>
      <c r="D9619" t="s">
        <v>19067</v>
      </c>
      <c r="E9619" t="s">
        <v>27404</v>
      </c>
      <c r="F9619" t="s">
        <v>32831</v>
      </c>
      <c r="G9619" t="s">
        <v>32839</v>
      </c>
      <c r="H9619" t="s">
        <v>32848</v>
      </c>
      <c r="I9619" t="s">
        <v>32874</v>
      </c>
      <c r="J9619" t="s">
        <v>38928</v>
      </c>
      <c r="K9619" t="s">
        <v>42732</v>
      </c>
      <c r="M9619" t="s">
        <v>46333</v>
      </c>
      <c r="N9619" t="s">
        <v>47424</v>
      </c>
      <c r="O9619" t="s">
        <v>47425</v>
      </c>
      <c r="P9619">
        <v>0</v>
      </c>
      <c r="Q9619">
        <v>12</v>
      </c>
      <c r="R9619" t="s">
        <v>47433</v>
      </c>
      <c r="S9619" t="s">
        <v>47633</v>
      </c>
      <c r="T9619" t="s">
        <v>49185</v>
      </c>
      <c r="U9619" t="s">
        <v>57637</v>
      </c>
      <c r="W9619" t="s">
        <v>46333</v>
      </c>
      <c r="X9619" t="s">
        <v>47434</v>
      </c>
    </row>
    <row r="9620" spans="1:24">
      <c r="A9620">
        <f>HYPERLINK("https://www.philgeps.gov.ph/GEPSNONPILOT/Tender/SplashBidNoticeAbstractUI.aspx?menuIndex=3&amp;refID=7150196&amp;Result=3","7150196")</f>
        <v>0</v>
      </c>
      <c r="B9620" t="s">
        <v>2061</v>
      </c>
      <c r="C9620" t="s">
        <v>12948</v>
      </c>
      <c r="D9620" t="s">
        <v>19045</v>
      </c>
      <c r="E9620" t="s">
        <v>27405</v>
      </c>
      <c r="F9620" t="s">
        <v>32831</v>
      </c>
      <c r="G9620" t="s">
        <v>32839</v>
      </c>
      <c r="H9620" t="s">
        <v>32848</v>
      </c>
      <c r="I9620" t="s">
        <v>8577</v>
      </c>
      <c r="J9620" t="s">
        <v>32980</v>
      </c>
      <c r="K9620" t="s">
        <v>42727</v>
      </c>
      <c r="M9620" t="s">
        <v>45231</v>
      </c>
      <c r="N9620" t="s">
        <v>47424</v>
      </c>
      <c r="O9620" t="s">
        <v>47425</v>
      </c>
      <c r="P9620">
        <v>0</v>
      </c>
      <c r="Q9620">
        <v>2</v>
      </c>
      <c r="R9620" t="s">
        <v>47433</v>
      </c>
      <c r="S9620" t="s">
        <v>47633</v>
      </c>
      <c r="T9620" t="s">
        <v>49200</v>
      </c>
      <c r="U9620" t="s">
        <v>57638</v>
      </c>
      <c r="V9620" t="s">
        <v>63691</v>
      </c>
      <c r="W9620" t="s">
        <v>45231</v>
      </c>
      <c r="X9620" t="s">
        <v>47434</v>
      </c>
    </row>
    <row r="9621" spans="1:24">
      <c r="A9621">
        <f>HYPERLINK("https://www.philgeps.gov.ph/GEPSNONPILOT/Tender/SplashBidNoticeAbstractUI.aspx?menuIndex=3&amp;refID=7150195&amp;Result=3","7150195")</f>
        <v>0</v>
      </c>
      <c r="B9621" t="s">
        <v>2416</v>
      </c>
      <c r="C9621" t="s">
        <v>12949</v>
      </c>
      <c r="D9621" t="s">
        <v>19017</v>
      </c>
      <c r="E9621" t="s">
        <v>27406</v>
      </c>
      <c r="F9621" t="s">
        <v>32831</v>
      </c>
      <c r="G9621" t="s">
        <v>32839</v>
      </c>
      <c r="H9621" t="s">
        <v>32848</v>
      </c>
      <c r="I9621" t="s">
        <v>7416</v>
      </c>
      <c r="J9621" t="s">
        <v>32978</v>
      </c>
      <c r="K9621" t="s">
        <v>42748</v>
      </c>
      <c r="M9621" t="s">
        <v>45611</v>
      </c>
      <c r="N9621" t="s">
        <v>47424</v>
      </c>
      <c r="O9621" t="s">
        <v>47425</v>
      </c>
      <c r="P9621">
        <v>0</v>
      </c>
      <c r="Q9621">
        <v>2</v>
      </c>
      <c r="R9621" t="s">
        <v>47433</v>
      </c>
      <c r="S9621" t="s">
        <v>47633</v>
      </c>
      <c r="T9621" t="s">
        <v>49239</v>
      </c>
      <c r="U9621" t="s">
        <v>55395</v>
      </c>
      <c r="W9621" t="s">
        <v>45611</v>
      </c>
      <c r="X9621" t="s">
        <v>47434</v>
      </c>
    </row>
    <row r="9622" spans="1:24">
      <c r="A9622">
        <f>HYPERLINK("https://www.philgeps.gov.ph/GEPSNONPILOT/Tender/SplashBidNoticeAbstractUI.aspx?menuIndex=3&amp;refID=7149845&amp;Result=3","7149845")</f>
        <v>0</v>
      </c>
      <c r="B9622" t="s">
        <v>1770</v>
      </c>
      <c r="C9622" t="s">
        <v>12950</v>
      </c>
      <c r="D9622" t="s">
        <v>19058</v>
      </c>
      <c r="E9622" t="s">
        <v>27407</v>
      </c>
      <c r="F9622" t="s">
        <v>32831</v>
      </c>
      <c r="G9622" t="s">
        <v>32840</v>
      </c>
      <c r="H9622" t="s">
        <v>32848</v>
      </c>
      <c r="I9622" t="s">
        <v>32879</v>
      </c>
      <c r="J9622" t="s">
        <v>34782</v>
      </c>
      <c r="K9622" t="s">
        <v>42726</v>
      </c>
      <c r="M9622" t="s">
        <v>44895</v>
      </c>
      <c r="N9622" t="s">
        <v>47424</v>
      </c>
      <c r="O9622" t="s">
        <v>47425</v>
      </c>
      <c r="P9622">
        <v>0</v>
      </c>
      <c r="Q9622">
        <v>0</v>
      </c>
      <c r="R9622" t="s">
        <v>47433</v>
      </c>
      <c r="S9622" t="s">
        <v>47633</v>
      </c>
      <c r="T9622" t="s">
        <v>49237</v>
      </c>
      <c r="U9622" t="s">
        <v>57639</v>
      </c>
      <c r="W9622" t="s">
        <v>44895</v>
      </c>
      <c r="X9622" t="s">
        <v>47434</v>
      </c>
    </row>
    <row r="9623" spans="1:24">
      <c r="A9623">
        <f>HYPERLINK("https://www.philgeps.gov.ph/GEPSNONPILOT/Tender/SplashBidNoticeAbstractUI.aspx?menuIndex=3&amp;refID=7150202&amp;Result=3","7150202")</f>
        <v>0</v>
      </c>
      <c r="B9623" t="s">
        <v>2029</v>
      </c>
      <c r="C9623" t="s">
        <v>12947</v>
      </c>
      <c r="E9623" t="s">
        <v>27408</v>
      </c>
      <c r="F9623" t="s">
        <v>32831</v>
      </c>
      <c r="G9623" t="s">
        <v>32839</v>
      </c>
      <c r="H9623" t="s">
        <v>32848</v>
      </c>
      <c r="I9623" t="s">
        <v>32874</v>
      </c>
      <c r="J9623" t="s">
        <v>38929</v>
      </c>
      <c r="K9623" t="s">
        <v>42732</v>
      </c>
      <c r="M9623" t="s">
        <v>46333</v>
      </c>
      <c r="N9623" t="s">
        <v>47424</v>
      </c>
      <c r="O9623" t="s">
        <v>47425</v>
      </c>
      <c r="P9623">
        <v>0</v>
      </c>
      <c r="Q9623">
        <v>18</v>
      </c>
      <c r="R9623" t="s">
        <v>47433</v>
      </c>
      <c r="S9623" t="s">
        <v>47633</v>
      </c>
      <c r="T9623" t="s">
        <v>49185</v>
      </c>
      <c r="U9623" t="s">
        <v>57640</v>
      </c>
      <c r="W9623" t="s">
        <v>46333</v>
      </c>
      <c r="X9623" t="s">
        <v>47434</v>
      </c>
    </row>
    <row r="9624" spans="1:24">
      <c r="A9624">
        <f>HYPERLINK("https://www.philgeps.gov.ph/GEPSNONPILOT/Tender/SplashBidNoticeAbstractUI.aspx?menuIndex=3&amp;refID=7150200&amp;Result=3","7150200")</f>
        <v>0</v>
      </c>
      <c r="B9624" t="s">
        <v>3047</v>
      </c>
      <c r="C9624" t="s">
        <v>12951</v>
      </c>
      <c r="D9624" t="s">
        <v>19044</v>
      </c>
      <c r="E9624" t="s">
        <v>20298</v>
      </c>
      <c r="F9624" t="s">
        <v>32831</v>
      </c>
      <c r="G9624" t="s">
        <v>32839</v>
      </c>
      <c r="H9624" t="s">
        <v>32848</v>
      </c>
      <c r="I9624" t="s">
        <v>7416</v>
      </c>
      <c r="J9624" t="s">
        <v>33044</v>
      </c>
      <c r="K9624" t="s">
        <v>42730</v>
      </c>
      <c r="M9624" t="s">
        <v>46320</v>
      </c>
      <c r="N9624" t="s">
        <v>47424</v>
      </c>
      <c r="O9624" t="s">
        <v>47425</v>
      </c>
      <c r="P9624">
        <v>0</v>
      </c>
      <c r="Q9624">
        <v>0</v>
      </c>
      <c r="R9624" t="s">
        <v>47433</v>
      </c>
      <c r="S9624" t="s">
        <v>47633</v>
      </c>
      <c r="T9624" t="s">
        <v>49065</v>
      </c>
      <c r="U9624" t="s">
        <v>50272</v>
      </c>
      <c r="W9624" t="s">
        <v>46320</v>
      </c>
      <c r="X9624" t="s">
        <v>47434</v>
      </c>
    </row>
    <row r="9625" spans="1:24">
      <c r="A9625">
        <f>HYPERLINK("https://www.philgeps.gov.ph/GEPSNONPILOT/Tender/SplashBidNoticeAbstractUI.aspx?menuIndex=3&amp;refID=7150185&amp;Result=3","7150185")</f>
        <v>0</v>
      </c>
      <c r="B9625" t="s">
        <v>3047</v>
      </c>
      <c r="C9625" t="s">
        <v>12952</v>
      </c>
      <c r="D9625" t="s">
        <v>19044</v>
      </c>
      <c r="E9625" t="s">
        <v>21664</v>
      </c>
      <c r="F9625" t="s">
        <v>32831</v>
      </c>
      <c r="G9625" t="s">
        <v>32839</v>
      </c>
      <c r="H9625" t="s">
        <v>32848</v>
      </c>
      <c r="I9625" t="s">
        <v>7416</v>
      </c>
      <c r="J9625" t="s">
        <v>32980</v>
      </c>
      <c r="K9625" t="s">
        <v>42730</v>
      </c>
      <c r="M9625" t="s">
        <v>46320</v>
      </c>
      <c r="N9625" t="s">
        <v>47424</v>
      </c>
      <c r="O9625" t="s">
        <v>47425</v>
      </c>
      <c r="P9625">
        <v>0</v>
      </c>
      <c r="Q9625">
        <v>0</v>
      </c>
      <c r="R9625" t="s">
        <v>47433</v>
      </c>
      <c r="S9625" t="s">
        <v>47633</v>
      </c>
      <c r="T9625" t="s">
        <v>49065</v>
      </c>
      <c r="U9625" t="s">
        <v>50272</v>
      </c>
      <c r="W9625" t="s">
        <v>46320</v>
      </c>
      <c r="X9625" t="s">
        <v>47434</v>
      </c>
    </row>
    <row r="9626" spans="1:24">
      <c r="A9626">
        <f>HYPERLINK("https://www.philgeps.gov.ph/GEPSNONPILOT/Tender/SplashBidNoticeAbstractUI.aspx?menuIndex=3&amp;refID=7150178&amp;Result=3","7150178")</f>
        <v>0</v>
      </c>
      <c r="B9626" t="s">
        <v>3037</v>
      </c>
      <c r="C9626" t="s">
        <v>12953</v>
      </c>
      <c r="D9626" t="s">
        <v>19060</v>
      </c>
      <c r="E9626" t="s">
        <v>27409</v>
      </c>
      <c r="F9626" t="s">
        <v>32831</v>
      </c>
      <c r="G9626" t="s">
        <v>32839</v>
      </c>
      <c r="H9626" t="s">
        <v>32849</v>
      </c>
      <c r="I9626" t="s">
        <v>4177</v>
      </c>
      <c r="J9626" t="s">
        <v>38930</v>
      </c>
      <c r="K9626" t="s">
        <v>42763</v>
      </c>
      <c r="M9626" t="s">
        <v>46310</v>
      </c>
      <c r="N9626" t="s">
        <v>47424</v>
      </c>
      <c r="O9626" t="s">
        <v>47425</v>
      </c>
      <c r="P9626">
        <v>0</v>
      </c>
      <c r="Q9626">
        <v>0</v>
      </c>
      <c r="R9626" t="s">
        <v>47433</v>
      </c>
      <c r="S9626" t="s">
        <v>47633</v>
      </c>
      <c r="T9626" t="s">
        <v>49231</v>
      </c>
      <c r="U9626" t="s">
        <v>57641</v>
      </c>
      <c r="W9626" t="s">
        <v>46310</v>
      </c>
      <c r="X9626" t="s">
        <v>47434</v>
      </c>
    </row>
    <row r="9627" spans="1:24">
      <c r="A9627">
        <f>HYPERLINK("https://www.philgeps.gov.ph/GEPSNONPILOT/Tender/SplashBidNoticeAbstractUI.aspx?menuIndex=3&amp;refID=7150193&amp;Result=3","7150193")</f>
        <v>0</v>
      </c>
      <c r="B9627" t="s">
        <v>2485</v>
      </c>
      <c r="C9627" t="s">
        <v>12954</v>
      </c>
      <c r="D9627" t="s">
        <v>19031</v>
      </c>
      <c r="E9627" t="s">
        <v>27410</v>
      </c>
      <c r="F9627" t="s">
        <v>32831</v>
      </c>
      <c r="G9627" t="s">
        <v>32839</v>
      </c>
      <c r="H9627" t="s">
        <v>32849</v>
      </c>
      <c r="I9627" t="s">
        <v>4177</v>
      </c>
      <c r="J9627" t="s">
        <v>33552</v>
      </c>
      <c r="K9627" t="s">
        <v>42747</v>
      </c>
      <c r="M9627" t="s">
        <v>45688</v>
      </c>
      <c r="N9627" t="s">
        <v>47424</v>
      </c>
      <c r="O9627" t="s">
        <v>47425</v>
      </c>
      <c r="P9627">
        <v>0</v>
      </c>
      <c r="Q9627">
        <v>0</v>
      </c>
      <c r="R9627" t="s">
        <v>47433</v>
      </c>
      <c r="S9627" t="s">
        <v>47633</v>
      </c>
      <c r="T9627" t="s">
        <v>49539</v>
      </c>
      <c r="U9627" t="s">
        <v>57642</v>
      </c>
      <c r="W9627" t="s">
        <v>64510</v>
      </c>
      <c r="X9627" t="s">
        <v>47434</v>
      </c>
    </row>
    <row r="9628" spans="1:24">
      <c r="A9628">
        <f>HYPERLINK("https://www.philgeps.gov.ph/GEPSNONPILOT/Tender/SplashBidNoticeAbstractUI.aspx?menuIndex=3&amp;refID=7150282&amp;Result=3","7150282")</f>
        <v>0</v>
      </c>
      <c r="B9628" t="s">
        <v>3037</v>
      </c>
      <c r="C9628" t="s">
        <v>12955</v>
      </c>
      <c r="D9628" t="s">
        <v>19060</v>
      </c>
      <c r="E9628" t="s">
        <v>27411</v>
      </c>
      <c r="F9628" t="s">
        <v>32831</v>
      </c>
      <c r="G9628" t="s">
        <v>32839</v>
      </c>
      <c r="H9628" t="s">
        <v>32848</v>
      </c>
      <c r="I9628" t="s">
        <v>32870</v>
      </c>
      <c r="J9628" t="s">
        <v>33118</v>
      </c>
      <c r="K9628" t="s">
        <v>42730</v>
      </c>
      <c r="M9628" t="s">
        <v>46310</v>
      </c>
      <c r="N9628" t="s">
        <v>47424</v>
      </c>
      <c r="O9628" t="s">
        <v>47425</v>
      </c>
      <c r="P9628">
        <v>0</v>
      </c>
      <c r="Q9628">
        <v>0</v>
      </c>
      <c r="R9628" t="s">
        <v>47433</v>
      </c>
      <c r="S9628" t="s">
        <v>47633</v>
      </c>
      <c r="T9628" t="s">
        <v>49231</v>
      </c>
      <c r="U9628" t="s">
        <v>57643</v>
      </c>
      <c r="W9628" t="s">
        <v>46310</v>
      </c>
      <c r="X9628" t="s">
        <v>47434</v>
      </c>
    </row>
    <row r="9629" spans="1:24">
      <c r="A9629">
        <f>HYPERLINK("https://www.philgeps.gov.ph/GEPSNONPILOT/Tender/SplashBidNoticeAbstractUI.aspx?menuIndex=3&amp;refID=7150273&amp;Result=3","7150273")</f>
        <v>0</v>
      </c>
      <c r="B9629" t="s">
        <v>2158</v>
      </c>
      <c r="C9629" t="s">
        <v>12956</v>
      </c>
      <c r="D9629" t="s">
        <v>19086</v>
      </c>
      <c r="E9629" t="s">
        <v>27412</v>
      </c>
      <c r="F9629" t="s">
        <v>32831</v>
      </c>
      <c r="G9629" t="s">
        <v>32838</v>
      </c>
      <c r="H9629" t="s">
        <v>32848</v>
      </c>
      <c r="I9629" t="s">
        <v>32902</v>
      </c>
      <c r="J9629" t="s">
        <v>36299</v>
      </c>
      <c r="K9629" t="s">
        <v>42726</v>
      </c>
      <c r="M9629" t="s">
        <v>45338</v>
      </c>
      <c r="N9629" t="s">
        <v>47424</v>
      </c>
      <c r="O9629" t="s">
        <v>47425</v>
      </c>
      <c r="P9629">
        <v>0</v>
      </c>
      <c r="Q9629">
        <v>5</v>
      </c>
      <c r="R9629" t="s">
        <v>47433</v>
      </c>
      <c r="S9629" t="s">
        <v>47633</v>
      </c>
      <c r="T9629" t="s">
        <v>49229</v>
      </c>
      <c r="U9629" t="s">
        <v>57644</v>
      </c>
      <c r="W9629" t="s">
        <v>45338</v>
      </c>
      <c r="X9629" t="s">
        <v>47434</v>
      </c>
    </row>
    <row r="9630" spans="1:24">
      <c r="A9630">
        <f>HYPERLINK("https://www.philgeps.gov.ph/GEPSNONPILOT/Tender/SplashBidNoticeAbstractUI.aspx?menuIndex=3&amp;refID=7150184&amp;Result=3","7150184")</f>
        <v>0</v>
      </c>
      <c r="B9630" t="s">
        <v>128</v>
      </c>
      <c r="C9630" t="s">
        <v>12957</v>
      </c>
      <c r="D9630" t="s">
        <v>19042</v>
      </c>
      <c r="E9630" t="s">
        <v>27413</v>
      </c>
      <c r="F9630" t="s">
        <v>32831</v>
      </c>
      <c r="G9630" t="s">
        <v>32838</v>
      </c>
      <c r="H9630" t="s">
        <v>32848</v>
      </c>
      <c r="I9630" t="s">
        <v>4776</v>
      </c>
      <c r="J9630" t="s">
        <v>33313</v>
      </c>
      <c r="K9630" t="s">
        <v>42745</v>
      </c>
      <c r="M9630" t="s">
        <v>43125</v>
      </c>
      <c r="N9630" t="s">
        <v>47424</v>
      </c>
      <c r="O9630" t="s">
        <v>47425</v>
      </c>
      <c r="P9630">
        <v>0</v>
      </c>
      <c r="Q9630">
        <v>0</v>
      </c>
      <c r="R9630" t="s">
        <v>47433</v>
      </c>
      <c r="S9630" t="s">
        <v>47633</v>
      </c>
      <c r="T9630" t="s">
        <v>49237</v>
      </c>
      <c r="U9630" t="s">
        <v>57645</v>
      </c>
      <c r="W9630" t="s">
        <v>43125</v>
      </c>
      <c r="X9630" t="s">
        <v>47434</v>
      </c>
    </row>
    <row r="9631" spans="1:24">
      <c r="A9631">
        <f>HYPERLINK("https://www.philgeps.gov.ph/GEPSNONPILOT/Tender/SplashBidNoticeAbstractUI.aspx?menuIndex=3&amp;refID=7150268&amp;Result=3","7150268")</f>
        <v>0</v>
      </c>
      <c r="B9631" t="s">
        <v>217</v>
      </c>
      <c r="C9631" t="s">
        <v>12958</v>
      </c>
      <c r="D9631" t="s">
        <v>19037</v>
      </c>
      <c r="E9631" t="s">
        <v>27414</v>
      </c>
      <c r="F9631" t="s">
        <v>32831</v>
      </c>
      <c r="G9631" t="s">
        <v>32839</v>
      </c>
      <c r="H9631" t="s">
        <v>32848</v>
      </c>
      <c r="I9631" t="s">
        <v>7416</v>
      </c>
      <c r="J9631" t="s">
        <v>38931</v>
      </c>
      <c r="K9631" t="s">
        <v>42730</v>
      </c>
      <c r="M9631" t="s">
        <v>46334</v>
      </c>
      <c r="N9631" t="s">
        <v>47424</v>
      </c>
      <c r="O9631" t="s">
        <v>47425</v>
      </c>
      <c r="P9631">
        <v>0</v>
      </c>
      <c r="Q9631">
        <v>1</v>
      </c>
      <c r="R9631" t="s">
        <v>47433</v>
      </c>
      <c r="S9631" t="s">
        <v>47633</v>
      </c>
      <c r="T9631" t="s">
        <v>49123</v>
      </c>
      <c r="U9631" t="s">
        <v>57646</v>
      </c>
      <c r="W9631" t="s">
        <v>43392</v>
      </c>
      <c r="X9631" t="s">
        <v>47434</v>
      </c>
    </row>
    <row r="9632" spans="1:24">
      <c r="A9632">
        <f>HYPERLINK("https://www.philgeps.gov.ph/GEPSNONPILOT/Tender/SplashBidNoticeAbstractUI.aspx?menuIndex=3&amp;refID=7150285&amp;Result=3","7150285")</f>
        <v>0</v>
      </c>
      <c r="B9632" t="s">
        <v>3060</v>
      </c>
      <c r="C9632" t="s">
        <v>12959</v>
      </c>
      <c r="D9632" t="s">
        <v>19034</v>
      </c>
      <c r="E9632" t="s">
        <v>27415</v>
      </c>
      <c r="F9632" t="s">
        <v>32831</v>
      </c>
      <c r="G9632" t="s">
        <v>32839</v>
      </c>
      <c r="H9632" t="s">
        <v>32848</v>
      </c>
      <c r="I9632" t="s">
        <v>32867</v>
      </c>
      <c r="J9632" t="s">
        <v>33380</v>
      </c>
      <c r="K9632" t="s">
        <v>42746</v>
      </c>
      <c r="M9632" t="s">
        <v>46335</v>
      </c>
      <c r="N9632" t="s">
        <v>47424</v>
      </c>
      <c r="O9632" t="s">
        <v>47425</v>
      </c>
      <c r="P9632">
        <v>0</v>
      </c>
      <c r="Q9632">
        <v>3</v>
      </c>
      <c r="R9632" t="s">
        <v>47433</v>
      </c>
      <c r="S9632" t="s">
        <v>47633</v>
      </c>
      <c r="T9632" t="s">
        <v>49338</v>
      </c>
      <c r="U9632" t="s">
        <v>57647</v>
      </c>
      <c r="V9632" t="s">
        <v>63692</v>
      </c>
      <c r="W9632" t="s">
        <v>46335</v>
      </c>
      <c r="X9632" t="s">
        <v>47434</v>
      </c>
    </row>
    <row r="9633" spans="1:24">
      <c r="A9633">
        <f>HYPERLINK("https://www.philgeps.gov.ph/GEPSNONPILOT/Tender/SplashBidNoticeAbstractUI.aspx?menuIndex=3&amp;refID=7150261&amp;Result=3","7150261")</f>
        <v>0</v>
      </c>
      <c r="B9633" t="s">
        <v>60</v>
      </c>
      <c r="C9633" t="s">
        <v>12960</v>
      </c>
      <c r="D9633" t="s">
        <v>19042</v>
      </c>
      <c r="E9633" t="s">
        <v>27416</v>
      </c>
      <c r="F9633" t="s">
        <v>32831</v>
      </c>
      <c r="G9633" t="s">
        <v>32839</v>
      </c>
      <c r="H9633" t="s">
        <v>32849</v>
      </c>
      <c r="I9633" t="s">
        <v>4177</v>
      </c>
      <c r="J9633" t="s">
        <v>38932</v>
      </c>
      <c r="K9633" t="s">
        <v>42876</v>
      </c>
      <c r="M9633" t="s">
        <v>43740</v>
      </c>
      <c r="N9633" t="s">
        <v>47424</v>
      </c>
      <c r="O9633" t="s">
        <v>47425</v>
      </c>
      <c r="P9633">
        <v>0</v>
      </c>
      <c r="Q9633">
        <v>0</v>
      </c>
      <c r="R9633" t="s">
        <v>47433</v>
      </c>
      <c r="S9633" t="s">
        <v>47633</v>
      </c>
      <c r="T9633" t="s">
        <v>49318</v>
      </c>
      <c r="U9633" t="s">
        <v>57648</v>
      </c>
      <c r="W9633" t="s">
        <v>43740</v>
      </c>
      <c r="X9633" t="s">
        <v>47434</v>
      </c>
    </row>
    <row r="9634" spans="1:24">
      <c r="A9634">
        <f>HYPERLINK("https://www.philgeps.gov.ph/GEPSNONPILOT/Tender/SplashBidNoticeAbstractUI.aspx?menuIndex=3&amp;refID=7150203&amp;Result=3","7150203")</f>
        <v>0</v>
      </c>
      <c r="B9634" t="s">
        <v>263</v>
      </c>
      <c r="C9634" t="s">
        <v>12961</v>
      </c>
      <c r="D9634" t="s">
        <v>19083</v>
      </c>
      <c r="E9634" t="s">
        <v>27417</v>
      </c>
      <c r="F9634" t="s">
        <v>32831</v>
      </c>
      <c r="G9634" t="s">
        <v>32838</v>
      </c>
      <c r="H9634" t="s">
        <v>32848</v>
      </c>
      <c r="I9634" t="s">
        <v>5379</v>
      </c>
      <c r="J9634" t="s">
        <v>38933</v>
      </c>
      <c r="K9634" t="s">
        <v>42727</v>
      </c>
      <c r="M9634" t="s">
        <v>43262</v>
      </c>
      <c r="N9634" t="s">
        <v>47424</v>
      </c>
      <c r="O9634" t="s">
        <v>47425</v>
      </c>
      <c r="P9634">
        <v>0</v>
      </c>
      <c r="Q9634">
        <v>0</v>
      </c>
      <c r="R9634" t="s">
        <v>47433</v>
      </c>
      <c r="S9634" t="s">
        <v>47633</v>
      </c>
      <c r="T9634" t="s">
        <v>49244</v>
      </c>
      <c r="U9634" t="s">
        <v>57649</v>
      </c>
      <c r="W9634" t="s">
        <v>43262</v>
      </c>
      <c r="X9634" t="s">
        <v>47434</v>
      </c>
    </row>
    <row r="9635" spans="1:24">
      <c r="A9635">
        <f>HYPERLINK("https://www.philgeps.gov.ph/GEPSNONPILOT/Tender/SplashBidNoticeAbstractUI.aspx?menuIndex=3&amp;refID=7150189&amp;Result=3","7150189")</f>
        <v>0</v>
      </c>
      <c r="B9635" t="s">
        <v>1240</v>
      </c>
      <c r="C9635" t="s">
        <v>12962</v>
      </c>
      <c r="D9635" t="s">
        <v>19017</v>
      </c>
      <c r="E9635" t="s">
        <v>27418</v>
      </c>
      <c r="F9635" t="s">
        <v>32831</v>
      </c>
      <c r="G9635" t="s">
        <v>32838</v>
      </c>
      <c r="H9635" t="s">
        <v>32848</v>
      </c>
      <c r="I9635" t="s">
        <v>32861</v>
      </c>
      <c r="J9635" t="s">
        <v>38934</v>
      </c>
      <c r="K9635" t="s">
        <v>42732</v>
      </c>
      <c r="M9635" t="s">
        <v>44310</v>
      </c>
      <c r="N9635" t="s">
        <v>47424</v>
      </c>
      <c r="O9635" t="s">
        <v>47425</v>
      </c>
      <c r="P9635">
        <v>0</v>
      </c>
      <c r="Q9635">
        <v>3</v>
      </c>
      <c r="R9635" t="s">
        <v>47433</v>
      </c>
      <c r="S9635" t="s">
        <v>47633</v>
      </c>
      <c r="T9635" t="s">
        <v>49163</v>
      </c>
      <c r="U9635" t="s">
        <v>57650</v>
      </c>
      <c r="W9635" t="s">
        <v>44310</v>
      </c>
      <c r="X9635" t="s">
        <v>47434</v>
      </c>
    </row>
    <row r="9636" spans="1:24">
      <c r="A9636">
        <f>HYPERLINK("https://www.philgeps.gov.ph/GEPSNONPILOT/Tender/SplashBidNoticeAbstractUI.aspx?menuIndex=3&amp;refID=7150279&amp;Result=3","7150279")</f>
        <v>0</v>
      </c>
      <c r="B9636" t="s">
        <v>1425</v>
      </c>
      <c r="C9636" t="s">
        <v>5171</v>
      </c>
      <c r="D9636" t="s">
        <v>19073</v>
      </c>
      <c r="E9636" t="s">
        <v>27419</v>
      </c>
      <c r="F9636" t="s">
        <v>32831</v>
      </c>
      <c r="G9636" t="s">
        <v>32839</v>
      </c>
      <c r="H9636" t="s">
        <v>32848</v>
      </c>
      <c r="I9636" t="s">
        <v>9577</v>
      </c>
      <c r="J9636" t="s">
        <v>38935</v>
      </c>
      <c r="K9636" t="s">
        <v>42730</v>
      </c>
      <c r="M9636" t="s">
        <v>44514</v>
      </c>
      <c r="N9636" t="s">
        <v>47424</v>
      </c>
      <c r="O9636" t="s">
        <v>47425</v>
      </c>
      <c r="P9636">
        <v>0</v>
      </c>
      <c r="Q9636">
        <v>0</v>
      </c>
      <c r="R9636" t="s">
        <v>47433</v>
      </c>
      <c r="S9636" t="s">
        <v>47633</v>
      </c>
      <c r="T9636" t="s">
        <v>49111</v>
      </c>
      <c r="U9636" t="s">
        <v>57651</v>
      </c>
      <c r="W9636" t="s">
        <v>44514</v>
      </c>
      <c r="X9636" t="s">
        <v>47434</v>
      </c>
    </row>
    <row r="9637" spans="1:24">
      <c r="A9637">
        <f>HYPERLINK("https://www.philgeps.gov.ph/GEPSNONPILOT/Tender/SplashBidNoticeAbstractUI.aspx?menuIndex=3&amp;refID=7150254&amp;Result=3","7150254")</f>
        <v>0</v>
      </c>
      <c r="B9637" t="s">
        <v>1710</v>
      </c>
      <c r="C9637" t="s">
        <v>12963</v>
      </c>
      <c r="D9637" t="s">
        <v>19044</v>
      </c>
      <c r="E9637" t="s">
        <v>27420</v>
      </c>
      <c r="F9637" t="s">
        <v>32831</v>
      </c>
      <c r="G9637" t="s">
        <v>32839</v>
      </c>
      <c r="H9637" t="s">
        <v>32848</v>
      </c>
      <c r="I9637" t="s">
        <v>32883</v>
      </c>
      <c r="J9637" t="s">
        <v>38936</v>
      </c>
      <c r="K9637" t="s">
        <v>42732</v>
      </c>
      <c r="M9637" t="s">
        <v>44832</v>
      </c>
      <c r="N9637" t="s">
        <v>47424</v>
      </c>
      <c r="O9637" t="s">
        <v>47425</v>
      </c>
      <c r="P9637">
        <v>0</v>
      </c>
      <c r="Q9637">
        <v>5</v>
      </c>
      <c r="R9637" t="s">
        <v>47433</v>
      </c>
      <c r="S9637" t="s">
        <v>47633</v>
      </c>
      <c r="T9637" t="s">
        <v>49221</v>
      </c>
      <c r="U9637" t="s">
        <v>57652</v>
      </c>
      <c r="W9637" t="s">
        <v>44832</v>
      </c>
      <c r="X9637" t="s">
        <v>47434</v>
      </c>
    </row>
    <row r="9638" spans="1:24">
      <c r="A9638">
        <f>HYPERLINK("https://www.philgeps.gov.ph/GEPSNONPILOT/Tender/SplashBidNoticeAbstractUI.aspx?menuIndex=3&amp;refID=7150252&amp;Result=3","7150252")</f>
        <v>0</v>
      </c>
      <c r="B9638" t="s">
        <v>3061</v>
      </c>
      <c r="C9638" t="s">
        <v>12964</v>
      </c>
      <c r="D9638" t="s">
        <v>19057</v>
      </c>
      <c r="E9638" t="s">
        <v>27421</v>
      </c>
      <c r="F9638" t="s">
        <v>32831</v>
      </c>
      <c r="G9638" t="s">
        <v>32839</v>
      </c>
      <c r="H9638" t="s">
        <v>32849</v>
      </c>
      <c r="I9638" t="s">
        <v>4177</v>
      </c>
      <c r="J9638" t="s">
        <v>38937</v>
      </c>
      <c r="K9638" t="s">
        <v>42793</v>
      </c>
      <c r="L9638" t="s">
        <v>3061</v>
      </c>
      <c r="M9638" t="s">
        <v>46336</v>
      </c>
      <c r="N9638" t="s">
        <v>47424</v>
      </c>
      <c r="O9638" t="s">
        <v>47425</v>
      </c>
      <c r="P9638">
        <v>0</v>
      </c>
      <c r="Q9638">
        <v>9</v>
      </c>
      <c r="R9638" t="s">
        <v>47433</v>
      </c>
      <c r="S9638" t="s">
        <v>47633</v>
      </c>
      <c r="T9638" t="s">
        <v>49461</v>
      </c>
      <c r="U9638" t="s">
        <v>57653</v>
      </c>
      <c r="W9638" t="s">
        <v>46336</v>
      </c>
      <c r="X9638" t="s">
        <v>47434</v>
      </c>
    </row>
    <row r="9639" spans="1:24">
      <c r="A9639">
        <f>HYPERLINK("https://www.philgeps.gov.ph/GEPSNONPILOT/Tender/SplashBidNoticeAbstractUI.aspx?menuIndex=3&amp;refID=7150329&amp;Result=3","7150329")</f>
        <v>0</v>
      </c>
      <c r="B9639" t="s">
        <v>2418</v>
      </c>
      <c r="C9639" t="s">
        <v>12965</v>
      </c>
      <c r="D9639" t="s">
        <v>19027</v>
      </c>
      <c r="E9639" t="s">
        <v>27422</v>
      </c>
      <c r="F9639" t="s">
        <v>32831</v>
      </c>
      <c r="G9639" t="s">
        <v>32839</v>
      </c>
      <c r="H9639" t="s">
        <v>32848</v>
      </c>
      <c r="I9639" t="s">
        <v>7416</v>
      </c>
      <c r="J9639" t="s">
        <v>38938</v>
      </c>
      <c r="K9639" t="s">
        <v>42732</v>
      </c>
      <c r="M9639" t="s">
        <v>45613</v>
      </c>
      <c r="N9639" t="s">
        <v>47424</v>
      </c>
      <c r="O9639" t="s">
        <v>47425</v>
      </c>
      <c r="P9639">
        <v>0</v>
      </c>
      <c r="Q9639">
        <v>0</v>
      </c>
      <c r="R9639" t="s">
        <v>47433</v>
      </c>
      <c r="S9639" t="s">
        <v>47633</v>
      </c>
      <c r="T9639" t="s">
        <v>49243</v>
      </c>
      <c r="U9639" t="s">
        <v>57654</v>
      </c>
      <c r="V9639" t="s">
        <v>63379</v>
      </c>
      <c r="W9639" t="s">
        <v>45613</v>
      </c>
      <c r="X9639" t="s">
        <v>47434</v>
      </c>
    </row>
    <row r="9640" spans="1:24">
      <c r="A9640">
        <f>HYPERLINK("https://www.philgeps.gov.ph/GEPSNONPILOT/Tender/SplashBidNoticeAbstractUI.aspx?menuIndex=3&amp;refID=7150264&amp;Result=3","7150264")</f>
        <v>0</v>
      </c>
      <c r="B9640" t="s">
        <v>295</v>
      </c>
      <c r="C9640" t="s">
        <v>12966</v>
      </c>
      <c r="D9640" t="s">
        <v>19074</v>
      </c>
      <c r="E9640" t="s">
        <v>27423</v>
      </c>
      <c r="F9640" t="s">
        <v>32831</v>
      </c>
      <c r="G9640" t="s">
        <v>32838</v>
      </c>
      <c r="H9640" t="s">
        <v>32848</v>
      </c>
      <c r="I9640" t="s">
        <v>32883</v>
      </c>
      <c r="J9640" t="s">
        <v>33424</v>
      </c>
      <c r="K9640" t="s">
        <v>42727</v>
      </c>
      <c r="M9640" t="s">
        <v>43296</v>
      </c>
      <c r="N9640" t="s">
        <v>47424</v>
      </c>
      <c r="O9640" t="s">
        <v>47425</v>
      </c>
      <c r="P9640">
        <v>0</v>
      </c>
      <c r="Q9640">
        <v>2</v>
      </c>
      <c r="R9640" t="s">
        <v>47433</v>
      </c>
      <c r="S9640" t="s">
        <v>47633</v>
      </c>
      <c r="T9640" t="s">
        <v>49212</v>
      </c>
      <c r="U9640" t="s">
        <v>57655</v>
      </c>
      <c r="W9640" t="s">
        <v>43296</v>
      </c>
      <c r="X9640" t="s">
        <v>47434</v>
      </c>
    </row>
    <row r="9641" spans="1:24">
      <c r="A9641">
        <f>HYPERLINK("https://www.philgeps.gov.ph/GEPSNONPILOT/Tender/SplashBidNoticeAbstractUI.aspx?menuIndex=3&amp;refID=7150327&amp;Result=3","7150327")</f>
        <v>0</v>
      </c>
      <c r="B9641" t="s">
        <v>2029</v>
      </c>
      <c r="C9641" t="s">
        <v>8514</v>
      </c>
      <c r="D9641" t="s">
        <v>19067</v>
      </c>
      <c r="E9641" t="s">
        <v>27424</v>
      </c>
      <c r="F9641" t="s">
        <v>32831</v>
      </c>
      <c r="G9641" t="s">
        <v>32839</v>
      </c>
      <c r="H9641" t="s">
        <v>32848</v>
      </c>
      <c r="I9641" t="s">
        <v>7416</v>
      </c>
      <c r="J9641" t="s">
        <v>38939</v>
      </c>
      <c r="K9641" t="s">
        <v>42732</v>
      </c>
      <c r="M9641" t="s">
        <v>46333</v>
      </c>
      <c r="N9641" t="s">
        <v>47424</v>
      </c>
      <c r="O9641" t="s">
        <v>47425</v>
      </c>
      <c r="P9641">
        <v>0</v>
      </c>
      <c r="Q9641">
        <v>0</v>
      </c>
      <c r="R9641" t="s">
        <v>47433</v>
      </c>
      <c r="S9641" t="s">
        <v>47633</v>
      </c>
      <c r="T9641" t="s">
        <v>49185</v>
      </c>
      <c r="U9641" t="s">
        <v>57656</v>
      </c>
      <c r="W9641" t="s">
        <v>46333</v>
      </c>
      <c r="X9641" t="s">
        <v>47434</v>
      </c>
    </row>
    <row r="9642" spans="1:24">
      <c r="A9642">
        <f>HYPERLINK("https://www.philgeps.gov.ph/GEPSNONPILOT/Tender/SplashBidNoticeAbstractUI.aspx?menuIndex=3&amp;refID=7150322&amp;Result=3","7150322")</f>
        <v>0</v>
      </c>
      <c r="B9642" t="s">
        <v>263</v>
      </c>
      <c r="C9642" t="s">
        <v>12967</v>
      </c>
      <c r="D9642" t="s">
        <v>19083</v>
      </c>
      <c r="E9642" t="s">
        <v>27425</v>
      </c>
      <c r="F9642" t="s">
        <v>32831</v>
      </c>
      <c r="G9642" t="s">
        <v>32838</v>
      </c>
      <c r="H9642" t="s">
        <v>32848</v>
      </c>
      <c r="I9642" t="s">
        <v>7416</v>
      </c>
      <c r="J9642" t="s">
        <v>38940</v>
      </c>
      <c r="K9642" t="s">
        <v>42727</v>
      </c>
      <c r="M9642" t="s">
        <v>43262</v>
      </c>
      <c r="N9642" t="s">
        <v>47424</v>
      </c>
      <c r="O9642" t="s">
        <v>47425</v>
      </c>
      <c r="P9642">
        <v>0</v>
      </c>
      <c r="Q9642">
        <v>1</v>
      </c>
      <c r="R9642" t="s">
        <v>47433</v>
      </c>
      <c r="S9642" t="s">
        <v>47633</v>
      </c>
      <c r="T9642" t="s">
        <v>49244</v>
      </c>
      <c r="U9642" t="s">
        <v>57657</v>
      </c>
      <c r="W9642" t="s">
        <v>43262</v>
      </c>
      <c r="X9642" t="s">
        <v>47434</v>
      </c>
    </row>
    <row r="9643" spans="1:24">
      <c r="A9643">
        <f>HYPERLINK("https://www.philgeps.gov.ph/GEPSNONPILOT/Tender/SplashBidNoticeAbstractUI.aspx?menuIndex=3&amp;refID=7150256&amp;Result=3","7150256")</f>
        <v>0</v>
      </c>
      <c r="B9643" t="s">
        <v>3062</v>
      </c>
      <c r="C9643" t="s">
        <v>12968</v>
      </c>
      <c r="D9643" t="s">
        <v>19019</v>
      </c>
      <c r="E9643" t="s">
        <v>27426</v>
      </c>
      <c r="F9643" t="s">
        <v>32831</v>
      </c>
      <c r="G9643" t="s">
        <v>32839</v>
      </c>
      <c r="H9643" t="s">
        <v>32849</v>
      </c>
      <c r="I9643" t="s">
        <v>4177</v>
      </c>
      <c r="J9643" t="s">
        <v>32980</v>
      </c>
      <c r="K9643" t="s">
        <v>42731</v>
      </c>
      <c r="M9643" t="s">
        <v>46337</v>
      </c>
      <c r="N9643" t="s">
        <v>47424</v>
      </c>
      <c r="O9643" t="s">
        <v>47425</v>
      </c>
      <c r="P9643">
        <v>0</v>
      </c>
      <c r="Q9643">
        <v>1</v>
      </c>
      <c r="R9643" t="s">
        <v>47433</v>
      </c>
      <c r="S9643" t="s">
        <v>47633</v>
      </c>
      <c r="T9643" t="s">
        <v>49307</v>
      </c>
      <c r="U9643" t="s">
        <v>57658</v>
      </c>
      <c r="W9643" t="s">
        <v>46337</v>
      </c>
      <c r="X9643" t="s">
        <v>47434</v>
      </c>
    </row>
    <row r="9644" spans="1:24">
      <c r="A9644">
        <f>HYPERLINK("https://www.philgeps.gov.ph/GEPSNONPILOT/Tender/SplashBidNoticeAbstractUI.aspx?menuIndex=3&amp;refID=7150270&amp;Result=3","7150270")</f>
        <v>0</v>
      </c>
      <c r="B9644" t="s">
        <v>2029</v>
      </c>
      <c r="C9644" t="s">
        <v>8763</v>
      </c>
      <c r="D9644" t="s">
        <v>19067</v>
      </c>
      <c r="E9644" t="s">
        <v>27427</v>
      </c>
      <c r="F9644" t="s">
        <v>32831</v>
      </c>
      <c r="G9644" t="s">
        <v>32839</v>
      </c>
      <c r="H9644" t="s">
        <v>32848</v>
      </c>
      <c r="I9644" t="s">
        <v>4558</v>
      </c>
      <c r="J9644" t="s">
        <v>32980</v>
      </c>
      <c r="K9644" t="s">
        <v>42732</v>
      </c>
      <c r="M9644" t="s">
        <v>46333</v>
      </c>
      <c r="N9644" t="s">
        <v>47424</v>
      </c>
      <c r="O9644" t="s">
        <v>47425</v>
      </c>
      <c r="P9644">
        <v>0</v>
      </c>
      <c r="Q9644">
        <v>1</v>
      </c>
      <c r="R9644" t="s">
        <v>47433</v>
      </c>
      <c r="S9644" t="s">
        <v>47633</v>
      </c>
      <c r="T9644" t="s">
        <v>49185</v>
      </c>
      <c r="U9644" t="s">
        <v>57659</v>
      </c>
      <c r="W9644" t="s">
        <v>46333</v>
      </c>
      <c r="X9644" t="s">
        <v>47434</v>
      </c>
    </row>
    <row r="9645" spans="1:24">
      <c r="A9645">
        <f>HYPERLINK("https://www.philgeps.gov.ph/GEPSNONPILOT/Tender/SplashBidNoticeAbstractUI.aspx?menuIndex=3&amp;refID=7150320&amp;Result=3","7150320")</f>
        <v>0</v>
      </c>
      <c r="B9645" t="s">
        <v>2269</v>
      </c>
      <c r="C9645" t="s">
        <v>12969</v>
      </c>
      <c r="D9645" t="s">
        <v>19018</v>
      </c>
      <c r="E9645" t="s">
        <v>27428</v>
      </c>
      <c r="F9645" t="s">
        <v>32831</v>
      </c>
      <c r="G9645" t="s">
        <v>32838</v>
      </c>
      <c r="H9645" t="s">
        <v>32848</v>
      </c>
      <c r="I9645" t="s">
        <v>7416</v>
      </c>
      <c r="J9645" t="s">
        <v>38941</v>
      </c>
      <c r="K9645" t="s">
        <v>42727</v>
      </c>
      <c r="M9645" t="s">
        <v>45453</v>
      </c>
      <c r="N9645" t="s">
        <v>47424</v>
      </c>
      <c r="O9645" t="s">
        <v>47425</v>
      </c>
      <c r="P9645">
        <v>0</v>
      </c>
      <c r="Q9645">
        <v>0</v>
      </c>
      <c r="R9645" t="s">
        <v>47433</v>
      </c>
      <c r="S9645" t="s">
        <v>47633</v>
      </c>
      <c r="T9645" t="s">
        <v>49328</v>
      </c>
      <c r="U9645" t="s">
        <v>55595</v>
      </c>
      <c r="W9645" t="s">
        <v>45453</v>
      </c>
      <c r="X9645" t="s">
        <v>47434</v>
      </c>
    </row>
    <row r="9646" spans="1:24">
      <c r="A9646">
        <f>HYPERLINK("https://www.philgeps.gov.ph/GEPSNONPILOT/Tender/SplashBidNoticeAbstractUI.aspx?menuIndex=3&amp;refID=7150325&amp;Result=3","7150325")</f>
        <v>0</v>
      </c>
      <c r="B9646" t="s">
        <v>3063</v>
      </c>
      <c r="C9646" t="s">
        <v>12970</v>
      </c>
      <c r="D9646" t="s">
        <v>19062</v>
      </c>
      <c r="E9646" t="s">
        <v>20013</v>
      </c>
      <c r="F9646" t="s">
        <v>32833</v>
      </c>
      <c r="G9646" t="s">
        <v>32839</v>
      </c>
      <c r="H9646" t="s">
        <v>32848</v>
      </c>
      <c r="I9646" t="s">
        <v>7416</v>
      </c>
      <c r="J9646" t="s">
        <v>33874</v>
      </c>
      <c r="K9646" t="s">
        <v>42731</v>
      </c>
      <c r="M9646" t="s">
        <v>46338</v>
      </c>
      <c r="N9646" t="s">
        <v>47424</v>
      </c>
      <c r="O9646" t="s">
        <v>47425</v>
      </c>
      <c r="P9646">
        <v>0</v>
      </c>
      <c r="Q9646">
        <v>0</v>
      </c>
      <c r="R9646" t="s">
        <v>47433</v>
      </c>
      <c r="S9646" t="s">
        <v>47633</v>
      </c>
      <c r="T9646" t="s">
        <v>49112</v>
      </c>
      <c r="U9646" t="s">
        <v>57660</v>
      </c>
      <c r="W9646" t="s">
        <v>46338</v>
      </c>
      <c r="X9646" t="s">
        <v>47434</v>
      </c>
    </row>
    <row r="9647" spans="1:24">
      <c r="A9647">
        <f>HYPERLINK("https://www.philgeps.gov.ph/GEPSNONPILOT/Tender/SplashBidNoticeAbstractUI.aspx?menuIndex=3&amp;refID=7150318&amp;Result=3","7150318")</f>
        <v>0</v>
      </c>
      <c r="B9647" t="s">
        <v>3064</v>
      </c>
      <c r="C9647" t="s">
        <v>4850</v>
      </c>
      <c r="D9647" t="s">
        <v>19017</v>
      </c>
      <c r="E9647" t="s">
        <v>27429</v>
      </c>
      <c r="F9647" t="s">
        <v>32831</v>
      </c>
      <c r="G9647" t="s">
        <v>32838</v>
      </c>
      <c r="H9647" t="s">
        <v>32850</v>
      </c>
      <c r="I9647" t="s">
        <v>32864</v>
      </c>
      <c r="J9647" t="s">
        <v>38942</v>
      </c>
      <c r="K9647" t="s">
        <v>42727</v>
      </c>
      <c r="M9647" t="s">
        <v>46183</v>
      </c>
      <c r="N9647" t="s">
        <v>47424</v>
      </c>
      <c r="O9647" t="s">
        <v>47425</v>
      </c>
      <c r="P9647">
        <v>0</v>
      </c>
      <c r="Q9647">
        <v>7</v>
      </c>
      <c r="R9647" t="s">
        <v>47433</v>
      </c>
      <c r="S9647" t="s">
        <v>47633</v>
      </c>
      <c r="T9647" t="s">
        <v>49540</v>
      </c>
      <c r="U9647" t="s">
        <v>57661</v>
      </c>
      <c r="W9647" t="s">
        <v>46183</v>
      </c>
      <c r="X9647" t="s">
        <v>47434</v>
      </c>
    </row>
    <row r="9648" spans="1:24">
      <c r="A9648">
        <f>HYPERLINK("https://www.philgeps.gov.ph/GEPSNONPILOT/Tender/SplashBidNoticeAbstractUI.aspx?menuIndex=3&amp;refID=7150316&amp;Result=3","7150316")</f>
        <v>0</v>
      </c>
      <c r="B9648" t="s">
        <v>3065</v>
      </c>
      <c r="C9648" t="s">
        <v>12971</v>
      </c>
      <c r="D9648" t="s">
        <v>19017</v>
      </c>
      <c r="E9648" t="s">
        <v>25618</v>
      </c>
      <c r="F9648" t="s">
        <v>32831</v>
      </c>
      <c r="G9648" t="s">
        <v>32839</v>
      </c>
      <c r="H9648" t="s">
        <v>32848</v>
      </c>
      <c r="I9648" t="s">
        <v>4438</v>
      </c>
      <c r="J9648" t="s">
        <v>33845</v>
      </c>
      <c r="K9648" t="s">
        <v>42726</v>
      </c>
      <c r="M9648" t="s">
        <v>46339</v>
      </c>
      <c r="N9648" t="s">
        <v>47424</v>
      </c>
      <c r="O9648" t="s">
        <v>47425</v>
      </c>
      <c r="P9648">
        <v>0</v>
      </c>
      <c r="Q9648">
        <v>3</v>
      </c>
      <c r="R9648" t="s">
        <v>47433</v>
      </c>
      <c r="S9648" t="s">
        <v>47633</v>
      </c>
      <c r="T9648" t="s">
        <v>49196</v>
      </c>
      <c r="U9648" t="s">
        <v>57662</v>
      </c>
      <c r="W9648" t="s">
        <v>46339</v>
      </c>
      <c r="X9648" t="s">
        <v>47434</v>
      </c>
    </row>
    <row r="9649" spans="1:24">
      <c r="A9649">
        <f>HYPERLINK("https://www.philgeps.gov.ph/GEPSNONPILOT/Tender/SplashBidNoticeAbstractUI.aspx?menuIndex=3&amp;refID=7150313&amp;Result=3","7150313")</f>
        <v>0</v>
      </c>
      <c r="B9649" t="s">
        <v>295</v>
      </c>
      <c r="C9649" t="s">
        <v>12972</v>
      </c>
      <c r="D9649" t="s">
        <v>19074</v>
      </c>
      <c r="E9649" t="s">
        <v>27430</v>
      </c>
      <c r="F9649" t="s">
        <v>32831</v>
      </c>
      <c r="G9649" t="s">
        <v>32838</v>
      </c>
      <c r="H9649" t="s">
        <v>32848</v>
      </c>
      <c r="I9649" t="s">
        <v>9281</v>
      </c>
      <c r="J9649" t="s">
        <v>38943</v>
      </c>
      <c r="K9649" t="s">
        <v>42727</v>
      </c>
      <c r="M9649" t="s">
        <v>43296</v>
      </c>
      <c r="N9649" t="s">
        <v>47424</v>
      </c>
      <c r="O9649" t="s">
        <v>47425</v>
      </c>
      <c r="P9649">
        <v>0</v>
      </c>
      <c r="Q9649">
        <v>12</v>
      </c>
      <c r="R9649" t="s">
        <v>47433</v>
      </c>
      <c r="S9649" t="s">
        <v>47633</v>
      </c>
      <c r="T9649" t="s">
        <v>49212</v>
      </c>
      <c r="U9649" t="s">
        <v>57663</v>
      </c>
      <c r="W9649" t="s">
        <v>43296</v>
      </c>
      <c r="X9649" t="s">
        <v>47434</v>
      </c>
    </row>
    <row r="9650" spans="1:24">
      <c r="A9650">
        <f>HYPERLINK("https://www.philgeps.gov.ph/GEPSNONPILOT/Tender/SplashBidNoticeAbstractUI.aspx?menuIndex=3&amp;refID=7150312&amp;Result=3","7150312")</f>
        <v>0</v>
      </c>
      <c r="B9650" t="s">
        <v>3060</v>
      </c>
      <c r="C9650" t="s">
        <v>12973</v>
      </c>
      <c r="D9650" t="s">
        <v>19034</v>
      </c>
      <c r="E9650" t="s">
        <v>27431</v>
      </c>
      <c r="F9650" t="s">
        <v>32831</v>
      </c>
      <c r="G9650" t="s">
        <v>32839</v>
      </c>
      <c r="H9650" t="s">
        <v>32848</v>
      </c>
      <c r="I9650" t="s">
        <v>32912</v>
      </c>
      <c r="J9650" t="s">
        <v>32980</v>
      </c>
      <c r="K9650" t="s">
        <v>42746</v>
      </c>
      <c r="M9650" t="s">
        <v>46335</v>
      </c>
      <c r="N9650" t="s">
        <v>47424</v>
      </c>
      <c r="O9650" t="s">
        <v>47425</v>
      </c>
      <c r="P9650">
        <v>0</v>
      </c>
      <c r="Q9650">
        <v>0</v>
      </c>
      <c r="R9650" t="s">
        <v>47433</v>
      </c>
      <c r="S9650" t="s">
        <v>47633</v>
      </c>
      <c r="T9650" t="s">
        <v>49338</v>
      </c>
      <c r="U9650" t="s">
        <v>57664</v>
      </c>
      <c r="V9650" t="s">
        <v>63693</v>
      </c>
      <c r="W9650" t="s">
        <v>46335</v>
      </c>
      <c r="X9650" t="s">
        <v>47434</v>
      </c>
    </row>
    <row r="9651" spans="1:24">
      <c r="A9651">
        <f>HYPERLINK("https://www.philgeps.gov.ph/GEPSNONPILOT/Tender/SplashBidNoticeAbstractUI.aspx?menuIndex=3&amp;refID=7150311&amp;Result=3","7150311")</f>
        <v>0</v>
      </c>
      <c r="B9651" t="s">
        <v>3066</v>
      </c>
      <c r="C9651" t="s">
        <v>6918</v>
      </c>
      <c r="E9651" t="s">
        <v>21910</v>
      </c>
      <c r="F9651" t="s">
        <v>32831</v>
      </c>
      <c r="G9651" t="s">
        <v>32839</v>
      </c>
      <c r="H9651" t="s">
        <v>32848</v>
      </c>
      <c r="I9651" t="s">
        <v>7416</v>
      </c>
      <c r="J9651" t="s">
        <v>38944</v>
      </c>
      <c r="K9651" t="s">
        <v>42732</v>
      </c>
      <c r="M9651" t="s">
        <v>46340</v>
      </c>
      <c r="N9651" t="s">
        <v>47424</v>
      </c>
      <c r="O9651" t="s">
        <v>47425</v>
      </c>
      <c r="P9651">
        <v>0</v>
      </c>
      <c r="Q9651">
        <v>0</v>
      </c>
      <c r="R9651" t="s">
        <v>47433</v>
      </c>
      <c r="S9651" t="s">
        <v>47633</v>
      </c>
      <c r="T9651" t="s">
        <v>49255</v>
      </c>
      <c r="U9651" t="s">
        <v>57665</v>
      </c>
      <c r="W9651" t="s">
        <v>46340</v>
      </c>
      <c r="X9651" t="s">
        <v>47434</v>
      </c>
    </row>
    <row r="9652" spans="1:24">
      <c r="A9652">
        <f>HYPERLINK("https://www.philgeps.gov.ph/GEPSNONPILOT/Tender/SplashBidNoticeAbstractUI.aspx?menuIndex=3&amp;refID=7150310&amp;Result=3","7150310")</f>
        <v>0</v>
      </c>
      <c r="B9652" t="s">
        <v>616</v>
      </c>
      <c r="C9652" t="s">
        <v>12974</v>
      </c>
      <c r="D9652" t="s">
        <v>19059</v>
      </c>
      <c r="E9652" t="s">
        <v>27432</v>
      </c>
      <c r="F9652" t="s">
        <v>32831</v>
      </c>
      <c r="G9652" t="s">
        <v>32839</v>
      </c>
      <c r="H9652" t="s">
        <v>32848</v>
      </c>
      <c r="I9652" t="s">
        <v>32862</v>
      </c>
      <c r="J9652" t="s">
        <v>38945</v>
      </c>
      <c r="K9652" t="s">
        <v>42730</v>
      </c>
      <c r="L9652" t="s">
        <v>616</v>
      </c>
      <c r="M9652" t="s">
        <v>43630</v>
      </c>
      <c r="N9652" t="s">
        <v>47424</v>
      </c>
      <c r="O9652" t="s">
        <v>47425</v>
      </c>
      <c r="P9652">
        <v>0</v>
      </c>
      <c r="Q9652">
        <v>3</v>
      </c>
      <c r="R9652" t="s">
        <v>47433</v>
      </c>
      <c r="S9652" t="s">
        <v>47633</v>
      </c>
      <c r="T9652" t="s">
        <v>49077</v>
      </c>
      <c r="U9652" t="s">
        <v>57666</v>
      </c>
      <c r="W9652" t="s">
        <v>43630</v>
      </c>
      <c r="X9652" t="s">
        <v>47434</v>
      </c>
    </row>
    <row r="9653" spans="1:24">
      <c r="A9653">
        <f>HYPERLINK("https://www.philgeps.gov.ph/GEPSNONPILOT/Tender/SplashBidNoticeAbstractUI.aspx?menuIndex=3&amp;refID=7150307&amp;Result=3","7150307")</f>
        <v>0</v>
      </c>
      <c r="B9653" t="s">
        <v>661</v>
      </c>
      <c r="C9653" t="s">
        <v>12975</v>
      </c>
      <c r="D9653" t="s">
        <v>19058</v>
      </c>
      <c r="E9653" t="s">
        <v>27433</v>
      </c>
      <c r="F9653" t="s">
        <v>32831</v>
      </c>
      <c r="G9653" t="s">
        <v>32839</v>
      </c>
      <c r="H9653" t="s">
        <v>32848</v>
      </c>
      <c r="I9653" t="s">
        <v>7416</v>
      </c>
      <c r="J9653" t="s">
        <v>38946</v>
      </c>
      <c r="K9653" t="s">
        <v>42731</v>
      </c>
      <c r="M9653" t="s">
        <v>43679</v>
      </c>
      <c r="N9653" t="s">
        <v>47424</v>
      </c>
      <c r="O9653" t="s">
        <v>47425</v>
      </c>
      <c r="P9653">
        <v>0</v>
      </c>
      <c r="Q9653">
        <v>0</v>
      </c>
      <c r="R9653" t="s">
        <v>47433</v>
      </c>
      <c r="S9653" t="s">
        <v>47633</v>
      </c>
      <c r="T9653" t="s">
        <v>49237</v>
      </c>
      <c r="U9653" t="s">
        <v>57667</v>
      </c>
      <c r="W9653" t="s">
        <v>43679</v>
      </c>
      <c r="X9653" t="s">
        <v>47434</v>
      </c>
    </row>
    <row r="9654" spans="1:24">
      <c r="A9654">
        <f>HYPERLINK("https://www.philgeps.gov.ph/GEPSNONPILOT/Tender/SplashBidNoticeAbstractUI.aspx?menuIndex=3&amp;refID=7150301&amp;Result=3","7150301")</f>
        <v>0</v>
      </c>
      <c r="B9654" t="s">
        <v>3061</v>
      </c>
      <c r="C9654" t="s">
        <v>12976</v>
      </c>
      <c r="D9654" t="s">
        <v>19057</v>
      </c>
      <c r="E9654" t="s">
        <v>27434</v>
      </c>
      <c r="F9654" t="s">
        <v>32831</v>
      </c>
      <c r="G9654" t="s">
        <v>32839</v>
      </c>
      <c r="H9654" t="s">
        <v>32849</v>
      </c>
      <c r="I9654" t="s">
        <v>4177</v>
      </c>
      <c r="J9654" t="s">
        <v>38947</v>
      </c>
      <c r="K9654" t="s">
        <v>42891</v>
      </c>
      <c r="L9654" t="s">
        <v>3061</v>
      </c>
      <c r="M9654" t="s">
        <v>46336</v>
      </c>
      <c r="N9654" t="s">
        <v>47424</v>
      </c>
      <c r="O9654" t="s">
        <v>47425</v>
      </c>
      <c r="P9654">
        <v>0</v>
      </c>
      <c r="Q9654">
        <v>8</v>
      </c>
      <c r="R9654" t="s">
        <v>47433</v>
      </c>
      <c r="S9654" t="s">
        <v>47633</v>
      </c>
      <c r="T9654" t="s">
        <v>49461</v>
      </c>
      <c r="U9654" t="s">
        <v>57653</v>
      </c>
      <c r="W9654" t="s">
        <v>46336</v>
      </c>
      <c r="X9654" t="s">
        <v>47434</v>
      </c>
    </row>
    <row r="9655" spans="1:24">
      <c r="A9655">
        <f>HYPERLINK("https://www.philgeps.gov.ph/GEPSNONPILOT/Tender/SplashBidNoticeAbstractUI.aspx?menuIndex=3&amp;refID=7150314&amp;Result=3","7150314")</f>
        <v>0</v>
      </c>
      <c r="B9655" t="s">
        <v>721</v>
      </c>
      <c r="C9655" t="s">
        <v>12977</v>
      </c>
      <c r="D9655" t="s">
        <v>19018</v>
      </c>
      <c r="E9655" t="s">
        <v>27435</v>
      </c>
      <c r="F9655" t="s">
        <v>32831</v>
      </c>
      <c r="G9655" t="s">
        <v>32838</v>
      </c>
      <c r="H9655" t="s">
        <v>32848</v>
      </c>
      <c r="I9655" t="s">
        <v>7878</v>
      </c>
      <c r="J9655" t="s">
        <v>35469</v>
      </c>
      <c r="K9655" t="s">
        <v>42732</v>
      </c>
      <c r="M9655" t="s">
        <v>43742</v>
      </c>
      <c r="N9655" t="s">
        <v>47424</v>
      </c>
      <c r="O9655" t="s">
        <v>47425</v>
      </c>
      <c r="P9655">
        <v>0</v>
      </c>
      <c r="Q9655">
        <v>1</v>
      </c>
      <c r="R9655" t="s">
        <v>47433</v>
      </c>
      <c r="S9655" t="s">
        <v>47633</v>
      </c>
      <c r="T9655" t="s">
        <v>49328</v>
      </c>
      <c r="U9655" t="s">
        <v>56573</v>
      </c>
      <c r="W9655" t="s">
        <v>43742</v>
      </c>
      <c r="X9655" t="s">
        <v>47434</v>
      </c>
    </row>
    <row r="9656" spans="1:24">
      <c r="A9656">
        <f>HYPERLINK("https://www.philgeps.gov.ph/GEPSNONPILOT/Tender/SplashBidNoticeAbstractUI.aspx?menuIndex=3&amp;refID=7150298&amp;Result=3","7150298")</f>
        <v>0</v>
      </c>
      <c r="B9656" t="s">
        <v>2269</v>
      </c>
      <c r="C9656" t="s">
        <v>12978</v>
      </c>
      <c r="D9656" t="s">
        <v>19018</v>
      </c>
      <c r="E9656" t="s">
        <v>27436</v>
      </c>
      <c r="F9656" t="s">
        <v>32831</v>
      </c>
      <c r="G9656" t="s">
        <v>32838</v>
      </c>
      <c r="H9656" t="s">
        <v>32848</v>
      </c>
      <c r="I9656" t="s">
        <v>32870</v>
      </c>
      <c r="J9656" t="s">
        <v>38948</v>
      </c>
      <c r="K9656" t="s">
        <v>42727</v>
      </c>
      <c r="M9656" t="s">
        <v>45453</v>
      </c>
      <c r="N9656" t="s">
        <v>47424</v>
      </c>
      <c r="O9656" t="s">
        <v>47425</v>
      </c>
      <c r="P9656">
        <v>0</v>
      </c>
      <c r="Q9656">
        <v>0</v>
      </c>
      <c r="R9656" t="s">
        <v>47433</v>
      </c>
      <c r="S9656" t="s">
        <v>47633</v>
      </c>
      <c r="T9656" t="s">
        <v>49328</v>
      </c>
      <c r="U9656" t="s">
        <v>55595</v>
      </c>
      <c r="W9656" t="s">
        <v>45453</v>
      </c>
      <c r="X9656" t="s">
        <v>47434</v>
      </c>
    </row>
    <row r="9657" spans="1:24">
      <c r="A9657">
        <f>HYPERLINK("https://www.philgeps.gov.ph/GEPSNONPILOT/Tender/SplashBidNoticeAbstractUI.aspx?menuIndex=3&amp;refID=7150260&amp;Result=3","7150260")</f>
        <v>0</v>
      </c>
      <c r="B9657" t="s">
        <v>1748</v>
      </c>
      <c r="C9657" t="s">
        <v>12979</v>
      </c>
      <c r="D9657" t="s">
        <v>19048</v>
      </c>
      <c r="E9657" t="s">
        <v>19211</v>
      </c>
      <c r="F9657" t="s">
        <v>32831</v>
      </c>
      <c r="G9657" t="s">
        <v>32839</v>
      </c>
      <c r="H9657" t="s">
        <v>32848</v>
      </c>
      <c r="I9657" t="s">
        <v>32883</v>
      </c>
      <c r="J9657" t="s">
        <v>38949</v>
      </c>
      <c r="K9657" t="s">
        <v>42742</v>
      </c>
      <c r="M9657" t="s">
        <v>44872</v>
      </c>
      <c r="N9657" t="s">
        <v>47424</v>
      </c>
      <c r="O9657" t="s">
        <v>47425</v>
      </c>
      <c r="P9657">
        <v>0</v>
      </c>
      <c r="Q9657">
        <v>2</v>
      </c>
      <c r="R9657" t="s">
        <v>47433</v>
      </c>
      <c r="S9657" t="s">
        <v>47633</v>
      </c>
      <c r="T9657" t="s">
        <v>49214</v>
      </c>
      <c r="U9657" t="s">
        <v>57668</v>
      </c>
      <c r="V9657" t="s">
        <v>63110</v>
      </c>
      <c r="W9657" t="s">
        <v>44872</v>
      </c>
      <c r="X9657" t="s">
        <v>47434</v>
      </c>
    </row>
    <row r="9658" spans="1:24">
      <c r="A9658">
        <f>HYPERLINK("https://www.philgeps.gov.ph/GEPSNONPILOT/Tender/SplashBidNoticeAbstractUI.aspx?menuIndex=3&amp;refID=7150289&amp;Result=3","7150289")</f>
        <v>0</v>
      </c>
      <c r="B9658" t="s">
        <v>263</v>
      </c>
      <c r="C9658" t="s">
        <v>12980</v>
      </c>
      <c r="D9658" t="s">
        <v>19083</v>
      </c>
      <c r="E9658" t="s">
        <v>27437</v>
      </c>
      <c r="F9658" t="s">
        <v>32831</v>
      </c>
      <c r="G9658" t="s">
        <v>32840</v>
      </c>
      <c r="H9658" t="s">
        <v>32848</v>
      </c>
      <c r="I9658" t="s">
        <v>4776</v>
      </c>
      <c r="J9658" t="s">
        <v>33007</v>
      </c>
      <c r="K9658" t="s">
        <v>42727</v>
      </c>
      <c r="M9658" t="s">
        <v>43262</v>
      </c>
      <c r="N9658" t="s">
        <v>47424</v>
      </c>
      <c r="O9658" t="s">
        <v>47425</v>
      </c>
      <c r="P9658">
        <v>0</v>
      </c>
      <c r="Q9658">
        <v>2</v>
      </c>
      <c r="R9658" t="s">
        <v>47433</v>
      </c>
      <c r="S9658" t="s">
        <v>47633</v>
      </c>
      <c r="T9658" t="s">
        <v>49244</v>
      </c>
      <c r="U9658" t="s">
        <v>57669</v>
      </c>
      <c r="W9658" t="s">
        <v>43262</v>
      </c>
      <c r="X9658" t="s">
        <v>47434</v>
      </c>
    </row>
    <row r="9659" spans="1:24">
      <c r="A9659">
        <f>HYPERLINK("https://www.philgeps.gov.ph/GEPSNONPILOT/Tender/SplashBidNoticeAbstractUI.aspx?menuIndex=3&amp;refID=7150288&amp;Result=3","7150288")</f>
        <v>0</v>
      </c>
      <c r="B9659" t="s">
        <v>2029</v>
      </c>
      <c r="C9659" t="s">
        <v>10154</v>
      </c>
      <c r="D9659" t="s">
        <v>19067</v>
      </c>
      <c r="E9659" t="s">
        <v>27438</v>
      </c>
      <c r="F9659" t="s">
        <v>32831</v>
      </c>
      <c r="G9659" t="s">
        <v>32839</v>
      </c>
      <c r="H9659" t="s">
        <v>32848</v>
      </c>
      <c r="I9659" t="s">
        <v>4487</v>
      </c>
      <c r="J9659" t="s">
        <v>38950</v>
      </c>
      <c r="K9659" t="s">
        <v>42732</v>
      </c>
      <c r="M9659" t="s">
        <v>45197</v>
      </c>
      <c r="N9659" t="s">
        <v>47424</v>
      </c>
      <c r="O9659" t="s">
        <v>47425</v>
      </c>
      <c r="P9659">
        <v>0</v>
      </c>
      <c r="Q9659">
        <v>3</v>
      </c>
      <c r="R9659" t="s">
        <v>47433</v>
      </c>
      <c r="S9659" t="s">
        <v>47633</v>
      </c>
      <c r="T9659" t="s">
        <v>49185</v>
      </c>
      <c r="U9659" t="s">
        <v>57670</v>
      </c>
      <c r="V9659" t="s">
        <v>63694</v>
      </c>
      <c r="W9659" t="s">
        <v>45197</v>
      </c>
      <c r="X9659" t="s">
        <v>47434</v>
      </c>
    </row>
    <row r="9660" spans="1:24">
      <c r="A9660">
        <f>HYPERLINK("https://www.philgeps.gov.ph/GEPSNONPILOT/Tender/SplashBidNoticeAbstractUI.aspx?menuIndex=3&amp;refID=7149846&amp;Result=3","7149846")</f>
        <v>0</v>
      </c>
      <c r="B9660" t="s">
        <v>3067</v>
      </c>
      <c r="C9660" t="s">
        <v>12981</v>
      </c>
      <c r="D9660" t="s">
        <v>19024</v>
      </c>
      <c r="E9660" t="s">
        <v>19219</v>
      </c>
      <c r="F9660" t="s">
        <v>32831</v>
      </c>
      <c r="G9660" t="s">
        <v>32839</v>
      </c>
      <c r="H9660" t="s">
        <v>32848</v>
      </c>
      <c r="I9660" t="s">
        <v>7416</v>
      </c>
      <c r="J9660" t="s">
        <v>38951</v>
      </c>
      <c r="K9660" t="s">
        <v>42748</v>
      </c>
      <c r="M9660" t="s">
        <v>46341</v>
      </c>
      <c r="N9660" t="s">
        <v>47424</v>
      </c>
      <c r="O9660" t="s">
        <v>47425</v>
      </c>
      <c r="P9660">
        <v>0</v>
      </c>
      <c r="Q9660">
        <v>0</v>
      </c>
      <c r="R9660" t="s">
        <v>47433</v>
      </c>
      <c r="S9660" t="s">
        <v>47633</v>
      </c>
      <c r="T9660" t="s">
        <v>49069</v>
      </c>
      <c r="U9660" t="s">
        <v>57671</v>
      </c>
      <c r="W9660" t="s">
        <v>46341</v>
      </c>
      <c r="X9660" t="s">
        <v>47434</v>
      </c>
    </row>
    <row r="9661" spans="1:24">
      <c r="A9661">
        <f>HYPERLINK("https://www.philgeps.gov.ph/GEPSNONPILOT/Tender/SplashBidNoticeAbstractUI.aspx?menuIndex=3&amp;refID=7150306&amp;Result=3","7150306")</f>
        <v>0</v>
      </c>
      <c r="B9661" t="s">
        <v>2158</v>
      </c>
      <c r="C9661" t="s">
        <v>12982</v>
      </c>
      <c r="D9661" t="s">
        <v>19086</v>
      </c>
      <c r="E9661" t="s">
        <v>27439</v>
      </c>
      <c r="F9661" t="s">
        <v>32831</v>
      </c>
      <c r="G9661" t="s">
        <v>32838</v>
      </c>
      <c r="H9661" t="s">
        <v>32848</v>
      </c>
      <c r="I9661" t="s">
        <v>9577</v>
      </c>
      <c r="J9661" t="s">
        <v>37920</v>
      </c>
      <c r="K9661" t="s">
        <v>42726</v>
      </c>
      <c r="M9661" t="s">
        <v>45338</v>
      </c>
      <c r="N9661" t="s">
        <v>47424</v>
      </c>
      <c r="O9661" t="s">
        <v>47425</v>
      </c>
      <c r="P9661">
        <v>0</v>
      </c>
      <c r="Q9661">
        <v>1</v>
      </c>
      <c r="R9661" t="s">
        <v>47433</v>
      </c>
      <c r="S9661" t="s">
        <v>47633</v>
      </c>
      <c r="T9661" t="s">
        <v>49229</v>
      </c>
      <c r="U9661" t="s">
        <v>57672</v>
      </c>
      <c r="W9661" t="s">
        <v>45338</v>
      </c>
      <c r="X9661" t="s">
        <v>47434</v>
      </c>
    </row>
    <row r="9662" spans="1:24">
      <c r="A9662">
        <f>HYPERLINK("https://www.philgeps.gov.ph/GEPSNONPILOT/Tender/SplashBidNoticeAbstractUI.aspx?menuIndex=3&amp;refID=7150245&amp;Result=3","7150245")</f>
        <v>0</v>
      </c>
      <c r="B9662" t="s">
        <v>2418</v>
      </c>
      <c r="C9662" t="s">
        <v>12983</v>
      </c>
      <c r="D9662" t="s">
        <v>19027</v>
      </c>
      <c r="E9662" t="s">
        <v>27440</v>
      </c>
      <c r="F9662" t="s">
        <v>32831</v>
      </c>
      <c r="G9662" t="s">
        <v>32839</v>
      </c>
      <c r="H9662" t="s">
        <v>32848</v>
      </c>
      <c r="I9662" t="s">
        <v>4303</v>
      </c>
      <c r="J9662" t="s">
        <v>38952</v>
      </c>
      <c r="K9662" t="s">
        <v>42732</v>
      </c>
      <c r="M9662" t="s">
        <v>45613</v>
      </c>
      <c r="N9662" t="s">
        <v>47424</v>
      </c>
      <c r="O9662" t="s">
        <v>47425</v>
      </c>
      <c r="P9662">
        <v>0</v>
      </c>
      <c r="Q9662">
        <v>0</v>
      </c>
      <c r="R9662" t="s">
        <v>47433</v>
      </c>
      <c r="S9662" t="s">
        <v>47633</v>
      </c>
      <c r="T9662" t="s">
        <v>49243</v>
      </c>
      <c r="U9662" t="s">
        <v>57673</v>
      </c>
      <c r="V9662" t="s">
        <v>63695</v>
      </c>
      <c r="W9662" t="s">
        <v>45613</v>
      </c>
      <c r="X9662" t="s">
        <v>47434</v>
      </c>
    </row>
    <row r="9663" spans="1:24">
      <c r="A9663">
        <f>HYPERLINK("https://www.philgeps.gov.ph/GEPSNONPILOT/Tender/SplashBidNoticeAbstractUI.aspx?menuIndex=3&amp;refID=7150236&amp;Result=3","7150236")</f>
        <v>0</v>
      </c>
      <c r="B9663" t="s">
        <v>761</v>
      </c>
      <c r="C9663" t="s">
        <v>12984</v>
      </c>
      <c r="D9663" t="s">
        <v>19022</v>
      </c>
      <c r="E9663" t="s">
        <v>27441</v>
      </c>
      <c r="F9663" t="s">
        <v>32831</v>
      </c>
      <c r="G9663" t="s">
        <v>32839</v>
      </c>
      <c r="H9663" t="s">
        <v>32848</v>
      </c>
      <c r="I9663" t="s">
        <v>32904</v>
      </c>
      <c r="J9663" t="s">
        <v>37888</v>
      </c>
      <c r="K9663" t="s">
        <v>42727</v>
      </c>
      <c r="M9663" t="s">
        <v>43787</v>
      </c>
      <c r="N9663" t="s">
        <v>47424</v>
      </c>
      <c r="O9663" t="s">
        <v>47425</v>
      </c>
      <c r="P9663">
        <v>0</v>
      </c>
      <c r="Q9663">
        <v>0</v>
      </c>
      <c r="R9663" t="s">
        <v>47433</v>
      </c>
      <c r="S9663" t="s">
        <v>47633</v>
      </c>
      <c r="T9663" t="s">
        <v>49291</v>
      </c>
      <c r="U9663" t="s">
        <v>57674</v>
      </c>
      <c r="W9663" t="s">
        <v>43787</v>
      </c>
      <c r="X9663" t="s">
        <v>47434</v>
      </c>
    </row>
    <row r="9664" spans="1:24">
      <c r="A9664">
        <f>HYPERLINK("https://www.philgeps.gov.ph/GEPSNONPILOT/Tender/SplashBidNoticeAbstractUI.aspx?menuIndex=3&amp;refID=7150235&amp;Result=3","7150235")</f>
        <v>0</v>
      </c>
      <c r="B9664" t="s">
        <v>2485</v>
      </c>
      <c r="C9664" t="s">
        <v>12985</v>
      </c>
      <c r="D9664" t="s">
        <v>19031</v>
      </c>
      <c r="E9664" t="s">
        <v>27442</v>
      </c>
      <c r="F9664" t="s">
        <v>32831</v>
      </c>
      <c r="G9664" t="s">
        <v>32839</v>
      </c>
      <c r="H9664" t="s">
        <v>32849</v>
      </c>
      <c r="I9664" t="s">
        <v>4177</v>
      </c>
      <c r="J9664" t="s">
        <v>33552</v>
      </c>
      <c r="K9664" t="s">
        <v>42747</v>
      </c>
      <c r="M9664" t="s">
        <v>45688</v>
      </c>
      <c r="N9664" t="s">
        <v>47424</v>
      </c>
      <c r="O9664" t="s">
        <v>47425</v>
      </c>
      <c r="P9664">
        <v>0</v>
      </c>
      <c r="Q9664">
        <v>1</v>
      </c>
      <c r="R9664" t="s">
        <v>47433</v>
      </c>
      <c r="S9664" t="s">
        <v>47633</v>
      </c>
      <c r="T9664" t="s">
        <v>49173</v>
      </c>
      <c r="U9664" t="s">
        <v>57675</v>
      </c>
      <c r="W9664" t="s">
        <v>64510</v>
      </c>
      <c r="X9664" t="s">
        <v>47434</v>
      </c>
    </row>
    <row r="9665" spans="1:24">
      <c r="A9665">
        <f>HYPERLINK("https://www.philgeps.gov.ph/GEPSNONPILOT/Tender/SplashBidNoticeAbstractUI.aspx?menuIndex=3&amp;refID=7150321&amp;Result=3","7150321")</f>
        <v>0</v>
      </c>
      <c r="B9665" t="s">
        <v>1425</v>
      </c>
      <c r="C9665" t="s">
        <v>12986</v>
      </c>
      <c r="D9665" t="s">
        <v>19073</v>
      </c>
      <c r="E9665" t="s">
        <v>27443</v>
      </c>
      <c r="F9665" t="s">
        <v>32831</v>
      </c>
      <c r="G9665" t="s">
        <v>32839</v>
      </c>
      <c r="H9665" t="s">
        <v>32848</v>
      </c>
      <c r="I9665" t="s">
        <v>32870</v>
      </c>
      <c r="J9665" t="s">
        <v>38953</v>
      </c>
      <c r="K9665" t="s">
        <v>42770</v>
      </c>
      <c r="M9665" t="s">
        <v>44514</v>
      </c>
      <c r="N9665" t="s">
        <v>47424</v>
      </c>
      <c r="O9665" t="s">
        <v>47425</v>
      </c>
      <c r="P9665">
        <v>0</v>
      </c>
      <c r="Q9665">
        <v>0</v>
      </c>
      <c r="R9665" t="s">
        <v>47433</v>
      </c>
      <c r="S9665" t="s">
        <v>47633</v>
      </c>
      <c r="T9665" t="s">
        <v>49111</v>
      </c>
      <c r="U9665" t="s">
        <v>57676</v>
      </c>
      <c r="W9665" t="s">
        <v>44514</v>
      </c>
      <c r="X9665" t="s">
        <v>47434</v>
      </c>
    </row>
    <row r="9666" spans="1:24">
      <c r="A9666">
        <f>HYPERLINK("https://www.philgeps.gov.ph/GEPSNONPILOT/Tender/SplashBidNoticeAbstractUI.aspx?menuIndex=3&amp;refID=7150287&amp;Result=3","7150287")</f>
        <v>0</v>
      </c>
      <c r="B9666" t="s">
        <v>2029</v>
      </c>
      <c r="C9666" t="s">
        <v>12987</v>
      </c>
      <c r="D9666" t="s">
        <v>19067</v>
      </c>
      <c r="E9666" t="s">
        <v>27444</v>
      </c>
      <c r="F9666" t="s">
        <v>32831</v>
      </c>
      <c r="G9666" t="s">
        <v>32839</v>
      </c>
      <c r="H9666" t="s">
        <v>32848</v>
      </c>
      <c r="I9666" t="s">
        <v>32857</v>
      </c>
      <c r="J9666" t="s">
        <v>32983</v>
      </c>
      <c r="K9666" t="s">
        <v>42732</v>
      </c>
      <c r="M9666" t="s">
        <v>46333</v>
      </c>
      <c r="N9666" t="s">
        <v>47424</v>
      </c>
      <c r="O9666" t="s">
        <v>47425</v>
      </c>
      <c r="P9666">
        <v>0</v>
      </c>
      <c r="Q9666">
        <v>7</v>
      </c>
      <c r="R9666" t="s">
        <v>47433</v>
      </c>
      <c r="S9666" t="s">
        <v>47633</v>
      </c>
      <c r="T9666" t="s">
        <v>49185</v>
      </c>
      <c r="U9666" t="s">
        <v>57677</v>
      </c>
      <c r="W9666" t="s">
        <v>46333</v>
      </c>
      <c r="X9666" t="s">
        <v>47434</v>
      </c>
    </row>
    <row r="9667" spans="1:24">
      <c r="A9667">
        <f>HYPERLINK("https://www.philgeps.gov.ph/GEPSNONPILOT/Tender/SplashBidNoticeAbstractUI.aspx?menuIndex=3&amp;refID=7150248&amp;Result=3","7150248")</f>
        <v>0</v>
      </c>
      <c r="B9667" t="s">
        <v>1324</v>
      </c>
      <c r="C9667" t="s">
        <v>12988</v>
      </c>
      <c r="D9667" t="s">
        <v>19022</v>
      </c>
      <c r="E9667" t="s">
        <v>27445</v>
      </c>
      <c r="F9667" t="s">
        <v>32831</v>
      </c>
      <c r="G9667" t="s">
        <v>32839</v>
      </c>
      <c r="H9667" t="s">
        <v>32848</v>
      </c>
      <c r="I9667" t="s">
        <v>4487</v>
      </c>
      <c r="J9667" t="s">
        <v>38954</v>
      </c>
      <c r="K9667" t="s">
        <v>42730</v>
      </c>
      <c r="M9667" t="s">
        <v>44395</v>
      </c>
      <c r="N9667" t="s">
        <v>47424</v>
      </c>
      <c r="O9667" t="s">
        <v>47425</v>
      </c>
      <c r="P9667">
        <v>0</v>
      </c>
      <c r="Q9667">
        <v>12</v>
      </c>
      <c r="R9667" t="s">
        <v>47433</v>
      </c>
      <c r="S9667" t="s">
        <v>47633</v>
      </c>
      <c r="T9667" t="s">
        <v>49192</v>
      </c>
      <c r="U9667" t="s">
        <v>57678</v>
      </c>
      <c r="W9667" t="s">
        <v>44395</v>
      </c>
      <c r="X9667" t="s">
        <v>47434</v>
      </c>
    </row>
    <row r="9668" spans="1:24">
      <c r="A9668">
        <f>HYPERLINK("https://www.philgeps.gov.ph/GEPSNONPILOT/Tender/SplashBidNoticeAbstractUI.aspx?menuIndex=3&amp;refID=7150249&amp;Result=3","7150249")</f>
        <v>0</v>
      </c>
      <c r="B9668" t="s">
        <v>2029</v>
      </c>
      <c r="C9668" t="s">
        <v>8763</v>
      </c>
      <c r="D9668" t="s">
        <v>19067</v>
      </c>
      <c r="E9668" t="s">
        <v>27446</v>
      </c>
      <c r="F9668" t="s">
        <v>32831</v>
      </c>
      <c r="G9668" t="s">
        <v>32839</v>
      </c>
      <c r="H9668" t="s">
        <v>32848</v>
      </c>
      <c r="I9668" t="s">
        <v>4558</v>
      </c>
      <c r="J9668" t="s">
        <v>38955</v>
      </c>
      <c r="K9668" t="s">
        <v>42732</v>
      </c>
      <c r="M9668" t="s">
        <v>46333</v>
      </c>
      <c r="N9668" t="s">
        <v>47424</v>
      </c>
      <c r="O9668" t="s">
        <v>47425</v>
      </c>
      <c r="P9668">
        <v>0</v>
      </c>
      <c r="Q9668">
        <v>1</v>
      </c>
      <c r="R9668" t="s">
        <v>47433</v>
      </c>
      <c r="S9668" t="s">
        <v>47633</v>
      </c>
      <c r="T9668" t="s">
        <v>49185</v>
      </c>
      <c r="U9668" t="s">
        <v>57679</v>
      </c>
      <c r="W9668" t="s">
        <v>46333</v>
      </c>
      <c r="X9668" t="s">
        <v>47434</v>
      </c>
    </row>
    <row r="9669" spans="1:24">
      <c r="A9669">
        <f>HYPERLINK("https://www.philgeps.gov.ph/GEPSNONPILOT/Tender/SplashBidNoticeAbstractUI.aspx?menuIndex=3&amp;refID=7150172&amp;Result=3","7150172")</f>
        <v>0</v>
      </c>
      <c r="B9669" t="s">
        <v>2029</v>
      </c>
      <c r="C9669" t="s">
        <v>8763</v>
      </c>
      <c r="D9669" t="s">
        <v>19067</v>
      </c>
      <c r="E9669" t="s">
        <v>27447</v>
      </c>
      <c r="F9669" t="s">
        <v>32831</v>
      </c>
      <c r="G9669" t="s">
        <v>32839</v>
      </c>
      <c r="H9669" t="s">
        <v>32848</v>
      </c>
      <c r="I9669" t="s">
        <v>4558</v>
      </c>
      <c r="J9669" t="s">
        <v>38956</v>
      </c>
      <c r="K9669" t="s">
        <v>42732</v>
      </c>
      <c r="M9669" t="s">
        <v>46333</v>
      </c>
      <c r="N9669" t="s">
        <v>47424</v>
      </c>
      <c r="O9669" t="s">
        <v>47425</v>
      </c>
      <c r="P9669">
        <v>0</v>
      </c>
      <c r="Q9669">
        <v>6</v>
      </c>
      <c r="R9669" t="s">
        <v>47433</v>
      </c>
      <c r="S9669" t="s">
        <v>47633</v>
      </c>
      <c r="T9669" t="s">
        <v>49185</v>
      </c>
      <c r="U9669" t="s">
        <v>57680</v>
      </c>
      <c r="W9669" t="s">
        <v>46333</v>
      </c>
      <c r="X9669" t="s">
        <v>47434</v>
      </c>
    </row>
    <row r="9670" spans="1:24">
      <c r="A9670">
        <f>HYPERLINK("https://www.philgeps.gov.ph/GEPSNONPILOT/Tender/SplashBidNoticeAbstractUI.aspx?menuIndex=3&amp;refID=7150199&amp;Result=3","7150199")</f>
        <v>0</v>
      </c>
      <c r="B9670" t="s">
        <v>719</v>
      </c>
      <c r="C9670" t="s">
        <v>12989</v>
      </c>
      <c r="D9670" t="s">
        <v>19017</v>
      </c>
      <c r="E9670" t="s">
        <v>27448</v>
      </c>
      <c r="F9670" t="s">
        <v>32831</v>
      </c>
      <c r="G9670" t="s">
        <v>32838</v>
      </c>
      <c r="H9670" t="s">
        <v>32848</v>
      </c>
      <c r="I9670" t="s">
        <v>9577</v>
      </c>
      <c r="J9670" t="s">
        <v>38957</v>
      </c>
      <c r="K9670" t="s">
        <v>42732</v>
      </c>
      <c r="M9670" t="s">
        <v>46342</v>
      </c>
      <c r="N9670" t="s">
        <v>47424</v>
      </c>
      <c r="O9670" t="s">
        <v>47425</v>
      </c>
      <c r="P9670">
        <v>0</v>
      </c>
      <c r="Q9670">
        <v>3</v>
      </c>
      <c r="R9670" t="s">
        <v>47433</v>
      </c>
      <c r="S9670" t="s">
        <v>47633</v>
      </c>
      <c r="T9670" t="s">
        <v>49111</v>
      </c>
      <c r="U9670" t="s">
        <v>57681</v>
      </c>
      <c r="W9670" t="s">
        <v>46342</v>
      </c>
      <c r="X9670" t="s">
        <v>47434</v>
      </c>
    </row>
    <row r="9671" spans="1:24">
      <c r="A9671">
        <f>HYPERLINK("https://www.philgeps.gov.ph/GEPSNONPILOT/Tender/SplashBidNoticeAbstractUI.aspx?menuIndex=3&amp;refID=7150375&amp;Result=3","7150375")</f>
        <v>0</v>
      </c>
      <c r="B9671" t="s">
        <v>2269</v>
      </c>
      <c r="C9671" t="s">
        <v>12990</v>
      </c>
      <c r="D9671" t="s">
        <v>19018</v>
      </c>
      <c r="E9671" t="s">
        <v>27449</v>
      </c>
      <c r="F9671" t="s">
        <v>32831</v>
      </c>
      <c r="G9671" t="s">
        <v>32838</v>
      </c>
      <c r="H9671" t="s">
        <v>32848</v>
      </c>
      <c r="I9671" t="s">
        <v>7416</v>
      </c>
      <c r="J9671" t="s">
        <v>38958</v>
      </c>
      <c r="K9671" t="s">
        <v>42727</v>
      </c>
      <c r="M9671" t="s">
        <v>45453</v>
      </c>
      <c r="N9671" t="s">
        <v>47424</v>
      </c>
      <c r="O9671" t="s">
        <v>47425</v>
      </c>
      <c r="P9671">
        <v>0</v>
      </c>
      <c r="Q9671">
        <v>0</v>
      </c>
      <c r="R9671" t="s">
        <v>47433</v>
      </c>
      <c r="S9671" t="s">
        <v>47633</v>
      </c>
      <c r="T9671" t="s">
        <v>49328</v>
      </c>
      <c r="U9671" t="s">
        <v>55595</v>
      </c>
      <c r="W9671" t="s">
        <v>45453</v>
      </c>
      <c r="X9671" t="s">
        <v>47434</v>
      </c>
    </row>
    <row r="9672" spans="1:24">
      <c r="A9672">
        <f>HYPERLINK("https://www.philgeps.gov.ph/GEPSNONPILOT/Tender/SplashBidNoticeAbstractUI.aspx?menuIndex=3&amp;refID=7150374&amp;Result=3","7150374")</f>
        <v>0</v>
      </c>
      <c r="B9672" t="s">
        <v>3060</v>
      </c>
      <c r="C9672" t="s">
        <v>12991</v>
      </c>
      <c r="D9672" t="s">
        <v>19034</v>
      </c>
      <c r="E9672" t="s">
        <v>27450</v>
      </c>
      <c r="F9672" t="s">
        <v>32831</v>
      </c>
      <c r="G9672" t="s">
        <v>32839</v>
      </c>
      <c r="H9672" t="s">
        <v>32848</v>
      </c>
      <c r="I9672" t="s">
        <v>4487</v>
      </c>
      <c r="J9672" t="s">
        <v>32978</v>
      </c>
      <c r="K9672" t="s">
        <v>42746</v>
      </c>
      <c r="M9672" t="s">
        <v>46335</v>
      </c>
      <c r="N9672" t="s">
        <v>47424</v>
      </c>
      <c r="O9672" t="s">
        <v>47425</v>
      </c>
      <c r="P9672">
        <v>0</v>
      </c>
      <c r="Q9672">
        <v>6</v>
      </c>
      <c r="R9672" t="s">
        <v>47433</v>
      </c>
      <c r="S9672" t="s">
        <v>47633</v>
      </c>
      <c r="T9672" t="s">
        <v>49338</v>
      </c>
      <c r="U9672" t="s">
        <v>57682</v>
      </c>
      <c r="V9672" t="s">
        <v>63696</v>
      </c>
      <c r="W9672" t="s">
        <v>46335</v>
      </c>
      <c r="X9672" t="s">
        <v>47434</v>
      </c>
    </row>
    <row r="9673" spans="1:24">
      <c r="A9673">
        <f>HYPERLINK("https://www.philgeps.gov.ph/GEPSNONPILOT/Tender/SplashBidNoticeAbstractUI.aspx?menuIndex=3&amp;refID=7150251&amp;Result=3","7150251")</f>
        <v>0</v>
      </c>
      <c r="B9673" t="s">
        <v>3068</v>
      </c>
      <c r="C9673" t="s">
        <v>12992</v>
      </c>
      <c r="D9673" t="s">
        <v>19057</v>
      </c>
      <c r="E9673" t="s">
        <v>19130</v>
      </c>
      <c r="F9673" t="s">
        <v>32831</v>
      </c>
      <c r="G9673" t="s">
        <v>32839</v>
      </c>
      <c r="H9673" t="s">
        <v>32848</v>
      </c>
      <c r="I9673" t="s">
        <v>4303</v>
      </c>
      <c r="J9673" t="s">
        <v>32983</v>
      </c>
      <c r="K9673" t="s">
        <v>42732</v>
      </c>
      <c r="M9673" t="s">
        <v>46343</v>
      </c>
      <c r="N9673" t="s">
        <v>47424</v>
      </c>
      <c r="O9673" t="s">
        <v>47425</v>
      </c>
      <c r="P9673">
        <v>0</v>
      </c>
      <c r="Q9673">
        <v>1</v>
      </c>
      <c r="R9673" t="s">
        <v>47433</v>
      </c>
      <c r="S9673" t="s">
        <v>47633</v>
      </c>
      <c r="T9673" t="s">
        <v>49237</v>
      </c>
      <c r="U9673" t="s">
        <v>57683</v>
      </c>
      <c r="W9673" t="s">
        <v>46343</v>
      </c>
      <c r="X9673" t="s">
        <v>47434</v>
      </c>
    </row>
    <row r="9674" spans="1:24">
      <c r="A9674">
        <f>HYPERLINK("https://www.philgeps.gov.ph/GEPSNONPILOT/Tender/SplashBidNoticeAbstractUI.aspx?menuIndex=3&amp;refID=7150174&amp;Result=3","7150174")</f>
        <v>0</v>
      </c>
      <c r="B9674" t="s">
        <v>3047</v>
      </c>
      <c r="C9674" t="s">
        <v>12993</v>
      </c>
      <c r="D9674" t="s">
        <v>19044</v>
      </c>
      <c r="E9674" t="s">
        <v>22480</v>
      </c>
      <c r="F9674" t="s">
        <v>32831</v>
      </c>
      <c r="G9674" t="s">
        <v>32839</v>
      </c>
      <c r="H9674" t="s">
        <v>32848</v>
      </c>
      <c r="I9674" t="s">
        <v>32861</v>
      </c>
      <c r="J9674" t="s">
        <v>33600</v>
      </c>
      <c r="K9674" t="s">
        <v>42730</v>
      </c>
      <c r="M9674" t="s">
        <v>46320</v>
      </c>
      <c r="N9674" t="s">
        <v>47424</v>
      </c>
      <c r="O9674" t="s">
        <v>47425</v>
      </c>
      <c r="P9674">
        <v>0</v>
      </c>
      <c r="Q9674">
        <v>3</v>
      </c>
      <c r="R9674" t="s">
        <v>47433</v>
      </c>
      <c r="S9674" t="s">
        <v>47633</v>
      </c>
      <c r="T9674" t="s">
        <v>49065</v>
      </c>
      <c r="U9674" t="s">
        <v>57684</v>
      </c>
      <c r="W9674" t="s">
        <v>46320</v>
      </c>
      <c r="X9674" t="s">
        <v>47434</v>
      </c>
    </row>
    <row r="9675" spans="1:24">
      <c r="A9675">
        <f>HYPERLINK("https://www.philgeps.gov.ph/GEPSNONPILOT/Tender/SplashBidNoticeAbstractUI.aspx?menuIndex=3&amp;refID=7150366&amp;Result=3","7150366")</f>
        <v>0</v>
      </c>
      <c r="B9675" t="s">
        <v>2315</v>
      </c>
      <c r="C9675" t="s">
        <v>12994</v>
      </c>
      <c r="D9675" t="s">
        <v>19031</v>
      </c>
      <c r="E9675" t="s">
        <v>27451</v>
      </c>
      <c r="F9675" t="s">
        <v>32831</v>
      </c>
      <c r="G9675" t="s">
        <v>32839</v>
      </c>
      <c r="H9675" t="s">
        <v>32848</v>
      </c>
      <c r="I9675" t="s">
        <v>7751</v>
      </c>
      <c r="J9675" t="s">
        <v>33644</v>
      </c>
      <c r="K9675" t="s">
        <v>42730</v>
      </c>
      <c r="M9675" t="s">
        <v>45500</v>
      </c>
      <c r="N9675" t="s">
        <v>47424</v>
      </c>
      <c r="O9675" t="s">
        <v>47425</v>
      </c>
      <c r="P9675">
        <v>0</v>
      </c>
      <c r="Q9675">
        <v>0</v>
      </c>
      <c r="R9675" t="s">
        <v>47433</v>
      </c>
      <c r="S9675" t="s">
        <v>47633</v>
      </c>
      <c r="T9675" t="s">
        <v>49236</v>
      </c>
      <c r="U9675" t="s">
        <v>57685</v>
      </c>
      <c r="W9675" t="s">
        <v>45500</v>
      </c>
      <c r="X9675" t="s">
        <v>47434</v>
      </c>
    </row>
    <row r="9676" spans="1:24">
      <c r="A9676">
        <f>HYPERLINK("https://www.philgeps.gov.ph/GEPSNONPILOT/Tender/SplashBidNoticeAbstractUI.aspx?menuIndex=3&amp;refID=7150363&amp;Result=3","7150363")</f>
        <v>0</v>
      </c>
      <c r="B9676" t="s">
        <v>2866</v>
      </c>
      <c r="C9676" t="s">
        <v>12995</v>
      </c>
      <c r="D9676" t="s">
        <v>19059</v>
      </c>
      <c r="E9676" t="s">
        <v>27452</v>
      </c>
      <c r="F9676" t="s">
        <v>32831</v>
      </c>
      <c r="G9676" t="s">
        <v>32839</v>
      </c>
      <c r="H9676" t="s">
        <v>32848</v>
      </c>
      <c r="I9676" t="s">
        <v>4558</v>
      </c>
      <c r="J9676" t="s">
        <v>38959</v>
      </c>
      <c r="K9676" t="s">
        <v>42730</v>
      </c>
      <c r="M9676" t="s">
        <v>46344</v>
      </c>
      <c r="N9676" t="s">
        <v>47424</v>
      </c>
      <c r="O9676" t="s">
        <v>47425</v>
      </c>
      <c r="P9676">
        <v>0</v>
      </c>
      <c r="Q9676">
        <v>7</v>
      </c>
      <c r="R9676" t="s">
        <v>47433</v>
      </c>
      <c r="S9676" t="s">
        <v>47633</v>
      </c>
      <c r="T9676" t="s">
        <v>49173</v>
      </c>
      <c r="U9676" t="s">
        <v>57686</v>
      </c>
      <c r="W9676" t="s">
        <v>64532</v>
      </c>
      <c r="X9676" t="s">
        <v>47434</v>
      </c>
    </row>
    <row r="9677" spans="1:24">
      <c r="A9677">
        <f>HYPERLINK("https://www.philgeps.gov.ph/GEPSNONPILOT/Tender/SplashBidNoticeAbstractUI.aspx?menuIndex=3&amp;refID=7150355&amp;Result=3","7150355")</f>
        <v>0</v>
      </c>
      <c r="B9677" t="s">
        <v>2338</v>
      </c>
      <c r="C9677" t="s">
        <v>12996</v>
      </c>
      <c r="D9677" t="s">
        <v>19049</v>
      </c>
      <c r="E9677" t="s">
        <v>27453</v>
      </c>
      <c r="F9677" t="s">
        <v>32831</v>
      </c>
      <c r="G9677" t="s">
        <v>32839</v>
      </c>
      <c r="H9677" t="s">
        <v>32848</v>
      </c>
      <c r="I9677" t="s">
        <v>4558</v>
      </c>
      <c r="J9677" t="s">
        <v>32978</v>
      </c>
      <c r="K9677" t="s">
        <v>42730</v>
      </c>
      <c r="M9677" t="s">
        <v>45525</v>
      </c>
      <c r="N9677" t="s">
        <v>47424</v>
      </c>
      <c r="O9677" t="s">
        <v>47425</v>
      </c>
      <c r="P9677">
        <v>0</v>
      </c>
      <c r="Q9677">
        <v>0</v>
      </c>
      <c r="R9677" t="s">
        <v>47433</v>
      </c>
      <c r="S9677" t="s">
        <v>47633</v>
      </c>
      <c r="T9677" t="s">
        <v>49235</v>
      </c>
      <c r="U9677" t="s">
        <v>55192</v>
      </c>
      <c r="V9677" t="s">
        <v>63352</v>
      </c>
      <c r="W9677" t="s">
        <v>45525</v>
      </c>
      <c r="X9677" t="s">
        <v>47434</v>
      </c>
    </row>
    <row r="9678" spans="1:24">
      <c r="A9678">
        <f>HYPERLINK("https://www.philgeps.gov.ph/GEPSNONPILOT/Tender/SplashBidNoticeAbstractUI.aspx?menuIndex=3&amp;refID=7150354&amp;Result=3","7150354")</f>
        <v>0</v>
      </c>
      <c r="B9678" t="s">
        <v>3061</v>
      </c>
      <c r="C9678" t="s">
        <v>12997</v>
      </c>
      <c r="D9678" t="s">
        <v>19057</v>
      </c>
      <c r="E9678" t="s">
        <v>27454</v>
      </c>
      <c r="F9678" t="s">
        <v>32831</v>
      </c>
      <c r="G9678" t="s">
        <v>32839</v>
      </c>
      <c r="H9678" t="s">
        <v>32849</v>
      </c>
      <c r="I9678" t="s">
        <v>4177</v>
      </c>
      <c r="J9678" t="s">
        <v>38960</v>
      </c>
      <c r="K9678" t="s">
        <v>42770</v>
      </c>
      <c r="L9678" t="s">
        <v>3061</v>
      </c>
      <c r="M9678" t="s">
        <v>46336</v>
      </c>
      <c r="N9678" t="s">
        <v>47424</v>
      </c>
      <c r="O9678" t="s">
        <v>47425</v>
      </c>
      <c r="P9678">
        <v>0</v>
      </c>
      <c r="Q9678">
        <v>6</v>
      </c>
      <c r="R9678" t="s">
        <v>47433</v>
      </c>
      <c r="S9678" t="s">
        <v>47633</v>
      </c>
      <c r="T9678" t="s">
        <v>49461</v>
      </c>
      <c r="U9678" t="s">
        <v>57653</v>
      </c>
      <c r="W9678" t="s">
        <v>46336</v>
      </c>
      <c r="X9678" t="s">
        <v>47434</v>
      </c>
    </row>
    <row r="9679" spans="1:24">
      <c r="A9679">
        <f>HYPERLINK("https://www.philgeps.gov.ph/GEPSNONPILOT/Tender/SplashBidNoticeAbstractUI.aspx?menuIndex=3&amp;refID=7150230&amp;Result=3","7150230")</f>
        <v>0</v>
      </c>
      <c r="B9679" t="s">
        <v>2418</v>
      </c>
      <c r="C9679" t="s">
        <v>12998</v>
      </c>
      <c r="D9679" t="s">
        <v>19027</v>
      </c>
      <c r="E9679" t="s">
        <v>27455</v>
      </c>
      <c r="F9679" t="s">
        <v>32831</v>
      </c>
      <c r="G9679" t="s">
        <v>32839</v>
      </c>
      <c r="H9679" t="s">
        <v>32848</v>
      </c>
      <c r="I9679" t="s">
        <v>7416</v>
      </c>
      <c r="J9679" t="s">
        <v>38961</v>
      </c>
      <c r="K9679" t="s">
        <v>42732</v>
      </c>
      <c r="M9679" t="s">
        <v>45613</v>
      </c>
      <c r="N9679" t="s">
        <v>47424</v>
      </c>
      <c r="O9679" t="s">
        <v>47425</v>
      </c>
      <c r="P9679">
        <v>0</v>
      </c>
      <c r="Q9679">
        <v>0</v>
      </c>
      <c r="R9679" t="s">
        <v>47433</v>
      </c>
      <c r="S9679" t="s">
        <v>47633</v>
      </c>
      <c r="T9679" t="s">
        <v>49243</v>
      </c>
      <c r="U9679" t="s">
        <v>57687</v>
      </c>
      <c r="V9679" t="s">
        <v>63379</v>
      </c>
      <c r="W9679" t="s">
        <v>45613</v>
      </c>
      <c r="X9679" t="s">
        <v>47434</v>
      </c>
    </row>
    <row r="9680" spans="1:24">
      <c r="A9680">
        <f>HYPERLINK("https://www.philgeps.gov.ph/GEPSNONPILOT/Tender/SplashBidNoticeAbstractUI.aspx?menuIndex=3&amp;refID=7150351&amp;Result=3","7150351")</f>
        <v>0</v>
      </c>
      <c r="B9680" t="s">
        <v>1425</v>
      </c>
      <c r="C9680" t="s">
        <v>12999</v>
      </c>
      <c r="D9680" t="s">
        <v>19073</v>
      </c>
      <c r="E9680" t="s">
        <v>27456</v>
      </c>
      <c r="F9680" t="s">
        <v>32831</v>
      </c>
      <c r="G9680" t="s">
        <v>32839</v>
      </c>
      <c r="H9680" t="s">
        <v>32848</v>
      </c>
      <c r="I9680" t="s">
        <v>32857</v>
      </c>
      <c r="J9680" t="s">
        <v>38962</v>
      </c>
      <c r="K9680" t="s">
        <v>42730</v>
      </c>
      <c r="M9680" t="s">
        <v>44514</v>
      </c>
      <c r="N9680" t="s">
        <v>47424</v>
      </c>
      <c r="O9680" t="s">
        <v>47425</v>
      </c>
      <c r="P9680">
        <v>0</v>
      </c>
      <c r="Q9680">
        <v>0</v>
      </c>
      <c r="R9680" t="s">
        <v>47433</v>
      </c>
      <c r="S9680" t="s">
        <v>47633</v>
      </c>
      <c r="T9680" t="s">
        <v>49111</v>
      </c>
      <c r="U9680" t="s">
        <v>57688</v>
      </c>
      <c r="W9680" t="s">
        <v>44514</v>
      </c>
      <c r="X9680" t="s">
        <v>47434</v>
      </c>
    </row>
    <row r="9681" spans="1:24">
      <c r="A9681">
        <f>HYPERLINK("https://www.philgeps.gov.ph/GEPSNONPILOT/Tender/SplashBidNoticeAbstractUI.aspx?menuIndex=3&amp;refID=7150349&amp;Result=3","7150349")</f>
        <v>0</v>
      </c>
      <c r="B9681" t="s">
        <v>2383</v>
      </c>
      <c r="C9681" t="s">
        <v>13000</v>
      </c>
      <c r="D9681" t="s">
        <v>19055</v>
      </c>
      <c r="E9681" t="s">
        <v>19243</v>
      </c>
      <c r="F9681" t="s">
        <v>32831</v>
      </c>
      <c r="G9681" t="s">
        <v>32839</v>
      </c>
      <c r="H9681" t="s">
        <v>32849</v>
      </c>
      <c r="I9681" t="s">
        <v>4177</v>
      </c>
      <c r="J9681" t="s">
        <v>38963</v>
      </c>
      <c r="K9681" t="s">
        <v>42826</v>
      </c>
      <c r="M9681" t="s">
        <v>45572</v>
      </c>
      <c r="N9681" t="s">
        <v>47424</v>
      </c>
      <c r="O9681" t="s">
        <v>47425</v>
      </c>
      <c r="P9681">
        <v>0</v>
      </c>
      <c r="Q9681">
        <v>3</v>
      </c>
      <c r="R9681" t="s">
        <v>47433</v>
      </c>
      <c r="S9681" t="s">
        <v>47633</v>
      </c>
      <c r="T9681" t="s">
        <v>49173</v>
      </c>
      <c r="U9681" t="s">
        <v>57689</v>
      </c>
      <c r="V9681" t="s">
        <v>63697</v>
      </c>
      <c r="W9681" t="s">
        <v>45572</v>
      </c>
      <c r="X9681" t="s">
        <v>47434</v>
      </c>
    </row>
    <row r="9682" spans="1:24">
      <c r="A9682">
        <f>HYPERLINK("https://www.philgeps.gov.ph/GEPSNONPILOT/Tender/SplashBidNoticeAbstractUI.aspx?menuIndex=3&amp;refID=7150170&amp;Result=3","7150170")</f>
        <v>0</v>
      </c>
      <c r="B9682" t="s">
        <v>3063</v>
      </c>
      <c r="C9682" t="s">
        <v>13001</v>
      </c>
      <c r="D9682" t="s">
        <v>19062</v>
      </c>
      <c r="E9682" t="s">
        <v>20013</v>
      </c>
      <c r="F9682" t="s">
        <v>32833</v>
      </c>
      <c r="G9682" t="s">
        <v>32839</v>
      </c>
      <c r="H9682" t="s">
        <v>32848</v>
      </c>
      <c r="I9682" t="s">
        <v>7416</v>
      </c>
      <c r="J9682" t="s">
        <v>33874</v>
      </c>
      <c r="K9682" t="s">
        <v>42731</v>
      </c>
      <c r="M9682" t="s">
        <v>46338</v>
      </c>
      <c r="N9682" t="s">
        <v>47424</v>
      </c>
      <c r="O9682" t="s">
        <v>47425</v>
      </c>
      <c r="P9682">
        <v>0</v>
      </c>
      <c r="Q9682">
        <v>1</v>
      </c>
      <c r="R9682" t="s">
        <v>47433</v>
      </c>
      <c r="S9682" t="s">
        <v>47633</v>
      </c>
      <c r="T9682" t="s">
        <v>49112</v>
      </c>
      <c r="U9682" t="s">
        <v>57690</v>
      </c>
      <c r="W9682" t="s">
        <v>46338</v>
      </c>
      <c r="X9682" t="s">
        <v>47434</v>
      </c>
    </row>
    <row r="9683" spans="1:24">
      <c r="A9683">
        <f>HYPERLINK("https://www.philgeps.gov.ph/GEPSNONPILOT/Tender/SplashBidNoticeAbstractUI.aspx?menuIndex=3&amp;refID=7150378&amp;Result=3","7150378")</f>
        <v>0</v>
      </c>
      <c r="B9683" t="s">
        <v>1684</v>
      </c>
      <c r="C9683" t="s">
        <v>13002</v>
      </c>
      <c r="D9683" t="s">
        <v>19022</v>
      </c>
      <c r="E9683" t="s">
        <v>27457</v>
      </c>
      <c r="F9683" t="s">
        <v>32831</v>
      </c>
      <c r="G9683" t="s">
        <v>32838</v>
      </c>
      <c r="H9683" t="s">
        <v>32848</v>
      </c>
      <c r="I9683" t="s">
        <v>32889</v>
      </c>
      <c r="J9683" t="s">
        <v>38964</v>
      </c>
      <c r="K9683" t="s">
        <v>42731</v>
      </c>
      <c r="M9683" t="s">
        <v>44804</v>
      </c>
      <c r="N9683" t="s">
        <v>47424</v>
      </c>
      <c r="O9683" t="s">
        <v>47425</v>
      </c>
      <c r="P9683">
        <v>0</v>
      </c>
      <c r="Q9683">
        <v>0</v>
      </c>
      <c r="R9683" t="s">
        <v>47433</v>
      </c>
      <c r="S9683" t="s">
        <v>47633</v>
      </c>
      <c r="T9683" t="s">
        <v>49255</v>
      </c>
      <c r="U9683" t="s">
        <v>57691</v>
      </c>
      <c r="W9683" t="s">
        <v>44804</v>
      </c>
      <c r="X9683" t="s">
        <v>47434</v>
      </c>
    </row>
    <row r="9684" spans="1:24">
      <c r="A9684">
        <f>HYPERLINK("https://www.philgeps.gov.ph/GEPSNONPILOT/Tender/SplashBidNoticeAbstractUI.aspx?menuIndex=3&amp;refID=7150422&amp;Result=3","7150422")</f>
        <v>0</v>
      </c>
      <c r="B9684" t="s">
        <v>2151</v>
      </c>
      <c r="C9684" t="s">
        <v>13003</v>
      </c>
      <c r="D9684" t="s">
        <v>19054</v>
      </c>
      <c r="E9684" t="s">
        <v>27458</v>
      </c>
      <c r="F9684" t="s">
        <v>32831</v>
      </c>
      <c r="G9684" t="s">
        <v>32839</v>
      </c>
      <c r="H9684" t="s">
        <v>32848</v>
      </c>
      <c r="I9684" t="s">
        <v>32909</v>
      </c>
      <c r="J9684" t="s">
        <v>38965</v>
      </c>
      <c r="K9684" t="s">
        <v>42727</v>
      </c>
      <c r="M9684" t="s">
        <v>45332</v>
      </c>
      <c r="N9684" t="s">
        <v>47424</v>
      </c>
      <c r="O9684" t="s">
        <v>47425</v>
      </c>
      <c r="P9684">
        <v>0</v>
      </c>
      <c r="Q9684">
        <v>0</v>
      </c>
      <c r="R9684" t="s">
        <v>47433</v>
      </c>
      <c r="S9684" t="s">
        <v>47633</v>
      </c>
      <c r="T9684" t="s">
        <v>49239</v>
      </c>
      <c r="U9684" t="s">
        <v>57692</v>
      </c>
      <c r="W9684" t="s">
        <v>45332</v>
      </c>
      <c r="X9684" t="s">
        <v>47434</v>
      </c>
    </row>
    <row r="9685" spans="1:24">
      <c r="A9685">
        <f>HYPERLINK("https://www.philgeps.gov.ph/GEPSNONPILOT/Tender/SplashBidNoticeAbstractUI.aspx?menuIndex=3&amp;refID=7150353&amp;Result=3","7150353")</f>
        <v>0</v>
      </c>
      <c r="B9685" t="s">
        <v>60</v>
      </c>
      <c r="C9685" t="s">
        <v>13004</v>
      </c>
      <c r="D9685" t="s">
        <v>19042</v>
      </c>
      <c r="E9685" t="s">
        <v>27459</v>
      </c>
      <c r="F9685" t="s">
        <v>32831</v>
      </c>
      <c r="G9685" t="s">
        <v>32839</v>
      </c>
      <c r="H9685" t="s">
        <v>32849</v>
      </c>
      <c r="I9685" t="s">
        <v>4177</v>
      </c>
      <c r="J9685" t="s">
        <v>38966</v>
      </c>
      <c r="K9685" t="s">
        <v>42777</v>
      </c>
      <c r="M9685" t="s">
        <v>43740</v>
      </c>
      <c r="N9685" t="s">
        <v>47424</v>
      </c>
      <c r="O9685" t="s">
        <v>47425</v>
      </c>
      <c r="P9685">
        <v>0</v>
      </c>
      <c r="Q9685">
        <v>0</v>
      </c>
      <c r="R9685" t="s">
        <v>47433</v>
      </c>
      <c r="S9685" t="s">
        <v>47633</v>
      </c>
      <c r="T9685" t="s">
        <v>49318</v>
      </c>
      <c r="U9685" t="s">
        <v>57693</v>
      </c>
      <c r="W9685" t="s">
        <v>43740</v>
      </c>
      <c r="X9685" t="s">
        <v>47434</v>
      </c>
    </row>
    <row r="9686" spans="1:24">
      <c r="A9686">
        <f>HYPERLINK("https://www.philgeps.gov.ph/GEPSNONPILOT/Tender/SplashBidNoticeAbstractUI.aspx?menuIndex=3&amp;refID=7150433&amp;Result=3","7150433")</f>
        <v>0</v>
      </c>
      <c r="B9686" t="s">
        <v>674</v>
      </c>
      <c r="C9686" t="s">
        <v>13005</v>
      </c>
      <c r="D9686" t="s">
        <v>19058</v>
      </c>
      <c r="E9686" t="s">
        <v>27460</v>
      </c>
      <c r="F9686" t="s">
        <v>32831</v>
      </c>
      <c r="G9686" t="s">
        <v>32840</v>
      </c>
      <c r="H9686" t="s">
        <v>32848</v>
      </c>
      <c r="I9686" t="s">
        <v>4558</v>
      </c>
      <c r="J9686" t="s">
        <v>38967</v>
      </c>
      <c r="K9686" t="s">
        <v>42732</v>
      </c>
      <c r="M9686" t="s">
        <v>44520</v>
      </c>
      <c r="N9686" t="s">
        <v>47424</v>
      </c>
      <c r="O9686" t="s">
        <v>47425</v>
      </c>
      <c r="P9686">
        <v>0</v>
      </c>
      <c r="Q9686">
        <v>1</v>
      </c>
      <c r="R9686" t="s">
        <v>47433</v>
      </c>
      <c r="S9686" t="s">
        <v>47633</v>
      </c>
      <c r="T9686" t="s">
        <v>49237</v>
      </c>
      <c r="U9686" t="s">
        <v>57694</v>
      </c>
      <c r="W9686" t="s">
        <v>44520</v>
      </c>
      <c r="X9686" t="s">
        <v>47434</v>
      </c>
    </row>
    <row r="9687" spans="1:24">
      <c r="A9687">
        <f>HYPERLINK("https://www.philgeps.gov.ph/GEPSNONPILOT/Tender/SplashBidNoticeAbstractUI.aspx?menuIndex=3&amp;refID=7150369&amp;Result=3","7150369")</f>
        <v>0</v>
      </c>
      <c r="B9687" t="s">
        <v>263</v>
      </c>
      <c r="C9687" t="s">
        <v>13006</v>
      </c>
      <c r="D9687" t="s">
        <v>19083</v>
      </c>
      <c r="E9687" t="s">
        <v>27461</v>
      </c>
      <c r="F9687" t="s">
        <v>32831</v>
      </c>
      <c r="G9687" t="s">
        <v>32840</v>
      </c>
      <c r="H9687" t="s">
        <v>32848</v>
      </c>
      <c r="I9687" t="s">
        <v>10643</v>
      </c>
      <c r="J9687" t="s">
        <v>37917</v>
      </c>
      <c r="K9687" t="s">
        <v>42727</v>
      </c>
      <c r="M9687" t="s">
        <v>43262</v>
      </c>
      <c r="N9687" t="s">
        <v>47424</v>
      </c>
      <c r="O9687" t="s">
        <v>47425</v>
      </c>
      <c r="P9687">
        <v>0</v>
      </c>
      <c r="Q9687">
        <v>0</v>
      </c>
      <c r="R9687" t="s">
        <v>47433</v>
      </c>
      <c r="S9687" t="s">
        <v>47633</v>
      </c>
      <c r="T9687" t="s">
        <v>49244</v>
      </c>
      <c r="U9687" t="s">
        <v>57695</v>
      </c>
      <c r="W9687" t="s">
        <v>43262</v>
      </c>
      <c r="X9687" t="s">
        <v>47434</v>
      </c>
    </row>
    <row r="9688" spans="1:24">
      <c r="A9688">
        <f>HYPERLINK("https://www.philgeps.gov.ph/GEPSNONPILOT/Tender/SplashBidNoticeAbstractUI.aspx?menuIndex=3&amp;refID=7150428&amp;Result=3","7150428")</f>
        <v>0</v>
      </c>
      <c r="B9688" t="s">
        <v>3069</v>
      </c>
      <c r="C9688" t="s">
        <v>13007</v>
      </c>
      <c r="D9688" t="s">
        <v>19019</v>
      </c>
      <c r="E9688" t="s">
        <v>27462</v>
      </c>
      <c r="F9688" t="s">
        <v>32831</v>
      </c>
      <c r="G9688" t="s">
        <v>32838</v>
      </c>
      <c r="H9688" t="s">
        <v>32849</v>
      </c>
      <c r="I9688" t="s">
        <v>4177</v>
      </c>
      <c r="J9688" t="s">
        <v>38968</v>
      </c>
      <c r="K9688" t="s">
        <v>42730</v>
      </c>
      <c r="M9688" t="s">
        <v>46345</v>
      </c>
      <c r="N9688" t="s">
        <v>47424</v>
      </c>
      <c r="O9688" t="s">
        <v>47425</v>
      </c>
      <c r="P9688">
        <v>0</v>
      </c>
      <c r="Q9688">
        <v>3</v>
      </c>
      <c r="R9688" t="s">
        <v>47433</v>
      </c>
      <c r="S9688" t="s">
        <v>47633</v>
      </c>
      <c r="T9688" t="s">
        <v>49163</v>
      </c>
      <c r="U9688" t="s">
        <v>57696</v>
      </c>
      <c r="W9688" t="s">
        <v>46345</v>
      </c>
      <c r="X9688" t="s">
        <v>47434</v>
      </c>
    </row>
    <row r="9689" spans="1:24">
      <c r="A9689">
        <f>HYPERLINK("https://www.philgeps.gov.ph/GEPSNONPILOT/Tender/SplashBidNoticeAbstractUI.aspx?menuIndex=3&amp;refID=7150426&amp;Result=3","7150426")</f>
        <v>0</v>
      </c>
      <c r="B9689" t="s">
        <v>1425</v>
      </c>
      <c r="C9689" t="s">
        <v>13008</v>
      </c>
      <c r="D9689" t="s">
        <v>19073</v>
      </c>
      <c r="E9689" t="s">
        <v>27463</v>
      </c>
      <c r="F9689" t="s">
        <v>32831</v>
      </c>
      <c r="G9689" t="s">
        <v>32839</v>
      </c>
      <c r="H9689" t="s">
        <v>32848</v>
      </c>
      <c r="I9689" t="s">
        <v>8781</v>
      </c>
      <c r="J9689" t="s">
        <v>34033</v>
      </c>
      <c r="K9689" t="s">
        <v>42730</v>
      </c>
      <c r="M9689" t="s">
        <v>44514</v>
      </c>
      <c r="N9689" t="s">
        <v>47424</v>
      </c>
      <c r="O9689" t="s">
        <v>47425</v>
      </c>
      <c r="P9689">
        <v>0</v>
      </c>
      <c r="Q9689">
        <v>0</v>
      </c>
      <c r="R9689" t="s">
        <v>47433</v>
      </c>
      <c r="S9689" t="s">
        <v>47633</v>
      </c>
      <c r="T9689" t="s">
        <v>49111</v>
      </c>
      <c r="U9689" t="s">
        <v>57697</v>
      </c>
      <c r="W9689" t="s">
        <v>44514</v>
      </c>
      <c r="X9689" t="s">
        <v>47434</v>
      </c>
    </row>
    <row r="9690" spans="1:24">
      <c r="A9690">
        <f>HYPERLINK("https://www.philgeps.gov.ph/GEPSNONPILOT/Tender/SplashBidNoticeAbstractUI.aspx?menuIndex=3&amp;refID=7150420&amp;Result=3","7150420")</f>
        <v>0</v>
      </c>
      <c r="B9690" t="s">
        <v>674</v>
      </c>
      <c r="C9690" t="s">
        <v>13009</v>
      </c>
      <c r="D9690" t="s">
        <v>19058</v>
      </c>
      <c r="E9690" t="s">
        <v>27464</v>
      </c>
      <c r="F9690" t="s">
        <v>32831</v>
      </c>
      <c r="G9690" t="s">
        <v>32838</v>
      </c>
      <c r="H9690" t="s">
        <v>32848</v>
      </c>
      <c r="I9690" t="s">
        <v>4303</v>
      </c>
      <c r="J9690" t="s">
        <v>33007</v>
      </c>
      <c r="K9690" t="s">
        <v>42732</v>
      </c>
      <c r="M9690" t="s">
        <v>44520</v>
      </c>
      <c r="N9690" t="s">
        <v>47424</v>
      </c>
      <c r="O9690" t="s">
        <v>47425</v>
      </c>
      <c r="P9690">
        <v>0</v>
      </c>
      <c r="Q9690">
        <v>1</v>
      </c>
      <c r="R9690" t="s">
        <v>47433</v>
      </c>
      <c r="S9690" t="s">
        <v>47633</v>
      </c>
      <c r="T9690" t="s">
        <v>49237</v>
      </c>
      <c r="U9690" t="s">
        <v>57698</v>
      </c>
      <c r="W9690" t="s">
        <v>44520</v>
      </c>
      <c r="X9690" t="s">
        <v>47434</v>
      </c>
    </row>
    <row r="9691" spans="1:24">
      <c r="A9691">
        <f>HYPERLINK("https://www.philgeps.gov.ph/GEPSNONPILOT/Tender/SplashBidNoticeAbstractUI.aspx?menuIndex=3&amp;refID=7150370&amp;Result=3","7150370")</f>
        <v>0</v>
      </c>
      <c r="B9691" t="s">
        <v>2528</v>
      </c>
      <c r="C9691" t="s">
        <v>13010</v>
      </c>
      <c r="D9691" t="s">
        <v>19079</v>
      </c>
      <c r="E9691" t="s">
        <v>27465</v>
      </c>
      <c r="F9691" t="s">
        <v>32831</v>
      </c>
      <c r="G9691" t="s">
        <v>32838</v>
      </c>
      <c r="H9691" t="s">
        <v>32848</v>
      </c>
      <c r="I9691" t="s">
        <v>4177</v>
      </c>
      <c r="J9691" t="s">
        <v>33178</v>
      </c>
      <c r="K9691" t="s">
        <v>42730</v>
      </c>
      <c r="M9691" t="s">
        <v>45737</v>
      </c>
      <c r="N9691" t="s">
        <v>47424</v>
      </c>
      <c r="O9691" t="s">
        <v>47425</v>
      </c>
      <c r="P9691">
        <v>0</v>
      </c>
      <c r="Q9691">
        <v>1</v>
      </c>
      <c r="R9691" t="s">
        <v>47433</v>
      </c>
      <c r="S9691" t="s">
        <v>47633</v>
      </c>
      <c r="T9691" t="s">
        <v>49235</v>
      </c>
      <c r="U9691" t="s">
        <v>57699</v>
      </c>
      <c r="W9691" t="s">
        <v>45737</v>
      </c>
      <c r="X9691" t="s">
        <v>47434</v>
      </c>
    </row>
    <row r="9692" spans="1:24">
      <c r="A9692">
        <f>HYPERLINK("https://www.philgeps.gov.ph/GEPSNONPILOT/Tender/SplashBidNoticeAbstractUI.aspx?menuIndex=3&amp;refID=7150413&amp;Result=3","7150413")</f>
        <v>0</v>
      </c>
      <c r="B9692" t="s">
        <v>3060</v>
      </c>
      <c r="C9692" t="s">
        <v>13011</v>
      </c>
      <c r="D9692" t="s">
        <v>19034</v>
      </c>
      <c r="E9692" t="s">
        <v>27466</v>
      </c>
      <c r="F9692" t="s">
        <v>32831</v>
      </c>
      <c r="G9692" t="s">
        <v>32839</v>
      </c>
      <c r="H9692" t="s">
        <v>32848</v>
      </c>
      <c r="I9692" t="s">
        <v>4487</v>
      </c>
      <c r="J9692" t="s">
        <v>38969</v>
      </c>
      <c r="K9692" t="s">
        <v>42746</v>
      </c>
      <c r="M9692" t="s">
        <v>46335</v>
      </c>
      <c r="N9692" t="s">
        <v>47424</v>
      </c>
      <c r="O9692" t="s">
        <v>47425</v>
      </c>
      <c r="P9692">
        <v>0</v>
      </c>
      <c r="Q9692">
        <v>0</v>
      </c>
      <c r="R9692" t="s">
        <v>47433</v>
      </c>
      <c r="S9692" t="s">
        <v>47633</v>
      </c>
      <c r="T9692" t="s">
        <v>49338</v>
      </c>
      <c r="U9692" t="s">
        <v>57700</v>
      </c>
      <c r="V9692" t="s">
        <v>63698</v>
      </c>
      <c r="W9692" t="s">
        <v>46335</v>
      </c>
      <c r="X9692" t="s">
        <v>47434</v>
      </c>
    </row>
    <row r="9693" spans="1:24">
      <c r="A9693">
        <f>HYPERLINK("https://www.philgeps.gov.ph/GEPSNONPILOT/Tender/SplashBidNoticeAbstractUI.aspx?menuIndex=3&amp;refID=7150414&amp;Result=3","7150414")</f>
        <v>0</v>
      </c>
      <c r="B9693" t="s">
        <v>3021</v>
      </c>
      <c r="C9693" t="s">
        <v>13012</v>
      </c>
      <c r="D9693" t="s">
        <v>19034</v>
      </c>
      <c r="E9693" t="s">
        <v>19863</v>
      </c>
      <c r="F9693" t="s">
        <v>32831</v>
      </c>
      <c r="G9693" t="s">
        <v>32839</v>
      </c>
      <c r="H9693" t="s">
        <v>32849</v>
      </c>
      <c r="I9693" t="s">
        <v>4177</v>
      </c>
      <c r="J9693" t="s">
        <v>33032</v>
      </c>
      <c r="K9693" t="s">
        <v>42780</v>
      </c>
      <c r="L9693" t="s">
        <v>3021</v>
      </c>
      <c r="M9693" t="s">
        <v>46291</v>
      </c>
      <c r="N9693" t="s">
        <v>47424</v>
      </c>
      <c r="O9693" t="s">
        <v>47425</v>
      </c>
      <c r="P9693">
        <v>0</v>
      </c>
      <c r="Q9693">
        <v>2</v>
      </c>
      <c r="R9693" t="s">
        <v>47433</v>
      </c>
      <c r="S9693" t="s">
        <v>47633</v>
      </c>
      <c r="T9693" t="s">
        <v>49470</v>
      </c>
      <c r="U9693" t="s">
        <v>57701</v>
      </c>
      <c r="V9693" t="s">
        <v>50828</v>
      </c>
      <c r="W9693" t="s">
        <v>46291</v>
      </c>
      <c r="X9693" t="s">
        <v>47434</v>
      </c>
    </row>
    <row r="9694" spans="1:24">
      <c r="A9694">
        <f>HYPERLINK("https://www.philgeps.gov.ph/GEPSNONPILOT/Tender/SplashBidNoticeAbstractUI.aspx?menuIndex=3&amp;refID=7150407&amp;Result=3","7150407")</f>
        <v>0</v>
      </c>
      <c r="B9694" t="s">
        <v>661</v>
      </c>
      <c r="C9694" t="s">
        <v>13013</v>
      </c>
      <c r="D9694" t="s">
        <v>19058</v>
      </c>
      <c r="E9694" t="s">
        <v>27467</v>
      </c>
      <c r="F9694" t="s">
        <v>32831</v>
      </c>
      <c r="G9694" t="s">
        <v>32839</v>
      </c>
      <c r="H9694" t="s">
        <v>32848</v>
      </c>
      <c r="I9694" t="s">
        <v>32902</v>
      </c>
      <c r="J9694" t="s">
        <v>34519</v>
      </c>
      <c r="K9694" t="s">
        <v>42731</v>
      </c>
      <c r="M9694" t="s">
        <v>43679</v>
      </c>
      <c r="N9694" t="s">
        <v>47424</v>
      </c>
      <c r="O9694" t="s">
        <v>47425</v>
      </c>
      <c r="P9694">
        <v>0</v>
      </c>
      <c r="Q9694">
        <v>1</v>
      </c>
      <c r="R9694" t="s">
        <v>47433</v>
      </c>
      <c r="S9694" t="s">
        <v>47633</v>
      </c>
      <c r="T9694" t="s">
        <v>49237</v>
      </c>
      <c r="U9694" t="s">
        <v>57702</v>
      </c>
      <c r="W9694" t="s">
        <v>43679</v>
      </c>
      <c r="X9694" t="s">
        <v>47434</v>
      </c>
    </row>
    <row r="9695" spans="1:24">
      <c r="A9695">
        <f>HYPERLINK("https://www.philgeps.gov.ph/GEPSNONPILOT/Tender/SplashBidNoticeAbstractUI.aspx?menuIndex=3&amp;refID=7150357&amp;Result=3","7150357")</f>
        <v>0</v>
      </c>
      <c r="B9695" t="s">
        <v>2269</v>
      </c>
      <c r="C9695" t="s">
        <v>13014</v>
      </c>
      <c r="D9695" t="s">
        <v>19018</v>
      </c>
      <c r="E9695" t="s">
        <v>27468</v>
      </c>
      <c r="F9695" t="s">
        <v>32831</v>
      </c>
      <c r="G9695" t="s">
        <v>32838</v>
      </c>
      <c r="H9695" t="s">
        <v>32848</v>
      </c>
      <c r="I9695" t="s">
        <v>4471</v>
      </c>
      <c r="J9695" t="s">
        <v>38970</v>
      </c>
      <c r="K9695" t="s">
        <v>42727</v>
      </c>
      <c r="M9695" t="s">
        <v>45453</v>
      </c>
      <c r="N9695" t="s">
        <v>47424</v>
      </c>
      <c r="O9695" t="s">
        <v>47425</v>
      </c>
      <c r="P9695">
        <v>0</v>
      </c>
      <c r="Q9695">
        <v>1</v>
      </c>
      <c r="R9695" t="s">
        <v>47433</v>
      </c>
      <c r="S9695" t="s">
        <v>47633</v>
      </c>
      <c r="T9695" t="s">
        <v>49328</v>
      </c>
      <c r="U9695" t="s">
        <v>55595</v>
      </c>
      <c r="W9695" t="s">
        <v>45453</v>
      </c>
      <c r="X9695" t="s">
        <v>47434</v>
      </c>
    </row>
    <row r="9696" spans="1:24">
      <c r="A9696">
        <f>HYPERLINK("https://www.philgeps.gov.ph/GEPSNONPILOT/Tender/SplashBidNoticeAbstractUI.aspx?menuIndex=3&amp;refID=7150406&amp;Result=3","7150406")</f>
        <v>0</v>
      </c>
      <c r="B9696" t="s">
        <v>3061</v>
      </c>
      <c r="C9696" t="s">
        <v>13015</v>
      </c>
      <c r="D9696" t="s">
        <v>19057</v>
      </c>
      <c r="E9696" t="s">
        <v>27469</v>
      </c>
      <c r="F9696" t="s">
        <v>32831</v>
      </c>
      <c r="G9696" t="s">
        <v>32839</v>
      </c>
      <c r="H9696" t="s">
        <v>32849</v>
      </c>
      <c r="I9696" t="s">
        <v>4177</v>
      </c>
      <c r="J9696" t="s">
        <v>38971</v>
      </c>
      <c r="K9696" t="s">
        <v>42770</v>
      </c>
      <c r="L9696" t="s">
        <v>3061</v>
      </c>
      <c r="M9696" t="s">
        <v>46336</v>
      </c>
      <c r="N9696" t="s">
        <v>47424</v>
      </c>
      <c r="O9696" t="s">
        <v>47425</v>
      </c>
      <c r="P9696">
        <v>0</v>
      </c>
      <c r="Q9696">
        <v>5</v>
      </c>
      <c r="R9696" t="s">
        <v>47433</v>
      </c>
      <c r="S9696" t="s">
        <v>47633</v>
      </c>
      <c r="T9696" t="s">
        <v>49461</v>
      </c>
      <c r="U9696" t="s">
        <v>57653</v>
      </c>
      <c r="W9696" t="s">
        <v>46336</v>
      </c>
      <c r="X9696" t="s">
        <v>47434</v>
      </c>
    </row>
    <row r="9697" spans="1:24">
      <c r="A9697">
        <f>HYPERLINK("https://www.philgeps.gov.ph/GEPSNONPILOT/Tender/SplashBidNoticeAbstractUI.aspx?menuIndex=3&amp;refID=7150425&amp;Result=3","7150425")</f>
        <v>0</v>
      </c>
      <c r="B9697" t="s">
        <v>1684</v>
      </c>
      <c r="C9697" t="s">
        <v>13016</v>
      </c>
      <c r="D9697" t="s">
        <v>19022</v>
      </c>
      <c r="E9697" t="s">
        <v>27470</v>
      </c>
      <c r="F9697" t="s">
        <v>32831</v>
      </c>
      <c r="G9697" t="s">
        <v>32838</v>
      </c>
      <c r="H9697" t="s">
        <v>32848</v>
      </c>
      <c r="I9697" t="s">
        <v>32855</v>
      </c>
      <c r="J9697" t="s">
        <v>38972</v>
      </c>
      <c r="K9697" t="s">
        <v>42731</v>
      </c>
      <c r="M9697" t="s">
        <v>44804</v>
      </c>
      <c r="N9697" t="s">
        <v>47424</v>
      </c>
      <c r="O9697" t="s">
        <v>47425</v>
      </c>
      <c r="P9697">
        <v>0</v>
      </c>
      <c r="Q9697">
        <v>2</v>
      </c>
      <c r="R9697" t="s">
        <v>47433</v>
      </c>
      <c r="S9697" t="s">
        <v>47633</v>
      </c>
      <c r="T9697" t="s">
        <v>49255</v>
      </c>
      <c r="U9697" t="s">
        <v>57703</v>
      </c>
      <c r="W9697" t="s">
        <v>44804</v>
      </c>
      <c r="X9697" t="s">
        <v>47434</v>
      </c>
    </row>
    <row r="9698" spans="1:24">
      <c r="A9698">
        <f>HYPERLINK("https://www.philgeps.gov.ph/GEPSNONPILOT/Tender/SplashBidNoticeAbstractUI.aspx?menuIndex=3&amp;refID=7150398&amp;Result=3","7150398")</f>
        <v>0</v>
      </c>
      <c r="B9698" t="s">
        <v>263</v>
      </c>
      <c r="C9698" t="s">
        <v>13017</v>
      </c>
      <c r="D9698" t="s">
        <v>19083</v>
      </c>
      <c r="E9698" t="s">
        <v>27471</v>
      </c>
      <c r="F9698" t="s">
        <v>32831</v>
      </c>
      <c r="G9698" t="s">
        <v>32838</v>
      </c>
      <c r="H9698" t="s">
        <v>32848</v>
      </c>
      <c r="I9698" t="s">
        <v>7416</v>
      </c>
      <c r="J9698" t="s">
        <v>38973</v>
      </c>
      <c r="K9698" t="s">
        <v>42727</v>
      </c>
      <c r="M9698" t="s">
        <v>43262</v>
      </c>
      <c r="N9698" t="s">
        <v>47424</v>
      </c>
      <c r="O9698" t="s">
        <v>47425</v>
      </c>
      <c r="P9698">
        <v>0</v>
      </c>
      <c r="Q9698">
        <v>1</v>
      </c>
      <c r="R9698" t="s">
        <v>47433</v>
      </c>
      <c r="S9698" t="s">
        <v>47633</v>
      </c>
      <c r="T9698" t="s">
        <v>49244</v>
      </c>
      <c r="U9698" t="s">
        <v>57704</v>
      </c>
      <c r="W9698" t="s">
        <v>43262</v>
      </c>
      <c r="X9698" t="s">
        <v>47434</v>
      </c>
    </row>
    <row r="9699" spans="1:24">
      <c r="A9699">
        <f>HYPERLINK("https://www.philgeps.gov.ph/GEPSNONPILOT/Tender/SplashBidNoticeAbstractUI.aspx?menuIndex=3&amp;refID=7150393&amp;Result=3","7150393")</f>
        <v>0</v>
      </c>
      <c r="B9699" t="s">
        <v>2269</v>
      </c>
      <c r="C9699" t="s">
        <v>13018</v>
      </c>
      <c r="D9699" t="s">
        <v>19018</v>
      </c>
      <c r="E9699" t="s">
        <v>27472</v>
      </c>
      <c r="F9699" t="s">
        <v>32831</v>
      </c>
      <c r="G9699" t="s">
        <v>32838</v>
      </c>
      <c r="H9699" t="s">
        <v>32848</v>
      </c>
      <c r="I9699" t="s">
        <v>7416</v>
      </c>
      <c r="J9699" t="s">
        <v>38974</v>
      </c>
      <c r="K9699" t="s">
        <v>42727</v>
      </c>
      <c r="M9699" t="s">
        <v>45453</v>
      </c>
      <c r="N9699" t="s">
        <v>47424</v>
      </c>
      <c r="O9699" t="s">
        <v>47425</v>
      </c>
      <c r="P9699">
        <v>0</v>
      </c>
      <c r="Q9699">
        <v>0</v>
      </c>
      <c r="R9699" t="s">
        <v>47433</v>
      </c>
      <c r="S9699" t="s">
        <v>47633</v>
      </c>
      <c r="T9699" t="s">
        <v>49328</v>
      </c>
      <c r="U9699" t="s">
        <v>57705</v>
      </c>
      <c r="W9699" t="s">
        <v>45453</v>
      </c>
      <c r="X9699" t="s">
        <v>47434</v>
      </c>
    </row>
    <row r="9700" spans="1:24">
      <c r="A9700">
        <f>HYPERLINK("https://www.philgeps.gov.ph/GEPSNONPILOT/Tender/SplashBidNoticeAbstractUI.aspx?menuIndex=3&amp;refID=7150492&amp;Result=3","7150492")</f>
        <v>0</v>
      </c>
      <c r="B9700" t="s">
        <v>2666</v>
      </c>
      <c r="C9700" t="s">
        <v>13019</v>
      </c>
      <c r="D9700" t="s">
        <v>19077</v>
      </c>
      <c r="E9700" t="s">
        <v>27473</v>
      </c>
      <c r="F9700" t="s">
        <v>32831</v>
      </c>
      <c r="G9700" t="s">
        <v>32838</v>
      </c>
      <c r="H9700" t="s">
        <v>32848</v>
      </c>
      <c r="I9700" t="s">
        <v>4487</v>
      </c>
      <c r="J9700" t="s">
        <v>38975</v>
      </c>
      <c r="K9700" t="s">
        <v>42747</v>
      </c>
      <c r="M9700" t="s">
        <v>46346</v>
      </c>
      <c r="N9700" t="s">
        <v>47424</v>
      </c>
      <c r="O9700" t="s">
        <v>47425</v>
      </c>
      <c r="P9700">
        <v>0</v>
      </c>
      <c r="Q9700">
        <v>13</v>
      </c>
      <c r="R9700" t="s">
        <v>47433</v>
      </c>
      <c r="S9700" t="s">
        <v>47633</v>
      </c>
      <c r="T9700" t="s">
        <v>49192</v>
      </c>
      <c r="U9700" t="s">
        <v>57706</v>
      </c>
      <c r="W9700" t="s">
        <v>46346</v>
      </c>
      <c r="X9700" t="s">
        <v>47434</v>
      </c>
    </row>
    <row r="9701" spans="1:24">
      <c r="A9701">
        <f>HYPERLINK("https://www.philgeps.gov.ph/GEPSNONPILOT/Tender/SplashBidNoticeAbstractUI.aspx?menuIndex=3&amp;refID=7150345&amp;Result=3","7150345")</f>
        <v>0</v>
      </c>
      <c r="B9701" t="s">
        <v>263</v>
      </c>
      <c r="C9701" t="s">
        <v>13020</v>
      </c>
      <c r="D9701" t="s">
        <v>19083</v>
      </c>
      <c r="E9701" t="s">
        <v>27474</v>
      </c>
      <c r="F9701" t="s">
        <v>32831</v>
      </c>
      <c r="G9701" t="s">
        <v>32838</v>
      </c>
      <c r="H9701" t="s">
        <v>32848</v>
      </c>
      <c r="I9701" t="s">
        <v>7416</v>
      </c>
      <c r="J9701" t="s">
        <v>38976</v>
      </c>
      <c r="K9701" t="s">
        <v>42727</v>
      </c>
      <c r="M9701" t="s">
        <v>43262</v>
      </c>
      <c r="N9701" t="s">
        <v>47424</v>
      </c>
      <c r="O9701" t="s">
        <v>47425</v>
      </c>
      <c r="P9701">
        <v>0</v>
      </c>
      <c r="Q9701">
        <v>1</v>
      </c>
      <c r="R9701" t="s">
        <v>47433</v>
      </c>
      <c r="S9701" t="s">
        <v>47633</v>
      </c>
      <c r="T9701" t="s">
        <v>49255</v>
      </c>
      <c r="U9701" t="s">
        <v>57707</v>
      </c>
      <c r="W9701" t="s">
        <v>43262</v>
      </c>
      <c r="X9701" t="s">
        <v>47434</v>
      </c>
    </row>
    <row r="9702" spans="1:24">
      <c r="A9702">
        <f>HYPERLINK("https://www.philgeps.gov.ph/GEPSNONPILOT/Tender/SplashBidNoticeAbstractUI.aspx?menuIndex=3&amp;refID=7150411&amp;Result=3","7150411")</f>
        <v>0</v>
      </c>
      <c r="B9702" t="s">
        <v>674</v>
      </c>
      <c r="C9702" t="s">
        <v>13021</v>
      </c>
      <c r="D9702" t="s">
        <v>19058</v>
      </c>
      <c r="E9702" t="s">
        <v>27475</v>
      </c>
      <c r="F9702" t="s">
        <v>32831</v>
      </c>
      <c r="G9702" t="s">
        <v>32838</v>
      </c>
      <c r="H9702" t="s">
        <v>32848</v>
      </c>
      <c r="I9702" t="s">
        <v>7751</v>
      </c>
      <c r="J9702" t="s">
        <v>33040</v>
      </c>
      <c r="K9702" t="s">
        <v>42732</v>
      </c>
      <c r="M9702" t="s">
        <v>44520</v>
      </c>
      <c r="N9702" t="s">
        <v>47424</v>
      </c>
      <c r="O9702" t="s">
        <v>47425</v>
      </c>
      <c r="P9702">
        <v>0</v>
      </c>
      <c r="Q9702">
        <v>0</v>
      </c>
      <c r="R9702" t="s">
        <v>47433</v>
      </c>
      <c r="S9702" t="s">
        <v>47633</v>
      </c>
      <c r="T9702" t="s">
        <v>49237</v>
      </c>
      <c r="U9702" t="s">
        <v>57708</v>
      </c>
      <c r="W9702" t="s">
        <v>44520</v>
      </c>
      <c r="X9702" t="s">
        <v>47434</v>
      </c>
    </row>
    <row r="9703" spans="1:24">
      <c r="A9703">
        <f>HYPERLINK("https://www.philgeps.gov.ph/GEPSNONPILOT/Tender/SplashBidNoticeAbstractUI.aspx?menuIndex=3&amp;refID=7150487&amp;Result=3","7150487")</f>
        <v>0</v>
      </c>
      <c r="B9703" t="s">
        <v>2441</v>
      </c>
      <c r="C9703" t="s">
        <v>13022</v>
      </c>
      <c r="D9703" t="s">
        <v>19041</v>
      </c>
      <c r="E9703" t="s">
        <v>27476</v>
      </c>
      <c r="F9703" t="s">
        <v>32831</v>
      </c>
      <c r="G9703" t="s">
        <v>32838</v>
      </c>
      <c r="H9703" t="s">
        <v>32848</v>
      </c>
      <c r="I9703" t="s">
        <v>4222</v>
      </c>
      <c r="J9703" t="s">
        <v>38977</v>
      </c>
      <c r="K9703" t="s">
        <v>42831</v>
      </c>
      <c r="M9703" t="s">
        <v>45916</v>
      </c>
      <c r="N9703" t="s">
        <v>47424</v>
      </c>
      <c r="O9703" t="s">
        <v>47425</v>
      </c>
      <c r="P9703">
        <v>0</v>
      </c>
      <c r="Q9703">
        <v>3</v>
      </c>
      <c r="R9703" t="s">
        <v>47433</v>
      </c>
      <c r="S9703" t="s">
        <v>47633</v>
      </c>
      <c r="T9703" t="s">
        <v>49465</v>
      </c>
      <c r="U9703" t="s">
        <v>56341</v>
      </c>
      <c r="W9703" t="s">
        <v>45916</v>
      </c>
      <c r="X9703" t="s">
        <v>47434</v>
      </c>
    </row>
    <row r="9704" spans="1:24">
      <c r="A9704">
        <f>HYPERLINK("https://www.philgeps.gov.ph/GEPSNONPILOT/Tender/SplashBidNoticeAbstractUI.aspx?menuIndex=3&amp;refID=7150486&amp;Result=3","7150486")</f>
        <v>0</v>
      </c>
      <c r="B9704" t="s">
        <v>99</v>
      </c>
      <c r="C9704" t="s">
        <v>13023</v>
      </c>
      <c r="D9704" t="s">
        <v>19054</v>
      </c>
      <c r="E9704" t="s">
        <v>27477</v>
      </c>
      <c r="F9704" t="s">
        <v>32831</v>
      </c>
      <c r="G9704" t="s">
        <v>32839</v>
      </c>
      <c r="H9704" t="s">
        <v>32848</v>
      </c>
      <c r="I9704" t="s">
        <v>10888</v>
      </c>
      <c r="J9704" t="s">
        <v>35125</v>
      </c>
      <c r="K9704" t="s">
        <v>42730</v>
      </c>
      <c r="M9704" t="s">
        <v>43096</v>
      </c>
      <c r="N9704" t="s">
        <v>47424</v>
      </c>
      <c r="O9704" t="s">
        <v>47425</v>
      </c>
      <c r="P9704">
        <v>0</v>
      </c>
      <c r="Q9704">
        <v>0</v>
      </c>
      <c r="R9704" t="s">
        <v>47433</v>
      </c>
      <c r="S9704" t="s">
        <v>47633</v>
      </c>
      <c r="T9704" t="s">
        <v>49111</v>
      </c>
      <c r="U9704" t="s">
        <v>49821</v>
      </c>
      <c r="V9704" t="s">
        <v>63699</v>
      </c>
      <c r="W9704" t="s">
        <v>43096</v>
      </c>
      <c r="X9704" t="s">
        <v>47434</v>
      </c>
    </row>
    <row r="9705" spans="1:24">
      <c r="A9705">
        <f>HYPERLINK("https://www.philgeps.gov.ph/GEPSNONPILOT/Tender/SplashBidNoticeAbstractUI.aspx?menuIndex=3&amp;refID=7150417&amp;Result=3","7150417")</f>
        <v>0</v>
      </c>
      <c r="B9705" t="s">
        <v>2866</v>
      </c>
      <c r="C9705" t="s">
        <v>13024</v>
      </c>
      <c r="D9705" t="s">
        <v>19059</v>
      </c>
      <c r="E9705" t="s">
        <v>27478</v>
      </c>
      <c r="F9705" t="s">
        <v>32831</v>
      </c>
      <c r="G9705" t="s">
        <v>32839</v>
      </c>
      <c r="H9705" t="s">
        <v>32848</v>
      </c>
      <c r="I9705" t="s">
        <v>4558</v>
      </c>
      <c r="J9705" t="s">
        <v>38978</v>
      </c>
      <c r="K9705" t="s">
        <v>42730</v>
      </c>
      <c r="M9705" t="s">
        <v>46344</v>
      </c>
      <c r="N9705" t="s">
        <v>47424</v>
      </c>
      <c r="O9705" t="s">
        <v>47425</v>
      </c>
      <c r="P9705">
        <v>0</v>
      </c>
      <c r="Q9705">
        <v>0</v>
      </c>
      <c r="R9705" t="s">
        <v>47433</v>
      </c>
      <c r="S9705" t="s">
        <v>47633</v>
      </c>
      <c r="T9705" t="s">
        <v>49173</v>
      </c>
      <c r="U9705" t="s">
        <v>57686</v>
      </c>
      <c r="W9705" t="s">
        <v>64532</v>
      </c>
      <c r="X9705" t="s">
        <v>47434</v>
      </c>
    </row>
    <row r="9706" spans="1:24">
      <c r="A9706">
        <f>HYPERLINK("https://www.philgeps.gov.ph/GEPSNONPILOT/Tender/SplashBidNoticeAbstractUI.aspx?menuIndex=3&amp;refID=7150226&amp;Result=3","7150226")</f>
        <v>0</v>
      </c>
      <c r="B9706" t="s">
        <v>1434</v>
      </c>
      <c r="C9706" t="s">
        <v>13025</v>
      </c>
      <c r="D9706" t="s">
        <v>19021</v>
      </c>
      <c r="E9706" t="s">
        <v>27479</v>
      </c>
      <c r="F9706" t="s">
        <v>32831</v>
      </c>
      <c r="G9706" t="s">
        <v>32839</v>
      </c>
      <c r="H9706" t="s">
        <v>32848</v>
      </c>
      <c r="I9706" t="s">
        <v>10805</v>
      </c>
      <c r="J9706" t="s">
        <v>38979</v>
      </c>
      <c r="K9706" t="s">
        <v>42730</v>
      </c>
      <c r="M9706" t="s">
        <v>44524</v>
      </c>
      <c r="N9706" t="s">
        <v>47424</v>
      </c>
      <c r="O9706" t="s">
        <v>47425</v>
      </c>
      <c r="P9706">
        <v>0</v>
      </c>
      <c r="Q9706">
        <v>8</v>
      </c>
      <c r="R9706" t="s">
        <v>47433</v>
      </c>
      <c r="S9706" t="s">
        <v>47633</v>
      </c>
      <c r="T9706" t="s">
        <v>49301</v>
      </c>
      <c r="U9706" t="s">
        <v>57709</v>
      </c>
      <c r="W9706" t="s">
        <v>44524</v>
      </c>
      <c r="X9706" t="s">
        <v>47434</v>
      </c>
    </row>
    <row r="9707" spans="1:24">
      <c r="A9707">
        <f>HYPERLINK("https://www.philgeps.gov.ph/GEPSNONPILOT/Tender/SplashBidNoticeAbstractUI.aspx?menuIndex=3&amp;refID=7150484&amp;Result=3","7150484")</f>
        <v>0</v>
      </c>
      <c r="B9707" t="s">
        <v>1684</v>
      </c>
      <c r="C9707" t="s">
        <v>13026</v>
      </c>
      <c r="D9707" t="s">
        <v>19022</v>
      </c>
      <c r="E9707" t="s">
        <v>27480</v>
      </c>
      <c r="F9707" t="s">
        <v>32831</v>
      </c>
      <c r="G9707" t="s">
        <v>32838</v>
      </c>
      <c r="H9707" t="s">
        <v>32848</v>
      </c>
      <c r="I9707" t="s">
        <v>32855</v>
      </c>
      <c r="J9707" t="s">
        <v>33162</v>
      </c>
      <c r="K9707" t="s">
        <v>42731</v>
      </c>
      <c r="M9707" t="s">
        <v>44804</v>
      </c>
      <c r="N9707" t="s">
        <v>47424</v>
      </c>
      <c r="O9707" t="s">
        <v>47425</v>
      </c>
      <c r="P9707">
        <v>0</v>
      </c>
      <c r="Q9707">
        <v>5</v>
      </c>
      <c r="R9707" t="s">
        <v>47433</v>
      </c>
      <c r="S9707" t="s">
        <v>47633</v>
      </c>
      <c r="T9707" t="s">
        <v>49255</v>
      </c>
      <c r="U9707" t="s">
        <v>57710</v>
      </c>
      <c r="W9707" t="s">
        <v>44804</v>
      </c>
      <c r="X9707" t="s">
        <v>47434</v>
      </c>
    </row>
    <row r="9708" spans="1:24">
      <c r="A9708">
        <f>HYPERLINK("https://www.philgeps.gov.ph/GEPSNONPILOT/Tender/SplashBidNoticeAbstractUI.aspx?menuIndex=3&amp;refID=7150478&amp;Result=3","7150478")</f>
        <v>0</v>
      </c>
      <c r="B9708" t="s">
        <v>1375</v>
      </c>
      <c r="C9708" t="s">
        <v>13027</v>
      </c>
      <c r="D9708" t="s">
        <v>19049</v>
      </c>
      <c r="E9708" t="s">
        <v>27481</v>
      </c>
      <c r="F9708" t="s">
        <v>32831</v>
      </c>
      <c r="G9708" t="s">
        <v>32839</v>
      </c>
      <c r="H9708" t="s">
        <v>32849</v>
      </c>
      <c r="I9708" t="s">
        <v>4177</v>
      </c>
      <c r="J9708" t="s">
        <v>33044</v>
      </c>
      <c r="K9708" t="s">
        <v>42746</v>
      </c>
      <c r="M9708" t="s">
        <v>46347</v>
      </c>
      <c r="N9708" t="s">
        <v>47424</v>
      </c>
      <c r="O9708" t="s">
        <v>47425</v>
      </c>
      <c r="P9708">
        <v>0</v>
      </c>
      <c r="Q9708">
        <v>0</v>
      </c>
      <c r="R9708" t="s">
        <v>47433</v>
      </c>
      <c r="S9708" t="s">
        <v>47633</v>
      </c>
      <c r="T9708" t="s">
        <v>49235</v>
      </c>
      <c r="U9708" t="s">
        <v>57711</v>
      </c>
      <c r="W9708" t="s">
        <v>46347</v>
      </c>
      <c r="X9708" t="s">
        <v>47434</v>
      </c>
    </row>
    <row r="9709" spans="1:24">
      <c r="A9709">
        <f>HYPERLINK("https://www.philgeps.gov.ph/GEPSNONPILOT/Tender/SplashBidNoticeAbstractUI.aspx?menuIndex=3&amp;refID=7150467&amp;Result=3","7150467")</f>
        <v>0</v>
      </c>
      <c r="B9709" t="s">
        <v>2623</v>
      </c>
      <c r="C9709" t="s">
        <v>13028</v>
      </c>
      <c r="D9709" t="s">
        <v>19049</v>
      </c>
      <c r="E9709" t="s">
        <v>27482</v>
      </c>
      <c r="F9709" t="s">
        <v>32831</v>
      </c>
      <c r="G9709" t="s">
        <v>32839</v>
      </c>
      <c r="H9709" t="s">
        <v>32848</v>
      </c>
      <c r="I9709" t="s">
        <v>10805</v>
      </c>
      <c r="J9709" t="s">
        <v>38980</v>
      </c>
      <c r="K9709" t="s">
        <v>42747</v>
      </c>
      <c r="M9709" t="s">
        <v>45842</v>
      </c>
      <c r="N9709" t="s">
        <v>47424</v>
      </c>
      <c r="O9709" t="s">
        <v>47425</v>
      </c>
      <c r="P9709">
        <v>0</v>
      </c>
      <c r="Q9709">
        <v>2</v>
      </c>
      <c r="R9709" t="s">
        <v>47433</v>
      </c>
      <c r="S9709" t="s">
        <v>47633</v>
      </c>
      <c r="T9709" t="s">
        <v>49163</v>
      </c>
      <c r="U9709" t="s">
        <v>57712</v>
      </c>
      <c r="W9709" t="s">
        <v>45842</v>
      </c>
      <c r="X9709" t="s">
        <v>47434</v>
      </c>
    </row>
    <row r="9710" spans="1:24">
      <c r="A9710">
        <f>HYPERLINK("https://www.philgeps.gov.ph/GEPSNONPILOT/Tender/SplashBidNoticeAbstractUI.aspx?menuIndex=3&amp;refID=7150465&amp;Result=3","7150465")</f>
        <v>0</v>
      </c>
      <c r="B9710" t="s">
        <v>648</v>
      </c>
      <c r="C9710" t="s">
        <v>13029</v>
      </c>
      <c r="D9710" t="s">
        <v>19044</v>
      </c>
      <c r="E9710" t="s">
        <v>13029</v>
      </c>
      <c r="F9710" t="s">
        <v>32831</v>
      </c>
      <c r="G9710" t="s">
        <v>32839</v>
      </c>
      <c r="H9710" t="s">
        <v>32848</v>
      </c>
      <c r="I9710" t="s">
        <v>4487</v>
      </c>
      <c r="J9710" t="s">
        <v>34828</v>
      </c>
      <c r="K9710" t="s">
        <v>42729</v>
      </c>
      <c r="M9710" t="s">
        <v>44684</v>
      </c>
      <c r="N9710" t="s">
        <v>47424</v>
      </c>
      <c r="O9710" t="s">
        <v>47425</v>
      </c>
      <c r="P9710">
        <v>0</v>
      </c>
      <c r="Q9710">
        <v>13</v>
      </c>
      <c r="R9710" t="s">
        <v>47433</v>
      </c>
      <c r="S9710" t="s">
        <v>47633</v>
      </c>
      <c r="T9710" t="s">
        <v>49394</v>
      </c>
      <c r="U9710" t="s">
        <v>57713</v>
      </c>
      <c r="W9710" t="s">
        <v>44684</v>
      </c>
      <c r="X9710" t="s">
        <v>47434</v>
      </c>
    </row>
    <row r="9711" spans="1:24">
      <c r="A9711">
        <f>HYPERLINK("https://www.philgeps.gov.ph/GEPSNONPILOT/Tender/SplashBidNoticeAbstractUI.aspx?menuIndex=3&amp;refID=7150488&amp;Result=3","7150488")</f>
        <v>0</v>
      </c>
      <c r="B9711" t="s">
        <v>60</v>
      </c>
      <c r="C9711" t="s">
        <v>13030</v>
      </c>
      <c r="D9711" t="s">
        <v>19042</v>
      </c>
      <c r="E9711" t="s">
        <v>27483</v>
      </c>
      <c r="F9711" t="s">
        <v>32831</v>
      </c>
      <c r="G9711" t="s">
        <v>32839</v>
      </c>
      <c r="H9711" t="s">
        <v>32849</v>
      </c>
      <c r="I9711" t="s">
        <v>4177</v>
      </c>
      <c r="J9711" t="s">
        <v>38981</v>
      </c>
      <c r="K9711" t="s">
        <v>42823</v>
      </c>
      <c r="M9711" t="s">
        <v>43740</v>
      </c>
      <c r="N9711" t="s">
        <v>47424</v>
      </c>
      <c r="O9711" t="s">
        <v>47425</v>
      </c>
      <c r="P9711">
        <v>0</v>
      </c>
      <c r="Q9711">
        <v>0</v>
      </c>
      <c r="R9711" t="s">
        <v>47433</v>
      </c>
      <c r="S9711" t="s">
        <v>47633</v>
      </c>
      <c r="T9711" t="s">
        <v>49318</v>
      </c>
      <c r="U9711" t="s">
        <v>57714</v>
      </c>
      <c r="W9711" t="s">
        <v>43740</v>
      </c>
      <c r="X9711" t="s">
        <v>47434</v>
      </c>
    </row>
    <row r="9712" spans="1:24">
      <c r="A9712">
        <f>HYPERLINK("https://www.philgeps.gov.ph/GEPSNONPILOT/Tender/SplashBidNoticeAbstractUI.aspx?menuIndex=3&amp;refID=7150458&amp;Result=3","7150458")</f>
        <v>0</v>
      </c>
      <c r="B9712" t="s">
        <v>3060</v>
      </c>
      <c r="C9712" t="s">
        <v>13031</v>
      </c>
      <c r="D9712" t="s">
        <v>19034</v>
      </c>
      <c r="E9712" t="s">
        <v>27484</v>
      </c>
      <c r="F9712" t="s">
        <v>32831</v>
      </c>
      <c r="G9712" t="s">
        <v>32839</v>
      </c>
      <c r="H9712" t="s">
        <v>32848</v>
      </c>
      <c r="I9712" t="s">
        <v>4487</v>
      </c>
      <c r="J9712" t="s">
        <v>38982</v>
      </c>
      <c r="K9712" t="s">
        <v>42746</v>
      </c>
      <c r="M9712" t="s">
        <v>46335</v>
      </c>
      <c r="N9712" t="s">
        <v>47424</v>
      </c>
      <c r="O9712" t="s">
        <v>47425</v>
      </c>
      <c r="P9712">
        <v>0</v>
      </c>
      <c r="Q9712">
        <v>0</v>
      </c>
      <c r="R9712" t="s">
        <v>47433</v>
      </c>
      <c r="S9712" t="s">
        <v>47633</v>
      </c>
      <c r="T9712" t="s">
        <v>49338</v>
      </c>
      <c r="U9712" t="s">
        <v>57715</v>
      </c>
      <c r="V9712" t="s">
        <v>63700</v>
      </c>
      <c r="W9712" t="s">
        <v>46335</v>
      </c>
      <c r="X9712" t="s">
        <v>47434</v>
      </c>
    </row>
    <row r="9713" spans="1:24">
      <c r="A9713">
        <f>HYPERLINK("https://www.philgeps.gov.ph/GEPSNONPILOT/Tender/SplashBidNoticeAbstractUI.aspx?menuIndex=3&amp;refID=7150485&amp;Result=3","7150485")</f>
        <v>0</v>
      </c>
      <c r="B9713" t="s">
        <v>3061</v>
      </c>
      <c r="C9713" t="s">
        <v>13032</v>
      </c>
      <c r="D9713" t="s">
        <v>19057</v>
      </c>
      <c r="E9713" t="s">
        <v>27485</v>
      </c>
      <c r="F9713" t="s">
        <v>32831</v>
      </c>
      <c r="G9713" t="s">
        <v>32839</v>
      </c>
      <c r="H9713" t="s">
        <v>32849</v>
      </c>
      <c r="I9713" t="s">
        <v>4177</v>
      </c>
      <c r="J9713" t="s">
        <v>35331</v>
      </c>
      <c r="K9713" t="s">
        <v>42879</v>
      </c>
      <c r="L9713" t="s">
        <v>3061</v>
      </c>
      <c r="M9713" t="s">
        <v>46336</v>
      </c>
      <c r="N9713" t="s">
        <v>47424</v>
      </c>
      <c r="O9713" t="s">
        <v>47425</v>
      </c>
      <c r="P9713">
        <v>0</v>
      </c>
      <c r="Q9713">
        <v>5</v>
      </c>
      <c r="R9713" t="s">
        <v>47433</v>
      </c>
      <c r="S9713" t="s">
        <v>47633</v>
      </c>
      <c r="T9713" t="s">
        <v>49461</v>
      </c>
      <c r="U9713" t="s">
        <v>57653</v>
      </c>
      <c r="W9713" t="s">
        <v>46336</v>
      </c>
      <c r="X9713" t="s">
        <v>47434</v>
      </c>
    </row>
    <row r="9714" spans="1:24">
      <c r="A9714">
        <f>HYPERLINK("https://www.philgeps.gov.ph/GEPSNONPILOT/Tender/SplashBidNoticeAbstractUI.aspx?menuIndex=3&amp;refID=7150424&amp;Result=3","7150424")</f>
        <v>0</v>
      </c>
      <c r="B9714" t="s">
        <v>2029</v>
      </c>
      <c r="C9714" t="s">
        <v>8514</v>
      </c>
      <c r="D9714" t="s">
        <v>19067</v>
      </c>
      <c r="E9714" t="s">
        <v>27486</v>
      </c>
      <c r="F9714" t="s">
        <v>32831</v>
      </c>
      <c r="G9714" t="s">
        <v>32839</v>
      </c>
      <c r="H9714" t="s">
        <v>32848</v>
      </c>
      <c r="I9714" t="s">
        <v>7416</v>
      </c>
      <c r="J9714" t="s">
        <v>38983</v>
      </c>
      <c r="K9714" t="s">
        <v>42732</v>
      </c>
      <c r="M9714" t="s">
        <v>45197</v>
      </c>
      <c r="N9714" t="s">
        <v>47424</v>
      </c>
      <c r="O9714" t="s">
        <v>47425</v>
      </c>
      <c r="P9714">
        <v>0</v>
      </c>
      <c r="Q9714">
        <v>0</v>
      </c>
      <c r="R9714" t="s">
        <v>47433</v>
      </c>
      <c r="S9714" t="s">
        <v>47633</v>
      </c>
      <c r="T9714" t="s">
        <v>49185</v>
      </c>
      <c r="U9714" t="s">
        <v>57716</v>
      </c>
      <c r="V9714" t="s">
        <v>63701</v>
      </c>
      <c r="W9714" t="s">
        <v>45197</v>
      </c>
      <c r="X9714" t="s">
        <v>47434</v>
      </c>
    </row>
    <row r="9715" spans="1:24">
      <c r="A9715">
        <f>HYPERLINK("https://www.philgeps.gov.ph/GEPSNONPILOT/Tender/SplashBidNoticeAbstractUI.aspx?menuIndex=3&amp;refID=7150452&amp;Result=3","7150452")</f>
        <v>0</v>
      </c>
      <c r="B9715" t="s">
        <v>674</v>
      </c>
      <c r="C9715" t="s">
        <v>13033</v>
      </c>
      <c r="D9715" t="s">
        <v>19058</v>
      </c>
      <c r="E9715" t="s">
        <v>27487</v>
      </c>
      <c r="F9715" t="s">
        <v>32831</v>
      </c>
      <c r="G9715" t="s">
        <v>32838</v>
      </c>
      <c r="H9715" t="s">
        <v>32848</v>
      </c>
      <c r="I9715" t="s">
        <v>32862</v>
      </c>
      <c r="J9715" t="s">
        <v>38984</v>
      </c>
      <c r="K9715" t="s">
        <v>42732</v>
      </c>
      <c r="M9715" t="s">
        <v>44520</v>
      </c>
      <c r="N9715" t="s">
        <v>47424</v>
      </c>
      <c r="O9715" t="s">
        <v>47425</v>
      </c>
      <c r="P9715">
        <v>0</v>
      </c>
      <c r="Q9715">
        <v>1</v>
      </c>
      <c r="R9715" t="s">
        <v>47433</v>
      </c>
      <c r="S9715" t="s">
        <v>47633</v>
      </c>
      <c r="T9715" t="s">
        <v>49237</v>
      </c>
      <c r="U9715" t="s">
        <v>57717</v>
      </c>
      <c r="W9715" t="s">
        <v>44520</v>
      </c>
      <c r="X9715" t="s">
        <v>47434</v>
      </c>
    </row>
    <row r="9716" spans="1:24">
      <c r="A9716">
        <f>HYPERLINK("https://www.philgeps.gov.ph/GEPSNONPILOT/Tender/SplashBidNoticeAbstractUI.aspx?menuIndex=3&amp;refID=7150450&amp;Result=3","7150450")</f>
        <v>0</v>
      </c>
      <c r="B9716" t="s">
        <v>2866</v>
      </c>
      <c r="C9716" t="s">
        <v>5062</v>
      </c>
      <c r="D9716" t="s">
        <v>19059</v>
      </c>
      <c r="E9716" t="s">
        <v>27488</v>
      </c>
      <c r="F9716" t="s">
        <v>32831</v>
      </c>
      <c r="G9716" t="s">
        <v>32839</v>
      </c>
      <c r="H9716" t="s">
        <v>32848</v>
      </c>
      <c r="I9716" t="s">
        <v>5379</v>
      </c>
      <c r="J9716" t="s">
        <v>38985</v>
      </c>
      <c r="K9716" t="s">
        <v>42812</v>
      </c>
      <c r="M9716" t="s">
        <v>46344</v>
      </c>
      <c r="N9716" t="s">
        <v>47424</v>
      </c>
      <c r="O9716" t="s">
        <v>47425</v>
      </c>
      <c r="P9716">
        <v>0</v>
      </c>
      <c r="Q9716">
        <v>0</v>
      </c>
      <c r="R9716" t="s">
        <v>47433</v>
      </c>
      <c r="S9716" t="s">
        <v>47633</v>
      </c>
      <c r="T9716" t="s">
        <v>49173</v>
      </c>
      <c r="U9716" t="s">
        <v>57686</v>
      </c>
      <c r="W9716" t="s">
        <v>64532</v>
      </c>
      <c r="X9716" t="s">
        <v>47434</v>
      </c>
    </row>
    <row r="9717" spans="1:24">
      <c r="A9717">
        <f>HYPERLINK("https://www.philgeps.gov.ph/GEPSNONPILOT/Tender/SplashBidNoticeAbstractUI.aspx?menuIndex=3&amp;refID=7150390&amp;Result=3","7150390")</f>
        <v>0</v>
      </c>
      <c r="B9717" t="s">
        <v>3037</v>
      </c>
      <c r="C9717" t="s">
        <v>13034</v>
      </c>
      <c r="D9717" t="s">
        <v>19060</v>
      </c>
      <c r="E9717" t="s">
        <v>27489</v>
      </c>
      <c r="F9717" t="s">
        <v>32831</v>
      </c>
      <c r="G9717" t="s">
        <v>32839</v>
      </c>
      <c r="H9717" t="s">
        <v>32848</v>
      </c>
      <c r="I9717" t="s">
        <v>32870</v>
      </c>
      <c r="J9717" t="s">
        <v>33016</v>
      </c>
      <c r="K9717" t="s">
        <v>42730</v>
      </c>
      <c r="M9717" t="s">
        <v>46310</v>
      </c>
      <c r="N9717" t="s">
        <v>47424</v>
      </c>
      <c r="O9717" t="s">
        <v>47425</v>
      </c>
      <c r="P9717">
        <v>0</v>
      </c>
      <c r="Q9717">
        <v>0</v>
      </c>
      <c r="R9717" t="s">
        <v>47433</v>
      </c>
      <c r="S9717" t="s">
        <v>47633</v>
      </c>
      <c r="T9717" t="s">
        <v>49231</v>
      </c>
      <c r="U9717" t="s">
        <v>57718</v>
      </c>
      <c r="W9717" t="s">
        <v>46310</v>
      </c>
      <c r="X9717" t="s">
        <v>47434</v>
      </c>
    </row>
    <row r="9718" spans="1:24">
      <c r="A9718">
        <f>HYPERLINK("https://www.philgeps.gov.ph/GEPSNONPILOT/Tender/SplashBidNoticeAbstractUI.aspx?menuIndex=3&amp;refID=7150538&amp;Result=3","7150538")</f>
        <v>0</v>
      </c>
      <c r="B9718" t="s">
        <v>2151</v>
      </c>
      <c r="C9718" t="s">
        <v>13035</v>
      </c>
      <c r="D9718" t="s">
        <v>19054</v>
      </c>
      <c r="E9718" t="s">
        <v>27490</v>
      </c>
      <c r="F9718" t="s">
        <v>32831</v>
      </c>
      <c r="G9718" t="s">
        <v>32839</v>
      </c>
      <c r="H9718" t="s">
        <v>32848</v>
      </c>
      <c r="I9718" t="s">
        <v>32860</v>
      </c>
      <c r="J9718" t="s">
        <v>33433</v>
      </c>
      <c r="K9718" t="s">
        <v>42727</v>
      </c>
      <c r="M9718" t="s">
        <v>45332</v>
      </c>
      <c r="N9718" t="s">
        <v>47424</v>
      </c>
      <c r="O9718" t="s">
        <v>47425</v>
      </c>
      <c r="P9718">
        <v>0</v>
      </c>
      <c r="Q9718">
        <v>1</v>
      </c>
      <c r="R9718" t="s">
        <v>47433</v>
      </c>
      <c r="S9718" t="s">
        <v>47633</v>
      </c>
      <c r="T9718" t="s">
        <v>49239</v>
      </c>
      <c r="U9718" t="s">
        <v>57719</v>
      </c>
      <c r="W9718" t="s">
        <v>45332</v>
      </c>
      <c r="X9718" t="s">
        <v>47434</v>
      </c>
    </row>
    <row r="9719" spans="1:24">
      <c r="A9719">
        <f>HYPERLINK("https://www.philgeps.gov.ph/GEPSNONPILOT/Tender/SplashBidNoticeAbstractUI.aspx?menuIndex=3&amp;refID=7150459&amp;Result=3","7150459")</f>
        <v>0</v>
      </c>
      <c r="B9719" t="s">
        <v>2528</v>
      </c>
      <c r="C9719" t="s">
        <v>13036</v>
      </c>
      <c r="D9719" t="s">
        <v>19079</v>
      </c>
      <c r="E9719" t="s">
        <v>19327</v>
      </c>
      <c r="F9719" t="s">
        <v>32831</v>
      </c>
      <c r="G9719" t="s">
        <v>32838</v>
      </c>
      <c r="H9719" t="s">
        <v>32848</v>
      </c>
      <c r="I9719" t="s">
        <v>32857</v>
      </c>
      <c r="J9719" t="s">
        <v>38986</v>
      </c>
      <c r="K9719" t="s">
        <v>42730</v>
      </c>
      <c r="M9719" t="s">
        <v>45737</v>
      </c>
      <c r="N9719" t="s">
        <v>47424</v>
      </c>
      <c r="O9719" t="s">
        <v>47425</v>
      </c>
      <c r="P9719">
        <v>0</v>
      </c>
      <c r="Q9719">
        <v>7</v>
      </c>
      <c r="R9719" t="s">
        <v>47433</v>
      </c>
      <c r="S9719" t="s">
        <v>47633</v>
      </c>
      <c r="T9719" t="s">
        <v>49235</v>
      </c>
      <c r="U9719" t="s">
        <v>57720</v>
      </c>
      <c r="W9719" t="s">
        <v>45737</v>
      </c>
      <c r="X9719" t="s">
        <v>47434</v>
      </c>
    </row>
    <row r="9720" spans="1:24">
      <c r="A9720">
        <f>HYPERLINK("https://www.philgeps.gov.ph/GEPSNONPILOT/Tender/SplashBidNoticeAbstractUI.aspx?menuIndex=3&amp;refID=7150532&amp;Result=3","7150532")</f>
        <v>0</v>
      </c>
      <c r="B9720" t="s">
        <v>1375</v>
      </c>
      <c r="C9720" t="s">
        <v>13037</v>
      </c>
      <c r="D9720" t="s">
        <v>19049</v>
      </c>
      <c r="E9720" t="s">
        <v>27491</v>
      </c>
      <c r="F9720" t="s">
        <v>32831</v>
      </c>
      <c r="G9720" t="s">
        <v>32839</v>
      </c>
      <c r="H9720" t="s">
        <v>32849</v>
      </c>
      <c r="I9720" t="s">
        <v>4177</v>
      </c>
      <c r="J9720" t="s">
        <v>32980</v>
      </c>
      <c r="K9720" t="s">
        <v>42730</v>
      </c>
      <c r="M9720" t="s">
        <v>46347</v>
      </c>
      <c r="N9720" t="s">
        <v>47424</v>
      </c>
      <c r="O9720" t="s">
        <v>47425</v>
      </c>
      <c r="P9720">
        <v>0</v>
      </c>
      <c r="Q9720">
        <v>0</v>
      </c>
      <c r="R9720" t="s">
        <v>47433</v>
      </c>
      <c r="S9720" t="s">
        <v>47633</v>
      </c>
      <c r="T9720" t="s">
        <v>49235</v>
      </c>
      <c r="U9720" t="s">
        <v>57711</v>
      </c>
      <c r="W9720" t="s">
        <v>46347</v>
      </c>
      <c r="X9720" t="s">
        <v>47434</v>
      </c>
    </row>
    <row r="9721" spans="1:24">
      <c r="A9721">
        <f>HYPERLINK("https://www.philgeps.gov.ph/GEPSNONPILOT/Tender/SplashBidNoticeAbstractUI.aspx?menuIndex=3&amp;refID=7150530&amp;Result=3","7150530")</f>
        <v>0</v>
      </c>
      <c r="B9721" t="s">
        <v>1152</v>
      </c>
      <c r="C9721" t="s">
        <v>13038</v>
      </c>
      <c r="D9721" t="s">
        <v>19038</v>
      </c>
      <c r="E9721" t="s">
        <v>27492</v>
      </c>
      <c r="F9721" t="s">
        <v>32831</v>
      </c>
      <c r="G9721" t="s">
        <v>32839</v>
      </c>
      <c r="H9721" t="s">
        <v>32848</v>
      </c>
      <c r="I9721" t="s">
        <v>4303</v>
      </c>
      <c r="J9721" t="s">
        <v>38987</v>
      </c>
      <c r="K9721" t="s">
        <v>42732</v>
      </c>
      <c r="M9721" t="s">
        <v>44216</v>
      </c>
      <c r="N9721" t="s">
        <v>47424</v>
      </c>
      <c r="O9721" t="s">
        <v>47425</v>
      </c>
      <c r="P9721">
        <v>0</v>
      </c>
      <c r="Q9721">
        <v>1</v>
      </c>
      <c r="R9721" t="s">
        <v>47433</v>
      </c>
      <c r="S9721" t="s">
        <v>47633</v>
      </c>
      <c r="T9721" t="s">
        <v>49162</v>
      </c>
      <c r="U9721" t="s">
        <v>51942</v>
      </c>
      <c r="V9721" t="s">
        <v>62907</v>
      </c>
      <c r="W9721" t="s">
        <v>44216</v>
      </c>
      <c r="X9721" t="s">
        <v>47434</v>
      </c>
    </row>
    <row r="9722" spans="1:24">
      <c r="A9722">
        <f>HYPERLINK("https://www.philgeps.gov.ph/GEPSNONPILOT/Tender/SplashBidNoticeAbstractUI.aspx?menuIndex=3&amp;refID=7150527&amp;Result=3","7150527")</f>
        <v>0</v>
      </c>
      <c r="B9722" t="s">
        <v>3060</v>
      </c>
      <c r="C9722" t="s">
        <v>13039</v>
      </c>
      <c r="D9722" t="s">
        <v>19034</v>
      </c>
      <c r="E9722" t="s">
        <v>27493</v>
      </c>
      <c r="F9722" t="s">
        <v>32831</v>
      </c>
      <c r="G9722" t="s">
        <v>32841</v>
      </c>
      <c r="H9722" t="s">
        <v>32848</v>
      </c>
      <c r="I9722" t="s">
        <v>32874</v>
      </c>
      <c r="J9722" t="s">
        <v>38988</v>
      </c>
      <c r="K9722" t="s">
        <v>42746</v>
      </c>
      <c r="M9722" t="s">
        <v>46335</v>
      </c>
      <c r="N9722" t="s">
        <v>47424</v>
      </c>
      <c r="O9722" t="s">
        <v>47425</v>
      </c>
      <c r="P9722">
        <v>0</v>
      </c>
      <c r="Q9722">
        <v>3</v>
      </c>
      <c r="R9722" t="s">
        <v>47433</v>
      </c>
      <c r="S9722" t="s">
        <v>47633</v>
      </c>
      <c r="T9722" t="s">
        <v>49338</v>
      </c>
      <c r="U9722" t="s">
        <v>57721</v>
      </c>
      <c r="W9722" t="s">
        <v>46335</v>
      </c>
      <c r="X9722" t="s">
        <v>47434</v>
      </c>
    </row>
    <row r="9723" spans="1:24">
      <c r="A9723">
        <f>HYPERLINK("https://www.philgeps.gov.ph/GEPSNONPILOT/Tender/SplashBidNoticeAbstractUI.aspx?menuIndex=3&amp;refID=7150462&amp;Result=3","7150462")</f>
        <v>0</v>
      </c>
      <c r="B9723" t="s">
        <v>674</v>
      </c>
      <c r="C9723" t="s">
        <v>13040</v>
      </c>
      <c r="D9723" t="s">
        <v>19058</v>
      </c>
      <c r="E9723" t="s">
        <v>27494</v>
      </c>
      <c r="F9723" t="s">
        <v>32831</v>
      </c>
      <c r="G9723" t="s">
        <v>32840</v>
      </c>
      <c r="H9723" t="s">
        <v>32848</v>
      </c>
      <c r="I9723" t="s">
        <v>9577</v>
      </c>
      <c r="J9723" t="s">
        <v>38989</v>
      </c>
      <c r="K9723" t="s">
        <v>42732</v>
      </c>
      <c r="M9723" t="s">
        <v>44520</v>
      </c>
      <c r="N9723" t="s">
        <v>47424</v>
      </c>
      <c r="O9723" t="s">
        <v>47425</v>
      </c>
      <c r="P9723">
        <v>0</v>
      </c>
      <c r="Q9723">
        <v>0</v>
      </c>
      <c r="R9723" t="s">
        <v>47433</v>
      </c>
      <c r="S9723" t="s">
        <v>47633</v>
      </c>
      <c r="T9723" t="s">
        <v>49237</v>
      </c>
      <c r="U9723" t="s">
        <v>57722</v>
      </c>
      <c r="W9723" t="s">
        <v>44520</v>
      </c>
      <c r="X9723" t="s">
        <v>47434</v>
      </c>
    </row>
    <row r="9724" spans="1:24">
      <c r="A9724">
        <f>HYPERLINK("https://www.philgeps.gov.ph/GEPSNONPILOT/Tender/SplashBidNoticeAbstractUI.aspx?menuIndex=3&amp;refID=7150525&amp;Result=3","7150525")</f>
        <v>0</v>
      </c>
      <c r="B9724" t="s">
        <v>2441</v>
      </c>
      <c r="C9724" t="s">
        <v>13041</v>
      </c>
      <c r="D9724" t="s">
        <v>19032</v>
      </c>
      <c r="E9724" t="s">
        <v>27495</v>
      </c>
      <c r="F9724" t="s">
        <v>32831</v>
      </c>
      <c r="G9724" t="s">
        <v>32838</v>
      </c>
      <c r="H9724" t="s">
        <v>32848</v>
      </c>
      <c r="I9724" t="s">
        <v>4222</v>
      </c>
      <c r="J9724" t="s">
        <v>38990</v>
      </c>
      <c r="K9724" t="s">
        <v>42786</v>
      </c>
      <c r="M9724" t="s">
        <v>45916</v>
      </c>
      <c r="N9724" t="s">
        <v>47424</v>
      </c>
      <c r="O9724" t="s">
        <v>47425</v>
      </c>
      <c r="P9724">
        <v>0</v>
      </c>
      <c r="Q9724">
        <v>1</v>
      </c>
      <c r="R9724" t="s">
        <v>47433</v>
      </c>
      <c r="S9724" t="s">
        <v>47633</v>
      </c>
      <c r="T9724" t="s">
        <v>49497</v>
      </c>
      <c r="U9724" t="s">
        <v>56341</v>
      </c>
      <c r="W9724" t="s">
        <v>45916</v>
      </c>
      <c r="X9724" t="s">
        <v>47434</v>
      </c>
    </row>
    <row r="9725" spans="1:24">
      <c r="A9725">
        <f>HYPERLINK("https://www.philgeps.gov.ph/GEPSNONPILOT/Tender/SplashBidNoticeAbstractUI.aspx?menuIndex=3&amp;refID=7150523&amp;Result=3","7150523")</f>
        <v>0</v>
      </c>
      <c r="B9725" t="s">
        <v>1425</v>
      </c>
      <c r="C9725" t="s">
        <v>7474</v>
      </c>
      <c r="D9725" t="s">
        <v>19073</v>
      </c>
      <c r="E9725" t="s">
        <v>27496</v>
      </c>
      <c r="F9725" t="s">
        <v>32831</v>
      </c>
      <c r="G9725" t="s">
        <v>32839</v>
      </c>
      <c r="H9725" t="s">
        <v>32848</v>
      </c>
      <c r="I9725" t="s">
        <v>4776</v>
      </c>
      <c r="J9725" t="s">
        <v>38991</v>
      </c>
      <c r="K9725" t="s">
        <v>42730</v>
      </c>
      <c r="M9725" t="s">
        <v>44514</v>
      </c>
      <c r="N9725" t="s">
        <v>47424</v>
      </c>
      <c r="O9725" t="s">
        <v>47425</v>
      </c>
      <c r="P9725">
        <v>0</v>
      </c>
      <c r="Q9725">
        <v>4</v>
      </c>
      <c r="R9725" t="s">
        <v>47433</v>
      </c>
      <c r="S9725" t="s">
        <v>47633</v>
      </c>
      <c r="T9725" t="s">
        <v>49111</v>
      </c>
      <c r="U9725" t="s">
        <v>57723</v>
      </c>
      <c r="W9725" t="s">
        <v>44514</v>
      </c>
      <c r="X9725" t="s">
        <v>47434</v>
      </c>
    </row>
    <row r="9726" spans="1:24">
      <c r="A9726">
        <f>HYPERLINK("https://www.philgeps.gov.ph/GEPSNONPILOT/Tender/SplashBidNoticeAbstractUI.aspx?menuIndex=3&amp;refID=7150521&amp;Result=3","7150521")</f>
        <v>0</v>
      </c>
      <c r="B9726" t="s">
        <v>3070</v>
      </c>
      <c r="C9726" t="s">
        <v>13042</v>
      </c>
      <c r="D9726" t="s">
        <v>19054</v>
      </c>
      <c r="E9726" t="s">
        <v>27497</v>
      </c>
      <c r="F9726" t="s">
        <v>32831</v>
      </c>
      <c r="G9726" t="s">
        <v>32839</v>
      </c>
      <c r="H9726" t="s">
        <v>32848</v>
      </c>
      <c r="I9726" t="s">
        <v>4177</v>
      </c>
      <c r="J9726" t="s">
        <v>33468</v>
      </c>
      <c r="K9726" t="s">
        <v>42726</v>
      </c>
      <c r="M9726" t="s">
        <v>46348</v>
      </c>
      <c r="N9726" t="s">
        <v>47424</v>
      </c>
      <c r="O9726" t="s">
        <v>47425</v>
      </c>
      <c r="P9726">
        <v>0</v>
      </c>
      <c r="Q9726">
        <v>0</v>
      </c>
      <c r="R9726" t="s">
        <v>47433</v>
      </c>
      <c r="S9726" t="s">
        <v>47633</v>
      </c>
      <c r="T9726" t="s">
        <v>49214</v>
      </c>
      <c r="U9726" t="s">
        <v>57724</v>
      </c>
      <c r="W9726" t="s">
        <v>46348</v>
      </c>
      <c r="X9726" t="s">
        <v>47434</v>
      </c>
    </row>
    <row r="9727" spans="1:24">
      <c r="A9727">
        <f>HYPERLINK("https://www.philgeps.gov.ph/GEPSNONPILOT/Tender/SplashBidNoticeAbstractUI.aspx?menuIndex=3&amp;refID=7150541&amp;Result=3","7150541")</f>
        <v>0</v>
      </c>
      <c r="B9727" t="s">
        <v>1657</v>
      </c>
      <c r="C9727" t="s">
        <v>13043</v>
      </c>
      <c r="D9727" t="s">
        <v>19020</v>
      </c>
      <c r="E9727" t="s">
        <v>27498</v>
      </c>
      <c r="F9727" t="s">
        <v>32831</v>
      </c>
      <c r="G9727" t="s">
        <v>32838</v>
      </c>
      <c r="H9727" t="s">
        <v>32848</v>
      </c>
      <c r="I9727" t="s">
        <v>4303</v>
      </c>
      <c r="J9727" t="s">
        <v>33279</v>
      </c>
      <c r="K9727" t="s">
        <v>42730</v>
      </c>
      <c r="M9727" t="s">
        <v>46349</v>
      </c>
      <c r="N9727" t="s">
        <v>47424</v>
      </c>
      <c r="O9727" t="s">
        <v>47425</v>
      </c>
      <c r="P9727">
        <v>0</v>
      </c>
      <c r="Q9727">
        <v>3</v>
      </c>
      <c r="R9727" t="s">
        <v>47433</v>
      </c>
      <c r="S9727" t="s">
        <v>47633</v>
      </c>
      <c r="T9727" t="s">
        <v>49373</v>
      </c>
      <c r="U9727" t="s">
        <v>57725</v>
      </c>
      <c r="W9727" t="s">
        <v>64480</v>
      </c>
      <c r="X9727" t="s">
        <v>47434</v>
      </c>
    </row>
    <row r="9728" spans="1:24">
      <c r="A9728">
        <f>HYPERLINK("https://www.philgeps.gov.ph/GEPSNONPILOT/Tender/SplashBidNoticeAbstractUI.aspx?menuIndex=3&amp;refID=7150517&amp;Result=3","7150517")</f>
        <v>0</v>
      </c>
      <c r="B9728" t="s">
        <v>99</v>
      </c>
      <c r="C9728" t="s">
        <v>13044</v>
      </c>
      <c r="D9728" t="s">
        <v>19054</v>
      </c>
      <c r="E9728" t="s">
        <v>27499</v>
      </c>
      <c r="F9728" t="s">
        <v>32831</v>
      </c>
      <c r="G9728" t="s">
        <v>32839</v>
      </c>
      <c r="H9728" t="s">
        <v>32848</v>
      </c>
      <c r="I9728" t="s">
        <v>32875</v>
      </c>
      <c r="J9728" t="s">
        <v>33660</v>
      </c>
      <c r="K9728" t="s">
        <v>42730</v>
      </c>
      <c r="M9728" t="s">
        <v>43096</v>
      </c>
      <c r="N9728" t="s">
        <v>47424</v>
      </c>
      <c r="O9728" t="s">
        <v>47425</v>
      </c>
      <c r="P9728">
        <v>0</v>
      </c>
      <c r="Q9728">
        <v>0</v>
      </c>
      <c r="R9728" t="s">
        <v>47433</v>
      </c>
      <c r="S9728" t="s">
        <v>47633</v>
      </c>
      <c r="T9728" t="s">
        <v>49111</v>
      </c>
      <c r="U9728" t="s">
        <v>49821</v>
      </c>
      <c r="V9728" t="s">
        <v>63699</v>
      </c>
      <c r="W9728" t="s">
        <v>43096</v>
      </c>
      <c r="X9728" t="s">
        <v>47434</v>
      </c>
    </row>
    <row r="9729" spans="1:24">
      <c r="A9729">
        <f>HYPERLINK("https://www.philgeps.gov.ph/GEPSNONPILOT/Tender/SplashBidNoticeAbstractUI.aspx?menuIndex=3&amp;refID=7150535&amp;Result=3","7150535")</f>
        <v>0</v>
      </c>
      <c r="B9729" t="s">
        <v>1770</v>
      </c>
      <c r="C9729" t="s">
        <v>13045</v>
      </c>
      <c r="D9729" t="s">
        <v>19058</v>
      </c>
      <c r="E9729" t="s">
        <v>27500</v>
      </c>
      <c r="F9729" t="s">
        <v>32831</v>
      </c>
      <c r="G9729" t="s">
        <v>32840</v>
      </c>
      <c r="H9729" t="s">
        <v>32848</v>
      </c>
      <c r="I9729" t="s">
        <v>4340</v>
      </c>
      <c r="J9729" t="s">
        <v>38992</v>
      </c>
      <c r="K9729" t="s">
        <v>42726</v>
      </c>
      <c r="M9729" t="s">
        <v>44895</v>
      </c>
      <c r="N9729" t="s">
        <v>47424</v>
      </c>
      <c r="O9729" t="s">
        <v>47425</v>
      </c>
      <c r="P9729">
        <v>0</v>
      </c>
      <c r="Q9729">
        <v>0</v>
      </c>
      <c r="R9729" t="s">
        <v>47433</v>
      </c>
      <c r="S9729" t="s">
        <v>47633</v>
      </c>
      <c r="T9729" t="s">
        <v>49237</v>
      </c>
      <c r="U9729" t="s">
        <v>57726</v>
      </c>
      <c r="W9729" t="s">
        <v>44895</v>
      </c>
      <c r="X9729" t="s">
        <v>47434</v>
      </c>
    </row>
    <row r="9730" spans="1:24">
      <c r="A9730">
        <f>HYPERLINK("https://www.philgeps.gov.ph/GEPSNONPILOT/Tender/SplashBidNoticeAbstractUI.aspx?menuIndex=3&amp;refID=7150531&amp;Result=3","7150531")</f>
        <v>0</v>
      </c>
      <c r="B9730" t="s">
        <v>3062</v>
      </c>
      <c r="C9730" t="s">
        <v>13046</v>
      </c>
      <c r="D9730" t="s">
        <v>19019</v>
      </c>
      <c r="E9730" t="s">
        <v>27501</v>
      </c>
      <c r="F9730" t="s">
        <v>32831</v>
      </c>
      <c r="G9730" t="s">
        <v>32839</v>
      </c>
      <c r="H9730" t="s">
        <v>32849</v>
      </c>
      <c r="I9730" t="s">
        <v>4177</v>
      </c>
      <c r="J9730" t="s">
        <v>32980</v>
      </c>
      <c r="K9730" t="s">
        <v>42731</v>
      </c>
      <c r="M9730" t="s">
        <v>46337</v>
      </c>
      <c r="N9730" t="s">
        <v>47424</v>
      </c>
      <c r="O9730" t="s">
        <v>47425</v>
      </c>
      <c r="P9730">
        <v>0</v>
      </c>
      <c r="Q9730">
        <v>1</v>
      </c>
      <c r="R9730" t="s">
        <v>47433</v>
      </c>
      <c r="S9730" t="s">
        <v>47633</v>
      </c>
      <c r="T9730" t="s">
        <v>49307</v>
      </c>
      <c r="U9730" t="s">
        <v>57658</v>
      </c>
      <c r="W9730" t="s">
        <v>46337</v>
      </c>
      <c r="X9730" t="s">
        <v>47434</v>
      </c>
    </row>
    <row r="9731" spans="1:24">
      <c r="A9731">
        <f>HYPERLINK("https://www.philgeps.gov.ph/GEPSNONPILOT/Tender/SplashBidNoticeAbstractUI.aspx?menuIndex=3&amp;refID=7150519&amp;Result=3","7150519")</f>
        <v>0</v>
      </c>
      <c r="B9731" t="s">
        <v>2429</v>
      </c>
      <c r="C9731" t="s">
        <v>13047</v>
      </c>
      <c r="D9731" t="s">
        <v>19064</v>
      </c>
      <c r="E9731" t="s">
        <v>27502</v>
      </c>
      <c r="F9731" t="s">
        <v>32831</v>
      </c>
      <c r="G9731" t="s">
        <v>32839</v>
      </c>
      <c r="H9731" t="s">
        <v>32848</v>
      </c>
      <c r="I9731" t="s">
        <v>32863</v>
      </c>
      <c r="J9731" t="s">
        <v>35712</v>
      </c>
      <c r="K9731" t="s">
        <v>42731</v>
      </c>
      <c r="M9731" t="s">
        <v>45626</v>
      </c>
      <c r="N9731" t="s">
        <v>47424</v>
      </c>
      <c r="O9731" t="s">
        <v>47425</v>
      </c>
      <c r="P9731">
        <v>0</v>
      </c>
      <c r="Q9731">
        <v>0</v>
      </c>
      <c r="R9731" t="s">
        <v>47433</v>
      </c>
      <c r="S9731" t="s">
        <v>47633</v>
      </c>
      <c r="T9731" t="s">
        <v>49055</v>
      </c>
      <c r="U9731" t="s">
        <v>57727</v>
      </c>
      <c r="W9731" t="s">
        <v>45626</v>
      </c>
      <c r="X9731" t="s">
        <v>47434</v>
      </c>
    </row>
    <row r="9732" spans="1:24">
      <c r="A9732">
        <f>HYPERLINK("https://www.philgeps.gov.ph/GEPSNONPILOT/Tender/SplashBidNoticeAbstractUI.aspx?menuIndex=3&amp;refID=7150520&amp;Result=3","7150520")</f>
        <v>0</v>
      </c>
      <c r="B9732" t="s">
        <v>3071</v>
      </c>
      <c r="C9732" t="s">
        <v>13048</v>
      </c>
      <c r="D9732" t="s">
        <v>19039</v>
      </c>
      <c r="E9732" t="s">
        <v>27503</v>
      </c>
      <c r="F9732" t="s">
        <v>32831</v>
      </c>
      <c r="G9732" t="s">
        <v>32839</v>
      </c>
      <c r="H9732" t="s">
        <v>32848</v>
      </c>
      <c r="I9732" t="s">
        <v>32856</v>
      </c>
      <c r="J9732" t="s">
        <v>33313</v>
      </c>
      <c r="K9732" t="s">
        <v>42732</v>
      </c>
      <c r="M9732" t="s">
        <v>46350</v>
      </c>
      <c r="N9732" t="s">
        <v>47424</v>
      </c>
      <c r="O9732" t="s">
        <v>47425</v>
      </c>
      <c r="P9732">
        <v>0</v>
      </c>
      <c r="Q9732">
        <v>1</v>
      </c>
      <c r="R9732" t="s">
        <v>47433</v>
      </c>
      <c r="S9732" t="s">
        <v>47633</v>
      </c>
      <c r="T9732" t="s">
        <v>49239</v>
      </c>
      <c r="U9732" t="s">
        <v>57728</v>
      </c>
      <c r="W9732" t="s">
        <v>46350</v>
      </c>
      <c r="X9732" t="s">
        <v>47434</v>
      </c>
    </row>
    <row r="9733" spans="1:24">
      <c r="A9733">
        <f>HYPERLINK("https://www.philgeps.gov.ph/GEPSNONPILOT/Tender/SplashBidNoticeAbstractUI.aspx?menuIndex=3&amp;refID=7150576&amp;Result=3","7150576")</f>
        <v>0</v>
      </c>
      <c r="B9733" t="s">
        <v>3012</v>
      </c>
      <c r="C9733" t="s">
        <v>13049</v>
      </c>
      <c r="D9733" t="s">
        <v>19047</v>
      </c>
      <c r="E9733" t="s">
        <v>21085</v>
      </c>
      <c r="F9733" t="s">
        <v>32831</v>
      </c>
      <c r="G9733" t="s">
        <v>32840</v>
      </c>
      <c r="H9733" t="s">
        <v>32848</v>
      </c>
      <c r="I9733" t="s">
        <v>32860</v>
      </c>
      <c r="J9733" t="s">
        <v>33627</v>
      </c>
      <c r="K9733" t="s">
        <v>42749</v>
      </c>
      <c r="M9733" t="s">
        <v>46282</v>
      </c>
      <c r="N9733" t="s">
        <v>47424</v>
      </c>
      <c r="O9733" t="s">
        <v>47425</v>
      </c>
      <c r="P9733">
        <v>0</v>
      </c>
      <c r="Q9733">
        <v>5</v>
      </c>
      <c r="R9733" t="s">
        <v>47433</v>
      </c>
      <c r="S9733" t="s">
        <v>47633</v>
      </c>
      <c r="T9733" t="s">
        <v>49177</v>
      </c>
      <c r="U9733" t="s">
        <v>57487</v>
      </c>
      <c r="W9733" t="s">
        <v>46282</v>
      </c>
      <c r="X9733" t="s">
        <v>47434</v>
      </c>
    </row>
    <row r="9734" spans="1:24">
      <c r="A9734">
        <f>HYPERLINK("https://www.philgeps.gov.ph/GEPSNONPILOT/Tender/SplashBidNoticeAbstractUI.aspx?menuIndex=3&amp;refID=7150580&amp;Result=3","7150580")</f>
        <v>0</v>
      </c>
      <c r="B9734" t="s">
        <v>3062</v>
      </c>
      <c r="C9734" t="s">
        <v>13050</v>
      </c>
      <c r="D9734" t="s">
        <v>19019</v>
      </c>
      <c r="E9734" t="s">
        <v>27504</v>
      </c>
      <c r="F9734" t="s">
        <v>32831</v>
      </c>
      <c r="G9734" t="s">
        <v>32839</v>
      </c>
      <c r="H9734" t="s">
        <v>32849</v>
      </c>
      <c r="I9734" t="s">
        <v>4177</v>
      </c>
      <c r="J9734" t="s">
        <v>32980</v>
      </c>
      <c r="K9734" t="s">
        <v>42731</v>
      </c>
      <c r="M9734" t="s">
        <v>46337</v>
      </c>
      <c r="N9734" t="s">
        <v>47424</v>
      </c>
      <c r="O9734" t="s">
        <v>47425</v>
      </c>
      <c r="P9734">
        <v>0</v>
      </c>
      <c r="Q9734">
        <v>1</v>
      </c>
      <c r="R9734" t="s">
        <v>47433</v>
      </c>
      <c r="S9734" t="s">
        <v>47633</v>
      </c>
      <c r="T9734" t="s">
        <v>49307</v>
      </c>
      <c r="U9734" t="s">
        <v>57658</v>
      </c>
      <c r="W9734" t="s">
        <v>46337</v>
      </c>
      <c r="X9734" t="s">
        <v>47434</v>
      </c>
    </row>
    <row r="9735" spans="1:24">
      <c r="A9735">
        <f>HYPERLINK("https://www.philgeps.gov.ph/GEPSNONPILOT/Tender/SplashBidNoticeAbstractUI.aspx?menuIndex=3&amp;refID=7150574&amp;Result=3","7150574")</f>
        <v>0</v>
      </c>
      <c r="B9735" t="s">
        <v>3061</v>
      </c>
      <c r="C9735" t="s">
        <v>13051</v>
      </c>
      <c r="D9735" t="s">
        <v>19057</v>
      </c>
      <c r="E9735" t="s">
        <v>27505</v>
      </c>
      <c r="F9735" t="s">
        <v>32831</v>
      </c>
      <c r="G9735" t="s">
        <v>32839</v>
      </c>
      <c r="H9735" t="s">
        <v>32849</v>
      </c>
      <c r="I9735" t="s">
        <v>4177</v>
      </c>
      <c r="J9735" t="s">
        <v>38993</v>
      </c>
      <c r="K9735" t="s">
        <v>42780</v>
      </c>
      <c r="L9735" t="s">
        <v>3061</v>
      </c>
      <c r="M9735" t="s">
        <v>46336</v>
      </c>
      <c r="N9735" t="s">
        <v>47424</v>
      </c>
      <c r="O9735" t="s">
        <v>47425</v>
      </c>
      <c r="P9735">
        <v>0</v>
      </c>
      <c r="Q9735">
        <v>6</v>
      </c>
      <c r="R9735" t="s">
        <v>47433</v>
      </c>
      <c r="S9735" t="s">
        <v>47633</v>
      </c>
      <c r="T9735" t="s">
        <v>49461</v>
      </c>
      <c r="U9735" t="s">
        <v>57653</v>
      </c>
      <c r="W9735" t="s">
        <v>46336</v>
      </c>
      <c r="X9735" t="s">
        <v>47434</v>
      </c>
    </row>
    <row r="9736" spans="1:24">
      <c r="A9736">
        <f>HYPERLINK("https://www.philgeps.gov.ph/GEPSNONPILOT/Tender/SplashBidNoticeAbstractUI.aspx?menuIndex=3&amp;refID=7150568&amp;Result=3","7150568")</f>
        <v>0</v>
      </c>
      <c r="B9736" t="s">
        <v>3060</v>
      </c>
      <c r="C9736" t="s">
        <v>13052</v>
      </c>
      <c r="D9736" t="s">
        <v>19034</v>
      </c>
      <c r="E9736" t="s">
        <v>27506</v>
      </c>
      <c r="F9736" t="s">
        <v>32831</v>
      </c>
      <c r="G9736" t="s">
        <v>32841</v>
      </c>
      <c r="H9736" t="s">
        <v>32848</v>
      </c>
      <c r="I9736" t="s">
        <v>10805</v>
      </c>
      <c r="J9736" t="s">
        <v>38994</v>
      </c>
      <c r="K9736" t="s">
        <v>42746</v>
      </c>
      <c r="M9736" t="s">
        <v>46335</v>
      </c>
      <c r="N9736" t="s">
        <v>47424</v>
      </c>
      <c r="O9736" t="s">
        <v>47425</v>
      </c>
      <c r="P9736">
        <v>0</v>
      </c>
      <c r="Q9736">
        <v>0</v>
      </c>
      <c r="R9736" t="s">
        <v>47433</v>
      </c>
      <c r="S9736" t="s">
        <v>47633</v>
      </c>
      <c r="T9736" t="s">
        <v>49338</v>
      </c>
      <c r="U9736" t="s">
        <v>57729</v>
      </c>
      <c r="W9736" t="s">
        <v>46335</v>
      </c>
      <c r="X9736" t="s">
        <v>47434</v>
      </c>
    </row>
    <row r="9737" spans="1:24">
      <c r="A9737">
        <f>HYPERLINK("https://www.philgeps.gov.ph/GEPSNONPILOT/Tender/SplashBidNoticeAbstractUI.aspx?menuIndex=3&amp;refID=7150565&amp;Result=3","7150565")</f>
        <v>0</v>
      </c>
      <c r="B9737" t="s">
        <v>99</v>
      </c>
      <c r="C9737" t="s">
        <v>13053</v>
      </c>
      <c r="D9737" t="s">
        <v>19054</v>
      </c>
      <c r="E9737" t="s">
        <v>27507</v>
      </c>
      <c r="F9737" t="s">
        <v>32831</v>
      </c>
      <c r="G9737" t="s">
        <v>32839</v>
      </c>
      <c r="H9737" t="s">
        <v>32848</v>
      </c>
      <c r="I9737" t="s">
        <v>5379</v>
      </c>
      <c r="J9737" t="s">
        <v>33970</v>
      </c>
      <c r="K9737" t="s">
        <v>42759</v>
      </c>
      <c r="M9737" t="s">
        <v>43096</v>
      </c>
      <c r="N9737" t="s">
        <v>47424</v>
      </c>
      <c r="O9737" t="s">
        <v>47425</v>
      </c>
      <c r="P9737">
        <v>0</v>
      </c>
      <c r="Q9737">
        <v>0</v>
      </c>
      <c r="R9737" t="s">
        <v>47433</v>
      </c>
      <c r="S9737" t="s">
        <v>47633</v>
      </c>
      <c r="T9737" t="s">
        <v>49111</v>
      </c>
      <c r="U9737" t="s">
        <v>49821</v>
      </c>
      <c r="V9737" t="s">
        <v>63699</v>
      </c>
      <c r="W9737" t="s">
        <v>43096</v>
      </c>
      <c r="X9737" t="s">
        <v>47434</v>
      </c>
    </row>
    <row r="9738" spans="1:24">
      <c r="A9738">
        <f>HYPERLINK("https://www.philgeps.gov.ph/GEPSNONPILOT/Tender/SplashBidNoticeAbstractUI.aspx?menuIndex=3&amp;refID=7150579&amp;Result=3","7150579")</f>
        <v>0</v>
      </c>
      <c r="B9738" t="s">
        <v>3072</v>
      </c>
      <c r="C9738" t="s">
        <v>13054</v>
      </c>
      <c r="D9738" t="s">
        <v>19042</v>
      </c>
      <c r="E9738" t="s">
        <v>19763</v>
      </c>
      <c r="F9738" t="s">
        <v>32831</v>
      </c>
      <c r="G9738" t="s">
        <v>32839</v>
      </c>
      <c r="H9738" t="s">
        <v>32848</v>
      </c>
      <c r="I9738" t="s">
        <v>7416</v>
      </c>
      <c r="J9738" t="s">
        <v>38995</v>
      </c>
      <c r="K9738" t="s">
        <v>42730</v>
      </c>
      <c r="M9738" t="s">
        <v>46351</v>
      </c>
      <c r="N9738" t="s">
        <v>47424</v>
      </c>
      <c r="O9738" t="s">
        <v>47425</v>
      </c>
      <c r="P9738">
        <v>0</v>
      </c>
      <c r="Q9738">
        <v>1</v>
      </c>
      <c r="R9738" t="s">
        <v>47433</v>
      </c>
      <c r="S9738" t="s">
        <v>47633</v>
      </c>
      <c r="T9738" t="s">
        <v>49328</v>
      </c>
      <c r="U9738" t="s">
        <v>57730</v>
      </c>
      <c r="W9738" t="s">
        <v>46351</v>
      </c>
      <c r="X9738" t="s">
        <v>47434</v>
      </c>
    </row>
    <row r="9739" spans="1:24">
      <c r="A9739">
        <f>HYPERLINK("https://www.philgeps.gov.ph/GEPSNONPILOT/Tender/SplashBidNoticeAbstractUI.aspx?menuIndex=3&amp;refID=7150563&amp;Result=3","7150563")</f>
        <v>0</v>
      </c>
      <c r="B9739" t="s">
        <v>1152</v>
      </c>
      <c r="C9739" t="s">
        <v>13055</v>
      </c>
      <c r="D9739" t="s">
        <v>19038</v>
      </c>
      <c r="E9739" t="s">
        <v>27508</v>
      </c>
      <c r="F9739" t="s">
        <v>32831</v>
      </c>
      <c r="G9739" t="s">
        <v>32839</v>
      </c>
      <c r="H9739" t="s">
        <v>32848</v>
      </c>
      <c r="I9739" t="s">
        <v>9577</v>
      </c>
      <c r="J9739" t="s">
        <v>38996</v>
      </c>
      <c r="K9739" t="s">
        <v>42732</v>
      </c>
      <c r="M9739" t="s">
        <v>44216</v>
      </c>
      <c r="N9739" t="s">
        <v>47424</v>
      </c>
      <c r="O9739" t="s">
        <v>47425</v>
      </c>
      <c r="P9739">
        <v>0</v>
      </c>
      <c r="Q9739">
        <v>3</v>
      </c>
      <c r="R9739" t="s">
        <v>47433</v>
      </c>
      <c r="S9739" t="s">
        <v>47633</v>
      </c>
      <c r="T9739" t="s">
        <v>49162</v>
      </c>
      <c r="U9739" t="s">
        <v>51942</v>
      </c>
      <c r="V9739" t="s">
        <v>63702</v>
      </c>
      <c r="W9739" t="s">
        <v>44216</v>
      </c>
      <c r="X9739" t="s">
        <v>47434</v>
      </c>
    </row>
    <row r="9740" spans="1:24">
      <c r="A9740">
        <f>HYPERLINK("https://www.philgeps.gov.ph/GEPSNONPILOT/Tender/SplashBidNoticeAbstractUI.aspx?menuIndex=3&amp;refID=7150561&amp;Result=3","7150561")</f>
        <v>0</v>
      </c>
      <c r="B9740" t="s">
        <v>657</v>
      </c>
      <c r="C9740" t="s">
        <v>13056</v>
      </c>
      <c r="D9740" t="s">
        <v>19027</v>
      </c>
      <c r="E9740" t="s">
        <v>27509</v>
      </c>
      <c r="F9740" t="s">
        <v>32831</v>
      </c>
      <c r="G9740" t="s">
        <v>32838</v>
      </c>
      <c r="H9740" t="s">
        <v>32848</v>
      </c>
      <c r="I9740" t="s">
        <v>11727</v>
      </c>
      <c r="J9740" t="s">
        <v>33424</v>
      </c>
      <c r="K9740" t="s">
        <v>42732</v>
      </c>
      <c r="M9740" t="s">
        <v>43675</v>
      </c>
      <c r="N9740" t="s">
        <v>47424</v>
      </c>
      <c r="O9740" t="s">
        <v>47425</v>
      </c>
      <c r="P9740">
        <v>0</v>
      </c>
      <c r="Q9740">
        <v>0</v>
      </c>
      <c r="R9740" t="s">
        <v>47433</v>
      </c>
      <c r="S9740" t="s">
        <v>47633</v>
      </c>
      <c r="T9740" t="s">
        <v>49166</v>
      </c>
      <c r="U9740" t="s">
        <v>50905</v>
      </c>
      <c r="W9740" t="s">
        <v>43675</v>
      </c>
      <c r="X9740" t="s">
        <v>47434</v>
      </c>
    </row>
    <row r="9741" spans="1:24">
      <c r="A9741">
        <f>HYPERLINK("https://www.philgeps.gov.ph/GEPSNONPILOT/Tender/SplashBidNoticeAbstractUI.aspx?menuIndex=3&amp;refID=7150446&amp;Result=3","7150446")</f>
        <v>0</v>
      </c>
      <c r="B9741" t="s">
        <v>1657</v>
      </c>
      <c r="C9741" t="s">
        <v>13057</v>
      </c>
      <c r="E9741" t="s">
        <v>27510</v>
      </c>
      <c r="F9741" t="s">
        <v>32831</v>
      </c>
      <c r="G9741" t="s">
        <v>32839</v>
      </c>
      <c r="H9741" t="s">
        <v>32848</v>
      </c>
      <c r="I9741" t="s">
        <v>32852</v>
      </c>
      <c r="J9741" t="s">
        <v>33111</v>
      </c>
      <c r="K9741" t="s">
        <v>42730</v>
      </c>
      <c r="M9741" t="s">
        <v>44774</v>
      </c>
      <c r="N9741" t="s">
        <v>47424</v>
      </c>
      <c r="O9741" t="s">
        <v>47425</v>
      </c>
      <c r="P9741">
        <v>0</v>
      </c>
      <c r="Q9741">
        <v>5</v>
      </c>
      <c r="R9741" t="s">
        <v>47433</v>
      </c>
      <c r="S9741" t="s">
        <v>47633</v>
      </c>
      <c r="T9741" t="s">
        <v>49541</v>
      </c>
      <c r="U9741" t="s">
        <v>57731</v>
      </c>
      <c r="W9741" t="s">
        <v>46349</v>
      </c>
      <c r="X9741" t="s">
        <v>47434</v>
      </c>
    </row>
    <row r="9742" spans="1:24">
      <c r="A9742">
        <f>HYPERLINK("https://www.philgeps.gov.ph/GEPSNONPILOT/Tender/SplashBidNoticeAbstractUI.aspx?menuIndex=3&amp;refID=7150564&amp;Result=3","7150564")</f>
        <v>0</v>
      </c>
      <c r="B9742" t="s">
        <v>3073</v>
      </c>
      <c r="C9742" t="s">
        <v>13058</v>
      </c>
      <c r="D9742" t="s">
        <v>19094</v>
      </c>
      <c r="E9742" t="s">
        <v>20332</v>
      </c>
      <c r="F9742" t="s">
        <v>32831</v>
      </c>
      <c r="G9742" t="s">
        <v>32839</v>
      </c>
      <c r="H9742" t="s">
        <v>32849</v>
      </c>
      <c r="I9742" t="s">
        <v>4177</v>
      </c>
      <c r="J9742" t="s">
        <v>38997</v>
      </c>
      <c r="K9742" t="s">
        <v>42730</v>
      </c>
      <c r="M9742" t="s">
        <v>46352</v>
      </c>
      <c r="N9742" t="s">
        <v>47424</v>
      </c>
      <c r="O9742" t="s">
        <v>47425</v>
      </c>
      <c r="P9742">
        <v>0</v>
      </c>
      <c r="Q9742">
        <v>1</v>
      </c>
      <c r="R9742" t="s">
        <v>47433</v>
      </c>
      <c r="S9742" t="s">
        <v>47633</v>
      </c>
      <c r="T9742" t="s">
        <v>49192</v>
      </c>
      <c r="U9742" t="s">
        <v>57732</v>
      </c>
      <c r="W9742" t="s">
        <v>46352</v>
      </c>
      <c r="X9742" t="s">
        <v>47434</v>
      </c>
    </row>
    <row r="9743" spans="1:24">
      <c r="A9743">
        <f>HYPERLINK("https://www.philgeps.gov.ph/GEPSNONPILOT/Tender/SplashBidNoticeAbstractUI.aspx?menuIndex=3&amp;refID=7150620&amp;Result=3","7150620")</f>
        <v>0</v>
      </c>
      <c r="B9743" t="s">
        <v>437</v>
      </c>
      <c r="C9743" t="s">
        <v>13059</v>
      </c>
      <c r="D9743" t="s">
        <v>19017</v>
      </c>
      <c r="E9743" t="s">
        <v>27511</v>
      </c>
      <c r="F9743" t="s">
        <v>32831</v>
      </c>
      <c r="G9743" t="s">
        <v>32839</v>
      </c>
      <c r="H9743" t="s">
        <v>32848</v>
      </c>
      <c r="I9743" t="s">
        <v>10805</v>
      </c>
      <c r="J9743" t="s">
        <v>38998</v>
      </c>
      <c r="K9743" t="s">
        <v>42732</v>
      </c>
      <c r="M9743" t="s">
        <v>43442</v>
      </c>
      <c r="N9743" t="s">
        <v>47424</v>
      </c>
      <c r="O9743" t="s">
        <v>47425</v>
      </c>
      <c r="P9743">
        <v>0</v>
      </c>
      <c r="Q9743">
        <v>17</v>
      </c>
      <c r="R9743" t="s">
        <v>47433</v>
      </c>
      <c r="S9743" t="s">
        <v>47633</v>
      </c>
      <c r="T9743" t="s">
        <v>49112</v>
      </c>
      <c r="U9743" t="s">
        <v>57733</v>
      </c>
      <c r="W9743" t="s">
        <v>43442</v>
      </c>
      <c r="X9743" t="s">
        <v>47434</v>
      </c>
    </row>
    <row r="9744" spans="1:24">
      <c r="A9744">
        <f>HYPERLINK("https://www.philgeps.gov.ph/GEPSNONPILOT/Tender/SplashBidNoticeAbstractUI.aspx?menuIndex=3&amp;refID=7150619&amp;Result=3","7150619")</f>
        <v>0</v>
      </c>
      <c r="B9744" t="s">
        <v>3074</v>
      </c>
      <c r="C9744" t="s">
        <v>13060</v>
      </c>
      <c r="D9744" t="s">
        <v>19022</v>
      </c>
      <c r="E9744" t="s">
        <v>27512</v>
      </c>
      <c r="F9744" t="s">
        <v>32831</v>
      </c>
      <c r="G9744" t="s">
        <v>32839</v>
      </c>
      <c r="H9744" t="s">
        <v>32848</v>
      </c>
      <c r="I9744" t="s">
        <v>7416</v>
      </c>
      <c r="J9744" t="s">
        <v>35553</v>
      </c>
      <c r="K9744" t="s">
        <v>42730</v>
      </c>
      <c r="M9744" t="s">
        <v>46353</v>
      </c>
      <c r="N9744" t="s">
        <v>47424</v>
      </c>
      <c r="O9744" t="s">
        <v>47425</v>
      </c>
      <c r="P9744">
        <v>0</v>
      </c>
      <c r="Q9744">
        <v>0</v>
      </c>
      <c r="R9744" t="s">
        <v>47433</v>
      </c>
      <c r="S9744" t="s">
        <v>47633</v>
      </c>
      <c r="T9744" t="s">
        <v>49542</v>
      </c>
      <c r="U9744" t="s">
        <v>57734</v>
      </c>
      <c r="W9744" t="s">
        <v>46353</v>
      </c>
      <c r="X9744" t="s">
        <v>47434</v>
      </c>
    </row>
    <row r="9745" spans="1:24">
      <c r="A9745">
        <f>HYPERLINK("https://www.philgeps.gov.ph/GEPSNONPILOT/Tender/SplashBidNoticeAbstractUI.aspx?menuIndex=3&amp;refID=7150572&amp;Result=3","7150572")</f>
        <v>0</v>
      </c>
      <c r="B9745" t="s">
        <v>1135</v>
      </c>
      <c r="C9745" t="s">
        <v>13061</v>
      </c>
      <c r="D9745" t="s">
        <v>19064</v>
      </c>
      <c r="E9745" t="s">
        <v>27513</v>
      </c>
      <c r="F9745" t="s">
        <v>32831</v>
      </c>
      <c r="G9745" t="s">
        <v>32839</v>
      </c>
      <c r="H9745" t="s">
        <v>32848</v>
      </c>
      <c r="I9745" t="s">
        <v>4558</v>
      </c>
      <c r="J9745" t="s">
        <v>38999</v>
      </c>
      <c r="K9745" t="s">
        <v>42726</v>
      </c>
      <c r="M9745" t="s">
        <v>44197</v>
      </c>
      <c r="N9745" t="s">
        <v>47424</v>
      </c>
      <c r="O9745" t="s">
        <v>47425</v>
      </c>
      <c r="P9745">
        <v>0</v>
      </c>
      <c r="Q9745">
        <v>0</v>
      </c>
      <c r="R9745" t="s">
        <v>47433</v>
      </c>
      <c r="S9745" t="s">
        <v>47633</v>
      </c>
      <c r="T9745" t="s">
        <v>49174</v>
      </c>
      <c r="U9745" t="s">
        <v>57735</v>
      </c>
      <c r="W9745" t="s">
        <v>44197</v>
      </c>
      <c r="X9745" t="s">
        <v>47434</v>
      </c>
    </row>
    <row r="9746" spans="1:24">
      <c r="A9746">
        <f>HYPERLINK("https://www.philgeps.gov.ph/GEPSNONPILOT/Tender/SplashBidNoticeAbstractUI.aspx?menuIndex=3&amp;refID=7150610&amp;Result=3","7150610")</f>
        <v>0</v>
      </c>
      <c r="B9746" t="s">
        <v>3062</v>
      </c>
      <c r="C9746" t="s">
        <v>13062</v>
      </c>
      <c r="D9746" t="s">
        <v>19019</v>
      </c>
      <c r="E9746" t="s">
        <v>27514</v>
      </c>
      <c r="F9746" t="s">
        <v>32831</v>
      </c>
      <c r="G9746" t="s">
        <v>32839</v>
      </c>
      <c r="H9746" t="s">
        <v>32849</v>
      </c>
      <c r="I9746" t="s">
        <v>4177</v>
      </c>
      <c r="J9746" t="s">
        <v>32980</v>
      </c>
      <c r="K9746" t="s">
        <v>42731</v>
      </c>
      <c r="M9746" t="s">
        <v>46337</v>
      </c>
      <c r="N9746" t="s">
        <v>47424</v>
      </c>
      <c r="O9746" t="s">
        <v>47425</v>
      </c>
      <c r="P9746">
        <v>0</v>
      </c>
      <c r="Q9746">
        <v>1</v>
      </c>
      <c r="R9746" t="s">
        <v>47433</v>
      </c>
      <c r="S9746" t="s">
        <v>47633</v>
      </c>
      <c r="T9746" t="s">
        <v>49307</v>
      </c>
      <c r="U9746" t="s">
        <v>57658</v>
      </c>
      <c r="W9746" t="s">
        <v>46337</v>
      </c>
      <c r="X9746" t="s">
        <v>47434</v>
      </c>
    </row>
    <row r="9747" spans="1:24">
      <c r="A9747">
        <f>HYPERLINK("https://www.philgeps.gov.ph/GEPSNONPILOT/Tender/SplashBidNoticeAbstractUI.aspx?menuIndex=3&amp;refID=7150607&amp;Result=3","7150607")</f>
        <v>0</v>
      </c>
      <c r="B9747" t="s">
        <v>3060</v>
      </c>
      <c r="C9747" t="s">
        <v>13063</v>
      </c>
      <c r="D9747" t="s">
        <v>19034</v>
      </c>
      <c r="E9747" t="s">
        <v>27515</v>
      </c>
      <c r="F9747" t="s">
        <v>32831</v>
      </c>
      <c r="G9747" t="s">
        <v>32841</v>
      </c>
      <c r="H9747" t="s">
        <v>32848</v>
      </c>
      <c r="I9747" t="s">
        <v>32874</v>
      </c>
      <c r="J9747" t="s">
        <v>39000</v>
      </c>
      <c r="K9747" t="s">
        <v>42746</v>
      </c>
      <c r="M9747" t="s">
        <v>46335</v>
      </c>
      <c r="N9747" t="s">
        <v>47424</v>
      </c>
      <c r="O9747" t="s">
        <v>47425</v>
      </c>
      <c r="P9747">
        <v>0</v>
      </c>
      <c r="Q9747">
        <v>4</v>
      </c>
      <c r="R9747" t="s">
        <v>47433</v>
      </c>
      <c r="S9747" t="s">
        <v>47633</v>
      </c>
      <c r="T9747" t="s">
        <v>49338</v>
      </c>
      <c r="U9747" t="s">
        <v>57729</v>
      </c>
      <c r="W9747" t="s">
        <v>46335</v>
      </c>
      <c r="X9747" t="s">
        <v>47434</v>
      </c>
    </row>
    <row r="9748" spans="1:24">
      <c r="A9748">
        <f>HYPERLINK("https://www.philgeps.gov.ph/GEPSNONPILOT/Tender/SplashBidNoticeAbstractUI.aspx?menuIndex=3&amp;refID=7150606&amp;Result=3","7150606")</f>
        <v>0</v>
      </c>
      <c r="B9748" t="s">
        <v>721</v>
      </c>
      <c r="C9748" t="s">
        <v>13064</v>
      </c>
      <c r="D9748" t="s">
        <v>19018</v>
      </c>
      <c r="E9748" t="s">
        <v>27516</v>
      </c>
      <c r="F9748" t="s">
        <v>32831</v>
      </c>
      <c r="G9748" t="s">
        <v>32838</v>
      </c>
      <c r="H9748" t="s">
        <v>32848</v>
      </c>
      <c r="I9748" t="s">
        <v>4303</v>
      </c>
      <c r="J9748" t="s">
        <v>39001</v>
      </c>
      <c r="K9748" t="s">
        <v>42732</v>
      </c>
      <c r="M9748" t="s">
        <v>43742</v>
      </c>
      <c r="N9748" t="s">
        <v>47424</v>
      </c>
      <c r="O9748" t="s">
        <v>47425</v>
      </c>
      <c r="P9748">
        <v>0</v>
      </c>
      <c r="Q9748">
        <v>0</v>
      </c>
      <c r="R9748" t="s">
        <v>47433</v>
      </c>
      <c r="S9748" t="s">
        <v>47633</v>
      </c>
      <c r="T9748" t="s">
        <v>49328</v>
      </c>
      <c r="U9748" t="s">
        <v>56573</v>
      </c>
      <c r="W9748" t="s">
        <v>43742</v>
      </c>
      <c r="X9748" t="s">
        <v>47434</v>
      </c>
    </row>
    <row r="9749" spans="1:24">
      <c r="A9749">
        <f>HYPERLINK("https://www.philgeps.gov.ph/GEPSNONPILOT/Tender/SplashBidNoticeAbstractUI.aspx?menuIndex=3&amp;refID=7150604&amp;Result=3","7150604")</f>
        <v>0</v>
      </c>
      <c r="B9749" t="s">
        <v>1425</v>
      </c>
      <c r="C9749" t="s">
        <v>13065</v>
      </c>
      <c r="D9749" t="s">
        <v>19073</v>
      </c>
      <c r="E9749" t="s">
        <v>27517</v>
      </c>
      <c r="F9749" t="s">
        <v>32831</v>
      </c>
      <c r="G9749" t="s">
        <v>32839</v>
      </c>
      <c r="H9749" t="s">
        <v>32848</v>
      </c>
      <c r="I9749" t="s">
        <v>4438</v>
      </c>
      <c r="J9749" t="s">
        <v>33292</v>
      </c>
      <c r="K9749" t="s">
        <v>42730</v>
      </c>
      <c r="M9749" t="s">
        <v>44514</v>
      </c>
      <c r="N9749" t="s">
        <v>47424</v>
      </c>
      <c r="O9749" t="s">
        <v>47425</v>
      </c>
      <c r="P9749">
        <v>0</v>
      </c>
      <c r="Q9749">
        <v>0</v>
      </c>
      <c r="R9749" t="s">
        <v>47433</v>
      </c>
      <c r="S9749" t="s">
        <v>47633</v>
      </c>
      <c r="T9749" t="s">
        <v>49111</v>
      </c>
      <c r="U9749" t="s">
        <v>57736</v>
      </c>
      <c r="W9749" t="s">
        <v>44514</v>
      </c>
      <c r="X9749" t="s">
        <v>47434</v>
      </c>
    </row>
    <row r="9750" spans="1:24">
      <c r="A9750">
        <f>HYPERLINK("https://www.philgeps.gov.ph/GEPSNONPILOT/Tender/SplashBidNoticeAbstractUI.aspx?menuIndex=3&amp;refID=7150617&amp;Result=3","7150617")</f>
        <v>0</v>
      </c>
      <c r="B9750" t="s">
        <v>2429</v>
      </c>
      <c r="C9750" t="s">
        <v>13066</v>
      </c>
      <c r="D9750" t="s">
        <v>19064</v>
      </c>
      <c r="E9750" t="s">
        <v>27518</v>
      </c>
      <c r="F9750" t="s">
        <v>32831</v>
      </c>
      <c r="G9750" t="s">
        <v>32839</v>
      </c>
      <c r="H9750" t="s">
        <v>32848</v>
      </c>
      <c r="I9750" t="s">
        <v>4340</v>
      </c>
      <c r="J9750" t="s">
        <v>39002</v>
      </c>
      <c r="K9750" t="s">
        <v>42731</v>
      </c>
      <c r="M9750" t="s">
        <v>45626</v>
      </c>
      <c r="N9750" t="s">
        <v>47424</v>
      </c>
      <c r="O9750" t="s">
        <v>47425</v>
      </c>
      <c r="P9750">
        <v>0</v>
      </c>
      <c r="Q9750">
        <v>0</v>
      </c>
      <c r="R9750" t="s">
        <v>47433</v>
      </c>
      <c r="S9750" t="s">
        <v>47633</v>
      </c>
      <c r="T9750" t="s">
        <v>49055</v>
      </c>
      <c r="U9750" t="s">
        <v>56790</v>
      </c>
      <c r="W9750" t="s">
        <v>45626</v>
      </c>
      <c r="X9750" t="s">
        <v>47434</v>
      </c>
    </row>
    <row r="9751" spans="1:24">
      <c r="A9751">
        <f>HYPERLINK("https://www.philgeps.gov.ph/GEPSNONPILOT/Tender/SplashBidNoticeAbstractUI.aspx?menuIndex=3&amp;refID=7150595&amp;Result=3","7150595")</f>
        <v>0</v>
      </c>
      <c r="B9751" t="s">
        <v>3071</v>
      </c>
      <c r="C9751" t="s">
        <v>6484</v>
      </c>
      <c r="D9751" t="s">
        <v>19039</v>
      </c>
      <c r="E9751" t="s">
        <v>27519</v>
      </c>
      <c r="F9751" t="s">
        <v>32831</v>
      </c>
      <c r="G9751" t="s">
        <v>32839</v>
      </c>
      <c r="H9751" t="s">
        <v>32848</v>
      </c>
      <c r="I9751" t="s">
        <v>4776</v>
      </c>
      <c r="J9751" t="s">
        <v>33090</v>
      </c>
      <c r="K9751" t="s">
        <v>42732</v>
      </c>
      <c r="M9751" t="s">
        <v>46350</v>
      </c>
      <c r="N9751" t="s">
        <v>47424</v>
      </c>
      <c r="O9751" t="s">
        <v>47425</v>
      </c>
      <c r="P9751">
        <v>0</v>
      </c>
      <c r="Q9751">
        <v>1</v>
      </c>
      <c r="R9751" t="s">
        <v>47433</v>
      </c>
      <c r="S9751" t="s">
        <v>47633</v>
      </c>
      <c r="T9751" t="s">
        <v>49239</v>
      </c>
      <c r="U9751" t="s">
        <v>57737</v>
      </c>
      <c r="W9751" t="s">
        <v>46350</v>
      </c>
      <c r="X9751" t="s">
        <v>47434</v>
      </c>
    </row>
    <row r="9752" spans="1:24">
      <c r="A9752">
        <f>HYPERLINK("https://www.philgeps.gov.ph/GEPSNONPILOT/Tender/SplashBidNoticeAbstractUI.aspx?menuIndex=3&amp;refID=7150594&amp;Result=3","7150594")</f>
        <v>0</v>
      </c>
      <c r="B9752" t="s">
        <v>1152</v>
      </c>
      <c r="C9752" t="s">
        <v>13067</v>
      </c>
      <c r="D9752" t="s">
        <v>19038</v>
      </c>
      <c r="E9752" t="s">
        <v>27520</v>
      </c>
      <c r="F9752" t="s">
        <v>32831</v>
      </c>
      <c r="G9752" t="s">
        <v>32839</v>
      </c>
      <c r="H9752" t="s">
        <v>32848</v>
      </c>
      <c r="I9752" t="s">
        <v>10805</v>
      </c>
      <c r="J9752" t="s">
        <v>32980</v>
      </c>
      <c r="K9752" t="s">
        <v>42732</v>
      </c>
      <c r="M9752" t="s">
        <v>44216</v>
      </c>
      <c r="N9752" t="s">
        <v>47424</v>
      </c>
      <c r="O9752" t="s">
        <v>47425</v>
      </c>
      <c r="P9752">
        <v>0</v>
      </c>
      <c r="Q9752">
        <v>3</v>
      </c>
      <c r="R9752" t="s">
        <v>47433</v>
      </c>
      <c r="S9752" t="s">
        <v>47633</v>
      </c>
      <c r="T9752" t="s">
        <v>49162</v>
      </c>
      <c r="U9752" t="s">
        <v>51942</v>
      </c>
      <c r="V9752" t="s">
        <v>62907</v>
      </c>
      <c r="W9752" t="s">
        <v>44216</v>
      </c>
      <c r="X9752" t="s">
        <v>47434</v>
      </c>
    </row>
    <row r="9753" spans="1:24">
      <c r="A9753">
        <f>HYPERLINK("https://www.philgeps.gov.ph/GEPSNONPILOT/Tender/SplashBidNoticeAbstractUI.aspx?menuIndex=3&amp;refID=7150602&amp;Result=3","7150602")</f>
        <v>0</v>
      </c>
      <c r="B9753" t="s">
        <v>99</v>
      </c>
      <c r="C9753" t="s">
        <v>13068</v>
      </c>
      <c r="D9753" t="s">
        <v>19054</v>
      </c>
      <c r="E9753" t="s">
        <v>27521</v>
      </c>
      <c r="F9753" t="s">
        <v>32831</v>
      </c>
      <c r="G9753" t="s">
        <v>32839</v>
      </c>
      <c r="H9753" t="s">
        <v>32848</v>
      </c>
      <c r="I9753" t="s">
        <v>5379</v>
      </c>
      <c r="J9753" t="s">
        <v>33970</v>
      </c>
      <c r="K9753" t="s">
        <v>42759</v>
      </c>
      <c r="M9753" t="s">
        <v>43096</v>
      </c>
      <c r="N9753" t="s">
        <v>47424</v>
      </c>
      <c r="O9753" t="s">
        <v>47425</v>
      </c>
      <c r="P9753">
        <v>0</v>
      </c>
      <c r="Q9753">
        <v>0</v>
      </c>
      <c r="R9753" t="s">
        <v>47433</v>
      </c>
      <c r="S9753" t="s">
        <v>47633</v>
      </c>
      <c r="T9753" t="s">
        <v>49111</v>
      </c>
      <c r="U9753" t="s">
        <v>49821</v>
      </c>
      <c r="V9753" t="s">
        <v>63699</v>
      </c>
      <c r="W9753" t="s">
        <v>43096</v>
      </c>
      <c r="X9753" t="s">
        <v>47434</v>
      </c>
    </row>
    <row r="9754" spans="1:24">
      <c r="A9754">
        <f>HYPERLINK("https://www.philgeps.gov.ph/GEPSNONPILOT/Tender/SplashBidNoticeAbstractUI.aspx?menuIndex=3&amp;refID=7150613&amp;Result=3","7150613")</f>
        <v>0</v>
      </c>
      <c r="B9754" t="s">
        <v>3075</v>
      </c>
      <c r="C9754" t="s">
        <v>13069</v>
      </c>
      <c r="D9754" t="s">
        <v>19052</v>
      </c>
      <c r="E9754" t="s">
        <v>27522</v>
      </c>
      <c r="F9754" t="s">
        <v>32831</v>
      </c>
      <c r="G9754" t="s">
        <v>32839</v>
      </c>
      <c r="H9754" t="s">
        <v>32849</v>
      </c>
      <c r="I9754" t="s">
        <v>4177</v>
      </c>
      <c r="J9754" t="s">
        <v>33032</v>
      </c>
      <c r="K9754" t="s">
        <v>42757</v>
      </c>
      <c r="M9754" t="s">
        <v>46354</v>
      </c>
      <c r="N9754" t="s">
        <v>47424</v>
      </c>
      <c r="O9754" t="s">
        <v>47425</v>
      </c>
      <c r="P9754">
        <v>0</v>
      </c>
      <c r="Q9754">
        <v>1</v>
      </c>
      <c r="R9754" t="s">
        <v>47433</v>
      </c>
      <c r="S9754" t="s">
        <v>47633</v>
      </c>
      <c r="T9754" t="s">
        <v>49112</v>
      </c>
      <c r="U9754" t="s">
        <v>57738</v>
      </c>
      <c r="W9754" t="s">
        <v>46354</v>
      </c>
      <c r="X9754" t="s">
        <v>47434</v>
      </c>
    </row>
    <row r="9755" spans="1:24">
      <c r="A9755">
        <f>HYPERLINK("https://www.philgeps.gov.ph/GEPSNONPILOT/Tender/SplashBidNoticeAbstractUI.aspx?menuIndex=3&amp;refID=7150560&amp;Result=3","7150560")</f>
        <v>0</v>
      </c>
      <c r="B9755" t="s">
        <v>721</v>
      </c>
      <c r="C9755" t="s">
        <v>13070</v>
      </c>
      <c r="D9755" t="s">
        <v>19018</v>
      </c>
      <c r="E9755" t="s">
        <v>27523</v>
      </c>
      <c r="F9755" t="s">
        <v>32831</v>
      </c>
      <c r="G9755" t="s">
        <v>32838</v>
      </c>
      <c r="H9755" t="s">
        <v>32848</v>
      </c>
      <c r="I9755" t="s">
        <v>32931</v>
      </c>
      <c r="J9755" t="s">
        <v>34203</v>
      </c>
      <c r="K9755" t="s">
        <v>42732</v>
      </c>
      <c r="M9755" t="s">
        <v>43742</v>
      </c>
      <c r="N9755" t="s">
        <v>47424</v>
      </c>
      <c r="O9755" t="s">
        <v>47425</v>
      </c>
      <c r="P9755">
        <v>0</v>
      </c>
      <c r="Q9755">
        <v>4</v>
      </c>
      <c r="R9755" t="s">
        <v>47433</v>
      </c>
      <c r="S9755" t="s">
        <v>47633</v>
      </c>
      <c r="T9755" t="s">
        <v>49328</v>
      </c>
      <c r="U9755" t="s">
        <v>56573</v>
      </c>
      <c r="W9755" t="s">
        <v>43742</v>
      </c>
      <c r="X9755" t="s">
        <v>47434</v>
      </c>
    </row>
    <row r="9756" spans="1:24">
      <c r="A9756">
        <f>HYPERLINK("https://www.philgeps.gov.ph/GEPSNONPILOT/Tender/SplashBidNoticeAbstractUI.aspx?menuIndex=3&amp;refID=7150476&amp;Result=3","7150476")</f>
        <v>0</v>
      </c>
      <c r="B9756" t="s">
        <v>1152</v>
      </c>
      <c r="C9756" t="s">
        <v>13071</v>
      </c>
      <c r="D9756" t="s">
        <v>19038</v>
      </c>
      <c r="E9756" t="s">
        <v>27524</v>
      </c>
      <c r="F9756" t="s">
        <v>32831</v>
      </c>
      <c r="G9756" t="s">
        <v>32839</v>
      </c>
      <c r="H9756" t="s">
        <v>32848</v>
      </c>
      <c r="I9756" t="s">
        <v>32878</v>
      </c>
      <c r="J9756" t="s">
        <v>39003</v>
      </c>
      <c r="K9756" t="s">
        <v>42732</v>
      </c>
      <c r="M9756" t="s">
        <v>44216</v>
      </c>
      <c r="N9756" t="s">
        <v>47424</v>
      </c>
      <c r="O9756" t="s">
        <v>47425</v>
      </c>
      <c r="P9756">
        <v>0</v>
      </c>
      <c r="Q9756">
        <v>2</v>
      </c>
      <c r="R9756" t="s">
        <v>47433</v>
      </c>
      <c r="S9756" t="s">
        <v>47633</v>
      </c>
      <c r="T9756" t="s">
        <v>49162</v>
      </c>
      <c r="U9756" t="s">
        <v>51942</v>
      </c>
      <c r="V9756" t="s">
        <v>62907</v>
      </c>
      <c r="W9756" t="s">
        <v>44216</v>
      </c>
      <c r="X9756" t="s">
        <v>47434</v>
      </c>
    </row>
    <row r="9757" spans="1:24">
      <c r="A9757">
        <f>HYPERLINK("https://www.philgeps.gov.ph/GEPSNONPILOT/Tender/SplashBidNoticeAbstractUI.aspx?menuIndex=3&amp;refID=7150669&amp;Result=3","7150669")</f>
        <v>0</v>
      </c>
      <c r="B9757" t="s">
        <v>3076</v>
      </c>
      <c r="C9757" t="s">
        <v>13072</v>
      </c>
      <c r="D9757" t="s">
        <v>19045</v>
      </c>
      <c r="E9757" t="s">
        <v>27525</v>
      </c>
      <c r="F9757" t="s">
        <v>32831</v>
      </c>
      <c r="G9757" t="s">
        <v>32838</v>
      </c>
      <c r="H9757" t="s">
        <v>32848</v>
      </c>
      <c r="I9757" t="s">
        <v>7416</v>
      </c>
      <c r="J9757" t="s">
        <v>39004</v>
      </c>
      <c r="K9757" t="s">
        <v>42745</v>
      </c>
      <c r="M9757" t="s">
        <v>46355</v>
      </c>
      <c r="N9757" t="s">
        <v>47424</v>
      </c>
      <c r="O9757" t="s">
        <v>47425</v>
      </c>
      <c r="P9757">
        <v>0</v>
      </c>
      <c r="Q9757">
        <v>1</v>
      </c>
      <c r="R9757" t="s">
        <v>47433</v>
      </c>
      <c r="S9757" t="s">
        <v>47633</v>
      </c>
      <c r="T9757" t="s">
        <v>49204</v>
      </c>
      <c r="U9757" t="s">
        <v>57739</v>
      </c>
      <c r="W9757" t="s">
        <v>46355</v>
      </c>
      <c r="X9757" t="s">
        <v>47434</v>
      </c>
    </row>
    <row r="9758" spans="1:24">
      <c r="A9758">
        <f>HYPERLINK("https://www.philgeps.gov.ph/GEPSNONPILOT/Tender/SplashBidNoticeAbstractUI.aspx?menuIndex=3&amp;refID=7150665&amp;Result=3","7150665")</f>
        <v>0</v>
      </c>
      <c r="B9758" t="s">
        <v>2374</v>
      </c>
      <c r="C9758" t="s">
        <v>13073</v>
      </c>
      <c r="D9758" t="s">
        <v>19043</v>
      </c>
      <c r="E9758" t="s">
        <v>27526</v>
      </c>
      <c r="F9758" t="s">
        <v>32831</v>
      </c>
      <c r="G9758" t="s">
        <v>32839</v>
      </c>
      <c r="H9758" t="s">
        <v>32849</v>
      </c>
      <c r="I9758" t="s">
        <v>4177</v>
      </c>
      <c r="J9758" t="s">
        <v>39005</v>
      </c>
      <c r="K9758" t="s">
        <v>42829</v>
      </c>
      <c r="M9758" t="s">
        <v>45563</v>
      </c>
      <c r="N9758" t="s">
        <v>47424</v>
      </c>
      <c r="O9758" t="s">
        <v>47425</v>
      </c>
      <c r="P9758">
        <v>0</v>
      </c>
      <c r="Q9758">
        <v>1</v>
      </c>
      <c r="R9758" t="s">
        <v>47433</v>
      </c>
      <c r="S9758" t="s">
        <v>47633</v>
      </c>
      <c r="T9758" t="s">
        <v>49077</v>
      </c>
      <c r="U9758" t="s">
        <v>57740</v>
      </c>
      <c r="V9758" t="s">
        <v>63703</v>
      </c>
      <c r="W9758" t="s">
        <v>45563</v>
      </c>
      <c r="X9758" t="s">
        <v>47434</v>
      </c>
    </row>
    <row r="9759" spans="1:24">
      <c r="A9759">
        <f>HYPERLINK("https://www.philgeps.gov.ph/GEPSNONPILOT/Tender/SplashBidNoticeAbstractUI.aspx?menuIndex=3&amp;refID=7150671&amp;Result=3","7150671")</f>
        <v>0</v>
      </c>
      <c r="B9759" t="s">
        <v>1881</v>
      </c>
      <c r="C9759" t="s">
        <v>13074</v>
      </c>
      <c r="D9759" t="s">
        <v>19030</v>
      </c>
      <c r="E9759" t="s">
        <v>27527</v>
      </c>
      <c r="F9759" t="s">
        <v>32831</v>
      </c>
      <c r="G9759" t="s">
        <v>32839</v>
      </c>
      <c r="H9759" t="s">
        <v>32848</v>
      </c>
      <c r="I9759" t="s">
        <v>32869</v>
      </c>
      <c r="J9759" t="s">
        <v>33257</v>
      </c>
      <c r="K9759" t="s">
        <v>42747</v>
      </c>
      <c r="M9759" t="s">
        <v>46356</v>
      </c>
      <c r="N9759" t="s">
        <v>47424</v>
      </c>
      <c r="O9759" t="s">
        <v>47425</v>
      </c>
      <c r="P9759">
        <v>0</v>
      </c>
      <c r="Q9759">
        <v>16</v>
      </c>
      <c r="R9759" t="s">
        <v>47433</v>
      </c>
      <c r="S9759" t="s">
        <v>47633</v>
      </c>
      <c r="T9759" t="s">
        <v>49173</v>
      </c>
      <c r="U9759" t="s">
        <v>57741</v>
      </c>
      <c r="W9759" t="s">
        <v>46356</v>
      </c>
      <c r="X9759" t="s">
        <v>47434</v>
      </c>
    </row>
    <row r="9760" spans="1:24">
      <c r="A9760">
        <f>HYPERLINK("https://www.philgeps.gov.ph/GEPSNONPILOT/Tender/SplashBidNoticeAbstractUI.aspx?menuIndex=3&amp;refID=7150661&amp;Result=3","7150661")</f>
        <v>0</v>
      </c>
      <c r="B9760" t="s">
        <v>99</v>
      </c>
      <c r="C9760" t="s">
        <v>13075</v>
      </c>
      <c r="D9760" t="s">
        <v>19054</v>
      </c>
      <c r="E9760" t="s">
        <v>27528</v>
      </c>
      <c r="F9760" t="s">
        <v>32831</v>
      </c>
      <c r="G9760" t="s">
        <v>32839</v>
      </c>
      <c r="H9760" t="s">
        <v>32848</v>
      </c>
      <c r="I9760" t="s">
        <v>4303</v>
      </c>
      <c r="J9760" t="s">
        <v>35469</v>
      </c>
      <c r="K9760" t="s">
        <v>42730</v>
      </c>
      <c r="M9760" t="s">
        <v>43096</v>
      </c>
      <c r="N9760" t="s">
        <v>47424</v>
      </c>
      <c r="O9760" t="s">
        <v>47425</v>
      </c>
      <c r="P9760">
        <v>0</v>
      </c>
      <c r="Q9760">
        <v>0</v>
      </c>
      <c r="R9760" t="s">
        <v>47433</v>
      </c>
      <c r="S9760" t="s">
        <v>47633</v>
      </c>
      <c r="T9760" t="s">
        <v>49111</v>
      </c>
      <c r="U9760" t="s">
        <v>49821</v>
      </c>
      <c r="V9760" t="s">
        <v>63699</v>
      </c>
      <c r="W9760" t="s">
        <v>43096</v>
      </c>
      <c r="X9760" t="s">
        <v>47434</v>
      </c>
    </row>
    <row r="9761" spans="1:24">
      <c r="A9761">
        <f>HYPERLINK("https://www.philgeps.gov.ph/GEPSNONPILOT/Tender/SplashBidNoticeAbstractUI.aspx?menuIndex=3&amp;refID=7150654&amp;Result=3","7150654")</f>
        <v>0</v>
      </c>
      <c r="B9761" t="s">
        <v>3077</v>
      </c>
      <c r="C9761" t="s">
        <v>13076</v>
      </c>
      <c r="D9761" t="s">
        <v>19025</v>
      </c>
      <c r="E9761" t="s">
        <v>27529</v>
      </c>
      <c r="F9761" t="s">
        <v>32831</v>
      </c>
      <c r="G9761" t="s">
        <v>32839</v>
      </c>
      <c r="H9761" t="s">
        <v>32849</v>
      </c>
      <c r="I9761" t="s">
        <v>4177</v>
      </c>
      <c r="J9761" t="s">
        <v>39006</v>
      </c>
      <c r="K9761" t="s">
        <v>42789</v>
      </c>
      <c r="M9761" t="s">
        <v>46357</v>
      </c>
      <c r="N9761" t="s">
        <v>47424</v>
      </c>
      <c r="O9761" t="s">
        <v>47425</v>
      </c>
      <c r="P9761">
        <v>0</v>
      </c>
      <c r="Q9761">
        <v>0</v>
      </c>
      <c r="R9761" t="s">
        <v>47433</v>
      </c>
      <c r="S9761" t="s">
        <v>47633</v>
      </c>
      <c r="T9761" t="s">
        <v>49160</v>
      </c>
      <c r="U9761" t="s">
        <v>57742</v>
      </c>
      <c r="W9761" t="s">
        <v>46357</v>
      </c>
      <c r="X9761" t="s">
        <v>47434</v>
      </c>
    </row>
    <row r="9762" spans="1:24">
      <c r="A9762">
        <f>HYPERLINK("https://www.philgeps.gov.ph/GEPSNONPILOT/Tender/SplashBidNoticeAbstractUI.aspx?menuIndex=3&amp;refID=7150571&amp;Result=3","7150571")</f>
        <v>0</v>
      </c>
      <c r="B9762" t="s">
        <v>1375</v>
      </c>
      <c r="C9762" t="s">
        <v>13077</v>
      </c>
      <c r="D9762" t="s">
        <v>19049</v>
      </c>
      <c r="E9762" t="s">
        <v>27530</v>
      </c>
      <c r="F9762" t="s">
        <v>32831</v>
      </c>
      <c r="G9762" t="s">
        <v>32839</v>
      </c>
      <c r="H9762" t="s">
        <v>32849</v>
      </c>
      <c r="I9762" t="s">
        <v>4177</v>
      </c>
      <c r="J9762" t="s">
        <v>33072</v>
      </c>
      <c r="K9762" t="s">
        <v>42730</v>
      </c>
      <c r="M9762" t="s">
        <v>46347</v>
      </c>
      <c r="N9762" t="s">
        <v>47424</v>
      </c>
      <c r="O9762" t="s">
        <v>47425</v>
      </c>
      <c r="P9762">
        <v>0</v>
      </c>
      <c r="Q9762">
        <v>0</v>
      </c>
      <c r="R9762" t="s">
        <v>47433</v>
      </c>
      <c r="S9762" t="s">
        <v>47633</v>
      </c>
      <c r="T9762" t="s">
        <v>49235</v>
      </c>
      <c r="U9762" t="s">
        <v>57711</v>
      </c>
      <c r="W9762" t="s">
        <v>46347</v>
      </c>
      <c r="X9762" t="s">
        <v>47434</v>
      </c>
    </row>
    <row r="9763" spans="1:24">
      <c r="A9763">
        <f>HYPERLINK("https://www.philgeps.gov.ph/GEPSNONPILOT/Tender/SplashBidNoticeAbstractUI.aspx?menuIndex=3&amp;refID=7150652&amp;Result=3","7150652")</f>
        <v>0</v>
      </c>
      <c r="B9763" t="s">
        <v>1684</v>
      </c>
      <c r="C9763" t="s">
        <v>13078</v>
      </c>
      <c r="D9763" t="s">
        <v>19022</v>
      </c>
      <c r="E9763" t="s">
        <v>27531</v>
      </c>
      <c r="F9763" t="s">
        <v>32831</v>
      </c>
      <c r="G9763" t="s">
        <v>32838</v>
      </c>
      <c r="H9763" t="s">
        <v>32848</v>
      </c>
      <c r="I9763" t="s">
        <v>32855</v>
      </c>
      <c r="J9763" t="s">
        <v>39007</v>
      </c>
      <c r="K9763" t="s">
        <v>42731</v>
      </c>
      <c r="M9763" t="s">
        <v>44804</v>
      </c>
      <c r="N9763" t="s">
        <v>47424</v>
      </c>
      <c r="O9763" t="s">
        <v>47425</v>
      </c>
      <c r="P9763">
        <v>0</v>
      </c>
      <c r="Q9763">
        <v>2</v>
      </c>
      <c r="R9763" t="s">
        <v>47433</v>
      </c>
      <c r="S9763" t="s">
        <v>47633</v>
      </c>
      <c r="T9763" t="s">
        <v>49255</v>
      </c>
      <c r="U9763" t="s">
        <v>57743</v>
      </c>
      <c r="W9763" t="s">
        <v>44804</v>
      </c>
      <c r="X9763" t="s">
        <v>47434</v>
      </c>
    </row>
    <row r="9764" spans="1:24">
      <c r="A9764">
        <f>HYPERLINK("https://www.philgeps.gov.ph/GEPSNONPILOT/Tender/SplashBidNoticeAbstractUI.aspx?menuIndex=3&amp;refID=7150672&amp;Result=3","7150672")</f>
        <v>0</v>
      </c>
      <c r="B9764" t="s">
        <v>3078</v>
      </c>
      <c r="C9764" t="s">
        <v>13079</v>
      </c>
      <c r="D9764" t="s">
        <v>19036</v>
      </c>
      <c r="E9764" t="s">
        <v>19351</v>
      </c>
      <c r="F9764" t="s">
        <v>32831</v>
      </c>
      <c r="G9764" t="s">
        <v>32839</v>
      </c>
      <c r="H9764" t="s">
        <v>32849</v>
      </c>
      <c r="I9764" t="s">
        <v>7416</v>
      </c>
      <c r="J9764" t="s">
        <v>33178</v>
      </c>
      <c r="K9764" t="s">
        <v>42726</v>
      </c>
      <c r="M9764" t="s">
        <v>46358</v>
      </c>
      <c r="N9764" t="s">
        <v>47424</v>
      </c>
      <c r="O9764" t="s">
        <v>47425</v>
      </c>
      <c r="P9764">
        <v>0</v>
      </c>
      <c r="Q9764">
        <v>0</v>
      </c>
      <c r="R9764" t="s">
        <v>47433</v>
      </c>
      <c r="S9764" t="s">
        <v>47633</v>
      </c>
      <c r="T9764" t="s">
        <v>49114</v>
      </c>
      <c r="U9764" t="s">
        <v>57744</v>
      </c>
      <c r="W9764" t="s">
        <v>46358</v>
      </c>
      <c r="X9764" t="s">
        <v>47434</v>
      </c>
    </row>
    <row r="9765" spans="1:24">
      <c r="A9765">
        <f>HYPERLINK("https://www.philgeps.gov.ph/GEPSNONPILOT/Tender/SplashBidNoticeAbstractUI.aspx?menuIndex=3&amp;refID=7150649&amp;Result=3","7150649")</f>
        <v>0</v>
      </c>
      <c r="B9765" t="s">
        <v>99</v>
      </c>
      <c r="C9765" t="s">
        <v>13080</v>
      </c>
      <c r="D9765" t="s">
        <v>19054</v>
      </c>
      <c r="E9765" t="s">
        <v>27532</v>
      </c>
      <c r="F9765" t="s">
        <v>32831</v>
      </c>
      <c r="G9765" t="s">
        <v>32839</v>
      </c>
      <c r="H9765" t="s">
        <v>32848</v>
      </c>
      <c r="I9765" t="s">
        <v>4303</v>
      </c>
      <c r="J9765" t="s">
        <v>33245</v>
      </c>
      <c r="K9765" t="s">
        <v>42730</v>
      </c>
      <c r="M9765" t="s">
        <v>43096</v>
      </c>
      <c r="N9765" t="s">
        <v>47424</v>
      </c>
      <c r="O9765" t="s">
        <v>47425</v>
      </c>
      <c r="P9765">
        <v>0</v>
      </c>
      <c r="Q9765">
        <v>0</v>
      </c>
      <c r="R9765" t="s">
        <v>47433</v>
      </c>
      <c r="S9765" t="s">
        <v>47633</v>
      </c>
      <c r="T9765" t="s">
        <v>49111</v>
      </c>
      <c r="U9765" t="s">
        <v>49821</v>
      </c>
      <c r="V9765" t="s">
        <v>63699</v>
      </c>
      <c r="W9765" t="s">
        <v>43096</v>
      </c>
      <c r="X9765" t="s">
        <v>47434</v>
      </c>
    </row>
    <row r="9766" spans="1:24">
      <c r="A9766">
        <f>HYPERLINK("https://www.philgeps.gov.ph/GEPSNONPILOT/Tender/SplashBidNoticeAbstractUI.aspx?menuIndex=3&amp;refID=7150608&amp;Result=3","7150608")</f>
        <v>0</v>
      </c>
      <c r="B9766" t="s">
        <v>2735</v>
      </c>
      <c r="C9766" t="s">
        <v>13081</v>
      </c>
      <c r="D9766" t="s">
        <v>19077</v>
      </c>
      <c r="E9766" t="s">
        <v>27533</v>
      </c>
      <c r="F9766" t="s">
        <v>32831</v>
      </c>
      <c r="G9766" t="s">
        <v>32839</v>
      </c>
      <c r="H9766" t="s">
        <v>32848</v>
      </c>
      <c r="I9766" t="s">
        <v>6526</v>
      </c>
      <c r="J9766" t="s">
        <v>33026</v>
      </c>
      <c r="K9766" t="s">
        <v>42730</v>
      </c>
      <c r="M9766" t="s">
        <v>45962</v>
      </c>
      <c r="N9766" t="s">
        <v>47424</v>
      </c>
      <c r="O9766" t="s">
        <v>47425</v>
      </c>
      <c r="P9766">
        <v>0</v>
      </c>
      <c r="Q9766">
        <v>0</v>
      </c>
      <c r="R9766" t="s">
        <v>47433</v>
      </c>
      <c r="S9766" t="s">
        <v>47633</v>
      </c>
      <c r="T9766" t="s">
        <v>49237</v>
      </c>
      <c r="U9766" t="s">
        <v>57745</v>
      </c>
      <c r="W9766" t="s">
        <v>45962</v>
      </c>
      <c r="X9766" t="s">
        <v>47434</v>
      </c>
    </row>
    <row r="9767" spans="1:24">
      <c r="A9767">
        <f>HYPERLINK("https://www.philgeps.gov.ph/GEPSNONPILOT/Tender/SplashBidNoticeAbstractUI.aspx?menuIndex=3&amp;refID=7150480&amp;Result=3","7150480")</f>
        <v>0</v>
      </c>
      <c r="B9767" t="s">
        <v>3062</v>
      </c>
      <c r="C9767" t="s">
        <v>13082</v>
      </c>
      <c r="D9767" t="s">
        <v>19019</v>
      </c>
      <c r="E9767" t="s">
        <v>27534</v>
      </c>
      <c r="F9767" t="s">
        <v>32831</v>
      </c>
      <c r="G9767" t="s">
        <v>32839</v>
      </c>
      <c r="H9767" t="s">
        <v>32849</v>
      </c>
      <c r="I9767" t="s">
        <v>4177</v>
      </c>
      <c r="J9767" t="s">
        <v>32980</v>
      </c>
      <c r="K9767" t="s">
        <v>42731</v>
      </c>
      <c r="M9767" t="s">
        <v>46337</v>
      </c>
      <c r="N9767" t="s">
        <v>47424</v>
      </c>
      <c r="O9767" t="s">
        <v>47425</v>
      </c>
      <c r="P9767">
        <v>0</v>
      </c>
      <c r="Q9767">
        <v>1</v>
      </c>
      <c r="R9767" t="s">
        <v>47433</v>
      </c>
      <c r="S9767" t="s">
        <v>47633</v>
      </c>
      <c r="T9767" t="s">
        <v>49307</v>
      </c>
      <c r="U9767" t="s">
        <v>57658</v>
      </c>
      <c r="W9767" t="s">
        <v>46337</v>
      </c>
      <c r="X9767" t="s">
        <v>47434</v>
      </c>
    </row>
    <row r="9768" spans="1:24">
      <c r="A9768">
        <f>HYPERLINK("https://www.philgeps.gov.ph/GEPSNONPILOT/Tender/SplashBidNoticeAbstractUI.aspx?menuIndex=3&amp;refID=7150658&amp;Result=3","7150658")</f>
        <v>0</v>
      </c>
      <c r="B9768" t="s">
        <v>3079</v>
      </c>
      <c r="C9768" t="s">
        <v>13083</v>
      </c>
      <c r="E9768" t="s">
        <v>20319</v>
      </c>
      <c r="F9768" t="s">
        <v>32831</v>
      </c>
      <c r="G9768" t="s">
        <v>32840</v>
      </c>
      <c r="H9768" t="s">
        <v>32848</v>
      </c>
      <c r="I9768" t="s">
        <v>7416</v>
      </c>
      <c r="J9768" t="s">
        <v>39008</v>
      </c>
      <c r="K9768" t="s">
        <v>42731</v>
      </c>
      <c r="N9768" t="s">
        <v>47424</v>
      </c>
      <c r="O9768" t="s">
        <v>47425</v>
      </c>
      <c r="P9768">
        <v>0</v>
      </c>
      <c r="Q9768">
        <v>0</v>
      </c>
      <c r="R9768" t="s">
        <v>47433</v>
      </c>
      <c r="S9768" t="s">
        <v>47633</v>
      </c>
      <c r="T9768" t="s">
        <v>49212</v>
      </c>
      <c r="U9768" t="s">
        <v>57746</v>
      </c>
      <c r="W9768" t="s">
        <v>64533</v>
      </c>
      <c r="X9768" t="s">
        <v>47434</v>
      </c>
    </row>
    <row r="9769" spans="1:24">
      <c r="A9769">
        <f>HYPERLINK("https://www.philgeps.gov.ph/GEPSNONPILOT/Tender/SplashBidNoticeAbstractUI.aspx?menuIndex=3&amp;refID=7150712&amp;Result=3","7150712")</f>
        <v>0</v>
      </c>
      <c r="B9769" t="s">
        <v>2766</v>
      </c>
      <c r="C9769" t="s">
        <v>6484</v>
      </c>
      <c r="E9769" t="s">
        <v>26264</v>
      </c>
      <c r="F9769" t="s">
        <v>32831</v>
      </c>
      <c r="G9769" t="s">
        <v>32839</v>
      </c>
      <c r="H9769" t="s">
        <v>32848</v>
      </c>
      <c r="I9769" t="s">
        <v>4776</v>
      </c>
      <c r="J9769" t="s">
        <v>32983</v>
      </c>
      <c r="K9769" t="s">
        <v>42732</v>
      </c>
      <c r="M9769" t="s">
        <v>45996</v>
      </c>
      <c r="N9769" t="s">
        <v>47424</v>
      </c>
      <c r="O9769" t="s">
        <v>47425</v>
      </c>
      <c r="Q9769">
        <v>2</v>
      </c>
      <c r="R9769" t="s">
        <v>47433</v>
      </c>
      <c r="S9769" t="s">
        <v>47650</v>
      </c>
      <c r="T9769" t="s">
        <v>49397</v>
      </c>
      <c r="U9769" t="s">
        <v>56525</v>
      </c>
      <c r="W9769" t="s">
        <v>45996</v>
      </c>
      <c r="X9769" t="s">
        <v>47434</v>
      </c>
    </row>
    <row r="9770" spans="1:24">
      <c r="A9770">
        <f>HYPERLINK("https://www.philgeps.gov.ph/GEPSNONPILOT/Tender/SplashBidNoticeAbstractUI.aspx?menuIndex=3&amp;refID=7150668&amp;Result=3","7150668")</f>
        <v>0</v>
      </c>
      <c r="B9770" t="s">
        <v>3080</v>
      </c>
      <c r="C9770" t="s">
        <v>13084</v>
      </c>
      <c r="D9770" t="s">
        <v>19024</v>
      </c>
      <c r="E9770" t="s">
        <v>27535</v>
      </c>
      <c r="F9770" t="s">
        <v>32831</v>
      </c>
      <c r="G9770" t="s">
        <v>32839</v>
      </c>
      <c r="H9770" t="s">
        <v>32849</v>
      </c>
      <c r="I9770" t="s">
        <v>4177</v>
      </c>
      <c r="J9770" t="s">
        <v>39009</v>
      </c>
      <c r="K9770" t="s">
        <v>42826</v>
      </c>
      <c r="M9770" t="s">
        <v>46359</v>
      </c>
      <c r="N9770" t="s">
        <v>47424</v>
      </c>
      <c r="O9770" t="s">
        <v>47425</v>
      </c>
      <c r="P9770">
        <v>0</v>
      </c>
      <c r="Q9770">
        <v>1</v>
      </c>
      <c r="R9770" t="s">
        <v>47433</v>
      </c>
      <c r="S9770" t="s">
        <v>47633</v>
      </c>
      <c r="T9770" t="s">
        <v>49221</v>
      </c>
      <c r="U9770" t="s">
        <v>57747</v>
      </c>
      <c r="W9770" t="s">
        <v>46359</v>
      </c>
      <c r="X9770" t="s">
        <v>47434</v>
      </c>
    </row>
    <row r="9771" spans="1:24">
      <c r="A9771">
        <f>HYPERLINK("https://www.philgeps.gov.ph/GEPSNONPILOT/Tender/SplashBidNoticeAbstractUI.aspx?menuIndex=3&amp;refID=7150711&amp;Result=3","7150711")</f>
        <v>0</v>
      </c>
      <c r="B9771" t="s">
        <v>3081</v>
      </c>
      <c r="C9771" t="s">
        <v>13085</v>
      </c>
      <c r="D9771" t="s">
        <v>19104</v>
      </c>
      <c r="E9771" t="s">
        <v>27536</v>
      </c>
      <c r="F9771" t="s">
        <v>32831</v>
      </c>
      <c r="G9771" t="s">
        <v>32839</v>
      </c>
      <c r="H9771" t="s">
        <v>32848</v>
      </c>
      <c r="I9771" t="s">
        <v>7416</v>
      </c>
      <c r="J9771" t="s">
        <v>33041</v>
      </c>
      <c r="K9771" t="s">
        <v>42731</v>
      </c>
      <c r="M9771" t="s">
        <v>46360</v>
      </c>
      <c r="N9771" t="s">
        <v>47424</v>
      </c>
      <c r="O9771" t="s">
        <v>47425</v>
      </c>
      <c r="P9771">
        <v>0</v>
      </c>
      <c r="Q9771">
        <v>0</v>
      </c>
      <c r="R9771" t="s">
        <v>47433</v>
      </c>
      <c r="S9771" t="s">
        <v>47633</v>
      </c>
      <c r="T9771" t="s">
        <v>49163</v>
      </c>
      <c r="U9771" t="s">
        <v>57748</v>
      </c>
      <c r="W9771" t="s">
        <v>46360</v>
      </c>
      <c r="X9771" t="s">
        <v>47434</v>
      </c>
    </row>
    <row r="9772" spans="1:24">
      <c r="A9772">
        <f>HYPERLINK("https://www.philgeps.gov.ph/GEPSNONPILOT/Tender/SplashBidNoticeAbstractUI.aspx?menuIndex=3&amp;refID=7150710&amp;Result=3","7150710")</f>
        <v>0</v>
      </c>
      <c r="B9772" t="s">
        <v>1726</v>
      </c>
      <c r="C9772" t="s">
        <v>5582</v>
      </c>
      <c r="D9772" t="s">
        <v>19042</v>
      </c>
      <c r="E9772" t="s">
        <v>19311</v>
      </c>
      <c r="F9772" t="s">
        <v>32831</v>
      </c>
      <c r="G9772" t="s">
        <v>32839</v>
      </c>
      <c r="H9772" t="s">
        <v>32848</v>
      </c>
      <c r="I9772" t="s">
        <v>9577</v>
      </c>
      <c r="J9772" t="s">
        <v>39010</v>
      </c>
      <c r="K9772" t="s">
        <v>42726</v>
      </c>
      <c r="M9772" t="s">
        <v>44849</v>
      </c>
      <c r="N9772" t="s">
        <v>47424</v>
      </c>
      <c r="O9772" t="s">
        <v>47425</v>
      </c>
      <c r="Q9772">
        <v>2</v>
      </c>
      <c r="R9772" t="s">
        <v>47433</v>
      </c>
      <c r="S9772" t="s">
        <v>47651</v>
      </c>
      <c r="T9772" t="s">
        <v>49192</v>
      </c>
      <c r="U9772" t="s">
        <v>57749</v>
      </c>
      <c r="V9772" t="s">
        <v>63704</v>
      </c>
      <c r="W9772" t="s">
        <v>44849</v>
      </c>
      <c r="X9772" t="s">
        <v>47434</v>
      </c>
    </row>
    <row r="9773" spans="1:24">
      <c r="A9773">
        <f>HYPERLINK("https://www.philgeps.gov.ph/GEPSNONPILOT/Tender/SplashBidNoticeAbstractUI.aspx?menuIndex=3&amp;refID=7150707&amp;Result=3","7150707")</f>
        <v>0</v>
      </c>
      <c r="B9773" t="s">
        <v>1684</v>
      </c>
      <c r="C9773" t="s">
        <v>13086</v>
      </c>
      <c r="D9773" t="s">
        <v>19022</v>
      </c>
      <c r="E9773" t="s">
        <v>27537</v>
      </c>
      <c r="F9773" t="s">
        <v>32831</v>
      </c>
      <c r="G9773" t="s">
        <v>32838</v>
      </c>
      <c r="H9773" t="s">
        <v>32848</v>
      </c>
      <c r="I9773" t="s">
        <v>32855</v>
      </c>
      <c r="J9773" t="s">
        <v>39011</v>
      </c>
      <c r="K9773" t="s">
        <v>42731</v>
      </c>
      <c r="M9773" t="s">
        <v>44804</v>
      </c>
      <c r="N9773" t="s">
        <v>47424</v>
      </c>
      <c r="O9773" t="s">
        <v>47425</v>
      </c>
      <c r="P9773">
        <v>0</v>
      </c>
      <c r="Q9773">
        <v>2</v>
      </c>
      <c r="R9773" t="s">
        <v>47433</v>
      </c>
      <c r="S9773" t="s">
        <v>47633</v>
      </c>
      <c r="T9773" t="s">
        <v>49255</v>
      </c>
      <c r="U9773" t="s">
        <v>57750</v>
      </c>
      <c r="W9773" t="s">
        <v>44804</v>
      </c>
      <c r="X9773" t="s">
        <v>47434</v>
      </c>
    </row>
    <row r="9774" spans="1:24">
      <c r="A9774">
        <f>HYPERLINK("https://www.philgeps.gov.ph/GEPSNONPILOT/Tender/SplashBidNoticeAbstractUI.aspx?menuIndex=3&amp;refID=7150673&amp;Result=3","7150673")</f>
        <v>0</v>
      </c>
      <c r="B9774" t="s">
        <v>99</v>
      </c>
      <c r="C9774" t="s">
        <v>13087</v>
      </c>
      <c r="D9774" t="s">
        <v>19054</v>
      </c>
      <c r="E9774" t="s">
        <v>27538</v>
      </c>
      <c r="F9774" t="s">
        <v>32831</v>
      </c>
      <c r="G9774" t="s">
        <v>32839</v>
      </c>
      <c r="H9774" t="s">
        <v>32848</v>
      </c>
      <c r="I9774" t="s">
        <v>4303</v>
      </c>
      <c r="J9774" t="s">
        <v>39012</v>
      </c>
      <c r="K9774" t="s">
        <v>42730</v>
      </c>
      <c r="M9774" t="s">
        <v>43096</v>
      </c>
      <c r="N9774" t="s">
        <v>47424</v>
      </c>
      <c r="O9774" t="s">
        <v>47425</v>
      </c>
      <c r="P9774">
        <v>0</v>
      </c>
      <c r="Q9774">
        <v>0</v>
      </c>
      <c r="R9774" t="s">
        <v>47433</v>
      </c>
      <c r="S9774" t="s">
        <v>47633</v>
      </c>
      <c r="T9774" t="s">
        <v>49111</v>
      </c>
      <c r="U9774" t="s">
        <v>49821</v>
      </c>
      <c r="V9774" t="s">
        <v>63699</v>
      </c>
      <c r="W9774" t="s">
        <v>43096</v>
      </c>
      <c r="X9774" t="s">
        <v>47434</v>
      </c>
    </row>
    <row r="9775" spans="1:24">
      <c r="A9775">
        <f>HYPERLINK("https://www.philgeps.gov.ph/GEPSNONPILOT/Tender/SplashBidNoticeAbstractUI.aspx?menuIndex=3&amp;refID=7150705&amp;Result=3","7150705")</f>
        <v>0</v>
      </c>
      <c r="B9775" t="s">
        <v>2338</v>
      </c>
      <c r="C9775" t="s">
        <v>13088</v>
      </c>
      <c r="D9775" t="s">
        <v>19049</v>
      </c>
      <c r="E9775" t="s">
        <v>27539</v>
      </c>
      <c r="F9775" t="s">
        <v>32831</v>
      </c>
      <c r="G9775" t="s">
        <v>32839</v>
      </c>
      <c r="H9775" t="s">
        <v>32849</v>
      </c>
      <c r="I9775" t="s">
        <v>4177</v>
      </c>
      <c r="J9775" t="s">
        <v>34548</v>
      </c>
      <c r="K9775" t="s">
        <v>42730</v>
      </c>
      <c r="M9775" t="s">
        <v>45525</v>
      </c>
      <c r="N9775" t="s">
        <v>47424</v>
      </c>
      <c r="O9775" t="s">
        <v>47425</v>
      </c>
      <c r="P9775">
        <v>0</v>
      </c>
      <c r="Q9775">
        <v>0</v>
      </c>
      <c r="R9775" t="s">
        <v>47433</v>
      </c>
      <c r="S9775" t="s">
        <v>47633</v>
      </c>
      <c r="T9775" t="s">
        <v>49235</v>
      </c>
      <c r="U9775" t="s">
        <v>55192</v>
      </c>
      <c r="V9775" t="s">
        <v>63705</v>
      </c>
      <c r="W9775" t="s">
        <v>45525</v>
      </c>
      <c r="X9775" t="s">
        <v>47434</v>
      </c>
    </row>
    <row r="9776" spans="1:24">
      <c r="A9776">
        <f>HYPERLINK("https://www.philgeps.gov.ph/GEPSNONPILOT/Tender/SplashBidNoticeAbstractUI.aspx?menuIndex=3&amp;refID=7150700&amp;Result=3","7150700")</f>
        <v>0</v>
      </c>
      <c r="B9776" t="s">
        <v>99</v>
      </c>
      <c r="C9776" t="s">
        <v>13089</v>
      </c>
      <c r="D9776" t="s">
        <v>19054</v>
      </c>
      <c r="E9776" t="s">
        <v>27540</v>
      </c>
      <c r="F9776" t="s">
        <v>32831</v>
      </c>
      <c r="G9776" t="s">
        <v>32839</v>
      </c>
      <c r="H9776" t="s">
        <v>32848</v>
      </c>
      <c r="I9776" t="s">
        <v>7416</v>
      </c>
      <c r="J9776" t="s">
        <v>39013</v>
      </c>
      <c r="K9776" t="s">
        <v>42730</v>
      </c>
      <c r="M9776" t="s">
        <v>43096</v>
      </c>
      <c r="N9776" t="s">
        <v>47424</v>
      </c>
      <c r="O9776" t="s">
        <v>47425</v>
      </c>
      <c r="P9776">
        <v>0</v>
      </c>
      <c r="Q9776">
        <v>0</v>
      </c>
      <c r="R9776" t="s">
        <v>47433</v>
      </c>
      <c r="S9776" t="s">
        <v>47633</v>
      </c>
      <c r="T9776" t="s">
        <v>49111</v>
      </c>
      <c r="U9776" t="s">
        <v>49821</v>
      </c>
      <c r="V9776" t="s">
        <v>63699</v>
      </c>
      <c r="W9776" t="s">
        <v>43096</v>
      </c>
      <c r="X9776" t="s">
        <v>47434</v>
      </c>
    </row>
    <row r="9777" spans="1:24">
      <c r="A9777">
        <f>HYPERLINK("https://www.philgeps.gov.ph/GEPSNONPILOT/Tender/SplashBidNoticeAbstractUI.aspx?menuIndex=3&amp;refID=7150691&amp;Result=3","7150691")</f>
        <v>0</v>
      </c>
      <c r="B9777" t="s">
        <v>714</v>
      </c>
      <c r="C9777" t="s">
        <v>13090</v>
      </c>
      <c r="D9777" t="s">
        <v>19038</v>
      </c>
      <c r="E9777" t="s">
        <v>27541</v>
      </c>
      <c r="F9777" t="s">
        <v>32831</v>
      </c>
      <c r="G9777" t="s">
        <v>32839</v>
      </c>
      <c r="H9777" t="s">
        <v>32848</v>
      </c>
      <c r="I9777" t="s">
        <v>4438</v>
      </c>
      <c r="J9777" t="s">
        <v>39014</v>
      </c>
      <c r="K9777" t="s">
        <v>42732</v>
      </c>
      <c r="M9777" t="s">
        <v>43734</v>
      </c>
      <c r="N9777" t="s">
        <v>47424</v>
      </c>
      <c r="O9777" t="s">
        <v>47425</v>
      </c>
      <c r="P9777">
        <v>0</v>
      </c>
      <c r="Q9777">
        <v>3</v>
      </c>
      <c r="R9777" t="s">
        <v>47433</v>
      </c>
      <c r="S9777" t="s">
        <v>47633</v>
      </c>
      <c r="T9777" t="s">
        <v>49166</v>
      </c>
      <c r="U9777" t="s">
        <v>50996</v>
      </c>
      <c r="W9777" t="s">
        <v>43734</v>
      </c>
      <c r="X9777" t="s">
        <v>47434</v>
      </c>
    </row>
    <row r="9778" spans="1:24">
      <c r="A9778">
        <f>HYPERLINK("https://www.philgeps.gov.ph/GEPSNONPILOT/Tender/SplashBidNoticeAbstractUI.aspx?menuIndex=3&amp;refID=7150695&amp;Result=3","7150695")</f>
        <v>0</v>
      </c>
      <c r="B9778" t="s">
        <v>726</v>
      </c>
      <c r="C9778" t="s">
        <v>13091</v>
      </c>
      <c r="E9778" t="s">
        <v>27542</v>
      </c>
      <c r="F9778" t="s">
        <v>32831</v>
      </c>
      <c r="G9778" t="s">
        <v>32839</v>
      </c>
      <c r="H9778" t="s">
        <v>32849</v>
      </c>
      <c r="I9778" t="s">
        <v>4177</v>
      </c>
      <c r="J9778" t="s">
        <v>39015</v>
      </c>
      <c r="K9778" t="s">
        <v>42732</v>
      </c>
      <c r="M9778" t="s">
        <v>46361</v>
      </c>
      <c r="N9778" t="s">
        <v>47424</v>
      </c>
      <c r="O9778" t="s">
        <v>47425</v>
      </c>
      <c r="P9778">
        <v>0</v>
      </c>
      <c r="Q9778">
        <v>1</v>
      </c>
      <c r="R9778" t="s">
        <v>47433</v>
      </c>
      <c r="S9778" t="s">
        <v>47633</v>
      </c>
      <c r="T9778" t="s">
        <v>49322</v>
      </c>
      <c r="U9778" t="s">
        <v>57751</v>
      </c>
      <c r="W9778" t="s">
        <v>46361</v>
      </c>
      <c r="X9778" t="s">
        <v>47434</v>
      </c>
    </row>
    <row r="9779" spans="1:24">
      <c r="A9779">
        <f>HYPERLINK("https://www.philgeps.gov.ph/GEPSNONPILOT/Tender/SplashBidNoticeAbstractUI.aspx?menuIndex=3&amp;refID=7150683&amp;Result=3","7150683")</f>
        <v>0</v>
      </c>
      <c r="B9779" t="s">
        <v>2026</v>
      </c>
      <c r="C9779" t="s">
        <v>13092</v>
      </c>
      <c r="D9779" t="s">
        <v>19019</v>
      </c>
      <c r="E9779" t="s">
        <v>27543</v>
      </c>
      <c r="F9779" t="s">
        <v>32831</v>
      </c>
      <c r="G9779" t="s">
        <v>32839</v>
      </c>
      <c r="H9779" t="s">
        <v>32849</v>
      </c>
      <c r="I9779" t="s">
        <v>4177</v>
      </c>
      <c r="J9779" t="s">
        <v>39016</v>
      </c>
      <c r="K9779" t="s">
        <v>42739</v>
      </c>
      <c r="M9779" t="s">
        <v>45194</v>
      </c>
      <c r="N9779" t="s">
        <v>47424</v>
      </c>
      <c r="O9779" t="s">
        <v>47425</v>
      </c>
      <c r="P9779">
        <v>0</v>
      </c>
      <c r="Q9779">
        <v>1</v>
      </c>
      <c r="R9779" t="s">
        <v>47433</v>
      </c>
      <c r="S9779" t="s">
        <v>47633</v>
      </c>
      <c r="T9779" t="s">
        <v>49127</v>
      </c>
      <c r="U9779" t="s">
        <v>56405</v>
      </c>
      <c r="W9779" t="s">
        <v>45194</v>
      </c>
      <c r="X9779" t="s">
        <v>47434</v>
      </c>
    </row>
    <row r="9780" spans="1:24">
      <c r="A9780">
        <f>HYPERLINK("https://www.philgeps.gov.ph/GEPSNONPILOT/Tender/SplashBidNoticeAbstractUI.aspx?menuIndex=3&amp;refID=7150702&amp;Result=3","7150702")</f>
        <v>0</v>
      </c>
      <c r="B9780" t="s">
        <v>726</v>
      </c>
      <c r="C9780" t="s">
        <v>13093</v>
      </c>
      <c r="E9780" t="s">
        <v>27544</v>
      </c>
      <c r="F9780" t="s">
        <v>32831</v>
      </c>
      <c r="G9780" t="s">
        <v>32839</v>
      </c>
      <c r="H9780" t="s">
        <v>32849</v>
      </c>
      <c r="I9780" t="s">
        <v>4177</v>
      </c>
      <c r="J9780" t="s">
        <v>39017</v>
      </c>
      <c r="K9780" t="s">
        <v>42732</v>
      </c>
      <c r="M9780" t="s">
        <v>46361</v>
      </c>
      <c r="N9780" t="s">
        <v>47424</v>
      </c>
      <c r="O9780" t="s">
        <v>47425</v>
      </c>
      <c r="P9780">
        <v>0</v>
      </c>
      <c r="Q9780">
        <v>1</v>
      </c>
      <c r="R9780" t="s">
        <v>47433</v>
      </c>
      <c r="S9780" t="s">
        <v>47633</v>
      </c>
      <c r="T9780" t="s">
        <v>49322</v>
      </c>
      <c r="U9780" t="s">
        <v>57752</v>
      </c>
      <c r="W9780" t="s">
        <v>46361</v>
      </c>
      <c r="X9780" t="s">
        <v>47434</v>
      </c>
    </row>
    <row r="9781" spans="1:24">
      <c r="A9781">
        <f>HYPERLINK("https://www.philgeps.gov.ph/GEPSNONPILOT/Tender/SplashBidNoticeAbstractUI.aspx?menuIndex=3&amp;refID=7150682&amp;Result=3","7150682")</f>
        <v>0</v>
      </c>
      <c r="B9781" t="s">
        <v>124</v>
      </c>
      <c r="C9781" t="s">
        <v>13094</v>
      </c>
      <c r="D9781" t="s">
        <v>19061</v>
      </c>
      <c r="E9781" t="s">
        <v>13094</v>
      </c>
      <c r="F9781" t="s">
        <v>32831</v>
      </c>
      <c r="G9781" t="s">
        <v>32839</v>
      </c>
      <c r="H9781" t="s">
        <v>32849</v>
      </c>
      <c r="I9781" t="s">
        <v>4177</v>
      </c>
      <c r="J9781" t="s">
        <v>33083</v>
      </c>
      <c r="K9781" t="s">
        <v>42796</v>
      </c>
      <c r="M9781" t="s">
        <v>43121</v>
      </c>
      <c r="N9781" t="s">
        <v>47424</v>
      </c>
      <c r="O9781" t="s">
        <v>47425</v>
      </c>
      <c r="P9781">
        <v>0</v>
      </c>
      <c r="Q9781">
        <v>0</v>
      </c>
      <c r="R9781" t="s">
        <v>47433</v>
      </c>
      <c r="S9781" t="s">
        <v>47633</v>
      </c>
      <c r="T9781" t="s">
        <v>49192</v>
      </c>
      <c r="U9781" t="s">
        <v>57753</v>
      </c>
      <c r="W9781" t="s">
        <v>43121</v>
      </c>
      <c r="X9781" t="s">
        <v>47434</v>
      </c>
    </row>
    <row r="9782" spans="1:24">
      <c r="A9782">
        <f>HYPERLINK("https://www.philgeps.gov.ph/GEPSNONPILOT/Tender/SplashBidNoticeAbstractUI.aspx?menuIndex=3&amp;refID=7150698&amp;Result=3","7150698")</f>
        <v>0</v>
      </c>
      <c r="B9782" t="s">
        <v>1425</v>
      </c>
      <c r="C9782" t="s">
        <v>13065</v>
      </c>
      <c r="D9782" t="s">
        <v>19073</v>
      </c>
      <c r="E9782" t="s">
        <v>27545</v>
      </c>
      <c r="F9782" t="s">
        <v>32831</v>
      </c>
      <c r="G9782" t="s">
        <v>32839</v>
      </c>
      <c r="H9782" t="s">
        <v>32848</v>
      </c>
      <c r="I9782" t="s">
        <v>4438</v>
      </c>
      <c r="J9782" t="s">
        <v>33292</v>
      </c>
      <c r="K9782" t="s">
        <v>42730</v>
      </c>
      <c r="M9782" t="s">
        <v>44514</v>
      </c>
      <c r="N9782" t="s">
        <v>47424</v>
      </c>
      <c r="O9782" t="s">
        <v>47425</v>
      </c>
      <c r="P9782">
        <v>0</v>
      </c>
      <c r="Q9782">
        <v>0</v>
      </c>
      <c r="R9782" t="s">
        <v>47433</v>
      </c>
      <c r="S9782" t="s">
        <v>47633</v>
      </c>
      <c r="T9782" t="s">
        <v>49111</v>
      </c>
      <c r="U9782" t="s">
        <v>57754</v>
      </c>
      <c r="W9782" t="s">
        <v>44514</v>
      </c>
      <c r="X9782" t="s">
        <v>47434</v>
      </c>
    </row>
    <row r="9783" spans="1:24">
      <c r="A9783">
        <f>HYPERLINK("https://www.philgeps.gov.ph/GEPSNONPILOT/Tender/SplashBidNoticeAbstractUI.aspx?menuIndex=3&amp;refID=7150650&amp;Result=3","7150650")</f>
        <v>0</v>
      </c>
      <c r="B9783" t="s">
        <v>3082</v>
      </c>
      <c r="C9783" t="s">
        <v>6112</v>
      </c>
      <c r="D9783" t="s">
        <v>19017</v>
      </c>
      <c r="E9783" t="s">
        <v>27546</v>
      </c>
      <c r="F9783" t="s">
        <v>32831</v>
      </c>
      <c r="G9783" t="s">
        <v>32839</v>
      </c>
      <c r="H9783" t="s">
        <v>32848</v>
      </c>
      <c r="I9783" t="s">
        <v>4438</v>
      </c>
      <c r="J9783" t="s">
        <v>33279</v>
      </c>
      <c r="K9783" t="s">
        <v>42730</v>
      </c>
      <c r="M9783" t="s">
        <v>46362</v>
      </c>
      <c r="N9783" t="s">
        <v>47424</v>
      </c>
      <c r="O9783" t="s">
        <v>47425</v>
      </c>
      <c r="P9783">
        <v>0</v>
      </c>
      <c r="Q9783">
        <v>0</v>
      </c>
      <c r="R9783" t="s">
        <v>47433</v>
      </c>
      <c r="S9783" t="s">
        <v>47633</v>
      </c>
      <c r="T9783" t="s">
        <v>49104</v>
      </c>
      <c r="U9783" t="s">
        <v>57755</v>
      </c>
      <c r="W9783" t="s">
        <v>46362</v>
      </c>
      <c r="X9783" t="s">
        <v>47434</v>
      </c>
    </row>
    <row r="9784" spans="1:24">
      <c r="A9784">
        <f>HYPERLINK("https://www.philgeps.gov.ph/GEPSNONPILOT/Tender/SplashBidNoticeAbstractUI.aspx?menuIndex=3&amp;refID=7150676&amp;Result=3","7150676")</f>
        <v>0</v>
      </c>
      <c r="B9784" t="s">
        <v>1206</v>
      </c>
      <c r="C9784" t="s">
        <v>13095</v>
      </c>
      <c r="D9784" t="s">
        <v>19082</v>
      </c>
      <c r="E9784" t="s">
        <v>27547</v>
      </c>
      <c r="F9784" t="s">
        <v>32831</v>
      </c>
      <c r="G9784" t="s">
        <v>32839</v>
      </c>
      <c r="H9784" t="s">
        <v>32848</v>
      </c>
      <c r="I9784" t="s">
        <v>4438</v>
      </c>
      <c r="J9784" t="s">
        <v>39018</v>
      </c>
      <c r="K9784" t="s">
        <v>42732</v>
      </c>
      <c r="M9784" t="s">
        <v>44273</v>
      </c>
      <c r="N9784" t="s">
        <v>47424</v>
      </c>
      <c r="O9784" t="s">
        <v>47425</v>
      </c>
      <c r="P9784">
        <v>0</v>
      </c>
      <c r="Q9784">
        <v>1</v>
      </c>
      <c r="R9784" t="s">
        <v>47433</v>
      </c>
      <c r="S9784" t="s">
        <v>47633</v>
      </c>
      <c r="T9784" t="s">
        <v>49490</v>
      </c>
      <c r="U9784" t="s">
        <v>57756</v>
      </c>
      <c r="W9784" t="s">
        <v>44273</v>
      </c>
      <c r="X9784" t="s">
        <v>47434</v>
      </c>
    </row>
    <row r="9785" spans="1:24">
      <c r="A9785">
        <f>HYPERLINK("https://www.philgeps.gov.ph/GEPSNONPILOT/Tender/SplashBidNoticeAbstractUI.aspx?menuIndex=3&amp;refID=7150644&amp;Result=3","7150644")</f>
        <v>0</v>
      </c>
      <c r="B9785" t="s">
        <v>2018</v>
      </c>
      <c r="C9785" t="s">
        <v>13096</v>
      </c>
      <c r="D9785" t="s">
        <v>19074</v>
      </c>
      <c r="E9785" t="s">
        <v>27548</v>
      </c>
      <c r="F9785" t="s">
        <v>32831</v>
      </c>
      <c r="G9785" t="s">
        <v>32839</v>
      </c>
      <c r="H9785" t="s">
        <v>32849</v>
      </c>
      <c r="I9785" t="s">
        <v>4177</v>
      </c>
      <c r="J9785" t="s">
        <v>39019</v>
      </c>
      <c r="K9785" t="s">
        <v>42763</v>
      </c>
      <c r="M9785" t="s">
        <v>45185</v>
      </c>
      <c r="N9785" t="s">
        <v>47424</v>
      </c>
      <c r="O9785" t="s">
        <v>47425</v>
      </c>
      <c r="P9785">
        <v>0</v>
      </c>
      <c r="Q9785">
        <v>0</v>
      </c>
      <c r="R9785" t="s">
        <v>47433</v>
      </c>
      <c r="S9785" t="s">
        <v>47633</v>
      </c>
      <c r="T9785" t="s">
        <v>49490</v>
      </c>
      <c r="U9785" t="s">
        <v>57757</v>
      </c>
      <c r="W9785" t="s">
        <v>45185</v>
      </c>
      <c r="X9785" t="s">
        <v>47434</v>
      </c>
    </row>
    <row r="9786" spans="1:24">
      <c r="A9786">
        <f>HYPERLINK("https://www.philgeps.gov.ph/GEPSNONPILOT/Tender/SplashBidNoticeAbstractUI.aspx?menuIndex=3&amp;refID=7150684&amp;Result=3","7150684")</f>
        <v>0</v>
      </c>
      <c r="B9786" t="s">
        <v>1479</v>
      </c>
      <c r="C9786" t="s">
        <v>13097</v>
      </c>
      <c r="D9786" t="s">
        <v>19027</v>
      </c>
      <c r="E9786" t="s">
        <v>27549</v>
      </c>
      <c r="F9786" t="s">
        <v>32831</v>
      </c>
      <c r="G9786" t="s">
        <v>32838</v>
      </c>
      <c r="H9786" t="s">
        <v>32848</v>
      </c>
      <c r="I9786" t="s">
        <v>32868</v>
      </c>
      <c r="J9786" t="s">
        <v>39020</v>
      </c>
      <c r="K9786" t="s">
        <v>42730</v>
      </c>
      <c r="M9786" t="s">
        <v>44572</v>
      </c>
      <c r="N9786" t="s">
        <v>47424</v>
      </c>
      <c r="O9786" t="s">
        <v>47425</v>
      </c>
      <c r="P9786">
        <v>0</v>
      </c>
      <c r="Q9786">
        <v>2</v>
      </c>
      <c r="R9786" t="s">
        <v>47433</v>
      </c>
      <c r="S9786" t="s">
        <v>47633</v>
      </c>
      <c r="T9786" t="s">
        <v>49237</v>
      </c>
      <c r="U9786" t="s">
        <v>52674</v>
      </c>
      <c r="W9786" t="s">
        <v>44572</v>
      </c>
      <c r="X9786" t="s">
        <v>47434</v>
      </c>
    </row>
    <row r="9787" spans="1:24">
      <c r="A9787">
        <f>HYPERLINK("https://www.philgeps.gov.ph/GEPSNONPILOT/Tender/SplashBidNoticeAbstractUI.aspx?menuIndex=3&amp;refID=7150639&amp;Result=3","7150639")</f>
        <v>0</v>
      </c>
      <c r="B9787" t="s">
        <v>1953</v>
      </c>
      <c r="C9787" t="s">
        <v>13098</v>
      </c>
      <c r="E9787" t="s">
        <v>27550</v>
      </c>
      <c r="F9787" t="s">
        <v>32831</v>
      </c>
      <c r="G9787" t="s">
        <v>32839</v>
      </c>
      <c r="H9787" t="s">
        <v>32849</v>
      </c>
      <c r="I9787" t="s">
        <v>4177</v>
      </c>
      <c r="J9787" t="s">
        <v>37597</v>
      </c>
      <c r="K9787" t="s">
        <v>42921</v>
      </c>
      <c r="M9787" t="s">
        <v>46363</v>
      </c>
      <c r="N9787" t="s">
        <v>47424</v>
      </c>
      <c r="O9787" t="s">
        <v>47425</v>
      </c>
      <c r="Q9787">
        <v>4</v>
      </c>
      <c r="R9787" t="s">
        <v>47433</v>
      </c>
      <c r="S9787" t="s">
        <v>47652</v>
      </c>
      <c r="T9787" t="s">
        <v>49181</v>
      </c>
      <c r="U9787" t="s">
        <v>57758</v>
      </c>
      <c r="W9787" t="s">
        <v>46363</v>
      </c>
      <c r="X9787" t="s">
        <v>47434</v>
      </c>
    </row>
    <row r="9788" spans="1:24">
      <c r="A9788">
        <f>HYPERLINK("https://www.philgeps.gov.ph/GEPSNONPILOT/Tender/SplashBidNoticeAbstractUI.aspx?menuIndex=3&amp;refID=7150716&amp;Result=3","7150716")</f>
        <v>0</v>
      </c>
      <c r="B9788" t="s">
        <v>1382</v>
      </c>
      <c r="C9788" t="s">
        <v>13099</v>
      </c>
      <c r="D9788" t="s">
        <v>19021</v>
      </c>
      <c r="E9788" t="s">
        <v>27551</v>
      </c>
      <c r="F9788" t="s">
        <v>32831</v>
      </c>
      <c r="G9788" t="s">
        <v>32839</v>
      </c>
      <c r="H9788" t="s">
        <v>32849</v>
      </c>
      <c r="I9788" t="s">
        <v>4177</v>
      </c>
      <c r="J9788" t="s">
        <v>33016</v>
      </c>
      <c r="K9788" t="s">
        <v>42730</v>
      </c>
      <c r="M9788" t="s">
        <v>44466</v>
      </c>
      <c r="N9788" t="s">
        <v>47424</v>
      </c>
      <c r="O9788" t="s">
        <v>47425</v>
      </c>
      <c r="Q9788">
        <v>72</v>
      </c>
      <c r="R9788" t="s">
        <v>47433</v>
      </c>
      <c r="S9788" t="s">
        <v>47653</v>
      </c>
      <c r="T9788" t="s">
        <v>49111</v>
      </c>
      <c r="U9788" t="s">
        <v>57759</v>
      </c>
      <c r="V9788" t="s">
        <v>63706</v>
      </c>
      <c r="W9788" t="s">
        <v>44466</v>
      </c>
      <c r="X9788" t="s">
        <v>47434</v>
      </c>
    </row>
    <row r="9789" spans="1:24">
      <c r="A9789">
        <f>HYPERLINK("https://www.philgeps.gov.ph/GEPSNONPILOT/Tender/SplashBidNoticeAbstractUI.aspx?menuIndex=3&amp;refID=7150745&amp;Result=3","7150745")</f>
        <v>0</v>
      </c>
      <c r="B9789" t="s">
        <v>3083</v>
      </c>
      <c r="C9789" t="s">
        <v>13100</v>
      </c>
      <c r="D9789" t="s">
        <v>19062</v>
      </c>
      <c r="E9789" t="s">
        <v>27552</v>
      </c>
      <c r="F9789" t="s">
        <v>32831</v>
      </c>
      <c r="G9789" t="s">
        <v>32839</v>
      </c>
      <c r="H9789" t="s">
        <v>32848</v>
      </c>
      <c r="I9789" t="s">
        <v>4776</v>
      </c>
      <c r="J9789" t="s">
        <v>39021</v>
      </c>
      <c r="K9789" t="s">
        <v>42731</v>
      </c>
      <c r="M9789" t="s">
        <v>46364</v>
      </c>
      <c r="N9789" t="s">
        <v>47424</v>
      </c>
      <c r="O9789" t="s">
        <v>47425</v>
      </c>
      <c r="P9789">
        <v>0</v>
      </c>
      <c r="Q9789">
        <v>4</v>
      </c>
      <c r="R9789" t="s">
        <v>47433</v>
      </c>
      <c r="S9789" t="s">
        <v>47633</v>
      </c>
      <c r="T9789" t="s">
        <v>49136</v>
      </c>
      <c r="U9789" t="s">
        <v>57760</v>
      </c>
      <c r="V9789" t="s">
        <v>63707</v>
      </c>
      <c r="W9789" t="s">
        <v>46364</v>
      </c>
      <c r="X9789" t="s">
        <v>47434</v>
      </c>
    </row>
    <row r="9790" spans="1:24">
      <c r="A9790">
        <f>HYPERLINK("https://www.philgeps.gov.ph/GEPSNONPILOT/Tender/SplashBidNoticeAbstractUI.aspx?menuIndex=3&amp;refID=7150756&amp;Result=3","7150756")</f>
        <v>0</v>
      </c>
      <c r="B9790" t="s">
        <v>2766</v>
      </c>
      <c r="C9790" t="s">
        <v>13101</v>
      </c>
      <c r="E9790" t="s">
        <v>26264</v>
      </c>
      <c r="F9790" t="s">
        <v>32831</v>
      </c>
      <c r="G9790" t="s">
        <v>32839</v>
      </c>
      <c r="H9790" t="s">
        <v>32848</v>
      </c>
      <c r="I9790" t="s">
        <v>4222</v>
      </c>
      <c r="J9790" t="s">
        <v>33397</v>
      </c>
      <c r="K9790" t="s">
        <v>42732</v>
      </c>
      <c r="M9790" t="s">
        <v>45996</v>
      </c>
      <c r="N9790" t="s">
        <v>47424</v>
      </c>
      <c r="O9790" t="s">
        <v>47425</v>
      </c>
      <c r="P9790">
        <v>0</v>
      </c>
      <c r="Q9790">
        <v>0</v>
      </c>
      <c r="R9790" t="s">
        <v>47433</v>
      </c>
      <c r="S9790" t="s">
        <v>47633</v>
      </c>
      <c r="T9790" t="s">
        <v>49397</v>
      </c>
      <c r="U9790" t="s">
        <v>56525</v>
      </c>
      <c r="W9790" t="s">
        <v>45996</v>
      </c>
      <c r="X9790" t="s">
        <v>47434</v>
      </c>
    </row>
    <row r="9791" spans="1:24">
      <c r="A9791">
        <f>HYPERLINK("https://www.philgeps.gov.ph/GEPSNONPILOT/Tender/SplashBidNoticeAbstractUI.aspx?menuIndex=3&amp;refID=7150687&amp;Result=3","7150687")</f>
        <v>0</v>
      </c>
      <c r="B9791" t="s">
        <v>99</v>
      </c>
      <c r="C9791" t="s">
        <v>13102</v>
      </c>
      <c r="D9791" t="s">
        <v>19054</v>
      </c>
      <c r="E9791" t="s">
        <v>27553</v>
      </c>
      <c r="F9791" t="s">
        <v>32831</v>
      </c>
      <c r="G9791" t="s">
        <v>32839</v>
      </c>
      <c r="H9791" t="s">
        <v>32848</v>
      </c>
      <c r="I9791" t="s">
        <v>4303</v>
      </c>
      <c r="J9791" t="s">
        <v>39022</v>
      </c>
      <c r="K9791" t="s">
        <v>42730</v>
      </c>
      <c r="M9791" t="s">
        <v>43096</v>
      </c>
      <c r="N9791" t="s">
        <v>47424</v>
      </c>
      <c r="O9791" t="s">
        <v>47425</v>
      </c>
      <c r="P9791">
        <v>0</v>
      </c>
      <c r="Q9791">
        <v>0</v>
      </c>
      <c r="R9791" t="s">
        <v>47433</v>
      </c>
      <c r="S9791" t="s">
        <v>47633</v>
      </c>
      <c r="T9791" t="s">
        <v>49111</v>
      </c>
      <c r="U9791" t="s">
        <v>49821</v>
      </c>
      <c r="V9791" t="s">
        <v>63699</v>
      </c>
      <c r="W9791" t="s">
        <v>43096</v>
      </c>
      <c r="X9791" t="s">
        <v>47434</v>
      </c>
    </row>
    <row r="9792" spans="1:24">
      <c r="A9792">
        <f>HYPERLINK("https://www.philgeps.gov.ph/GEPSNONPILOT/Tender/SplashBidNoticeAbstractUI.aspx?menuIndex=3&amp;refID=7150674&amp;Result=3","7150674")</f>
        <v>0</v>
      </c>
      <c r="B9792" t="s">
        <v>726</v>
      </c>
      <c r="C9792" t="s">
        <v>13103</v>
      </c>
      <c r="E9792" t="s">
        <v>27554</v>
      </c>
      <c r="F9792" t="s">
        <v>32831</v>
      </c>
      <c r="G9792" t="s">
        <v>32839</v>
      </c>
      <c r="H9792" t="s">
        <v>32849</v>
      </c>
      <c r="I9792" t="s">
        <v>4177</v>
      </c>
      <c r="J9792" t="s">
        <v>35718</v>
      </c>
      <c r="K9792" t="s">
        <v>42732</v>
      </c>
      <c r="M9792" t="s">
        <v>46361</v>
      </c>
      <c r="N9792" t="s">
        <v>47424</v>
      </c>
      <c r="O9792" t="s">
        <v>47425</v>
      </c>
      <c r="P9792">
        <v>0</v>
      </c>
      <c r="Q9792">
        <v>4</v>
      </c>
      <c r="R9792" t="s">
        <v>47433</v>
      </c>
      <c r="S9792" t="s">
        <v>47633</v>
      </c>
      <c r="T9792" t="s">
        <v>49322</v>
      </c>
      <c r="U9792" t="s">
        <v>57761</v>
      </c>
      <c r="W9792" t="s">
        <v>46361</v>
      </c>
      <c r="X9792" t="s">
        <v>47434</v>
      </c>
    </row>
    <row r="9793" spans="1:24">
      <c r="A9793">
        <f>HYPERLINK("https://www.philgeps.gov.ph/GEPSNONPILOT/Tender/SplashBidNoticeAbstractUI.aspx?menuIndex=3&amp;refID=7150755&amp;Result=3","7150755")</f>
        <v>0</v>
      </c>
      <c r="B9793" t="s">
        <v>1770</v>
      </c>
      <c r="C9793" t="s">
        <v>13104</v>
      </c>
      <c r="D9793" t="s">
        <v>19058</v>
      </c>
      <c r="E9793" t="s">
        <v>27555</v>
      </c>
      <c r="F9793" t="s">
        <v>32831</v>
      </c>
      <c r="G9793" t="s">
        <v>32840</v>
      </c>
      <c r="H9793" t="s">
        <v>32848</v>
      </c>
      <c r="I9793" t="s">
        <v>10888</v>
      </c>
      <c r="J9793" t="s">
        <v>33385</v>
      </c>
      <c r="K9793" t="s">
        <v>42726</v>
      </c>
      <c r="M9793" t="s">
        <v>44895</v>
      </c>
      <c r="N9793" t="s">
        <v>47424</v>
      </c>
      <c r="O9793" t="s">
        <v>47425</v>
      </c>
      <c r="P9793">
        <v>0</v>
      </c>
      <c r="Q9793">
        <v>1</v>
      </c>
      <c r="R9793" t="s">
        <v>47433</v>
      </c>
      <c r="S9793" t="s">
        <v>47633</v>
      </c>
      <c r="T9793" t="s">
        <v>49237</v>
      </c>
      <c r="U9793" t="s">
        <v>57762</v>
      </c>
      <c r="W9793" t="s">
        <v>44895</v>
      </c>
      <c r="X9793" t="s">
        <v>47434</v>
      </c>
    </row>
    <row r="9794" spans="1:24">
      <c r="A9794">
        <f>HYPERLINK("https://www.philgeps.gov.ph/GEPSNONPILOT/Tender/SplashBidNoticeAbstractUI.aspx?menuIndex=3&amp;refID=7150754&amp;Result=3","7150754")</f>
        <v>0</v>
      </c>
      <c r="B9794" t="s">
        <v>145</v>
      </c>
      <c r="C9794" t="s">
        <v>13105</v>
      </c>
      <c r="D9794" t="s">
        <v>19048</v>
      </c>
      <c r="E9794" t="s">
        <v>27556</v>
      </c>
      <c r="F9794" t="s">
        <v>32831</v>
      </c>
      <c r="G9794" t="s">
        <v>32839</v>
      </c>
      <c r="H9794" t="s">
        <v>32848</v>
      </c>
      <c r="I9794" t="s">
        <v>10805</v>
      </c>
      <c r="J9794" t="s">
        <v>32980</v>
      </c>
      <c r="K9794" t="s">
        <v>42730</v>
      </c>
      <c r="L9794" t="s">
        <v>145</v>
      </c>
      <c r="M9794" t="s">
        <v>43142</v>
      </c>
      <c r="N9794" t="s">
        <v>47424</v>
      </c>
      <c r="O9794" t="s">
        <v>47425</v>
      </c>
      <c r="P9794">
        <v>0</v>
      </c>
      <c r="Q9794">
        <v>2</v>
      </c>
      <c r="R9794" t="s">
        <v>47433</v>
      </c>
      <c r="S9794" t="s">
        <v>47633</v>
      </c>
      <c r="T9794" t="s">
        <v>49111</v>
      </c>
      <c r="U9794" t="s">
        <v>57763</v>
      </c>
      <c r="V9794" t="s">
        <v>62648</v>
      </c>
      <c r="W9794" t="s">
        <v>43142</v>
      </c>
      <c r="X9794" t="s">
        <v>47434</v>
      </c>
    </row>
    <row r="9795" spans="1:24">
      <c r="A9795">
        <f>HYPERLINK("https://www.philgeps.gov.ph/GEPSNONPILOT/Tender/SplashBidNoticeAbstractUI.aspx?menuIndex=3&amp;refID=7150753&amp;Result=3","7150753")</f>
        <v>0</v>
      </c>
      <c r="B9795" t="s">
        <v>99</v>
      </c>
      <c r="C9795" t="s">
        <v>13106</v>
      </c>
      <c r="D9795" t="s">
        <v>19054</v>
      </c>
      <c r="E9795" t="s">
        <v>27557</v>
      </c>
      <c r="F9795" t="s">
        <v>32831</v>
      </c>
      <c r="G9795" t="s">
        <v>32839</v>
      </c>
      <c r="H9795" t="s">
        <v>32848</v>
      </c>
      <c r="I9795" t="s">
        <v>32862</v>
      </c>
      <c r="J9795" t="s">
        <v>39023</v>
      </c>
      <c r="K9795" t="s">
        <v>42730</v>
      </c>
      <c r="M9795" t="s">
        <v>43096</v>
      </c>
      <c r="N9795" t="s">
        <v>47424</v>
      </c>
      <c r="O9795" t="s">
        <v>47425</v>
      </c>
      <c r="P9795">
        <v>0</v>
      </c>
      <c r="Q9795">
        <v>0</v>
      </c>
      <c r="R9795" t="s">
        <v>47433</v>
      </c>
      <c r="S9795" t="s">
        <v>47633</v>
      </c>
      <c r="T9795" t="s">
        <v>49111</v>
      </c>
      <c r="U9795" t="s">
        <v>49821</v>
      </c>
      <c r="V9795" t="s">
        <v>63699</v>
      </c>
      <c r="W9795" t="s">
        <v>43096</v>
      </c>
      <c r="X9795" t="s">
        <v>47434</v>
      </c>
    </row>
    <row r="9796" spans="1:24">
      <c r="A9796">
        <f>HYPERLINK("https://www.philgeps.gov.ph/GEPSNONPILOT/Tender/SplashBidNoticeAbstractUI.aspx?menuIndex=3&amp;refID=7150748&amp;Result=3","7150748")</f>
        <v>0</v>
      </c>
      <c r="B9796" t="s">
        <v>1479</v>
      </c>
      <c r="C9796" t="s">
        <v>13107</v>
      </c>
      <c r="D9796" t="s">
        <v>19027</v>
      </c>
      <c r="E9796" t="s">
        <v>27558</v>
      </c>
      <c r="F9796" t="s">
        <v>32831</v>
      </c>
      <c r="G9796" t="s">
        <v>32842</v>
      </c>
      <c r="H9796" t="s">
        <v>32848</v>
      </c>
      <c r="I9796" t="s">
        <v>9577</v>
      </c>
      <c r="J9796" t="s">
        <v>39024</v>
      </c>
      <c r="K9796" t="s">
        <v>42727</v>
      </c>
      <c r="M9796" t="s">
        <v>44572</v>
      </c>
      <c r="N9796" t="s">
        <v>47424</v>
      </c>
      <c r="O9796" t="s">
        <v>47425</v>
      </c>
      <c r="P9796">
        <v>0</v>
      </c>
      <c r="Q9796">
        <v>2</v>
      </c>
      <c r="R9796" t="s">
        <v>47433</v>
      </c>
      <c r="S9796" t="s">
        <v>47633</v>
      </c>
      <c r="T9796" t="s">
        <v>49237</v>
      </c>
      <c r="U9796" t="s">
        <v>52674</v>
      </c>
      <c r="W9796" t="s">
        <v>44572</v>
      </c>
      <c r="X9796" t="s">
        <v>47434</v>
      </c>
    </row>
    <row r="9797" spans="1:24">
      <c r="A9797">
        <f>HYPERLINK("https://www.philgeps.gov.ph/GEPSNONPILOT/Tender/SplashBidNoticeAbstractUI.aspx?menuIndex=3&amp;refID=7150679&amp;Result=3","7150679")</f>
        <v>0</v>
      </c>
      <c r="B9797" t="s">
        <v>3060</v>
      </c>
      <c r="C9797" t="s">
        <v>13108</v>
      </c>
      <c r="D9797" t="s">
        <v>19034</v>
      </c>
      <c r="E9797" t="s">
        <v>27559</v>
      </c>
      <c r="F9797" t="s">
        <v>32831</v>
      </c>
      <c r="G9797" t="s">
        <v>32841</v>
      </c>
      <c r="H9797" t="s">
        <v>32848</v>
      </c>
      <c r="I9797" t="s">
        <v>4776</v>
      </c>
      <c r="J9797" t="s">
        <v>39025</v>
      </c>
      <c r="K9797" t="s">
        <v>42746</v>
      </c>
      <c r="M9797" t="s">
        <v>46335</v>
      </c>
      <c r="N9797" t="s">
        <v>47424</v>
      </c>
      <c r="O9797" t="s">
        <v>47425</v>
      </c>
      <c r="P9797">
        <v>0</v>
      </c>
      <c r="Q9797">
        <v>0</v>
      </c>
      <c r="R9797" t="s">
        <v>47433</v>
      </c>
      <c r="S9797" t="s">
        <v>47633</v>
      </c>
      <c r="T9797" t="s">
        <v>49338</v>
      </c>
      <c r="U9797" t="s">
        <v>57729</v>
      </c>
      <c r="W9797" t="s">
        <v>46335</v>
      </c>
      <c r="X9797" t="s">
        <v>47434</v>
      </c>
    </row>
    <row r="9798" spans="1:24">
      <c r="A9798">
        <f>HYPERLINK("https://www.philgeps.gov.ph/GEPSNONPILOT/Tender/SplashBidNoticeAbstractUI.aspx?menuIndex=3&amp;refID=7150742&amp;Result=3","7150742")</f>
        <v>0</v>
      </c>
      <c r="B9798" t="s">
        <v>2034</v>
      </c>
      <c r="C9798" t="s">
        <v>13109</v>
      </c>
      <c r="D9798" t="s">
        <v>19045</v>
      </c>
      <c r="E9798" t="s">
        <v>20710</v>
      </c>
      <c r="F9798" t="s">
        <v>32831</v>
      </c>
      <c r="G9798" t="s">
        <v>32839</v>
      </c>
      <c r="H9798" t="s">
        <v>32849</v>
      </c>
      <c r="I9798" t="s">
        <v>4177</v>
      </c>
      <c r="J9798" t="s">
        <v>39026</v>
      </c>
      <c r="K9798" t="s">
        <v>42730</v>
      </c>
      <c r="M9798" t="s">
        <v>45203</v>
      </c>
      <c r="N9798" t="s">
        <v>47424</v>
      </c>
      <c r="O9798" t="s">
        <v>47425</v>
      </c>
      <c r="P9798">
        <v>0</v>
      </c>
      <c r="Q9798">
        <v>1</v>
      </c>
      <c r="R9798" t="s">
        <v>47433</v>
      </c>
      <c r="S9798" t="s">
        <v>47633</v>
      </c>
      <c r="T9798" t="s">
        <v>49236</v>
      </c>
      <c r="U9798" t="s">
        <v>57764</v>
      </c>
      <c r="W9798" t="s">
        <v>45203</v>
      </c>
      <c r="X9798" t="s">
        <v>47434</v>
      </c>
    </row>
    <row r="9799" spans="1:24">
      <c r="A9799">
        <f>HYPERLINK("https://www.philgeps.gov.ph/GEPSNONPILOT/Tender/SplashBidNoticeAbstractUI.aspx?menuIndex=3&amp;refID=7150738&amp;Result=3","7150738")</f>
        <v>0</v>
      </c>
      <c r="B9799" t="s">
        <v>726</v>
      </c>
      <c r="C9799" t="s">
        <v>13110</v>
      </c>
      <c r="E9799" t="s">
        <v>27560</v>
      </c>
      <c r="F9799" t="s">
        <v>32831</v>
      </c>
      <c r="G9799" t="s">
        <v>32839</v>
      </c>
      <c r="H9799" t="s">
        <v>32849</v>
      </c>
      <c r="I9799" t="s">
        <v>4177</v>
      </c>
      <c r="J9799" t="s">
        <v>39027</v>
      </c>
      <c r="K9799" t="s">
        <v>42732</v>
      </c>
      <c r="M9799" t="s">
        <v>46361</v>
      </c>
      <c r="N9799" t="s">
        <v>47424</v>
      </c>
      <c r="O9799" t="s">
        <v>47425</v>
      </c>
      <c r="P9799">
        <v>0</v>
      </c>
      <c r="Q9799">
        <v>2</v>
      </c>
      <c r="R9799" t="s">
        <v>47433</v>
      </c>
      <c r="S9799" t="s">
        <v>47633</v>
      </c>
      <c r="T9799" t="s">
        <v>49322</v>
      </c>
      <c r="U9799" t="s">
        <v>57765</v>
      </c>
      <c r="W9799" t="s">
        <v>46361</v>
      </c>
      <c r="X9799" t="s">
        <v>47434</v>
      </c>
    </row>
    <row r="9800" spans="1:24">
      <c r="A9800">
        <f>HYPERLINK("https://www.philgeps.gov.ph/GEPSNONPILOT/Tender/SplashBidNoticeAbstractUI.aspx?menuIndex=3&amp;refID=7150733&amp;Result=3","7150733")</f>
        <v>0</v>
      </c>
      <c r="B9800" t="s">
        <v>960</v>
      </c>
      <c r="C9800" t="s">
        <v>13111</v>
      </c>
      <c r="D9800" t="s">
        <v>19017</v>
      </c>
      <c r="E9800" t="s">
        <v>27561</v>
      </c>
      <c r="F9800" t="s">
        <v>32831</v>
      </c>
      <c r="G9800" t="s">
        <v>32838</v>
      </c>
      <c r="H9800" t="s">
        <v>32848</v>
      </c>
      <c r="I9800" t="s">
        <v>32886</v>
      </c>
      <c r="J9800" t="s">
        <v>33424</v>
      </c>
      <c r="K9800" t="s">
        <v>42729</v>
      </c>
      <c r="M9800" t="s">
        <v>44410</v>
      </c>
      <c r="N9800" t="s">
        <v>47424</v>
      </c>
      <c r="O9800" t="s">
        <v>47425</v>
      </c>
      <c r="P9800">
        <v>0</v>
      </c>
      <c r="Q9800">
        <v>4</v>
      </c>
      <c r="R9800" t="s">
        <v>47433</v>
      </c>
      <c r="S9800" t="s">
        <v>47633</v>
      </c>
      <c r="T9800" t="s">
        <v>49229</v>
      </c>
      <c r="U9800" t="s">
        <v>53365</v>
      </c>
      <c r="W9800" t="s">
        <v>44410</v>
      </c>
      <c r="X9800" t="s">
        <v>47434</v>
      </c>
    </row>
    <row r="9801" spans="1:24">
      <c r="A9801">
        <f>HYPERLINK("https://www.philgeps.gov.ph/GEPSNONPILOT/Tender/SplashBidNoticeAbstractUI.aspx?menuIndex=3&amp;refID=7150747&amp;Result=3","7150747")</f>
        <v>0</v>
      </c>
      <c r="B9801" t="s">
        <v>714</v>
      </c>
      <c r="C9801" t="s">
        <v>13112</v>
      </c>
      <c r="D9801" t="s">
        <v>19038</v>
      </c>
      <c r="E9801" t="s">
        <v>27562</v>
      </c>
      <c r="F9801" t="s">
        <v>32831</v>
      </c>
      <c r="G9801" t="s">
        <v>32839</v>
      </c>
      <c r="H9801" t="s">
        <v>32848</v>
      </c>
      <c r="I9801" t="s">
        <v>4438</v>
      </c>
      <c r="J9801" t="s">
        <v>39028</v>
      </c>
      <c r="K9801" t="s">
        <v>42732</v>
      </c>
      <c r="M9801" t="s">
        <v>43734</v>
      </c>
      <c r="N9801" t="s">
        <v>47424</v>
      </c>
      <c r="O9801" t="s">
        <v>47425</v>
      </c>
      <c r="P9801">
        <v>0</v>
      </c>
      <c r="Q9801">
        <v>3</v>
      </c>
      <c r="R9801" t="s">
        <v>47433</v>
      </c>
      <c r="S9801" t="s">
        <v>47633</v>
      </c>
      <c r="T9801" t="s">
        <v>49166</v>
      </c>
      <c r="U9801" t="s">
        <v>50996</v>
      </c>
      <c r="W9801" t="s">
        <v>43734</v>
      </c>
      <c r="X9801" t="s">
        <v>47434</v>
      </c>
    </row>
    <row r="9802" spans="1:24">
      <c r="A9802">
        <f>HYPERLINK("https://www.philgeps.gov.ph/GEPSNONPILOT/Tender/SplashBidNoticeAbstractUI.aspx?menuIndex=3&amp;refID=7150727&amp;Result=3","7150727")</f>
        <v>0</v>
      </c>
      <c r="B9802" t="s">
        <v>714</v>
      </c>
      <c r="C9802" t="s">
        <v>13113</v>
      </c>
      <c r="D9802" t="s">
        <v>19038</v>
      </c>
      <c r="E9802" t="s">
        <v>27563</v>
      </c>
      <c r="F9802" t="s">
        <v>32831</v>
      </c>
      <c r="G9802" t="s">
        <v>32839</v>
      </c>
      <c r="H9802" t="s">
        <v>32848</v>
      </c>
      <c r="I9802" t="s">
        <v>7751</v>
      </c>
      <c r="J9802" t="s">
        <v>33090</v>
      </c>
      <c r="K9802" t="s">
        <v>42732</v>
      </c>
      <c r="M9802" t="s">
        <v>43734</v>
      </c>
      <c r="N9802" t="s">
        <v>47424</v>
      </c>
      <c r="O9802" t="s">
        <v>47425</v>
      </c>
      <c r="P9802">
        <v>0</v>
      </c>
      <c r="Q9802">
        <v>1</v>
      </c>
      <c r="R9802" t="s">
        <v>47433</v>
      </c>
      <c r="S9802" t="s">
        <v>47633</v>
      </c>
      <c r="T9802" t="s">
        <v>49166</v>
      </c>
      <c r="U9802" t="s">
        <v>50996</v>
      </c>
      <c r="W9802" t="s">
        <v>43734</v>
      </c>
      <c r="X9802" t="s">
        <v>47434</v>
      </c>
    </row>
    <row r="9803" spans="1:24">
      <c r="A9803">
        <f>HYPERLINK("https://www.philgeps.gov.ph/GEPSNONPILOT/Tender/SplashBidNoticeAbstractUI.aspx?menuIndex=3&amp;refID=7150726&amp;Result=3","7150726")</f>
        <v>0</v>
      </c>
      <c r="B9803" t="s">
        <v>674</v>
      </c>
      <c r="C9803" t="s">
        <v>13114</v>
      </c>
      <c r="D9803" t="s">
        <v>19058</v>
      </c>
      <c r="E9803" t="s">
        <v>27564</v>
      </c>
      <c r="F9803" t="s">
        <v>32831</v>
      </c>
      <c r="G9803" t="s">
        <v>32839</v>
      </c>
      <c r="H9803" t="s">
        <v>32848</v>
      </c>
      <c r="I9803" t="s">
        <v>7751</v>
      </c>
      <c r="J9803" t="s">
        <v>33707</v>
      </c>
      <c r="K9803" t="s">
        <v>42732</v>
      </c>
      <c r="M9803" t="s">
        <v>44520</v>
      </c>
      <c r="N9803" t="s">
        <v>47424</v>
      </c>
      <c r="O9803" t="s">
        <v>47425</v>
      </c>
      <c r="P9803">
        <v>0</v>
      </c>
      <c r="Q9803">
        <v>4</v>
      </c>
      <c r="R9803" t="s">
        <v>47433</v>
      </c>
      <c r="S9803" t="s">
        <v>47633</v>
      </c>
      <c r="T9803" t="s">
        <v>49236</v>
      </c>
      <c r="U9803" t="s">
        <v>57766</v>
      </c>
      <c r="W9803" t="s">
        <v>44520</v>
      </c>
      <c r="X9803" t="s">
        <v>47434</v>
      </c>
    </row>
    <row r="9804" spans="1:24">
      <c r="A9804">
        <f>HYPERLINK("https://www.philgeps.gov.ph/GEPSNONPILOT/Tender/SplashBidNoticeAbstractUI.aspx?menuIndex=3&amp;refID=7150723&amp;Result=3","7150723")</f>
        <v>0</v>
      </c>
      <c r="B9804" t="s">
        <v>3084</v>
      </c>
      <c r="C9804" t="s">
        <v>13115</v>
      </c>
      <c r="D9804" t="s">
        <v>19069</v>
      </c>
      <c r="E9804" t="s">
        <v>25215</v>
      </c>
      <c r="F9804" t="s">
        <v>32831</v>
      </c>
      <c r="G9804" t="s">
        <v>32839</v>
      </c>
      <c r="H9804" t="s">
        <v>32849</v>
      </c>
      <c r="I9804" t="s">
        <v>4177</v>
      </c>
      <c r="J9804" t="s">
        <v>39029</v>
      </c>
      <c r="K9804" t="s">
        <v>42747</v>
      </c>
      <c r="M9804" t="s">
        <v>46365</v>
      </c>
      <c r="N9804" t="s">
        <v>47424</v>
      </c>
      <c r="O9804" t="s">
        <v>47425</v>
      </c>
      <c r="P9804">
        <v>0</v>
      </c>
      <c r="Q9804">
        <v>0</v>
      </c>
      <c r="R9804" t="s">
        <v>47433</v>
      </c>
      <c r="S9804" t="s">
        <v>47633</v>
      </c>
      <c r="T9804" t="s">
        <v>49237</v>
      </c>
      <c r="U9804" t="s">
        <v>57767</v>
      </c>
      <c r="W9804" t="s">
        <v>46365</v>
      </c>
      <c r="X9804" t="s">
        <v>47434</v>
      </c>
    </row>
    <row r="9805" spans="1:24">
      <c r="A9805">
        <f>HYPERLINK("https://www.philgeps.gov.ph/GEPSNONPILOT/Tender/SplashBidNoticeAbstractUI.aspx?menuIndex=3&amp;refID=7150636&amp;Result=3","7150636")</f>
        <v>0</v>
      </c>
      <c r="B9805" t="s">
        <v>3085</v>
      </c>
      <c r="C9805" t="s">
        <v>13116</v>
      </c>
      <c r="D9805" t="s">
        <v>19074</v>
      </c>
      <c r="E9805" t="s">
        <v>19311</v>
      </c>
      <c r="F9805" t="s">
        <v>32831</v>
      </c>
      <c r="G9805" t="s">
        <v>32839</v>
      </c>
      <c r="H9805" t="s">
        <v>32848</v>
      </c>
      <c r="I9805" t="s">
        <v>32860</v>
      </c>
      <c r="J9805" t="s">
        <v>39030</v>
      </c>
      <c r="K9805" t="s">
        <v>42759</v>
      </c>
      <c r="M9805" t="s">
        <v>46366</v>
      </c>
      <c r="N9805" t="s">
        <v>47424</v>
      </c>
      <c r="O9805" t="s">
        <v>47425</v>
      </c>
      <c r="P9805">
        <v>0</v>
      </c>
      <c r="Q9805">
        <v>1</v>
      </c>
      <c r="R9805" t="s">
        <v>47433</v>
      </c>
      <c r="S9805" t="s">
        <v>47633</v>
      </c>
      <c r="T9805" t="s">
        <v>49103</v>
      </c>
      <c r="U9805" t="s">
        <v>57768</v>
      </c>
      <c r="W9805" t="s">
        <v>46366</v>
      </c>
      <c r="X9805" t="s">
        <v>47434</v>
      </c>
    </row>
    <row r="9806" spans="1:24">
      <c r="A9806">
        <f>HYPERLINK("https://www.philgeps.gov.ph/GEPSNONPILOT/Tender/SplashBidNoticeAbstractUI.aspx?menuIndex=3&amp;refID=7150722&amp;Result=3","7150722")</f>
        <v>0</v>
      </c>
      <c r="B9806" t="s">
        <v>3086</v>
      </c>
      <c r="C9806" t="s">
        <v>13117</v>
      </c>
      <c r="D9806" t="s">
        <v>19036</v>
      </c>
      <c r="E9806" t="s">
        <v>27565</v>
      </c>
      <c r="F9806" t="s">
        <v>32831</v>
      </c>
      <c r="G9806" t="s">
        <v>32839</v>
      </c>
      <c r="H9806" t="s">
        <v>32848</v>
      </c>
      <c r="I9806" t="s">
        <v>7416</v>
      </c>
      <c r="J9806" t="s">
        <v>39031</v>
      </c>
      <c r="K9806" t="s">
        <v>42731</v>
      </c>
      <c r="M9806" t="s">
        <v>46367</v>
      </c>
      <c r="N9806" t="s">
        <v>47424</v>
      </c>
      <c r="O9806" t="s">
        <v>47425</v>
      </c>
      <c r="P9806">
        <v>0</v>
      </c>
      <c r="Q9806">
        <v>3</v>
      </c>
      <c r="R9806" t="s">
        <v>47433</v>
      </c>
      <c r="S9806" t="s">
        <v>47633</v>
      </c>
      <c r="T9806" t="s">
        <v>49237</v>
      </c>
      <c r="U9806" t="s">
        <v>57769</v>
      </c>
      <c r="W9806" t="s">
        <v>46367</v>
      </c>
      <c r="X9806" t="s">
        <v>47434</v>
      </c>
    </row>
    <row r="9807" spans="1:24">
      <c r="A9807">
        <f>HYPERLINK("https://www.philgeps.gov.ph/GEPSNONPILOT/Tender/SplashBidNoticeAbstractUI.aspx?menuIndex=3&amp;refID=7150720&amp;Result=3","7150720")</f>
        <v>0</v>
      </c>
      <c r="B9807" t="s">
        <v>726</v>
      </c>
      <c r="C9807" t="s">
        <v>13118</v>
      </c>
      <c r="E9807" t="s">
        <v>27566</v>
      </c>
      <c r="F9807" t="s">
        <v>32831</v>
      </c>
      <c r="G9807" t="s">
        <v>32839</v>
      </c>
      <c r="H9807" t="s">
        <v>32849</v>
      </c>
      <c r="I9807" t="s">
        <v>4177</v>
      </c>
      <c r="J9807" t="s">
        <v>39032</v>
      </c>
      <c r="K9807" t="s">
        <v>42732</v>
      </c>
      <c r="M9807" t="s">
        <v>46361</v>
      </c>
      <c r="N9807" t="s">
        <v>47424</v>
      </c>
      <c r="O9807" t="s">
        <v>47425</v>
      </c>
      <c r="P9807">
        <v>0</v>
      </c>
      <c r="Q9807">
        <v>1</v>
      </c>
      <c r="R9807" t="s">
        <v>47433</v>
      </c>
      <c r="S9807" t="s">
        <v>47633</v>
      </c>
      <c r="T9807" t="s">
        <v>49322</v>
      </c>
      <c r="U9807" t="s">
        <v>57770</v>
      </c>
      <c r="W9807" t="s">
        <v>46361</v>
      </c>
      <c r="X9807" t="s">
        <v>47434</v>
      </c>
    </row>
    <row r="9808" spans="1:24">
      <c r="A9808">
        <f>HYPERLINK("https://www.philgeps.gov.ph/GEPSNONPILOT/Tender/SplashBidNoticeAbstractUI.aspx?menuIndex=3&amp;refID=7150719&amp;Result=3","7150719")</f>
        <v>0</v>
      </c>
      <c r="B9808" t="s">
        <v>3087</v>
      </c>
      <c r="C9808" t="s">
        <v>13119</v>
      </c>
      <c r="D9808" t="s">
        <v>19094</v>
      </c>
      <c r="E9808" t="s">
        <v>27567</v>
      </c>
      <c r="F9808" t="s">
        <v>32831</v>
      </c>
      <c r="G9808" t="s">
        <v>32838</v>
      </c>
      <c r="H9808" t="s">
        <v>32848</v>
      </c>
      <c r="I9808" t="s">
        <v>32870</v>
      </c>
      <c r="J9808" t="s">
        <v>34131</v>
      </c>
      <c r="K9808" t="s">
        <v>42727</v>
      </c>
      <c r="M9808" t="s">
        <v>46368</v>
      </c>
      <c r="N9808" t="s">
        <v>47424</v>
      </c>
      <c r="O9808" t="s">
        <v>47425</v>
      </c>
      <c r="P9808">
        <v>0</v>
      </c>
      <c r="Q9808">
        <v>0</v>
      </c>
      <c r="R9808" t="s">
        <v>47433</v>
      </c>
      <c r="S9808" t="s">
        <v>47633</v>
      </c>
      <c r="T9808" t="s">
        <v>49543</v>
      </c>
      <c r="U9808" t="s">
        <v>57771</v>
      </c>
      <c r="W9808" t="s">
        <v>46368</v>
      </c>
      <c r="X9808" t="s">
        <v>47434</v>
      </c>
    </row>
    <row r="9809" spans="1:24">
      <c r="A9809">
        <f>HYPERLINK("https://www.philgeps.gov.ph/GEPSNONPILOT/Tender/SplashBidNoticeAbstractUI.aspx?menuIndex=3&amp;refID=7150635&amp;Result=3","7150635")</f>
        <v>0</v>
      </c>
      <c r="B9809" t="s">
        <v>862</v>
      </c>
      <c r="C9809" t="s">
        <v>13120</v>
      </c>
      <c r="D9809" t="s">
        <v>19074</v>
      </c>
      <c r="E9809" t="s">
        <v>27568</v>
      </c>
      <c r="F9809" t="s">
        <v>32831</v>
      </c>
      <c r="G9809" t="s">
        <v>32839</v>
      </c>
      <c r="H9809" t="s">
        <v>32849</v>
      </c>
      <c r="I9809" t="s">
        <v>4177</v>
      </c>
      <c r="J9809" t="s">
        <v>39033</v>
      </c>
      <c r="K9809" t="s">
        <v>42770</v>
      </c>
      <c r="M9809" t="s">
        <v>43896</v>
      </c>
      <c r="N9809" t="s">
        <v>47424</v>
      </c>
      <c r="O9809" t="s">
        <v>47425</v>
      </c>
      <c r="P9809">
        <v>0</v>
      </c>
      <c r="Q9809">
        <v>0</v>
      </c>
      <c r="R9809" t="s">
        <v>47433</v>
      </c>
      <c r="S9809" t="s">
        <v>47633</v>
      </c>
      <c r="T9809" t="s">
        <v>49173</v>
      </c>
      <c r="U9809" t="s">
        <v>51270</v>
      </c>
      <c r="W9809" t="s">
        <v>43896</v>
      </c>
      <c r="X9809" t="s">
        <v>47434</v>
      </c>
    </row>
    <row r="9810" spans="1:24">
      <c r="A9810">
        <f>HYPERLINK("https://www.philgeps.gov.ph/GEPSNONPILOT/Tender/SplashBidNoticeAbstractUI.aspx?menuIndex=3&amp;refID=7150634&amp;Result=3","7150634")</f>
        <v>0</v>
      </c>
      <c r="B9810" t="s">
        <v>3088</v>
      </c>
      <c r="C9810" t="s">
        <v>13121</v>
      </c>
      <c r="E9810" t="s">
        <v>27569</v>
      </c>
      <c r="F9810" t="s">
        <v>32831</v>
      </c>
      <c r="G9810" t="s">
        <v>32839</v>
      </c>
      <c r="H9810" t="s">
        <v>32849</v>
      </c>
      <c r="I9810" t="s">
        <v>4177</v>
      </c>
      <c r="J9810" t="s">
        <v>33067</v>
      </c>
      <c r="K9810" t="s">
        <v>42732</v>
      </c>
      <c r="M9810" t="s">
        <v>46369</v>
      </c>
      <c r="N9810" t="s">
        <v>47424</v>
      </c>
      <c r="O9810" t="s">
        <v>47425</v>
      </c>
      <c r="P9810">
        <v>0</v>
      </c>
      <c r="Q9810">
        <v>0</v>
      </c>
      <c r="R9810" t="s">
        <v>47433</v>
      </c>
      <c r="S9810" t="s">
        <v>47633</v>
      </c>
      <c r="T9810" t="s">
        <v>49497</v>
      </c>
      <c r="U9810" t="s">
        <v>57772</v>
      </c>
      <c r="W9810" t="s">
        <v>46369</v>
      </c>
      <c r="X9810" t="s">
        <v>47434</v>
      </c>
    </row>
    <row r="9811" spans="1:24">
      <c r="A9811">
        <f>HYPERLINK("https://www.philgeps.gov.ph/GEPSNONPILOT/Tender/SplashBidNoticeAbstractUI.aspx?menuIndex=3&amp;refID=7150725&amp;Result=3","7150725")</f>
        <v>0</v>
      </c>
      <c r="B9811" t="s">
        <v>99</v>
      </c>
      <c r="C9811" t="s">
        <v>13122</v>
      </c>
      <c r="D9811" t="s">
        <v>19054</v>
      </c>
      <c r="E9811" t="s">
        <v>27570</v>
      </c>
      <c r="F9811" t="s">
        <v>32831</v>
      </c>
      <c r="G9811" t="s">
        <v>32839</v>
      </c>
      <c r="H9811" t="s">
        <v>32848</v>
      </c>
      <c r="I9811" t="s">
        <v>7416</v>
      </c>
      <c r="J9811" t="s">
        <v>39034</v>
      </c>
      <c r="K9811" t="s">
        <v>42730</v>
      </c>
      <c r="M9811" t="s">
        <v>43096</v>
      </c>
      <c r="N9811" t="s">
        <v>47424</v>
      </c>
      <c r="O9811" t="s">
        <v>47425</v>
      </c>
      <c r="P9811">
        <v>0</v>
      </c>
      <c r="Q9811">
        <v>0</v>
      </c>
      <c r="R9811" t="s">
        <v>47433</v>
      </c>
      <c r="S9811" t="s">
        <v>47633</v>
      </c>
      <c r="T9811" t="s">
        <v>49111</v>
      </c>
      <c r="U9811" t="s">
        <v>49821</v>
      </c>
      <c r="V9811" t="s">
        <v>63699</v>
      </c>
      <c r="W9811" t="s">
        <v>43096</v>
      </c>
      <c r="X9811" t="s">
        <v>47434</v>
      </c>
    </row>
    <row r="9812" spans="1:24">
      <c r="A9812">
        <f>HYPERLINK("https://www.philgeps.gov.ph/GEPSNONPILOT/Tender/SplashBidNoticeAbstractUI.aspx?menuIndex=3&amp;refID=7150625&amp;Result=3","7150625")</f>
        <v>0</v>
      </c>
      <c r="B9812" t="s">
        <v>1953</v>
      </c>
      <c r="C9812" t="s">
        <v>13123</v>
      </c>
      <c r="E9812" t="s">
        <v>27571</v>
      </c>
      <c r="F9812" t="s">
        <v>32831</v>
      </c>
      <c r="G9812" t="s">
        <v>32839</v>
      </c>
      <c r="H9812" t="s">
        <v>32849</v>
      </c>
      <c r="I9812" t="s">
        <v>4177</v>
      </c>
      <c r="J9812" t="s">
        <v>37597</v>
      </c>
      <c r="K9812" t="s">
        <v>42921</v>
      </c>
      <c r="M9812" t="s">
        <v>46363</v>
      </c>
      <c r="N9812" t="s">
        <v>47424</v>
      </c>
      <c r="O9812" t="s">
        <v>47425</v>
      </c>
      <c r="Q9812">
        <v>4</v>
      </c>
      <c r="R9812" t="s">
        <v>47433</v>
      </c>
      <c r="S9812" t="s">
        <v>47654</v>
      </c>
      <c r="T9812" t="s">
        <v>49077</v>
      </c>
      <c r="U9812" t="s">
        <v>57773</v>
      </c>
      <c r="W9812" t="s">
        <v>46363</v>
      </c>
      <c r="X9812" t="s">
        <v>47434</v>
      </c>
    </row>
    <row r="9813" spans="1:24">
      <c r="A9813">
        <f>HYPERLINK("https://www.philgeps.gov.ph/GEPSNONPILOT/Tender/SplashBidNoticeAbstractUI.aspx?menuIndex=3&amp;refID=7150728&amp;Result=3","7150728")</f>
        <v>0</v>
      </c>
      <c r="B9813" t="s">
        <v>1425</v>
      </c>
      <c r="C9813" t="s">
        <v>9215</v>
      </c>
      <c r="D9813" t="s">
        <v>19073</v>
      </c>
      <c r="E9813" t="s">
        <v>27572</v>
      </c>
      <c r="F9813" t="s">
        <v>32831</v>
      </c>
      <c r="G9813" t="s">
        <v>32839</v>
      </c>
      <c r="H9813" t="s">
        <v>32848</v>
      </c>
      <c r="I9813" t="s">
        <v>7416</v>
      </c>
      <c r="J9813" t="s">
        <v>39035</v>
      </c>
      <c r="K9813" t="s">
        <v>42730</v>
      </c>
      <c r="M9813" t="s">
        <v>44514</v>
      </c>
      <c r="N9813" t="s">
        <v>47424</v>
      </c>
      <c r="O9813" t="s">
        <v>47425</v>
      </c>
      <c r="P9813">
        <v>0</v>
      </c>
      <c r="Q9813">
        <v>1</v>
      </c>
      <c r="R9813" t="s">
        <v>47433</v>
      </c>
      <c r="S9813" t="s">
        <v>47633</v>
      </c>
      <c r="T9813" t="s">
        <v>49111</v>
      </c>
      <c r="U9813" t="s">
        <v>57774</v>
      </c>
      <c r="W9813" t="s">
        <v>44514</v>
      </c>
      <c r="X9813" t="s">
        <v>47434</v>
      </c>
    </row>
    <row r="9814" spans="1:24">
      <c r="A9814">
        <f>HYPERLINK("https://www.philgeps.gov.ph/GEPSNONPILOT/Tender/SplashBidNoticeAbstractUI.aspx?menuIndex=3&amp;refID=7150780&amp;Result=3","7150780")</f>
        <v>0</v>
      </c>
      <c r="B9814" t="s">
        <v>1747</v>
      </c>
      <c r="C9814" t="s">
        <v>13124</v>
      </c>
      <c r="D9814" t="s">
        <v>19058</v>
      </c>
      <c r="E9814" t="s">
        <v>27573</v>
      </c>
      <c r="F9814" t="s">
        <v>32831</v>
      </c>
      <c r="G9814" t="s">
        <v>32838</v>
      </c>
      <c r="H9814" t="s">
        <v>32848</v>
      </c>
      <c r="I9814" t="s">
        <v>4487</v>
      </c>
      <c r="J9814" t="s">
        <v>33018</v>
      </c>
      <c r="K9814" t="s">
        <v>42727</v>
      </c>
      <c r="M9814" t="s">
        <v>45038</v>
      </c>
      <c r="N9814" t="s">
        <v>47424</v>
      </c>
      <c r="O9814" t="s">
        <v>47425</v>
      </c>
      <c r="P9814">
        <v>0</v>
      </c>
      <c r="Q9814">
        <v>0</v>
      </c>
      <c r="R9814" t="s">
        <v>47433</v>
      </c>
      <c r="S9814" t="s">
        <v>47633</v>
      </c>
      <c r="T9814" t="s">
        <v>49107</v>
      </c>
      <c r="U9814" t="s">
        <v>57775</v>
      </c>
      <c r="W9814" t="s">
        <v>45038</v>
      </c>
      <c r="X9814" t="s">
        <v>47434</v>
      </c>
    </row>
    <row r="9815" spans="1:24">
      <c r="A9815">
        <f>HYPERLINK("https://www.philgeps.gov.ph/GEPSNONPILOT/Tender/SplashBidNoticeAbstractUI.aspx?menuIndex=3&amp;refID=7150793&amp;Result=3","7150793")</f>
        <v>0</v>
      </c>
      <c r="B9815" t="s">
        <v>2429</v>
      </c>
      <c r="C9815" t="s">
        <v>13125</v>
      </c>
      <c r="D9815" t="s">
        <v>19064</v>
      </c>
      <c r="E9815" t="s">
        <v>27574</v>
      </c>
      <c r="F9815" t="s">
        <v>32831</v>
      </c>
      <c r="G9815" t="s">
        <v>32839</v>
      </c>
      <c r="H9815" t="s">
        <v>32848</v>
      </c>
      <c r="I9815" t="s">
        <v>32863</v>
      </c>
      <c r="J9815" t="s">
        <v>33366</v>
      </c>
      <c r="K9815" t="s">
        <v>42731</v>
      </c>
      <c r="M9815" t="s">
        <v>45626</v>
      </c>
      <c r="N9815" t="s">
        <v>47424</v>
      </c>
      <c r="O9815" t="s">
        <v>47425</v>
      </c>
      <c r="P9815">
        <v>0</v>
      </c>
      <c r="Q9815">
        <v>0</v>
      </c>
      <c r="R9815" t="s">
        <v>47433</v>
      </c>
      <c r="S9815" t="s">
        <v>47633</v>
      </c>
      <c r="T9815" t="s">
        <v>49055</v>
      </c>
      <c r="U9815" t="s">
        <v>57776</v>
      </c>
      <c r="W9815" t="s">
        <v>45626</v>
      </c>
      <c r="X9815" t="s">
        <v>47434</v>
      </c>
    </row>
    <row r="9816" spans="1:24">
      <c r="A9816">
        <f>HYPERLINK("https://www.philgeps.gov.ph/GEPSNONPILOT/Tender/SplashBidNoticeAbstractUI.aspx?menuIndex=3&amp;refID=7150788&amp;Result=3","7150788")</f>
        <v>0</v>
      </c>
      <c r="B9816" t="s">
        <v>726</v>
      </c>
      <c r="C9816" t="s">
        <v>13126</v>
      </c>
      <c r="E9816" t="s">
        <v>27575</v>
      </c>
      <c r="F9816" t="s">
        <v>32831</v>
      </c>
      <c r="G9816" t="s">
        <v>32839</v>
      </c>
      <c r="H9816" t="s">
        <v>32849</v>
      </c>
      <c r="I9816" t="s">
        <v>4177</v>
      </c>
      <c r="J9816" t="s">
        <v>39036</v>
      </c>
      <c r="K9816" t="s">
        <v>42732</v>
      </c>
      <c r="M9816" t="s">
        <v>46361</v>
      </c>
      <c r="N9816" t="s">
        <v>47424</v>
      </c>
      <c r="O9816" t="s">
        <v>47425</v>
      </c>
      <c r="P9816">
        <v>0</v>
      </c>
      <c r="Q9816">
        <v>3</v>
      </c>
      <c r="R9816" t="s">
        <v>47433</v>
      </c>
      <c r="S9816" t="s">
        <v>47633</v>
      </c>
      <c r="T9816" t="s">
        <v>49322</v>
      </c>
      <c r="U9816" t="s">
        <v>57777</v>
      </c>
      <c r="W9816" t="s">
        <v>46361</v>
      </c>
      <c r="X9816" t="s">
        <v>47434</v>
      </c>
    </row>
    <row r="9817" spans="1:24">
      <c r="A9817">
        <f>HYPERLINK("https://www.philgeps.gov.ph/GEPSNONPILOT/Tender/SplashBidNoticeAbstractUI.aspx?menuIndex=3&amp;refID=7150787&amp;Result=3","7150787")</f>
        <v>0</v>
      </c>
      <c r="B9817" t="s">
        <v>147</v>
      </c>
      <c r="C9817" t="s">
        <v>13127</v>
      </c>
      <c r="D9817" t="s">
        <v>19067</v>
      </c>
      <c r="E9817" t="s">
        <v>27576</v>
      </c>
      <c r="F9817" t="s">
        <v>32831</v>
      </c>
      <c r="G9817" t="s">
        <v>32839</v>
      </c>
      <c r="H9817" t="s">
        <v>32848</v>
      </c>
      <c r="I9817" t="s">
        <v>7416</v>
      </c>
      <c r="J9817" t="s">
        <v>39037</v>
      </c>
      <c r="K9817" t="s">
        <v>42730</v>
      </c>
      <c r="M9817" t="s">
        <v>43144</v>
      </c>
      <c r="N9817" t="s">
        <v>47424</v>
      </c>
      <c r="O9817" t="s">
        <v>47425</v>
      </c>
      <c r="P9817">
        <v>0</v>
      </c>
      <c r="Q9817">
        <v>0</v>
      </c>
      <c r="R9817" t="s">
        <v>47433</v>
      </c>
      <c r="S9817" t="s">
        <v>47633</v>
      </c>
      <c r="T9817" t="s">
        <v>49080</v>
      </c>
      <c r="U9817" t="s">
        <v>57778</v>
      </c>
      <c r="W9817" t="s">
        <v>43144</v>
      </c>
      <c r="X9817" t="s">
        <v>47434</v>
      </c>
    </row>
    <row r="9818" spans="1:24">
      <c r="A9818">
        <f>HYPERLINK("https://www.philgeps.gov.ph/GEPSNONPILOT/Tender/SplashBidNoticeAbstractUI.aspx?menuIndex=3&amp;refID=7150786&amp;Result=3","7150786")</f>
        <v>0</v>
      </c>
      <c r="B9818" t="s">
        <v>1666</v>
      </c>
      <c r="C9818" t="s">
        <v>13128</v>
      </c>
      <c r="D9818" t="s">
        <v>19067</v>
      </c>
      <c r="E9818" t="s">
        <v>27577</v>
      </c>
      <c r="F9818" t="s">
        <v>32831</v>
      </c>
      <c r="G9818" t="s">
        <v>32839</v>
      </c>
      <c r="H9818" t="s">
        <v>32849</v>
      </c>
      <c r="I9818" t="s">
        <v>4177</v>
      </c>
      <c r="J9818" t="s">
        <v>35258</v>
      </c>
      <c r="K9818" t="s">
        <v>42872</v>
      </c>
      <c r="M9818" t="s">
        <v>44783</v>
      </c>
      <c r="N9818" t="s">
        <v>47424</v>
      </c>
      <c r="O9818" t="s">
        <v>47425</v>
      </c>
      <c r="P9818">
        <v>0</v>
      </c>
      <c r="Q9818">
        <v>0</v>
      </c>
      <c r="R9818" t="s">
        <v>47433</v>
      </c>
      <c r="S9818" t="s">
        <v>47633</v>
      </c>
      <c r="T9818" t="s">
        <v>49231</v>
      </c>
      <c r="U9818" t="s">
        <v>57779</v>
      </c>
      <c r="W9818" t="s">
        <v>44783</v>
      </c>
      <c r="X9818" t="s">
        <v>47434</v>
      </c>
    </row>
    <row r="9819" spans="1:24">
      <c r="A9819">
        <f>HYPERLINK("https://www.philgeps.gov.ph/GEPSNONPILOT/Tender/SplashBidNoticeAbstractUI.aspx?menuIndex=3&amp;refID=7150784&amp;Result=3","7150784")</f>
        <v>0</v>
      </c>
      <c r="B9819" t="s">
        <v>1684</v>
      </c>
      <c r="C9819" t="s">
        <v>13129</v>
      </c>
      <c r="D9819" t="s">
        <v>19022</v>
      </c>
      <c r="E9819" t="s">
        <v>27578</v>
      </c>
      <c r="F9819" t="s">
        <v>32831</v>
      </c>
      <c r="G9819" t="s">
        <v>32838</v>
      </c>
      <c r="H9819" t="s">
        <v>32848</v>
      </c>
      <c r="I9819" t="s">
        <v>32854</v>
      </c>
      <c r="J9819" t="s">
        <v>33433</v>
      </c>
      <c r="K9819" t="s">
        <v>42731</v>
      </c>
      <c r="M9819" t="s">
        <v>44804</v>
      </c>
      <c r="N9819" t="s">
        <v>47424</v>
      </c>
      <c r="O9819" t="s">
        <v>47425</v>
      </c>
      <c r="P9819">
        <v>0</v>
      </c>
      <c r="Q9819">
        <v>2</v>
      </c>
      <c r="R9819" t="s">
        <v>47433</v>
      </c>
      <c r="S9819" t="s">
        <v>47633</v>
      </c>
      <c r="T9819" t="s">
        <v>49255</v>
      </c>
      <c r="U9819" t="s">
        <v>57780</v>
      </c>
      <c r="W9819" t="s">
        <v>44804</v>
      </c>
      <c r="X9819" t="s">
        <v>47434</v>
      </c>
    </row>
    <row r="9820" spans="1:24">
      <c r="A9820">
        <f>HYPERLINK("https://www.philgeps.gov.ph/GEPSNONPILOT/Tender/SplashBidNoticeAbstractUI.aspx?menuIndex=3&amp;refID=7150732&amp;Result=3","7150732")</f>
        <v>0</v>
      </c>
      <c r="B9820" t="s">
        <v>628</v>
      </c>
      <c r="C9820" t="s">
        <v>13130</v>
      </c>
      <c r="D9820" t="s">
        <v>19043</v>
      </c>
      <c r="E9820" t="s">
        <v>27579</v>
      </c>
      <c r="F9820" t="s">
        <v>32831</v>
      </c>
      <c r="G9820" t="s">
        <v>32839</v>
      </c>
      <c r="H9820" t="s">
        <v>32848</v>
      </c>
      <c r="I9820" t="s">
        <v>32875</v>
      </c>
      <c r="J9820" t="s">
        <v>39038</v>
      </c>
      <c r="K9820" t="s">
        <v>42727</v>
      </c>
      <c r="M9820" t="s">
        <v>43645</v>
      </c>
      <c r="N9820" t="s">
        <v>47424</v>
      </c>
      <c r="O9820" t="s">
        <v>47425</v>
      </c>
      <c r="P9820">
        <v>0</v>
      </c>
      <c r="Q9820">
        <v>2</v>
      </c>
      <c r="R9820" t="s">
        <v>47433</v>
      </c>
      <c r="S9820" t="s">
        <v>47633</v>
      </c>
      <c r="T9820" t="s">
        <v>49338</v>
      </c>
      <c r="U9820" t="s">
        <v>57781</v>
      </c>
      <c r="V9820" t="s">
        <v>63708</v>
      </c>
      <c r="W9820" t="s">
        <v>43645</v>
      </c>
      <c r="X9820" t="s">
        <v>47434</v>
      </c>
    </row>
    <row r="9821" spans="1:24">
      <c r="A9821">
        <f>HYPERLINK("https://www.philgeps.gov.ph/GEPSNONPILOT/Tender/SplashBidNoticeAbstractUI.aspx?menuIndex=3&amp;refID=7150680&amp;Result=3","7150680")</f>
        <v>0</v>
      </c>
      <c r="B9821" t="s">
        <v>3083</v>
      </c>
      <c r="C9821" t="s">
        <v>13100</v>
      </c>
      <c r="D9821" t="s">
        <v>19062</v>
      </c>
      <c r="E9821" t="s">
        <v>27580</v>
      </c>
      <c r="F9821" t="s">
        <v>32831</v>
      </c>
      <c r="G9821" t="s">
        <v>32839</v>
      </c>
      <c r="H9821" t="s">
        <v>32848</v>
      </c>
      <c r="I9821" t="s">
        <v>4776</v>
      </c>
      <c r="J9821" t="s">
        <v>39021</v>
      </c>
      <c r="K9821" t="s">
        <v>42731</v>
      </c>
      <c r="M9821" t="s">
        <v>46364</v>
      </c>
      <c r="N9821" t="s">
        <v>47424</v>
      </c>
      <c r="O9821" t="s">
        <v>47425</v>
      </c>
      <c r="P9821">
        <v>0</v>
      </c>
      <c r="Q9821">
        <v>4</v>
      </c>
      <c r="R9821" t="s">
        <v>47433</v>
      </c>
      <c r="S9821" t="s">
        <v>47633</v>
      </c>
      <c r="T9821" t="s">
        <v>49136</v>
      </c>
      <c r="U9821" t="s">
        <v>57782</v>
      </c>
      <c r="V9821" t="s">
        <v>63707</v>
      </c>
      <c r="W9821" t="s">
        <v>46364</v>
      </c>
      <c r="X9821" t="s">
        <v>47434</v>
      </c>
    </row>
    <row r="9822" spans="1:24">
      <c r="A9822">
        <f>HYPERLINK("https://www.philgeps.gov.ph/GEPSNONPILOT/Tender/SplashBidNoticeAbstractUI.aspx?menuIndex=3&amp;refID=7150783&amp;Result=3","7150783")</f>
        <v>0</v>
      </c>
      <c r="B9822" t="s">
        <v>3086</v>
      </c>
      <c r="C9822" t="s">
        <v>13131</v>
      </c>
      <c r="D9822" t="s">
        <v>19036</v>
      </c>
      <c r="E9822" t="s">
        <v>27581</v>
      </c>
      <c r="F9822" t="s">
        <v>32831</v>
      </c>
      <c r="G9822" t="s">
        <v>32840</v>
      </c>
      <c r="H9822" t="s">
        <v>32848</v>
      </c>
      <c r="I9822" t="s">
        <v>7416</v>
      </c>
      <c r="J9822" t="s">
        <v>39039</v>
      </c>
      <c r="K9822" t="s">
        <v>42731</v>
      </c>
      <c r="M9822" t="s">
        <v>46367</v>
      </c>
      <c r="N9822" t="s">
        <v>47424</v>
      </c>
      <c r="O9822" t="s">
        <v>47425</v>
      </c>
      <c r="P9822">
        <v>0</v>
      </c>
      <c r="Q9822">
        <v>2</v>
      </c>
      <c r="R9822" t="s">
        <v>47433</v>
      </c>
      <c r="S9822" t="s">
        <v>47633</v>
      </c>
      <c r="T9822" t="s">
        <v>49237</v>
      </c>
      <c r="U9822" t="s">
        <v>57783</v>
      </c>
      <c r="W9822" t="s">
        <v>46367</v>
      </c>
      <c r="X9822" t="s">
        <v>47434</v>
      </c>
    </row>
    <row r="9823" spans="1:24">
      <c r="A9823">
        <f>HYPERLINK("https://www.philgeps.gov.ph/GEPSNONPILOT/Tender/SplashBidNoticeAbstractUI.aspx?menuIndex=3&amp;refID=7150777&amp;Result=3","7150777")</f>
        <v>0</v>
      </c>
      <c r="B9823" t="s">
        <v>99</v>
      </c>
      <c r="C9823" t="s">
        <v>13132</v>
      </c>
      <c r="D9823" t="s">
        <v>19054</v>
      </c>
      <c r="E9823" t="s">
        <v>27582</v>
      </c>
      <c r="F9823" t="s">
        <v>32831</v>
      </c>
      <c r="G9823" t="s">
        <v>32839</v>
      </c>
      <c r="H9823" t="s">
        <v>32848</v>
      </c>
      <c r="I9823" t="s">
        <v>4487</v>
      </c>
      <c r="J9823" t="s">
        <v>37913</v>
      </c>
      <c r="K9823" t="s">
        <v>42730</v>
      </c>
      <c r="M9823" t="s">
        <v>43096</v>
      </c>
      <c r="N9823" t="s">
        <v>47424</v>
      </c>
      <c r="O9823" t="s">
        <v>47425</v>
      </c>
      <c r="P9823">
        <v>0</v>
      </c>
      <c r="Q9823">
        <v>1</v>
      </c>
      <c r="R9823" t="s">
        <v>47433</v>
      </c>
      <c r="S9823" t="s">
        <v>47633</v>
      </c>
      <c r="T9823" t="s">
        <v>49111</v>
      </c>
      <c r="U9823" t="s">
        <v>49821</v>
      </c>
      <c r="V9823" t="s">
        <v>63699</v>
      </c>
      <c r="W9823" t="s">
        <v>43096</v>
      </c>
      <c r="X9823" t="s">
        <v>47434</v>
      </c>
    </row>
    <row r="9824" spans="1:24">
      <c r="A9824">
        <f>HYPERLINK("https://www.philgeps.gov.ph/GEPSNONPILOT/Tender/SplashBidNoticeAbstractUI.aspx?menuIndex=3&amp;refID=7150771&amp;Result=3","7150771")</f>
        <v>0</v>
      </c>
      <c r="B9824" t="s">
        <v>3089</v>
      </c>
      <c r="C9824" t="s">
        <v>11824</v>
      </c>
      <c r="D9824" t="s">
        <v>19026</v>
      </c>
      <c r="E9824" t="s">
        <v>27583</v>
      </c>
      <c r="F9824" t="s">
        <v>32831</v>
      </c>
      <c r="G9824" t="s">
        <v>32839</v>
      </c>
      <c r="H9824" t="s">
        <v>32849</v>
      </c>
      <c r="I9824" t="s">
        <v>4177</v>
      </c>
      <c r="J9824" t="s">
        <v>32983</v>
      </c>
      <c r="K9824" t="s">
        <v>42732</v>
      </c>
      <c r="M9824" t="s">
        <v>46370</v>
      </c>
      <c r="N9824" t="s">
        <v>47424</v>
      </c>
      <c r="O9824" t="s">
        <v>47425</v>
      </c>
      <c r="P9824">
        <v>0</v>
      </c>
      <c r="Q9824">
        <v>1</v>
      </c>
      <c r="R9824" t="s">
        <v>47433</v>
      </c>
      <c r="S9824" t="s">
        <v>47633</v>
      </c>
      <c r="T9824" t="s">
        <v>49163</v>
      </c>
      <c r="U9824" t="s">
        <v>57784</v>
      </c>
      <c r="V9824" t="s">
        <v>63709</v>
      </c>
      <c r="W9824" t="s">
        <v>46370</v>
      </c>
      <c r="X9824" t="s">
        <v>47434</v>
      </c>
    </row>
    <row r="9825" spans="1:24">
      <c r="A9825">
        <f>HYPERLINK("https://www.philgeps.gov.ph/GEPSNONPILOT/Tender/SplashBidNoticeAbstractUI.aspx?menuIndex=3&amp;refID=7150785&amp;Result=3","7150785")</f>
        <v>0</v>
      </c>
      <c r="B9825" t="s">
        <v>2026</v>
      </c>
      <c r="C9825" t="s">
        <v>13133</v>
      </c>
      <c r="D9825" t="s">
        <v>19019</v>
      </c>
      <c r="E9825" t="s">
        <v>27584</v>
      </c>
      <c r="F9825" t="s">
        <v>32831</v>
      </c>
      <c r="G9825" t="s">
        <v>32841</v>
      </c>
      <c r="H9825" t="s">
        <v>32848</v>
      </c>
      <c r="I9825" t="s">
        <v>32857</v>
      </c>
      <c r="J9825" t="s">
        <v>34930</v>
      </c>
      <c r="K9825" t="s">
        <v>42732</v>
      </c>
      <c r="M9825" t="s">
        <v>45194</v>
      </c>
      <c r="N9825" t="s">
        <v>47424</v>
      </c>
      <c r="O9825" t="s">
        <v>47425</v>
      </c>
      <c r="P9825">
        <v>0</v>
      </c>
      <c r="Q9825">
        <v>6</v>
      </c>
      <c r="R9825" t="s">
        <v>47433</v>
      </c>
      <c r="S9825" t="s">
        <v>47633</v>
      </c>
      <c r="T9825" t="s">
        <v>49127</v>
      </c>
      <c r="U9825" t="s">
        <v>57785</v>
      </c>
      <c r="W9825" t="s">
        <v>45194</v>
      </c>
      <c r="X9825" t="s">
        <v>47434</v>
      </c>
    </row>
    <row r="9826" spans="1:24">
      <c r="A9826">
        <f>HYPERLINK("https://www.philgeps.gov.ph/GEPSNONPILOT/Tender/SplashBidNoticeAbstractUI.aspx?menuIndex=3&amp;refID=7150767&amp;Result=3","7150767")</f>
        <v>0</v>
      </c>
      <c r="B9826" t="s">
        <v>714</v>
      </c>
      <c r="C9826" t="s">
        <v>13134</v>
      </c>
      <c r="D9826" t="s">
        <v>19038</v>
      </c>
      <c r="E9826" t="s">
        <v>27585</v>
      </c>
      <c r="F9826" t="s">
        <v>32831</v>
      </c>
      <c r="G9826" t="s">
        <v>32839</v>
      </c>
      <c r="H9826" t="s">
        <v>32849</v>
      </c>
      <c r="I9826" t="s">
        <v>4177</v>
      </c>
      <c r="J9826" t="s">
        <v>39040</v>
      </c>
      <c r="K9826" t="s">
        <v>42732</v>
      </c>
      <c r="M9826" t="s">
        <v>43734</v>
      </c>
      <c r="N9826" t="s">
        <v>47424</v>
      </c>
      <c r="O9826" t="s">
        <v>47425</v>
      </c>
      <c r="P9826">
        <v>0</v>
      </c>
      <c r="Q9826">
        <v>0</v>
      </c>
      <c r="R9826" t="s">
        <v>47433</v>
      </c>
      <c r="S9826" t="s">
        <v>47633</v>
      </c>
      <c r="T9826" t="s">
        <v>49166</v>
      </c>
      <c r="U9826" t="s">
        <v>50996</v>
      </c>
      <c r="W9826" t="s">
        <v>43734</v>
      </c>
      <c r="X9826" t="s">
        <v>47434</v>
      </c>
    </row>
    <row r="9827" spans="1:24">
      <c r="A9827">
        <f>HYPERLINK("https://www.philgeps.gov.ph/GEPSNONPILOT/Tender/SplashBidNoticeAbstractUI.aspx?menuIndex=3&amp;refID=7150765&amp;Result=3","7150765")</f>
        <v>0</v>
      </c>
      <c r="B9827" t="s">
        <v>1726</v>
      </c>
      <c r="C9827" t="s">
        <v>13135</v>
      </c>
      <c r="D9827" t="s">
        <v>19042</v>
      </c>
      <c r="E9827" t="s">
        <v>19520</v>
      </c>
      <c r="F9827" t="s">
        <v>32831</v>
      </c>
      <c r="G9827" t="s">
        <v>32839</v>
      </c>
      <c r="H9827" t="s">
        <v>32848</v>
      </c>
      <c r="I9827" t="s">
        <v>10805</v>
      </c>
      <c r="J9827" t="s">
        <v>39041</v>
      </c>
      <c r="K9827" t="s">
        <v>42726</v>
      </c>
      <c r="M9827" t="s">
        <v>44849</v>
      </c>
      <c r="N9827" t="s">
        <v>47424</v>
      </c>
      <c r="O9827" t="s">
        <v>47425</v>
      </c>
      <c r="Q9827">
        <v>3</v>
      </c>
      <c r="R9827" t="s">
        <v>47433</v>
      </c>
      <c r="S9827" t="s">
        <v>47655</v>
      </c>
      <c r="T9827" t="s">
        <v>49192</v>
      </c>
      <c r="U9827" t="s">
        <v>57786</v>
      </c>
      <c r="V9827" t="s">
        <v>63710</v>
      </c>
      <c r="W9827" t="s">
        <v>44849</v>
      </c>
      <c r="X9827" t="s">
        <v>47434</v>
      </c>
    </row>
    <row r="9828" spans="1:24">
      <c r="A9828">
        <f>HYPERLINK("https://www.philgeps.gov.ph/GEPSNONPILOT/Tender/SplashBidNoticeAbstractUI.aspx?menuIndex=3&amp;refID=7150773&amp;Result=3","7150773")</f>
        <v>0</v>
      </c>
      <c r="B9828" t="s">
        <v>1673</v>
      </c>
      <c r="C9828" t="s">
        <v>13136</v>
      </c>
      <c r="D9828" t="s">
        <v>19038</v>
      </c>
      <c r="E9828" t="s">
        <v>27586</v>
      </c>
      <c r="F9828" t="s">
        <v>32831</v>
      </c>
      <c r="G9828" t="s">
        <v>32839</v>
      </c>
      <c r="H9828" t="s">
        <v>32849</v>
      </c>
      <c r="I9828" t="s">
        <v>4177</v>
      </c>
      <c r="J9828" t="s">
        <v>39042</v>
      </c>
      <c r="K9828" t="s">
        <v>42729</v>
      </c>
      <c r="M9828" t="s">
        <v>44791</v>
      </c>
      <c r="N9828" t="s">
        <v>47424</v>
      </c>
      <c r="O9828" t="s">
        <v>47425</v>
      </c>
      <c r="P9828">
        <v>0</v>
      </c>
      <c r="Q9828">
        <v>0</v>
      </c>
      <c r="R9828" t="s">
        <v>47433</v>
      </c>
      <c r="S9828" t="s">
        <v>47633</v>
      </c>
      <c r="T9828" t="s">
        <v>49169</v>
      </c>
      <c r="U9828" t="s">
        <v>57787</v>
      </c>
      <c r="W9828" t="s">
        <v>44791</v>
      </c>
      <c r="X9828" t="s">
        <v>47434</v>
      </c>
    </row>
    <row r="9829" spans="1:24">
      <c r="A9829">
        <f>HYPERLINK("https://www.philgeps.gov.ph/GEPSNONPILOT/Tender/SplashBidNoticeAbstractUI.aspx?menuIndex=3&amp;refID=7150764&amp;Result=3","7150764")</f>
        <v>0</v>
      </c>
      <c r="B9829" t="s">
        <v>99</v>
      </c>
      <c r="C9829" t="s">
        <v>13137</v>
      </c>
      <c r="D9829" t="s">
        <v>19054</v>
      </c>
      <c r="E9829" t="s">
        <v>27587</v>
      </c>
      <c r="F9829" t="s">
        <v>32831</v>
      </c>
      <c r="G9829" t="s">
        <v>32839</v>
      </c>
      <c r="H9829" t="s">
        <v>32848</v>
      </c>
      <c r="I9829" t="s">
        <v>32862</v>
      </c>
      <c r="J9829" t="s">
        <v>33018</v>
      </c>
      <c r="K9829" t="s">
        <v>42730</v>
      </c>
      <c r="M9829" t="s">
        <v>43096</v>
      </c>
      <c r="N9829" t="s">
        <v>47424</v>
      </c>
      <c r="O9829" t="s">
        <v>47425</v>
      </c>
      <c r="P9829">
        <v>0</v>
      </c>
      <c r="Q9829">
        <v>0</v>
      </c>
      <c r="R9829" t="s">
        <v>47433</v>
      </c>
      <c r="S9829" t="s">
        <v>47633</v>
      </c>
      <c r="T9829" t="s">
        <v>49111</v>
      </c>
      <c r="U9829" t="s">
        <v>49821</v>
      </c>
      <c r="V9829" t="s">
        <v>63699</v>
      </c>
      <c r="W9829" t="s">
        <v>43096</v>
      </c>
      <c r="X9829" t="s">
        <v>47434</v>
      </c>
    </row>
    <row r="9830" spans="1:24">
      <c r="A9830">
        <f>HYPERLINK("https://www.philgeps.gov.ph/GEPSNONPILOT/Tender/SplashBidNoticeAbstractUI.aspx?menuIndex=3&amp;refID=7150762&amp;Result=3","7150762")</f>
        <v>0</v>
      </c>
      <c r="B9830" t="s">
        <v>2429</v>
      </c>
      <c r="C9830" t="s">
        <v>13138</v>
      </c>
      <c r="D9830" t="s">
        <v>19064</v>
      </c>
      <c r="E9830" t="s">
        <v>27588</v>
      </c>
      <c r="F9830" t="s">
        <v>32831</v>
      </c>
      <c r="G9830" t="s">
        <v>32839</v>
      </c>
      <c r="H9830" t="s">
        <v>32848</v>
      </c>
      <c r="I9830" t="s">
        <v>9577</v>
      </c>
      <c r="J9830" t="s">
        <v>35137</v>
      </c>
      <c r="K9830" t="s">
        <v>42731</v>
      </c>
      <c r="M9830" t="s">
        <v>45626</v>
      </c>
      <c r="N9830" t="s">
        <v>47424</v>
      </c>
      <c r="O9830" t="s">
        <v>47425</v>
      </c>
      <c r="P9830">
        <v>0</v>
      </c>
      <c r="Q9830">
        <v>0</v>
      </c>
      <c r="R9830" t="s">
        <v>47433</v>
      </c>
      <c r="S9830" t="s">
        <v>47633</v>
      </c>
      <c r="T9830" t="s">
        <v>49055</v>
      </c>
      <c r="U9830" t="s">
        <v>57788</v>
      </c>
      <c r="W9830" t="s">
        <v>45626</v>
      </c>
      <c r="X9830" t="s">
        <v>47434</v>
      </c>
    </row>
    <row r="9831" spans="1:24">
      <c r="A9831">
        <f>HYPERLINK("https://www.philgeps.gov.ph/GEPSNONPILOT/Tender/SplashBidNoticeAbstractUI.aspx?menuIndex=3&amp;refID=7150761&amp;Result=3","7150761")</f>
        <v>0</v>
      </c>
      <c r="B9831" t="s">
        <v>3082</v>
      </c>
      <c r="C9831" t="s">
        <v>13139</v>
      </c>
      <c r="D9831" t="s">
        <v>19017</v>
      </c>
      <c r="E9831" t="s">
        <v>27589</v>
      </c>
      <c r="F9831" t="s">
        <v>32831</v>
      </c>
      <c r="G9831" t="s">
        <v>32839</v>
      </c>
      <c r="H9831" t="s">
        <v>32848</v>
      </c>
      <c r="I9831" t="s">
        <v>4438</v>
      </c>
      <c r="J9831" t="s">
        <v>32978</v>
      </c>
      <c r="K9831" t="s">
        <v>42730</v>
      </c>
      <c r="M9831" t="s">
        <v>46362</v>
      </c>
      <c r="N9831" t="s">
        <v>47424</v>
      </c>
      <c r="O9831" t="s">
        <v>47425</v>
      </c>
      <c r="P9831">
        <v>0</v>
      </c>
      <c r="Q9831">
        <v>1</v>
      </c>
      <c r="R9831" t="s">
        <v>47433</v>
      </c>
      <c r="S9831" t="s">
        <v>47633</v>
      </c>
      <c r="T9831" t="s">
        <v>49104</v>
      </c>
      <c r="U9831" t="s">
        <v>57789</v>
      </c>
      <c r="W9831" t="s">
        <v>46362</v>
      </c>
      <c r="X9831" t="s">
        <v>47434</v>
      </c>
    </row>
    <row r="9832" spans="1:24">
      <c r="A9832">
        <f>HYPERLINK("https://www.philgeps.gov.ph/GEPSNONPILOT/Tender/SplashBidNoticeAbstractUI.aspx?menuIndex=3&amp;refID=7150758&amp;Result=3","7150758")</f>
        <v>0</v>
      </c>
      <c r="B9832" t="s">
        <v>192</v>
      </c>
      <c r="C9832" t="s">
        <v>13140</v>
      </c>
      <c r="D9832" t="s">
        <v>19057</v>
      </c>
      <c r="E9832" t="s">
        <v>27590</v>
      </c>
      <c r="F9832" t="s">
        <v>32831</v>
      </c>
      <c r="G9832" t="s">
        <v>32838</v>
      </c>
      <c r="H9832" t="s">
        <v>32848</v>
      </c>
      <c r="I9832" t="s">
        <v>32864</v>
      </c>
      <c r="J9832" t="s">
        <v>39043</v>
      </c>
      <c r="K9832" t="s">
        <v>42729</v>
      </c>
      <c r="M9832" t="s">
        <v>43190</v>
      </c>
      <c r="N9832" t="s">
        <v>47424</v>
      </c>
      <c r="O9832" t="s">
        <v>47425</v>
      </c>
      <c r="P9832">
        <v>0</v>
      </c>
      <c r="Q9832">
        <v>6</v>
      </c>
      <c r="R9832" t="s">
        <v>47433</v>
      </c>
      <c r="S9832" t="s">
        <v>47633</v>
      </c>
      <c r="T9832" t="s">
        <v>49163</v>
      </c>
      <c r="U9832" t="s">
        <v>57790</v>
      </c>
      <c r="W9832" t="s">
        <v>43190</v>
      </c>
      <c r="X9832" t="s">
        <v>47434</v>
      </c>
    </row>
    <row r="9833" spans="1:24">
      <c r="A9833">
        <f>HYPERLINK("https://www.philgeps.gov.ph/GEPSNONPILOT/Tender/SplashBidNoticeAbstractUI.aspx?menuIndex=3&amp;refID=7150623&amp;Result=3","7150623")</f>
        <v>0</v>
      </c>
      <c r="B9833" t="s">
        <v>2735</v>
      </c>
      <c r="C9833" t="s">
        <v>13141</v>
      </c>
      <c r="D9833" t="s">
        <v>19077</v>
      </c>
      <c r="E9833" t="s">
        <v>27591</v>
      </c>
      <c r="F9833" t="s">
        <v>32831</v>
      </c>
      <c r="G9833" t="s">
        <v>32839</v>
      </c>
      <c r="H9833" t="s">
        <v>32848</v>
      </c>
      <c r="I9833" t="s">
        <v>7416</v>
      </c>
      <c r="J9833" t="s">
        <v>39044</v>
      </c>
      <c r="K9833" t="s">
        <v>42730</v>
      </c>
      <c r="M9833" t="s">
        <v>45962</v>
      </c>
      <c r="N9833" t="s">
        <v>47424</v>
      </c>
      <c r="O9833" t="s">
        <v>47425</v>
      </c>
      <c r="P9833">
        <v>0</v>
      </c>
      <c r="Q9833">
        <v>1</v>
      </c>
      <c r="R9833" t="s">
        <v>47433</v>
      </c>
      <c r="S9833" t="s">
        <v>47633</v>
      </c>
      <c r="T9833" t="s">
        <v>49212</v>
      </c>
      <c r="U9833" t="s">
        <v>57745</v>
      </c>
      <c r="W9833" t="s">
        <v>45962</v>
      </c>
      <c r="X9833" t="s">
        <v>47434</v>
      </c>
    </row>
    <row r="9834" spans="1:24">
      <c r="A9834">
        <f>HYPERLINK("https://www.philgeps.gov.ph/GEPSNONPILOT/Tender/SplashBidNoticeAbstractUI.aspx?menuIndex=3&amp;refID=7150592&amp;Result=3","7150592")</f>
        <v>0</v>
      </c>
      <c r="B9834" t="s">
        <v>2338</v>
      </c>
      <c r="C9834" t="s">
        <v>13142</v>
      </c>
      <c r="D9834" t="s">
        <v>19049</v>
      </c>
      <c r="E9834" t="s">
        <v>27592</v>
      </c>
      <c r="F9834" t="s">
        <v>32831</v>
      </c>
      <c r="G9834" t="s">
        <v>32839</v>
      </c>
      <c r="H9834" t="s">
        <v>32848</v>
      </c>
      <c r="I9834" t="s">
        <v>32857</v>
      </c>
      <c r="J9834" t="s">
        <v>32985</v>
      </c>
      <c r="K9834" t="s">
        <v>42730</v>
      </c>
      <c r="M9834" t="s">
        <v>45525</v>
      </c>
      <c r="N9834" t="s">
        <v>47424</v>
      </c>
      <c r="O9834" t="s">
        <v>47425</v>
      </c>
      <c r="P9834">
        <v>0</v>
      </c>
      <c r="Q9834">
        <v>3</v>
      </c>
      <c r="R9834" t="s">
        <v>47433</v>
      </c>
      <c r="S9834" t="s">
        <v>47633</v>
      </c>
      <c r="T9834" t="s">
        <v>49235</v>
      </c>
      <c r="U9834" t="s">
        <v>55192</v>
      </c>
      <c r="V9834" t="s">
        <v>63352</v>
      </c>
      <c r="W9834" t="s">
        <v>45525</v>
      </c>
      <c r="X9834" t="s">
        <v>47434</v>
      </c>
    </row>
    <row r="9835" spans="1:24">
      <c r="A9835">
        <f>HYPERLINK("https://www.philgeps.gov.ph/GEPSNONPILOT/Tender/SplashBidNoticeAbstractUI.aspx?menuIndex=3&amp;refID=7150772&amp;Result=3","7150772")</f>
        <v>0</v>
      </c>
      <c r="B9835" t="s">
        <v>1758</v>
      </c>
      <c r="C9835" t="s">
        <v>13143</v>
      </c>
      <c r="D9835" t="s">
        <v>19017</v>
      </c>
      <c r="E9835" t="s">
        <v>22979</v>
      </c>
      <c r="F9835" t="s">
        <v>32833</v>
      </c>
      <c r="G9835" t="s">
        <v>32839</v>
      </c>
      <c r="H9835" t="s">
        <v>32848</v>
      </c>
      <c r="I9835" t="s">
        <v>4438</v>
      </c>
      <c r="J9835" t="s">
        <v>39045</v>
      </c>
      <c r="K9835" t="s">
        <v>42730</v>
      </c>
      <c r="L9835" t="s">
        <v>1758</v>
      </c>
      <c r="M9835" t="s">
        <v>44882</v>
      </c>
      <c r="N9835" t="s">
        <v>47424</v>
      </c>
      <c r="O9835" t="s">
        <v>47425</v>
      </c>
      <c r="P9835">
        <v>0</v>
      </c>
      <c r="Q9835">
        <v>2</v>
      </c>
      <c r="R9835" t="s">
        <v>47433</v>
      </c>
      <c r="S9835" t="s">
        <v>47633</v>
      </c>
      <c r="T9835" t="s">
        <v>49059</v>
      </c>
      <c r="U9835" t="s">
        <v>57791</v>
      </c>
      <c r="W9835" t="s">
        <v>44882</v>
      </c>
      <c r="X9835" t="s">
        <v>47434</v>
      </c>
    </row>
    <row r="9836" spans="1:24">
      <c r="A9836">
        <f>HYPERLINK("https://www.philgeps.gov.ph/GEPSNONPILOT/Tender/SplashBidNoticeAbstractUI.aspx?menuIndex=3&amp;refID=7150591&amp;Result=3","7150591")</f>
        <v>0</v>
      </c>
      <c r="B9836" t="s">
        <v>2528</v>
      </c>
      <c r="C9836" t="s">
        <v>13144</v>
      </c>
      <c r="D9836" t="s">
        <v>19079</v>
      </c>
      <c r="E9836" t="s">
        <v>27593</v>
      </c>
      <c r="F9836" t="s">
        <v>32831</v>
      </c>
      <c r="G9836" t="s">
        <v>32838</v>
      </c>
      <c r="H9836" t="s">
        <v>32848</v>
      </c>
      <c r="I9836" t="s">
        <v>4776</v>
      </c>
      <c r="J9836" t="s">
        <v>33929</v>
      </c>
      <c r="K9836" t="s">
        <v>42730</v>
      </c>
      <c r="M9836" t="s">
        <v>45737</v>
      </c>
      <c r="N9836" t="s">
        <v>47424</v>
      </c>
      <c r="O9836" t="s">
        <v>47425</v>
      </c>
      <c r="P9836">
        <v>0</v>
      </c>
      <c r="Q9836">
        <v>5</v>
      </c>
      <c r="R9836" t="s">
        <v>47433</v>
      </c>
      <c r="S9836" t="s">
        <v>47633</v>
      </c>
      <c r="T9836" t="s">
        <v>49235</v>
      </c>
      <c r="U9836" t="s">
        <v>57792</v>
      </c>
      <c r="W9836" t="s">
        <v>45737</v>
      </c>
      <c r="X9836" t="s">
        <v>47434</v>
      </c>
    </row>
    <row r="9837" spans="1:24">
      <c r="A9837">
        <f>HYPERLINK("https://www.philgeps.gov.ph/GEPSNONPILOT/Tender/SplashBidNoticeAbstractUI.aspx?menuIndex=3&amp;refID=7150763&amp;Result=3","7150763")</f>
        <v>0</v>
      </c>
      <c r="B9837" t="s">
        <v>1425</v>
      </c>
      <c r="C9837" t="s">
        <v>9215</v>
      </c>
      <c r="D9837" t="s">
        <v>19073</v>
      </c>
      <c r="E9837" t="s">
        <v>27594</v>
      </c>
      <c r="F9837" t="s">
        <v>32831</v>
      </c>
      <c r="G9837" t="s">
        <v>32839</v>
      </c>
      <c r="H9837" t="s">
        <v>32848</v>
      </c>
      <c r="I9837" t="s">
        <v>7416</v>
      </c>
      <c r="J9837" t="s">
        <v>39046</v>
      </c>
      <c r="K9837" t="s">
        <v>42730</v>
      </c>
      <c r="M9837" t="s">
        <v>44514</v>
      </c>
      <c r="N9837" t="s">
        <v>47424</v>
      </c>
      <c r="O9837" t="s">
        <v>47425</v>
      </c>
      <c r="P9837">
        <v>0</v>
      </c>
      <c r="Q9837">
        <v>0</v>
      </c>
      <c r="R9837" t="s">
        <v>47433</v>
      </c>
      <c r="S9837" t="s">
        <v>47633</v>
      </c>
      <c r="T9837" t="s">
        <v>49111</v>
      </c>
      <c r="U9837" t="s">
        <v>57793</v>
      </c>
      <c r="W9837" t="s">
        <v>44514</v>
      </c>
      <c r="X9837" t="s">
        <v>47434</v>
      </c>
    </row>
    <row r="9838" spans="1:24">
      <c r="A9838">
        <f>HYPERLINK("https://www.philgeps.gov.ph/GEPSNONPILOT/Tender/SplashBidNoticeAbstractUI.aspx?menuIndex=3&amp;refID=7150760&amp;Result=3","7150760")</f>
        <v>0</v>
      </c>
      <c r="B9838" t="s">
        <v>786</v>
      </c>
      <c r="C9838" t="s">
        <v>13145</v>
      </c>
      <c r="D9838" t="s">
        <v>19056</v>
      </c>
      <c r="E9838" t="s">
        <v>27595</v>
      </c>
      <c r="F9838" t="s">
        <v>32831</v>
      </c>
      <c r="G9838" t="s">
        <v>32839</v>
      </c>
      <c r="H9838" t="s">
        <v>32848</v>
      </c>
      <c r="I9838" t="s">
        <v>10888</v>
      </c>
      <c r="J9838" t="s">
        <v>39047</v>
      </c>
      <c r="K9838" t="s">
        <v>42730</v>
      </c>
      <c r="M9838" t="s">
        <v>43815</v>
      </c>
      <c r="N9838" t="s">
        <v>47424</v>
      </c>
      <c r="O9838" t="s">
        <v>47425</v>
      </c>
      <c r="P9838">
        <v>0</v>
      </c>
      <c r="Q9838">
        <v>11</v>
      </c>
      <c r="R9838" t="s">
        <v>47433</v>
      </c>
      <c r="S9838" t="s">
        <v>47633</v>
      </c>
      <c r="T9838" t="s">
        <v>49255</v>
      </c>
      <c r="U9838" t="s">
        <v>57794</v>
      </c>
      <c r="W9838" t="s">
        <v>43815</v>
      </c>
      <c r="X9838" t="s">
        <v>47434</v>
      </c>
    </row>
    <row r="9839" spans="1:24">
      <c r="A9839">
        <f>HYPERLINK("https://www.philgeps.gov.ph/GEPSNONPILOT/Tender/SplashBidNoticeAbstractUI.aspx?menuIndex=3&amp;refID=7150588&amp;Result=3","7150588")</f>
        <v>0</v>
      </c>
      <c r="B9839" t="s">
        <v>3090</v>
      </c>
      <c r="C9839" t="s">
        <v>4694</v>
      </c>
      <c r="E9839" t="s">
        <v>27596</v>
      </c>
      <c r="F9839" t="s">
        <v>32831</v>
      </c>
      <c r="G9839" t="s">
        <v>32839</v>
      </c>
      <c r="H9839" t="s">
        <v>32849</v>
      </c>
      <c r="I9839" t="s">
        <v>4177</v>
      </c>
      <c r="J9839" t="s">
        <v>33178</v>
      </c>
      <c r="K9839" t="s">
        <v>42732</v>
      </c>
      <c r="M9839" t="s">
        <v>46371</v>
      </c>
      <c r="N9839" t="s">
        <v>47424</v>
      </c>
      <c r="O9839" t="s">
        <v>47425</v>
      </c>
      <c r="P9839">
        <v>0</v>
      </c>
      <c r="Q9839">
        <v>0</v>
      </c>
      <c r="R9839" t="s">
        <v>47433</v>
      </c>
      <c r="S9839" t="s">
        <v>47633</v>
      </c>
      <c r="T9839" t="s">
        <v>49497</v>
      </c>
      <c r="U9839" t="s">
        <v>57795</v>
      </c>
      <c r="W9839" t="s">
        <v>46371</v>
      </c>
      <c r="X9839" t="s">
        <v>47434</v>
      </c>
    </row>
    <row r="9840" spans="1:24">
      <c r="A9840">
        <f>HYPERLINK("https://www.philgeps.gov.ph/GEPSNONPILOT/Tender/SplashBidNoticeAbstractUI.aspx?menuIndex=3&amp;refID=7150585&amp;Result=3","7150585")</f>
        <v>0</v>
      </c>
      <c r="B9840" t="s">
        <v>2429</v>
      </c>
      <c r="C9840" t="s">
        <v>13146</v>
      </c>
      <c r="D9840" t="s">
        <v>19064</v>
      </c>
      <c r="E9840" t="s">
        <v>27597</v>
      </c>
      <c r="F9840" t="s">
        <v>32831</v>
      </c>
      <c r="G9840" t="s">
        <v>32839</v>
      </c>
      <c r="H9840" t="s">
        <v>32848</v>
      </c>
      <c r="I9840" t="s">
        <v>32859</v>
      </c>
      <c r="J9840" t="s">
        <v>39048</v>
      </c>
      <c r="K9840" t="s">
        <v>42731</v>
      </c>
      <c r="M9840" t="s">
        <v>45626</v>
      </c>
      <c r="N9840" t="s">
        <v>47424</v>
      </c>
      <c r="O9840" t="s">
        <v>47425</v>
      </c>
      <c r="P9840">
        <v>0</v>
      </c>
      <c r="Q9840">
        <v>0</v>
      </c>
      <c r="R9840" t="s">
        <v>47433</v>
      </c>
      <c r="S9840" t="s">
        <v>47633</v>
      </c>
      <c r="T9840" t="s">
        <v>49055</v>
      </c>
      <c r="U9840" t="s">
        <v>57796</v>
      </c>
      <c r="W9840" t="s">
        <v>45626</v>
      </c>
      <c r="X9840" t="s">
        <v>47434</v>
      </c>
    </row>
    <row r="9841" spans="1:24">
      <c r="A9841">
        <f>HYPERLINK("https://www.philgeps.gov.ph/GEPSNONPILOT/Tender/SplashBidNoticeAbstractUI.aspx?menuIndex=3&amp;refID=7150593&amp;Result=3","7150593")</f>
        <v>0</v>
      </c>
      <c r="B9841" t="s">
        <v>99</v>
      </c>
      <c r="C9841" t="s">
        <v>13147</v>
      </c>
      <c r="D9841" t="s">
        <v>19054</v>
      </c>
      <c r="E9841" t="s">
        <v>27598</v>
      </c>
      <c r="F9841" t="s">
        <v>32831</v>
      </c>
      <c r="G9841" t="s">
        <v>32839</v>
      </c>
      <c r="H9841" t="s">
        <v>32848</v>
      </c>
      <c r="I9841" t="s">
        <v>5379</v>
      </c>
      <c r="J9841" t="s">
        <v>39049</v>
      </c>
      <c r="K9841" t="s">
        <v>42759</v>
      </c>
      <c r="M9841" t="s">
        <v>43096</v>
      </c>
      <c r="N9841" t="s">
        <v>47424</v>
      </c>
      <c r="O9841" t="s">
        <v>47425</v>
      </c>
      <c r="P9841">
        <v>0</v>
      </c>
      <c r="Q9841">
        <v>0</v>
      </c>
      <c r="R9841" t="s">
        <v>47433</v>
      </c>
      <c r="S9841" t="s">
        <v>47633</v>
      </c>
      <c r="T9841" t="s">
        <v>49111</v>
      </c>
      <c r="U9841" t="s">
        <v>49821</v>
      </c>
      <c r="V9841" t="s">
        <v>63699</v>
      </c>
      <c r="W9841" t="s">
        <v>43096</v>
      </c>
      <c r="X9841" t="s">
        <v>47434</v>
      </c>
    </row>
    <row r="9842" spans="1:24">
      <c r="A9842">
        <f>HYPERLINK("https://www.philgeps.gov.ph/GEPSNONPILOT/Tender/SplashBidNoticeAbstractUI.aspx?menuIndex=3&amp;refID=7150630&amp;Result=3","7150630")</f>
        <v>0</v>
      </c>
      <c r="B9842" t="s">
        <v>726</v>
      </c>
      <c r="C9842" t="s">
        <v>13148</v>
      </c>
      <c r="E9842" t="s">
        <v>27599</v>
      </c>
      <c r="F9842" t="s">
        <v>32831</v>
      </c>
      <c r="G9842" t="s">
        <v>32839</v>
      </c>
      <c r="H9842" t="s">
        <v>32849</v>
      </c>
      <c r="I9842" t="s">
        <v>4177</v>
      </c>
      <c r="J9842" t="s">
        <v>39050</v>
      </c>
      <c r="K9842" t="s">
        <v>42732</v>
      </c>
      <c r="M9842" t="s">
        <v>46361</v>
      </c>
      <c r="N9842" t="s">
        <v>47424</v>
      </c>
      <c r="O9842" t="s">
        <v>47425</v>
      </c>
      <c r="P9842">
        <v>0</v>
      </c>
      <c r="Q9842">
        <v>9</v>
      </c>
      <c r="R9842" t="s">
        <v>47433</v>
      </c>
      <c r="S9842" t="s">
        <v>47633</v>
      </c>
      <c r="T9842" t="s">
        <v>49322</v>
      </c>
      <c r="U9842" t="s">
        <v>57797</v>
      </c>
      <c r="W9842" t="s">
        <v>46361</v>
      </c>
      <c r="X9842" t="s">
        <v>47434</v>
      </c>
    </row>
    <row r="9843" spans="1:24">
      <c r="A9843">
        <f>HYPERLINK("https://www.philgeps.gov.ph/GEPSNONPILOT/Tender/SplashBidNoticeAbstractUI.aspx?menuIndex=3&amp;refID=7150590&amp;Result=3","7150590")</f>
        <v>0</v>
      </c>
      <c r="B9843" t="s">
        <v>1666</v>
      </c>
      <c r="C9843" t="s">
        <v>13149</v>
      </c>
      <c r="D9843" t="s">
        <v>19067</v>
      </c>
      <c r="E9843" t="s">
        <v>27600</v>
      </c>
      <c r="F9843" t="s">
        <v>32831</v>
      </c>
      <c r="G9843" t="s">
        <v>32839</v>
      </c>
      <c r="H9843" t="s">
        <v>32849</v>
      </c>
      <c r="I9843" t="s">
        <v>4177</v>
      </c>
      <c r="J9843" t="s">
        <v>39051</v>
      </c>
      <c r="K9843" t="s">
        <v>42922</v>
      </c>
      <c r="M9843" t="s">
        <v>44783</v>
      </c>
      <c r="N9843" t="s">
        <v>47424</v>
      </c>
      <c r="O9843" t="s">
        <v>47425</v>
      </c>
      <c r="P9843">
        <v>0</v>
      </c>
      <c r="Q9843">
        <v>0</v>
      </c>
      <c r="R9843" t="s">
        <v>47433</v>
      </c>
      <c r="S9843" t="s">
        <v>47633</v>
      </c>
      <c r="T9843" t="s">
        <v>49231</v>
      </c>
      <c r="U9843" t="s">
        <v>57798</v>
      </c>
      <c r="W9843" t="s">
        <v>44783</v>
      </c>
      <c r="X9843" t="s">
        <v>47434</v>
      </c>
    </row>
    <row r="9844" spans="1:24">
      <c r="A9844">
        <f>HYPERLINK("https://www.philgeps.gov.ph/GEPSNONPILOT/Tender/SplashBidNoticeAbstractUI.aspx?menuIndex=3&amp;refID=7150587&amp;Result=3","7150587")</f>
        <v>0</v>
      </c>
      <c r="B9844" t="s">
        <v>2638</v>
      </c>
      <c r="C9844" t="s">
        <v>13150</v>
      </c>
      <c r="D9844" t="s">
        <v>19023</v>
      </c>
      <c r="E9844" t="s">
        <v>27601</v>
      </c>
      <c r="F9844" t="s">
        <v>32831</v>
      </c>
      <c r="G9844" t="s">
        <v>32838</v>
      </c>
      <c r="H9844" t="s">
        <v>32848</v>
      </c>
      <c r="I9844" t="s">
        <v>32887</v>
      </c>
      <c r="J9844" t="s">
        <v>33922</v>
      </c>
      <c r="K9844" t="s">
        <v>42727</v>
      </c>
      <c r="M9844" t="s">
        <v>45860</v>
      </c>
      <c r="N9844" t="s">
        <v>47424</v>
      </c>
      <c r="O9844" t="s">
        <v>47425</v>
      </c>
      <c r="P9844">
        <v>0</v>
      </c>
      <c r="Q9844">
        <v>1</v>
      </c>
      <c r="R9844" t="s">
        <v>47433</v>
      </c>
      <c r="S9844" t="s">
        <v>47633</v>
      </c>
      <c r="T9844" t="s">
        <v>49239</v>
      </c>
      <c r="U9844" t="s">
        <v>56225</v>
      </c>
      <c r="V9844" t="s">
        <v>63690</v>
      </c>
      <c r="W9844" t="s">
        <v>45860</v>
      </c>
      <c r="X9844" t="s">
        <v>47434</v>
      </c>
    </row>
    <row r="9845" spans="1:24">
      <c r="A9845">
        <f>HYPERLINK("https://www.philgeps.gov.ph/GEPSNONPILOT/Tender/SplashBidNoticeAbstractUI.aspx?menuIndex=3&amp;refID=7150856&amp;Result=3","7150856")</f>
        <v>0</v>
      </c>
      <c r="B9845" t="s">
        <v>2383</v>
      </c>
      <c r="C9845" t="s">
        <v>13151</v>
      </c>
      <c r="D9845" t="s">
        <v>19055</v>
      </c>
      <c r="E9845" t="s">
        <v>19273</v>
      </c>
      <c r="F9845" t="s">
        <v>32831</v>
      </c>
      <c r="G9845" t="s">
        <v>32839</v>
      </c>
      <c r="H9845" t="s">
        <v>32849</v>
      </c>
      <c r="I9845" t="s">
        <v>4177</v>
      </c>
      <c r="J9845" t="s">
        <v>32978</v>
      </c>
      <c r="K9845" t="s">
        <v>42743</v>
      </c>
      <c r="M9845" t="s">
        <v>45572</v>
      </c>
      <c r="N9845" t="s">
        <v>47424</v>
      </c>
      <c r="O9845" t="s">
        <v>47425</v>
      </c>
      <c r="P9845">
        <v>0</v>
      </c>
      <c r="Q9845">
        <v>1</v>
      </c>
      <c r="R9845" t="s">
        <v>47433</v>
      </c>
      <c r="S9845" t="s">
        <v>47633</v>
      </c>
      <c r="T9845" t="s">
        <v>49084</v>
      </c>
      <c r="U9845" t="s">
        <v>57799</v>
      </c>
      <c r="V9845" t="s">
        <v>63711</v>
      </c>
      <c r="W9845" t="s">
        <v>45572</v>
      </c>
      <c r="X9845" t="s">
        <v>47434</v>
      </c>
    </row>
    <row r="9846" spans="1:24">
      <c r="A9846">
        <f>HYPERLINK("https://www.philgeps.gov.ph/GEPSNONPILOT/Tender/SplashBidNoticeAbstractUI.aspx?menuIndex=3&amp;refID=7150859&amp;Result=3","7150859")</f>
        <v>0</v>
      </c>
      <c r="B9846" t="s">
        <v>3091</v>
      </c>
      <c r="C9846" t="s">
        <v>13152</v>
      </c>
      <c r="D9846" t="s">
        <v>19093</v>
      </c>
      <c r="E9846" t="s">
        <v>27088</v>
      </c>
      <c r="F9846" t="s">
        <v>32831</v>
      </c>
      <c r="G9846" t="s">
        <v>32839</v>
      </c>
      <c r="H9846" t="s">
        <v>32848</v>
      </c>
      <c r="I9846" t="s">
        <v>9577</v>
      </c>
      <c r="J9846" t="s">
        <v>39052</v>
      </c>
      <c r="K9846" t="s">
        <v>42732</v>
      </c>
      <c r="M9846" t="s">
        <v>46372</v>
      </c>
      <c r="N9846" t="s">
        <v>47424</v>
      </c>
      <c r="O9846" t="s">
        <v>47425</v>
      </c>
      <c r="P9846">
        <v>0</v>
      </c>
      <c r="Q9846">
        <v>3</v>
      </c>
      <c r="R9846" t="s">
        <v>47433</v>
      </c>
      <c r="S9846" t="s">
        <v>47633</v>
      </c>
      <c r="T9846" t="s">
        <v>49111</v>
      </c>
      <c r="U9846" t="s">
        <v>57800</v>
      </c>
      <c r="W9846" t="s">
        <v>46372</v>
      </c>
      <c r="X9846" t="s">
        <v>47434</v>
      </c>
    </row>
    <row r="9847" spans="1:24">
      <c r="A9847">
        <f>HYPERLINK("https://www.philgeps.gov.ph/GEPSNONPILOT/Tender/SplashBidNoticeAbstractUI.aspx?menuIndex=3&amp;refID=7150855&amp;Result=3","7150855")</f>
        <v>0</v>
      </c>
      <c r="B9847" t="s">
        <v>1382</v>
      </c>
      <c r="C9847" t="s">
        <v>13153</v>
      </c>
      <c r="D9847" t="s">
        <v>19021</v>
      </c>
      <c r="E9847" t="s">
        <v>27602</v>
      </c>
      <c r="F9847" t="s">
        <v>32831</v>
      </c>
      <c r="G9847" t="s">
        <v>32839</v>
      </c>
      <c r="H9847" t="s">
        <v>32849</v>
      </c>
      <c r="I9847" t="s">
        <v>4177</v>
      </c>
      <c r="J9847" t="s">
        <v>39053</v>
      </c>
      <c r="K9847" t="s">
        <v>42729</v>
      </c>
      <c r="M9847" t="s">
        <v>44466</v>
      </c>
      <c r="N9847" t="s">
        <v>47424</v>
      </c>
      <c r="O9847" t="s">
        <v>47425</v>
      </c>
      <c r="Q9847">
        <v>71</v>
      </c>
      <c r="R9847" t="s">
        <v>47433</v>
      </c>
      <c r="S9847" t="s">
        <v>47656</v>
      </c>
      <c r="T9847" t="s">
        <v>49111</v>
      </c>
      <c r="U9847" t="s">
        <v>57801</v>
      </c>
      <c r="V9847" t="s">
        <v>63712</v>
      </c>
      <c r="W9847" t="s">
        <v>44466</v>
      </c>
      <c r="X9847" t="s">
        <v>47434</v>
      </c>
    </row>
    <row r="9848" spans="1:24">
      <c r="A9848">
        <f>HYPERLINK("https://www.philgeps.gov.ph/GEPSNONPILOT/Tender/SplashBidNoticeAbstractUI.aspx?menuIndex=3&amp;refID=7150586&amp;Result=3","7150586")</f>
        <v>0</v>
      </c>
      <c r="B9848" t="s">
        <v>1684</v>
      </c>
      <c r="C9848" t="s">
        <v>13154</v>
      </c>
      <c r="D9848" t="s">
        <v>19022</v>
      </c>
      <c r="E9848" t="s">
        <v>27603</v>
      </c>
      <c r="F9848" t="s">
        <v>32831</v>
      </c>
      <c r="G9848" t="s">
        <v>32838</v>
      </c>
      <c r="H9848" t="s">
        <v>32848</v>
      </c>
      <c r="I9848" t="s">
        <v>32889</v>
      </c>
      <c r="J9848" t="s">
        <v>39054</v>
      </c>
      <c r="K9848" t="s">
        <v>42731</v>
      </c>
      <c r="M9848" t="s">
        <v>44804</v>
      </c>
      <c r="N9848" t="s">
        <v>47424</v>
      </c>
      <c r="O9848" t="s">
        <v>47425</v>
      </c>
      <c r="P9848">
        <v>0</v>
      </c>
      <c r="Q9848">
        <v>0</v>
      </c>
      <c r="R9848" t="s">
        <v>47433</v>
      </c>
      <c r="S9848" t="s">
        <v>47633</v>
      </c>
      <c r="T9848" t="s">
        <v>49255</v>
      </c>
      <c r="U9848" t="s">
        <v>57802</v>
      </c>
      <c r="W9848" t="s">
        <v>44804</v>
      </c>
      <c r="X9848" t="s">
        <v>47434</v>
      </c>
    </row>
    <row r="9849" spans="1:24">
      <c r="A9849">
        <f>HYPERLINK("https://www.philgeps.gov.ph/GEPSNONPILOT/Tender/SplashBidNoticeAbstractUI.aspx?menuIndex=3&amp;refID=7150842&amp;Result=3","7150842")</f>
        <v>0</v>
      </c>
      <c r="B9849" t="s">
        <v>1726</v>
      </c>
      <c r="C9849" t="s">
        <v>13155</v>
      </c>
      <c r="D9849" t="s">
        <v>19042</v>
      </c>
      <c r="E9849" t="s">
        <v>19835</v>
      </c>
      <c r="F9849" t="s">
        <v>32831</v>
      </c>
      <c r="G9849" t="s">
        <v>32839</v>
      </c>
      <c r="H9849" t="s">
        <v>32848</v>
      </c>
      <c r="I9849" t="s">
        <v>7416</v>
      </c>
      <c r="J9849" t="s">
        <v>39055</v>
      </c>
      <c r="K9849" t="s">
        <v>42726</v>
      </c>
      <c r="M9849" t="s">
        <v>44849</v>
      </c>
      <c r="N9849" t="s">
        <v>47424</v>
      </c>
      <c r="O9849" t="s">
        <v>47425</v>
      </c>
      <c r="P9849">
        <v>0</v>
      </c>
      <c r="Q9849">
        <v>0</v>
      </c>
      <c r="R9849" t="s">
        <v>47433</v>
      </c>
      <c r="S9849" t="s">
        <v>47633</v>
      </c>
      <c r="T9849" t="s">
        <v>49084</v>
      </c>
      <c r="U9849" t="s">
        <v>57803</v>
      </c>
      <c r="V9849" t="s">
        <v>63710</v>
      </c>
      <c r="W9849" t="s">
        <v>44849</v>
      </c>
      <c r="X9849" t="s">
        <v>47434</v>
      </c>
    </row>
    <row r="9850" spans="1:24">
      <c r="A9850">
        <f>HYPERLINK("https://www.philgeps.gov.ph/GEPSNONPILOT/Tender/SplashBidNoticeAbstractUI.aspx?menuIndex=3&amp;refID=7150837&amp;Result=3","7150837")</f>
        <v>0</v>
      </c>
      <c r="B9850" t="s">
        <v>1666</v>
      </c>
      <c r="C9850" t="s">
        <v>13156</v>
      </c>
      <c r="D9850" t="s">
        <v>19067</v>
      </c>
      <c r="E9850" t="s">
        <v>27604</v>
      </c>
      <c r="F9850" t="s">
        <v>32831</v>
      </c>
      <c r="G9850" t="s">
        <v>32839</v>
      </c>
      <c r="H9850" t="s">
        <v>32849</v>
      </c>
      <c r="I9850" t="s">
        <v>4177</v>
      </c>
      <c r="J9850" t="s">
        <v>35258</v>
      </c>
      <c r="K9850" t="s">
        <v>42872</v>
      </c>
      <c r="M9850" t="s">
        <v>44783</v>
      </c>
      <c r="N9850" t="s">
        <v>47424</v>
      </c>
      <c r="O9850" t="s">
        <v>47425</v>
      </c>
      <c r="P9850">
        <v>0</v>
      </c>
      <c r="Q9850">
        <v>0</v>
      </c>
      <c r="R9850" t="s">
        <v>47433</v>
      </c>
      <c r="S9850" t="s">
        <v>47633</v>
      </c>
      <c r="T9850" t="s">
        <v>49231</v>
      </c>
      <c r="U9850" t="s">
        <v>57804</v>
      </c>
      <c r="W9850" t="s">
        <v>44783</v>
      </c>
      <c r="X9850" t="s">
        <v>47434</v>
      </c>
    </row>
    <row r="9851" spans="1:24">
      <c r="A9851">
        <f>HYPERLINK("https://www.philgeps.gov.ph/GEPSNONPILOT/Tender/SplashBidNoticeAbstractUI.aspx?menuIndex=3&amp;refID=7150752&amp;Result=3","7150752")</f>
        <v>0</v>
      </c>
      <c r="B9851" t="s">
        <v>2338</v>
      </c>
      <c r="C9851" t="s">
        <v>13157</v>
      </c>
      <c r="D9851" t="s">
        <v>19049</v>
      </c>
      <c r="E9851" t="s">
        <v>27605</v>
      </c>
      <c r="F9851" t="s">
        <v>32831</v>
      </c>
      <c r="G9851" t="s">
        <v>32839</v>
      </c>
      <c r="H9851" t="s">
        <v>32848</v>
      </c>
      <c r="I9851" t="s">
        <v>14069</v>
      </c>
      <c r="J9851" t="s">
        <v>32983</v>
      </c>
      <c r="K9851" t="s">
        <v>42730</v>
      </c>
      <c r="M9851" t="s">
        <v>45525</v>
      </c>
      <c r="N9851" t="s">
        <v>47424</v>
      </c>
      <c r="O9851" t="s">
        <v>47425</v>
      </c>
      <c r="P9851">
        <v>0</v>
      </c>
      <c r="Q9851">
        <v>1</v>
      </c>
      <c r="R9851" t="s">
        <v>47433</v>
      </c>
      <c r="S9851" t="s">
        <v>47633</v>
      </c>
      <c r="T9851" t="s">
        <v>49235</v>
      </c>
      <c r="U9851" t="s">
        <v>55192</v>
      </c>
      <c r="V9851" t="s">
        <v>63352</v>
      </c>
      <c r="W9851" t="s">
        <v>45525</v>
      </c>
      <c r="X9851" t="s">
        <v>47434</v>
      </c>
    </row>
    <row r="9852" spans="1:24">
      <c r="A9852">
        <f>HYPERLINK("https://www.philgeps.gov.ph/GEPSNONPILOT/Tender/SplashBidNoticeAbstractUI.aspx?menuIndex=3&amp;refID=7150861&amp;Result=3","7150861")</f>
        <v>0</v>
      </c>
      <c r="B9852" t="s">
        <v>2429</v>
      </c>
      <c r="C9852" t="s">
        <v>13158</v>
      </c>
      <c r="D9852" t="s">
        <v>19064</v>
      </c>
      <c r="E9852" t="s">
        <v>27606</v>
      </c>
      <c r="F9852" t="s">
        <v>32831</v>
      </c>
      <c r="G9852" t="s">
        <v>32839</v>
      </c>
      <c r="H9852" t="s">
        <v>32848</v>
      </c>
      <c r="I9852" t="s">
        <v>9577</v>
      </c>
      <c r="J9852" t="s">
        <v>39056</v>
      </c>
      <c r="K9852" t="s">
        <v>42731</v>
      </c>
      <c r="M9852" t="s">
        <v>45626</v>
      </c>
      <c r="N9852" t="s">
        <v>47424</v>
      </c>
      <c r="O9852" t="s">
        <v>47425</v>
      </c>
      <c r="P9852">
        <v>0</v>
      </c>
      <c r="Q9852">
        <v>0</v>
      </c>
      <c r="R9852" t="s">
        <v>47433</v>
      </c>
      <c r="S9852" t="s">
        <v>47633</v>
      </c>
      <c r="T9852" t="s">
        <v>49055</v>
      </c>
      <c r="U9852" t="s">
        <v>51307</v>
      </c>
      <c r="W9852" t="s">
        <v>45626</v>
      </c>
      <c r="X9852" t="s">
        <v>47434</v>
      </c>
    </row>
    <row r="9853" spans="1:24">
      <c r="A9853">
        <f>HYPERLINK("https://www.philgeps.gov.ph/GEPSNONPILOT/Tender/SplashBidNoticeAbstractUI.aspx?menuIndex=3&amp;refID=7150836&amp;Result=3","7150836")</f>
        <v>0</v>
      </c>
      <c r="B9853" t="s">
        <v>3080</v>
      </c>
      <c r="C9853" t="s">
        <v>13159</v>
      </c>
      <c r="D9853" t="s">
        <v>19024</v>
      </c>
      <c r="E9853" t="s">
        <v>27607</v>
      </c>
      <c r="F9853" t="s">
        <v>32831</v>
      </c>
      <c r="G9853" t="s">
        <v>32839</v>
      </c>
      <c r="H9853" t="s">
        <v>32848</v>
      </c>
      <c r="I9853" t="s">
        <v>7751</v>
      </c>
      <c r="J9853" t="s">
        <v>33553</v>
      </c>
      <c r="K9853" t="s">
        <v>42730</v>
      </c>
      <c r="M9853" t="s">
        <v>46359</v>
      </c>
      <c r="N9853" t="s">
        <v>47424</v>
      </c>
      <c r="O9853" t="s">
        <v>47425</v>
      </c>
      <c r="P9853">
        <v>0</v>
      </c>
      <c r="Q9853">
        <v>5</v>
      </c>
      <c r="R9853" t="s">
        <v>47433</v>
      </c>
      <c r="S9853" t="s">
        <v>47633</v>
      </c>
      <c r="T9853" t="s">
        <v>49221</v>
      </c>
      <c r="U9853" t="s">
        <v>57805</v>
      </c>
      <c r="W9853" t="s">
        <v>46359</v>
      </c>
      <c r="X9853" t="s">
        <v>47434</v>
      </c>
    </row>
    <row r="9854" spans="1:24">
      <c r="A9854">
        <f>HYPERLINK("https://www.philgeps.gov.ph/GEPSNONPILOT/Tender/SplashBidNoticeAbstractUI.aspx?menuIndex=3&amp;refID=7150833&amp;Result=3","7150833")</f>
        <v>0</v>
      </c>
      <c r="B9854" t="s">
        <v>168</v>
      </c>
      <c r="C9854" t="s">
        <v>13160</v>
      </c>
      <c r="D9854" t="s">
        <v>19071</v>
      </c>
      <c r="E9854" t="s">
        <v>27608</v>
      </c>
      <c r="F9854" t="s">
        <v>32831</v>
      </c>
      <c r="G9854" t="s">
        <v>32839</v>
      </c>
      <c r="H9854" t="s">
        <v>32848</v>
      </c>
      <c r="I9854" t="s">
        <v>4303</v>
      </c>
      <c r="J9854" t="s">
        <v>39057</v>
      </c>
      <c r="K9854" t="s">
        <v>42731</v>
      </c>
      <c r="M9854" t="s">
        <v>43165</v>
      </c>
      <c r="N9854" t="s">
        <v>47424</v>
      </c>
      <c r="O9854" t="s">
        <v>47425</v>
      </c>
      <c r="P9854">
        <v>0</v>
      </c>
      <c r="Q9854">
        <v>0</v>
      </c>
      <c r="R9854" t="s">
        <v>47433</v>
      </c>
      <c r="S9854" t="s">
        <v>47633</v>
      </c>
      <c r="T9854" t="s">
        <v>49163</v>
      </c>
      <c r="U9854" t="s">
        <v>57806</v>
      </c>
      <c r="V9854" t="s">
        <v>62654</v>
      </c>
      <c r="W9854" t="s">
        <v>43165</v>
      </c>
      <c r="X9854" t="s">
        <v>47434</v>
      </c>
    </row>
    <row r="9855" spans="1:24">
      <c r="A9855">
        <f>HYPERLINK("https://www.philgeps.gov.ph/GEPSNONPILOT/Tender/SplashBidNoticeAbstractUI.aspx?menuIndex=3&amp;refID=7150817&amp;Result=3","7150817")</f>
        <v>0</v>
      </c>
      <c r="B9855" t="s">
        <v>3092</v>
      </c>
      <c r="C9855" t="s">
        <v>13161</v>
      </c>
      <c r="D9855" t="s">
        <v>19065</v>
      </c>
      <c r="E9855" t="s">
        <v>27609</v>
      </c>
      <c r="F9855" t="s">
        <v>32831</v>
      </c>
      <c r="G9855" t="s">
        <v>32839</v>
      </c>
      <c r="H9855" t="s">
        <v>32849</v>
      </c>
      <c r="I9855" t="s">
        <v>4177</v>
      </c>
      <c r="J9855" t="s">
        <v>39058</v>
      </c>
      <c r="K9855" t="s">
        <v>42763</v>
      </c>
      <c r="M9855" t="s">
        <v>46373</v>
      </c>
      <c r="N9855" t="s">
        <v>47424</v>
      </c>
      <c r="O9855" t="s">
        <v>47425</v>
      </c>
      <c r="P9855">
        <v>0</v>
      </c>
      <c r="Q9855">
        <v>2</v>
      </c>
      <c r="R9855" t="s">
        <v>47433</v>
      </c>
      <c r="S9855" t="s">
        <v>47633</v>
      </c>
      <c r="T9855" t="s">
        <v>49192</v>
      </c>
      <c r="U9855" t="s">
        <v>57807</v>
      </c>
      <c r="V9855" t="s">
        <v>63713</v>
      </c>
      <c r="W9855" t="s">
        <v>64534</v>
      </c>
      <c r="X9855" t="s">
        <v>47434</v>
      </c>
    </row>
    <row r="9856" spans="1:24">
      <c r="A9856">
        <f>HYPERLINK("https://www.philgeps.gov.ph/GEPSNONPILOT/Tender/SplashBidNoticeAbstractUI.aspx?menuIndex=3&amp;refID=7150840&amp;Result=3","7150840")</f>
        <v>0</v>
      </c>
      <c r="B9856" t="s">
        <v>714</v>
      </c>
      <c r="C9856" t="s">
        <v>13162</v>
      </c>
      <c r="D9856" t="s">
        <v>19038</v>
      </c>
      <c r="E9856" t="s">
        <v>27610</v>
      </c>
      <c r="F9856" t="s">
        <v>32831</v>
      </c>
      <c r="G9856" t="s">
        <v>32841</v>
      </c>
      <c r="H9856" t="s">
        <v>32849</v>
      </c>
      <c r="I9856" t="s">
        <v>4177</v>
      </c>
      <c r="J9856" t="s">
        <v>39059</v>
      </c>
      <c r="K9856" t="s">
        <v>42732</v>
      </c>
      <c r="M9856" t="s">
        <v>43734</v>
      </c>
      <c r="N9856" t="s">
        <v>47424</v>
      </c>
      <c r="O9856" t="s">
        <v>47425</v>
      </c>
      <c r="P9856">
        <v>0</v>
      </c>
      <c r="Q9856">
        <v>2</v>
      </c>
      <c r="R9856" t="s">
        <v>47433</v>
      </c>
      <c r="S9856" t="s">
        <v>47633</v>
      </c>
      <c r="T9856" t="s">
        <v>49166</v>
      </c>
      <c r="U9856" t="s">
        <v>50996</v>
      </c>
      <c r="W9856" t="s">
        <v>43734</v>
      </c>
      <c r="X9856" t="s">
        <v>47434</v>
      </c>
    </row>
    <row r="9857" spans="1:24">
      <c r="A9857">
        <f>HYPERLINK("https://www.philgeps.gov.ph/GEPSNONPILOT/Tender/SplashBidNoticeAbstractUI.aspx?menuIndex=3&amp;refID=7150828&amp;Result=3","7150828")</f>
        <v>0</v>
      </c>
      <c r="B9857" t="s">
        <v>1425</v>
      </c>
      <c r="C9857" t="s">
        <v>9215</v>
      </c>
      <c r="D9857" t="s">
        <v>19073</v>
      </c>
      <c r="E9857" t="s">
        <v>27611</v>
      </c>
      <c r="F9857" t="s">
        <v>32831</v>
      </c>
      <c r="G9857" t="s">
        <v>32839</v>
      </c>
      <c r="H9857" t="s">
        <v>32848</v>
      </c>
      <c r="I9857" t="s">
        <v>7416</v>
      </c>
      <c r="J9857" t="s">
        <v>39060</v>
      </c>
      <c r="K9857" t="s">
        <v>42730</v>
      </c>
      <c r="M9857" t="s">
        <v>44514</v>
      </c>
      <c r="N9857" t="s">
        <v>47424</v>
      </c>
      <c r="O9857" t="s">
        <v>47425</v>
      </c>
      <c r="P9857">
        <v>0</v>
      </c>
      <c r="Q9857">
        <v>0</v>
      </c>
      <c r="R9857" t="s">
        <v>47433</v>
      </c>
      <c r="S9857" t="s">
        <v>47633</v>
      </c>
      <c r="T9857" t="s">
        <v>49111</v>
      </c>
      <c r="U9857" t="s">
        <v>57808</v>
      </c>
      <c r="W9857" t="s">
        <v>44514</v>
      </c>
      <c r="X9857" t="s">
        <v>47434</v>
      </c>
    </row>
    <row r="9858" spans="1:24">
      <c r="A9858">
        <f>HYPERLINK("https://www.philgeps.gov.ph/GEPSNONPILOT/Tender/SplashBidNoticeAbstractUI.aspx?menuIndex=3&amp;refID=7150901&amp;Result=3","7150901")</f>
        <v>0</v>
      </c>
      <c r="B9858" t="s">
        <v>3093</v>
      </c>
      <c r="C9858" t="s">
        <v>13163</v>
      </c>
      <c r="D9858" t="s">
        <v>19081</v>
      </c>
      <c r="E9858" t="s">
        <v>13163</v>
      </c>
      <c r="F9858" t="s">
        <v>32831</v>
      </c>
      <c r="G9858" t="s">
        <v>32839</v>
      </c>
      <c r="H9858" t="s">
        <v>32849</v>
      </c>
      <c r="I9858" t="s">
        <v>4177</v>
      </c>
      <c r="J9858" t="s">
        <v>39061</v>
      </c>
      <c r="K9858" t="s">
        <v>42742</v>
      </c>
      <c r="L9858" t="s">
        <v>3093</v>
      </c>
      <c r="M9858" t="s">
        <v>46374</v>
      </c>
      <c r="N9858" t="s">
        <v>47424</v>
      </c>
      <c r="O9858" t="s">
        <v>47425</v>
      </c>
      <c r="P9858">
        <v>0</v>
      </c>
      <c r="Q9858">
        <v>1</v>
      </c>
      <c r="R9858" t="s">
        <v>47433</v>
      </c>
      <c r="S9858" t="s">
        <v>47633</v>
      </c>
      <c r="T9858" t="s">
        <v>49155</v>
      </c>
      <c r="U9858" t="s">
        <v>57809</v>
      </c>
      <c r="W9858" t="s">
        <v>46374</v>
      </c>
      <c r="X9858" t="s">
        <v>47434</v>
      </c>
    </row>
    <row r="9859" spans="1:24">
      <c r="A9859">
        <f>HYPERLINK("https://www.philgeps.gov.ph/GEPSNONPILOT/Tender/SplashBidNoticeAbstractUI.aspx?menuIndex=3&amp;refID=7150841&amp;Result=3","7150841")</f>
        <v>0</v>
      </c>
      <c r="B9859" t="s">
        <v>145</v>
      </c>
      <c r="C9859" t="s">
        <v>13164</v>
      </c>
      <c r="D9859" t="s">
        <v>19048</v>
      </c>
      <c r="E9859" t="s">
        <v>27612</v>
      </c>
      <c r="F9859" t="s">
        <v>32831</v>
      </c>
      <c r="G9859" t="s">
        <v>32839</v>
      </c>
      <c r="H9859" t="s">
        <v>32848</v>
      </c>
      <c r="I9859" t="s">
        <v>10805</v>
      </c>
      <c r="J9859" t="s">
        <v>33031</v>
      </c>
      <c r="K9859" t="s">
        <v>42730</v>
      </c>
      <c r="L9859" t="s">
        <v>145</v>
      </c>
      <c r="M9859" t="s">
        <v>43142</v>
      </c>
      <c r="N9859" t="s">
        <v>47424</v>
      </c>
      <c r="O9859" t="s">
        <v>47425</v>
      </c>
      <c r="P9859">
        <v>0</v>
      </c>
      <c r="Q9859">
        <v>2</v>
      </c>
      <c r="R9859" t="s">
        <v>47433</v>
      </c>
      <c r="S9859" t="s">
        <v>47633</v>
      </c>
      <c r="T9859" t="s">
        <v>49111</v>
      </c>
      <c r="U9859" t="s">
        <v>57763</v>
      </c>
      <c r="V9859" t="s">
        <v>62648</v>
      </c>
      <c r="W9859" t="s">
        <v>43142</v>
      </c>
      <c r="X9859" t="s">
        <v>47434</v>
      </c>
    </row>
    <row r="9860" spans="1:24">
      <c r="A9860">
        <f>HYPERLINK("https://www.philgeps.gov.ph/GEPSNONPILOT/Tender/SplashBidNoticeAbstractUI.aspx?menuIndex=3&amp;refID=7150662&amp;Result=3","7150662")</f>
        <v>0</v>
      </c>
      <c r="B9860" t="s">
        <v>2338</v>
      </c>
      <c r="C9860" t="s">
        <v>13165</v>
      </c>
      <c r="D9860" t="s">
        <v>19049</v>
      </c>
      <c r="E9860" t="s">
        <v>27613</v>
      </c>
      <c r="F9860" t="s">
        <v>32831</v>
      </c>
      <c r="G9860" t="s">
        <v>32839</v>
      </c>
      <c r="H9860" t="s">
        <v>32848</v>
      </c>
      <c r="I9860" t="s">
        <v>4438</v>
      </c>
      <c r="J9860" t="s">
        <v>33162</v>
      </c>
      <c r="K9860" t="s">
        <v>42730</v>
      </c>
      <c r="M9860" t="s">
        <v>45525</v>
      </c>
      <c r="N9860" t="s">
        <v>47424</v>
      </c>
      <c r="O9860" t="s">
        <v>47425</v>
      </c>
      <c r="P9860">
        <v>0</v>
      </c>
      <c r="Q9860">
        <v>0</v>
      </c>
      <c r="R9860" t="s">
        <v>47433</v>
      </c>
      <c r="S9860" t="s">
        <v>47633</v>
      </c>
      <c r="T9860" t="s">
        <v>49235</v>
      </c>
      <c r="U9860" t="s">
        <v>55192</v>
      </c>
      <c r="V9860" t="s">
        <v>63352</v>
      </c>
      <c r="W9860" t="s">
        <v>45525</v>
      </c>
      <c r="X9860" t="s">
        <v>47434</v>
      </c>
    </row>
    <row r="9861" spans="1:24">
      <c r="A9861">
        <f>HYPERLINK("https://www.philgeps.gov.ph/GEPSNONPILOT/Tender/SplashBidNoticeAbstractUI.aspx?menuIndex=3&amp;refID=7150911&amp;Result=3","7150911")</f>
        <v>0</v>
      </c>
      <c r="B9861" t="s">
        <v>3087</v>
      </c>
      <c r="C9861" t="s">
        <v>13166</v>
      </c>
      <c r="D9861" t="s">
        <v>19094</v>
      </c>
      <c r="E9861" t="s">
        <v>27614</v>
      </c>
      <c r="F9861" t="s">
        <v>32831</v>
      </c>
      <c r="G9861" t="s">
        <v>32842</v>
      </c>
      <c r="H9861" t="s">
        <v>32848</v>
      </c>
      <c r="I9861" t="s">
        <v>9577</v>
      </c>
      <c r="J9861" t="s">
        <v>39062</v>
      </c>
      <c r="K9861" t="s">
        <v>42727</v>
      </c>
      <c r="M9861" t="s">
        <v>46368</v>
      </c>
      <c r="N9861" t="s">
        <v>47424</v>
      </c>
      <c r="O9861" t="s">
        <v>47425</v>
      </c>
      <c r="P9861">
        <v>0</v>
      </c>
      <c r="Q9861">
        <v>2</v>
      </c>
      <c r="R9861" t="s">
        <v>47433</v>
      </c>
      <c r="S9861" t="s">
        <v>47633</v>
      </c>
      <c r="T9861" t="s">
        <v>49543</v>
      </c>
      <c r="U9861" t="s">
        <v>57810</v>
      </c>
      <c r="W9861" t="s">
        <v>46368</v>
      </c>
      <c r="X9861" t="s">
        <v>47434</v>
      </c>
    </row>
    <row r="9862" spans="1:24">
      <c r="A9862">
        <f>HYPERLINK("https://www.philgeps.gov.ph/GEPSNONPILOT/Tender/SplashBidNoticeAbstractUI.aspx?menuIndex=3&amp;refID=7150819&amp;Result=3","7150819")</f>
        <v>0</v>
      </c>
      <c r="B9862" t="s">
        <v>714</v>
      </c>
      <c r="C9862" t="s">
        <v>13167</v>
      </c>
      <c r="D9862" t="s">
        <v>19038</v>
      </c>
      <c r="E9862" t="s">
        <v>27615</v>
      </c>
      <c r="F9862" t="s">
        <v>32831</v>
      </c>
      <c r="G9862" t="s">
        <v>32839</v>
      </c>
      <c r="H9862" t="s">
        <v>32849</v>
      </c>
      <c r="I9862" t="s">
        <v>4177</v>
      </c>
      <c r="J9862" t="s">
        <v>39063</v>
      </c>
      <c r="K9862" t="s">
        <v>42732</v>
      </c>
      <c r="M9862" t="s">
        <v>43734</v>
      </c>
      <c r="N9862" t="s">
        <v>47424</v>
      </c>
      <c r="O9862" t="s">
        <v>47425</v>
      </c>
      <c r="P9862">
        <v>0</v>
      </c>
      <c r="Q9862">
        <v>0</v>
      </c>
      <c r="R9862" t="s">
        <v>47433</v>
      </c>
      <c r="S9862" t="s">
        <v>47633</v>
      </c>
      <c r="T9862" t="s">
        <v>49112</v>
      </c>
      <c r="U9862" t="s">
        <v>50996</v>
      </c>
      <c r="W9862" t="s">
        <v>43734</v>
      </c>
      <c r="X9862" t="s">
        <v>47434</v>
      </c>
    </row>
    <row r="9863" spans="1:24">
      <c r="A9863">
        <f>HYPERLINK("https://www.philgeps.gov.ph/GEPSNONPILOT/Tender/SplashBidNoticeAbstractUI.aspx?menuIndex=3&amp;refID=7150905&amp;Result=3","7150905")</f>
        <v>0</v>
      </c>
      <c r="B9863" t="s">
        <v>2429</v>
      </c>
      <c r="C9863" t="s">
        <v>10432</v>
      </c>
      <c r="D9863" t="s">
        <v>19064</v>
      </c>
      <c r="E9863" t="s">
        <v>27616</v>
      </c>
      <c r="F9863" t="s">
        <v>32831</v>
      </c>
      <c r="G9863" t="s">
        <v>32839</v>
      </c>
      <c r="H9863" t="s">
        <v>32848</v>
      </c>
      <c r="I9863" t="s">
        <v>32864</v>
      </c>
      <c r="J9863" t="s">
        <v>33595</v>
      </c>
      <c r="K9863" t="s">
        <v>42731</v>
      </c>
      <c r="M9863" t="s">
        <v>45626</v>
      </c>
      <c r="N9863" t="s">
        <v>47424</v>
      </c>
      <c r="O9863" t="s">
        <v>47425</v>
      </c>
      <c r="P9863">
        <v>0</v>
      </c>
      <c r="Q9863">
        <v>0</v>
      </c>
      <c r="R9863" t="s">
        <v>47433</v>
      </c>
      <c r="S9863" t="s">
        <v>47633</v>
      </c>
      <c r="T9863" t="s">
        <v>49055</v>
      </c>
      <c r="U9863" t="s">
        <v>55516</v>
      </c>
      <c r="W9863" t="s">
        <v>45626</v>
      </c>
      <c r="X9863" t="s">
        <v>47434</v>
      </c>
    </row>
    <row r="9864" spans="1:24">
      <c r="A9864">
        <f>HYPERLINK("https://www.philgeps.gov.ph/GEPSNONPILOT/Tender/SplashBidNoticeAbstractUI.aspx?menuIndex=3&amp;refID=7150920&amp;Result=3","7150920")</f>
        <v>0</v>
      </c>
      <c r="B9864" t="s">
        <v>3094</v>
      </c>
      <c r="C9864" t="s">
        <v>13168</v>
      </c>
      <c r="D9864" t="s">
        <v>19077</v>
      </c>
      <c r="E9864" t="s">
        <v>22929</v>
      </c>
      <c r="F9864" t="s">
        <v>32831</v>
      </c>
      <c r="G9864" t="s">
        <v>32839</v>
      </c>
      <c r="H9864" t="s">
        <v>32849</v>
      </c>
      <c r="I9864" t="s">
        <v>4177</v>
      </c>
      <c r="J9864" t="s">
        <v>39064</v>
      </c>
      <c r="K9864" t="s">
        <v>42794</v>
      </c>
      <c r="M9864" t="s">
        <v>46375</v>
      </c>
      <c r="N9864" t="s">
        <v>47424</v>
      </c>
      <c r="O9864" t="s">
        <v>47425</v>
      </c>
      <c r="P9864">
        <v>0</v>
      </c>
      <c r="Q9864">
        <v>0</v>
      </c>
      <c r="R9864" t="s">
        <v>47433</v>
      </c>
      <c r="S9864" t="s">
        <v>47633</v>
      </c>
      <c r="T9864" t="s">
        <v>49214</v>
      </c>
      <c r="U9864" t="s">
        <v>57811</v>
      </c>
      <c r="W9864" t="s">
        <v>46375</v>
      </c>
      <c r="X9864" t="s">
        <v>47434</v>
      </c>
    </row>
    <row r="9865" spans="1:24">
      <c r="A9865">
        <f>HYPERLINK("https://www.philgeps.gov.ph/GEPSNONPILOT/Tender/SplashBidNoticeAbstractUI.aspx?menuIndex=3&amp;refID=7150903&amp;Result=3","7150903")</f>
        <v>0</v>
      </c>
      <c r="B9865" t="s">
        <v>145</v>
      </c>
      <c r="C9865" t="s">
        <v>13169</v>
      </c>
      <c r="D9865" t="s">
        <v>19048</v>
      </c>
      <c r="E9865" t="s">
        <v>27617</v>
      </c>
      <c r="F9865" t="s">
        <v>32831</v>
      </c>
      <c r="G9865" t="s">
        <v>32841</v>
      </c>
      <c r="H9865" t="s">
        <v>32848</v>
      </c>
      <c r="I9865" t="s">
        <v>32880</v>
      </c>
      <c r="J9865" t="s">
        <v>33468</v>
      </c>
      <c r="K9865" t="s">
        <v>42731</v>
      </c>
      <c r="L9865" t="s">
        <v>145</v>
      </c>
      <c r="M9865" t="s">
        <v>43142</v>
      </c>
      <c r="N9865" t="s">
        <v>47424</v>
      </c>
      <c r="O9865" t="s">
        <v>47425</v>
      </c>
      <c r="P9865">
        <v>0</v>
      </c>
      <c r="Q9865">
        <v>2</v>
      </c>
      <c r="R9865" t="s">
        <v>47433</v>
      </c>
      <c r="S9865" t="s">
        <v>47633</v>
      </c>
      <c r="T9865" t="s">
        <v>49111</v>
      </c>
      <c r="U9865" t="s">
        <v>57812</v>
      </c>
      <c r="V9865" t="s">
        <v>62648</v>
      </c>
      <c r="W9865" t="s">
        <v>43142</v>
      </c>
      <c r="X9865" t="s">
        <v>47434</v>
      </c>
    </row>
    <row r="9866" spans="1:24">
      <c r="A9866">
        <f>HYPERLINK("https://www.philgeps.gov.ph/GEPSNONPILOT/Tender/SplashBidNoticeAbstractUI.aspx?menuIndex=3&amp;refID=7150893&amp;Result=3","7150893")</f>
        <v>0</v>
      </c>
      <c r="B9866" t="s">
        <v>99</v>
      </c>
      <c r="C9866" t="s">
        <v>13170</v>
      </c>
      <c r="D9866" t="s">
        <v>19054</v>
      </c>
      <c r="E9866" t="s">
        <v>27618</v>
      </c>
      <c r="F9866" t="s">
        <v>32831</v>
      </c>
      <c r="G9866" t="s">
        <v>32838</v>
      </c>
      <c r="H9866" t="s">
        <v>32848</v>
      </c>
      <c r="I9866" t="s">
        <v>4222</v>
      </c>
      <c r="J9866" t="s">
        <v>39065</v>
      </c>
      <c r="K9866" t="s">
        <v>42730</v>
      </c>
      <c r="M9866" t="s">
        <v>46376</v>
      </c>
      <c r="N9866" t="s">
        <v>47424</v>
      </c>
      <c r="O9866" t="s">
        <v>47425</v>
      </c>
      <c r="P9866">
        <v>0</v>
      </c>
      <c r="Q9866">
        <v>0</v>
      </c>
      <c r="R9866" t="s">
        <v>47433</v>
      </c>
      <c r="S9866" t="s">
        <v>47633</v>
      </c>
      <c r="T9866" t="s">
        <v>49111</v>
      </c>
      <c r="U9866" t="s">
        <v>57813</v>
      </c>
      <c r="W9866" t="s">
        <v>46376</v>
      </c>
      <c r="X9866" t="s">
        <v>47434</v>
      </c>
    </row>
    <row r="9867" spans="1:24">
      <c r="A9867">
        <f>HYPERLINK("https://www.philgeps.gov.ph/GEPSNONPILOT/Tender/SplashBidNoticeAbstractUI.aspx?menuIndex=3&amp;refID=7150909&amp;Result=3","7150909")</f>
        <v>0</v>
      </c>
      <c r="B9867" t="s">
        <v>3094</v>
      </c>
      <c r="C9867" t="s">
        <v>13171</v>
      </c>
      <c r="D9867" t="s">
        <v>19077</v>
      </c>
      <c r="E9867" t="s">
        <v>27619</v>
      </c>
      <c r="F9867" t="s">
        <v>32831</v>
      </c>
      <c r="G9867" t="s">
        <v>32839</v>
      </c>
      <c r="H9867" t="s">
        <v>32848</v>
      </c>
      <c r="I9867" t="s">
        <v>4438</v>
      </c>
      <c r="J9867" t="s">
        <v>39066</v>
      </c>
      <c r="K9867" t="s">
        <v>42732</v>
      </c>
      <c r="M9867" t="s">
        <v>46375</v>
      </c>
      <c r="N9867" t="s">
        <v>47424</v>
      </c>
      <c r="O9867" t="s">
        <v>47425</v>
      </c>
      <c r="P9867">
        <v>0</v>
      </c>
      <c r="Q9867">
        <v>2</v>
      </c>
      <c r="R9867" t="s">
        <v>47433</v>
      </c>
      <c r="S9867" t="s">
        <v>47633</v>
      </c>
      <c r="T9867" t="s">
        <v>49214</v>
      </c>
      <c r="U9867" t="s">
        <v>57814</v>
      </c>
      <c r="W9867" t="s">
        <v>46375</v>
      </c>
      <c r="X9867" t="s">
        <v>47434</v>
      </c>
    </row>
    <row r="9868" spans="1:24">
      <c r="A9868">
        <f>HYPERLINK("https://www.philgeps.gov.ph/GEPSNONPILOT/Tender/SplashBidNoticeAbstractUI.aspx?menuIndex=3&amp;refID=7150886&amp;Result=3","7150886")</f>
        <v>0</v>
      </c>
      <c r="B9868" t="s">
        <v>3081</v>
      </c>
      <c r="C9868" t="s">
        <v>13172</v>
      </c>
      <c r="D9868" t="s">
        <v>19104</v>
      </c>
      <c r="E9868" t="s">
        <v>27620</v>
      </c>
      <c r="F9868" t="s">
        <v>32831</v>
      </c>
      <c r="G9868" t="s">
        <v>32839</v>
      </c>
      <c r="H9868" t="s">
        <v>32848</v>
      </c>
      <c r="I9868" t="s">
        <v>9281</v>
      </c>
      <c r="J9868" t="s">
        <v>39067</v>
      </c>
      <c r="K9868" t="s">
        <v>42731</v>
      </c>
      <c r="M9868" t="s">
        <v>46360</v>
      </c>
      <c r="N9868" t="s">
        <v>47424</v>
      </c>
      <c r="O9868" t="s">
        <v>47425</v>
      </c>
      <c r="P9868">
        <v>0</v>
      </c>
      <c r="Q9868">
        <v>2</v>
      </c>
      <c r="R9868" t="s">
        <v>47433</v>
      </c>
      <c r="S9868" t="s">
        <v>47633</v>
      </c>
      <c r="T9868" t="s">
        <v>49163</v>
      </c>
      <c r="U9868" t="s">
        <v>57815</v>
      </c>
      <c r="W9868" t="s">
        <v>46360</v>
      </c>
      <c r="X9868" t="s">
        <v>47434</v>
      </c>
    </row>
    <row r="9869" spans="1:24">
      <c r="A9869">
        <f>HYPERLINK("https://www.philgeps.gov.ph/GEPSNONPILOT/Tender/SplashBidNoticeAbstractUI.aspx?menuIndex=3&amp;refID=7150891&amp;Result=3","7150891")</f>
        <v>0</v>
      </c>
      <c r="B9869" t="s">
        <v>2151</v>
      </c>
      <c r="C9869" t="s">
        <v>13173</v>
      </c>
      <c r="D9869" t="s">
        <v>19054</v>
      </c>
      <c r="E9869" t="s">
        <v>27621</v>
      </c>
      <c r="F9869" t="s">
        <v>32831</v>
      </c>
      <c r="G9869" t="s">
        <v>32839</v>
      </c>
      <c r="H9869" t="s">
        <v>32848</v>
      </c>
      <c r="I9869" t="s">
        <v>32862</v>
      </c>
      <c r="J9869" t="s">
        <v>39068</v>
      </c>
      <c r="K9869" t="s">
        <v>42730</v>
      </c>
      <c r="M9869" t="s">
        <v>45332</v>
      </c>
      <c r="N9869" t="s">
        <v>47424</v>
      </c>
      <c r="O9869" t="s">
        <v>47425</v>
      </c>
      <c r="P9869">
        <v>0</v>
      </c>
      <c r="Q9869">
        <v>0</v>
      </c>
      <c r="R9869" t="s">
        <v>47433</v>
      </c>
      <c r="S9869" t="s">
        <v>47633</v>
      </c>
      <c r="T9869" t="s">
        <v>49239</v>
      </c>
      <c r="U9869" t="s">
        <v>57816</v>
      </c>
      <c r="W9869" t="s">
        <v>45332</v>
      </c>
      <c r="X9869" t="s">
        <v>47434</v>
      </c>
    </row>
    <row r="9870" spans="1:24">
      <c r="A9870">
        <f>HYPERLINK("https://www.philgeps.gov.ph/GEPSNONPILOT/Tender/SplashBidNoticeAbstractUI.aspx?menuIndex=3&amp;refID=7150862&amp;Result=3","7150862")</f>
        <v>0</v>
      </c>
      <c r="B9870" t="s">
        <v>1666</v>
      </c>
      <c r="C9870" t="s">
        <v>13174</v>
      </c>
      <c r="D9870" t="s">
        <v>19067</v>
      </c>
      <c r="E9870" t="s">
        <v>27622</v>
      </c>
      <c r="F9870" t="s">
        <v>32831</v>
      </c>
      <c r="G9870" t="s">
        <v>32839</v>
      </c>
      <c r="H9870" t="s">
        <v>32849</v>
      </c>
      <c r="I9870" t="s">
        <v>4177</v>
      </c>
      <c r="J9870" t="s">
        <v>35258</v>
      </c>
      <c r="K9870" t="s">
        <v>42872</v>
      </c>
      <c r="M9870" t="s">
        <v>44783</v>
      </c>
      <c r="N9870" t="s">
        <v>47424</v>
      </c>
      <c r="O9870" t="s">
        <v>47425</v>
      </c>
      <c r="P9870">
        <v>0</v>
      </c>
      <c r="Q9870">
        <v>0</v>
      </c>
      <c r="R9870" t="s">
        <v>47433</v>
      </c>
      <c r="S9870" t="s">
        <v>47633</v>
      </c>
      <c r="T9870" t="s">
        <v>49231</v>
      </c>
      <c r="U9870" t="s">
        <v>57817</v>
      </c>
      <c r="W9870" t="s">
        <v>44783</v>
      </c>
      <c r="X9870" t="s">
        <v>47434</v>
      </c>
    </row>
    <row r="9871" spans="1:24">
      <c r="A9871">
        <f>HYPERLINK("https://www.philgeps.gov.ph/GEPSNONPILOT/Tender/SplashBidNoticeAbstractUI.aspx?menuIndex=3&amp;refID=7150878&amp;Result=3","7150878")</f>
        <v>0</v>
      </c>
      <c r="B9871" t="s">
        <v>1695</v>
      </c>
      <c r="C9871" t="s">
        <v>13175</v>
      </c>
      <c r="D9871" t="s">
        <v>19039</v>
      </c>
      <c r="E9871" t="s">
        <v>27623</v>
      </c>
      <c r="F9871" t="s">
        <v>32831</v>
      </c>
      <c r="G9871" t="s">
        <v>32838</v>
      </c>
      <c r="H9871" t="s">
        <v>32848</v>
      </c>
      <c r="I9871" t="s">
        <v>4222</v>
      </c>
      <c r="J9871" t="s">
        <v>33364</v>
      </c>
      <c r="K9871" t="s">
        <v>42726</v>
      </c>
      <c r="M9871" t="s">
        <v>44815</v>
      </c>
      <c r="N9871" t="s">
        <v>47424</v>
      </c>
      <c r="O9871" t="s">
        <v>47425</v>
      </c>
      <c r="P9871">
        <v>0</v>
      </c>
      <c r="Q9871">
        <v>2</v>
      </c>
      <c r="R9871" t="s">
        <v>47433</v>
      </c>
      <c r="S9871" t="s">
        <v>47633</v>
      </c>
      <c r="T9871" t="s">
        <v>49162</v>
      </c>
      <c r="U9871" t="s">
        <v>57818</v>
      </c>
      <c r="W9871" t="s">
        <v>44815</v>
      </c>
      <c r="X9871" t="s">
        <v>47434</v>
      </c>
    </row>
    <row r="9872" spans="1:24">
      <c r="A9872">
        <f>HYPERLINK("https://www.philgeps.gov.ph/GEPSNONPILOT/Tender/SplashBidNoticeAbstractUI.aspx?menuIndex=3&amp;refID=7150882&amp;Result=3","7150882")</f>
        <v>0</v>
      </c>
      <c r="B9872" t="s">
        <v>3094</v>
      </c>
      <c r="C9872" t="s">
        <v>13176</v>
      </c>
      <c r="D9872" t="s">
        <v>19077</v>
      </c>
      <c r="E9872" t="s">
        <v>27624</v>
      </c>
      <c r="F9872" t="s">
        <v>32831</v>
      </c>
      <c r="G9872" t="s">
        <v>32839</v>
      </c>
      <c r="H9872" t="s">
        <v>32848</v>
      </c>
      <c r="I9872" t="s">
        <v>4438</v>
      </c>
      <c r="J9872" t="s">
        <v>34207</v>
      </c>
      <c r="K9872" t="s">
        <v>42732</v>
      </c>
      <c r="M9872" t="s">
        <v>46375</v>
      </c>
      <c r="N9872" t="s">
        <v>47424</v>
      </c>
      <c r="O9872" t="s">
        <v>47425</v>
      </c>
      <c r="P9872">
        <v>0</v>
      </c>
      <c r="Q9872">
        <v>2</v>
      </c>
      <c r="R9872" t="s">
        <v>47433</v>
      </c>
      <c r="S9872" t="s">
        <v>47633</v>
      </c>
      <c r="T9872" t="s">
        <v>49214</v>
      </c>
      <c r="U9872" t="s">
        <v>57819</v>
      </c>
      <c r="W9872" t="s">
        <v>46375</v>
      </c>
      <c r="X9872" t="s">
        <v>47434</v>
      </c>
    </row>
    <row r="9873" spans="1:24">
      <c r="A9873">
        <f>HYPERLINK("https://www.philgeps.gov.ph/GEPSNONPILOT/Tender/SplashBidNoticeAbstractUI.aspx?menuIndex=3&amp;refID=7150874&amp;Result=3","7150874")</f>
        <v>0</v>
      </c>
      <c r="B9873" t="s">
        <v>2168</v>
      </c>
      <c r="C9873" t="s">
        <v>13177</v>
      </c>
      <c r="D9873" t="s">
        <v>19045</v>
      </c>
      <c r="E9873" t="s">
        <v>27625</v>
      </c>
      <c r="F9873" t="s">
        <v>32831</v>
      </c>
      <c r="G9873" t="s">
        <v>32840</v>
      </c>
      <c r="H9873" t="s">
        <v>14069</v>
      </c>
      <c r="I9873" t="s">
        <v>32893</v>
      </c>
      <c r="J9873" t="s">
        <v>39069</v>
      </c>
      <c r="K9873" t="s">
        <v>42726</v>
      </c>
      <c r="M9873" t="s">
        <v>45346</v>
      </c>
      <c r="N9873" t="s">
        <v>47424</v>
      </c>
      <c r="O9873" t="s">
        <v>47425</v>
      </c>
      <c r="P9873">
        <v>0</v>
      </c>
      <c r="Q9873">
        <v>0</v>
      </c>
      <c r="R9873" t="s">
        <v>47433</v>
      </c>
      <c r="S9873" t="s">
        <v>47633</v>
      </c>
      <c r="T9873" t="s">
        <v>49106</v>
      </c>
      <c r="U9873" t="s">
        <v>54696</v>
      </c>
      <c r="W9873" t="s">
        <v>45346</v>
      </c>
      <c r="X9873" t="s">
        <v>47434</v>
      </c>
    </row>
    <row r="9874" spans="1:24">
      <c r="A9874">
        <f>HYPERLINK("https://www.philgeps.gov.ph/GEPSNONPILOT/Tender/SplashBidNoticeAbstractUI.aspx?menuIndex=3&amp;refID=7150902&amp;Result=3","7150902")</f>
        <v>0</v>
      </c>
      <c r="B9874" t="s">
        <v>2414</v>
      </c>
      <c r="C9874" t="s">
        <v>13178</v>
      </c>
      <c r="D9874" t="s">
        <v>19045</v>
      </c>
      <c r="E9874" t="s">
        <v>27626</v>
      </c>
      <c r="F9874" t="s">
        <v>32831</v>
      </c>
      <c r="G9874" t="s">
        <v>32839</v>
      </c>
      <c r="H9874" t="s">
        <v>32848</v>
      </c>
      <c r="I9874" t="s">
        <v>7751</v>
      </c>
      <c r="J9874" t="s">
        <v>39070</v>
      </c>
      <c r="K9874" t="s">
        <v>42730</v>
      </c>
      <c r="M9874" t="s">
        <v>45609</v>
      </c>
      <c r="N9874" t="s">
        <v>47424</v>
      </c>
      <c r="O9874" t="s">
        <v>47425</v>
      </c>
      <c r="P9874">
        <v>0</v>
      </c>
      <c r="Q9874">
        <v>1</v>
      </c>
      <c r="R9874" t="s">
        <v>47433</v>
      </c>
      <c r="S9874" t="s">
        <v>47633</v>
      </c>
      <c r="T9874" t="s">
        <v>49160</v>
      </c>
      <c r="U9874" t="s">
        <v>57820</v>
      </c>
      <c r="W9874" t="s">
        <v>45609</v>
      </c>
      <c r="X9874" t="s">
        <v>47434</v>
      </c>
    </row>
    <row r="9875" spans="1:24">
      <c r="A9875">
        <f>HYPERLINK("https://www.philgeps.gov.ph/GEPSNONPILOT/Tender/SplashBidNoticeAbstractUI.aspx?menuIndex=3&amp;refID=7150881&amp;Result=3","7150881")</f>
        <v>0</v>
      </c>
      <c r="B9875" t="s">
        <v>786</v>
      </c>
      <c r="C9875" t="s">
        <v>13179</v>
      </c>
      <c r="D9875" t="s">
        <v>19056</v>
      </c>
      <c r="E9875" t="s">
        <v>27627</v>
      </c>
      <c r="F9875" t="s">
        <v>32831</v>
      </c>
      <c r="G9875" t="s">
        <v>32839</v>
      </c>
      <c r="H9875" t="s">
        <v>32848</v>
      </c>
      <c r="I9875" t="s">
        <v>4487</v>
      </c>
      <c r="J9875" t="s">
        <v>39071</v>
      </c>
      <c r="K9875" t="s">
        <v>42730</v>
      </c>
      <c r="M9875" t="s">
        <v>43815</v>
      </c>
      <c r="N9875" t="s">
        <v>47424</v>
      </c>
      <c r="O9875" t="s">
        <v>47425</v>
      </c>
      <c r="P9875">
        <v>0</v>
      </c>
      <c r="Q9875">
        <v>9</v>
      </c>
      <c r="R9875" t="s">
        <v>47433</v>
      </c>
      <c r="S9875" t="s">
        <v>47633</v>
      </c>
      <c r="T9875" t="s">
        <v>49544</v>
      </c>
      <c r="U9875" t="s">
        <v>57821</v>
      </c>
      <c r="W9875" t="s">
        <v>43815</v>
      </c>
      <c r="X9875" t="s">
        <v>47434</v>
      </c>
    </row>
    <row r="9876" spans="1:24">
      <c r="A9876">
        <f>HYPERLINK("https://www.philgeps.gov.ph/GEPSNONPILOT/Tender/SplashBidNoticeAbstractUI.aspx?menuIndex=3&amp;refID=7150977&amp;Result=3","7150977")</f>
        <v>0</v>
      </c>
      <c r="B9876" t="s">
        <v>3095</v>
      </c>
      <c r="C9876" t="s">
        <v>13180</v>
      </c>
      <c r="D9876" t="s">
        <v>19037</v>
      </c>
      <c r="E9876" t="s">
        <v>19838</v>
      </c>
      <c r="F9876" t="s">
        <v>32831</v>
      </c>
      <c r="G9876" t="s">
        <v>32839</v>
      </c>
      <c r="H9876" t="s">
        <v>32848</v>
      </c>
      <c r="I9876" t="s">
        <v>32913</v>
      </c>
      <c r="J9876" t="s">
        <v>33162</v>
      </c>
      <c r="K9876" t="s">
        <v>42732</v>
      </c>
      <c r="M9876" t="s">
        <v>46377</v>
      </c>
      <c r="N9876" t="s">
        <v>47424</v>
      </c>
      <c r="O9876" t="s">
        <v>47425</v>
      </c>
      <c r="P9876">
        <v>0</v>
      </c>
      <c r="Q9876">
        <v>2</v>
      </c>
      <c r="R9876" t="s">
        <v>47433</v>
      </c>
      <c r="S9876" t="s">
        <v>47633</v>
      </c>
      <c r="T9876" t="s">
        <v>49255</v>
      </c>
      <c r="U9876" t="s">
        <v>57822</v>
      </c>
      <c r="W9876" t="s">
        <v>46377</v>
      </c>
      <c r="X9876" t="s">
        <v>47434</v>
      </c>
    </row>
    <row r="9877" spans="1:24">
      <c r="A9877">
        <f>HYPERLINK("https://www.philgeps.gov.ph/GEPSNONPILOT/Tender/SplashBidNoticeAbstractUI.aspx?menuIndex=3&amp;refID=7150975&amp;Result=3","7150975")</f>
        <v>0</v>
      </c>
      <c r="B9877" t="s">
        <v>2896</v>
      </c>
      <c r="C9877" t="s">
        <v>13181</v>
      </c>
      <c r="D9877" t="s">
        <v>19062</v>
      </c>
      <c r="E9877" t="s">
        <v>27628</v>
      </c>
      <c r="F9877" t="s">
        <v>32831</v>
      </c>
      <c r="G9877" t="s">
        <v>32838</v>
      </c>
      <c r="H9877" t="s">
        <v>32848</v>
      </c>
      <c r="I9877" t="s">
        <v>32864</v>
      </c>
      <c r="J9877" t="s">
        <v>34188</v>
      </c>
      <c r="K9877" t="s">
        <v>42729</v>
      </c>
      <c r="M9877" t="s">
        <v>46139</v>
      </c>
      <c r="N9877" t="s">
        <v>47424</v>
      </c>
      <c r="O9877" t="s">
        <v>47425</v>
      </c>
      <c r="P9877">
        <v>0</v>
      </c>
      <c r="Q9877">
        <v>2</v>
      </c>
      <c r="R9877" t="s">
        <v>47433</v>
      </c>
      <c r="S9877" t="s">
        <v>47633</v>
      </c>
      <c r="T9877" t="s">
        <v>49163</v>
      </c>
      <c r="U9877" t="s">
        <v>57823</v>
      </c>
      <c r="V9877" t="s">
        <v>63714</v>
      </c>
      <c r="W9877" t="s">
        <v>46139</v>
      </c>
      <c r="X9877" t="s">
        <v>47434</v>
      </c>
    </row>
    <row r="9878" spans="1:24">
      <c r="A9878">
        <f>HYPERLINK("https://www.philgeps.gov.ph/GEPSNONPILOT/Tender/SplashBidNoticeAbstractUI.aspx?menuIndex=3&amp;refID=7150978&amp;Result=3","7150978")</f>
        <v>0</v>
      </c>
      <c r="B9878" t="s">
        <v>2277</v>
      </c>
      <c r="C9878" t="s">
        <v>13182</v>
      </c>
      <c r="D9878" t="s">
        <v>19031</v>
      </c>
      <c r="E9878" t="s">
        <v>27629</v>
      </c>
      <c r="F9878" t="s">
        <v>32831</v>
      </c>
      <c r="G9878" t="s">
        <v>32838</v>
      </c>
      <c r="H9878" t="s">
        <v>32848</v>
      </c>
      <c r="I9878" t="s">
        <v>4471</v>
      </c>
      <c r="J9878" t="s">
        <v>35655</v>
      </c>
      <c r="K9878" t="s">
        <v>42731</v>
      </c>
      <c r="M9878" t="s">
        <v>45461</v>
      </c>
      <c r="N9878" t="s">
        <v>47424</v>
      </c>
      <c r="O9878" t="s">
        <v>47425</v>
      </c>
      <c r="P9878">
        <v>0</v>
      </c>
      <c r="Q9878">
        <v>4</v>
      </c>
      <c r="R9878" t="s">
        <v>47433</v>
      </c>
      <c r="S9878" t="s">
        <v>47633</v>
      </c>
      <c r="T9878" t="s">
        <v>49214</v>
      </c>
      <c r="U9878" t="s">
        <v>57824</v>
      </c>
      <c r="W9878" t="s">
        <v>45461</v>
      </c>
      <c r="X9878" t="s">
        <v>47434</v>
      </c>
    </row>
    <row r="9879" spans="1:24">
      <c r="A9879">
        <f>HYPERLINK("https://www.philgeps.gov.ph/GEPSNONPILOT/Tender/SplashBidNoticeAbstractUI.aspx?menuIndex=3&amp;refID=7150821&amp;Result=3","7150821")</f>
        <v>0</v>
      </c>
      <c r="B9879" t="s">
        <v>726</v>
      </c>
      <c r="C9879" t="s">
        <v>13183</v>
      </c>
      <c r="E9879" t="s">
        <v>27630</v>
      </c>
      <c r="F9879" t="s">
        <v>32831</v>
      </c>
      <c r="G9879" t="s">
        <v>32839</v>
      </c>
      <c r="H9879" t="s">
        <v>32849</v>
      </c>
      <c r="I9879" t="s">
        <v>4177</v>
      </c>
      <c r="J9879" t="s">
        <v>33118</v>
      </c>
      <c r="K9879" t="s">
        <v>42732</v>
      </c>
      <c r="M9879" t="s">
        <v>46361</v>
      </c>
      <c r="N9879" t="s">
        <v>47424</v>
      </c>
      <c r="O9879" t="s">
        <v>47425</v>
      </c>
      <c r="P9879">
        <v>0</v>
      </c>
      <c r="Q9879">
        <v>2</v>
      </c>
      <c r="R9879" t="s">
        <v>47433</v>
      </c>
      <c r="S9879" t="s">
        <v>47633</v>
      </c>
      <c r="T9879" t="s">
        <v>49322</v>
      </c>
      <c r="U9879" t="s">
        <v>57825</v>
      </c>
      <c r="W9879" t="s">
        <v>46361</v>
      </c>
      <c r="X9879" t="s">
        <v>47434</v>
      </c>
    </row>
    <row r="9880" spans="1:24">
      <c r="A9880">
        <f>HYPERLINK("https://www.philgeps.gov.ph/GEPSNONPILOT/Tender/SplashBidNoticeAbstractUI.aspx?menuIndex=3&amp;refID=7150964&amp;Result=3","7150964")</f>
        <v>0</v>
      </c>
      <c r="B9880" t="s">
        <v>1406</v>
      </c>
      <c r="C9880" t="s">
        <v>13184</v>
      </c>
      <c r="D9880" t="s">
        <v>19034</v>
      </c>
      <c r="E9880" t="s">
        <v>27631</v>
      </c>
      <c r="F9880" t="s">
        <v>32831</v>
      </c>
      <c r="G9880" t="s">
        <v>32839</v>
      </c>
      <c r="H9880" t="s">
        <v>32848</v>
      </c>
      <c r="I9880" t="s">
        <v>32855</v>
      </c>
      <c r="J9880" t="s">
        <v>39072</v>
      </c>
      <c r="K9880" t="s">
        <v>42730</v>
      </c>
      <c r="M9880" t="s">
        <v>44492</v>
      </c>
      <c r="N9880" t="s">
        <v>47424</v>
      </c>
      <c r="O9880" t="s">
        <v>47425</v>
      </c>
      <c r="P9880">
        <v>0</v>
      </c>
      <c r="Q9880">
        <v>2</v>
      </c>
      <c r="R9880" t="s">
        <v>47433</v>
      </c>
      <c r="S9880" t="s">
        <v>47633</v>
      </c>
      <c r="T9880" t="s">
        <v>49204</v>
      </c>
      <c r="U9880" t="s">
        <v>57826</v>
      </c>
      <c r="W9880" t="s">
        <v>44492</v>
      </c>
      <c r="X9880" t="s">
        <v>47434</v>
      </c>
    </row>
    <row r="9881" spans="1:24">
      <c r="A9881">
        <f>HYPERLINK("https://www.philgeps.gov.ph/GEPSNONPILOT/Tender/SplashBidNoticeAbstractUI.aspx?menuIndex=3&amp;refID=7150974&amp;Result=3","7150974")</f>
        <v>0</v>
      </c>
      <c r="B9881" t="s">
        <v>3096</v>
      </c>
      <c r="C9881" t="s">
        <v>13185</v>
      </c>
      <c r="D9881" t="s">
        <v>19023</v>
      </c>
      <c r="E9881" t="s">
        <v>27632</v>
      </c>
      <c r="F9881" t="s">
        <v>32831</v>
      </c>
      <c r="G9881" t="s">
        <v>32839</v>
      </c>
      <c r="H9881" t="s">
        <v>32848</v>
      </c>
      <c r="I9881" t="s">
        <v>4177</v>
      </c>
      <c r="J9881" t="s">
        <v>39073</v>
      </c>
      <c r="K9881" t="s">
        <v>42770</v>
      </c>
      <c r="M9881" t="s">
        <v>46378</v>
      </c>
      <c r="N9881" t="s">
        <v>47424</v>
      </c>
      <c r="O9881" t="s">
        <v>47425</v>
      </c>
      <c r="Q9881">
        <v>4</v>
      </c>
      <c r="R9881" t="s">
        <v>47433</v>
      </c>
      <c r="S9881" t="s">
        <v>47657</v>
      </c>
      <c r="T9881" t="s">
        <v>49084</v>
      </c>
      <c r="U9881" t="s">
        <v>57827</v>
      </c>
      <c r="V9881" t="s">
        <v>63715</v>
      </c>
      <c r="W9881" t="s">
        <v>46378</v>
      </c>
      <c r="X9881" t="s">
        <v>47434</v>
      </c>
    </row>
    <row r="9882" spans="1:24">
      <c r="A9882">
        <f>HYPERLINK("https://www.philgeps.gov.ph/GEPSNONPILOT/Tender/SplashBidNoticeAbstractUI.aspx?menuIndex=3&amp;refID=7150959&amp;Result=3","7150959")</f>
        <v>0</v>
      </c>
      <c r="B9882" t="s">
        <v>1518</v>
      </c>
      <c r="C9882" t="s">
        <v>13186</v>
      </c>
      <c r="D9882" t="s">
        <v>19032</v>
      </c>
      <c r="E9882" t="s">
        <v>27633</v>
      </c>
      <c r="F9882" t="s">
        <v>32831</v>
      </c>
      <c r="G9882" t="s">
        <v>32839</v>
      </c>
      <c r="H9882" t="s">
        <v>32849</v>
      </c>
      <c r="I9882" t="s">
        <v>4177</v>
      </c>
      <c r="J9882" t="s">
        <v>39074</v>
      </c>
      <c r="K9882" t="s">
        <v>42763</v>
      </c>
      <c r="M9882" t="s">
        <v>46379</v>
      </c>
      <c r="N9882" t="s">
        <v>47424</v>
      </c>
      <c r="O9882" t="s">
        <v>47425</v>
      </c>
      <c r="P9882">
        <v>0</v>
      </c>
      <c r="Q9882">
        <v>2</v>
      </c>
      <c r="R9882" t="s">
        <v>47433</v>
      </c>
      <c r="S9882" t="s">
        <v>47633</v>
      </c>
      <c r="T9882" t="s">
        <v>49173</v>
      </c>
      <c r="U9882" t="s">
        <v>57828</v>
      </c>
      <c r="W9882" t="s">
        <v>46379</v>
      </c>
      <c r="X9882" t="s">
        <v>47434</v>
      </c>
    </row>
    <row r="9883" spans="1:24">
      <c r="A9883">
        <f>HYPERLINK("https://www.philgeps.gov.ph/GEPSNONPILOT/Tender/SplashBidNoticeAbstractUI.aspx?menuIndex=3&amp;refID=7150875&amp;Result=3","7150875")</f>
        <v>0</v>
      </c>
      <c r="B9883" t="s">
        <v>2338</v>
      </c>
      <c r="C9883" t="s">
        <v>13187</v>
      </c>
      <c r="D9883" t="s">
        <v>19049</v>
      </c>
      <c r="E9883" t="s">
        <v>27634</v>
      </c>
      <c r="F9883" t="s">
        <v>32831</v>
      </c>
      <c r="G9883" t="s">
        <v>32839</v>
      </c>
      <c r="H9883" t="s">
        <v>32848</v>
      </c>
      <c r="I9883" t="s">
        <v>32911</v>
      </c>
      <c r="J9883" t="s">
        <v>32983</v>
      </c>
      <c r="K9883" t="s">
        <v>42730</v>
      </c>
      <c r="M9883" t="s">
        <v>45525</v>
      </c>
      <c r="N9883" t="s">
        <v>47424</v>
      </c>
      <c r="O9883" t="s">
        <v>47425</v>
      </c>
      <c r="P9883">
        <v>0</v>
      </c>
      <c r="Q9883">
        <v>0</v>
      </c>
      <c r="R9883" t="s">
        <v>47433</v>
      </c>
      <c r="S9883" t="s">
        <v>47633</v>
      </c>
      <c r="T9883" t="s">
        <v>49235</v>
      </c>
      <c r="U9883" t="s">
        <v>55192</v>
      </c>
      <c r="V9883" t="s">
        <v>63352</v>
      </c>
      <c r="W9883" t="s">
        <v>45525</v>
      </c>
      <c r="X9883" t="s">
        <v>47434</v>
      </c>
    </row>
    <row r="9884" spans="1:24">
      <c r="A9884">
        <f>HYPERLINK("https://www.philgeps.gov.ph/GEPSNONPILOT/Tender/SplashBidNoticeAbstractUI.aspx?menuIndex=3&amp;refID=7150967&amp;Result=3","7150967")</f>
        <v>0</v>
      </c>
      <c r="B9884" t="s">
        <v>1382</v>
      </c>
      <c r="C9884" t="s">
        <v>13188</v>
      </c>
      <c r="D9884" t="s">
        <v>19021</v>
      </c>
      <c r="E9884" t="s">
        <v>27635</v>
      </c>
      <c r="F9884" t="s">
        <v>32831</v>
      </c>
      <c r="G9884" t="s">
        <v>32839</v>
      </c>
      <c r="H9884" t="s">
        <v>32849</v>
      </c>
      <c r="I9884" t="s">
        <v>4177</v>
      </c>
      <c r="J9884" t="s">
        <v>33118</v>
      </c>
      <c r="K9884" t="s">
        <v>42747</v>
      </c>
      <c r="M9884" t="s">
        <v>44466</v>
      </c>
      <c r="N9884" t="s">
        <v>47424</v>
      </c>
      <c r="O9884" t="s">
        <v>47425</v>
      </c>
      <c r="Q9884">
        <v>73</v>
      </c>
      <c r="R9884" t="s">
        <v>47433</v>
      </c>
      <c r="S9884" t="s">
        <v>47658</v>
      </c>
      <c r="T9884" t="s">
        <v>49111</v>
      </c>
      <c r="U9884" t="s">
        <v>57829</v>
      </c>
      <c r="V9884" t="s">
        <v>63716</v>
      </c>
      <c r="W9884" t="s">
        <v>44466</v>
      </c>
      <c r="X9884" t="s">
        <v>47434</v>
      </c>
    </row>
    <row r="9885" spans="1:24">
      <c r="A9885">
        <f>HYPERLINK("https://www.philgeps.gov.ph/GEPSNONPILOT/Tender/SplashBidNoticeAbstractUI.aspx?menuIndex=3&amp;refID=7150956&amp;Result=3","7150956")</f>
        <v>0</v>
      </c>
      <c r="B9885" t="s">
        <v>1726</v>
      </c>
      <c r="C9885" t="s">
        <v>13189</v>
      </c>
      <c r="D9885" t="s">
        <v>19042</v>
      </c>
      <c r="E9885" t="s">
        <v>19486</v>
      </c>
      <c r="F9885" t="s">
        <v>32831</v>
      </c>
      <c r="G9885" t="s">
        <v>32839</v>
      </c>
      <c r="H9885" t="s">
        <v>32848</v>
      </c>
      <c r="I9885" t="s">
        <v>7416</v>
      </c>
      <c r="J9885" t="s">
        <v>39075</v>
      </c>
      <c r="K9885" t="s">
        <v>42726</v>
      </c>
      <c r="M9885" t="s">
        <v>44849</v>
      </c>
      <c r="N9885" t="s">
        <v>47424</v>
      </c>
      <c r="O9885" t="s">
        <v>47425</v>
      </c>
      <c r="P9885">
        <v>0</v>
      </c>
      <c r="Q9885">
        <v>0</v>
      </c>
      <c r="R9885" t="s">
        <v>47433</v>
      </c>
      <c r="S9885" t="s">
        <v>47633</v>
      </c>
      <c r="T9885" t="s">
        <v>49192</v>
      </c>
      <c r="U9885" t="s">
        <v>57830</v>
      </c>
      <c r="V9885" t="s">
        <v>63717</v>
      </c>
      <c r="W9885" t="s">
        <v>44849</v>
      </c>
      <c r="X9885" t="s">
        <v>47434</v>
      </c>
    </row>
    <row r="9886" spans="1:24">
      <c r="A9886">
        <f>HYPERLINK("https://www.philgeps.gov.ph/GEPSNONPILOT/Tender/SplashBidNoticeAbstractUI.aspx?menuIndex=3&amp;refID=7150952&amp;Result=3","7150952")</f>
        <v>0</v>
      </c>
      <c r="B9886" t="s">
        <v>3097</v>
      </c>
      <c r="C9886" t="s">
        <v>13190</v>
      </c>
      <c r="D9886" t="s">
        <v>19060</v>
      </c>
      <c r="E9886" t="s">
        <v>27636</v>
      </c>
      <c r="F9886" t="s">
        <v>32831</v>
      </c>
      <c r="G9886" t="s">
        <v>32839</v>
      </c>
      <c r="H9886" t="s">
        <v>32848</v>
      </c>
      <c r="I9886" t="s">
        <v>32860</v>
      </c>
      <c r="J9886" t="s">
        <v>33098</v>
      </c>
      <c r="K9886" t="s">
        <v>42730</v>
      </c>
      <c r="M9886" t="s">
        <v>46380</v>
      </c>
      <c r="N9886" t="s">
        <v>47424</v>
      </c>
      <c r="O9886" t="s">
        <v>47425</v>
      </c>
      <c r="P9886">
        <v>0</v>
      </c>
      <c r="Q9886">
        <v>4</v>
      </c>
      <c r="R9886" t="s">
        <v>47433</v>
      </c>
      <c r="S9886" t="s">
        <v>47633</v>
      </c>
      <c r="T9886" t="s">
        <v>49112</v>
      </c>
      <c r="U9886" t="s">
        <v>57831</v>
      </c>
      <c r="W9886" t="s">
        <v>46380</v>
      </c>
      <c r="X9886" t="s">
        <v>47434</v>
      </c>
    </row>
    <row r="9887" spans="1:24">
      <c r="A9887">
        <f>HYPERLINK("https://www.philgeps.gov.ph/GEPSNONPILOT/Tender/SplashBidNoticeAbstractUI.aspx?menuIndex=3&amp;refID=7150951&amp;Result=3","7150951")</f>
        <v>0</v>
      </c>
      <c r="B9887" t="s">
        <v>2429</v>
      </c>
      <c r="C9887" t="s">
        <v>13191</v>
      </c>
      <c r="D9887" t="s">
        <v>19064</v>
      </c>
      <c r="E9887" t="s">
        <v>23191</v>
      </c>
      <c r="F9887" t="s">
        <v>32831</v>
      </c>
      <c r="G9887" t="s">
        <v>32839</v>
      </c>
      <c r="H9887" t="s">
        <v>32848</v>
      </c>
      <c r="I9887" t="s">
        <v>4340</v>
      </c>
      <c r="J9887" t="s">
        <v>39076</v>
      </c>
      <c r="K9887" t="s">
        <v>42731</v>
      </c>
      <c r="M9887" t="s">
        <v>45626</v>
      </c>
      <c r="N9887" t="s">
        <v>47424</v>
      </c>
      <c r="O9887" t="s">
        <v>47425</v>
      </c>
      <c r="P9887">
        <v>0</v>
      </c>
      <c r="Q9887">
        <v>0</v>
      </c>
      <c r="R9887" t="s">
        <v>47433</v>
      </c>
      <c r="S9887" t="s">
        <v>47633</v>
      </c>
      <c r="T9887" t="s">
        <v>49055</v>
      </c>
      <c r="U9887" t="s">
        <v>56790</v>
      </c>
      <c r="W9887" t="s">
        <v>45626</v>
      </c>
      <c r="X9887" t="s">
        <v>47434</v>
      </c>
    </row>
    <row r="9888" spans="1:24">
      <c r="A9888">
        <f>HYPERLINK("https://www.philgeps.gov.ph/GEPSNONPILOT/Tender/SplashBidNoticeAbstractUI.aspx?menuIndex=3&amp;refID=7150939&amp;Result=3","7150939")</f>
        <v>0</v>
      </c>
      <c r="B9888" t="s">
        <v>1770</v>
      </c>
      <c r="C9888" t="s">
        <v>4226</v>
      </c>
      <c r="D9888" t="s">
        <v>19058</v>
      </c>
      <c r="E9888" t="s">
        <v>27637</v>
      </c>
      <c r="F9888" t="s">
        <v>32831</v>
      </c>
      <c r="G9888" t="s">
        <v>32840</v>
      </c>
      <c r="H9888" t="s">
        <v>32848</v>
      </c>
      <c r="I9888" t="s">
        <v>9577</v>
      </c>
      <c r="J9888" t="s">
        <v>33935</v>
      </c>
      <c r="K9888" t="s">
        <v>42726</v>
      </c>
      <c r="M9888" t="s">
        <v>44895</v>
      </c>
      <c r="N9888" t="s">
        <v>47424</v>
      </c>
      <c r="O9888" t="s">
        <v>47425</v>
      </c>
      <c r="P9888">
        <v>0</v>
      </c>
      <c r="Q9888">
        <v>0</v>
      </c>
      <c r="R9888" t="s">
        <v>47433</v>
      </c>
      <c r="S9888" t="s">
        <v>47633</v>
      </c>
      <c r="T9888" t="s">
        <v>49237</v>
      </c>
      <c r="U9888" t="s">
        <v>57832</v>
      </c>
      <c r="W9888" t="s">
        <v>44895</v>
      </c>
      <c r="X9888" t="s">
        <v>47434</v>
      </c>
    </row>
    <row r="9889" spans="1:24">
      <c r="A9889">
        <f>HYPERLINK("https://www.philgeps.gov.ph/GEPSNONPILOT/Tender/SplashBidNoticeAbstractUI.aspx?menuIndex=3&amp;refID=7150986&amp;Result=3","7150986")</f>
        <v>0</v>
      </c>
      <c r="B9889" t="s">
        <v>1987</v>
      </c>
      <c r="C9889" t="s">
        <v>13192</v>
      </c>
      <c r="D9889" t="s">
        <v>19027</v>
      </c>
      <c r="E9889" t="s">
        <v>27638</v>
      </c>
      <c r="F9889" t="s">
        <v>32831</v>
      </c>
      <c r="G9889" t="s">
        <v>32839</v>
      </c>
      <c r="H9889" t="s">
        <v>32848</v>
      </c>
      <c r="I9889" t="s">
        <v>7416</v>
      </c>
      <c r="J9889" t="s">
        <v>39077</v>
      </c>
      <c r="K9889" t="s">
        <v>42727</v>
      </c>
      <c r="M9889" t="s">
        <v>45150</v>
      </c>
      <c r="N9889" t="s">
        <v>47424</v>
      </c>
      <c r="O9889" t="s">
        <v>47425</v>
      </c>
      <c r="P9889">
        <v>0</v>
      </c>
      <c r="Q9889">
        <v>6</v>
      </c>
      <c r="R9889" t="s">
        <v>47433</v>
      </c>
      <c r="S9889" t="s">
        <v>47633</v>
      </c>
      <c r="T9889" t="s">
        <v>49377</v>
      </c>
      <c r="U9889" t="s">
        <v>57833</v>
      </c>
      <c r="W9889" t="s">
        <v>45150</v>
      </c>
      <c r="X9889" t="s">
        <v>47434</v>
      </c>
    </row>
    <row r="9890" spans="1:24">
      <c r="A9890">
        <f>HYPERLINK("https://www.philgeps.gov.ph/GEPSNONPILOT/Tender/SplashBidNoticeAbstractUI.aspx?menuIndex=3&amp;refID=7150962&amp;Result=3","7150962")</f>
        <v>0</v>
      </c>
      <c r="B9890" t="s">
        <v>2338</v>
      </c>
      <c r="C9890" t="s">
        <v>13193</v>
      </c>
      <c r="D9890" t="s">
        <v>19049</v>
      </c>
      <c r="E9890" t="s">
        <v>27639</v>
      </c>
      <c r="F9890" t="s">
        <v>32831</v>
      </c>
      <c r="G9890" t="s">
        <v>32839</v>
      </c>
      <c r="H9890" t="s">
        <v>32849</v>
      </c>
      <c r="I9890" t="s">
        <v>4177</v>
      </c>
      <c r="J9890" t="s">
        <v>39078</v>
      </c>
      <c r="K9890" t="s">
        <v>42730</v>
      </c>
      <c r="M9890" t="s">
        <v>45525</v>
      </c>
      <c r="N9890" t="s">
        <v>47424</v>
      </c>
      <c r="O9890" t="s">
        <v>47425</v>
      </c>
      <c r="P9890">
        <v>0</v>
      </c>
      <c r="Q9890">
        <v>1</v>
      </c>
      <c r="R9890" t="s">
        <v>47433</v>
      </c>
      <c r="S9890" t="s">
        <v>47633</v>
      </c>
      <c r="T9890" t="s">
        <v>49302</v>
      </c>
      <c r="U9890" t="s">
        <v>55192</v>
      </c>
      <c r="V9890" t="s">
        <v>63352</v>
      </c>
      <c r="W9890" t="s">
        <v>45525</v>
      </c>
      <c r="X9890" t="s">
        <v>47434</v>
      </c>
    </row>
    <row r="9891" spans="1:24">
      <c r="A9891">
        <f>HYPERLINK("https://www.philgeps.gov.ph/GEPSNONPILOT/Tender/SplashBidNoticeAbstractUI.aspx?menuIndex=3&amp;refID=7151030&amp;Result=3","7151030")</f>
        <v>0</v>
      </c>
      <c r="B9891" t="s">
        <v>1987</v>
      </c>
      <c r="C9891" t="s">
        <v>13194</v>
      </c>
      <c r="D9891" t="s">
        <v>19027</v>
      </c>
      <c r="E9891" t="s">
        <v>27640</v>
      </c>
      <c r="F9891" t="s">
        <v>32831</v>
      </c>
      <c r="G9891" t="s">
        <v>32839</v>
      </c>
      <c r="H9891" t="s">
        <v>32848</v>
      </c>
      <c r="I9891" t="s">
        <v>32870</v>
      </c>
      <c r="J9891" t="s">
        <v>39079</v>
      </c>
      <c r="K9891" t="s">
        <v>42727</v>
      </c>
      <c r="M9891" t="s">
        <v>45150</v>
      </c>
      <c r="N9891" t="s">
        <v>47424</v>
      </c>
      <c r="O9891" t="s">
        <v>47425</v>
      </c>
      <c r="P9891">
        <v>0</v>
      </c>
      <c r="Q9891">
        <v>0</v>
      </c>
      <c r="R9891" t="s">
        <v>47433</v>
      </c>
      <c r="S9891" t="s">
        <v>47633</v>
      </c>
      <c r="T9891" t="s">
        <v>49377</v>
      </c>
      <c r="U9891" t="s">
        <v>57834</v>
      </c>
      <c r="W9891" t="s">
        <v>45150</v>
      </c>
      <c r="X9891" t="s">
        <v>47434</v>
      </c>
    </row>
    <row r="9892" spans="1:24">
      <c r="A9892">
        <f>HYPERLINK("https://www.philgeps.gov.ph/GEPSNONPILOT/Tender/SplashBidNoticeAbstractUI.aspx?menuIndex=3&amp;refID=7150948&amp;Result=3","7150948")</f>
        <v>0</v>
      </c>
      <c r="B9892" t="s">
        <v>2151</v>
      </c>
      <c r="C9892" t="s">
        <v>13195</v>
      </c>
      <c r="D9892" t="s">
        <v>19054</v>
      </c>
      <c r="E9892" t="s">
        <v>27641</v>
      </c>
      <c r="F9892" t="s">
        <v>32831</v>
      </c>
      <c r="G9892" t="s">
        <v>32839</v>
      </c>
      <c r="H9892" t="s">
        <v>32848</v>
      </c>
      <c r="I9892" t="s">
        <v>4303</v>
      </c>
      <c r="J9892" t="s">
        <v>39080</v>
      </c>
      <c r="K9892" t="s">
        <v>42730</v>
      </c>
      <c r="M9892" t="s">
        <v>45332</v>
      </c>
      <c r="N9892" t="s">
        <v>47424</v>
      </c>
      <c r="O9892" t="s">
        <v>47425</v>
      </c>
      <c r="P9892">
        <v>0</v>
      </c>
      <c r="Q9892">
        <v>0</v>
      </c>
      <c r="R9892" t="s">
        <v>47433</v>
      </c>
      <c r="S9892" t="s">
        <v>47633</v>
      </c>
      <c r="T9892" t="s">
        <v>49239</v>
      </c>
      <c r="U9892" t="s">
        <v>57835</v>
      </c>
      <c r="W9892" t="s">
        <v>45332</v>
      </c>
      <c r="X9892" t="s">
        <v>47434</v>
      </c>
    </row>
    <row r="9893" spans="1:24">
      <c r="A9893">
        <f>HYPERLINK("https://www.philgeps.gov.ph/GEPSNONPILOT/Tender/SplashBidNoticeAbstractUI.aspx?menuIndex=3&amp;refID=7150937&amp;Result=3","7150937")</f>
        <v>0</v>
      </c>
      <c r="B9893" t="s">
        <v>719</v>
      </c>
      <c r="C9893" t="s">
        <v>13196</v>
      </c>
      <c r="D9893" t="s">
        <v>19017</v>
      </c>
      <c r="E9893" t="s">
        <v>27642</v>
      </c>
      <c r="F9893" t="s">
        <v>32831</v>
      </c>
      <c r="G9893" t="s">
        <v>32839</v>
      </c>
      <c r="H9893" t="s">
        <v>32848</v>
      </c>
      <c r="I9893" t="s">
        <v>32857</v>
      </c>
      <c r="J9893" t="s">
        <v>39081</v>
      </c>
      <c r="K9893" t="s">
        <v>42732</v>
      </c>
      <c r="M9893" t="s">
        <v>45200</v>
      </c>
      <c r="N9893" t="s">
        <v>47424</v>
      </c>
      <c r="O9893" t="s">
        <v>47425</v>
      </c>
      <c r="P9893">
        <v>0</v>
      </c>
      <c r="Q9893">
        <v>14</v>
      </c>
      <c r="R9893" t="s">
        <v>47433</v>
      </c>
      <c r="S9893" t="s">
        <v>47633</v>
      </c>
      <c r="T9893" t="s">
        <v>49112</v>
      </c>
      <c r="U9893" t="s">
        <v>57836</v>
      </c>
      <c r="W9893" t="s">
        <v>45200</v>
      </c>
      <c r="X9893" t="s">
        <v>47434</v>
      </c>
    </row>
    <row r="9894" spans="1:24">
      <c r="A9894">
        <f>HYPERLINK("https://www.philgeps.gov.ph/GEPSNONPILOT/Tender/SplashBidNoticeAbstractUI.aspx?menuIndex=3&amp;refID=7151026&amp;Result=3","7151026")</f>
        <v>0</v>
      </c>
      <c r="B9894" t="s">
        <v>1753</v>
      </c>
      <c r="C9894" t="s">
        <v>13197</v>
      </c>
      <c r="D9894" t="s">
        <v>19104</v>
      </c>
      <c r="E9894" t="s">
        <v>27643</v>
      </c>
      <c r="F9894" t="s">
        <v>32831</v>
      </c>
      <c r="G9894" t="s">
        <v>32839</v>
      </c>
      <c r="H9894" t="s">
        <v>32848</v>
      </c>
      <c r="I9894" t="s">
        <v>32857</v>
      </c>
      <c r="J9894" t="s">
        <v>39082</v>
      </c>
      <c r="K9894" t="s">
        <v>42727</v>
      </c>
      <c r="M9894" t="s">
        <v>44877</v>
      </c>
      <c r="N9894" t="s">
        <v>47424</v>
      </c>
      <c r="O9894" t="s">
        <v>47425</v>
      </c>
      <c r="P9894">
        <v>0</v>
      </c>
      <c r="Q9894">
        <v>8</v>
      </c>
      <c r="R9894" t="s">
        <v>47433</v>
      </c>
      <c r="S9894" t="s">
        <v>47633</v>
      </c>
      <c r="T9894" t="s">
        <v>49221</v>
      </c>
      <c r="U9894" t="s">
        <v>57837</v>
      </c>
      <c r="W9894" t="s">
        <v>44877</v>
      </c>
      <c r="X9894" t="s">
        <v>47434</v>
      </c>
    </row>
    <row r="9895" spans="1:24">
      <c r="A9895">
        <f>HYPERLINK("https://www.philgeps.gov.ph/GEPSNONPILOT/Tender/SplashBidNoticeAbstractUI.aspx?menuIndex=3&amp;refID=7151025&amp;Result=3","7151025")</f>
        <v>0</v>
      </c>
      <c r="B9895" t="s">
        <v>2863</v>
      </c>
      <c r="C9895" t="s">
        <v>13198</v>
      </c>
      <c r="D9895" t="s">
        <v>19018</v>
      </c>
      <c r="E9895" t="s">
        <v>27644</v>
      </c>
      <c r="F9895" t="s">
        <v>32831</v>
      </c>
      <c r="G9895" t="s">
        <v>32839</v>
      </c>
      <c r="H9895" t="s">
        <v>32848</v>
      </c>
      <c r="I9895" t="s">
        <v>4487</v>
      </c>
      <c r="J9895" t="s">
        <v>33812</v>
      </c>
      <c r="K9895" t="s">
        <v>42727</v>
      </c>
      <c r="M9895" t="s">
        <v>46097</v>
      </c>
      <c r="N9895" t="s">
        <v>47424</v>
      </c>
      <c r="O9895" t="s">
        <v>47425</v>
      </c>
      <c r="P9895">
        <v>0</v>
      </c>
      <c r="Q9895">
        <v>3</v>
      </c>
      <c r="R9895" t="s">
        <v>47433</v>
      </c>
      <c r="S9895" t="s">
        <v>47633</v>
      </c>
      <c r="T9895" t="s">
        <v>49111</v>
      </c>
      <c r="U9895" t="s">
        <v>57838</v>
      </c>
      <c r="V9895" t="s">
        <v>63718</v>
      </c>
      <c r="W9895" t="s">
        <v>46097</v>
      </c>
      <c r="X9895" t="s">
        <v>47434</v>
      </c>
    </row>
    <row r="9896" spans="1:24">
      <c r="A9896">
        <f>HYPERLINK("https://www.philgeps.gov.ph/GEPSNONPILOT/Tender/SplashBidNoticeAbstractUI.aspx?menuIndex=3&amp;refID=7151020&amp;Result=3","7151020")</f>
        <v>0</v>
      </c>
      <c r="B9896" t="s">
        <v>2429</v>
      </c>
      <c r="C9896" t="s">
        <v>13199</v>
      </c>
      <c r="D9896" t="s">
        <v>19064</v>
      </c>
      <c r="E9896" t="s">
        <v>27645</v>
      </c>
      <c r="F9896" t="s">
        <v>32831</v>
      </c>
      <c r="G9896" t="s">
        <v>32839</v>
      </c>
      <c r="H9896" t="s">
        <v>32848</v>
      </c>
      <c r="I9896" t="s">
        <v>32863</v>
      </c>
      <c r="J9896" t="s">
        <v>33086</v>
      </c>
      <c r="K9896" t="s">
        <v>42731</v>
      </c>
      <c r="M9896" t="s">
        <v>45626</v>
      </c>
      <c r="N9896" t="s">
        <v>47424</v>
      </c>
      <c r="O9896" t="s">
        <v>47425</v>
      </c>
      <c r="P9896">
        <v>0</v>
      </c>
      <c r="Q9896">
        <v>0</v>
      </c>
      <c r="R9896" t="s">
        <v>47433</v>
      </c>
      <c r="S9896" t="s">
        <v>47633</v>
      </c>
      <c r="T9896" t="s">
        <v>49055</v>
      </c>
      <c r="U9896" t="s">
        <v>57839</v>
      </c>
      <c r="W9896" t="s">
        <v>45626</v>
      </c>
      <c r="X9896" t="s">
        <v>47434</v>
      </c>
    </row>
    <row r="9897" spans="1:24">
      <c r="A9897">
        <f>HYPERLINK("https://www.philgeps.gov.ph/GEPSNONPILOT/Tender/SplashBidNoticeAbstractUI.aspx?menuIndex=3&amp;refID=7150970&amp;Result=3","7150970")</f>
        <v>0</v>
      </c>
      <c r="B9897" t="s">
        <v>3081</v>
      </c>
      <c r="C9897" t="s">
        <v>13200</v>
      </c>
      <c r="D9897" t="s">
        <v>19104</v>
      </c>
      <c r="E9897" t="s">
        <v>27646</v>
      </c>
      <c r="F9897" t="s">
        <v>32831</v>
      </c>
      <c r="G9897" t="s">
        <v>32839</v>
      </c>
      <c r="H9897" t="s">
        <v>32848</v>
      </c>
      <c r="I9897" t="s">
        <v>7437</v>
      </c>
      <c r="J9897" t="s">
        <v>33041</v>
      </c>
      <c r="K9897" t="s">
        <v>42731</v>
      </c>
      <c r="M9897" t="s">
        <v>46360</v>
      </c>
      <c r="N9897" t="s">
        <v>47424</v>
      </c>
      <c r="O9897" t="s">
        <v>47425</v>
      </c>
      <c r="P9897">
        <v>0</v>
      </c>
      <c r="Q9897">
        <v>1</v>
      </c>
      <c r="R9897" t="s">
        <v>47433</v>
      </c>
      <c r="S9897" t="s">
        <v>47633</v>
      </c>
      <c r="T9897" t="s">
        <v>49163</v>
      </c>
      <c r="U9897" t="s">
        <v>57840</v>
      </c>
      <c r="W9897" t="s">
        <v>46360</v>
      </c>
      <c r="X9897" t="s">
        <v>47434</v>
      </c>
    </row>
    <row r="9898" spans="1:24">
      <c r="A9898">
        <f>HYPERLINK("https://www.philgeps.gov.ph/GEPSNONPILOT/Tender/SplashBidNoticeAbstractUI.aspx?menuIndex=3&amp;refID=7151014&amp;Result=3","7151014")</f>
        <v>0</v>
      </c>
      <c r="B9898" t="s">
        <v>3081</v>
      </c>
      <c r="C9898" t="s">
        <v>13201</v>
      </c>
      <c r="D9898" t="s">
        <v>19104</v>
      </c>
      <c r="E9898" t="s">
        <v>27647</v>
      </c>
      <c r="F9898" t="s">
        <v>32831</v>
      </c>
      <c r="G9898" t="s">
        <v>32839</v>
      </c>
      <c r="H9898" t="s">
        <v>32848</v>
      </c>
      <c r="I9898" t="s">
        <v>32862</v>
      </c>
      <c r="J9898" t="s">
        <v>39083</v>
      </c>
      <c r="K9898" t="s">
        <v>42731</v>
      </c>
      <c r="M9898" t="s">
        <v>46360</v>
      </c>
      <c r="N9898" t="s">
        <v>47424</v>
      </c>
      <c r="O9898" t="s">
        <v>47425</v>
      </c>
      <c r="P9898">
        <v>0</v>
      </c>
      <c r="Q9898">
        <v>0</v>
      </c>
      <c r="R9898" t="s">
        <v>47433</v>
      </c>
      <c r="S9898" t="s">
        <v>47633</v>
      </c>
      <c r="T9898" t="s">
        <v>49163</v>
      </c>
      <c r="U9898" t="s">
        <v>57841</v>
      </c>
      <c r="W9898" t="s">
        <v>46360</v>
      </c>
      <c r="X9898" t="s">
        <v>47434</v>
      </c>
    </row>
    <row r="9899" spans="1:24">
      <c r="A9899">
        <f>HYPERLINK("https://www.philgeps.gov.ph/GEPSNONPILOT/Tender/SplashBidNoticeAbstractUI.aspx?menuIndex=3&amp;refID=7151011&amp;Result=3","7151011")</f>
        <v>0</v>
      </c>
      <c r="B9899" t="s">
        <v>674</v>
      </c>
      <c r="C9899" t="s">
        <v>13202</v>
      </c>
      <c r="D9899" t="s">
        <v>19058</v>
      </c>
      <c r="E9899" t="s">
        <v>27648</v>
      </c>
      <c r="F9899" t="s">
        <v>32831</v>
      </c>
      <c r="G9899" t="s">
        <v>32838</v>
      </c>
      <c r="H9899" t="s">
        <v>32848</v>
      </c>
      <c r="I9899" t="s">
        <v>4487</v>
      </c>
      <c r="J9899" t="s">
        <v>39084</v>
      </c>
      <c r="K9899" t="s">
        <v>42732</v>
      </c>
      <c r="M9899" t="s">
        <v>44520</v>
      </c>
      <c r="N9899" t="s">
        <v>47424</v>
      </c>
      <c r="O9899" t="s">
        <v>47425</v>
      </c>
      <c r="P9899">
        <v>0</v>
      </c>
      <c r="Q9899">
        <v>2</v>
      </c>
      <c r="R9899" t="s">
        <v>47433</v>
      </c>
      <c r="S9899" t="s">
        <v>47633</v>
      </c>
      <c r="T9899" t="s">
        <v>49237</v>
      </c>
      <c r="U9899" t="s">
        <v>57842</v>
      </c>
      <c r="W9899" t="s">
        <v>44520</v>
      </c>
      <c r="X9899" t="s">
        <v>47434</v>
      </c>
    </row>
    <row r="9900" spans="1:24">
      <c r="A9900">
        <f>HYPERLINK("https://www.philgeps.gov.ph/GEPSNONPILOT/Tender/SplashBidNoticeAbstractUI.aspx?menuIndex=3&amp;refID=7151010&amp;Result=3","7151010")</f>
        <v>0</v>
      </c>
      <c r="B9900" t="s">
        <v>633</v>
      </c>
      <c r="C9900" t="s">
        <v>13203</v>
      </c>
      <c r="D9900" t="s">
        <v>19062</v>
      </c>
      <c r="E9900" t="s">
        <v>27649</v>
      </c>
      <c r="F9900" t="s">
        <v>32831</v>
      </c>
      <c r="G9900" t="s">
        <v>32839</v>
      </c>
      <c r="H9900" t="s">
        <v>32848</v>
      </c>
      <c r="I9900" t="s">
        <v>7751</v>
      </c>
      <c r="J9900" t="s">
        <v>39085</v>
      </c>
      <c r="K9900" t="s">
        <v>42730</v>
      </c>
      <c r="M9900" t="s">
        <v>43650</v>
      </c>
      <c r="N9900" t="s">
        <v>47424</v>
      </c>
      <c r="O9900" t="s">
        <v>47425</v>
      </c>
      <c r="P9900">
        <v>0</v>
      </c>
      <c r="Q9900">
        <v>3</v>
      </c>
      <c r="R9900" t="s">
        <v>47433</v>
      </c>
      <c r="S9900" t="s">
        <v>47633</v>
      </c>
      <c r="T9900" t="s">
        <v>49267</v>
      </c>
      <c r="U9900" t="s">
        <v>57843</v>
      </c>
      <c r="W9900" t="s">
        <v>43650</v>
      </c>
      <c r="X9900" t="s">
        <v>47434</v>
      </c>
    </row>
    <row r="9901" spans="1:24">
      <c r="A9901">
        <f>HYPERLINK("https://www.philgeps.gov.ph/GEPSNONPILOT/Tender/SplashBidNoticeAbstractUI.aspx?menuIndex=3&amp;refID=7151009&amp;Result=3","7151009")</f>
        <v>0</v>
      </c>
      <c r="B9901" t="s">
        <v>168</v>
      </c>
      <c r="C9901" t="s">
        <v>13204</v>
      </c>
      <c r="D9901" t="s">
        <v>19071</v>
      </c>
      <c r="E9901" t="s">
        <v>27650</v>
      </c>
      <c r="F9901" t="s">
        <v>32831</v>
      </c>
      <c r="G9901" t="s">
        <v>32839</v>
      </c>
      <c r="H9901" t="s">
        <v>32848</v>
      </c>
      <c r="I9901" t="s">
        <v>7416</v>
      </c>
      <c r="J9901" t="s">
        <v>33291</v>
      </c>
      <c r="K9901" t="s">
        <v>42727</v>
      </c>
      <c r="M9901" t="s">
        <v>43165</v>
      </c>
      <c r="N9901" t="s">
        <v>47424</v>
      </c>
      <c r="O9901" t="s">
        <v>47425</v>
      </c>
      <c r="P9901">
        <v>0</v>
      </c>
      <c r="Q9901">
        <v>0</v>
      </c>
      <c r="R9901" t="s">
        <v>47433</v>
      </c>
      <c r="S9901" t="s">
        <v>47633</v>
      </c>
      <c r="T9901" t="s">
        <v>49163</v>
      </c>
      <c r="U9901" t="s">
        <v>57844</v>
      </c>
      <c r="V9901" t="s">
        <v>62654</v>
      </c>
      <c r="W9901" t="s">
        <v>43165</v>
      </c>
      <c r="X9901" t="s">
        <v>47434</v>
      </c>
    </row>
    <row r="9902" spans="1:24">
      <c r="A9902">
        <f>HYPERLINK("https://www.philgeps.gov.ph/GEPSNONPILOT/Tender/SplashBidNoticeAbstractUI.aspx?menuIndex=3&amp;refID=7151002&amp;Result=3","7151002")</f>
        <v>0</v>
      </c>
      <c r="B9902" t="s">
        <v>674</v>
      </c>
      <c r="C9902" t="s">
        <v>13205</v>
      </c>
      <c r="D9902" t="s">
        <v>19058</v>
      </c>
      <c r="E9902" t="s">
        <v>27651</v>
      </c>
      <c r="F9902" t="s">
        <v>32831</v>
      </c>
      <c r="G9902" t="s">
        <v>32838</v>
      </c>
      <c r="H9902" t="s">
        <v>32848</v>
      </c>
      <c r="I9902" t="s">
        <v>32870</v>
      </c>
      <c r="J9902" t="s">
        <v>39086</v>
      </c>
      <c r="K9902" t="s">
        <v>42732</v>
      </c>
      <c r="M9902" t="s">
        <v>44520</v>
      </c>
      <c r="N9902" t="s">
        <v>47424</v>
      </c>
      <c r="O9902" t="s">
        <v>47425</v>
      </c>
      <c r="P9902">
        <v>0</v>
      </c>
      <c r="Q9902">
        <v>0</v>
      </c>
      <c r="R9902" t="s">
        <v>47433</v>
      </c>
      <c r="S9902" t="s">
        <v>47633</v>
      </c>
      <c r="T9902" t="s">
        <v>49237</v>
      </c>
      <c r="U9902" t="s">
        <v>57845</v>
      </c>
      <c r="W9902" t="s">
        <v>44520</v>
      </c>
      <c r="X9902" t="s">
        <v>47434</v>
      </c>
    </row>
    <row r="9903" spans="1:24">
      <c r="A9903">
        <f>HYPERLINK("https://www.philgeps.gov.ph/GEPSNONPILOT/Tender/SplashBidNoticeAbstractUI.aspx?menuIndex=3&amp;refID=7151003&amp;Result=3","7151003")</f>
        <v>0</v>
      </c>
      <c r="B9903" t="s">
        <v>2429</v>
      </c>
      <c r="C9903" t="s">
        <v>13206</v>
      </c>
      <c r="D9903" t="s">
        <v>19064</v>
      </c>
      <c r="E9903" t="s">
        <v>27652</v>
      </c>
      <c r="F9903" t="s">
        <v>32831</v>
      </c>
      <c r="G9903" t="s">
        <v>32839</v>
      </c>
      <c r="H9903" t="s">
        <v>32848</v>
      </c>
      <c r="I9903" t="s">
        <v>32878</v>
      </c>
      <c r="J9903" t="s">
        <v>39087</v>
      </c>
      <c r="K9903" t="s">
        <v>42731</v>
      </c>
      <c r="M9903" t="s">
        <v>45626</v>
      </c>
      <c r="N9903" t="s">
        <v>47424</v>
      </c>
      <c r="O9903" t="s">
        <v>47425</v>
      </c>
      <c r="P9903">
        <v>0</v>
      </c>
      <c r="Q9903">
        <v>1</v>
      </c>
      <c r="R9903" t="s">
        <v>47433</v>
      </c>
      <c r="S9903" t="s">
        <v>47633</v>
      </c>
      <c r="T9903" t="s">
        <v>49055</v>
      </c>
      <c r="U9903" t="s">
        <v>57846</v>
      </c>
      <c r="W9903" t="s">
        <v>45626</v>
      </c>
      <c r="X9903" t="s">
        <v>47434</v>
      </c>
    </row>
    <row r="9904" spans="1:24">
      <c r="A9904">
        <f>HYPERLINK("https://www.philgeps.gov.ph/GEPSNONPILOT/Tender/SplashBidNoticeAbstractUI.aspx?menuIndex=3&amp;refID=7151029&amp;Result=3","7151029")</f>
        <v>0</v>
      </c>
      <c r="B9904" t="s">
        <v>721</v>
      </c>
      <c r="C9904" t="s">
        <v>13207</v>
      </c>
      <c r="D9904" t="s">
        <v>19018</v>
      </c>
      <c r="E9904" t="s">
        <v>13207</v>
      </c>
      <c r="F9904" t="s">
        <v>32831</v>
      </c>
      <c r="G9904" t="s">
        <v>32838</v>
      </c>
      <c r="H9904" t="s">
        <v>32848</v>
      </c>
      <c r="I9904" t="s">
        <v>32857</v>
      </c>
      <c r="J9904" t="s">
        <v>39088</v>
      </c>
      <c r="K9904" t="s">
        <v>42732</v>
      </c>
      <c r="M9904" t="s">
        <v>43742</v>
      </c>
      <c r="N9904" t="s">
        <v>47424</v>
      </c>
      <c r="O9904" t="s">
        <v>47425</v>
      </c>
      <c r="P9904">
        <v>0</v>
      </c>
      <c r="Q9904">
        <v>0</v>
      </c>
      <c r="R9904" t="s">
        <v>47433</v>
      </c>
      <c r="S9904" t="s">
        <v>47633</v>
      </c>
      <c r="T9904" t="s">
        <v>49328</v>
      </c>
      <c r="U9904" t="s">
        <v>56573</v>
      </c>
      <c r="W9904" t="s">
        <v>43742</v>
      </c>
      <c r="X9904" t="s">
        <v>47434</v>
      </c>
    </row>
    <row r="9905" spans="1:24">
      <c r="A9905">
        <f>HYPERLINK("https://www.philgeps.gov.ph/GEPSNONPILOT/Tender/SplashBidNoticeAbstractUI.aspx?menuIndex=3&amp;refID=7151032&amp;Result=3","7151032")</f>
        <v>0</v>
      </c>
      <c r="B9905" t="s">
        <v>2151</v>
      </c>
      <c r="C9905" t="s">
        <v>13208</v>
      </c>
      <c r="D9905" t="s">
        <v>19054</v>
      </c>
      <c r="E9905" t="s">
        <v>27653</v>
      </c>
      <c r="F9905" t="s">
        <v>32831</v>
      </c>
      <c r="G9905" t="s">
        <v>32839</v>
      </c>
      <c r="H9905" t="s">
        <v>32848</v>
      </c>
      <c r="I9905" t="s">
        <v>32870</v>
      </c>
      <c r="J9905" t="s">
        <v>39089</v>
      </c>
      <c r="K9905" t="s">
        <v>42730</v>
      </c>
      <c r="M9905" t="s">
        <v>45332</v>
      </c>
      <c r="N9905" t="s">
        <v>47424</v>
      </c>
      <c r="O9905" t="s">
        <v>47425</v>
      </c>
      <c r="P9905">
        <v>0</v>
      </c>
      <c r="Q9905">
        <v>1</v>
      </c>
      <c r="R9905" t="s">
        <v>47433</v>
      </c>
      <c r="S9905" t="s">
        <v>47633</v>
      </c>
      <c r="T9905" t="s">
        <v>49239</v>
      </c>
      <c r="U9905" t="s">
        <v>57847</v>
      </c>
      <c r="W9905" t="s">
        <v>45332</v>
      </c>
      <c r="X9905" t="s">
        <v>47434</v>
      </c>
    </row>
    <row r="9906" spans="1:24">
      <c r="A9906">
        <f>HYPERLINK("https://www.philgeps.gov.ph/GEPSNONPILOT/Tender/SplashBidNoticeAbstractUI.aspx?menuIndex=3&amp;refID=7151023&amp;Result=3","7151023")</f>
        <v>0</v>
      </c>
      <c r="B9906" t="s">
        <v>2896</v>
      </c>
      <c r="C9906" t="s">
        <v>13209</v>
      </c>
      <c r="D9906" t="s">
        <v>19062</v>
      </c>
      <c r="E9906" t="s">
        <v>26776</v>
      </c>
      <c r="F9906" t="s">
        <v>32831</v>
      </c>
      <c r="G9906" t="s">
        <v>32838</v>
      </c>
      <c r="H9906" t="s">
        <v>32848</v>
      </c>
      <c r="I9906" t="s">
        <v>32855</v>
      </c>
      <c r="J9906" t="s">
        <v>39090</v>
      </c>
      <c r="K9906" t="s">
        <v>42731</v>
      </c>
      <c r="M9906" t="s">
        <v>46139</v>
      </c>
      <c r="N9906" t="s">
        <v>47424</v>
      </c>
      <c r="O9906" t="s">
        <v>47425</v>
      </c>
      <c r="P9906">
        <v>0</v>
      </c>
      <c r="Q9906">
        <v>9</v>
      </c>
      <c r="R9906" t="s">
        <v>47433</v>
      </c>
      <c r="S9906" t="s">
        <v>47633</v>
      </c>
      <c r="T9906" t="s">
        <v>49163</v>
      </c>
      <c r="U9906" t="s">
        <v>57848</v>
      </c>
      <c r="V9906" t="s">
        <v>63714</v>
      </c>
      <c r="W9906" t="s">
        <v>46139</v>
      </c>
      <c r="X9906" t="s">
        <v>47434</v>
      </c>
    </row>
    <row r="9907" spans="1:24">
      <c r="A9907">
        <f>HYPERLINK("https://www.philgeps.gov.ph/GEPSNONPILOT/Tender/SplashBidNoticeAbstractUI.aspx?menuIndex=3&amp;refID=7150985&amp;Result=3","7150985")</f>
        <v>0</v>
      </c>
      <c r="B9907" t="s">
        <v>3097</v>
      </c>
      <c r="C9907" t="s">
        <v>13210</v>
      </c>
      <c r="D9907" t="s">
        <v>19060</v>
      </c>
      <c r="E9907" t="s">
        <v>27654</v>
      </c>
      <c r="F9907" t="s">
        <v>32831</v>
      </c>
      <c r="G9907" t="s">
        <v>32839</v>
      </c>
      <c r="H9907" t="s">
        <v>32848</v>
      </c>
      <c r="I9907" t="s">
        <v>32860</v>
      </c>
      <c r="J9907" t="s">
        <v>39091</v>
      </c>
      <c r="K9907" t="s">
        <v>42730</v>
      </c>
      <c r="M9907" t="s">
        <v>46380</v>
      </c>
      <c r="N9907" t="s">
        <v>47424</v>
      </c>
      <c r="O9907" t="s">
        <v>47425</v>
      </c>
      <c r="P9907">
        <v>0</v>
      </c>
      <c r="Q9907">
        <v>4</v>
      </c>
      <c r="R9907" t="s">
        <v>47433</v>
      </c>
      <c r="S9907" t="s">
        <v>47633</v>
      </c>
      <c r="T9907" t="s">
        <v>49112</v>
      </c>
      <c r="U9907" t="s">
        <v>57831</v>
      </c>
      <c r="W9907" t="s">
        <v>46380</v>
      </c>
      <c r="X9907" t="s">
        <v>47434</v>
      </c>
    </row>
    <row r="9908" spans="1:24">
      <c r="A9908">
        <f>HYPERLINK("https://www.philgeps.gov.ph/GEPSNONPILOT/Tender/SplashBidNoticeAbstractUI.aspx?menuIndex=3&amp;refID=7151087&amp;Result=3","7151087")</f>
        <v>0</v>
      </c>
      <c r="B9908" t="s">
        <v>3098</v>
      </c>
      <c r="C9908" t="s">
        <v>13211</v>
      </c>
      <c r="D9908" t="s">
        <v>19038</v>
      </c>
      <c r="E9908" t="s">
        <v>27655</v>
      </c>
      <c r="F9908" t="s">
        <v>32831</v>
      </c>
      <c r="G9908" t="s">
        <v>32838</v>
      </c>
      <c r="H9908" t="s">
        <v>32848</v>
      </c>
      <c r="I9908" t="s">
        <v>32864</v>
      </c>
      <c r="J9908" t="s">
        <v>39092</v>
      </c>
      <c r="K9908" t="s">
        <v>42745</v>
      </c>
      <c r="M9908" t="s">
        <v>46381</v>
      </c>
      <c r="N9908" t="s">
        <v>47424</v>
      </c>
      <c r="O9908" t="s">
        <v>47425</v>
      </c>
      <c r="P9908">
        <v>0</v>
      </c>
      <c r="Q9908">
        <v>1</v>
      </c>
      <c r="R9908" t="s">
        <v>47433</v>
      </c>
      <c r="S9908" t="s">
        <v>47633</v>
      </c>
      <c r="T9908" t="s">
        <v>49205</v>
      </c>
      <c r="U9908" t="s">
        <v>57849</v>
      </c>
      <c r="W9908" t="s">
        <v>46381</v>
      </c>
      <c r="X9908" t="s">
        <v>47434</v>
      </c>
    </row>
    <row r="9909" spans="1:24">
      <c r="A9909">
        <f>HYPERLINK("https://www.philgeps.gov.ph/GEPSNONPILOT/Tender/SplashBidNoticeAbstractUI.aspx?menuIndex=3&amp;refID=7151012&amp;Result=3","7151012")</f>
        <v>0</v>
      </c>
      <c r="B9909" t="s">
        <v>1770</v>
      </c>
      <c r="C9909" t="s">
        <v>13212</v>
      </c>
      <c r="D9909" t="s">
        <v>19058</v>
      </c>
      <c r="E9909" t="s">
        <v>27656</v>
      </c>
      <c r="F9909" t="s">
        <v>32831</v>
      </c>
      <c r="G9909" t="s">
        <v>32840</v>
      </c>
      <c r="H9909" t="s">
        <v>32848</v>
      </c>
      <c r="I9909" t="s">
        <v>32863</v>
      </c>
      <c r="J9909" t="s">
        <v>33086</v>
      </c>
      <c r="K9909" t="s">
        <v>42726</v>
      </c>
      <c r="M9909" t="s">
        <v>44895</v>
      </c>
      <c r="N9909" t="s">
        <v>47424</v>
      </c>
      <c r="O9909" t="s">
        <v>47425</v>
      </c>
      <c r="P9909">
        <v>0</v>
      </c>
      <c r="Q9909">
        <v>0</v>
      </c>
      <c r="R9909" t="s">
        <v>47433</v>
      </c>
      <c r="S9909" t="s">
        <v>47633</v>
      </c>
      <c r="T9909" t="s">
        <v>49237</v>
      </c>
      <c r="U9909" t="s">
        <v>57850</v>
      </c>
      <c r="W9909" t="s">
        <v>44895</v>
      </c>
      <c r="X9909" t="s">
        <v>47434</v>
      </c>
    </row>
    <row r="9910" spans="1:24">
      <c r="A9910">
        <f>HYPERLINK("https://www.philgeps.gov.ph/GEPSNONPILOT/Tender/SplashBidNoticeAbstractUI.aspx?menuIndex=3&amp;refID=7150999&amp;Result=3","7150999")</f>
        <v>0</v>
      </c>
      <c r="B9910" t="s">
        <v>3099</v>
      </c>
      <c r="C9910" t="s">
        <v>13213</v>
      </c>
      <c r="D9910" t="s">
        <v>19056</v>
      </c>
      <c r="E9910" t="s">
        <v>19664</v>
      </c>
      <c r="F9910" t="s">
        <v>32831</v>
      </c>
      <c r="G9910" t="s">
        <v>32839</v>
      </c>
      <c r="H9910" t="s">
        <v>32848</v>
      </c>
      <c r="I9910" t="s">
        <v>32883</v>
      </c>
      <c r="J9910" t="s">
        <v>36189</v>
      </c>
      <c r="K9910" t="s">
        <v>42732</v>
      </c>
      <c r="M9910" t="s">
        <v>46382</v>
      </c>
      <c r="N9910" t="s">
        <v>47424</v>
      </c>
      <c r="O9910" t="s">
        <v>47425</v>
      </c>
      <c r="P9910">
        <v>0</v>
      </c>
      <c r="Q9910">
        <v>2</v>
      </c>
      <c r="R9910" t="s">
        <v>47433</v>
      </c>
      <c r="S9910" t="s">
        <v>47633</v>
      </c>
      <c r="T9910" t="s">
        <v>49111</v>
      </c>
      <c r="U9910" t="s">
        <v>57851</v>
      </c>
      <c r="W9910" t="s">
        <v>46382</v>
      </c>
      <c r="X9910" t="s">
        <v>47434</v>
      </c>
    </row>
    <row r="9911" spans="1:24">
      <c r="A9911">
        <f>HYPERLINK("https://www.philgeps.gov.ph/GEPSNONPILOT/Tender/SplashBidNoticeAbstractUI.aspx?menuIndex=3&amp;refID=7151072&amp;Result=3","7151072")</f>
        <v>0</v>
      </c>
      <c r="B9911" t="s">
        <v>3081</v>
      </c>
      <c r="C9911" t="s">
        <v>13214</v>
      </c>
      <c r="E9911" t="s">
        <v>27657</v>
      </c>
      <c r="F9911" t="s">
        <v>32831</v>
      </c>
      <c r="G9911" t="s">
        <v>32840</v>
      </c>
      <c r="H9911" t="s">
        <v>32848</v>
      </c>
      <c r="I9911" t="s">
        <v>4438</v>
      </c>
      <c r="J9911" t="s">
        <v>34018</v>
      </c>
      <c r="K9911" t="s">
        <v>42731</v>
      </c>
      <c r="M9911" t="s">
        <v>46360</v>
      </c>
      <c r="N9911" t="s">
        <v>47424</v>
      </c>
      <c r="O9911" t="s">
        <v>47425</v>
      </c>
      <c r="P9911">
        <v>0</v>
      </c>
      <c r="Q9911">
        <v>0</v>
      </c>
      <c r="R9911" t="s">
        <v>47433</v>
      </c>
      <c r="S9911" t="s">
        <v>47633</v>
      </c>
      <c r="T9911" t="s">
        <v>49163</v>
      </c>
      <c r="U9911" t="s">
        <v>57852</v>
      </c>
      <c r="W9911" t="s">
        <v>46360</v>
      </c>
      <c r="X9911" t="s">
        <v>47434</v>
      </c>
    </row>
    <row r="9912" spans="1:24">
      <c r="A9912">
        <f>HYPERLINK("https://www.philgeps.gov.ph/GEPSNONPILOT/Tender/SplashBidNoticeAbstractUI.aspx?menuIndex=3&amp;refID=7151071&amp;Result=3","7151071")</f>
        <v>0</v>
      </c>
      <c r="B9912" t="s">
        <v>3100</v>
      </c>
      <c r="C9912" t="s">
        <v>13215</v>
      </c>
      <c r="D9912" t="s">
        <v>19058</v>
      </c>
      <c r="E9912" t="s">
        <v>27658</v>
      </c>
      <c r="F9912" t="s">
        <v>32831</v>
      </c>
      <c r="G9912" t="s">
        <v>32839</v>
      </c>
      <c r="H9912" t="s">
        <v>32848</v>
      </c>
      <c r="I9912" t="s">
        <v>7751</v>
      </c>
      <c r="J9912" t="s">
        <v>39093</v>
      </c>
      <c r="K9912" t="s">
        <v>42730</v>
      </c>
      <c r="M9912" t="s">
        <v>46383</v>
      </c>
      <c r="N9912" t="s">
        <v>47424</v>
      </c>
      <c r="O9912" t="s">
        <v>47425</v>
      </c>
      <c r="Q9912">
        <v>2</v>
      </c>
      <c r="R9912" t="s">
        <v>47433</v>
      </c>
      <c r="S9912" t="s">
        <v>47659</v>
      </c>
      <c r="T9912" t="s">
        <v>49080</v>
      </c>
      <c r="U9912" t="s">
        <v>57853</v>
      </c>
      <c r="W9912" t="s">
        <v>46383</v>
      </c>
      <c r="X9912" t="s">
        <v>47434</v>
      </c>
    </row>
    <row r="9913" spans="1:24">
      <c r="A9913">
        <f>HYPERLINK("https://www.philgeps.gov.ph/GEPSNONPILOT/Tender/SplashBidNoticeAbstractUI.aspx?menuIndex=3&amp;refID=7151081&amp;Result=3","7151081")</f>
        <v>0</v>
      </c>
      <c r="B9913" t="s">
        <v>1987</v>
      </c>
      <c r="C9913" t="s">
        <v>13216</v>
      </c>
      <c r="D9913" t="s">
        <v>19027</v>
      </c>
      <c r="E9913" t="s">
        <v>27659</v>
      </c>
      <c r="F9913" t="s">
        <v>32831</v>
      </c>
      <c r="G9913" t="s">
        <v>32839</v>
      </c>
      <c r="H9913" t="s">
        <v>32848</v>
      </c>
      <c r="I9913" t="s">
        <v>7416</v>
      </c>
      <c r="J9913" t="s">
        <v>39094</v>
      </c>
      <c r="K9913" t="s">
        <v>42727</v>
      </c>
      <c r="M9913" t="s">
        <v>45150</v>
      </c>
      <c r="N9913" t="s">
        <v>47424</v>
      </c>
      <c r="O9913" t="s">
        <v>47425</v>
      </c>
      <c r="P9913">
        <v>0</v>
      </c>
      <c r="Q9913">
        <v>6</v>
      </c>
      <c r="R9913" t="s">
        <v>47433</v>
      </c>
      <c r="S9913" t="s">
        <v>47633</v>
      </c>
      <c r="T9913" t="s">
        <v>49377</v>
      </c>
      <c r="U9913" t="s">
        <v>57834</v>
      </c>
      <c r="W9913" t="s">
        <v>45150</v>
      </c>
      <c r="X9913" t="s">
        <v>47434</v>
      </c>
    </row>
    <row r="9914" spans="1:24">
      <c r="A9914">
        <f>HYPERLINK("https://www.philgeps.gov.ph/GEPSNONPILOT/Tender/SplashBidNoticeAbstractUI.aspx?menuIndex=3&amp;refID=7151068&amp;Result=3","7151068")</f>
        <v>0</v>
      </c>
      <c r="B9914" t="s">
        <v>3101</v>
      </c>
      <c r="C9914" t="s">
        <v>13217</v>
      </c>
      <c r="D9914" t="s">
        <v>19057</v>
      </c>
      <c r="E9914" t="s">
        <v>27660</v>
      </c>
      <c r="F9914" t="s">
        <v>32831</v>
      </c>
      <c r="G9914" t="s">
        <v>32839</v>
      </c>
      <c r="H9914" t="s">
        <v>32849</v>
      </c>
      <c r="I9914" t="s">
        <v>4177</v>
      </c>
      <c r="J9914" t="s">
        <v>32978</v>
      </c>
      <c r="K9914" t="s">
        <v>42745</v>
      </c>
      <c r="M9914" t="s">
        <v>46384</v>
      </c>
      <c r="N9914" t="s">
        <v>47424</v>
      </c>
      <c r="O9914" t="s">
        <v>47425</v>
      </c>
      <c r="P9914">
        <v>0</v>
      </c>
      <c r="Q9914">
        <v>0</v>
      </c>
      <c r="R9914" t="s">
        <v>47433</v>
      </c>
      <c r="S9914" t="s">
        <v>47633</v>
      </c>
      <c r="T9914" t="s">
        <v>49212</v>
      </c>
      <c r="U9914" t="s">
        <v>57854</v>
      </c>
      <c r="W9914" t="s">
        <v>46384</v>
      </c>
      <c r="X9914" t="s">
        <v>47434</v>
      </c>
    </row>
    <row r="9915" spans="1:24">
      <c r="A9915">
        <f>HYPERLINK("https://www.philgeps.gov.ph/GEPSNONPILOT/Tender/SplashBidNoticeAbstractUI.aspx?menuIndex=3&amp;refID=7151065&amp;Result=3","7151065")</f>
        <v>0</v>
      </c>
      <c r="B9915" t="s">
        <v>825</v>
      </c>
      <c r="C9915" t="s">
        <v>13218</v>
      </c>
      <c r="D9915" t="s">
        <v>19046</v>
      </c>
      <c r="E9915" t="s">
        <v>20851</v>
      </c>
      <c r="F9915" t="s">
        <v>32831</v>
      </c>
      <c r="G9915" t="s">
        <v>32839</v>
      </c>
      <c r="H9915" t="s">
        <v>32848</v>
      </c>
      <c r="I9915" t="s">
        <v>32859</v>
      </c>
      <c r="J9915" t="s">
        <v>33978</v>
      </c>
      <c r="K9915" t="s">
        <v>42730</v>
      </c>
      <c r="M9915" t="s">
        <v>43856</v>
      </c>
      <c r="N9915" t="s">
        <v>47424</v>
      </c>
      <c r="O9915" t="s">
        <v>47425</v>
      </c>
      <c r="P9915">
        <v>0</v>
      </c>
      <c r="Q9915">
        <v>3</v>
      </c>
      <c r="R9915" t="s">
        <v>47433</v>
      </c>
      <c r="S9915" t="s">
        <v>47633</v>
      </c>
      <c r="T9915" t="s">
        <v>49166</v>
      </c>
      <c r="U9915" t="s">
        <v>57855</v>
      </c>
      <c r="W9915" t="s">
        <v>43856</v>
      </c>
      <c r="X9915" t="s">
        <v>47434</v>
      </c>
    </row>
    <row r="9916" spans="1:24">
      <c r="A9916">
        <f>HYPERLINK("https://www.philgeps.gov.ph/GEPSNONPILOT/Tender/SplashBidNoticeAbstractUI.aspx?menuIndex=3&amp;refID=7151079&amp;Result=3","7151079")</f>
        <v>0</v>
      </c>
      <c r="B9916" t="s">
        <v>2429</v>
      </c>
      <c r="C9916" t="s">
        <v>13219</v>
      </c>
      <c r="D9916" t="s">
        <v>19064</v>
      </c>
      <c r="E9916" t="s">
        <v>20620</v>
      </c>
      <c r="F9916" t="s">
        <v>32831</v>
      </c>
      <c r="G9916" t="s">
        <v>32839</v>
      </c>
      <c r="H9916" t="s">
        <v>32848</v>
      </c>
      <c r="I9916" t="s">
        <v>5379</v>
      </c>
      <c r="J9916" t="s">
        <v>35137</v>
      </c>
      <c r="K9916" t="s">
        <v>42731</v>
      </c>
      <c r="M9916" t="s">
        <v>45626</v>
      </c>
      <c r="N9916" t="s">
        <v>47424</v>
      </c>
      <c r="O9916" t="s">
        <v>47425</v>
      </c>
      <c r="P9916">
        <v>0</v>
      </c>
      <c r="Q9916">
        <v>0</v>
      </c>
      <c r="R9916" t="s">
        <v>47433</v>
      </c>
      <c r="S9916" t="s">
        <v>47633</v>
      </c>
      <c r="T9916" t="s">
        <v>49055</v>
      </c>
      <c r="U9916" t="s">
        <v>57856</v>
      </c>
      <c r="W9916" t="s">
        <v>45626</v>
      </c>
      <c r="X9916" t="s">
        <v>47434</v>
      </c>
    </row>
    <row r="9917" spans="1:24">
      <c r="A9917">
        <f>HYPERLINK("https://www.philgeps.gov.ph/GEPSNONPILOT/Tender/SplashBidNoticeAbstractUI.aspx?menuIndex=3&amp;refID=7151063&amp;Result=3","7151063")</f>
        <v>0</v>
      </c>
      <c r="B9917" t="s">
        <v>3039</v>
      </c>
      <c r="C9917" t="s">
        <v>13220</v>
      </c>
      <c r="D9917" t="s">
        <v>19093</v>
      </c>
      <c r="E9917" t="s">
        <v>27661</v>
      </c>
      <c r="F9917" t="s">
        <v>32831</v>
      </c>
      <c r="G9917" t="s">
        <v>32839</v>
      </c>
      <c r="H9917" t="s">
        <v>32849</v>
      </c>
      <c r="I9917" t="s">
        <v>4177</v>
      </c>
      <c r="J9917" t="s">
        <v>39095</v>
      </c>
      <c r="K9917" t="s">
        <v>42763</v>
      </c>
      <c r="L9917" t="s">
        <v>3039</v>
      </c>
      <c r="M9917" t="s">
        <v>46312</v>
      </c>
      <c r="N9917" t="s">
        <v>47424</v>
      </c>
      <c r="O9917" t="s">
        <v>47425</v>
      </c>
      <c r="P9917">
        <v>0</v>
      </c>
      <c r="Q9917">
        <v>0</v>
      </c>
      <c r="R9917" t="s">
        <v>47433</v>
      </c>
      <c r="S9917" t="s">
        <v>47633</v>
      </c>
      <c r="T9917" t="s">
        <v>49185</v>
      </c>
      <c r="U9917" t="s">
        <v>57857</v>
      </c>
      <c r="V9917" t="s">
        <v>63719</v>
      </c>
      <c r="W9917" t="s">
        <v>46312</v>
      </c>
      <c r="X9917" t="s">
        <v>47434</v>
      </c>
    </row>
    <row r="9918" spans="1:24">
      <c r="A9918">
        <f>HYPERLINK("https://www.philgeps.gov.ph/GEPSNONPILOT/Tender/SplashBidNoticeAbstractUI.aspx?menuIndex=3&amp;refID=7151056&amp;Result=3","7151056")</f>
        <v>0</v>
      </c>
      <c r="B9918" t="s">
        <v>1649</v>
      </c>
      <c r="C9918" t="s">
        <v>13221</v>
      </c>
      <c r="D9918" t="s">
        <v>19018</v>
      </c>
      <c r="E9918" t="s">
        <v>27662</v>
      </c>
      <c r="F9918" t="s">
        <v>32831</v>
      </c>
      <c r="G9918" t="s">
        <v>32841</v>
      </c>
      <c r="H9918" t="s">
        <v>32848</v>
      </c>
      <c r="I9918" t="s">
        <v>32857</v>
      </c>
      <c r="J9918" t="s">
        <v>37455</v>
      </c>
      <c r="K9918" t="s">
        <v>42732</v>
      </c>
      <c r="M9918" t="s">
        <v>46118</v>
      </c>
      <c r="N9918" t="s">
        <v>47424</v>
      </c>
      <c r="O9918" t="s">
        <v>47425</v>
      </c>
      <c r="P9918">
        <v>0</v>
      </c>
      <c r="Q9918">
        <v>2</v>
      </c>
      <c r="R9918" t="s">
        <v>47433</v>
      </c>
      <c r="S9918" t="s">
        <v>47633</v>
      </c>
      <c r="T9918" t="s">
        <v>49212</v>
      </c>
      <c r="U9918" t="s">
        <v>57858</v>
      </c>
      <c r="W9918" t="s">
        <v>46118</v>
      </c>
      <c r="X9918" t="s">
        <v>47434</v>
      </c>
    </row>
    <row r="9919" spans="1:24">
      <c r="A9919">
        <f>HYPERLINK("https://www.philgeps.gov.ph/GEPSNONPILOT/Tender/SplashBidNoticeAbstractUI.aspx?menuIndex=3&amp;refID=7151082&amp;Result=3","7151082")</f>
        <v>0</v>
      </c>
      <c r="B9919" t="s">
        <v>2917</v>
      </c>
      <c r="C9919" t="s">
        <v>13222</v>
      </c>
      <c r="E9919" t="s">
        <v>27663</v>
      </c>
      <c r="F9919" t="s">
        <v>32831</v>
      </c>
      <c r="G9919" t="s">
        <v>32839</v>
      </c>
      <c r="H9919" t="s">
        <v>32848</v>
      </c>
      <c r="I9919" t="s">
        <v>32859</v>
      </c>
      <c r="J9919" t="s">
        <v>39096</v>
      </c>
      <c r="K9919" t="s">
        <v>42732</v>
      </c>
      <c r="M9919" t="s">
        <v>46169</v>
      </c>
      <c r="N9919" t="s">
        <v>47424</v>
      </c>
      <c r="O9919" t="s">
        <v>47425</v>
      </c>
      <c r="P9919">
        <v>0</v>
      </c>
      <c r="Q9919">
        <v>1</v>
      </c>
      <c r="R9919" t="s">
        <v>47433</v>
      </c>
      <c r="S9919" t="s">
        <v>47633</v>
      </c>
      <c r="T9919" t="s">
        <v>49160</v>
      </c>
      <c r="U9919" t="s">
        <v>57859</v>
      </c>
      <c r="W9919" t="s">
        <v>46169</v>
      </c>
      <c r="X9919" t="s">
        <v>47434</v>
      </c>
    </row>
    <row r="9920" spans="1:24">
      <c r="A9920">
        <f>HYPERLINK("https://www.philgeps.gov.ph/GEPSNONPILOT/Tender/SplashBidNoticeAbstractUI.aspx?menuIndex=3&amp;refID=7151166&amp;Result=3","7151166")</f>
        <v>0</v>
      </c>
      <c r="B9920" t="s">
        <v>3081</v>
      </c>
      <c r="C9920" t="s">
        <v>13223</v>
      </c>
      <c r="D9920" t="s">
        <v>19104</v>
      </c>
      <c r="E9920" t="s">
        <v>27664</v>
      </c>
      <c r="F9920" t="s">
        <v>32831</v>
      </c>
      <c r="G9920" t="s">
        <v>32839</v>
      </c>
      <c r="H9920" t="s">
        <v>32848</v>
      </c>
      <c r="I9920" t="s">
        <v>32917</v>
      </c>
      <c r="J9920" t="s">
        <v>33291</v>
      </c>
      <c r="K9920" t="s">
        <v>42731</v>
      </c>
      <c r="M9920" t="s">
        <v>46360</v>
      </c>
      <c r="N9920" t="s">
        <v>47424</v>
      </c>
      <c r="O9920" t="s">
        <v>47425</v>
      </c>
      <c r="P9920">
        <v>0</v>
      </c>
      <c r="Q9920">
        <v>2</v>
      </c>
      <c r="R9920" t="s">
        <v>47433</v>
      </c>
      <c r="S9920" t="s">
        <v>47633</v>
      </c>
      <c r="T9920" t="s">
        <v>49163</v>
      </c>
      <c r="U9920" t="s">
        <v>57860</v>
      </c>
      <c r="W9920" t="s">
        <v>46360</v>
      </c>
      <c r="X9920" t="s">
        <v>47434</v>
      </c>
    </row>
    <row r="9921" spans="1:24">
      <c r="A9921">
        <f>HYPERLINK("https://www.philgeps.gov.ph/GEPSNONPILOT/Tender/SplashBidNoticeAbstractUI.aspx?menuIndex=3&amp;refID=7151075&amp;Result=3","7151075")</f>
        <v>0</v>
      </c>
      <c r="B9921" t="s">
        <v>2089</v>
      </c>
      <c r="C9921" t="s">
        <v>13224</v>
      </c>
      <c r="E9921" t="s">
        <v>27665</v>
      </c>
      <c r="F9921" t="s">
        <v>32831</v>
      </c>
      <c r="G9921" t="s">
        <v>32838</v>
      </c>
      <c r="H9921" t="s">
        <v>32848</v>
      </c>
      <c r="I9921" t="s">
        <v>32857</v>
      </c>
      <c r="J9921" t="s">
        <v>34315</v>
      </c>
      <c r="K9921" t="s">
        <v>42732</v>
      </c>
      <c r="M9921" t="s">
        <v>46385</v>
      </c>
      <c r="N9921" t="s">
        <v>47424</v>
      </c>
      <c r="O9921" t="s">
        <v>47425</v>
      </c>
      <c r="P9921">
        <v>0</v>
      </c>
      <c r="Q9921">
        <v>1</v>
      </c>
      <c r="R9921" t="s">
        <v>47433</v>
      </c>
      <c r="S9921" t="s">
        <v>47633</v>
      </c>
      <c r="T9921" t="s">
        <v>49249</v>
      </c>
      <c r="U9921" t="s">
        <v>57861</v>
      </c>
      <c r="W9921" t="s">
        <v>64498</v>
      </c>
      <c r="X9921" t="s">
        <v>47434</v>
      </c>
    </row>
    <row r="9922" spans="1:24">
      <c r="A9922">
        <f>HYPERLINK("https://www.philgeps.gov.ph/GEPSNONPILOT/Tender/SplashBidNoticeAbstractUI.aspx?menuIndex=3&amp;refID=7151164&amp;Result=3","7151164")</f>
        <v>0</v>
      </c>
      <c r="B9922" t="s">
        <v>2546</v>
      </c>
      <c r="C9922" t="s">
        <v>13225</v>
      </c>
      <c r="D9922" t="s">
        <v>19017</v>
      </c>
      <c r="E9922" t="s">
        <v>27666</v>
      </c>
      <c r="F9922" t="s">
        <v>32831</v>
      </c>
      <c r="G9922" t="s">
        <v>32839</v>
      </c>
      <c r="H9922" t="s">
        <v>32848</v>
      </c>
      <c r="I9922" t="s">
        <v>4487</v>
      </c>
      <c r="J9922" t="s">
        <v>39097</v>
      </c>
      <c r="K9922" t="s">
        <v>42732</v>
      </c>
      <c r="M9922" t="s">
        <v>45758</v>
      </c>
      <c r="N9922" t="s">
        <v>47424</v>
      </c>
      <c r="O9922" t="s">
        <v>47425</v>
      </c>
      <c r="P9922">
        <v>0</v>
      </c>
      <c r="Q9922">
        <v>26</v>
      </c>
      <c r="R9922" t="s">
        <v>47433</v>
      </c>
      <c r="S9922" t="s">
        <v>47633</v>
      </c>
      <c r="T9922" t="s">
        <v>49424</v>
      </c>
      <c r="U9922" t="s">
        <v>57862</v>
      </c>
      <c r="W9922" t="s">
        <v>45758</v>
      </c>
      <c r="X9922" t="s">
        <v>47434</v>
      </c>
    </row>
    <row r="9923" spans="1:24">
      <c r="A9923">
        <f>HYPERLINK("https://www.philgeps.gov.ph/GEPSNONPILOT/Tender/SplashBidNoticeAbstractUI.aspx?menuIndex=3&amp;refID=7151146&amp;Result=3","7151146")</f>
        <v>0</v>
      </c>
      <c r="B9923" t="s">
        <v>761</v>
      </c>
      <c r="C9923" t="s">
        <v>13226</v>
      </c>
      <c r="D9923" t="s">
        <v>19022</v>
      </c>
      <c r="E9923" t="s">
        <v>27667</v>
      </c>
      <c r="F9923" t="s">
        <v>32831</v>
      </c>
      <c r="G9923" t="s">
        <v>32839</v>
      </c>
      <c r="H9923" t="s">
        <v>32848</v>
      </c>
      <c r="I9923" t="s">
        <v>32868</v>
      </c>
      <c r="J9923" t="s">
        <v>36439</v>
      </c>
      <c r="K9923" t="s">
        <v>42727</v>
      </c>
      <c r="M9923" t="s">
        <v>43787</v>
      </c>
      <c r="N9923" t="s">
        <v>47424</v>
      </c>
      <c r="O9923" t="s">
        <v>47425</v>
      </c>
      <c r="P9923">
        <v>0</v>
      </c>
      <c r="Q9923">
        <v>6</v>
      </c>
      <c r="R9923" t="s">
        <v>47433</v>
      </c>
      <c r="S9923" t="s">
        <v>47633</v>
      </c>
      <c r="T9923" t="s">
        <v>49108</v>
      </c>
      <c r="U9923" t="s">
        <v>57863</v>
      </c>
      <c r="W9923" t="s">
        <v>43787</v>
      </c>
      <c r="X9923" t="s">
        <v>47434</v>
      </c>
    </row>
    <row r="9924" spans="1:24">
      <c r="A9924">
        <f>HYPERLINK("https://www.philgeps.gov.ph/GEPSNONPILOT/Tender/SplashBidNoticeAbstractUI.aspx?menuIndex=3&amp;refID=7151060&amp;Result=3","7151060")</f>
        <v>0</v>
      </c>
      <c r="B9924" t="s">
        <v>3097</v>
      </c>
      <c r="C9924" t="s">
        <v>13227</v>
      </c>
      <c r="D9924" t="s">
        <v>19060</v>
      </c>
      <c r="E9924" t="s">
        <v>27668</v>
      </c>
      <c r="F9924" t="s">
        <v>32831</v>
      </c>
      <c r="G9924" t="s">
        <v>32839</v>
      </c>
      <c r="H9924" t="s">
        <v>32848</v>
      </c>
      <c r="I9924" t="s">
        <v>32860</v>
      </c>
      <c r="J9924" t="s">
        <v>39091</v>
      </c>
      <c r="K9924" t="s">
        <v>42730</v>
      </c>
      <c r="M9924" t="s">
        <v>46380</v>
      </c>
      <c r="N9924" t="s">
        <v>47424</v>
      </c>
      <c r="O9924" t="s">
        <v>47425</v>
      </c>
      <c r="P9924">
        <v>0</v>
      </c>
      <c r="Q9924">
        <v>1</v>
      </c>
      <c r="R9924" t="s">
        <v>47433</v>
      </c>
      <c r="S9924" t="s">
        <v>47633</v>
      </c>
      <c r="T9924" t="s">
        <v>49112</v>
      </c>
      <c r="U9924" t="s">
        <v>57831</v>
      </c>
      <c r="W9924" t="s">
        <v>46380</v>
      </c>
      <c r="X9924" t="s">
        <v>47434</v>
      </c>
    </row>
    <row r="9925" spans="1:24">
      <c r="A9925">
        <f>HYPERLINK("https://www.philgeps.gov.ph/GEPSNONPILOT/Tender/SplashBidNoticeAbstractUI.aspx?menuIndex=3&amp;refID=7151138&amp;Result=3","7151138")</f>
        <v>0</v>
      </c>
      <c r="B9925" t="s">
        <v>1770</v>
      </c>
      <c r="C9925" t="s">
        <v>4226</v>
      </c>
      <c r="D9925" t="s">
        <v>19058</v>
      </c>
      <c r="E9925" t="s">
        <v>27669</v>
      </c>
      <c r="F9925" t="s">
        <v>32831</v>
      </c>
      <c r="G9925" t="s">
        <v>32840</v>
      </c>
      <c r="H9925" t="s">
        <v>32848</v>
      </c>
      <c r="I9925" t="s">
        <v>9577</v>
      </c>
      <c r="J9925" t="s">
        <v>39098</v>
      </c>
      <c r="K9925" t="s">
        <v>42726</v>
      </c>
      <c r="M9925" t="s">
        <v>44895</v>
      </c>
      <c r="N9925" t="s">
        <v>47424</v>
      </c>
      <c r="O9925" t="s">
        <v>47425</v>
      </c>
      <c r="P9925">
        <v>0</v>
      </c>
      <c r="Q9925">
        <v>0</v>
      </c>
      <c r="R9925" t="s">
        <v>47433</v>
      </c>
      <c r="S9925" t="s">
        <v>47633</v>
      </c>
      <c r="T9925" t="s">
        <v>49237</v>
      </c>
      <c r="U9925" t="s">
        <v>57864</v>
      </c>
      <c r="W9925" t="s">
        <v>44895</v>
      </c>
      <c r="X9925" t="s">
        <v>47434</v>
      </c>
    </row>
    <row r="9926" spans="1:24">
      <c r="A9926">
        <f>HYPERLINK("https://www.philgeps.gov.ph/GEPSNONPILOT/Tender/SplashBidNoticeAbstractUI.aspx?menuIndex=3&amp;refID=7151132&amp;Result=3","7151132")</f>
        <v>0</v>
      </c>
      <c r="B9926" t="s">
        <v>2683</v>
      </c>
      <c r="C9926" t="s">
        <v>7454</v>
      </c>
      <c r="D9926" t="s">
        <v>19091</v>
      </c>
      <c r="E9926" t="s">
        <v>27670</v>
      </c>
      <c r="F9926" t="s">
        <v>32831</v>
      </c>
      <c r="G9926" t="s">
        <v>32839</v>
      </c>
      <c r="H9926" t="s">
        <v>32849</v>
      </c>
      <c r="I9926" t="s">
        <v>4177</v>
      </c>
      <c r="J9926" t="s">
        <v>33403</v>
      </c>
      <c r="K9926" t="s">
        <v>42749</v>
      </c>
      <c r="M9926" t="s">
        <v>45906</v>
      </c>
      <c r="N9926" t="s">
        <v>47424</v>
      </c>
      <c r="O9926" t="s">
        <v>47425</v>
      </c>
      <c r="P9926">
        <v>0</v>
      </c>
      <c r="Q9926">
        <v>0</v>
      </c>
      <c r="R9926" t="s">
        <v>47433</v>
      </c>
      <c r="S9926" t="s">
        <v>47633</v>
      </c>
      <c r="T9926" t="s">
        <v>49237</v>
      </c>
      <c r="U9926" t="s">
        <v>57865</v>
      </c>
      <c r="W9926" t="s">
        <v>45906</v>
      </c>
      <c r="X9926" t="s">
        <v>47434</v>
      </c>
    </row>
    <row r="9927" spans="1:24">
      <c r="A9927">
        <f>HYPERLINK("https://www.philgeps.gov.ph/GEPSNONPILOT/Tender/SplashBidNoticeAbstractUI.aspx?menuIndex=3&amp;refID=7151163&amp;Result=3","7151163")</f>
        <v>0</v>
      </c>
      <c r="B9927" t="s">
        <v>3102</v>
      </c>
      <c r="C9927" t="s">
        <v>13228</v>
      </c>
      <c r="D9927" t="s">
        <v>19091</v>
      </c>
      <c r="E9927" t="s">
        <v>27671</v>
      </c>
      <c r="F9927" t="s">
        <v>32831</v>
      </c>
      <c r="G9927" t="s">
        <v>32839</v>
      </c>
      <c r="H9927" t="s">
        <v>32849</v>
      </c>
      <c r="I9927" t="s">
        <v>4177</v>
      </c>
      <c r="J9927" t="s">
        <v>33118</v>
      </c>
      <c r="K9927" t="s">
        <v>42763</v>
      </c>
      <c r="M9927" t="s">
        <v>46386</v>
      </c>
      <c r="N9927" t="s">
        <v>47424</v>
      </c>
      <c r="O9927" t="s">
        <v>47425</v>
      </c>
      <c r="P9927">
        <v>0</v>
      </c>
      <c r="Q9927">
        <v>13</v>
      </c>
      <c r="R9927" t="s">
        <v>47433</v>
      </c>
      <c r="S9927" t="s">
        <v>47633</v>
      </c>
      <c r="T9927" t="s">
        <v>49236</v>
      </c>
      <c r="U9927" t="s">
        <v>57866</v>
      </c>
      <c r="W9927" t="s">
        <v>46386</v>
      </c>
      <c r="X9927" t="s">
        <v>47434</v>
      </c>
    </row>
    <row r="9928" spans="1:24">
      <c r="A9928">
        <f>HYPERLINK("https://www.philgeps.gov.ph/GEPSNONPILOT/Tender/SplashBidNoticeAbstractUI.aspx?menuIndex=3&amp;refID=7151130&amp;Result=3","7151130")</f>
        <v>0</v>
      </c>
      <c r="B9928" t="s">
        <v>3102</v>
      </c>
      <c r="C9928" t="s">
        <v>13229</v>
      </c>
      <c r="D9928" t="s">
        <v>19091</v>
      </c>
      <c r="E9928" t="s">
        <v>27672</v>
      </c>
      <c r="F9928" t="s">
        <v>32831</v>
      </c>
      <c r="G9928" t="s">
        <v>32839</v>
      </c>
      <c r="H9928" t="s">
        <v>32848</v>
      </c>
      <c r="I9928" t="s">
        <v>32857</v>
      </c>
      <c r="J9928" t="s">
        <v>36025</v>
      </c>
      <c r="K9928" t="s">
        <v>42727</v>
      </c>
      <c r="M9928" t="s">
        <v>46386</v>
      </c>
      <c r="N9928" t="s">
        <v>47424</v>
      </c>
      <c r="O9928" t="s">
        <v>47425</v>
      </c>
      <c r="P9928">
        <v>0</v>
      </c>
      <c r="Q9928">
        <v>8</v>
      </c>
      <c r="R9928" t="s">
        <v>47433</v>
      </c>
      <c r="S9928" t="s">
        <v>47633</v>
      </c>
      <c r="T9928" t="s">
        <v>49236</v>
      </c>
      <c r="U9928" t="s">
        <v>57866</v>
      </c>
      <c r="W9928" t="s">
        <v>46386</v>
      </c>
      <c r="X9928" t="s">
        <v>47434</v>
      </c>
    </row>
    <row r="9929" spans="1:24">
      <c r="A9929">
        <f>HYPERLINK("https://www.philgeps.gov.ph/GEPSNONPILOT/Tender/SplashBidNoticeAbstractUI.aspx?menuIndex=3&amp;refID=7151128&amp;Result=3","7151128")</f>
        <v>0</v>
      </c>
      <c r="B9929" t="s">
        <v>1649</v>
      </c>
      <c r="C9929" t="s">
        <v>13230</v>
      </c>
      <c r="D9929" t="s">
        <v>19018</v>
      </c>
      <c r="E9929" t="s">
        <v>27673</v>
      </c>
      <c r="F9929" t="s">
        <v>32831</v>
      </c>
      <c r="G9929" t="s">
        <v>32841</v>
      </c>
      <c r="H9929" t="s">
        <v>32848</v>
      </c>
      <c r="I9929" t="s">
        <v>7416</v>
      </c>
      <c r="J9929" t="s">
        <v>39099</v>
      </c>
      <c r="K9929" t="s">
        <v>42732</v>
      </c>
      <c r="M9929" t="s">
        <v>46118</v>
      </c>
      <c r="N9929" t="s">
        <v>47424</v>
      </c>
      <c r="O9929" t="s">
        <v>47425</v>
      </c>
      <c r="P9929">
        <v>0</v>
      </c>
      <c r="Q9929">
        <v>0</v>
      </c>
      <c r="R9929" t="s">
        <v>47433</v>
      </c>
      <c r="S9929" t="s">
        <v>47633</v>
      </c>
      <c r="T9929" t="s">
        <v>49212</v>
      </c>
      <c r="U9929" t="s">
        <v>57867</v>
      </c>
      <c r="W9929" t="s">
        <v>46118</v>
      </c>
      <c r="X9929" t="s">
        <v>47434</v>
      </c>
    </row>
    <row r="9930" spans="1:24">
      <c r="A9930">
        <f>HYPERLINK("https://www.philgeps.gov.ph/GEPSNONPILOT/Tender/SplashBidNoticeAbstractUI.aspx?menuIndex=3&amp;refID=7151112&amp;Result=3","7151112")</f>
        <v>0</v>
      </c>
      <c r="B9930" t="s">
        <v>3103</v>
      </c>
      <c r="C9930" t="s">
        <v>4067</v>
      </c>
      <c r="D9930" t="s">
        <v>19103</v>
      </c>
      <c r="E9930" t="s">
        <v>27674</v>
      </c>
      <c r="F9930" t="s">
        <v>32831</v>
      </c>
      <c r="G9930" t="s">
        <v>32842</v>
      </c>
      <c r="H9930" t="s">
        <v>32848</v>
      </c>
      <c r="I9930" t="s">
        <v>32860</v>
      </c>
      <c r="J9930" t="s">
        <v>39100</v>
      </c>
      <c r="K9930" t="s">
        <v>42730</v>
      </c>
      <c r="M9930" t="s">
        <v>46387</v>
      </c>
      <c r="N9930" t="s">
        <v>47424</v>
      </c>
      <c r="O9930" t="s">
        <v>47425</v>
      </c>
      <c r="P9930">
        <v>0</v>
      </c>
      <c r="Q9930">
        <v>1</v>
      </c>
      <c r="R9930" t="s">
        <v>47433</v>
      </c>
      <c r="S9930" t="s">
        <v>47633</v>
      </c>
      <c r="T9930" t="s">
        <v>49239</v>
      </c>
      <c r="U9930" t="s">
        <v>57868</v>
      </c>
      <c r="W9930" t="s">
        <v>46387</v>
      </c>
      <c r="X9930" t="s">
        <v>47434</v>
      </c>
    </row>
    <row r="9931" spans="1:24">
      <c r="A9931">
        <f>HYPERLINK("https://www.philgeps.gov.ph/GEPSNONPILOT/Tender/SplashBidNoticeAbstractUI.aspx?menuIndex=3&amp;refID=7151127&amp;Result=3","7151127")</f>
        <v>0</v>
      </c>
      <c r="B9931" t="s">
        <v>1673</v>
      </c>
      <c r="C9931" t="s">
        <v>13231</v>
      </c>
      <c r="D9931" t="s">
        <v>19038</v>
      </c>
      <c r="E9931" t="s">
        <v>22173</v>
      </c>
      <c r="F9931" t="s">
        <v>32831</v>
      </c>
      <c r="G9931" t="s">
        <v>32839</v>
      </c>
      <c r="H9931" t="s">
        <v>32849</v>
      </c>
      <c r="I9931" t="s">
        <v>4177</v>
      </c>
      <c r="J9931" t="s">
        <v>39101</v>
      </c>
      <c r="K9931" t="s">
        <v>42730</v>
      </c>
      <c r="M9931" t="s">
        <v>44791</v>
      </c>
      <c r="N9931" t="s">
        <v>47424</v>
      </c>
      <c r="O9931" t="s">
        <v>47425</v>
      </c>
      <c r="P9931">
        <v>0</v>
      </c>
      <c r="Q9931">
        <v>0</v>
      </c>
      <c r="R9931" t="s">
        <v>47433</v>
      </c>
      <c r="S9931" t="s">
        <v>47633</v>
      </c>
      <c r="T9931" t="s">
        <v>49169</v>
      </c>
      <c r="U9931" t="s">
        <v>57869</v>
      </c>
      <c r="W9931" t="s">
        <v>44791</v>
      </c>
      <c r="X9931" t="s">
        <v>47434</v>
      </c>
    </row>
    <row r="9932" spans="1:24">
      <c r="A9932">
        <f>HYPERLINK("https://www.philgeps.gov.ph/GEPSNONPILOT/Tender/SplashBidNoticeAbstractUI.aspx?menuIndex=3&amp;refID=7151111&amp;Result=3","7151111")</f>
        <v>0</v>
      </c>
      <c r="B9932" t="s">
        <v>3104</v>
      </c>
      <c r="C9932" t="s">
        <v>13232</v>
      </c>
      <c r="D9932" t="s">
        <v>19088</v>
      </c>
      <c r="E9932" t="s">
        <v>27675</v>
      </c>
      <c r="F9932" t="s">
        <v>32831</v>
      </c>
      <c r="G9932" t="s">
        <v>32839</v>
      </c>
      <c r="H9932" t="s">
        <v>32848</v>
      </c>
      <c r="I9932" t="s">
        <v>32853</v>
      </c>
      <c r="J9932" t="s">
        <v>35687</v>
      </c>
      <c r="K9932" t="s">
        <v>42726</v>
      </c>
      <c r="M9932" t="s">
        <v>46388</v>
      </c>
      <c r="N9932" t="s">
        <v>47424</v>
      </c>
      <c r="O9932" t="s">
        <v>47425</v>
      </c>
      <c r="P9932">
        <v>0</v>
      </c>
      <c r="Q9932">
        <v>3</v>
      </c>
      <c r="R9932" t="s">
        <v>47433</v>
      </c>
      <c r="S9932" t="s">
        <v>47633</v>
      </c>
      <c r="T9932" t="s">
        <v>49112</v>
      </c>
      <c r="U9932" t="s">
        <v>57870</v>
      </c>
      <c r="W9932" t="s">
        <v>46388</v>
      </c>
      <c r="X9932" t="s">
        <v>47434</v>
      </c>
    </row>
    <row r="9933" spans="1:24">
      <c r="A9933">
        <f>HYPERLINK("https://www.philgeps.gov.ph/GEPSNONPILOT/Tender/SplashBidNoticeAbstractUI.aspx?menuIndex=3&amp;refID=7151109&amp;Result=3","7151109")</f>
        <v>0</v>
      </c>
      <c r="B9933" t="s">
        <v>719</v>
      </c>
      <c r="C9933" t="s">
        <v>13233</v>
      </c>
      <c r="D9933" t="s">
        <v>19017</v>
      </c>
      <c r="E9933" t="s">
        <v>27676</v>
      </c>
      <c r="F9933" t="s">
        <v>32831</v>
      </c>
      <c r="G9933" t="s">
        <v>32838</v>
      </c>
      <c r="H9933" t="s">
        <v>32848</v>
      </c>
      <c r="I9933" t="s">
        <v>4438</v>
      </c>
      <c r="J9933" t="s">
        <v>39102</v>
      </c>
      <c r="K9933" t="s">
        <v>42732</v>
      </c>
      <c r="M9933" t="s">
        <v>46389</v>
      </c>
      <c r="N9933" t="s">
        <v>47424</v>
      </c>
      <c r="O9933" t="s">
        <v>47425</v>
      </c>
      <c r="P9933">
        <v>0</v>
      </c>
      <c r="Q9933">
        <v>1</v>
      </c>
      <c r="R9933" t="s">
        <v>47433</v>
      </c>
      <c r="S9933" t="s">
        <v>47633</v>
      </c>
      <c r="T9933" t="s">
        <v>49111</v>
      </c>
      <c r="U9933" t="s">
        <v>57871</v>
      </c>
      <c r="V9933" t="s">
        <v>63720</v>
      </c>
      <c r="W9933" t="s">
        <v>46389</v>
      </c>
      <c r="X9933" t="s">
        <v>47434</v>
      </c>
    </row>
    <row r="9934" spans="1:24">
      <c r="A9934">
        <f>HYPERLINK("https://www.philgeps.gov.ph/GEPSNONPILOT/Tender/SplashBidNoticeAbstractUI.aspx?menuIndex=3&amp;refID=7151106&amp;Result=3","7151106")</f>
        <v>0</v>
      </c>
      <c r="B9934" t="s">
        <v>2151</v>
      </c>
      <c r="C9934" t="s">
        <v>13234</v>
      </c>
      <c r="D9934" t="s">
        <v>19054</v>
      </c>
      <c r="E9934" t="s">
        <v>27677</v>
      </c>
      <c r="F9934" t="s">
        <v>32831</v>
      </c>
      <c r="G9934" t="s">
        <v>32839</v>
      </c>
      <c r="H9934" t="s">
        <v>32848</v>
      </c>
      <c r="I9934" t="s">
        <v>32859</v>
      </c>
      <c r="J9934" t="s">
        <v>32983</v>
      </c>
      <c r="K9934" t="s">
        <v>42730</v>
      </c>
      <c r="M9934" t="s">
        <v>45332</v>
      </c>
      <c r="N9934" t="s">
        <v>47424</v>
      </c>
      <c r="O9934" t="s">
        <v>47425</v>
      </c>
      <c r="P9934">
        <v>0</v>
      </c>
      <c r="Q9934">
        <v>1</v>
      </c>
      <c r="R9934" t="s">
        <v>47433</v>
      </c>
      <c r="S9934" t="s">
        <v>47633</v>
      </c>
      <c r="T9934" t="s">
        <v>49239</v>
      </c>
      <c r="U9934" t="s">
        <v>57872</v>
      </c>
      <c r="W9934" t="s">
        <v>45332</v>
      </c>
      <c r="X9934" t="s">
        <v>47434</v>
      </c>
    </row>
    <row r="9935" spans="1:24">
      <c r="A9935">
        <f>HYPERLINK("https://www.philgeps.gov.ph/GEPSNONPILOT/Tender/SplashBidNoticeAbstractUI.aspx?menuIndex=3&amp;refID=7151097&amp;Result=3","7151097")</f>
        <v>0</v>
      </c>
      <c r="B9935" t="s">
        <v>1606</v>
      </c>
      <c r="C9935" t="s">
        <v>13235</v>
      </c>
      <c r="E9935" t="s">
        <v>27678</v>
      </c>
      <c r="F9935" t="s">
        <v>32831</v>
      </c>
      <c r="G9935" t="s">
        <v>32839</v>
      </c>
      <c r="H9935" t="s">
        <v>32848</v>
      </c>
      <c r="I9935" t="s">
        <v>4558</v>
      </c>
      <c r="J9935" t="s">
        <v>39103</v>
      </c>
      <c r="K9935" t="s">
        <v>42732</v>
      </c>
      <c r="M9935" t="s">
        <v>46390</v>
      </c>
      <c r="N9935" t="s">
        <v>47424</v>
      </c>
      <c r="O9935" t="s">
        <v>47425</v>
      </c>
      <c r="P9935">
        <v>0</v>
      </c>
      <c r="Q9935">
        <v>3</v>
      </c>
      <c r="R9935" t="s">
        <v>47433</v>
      </c>
      <c r="S9935" t="s">
        <v>47633</v>
      </c>
      <c r="T9935" t="s">
        <v>49160</v>
      </c>
      <c r="U9935" t="s">
        <v>57873</v>
      </c>
      <c r="W9935" t="s">
        <v>46390</v>
      </c>
      <c r="X9935" t="s">
        <v>47434</v>
      </c>
    </row>
    <row r="9936" spans="1:24">
      <c r="A9936">
        <f>HYPERLINK("https://www.philgeps.gov.ph/GEPSNONPILOT/Tender/SplashBidNoticeAbstractUI.aspx?menuIndex=3&amp;refID=7151096&amp;Result=3","7151096")</f>
        <v>0</v>
      </c>
      <c r="B9936" t="s">
        <v>147</v>
      </c>
      <c r="C9936" t="s">
        <v>13236</v>
      </c>
      <c r="D9936" t="s">
        <v>19067</v>
      </c>
      <c r="E9936" t="s">
        <v>27679</v>
      </c>
      <c r="F9936" t="s">
        <v>32831</v>
      </c>
      <c r="G9936" t="s">
        <v>32839</v>
      </c>
      <c r="H9936" t="s">
        <v>32848</v>
      </c>
      <c r="I9936" t="s">
        <v>32870</v>
      </c>
      <c r="J9936" t="s">
        <v>39104</v>
      </c>
      <c r="K9936" t="s">
        <v>42730</v>
      </c>
      <c r="M9936" t="s">
        <v>43144</v>
      </c>
      <c r="N9936" t="s">
        <v>47424</v>
      </c>
      <c r="O9936" t="s">
        <v>47425</v>
      </c>
      <c r="P9936">
        <v>0</v>
      </c>
      <c r="Q9936">
        <v>1</v>
      </c>
      <c r="R9936" t="s">
        <v>47433</v>
      </c>
      <c r="S9936" t="s">
        <v>47633</v>
      </c>
      <c r="T9936" t="s">
        <v>49080</v>
      </c>
      <c r="U9936" t="s">
        <v>57874</v>
      </c>
      <c r="W9936" t="s">
        <v>43144</v>
      </c>
      <c r="X9936" t="s">
        <v>47434</v>
      </c>
    </row>
    <row r="9937" spans="1:24">
      <c r="A9937">
        <f>HYPERLINK("https://www.philgeps.gov.ph/GEPSNONPILOT/Tender/SplashBidNoticeAbstractUI.aspx?menuIndex=3&amp;refID=7151091&amp;Result=3","7151091")</f>
        <v>0</v>
      </c>
      <c r="B9937" t="s">
        <v>100</v>
      </c>
      <c r="C9937" t="s">
        <v>13237</v>
      </c>
      <c r="D9937" t="s">
        <v>19017</v>
      </c>
      <c r="E9937" t="s">
        <v>27680</v>
      </c>
      <c r="F9937" t="s">
        <v>32831</v>
      </c>
      <c r="G9937" t="s">
        <v>32840</v>
      </c>
      <c r="H9937" t="s">
        <v>32848</v>
      </c>
      <c r="I9937" t="s">
        <v>32857</v>
      </c>
      <c r="J9937" t="s">
        <v>39105</v>
      </c>
      <c r="K9937" t="s">
        <v>42731</v>
      </c>
      <c r="M9937" t="s">
        <v>44021</v>
      </c>
      <c r="N9937" t="s">
        <v>47424</v>
      </c>
      <c r="O9937" t="s">
        <v>47425</v>
      </c>
      <c r="P9937">
        <v>0</v>
      </c>
      <c r="Q9937">
        <v>4</v>
      </c>
      <c r="R9937" t="s">
        <v>47433</v>
      </c>
      <c r="S9937" t="s">
        <v>47633</v>
      </c>
      <c r="T9937" t="s">
        <v>49100</v>
      </c>
      <c r="U9937" t="s">
        <v>57875</v>
      </c>
      <c r="W9937" t="s">
        <v>44021</v>
      </c>
      <c r="X9937" t="s">
        <v>47434</v>
      </c>
    </row>
    <row r="9938" spans="1:24">
      <c r="A9938">
        <f>HYPERLINK("https://www.philgeps.gov.ph/GEPSNONPILOT/Tender/SplashBidNoticeAbstractUI.aspx?menuIndex=3&amp;refID=7151051&amp;Result=3","7151051")</f>
        <v>0</v>
      </c>
      <c r="B9938" t="s">
        <v>662</v>
      </c>
      <c r="C9938" t="s">
        <v>13238</v>
      </c>
      <c r="D9938" t="s">
        <v>19095</v>
      </c>
      <c r="E9938" t="s">
        <v>27681</v>
      </c>
      <c r="F9938" t="s">
        <v>32831</v>
      </c>
      <c r="G9938" t="s">
        <v>32839</v>
      </c>
      <c r="H9938" t="s">
        <v>32848</v>
      </c>
      <c r="I9938" t="s">
        <v>4303</v>
      </c>
      <c r="J9938" t="s">
        <v>39106</v>
      </c>
      <c r="K9938" t="s">
        <v>42727</v>
      </c>
      <c r="M9938" t="s">
        <v>43680</v>
      </c>
      <c r="N9938" t="s">
        <v>47424</v>
      </c>
      <c r="O9938" t="s">
        <v>47425</v>
      </c>
      <c r="P9938">
        <v>0</v>
      </c>
      <c r="Q9938">
        <v>0</v>
      </c>
      <c r="R9938" t="s">
        <v>47433</v>
      </c>
      <c r="S9938" t="s">
        <v>47633</v>
      </c>
      <c r="T9938" t="s">
        <v>49066</v>
      </c>
      <c r="U9938" t="s">
        <v>57876</v>
      </c>
      <c r="W9938" t="s">
        <v>43680</v>
      </c>
      <c r="X9938" t="s">
        <v>47434</v>
      </c>
    </row>
    <row r="9939" spans="1:24">
      <c r="A9939">
        <f>HYPERLINK("https://www.philgeps.gov.ph/GEPSNONPILOT/Tender/SplashBidNoticeAbstractUI.aspx?menuIndex=3&amp;refID=7151049&amp;Result=3","7151049")</f>
        <v>0</v>
      </c>
      <c r="B9939" t="s">
        <v>162</v>
      </c>
      <c r="C9939" t="s">
        <v>13239</v>
      </c>
      <c r="D9939" t="s">
        <v>19027</v>
      </c>
      <c r="E9939" t="s">
        <v>27682</v>
      </c>
      <c r="F9939" t="s">
        <v>32831</v>
      </c>
      <c r="G9939" t="s">
        <v>32839</v>
      </c>
      <c r="H9939" t="s">
        <v>32848</v>
      </c>
      <c r="I9939" t="s">
        <v>32855</v>
      </c>
      <c r="J9939" t="s">
        <v>33704</v>
      </c>
      <c r="K9939" t="s">
        <v>42732</v>
      </c>
      <c r="M9939" t="s">
        <v>43159</v>
      </c>
      <c r="N9939" t="s">
        <v>47424</v>
      </c>
      <c r="O9939" t="s">
        <v>47425</v>
      </c>
      <c r="P9939">
        <v>0</v>
      </c>
      <c r="Q9939">
        <v>0</v>
      </c>
      <c r="R9939" t="s">
        <v>47433</v>
      </c>
      <c r="S9939" t="s">
        <v>47633</v>
      </c>
      <c r="T9939" t="s">
        <v>49112</v>
      </c>
      <c r="U9939" t="s">
        <v>57877</v>
      </c>
      <c r="W9939" t="s">
        <v>43159</v>
      </c>
      <c r="X9939" t="s">
        <v>47434</v>
      </c>
    </row>
    <row r="9940" spans="1:24">
      <c r="A9940">
        <f>HYPERLINK("https://www.philgeps.gov.ph/GEPSNONPILOT/Tender/SplashBidNoticeAbstractUI.aspx?menuIndex=3&amp;refID=7151235&amp;Result=3","7151235")</f>
        <v>0</v>
      </c>
      <c r="B9940" t="s">
        <v>2391</v>
      </c>
      <c r="C9940" t="s">
        <v>13240</v>
      </c>
      <c r="D9940" t="s">
        <v>19077</v>
      </c>
      <c r="E9940" t="s">
        <v>22714</v>
      </c>
      <c r="F9940" t="s">
        <v>32831</v>
      </c>
      <c r="G9940" t="s">
        <v>32838</v>
      </c>
      <c r="H9940" t="s">
        <v>32848</v>
      </c>
      <c r="I9940" t="s">
        <v>32857</v>
      </c>
      <c r="J9940" t="s">
        <v>33283</v>
      </c>
      <c r="K9940" t="s">
        <v>42731</v>
      </c>
      <c r="M9940" t="s">
        <v>45582</v>
      </c>
      <c r="N9940" t="s">
        <v>47424</v>
      </c>
      <c r="O9940" t="s">
        <v>47425</v>
      </c>
      <c r="P9940">
        <v>0</v>
      </c>
      <c r="Q9940">
        <v>2</v>
      </c>
      <c r="R9940" t="s">
        <v>47433</v>
      </c>
      <c r="S9940" t="s">
        <v>47633</v>
      </c>
      <c r="T9940" t="s">
        <v>49163</v>
      </c>
      <c r="U9940" t="s">
        <v>57878</v>
      </c>
      <c r="W9940" t="s">
        <v>45582</v>
      </c>
      <c r="X9940" t="s">
        <v>47434</v>
      </c>
    </row>
    <row r="9941" spans="1:24">
      <c r="A9941">
        <f>HYPERLINK("https://www.philgeps.gov.ph/GEPSNONPILOT/Tender/SplashBidNoticeAbstractUI.aspx?menuIndex=3&amp;refID=7151230&amp;Result=3","7151230")</f>
        <v>0</v>
      </c>
      <c r="B9941" t="s">
        <v>1649</v>
      </c>
      <c r="C9941" t="s">
        <v>13241</v>
      </c>
      <c r="D9941" t="s">
        <v>19018</v>
      </c>
      <c r="E9941" t="s">
        <v>27683</v>
      </c>
      <c r="F9941" t="s">
        <v>32831</v>
      </c>
      <c r="G9941" t="s">
        <v>32838</v>
      </c>
      <c r="H9941" t="s">
        <v>32848</v>
      </c>
      <c r="I9941" t="s">
        <v>32872</v>
      </c>
      <c r="J9941" t="s">
        <v>39107</v>
      </c>
      <c r="K9941" t="s">
        <v>42732</v>
      </c>
      <c r="M9941" t="s">
        <v>46118</v>
      </c>
      <c r="N9941" t="s">
        <v>47424</v>
      </c>
      <c r="O9941" t="s">
        <v>47425</v>
      </c>
      <c r="P9941">
        <v>0</v>
      </c>
      <c r="Q9941">
        <v>0</v>
      </c>
      <c r="R9941" t="s">
        <v>47433</v>
      </c>
      <c r="S9941" t="s">
        <v>47633</v>
      </c>
      <c r="T9941" t="s">
        <v>49212</v>
      </c>
      <c r="U9941" t="s">
        <v>57879</v>
      </c>
      <c r="W9941" t="s">
        <v>46118</v>
      </c>
      <c r="X9941" t="s">
        <v>47434</v>
      </c>
    </row>
    <row r="9942" spans="1:24">
      <c r="A9942">
        <f>HYPERLINK("https://www.philgeps.gov.ph/GEPSNONPILOT/Tender/SplashBidNoticeAbstractUI.aspx?menuIndex=3&amp;refID=7151123&amp;Result=3","7151123")</f>
        <v>0</v>
      </c>
      <c r="B9942" t="s">
        <v>2277</v>
      </c>
      <c r="C9942" t="s">
        <v>13242</v>
      </c>
      <c r="D9942" t="s">
        <v>19031</v>
      </c>
      <c r="E9942" t="s">
        <v>27684</v>
      </c>
      <c r="F9942" t="s">
        <v>32831</v>
      </c>
      <c r="G9942" t="s">
        <v>32838</v>
      </c>
      <c r="H9942" t="s">
        <v>32848</v>
      </c>
      <c r="I9942" t="s">
        <v>11484</v>
      </c>
      <c r="J9942" t="s">
        <v>33403</v>
      </c>
      <c r="K9942" t="s">
        <v>42731</v>
      </c>
      <c r="M9942" t="s">
        <v>45461</v>
      </c>
      <c r="N9942" t="s">
        <v>47424</v>
      </c>
      <c r="O9942" t="s">
        <v>47425</v>
      </c>
      <c r="P9942">
        <v>0</v>
      </c>
      <c r="Q9942">
        <v>2</v>
      </c>
      <c r="R9942" t="s">
        <v>47433</v>
      </c>
      <c r="S9942" t="s">
        <v>47633</v>
      </c>
      <c r="T9942" t="s">
        <v>49214</v>
      </c>
      <c r="U9942" t="s">
        <v>57880</v>
      </c>
      <c r="W9942" t="s">
        <v>45461</v>
      </c>
      <c r="X9942" t="s">
        <v>47434</v>
      </c>
    </row>
    <row r="9943" spans="1:24">
      <c r="A9943">
        <f>HYPERLINK("https://www.philgeps.gov.ph/GEPSNONPILOT/Tender/SplashBidNoticeAbstractUI.aspx?menuIndex=3&amp;refID=7151227&amp;Result=3","7151227")</f>
        <v>0</v>
      </c>
      <c r="B9943" t="s">
        <v>3102</v>
      </c>
      <c r="C9943" t="s">
        <v>13243</v>
      </c>
      <c r="D9943" t="s">
        <v>19091</v>
      </c>
      <c r="E9943" t="s">
        <v>27685</v>
      </c>
      <c r="F9943" t="s">
        <v>32831</v>
      </c>
      <c r="G9943" t="s">
        <v>32839</v>
      </c>
      <c r="H9943" t="s">
        <v>32849</v>
      </c>
      <c r="I9943" t="s">
        <v>4177</v>
      </c>
      <c r="J9943" t="s">
        <v>39108</v>
      </c>
      <c r="K9943" t="s">
        <v>42728</v>
      </c>
      <c r="M9943" t="s">
        <v>46386</v>
      </c>
      <c r="N9943" t="s">
        <v>47424</v>
      </c>
      <c r="O9943" t="s">
        <v>47425</v>
      </c>
      <c r="P9943">
        <v>0</v>
      </c>
      <c r="Q9943">
        <v>14</v>
      </c>
      <c r="R9943" t="s">
        <v>47433</v>
      </c>
      <c r="S9943" t="s">
        <v>47633</v>
      </c>
      <c r="T9943" t="s">
        <v>49236</v>
      </c>
      <c r="U9943" t="s">
        <v>57866</v>
      </c>
      <c r="W9943" t="s">
        <v>46386</v>
      </c>
      <c r="X9943" t="s">
        <v>47434</v>
      </c>
    </row>
    <row r="9944" spans="1:24">
      <c r="A9944">
        <f>HYPERLINK("https://www.philgeps.gov.ph/GEPSNONPILOT/Tender/SplashBidNoticeAbstractUI.aspx?menuIndex=3&amp;refID=7151219&amp;Result=3","7151219")</f>
        <v>0</v>
      </c>
      <c r="B9944" t="s">
        <v>2089</v>
      </c>
      <c r="C9944" t="s">
        <v>13244</v>
      </c>
      <c r="E9944" t="s">
        <v>27686</v>
      </c>
      <c r="F9944" t="s">
        <v>32831</v>
      </c>
      <c r="G9944" t="s">
        <v>32838</v>
      </c>
      <c r="H9944" t="s">
        <v>32848</v>
      </c>
      <c r="I9944" t="s">
        <v>32857</v>
      </c>
      <c r="J9944" t="s">
        <v>39109</v>
      </c>
      <c r="K9944" t="s">
        <v>42732</v>
      </c>
      <c r="M9944" t="s">
        <v>46385</v>
      </c>
      <c r="N9944" t="s">
        <v>47424</v>
      </c>
      <c r="O9944" t="s">
        <v>47425</v>
      </c>
      <c r="P9944">
        <v>0</v>
      </c>
      <c r="Q9944">
        <v>3</v>
      </c>
      <c r="R9944" t="s">
        <v>47433</v>
      </c>
      <c r="S9944" t="s">
        <v>47633</v>
      </c>
      <c r="T9944" t="s">
        <v>49249</v>
      </c>
      <c r="U9944" t="s">
        <v>57881</v>
      </c>
      <c r="W9944" t="s">
        <v>64498</v>
      </c>
      <c r="X9944" t="s">
        <v>47434</v>
      </c>
    </row>
    <row r="9945" spans="1:24">
      <c r="A9945">
        <f>HYPERLINK("https://www.philgeps.gov.ph/GEPSNONPILOT/Tender/SplashBidNoticeAbstractUI.aspx?menuIndex=3&amp;refID=7151218&amp;Result=3","7151218")</f>
        <v>0</v>
      </c>
      <c r="B9945" t="s">
        <v>2429</v>
      </c>
      <c r="C9945" t="s">
        <v>13245</v>
      </c>
      <c r="D9945" t="s">
        <v>19064</v>
      </c>
      <c r="E9945" t="s">
        <v>27687</v>
      </c>
      <c r="F9945" t="s">
        <v>32831</v>
      </c>
      <c r="G9945" t="s">
        <v>32839</v>
      </c>
      <c r="H9945" t="s">
        <v>32848</v>
      </c>
      <c r="I9945" t="s">
        <v>32890</v>
      </c>
      <c r="J9945" t="s">
        <v>33279</v>
      </c>
      <c r="K9945" t="s">
        <v>42731</v>
      </c>
      <c r="M9945" t="s">
        <v>45626</v>
      </c>
      <c r="N9945" t="s">
        <v>47424</v>
      </c>
      <c r="O9945" t="s">
        <v>47425</v>
      </c>
      <c r="P9945">
        <v>0</v>
      </c>
      <c r="Q9945">
        <v>0</v>
      </c>
      <c r="R9945" t="s">
        <v>47433</v>
      </c>
      <c r="S9945" t="s">
        <v>47633</v>
      </c>
      <c r="T9945" t="s">
        <v>49055</v>
      </c>
      <c r="U9945" t="s">
        <v>57882</v>
      </c>
      <c r="W9945" t="s">
        <v>45626</v>
      </c>
      <c r="X9945" t="s">
        <v>47434</v>
      </c>
    </row>
    <row r="9946" spans="1:24">
      <c r="A9946">
        <f>HYPERLINK("https://www.philgeps.gov.ph/GEPSNONPILOT/Tender/SplashBidNoticeAbstractUI.aspx?menuIndex=3&amp;refID=7151211&amp;Result=3","7151211")</f>
        <v>0</v>
      </c>
      <c r="B9946" t="s">
        <v>160</v>
      </c>
      <c r="C9946" t="s">
        <v>13246</v>
      </c>
      <c r="D9946" t="s">
        <v>19038</v>
      </c>
      <c r="E9946" t="s">
        <v>20053</v>
      </c>
      <c r="F9946" t="s">
        <v>32831</v>
      </c>
      <c r="G9946" t="s">
        <v>32838</v>
      </c>
      <c r="H9946" t="s">
        <v>32848</v>
      </c>
      <c r="I9946" t="s">
        <v>32899</v>
      </c>
      <c r="J9946" t="s">
        <v>39110</v>
      </c>
      <c r="K9946" t="s">
        <v>42730</v>
      </c>
      <c r="M9946" t="s">
        <v>43157</v>
      </c>
      <c r="N9946" t="s">
        <v>47424</v>
      </c>
      <c r="O9946" t="s">
        <v>47425</v>
      </c>
      <c r="P9946">
        <v>0</v>
      </c>
      <c r="Q9946">
        <v>0</v>
      </c>
      <c r="R9946" t="s">
        <v>47433</v>
      </c>
      <c r="S9946" t="s">
        <v>47633</v>
      </c>
      <c r="T9946" t="s">
        <v>49244</v>
      </c>
      <c r="U9946" t="s">
        <v>49926</v>
      </c>
      <c r="W9946" t="s">
        <v>43157</v>
      </c>
      <c r="X9946" t="s">
        <v>47434</v>
      </c>
    </row>
    <row r="9947" spans="1:24">
      <c r="A9947">
        <f>HYPERLINK("https://www.philgeps.gov.ph/GEPSNONPILOT/Tender/SplashBidNoticeAbstractUI.aspx?menuIndex=3&amp;refID=7151223&amp;Result=3","7151223")</f>
        <v>0</v>
      </c>
      <c r="B9947" t="s">
        <v>3060</v>
      </c>
      <c r="C9947" t="s">
        <v>13247</v>
      </c>
      <c r="D9947" t="s">
        <v>19034</v>
      </c>
      <c r="E9947" t="s">
        <v>27688</v>
      </c>
      <c r="F9947" t="s">
        <v>32831</v>
      </c>
      <c r="G9947" t="s">
        <v>32841</v>
      </c>
      <c r="H9947" t="s">
        <v>32848</v>
      </c>
      <c r="I9947" t="s">
        <v>32869</v>
      </c>
      <c r="J9947" t="s">
        <v>39111</v>
      </c>
      <c r="K9947" t="s">
        <v>42746</v>
      </c>
      <c r="M9947" t="s">
        <v>46335</v>
      </c>
      <c r="N9947" t="s">
        <v>47424</v>
      </c>
      <c r="O9947" t="s">
        <v>47425</v>
      </c>
      <c r="P9947">
        <v>0</v>
      </c>
      <c r="Q9947">
        <v>7</v>
      </c>
      <c r="R9947" t="s">
        <v>47433</v>
      </c>
      <c r="S9947" t="s">
        <v>47633</v>
      </c>
      <c r="T9947" t="s">
        <v>49338</v>
      </c>
      <c r="U9947" t="s">
        <v>57729</v>
      </c>
      <c r="W9947" t="s">
        <v>46335</v>
      </c>
      <c r="X9947" t="s">
        <v>47434</v>
      </c>
    </row>
    <row r="9948" spans="1:24">
      <c r="A9948">
        <f>HYPERLINK("https://www.philgeps.gov.ph/GEPSNONPILOT/Tender/SplashBidNoticeAbstractUI.aspx?menuIndex=3&amp;refID=7151207&amp;Result=3","7151207")</f>
        <v>0</v>
      </c>
      <c r="B9948" t="s">
        <v>1214</v>
      </c>
      <c r="C9948" t="s">
        <v>13248</v>
      </c>
      <c r="D9948" t="s">
        <v>19038</v>
      </c>
      <c r="E9948" t="s">
        <v>19606</v>
      </c>
      <c r="F9948" t="s">
        <v>32831</v>
      </c>
      <c r="G9948" t="s">
        <v>32839</v>
      </c>
      <c r="H9948" t="s">
        <v>32850</v>
      </c>
      <c r="I9948" t="s">
        <v>9577</v>
      </c>
      <c r="J9948" t="s">
        <v>32978</v>
      </c>
      <c r="K9948" t="s">
        <v>42731</v>
      </c>
      <c r="M9948" t="s">
        <v>44282</v>
      </c>
      <c r="N9948" t="s">
        <v>47424</v>
      </c>
      <c r="O9948" t="s">
        <v>47425</v>
      </c>
      <c r="P9948">
        <v>0</v>
      </c>
      <c r="Q9948">
        <v>1</v>
      </c>
      <c r="R9948" t="s">
        <v>47433</v>
      </c>
      <c r="S9948" t="s">
        <v>47633</v>
      </c>
      <c r="T9948" t="s">
        <v>49192</v>
      </c>
      <c r="U9948" t="s">
        <v>57883</v>
      </c>
      <c r="W9948" t="s">
        <v>44282</v>
      </c>
      <c r="X9948" t="s">
        <v>47434</v>
      </c>
    </row>
    <row r="9949" spans="1:24">
      <c r="A9949">
        <f>HYPERLINK("https://www.philgeps.gov.ph/GEPSNONPILOT/Tender/SplashBidNoticeAbstractUI.aspx?menuIndex=3&amp;refID=7151124&amp;Result=3","7151124")</f>
        <v>0</v>
      </c>
      <c r="B9949" t="s">
        <v>3105</v>
      </c>
      <c r="C9949" t="s">
        <v>13249</v>
      </c>
      <c r="D9949" t="s">
        <v>19054</v>
      </c>
      <c r="E9949" t="s">
        <v>27689</v>
      </c>
      <c r="F9949" t="s">
        <v>32831</v>
      </c>
      <c r="G9949" t="s">
        <v>32838</v>
      </c>
      <c r="H9949" t="s">
        <v>32848</v>
      </c>
      <c r="I9949" t="s">
        <v>32851</v>
      </c>
      <c r="J9949" t="s">
        <v>32983</v>
      </c>
      <c r="K9949" t="s">
        <v>42727</v>
      </c>
      <c r="M9949" t="s">
        <v>46391</v>
      </c>
      <c r="N9949" t="s">
        <v>47424</v>
      </c>
      <c r="O9949" t="s">
        <v>47425</v>
      </c>
      <c r="P9949">
        <v>0</v>
      </c>
      <c r="Q9949">
        <v>1</v>
      </c>
      <c r="R9949" t="s">
        <v>47433</v>
      </c>
      <c r="S9949" t="s">
        <v>47633</v>
      </c>
      <c r="T9949" t="s">
        <v>49181</v>
      </c>
      <c r="U9949" t="s">
        <v>57884</v>
      </c>
      <c r="W9949" t="s">
        <v>46391</v>
      </c>
      <c r="X9949" t="s">
        <v>47434</v>
      </c>
    </row>
    <row r="9950" spans="1:24">
      <c r="A9950">
        <f>HYPERLINK("https://www.philgeps.gov.ph/GEPSNONPILOT/Tender/SplashBidNoticeAbstractUI.aspx?menuIndex=3&amp;refID=7151206&amp;Result=3","7151206")</f>
        <v>0</v>
      </c>
      <c r="B9950" t="s">
        <v>3106</v>
      </c>
      <c r="C9950" t="s">
        <v>13250</v>
      </c>
      <c r="D9950" t="s">
        <v>19100</v>
      </c>
      <c r="E9950" t="s">
        <v>20902</v>
      </c>
      <c r="F9950" t="s">
        <v>32831</v>
      </c>
      <c r="G9950" t="s">
        <v>32839</v>
      </c>
      <c r="H9950" t="s">
        <v>32848</v>
      </c>
      <c r="I9950" t="s">
        <v>32887</v>
      </c>
      <c r="J9950" t="s">
        <v>33040</v>
      </c>
      <c r="K9950" t="s">
        <v>42727</v>
      </c>
      <c r="M9950" t="s">
        <v>46392</v>
      </c>
      <c r="N9950" t="s">
        <v>47424</v>
      </c>
      <c r="O9950" t="s">
        <v>47425</v>
      </c>
      <c r="P9950">
        <v>0</v>
      </c>
      <c r="Q9950">
        <v>1</v>
      </c>
      <c r="R9950" t="s">
        <v>47433</v>
      </c>
      <c r="S9950" t="s">
        <v>47633</v>
      </c>
      <c r="T9950" t="s">
        <v>49235</v>
      </c>
      <c r="U9950" t="s">
        <v>57885</v>
      </c>
      <c r="W9950" t="s">
        <v>46392</v>
      </c>
      <c r="X9950" t="s">
        <v>47434</v>
      </c>
    </row>
    <row r="9951" spans="1:24">
      <c r="A9951">
        <f>HYPERLINK("https://www.philgeps.gov.ph/GEPSNONPILOT/Tender/SplashBidNoticeAbstractUI.aspx?menuIndex=3&amp;refID=7151205&amp;Result=3","7151205")</f>
        <v>0</v>
      </c>
      <c r="B9951" t="s">
        <v>95</v>
      </c>
      <c r="C9951" t="s">
        <v>13251</v>
      </c>
      <c r="D9951" t="s">
        <v>19032</v>
      </c>
      <c r="E9951" t="s">
        <v>27690</v>
      </c>
      <c r="F9951" t="s">
        <v>32831</v>
      </c>
      <c r="G9951" t="s">
        <v>32839</v>
      </c>
      <c r="H9951" t="s">
        <v>32848</v>
      </c>
      <c r="I9951" t="s">
        <v>7416</v>
      </c>
      <c r="J9951" t="s">
        <v>39112</v>
      </c>
      <c r="K9951" t="s">
        <v>42727</v>
      </c>
      <c r="M9951" t="s">
        <v>46393</v>
      </c>
      <c r="N9951" t="s">
        <v>47424</v>
      </c>
      <c r="O9951" t="s">
        <v>47425</v>
      </c>
      <c r="P9951">
        <v>0</v>
      </c>
      <c r="Q9951">
        <v>0</v>
      </c>
      <c r="R9951" t="s">
        <v>47433</v>
      </c>
      <c r="S9951" t="s">
        <v>47633</v>
      </c>
      <c r="T9951" t="s">
        <v>49166</v>
      </c>
      <c r="U9951" t="s">
        <v>57886</v>
      </c>
      <c r="W9951" t="s">
        <v>46393</v>
      </c>
      <c r="X9951" t="s">
        <v>47434</v>
      </c>
    </row>
    <row r="9952" spans="1:24">
      <c r="A9952">
        <f>HYPERLINK("https://www.philgeps.gov.ph/GEPSNONPILOT/Tender/SplashBidNoticeAbstractUI.aspx?menuIndex=3&amp;refID=7151195&amp;Result=3","7151195")</f>
        <v>0</v>
      </c>
      <c r="B9952" t="s">
        <v>2546</v>
      </c>
      <c r="C9952" t="s">
        <v>13252</v>
      </c>
      <c r="D9952" t="s">
        <v>19017</v>
      </c>
      <c r="E9952" t="s">
        <v>27691</v>
      </c>
      <c r="F9952" t="s">
        <v>32831</v>
      </c>
      <c r="G9952" t="s">
        <v>32839</v>
      </c>
      <c r="H9952" t="s">
        <v>32849</v>
      </c>
      <c r="I9952" t="s">
        <v>4177</v>
      </c>
      <c r="J9952" t="s">
        <v>39113</v>
      </c>
      <c r="K9952" t="s">
        <v>42732</v>
      </c>
      <c r="M9952" t="s">
        <v>45758</v>
      </c>
      <c r="N9952" t="s">
        <v>47424</v>
      </c>
      <c r="O9952" t="s">
        <v>47425</v>
      </c>
      <c r="P9952">
        <v>0</v>
      </c>
      <c r="Q9952">
        <v>0</v>
      </c>
      <c r="R9952" t="s">
        <v>47433</v>
      </c>
      <c r="S9952" t="s">
        <v>47633</v>
      </c>
      <c r="T9952" t="s">
        <v>49424</v>
      </c>
      <c r="U9952" t="s">
        <v>57887</v>
      </c>
      <c r="W9952" t="s">
        <v>45758</v>
      </c>
      <c r="X9952" t="s">
        <v>47434</v>
      </c>
    </row>
    <row r="9953" spans="1:24">
      <c r="A9953">
        <f>HYPERLINK("https://www.philgeps.gov.ph/GEPSNONPILOT/Tender/SplashBidNoticeAbstractUI.aspx?menuIndex=3&amp;refID=7151209&amp;Result=3","7151209")</f>
        <v>0</v>
      </c>
      <c r="B9953" t="s">
        <v>3107</v>
      </c>
      <c r="C9953" t="s">
        <v>13253</v>
      </c>
      <c r="D9953" t="s">
        <v>19027</v>
      </c>
      <c r="E9953" t="s">
        <v>23038</v>
      </c>
      <c r="F9953" t="s">
        <v>32831</v>
      </c>
      <c r="G9953" t="s">
        <v>32838</v>
      </c>
      <c r="H9953" t="s">
        <v>32848</v>
      </c>
      <c r="I9953" t="s">
        <v>9577</v>
      </c>
      <c r="J9953" t="s">
        <v>39114</v>
      </c>
      <c r="K9953" t="s">
        <v>42731</v>
      </c>
      <c r="M9953" t="s">
        <v>46394</v>
      </c>
      <c r="N9953" t="s">
        <v>47424</v>
      </c>
      <c r="O9953" t="s">
        <v>47425</v>
      </c>
      <c r="P9953">
        <v>0</v>
      </c>
      <c r="Q9953">
        <v>1</v>
      </c>
      <c r="R9953" t="s">
        <v>47433</v>
      </c>
      <c r="S9953" t="s">
        <v>47633</v>
      </c>
      <c r="T9953" t="s">
        <v>49545</v>
      </c>
      <c r="U9953" t="s">
        <v>57888</v>
      </c>
      <c r="V9953" t="s">
        <v>63721</v>
      </c>
      <c r="W9953" t="s">
        <v>46394</v>
      </c>
      <c r="X9953" t="s">
        <v>47434</v>
      </c>
    </row>
    <row r="9954" spans="1:24">
      <c r="A9954">
        <f>HYPERLINK("https://www.philgeps.gov.ph/GEPSNONPILOT/Tender/SplashBidNoticeAbstractUI.aspx?menuIndex=3&amp;refID=7151242&amp;Result=3","7151242")</f>
        <v>0</v>
      </c>
      <c r="B9954" t="s">
        <v>60</v>
      </c>
      <c r="C9954" t="s">
        <v>13254</v>
      </c>
      <c r="D9954" t="s">
        <v>19042</v>
      </c>
      <c r="E9954" t="s">
        <v>27692</v>
      </c>
      <c r="F9954" t="s">
        <v>32831</v>
      </c>
      <c r="G9954" t="s">
        <v>32839</v>
      </c>
      <c r="H9954" t="s">
        <v>32849</v>
      </c>
      <c r="I9954" t="s">
        <v>4177</v>
      </c>
      <c r="J9954" t="s">
        <v>39115</v>
      </c>
      <c r="K9954" t="s">
        <v>42737</v>
      </c>
      <c r="M9954" t="s">
        <v>43740</v>
      </c>
      <c r="N9954" t="s">
        <v>47424</v>
      </c>
      <c r="O9954" t="s">
        <v>47425</v>
      </c>
      <c r="P9954">
        <v>0</v>
      </c>
      <c r="Q9954">
        <v>0</v>
      </c>
      <c r="R9954" t="s">
        <v>47433</v>
      </c>
      <c r="S9954" t="s">
        <v>47633</v>
      </c>
      <c r="T9954" t="s">
        <v>49318</v>
      </c>
      <c r="U9954" t="s">
        <v>57889</v>
      </c>
      <c r="W9954" t="s">
        <v>43740</v>
      </c>
      <c r="X9954" t="s">
        <v>47434</v>
      </c>
    </row>
    <row r="9955" spans="1:24">
      <c r="A9955">
        <f>HYPERLINK("https://www.philgeps.gov.ph/GEPSNONPILOT/Tender/SplashBidNoticeAbstractUI.aspx?menuIndex=3&amp;refID=7151210&amp;Result=3","7151210")</f>
        <v>0</v>
      </c>
      <c r="B9955" t="s">
        <v>3108</v>
      </c>
      <c r="C9955" t="s">
        <v>13255</v>
      </c>
      <c r="D9955" t="s">
        <v>19060</v>
      </c>
      <c r="E9955" t="s">
        <v>27693</v>
      </c>
      <c r="F9955" t="s">
        <v>32833</v>
      </c>
      <c r="G9955" t="s">
        <v>32838</v>
      </c>
      <c r="H9955" t="s">
        <v>32848</v>
      </c>
      <c r="I9955" t="s">
        <v>4776</v>
      </c>
      <c r="J9955" t="s">
        <v>39116</v>
      </c>
      <c r="K9955" t="s">
        <v>42730</v>
      </c>
      <c r="M9955" t="s">
        <v>46395</v>
      </c>
      <c r="N9955" t="s">
        <v>47424</v>
      </c>
      <c r="O9955" t="s">
        <v>47425</v>
      </c>
      <c r="P9955">
        <v>0</v>
      </c>
      <c r="Q9955">
        <v>4</v>
      </c>
      <c r="R9955" t="s">
        <v>47433</v>
      </c>
      <c r="S9955" t="s">
        <v>47633</v>
      </c>
      <c r="T9955" t="s">
        <v>49229</v>
      </c>
      <c r="U9955" t="s">
        <v>57890</v>
      </c>
      <c r="W9955" t="s">
        <v>46395</v>
      </c>
      <c r="X9955" t="s">
        <v>47434</v>
      </c>
    </row>
    <row r="9956" spans="1:24">
      <c r="A9956">
        <f>HYPERLINK("https://www.philgeps.gov.ph/GEPSNONPILOT/Tender/SplashBidNoticeAbstractUI.aspx?menuIndex=3&amp;refID=7151191&amp;Result=3","7151191")</f>
        <v>0</v>
      </c>
      <c r="B9956" t="s">
        <v>3109</v>
      </c>
      <c r="C9956" t="s">
        <v>4694</v>
      </c>
      <c r="D9956" t="s">
        <v>19044</v>
      </c>
      <c r="E9956" t="s">
        <v>20926</v>
      </c>
      <c r="F9956" t="s">
        <v>32831</v>
      </c>
      <c r="G9956" t="s">
        <v>32839</v>
      </c>
      <c r="H9956" t="s">
        <v>32849</v>
      </c>
      <c r="I9956" t="s">
        <v>4177</v>
      </c>
      <c r="J9956" t="s">
        <v>39117</v>
      </c>
      <c r="K9956" t="s">
        <v>42727</v>
      </c>
      <c r="M9956" t="s">
        <v>46396</v>
      </c>
      <c r="N9956" t="s">
        <v>47424</v>
      </c>
      <c r="O9956" t="s">
        <v>47425</v>
      </c>
      <c r="P9956">
        <v>0</v>
      </c>
      <c r="Q9956">
        <v>0</v>
      </c>
      <c r="R9956" t="s">
        <v>47433</v>
      </c>
      <c r="S9956" t="s">
        <v>47633</v>
      </c>
      <c r="T9956" t="s">
        <v>49192</v>
      </c>
      <c r="U9956" t="s">
        <v>57891</v>
      </c>
      <c r="W9956" t="s">
        <v>46396</v>
      </c>
      <c r="X9956" t="s">
        <v>47434</v>
      </c>
    </row>
    <row r="9957" spans="1:24">
      <c r="A9957">
        <f>HYPERLINK("https://www.philgeps.gov.ph/GEPSNONPILOT/Tender/SplashBidNoticeAbstractUI.aspx?menuIndex=3&amp;refID=7151189&amp;Result=3","7151189")</f>
        <v>0</v>
      </c>
      <c r="B9957" t="s">
        <v>3102</v>
      </c>
      <c r="C9957" t="s">
        <v>13256</v>
      </c>
      <c r="D9957" t="s">
        <v>19091</v>
      </c>
      <c r="E9957" t="s">
        <v>27694</v>
      </c>
      <c r="F9957" t="s">
        <v>32831</v>
      </c>
      <c r="G9957" t="s">
        <v>32839</v>
      </c>
      <c r="H9957" t="s">
        <v>32849</v>
      </c>
      <c r="I9957" t="s">
        <v>4177</v>
      </c>
      <c r="J9957" t="s">
        <v>34733</v>
      </c>
      <c r="K9957" t="s">
        <v>42923</v>
      </c>
      <c r="M9957" t="s">
        <v>46386</v>
      </c>
      <c r="N9957" t="s">
        <v>47424</v>
      </c>
      <c r="O9957" t="s">
        <v>47425</v>
      </c>
      <c r="P9957">
        <v>0</v>
      </c>
      <c r="Q9957">
        <v>15</v>
      </c>
      <c r="R9957" t="s">
        <v>47433</v>
      </c>
      <c r="S9957" t="s">
        <v>47633</v>
      </c>
      <c r="T9957" t="s">
        <v>49236</v>
      </c>
      <c r="U9957" t="s">
        <v>57866</v>
      </c>
      <c r="W9957" t="s">
        <v>46386</v>
      </c>
      <c r="X9957" t="s">
        <v>47434</v>
      </c>
    </row>
    <row r="9958" spans="1:24">
      <c r="A9958">
        <f>HYPERLINK("https://www.philgeps.gov.ph/GEPSNONPILOT/Tender/SplashBidNoticeAbstractUI.aspx?menuIndex=3&amp;refID=7151297&amp;Result=3","7151297")</f>
        <v>0</v>
      </c>
      <c r="B9958" t="s">
        <v>2391</v>
      </c>
      <c r="C9958" t="s">
        <v>13257</v>
      </c>
      <c r="D9958" t="s">
        <v>19077</v>
      </c>
      <c r="E9958" t="s">
        <v>19826</v>
      </c>
      <c r="F9958" t="s">
        <v>32831</v>
      </c>
      <c r="G9958" t="s">
        <v>32838</v>
      </c>
      <c r="H9958" t="s">
        <v>32848</v>
      </c>
      <c r="I9958" t="s">
        <v>4776</v>
      </c>
      <c r="J9958" t="s">
        <v>33144</v>
      </c>
      <c r="K9958" t="s">
        <v>42731</v>
      </c>
      <c r="M9958" t="s">
        <v>45582</v>
      </c>
      <c r="N9958" t="s">
        <v>47424</v>
      </c>
      <c r="O9958" t="s">
        <v>47425</v>
      </c>
      <c r="P9958">
        <v>0</v>
      </c>
      <c r="Q9958">
        <v>1</v>
      </c>
      <c r="R9958" t="s">
        <v>47433</v>
      </c>
      <c r="S9958" t="s">
        <v>47633</v>
      </c>
      <c r="T9958" t="s">
        <v>49163</v>
      </c>
      <c r="U9958" t="s">
        <v>57892</v>
      </c>
      <c r="W9958" t="s">
        <v>45582</v>
      </c>
      <c r="X9958" t="s">
        <v>47434</v>
      </c>
    </row>
    <row r="9959" spans="1:24">
      <c r="A9959">
        <f>HYPERLINK("https://www.philgeps.gov.ph/GEPSNONPILOT/Tender/SplashBidNoticeAbstractUI.aspx?menuIndex=3&amp;refID=7151290&amp;Result=3","7151290")</f>
        <v>0</v>
      </c>
      <c r="B9959" t="s">
        <v>1441</v>
      </c>
      <c r="C9959" t="s">
        <v>13258</v>
      </c>
      <c r="D9959" t="s">
        <v>19048</v>
      </c>
      <c r="E9959" t="s">
        <v>27695</v>
      </c>
      <c r="F9959" t="s">
        <v>32831</v>
      </c>
      <c r="G9959" t="s">
        <v>32841</v>
      </c>
      <c r="H9959" t="s">
        <v>32848</v>
      </c>
      <c r="I9959" t="s">
        <v>6526</v>
      </c>
      <c r="J9959" t="s">
        <v>33087</v>
      </c>
      <c r="K9959" t="s">
        <v>42727</v>
      </c>
      <c r="M9959" t="s">
        <v>44533</v>
      </c>
      <c r="N9959" t="s">
        <v>47424</v>
      </c>
      <c r="O9959" t="s">
        <v>47425</v>
      </c>
      <c r="P9959">
        <v>0</v>
      </c>
      <c r="Q9959">
        <v>0</v>
      </c>
      <c r="R9959" t="s">
        <v>47433</v>
      </c>
      <c r="S9959" t="s">
        <v>47633</v>
      </c>
      <c r="T9959" t="s">
        <v>49162</v>
      </c>
      <c r="U9959" t="s">
        <v>57893</v>
      </c>
      <c r="W9959" t="s">
        <v>44533</v>
      </c>
      <c r="X9959" t="s">
        <v>47434</v>
      </c>
    </row>
    <row r="9960" spans="1:24">
      <c r="A9960">
        <f>HYPERLINK("https://www.philgeps.gov.ph/GEPSNONPILOT/Tender/SplashBidNoticeAbstractUI.aspx?menuIndex=3&amp;refID=7151293&amp;Result=3","7151293")</f>
        <v>0</v>
      </c>
      <c r="B9960" t="s">
        <v>3110</v>
      </c>
      <c r="C9960" t="s">
        <v>13259</v>
      </c>
      <c r="D9960" t="s">
        <v>19017</v>
      </c>
      <c r="E9960" t="s">
        <v>27696</v>
      </c>
      <c r="F9960" t="s">
        <v>32831</v>
      </c>
      <c r="G9960" t="s">
        <v>32839</v>
      </c>
      <c r="H9960" t="s">
        <v>32848</v>
      </c>
      <c r="I9960" t="s">
        <v>32861</v>
      </c>
      <c r="J9960" t="s">
        <v>39118</v>
      </c>
      <c r="K9960" t="s">
        <v>42732</v>
      </c>
      <c r="M9960" t="s">
        <v>46397</v>
      </c>
      <c r="N9960" t="s">
        <v>47424</v>
      </c>
      <c r="O9960" t="s">
        <v>47425</v>
      </c>
      <c r="Q9960">
        <v>24</v>
      </c>
      <c r="R9960" t="s">
        <v>47433</v>
      </c>
      <c r="S9960" t="s">
        <v>47660</v>
      </c>
      <c r="T9960" t="s">
        <v>49470</v>
      </c>
      <c r="U9960" t="s">
        <v>57894</v>
      </c>
      <c r="W9960" t="s">
        <v>46397</v>
      </c>
      <c r="X9960" t="s">
        <v>47434</v>
      </c>
    </row>
    <row r="9961" spans="1:24">
      <c r="A9961">
        <f>HYPERLINK("https://www.philgeps.gov.ph/GEPSNONPILOT/Tender/SplashBidNoticeAbstractUI.aspx?menuIndex=3&amp;refID=7151285&amp;Result=3","7151285")</f>
        <v>0</v>
      </c>
      <c r="B9961" t="s">
        <v>2277</v>
      </c>
      <c r="C9961" t="s">
        <v>10094</v>
      </c>
      <c r="D9961" t="s">
        <v>19031</v>
      </c>
      <c r="E9961" t="s">
        <v>27697</v>
      </c>
      <c r="F9961" t="s">
        <v>32831</v>
      </c>
      <c r="G9961" t="s">
        <v>32838</v>
      </c>
      <c r="H9961" t="s">
        <v>32848</v>
      </c>
      <c r="I9961" t="s">
        <v>32857</v>
      </c>
      <c r="J9961" t="s">
        <v>33692</v>
      </c>
      <c r="K9961" t="s">
        <v>42731</v>
      </c>
      <c r="M9961" t="s">
        <v>45538</v>
      </c>
      <c r="N9961" t="s">
        <v>47424</v>
      </c>
      <c r="O9961" t="s">
        <v>47425</v>
      </c>
      <c r="P9961">
        <v>0</v>
      </c>
      <c r="Q9961">
        <v>7</v>
      </c>
      <c r="R9961" t="s">
        <v>47433</v>
      </c>
      <c r="S9961" t="s">
        <v>47633</v>
      </c>
      <c r="T9961" t="s">
        <v>49214</v>
      </c>
      <c r="U9961" t="s">
        <v>57895</v>
      </c>
      <c r="W9961" t="s">
        <v>45538</v>
      </c>
      <c r="X9961" t="s">
        <v>47434</v>
      </c>
    </row>
    <row r="9962" spans="1:24">
      <c r="A9962">
        <f>HYPERLINK("https://www.philgeps.gov.ph/GEPSNONPILOT/Tender/SplashBidNoticeAbstractUI.aspx?menuIndex=3&amp;refID=7151303&amp;Result=3","7151303")</f>
        <v>0</v>
      </c>
      <c r="B9962" t="s">
        <v>855</v>
      </c>
      <c r="C9962" t="s">
        <v>13260</v>
      </c>
      <c r="E9962" t="s">
        <v>27698</v>
      </c>
      <c r="F9962" t="s">
        <v>32831</v>
      </c>
      <c r="G9962" t="s">
        <v>32839</v>
      </c>
      <c r="H9962" t="s">
        <v>32848</v>
      </c>
      <c r="I9962" t="s">
        <v>32861</v>
      </c>
      <c r="J9962" t="s">
        <v>39119</v>
      </c>
      <c r="K9962" t="s">
        <v>42732</v>
      </c>
      <c r="M9962" t="s">
        <v>43888</v>
      </c>
      <c r="N9962" t="s">
        <v>47424</v>
      </c>
      <c r="O9962" t="s">
        <v>47425</v>
      </c>
      <c r="P9962">
        <v>0</v>
      </c>
      <c r="Q9962">
        <v>26</v>
      </c>
      <c r="R9962" t="s">
        <v>47433</v>
      </c>
      <c r="S9962" t="s">
        <v>47633</v>
      </c>
      <c r="T9962" t="s">
        <v>49077</v>
      </c>
      <c r="U9962" t="s">
        <v>57896</v>
      </c>
      <c r="W9962" t="s">
        <v>43888</v>
      </c>
      <c r="X9962" t="s">
        <v>47434</v>
      </c>
    </row>
    <row r="9963" spans="1:24">
      <c r="A9963">
        <f>HYPERLINK("https://www.philgeps.gov.ph/GEPSNONPILOT/Tender/SplashBidNoticeAbstractUI.aspx?menuIndex=3&amp;refID=7151281&amp;Result=3","7151281")</f>
        <v>0</v>
      </c>
      <c r="B9963" t="s">
        <v>671</v>
      </c>
      <c r="C9963" t="s">
        <v>13261</v>
      </c>
      <c r="D9963" t="s">
        <v>19030</v>
      </c>
      <c r="E9963" t="s">
        <v>27699</v>
      </c>
      <c r="F9963" t="s">
        <v>32831</v>
      </c>
      <c r="G9963" t="s">
        <v>32839</v>
      </c>
      <c r="H9963" t="s">
        <v>32849</v>
      </c>
      <c r="I9963" t="s">
        <v>4177</v>
      </c>
      <c r="J9963" t="s">
        <v>33032</v>
      </c>
      <c r="K9963" t="s">
        <v>42766</v>
      </c>
      <c r="M9963" t="s">
        <v>46398</v>
      </c>
      <c r="N9963" t="s">
        <v>47424</v>
      </c>
      <c r="O9963" t="s">
        <v>47425</v>
      </c>
      <c r="P9963">
        <v>0</v>
      </c>
      <c r="Q9963">
        <v>54</v>
      </c>
      <c r="R9963" t="s">
        <v>47433</v>
      </c>
      <c r="S9963" t="s">
        <v>47633</v>
      </c>
      <c r="T9963" t="s">
        <v>49470</v>
      </c>
      <c r="U9963" t="s">
        <v>52028</v>
      </c>
      <c r="V9963" t="s">
        <v>62999</v>
      </c>
      <c r="W9963" t="s">
        <v>64462</v>
      </c>
      <c r="X9963" t="s">
        <v>47434</v>
      </c>
    </row>
    <row r="9964" spans="1:24">
      <c r="A9964">
        <f>HYPERLINK("https://www.philgeps.gov.ph/GEPSNONPILOT/Tender/SplashBidNoticeAbstractUI.aspx?menuIndex=3&amp;refID=7151279&amp;Result=3","7151279")</f>
        <v>0</v>
      </c>
      <c r="B9964" t="s">
        <v>1864</v>
      </c>
      <c r="C9964" t="s">
        <v>4067</v>
      </c>
      <c r="D9964" t="s">
        <v>19045</v>
      </c>
      <c r="E9964" t="s">
        <v>27700</v>
      </c>
      <c r="F9964" t="s">
        <v>32831</v>
      </c>
      <c r="G9964" t="s">
        <v>32839</v>
      </c>
      <c r="H9964" t="s">
        <v>32848</v>
      </c>
      <c r="I9964" t="s">
        <v>9577</v>
      </c>
      <c r="J9964" t="s">
        <v>39120</v>
      </c>
      <c r="K9964" t="s">
        <v>42731</v>
      </c>
      <c r="M9964" t="s">
        <v>45006</v>
      </c>
      <c r="N9964" t="s">
        <v>47424</v>
      </c>
      <c r="O9964" t="s">
        <v>47425</v>
      </c>
      <c r="P9964">
        <v>0</v>
      </c>
      <c r="Q9964">
        <v>1</v>
      </c>
      <c r="R9964" t="s">
        <v>47433</v>
      </c>
      <c r="S9964" t="s">
        <v>47633</v>
      </c>
      <c r="T9964" t="s">
        <v>49173</v>
      </c>
      <c r="U9964" t="s">
        <v>57897</v>
      </c>
      <c r="W9964" t="s">
        <v>45006</v>
      </c>
      <c r="X9964" t="s">
        <v>47434</v>
      </c>
    </row>
    <row r="9965" spans="1:24">
      <c r="A9965">
        <f>HYPERLINK("https://www.philgeps.gov.ph/GEPSNONPILOT/Tender/SplashBidNoticeAbstractUI.aspx?menuIndex=3&amp;refID=7151263&amp;Result=3","7151263")</f>
        <v>0</v>
      </c>
      <c r="B9965" t="s">
        <v>1115</v>
      </c>
      <c r="C9965" t="s">
        <v>13262</v>
      </c>
      <c r="D9965" t="s">
        <v>19017</v>
      </c>
      <c r="E9965" t="s">
        <v>27701</v>
      </c>
      <c r="F9965" t="s">
        <v>32831</v>
      </c>
      <c r="G9965" t="s">
        <v>32839</v>
      </c>
      <c r="H9965" t="s">
        <v>32848</v>
      </c>
      <c r="I9965" t="s">
        <v>32887</v>
      </c>
      <c r="J9965" t="s">
        <v>39121</v>
      </c>
      <c r="K9965" t="s">
        <v>42732</v>
      </c>
      <c r="M9965" t="s">
        <v>46150</v>
      </c>
      <c r="N9965" t="s">
        <v>47424</v>
      </c>
      <c r="O9965" t="s">
        <v>47425</v>
      </c>
      <c r="P9965">
        <v>0</v>
      </c>
      <c r="Q9965">
        <v>10</v>
      </c>
      <c r="R9965" t="s">
        <v>47433</v>
      </c>
      <c r="S9965" t="s">
        <v>47633</v>
      </c>
      <c r="T9965" t="s">
        <v>49319</v>
      </c>
      <c r="U9965" t="s">
        <v>57898</v>
      </c>
      <c r="V9965" t="s">
        <v>63722</v>
      </c>
      <c r="W9965" t="s">
        <v>46150</v>
      </c>
      <c r="X9965" t="s">
        <v>47434</v>
      </c>
    </row>
    <row r="9966" spans="1:24">
      <c r="A9966">
        <f>HYPERLINK("https://www.philgeps.gov.ph/GEPSNONPILOT/Tender/SplashBidNoticeAbstractUI.aspx?menuIndex=3&amp;refID=7151260&amp;Result=3","7151260")</f>
        <v>0</v>
      </c>
      <c r="B9966" t="s">
        <v>3097</v>
      </c>
      <c r="C9966" t="s">
        <v>13263</v>
      </c>
      <c r="D9966" t="s">
        <v>19060</v>
      </c>
      <c r="E9966" t="s">
        <v>27702</v>
      </c>
      <c r="F9966" t="s">
        <v>32831</v>
      </c>
      <c r="G9966" t="s">
        <v>32839</v>
      </c>
      <c r="H9966" t="s">
        <v>32848</v>
      </c>
      <c r="I9966" t="s">
        <v>32860</v>
      </c>
      <c r="J9966" t="s">
        <v>33973</v>
      </c>
      <c r="K9966" t="s">
        <v>42730</v>
      </c>
      <c r="M9966" t="s">
        <v>46380</v>
      </c>
      <c r="N9966" t="s">
        <v>47424</v>
      </c>
      <c r="O9966" t="s">
        <v>47425</v>
      </c>
      <c r="P9966">
        <v>0</v>
      </c>
      <c r="Q9966">
        <v>3</v>
      </c>
      <c r="R9966" t="s">
        <v>47433</v>
      </c>
      <c r="S9966" t="s">
        <v>47633</v>
      </c>
      <c r="T9966" t="s">
        <v>49112</v>
      </c>
      <c r="U9966" t="s">
        <v>57831</v>
      </c>
      <c r="W9966" t="s">
        <v>46380</v>
      </c>
      <c r="X9966" t="s">
        <v>47434</v>
      </c>
    </row>
    <row r="9967" spans="1:24">
      <c r="A9967">
        <f>HYPERLINK("https://www.philgeps.gov.ph/GEPSNONPILOT/Tender/SplashBidNoticeAbstractUI.aspx?menuIndex=3&amp;refID=7151286&amp;Result=3","7151286")</f>
        <v>0</v>
      </c>
      <c r="B9967" t="s">
        <v>1037</v>
      </c>
      <c r="C9967" t="s">
        <v>13264</v>
      </c>
      <c r="D9967" t="s">
        <v>19100</v>
      </c>
      <c r="E9967" t="s">
        <v>22301</v>
      </c>
      <c r="F9967" t="s">
        <v>32831</v>
      </c>
      <c r="G9967" t="s">
        <v>32839</v>
      </c>
      <c r="H9967" t="s">
        <v>32848</v>
      </c>
      <c r="I9967" t="s">
        <v>32857</v>
      </c>
      <c r="J9967" t="s">
        <v>39122</v>
      </c>
      <c r="K9967" t="s">
        <v>42750</v>
      </c>
      <c r="M9967" t="s">
        <v>44091</v>
      </c>
      <c r="N9967" t="s">
        <v>47424</v>
      </c>
      <c r="O9967" t="s">
        <v>47425</v>
      </c>
      <c r="P9967">
        <v>0</v>
      </c>
      <c r="Q9967">
        <v>1</v>
      </c>
      <c r="R9967" t="s">
        <v>47433</v>
      </c>
      <c r="S9967" t="s">
        <v>47633</v>
      </c>
      <c r="T9967" t="s">
        <v>49059</v>
      </c>
      <c r="U9967" t="s">
        <v>57899</v>
      </c>
      <c r="W9967" t="s">
        <v>44091</v>
      </c>
      <c r="X9967" t="s">
        <v>47434</v>
      </c>
    </row>
    <row r="9968" spans="1:24">
      <c r="A9968">
        <f>HYPERLINK("https://www.philgeps.gov.ph/GEPSNONPILOT/Tender/SplashBidNoticeAbstractUI.aspx?menuIndex=3&amp;refID=7151255&amp;Result=3","7151255")</f>
        <v>0</v>
      </c>
      <c r="B9968" t="s">
        <v>2277</v>
      </c>
      <c r="C9968" t="s">
        <v>10094</v>
      </c>
      <c r="D9968" t="s">
        <v>19031</v>
      </c>
      <c r="E9968" t="s">
        <v>27703</v>
      </c>
      <c r="F9968" t="s">
        <v>32831</v>
      </c>
      <c r="G9968" t="s">
        <v>32838</v>
      </c>
      <c r="H9968" t="s">
        <v>32848</v>
      </c>
      <c r="I9968" t="s">
        <v>32857</v>
      </c>
      <c r="J9968" t="s">
        <v>33424</v>
      </c>
      <c r="K9968" t="s">
        <v>42731</v>
      </c>
      <c r="M9968" t="s">
        <v>45538</v>
      </c>
      <c r="N9968" t="s">
        <v>47424</v>
      </c>
      <c r="O9968" t="s">
        <v>47425</v>
      </c>
      <c r="P9968">
        <v>0</v>
      </c>
      <c r="Q9968">
        <v>3</v>
      </c>
      <c r="R9968" t="s">
        <v>47433</v>
      </c>
      <c r="S9968" t="s">
        <v>47633</v>
      </c>
      <c r="T9968" t="s">
        <v>49214</v>
      </c>
      <c r="U9968" t="s">
        <v>57900</v>
      </c>
      <c r="W9968" t="s">
        <v>45538</v>
      </c>
      <c r="X9968" t="s">
        <v>47434</v>
      </c>
    </row>
    <row r="9969" spans="1:24">
      <c r="A9969">
        <f>HYPERLINK("https://www.philgeps.gov.ph/GEPSNONPILOT/Tender/SplashBidNoticeAbstractUI.aspx?menuIndex=3&amp;refID=7151278&amp;Result=3","7151278")</f>
        <v>0</v>
      </c>
      <c r="B9969" t="s">
        <v>3111</v>
      </c>
      <c r="C9969" t="s">
        <v>13265</v>
      </c>
      <c r="D9969" t="s">
        <v>19088</v>
      </c>
      <c r="E9969" t="s">
        <v>27704</v>
      </c>
      <c r="F9969" t="s">
        <v>32831</v>
      </c>
      <c r="G9969" t="s">
        <v>32839</v>
      </c>
      <c r="H9969" t="s">
        <v>32848</v>
      </c>
      <c r="I9969" t="s">
        <v>32855</v>
      </c>
      <c r="J9969" t="s">
        <v>39123</v>
      </c>
      <c r="K9969" t="s">
        <v>42727</v>
      </c>
      <c r="M9969" t="s">
        <v>46399</v>
      </c>
      <c r="N9969" t="s">
        <v>47424</v>
      </c>
      <c r="O9969" t="s">
        <v>47425</v>
      </c>
      <c r="P9969">
        <v>0</v>
      </c>
      <c r="Q9969">
        <v>9</v>
      </c>
      <c r="R9969" t="s">
        <v>47433</v>
      </c>
      <c r="S9969" t="s">
        <v>47633</v>
      </c>
      <c r="T9969" t="s">
        <v>49250</v>
      </c>
      <c r="U9969" t="s">
        <v>57901</v>
      </c>
      <c r="W9969" t="s">
        <v>46399</v>
      </c>
      <c r="X9969" t="s">
        <v>47434</v>
      </c>
    </row>
    <row r="9970" spans="1:24">
      <c r="A9970">
        <f>HYPERLINK("https://www.philgeps.gov.ph/GEPSNONPILOT/Tender/SplashBidNoticeAbstractUI.aspx?menuIndex=3&amp;refID=7151352&amp;Result=3","7151352")</f>
        <v>0</v>
      </c>
      <c r="B9970" t="s">
        <v>855</v>
      </c>
      <c r="C9970" t="s">
        <v>13266</v>
      </c>
      <c r="E9970" t="s">
        <v>27705</v>
      </c>
      <c r="F9970" t="s">
        <v>32831</v>
      </c>
      <c r="G9970" t="s">
        <v>32839</v>
      </c>
      <c r="H9970" t="s">
        <v>32848</v>
      </c>
      <c r="I9970" t="s">
        <v>32861</v>
      </c>
      <c r="J9970" t="s">
        <v>39124</v>
      </c>
      <c r="K9970" t="s">
        <v>42732</v>
      </c>
      <c r="M9970" t="s">
        <v>43888</v>
      </c>
      <c r="N9970" t="s">
        <v>47424</v>
      </c>
      <c r="O9970" t="s">
        <v>47425</v>
      </c>
      <c r="P9970">
        <v>0</v>
      </c>
      <c r="Q9970">
        <v>32</v>
      </c>
      <c r="R9970" t="s">
        <v>47433</v>
      </c>
      <c r="S9970" t="s">
        <v>47633</v>
      </c>
      <c r="T9970" t="s">
        <v>49077</v>
      </c>
      <c r="U9970" t="s">
        <v>57896</v>
      </c>
      <c r="W9970" t="s">
        <v>43888</v>
      </c>
      <c r="X9970" t="s">
        <v>47434</v>
      </c>
    </row>
    <row r="9971" spans="1:24">
      <c r="A9971">
        <f>HYPERLINK("https://www.philgeps.gov.ph/GEPSNONPILOT/Tender/SplashBidNoticeAbstractUI.aspx?menuIndex=3&amp;refID=7151353&amp;Result=3","7151353")</f>
        <v>0</v>
      </c>
      <c r="B9971" t="s">
        <v>3112</v>
      </c>
      <c r="C9971" t="s">
        <v>13267</v>
      </c>
      <c r="E9971" t="s">
        <v>27706</v>
      </c>
      <c r="F9971" t="s">
        <v>32831</v>
      </c>
      <c r="G9971" t="s">
        <v>32839</v>
      </c>
      <c r="H9971" t="s">
        <v>32849</v>
      </c>
      <c r="I9971" t="s">
        <v>4177</v>
      </c>
      <c r="J9971" t="s">
        <v>39125</v>
      </c>
      <c r="K9971" t="s">
        <v>42732</v>
      </c>
      <c r="M9971" t="s">
        <v>46400</v>
      </c>
      <c r="N9971" t="s">
        <v>47424</v>
      </c>
      <c r="O9971" t="s">
        <v>47425</v>
      </c>
      <c r="P9971">
        <v>0</v>
      </c>
      <c r="Q9971">
        <v>9</v>
      </c>
      <c r="R9971" t="s">
        <v>47433</v>
      </c>
      <c r="S9971" t="s">
        <v>47633</v>
      </c>
      <c r="T9971" t="s">
        <v>49084</v>
      </c>
      <c r="U9971" t="s">
        <v>57902</v>
      </c>
      <c r="W9971" t="s">
        <v>64535</v>
      </c>
      <c r="X9971" t="s">
        <v>47434</v>
      </c>
    </row>
    <row r="9972" spans="1:24">
      <c r="A9972">
        <f>HYPERLINK("https://www.philgeps.gov.ph/GEPSNONPILOT/Tender/SplashBidNoticeAbstractUI.aspx?menuIndex=3&amp;refID=7151345&amp;Result=3","7151345")</f>
        <v>0</v>
      </c>
      <c r="B9972" t="s">
        <v>719</v>
      </c>
      <c r="C9972" t="s">
        <v>13268</v>
      </c>
      <c r="D9972" t="s">
        <v>19017</v>
      </c>
      <c r="E9972" t="s">
        <v>27707</v>
      </c>
      <c r="F9972" t="s">
        <v>32831</v>
      </c>
      <c r="G9972" t="s">
        <v>32838</v>
      </c>
      <c r="H9972" t="s">
        <v>32848</v>
      </c>
      <c r="I9972" t="s">
        <v>4340</v>
      </c>
      <c r="J9972" t="s">
        <v>39126</v>
      </c>
      <c r="K9972" t="s">
        <v>42732</v>
      </c>
      <c r="M9972" t="s">
        <v>46389</v>
      </c>
      <c r="N9972" t="s">
        <v>47424</v>
      </c>
      <c r="O9972" t="s">
        <v>47425</v>
      </c>
      <c r="P9972">
        <v>0</v>
      </c>
      <c r="Q9972">
        <v>3</v>
      </c>
      <c r="R9972" t="s">
        <v>47433</v>
      </c>
      <c r="S9972" t="s">
        <v>47633</v>
      </c>
      <c r="T9972" t="s">
        <v>49111</v>
      </c>
      <c r="U9972" t="s">
        <v>57903</v>
      </c>
      <c r="V9972" t="s">
        <v>63720</v>
      </c>
      <c r="W9972" t="s">
        <v>46389</v>
      </c>
      <c r="X9972" t="s">
        <v>47434</v>
      </c>
    </row>
    <row r="9973" spans="1:24">
      <c r="A9973">
        <f>HYPERLINK("https://www.philgeps.gov.ph/GEPSNONPILOT/Tender/SplashBidNoticeAbstractUI.aspx?menuIndex=3&amp;refID=7151307&amp;Result=3","7151307")</f>
        <v>0</v>
      </c>
      <c r="B9973" t="s">
        <v>3065</v>
      </c>
      <c r="C9973" t="s">
        <v>13269</v>
      </c>
      <c r="D9973" t="s">
        <v>19017</v>
      </c>
      <c r="E9973" t="s">
        <v>22299</v>
      </c>
      <c r="F9973" t="s">
        <v>32831</v>
      </c>
      <c r="G9973" t="s">
        <v>32839</v>
      </c>
      <c r="H9973" t="s">
        <v>32848</v>
      </c>
      <c r="I9973" t="s">
        <v>4438</v>
      </c>
      <c r="J9973" t="s">
        <v>32980</v>
      </c>
      <c r="K9973" t="s">
        <v>42726</v>
      </c>
      <c r="M9973" t="s">
        <v>46339</v>
      </c>
      <c r="N9973" t="s">
        <v>47424</v>
      </c>
      <c r="O9973" t="s">
        <v>47425</v>
      </c>
      <c r="P9973">
        <v>0</v>
      </c>
      <c r="Q9973">
        <v>1</v>
      </c>
      <c r="R9973" t="s">
        <v>47433</v>
      </c>
      <c r="S9973" t="s">
        <v>47633</v>
      </c>
      <c r="T9973" t="s">
        <v>49237</v>
      </c>
      <c r="U9973" t="s">
        <v>57662</v>
      </c>
      <c r="W9973" t="s">
        <v>46339</v>
      </c>
      <c r="X9973" t="s">
        <v>47434</v>
      </c>
    </row>
    <row r="9974" spans="1:24">
      <c r="A9974">
        <f>HYPERLINK("https://www.philgeps.gov.ph/GEPSNONPILOT/Tender/SplashBidNoticeAbstractUI.aspx?menuIndex=3&amp;refID=7151342&amp;Result=3","7151342")</f>
        <v>0</v>
      </c>
      <c r="B9974" t="s">
        <v>855</v>
      </c>
      <c r="C9974" t="s">
        <v>13270</v>
      </c>
      <c r="E9974" t="s">
        <v>27708</v>
      </c>
      <c r="F9974" t="s">
        <v>32831</v>
      </c>
      <c r="G9974" t="s">
        <v>32839</v>
      </c>
      <c r="H9974" t="s">
        <v>32848</v>
      </c>
      <c r="I9974" t="s">
        <v>32861</v>
      </c>
      <c r="J9974" t="s">
        <v>39127</v>
      </c>
      <c r="K9974" t="s">
        <v>42732</v>
      </c>
      <c r="M9974" t="s">
        <v>43888</v>
      </c>
      <c r="N9974" t="s">
        <v>47424</v>
      </c>
      <c r="O9974" t="s">
        <v>47425</v>
      </c>
      <c r="P9974">
        <v>0</v>
      </c>
      <c r="Q9974">
        <v>30</v>
      </c>
      <c r="R9974" t="s">
        <v>47433</v>
      </c>
      <c r="S9974" t="s">
        <v>47633</v>
      </c>
      <c r="T9974" t="s">
        <v>49077</v>
      </c>
      <c r="U9974" t="s">
        <v>57896</v>
      </c>
      <c r="W9974" t="s">
        <v>43888</v>
      </c>
      <c r="X9974" t="s">
        <v>47434</v>
      </c>
    </row>
    <row r="9975" spans="1:24">
      <c r="A9975">
        <f>HYPERLINK("https://www.philgeps.gov.ph/GEPSNONPILOT/Tender/SplashBidNoticeAbstractUI.aspx?menuIndex=3&amp;refID=7151341&amp;Result=3","7151341")</f>
        <v>0</v>
      </c>
      <c r="B9975" t="s">
        <v>460</v>
      </c>
      <c r="C9975" t="s">
        <v>13271</v>
      </c>
      <c r="D9975" t="s">
        <v>19086</v>
      </c>
      <c r="E9975" t="s">
        <v>27709</v>
      </c>
      <c r="F9975" t="s">
        <v>32831</v>
      </c>
      <c r="G9975" t="s">
        <v>32839</v>
      </c>
      <c r="H9975" t="s">
        <v>32848</v>
      </c>
      <c r="I9975" t="s">
        <v>4487</v>
      </c>
      <c r="J9975" t="s">
        <v>39128</v>
      </c>
      <c r="K9975" t="s">
        <v>42770</v>
      </c>
      <c r="M9975" t="s">
        <v>43465</v>
      </c>
      <c r="N9975" t="s">
        <v>47424</v>
      </c>
      <c r="O9975" t="s">
        <v>47425</v>
      </c>
      <c r="P9975">
        <v>0</v>
      </c>
      <c r="Q9975">
        <v>11</v>
      </c>
      <c r="R9975" t="s">
        <v>47433</v>
      </c>
      <c r="S9975" t="s">
        <v>47633</v>
      </c>
      <c r="T9975" t="s">
        <v>49173</v>
      </c>
      <c r="U9975" t="s">
        <v>57904</v>
      </c>
      <c r="V9975" t="s">
        <v>63723</v>
      </c>
      <c r="W9975" t="s">
        <v>43465</v>
      </c>
      <c r="X9975" t="s">
        <v>47434</v>
      </c>
    </row>
    <row r="9976" spans="1:24">
      <c r="A9976">
        <f>HYPERLINK("https://www.philgeps.gov.ph/GEPSNONPILOT/Tender/SplashBidNoticeAbstractUI.aspx?menuIndex=3&amp;refID=7151331&amp;Result=3","7151331")</f>
        <v>0</v>
      </c>
      <c r="B9976" t="s">
        <v>3113</v>
      </c>
      <c r="C9976" t="s">
        <v>13272</v>
      </c>
      <c r="D9976" t="s">
        <v>19068</v>
      </c>
      <c r="E9976" t="s">
        <v>26151</v>
      </c>
      <c r="F9976" t="s">
        <v>32831</v>
      </c>
      <c r="G9976" t="s">
        <v>32839</v>
      </c>
      <c r="H9976" t="s">
        <v>32849</v>
      </c>
      <c r="I9976" t="s">
        <v>4177</v>
      </c>
      <c r="J9976" t="s">
        <v>39129</v>
      </c>
      <c r="K9976" t="s">
        <v>42751</v>
      </c>
      <c r="L9976" t="s">
        <v>3113</v>
      </c>
      <c r="M9976" t="s">
        <v>46401</v>
      </c>
      <c r="N9976" t="s">
        <v>47424</v>
      </c>
      <c r="O9976" t="s">
        <v>47425</v>
      </c>
      <c r="P9976">
        <v>0</v>
      </c>
      <c r="Q9976">
        <v>1</v>
      </c>
      <c r="R9976" t="s">
        <v>47433</v>
      </c>
      <c r="S9976" t="s">
        <v>47633</v>
      </c>
      <c r="T9976" t="s">
        <v>49236</v>
      </c>
      <c r="U9976" t="s">
        <v>57905</v>
      </c>
      <c r="W9976" t="s">
        <v>46401</v>
      </c>
      <c r="X9976" t="s">
        <v>47434</v>
      </c>
    </row>
    <row r="9977" spans="1:24">
      <c r="A9977">
        <f>HYPERLINK("https://www.philgeps.gov.ph/GEPSNONPILOT/Tender/SplashBidNoticeAbstractUI.aspx?menuIndex=3&amp;refID=7151329&amp;Result=3","7151329")</f>
        <v>0</v>
      </c>
      <c r="B9977" t="s">
        <v>3114</v>
      </c>
      <c r="C9977" t="s">
        <v>13273</v>
      </c>
      <c r="D9977" t="s">
        <v>19046</v>
      </c>
      <c r="E9977" t="s">
        <v>27710</v>
      </c>
      <c r="F9977" t="s">
        <v>32831</v>
      </c>
      <c r="G9977" t="s">
        <v>32839</v>
      </c>
      <c r="H9977" t="s">
        <v>32848</v>
      </c>
      <c r="I9977" t="s">
        <v>10805</v>
      </c>
      <c r="J9977" t="s">
        <v>39130</v>
      </c>
      <c r="K9977" t="s">
        <v>42727</v>
      </c>
      <c r="M9977" t="s">
        <v>46402</v>
      </c>
      <c r="N9977" t="s">
        <v>47424</v>
      </c>
      <c r="O9977" t="s">
        <v>47425</v>
      </c>
      <c r="P9977">
        <v>0</v>
      </c>
      <c r="Q9977">
        <v>11</v>
      </c>
      <c r="R9977" t="s">
        <v>47433</v>
      </c>
      <c r="S9977" t="s">
        <v>47633</v>
      </c>
      <c r="T9977" t="s">
        <v>49111</v>
      </c>
      <c r="U9977" t="s">
        <v>57906</v>
      </c>
      <c r="W9977" t="s">
        <v>46402</v>
      </c>
      <c r="X9977" t="s">
        <v>47434</v>
      </c>
    </row>
    <row r="9978" spans="1:24">
      <c r="A9978">
        <f>HYPERLINK("https://www.philgeps.gov.ph/GEPSNONPILOT/Tender/SplashBidNoticeAbstractUI.aspx?menuIndex=3&amp;refID=7151334&amp;Result=3","7151334")</f>
        <v>0</v>
      </c>
      <c r="B9978" t="s">
        <v>628</v>
      </c>
      <c r="C9978" t="s">
        <v>13274</v>
      </c>
      <c r="D9978" t="s">
        <v>19043</v>
      </c>
      <c r="E9978" t="s">
        <v>27711</v>
      </c>
      <c r="F9978" t="s">
        <v>32831</v>
      </c>
      <c r="G9978" t="s">
        <v>32839</v>
      </c>
      <c r="H9978" t="s">
        <v>32848</v>
      </c>
      <c r="I9978" t="s">
        <v>32875</v>
      </c>
      <c r="J9978" t="s">
        <v>33257</v>
      </c>
      <c r="K9978" t="s">
        <v>42727</v>
      </c>
      <c r="M9978" t="s">
        <v>43645</v>
      </c>
      <c r="N9978" t="s">
        <v>47424</v>
      </c>
      <c r="O9978" t="s">
        <v>47425</v>
      </c>
      <c r="P9978">
        <v>0</v>
      </c>
      <c r="Q9978">
        <v>2</v>
      </c>
      <c r="R9978" t="s">
        <v>47433</v>
      </c>
      <c r="S9978" t="s">
        <v>47633</v>
      </c>
      <c r="T9978" t="s">
        <v>49338</v>
      </c>
      <c r="U9978" t="s">
        <v>57907</v>
      </c>
      <c r="V9978" t="s">
        <v>63708</v>
      </c>
      <c r="W9978" t="s">
        <v>43645</v>
      </c>
      <c r="X9978" t="s">
        <v>47434</v>
      </c>
    </row>
    <row r="9979" spans="1:24">
      <c r="A9979">
        <f>HYPERLINK("https://www.philgeps.gov.ph/GEPSNONPILOT/Tender/SplashBidNoticeAbstractUI.aspx?menuIndex=3&amp;refID=7151327&amp;Result=3","7151327")</f>
        <v>0</v>
      </c>
      <c r="B9979" t="s">
        <v>855</v>
      </c>
      <c r="C9979" t="s">
        <v>13275</v>
      </c>
      <c r="E9979" t="s">
        <v>27712</v>
      </c>
      <c r="F9979" t="s">
        <v>32831</v>
      </c>
      <c r="G9979" t="s">
        <v>32839</v>
      </c>
      <c r="H9979" t="s">
        <v>32848</v>
      </c>
      <c r="I9979" t="s">
        <v>32861</v>
      </c>
      <c r="J9979" t="s">
        <v>39131</v>
      </c>
      <c r="K9979" t="s">
        <v>42732</v>
      </c>
      <c r="M9979" t="s">
        <v>43888</v>
      </c>
      <c r="N9979" t="s">
        <v>47424</v>
      </c>
      <c r="O9979" t="s">
        <v>47425</v>
      </c>
      <c r="P9979">
        <v>0</v>
      </c>
      <c r="Q9979">
        <v>29</v>
      </c>
      <c r="R9979" t="s">
        <v>47433</v>
      </c>
      <c r="S9979" t="s">
        <v>47633</v>
      </c>
      <c r="T9979" t="s">
        <v>49077</v>
      </c>
      <c r="U9979" t="s">
        <v>57896</v>
      </c>
      <c r="W9979" t="s">
        <v>43888</v>
      </c>
      <c r="X9979" t="s">
        <v>47434</v>
      </c>
    </row>
    <row r="9980" spans="1:24">
      <c r="A9980">
        <f>HYPERLINK("https://www.philgeps.gov.ph/GEPSNONPILOT/Tender/SplashBidNoticeAbstractUI.aspx?menuIndex=3&amp;refID=7151388&amp;Result=3","7151388")</f>
        <v>0</v>
      </c>
      <c r="B9980" t="s">
        <v>855</v>
      </c>
      <c r="C9980" t="s">
        <v>13276</v>
      </c>
      <c r="E9980" t="s">
        <v>27713</v>
      </c>
      <c r="F9980" t="s">
        <v>32831</v>
      </c>
      <c r="G9980" t="s">
        <v>32839</v>
      </c>
      <c r="H9980" t="s">
        <v>32848</v>
      </c>
      <c r="I9980" t="s">
        <v>32861</v>
      </c>
      <c r="J9980" t="s">
        <v>39132</v>
      </c>
      <c r="K9980" t="s">
        <v>42732</v>
      </c>
      <c r="M9980" t="s">
        <v>43888</v>
      </c>
      <c r="N9980" t="s">
        <v>47424</v>
      </c>
      <c r="O9980" t="s">
        <v>47425</v>
      </c>
      <c r="P9980">
        <v>0</v>
      </c>
      <c r="Q9980">
        <v>33</v>
      </c>
      <c r="R9980" t="s">
        <v>47433</v>
      </c>
      <c r="S9980" t="s">
        <v>47633</v>
      </c>
      <c r="T9980" t="s">
        <v>49077</v>
      </c>
      <c r="U9980" t="s">
        <v>57896</v>
      </c>
      <c r="W9980" t="s">
        <v>43888</v>
      </c>
      <c r="X9980" t="s">
        <v>47434</v>
      </c>
    </row>
    <row r="9981" spans="1:24">
      <c r="A9981">
        <f>HYPERLINK("https://www.philgeps.gov.ph/GEPSNONPILOT/Tender/SplashBidNoticeAbstractUI.aspx?menuIndex=3&amp;refID=7151339&amp;Result=3","7151339")</f>
        <v>0</v>
      </c>
      <c r="B9981" t="s">
        <v>3065</v>
      </c>
      <c r="C9981" t="s">
        <v>13277</v>
      </c>
      <c r="D9981" t="s">
        <v>19017</v>
      </c>
      <c r="E9981" t="s">
        <v>27714</v>
      </c>
      <c r="F9981" t="s">
        <v>32831</v>
      </c>
      <c r="G9981" t="s">
        <v>32838</v>
      </c>
      <c r="H9981" t="s">
        <v>32848</v>
      </c>
      <c r="I9981" t="s">
        <v>4438</v>
      </c>
      <c r="J9981" t="s">
        <v>33133</v>
      </c>
      <c r="K9981" t="s">
        <v>42726</v>
      </c>
      <c r="M9981" t="s">
        <v>46339</v>
      </c>
      <c r="N9981" t="s">
        <v>47424</v>
      </c>
      <c r="O9981" t="s">
        <v>47425</v>
      </c>
      <c r="P9981">
        <v>0</v>
      </c>
      <c r="Q9981">
        <v>2</v>
      </c>
      <c r="R9981" t="s">
        <v>47433</v>
      </c>
      <c r="S9981" t="s">
        <v>47633</v>
      </c>
      <c r="T9981" t="s">
        <v>49237</v>
      </c>
      <c r="U9981" t="s">
        <v>57908</v>
      </c>
      <c r="W9981" t="s">
        <v>46339</v>
      </c>
      <c r="X9981" t="s">
        <v>47434</v>
      </c>
    </row>
    <row r="9982" spans="1:24">
      <c r="A9982">
        <f>HYPERLINK("https://www.philgeps.gov.ph/GEPSNONPILOT/Tender/SplashBidNoticeAbstractUI.aspx?menuIndex=3&amp;refID=7151405&amp;Result=3","7151405")</f>
        <v>0</v>
      </c>
      <c r="B9982" t="s">
        <v>855</v>
      </c>
      <c r="C9982" t="s">
        <v>13278</v>
      </c>
      <c r="E9982" t="s">
        <v>27715</v>
      </c>
      <c r="F9982" t="s">
        <v>32831</v>
      </c>
      <c r="G9982" t="s">
        <v>32839</v>
      </c>
      <c r="H9982" t="s">
        <v>32848</v>
      </c>
      <c r="I9982" t="s">
        <v>32861</v>
      </c>
      <c r="J9982" t="s">
        <v>39133</v>
      </c>
      <c r="K9982" t="s">
        <v>42732</v>
      </c>
      <c r="M9982" t="s">
        <v>43888</v>
      </c>
      <c r="N9982" t="s">
        <v>47424</v>
      </c>
      <c r="O9982" t="s">
        <v>47425</v>
      </c>
      <c r="P9982">
        <v>0</v>
      </c>
      <c r="Q9982">
        <v>40</v>
      </c>
      <c r="R9982" t="s">
        <v>47433</v>
      </c>
      <c r="S9982" t="s">
        <v>47633</v>
      </c>
      <c r="T9982" t="s">
        <v>49077</v>
      </c>
      <c r="U9982" t="s">
        <v>57896</v>
      </c>
      <c r="W9982" t="s">
        <v>43888</v>
      </c>
      <c r="X9982" t="s">
        <v>47434</v>
      </c>
    </row>
    <row r="9983" spans="1:24">
      <c r="A9983">
        <f>HYPERLINK("https://www.philgeps.gov.ph/GEPSNONPILOT/Tender/SplashBidNoticeAbstractUI.aspx?menuIndex=3&amp;refID=7151300&amp;Result=3","7151300")</f>
        <v>0</v>
      </c>
      <c r="B9983" t="s">
        <v>2429</v>
      </c>
      <c r="C9983" t="s">
        <v>13279</v>
      </c>
      <c r="D9983" t="s">
        <v>19064</v>
      </c>
      <c r="E9983" t="s">
        <v>27716</v>
      </c>
      <c r="F9983" t="s">
        <v>32831</v>
      </c>
      <c r="G9983" t="s">
        <v>32839</v>
      </c>
      <c r="H9983" t="s">
        <v>32848</v>
      </c>
      <c r="I9983" t="s">
        <v>32859</v>
      </c>
      <c r="J9983" t="s">
        <v>33087</v>
      </c>
      <c r="K9983" t="s">
        <v>42731</v>
      </c>
      <c r="M9983" t="s">
        <v>45626</v>
      </c>
      <c r="N9983" t="s">
        <v>47424</v>
      </c>
      <c r="O9983" t="s">
        <v>47425</v>
      </c>
      <c r="P9983">
        <v>0</v>
      </c>
      <c r="Q9983">
        <v>0</v>
      </c>
      <c r="R9983" t="s">
        <v>47433</v>
      </c>
      <c r="S9983" t="s">
        <v>47633</v>
      </c>
      <c r="T9983" t="s">
        <v>49056</v>
      </c>
      <c r="U9983" t="s">
        <v>57909</v>
      </c>
      <c r="W9983" t="s">
        <v>45626</v>
      </c>
      <c r="X9983" t="s">
        <v>47434</v>
      </c>
    </row>
    <row r="9984" spans="1:24">
      <c r="A9984">
        <f>HYPERLINK("https://www.philgeps.gov.ph/GEPSNONPILOT/Tender/SplashBidNoticeAbstractUI.aspx?menuIndex=3&amp;refID=7151402&amp;Result=3","7151402")</f>
        <v>0</v>
      </c>
      <c r="B9984" t="s">
        <v>3115</v>
      </c>
      <c r="C9984" t="s">
        <v>13280</v>
      </c>
      <c r="D9984" t="s">
        <v>19019</v>
      </c>
      <c r="E9984" t="s">
        <v>19311</v>
      </c>
      <c r="F9984" t="s">
        <v>32831</v>
      </c>
      <c r="G9984" t="s">
        <v>32839</v>
      </c>
      <c r="H9984" t="s">
        <v>32848</v>
      </c>
      <c r="I9984" t="s">
        <v>7751</v>
      </c>
      <c r="J9984" t="s">
        <v>39134</v>
      </c>
      <c r="K9984" t="s">
        <v>42726</v>
      </c>
      <c r="M9984" t="s">
        <v>46403</v>
      </c>
      <c r="N9984" t="s">
        <v>47424</v>
      </c>
      <c r="O9984" t="s">
        <v>47425</v>
      </c>
      <c r="P9984">
        <v>0</v>
      </c>
      <c r="Q9984">
        <v>1</v>
      </c>
      <c r="R9984" t="s">
        <v>47433</v>
      </c>
      <c r="S9984" t="s">
        <v>47633</v>
      </c>
      <c r="T9984" t="s">
        <v>49237</v>
      </c>
      <c r="U9984" t="s">
        <v>57910</v>
      </c>
      <c r="W9984" t="s">
        <v>46403</v>
      </c>
      <c r="X9984" t="s">
        <v>47434</v>
      </c>
    </row>
    <row r="9985" spans="1:24">
      <c r="A9985">
        <f>HYPERLINK("https://www.philgeps.gov.ph/GEPSNONPILOT/Tender/SplashBidNoticeAbstractUI.aspx?menuIndex=3&amp;refID=7151383&amp;Result=3","7151383")</f>
        <v>0</v>
      </c>
      <c r="B9985" t="s">
        <v>2429</v>
      </c>
      <c r="C9985" t="s">
        <v>13125</v>
      </c>
      <c r="D9985" t="s">
        <v>19064</v>
      </c>
      <c r="E9985" t="s">
        <v>27717</v>
      </c>
      <c r="F9985" t="s">
        <v>32831</v>
      </c>
      <c r="G9985" t="s">
        <v>32839</v>
      </c>
      <c r="H9985" t="s">
        <v>32848</v>
      </c>
      <c r="I9985" t="s">
        <v>32863</v>
      </c>
      <c r="J9985" t="s">
        <v>33985</v>
      </c>
      <c r="K9985" t="s">
        <v>42731</v>
      </c>
      <c r="M9985" t="s">
        <v>45626</v>
      </c>
      <c r="N9985" t="s">
        <v>47424</v>
      </c>
      <c r="O9985" t="s">
        <v>47425</v>
      </c>
      <c r="P9985">
        <v>0</v>
      </c>
      <c r="Q9985">
        <v>0</v>
      </c>
      <c r="R9985" t="s">
        <v>47433</v>
      </c>
      <c r="S9985" t="s">
        <v>47633</v>
      </c>
      <c r="T9985" t="s">
        <v>49055</v>
      </c>
      <c r="U9985" t="s">
        <v>57776</v>
      </c>
      <c r="W9985" t="s">
        <v>45626</v>
      </c>
      <c r="X9985" t="s">
        <v>47434</v>
      </c>
    </row>
    <row r="9986" spans="1:24">
      <c r="A9986">
        <f>HYPERLINK("https://www.philgeps.gov.ph/GEPSNONPILOT/Tender/SplashBidNoticeAbstractUI.aspx?menuIndex=3&amp;refID=7151379&amp;Result=3","7151379")</f>
        <v>0</v>
      </c>
      <c r="B9986" t="s">
        <v>855</v>
      </c>
      <c r="C9986" t="s">
        <v>13281</v>
      </c>
      <c r="E9986" t="s">
        <v>27718</v>
      </c>
      <c r="F9986" t="s">
        <v>32831</v>
      </c>
      <c r="G9986" t="s">
        <v>32839</v>
      </c>
      <c r="H9986" t="s">
        <v>32848</v>
      </c>
      <c r="I9986" t="s">
        <v>32861</v>
      </c>
      <c r="J9986" t="s">
        <v>39135</v>
      </c>
      <c r="K9986" t="s">
        <v>42732</v>
      </c>
      <c r="M9986" t="s">
        <v>43888</v>
      </c>
      <c r="N9986" t="s">
        <v>47424</v>
      </c>
      <c r="O9986" t="s">
        <v>47425</v>
      </c>
      <c r="P9986">
        <v>0</v>
      </c>
      <c r="Q9986">
        <v>31</v>
      </c>
      <c r="R9986" t="s">
        <v>47433</v>
      </c>
      <c r="S9986" t="s">
        <v>47633</v>
      </c>
      <c r="T9986" t="s">
        <v>49077</v>
      </c>
      <c r="U9986" t="s">
        <v>57896</v>
      </c>
      <c r="W9986" t="s">
        <v>43888</v>
      </c>
      <c r="X9986" t="s">
        <v>47434</v>
      </c>
    </row>
    <row r="9987" spans="1:24">
      <c r="A9987">
        <f>HYPERLINK("https://www.philgeps.gov.ph/GEPSNONPILOT/Tender/SplashBidNoticeAbstractUI.aspx?menuIndex=3&amp;refID=7151392&amp;Result=3","7151392")</f>
        <v>0</v>
      </c>
      <c r="B9987" t="s">
        <v>2948</v>
      </c>
      <c r="C9987" t="s">
        <v>13282</v>
      </c>
      <c r="D9987" t="s">
        <v>19060</v>
      </c>
      <c r="E9987" t="s">
        <v>27719</v>
      </c>
      <c r="F9987" t="s">
        <v>32831</v>
      </c>
      <c r="G9987" t="s">
        <v>32839</v>
      </c>
      <c r="H9987" t="s">
        <v>32849</v>
      </c>
      <c r="I9987" t="s">
        <v>4177</v>
      </c>
      <c r="J9987" t="s">
        <v>39136</v>
      </c>
      <c r="K9987" t="s">
        <v>42733</v>
      </c>
      <c r="M9987" t="s">
        <v>46207</v>
      </c>
      <c r="N9987" t="s">
        <v>47424</v>
      </c>
      <c r="O9987" t="s">
        <v>47425</v>
      </c>
      <c r="P9987">
        <v>0</v>
      </c>
      <c r="Q9987">
        <v>1</v>
      </c>
      <c r="R9987" t="s">
        <v>47433</v>
      </c>
      <c r="S9987" t="s">
        <v>47633</v>
      </c>
      <c r="T9987" t="s">
        <v>49097</v>
      </c>
      <c r="U9987" t="s">
        <v>57911</v>
      </c>
      <c r="V9987" t="s">
        <v>63628</v>
      </c>
      <c r="W9987" t="s">
        <v>46207</v>
      </c>
      <c r="X9987" t="s">
        <v>47434</v>
      </c>
    </row>
    <row r="9988" spans="1:24">
      <c r="A9988">
        <f>HYPERLINK("https://www.philgeps.gov.ph/GEPSNONPILOT/Tender/SplashBidNoticeAbstractUI.aspx?menuIndex=3&amp;refID=7151378&amp;Result=3","7151378")</f>
        <v>0</v>
      </c>
      <c r="B9988" t="s">
        <v>1441</v>
      </c>
      <c r="C9988" t="s">
        <v>13283</v>
      </c>
      <c r="D9988" t="s">
        <v>19048</v>
      </c>
      <c r="E9988" t="s">
        <v>27720</v>
      </c>
      <c r="F9988" t="s">
        <v>32831</v>
      </c>
      <c r="G9988" t="s">
        <v>32839</v>
      </c>
      <c r="H9988" t="s">
        <v>32848</v>
      </c>
      <c r="I9988" t="s">
        <v>7416</v>
      </c>
      <c r="J9988" t="s">
        <v>39137</v>
      </c>
      <c r="K9988" t="s">
        <v>42727</v>
      </c>
      <c r="M9988" t="s">
        <v>44533</v>
      </c>
      <c r="N9988" t="s">
        <v>47424</v>
      </c>
      <c r="O9988" t="s">
        <v>47425</v>
      </c>
      <c r="P9988">
        <v>0</v>
      </c>
      <c r="Q9988">
        <v>0</v>
      </c>
      <c r="R9988" t="s">
        <v>47433</v>
      </c>
      <c r="S9988" t="s">
        <v>47633</v>
      </c>
      <c r="T9988" t="s">
        <v>49162</v>
      </c>
      <c r="U9988" t="s">
        <v>57912</v>
      </c>
      <c r="W9988" t="s">
        <v>44533</v>
      </c>
      <c r="X9988" t="s">
        <v>47434</v>
      </c>
    </row>
    <row r="9989" spans="1:24">
      <c r="A9989">
        <f>HYPERLINK("https://www.philgeps.gov.ph/GEPSNONPILOT/Tender/SplashBidNoticeAbstractUI.aspx?menuIndex=3&amp;refID=7151375&amp;Result=3","7151375")</f>
        <v>0</v>
      </c>
      <c r="B9989" t="s">
        <v>2238</v>
      </c>
      <c r="C9989" t="s">
        <v>13284</v>
      </c>
      <c r="D9989" t="s">
        <v>19084</v>
      </c>
      <c r="E9989" t="s">
        <v>27721</v>
      </c>
      <c r="F9989" t="s">
        <v>32831</v>
      </c>
      <c r="G9989" t="s">
        <v>32839</v>
      </c>
      <c r="H9989" t="s">
        <v>32848</v>
      </c>
      <c r="I9989" t="s">
        <v>32870</v>
      </c>
      <c r="J9989" t="s">
        <v>39138</v>
      </c>
      <c r="K9989" t="s">
        <v>42727</v>
      </c>
      <c r="M9989" t="s">
        <v>45419</v>
      </c>
      <c r="N9989" t="s">
        <v>47424</v>
      </c>
      <c r="O9989" t="s">
        <v>47425</v>
      </c>
      <c r="P9989">
        <v>0</v>
      </c>
      <c r="Q9989">
        <v>0</v>
      </c>
      <c r="R9989" t="s">
        <v>47433</v>
      </c>
      <c r="S9989" t="s">
        <v>47633</v>
      </c>
      <c r="T9989" t="s">
        <v>49073</v>
      </c>
      <c r="U9989" t="s">
        <v>57913</v>
      </c>
      <c r="W9989" t="s">
        <v>45419</v>
      </c>
      <c r="X9989" t="s">
        <v>47434</v>
      </c>
    </row>
    <row r="9990" spans="1:24">
      <c r="A9990">
        <f>HYPERLINK("https://www.philgeps.gov.ph/GEPSNONPILOT/Tender/SplashBidNoticeAbstractUI.aspx?menuIndex=3&amp;refID=7151385&amp;Result=3","7151385")</f>
        <v>0</v>
      </c>
      <c r="B9990" t="s">
        <v>2594</v>
      </c>
      <c r="C9990" t="s">
        <v>13285</v>
      </c>
      <c r="D9990" t="s">
        <v>19062</v>
      </c>
      <c r="E9990" t="s">
        <v>27722</v>
      </c>
      <c r="F9990" t="s">
        <v>32831</v>
      </c>
      <c r="G9990" t="s">
        <v>32844</v>
      </c>
      <c r="H9990" t="s">
        <v>32849</v>
      </c>
      <c r="I9990" t="s">
        <v>32908</v>
      </c>
      <c r="J9990" t="s">
        <v>39139</v>
      </c>
      <c r="K9990" t="s">
        <v>42730</v>
      </c>
      <c r="M9990" t="s">
        <v>46404</v>
      </c>
      <c r="N9990" t="s">
        <v>47424</v>
      </c>
      <c r="O9990" t="s">
        <v>47425</v>
      </c>
      <c r="Q9990">
        <v>5</v>
      </c>
      <c r="R9990" t="s">
        <v>47433</v>
      </c>
      <c r="S9990" t="s">
        <v>47661</v>
      </c>
      <c r="T9990" t="s">
        <v>49340</v>
      </c>
      <c r="U9990" t="s">
        <v>57914</v>
      </c>
      <c r="W9990" t="s">
        <v>46404</v>
      </c>
      <c r="X9990" t="s">
        <v>47434</v>
      </c>
    </row>
    <row r="9991" spans="1:24">
      <c r="A9991">
        <f>HYPERLINK("https://www.philgeps.gov.ph/GEPSNONPILOT/Tender/SplashBidNoticeAbstractUI.aspx?menuIndex=3&amp;refID=7151376&amp;Result=3","7151376")</f>
        <v>0</v>
      </c>
      <c r="B9991" t="s">
        <v>2146</v>
      </c>
      <c r="C9991" t="s">
        <v>13286</v>
      </c>
      <c r="D9991" t="s">
        <v>19092</v>
      </c>
      <c r="E9991" t="s">
        <v>27723</v>
      </c>
      <c r="F9991" t="s">
        <v>32831</v>
      </c>
      <c r="G9991" t="s">
        <v>32838</v>
      </c>
      <c r="H9991" t="s">
        <v>32849</v>
      </c>
      <c r="I9991" t="s">
        <v>32913</v>
      </c>
      <c r="J9991" t="s">
        <v>33133</v>
      </c>
      <c r="K9991" t="s">
        <v>42730</v>
      </c>
      <c r="M9991" t="s">
        <v>45326</v>
      </c>
      <c r="N9991" t="s">
        <v>47424</v>
      </c>
      <c r="O9991" t="s">
        <v>47425</v>
      </c>
      <c r="P9991">
        <v>0</v>
      </c>
      <c r="Q9991">
        <v>0</v>
      </c>
      <c r="R9991" t="s">
        <v>47433</v>
      </c>
      <c r="S9991" t="s">
        <v>47633</v>
      </c>
      <c r="T9991" t="s">
        <v>49239</v>
      </c>
      <c r="U9991" t="s">
        <v>57915</v>
      </c>
      <c r="W9991" t="s">
        <v>45326</v>
      </c>
      <c r="X9991" t="s">
        <v>47434</v>
      </c>
    </row>
    <row r="9992" spans="1:24">
      <c r="A9992">
        <f>HYPERLINK("https://www.philgeps.gov.ph/GEPSNONPILOT/Tender/SplashBidNoticeAbstractUI.aspx?menuIndex=3&amp;refID=7151162&amp;Result=3","7151162")</f>
        <v>0</v>
      </c>
      <c r="B9992" t="s">
        <v>187</v>
      </c>
      <c r="C9992" t="s">
        <v>13287</v>
      </c>
      <c r="D9992" t="s">
        <v>19041</v>
      </c>
      <c r="E9992" t="s">
        <v>27724</v>
      </c>
      <c r="F9992" t="s">
        <v>32831</v>
      </c>
      <c r="G9992" t="s">
        <v>32838</v>
      </c>
      <c r="H9992" t="s">
        <v>32849</v>
      </c>
      <c r="I9992" t="s">
        <v>4177</v>
      </c>
      <c r="J9992" t="s">
        <v>39140</v>
      </c>
      <c r="K9992" t="s">
        <v>42924</v>
      </c>
      <c r="M9992" t="s">
        <v>44023</v>
      </c>
      <c r="N9992" t="s">
        <v>47424</v>
      </c>
      <c r="O9992" t="s">
        <v>47425</v>
      </c>
      <c r="P9992">
        <v>0</v>
      </c>
      <c r="Q9992">
        <v>0</v>
      </c>
      <c r="R9992" t="s">
        <v>47433</v>
      </c>
      <c r="S9992" t="s">
        <v>47633</v>
      </c>
      <c r="T9992" t="s">
        <v>49212</v>
      </c>
      <c r="U9992" t="s">
        <v>57916</v>
      </c>
      <c r="W9992" t="s">
        <v>44023</v>
      </c>
      <c r="X9992" t="s">
        <v>47434</v>
      </c>
    </row>
    <row r="9993" spans="1:24">
      <c r="A9993">
        <f>HYPERLINK("https://www.philgeps.gov.ph/GEPSNONPILOT/Tender/SplashBidNoticeAbstractUI.aspx?menuIndex=3&amp;refID=7151399&amp;Result=3","7151399")</f>
        <v>0</v>
      </c>
      <c r="B9993" t="s">
        <v>3065</v>
      </c>
      <c r="C9993" t="s">
        <v>13288</v>
      </c>
      <c r="D9993" t="s">
        <v>19017</v>
      </c>
      <c r="E9993" t="s">
        <v>27725</v>
      </c>
      <c r="F9993" t="s">
        <v>32831</v>
      </c>
      <c r="G9993" t="s">
        <v>32838</v>
      </c>
      <c r="H9993" t="s">
        <v>32848</v>
      </c>
      <c r="I9993" t="s">
        <v>4438</v>
      </c>
      <c r="J9993" t="s">
        <v>33133</v>
      </c>
      <c r="K9993" t="s">
        <v>42726</v>
      </c>
      <c r="M9993" t="s">
        <v>46339</v>
      </c>
      <c r="N9993" t="s">
        <v>47424</v>
      </c>
      <c r="O9993" t="s">
        <v>47425</v>
      </c>
      <c r="P9993">
        <v>0</v>
      </c>
      <c r="Q9993">
        <v>0</v>
      </c>
      <c r="R9993" t="s">
        <v>47433</v>
      </c>
      <c r="S9993" t="s">
        <v>47633</v>
      </c>
      <c r="T9993" t="s">
        <v>49237</v>
      </c>
      <c r="U9993" t="s">
        <v>57908</v>
      </c>
      <c r="W9993" t="s">
        <v>46339</v>
      </c>
      <c r="X9993" t="s">
        <v>47434</v>
      </c>
    </row>
    <row r="9994" spans="1:24">
      <c r="A9994">
        <f>HYPERLINK("https://www.philgeps.gov.ph/GEPSNONPILOT/Tender/SplashBidNoticeAbstractUI.aspx?menuIndex=3&amp;refID=7151460&amp;Result=3","7151460")</f>
        <v>0</v>
      </c>
      <c r="B9994" t="s">
        <v>1606</v>
      </c>
      <c r="C9994" t="s">
        <v>13289</v>
      </c>
      <c r="E9994" t="s">
        <v>27726</v>
      </c>
      <c r="F9994" t="s">
        <v>32831</v>
      </c>
      <c r="G9994" t="s">
        <v>32839</v>
      </c>
      <c r="H9994" t="s">
        <v>32848</v>
      </c>
      <c r="I9994" t="s">
        <v>4222</v>
      </c>
      <c r="J9994" t="s">
        <v>39141</v>
      </c>
      <c r="K9994" t="s">
        <v>42732</v>
      </c>
      <c r="M9994" t="s">
        <v>46405</v>
      </c>
      <c r="N9994" t="s">
        <v>47424</v>
      </c>
      <c r="O9994" t="s">
        <v>47425</v>
      </c>
      <c r="P9994">
        <v>0</v>
      </c>
      <c r="Q9994">
        <v>2</v>
      </c>
      <c r="R9994" t="s">
        <v>47433</v>
      </c>
      <c r="S9994" t="s">
        <v>47633</v>
      </c>
      <c r="T9994" t="s">
        <v>49112</v>
      </c>
      <c r="U9994" t="s">
        <v>57917</v>
      </c>
      <c r="W9994" t="s">
        <v>46405</v>
      </c>
      <c r="X9994" t="s">
        <v>47434</v>
      </c>
    </row>
    <row r="9995" spans="1:24">
      <c r="A9995">
        <f>HYPERLINK("https://www.philgeps.gov.ph/GEPSNONPILOT/Tender/SplashBidNoticeAbstractUI.aspx?menuIndex=3&amp;refID=7151374&amp;Result=3","7151374")</f>
        <v>0</v>
      </c>
      <c r="B9995" t="s">
        <v>1319</v>
      </c>
      <c r="C9995" t="s">
        <v>13290</v>
      </c>
      <c r="D9995" t="s">
        <v>19083</v>
      </c>
      <c r="E9995" t="s">
        <v>27727</v>
      </c>
      <c r="F9995" t="s">
        <v>32831</v>
      </c>
      <c r="G9995" t="s">
        <v>32839</v>
      </c>
      <c r="H9995" t="s">
        <v>32848</v>
      </c>
      <c r="I9995" t="s">
        <v>32857</v>
      </c>
      <c r="J9995" t="s">
        <v>39142</v>
      </c>
      <c r="K9995" t="s">
        <v>42730</v>
      </c>
      <c r="M9995" t="s">
        <v>46406</v>
      </c>
      <c r="N9995" t="s">
        <v>47424</v>
      </c>
      <c r="O9995" t="s">
        <v>47425</v>
      </c>
      <c r="P9995">
        <v>0</v>
      </c>
      <c r="Q9995">
        <v>0</v>
      </c>
      <c r="R9995" t="s">
        <v>47433</v>
      </c>
      <c r="S9995" t="s">
        <v>47633</v>
      </c>
      <c r="T9995" t="s">
        <v>49112</v>
      </c>
      <c r="U9995" t="s">
        <v>57918</v>
      </c>
      <c r="W9995" t="s">
        <v>46406</v>
      </c>
      <c r="X9995" t="s">
        <v>47434</v>
      </c>
    </row>
    <row r="9996" spans="1:24">
      <c r="A9996">
        <f>HYPERLINK("https://www.philgeps.gov.ph/GEPSNONPILOT/Tender/SplashBidNoticeAbstractUI.aspx?menuIndex=3&amp;refID=7151153&amp;Result=3","7151153")</f>
        <v>0</v>
      </c>
      <c r="B9996" t="s">
        <v>2429</v>
      </c>
      <c r="C9996" t="s">
        <v>13291</v>
      </c>
      <c r="D9996" t="s">
        <v>19064</v>
      </c>
      <c r="E9996" t="s">
        <v>27728</v>
      </c>
      <c r="F9996" t="s">
        <v>32831</v>
      </c>
      <c r="G9996" t="s">
        <v>32839</v>
      </c>
      <c r="H9996" t="s">
        <v>32848</v>
      </c>
      <c r="I9996" t="s">
        <v>32890</v>
      </c>
      <c r="J9996" t="s">
        <v>32983</v>
      </c>
      <c r="K9996" t="s">
        <v>42731</v>
      </c>
      <c r="M9996" t="s">
        <v>45626</v>
      </c>
      <c r="N9996" t="s">
        <v>47424</v>
      </c>
      <c r="O9996" t="s">
        <v>47425</v>
      </c>
      <c r="P9996">
        <v>0</v>
      </c>
      <c r="Q9996">
        <v>0</v>
      </c>
      <c r="R9996" t="s">
        <v>47433</v>
      </c>
      <c r="S9996" t="s">
        <v>47633</v>
      </c>
      <c r="T9996" t="s">
        <v>49055</v>
      </c>
      <c r="U9996" t="s">
        <v>57919</v>
      </c>
      <c r="W9996" t="s">
        <v>45626</v>
      </c>
      <c r="X9996" t="s">
        <v>47434</v>
      </c>
    </row>
    <row r="9997" spans="1:24">
      <c r="A9997">
        <f>HYPERLINK("https://www.philgeps.gov.ph/GEPSNONPILOT/Tender/SplashBidNoticeAbstractUI.aspx?menuIndex=3&amp;refID=7151373&amp;Result=3","7151373")</f>
        <v>0</v>
      </c>
      <c r="B9997" t="s">
        <v>3116</v>
      </c>
      <c r="C9997" t="s">
        <v>13292</v>
      </c>
      <c r="D9997" t="s">
        <v>19017</v>
      </c>
      <c r="E9997" t="s">
        <v>27729</v>
      </c>
      <c r="F9997" t="s">
        <v>32833</v>
      </c>
      <c r="G9997" t="s">
        <v>32839</v>
      </c>
      <c r="H9997" t="s">
        <v>32848</v>
      </c>
      <c r="I9997" t="s">
        <v>4438</v>
      </c>
      <c r="J9997" t="s">
        <v>33044</v>
      </c>
      <c r="K9997" t="s">
        <v>42730</v>
      </c>
      <c r="M9997" t="s">
        <v>46407</v>
      </c>
      <c r="N9997" t="s">
        <v>47424</v>
      </c>
      <c r="O9997" t="s">
        <v>47425</v>
      </c>
      <c r="P9997">
        <v>0</v>
      </c>
      <c r="Q9997">
        <v>0</v>
      </c>
      <c r="R9997" t="s">
        <v>47433</v>
      </c>
      <c r="S9997" t="s">
        <v>47633</v>
      </c>
      <c r="T9997" t="s">
        <v>49059</v>
      </c>
      <c r="U9997" t="s">
        <v>57920</v>
      </c>
      <c r="V9997" t="s">
        <v>63724</v>
      </c>
      <c r="W9997" t="s">
        <v>46407</v>
      </c>
      <c r="X9997" t="s">
        <v>47434</v>
      </c>
    </row>
    <row r="9998" spans="1:24">
      <c r="A9998">
        <f>HYPERLINK("https://www.philgeps.gov.ph/GEPSNONPILOT/Tender/SplashBidNoticeAbstractUI.aspx?menuIndex=3&amp;refID=7151453&amp;Result=3","7151453")</f>
        <v>0</v>
      </c>
      <c r="B9998" t="s">
        <v>2612</v>
      </c>
      <c r="C9998" t="s">
        <v>13293</v>
      </c>
      <c r="D9998" t="s">
        <v>19040</v>
      </c>
      <c r="E9998" t="s">
        <v>27730</v>
      </c>
      <c r="F9998" t="s">
        <v>32831</v>
      </c>
      <c r="G9998" t="s">
        <v>32839</v>
      </c>
      <c r="H9998" t="s">
        <v>32848</v>
      </c>
      <c r="I9998" t="s">
        <v>32857</v>
      </c>
      <c r="J9998" t="s">
        <v>32985</v>
      </c>
      <c r="K9998" t="s">
        <v>42730</v>
      </c>
      <c r="M9998" t="s">
        <v>45831</v>
      </c>
      <c r="N9998" t="s">
        <v>47424</v>
      </c>
      <c r="O9998" t="s">
        <v>47425</v>
      </c>
      <c r="P9998">
        <v>0</v>
      </c>
      <c r="Q9998">
        <v>2</v>
      </c>
      <c r="R9998" t="s">
        <v>47433</v>
      </c>
      <c r="S9998" t="s">
        <v>47633</v>
      </c>
      <c r="T9998" t="s">
        <v>49229</v>
      </c>
      <c r="U9998" t="s">
        <v>57921</v>
      </c>
      <c r="W9998" t="s">
        <v>45831</v>
      </c>
      <c r="X9998" t="s">
        <v>47434</v>
      </c>
    </row>
    <row r="9999" spans="1:24">
      <c r="A9999">
        <f>HYPERLINK("https://www.philgeps.gov.ph/GEPSNONPILOT/Tender/SplashBidNoticeAbstractUI.aspx?menuIndex=3&amp;refID=7151448&amp;Result=3","7151448")</f>
        <v>0</v>
      </c>
      <c r="B9999" t="s">
        <v>1726</v>
      </c>
      <c r="C9999" t="s">
        <v>13294</v>
      </c>
      <c r="D9999" t="s">
        <v>19120</v>
      </c>
      <c r="E9999" t="s">
        <v>19471</v>
      </c>
      <c r="F9999" t="s">
        <v>32831</v>
      </c>
      <c r="G9999" t="s">
        <v>32839</v>
      </c>
      <c r="H9999" t="s">
        <v>32848</v>
      </c>
      <c r="I9999" t="s">
        <v>9577</v>
      </c>
      <c r="J9999" t="s">
        <v>39143</v>
      </c>
      <c r="K9999" t="s">
        <v>42726</v>
      </c>
      <c r="M9999" t="s">
        <v>44849</v>
      </c>
      <c r="N9999" t="s">
        <v>47424</v>
      </c>
      <c r="O9999" t="s">
        <v>47425</v>
      </c>
      <c r="P9999">
        <v>0</v>
      </c>
      <c r="Q9999">
        <v>2</v>
      </c>
      <c r="R9999" t="s">
        <v>47433</v>
      </c>
      <c r="S9999" t="s">
        <v>47633</v>
      </c>
      <c r="T9999" t="s">
        <v>49192</v>
      </c>
      <c r="U9999" t="s">
        <v>57922</v>
      </c>
      <c r="V9999" t="s">
        <v>63725</v>
      </c>
      <c r="W9999" t="s">
        <v>44849</v>
      </c>
      <c r="X9999" t="s">
        <v>47434</v>
      </c>
    </row>
    <row r="10000" spans="1:24">
      <c r="A10000">
        <f>HYPERLINK("https://www.philgeps.gov.ph/GEPSNONPILOT/Tender/SplashBidNoticeAbstractUI.aspx?menuIndex=3&amp;refID=7151447&amp;Result=3","7151447")</f>
        <v>0</v>
      </c>
      <c r="B10000" t="s">
        <v>853</v>
      </c>
      <c r="C10000" t="s">
        <v>13295</v>
      </c>
      <c r="D10000" t="s">
        <v>19027</v>
      </c>
      <c r="E10000" t="s">
        <v>27731</v>
      </c>
      <c r="F10000" t="s">
        <v>32831</v>
      </c>
      <c r="G10000" t="s">
        <v>32839</v>
      </c>
      <c r="H10000" t="s">
        <v>32849</v>
      </c>
      <c r="I10000" t="s">
        <v>4177</v>
      </c>
      <c r="J10000" t="s">
        <v>39144</v>
      </c>
      <c r="K10000" t="s">
        <v>42732</v>
      </c>
      <c r="M10000" t="s">
        <v>46408</v>
      </c>
      <c r="N10000" t="s">
        <v>47424</v>
      </c>
      <c r="O10000" t="s">
        <v>47425</v>
      </c>
      <c r="P10000">
        <v>0</v>
      </c>
      <c r="Q10000">
        <v>1</v>
      </c>
      <c r="R10000" t="s">
        <v>47433</v>
      </c>
      <c r="S10000" t="s">
        <v>47633</v>
      </c>
      <c r="T10000" t="s">
        <v>49173</v>
      </c>
      <c r="U10000" t="s">
        <v>57923</v>
      </c>
      <c r="W10000" t="s">
        <v>46408</v>
      </c>
      <c r="X10000" t="s">
        <v>47434</v>
      </c>
    </row>
    <row r="10001" spans="1:24">
      <c r="A10001">
        <f>HYPERLINK("https://www.philgeps.gov.ph/GEPSNONPILOT/Tender/SplashBidNoticeAbstractUI.aspx?menuIndex=3&amp;refID=7151444&amp;Result=3","7151444")</f>
        <v>0</v>
      </c>
      <c r="B10001" t="s">
        <v>3117</v>
      </c>
      <c r="C10001" t="s">
        <v>13296</v>
      </c>
      <c r="D10001" t="s">
        <v>19057</v>
      </c>
      <c r="E10001" t="s">
        <v>19203</v>
      </c>
      <c r="F10001" t="s">
        <v>32831</v>
      </c>
      <c r="G10001" t="s">
        <v>32839</v>
      </c>
      <c r="H10001" t="s">
        <v>32848</v>
      </c>
      <c r="I10001" t="s">
        <v>9577</v>
      </c>
      <c r="J10001" t="s">
        <v>33401</v>
      </c>
      <c r="K10001" t="s">
        <v>42732</v>
      </c>
      <c r="M10001" t="s">
        <v>46409</v>
      </c>
      <c r="N10001" t="s">
        <v>47424</v>
      </c>
      <c r="O10001" t="s">
        <v>47425</v>
      </c>
      <c r="P10001">
        <v>0</v>
      </c>
      <c r="Q10001">
        <v>2</v>
      </c>
      <c r="R10001" t="s">
        <v>47433</v>
      </c>
      <c r="S10001" t="s">
        <v>47633</v>
      </c>
      <c r="T10001" t="s">
        <v>49237</v>
      </c>
      <c r="U10001" t="s">
        <v>57924</v>
      </c>
      <c r="W10001" t="s">
        <v>46409</v>
      </c>
      <c r="X10001" t="s">
        <v>47434</v>
      </c>
    </row>
    <row r="10002" spans="1:24">
      <c r="A10002">
        <f>HYPERLINK("https://www.philgeps.gov.ph/GEPSNONPILOT/Tender/SplashBidNoticeAbstractUI.aspx?menuIndex=3&amp;refID=7151442&amp;Result=3","7151442")</f>
        <v>0</v>
      </c>
      <c r="B10002" t="s">
        <v>1673</v>
      </c>
      <c r="C10002" t="s">
        <v>13297</v>
      </c>
      <c r="D10002" t="s">
        <v>19038</v>
      </c>
      <c r="E10002" t="s">
        <v>27732</v>
      </c>
      <c r="F10002" t="s">
        <v>32831</v>
      </c>
      <c r="G10002" t="s">
        <v>32839</v>
      </c>
      <c r="H10002" t="s">
        <v>32848</v>
      </c>
      <c r="I10002" t="s">
        <v>32860</v>
      </c>
      <c r="J10002" t="s">
        <v>39145</v>
      </c>
      <c r="K10002" t="s">
        <v>42727</v>
      </c>
      <c r="M10002" t="s">
        <v>44791</v>
      </c>
      <c r="N10002" t="s">
        <v>47424</v>
      </c>
      <c r="O10002" t="s">
        <v>47425</v>
      </c>
      <c r="Q10002">
        <v>6</v>
      </c>
      <c r="R10002" t="s">
        <v>47433</v>
      </c>
      <c r="S10002" t="s">
        <v>47662</v>
      </c>
      <c r="T10002" t="s">
        <v>49546</v>
      </c>
      <c r="U10002" t="s">
        <v>57925</v>
      </c>
      <c r="W10002" t="s">
        <v>44791</v>
      </c>
      <c r="X10002" t="s">
        <v>47434</v>
      </c>
    </row>
    <row r="10003" spans="1:24">
      <c r="A10003">
        <f>HYPERLINK("https://www.philgeps.gov.ph/GEPSNONPILOT/Tender/SplashBidNoticeAbstractUI.aspx?menuIndex=3&amp;refID=7151439&amp;Result=3","7151439")</f>
        <v>0</v>
      </c>
      <c r="B10003" t="s">
        <v>2146</v>
      </c>
      <c r="C10003" t="s">
        <v>13298</v>
      </c>
      <c r="D10003" t="s">
        <v>19092</v>
      </c>
      <c r="E10003" t="s">
        <v>27733</v>
      </c>
      <c r="F10003" t="s">
        <v>32831</v>
      </c>
      <c r="G10003" t="s">
        <v>32842</v>
      </c>
      <c r="H10003" t="s">
        <v>32848</v>
      </c>
      <c r="I10003" t="s">
        <v>32903</v>
      </c>
      <c r="J10003" t="s">
        <v>39146</v>
      </c>
      <c r="K10003" t="s">
        <v>42730</v>
      </c>
      <c r="M10003" t="s">
        <v>45326</v>
      </c>
      <c r="N10003" t="s">
        <v>47424</v>
      </c>
      <c r="O10003" t="s">
        <v>47425</v>
      </c>
      <c r="P10003">
        <v>0</v>
      </c>
      <c r="Q10003">
        <v>3</v>
      </c>
      <c r="R10003" t="s">
        <v>47433</v>
      </c>
      <c r="S10003" t="s">
        <v>47633</v>
      </c>
      <c r="T10003" t="s">
        <v>49239</v>
      </c>
      <c r="U10003" t="s">
        <v>57926</v>
      </c>
      <c r="W10003" t="s">
        <v>45326</v>
      </c>
      <c r="X10003" t="s">
        <v>47434</v>
      </c>
    </row>
    <row r="10004" spans="1:24">
      <c r="A10004">
        <f>HYPERLINK("https://www.philgeps.gov.ph/GEPSNONPILOT/Tender/SplashBidNoticeAbstractUI.aspx?menuIndex=3&amp;refID=7150904&amp;Result=3","7150904")</f>
        <v>0</v>
      </c>
      <c r="B10004" t="s">
        <v>1726</v>
      </c>
      <c r="C10004" t="s">
        <v>13299</v>
      </c>
      <c r="D10004" t="s">
        <v>19042</v>
      </c>
      <c r="E10004" t="s">
        <v>19494</v>
      </c>
      <c r="F10004" t="s">
        <v>32831</v>
      </c>
      <c r="G10004" t="s">
        <v>32839</v>
      </c>
      <c r="H10004" t="s">
        <v>32848</v>
      </c>
      <c r="I10004" t="s">
        <v>32857</v>
      </c>
      <c r="J10004" t="s">
        <v>39147</v>
      </c>
      <c r="K10004" t="s">
        <v>42726</v>
      </c>
      <c r="M10004" t="s">
        <v>44849</v>
      </c>
      <c r="N10004" t="s">
        <v>47424</v>
      </c>
      <c r="O10004" t="s">
        <v>47425</v>
      </c>
      <c r="P10004">
        <v>0</v>
      </c>
      <c r="Q10004">
        <v>0</v>
      </c>
      <c r="R10004" t="s">
        <v>47433</v>
      </c>
      <c r="S10004" t="s">
        <v>47633</v>
      </c>
      <c r="T10004" t="s">
        <v>49192</v>
      </c>
      <c r="U10004" t="s">
        <v>57927</v>
      </c>
      <c r="V10004" t="s">
        <v>63726</v>
      </c>
      <c r="W10004" t="s">
        <v>44849</v>
      </c>
      <c r="X10004" t="s">
        <v>47434</v>
      </c>
    </row>
    <row r="10005" spans="1:24">
      <c r="A10005">
        <f>HYPERLINK("https://www.philgeps.gov.ph/GEPSNONPILOT/Tender/SplashBidNoticeAbstractUI.aspx?menuIndex=3&amp;refID=7151455&amp;Result=3","7151455")</f>
        <v>0</v>
      </c>
      <c r="B10005" t="s">
        <v>2315</v>
      </c>
      <c r="C10005" t="s">
        <v>13300</v>
      </c>
      <c r="D10005" t="s">
        <v>19031</v>
      </c>
      <c r="E10005" t="s">
        <v>27734</v>
      </c>
      <c r="F10005" t="s">
        <v>32831</v>
      </c>
      <c r="G10005" t="s">
        <v>32839</v>
      </c>
      <c r="H10005" t="s">
        <v>32848</v>
      </c>
      <c r="I10005" t="s">
        <v>7751</v>
      </c>
      <c r="J10005" t="s">
        <v>33978</v>
      </c>
      <c r="K10005" t="s">
        <v>42730</v>
      </c>
      <c r="M10005" t="s">
        <v>45500</v>
      </c>
      <c r="N10005" t="s">
        <v>47424</v>
      </c>
      <c r="O10005" t="s">
        <v>47425</v>
      </c>
      <c r="P10005">
        <v>0</v>
      </c>
      <c r="Q10005">
        <v>0</v>
      </c>
      <c r="R10005" t="s">
        <v>47433</v>
      </c>
      <c r="S10005" t="s">
        <v>47633</v>
      </c>
      <c r="T10005" t="s">
        <v>49236</v>
      </c>
      <c r="U10005" t="s">
        <v>57928</v>
      </c>
      <c r="W10005" t="s">
        <v>45500</v>
      </c>
      <c r="X10005" t="s">
        <v>47434</v>
      </c>
    </row>
    <row r="10006" spans="1:24">
      <c r="A10006">
        <f>HYPERLINK("https://www.philgeps.gov.ph/GEPSNONPILOT/Tender/SplashBidNoticeAbstractUI.aspx?menuIndex=3&amp;refID=7151506&amp;Result=3","7151506")</f>
        <v>0</v>
      </c>
      <c r="B10006" t="s">
        <v>2146</v>
      </c>
      <c r="C10006" t="s">
        <v>13301</v>
      </c>
      <c r="D10006" t="s">
        <v>19092</v>
      </c>
      <c r="E10006" t="s">
        <v>27735</v>
      </c>
      <c r="F10006" t="s">
        <v>32831</v>
      </c>
      <c r="G10006" t="s">
        <v>32842</v>
      </c>
      <c r="H10006" t="s">
        <v>32848</v>
      </c>
      <c r="I10006" t="s">
        <v>32855</v>
      </c>
      <c r="J10006" t="s">
        <v>39148</v>
      </c>
      <c r="K10006" t="s">
        <v>42730</v>
      </c>
      <c r="M10006" t="s">
        <v>45326</v>
      </c>
      <c r="N10006" t="s">
        <v>47424</v>
      </c>
      <c r="O10006" t="s">
        <v>47425</v>
      </c>
      <c r="P10006">
        <v>0</v>
      </c>
      <c r="Q10006">
        <v>10</v>
      </c>
      <c r="R10006" t="s">
        <v>47433</v>
      </c>
      <c r="S10006" t="s">
        <v>47633</v>
      </c>
      <c r="T10006" t="s">
        <v>49239</v>
      </c>
      <c r="U10006" t="s">
        <v>57929</v>
      </c>
      <c r="W10006" t="s">
        <v>45326</v>
      </c>
      <c r="X10006" t="s">
        <v>47434</v>
      </c>
    </row>
    <row r="10007" spans="1:24">
      <c r="A10007">
        <f>HYPERLINK("https://www.philgeps.gov.ph/GEPSNONPILOT/Tender/SplashBidNoticeAbstractUI.aspx?menuIndex=3&amp;refID=7151371&amp;Result=3","7151371")</f>
        <v>0</v>
      </c>
      <c r="B10007" t="s">
        <v>2383</v>
      </c>
      <c r="C10007" t="s">
        <v>13302</v>
      </c>
      <c r="D10007" t="s">
        <v>19055</v>
      </c>
      <c r="E10007" t="s">
        <v>19291</v>
      </c>
      <c r="F10007" t="s">
        <v>32831</v>
      </c>
      <c r="G10007" t="s">
        <v>32839</v>
      </c>
      <c r="H10007" t="s">
        <v>32849</v>
      </c>
      <c r="I10007" t="s">
        <v>4177</v>
      </c>
      <c r="J10007" t="s">
        <v>39149</v>
      </c>
      <c r="K10007" t="s">
        <v>42729</v>
      </c>
      <c r="M10007" t="s">
        <v>45572</v>
      </c>
      <c r="N10007" t="s">
        <v>47424</v>
      </c>
      <c r="O10007" t="s">
        <v>47425</v>
      </c>
      <c r="P10007">
        <v>0</v>
      </c>
      <c r="Q10007">
        <v>2</v>
      </c>
      <c r="R10007" t="s">
        <v>47433</v>
      </c>
      <c r="S10007" t="s">
        <v>47633</v>
      </c>
      <c r="T10007" t="s">
        <v>49173</v>
      </c>
      <c r="U10007" t="s">
        <v>57930</v>
      </c>
      <c r="V10007" t="s">
        <v>63727</v>
      </c>
      <c r="W10007" t="s">
        <v>45572</v>
      </c>
      <c r="X10007" t="s">
        <v>47434</v>
      </c>
    </row>
    <row r="10008" spans="1:24">
      <c r="A10008">
        <f>HYPERLINK("https://www.philgeps.gov.ph/GEPSNONPILOT/Tender/SplashBidNoticeAbstractUI.aspx?menuIndex=3&amp;refID=7151517&amp;Result=3","7151517")</f>
        <v>0</v>
      </c>
      <c r="B10008" t="s">
        <v>3118</v>
      </c>
      <c r="C10008" t="s">
        <v>13303</v>
      </c>
      <c r="D10008" t="s">
        <v>19017</v>
      </c>
      <c r="E10008" t="s">
        <v>27736</v>
      </c>
      <c r="F10008" t="s">
        <v>32831</v>
      </c>
      <c r="G10008" t="s">
        <v>32839</v>
      </c>
      <c r="H10008" t="s">
        <v>32848</v>
      </c>
      <c r="I10008" t="s">
        <v>4222</v>
      </c>
      <c r="J10008" t="s">
        <v>39150</v>
      </c>
      <c r="K10008" t="s">
        <v>42727</v>
      </c>
      <c r="M10008" t="s">
        <v>46410</v>
      </c>
      <c r="N10008" t="s">
        <v>47424</v>
      </c>
      <c r="O10008" t="s">
        <v>47425</v>
      </c>
      <c r="P10008">
        <v>0</v>
      </c>
      <c r="Q10008">
        <v>0</v>
      </c>
      <c r="R10008" t="s">
        <v>47433</v>
      </c>
      <c r="S10008" t="s">
        <v>47633</v>
      </c>
      <c r="T10008" t="s">
        <v>49221</v>
      </c>
      <c r="U10008" t="s">
        <v>57931</v>
      </c>
      <c r="W10008" t="s">
        <v>46410</v>
      </c>
      <c r="X10008" t="s">
        <v>47434</v>
      </c>
    </row>
    <row r="10009" spans="1:24">
      <c r="A10009">
        <f>HYPERLINK("https://www.philgeps.gov.ph/GEPSNONPILOT/Tender/SplashBidNoticeAbstractUI.aspx?menuIndex=3&amp;refID=7151435&amp;Result=3","7151435")</f>
        <v>0</v>
      </c>
      <c r="B10009" t="s">
        <v>1366</v>
      </c>
      <c r="C10009" t="s">
        <v>13304</v>
      </c>
      <c r="D10009" t="s">
        <v>19024</v>
      </c>
      <c r="E10009" t="s">
        <v>27737</v>
      </c>
      <c r="F10009" t="s">
        <v>32831</v>
      </c>
      <c r="G10009" t="s">
        <v>32839</v>
      </c>
      <c r="H10009" t="s">
        <v>32848</v>
      </c>
      <c r="I10009" t="s">
        <v>4558</v>
      </c>
      <c r="J10009" t="s">
        <v>39151</v>
      </c>
      <c r="K10009" t="s">
        <v>42732</v>
      </c>
      <c r="M10009" t="s">
        <v>44446</v>
      </c>
      <c r="N10009" t="s">
        <v>47424</v>
      </c>
      <c r="O10009" t="s">
        <v>47425</v>
      </c>
      <c r="P10009">
        <v>0</v>
      </c>
      <c r="Q10009">
        <v>0</v>
      </c>
      <c r="R10009" t="s">
        <v>47433</v>
      </c>
      <c r="S10009" t="s">
        <v>47633</v>
      </c>
      <c r="T10009" t="s">
        <v>49192</v>
      </c>
      <c r="U10009" t="s">
        <v>57932</v>
      </c>
      <c r="W10009" t="s">
        <v>44446</v>
      </c>
      <c r="X10009" t="s">
        <v>47434</v>
      </c>
    </row>
    <row r="10010" spans="1:24">
      <c r="A10010">
        <f>HYPERLINK("https://www.philgeps.gov.ph/GEPSNONPILOT/Tender/SplashBidNoticeAbstractUI.aspx?menuIndex=3&amp;refID=7151434&amp;Result=3","7151434")</f>
        <v>0</v>
      </c>
      <c r="B10010" t="s">
        <v>3118</v>
      </c>
      <c r="C10010" t="s">
        <v>13305</v>
      </c>
      <c r="D10010" t="s">
        <v>19017</v>
      </c>
      <c r="E10010" t="s">
        <v>27738</v>
      </c>
      <c r="F10010" t="s">
        <v>32831</v>
      </c>
      <c r="G10010" t="s">
        <v>32839</v>
      </c>
      <c r="H10010" t="s">
        <v>32848</v>
      </c>
      <c r="I10010" t="s">
        <v>9577</v>
      </c>
      <c r="J10010" t="s">
        <v>39152</v>
      </c>
      <c r="K10010" t="s">
        <v>42727</v>
      </c>
      <c r="M10010" t="s">
        <v>46410</v>
      </c>
      <c r="N10010" t="s">
        <v>47424</v>
      </c>
      <c r="O10010" t="s">
        <v>47425</v>
      </c>
      <c r="P10010">
        <v>0</v>
      </c>
      <c r="Q10010">
        <v>0</v>
      </c>
      <c r="R10010" t="s">
        <v>47433</v>
      </c>
      <c r="S10010" t="s">
        <v>47633</v>
      </c>
      <c r="T10010" t="s">
        <v>49221</v>
      </c>
      <c r="U10010" t="s">
        <v>51307</v>
      </c>
      <c r="W10010" t="s">
        <v>46410</v>
      </c>
      <c r="X10010" t="s">
        <v>47434</v>
      </c>
    </row>
    <row r="10011" spans="1:24">
      <c r="A10011">
        <f>HYPERLINK("https://www.philgeps.gov.ph/GEPSNONPILOT/Tender/SplashBidNoticeAbstractUI.aspx?menuIndex=3&amp;refID=7151512&amp;Result=3","7151512")</f>
        <v>0</v>
      </c>
      <c r="B10011" t="s">
        <v>3119</v>
      </c>
      <c r="C10011" t="s">
        <v>13306</v>
      </c>
      <c r="D10011" t="s">
        <v>19049</v>
      </c>
      <c r="E10011" t="s">
        <v>27739</v>
      </c>
      <c r="F10011" t="s">
        <v>32831</v>
      </c>
      <c r="G10011" t="s">
        <v>32839</v>
      </c>
      <c r="H10011" t="s">
        <v>32848</v>
      </c>
      <c r="I10011" t="s">
        <v>32855</v>
      </c>
      <c r="J10011" t="s">
        <v>39153</v>
      </c>
      <c r="K10011" t="s">
        <v>42732</v>
      </c>
      <c r="M10011" t="s">
        <v>46411</v>
      </c>
      <c r="N10011" t="s">
        <v>47424</v>
      </c>
      <c r="O10011" t="s">
        <v>47425</v>
      </c>
      <c r="P10011">
        <v>0</v>
      </c>
      <c r="Q10011">
        <v>0</v>
      </c>
      <c r="R10011" t="s">
        <v>47433</v>
      </c>
      <c r="S10011" t="s">
        <v>47633</v>
      </c>
      <c r="T10011" t="s">
        <v>49212</v>
      </c>
      <c r="U10011" t="s">
        <v>57933</v>
      </c>
      <c r="W10011" t="s">
        <v>46411</v>
      </c>
      <c r="X10011" t="s">
        <v>47434</v>
      </c>
    </row>
    <row r="10012" spans="1:24">
      <c r="A10012">
        <f>HYPERLINK("https://www.philgeps.gov.ph/GEPSNONPILOT/Tender/SplashBidNoticeAbstractUI.aspx?menuIndex=3&amp;refID=7151509&amp;Result=3","7151509")</f>
        <v>0</v>
      </c>
      <c r="B10012" t="s">
        <v>2315</v>
      </c>
      <c r="C10012" t="s">
        <v>13307</v>
      </c>
      <c r="D10012" t="s">
        <v>19031</v>
      </c>
      <c r="E10012" t="s">
        <v>27740</v>
      </c>
      <c r="F10012" t="s">
        <v>32831</v>
      </c>
      <c r="G10012" t="s">
        <v>32839</v>
      </c>
      <c r="H10012" t="s">
        <v>32848</v>
      </c>
      <c r="I10012" t="s">
        <v>32864</v>
      </c>
      <c r="J10012" t="s">
        <v>35380</v>
      </c>
      <c r="K10012" t="s">
        <v>42730</v>
      </c>
      <c r="M10012" t="s">
        <v>45500</v>
      </c>
      <c r="N10012" t="s">
        <v>47424</v>
      </c>
      <c r="O10012" t="s">
        <v>47425</v>
      </c>
      <c r="P10012">
        <v>0</v>
      </c>
      <c r="Q10012">
        <v>5</v>
      </c>
      <c r="R10012" t="s">
        <v>47433</v>
      </c>
      <c r="S10012" t="s">
        <v>47633</v>
      </c>
      <c r="T10012" t="s">
        <v>49236</v>
      </c>
      <c r="U10012" t="s">
        <v>57934</v>
      </c>
      <c r="W10012" t="s">
        <v>45500</v>
      </c>
      <c r="X10012" t="s">
        <v>47434</v>
      </c>
    </row>
    <row r="10013" spans="1:24">
      <c r="A10013">
        <f>HYPERLINK("https://www.philgeps.gov.ph/GEPSNONPILOT/Tender/SplashBidNoticeAbstractUI.aspx?menuIndex=3&amp;refID=7151505&amp;Result=3","7151505")</f>
        <v>0</v>
      </c>
      <c r="B10013" t="s">
        <v>2805</v>
      </c>
      <c r="C10013" t="s">
        <v>13308</v>
      </c>
      <c r="D10013" t="s">
        <v>19080</v>
      </c>
      <c r="E10013" t="s">
        <v>20384</v>
      </c>
      <c r="F10013" t="s">
        <v>32831</v>
      </c>
      <c r="G10013" t="s">
        <v>32839</v>
      </c>
      <c r="H10013" t="s">
        <v>32848</v>
      </c>
      <c r="I10013" t="s">
        <v>7416</v>
      </c>
      <c r="J10013" t="s">
        <v>39154</v>
      </c>
      <c r="K10013" t="s">
        <v>42730</v>
      </c>
      <c r="M10013" t="s">
        <v>46035</v>
      </c>
      <c r="N10013" t="s">
        <v>47424</v>
      </c>
      <c r="O10013" t="s">
        <v>47425</v>
      </c>
      <c r="P10013">
        <v>0</v>
      </c>
      <c r="Q10013">
        <v>0</v>
      </c>
      <c r="R10013" t="s">
        <v>47433</v>
      </c>
      <c r="S10013" t="s">
        <v>47633</v>
      </c>
      <c r="T10013" t="s">
        <v>49057</v>
      </c>
      <c r="U10013" t="s">
        <v>57935</v>
      </c>
      <c r="V10013" t="s">
        <v>63728</v>
      </c>
      <c r="W10013" t="s">
        <v>46035</v>
      </c>
      <c r="X10013" t="s">
        <v>47434</v>
      </c>
    </row>
    <row r="10014" spans="1:24">
      <c r="A10014">
        <f>HYPERLINK("https://www.philgeps.gov.ph/GEPSNONPILOT/Tender/SplashBidNoticeAbstractUI.aspx?menuIndex=3&amp;refID=7151445&amp;Result=3","7151445")</f>
        <v>0</v>
      </c>
      <c r="B10014" t="s">
        <v>3118</v>
      </c>
      <c r="C10014" t="s">
        <v>13309</v>
      </c>
      <c r="D10014" t="s">
        <v>19017</v>
      </c>
      <c r="E10014" t="s">
        <v>27741</v>
      </c>
      <c r="F10014" t="s">
        <v>32831</v>
      </c>
      <c r="G10014" t="s">
        <v>32839</v>
      </c>
      <c r="H10014" t="s">
        <v>32848</v>
      </c>
      <c r="I10014" t="s">
        <v>9577</v>
      </c>
      <c r="J10014" t="s">
        <v>39155</v>
      </c>
      <c r="K10014" t="s">
        <v>42727</v>
      </c>
      <c r="M10014" t="s">
        <v>46410</v>
      </c>
      <c r="N10014" t="s">
        <v>47424</v>
      </c>
      <c r="O10014" t="s">
        <v>47425</v>
      </c>
      <c r="P10014">
        <v>0</v>
      </c>
      <c r="Q10014">
        <v>1</v>
      </c>
      <c r="R10014" t="s">
        <v>47433</v>
      </c>
      <c r="S10014" t="s">
        <v>47633</v>
      </c>
      <c r="T10014" t="s">
        <v>49221</v>
      </c>
      <c r="U10014" t="s">
        <v>51307</v>
      </c>
      <c r="W10014" t="s">
        <v>46410</v>
      </c>
      <c r="X10014" t="s">
        <v>47434</v>
      </c>
    </row>
    <row r="10015" spans="1:24">
      <c r="A10015">
        <f>HYPERLINK("https://www.philgeps.gov.ph/GEPSNONPILOT/Tender/SplashBidNoticeAbstractUI.aspx?menuIndex=3&amp;refID=7151503&amp;Result=3","7151503")</f>
        <v>0</v>
      </c>
      <c r="B10015" t="s">
        <v>903</v>
      </c>
      <c r="C10015" t="s">
        <v>13310</v>
      </c>
      <c r="E10015" t="s">
        <v>27742</v>
      </c>
      <c r="F10015" t="s">
        <v>32831</v>
      </c>
      <c r="G10015" t="s">
        <v>32838</v>
      </c>
      <c r="H10015" t="s">
        <v>32850</v>
      </c>
      <c r="I10015" t="s">
        <v>32866</v>
      </c>
      <c r="J10015" t="s">
        <v>33077</v>
      </c>
      <c r="K10015" t="s">
        <v>42745</v>
      </c>
      <c r="M10015" t="s">
        <v>43941</v>
      </c>
      <c r="N10015" t="s">
        <v>47424</v>
      </c>
      <c r="O10015" t="s">
        <v>47425</v>
      </c>
      <c r="P10015">
        <v>0</v>
      </c>
      <c r="Q10015">
        <v>1</v>
      </c>
      <c r="R10015" t="s">
        <v>47433</v>
      </c>
      <c r="S10015" t="s">
        <v>47633</v>
      </c>
      <c r="T10015" t="s">
        <v>49235</v>
      </c>
      <c r="U10015" t="s">
        <v>56056</v>
      </c>
      <c r="W10015" t="s">
        <v>43941</v>
      </c>
      <c r="X10015" t="s">
        <v>47434</v>
      </c>
    </row>
    <row r="10016" spans="1:24">
      <c r="A10016">
        <f>HYPERLINK("https://www.philgeps.gov.ph/GEPSNONPILOT/Tender/SplashBidNoticeAbstractUI.aspx?menuIndex=3&amp;refID=7151488&amp;Result=3","7151488")</f>
        <v>0</v>
      </c>
      <c r="B10016" t="s">
        <v>2238</v>
      </c>
      <c r="C10016" t="s">
        <v>13311</v>
      </c>
      <c r="D10016" t="s">
        <v>19084</v>
      </c>
      <c r="E10016" t="s">
        <v>27743</v>
      </c>
      <c r="F10016" t="s">
        <v>32831</v>
      </c>
      <c r="G10016" t="s">
        <v>32839</v>
      </c>
      <c r="H10016" t="s">
        <v>32848</v>
      </c>
      <c r="I10016" t="s">
        <v>32870</v>
      </c>
      <c r="J10016" t="s">
        <v>39156</v>
      </c>
      <c r="K10016" t="s">
        <v>42727</v>
      </c>
      <c r="M10016" t="s">
        <v>45419</v>
      </c>
      <c r="N10016" t="s">
        <v>47424</v>
      </c>
      <c r="O10016" t="s">
        <v>47425</v>
      </c>
      <c r="P10016">
        <v>0</v>
      </c>
      <c r="Q10016">
        <v>0</v>
      </c>
      <c r="R10016" t="s">
        <v>47433</v>
      </c>
      <c r="S10016" t="s">
        <v>47633</v>
      </c>
      <c r="T10016" t="s">
        <v>49073</v>
      </c>
      <c r="U10016" t="s">
        <v>57936</v>
      </c>
      <c r="W10016" t="s">
        <v>45419</v>
      </c>
      <c r="X10016" t="s">
        <v>47434</v>
      </c>
    </row>
    <row r="10017" spans="1:24">
      <c r="A10017">
        <f>HYPERLINK("https://www.philgeps.gov.ph/GEPSNONPILOT/Tender/SplashBidNoticeAbstractUI.aspx?menuIndex=3&amp;refID=7151486&amp;Result=3","7151486")</f>
        <v>0</v>
      </c>
      <c r="B10017" t="s">
        <v>3065</v>
      </c>
      <c r="C10017" t="s">
        <v>13312</v>
      </c>
      <c r="D10017" t="s">
        <v>19017</v>
      </c>
      <c r="E10017" t="s">
        <v>27744</v>
      </c>
      <c r="F10017" t="s">
        <v>32831</v>
      </c>
      <c r="G10017" t="s">
        <v>32838</v>
      </c>
      <c r="H10017" t="s">
        <v>32848</v>
      </c>
      <c r="I10017" t="s">
        <v>4438</v>
      </c>
      <c r="J10017" t="s">
        <v>33133</v>
      </c>
      <c r="K10017" t="s">
        <v>42726</v>
      </c>
      <c r="M10017" t="s">
        <v>46339</v>
      </c>
      <c r="N10017" t="s">
        <v>47424</v>
      </c>
      <c r="O10017" t="s">
        <v>47425</v>
      </c>
      <c r="P10017">
        <v>0</v>
      </c>
      <c r="Q10017">
        <v>0</v>
      </c>
      <c r="R10017" t="s">
        <v>47433</v>
      </c>
      <c r="S10017" t="s">
        <v>47633</v>
      </c>
      <c r="T10017" t="s">
        <v>49237</v>
      </c>
      <c r="U10017" t="s">
        <v>57908</v>
      </c>
      <c r="W10017" t="s">
        <v>46339</v>
      </c>
      <c r="X10017" t="s">
        <v>47434</v>
      </c>
    </row>
    <row r="10018" spans="1:24">
      <c r="A10018">
        <f>HYPERLINK("https://www.philgeps.gov.ph/GEPSNONPILOT/Tender/SplashBidNoticeAbstractUI.aspx?menuIndex=3&amp;refID=7150843&amp;Result=3","7150843")</f>
        <v>0</v>
      </c>
      <c r="B10018" t="s">
        <v>2429</v>
      </c>
      <c r="C10018" t="s">
        <v>11897</v>
      </c>
      <c r="D10018" t="s">
        <v>19064</v>
      </c>
      <c r="E10018" t="s">
        <v>27745</v>
      </c>
      <c r="F10018" t="s">
        <v>32831</v>
      </c>
      <c r="G10018" t="s">
        <v>32839</v>
      </c>
      <c r="H10018" t="s">
        <v>32848</v>
      </c>
      <c r="I10018" t="s">
        <v>10805</v>
      </c>
      <c r="J10018" t="s">
        <v>39157</v>
      </c>
      <c r="K10018" t="s">
        <v>42731</v>
      </c>
      <c r="M10018" t="s">
        <v>45626</v>
      </c>
      <c r="N10018" t="s">
        <v>47424</v>
      </c>
      <c r="O10018" t="s">
        <v>47425</v>
      </c>
      <c r="P10018">
        <v>0</v>
      </c>
      <c r="Q10018">
        <v>0</v>
      </c>
      <c r="R10018" t="s">
        <v>47433</v>
      </c>
      <c r="S10018" t="s">
        <v>47633</v>
      </c>
      <c r="T10018" t="s">
        <v>49055</v>
      </c>
      <c r="U10018" t="s">
        <v>56721</v>
      </c>
      <c r="W10018" t="s">
        <v>45626</v>
      </c>
      <c r="X10018" t="s">
        <v>47434</v>
      </c>
    </row>
    <row r="10019" spans="1:24">
      <c r="A10019">
        <f>HYPERLINK("https://www.philgeps.gov.ph/GEPSNONPILOT/Tender/SplashBidNoticeAbstractUI.aspx?menuIndex=3&amp;refID=7151485&amp;Result=3","7151485")</f>
        <v>0</v>
      </c>
      <c r="B10019" t="s">
        <v>2612</v>
      </c>
      <c r="C10019" t="s">
        <v>13313</v>
      </c>
      <c r="D10019" t="s">
        <v>19040</v>
      </c>
      <c r="E10019" t="s">
        <v>27746</v>
      </c>
      <c r="F10019" t="s">
        <v>32831</v>
      </c>
      <c r="G10019" t="s">
        <v>32839</v>
      </c>
      <c r="H10019" t="s">
        <v>32848</v>
      </c>
      <c r="I10019" t="s">
        <v>4438</v>
      </c>
      <c r="J10019" t="s">
        <v>33072</v>
      </c>
      <c r="K10019" t="s">
        <v>42730</v>
      </c>
      <c r="M10019" t="s">
        <v>45831</v>
      </c>
      <c r="N10019" t="s">
        <v>47424</v>
      </c>
      <c r="O10019" t="s">
        <v>47425</v>
      </c>
      <c r="P10019">
        <v>0</v>
      </c>
      <c r="Q10019">
        <v>0</v>
      </c>
      <c r="R10019" t="s">
        <v>47433</v>
      </c>
      <c r="S10019" t="s">
        <v>47633</v>
      </c>
      <c r="T10019" t="s">
        <v>49229</v>
      </c>
      <c r="U10019" t="s">
        <v>57937</v>
      </c>
      <c r="W10019" t="s">
        <v>45831</v>
      </c>
      <c r="X10019" t="s">
        <v>47434</v>
      </c>
    </row>
    <row r="10020" spans="1:24">
      <c r="A10020">
        <f>HYPERLINK("https://www.philgeps.gov.ph/GEPSNONPILOT/Tender/SplashBidNoticeAbstractUI.aspx?menuIndex=3&amp;refID=7151481&amp;Result=3","7151481")</f>
        <v>0</v>
      </c>
      <c r="B10020" t="s">
        <v>1256</v>
      </c>
      <c r="C10020" t="s">
        <v>13314</v>
      </c>
      <c r="D10020" t="s">
        <v>19033</v>
      </c>
      <c r="E10020" t="s">
        <v>27747</v>
      </c>
      <c r="F10020" t="s">
        <v>32831</v>
      </c>
      <c r="G10020" t="s">
        <v>32838</v>
      </c>
      <c r="H10020" t="s">
        <v>32848</v>
      </c>
      <c r="I10020" t="s">
        <v>4438</v>
      </c>
      <c r="J10020" t="s">
        <v>33978</v>
      </c>
      <c r="K10020" t="s">
        <v>42730</v>
      </c>
      <c r="M10020" t="s">
        <v>44326</v>
      </c>
      <c r="N10020" t="s">
        <v>47424</v>
      </c>
      <c r="O10020" t="s">
        <v>47425</v>
      </c>
      <c r="P10020">
        <v>0</v>
      </c>
      <c r="Q10020">
        <v>5</v>
      </c>
      <c r="R10020" t="s">
        <v>47433</v>
      </c>
      <c r="S10020" t="s">
        <v>47633</v>
      </c>
      <c r="T10020" t="s">
        <v>49212</v>
      </c>
      <c r="U10020" t="s">
        <v>53002</v>
      </c>
      <c r="W10020" t="s">
        <v>44326</v>
      </c>
      <c r="X10020" t="s">
        <v>47434</v>
      </c>
    </row>
    <row r="10021" spans="1:24">
      <c r="A10021">
        <f>HYPERLINK("https://www.philgeps.gov.ph/GEPSNONPILOT/Tender/SplashBidNoticeAbstractUI.aspx?menuIndex=3&amp;refID=7151480&amp;Result=3","7151480")</f>
        <v>0</v>
      </c>
      <c r="B10021" t="s">
        <v>3120</v>
      </c>
      <c r="C10021" t="s">
        <v>13315</v>
      </c>
      <c r="E10021" t="s">
        <v>27748</v>
      </c>
      <c r="F10021" t="s">
        <v>32831</v>
      </c>
      <c r="G10021" t="s">
        <v>32839</v>
      </c>
      <c r="H10021" t="s">
        <v>32848</v>
      </c>
      <c r="I10021" t="s">
        <v>32875</v>
      </c>
      <c r="J10021" t="s">
        <v>39158</v>
      </c>
      <c r="K10021" t="s">
        <v>42730</v>
      </c>
      <c r="M10021" t="s">
        <v>46412</v>
      </c>
      <c r="N10021" t="s">
        <v>47424</v>
      </c>
      <c r="O10021" t="s">
        <v>47425</v>
      </c>
      <c r="P10021">
        <v>0</v>
      </c>
      <c r="Q10021">
        <v>2</v>
      </c>
      <c r="R10021" t="s">
        <v>47433</v>
      </c>
      <c r="S10021" t="s">
        <v>47633</v>
      </c>
      <c r="T10021" t="s">
        <v>49547</v>
      </c>
      <c r="U10021" t="s">
        <v>57938</v>
      </c>
      <c r="V10021" t="s">
        <v>63729</v>
      </c>
      <c r="W10021" t="s">
        <v>46412</v>
      </c>
      <c r="X10021" t="s">
        <v>47434</v>
      </c>
    </row>
    <row r="10022" spans="1:24">
      <c r="A10022">
        <f>HYPERLINK("https://www.philgeps.gov.ph/GEPSNONPILOT/Tender/SplashBidNoticeAbstractUI.aspx?menuIndex=3&amp;refID=7151476&amp;Result=3","7151476")</f>
        <v>0</v>
      </c>
      <c r="B10022" t="s">
        <v>903</v>
      </c>
      <c r="C10022" t="s">
        <v>13316</v>
      </c>
      <c r="D10022" t="s">
        <v>19023</v>
      </c>
      <c r="E10022" t="s">
        <v>27749</v>
      </c>
      <c r="F10022" t="s">
        <v>32831</v>
      </c>
      <c r="G10022" t="s">
        <v>32838</v>
      </c>
      <c r="H10022" t="s">
        <v>32848</v>
      </c>
      <c r="I10022" t="s">
        <v>8781</v>
      </c>
      <c r="J10022" t="s">
        <v>39159</v>
      </c>
      <c r="K10022" t="s">
        <v>42732</v>
      </c>
      <c r="M10022" t="s">
        <v>43941</v>
      </c>
      <c r="N10022" t="s">
        <v>47424</v>
      </c>
      <c r="O10022" t="s">
        <v>47425</v>
      </c>
      <c r="P10022">
        <v>0</v>
      </c>
      <c r="Q10022">
        <v>2</v>
      </c>
      <c r="R10022" t="s">
        <v>47433</v>
      </c>
      <c r="S10022" t="s">
        <v>47633</v>
      </c>
      <c r="T10022" t="s">
        <v>49235</v>
      </c>
      <c r="U10022" t="s">
        <v>56056</v>
      </c>
      <c r="W10022" t="s">
        <v>43941</v>
      </c>
      <c r="X10022" t="s">
        <v>47434</v>
      </c>
    </row>
    <row r="10023" spans="1:24">
      <c r="A10023">
        <f>HYPERLINK("https://www.philgeps.gov.ph/GEPSNONPILOT/Tender/SplashBidNoticeAbstractUI.aspx?menuIndex=3&amp;refID=7151471&amp;Result=3","7151471")</f>
        <v>0</v>
      </c>
      <c r="B10023" t="s">
        <v>3119</v>
      </c>
      <c r="C10023" t="s">
        <v>13317</v>
      </c>
      <c r="D10023" t="s">
        <v>19049</v>
      </c>
      <c r="E10023" t="s">
        <v>27750</v>
      </c>
      <c r="F10023" t="s">
        <v>32831</v>
      </c>
      <c r="G10023" t="s">
        <v>32839</v>
      </c>
      <c r="H10023" t="s">
        <v>32848</v>
      </c>
      <c r="I10023" t="s">
        <v>6526</v>
      </c>
      <c r="J10023" t="s">
        <v>39160</v>
      </c>
      <c r="K10023" t="s">
        <v>42732</v>
      </c>
      <c r="M10023" t="s">
        <v>46411</v>
      </c>
      <c r="N10023" t="s">
        <v>47424</v>
      </c>
      <c r="O10023" t="s">
        <v>47425</v>
      </c>
      <c r="P10023">
        <v>0</v>
      </c>
      <c r="Q10023">
        <v>1</v>
      </c>
      <c r="R10023" t="s">
        <v>47433</v>
      </c>
      <c r="S10023" t="s">
        <v>47633</v>
      </c>
      <c r="T10023" t="s">
        <v>49212</v>
      </c>
      <c r="U10023" t="s">
        <v>57939</v>
      </c>
      <c r="W10023" t="s">
        <v>46411</v>
      </c>
      <c r="X10023" t="s">
        <v>47434</v>
      </c>
    </row>
    <row r="10024" spans="1:24">
      <c r="A10024">
        <f>HYPERLINK("https://www.philgeps.gov.ph/GEPSNONPILOT/Tender/SplashBidNoticeAbstractUI.aspx?menuIndex=3&amp;refID=7151470&amp;Result=3","7151470")</f>
        <v>0</v>
      </c>
      <c r="B10024" t="s">
        <v>2429</v>
      </c>
      <c r="C10024" t="s">
        <v>13318</v>
      </c>
      <c r="D10024" t="s">
        <v>19064</v>
      </c>
      <c r="E10024" t="s">
        <v>27751</v>
      </c>
      <c r="F10024" t="s">
        <v>32831</v>
      </c>
      <c r="G10024" t="s">
        <v>32839</v>
      </c>
      <c r="H10024" t="s">
        <v>32848</v>
      </c>
      <c r="I10024" t="s">
        <v>4340</v>
      </c>
      <c r="J10024" t="s">
        <v>39161</v>
      </c>
      <c r="K10024" t="s">
        <v>42731</v>
      </c>
      <c r="M10024" t="s">
        <v>45626</v>
      </c>
      <c r="N10024" t="s">
        <v>47424</v>
      </c>
      <c r="O10024" t="s">
        <v>47425</v>
      </c>
      <c r="P10024">
        <v>0</v>
      </c>
      <c r="Q10024">
        <v>0</v>
      </c>
      <c r="R10024" t="s">
        <v>47433</v>
      </c>
      <c r="S10024" t="s">
        <v>47633</v>
      </c>
      <c r="T10024" t="s">
        <v>49055</v>
      </c>
      <c r="U10024" t="s">
        <v>56790</v>
      </c>
      <c r="W10024" t="s">
        <v>45626</v>
      </c>
      <c r="X10024" t="s">
        <v>47434</v>
      </c>
    </row>
    <row r="10025" spans="1:24">
      <c r="A10025">
        <f>HYPERLINK("https://www.philgeps.gov.ph/GEPSNONPILOT/Tender/SplashBidNoticeAbstractUI.aspx?menuIndex=3&amp;refID=7151467&amp;Result=3","7151467")</f>
        <v>0</v>
      </c>
      <c r="B10025" t="s">
        <v>1780</v>
      </c>
      <c r="C10025" t="s">
        <v>13319</v>
      </c>
      <c r="D10025" t="s">
        <v>19081</v>
      </c>
      <c r="E10025" t="s">
        <v>27752</v>
      </c>
      <c r="F10025" t="s">
        <v>32831</v>
      </c>
      <c r="G10025" t="s">
        <v>32839</v>
      </c>
      <c r="H10025" t="s">
        <v>32848</v>
      </c>
      <c r="I10025" t="s">
        <v>32860</v>
      </c>
      <c r="J10025" t="s">
        <v>39162</v>
      </c>
      <c r="K10025" t="s">
        <v>42730</v>
      </c>
      <c r="M10025" t="s">
        <v>44906</v>
      </c>
      <c r="N10025" t="s">
        <v>47424</v>
      </c>
      <c r="O10025" t="s">
        <v>47425</v>
      </c>
      <c r="P10025">
        <v>0</v>
      </c>
      <c r="Q10025">
        <v>5</v>
      </c>
      <c r="R10025" t="s">
        <v>47433</v>
      </c>
      <c r="S10025" t="s">
        <v>47633</v>
      </c>
      <c r="T10025" t="s">
        <v>49160</v>
      </c>
      <c r="U10025" t="s">
        <v>57940</v>
      </c>
      <c r="W10025" t="s">
        <v>44906</v>
      </c>
      <c r="X10025" t="s">
        <v>47434</v>
      </c>
    </row>
    <row r="10026" spans="1:24">
      <c r="A10026">
        <f>HYPERLINK("https://www.philgeps.gov.ph/GEPSNONPILOT/Tender/SplashBidNoticeAbstractUI.aspx?menuIndex=3&amp;refID=7151461&amp;Result=3","7151461")</f>
        <v>0</v>
      </c>
      <c r="B10026" t="s">
        <v>2622</v>
      </c>
      <c r="C10026" t="s">
        <v>13320</v>
      </c>
      <c r="D10026" t="s">
        <v>19069</v>
      </c>
      <c r="E10026" t="s">
        <v>27753</v>
      </c>
      <c r="F10026" t="s">
        <v>32831</v>
      </c>
      <c r="G10026" t="s">
        <v>32839</v>
      </c>
      <c r="H10026" t="s">
        <v>32848</v>
      </c>
      <c r="I10026" t="s">
        <v>4177</v>
      </c>
      <c r="J10026" t="s">
        <v>39163</v>
      </c>
      <c r="K10026" t="s">
        <v>42727</v>
      </c>
      <c r="M10026" t="s">
        <v>45841</v>
      </c>
      <c r="N10026" t="s">
        <v>47424</v>
      </c>
      <c r="O10026" t="s">
        <v>47425</v>
      </c>
      <c r="P10026">
        <v>0</v>
      </c>
      <c r="Q10026">
        <v>2</v>
      </c>
      <c r="R10026" t="s">
        <v>47433</v>
      </c>
      <c r="S10026" t="s">
        <v>47633</v>
      </c>
      <c r="T10026" t="s">
        <v>49237</v>
      </c>
      <c r="U10026" t="s">
        <v>57941</v>
      </c>
      <c r="W10026" t="s">
        <v>45841</v>
      </c>
      <c r="X10026" t="s">
        <v>47434</v>
      </c>
    </row>
    <row r="10027" spans="1:24">
      <c r="A10027">
        <f>HYPERLINK("https://www.philgeps.gov.ph/GEPSNONPILOT/Tender/SplashBidNoticeAbstractUI.aspx?menuIndex=3&amp;refID=7151457&amp;Result=3","7151457")</f>
        <v>0</v>
      </c>
      <c r="B10027" t="s">
        <v>3121</v>
      </c>
      <c r="C10027" t="s">
        <v>13321</v>
      </c>
      <c r="D10027" t="s">
        <v>19046</v>
      </c>
      <c r="E10027" t="s">
        <v>19520</v>
      </c>
      <c r="F10027" t="s">
        <v>32831</v>
      </c>
      <c r="G10027" t="s">
        <v>32839</v>
      </c>
      <c r="H10027" t="s">
        <v>32848</v>
      </c>
      <c r="I10027" t="s">
        <v>7416</v>
      </c>
      <c r="J10027" t="s">
        <v>39164</v>
      </c>
      <c r="K10027" t="s">
        <v>42727</v>
      </c>
      <c r="M10027" t="s">
        <v>46413</v>
      </c>
      <c r="N10027" t="s">
        <v>47424</v>
      </c>
      <c r="O10027" t="s">
        <v>47425</v>
      </c>
      <c r="P10027">
        <v>0</v>
      </c>
      <c r="Q10027">
        <v>2</v>
      </c>
      <c r="R10027" t="s">
        <v>47433</v>
      </c>
      <c r="S10027" t="s">
        <v>47633</v>
      </c>
      <c r="T10027" t="s">
        <v>49239</v>
      </c>
      <c r="U10027" t="s">
        <v>57942</v>
      </c>
      <c r="W10027" t="s">
        <v>46413</v>
      </c>
      <c r="X10027" t="s">
        <v>47434</v>
      </c>
    </row>
    <row r="10028" spans="1:24">
      <c r="A10028">
        <f>HYPERLINK("https://www.philgeps.gov.ph/GEPSNONPILOT/Tender/SplashBidNoticeAbstractUI.aspx?menuIndex=3&amp;refID=7151428&amp;Result=3","7151428")</f>
        <v>0</v>
      </c>
      <c r="B10028" t="s">
        <v>855</v>
      </c>
      <c r="C10028" t="s">
        <v>13322</v>
      </c>
      <c r="E10028" t="s">
        <v>27754</v>
      </c>
      <c r="F10028" t="s">
        <v>32831</v>
      </c>
      <c r="G10028" t="s">
        <v>32839</v>
      </c>
      <c r="H10028" t="s">
        <v>32848</v>
      </c>
      <c r="I10028" t="s">
        <v>32861</v>
      </c>
      <c r="J10028" t="s">
        <v>36514</v>
      </c>
      <c r="K10028" t="s">
        <v>42732</v>
      </c>
      <c r="M10028" t="s">
        <v>43888</v>
      </c>
      <c r="N10028" t="s">
        <v>47424</v>
      </c>
      <c r="O10028" t="s">
        <v>47425</v>
      </c>
      <c r="P10028">
        <v>0</v>
      </c>
      <c r="Q10028">
        <v>36</v>
      </c>
      <c r="R10028" t="s">
        <v>47433</v>
      </c>
      <c r="S10028" t="s">
        <v>47633</v>
      </c>
      <c r="T10028" t="s">
        <v>49077</v>
      </c>
      <c r="U10028" t="s">
        <v>57896</v>
      </c>
      <c r="W10028" t="s">
        <v>43888</v>
      </c>
      <c r="X10028" t="s">
        <v>47434</v>
      </c>
    </row>
    <row r="10029" spans="1:24">
      <c r="A10029">
        <f>HYPERLINK("https://www.philgeps.gov.ph/GEPSNONPILOT/Tender/SplashBidNoticeAbstractUI.aspx?menuIndex=3&amp;refID=7151425&amp;Result=3","7151425")</f>
        <v>0</v>
      </c>
      <c r="B10029" t="s">
        <v>2429</v>
      </c>
      <c r="C10029" t="s">
        <v>13323</v>
      </c>
      <c r="D10029" t="s">
        <v>19064</v>
      </c>
      <c r="E10029" t="s">
        <v>27755</v>
      </c>
      <c r="F10029" t="s">
        <v>32831</v>
      </c>
      <c r="G10029" t="s">
        <v>32839</v>
      </c>
      <c r="H10029" t="s">
        <v>32848</v>
      </c>
      <c r="I10029" t="s">
        <v>9577</v>
      </c>
      <c r="J10029" t="s">
        <v>39165</v>
      </c>
      <c r="K10029" t="s">
        <v>42731</v>
      </c>
      <c r="M10029" t="s">
        <v>45626</v>
      </c>
      <c r="N10029" t="s">
        <v>47424</v>
      </c>
      <c r="O10029" t="s">
        <v>47425</v>
      </c>
      <c r="P10029">
        <v>0</v>
      </c>
      <c r="Q10029">
        <v>0</v>
      </c>
      <c r="R10029" t="s">
        <v>47433</v>
      </c>
      <c r="S10029" t="s">
        <v>47633</v>
      </c>
      <c r="T10029" t="s">
        <v>49055</v>
      </c>
      <c r="U10029" t="s">
        <v>51307</v>
      </c>
      <c r="W10029" t="s">
        <v>45626</v>
      </c>
      <c r="X10029" t="s">
        <v>47434</v>
      </c>
    </row>
    <row r="10030" spans="1:24">
      <c r="A10030">
        <f>HYPERLINK("https://www.philgeps.gov.ph/GEPSNONPILOT/Tender/SplashBidNoticeAbstractUI.aspx?menuIndex=3&amp;refID=7151431&amp;Result=3","7151431")</f>
        <v>0</v>
      </c>
      <c r="B10030" t="s">
        <v>3122</v>
      </c>
      <c r="C10030" t="s">
        <v>13324</v>
      </c>
      <c r="D10030" t="s">
        <v>19023</v>
      </c>
      <c r="E10030" t="s">
        <v>27756</v>
      </c>
      <c r="F10030" t="s">
        <v>32831</v>
      </c>
      <c r="G10030" t="s">
        <v>32839</v>
      </c>
      <c r="H10030" t="s">
        <v>32849</v>
      </c>
      <c r="I10030" t="s">
        <v>4177</v>
      </c>
      <c r="J10030" t="s">
        <v>33087</v>
      </c>
      <c r="K10030" t="s">
        <v>42791</v>
      </c>
      <c r="M10030" t="s">
        <v>46414</v>
      </c>
      <c r="N10030" t="s">
        <v>47424</v>
      </c>
      <c r="O10030" t="s">
        <v>47425</v>
      </c>
      <c r="P10030">
        <v>0</v>
      </c>
      <c r="Q10030">
        <v>1</v>
      </c>
      <c r="R10030" t="s">
        <v>47433</v>
      </c>
      <c r="S10030" t="s">
        <v>47633</v>
      </c>
      <c r="T10030" t="s">
        <v>49214</v>
      </c>
      <c r="U10030" t="s">
        <v>57943</v>
      </c>
      <c r="W10030" t="s">
        <v>46414</v>
      </c>
      <c r="X10030" t="s">
        <v>47434</v>
      </c>
    </row>
    <row r="10031" spans="1:24">
      <c r="A10031">
        <f>HYPERLINK("https://www.philgeps.gov.ph/GEPSNONPILOT/Tender/SplashBidNoticeAbstractUI.aspx?menuIndex=3&amp;refID=7151508&amp;Result=3","7151508")</f>
        <v>0</v>
      </c>
      <c r="B10031" t="s">
        <v>1836</v>
      </c>
      <c r="C10031" t="s">
        <v>13325</v>
      </c>
      <c r="D10031" t="s">
        <v>19038</v>
      </c>
      <c r="E10031" t="s">
        <v>27757</v>
      </c>
      <c r="F10031" t="s">
        <v>32833</v>
      </c>
      <c r="G10031" t="s">
        <v>32839</v>
      </c>
      <c r="H10031" t="s">
        <v>32849</v>
      </c>
      <c r="I10031" t="s">
        <v>4177</v>
      </c>
      <c r="J10031" t="s">
        <v>35331</v>
      </c>
      <c r="K10031" t="s">
        <v>42761</v>
      </c>
      <c r="M10031" t="s">
        <v>44970</v>
      </c>
      <c r="N10031" t="s">
        <v>47424</v>
      </c>
      <c r="O10031" t="s">
        <v>47425</v>
      </c>
      <c r="P10031">
        <v>0</v>
      </c>
      <c r="Q10031">
        <v>5</v>
      </c>
      <c r="R10031" t="s">
        <v>47433</v>
      </c>
      <c r="S10031" t="s">
        <v>47633</v>
      </c>
      <c r="T10031" t="s">
        <v>49112</v>
      </c>
      <c r="U10031" t="s">
        <v>53641</v>
      </c>
      <c r="V10031" t="s">
        <v>63730</v>
      </c>
      <c r="W10031" t="s">
        <v>44970</v>
      </c>
      <c r="X10031" t="s">
        <v>47434</v>
      </c>
    </row>
    <row r="10032" spans="1:24">
      <c r="A10032">
        <f>HYPERLINK("https://www.philgeps.gov.ph/GEPSNONPILOT/Tender/SplashBidNoticeAbstractUI.aspx?menuIndex=3&amp;refID=7151468&amp;Result=3","7151468")</f>
        <v>0</v>
      </c>
      <c r="B10032" t="s">
        <v>2146</v>
      </c>
      <c r="C10032" t="s">
        <v>13326</v>
      </c>
      <c r="D10032" t="s">
        <v>19092</v>
      </c>
      <c r="E10032" t="s">
        <v>27758</v>
      </c>
      <c r="F10032" t="s">
        <v>32831</v>
      </c>
      <c r="G10032" t="s">
        <v>32842</v>
      </c>
      <c r="H10032" t="s">
        <v>32848</v>
      </c>
      <c r="I10032" t="s">
        <v>32903</v>
      </c>
      <c r="J10032" t="s">
        <v>33416</v>
      </c>
      <c r="K10032" t="s">
        <v>42730</v>
      </c>
      <c r="M10032" t="s">
        <v>45326</v>
      </c>
      <c r="N10032" t="s">
        <v>47424</v>
      </c>
      <c r="O10032" t="s">
        <v>47425</v>
      </c>
      <c r="P10032">
        <v>0</v>
      </c>
      <c r="Q10032">
        <v>5</v>
      </c>
      <c r="R10032" t="s">
        <v>47433</v>
      </c>
      <c r="S10032" t="s">
        <v>47633</v>
      </c>
      <c r="T10032" t="s">
        <v>49239</v>
      </c>
      <c r="U10032" t="s">
        <v>57944</v>
      </c>
      <c r="W10032" t="s">
        <v>45326</v>
      </c>
      <c r="X10032" t="s">
        <v>47434</v>
      </c>
    </row>
    <row r="10033" spans="1:24">
      <c r="A10033">
        <f>HYPERLINK("https://www.philgeps.gov.ph/GEPSNONPILOT/Tender/SplashBidNoticeAbstractUI.aspx?menuIndex=3&amp;refID=7151464&amp;Result=3","7151464")</f>
        <v>0</v>
      </c>
      <c r="B10033" t="s">
        <v>3118</v>
      </c>
      <c r="C10033" t="s">
        <v>13327</v>
      </c>
      <c r="D10033" t="s">
        <v>19017</v>
      </c>
      <c r="E10033" t="s">
        <v>27759</v>
      </c>
      <c r="F10033" t="s">
        <v>32831</v>
      </c>
      <c r="G10033" t="s">
        <v>32839</v>
      </c>
      <c r="H10033" t="s">
        <v>32848</v>
      </c>
      <c r="I10033" t="s">
        <v>9577</v>
      </c>
      <c r="J10033" t="s">
        <v>39166</v>
      </c>
      <c r="K10033" t="s">
        <v>42727</v>
      </c>
      <c r="M10033" t="s">
        <v>46410</v>
      </c>
      <c r="N10033" t="s">
        <v>47424</v>
      </c>
      <c r="O10033" t="s">
        <v>47425</v>
      </c>
      <c r="P10033">
        <v>0</v>
      </c>
      <c r="Q10033">
        <v>1</v>
      </c>
      <c r="R10033" t="s">
        <v>47433</v>
      </c>
      <c r="S10033" t="s">
        <v>47633</v>
      </c>
      <c r="T10033" t="s">
        <v>49221</v>
      </c>
      <c r="U10033" t="s">
        <v>51307</v>
      </c>
      <c r="W10033" t="s">
        <v>46410</v>
      </c>
      <c r="X10033" t="s">
        <v>47434</v>
      </c>
    </row>
    <row r="10034" spans="1:24">
      <c r="A10034">
        <f>HYPERLINK("https://www.philgeps.gov.ph/GEPSNONPILOT/Tender/SplashBidNoticeAbstractUI.aspx?menuIndex=3&amp;refID=7151369&amp;Result=3","7151369")</f>
        <v>0</v>
      </c>
      <c r="B10034" t="s">
        <v>855</v>
      </c>
      <c r="C10034" t="s">
        <v>13328</v>
      </c>
      <c r="E10034" t="s">
        <v>27760</v>
      </c>
      <c r="F10034" t="s">
        <v>32831</v>
      </c>
      <c r="G10034" t="s">
        <v>32839</v>
      </c>
      <c r="H10034" t="s">
        <v>32848</v>
      </c>
      <c r="I10034" t="s">
        <v>32861</v>
      </c>
      <c r="J10034" t="s">
        <v>39167</v>
      </c>
      <c r="K10034" t="s">
        <v>42732</v>
      </c>
      <c r="M10034" t="s">
        <v>43888</v>
      </c>
      <c r="N10034" t="s">
        <v>47424</v>
      </c>
      <c r="O10034" t="s">
        <v>47425</v>
      </c>
      <c r="P10034">
        <v>0</v>
      </c>
      <c r="Q10034">
        <v>44</v>
      </c>
      <c r="R10034" t="s">
        <v>47433</v>
      </c>
      <c r="S10034" t="s">
        <v>47633</v>
      </c>
      <c r="T10034" t="s">
        <v>49077</v>
      </c>
      <c r="U10034" t="s">
        <v>57896</v>
      </c>
      <c r="W10034" t="s">
        <v>43888</v>
      </c>
      <c r="X10034" t="s">
        <v>47434</v>
      </c>
    </row>
    <row r="10035" spans="1:24">
      <c r="A10035">
        <f>HYPERLINK("https://www.philgeps.gov.ph/GEPSNONPILOT/Tender/SplashBidNoticeAbstractUI.aspx?menuIndex=3&amp;refID=7151363&amp;Result=3","7151363")</f>
        <v>0</v>
      </c>
      <c r="B10035" t="s">
        <v>3022</v>
      </c>
      <c r="C10035" t="s">
        <v>13329</v>
      </c>
      <c r="D10035" t="s">
        <v>19052</v>
      </c>
      <c r="E10035" t="s">
        <v>27761</v>
      </c>
      <c r="F10035" t="s">
        <v>32831</v>
      </c>
      <c r="G10035" t="s">
        <v>32839</v>
      </c>
      <c r="H10035" t="s">
        <v>32848</v>
      </c>
      <c r="I10035" t="s">
        <v>4303</v>
      </c>
      <c r="J10035" t="s">
        <v>39168</v>
      </c>
      <c r="K10035" t="s">
        <v>42732</v>
      </c>
      <c r="M10035" t="s">
        <v>46293</v>
      </c>
      <c r="N10035" t="s">
        <v>47424</v>
      </c>
      <c r="O10035" t="s">
        <v>47425</v>
      </c>
      <c r="P10035">
        <v>0</v>
      </c>
      <c r="Q10035">
        <v>1</v>
      </c>
      <c r="R10035" t="s">
        <v>47433</v>
      </c>
      <c r="S10035" t="s">
        <v>47633</v>
      </c>
      <c r="T10035" t="s">
        <v>49112</v>
      </c>
      <c r="U10035" t="s">
        <v>57945</v>
      </c>
      <c r="W10035" t="s">
        <v>46293</v>
      </c>
      <c r="X10035" t="s">
        <v>47434</v>
      </c>
    </row>
    <row r="10036" spans="1:24">
      <c r="A10036">
        <f>HYPERLINK("https://www.philgeps.gov.ph/GEPSNONPILOT/Tender/SplashBidNoticeAbstractUI.aspx?menuIndex=3&amp;refID=7151362&amp;Result=3","7151362")</f>
        <v>0</v>
      </c>
      <c r="B10036" t="s">
        <v>671</v>
      </c>
      <c r="C10036" t="s">
        <v>13330</v>
      </c>
      <c r="D10036" t="s">
        <v>19030</v>
      </c>
      <c r="E10036" t="s">
        <v>27762</v>
      </c>
      <c r="F10036" t="s">
        <v>32831</v>
      </c>
      <c r="G10036" t="s">
        <v>32839</v>
      </c>
      <c r="H10036" t="s">
        <v>32849</v>
      </c>
      <c r="I10036" t="s">
        <v>4177</v>
      </c>
      <c r="J10036" t="s">
        <v>33257</v>
      </c>
      <c r="K10036" t="s">
        <v>42729</v>
      </c>
      <c r="M10036" t="s">
        <v>45667</v>
      </c>
      <c r="N10036" t="s">
        <v>47424</v>
      </c>
      <c r="O10036" t="s">
        <v>47425</v>
      </c>
      <c r="P10036">
        <v>0</v>
      </c>
      <c r="Q10036">
        <v>55</v>
      </c>
      <c r="R10036" t="s">
        <v>47433</v>
      </c>
      <c r="S10036" t="s">
        <v>47633</v>
      </c>
      <c r="T10036" t="s">
        <v>49470</v>
      </c>
      <c r="U10036" t="s">
        <v>52028</v>
      </c>
      <c r="V10036" t="s">
        <v>62999</v>
      </c>
      <c r="W10036" t="s">
        <v>64462</v>
      </c>
      <c r="X10036" t="s">
        <v>47434</v>
      </c>
    </row>
    <row r="10037" spans="1:24">
      <c r="A10037">
        <f>HYPERLINK("https://www.philgeps.gov.ph/GEPSNONPILOT/Tender/SplashBidNoticeAbstractUI.aspx?menuIndex=3&amp;refID=7151360&amp;Result=3","7151360")</f>
        <v>0</v>
      </c>
      <c r="B10037" t="s">
        <v>27</v>
      </c>
      <c r="C10037" t="s">
        <v>13331</v>
      </c>
      <c r="D10037" t="s">
        <v>19020</v>
      </c>
      <c r="E10037" t="s">
        <v>27763</v>
      </c>
      <c r="F10037" t="s">
        <v>32831</v>
      </c>
      <c r="G10037" t="s">
        <v>32839</v>
      </c>
      <c r="H10037" t="s">
        <v>32849</v>
      </c>
      <c r="I10037" t="s">
        <v>4177</v>
      </c>
      <c r="J10037" t="s">
        <v>39169</v>
      </c>
      <c r="K10037" t="s">
        <v>42821</v>
      </c>
      <c r="M10037" t="s">
        <v>43024</v>
      </c>
      <c r="N10037" t="s">
        <v>47424</v>
      </c>
      <c r="O10037" t="s">
        <v>47425</v>
      </c>
      <c r="P10037">
        <v>0</v>
      </c>
      <c r="Q10037">
        <v>8</v>
      </c>
      <c r="R10037" t="s">
        <v>47433</v>
      </c>
      <c r="S10037" t="s">
        <v>47633</v>
      </c>
      <c r="T10037" t="s">
        <v>49160</v>
      </c>
      <c r="U10037" t="s">
        <v>49692</v>
      </c>
      <c r="W10037" t="s">
        <v>43024</v>
      </c>
      <c r="X10037" t="s">
        <v>47434</v>
      </c>
    </row>
    <row r="10038" spans="1:24">
      <c r="A10038">
        <f>HYPERLINK("https://www.philgeps.gov.ph/GEPSNONPILOT/Tender/SplashBidNoticeAbstractUI.aspx?menuIndex=3&amp;refID=7151356&amp;Result=3","7151356")</f>
        <v>0</v>
      </c>
      <c r="B10038" t="s">
        <v>1434</v>
      </c>
      <c r="C10038" t="s">
        <v>13332</v>
      </c>
      <c r="D10038" t="s">
        <v>19021</v>
      </c>
      <c r="E10038" t="s">
        <v>27764</v>
      </c>
      <c r="F10038" t="s">
        <v>32831</v>
      </c>
      <c r="G10038" t="s">
        <v>32838</v>
      </c>
      <c r="H10038" t="s">
        <v>32848</v>
      </c>
      <c r="I10038" t="s">
        <v>32857</v>
      </c>
      <c r="J10038" t="s">
        <v>35088</v>
      </c>
      <c r="K10038" t="s">
        <v>42727</v>
      </c>
      <c r="M10038" t="s">
        <v>44524</v>
      </c>
      <c r="N10038" t="s">
        <v>47424</v>
      </c>
      <c r="O10038" t="s">
        <v>47425</v>
      </c>
      <c r="P10038">
        <v>0</v>
      </c>
      <c r="Q10038">
        <v>10</v>
      </c>
      <c r="R10038" t="s">
        <v>47433</v>
      </c>
      <c r="S10038" t="s">
        <v>47633</v>
      </c>
      <c r="T10038" t="s">
        <v>49060</v>
      </c>
      <c r="U10038" t="s">
        <v>57946</v>
      </c>
      <c r="W10038" t="s">
        <v>44524</v>
      </c>
      <c r="X10038" t="s">
        <v>47434</v>
      </c>
    </row>
    <row r="10039" spans="1:24">
      <c r="A10039">
        <f>HYPERLINK("https://www.philgeps.gov.ph/GEPSNONPILOT/Tender/SplashBidNoticeAbstractUI.aspx?menuIndex=3&amp;refID=7151495&amp;Result=3","7151495")</f>
        <v>0</v>
      </c>
      <c r="B10039" t="s">
        <v>1338</v>
      </c>
      <c r="C10039" t="s">
        <v>13333</v>
      </c>
      <c r="D10039" t="s">
        <v>19022</v>
      </c>
      <c r="E10039" t="s">
        <v>27765</v>
      </c>
      <c r="F10039" t="s">
        <v>32831</v>
      </c>
      <c r="G10039" t="s">
        <v>32839</v>
      </c>
      <c r="H10039" t="s">
        <v>32849</v>
      </c>
      <c r="I10039" t="s">
        <v>4177</v>
      </c>
      <c r="J10039" t="s">
        <v>39170</v>
      </c>
      <c r="K10039" t="s">
        <v>42763</v>
      </c>
      <c r="M10039" t="s">
        <v>44411</v>
      </c>
      <c r="N10039" t="s">
        <v>47424</v>
      </c>
      <c r="O10039" t="s">
        <v>47425</v>
      </c>
      <c r="P10039">
        <v>0</v>
      </c>
      <c r="Q10039">
        <v>5</v>
      </c>
      <c r="R10039" t="s">
        <v>47433</v>
      </c>
      <c r="S10039" t="s">
        <v>47633</v>
      </c>
      <c r="T10039" t="s">
        <v>49524</v>
      </c>
      <c r="U10039" t="s">
        <v>57947</v>
      </c>
      <c r="W10039" t="s">
        <v>44411</v>
      </c>
      <c r="X10039" t="s">
        <v>47434</v>
      </c>
    </row>
    <row r="10040" spans="1:24">
      <c r="A10040">
        <f>HYPERLINK("https://www.philgeps.gov.ph/GEPSNONPILOT/Tender/SplashBidNoticeAbstractUI.aspx?menuIndex=3&amp;refID=7151406&amp;Result=3","7151406")</f>
        <v>0</v>
      </c>
      <c r="B10040" t="s">
        <v>1037</v>
      </c>
      <c r="C10040" t="s">
        <v>13334</v>
      </c>
      <c r="D10040" t="s">
        <v>19100</v>
      </c>
      <c r="E10040" t="s">
        <v>22183</v>
      </c>
      <c r="F10040" t="s">
        <v>32831</v>
      </c>
      <c r="G10040" t="s">
        <v>32839</v>
      </c>
      <c r="H10040" t="s">
        <v>32848</v>
      </c>
      <c r="I10040" t="s">
        <v>32861</v>
      </c>
      <c r="J10040" t="s">
        <v>39171</v>
      </c>
      <c r="K10040" t="s">
        <v>42750</v>
      </c>
      <c r="M10040" t="s">
        <v>44091</v>
      </c>
      <c r="N10040" t="s">
        <v>47424</v>
      </c>
      <c r="O10040" t="s">
        <v>47425</v>
      </c>
      <c r="P10040">
        <v>0</v>
      </c>
      <c r="Q10040">
        <v>2</v>
      </c>
      <c r="R10040" t="s">
        <v>47433</v>
      </c>
      <c r="S10040" t="s">
        <v>47633</v>
      </c>
      <c r="T10040" t="s">
        <v>49059</v>
      </c>
      <c r="U10040" t="s">
        <v>57948</v>
      </c>
      <c r="W10040" t="s">
        <v>44091</v>
      </c>
      <c r="X10040" t="s">
        <v>47434</v>
      </c>
    </row>
    <row r="10041" spans="1:24">
      <c r="A10041">
        <f>HYPERLINK("https://www.philgeps.gov.ph/GEPSNONPILOT/Tender/SplashBidNoticeAbstractUI.aspx?menuIndex=3&amp;refID=7151323&amp;Result=3","7151323")</f>
        <v>0</v>
      </c>
      <c r="B10041" t="s">
        <v>1441</v>
      </c>
      <c r="C10041" t="s">
        <v>13335</v>
      </c>
      <c r="D10041" t="s">
        <v>19048</v>
      </c>
      <c r="E10041" t="s">
        <v>27766</v>
      </c>
      <c r="F10041" t="s">
        <v>32831</v>
      </c>
      <c r="G10041" t="s">
        <v>32839</v>
      </c>
      <c r="H10041" t="s">
        <v>32848</v>
      </c>
      <c r="I10041" t="s">
        <v>32883</v>
      </c>
      <c r="J10041" t="s">
        <v>33184</v>
      </c>
      <c r="K10041" t="s">
        <v>42727</v>
      </c>
      <c r="M10041" t="s">
        <v>44533</v>
      </c>
      <c r="N10041" t="s">
        <v>47424</v>
      </c>
      <c r="O10041" t="s">
        <v>47425</v>
      </c>
      <c r="P10041">
        <v>0</v>
      </c>
      <c r="Q10041">
        <v>2</v>
      </c>
      <c r="R10041" t="s">
        <v>47433</v>
      </c>
      <c r="S10041" t="s">
        <v>47633</v>
      </c>
      <c r="T10041" t="s">
        <v>49162</v>
      </c>
      <c r="U10041" t="s">
        <v>57949</v>
      </c>
      <c r="W10041" t="s">
        <v>44533</v>
      </c>
      <c r="X10041" t="s">
        <v>47434</v>
      </c>
    </row>
    <row r="10042" spans="1:24">
      <c r="A10042">
        <f>HYPERLINK("https://www.philgeps.gov.ph/GEPSNONPILOT/Tender/SplashBidNoticeAbstractUI.aspx?menuIndex=3&amp;refID=7151427&amp;Result=3","7151427")</f>
        <v>0</v>
      </c>
      <c r="B10042" t="s">
        <v>3121</v>
      </c>
      <c r="C10042" t="s">
        <v>13336</v>
      </c>
      <c r="D10042" t="s">
        <v>19046</v>
      </c>
      <c r="E10042" t="s">
        <v>19311</v>
      </c>
      <c r="F10042" t="s">
        <v>32831</v>
      </c>
      <c r="G10042" t="s">
        <v>32839</v>
      </c>
      <c r="H10042" t="s">
        <v>32848</v>
      </c>
      <c r="I10042" t="s">
        <v>7416</v>
      </c>
      <c r="J10042" t="s">
        <v>33018</v>
      </c>
      <c r="K10042" t="s">
        <v>42727</v>
      </c>
      <c r="M10042" t="s">
        <v>46413</v>
      </c>
      <c r="N10042" t="s">
        <v>47424</v>
      </c>
      <c r="O10042" t="s">
        <v>47425</v>
      </c>
      <c r="P10042">
        <v>0</v>
      </c>
      <c r="Q10042">
        <v>1</v>
      </c>
      <c r="R10042" t="s">
        <v>47433</v>
      </c>
      <c r="S10042" t="s">
        <v>47633</v>
      </c>
      <c r="T10042" t="s">
        <v>49212</v>
      </c>
      <c r="U10042" t="s">
        <v>57950</v>
      </c>
      <c r="W10042" t="s">
        <v>46413</v>
      </c>
      <c r="X10042" t="s">
        <v>47434</v>
      </c>
    </row>
    <row r="10043" spans="1:24">
      <c r="A10043">
        <f>HYPERLINK("https://www.philgeps.gov.ph/GEPSNONPILOT/Tender/SplashBidNoticeAbstractUI.aspx?menuIndex=3&amp;refID=7151581&amp;Result=3","7151581")</f>
        <v>0</v>
      </c>
      <c r="B10043" t="s">
        <v>2948</v>
      </c>
      <c r="C10043" t="s">
        <v>13337</v>
      </c>
      <c r="D10043" t="s">
        <v>19060</v>
      </c>
      <c r="E10043" t="s">
        <v>27767</v>
      </c>
      <c r="F10043" t="s">
        <v>32831</v>
      </c>
      <c r="G10043" t="s">
        <v>32839</v>
      </c>
      <c r="H10043" t="s">
        <v>32848</v>
      </c>
      <c r="I10043" t="s">
        <v>4438</v>
      </c>
      <c r="J10043" t="s">
        <v>39172</v>
      </c>
      <c r="K10043" t="s">
        <v>42745</v>
      </c>
      <c r="M10043" t="s">
        <v>46207</v>
      </c>
      <c r="N10043" t="s">
        <v>47424</v>
      </c>
      <c r="O10043" t="s">
        <v>47425</v>
      </c>
      <c r="P10043">
        <v>0</v>
      </c>
      <c r="Q10043">
        <v>0</v>
      </c>
      <c r="R10043" t="s">
        <v>47433</v>
      </c>
      <c r="S10043" t="s">
        <v>47633</v>
      </c>
      <c r="T10043" t="s">
        <v>49087</v>
      </c>
      <c r="U10043" t="s">
        <v>57951</v>
      </c>
      <c r="V10043" t="s">
        <v>63628</v>
      </c>
      <c r="W10043" t="s">
        <v>46207</v>
      </c>
      <c r="X10043" t="s">
        <v>47434</v>
      </c>
    </row>
    <row r="10044" spans="1:24">
      <c r="A10044">
        <f>HYPERLINK("https://www.philgeps.gov.ph/GEPSNONPILOT/Tender/SplashBidNoticeAbstractUI.aspx?menuIndex=3&amp;refID=7151574&amp;Result=3","7151574")</f>
        <v>0</v>
      </c>
      <c r="B10044" t="s">
        <v>3118</v>
      </c>
      <c r="C10044" t="s">
        <v>13338</v>
      </c>
      <c r="D10044" t="s">
        <v>19017</v>
      </c>
      <c r="E10044" t="s">
        <v>27768</v>
      </c>
      <c r="F10044" t="s">
        <v>32831</v>
      </c>
      <c r="G10044" t="s">
        <v>32839</v>
      </c>
      <c r="H10044" t="s">
        <v>32848</v>
      </c>
      <c r="I10044" t="s">
        <v>4438</v>
      </c>
      <c r="J10044" t="s">
        <v>39173</v>
      </c>
      <c r="K10044" t="s">
        <v>42727</v>
      </c>
      <c r="M10044" t="s">
        <v>46410</v>
      </c>
      <c r="N10044" t="s">
        <v>47424</v>
      </c>
      <c r="O10044" t="s">
        <v>47425</v>
      </c>
      <c r="P10044">
        <v>0</v>
      </c>
      <c r="Q10044">
        <v>0</v>
      </c>
      <c r="R10044" t="s">
        <v>47433</v>
      </c>
      <c r="S10044" t="s">
        <v>47633</v>
      </c>
      <c r="T10044" t="s">
        <v>49221</v>
      </c>
      <c r="U10044" t="s">
        <v>57952</v>
      </c>
      <c r="W10044" t="s">
        <v>46410</v>
      </c>
      <c r="X10044" t="s">
        <v>47434</v>
      </c>
    </row>
    <row r="10045" spans="1:24">
      <c r="A10045">
        <f>HYPERLINK("https://www.philgeps.gov.ph/GEPSNONPILOT/Tender/SplashBidNoticeAbstractUI.aspx?menuIndex=3&amp;refID=7151354&amp;Result=3","7151354")</f>
        <v>0</v>
      </c>
      <c r="B10045" t="s">
        <v>1037</v>
      </c>
      <c r="C10045" t="s">
        <v>13339</v>
      </c>
      <c r="D10045" t="s">
        <v>19100</v>
      </c>
      <c r="E10045" t="s">
        <v>21181</v>
      </c>
      <c r="F10045" t="s">
        <v>32831</v>
      </c>
      <c r="G10045" t="s">
        <v>32839</v>
      </c>
      <c r="H10045" t="s">
        <v>32848</v>
      </c>
      <c r="I10045" t="s">
        <v>10805</v>
      </c>
      <c r="J10045" t="s">
        <v>37384</v>
      </c>
      <c r="K10045" t="s">
        <v>42750</v>
      </c>
      <c r="M10045" t="s">
        <v>44091</v>
      </c>
      <c r="N10045" t="s">
        <v>47424</v>
      </c>
      <c r="O10045" t="s">
        <v>47425</v>
      </c>
      <c r="P10045">
        <v>0</v>
      </c>
      <c r="Q10045">
        <v>0</v>
      </c>
      <c r="R10045" t="s">
        <v>47433</v>
      </c>
      <c r="S10045" t="s">
        <v>47633</v>
      </c>
      <c r="T10045" t="s">
        <v>49059</v>
      </c>
      <c r="U10045" t="s">
        <v>57953</v>
      </c>
      <c r="W10045" t="s">
        <v>44091</v>
      </c>
      <c r="X10045" t="s">
        <v>47434</v>
      </c>
    </row>
    <row r="10046" spans="1:24">
      <c r="A10046">
        <f>HYPERLINK("https://www.philgeps.gov.ph/GEPSNONPILOT/Tender/SplashBidNoticeAbstractUI.aspx?menuIndex=3&amp;refID=7151569&amp;Result=3","7151569")</f>
        <v>0</v>
      </c>
      <c r="B10046" t="s">
        <v>3123</v>
      </c>
      <c r="C10046" t="s">
        <v>13340</v>
      </c>
      <c r="D10046" t="s">
        <v>19051</v>
      </c>
      <c r="E10046" t="s">
        <v>27769</v>
      </c>
      <c r="F10046" t="s">
        <v>32831</v>
      </c>
      <c r="G10046" t="s">
        <v>32839</v>
      </c>
      <c r="H10046" t="s">
        <v>32849</v>
      </c>
      <c r="I10046" t="s">
        <v>4177</v>
      </c>
      <c r="J10046" t="s">
        <v>39174</v>
      </c>
      <c r="K10046" t="s">
        <v>42730</v>
      </c>
      <c r="M10046" t="s">
        <v>46415</v>
      </c>
      <c r="N10046" t="s">
        <v>47424</v>
      </c>
      <c r="O10046" t="s">
        <v>47425</v>
      </c>
      <c r="P10046">
        <v>0</v>
      </c>
      <c r="Q10046">
        <v>1</v>
      </c>
      <c r="R10046" t="s">
        <v>47433</v>
      </c>
      <c r="S10046" t="s">
        <v>47633</v>
      </c>
      <c r="T10046" t="s">
        <v>49237</v>
      </c>
      <c r="U10046" t="s">
        <v>57954</v>
      </c>
      <c r="W10046" t="s">
        <v>46415</v>
      </c>
      <c r="X10046" t="s">
        <v>47434</v>
      </c>
    </row>
    <row r="10047" spans="1:24">
      <c r="A10047">
        <f>HYPERLINK("https://www.philgeps.gov.ph/GEPSNONPILOT/Tender/SplashBidNoticeAbstractUI.aspx?menuIndex=3&amp;refID=7151326&amp;Result=3","7151326")</f>
        <v>0</v>
      </c>
      <c r="B10047" t="s">
        <v>671</v>
      </c>
      <c r="C10047" t="s">
        <v>13341</v>
      </c>
      <c r="D10047" t="s">
        <v>19030</v>
      </c>
      <c r="E10047" t="s">
        <v>27770</v>
      </c>
      <c r="F10047" t="s">
        <v>32831</v>
      </c>
      <c r="G10047" t="s">
        <v>32839</v>
      </c>
      <c r="H10047" t="s">
        <v>32849</v>
      </c>
      <c r="I10047" t="s">
        <v>4177</v>
      </c>
      <c r="J10047" t="s">
        <v>33016</v>
      </c>
      <c r="K10047" t="s">
        <v>42729</v>
      </c>
      <c r="M10047" t="s">
        <v>46416</v>
      </c>
      <c r="N10047" t="s">
        <v>47424</v>
      </c>
      <c r="O10047" t="s">
        <v>47425</v>
      </c>
      <c r="P10047">
        <v>0</v>
      </c>
      <c r="Q10047">
        <v>55</v>
      </c>
      <c r="R10047" t="s">
        <v>47433</v>
      </c>
      <c r="S10047" t="s">
        <v>47633</v>
      </c>
      <c r="T10047" t="s">
        <v>49470</v>
      </c>
      <c r="U10047" t="s">
        <v>52028</v>
      </c>
      <c r="V10047" t="s">
        <v>62999</v>
      </c>
      <c r="W10047" t="s">
        <v>64462</v>
      </c>
      <c r="X10047" t="s">
        <v>47434</v>
      </c>
    </row>
    <row r="10048" spans="1:24">
      <c r="A10048">
        <f>HYPERLINK("https://www.philgeps.gov.ph/GEPSNONPILOT/Tender/SplashBidNoticeAbstractUI.aspx?menuIndex=3&amp;refID=7151418&amp;Result=3","7151418")</f>
        <v>0</v>
      </c>
      <c r="B10048" t="s">
        <v>895</v>
      </c>
      <c r="C10048" t="s">
        <v>13342</v>
      </c>
      <c r="D10048" t="s">
        <v>19036</v>
      </c>
      <c r="E10048" t="s">
        <v>27771</v>
      </c>
      <c r="F10048" t="s">
        <v>32831</v>
      </c>
      <c r="G10048" t="s">
        <v>32842</v>
      </c>
      <c r="H10048" t="s">
        <v>32848</v>
      </c>
      <c r="I10048" t="s">
        <v>32860</v>
      </c>
      <c r="J10048" t="s">
        <v>39175</v>
      </c>
      <c r="K10048" t="s">
        <v>42727</v>
      </c>
      <c r="M10048" t="s">
        <v>44963</v>
      </c>
      <c r="N10048" t="s">
        <v>47424</v>
      </c>
      <c r="O10048" t="s">
        <v>47425</v>
      </c>
      <c r="Q10048">
        <v>4</v>
      </c>
      <c r="R10048" t="s">
        <v>47433</v>
      </c>
      <c r="S10048" t="s">
        <v>47569</v>
      </c>
      <c r="T10048" t="s">
        <v>49415</v>
      </c>
      <c r="U10048" t="s">
        <v>57955</v>
      </c>
      <c r="W10048" t="s">
        <v>44963</v>
      </c>
      <c r="X10048" t="s">
        <v>47434</v>
      </c>
    </row>
    <row r="10049" spans="1:24">
      <c r="A10049">
        <f>HYPERLINK("https://www.philgeps.gov.ph/GEPSNONPILOT/Tender/SplashBidNoticeAbstractUI.aspx?menuIndex=3&amp;refID=7151566&amp;Result=3","7151566")</f>
        <v>0</v>
      </c>
      <c r="B10049" t="s">
        <v>3124</v>
      </c>
      <c r="C10049" t="s">
        <v>13343</v>
      </c>
      <c r="D10049" t="s">
        <v>19057</v>
      </c>
      <c r="E10049" t="s">
        <v>27772</v>
      </c>
      <c r="F10049" t="s">
        <v>32831</v>
      </c>
      <c r="G10049" t="s">
        <v>32839</v>
      </c>
      <c r="H10049" t="s">
        <v>32850</v>
      </c>
      <c r="I10049" t="s">
        <v>32863</v>
      </c>
      <c r="J10049" t="s">
        <v>39176</v>
      </c>
      <c r="K10049" t="s">
        <v>42774</v>
      </c>
      <c r="M10049" t="s">
        <v>46417</v>
      </c>
      <c r="N10049" t="s">
        <v>47424</v>
      </c>
      <c r="O10049" t="s">
        <v>47425</v>
      </c>
      <c r="P10049">
        <v>0</v>
      </c>
      <c r="Q10049">
        <v>1</v>
      </c>
      <c r="R10049" t="s">
        <v>47433</v>
      </c>
      <c r="S10049" t="s">
        <v>47633</v>
      </c>
      <c r="T10049" t="s">
        <v>49192</v>
      </c>
      <c r="U10049" t="s">
        <v>57956</v>
      </c>
      <c r="W10049" t="s">
        <v>46417</v>
      </c>
      <c r="X10049" t="s">
        <v>47434</v>
      </c>
    </row>
    <row r="10050" spans="1:24">
      <c r="A10050">
        <f>HYPERLINK("https://www.philgeps.gov.ph/GEPSNONPILOT/Tender/SplashBidNoticeAbstractUI.aspx?menuIndex=3&amp;refID=7151570&amp;Result=3","7151570")</f>
        <v>0</v>
      </c>
      <c r="B10050" t="s">
        <v>2315</v>
      </c>
      <c r="C10050" t="s">
        <v>13344</v>
      </c>
      <c r="D10050" t="s">
        <v>19031</v>
      </c>
      <c r="E10050" t="s">
        <v>27773</v>
      </c>
      <c r="F10050" t="s">
        <v>32831</v>
      </c>
      <c r="G10050" t="s">
        <v>32839</v>
      </c>
      <c r="H10050" t="s">
        <v>32849</v>
      </c>
      <c r="I10050" t="s">
        <v>4177</v>
      </c>
      <c r="J10050" t="s">
        <v>39177</v>
      </c>
      <c r="K10050" t="s">
        <v>42763</v>
      </c>
      <c r="M10050" t="s">
        <v>45500</v>
      </c>
      <c r="N10050" t="s">
        <v>47424</v>
      </c>
      <c r="O10050" t="s">
        <v>47425</v>
      </c>
      <c r="P10050">
        <v>0</v>
      </c>
      <c r="Q10050">
        <v>1</v>
      </c>
      <c r="R10050" t="s">
        <v>47433</v>
      </c>
      <c r="S10050" t="s">
        <v>47633</v>
      </c>
      <c r="T10050" t="s">
        <v>49236</v>
      </c>
      <c r="U10050" t="s">
        <v>57957</v>
      </c>
      <c r="W10050" t="s">
        <v>45500</v>
      </c>
      <c r="X10050" t="s">
        <v>47434</v>
      </c>
    </row>
    <row r="10051" spans="1:24">
      <c r="A10051">
        <f>HYPERLINK("https://www.philgeps.gov.ph/GEPSNONPILOT/Tender/SplashBidNoticeAbstractUI.aspx?menuIndex=3&amp;refID=7151551&amp;Result=3","7151551")</f>
        <v>0</v>
      </c>
      <c r="B10051" t="s">
        <v>3125</v>
      </c>
      <c r="C10051" t="s">
        <v>13345</v>
      </c>
      <c r="D10051" t="s">
        <v>19065</v>
      </c>
      <c r="E10051" t="s">
        <v>27774</v>
      </c>
      <c r="F10051" t="s">
        <v>32831</v>
      </c>
      <c r="G10051" t="s">
        <v>32839</v>
      </c>
      <c r="H10051" t="s">
        <v>32848</v>
      </c>
      <c r="I10051" t="s">
        <v>11727</v>
      </c>
      <c r="J10051" t="s">
        <v>36338</v>
      </c>
      <c r="K10051" t="s">
        <v>42730</v>
      </c>
      <c r="M10051" t="s">
        <v>46418</v>
      </c>
      <c r="N10051" t="s">
        <v>47424</v>
      </c>
      <c r="O10051" t="s">
        <v>47425</v>
      </c>
      <c r="P10051">
        <v>0</v>
      </c>
      <c r="Q10051">
        <v>1</v>
      </c>
      <c r="R10051" t="s">
        <v>47433</v>
      </c>
      <c r="S10051" t="s">
        <v>47633</v>
      </c>
      <c r="T10051" t="s">
        <v>49138</v>
      </c>
      <c r="U10051" t="s">
        <v>57958</v>
      </c>
      <c r="V10051" t="s">
        <v>63731</v>
      </c>
      <c r="W10051" t="s">
        <v>64536</v>
      </c>
      <c r="X10051" t="s">
        <v>47434</v>
      </c>
    </row>
    <row r="10052" spans="1:24">
      <c r="A10052">
        <f>HYPERLINK("https://www.philgeps.gov.ph/GEPSNONPILOT/Tender/SplashBidNoticeAbstractUI.aspx?menuIndex=3&amp;refID=7151550&amp;Result=3","7151550")</f>
        <v>0</v>
      </c>
      <c r="B10052" t="s">
        <v>3126</v>
      </c>
      <c r="C10052" t="s">
        <v>13346</v>
      </c>
      <c r="D10052" t="s">
        <v>19104</v>
      </c>
      <c r="E10052" t="s">
        <v>19351</v>
      </c>
      <c r="F10052" t="s">
        <v>32831</v>
      </c>
      <c r="G10052" t="s">
        <v>32839</v>
      </c>
      <c r="H10052" t="s">
        <v>32849</v>
      </c>
      <c r="I10052" t="s">
        <v>4177</v>
      </c>
      <c r="J10052" t="s">
        <v>33044</v>
      </c>
      <c r="K10052" t="s">
        <v>42746</v>
      </c>
      <c r="M10052" t="s">
        <v>46419</v>
      </c>
      <c r="N10052" t="s">
        <v>47424</v>
      </c>
      <c r="O10052" t="s">
        <v>47425</v>
      </c>
      <c r="P10052">
        <v>0</v>
      </c>
      <c r="Q10052">
        <v>0</v>
      </c>
      <c r="R10052" t="s">
        <v>47433</v>
      </c>
      <c r="S10052" t="s">
        <v>47633</v>
      </c>
      <c r="T10052" t="s">
        <v>49177</v>
      </c>
      <c r="U10052" t="s">
        <v>57959</v>
      </c>
      <c r="W10052" t="s">
        <v>46419</v>
      </c>
      <c r="X10052" t="s">
        <v>47434</v>
      </c>
    </row>
    <row r="10053" spans="1:24">
      <c r="A10053">
        <f>HYPERLINK("https://www.philgeps.gov.ph/GEPSNONPILOT/Tender/SplashBidNoticeAbstractUI.aspx?menuIndex=3&amp;refID=7151410&amp;Result=3","7151410")</f>
        <v>0</v>
      </c>
      <c r="B10053" t="s">
        <v>1469</v>
      </c>
      <c r="C10053" t="s">
        <v>13347</v>
      </c>
      <c r="D10053" t="s">
        <v>19043</v>
      </c>
      <c r="E10053" t="s">
        <v>20851</v>
      </c>
      <c r="F10053" t="s">
        <v>32831</v>
      </c>
      <c r="G10053" t="s">
        <v>32841</v>
      </c>
      <c r="H10053" t="s">
        <v>32848</v>
      </c>
      <c r="I10053" t="s">
        <v>32907</v>
      </c>
      <c r="J10053" t="s">
        <v>33307</v>
      </c>
      <c r="K10053" t="s">
        <v>42727</v>
      </c>
      <c r="M10053" t="s">
        <v>44562</v>
      </c>
      <c r="N10053" t="s">
        <v>47424</v>
      </c>
      <c r="O10053" t="s">
        <v>47425</v>
      </c>
      <c r="P10053">
        <v>0</v>
      </c>
      <c r="Q10053">
        <v>1</v>
      </c>
      <c r="R10053" t="s">
        <v>47433</v>
      </c>
      <c r="S10053" t="s">
        <v>47633</v>
      </c>
      <c r="T10053" t="s">
        <v>49237</v>
      </c>
      <c r="U10053" t="s">
        <v>57960</v>
      </c>
      <c r="W10053" t="s">
        <v>44562</v>
      </c>
      <c r="X10053" t="s">
        <v>47434</v>
      </c>
    </row>
    <row r="10054" spans="1:24">
      <c r="A10054">
        <f>HYPERLINK("https://www.philgeps.gov.ph/GEPSNONPILOT/Tender/SplashBidNoticeAbstractUI.aspx?menuIndex=3&amp;refID=7151545&amp;Result=3","7151545")</f>
        <v>0</v>
      </c>
      <c r="B10054" t="s">
        <v>833</v>
      </c>
      <c r="C10054" t="s">
        <v>13348</v>
      </c>
      <c r="D10054" t="s">
        <v>19045</v>
      </c>
      <c r="E10054" t="s">
        <v>27775</v>
      </c>
      <c r="F10054" t="s">
        <v>32831</v>
      </c>
      <c r="G10054" t="s">
        <v>32839</v>
      </c>
      <c r="H10054" t="s">
        <v>32849</v>
      </c>
      <c r="I10054" t="s">
        <v>4177</v>
      </c>
      <c r="J10054" t="s">
        <v>33087</v>
      </c>
      <c r="K10054" t="s">
        <v>42750</v>
      </c>
      <c r="M10054" t="s">
        <v>43865</v>
      </c>
      <c r="N10054" t="s">
        <v>47424</v>
      </c>
      <c r="O10054" t="s">
        <v>47425</v>
      </c>
      <c r="P10054">
        <v>0</v>
      </c>
      <c r="Q10054">
        <v>0</v>
      </c>
      <c r="R10054" t="s">
        <v>47433</v>
      </c>
      <c r="S10054" t="s">
        <v>47633</v>
      </c>
      <c r="T10054" t="s">
        <v>49160</v>
      </c>
      <c r="U10054" t="s">
        <v>57961</v>
      </c>
      <c r="V10054" t="s">
        <v>63732</v>
      </c>
      <c r="W10054" t="s">
        <v>43865</v>
      </c>
      <c r="X10054" t="s">
        <v>47434</v>
      </c>
    </row>
    <row r="10055" spans="1:24">
      <c r="A10055">
        <f>HYPERLINK("https://www.philgeps.gov.ph/GEPSNONPILOT/Tender/SplashBidNoticeAbstractUI.aspx?menuIndex=3&amp;refID=7151552&amp;Result=3","7151552")</f>
        <v>0</v>
      </c>
      <c r="B10055" t="s">
        <v>1836</v>
      </c>
      <c r="C10055" t="s">
        <v>13349</v>
      </c>
      <c r="D10055" t="s">
        <v>19038</v>
      </c>
      <c r="E10055" t="s">
        <v>27776</v>
      </c>
      <c r="F10055" t="s">
        <v>32833</v>
      </c>
      <c r="G10055" t="s">
        <v>32839</v>
      </c>
      <c r="H10055" t="s">
        <v>32849</v>
      </c>
      <c r="I10055" t="s">
        <v>4177</v>
      </c>
      <c r="J10055" t="s">
        <v>35538</v>
      </c>
      <c r="K10055" t="s">
        <v>42761</v>
      </c>
      <c r="M10055" t="s">
        <v>44970</v>
      </c>
      <c r="N10055" t="s">
        <v>47424</v>
      </c>
      <c r="O10055" t="s">
        <v>47425</v>
      </c>
      <c r="P10055">
        <v>0</v>
      </c>
      <c r="Q10055">
        <v>3</v>
      </c>
      <c r="R10055" t="s">
        <v>47433</v>
      </c>
      <c r="S10055" t="s">
        <v>47633</v>
      </c>
      <c r="T10055" t="s">
        <v>49112</v>
      </c>
      <c r="U10055" t="s">
        <v>53641</v>
      </c>
      <c r="V10055" t="s">
        <v>63733</v>
      </c>
      <c r="W10055" t="s">
        <v>44970</v>
      </c>
      <c r="X10055" t="s">
        <v>47434</v>
      </c>
    </row>
    <row r="10056" spans="1:24">
      <c r="A10056">
        <f>HYPERLINK("https://www.philgeps.gov.ph/GEPSNONPILOT/Tender/SplashBidNoticeAbstractUI.aspx?menuIndex=3&amp;refID=7151538&amp;Result=3","7151538")</f>
        <v>0</v>
      </c>
      <c r="B10056" t="s">
        <v>448</v>
      </c>
      <c r="C10056" t="s">
        <v>13350</v>
      </c>
      <c r="D10056" t="s">
        <v>19027</v>
      </c>
      <c r="E10056" t="s">
        <v>27777</v>
      </c>
      <c r="F10056" t="s">
        <v>32831</v>
      </c>
      <c r="G10056" t="s">
        <v>32839</v>
      </c>
      <c r="H10056" t="s">
        <v>32848</v>
      </c>
      <c r="I10056" t="s">
        <v>4776</v>
      </c>
      <c r="J10056" t="s">
        <v>39178</v>
      </c>
      <c r="K10056" t="s">
        <v>42730</v>
      </c>
      <c r="M10056" t="s">
        <v>43453</v>
      </c>
      <c r="N10056" t="s">
        <v>47424</v>
      </c>
      <c r="O10056" t="s">
        <v>47425</v>
      </c>
      <c r="P10056">
        <v>0</v>
      </c>
      <c r="Q10056">
        <v>3</v>
      </c>
      <c r="R10056" t="s">
        <v>47433</v>
      </c>
      <c r="S10056" t="s">
        <v>47633</v>
      </c>
      <c r="T10056" t="s">
        <v>49196</v>
      </c>
      <c r="U10056" t="s">
        <v>57962</v>
      </c>
      <c r="W10056" t="s">
        <v>43453</v>
      </c>
      <c r="X10056" t="s">
        <v>47434</v>
      </c>
    </row>
    <row r="10057" spans="1:24">
      <c r="A10057">
        <f>HYPERLINK("https://www.philgeps.gov.ph/GEPSNONPILOT/Tender/SplashBidNoticeAbstractUI.aspx?menuIndex=3&amp;refID=7151535&amp;Result=3","7151535")</f>
        <v>0</v>
      </c>
      <c r="B10057" t="s">
        <v>3127</v>
      </c>
      <c r="C10057" t="s">
        <v>13351</v>
      </c>
      <c r="D10057" t="s">
        <v>19045</v>
      </c>
      <c r="E10057" t="s">
        <v>27778</v>
      </c>
      <c r="F10057" t="s">
        <v>32831</v>
      </c>
      <c r="G10057" t="s">
        <v>32839</v>
      </c>
      <c r="H10057" t="s">
        <v>32848</v>
      </c>
      <c r="I10057" t="s">
        <v>32852</v>
      </c>
      <c r="J10057" t="s">
        <v>32983</v>
      </c>
      <c r="K10057" t="s">
        <v>42773</v>
      </c>
      <c r="M10057" t="s">
        <v>46420</v>
      </c>
      <c r="N10057" t="s">
        <v>47424</v>
      </c>
      <c r="O10057" t="s">
        <v>47425</v>
      </c>
      <c r="P10057">
        <v>0</v>
      </c>
      <c r="Q10057">
        <v>0</v>
      </c>
      <c r="R10057" t="s">
        <v>47433</v>
      </c>
      <c r="S10057" t="s">
        <v>47633</v>
      </c>
      <c r="T10057" t="s">
        <v>49080</v>
      </c>
      <c r="U10057" t="s">
        <v>57963</v>
      </c>
      <c r="W10057" t="s">
        <v>46420</v>
      </c>
      <c r="X10057" t="s">
        <v>47434</v>
      </c>
    </row>
    <row r="10058" spans="1:24">
      <c r="A10058">
        <f>HYPERLINK("https://www.philgeps.gov.ph/GEPSNONPILOT/Tender/SplashBidNoticeAbstractUI.aspx?menuIndex=3&amp;refID=7151576&amp;Result=3","7151576")</f>
        <v>0</v>
      </c>
      <c r="B10058" t="s">
        <v>762</v>
      </c>
      <c r="C10058" t="s">
        <v>13352</v>
      </c>
      <c r="E10058" t="s">
        <v>27779</v>
      </c>
      <c r="F10058" t="s">
        <v>32831</v>
      </c>
      <c r="G10058" t="s">
        <v>32838</v>
      </c>
      <c r="H10058" t="s">
        <v>32848</v>
      </c>
      <c r="I10058" t="s">
        <v>32864</v>
      </c>
      <c r="J10058" t="s">
        <v>39179</v>
      </c>
      <c r="K10058" t="s">
        <v>42732</v>
      </c>
      <c r="M10058" t="s">
        <v>46421</v>
      </c>
      <c r="N10058" t="s">
        <v>47424</v>
      </c>
      <c r="O10058" t="s">
        <v>47425</v>
      </c>
      <c r="P10058">
        <v>0</v>
      </c>
      <c r="Q10058">
        <v>1</v>
      </c>
      <c r="R10058" t="s">
        <v>47433</v>
      </c>
      <c r="S10058" t="s">
        <v>47633</v>
      </c>
      <c r="T10058" t="s">
        <v>49174</v>
      </c>
      <c r="U10058" t="s">
        <v>57964</v>
      </c>
      <c r="W10058" t="s">
        <v>46421</v>
      </c>
      <c r="X10058" t="s">
        <v>47434</v>
      </c>
    </row>
    <row r="10059" spans="1:24">
      <c r="A10059">
        <f>HYPERLINK("https://www.philgeps.gov.ph/GEPSNONPILOT/Tender/SplashBidNoticeAbstractUI.aspx?menuIndex=3&amp;refID=7151524&amp;Result=3","7151524")</f>
        <v>0</v>
      </c>
      <c r="B10059" t="s">
        <v>3128</v>
      </c>
      <c r="C10059" t="s">
        <v>13353</v>
      </c>
      <c r="D10059" t="s">
        <v>19047</v>
      </c>
      <c r="E10059" t="s">
        <v>27088</v>
      </c>
      <c r="F10059" t="s">
        <v>32831</v>
      </c>
      <c r="G10059" t="s">
        <v>32839</v>
      </c>
      <c r="H10059" t="s">
        <v>32849</v>
      </c>
      <c r="I10059" t="s">
        <v>4177</v>
      </c>
      <c r="J10059" t="s">
        <v>39180</v>
      </c>
      <c r="K10059" t="s">
        <v>42729</v>
      </c>
      <c r="M10059" t="s">
        <v>46422</v>
      </c>
      <c r="N10059" t="s">
        <v>47424</v>
      </c>
      <c r="O10059" t="s">
        <v>47425</v>
      </c>
      <c r="P10059">
        <v>0</v>
      </c>
      <c r="Q10059">
        <v>3</v>
      </c>
      <c r="R10059" t="s">
        <v>47433</v>
      </c>
      <c r="S10059" t="s">
        <v>47633</v>
      </c>
      <c r="T10059" t="s">
        <v>49068</v>
      </c>
      <c r="U10059" t="s">
        <v>57965</v>
      </c>
      <c r="W10059" t="s">
        <v>46422</v>
      </c>
      <c r="X10059" t="s">
        <v>47434</v>
      </c>
    </row>
    <row r="10060" spans="1:24">
      <c r="A10060">
        <f>HYPERLINK("https://www.philgeps.gov.ph/GEPSNONPILOT/Tender/SplashBidNoticeAbstractUI.aspx?menuIndex=3&amp;refID=7151542&amp;Result=3","7151542")</f>
        <v>0</v>
      </c>
      <c r="B10060" t="s">
        <v>3118</v>
      </c>
      <c r="C10060" t="s">
        <v>13354</v>
      </c>
      <c r="D10060" t="s">
        <v>19017</v>
      </c>
      <c r="E10060" t="s">
        <v>27780</v>
      </c>
      <c r="F10060" t="s">
        <v>32831</v>
      </c>
      <c r="G10060" t="s">
        <v>32839</v>
      </c>
      <c r="H10060" t="s">
        <v>32848</v>
      </c>
      <c r="I10060" t="s">
        <v>4222</v>
      </c>
      <c r="J10060" t="s">
        <v>39181</v>
      </c>
      <c r="K10060" t="s">
        <v>42727</v>
      </c>
      <c r="M10060" t="s">
        <v>46410</v>
      </c>
      <c r="N10060" t="s">
        <v>47424</v>
      </c>
      <c r="O10060" t="s">
        <v>47425</v>
      </c>
      <c r="P10060">
        <v>0</v>
      </c>
      <c r="Q10060">
        <v>0</v>
      </c>
      <c r="R10060" t="s">
        <v>47433</v>
      </c>
      <c r="S10060" t="s">
        <v>47633</v>
      </c>
      <c r="T10060" t="s">
        <v>49221</v>
      </c>
      <c r="U10060" t="s">
        <v>57931</v>
      </c>
      <c r="W10060" t="s">
        <v>46410</v>
      </c>
      <c r="X10060" t="s">
        <v>47434</v>
      </c>
    </row>
    <row r="10061" spans="1:24">
      <c r="A10061">
        <f>HYPERLINK("https://www.philgeps.gov.ph/GEPSNONPILOT/Tender/SplashBidNoticeAbstractUI.aspx?menuIndex=3&amp;refID=7151520&amp;Result=3","7151520")</f>
        <v>0</v>
      </c>
      <c r="B10061" t="s">
        <v>912</v>
      </c>
      <c r="C10061" t="s">
        <v>13355</v>
      </c>
      <c r="D10061" t="s">
        <v>19070</v>
      </c>
      <c r="E10061" t="s">
        <v>21110</v>
      </c>
      <c r="F10061" t="s">
        <v>32831</v>
      </c>
      <c r="G10061" t="s">
        <v>32839</v>
      </c>
      <c r="H10061" t="s">
        <v>32848</v>
      </c>
      <c r="I10061" t="s">
        <v>7751</v>
      </c>
      <c r="J10061" t="s">
        <v>38391</v>
      </c>
      <c r="K10061" t="s">
        <v>42759</v>
      </c>
      <c r="M10061" t="s">
        <v>43952</v>
      </c>
      <c r="N10061" t="s">
        <v>47424</v>
      </c>
      <c r="O10061" t="s">
        <v>47425</v>
      </c>
      <c r="P10061">
        <v>0</v>
      </c>
      <c r="Q10061">
        <v>5</v>
      </c>
      <c r="R10061" t="s">
        <v>47433</v>
      </c>
      <c r="S10061" t="s">
        <v>47633</v>
      </c>
      <c r="T10061" t="s">
        <v>49494</v>
      </c>
      <c r="U10061" t="s">
        <v>55765</v>
      </c>
      <c r="W10061" t="s">
        <v>43952</v>
      </c>
      <c r="X10061" t="s">
        <v>47434</v>
      </c>
    </row>
    <row r="10062" spans="1:24">
      <c r="A10062">
        <f>HYPERLINK("https://www.philgeps.gov.ph/GEPSNONPILOT/Tender/SplashBidNoticeAbstractUI.aspx?menuIndex=3&amp;refID=7151321&amp;Result=3","7151321")</f>
        <v>0</v>
      </c>
      <c r="B10062" t="s">
        <v>1434</v>
      </c>
      <c r="C10062" t="s">
        <v>13356</v>
      </c>
      <c r="D10062" t="s">
        <v>19021</v>
      </c>
      <c r="E10062" t="s">
        <v>27781</v>
      </c>
      <c r="F10062" t="s">
        <v>32831</v>
      </c>
      <c r="G10062" t="s">
        <v>32838</v>
      </c>
      <c r="H10062" t="s">
        <v>32849</v>
      </c>
      <c r="I10062" t="s">
        <v>4177</v>
      </c>
      <c r="J10062" t="s">
        <v>39182</v>
      </c>
      <c r="K10062" t="s">
        <v>42742</v>
      </c>
      <c r="M10062" t="s">
        <v>44524</v>
      </c>
      <c r="N10062" t="s">
        <v>47424</v>
      </c>
      <c r="O10062" t="s">
        <v>47425</v>
      </c>
      <c r="P10062">
        <v>0</v>
      </c>
      <c r="Q10062">
        <v>0</v>
      </c>
      <c r="R10062" t="s">
        <v>47433</v>
      </c>
      <c r="S10062" t="s">
        <v>47633</v>
      </c>
      <c r="T10062" t="s">
        <v>49060</v>
      </c>
      <c r="U10062" t="s">
        <v>57966</v>
      </c>
      <c r="W10062" t="s">
        <v>44524</v>
      </c>
      <c r="X10062" t="s">
        <v>47434</v>
      </c>
    </row>
    <row r="10063" spans="1:24">
      <c r="A10063">
        <f>HYPERLINK("https://www.philgeps.gov.ph/GEPSNONPILOT/Tender/SplashBidNoticeAbstractUI.aspx?menuIndex=3&amp;refID=7151318&amp;Result=3","7151318")</f>
        <v>0</v>
      </c>
      <c r="B10063" t="s">
        <v>1312</v>
      </c>
      <c r="C10063" t="s">
        <v>13357</v>
      </c>
      <c r="D10063" t="s">
        <v>19054</v>
      </c>
      <c r="E10063" t="s">
        <v>27782</v>
      </c>
      <c r="F10063" t="s">
        <v>32831</v>
      </c>
      <c r="G10063" t="s">
        <v>32838</v>
      </c>
      <c r="H10063" t="s">
        <v>32848</v>
      </c>
      <c r="I10063" t="s">
        <v>4438</v>
      </c>
      <c r="J10063" t="s">
        <v>33568</v>
      </c>
      <c r="K10063" t="s">
        <v>42732</v>
      </c>
      <c r="M10063" t="s">
        <v>44383</v>
      </c>
      <c r="N10063" t="s">
        <v>47424</v>
      </c>
      <c r="O10063" t="s">
        <v>47425</v>
      </c>
      <c r="P10063">
        <v>0</v>
      </c>
      <c r="Q10063">
        <v>1</v>
      </c>
      <c r="R10063" t="s">
        <v>47433</v>
      </c>
      <c r="S10063" t="s">
        <v>47633</v>
      </c>
      <c r="T10063" t="s">
        <v>49243</v>
      </c>
      <c r="U10063" t="s">
        <v>57593</v>
      </c>
      <c r="W10063" t="s">
        <v>44383</v>
      </c>
      <c r="X10063" t="s">
        <v>47434</v>
      </c>
    </row>
    <row r="10064" spans="1:24">
      <c r="A10064">
        <f>HYPERLINK("https://www.philgeps.gov.ph/GEPSNONPILOT/Tender/SplashBidNoticeAbstractUI.aspx?menuIndex=3&amp;refID=7151533&amp;Result=3","7151533")</f>
        <v>0</v>
      </c>
      <c r="B10064" t="s">
        <v>3122</v>
      </c>
      <c r="C10064" t="s">
        <v>13358</v>
      </c>
      <c r="D10064" t="s">
        <v>19023</v>
      </c>
      <c r="E10064" t="s">
        <v>27783</v>
      </c>
      <c r="F10064" t="s">
        <v>32831</v>
      </c>
      <c r="G10064" t="s">
        <v>32839</v>
      </c>
      <c r="H10064" t="s">
        <v>32849</v>
      </c>
      <c r="I10064" t="s">
        <v>4177</v>
      </c>
      <c r="J10064" t="s">
        <v>33017</v>
      </c>
      <c r="K10064" t="s">
        <v>42799</v>
      </c>
      <c r="M10064" t="s">
        <v>46414</v>
      </c>
      <c r="N10064" t="s">
        <v>47424</v>
      </c>
      <c r="O10064" t="s">
        <v>47425</v>
      </c>
      <c r="P10064">
        <v>0</v>
      </c>
      <c r="Q10064">
        <v>1</v>
      </c>
      <c r="R10064" t="s">
        <v>47433</v>
      </c>
      <c r="S10064" t="s">
        <v>47633</v>
      </c>
      <c r="T10064" t="s">
        <v>49213</v>
      </c>
      <c r="U10064" t="s">
        <v>57967</v>
      </c>
      <c r="W10064" t="s">
        <v>46414</v>
      </c>
      <c r="X10064" t="s">
        <v>47434</v>
      </c>
    </row>
    <row r="10065" spans="1:24">
      <c r="A10065">
        <f>HYPERLINK("https://www.philgeps.gov.ph/GEPSNONPILOT/Tender/SplashBidNoticeAbstractUI.aspx?menuIndex=3&amp;refID=7151591&amp;Result=3","7151591")</f>
        <v>0</v>
      </c>
      <c r="B10065" t="s">
        <v>2383</v>
      </c>
      <c r="C10065" t="s">
        <v>13359</v>
      </c>
      <c r="D10065" t="s">
        <v>19055</v>
      </c>
      <c r="E10065" t="s">
        <v>27784</v>
      </c>
      <c r="F10065" t="s">
        <v>32831</v>
      </c>
      <c r="G10065" t="s">
        <v>32839</v>
      </c>
      <c r="H10065" t="s">
        <v>32849</v>
      </c>
      <c r="I10065" t="s">
        <v>4177</v>
      </c>
      <c r="J10065" t="s">
        <v>39183</v>
      </c>
      <c r="K10065" t="s">
        <v>42742</v>
      </c>
      <c r="M10065" t="s">
        <v>45572</v>
      </c>
      <c r="N10065" t="s">
        <v>47424</v>
      </c>
      <c r="O10065" t="s">
        <v>47425</v>
      </c>
      <c r="P10065">
        <v>0</v>
      </c>
      <c r="Q10065">
        <v>0</v>
      </c>
      <c r="R10065" t="s">
        <v>47433</v>
      </c>
      <c r="S10065" t="s">
        <v>47633</v>
      </c>
      <c r="T10065" t="s">
        <v>49173</v>
      </c>
      <c r="U10065" t="s">
        <v>57968</v>
      </c>
      <c r="V10065" t="s">
        <v>63734</v>
      </c>
      <c r="W10065" t="s">
        <v>45572</v>
      </c>
      <c r="X10065" t="s">
        <v>47434</v>
      </c>
    </row>
    <row r="10066" spans="1:24">
      <c r="A10066">
        <f>HYPERLINK("https://www.philgeps.gov.ph/GEPSNONPILOT/Tender/SplashBidNoticeAbstractUI.aspx?menuIndex=3&amp;refID=7151650&amp;Result=3","7151650")</f>
        <v>0</v>
      </c>
      <c r="B10066" t="s">
        <v>3126</v>
      </c>
      <c r="C10066" t="s">
        <v>13346</v>
      </c>
      <c r="D10066" t="s">
        <v>19104</v>
      </c>
      <c r="E10066" t="s">
        <v>19645</v>
      </c>
      <c r="F10066" t="s">
        <v>32831</v>
      </c>
      <c r="G10066" t="s">
        <v>32839</v>
      </c>
      <c r="H10066" t="s">
        <v>32849</v>
      </c>
      <c r="I10066" t="s">
        <v>4177</v>
      </c>
      <c r="J10066" t="s">
        <v>39184</v>
      </c>
      <c r="K10066" t="s">
        <v>42745</v>
      </c>
      <c r="M10066" t="s">
        <v>46419</v>
      </c>
      <c r="N10066" t="s">
        <v>47424</v>
      </c>
      <c r="O10066" t="s">
        <v>47425</v>
      </c>
      <c r="P10066">
        <v>0</v>
      </c>
      <c r="Q10066">
        <v>0</v>
      </c>
      <c r="R10066" t="s">
        <v>47433</v>
      </c>
      <c r="S10066" t="s">
        <v>47633</v>
      </c>
      <c r="T10066" t="s">
        <v>49214</v>
      </c>
      <c r="U10066" t="s">
        <v>57969</v>
      </c>
      <c r="W10066" t="s">
        <v>46419</v>
      </c>
      <c r="X10066" t="s">
        <v>47434</v>
      </c>
    </row>
    <row r="10067" spans="1:24">
      <c r="A10067">
        <f>HYPERLINK("https://www.philgeps.gov.ph/GEPSNONPILOT/Tender/SplashBidNoticeAbstractUI.aspx?menuIndex=3&amp;refID=7151522&amp;Result=3","7151522")</f>
        <v>0</v>
      </c>
      <c r="B10067" t="s">
        <v>3129</v>
      </c>
      <c r="C10067" t="s">
        <v>13360</v>
      </c>
      <c r="D10067" t="s">
        <v>19026</v>
      </c>
      <c r="E10067" t="s">
        <v>19977</v>
      </c>
      <c r="F10067" t="s">
        <v>32831</v>
      </c>
      <c r="G10067" t="s">
        <v>32839</v>
      </c>
      <c r="H10067" t="s">
        <v>32848</v>
      </c>
      <c r="I10067" t="s">
        <v>4303</v>
      </c>
      <c r="J10067" t="s">
        <v>39185</v>
      </c>
      <c r="K10067" t="s">
        <v>42732</v>
      </c>
      <c r="M10067" t="s">
        <v>46423</v>
      </c>
      <c r="N10067" t="s">
        <v>47424</v>
      </c>
      <c r="O10067" t="s">
        <v>47425</v>
      </c>
      <c r="P10067">
        <v>0</v>
      </c>
      <c r="Q10067">
        <v>0</v>
      </c>
      <c r="R10067" t="s">
        <v>47433</v>
      </c>
      <c r="S10067" t="s">
        <v>47633</v>
      </c>
      <c r="T10067" t="s">
        <v>49163</v>
      </c>
      <c r="U10067" t="s">
        <v>57970</v>
      </c>
      <c r="W10067" t="s">
        <v>46423</v>
      </c>
      <c r="X10067" t="s">
        <v>47434</v>
      </c>
    </row>
    <row r="10068" spans="1:24">
      <c r="A10068">
        <f>HYPERLINK("https://www.philgeps.gov.ph/GEPSNONPILOT/Tender/SplashBidNoticeAbstractUI.aspx?menuIndex=3&amp;refID=7151646&amp;Result=3","7151646")</f>
        <v>0</v>
      </c>
      <c r="B10068" t="s">
        <v>3122</v>
      </c>
      <c r="C10068" t="s">
        <v>13361</v>
      </c>
      <c r="D10068" t="s">
        <v>19023</v>
      </c>
      <c r="E10068" t="s">
        <v>27785</v>
      </c>
      <c r="F10068" t="s">
        <v>32831</v>
      </c>
      <c r="G10068" t="s">
        <v>32839</v>
      </c>
      <c r="H10068" t="s">
        <v>32848</v>
      </c>
      <c r="I10068" t="s">
        <v>4776</v>
      </c>
      <c r="J10068" t="s">
        <v>33026</v>
      </c>
      <c r="K10068" t="s">
        <v>42726</v>
      </c>
      <c r="M10068" t="s">
        <v>46414</v>
      </c>
      <c r="N10068" t="s">
        <v>47424</v>
      </c>
      <c r="O10068" t="s">
        <v>47425</v>
      </c>
      <c r="P10068">
        <v>0</v>
      </c>
      <c r="Q10068">
        <v>3</v>
      </c>
      <c r="R10068" t="s">
        <v>47433</v>
      </c>
      <c r="S10068" t="s">
        <v>47633</v>
      </c>
      <c r="T10068" t="s">
        <v>49116</v>
      </c>
      <c r="U10068" t="s">
        <v>57971</v>
      </c>
      <c r="W10068" t="s">
        <v>46414</v>
      </c>
      <c r="X10068" t="s">
        <v>47434</v>
      </c>
    </row>
    <row r="10069" spans="1:24">
      <c r="A10069">
        <f>HYPERLINK("https://www.philgeps.gov.ph/GEPSNONPILOT/Tender/SplashBidNoticeAbstractUI.aspx?menuIndex=3&amp;refID=7151320&amp;Result=3","7151320")</f>
        <v>0</v>
      </c>
      <c r="B10069" t="s">
        <v>2771</v>
      </c>
      <c r="C10069" t="s">
        <v>13362</v>
      </c>
      <c r="D10069" t="s">
        <v>19023</v>
      </c>
      <c r="E10069" t="s">
        <v>27786</v>
      </c>
      <c r="F10069" t="s">
        <v>32831</v>
      </c>
      <c r="G10069" t="s">
        <v>32839</v>
      </c>
      <c r="H10069" t="s">
        <v>32849</v>
      </c>
      <c r="I10069" t="s">
        <v>4177</v>
      </c>
      <c r="J10069" t="s">
        <v>39186</v>
      </c>
      <c r="K10069" t="s">
        <v>42747</v>
      </c>
      <c r="M10069" t="s">
        <v>46002</v>
      </c>
      <c r="N10069" t="s">
        <v>47424</v>
      </c>
      <c r="O10069" t="s">
        <v>47425</v>
      </c>
      <c r="P10069">
        <v>0</v>
      </c>
      <c r="Q10069">
        <v>0</v>
      </c>
      <c r="R10069" t="s">
        <v>47433</v>
      </c>
      <c r="S10069" t="s">
        <v>47633</v>
      </c>
      <c r="T10069" t="s">
        <v>49199</v>
      </c>
      <c r="U10069" t="s">
        <v>57972</v>
      </c>
      <c r="W10069" t="s">
        <v>46002</v>
      </c>
      <c r="X10069" t="s">
        <v>47434</v>
      </c>
    </row>
    <row r="10070" spans="1:24">
      <c r="A10070">
        <f>HYPERLINK("https://www.philgeps.gov.ph/GEPSNONPILOT/Tender/SplashBidNoticeAbstractUI.aspx?menuIndex=3&amp;refID=7151645&amp;Result=3","7151645")</f>
        <v>0</v>
      </c>
      <c r="B10070" t="s">
        <v>1447</v>
      </c>
      <c r="C10070" t="s">
        <v>13363</v>
      </c>
      <c r="D10070" t="s">
        <v>19057</v>
      </c>
      <c r="E10070" t="s">
        <v>27787</v>
      </c>
      <c r="F10070" t="s">
        <v>32831</v>
      </c>
      <c r="G10070" t="s">
        <v>32839</v>
      </c>
      <c r="H10070" t="s">
        <v>32848</v>
      </c>
      <c r="I10070" t="s">
        <v>32857</v>
      </c>
      <c r="J10070" t="s">
        <v>34348</v>
      </c>
      <c r="K10070" t="s">
        <v>42726</v>
      </c>
      <c r="M10070" t="s">
        <v>44539</v>
      </c>
      <c r="N10070" t="s">
        <v>47424</v>
      </c>
      <c r="O10070" t="s">
        <v>47425</v>
      </c>
      <c r="P10070">
        <v>0</v>
      </c>
      <c r="Q10070">
        <v>6</v>
      </c>
      <c r="R10070" t="s">
        <v>47433</v>
      </c>
      <c r="S10070" t="s">
        <v>47633</v>
      </c>
      <c r="T10070" t="s">
        <v>49237</v>
      </c>
      <c r="U10070" t="s">
        <v>57973</v>
      </c>
      <c r="V10070" t="s">
        <v>63002</v>
      </c>
      <c r="W10070" t="s">
        <v>44539</v>
      </c>
      <c r="X10070" t="s">
        <v>47434</v>
      </c>
    </row>
    <row r="10071" spans="1:24">
      <c r="A10071">
        <f>HYPERLINK("https://www.philgeps.gov.ph/GEPSNONPILOT/Tender/SplashBidNoticeAbstractUI.aspx?menuIndex=3&amp;refID=7151637&amp;Result=3","7151637")</f>
        <v>0</v>
      </c>
      <c r="B10071" t="s">
        <v>1822</v>
      </c>
      <c r="C10071" t="s">
        <v>8269</v>
      </c>
      <c r="D10071" t="s">
        <v>19017</v>
      </c>
      <c r="E10071" t="s">
        <v>27788</v>
      </c>
      <c r="F10071" t="s">
        <v>32831</v>
      </c>
      <c r="G10071" t="s">
        <v>32839</v>
      </c>
      <c r="H10071" t="s">
        <v>32848</v>
      </c>
      <c r="I10071" t="s">
        <v>32857</v>
      </c>
      <c r="J10071" t="s">
        <v>33118</v>
      </c>
      <c r="K10071" t="s">
        <v>42727</v>
      </c>
      <c r="M10071" t="s">
        <v>44955</v>
      </c>
      <c r="N10071" t="s">
        <v>47424</v>
      </c>
      <c r="O10071" t="s">
        <v>47425</v>
      </c>
      <c r="P10071">
        <v>0</v>
      </c>
      <c r="Q10071">
        <v>6</v>
      </c>
      <c r="R10071" t="s">
        <v>47433</v>
      </c>
      <c r="S10071" t="s">
        <v>47633</v>
      </c>
      <c r="T10071" t="s">
        <v>49173</v>
      </c>
      <c r="U10071" t="s">
        <v>57974</v>
      </c>
      <c r="W10071" t="s">
        <v>44955</v>
      </c>
      <c r="X10071" t="s">
        <v>47434</v>
      </c>
    </row>
    <row r="10072" spans="1:24">
      <c r="A10072">
        <f>HYPERLINK("https://www.philgeps.gov.ph/GEPSNONPILOT/Tender/SplashBidNoticeAbstractUI.aspx?menuIndex=3&amp;refID=7151636&amp;Result=3","7151636")</f>
        <v>0</v>
      </c>
      <c r="B10072" t="s">
        <v>184</v>
      </c>
      <c r="C10072" t="s">
        <v>13364</v>
      </c>
      <c r="D10072" t="s">
        <v>19049</v>
      </c>
      <c r="E10072" t="s">
        <v>27789</v>
      </c>
      <c r="F10072" t="s">
        <v>32831</v>
      </c>
      <c r="G10072" t="s">
        <v>32839</v>
      </c>
      <c r="H10072" t="s">
        <v>32848</v>
      </c>
      <c r="I10072" t="s">
        <v>32861</v>
      </c>
      <c r="J10072" t="s">
        <v>39187</v>
      </c>
      <c r="K10072" t="s">
        <v>42763</v>
      </c>
      <c r="M10072" t="s">
        <v>43182</v>
      </c>
      <c r="N10072" t="s">
        <v>47424</v>
      </c>
      <c r="O10072" t="s">
        <v>47425</v>
      </c>
      <c r="P10072">
        <v>0</v>
      </c>
      <c r="Q10072">
        <v>18</v>
      </c>
      <c r="R10072" t="s">
        <v>47433</v>
      </c>
      <c r="S10072" t="s">
        <v>47633</v>
      </c>
      <c r="T10072" t="s">
        <v>49192</v>
      </c>
      <c r="U10072" t="s">
        <v>57975</v>
      </c>
      <c r="W10072" t="s">
        <v>43182</v>
      </c>
      <c r="X10072" t="s">
        <v>47434</v>
      </c>
    </row>
    <row r="10073" spans="1:24">
      <c r="A10073">
        <f>HYPERLINK("https://www.philgeps.gov.ph/GEPSNONPILOT/Tender/SplashBidNoticeAbstractUI.aspx?menuIndex=3&amp;refID=7151631&amp;Result=3","7151631")</f>
        <v>0</v>
      </c>
      <c r="B10073" t="s">
        <v>3118</v>
      </c>
      <c r="C10073" t="s">
        <v>13365</v>
      </c>
      <c r="D10073" t="s">
        <v>19017</v>
      </c>
      <c r="E10073" t="s">
        <v>27790</v>
      </c>
      <c r="F10073" t="s">
        <v>32831</v>
      </c>
      <c r="G10073" t="s">
        <v>32839</v>
      </c>
      <c r="H10073" t="s">
        <v>32848</v>
      </c>
      <c r="I10073" t="s">
        <v>4438</v>
      </c>
      <c r="J10073" t="s">
        <v>39188</v>
      </c>
      <c r="K10073" t="s">
        <v>42727</v>
      </c>
      <c r="M10073" t="s">
        <v>46410</v>
      </c>
      <c r="N10073" t="s">
        <v>47424</v>
      </c>
      <c r="O10073" t="s">
        <v>47425</v>
      </c>
      <c r="P10073">
        <v>0</v>
      </c>
      <c r="Q10073">
        <v>0</v>
      </c>
      <c r="R10073" t="s">
        <v>47433</v>
      </c>
      <c r="S10073" t="s">
        <v>47633</v>
      </c>
      <c r="T10073" t="s">
        <v>49221</v>
      </c>
      <c r="U10073" t="s">
        <v>57952</v>
      </c>
      <c r="W10073" t="s">
        <v>46410</v>
      </c>
      <c r="X10073" t="s">
        <v>47434</v>
      </c>
    </row>
    <row r="10074" spans="1:24">
      <c r="A10074">
        <f>HYPERLINK("https://www.philgeps.gov.ph/GEPSNONPILOT/Tender/SplashBidNoticeAbstractUI.aspx?menuIndex=3&amp;refID=7151628&amp;Result=3","7151628")</f>
        <v>0</v>
      </c>
      <c r="B10074" t="s">
        <v>631</v>
      </c>
      <c r="C10074" t="s">
        <v>13366</v>
      </c>
      <c r="D10074" t="s">
        <v>19024</v>
      </c>
      <c r="E10074" t="s">
        <v>27791</v>
      </c>
      <c r="F10074" t="s">
        <v>32831</v>
      </c>
      <c r="G10074" t="s">
        <v>32839</v>
      </c>
      <c r="H10074" t="s">
        <v>14069</v>
      </c>
      <c r="I10074" t="s">
        <v>14069</v>
      </c>
      <c r="J10074" t="s">
        <v>39189</v>
      </c>
      <c r="K10074" t="s">
        <v>42781</v>
      </c>
      <c r="M10074" t="s">
        <v>46424</v>
      </c>
      <c r="N10074" t="s">
        <v>47424</v>
      </c>
      <c r="O10074" t="s">
        <v>47425</v>
      </c>
      <c r="Q10074">
        <v>1</v>
      </c>
      <c r="R10074" t="s">
        <v>47433</v>
      </c>
      <c r="S10074" t="s">
        <v>47663</v>
      </c>
      <c r="T10074" t="s">
        <v>49192</v>
      </c>
      <c r="U10074" t="s">
        <v>57976</v>
      </c>
      <c r="V10074" t="s">
        <v>63735</v>
      </c>
      <c r="W10074" t="s">
        <v>46424</v>
      </c>
      <c r="X10074" t="s">
        <v>47434</v>
      </c>
    </row>
    <row r="10075" spans="1:24">
      <c r="A10075">
        <f>HYPERLINK("https://www.philgeps.gov.ph/GEPSNONPILOT/Tender/SplashBidNoticeAbstractUI.aspx?menuIndex=3&amp;refID=7151621&amp;Result=3","7151621")</f>
        <v>0</v>
      </c>
      <c r="B10075" t="s">
        <v>1822</v>
      </c>
      <c r="C10075" t="s">
        <v>13367</v>
      </c>
      <c r="D10075" t="s">
        <v>19017</v>
      </c>
      <c r="E10075" t="s">
        <v>27792</v>
      </c>
      <c r="F10075" t="s">
        <v>32831</v>
      </c>
      <c r="G10075" t="s">
        <v>32839</v>
      </c>
      <c r="H10075" t="s">
        <v>32848</v>
      </c>
      <c r="I10075" t="s">
        <v>4558</v>
      </c>
      <c r="J10075" t="s">
        <v>39190</v>
      </c>
      <c r="K10075" t="s">
        <v>42727</v>
      </c>
      <c r="M10075" t="s">
        <v>44955</v>
      </c>
      <c r="N10075" t="s">
        <v>47424</v>
      </c>
      <c r="O10075" t="s">
        <v>47425</v>
      </c>
      <c r="P10075">
        <v>0</v>
      </c>
      <c r="Q10075">
        <v>3</v>
      </c>
      <c r="R10075" t="s">
        <v>47433</v>
      </c>
      <c r="S10075" t="s">
        <v>47633</v>
      </c>
      <c r="T10075" t="s">
        <v>49173</v>
      </c>
      <c r="U10075" t="s">
        <v>57977</v>
      </c>
      <c r="W10075" t="s">
        <v>44955</v>
      </c>
      <c r="X10075" t="s">
        <v>47434</v>
      </c>
    </row>
    <row r="10076" spans="1:24">
      <c r="A10076">
        <f>HYPERLINK("https://www.philgeps.gov.ph/GEPSNONPILOT/Tender/SplashBidNoticeAbstractUI.aspx?menuIndex=3&amp;refID=7151618&amp;Result=3","7151618")</f>
        <v>0</v>
      </c>
      <c r="B10076" t="s">
        <v>2038</v>
      </c>
      <c r="C10076" t="s">
        <v>13368</v>
      </c>
      <c r="D10076" t="s">
        <v>19037</v>
      </c>
      <c r="E10076" t="s">
        <v>27793</v>
      </c>
      <c r="F10076" t="s">
        <v>32831</v>
      </c>
      <c r="G10076" t="s">
        <v>32840</v>
      </c>
      <c r="H10076" t="s">
        <v>32848</v>
      </c>
      <c r="I10076" t="s">
        <v>32879</v>
      </c>
      <c r="J10076" t="s">
        <v>39191</v>
      </c>
      <c r="K10076" t="s">
        <v>42730</v>
      </c>
      <c r="M10076" t="s">
        <v>45207</v>
      </c>
      <c r="N10076" t="s">
        <v>47424</v>
      </c>
      <c r="O10076" t="s">
        <v>47425</v>
      </c>
      <c r="P10076">
        <v>0</v>
      </c>
      <c r="Q10076">
        <v>0</v>
      </c>
      <c r="R10076" t="s">
        <v>47433</v>
      </c>
      <c r="S10076" t="s">
        <v>47633</v>
      </c>
      <c r="T10076" t="s">
        <v>49237</v>
      </c>
      <c r="U10076" t="s">
        <v>57978</v>
      </c>
      <c r="V10076" t="s">
        <v>63736</v>
      </c>
      <c r="W10076" t="s">
        <v>45207</v>
      </c>
      <c r="X10076" t="s">
        <v>47434</v>
      </c>
    </row>
    <row r="10077" spans="1:24">
      <c r="A10077">
        <f>HYPERLINK("https://www.philgeps.gov.ph/GEPSNONPILOT/Tender/SplashBidNoticeAbstractUI.aspx?menuIndex=3&amp;refID=7151420&amp;Result=3","7151420")</f>
        <v>0</v>
      </c>
      <c r="B10077" t="s">
        <v>3130</v>
      </c>
      <c r="C10077" t="s">
        <v>13369</v>
      </c>
      <c r="D10077" t="s">
        <v>19037</v>
      </c>
      <c r="E10077" t="s">
        <v>27794</v>
      </c>
      <c r="F10077" t="s">
        <v>32834</v>
      </c>
      <c r="G10077" t="s">
        <v>32840</v>
      </c>
      <c r="H10077" t="s">
        <v>32848</v>
      </c>
      <c r="I10077" t="s">
        <v>9577</v>
      </c>
      <c r="J10077" t="s">
        <v>33162</v>
      </c>
      <c r="K10077" t="s">
        <v>42730</v>
      </c>
      <c r="M10077" t="s">
        <v>46425</v>
      </c>
      <c r="N10077" t="s">
        <v>47424</v>
      </c>
      <c r="O10077" t="s">
        <v>47425</v>
      </c>
      <c r="P10077">
        <v>0</v>
      </c>
      <c r="Q10077">
        <v>0</v>
      </c>
      <c r="R10077" t="s">
        <v>47433</v>
      </c>
      <c r="S10077" t="s">
        <v>47633</v>
      </c>
      <c r="T10077" t="s">
        <v>49163</v>
      </c>
      <c r="U10077" t="s">
        <v>57979</v>
      </c>
      <c r="V10077" t="s">
        <v>63737</v>
      </c>
      <c r="W10077" t="s">
        <v>46425</v>
      </c>
      <c r="X10077" t="s">
        <v>47434</v>
      </c>
    </row>
    <row r="10078" spans="1:24">
      <c r="A10078">
        <f>HYPERLINK("https://www.philgeps.gov.ph/GEPSNONPILOT/Tender/SplashBidNoticeAbstractUI.aspx?menuIndex=3&amp;refID=7151611&amp;Result=3","7151611")</f>
        <v>0</v>
      </c>
      <c r="B10078" t="s">
        <v>960</v>
      </c>
      <c r="C10078" t="s">
        <v>13370</v>
      </c>
      <c r="D10078" t="s">
        <v>19017</v>
      </c>
      <c r="E10078" t="s">
        <v>27795</v>
      </c>
      <c r="F10078" t="s">
        <v>32831</v>
      </c>
      <c r="G10078" t="s">
        <v>32839</v>
      </c>
      <c r="H10078" t="s">
        <v>32849</v>
      </c>
      <c r="I10078" t="s">
        <v>4177</v>
      </c>
      <c r="J10078" t="s">
        <v>36484</v>
      </c>
      <c r="K10078" t="s">
        <v>42770</v>
      </c>
      <c r="M10078" t="s">
        <v>44006</v>
      </c>
      <c r="N10078" t="s">
        <v>47424</v>
      </c>
      <c r="O10078" t="s">
        <v>47425</v>
      </c>
      <c r="P10078">
        <v>0</v>
      </c>
      <c r="Q10078">
        <v>4</v>
      </c>
      <c r="R10078" t="s">
        <v>47433</v>
      </c>
      <c r="S10078" t="s">
        <v>47633</v>
      </c>
      <c r="T10078" t="s">
        <v>49231</v>
      </c>
      <c r="U10078" t="s">
        <v>57980</v>
      </c>
      <c r="W10078" t="s">
        <v>44006</v>
      </c>
      <c r="X10078" t="s">
        <v>47434</v>
      </c>
    </row>
    <row r="10079" spans="1:24">
      <c r="A10079">
        <f>HYPERLINK("https://www.philgeps.gov.ph/GEPSNONPILOT/Tender/SplashBidNoticeAbstractUI.aspx?menuIndex=3&amp;refID=7151614&amp;Result=3","7151614")</f>
        <v>0</v>
      </c>
      <c r="B10079" t="s">
        <v>3122</v>
      </c>
      <c r="C10079" t="s">
        <v>13371</v>
      </c>
      <c r="D10079" t="s">
        <v>19023</v>
      </c>
      <c r="E10079" t="s">
        <v>27796</v>
      </c>
      <c r="F10079" t="s">
        <v>32831</v>
      </c>
      <c r="G10079" t="s">
        <v>32839</v>
      </c>
      <c r="H10079" t="s">
        <v>32849</v>
      </c>
      <c r="I10079" t="s">
        <v>4177</v>
      </c>
      <c r="J10079" t="s">
        <v>32978</v>
      </c>
      <c r="K10079" t="s">
        <v>42735</v>
      </c>
      <c r="M10079" t="s">
        <v>46414</v>
      </c>
      <c r="N10079" t="s">
        <v>47424</v>
      </c>
      <c r="O10079" t="s">
        <v>47425</v>
      </c>
      <c r="P10079">
        <v>0</v>
      </c>
      <c r="Q10079">
        <v>1</v>
      </c>
      <c r="R10079" t="s">
        <v>47433</v>
      </c>
      <c r="S10079" t="s">
        <v>47633</v>
      </c>
      <c r="T10079" t="s">
        <v>49162</v>
      </c>
      <c r="U10079" t="s">
        <v>57981</v>
      </c>
      <c r="W10079" t="s">
        <v>46414</v>
      </c>
      <c r="X10079" t="s">
        <v>47434</v>
      </c>
    </row>
    <row r="10080" spans="1:24">
      <c r="A10080">
        <f>HYPERLINK("https://www.philgeps.gov.ph/GEPSNONPILOT/Tender/SplashBidNoticeAbstractUI.aspx?menuIndex=3&amp;refID=7151607&amp;Result=3","7151607")</f>
        <v>0</v>
      </c>
      <c r="B10080" t="s">
        <v>1822</v>
      </c>
      <c r="C10080" t="s">
        <v>13372</v>
      </c>
      <c r="D10080" t="s">
        <v>19017</v>
      </c>
      <c r="E10080" t="s">
        <v>27797</v>
      </c>
      <c r="F10080" t="s">
        <v>32831</v>
      </c>
      <c r="G10080" t="s">
        <v>32839</v>
      </c>
      <c r="H10080" t="s">
        <v>32848</v>
      </c>
      <c r="I10080" t="s">
        <v>10643</v>
      </c>
      <c r="J10080" t="s">
        <v>39192</v>
      </c>
      <c r="K10080" t="s">
        <v>42727</v>
      </c>
      <c r="M10080" t="s">
        <v>44955</v>
      </c>
      <c r="N10080" t="s">
        <v>47424</v>
      </c>
      <c r="O10080" t="s">
        <v>47425</v>
      </c>
      <c r="P10080">
        <v>0</v>
      </c>
      <c r="Q10080">
        <v>0</v>
      </c>
      <c r="R10080" t="s">
        <v>47433</v>
      </c>
      <c r="S10080" t="s">
        <v>47633</v>
      </c>
      <c r="T10080" t="s">
        <v>49173</v>
      </c>
      <c r="U10080" t="s">
        <v>57982</v>
      </c>
      <c r="W10080" t="s">
        <v>44955</v>
      </c>
      <c r="X10080" t="s">
        <v>47434</v>
      </c>
    </row>
    <row r="10081" spans="1:24">
      <c r="A10081">
        <f>HYPERLINK("https://www.philgeps.gov.ph/GEPSNONPILOT/Tender/SplashBidNoticeAbstractUI.aspx?menuIndex=3&amp;refID=7151609&amp;Result=3","7151609")</f>
        <v>0</v>
      </c>
      <c r="B10081" t="s">
        <v>3110</v>
      </c>
      <c r="C10081" t="s">
        <v>13373</v>
      </c>
      <c r="D10081" t="s">
        <v>19017</v>
      </c>
      <c r="E10081" t="s">
        <v>27798</v>
      </c>
      <c r="F10081" t="s">
        <v>32831</v>
      </c>
      <c r="G10081" t="s">
        <v>32839</v>
      </c>
      <c r="H10081" t="s">
        <v>32848</v>
      </c>
      <c r="I10081" t="s">
        <v>4487</v>
      </c>
      <c r="J10081" t="s">
        <v>36465</v>
      </c>
      <c r="K10081" t="s">
        <v>42730</v>
      </c>
      <c r="M10081" t="s">
        <v>46397</v>
      </c>
      <c r="N10081" t="s">
        <v>47424</v>
      </c>
      <c r="O10081" t="s">
        <v>47425</v>
      </c>
      <c r="Q10081">
        <v>15</v>
      </c>
      <c r="R10081" t="s">
        <v>47433</v>
      </c>
      <c r="S10081" t="s">
        <v>47604</v>
      </c>
      <c r="T10081" t="s">
        <v>49470</v>
      </c>
      <c r="U10081" t="s">
        <v>57894</v>
      </c>
      <c r="W10081" t="s">
        <v>46397</v>
      </c>
      <c r="X10081" t="s">
        <v>47434</v>
      </c>
    </row>
    <row r="10082" spans="1:24">
      <c r="A10082">
        <f>HYPERLINK("https://www.philgeps.gov.ph/GEPSNONPILOT/Tender/SplashBidNoticeAbstractUI.aspx?menuIndex=3&amp;refID=7151602&amp;Result=3","7151602")</f>
        <v>0</v>
      </c>
      <c r="B10082" t="s">
        <v>3126</v>
      </c>
      <c r="C10082" t="s">
        <v>13374</v>
      </c>
      <c r="D10082" t="s">
        <v>19104</v>
      </c>
      <c r="E10082" t="s">
        <v>19606</v>
      </c>
      <c r="F10082" t="s">
        <v>32831</v>
      </c>
      <c r="G10082" t="s">
        <v>32839</v>
      </c>
      <c r="H10082" t="s">
        <v>32849</v>
      </c>
      <c r="I10082" t="s">
        <v>4177</v>
      </c>
      <c r="J10082" t="s">
        <v>33087</v>
      </c>
      <c r="K10082" t="s">
        <v>42743</v>
      </c>
      <c r="M10082" t="s">
        <v>46419</v>
      </c>
      <c r="N10082" t="s">
        <v>47424</v>
      </c>
      <c r="O10082" t="s">
        <v>47425</v>
      </c>
      <c r="P10082">
        <v>0</v>
      </c>
      <c r="Q10082">
        <v>0</v>
      </c>
      <c r="R10082" t="s">
        <v>47433</v>
      </c>
      <c r="S10082" t="s">
        <v>47633</v>
      </c>
      <c r="T10082" t="s">
        <v>49166</v>
      </c>
      <c r="U10082" t="s">
        <v>57983</v>
      </c>
      <c r="W10082" t="s">
        <v>46419</v>
      </c>
      <c r="X10082" t="s">
        <v>47434</v>
      </c>
    </row>
    <row r="10083" spans="1:24">
      <c r="A10083">
        <f>HYPERLINK("https://www.philgeps.gov.ph/GEPSNONPILOT/Tender/SplashBidNoticeAbstractUI.aspx?menuIndex=3&amp;refID=7151537&amp;Result=3","7151537")</f>
        <v>0</v>
      </c>
      <c r="B10083" t="s">
        <v>2315</v>
      </c>
      <c r="C10083" t="s">
        <v>13375</v>
      </c>
      <c r="D10083" t="s">
        <v>19031</v>
      </c>
      <c r="E10083" t="s">
        <v>27799</v>
      </c>
      <c r="F10083" t="s">
        <v>32831</v>
      </c>
      <c r="G10083" t="s">
        <v>32839</v>
      </c>
      <c r="H10083" t="s">
        <v>32848</v>
      </c>
      <c r="I10083" t="s">
        <v>32851</v>
      </c>
      <c r="J10083" t="s">
        <v>39193</v>
      </c>
      <c r="K10083" t="s">
        <v>42730</v>
      </c>
      <c r="M10083" t="s">
        <v>45500</v>
      </c>
      <c r="N10083" t="s">
        <v>47424</v>
      </c>
      <c r="O10083" t="s">
        <v>47425</v>
      </c>
      <c r="P10083">
        <v>0</v>
      </c>
      <c r="Q10083">
        <v>0</v>
      </c>
      <c r="R10083" t="s">
        <v>47433</v>
      </c>
      <c r="S10083" t="s">
        <v>47633</v>
      </c>
      <c r="T10083" t="s">
        <v>49236</v>
      </c>
      <c r="U10083" t="s">
        <v>57984</v>
      </c>
      <c r="W10083" t="s">
        <v>45500</v>
      </c>
      <c r="X10083" t="s">
        <v>47434</v>
      </c>
    </row>
    <row r="10084" spans="1:24">
      <c r="A10084">
        <f>HYPERLINK("https://www.philgeps.gov.ph/GEPSNONPILOT/Tender/SplashBidNoticeAbstractUI.aspx?menuIndex=3&amp;refID=7151590&amp;Result=3","7151590")</f>
        <v>0</v>
      </c>
      <c r="B10084" t="s">
        <v>762</v>
      </c>
      <c r="C10084" t="s">
        <v>13376</v>
      </c>
      <c r="E10084" t="s">
        <v>27800</v>
      </c>
      <c r="F10084" t="s">
        <v>32831</v>
      </c>
      <c r="G10084" t="s">
        <v>32838</v>
      </c>
      <c r="H10084" t="s">
        <v>32848</v>
      </c>
      <c r="I10084" t="s">
        <v>32857</v>
      </c>
      <c r="J10084" t="s">
        <v>35079</v>
      </c>
      <c r="K10084" t="s">
        <v>42732</v>
      </c>
      <c r="M10084" t="s">
        <v>46421</v>
      </c>
      <c r="N10084" t="s">
        <v>47424</v>
      </c>
      <c r="O10084" t="s">
        <v>47425</v>
      </c>
      <c r="P10084">
        <v>0</v>
      </c>
      <c r="Q10084">
        <v>12</v>
      </c>
      <c r="R10084" t="s">
        <v>47433</v>
      </c>
      <c r="S10084" t="s">
        <v>47633</v>
      </c>
      <c r="T10084" t="s">
        <v>49174</v>
      </c>
      <c r="U10084" t="s">
        <v>57964</v>
      </c>
      <c r="W10084" t="s">
        <v>46421</v>
      </c>
      <c r="X10084" t="s">
        <v>47434</v>
      </c>
    </row>
    <row r="10085" spans="1:24">
      <c r="A10085">
        <f>HYPERLINK("https://www.philgeps.gov.ph/GEPSNONPILOT/Tender/SplashBidNoticeAbstractUI.aspx?menuIndex=3&amp;refID=7151627&amp;Result=3","7151627")</f>
        <v>0</v>
      </c>
      <c r="B10085" t="s">
        <v>187</v>
      </c>
      <c r="C10085" t="s">
        <v>13377</v>
      </c>
      <c r="D10085" t="s">
        <v>19041</v>
      </c>
      <c r="E10085" t="s">
        <v>27801</v>
      </c>
      <c r="F10085" t="s">
        <v>32831</v>
      </c>
      <c r="G10085" t="s">
        <v>32839</v>
      </c>
      <c r="H10085" t="s">
        <v>32849</v>
      </c>
      <c r="I10085" t="s">
        <v>4177</v>
      </c>
      <c r="J10085" t="s">
        <v>39194</v>
      </c>
      <c r="K10085" t="s">
        <v>42856</v>
      </c>
      <c r="M10085" t="s">
        <v>44023</v>
      </c>
      <c r="N10085" t="s">
        <v>47424</v>
      </c>
      <c r="O10085" t="s">
        <v>47425</v>
      </c>
      <c r="P10085">
        <v>0</v>
      </c>
      <c r="Q10085">
        <v>0</v>
      </c>
      <c r="R10085" t="s">
        <v>47433</v>
      </c>
      <c r="S10085" t="s">
        <v>47633</v>
      </c>
      <c r="T10085" t="s">
        <v>49470</v>
      </c>
      <c r="U10085" t="s">
        <v>51595</v>
      </c>
      <c r="W10085" t="s">
        <v>44023</v>
      </c>
      <c r="X10085" t="s">
        <v>47434</v>
      </c>
    </row>
    <row r="10086" spans="1:24">
      <c r="A10086">
        <f>HYPERLINK("https://www.philgeps.gov.ph/GEPSNONPILOT/Tender/SplashBidNoticeAbstractUI.aspx?menuIndex=3&amp;refID=7151316&amp;Result=3","7151316")</f>
        <v>0</v>
      </c>
      <c r="B10086" t="s">
        <v>1649</v>
      </c>
      <c r="C10086" t="s">
        <v>13378</v>
      </c>
      <c r="D10086" t="s">
        <v>19018</v>
      </c>
      <c r="E10086" t="s">
        <v>27802</v>
      </c>
      <c r="F10086" t="s">
        <v>32831</v>
      </c>
      <c r="G10086" t="s">
        <v>32838</v>
      </c>
      <c r="H10086" t="s">
        <v>32848</v>
      </c>
      <c r="I10086" t="s">
        <v>9577</v>
      </c>
      <c r="J10086" t="s">
        <v>39195</v>
      </c>
      <c r="K10086" t="s">
        <v>42732</v>
      </c>
      <c r="M10086" t="s">
        <v>46118</v>
      </c>
      <c r="N10086" t="s">
        <v>47424</v>
      </c>
      <c r="O10086" t="s">
        <v>47425</v>
      </c>
      <c r="P10086">
        <v>0</v>
      </c>
      <c r="Q10086">
        <v>5</v>
      </c>
      <c r="R10086" t="s">
        <v>47433</v>
      </c>
      <c r="S10086" t="s">
        <v>47633</v>
      </c>
      <c r="T10086" t="s">
        <v>49212</v>
      </c>
      <c r="U10086" t="s">
        <v>57985</v>
      </c>
      <c r="W10086" t="s">
        <v>46118</v>
      </c>
      <c r="X10086" t="s">
        <v>47434</v>
      </c>
    </row>
    <row r="10087" spans="1:24">
      <c r="A10087">
        <f>HYPERLINK("https://www.philgeps.gov.ph/GEPSNONPILOT/Tender/SplashBidNoticeAbstractUI.aspx?menuIndex=3&amp;refID=7151314&amp;Result=3","7151314")</f>
        <v>0</v>
      </c>
      <c r="B10087" t="s">
        <v>167</v>
      </c>
      <c r="C10087" t="s">
        <v>13379</v>
      </c>
      <c r="D10087" t="s">
        <v>19069</v>
      </c>
      <c r="E10087" t="s">
        <v>27803</v>
      </c>
      <c r="F10087" t="s">
        <v>32831</v>
      </c>
      <c r="G10087" t="s">
        <v>32839</v>
      </c>
      <c r="H10087" t="s">
        <v>32850</v>
      </c>
      <c r="I10087" t="s">
        <v>32863</v>
      </c>
      <c r="J10087" t="s">
        <v>39196</v>
      </c>
      <c r="K10087" t="s">
        <v>42727</v>
      </c>
      <c r="M10087" t="s">
        <v>43164</v>
      </c>
      <c r="N10087" t="s">
        <v>47424</v>
      </c>
      <c r="O10087" t="s">
        <v>47425</v>
      </c>
      <c r="P10087">
        <v>0</v>
      </c>
      <c r="Q10087">
        <v>1</v>
      </c>
      <c r="R10087" t="s">
        <v>47433</v>
      </c>
      <c r="S10087" t="s">
        <v>47633</v>
      </c>
      <c r="T10087" t="s">
        <v>49384</v>
      </c>
      <c r="U10087" t="s">
        <v>57986</v>
      </c>
      <c r="W10087" t="s">
        <v>43164</v>
      </c>
      <c r="X10087" t="s">
        <v>47434</v>
      </c>
    </row>
    <row r="10088" spans="1:24">
      <c r="A10088">
        <f>HYPERLINK("https://www.philgeps.gov.ph/GEPSNONPILOT/Tender/SplashBidNoticeAbstractUI.aspx?menuIndex=3&amp;refID=7151310&amp;Result=3","7151310")</f>
        <v>0</v>
      </c>
      <c r="B10088" t="s">
        <v>3131</v>
      </c>
      <c r="C10088" t="s">
        <v>13380</v>
      </c>
      <c r="D10088" t="s">
        <v>19074</v>
      </c>
      <c r="E10088" t="s">
        <v>27522</v>
      </c>
      <c r="F10088" t="s">
        <v>32831</v>
      </c>
      <c r="G10088" t="s">
        <v>32839</v>
      </c>
      <c r="H10088" t="s">
        <v>32849</v>
      </c>
      <c r="I10088" t="s">
        <v>4177</v>
      </c>
      <c r="J10088" t="s">
        <v>37567</v>
      </c>
      <c r="K10088" t="s">
        <v>42763</v>
      </c>
      <c r="M10088" t="s">
        <v>46426</v>
      </c>
      <c r="N10088" t="s">
        <v>47424</v>
      </c>
      <c r="O10088" t="s">
        <v>47425</v>
      </c>
      <c r="P10088">
        <v>0</v>
      </c>
      <c r="Q10088">
        <v>0</v>
      </c>
      <c r="R10088" t="s">
        <v>47433</v>
      </c>
      <c r="S10088" t="s">
        <v>47633</v>
      </c>
      <c r="T10088" t="s">
        <v>49160</v>
      </c>
      <c r="U10088" t="s">
        <v>57987</v>
      </c>
      <c r="V10088" t="s">
        <v>63738</v>
      </c>
      <c r="W10088" t="s">
        <v>46426</v>
      </c>
      <c r="X10088" t="s">
        <v>47434</v>
      </c>
    </row>
    <row r="10089" spans="1:24">
      <c r="A10089">
        <f>HYPERLINK("https://www.philgeps.gov.ph/GEPSNONPILOT/Tender/SplashBidNoticeAbstractUI.aspx?menuIndex=3&amp;refID=7151700&amp;Result=3","7151700")</f>
        <v>0</v>
      </c>
      <c r="B10089" t="s">
        <v>3120</v>
      </c>
      <c r="C10089" t="s">
        <v>13381</v>
      </c>
      <c r="E10089" t="s">
        <v>27804</v>
      </c>
      <c r="F10089" t="s">
        <v>32831</v>
      </c>
      <c r="G10089" t="s">
        <v>32839</v>
      </c>
      <c r="H10089" t="s">
        <v>32848</v>
      </c>
      <c r="I10089" t="s">
        <v>32890</v>
      </c>
      <c r="J10089" t="s">
        <v>39197</v>
      </c>
      <c r="K10089" t="s">
        <v>42763</v>
      </c>
      <c r="M10089" t="s">
        <v>46412</v>
      </c>
      <c r="N10089" t="s">
        <v>47424</v>
      </c>
      <c r="O10089" t="s">
        <v>47425</v>
      </c>
      <c r="P10089">
        <v>0</v>
      </c>
      <c r="Q10089">
        <v>3</v>
      </c>
      <c r="R10089" t="s">
        <v>47433</v>
      </c>
      <c r="S10089" t="s">
        <v>47633</v>
      </c>
      <c r="T10089" t="s">
        <v>49548</v>
      </c>
      <c r="U10089" t="s">
        <v>57988</v>
      </c>
      <c r="V10089" t="s">
        <v>63729</v>
      </c>
      <c r="W10089" t="s">
        <v>46412</v>
      </c>
      <c r="X10089" t="s">
        <v>47434</v>
      </c>
    </row>
    <row r="10090" spans="1:24">
      <c r="A10090">
        <f>HYPERLINK("https://www.philgeps.gov.ph/GEPSNONPILOT/Tender/SplashBidNoticeAbstractUI.aspx?menuIndex=3&amp;refID=7151554&amp;Result=3","7151554")</f>
        <v>0</v>
      </c>
      <c r="B10090" t="s">
        <v>2735</v>
      </c>
      <c r="C10090" t="s">
        <v>13382</v>
      </c>
      <c r="D10090" t="s">
        <v>19077</v>
      </c>
      <c r="E10090" t="s">
        <v>27805</v>
      </c>
      <c r="F10090" t="s">
        <v>32831</v>
      </c>
      <c r="G10090" t="s">
        <v>32839</v>
      </c>
      <c r="H10090" t="s">
        <v>32848</v>
      </c>
      <c r="I10090" t="s">
        <v>32862</v>
      </c>
      <c r="J10090" t="s">
        <v>39198</v>
      </c>
      <c r="K10090" t="s">
        <v>42730</v>
      </c>
      <c r="M10090" t="s">
        <v>45962</v>
      </c>
      <c r="N10090" t="s">
        <v>47424</v>
      </c>
      <c r="O10090" t="s">
        <v>47425</v>
      </c>
      <c r="P10090">
        <v>0</v>
      </c>
      <c r="Q10090">
        <v>1</v>
      </c>
      <c r="R10090" t="s">
        <v>47433</v>
      </c>
      <c r="S10090" t="s">
        <v>47633</v>
      </c>
      <c r="T10090" t="s">
        <v>49238</v>
      </c>
      <c r="U10090" t="s">
        <v>57745</v>
      </c>
      <c r="W10090" t="s">
        <v>45962</v>
      </c>
      <c r="X10090" t="s">
        <v>47434</v>
      </c>
    </row>
    <row r="10091" spans="1:24">
      <c r="A10091">
        <f>HYPERLINK("https://www.philgeps.gov.ph/GEPSNONPILOT/Tender/SplashBidNoticeAbstractUI.aspx?menuIndex=3&amp;refID=7151699&amp;Result=3","7151699")</f>
        <v>0</v>
      </c>
      <c r="B10091" t="s">
        <v>3075</v>
      </c>
      <c r="C10091" t="s">
        <v>13383</v>
      </c>
      <c r="D10091" t="s">
        <v>19052</v>
      </c>
      <c r="E10091" t="s">
        <v>21296</v>
      </c>
      <c r="F10091" t="s">
        <v>32831</v>
      </c>
      <c r="G10091" t="s">
        <v>32841</v>
      </c>
      <c r="H10091" t="s">
        <v>32848</v>
      </c>
      <c r="I10091" t="s">
        <v>32949</v>
      </c>
      <c r="J10091" t="s">
        <v>32985</v>
      </c>
      <c r="K10091" t="s">
        <v>42750</v>
      </c>
      <c r="M10091" t="s">
        <v>46354</v>
      </c>
      <c r="N10091" t="s">
        <v>47424</v>
      </c>
      <c r="O10091" t="s">
        <v>47425</v>
      </c>
      <c r="P10091">
        <v>0</v>
      </c>
      <c r="Q10091">
        <v>2</v>
      </c>
      <c r="R10091" t="s">
        <v>47433</v>
      </c>
      <c r="S10091" t="s">
        <v>47633</v>
      </c>
      <c r="T10091" t="s">
        <v>49111</v>
      </c>
      <c r="U10091" t="s">
        <v>57738</v>
      </c>
      <c r="W10091" t="s">
        <v>46354</v>
      </c>
      <c r="X10091" t="s">
        <v>47434</v>
      </c>
    </row>
    <row r="10092" spans="1:24">
      <c r="A10092">
        <f>HYPERLINK("https://www.philgeps.gov.ph/GEPSNONPILOT/Tender/SplashBidNoticeAbstractUI.aspx?menuIndex=3&amp;refID=7151697&amp;Result=3","7151697")</f>
        <v>0</v>
      </c>
      <c r="B10092" t="s">
        <v>3119</v>
      </c>
      <c r="C10092" t="s">
        <v>13384</v>
      </c>
      <c r="D10092" t="s">
        <v>19049</v>
      </c>
      <c r="E10092" t="s">
        <v>27806</v>
      </c>
      <c r="F10092" t="s">
        <v>32831</v>
      </c>
      <c r="G10092" t="s">
        <v>32839</v>
      </c>
      <c r="H10092" t="s">
        <v>32849</v>
      </c>
      <c r="I10092" t="s">
        <v>4177</v>
      </c>
      <c r="J10092" t="s">
        <v>33257</v>
      </c>
      <c r="K10092" t="s">
        <v>42729</v>
      </c>
      <c r="M10092" t="s">
        <v>46411</v>
      </c>
      <c r="N10092" t="s">
        <v>47424</v>
      </c>
      <c r="O10092" t="s">
        <v>47425</v>
      </c>
      <c r="P10092">
        <v>0</v>
      </c>
      <c r="Q10092">
        <v>1</v>
      </c>
      <c r="R10092" t="s">
        <v>47433</v>
      </c>
      <c r="S10092" t="s">
        <v>47633</v>
      </c>
      <c r="T10092" t="s">
        <v>49231</v>
      </c>
      <c r="U10092" t="s">
        <v>57989</v>
      </c>
      <c r="W10092" t="s">
        <v>46411</v>
      </c>
      <c r="X10092" t="s">
        <v>47434</v>
      </c>
    </row>
    <row r="10093" spans="1:24">
      <c r="A10093">
        <f>HYPERLINK("https://www.philgeps.gov.ph/GEPSNONPILOT/Tender/SplashBidNoticeAbstractUI.aspx?menuIndex=3&amp;refID=7151647&amp;Result=3","7151647")</f>
        <v>0</v>
      </c>
      <c r="B10093" t="s">
        <v>3132</v>
      </c>
      <c r="C10093" t="s">
        <v>13385</v>
      </c>
      <c r="D10093" t="s">
        <v>19058</v>
      </c>
      <c r="E10093" t="s">
        <v>27807</v>
      </c>
      <c r="F10093" t="s">
        <v>32831</v>
      </c>
      <c r="G10093" t="s">
        <v>32839</v>
      </c>
      <c r="H10093" t="s">
        <v>32848</v>
      </c>
      <c r="I10093" t="s">
        <v>7751</v>
      </c>
      <c r="J10093" t="s">
        <v>34447</v>
      </c>
      <c r="K10093" t="s">
        <v>42729</v>
      </c>
      <c r="M10093" t="s">
        <v>46427</v>
      </c>
      <c r="N10093" t="s">
        <v>47424</v>
      </c>
      <c r="O10093" t="s">
        <v>47425</v>
      </c>
      <c r="P10093">
        <v>0</v>
      </c>
      <c r="Q10093">
        <v>9</v>
      </c>
      <c r="R10093" t="s">
        <v>47433</v>
      </c>
      <c r="S10093" t="s">
        <v>47633</v>
      </c>
      <c r="T10093" t="s">
        <v>49283</v>
      </c>
      <c r="U10093" t="s">
        <v>57990</v>
      </c>
      <c r="W10093" t="s">
        <v>46427</v>
      </c>
      <c r="X10093" t="s">
        <v>47434</v>
      </c>
    </row>
    <row r="10094" spans="1:24">
      <c r="A10094">
        <f>HYPERLINK("https://www.philgeps.gov.ph/GEPSNONPILOT/Tender/SplashBidNoticeAbstractUI.aspx?menuIndex=3&amp;refID=7151692&amp;Result=3","7151692")</f>
        <v>0</v>
      </c>
      <c r="B10094" t="s">
        <v>3133</v>
      </c>
      <c r="C10094" t="s">
        <v>13386</v>
      </c>
      <c r="D10094" t="s">
        <v>19087</v>
      </c>
      <c r="E10094" t="s">
        <v>27808</v>
      </c>
      <c r="F10094" t="s">
        <v>32831</v>
      </c>
      <c r="G10094" t="s">
        <v>32839</v>
      </c>
      <c r="H10094" t="s">
        <v>32848</v>
      </c>
      <c r="I10094" t="s">
        <v>7751</v>
      </c>
      <c r="J10094" t="s">
        <v>33072</v>
      </c>
      <c r="K10094" t="s">
        <v>42730</v>
      </c>
      <c r="M10094" t="s">
        <v>46428</v>
      </c>
      <c r="N10094" t="s">
        <v>47424</v>
      </c>
      <c r="O10094" t="s">
        <v>47425</v>
      </c>
      <c r="P10094">
        <v>0</v>
      </c>
      <c r="Q10094">
        <v>0</v>
      </c>
      <c r="R10094" t="s">
        <v>47433</v>
      </c>
      <c r="S10094" t="s">
        <v>47633</v>
      </c>
      <c r="T10094" t="s">
        <v>49522</v>
      </c>
      <c r="U10094" t="s">
        <v>57991</v>
      </c>
      <c r="W10094" t="s">
        <v>46428</v>
      </c>
      <c r="X10094" t="s">
        <v>47434</v>
      </c>
    </row>
    <row r="10095" spans="1:24">
      <c r="A10095">
        <f>HYPERLINK("https://www.philgeps.gov.ph/GEPSNONPILOT/Tender/SplashBidNoticeAbstractUI.aspx?menuIndex=3&amp;refID=7151687&amp;Result=3","7151687")</f>
        <v>0</v>
      </c>
      <c r="B10095" t="s">
        <v>900</v>
      </c>
      <c r="C10095" t="s">
        <v>13387</v>
      </c>
      <c r="D10095" t="s">
        <v>19017</v>
      </c>
      <c r="E10095" t="s">
        <v>20163</v>
      </c>
      <c r="F10095" t="s">
        <v>32831</v>
      </c>
      <c r="G10095" t="s">
        <v>32839</v>
      </c>
      <c r="H10095" t="s">
        <v>32848</v>
      </c>
      <c r="I10095" t="s">
        <v>4487</v>
      </c>
      <c r="J10095" t="s">
        <v>39199</v>
      </c>
      <c r="K10095" t="s">
        <v>42738</v>
      </c>
      <c r="M10095" t="s">
        <v>43947</v>
      </c>
      <c r="N10095" t="s">
        <v>47424</v>
      </c>
      <c r="O10095" t="s">
        <v>47425</v>
      </c>
      <c r="P10095">
        <v>0</v>
      </c>
      <c r="Q10095">
        <v>18</v>
      </c>
      <c r="R10095" t="s">
        <v>47433</v>
      </c>
      <c r="S10095" t="s">
        <v>47633</v>
      </c>
      <c r="T10095" t="s">
        <v>49236</v>
      </c>
      <c r="U10095" t="s">
        <v>57992</v>
      </c>
      <c r="W10095" t="s">
        <v>43947</v>
      </c>
      <c r="X10095" t="s">
        <v>47434</v>
      </c>
    </row>
    <row r="10096" spans="1:24">
      <c r="A10096">
        <f>HYPERLINK("https://www.philgeps.gov.ph/GEPSNONPILOT/Tender/SplashBidNoticeAbstractUI.aspx?menuIndex=3&amp;refID=7151701&amp;Result=3","7151701")</f>
        <v>0</v>
      </c>
      <c r="B10096" t="s">
        <v>3118</v>
      </c>
      <c r="C10096" t="s">
        <v>13388</v>
      </c>
      <c r="D10096" t="s">
        <v>19017</v>
      </c>
      <c r="E10096" t="s">
        <v>27809</v>
      </c>
      <c r="F10096" t="s">
        <v>32831</v>
      </c>
      <c r="G10096" t="s">
        <v>32839</v>
      </c>
      <c r="H10096" t="s">
        <v>32848</v>
      </c>
      <c r="I10096" t="s">
        <v>4438</v>
      </c>
      <c r="J10096" t="s">
        <v>39200</v>
      </c>
      <c r="K10096" t="s">
        <v>42727</v>
      </c>
      <c r="M10096" t="s">
        <v>46410</v>
      </c>
      <c r="N10096" t="s">
        <v>47424</v>
      </c>
      <c r="O10096" t="s">
        <v>47425</v>
      </c>
      <c r="P10096">
        <v>0</v>
      </c>
      <c r="Q10096">
        <v>0</v>
      </c>
      <c r="R10096" t="s">
        <v>47433</v>
      </c>
      <c r="S10096" t="s">
        <v>47633</v>
      </c>
      <c r="T10096" t="s">
        <v>49221</v>
      </c>
      <c r="U10096" t="s">
        <v>57952</v>
      </c>
      <c r="W10096" t="s">
        <v>46410</v>
      </c>
      <c r="X10096" t="s">
        <v>47434</v>
      </c>
    </row>
    <row r="10097" spans="1:24">
      <c r="A10097">
        <f>HYPERLINK("https://www.philgeps.gov.ph/GEPSNONPILOT/Tender/SplashBidNoticeAbstractUI.aspx?menuIndex=3&amp;refID=7151680&amp;Result=3","7151680")</f>
        <v>0</v>
      </c>
      <c r="B10097" t="s">
        <v>1204</v>
      </c>
      <c r="C10097" t="s">
        <v>13389</v>
      </c>
      <c r="D10097" t="s">
        <v>19023</v>
      </c>
      <c r="E10097" t="s">
        <v>27810</v>
      </c>
      <c r="F10097" t="s">
        <v>32831</v>
      </c>
      <c r="G10097" t="s">
        <v>32839</v>
      </c>
      <c r="H10097" t="s">
        <v>32848</v>
      </c>
      <c r="I10097" t="s">
        <v>32861</v>
      </c>
      <c r="J10097" t="s">
        <v>39201</v>
      </c>
      <c r="K10097" t="s">
        <v>42730</v>
      </c>
      <c r="M10097" t="s">
        <v>46429</v>
      </c>
      <c r="N10097" t="s">
        <v>47424</v>
      </c>
      <c r="O10097" t="s">
        <v>47425</v>
      </c>
      <c r="P10097">
        <v>0</v>
      </c>
      <c r="Q10097">
        <v>18</v>
      </c>
      <c r="R10097" t="s">
        <v>47433</v>
      </c>
      <c r="S10097" t="s">
        <v>47633</v>
      </c>
      <c r="T10097" t="s">
        <v>49265</v>
      </c>
      <c r="U10097" t="s">
        <v>57993</v>
      </c>
      <c r="W10097" t="s">
        <v>46429</v>
      </c>
      <c r="X10097" t="s">
        <v>47434</v>
      </c>
    </row>
    <row r="10098" spans="1:24">
      <c r="A10098">
        <f>HYPERLINK("https://www.philgeps.gov.ph/GEPSNONPILOT/Tender/SplashBidNoticeAbstractUI.aspx?menuIndex=3&amp;refID=7151558&amp;Result=3","7151558")</f>
        <v>0</v>
      </c>
      <c r="B10098" t="s">
        <v>3120</v>
      </c>
      <c r="C10098" t="s">
        <v>13390</v>
      </c>
      <c r="E10098" t="s">
        <v>27811</v>
      </c>
      <c r="F10098" t="s">
        <v>32831</v>
      </c>
      <c r="G10098" t="s">
        <v>32839</v>
      </c>
      <c r="H10098" t="s">
        <v>32848</v>
      </c>
      <c r="I10098" t="s">
        <v>32875</v>
      </c>
      <c r="J10098" t="s">
        <v>39202</v>
      </c>
      <c r="K10098" t="s">
        <v>42730</v>
      </c>
      <c r="M10098" t="s">
        <v>46412</v>
      </c>
      <c r="N10098" t="s">
        <v>47424</v>
      </c>
      <c r="O10098" t="s">
        <v>47425</v>
      </c>
      <c r="P10098">
        <v>0</v>
      </c>
      <c r="Q10098">
        <v>3</v>
      </c>
      <c r="R10098" t="s">
        <v>47433</v>
      </c>
      <c r="S10098" t="s">
        <v>47633</v>
      </c>
      <c r="T10098" t="s">
        <v>49549</v>
      </c>
      <c r="U10098" t="s">
        <v>57994</v>
      </c>
      <c r="V10098" t="s">
        <v>63729</v>
      </c>
      <c r="W10098" t="s">
        <v>46412</v>
      </c>
      <c r="X10098" t="s">
        <v>47434</v>
      </c>
    </row>
    <row r="10099" spans="1:24">
      <c r="A10099">
        <f>HYPERLINK("https://www.philgeps.gov.ph/GEPSNONPILOT/Tender/SplashBidNoticeAbstractUI.aspx?menuIndex=3&amp;refID=7151673&amp;Result=3","7151673")</f>
        <v>0</v>
      </c>
      <c r="B10099" t="s">
        <v>2383</v>
      </c>
      <c r="C10099" t="s">
        <v>13391</v>
      </c>
      <c r="D10099" t="s">
        <v>19055</v>
      </c>
      <c r="E10099" t="s">
        <v>27812</v>
      </c>
      <c r="F10099" t="s">
        <v>32831</v>
      </c>
      <c r="G10099" t="s">
        <v>32839</v>
      </c>
      <c r="H10099" t="s">
        <v>32849</v>
      </c>
      <c r="I10099" t="s">
        <v>4177</v>
      </c>
      <c r="J10099" t="s">
        <v>39203</v>
      </c>
      <c r="K10099" t="s">
        <v>42745</v>
      </c>
      <c r="M10099" t="s">
        <v>45572</v>
      </c>
      <c r="N10099" t="s">
        <v>47424</v>
      </c>
      <c r="O10099" t="s">
        <v>47425</v>
      </c>
      <c r="P10099">
        <v>0</v>
      </c>
      <c r="Q10099">
        <v>0</v>
      </c>
      <c r="R10099" t="s">
        <v>47433</v>
      </c>
      <c r="S10099" t="s">
        <v>47633</v>
      </c>
      <c r="T10099" t="s">
        <v>49173</v>
      </c>
      <c r="U10099" t="s">
        <v>57995</v>
      </c>
      <c r="W10099" t="s">
        <v>45572</v>
      </c>
      <c r="X10099" t="s">
        <v>47434</v>
      </c>
    </row>
    <row r="10100" spans="1:24">
      <c r="A10100">
        <f>HYPERLINK("https://www.philgeps.gov.ph/GEPSNONPILOT/Tender/SplashBidNoticeAbstractUI.aspx?menuIndex=3&amp;refID=7151595&amp;Result=3","7151595")</f>
        <v>0</v>
      </c>
      <c r="B10100" t="s">
        <v>3123</v>
      </c>
      <c r="C10100" t="s">
        <v>13392</v>
      </c>
      <c r="D10100" t="s">
        <v>19051</v>
      </c>
      <c r="E10100" t="s">
        <v>27813</v>
      </c>
      <c r="F10100" t="s">
        <v>32831</v>
      </c>
      <c r="G10100" t="s">
        <v>32839</v>
      </c>
      <c r="H10100" t="s">
        <v>32849</v>
      </c>
      <c r="I10100" t="s">
        <v>4177</v>
      </c>
      <c r="J10100" t="s">
        <v>33178</v>
      </c>
      <c r="K10100" t="s">
        <v>42727</v>
      </c>
      <c r="M10100" t="s">
        <v>46415</v>
      </c>
      <c r="N10100" t="s">
        <v>47424</v>
      </c>
      <c r="O10100" t="s">
        <v>47425</v>
      </c>
      <c r="P10100">
        <v>0</v>
      </c>
      <c r="Q10100">
        <v>0</v>
      </c>
      <c r="R10100" t="s">
        <v>47433</v>
      </c>
      <c r="S10100" t="s">
        <v>47633</v>
      </c>
      <c r="T10100" t="s">
        <v>49237</v>
      </c>
      <c r="U10100" t="s">
        <v>57996</v>
      </c>
      <c r="W10100" t="s">
        <v>46415</v>
      </c>
      <c r="X10100" t="s">
        <v>47434</v>
      </c>
    </row>
    <row r="10101" spans="1:24">
      <c r="A10101">
        <f>HYPERLINK("https://www.philgeps.gov.ph/GEPSNONPILOT/Tender/SplashBidNoticeAbstractUI.aspx?menuIndex=3&amp;refID=7151670&amp;Result=3","7151670")</f>
        <v>0</v>
      </c>
      <c r="B10101" t="s">
        <v>3134</v>
      </c>
      <c r="C10101" t="s">
        <v>13393</v>
      </c>
      <c r="D10101" t="s">
        <v>19021</v>
      </c>
      <c r="E10101" t="s">
        <v>20432</v>
      </c>
      <c r="F10101" t="s">
        <v>32831</v>
      </c>
      <c r="G10101" t="s">
        <v>32839</v>
      </c>
      <c r="H10101" t="s">
        <v>32848</v>
      </c>
      <c r="I10101" t="s">
        <v>7416</v>
      </c>
      <c r="J10101" t="s">
        <v>39204</v>
      </c>
      <c r="K10101" t="s">
        <v>42732</v>
      </c>
      <c r="M10101" t="s">
        <v>46430</v>
      </c>
      <c r="N10101" t="s">
        <v>47424</v>
      </c>
      <c r="O10101" t="s">
        <v>47425</v>
      </c>
      <c r="P10101">
        <v>0</v>
      </c>
      <c r="Q10101">
        <v>3</v>
      </c>
      <c r="R10101" t="s">
        <v>47433</v>
      </c>
      <c r="S10101" t="s">
        <v>47633</v>
      </c>
      <c r="T10101" t="s">
        <v>49239</v>
      </c>
      <c r="U10101" t="s">
        <v>57997</v>
      </c>
      <c r="W10101" t="s">
        <v>46430</v>
      </c>
      <c r="X10101" t="s">
        <v>47434</v>
      </c>
    </row>
    <row r="10102" spans="1:24">
      <c r="A10102">
        <f>HYPERLINK("https://www.philgeps.gov.ph/GEPSNONPILOT/Tender/SplashBidNoticeAbstractUI.aspx?menuIndex=3&amp;refID=7151669&amp;Result=3","7151669")</f>
        <v>0</v>
      </c>
      <c r="B10102" t="s">
        <v>3132</v>
      </c>
      <c r="C10102" t="s">
        <v>13394</v>
      </c>
      <c r="D10102" t="s">
        <v>19058</v>
      </c>
      <c r="E10102" t="s">
        <v>27814</v>
      </c>
      <c r="F10102" t="s">
        <v>32831</v>
      </c>
      <c r="G10102" t="s">
        <v>32839</v>
      </c>
      <c r="H10102" t="s">
        <v>32848</v>
      </c>
      <c r="I10102" t="s">
        <v>7751</v>
      </c>
      <c r="J10102" t="s">
        <v>33794</v>
      </c>
      <c r="K10102" t="s">
        <v>42729</v>
      </c>
      <c r="M10102" t="s">
        <v>46427</v>
      </c>
      <c r="N10102" t="s">
        <v>47424</v>
      </c>
      <c r="O10102" t="s">
        <v>47425</v>
      </c>
      <c r="P10102">
        <v>0</v>
      </c>
      <c r="Q10102">
        <v>4</v>
      </c>
      <c r="R10102" t="s">
        <v>47433</v>
      </c>
      <c r="S10102" t="s">
        <v>47633</v>
      </c>
      <c r="T10102" t="s">
        <v>49283</v>
      </c>
      <c r="U10102" t="s">
        <v>57998</v>
      </c>
      <c r="W10102" t="s">
        <v>46427</v>
      </c>
      <c r="X10102" t="s">
        <v>47434</v>
      </c>
    </row>
    <row r="10103" spans="1:24">
      <c r="A10103">
        <f>HYPERLINK("https://www.philgeps.gov.ph/GEPSNONPILOT/Tender/SplashBidNoticeAbstractUI.aspx?menuIndex=3&amp;refID=7151668&amp;Result=3","7151668")</f>
        <v>0</v>
      </c>
      <c r="B10103" t="s">
        <v>3135</v>
      </c>
      <c r="C10103" t="s">
        <v>13395</v>
      </c>
      <c r="D10103" t="s">
        <v>19077</v>
      </c>
      <c r="E10103" t="s">
        <v>19203</v>
      </c>
      <c r="F10103" t="s">
        <v>32831</v>
      </c>
      <c r="G10103" t="s">
        <v>32839</v>
      </c>
      <c r="H10103" t="s">
        <v>32850</v>
      </c>
      <c r="I10103" t="s">
        <v>4177</v>
      </c>
      <c r="J10103" t="s">
        <v>39205</v>
      </c>
      <c r="K10103" t="s">
        <v>42745</v>
      </c>
      <c r="L10103" t="s">
        <v>3135</v>
      </c>
      <c r="M10103" t="s">
        <v>46431</v>
      </c>
      <c r="N10103" t="s">
        <v>47424</v>
      </c>
      <c r="O10103" t="s">
        <v>47425</v>
      </c>
      <c r="P10103">
        <v>0</v>
      </c>
      <c r="Q10103">
        <v>0</v>
      </c>
      <c r="R10103" t="s">
        <v>47433</v>
      </c>
      <c r="S10103" t="s">
        <v>47633</v>
      </c>
      <c r="T10103" t="s">
        <v>49212</v>
      </c>
      <c r="U10103" t="s">
        <v>57999</v>
      </c>
      <c r="W10103" t="s">
        <v>46431</v>
      </c>
      <c r="X10103" t="s">
        <v>47434</v>
      </c>
    </row>
    <row r="10104" spans="1:24">
      <c r="A10104">
        <f>HYPERLINK("https://www.philgeps.gov.ph/GEPSNONPILOT/Tender/SplashBidNoticeAbstractUI.aspx?menuIndex=3&amp;refID=7151663&amp;Result=3","7151663")</f>
        <v>0</v>
      </c>
      <c r="B10104" t="s">
        <v>3075</v>
      </c>
      <c r="C10104" t="s">
        <v>13396</v>
      </c>
      <c r="D10104" t="s">
        <v>19052</v>
      </c>
      <c r="E10104" t="s">
        <v>19654</v>
      </c>
      <c r="F10104" t="s">
        <v>32831</v>
      </c>
      <c r="G10104" t="s">
        <v>32841</v>
      </c>
      <c r="H10104" t="s">
        <v>32848</v>
      </c>
      <c r="I10104" t="s">
        <v>9577</v>
      </c>
      <c r="J10104" t="s">
        <v>33879</v>
      </c>
      <c r="K10104" t="s">
        <v>42750</v>
      </c>
      <c r="M10104" t="s">
        <v>46354</v>
      </c>
      <c r="N10104" t="s">
        <v>47424</v>
      </c>
      <c r="O10104" t="s">
        <v>47425</v>
      </c>
      <c r="P10104">
        <v>0</v>
      </c>
      <c r="Q10104">
        <v>1</v>
      </c>
      <c r="R10104" t="s">
        <v>47433</v>
      </c>
      <c r="S10104" t="s">
        <v>47633</v>
      </c>
      <c r="T10104" t="s">
        <v>49111</v>
      </c>
      <c r="U10104" t="s">
        <v>57738</v>
      </c>
      <c r="W10104" t="s">
        <v>46354</v>
      </c>
      <c r="X10104" t="s">
        <v>47434</v>
      </c>
    </row>
    <row r="10105" spans="1:24">
      <c r="A10105">
        <f>HYPERLINK("https://www.philgeps.gov.ph/GEPSNONPILOT/Tender/SplashBidNoticeAbstractUI.aspx?menuIndex=3&amp;refID=7151662&amp;Result=3","7151662")</f>
        <v>0</v>
      </c>
      <c r="B10105" t="s">
        <v>187</v>
      </c>
      <c r="C10105" t="s">
        <v>13397</v>
      </c>
      <c r="D10105" t="s">
        <v>19041</v>
      </c>
      <c r="E10105" t="s">
        <v>27815</v>
      </c>
      <c r="F10105" t="s">
        <v>32831</v>
      </c>
      <c r="G10105" t="s">
        <v>32839</v>
      </c>
      <c r="H10105" t="s">
        <v>32849</v>
      </c>
      <c r="I10105" t="s">
        <v>4177</v>
      </c>
      <c r="J10105" t="s">
        <v>39206</v>
      </c>
      <c r="K10105" t="s">
        <v>42877</v>
      </c>
      <c r="M10105" t="s">
        <v>44023</v>
      </c>
      <c r="N10105" t="s">
        <v>47424</v>
      </c>
      <c r="O10105" t="s">
        <v>47425</v>
      </c>
      <c r="P10105">
        <v>0</v>
      </c>
      <c r="Q10105">
        <v>0</v>
      </c>
      <c r="R10105" t="s">
        <v>47433</v>
      </c>
      <c r="S10105" t="s">
        <v>47633</v>
      </c>
      <c r="T10105" t="s">
        <v>49470</v>
      </c>
      <c r="U10105" t="s">
        <v>51595</v>
      </c>
      <c r="W10105" t="s">
        <v>44023</v>
      </c>
      <c r="X10105" t="s">
        <v>47434</v>
      </c>
    </row>
    <row r="10106" spans="1:24">
      <c r="A10106">
        <f>HYPERLINK("https://www.philgeps.gov.ph/GEPSNONPILOT/Tender/SplashBidNoticeAbstractUI.aspx?menuIndex=3&amp;refID=7151681&amp;Result=3","7151681")</f>
        <v>0</v>
      </c>
      <c r="B10106" t="s">
        <v>3118</v>
      </c>
      <c r="C10106" t="s">
        <v>13398</v>
      </c>
      <c r="D10106" t="s">
        <v>19017</v>
      </c>
      <c r="E10106" t="s">
        <v>27816</v>
      </c>
      <c r="F10106" t="s">
        <v>32831</v>
      </c>
      <c r="G10106" t="s">
        <v>32839</v>
      </c>
      <c r="H10106" t="s">
        <v>32848</v>
      </c>
      <c r="I10106" t="s">
        <v>4438</v>
      </c>
      <c r="J10106" t="s">
        <v>39207</v>
      </c>
      <c r="K10106" t="s">
        <v>42727</v>
      </c>
      <c r="M10106" t="s">
        <v>46410</v>
      </c>
      <c r="N10106" t="s">
        <v>47424</v>
      </c>
      <c r="O10106" t="s">
        <v>47425</v>
      </c>
      <c r="P10106">
        <v>0</v>
      </c>
      <c r="Q10106">
        <v>1</v>
      </c>
      <c r="R10106" t="s">
        <v>47433</v>
      </c>
      <c r="S10106" t="s">
        <v>47633</v>
      </c>
      <c r="T10106" t="s">
        <v>49221</v>
      </c>
      <c r="U10106" t="s">
        <v>57952</v>
      </c>
      <c r="W10106" t="s">
        <v>46410</v>
      </c>
      <c r="X10106" t="s">
        <v>47434</v>
      </c>
    </row>
    <row r="10107" spans="1:24">
      <c r="A10107">
        <f>HYPERLINK("https://www.philgeps.gov.ph/GEPSNONPILOT/Tender/SplashBidNoticeAbstractUI.aspx?menuIndex=3&amp;refID=7151652&amp;Result=3","7151652")</f>
        <v>0</v>
      </c>
      <c r="B10107" t="s">
        <v>187</v>
      </c>
      <c r="C10107" t="s">
        <v>13399</v>
      </c>
      <c r="D10107" t="s">
        <v>19041</v>
      </c>
      <c r="E10107" t="s">
        <v>27817</v>
      </c>
      <c r="F10107" t="s">
        <v>32831</v>
      </c>
      <c r="G10107" t="s">
        <v>32839</v>
      </c>
      <c r="H10107" t="s">
        <v>32849</v>
      </c>
      <c r="I10107" t="s">
        <v>4177</v>
      </c>
      <c r="J10107" t="s">
        <v>39208</v>
      </c>
      <c r="K10107" t="s">
        <v>42882</v>
      </c>
      <c r="M10107" t="s">
        <v>44023</v>
      </c>
      <c r="N10107" t="s">
        <v>47424</v>
      </c>
      <c r="O10107" t="s">
        <v>47425</v>
      </c>
      <c r="P10107">
        <v>0</v>
      </c>
      <c r="Q10107">
        <v>0</v>
      </c>
      <c r="R10107" t="s">
        <v>47433</v>
      </c>
      <c r="S10107" t="s">
        <v>47633</v>
      </c>
      <c r="T10107" t="s">
        <v>49470</v>
      </c>
      <c r="U10107" t="s">
        <v>51595</v>
      </c>
      <c r="W10107" t="s">
        <v>44023</v>
      </c>
      <c r="X10107" t="s">
        <v>47434</v>
      </c>
    </row>
    <row r="10108" spans="1:24">
      <c r="A10108">
        <f>HYPERLINK("https://www.philgeps.gov.ph/GEPSNONPILOT/Tender/SplashBidNoticeAbstractUI.aspx?menuIndex=3&amp;refID=7151608&amp;Result=3","7151608")</f>
        <v>0</v>
      </c>
      <c r="B10108" t="s">
        <v>3118</v>
      </c>
      <c r="C10108" t="s">
        <v>13400</v>
      </c>
      <c r="D10108" t="s">
        <v>19017</v>
      </c>
      <c r="E10108" t="s">
        <v>27818</v>
      </c>
      <c r="F10108" t="s">
        <v>32831</v>
      </c>
      <c r="G10108" t="s">
        <v>32839</v>
      </c>
      <c r="H10108" t="s">
        <v>32848</v>
      </c>
      <c r="I10108" t="s">
        <v>4438</v>
      </c>
      <c r="J10108" t="s">
        <v>39209</v>
      </c>
      <c r="K10108" t="s">
        <v>42727</v>
      </c>
      <c r="M10108" t="s">
        <v>46410</v>
      </c>
      <c r="N10108" t="s">
        <v>47424</v>
      </c>
      <c r="O10108" t="s">
        <v>47425</v>
      </c>
      <c r="P10108">
        <v>0</v>
      </c>
      <c r="Q10108">
        <v>0</v>
      </c>
      <c r="R10108" t="s">
        <v>47433</v>
      </c>
      <c r="S10108" t="s">
        <v>47633</v>
      </c>
      <c r="T10108" t="s">
        <v>49221</v>
      </c>
      <c r="U10108" t="s">
        <v>57952</v>
      </c>
      <c r="W10108" t="s">
        <v>46410</v>
      </c>
      <c r="X10108" t="s">
        <v>47434</v>
      </c>
    </row>
    <row r="10109" spans="1:24">
      <c r="A10109">
        <f>HYPERLINK("https://www.philgeps.gov.ph/GEPSNONPILOT/Tender/SplashBidNoticeAbstractUI.aspx?menuIndex=3&amp;refID=7151651&amp;Result=3","7151651")</f>
        <v>0</v>
      </c>
      <c r="B10109" t="s">
        <v>1439</v>
      </c>
      <c r="C10109" t="s">
        <v>13401</v>
      </c>
      <c r="D10109" t="s">
        <v>19027</v>
      </c>
      <c r="E10109" t="s">
        <v>27819</v>
      </c>
      <c r="F10109" t="s">
        <v>32831</v>
      </c>
      <c r="G10109" t="s">
        <v>32838</v>
      </c>
      <c r="H10109" t="s">
        <v>32848</v>
      </c>
      <c r="I10109" t="s">
        <v>32859</v>
      </c>
      <c r="J10109" t="s">
        <v>39210</v>
      </c>
      <c r="K10109" t="s">
        <v>42727</v>
      </c>
      <c r="M10109" t="s">
        <v>44529</v>
      </c>
      <c r="N10109" t="s">
        <v>47424</v>
      </c>
      <c r="O10109" t="s">
        <v>47425</v>
      </c>
      <c r="P10109">
        <v>0</v>
      </c>
      <c r="Q10109">
        <v>1</v>
      </c>
      <c r="R10109" t="s">
        <v>47433</v>
      </c>
      <c r="S10109" t="s">
        <v>47633</v>
      </c>
      <c r="T10109" t="s">
        <v>49229</v>
      </c>
      <c r="U10109" t="s">
        <v>58000</v>
      </c>
      <c r="W10109" t="s">
        <v>44529</v>
      </c>
      <c r="X10109" t="s">
        <v>47434</v>
      </c>
    </row>
    <row r="10110" spans="1:24">
      <c r="A10110">
        <f>HYPERLINK("https://www.philgeps.gov.ph/GEPSNONPILOT/Tender/SplashBidNoticeAbstractUI.aspx?menuIndex=3&amp;refID=7151674&amp;Result=3","7151674")</f>
        <v>0</v>
      </c>
      <c r="B10110" t="s">
        <v>2921</v>
      </c>
      <c r="C10110" t="s">
        <v>13402</v>
      </c>
      <c r="D10110" t="s">
        <v>19049</v>
      </c>
      <c r="E10110" t="s">
        <v>27820</v>
      </c>
      <c r="F10110" t="s">
        <v>32831</v>
      </c>
      <c r="G10110" t="s">
        <v>32838</v>
      </c>
      <c r="H10110" t="s">
        <v>32848</v>
      </c>
      <c r="I10110" t="s">
        <v>4487</v>
      </c>
      <c r="J10110" t="s">
        <v>35066</v>
      </c>
      <c r="K10110" t="s">
        <v>42730</v>
      </c>
      <c r="M10110" t="s">
        <v>46174</v>
      </c>
      <c r="N10110" t="s">
        <v>47424</v>
      </c>
      <c r="O10110" t="s">
        <v>47425</v>
      </c>
      <c r="P10110">
        <v>0</v>
      </c>
      <c r="Q10110">
        <v>2</v>
      </c>
      <c r="R10110" t="s">
        <v>47433</v>
      </c>
      <c r="S10110" t="s">
        <v>47633</v>
      </c>
      <c r="T10110" t="s">
        <v>49127</v>
      </c>
      <c r="U10110" t="s">
        <v>58001</v>
      </c>
      <c r="W10110" t="s">
        <v>46174</v>
      </c>
      <c r="X10110" t="s">
        <v>47434</v>
      </c>
    </row>
    <row r="10111" spans="1:24">
      <c r="A10111">
        <f>HYPERLINK("https://www.philgeps.gov.ph/GEPSNONPILOT/Tender/SplashBidNoticeAbstractUI.aspx?menuIndex=3&amp;refID=7151253&amp;Result=3","7151253")</f>
        <v>0</v>
      </c>
      <c r="B10111" t="s">
        <v>3136</v>
      </c>
      <c r="C10111" t="s">
        <v>13403</v>
      </c>
      <c r="D10111" t="s">
        <v>19074</v>
      </c>
      <c r="E10111" t="s">
        <v>27821</v>
      </c>
      <c r="F10111" t="s">
        <v>32831</v>
      </c>
      <c r="G10111" t="s">
        <v>32839</v>
      </c>
      <c r="H10111" t="s">
        <v>32849</v>
      </c>
      <c r="I10111" t="s">
        <v>32889</v>
      </c>
      <c r="J10111" t="s">
        <v>39211</v>
      </c>
      <c r="K10111" t="s">
        <v>42757</v>
      </c>
      <c r="M10111" t="s">
        <v>46432</v>
      </c>
      <c r="N10111" t="s">
        <v>47424</v>
      </c>
      <c r="O10111" t="s">
        <v>47425</v>
      </c>
      <c r="P10111">
        <v>0</v>
      </c>
      <c r="Q10111">
        <v>0</v>
      </c>
      <c r="R10111" t="s">
        <v>47433</v>
      </c>
      <c r="S10111" t="s">
        <v>47633</v>
      </c>
      <c r="T10111" t="s">
        <v>49112</v>
      </c>
      <c r="U10111" t="s">
        <v>58002</v>
      </c>
      <c r="W10111" t="s">
        <v>46432</v>
      </c>
      <c r="X10111" t="s">
        <v>47434</v>
      </c>
    </row>
    <row r="10112" spans="1:24">
      <c r="A10112">
        <f>HYPERLINK("https://www.philgeps.gov.ph/GEPSNONPILOT/Tender/SplashBidNoticeAbstractUI.aspx?menuIndex=3&amp;refID=7151248&amp;Result=3","7151248")</f>
        <v>0</v>
      </c>
      <c r="B10112" t="s">
        <v>662</v>
      </c>
      <c r="C10112" t="s">
        <v>13404</v>
      </c>
      <c r="D10112" t="s">
        <v>19095</v>
      </c>
      <c r="E10112" t="s">
        <v>27822</v>
      </c>
      <c r="F10112" t="s">
        <v>32831</v>
      </c>
      <c r="G10112" t="s">
        <v>32839</v>
      </c>
      <c r="H10112" t="s">
        <v>32849</v>
      </c>
      <c r="I10112" t="s">
        <v>4177</v>
      </c>
      <c r="J10112" t="s">
        <v>33257</v>
      </c>
      <c r="K10112" t="s">
        <v>42865</v>
      </c>
      <c r="M10112" t="s">
        <v>43680</v>
      </c>
      <c r="N10112" t="s">
        <v>47424</v>
      </c>
      <c r="O10112" t="s">
        <v>47425</v>
      </c>
      <c r="P10112">
        <v>0</v>
      </c>
      <c r="Q10112">
        <v>0</v>
      </c>
      <c r="R10112" t="s">
        <v>47433</v>
      </c>
      <c r="S10112" t="s">
        <v>47633</v>
      </c>
      <c r="T10112" t="s">
        <v>49173</v>
      </c>
      <c r="U10112" t="s">
        <v>58003</v>
      </c>
      <c r="W10112" t="s">
        <v>43680</v>
      </c>
      <c r="X10112" t="s">
        <v>47434</v>
      </c>
    </row>
    <row r="10113" spans="1:24">
      <c r="A10113">
        <f>HYPERLINK("https://www.philgeps.gov.ph/GEPSNONPILOT/Tender/SplashBidNoticeAbstractUI.aspx?menuIndex=3&amp;refID=7151245&amp;Result=3","7151245")</f>
        <v>0</v>
      </c>
      <c r="B10113" t="s">
        <v>1434</v>
      </c>
      <c r="C10113" t="s">
        <v>13405</v>
      </c>
      <c r="D10113" t="s">
        <v>19021</v>
      </c>
      <c r="E10113" t="s">
        <v>27823</v>
      </c>
      <c r="F10113" t="s">
        <v>32831</v>
      </c>
      <c r="G10113" t="s">
        <v>32838</v>
      </c>
      <c r="H10113" t="s">
        <v>32848</v>
      </c>
      <c r="I10113" t="s">
        <v>32867</v>
      </c>
      <c r="J10113" t="s">
        <v>32976</v>
      </c>
      <c r="K10113" t="s">
        <v>42727</v>
      </c>
      <c r="M10113" t="s">
        <v>44524</v>
      </c>
      <c r="N10113" t="s">
        <v>47424</v>
      </c>
      <c r="O10113" t="s">
        <v>47425</v>
      </c>
      <c r="P10113">
        <v>0</v>
      </c>
      <c r="Q10113">
        <v>4</v>
      </c>
      <c r="R10113" t="s">
        <v>47433</v>
      </c>
      <c r="S10113" t="s">
        <v>47633</v>
      </c>
      <c r="T10113" t="s">
        <v>49060</v>
      </c>
      <c r="U10113" t="s">
        <v>58004</v>
      </c>
      <c r="W10113" t="s">
        <v>44524</v>
      </c>
      <c r="X10113" t="s">
        <v>47434</v>
      </c>
    </row>
    <row r="10114" spans="1:24">
      <c r="A10114">
        <f>HYPERLINK("https://www.philgeps.gov.ph/GEPSNONPILOT/Tender/SplashBidNoticeAbstractUI.aspx?menuIndex=3&amp;refID=7151241&amp;Result=3","7151241")</f>
        <v>0</v>
      </c>
      <c r="B10114" t="s">
        <v>1441</v>
      </c>
      <c r="C10114" t="s">
        <v>13406</v>
      </c>
      <c r="D10114" t="s">
        <v>19048</v>
      </c>
      <c r="E10114" t="s">
        <v>27824</v>
      </c>
      <c r="F10114" t="s">
        <v>32831</v>
      </c>
      <c r="G10114" t="s">
        <v>32841</v>
      </c>
      <c r="H10114" t="s">
        <v>32848</v>
      </c>
      <c r="I10114" t="s">
        <v>4435</v>
      </c>
      <c r="J10114" t="s">
        <v>33031</v>
      </c>
      <c r="K10114" t="s">
        <v>42727</v>
      </c>
      <c r="M10114" t="s">
        <v>44533</v>
      </c>
      <c r="N10114" t="s">
        <v>47424</v>
      </c>
      <c r="O10114" t="s">
        <v>47425</v>
      </c>
      <c r="P10114">
        <v>0</v>
      </c>
      <c r="Q10114">
        <v>0</v>
      </c>
      <c r="R10114" t="s">
        <v>47433</v>
      </c>
      <c r="S10114" t="s">
        <v>47633</v>
      </c>
      <c r="T10114" t="s">
        <v>49162</v>
      </c>
      <c r="U10114" t="s">
        <v>57893</v>
      </c>
      <c r="W10114" t="s">
        <v>44533</v>
      </c>
      <c r="X10114" t="s">
        <v>47434</v>
      </c>
    </row>
    <row r="10115" spans="1:24">
      <c r="A10115">
        <f>HYPERLINK("https://www.philgeps.gov.ph/GEPSNONPILOT/Tender/SplashBidNoticeAbstractUI.aspx?menuIndex=3&amp;refID=7151236&amp;Result=3","7151236")</f>
        <v>0</v>
      </c>
      <c r="B10115" t="s">
        <v>3137</v>
      </c>
      <c r="C10115" t="s">
        <v>13407</v>
      </c>
      <c r="D10115" t="s">
        <v>19078</v>
      </c>
      <c r="E10115" t="s">
        <v>27825</v>
      </c>
      <c r="F10115" t="s">
        <v>32831</v>
      </c>
      <c r="G10115" t="s">
        <v>32839</v>
      </c>
      <c r="H10115" t="s">
        <v>32848</v>
      </c>
      <c r="I10115" t="s">
        <v>32949</v>
      </c>
      <c r="J10115" t="s">
        <v>32978</v>
      </c>
      <c r="K10115" t="s">
        <v>42727</v>
      </c>
      <c r="M10115" t="s">
        <v>46433</v>
      </c>
      <c r="N10115" t="s">
        <v>47424</v>
      </c>
      <c r="O10115" t="s">
        <v>47425</v>
      </c>
      <c r="P10115">
        <v>0</v>
      </c>
      <c r="Q10115">
        <v>5</v>
      </c>
      <c r="R10115" t="s">
        <v>47433</v>
      </c>
      <c r="S10115" t="s">
        <v>47633</v>
      </c>
      <c r="T10115" t="s">
        <v>49112</v>
      </c>
      <c r="U10115" t="s">
        <v>58005</v>
      </c>
      <c r="W10115" t="s">
        <v>46433</v>
      </c>
      <c r="X10115" t="s">
        <v>47434</v>
      </c>
    </row>
    <row r="10116" spans="1:24">
      <c r="A10116">
        <f>HYPERLINK("https://www.philgeps.gov.ph/GEPSNONPILOT/Tender/SplashBidNoticeAbstractUI.aspx?menuIndex=3&amp;refID=7151682&amp;Result=3","7151682")</f>
        <v>0</v>
      </c>
      <c r="B10116" t="s">
        <v>3138</v>
      </c>
      <c r="C10116" t="s">
        <v>13408</v>
      </c>
      <c r="D10116" t="s">
        <v>19053</v>
      </c>
      <c r="E10116" t="s">
        <v>27826</v>
      </c>
      <c r="F10116" t="s">
        <v>32831</v>
      </c>
      <c r="G10116" t="s">
        <v>32839</v>
      </c>
      <c r="H10116" t="s">
        <v>32848</v>
      </c>
      <c r="I10116" t="s">
        <v>7751</v>
      </c>
      <c r="J10116" t="s">
        <v>39212</v>
      </c>
      <c r="K10116" t="s">
        <v>42742</v>
      </c>
      <c r="M10116" t="s">
        <v>46434</v>
      </c>
      <c r="N10116" t="s">
        <v>47424</v>
      </c>
      <c r="O10116" t="s">
        <v>47425</v>
      </c>
      <c r="P10116">
        <v>0</v>
      </c>
      <c r="Q10116">
        <v>6</v>
      </c>
      <c r="R10116" t="s">
        <v>47433</v>
      </c>
      <c r="S10116" t="s">
        <v>47633</v>
      </c>
      <c r="T10116" t="s">
        <v>49056</v>
      </c>
      <c r="U10116" t="s">
        <v>58006</v>
      </c>
      <c r="W10116" t="s">
        <v>46434</v>
      </c>
      <c r="X10116" t="s">
        <v>47434</v>
      </c>
    </row>
    <row r="10117" spans="1:24">
      <c r="A10117">
        <f>HYPERLINK("https://www.philgeps.gov.ph/GEPSNONPILOT/Tender/SplashBidNoticeAbstractUI.aspx?menuIndex=3&amp;refID=7151654&amp;Result=3","7151654")</f>
        <v>0</v>
      </c>
      <c r="B10117" t="s">
        <v>1319</v>
      </c>
      <c r="C10117" t="s">
        <v>13409</v>
      </c>
      <c r="D10117" t="s">
        <v>19083</v>
      </c>
      <c r="E10117" t="s">
        <v>27827</v>
      </c>
      <c r="F10117" t="s">
        <v>32831</v>
      </c>
      <c r="G10117" t="s">
        <v>32839</v>
      </c>
      <c r="H10117" t="s">
        <v>32848</v>
      </c>
      <c r="I10117" t="s">
        <v>32871</v>
      </c>
      <c r="J10117" t="s">
        <v>39213</v>
      </c>
      <c r="K10117" t="s">
        <v>42730</v>
      </c>
      <c r="M10117" t="s">
        <v>46406</v>
      </c>
      <c r="N10117" t="s">
        <v>47424</v>
      </c>
      <c r="O10117" t="s">
        <v>47425</v>
      </c>
      <c r="P10117">
        <v>0</v>
      </c>
      <c r="Q10117">
        <v>27</v>
      </c>
      <c r="R10117" t="s">
        <v>47433</v>
      </c>
      <c r="S10117" t="s">
        <v>47633</v>
      </c>
      <c r="T10117" t="s">
        <v>49221</v>
      </c>
      <c r="U10117" t="s">
        <v>58007</v>
      </c>
      <c r="W10117" t="s">
        <v>46406</v>
      </c>
      <c r="X10117" t="s">
        <v>47434</v>
      </c>
    </row>
    <row r="10118" spans="1:24">
      <c r="A10118">
        <f>HYPERLINK("https://www.philgeps.gov.ph/GEPSNONPILOT/Tender/SplashBidNoticeAbstractUI.aspx?menuIndex=3&amp;refID=7151178&amp;Result=3","7151178")</f>
        <v>0</v>
      </c>
      <c r="B10118" t="s">
        <v>2790</v>
      </c>
      <c r="C10118" t="s">
        <v>13410</v>
      </c>
      <c r="D10118" t="s">
        <v>19017</v>
      </c>
      <c r="E10118" t="s">
        <v>27828</v>
      </c>
      <c r="F10118" t="s">
        <v>32831</v>
      </c>
      <c r="G10118" t="s">
        <v>32838</v>
      </c>
      <c r="H10118" t="s">
        <v>32848</v>
      </c>
      <c r="I10118" t="s">
        <v>32857</v>
      </c>
      <c r="J10118" t="s">
        <v>39214</v>
      </c>
      <c r="K10118" t="s">
        <v>42727</v>
      </c>
      <c r="M10118" t="s">
        <v>46020</v>
      </c>
      <c r="N10118" t="s">
        <v>47424</v>
      </c>
      <c r="O10118" t="s">
        <v>47425</v>
      </c>
      <c r="P10118">
        <v>0</v>
      </c>
      <c r="Q10118">
        <v>10</v>
      </c>
      <c r="R10118" t="s">
        <v>47433</v>
      </c>
      <c r="S10118" t="s">
        <v>47633</v>
      </c>
      <c r="T10118" t="s">
        <v>49550</v>
      </c>
      <c r="U10118" t="s">
        <v>58008</v>
      </c>
      <c r="W10118" t="s">
        <v>46020</v>
      </c>
      <c r="X10118" t="s">
        <v>47434</v>
      </c>
    </row>
    <row r="10119" spans="1:24">
      <c r="A10119">
        <f>HYPERLINK("https://www.philgeps.gov.ph/GEPSNONPILOT/Tender/SplashBidNoticeAbstractUI.aspx?menuIndex=3&amp;refID=7151175&amp;Result=3","7151175")</f>
        <v>0</v>
      </c>
      <c r="B10119" t="s">
        <v>3137</v>
      </c>
      <c r="C10119" t="s">
        <v>13411</v>
      </c>
      <c r="D10119" t="s">
        <v>19078</v>
      </c>
      <c r="E10119" t="s">
        <v>27829</v>
      </c>
      <c r="F10119" t="s">
        <v>32831</v>
      </c>
      <c r="G10119" t="s">
        <v>32839</v>
      </c>
      <c r="H10119" t="s">
        <v>32848</v>
      </c>
      <c r="I10119" t="s">
        <v>32931</v>
      </c>
      <c r="J10119" t="s">
        <v>39215</v>
      </c>
      <c r="K10119" t="s">
        <v>42727</v>
      </c>
      <c r="M10119" t="s">
        <v>46433</v>
      </c>
      <c r="N10119" t="s">
        <v>47424</v>
      </c>
      <c r="O10119" t="s">
        <v>47425</v>
      </c>
      <c r="P10119">
        <v>0</v>
      </c>
      <c r="Q10119">
        <v>9</v>
      </c>
      <c r="R10119" t="s">
        <v>47433</v>
      </c>
      <c r="S10119" t="s">
        <v>47633</v>
      </c>
      <c r="T10119" t="s">
        <v>49112</v>
      </c>
      <c r="U10119" t="s">
        <v>58009</v>
      </c>
      <c r="W10119" t="s">
        <v>46433</v>
      </c>
      <c r="X10119" t="s">
        <v>47434</v>
      </c>
    </row>
    <row r="10120" spans="1:24">
      <c r="A10120">
        <f>HYPERLINK("https://www.philgeps.gov.ph/GEPSNONPILOT/Tender/SplashBidNoticeAbstractUI.aspx?menuIndex=3&amp;refID=7151169&amp;Result=3","7151169")</f>
        <v>0</v>
      </c>
      <c r="B10120" t="s">
        <v>160</v>
      </c>
      <c r="C10120" t="s">
        <v>13412</v>
      </c>
      <c r="D10120" t="s">
        <v>19038</v>
      </c>
      <c r="E10120" t="s">
        <v>27830</v>
      </c>
      <c r="F10120" t="s">
        <v>32831</v>
      </c>
      <c r="G10120" t="s">
        <v>32842</v>
      </c>
      <c r="H10120" t="s">
        <v>32848</v>
      </c>
      <c r="I10120" t="s">
        <v>7416</v>
      </c>
      <c r="J10120" t="s">
        <v>39216</v>
      </c>
      <c r="K10120" t="s">
        <v>42730</v>
      </c>
      <c r="M10120" t="s">
        <v>43157</v>
      </c>
      <c r="N10120" t="s">
        <v>47424</v>
      </c>
      <c r="O10120" t="s">
        <v>47425</v>
      </c>
      <c r="P10120">
        <v>0</v>
      </c>
      <c r="Q10120">
        <v>2</v>
      </c>
      <c r="R10120" t="s">
        <v>47433</v>
      </c>
      <c r="S10120" t="s">
        <v>47633</v>
      </c>
      <c r="T10120" t="s">
        <v>49244</v>
      </c>
      <c r="U10120" t="s">
        <v>49926</v>
      </c>
      <c r="W10120" t="s">
        <v>43157</v>
      </c>
      <c r="X10120" t="s">
        <v>47434</v>
      </c>
    </row>
    <row r="10121" spans="1:24">
      <c r="A10121">
        <f>HYPERLINK("https://www.philgeps.gov.ph/GEPSNONPILOT/Tender/SplashBidNoticeAbstractUI.aspx?menuIndex=3&amp;refID=7151172&amp;Result=3","7151172")</f>
        <v>0</v>
      </c>
      <c r="B10121" t="s">
        <v>2151</v>
      </c>
      <c r="C10121" t="s">
        <v>13413</v>
      </c>
      <c r="D10121" t="s">
        <v>19054</v>
      </c>
      <c r="E10121" t="s">
        <v>27831</v>
      </c>
      <c r="F10121" t="s">
        <v>32831</v>
      </c>
      <c r="G10121" t="s">
        <v>32839</v>
      </c>
      <c r="H10121" t="s">
        <v>32848</v>
      </c>
      <c r="I10121" t="s">
        <v>4340</v>
      </c>
      <c r="J10121" t="s">
        <v>33261</v>
      </c>
      <c r="K10121" t="s">
        <v>42730</v>
      </c>
      <c r="M10121" t="s">
        <v>45332</v>
      </c>
      <c r="N10121" t="s">
        <v>47424</v>
      </c>
      <c r="O10121" t="s">
        <v>47425</v>
      </c>
      <c r="P10121">
        <v>0</v>
      </c>
      <c r="Q10121">
        <v>1</v>
      </c>
      <c r="R10121" t="s">
        <v>47433</v>
      </c>
      <c r="S10121" t="s">
        <v>47633</v>
      </c>
      <c r="T10121" t="s">
        <v>49239</v>
      </c>
      <c r="U10121" t="s">
        <v>58010</v>
      </c>
      <c r="W10121" t="s">
        <v>45332</v>
      </c>
      <c r="X10121" t="s">
        <v>47434</v>
      </c>
    </row>
    <row r="10122" spans="1:24">
      <c r="A10122">
        <f>HYPERLINK("https://www.philgeps.gov.ph/GEPSNONPILOT/Tender/SplashBidNoticeAbstractUI.aspx?menuIndex=3&amp;refID=7151046&amp;Result=3","7151046")</f>
        <v>0</v>
      </c>
      <c r="B10122" t="s">
        <v>659</v>
      </c>
      <c r="C10122" t="s">
        <v>13414</v>
      </c>
      <c r="D10122" t="s">
        <v>19052</v>
      </c>
      <c r="E10122" t="s">
        <v>27832</v>
      </c>
      <c r="F10122" t="s">
        <v>32831</v>
      </c>
      <c r="G10122" t="s">
        <v>32839</v>
      </c>
      <c r="H10122" t="s">
        <v>32849</v>
      </c>
      <c r="I10122" t="s">
        <v>4177</v>
      </c>
      <c r="J10122" t="s">
        <v>37533</v>
      </c>
      <c r="K10122" t="s">
        <v>42757</v>
      </c>
      <c r="M10122" t="s">
        <v>43677</v>
      </c>
      <c r="N10122" t="s">
        <v>47424</v>
      </c>
      <c r="O10122" t="s">
        <v>47425</v>
      </c>
      <c r="P10122">
        <v>0</v>
      </c>
      <c r="Q10122">
        <v>0</v>
      </c>
      <c r="R10122" t="s">
        <v>47433</v>
      </c>
      <c r="S10122" t="s">
        <v>47633</v>
      </c>
      <c r="T10122" t="s">
        <v>49163</v>
      </c>
      <c r="U10122" t="s">
        <v>58011</v>
      </c>
      <c r="V10122" t="s">
        <v>62778</v>
      </c>
      <c r="W10122" t="s">
        <v>43677</v>
      </c>
      <c r="X10122" t="s">
        <v>47434</v>
      </c>
    </row>
    <row r="10123" spans="1:24">
      <c r="A10123">
        <f>HYPERLINK("https://www.philgeps.gov.ph/GEPSNONPILOT/Tender/SplashBidNoticeAbstractUI.aspx?menuIndex=3&amp;refID=7151035&amp;Result=3","7151035")</f>
        <v>0</v>
      </c>
      <c r="B10123" t="s">
        <v>2338</v>
      </c>
      <c r="C10123" t="s">
        <v>13415</v>
      </c>
      <c r="D10123" t="s">
        <v>19049</v>
      </c>
      <c r="E10123" t="s">
        <v>27833</v>
      </c>
      <c r="F10123" t="s">
        <v>32831</v>
      </c>
      <c r="G10123" t="s">
        <v>32839</v>
      </c>
      <c r="H10123" t="s">
        <v>32849</v>
      </c>
      <c r="I10123" t="s">
        <v>4177</v>
      </c>
      <c r="J10123" t="s">
        <v>33178</v>
      </c>
      <c r="K10123" t="s">
        <v>42730</v>
      </c>
      <c r="M10123" t="s">
        <v>45525</v>
      </c>
      <c r="N10123" t="s">
        <v>47424</v>
      </c>
      <c r="O10123" t="s">
        <v>47425</v>
      </c>
      <c r="P10123">
        <v>0</v>
      </c>
      <c r="Q10123">
        <v>1</v>
      </c>
      <c r="R10123" t="s">
        <v>47433</v>
      </c>
      <c r="S10123" t="s">
        <v>47633</v>
      </c>
      <c r="T10123" t="s">
        <v>49235</v>
      </c>
      <c r="U10123" t="s">
        <v>58012</v>
      </c>
      <c r="V10123" t="s">
        <v>63352</v>
      </c>
      <c r="W10123" t="s">
        <v>45525</v>
      </c>
      <c r="X10123" t="s">
        <v>47434</v>
      </c>
    </row>
    <row r="10124" spans="1:24">
      <c r="A10124">
        <f>HYPERLINK("https://www.philgeps.gov.ph/GEPSNONPILOT/Tender/SplashBidNoticeAbstractUI.aspx?menuIndex=3&amp;refID=7151243&amp;Result=3","7151243")</f>
        <v>0</v>
      </c>
      <c r="B10124" t="s">
        <v>3080</v>
      </c>
      <c r="C10124" t="s">
        <v>13416</v>
      </c>
      <c r="D10124" t="s">
        <v>19024</v>
      </c>
      <c r="E10124" t="s">
        <v>27834</v>
      </c>
      <c r="F10124" t="s">
        <v>32831</v>
      </c>
      <c r="G10124" t="s">
        <v>32839</v>
      </c>
      <c r="H10124" t="s">
        <v>32848</v>
      </c>
      <c r="I10124" t="s">
        <v>32883</v>
      </c>
      <c r="J10124" t="s">
        <v>32985</v>
      </c>
      <c r="K10124" t="s">
        <v>42730</v>
      </c>
      <c r="M10124" t="s">
        <v>46359</v>
      </c>
      <c r="N10124" t="s">
        <v>47424</v>
      </c>
      <c r="O10124" t="s">
        <v>47425</v>
      </c>
      <c r="P10124">
        <v>0</v>
      </c>
      <c r="Q10124">
        <v>0</v>
      </c>
      <c r="R10124" t="s">
        <v>47433</v>
      </c>
      <c r="S10124" t="s">
        <v>47633</v>
      </c>
      <c r="T10124" t="s">
        <v>49221</v>
      </c>
      <c r="U10124" t="s">
        <v>58013</v>
      </c>
      <c r="W10124" t="s">
        <v>46359</v>
      </c>
      <c r="X10124" t="s">
        <v>47434</v>
      </c>
    </row>
    <row r="10125" spans="1:24">
      <c r="A10125">
        <f>HYPERLINK("https://www.philgeps.gov.ph/GEPSNONPILOT/Tender/SplashBidNoticeAbstractUI.aspx?menuIndex=3&amp;refID=7151658&amp;Result=3","7151658")</f>
        <v>0</v>
      </c>
      <c r="B10125" t="s">
        <v>1020</v>
      </c>
      <c r="C10125" t="s">
        <v>13417</v>
      </c>
      <c r="D10125" t="s">
        <v>19045</v>
      </c>
      <c r="E10125" t="s">
        <v>27835</v>
      </c>
      <c r="F10125" t="s">
        <v>32831</v>
      </c>
      <c r="G10125" t="s">
        <v>32838</v>
      </c>
      <c r="H10125" t="s">
        <v>32848</v>
      </c>
      <c r="I10125" t="s">
        <v>7416</v>
      </c>
      <c r="J10125" t="s">
        <v>39217</v>
      </c>
      <c r="K10125" t="s">
        <v>42758</v>
      </c>
      <c r="M10125" t="s">
        <v>44070</v>
      </c>
      <c r="N10125" t="s">
        <v>47424</v>
      </c>
      <c r="O10125" t="s">
        <v>47425</v>
      </c>
      <c r="P10125">
        <v>0</v>
      </c>
      <c r="Q10125">
        <v>0</v>
      </c>
      <c r="R10125" t="s">
        <v>47433</v>
      </c>
      <c r="S10125" t="s">
        <v>47633</v>
      </c>
      <c r="T10125" t="s">
        <v>49114</v>
      </c>
      <c r="U10125" t="s">
        <v>51715</v>
      </c>
      <c r="W10125" t="s">
        <v>44070</v>
      </c>
      <c r="X10125" t="s">
        <v>47434</v>
      </c>
    </row>
    <row r="10126" spans="1:24">
      <c r="A10126">
        <f>HYPERLINK("https://www.philgeps.gov.ph/GEPSNONPILOT/Tender/SplashBidNoticeAbstractUI.aspx?menuIndex=3&amp;refID=7150998&amp;Result=3","7150998")</f>
        <v>0</v>
      </c>
      <c r="B10126" t="s">
        <v>3094</v>
      </c>
      <c r="C10126" t="s">
        <v>13418</v>
      </c>
      <c r="D10126" t="s">
        <v>19077</v>
      </c>
      <c r="E10126" t="s">
        <v>25184</v>
      </c>
      <c r="F10126" t="s">
        <v>32831</v>
      </c>
      <c r="G10126" t="s">
        <v>32839</v>
      </c>
      <c r="H10126" t="s">
        <v>32849</v>
      </c>
      <c r="I10126" t="s">
        <v>4177</v>
      </c>
      <c r="J10126" t="s">
        <v>39218</v>
      </c>
      <c r="K10126" t="s">
        <v>42780</v>
      </c>
      <c r="M10126" t="s">
        <v>46375</v>
      </c>
      <c r="N10126" t="s">
        <v>47424</v>
      </c>
      <c r="O10126" t="s">
        <v>47425</v>
      </c>
      <c r="P10126">
        <v>0</v>
      </c>
      <c r="Q10126">
        <v>1</v>
      </c>
      <c r="R10126" t="s">
        <v>47433</v>
      </c>
      <c r="S10126" t="s">
        <v>47633</v>
      </c>
      <c r="T10126" t="s">
        <v>49077</v>
      </c>
      <c r="U10126" t="s">
        <v>58014</v>
      </c>
      <c r="W10126" t="s">
        <v>46375</v>
      </c>
      <c r="X10126" t="s">
        <v>47434</v>
      </c>
    </row>
    <row r="10127" spans="1:24">
      <c r="A10127">
        <f>HYPERLINK("https://www.philgeps.gov.ph/GEPSNONPILOT/Tender/SplashBidNoticeAbstractUI.aspx?menuIndex=3&amp;refID=7150995&amp;Result=3","7150995")</f>
        <v>0</v>
      </c>
      <c r="B10127" t="s">
        <v>2449</v>
      </c>
      <c r="C10127" t="s">
        <v>13419</v>
      </c>
      <c r="D10127" t="s">
        <v>19017</v>
      </c>
      <c r="E10127" t="s">
        <v>27836</v>
      </c>
      <c r="F10127" t="s">
        <v>32831</v>
      </c>
      <c r="G10127" t="s">
        <v>32838</v>
      </c>
      <c r="H10127" t="s">
        <v>32850</v>
      </c>
      <c r="I10127" t="s">
        <v>32910</v>
      </c>
      <c r="J10127" t="s">
        <v>39219</v>
      </c>
      <c r="K10127" t="s">
        <v>42776</v>
      </c>
      <c r="M10127" t="s">
        <v>45647</v>
      </c>
      <c r="N10127" t="s">
        <v>47424</v>
      </c>
      <c r="O10127" t="s">
        <v>47425</v>
      </c>
      <c r="P10127">
        <v>0</v>
      </c>
      <c r="Q10127">
        <v>3</v>
      </c>
      <c r="R10127" t="s">
        <v>47433</v>
      </c>
      <c r="S10127" t="s">
        <v>47633</v>
      </c>
      <c r="T10127" t="s">
        <v>49238</v>
      </c>
      <c r="U10127" t="s">
        <v>58015</v>
      </c>
      <c r="W10127" t="s">
        <v>45647</v>
      </c>
      <c r="X10127" t="s">
        <v>47434</v>
      </c>
    </row>
    <row r="10128" spans="1:24">
      <c r="A10128">
        <f>HYPERLINK("https://www.philgeps.gov.ph/GEPSNONPILOT/Tender/SplashBidNoticeAbstractUI.aspx?menuIndex=3&amp;refID=7151176&amp;Result=3","7151176")</f>
        <v>0</v>
      </c>
      <c r="B10128" t="s">
        <v>1434</v>
      </c>
      <c r="C10128" t="s">
        <v>13420</v>
      </c>
      <c r="D10128" t="s">
        <v>19021</v>
      </c>
      <c r="E10128" t="s">
        <v>27837</v>
      </c>
      <c r="F10128" t="s">
        <v>32831</v>
      </c>
      <c r="G10128" t="s">
        <v>32838</v>
      </c>
      <c r="H10128" t="s">
        <v>32848</v>
      </c>
      <c r="I10128" t="s">
        <v>11484</v>
      </c>
      <c r="J10128" t="s">
        <v>33424</v>
      </c>
      <c r="K10128" t="s">
        <v>42727</v>
      </c>
      <c r="M10128" t="s">
        <v>44524</v>
      </c>
      <c r="N10128" t="s">
        <v>47424</v>
      </c>
      <c r="O10128" t="s">
        <v>47425</v>
      </c>
      <c r="P10128">
        <v>0</v>
      </c>
      <c r="Q10128">
        <v>4</v>
      </c>
      <c r="R10128" t="s">
        <v>47433</v>
      </c>
      <c r="S10128" t="s">
        <v>47633</v>
      </c>
      <c r="T10128" t="s">
        <v>49060</v>
      </c>
      <c r="U10128" t="s">
        <v>58016</v>
      </c>
      <c r="W10128" t="s">
        <v>44524</v>
      </c>
      <c r="X10128" t="s">
        <v>47434</v>
      </c>
    </row>
    <row r="10129" spans="1:24">
      <c r="A10129">
        <f>HYPERLINK("https://www.philgeps.gov.ph/GEPSNONPILOT/Tender/SplashBidNoticeAbstractUI.aspx?menuIndex=3&amp;refID=7150990&amp;Result=3","7150990")</f>
        <v>0</v>
      </c>
      <c r="B10129" t="s">
        <v>674</v>
      </c>
      <c r="C10129" t="s">
        <v>13421</v>
      </c>
      <c r="D10129" t="s">
        <v>19058</v>
      </c>
      <c r="E10129" t="s">
        <v>27838</v>
      </c>
      <c r="F10129" t="s">
        <v>32831</v>
      </c>
      <c r="G10129" t="s">
        <v>32840</v>
      </c>
      <c r="H10129" t="s">
        <v>32848</v>
      </c>
      <c r="I10129" t="s">
        <v>4558</v>
      </c>
      <c r="J10129" t="s">
        <v>39220</v>
      </c>
      <c r="K10129" t="s">
        <v>42732</v>
      </c>
      <c r="M10129" t="s">
        <v>44520</v>
      </c>
      <c r="N10129" t="s">
        <v>47424</v>
      </c>
      <c r="O10129" t="s">
        <v>47425</v>
      </c>
      <c r="P10129">
        <v>0</v>
      </c>
      <c r="Q10129">
        <v>1</v>
      </c>
      <c r="R10129" t="s">
        <v>47433</v>
      </c>
      <c r="S10129" t="s">
        <v>47633</v>
      </c>
      <c r="T10129" t="s">
        <v>49237</v>
      </c>
      <c r="U10129" t="s">
        <v>58017</v>
      </c>
      <c r="W10129" t="s">
        <v>44520</v>
      </c>
      <c r="X10129" t="s">
        <v>47434</v>
      </c>
    </row>
    <row r="10130" spans="1:24">
      <c r="A10130">
        <f>HYPERLINK("https://www.philgeps.gov.ph/GEPSNONPILOT/Tender/SplashBidNoticeAbstractUI.aspx?menuIndex=3&amp;refID=7150987&amp;Result=3","7150987")</f>
        <v>0</v>
      </c>
      <c r="B10130" t="s">
        <v>657</v>
      </c>
      <c r="C10130" t="s">
        <v>13422</v>
      </c>
      <c r="D10130" t="s">
        <v>19027</v>
      </c>
      <c r="E10130" t="s">
        <v>27839</v>
      </c>
      <c r="F10130" t="s">
        <v>32831</v>
      </c>
      <c r="G10130" t="s">
        <v>32838</v>
      </c>
      <c r="H10130" t="s">
        <v>32848</v>
      </c>
      <c r="I10130" t="s">
        <v>32863</v>
      </c>
      <c r="J10130" t="s">
        <v>34283</v>
      </c>
      <c r="K10130" t="s">
        <v>42732</v>
      </c>
      <c r="M10130" t="s">
        <v>43675</v>
      </c>
      <c r="N10130" t="s">
        <v>47424</v>
      </c>
      <c r="O10130" t="s">
        <v>47425</v>
      </c>
      <c r="P10130">
        <v>0</v>
      </c>
      <c r="Q10130">
        <v>0</v>
      </c>
      <c r="R10130" t="s">
        <v>47433</v>
      </c>
      <c r="S10130" t="s">
        <v>47633</v>
      </c>
      <c r="T10130" t="s">
        <v>49214</v>
      </c>
      <c r="U10130" t="s">
        <v>58018</v>
      </c>
      <c r="W10130" t="s">
        <v>43675</v>
      </c>
      <c r="X10130" t="s">
        <v>47434</v>
      </c>
    </row>
    <row r="10131" spans="1:24">
      <c r="A10131">
        <f>HYPERLINK("https://www.philgeps.gov.ph/GEPSNONPILOT/Tender/SplashBidNoticeAbstractUI.aspx?menuIndex=3&amp;refID=7150929&amp;Result=3","7150929")</f>
        <v>0</v>
      </c>
      <c r="B10131" t="s">
        <v>3139</v>
      </c>
      <c r="C10131" t="s">
        <v>13423</v>
      </c>
      <c r="D10131" t="s">
        <v>19040</v>
      </c>
      <c r="E10131" t="s">
        <v>27840</v>
      </c>
      <c r="F10131" t="s">
        <v>32831</v>
      </c>
      <c r="G10131" t="s">
        <v>32845</v>
      </c>
      <c r="H10131" t="s">
        <v>32848</v>
      </c>
      <c r="I10131" t="s">
        <v>32853</v>
      </c>
      <c r="J10131" t="s">
        <v>39221</v>
      </c>
      <c r="K10131" t="s">
        <v>42727</v>
      </c>
      <c r="M10131" t="s">
        <v>46435</v>
      </c>
      <c r="N10131" t="s">
        <v>47424</v>
      </c>
      <c r="O10131" t="s">
        <v>47425</v>
      </c>
      <c r="P10131">
        <v>0</v>
      </c>
      <c r="Q10131">
        <v>0</v>
      </c>
      <c r="R10131" t="s">
        <v>47433</v>
      </c>
      <c r="S10131" t="s">
        <v>47633</v>
      </c>
      <c r="T10131" t="s">
        <v>49192</v>
      </c>
      <c r="U10131" t="s">
        <v>58019</v>
      </c>
      <c r="W10131" t="s">
        <v>46435</v>
      </c>
      <c r="X10131" t="s">
        <v>47434</v>
      </c>
    </row>
    <row r="10132" spans="1:24">
      <c r="A10132">
        <f>HYPERLINK("https://www.philgeps.gov.ph/GEPSNONPILOT/Tender/SplashBidNoticeAbstractUI.aspx?menuIndex=3&amp;refID=7151706&amp;Result=3","7151706")</f>
        <v>0</v>
      </c>
      <c r="B10132" t="s">
        <v>1704</v>
      </c>
      <c r="C10132" t="s">
        <v>13424</v>
      </c>
      <c r="D10132" t="s">
        <v>19084</v>
      </c>
      <c r="E10132" t="s">
        <v>27841</v>
      </c>
      <c r="F10132" t="s">
        <v>32831</v>
      </c>
      <c r="G10132" t="s">
        <v>32839</v>
      </c>
      <c r="H10132" t="s">
        <v>32849</v>
      </c>
      <c r="I10132" t="s">
        <v>4177</v>
      </c>
      <c r="J10132" t="s">
        <v>39222</v>
      </c>
      <c r="K10132" t="s">
        <v>42763</v>
      </c>
      <c r="M10132" t="s">
        <v>44826</v>
      </c>
      <c r="N10132" t="s">
        <v>47424</v>
      </c>
      <c r="O10132" t="s">
        <v>47425</v>
      </c>
      <c r="P10132">
        <v>0</v>
      </c>
      <c r="Q10132">
        <v>1</v>
      </c>
      <c r="R10132" t="s">
        <v>47433</v>
      </c>
      <c r="S10132" t="s">
        <v>47633</v>
      </c>
      <c r="T10132" t="s">
        <v>49468</v>
      </c>
      <c r="U10132" t="s">
        <v>58020</v>
      </c>
      <c r="V10132" t="s">
        <v>63739</v>
      </c>
      <c r="W10132" t="s">
        <v>44826</v>
      </c>
      <c r="X10132" t="s">
        <v>47434</v>
      </c>
    </row>
    <row r="10133" spans="1:24">
      <c r="A10133">
        <f>HYPERLINK("https://www.philgeps.gov.ph/GEPSNONPILOT/Tender/SplashBidNoticeAbstractUI.aspx?menuIndex=3&amp;refID=7151041&amp;Result=3","7151041")</f>
        <v>0</v>
      </c>
      <c r="B10133" t="s">
        <v>2089</v>
      </c>
      <c r="C10133" t="s">
        <v>13425</v>
      </c>
      <c r="E10133" t="s">
        <v>27842</v>
      </c>
      <c r="F10133" t="s">
        <v>32831</v>
      </c>
      <c r="G10133" t="s">
        <v>32838</v>
      </c>
      <c r="H10133" t="s">
        <v>32848</v>
      </c>
      <c r="I10133" t="s">
        <v>32857</v>
      </c>
      <c r="J10133" t="s">
        <v>39223</v>
      </c>
      <c r="K10133" t="s">
        <v>42732</v>
      </c>
      <c r="M10133" t="s">
        <v>46385</v>
      </c>
      <c r="N10133" t="s">
        <v>47424</v>
      </c>
      <c r="O10133" t="s">
        <v>47425</v>
      </c>
      <c r="P10133">
        <v>0</v>
      </c>
      <c r="Q10133">
        <v>1</v>
      </c>
      <c r="R10133" t="s">
        <v>47433</v>
      </c>
      <c r="S10133" t="s">
        <v>47633</v>
      </c>
      <c r="T10133" t="s">
        <v>49249</v>
      </c>
      <c r="U10133" t="s">
        <v>58021</v>
      </c>
      <c r="W10133" t="s">
        <v>64498</v>
      </c>
      <c r="X10133" t="s">
        <v>47434</v>
      </c>
    </row>
    <row r="10134" spans="1:24">
      <c r="A10134">
        <f>HYPERLINK("https://www.philgeps.gov.ph/GEPSNONPILOT/Tender/SplashBidNoticeAbstractUI.aspx?menuIndex=3&amp;refID=7151043&amp;Result=3","7151043")</f>
        <v>0</v>
      </c>
      <c r="B10134" t="s">
        <v>1176</v>
      </c>
      <c r="C10134" t="s">
        <v>13426</v>
      </c>
      <c r="D10134" t="s">
        <v>19078</v>
      </c>
      <c r="E10134" t="s">
        <v>27843</v>
      </c>
      <c r="F10134" t="s">
        <v>32831</v>
      </c>
      <c r="G10134" t="s">
        <v>32839</v>
      </c>
      <c r="H10134" t="s">
        <v>32849</v>
      </c>
      <c r="I10134" t="s">
        <v>4177</v>
      </c>
      <c r="J10134" t="s">
        <v>38388</v>
      </c>
      <c r="K10134" t="s">
        <v>42827</v>
      </c>
      <c r="M10134" t="s">
        <v>44242</v>
      </c>
      <c r="N10134" t="s">
        <v>47424</v>
      </c>
      <c r="O10134" t="s">
        <v>47425</v>
      </c>
      <c r="P10134">
        <v>0</v>
      </c>
      <c r="Q10134">
        <v>0</v>
      </c>
      <c r="R10134" t="s">
        <v>47433</v>
      </c>
      <c r="S10134" t="s">
        <v>47633</v>
      </c>
      <c r="T10134" t="s">
        <v>49084</v>
      </c>
      <c r="U10134" t="s">
        <v>58022</v>
      </c>
      <c r="W10134" t="s">
        <v>44242</v>
      </c>
      <c r="X10134" t="s">
        <v>47434</v>
      </c>
    </row>
    <row r="10135" spans="1:24">
      <c r="A10135">
        <f>HYPERLINK("https://www.philgeps.gov.ph/GEPSNONPILOT/Tender/SplashBidNoticeAbstractUI.aspx?menuIndex=3&amp;refID=7151031&amp;Result=3","7151031")</f>
        <v>0</v>
      </c>
      <c r="B10135" t="s">
        <v>3080</v>
      </c>
      <c r="C10135" t="s">
        <v>13427</v>
      </c>
      <c r="D10135" t="s">
        <v>19024</v>
      </c>
      <c r="E10135" t="s">
        <v>27844</v>
      </c>
      <c r="F10135" t="s">
        <v>32831</v>
      </c>
      <c r="G10135" t="s">
        <v>32839</v>
      </c>
      <c r="H10135" t="s">
        <v>32848</v>
      </c>
      <c r="I10135" t="s">
        <v>4558</v>
      </c>
      <c r="J10135" t="s">
        <v>39224</v>
      </c>
      <c r="K10135" t="s">
        <v>42727</v>
      </c>
      <c r="M10135" t="s">
        <v>46359</v>
      </c>
      <c r="N10135" t="s">
        <v>47424</v>
      </c>
      <c r="O10135" t="s">
        <v>47425</v>
      </c>
      <c r="P10135">
        <v>0</v>
      </c>
      <c r="Q10135">
        <v>0</v>
      </c>
      <c r="R10135" t="s">
        <v>47433</v>
      </c>
      <c r="S10135" t="s">
        <v>47633</v>
      </c>
      <c r="T10135" t="s">
        <v>49221</v>
      </c>
      <c r="U10135" t="s">
        <v>58023</v>
      </c>
      <c r="W10135" t="s">
        <v>46359</v>
      </c>
      <c r="X10135" t="s">
        <v>47434</v>
      </c>
    </row>
    <row r="10136" spans="1:24">
      <c r="A10136">
        <f>HYPERLINK("https://www.philgeps.gov.ph/GEPSNONPILOT/Tender/SplashBidNoticeAbstractUI.aspx?menuIndex=3&amp;refID=7151762&amp;Result=3","7151762")</f>
        <v>0</v>
      </c>
      <c r="B10136" t="s">
        <v>3140</v>
      </c>
      <c r="C10136" t="s">
        <v>13428</v>
      </c>
      <c r="E10136" t="s">
        <v>27845</v>
      </c>
      <c r="F10136" t="s">
        <v>32831</v>
      </c>
      <c r="G10136" t="s">
        <v>32839</v>
      </c>
      <c r="H10136" t="s">
        <v>32848</v>
      </c>
      <c r="I10136" t="s">
        <v>32864</v>
      </c>
      <c r="J10136" t="s">
        <v>39225</v>
      </c>
      <c r="K10136" t="s">
        <v>42730</v>
      </c>
      <c r="M10136" t="s">
        <v>46436</v>
      </c>
      <c r="N10136" t="s">
        <v>47424</v>
      </c>
      <c r="O10136" t="s">
        <v>47425</v>
      </c>
      <c r="P10136">
        <v>0</v>
      </c>
      <c r="Q10136">
        <v>12</v>
      </c>
      <c r="R10136" t="s">
        <v>47433</v>
      </c>
      <c r="S10136" t="s">
        <v>47633</v>
      </c>
      <c r="T10136" t="s">
        <v>49112</v>
      </c>
      <c r="U10136" t="s">
        <v>58024</v>
      </c>
      <c r="W10136" t="s">
        <v>64537</v>
      </c>
      <c r="X10136" t="s">
        <v>47434</v>
      </c>
    </row>
    <row r="10137" spans="1:24">
      <c r="A10137">
        <f>HYPERLINK("https://www.philgeps.gov.ph/GEPSNONPILOT/Tender/SplashBidNoticeAbstractUI.aspx?menuIndex=3&amp;refID=7150934&amp;Result=3","7150934")</f>
        <v>0</v>
      </c>
      <c r="B10137" t="s">
        <v>2026</v>
      </c>
      <c r="C10137" t="s">
        <v>13429</v>
      </c>
      <c r="D10137" t="s">
        <v>19019</v>
      </c>
      <c r="E10137" t="s">
        <v>27846</v>
      </c>
      <c r="F10137" t="s">
        <v>32831</v>
      </c>
      <c r="G10137" t="s">
        <v>32839</v>
      </c>
      <c r="H10137" t="s">
        <v>32848</v>
      </c>
      <c r="I10137" t="s">
        <v>7751</v>
      </c>
      <c r="J10137" t="s">
        <v>39226</v>
      </c>
      <c r="K10137" t="s">
        <v>42732</v>
      </c>
      <c r="M10137" t="s">
        <v>45194</v>
      </c>
      <c r="N10137" t="s">
        <v>47424</v>
      </c>
      <c r="O10137" t="s">
        <v>47425</v>
      </c>
      <c r="P10137">
        <v>0</v>
      </c>
      <c r="Q10137">
        <v>1</v>
      </c>
      <c r="R10137" t="s">
        <v>47433</v>
      </c>
      <c r="S10137" t="s">
        <v>47633</v>
      </c>
      <c r="T10137" t="s">
        <v>49127</v>
      </c>
      <c r="U10137" t="s">
        <v>58025</v>
      </c>
      <c r="W10137" t="s">
        <v>45194</v>
      </c>
      <c r="X10137" t="s">
        <v>47434</v>
      </c>
    </row>
    <row r="10138" spans="1:24">
      <c r="A10138">
        <f>HYPERLINK("https://www.philgeps.gov.ph/GEPSNONPILOT/Tender/SplashBidNoticeAbstractUI.aspx?menuIndex=3&amp;refID=7151759&amp;Result=3","7151759")</f>
        <v>0</v>
      </c>
      <c r="B10138" t="s">
        <v>3118</v>
      </c>
      <c r="C10138" t="s">
        <v>13430</v>
      </c>
      <c r="D10138" t="s">
        <v>19017</v>
      </c>
      <c r="E10138" t="s">
        <v>27847</v>
      </c>
      <c r="F10138" t="s">
        <v>32831</v>
      </c>
      <c r="G10138" t="s">
        <v>32839</v>
      </c>
      <c r="H10138" t="s">
        <v>32848</v>
      </c>
      <c r="I10138" t="s">
        <v>4438</v>
      </c>
      <c r="J10138" t="s">
        <v>39227</v>
      </c>
      <c r="K10138" t="s">
        <v>42727</v>
      </c>
      <c r="M10138" t="s">
        <v>46437</v>
      </c>
      <c r="N10138" t="s">
        <v>47424</v>
      </c>
      <c r="O10138" t="s">
        <v>47425</v>
      </c>
      <c r="P10138">
        <v>0</v>
      </c>
      <c r="Q10138">
        <v>0</v>
      </c>
      <c r="R10138" t="s">
        <v>47433</v>
      </c>
      <c r="S10138" t="s">
        <v>47633</v>
      </c>
      <c r="T10138" t="s">
        <v>49221</v>
      </c>
      <c r="U10138" t="s">
        <v>58026</v>
      </c>
      <c r="W10138" t="s">
        <v>46437</v>
      </c>
      <c r="X10138" t="s">
        <v>47434</v>
      </c>
    </row>
    <row r="10139" spans="1:24">
      <c r="A10139">
        <f>HYPERLINK("https://www.philgeps.gov.ph/GEPSNONPILOT/Tender/SplashBidNoticeAbstractUI.aspx?menuIndex=3&amp;refID=7151741&amp;Result=3","7151741")</f>
        <v>0</v>
      </c>
      <c r="B10139" t="s">
        <v>3141</v>
      </c>
      <c r="C10139" t="s">
        <v>13431</v>
      </c>
      <c r="D10139" t="s">
        <v>19026</v>
      </c>
      <c r="E10139" t="s">
        <v>20592</v>
      </c>
      <c r="F10139" t="s">
        <v>32831</v>
      </c>
      <c r="G10139" t="s">
        <v>32839</v>
      </c>
      <c r="H10139" t="s">
        <v>32848</v>
      </c>
      <c r="I10139" t="s">
        <v>7416</v>
      </c>
      <c r="J10139" t="s">
        <v>33087</v>
      </c>
      <c r="K10139" t="s">
        <v>42726</v>
      </c>
      <c r="M10139" t="s">
        <v>46438</v>
      </c>
      <c r="N10139" t="s">
        <v>47424</v>
      </c>
      <c r="O10139" t="s">
        <v>47425</v>
      </c>
      <c r="P10139">
        <v>0</v>
      </c>
      <c r="Q10139">
        <v>4</v>
      </c>
      <c r="R10139" t="s">
        <v>47433</v>
      </c>
      <c r="S10139" t="s">
        <v>47633</v>
      </c>
      <c r="T10139" t="s">
        <v>49212</v>
      </c>
      <c r="U10139" t="s">
        <v>57078</v>
      </c>
      <c r="W10139" t="s">
        <v>46438</v>
      </c>
      <c r="X10139" t="s">
        <v>47434</v>
      </c>
    </row>
    <row r="10140" spans="1:24">
      <c r="A10140">
        <f>HYPERLINK("https://www.philgeps.gov.ph/GEPSNONPILOT/Tender/SplashBidNoticeAbstractUI.aspx?menuIndex=3&amp;refID=7151757&amp;Result=3","7151757")</f>
        <v>0</v>
      </c>
      <c r="B10140" t="s">
        <v>2180</v>
      </c>
      <c r="C10140" t="s">
        <v>13432</v>
      </c>
      <c r="D10140" t="s">
        <v>19037</v>
      </c>
      <c r="E10140" t="s">
        <v>27848</v>
      </c>
      <c r="F10140" t="s">
        <v>32831</v>
      </c>
      <c r="G10140" t="s">
        <v>32839</v>
      </c>
      <c r="H10140" t="s">
        <v>32848</v>
      </c>
      <c r="I10140" t="s">
        <v>4487</v>
      </c>
      <c r="J10140" t="s">
        <v>39228</v>
      </c>
      <c r="K10140" t="s">
        <v>42731</v>
      </c>
      <c r="M10140" t="s">
        <v>45360</v>
      </c>
      <c r="N10140" t="s">
        <v>47424</v>
      </c>
      <c r="O10140" t="s">
        <v>47425</v>
      </c>
      <c r="P10140">
        <v>0</v>
      </c>
      <c r="Q10140">
        <v>6</v>
      </c>
      <c r="R10140" t="s">
        <v>47433</v>
      </c>
      <c r="S10140" t="s">
        <v>47633</v>
      </c>
      <c r="T10140" t="s">
        <v>49239</v>
      </c>
      <c r="U10140" t="s">
        <v>58027</v>
      </c>
      <c r="W10140" t="s">
        <v>45360</v>
      </c>
      <c r="X10140" t="s">
        <v>47434</v>
      </c>
    </row>
    <row r="10141" spans="1:24">
      <c r="A10141">
        <f>HYPERLINK("https://www.philgeps.gov.ph/GEPSNONPILOT/Tender/SplashBidNoticeAbstractUI.aspx?menuIndex=3&amp;refID=7151752&amp;Result=3","7151752")</f>
        <v>0</v>
      </c>
      <c r="B10141" t="s">
        <v>3133</v>
      </c>
      <c r="C10141" t="s">
        <v>13433</v>
      </c>
      <c r="D10141" t="s">
        <v>19087</v>
      </c>
      <c r="E10141" t="s">
        <v>26477</v>
      </c>
      <c r="F10141" t="s">
        <v>32831</v>
      </c>
      <c r="G10141" t="s">
        <v>32839</v>
      </c>
      <c r="H10141" t="s">
        <v>32848</v>
      </c>
      <c r="I10141" t="s">
        <v>4776</v>
      </c>
      <c r="J10141" t="s">
        <v>33380</v>
      </c>
      <c r="K10141" t="s">
        <v>42730</v>
      </c>
      <c r="M10141" t="s">
        <v>46428</v>
      </c>
      <c r="N10141" t="s">
        <v>47424</v>
      </c>
      <c r="O10141" t="s">
        <v>47425</v>
      </c>
      <c r="P10141">
        <v>0</v>
      </c>
      <c r="Q10141">
        <v>5</v>
      </c>
      <c r="R10141" t="s">
        <v>47433</v>
      </c>
      <c r="S10141" t="s">
        <v>47633</v>
      </c>
      <c r="T10141" t="s">
        <v>49522</v>
      </c>
      <c r="U10141" t="s">
        <v>57991</v>
      </c>
      <c r="W10141" t="s">
        <v>46428</v>
      </c>
      <c r="X10141" t="s">
        <v>47434</v>
      </c>
    </row>
    <row r="10142" spans="1:24">
      <c r="A10142">
        <f>HYPERLINK("https://www.philgeps.gov.ph/GEPSNONPILOT/Tender/SplashBidNoticeAbstractUI.aspx?menuIndex=3&amp;refID=7151737&amp;Result=3","7151737")</f>
        <v>0</v>
      </c>
      <c r="B10142" t="s">
        <v>3133</v>
      </c>
      <c r="C10142" t="s">
        <v>13434</v>
      </c>
      <c r="D10142" t="s">
        <v>19087</v>
      </c>
      <c r="E10142" t="s">
        <v>26130</v>
      </c>
      <c r="F10142" t="s">
        <v>32831</v>
      </c>
      <c r="G10142" t="s">
        <v>32839</v>
      </c>
      <c r="H10142" t="s">
        <v>32848</v>
      </c>
      <c r="I10142" t="s">
        <v>4776</v>
      </c>
      <c r="J10142" t="s">
        <v>39229</v>
      </c>
      <c r="K10142" t="s">
        <v>42730</v>
      </c>
      <c r="M10142" t="s">
        <v>46428</v>
      </c>
      <c r="N10142" t="s">
        <v>47424</v>
      </c>
      <c r="O10142" t="s">
        <v>47425</v>
      </c>
      <c r="P10142">
        <v>0</v>
      </c>
      <c r="Q10142">
        <v>4</v>
      </c>
      <c r="R10142" t="s">
        <v>47433</v>
      </c>
      <c r="S10142" t="s">
        <v>47633</v>
      </c>
      <c r="T10142" t="s">
        <v>49522</v>
      </c>
      <c r="U10142" t="s">
        <v>57991</v>
      </c>
      <c r="W10142" t="s">
        <v>46428</v>
      </c>
      <c r="X10142" t="s">
        <v>47434</v>
      </c>
    </row>
    <row r="10143" spans="1:24">
      <c r="A10143">
        <f>HYPERLINK("https://www.philgeps.gov.ph/GEPSNONPILOT/Tender/SplashBidNoticeAbstractUI.aspx?menuIndex=3&amp;refID=7151751&amp;Result=3","7151751")</f>
        <v>0</v>
      </c>
      <c r="B10143" t="s">
        <v>3142</v>
      </c>
      <c r="C10143" t="s">
        <v>13435</v>
      </c>
      <c r="D10143" t="s">
        <v>19056</v>
      </c>
      <c r="E10143" t="s">
        <v>27849</v>
      </c>
      <c r="F10143" t="s">
        <v>32831</v>
      </c>
      <c r="G10143" t="s">
        <v>32839</v>
      </c>
      <c r="H10143" t="s">
        <v>32848</v>
      </c>
      <c r="I10143" t="s">
        <v>32857</v>
      </c>
      <c r="J10143" t="s">
        <v>39230</v>
      </c>
      <c r="K10143" t="s">
        <v>42732</v>
      </c>
      <c r="M10143" t="s">
        <v>46439</v>
      </c>
      <c r="N10143" t="s">
        <v>47424</v>
      </c>
      <c r="O10143" t="s">
        <v>47425</v>
      </c>
      <c r="P10143">
        <v>0</v>
      </c>
      <c r="Q10143">
        <v>6</v>
      </c>
      <c r="R10143" t="s">
        <v>47433</v>
      </c>
      <c r="S10143" t="s">
        <v>47633</v>
      </c>
      <c r="T10143" t="s">
        <v>49321</v>
      </c>
      <c r="U10143" t="s">
        <v>58028</v>
      </c>
      <c r="W10143" t="s">
        <v>46439</v>
      </c>
      <c r="X10143" t="s">
        <v>47434</v>
      </c>
    </row>
    <row r="10144" spans="1:24">
      <c r="A10144">
        <f>HYPERLINK("https://www.philgeps.gov.ph/GEPSNONPILOT/Tender/SplashBidNoticeAbstractUI.aspx?menuIndex=3&amp;refID=7151308&amp;Result=3","7151308")</f>
        <v>0</v>
      </c>
      <c r="B10144" t="s">
        <v>671</v>
      </c>
      <c r="C10144" t="s">
        <v>13436</v>
      </c>
      <c r="D10144" t="s">
        <v>19030</v>
      </c>
      <c r="E10144" t="s">
        <v>27850</v>
      </c>
      <c r="F10144" t="s">
        <v>32831</v>
      </c>
      <c r="G10144" t="s">
        <v>32839</v>
      </c>
      <c r="H10144" t="s">
        <v>32849</v>
      </c>
      <c r="I10144" t="s">
        <v>4177</v>
      </c>
      <c r="J10144" t="s">
        <v>33257</v>
      </c>
      <c r="K10144" t="s">
        <v>42747</v>
      </c>
      <c r="M10144" t="s">
        <v>44532</v>
      </c>
      <c r="N10144" t="s">
        <v>47424</v>
      </c>
      <c r="O10144" t="s">
        <v>47425</v>
      </c>
      <c r="P10144">
        <v>0</v>
      </c>
      <c r="Q10144">
        <v>55</v>
      </c>
      <c r="R10144" t="s">
        <v>47433</v>
      </c>
      <c r="S10144" t="s">
        <v>47633</v>
      </c>
      <c r="T10144" t="s">
        <v>49470</v>
      </c>
      <c r="U10144" t="s">
        <v>52028</v>
      </c>
      <c r="V10144" t="s">
        <v>62999</v>
      </c>
      <c r="W10144" t="s">
        <v>64462</v>
      </c>
      <c r="X10144" t="s">
        <v>47434</v>
      </c>
    </row>
    <row r="10145" spans="1:24">
      <c r="A10145">
        <f>HYPERLINK("https://www.philgeps.gov.ph/GEPSNONPILOT/Tender/SplashBidNoticeAbstractUI.aspx?menuIndex=3&amp;refID=7151728&amp;Result=3","7151728")</f>
        <v>0</v>
      </c>
      <c r="B10145" t="s">
        <v>1115</v>
      </c>
      <c r="C10145" t="s">
        <v>13437</v>
      </c>
      <c r="D10145" t="s">
        <v>19017</v>
      </c>
      <c r="E10145" t="s">
        <v>27851</v>
      </c>
      <c r="F10145" t="s">
        <v>32831</v>
      </c>
      <c r="G10145" t="s">
        <v>32841</v>
      </c>
      <c r="H10145" t="s">
        <v>32849</v>
      </c>
      <c r="I10145" t="s">
        <v>4177</v>
      </c>
      <c r="J10145" t="s">
        <v>39231</v>
      </c>
      <c r="K10145" t="s">
        <v>42732</v>
      </c>
      <c r="M10145" t="s">
        <v>46150</v>
      </c>
      <c r="N10145" t="s">
        <v>47424</v>
      </c>
      <c r="O10145" t="s">
        <v>47425</v>
      </c>
      <c r="P10145">
        <v>0</v>
      </c>
      <c r="Q10145">
        <v>8</v>
      </c>
      <c r="R10145" t="s">
        <v>47433</v>
      </c>
      <c r="S10145" t="s">
        <v>47633</v>
      </c>
      <c r="T10145" t="s">
        <v>49166</v>
      </c>
      <c r="U10145" t="s">
        <v>58029</v>
      </c>
      <c r="V10145" t="s">
        <v>63740</v>
      </c>
      <c r="W10145" t="s">
        <v>46150</v>
      </c>
      <c r="X10145" t="s">
        <v>47434</v>
      </c>
    </row>
    <row r="10146" spans="1:24">
      <c r="A10146">
        <f>HYPERLINK("https://www.philgeps.gov.ph/GEPSNONPILOT/Tender/SplashBidNoticeAbstractUI.aspx?menuIndex=3&amp;refID=7151755&amp;Result=3","7151755")</f>
        <v>0</v>
      </c>
      <c r="B10146" t="s">
        <v>3143</v>
      </c>
      <c r="C10146" t="s">
        <v>13438</v>
      </c>
      <c r="D10146" t="s">
        <v>19047</v>
      </c>
      <c r="E10146" t="s">
        <v>27852</v>
      </c>
      <c r="F10146" t="s">
        <v>32831</v>
      </c>
      <c r="G10146" t="s">
        <v>32839</v>
      </c>
      <c r="H10146" t="s">
        <v>32848</v>
      </c>
      <c r="I10146" t="s">
        <v>4487</v>
      </c>
      <c r="J10146" t="s">
        <v>39232</v>
      </c>
      <c r="K10146" t="s">
        <v>42730</v>
      </c>
      <c r="M10146" t="s">
        <v>46440</v>
      </c>
      <c r="N10146" t="s">
        <v>47424</v>
      </c>
      <c r="O10146" t="s">
        <v>47425</v>
      </c>
      <c r="P10146">
        <v>0</v>
      </c>
      <c r="Q10146">
        <v>12</v>
      </c>
      <c r="R10146" t="s">
        <v>47433</v>
      </c>
      <c r="S10146" t="s">
        <v>47633</v>
      </c>
      <c r="T10146" t="s">
        <v>49112</v>
      </c>
      <c r="U10146" t="s">
        <v>58030</v>
      </c>
      <c r="W10146" t="s">
        <v>46440</v>
      </c>
      <c r="X10146" t="s">
        <v>47434</v>
      </c>
    </row>
    <row r="10147" spans="1:24">
      <c r="A10147">
        <f>HYPERLINK("https://www.philgeps.gov.ph/GEPSNONPILOT/Tender/SplashBidNoticeAbstractUI.aspx?menuIndex=3&amp;refID=7151725&amp;Result=3","7151725")</f>
        <v>0</v>
      </c>
      <c r="B10147" t="s">
        <v>648</v>
      </c>
      <c r="C10147" t="s">
        <v>13439</v>
      </c>
      <c r="D10147" t="s">
        <v>19044</v>
      </c>
      <c r="E10147" t="s">
        <v>27853</v>
      </c>
      <c r="F10147" t="s">
        <v>32831</v>
      </c>
      <c r="G10147" t="s">
        <v>32839</v>
      </c>
      <c r="H10147" t="s">
        <v>32848</v>
      </c>
      <c r="I10147" t="s">
        <v>4177</v>
      </c>
      <c r="J10147" t="s">
        <v>39233</v>
      </c>
      <c r="K10147" t="s">
        <v>42785</v>
      </c>
      <c r="M10147" t="s">
        <v>44684</v>
      </c>
      <c r="N10147" t="s">
        <v>47424</v>
      </c>
      <c r="O10147" t="s">
        <v>47425</v>
      </c>
      <c r="P10147">
        <v>0</v>
      </c>
      <c r="Q10147">
        <v>2</v>
      </c>
      <c r="R10147" t="s">
        <v>47433</v>
      </c>
      <c r="S10147" t="s">
        <v>47633</v>
      </c>
      <c r="T10147" t="s">
        <v>49138</v>
      </c>
      <c r="U10147" t="s">
        <v>58031</v>
      </c>
      <c r="V10147" t="s">
        <v>63741</v>
      </c>
      <c r="W10147" t="s">
        <v>44684</v>
      </c>
      <c r="X10147" t="s">
        <v>47434</v>
      </c>
    </row>
    <row r="10148" spans="1:24">
      <c r="A10148">
        <f>HYPERLINK("https://www.philgeps.gov.ph/GEPSNONPILOT/Tender/SplashBidNoticeAbstractUI.aspx?menuIndex=3&amp;refID=7151739&amp;Result=3","7151739")</f>
        <v>0</v>
      </c>
      <c r="B10148" t="s">
        <v>3144</v>
      </c>
      <c r="C10148" t="s">
        <v>13440</v>
      </c>
      <c r="D10148" t="s">
        <v>19037</v>
      </c>
      <c r="E10148" t="s">
        <v>27854</v>
      </c>
      <c r="F10148" t="s">
        <v>32831</v>
      </c>
      <c r="G10148" t="s">
        <v>32839</v>
      </c>
      <c r="H10148" t="s">
        <v>32849</v>
      </c>
      <c r="I10148" t="s">
        <v>4177</v>
      </c>
      <c r="J10148" t="s">
        <v>33528</v>
      </c>
      <c r="K10148" t="s">
        <v>42728</v>
      </c>
      <c r="M10148" t="s">
        <v>46441</v>
      </c>
      <c r="N10148" t="s">
        <v>47424</v>
      </c>
      <c r="O10148" t="s">
        <v>47425</v>
      </c>
      <c r="P10148">
        <v>0</v>
      </c>
      <c r="Q10148">
        <v>3</v>
      </c>
      <c r="R10148" t="s">
        <v>47433</v>
      </c>
      <c r="S10148" t="s">
        <v>47633</v>
      </c>
      <c r="T10148" t="s">
        <v>49236</v>
      </c>
      <c r="U10148" t="s">
        <v>58032</v>
      </c>
      <c r="W10148" t="s">
        <v>46441</v>
      </c>
      <c r="X10148" t="s">
        <v>47434</v>
      </c>
    </row>
    <row r="10149" spans="1:24">
      <c r="A10149">
        <f>HYPERLINK("https://www.philgeps.gov.ph/GEPSNONPILOT/Tender/SplashBidNoticeAbstractUI.aspx?menuIndex=3&amp;refID=7151736&amp;Result=3","7151736")</f>
        <v>0</v>
      </c>
      <c r="B10149" t="s">
        <v>2180</v>
      </c>
      <c r="C10149" t="s">
        <v>13441</v>
      </c>
      <c r="D10149" t="s">
        <v>19037</v>
      </c>
      <c r="E10149" t="s">
        <v>27855</v>
      </c>
      <c r="F10149" t="s">
        <v>32831</v>
      </c>
      <c r="G10149" t="s">
        <v>32839</v>
      </c>
      <c r="H10149" t="s">
        <v>32849</v>
      </c>
      <c r="I10149" t="s">
        <v>4177</v>
      </c>
      <c r="J10149" t="s">
        <v>33087</v>
      </c>
      <c r="K10149" t="s">
        <v>42747</v>
      </c>
      <c r="M10149" t="s">
        <v>45360</v>
      </c>
      <c r="N10149" t="s">
        <v>47424</v>
      </c>
      <c r="O10149" t="s">
        <v>47425</v>
      </c>
      <c r="P10149">
        <v>0</v>
      </c>
      <c r="Q10149">
        <v>0</v>
      </c>
      <c r="R10149" t="s">
        <v>47433</v>
      </c>
      <c r="S10149" t="s">
        <v>47633</v>
      </c>
      <c r="T10149" t="s">
        <v>49239</v>
      </c>
      <c r="U10149" t="s">
        <v>58033</v>
      </c>
      <c r="W10149" t="s">
        <v>45360</v>
      </c>
      <c r="X10149" t="s">
        <v>47434</v>
      </c>
    </row>
    <row r="10150" spans="1:24">
      <c r="A10150">
        <f>HYPERLINK("https://www.philgeps.gov.ph/GEPSNONPILOT/Tender/SplashBidNoticeAbstractUI.aspx?menuIndex=3&amp;refID=7151729&amp;Result=3","7151729")</f>
        <v>0</v>
      </c>
      <c r="B10150" t="s">
        <v>3142</v>
      </c>
      <c r="C10150" t="s">
        <v>13442</v>
      </c>
      <c r="D10150" t="s">
        <v>19056</v>
      </c>
      <c r="E10150" t="s">
        <v>27856</v>
      </c>
      <c r="F10150" t="s">
        <v>32831</v>
      </c>
      <c r="G10150" t="s">
        <v>32839</v>
      </c>
      <c r="H10150" t="s">
        <v>32848</v>
      </c>
      <c r="I10150" t="s">
        <v>7751</v>
      </c>
      <c r="J10150" t="s">
        <v>33032</v>
      </c>
      <c r="K10150" t="s">
        <v>42732</v>
      </c>
      <c r="M10150" t="s">
        <v>46439</v>
      </c>
      <c r="N10150" t="s">
        <v>47424</v>
      </c>
      <c r="O10150" t="s">
        <v>47425</v>
      </c>
      <c r="P10150">
        <v>0</v>
      </c>
      <c r="Q10150">
        <v>7</v>
      </c>
      <c r="R10150" t="s">
        <v>47433</v>
      </c>
      <c r="S10150" t="s">
        <v>47633</v>
      </c>
      <c r="T10150" t="s">
        <v>49265</v>
      </c>
      <c r="U10150" t="s">
        <v>58034</v>
      </c>
      <c r="W10150" t="s">
        <v>46439</v>
      </c>
      <c r="X10150" t="s">
        <v>47434</v>
      </c>
    </row>
    <row r="10151" spans="1:24">
      <c r="A10151">
        <f>HYPERLINK("https://www.philgeps.gov.ph/GEPSNONPILOT/Tender/SplashBidNoticeAbstractUI.aspx?menuIndex=3&amp;refID=7151800&amp;Result=3","7151800")</f>
        <v>0</v>
      </c>
      <c r="B10151" t="s">
        <v>2486</v>
      </c>
      <c r="C10151" t="s">
        <v>13443</v>
      </c>
      <c r="D10151" t="s">
        <v>19017</v>
      </c>
      <c r="E10151" t="s">
        <v>27857</v>
      </c>
      <c r="F10151" t="s">
        <v>32831</v>
      </c>
      <c r="G10151" t="s">
        <v>32839</v>
      </c>
      <c r="H10151" t="s">
        <v>32848</v>
      </c>
      <c r="I10151" t="s">
        <v>10805</v>
      </c>
      <c r="J10151" t="s">
        <v>39234</v>
      </c>
      <c r="K10151" t="s">
        <v>42747</v>
      </c>
      <c r="M10151" t="s">
        <v>45689</v>
      </c>
      <c r="N10151" t="s">
        <v>47424</v>
      </c>
      <c r="O10151" t="s">
        <v>47425</v>
      </c>
      <c r="Q10151">
        <v>20</v>
      </c>
      <c r="R10151" t="s">
        <v>47433</v>
      </c>
      <c r="S10151" t="s">
        <v>47664</v>
      </c>
      <c r="T10151" t="s">
        <v>49173</v>
      </c>
      <c r="U10151" t="s">
        <v>58035</v>
      </c>
      <c r="W10151" t="s">
        <v>45689</v>
      </c>
      <c r="X10151" t="s">
        <v>47434</v>
      </c>
    </row>
    <row r="10152" spans="1:24">
      <c r="A10152">
        <f>HYPERLINK("https://www.philgeps.gov.ph/GEPSNONPILOT/Tender/SplashBidNoticeAbstractUI.aspx?menuIndex=3&amp;refID=7151799&amp;Result=3","7151799")</f>
        <v>0</v>
      </c>
      <c r="B10152" t="s">
        <v>834</v>
      </c>
      <c r="C10152" t="s">
        <v>13444</v>
      </c>
      <c r="D10152" t="s">
        <v>19046</v>
      </c>
      <c r="E10152" t="s">
        <v>27858</v>
      </c>
      <c r="F10152" t="s">
        <v>32831</v>
      </c>
      <c r="G10152" t="s">
        <v>32839</v>
      </c>
      <c r="H10152" t="s">
        <v>32848</v>
      </c>
      <c r="I10152" t="s">
        <v>32856</v>
      </c>
      <c r="J10152" t="s">
        <v>39235</v>
      </c>
      <c r="K10152" t="s">
        <v>42732</v>
      </c>
      <c r="M10152" t="s">
        <v>43983</v>
      </c>
      <c r="N10152" t="s">
        <v>47424</v>
      </c>
      <c r="O10152" t="s">
        <v>47425</v>
      </c>
      <c r="P10152">
        <v>0</v>
      </c>
      <c r="Q10152">
        <v>6</v>
      </c>
      <c r="R10152" t="s">
        <v>47433</v>
      </c>
      <c r="S10152" t="s">
        <v>47633</v>
      </c>
      <c r="T10152" t="s">
        <v>49239</v>
      </c>
      <c r="U10152" t="s">
        <v>51434</v>
      </c>
      <c r="W10152" t="s">
        <v>43983</v>
      </c>
      <c r="X10152" t="s">
        <v>47434</v>
      </c>
    </row>
    <row r="10153" spans="1:24">
      <c r="A10153">
        <f>HYPERLINK("https://www.philgeps.gov.ph/GEPSNONPILOT/Tender/SplashBidNoticeAbstractUI.aspx?menuIndex=3&amp;refID=7150989&amp;Result=3","7150989")</f>
        <v>0</v>
      </c>
      <c r="B10153" t="s">
        <v>735</v>
      </c>
      <c r="C10153" t="s">
        <v>13445</v>
      </c>
      <c r="D10153" t="s">
        <v>19017</v>
      </c>
      <c r="E10153" t="s">
        <v>27859</v>
      </c>
      <c r="F10153" t="s">
        <v>32831</v>
      </c>
      <c r="G10153" t="s">
        <v>32839</v>
      </c>
      <c r="H10153" t="s">
        <v>32848</v>
      </c>
      <c r="I10153" t="s">
        <v>4487</v>
      </c>
      <c r="J10153" t="s">
        <v>39236</v>
      </c>
      <c r="K10153" t="s">
        <v>42747</v>
      </c>
      <c r="M10153" t="s">
        <v>46442</v>
      </c>
      <c r="N10153" t="s">
        <v>47424</v>
      </c>
      <c r="O10153" t="s">
        <v>47425</v>
      </c>
      <c r="Q10153">
        <v>8</v>
      </c>
      <c r="R10153" t="s">
        <v>47433</v>
      </c>
      <c r="S10153" t="s">
        <v>47665</v>
      </c>
      <c r="T10153" t="s">
        <v>49173</v>
      </c>
      <c r="U10153" t="s">
        <v>58036</v>
      </c>
      <c r="W10153" t="s">
        <v>46442</v>
      </c>
      <c r="X10153" t="s">
        <v>47434</v>
      </c>
    </row>
    <row r="10154" spans="1:24">
      <c r="A10154">
        <f>HYPERLINK("https://www.philgeps.gov.ph/GEPSNONPILOT/Tender/SplashBidNoticeAbstractUI.aspx?menuIndex=3&amp;refID=7151797&amp;Result=3","7151797")</f>
        <v>0</v>
      </c>
      <c r="B10154" t="s">
        <v>834</v>
      </c>
      <c r="C10154" t="s">
        <v>13446</v>
      </c>
      <c r="D10154" t="s">
        <v>19046</v>
      </c>
      <c r="E10154" t="s">
        <v>27860</v>
      </c>
      <c r="F10154" t="s">
        <v>32831</v>
      </c>
      <c r="G10154" t="s">
        <v>32839</v>
      </c>
      <c r="H10154" t="s">
        <v>32848</v>
      </c>
      <c r="I10154" t="s">
        <v>4558</v>
      </c>
      <c r="J10154" t="s">
        <v>39237</v>
      </c>
      <c r="K10154" t="s">
        <v>42732</v>
      </c>
      <c r="M10154" t="s">
        <v>43983</v>
      </c>
      <c r="N10154" t="s">
        <v>47424</v>
      </c>
      <c r="O10154" t="s">
        <v>47425</v>
      </c>
      <c r="P10154">
        <v>0</v>
      </c>
      <c r="Q10154">
        <v>5</v>
      </c>
      <c r="R10154" t="s">
        <v>47433</v>
      </c>
      <c r="S10154" t="s">
        <v>47633</v>
      </c>
      <c r="T10154" t="s">
        <v>49239</v>
      </c>
      <c r="U10154" t="s">
        <v>51434</v>
      </c>
      <c r="W10154" t="s">
        <v>43983</v>
      </c>
      <c r="X10154" t="s">
        <v>47434</v>
      </c>
    </row>
    <row r="10155" spans="1:24">
      <c r="A10155">
        <f>HYPERLINK("https://www.philgeps.gov.ph/GEPSNONPILOT/Tender/SplashBidNoticeAbstractUI.aspx?menuIndex=3&amp;refID=7151795&amp;Result=3","7151795")</f>
        <v>0</v>
      </c>
      <c r="B10155" t="s">
        <v>834</v>
      </c>
      <c r="C10155" t="s">
        <v>13447</v>
      </c>
      <c r="D10155" t="s">
        <v>19046</v>
      </c>
      <c r="E10155" t="s">
        <v>27861</v>
      </c>
      <c r="F10155" t="s">
        <v>32831</v>
      </c>
      <c r="G10155" t="s">
        <v>32839</v>
      </c>
      <c r="H10155" t="s">
        <v>32848</v>
      </c>
      <c r="I10155" t="s">
        <v>4558</v>
      </c>
      <c r="J10155" t="s">
        <v>39238</v>
      </c>
      <c r="K10155" t="s">
        <v>42732</v>
      </c>
      <c r="M10155" t="s">
        <v>43983</v>
      </c>
      <c r="N10155" t="s">
        <v>47424</v>
      </c>
      <c r="O10155" t="s">
        <v>47425</v>
      </c>
      <c r="P10155">
        <v>0</v>
      </c>
      <c r="Q10155">
        <v>5</v>
      </c>
      <c r="R10155" t="s">
        <v>47433</v>
      </c>
      <c r="S10155" t="s">
        <v>47633</v>
      </c>
      <c r="T10155" t="s">
        <v>49239</v>
      </c>
      <c r="U10155" t="s">
        <v>51434</v>
      </c>
      <c r="W10155" t="s">
        <v>43983</v>
      </c>
      <c r="X10155" t="s">
        <v>47434</v>
      </c>
    </row>
    <row r="10156" spans="1:24">
      <c r="A10156">
        <f>HYPERLINK("https://www.philgeps.gov.ph/GEPSNONPILOT/Tender/SplashBidNoticeAbstractUI.aspx?menuIndex=3&amp;refID=7151723&amp;Result=3","7151723")</f>
        <v>0</v>
      </c>
      <c r="B10156" t="s">
        <v>3133</v>
      </c>
      <c r="C10156" t="s">
        <v>13448</v>
      </c>
      <c r="D10156" t="s">
        <v>19087</v>
      </c>
      <c r="E10156" t="s">
        <v>26066</v>
      </c>
      <c r="F10156" t="s">
        <v>32831</v>
      </c>
      <c r="G10156" t="s">
        <v>32839</v>
      </c>
      <c r="H10156" t="s">
        <v>32848</v>
      </c>
      <c r="I10156" t="s">
        <v>9577</v>
      </c>
      <c r="J10156" t="s">
        <v>39239</v>
      </c>
      <c r="K10156" t="s">
        <v>42730</v>
      </c>
      <c r="M10156" t="s">
        <v>46428</v>
      </c>
      <c r="N10156" t="s">
        <v>47424</v>
      </c>
      <c r="O10156" t="s">
        <v>47425</v>
      </c>
      <c r="P10156">
        <v>0</v>
      </c>
      <c r="Q10156">
        <v>2</v>
      </c>
      <c r="R10156" t="s">
        <v>47433</v>
      </c>
      <c r="S10156" t="s">
        <v>47633</v>
      </c>
      <c r="T10156" t="s">
        <v>49522</v>
      </c>
      <c r="U10156" t="s">
        <v>57991</v>
      </c>
      <c r="W10156" t="s">
        <v>46428</v>
      </c>
      <c r="X10156" t="s">
        <v>47434</v>
      </c>
    </row>
    <row r="10157" spans="1:24">
      <c r="A10157">
        <f>HYPERLINK("https://www.philgeps.gov.ph/GEPSNONPILOT/Tender/SplashBidNoticeAbstractUI.aspx?menuIndex=3&amp;refID=7151792&amp;Result=3","7151792")</f>
        <v>0</v>
      </c>
      <c r="B10157" t="s">
        <v>2486</v>
      </c>
      <c r="C10157" t="s">
        <v>13449</v>
      </c>
      <c r="D10157" t="s">
        <v>19017</v>
      </c>
      <c r="E10157" t="s">
        <v>27862</v>
      </c>
      <c r="F10157" t="s">
        <v>32831</v>
      </c>
      <c r="G10157" t="s">
        <v>32839</v>
      </c>
      <c r="H10157" t="s">
        <v>32848</v>
      </c>
      <c r="I10157" t="s">
        <v>10805</v>
      </c>
      <c r="J10157" t="s">
        <v>37519</v>
      </c>
      <c r="K10157" t="s">
        <v>42729</v>
      </c>
      <c r="M10157" t="s">
        <v>45689</v>
      </c>
      <c r="N10157" t="s">
        <v>47424</v>
      </c>
      <c r="O10157" t="s">
        <v>47425</v>
      </c>
      <c r="Q10157">
        <v>23</v>
      </c>
      <c r="R10157" t="s">
        <v>47433</v>
      </c>
      <c r="S10157" t="s">
        <v>47666</v>
      </c>
      <c r="T10157" t="s">
        <v>49173</v>
      </c>
      <c r="U10157" t="s">
        <v>58035</v>
      </c>
      <c r="W10157" t="s">
        <v>45689</v>
      </c>
      <c r="X10157" t="s">
        <v>47434</v>
      </c>
    </row>
    <row r="10158" spans="1:24">
      <c r="A10158">
        <f>HYPERLINK("https://www.philgeps.gov.ph/GEPSNONPILOT/Tender/SplashBidNoticeAbstractUI.aspx?menuIndex=3&amp;refID=7151787&amp;Result=3","7151787")</f>
        <v>0</v>
      </c>
      <c r="B10158" t="s">
        <v>3119</v>
      </c>
      <c r="C10158" t="s">
        <v>13450</v>
      </c>
      <c r="D10158" t="s">
        <v>19049</v>
      </c>
      <c r="E10158" t="s">
        <v>27863</v>
      </c>
      <c r="F10158" t="s">
        <v>32831</v>
      </c>
      <c r="G10158" t="s">
        <v>32839</v>
      </c>
      <c r="H10158" t="s">
        <v>32849</v>
      </c>
      <c r="I10158" t="s">
        <v>4177</v>
      </c>
      <c r="J10158" t="s">
        <v>39240</v>
      </c>
      <c r="K10158" t="s">
        <v>42728</v>
      </c>
      <c r="M10158" t="s">
        <v>46443</v>
      </c>
      <c r="N10158" t="s">
        <v>47424</v>
      </c>
      <c r="O10158" t="s">
        <v>47425</v>
      </c>
      <c r="P10158">
        <v>0</v>
      </c>
      <c r="Q10158">
        <v>0</v>
      </c>
      <c r="R10158" t="s">
        <v>47433</v>
      </c>
      <c r="S10158" t="s">
        <v>47633</v>
      </c>
      <c r="T10158" t="s">
        <v>49212</v>
      </c>
      <c r="U10158" t="s">
        <v>58037</v>
      </c>
      <c r="W10158" t="s">
        <v>46443</v>
      </c>
      <c r="X10158" t="s">
        <v>47434</v>
      </c>
    </row>
    <row r="10159" spans="1:24">
      <c r="A10159">
        <f>HYPERLINK("https://www.philgeps.gov.ph/GEPSNONPILOT/Tender/SplashBidNoticeAbstractUI.aspx?menuIndex=3&amp;refID=7151784&amp;Result=3","7151784")</f>
        <v>0</v>
      </c>
      <c r="B10159" t="s">
        <v>3145</v>
      </c>
      <c r="C10159" t="s">
        <v>13451</v>
      </c>
      <c r="D10159" t="s">
        <v>19047</v>
      </c>
      <c r="E10159" t="s">
        <v>19203</v>
      </c>
      <c r="F10159" t="s">
        <v>32831</v>
      </c>
      <c r="G10159" t="s">
        <v>32839</v>
      </c>
      <c r="H10159" t="s">
        <v>32848</v>
      </c>
      <c r="I10159" t="s">
        <v>4438</v>
      </c>
      <c r="J10159" t="s">
        <v>39241</v>
      </c>
      <c r="K10159" t="s">
        <v>42726</v>
      </c>
      <c r="M10159" t="s">
        <v>46444</v>
      </c>
      <c r="N10159" t="s">
        <v>47424</v>
      </c>
      <c r="O10159" t="s">
        <v>47425</v>
      </c>
      <c r="P10159">
        <v>0</v>
      </c>
      <c r="Q10159">
        <v>0</v>
      </c>
      <c r="R10159" t="s">
        <v>47433</v>
      </c>
      <c r="S10159" t="s">
        <v>47633</v>
      </c>
      <c r="T10159" t="s">
        <v>49235</v>
      </c>
      <c r="U10159" t="s">
        <v>58038</v>
      </c>
      <c r="W10159" t="s">
        <v>46444</v>
      </c>
      <c r="X10159" t="s">
        <v>47434</v>
      </c>
    </row>
    <row r="10160" spans="1:24">
      <c r="A10160">
        <f>HYPERLINK("https://www.philgeps.gov.ph/GEPSNONPILOT/Tender/SplashBidNoticeAbstractUI.aspx?menuIndex=3&amp;refID=7151783&amp;Result=3","7151783")</f>
        <v>0</v>
      </c>
      <c r="B10160" t="s">
        <v>2486</v>
      </c>
      <c r="C10160" t="s">
        <v>13452</v>
      </c>
      <c r="D10160" t="s">
        <v>19017</v>
      </c>
      <c r="E10160" t="s">
        <v>27864</v>
      </c>
      <c r="F10160" t="s">
        <v>32831</v>
      </c>
      <c r="G10160" t="s">
        <v>32839</v>
      </c>
      <c r="H10160" t="s">
        <v>32848</v>
      </c>
      <c r="I10160" t="s">
        <v>10805</v>
      </c>
      <c r="J10160" t="s">
        <v>39242</v>
      </c>
      <c r="K10160" t="s">
        <v>42729</v>
      </c>
      <c r="M10160" t="s">
        <v>45689</v>
      </c>
      <c r="N10160" t="s">
        <v>47424</v>
      </c>
      <c r="O10160" t="s">
        <v>47425</v>
      </c>
      <c r="Q10160">
        <v>21</v>
      </c>
      <c r="R10160" t="s">
        <v>47433</v>
      </c>
      <c r="S10160" t="s">
        <v>47667</v>
      </c>
      <c r="T10160" t="s">
        <v>49173</v>
      </c>
      <c r="U10160" t="s">
        <v>58039</v>
      </c>
      <c r="W10160" t="s">
        <v>45689</v>
      </c>
      <c r="X10160" t="s">
        <v>47434</v>
      </c>
    </row>
    <row r="10161" spans="1:24">
      <c r="A10161">
        <f>HYPERLINK("https://www.philgeps.gov.ph/GEPSNONPILOT/Tender/SplashBidNoticeAbstractUI.aspx?menuIndex=3&amp;refID=7151782&amp;Result=3","7151782")</f>
        <v>0</v>
      </c>
      <c r="B10161" t="s">
        <v>3118</v>
      </c>
      <c r="C10161" t="s">
        <v>13453</v>
      </c>
      <c r="D10161" t="s">
        <v>19017</v>
      </c>
      <c r="E10161" t="s">
        <v>27865</v>
      </c>
      <c r="F10161" t="s">
        <v>32831</v>
      </c>
      <c r="G10161" t="s">
        <v>32839</v>
      </c>
      <c r="H10161" t="s">
        <v>32848</v>
      </c>
      <c r="I10161" t="s">
        <v>32869</v>
      </c>
      <c r="J10161" t="s">
        <v>39243</v>
      </c>
      <c r="K10161" t="s">
        <v>42727</v>
      </c>
      <c r="M10161" t="s">
        <v>46437</v>
      </c>
      <c r="N10161" t="s">
        <v>47424</v>
      </c>
      <c r="O10161" t="s">
        <v>47425</v>
      </c>
      <c r="P10161">
        <v>0</v>
      </c>
      <c r="Q10161">
        <v>11</v>
      </c>
      <c r="R10161" t="s">
        <v>47433</v>
      </c>
      <c r="S10161" t="s">
        <v>47633</v>
      </c>
      <c r="T10161" t="s">
        <v>49221</v>
      </c>
      <c r="U10161" t="s">
        <v>58040</v>
      </c>
      <c r="W10161" t="s">
        <v>46437</v>
      </c>
      <c r="X10161" t="s">
        <v>47434</v>
      </c>
    </row>
    <row r="10162" spans="1:24">
      <c r="A10162">
        <f>HYPERLINK("https://www.philgeps.gov.ph/GEPSNONPILOT/Tender/SplashBidNoticeAbstractUI.aspx?menuIndex=3&amp;refID=7151778&amp;Result=3","7151778")</f>
        <v>0</v>
      </c>
      <c r="B10162" t="s">
        <v>1758</v>
      </c>
      <c r="C10162" t="s">
        <v>13454</v>
      </c>
      <c r="D10162" t="s">
        <v>19017</v>
      </c>
      <c r="E10162" t="s">
        <v>22979</v>
      </c>
      <c r="F10162" t="s">
        <v>32833</v>
      </c>
      <c r="G10162" t="s">
        <v>32839</v>
      </c>
      <c r="H10162" t="s">
        <v>32848</v>
      </c>
      <c r="I10162" t="s">
        <v>4438</v>
      </c>
      <c r="J10162" t="s">
        <v>39244</v>
      </c>
      <c r="K10162" t="s">
        <v>42730</v>
      </c>
      <c r="L10162" t="s">
        <v>1758</v>
      </c>
      <c r="M10162" t="s">
        <v>44882</v>
      </c>
      <c r="N10162" t="s">
        <v>47424</v>
      </c>
      <c r="O10162" t="s">
        <v>47425</v>
      </c>
      <c r="P10162">
        <v>0</v>
      </c>
      <c r="Q10162">
        <v>0</v>
      </c>
      <c r="R10162" t="s">
        <v>47433</v>
      </c>
      <c r="S10162" t="s">
        <v>47633</v>
      </c>
      <c r="T10162" t="s">
        <v>49551</v>
      </c>
      <c r="U10162" t="s">
        <v>58041</v>
      </c>
      <c r="W10162" t="s">
        <v>44882</v>
      </c>
      <c r="X10162" t="s">
        <v>47434</v>
      </c>
    </row>
    <row r="10163" spans="1:24">
      <c r="A10163">
        <f>HYPERLINK("https://www.philgeps.gov.ph/GEPSNONPILOT/Tender/SplashBidNoticeAbstractUI.aspx?menuIndex=3&amp;refID=7151777&amp;Result=3","7151777")</f>
        <v>0</v>
      </c>
      <c r="B10163" t="s">
        <v>834</v>
      </c>
      <c r="C10163" t="s">
        <v>13455</v>
      </c>
      <c r="D10163" t="s">
        <v>19046</v>
      </c>
      <c r="E10163" t="s">
        <v>27866</v>
      </c>
      <c r="F10163" t="s">
        <v>32831</v>
      </c>
      <c r="G10163" t="s">
        <v>32839</v>
      </c>
      <c r="H10163" t="s">
        <v>32849</v>
      </c>
      <c r="I10163" t="s">
        <v>4177</v>
      </c>
      <c r="J10163" t="s">
        <v>39245</v>
      </c>
      <c r="K10163" t="s">
        <v>42732</v>
      </c>
      <c r="M10163" t="s">
        <v>46445</v>
      </c>
      <c r="N10163" t="s">
        <v>47424</v>
      </c>
      <c r="O10163" t="s">
        <v>47425</v>
      </c>
      <c r="P10163">
        <v>0</v>
      </c>
      <c r="Q10163">
        <v>0</v>
      </c>
      <c r="R10163" t="s">
        <v>47433</v>
      </c>
      <c r="S10163" t="s">
        <v>47633</v>
      </c>
      <c r="T10163" t="s">
        <v>49239</v>
      </c>
      <c r="U10163" t="s">
        <v>58042</v>
      </c>
      <c r="W10163" t="s">
        <v>46445</v>
      </c>
      <c r="X10163" t="s">
        <v>47434</v>
      </c>
    </row>
    <row r="10164" spans="1:24">
      <c r="A10164">
        <f>HYPERLINK("https://www.philgeps.gov.ph/GEPSNONPILOT/Tender/SplashBidNoticeAbstractUI.aspx?menuIndex=3&amp;refID=7151785&amp;Result=3","7151785")</f>
        <v>0</v>
      </c>
      <c r="B10164" t="s">
        <v>834</v>
      </c>
      <c r="C10164" t="s">
        <v>13456</v>
      </c>
      <c r="D10164" t="s">
        <v>19046</v>
      </c>
      <c r="E10164" t="s">
        <v>27867</v>
      </c>
      <c r="F10164" t="s">
        <v>32831</v>
      </c>
      <c r="G10164" t="s">
        <v>32839</v>
      </c>
      <c r="H10164" t="s">
        <v>32849</v>
      </c>
      <c r="I10164" t="s">
        <v>4177</v>
      </c>
      <c r="J10164" t="s">
        <v>39246</v>
      </c>
      <c r="K10164" t="s">
        <v>42732</v>
      </c>
      <c r="M10164" t="s">
        <v>46445</v>
      </c>
      <c r="N10164" t="s">
        <v>47424</v>
      </c>
      <c r="O10164" t="s">
        <v>47425</v>
      </c>
      <c r="P10164">
        <v>0</v>
      </c>
      <c r="Q10164">
        <v>1</v>
      </c>
      <c r="R10164" t="s">
        <v>47433</v>
      </c>
      <c r="S10164" t="s">
        <v>47633</v>
      </c>
      <c r="T10164" t="s">
        <v>49239</v>
      </c>
      <c r="U10164" t="s">
        <v>58043</v>
      </c>
      <c r="W10164" t="s">
        <v>46445</v>
      </c>
      <c r="X10164" t="s">
        <v>47434</v>
      </c>
    </row>
    <row r="10165" spans="1:24">
      <c r="A10165">
        <f>HYPERLINK("https://www.philgeps.gov.ph/GEPSNONPILOT/Tender/SplashBidNoticeAbstractUI.aspx?menuIndex=3&amp;refID=7151769&amp;Result=3","7151769")</f>
        <v>0</v>
      </c>
      <c r="B10165" t="s">
        <v>3146</v>
      </c>
      <c r="C10165" t="s">
        <v>13457</v>
      </c>
      <c r="D10165" t="s">
        <v>19044</v>
      </c>
      <c r="E10165" t="s">
        <v>27088</v>
      </c>
      <c r="F10165" t="s">
        <v>32831</v>
      </c>
      <c r="G10165" t="s">
        <v>32839</v>
      </c>
      <c r="H10165" t="s">
        <v>32849</v>
      </c>
      <c r="I10165" t="s">
        <v>4177</v>
      </c>
      <c r="J10165" t="s">
        <v>39247</v>
      </c>
      <c r="K10165" t="s">
        <v>42729</v>
      </c>
      <c r="M10165" t="s">
        <v>46446</v>
      </c>
      <c r="N10165" t="s">
        <v>47424</v>
      </c>
      <c r="O10165" t="s">
        <v>47425</v>
      </c>
      <c r="P10165">
        <v>0</v>
      </c>
      <c r="Q10165">
        <v>0</v>
      </c>
      <c r="R10165" t="s">
        <v>47433</v>
      </c>
      <c r="S10165" t="s">
        <v>47633</v>
      </c>
      <c r="T10165" t="s">
        <v>49255</v>
      </c>
      <c r="U10165" t="s">
        <v>58044</v>
      </c>
      <c r="W10165" t="s">
        <v>46446</v>
      </c>
      <c r="X10165" t="s">
        <v>47434</v>
      </c>
    </row>
    <row r="10166" spans="1:24">
      <c r="A10166">
        <f>HYPERLINK("https://www.philgeps.gov.ph/GEPSNONPILOT/Tender/SplashBidNoticeAbstractUI.aspx?menuIndex=3&amp;refID=7151793&amp;Result=3","7151793")</f>
        <v>0</v>
      </c>
      <c r="B10166" t="s">
        <v>1758</v>
      </c>
      <c r="C10166" t="s">
        <v>13458</v>
      </c>
      <c r="D10166" t="s">
        <v>19017</v>
      </c>
      <c r="E10166" t="s">
        <v>22979</v>
      </c>
      <c r="F10166" t="s">
        <v>32833</v>
      </c>
      <c r="G10166" t="s">
        <v>32839</v>
      </c>
      <c r="H10166" t="s">
        <v>32848</v>
      </c>
      <c r="I10166" t="s">
        <v>32866</v>
      </c>
      <c r="J10166" t="s">
        <v>35531</v>
      </c>
      <c r="K10166" t="s">
        <v>42730</v>
      </c>
      <c r="L10166" t="s">
        <v>1758</v>
      </c>
      <c r="M10166" t="s">
        <v>44882</v>
      </c>
      <c r="N10166" t="s">
        <v>47424</v>
      </c>
      <c r="O10166" t="s">
        <v>47425</v>
      </c>
      <c r="P10166">
        <v>0</v>
      </c>
      <c r="Q10166">
        <v>0</v>
      </c>
      <c r="R10166" t="s">
        <v>47433</v>
      </c>
      <c r="S10166" t="s">
        <v>47633</v>
      </c>
      <c r="T10166" t="s">
        <v>49170</v>
      </c>
      <c r="U10166" t="s">
        <v>58045</v>
      </c>
      <c r="W10166" t="s">
        <v>44882</v>
      </c>
      <c r="X10166" t="s">
        <v>47434</v>
      </c>
    </row>
    <row r="10167" spans="1:24">
      <c r="A10167">
        <f>HYPERLINK("https://www.philgeps.gov.ph/GEPSNONPILOT/Tender/SplashBidNoticeAbstractUI.aspx?menuIndex=3&amp;refID=7151767&amp;Result=3","7151767")</f>
        <v>0</v>
      </c>
      <c r="B10167" t="s">
        <v>3075</v>
      </c>
      <c r="C10167" t="s">
        <v>13459</v>
      </c>
      <c r="D10167" t="s">
        <v>19052</v>
      </c>
      <c r="E10167" t="s">
        <v>24188</v>
      </c>
      <c r="F10167" t="s">
        <v>32831</v>
      </c>
      <c r="G10167" t="s">
        <v>32839</v>
      </c>
      <c r="H10167" t="s">
        <v>32848</v>
      </c>
      <c r="I10167" t="s">
        <v>9577</v>
      </c>
      <c r="J10167" t="s">
        <v>39248</v>
      </c>
      <c r="K10167" t="s">
        <v>42750</v>
      </c>
      <c r="M10167" t="s">
        <v>46354</v>
      </c>
      <c r="N10167" t="s">
        <v>47424</v>
      </c>
      <c r="O10167" t="s">
        <v>47425</v>
      </c>
      <c r="P10167">
        <v>0</v>
      </c>
      <c r="Q10167">
        <v>0</v>
      </c>
      <c r="R10167" t="s">
        <v>47433</v>
      </c>
      <c r="S10167" t="s">
        <v>47633</v>
      </c>
      <c r="T10167" t="s">
        <v>49111</v>
      </c>
      <c r="U10167" t="s">
        <v>57738</v>
      </c>
      <c r="W10167" t="s">
        <v>46354</v>
      </c>
      <c r="X10167" t="s">
        <v>47434</v>
      </c>
    </row>
    <row r="10168" spans="1:24">
      <c r="A10168">
        <f>HYPERLINK("https://www.philgeps.gov.ph/GEPSNONPILOT/Tender/SplashBidNoticeAbstractUI.aspx?menuIndex=3&amp;refID=7151776&amp;Result=3","7151776")</f>
        <v>0</v>
      </c>
      <c r="B10168" t="s">
        <v>1020</v>
      </c>
      <c r="C10168" t="s">
        <v>13460</v>
      </c>
      <c r="D10168" t="s">
        <v>19045</v>
      </c>
      <c r="E10168" t="s">
        <v>25573</v>
      </c>
      <c r="F10168" t="s">
        <v>32831</v>
      </c>
      <c r="G10168" t="s">
        <v>32838</v>
      </c>
      <c r="H10168" t="s">
        <v>32848</v>
      </c>
      <c r="I10168" t="s">
        <v>7416</v>
      </c>
      <c r="J10168" t="s">
        <v>39249</v>
      </c>
      <c r="K10168" t="s">
        <v>42726</v>
      </c>
      <c r="M10168" t="s">
        <v>44070</v>
      </c>
      <c r="N10168" t="s">
        <v>47424</v>
      </c>
      <c r="O10168" t="s">
        <v>47425</v>
      </c>
      <c r="P10168">
        <v>0</v>
      </c>
      <c r="Q10168">
        <v>0</v>
      </c>
      <c r="R10168" t="s">
        <v>47433</v>
      </c>
      <c r="S10168" t="s">
        <v>47633</v>
      </c>
      <c r="T10168" t="s">
        <v>49114</v>
      </c>
      <c r="U10168" t="s">
        <v>51626</v>
      </c>
      <c r="W10168" t="s">
        <v>44070</v>
      </c>
      <c r="X10168" t="s">
        <v>47434</v>
      </c>
    </row>
    <row r="10169" spans="1:24">
      <c r="A10169">
        <f>HYPERLINK("https://www.philgeps.gov.ph/GEPSNONPILOT/Tender/SplashBidNoticeAbstractUI.aspx?menuIndex=3&amp;refID=7151775&amp;Result=3","7151775")</f>
        <v>0</v>
      </c>
      <c r="B10169" t="s">
        <v>3118</v>
      </c>
      <c r="C10169" t="s">
        <v>13461</v>
      </c>
      <c r="D10169" t="s">
        <v>19017</v>
      </c>
      <c r="E10169" t="s">
        <v>27868</v>
      </c>
      <c r="F10169" t="s">
        <v>32831</v>
      </c>
      <c r="G10169" t="s">
        <v>32839</v>
      </c>
      <c r="H10169" t="s">
        <v>32848</v>
      </c>
      <c r="I10169" t="s">
        <v>9577</v>
      </c>
      <c r="J10169" t="s">
        <v>39250</v>
      </c>
      <c r="K10169" t="s">
        <v>42727</v>
      </c>
      <c r="M10169" t="s">
        <v>46437</v>
      </c>
      <c r="N10169" t="s">
        <v>47424</v>
      </c>
      <c r="O10169" t="s">
        <v>47425</v>
      </c>
      <c r="P10169">
        <v>0</v>
      </c>
      <c r="Q10169">
        <v>2</v>
      </c>
      <c r="R10169" t="s">
        <v>47433</v>
      </c>
      <c r="S10169" t="s">
        <v>47633</v>
      </c>
      <c r="T10169" t="s">
        <v>49221</v>
      </c>
      <c r="U10169" t="s">
        <v>51307</v>
      </c>
      <c r="W10169" t="s">
        <v>46437</v>
      </c>
      <c r="X10169" t="s">
        <v>47434</v>
      </c>
    </row>
    <row r="10170" spans="1:24">
      <c r="A10170">
        <f>HYPERLINK("https://www.philgeps.gov.ph/GEPSNONPILOT/Tender/SplashBidNoticeAbstractUI.aspx?menuIndex=3&amp;refID=7151763&amp;Result=3","7151763")</f>
        <v>0</v>
      </c>
      <c r="B10170" t="s">
        <v>3142</v>
      </c>
      <c r="C10170" t="s">
        <v>13462</v>
      </c>
      <c r="D10170" t="s">
        <v>19056</v>
      </c>
      <c r="E10170" t="s">
        <v>27869</v>
      </c>
      <c r="F10170" t="s">
        <v>32831</v>
      </c>
      <c r="G10170" t="s">
        <v>32839</v>
      </c>
      <c r="H10170" t="s">
        <v>32848</v>
      </c>
      <c r="I10170" t="s">
        <v>32857</v>
      </c>
      <c r="J10170" t="s">
        <v>39251</v>
      </c>
      <c r="K10170" t="s">
        <v>42732</v>
      </c>
      <c r="M10170" t="s">
        <v>46439</v>
      </c>
      <c r="N10170" t="s">
        <v>47424</v>
      </c>
      <c r="O10170" t="s">
        <v>47425</v>
      </c>
      <c r="P10170">
        <v>0</v>
      </c>
      <c r="Q10170">
        <v>16</v>
      </c>
      <c r="R10170" t="s">
        <v>47433</v>
      </c>
      <c r="S10170" t="s">
        <v>47633</v>
      </c>
      <c r="T10170" t="s">
        <v>49321</v>
      </c>
      <c r="U10170" t="s">
        <v>58046</v>
      </c>
      <c r="W10170" t="s">
        <v>46439</v>
      </c>
      <c r="X10170" t="s">
        <v>47434</v>
      </c>
    </row>
    <row r="10171" spans="1:24">
      <c r="A10171">
        <f>HYPERLINK("https://www.philgeps.gov.ph/GEPSNONPILOT/Tender/SplashBidNoticeAbstractUI.aspx?menuIndex=3&amp;refID=7151705&amp;Result=3","7151705")</f>
        <v>0</v>
      </c>
      <c r="B10171" t="s">
        <v>3133</v>
      </c>
      <c r="C10171" t="s">
        <v>13463</v>
      </c>
      <c r="D10171" t="s">
        <v>19087</v>
      </c>
      <c r="E10171" t="s">
        <v>25885</v>
      </c>
      <c r="F10171" t="s">
        <v>32831</v>
      </c>
      <c r="G10171" t="s">
        <v>32839</v>
      </c>
      <c r="H10171" t="s">
        <v>32848</v>
      </c>
      <c r="I10171" t="s">
        <v>7751</v>
      </c>
      <c r="J10171" t="s">
        <v>39252</v>
      </c>
      <c r="K10171" t="s">
        <v>42730</v>
      </c>
      <c r="M10171" t="s">
        <v>46428</v>
      </c>
      <c r="N10171" t="s">
        <v>47424</v>
      </c>
      <c r="O10171" t="s">
        <v>47425</v>
      </c>
      <c r="P10171">
        <v>0</v>
      </c>
      <c r="Q10171">
        <v>1</v>
      </c>
      <c r="R10171" t="s">
        <v>47433</v>
      </c>
      <c r="S10171" t="s">
        <v>47633</v>
      </c>
      <c r="T10171" t="s">
        <v>49522</v>
      </c>
      <c r="U10171" t="s">
        <v>57991</v>
      </c>
      <c r="W10171" t="s">
        <v>46428</v>
      </c>
      <c r="X10171" t="s">
        <v>47434</v>
      </c>
    </row>
    <row r="10172" spans="1:24">
      <c r="A10172">
        <f>HYPERLINK("https://www.philgeps.gov.ph/GEPSNONPILOT/Tender/SplashBidNoticeAbstractUI.aspx?menuIndex=3&amp;refID=7150928&amp;Result=3","7150928")</f>
        <v>0</v>
      </c>
      <c r="B10172" t="s">
        <v>2429</v>
      </c>
      <c r="C10172" t="s">
        <v>13191</v>
      </c>
      <c r="D10172" t="s">
        <v>19064</v>
      </c>
      <c r="E10172" t="s">
        <v>27870</v>
      </c>
      <c r="F10172" t="s">
        <v>32831</v>
      </c>
      <c r="G10172" t="s">
        <v>32839</v>
      </c>
      <c r="H10172" t="s">
        <v>32848</v>
      </c>
      <c r="I10172" t="s">
        <v>4340</v>
      </c>
      <c r="J10172" t="s">
        <v>33159</v>
      </c>
      <c r="K10172" t="s">
        <v>42731</v>
      </c>
      <c r="M10172" t="s">
        <v>45626</v>
      </c>
      <c r="N10172" t="s">
        <v>47424</v>
      </c>
      <c r="O10172" t="s">
        <v>47425</v>
      </c>
      <c r="P10172">
        <v>0</v>
      </c>
      <c r="Q10172">
        <v>0</v>
      </c>
      <c r="R10172" t="s">
        <v>47433</v>
      </c>
      <c r="S10172" t="s">
        <v>47633</v>
      </c>
      <c r="T10172" t="s">
        <v>49055</v>
      </c>
      <c r="U10172" t="s">
        <v>56790</v>
      </c>
      <c r="W10172" t="s">
        <v>45626</v>
      </c>
      <c r="X10172" t="s">
        <v>47434</v>
      </c>
    </row>
    <row r="10173" spans="1:24">
      <c r="A10173">
        <f>HYPERLINK("https://www.philgeps.gov.ph/GEPSNONPILOT/Tender/SplashBidNoticeAbstractUI.aspx?menuIndex=3&amp;refID=7151807&amp;Result=3","7151807")</f>
        <v>0</v>
      </c>
      <c r="B10173" t="s">
        <v>1758</v>
      </c>
      <c r="C10173" t="s">
        <v>13464</v>
      </c>
      <c r="D10173" t="s">
        <v>19017</v>
      </c>
      <c r="E10173" t="s">
        <v>22979</v>
      </c>
      <c r="F10173" t="s">
        <v>32833</v>
      </c>
      <c r="G10173" t="s">
        <v>32839</v>
      </c>
      <c r="H10173" t="s">
        <v>32848</v>
      </c>
      <c r="I10173" t="s">
        <v>4438</v>
      </c>
      <c r="J10173" t="s">
        <v>36840</v>
      </c>
      <c r="K10173" t="s">
        <v>42730</v>
      </c>
      <c r="L10173" t="s">
        <v>1758</v>
      </c>
      <c r="M10173" t="s">
        <v>44882</v>
      </c>
      <c r="N10173" t="s">
        <v>47424</v>
      </c>
      <c r="O10173" t="s">
        <v>47425</v>
      </c>
      <c r="P10173">
        <v>0</v>
      </c>
      <c r="Q10173">
        <v>3</v>
      </c>
      <c r="R10173" t="s">
        <v>47433</v>
      </c>
      <c r="S10173" t="s">
        <v>47633</v>
      </c>
      <c r="T10173" t="s">
        <v>49552</v>
      </c>
      <c r="U10173" t="s">
        <v>58047</v>
      </c>
      <c r="W10173" t="s">
        <v>44882</v>
      </c>
      <c r="X10173" t="s">
        <v>47434</v>
      </c>
    </row>
    <row r="10174" spans="1:24">
      <c r="A10174">
        <f>HYPERLINK("https://www.philgeps.gov.ph/GEPSNONPILOT/Tender/SplashBidNoticeAbstractUI.aspx?menuIndex=3&amp;refID=7151720&amp;Result=3","7151720")</f>
        <v>0</v>
      </c>
      <c r="B10174" t="s">
        <v>2383</v>
      </c>
      <c r="C10174" t="s">
        <v>13465</v>
      </c>
      <c r="D10174" t="s">
        <v>19055</v>
      </c>
      <c r="E10174" t="s">
        <v>27871</v>
      </c>
      <c r="F10174" t="s">
        <v>32831</v>
      </c>
      <c r="G10174" t="s">
        <v>32839</v>
      </c>
      <c r="H10174" t="s">
        <v>32848</v>
      </c>
      <c r="I10174" t="s">
        <v>32860</v>
      </c>
      <c r="J10174" t="s">
        <v>39253</v>
      </c>
      <c r="K10174" t="s">
        <v>42730</v>
      </c>
      <c r="M10174" t="s">
        <v>45572</v>
      </c>
      <c r="N10174" t="s">
        <v>47424</v>
      </c>
      <c r="O10174" t="s">
        <v>47425</v>
      </c>
      <c r="P10174">
        <v>0</v>
      </c>
      <c r="Q10174">
        <v>2</v>
      </c>
      <c r="R10174" t="s">
        <v>47433</v>
      </c>
      <c r="S10174" t="s">
        <v>47633</v>
      </c>
      <c r="T10174" t="s">
        <v>49173</v>
      </c>
      <c r="U10174" t="s">
        <v>58048</v>
      </c>
      <c r="V10174" t="s">
        <v>63742</v>
      </c>
      <c r="W10174" t="s">
        <v>45572</v>
      </c>
      <c r="X10174" t="s">
        <v>47434</v>
      </c>
    </row>
    <row r="10175" spans="1:24">
      <c r="A10175">
        <f>HYPERLINK("https://www.philgeps.gov.ph/GEPSNONPILOT/Tender/SplashBidNoticeAbstractUI.aspx?menuIndex=3&amp;refID=7150868&amp;Result=3","7150868")</f>
        <v>0</v>
      </c>
      <c r="B10175" t="s">
        <v>3147</v>
      </c>
      <c r="C10175" t="s">
        <v>13466</v>
      </c>
      <c r="D10175" t="s">
        <v>19026</v>
      </c>
      <c r="E10175" t="s">
        <v>27872</v>
      </c>
      <c r="F10175" t="s">
        <v>32831</v>
      </c>
      <c r="G10175" t="s">
        <v>32839</v>
      </c>
      <c r="H10175" t="s">
        <v>32849</v>
      </c>
      <c r="I10175" t="s">
        <v>4177</v>
      </c>
      <c r="J10175" t="s">
        <v>39254</v>
      </c>
      <c r="K10175" t="s">
        <v>42925</v>
      </c>
      <c r="M10175" t="s">
        <v>46447</v>
      </c>
      <c r="N10175" t="s">
        <v>47424</v>
      </c>
      <c r="O10175" t="s">
        <v>47425</v>
      </c>
      <c r="P10175">
        <v>0</v>
      </c>
      <c r="Q10175">
        <v>15</v>
      </c>
      <c r="R10175" t="s">
        <v>47433</v>
      </c>
      <c r="S10175" t="s">
        <v>47633</v>
      </c>
      <c r="T10175" t="s">
        <v>49192</v>
      </c>
      <c r="U10175" t="s">
        <v>58049</v>
      </c>
      <c r="V10175" t="s">
        <v>63017</v>
      </c>
      <c r="W10175" t="s">
        <v>46447</v>
      </c>
      <c r="X10175" t="s">
        <v>47434</v>
      </c>
    </row>
    <row r="10176" spans="1:24">
      <c r="A10176">
        <f>HYPERLINK("https://www.philgeps.gov.ph/GEPSNONPILOT/Tender/SplashBidNoticeAbstractUI.aspx?menuIndex=3&amp;refID=7150867&amp;Result=3","7150867")</f>
        <v>0</v>
      </c>
      <c r="B10176" t="s">
        <v>2269</v>
      </c>
      <c r="C10176" t="s">
        <v>13467</v>
      </c>
      <c r="D10176" t="s">
        <v>19018</v>
      </c>
      <c r="E10176" t="s">
        <v>27873</v>
      </c>
      <c r="F10176" t="s">
        <v>32831</v>
      </c>
      <c r="G10176" t="s">
        <v>32838</v>
      </c>
      <c r="H10176" t="s">
        <v>32848</v>
      </c>
      <c r="I10176" t="s">
        <v>32870</v>
      </c>
      <c r="J10176" t="s">
        <v>38948</v>
      </c>
      <c r="K10176" t="s">
        <v>42727</v>
      </c>
      <c r="M10176" t="s">
        <v>45453</v>
      </c>
      <c r="N10176" t="s">
        <v>47424</v>
      </c>
      <c r="O10176" t="s">
        <v>47425</v>
      </c>
      <c r="P10176">
        <v>0</v>
      </c>
      <c r="Q10176">
        <v>0</v>
      </c>
      <c r="R10176" t="s">
        <v>47433</v>
      </c>
      <c r="S10176" t="s">
        <v>47633</v>
      </c>
      <c r="T10176" t="s">
        <v>49328</v>
      </c>
      <c r="U10176" t="s">
        <v>55595</v>
      </c>
      <c r="W10176" t="s">
        <v>45453</v>
      </c>
      <c r="X10176" t="s">
        <v>47434</v>
      </c>
    </row>
    <row r="10177" spans="1:24">
      <c r="A10177">
        <f>HYPERLINK("https://www.philgeps.gov.ph/GEPSNONPILOT/Tender/SplashBidNoticeAbstractUI.aspx?menuIndex=3&amp;refID=7151710&amp;Result=3","7151710")</f>
        <v>0</v>
      </c>
      <c r="B10177" t="s">
        <v>2180</v>
      </c>
      <c r="C10177" t="s">
        <v>13468</v>
      </c>
      <c r="D10177" t="s">
        <v>19037</v>
      </c>
      <c r="E10177" t="s">
        <v>27874</v>
      </c>
      <c r="F10177" t="s">
        <v>32831</v>
      </c>
      <c r="G10177" t="s">
        <v>32839</v>
      </c>
      <c r="H10177" t="s">
        <v>32848</v>
      </c>
      <c r="I10177" t="s">
        <v>4487</v>
      </c>
      <c r="J10177" t="s">
        <v>34969</v>
      </c>
      <c r="K10177" t="s">
        <v>42731</v>
      </c>
      <c r="M10177" t="s">
        <v>45360</v>
      </c>
      <c r="N10177" t="s">
        <v>47424</v>
      </c>
      <c r="O10177" t="s">
        <v>47425</v>
      </c>
      <c r="P10177">
        <v>0</v>
      </c>
      <c r="Q10177">
        <v>6</v>
      </c>
      <c r="R10177" t="s">
        <v>47433</v>
      </c>
      <c r="S10177" t="s">
        <v>47633</v>
      </c>
      <c r="T10177" t="s">
        <v>49239</v>
      </c>
      <c r="U10177" t="s">
        <v>58050</v>
      </c>
      <c r="W10177" t="s">
        <v>45360</v>
      </c>
      <c r="X10177" t="s">
        <v>47434</v>
      </c>
    </row>
    <row r="10178" spans="1:24">
      <c r="A10178">
        <f>HYPERLINK("https://www.philgeps.gov.ph/GEPSNONPILOT/Tender/SplashBidNoticeAbstractUI.aspx?menuIndex=3&amp;refID=7150808&amp;Result=3","7150808")</f>
        <v>0</v>
      </c>
      <c r="B10178" t="s">
        <v>1726</v>
      </c>
      <c r="C10178" t="s">
        <v>13469</v>
      </c>
      <c r="D10178" t="s">
        <v>19042</v>
      </c>
      <c r="E10178" t="s">
        <v>19476</v>
      </c>
      <c r="F10178" t="s">
        <v>32831</v>
      </c>
      <c r="G10178" t="s">
        <v>32839</v>
      </c>
      <c r="H10178" t="s">
        <v>32848</v>
      </c>
      <c r="I10178" t="s">
        <v>7416</v>
      </c>
      <c r="J10178" t="s">
        <v>39255</v>
      </c>
      <c r="K10178" t="s">
        <v>42726</v>
      </c>
      <c r="M10178" t="s">
        <v>44849</v>
      </c>
      <c r="N10178" t="s">
        <v>47424</v>
      </c>
      <c r="O10178" t="s">
        <v>47425</v>
      </c>
      <c r="P10178">
        <v>0</v>
      </c>
      <c r="Q10178">
        <v>0</v>
      </c>
      <c r="R10178" t="s">
        <v>47433</v>
      </c>
      <c r="S10178" t="s">
        <v>47633</v>
      </c>
      <c r="T10178" t="s">
        <v>49192</v>
      </c>
      <c r="U10178" t="s">
        <v>58051</v>
      </c>
      <c r="V10178" t="s">
        <v>63725</v>
      </c>
      <c r="W10178" t="s">
        <v>44849</v>
      </c>
      <c r="X10178" t="s">
        <v>47434</v>
      </c>
    </row>
    <row r="10179" spans="1:24">
      <c r="A10179">
        <f>HYPERLINK("https://www.philgeps.gov.ph/GEPSNONPILOT/Tender/SplashBidNoticeAbstractUI.aspx?menuIndex=3&amp;refID=7150805&amp;Result=3","7150805")</f>
        <v>0</v>
      </c>
      <c r="B10179" t="s">
        <v>726</v>
      </c>
      <c r="C10179" t="s">
        <v>13470</v>
      </c>
      <c r="E10179" t="s">
        <v>27875</v>
      </c>
      <c r="F10179" t="s">
        <v>32831</v>
      </c>
      <c r="G10179" t="s">
        <v>32839</v>
      </c>
      <c r="H10179" t="s">
        <v>32849</v>
      </c>
      <c r="I10179" t="s">
        <v>4177</v>
      </c>
      <c r="J10179" t="s">
        <v>39256</v>
      </c>
      <c r="K10179" t="s">
        <v>42732</v>
      </c>
      <c r="M10179" t="s">
        <v>46361</v>
      </c>
      <c r="N10179" t="s">
        <v>47424</v>
      </c>
      <c r="O10179" t="s">
        <v>47425</v>
      </c>
      <c r="P10179">
        <v>0</v>
      </c>
      <c r="Q10179">
        <v>2</v>
      </c>
      <c r="R10179" t="s">
        <v>47433</v>
      </c>
      <c r="S10179" t="s">
        <v>47633</v>
      </c>
      <c r="T10179" t="s">
        <v>49322</v>
      </c>
      <c r="U10179" t="s">
        <v>58052</v>
      </c>
      <c r="W10179" t="s">
        <v>46361</v>
      </c>
      <c r="X10179" t="s">
        <v>47434</v>
      </c>
    </row>
    <row r="10180" spans="1:24">
      <c r="A10180">
        <f>HYPERLINK("https://www.philgeps.gov.ph/GEPSNONPILOT/Tender/SplashBidNoticeAbstractUI.aspx?menuIndex=3&amp;refID=7150869&amp;Result=3","7150869")</f>
        <v>0</v>
      </c>
      <c r="B10180" t="s">
        <v>3148</v>
      </c>
      <c r="C10180" t="s">
        <v>13471</v>
      </c>
      <c r="D10180" t="s">
        <v>19071</v>
      </c>
      <c r="E10180" t="s">
        <v>27876</v>
      </c>
      <c r="F10180" t="s">
        <v>32831</v>
      </c>
      <c r="G10180" t="s">
        <v>32839</v>
      </c>
      <c r="H10180" t="s">
        <v>32848</v>
      </c>
      <c r="I10180" t="s">
        <v>32869</v>
      </c>
      <c r="J10180" t="s">
        <v>32978</v>
      </c>
      <c r="K10180" t="s">
        <v>42731</v>
      </c>
      <c r="M10180" t="s">
        <v>46448</v>
      </c>
      <c r="N10180" t="s">
        <v>47424</v>
      </c>
      <c r="O10180" t="s">
        <v>47425</v>
      </c>
      <c r="P10180">
        <v>0</v>
      </c>
      <c r="Q10180">
        <v>2</v>
      </c>
      <c r="R10180" t="s">
        <v>47433</v>
      </c>
      <c r="S10180" t="s">
        <v>47633</v>
      </c>
      <c r="T10180" t="s">
        <v>49237</v>
      </c>
      <c r="U10180" t="s">
        <v>58053</v>
      </c>
      <c r="V10180" t="s">
        <v>63743</v>
      </c>
      <c r="W10180" t="s">
        <v>46448</v>
      </c>
      <c r="X10180" t="s">
        <v>47434</v>
      </c>
    </row>
    <row r="10181" spans="1:24">
      <c r="A10181">
        <f>HYPERLINK("https://www.philgeps.gov.ph/GEPSNONPILOT/Tender/SplashBidNoticeAbstractUI.aspx?menuIndex=3&amp;refID=7151805&amp;Result=3","7151805")</f>
        <v>0</v>
      </c>
      <c r="B10181" t="s">
        <v>3146</v>
      </c>
      <c r="C10181" t="s">
        <v>13472</v>
      </c>
      <c r="D10181" t="s">
        <v>19044</v>
      </c>
      <c r="E10181" t="s">
        <v>27088</v>
      </c>
      <c r="F10181" t="s">
        <v>32831</v>
      </c>
      <c r="G10181" t="s">
        <v>32839</v>
      </c>
      <c r="H10181" t="s">
        <v>32849</v>
      </c>
      <c r="I10181" t="s">
        <v>4177</v>
      </c>
      <c r="J10181" t="s">
        <v>39257</v>
      </c>
      <c r="K10181" t="s">
        <v>42729</v>
      </c>
      <c r="M10181" t="s">
        <v>46446</v>
      </c>
      <c r="N10181" t="s">
        <v>47424</v>
      </c>
      <c r="O10181" t="s">
        <v>47425</v>
      </c>
      <c r="P10181">
        <v>0</v>
      </c>
      <c r="Q10181">
        <v>0</v>
      </c>
      <c r="R10181" t="s">
        <v>47433</v>
      </c>
      <c r="S10181" t="s">
        <v>47633</v>
      </c>
      <c r="T10181" t="s">
        <v>49255</v>
      </c>
      <c r="U10181" t="s">
        <v>58054</v>
      </c>
      <c r="W10181" t="s">
        <v>46446</v>
      </c>
      <c r="X10181" t="s">
        <v>47434</v>
      </c>
    </row>
    <row r="10182" spans="1:24">
      <c r="A10182">
        <f>HYPERLINK("https://www.philgeps.gov.ph/GEPSNONPILOT/Tender/SplashBidNoticeAbstractUI.aspx?menuIndex=3&amp;refID=7151742&amp;Result=3","7151742")</f>
        <v>0</v>
      </c>
      <c r="B10182" t="s">
        <v>3142</v>
      </c>
      <c r="C10182" t="s">
        <v>13473</v>
      </c>
      <c r="D10182" t="s">
        <v>19056</v>
      </c>
      <c r="E10182" t="s">
        <v>27877</v>
      </c>
      <c r="F10182" t="s">
        <v>32831</v>
      </c>
      <c r="G10182" t="s">
        <v>32839</v>
      </c>
      <c r="H10182" t="s">
        <v>32848</v>
      </c>
      <c r="I10182" t="s">
        <v>7751</v>
      </c>
      <c r="J10182" t="s">
        <v>33032</v>
      </c>
      <c r="K10182" t="s">
        <v>42732</v>
      </c>
      <c r="M10182" t="s">
        <v>46439</v>
      </c>
      <c r="N10182" t="s">
        <v>47424</v>
      </c>
      <c r="O10182" t="s">
        <v>47425</v>
      </c>
      <c r="P10182">
        <v>0</v>
      </c>
      <c r="Q10182">
        <v>8</v>
      </c>
      <c r="R10182" t="s">
        <v>47433</v>
      </c>
      <c r="S10182" t="s">
        <v>47633</v>
      </c>
      <c r="T10182" t="s">
        <v>49265</v>
      </c>
      <c r="U10182" t="s">
        <v>58055</v>
      </c>
      <c r="W10182" t="s">
        <v>46439</v>
      </c>
      <c r="X10182" t="s">
        <v>47434</v>
      </c>
    </row>
    <row r="10183" spans="1:24">
      <c r="A10183">
        <f>HYPERLINK("https://www.philgeps.gov.ph/GEPSNONPILOT/Tender/SplashBidNoticeAbstractUI.aspx?menuIndex=3&amp;refID=7151848&amp;Result=3","7151848")</f>
        <v>0</v>
      </c>
      <c r="B10183" t="s">
        <v>3149</v>
      </c>
      <c r="C10183" t="s">
        <v>13474</v>
      </c>
      <c r="D10183" t="s">
        <v>19060</v>
      </c>
      <c r="E10183" t="s">
        <v>27878</v>
      </c>
      <c r="F10183" t="s">
        <v>32831</v>
      </c>
      <c r="G10183" t="s">
        <v>32839</v>
      </c>
      <c r="H10183" t="s">
        <v>32848</v>
      </c>
      <c r="I10183" t="s">
        <v>4438</v>
      </c>
      <c r="J10183" t="s">
        <v>39258</v>
      </c>
      <c r="K10183" t="s">
        <v>42750</v>
      </c>
      <c r="M10183" t="s">
        <v>46449</v>
      </c>
      <c r="N10183" t="s">
        <v>47424</v>
      </c>
      <c r="O10183" t="s">
        <v>47425</v>
      </c>
      <c r="P10183">
        <v>0</v>
      </c>
      <c r="Q10183">
        <v>1</v>
      </c>
      <c r="R10183" t="s">
        <v>47433</v>
      </c>
      <c r="S10183" t="s">
        <v>47633</v>
      </c>
      <c r="T10183" t="s">
        <v>49214</v>
      </c>
      <c r="U10183" t="s">
        <v>58056</v>
      </c>
      <c r="V10183" t="s">
        <v>63744</v>
      </c>
      <c r="W10183" t="s">
        <v>46449</v>
      </c>
      <c r="X10183" t="s">
        <v>47434</v>
      </c>
    </row>
    <row r="10184" spans="1:24">
      <c r="A10184">
        <f>HYPERLINK("https://www.philgeps.gov.ph/GEPSNONPILOT/Tender/SplashBidNoticeAbstractUI.aspx?menuIndex=3&amp;refID=7151846&amp;Result=3","7151846")</f>
        <v>0</v>
      </c>
      <c r="B10184" t="s">
        <v>2315</v>
      </c>
      <c r="C10184" t="s">
        <v>13475</v>
      </c>
      <c r="D10184" t="s">
        <v>19031</v>
      </c>
      <c r="E10184" t="s">
        <v>27879</v>
      </c>
      <c r="F10184" t="s">
        <v>32831</v>
      </c>
      <c r="G10184" t="s">
        <v>32839</v>
      </c>
      <c r="H10184" t="s">
        <v>32848</v>
      </c>
      <c r="I10184" t="s">
        <v>4487</v>
      </c>
      <c r="J10184" t="s">
        <v>35687</v>
      </c>
      <c r="K10184" t="s">
        <v>42730</v>
      </c>
      <c r="M10184" t="s">
        <v>45500</v>
      </c>
      <c r="N10184" t="s">
        <v>47424</v>
      </c>
      <c r="O10184" t="s">
        <v>47425</v>
      </c>
      <c r="P10184">
        <v>0</v>
      </c>
      <c r="Q10184">
        <v>2</v>
      </c>
      <c r="R10184" t="s">
        <v>47433</v>
      </c>
      <c r="S10184" t="s">
        <v>47633</v>
      </c>
      <c r="T10184" t="s">
        <v>49236</v>
      </c>
      <c r="U10184" t="s">
        <v>58057</v>
      </c>
      <c r="W10184" t="s">
        <v>45500</v>
      </c>
      <c r="X10184" t="s">
        <v>47434</v>
      </c>
    </row>
    <row r="10185" spans="1:24">
      <c r="A10185">
        <f>HYPERLINK("https://www.philgeps.gov.ph/GEPSNONPILOT/Tender/SplashBidNoticeAbstractUI.aspx?menuIndex=3&amp;refID=7151843&amp;Result=3","7151843")</f>
        <v>0</v>
      </c>
      <c r="B10185" t="s">
        <v>2064</v>
      </c>
      <c r="C10185" t="s">
        <v>13476</v>
      </c>
      <c r="D10185" t="s">
        <v>19022</v>
      </c>
      <c r="E10185" t="s">
        <v>27880</v>
      </c>
      <c r="F10185" t="s">
        <v>32831</v>
      </c>
      <c r="G10185" t="s">
        <v>32838</v>
      </c>
      <c r="H10185" t="s">
        <v>32848</v>
      </c>
      <c r="I10185" t="s">
        <v>7878</v>
      </c>
      <c r="J10185" t="s">
        <v>39259</v>
      </c>
      <c r="K10185" t="s">
        <v>42748</v>
      </c>
      <c r="M10185" t="s">
        <v>45234</v>
      </c>
      <c r="N10185" t="s">
        <v>47424</v>
      </c>
      <c r="O10185" t="s">
        <v>47425</v>
      </c>
      <c r="P10185">
        <v>0</v>
      </c>
      <c r="Q10185">
        <v>2</v>
      </c>
      <c r="R10185" t="s">
        <v>47433</v>
      </c>
      <c r="S10185" t="s">
        <v>47633</v>
      </c>
      <c r="T10185" t="s">
        <v>49163</v>
      </c>
      <c r="U10185" t="s">
        <v>58058</v>
      </c>
      <c r="V10185" t="s">
        <v>63745</v>
      </c>
      <c r="W10185" t="s">
        <v>45234</v>
      </c>
      <c r="X10185" t="s">
        <v>47434</v>
      </c>
    </row>
    <row r="10186" spans="1:24">
      <c r="A10186">
        <f>HYPERLINK("https://www.philgeps.gov.ph/GEPSNONPILOT/Tender/SplashBidNoticeAbstractUI.aspx?menuIndex=3&amp;refID=7150927&amp;Result=3","7150927")</f>
        <v>0</v>
      </c>
      <c r="B10186" t="s">
        <v>1666</v>
      </c>
      <c r="C10186" t="s">
        <v>13477</v>
      </c>
      <c r="D10186" t="s">
        <v>19067</v>
      </c>
      <c r="E10186" t="s">
        <v>27881</v>
      </c>
      <c r="F10186" t="s">
        <v>32831</v>
      </c>
      <c r="G10186" t="s">
        <v>32839</v>
      </c>
      <c r="H10186" t="s">
        <v>32849</v>
      </c>
      <c r="I10186" t="s">
        <v>4177</v>
      </c>
      <c r="J10186" t="s">
        <v>39260</v>
      </c>
      <c r="K10186" t="s">
        <v>42746</v>
      </c>
      <c r="M10186" t="s">
        <v>44783</v>
      </c>
      <c r="N10186" t="s">
        <v>47424</v>
      </c>
      <c r="O10186" t="s">
        <v>47425</v>
      </c>
      <c r="P10186">
        <v>0</v>
      </c>
      <c r="Q10186">
        <v>2</v>
      </c>
      <c r="R10186" t="s">
        <v>47433</v>
      </c>
      <c r="S10186" t="s">
        <v>47633</v>
      </c>
      <c r="T10186" t="s">
        <v>49231</v>
      </c>
      <c r="U10186" t="s">
        <v>58059</v>
      </c>
      <c r="W10186" t="s">
        <v>44783</v>
      </c>
      <c r="X10186" t="s">
        <v>47434</v>
      </c>
    </row>
    <row r="10187" spans="1:24">
      <c r="A10187">
        <f>HYPERLINK("https://www.philgeps.gov.ph/GEPSNONPILOT/Tender/SplashBidNoticeAbstractUI.aspx?menuIndex=3&amp;refID=7151850&amp;Result=3","7151850")</f>
        <v>0</v>
      </c>
      <c r="B10187" t="s">
        <v>3150</v>
      </c>
      <c r="C10187" t="s">
        <v>13478</v>
      </c>
      <c r="D10187" t="s">
        <v>19023</v>
      </c>
      <c r="E10187" t="s">
        <v>19211</v>
      </c>
      <c r="F10187" t="s">
        <v>32831</v>
      </c>
      <c r="G10187" t="s">
        <v>32839</v>
      </c>
      <c r="H10187" t="s">
        <v>32848</v>
      </c>
      <c r="I10187" t="s">
        <v>4487</v>
      </c>
      <c r="J10187" t="s">
        <v>32980</v>
      </c>
      <c r="K10187" t="s">
        <v>42730</v>
      </c>
      <c r="M10187" t="s">
        <v>46450</v>
      </c>
      <c r="N10187" t="s">
        <v>47424</v>
      </c>
      <c r="O10187" t="s">
        <v>47425</v>
      </c>
      <c r="P10187">
        <v>0</v>
      </c>
      <c r="Q10187">
        <v>3</v>
      </c>
      <c r="R10187" t="s">
        <v>47433</v>
      </c>
      <c r="S10187" t="s">
        <v>47633</v>
      </c>
      <c r="T10187" t="s">
        <v>49111</v>
      </c>
      <c r="U10187" t="s">
        <v>58060</v>
      </c>
      <c r="V10187" t="s">
        <v>63746</v>
      </c>
      <c r="W10187" t="s">
        <v>46450</v>
      </c>
      <c r="X10187" t="s">
        <v>47434</v>
      </c>
    </row>
    <row r="10188" spans="1:24">
      <c r="A10188">
        <f>HYPERLINK("https://www.philgeps.gov.ph/GEPSNONPILOT/Tender/SplashBidNoticeAbstractUI.aspx?menuIndex=3&amp;refID=7151838&amp;Result=3","7151838")</f>
        <v>0</v>
      </c>
      <c r="B10188" t="s">
        <v>834</v>
      </c>
      <c r="C10188" t="s">
        <v>13479</v>
      </c>
      <c r="D10188" t="s">
        <v>19046</v>
      </c>
      <c r="E10188" t="s">
        <v>27882</v>
      </c>
      <c r="F10188" t="s">
        <v>32831</v>
      </c>
      <c r="G10188" t="s">
        <v>32839</v>
      </c>
      <c r="H10188" t="s">
        <v>32848</v>
      </c>
      <c r="I10188" t="s">
        <v>4776</v>
      </c>
      <c r="J10188" t="s">
        <v>39261</v>
      </c>
      <c r="K10188" t="s">
        <v>42732</v>
      </c>
      <c r="M10188" t="s">
        <v>43983</v>
      </c>
      <c r="N10188" t="s">
        <v>47424</v>
      </c>
      <c r="O10188" t="s">
        <v>47425</v>
      </c>
      <c r="P10188">
        <v>0</v>
      </c>
      <c r="Q10188">
        <v>5</v>
      </c>
      <c r="R10188" t="s">
        <v>47433</v>
      </c>
      <c r="S10188" t="s">
        <v>47633</v>
      </c>
      <c r="T10188" t="s">
        <v>49239</v>
      </c>
      <c r="U10188" t="s">
        <v>51434</v>
      </c>
      <c r="W10188" t="s">
        <v>43983</v>
      </c>
      <c r="X10188" t="s">
        <v>47434</v>
      </c>
    </row>
    <row r="10189" spans="1:24">
      <c r="A10189">
        <f>HYPERLINK("https://www.philgeps.gov.ph/GEPSNONPILOT/Tender/SplashBidNoticeAbstractUI.aspx?menuIndex=3&amp;refID=7151849&amp;Result=3","7151849")</f>
        <v>0</v>
      </c>
      <c r="B10189" t="s">
        <v>834</v>
      </c>
      <c r="C10189" t="s">
        <v>13480</v>
      </c>
      <c r="D10189" t="s">
        <v>19046</v>
      </c>
      <c r="E10189" t="s">
        <v>27883</v>
      </c>
      <c r="F10189" t="s">
        <v>32831</v>
      </c>
      <c r="G10189" t="s">
        <v>32839</v>
      </c>
      <c r="H10189" t="s">
        <v>32848</v>
      </c>
      <c r="I10189" t="s">
        <v>5379</v>
      </c>
      <c r="J10189" t="s">
        <v>39262</v>
      </c>
      <c r="K10189" t="s">
        <v>42732</v>
      </c>
      <c r="M10189" t="s">
        <v>43983</v>
      </c>
      <c r="N10189" t="s">
        <v>47424</v>
      </c>
      <c r="O10189" t="s">
        <v>47425</v>
      </c>
      <c r="P10189">
        <v>0</v>
      </c>
      <c r="Q10189">
        <v>1</v>
      </c>
      <c r="R10189" t="s">
        <v>47433</v>
      </c>
      <c r="S10189" t="s">
        <v>47633</v>
      </c>
      <c r="T10189" t="s">
        <v>49239</v>
      </c>
      <c r="U10189" t="s">
        <v>51434</v>
      </c>
      <c r="W10189" t="s">
        <v>43983</v>
      </c>
      <c r="X10189" t="s">
        <v>47434</v>
      </c>
    </row>
    <row r="10190" spans="1:24">
      <c r="A10190">
        <f>HYPERLINK("https://www.philgeps.gov.ph/GEPSNONPILOT/Tender/SplashBidNoticeAbstractUI.aspx?menuIndex=3&amp;refID=7151836&amp;Result=3","7151836")</f>
        <v>0</v>
      </c>
      <c r="B10190" t="s">
        <v>3151</v>
      </c>
      <c r="C10190" t="s">
        <v>13481</v>
      </c>
      <c r="D10190" t="s">
        <v>19070</v>
      </c>
      <c r="E10190" t="s">
        <v>27884</v>
      </c>
      <c r="F10190" t="s">
        <v>32831</v>
      </c>
      <c r="G10190" t="s">
        <v>32840</v>
      </c>
      <c r="H10190" t="s">
        <v>32848</v>
      </c>
      <c r="I10190" t="s">
        <v>32862</v>
      </c>
      <c r="J10190" t="s">
        <v>39263</v>
      </c>
      <c r="K10190" t="s">
        <v>42727</v>
      </c>
      <c r="M10190" t="s">
        <v>46451</v>
      </c>
      <c r="N10190" t="s">
        <v>47424</v>
      </c>
      <c r="O10190" t="s">
        <v>47425</v>
      </c>
      <c r="P10190">
        <v>0</v>
      </c>
      <c r="Q10190">
        <v>2</v>
      </c>
      <c r="R10190" t="s">
        <v>47433</v>
      </c>
      <c r="S10190" t="s">
        <v>47633</v>
      </c>
      <c r="T10190" t="s">
        <v>49073</v>
      </c>
      <c r="U10190" t="s">
        <v>58061</v>
      </c>
      <c r="W10190" t="s">
        <v>46451</v>
      </c>
      <c r="X10190" t="s">
        <v>47434</v>
      </c>
    </row>
    <row r="10191" spans="1:24">
      <c r="A10191">
        <f>HYPERLINK("https://www.philgeps.gov.ph/GEPSNONPILOT/Tender/SplashBidNoticeAbstractUI.aspx?menuIndex=3&amp;refID=7151834&amp;Result=3","7151834")</f>
        <v>0</v>
      </c>
      <c r="B10191" t="s">
        <v>1020</v>
      </c>
      <c r="C10191" t="s">
        <v>13482</v>
      </c>
      <c r="D10191" t="s">
        <v>19045</v>
      </c>
      <c r="E10191" t="s">
        <v>27885</v>
      </c>
      <c r="F10191" t="s">
        <v>32831</v>
      </c>
      <c r="G10191" t="s">
        <v>32839</v>
      </c>
      <c r="H10191" t="s">
        <v>32849</v>
      </c>
      <c r="I10191" t="s">
        <v>4471</v>
      </c>
      <c r="J10191" t="s">
        <v>34019</v>
      </c>
      <c r="K10191" t="s">
        <v>42731</v>
      </c>
      <c r="M10191" t="s">
        <v>44070</v>
      </c>
      <c r="N10191" t="s">
        <v>47424</v>
      </c>
      <c r="O10191" t="s">
        <v>47425</v>
      </c>
      <c r="P10191">
        <v>0</v>
      </c>
      <c r="Q10191">
        <v>1</v>
      </c>
      <c r="R10191" t="s">
        <v>47433</v>
      </c>
      <c r="S10191" t="s">
        <v>47633</v>
      </c>
      <c r="T10191" t="s">
        <v>49236</v>
      </c>
      <c r="U10191" t="s">
        <v>51626</v>
      </c>
      <c r="W10191" t="s">
        <v>44070</v>
      </c>
      <c r="X10191" t="s">
        <v>47434</v>
      </c>
    </row>
    <row r="10192" spans="1:24">
      <c r="A10192">
        <f>HYPERLINK("https://www.philgeps.gov.ph/GEPSNONPILOT/Tender/SplashBidNoticeAbstractUI.aspx?menuIndex=3&amp;refID=7151832&amp;Result=3","7151832")</f>
        <v>0</v>
      </c>
      <c r="B10192" t="s">
        <v>834</v>
      </c>
      <c r="C10192" t="s">
        <v>13483</v>
      </c>
      <c r="D10192" t="s">
        <v>19046</v>
      </c>
      <c r="E10192" t="s">
        <v>27886</v>
      </c>
      <c r="F10192" t="s">
        <v>32831</v>
      </c>
      <c r="G10192" t="s">
        <v>32839</v>
      </c>
      <c r="H10192" t="s">
        <v>32848</v>
      </c>
      <c r="I10192" t="s">
        <v>32890</v>
      </c>
      <c r="J10192" t="s">
        <v>39264</v>
      </c>
      <c r="K10192" t="s">
        <v>42732</v>
      </c>
      <c r="M10192" t="s">
        <v>43983</v>
      </c>
      <c r="N10192" t="s">
        <v>47424</v>
      </c>
      <c r="O10192" t="s">
        <v>47425</v>
      </c>
      <c r="P10192">
        <v>0</v>
      </c>
      <c r="Q10192">
        <v>1</v>
      </c>
      <c r="R10192" t="s">
        <v>47433</v>
      </c>
      <c r="S10192" t="s">
        <v>47633</v>
      </c>
      <c r="T10192" t="s">
        <v>49239</v>
      </c>
      <c r="U10192" t="s">
        <v>51434</v>
      </c>
      <c r="W10192" t="s">
        <v>43983</v>
      </c>
      <c r="X10192" t="s">
        <v>47434</v>
      </c>
    </row>
    <row r="10193" spans="1:24">
      <c r="A10193">
        <f>HYPERLINK("https://www.philgeps.gov.ph/GEPSNONPILOT/Tender/SplashBidNoticeAbstractUI.aspx?menuIndex=3&amp;refID=7151824&amp;Result=3","7151824")</f>
        <v>0</v>
      </c>
      <c r="B10193" t="s">
        <v>761</v>
      </c>
      <c r="C10193" t="s">
        <v>13484</v>
      </c>
      <c r="D10193" t="s">
        <v>19022</v>
      </c>
      <c r="E10193" t="s">
        <v>27887</v>
      </c>
      <c r="F10193" t="s">
        <v>32831</v>
      </c>
      <c r="G10193" t="s">
        <v>32839</v>
      </c>
      <c r="H10193" t="s">
        <v>32849</v>
      </c>
      <c r="I10193" t="s">
        <v>4177</v>
      </c>
      <c r="J10193" t="s">
        <v>39265</v>
      </c>
      <c r="K10193" t="s">
        <v>42763</v>
      </c>
      <c r="M10193" t="s">
        <v>43787</v>
      </c>
      <c r="N10193" t="s">
        <v>47424</v>
      </c>
      <c r="O10193" t="s">
        <v>47425</v>
      </c>
      <c r="P10193">
        <v>0</v>
      </c>
      <c r="Q10193">
        <v>1</v>
      </c>
      <c r="R10193" t="s">
        <v>47433</v>
      </c>
      <c r="S10193" t="s">
        <v>47633</v>
      </c>
      <c r="T10193" t="s">
        <v>49291</v>
      </c>
      <c r="U10193" t="s">
        <v>58062</v>
      </c>
      <c r="W10193" t="s">
        <v>43787</v>
      </c>
      <c r="X10193" t="s">
        <v>47434</v>
      </c>
    </row>
    <row r="10194" spans="1:24">
      <c r="A10194">
        <f>HYPERLINK("https://www.philgeps.gov.ph/GEPSNONPILOT/Tender/SplashBidNoticeAbstractUI.aspx?menuIndex=3&amp;refID=7151883&amp;Result=3","7151883")</f>
        <v>0</v>
      </c>
      <c r="B10194" t="s">
        <v>3149</v>
      </c>
      <c r="C10194" t="s">
        <v>13485</v>
      </c>
      <c r="D10194" t="s">
        <v>19060</v>
      </c>
      <c r="E10194" t="s">
        <v>27888</v>
      </c>
      <c r="F10194" t="s">
        <v>32831</v>
      </c>
      <c r="G10194" t="s">
        <v>32839</v>
      </c>
      <c r="H10194" t="s">
        <v>32848</v>
      </c>
      <c r="I10194" t="s">
        <v>4438</v>
      </c>
      <c r="J10194" t="s">
        <v>39266</v>
      </c>
      <c r="K10194" t="s">
        <v>42750</v>
      </c>
      <c r="M10194" t="s">
        <v>46449</v>
      </c>
      <c r="N10194" t="s">
        <v>47424</v>
      </c>
      <c r="O10194" t="s">
        <v>47425</v>
      </c>
      <c r="P10194">
        <v>0</v>
      </c>
      <c r="Q10194">
        <v>9</v>
      </c>
      <c r="R10194" t="s">
        <v>47433</v>
      </c>
      <c r="S10194" t="s">
        <v>47633</v>
      </c>
      <c r="T10194" t="s">
        <v>49077</v>
      </c>
      <c r="U10194" t="s">
        <v>58063</v>
      </c>
      <c r="V10194" t="s">
        <v>63744</v>
      </c>
      <c r="W10194" t="s">
        <v>46449</v>
      </c>
      <c r="X10194" t="s">
        <v>47434</v>
      </c>
    </row>
    <row r="10195" spans="1:24">
      <c r="A10195">
        <f>HYPERLINK("https://www.philgeps.gov.ph/GEPSNONPILOT/Tender/SplashBidNoticeAbstractUI.aspx?menuIndex=3&amp;refID=7151827&amp;Result=3","7151827")</f>
        <v>0</v>
      </c>
      <c r="B10195" t="s">
        <v>3151</v>
      </c>
      <c r="C10195" t="s">
        <v>13486</v>
      </c>
      <c r="D10195" t="s">
        <v>19070</v>
      </c>
      <c r="E10195" t="s">
        <v>27889</v>
      </c>
      <c r="F10195" t="s">
        <v>32831</v>
      </c>
      <c r="G10195" t="s">
        <v>32840</v>
      </c>
      <c r="H10195" t="s">
        <v>32848</v>
      </c>
      <c r="I10195" t="s">
        <v>9577</v>
      </c>
      <c r="J10195" t="s">
        <v>39267</v>
      </c>
      <c r="K10195" t="s">
        <v>42727</v>
      </c>
      <c r="M10195" t="s">
        <v>46451</v>
      </c>
      <c r="N10195" t="s">
        <v>47424</v>
      </c>
      <c r="O10195" t="s">
        <v>47425</v>
      </c>
      <c r="P10195">
        <v>0</v>
      </c>
      <c r="Q10195">
        <v>5</v>
      </c>
      <c r="R10195" t="s">
        <v>47433</v>
      </c>
      <c r="S10195" t="s">
        <v>47633</v>
      </c>
      <c r="T10195" t="s">
        <v>49073</v>
      </c>
      <c r="U10195" t="s">
        <v>58064</v>
      </c>
      <c r="W10195" t="s">
        <v>46451</v>
      </c>
      <c r="X10195" t="s">
        <v>47434</v>
      </c>
    </row>
    <row r="10196" spans="1:24">
      <c r="A10196">
        <f>HYPERLINK("https://www.philgeps.gov.ph/GEPSNONPILOT/Tender/SplashBidNoticeAbstractUI.aspx?menuIndex=3&amp;refID=7151825&amp;Result=3","7151825")</f>
        <v>0</v>
      </c>
      <c r="B10196" t="s">
        <v>834</v>
      </c>
      <c r="C10196" t="s">
        <v>13487</v>
      </c>
      <c r="D10196" t="s">
        <v>19046</v>
      </c>
      <c r="E10196" t="s">
        <v>27890</v>
      </c>
      <c r="F10196" t="s">
        <v>32831</v>
      </c>
      <c r="G10196" t="s">
        <v>32839</v>
      </c>
      <c r="H10196" t="s">
        <v>32848</v>
      </c>
      <c r="I10196" t="s">
        <v>7819</v>
      </c>
      <c r="J10196" t="s">
        <v>39268</v>
      </c>
      <c r="K10196" t="s">
        <v>42732</v>
      </c>
      <c r="M10196" t="s">
        <v>43983</v>
      </c>
      <c r="N10196" t="s">
        <v>47424</v>
      </c>
      <c r="O10196" t="s">
        <v>47425</v>
      </c>
      <c r="P10196">
        <v>0</v>
      </c>
      <c r="Q10196">
        <v>5</v>
      </c>
      <c r="R10196" t="s">
        <v>47433</v>
      </c>
      <c r="S10196" t="s">
        <v>47633</v>
      </c>
      <c r="T10196" t="s">
        <v>49239</v>
      </c>
      <c r="U10196" t="s">
        <v>51434</v>
      </c>
      <c r="W10196" t="s">
        <v>43983</v>
      </c>
      <c r="X10196" t="s">
        <v>47434</v>
      </c>
    </row>
    <row r="10197" spans="1:24">
      <c r="A10197">
        <f>HYPERLINK("https://www.philgeps.gov.ph/GEPSNONPILOT/Tender/SplashBidNoticeAbstractUI.aspx?menuIndex=3&amp;refID=7151881&amp;Result=3","7151881")</f>
        <v>0</v>
      </c>
      <c r="B10197" t="s">
        <v>2917</v>
      </c>
      <c r="C10197" t="s">
        <v>13488</v>
      </c>
      <c r="E10197" t="s">
        <v>27891</v>
      </c>
      <c r="F10197" t="s">
        <v>32831</v>
      </c>
      <c r="G10197" t="s">
        <v>32838</v>
      </c>
      <c r="H10197" t="s">
        <v>32848</v>
      </c>
      <c r="I10197" t="s">
        <v>32874</v>
      </c>
      <c r="J10197" t="s">
        <v>33660</v>
      </c>
      <c r="K10197" t="s">
        <v>42732</v>
      </c>
      <c r="M10197" t="s">
        <v>46169</v>
      </c>
      <c r="N10197" t="s">
        <v>47424</v>
      </c>
      <c r="O10197" t="s">
        <v>47425</v>
      </c>
      <c r="P10197">
        <v>0</v>
      </c>
      <c r="Q10197">
        <v>2</v>
      </c>
      <c r="R10197" t="s">
        <v>47433</v>
      </c>
      <c r="S10197" t="s">
        <v>47633</v>
      </c>
      <c r="T10197" t="s">
        <v>49239</v>
      </c>
      <c r="U10197" t="s">
        <v>58065</v>
      </c>
      <c r="W10197" t="s">
        <v>46169</v>
      </c>
      <c r="X10197" t="s">
        <v>47434</v>
      </c>
    </row>
    <row r="10198" spans="1:24">
      <c r="A10198">
        <f>HYPERLINK("https://www.philgeps.gov.ph/GEPSNONPILOT/Tender/SplashBidNoticeAbstractUI.aspx?menuIndex=3&amp;refID=7151845&amp;Result=3","7151845")</f>
        <v>0</v>
      </c>
      <c r="B10198" t="s">
        <v>834</v>
      </c>
      <c r="C10198" t="s">
        <v>13489</v>
      </c>
      <c r="D10198" t="s">
        <v>19046</v>
      </c>
      <c r="E10198" t="s">
        <v>27892</v>
      </c>
      <c r="F10198" t="s">
        <v>32831</v>
      </c>
      <c r="G10198" t="s">
        <v>32839</v>
      </c>
      <c r="H10198" t="s">
        <v>32848</v>
      </c>
      <c r="I10198" t="s">
        <v>32928</v>
      </c>
      <c r="J10198" t="s">
        <v>33291</v>
      </c>
      <c r="K10198" t="s">
        <v>42732</v>
      </c>
      <c r="M10198" t="s">
        <v>43983</v>
      </c>
      <c r="N10198" t="s">
        <v>47424</v>
      </c>
      <c r="O10198" t="s">
        <v>47425</v>
      </c>
      <c r="P10198">
        <v>0</v>
      </c>
      <c r="Q10198">
        <v>3</v>
      </c>
      <c r="R10198" t="s">
        <v>47433</v>
      </c>
      <c r="S10198" t="s">
        <v>47633</v>
      </c>
      <c r="T10198" t="s">
        <v>49239</v>
      </c>
      <c r="U10198" t="s">
        <v>51434</v>
      </c>
      <c r="W10198" t="s">
        <v>43983</v>
      </c>
      <c r="X10198" t="s">
        <v>47434</v>
      </c>
    </row>
    <row r="10199" spans="1:24">
      <c r="A10199">
        <f>HYPERLINK("https://www.philgeps.gov.ph/GEPSNONPILOT/Tender/SplashBidNoticeAbstractUI.aspx?menuIndex=3&amp;refID=7151880&amp;Result=3","7151880")</f>
        <v>0</v>
      </c>
      <c r="B10199" t="s">
        <v>421</v>
      </c>
      <c r="C10199" t="s">
        <v>13490</v>
      </c>
      <c r="D10199" t="s">
        <v>19021</v>
      </c>
      <c r="E10199" t="s">
        <v>27893</v>
      </c>
      <c r="F10199" t="s">
        <v>32831</v>
      </c>
      <c r="G10199" t="s">
        <v>32839</v>
      </c>
      <c r="H10199" t="s">
        <v>32848</v>
      </c>
      <c r="I10199" t="s">
        <v>4222</v>
      </c>
      <c r="J10199" t="s">
        <v>39269</v>
      </c>
      <c r="K10199" t="s">
        <v>42727</v>
      </c>
      <c r="M10199" t="s">
        <v>43426</v>
      </c>
      <c r="N10199" t="s">
        <v>47424</v>
      </c>
      <c r="O10199" t="s">
        <v>47425</v>
      </c>
      <c r="P10199">
        <v>0</v>
      </c>
      <c r="Q10199">
        <v>1</v>
      </c>
      <c r="R10199" t="s">
        <v>47433</v>
      </c>
      <c r="S10199" t="s">
        <v>47633</v>
      </c>
      <c r="T10199" t="s">
        <v>49112</v>
      </c>
      <c r="U10199" t="s">
        <v>58066</v>
      </c>
      <c r="W10199" t="s">
        <v>43426</v>
      </c>
      <c r="X10199" t="s">
        <v>47434</v>
      </c>
    </row>
    <row r="10200" spans="1:24">
      <c r="A10200">
        <f>HYPERLINK("https://www.philgeps.gov.ph/GEPSNONPILOT/Tender/SplashBidNoticeAbstractUI.aspx?menuIndex=3&amp;refID=7151878&amp;Result=3","7151878")</f>
        <v>0</v>
      </c>
      <c r="B10200" t="s">
        <v>2917</v>
      </c>
      <c r="C10200" t="s">
        <v>13491</v>
      </c>
      <c r="E10200" t="s">
        <v>27894</v>
      </c>
      <c r="F10200" t="s">
        <v>32831</v>
      </c>
      <c r="G10200" t="s">
        <v>32838</v>
      </c>
      <c r="H10200" t="s">
        <v>32848</v>
      </c>
      <c r="I10200" t="s">
        <v>32870</v>
      </c>
      <c r="J10200" t="s">
        <v>34770</v>
      </c>
      <c r="K10200" t="s">
        <v>42732</v>
      </c>
      <c r="M10200" t="s">
        <v>46169</v>
      </c>
      <c r="N10200" t="s">
        <v>47424</v>
      </c>
      <c r="O10200" t="s">
        <v>47425</v>
      </c>
      <c r="P10200">
        <v>0</v>
      </c>
      <c r="Q10200">
        <v>0</v>
      </c>
      <c r="R10200" t="s">
        <v>47433</v>
      </c>
      <c r="S10200" t="s">
        <v>47633</v>
      </c>
      <c r="T10200" t="s">
        <v>49239</v>
      </c>
      <c r="U10200" t="s">
        <v>58067</v>
      </c>
      <c r="W10200" t="s">
        <v>46169</v>
      </c>
      <c r="X10200" t="s">
        <v>47434</v>
      </c>
    </row>
    <row r="10201" spans="1:24">
      <c r="A10201">
        <f>HYPERLINK("https://www.philgeps.gov.ph/GEPSNONPILOT/Tender/SplashBidNoticeAbstractUI.aspx?menuIndex=3&amp;refID=7151868&amp;Result=3","7151868")</f>
        <v>0</v>
      </c>
      <c r="B10201" t="s">
        <v>2315</v>
      </c>
      <c r="C10201" t="s">
        <v>13492</v>
      </c>
      <c r="D10201" t="s">
        <v>19031</v>
      </c>
      <c r="E10201" t="s">
        <v>27895</v>
      </c>
      <c r="F10201" t="s">
        <v>32831</v>
      </c>
      <c r="G10201" t="s">
        <v>32839</v>
      </c>
      <c r="H10201" t="s">
        <v>32849</v>
      </c>
      <c r="I10201" t="s">
        <v>4177</v>
      </c>
      <c r="J10201" t="s">
        <v>39270</v>
      </c>
      <c r="K10201" t="s">
        <v>42729</v>
      </c>
      <c r="M10201" t="s">
        <v>45500</v>
      </c>
      <c r="N10201" t="s">
        <v>47424</v>
      </c>
      <c r="O10201" t="s">
        <v>47425</v>
      </c>
      <c r="P10201">
        <v>0</v>
      </c>
      <c r="Q10201">
        <v>0</v>
      </c>
      <c r="R10201" t="s">
        <v>47433</v>
      </c>
      <c r="S10201" t="s">
        <v>47633</v>
      </c>
      <c r="T10201" t="s">
        <v>49236</v>
      </c>
      <c r="U10201" t="s">
        <v>58068</v>
      </c>
      <c r="W10201" t="s">
        <v>45500</v>
      </c>
      <c r="X10201" t="s">
        <v>47434</v>
      </c>
    </row>
    <row r="10202" spans="1:24">
      <c r="A10202">
        <f>HYPERLINK("https://www.philgeps.gov.ph/GEPSNONPILOT/Tender/SplashBidNoticeAbstractUI.aspx?menuIndex=3&amp;refID=7151867&amp;Result=3","7151867")</f>
        <v>0</v>
      </c>
      <c r="B10202" t="s">
        <v>395</v>
      </c>
      <c r="C10202" t="s">
        <v>13493</v>
      </c>
      <c r="D10202" t="s">
        <v>19091</v>
      </c>
      <c r="E10202" t="s">
        <v>19494</v>
      </c>
      <c r="F10202" t="s">
        <v>32831</v>
      </c>
      <c r="G10202" t="s">
        <v>32839</v>
      </c>
      <c r="H10202" t="s">
        <v>32849</v>
      </c>
      <c r="I10202" t="s">
        <v>4177</v>
      </c>
      <c r="J10202" t="s">
        <v>32983</v>
      </c>
      <c r="K10202" t="s">
        <v>42727</v>
      </c>
      <c r="M10202" t="s">
        <v>43400</v>
      </c>
      <c r="N10202" t="s">
        <v>47424</v>
      </c>
      <c r="O10202" t="s">
        <v>47425</v>
      </c>
      <c r="P10202">
        <v>0</v>
      </c>
      <c r="Q10202">
        <v>0</v>
      </c>
      <c r="R10202" t="s">
        <v>47433</v>
      </c>
      <c r="S10202" t="s">
        <v>47633</v>
      </c>
      <c r="T10202" t="s">
        <v>49111</v>
      </c>
      <c r="U10202" t="s">
        <v>58069</v>
      </c>
      <c r="W10202" t="s">
        <v>43400</v>
      </c>
      <c r="X10202" t="s">
        <v>47434</v>
      </c>
    </row>
    <row r="10203" spans="1:24">
      <c r="A10203">
        <f>HYPERLINK("https://www.philgeps.gov.ph/GEPSNONPILOT/Tender/SplashBidNoticeAbstractUI.aspx?menuIndex=3&amp;refID=7151877&amp;Result=3","7151877")</f>
        <v>0</v>
      </c>
      <c r="B10203" t="s">
        <v>2917</v>
      </c>
      <c r="C10203" t="s">
        <v>12359</v>
      </c>
      <c r="E10203" t="s">
        <v>27896</v>
      </c>
      <c r="F10203" t="s">
        <v>32831</v>
      </c>
      <c r="G10203" t="s">
        <v>32838</v>
      </c>
      <c r="H10203" t="s">
        <v>32848</v>
      </c>
      <c r="I10203" t="s">
        <v>32870</v>
      </c>
      <c r="J10203" t="s">
        <v>39271</v>
      </c>
      <c r="K10203" t="s">
        <v>42732</v>
      </c>
      <c r="M10203" t="s">
        <v>46169</v>
      </c>
      <c r="N10203" t="s">
        <v>47424</v>
      </c>
      <c r="O10203" t="s">
        <v>47425</v>
      </c>
      <c r="P10203">
        <v>0</v>
      </c>
      <c r="Q10203">
        <v>0</v>
      </c>
      <c r="R10203" t="s">
        <v>47433</v>
      </c>
      <c r="S10203" t="s">
        <v>47633</v>
      </c>
      <c r="T10203" t="s">
        <v>49239</v>
      </c>
      <c r="U10203" t="s">
        <v>58070</v>
      </c>
      <c r="W10203" t="s">
        <v>46169</v>
      </c>
      <c r="X10203" t="s">
        <v>47434</v>
      </c>
    </row>
    <row r="10204" spans="1:24">
      <c r="A10204">
        <f>HYPERLINK("https://www.philgeps.gov.ph/GEPSNONPILOT/Tender/SplashBidNoticeAbstractUI.aspx?menuIndex=3&amp;refID=7151866&amp;Result=3","7151866")</f>
        <v>0</v>
      </c>
      <c r="B10204" t="s">
        <v>834</v>
      </c>
      <c r="C10204" t="s">
        <v>13494</v>
      </c>
      <c r="D10204" t="s">
        <v>19046</v>
      </c>
      <c r="E10204" t="s">
        <v>27897</v>
      </c>
      <c r="F10204" t="s">
        <v>32831</v>
      </c>
      <c r="G10204" t="s">
        <v>32838</v>
      </c>
      <c r="H10204" t="s">
        <v>32848</v>
      </c>
      <c r="I10204" t="s">
        <v>5379</v>
      </c>
      <c r="J10204" t="s">
        <v>39272</v>
      </c>
      <c r="K10204" t="s">
        <v>42732</v>
      </c>
      <c r="M10204" t="s">
        <v>43983</v>
      </c>
      <c r="N10204" t="s">
        <v>47424</v>
      </c>
      <c r="O10204" t="s">
        <v>47425</v>
      </c>
      <c r="P10204">
        <v>0</v>
      </c>
      <c r="Q10204">
        <v>2</v>
      </c>
      <c r="R10204" t="s">
        <v>47433</v>
      </c>
      <c r="S10204" t="s">
        <v>47633</v>
      </c>
      <c r="T10204" t="s">
        <v>49239</v>
      </c>
      <c r="U10204" t="s">
        <v>51434</v>
      </c>
      <c r="W10204" t="s">
        <v>43983</v>
      </c>
      <c r="X10204" t="s">
        <v>47434</v>
      </c>
    </row>
    <row r="10205" spans="1:24">
      <c r="A10205">
        <f>HYPERLINK("https://www.philgeps.gov.ph/GEPSNONPILOT/Tender/SplashBidNoticeAbstractUI.aspx?menuIndex=3&amp;refID=7151875&amp;Result=3","7151875")</f>
        <v>0</v>
      </c>
      <c r="B10205" t="s">
        <v>2315</v>
      </c>
      <c r="C10205" t="s">
        <v>13495</v>
      </c>
      <c r="D10205" t="s">
        <v>19031</v>
      </c>
      <c r="E10205" t="s">
        <v>27898</v>
      </c>
      <c r="F10205" t="s">
        <v>32831</v>
      </c>
      <c r="G10205" t="s">
        <v>32839</v>
      </c>
      <c r="H10205" t="s">
        <v>32849</v>
      </c>
      <c r="I10205" t="s">
        <v>4177</v>
      </c>
      <c r="J10205" t="s">
        <v>39273</v>
      </c>
      <c r="K10205" t="s">
        <v>42729</v>
      </c>
      <c r="M10205" t="s">
        <v>45500</v>
      </c>
      <c r="N10205" t="s">
        <v>47424</v>
      </c>
      <c r="O10205" t="s">
        <v>47425</v>
      </c>
      <c r="P10205">
        <v>0</v>
      </c>
      <c r="Q10205">
        <v>1</v>
      </c>
      <c r="R10205" t="s">
        <v>47433</v>
      </c>
      <c r="S10205" t="s">
        <v>47633</v>
      </c>
      <c r="T10205" t="s">
        <v>49236</v>
      </c>
      <c r="U10205" t="s">
        <v>58071</v>
      </c>
      <c r="W10205" t="s">
        <v>45500</v>
      </c>
      <c r="X10205" t="s">
        <v>47434</v>
      </c>
    </row>
    <row r="10206" spans="1:24">
      <c r="A10206">
        <f>HYPERLINK("https://www.philgeps.gov.ph/GEPSNONPILOT/Tender/SplashBidNoticeAbstractUI.aspx?menuIndex=3&amp;refID=7151864&amp;Result=3","7151864")</f>
        <v>0</v>
      </c>
      <c r="B10206" t="s">
        <v>395</v>
      </c>
      <c r="C10206" t="s">
        <v>12454</v>
      </c>
      <c r="D10206" t="s">
        <v>19091</v>
      </c>
      <c r="E10206" t="s">
        <v>19835</v>
      </c>
      <c r="F10206" t="s">
        <v>32831</v>
      </c>
      <c r="G10206" t="s">
        <v>32839</v>
      </c>
      <c r="H10206" t="s">
        <v>32849</v>
      </c>
      <c r="I10206" t="s">
        <v>4177</v>
      </c>
      <c r="J10206" t="s">
        <v>32983</v>
      </c>
      <c r="K10206" t="s">
        <v>42727</v>
      </c>
      <c r="M10206" t="s">
        <v>43400</v>
      </c>
      <c r="N10206" t="s">
        <v>47424</v>
      </c>
      <c r="O10206" t="s">
        <v>47425</v>
      </c>
      <c r="P10206">
        <v>0</v>
      </c>
      <c r="Q10206">
        <v>0</v>
      </c>
      <c r="R10206" t="s">
        <v>47433</v>
      </c>
      <c r="S10206" t="s">
        <v>47633</v>
      </c>
      <c r="T10206" t="s">
        <v>49111</v>
      </c>
      <c r="U10206" t="s">
        <v>58069</v>
      </c>
      <c r="W10206" t="s">
        <v>43400</v>
      </c>
      <c r="X10206" t="s">
        <v>47434</v>
      </c>
    </row>
    <row r="10207" spans="1:24">
      <c r="A10207">
        <f>HYPERLINK("https://www.philgeps.gov.ph/GEPSNONPILOT/Tender/SplashBidNoticeAbstractUI.aspx?menuIndex=3&amp;refID=7151862&amp;Result=3","7151862")</f>
        <v>0</v>
      </c>
      <c r="B10207" t="s">
        <v>2315</v>
      </c>
      <c r="C10207" t="s">
        <v>13496</v>
      </c>
      <c r="D10207" t="s">
        <v>19031</v>
      </c>
      <c r="E10207" t="s">
        <v>27899</v>
      </c>
      <c r="F10207" t="s">
        <v>32831</v>
      </c>
      <c r="G10207" t="s">
        <v>32839</v>
      </c>
      <c r="H10207" t="s">
        <v>32848</v>
      </c>
      <c r="I10207" t="s">
        <v>32852</v>
      </c>
      <c r="J10207" t="s">
        <v>39274</v>
      </c>
      <c r="K10207" t="s">
        <v>42729</v>
      </c>
      <c r="M10207" t="s">
        <v>45500</v>
      </c>
      <c r="N10207" t="s">
        <v>47424</v>
      </c>
      <c r="O10207" t="s">
        <v>47425</v>
      </c>
      <c r="P10207">
        <v>0</v>
      </c>
      <c r="Q10207">
        <v>7</v>
      </c>
      <c r="R10207" t="s">
        <v>47433</v>
      </c>
      <c r="S10207" t="s">
        <v>47633</v>
      </c>
      <c r="T10207" t="s">
        <v>49236</v>
      </c>
      <c r="U10207" t="s">
        <v>58072</v>
      </c>
      <c r="W10207" t="s">
        <v>45500</v>
      </c>
      <c r="X10207" t="s">
        <v>47434</v>
      </c>
    </row>
    <row r="10208" spans="1:24">
      <c r="A10208">
        <f>HYPERLINK("https://www.philgeps.gov.ph/GEPSNONPILOT/Tender/SplashBidNoticeAbstractUI.aspx?menuIndex=3&amp;refID=7151854&amp;Result=3","7151854")</f>
        <v>0</v>
      </c>
      <c r="B10208" t="s">
        <v>1504</v>
      </c>
      <c r="C10208" t="s">
        <v>13497</v>
      </c>
      <c r="D10208" t="s">
        <v>19057</v>
      </c>
      <c r="E10208" t="s">
        <v>27900</v>
      </c>
      <c r="F10208" t="s">
        <v>32831</v>
      </c>
      <c r="G10208" t="s">
        <v>32839</v>
      </c>
      <c r="H10208" t="s">
        <v>32849</v>
      </c>
      <c r="I10208" t="s">
        <v>4177</v>
      </c>
      <c r="J10208" t="s">
        <v>39275</v>
      </c>
      <c r="K10208" t="s">
        <v>42745</v>
      </c>
      <c r="M10208" t="s">
        <v>44603</v>
      </c>
      <c r="N10208" t="s">
        <v>47424</v>
      </c>
      <c r="O10208" t="s">
        <v>47425</v>
      </c>
      <c r="P10208">
        <v>0</v>
      </c>
      <c r="Q10208">
        <v>0</v>
      </c>
      <c r="R10208" t="s">
        <v>47433</v>
      </c>
      <c r="S10208" t="s">
        <v>47633</v>
      </c>
      <c r="T10208" t="s">
        <v>49160</v>
      </c>
      <c r="U10208" t="s">
        <v>58073</v>
      </c>
      <c r="W10208" t="s">
        <v>44603</v>
      </c>
      <c r="X10208" t="s">
        <v>47434</v>
      </c>
    </row>
    <row r="10209" spans="1:24">
      <c r="A10209">
        <f>HYPERLINK("https://www.philgeps.gov.ph/GEPSNONPILOT/Tender/SplashBidNoticeAbstractUI.aspx?menuIndex=3&amp;refID=7151717&amp;Result=3","7151717")</f>
        <v>0</v>
      </c>
      <c r="B10209" t="s">
        <v>2840</v>
      </c>
      <c r="C10209" t="s">
        <v>13498</v>
      </c>
      <c r="D10209" t="s">
        <v>19020</v>
      </c>
      <c r="E10209" t="s">
        <v>27901</v>
      </c>
      <c r="F10209" t="s">
        <v>32831</v>
      </c>
      <c r="G10209" t="s">
        <v>32839</v>
      </c>
      <c r="H10209" t="s">
        <v>32848</v>
      </c>
      <c r="I10209" t="s">
        <v>32859</v>
      </c>
      <c r="J10209" t="s">
        <v>36779</v>
      </c>
      <c r="K10209" t="s">
        <v>42726</v>
      </c>
      <c r="M10209" t="s">
        <v>46452</v>
      </c>
      <c r="N10209" t="s">
        <v>47424</v>
      </c>
      <c r="O10209" t="s">
        <v>47425</v>
      </c>
      <c r="P10209">
        <v>0</v>
      </c>
      <c r="Q10209">
        <v>1</v>
      </c>
      <c r="R10209" t="s">
        <v>47433</v>
      </c>
      <c r="S10209" t="s">
        <v>47633</v>
      </c>
      <c r="T10209" t="s">
        <v>49166</v>
      </c>
      <c r="U10209" t="s">
        <v>58074</v>
      </c>
      <c r="V10209" t="s">
        <v>63747</v>
      </c>
      <c r="W10209" t="s">
        <v>46452</v>
      </c>
      <c r="X10209" t="s">
        <v>47434</v>
      </c>
    </row>
    <row r="10210" spans="1:24">
      <c r="A10210">
        <f>HYPERLINK("https://www.philgeps.gov.ph/GEPSNONPILOT/Tender/SplashBidNoticeAbstractUI.aspx?menuIndex=3&amp;refID=7151869&amp;Result=3","7151869")</f>
        <v>0</v>
      </c>
      <c r="B10210" t="s">
        <v>3152</v>
      </c>
      <c r="C10210" t="s">
        <v>13499</v>
      </c>
      <c r="E10210" t="s">
        <v>19351</v>
      </c>
      <c r="F10210" t="s">
        <v>32831</v>
      </c>
      <c r="G10210" t="s">
        <v>32839</v>
      </c>
      <c r="H10210" t="s">
        <v>32848</v>
      </c>
      <c r="I10210" t="s">
        <v>9577</v>
      </c>
      <c r="J10210" t="s">
        <v>39276</v>
      </c>
      <c r="K10210" t="s">
        <v>42732</v>
      </c>
      <c r="M10210" t="s">
        <v>46453</v>
      </c>
      <c r="N10210" t="s">
        <v>47424</v>
      </c>
      <c r="O10210" t="s">
        <v>47425</v>
      </c>
      <c r="Q10210">
        <v>10</v>
      </c>
      <c r="R10210" t="s">
        <v>47433</v>
      </c>
      <c r="S10210" t="s">
        <v>47668</v>
      </c>
      <c r="T10210" t="s">
        <v>49221</v>
      </c>
      <c r="U10210" t="s">
        <v>58075</v>
      </c>
      <c r="W10210" t="s">
        <v>64538</v>
      </c>
      <c r="X10210" t="s">
        <v>47434</v>
      </c>
    </row>
    <row r="10211" spans="1:24">
      <c r="A10211">
        <f>HYPERLINK("https://www.philgeps.gov.ph/GEPSNONPILOT/Tender/SplashBidNoticeAbstractUI.aspx?menuIndex=3&amp;refID=7151853&amp;Result=3","7151853")</f>
        <v>0</v>
      </c>
      <c r="B10211" t="s">
        <v>834</v>
      </c>
      <c r="C10211" t="s">
        <v>13500</v>
      </c>
      <c r="D10211" t="s">
        <v>19046</v>
      </c>
      <c r="E10211" t="s">
        <v>27902</v>
      </c>
      <c r="F10211" t="s">
        <v>32831</v>
      </c>
      <c r="G10211" t="s">
        <v>32838</v>
      </c>
      <c r="H10211" t="s">
        <v>32848</v>
      </c>
      <c r="I10211" t="s">
        <v>5379</v>
      </c>
      <c r="J10211" t="s">
        <v>33133</v>
      </c>
      <c r="K10211" t="s">
        <v>42732</v>
      </c>
      <c r="M10211" t="s">
        <v>43983</v>
      </c>
      <c r="N10211" t="s">
        <v>47424</v>
      </c>
      <c r="O10211" t="s">
        <v>47425</v>
      </c>
      <c r="P10211">
        <v>0</v>
      </c>
      <c r="Q10211">
        <v>1</v>
      </c>
      <c r="R10211" t="s">
        <v>47433</v>
      </c>
      <c r="S10211" t="s">
        <v>47633</v>
      </c>
      <c r="T10211" t="s">
        <v>49239</v>
      </c>
      <c r="U10211" t="s">
        <v>51434</v>
      </c>
      <c r="W10211" t="s">
        <v>43983</v>
      </c>
      <c r="X10211" t="s">
        <v>47434</v>
      </c>
    </row>
    <row r="10212" spans="1:24">
      <c r="A10212">
        <f>HYPERLINK("https://www.philgeps.gov.ph/GEPSNONPILOT/Tender/SplashBidNoticeAbstractUI.aspx?menuIndex=3&amp;refID=7151844&amp;Result=3","7151844")</f>
        <v>0</v>
      </c>
      <c r="B10212" t="s">
        <v>1504</v>
      </c>
      <c r="C10212" t="s">
        <v>13501</v>
      </c>
      <c r="D10212" t="s">
        <v>19057</v>
      </c>
      <c r="E10212" t="s">
        <v>27900</v>
      </c>
      <c r="F10212" t="s">
        <v>32831</v>
      </c>
      <c r="G10212" t="s">
        <v>32839</v>
      </c>
      <c r="H10212" t="s">
        <v>32849</v>
      </c>
      <c r="I10212" t="s">
        <v>4177</v>
      </c>
      <c r="J10212" t="s">
        <v>39277</v>
      </c>
      <c r="K10212" t="s">
        <v>42745</v>
      </c>
      <c r="M10212" t="s">
        <v>44603</v>
      </c>
      <c r="N10212" t="s">
        <v>47424</v>
      </c>
      <c r="O10212" t="s">
        <v>47425</v>
      </c>
      <c r="P10212">
        <v>0</v>
      </c>
      <c r="Q10212">
        <v>0</v>
      </c>
      <c r="R10212" t="s">
        <v>47433</v>
      </c>
      <c r="S10212" t="s">
        <v>47633</v>
      </c>
      <c r="T10212" t="s">
        <v>49160</v>
      </c>
      <c r="U10212" t="s">
        <v>58076</v>
      </c>
      <c r="W10212" t="s">
        <v>44603</v>
      </c>
      <c r="X10212" t="s">
        <v>47434</v>
      </c>
    </row>
    <row r="10213" spans="1:24">
      <c r="A10213">
        <f>HYPERLINK("https://www.philgeps.gov.ph/GEPSNONPILOT/Tender/SplashBidNoticeAbstractUI.aspx?menuIndex=3&amp;refID=7151858&amp;Result=3","7151858")</f>
        <v>0</v>
      </c>
      <c r="B10213" t="s">
        <v>510</v>
      </c>
      <c r="C10213" t="s">
        <v>13502</v>
      </c>
      <c r="D10213" t="s">
        <v>19093</v>
      </c>
      <c r="E10213" t="s">
        <v>27903</v>
      </c>
      <c r="F10213" t="s">
        <v>32831</v>
      </c>
      <c r="G10213" t="s">
        <v>32839</v>
      </c>
      <c r="H10213" t="s">
        <v>32848</v>
      </c>
      <c r="I10213" t="s">
        <v>7416</v>
      </c>
      <c r="J10213" t="s">
        <v>39278</v>
      </c>
      <c r="K10213" t="s">
        <v>42730</v>
      </c>
      <c r="M10213" t="s">
        <v>43515</v>
      </c>
      <c r="N10213" t="s">
        <v>47424</v>
      </c>
      <c r="O10213" t="s">
        <v>47425</v>
      </c>
      <c r="P10213">
        <v>0</v>
      </c>
      <c r="Q10213">
        <v>0</v>
      </c>
      <c r="R10213" t="s">
        <v>47433</v>
      </c>
      <c r="S10213" t="s">
        <v>47633</v>
      </c>
      <c r="T10213" t="s">
        <v>49192</v>
      </c>
      <c r="U10213" t="s">
        <v>58077</v>
      </c>
      <c r="V10213" t="s">
        <v>63748</v>
      </c>
      <c r="W10213" t="s">
        <v>43515</v>
      </c>
      <c r="X10213" t="s">
        <v>47434</v>
      </c>
    </row>
    <row r="10214" spans="1:24">
      <c r="A10214">
        <f>HYPERLINK("https://www.philgeps.gov.ph/GEPSNONPILOT/Tender/SplashBidNoticeAbstractUI.aspx?menuIndex=3&amp;refID=7151907&amp;Result=3","7151907")</f>
        <v>0</v>
      </c>
      <c r="B10214" t="s">
        <v>2491</v>
      </c>
      <c r="C10214" t="s">
        <v>13503</v>
      </c>
      <c r="D10214" t="s">
        <v>19057</v>
      </c>
      <c r="E10214" t="s">
        <v>27904</v>
      </c>
      <c r="F10214" t="s">
        <v>32831</v>
      </c>
      <c r="G10214" t="s">
        <v>32845</v>
      </c>
      <c r="H10214" t="s">
        <v>32848</v>
      </c>
      <c r="I10214" t="s">
        <v>4487</v>
      </c>
      <c r="J10214" t="s">
        <v>39279</v>
      </c>
      <c r="K10214" t="s">
        <v>42730</v>
      </c>
      <c r="M10214" t="s">
        <v>46454</v>
      </c>
      <c r="N10214" t="s">
        <v>47424</v>
      </c>
      <c r="O10214" t="s">
        <v>47425</v>
      </c>
      <c r="P10214">
        <v>0</v>
      </c>
      <c r="Q10214">
        <v>5</v>
      </c>
      <c r="R10214" t="s">
        <v>47433</v>
      </c>
      <c r="S10214" t="s">
        <v>47633</v>
      </c>
      <c r="T10214" t="s">
        <v>49250</v>
      </c>
      <c r="U10214" t="s">
        <v>58078</v>
      </c>
      <c r="W10214" t="s">
        <v>46454</v>
      </c>
      <c r="X10214" t="s">
        <v>47434</v>
      </c>
    </row>
    <row r="10215" spans="1:24">
      <c r="A10215">
        <f>HYPERLINK("https://www.philgeps.gov.ph/GEPSNONPILOT/Tender/SplashBidNoticeAbstractUI.aspx?menuIndex=3&amp;refID=7151865&amp;Result=3","7151865")</f>
        <v>0</v>
      </c>
      <c r="B10215" t="s">
        <v>1504</v>
      </c>
      <c r="C10215" t="s">
        <v>13504</v>
      </c>
      <c r="D10215" t="s">
        <v>19057</v>
      </c>
      <c r="E10215" t="s">
        <v>27900</v>
      </c>
      <c r="F10215" t="s">
        <v>32831</v>
      </c>
      <c r="G10215" t="s">
        <v>32839</v>
      </c>
      <c r="H10215" t="s">
        <v>32849</v>
      </c>
      <c r="I10215" t="s">
        <v>4177</v>
      </c>
      <c r="J10215" t="s">
        <v>39277</v>
      </c>
      <c r="K10215" t="s">
        <v>42745</v>
      </c>
      <c r="M10215" t="s">
        <v>44603</v>
      </c>
      <c r="N10215" t="s">
        <v>47424</v>
      </c>
      <c r="O10215" t="s">
        <v>47425</v>
      </c>
      <c r="P10215">
        <v>0</v>
      </c>
      <c r="Q10215">
        <v>0</v>
      </c>
      <c r="R10215" t="s">
        <v>47433</v>
      </c>
      <c r="S10215" t="s">
        <v>47633</v>
      </c>
      <c r="T10215" t="s">
        <v>49160</v>
      </c>
      <c r="U10215" t="s">
        <v>58079</v>
      </c>
      <c r="W10215" t="s">
        <v>44603</v>
      </c>
      <c r="X10215" t="s">
        <v>47434</v>
      </c>
    </row>
    <row r="10216" spans="1:24">
      <c r="A10216">
        <f>HYPERLINK("https://www.philgeps.gov.ph/GEPSNONPILOT/Tender/SplashBidNoticeAbstractUI.aspx?menuIndex=3&amp;refID=7151908&amp;Result=3","7151908")</f>
        <v>0</v>
      </c>
      <c r="B10216" t="s">
        <v>3153</v>
      </c>
      <c r="C10216" t="s">
        <v>13505</v>
      </c>
      <c r="D10216" t="s">
        <v>19017</v>
      </c>
      <c r="E10216" t="s">
        <v>20718</v>
      </c>
      <c r="F10216" t="s">
        <v>32831</v>
      </c>
      <c r="G10216" t="s">
        <v>32839</v>
      </c>
      <c r="H10216" t="s">
        <v>32848</v>
      </c>
      <c r="I10216" t="s">
        <v>4438</v>
      </c>
      <c r="J10216" t="s">
        <v>39280</v>
      </c>
      <c r="K10216" t="s">
        <v>42758</v>
      </c>
      <c r="M10216" t="s">
        <v>46455</v>
      </c>
      <c r="N10216" t="s">
        <v>47424</v>
      </c>
      <c r="O10216" t="s">
        <v>47425</v>
      </c>
      <c r="P10216">
        <v>0</v>
      </c>
      <c r="Q10216">
        <v>1</v>
      </c>
      <c r="R10216" t="s">
        <v>47433</v>
      </c>
      <c r="S10216" t="s">
        <v>47633</v>
      </c>
      <c r="T10216" t="s">
        <v>49221</v>
      </c>
      <c r="U10216" t="s">
        <v>58080</v>
      </c>
      <c r="W10216" t="s">
        <v>46455</v>
      </c>
      <c r="X10216" t="s">
        <v>47434</v>
      </c>
    </row>
    <row r="10217" spans="1:24">
      <c r="A10217">
        <f>HYPERLINK("https://www.philgeps.gov.ph/GEPSNONPILOT/Tender/SplashBidNoticeAbstractUI.aspx?menuIndex=3&amp;refID=7151871&amp;Result=3","7151871")</f>
        <v>0</v>
      </c>
      <c r="B10217" t="s">
        <v>834</v>
      </c>
      <c r="C10217" t="s">
        <v>13506</v>
      </c>
      <c r="D10217" t="s">
        <v>19046</v>
      </c>
      <c r="E10217" t="s">
        <v>27905</v>
      </c>
      <c r="F10217" t="s">
        <v>32831</v>
      </c>
      <c r="G10217" t="s">
        <v>32838</v>
      </c>
      <c r="H10217" t="s">
        <v>32848</v>
      </c>
      <c r="I10217" t="s">
        <v>5379</v>
      </c>
      <c r="J10217" t="s">
        <v>39281</v>
      </c>
      <c r="K10217" t="s">
        <v>42732</v>
      </c>
      <c r="M10217" t="s">
        <v>43983</v>
      </c>
      <c r="N10217" t="s">
        <v>47424</v>
      </c>
      <c r="O10217" t="s">
        <v>47425</v>
      </c>
      <c r="P10217">
        <v>0</v>
      </c>
      <c r="Q10217">
        <v>1</v>
      </c>
      <c r="R10217" t="s">
        <v>47433</v>
      </c>
      <c r="S10217" t="s">
        <v>47633</v>
      </c>
      <c r="T10217" t="s">
        <v>49239</v>
      </c>
      <c r="U10217" t="s">
        <v>51434</v>
      </c>
      <c r="W10217" t="s">
        <v>43983</v>
      </c>
      <c r="X10217" t="s">
        <v>47434</v>
      </c>
    </row>
    <row r="10218" spans="1:24">
      <c r="A10218">
        <f>HYPERLINK("https://www.philgeps.gov.ph/GEPSNONPILOT/Tender/SplashBidNoticeAbstractUI.aspx?menuIndex=3&amp;refID=7151856&amp;Result=3","7151856")</f>
        <v>0</v>
      </c>
      <c r="B10218" t="s">
        <v>395</v>
      </c>
      <c r="C10218" t="s">
        <v>13507</v>
      </c>
      <c r="D10218" t="s">
        <v>19091</v>
      </c>
      <c r="E10218" t="s">
        <v>19476</v>
      </c>
      <c r="F10218" t="s">
        <v>32831</v>
      </c>
      <c r="G10218" t="s">
        <v>32839</v>
      </c>
      <c r="H10218" t="s">
        <v>32848</v>
      </c>
      <c r="I10218" t="s">
        <v>4222</v>
      </c>
      <c r="J10218" t="s">
        <v>39282</v>
      </c>
      <c r="K10218" t="s">
        <v>42759</v>
      </c>
      <c r="M10218" t="s">
        <v>43400</v>
      </c>
      <c r="N10218" t="s">
        <v>47424</v>
      </c>
      <c r="O10218" t="s">
        <v>47425</v>
      </c>
      <c r="P10218">
        <v>0</v>
      </c>
      <c r="Q10218">
        <v>1</v>
      </c>
      <c r="R10218" t="s">
        <v>47433</v>
      </c>
      <c r="S10218" t="s">
        <v>47633</v>
      </c>
      <c r="T10218" t="s">
        <v>49105</v>
      </c>
      <c r="U10218" t="s">
        <v>58081</v>
      </c>
      <c r="W10218" t="s">
        <v>43400</v>
      </c>
      <c r="X10218" t="s">
        <v>47434</v>
      </c>
    </row>
    <row r="10219" spans="1:24">
      <c r="A10219">
        <f>HYPERLINK("https://www.philgeps.gov.ph/GEPSNONPILOT/Tender/SplashBidNoticeAbstractUI.aspx?menuIndex=3&amp;refID=7151905&amp;Result=3","7151905")</f>
        <v>0</v>
      </c>
      <c r="B10219" t="s">
        <v>3154</v>
      </c>
      <c r="C10219" t="s">
        <v>13508</v>
      </c>
      <c r="E10219" t="s">
        <v>19471</v>
      </c>
      <c r="F10219" t="s">
        <v>32831</v>
      </c>
      <c r="G10219" t="s">
        <v>32839</v>
      </c>
      <c r="H10219" t="s">
        <v>32848</v>
      </c>
      <c r="I10219" t="s">
        <v>7416</v>
      </c>
      <c r="J10219" t="s">
        <v>39283</v>
      </c>
      <c r="K10219" t="s">
        <v>42732</v>
      </c>
      <c r="M10219" t="s">
        <v>46456</v>
      </c>
      <c r="N10219" t="s">
        <v>47424</v>
      </c>
      <c r="O10219" t="s">
        <v>47425</v>
      </c>
      <c r="P10219">
        <v>0</v>
      </c>
      <c r="Q10219">
        <v>0</v>
      </c>
      <c r="R10219" t="s">
        <v>47433</v>
      </c>
      <c r="S10219" t="s">
        <v>47633</v>
      </c>
      <c r="T10219" t="s">
        <v>49212</v>
      </c>
      <c r="U10219" t="s">
        <v>58082</v>
      </c>
      <c r="W10219" t="s">
        <v>46456</v>
      </c>
      <c r="X10219" t="s">
        <v>47434</v>
      </c>
    </row>
    <row r="10220" spans="1:24">
      <c r="A10220">
        <f>HYPERLINK("https://www.philgeps.gov.ph/GEPSNONPILOT/Tender/SplashBidNoticeAbstractUI.aspx?menuIndex=3&amp;refID=7151911&amp;Result=3","7151911")</f>
        <v>0</v>
      </c>
      <c r="B10220" t="s">
        <v>2862</v>
      </c>
      <c r="C10220" t="s">
        <v>13509</v>
      </c>
      <c r="E10220" t="s">
        <v>27906</v>
      </c>
      <c r="F10220" t="s">
        <v>32831</v>
      </c>
      <c r="G10220" t="s">
        <v>32839</v>
      </c>
      <c r="H10220" t="s">
        <v>32848</v>
      </c>
      <c r="I10220" t="s">
        <v>32926</v>
      </c>
      <c r="J10220" t="s">
        <v>39284</v>
      </c>
      <c r="K10220" t="s">
        <v>42732</v>
      </c>
      <c r="M10220" t="s">
        <v>46457</v>
      </c>
      <c r="N10220" t="s">
        <v>47424</v>
      </c>
      <c r="O10220" t="s">
        <v>47425</v>
      </c>
      <c r="P10220">
        <v>0</v>
      </c>
      <c r="Q10220">
        <v>2</v>
      </c>
      <c r="R10220" t="s">
        <v>47433</v>
      </c>
      <c r="S10220" t="s">
        <v>47633</v>
      </c>
      <c r="T10220" t="s">
        <v>49237</v>
      </c>
      <c r="U10220" t="s">
        <v>58083</v>
      </c>
      <c r="V10220" t="s">
        <v>63749</v>
      </c>
      <c r="W10220" t="s">
        <v>46457</v>
      </c>
      <c r="X10220" t="s">
        <v>47434</v>
      </c>
    </row>
    <row r="10221" spans="1:24">
      <c r="A10221">
        <f>HYPERLINK("https://www.philgeps.gov.ph/GEPSNONPILOT/Tender/SplashBidNoticeAbstractUI.aspx?menuIndex=3&amp;refID=7151904&amp;Result=3","7151904")</f>
        <v>0</v>
      </c>
      <c r="B10221" t="s">
        <v>2917</v>
      </c>
      <c r="C10221" t="s">
        <v>4859</v>
      </c>
      <c r="E10221" t="s">
        <v>27907</v>
      </c>
      <c r="F10221" t="s">
        <v>32831</v>
      </c>
      <c r="G10221" t="s">
        <v>32840</v>
      </c>
      <c r="H10221" t="s">
        <v>32848</v>
      </c>
      <c r="I10221" t="s">
        <v>9577</v>
      </c>
      <c r="J10221" t="s">
        <v>39285</v>
      </c>
      <c r="K10221" t="s">
        <v>42732</v>
      </c>
      <c r="M10221" t="s">
        <v>46169</v>
      </c>
      <c r="N10221" t="s">
        <v>47424</v>
      </c>
      <c r="O10221" t="s">
        <v>47425</v>
      </c>
      <c r="P10221">
        <v>0</v>
      </c>
      <c r="Q10221">
        <v>0</v>
      </c>
      <c r="R10221" t="s">
        <v>47433</v>
      </c>
      <c r="S10221" t="s">
        <v>47633</v>
      </c>
      <c r="T10221" t="s">
        <v>49239</v>
      </c>
      <c r="U10221" t="s">
        <v>58084</v>
      </c>
      <c r="W10221" t="s">
        <v>46169</v>
      </c>
      <c r="X10221" t="s">
        <v>47434</v>
      </c>
    </row>
    <row r="10222" spans="1:24">
      <c r="A10222">
        <f>HYPERLINK("https://www.philgeps.gov.ph/GEPSNONPILOT/Tender/SplashBidNoticeAbstractUI.aspx?menuIndex=3&amp;refID=7151902&amp;Result=3","7151902")</f>
        <v>0</v>
      </c>
      <c r="B10222" t="s">
        <v>3153</v>
      </c>
      <c r="C10222" t="s">
        <v>13510</v>
      </c>
      <c r="D10222" t="s">
        <v>19017</v>
      </c>
      <c r="E10222" t="s">
        <v>22359</v>
      </c>
      <c r="F10222" t="s">
        <v>32831</v>
      </c>
      <c r="G10222" t="s">
        <v>32839</v>
      </c>
      <c r="H10222" t="s">
        <v>32848</v>
      </c>
      <c r="I10222" t="s">
        <v>4438</v>
      </c>
      <c r="J10222" t="s">
        <v>33380</v>
      </c>
      <c r="K10222" t="s">
        <v>42758</v>
      </c>
      <c r="M10222" t="s">
        <v>46455</v>
      </c>
      <c r="N10222" t="s">
        <v>47424</v>
      </c>
      <c r="O10222" t="s">
        <v>47425</v>
      </c>
      <c r="P10222">
        <v>0</v>
      </c>
      <c r="Q10222">
        <v>1</v>
      </c>
      <c r="R10222" t="s">
        <v>47433</v>
      </c>
      <c r="S10222" t="s">
        <v>47633</v>
      </c>
      <c r="T10222" t="s">
        <v>49221</v>
      </c>
      <c r="U10222" t="s">
        <v>58080</v>
      </c>
      <c r="W10222" t="s">
        <v>46455</v>
      </c>
      <c r="X10222" t="s">
        <v>47434</v>
      </c>
    </row>
    <row r="10223" spans="1:24">
      <c r="A10223">
        <f>HYPERLINK("https://www.philgeps.gov.ph/GEPSNONPILOT/Tender/SplashBidNoticeAbstractUI.aspx?menuIndex=3&amp;refID=7151909&amp;Result=3","7151909")</f>
        <v>0</v>
      </c>
      <c r="B10223" t="s">
        <v>3155</v>
      </c>
      <c r="C10223" t="s">
        <v>13511</v>
      </c>
      <c r="D10223" t="s">
        <v>19077</v>
      </c>
      <c r="E10223" t="s">
        <v>27908</v>
      </c>
      <c r="F10223" t="s">
        <v>32831</v>
      </c>
      <c r="G10223" t="s">
        <v>32839</v>
      </c>
      <c r="H10223" t="s">
        <v>32848</v>
      </c>
      <c r="I10223" t="s">
        <v>10805</v>
      </c>
      <c r="J10223" t="s">
        <v>39286</v>
      </c>
      <c r="K10223" t="s">
        <v>42775</v>
      </c>
      <c r="M10223" t="s">
        <v>46458</v>
      </c>
      <c r="N10223" t="s">
        <v>47424</v>
      </c>
      <c r="O10223" t="s">
        <v>47425</v>
      </c>
      <c r="P10223">
        <v>0</v>
      </c>
      <c r="Q10223">
        <v>9</v>
      </c>
      <c r="R10223" t="s">
        <v>47433</v>
      </c>
      <c r="S10223" t="s">
        <v>47633</v>
      </c>
      <c r="T10223" t="s">
        <v>49173</v>
      </c>
      <c r="U10223" t="s">
        <v>58085</v>
      </c>
      <c r="W10223" t="s">
        <v>46458</v>
      </c>
      <c r="X10223" t="s">
        <v>47434</v>
      </c>
    </row>
    <row r="10224" spans="1:24">
      <c r="A10224">
        <f>HYPERLINK("https://www.philgeps.gov.ph/GEPSNONPILOT/Tender/SplashBidNoticeAbstractUI.aspx?menuIndex=3&amp;refID=7151897&amp;Result=3","7151897")</f>
        <v>0</v>
      </c>
      <c r="B10224" t="s">
        <v>3153</v>
      </c>
      <c r="C10224" t="s">
        <v>13512</v>
      </c>
      <c r="D10224" t="s">
        <v>19017</v>
      </c>
      <c r="E10224" t="s">
        <v>20710</v>
      </c>
      <c r="F10224" t="s">
        <v>32831</v>
      </c>
      <c r="G10224" t="s">
        <v>32839</v>
      </c>
      <c r="H10224" t="s">
        <v>32848</v>
      </c>
      <c r="I10224" t="s">
        <v>4438</v>
      </c>
      <c r="J10224" t="s">
        <v>36708</v>
      </c>
      <c r="K10224" t="s">
        <v>42758</v>
      </c>
      <c r="M10224" t="s">
        <v>46455</v>
      </c>
      <c r="N10224" t="s">
        <v>47424</v>
      </c>
      <c r="O10224" t="s">
        <v>47425</v>
      </c>
      <c r="P10224">
        <v>0</v>
      </c>
      <c r="Q10224">
        <v>2</v>
      </c>
      <c r="R10224" t="s">
        <v>47433</v>
      </c>
      <c r="S10224" t="s">
        <v>47633</v>
      </c>
      <c r="T10224" t="s">
        <v>49221</v>
      </c>
      <c r="U10224" t="s">
        <v>58080</v>
      </c>
      <c r="W10224" t="s">
        <v>46455</v>
      </c>
      <c r="X10224" t="s">
        <v>47434</v>
      </c>
    </row>
    <row r="10225" spans="1:24">
      <c r="A10225">
        <f>HYPERLINK("https://www.philgeps.gov.ph/GEPSNONPILOT/Tender/SplashBidNoticeAbstractUI.aspx?menuIndex=3&amp;refID=7151896&amp;Result=3","7151896")</f>
        <v>0</v>
      </c>
      <c r="B10225" t="s">
        <v>3156</v>
      </c>
      <c r="C10225" t="s">
        <v>13513</v>
      </c>
      <c r="D10225" t="s">
        <v>19021</v>
      </c>
      <c r="E10225" t="s">
        <v>27909</v>
      </c>
      <c r="F10225" t="s">
        <v>32831</v>
      </c>
      <c r="G10225" t="s">
        <v>32839</v>
      </c>
      <c r="H10225" t="s">
        <v>32848</v>
      </c>
      <c r="I10225" t="s">
        <v>9577</v>
      </c>
      <c r="J10225" t="s">
        <v>39287</v>
      </c>
      <c r="K10225" t="s">
        <v>42726</v>
      </c>
      <c r="M10225" t="s">
        <v>46459</v>
      </c>
      <c r="N10225" t="s">
        <v>47424</v>
      </c>
      <c r="O10225" t="s">
        <v>47425</v>
      </c>
      <c r="P10225">
        <v>0</v>
      </c>
      <c r="Q10225">
        <v>5</v>
      </c>
      <c r="R10225" t="s">
        <v>47433</v>
      </c>
      <c r="S10225" t="s">
        <v>47633</v>
      </c>
      <c r="T10225" t="s">
        <v>49163</v>
      </c>
      <c r="U10225" t="s">
        <v>58086</v>
      </c>
      <c r="V10225" t="s">
        <v>63750</v>
      </c>
      <c r="W10225" t="s">
        <v>46459</v>
      </c>
      <c r="X10225" t="s">
        <v>47434</v>
      </c>
    </row>
    <row r="10226" spans="1:24">
      <c r="A10226">
        <f>HYPERLINK("https://www.philgeps.gov.ph/GEPSNONPILOT/Tender/SplashBidNoticeAbstractUI.aspx?menuIndex=3&amp;refID=7151913&amp;Result=3","7151913")</f>
        <v>0</v>
      </c>
      <c r="B10226" t="s">
        <v>3156</v>
      </c>
      <c r="C10226" t="s">
        <v>13514</v>
      </c>
      <c r="D10226" t="s">
        <v>19021</v>
      </c>
      <c r="E10226" t="s">
        <v>27910</v>
      </c>
      <c r="F10226" t="s">
        <v>32831</v>
      </c>
      <c r="G10226" t="s">
        <v>32839</v>
      </c>
      <c r="H10226" t="s">
        <v>32848</v>
      </c>
      <c r="I10226" t="s">
        <v>9577</v>
      </c>
      <c r="J10226" t="s">
        <v>39288</v>
      </c>
      <c r="K10226" t="s">
        <v>42726</v>
      </c>
      <c r="M10226" t="s">
        <v>46459</v>
      </c>
      <c r="N10226" t="s">
        <v>47424</v>
      </c>
      <c r="O10226" t="s">
        <v>47425</v>
      </c>
      <c r="P10226">
        <v>0</v>
      </c>
      <c r="Q10226">
        <v>5</v>
      </c>
      <c r="R10226" t="s">
        <v>47433</v>
      </c>
      <c r="S10226" t="s">
        <v>47633</v>
      </c>
      <c r="T10226" t="s">
        <v>49163</v>
      </c>
      <c r="U10226" t="s">
        <v>58087</v>
      </c>
      <c r="V10226" t="s">
        <v>63457</v>
      </c>
      <c r="W10226" t="s">
        <v>46459</v>
      </c>
      <c r="X10226" t="s">
        <v>47434</v>
      </c>
    </row>
    <row r="10227" spans="1:24">
      <c r="A10227">
        <f>HYPERLINK("https://www.philgeps.gov.ph/GEPSNONPILOT/Tender/SplashBidNoticeAbstractUI.aspx?menuIndex=3&amp;refID=7151953&amp;Result=3","7151953")</f>
        <v>0</v>
      </c>
      <c r="B10227" t="s">
        <v>3157</v>
      </c>
      <c r="C10227" t="s">
        <v>13515</v>
      </c>
      <c r="D10227" t="s">
        <v>19074</v>
      </c>
      <c r="E10227" t="s">
        <v>27911</v>
      </c>
      <c r="F10227" t="s">
        <v>32831</v>
      </c>
      <c r="G10227" t="s">
        <v>32839</v>
      </c>
      <c r="H10227" t="s">
        <v>32849</v>
      </c>
      <c r="I10227" t="s">
        <v>4177</v>
      </c>
      <c r="J10227" t="s">
        <v>39289</v>
      </c>
      <c r="K10227" t="s">
        <v>42730</v>
      </c>
      <c r="M10227" t="s">
        <v>46460</v>
      </c>
      <c r="N10227" t="s">
        <v>47424</v>
      </c>
      <c r="O10227" t="s">
        <v>47425</v>
      </c>
      <c r="P10227">
        <v>0</v>
      </c>
      <c r="Q10227">
        <v>0</v>
      </c>
      <c r="R10227" t="s">
        <v>47433</v>
      </c>
      <c r="S10227" t="s">
        <v>47633</v>
      </c>
      <c r="T10227" t="s">
        <v>49112</v>
      </c>
      <c r="U10227" t="s">
        <v>58088</v>
      </c>
      <c r="W10227" t="s">
        <v>46460</v>
      </c>
      <c r="X10227" t="s">
        <v>47434</v>
      </c>
    </row>
    <row r="10228" spans="1:24">
      <c r="A10228">
        <f>HYPERLINK("https://www.philgeps.gov.ph/GEPSNONPILOT/Tender/SplashBidNoticeAbstractUI.aspx?menuIndex=3&amp;refID=7151903&amp;Result=3","7151903")</f>
        <v>0</v>
      </c>
      <c r="B10228" t="s">
        <v>2578</v>
      </c>
      <c r="C10228" t="s">
        <v>13516</v>
      </c>
      <c r="E10228" t="s">
        <v>27912</v>
      </c>
      <c r="F10228" t="s">
        <v>32831</v>
      </c>
      <c r="G10228" t="s">
        <v>32839</v>
      </c>
      <c r="H10228" t="s">
        <v>32849</v>
      </c>
      <c r="I10228" t="s">
        <v>4177</v>
      </c>
      <c r="J10228" t="s">
        <v>39290</v>
      </c>
      <c r="K10228" t="s">
        <v>42732</v>
      </c>
      <c r="M10228" t="s">
        <v>45796</v>
      </c>
      <c r="N10228" t="s">
        <v>47424</v>
      </c>
      <c r="O10228" t="s">
        <v>47425</v>
      </c>
      <c r="P10228">
        <v>0</v>
      </c>
      <c r="Q10228">
        <v>5</v>
      </c>
      <c r="R10228" t="s">
        <v>47433</v>
      </c>
      <c r="S10228" t="s">
        <v>47633</v>
      </c>
      <c r="T10228" t="s">
        <v>49237</v>
      </c>
      <c r="U10228" t="s">
        <v>58089</v>
      </c>
      <c r="V10228" t="s">
        <v>63751</v>
      </c>
      <c r="W10228" t="s">
        <v>45796</v>
      </c>
      <c r="X10228" t="s">
        <v>47434</v>
      </c>
    </row>
    <row r="10229" spans="1:24">
      <c r="A10229">
        <f>HYPERLINK("https://www.philgeps.gov.ph/GEPSNONPILOT/Tender/SplashBidNoticeAbstractUI.aspx?menuIndex=3&amp;refID=7151951&amp;Result=3","7151951")</f>
        <v>0</v>
      </c>
      <c r="B10229" t="s">
        <v>3153</v>
      </c>
      <c r="C10229" t="s">
        <v>13517</v>
      </c>
      <c r="D10229" t="s">
        <v>19017</v>
      </c>
      <c r="E10229" t="s">
        <v>20136</v>
      </c>
      <c r="F10229" t="s">
        <v>32831</v>
      </c>
      <c r="G10229" t="s">
        <v>32839</v>
      </c>
      <c r="H10229" t="s">
        <v>32848</v>
      </c>
      <c r="I10229" t="s">
        <v>4438</v>
      </c>
      <c r="J10229" t="s">
        <v>32978</v>
      </c>
      <c r="K10229" t="s">
        <v>42758</v>
      </c>
      <c r="M10229" t="s">
        <v>46455</v>
      </c>
      <c r="N10229" t="s">
        <v>47424</v>
      </c>
      <c r="O10229" t="s">
        <v>47425</v>
      </c>
      <c r="P10229">
        <v>0</v>
      </c>
      <c r="Q10229">
        <v>0</v>
      </c>
      <c r="R10229" t="s">
        <v>47433</v>
      </c>
      <c r="S10229" t="s">
        <v>47633</v>
      </c>
      <c r="T10229" t="s">
        <v>49221</v>
      </c>
      <c r="U10229" t="s">
        <v>58080</v>
      </c>
      <c r="W10229" t="s">
        <v>46455</v>
      </c>
      <c r="X10229" t="s">
        <v>47434</v>
      </c>
    </row>
    <row r="10230" spans="1:24">
      <c r="A10230">
        <f>HYPERLINK("https://www.philgeps.gov.ph/GEPSNONPILOT/Tender/SplashBidNoticeAbstractUI.aspx?menuIndex=3&amp;refID=7151950&amp;Result=3","7151950")</f>
        <v>0</v>
      </c>
      <c r="B10230" t="s">
        <v>3158</v>
      </c>
      <c r="C10230" t="s">
        <v>13518</v>
      </c>
      <c r="D10230" t="s">
        <v>19050</v>
      </c>
      <c r="E10230" t="s">
        <v>23482</v>
      </c>
      <c r="F10230" t="s">
        <v>32831</v>
      </c>
      <c r="G10230" t="s">
        <v>32839</v>
      </c>
      <c r="H10230" t="s">
        <v>32848</v>
      </c>
      <c r="I10230" t="s">
        <v>32852</v>
      </c>
      <c r="J10230" t="s">
        <v>39291</v>
      </c>
      <c r="K10230" t="s">
        <v>42727</v>
      </c>
      <c r="M10230" t="s">
        <v>46461</v>
      </c>
      <c r="N10230" t="s">
        <v>47424</v>
      </c>
      <c r="O10230" t="s">
        <v>47425</v>
      </c>
      <c r="P10230">
        <v>0</v>
      </c>
      <c r="Q10230">
        <v>1</v>
      </c>
      <c r="R10230" t="s">
        <v>47433</v>
      </c>
      <c r="S10230" t="s">
        <v>47633</v>
      </c>
      <c r="T10230" t="s">
        <v>49398</v>
      </c>
      <c r="U10230" t="s">
        <v>58090</v>
      </c>
      <c r="W10230" t="s">
        <v>46461</v>
      </c>
      <c r="X10230" t="s">
        <v>47434</v>
      </c>
    </row>
    <row r="10231" spans="1:24">
      <c r="A10231">
        <f>HYPERLINK("https://www.philgeps.gov.ph/GEPSNONPILOT/Tender/SplashBidNoticeAbstractUI.aspx?menuIndex=3&amp;refID=7151898&amp;Result=3","7151898")</f>
        <v>0</v>
      </c>
      <c r="B10231" t="s">
        <v>2917</v>
      </c>
      <c r="C10231" t="s">
        <v>13519</v>
      </c>
      <c r="E10231" t="s">
        <v>27913</v>
      </c>
      <c r="F10231" t="s">
        <v>32831</v>
      </c>
      <c r="G10231" t="s">
        <v>32838</v>
      </c>
      <c r="H10231" t="s">
        <v>32848</v>
      </c>
      <c r="I10231" t="s">
        <v>32882</v>
      </c>
      <c r="J10231" t="s">
        <v>33291</v>
      </c>
      <c r="K10231" t="s">
        <v>42732</v>
      </c>
      <c r="M10231" t="s">
        <v>46169</v>
      </c>
      <c r="N10231" t="s">
        <v>47424</v>
      </c>
      <c r="O10231" t="s">
        <v>47425</v>
      </c>
      <c r="P10231">
        <v>0</v>
      </c>
      <c r="Q10231">
        <v>2</v>
      </c>
      <c r="R10231" t="s">
        <v>47433</v>
      </c>
      <c r="S10231" t="s">
        <v>47633</v>
      </c>
      <c r="T10231" t="s">
        <v>49239</v>
      </c>
      <c r="U10231" t="s">
        <v>58091</v>
      </c>
      <c r="W10231" t="s">
        <v>46169</v>
      </c>
      <c r="X10231" t="s">
        <v>47434</v>
      </c>
    </row>
    <row r="10232" spans="1:24">
      <c r="A10232">
        <f>HYPERLINK("https://www.philgeps.gov.ph/GEPSNONPILOT/Tender/SplashBidNoticeAbstractUI.aspx?menuIndex=3&amp;refID=7151949&amp;Result=3","7151949")</f>
        <v>0</v>
      </c>
      <c r="B10232" t="s">
        <v>3153</v>
      </c>
      <c r="C10232" t="s">
        <v>13517</v>
      </c>
      <c r="D10232" t="s">
        <v>19017</v>
      </c>
      <c r="E10232" t="s">
        <v>20418</v>
      </c>
      <c r="F10232" t="s">
        <v>32831</v>
      </c>
      <c r="G10232" t="s">
        <v>32839</v>
      </c>
      <c r="H10232" t="s">
        <v>32848</v>
      </c>
      <c r="I10232" t="s">
        <v>4438</v>
      </c>
      <c r="J10232" t="s">
        <v>32978</v>
      </c>
      <c r="K10232" t="s">
        <v>42758</v>
      </c>
      <c r="M10232" t="s">
        <v>46455</v>
      </c>
      <c r="N10232" t="s">
        <v>47424</v>
      </c>
      <c r="O10232" t="s">
        <v>47425</v>
      </c>
      <c r="P10232">
        <v>0</v>
      </c>
      <c r="Q10232">
        <v>0</v>
      </c>
      <c r="R10232" t="s">
        <v>47433</v>
      </c>
      <c r="S10232" t="s">
        <v>47633</v>
      </c>
      <c r="T10232" t="s">
        <v>49221</v>
      </c>
      <c r="U10232" t="s">
        <v>58080</v>
      </c>
      <c r="W10232" t="s">
        <v>46455</v>
      </c>
      <c r="X10232" t="s">
        <v>47434</v>
      </c>
    </row>
    <row r="10233" spans="1:24">
      <c r="A10233">
        <f>HYPERLINK("https://www.philgeps.gov.ph/GEPSNONPILOT/Tender/SplashBidNoticeAbstractUI.aspx?menuIndex=3&amp;refID=7151943&amp;Result=3","7151943")</f>
        <v>0</v>
      </c>
      <c r="B10233" t="s">
        <v>3153</v>
      </c>
      <c r="C10233" t="s">
        <v>7474</v>
      </c>
      <c r="D10233" t="s">
        <v>19017</v>
      </c>
      <c r="E10233" t="s">
        <v>25691</v>
      </c>
      <c r="F10233" t="s">
        <v>32831</v>
      </c>
      <c r="G10233" t="s">
        <v>32839</v>
      </c>
      <c r="H10233" t="s">
        <v>32848</v>
      </c>
      <c r="I10233" t="s">
        <v>4438</v>
      </c>
      <c r="J10233" t="s">
        <v>32978</v>
      </c>
      <c r="K10233" t="s">
        <v>42758</v>
      </c>
      <c r="M10233" t="s">
        <v>46455</v>
      </c>
      <c r="N10233" t="s">
        <v>47424</v>
      </c>
      <c r="O10233" t="s">
        <v>47425</v>
      </c>
      <c r="P10233">
        <v>0</v>
      </c>
      <c r="Q10233">
        <v>3</v>
      </c>
      <c r="R10233" t="s">
        <v>47433</v>
      </c>
      <c r="S10233" t="s">
        <v>47633</v>
      </c>
      <c r="T10233" t="s">
        <v>49221</v>
      </c>
      <c r="U10233" t="s">
        <v>58080</v>
      </c>
      <c r="W10233" t="s">
        <v>46455</v>
      </c>
      <c r="X10233" t="s">
        <v>47434</v>
      </c>
    </row>
    <row r="10234" spans="1:24">
      <c r="A10234">
        <f>HYPERLINK("https://www.philgeps.gov.ph/GEPSNONPILOT/Tender/SplashBidNoticeAbstractUI.aspx?menuIndex=3&amp;refID=7151941&amp;Result=3","7151941")</f>
        <v>0</v>
      </c>
      <c r="B10234" t="s">
        <v>3153</v>
      </c>
      <c r="C10234" t="s">
        <v>13520</v>
      </c>
      <c r="D10234" t="s">
        <v>19017</v>
      </c>
      <c r="E10234" t="s">
        <v>25131</v>
      </c>
      <c r="F10234" t="s">
        <v>32831</v>
      </c>
      <c r="G10234" t="s">
        <v>32839</v>
      </c>
      <c r="H10234" t="s">
        <v>32848</v>
      </c>
      <c r="I10234" t="s">
        <v>4438</v>
      </c>
      <c r="J10234" t="s">
        <v>39292</v>
      </c>
      <c r="K10234" t="s">
        <v>42758</v>
      </c>
      <c r="M10234" t="s">
        <v>46455</v>
      </c>
      <c r="N10234" t="s">
        <v>47424</v>
      </c>
      <c r="O10234" t="s">
        <v>47425</v>
      </c>
      <c r="P10234">
        <v>0</v>
      </c>
      <c r="Q10234">
        <v>2</v>
      </c>
      <c r="R10234" t="s">
        <v>47433</v>
      </c>
      <c r="S10234" t="s">
        <v>47633</v>
      </c>
      <c r="T10234" t="s">
        <v>49221</v>
      </c>
      <c r="U10234" t="s">
        <v>58080</v>
      </c>
      <c r="W10234" t="s">
        <v>46455</v>
      </c>
      <c r="X10234" t="s">
        <v>47434</v>
      </c>
    </row>
    <row r="10235" spans="1:24">
      <c r="A10235">
        <f>HYPERLINK("https://www.philgeps.gov.ph/GEPSNONPILOT/Tender/SplashBidNoticeAbstractUI.aspx?menuIndex=3&amp;refID=7151937&amp;Result=3","7151937")</f>
        <v>0</v>
      </c>
      <c r="B10235" t="s">
        <v>584</v>
      </c>
      <c r="C10235" t="s">
        <v>13521</v>
      </c>
      <c r="D10235" t="s">
        <v>19017</v>
      </c>
      <c r="E10235" t="s">
        <v>27914</v>
      </c>
      <c r="F10235" t="s">
        <v>32831</v>
      </c>
      <c r="G10235" t="s">
        <v>32839</v>
      </c>
      <c r="H10235" t="s">
        <v>32848</v>
      </c>
      <c r="I10235" t="s">
        <v>4438</v>
      </c>
      <c r="J10235" t="s">
        <v>33032</v>
      </c>
      <c r="K10235" t="s">
        <v>42747</v>
      </c>
      <c r="M10235" t="s">
        <v>46462</v>
      </c>
      <c r="N10235" t="s">
        <v>47424</v>
      </c>
      <c r="O10235" t="s">
        <v>47425</v>
      </c>
      <c r="P10235">
        <v>0</v>
      </c>
      <c r="Q10235">
        <v>16</v>
      </c>
      <c r="R10235" t="s">
        <v>47433</v>
      </c>
      <c r="S10235" t="s">
        <v>47633</v>
      </c>
      <c r="T10235" t="s">
        <v>49319</v>
      </c>
      <c r="U10235" t="s">
        <v>58092</v>
      </c>
      <c r="W10235" t="s">
        <v>46462</v>
      </c>
      <c r="X10235" t="s">
        <v>47434</v>
      </c>
    </row>
    <row r="10236" spans="1:24">
      <c r="A10236">
        <f>HYPERLINK("https://www.philgeps.gov.ph/GEPSNONPILOT/Tender/SplashBidNoticeAbstractUI.aspx?menuIndex=3&amp;refID=7151936&amp;Result=3","7151936")</f>
        <v>0</v>
      </c>
      <c r="B10236" t="s">
        <v>242</v>
      </c>
      <c r="C10236" t="s">
        <v>13522</v>
      </c>
      <c r="D10236" t="s">
        <v>19101</v>
      </c>
      <c r="E10236" t="s">
        <v>27915</v>
      </c>
      <c r="F10236" t="s">
        <v>32831</v>
      </c>
      <c r="G10236" t="s">
        <v>32839</v>
      </c>
      <c r="H10236" t="s">
        <v>32848</v>
      </c>
      <c r="I10236" t="s">
        <v>32890</v>
      </c>
      <c r="J10236" t="s">
        <v>33032</v>
      </c>
      <c r="K10236" t="s">
        <v>42763</v>
      </c>
      <c r="M10236" t="s">
        <v>46463</v>
      </c>
      <c r="N10236" t="s">
        <v>47424</v>
      </c>
      <c r="O10236" t="s">
        <v>47425</v>
      </c>
      <c r="P10236">
        <v>0</v>
      </c>
      <c r="Q10236">
        <v>1</v>
      </c>
      <c r="R10236" t="s">
        <v>47433</v>
      </c>
      <c r="S10236" t="s">
        <v>47633</v>
      </c>
      <c r="T10236" t="s">
        <v>49265</v>
      </c>
      <c r="U10236" t="s">
        <v>58093</v>
      </c>
      <c r="W10236" t="s">
        <v>46463</v>
      </c>
      <c r="X10236" t="s">
        <v>47434</v>
      </c>
    </row>
    <row r="10237" spans="1:24">
      <c r="A10237">
        <f>HYPERLINK("https://www.philgeps.gov.ph/GEPSNONPILOT/Tender/SplashBidNoticeAbstractUI.aspx?menuIndex=3&amp;refID=7151933&amp;Result=3","7151933")</f>
        <v>0</v>
      </c>
      <c r="B10237" t="s">
        <v>3158</v>
      </c>
      <c r="C10237" t="s">
        <v>13523</v>
      </c>
      <c r="D10237" t="s">
        <v>19050</v>
      </c>
      <c r="E10237" t="s">
        <v>19654</v>
      </c>
      <c r="F10237" t="s">
        <v>32831</v>
      </c>
      <c r="G10237" t="s">
        <v>32839</v>
      </c>
      <c r="H10237" t="s">
        <v>32848</v>
      </c>
      <c r="I10237" t="s">
        <v>4471</v>
      </c>
      <c r="J10237" t="s">
        <v>39293</v>
      </c>
      <c r="K10237" t="s">
        <v>42727</v>
      </c>
      <c r="M10237" t="s">
        <v>46461</v>
      </c>
      <c r="N10237" t="s">
        <v>47424</v>
      </c>
      <c r="O10237" t="s">
        <v>47425</v>
      </c>
      <c r="P10237">
        <v>0</v>
      </c>
      <c r="Q10237">
        <v>1</v>
      </c>
      <c r="R10237" t="s">
        <v>47433</v>
      </c>
      <c r="S10237" t="s">
        <v>47633</v>
      </c>
      <c r="T10237" t="s">
        <v>49398</v>
      </c>
      <c r="U10237" t="s">
        <v>58090</v>
      </c>
      <c r="W10237" t="s">
        <v>46461</v>
      </c>
      <c r="X10237" t="s">
        <v>47434</v>
      </c>
    </row>
    <row r="10238" spans="1:24">
      <c r="A10238">
        <f>HYPERLINK("https://www.philgeps.gov.ph/GEPSNONPILOT/Tender/SplashBidNoticeAbstractUI.aspx?menuIndex=3&amp;refID=7151932&amp;Result=3","7151932")</f>
        <v>0</v>
      </c>
      <c r="B10238" t="s">
        <v>3153</v>
      </c>
      <c r="C10238" t="s">
        <v>13524</v>
      </c>
      <c r="D10238" t="s">
        <v>19017</v>
      </c>
      <c r="E10238" t="s">
        <v>27916</v>
      </c>
      <c r="F10238" t="s">
        <v>32831</v>
      </c>
      <c r="G10238" t="s">
        <v>32839</v>
      </c>
      <c r="H10238" t="s">
        <v>32848</v>
      </c>
      <c r="I10238" t="s">
        <v>4438</v>
      </c>
      <c r="J10238" t="s">
        <v>33140</v>
      </c>
      <c r="K10238" t="s">
        <v>42758</v>
      </c>
      <c r="M10238" t="s">
        <v>46455</v>
      </c>
      <c r="N10238" t="s">
        <v>47424</v>
      </c>
      <c r="O10238" t="s">
        <v>47425</v>
      </c>
      <c r="P10238">
        <v>0</v>
      </c>
      <c r="Q10238">
        <v>0</v>
      </c>
      <c r="R10238" t="s">
        <v>47433</v>
      </c>
      <c r="S10238" t="s">
        <v>47633</v>
      </c>
      <c r="T10238" t="s">
        <v>49221</v>
      </c>
      <c r="U10238" t="s">
        <v>58080</v>
      </c>
      <c r="W10238" t="s">
        <v>46455</v>
      </c>
      <c r="X10238" t="s">
        <v>47434</v>
      </c>
    </row>
    <row r="10239" spans="1:24">
      <c r="A10239">
        <f>HYPERLINK("https://www.philgeps.gov.ph/GEPSNONPILOT/Tender/SplashBidNoticeAbstractUI.aspx?menuIndex=3&amp;refID=7151931&amp;Result=3","7151931")</f>
        <v>0</v>
      </c>
      <c r="B10239" t="s">
        <v>3159</v>
      </c>
      <c r="C10239" t="s">
        <v>13525</v>
      </c>
      <c r="D10239" t="s">
        <v>19079</v>
      </c>
      <c r="E10239" t="s">
        <v>27917</v>
      </c>
      <c r="F10239" t="s">
        <v>32831</v>
      </c>
      <c r="G10239" t="s">
        <v>32839</v>
      </c>
      <c r="H10239" t="s">
        <v>32848</v>
      </c>
      <c r="I10239" t="s">
        <v>10643</v>
      </c>
      <c r="J10239" t="s">
        <v>39294</v>
      </c>
      <c r="K10239" t="s">
        <v>42730</v>
      </c>
      <c r="M10239" t="s">
        <v>46464</v>
      </c>
      <c r="N10239" t="s">
        <v>47424</v>
      </c>
      <c r="O10239" t="s">
        <v>47425</v>
      </c>
      <c r="P10239">
        <v>0</v>
      </c>
      <c r="Q10239">
        <v>1</v>
      </c>
      <c r="R10239" t="s">
        <v>47433</v>
      </c>
      <c r="S10239" t="s">
        <v>47633</v>
      </c>
      <c r="T10239" t="s">
        <v>49192</v>
      </c>
      <c r="U10239" t="s">
        <v>58094</v>
      </c>
      <c r="W10239" t="s">
        <v>46464</v>
      </c>
      <c r="X10239" t="s">
        <v>47434</v>
      </c>
    </row>
    <row r="10240" spans="1:24">
      <c r="A10240">
        <f>HYPERLINK("https://www.philgeps.gov.ph/GEPSNONPILOT/Tender/SplashBidNoticeAbstractUI.aspx?menuIndex=3&amp;refID=7151930&amp;Result=3","7151930")</f>
        <v>0</v>
      </c>
      <c r="B10240" t="s">
        <v>3153</v>
      </c>
      <c r="C10240" t="s">
        <v>13526</v>
      </c>
      <c r="D10240" t="s">
        <v>19017</v>
      </c>
      <c r="E10240" t="s">
        <v>27918</v>
      </c>
      <c r="F10240" t="s">
        <v>32831</v>
      </c>
      <c r="G10240" t="s">
        <v>32839</v>
      </c>
      <c r="H10240" t="s">
        <v>32848</v>
      </c>
      <c r="I10240" t="s">
        <v>4438</v>
      </c>
      <c r="J10240" t="s">
        <v>32978</v>
      </c>
      <c r="K10240" t="s">
        <v>42758</v>
      </c>
      <c r="M10240" t="s">
        <v>46455</v>
      </c>
      <c r="N10240" t="s">
        <v>47424</v>
      </c>
      <c r="O10240" t="s">
        <v>47425</v>
      </c>
      <c r="P10240">
        <v>0</v>
      </c>
      <c r="Q10240">
        <v>0</v>
      </c>
      <c r="R10240" t="s">
        <v>47433</v>
      </c>
      <c r="S10240" t="s">
        <v>47633</v>
      </c>
      <c r="T10240" t="s">
        <v>49221</v>
      </c>
      <c r="U10240" t="s">
        <v>58080</v>
      </c>
      <c r="W10240" t="s">
        <v>46455</v>
      </c>
      <c r="X10240" t="s">
        <v>47434</v>
      </c>
    </row>
    <row r="10241" spans="1:24">
      <c r="A10241">
        <f>HYPERLINK("https://www.philgeps.gov.ph/GEPSNONPILOT/Tender/SplashBidNoticeAbstractUI.aspx?menuIndex=3&amp;refID=7151928&amp;Result=3","7151928")</f>
        <v>0</v>
      </c>
      <c r="B10241" t="s">
        <v>3160</v>
      </c>
      <c r="C10241" t="s">
        <v>13527</v>
      </c>
      <c r="D10241" t="s">
        <v>19047</v>
      </c>
      <c r="E10241" t="s">
        <v>27919</v>
      </c>
      <c r="F10241" t="s">
        <v>32831</v>
      </c>
      <c r="G10241" t="s">
        <v>32839</v>
      </c>
      <c r="H10241" t="s">
        <v>32848</v>
      </c>
      <c r="I10241" t="s">
        <v>4776</v>
      </c>
      <c r="J10241" t="s">
        <v>32985</v>
      </c>
      <c r="K10241" t="s">
        <v>42732</v>
      </c>
      <c r="M10241" t="s">
        <v>46465</v>
      </c>
      <c r="N10241" t="s">
        <v>47424</v>
      </c>
      <c r="O10241" t="s">
        <v>47425</v>
      </c>
      <c r="P10241">
        <v>0</v>
      </c>
      <c r="Q10241">
        <v>1</v>
      </c>
      <c r="R10241" t="s">
        <v>47433</v>
      </c>
      <c r="S10241" t="s">
        <v>47633</v>
      </c>
      <c r="T10241" t="s">
        <v>49111</v>
      </c>
      <c r="U10241" t="s">
        <v>58095</v>
      </c>
      <c r="W10241" t="s">
        <v>46465</v>
      </c>
      <c r="X10241" t="s">
        <v>47434</v>
      </c>
    </row>
    <row r="10242" spans="1:24">
      <c r="A10242">
        <f>HYPERLINK("https://www.philgeps.gov.ph/GEPSNONPILOT/Tender/SplashBidNoticeAbstractUI.aspx?menuIndex=3&amp;refID=7151926&amp;Result=3","7151926")</f>
        <v>0</v>
      </c>
      <c r="B10242" t="s">
        <v>3153</v>
      </c>
      <c r="C10242" t="s">
        <v>13528</v>
      </c>
      <c r="D10242" t="s">
        <v>19017</v>
      </c>
      <c r="E10242" t="s">
        <v>24464</v>
      </c>
      <c r="F10242" t="s">
        <v>32833</v>
      </c>
      <c r="G10242" t="s">
        <v>32839</v>
      </c>
      <c r="H10242" t="s">
        <v>32848</v>
      </c>
      <c r="I10242" t="s">
        <v>4438</v>
      </c>
      <c r="J10242" t="s">
        <v>36708</v>
      </c>
      <c r="K10242" t="s">
        <v>42758</v>
      </c>
      <c r="M10242" t="s">
        <v>46455</v>
      </c>
      <c r="N10242" t="s">
        <v>47424</v>
      </c>
      <c r="O10242" t="s">
        <v>47425</v>
      </c>
      <c r="P10242">
        <v>0</v>
      </c>
      <c r="Q10242">
        <v>0</v>
      </c>
      <c r="R10242" t="s">
        <v>47433</v>
      </c>
      <c r="S10242" t="s">
        <v>47633</v>
      </c>
      <c r="T10242" t="s">
        <v>49221</v>
      </c>
      <c r="U10242" t="s">
        <v>58080</v>
      </c>
      <c r="W10242" t="s">
        <v>46455</v>
      </c>
      <c r="X10242" t="s">
        <v>47434</v>
      </c>
    </row>
    <row r="10243" spans="1:24">
      <c r="A10243">
        <f>HYPERLINK("https://www.philgeps.gov.ph/GEPSNONPILOT/Tender/SplashBidNoticeAbstractUI.aspx?menuIndex=3&amp;refID=7151922&amp;Result=3","7151922")</f>
        <v>0</v>
      </c>
      <c r="B10243" t="s">
        <v>3153</v>
      </c>
      <c r="C10243" t="s">
        <v>13529</v>
      </c>
      <c r="D10243" t="s">
        <v>19017</v>
      </c>
      <c r="E10243" t="s">
        <v>22757</v>
      </c>
      <c r="F10243" t="s">
        <v>32831</v>
      </c>
      <c r="G10243" t="s">
        <v>32839</v>
      </c>
      <c r="H10243" t="s">
        <v>32848</v>
      </c>
      <c r="I10243" t="s">
        <v>4438</v>
      </c>
      <c r="J10243" t="s">
        <v>34930</v>
      </c>
      <c r="K10243" t="s">
        <v>42758</v>
      </c>
      <c r="M10243" t="s">
        <v>46455</v>
      </c>
      <c r="N10243" t="s">
        <v>47424</v>
      </c>
      <c r="O10243" t="s">
        <v>47425</v>
      </c>
      <c r="P10243">
        <v>0</v>
      </c>
      <c r="Q10243">
        <v>0</v>
      </c>
      <c r="R10243" t="s">
        <v>47433</v>
      </c>
      <c r="S10243" t="s">
        <v>47633</v>
      </c>
      <c r="T10243" t="s">
        <v>49221</v>
      </c>
      <c r="U10243" t="s">
        <v>58080</v>
      </c>
      <c r="W10243" t="s">
        <v>46455</v>
      </c>
      <c r="X10243" t="s">
        <v>47434</v>
      </c>
    </row>
    <row r="10244" spans="1:24">
      <c r="A10244">
        <f>HYPERLINK("https://www.philgeps.gov.ph/GEPSNONPILOT/Tender/SplashBidNoticeAbstractUI.aspx?menuIndex=3&amp;refID=7151918&amp;Result=3","7151918")</f>
        <v>0</v>
      </c>
      <c r="B10244" t="s">
        <v>3151</v>
      </c>
      <c r="C10244" t="s">
        <v>13530</v>
      </c>
      <c r="D10244" t="s">
        <v>19070</v>
      </c>
      <c r="E10244" t="s">
        <v>27920</v>
      </c>
      <c r="F10244" t="s">
        <v>32831</v>
      </c>
      <c r="G10244" t="s">
        <v>32840</v>
      </c>
      <c r="H10244" t="s">
        <v>32848</v>
      </c>
      <c r="I10244" t="s">
        <v>32874</v>
      </c>
      <c r="J10244" t="s">
        <v>34203</v>
      </c>
      <c r="K10244" t="s">
        <v>42727</v>
      </c>
      <c r="M10244" t="s">
        <v>46451</v>
      </c>
      <c r="N10244" t="s">
        <v>47424</v>
      </c>
      <c r="O10244" t="s">
        <v>47425</v>
      </c>
      <c r="P10244">
        <v>0</v>
      </c>
      <c r="Q10244">
        <v>5</v>
      </c>
      <c r="R10244" t="s">
        <v>47433</v>
      </c>
      <c r="S10244" t="s">
        <v>47633</v>
      </c>
      <c r="T10244" t="s">
        <v>49073</v>
      </c>
      <c r="U10244" t="s">
        <v>58096</v>
      </c>
      <c r="W10244" t="s">
        <v>46451</v>
      </c>
      <c r="X10244" t="s">
        <v>47434</v>
      </c>
    </row>
    <row r="10245" spans="1:24">
      <c r="A10245">
        <f>HYPERLINK("https://www.philgeps.gov.ph/GEPSNONPILOT/Tender/SplashBidNoticeAbstractUI.aspx?menuIndex=3&amp;refID=7151893&amp;Result=3","7151893")</f>
        <v>0</v>
      </c>
      <c r="B10245" t="s">
        <v>1580</v>
      </c>
      <c r="C10245" t="s">
        <v>13531</v>
      </c>
      <c r="D10245" t="s">
        <v>19061</v>
      </c>
      <c r="E10245" t="s">
        <v>27921</v>
      </c>
      <c r="F10245" t="s">
        <v>32831</v>
      </c>
      <c r="G10245" t="s">
        <v>32839</v>
      </c>
      <c r="H10245" t="s">
        <v>32848</v>
      </c>
      <c r="I10245" t="s">
        <v>9577</v>
      </c>
      <c r="J10245" t="s">
        <v>39295</v>
      </c>
      <c r="K10245" t="s">
        <v>42731</v>
      </c>
      <c r="M10245" t="s">
        <v>44691</v>
      </c>
      <c r="N10245" t="s">
        <v>47424</v>
      </c>
      <c r="O10245" t="s">
        <v>47425</v>
      </c>
      <c r="Q10245">
        <v>7</v>
      </c>
      <c r="R10245" t="s">
        <v>47433</v>
      </c>
      <c r="S10245" t="s">
        <v>47669</v>
      </c>
      <c r="T10245" t="s">
        <v>49173</v>
      </c>
      <c r="U10245" t="s">
        <v>58097</v>
      </c>
      <c r="W10245" t="s">
        <v>64477</v>
      </c>
      <c r="X10245" t="s">
        <v>47434</v>
      </c>
    </row>
    <row r="10246" spans="1:24">
      <c r="A10246">
        <f>HYPERLINK("https://www.philgeps.gov.ph/GEPSNONPILOT/Tender/SplashBidNoticeAbstractUI.aspx?menuIndex=3&amp;refID=7151890&amp;Result=3","7151890")</f>
        <v>0</v>
      </c>
      <c r="B10246" t="s">
        <v>3153</v>
      </c>
      <c r="C10246" t="s">
        <v>7072</v>
      </c>
      <c r="D10246" t="s">
        <v>19017</v>
      </c>
      <c r="E10246" t="s">
        <v>20862</v>
      </c>
      <c r="F10246" t="s">
        <v>32831</v>
      </c>
      <c r="G10246" t="s">
        <v>32839</v>
      </c>
      <c r="H10246" t="s">
        <v>32848</v>
      </c>
      <c r="I10246" t="s">
        <v>4438</v>
      </c>
      <c r="J10246" t="s">
        <v>32978</v>
      </c>
      <c r="K10246" t="s">
        <v>42758</v>
      </c>
      <c r="M10246" t="s">
        <v>46455</v>
      </c>
      <c r="N10246" t="s">
        <v>47424</v>
      </c>
      <c r="O10246" t="s">
        <v>47425</v>
      </c>
      <c r="P10246">
        <v>0</v>
      </c>
      <c r="Q10246">
        <v>3</v>
      </c>
      <c r="R10246" t="s">
        <v>47433</v>
      </c>
      <c r="S10246" t="s">
        <v>47633</v>
      </c>
      <c r="T10246" t="s">
        <v>49221</v>
      </c>
      <c r="U10246" t="s">
        <v>58080</v>
      </c>
      <c r="W10246" t="s">
        <v>46455</v>
      </c>
      <c r="X10246" t="s">
        <v>47434</v>
      </c>
    </row>
    <row r="10247" spans="1:24">
      <c r="A10247">
        <f>HYPERLINK("https://www.philgeps.gov.ph/GEPSNONPILOT/Tender/SplashBidNoticeAbstractUI.aspx?menuIndex=3&amp;refID=7151912&amp;Result=3","7151912")</f>
        <v>0</v>
      </c>
      <c r="B10247" t="s">
        <v>2578</v>
      </c>
      <c r="C10247" t="s">
        <v>13532</v>
      </c>
      <c r="D10247" t="s">
        <v>19021</v>
      </c>
      <c r="E10247" t="s">
        <v>27922</v>
      </c>
      <c r="F10247" t="s">
        <v>32831</v>
      </c>
      <c r="G10247" t="s">
        <v>32839</v>
      </c>
      <c r="H10247" t="s">
        <v>32849</v>
      </c>
      <c r="I10247" t="s">
        <v>32852</v>
      </c>
      <c r="J10247" t="s">
        <v>32980</v>
      </c>
      <c r="K10247" t="s">
        <v>42732</v>
      </c>
      <c r="M10247" t="s">
        <v>45796</v>
      </c>
      <c r="N10247" t="s">
        <v>47424</v>
      </c>
      <c r="O10247" t="s">
        <v>47425</v>
      </c>
      <c r="P10247">
        <v>0</v>
      </c>
      <c r="Q10247">
        <v>4</v>
      </c>
      <c r="R10247" t="s">
        <v>47433</v>
      </c>
      <c r="S10247" t="s">
        <v>47633</v>
      </c>
      <c r="T10247" t="s">
        <v>49238</v>
      </c>
      <c r="U10247" t="s">
        <v>58089</v>
      </c>
      <c r="V10247" t="s">
        <v>63752</v>
      </c>
      <c r="W10247" t="s">
        <v>45796</v>
      </c>
      <c r="X10247" t="s">
        <v>47434</v>
      </c>
    </row>
    <row r="10248" spans="1:24">
      <c r="A10248">
        <f>HYPERLINK("https://www.philgeps.gov.ph/GEPSNONPILOT/Tender/SplashBidNoticeAbstractUI.aspx?menuIndex=3&amp;refID=7151946&amp;Result=3","7151946")</f>
        <v>0</v>
      </c>
      <c r="B10248" t="s">
        <v>3153</v>
      </c>
      <c r="C10248" t="s">
        <v>13533</v>
      </c>
      <c r="D10248" t="s">
        <v>19017</v>
      </c>
      <c r="E10248" t="s">
        <v>25682</v>
      </c>
      <c r="F10248" t="s">
        <v>32831</v>
      </c>
      <c r="G10248" t="s">
        <v>32839</v>
      </c>
      <c r="H10248" t="s">
        <v>32848</v>
      </c>
      <c r="I10248" t="s">
        <v>4438</v>
      </c>
      <c r="J10248" t="s">
        <v>32978</v>
      </c>
      <c r="K10248" t="s">
        <v>42758</v>
      </c>
      <c r="M10248" t="s">
        <v>46455</v>
      </c>
      <c r="N10248" t="s">
        <v>47424</v>
      </c>
      <c r="O10248" t="s">
        <v>47425</v>
      </c>
      <c r="P10248">
        <v>0</v>
      </c>
      <c r="Q10248">
        <v>1</v>
      </c>
      <c r="R10248" t="s">
        <v>47433</v>
      </c>
      <c r="S10248" t="s">
        <v>47633</v>
      </c>
      <c r="T10248" t="s">
        <v>49221</v>
      </c>
      <c r="U10248" t="s">
        <v>58080</v>
      </c>
      <c r="W10248" t="s">
        <v>46455</v>
      </c>
      <c r="X10248" t="s">
        <v>47434</v>
      </c>
    </row>
    <row r="10249" spans="1:24">
      <c r="A10249">
        <f>HYPERLINK("https://www.philgeps.gov.ph/GEPSNONPILOT/Tender/SplashBidNoticeAbstractUI.aspx?menuIndex=3&amp;refID=7151889&amp;Result=3","7151889")</f>
        <v>0</v>
      </c>
      <c r="B10249" t="s">
        <v>3161</v>
      </c>
      <c r="C10249" t="s">
        <v>13534</v>
      </c>
      <c r="D10249" t="s">
        <v>19042</v>
      </c>
      <c r="E10249" t="s">
        <v>19203</v>
      </c>
      <c r="F10249" t="s">
        <v>32831</v>
      </c>
      <c r="G10249" t="s">
        <v>32839</v>
      </c>
      <c r="H10249" t="s">
        <v>32848</v>
      </c>
      <c r="I10249" t="s">
        <v>32870</v>
      </c>
      <c r="J10249" t="s">
        <v>39296</v>
      </c>
      <c r="K10249" t="s">
        <v>42730</v>
      </c>
      <c r="M10249" t="s">
        <v>46466</v>
      </c>
      <c r="N10249" t="s">
        <v>47424</v>
      </c>
      <c r="O10249" t="s">
        <v>47425</v>
      </c>
      <c r="P10249">
        <v>0</v>
      </c>
      <c r="Q10249">
        <v>0</v>
      </c>
      <c r="R10249" t="s">
        <v>47433</v>
      </c>
      <c r="S10249" t="s">
        <v>47633</v>
      </c>
      <c r="T10249" t="s">
        <v>49073</v>
      </c>
      <c r="U10249" t="s">
        <v>58098</v>
      </c>
      <c r="W10249" t="s">
        <v>46466</v>
      </c>
      <c r="X10249" t="s">
        <v>47434</v>
      </c>
    </row>
    <row r="10250" spans="1:24">
      <c r="A10250">
        <f>HYPERLINK("https://www.philgeps.gov.ph/GEPSNONPILOT/Tender/SplashBidNoticeAbstractUI.aspx?menuIndex=3&amp;refID=7151988&amp;Result=3","7151988")</f>
        <v>0</v>
      </c>
      <c r="B10250" t="s">
        <v>3162</v>
      </c>
      <c r="C10250" t="s">
        <v>13535</v>
      </c>
      <c r="E10250" t="s">
        <v>27923</v>
      </c>
      <c r="F10250" t="s">
        <v>32831</v>
      </c>
      <c r="G10250" t="s">
        <v>32839</v>
      </c>
      <c r="H10250" t="s">
        <v>32849</v>
      </c>
      <c r="I10250" t="s">
        <v>7416</v>
      </c>
      <c r="J10250" t="s">
        <v>32980</v>
      </c>
      <c r="K10250" t="s">
        <v>42732</v>
      </c>
      <c r="M10250" t="s">
        <v>46467</v>
      </c>
      <c r="N10250" t="s">
        <v>47424</v>
      </c>
      <c r="O10250" t="s">
        <v>47425</v>
      </c>
      <c r="P10250">
        <v>0</v>
      </c>
      <c r="Q10250">
        <v>0</v>
      </c>
      <c r="R10250" t="s">
        <v>47433</v>
      </c>
      <c r="S10250" t="s">
        <v>47633</v>
      </c>
      <c r="T10250" t="s">
        <v>49427</v>
      </c>
      <c r="U10250" t="s">
        <v>58099</v>
      </c>
      <c r="W10250" t="s">
        <v>46467</v>
      </c>
      <c r="X10250" t="s">
        <v>47434</v>
      </c>
    </row>
    <row r="10251" spans="1:24">
      <c r="A10251">
        <f>HYPERLINK("https://www.philgeps.gov.ph/GEPSNONPILOT/Tender/SplashBidNoticeAbstractUI.aspx?menuIndex=3&amp;refID=7151917&amp;Result=3","7151917")</f>
        <v>0</v>
      </c>
      <c r="B10251" t="s">
        <v>3153</v>
      </c>
      <c r="C10251" t="s">
        <v>13536</v>
      </c>
      <c r="D10251" t="s">
        <v>19017</v>
      </c>
      <c r="E10251" t="s">
        <v>27915</v>
      </c>
      <c r="F10251" t="s">
        <v>32831</v>
      </c>
      <c r="G10251" t="s">
        <v>32839</v>
      </c>
      <c r="H10251" t="s">
        <v>32848</v>
      </c>
      <c r="I10251" t="s">
        <v>4438</v>
      </c>
      <c r="J10251" t="s">
        <v>32978</v>
      </c>
      <c r="K10251" t="s">
        <v>42758</v>
      </c>
      <c r="M10251" t="s">
        <v>46455</v>
      </c>
      <c r="N10251" t="s">
        <v>47424</v>
      </c>
      <c r="O10251" t="s">
        <v>47425</v>
      </c>
      <c r="P10251">
        <v>0</v>
      </c>
      <c r="Q10251">
        <v>0</v>
      </c>
      <c r="R10251" t="s">
        <v>47433</v>
      </c>
      <c r="S10251" t="s">
        <v>47633</v>
      </c>
      <c r="T10251" t="s">
        <v>49221</v>
      </c>
      <c r="U10251" t="s">
        <v>58080</v>
      </c>
      <c r="W10251" t="s">
        <v>46455</v>
      </c>
      <c r="X10251" t="s">
        <v>47434</v>
      </c>
    </row>
    <row r="10252" spans="1:24">
      <c r="A10252">
        <f>HYPERLINK("https://www.philgeps.gov.ph/GEPSNONPILOT/Tender/SplashBidNoticeAbstractUI.aspx?menuIndex=3&amp;refID=7151925&amp;Result=3","7151925")</f>
        <v>0</v>
      </c>
      <c r="B10252" t="s">
        <v>3153</v>
      </c>
      <c r="C10252" t="s">
        <v>13537</v>
      </c>
      <c r="D10252" t="s">
        <v>19017</v>
      </c>
      <c r="E10252" t="s">
        <v>27924</v>
      </c>
      <c r="F10252" t="s">
        <v>32831</v>
      </c>
      <c r="G10252" t="s">
        <v>32839</v>
      </c>
      <c r="H10252" t="s">
        <v>32848</v>
      </c>
      <c r="I10252" t="s">
        <v>4438</v>
      </c>
      <c r="J10252" t="s">
        <v>32978</v>
      </c>
      <c r="K10252" t="s">
        <v>42758</v>
      </c>
      <c r="M10252" t="s">
        <v>46455</v>
      </c>
      <c r="N10252" t="s">
        <v>47424</v>
      </c>
      <c r="O10252" t="s">
        <v>47425</v>
      </c>
      <c r="P10252">
        <v>0</v>
      </c>
      <c r="Q10252">
        <v>0</v>
      </c>
      <c r="R10252" t="s">
        <v>47433</v>
      </c>
      <c r="S10252" t="s">
        <v>47633</v>
      </c>
      <c r="T10252" t="s">
        <v>49221</v>
      </c>
      <c r="U10252" t="s">
        <v>58080</v>
      </c>
      <c r="W10252" t="s">
        <v>46455</v>
      </c>
      <c r="X10252" t="s">
        <v>47434</v>
      </c>
    </row>
    <row r="10253" spans="1:24">
      <c r="A10253">
        <f>HYPERLINK("https://www.philgeps.gov.ph/GEPSNONPILOT/Tender/SplashBidNoticeAbstractUI.aspx?menuIndex=3&amp;refID=7151906&amp;Result=3","7151906")</f>
        <v>0</v>
      </c>
      <c r="B10253" t="s">
        <v>3153</v>
      </c>
      <c r="C10253" t="s">
        <v>13538</v>
      </c>
      <c r="D10253" t="s">
        <v>19017</v>
      </c>
      <c r="E10253" t="s">
        <v>20506</v>
      </c>
      <c r="F10253" t="s">
        <v>32831</v>
      </c>
      <c r="G10253" t="s">
        <v>32839</v>
      </c>
      <c r="H10253" t="s">
        <v>32848</v>
      </c>
      <c r="I10253" t="s">
        <v>4438</v>
      </c>
      <c r="J10253" t="s">
        <v>36001</v>
      </c>
      <c r="K10253" t="s">
        <v>42758</v>
      </c>
      <c r="M10253" t="s">
        <v>46455</v>
      </c>
      <c r="N10253" t="s">
        <v>47424</v>
      </c>
      <c r="O10253" t="s">
        <v>47425</v>
      </c>
      <c r="P10253">
        <v>0</v>
      </c>
      <c r="Q10253">
        <v>1</v>
      </c>
      <c r="R10253" t="s">
        <v>47433</v>
      </c>
      <c r="S10253" t="s">
        <v>47633</v>
      </c>
      <c r="T10253" t="s">
        <v>49221</v>
      </c>
      <c r="U10253" t="s">
        <v>58080</v>
      </c>
      <c r="W10253" t="s">
        <v>46455</v>
      </c>
      <c r="X10253" t="s">
        <v>47434</v>
      </c>
    </row>
    <row r="10254" spans="1:24">
      <c r="A10254">
        <f>HYPERLINK("https://www.philgeps.gov.ph/GEPSNONPILOT/Tender/SplashBidNoticeAbstractUI.aspx?menuIndex=3&amp;refID=7151982&amp;Result=3","7151982")</f>
        <v>0</v>
      </c>
      <c r="B10254" t="s">
        <v>3163</v>
      </c>
      <c r="C10254" t="s">
        <v>13539</v>
      </c>
      <c r="D10254" t="s">
        <v>19037</v>
      </c>
      <c r="E10254" t="s">
        <v>19838</v>
      </c>
      <c r="F10254" t="s">
        <v>32831</v>
      </c>
      <c r="G10254" t="s">
        <v>32839</v>
      </c>
      <c r="H10254" t="s">
        <v>32848</v>
      </c>
      <c r="I10254" t="s">
        <v>7416</v>
      </c>
      <c r="J10254" t="s">
        <v>39297</v>
      </c>
      <c r="K10254" t="s">
        <v>42732</v>
      </c>
      <c r="M10254" t="s">
        <v>46468</v>
      </c>
      <c r="N10254" t="s">
        <v>47424</v>
      </c>
      <c r="O10254" t="s">
        <v>47425</v>
      </c>
      <c r="P10254">
        <v>0</v>
      </c>
      <c r="Q10254">
        <v>0</v>
      </c>
      <c r="R10254" t="s">
        <v>47433</v>
      </c>
      <c r="S10254" t="s">
        <v>47633</v>
      </c>
      <c r="T10254" t="s">
        <v>49375</v>
      </c>
      <c r="U10254" t="s">
        <v>58100</v>
      </c>
      <c r="V10254" t="s">
        <v>63753</v>
      </c>
      <c r="W10254" t="s">
        <v>46468</v>
      </c>
      <c r="X10254" t="s">
        <v>47434</v>
      </c>
    </row>
    <row r="10255" spans="1:24">
      <c r="A10255">
        <f>HYPERLINK("https://www.philgeps.gov.ph/GEPSNONPILOT/Tender/SplashBidNoticeAbstractUI.aspx?menuIndex=3&amp;refID=7151975&amp;Result=3","7151975")</f>
        <v>0</v>
      </c>
      <c r="B10255" t="s">
        <v>820</v>
      </c>
      <c r="C10255" t="s">
        <v>13540</v>
      </c>
      <c r="D10255" t="s">
        <v>19018</v>
      </c>
      <c r="E10255" t="s">
        <v>27925</v>
      </c>
      <c r="F10255" t="s">
        <v>32834</v>
      </c>
      <c r="G10255" t="s">
        <v>32840</v>
      </c>
      <c r="H10255" t="s">
        <v>32848</v>
      </c>
      <c r="I10255" t="s">
        <v>32870</v>
      </c>
      <c r="J10255" t="s">
        <v>34109</v>
      </c>
      <c r="K10255" t="s">
        <v>42732</v>
      </c>
      <c r="M10255" t="s">
        <v>46469</v>
      </c>
      <c r="N10255" t="s">
        <v>47424</v>
      </c>
      <c r="O10255" t="s">
        <v>47425</v>
      </c>
      <c r="Q10255">
        <v>0</v>
      </c>
      <c r="R10255" t="s">
        <v>47433</v>
      </c>
      <c r="S10255" t="s">
        <v>47670</v>
      </c>
      <c r="T10255" t="s">
        <v>49104</v>
      </c>
      <c r="U10255" t="s">
        <v>58101</v>
      </c>
      <c r="W10255" t="s">
        <v>43851</v>
      </c>
      <c r="X10255" t="s">
        <v>47434</v>
      </c>
    </row>
    <row r="10256" spans="1:24">
      <c r="A10256">
        <f>HYPERLINK("https://www.philgeps.gov.ph/GEPSNONPILOT/Tender/SplashBidNoticeAbstractUI.aspx?menuIndex=3&amp;refID=7151977&amp;Result=3","7151977")</f>
        <v>0</v>
      </c>
      <c r="B10256" t="s">
        <v>613</v>
      </c>
      <c r="C10256" t="s">
        <v>5180</v>
      </c>
      <c r="D10256" t="s">
        <v>19038</v>
      </c>
      <c r="E10256" t="s">
        <v>19183</v>
      </c>
      <c r="F10256" t="s">
        <v>32831</v>
      </c>
      <c r="G10256" t="s">
        <v>32839</v>
      </c>
      <c r="H10256" t="s">
        <v>32848</v>
      </c>
      <c r="I10256" t="s">
        <v>7416</v>
      </c>
      <c r="J10256" t="s">
        <v>35805</v>
      </c>
      <c r="K10256" t="s">
        <v>42731</v>
      </c>
      <c r="M10256" t="s">
        <v>43627</v>
      </c>
      <c r="N10256" t="s">
        <v>47424</v>
      </c>
      <c r="O10256" t="s">
        <v>47425</v>
      </c>
      <c r="P10256">
        <v>0</v>
      </c>
      <c r="Q10256">
        <v>0</v>
      </c>
      <c r="R10256" t="s">
        <v>47433</v>
      </c>
      <c r="S10256" t="s">
        <v>47633</v>
      </c>
      <c r="T10256" t="s">
        <v>49141</v>
      </c>
      <c r="U10256" t="s">
        <v>50826</v>
      </c>
      <c r="W10256" t="s">
        <v>43627</v>
      </c>
      <c r="X10256" t="s">
        <v>47434</v>
      </c>
    </row>
    <row r="10257" spans="1:24">
      <c r="A10257">
        <f>HYPERLINK("https://www.philgeps.gov.ph/GEPSNONPILOT/Tender/SplashBidNoticeAbstractUI.aspx?menuIndex=3&amp;refID=7151968&amp;Result=3","7151968")</f>
        <v>0</v>
      </c>
      <c r="B10257" t="s">
        <v>1318</v>
      </c>
      <c r="C10257" t="s">
        <v>13541</v>
      </c>
      <c r="E10257" t="s">
        <v>27926</v>
      </c>
      <c r="F10257" t="s">
        <v>32831</v>
      </c>
      <c r="G10257" t="s">
        <v>32839</v>
      </c>
      <c r="H10257" t="s">
        <v>32848</v>
      </c>
      <c r="I10257" t="s">
        <v>4177</v>
      </c>
      <c r="J10257" t="s">
        <v>32980</v>
      </c>
      <c r="K10257" t="s">
        <v>42732</v>
      </c>
      <c r="M10257" t="s">
        <v>44389</v>
      </c>
      <c r="N10257" t="s">
        <v>47424</v>
      </c>
      <c r="O10257" t="s">
        <v>47425</v>
      </c>
      <c r="P10257">
        <v>0</v>
      </c>
      <c r="Q10257">
        <v>0</v>
      </c>
      <c r="R10257" t="s">
        <v>47433</v>
      </c>
      <c r="S10257" t="s">
        <v>47633</v>
      </c>
      <c r="T10257" t="s">
        <v>49214</v>
      </c>
      <c r="U10257" t="s">
        <v>58102</v>
      </c>
      <c r="W10257" t="s">
        <v>44389</v>
      </c>
      <c r="X10257" t="s">
        <v>47434</v>
      </c>
    </row>
    <row r="10258" spans="1:24">
      <c r="A10258">
        <f>HYPERLINK("https://www.philgeps.gov.ph/GEPSNONPILOT/Tender/SplashBidNoticeAbstractUI.aspx?menuIndex=3&amp;refID=7151919&amp;Result=3","7151919")</f>
        <v>0</v>
      </c>
      <c r="B10258" t="s">
        <v>3153</v>
      </c>
      <c r="C10258" t="s">
        <v>13542</v>
      </c>
      <c r="D10258" t="s">
        <v>19017</v>
      </c>
      <c r="E10258" t="s">
        <v>19609</v>
      </c>
      <c r="F10258" t="s">
        <v>32831</v>
      </c>
      <c r="G10258" t="s">
        <v>32839</v>
      </c>
      <c r="H10258" t="s">
        <v>32848</v>
      </c>
      <c r="I10258" t="s">
        <v>4438</v>
      </c>
      <c r="J10258" t="s">
        <v>32985</v>
      </c>
      <c r="K10258" t="s">
        <v>42758</v>
      </c>
      <c r="M10258" t="s">
        <v>46455</v>
      </c>
      <c r="N10258" t="s">
        <v>47424</v>
      </c>
      <c r="O10258" t="s">
        <v>47425</v>
      </c>
      <c r="P10258">
        <v>0</v>
      </c>
      <c r="Q10258">
        <v>0</v>
      </c>
      <c r="R10258" t="s">
        <v>47433</v>
      </c>
      <c r="S10258" t="s">
        <v>47633</v>
      </c>
      <c r="T10258" t="s">
        <v>49221</v>
      </c>
      <c r="U10258" t="s">
        <v>58080</v>
      </c>
      <c r="W10258" t="s">
        <v>46455</v>
      </c>
      <c r="X10258" t="s">
        <v>47434</v>
      </c>
    </row>
    <row r="10259" spans="1:24">
      <c r="A10259">
        <f>HYPERLINK("https://www.philgeps.gov.ph/GEPSNONPILOT/Tender/SplashBidNoticeAbstractUI.aspx?menuIndex=3&amp;refID=7151969&amp;Result=3","7151969")</f>
        <v>0</v>
      </c>
      <c r="B10259" t="s">
        <v>3153</v>
      </c>
      <c r="C10259" t="s">
        <v>13543</v>
      </c>
      <c r="D10259" t="s">
        <v>19017</v>
      </c>
      <c r="E10259" t="s">
        <v>23632</v>
      </c>
      <c r="F10259" t="s">
        <v>32831</v>
      </c>
      <c r="G10259" t="s">
        <v>32839</v>
      </c>
      <c r="H10259" t="s">
        <v>32848</v>
      </c>
      <c r="I10259" t="s">
        <v>4438</v>
      </c>
      <c r="J10259" t="s">
        <v>33118</v>
      </c>
      <c r="K10259" t="s">
        <v>42758</v>
      </c>
      <c r="M10259" t="s">
        <v>46455</v>
      </c>
      <c r="N10259" t="s">
        <v>47424</v>
      </c>
      <c r="O10259" t="s">
        <v>47425</v>
      </c>
      <c r="P10259">
        <v>0</v>
      </c>
      <c r="Q10259">
        <v>1</v>
      </c>
      <c r="R10259" t="s">
        <v>47433</v>
      </c>
      <c r="S10259" t="s">
        <v>47633</v>
      </c>
      <c r="T10259" t="s">
        <v>49221</v>
      </c>
      <c r="U10259" t="s">
        <v>58080</v>
      </c>
      <c r="W10259" t="s">
        <v>46455</v>
      </c>
      <c r="X10259" t="s">
        <v>47434</v>
      </c>
    </row>
    <row r="10260" spans="1:24">
      <c r="A10260">
        <f>HYPERLINK("https://www.philgeps.gov.ph/GEPSNONPILOT/Tender/SplashBidNoticeAbstractUI.aspx?menuIndex=3&amp;refID=7151994&amp;Result=3","7151994")</f>
        <v>0</v>
      </c>
      <c r="B10260" t="s">
        <v>3164</v>
      </c>
      <c r="C10260" t="s">
        <v>13544</v>
      </c>
      <c r="D10260" t="s">
        <v>19077</v>
      </c>
      <c r="E10260" t="s">
        <v>27927</v>
      </c>
      <c r="F10260" t="s">
        <v>32831</v>
      </c>
      <c r="G10260" t="s">
        <v>32839</v>
      </c>
      <c r="H10260" t="s">
        <v>32848</v>
      </c>
      <c r="I10260" t="s">
        <v>4558</v>
      </c>
      <c r="J10260" t="s">
        <v>39298</v>
      </c>
      <c r="K10260" t="s">
        <v>42727</v>
      </c>
      <c r="M10260" t="s">
        <v>46470</v>
      </c>
      <c r="N10260" t="s">
        <v>47424</v>
      </c>
      <c r="O10260" t="s">
        <v>47425</v>
      </c>
      <c r="P10260">
        <v>0</v>
      </c>
      <c r="Q10260">
        <v>7</v>
      </c>
      <c r="R10260" t="s">
        <v>47433</v>
      </c>
      <c r="S10260" t="s">
        <v>47633</v>
      </c>
      <c r="T10260" t="s">
        <v>49173</v>
      </c>
      <c r="U10260" t="s">
        <v>58103</v>
      </c>
      <c r="V10260" t="s">
        <v>63754</v>
      </c>
      <c r="W10260" t="s">
        <v>46470</v>
      </c>
      <c r="X10260" t="s">
        <v>47434</v>
      </c>
    </row>
    <row r="10261" spans="1:24">
      <c r="A10261">
        <f>HYPERLINK("https://www.philgeps.gov.ph/GEPSNONPILOT/Tender/SplashBidNoticeAbstractUI.aspx?menuIndex=3&amp;refID=7151987&amp;Result=3","7151987")</f>
        <v>0</v>
      </c>
      <c r="B10261" t="s">
        <v>871</v>
      </c>
      <c r="C10261" t="s">
        <v>13545</v>
      </c>
      <c r="D10261" t="s">
        <v>19020</v>
      </c>
      <c r="E10261" t="s">
        <v>27928</v>
      </c>
      <c r="F10261" t="s">
        <v>32831</v>
      </c>
      <c r="G10261" t="s">
        <v>32839</v>
      </c>
      <c r="H10261" t="s">
        <v>32848</v>
      </c>
      <c r="I10261" t="s">
        <v>7751</v>
      </c>
      <c r="J10261" t="s">
        <v>39299</v>
      </c>
      <c r="K10261" t="s">
        <v>42732</v>
      </c>
      <c r="M10261" t="s">
        <v>43905</v>
      </c>
      <c r="N10261" t="s">
        <v>47424</v>
      </c>
      <c r="O10261" t="s">
        <v>47425</v>
      </c>
      <c r="P10261">
        <v>0</v>
      </c>
      <c r="Q10261">
        <v>2</v>
      </c>
      <c r="R10261" t="s">
        <v>47433</v>
      </c>
      <c r="S10261" t="s">
        <v>47633</v>
      </c>
      <c r="T10261" t="s">
        <v>49212</v>
      </c>
      <c r="U10261" t="s">
        <v>58104</v>
      </c>
      <c r="V10261" t="s">
        <v>63755</v>
      </c>
      <c r="W10261" t="s">
        <v>43905</v>
      </c>
      <c r="X10261" t="s">
        <v>47434</v>
      </c>
    </row>
    <row r="10262" spans="1:24">
      <c r="A10262">
        <f>HYPERLINK("https://www.philgeps.gov.ph/GEPSNONPILOT/Tender/SplashBidNoticeAbstractUI.aspx?menuIndex=3&amp;refID=7151961&amp;Result=3","7151961")</f>
        <v>0</v>
      </c>
      <c r="B10262" t="s">
        <v>2578</v>
      </c>
      <c r="C10262" t="s">
        <v>13546</v>
      </c>
      <c r="D10262" t="s">
        <v>19021</v>
      </c>
      <c r="E10262" t="s">
        <v>27929</v>
      </c>
      <c r="F10262" t="s">
        <v>32831</v>
      </c>
      <c r="G10262" t="s">
        <v>32839</v>
      </c>
      <c r="H10262" t="s">
        <v>32849</v>
      </c>
      <c r="I10262" t="s">
        <v>4177</v>
      </c>
      <c r="J10262" t="s">
        <v>39300</v>
      </c>
      <c r="K10262" t="s">
        <v>42732</v>
      </c>
      <c r="M10262" t="s">
        <v>45796</v>
      </c>
      <c r="N10262" t="s">
        <v>47424</v>
      </c>
      <c r="O10262" t="s">
        <v>47425</v>
      </c>
      <c r="P10262">
        <v>0</v>
      </c>
      <c r="Q10262">
        <v>8</v>
      </c>
      <c r="R10262" t="s">
        <v>47433</v>
      </c>
      <c r="S10262" t="s">
        <v>47633</v>
      </c>
      <c r="T10262" t="s">
        <v>49200</v>
      </c>
      <c r="U10262" t="s">
        <v>58105</v>
      </c>
      <c r="V10262" t="s">
        <v>63469</v>
      </c>
      <c r="W10262" t="s">
        <v>45796</v>
      </c>
      <c r="X10262" t="s">
        <v>47434</v>
      </c>
    </row>
    <row r="10263" spans="1:24">
      <c r="A10263">
        <f>HYPERLINK("https://www.philgeps.gov.ph/GEPSNONPILOT/Tender/SplashBidNoticeAbstractUI.aspx?menuIndex=3&amp;refID=7151960&amp;Result=3","7151960")</f>
        <v>0</v>
      </c>
      <c r="B10263" t="s">
        <v>3165</v>
      </c>
      <c r="C10263" t="s">
        <v>4694</v>
      </c>
      <c r="D10263" t="s">
        <v>19040</v>
      </c>
      <c r="E10263" t="s">
        <v>19203</v>
      </c>
      <c r="F10263" t="s">
        <v>32831</v>
      </c>
      <c r="G10263" t="s">
        <v>32839</v>
      </c>
      <c r="H10263" t="s">
        <v>32848</v>
      </c>
      <c r="I10263" t="s">
        <v>7416</v>
      </c>
      <c r="J10263" t="s">
        <v>39301</v>
      </c>
      <c r="K10263" t="s">
        <v>42730</v>
      </c>
      <c r="M10263" t="s">
        <v>46471</v>
      </c>
      <c r="N10263" t="s">
        <v>47424</v>
      </c>
      <c r="O10263" t="s">
        <v>47425</v>
      </c>
      <c r="P10263">
        <v>0</v>
      </c>
      <c r="Q10263">
        <v>1</v>
      </c>
      <c r="R10263" t="s">
        <v>47433</v>
      </c>
      <c r="S10263" t="s">
        <v>47633</v>
      </c>
      <c r="T10263" t="s">
        <v>49080</v>
      </c>
      <c r="U10263" t="s">
        <v>56089</v>
      </c>
      <c r="W10263" t="s">
        <v>46471</v>
      </c>
      <c r="X10263" t="s">
        <v>47434</v>
      </c>
    </row>
    <row r="10264" spans="1:24">
      <c r="A10264">
        <f>HYPERLINK("https://www.philgeps.gov.ph/GEPSNONPILOT/Tender/SplashBidNoticeAbstractUI.aspx?menuIndex=3&amp;refID=7151973&amp;Result=3","7151973")</f>
        <v>0</v>
      </c>
      <c r="B10264" t="s">
        <v>3153</v>
      </c>
      <c r="C10264" t="s">
        <v>13547</v>
      </c>
      <c r="D10264" t="s">
        <v>19017</v>
      </c>
      <c r="E10264" t="s">
        <v>19692</v>
      </c>
      <c r="F10264" t="s">
        <v>32831</v>
      </c>
      <c r="G10264" t="s">
        <v>32839</v>
      </c>
      <c r="H10264" t="s">
        <v>32848</v>
      </c>
      <c r="I10264" t="s">
        <v>4438</v>
      </c>
      <c r="J10264" t="s">
        <v>33257</v>
      </c>
      <c r="K10264" t="s">
        <v>42758</v>
      </c>
      <c r="M10264" t="s">
        <v>46455</v>
      </c>
      <c r="N10264" t="s">
        <v>47424</v>
      </c>
      <c r="O10264" t="s">
        <v>47425</v>
      </c>
      <c r="P10264">
        <v>0</v>
      </c>
      <c r="Q10264">
        <v>0</v>
      </c>
      <c r="R10264" t="s">
        <v>47433</v>
      </c>
      <c r="S10264" t="s">
        <v>47633</v>
      </c>
      <c r="T10264" t="s">
        <v>49221</v>
      </c>
      <c r="U10264" t="s">
        <v>58080</v>
      </c>
      <c r="W10264" t="s">
        <v>46455</v>
      </c>
      <c r="X10264" t="s">
        <v>47434</v>
      </c>
    </row>
    <row r="10265" spans="1:24">
      <c r="A10265">
        <f>HYPERLINK("https://www.philgeps.gov.ph/GEPSNONPILOT/Tender/SplashBidNoticeAbstractUI.aspx?menuIndex=3&amp;refID=7151959&amp;Result=3","7151959")</f>
        <v>0</v>
      </c>
      <c r="B10265" t="s">
        <v>3153</v>
      </c>
      <c r="C10265" t="s">
        <v>13548</v>
      </c>
      <c r="D10265" t="s">
        <v>19017</v>
      </c>
      <c r="E10265" t="s">
        <v>20902</v>
      </c>
      <c r="F10265" t="s">
        <v>32831</v>
      </c>
      <c r="G10265" t="s">
        <v>32839</v>
      </c>
      <c r="H10265" t="s">
        <v>32848</v>
      </c>
      <c r="I10265" t="s">
        <v>4438</v>
      </c>
      <c r="J10265" t="s">
        <v>32978</v>
      </c>
      <c r="K10265" t="s">
        <v>42758</v>
      </c>
      <c r="M10265" t="s">
        <v>46455</v>
      </c>
      <c r="N10265" t="s">
        <v>47424</v>
      </c>
      <c r="O10265" t="s">
        <v>47425</v>
      </c>
      <c r="P10265">
        <v>0</v>
      </c>
      <c r="Q10265">
        <v>0</v>
      </c>
      <c r="R10265" t="s">
        <v>47433</v>
      </c>
      <c r="S10265" t="s">
        <v>47633</v>
      </c>
      <c r="T10265" t="s">
        <v>49221</v>
      </c>
      <c r="U10265" t="s">
        <v>58080</v>
      </c>
      <c r="W10265" t="s">
        <v>46455</v>
      </c>
      <c r="X10265" t="s">
        <v>47434</v>
      </c>
    </row>
    <row r="10266" spans="1:24">
      <c r="A10266">
        <f>HYPERLINK("https://www.philgeps.gov.ph/GEPSNONPILOT/Tender/SplashBidNoticeAbstractUI.aspx?menuIndex=3&amp;refID=7151964&amp;Result=3","7151964")</f>
        <v>0</v>
      </c>
      <c r="B10266" t="s">
        <v>3157</v>
      </c>
      <c r="C10266" t="s">
        <v>13549</v>
      </c>
      <c r="D10266" t="s">
        <v>19074</v>
      </c>
      <c r="E10266" t="s">
        <v>27930</v>
      </c>
      <c r="F10266" t="s">
        <v>32831</v>
      </c>
      <c r="G10266" t="s">
        <v>32839</v>
      </c>
      <c r="H10266" t="s">
        <v>32849</v>
      </c>
      <c r="I10266" t="s">
        <v>4177</v>
      </c>
      <c r="J10266" t="s">
        <v>35952</v>
      </c>
      <c r="K10266" t="s">
        <v>42771</v>
      </c>
      <c r="M10266" t="s">
        <v>46460</v>
      </c>
      <c r="N10266" t="s">
        <v>47424</v>
      </c>
      <c r="O10266" t="s">
        <v>47425</v>
      </c>
      <c r="P10266">
        <v>0</v>
      </c>
      <c r="Q10266">
        <v>0</v>
      </c>
      <c r="R10266" t="s">
        <v>47433</v>
      </c>
      <c r="S10266" t="s">
        <v>47633</v>
      </c>
      <c r="T10266" t="s">
        <v>49112</v>
      </c>
      <c r="U10266" t="s">
        <v>58106</v>
      </c>
      <c r="W10266" t="s">
        <v>46460</v>
      </c>
      <c r="X10266" t="s">
        <v>47434</v>
      </c>
    </row>
    <row r="10267" spans="1:24">
      <c r="A10267">
        <f>HYPERLINK("https://www.philgeps.gov.ph/GEPSNONPILOT/Tender/SplashBidNoticeAbstractUI.aspx?menuIndex=3&amp;refID=7151914&amp;Result=3","7151914")</f>
        <v>0</v>
      </c>
      <c r="B10267" t="s">
        <v>3153</v>
      </c>
      <c r="C10267" t="s">
        <v>13550</v>
      </c>
      <c r="D10267" t="s">
        <v>19017</v>
      </c>
      <c r="E10267" t="s">
        <v>26784</v>
      </c>
      <c r="F10267" t="s">
        <v>32831</v>
      </c>
      <c r="G10267" t="s">
        <v>32839</v>
      </c>
      <c r="H10267" t="s">
        <v>32848</v>
      </c>
      <c r="I10267" t="s">
        <v>4438</v>
      </c>
      <c r="J10267" t="s">
        <v>37914</v>
      </c>
      <c r="K10267" t="s">
        <v>42758</v>
      </c>
      <c r="M10267" t="s">
        <v>46455</v>
      </c>
      <c r="N10267" t="s">
        <v>47424</v>
      </c>
      <c r="O10267" t="s">
        <v>47425</v>
      </c>
      <c r="P10267">
        <v>0</v>
      </c>
      <c r="Q10267">
        <v>0</v>
      </c>
      <c r="R10267" t="s">
        <v>47433</v>
      </c>
      <c r="S10267" t="s">
        <v>47633</v>
      </c>
      <c r="T10267" t="s">
        <v>49221</v>
      </c>
      <c r="U10267" t="s">
        <v>58080</v>
      </c>
      <c r="W10267" t="s">
        <v>46455</v>
      </c>
      <c r="X10267" t="s">
        <v>47434</v>
      </c>
    </row>
    <row r="10268" spans="1:24">
      <c r="A10268">
        <f>HYPERLINK("https://www.philgeps.gov.ph/GEPSNONPILOT/Tender/SplashBidNoticeAbstractUI.aspx?menuIndex=3&amp;refID=7152021&amp;Result=3","7152021")</f>
        <v>0</v>
      </c>
      <c r="B10268" t="s">
        <v>958</v>
      </c>
      <c r="C10268" t="s">
        <v>13551</v>
      </c>
      <c r="D10268" t="s">
        <v>19102</v>
      </c>
      <c r="E10268" t="s">
        <v>27931</v>
      </c>
      <c r="F10268" t="s">
        <v>32831</v>
      </c>
      <c r="G10268" t="s">
        <v>32839</v>
      </c>
      <c r="H10268" t="s">
        <v>32848</v>
      </c>
      <c r="I10268" t="s">
        <v>4222</v>
      </c>
      <c r="J10268" t="s">
        <v>39302</v>
      </c>
      <c r="K10268" t="s">
        <v>42732</v>
      </c>
      <c r="M10268" t="s">
        <v>46267</v>
      </c>
      <c r="N10268" t="s">
        <v>47424</v>
      </c>
      <c r="O10268" t="s">
        <v>47425</v>
      </c>
      <c r="Q10268">
        <v>4</v>
      </c>
      <c r="R10268" t="s">
        <v>47433</v>
      </c>
      <c r="S10268" t="s">
        <v>47671</v>
      </c>
      <c r="T10268" t="s">
        <v>49302</v>
      </c>
      <c r="U10268" t="s">
        <v>58107</v>
      </c>
      <c r="W10268" t="s">
        <v>46267</v>
      </c>
      <c r="X10268" t="s">
        <v>47434</v>
      </c>
    </row>
    <row r="10269" spans="1:24">
      <c r="A10269">
        <f>HYPERLINK("https://www.philgeps.gov.ph/GEPSNONPILOT/Tender/SplashBidNoticeAbstractUI.aspx?menuIndex=3&amp;refID=7152020&amp;Result=3","7152020")</f>
        <v>0</v>
      </c>
      <c r="B10269" t="s">
        <v>450</v>
      </c>
      <c r="C10269" t="s">
        <v>13552</v>
      </c>
      <c r="D10269" t="s">
        <v>19074</v>
      </c>
      <c r="E10269" t="s">
        <v>27932</v>
      </c>
      <c r="F10269" t="s">
        <v>32831</v>
      </c>
      <c r="G10269" t="s">
        <v>32839</v>
      </c>
      <c r="H10269" t="s">
        <v>32848</v>
      </c>
      <c r="I10269" t="s">
        <v>4558</v>
      </c>
      <c r="J10269" t="s">
        <v>39303</v>
      </c>
      <c r="K10269" t="s">
        <v>42726</v>
      </c>
      <c r="M10269" t="s">
        <v>43455</v>
      </c>
      <c r="N10269" t="s">
        <v>47424</v>
      </c>
      <c r="O10269" t="s">
        <v>47425</v>
      </c>
      <c r="P10269">
        <v>0</v>
      </c>
      <c r="Q10269">
        <v>0</v>
      </c>
      <c r="R10269" t="s">
        <v>47433</v>
      </c>
      <c r="S10269" t="s">
        <v>47633</v>
      </c>
      <c r="T10269" t="s">
        <v>49251</v>
      </c>
      <c r="U10269" t="s">
        <v>58108</v>
      </c>
      <c r="W10269" t="s">
        <v>64437</v>
      </c>
      <c r="X10269" t="s">
        <v>47434</v>
      </c>
    </row>
    <row r="10270" spans="1:24">
      <c r="A10270">
        <f>HYPERLINK("https://www.philgeps.gov.ph/GEPSNONPILOT/Tender/SplashBidNoticeAbstractUI.aspx?menuIndex=3&amp;refID=7151966&amp;Result=3","7151966")</f>
        <v>0</v>
      </c>
      <c r="B10270" t="s">
        <v>3153</v>
      </c>
      <c r="C10270" t="s">
        <v>13553</v>
      </c>
      <c r="D10270" t="s">
        <v>19017</v>
      </c>
      <c r="E10270" t="s">
        <v>23608</v>
      </c>
      <c r="F10270" t="s">
        <v>32831</v>
      </c>
      <c r="G10270" t="s">
        <v>32839</v>
      </c>
      <c r="H10270" t="s">
        <v>32848</v>
      </c>
      <c r="I10270" t="s">
        <v>4438</v>
      </c>
      <c r="J10270" t="s">
        <v>39304</v>
      </c>
      <c r="K10270" t="s">
        <v>42758</v>
      </c>
      <c r="M10270" t="s">
        <v>46455</v>
      </c>
      <c r="N10270" t="s">
        <v>47424</v>
      </c>
      <c r="O10270" t="s">
        <v>47425</v>
      </c>
      <c r="P10270">
        <v>0</v>
      </c>
      <c r="Q10270">
        <v>1</v>
      </c>
      <c r="R10270" t="s">
        <v>47433</v>
      </c>
      <c r="S10270" t="s">
        <v>47633</v>
      </c>
      <c r="T10270" t="s">
        <v>49221</v>
      </c>
      <c r="U10270" t="s">
        <v>58080</v>
      </c>
      <c r="W10270" t="s">
        <v>46455</v>
      </c>
      <c r="X10270" t="s">
        <v>47434</v>
      </c>
    </row>
    <row r="10271" spans="1:24">
      <c r="A10271">
        <f>HYPERLINK("https://www.philgeps.gov.ph/GEPSNONPILOT/Tender/SplashBidNoticeAbstractUI.aspx?menuIndex=3&amp;refID=7152017&amp;Result=3","7152017")</f>
        <v>0</v>
      </c>
      <c r="B10271" t="s">
        <v>1067</v>
      </c>
      <c r="C10271" t="s">
        <v>13554</v>
      </c>
      <c r="D10271" t="s">
        <v>19017</v>
      </c>
      <c r="E10271" t="s">
        <v>19665</v>
      </c>
      <c r="F10271" t="s">
        <v>32831</v>
      </c>
      <c r="G10271" t="s">
        <v>32839</v>
      </c>
      <c r="H10271" t="s">
        <v>32850</v>
      </c>
      <c r="I10271" t="s">
        <v>32911</v>
      </c>
      <c r="J10271" t="s">
        <v>39305</v>
      </c>
      <c r="K10271" t="s">
        <v>42807</v>
      </c>
      <c r="M10271" t="s">
        <v>44124</v>
      </c>
      <c r="N10271" t="s">
        <v>47424</v>
      </c>
      <c r="O10271" t="s">
        <v>47425</v>
      </c>
      <c r="P10271">
        <v>0</v>
      </c>
      <c r="Q10271">
        <v>2</v>
      </c>
      <c r="R10271" t="s">
        <v>47433</v>
      </c>
      <c r="S10271" t="s">
        <v>47633</v>
      </c>
      <c r="T10271" t="s">
        <v>49422</v>
      </c>
      <c r="U10271" t="s">
        <v>58109</v>
      </c>
      <c r="V10271" t="s">
        <v>62714</v>
      </c>
      <c r="W10271" t="s">
        <v>44124</v>
      </c>
      <c r="X10271" t="s">
        <v>47434</v>
      </c>
    </row>
    <row r="10272" spans="1:24">
      <c r="A10272">
        <f>HYPERLINK("https://www.philgeps.gov.ph/GEPSNONPILOT/Tender/SplashBidNoticeAbstractUI.aspx?menuIndex=3&amp;refID=7151958&amp;Result=3","7151958")</f>
        <v>0</v>
      </c>
      <c r="B10272" t="s">
        <v>871</v>
      </c>
      <c r="C10272" t="s">
        <v>13555</v>
      </c>
      <c r="D10272" t="s">
        <v>19020</v>
      </c>
      <c r="E10272" t="s">
        <v>27933</v>
      </c>
      <c r="F10272" t="s">
        <v>32831</v>
      </c>
      <c r="G10272" t="s">
        <v>32839</v>
      </c>
      <c r="H10272" t="s">
        <v>32848</v>
      </c>
      <c r="I10272" t="s">
        <v>10805</v>
      </c>
      <c r="J10272" t="s">
        <v>39306</v>
      </c>
      <c r="K10272" t="s">
        <v>42732</v>
      </c>
      <c r="M10272" t="s">
        <v>43905</v>
      </c>
      <c r="N10272" t="s">
        <v>47424</v>
      </c>
      <c r="O10272" t="s">
        <v>47425</v>
      </c>
      <c r="P10272">
        <v>0</v>
      </c>
      <c r="Q10272">
        <v>1</v>
      </c>
      <c r="R10272" t="s">
        <v>47433</v>
      </c>
      <c r="S10272" t="s">
        <v>47633</v>
      </c>
      <c r="T10272" t="s">
        <v>49159</v>
      </c>
      <c r="U10272" t="s">
        <v>58110</v>
      </c>
      <c r="V10272" t="s">
        <v>63756</v>
      </c>
      <c r="W10272" t="s">
        <v>43905</v>
      </c>
      <c r="X10272" t="s">
        <v>47434</v>
      </c>
    </row>
    <row r="10273" spans="1:24">
      <c r="A10273">
        <f>HYPERLINK("https://www.philgeps.gov.ph/GEPSNONPILOT/Tender/SplashBidNoticeAbstractUI.aspx?menuIndex=3&amp;refID=7152013&amp;Result=3","7152013")</f>
        <v>0</v>
      </c>
      <c r="B10273" t="s">
        <v>3164</v>
      </c>
      <c r="C10273" t="s">
        <v>13556</v>
      </c>
      <c r="D10273" t="s">
        <v>19077</v>
      </c>
      <c r="E10273" t="s">
        <v>27934</v>
      </c>
      <c r="F10273" t="s">
        <v>32831</v>
      </c>
      <c r="G10273" t="s">
        <v>32839</v>
      </c>
      <c r="H10273" t="s">
        <v>32848</v>
      </c>
      <c r="I10273" t="s">
        <v>4558</v>
      </c>
      <c r="J10273" t="s">
        <v>34755</v>
      </c>
      <c r="K10273" t="s">
        <v>42727</v>
      </c>
      <c r="M10273" t="s">
        <v>46470</v>
      </c>
      <c r="N10273" t="s">
        <v>47424</v>
      </c>
      <c r="O10273" t="s">
        <v>47425</v>
      </c>
      <c r="P10273">
        <v>0</v>
      </c>
      <c r="Q10273">
        <v>5</v>
      </c>
      <c r="R10273" t="s">
        <v>47433</v>
      </c>
      <c r="S10273" t="s">
        <v>47633</v>
      </c>
      <c r="T10273" t="s">
        <v>49173</v>
      </c>
      <c r="U10273" t="s">
        <v>58103</v>
      </c>
      <c r="V10273" t="s">
        <v>63754</v>
      </c>
      <c r="W10273" t="s">
        <v>46470</v>
      </c>
      <c r="X10273" t="s">
        <v>47434</v>
      </c>
    </row>
    <row r="10274" spans="1:24">
      <c r="A10274">
        <f>HYPERLINK("https://www.philgeps.gov.ph/GEPSNONPILOT/Tender/SplashBidNoticeAbstractUI.aspx?menuIndex=3&amp;refID=7151965&amp;Result=3","7151965")</f>
        <v>0</v>
      </c>
      <c r="B10274" t="s">
        <v>2578</v>
      </c>
      <c r="C10274" t="s">
        <v>13557</v>
      </c>
      <c r="D10274" t="s">
        <v>19021</v>
      </c>
      <c r="E10274" t="s">
        <v>27935</v>
      </c>
      <c r="F10274" t="s">
        <v>32831</v>
      </c>
      <c r="G10274" t="s">
        <v>32839</v>
      </c>
      <c r="H10274" t="s">
        <v>32848</v>
      </c>
      <c r="I10274" t="s">
        <v>7416</v>
      </c>
      <c r="J10274" t="s">
        <v>39307</v>
      </c>
      <c r="K10274" t="s">
        <v>42732</v>
      </c>
      <c r="M10274" t="s">
        <v>45796</v>
      </c>
      <c r="N10274" t="s">
        <v>47424</v>
      </c>
      <c r="O10274" t="s">
        <v>47425</v>
      </c>
      <c r="P10274">
        <v>0</v>
      </c>
      <c r="Q10274">
        <v>6</v>
      </c>
      <c r="R10274" t="s">
        <v>47433</v>
      </c>
      <c r="S10274" t="s">
        <v>47633</v>
      </c>
      <c r="T10274" t="s">
        <v>49200</v>
      </c>
      <c r="U10274" t="s">
        <v>58105</v>
      </c>
      <c r="V10274" t="s">
        <v>63469</v>
      </c>
      <c r="W10274" t="s">
        <v>45796</v>
      </c>
      <c r="X10274" t="s">
        <v>47434</v>
      </c>
    </row>
    <row r="10275" spans="1:24">
      <c r="A10275">
        <f>HYPERLINK("https://www.philgeps.gov.ph/GEPSNONPILOT/Tender/SplashBidNoticeAbstractUI.aspx?menuIndex=3&amp;refID=7152011&amp;Result=3","7152011")</f>
        <v>0</v>
      </c>
      <c r="B10275" t="s">
        <v>1067</v>
      </c>
      <c r="C10275" t="s">
        <v>13558</v>
      </c>
      <c r="D10275" t="s">
        <v>19017</v>
      </c>
      <c r="E10275" t="s">
        <v>20783</v>
      </c>
      <c r="F10275" t="s">
        <v>32831</v>
      </c>
      <c r="G10275" t="s">
        <v>32839</v>
      </c>
      <c r="H10275" t="s">
        <v>32850</v>
      </c>
      <c r="I10275" t="s">
        <v>5667</v>
      </c>
      <c r="J10275" t="s">
        <v>39308</v>
      </c>
      <c r="K10275" t="s">
        <v>42807</v>
      </c>
      <c r="M10275" t="s">
        <v>44124</v>
      </c>
      <c r="N10275" t="s">
        <v>47424</v>
      </c>
      <c r="O10275" t="s">
        <v>47425</v>
      </c>
      <c r="P10275">
        <v>0</v>
      </c>
      <c r="Q10275">
        <v>4</v>
      </c>
      <c r="R10275" t="s">
        <v>47433</v>
      </c>
      <c r="S10275" t="s">
        <v>47633</v>
      </c>
      <c r="T10275" t="s">
        <v>49396</v>
      </c>
      <c r="U10275" t="s">
        <v>58111</v>
      </c>
      <c r="V10275" t="s">
        <v>62714</v>
      </c>
      <c r="W10275" t="s">
        <v>44124</v>
      </c>
      <c r="X10275" t="s">
        <v>47434</v>
      </c>
    </row>
    <row r="10276" spans="1:24">
      <c r="A10276">
        <f>HYPERLINK("https://www.philgeps.gov.ph/GEPSNONPILOT/Tender/SplashBidNoticeAbstractUI.aspx?menuIndex=3&amp;refID=7152010&amp;Result=3","7152010")</f>
        <v>0</v>
      </c>
      <c r="B10276" t="s">
        <v>3113</v>
      </c>
      <c r="C10276" t="s">
        <v>13559</v>
      </c>
      <c r="D10276" t="s">
        <v>19068</v>
      </c>
      <c r="E10276" t="s">
        <v>20054</v>
      </c>
      <c r="F10276" t="s">
        <v>32831</v>
      </c>
      <c r="G10276" t="s">
        <v>32839</v>
      </c>
      <c r="H10276" t="s">
        <v>32849</v>
      </c>
      <c r="I10276" t="s">
        <v>4177</v>
      </c>
      <c r="J10276" t="s">
        <v>33111</v>
      </c>
      <c r="K10276" t="s">
        <v>42729</v>
      </c>
      <c r="L10276" t="s">
        <v>3113</v>
      </c>
      <c r="M10276" t="s">
        <v>46401</v>
      </c>
      <c r="N10276" t="s">
        <v>47424</v>
      </c>
      <c r="O10276" t="s">
        <v>47425</v>
      </c>
      <c r="P10276">
        <v>0</v>
      </c>
      <c r="Q10276">
        <v>2</v>
      </c>
      <c r="R10276" t="s">
        <v>47433</v>
      </c>
      <c r="S10276" t="s">
        <v>47633</v>
      </c>
      <c r="T10276" t="s">
        <v>49160</v>
      </c>
      <c r="U10276" t="s">
        <v>58112</v>
      </c>
      <c r="W10276" t="s">
        <v>46401</v>
      </c>
      <c r="X10276" t="s">
        <v>47434</v>
      </c>
    </row>
    <row r="10277" spans="1:24">
      <c r="A10277">
        <f>HYPERLINK("https://www.philgeps.gov.ph/GEPSNONPILOT/Tender/SplashBidNoticeAbstractUI.aspx?menuIndex=3&amp;refID=7152008&amp;Result=3","7152008")</f>
        <v>0</v>
      </c>
      <c r="B10277" t="s">
        <v>3164</v>
      </c>
      <c r="C10277" t="s">
        <v>13560</v>
      </c>
      <c r="D10277" t="s">
        <v>19077</v>
      </c>
      <c r="E10277" t="s">
        <v>27936</v>
      </c>
      <c r="F10277" t="s">
        <v>32831</v>
      </c>
      <c r="G10277" t="s">
        <v>32839</v>
      </c>
      <c r="H10277" t="s">
        <v>32848</v>
      </c>
      <c r="I10277" t="s">
        <v>32857</v>
      </c>
      <c r="J10277" t="s">
        <v>39309</v>
      </c>
      <c r="K10277" t="s">
        <v>42727</v>
      </c>
      <c r="M10277" t="s">
        <v>46470</v>
      </c>
      <c r="N10277" t="s">
        <v>47424</v>
      </c>
      <c r="O10277" t="s">
        <v>47425</v>
      </c>
      <c r="P10277">
        <v>0</v>
      </c>
      <c r="Q10277">
        <v>13</v>
      </c>
      <c r="R10277" t="s">
        <v>47433</v>
      </c>
      <c r="S10277" t="s">
        <v>47633</v>
      </c>
      <c r="T10277" t="s">
        <v>49173</v>
      </c>
      <c r="U10277" t="s">
        <v>58103</v>
      </c>
      <c r="V10277" t="s">
        <v>63754</v>
      </c>
      <c r="W10277" t="s">
        <v>46470</v>
      </c>
      <c r="X10277" t="s">
        <v>47434</v>
      </c>
    </row>
    <row r="10278" spans="1:24">
      <c r="A10278">
        <f>HYPERLINK("https://www.philgeps.gov.ph/GEPSNONPILOT/Tender/SplashBidNoticeAbstractUI.aspx?menuIndex=3&amp;refID=7152014&amp;Result=3","7152014")</f>
        <v>0</v>
      </c>
      <c r="B10278" t="s">
        <v>2007</v>
      </c>
      <c r="C10278" t="s">
        <v>13561</v>
      </c>
      <c r="D10278" t="s">
        <v>19017</v>
      </c>
      <c r="E10278" t="s">
        <v>27937</v>
      </c>
      <c r="F10278" t="s">
        <v>32831</v>
      </c>
      <c r="G10278" t="s">
        <v>32839</v>
      </c>
      <c r="H10278" t="s">
        <v>32849</v>
      </c>
      <c r="I10278" t="s">
        <v>4177</v>
      </c>
      <c r="J10278" t="s">
        <v>39310</v>
      </c>
      <c r="K10278" t="s">
        <v>42780</v>
      </c>
      <c r="M10278" t="s">
        <v>46472</v>
      </c>
      <c r="N10278" t="s">
        <v>47424</v>
      </c>
      <c r="O10278" t="s">
        <v>47425</v>
      </c>
      <c r="P10278">
        <v>0</v>
      </c>
      <c r="Q10278">
        <v>28</v>
      </c>
      <c r="R10278" t="s">
        <v>47433</v>
      </c>
      <c r="S10278" t="s">
        <v>47633</v>
      </c>
      <c r="T10278" t="s">
        <v>49221</v>
      </c>
      <c r="U10278" t="s">
        <v>58113</v>
      </c>
      <c r="W10278" t="s">
        <v>46472</v>
      </c>
      <c r="X10278" t="s">
        <v>47434</v>
      </c>
    </row>
    <row r="10279" spans="1:24">
      <c r="A10279">
        <f>HYPERLINK("https://www.philgeps.gov.ph/GEPSNONPILOT/Tender/SplashBidNoticeAbstractUI.aspx?menuIndex=3&amp;refID=7152007&amp;Result=3","7152007")</f>
        <v>0</v>
      </c>
      <c r="B10279" t="s">
        <v>2578</v>
      </c>
      <c r="C10279" t="s">
        <v>13562</v>
      </c>
      <c r="D10279" t="s">
        <v>19021</v>
      </c>
      <c r="E10279" t="s">
        <v>27938</v>
      </c>
      <c r="F10279" t="s">
        <v>32831</v>
      </c>
      <c r="G10279" t="s">
        <v>32839</v>
      </c>
      <c r="H10279" t="s">
        <v>32848</v>
      </c>
      <c r="I10279" t="s">
        <v>7416</v>
      </c>
      <c r="J10279" t="s">
        <v>39311</v>
      </c>
      <c r="K10279" t="s">
        <v>42732</v>
      </c>
      <c r="M10279" t="s">
        <v>45796</v>
      </c>
      <c r="N10279" t="s">
        <v>47424</v>
      </c>
      <c r="O10279" t="s">
        <v>47425</v>
      </c>
      <c r="P10279">
        <v>0</v>
      </c>
      <c r="Q10279">
        <v>6</v>
      </c>
      <c r="R10279" t="s">
        <v>47433</v>
      </c>
      <c r="S10279" t="s">
        <v>47633</v>
      </c>
      <c r="T10279" t="s">
        <v>49200</v>
      </c>
      <c r="U10279" t="s">
        <v>58105</v>
      </c>
      <c r="V10279" t="s">
        <v>63469</v>
      </c>
      <c r="W10279" t="s">
        <v>45796</v>
      </c>
      <c r="X10279" t="s">
        <v>47434</v>
      </c>
    </row>
    <row r="10280" spans="1:24">
      <c r="A10280">
        <f>HYPERLINK("https://www.philgeps.gov.ph/GEPSNONPILOT/Tender/SplashBidNoticeAbstractUI.aspx?menuIndex=3&amp;refID=7152056&amp;Result=3","7152056")</f>
        <v>0</v>
      </c>
      <c r="B10280" t="s">
        <v>3166</v>
      </c>
      <c r="C10280" t="s">
        <v>13563</v>
      </c>
      <c r="D10280" t="s">
        <v>19043</v>
      </c>
      <c r="E10280" t="s">
        <v>19520</v>
      </c>
      <c r="F10280" t="s">
        <v>32831</v>
      </c>
      <c r="G10280" t="s">
        <v>32839</v>
      </c>
      <c r="H10280" t="s">
        <v>32848</v>
      </c>
      <c r="I10280" t="s">
        <v>7416</v>
      </c>
      <c r="J10280" t="s">
        <v>39312</v>
      </c>
      <c r="K10280" t="s">
        <v>42726</v>
      </c>
      <c r="M10280" t="s">
        <v>46473</v>
      </c>
      <c r="N10280" t="s">
        <v>47424</v>
      </c>
      <c r="O10280" t="s">
        <v>47425</v>
      </c>
      <c r="P10280">
        <v>0</v>
      </c>
      <c r="Q10280">
        <v>2</v>
      </c>
      <c r="R10280" t="s">
        <v>47433</v>
      </c>
      <c r="S10280" t="s">
        <v>47633</v>
      </c>
      <c r="T10280" t="s">
        <v>49237</v>
      </c>
      <c r="U10280" t="s">
        <v>58114</v>
      </c>
      <c r="W10280" t="s">
        <v>46473</v>
      </c>
      <c r="X10280" t="s">
        <v>47434</v>
      </c>
    </row>
    <row r="10281" spans="1:24">
      <c r="A10281">
        <f>HYPERLINK("https://www.philgeps.gov.ph/GEPSNONPILOT/Tender/SplashBidNoticeAbstractUI.aspx?menuIndex=3&amp;refID=7152019&amp;Result=3","7152019")</f>
        <v>0</v>
      </c>
      <c r="B10281" t="s">
        <v>138</v>
      </c>
      <c r="C10281" t="s">
        <v>13564</v>
      </c>
      <c r="D10281" t="s">
        <v>19057</v>
      </c>
      <c r="E10281" t="s">
        <v>27939</v>
      </c>
      <c r="F10281" t="s">
        <v>32831</v>
      </c>
      <c r="G10281" t="s">
        <v>32839</v>
      </c>
      <c r="H10281" t="s">
        <v>32848</v>
      </c>
      <c r="I10281" t="s">
        <v>32894</v>
      </c>
      <c r="J10281" t="s">
        <v>39313</v>
      </c>
      <c r="K10281" t="s">
        <v>42726</v>
      </c>
      <c r="M10281" t="s">
        <v>43135</v>
      </c>
      <c r="N10281" t="s">
        <v>47424</v>
      </c>
      <c r="O10281" t="s">
        <v>47425</v>
      </c>
      <c r="P10281">
        <v>0</v>
      </c>
      <c r="Q10281">
        <v>7</v>
      </c>
      <c r="R10281" t="s">
        <v>47433</v>
      </c>
      <c r="S10281" t="s">
        <v>47633</v>
      </c>
      <c r="T10281" t="s">
        <v>49192</v>
      </c>
      <c r="U10281" t="s">
        <v>58115</v>
      </c>
      <c r="W10281" t="s">
        <v>43135</v>
      </c>
      <c r="X10281" t="s">
        <v>47434</v>
      </c>
    </row>
    <row r="10282" spans="1:24">
      <c r="A10282">
        <f>HYPERLINK("https://www.philgeps.gov.ph/GEPSNONPILOT/Tender/SplashBidNoticeAbstractUI.aspx?menuIndex=3&amp;refID=7152018&amp;Result=3","7152018")</f>
        <v>0</v>
      </c>
      <c r="B10282" t="s">
        <v>3164</v>
      </c>
      <c r="C10282" t="s">
        <v>13565</v>
      </c>
      <c r="D10282" t="s">
        <v>19077</v>
      </c>
      <c r="E10282" t="s">
        <v>27940</v>
      </c>
      <c r="F10282" t="s">
        <v>32831</v>
      </c>
      <c r="G10282" t="s">
        <v>32839</v>
      </c>
      <c r="H10282" t="s">
        <v>32848</v>
      </c>
      <c r="I10282" t="s">
        <v>4558</v>
      </c>
      <c r="J10282" t="s">
        <v>39314</v>
      </c>
      <c r="K10282" t="s">
        <v>42727</v>
      </c>
      <c r="M10282" t="s">
        <v>46470</v>
      </c>
      <c r="N10282" t="s">
        <v>47424</v>
      </c>
      <c r="O10282" t="s">
        <v>47425</v>
      </c>
      <c r="P10282">
        <v>0</v>
      </c>
      <c r="Q10282">
        <v>6</v>
      </c>
      <c r="R10282" t="s">
        <v>47433</v>
      </c>
      <c r="S10282" t="s">
        <v>47633</v>
      </c>
      <c r="T10282" t="s">
        <v>49173</v>
      </c>
      <c r="U10282" t="s">
        <v>58103</v>
      </c>
      <c r="V10282" t="s">
        <v>63754</v>
      </c>
      <c r="W10282" t="s">
        <v>46470</v>
      </c>
      <c r="X10282" t="s">
        <v>47434</v>
      </c>
    </row>
    <row r="10283" spans="1:24">
      <c r="A10283">
        <f>HYPERLINK("https://www.philgeps.gov.ph/GEPSNONPILOT/Tender/SplashBidNoticeAbstractUI.aspx?menuIndex=3&amp;refID=7151996&amp;Result=3","7151996")</f>
        <v>0</v>
      </c>
      <c r="B10283" t="s">
        <v>3167</v>
      </c>
      <c r="C10283" t="s">
        <v>13566</v>
      </c>
      <c r="D10283" t="s">
        <v>19037</v>
      </c>
      <c r="E10283" t="s">
        <v>19555</v>
      </c>
      <c r="F10283" t="s">
        <v>32831</v>
      </c>
      <c r="G10283" t="s">
        <v>32839</v>
      </c>
      <c r="H10283" t="s">
        <v>32848</v>
      </c>
      <c r="I10283" t="s">
        <v>7416</v>
      </c>
      <c r="J10283" t="s">
        <v>39315</v>
      </c>
      <c r="K10283" t="s">
        <v>42731</v>
      </c>
      <c r="M10283" t="s">
        <v>46474</v>
      </c>
      <c r="N10283" t="s">
        <v>47424</v>
      </c>
      <c r="O10283" t="s">
        <v>47425</v>
      </c>
      <c r="P10283">
        <v>0</v>
      </c>
      <c r="Q10283">
        <v>0</v>
      </c>
      <c r="R10283" t="s">
        <v>47433</v>
      </c>
      <c r="S10283" t="s">
        <v>47633</v>
      </c>
      <c r="T10283" t="s">
        <v>49375</v>
      </c>
      <c r="U10283" t="s">
        <v>58116</v>
      </c>
      <c r="V10283" t="s">
        <v>63757</v>
      </c>
      <c r="W10283" t="s">
        <v>46474</v>
      </c>
      <c r="X10283" t="s">
        <v>47434</v>
      </c>
    </row>
    <row r="10284" spans="1:24">
      <c r="A10284">
        <f>HYPERLINK("https://www.philgeps.gov.ph/GEPSNONPILOT/Tender/SplashBidNoticeAbstractUI.aspx?menuIndex=3&amp;refID=7152051&amp;Result=3","7152051")</f>
        <v>0</v>
      </c>
      <c r="B10284" t="s">
        <v>3168</v>
      </c>
      <c r="C10284" t="s">
        <v>13567</v>
      </c>
      <c r="E10284" t="s">
        <v>27941</v>
      </c>
      <c r="F10284" t="s">
        <v>32831</v>
      </c>
      <c r="G10284" t="s">
        <v>32839</v>
      </c>
      <c r="H10284" t="s">
        <v>32848</v>
      </c>
      <c r="I10284" t="s">
        <v>4438</v>
      </c>
      <c r="J10284" t="s">
        <v>33279</v>
      </c>
      <c r="K10284" t="s">
        <v>42732</v>
      </c>
      <c r="M10284" t="s">
        <v>46475</v>
      </c>
      <c r="N10284" t="s">
        <v>47424</v>
      </c>
      <c r="O10284" t="s">
        <v>47425</v>
      </c>
      <c r="P10284">
        <v>0</v>
      </c>
      <c r="Q10284">
        <v>1</v>
      </c>
      <c r="R10284" t="s">
        <v>47433</v>
      </c>
      <c r="S10284" t="s">
        <v>47633</v>
      </c>
      <c r="T10284" t="s">
        <v>49237</v>
      </c>
      <c r="U10284" t="s">
        <v>58117</v>
      </c>
      <c r="W10284" t="s">
        <v>46475</v>
      </c>
      <c r="X10284" t="s">
        <v>47434</v>
      </c>
    </row>
    <row r="10285" spans="1:24">
      <c r="A10285">
        <f>HYPERLINK("https://www.philgeps.gov.ph/GEPSNONPILOT/Tender/SplashBidNoticeAbstractUI.aspx?menuIndex=3&amp;refID=7152045&amp;Result=3","7152045")</f>
        <v>0</v>
      </c>
      <c r="B10285" t="s">
        <v>958</v>
      </c>
      <c r="C10285" t="s">
        <v>13568</v>
      </c>
      <c r="D10285" t="s">
        <v>19097</v>
      </c>
      <c r="E10285" t="s">
        <v>27942</v>
      </c>
      <c r="F10285" t="s">
        <v>32831</v>
      </c>
      <c r="G10285" t="s">
        <v>32839</v>
      </c>
      <c r="H10285" t="s">
        <v>32848</v>
      </c>
      <c r="I10285" t="s">
        <v>4222</v>
      </c>
      <c r="J10285" t="s">
        <v>39316</v>
      </c>
      <c r="K10285" t="s">
        <v>42732</v>
      </c>
      <c r="M10285" t="s">
        <v>46267</v>
      </c>
      <c r="N10285" t="s">
        <v>47424</v>
      </c>
      <c r="O10285" t="s">
        <v>47425</v>
      </c>
      <c r="Q10285">
        <v>3</v>
      </c>
      <c r="R10285" t="s">
        <v>47433</v>
      </c>
      <c r="S10285" t="s">
        <v>47672</v>
      </c>
      <c r="T10285" t="s">
        <v>49302</v>
      </c>
      <c r="U10285" t="s">
        <v>58118</v>
      </c>
      <c r="W10285" t="s">
        <v>46267</v>
      </c>
      <c r="X10285" t="s">
        <v>47434</v>
      </c>
    </row>
    <row r="10286" spans="1:24">
      <c r="A10286">
        <f>HYPERLINK("https://www.philgeps.gov.ph/GEPSNONPILOT/Tender/SplashBidNoticeAbstractUI.aspx?menuIndex=3&amp;refID=7152048&amp;Result=3","7152048")</f>
        <v>0</v>
      </c>
      <c r="B10286" t="s">
        <v>1323</v>
      </c>
      <c r="C10286" t="s">
        <v>13569</v>
      </c>
      <c r="D10286" t="s">
        <v>19085</v>
      </c>
      <c r="E10286" t="s">
        <v>27943</v>
      </c>
      <c r="F10286" t="s">
        <v>32831</v>
      </c>
      <c r="G10286" t="s">
        <v>32839</v>
      </c>
      <c r="H10286" t="s">
        <v>32849</v>
      </c>
      <c r="I10286" t="s">
        <v>4177</v>
      </c>
      <c r="J10286" t="s">
        <v>32978</v>
      </c>
      <c r="K10286" t="s">
        <v>42729</v>
      </c>
      <c r="M10286" t="s">
        <v>44394</v>
      </c>
      <c r="N10286" t="s">
        <v>47424</v>
      </c>
      <c r="O10286" t="s">
        <v>47425</v>
      </c>
      <c r="P10286">
        <v>0</v>
      </c>
      <c r="Q10286">
        <v>1</v>
      </c>
      <c r="R10286" t="s">
        <v>47433</v>
      </c>
      <c r="S10286" t="s">
        <v>47633</v>
      </c>
      <c r="T10286" t="s">
        <v>49185</v>
      </c>
      <c r="U10286" t="s">
        <v>58119</v>
      </c>
      <c r="W10286" t="s">
        <v>44394</v>
      </c>
      <c r="X10286" t="s">
        <v>47434</v>
      </c>
    </row>
    <row r="10287" spans="1:24">
      <c r="A10287">
        <f>HYPERLINK("https://www.philgeps.gov.ph/GEPSNONPILOT/Tender/SplashBidNoticeAbstractUI.aspx?menuIndex=3&amp;refID=7152009&amp;Result=3","7152009")</f>
        <v>0</v>
      </c>
      <c r="B10287" t="s">
        <v>138</v>
      </c>
      <c r="C10287" t="s">
        <v>13570</v>
      </c>
      <c r="D10287" t="s">
        <v>19057</v>
      </c>
      <c r="E10287" t="s">
        <v>27944</v>
      </c>
      <c r="F10287" t="s">
        <v>32831</v>
      </c>
      <c r="G10287" t="s">
        <v>32839</v>
      </c>
      <c r="H10287" t="s">
        <v>32848</v>
      </c>
      <c r="I10287" t="s">
        <v>32891</v>
      </c>
      <c r="J10287" t="s">
        <v>33528</v>
      </c>
      <c r="K10287" t="s">
        <v>42726</v>
      </c>
      <c r="M10287" t="s">
        <v>43135</v>
      </c>
      <c r="N10287" t="s">
        <v>47424</v>
      </c>
      <c r="O10287" t="s">
        <v>47425</v>
      </c>
      <c r="P10287">
        <v>0</v>
      </c>
      <c r="Q10287">
        <v>12</v>
      </c>
      <c r="R10287" t="s">
        <v>47433</v>
      </c>
      <c r="S10287" t="s">
        <v>47633</v>
      </c>
      <c r="T10287" t="s">
        <v>49192</v>
      </c>
      <c r="U10287" t="s">
        <v>58120</v>
      </c>
      <c r="W10287" t="s">
        <v>43135</v>
      </c>
      <c r="X10287" t="s">
        <v>47434</v>
      </c>
    </row>
    <row r="10288" spans="1:24">
      <c r="A10288">
        <f>HYPERLINK("https://www.philgeps.gov.ph/GEPSNONPILOT/Tender/SplashBidNoticeAbstractUI.aspx?menuIndex=3&amp;refID=7152043&amp;Result=3","7152043")</f>
        <v>0</v>
      </c>
      <c r="B10288" t="s">
        <v>1323</v>
      </c>
      <c r="C10288" t="s">
        <v>13571</v>
      </c>
      <c r="D10288" t="s">
        <v>19085</v>
      </c>
      <c r="E10288" t="s">
        <v>27945</v>
      </c>
      <c r="F10288" t="s">
        <v>32831</v>
      </c>
      <c r="G10288" t="s">
        <v>32839</v>
      </c>
      <c r="H10288" t="s">
        <v>32849</v>
      </c>
      <c r="I10288" t="s">
        <v>4177</v>
      </c>
      <c r="J10288" t="s">
        <v>32978</v>
      </c>
      <c r="K10288" t="s">
        <v>42729</v>
      </c>
      <c r="M10288" t="s">
        <v>44394</v>
      </c>
      <c r="N10288" t="s">
        <v>47424</v>
      </c>
      <c r="O10288" t="s">
        <v>47425</v>
      </c>
      <c r="P10288">
        <v>0</v>
      </c>
      <c r="Q10288">
        <v>1</v>
      </c>
      <c r="R10288" t="s">
        <v>47433</v>
      </c>
      <c r="S10288" t="s">
        <v>47633</v>
      </c>
      <c r="T10288" t="s">
        <v>49185</v>
      </c>
      <c r="U10288" t="s">
        <v>58121</v>
      </c>
      <c r="W10288" t="s">
        <v>44394</v>
      </c>
      <c r="X10288" t="s">
        <v>47434</v>
      </c>
    </row>
    <row r="10289" spans="1:24">
      <c r="A10289">
        <f>HYPERLINK("https://www.philgeps.gov.ph/GEPSNONPILOT/Tender/SplashBidNoticeAbstractUI.aspx?menuIndex=3&amp;refID=7152042&amp;Result=3","7152042")</f>
        <v>0</v>
      </c>
      <c r="B10289" t="s">
        <v>2007</v>
      </c>
      <c r="C10289" t="s">
        <v>13572</v>
      </c>
      <c r="D10289" t="s">
        <v>19017</v>
      </c>
      <c r="E10289" t="s">
        <v>27946</v>
      </c>
      <c r="F10289" t="s">
        <v>32831</v>
      </c>
      <c r="G10289" t="s">
        <v>32839</v>
      </c>
      <c r="H10289" t="s">
        <v>32849</v>
      </c>
      <c r="I10289" t="s">
        <v>4177</v>
      </c>
      <c r="J10289" t="s">
        <v>39317</v>
      </c>
      <c r="K10289" t="s">
        <v>42883</v>
      </c>
      <c r="M10289" t="s">
        <v>46472</v>
      </c>
      <c r="N10289" t="s">
        <v>47424</v>
      </c>
      <c r="O10289" t="s">
        <v>47425</v>
      </c>
      <c r="P10289">
        <v>0</v>
      </c>
      <c r="Q10289">
        <v>29</v>
      </c>
      <c r="R10289" t="s">
        <v>47433</v>
      </c>
      <c r="S10289" t="s">
        <v>47633</v>
      </c>
      <c r="T10289" t="s">
        <v>49221</v>
      </c>
      <c r="U10289" t="s">
        <v>58122</v>
      </c>
      <c r="W10289" t="s">
        <v>46472</v>
      </c>
      <c r="X10289" t="s">
        <v>47434</v>
      </c>
    </row>
    <row r="10290" spans="1:24">
      <c r="A10290">
        <f>HYPERLINK("https://www.philgeps.gov.ph/GEPSNONPILOT/Tender/SplashBidNoticeAbstractUI.aspx?menuIndex=3&amp;refID=7152039&amp;Result=3","7152039")</f>
        <v>0</v>
      </c>
      <c r="B10290" t="s">
        <v>3164</v>
      </c>
      <c r="C10290" t="s">
        <v>13573</v>
      </c>
      <c r="D10290" t="s">
        <v>19077</v>
      </c>
      <c r="E10290" t="s">
        <v>27947</v>
      </c>
      <c r="F10290" t="s">
        <v>32831</v>
      </c>
      <c r="G10290" t="s">
        <v>32839</v>
      </c>
      <c r="H10290" t="s">
        <v>32849</v>
      </c>
      <c r="I10290" t="s">
        <v>4177</v>
      </c>
      <c r="J10290" t="s">
        <v>39318</v>
      </c>
      <c r="K10290" t="s">
        <v>42747</v>
      </c>
      <c r="M10290" t="s">
        <v>46470</v>
      </c>
      <c r="N10290" t="s">
        <v>47424</v>
      </c>
      <c r="O10290" t="s">
        <v>47425</v>
      </c>
      <c r="P10290">
        <v>0</v>
      </c>
      <c r="Q10290">
        <v>5</v>
      </c>
      <c r="R10290" t="s">
        <v>47433</v>
      </c>
      <c r="S10290" t="s">
        <v>47633</v>
      </c>
      <c r="T10290" t="s">
        <v>49265</v>
      </c>
      <c r="U10290" t="s">
        <v>58123</v>
      </c>
      <c r="V10290" t="s">
        <v>63758</v>
      </c>
      <c r="W10290" t="s">
        <v>46470</v>
      </c>
      <c r="X10290" t="s">
        <v>47434</v>
      </c>
    </row>
    <row r="10291" spans="1:24">
      <c r="A10291">
        <f>HYPERLINK("https://www.philgeps.gov.ph/GEPSNONPILOT/Tender/SplashBidNoticeAbstractUI.aspx?menuIndex=3&amp;refID=7152037&amp;Result=3","7152037")</f>
        <v>0</v>
      </c>
      <c r="B10291" t="s">
        <v>3169</v>
      </c>
      <c r="C10291" t="s">
        <v>13574</v>
      </c>
      <c r="D10291" t="s">
        <v>19025</v>
      </c>
      <c r="E10291" t="s">
        <v>27948</v>
      </c>
      <c r="F10291" t="s">
        <v>32831</v>
      </c>
      <c r="G10291" t="s">
        <v>32839</v>
      </c>
      <c r="H10291" t="s">
        <v>32848</v>
      </c>
      <c r="I10291" t="s">
        <v>32857</v>
      </c>
      <c r="J10291" t="s">
        <v>39319</v>
      </c>
      <c r="K10291" t="s">
        <v>42731</v>
      </c>
      <c r="M10291" t="s">
        <v>46476</v>
      </c>
      <c r="N10291" t="s">
        <v>47424</v>
      </c>
      <c r="O10291" t="s">
        <v>47425</v>
      </c>
      <c r="P10291">
        <v>0</v>
      </c>
      <c r="Q10291">
        <v>0</v>
      </c>
      <c r="R10291" t="s">
        <v>47433</v>
      </c>
      <c r="S10291" t="s">
        <v>47633</v>
      </c>
      <c r="T10291" t="s">
        <v>49214</v>
      </c>
      <c r="U10291" t="s">
        <v>58124</v>
      </c>
      <c r="V10291" t="s">
        <v>63027</v>
      </c>
      <c r="W10291" t="s">
        <v>46476</v>
      </c>
      <c r="X10291" t="s">
        <v>47434</v>
      </c>
    </row>
    <row r="10292" spans="1:24">
      <c r="A10292">
        <f>HYPERLINK("https://www.philgeps.gov.ph/GEPSNONPILOT/Tender/SplashBidNoticeAbstractUI.aspx?menuIndex=3&amp;refID=7152055&amp;Result=3","7152055")</f>
        <v>0</v>
      </c>
      <c r="B10292" t="s">
        <v>3168</v>
      </c>
      <c r="C10292" t="s">
        <v>13575</v>
      </c>
      <c r="E10292" t="s">
        <v>27949</v>
      </c>
      <c r="F10292" t="s">
        <v>32831</v>
      </c>
      <c r="G10292" t="s">
        <v>32839</v>
      </c>
      <c r="H10292" t="s">
        <v>32848</v>
      </c>
      <c r="I10292" t="s">
        <v>32858</v>
      </c>
      <c r="J10292" t="s">
        <v>33279</v>
      </c>
      <c r="K10292" t="s">
        <v>42732</v>
      </c>
      <c r="M10292" t="s">
        <v>46475</v>
      </c>
      <c r="N10292" t="s">
        <v>47424</v>
      </c>
      <c r="O10292" t="s">
        <v>47425</v>
      </c>
      <c r="P10292">
        <v>0</v>
      </c>
      <c r="Q10292">
        <v>3</v>
      </c>
      <c r="R10292" t="s">
        <v>47433</v>
      </c>
      <c r="S10292" t="s">
        <v>47633</v>
      </c>
      <c r="T10292" t="s">
        <v>49237</v>
      </c>
      <c r="U10292" t="s">
        <v>58125</v>
      </c>
      <c r="W10292" t="s">
        <v>46475</v>
      </c>
      <c r="X10292" t="s">
        <v>47434</v>
      </c>
    </row>
    <row r="10293" spans="1:24">
      <c r="A10293">
        <f>HYPERLINK("https://www.philgeps.gov.ph/GEPSNONPILOT/Tender/SplashBidNoticeAbstractUI.aspx?menuIndex=3&amp;refID=7152033&amp;Result=3","7152033")</f>
        <v>0</v>
      </c>
      <c r="B10293" t="s">
        <v>3164</v>
      </c>
      <c r="C10293" t="s">
        <v>13576</v>
      </c>
      <c r="D10293" t="s">
        <v>19077</v>
      </c>
      <c r="E10293" t="s">
        <v>27950</v>
      </c>
      <c r="F10293" t="s">
        <v>32831</v>
      </c>
      <c r="G10293" t="s">
        <v>32839</v>
      </c>
      <c r="H10293" t="s">
        <v>32848</v>
      </c>
      <c r="I10293" t="s">
        <v>32860</v>
      </c>
      <c r="J10293" t="s">
        <v>39320</v>
      </c>
      <c r="K10293" t="s">
        <v>42731</v>
      </c>
      <c r="M10293" t="s">
        <v>46470</v>
      </c>
      <c r="N10293" t="s">
        <v>47424</v>
      </c>
      <c r="O10293" t="s">
        <v>47425</v>
      </c>
      <c r="P10293">
        <v>0</v>
      </c>
      <c r="Q10293">
        <v>3</v>
      </c>
      <c r="R10293" t="s">
        <v>47433</v>
      </c>
      <c r="S10293" t="s">
        <v>47633</v>
      </c>
      <c r="T10293" t="s">
        <v>49173</v>
      </c>
      <c r="U10293" t="s">
        <v>58103</v>
      </c>
      <c r="V10293" t="s">
        <v>63754</v>
      </c>
      <c r="W10293" t="s">
        <v>46470</v>
      </c>
      <c r="X10293" t="s">
        <v>47434</v>
      </c>
    </row>
    <row r="10294" spans="1:24">
      <c r="A10294">
        <f>HYPERLINK("https://www.philgeps.gov.ph/GEPSNONPILOT/Tender/SplashBidNoticeAbstractUI.aspx?menuIndex=3&amp;refID=7151963&amp;Result=3","7151963")</f>
        <v>0</v>
      </c>
      <c r="B10294" t="s">
        <v>3153</v>
      </c>
      <c r="C10294" t="s">
        <v>13577</v>
      </c>
      <c r="D10294" t="s">
        <v>19017</v>
      </c>
      <c r="E10294" t="s">
        <v>20965</v>
      </c>
      <c r="F10294" t="s">
        <v>32831</v>
      </c>
      <c r="G10294" t="s">
        <v>32839</v>
      </c>
      <c r="H10294" t="s">
        <v>32848</v>
      </c>
      <c r="I10294" t="s">
        <v>4438</v>
      </c>
      <c r="J10294" t="s">
        <v>32978</v>
      </c>
      <c r="K10294" t="s">
        <v>42758</v>
      </c>
      <c r="M10294" t="s">
        <v>46455</v>
      </c>
      <c r="N10294" t="s">
        <v>47424</v>
      </c>
      <c r="O10294" t="s">
        <v>47425</v>
      </c>
      <c r="P10294">
        <v>0</v>
      </c>
      <c r="Q10294">
        <v>1</v>
      </c>
      <c r="R10294" t="s">
        <v>47433</v>
      </c>
      <c r="S10294" t="s">
        <v>47633</v>
      </c>
      <c r="T10294" t="s">
        <v>49221</v>
      </c>
      <c r="U10294" t="s">
        <v>58080</v>
      </c>
      <c r="W10294" t="s">
        <v>46455</v>
      </c>
      <c r="X10294" t="s">
        <v>47434</v>
      </c>
    </row>
    <row r="10295" spans="1:24">
      <c r="A10295">
        <f>HYPERLINK("https://www.philgeps.gov.ph/GEPSNONPILOT/Tender/SplashBidNoticeAbstractUI.aspx?menuIndex=3&amp;refID=7152041&amp;Result=3","7152041")</f>
        <v>0</v>
      </c>
      <c r="B10295" t="s">
        <v>3169</v>
      </c>
      <c r="C10295" t="s">
        <v>13578</v>
      </c>
      <c r="D10295" t="s">
        <v>19025</v>
      </c>
      <c r="E10295" t="s">
        <v>27951</v>
      </c>
      <c r="F10295" t="s">
        <v>32831</v>
      </c>
      <c r="G10295" t="s">
        <v>32839</v>
      </c>
      <c r="H10295" t="s">
        <v>32848</v>
      </c>
      <c r="I10295" t="s">
        <v>32857</v>
      </c>
      <c r="J10295" t="s">
        <v>39321</v>
      </c>
      <c r="K10295" t="s">
        <v>42731</v>
      </c>
      <c r="M10295" t="s">
        <v>46476</v>
      </c>
      <c r="N10295" t="s">
        <v>47424</v>
      </c>
      <c r="O10295" t="s">
        <v>47425</v>
      </c>
      <c r="P10295">
        <v>0</v>
      </c>
      <c r="Q10295">
        <v>0</v>
      </c>
      <c r="R10295" t="s">
        <v>47433</v>
      </c>
      <c r="S10295" t="s">
        <v>47633</v>
      </c>
      <c r="T10295" t="s">
        <v>49214</v>
      </c>
      <c r="U10295" t="s">
        <v>58126</v>
      </c>
      <c r="V10295" t="s">
        <v>63027</v>
      </c>
      <c r="W10295" t="s">
        <v>46476</v>
      </c>
      <c r="X10295" t="s">
        <v>47434</v>
      </c>
    </row>
    <row r="10296" spans="1:24">
      <c r="A10296">
        <f>HYPERLINK("https://www.philgeps.gov.ph/GEPSNONPILOT/Tender/SplashBidNoticeAbstractUI.aspx?menuIndex=3&amp;refID=7152108&amp;Result=3","7152108")</f>
        <v>0</v>
      </c>
      <c r="B10296" t="s">
        <v>3170</v>
      </c>
      <c r="C10296" t="s">
        <v>13579</v>
      </c>
      <c r="D10296" t="s">
        <v>19017</v>
      </c>
      <c r="E10296" t="s">
        <v>27952</v>
      </c>
      <c r="F10296" t="s">
        <v>32831</v>
      </c>
      <c r="G10296" t="s">
        <v>32839</v>
      </c>
      <c r="H10296" t="s">
        <v>32848</v>
      </c>
      <c r="I10296" t="s">
        <v>4487</v>
      </c>
      <c r="J10296" t="s">
        <v>38504</v>
      </c>
      <c r="K10296" t="s">
        <v>42732</v>
      </c>
      <c r="M10296" t="s">
        <v>46477</v>
      </c>
      <c r="N10296" t="s">
        <v>47424</v>
      </c>
      <c r="O10296" t="s">
        <v>47425</v>
      </c>
      <c r="Q10296">
        <v>22</v>
      </c>
      <c r="R10296" t="s">
        <v>47433</v>
      </c>
      <c r="S10296" t="s">
        <v>47673</v>
      </c>
      <c r="T10296" t="s">
        <v>49236</v>
      </c>
      <c r="U10296" t="s">
        <v>58127</v>
      </c>
      <c r="W10296" t="s">
        <v>46477</v>
      </c>
      <c r="X10296" t="s">
        <v>47434</v>
      </c>
    </row>
    <row r="10297" spans="1:24">
      <c r="A10297">
        <f>HYPERLINK("https://www.philgeps.gov.ph/GEPSNONPILOT/Tender/SplashBidNoticeAbstractUI.aspx?menuIndex=3&amp;refID=7152110&amp;Result=3","7152110")</f>
        <v>0</v>
      </c>
      <c r="B10297" t="s">
        <v>958</v>
      </c>
      <c r="C10297" t="s">
        <v>13580</v>
      </c>
      <c r="D10297" t="s">
        <v>19092</v>
      </c>
      <c r="E10297" t="s">
        <v>27953</v>
      </c>
      <c r="F10297" t="s">
        <v>32831</v>
      </c>
      <c r="G10297" t="s">
        <v>32839</v>
      </c>
      <c r="H10297" t="s">
        <v>32848</v>
      </c>
      <c r="I10297" t="s">
        <v>4222</v>
      </c>
      <c r="J10297" t="s">
        <v>39322</v>
      </c>
      <c r="K10297" t="s">
        <v>42732</v>
      </c>
      <c r="M10297" t="s">
        <v>46267</v>
      </c>
      <c r="N10297" t="s">
        <v>47424</v>
      </c>
      <c r="O10297" t="s">
        <v>47425</v>
      </c>
      <c r="Q10297">
        <v>3</v>
      </c>
      <c r="R10297" t="s">
        <v>47433</v>
      </c>
      <c r="S10297" t="s">
        <v>47674</v>
      </c>
      <c r="T10297" t="s">
        <v>49302</v>
      </c>
      <c r="U10297" t="s">
        <v>58128</v>
      </c>
      <c r="W10297" t="s">
        <v>46267</v>
      </c>
      <c r="X10297" t="s">
        <v>47434</v>
      </c>
    </row>
    <row r="10298" spans="1:24">
      <c r="A10298">
        <f>HYPERLINK("https://www.philgeps.gov.ph/GEPSNONPILOT/Tender/SplashBidNoticeAbstractUI.aspx?menuIndex=3&amp;refID=7152046&amp;Result=3","7152046")</f>
        <v>0</v>
      </c>
      <c r="B10298" t="s">
        <v>3168</v>
      </c>
      <c r="C10298" t="s">
        <v>13581</v>
      </c>
      <c r="E10298" t="s">
        <v>27954</v>
      </c>
      <c r="F10298" t="s">
        <v>32831</v>
      </c>
      <c r="G10298" t="s">
        <v>32839</v>
      </c>
      <c r="H10298" t="s">
        <v>32848</v>
      </c>
      <c r="I10298" t="s">
        <v>4438</v>
      </c>
      <c r="J10298" t="s">
        <v>33279</v>
      </c>
      <c r="K10298" t="s">
        <v>42732</v>
      </c>
      <c r="M10298" t="s">
        <v>46475</v>
      </c>
      <c r="N10298" t="s">
        <v>47424</v>
      </c>
      <c r="O10298" t="s">
        <v>47425</v>
      </c>
      <c r="P10298">
        <v>0</v>
      </c>
      <c r="Q10298">
        <v>3</v>
      </c>
      <c r="R10298" t="s">
        <v>47433</v>
      </c>
      <c r="S10298" t="s">
        <v>47633</v>
      </c>
      <c r="T10298" t="s">
        <v>49237</v>
      </c>
      <c r="U10298" t="s">
        <v>58129</v>
      </c>
      <c r="W10298" t="s">
        <v>46475</v>
      </c>
      <c r="X10298" t="s">
        <v>47434</v>
      </c>
    </row>
    <row r="10299" spans="1:24">
      <c r="A10299">
        <f>HYPERLINK("https://www.philgeps.gov.ph/GEPSNONPILOT/Tender/SplashBidNoticeAbstractUI.aspx?menuIndex=3&amp;refID=7152107&amp;Result=3","7152107")</f>
        <v>0</v>
      </c>
      <c r="B10299" t="s">
        <v>900</v>
      </c>
      <c r="C10299" t="s">
        <v>13582</v>
      </c>
      <c r="D10299" t="s">
        <v>19090</v>
      </c>
      <c r="E10299" t="s">
        <v>22097</v>
      </c>
      <c r="F10299" t="s">
        <v>32831</v>
      </c>
      <c r="G10299" t="s">
        <v>32838</v>
      </c>
      <c r="H10299" t="s">
        <v>32848</v>
      </c>
      <c r="I10299" t="s">
        <v>32966</v>
      </c>
      <c r="J10299" t="s">
        <v>34155</v>
      </c>
      <c r="K10299" t="s">
        <v>42732</v>
      </c>
      <c r="M10299" t="s">
        <v>43936</v>
      </c>
      <c r="N10299" t="s">
        <v>47424</v>
      </c>
      <c r="O10299" t="s">
        <v>47425</v>
      </c>
      <c r="P10299">
        <v>0</v>
      </c>
      <c r="Q10299">
        <v>6</v>
      </c>
      <c r="R10299" t="s">
        <v>47433</v>
      </c>
      <c r="S10299" t="s">
        <v>47633</v>
      </c>
      <c r="T10299" t="s">
        <v>49239</v>
      </c>
      <c r="U10299" t="s">
        <v>58130</v>
      </c>
      <c r="W10299" t="s">
        <v>43936</v>
      </c>
      <c r="X10299" t="s">
        <v>47434</v>
      </c>
    </row>
    <row r="10300" spans="1:24">
      <c r="A10300">
        <f>HYPERLINK("https://www.philgeps.gov.ph/GEPSNONPILOT/Tender/SplashBidNoticeAbstractUI.aspx?menuIndex=3&amp;refID=7152109&amp;Result=3","7152109")</f>
        <v>0</v>
      </c>
      <c r="B10300" t="s">
        <v>3171</v>
      </c>
      <c r="C10300" t="s">
        <v>13583</v>
      </c>
      <c r="D10300" t="s">
        <v>19055</v>
      </c>
      <c r="E10300" t="s">
        <v>27955</v>
      </c>
      <c r="F10300" t="s">
        <v>32831</v>
      </c>
      <c r="G10300" t="s">
        <v>32839</v>
      </c>
      <c r="H10300" t="s">
        <v>32849</v>
      </c>
      <c r="I10300" t="s">
        <v>4177</v>
      </c>
      <c r="J10300" t="s">
        <v>39323</v>
      </c>
      <c r="K10300" t="s">
        <v>42728</v>
      </c>
      <c r="M10300" t="s">
        <v>46478</v>
      </c>
      <c r="N10300" t="s">
        <v>47424</v>
      </c>
      <c r="O10300" t="s">
        <v>47425</v>
      </c>
      <c r="P10300">
        <v>0</v>
      </c>
      <c r="Q10300">
        <v>1</v>
      </c>
      <c r="R10300" t="s">
        <v>47433</v>
      </c>
      <c r="S10300" t="s">
        <v>47633</v>
      </c>
      <c r="T10300" t="s">
        <v>49461</v>
      </c>
      <c r="U10300" t="s">
        <v>58131</v>
      </c>
      <c r="V10300" t="s">
        <v>63759</v>
      </c>
      <c r="W10300" t="s">
        <v>46478</v>
      </c>
      <c r="X10300" t="s">
        <v>47434</v>
      </c>
    </row>
    <row r="10301" spans="1:24">
      <c r="A10301">
        <f>HYPERLINK("https://www.philgeps.gov.ph/GEPSNONPILOT/Tender/SplashBidNoticeAbstractUI.aspx?menuIndex=3&amp;refID=7152099&amp;Result=3","7152099")</f>
        <v>0</v>
      </c>
      <c r="B10301" t="s">
        <v>2921</v>
      </c>
      <c r="C10301" t="s">
        <v>13584</v>
      </c>
      <c r="D10301" t="s">
        <v>19049</v>
      </c>
      <c r="E10301" t="s">
        <v>27956</v>
      </c>
      <c r="F10301" t="s">
        <v>32831</v>
      </c>
      <c r="G10301" t="s">
        <v>32838</v>
      </c>
      <c r="H10301" t="s">
        <v>32848</v>
      </c>
      <c r="I10301" t="s">
        <v>32894</v>
      </c>
      <c r="J10301" t="s">
        <v>36333</v>
      </c>
      <c r="K10301" t="s">
        <v>42729</v>
      </c>
      <c r="M10301" t="s">
        <v>46174</v>
      </c>
      <c r="N10301" t="s">
        <v>47424</v>
      </c>
      <c r="O10301" t="s">
        <v>47425</v>
      </c>
      <c r="P10301">
        <v>0</v>
      </c>
      <c r="Q10301">
        <v>2</v>
      </c>
      <c r="R10301" t="s">
        <v>47433</v>
      </c>
      <c r="S10301" t="s">
        <v>47633</v>
      </c>
      <c r="T10301" t="s">
        <v>49239</v>
      </c>
      <c r="U10301" t="s">
        <v>58132</v>
      </c>
      <c r="W10301" t="s">
        <v>46174</v>
      </c>
      <c r="X10301" t="s">
        <v>47434</v>
      </c>
    </row>
    <row r="10302" spans="1:24">
      <c r="A10302">
        <f>HYPERLINK("https://www.philgeps.gov.ph/GEPSNONPILOT/Tender/SplashBidNoticeAbstractUI.aspx?menuIndex=3&amp;refID=7152097&amp;Result=3","7152097")</f>
        <v>0</v>
      </c>
      <c r="B10302" t="s">
        <v>960</v>
      </c>
      <c r="C10302" t="s">
        <v>13585</v>
      </c>
      <c r="D10302" t="s">
        <v>19017</v>
      </c>
      <c r="E10302" t="s">
        <v>27957</v>
      </c>
      <c r="F10302" t="s">
        <v>32831</v>
      </c>
      <c r="G10302" t="s">
        <v>32839</v>
      </c>
      <c r="H10302" t="s">
        <v>32848</v>
      </c>
      <c r="I10302" t="s">
        <v>10643</v>
      </c>
      <c r="J10302" t="s">
        <v>39324</v>
      </c>
      <c r="K10302" t="s">
        <v>42729</v>
      </c>
      <c r="M10302" t="s">
        <v>46181</v>
      </c>
      <c r="N10302" t="s">
        <v>47424</v>
      </c>
      <c r="O10302" t="s">
        <v>47425</v>
      </c>
      <c r="Q10302">
        <v>4</v>
      </c>
      <c r="R10302" t="s">
        <v>47433</v>
      </c>
      <c r="S10302" t="s">
        <v>47675</v>
      </c>
      <c r="T10302" t="s">
        <v>49173</v>
      </c>
      <c r="U10302" t="s">
        <v>57127</v>
      </c>
      <c r="W10302" t="s">
        <v>46181</v>
      </c>
      <c r="X10302" t="s">
        <v>47434</v>
      </c>
    </row>
    <row r="10303" spans="1:24">
      <c r="A10303">
        <f>HYPERLINK("https://www.philgeps.gov.ph/GEPSNONPILOT/Tender/SplashBidNoticeAbstractUI.aspx?menuIndex=3&amp;refID=7152094&amp;Result=3","7152094")</f>
        <v>0</v>
      </c>
      <c r="B10303" t="s">
        <v>958</v>
      </c>
      <c r="C10303" t="s">
        <v>13586</v>
      </c>
      <c r="D10303" t="s">
        <v>19102</v>
      </c>
      <c r="E10303" t="s">
        <v>27958</v>
      </c>
      <c r="F10303" t="s">
        <v>32831</v>
      </c>
      <c r="G10303" t="s">
        <v>32839</v>
      </c>
      <c r="H10303" t="s">
        <v>32848</v>
      </c>
      <c r="I10303" t="s">
        <v>4222</v>
      </c>
      <c r="J10303" t="s">
        <v>39325</v>
      </c>
      <c r="K10303" t="s">
        <v>42732</v>
      </c>
      <c r="M10303" t="s">
        <v>46267</v>
      </c>
      <c r="N10303" t="s">
        <v>47424</v>
      </c>
      <c r="O10303" t="s">
        <v>47425</v>
      </c>
      <c r="Q10303">
        <v>3</v>
      </c>
      <c r="R10303" t="s">
        <v>47433</v>
      </c>
      <c r="S10303" t="s">
        <v>47676</v>
      </c>
      <c r="T10303" t="s">
        <v>49302</v>
      </c>
      <c r="U10303" t="s">
        <v>58133</v>
      </c>
      <c r="W10303" t="s">
        <v>46267</v>
      </c>
      <c r="X10303" t="s">
        <v>47434</v>
      </c>
    </row>
    <row r="10304" spans="1:24">
      <c r="A10304">
        <f>HYPERLINK("https://www.philgeps.gov.ph/GEPSNONPILOT/Tender/SplashBidNoticeAbstractUI.aspx?menuIndex=3&amp;refID=7152089&amp;Result=3","7152089")</f>
        <v>0</v>
      </c>
      <c r="B10304" t="s">
        <v>3172</v>
      </c>
      <c r="C10304" t="s">
        <v>13587</v>
      </c>
      <c r="E10304" t="s">
        <v>27959</v>
      </c>
      <c r="F10304" t="s">
        <v>32831</v>
      </c>
      <c r="G10304" t="s">
        <v>32839</v>
      </c>
      <c r="H10304" t="s">
        <v>32849</v>
      </c>
      <c r="I10304" t="s">
        <v>4177</v>
      </c>
      <c r="J10304" t="s">
        <v>32983</v>
      </c>
      <c r="K10304" t="s">
        <v>42750</v>
      </c>
      <c r="M10304" t="s">
        <v>46479</v>
      </c>
      <c r="N10304" t="s">
        <v>47424</v>
      </c>
      <c r="O10304" t="s">
        <v>47425</v>
      </c>
      <c r="P10304">
        <v>0</v>
      </c>
      <c r="Q10304">
        <v>1</v>
      </c>
      <c r="R10304" t="s">
        <v>47433</v>
      </c>
      <c r="S10304" t="s">
        <v>47633</v>
      </c>
      <c r="T10304" t="s">
        <v>49116</v>
      </c>
      <c r="U10304" t="s">
        <v>58134</v>
      </c>
      <c r="W10304" t="s">
        <v>46479</v>
      </c>
      <c r="X10304" t="s">
        <v>47434</v>
      </c>
    </row>
    <row r="10305" spans="1:24">
      <c r="A10305">
        <f>HYPERLINK("https://www.philgeps.gov.ph/GEPSNONPILOT/Tender/SplashBidNoticeAbstractUI.aspx?menuIndex=3&amp;refID=7152079&amp;Result=3","7152079")</f>
        <v>0</v>
      </c>
      <c r="B10305" t="s">
        <v>2921</v>
      </c>
      <c r="C10305" t="s">
        <v>13588</v>
      </c>
      <c r="D10305" t="s">
        <v>19049</v>
      </c>
      <c r="E10305" t="s">
        <v>27960</v>
      </c>
      <c r="F10305" t="s">
        <v>32831</v>
      </c>
      <c r="G10305" t="s">
        <v>32838</v>
      </c>
      <c r="H10305" t="s">
        <v>32848</v>
      </c>
      <c r="I10305" t="s">
        <v>32874</v>
      </c>
      <c r="J10305" t="s">
        <v>39326</v>
      </c>
      <c r="K10305" t="s">
        <v>42730</v>
      </c>
      <c r="M10305" t="s">
        <v>46174</v>
      </c>
      <c r="N10305" t="s">
        <v>47424</v>
      </c>
      <c r="O10305" t="s">
        <v>47425</v>
      </c>
      <c r="P10305">
        <v>0</v>
      </c>
      <c r="Q10305">
        <v>8</v>
      </c>
      <c r="R10305" t="s">
        <v>47433</v>
      </c>
      <c r="S10305" t="s">
        <v>47633</v>
      </c>
      <c r="T10305" t="s">
        <v>49239</v>
      </c>
      <c r="U10305" t="s">
        <v>58135</v>
      </c>
      <c r="W10305" t="s">
        <v>46174</v>
      </c>
      <c r="X10305" t="s">
        <v>47434</v>
      </c>
    </row>
    <row r="10306" spans="1:24">
      <c r="A10306">
        <f>HYPERLINK("https://www.philgeps.gov.ph/GEPSNONPILOT/Tender/SplashBidNoticeAbstractUI.aspx?menuIndex=3&amp;refID=7152047&amp;Result=3","7152047")</f>
        <v>0</v>
      </c>
      <c r="B10306" t="s">
        <v>2940</v>
      </c>
      <c r="C10306" t="s">
        <v>13589</v>
      </c>
      <c r="D10306" t="s">
        <v>19044</v>
      </c>
      <c r="E10306" t="s">
        <v>27961</v>
      </c>
      <c r="F10306" t="s">
        <v>32831</v>
      </c>
      <c r="G10306" t="s">
        <v>32839</v>
      </c>
      <c r="H10306" t="s">
        <v>32848</v>
      </c>
      <c r="I10306" t="s">
        <v>7416</v>
      </c>
      <c r="J10306" t="s">
        <v>39327</v>
      </c>
      <c r="K10306" t="s">
        <v>42730</v>
      </c>
      <c r="M10306" t="s">
        <v>46197</v>
      </c>
      <c r="N10306" t="s">
        <v>47424</v>
      </c>
      <c r="O10306" t="s">
        <v>47425</v>
      </c>
      <c r="P10306">
        <v>0</v>
      </c>
      <c r="Q10306">
        <v>0</v>
      </c>
      <c r="R10306" t="s">
        <v>47433</v>
      </c>
      <c r="S10306" t="s">
        <v>47633</v>
      </c>
      <c r="T10306" t="s">
        <v>49328</v>
      </c>
      <c r="U10306" t="s">
        <v>58136</v>
      </c>
      <c r="W10306" t="s">
        <v>46197</v>
      </c>
      <c r="X10306" t="s">
        <v>47434</v>
      </c>
    </row>
    <row r="10307" spans="1:24">
      <c r="A10307">
        <f>HYPERLINK("https://www.philgeps.gov.ph/GEPSNONPILOT/Tender/SplashBidNoticeAbstractUI.aspx?menuIndex=3&amp;refID=7152161&amp;Result=3","7152161")</f>
        <v>0</v>
      </c>
      <c r="B10307" t="s">
        <v>2173</v>
      </c>
      <c r="C10307" t="s">
        <v>13590</v>
      </c>
      <c r="D10307" t="s">
        <v>19030</v>
      </c>
      <c r="E10307" t="s">
        <v>27962</v>
      </c>
      <c r="F10307" t="s">
        <v>32831</v>
      </c>
      <c r="G10307" t="s">
        <v>32839</v>
      </c>
      <c r="H10307" t="s">
        <v>32848</v>
      </c>
      <c r="I10307" t="s">
        <v>4438</v>
      </c>
      <c r="J10307" t="s">
        <v>37533</v>
      </c>
      <c r="K10307" t="s">
        <v>42726</v>
      </c>
      <c r="M10307" t="s">
        <v>45351</v>
      </c>
      <c r="N10307" t="s">
        <v>47424</v>
      </c>
      <c r="O10307" t="s">
        <v>47425</v>
      </c>
      <c r="P10307">
        <v>0</v>
      </c>
      <c r="Q10307">
        <v>2</v>
      </c>
      <c r="R10307" t="s">
        <v>47433</v>
      </c>
      <c r="S10307" t="s">
        <v>47633</v>
      </c>
      <c r="T10307" t="s">
        <v>49212</v>
      </c>
      <c r="U10307" t="s">
        <v>58137</v>
      </c>
      <c r="W10307" t="s">
        <v>45351</v>
      </c>
      <c r="X10307" t="s">
        <v>47434</v>
      </c>
    </row>
    <row r="10308" spans="1:24">
      <c r="A10308">
        <f>HYPERLINK("https://www.philgeps.gov.ph/GEPSNONPILOT/Tender/SplashBidNoticeAbstractUI.aspx?menuIndex=3&amp;refID=7152159&amp;Result=3","7152159")</f>
        <v>0</v>
      </c>
      <c r="B10308" t="s">
        <v>2173</v>
      </c>
      <c r="C10308" t="s">
        <v>13591</v>
      </c>
      <c r="D10308" t="s">
        <v>19030</v>
      </c>
      <c r="E10308" t="s">
        <v>27962</v>
      </c>
      <c r="F10308" t="s">
        <v>32831</v>
      </c>
      <c r="G10308" t="s">
        <v>32839</v>
      </c>
      <c r="H10308" t="s">
        <v>32848</v>
      </c>
      <c r="I10308" t="s">
        <v>32894</v>
      </c>
      <c r="J10308" t="s">
        <v>33411</v>
      </c>
      <c r="K10308" t="s">
        <v>42726</v>
      </c>
      <c r="M10308" t="s">
        <v>45351</v>
      </c>
      <c r="N10308" t="s">
        <v>47424</v>
      </c>
      <c r="O10308" t="s">
        <v>47425</v>
      </c>
      <c r="P10308">
        <v>0</v>
      </c>
      <c r="Q10308">
        <v>4</v>
      </c>
      <c r="R10308" t="s">
        <v>47433</v>
      </c>
      <c r="S10308" t="s">
        <v>47633</v>
      </c>
      <c r="T10308" t="s">
        <v>49212</v>
      </c>
      <c r="U10308" t="s">
        <v>58138</v>
      </c>
      <c r="W10308" t="s">
        <v>45351</v>
      </c>
      <c r="X10308" t="s">
        <v>47434</v>
      </c>
    </row>
    <row r="10309" spans="1:24">
      <c r="A10309">
        <f>HYPERLINK("https://www.philgeps.gov.ph/GEPSNONPILOT/Tender/SplashBidNoticeAbstractUI.aspx?menuIndex=3&amp;refID=7152080&amp;Result=3","7152080")</f>
        <v>0</v>
      </c>
      <c r="B10309" t="s">
        <v>2940</v>
      </c>
      <c r="C10309" t="s">
        <v>13592</v>
      </c>
      <c r="D10309" t="s">
        <v>19044</v>
      </c>
      <c r="E10309" t="s">
        <v>27963</v>
      </c>
      <c r="F10309" t="s">
        <v>32831</v>
      </c>
      <c r="G10309" t="s">
        <v>32839</v>
      </c>
      <c r="H10309" t="s">
        <v>32848</v>
      </c>
      <c r="I10309" t="s">
        <v>7416</v>
      </c>
      <c r="J10309" t="s">
        <v>33437</v>
      </c>
      <c r="K10309" t="s">
        <v>42727</v>
      </c>
      <c r="M10309" t="s">
        <v>46197</v>
      </c>
      <c r="N10309" t="s">
        <v>47424</v>
      </c>
      <c r="O10309" t="s">
        <v>47425</v>
      </c>
      <c r="P10309">
        <v>0</v>
      </c>
      <c r="Q10309">
        <v>1</v>
      </c>
      <c r="R10309" t="s">
        <v>47433</v>
      </c>
      <c r="S10309" t="s">
        <v>47633</v>
      </c>
      <c r="T10309" t="s">
        <v>49328</v>
      </c>
      <c r="U10309" t="s">
        <v>58136</v>
      </c>
      <c r="W10309" t="s">
        <v>46197</v>
      </c>
      <c r="X10309" t="s">
        <v>47434</v>
      </c>
    </row>
    <row r="10310" spans="1:24">
      <c r="A10310">
        <f>HYPERLINK("https://www.philgeps.gov.ph/GEPSNONPILOT/Tender/SplashBidNoticeAbstractUI.aspx?menuIndex=3&amp;refID=7152157&amp;Result=3","7152157")</f>
        <v>0</v>
      </c>
      <c r="B10310" t="s">
        <v>2948</v>
      </c>
      <c r="C10310" t="s">
        <v>13593</v>
      </c>
      <c r="D10310" t="s">
        <v>19060</v>
      </c>
      <c r="E10310" t="s">
        <v>27964</v>
      </c>
      <c r="F10310" t="s">
        <v>32831</v>
      </c>
      <c r="G10310" t="s">
        <v>32839</v>
      </c>
      <c r="H10310" t="s">
        <v>32848</v>
      </c>
      <c r="I10310" t="s">
        <v>32890</v>
      </c>
      <c r="J10310" t="s">
        <v>39328</v>
      </c>
      <c r="K10310" t="s">
        <v>42729</v>
      </c>
      <c r="M10310" t="s">
        <v>46207</v>
      </c>
      <c r="N10310" t="s">
        <v>47424</v>
      </c>
      <c r="O10310" t="s">
        <v>47425</v>
      </c>
      <c r="P10310">
        <v>0</v>
      </c>
      <c r="Q10310">
        <v>0</v>
      </c>
      <c r="R10310" t="s">
        <v>47433</v>
      </c>
      <c r="S10310" t="s">
        <v>47633</v>
      </c>
      <c r="T10310" t="s">
        <v>49334</v>
      </c>
      <c r="U10310" t="s">
        <v>58139</v>
      </c>
      <c r="V10310" t="s">
        <v>63628</v>
      </c>
      <c r="W10310" t="s">
        <v>46207</v>
      </c>
      <c r="X10310" t="s">
        <v>47434</v>
      </c>
    </row>
    <row r="10311" spans="1:24">
      <c r="A10311">
        <f>HYPERLINK("https://www.philgeps.gov.ph/GEPSNONPILOT/Tender/SplashBidNoticeAbstractUI.aspx?menuIndex=3&amp;refID=7152015&amp;Result=3","7152015")</f>
        <v>0</v>
      </c>
      <c r="B10311" t="s">
        <v>871</v>
      </c>
      <c r="C10311" t="s">
        <v>13594</v>
      </c>
      <c r="D10311" t="s">
        <v>19020</v>
      </c>
      <c r="E10311" t="s">
        <v>27965</v>
      </c>
      <c r="F10311" t="s">
        <v>32831</v>
      </c>
      <c r="G10311" t="s">
        <v>32839</v>
      </c>
      <c r="H10311" t="s">
        <v>32848</v>
      </c>
      <c r="I10311" t="s">
        <v>7751</v>
      </c>
      <c r="J10311" t="s">
        <v>39329</v>
      </c>
      <c r="K10311" t="s">
        <v>42732</v>
      </c>
      <c r="M10311" t="s">
        <v>43905</v>
      </c>
      <c r="N10311" t="s">
        <v>47424</v>
      </c>
      <c r="O10311" t="s">
        <v>47425</v>
      </c>
      <c r="P10311">
        <v>0</v>
      </c>
      <c r="Q10311">
        <v>1</v>
      </c>
      <c r="R10311" t="s">
        <v>47433</v>
      </c>
      <c r="S10311" t="s">
        <v>47633</v>
      </c>
      <c r="T10311" t="s">
        <v>49212</v>
      </c>
      <c r="U10311" t="s">
        <v>58140</v>
      </c>
      <c r="V10311" t="s">
        <v>63755</v>
      </c>
      <c r="W10311" t="s">
        <v>43905</v>
      </c>
      <c r="X10311" t="s">
        <v>47434</v>
      </c>
    </row>
    <row r="10312" spans="1:24">
      <c r="A10312">
        <f>HYPERLINK("https://www.philgeps.gov.ph/GEPSNONPILOT/Tender/SplashBidNoticeAbstractUI.aspx?menuIndex=3&amp;refID=7152032&amp;Result=3","7152032")</f>
        <v>0</v>
      </c>
      <c r="B10312" t="s">
        <v>2491</v>
      </c>
      <c r="C10312" t="s">
        <v>13595</v>
      </c>
      <c r="D10312" t="s">
        <v>19057</v>
      </c>
      <c r="E10312" t="s">
        <v>27966</v>
      </c>
      <c r="F10312" t="s">
        <v>32831</v>
      </c>
      <c r="G10312" t="s">
        <v>32845</v>
      </c>
      <c r="H10312" t="s">
        <v>32848</v>
      </c>
      <c r="I10312" t="s">
        <v>32874</v>
      </c>
      <c r="J10312" t="s">
        <v>39330</v>
      </c>
      <c r="K10312" t="s">
        <v>42770</v>
      </c>
      <c r="M10312" t="s">
        <v>46454</v>
      </c>
      <c r="N10312" t="s">
        <v>47424</v>
      </c>
      <c r="O10312" t="s">
        <v>47425</v>
      </c>
      <c r="P10312">
        <v>0</v>
      </c>
      <c r="Q10312">
        <v>29</v>
      </c>
      <c r="R10312" t="s">
        <v>47433</v>
      </c>
      <c r="S10312" t="s">
        <v>47633</v>
      </c>
      <c r="T10312" t="s">
        <v>49231</v>
      </c>
      <c r="U10312" t="s">
        <v>58141</v>
      </c>
      <c r="W10312" t="s">
        <v>46454</v>
      </c>
      <c r="X10312" t="s">
        <v>47434</v>
      </c>
    </row>
    <row r="10313" spans="1:24">
      <c r="A10313">
        <f>HYPERLINK("https://www.philgeps.gov.ph/GEPSNONPILOT/Tender/SplashBidNoticeAbstractUI.aspx?menuIndex=3&amp;refID=7152155&amp;Result=3","7152155")</f>
        <v>0</v>
      </c>
      <c r="B10313" t="s">
        <v>3173</v>
      </c>
      <c r="C10313" t="s">
        <v>13596</v>
      </c>
      <c r="D10313" t="s">
        <v>19068</v>
      </c>
      <c r="E10313" t="s">
        <v>27967</v>
      </c>
      <c r="F10313" t="s">
        <v>32831</v>
      </c>
      <c r="G10313" t="s">
        <v>32839</v>
      </c>
      <c r="H10313" t="s">
        <v>32849</v>
      </c>
      <c r="I10313" t="s">
        <v>4177</v>
      </c>
      <c r="J10313" t="s">
        <v>39331</v>
      </c>
      <c r="K10313" t="s">
        <v>42763</v>
      </c>
      <c r="M10313" t="s">
        <v>46480</v>
      </c>
      <c r="N10313" t="s">
        <v>47424</v>
      </c>
      <c r="O10313" t="s">
        <v>47425</v>
      </c>
      <c r="P10313">
        <v>0</v>
      </c>
      <c r="Q10313">
        <v>0</v>
      </c>
      <c r="R10313" t="s">
        <v>47433</v>
      </c>
      <c r="S10313" t="s">
        <v>47633</v>
      </c>
      <c r="T10313" t="s">
        <v>49553</v>
      </c>
      <c r="U10313" t="s">
        <v>58142</v>
      </c>
      <c r="V10313" t="s">
        <v>63760</v>
      </c>
      <c r="W10313" t="s">
        <v>46480</v>
      </c>
      <c r="X10313" t="s">
        <v>47434</v>
      </c>
    </row>
    <row r="10314" spans="1:24">
      <c r="A10314">
        <f>HYPERLINK("https://www.philgeps.gov.ph/GEPSNONPILOT/Tender/SplashBidNoticeAbstractUI.aspx?menuIndex=3&amp;refID=7152095&amp;Result=3","7152095")</f>
        <v>0</v>
      </c>
      <c r="B10314" t="s">
        <v>3171</v>
      </c>
      <c r="C10314" t="s">
        <v>13597</v>
      </c>
      <c r="D10314" t="s">
        <v>19055</v>
      </c>
      <c r="E10314" t="s">
        <v>27968</v>
      </c>
      <c r="F10314" t="s">
        <v>32831</v>
      </c>
      <c r="G10314" t="s">
        <v>32839</v>
      </c>
      <c r="H10314" t="s">
        <v>32849</v>
      </c>
      <c r="I10314" t="s">
        <v>4177</v>
      </c>
      <c r="J10314" t="s">
        <v>39332</v>
      </c>
      <c r="K10314" t="s">
        <v>42773</v>
      </c>
      <c r="M10314" t="s">
        <v>46478</v>
      </c>
      <c r="N10314" t="s">
        <v>47424</v>
      </c>
      <c r="O10314" t="s">
        <v>47425</v>
      </c>
      <c r="P10314">
        <v>0</v>
      </c>
      <c r="Q10314">
        <v>1</v>
      </c>
      <c r="R10314" t="s">
        <v>47433</v>
      </c>
      <c r="S10314" t="s">
        <v>47633</v>
      </c>
      <c r="T10314" t="s">
        <v>49461</v>
      </c>
      <c r="U10314" t="s">
        <v>58143</v>
      </c>
      <c r="V10314" t="s">
        <v>63761</v>
      </c>
      <c r="W10314" t="s">
        <v>46478</v>
      </c>
      <c r="X10314" t="s">
        <v>47434</v>
      </c>
    </row>
    <row r="10315" spans="1:24">
      <c r="A10315">
        <f>HYPERLINK("https://www.philgeps.gov.ph/GEPSNONPILOT/Tender/SplashBidNoticeAbstractUI.aspx?menuIndex=3&amp;refID=7152148&amp;Result=3","7152148")</f>
        <v>0</v>
      </c>
      <c r="B10315" t="s">
        <v>2173</v>
      </c>
      <c r="C10315" t="s">
        <v>13598</v>
      </c>
      <c r="D10315" t="s">
        <v>19030</v>
      </c>
      <c r="E10315" t="s">
        <v>27962</v>
      </c>
      <c r="F10315" t="s">
        <v>32831</v>
      </c>
      <c r="G10315" t="s">
        <v>32839</v>
      </c>
      <c r="H10315" t="s">
        <v>32848</v>
      </c>
      <c r="I10315" t="s">
        <v>32874</v>
      </c>
      <c r="J10315" t="s">
        <v>39333</v>
      </c>
      <c r="K10315" t="s">
        <v>42726</v>
      </c>
      <c r="M10315" t="s">
        <v>45351</v>
      </c>
      <c r="N10315" t="s">
        <v>47424</v>
      </c>
      <c r="O10315" t="s">
        <v>47425</v>
      </c>
      <c r="P10315">
        <v>0</v>
      </c>
      <c r="Q10315">
        <v>12</v>
      </c>
      <c r="R10315" t="s">
        <v>47433</v>
      </c>
      <c r="S10315" t="s">
        <v>47633</v>
      </c>
      <c r="T10315" t="s">
        <v>49212</v>
      </c>
      <c r="U10315" t="s">
        <v>58144</v>
      </c>
      <c r="W10315" t="s">
        <v>45351</v>
      </c>
      <c r="X10315" t="s">
        <v>47434</v>
      </c>
    </row>
    <row r="10316" spans="1:24">
      <c r="A10316">
        <f>HYPERLINK("https://www.philgeps.gov.ph/GEPSNONPILOT/Tender/SplashBidNoticeAbstractUI.aspx?menuIndex=3&amp;refID=7152137&amp;Result=3","7152137")</f>
        <v>0</v>
      </c>
      <c r="B10316" t="s">
        <v>3174</v>
      </c>
      <c r="C10316" t="s">
        <v>13599</v>
      </c>
      <c r="E10316" t="s">
        <v>27969</v>
      </c>
      <c r="F10316" t="s">
        <v>32831</v>
      </c>
      <c r="G10316" t="s">
        <v>32839</v>
      </c>
      <c r="H10316" t="s">
        <v>32848</v>
      </c>
      <c r="I10316" t="s">
        <v>32890</v>
      </c>
      <c r="J10316" t="s">
        <v>33257</v>
      </c>
      <c r="K10316" t="s">
        <v>42763</v>
      </c>
      <c r="M10316" t="s">
        <v>46481</v>
      </c>
      <c r="N10316" t="s">
        <v>47424</v>
      </c>
      <c r="O10316" t="s">
        <v>47425</v>
      </c>
      <c r="P10316">
        <v>0</v>
      </c>
      <c r="Q10316">
        <v>1</v>
      </c>
      <c r="R10316" t="s">
        <v>47433</v>
      </c>
      <c r="S10316" t="s">
        <v>47633</v>
      </c>
      <c r="T10316" t="s">
        <v>49554</v>
      </c>
      <c r="U10316" t="s">
        <v>58145</v>
      </c>
      <c r="W10316" t="s">
        <v>46481</v>
      </c>
      <c r="X10316" t="s">
        <v>47434</v>
      </c>
    </row>
    <row r="10317" spans="1:24">
      <c r="A10317">
        <f>HYPERLINK("https://www.philgeps.gov.ph/GEPSNONPILOT/Tender/SplashBidNoticeAbstractUI.aspx?menuIndex=3&amp;refID=7152129&amp;Result=3","7152129")</f>
        <v>0</v>
      </c>
      <c r="B10317" t="s">
        <v>3175</v>
      </c>
      <c r="C10317" t="s">
        <v>13600</v>
      </c>
      <c r="D10317" t="s">
        <v>19031</v>
      </c>
      <c r="E10317" t="s">
        <v>27970</v>
      </c>
      <c r="F10317" t="s">
        <v>32831</v>
      </c>
      <c r="G10317" t="s">
        <v>32839</v>
      </c>
      <c r="H10317" t="s">
        <v>32848</v>
      </c>
      <c r="I10317" t="s">
        <v>7751</v>
      </c>
      <c r="J10317" t="s">
        <v>39334</v>
      </c>
      <c r="K10317" t="s">
        <v>42726</v>
      </c>
      <c r="M10317" t="s">
        <v>46482</v>
      </c>
      <c r="N10317" t="s">
        <v>47424</v>
      </c>
      <c r="O10317" t="s">
        <v>47425</v>
      </c>
      <c r="P10317">
        <v>0</v>
      </c>
      <c r="Q10317">
        <v>0</v>
      </c>
      <c r="R10317" t="s">
        <v>47433</v>
      </c>
      <c r="S10317" t="s">
        <v>47633</v>
      </c>
      <c r="T10317" t="s">
        <v>49214</v>
      </c>
      <c r="U10317" t="s">
        <v>58146</v>
      </c>
      <c r="W10317" t="s">
        <v>46482</v>
      </c>
      <c r="X10317" t="s">
        <v>47434</v>
      </c>
    </row>
    <row r="10318" spans="1:24">
      <c r="A10318">
        <f>HYPERLINK("https://www.philgeps.gov.ph/GEPSNONPILOT/Tender/SplashBidNoticeAbstractUI.aspx?menuIndex=3&amp;refID=7152147&amp;Result=3","7152147")</f>
        <v>0</v>
      </c>
      <c r="B10318" t="s">
        <v>3176</v>
      </c>
      <c r="C10318" t="s">
        <v>13601</v>
      </c>
      <c r="D10318" t="s">
        <v>19019</v>
      </c>
      <c r="E10318" t="s">
        <v>27971</v>
      </c>
      <c r="F10318" t="s">
        <v>32831</v>
      </c>
      <c r="G10318" t="s">
        <v>32839</v>
      </c>
      <c r="H10318" t="s">
        <v>32849</v>
      </c>
      <c r="I10318" t="s">
        <v>4177</v>
      </c>
      <c r="J10318" t="s">
        <v>39335</v>
      </c>
      <c r="K10318" t="s">
        <v>42754</v>
      </c>
      <c r="M10318" t="s">
        <v>46483</v>
      </c>
      <c r="N10318" t="s">
        <v>47424</v>
      </c>
      <c r="O10318" t="s">
        <v>47425</v>
      </c>
      <c r="P10318">
        <v>0</v>
      </c>
      <c r="Q10318">
        <v>1</v>
      </c>
      <c r="R10318" t="s">
        <v>47433</v>
      </c>
      <c r="S10318" t="s">
        <v>47633</v>
      </c>
      <c r="T10318" t="s">
        <v>49239</v>
      </c>
      <c r="U10318" t="s">
        <v>58147</v>
      </c>
      <c r="W10318" t="s">
        <v>46483</v>
      </c>
      <c r="X10318" t="s">
        <v>47434</v>
      </c>
    </row>
    <row r="10319" spans="1:24">
      <c r="A10319">
        <f>HYPERLINK("https://www.philgeps.gov.ph/GEPSNONPILOT/Tender/SplashBidNoticeAbstractUI.aspx?menuIndex=3&amp;refID=7152127&amp;Result=3","7152127")</f>
        <v>0</v>
      </c>
      <c r="B10319" t="s">
        <v>578</v>
      </c>
      <c r="C10319" t="s">
        <v>13602</v>
      </c>
      <c r="E10319" t="s">
        <v>27972</v>
      </c>
      <c r="F10319" t="s">
        <v>32831</v>
      </c>
      <c r="G10319" t="s">
        <v>32841</v>
      </c>
      <c r="H10319" t="s">
        <v>32848</v>
      </c>
      <c r="I10319" t="s">
        <v>4438</v>
      </c>
      <c r="J10319" t="s">
        <v>39336</v>
      </c>
      <c r="K10319" t="s">
        <v>42730</v>
      </c>
      <c r="M10319" t="s">
        <v>43589</v>
      </c>
      <c r="N10319" t="s">
        <v>47424</v>
      </c>
      <c r="O10319" t="s">
        <v>47425</v>
      </c>
      <c r="P10319">
        <v>0</v>
      </c>
      <c r="Q10319">
        <v>4</v>
      </c>
      <c r="R10319" t="s">
        <v>47433</v>
      </c>
      <c r="S10319" t="s">
        <v>47633</v>
      </c>
      <c r="T10319" t="s">
        <v>49108</v>
      </c>
      <c r="U10319" t="s">
        <v>58148</v>
      </c>
      <c r="W10319" t="s">
        <v>43589</v>
      </c>
      <c r="X10319" t="s">
        <v>47434</v>
      </c>
    </row>
    <row r="10320" spans="1:24">
      <c r="A10320">
        <f>HYPERLINK("https://www.philgeps.gov.ph/GEPSNONPILOT/Tender/SplashBidNoticeAbstractUI.aspx?menuIndex=3&amp;refID=7152125&amp;Result=3","7152125")</f>
        <v>0</v>
      </c>
      <c r="B10320" t="s">
        <v>2007</v>
      </c>
      <c r="C10320" t="s">
        <v>13603</v>
      </c>
      <c r="D10320" t="s">
        <v>19017</v>
      </c>
      <c r="E10320" t="s">
        <v>27973</v>
      </c>
      <c r="F10320" t="s">
        <v>32831</v>
      </c>
      <c r="G10320" t="s">
        <v>32839</v>
      </c>
      <c r="H10320" t="s">
        <v>32849</v>
      </c>
      <c r="I10320" t="s">
        <v>4177</v>
      </c>
      <c r="J10320" t="s">
        <v>39337</v>
      </c>
      <c r="K10320" t="s">
        <v>42747</v>
      </c>
      <c r="M10320" t="s">
        <v>46472</v>
      </c>
      <c r="N10320" t="s">
        <v>47424</v>
      </c>
      <c r="O10320" t="s">
        <v>47425</v>
      </c>
      <c r="P10320">
        <v>0</v>
      </c>
      <c r="Q10320">
        <v>25</v>
      </c>
      <c r="R10320" t="s">
        <v>47433</v>
      </c>
      <c r="S10320" t="s">
        <v>47633</v>
      </c>
      <c r="T10320" t="s">
        <v>49221</v>
      </c>
      <c r="U10320" t="s">
        <v>58149</v>
      </c>
      <c r="W10320" t="s">
        <v>46472</v>
      </c>
      <c r="X10320" t="s">
        <v>47434</v>
      </c>
    </row>
    <row r="10321" spans="1:24">
      <c r="A10321">
        <f>HYPERLINK("https://www.philgeps.gov.ph/GEPSNONPILOT/Tender/SplashBidNoticeAbstractUI.aspx?menuIndex=3&amp;refID=7152121&amp;Result=3","7152121")</f>
        <v>0</v>
      </c>
      <c r="B10321" t="s">
        <v>3177</v>
      </c>
      <c r="C10321" t="s">
        <v>13604</v>
      </c>
      <c r="D10321" t="s">
        <v>19077</v>
      </c>
      <c r="E10321" t="s">
        <v>27974</v>
      </c>
      <c r="F10321" t="s">
        <v>32831</v>
      </c>
      <c r="G10321" t="s">
        <v>32839</v>
      </c>
      <c r="H10321" t="s">
        <v>32848</v>
      </c>
      <c r="I10321" t="s">
        <v>32911</v>
      </c>
      <c r="J10321" t="s">
        <v>39338</v>
      </c>
      <c r="K10321" t="s">
        <v>42730</v>
      </c>
      <c r="M10321" t="s">
        <v>46484</v>
      </c>
      <c r="N10321" t="s">
        <v>47424</v>
      </c>
      <c r="O10321" t="s">
        <v>47425</v>
      </c>
      <c r="P10321">
        <v>0</v>
      </c>
      <c r="Q10321">
        <v>3</v>
      </c>
      <c r="R10321" t="s">
        <v>47433</v>
      </c>
      <c r="S10321" t="s">
        <v>47633</v>
      </c>
      <c r="T10321" t="s">
        <v>49490</v>
      </c>
      <c r="U10321" t="s">
        <v>58150</v>
      </c>
      <c r="W10321" t="s">
        <v>46484</v>
      </c>
      <c r="X10321" t="s">
        <v>47434</v>
      </c>
    </row>
    <row r="10322" spans="1:24">
      <c r="A10322">
        <f>HYPERLINK("https://www.philgeps.gov.ph/GEPSNONPILOT/Tender/SplashBidNoticeAbstractUI.aspx?menuIndex=3&amp;refID=7152164&amp;Result=3","7152164")</f>
        <v>0</v>
      </c>
      <c r="B10322" t="s">
        <v>3178</v>
      </c>
      <c r="C10322" t="s">
        <v>13605</v>
      </c>
      <c r="D10322" t="s">
        <v>19093</v>
      </c>
      <c r="E10322" t="s">
        <v>27975</v>
      </c>
      <c r="F10322" t="s">
        <v>32831</v>
      </c>
      <c r="G10322" t="s">
        <v>32839</v>
      </c>
      <c r="H10322" t="s">
        <v>32848</v>
      </c>
      <c r="I10322" t="s">
        <v>7416</v>
      </c>
      <c r="J10322" t="s">
        <v>39339</v>
      </c>
      <c r="K10322" t="s">
        <v>42730</v>
      </c>
      <c r="M10322" t="s">
        <v>46485</v>
      </c>
      <c r="N10322" t="s">
        <v>47424</v>
      </c>
      <c r="O10322" t="s">
        <v>47425</v>
      </c>
      <c r="P10322">
        <v>0</v>
      </c>
      <c r="Q10322">
        <v>0</v>
      </c>
      <c r="R10322" t="s">
        <v>47433</v>
      </c>
      <c r="S10322" t="s">
        <v>47633</v>
      </c>
      <c r="T10322" t="s">
        <v>49163</v>
      </c>
      <c r="U10322" t="s">
        <v>58151</v>
      </c>
      <c r="W10322" t="s">
        <v>46485</v>
      </c>
      <c r="X10322" t="s">
        <v>47434</v>
      </c>
    </row>
    <row r="10323" spans="1:24">
      <c r="A10323">
        <f>HYPERLINK("https://www.philgeps.gov.ph/GEPSNONPILOT/Tender/SplashBidNoticeAbstractUI.aspx?menuIndex=3&amp;refID=7152152&amp;Result=3","7152152")</f>
        <v>0</v>
      </c>
      <c r="B10323" t="s">
        <v>1067</v>
      </c>
      <c r="C10323" t="s">
        <v>13606</v>
      </c>
      <c r="D10323" t="s">
        <v>19017</v>
      </c>
      <c r="E10323" t="s">
        <v>19888</v>
      </c>
      <c r="F10323" t="s">
        <v>32831</v>
      </c>
      <c r="G10323" t="s">
        <v>32839</v>
      </c>
      <c r="H10323" t="s">
        <v>14069</v>
      </c>
      <c r="I10323" t="s">
        <v>14069</v>
      </c>
      <c r="J10323" t="s">
        <v>33111</v>
      </c>
      <c r="K10323" t="s">
        <v>42786</v>
      </c>
      <c r="M10323" t="s">
        <v>44124</v>
      </c>
      <c r="N10323" t="s">
        <v>47424</v>
      </c>
      <c r="O10323" t="s">
        <v>47425</v>
      </c>
      <c r="P10323">
        <v>0</v>
      </c>
      <c r="Q10323">
        <v>4</v>
      </c>
      <c r="R10323" t="s">
        <v>47433</v>
      </c>
      <c r="S10323" t="s">
        <v>47633</v>
      </c>
      <c r="T10323" t="s">
        <v>49555</v>
      </c>
      <c r="U10323" t="s">
        <v>56075</v>
      </c>
      <c r="V10323" t="s">
        <v>63478</v>
      </c>
      <c r="W10323" t="s">
        <v>44124</v>
      </c>
      <c r="X10323" t="s">
        <v>47434</v>
      </c>
    </row>
    <row r="10324" spans="1:24">
      <c r="A10324">
        <f>HYPERLINK("https://www.philgeps.gov.ph/GEPSNONPILOT/Tender/SplashBidNoticeAbstractUI.aspx?menuIndex=3&amp;refID=7133464&amp;Result=3","7133464")</f>
        <v>0</v>
      </c>
      <c r="B10324" t="s">
        <v>2948</v>
      </c>
      <c r="C10324" t="s">
        <v>13607</v>
      </c>
      <c r="D10324" t="s">
        <v>19060</v>
      </c>
      <c r="E10324" t="s">
        <v>27976</v>
      </c>
      <c r="F10324" t="s">
        <v>32831</v>
      </c>
      <c r="G10324" t="s">
        <v>32839</v>
      </c>
      <c r="H10324" t="s">
        <v>32848</v>
      </c>
      <c r="I10324" t="s">
        <v>7751</v>
      </c>
      <c r="J10324" t="s">
        <v>33032</v>
      </c>
      <c r="K10324" t="s">
        <v>42747</v>
      </c>
      <c r="M10324" t="s">
        <v>46207</v>
      </c>
      <c r="N10324" t="s">
        <v>47424</v>
      </c>
      <c r="O10324" t="s">
        <v>47425</v>
      </c>
      <c r="P10324">
        <v>0</v>
      </c>
      <c r="Q10324">
        <v>5</v>
      </c>
      <c r="R10324" t="s">
        <v>47434</v>
      </c>
      <c r="S10324" t="s">
        <v>47677</v>
      </c>
      <c r="T10324" t="s">
        <v>49461</v>
      </c>
      <c r="U10324" t="s">
        <v>58152</v>
      </c>
      <c r="V10324" t="s">
        <v>63628</v>
      </c>
      <c r="W10324" t="s">
        <v>46207</v>
      </c>
      <c r="X10324" t="s">
        <v>47444</v>
      </c>
    </row>
    <row r="10325" spans="1:24">
      <c r="A10325">
        <f>HYPERLINK("https://www.philgeps.gov.ph/GEPSNONPILOT/Tender/SplashBidNoticeAbstractUI.aspx?menuIndex=3&amp;refID=7152142&amp;Result=3","7152142")</f>
        <v>0</v>
      </c>
      <c r="B10325" t="s">
        <v>1067</v>
      </c>
      <c r="C10325" t="s">
        <v>13608</v>
      </c>
      <c r="D10325" t="s">
        <v>19017</v>
      </c>
      <c r="E10325" t="s">
        <v>20152</v>
      </c>
      <c r="F10325" t="s">
        <v>32831</v>
      </c>
      <c r="G10325" t="s">
        <v>32839</v>
      </c>
      <c r="H10325" t="s">
        <v>14069</v>
      </c>
      <c r="I10325" t="s">
        <v>14069</v>
      </c>
      <c r="J10325" t="s">
        <v>36123</v>
      </c>
      <c r="K10325" t="s">
        <v>42774</v>
      </c>
      <c r="M10325" t="s">
        <v>44124</v>
      </c>
      <c r="N10325" t="s">
        <v>47424</v>
      </c>
      <c r="O10325" t="s">
        <v>47425</v>
      </c>
      <c r="P10325">
        <v>0</v>
      </c>
      <c r="Q10325">
        <v>4</v>
      </c>
      <c r="R10325" t="s">
        <v>47433</v>
      </c>
      <c r="S10325" t="s">
        <v>47633</v>
      </c>
      <c r="T10325" t="s">
        <v>49556</v>
      </c>
      <c r="U10325" t="s">
        <v>58153</v>
      </c>
      <c r="V10325" t="s">
        <v>63478</v>
      </c>
      <c r="W10325" t="s">
        <v>44124</v>
      </c>
      <c r="X10325" t="s">
        <v>47434</v>
      </c>
    </row>
    <row r="10326" spans="1:24">
      <c r="A10326">
        <f>HYPERLINK("https://www.philgeps.gov.ph/GEPSNONPILOT/Tender/SplashBidNoticeAbstractUI.aspx?menuIndex=3&amp;refID=7136730&amp;Result=3","7136730")</f>
        <v>0</v>
      </c>
      <c r="B10326" t="s">
        <v>3179</v>
      </c>
      <c r="C10326" t="s">
        <v>13609</v>
      </c>
      <c r="E10326" t="s">
        <v>27977</v>
      </c>
      <c r="F10326" t="s">
        <v>32831</v>
      </c>
      <c r="G10326" t="s">
        <v>32839</v>
      </c>
      <c r="H10326" t="s">
        <v>32849</v>
      </c>
      <c r="I10326" t="s">
        <v>4177</v>
      </c>
      <c r="J10326" t="s">
        <v>39340</v>
      </c>
      <c r="K10326" t="s">
        <v>42763</v>
      </c>
      <c r="M10326" t="s">
        <v>46486</v>
      </c>
      <c r="N10326" t="s">
        <v>47424</v>
      </c>
      <c r="O10326" t="s">
        <v>47425</v>
      </c>
      <c r="P10326">
        <v>0</v>
      </c>
      <c r="Q10326">
        <v>0</v>
      </c>
      <c r="R10326" t="s">
        <v>47434</v>
      </c>
      <c r="S10326" t="s">
        <v>47677</v>
      </c>
      <c r="T10326" t="s">
        <v>49173</v>
      </c>
      <c r="U10326" t="s">
        <v>58154</v>
      </c>
      <c r="W10326" t="s">
        <v>46486</v>
      </c>
      <c r="X10326" t="s">
        <v>47441</v>
      </c>
    </row>
    <row r="10327" spans="1:24">
      <c r="A10327">
        <f>HYPERLINK("https://www.philgeps.gov.ph/GEPSNONPILOT/Tender/SplashBidNoticeAbstractUI.aspx?menuIndex=3&amp;refID=7136694&amp;Result=3","7136694")</f>
        <v>0</v>
      </c>
      <c r="B10327" t="s">
        <v>3179</v>
      </c>
      <c r="C10327" t="s">
        <v>13610</v>
      </c>
      <c r="E10327" t="s">
        <v>27978</v>
      </c>
      <c r="F10327" t="s">
        <v>32831</v>
      </c>
      <c r="G10327" t="s">
        <v>32839</v>
      </c>
      <c r="H10327" t="s">
        <v>32849</v>
      </c>
      <c r="I10327" t="s">
        <v>4177</v>
      </c>
      <c r="J10327" t="s">
        <v>39341</v>
      </c>
      <c r="K10327" t="s">
        <v>42763</v>
      </c>
      <c r="M10327" t="s">
        <v>46486</v>
      </c>
      <c r="N10327" t="s">
        <v>47424</v>
      </c>
      <c r="O10327" t="s">
        <v>47425</v>
      </c>
      <c r="P10327">
        <v>0</v>
      </c>
      <c r="Q10327">
        <v>0</v>
      </c>
      <c r="R10327" t="s">
        <v>47434</v>
      </c>
      <c r="S10327" t="s">
        <v>47677</v>
      </c>
      <c r="T10327" t="s">
        <v>49173</v>
      </c>
      <c r="U10327" t="s">
        <v>58154</v>
      </c>
      <c r="W10327" t="s">
        <v>46486</v>
      </c>
      <c r="X10327" t="s">
        <v>47441</v>
      </c>
    </row>
    <row r="10328" spans="1:24">
      <c r="A10328">
        <f>HYPERLINK("https://www.philgeps.gov.ph/GEPSNONPILOT/Tender/SplashBidNoticeAbstractUI.aspx?menuIndex=3&amp;refID=7136075&amp;Result=3","7136075")</f>
        <v>0</v>
      </c>
      <c r="B10328" t="s">
        <v>2656</v>
      </c>
      <c r="C10328" t="s">
        <v>13611</v>
      </c>
      <c r="D10328" t="s">
        <v>19028</v>
      </c>
      <c r="E10328" t="s">
        <v>27979</v>
      </c>
      <c r="F10328" t="s">
        <v>32831</v>
      </c>
      <c r="G10328" t="s">
        <v>32839</v>
      </c>
      <c r="H10328" t="s">
        <v>32848</v>
      </c>
      <c r="I10328" t="s">
        <v>7751</v>
      </c>
      <c r="J10328" t="s">
        <v>33083</v>
      </c>
      <c r="K10328" t="s">
        <v>42729</v>
      </c>
      <c r="M10328" t="s">
        <v>45879</v>
      </c>
      <c r="N10328" t="s">
        <v>47424</v>
      </c>
      <c r="O10328" t="s">
        <v>47425</v>
      </c>
      <c r="P10328">
        <v>0</v>
      </c>
      <c r="Q10328">
        <v>5</v>
      </c>
      <c r="R10328" t="s">
        <v>47434</v>
      </c>
      <c r="S10328" t="s">
        <v>47677</v>
      </c>
      <c r="T10328" t="s">
        <v>49069</v>
      </c>
      <c r="U10328" t="s">
        <v>58155</v>
      </c>
      <c r="W10328" t="s">
        <v>45879</v>
      </c>
      <c r="X10328" t="s">
        <v>47441</v>
      </c>
    </row>
    <row r="10329" spans="1:24">
      <c r="A10329">
        <f>HYPERLINK("https://www.philgeps.gov.ph/GEPSNONPILOT/Tender/SplashBidNoticeAbstractUI.aspx?menuIndex=3&amp;refID=7152118&amp;Result=3","7152118")</f>
        <v>0</v>
      </c>
      <c r="B10329" t="s">
        <v>421</v>
      </c>
      <c r="C10329" t="s">
        <v>13612</v>
      </c>
      <c r="D10329" t="s">
        <v>19021</v>
      </c>
      <c r="E10329" t="s">
        <v>27980</v>
      </c>
      <c r="F10329" t="s">
        <v>32831</v>
      </c>
      <c r="G10329" t="s">
        <v>32839</v>
      </c>
      <c r="H10329" t="s">
        <v>32848</v>
      </c>
      <c r="I10329" t="s">
        <v>32870</v>
      </c>
      <c r="J10329" t="s">
        <v>39342</v>
      </c>
      <c r="K10329" t="s">
        <v>42730</v>
      </c>
      <c r="M10329" t="s">
        <v>43426</v>
      </c>
      <c r="N10329" t="s">
        <v>47424</v>
      </c>
      <c r="O10329" t="s">
        <v>47425</v>
      </c>
      <c r="P10329">
        <v>0</v>
      </c>
      <c r="Q10329">
        <v>0</v>
      </c>
      <c r="R10329" t="s">
        <v>47433</v>
      </c>
      <c r="S10329" t="s">
        <v>47633</v>
      </c>
      <c r="T10329" t="s">
        <v>49112</v>
      </c>
      <c r="U10329" t="s">
        <v>58156</v>
      </c>
      <c r="W10329" t="s">
        <v>43426</v>
      </c>
      <c r="X10329" t="s">
        <v>47434</v>
      </c>
    </row>
    <row r="10330" spans="1:24">
      <c r="A10330">
        <f>HYPERLINK("https://www.philgeps.gov.ph/GEPSNONPILOT/Tender/SplashBidNoticeAbstractUI.aspx?menuIndex=3&amp;refID=7152145&amp;Result=3","7152145")</f>
        <v>0</v>
      </c>
      <c r="B10330" t="s">
        <v>1476</v>
      </c>
      <c r="C10330" t="s">
        <v>13613</v>
      </c>
      <c r="D10330" t="s">
        <v>19077</v>
      </c>
      <c r="E10330" t="s">
        <v>27981</v>
      </c>
      <c r="F10330" t="s">
        <v>32831</v>
      </c>
      <c r="G10330" t="s">
        <v>32839</v>
      </c>
      <c r="H10330" t="s">
        <v>32848</v>
      </c>
      <c r="I10330" t="s">
        <v>9577</v>
      </c>
      <c r="J10330" t="s">
        <v>39343</v>
      </c>
      <c r="K10330" t="s">
        <v>42727</v>
      </c>
      <c r="M10330" t="s">
        <v>44569</v>
      </c>
      <c r="N10330" t="s">
        <v>47424</v>
      </c>
      <c r="O10330" t="s">
        <v>47425</v>
      </c>
      <c r="P10330">
        <v>0</v>
      </c>
      <c r="Q10330">
        <v>8</v>
      </c>
      <c r="R10330" t="s">
        <v>47433</v>
      </c>
      <c r="S10330" t="s">
        <v>47633</v>
      </c>
      <c r="T10330" t="s">
        <v>49112</v>
      </c>
      <c r="U10330" t="s">
        <v>58157</v>
      </c>
      <c r="W10330" t="s">
        <v>64473</v>
      </c>
      <c r="X10330" t="s">
        <v>47434</v>
      </c>
    </row>
    <row r="10331" spans="1:24">
      <c r="A10331">
        <f>HYPERLINK("https://www.philgeps.gov.ph/GEPSNONPILOT/Tender/SplashBidNoticeAbstractUI.aspx?menuIndex=3&amp;refID=7133666&amp;Result=3","7133666")</f>
        <v>0</v>
      </c>
      <c r="B10331" t="s">
        <v>60</v>
      </c>
      <c r="C10331" t="s">
        <v>13614</v>
      </c>
      <c r="D10331" t="s">
        <v>19042</v>
      </c>
      <c r="E10331" t="s">
        <v>27982</v>
      </c>
      <c r="F10331" t="s">
        <v>32831</v>
      </c>
      <c r="G10331" t="s">
        <v>32839</v>
      </c>
      <c r="H10331" t="s">
        <v>32849</v>
      </c>
      <c r="I10331" t="s">
        <v>4177</v>
      </c>
      <c r="J10331" t="s">
        <v>39344</v>
      </c>
      <c r="K10331" t="s">
        <v>42844</v>
      </c>
      <c r="M10331" t="s">
        <v>43740</v>
      </c>
      <c r="N10331" t="s">
        <v>47424</v>
      </c>
      <c r="O10331" t="s">
        <v>47425</v>
      </c>
      <c r="P10331">
        <v>0</v>
      </c>
      <c r="Q10331">
        <v>0</v>
      </c>
      <c r="R10331" t="s">
        <v>47434</v>
      </c>
      <c r="S10331" t="s">
        <v>47677</v>
      </c>
      <c r="T10331" t="s">
        <v>49318</v>
      </c>
      <c r="U10331" t="s">
        <v>58158</v>
      </c>
      <c r="W10331" t="s">
        <v>43740</v>
      </c>
      <c r="X10331" t="s">
        <v>47444</v>
      </c>
    </row>
    <row r="10332" spans="1:24">
      <c r="A10332">
        <f>HYPERLINK("https://www.philgeps.gov.ph/GEPSNONPILOT/Tender/SplashBidNoticeAbstractUI.aspx?menuIndex=3&amp;refID=7134352&amp;Result=3","7134352")</f>
        <v>0</v>
      </c>
      <c r="B10332" t="s">
        <v>60</v>
      </c>
      <c r="C10332" t="s">
        <v>13615</v>
      </c>
      <c r="D10332" t="s">
        <v>19042</v>
      </c>
      <c r="E10332" t="s">
        <v>27983</v>
      </c>
      <c r="F10332" t="s">
        <v>32831</v>
      </c>
      <c r="G10332" t="s">
        <v>32839</v>
      </c>
      <c r="H10332" t="s">
        <v>32849</v>
      </c>
      <c r="I10332" t="s">
        <v>4177</v>
      </c>
      <c r="J10332" t="s">
        <v>39345</v>
      </c>
      <c r="K10332" t="s">
        <v>42813</v>
      </c>
      <c r="M10332" t="s">
        <v>43740</v>
      </c>
      <c r="N10332" t="s">
        <v>47424</v>
      </c>
      <c r="O10332" t="s">
        <v>47425</v>
      </c>
      <c r="P10332">
        <v>0</v>
      </c>
      <c r="Q10332">
        <v>0</v>
      </c>
      <c r="R10332" t="s">
        <v>47434</v>
      </c>
      <c r="S10332" t="s">
        <v>47677</v>
      </c>
      <c r="T10332" t="s">
        <v>49318</v>
      </c>
      <c r="U10332" t="s">
        <v>58159</v>
      </c>
      <c r="W10332" t="s">
        <v>43740</v>
      </c>
      <c r="X10332" t="s">
        <v>47444</v>
      </c>
    </row>
    <row r="10333" spans="1:24">
      <c r="A10333">
        <f>HYPERLINK("https://www.philgeps.gov.ph/GEPSNONPILOT/Tender/SplashBidNoticeAbstractUI.aspx?menuIndex=3&amp;refID=7152130&amp;Result=3","7152130")</f>
        <v>0</v>
      </c>
      <c r="B10333" t="s">
        <v>2948</v>
      </c>
      <c r="C10333" t="s">
        <v>13616</v>
      </c>
      <c r="D10333" t="s">
        <v>19060</v>
      </c>
      <c r="E10333" t="s">
        <v>27984</v>
      </c>
      <c r="F10333" t="s">
        <v>32831</v>
      </c>
      <c r="G10333" t="s">
        <v>32839</v>
      </c>
      <c r="H10333" t="s">
        <v>32848</v>
      </c>
      <c r="I10333" t="s">
        <v>4776</v>
      </c>
      <c r="J10333" t="s">
        <v>32985</v>
      </c>
      <c r="K10333" t="s">
        <v>42730</v>
      </c>
      <c r="M10333" t="s">
        <v>46207</v>
      </c>
      <c r="N10333" t="s">
        <v>47424</v>
      </c>
      <c r="O10333" t="s">
        <v>47425</v>
      </c>
      <c r="P10333">
        <v>0</v>
      </c>
      <c r="Q10333">
        <v>0</v>
      </c>
      <c r="R10333" t="s">
        <v>47433</v>
      </c>
      <c r="S10333" t="s">
        <v>47633</v>
      </c>
      <c r="T10333" t="s">
        <v>49557</v>
      </c>
      <c r="U10333" t="s">
        <v>58160</v>
      </c>
      <c r="V10333" t="s">
        <v>63640</v>
      </c>
      <c r="W10333" t="s">
        <v>46207</v>
      </c>
      <c r="X10333" t="s">
        <v>47434</v>
      </c>
    </row>
    <row r="10334" spans="1:24">
      <c r="A10334">
        <f>HYPERLINK("https://www.philgeps.gov.ph/GEPSNONPILOT/Tender/SplashBidNoticeAbstractUI.aspx?menuIndex=3&amp;refID=7132870&amp;Result=3","7132870")</f>
        <v>0</v>
      </c>
      <c r="B10334" t="s">
        <v>60</v>
      </c>
      <c r="C10334" t="s">
        <v>13617</v>
      </c>
      <c r="D10334" t="s">
        <v>19042</v>
      </c>
      <c r="E10334" t="s">
        <v>27985</v>
      </c>
      <c r="F10334" t="s">
        <v>32831</v>
      </c>
      <c r="G10334" t="s">
        <v>32839</v>
      </c>
      <c r="H10334" t="s">
        <v>32849</v>
      </c>
      <c r="I10334" t="s">
        <v>4177</v>
      </c>
      <c r="J10334" t="s">
        <v>39346</v>
      </c>
      <c r="K10334" t="s">
        <v>42733</v>
      </c>
      <c r="M10334" t="s">
        <v>43740</v>
      </c>
      <c r="N10334" t="s">
        <v>47424</v>
      </c>
      <c r="O10334" t="s">
        <v>47425</v>
      </c>
      <c r="P10334">
        <v>0</v>
      </c>
      <c r="Q10334">
        <v>0</v>
      </c>
      <c r="R10334" t="s">
        <v>47434</v>
      </c>
      <c r="S10334" t="s">
        <v>47677</v>
      </c>
      <c r="T10334" t="s">
        <v>49318</v>
      </c>
      <c r="U10334" t="s">
        <v>58161</v>
      </c>
      <c r="W10334" t="s">
        <v>43740</v>
      </c>
      <c r="X10334" t="s">
        <v>47444</v>
      </c>
    </row>
    <row r="10335" spans="1:24">
      <c r="A10335">
        <f>HYPERLINK("https://www.philgeps.gov.ph/GEPSNONPILOT/Tender/SplashBidNoticeAbstractUI.aspx?menuIndex=3&amp;refID=7110117&amp;Result=3","7110117")</f>
        <v>0</v>
      </c>
      <c r="B10335" t="s">
        <v>2948</v>
      </c>
      <c r="C10335" t="s">
        <v>13618</v>
      </c>
      <c r="D10335" t="s">
        <v>19060</v>
      </c>
      <c r="E10335" t="s">
        <v>27986</v>
      </c>
      <c r="F10335" t="s">
        <v>32831</v>
      </c>
      <c r="G10335" t="s">
        <v>32839</v>
      </c>
      <c r="H10335" t="s">
        <v>32848</v>
      </c>
      <c r="I10335" t="s">
        <v>32883</v>
      </c>
      <c r="J10335" t="s">
        <v>39347</v>
      </c>
      <c r="K10335" t="s">
        <v>42729</v>
      </c>
      <c r="M10335" t="s">
        <v>46207</v>
      </c>
      <c r="N10335" t="s">
        <v>47424</v>
      </c>
      <c r="O10335" t="s">
        <v>47425</v>
      </c>
      <c r="P10335">
        <v>0</v>
      </c>
      <c r="Q10335">
        <v>1</v>
      </c>
      <c r="R10335" t="s">
        <v>47434</v>
      </c>
      <c r="S10335" t="s">
        <v>47677</v>
      </c>
      <c r="T10335" t="s">
        <v>49087</v>
      </c>
      <c r="U10335" t="s">
        <v>58162</v>
      </c>
      <c r="V10335" t="s">
        <v>63640</v>
      </c>
      <c r="W10335" t="s">
        <v>46207</v>
      </c>
      <c r="X10335" t="s">
        <v>47453</v>
      </c>
    </row>
    <row r="10336" spans="1:24">
      <c r="A10336">
        <f>HYPERLINK("https://www.philgeps.gov.ph/GEPSNONPILOT/Tender/SplashBidNoticeAbstractUI.aspx?menuIndex=3&amp;refID=7128782&amp;Result=3","7128782")</f>
        <v>0</v>
      </c>
      <c r="B10336" t="s">
        <v>60</v>
      </c>
      <c r="C10336" t="s">
        <v>13619</v>
      </c>
      <c r="D10336" t="s">
        <v>19042</v>
      </c>
      <c r="E10336" t="s">
        <v>27987</v>
      </c>
      <c r="F10336" t="s">
        <v>32831</v>
      </c>
      <c r="G10336" t="s">
        <v>32839</v>
      </c>
      <c r="H10336" t="s">
        <v>32849</v>
      </c>
      <c r="I10336" t="s">
        <v>4177</v>
      </c>
      <c r="J10336" t="s">
        <v>39348</v>
      </c>
      <c r="K10336" t="s">
        <v>42737</v>
      </c>
      <c r="M10336" t="s">
        <v>43740</v>
      </c>
      <c r="N10336" t="s">
        <v>47424</v>
      </c>
      <c r="O10336" t="s">
        <v>47425</v>
      </c>
      <c r="P10336">
        <v>0</v>
      </c>
      <c r="Q10336">
        <v>1</v>
      </c>
      <c r="R10336" t="s">
        <v>47434</v>
      </c>
      <c r="S10336" t="s">
        <v>47677</v>
      </c>
      <c r="T10336" t="s">
        <v>49318</v>
      </c>
      <c r="U10336" t="s">
        <v>58163</v>
      </c>
      <c r="W10336" t="s">
        <v>43740</v>
      </c>
      <c r="X10336" t="s">
        <v>47446</v>
      </c>
    </row>
    <row r="10337" spans="1:24">
      <c r="A10337">
        <f>HYPERLINK("https://www.philgeps.gov.ph/GEPSNONPILOT/Tender/SplashBidNoticeAbstractUI.aspx?menuIndex=3&amp;refID=7132791&amp;Result=3","7132791")</f>
        <v>0</v>
      </c>
      <c r="B10337" t="s">
        <v>60</v>
      </c>
      <c r="C10337" t="s">
        <v>13620</v>
      </c>
      <c r="D10337" t="s">
        <v>19042</v>
      </c>
      <c r="E10337" t="s">
        <v>27988</v>
      </c>
      <c r="F10337" t="s">
        <v>32831</v>
      </c>
      <c r="G10337" t="s">
        <v>32839</v>
      </c>
      <c r="H10337" t="s">
        <v>32849</v>
      </c>
      <c r="I10337" t="s">
        <v>4177</v>
      </c>
      <c r="J10337" t="s">
        <v>39349</v>
      </c>
      <c r="K10337" t="s">
        <v>42791</v>
      </c>
      <c r="M10337" t="s">
        <v>43740</v>
      </c>
      <c r="N10337" t="s">
        <v>47424</v>
      </c>
      <c r="O10337" t="s">
        <v>47425</v>
      </c>
      <c r="P10337">
        <v>0</v>
      </c>
      <c r="Q10337">
        <v>0</v>
      </c>
      <c r="R10337" t="s">
        <v>47434</v>
      </c>
      <c r="S10337" t="s">
        <v>47677</v>
      </c>
      <c r="T10337" t="s">
        <v>49318</v>
      </c>
      <c r="U10337" t="s">
        <v>58164</v>
      </c>
      <c r="W10337" t="s">
        <v>43740</v>
      </c>
      <c r="X10337" t="s">
        <v>47444</v>
      </c>
    </row>
    <row r="10338" spans="1:24">
      <c r="A10338">
        <f>HYPERLINK("https://www.philgeps.gov.ph/GEPSNONPILOT/Tender/SplashBidNoticeAbstractUI.aspx?menuIndex=3&amp;refID=6987058&amp;Result=3","6987058")</f>
        <v>0</v>
      </c>
      <c r="B10338" t="s">
        <v>607</v>
      </c>
      <c r="C10338" t="s">
        <v>13621</v>
      </c>
      <c r="D10338" t="s">
        <v>19017</v>
      </c>
      <c r="E10338" t="s">
        <v>27989</v>
      </c>
      <c r="F10338" t="s">
        <v>32831</v>
      </c>
      <c r="G10338" t="s">
        <v>32839</v>
      </c>
      <c r="H10338" t="s">
        <v>32848</v>
      </c>
      <c r="I10338" t="s">
        <v>32871</v>
      </c>
      <c r="J10338" t="s">
        <v>39350</v>
      </c>
      <c r="K10338" t="s">
        <v>42729</v>
      </c>
      <c r="M10338" t="s">
        <v>43621</v>
      </c>
      <c r="N10338" t="s">
        <v>47424</v>
      </c>
      <c r="O10338" t="s">
        <v>47425</v>
      </c>
      <c r="Q10338">
        <v>35</v>
      </c>
      <c r="R10338" t="s">
        <v>47434</v>
      </c>
      <c r="S10338" t="s">
        <v>47678</v>
      </c>
      <c r="T10338" t="s">
        <v>49173</v>
      </c>
      <c r="U10338" t="s">
        <v>58165</v>
      </c>
      <c r="V10338" t="s">
        <v>63762</v>
      </c>
      <c r="W10338" t="s">
        <v>43621</v>
      </c>
      <c r="X10338" t="s">
        <v>47493</v>
      </c>
    </row>
    <row r="10339" spans="1:24">
      <c r="A10339">
        <f>HYPERLINK("https://www.philgeps.gov.ph/GEPSNONPILOT/Tender/SplashBidNoticeAbstractUI.aspx?menuIndex=3&amp;refID=7152187&amp;Result=3","7152187")</f>
        <v>0</v>
      </c>
      <c r="B10339" t="s">
        <v>3180</v>
      </c>
      <c r="C10339" t="s">
        <v>13622</v>
      </c>
      <c r="D10339" t="s">
        <v>19044</v>
      </c>
      <c r="E10339" t="s">
        <v>27990</v>
      </c>
      <c r="F10339" t="s">
        <v>32831</v>
      </c>
      <c r="G10339" t="s">
        <v>32839</v>
      </c>
      <c r="H10339" t="s">
        <v>32848</v>
      </c>
      <c r="I10339" t="s">
        <v>8781</v>
      </c>
      <c r="J10339" t="s">
        <v>39351</v>
      </c>
      <c r="K10339" t="s">
        <v>42775</v>
      </c>
      <c r="M10339" t="s">
        <v>46487</v>
      </c>
      <c r="N10339" t="s">
        <v>47424</v>
      </c>
      <c r="O10339" t="s">
        <v>47425</v>
      </c>
      <c r="P10339">
        <v>0</v>
      </c>
      <c r="Q10339">
        <v>1</v>
      </c>
      <c r="R10339" t="s">
        <v>47433</v>
      </c>
      <c r="S10339" t="s">
        <v>47633</v>
      </c>
      <c r="T10339" t="s">
        <v>49095</v>
      </c>
      <c r="U10339" t="s">
        <v>58166</v>
      </c>
      <c r="W10339" t="s">
        <v>46487</v>
      </c>
      <c r="X10339" t="s">
        <v>47434</v>
      </c>
    </row>
    <row r="10340" spans="1:24">
      <c r="A10340">
        <f>HYPERLINK("https://www.philgeps.gov.ph/GEPSNONPILOT/Tender/SplashBidNoticeAbstractUI.aspx?menuIndex=3&amp;refID=7133080&amp;Result=3","7133080")</f>
        <v>0</v>
      </c>
      <c r="B10340" t="s">
        <v>60</v>
      </c>
      <c r="C10340" t="s">
        <v>13623</v>
      </c>
      <c r="D10340" t="s">
        <v>19042</v>
      </c>
      <c r="E10340" t="s">
        <v>27991</v>
      </c>
      <c r="F10340" t="s">
        <v>32831</v>
      </c>
      <c r="G10340" t="s">
        <v>32839</v>
      </c>
      <c r="H10340" t="s">
        <v>32849</v>
      </c>
      <c r="I10340" t="s">
        <v>4177</v>
      </c>
      <c r="J10340" t="s">
        <v>39352</v>
      </c>
      <c r="K10340" t="s">
        <v>42872</v>
      </c>
      <c r="M10340" t="s">
        <v>43740</v>
      </c>
      <c r="N10340" t="s">
        <v>47424</v>
      </c>
      <c r="O10340" t="s">
        <v>47425</v>
      </c>
      <c r="P10340">
        <v>0</v>
      </c>
      <c r="Q10340">
        <v>0</v>
      </c>
      <c r="R10340" t="s">
        <v>47434</v>
      </c>
      <c r="S10340" t="s">
        <v>47677</v>
      </c>
      <c r="T10340" t="s">
        <v>49318</v>
      </c>
      <c r="U10340" t="s">
        <v>58167</v>
      </c>
      <c r="W10340" t="s">
        <v>43740</v>
      </c>
      <c r="X10340" t="s">
        <v>47444</v>
      </c>
    </row>
    <row r="10341" spans="1:24">
      <c r="A10341">
        <f>HYPERLINK("https://www.philgeps.gov.ph/GEPSNONPILOT/Tender/SplashBidNoticeAbstractUI.aspx?menuIndex=3&amp;refID=7152186&amp;Result=3","7152186")</f>
        <v>0</v>
      </c>
      <c r="B10341" t="s">
        <v>3165</v>
      </c>
      <c r="C10341" t="s">
        <v>13624</v>
      </c>
      <c r="D10341" t="s">
        <v>19042</v>
      </c>
      <c r="E10341" t="s">
        <v>19211</v>
      </c>
      <c r="F10341" t="s">
        <v>32831</v>
      </c>
      <c r="G10341" t="s">
        <v>32839</v>
      </c>
      <c r="H10341" t="s">
        <v>32848</v>
      </c>
      <c r="I10341" t="s">
        <v>7416</v>
      </c>
      <c r="J10341" t="s">
        <v>39353</v>
      </c>
      <c r="K10341" t="s">
        <v>42730</v>
      </c>
      <c r="M10341" t="s">
        <v>46471</v>
      </c>
      <c r="N10341" t="s">
        <v>47424</v>
      </c>
      <c r="O10341" t="s">
        <v>47425</v>
      </c>
      <c r="P10341">
        <v>0</v>
      </c>
      <c r="Q10341">
        <v>1</v>
      </c>
      <c r="R10341" t="s">
        <v>47433</v>
      </c>
      <c r="S10341" t="s">
        <v>47633</v>
      </c>
      <c r="T10341" t="s">
        <v>49073</v>
      </c>
      <c r="U10341" t="s">
        <v>58168</v>
      </c>
      <c r="W10341" t="s">
        <v>46471</v>
      </c>
      <c r="X10341" t="s">
        <v>47434</v>
      </c>
    </row>
    <row r="10342" spans="1:24">
      <c r="A10342">
        <f>HYPERLINK("https://www.philgeps.gov.ph/GEPSNONPILOT/Tender/SplashBidNoticeAbstractUI.aspx?menuIndex=3&amp;refID=7140606&amp;Result=3","7140606")</f>
        <v>0</v>
      </c>
      <c r="B10342" t="s">
        <v>38</v>
      </c>
      <c r="C10342" t="s">
        <v>13625</v>
      </c>
      <c r="D10342" t="s">
        <v>19028</v>
      </c>
      <c r="E10342" t="s">
        <v>27992</v>
      </c>
      <c r="F10342" t="s">
        <v>32831</v>
      </c>
      <c r="G10342" t="s">
        <v>32839</v>
      </c>
      <c r="H10342" t="s">
        <v>32849</v>
      </c>
      <c r="I10342" t="s">
        <v>4177</v>
      </c>
      <c r="J10342" t="s">
        <v>39354</v>
      </c>
      <c r="K10342" t="s">
        <v>42766</v>
      </c>
      <c r="M10342" t="s">
        <v>43035</v>
      </c>
      <c r="N10342" t="s">
        <v>47424</v>
      </c>
      <c r="O10342" t="s">
        <v>47425</v>
      </c>
      <c r="P10342">
        <v>0</v>
      </c>
      <c r="Q10342">
        <v>0</v>
      </c>
      <c r="R10342" t="s">
        <v>47434</v>
      </c>
      <c r="S10342" t="s">
        <v>47677</v>
      </c>
      <c r="T10342" t="s">
        <v>49231</v>
      </c>
      <c r="U10342" t="s">
        <v>58169</v>
      </c>
      <c r="V10342" t="s">
        <v>63763</v>
      </c>
      <c r="W10342" t="s">
        <v>43035</v>
      </c>
      <c r="X10342" t="s">
        <v>47440</v>
      </c>
    </row>
    <row r="10343" spans="1:24">
      <c r="A10343">
        <f>HYPERLINK("https://www.philgeps.gov.ph/GEPSNONPILOT/Tender/SplashBidNoticeAbstractUI.aspx?menuIndex=3&amp;refID=7139817&amp;Result=3","7139817")</f>
        <v>0</v>
      </c>
      <c r="B10343" t="s">
        <v>1762</v>
      </c>
      <c r="C10343" t="s">
        <v>8042</v>
      </c>
      <c r="D10343" t="s">
        <v>19089</v>
      </c>
      <c r="E10343" t="s">
        <v>27993</v>
      </c>
      <c r="F10343" t="s">
        <v>32831</v>
      </c>
      <c r="G10343" t="s">
        <v>32839</v>
      </c>
      <c r="H10343" t="s">
        <v>32848</v>
      </c>
      <c r="I10343" t="s">
        <v>4558</v>
      </c>
      <c r="J10343" t="s">
        <v>39355</v>
      </c>
      <c r="K10343" t="s">
        <v>42731</v>
      </c>
      <c r="M10343" t="s">
        <v>44886</v>
      </c>
      <c r="N10343" t="s">
        <v>47424</v>
      </c>
      <c r="O10343" t="s">
        <v>47425</v>
      </c>
      <c r="P10343">
        <v>0</v>
      </c>
      <c r="Q10343">
        <v>9</v>
      </c>
      <c r="R10343" t="s">
        <v>47434</v>
      </c>
      <c r="S10343" t="s">
        <v>47677</v>
      </c>
      <c r="T10343" t="s">
        <v>49112</v>
      </c>
      <c r="U10343" t="s">
        <v>58170</v>
      </c>
      <c r="W10343" t="s">
        <v>44886</v>
      </c>
      <c r="X10343" t="s">
        <v>47440</v>
      </c>
    </row>
    <row r="10344" spans="1:24">
      <c r="A10344">
        <f>HYPERLINK("https://www.philgeps.gov.ph/GEPSNONPILOT/Tender/SplashBidNoticeAbstractUI.aspx?menuIndex=3&amp;refID=7139727&amp;Result=3","7139727")</f>
        <v>0</v>
      </c>
      <c r="B10344" t="s">
        <v>1275</v>
      </c>
      <c r="C10344" t="s">
        <v>13626</v>
      </c>
      <c r="D10344" t="s">
        <v>19091</v>
      </c>
      <c r="E10344" t="s">
        <v>27994</v>
      </c>
      <c r="F10344" t="s">
        <v>32831</v>
      </c>
      <c r="G10344" t="s">
        <v>32839</v>
      </c>
      <c r="H10344" t="s">
        <v>32849</v>
      </c>
      <c r="I10344" t="s">
        <v>4177</v>
      </c>
      <c r="J10344" t="s">
        <v>39356</v>
      </c>
      <c r="K10344" t="s">
        <v>42926</v>
      </c>
      <c r="M10344" t="s">
        <v>46488</v>
      </c>
      <c r="N10344" t="s">
        <v>47424</v>
      </c>
      <c r="O10344" t="s">
        <v>47425</v>
      </c>
      <c r="P10344">
        <v>0</v>
      </c>
      <c r="Q10344">
        <v>5</v>
      </c>
      <c r="R10344" t="s">
        <v>47434</v>
      </c>
      <c r="S10344" t="s">
        <v>47677</v>
      </c>
      <c r="T10344" t="s">
        <v>49461</v>
      </c>
      <c r="U10344" t="s">
        <v>58171</v>
      </c>
      <c r="V10344" t="s">
        <v>63764</v>
      </c>
      <c r="W10344" t="s">
        <v>46488</v>
      </c>
      <c r="X10344" t="s">
        <v>47440</v>
      </c>
    </row>
    <row r="10345" spans="1:24">
      <c r="A10345">
        <f>HYPERLINK("https://www.philgeps.gov.ph/GEPSNONPILOT/Tender/SplashBidNoticeAbstractUI.aspx?menuIndex=3&amp;refID=7139519&amp;Result=3","7139519")</f>
        <v>0</v>
      </c>
      <c r="B10345" t="s">
        <v>535</v>
      </c>
      <c r="C10345" t="s">
        <v>13627</v>
      </c>
      <c r="D10345" t="s">
        <v>19019</v>
      </c>
      <c r="E10345" t="s">
        <v>27995</v>
      </c>
      <c r="F10345" t="s">
        <v>32831</v>
      </c>
      <c r="G10345" t="s">
        <v>32839</v>
      </c>
      <c r="H10345" t="s">
        <v>32848</v>
      </c>
      <c r="I10345" t="s">
        <v>4558</v>
      </c>
      <c r="J10345" t="s">
        <v>39357</v>
      </c>
      <c r="K10345" t="s">
        <v>42732</v>
      </c>
      <c r="M10345" t="s">
        <v>45597</v>
      </c>
      <c r="N10345" t="s">
        <v>47424</v>
      </c>
      <c r="O10345" t="s">
        <v>47425</v>
      </c>
      <c r="Q10345">
        <v>10</v>
      </c>
      <c r="R10345" t="s">
        <v>47434</v>
      </c>
      <c r="S10345" t="s">
        <v>47679</v>
      </c>
      <c r="T10345" t="s">
        <v>49219</v>
      </c>
      <c r="U10345" t="s">
        <v>58172</v>
      </c>
      <c r="V10345" t="s">
        <v>63377</v>
      </c>
      <c r="W10345" t="s">
        <v>45597</v>
      </c>
      <c r="X10345" t="s">
        <v>47440</v>
      </c>
    </row>
    <row r="10346" spans="1:24">
      <c r="A10346">
        <f>HYPERLINK("https://www.philgeps.gov.ph/GEPSNONPILOT/Tender/SplashBidNoticeAbstractUI.aspx?menuIndex=3&amp;refID=7139425&amp;Result=3","7139425")</f>
        <v>0</v>
      </c>
      <c r="B10346" t="s">
        <v>2948</v>
      </c>
      <c r="C10346" t="s">
        <v>13628</v>
      </c>
      <c r="D10346" t="s">
        <v>19060</v>
      </c>
      <c r="E10346" t="s">
        <v>27996</v>
      </c>
      <c r="F10346" t="s">
        <v>32831</v>
      </c>
      <c r="G10346" t="s">
        <v>32839</v>
      </c>
      <c r="H10346" t="s">
        <v>32848</v>
      </c>
      <c r="I10346" t="s">
        <v>4487</v>
      </c>
      <c r="J10346" t="s">
        <v>39358</v>
      </c>
      <c r="K10346" t="s">
        <v>42730</v>
      </c>
      <c r="M10346" t="s">
        <v>46207</v>
      </c>
      <c r="N10346" t="s">
        <v>47424</v>
      </c>
      <c r="O10346" t="s">
        <v>47425</v>
      </c>
      <c r="P10346">
        <v>0</v>
      </c>
      <c r="Q10346">
        <v>0</v>
      </c>
      <c r="R10346" t="s">
        <v>47434</v>
      </c>
      <c r="S10346" t="s">
        <v>47677</v>
      </c>
      <c r="T10346" t="s">
        <v>49558</v>
      </c>
      <c r="U10346" t="s">
        <v>58173</v>
      </c>
      <c r="V10346" t="s">
        <v>63628</v>
      </c>
      <c r="W10346" t="s">
        <v>46207</v>
      </c>
      <c r="X10346" t="s">
        <v>47440</v>
      </c>
    </row>
    <row r="10347" spans="1:24">
      <c r="A10347">
        <f>HYPERLINK("https://www.philgeps.gov.ph/GEPSNONPILOT/Tender/SplashBidNoticeAbstractUI.aspx?menuIndex=3&amp;refID=7139414&amp;Result=3","7139414")</f>
        <v>0</v>
      </c>
      <c r="B10347" t="s">
        <v>535</v>
      </c>
      <c r="C10347" t="s">
        <v>13629</v>
      </c>
      <c r="D10347" t="s">
        <v>19019</v>
      </c>
      <c r="E10347" t="s">
        <v>27997</v>
      </c>
      <c r="F10347" t="s">
        <v>32831</v>
      </c>
      <c r="G10347" t="s">
        <v>32839</v>
      </c>
      <c r="H10347" t="s">
        <v>32848</v>
      </c>
      <c r="I10347" t="s">
        <v>4558</v>
      </c>
      <c r="J10347" t="s">
        <v>39359</v>
      </c>
      <c r="K10347" t="s">
        <v>42732</v>
      </c>
      <c r="M10347" t="s">
        <v>45597</v>
      </c>
      <c r="N10347" t="s">
        <v>47424</v>
      </c>
      <c r="O10347" t="s">
        <v>47425</v>
      </c>
      <c r="Q10347">
        <v>13</v>
      </c>
      <c r="R10347" t="s">
        <v>47434</v>
      </c>
      <c r="S10347" t="s">
        <v>47680</v>
      </c>
      <c r="T10347" t="s">
        <v>49219</v>
      </c>
      <c r="U10347" t="s">
        <v>58174</v>
      </c>
      <c r="V10347" t="s">
        <v>63377</v>
      </c>
      <c r="W10347" t="s">
        <v>45597</v>
      </c>
      <c r="X10347" t="s">
        <v>47440</v>
      </c>
    </row>
    <row r="10348" spans="1:24">
      <c r="A10348">
        <f>HYPERLINK("https://www.philgeps.gov.ph/GEPSNONPILOT/Tender/SplashBidNoticeAbstractUI.aspx?menuIndex=3&amp;refID=7152172&amp;Result=3","7152172")</f>
        <v>0</v>
      </c>
      <c r="B10348" t="s">
        <v>3181</v>
      </c>
      <c r="C10348" t="s">
        <v>13630</v>
      </c>
      <c r="D10348" t="s">
        <v>19030</v>
      </c>
      <c r="E10348" t="s">
        <v>27998</v>
      </c>
      <c r="F10348" t="s">
        <v>32831</v>
      </c>
      <c r="G10348" t="s">
        <v>32839</v>
      </c>
      <c r="H10348" t="s">
        <v>32848</v>
      </c>
      <c r="I10348" t="s">
        <v>32856</v>
      </c>
      <c r="J10348" t="s">
        <v>39360</v>
      </c>
      <c r="K10348" t="s">
        <v>42729</v>
      </c>
      <c r="M10348" t="s">
        <v>46489</v>
      </c>
      <c r="N10348" t="s">
        <v>47424</v>
      </c>
      <c r="O10348" t="s">
        <v>47425</v>
      </c>
      <c r="P10348">
        <v>0</v>
      </c>
      <c r="Q10348">
        <v>8</v>
      </c>
      <c r="R10348" t="s">
        <v>47433</v>
      </c>
      <c r="S10348" t="s">
        <v>47633</v>
      </c>
      <c r="T10348" t="s">
        <v>49112</v>
      </c>
      <c r="U10348" t="s">
        <v>58175</v>
      </c>
      <c r="V10348" t="s">
        <v>63765</v>
      </c>
      <c r="W10348" t="s">
        <v>64539</v>
      </c>
      <c r="X10348" t="s">
        <v>47434</v>
      </c>
    </row>
    <row r="10349" spans="1:24">
      <c r="A10349">
        <f>HYPERLINK("https://www.philgeps.gov.ph/GEPSNONPILOT/Tender/SplashBidNoticeAbstractUI.aspx?menuIndex=3&amp;refID=7139321&amp;Result=3","7139321")</f>
        <v>0</v>
      </c>
      <c r="B10349" t="s">
        <v>1762</v>
      </c>
      <c r="C10349" t="s">
        <v>13631</v>
      </c>
      <c r="D10349" t="s">
        <v>19089</v>
      </c>
      <c r="E10349" t="s">
        <v>26778</v>
      </c>
      <c r="F10349" t="s">
        <v>32831</v>
      </c>
      <c r="G10349" t="s">
        <v>32839</v>
      </c>
      <c r="H10349" t="s">
        <v>32849</v>
      </c>
      <c r="I10349" t="s">
        <v>4177</v>
      </c>
      <c r="J10349" t="s">
        <v>39361</v>
      </c>
      <c r="K10349" t="s">
        <v>42766</v>
      </c>
      <c r="M10349" t="s">
        <v>44886</v>
      </c>
      <c r="N10349" t="s">
        <v>47424</v>
      </c>
      <c r="O10349" t="s">
        <v>47425</v>
      </c>
      <c r="P10349">
        <v>0</v>
      </c>
      <c r="Q10349">
        <v>0</v>
      </c>
      <c r="R10349" t="s">
        <v>47434</v>
      </c>
      <c r="S10349" t="s">
        <v>47677</v>
      </c>
      <c r="T10349" t="s">
        <v>49112</v>
      </c>
      <c r="U10349" t="s">
        <v>58176</v>
      </c>
      <c r="W10349" t="s">
        <v>44886</v>
      </c>
      <c r="X10349" t="s">
        <v>47440</v>
      </c>
    </row>
    <row r="10350" spans="1:24">
      <c r="A10350">
        <f>HYPERLINK("https://www.philgeps.gov.ph/GEPSNONPILOT/Tender/SplashBidNoticeAbstractUI.aspx?menuIndex=3&amp;refID=7137864&amp;Result=3","7137864")</f>
        <v>0</v>
      </c>
      <c r="B10350" t="s">
        <v>3182</v>
      </c>
      <c r="C10350" t="s">
        <v>13632</v>
      </c>
      <c r="D10350" t="s">
        <v>19057</v>
      </c>
      <c r="E10350" t="s">
        <v>27999</v>
      </c>
      <c r="F10350" t="s">
        <v>32831</v>
      </c>
      <c r="G10350" t="s">
        <v>32839</v>
      </c>
      <c r="H10350" t="s">
        <v>32848</v>
      </c>
      <c r="I10350" t="s">
        <v>32889</v>
      </c>
      <c r="J10350" t="s">
        <v>39362</v>
      </c>
      <c r="K10350" t="s">
        <v>42747</v>
      </c>
      <c r="M10350" t="s">
        <v>46490</v>
      </c>
      <c r="N10350" t="s">
        <v>47424</v>
      </c>
      <c r="O10350" t="s">
        <v>47425</v>
      </c>
      <c r="P10350">
        <v>0</v>
      </c>
      <c r="Q10350">
        <v>2</v>
      </c>
      <c r="R10350" t="s">
        <v>47434</v>
      </c>
      <c r="S10350" t="s">
        <v>47677</v>
      </c>
      <c r="T10350" t="s">
        <v>49216</v>
      </c>
      <c r="U10350" t="s">
        <v>58177</v>
      </c>
      <c r="W10350" t="s">
        <v>46490</v>
      </c>
      <c r="X10350" t="s">
        <v>47441</v>
      </c>
    </row>
    <row r="10351" spans="1:24">
      <c r="A10351">
        <f>HYPERLINK("https://www.philgeps.gov.ph/GEPSNONPILOT/Tender/SplashBidNoticeAbstractUI.aspx?menuIndex=3&amp;refID=7137836&amp;Result=3","7137836")</f>
        <v>0</v>
      </c>
      <c r="B10351" t="s">
        <v>3182</v>
      </c>
      <c r="C10351" t="s">
        <v>13633</v>
      </c>
      <c r="D10351" t="s">
        <v>19057</v>
      </c>
      <c r="E10351" t="s">
        <v>28000</v>
      </c>
      <c r="F10351" t="s">
        <v>32831</v>
      </c>
      <c r="G10351" t="s">
        <v>32839</v>
      </c>
      <c r="H10351" t="s">
        <v>32848</v>
      </c>
      <c r="I10351" t="s">
        <v>32889</v>
      </c>
      <c r="J10351" t="s">
        <v>39363</v>
      </c>
      <c r="K10351" t="s">
        <v>42747</v>
      </c>
      <c r="M10351" t="s">
        <v>46490</v>
      </c>
      <c r="N10351" t="s">
        <v>47424</v>
      </c>
      <c r="O10351" t="s">
        <v>47425</v>
      </c>
      <c r="P10351">
        <v>0</v>
      </c>
      <c r="Q10351">
        <v>1</v>
      </c>
      <c r="R10351" t="s">
        <v>47434</v>
      </c>
      <c r="S10351" t="s">
        <v>47677</v>
      </c>
      <c r="T10351" t="s">
        <v>49216</v>
      </c>
      <c r="U10351" t="s">
        <v>58177</v>
      </c>
      <c r="W10351" t="s">
        <v>46490</v>
      </c>
      <c r="X10351" t="s">
        <v>47441</v>
      </c>
    </row>
    <row r="10352" spans="1:24">
      <c r="A10352">
        <f>HYPERLINK("https://www.philgeps.gov.ph/GEPSNONPILOT/Tender/SplashBidNoticeAbstractUI.aspx?menuIndex=3&amp;refID=7152122&amp;Result=3","7152122")</f>
        <v>0</v>
      </c>
      <c r="B10352" t="s">
        <v>2933</v>
      </c>
      <c r="C10352" t="s">
        <v>13634</v>
      </c>
      <c r="D10352" t="s">
        <v>19095</v>
      </c>
      <c r="E10352" t="s">
        <v>20788</v>
      </c>
      <c r="F10352" t="s">
        <v>32831</v>
      </c>
      <c r="G10352" t="s">
        <v>32839</v>
      </c>
      <c r="H10352" t="s">
        <v>32848</v>
      </c>
      <c r="I10352" t="s">
        <v>32857</v>
      </c>
      <c r="J10352" t="s">
        <v>39364</v>
      </c>
      <c r="K10352" t="s">
        <v>42727</v>
      </c>
      <c r="M10352" t="s">
        <v>46189</v>
      </c>
      <c r="N10352" t="s">
        <v>47424</v>
      </c>
      <c r="O10352" t="s">
        <v>47425</v>
      </c>
      <c r="P10352">
        <v>0</v>
      </c>
      <c r="Q10352">
        <v>5</v>
      </c>
      <c r="R10352" t="s">
        <v>47433</v>
      </c>
      <c r="S10352" t="s">
        <v>47633</v>
      </c>
      <c r="T10352" t="s">
        <v>49138</v>
      </c>
      <c r="U10352" t="s">
        <v>58178</v>
      </c>
      <c r="W10352" t="s">
        <v>46189</v>
      </c>
      <c r="X10352" t="s">
        <v>47434</v>
      </c>
    </row>
    <row r="10353" spans="1:24">
      <c r="A10353">
        <f>HYPERLINK("https://www.philgeps.gov.ph/GEPSNONPILOT/Tender/SplashBidNoticeAbstractUI.aspx?menuIndex=3&amp;refID=7137742&amp;Result=3","7137742")</f>
        <v>0</v>
      </c>
      <c r="B10353" t="s">
        <v>3182</v>
      </c>
      <c r="C10353" t="s">
        <v>13635</v>
      </c>
      <c r="D10353" t="s">
        <v>19057</v>
      </c>
      <c r="E10353" t="s">
        <v>28001</v>
      </c>
      <c r="F10353" t="s">
        <v>32831</v>
      </c>
      <c r="G10353" t="s">
        <v>32839</v>
      </c>
      <c r="H10353" t="s">
        <v>32848</v>
      </c>
      <c r="I10353" t="s">
        <v>32889</v>
      </c>
      <c r="J10353" t="s">
        <v>39365</v>
      </c>
      <c r="K10353" t="s">
        <v>42747</v>
      </c>
      <c r="M10353" t="s">
        <v>46490</v>
      </c>
      <c r="N10353" t="s">
        <v>47424</v>
      </c>
      <c r="O10353" t="s">
        <v>47425</v>
      </c>
      <c r="P10353">
        <v>0</v>
      </c>
      <c r="Q10353">
        <v>1</v>
      </c>
      <c r="R10353" t="s">
        <v>47434</v>
      </c>
      <c r="S10353" t="s">
        <v>47677</v>
      </c>
      <c r="T10353" t="s">
        <v>49216</v>
      </c>
      <c r="U10353" t="s">
        <v>58177</v>
      </c>
      <c r="W10353" t="s">
        <v>46490</v>
      </c>
      <c r="X10353" t="s">
        <v>47441</v>
      </c>
    </row>
    <row r="10354" spans="1:24">
      <c r="A10354">
        <f>HYPERLINK("https://www.philgeps.gov.ph/GEPSNONPILOT/Tender/SplashBidNoticeAbstractUI.aspx?menuIndex=3&amp;refID=7137885&amp;Result=3","7137885")</f>
        <v>0</v>
      </c>
      <c r="B10354" t="s">
        <v>3182</v>
      </c>
      <c r="C10354" t="s">
        <v>13636</v>
      </c>
      <c r="D10354" t="s">
        <v>19057</v>
      </c>
      <c r="E10354" t="s">
        <v>28002</v>
      </c>
      <c r="F10354" t="s">
        <v>32831</v>
      </c>
      <c r="G10354" t="s">
        <v>32839</v>
      </c>
      <c r="H10354" t="s">
        <v>32848</v>
      </c>
      <c r="I10354" t="s">
        <v>32889</v>
      </c>
      <c r="J10354" t="s">
        <v>39366</v>
      </c>
      <c r="K10354" t="s">
        <v>42747</v>
      </c>
      <c r="M10354" t="s">
        <v>46490</v>
      </c>
      <c r="N10354" t="s">
        <v>47424</v>
      </c>
      <c r="O10354" t="s">
        <v>47425</v>
      </c>
      <c r="P10354">
        <v>0</v>
      </c>
      <c r="Q10354">
        <v>1</v>
      </c>
      <c r="R10354" t="s">
        <v>47434</v>
      </c>
      <c r="S10354" t="s">
        <v>47677</v>
      </c>
      <c r="T10354" t="s">
        <v>49216</v>
      </c>
      <c r="U10354" t="s">
        <v>58177</v>
      </c>
      <c r="W10354" t="s">
        <v>46490</v>
      </c>
      <c r="X10354" t="s">
        <v>47441</v>
      </c>
    </row>
    <row r="10355" spans="1:24">
      <c r="A10355">
        <f>HYPERLINK("https://www.philgeps.gov.ph/GEPSNONPILOT/Tender/SplashBidNoticeAbstractUI.aspx?menuIndex=3&amp;refID=7137378&amp;Result=3","7137378")</f>
        <v>0</v>
      </c>
      <c r="B10355" t="s">
        <v>3179</v>
      </c>
      <c r="C10355" t="s">
        <v>13637</v>
      </c>
      <c r="E10355" t="s">
        <v>28003</v>
      </c>
      <c r="F10355" t="s">
        <v>32831</v>
      </c>
      <c r="G10355" t="s">
        <v>32839</v>
      </c>
      <c r="H10355" t="s">
        <v>32849</v>
      </c>
      <c r="I10355" t="s">
        <v>4177</v>
      </c>
      <c r="J10355" t="s">
        <v>39367</v>
      </c>
      <c r="K10355" t="s">
        <v>42864</v>
      </c>
      <c r="M10355" t="s">
        <v>46486</v>
      </c>
      <c r="N10355" t="s">
        <v>47424</v>
      </c>
      <c r="O10355" t="s">
        <v>47425</v>
      </c>
      <c r="P10355">
        <v>0</v>
      </c>
      <c r="Q10355">
        <v>0</v>
      </c>
      <c r="R10355" t="s">
        <v>47434</v>
      </c>
      <c r="S10355" t="s">
        <v>47677</v>
      </c>
      <c r="T10355" t="s">
        <v>49173</v>
      </c>
      <c r="U10355" t="s">
        <v>58154</v>
      </c>
      <c r="W10355" t="s">
        <v>46486</v>
      </c>
      <c r="X10355" t="s">
        <v>47441</v>
      </c>
    </row>
    <row r="10356" spans="1:24">
      <c r="A10356">
        <f>HYPERLINK("https://www.philgeps.gov.ph/GEPSNONPILOT/Tender/SplashBidNoticeAbstractUI.aspx?menuIndex=3&amp;refID=7137317&amp;Result=3","7137317")</f>
        <v>0</v>
      </c>
      <c r="B10356" t="s">
        <v>3179</v>
      </c>
      <c r="C10356" t="s">
        <v>13638</v>
      </c>
      <c r="E10356" t="s">
        <v>28004</v>
      </c>
      <c r="F10356" t="s">
        <v>32831</v>
      </c>
      <c r="G10356" t="s">
        <v>32839</v>
      </c>
      <c r="H10356" t="s">
        <v>32849</v>
      </c>
      <c r="I10356" t="s">
        <v>4177</v>
      </c>
      <c r="J10356" t="s">
        <v>39368</v>
      </c>
      <c r="K10356" t="s">
        <v>42927</v>
      </c>
      <c r="M10356" t="s">
        <v>46486</v>
      </c>
      <c r="N10356" t="s">
        <v>47424</v>
      </c>
      <c r="O10356" t="s">
        <v>47425</v>
      </c>
      <c r="P10356">
        <v>0</v>
      </c>
      <c r="Q10356">
        <v>0</v>
      </c>
      <c r="R10356" t="s">
        <v>47434</v>
      </c>
      <c r="S10356" t="s">
        <v>47677</v>
      </c>
      <c r="T10356" t="s">
        <v>49173</v>
      </c>
      <c r="U10356" t="s">
        <v>58154</v>
      </c>
      <c r="W10356" t="s">
        <v>46486</v>
      </c>
      <c r="X10356" t="s">
        <v>47441</v>
      </c>
    </row>
    <row r="10357" spans="1:24">
      <c r="A10357">
        <f>HYPERLINK("https://www.philgeps.gov.ph/GEPSNONPILOT/Tender/SplashBidNoticeAbstractUI.aspx?menuIndex=3&amp;refID=7152030&amp;Result=3","7152030")</f>
        <v>0</v>
      </c>
      <c r="B10357" t="s">
        <v>450</v>
      </c>
      <c r="C10357" t="s">
        <v>13639</v>
      </c>
      <c r="D10357" t="s">
        <v>19074</v>
      </c>
      <c r="E10357" t="s">
        <v>28005</v>
      </c>
      <c r="F10357" t="s">
        <v>32831</v>
      </c>
      <c r="G10357" t="s">
        <v>32839</v>
      </c>
      <c r="H10357" t="s">
        <v>32848</v>
      </c>
      <c r="I10357" t="s">
        <v>4558</v>
      </c>
      <c r="J10357" t="s">
        <v>39369</v>
      </c>
      <c r="K10357" t="s">
        <v>42726</v>
      </c>
      <c r="M10357" t="s">
        <v>43455</v>
      </c>
      <c r="N10357" t="s">
        <v>47424</v>
      </c>
      <c r="O10357" t="s">
        <v>47425</v>
      </c>
      <c r="Q10357">
        <v>0</v>
      </c>
      <c r="R10357" t="s">
        <v>47433</v>
      </c>
      <c r="S10357" t="s">
        <v>47681</v>
      </c>
      <c r="T10357" t="s">
        <v>49251</v>
      </c>
      <c r="U10357" t="s">
        <v>58179</v>
      </c>
      <c r="W10357" t="s">
        <v>64437</v>
      </c>
      <c r="X10357" t="s">
        <v>47434</v>
      </c>
    </row>
    <row r="10358" spans="1:24">
      <c r="A10358">
        <f>HYPERLINK("https://www.philgeps.gov.ph/GEPSNONPILOT/Tender/SplashBidNoticeAbstractUI.aspx?menuIndex=3&amp;refID=7137259&amp;Result=3","7137259")</f>
        <v>0</v>
      </c>
      <c r="B10358" t="s">
        <v>3179</v>
      </c>
      <c r="C10358" t="s">
        <v>13640</v>
      </c>
      <c r="E10358" t="s">
        <v>28006</v>
      </c>
      <c r="F10358" t="s">
        <v>32831</v>
      </c>
      <c r="G10358" t="s">
        <v>32839</v>
      </c>
      <c r="H10358" t="s">
        <v>32849</v>
      </c>
      <c r="I10358" t="s">
        <v>4177</v>
      </c>
      <c r="J10358" t="s">
        <v>36370</v>
      </c>
      <c r="K10358" t="s">
        <v>42763</v>
      </c>
      <c r="M10358" t="s">
        <v>46486</v>
      </c>
      <c r="N10358" t="s">
        <v>47424</v>
      </c>
      <c r="O10358" t="s">
        <v>47425</v>
      </c>
      <c r="P10358">
        <v>0</v>
      </c>
      <c r="Q10358">
        <v>0</v>
      </c>
      <c r="R10358" t="s">
        <v>47434</v>
      </c>
      <c r="S10358" t="s">
        <v>47677</v>
      </c>
      <c r="T10358" t="s">
        <v>49173</v>
      </c>
      <c r="U10358" t="s">
        <v>58154</v>
      </c>
      <c r="W10358" t="s">
        <v>46486</v>
      </c>
      <c r="X10358" t="s">
        <v>47441</v>
      </c>
    </row>
    <row r="10359" spans="1:24">
      <c r="A10359">
        <f>HYPERLINK("https://www.philgeps.gov.ph/GEPSNONPILOT/Tender/SplashBidNoticeAbstractUI.aspx?menuIndex=3&amp;refID=7136761&amp;Result=3","7136761")</f>
        <v>0</v>
      </c>
      <c r="B10359" t="s">
        <v>3179</v>
      </c>
      <c r="C10359" t="s">
        <v>13641</v>
      </c>
      <c r="E10359" t="s">
        <v>28007</v>
      </c>
      <c r="F10359" t="s">
        <v>32831</v>
      </c>
      <c r="G10359" t="s">
        <v>32839</v>
      </c>
      <c r="H10359" t="s">
        <v>32849</v>
      </c>
      <c r="I10359" t="s">
        <v>4177</v>
      </c>
      <c r="J10359" t="s">
        <v>33528</v>
      </c>
      <c r="K10359" t="s">
        <v>42763</v>
      </c>
      <c r="M10359" t="s">
        <v>46486</v>
      </c>
      <c r="N10359" t="s">
        <v>47424</v>
      </c>
      <c r="O10359" t="s">
        <v>47425</v>
      </c>
      <c r="P10359">
        <v>0</v>
      </c>
      <c r="Q10359">
        <v>0</v>
      </c>
      <c r="R10359" t="s">
        <v>47434</v>
      </c>
      <c r="S10359" t="s">
        <v>47677</v>
      </c>
      <c r="T10359" t="s">
        <v>49173</v>
      </c>
      <c r="U10359" t="s">
        <v>58154</v>
      </c>
      <c r="W10359" t="s">
        <v>46486</v>
      </c>
      <c r="X10359" t="s">
        <v>47441</v>
      </c>
    </row>
    <row r="10360" spans="1:24">
      <c r="A10360">
        <f>HYPERLINK("https://www.philgeps.gov.ph/GEPSNONPILOT/Tender/SplashBidNoticeAbstractUI.aspx?menuIndex=3&amp;refID=7136882&amp;Result=3","7136882")</f>
        <v>0</v>
      </c>
      <c r="B10360" t="s">
        <v>3182</v>
      </c>
      <c r="C10360" t="s">
        <v>13642</v>
      </c>
      <c r="D10360" t="s">
        <v>19057</v>
      </c>
      <c r="E10360" t="s">
        <v>28008</v>
      </c>
      <c r="F10360" t="s">
        <v>32831</v>
      </c>
      <c r="G10360" t="s">
        <v>32839</v>
      </c>
      <c r="H10360" t="s">
        <v>32848</v>
      </c>
      <c r="I10360" t="s">
        <v>32889</v>
      </c>
      <c r="J10360" t="s">
        <v>39370</v>
      </c>
      <c r="K10360" t="s">
        <v>42730</v>
      </c>
      <c r="M10360" t="s">
        <v>46490</v>
      </c>
      <c r="N10360" t="s">
        <v>47424</v>
      </c>
      <c r="O10360" t="s">
        <v>47425</v>
      </c>
      <c r="P10360">
        <v>0</v>
      </c>
      <c r="Q10360">
        <v>1</v>
      </c>
      <c r="R10360" t="s">
        <v>47434</v>
      </c>
      <c r="S10360" t="s">
        <v>47677</v>
      </c>
      <c r="T10360" t="s">
        <v>49216</v>
      </c>
      <c r="U10360" t="s">
        <v>58177</v>
      </c>
      <c r="W10360" t="s">
        <v>46490</v>
      </c>
      <c r="X10360" t="s">
        <v>47441</v>
      </c>
    </row>
    <row r="10361" spans="1:24">
      <c r="A10361">
        <f>HYPERLINK("https://www.philgeps.gov.ph/GEPSNONPILOT/Tender/SplashBidNoticeAbstractUI.aspx?menuIndex=3&amp;refID=7152169&amp;Result=3","7152169")</f>
        <v>0</v>
      </c>
      <c r="B10361" t="s">
        <v>3180</v>
      </c>
      <c r="C10361" t="s">
        <v>13643</v>
      </c>
      <c r="D10361" t="s">
        <v>19044</v>
      </c>
      <c r="E10361" t="s">
        <v>28009</v>
      </c>
      <c r="F10361" t="s">
        <v>32831</v>
      </c>
      <c r="G10361" t="s">
        <v>32839</v>
      </c>
      <c r="H10361" t="s">
        <v>32848</v>
      </c>
      <c r="I10361" t="s">
        <v>32883</v>
      </c>
      <c r="J10361" t="s">
        <v>39371</v>
      </c>
      <c r="K10361" t="s">
        <v>42729</v>
      </c>
      <c r="M10361" t="s">
        <v>46487</v>
      </c>
      <c r="N10361" t="s">
        <v>47424</v>
      </c>
      <c r="O10361" t="s">
        <v>47425</v>
      </c>
      <c r="P10361">
        <v>0</v>
      </c>
      <c r="Q10361">
        <v>5</v>
      </c>
      <c r="R10361" t="s">
        <v>47433</v>
      </c>
      <c r="S10361" t="s">
        <v>47633</v>
      </c>
      <c r="T10361" t="s">
        <v>49095</v>
      </c>
      <c r="U10361" t="s">
        <v>58180</v>
      </c>
      <c r="W10361" t="s">
        <v>46487</v>
      </c>
      <c r="X10361" t="s">
        <v>47434</v>
      </c>
    </row>
    <row r="10362" spans="1:24">
      <c r="A10362">
        <f>HYPERLINK("https://www.philgeps.gov.ph/GEPSNONPILOT/Tender/SplashBidNoticeAbstractUI.aspx?menuIndex=3&amp;refID=7152162&amp;Result=3","7152162")</f>
        <v>0</v>
      </c>
      <c r="B10362" t="s">
        <v>3183</v>
      </c>
      <c r="C10362" t="s">
        <v>13644</v>
      </c>
      <c r="D10362" t="s">
        <v>19045</v>
      </c>
      <c r="E10362" t="s">
        <v>28010</v>
      </c>
      <c r="F10362" t="s">
        <v>32831</v>
      </c>
      <c r="G10362" t="s">
        <v>32838</v>
      </c>
      <c r="H10362" t="s">
        <v>32848</v>
      </c>
      <c r="I10362" t="s">
        <v>4776</v>
      </c>
      <c r="J10362" t="s">
        <v>39049</v>
      </c>
      <c r="K10362" t="s">
        <v>42758</v>
      </c>
      <c r="M10362" t="s">
        <v>46491</v>
      </c>
      <c r="N10362" t="s">
        <v>47424</v>
      </c>
      <c r="O10362" t="s">
        <v>47425</v>
      </c>
      <c r="P10362">
        <v>0</v>
      </c>
      <c r="Q10362">
        <v>0</v>
      </c>
      <c r="R10362" t="s">
        <v>47433</v>
      </c>
      <c r="S10362" t="s">
        <v>47633</v>
      </c>
      <c r="T10362" t="s">
        <v>49235</v>
      </c>
      <c r="U10362" t="s">
        <v>58181</v>
      </c>
      <c r="W10362" t="s">
        <v>46491</v>
      </c>
      <c r="X10362" t="s">
        <v>47434</v>
      </c>
    </row>
    <row r="10363" spans="1:24">
      <c r="A10363">
        <f>HYPERLINK("https://www.philgeps.gov.ph/GEPSNONPILOT/Tender/SplashBidNoticeAbstractUI.aspx?menuIndex=3&amp;refID=7152116&amp;Result=3","7152116")</f>
        <v>0</v>
      </c>
      <c r="B10363" t="s">
        <v>3170</v>
      </c>
      <c r="C10363" t="s">
        <v>13645</v>
      </c>
      <c r="D10363" t="s">
        <v>19017</v>
      </c>
      <c r="E10363" t="s">
        <v>28011</v>
      </c>
      <c r="F10363" t="s">
        <v>32831</v>
      </c>
      <c r="G10363" t="s">
        <v>32839</v>
      </c>
      <c r="H10363" t="s">
        <v>32848</v>
      </c>
      <c r="I10363" t="s">
        <v>32860</v>
      </c>
      <c r="J10363" t="s">
        <v>36710</v>
      </c>
      <c r="K10363" t="s">
        <v>42732</v>
      </c>
      <c r="M10363" t="s">
        <v>46477</v>
      </c>
      <c r="N10363" t="s">
        <v>47424</v>
      </c>
      <c r="O10363" t="s">
        <v>47425</v>
      </c>
      <c r="Q10363">
        <v>10</v>
      </c>
      <c r="R10363" t="s">
        <v>47433</v>
      </c>
      <c r="S10363" t="s">
        <v>47682</v>
      </c>
      <c r="T10363" t="s">
        <v>49348</v>
      </c>
      <c r="U10363" t="s">
        <v>58127</v>
      </c>
      <c r="W10363" t="s">
        <v>46477</v>
      </c>
      <c r="X10363" t="s">
        <v>47434</v>
      </c>
    </row>
    <row r="10364" spans="1:24">
      <c r="A10364">
        <f>HYPERLINK("https://www.philgeps.gov.ph/GEPSNONPILOT/Tender/SplashBidNoticeAbstractUI.aspx?menuIndex=3&amp;refID=7139779&amp;Result=3","7139779")</f>
        <v>0</v>
      </c>
      <c r="B10364" t="s">
        <v>1657</v>
      </c>
      <c r="C10364" t="s">
        <v>13646</v>
      </c>
      <c r="E10364" t="s">
        <v>28012</v>
      </c>
      <c r="F10364" t="s">
        <v>32831</v>
      </c>
      <c r="G10364" t="s">
        <v>32839</v>
      </c>
      <c r="H10364" t="s">
        <v>32848</v>
      </c>
      <c r="I10364" t="s">
        <v>11727</v>
      </c>
      <c r="J10364" t="s">
        <v>33465</v>
      </c>
      <c r="K10364" t="s">
        <v>42747</v>
      </c>
      <c r="M10364" t="s">
        <v>44774</v>
      </c>
      <c r="N10364" t="s">
        <v>47424</v>
      </c>
      <c r="O10364" t="s">
        <v>47425</v>
      </c>
      <c r="P10364">
        <v>0</v>
      </c>
      <c r="Q10364">
        <v>2</v>
      </c>
      <c r="R10364" t="s">
        <v>47434</v>
      </c>
      <c r="S10364" t="s">
        <v>47677</v>
      </c>
      <c r="T10364" t="s">
        <v>49541</v>
      </c>
      <c r="U10364" t="s">
        <v>58182</v>
      </c>
      <c r="W10364" t="s">
        <v>46349</v>
      </c>
      <c r="X10364" t="s">
        <v>47440</v>
      </c>
    </row>
    <row r="10365" spans="1:24">
      <c r="A10365">
        <f>HYPERLINK("https://www.philgeps.gov.ph/GEPSNONPILOT/Tender/SplashBidNoticeAbstractUI.aspx?menuIndex=3&amp;refID=7152113&amp;Result=3","7152113")</f>
        <v>0</v>
      </c>
      <c r="B10365" t="s">
        <v>3184</v>
      </c>
      <c r="C10365" t="s">
        <v>13647</v>
      </c>
      <c r="D10365" t="s">
        <v>19034</v>
      </c>
      <c r="E10365" t="s">
        <v>28013</v>
      </c>
      <c r="F10365" t="s">
        <v>32831</v>
      </c>
      <c r="G10365" t="s">
        <v>32839</v>
      </c>
      <c r="H10365" t="s">
        <v>32848</v>
      </c>
      <c r="I10365" t="s">
        <v>7416</v>
      </c>
      <c r="J10365" t="s">
        <v>39372</v>
      </c>
      <c r="K10365" t="s">
        <v>42748</v>
      </c>
      <c r="M10365" t="s">
        <v>46492</v>
      </c>
      <c r="N10365" t="s">
        <v>47424</v>
      </c>
      <c r="O10365" t="s">
        <v>47425</v>
      </c>
      <c r="P10365">
        <v>0</v>
      </c>
      <c r="Q10365">
        <v>0</v>
      </c>
      <c r="R10365" t="s">
        <v>47433</v>
      </c>
      <c r="S10365" t="s">
        <v>47633</v>
      </c>
      <c r="T10365" t="s">
        <v>49214</v>
      </c>
      <c r="U10365" t="s">
        <v>58183</v>
      </c>
      <c r="W10365" t="s">
        <v>46492</v>
      </c>
      <c r="X10365" t="s">
        <v>47434</v>
      </c>
    </row>
    <row r="10366" spans="1:24">
      <c r="A10366">
        <f>HYPERLINK("https://www.philgeps.gov.ph/GEPSNONPILOT/Tender/SplashBidNoticeAbstractUI.aspx?menuIndex=3&amp;refID=7152183&amp;Result=3","7152183")</f>
        <v>0</v>
      </c>
      <c r="B10366" t="s">
        <v>3173</v>
      </c>
      <c r="C10366" t="s">
        <v>13648</v>
      </c>
      <c r="D10366" t="s">
        <v>19068</v>
      </c>
      <c r="E10366" t="s">
        <v>28014</v>
      </c>
      <c r="F10366" t="s">
        <v>32831</v>
      </c>
      <c r="G10366" t="s">
        <v>32839</v>
      </c>
      <c r="H10366" t="s">
        <v>32849</v>
      </c>
      <c r="I10366" t="s">
        <v>4177</v>
      </c>
      <c r="J10366" t="s">
        <v>39373</v>
      </c>
      <c r="K10366" t="s">
        <v>42770</v>
      </c>
      <c r="M10366" t="s">
        <v>46480</v>
      </c>
      <c r="N10366" t="s">
        <v>47424</v>
      </c>
      <c r="O10366" t="s">
        <v>47425</v>
      </c>
      <c r="P10366">
        <v>0</v>
      </c>
      <c r="Q10366">
        <v>0</v>
      </c>
      <c r="R10366" t="s">
        <v>47433</v>
      </c>
      <c r="S10366" t="s">
        <v>47633</v>
      </c>
      <c r="T10366" t="s">
        <v>49173</v>
      </c>
      <c r="U10366" t="s">
        <v>58184</v>
      </c>
      <c r="V10366" t="s">
        <v>63766</v>
      </c>
      <c r="W10366" t="s">
        <v>46480</v>
      </c>
      <c r="X10366" t="s">
        <v>47434</v>
      </c>
    </row>
    <row r="10367" spans="1:24">
      <c r="A10367">
        <f>HYPERLINK("https://www.philgeps.gov.ph/GEPSNONPILOT/Tender/SplashBidNoticeAbstractUI.aspx?menuIndex=3&amp;refID=7142739&amp;Result=3","7142739")</f>
        <v>0</v>
      </c>
      <c r="B10367" t="s">
        <v>3148</v>
      </c>
      <c r="C10367" t="s">
        <v>13649</v>
      </c>
      <c r="D10367" t="s">
        <v>19071</v>
      </c>
      <c r="E10367" t="s">
        <v>28015</v>
      </c>
      <c r="F10367" t="s">
        <v>32831</v>
      </c>
      <c r="G10367" t="s">
        <v>32839</v>
      </c>
      <c r="H10367" t="s">
        <v>32848</v>
      </c>
      <c r="I10367" t="s">
        <v>4177</v>
      </c>
      <c r="J10367" t="s">
        <v>39374</v>
      </c>
      <c r="K10367" t="s">
        <v>42770</v>
      </c>
      <c r="M10367" t="s">
        <v>46448</v>
      </c>
      <c r="N10367" t="s">
        <v>47424</v>
      </c>
      <c r="O10367" t="s">
        <v>47425</v>
      </c>
      <c r="P10367">
        <v>0</v>
      </c>
      <c r="Q10367">
        <v>1</v>
      </c>
      <c r="R10367" t="s">
        <v>47434</v>
      </c>
      <c r="S10367" t="s">
        <v>47677</v>
      </c>
      <c r="T10367" t="s">
        <v>49236</v>
      </c>
      <c r="U10367" t="s">
        <v>58185</v>
      </c>
      <c r="V10367" t="s">
        <v>63743</v>
      </c>
      <c r="W10367" t="s">
        <v>46448</v>
      </c>
      <c r="X10367" t="s">
        <v>47439</v>
      </c>
    </row>
    <row r="10368" spans="1:24">
      <c r="A10368">
        <f>HYPERLINK("https://www.philgeps.gov.ph/GEPSNONPILOT/Tender/SplashBidNoticeAbstractUI.aspx?menuIndex=3&amp;refID=7152165&amp;Result=3","7152165")</f>
        <v>0</v>
      </c>
      <c r="B10368" t="s">
        <v>3173</v>
      </c>
      <c r="C10368" t="s">
        <v>13650</v>
      </c>
      <c r="D10368" t="s">
        <v>19068</v>
      </c>
      <c r="E10368" t="s">
        <v>28016</v>
      </c>
      <c r="F10368" t="s">
        <v>32831</v>
      </c>
      <c r="G10368" t="s">
        <v>32839</v>
      </c>
      <c r="H10368" t="s">
        <v>32849</v>
      </c>
      <c r="I10368" t="s">
        <v>4177</v>
      </c>
      <c r="J10368" t="s">
        <v>38072</v>
      </c>
      <c r="K10368" t="s">
        <v>42763</v>
      </c>
      <c r="M10368" t="s">
        <v>46480</v>
      </c>
      <c r="N10368" t="s">
        <v>47424</v>
      </c>
      <c r="O10368" t="s">
        <v>47425</v>
      </c>
      <c r="P10368">
        <v>0</v>
      </c>
      <c r="Q10368">
        <v>0</v>
      </c>
      <c r="R10368" t="s">
        <v>47433</v>
      </c>
      <c r="S10368" t="s">
        <v>47633</v>
      </c>
      <c r="T10368" t="s">
        <v>49173</v>
      </c>
      <c r="U10368" t="s">
        <v>58186</v>
      </c>
      <c r="V10368" t="s">
        <v>63767</v>
      </c>
      <c r="W10368" t="s">
        <v>46480</v>
      </c>
      <c r="X10368" t="s">
        <v>47434</v>
      </c>
    </row>
    <row r="10369" spans="1:24">
      <c r="A10369">
        <f>HYPERLINK("https://www.philgeps.gov.ph/GEPSNONPILOT/Tender/SplashBidNoticeAbstractUI.aspx?menuIndex=3&amp;refID=7142698&amp;Result=3","7142698")</f>
        <v>0</v>
      </c>
      <c r="B10369" t="s">
        <v>3185</v>
      </c>
      <c r="C10369" t="s">
        <v>13651</v>
      </c>
      <c r="D10369" t="s">
        <v>19073</v>
      </c>
      <c r="E10369" t="s">
        <v>28017</v>
      </c>
      <c r="F10369" t="s">
        <v>32831</v>
      </c>
      <c r="G10369" t="s">
        <v>32839</v>
      </c>
      <c r="H10369" t="s">
        <v>32849</v>
      </c>
      <c r="I10369" t="s">
        <v>4177</v>
      </c>
      <c r="J10369" t="s">
        <v>39375</v>
      </c>
      <c r="K10369" t="s">
        <v>42732</v>
      </c>
      <c r="M10369" t="s">
        <v>46493</v>
      </c>
      <c r="N10369" t="s">
        <v>47424</v>
      </c>
      <c r="O10369" t="s">
        <v>47425</v>
      </c>
      <c r="P10369">
        <v>0</v>
      </c>
      <c r="Q10369">
        <v>0</v>
      </c>
      <c r="R10369" t="s">
        <v>47434</v>
      </c>
      <c r="S10369" t="s">
        <v>47677</v>
      </c>
      <c r="T10369" t="s">
        <v>49173</v>
      </c>
      <c r="U10369" t="s">
        <v>58187</v>
      </c>
      <c r="W10369" t="s">
        <v>46493</v>
      </c>
      <c r="X10369" t="s">
        <v>47439</v>
      </c>
    </row>
    <row r="10370" spans="1:24">
      <c r="A10370">
        <f>HYPERLINK("https://www.philgeps.gov.ph/GEPSNONPILOT/Tender/SplashBidNoticeAbstractUI.aspx?menuIndex=3&amp;refID=7136796&amp;Result=3","7136796")</f>
        <v>0</v>
      </c>
      <c r="B10370" t="s">
        <v>3179</v>
      </c>
      <c r="C10370" t="s">
        <v>13652</v>
      </c>
      <c r="E10370" t="s">
        <v>28018</v>
      </c>
      <c r="F10370" t="s">
        <v>32831</v>
      </c>
      <c r="G10370" t="s">
        <v>32839</v>
      </c>
      <c r="H10370" t="s">
        <v>32849</v>
      </c>
      <c r="I10370" t="s">
        <v>4177</v>
      </c>
      <c r="J10370" t="s">
        <v>39376</v>
      </c>
      <c r="K10370" t="s">
        <v>42729</v>
      </c>
      <c r="M10370" t="s">
        <v>46486</v>
      </c>
      <c r="N10370" t="s">
        <v>47424</v>
      </c>
      <c r="O10370" t="s">
        <v>47425</v>
      </c>
      <c r="P10370">
        <v>0</v>
      </c>
      <c r="Q10370">
        <v>0</v>
      </c>
      <c r="R10370" t="s">
        <v>47434</v>
      </c>
      <c r="S10370" t="s">
        <v>47677</v>
      </c>
      <c r="T10370" t="s">
        <v>49173</v>
      </c>
      <c r="U10370" t="s">
        <v>58154</v>
      </c>
      <c r="W10370" t="s">
        <v>46486</v>
      </c>
      <c r="X10370" t="s">
        <v>47441</v>
      </c>
    </row>
    <row r="10371" spans="1:24">
      <c r="A10371">
        <f>HYPERLINK("https://www.philgeps.gov.ph/GEPSNONPILOT/Tender/SplashBidNoticeAbstractUI.aspx?menuIndex=3&amp;refID=7142666&amp;Result=3","7142666")</f>
        <v>0</v>
      </c>
      <c r="B10371" t="s">
        <v>3148</v>
      </c>
      <c r="C10371" t="s">
        <v>13653</v>
      </c>
      <c r="D10371" t="s">
        <v>19071</v>
      </c>
      <c r="E10371" t="s">
        <v>28019</v>
      </c>
      <c r="F10371" t="s">
        <v>32831</v>
      </c>
      <c r="G10371" t="s">
        <v>32839</v>
      </c>
      <c r="H10371" t="s">
        <v>32849</v>
      </c>
      <c r="I10371" t="s">
        <v>4177</v>
      </c>
      <c r="J10371" t="s">
        <v>33083</v>
      </c>
      <c r="K10371" t="s">
        <v>42729</v>
      </c>
      <c r="M10371" t="s">
        <v>46448</v>
      </c>
      <c r="N10371" t="s">
        <v>47424</v>
      </c>
      <c r="O10371" t="s">
        <v>47425</v>
      </c>
      <c r="P10371">
        <v>0</v>
      </c>
      <c r="Q10371">
        <v>1</v>
      </c>
      <c r="R10371" t="s">
        <v>47434</v>
      </c>
      <c r="S10371" t="s">
        <v>47677</v>
      </c>
      <c r="T10371" t="s">
        <v>49236</v>
      </c>
      <c r="U10371" t="s">
        <v>58188</v>
      </c>
      <c r="V10371" t="s">
        <v>63768</v>
      </c>
      <c r="W10371" t="s">
        <v>46448</v>
      </c>
      <c r="X10371" t="s">
        <v>47439</v>
      </c>
    </row>
    <row r="10372" spans="1:24">
      <c r="A10372">
        <f>HYPERLINK("https://www.philgeps.gov.ph/GEPSNONPILOT/Tender/SplashBidNoticeAbstractUI.aspx?menuIndex=3&amp;refID=7142598&amp;Result=3","7142598")</f>
        <v>0</v>
      </c>
      <c r="B10372" t="s">
        <v>95</v>
      </c>
      <c r="C10372" t="s">
        <v>13654</v>
      </c>
      <c r="D10372" t="s">
        <v>19032</v>
      </c>
      <c r="E10372" t="s">
        <v>28020</v>
      </c>
      <c r="F10372" t="s">
        <v>32831</v>
      </c>
      <c r="G10372" t="s">
        <v>32839</v>
      </c>
      <c r="H10372" t="s">
        <v>32849</v>
      </c>
      <c r="I10372" t="s">
        <v>4177</v>
      </c>
      <c r="J10372" t="s">
        <v>39377</v>
      </c>
      <c r="K10372" t="s">
        <v>42914</v>
      </c>
      <c r="M10372" t="s">
        <v>46393</v>
      </c>
      <c r="N10372" t="s">
        <v>47424</v>
      </c>
      <c r="O10372" t="s">
        <v>47425</v>
      </c>
      <c r="P10372">
        <v>0</v>
      </c>
      <c r="Q10372">
        <v>0</v>
      </c>
      <c r="R10372" t="s">
        <v>47434</v>
      </c>
      <c r="S10372" t="s">
        <v>47677</v>
      </c>
      <c r="T10372" t="s">
        <v>49166</v>
      </c>
      <c r="U10372" t="s">
        <v>58189</v>
      </c>
      <c r="W10372" t="s">
        <v>46393</v>
      </c>
      <c r="X10372" t="s">
        <v>47439</v>
      </c>
    </row>
    <row r="10373" spans="1:24">
      <c r="A10373">
        <f>HYPERLINK("https://www.philgeps.gov.ph/GEPSNONPILOT/Tender/SplashBidNoticeAbstractUI.aspx?menuIndex=3&amp;refID=7142544&amp;Result=3","7142544")</f>
        <v>0</v>
      </c>
      <c r="B10373" t="s">
        <v>2170</v>
      </c>
      <c r="C10373" t="s">
        <v>13655</v>
      </c>
      <c r="D10373" t="s">
        <v>19066</v>
      </c>
      <c r="E10373" t="s">
        <v>28021</v>
      </c>
      <c r="F10373" t="s">
        <v>32831</v>
      </c>
      <c r="G10373" t="s">
        <v>32838</v>
      </c>
      <c r="H10373" t="s">
        <v>32848</v>
      </c>
      <c r="I10373" t="s">
        <v>32870</v>
      </c>
      <c r="J10373" t="s">
        <v>39378</v>
      </c>
      <c r="K10373" t="s">
        <v>42726</v>
      </c>
      <c r="M10373" t="s">
        <v>46494</v>
      </c>
      <c r="N10373" t="s">
        <v>47424</v>
      </c>
      <c r="O10373" t="s">
        <v>47425</v>
      </c>
      <c r="P10373">
        <v>0</v>
      </c>
      <c r="Q10373">
        <v>0</v>
      </c>
      <c r="R10373" t="s">
        <v>47434</v>
      </c>
      <c r="S10373" t="s">
        <v>47677</v>
      </c>
      <c r="T10373" t="s">
        <v>49111</v>
      </c>
      <c r="U10373" t="s">
        <v>58190</v>
      </c>
      <c r="W10373" t="s">
        <v>46494</v>
      </c>
      <c r="X10373" t="s">
        <v>47439</v>
      </c>
    </row>
    <row r="10374" spans="1:24">
      <c r="A10374">
        <f>HYPERLINK("https://www.philgeps.gov.ph/GEPSNONPILOT/Tender/SplashBidNoticeAbstractUI.aspx?menuIndex=3&amp;refID=7142632&amp;Result=3","7142632")</f>
        <v>0</v>
      </c>
      <c r="B10374" t="s">
        <v>2170</v>
      </c>
      <c r="C10374" t="s">
        <v>13656</v>
      </c>
      <c r="D10374" t="s">
        <v>19066</v>
      </c>
      <c r="E10374" t="s">
        <v>28022</v>
      </c>
      <c r="F10374" t="s">
        <v>32831</v>
      </c>
      <c r="G10374" t="s">
        <v>32842</v>
      </c>
      <c r="H10374" t="s">
        <v>32848</v>
      </c>
      <c r="I10374" t="s">
        <v>32867</v>
      </c>
      <c r="J10374" t="s">
        <v>34818</v>
      </c>
      <c r="K10374" t="s">
        <v>42726</v>
      </c>
      <c r="M10374" t="s">
        <v>46494</v>
      </c>
      <c r="N10374" t="s">
        <v>47424</v>
      </c>
      <c r="O10374" t="s">
        <v>47425</v>
      </c>
      <c r="P10374">
        <v>0</v>
      </c>
      <c r="Q10374">
        <v>1</v>
      </c>
      <c r="R10374" t="s">
        <v>47434</v>
      </c>
      <c r="S10374" t="s">
        <v>47677</v>
      </c>
      <c r="T10374" t="s">
        <v>49111</v>
      </c>
      <c r="U10374" t="s">
        <v>58191</v>
      </c>
      <c r="W10374" t="s">
        <v>46494</v>
      </c>
      <c r="X10374" t="s">
        <v>47439</v>
      </c>
    </row>
    <row r="10375" spans="1:24">
      <c r="A10375">
        <f>HYPERLINK("https://www.philgeps.gov.ph/GEPSNONPILOT/Tender/SplashBidNoticeAbstractUI.aspx?menuIndex=3&amp;refID=7142614&amp;Result=3","7142614")</f>
        <v>0</v>
      </c>
      <c r="B10375" t="s">
        <v>3148</v>
      </c>
      <c r="C10375" t="s">
        <v>13657</v>
      </c>
      <c r="D10375" t="s">
        <v>19071</v>
      </c>
      <c r="E10375" t="s">
        <v>28023</v>
      </c>
      <c r="F10375" t="s">
        <v>32831</v>
      </c>
      <c r="G10375" t="s">
        <v>32839</v>
      </c>
      <c r="H10375" t="s">
        <v>32848</v>
      </c>
      <c r="I10375" t="s">
        <v>7416</v>
      </c>
      <c r="J10375" t="s">
        <v>39379</v>
      </c>
      <c r="K10375" t="s">
        <v>42731</v>
      </c>
      <c r="M10375" t="s">
        <v>46448</v>
      </c>
      <c r="N10375" t="s">
        <v>47424</v>
      </c>
      <c r="O10375" t="s">
        <v>47425</v>
      </c>
      <c r="P10375">
        <v>0</v>
      </c>
      <c r="Q10375">
        <v>1</v>
      </c>
      <c r="R10375" t="s">
        <v>47434</v>
      </c>
      <c r="S10375" t="s">
        <v>47677</v>
      </c>
      <c r="T10375" t="s">
        <v>49237</v>
      </c>
      <c r="U10375" t="s">
        <v>58192</v>
      </c>
      <c r="V10375" t="s">
        <v>63743</v>
      </c>
      <c r="W10375" t="s">
        <v>46448</v>
      </c>
      <c r="X10375" t="s">
        <v>47439</v>
      </c>
    </row>
    <row r="10376" spans="1:24">
      <c r="A10376">
        <f>HYPERLINK("https://www.philgeps.gov.ph/GEPSNONPILOT/Tender/SplashBidNoticeAbstractUI.aspx?menuIndex=3&amp;refID=7142216&amp;Result=3","7142216")</f>
        <v>0</v>
      </c>
      <c r="B10376" t="s">
        <v>2170</v>
      </c>
      <c r="C10376" t="s">
        <v>13658</v>
      </c>
      <c r="D10376" t="s">
        <v>19066</v>
      </c>
      <c r="E10376" t="s">
        <v>28024</v>
      </c>
      <c r="F10376" t="s">
        <v>32831</v>
      </c>
      <c r="G10376" t="s">
        <v>32842</v>
      </c>
      <c r="H10376" t="s">
        <v>32848</v>
      </c>
      <c r="I10376" t="s">
        <v>4487</v>
      </c>
      <c r="J10376" t="s">
        <v>34940</v>
      </c>
      <c r="K10376" t="s">
        <v>42726</v>
      </c>
      <c r="M10376" t="s">
        <v>46494</v>
      </c>
      <c r="N10376" t="s">
        <v>47424</v>
      </c>
      <c r="O10376" t="s">
        <v>47425</v>
      </c>
      <c r="P10376">
        <v>0</v>
      </c>
      <c r="Q10376">
        <v>2</v>
      </c>
      <c r="R10376" t="s">
        <v>47434</v>
      </c>
      <c r="S10376" t="s">
        <v>47677</v>
      </c>
      <c r="T10376" t="s">
        <v>49111</v>
      </c>
      <c r="U10376" t="s">
        <v>58193</v>
      </c>
      <c r="W10376" t="s">
        <v>46494</v>
      </c>
      <c r="X10376" t="s">
        <v>47439</v>
      </c>
    </row>
    <row r="10377" spans="1:24">
      <c r="A10377">
        <f>HYPERLINK("https://www.philgeps.gov.ph/GEPSNONPILOT/Tender/SplashBidNoticeAbstractUI.aspx?menuIndex=3&amp;refID=7142559&amp;Result=3","7142559")</f>
        <v>0</v>
      </c>
      <c r="B10377" t="s">
        <v>3148</v>
      </c>
      <c r="C10377" t="s">
        <v>13657</v>
      </c>
      <c r="D10377" t="s">
        <v>19071</v>
      </c>
      <c r="E10377" t="s">
        <v>28025</v>
      </c>
      <c r="F10377" t="s">
        <v>32831</v>
      </c>
      <c r="G10377" t="s">
        <v>32839</v>
      </c>
      <c r="H10377" t="s">
        <v>32848</v>
      </c>
      <c r="I10377" t="s">
        <v>32855</v>
      </c>
      <c r="J10377" t="s">
        <v>39380</v>
      </c>
      <c r="K10377" t="s">
        <v>42731</v>
      </c>
      <c r="M10377" t="s">
        <v>46448</v>
      </c>
      <c r="N10377" t="s">
        <v>47424</v>
      </c>
      <c r="O10377" t="s">
        <v>47425</v>
      </c>
      <c r="P10377">
        <v>0</v>
      </c>
      <c r="Q10377">
        <v>1</v>
      </c>
      <c r="R10377" t="s">
        <v>47434</v>
      </c>
      <c r="S10377" t="s">
        <v>47677</v>
      </c>
      <c r="T10377" t="s">
        <v>49237</v>
      </c>
      <c r="U10377" t="s">
        <v>58194</v>
      </c>
      <c r="V10377" t="s">
        <v>63743</v>
      </c>
      <c r="W10377" t="s">
        <v>46448</v>
      </c>
      <c r="X10377" t="s">
        <v>47439</v>
      </c>
    </row>
    <row r="10378" spans="1:24">
      <c r="A10378">
        <f>HYPERLINK("https://www.philgeps.gov.ph/GEPSNONPILOT/Tender/SplashBidNoticeAbstractUI.aspx?menuIndex=3&amp;refID=7142191&amp;Result=3","7142191")</f>
        <v>0</v>
      </c>
      <c r="B10378" t="s">
        <v>95</v>
      </c>
      <c r="C10378" t="s">
        <v>13659</v>
      </c>
      <c r="D10378" t="s">
        <v>19032</v>
      </c>
      <c r="E10378" t="s">
        <v>28026</v>
      </c>
      <c r="F10378" t="s">
        <v>32831</v>
      </c>
      <c r="G10378" t="s">
        <v>32839</v>
      </c>
      <c r="H10378" t="s">
        <v>32849</v>
      </c>
      <c r="I10378" t="s">
        <v>4177</v>
      </c>
      <c r="J10378" t="s">
        <v>39381</v>
      </c>
      <c r="K10378" t="s">
        <v>42868</v>
      </c>
      <c r="M10378" t="s">
        <v>46393</v>
      </c>
      <c r="N10378" t="s">
        <v>47424</v>
      </c>
      <c r="O10378" t="s">
        <v>47425</v>
      </c>
      <c r="P10378">
        <v>0</v>
      </c>
      <c r="Q10378">
        <v>0</v>
      </c>
      <c r="R10378" t="s">
        <v>47434</v>
      </c>
      <c r="S10378" t="s">
        <v>47677</v>
      </c>
      <c r="T10378" t="s">
        <v>49166</v>
      </c>
      <c r="U10378" t="s">
        <v>58195</v>
      </c>
      <c r="W10378" t="s">
        <v>46393</v>
      </c>
      <c r="X10378" t="s">
        <v>47439</v>
      </c>
    </row>
    <row r="10379" spans="1:24">
      <c r="A10379">
        <f>HYPERLINK("https://www.philgeps.gov.ph/GEPSNONPILOT/Tender/SplashBidNoticeAbstractUI.aspx?menuIndex=3&amp;refID=7152076&amp;Result=3","7152076")</f>
        <v>0</v>
      </c>
      <c r="B10379" t="s">
        <v>2933</v>
      </c>
      <c r="C10379" t="s">
        <v>13660</v>
      </c>
      <c r="D10379" t="s">
        <v>19095</v>
      </c>
      <c r="E10379" t="s">
        <v>21459</v>
      </c>
      <c r="F10379" t="s">
        <v>32831</v>
      </c>
      <c r="G10379" t="s">
        <v>32839</v>
      </c>
      <c r="H10379" t="s">
        <v>32848</v>
      </c>
      <c r="I10379" t="s">
        <v>4776</v>
      </c>
      <c r="J10379" t="s">
        <v>36171</v>
      </c>
      <c r="K10379" t="s">
        <v>42731</v>
      </c>
      <c r="M10379" t="s">
        <v>46189</v>
      </c>
      <c r="N10379" t="s">
        <v>47424</v>
      </c>
      <c r="O10379" t="s">
        <v>47425</v>
      </c>
      <c r="P10379">
        <v>0</v>
      </c>
      <c r="Q10379">
        <v>1</v>
      </c>
      <c r="R10379" t="s">
        <v>47433</v>
      </c>
      <c r="S10379" t="s">
        <v>47633</v>
      </c>
      <c r="T10379" t="s">
        <v>49138</v>
      </c>
      <c r="U10379" t="s">
        <v>58196</v>
      </c>
      <c r="W10379" t="s">
        <v>46189</v>
      </c>
      <c r="X10379" t="s">
        <v>47434</v>
      </c>
    </row>
    <row r="10380" spans="1:24">
      <c r="A10380">
        <f>HYPERLINK("https://www.philgeps.gov.ph/GEPSNONPILOT/Tender/SplashBidNoticeAbstractUI.aspx?menuIndex=3&amp;refID=7142378&amp;Result=3","7142378")</f>
        <v>0</v>
      </c>
      <c r="B10380" t="s">
        <v>95</v>
      </c>
      <c r="C10380" t="s">
        <v>13661</v>
      </c>
      <c r="D10380" t="s">
        <v>19032</v>
      </c>
      <c r="E10380" t="s">
        <v>28027</v>
      </c>
      <c r="F10380" t="s">
        <v>32831</v>
      </c>
      <c r="G10380" t="s">
        <v>32839</v>
      </c>
      <c r="H10380" t="s">
        <v>32848</v>
      </c>
      <c r="I10380" t="s">
        <v>7416</v>
      </c>
      <c r="J10380" t="s">
        <v>39382</v>
      </c>
      <c r="K10380" t="s">
        <v>42727</v>
      </c>
      <c r="M10380" t="s">
        <v>46393</v>
      </c>
      <c r="N10380" t="s">
        <v>47424</v>
      </c>
      <c r="O10380" t="s">
        <v>47425</v>
      </c>
      <c r="P10380">
        <v>0</v>
      </c>
      <c r="Q10380">
        <v>0</v>
      </c>
      <c r="R10380" t="s">
        <v>47434</v>
      </c>
      <c r="S10380" t="s">
        <v>47677</v>
      </c>
      <c r="T10380" t="s">
        <v>49166</v>
      </c>
      <c r="U10380" t="s">
        <v>58197</v>
      </c>
      <c r="W10380" t="s">
        <v>46393</v>
      </c>
      <c r="X10380" t="s">
        <v>47439</v>
      </c>
    </row>
    <row r="10381" spans="1:24">
      <c r="A10381">
        <f>HYPERLINK("https://www.philgeps.gov.ph/GEPSNONPILOT/Tender/SplashBidNoticeAbstractUI.aspx?menuIndex=3&amp;refID=7145291&amp;Result=3","7145291")</f>
        <v>0</v>
      </c>
      <c r="B10381" t="s">
        <v>2615</v>
      </c>
      <c r="C10381" t="s">
        <v>13662</v>
      </c>
      <c r="D10381" t="s">
        <v>19043</v>
      </c>
      <c r="E10381" t="s">
        <v>28028</v>
      </c>
      <c r="F10381" t="s">
        <v>32831</v>
      </c>
      <c r="G10381" t="s">
        <v>32839</v>
      </c>
      <c r="H10381" t="s">
        <v>32849</v>
      </c>
      <c r="I10381" t="s">
        <v>4177</v>
      </c>
      <c r="J10381" t="s">
        <v>39383</v>
      </c>
      <c r="K10381" t="s">
        <v>42792</v>
      </c>
      <c r="M10381" t="s">
        <v>45834</v>
      </c>
      <c r="N10381" t="s">
        <v>47424</v>
      </c>
      <c r="O10381" t="s">
        <v>47425</v>
      </c>
      <c r="P10381">
        <v>0</v>
      </c>
      <c r="Q10381">
        <v>1</v>
      </c>
      <c r="R10381" t="s">
        <v>47434</v>
      </c>
      <c r="S10381" t="s">
        <v>47677</v>
      </c>
      <c r="T10381" t="s">
        <v>49173</v>
      </c>
      <c r="U10381" t="s">
        <v>58198</v>
      </c>
      <c r="V10381" t="s">
        <v>63489</v>
      </c>
      <c r="W10381" t="s">
        <v>45834</v>
      </c>
      <c r="X10381" t="s">
        <v>47438</v>
      </c>
    </row>
    <row r="10382" spans="1:24">
      <c r="A10382">
        <f>HYPERLINK("https://www.philgeps.gov.ph/GEPSNONPILOT/Tender/SplashBidNoticeAbstractUI.aspx?menuIndex=3&amp;refID=7145207&amp;Result=3","7145207")</f>
        <v>0</v>
      </c>
      <c r="B10382" t="s">
        <v>3186</v>
      </c>
      <c r="C10382" t="s">
        <v>13663</v>
      </c>
      <c r="D10382" t="s">
        <v>19080</v>
      </c>
      <c r="E10382" t="s">
        <v>19130</v>
      </c>
      <c r="F10382" t="s">
        <v>32831</v>
      </c>
      <c r="G10382" t="s">
        <v>32839</v>
      </c>
      <c r="H10382" t="s">
        <v>32848</v>
      </c>
      <c r="I10382" t="s">
        <v>7416</v>
      </c>
      <c r="J10382" t="s">
        <v>39384</v>
      </c>
      <c r="K10382" t="s">
        <v>42726</v>
      </c>
      <c r="M10382" t="s">
        <v>46495</v>
      </c>
      <c r="N10382" t="s">
        <v>47424</v>
      </c>
      <c r="O10382" t="s">
        <v>47425</v>
      </c>
      <c r="P10382">
        <v>0</v>
      </c>
      <c r="Q10382">
        <v>0</v>
      </c>
      <c r="R10382" t="s">
        <v>47434</v>
      </c>
      <c r="S10382" t="s">
        <v>47677</v>
      </c>
      <c r="T10382" t="s">
        <v>49154</v>
      </c>
      <c r="U10382" t="s">
        <v>58199</v>
      </c>
      <c r="W10382" t="s">
        <v>46495</v>
      </c>
      <c r="X10382" t="s">
        <v>47438</v>
      </c>
    </row>
    <row r="10383" spans="1:24">
      <c r="A10383">
        <f>HYPERLINK("https://www.philgeps.gov.ph/GEPSNONPILOT/Tender/SplashBidNoticeAbstractUI.aspx?menuIndex=3&amp;refID=7145038&amp;Result=3","7145038")</f>
        <v>0</v>
      </c>
      <c r="B10383" t="s">
        <v>3187</v>
      </c>
      <c r="C10383" t="s">
        <v>13664</v>
      </c>
      <c r="D10383" t="s">
        <v>19017</v>
      </c>
      <c r="E10383" t="s">
        <v>28029</v>
      </c>
      <c r="F10383" t="s">
        <v>32831</v>
      </c>
      <c r="G10383" t="s">
        <v>32839</v>
      </c>
      <c r="H10383" t="s">
        <v>32848</v>
      </c>
      <c r="I10383" t="s">
        <v>4438</v>
      </c>
      <c r="J10383" t="s">
        <v>39385</v>
      </c>
      <c r="K10383" t="s">
        <v>42732</v>
      </c>
      <c r="M10383" t="s">
        <v>46496</v>
      </c>
      <c r="N10383" t="s">
        <v>47424</v>
      </c>
      <c r="O10383" t="s">
        <v>47425</v>
      </c>
      <c r="P10383">
        <v>0</v>
      </c>
      <c r="Q10383">
        <v>6</v>
      </c>
      <c r="R10383" t="s">
        <v>47434</v>
      </c>
      <c r="S10383" t="s">
        <v>47677</v>
      </c>
      <c r="T10383" t="s">
        <v>49138</v>
      </c>
      <c r="U10383" t="s">
        <v>58200</v>
      </c>
      <c r="W10383" t="s">
        <v>46496</v>
      </c>
      <c r="X10383" t="s">
        <v>47439</v>
      </c>
    </row>
    <row r="10384" spans="1:24">
      <c r="A10384">
        <f>HYPERLINK("https://www.philgeps.gov.ph/GEPSNONPILOT/Tender/SplashBidNoticeAbstractUI.aspx?menuIndex=3&amp;refID=7144715&amp;Result=3","7144715")</f>
        <v>0</v>
      </c>
      <c r="B10384" t="s">
        <v>3187</v>
      </c>
      <c r="C10384" t="s">
        <v>13665</v>
      </c>
      <c r="D10384" t="s">
        <v>19017</v>
      </c>
      <c r="E10384" t="s">
        <v>28030</v>
      </c>
      <c r="F10384" t="s">
        <v>32831</v>
      </c>
      <c r="G10384" t="s">
        <v>32839</v>
      </c>
      <c r="H10384" t="s">
        <v>32848</v>
      </c>
      <c r="I10384" t="s">
        <v>32864</v>
      </c>
      <c r="J10384" t="s">
        <v>39386</v>
      </c>
      <c r="K10384" t="s">
        <v>42732</v>
      </c>
      <c r="M10384" t="s">
        <v>46496</v>
      </c>
      <c r="N10384" t="s">
        <v>47424</v>
      </c>
      <c r="O10384" t="s">
        <v>47425</v>
      </c>
      <c r="P10384">
        <v>0</v>
      </c>
      <c r="Q10384">
        <v>9</v>
      </c>
      <c r="R10384" t="s">
        <v>47434</v>
      </c>
      <c r="S10384" t="s">
        <v>47677</v>
      </c>
      <c r="T10384" t="s">
        <v>49138</v>
      </c>
      <c r="U10384" t="s">
        <v>58201</v>
      </c>
      <c r="W10384" t="s">
        <v>46496</v>
      </c>
      <c r="X10384" t="s">
        <v>47439</v>
      </c>
    </row>
    <row r="10385" spans="1:24">
      <c r="A10385">
        <f>HYPERLINK("https://www.philgeps.gov.ph/GEPSNONPILOT/Tender/SplashBidNoticeAbstractUI.aspx?menuIndex=3&amp;refID=7144696&amp;Result=3","7144696")</f>
        <v>0</v>
      </c>
      <c r="B10385" t="s">
        <v>2615</v>
      </c>
      <c r="C10385" t="s">
        <v>13666</v>
      </c>
      <c r="D10385" t="s">
        <v>19043</v>
      </c>
      <c r="E10385" t="s">
        <v>28031</v>
      </c>
      <c r="F10385" t="s">
        <v>32831</v>
      </c>
      <c r="G10385" t="s">
        <v>32839</v>
      </c>
      <c r="H10385" t="s">
        <v>32849</v>
      </c>
      <c r="I10385" t="s">
        <v>4177</v>
      </c>
      <c r="J10385" t="s">
        <v>33111</v>
      </c>
      <c r="K10385" t="s">
        <v>42922</v>
      </c>
      <c r="M10385" t="s">
        <v>45834</v>
      </c>
      <c r="N10385" t="s">
        <v>47424</v>
      </c>
      <c r="O10385" t="s">
        <v>47425</v>
      </c>
      <c r="P10385">
        <v>0</v>
      </c>
      <c r="Q10385">
        <v>2</v>
      </c>
      <c r="R10385" t="s">
        <v>47434</v>
      </c>
      <c r="S10385" t="s">
        <v>47677</v>
      </c>
      <c r="T10385" t="s">
        <v>49173</v>
      </c>
      <c r="U10385" t="s">
        <v>58202</v>
      </c>
      <c r="V10385" t="s">
        <v>63489</v>
      </c>
      <c r="W10385" t="s">
        <v>45834</v>
      </c>
      <c r="X10385" t="s">
        <v>47439</v>
      </c>
    </row>
    <row r="10386" spans="1:24">
      <c r="A10386">
        <f>HYPERLINK("https://www.philgeps.gov.ph/GEPSNONPILOT/Tender/SplashBidNoticeAbstractUI.aspx?menuIndex=3&amp;refID=7142497&amp;Result=3","7142497")</f>
        <v>0</v>
      </c>
      <c r="B10386" t="s">
        <v>95</v>
      </c>
      <c r="C10386" t="s">
        <v>13667</v>
      </c>
      <c r="D10386" t="s">
        <v>19032</v>
      </c>
      <c r="E10386" t="s">
        <v>28032</v>
      </c>
      <c r="F10386" t="s">
        <v>32831</v>
      </c>
      <c r="G10386" t="s">
        <v>32839</v>
      </c>
      <c r="H10386" t="s">
        <v>32848</v>
      </c>
      <c r="I10386" t="s">
        <v>7416</v>
      </c>
      <c r="J10386" t="s">
        <v>39387</v>
      </c>
      <c r="K10386" t="s">
        <v>42727</v>
      </c>
      <c r="M10386" t="s">
        <v>46393</v>
      </c>
      <c r="N10386" t="s">
        <v>47424</v>
      </c>
      <c r="O10386" t="s">
        <v>47425</v>
      </c>
      <c r="P10386">
        <v>0</v>
      </c>
      <c r="Q10386">
        <v>0</v>
      </c>
      <c r="R10386" t="s">
        <v>47434</v>
      </c>
      <c r="S10386" t="s">
        <v>47677</v>
      </c>
      <c r="T10386" t="s">
        <v>49166</v>
      </c>
      <c r="U10386" t="s">
        <v>58203</v>
      </c>
      <c r="W10386" t="s">
        <v>46393</v>
      </c>
      <c r="X10386" t="s">
        <v>47439</v>
      </c>
    </row>
    <row r="10387" spans="1:24">
      <c r="A10387">
        <f>HYPERLINK("https://www.philgeps.gov.ph/GEPSNONPILOT/Tender/SplashBidNoticeAbstractUI.aspx?menuIndex=3&amp;refID=7145208&amp;Result=3","7145208")</f>
        <v>0</v>
      </c>
      <c r="B10387" t="s">
        <v>3186</v>
      </c>
      <c r="C10387" t="s">
        <v>13668</v>
      </c>
      <c r="D10387" t="s">
        <v>19022</v>
      </c>
      <c r="E10387" t="s">
        <v>19937</v>
      </c>
      <c r="F10387" t="s">
        <v>32831</v>
      </c>
      <c r="G10387" t="s">
        <v>32839</v>
      </c>
      <c r="H10387" t="s">
        <v>32848</v>
      </c>
      <c r="I10387" t="s">
        <v>7416</v>
      </c>
      <c r="J10387" t="s">
        <v>39388</v>
      </c>
      <c r="K10387" t="s">
        <v>42726</v>
      </c>
      <c r="M10387" t="s">
        <v>46495</v>
      </c>
      <c r="N10387" t="s">
        <v>47424</v>
      </c>
      <c r="O10387" t="s">
        <v>47425</v>
      </c>
      <c r="P10387">
        <v>0</v>
      </c>
      <c r="Q10387">
        <v>0</v>
      </c>
      <c r="R10387" t="s">
        <v>47434</v>
      </c>
      <c r="S10387" t="s">
        <v>47677</v>
      </c>
      <c r="T10387" t="s">
        <v>49559</v>
      </c>
      <c r="U10387" t="s">
        <v>58204</v>
      </c>
      <c r="W10387" t="s">
        <v>46495</v>
      </c>
      <c r="X10387" t="s">
        <v>47438</v>
      </c>
    </row>
    <row r="10388" spans="1:24">
      <c r="A10388">
        <f>HYPERLINK("https://www.philgeps.gov.ph/GEPSNONPILOT/Tender/SplashBidNoticeAbstractUI.aspx?menuIndex=3&amp;refID=7144557&amp;Result=3","7144557")</f>
        <v>0</v>
      </c>
      <c r="B10388" t="s">
        <v>2615</v>
      </c>
      <c r="C10388" t="s">
        <v>13669</v>
      </c>
      <c r="D10388" t="s">
        <v>19043</v>
      </c>
      <c r="E10388" t="s">
        <v>28033</v>
      </c>
      <c r="F10388" t="s">
        <v>32831</v>
      </c>
      <c r="G10388" t="s">
        <v>32839</v>
      </c>
      <c r="H10388" t="s">
        <v>32849</v>
      </c>
      <c r="I10388" t="s">
        <v>4177</v>
      </c>
      <c r="J10388" t="s">
        <v>39389</v>
      </c>
      <c r="K10388" t="s">
        <v>42911</v>
      </c>
      <c r="M10388" t="s">
        <v>45834</v>
      </c>
      <c r="N10388" t="s">
        <v>47424</v>
      </c>
      <c r="O10388" t="s">
        <v>47425</v>
      </c>
      <c r="P10388">
        <v>0</v>
      </c>
      <c r="Q10388">
        <v>3</v>
      </c>
      <c r="R10388" t="s">
        <v>47434</v>
      </c>
      <c r="S10388" t="s">
        <v>47677</v>
      </c>
      <c r="T10388" t="s">
        <v>49173</v>
      </c>
      <c r="U10388" t="s">
        <v>58205</v>
      </c>
      <c r="V10388" t="s">
        <v>63489</v>
      </c>
      <c r="W10388" t="s">
        <v>45834</v>
      </c>
      <c r="X10388" t="s">
        <v>47439</v>
      </c>
    </row>
    <row r="10389" spans="1:24">
      <c r="A10389">
        <f>HYPERLINK("https://www.philgeps.gov.ph/GEPSNONPILOT/Tender/SplashBidNoticeAbstractUI.aspx?menuIndex=3&amp;refID=7144751&amp;Result=3","7144751")</f>
        <v>0</v>
      </c>
      <c r="B10389" t="s">
        <v>3187</v>
      </c>
      <c r="C10389" t="s">
        <v>13670</v>
      </c>
      <c r="D10389" t="s">
        <v>19017</v>
      </c>
      <c r="E10389" t="s">
        <v>28034</v>
      </c>
      <c r="F10389" t="s">
        <v>32831</v>
      </c>
      <c r="G10389" t="s">
        <v>32839</v>
      </c>
      <c r="H10389" t="s">
        <v>32848</v>
      </c>
      <c r="I10389" t="s">
        <v>32853</v>
      </c>
      <c r="J10389" t="s">
        <v>39390</v>
      </c>
      <c r="K10389" t="s">
        <v>42732</v>
      </c>
      <c r="M10389" t="s">
        <v>46496</v>
      </c>
      <c r="N10389" t="s">
        <v>47424</v>
      </c>
      <c r="O10389" t="s">
        <v>47425</v>
      </c>
      <c r="P10389">
        <v>0</v>
      </c>
      <c r="Q10389">
        <v>2</v>
      </c>
      <c r="R10389" t="s">
        <v>47434</v>
      </c>
      <c r="S10389" t="s">
        <v>47677</v>
      </c>
      <c r="T10389" t="s">
        <v>49138</v>
      </c>
      <c r="U10389" t="s">
        <v>58206</v>
      </c>
      <c r="W10389" t="s">
        <v>46496</v>
      </c>
      <c r="X10389" t="s">
        <v>47439</v>
      </c>
    </row>
    <row r="10390" spans="1:24">
      <c r="A10390">
        <f>HYPERLINK("https://www.philgeps.gov.ph/GEPSNONPILOT/Tender/SplashBidNoticeAbstractUI.aspx?menuIndex=3&amp;refID=7143769&amp;Result=3","7143769")</f>
        <v>0</v>
      </c>
      <c r="B10390" t="s">
        <v>207</v>
      </c>
      <c r="C10390" t="s">
        <v>13671</v>
      </c>
      <c r="D10390" t="s">
        <v>19050</v>
      </c>
      <c r="E10390" t="s">
        <v>28035</v>
      </c>
      <c r="F10390" t="s">
        <v>32831</v>
      </c>
      <c r="G10390" t="s">
        <v>32839</v>
      </c>
      <c r="H10390" t="s">
        <v>32848</v>
      </c>
      <c r="I10390" t="s">
        <v>7416</v>
      </c>
      <c r="J10390" t="s">
        <v>39391</v>
      </c>
      <c r="K10390" t="s">
        <v>42732</v>
      </c>
      <c r="M10390" t="s">
        <v>43205</v>
      </c>
      <c r="N10390" t="s">
        <v>47424</v>
      </c>
      <c r="O10390" t="s">
        <v>47425</v>
      </c>
      <c r="P10390">
        <v>0</v>
      </c>
      <c r="Q10390">
        <v>0</v>
      </c>
      <c r="R10390" t="s">
        <v>47434</v>
      </c>
      <c r="S10390" t="s">
        <v>47677</v>
      </c>
      <c r="T10390" t="s">
        <v>49111</v>
      </c>
      <c r="U10390" t="s">
        <v>58207</v>
      </c>
      <c r="W10390" t="s">
        <v>64433</v>
      </c>
      <c r="X10390" t="s">
        <v>47439</v>
      </c>
    </row>
    <row r="10391" spans="1:24">
      <c r="A10391">
        <f>HYPERLINK("https://www.philgeps.gov.ph/GEPSNONPILOT/Tender/SplashBidNoticeAbstractUI.aspx?menuIndex=3&amp;refID=7143752&amp;Result=3","7143752")</f>
        <v>0</v>
      </c>
      <c r="B10391" t="s">
        <v>207</v>
      </c>
      <c r="C10391" t="s">
        <v>13672</v>
      </c>
      <c r="D10391" t="s">
        <v>19050</v>
      </c>
      <c r="E10391" t="s">
        <v>28036</v>
      </c>
      <c r="F10391" t="s">
        <v>32831</v>
      </c>
      <c r="G10391" t="s">
        <v>32839</v>
      </c>
      <c r="H10391" t="s">
        <v>32848</v>
      </c>
      <c r="I10391" t="s">
        <v>4471</v>
      </c>
      <c r="J10391" t="s">
        <v>35292</v>
      </c>
      <c r="K10391" t="s">
        <v>42732</v>
      </c>
      <c r="M10391" t="s">
        <v>43205</v>
      </c>
      <c r="N10391" t="s">
        <v>47424</v>
      </c>
      <c r="O10391" t="s">
        <v>47425</v>
      </c>
      <c r="P10391">
        <v>0</v>
      </c>
      <c r="Q10391">
        <v>2</v>
      </c>
      <c r="R10391" t="s">
        <v>47434</v>
      </c>
      <c r="S10391" t="s">
        <v>47677</v>
      </c>
      <c r="T10391" t="s">
        <v>49111</v>
      </c>
      <c r="U10391" t="s">
        <v>58208</v>
      </c>
      <c r="W10391" t="s">
        <v>64433</v>
      </c>
      <c r="X10391" t="s">
        <v>47439</v>
      </c>
    </row>
    <row r="10392" spans="1:24">
      <c r="A10392">
        <f>HYPERLINK("https://www.philgeps.gov.ph/GEPSNONPILOT/Tender/SplashBidNoticeAbstractUI.aspx?menuIndex=3&amp;refID=7143583&amp;Result=3","7143583")</f>
        <v>0</v>
      </c>
      <c r="B10392" t="s">
        <v>3188</v>
      </c>
      <c r="C10392" t="s">
        <v>13673</v>
      </c>
      <c r="D10392" t="s">
        <v>19038</v>
      </c>
      <c r="E10392" t="s">
        <v>28037</v>
      </c>
      <c r="F10392" t="s">
        <v>32831</v>
      </c>
      <c r="G10392" t="s">
        <v>32839</v>
      </c>
      <c r="H10392" t="s">
        <v>32849</v>
      </c>
      <c r="I10392" t="s">
        <v>7416</v>
      </c>
      <c r="J10392" t="s">
        <v>39392</v>
      </c>
      <c r="K10392" t="s">
        <v>42726</v>
      </c>
      <c r="M10392" t="s">
        <v>46497</v>
      </c>
      <c r="N10392" t="s">
        <v>47424</v>
      </c>
      <c r="O10392" t="s">
        <v>47425</v>
      </c>
      <c r="P10392">
        <v>0</v>
      </c>
      <c r="Q10392">
        <v>0</v>
      </c>
      <c r="R10392" t="s">
        <v>47434</v>
      </c>
      <c r="S10392" t="s">
        <v>47677</v>
      </c>
      <c r="T10392" t="s">
        <v>49237</v>
      </c>
      <c r="U10392" t="s">
        <v>58209</v>
      </c>
      <c r="V10392" t="s">
        <v>63769</v>
      </c>
      <c r="W10392" t="s">
        <v>46497</v>
      </c>
      <c r="X10392" t="s">
        <v>47439</v>
      </c>
    </row>
    <row r="10393" spans="1:24">
      <c r="A10393">
        <f>HYPERLINK("https://www.philgeps.gov.ph/GEPSNONPILOT/Tender/SplashBidNoticeAbstractUI.aspx?menuIndex=3&amp;refID=7143511&amp;Result=3","7143511")</f>
        <v>0</v>
      </c>
      <c r="B10393" t="s">
        <v>1714</v>
      </c>
      <c r="C10393" t="s">
        <v>13674</v>
      </c>
      <c r="D10393" t="s">
        <v>19026</v>
      </c>
      <c r="E10393" t="s">
        <v>28038</v>
      </c>
      <c r="F10393" t="s">
        <v>32831</v>
      </c>
      <c r="G10393" t="s">
        <v>32839</v>
      </c>
      <c r="H10393" t="s">
        <v>32848</v>
      </c>
      <c r="I10393" t="s">
        <v>32871</v>
      </c>
      <c r="J10393" t="s">
        <v>33078</v>
      </c>
      <c r="K10393" t="s">
        <v>42730</v>
      </c>
      <c r="M10393" t="s">
        <v>46498</v>
      </c>
      <c r="N10393" t="s">
        <v>47424</v>
      </c>
      <c r="O10393" t="s">
        <v>47425</v>
      </c>
      <c r="P10393">
        <v>0</v>
      </c>
      <c r="Q10393">
        <v>10</v>
      </c>
      <c r="R10393" t="s">
        <v>47434</v>
      </c>
      <c r="S10393" t="s">
        <v>47677</v>
      </c>
      <c r="T10393" t="s">
        <v>49221</v>
      </c>
      <c r="U10393" t="s">
        <v>58210</v>
      </c>
      <c r="W10393" t="s">
        <v>46498</v>
      </c>
      <c r="X10393" t="s">
        <v>47439</v>
      </c>
    </row>
    <row r="10394" spans="1:24">
      <c r="A10394">
        <f>HYPERLINK("https://www.philgeps.gov.ph/GEPSNONPILOT/Tender/SplashBidNoticeAbstractUI.aspx?menuIndex=3&amp;refID=7143031&amp;Result=3","7143031")</f>
        <v>0</v>
      </c>
      <c r="B10394" t="s">
        <v>3189</v>
      </c>
      <c r="C10394" t="s">
        <v>13675</v>
      </c>
      <c r="D10394" t="s">
        <v>19037</v>
      </c>
      <c r="E10394" t="s">
        <v>28039</v>
      </c>
      <c r="F10394" t="s">
        <v>32831</v>
      </c>
      <c r="G10394" t="s">
        <v>32839</v>
      </c>
      <c r="H10394" t="s">
        <v>32848</v>
      </c>
      <c r="I10394" t="s">
        <v>7819</v>
      </c>
      <c r="J10394" t="s">
        <v>39393</v>
      </c>
      <c r="K10394" t="s">
        <v>42730</v>
      </c>
      <c r="M10394" t="s">
        <v>46499</v>
      </c>
      <c r="N10394" t="s">
        <v>47424</v>
      </c>
      <c r="O10394" t="s">
        <v>47425</v>
      </c>
      <c r="P10394">
        <v>0</v>
      </c>
      <c r="Q10394">
        <v>3</v>
      </c>
      <c r="R10394" t="s">
        <v>47434</v>
      </c>
      <c r="S10394" t="s">
        <v>47677</v>
      </c>
      <c r="T10394" t="s">
        <v>49091</v>
      </c>
      <c r="U10394" t="s">
        <v>58211</v>
      </c>
      <c r="V10394" t="s">
        <v>63770</v>
      </c>
      <c r="W10394" t="s">
        <v>46499</v>
      </c>
      <c r="X10394" t="s">
        <v>47439</v>
      </c>
    </row>
    <row r="10395" spans="1:24">
      <c r="A10395">
        <f>HYPERLINK("https://www.philgeps.gov.ph/GEPSNONPILOT/Tender/SplashBidNoticeAbstractUI.aspx?menuIndex=3&amp;refID=7144432&amp;Result=3","7144432")</f>
        <v>0</v>
      </c>
      <c r="B10395" t="s">
        <v>3190</v>
      </c>
      <c r="C10395" t="s">
        <v>13676</v>
      </c>
      <c r="D10395" t="s">
        <v>19017</v>
      </c>
      <c r="E10395" t="s">
        <v>28040</v>
      </c>
      <c r="F10395" t="s">
        <v>32831</v>
      </c>
      <c r="G10395" t="s">
        <v>32839</v>
      </c>
      <c r="H10395" t="s">
        <v>32848</v>
      </c>
      <c r="I10395" t="s">
        <v>4487</v>
      </c>
      <c r="J10395" t="s">
        <v>39394</v>
      </c>
      <c r="K10395" t="s">
        <v>42730</v>
      </c>
      <c r="M10395" t="s">
        <v>46500</v>
      </c>
      <c r="N10395" t="s">
        <v>47424</v>
      </c>
      <c r="O10395" t="s">
        <v>47425</v>
      </c>
      <c r="Q10395">
        <v>14</v>
      </c>
      <c r="R10395" t="s">
        <v>47434</v>
      </c>
      <c r="S10395" t="s">
        <v>47683</v>
      </c>
      <c r="T10395" t="s">
        <v>49470</v>
      </c>
      <c r="U10395" t="s">
        <v>58212</v>
      </c>
      <c r="W10395" t="s">
        <v>46500</v>
      </c>
      <c r="X10395" t="s">
        <v>47439</v>
      </c>
    </row>
    <row r="10396" spans="1:24">
      <c r="A10396">
        <f>HYPERLINK("https://www.philgeps.gov.ph/GEPSNONPILOT/Tender/SplashBidNoticeAbstractUI.aspx?menuIndex=3&amp;refID=7152114&amp;Result=3","7152114")</f>
        <v>0</v>
      </c>
      <c r="B10396" t="s">
        <v>3191</v>
      </c>
      <c r="C10396" t="s">
        <v>13677</v>
      </c>
      <c r="D10396" t="s">
        <v>19049</v>
      </c>
      <c r="E10396" t="s">
        <v>28041</v>
      </c>
      <c r="F10396" t="s">
        <v>32833</v>
      </c>
      <c r="G10396" t="s">
        <v>32838</v>
      </c>
      <c r="H10396" t="s">
        <v>32848</v>
      </c>
      <c r="I10396" t="s">
        <v>32868</v>
      </c>
      <c r="J10396" t="s">
        <v>34667</v>
      </c>
      <c r="K10396" t="s">
        <v>42732</v>
      </c>
      <c r="M10396" t="s">
        <v>46501</v>
      </c>
      <c r="N10396" t="s">
        <v>47424</v>
      </c>
      <c r="O10396" t="s">
        <v>47425</v>
      </c>
      <c r="P10396">
        <v>0</v>
      </c>
      <c r="Q10396">
        <v>3</v>
      </c>
      <c r="R10396" t="s">
        <v>47433</v>
      </c>
      <c r="S10396" t="s">
        <v>47633</v>
      </c>
      <c r="T10396" t="s">
        <v>49163</v>
      </c>
      <c r="U10396" t="s">
        <v>58213</v>
      </c>
      <c r="W10396" t="s">
        <v>46501</v>
      </c>
      <c r="X10396" t="s">
        <v>47434</v>
      </c>
    </row>
    <row r="10397" spans="1:24">
      <c r="A10397">
        <f>HYPERLINK("https://www.philgeps.gov.ph/GEPSNONPILOT/Tender/SplashBidNoticeAbstractUI.aspx?menuIndex=3&amp;refID=7142900&amp;Result=3","7142900")</f>
        <v>0</v>
      </c>
      <c r="B10397" t="s">
        <v>3185</v>
      </c>
      <c r="C10397" t="s">
        <v>13678</v>
      </c>
      <c r="D10397" t="s">
        <v>19073</v>
      </c>
      <c r="E10397" t="s">
        <v>28017</v>
      </c>
      <c r="F10397" t="s">
        <v>32831</v>
      </c>
      <c r="G10397" t="s">
        <v>32839</v>
      </c>
      <c r="H10397" t="s">
        <v>32849</v>
      </c>
      <c r="I10397" t="s">
        <v>4177</v>
      </c>
      <c r="J10397" t="s">
        <v>39395</v>
      </c>
      <c r="K10397" t="s">
        <v>42732</v>
      </c>
      <c r="M10397" t="s">
        <v>46493</v>
      </c>
      <c r="N10397" t="s">
        <v>47424</v>
      </c>
      <c r="O10397" t="s">
        <v>47425</v>
      </c>
      <c r="P10397">
        <v>0</v>
      </c>
      <c r="Q10397">
        <v>1</v>
      </c>
      <c r="R10397" t="s">
        <v>47434</v>
      </c>
      <c r="S10397" t="s">
        <v>47677</v>
      </c>
      <c r="T10397" t="s">
        <v>49173</v>
      </c>
      <c r="U10397" t="s">
        <v>58214</v>
      </c>
      <c r="W10397" t="s">
        <v>46493</v>
      </c>
      <c r="X10397" t="s">
        <v>47439</v>
      </c>
    </row>
    <row r="10398" spans="1:24">
      <c r="A10398">
        <f>HYPERLINK("https://www.philgeps.gov.ph/GEPSNONPILOT/Tender/SplashBidNoticeAbstractUI.aspx?menuIndex=3&amp;refID=7145762&amp;Result=3","7145762")</f>
        <v>0</v>
      </c>
      <c r="B10398" t="s">
        <v>1979</v>
      </c>
      <c r="C10398" t="s">
        <v>13679</v>
      </c>
      <c r="D10398" t="s">
        <v>19045</v>
      </c>
      <c r="E10398" t="s">
        <v>28042</v>
      </c>
      <c r="F10398" t="s">
        <v>32832</v>
      </c>
      <c r="G10398" t="s">
        <v>32838</v>
      </c>
      <c r="H10398" t="s">
        <v>32848</v>
      </c>
      <c r="I10398" t="s">
        <v>9281</v>
      </c>
      <c r="J10398" t="s">
        <v>33007</v>
      </c>
      <c r="K10398" t="s">
        <v>42726</v>
      </c>
      <c r="M10398" t="s">
        <v>45141</v>
      </c>
      <c r="N10398" t="s">
        <v>47424</v>
      </c>
      <c r="O10398" t="s">
        <v>47425</v>
      </c>
      <c r="P10398">
        <v>0</v>
      </c>
      <c r="Q10398">
        <v>1</v>
      </c>
      <c r="R10398" t="s">
        <v>47434</v>
      </c>
      <c r="S10398" t="s">
        <v>47677</v>
      </c>
      <c r="T10398" t="s">
        <v>49560</v>
      </c>
      <c r="U10398" t="s">
        <v>58215</v>
      </c>
      <c r="W10398" t="s">
        <v>45141</v>
      </c>
      <c r="X10398" t="s">
        <v>47438</v>
      </c>
    </row>
    <row r="10399" spans="1:24">
      <c r="A10399">
        <f>HYPERLINK("https://www.philgeps.gov.ph/GEPSNONPILOT/Tender/SplashBidNoticeAbstractUI.aspx?menuIndex=3&amp;refID=7145751&amp;Result=3","7145751")</f>
        <v>0</v>
      </c>
      <c r="B10399" t="s">
        <v>2615</v>
      </c>
      <c r="C10399" t="s">
        <v>13680</v>
      </c>
      <c r="D10399" t="s">
        <v>19043</v>
      </c>
      <c r="E10399" t="s">
        <v>28043</v>
      </c>
      <c r="F10399" t="s">
        <v>32831</v>
      </c>
      <c r="G10399" t="s">
        <v>32839</v>
      </c>
      <c r="H10399" t="s">
        <v>32849</v>
      </c>
      <c r="I10399" t="s">
        <v>4177</v>
      </c>
      <c r="J10399" t="s">
        <v>39396</v>
      </c>
      <c r="K10399" t="s">
        <v>42928</v>
      </c>
      <c r="M10399" t="s">
        <v>45834</v>
      </c>
      <c r="N10399" t="s">
        <v>47424</v>
      </c>
      <c r="O10399" t="s">
        <v>47425</v>
      </c>
      <c r="P10399">
        <v>0</v>
      </c>
      <c r="Q10399">
        <v>3</v>
      </c>
      <c r="R10399" t="s">
        <v>47434</v>
      </c>
      <c r="S10399" t="s">
        <v>47677</v>
      </c>
      <c r="T10399" t="s">
        <v>49173</v>
      </c>
      <c r="U10399" t="s">
        <v>58216</v>
      </c>
      <c r="V10399" t="s">
        <v>63489</v>
      </c>
      <c r="W10399" t="s">
        <v>45834</v>
      </c>
      <c r="X10399" t="s">
        <v>47438</v>
      </c>
    </row>
    <row r="10400" spans="1:24">
      <c r="A10400">
        <f>HYPERLINK("https://www.philgeps.gov.ph/GEPSNONPILOT/Tender/SplashBidNoticeAbstractUI.aspx?menuIndex=3&amp;refID=7145689&amp;Result=3","7145689")</f>
        <v>0</v>
      </c>
      <c r="B10400" t="s">
        <v>2615</v>
      </c>
      <c r="C10400" t="s">
        <v>13681</v>
      </c>
      <c r="D10400" t="s">
        <v>19043</v>
      </c>
      <c r="E10400" t="s">
        <v>28044</v>
      </c>
      <c r="F10400" t="s">
        <v>32831</v>
      </c>
      <c r="G10400" t="s">
        <v>32839</v>
      </c>
      <c r="H10400" t="s">
        <v>32849</v>
      </c>
      <c r="I10400" t="s">
        <v>4177</v>
      </c>
      <c r="J10400" t="s">
        <v>33472</v>
      </c>
      <c r="K10400" t="s">
        <v>42929</v>
      </c>
      <c r="M10400" t="s">
        <v>45834</v>
      </c>
      <c r="N10400" t="s">
        <v>47424</v>
      </c>
      <c r="O10400" t="s">
        <v>47425</v>
      </c>
      <c r="P10400">
        <v>0</v>
      </c>
      <c r="Q10400">
        <v>2</v>
      </c>
      <c r="R10400" t="s">
        <v>47434</v>
      </c>
      <c r="S10400" t="s">
        <v>47677</v>
      </c>
      <c r="T10400" t="s">
        <v>49173</v>
      </c>
      <c r="U10400" t="s">
        <v>58217</v>
      </c>
      <c r="V10400" t="s">
        <v>63489</v>
      </c>
      <c r="W10400" t="s">
        <v>45834</v>
      </c>
      <c r="X10400" t="s">
        <v>47438</v>
      </c>
    </row>
    <row r="10401" spans="1:24">
      <c r="A10401">
        <f>HYPERLINK("https://www.philgeps.gov.ph/GEPSNONPILOT/Tender/SplashBidNoticeAbstractUI.aspx?menuIndex=3&amp;refID=7143166&amp;Result=3","7143166")</f>
        <v>0</v>
      </c>
      <c r="B10401" t="s">
        <v>207</v>
      </c>
      <c r="C10401" t="s">
        <v>13682</v>
      </c>
      <c r="D10401" t="s">
        <v>19050</v>
      </c>
      <c r="E10401" t="s">
        <v>28045</v>
      </c>
      <c r="F10401" t="s">
        <v>32831</v>
      </c>
      <c r="G10401" t="s">
        <v>32839</v>
      </c>
      <c r="H10401" t="s">
        <v>32848</v>
      </c>
      <c r="I10401" t="s">
        <v>7751</v>
      </c>
      <c r="J10401" t="s">
        <v>33083</v>
      </c>
      <c r="K10401" t="s">
        <v>42732</v>
      </c>
      <c r="M10401" t="s">
        <v>43205</v>
      </c>
      <c r="N10401" t="s">
        <v>47424</v>
      </c>
      <c r="O10401" t="s">
        <v>47425</v>
      </c>
      <c r="P10401">
        <v>0</v>
      </c>
      <c r="Q10401">
        <v>3</v>
      </c>
      <c r="R10401" t="s">
        <v>47434</v>
      </c>
      <c r="S10401" t="s">
        <v>47677</v>
      </c>
      <c r="T10401" t="s">
        <v>49111</v>
      </c>
      <c r="U10401" t="s">
        <v>58218</v>
      </c>
      <c r="W10401" t="s">
        <v>64433</v>
      </c>
      <c r="X10401" t="s">
        <v>47439</v>
      </c>
    </row>
    <row r="10402" spans="1:24">
      <c r="A10402">
        <f>HYPERLINK("https://www.philgeps.gov.ph/GEPSNONPILOT/Tender/SplashBidNoticeAbstractUI.aspx?menuIndex=3&amp;refID=7136781&amp;Result=3","7136781")</f>
        <v>0</v>
      </c>
      <c r="B10402" t="s">
        <v>3179</v>
      </c>
      <c r="C10402" t="s">
        <v>13683</v>
      </c>
      <c r="E10402" t="s">
        <v>28046</v>
      </c>
      <c r="F10402" t="s">
        <v>32831</v>
      </c>
      <c r="G10402" t="s">
        <v>32839</v>
      </c>
      <c r="H10402" t="s">
        <v>32849</v>
      </c>
      <c r="I10402" t="s">
        <v>4177</v>
      </c>
      <c r="J10402" t="s">
        <v>34447</v>
      </c>
      <c r="K10402" t="s">
        <v>42730</v>
      </c>
      <c r="M10402" t="s">
        <v>46486</v>
      </c>
      <c r="N10402" t="s">
        <v>47424</v>
      </c>
      <c r="O10402" t="s">
        <v>47425</v>
      </c>
      <c r="P10402">
        <v>0</v>
      </c>
      <c r="Q10402">
        <v>0</v>
      </c>
      <c r="R10402" t="s">
        <v>47434</v>
      </c>
      <c r="S10402" t="s">
        <v>47677</v>
      </c>
      <c r="T10402" t="s">
        <v>49173</v>
      </c>
      <c r="U10402" t="s">
        <v>58154</v>
      </c>
      <c r="W10402" t="s">
        <v>46486</v>
      </c>
      <c r="X10402" t="s">
        <v>47441</v>
      </c>
    </row>
    <row r="10403" spans="1:24">
      <c r="A10403">
        <f>HYPERLINK("https://www.philgeps.gov.ph/GEPSNONPILOT/Tender/SplashBidNoticeAbstractUI.aspx?menuIndex=3&amp;refID=7145648&amp;Result=3","7145648")</f>
        <v>0</v>
      </c>
      <c r="B10403" t="s">
        <v>2615</v>
      </c>
      <c r="C10403" t="s">
        <v>13684</v>
      </c>
      <c r="D10403" t="s">
        <v>19043</v>
      </c>
      <c r="E10403" t="s">
        <v>28047</v>
      </c>
      <c r="F10403" t="s">
        <v>32831</v>
      </c>
      <c r="G10403" t="s">
        <v>32839</v>
      </c>
      <c r="H10403" t="s">
        <v>32849</v>
      </c>
      <c r="I10403" t="s">
        <v>4177</v>
      </c>
      <c r="J10403" t="s">
        <v>39397</v>
      </c>
      <c r="K10403" t="s">
        <v>42751</v>
      </c>
      <c r="M10403" t="s">
        <v>45834</v>
      </c>
      <c r="N10403" t="s">
        <v>47424</v>
      </c>
      <c r="O10403" t="s">
        <v>47425</v>
      </c>
      <c r="P10403">
        <v>0</v>
      </c>
      <c r="Q10403">
        <v>0</v>
      </c>
      <c r="R10403" t="s">
        <v>47434</v>
      </c>
      <c r="S10403" t="s">
        <v>47677</v>
      </c>
      <c r="T10403" t="s">
        <v>49173</v>
      </c>
      <c r="U10403" t="s">
        <v>58219</v>
      </c>
      <c r="V10403" t="s">
        <v>63489</v>
      </c>
      <c r="W10403" t="s">
        <v>45834</v>
      </c>
      <c r="X10403" t="s">
        <v>47438</v>
      </c>
    </row>
    <row r="10404" spans="1:24">
      <c r="A10404">
        <f>HYPERLINK("https://www.philgeps.gov.ph/GEPSNONPILOT/Tender/SplashBidNoticeAbstractUI.aspx?menuIndex=3&amp;refID=7145604&amp;Result=3","7145604")</f>
        <v>0</v>
      </c>
      <c r="B10404" t="s">
        <v>214</v>
      </c>
      <c r="C10404" t="s">
        <v>13685</v>
      </c>
      <c r="D10404" t="s">
        <v>19047</v>
      </c>
      <c r="E10404" t="s">
        <v>28048</v>
      </c>
      <c r="F10404" t="s">
        <v>32831</v>
      </c>
      <c r="G10404" t="s">
        <v>32839</v>
      </c>
      <c r="H10404" t="s">
        <v>32848</v>
      </c>
      <c r="I10404" t="s">
        <v>4776</v>
      </c>
      <c r="J10404" t="s">
        <v>39398</v>
      </c>
      <c r="K10404" t="s">
        <v>42726</v>
      </c>
      <c r="M10404" t="s">
        <v>43890</v>
      </c>
      <c r="N10404" t="s">
        <v>47424</v>
      </c>
      <c r="O10404" t="s">
        <v>47425</v>
      </c>
      <c r="P10404">
        <v>0</v>
      </c>
      <c r="Q10404">
        <v>1</v>
      </c>
      <c r="R10404" t="s">
        <v>47434</v>
      </c>
      <c r="S10404" t="s">
        <v>47677</v>
      </c>
      <c r="T10404" t="s">
        <v>49238</v>
      </c>
      <c r="U10404" t="s">
        <v>53657</v>
      </c>
      <c r="W10404" t="s">
        <v>43890</v>
      </c>
      <c r="X10404" t="s">
        <v>47438</v>
      </c>
    </row>
    <row r="10405" spans="1:24">
      <c r="A10405">
        <f>HYPERLINK("https://www.philgeps.gov.ph/GEPSNONPILOT/Tender/SplashBidNoticeAbstractUI.aspx?menuIndex=3&amp;refID=7144636&amp;Result=3","7144636")</f>
        <v>0</v>
      </c>
      <c r="B10405" t="s">
        <v>2615</v>
      </c>
      <c r="C10405" t="s">
        <v>13686</v>
      </c>
      <c r="D10405" t="s">
        <v>19043</v>
      </c>
      <c r="E10405" t="s">
        <v>28049</v>
      </c>
      <c r="F10405" t="s">
        <v>32831</v>
      </c>
      <c r="G10405" t="s">
        <v>32839</v>
      </c>
      <c r="H10405" t="s">
        <v>32849</v>
      </c>
      <c r="I10405" t="s">
        <v>4177</v>
      </c>
      <c r="J10405" t="s">
        <v>33083</v>
      </c>
      <c r="K10405" t="s">
        <v>42829</v>
      </c>
      <c r="M10405" t="s">
        <v>45834</v>
      </c>
      <c r="N10405" t="s">
        <v>47424</v>
      </c>
      <c r="O10405" t="s">
        <v>47425</v>
      </c>
      <c r="P10405">
        <v>0</v>
      </c>
      <c r="Q10405">
        <v>3</v>
      </c>
      <c r="R10405" t="s">
        <v>47434</v>
      </c>
      <c r="S10405" t="s">
        <v>47677</v>
      </c>
      <c r="T10405" t="s">
        <v>49173</v>
      </c>
      <c r="U10405" t="s">
        <v>58220</v>
      </c>
      <c r="V10405" t="s">
        <v>63489</v>
      </c>
      <c r="W10405" t="s">
        <v>45834</v>
      </c>
      <c r="X10405" t="s">
        <v>47439</v>
      </c>
    </row>
    <row r="10406" spans="1:24">
      <c r="A10406">
        <f>HYPERLINK("https://www.philgeps.gov.ph/GEPSNONPILOT/Tender/SplashBidNoticeAbstractUI.aspx?menuIndex=3&amp;refID=7145595&amp;Result=3","7145595")</f>
        <v>0</v>
      </c>
      <c r="B10406" t="s">
        <v>2615</v>
      </c>
      <c r="C10406" t="s">
        <v>13687</v>
      </c>
      <c r="D10406" t="s">
        <v>19043</v>
      </c>
      <c r="E10406" t="s">
        <v>28050</v>
      </c>
      <c r="F10406" t="s">
        <v>32831</v>
      </c>
      <c r="G10406" t="s">
        <v>32839</v>
      </c>
      <c r="H10406" t="s">
        <v>32849</v>
      </c>
      <c r="I10406" t="s">
        <v>4177</v>
      </c>
      <c r="J10406" t="s">
        <v>39399</v>
      </c>
      <c r="K10406" t="s">
        <v>42755</v>
      </c>
      <c r="M10406" t="s">
        <v>45834</v>
      </c>
      <c r="N10406" t="s">
        <v>47424</v>
      </c>
      <c r="O10406" t="s">
        <v>47425</v>
      </c>
      <c r="P10406">
        <v>0</v>
      </c>
      <c r="Q10406">
        <v>1</v>
      </c>
      <c r="R10406" t="s">
        <v>47434</v>
      </c>
      <c r="S10406" t="s">
        <v>47677</v>
      </c>
      <c r="T10406" t="s">
        <v>49173</v>
      </c>
      <c r="U10406" t="s">
        <v>58221</v>
      </c>
      <c r="V10406" t="s">
        <v>63489</v>
      </c>
      <c r="W10406" t="s">
        <v>45834</v>
      </c>
      <c r="X10406" t="s">
        <v>47438</v>
      </c>
    </row>
    <row r="10407" spans="1:24">
      <c r="A10407">
        <f>HYPERLINK("https://www.philgeps.gov.ph/GEPSNONPILOT/Tender/SplashBidNoticeAbstractUI.aspx?menuIndex=3&amp;refID=7145573&amp;Result=3","7145573")</f>
        <v>0</v>
      </c>
      <c r="B10407" t="s">
        <v>2615</v>
      </c>
      <c r="C10407" t="s">
        <v>13688</v>
      </c>
      <c r="D10407" t="s">
        <v>19043</v>
      </c>
      <c r="E10407" t="s">
        <v>28051</v>
      </c>
      <c r="F10407" t="s">
        <v>32831</v>
      </c>
      <c r="G10407" t="s">
        <v>32839</v>
      </c>
      <c r="H10407" t="s">
        <v>32849</v>
      </c>
      <c r="I10407" t="s">
        <v>4177</v>
      </c>
      <c r="J10407" t="s">
        <v>39400</v>
      </c>
      <c r="K10407" t="s">
        <v>42829</v>
      </c>
      <c r="M10407" t="s">
        <v>45834</v>
      </c>
      <c r="N10407" t="s">
        <v>47424</v>
      </c>
      <c r="O10407" t="s">
        <v>47425</v>
      </c>
      <c r="P10407">
        <v>0</v>
      </c>
      <c r="Q10407">
        <v>1</v>
      </c>
      <c r="R10407" t="s">
        <v>47434</v>
      </c>
      <c r="S10407" t="s">
        <v>47677</v>
      </c>
      <c r="T10407" t="s">
        <v>49173</v>
      </c>
      <c r="U10407" t="s">
        <v>58222</v>
      </c>
      <c r="V10407" t="s">
        <v>63489</v>
      </c>
      <c r="W10407" t="s">
        <v>45834</v>
      </c>
      <c r="X10407" t="s">
        <v>47438</v>
      </c>
    </row>
    <row r="10408" spans="1:24">
      <c r="A10408">
        <f>HYPERLINK("https://www.philgeps.gov.ph/GEPSNONPILOT/Tender/SplashBidNoticeAbstractUI.aspx?menuIndex=3&amp;refID=7136829&amp;Result=3","7136829")</f>
        <v>0</v>
      </c>
      <c r="B10408" t="s">
        <v>3182</v>
      </c>
      <c r="C10408" t="s">
        <v>13689</v>
      </c>
      <c r="D10408" t="s">
        <v>19057</v>
      </c>
      <c r="E10408" t="s">
        <v>28052</v>
      </c>
      <c r="F10408" t="s">
        <v>32831</v>
      </c>
      <c r="G10408" t="s">
        <v>32839</v>
      </c>
      <c r="H10408" t="s">
        <v>32848</v>
      </c>
      <c r="I10408" t="s">
        <v>32889</v>
      </c>
      <c r="J10408" t="s">
        <v>39401</v>
      </c>
      <c r="K10408" t="s">
        <v>42730</v>
      </c>
      <c r="M10408" t="s">
        <v>46490</v>
      </c>
      <c r="N10408" t="s">
        <v>47424</v>
      </c>
      <c r="O10408" t="s">
        <v>47425</v>
      </c>
      <c r="P10408">
        <v>0</v>
      </c>
      <c r="Q10408">
        <v>0</v>
      </c>
      <c r="R10408" t="s">
        <v>47434</v>
      </c>
      <c r="S10408" t="s">
        <v>47677</v>
      </c>
      <c r="T10408" t="s">
        <v>49216</v>
      </c>
      <c r="U10408" t="s">
        <v>58177</v>
      </c>
      <c r="W10408" t="s">
        <v>46490</v>
      </c>
      <c r="X10408" t="s">
        <v>47441</v>
      </c>
    </row>
    <row r="10409" spans="1:24">
      <c r="A10409">
        <f>HYPERLINK("https://www.philgeps.gov.ph/GEPSNONPILOT/Tender/SplashBidNoticeAbstractUI.aspx?menuIndex=3&amp;refID=7145539&amp;Result=3","7145539")</f>
        <v>0</v>
      </c>
      <c r="B10409" t="s">
        <v>2615</v>
      </c>
      <c r="C10409" t="s">
        <v>13690</v>
      </c>
      <c r="D10409" t="s">
        <v>19043</v>
      </c>
      <c r="E10409" t="s">
        <v>28053</v>
      </c>
      <c r="F10409" t="s">
        <v>32831</v>
      </c>
      <c r="G10409" t="s">
        <v>32839</v>
      </c>
      <c r="H10409" t="s">
        <v>32849</v>
      </c>
      <c r="I10409" t="s">
        <v>4177</v>
      </c>
      <c r="J10409" t="s">
        <v>33118</v>
      </c>
      <c r="K10409" t="s">
        <v>42920</v>
      </c>
      <c r="M10409" t="s">
        <v>45834</v>
      </c>
      <c r="N10409" t="s">
        <v>47424</v>
      </c>
      <c r="O10409" t="s">
        <v>47425</v>
      </c>
      <c r="P10409">
        <v>0</v>
      </c>
      <c r="Q10409">
        <v>0</v>
      </c>
      <c r="R10409" t="s">
        <v>47434</v>
      </c>
      <c r="S10409" t="s">
        <v>47677</v>
      </c>
      <c r="T10409" t="s">
        <v>49173</v>
      </c>
      <c r="U10409" t="s">
        <v>58223</v>
      </c>
      <c r="V10409" t="s">
        <v>63489</v>
      </c>
      <c r="W10409" t="s">
        <v>45834</v>
      </c>
      <c r="X10409" t="s">
        <v>47438</v>
      </c>
    </row>
    <row r="10410" spans="1:24">
      <c r="A10410">
        <f>HYPERLINK("https://www.philgeps.gov.ph/GEPSNONPILOT/Tender/SplashBidNoticeAbstractUI.aspx?menuIndex=3&amp;refID=7145489&amp;Result=3","7145489")</f>
        <v>0</v>
      </c>
      <c r="B10410" t="s">
        <v>2615</v>
      </c>
      <c r="C10410" t="s">
        <v>13691</v>
      </c>
      <c r="D10410" t="s">
        <v>19043</v>
      </c>
      <c r="E10410" t="s">
        <v>28054</v>
      </c>
      <c r="F10410" t="s">
        <v>32831</v>
      </c>
      <c r="G10410" t="s">
        <v>32839</v>
      </c>
      <c r="H10410" t="s">
        <v>32849</v>
      </c>
      <c r="I10410" t="s">
        <v>4177</v>
      </c>
      <c r="J10410" t="s">
        <v>39402</v>
      </c>
      <c r="K10410" t="s">
        <v>42879</v>
      </c>
      <c r="M10410" t="s">
        <v>45834</v>
      </c>
      <c r="N10410" t="s">
        <v>47424</v>
      </c>
      <c r="O10410" t="s">
        <v>47425</v>
      </c>
      <c r="P10410">
        <v>0</v>
      </c>
      <c r="Q10410">
        <v>2</v>
      </c>
      <c r="R10410" t="s">
        <v>47434</v>
      </c>
      <c r="S10410" t="s">
        <v>47677</v>
      </c>
      <c r="T10410" t="s">
        <v>49173</v>
      </c>
      <c r="U10410" t="s">
        <v>58224</v>
      </c>
      <c r="V10410" t="s">
        <v>63489</v>
      </c>
      <c r="W10410" t="s">
        <v>45834</v>
      </c>
      <c r="X10410" t="s">
        <v>47438</v>
      </c>
    </row>
    <row r="10411" spans="1:24">
      <c r="A10411">
        <f>HYPERLINK("https://www.philgeps.gov.ph/GEPSNONPILOT/Tender/SplashBidNoticeAbstractUI.aspx?menuIndex=3&amp;refID=7145629&amp;Result=3","7145629")</f>
        <v>0</v>
      </c>
      <c r="B10411" t="s">
        <v>2615</v>
      </c>
      <c r="C10411" t="s">
        <v>13692</v>
      </c>
      <c r="D10411" t="s">
        <v>19043</v>
      </c>
      <c r="E10411" t="s">
        <v>28055</v>
      </c>
      <c r="F10411" t="s">
        <v>32831</v>
      </c>
      <c r="G10411" t="s">
        <v>32839</v>
      </c>
      <c r="H10411" t="s">
        <v>32849</v>
      </c>
      <c r="I10411" t="s">
        <v>4177</v>
      </c>
      <c r="J10411" t="s">
        <v>33257</v>
      </c>
      <c r="K10411" t="s">
        <v>42729</v>
      </c>
      <c r="M10411" t="s">
        <v>45834</v>
      </c>
      <c r="N10411" t="s">
        <v>47424</v>
      </c>
      <c r="O10411" t="s">
        <v>47425</v>
      </c>
      <c r="P10411">
        <v>0</v>
      </c>
      <c r="Q10411">
        <v>1</v>
      </c>
      <c r="R10411" t="s">
        <v>47434</v>
      </c>
      <c r="S10411" t="s">
        <v>47677</v>
      </c>
      <c r="T10411" t="s">
        <v>49173</v>
      </c>
      <c r="U10411" t="s">
        <v>58225</v>
      </c>
      <c r="V10411" t="s">
        <v>63489</v>
      </c>
      <c r="W10411" t="s">
        <v>45834</v>
      </c>
      <c r="X10411" t="s">
        <v>47438</v>
      </c>
    </row>
    <row r="10412" spans="1:24">
      <c r="A10412">
        <f>HYPERLINK("https://www.philgeps.gov.ph/GEPSNONPILOT/Tender/SplashBidNoticeAbstractUI.aspx?menuIndex=3&amp;refID=7145636&amp;Result=3","7145636")</f>
        <v>0</v>
      </c>
      <c r="B10412" t="s">
        <v>214</v>
      </c>
      <c r="C10412" t="s">
        <v>13693</v>
      </c>
      <c r="D10412" t="s">
        <v>19047</v>
      </c>
      <c r="E10412" t="s">
        <v>28056</v>
      </c>
      <c r="F10412" t="s">
        <v>32831</v>
      </c>
      <c r="G10412" t="s">
        <v>32839</v>
      </c>
      <c r="H10412" t="s">
        <v>32848</v>
      </c>
      <c r="I10412" t="s">
        <v>32931</v>
      </c>
      <c r="J10412" t="s">
        <v>33644</v>
      </c>
      <c r="K10412" t="s">
        <v>42726</v>
      </c>
      <c r="M10412" t="s">
        <v>43890</v>
      </c>
      <c r="N10412" t="s">
        <v>47424</v>
      </c>
      <c r="O10412" t="s">
        <v>47425</v>
      </c>
      <c r="P10412">
        <v>0</v>
      </c>
      <c r="Q10412">
        <v>4</v>
      </c>
      <c r="R10412" t="s">
        <v>47434</v>
      </c>
      <c r="S10412" t="s">
        <v>47677</v>
      </c>
      <c r="T10412" t="s">
        <v>49238</v>
      </c>
      <c r="U10412" t="s">
        <v>53657</v>
      </c>
      <c r="W10412" t="s">
        <v>43890</v>
      </c>
      <c r="X10412" t="s">
        <v>47438</v>
      </c>
    </row>
    <row r="10413" spans="1:24">
      <c r="A10413">
        <f>HYPERLINK("https://www.philgeps.gov.ph/GEPSNONPILOT/Tender/SplashBidNoticeAbstractUI.aspx?menuIndex=3&amp;refID=7145344&amp;Result=3","7145344")</f>
        <v>0</v>
      </c>
      <c r="B10413" t="s">
        <v>207</v>
      </c>
      <c r="C10413" t="s">
        <v>13694</v>
      </c>
      <c r="D10413" t="s">
        <v>19050</v>
      </c>
      <c r="E10413" t="s">
        <v>28057</v>
      </c>
      <c r="F10413" t="s">
        <v>32831</v>
      </c>
      <c r="G10413" t="s">
        <v>32839</v>
      </c>
      <c r="H10413" t="s">
        <v>32848</v>
      </c>
      <c r="I10413" t="s">
        <v>7416</v>
      </c>
      <c r="J10413" t="s">
        <v>39403</v>
      </c>
      <c r="K10413" t="s">
        <v>42732</v>
      </c>
      <c r="M10413" t="s">
        <v>43205</v>
      </c>
      <c r="N10413" t="s">
        <v>47424</v>
      </c>
      <c r="O10413" t="s">
        <v>47425</v>
      </c>
      <c r="P10413">
        <v>0</v>
      </c>
      <c r="Q10413">
        <v>0</v>
      </c>
      <c r="R10413" t="s">
        <v>47434</v>
      </c>
      <c r="S10413" t="s">
        <v>47677</v>
      </c>
      <c r="T10413" t="s">
        <v>49111</v>
      </c>
      <c r="U10413" t="s">
        <v>58226</v>
      </c>
      <c r="W10413" t="s">
        <v>64433</v>
      </c>
      <c r="X10413" t="s">
        <v>47438</v>
      </c>
    </row>
    <row r="10414" spans="1:24">
      <c r="A10414">
        <f>HYPERLINK("https://www.philgeps.gov.ph/GEPSNONPILOT/Tender/SplashBidNoticeAbstractUI.aspx?menuIndex=3&amp;refID=7145448&amp;Result=3","7145448")</f>
        <v>0</v>
      </c>
      <c r="B10414" t="s">
        <v>95</v>
      </c>
      <c r="C10414" t="s">
        <v>13695</v>
      </c>
      <c r="D10414" t="s">
        <v>19032</v>
      </c>
      <c r="E10414" t="s">
        <v>28058</v>
      </c>
      <c r="F10414" t="s">
        <v>32831</v>
      </c>
      <c r="G10414" t="s">
        <v>32839</v>
      </c>
      <c r="H10414" t="s">
        <v>32848</v>
      </c>
      <c r="I10414" t="s">
        <v>7416</v>
      </c>
      <c r="J10414" t="s">
        <v>39404</v>
      </c>
      <c r="K10414" t="s">
        <v>42727</v>
      </c>
      <c r="M10414" t="s">
        <v>46393</v>
      </c>
      <c r="N10414" t="s">
        <v>47424</v>
      </c>
      <c r="O10414" t="s">
        <v>47425</v>
      </c>
      <c r="P10414">
        <v>0</v>
      </c>
      <c r="Q10414">
        <v>0</v>
      </c>
      <c r="R10414" t="s">
        <v>47434</v>
      </c>
      <c r="S10414" t="s">
        <v>47677</v>
      </c>
      <c r="T10414" t="s">
        <v>49166</v>
      </c>
      <c r="U10414" t="s">
        <v>58227</v>
      </c>
      <c r="W10414" t="s">
        <v>46393</v>
      </c>
      <c r="X10414" t="s">
        <v>47438</v>
      </c>
    </row>
    <row r="10415" spans="1:24">
      <c r="A10415">
        <f>HYPERLINK("https://www.philgeps.gov.ph/GEPSNONPILOT/Tender/SplashBidNoticeAbstractUI.aspx?menuIndex=3&amp;refID=7145728&amp;Result=3","7145728")</f>
        <v>0</v>
      </c>
      <c r="B10415" t="s">
        <v>2615</v>
      </c>
      <c r="C10415" t="s">
        <v>13696</v>
      </c>
      <c r="D10415" t="s">
        <v>19043</v>
      </c>
      <c r="E10415" t="s">
        <v>28059</v>
      </c>
      <c r="F10415" t="s">
        <v>32831</v>
      </c>
      <c r="G10415" t="s">
        <v>32839</v>
      </c>
      <c r="H10415" t="s">
        <v>32849</v>
      </c>
      <c r="I10415" t="s">
        <v>4177</v>
      </c>
      <c r="J10415" t="s">
        <v>39396</v>
      </c>
      <c r="K10415" t="s">
        <v>42930</v>
      </c>
      <c r="M10415" t="s">
        <v>45834</v>
      </c>
      <c r="N10415" t="s">
        <v>47424</v>
      </c>
      <c r="O10415" t="s">
        <v>47425</v>
      </c>
      <c r="P10415">
        <v>0</v>
      </c>
      <c r="Q10415">
        <v>3</v>
      </c>
      <c r="R10415" t="s">
        <v>47434</v>
      </c>
      <c r="S10415" t="s">
        <v>47677</v>
      </c>
      <c r="T10415" t="s">
        <v>49173</v>
      </c>
      <c r="U10415" t="s">
        <v>58216</v>
      </c>
      <c r="V10415" t="s">
        <v>63489</v>
      </c>
      <c r="W10415" t="s">
        <v>45834</v>
      </c>
      <c r="X10415" t="s">
        <v>47438</v>
      </c>
    </row>
    <row r="10416" spans="1:24">
      <c r="A10416">
        <f>HYPERLINK("https://www.philgeps.gov.ph/GEPSNONPILOT/Tender/SplashBidNoticeAbstractUI.aspx?menuIndex=3&amp;refID=7145317&amp;Result=3","7145317")</f>
        <v>0</v>
      </c>
      <c r="B10416" t="s">
        <v>958</v>
      </c>
      <c r="C10416" t="s">
        <v>13697</v>
      </c>
      <c r="D10416" t="s">
        <v>19064</v>
      </c>
      <c r="E10416" t="s">
        <v>28060</v>
      </c>
      <c r="F10416" t="s">
        <v>32831</v>
      </c>
      <c r="G10416" t="s">
        <v>32838</v>
      </c>
      <c r="H10416" t="s">
        <v>32848</v>
      </c>
      <c r="I10416" t="s">
        <v>5379</v>
      </c>
      <c r="J10416" t="s">
        <v>36936</v>
      </c>
      <c r="K10416" t="s">
        <v>42732</v>
      </c>
      <c r="M10416" t="s">
        <v>44004</v>
      </c>
      <c r="N10416" t="s">
        <v>47424</v>
      </c>
      <c r="O10416" t="s">
        <v>47425</v>
      </c>
      <c r="P10416">
        <v>0</v>
      </c>
      <c r="Q10416">
        <v>0</v>
      </c>
      <c r="R10416" t="s">
        <v>47434</v>
      </c>
      <c r="S10416" t="s">
        <v>47677</v>
      </c>
      <c r="T10416" t="s">
        <v>49212</v>
      </c>
      <c r="U10416" t="s">
        <v>58228</v>
      </c>
      <c r="W10416" t="s">
        <v>44004</v>
      </c>
      <c r="X10416" t="s">
        <v>47438</v>
      </c>
    </row>
    <row r="10417" spans="1:24">
      <c r="A10417">
        <f>HYPERLINK("https://www.philgeps.gov.ph/GEPSNONPILOT/Tender/SplashBidNoticeAbstractUI.aspx?menuIndex=3&amp;refID=7145357&amp;Result=3","7145357")</f>
        <v>0</v>
      </c>
      <c r="B10417" t="s">
        <v>207</v>
      </c>
      <c r="C10417" t="s">
        <v>13698</v>
      </c>
      <c r="D10417" t="s">
        <v>19050</v>
      </c>
      <c r="E10417" t="s">
        <v>28061</v>
      </c>
      <c r="F10417" t="s">
        <v>32831</v>
      </c>
      <c r="G10417" t="s">
        <v>32839</v>
      </c>
      <c r="H10417" t="s">
        <v>32848</v>
      </c>
      <c r="I10417" t="s">
        <v>7416</v>
      </c>
      <c r="J10417" t="s">
        <v>39405</v>
      </c>
      <c r="K10417" t="s">
        <v>42732</v>
      </c>
      <c r="M10417" t="s">
        <v>43205</v>
      </c>
      <c r="N10417" t="s">
        <v>47424</v>
      </c>
      <c r="O10417" t="s">
        <v>47425</v>
      </c>
      <c r="P10417">
        <v>0</v>
      </c>
      <c r="Q10417">
        <v>0</v>
      </c>
      <c r="R10417" t="s">
        <v>47434</v>
      </c>
      <c r="S10417" t="s">
        <v>47677</v>
      </c>
      <c r="T10417" t="s">
        <v>49111</v>
      </c>
      <c r="U10417" t="s">
        <v>58229</v>
      </c>
      <c r="W10417" t="s">
        <v>64433</v>
      </c>
      <c r="X10417" t="s">
        <v>47438</v>
      </c>
    </row>
    <row r="10418" spans="1:24">
      <c r="A10418">
        <f>HYPERLINK("https://www.philgeps.gov.ph/GEPSNONPILOT/Tender/SplashBidNoticeAbstractUI.aspx?menuIndex=3&amp;refID=7142857&amp;Result=3","7142857")</f>
        <v>0</v>
      </c>
      <c r="B10418" t="s">
        <v>3148</v>
      </c>
      <c r="C10418" t="s">
        <v>13649</v>
      </c>
      <c r="D10418" t="s">
        <v>19071</v>
      </c>
      <c r="E10418" t="s">
        <v>28062</v>
      </c>
      <c r="F10418" t="s">
        <v>32831</v>
      </c>
      <c r="G10418" t="s">
        <v>32839</v>
      </c>
      <c r="H10418" t="s">
        <v>32848</v>
      </c>
      <c r="I10418" t="s">
        <v>7416</v>
      </c>
      <c r="J10418" t="s">
        <v>39406</v>
      </c>
      <c r="K10418" t="s">
        <v>42763</v>
      </c>
      <c r="M10418" t="s">
        <v>46448</v>
      </c>
      <c r="N10418" t="s">
        <v>47424</v>
      </c>
      <c r="O10418" t="s">
        <v>47425</v>
      </c>
      <c r="P10418">
        <v>0</v>
      </c>
      <c r="Q10418">
        <v>0</v>
      </c>
      <c r="R10418" t="s">
        <v>47434</v>
      </c>
      <c r="S10418" t="s">
        <v>47677</v>
      </c>
      <c r="T10418" t="s">
        <v>49236</v>
      </c>
      <c r="U10418" t="s">
        <v>58230</v>
      </c>
      <c r="V10418" t="s">
        <v>63743</v>
      </c>
      <c r="W10418" t="s">
        <v>46448</v>
      </c>
      <c r="X10418" t="s">
        <v>47439</v>
      </c>
    </row>
    <row r="10419" spans="1:24">
      <c r="A10419">
        <f>HYPERLINK("https://www.philgeps.gov.ph/GEPSNONPILOT/Tender/SplashBidNoticeAbstractUI.aspx?menuIndex=3&amp;refID=7145320&amp;Result=3","7145320")</f>
        <v>0</v>
      </c>
      <c r="B10419" t="s">
        <v>207</v>
      </c>
      <c r="C10419" t="s">
        <v>13699</v>
      </c>
      <c r="D10419" t="s">
        <v>19050</v>
      </c>
      <c r="E10419" t="s">
        <v>28063</v>
      </c>
      <c r="F10419" t="s">
        <v>32831</v>
      </c>
      <c r="G10419" t="s">
        <v>32839</v>
      </c>
      <c r="H10419" t="s">
        <v>32848</v>
      </c>
      <c r="I10419" t="s">
        <v>7416</v>
      </c>
      <c r="J10419" t="s">
        <v>39407</v>
      </c>
      <c r="K10419" t="s">
        <v>42732</v>
      </c>
      <c r="M10419" t="s">
        <v>43205</v>
      </c>
      <c r="N10419" t="s">
        <v>47424</v>
      </c>
      <c r="O10419" t="s">
        <v>47425</v>
      </c>
      <c r="P10419">
        <v>0</v>
      </c>
      <c r="Q10419">
        <v>0</v>
      </c>
      <c r="R10419" t="s">
        <v>47434</v>
      </c>
      <c r="S10419" t="s">
        <v>47677</v>
      </c>
      <c r="T10419" t="s">
        <v>49111</v>
      </c>
      <c r="U10419" t="s">
        <v>58231</v>
      </c>
      <c r="W10419" t="s">
        <v>64433</v>
      </c>
      <c r="X10419" t="s">
        <v>47438</v>
      </c>
    </row>
    <row r="10420" spans="1:24">
      <c r="A10420">
        <f>HYPERLINK("https://www.philgeps.gov.ph/GEPSNONPILOT/Tender/SplashBidNoticeAbstractUI.aspx?menuIndex=3&amp;refID=7145323&amp;Result=3","7145323")</f>
        <v>0</v>
      </c>
      <c r="B10420" t="s">
        <v>464</v>
      </c>
      <c r="C10420" t="s">
        <v>13700</v>
      </c>
      <c r="D10420" t="s">
        <v>19055</v>
      </c>
      <c r="E10420" t="s">
        <v>28064</v>
      </c>
      <c r="F10420" t="s">
        <v>32831</v>
      </c>
      <c r="G10420" t="s">
        <v>32839</v>
      </c>
      <c r="H10420" t="s">
        <v>32848</v>
      </c>
      <c r="I10420" t="s">
        <v>7751</v>
      </c>
      <c r="J10420" t="s">
        <v>39408</v>
      </c>
      <c r="K10420" t="s">
        <v>42763</v>
      </c>
      <c r="M10420" t="s">
        <v>43469</v>
      </c>
      <c r="N10420" t="s">
        <v>47424</v>
      </c>
      <c r="O10420" t="s">
        <v>47425</v>
      </c>
      <c r="P10420">
        <v>0</v>
      </c>
      <c r="Q10420">
        <v>7</v>
      </c>
      <c r="R10420" t="s">
        <v>47434</v>
      </c>
      <c r="S10420" t="s">
        <v>47677</v>
      </c>
      <c r="T10420" t="s">
        <v>49250</v>
      </c>
      <c r="U10420" t="s">
        <v>58232</v>
      </c>
      <c r="V10420" t="s">
        <v>62729</v>
      </c>
      <c r="W10420" t="s">
        <v>43469</v>
      </c>
      <c r="X10420" t="s">
        <v>47438</v>
      </c>
    </row>
    <row r="10421" spans="1:24">
      <c r="A10421">
        <f>HYPERLINK("https://www.philgeps.gov.ph/GEPSNONPILOT/Tender/SplashBidNoticeAbstractUI.aspx?menuIndex=3&amp;refID=7142123&amp;Result=3","7142123")</f>
        <v>0</v>
      </c>
      <c r="B10421" t="s">
        <v>2170</v>
      </c>
      <c r="C10421" t="s">
        <v>13701</v>
      </c>
      <c r="D10421" t="s">
        <v>19066</v>
      </c>
      <c r="E10421" t="s">
        <v>28065</v>
      </c>
      <c r="F10421" t="s">
        <v>32831</v>
      </c>
      <c r="G10421" t="s">
        <v>32842</v>
      </c>
      <c r="H10421" t="s">
        <v>32848</v>
      </c>
      <c r="I10421" t="s">
        <v>4487</v>
      </c>
      <c r="J10421" t="s">
        <v>33087</v>
      </c>
      <c r="K10421" t="s">
        <v>42726</v>
      </c>
      <c r="M10421" t="s">
        <v>46494</v>
      </c>
      <c r="N10421" t="s">
        <v>47424</v>
      </c>
      <c r="O10421" t="s">
        <v>47425</v>
      </c>
      <c r="P10421">
        <v>0</v>
      </c>
      <c r="Q10421">
        <v>4</v>
      </c>
      <c r="R10421" t="s">
        <v>47434</v>
      </c>
      <c r="S10421" t="s">
        <v>47677</v>
      </c>
      <c r="T10421" t="s">
        <v>49111</v>
      </c>
      <c r="U10421" t="s">
        <v>58233</v>
      </c>
      <c r="W10421" t="s">
        <v>46494</v>
      </c>
      <c r="X10421" t="s">
        <v>47439</v>
      </c>
    </row>
    <row r="10422" spans="1:24">
      <c r="A10422">
        <f>HYPERLINK("https://www.philgeps.gov.ph/GEPSNONPILOT/Tender/SplashBidNoticeAbstractUI.aspx?menuIndex=3&amp;refID=7145366&amp;Result=3","7145366")</f>
        <v>0</v>
      </c>
      <c r="B10422" t="s">
        <v>207</v>
      </c>
      <c r="C10422" t="s">
        <v>13702</v>
      </c>
      <c r="D10422" t="s">
        <v>19050</v>
      </c>
      <c r="E10422" t="s">
        <v>28066</v>
      </c>
      <c r="F10422" t="s">
        <v>32831</v>
      </c>
      <c r="G10422" t="s">
        <v>32839</v>
      </c>
      <c r="H10422" t="s">
        <v>32848</v>
      </c>
      <c r="I10422" t="s">
        <v>7416</v>
      </c>
      <c r="J10422" t="s">
        <v>39409</v>
      </c>
      <c r="K10422" t="s">
        <v>42732</v>
      </c>
      <c r="M10422" t="s">
        <v>43205</v>
      </c>
      <c r="N10422" t="s">
        <v>47424</v>
      </c>
      <c r="O10422" t="s">
        <v>47425</v>
      </c>
      <c r="P10422">
        <v>0</v>
      </c>
      <c r="Q10422">
        <v>0</v>
      </c>
      <c r="R10422" t="s">
        <v>47434</v>
      </c>
      <c r="S10422" t="s">
        <v>47677</v>
      </c>
      <c r="T10422" t="s">
        <v>49111</v>
      </c>
      <c r="U10422" t="s">
        <v>58234</v>
      </c>
      <c r="W10422" t="s">
        <v>64433</v>
      </c>
      <c r="X10422" t="s">
        <v>47438</v>
      </c>
    </row>
    <row r="10423" spans="1:24">
      <c r="A10423">
        <f>HYPERLINK("https://www.philgeps.gov.ph/GEPSNONPILOT/Tender/SplashBidNoticeAbstractUI.aspx?menuIndex=3&amp;refID=7141865&amp;Result=3","7141865")</f>
        <v>0</v>
      </c>
      <c r="B10423" t="s">
        <v>535</v>
      </c>
      <c r="C10423" t="s">
        <v>13703</v>
      </c>
      <c r="D10423" t="s">
        <v>19019</v>
      </c>
      <c r="E10423" t="s">
        <v>28067</v>
      </c>
      <c r="F10423" t="s">
        <v>32831</v>
      </c>
      <c r="G10423" t="s">
        <v>32839</v>
      </c>
      <c r="H10423" t="s">
        <v>32848</v>
      </c>
      <c r="I10423" t="s">
        <v>4340</v>
      </c>
      <c r="J10423" t="s">
        <v>39410</v>
      </c>
      <c r="K10423" t="s">
        <v>42732</v>
      </c>
      <c r="M10423" t="s">
        <v>45597</v>
      </c>
      <c r="N10423" t="s">
        <v>47424</v>
      </c>
      <c r="O10423" t="s">
        <v>47425</v>
      </c>
      <c r="Q10423">
        <v>1</v>
      </c>
      <c r="R10423" t="s">
        <v>47434</v>
      </c>
      <c r="S10423" t="s">
        <v>47684</v>
      </c>
      <c r="T10423" t="s">
        <v>49219</v>
      </c>
      <c r="U10423" t="s">
        <v>58235</v>
      </c>
      <c r="V10423" t="s">
        <v>63377</v>
      </c>
      <c r="W10423" t="s">
        <v>45597</v>
      </c>
      <c r="X10423" t="s">
        <v>47440</v>
      </c>
    </row>
    <row r="10424" spans="1:24">
      <c r="A10424">
        <f>HYPERLINK("https://www.philgeps.gov.ph/GEPSNONPILOT/Tender/SplashBidNoticeAbstractUI.aspx?menuIndex=3&amp;refID=7141811&amp;Result=3","7141811")</f>
        <v>0</v>
      </c>
      <c r="B10424" t="s">
        <v>535</v>
      </c>
      <c r="C10424" t="s">
        <v>13704</v>
      </c>
      <c r="D10424" t="s">
        <v>19019</v>
      </c>
      <c r="E10424" t="s">
        <v>28068</v>
      </c>
      <c r="F10424" t="s">
        <v>32831</v>
      </c>
      <c r="G10424" t="s">
        <v>32839</v>
      </c>
      <c r="H10424" t="s">
        <v>32848</v>
      </c>
      <c r="I10424" t="s">
        <v>10805</v>
      </c>
      <c r="J10424" t="s">
        <v>39411</v>
      </c>
      <c r="K10424" t="s">
        <v>42732</v>
      </c>
      <c r="M10424" t="s">
        <v>45597</v>
      </c>
      <c r="N10424" t="s">
        <v>47424</v>
      </c>
      <c r="O10424" t="s">
        <v>47425</v>
      </c>
      <c r="Q10424">
        <v>4</v>
      </c>
      <c r="R10424" t="s">
        <v>47434</v>
      </c>
      <c r="S10424" t="s">
        <v>47685</v>
      </c>
      <c r="T10424" t="s">
        <v>49219</v>
      </c>
      <c r="U10424" t="s">
        <v>58236</v>
      </c>
      <c r="V10424" t="s">
        <v>63377</v>
      </c>
      <c r="W10424" t="s">
        <v>45597</v>
      </c>
      <c r="X10424" t="s">
        <v>47440</v>
      </c>
    </row>
    <row r="10425" spans="1:24">
      <c r="A10425">
        <f>HYPERLINK("https://www.philgeps.gov.ph/GEPSNONPILOT/Tender/SplashBidNoticeAbstractUI.aspx?menuIndex=3&amp;refID=7143325&amp;Result=3","7143325")</f>
        <v>0</v>
      </c>
      <c r="B10425" t="s">
        <v>535</v>
      </c>
      <c r="C10425" t="s">
        <v>13705</v>
      </c>
      <c r="D10425" t="s">
        <v>19019</v>
      </c>
      <c r="E10425" t="s">
        <v>28069</v>
      </c>
      <c r="F10425" t="s">
        <v>32831</v>
      </c>
      <c r="G10425" t="s">
        <v>32839</v>
      </c>
      <c r="H10425" t="s">
        <v>32848</v>
      </c>
      <c r="I10425" t="s">
        <v>7751</v>
      </c>
      <c r="J10425" t="s">
        <v>39412</v>
      </c>
      <c r="K10425" t="s">
        <v>42732</v>
      </c>
      <c r="M10425" t="s">
        <v>45597</v>
      </c>
      <c r="N10425" t="s">
        <v>47424</v>
      </c>
      <c r="O10425" t="s">
        <v>47425</v>
      </c>
      <c r="Q10425">
        <v>9</v>
      </c>
      <c r="R10425" t="s">
        <v>47434</v>
      </c>
      <c r="S10425" t="s">
        <v>47686</v>
      </c>
      <c r="T10425" t="s">
        <v>49219</v>
      </c>
      <c r="U10425" t="s">
        <v>58237</v>
      </c>
      <c r="V10425" t="s">
        <v>63377</v>
      </c>
      <c r="W10425" t="s">
        <v>45597</v>
      </c>
      <c r="X10425" t="s">
        <v>47439</v>
      </c>
    </row>
    <row r="10426" spans="1:24">
      <c r="A10426">
        <f>HYPERLINK("https://www.philgeps.gov.ph/GEPSNONPILOT/Tender/SplashBidNoticeAbstractUI.aspx?menuIndex=3&amp;refID=7141855&amp;Result=3","7141855")</f>
        <v>0</v>
      </c>
      <c r="B10426" t="s">
        <v>535</v>
      </c>
      <c r="C10426" t="s">
        <v>13706</v>
      </c>
      <c r="D10426" t="s">
        <v>19019</v>
      </c>
      <c r="E10426" t="s">
        <v>28070</v>
      </c>
      <c r="F10426" t="s">
        <v>32831</v>
      </c>
      <c r="G10426" t="s">
        <v>32839</v>
      </c>
      <c r="H10426" t="s">
        <v>32848</v>
      </c>
      <c r="I10426" t="s">
        <v>7751</v>
      </c>
      <c r="J10426" t="s">
        <v>39413</v>
      </c>
      <c r="K10426" t="s">
        <v>42732</v>
      </c>
      <c r="M10426" t="s">
        <v>45597</v>
      </c>
      <c r="N10426" t="s">
        <v>47424</v>
      </c>
      <c r="O10426" t="s">
        <v>47425</v>
      </c>
      <c r="Q10426">
        <v>2</v>
      </c>
      <c r="R10426" t="s">
        <v>47434</v>
      </c>
      <c r="S10426" t="s">
        <v>47687</v>
      </c>
      <c r="T10426" t="s">
        <v>49219</v>
      </c>
      <c r="U10426" t="s">
        <v>58238</v>
      </c>
      <c r="V10426" t="s">
        <v>63377</v>
      </c>
      <c r="W10426" t="s">
        <v>45597</v>
      </c>
      <c r="X10426" t="s">
        <v>47440</v>
      </c>
    </row>
    <row r="10427" spans="1:24">
      <c r="A10427">
        <f>HYPERLINK("https://www.philgeps.gov.ph/GEPSNONPILOT/Tender/SplashBidNoticeAbstractUI.aspx?menuIndex=3&amp;refID=7140765&amp;Result=3","7140765")</f>
        <v>0</v>
      </c>
      <c r="B10427" t="s">
        <v>682</v>
      </c>
      <c r="C10427" t="s">
        <v>13707</v>
      </c>
      <c r="D10427" t="s">
        <v>19067</v>
      </c>
      <c r="E10427" t="s">
        <v>28071</v>
      </c>
      <c r="F10427" t="s">
        <v>32831</v>
      </c>
      <c r="G10427" t="s">
        <v>32839</v>
      </c>
      <c r="H10427" t="s">
        <v>32849</v>
      </c>
      <c r="I10427" t="s">
        <v>4177</v>
      </c>
      <c r="J10427" t="s">
        <v>33078</v>
      </c>
      <c r="K10427" t="s">
        <v>42729</v>
      </c>
      <c r="M10427" t="s">
        <v>43701</v>
      </c>
      <c r="N10427" t="s">
        <v>47424</v>
      </c>
      <c r="O10427" t="s">
        <v>47425</v>
      </c>
      <c r="P10427">
        <v>0</v>
      </c>
      <c r="Q10427">
        <v>1</v>
      </c>
      <c r="R10427" t="s">
        <v>47434</v>
      </c>
      <c r="S10427" t="s">
        <v>47677</v>
      </c>
      <c r="T10427" t="s">
        <v>49111</v>
      </c>
      <c r="U10427" t="s">
        <v>58239</v>
      </c>
      <c r="W10427" t="s">
        <v>43701</v>
      </c>
      <c r="X10427" t="s">
        <v>47440</v>
      </c>
    </row>
    <row r="10428" spans="1:24">
      <c r="A10428">
        <f>HYPERLINK("https://www.philgeps.gov.ph/GEPSNONPILOT/Tender/SplashBidNoticeAbstractUI.aspx?menuIndex=3&amp;refID=7141846&amp;Result=3","7141846")</f>
        <v>0</v>
      </c>
      <c r="B10428" t="s">
        <v>535</v>
      </c>
      <c r="C10428" t="s">
        <v>13708</v>
      </c>
      <c r="D10428" t="s">
        <v>19019</v>
      </c>
      <c r="E10428" t="s">
        <v>28072</v>
      </c>
      <c r="F10428" t="s">
        <v>32831</v>
      </c>
      <c r="G10428" t="s">
        <v>32839</v>
      </c>
      <c r="H10428" t="s">
        <v>32848</v>
      </c>
      <c r="I10428" t="s">
        <v>32902</v>
      </c>
      <c r="J10428" t="s">
        <v>33553</v>
      </c>
      <c r="K10428" t="s">
        <v>42732</v>
      </c>
      <c r="M10428" t="s">
        <v>45597</v>
      </c>
      <c r="N10428" t="s">
        <v>47424</v>
      </c>
      <c r="O10428" t="s">
        <v>47425</v>
      </c>
      <c r="Q10428">
        <v>10</v>
      </c>
      <c r="R10428" t="s">
        <v>47434</v>
      </c>
      <c r="S10428" t="s">
        <v>47688</v>
      </c>
      <c r="T10428" t="s">
        <v>49219</v>
      </c>
      <c r="U10428" t="s">
        <v>58240</v>
      </c>
      <c r="V10428" t="s">
        <v>63377</v>
      </c>
      <c r="W10428" t="s">
        <v>45597</v>
      </c>
      <c r="X10428" t="s">
        <v>47440</v>
      </c>
    </row>
    <row r="10429" spans="1:24">
      <c r="A10429">
        <f>HYPERLINK("https://www.philgeps.gov.ph/GEPSNONPILOT/Tender/SplashBidNoticeAbstractUI.aspx?menuIndex=3&amp;refID=7142830&amp;Result=3","7142830")</f>
        <v>0</v>
      </c>
      <c r="B10429" t="s">
        <v>2170</v>
      </c>
      <c r="C10429" t="s">
        <v>13709</v>
      </c>
      <c r="D10429" t="s">
        <v>19066</v>
      </c>
      <c r="E10429" t="s">
        <v>28073</v>
      </c>
      <c r="F10429" t="s">
        <v>32831</v>
      </c>
      <c r="G10429" t="s">
        <v>32842</v>
      </c>
      <c r="H10429" t="s">
        <v>32848</v>
      </c>
      <c r="I10429" t="s">
        <v>32867</v>
      </c>
      <c r="J10429" t="s">
        <v>39414</v>
      </c>
      <c r="K10429" t="s">
        <v>42726</v>
      </c>
      <c r="M10429" t="s">
        <v>46494</v>
      </c>
      <c r="N10429" t="s">
        <v>47424</v>
      </c>
      <c r="O10429" t="s">
        <v>47425</v>
      </c>
      <c r="P10429">
        <v>0</v>
      </c>
      <c r="Q10429">
        <v>5</v>
      </c>
      <c r="R10429" t="s">
        <v>47434</v>
      </c>
      <c r="S10429" t="s">
        <v>47677</v>
      </c>
      <c r="T10429" t="s">
        <v>49111</v>
      </c>
      <c r="U10429" t="s">
        <v>58241</v>
      </c>
      <c r="W10429" t="s">
        <v>46494</v>
      </c>
      <c r="X10429" t="s">
        <v>47439</v>
      </c>
    </row>
    <row r="10430" spans="1:24">
      <c r="A10430">
        <f>HYPERLINK("https://www.philgeps.gov.ph/GEPSNONPILOT/Tender/SplashBidNoticeAbstractUI.aspx?menuIndex=3&amp;refID=7142179&amp;Result=3","7142179")</f>
        <v>0</v>
      </c>
      <c r="B10430" t="s">
        <v>2170</v>
      </c>
      <c r="C10430" t="s">
        <v>13710</v>
      </c>
      <c r="D10430" t="s">
        <v>19066</v>
      </c>
      <c r="E10430" t="s">
        <v>28074</v>
      </c>
      <c r="F10430" t="s">
        <v>32831</v>
      </c>
      <c r="G10430" t="s">
        <v>32842</v>
      </c>
      <c r="H10430" t="s">
        <v>32848</v>
      </c>
      <c r="I10430" t="s">
        <v>4487</v>
      </c>
      <c r="J10430" t="s">
        <v>39415</v>
      </c>
      <c r="K10430" t="s">
        <v>42726</v>
      </c>
      <c r="M10430" t="s">
        <v>46494</v>
      </c>
      <c r="N10430" t="s">
        <v>47424</v>
      </c>
      <c r="O10430" t="s">
        <v>47425</v>
      </c>
      <c r="P10430">
        <v>0</v>
      </c>
      <c r="Q10430">
        <v>2</v>
      </c>
      <c r="R10430" t="s">
        <v>47434</v>
      </c>
      <c r="S10430" t="s">
        <v>47677</v>
      </c>
      <c r="T10430" t="s">
        <v>49111</v>
      </c>
      <c r="U10430" t="s">
        <v>58242</v>
      </c>
      <c r="W10430" t="s">
        <v>46494</v>
      </c>
      <c r="X10430" t="s">
        <v>47439</v>
      </c>
    </row>
    <row r="10431" spans="1:24">
      <c r="A10431">
        <f>HYPERLINK("https://www.philgeps.gov.ph/GEPSNONPILOT/Tender/SplashBidNoticeAbstractUI.aspx?menuIndex=3&amp;refID=7146605&amp;Result=3","7146605")</f>
        <v>0</v>
      </c>
      <c r="B10431" t="s">
        <v>2026</v>
      </c>
      <c r="C10431" t="s">
        <v>13711</v>
      </c>
      <c r="D10431" t="s">
        <v>19019</v>
      </c>
      <c r="E10431" t="s">
        <v>28075</v>
      </c>
      <c r="F10431" t="s">
        <v>32831</v>
      </c>
      <c r="G10431" t="s">
        <v>32839</v>
      </c>
      <c r="H10431" t="s">
        <v>32849</v>
      </c>
      <c r="I10431" t="s">
        <v>4177</v>
      </c>
      <c r="J10431" t="s">
        <v>39416</v>
      </c>
      <c r="K10431" t="s">
        <v>42754</v>
      </c>
      <c r="M10431" t="s">
        <v>45194</v>
      </c>
      <c r="N10431" t="s">
        <v>47424</v>
      </c>
      <c r="O10431" t="s">
        <v>47425</v>
      </c>
      <c r="P10431">
        <v>0</v>
      </c>
      <c r="Q10431">
        <v>1</v>
      </c>
      <c r="R10431" t="s">
        <v>47434</v>
      </c>
      <c r="S10431" t="s">
        <v>47677</v>
      </c>
      <c r="T10431" t="s">
        <v>49239</v>
      </c>
      <c r="U10431" t="s">
        <v>56405</v>
      </c>
      <c r="W10431" t="s">
        <v>45194</v>
      </c>
      <c r="X10431" t="s">
        <v>47438</v>
      </c>
    </row>
    <row r="10432" spans="1:24">
      <c r="A10432">
        <f>HYPERLINK("https://www.philgeps.gov.ph/GEPSNONPILOT/Tender/SplashBidNoticeAbstractUI.aspx?menuIndex=3&amp;refID=7146526&amp;Result=3","7146526")</f>
        <v>0</v>
      </c>
      <c r="B10432" t="s">
        <v>2026</v>
      </c>
      <c r="C10432" t="s">
        <v>13712</v>
      </c>
      <c r="D10432" t="s">
        <v>19019</v>
      </c>
      <c r="E10432" t="s">
        <v>28076</v>
      </c>
      <c r="F10432" t="s">
        <v>32831</v>
      </c>
      <c r="G10432" t="s">
        <v>32839</v>
      </c>
      <c r="H10432" t="s">
        <v>32849</v>
      </c>
      <c r="I10432" t="s">
        <v>4177</v>
      </c>
      <c r="J10432" t="s">
        <v>39417</v>
      </c>
      <c r="K10432" t="s">
        <v>42746</v>
      </c>
      <c r="M10432" t="s">
        <v>45194</v>
      </c>
      <c r="N10432" t="s">
        <v>47424</v>
      </c>
      <c r="O10432" t="s">
        <v>47425</v>
      </c>
      <c r="P10432">
        <v>0</v>
      </c>
      <c r="Q10432">
        <v>2</v>
      </c>
      <c r="R10432" t="s">
        <v>47434</v>
      </c>
      <c r="S10432" t="s">
        <v>47677</v>
      </c>
      <c r="T10432" t="s">
        <v>49239</v>
      </c>
      <c r="U10432" t="s">
        <v>56405</v>
      </c>
      <c r="W10432" t="s">
        <v>45194</v>
      </c>
      <c r="X10432" t="s">
        <v>47438</v>
      </c>
    </row>
    <row r="10433" spans="1:24">
      <c r="A10433">
        <f>HYPERLINK("https://www.philgeps.gov.ph/GEPSNONPILOT/Tender/SplashBidNoticeAbstractUI.aspx?menuIndex=3&amp;refID=7146447&amp;Result=3","7146447")</f>
        <v>0</v>
      </c>
      <c r="B10433" t="s">
        <v>3192</v>
      </c>
      <c r="C10433" t="s">
        <v>13713</v>
      </c>
      <c r="D10433" t="s">
        <v>19034</v>
      </c>
      <c r="E10433" t="s">
        <v>28077</v>
      </c>
      <c r="F10433" t="s">
        <v>32831</v>
      </c>
      <c r="G10433" t="s">
        <v>32839</v>
      </c>
      <c r="H10433" t="s">
        <v>32848</v>
      </c>
      <c r="I10433" t="s">
        <v>32859</v>
      </c>
      <c r="J10433" t="s">
        <v>33561</v>
      </c>
      <c r="K10433" t="s">
        <v>42730</v>
      </c>
      <c r="M10433" t="s">
        <v>46502</v>
      </c>
      <c r="N10433" t="s">
        <v>47424</v>
      </c>
      <c r="O10433" t="s">
        <v>47425</v>
      </c>
      <c r="P10433">
        <v>0</v>
      </c>
      <c r="Q10433">
        <v>0</v>
      </c>
      <c r="R10433" t="s">
        <v>47434</v>
      </c>
      <c r="S10433" t="s">
        <v>47677</v>
      </c>
      <c r="T10433" t="s">
        <v>49192</v>
      </c>
      <c r="U10433" t="s">
        <v>49870</v>
      </c>
      <c r="W10433" t="s">
        <v>46502</v>
      </c>
      <c r="X10433" t="s">
        <v>47438</v>
      </c>
    </row>
    <row r="10434" spans="1:24">
      <c r="A10434">
        <f>HYPERLINK("https://www.philgeps.gov.ph/GEPSNONPILOT/Tender/SplashBidNoticeAbstractUI.aspx?menuIndex=3&amp;refID=7146539&amp;Result=3","7146539")</f>
        <v>0</v>
      </c>
      <c r="B10434" t="s">
        <v>3192</v>
      </c>
      <c r="C10434" t="s">
        <v>13714</v>
      </c>
      <c r="E10434" t="s">
        <v>28078</v>
      </c>
      <c r="F10434" t="s">
        <v>32831</v>
      </c>
      <c r="G10434" t="s">
        <v>32839</v>
      </c>
      <c r="H10434" t="s">
        <v>32848</v>
      </c>
      <c r="I10434" t="s">
        <v>32857</v>
      </c>
      <c r="J10434" t="s">
        <v>36484</v>
      </c>
      <c r="K10434" t="s">
        <v>42727</v>
      </c>
      <c r="M10434" t="s">
        <v>46502</v>
      </c>
      <c r="N10434" t="s">
        <v>47424</v>
      </c>
      <c r="O10434" t="s">
        <v>47425</v>
      </c>
      <c r="P10434">
        <v>0</v>
      </c>
      <c r="Q10434">
        <v>7</v>
      </c>
      <c r="R10434" t="s">
        <v>47434</v>
      </c>
      <c r="S10434" t="s">
        <v>47677</v>
      </c>
      <c r="T10434" t="s">
        <v>49192</v>
      </c>
      <c r="U10434" t="s">
        <v>49870</v>
      </c>
      <c r="W10434" t="s">
        <v>46502</v>
      </c>
      <c r="X10434" t="s">
        <v>47438</v>
      </c>
    </row>
    <row r="10435" spans="1:24">
      <c r="A10435">
        <f>HYPERLINK("https://www.philgeps.gov.ph/GEPSNONPILOT/Tender/SplashBidNoticeAbstractUI.aspx?menuIndex=3&amp;refID=7141883&amp;Result=3","7141883")</f>
        <v>0</v>
      </c>
      <c r="B10435" t="s">
        <v>535</v>
      </c>
      <c r="C10435" t="s">
        <v>13715</v>
      </c>
      <c r="D10435" t="s">
        <v>19019</v>
      </c>
      <c r="E10435" t="s">
        <v>28079</v>
      </c>
      <c r="F10435" t="s">
        <v>32831</v>
      </c>
      <c r="G10435" t="s">
        <v>32839</v>
      </c>
      <c r="H10435" t="s">
        <v>32848</v>
      </c>
      <c r="I10435" t="s">
        <v>9577</v>
      </c>
      <c r="J10435" t="s">
        <v>39418</v>
      </c>
      <c r="K10435" t="s">
        <v>42732</v>
      </c>
      <c r="M10435" t="s">
        <v>45597</v>
      </c>
      <c r="N10435" t="s">
        <v>47424</v>
      </c>
      <c r="O10435" t="s">
        <v>47425</v>
      </c>
      <c r="Q10435">
        <v>1</v>
      </c>
      <c r="R10435" t="s">
        <v>47434</v>
      </c>
      <c r="S10435" t="s">
        <v>47689</v>
      </c>
      <c r="T10435" t="s">
        <v>49219</v>
      </c>
      <c r="U10435" t="s">
        <v>58243</v>
      </c>
      <c r="V10435" t="s">
        <v>63377</v>
      </c>
      <c r="W10435" t="s">
        <v>45597</v>
      </c>
      <c r="X10435" t="s">
        <v>47440</v>
      </c>
    </row>
    <row r="10436" spans="1:24">
      <c r="A10436">
        <f>HYPERLINK("https://www.philgeps.gov.ph/GEPSNONPILOT/Tender/SplashBidNoticeAbstractUI.aspx?menuIndex=3&amp;refID=7146248&amp;Result=3","7146248")</f>
        <v>0</v>
      </c>
      <c r="B10436" t="s">
        <v>3193</v>
      </c>
      <c r="C10436" t="s">
        <v>13716</v>
      </c>
      <c r="D10436" t="s">
        <v>19071</v>
      </c>
      <c r="E10436" t="s">
        <v>28080</v>
      </c>
      <c r="F10436" t="s">
        <v>32831</v>
      </c>
      <c r="G10436" t="s">
        <v>32839</v>
      </c>
      <c r="H10436" t="s">
        <v>32848</v>
      </c>
      <c r="I10436" t="s">
        <v>32884</v>
      </c>
      <c r="J10436" t="s">
        <v>39419</v>
      </c>
      <c r="K10436" t="s">
        <v>42730</v>
      </c>
      <c r="M10436" t="s">
        <v>46503</v>
      </c>
      <c r="N10436" t="s">
        <v>47424</v>
      </c>
      <c r="O10436" t="s">
        <v>47425</v>
      </c>
      <c r="P10436">
        <v>0</v>
      </c>
      <c r="Q10436">
        <v>6</v>
      </c>
      <c r="R10436" t="s">
        <v>47434</v>
      </c>
      <c r="S10436" t="s">
        <v>47677</v>
      </c>
      <c r="T10436" t="s">
        <v>49415</v>
      </c>
      <c r="U10436" t="s">
        <v>58244</v>
      </c>
      <c r="W10436" t="s">
        <v>64540</v>
      </c>
      <c r="X10436" t="s">
        <v>47438</v>
      </c>
    </row>
    <row r="10437" spans="1:24">
      <c r="A10437">
        <f>HYPERLINK("https://www.philgeps.gov.ph/GEPSNONPILOT/Tender/SplashBidNoticeAbstractUI.aspx?menuIndex=3&amp;refID=7146138&amp;Result=3","7146138")</f>
        <v>0</v>
      </c>
      <c r="B10437" t="s">
        <v>3193</v>
      </c>
      <c r="C10437" t="s">
        <v>13717</v>
      </c>
      <c r="D10437" t="s">
        <v>19071</v>
      </c>
      <c r="E10437" t="s">
        <v>28081</v>
      </c>
      <c r="F10437" t="s">
        <v>32831</v>
      </c>
      <c r="G10437" t="s">
        <v>32839</v>
      </c>
      <c r="H10437" t="s">
        <v>32848</v>
      </c>
      <c r="I10437" t="s">
        <v>32892</v>
      </c>
      <c r="J10437" t="s">
        <v>39420</v>
      </c>
      <c r="K10437" t="s">
        <v>42731</v>
      </c>
      <c r="M10437" t="s">
        <v>46503</v>
      </c>
      <c r="N10437" t="s">
        <v>47424</v>
      </c>
      <c r="O10437" t="s">
        <v>47425</v>
      </c>
      <c r="P10437">
        <v>0</v>
      </c>
      <c r="Q10437">
        <v>3</v>
      </c>
      <c r="R10437" t="s">
        <v>47434</v>
      </c>
      <c r="S10437" t="s">
        <v>47677</v>
      </c>
      <c r="T10437" t="s">
        <v>49415</v>
      </c>
      <c r="U10437" t="s">
        <v>58245</v>
      </c>
      <c r="W10437" t="s">
        <v>64540</v>
      </c>
      <c r="X10437" t="s">
        <v>47438</v>
      </c>
    </row>
    <row r="10438" spans="1:24">
      <c r="A10438">
        <f>HYPERLINK("https://www.philgeps.gov.ph/GEPSNONPILOT/Tender/SplashBidNoticeAbstractUI.aspx?menuIndex=3&amp;refID=7152075&amp;Result=3","7152075")</f>
        <v>0</v>
      </c>
      <c r="B10438" t="s">
        <v>3194</v>
      </c>
      <c r="C10438" t="s">
        <v>10980</v>
      </c>
      <c r="D10438" t="s">
        <v>19034</v>
      </c>
      <c r="E10438" t="s">
        <v>19215</v>
      </c>
      <c r="F10438" t="s">
        <v>32831</v>
      </c>
      <c r="G10438" t="s">
        <v>32839</v>
      </c>
      <c r="H10438" t="s">
        <v>32848</v>
      </c>
      <c r="I10438" t="s">
        <v>7416</v>
      </c>
      <c r="J10438" t="s">
        <v>39421</v>
      </c>
      <c r="K10438" t="s">
        <v>42748</v>
      </c>
      <c r="M10438" t="s">
        <v>46504</v>
      </c>
      <c r="N10438" t="s">
        <v>47424</v>
      </c>
      <c r="O10438" t="s">
        <v>47425</v>
      </c>
      <c r="P10438">
        <v>0</v>
      </c>
      <c r="Q10438">
        <v>0</v>
      </c>
      <c r="R10438" t="s">
        <v>47433</v>
      </c>
      <c r="S10438" t="s">
        <v>47633</v>
      </c>
      <c r="T10438" t="s">
        <v>49237</v>
      </c>
      <c r="U10438" t="s">
        <v>58246</v>
      </c>
      <c r="W10438" t="s">
        <v>46504</v>
      </c>
      <c r="X10438" t="s">
        <v>47434</v>
      </c>
    </row>
    <row r="10439" spans="1:24">
      <c r="A10439">
        <f>HYPERLINK("https://www.philgeps.gov.ph/GEPSNONPILOT/Tender/SplashBidNoticeAbstractUI.aspx?menuIndex=3&amp;refID=7146123&amp;Result=3","7146123")</f>
        <v>0</v>
      </c>
      <c r="B10439" t="s">
        <v>3193</v>
      </c>
      <c r="C10439" t="s">
        <v>13718</v>
      </c>
      <c r="D10439" t="s">
        <v>19071</v>
      </c>
      <c r="E10439" t="s">
        <v>28082</v>
      </c>
      <c r="F10439" t="s">
        <v>32831</v>
      </c>
      <c r="G10439" t="s">
        <v>32839</v>
      </c>
      <c r="H10439" t="s">
        <v>32848</v>
      </c>
      <c r="I10439" t="s">
        <v>32914</v>
      </c>
      <c r="J10439" t="s">
        <v>33334</v>
      </c>
      <c r="K10439" t="s">
        <v>42731</v>
      </c>
      <c r="M10439" t="s">
        <v>46503</v>
      </c>
      <c r="N10439" t="s">
        <v>47424</v>
      </c>
      <c r="O10439" t="s">
        <v>47425</v>
      </c>
      <c r="P10439">
        <v>0</v>
      </c>
      <c r="Q10439">
        <v>0</v>
      </c>
      <c r="R10439" t="s">
        <v>47434</v>
      </c>
      <c r="S10439" t="s">
        <v>47677</v>
      </c>
      <c r="T10439" t="s">
        <v>49415</v>
      </c>
      <c r="U10439" t="s">
        <v>58247</v>
      </c>
      <c r="W10439" t="s">
        <v>64540</v>
      </c>
      <c r="X10439" t="s">
        <v>47438</v>
      </c>
    </row>
    <row r="10440" spans="1:24">
      <c r="A10440">
        <f>HYPERLINK("https://www.philgeps.gov.ph/GEPSNONPILOT/Tender/SplashBidNoticeAbstractUI.aspx?menuIndex=3&amp;refID=7146264&amp;Result=3","7146264")</f>
        <v>0</v>
      </c>
      <c r="B10440" t="s">
        <v>3193</v>
      </c>
      <c r="C10440" t="s">
        <v>13719</v>
      </c>
      <c r="D10440" t="s">
        <v>19071</v>
      </c>
      <c r="E10440" t="s">
        <v>28083</v>
      </c>
      <c r="F10440" t="s">
        <v>32831</v>
      </c>
      <c r="G10440" t="s">
        <v>32839</v>
      </c>
      <c r="H10440" t="s">
        <v>32848</v>
      </c>
      <c r="I10440" t="s">
        <v>32884</v>
      </c>
      <c r="J10440" t="s">
        <v>33692</v>
      </c>
      <c r="K10440" t="s">
        <v>42730</v>
      </c>
      <c r="M10440" t="s">
        <v>46503</v>
      </c>
      <c r="N10440" t="s">
        <v>47424</v>
      </c>
      <c r="O10440" t="s">
        <v>47425</v>
      </c>
      <c r="P10440">
        <v>0</v>
      </c>
      <c r="Q10440">
        <v>2</v>
      </c>
      <c r="R10440" t="s">
        <v>47434</v>
      </c>
      <c r="S10440" t="s">
        <v>47677</v>
      </c>
      <c r="T10440" t="s">
        <v>49415</v>
      </c>
      <c r="U10440" t="s">
        <v>58248</v>
      </c>
      <c r="W10440" t="s">
        <v>64540</v>
      </c>
      <c r="X10440" t="s">
        <v>47438</v>
      </c>
    </row>
    <row r="10441" spans="1:24">
      <c r="A10441">
        <f>HYPERLINK("https://www.philgeps.gov.ph/GEPSNONPILOT/Tender/SplashBidNoticeAbstractUI.aspx?menuIndex=3&amp;refID=7146086&amp;Result=3","7146086")</f>
        <v>0</v>
      </c>
      <c r="B10441" t="s">
        <v>3192</v>
      </c>
      <c r="C10441" t="s">
        <v>13720</v>
      </c>
      <c r="D10441" t="s">
        <v>19034</v>
      </c>
      <c r="E10441" t="s">
        <v>28084</v>
      </c>
      <c r="F10441" t="s">
        <v>32831</v>
      </c>
      <c r="G10441" t="s">
        <v>32839</v>
      </c>
      <c r="H10441" t="s">
        <v>32849</v>
      </c>
      <c r="I10441" t="s">
        <v>4177</v>
      </c>
      <c r="J10441" t="s">
        <v>33257</v>
      </c>
      <c r="K10441" t="s">
        <v>42727</v>
      </c>
      <c r="M10441" t="s">
        <v>46502</v>
      </c>
      <c r="N10441" t="s">
        <v>47424</v>
      </c>
      <c r="O10441" t="s">
        <v>47425</v>
      </c>
      <c r="P10441">
        <v>0</v>
      </c>
      <c r="Q10441">
        <v>0</v>
      </c>
      <c r="R10441" t="s">
        <v>47434</v>
      </c>
      <c r="S10441" t="s">
        <v>47677</v>
      </c>
      <c r="T10441" t="s">
        <v>49192</v>
      </c>
      <c r="U10441" t="s">
        <v>49870</v>
      </c>
      <c r="W10441" t="s">
        <v>46502</v>
      </c>
      <c r="X10441" t="s">
        <v>47438</v>
      </c>
    </row>
    <row r="10442" spans="1:24">
      <c r="A10442">
        <f>HYPERLINK("https://www.philgeps.gov.ph/GEPSNONPILOT/Tender/SplashBidNoticeAbstractUI.aspx?menuIndex=3&amp;refID=7145923&amp;Result=3","7145923")</f>
        <v>0</v>
      </c>
      <c r="B10442" t="s">
        <v>1979</v>
      </c>
      <c r="C10442" t="s">
        <v>13721</v>
      </c>
      <c r="D10442" t="s">
        <v>19045</v>
      </c>
      <c r="E10442" t="s">
        <v>28085</v>
      </c>
      <c r="F10442" t="s">
        <v>32832</v>
      </c>
      <c r="G10442" t="s">
        <v>32838</v>
      </c>
      <c r="H10442" t="s">
        <v>32848</v>
      </c>
      <c r="I10442" t="s">
        <v>9577</v>
      </c>
      <c r="J10442" t="s">
        <v>33660</v>
      </c>
      <c r="K10442" t="s">
        <v>42726</v>
      </c>
      <c r="M10442" t="s">
        <v>45141</v>
      </c>
      <c r="N10442" t="s">
        <v>47424</v>
      </c>
      <c r="O10442" t="s">
        <v>47425</v>
      </c>
      <c r="P10442">
        <v>0</v>
      </c>
      <c r="Q10442">
        <v>4</v>
      </c>
      <c r="R10442" t="s">
        <v>47434</v>
      </c>
      <c r="S10442" t="s">
        <v>47677</v>
      </c>
      <c r="T10442" t="s">
        <v>49166</v>
      </c>
      <c r="U10442" t="s">
        <v>58249</v>
      </c>
      <c r="W10442" t="s">
        <v>45141</v>
      </c>
      <c r="X10442" t="s">
        <v>47438</v>
      </c>
    </row>
    <row r="10443" spans="1:24">
      <c r="A10443">
        <f>HYPERLINK("https://www.philgeps.gov.ph/GEPSNONPILOT/Tender/SplashBidNoticeAbstractUI.aspx?menuIndex=3&amp;refID=7145903&amp;Result=3","7145903")</f>
        <v>0</v>
      </c>
      <c r="B10443" t="s">
        <v>214</v>
      </c>
      <c r="C10443" t="s">
        <v>13722</v>
      </c>
      <c r="E10443" t="s">
        <v>28086</v>
      </c>
      <c r="F10443" t="s">
        <v>32831</v>
      </c>
      <c r="G10443" t="s">
        <v>32839</v>
      </c>
      <c r="H10443" t="s">
        <v>32848</v>
      </c>
      <c r="I10443" t="s">
        <v>9577</v>
      </c>
      <c r="J10443" t="s">
        <v>38640</v>
      </c>
      <c r="K10443" t="s">
        <v>42726</v>
      </c>
      <c r="M10443" t="s">
        <v>43890</v>
      </c>
      <c r="N10443" t="s">
        <v>47424</v>
      </c>
      <c r="O10443" t="s">
        <v>47425</v>
      </c>
      <c r="P10443">
        <v>0</v>
      </c>
      <c r="Q10443">
        <v>1</v>
      </c>
      <c r="R10443" t="s">
        <v>47434</v>
      </c>
      <c r="S10443" t="s">
        <v>47677</v>
      </c>
      <c r="T10443" t="s">
        <v>49055</v>
      </c>
      <c r="U10443" t="s">
        <v>53657</v>
      </c>
      <c r="W10443" t="s">
        <v>43890</v>
      </c>
      <c r="X10443" t="s">
        <v>47438</v>
      </c>
    </row>
    <row r="10444" spans="1:24">
      <c r="A10444">
        <f>HYPERLINK("https://www.philgeps.gov.ph/GEPSNONPILOT/Tender/SplashBidNoticeAbstractUI.aspx?menuIndex=3&amp;refID=7146015&amp;Result=3","7146015")</f>
        <v>0</v>
      </c>
      <c r="B10444" t="s">
        <v>1979</v>
      </c>
      <c r="C10444" t="s">
        <v>13723</v>
      </c>
      <c r="D10444" t="s">
        <v>19045</v>
      </c>
      <c r="E10444" t="s">
        <v>28087</v>
      </c>
      <c r="F10444" t="s">
        <v>32832</v>
      </c>
      <c r="G10444" t="s">
        <v>32838</v>
      </c>
      <c r="H10444" t="s">
        <v>32848</v>
      </c>
      <c r="I10444" t="s">
        <v>32867</v>
      </c>
      <c r="J10444" t="s">
        <v>35350</v>
      </c>
      <c r="K10444" t="s">
        <v>42726</v>
      </c>
      <c r="M10444" t="s">
        <v>45141</v>
      </c>
      <c r="N10444" t="s">
        <v>47424</v>
      </c>
      <c r="O10444" t="s">
        <v>47425</v>
      </c>
      <c r="P10444">
        <v>0</v>
      </c>
      <c r="Q10444">
        <v>8</v>
      </c>
      <c r="R10444" t="s">
        <v>47434</v>
      </c>
      <c r="S10444" t="s">
        <v>47677</v>
      </c>
      <c r="T10444" t="s">
        <v>49166</v>
      </c>
      <c r="U10444" t="s">
        <v>58250</v>
      </c>
      <c r="W10444" t="s">
        <v>45141</v>
      </c>
      <c r="X10444" t="s">
        <v>47438</v>
      </c>
    </row>
    <row r="10445" spans="1:24">
      <c r="A10445">
        <f>HYPERLINK("https://www.philgeps.gov.ph/GEPSNONPILOT/Tender/SplashBidNoticeAbstractUI.aspx?menuIndex=3&amp;refID=7146177&amp;Result=3","7146177")</f>
        <v>0</v>
      </c>
      <c r="B10445" t="s">
        <v>3193</v>
      </c>
      <c r="C10445" t="s">
        <v>13724</v>
      </c>
      <c r="D10445" t="s">
        <v>19071</v>
      </c>
      <c r="E10445" t="s">
        <v>28088</v>
      </c>
      <c r="F10445" t="s">
        <v>32831</v>
      </c>
      <c r="G10445" t="s">
        <v>32839</v>
      </c>
      <c r="H10445" t="s">
        <v>32848</v>
      </c>
      <c r="I10445" t="s">
        <v>8781</v>
      </c>
      <c r="J10445" t="s">
        <v>39422</v>
      </c>
      <c r="K10445" t="s">
        <v>42731</v>
      </c>
      <c r="M10445" t="s">
        <v>46503</v>
      </c>
      <c r="N10445" t="s">
        <v>47424</v>
      </c>
      <c r="O10445" t="s">
        <v>47425</v>
      </c>
      <c r="P10445">
        <v>0</v>
      </c>
      <c r="Q10445">
        <v>2</v>
      </c>
      <c r="R10445" t="s">
        <v>47434</v>
      </c>
      <c r="S10445" t="s">
        <v>47677</v>
      </c>
      <c r="T10445" t="s">
        <v>49415</v>
      </c>
      <c r="U10445" t="s">
        <v>58251</v>
      </c>
      <c r="W10445" t="s">
        <v>64540</v>
      </c>
      <c r="X10445" t="s">
        <v>47438</v>
      </c>
    </row>
    <row r="10446" spans="1:24">
      <c r="A10446">
        <f>HYPERLINK("https://www.philgeps.gov.ph/GEPSNONPILOT/Tender/SplashBidNoticeAbstractUI.aspx?menuIndex=3&amp;refID=7146034&amp;Result=3","7146034")</f>
        <v>0</v>
      </c>
      <c r="B10446" t="s">
        <v>214</v>
      </c>
      <c r="C10446" t="s">
        <v>13725</v>
      </c>
      <c r="D10446" t="s">
        <v>19047</v>
      </c>
      <c r="E10446" t="s">
        <v>28089</v>
      </c>
      <c r="F10446" t="s">
        <v>32831</v>
      </c>
      <c r="G10446" t="s">
        <v>32839</v>
      </c>
      <c r="H10446" t="s">
        <v>32848</v>
      </c>
      <c r="I10446" t="s">
        <v>9577</v>
      </c>
      <c r="J10446" t="s">
        <v>39423</v>
      </c>
      <c r="K10446" t="s">
        <v>42726</v>
      </c>
      <c r="M10446" t="s">
        <v>43890</v>
      </c>
      <c r="N10446" t="s">
        <v>47424</v>
      </c>
      <c r="O10446" t="s">
        <v>47425</v>
      </c>
      <c r="P10446">
        <v>0</v>
      </c>
      <c r="Q10446">
        <v>4</v>
      </c>
      <c r="R10446" t="s">
        <v>47434</v>
      </c>
      <c r="S10446" t="s">
        <v>47677</v>
      </c>
      <c r="T10446" t="s">
        <v>49055</v>
      </c>
      <c r="U10446" t="s">
        <v>53657</v>
      </c>
      <c r="W10446" t="s">
        <v>43890</v>
      </c>
      <c r="X10446" t="s">
        <v>47438</v>
      </c>
    </row>
    <row r="10447" spans="1:24">
      <c r="A10447">
        <f>HYPERLINK("https://www.philgeps.gov.ph/GEPSNONPILOT/Tender/SplashBidNoticeAbstractUI.aspx?menuIndex=3&amp;refID=7145775&amp;Result=3","7145775")</f>
        <v>0</v>
      </c>
      <c r="B10447" t="s">
        <v>2615</v>
      </c>
      <c r="C10447" t="s">
        <v>13726</v>
      </c>
      <c r="D10447" t="s">
        <v>19043</v>
      </c>
      <c r="E10447" t="s">
        <v>28090</v>
      </c>
      <c r="F10447" t="s">
        <v>32831</v>
      </c>
      <c r="G10447" t="s">
        <v>32839</v>
      </c>
      <c r="H10447" t="s">
        <v>32849</v>
      </c>
      <c r="I10447" t="s">
        <v>4177</v>
      </c>
      <c r="J10447" t="s">
        <v>39424</v>
      </c>
      <c r="K10447" t="s">
        <v>42771</v>
      </c>
      <c r="M10447" t="s">
        <v>45834</v>
      </c>
      <c r="N10447" t="s">
        <v>47424</v>
      </c>
      <c r="O10447" t="s">
        <v>47425</v>
      </c>
      <c r="P10447">
        <v>0</v>
      </c>
      <c r="Q10447">
        <v>1</v>
      </c>
      <c r="R10447" t="s">
        <v>47434</v>
      </c>
      <c r="S10447" t="s">
        <v>47677</v>
      </c>
      <c r="T10447" t="s">
        <v>49173</v>
      </c>
      <c r="U10447" t="s">
        <v>58252</v>
      </c>
      <c r="V10447" t="s">
        <v>63489</v>
      </c>
      <c r="W10447" t="s">
        <v>45834</v>
      </c>
      <c r="X10447" t="s">
        <v>47438</v>
      </c>
    </row>
    <row r="10448" spans="1:24">
      <c r="A10448">
        <f>HYPERLINK("https://www.philgeps.gov.ph/GEPSNONPILOT/Tender/SplashBidNoticeAbstractUI.aspx?menuIndex=3&amp;refID=7152070&amp;Result=3","7152070")</f>
        <v>0</v>
      </c>
      <c r="B10448" t="s">
        <v>3168</v>
      </c>
      <c r="C10448" t="s">
        <v>13727</v>
      </c>
      <c r="E10448" t="s">
        <v>28091</v>
      </c>
      <c r="F10448" t="s">
        <v>32831</v>
      </c>
      <c r="G10448" t="s">
        <v>32839</v>
      </c>
      <c r="H10448" t="s">
        <v>32848</v>
      </c>
      <c r="I10448" t="s">
        <v>4438</v>
      </c>
      <c r="J10448" t="s">
        <v>33279</v>
      </c>
      <c r="K10448" t="s">
        <v>42732</v>
      </c>
      <c r="M10448" t="s">
        <v>46475</v>
      </c>
      <c r="N10448" t="s">
        <v>47424</v>
      </c>
      <c r="O10448" t="s">
        <v>47425</v>
      </c>
      <c r="P10448">
        <v>0</v>
      </c>
      <c r="Q10448">
        <v>0</v>
      </c>
      <c r="R10448" t="s">
        <v>47433</v>
      </c>
      <c r="S10448" t="s">
        <v>47633</v>
      </c>
      <c r="T10448" t="s">
        <v>49237</v>
      </c>
      <c r="U10448" t="s">
        <v>58253</v>
      </c>
      <c r="W10448" t="s">
        <v>46475</v>
      </c>
      <c r="X10448" t="s">
        <v>47434</v>
      </c>
    </row>
    <row r="10449" spans="1:24">
      <c r="A10449">
        <f>HYPERLINK("https://www.philgeps.gov.ph/GEPSNONPILOT/Tender/SplashBidNoticeAbstractUI.aspx?menuIndex=3&amp;refID=7146496&amp;Result=3","7146496")</f>
        <v>0</v>
      </c>
      <c r="B10449" t="s">
        <v>3192</v>
      </c>
      <c r="C10449" t="s">
        <v>13728</v>
      </c>
      <c r="D10449" t="s">
        <v>19034</v>
      </c>
      <c r="E10449" t="s">
        <v>28092</v>
      </c>
      <c r="F10449" t="s">
        <v>32831</v>
      </c>
      <c r="G10449" t="s">
        <v>32839</v>
      </c>
      <c r="H10449" t="s">
        <v>32848</v>
      </c>
      <c r="I10449" t="s">
        <v>7751</v>
      </c>
      <c r="J10449" t="s">
        <v>36025</v>
      </c>
      <c r="K10449" t="s">
        <v>42730</v>
      </c>
      <c r="M10449" t="s">
        <v>46502</v>
      </c>
      <c r="N10449" t="s">
        <v>47424</v>
      </c>
      <c r="O10449" t="s">
        <v>47425</v>
      </c>
      <c r="P10449">
        <v>0</v>
      </c>
      <c r="Q10449">
        <v>3</v>
      </c>
      <c r="R10449" t="s">
        <v>47434</v>
      </c>
      <c r="S10449" t="s">
        <v>47677</v>
      </c>
      <c r="T10449" t="s">
        <v>49192</v>
      </c>
      <c r="U10449" t="s">
        <v>49870</v>
      </c>
      <c r="W10449" t="s">
        <v>46502</v>
      </c>
      <c r="X10449" t="s">
        <v>47438</v>
      </c>
    </row>
    <row r="10450" spans="1:24">
      <c r="A10450">
        <f>HYPERLINK("https://www.philgeps.gov.ph/GEPSNONPILOT/Tender/SplashBidNoticeAbstractUI.aspx?menuIndex=3&amp;refID=7152068&amp;Result=3","7152068")</f>
        <v>0</v>
      </c>
      <c r="B10450" t="s">
        <v>2921</v>
      </c>
      <c r="C10450" t="s">
        <v>12376</v>
      </c>
      <c r="D10450" t="s">
        <v>19049</v>
      </c>
      <c r="E10450" t="s">
        <v>28093</v>
      </c>
      <c r="F10450" t="s">
        <v>32831</v>
      </c>
      <c r="G10450" t="s">
        <v>32838</v>
      </c>
      <c r="H10450" t="s">
        <v>32848</v>
      </c>
      <c r="I10450" t="s">
        <v>32874</v>
      </c>
      <c r="J10450" t="s">
        <v>33144</v>
      </c>
      <c r="K10450" t="s">
        <v>42730</v>
      </c>
      <c r="M10450" t="s">
        <v>46174</v>
      </c>
      <c r="N10450" t="s">
        <v>47424</v>
      </c>
      <c r="O10450" t="s">
        <v>47425</v>
      </c>
      <c r="P10450">
        <v>0</v>
      </c>
      <c r="Q10450">
        <v>4</v>
      </c>
      <c r="R10450" t="s">
        <v>47433</v>
      </c>
      <c r="S10450" t="s">
        <v>47633</v>
      </c>
      <c r="T10450" t="s">
        <v>49239</v>
      </c>
      <c r="U10450" t="s">
        <v>58254</v>
      </c>
      <c r="W10450" t="s">
        <v>46174</v>
      </c>
      <c r="X10450" t="s">
        <v>47434</v>
      </c>
    </row>
    <row r="10451" spans="1:24">
      <c r="A10451">
        <f>HYPERLINK("https://www.philgeps.gov.ph/GEPSNONPILOT/Tender/SplashBidNoticeAbstractUI.aspx?menuIndex=3&amp;refID=7152065&amp;Result=3","7152065")</f>
        <v>0</v>
      </c>
      <c r="B10451" t="s">
        <v>3172</v>
      </c>
      <c r="C10451" t="s">
        <v>13729</v>
      </c>
      <c r="E10451" t="s">
        <v>28094</v>
      </c>
      <c r="F10451" t="s">
        <v>32831</v>
      </c>
      <c r="G10451" t="s">
        <v>32839</v>
      </c>
      <c r="H10451" t="s">
        <v>32849</v>
      </c>
      <c r="I10451" t="s">
        <v>4177</v>
      </c>
      <c r="J10451" t="s">
        <v>39425</v>
      </c>
      <c r="K10451" t="s">
        <v>42745</v>
      </c>
      <c r="M10451" t="s">
        <v>46479</v>
      </c>
      <c r="N10451" t="s">
        <v>47424</v>
      </c>
      <c r="O10451" t="s">
        <v>47425</v>
      </c>
      <c r="P10451">
        <v>0</v>
      </c>
      <c r="Q10451">
        <v>1</v>
      </c>
      <c r="R10451" t="s">
        <v>47433</v>
      </c>
      <c r="S10451" t="s">
        <v>47633</v>
      </c>
      <c r="T10451" t="s">
        <v>49116</v>
      </c>
      <c r="U10451" t="s">
        <v>58255</v>
      </c>
      <c r="W10451" t="s">
        <v>46479</v>
      </c>
      <c r="X10451" t="s">
        <v>47434</v>
      </c>
    </row>
    <row r="10452" spans="1:24">
      <c r="A10452">
        <f>HYPERLINK("https://www.philgeps.gov.ph/GEPSNONPILOT/Tender/SplashBidNoticeAbstractUI.aspx?menuIndex=3&amp;refID=7152058&amp;Result=3","7152058")</f>
        <v>0</v>
      </c>
      <c r="B10452" t="s">
        <v>1323</v>
      </c>
      <c r="C10452" t="s">
        <v>13730</v>
      </c>
      <c r="D10452" t="s">
        <v>19085</v>
      </c>
      <c r="E10452" t="s">
        <v>28095</v>
      </c>
      <c r="F10452" t="s">
        <v>32831</v>
      </c>
      <c r="G10452" t="s">
        <v>32839</v>
      </c>
      <c r="H10452" t="s">
        <v>32849</v>
      </c>
      <c r="I10452" t="s">
        <v>4177</v>
      </c>
      <c r="J10452" t="s">
        <v>32978</v>
      </c>
      <c r="K10452" t="s">
        <v>42729</v>
      </c>
      <c r="M10452" t="s">
        <v>44394</v>
      </c>
      <c r="N10452" t="s">
        <v>47424</v>
      </c>
      <c r="O10452" t="s">
        <v>47425</v>
      </c>
      <c r="P10452">
        <v>0</v>
      </c>
      <c r="Q10452">
        <v>1</v>
      </c>
      <c r="R10452" t="s">
        <v>47433</v>
      </c>
      <c r="S10452" t="s">
        <v>47633</v>
      </c>
      <c r="T10452" t="s">
        <v>49185</v>
      </c>
      <c r="U10452" t="s">
        <v>58256</v>
      </c>
      <c r="W10452" t="s">
        <v>44394</v>
      </c>
      <c r="X10452" t="s">
        <v>47434</v>
      </c>
    </row>
    <row r="10453" spans="1:24">
      <c r="A10453">
        <f>HYPERLINK("https://www.philgeps.gov.ph/GEPSNONPILOT/Tender/SplashBidNoticeAbstractUI.aspx?menuIndex=3&amp;refID=7145312&amp;Result=3","7145312")</f>
        <v>0</v>
      </c>
      <c r="B10453" t="s">
        <v>207</v>
      </c>
      <c r="C10453" t="s">
        <v>13731</v>
      </c>
      <c r="D10453" t="s">
        <v>19050</v>
      </c>
      <c r="E10453" t="s">
        <v>28096</v>
      </c>
      <c r="F10453" t="s">
        <v>32831</v>
      </c>
      <c r="G10453" t="s">
        <v>32839</v>
      </c>
      <c r="H10453" t="s">
        <v>32848</v>
      </c>
      <c r="I10453" t="s">
        <v>7416</v>
      </c>
      <c r="J10453" t="s">
        <v>39426</v>
      </c>
      <c r="K10453" t="s">
        <v>42732</v>
      </c>
      <c r="M10453" t="s">
        <v>43205</v>
      </c>
      <c r="N10453" t="s">
        <v>47424</v>
      </c>
      <c r="O10453" t="s">
        <v>47425</v>
      </c>
      <c r="P10453">
        <v>0</v>
      </c>
      <c r="Q10453">
        <v>0</v>
      </c>
      <c r="R10453" t="s">
        <v>47434</v>
      </c>
      <c r="S10453" t="s">
        <v>47677</v>
      </c>
      <c r="T10453" t="s">
        <v>49111</v>
      </c>
      <c r="U10453" t="s">
        <v>58257</v>
      </c>
      <c r="W10453" t="s">
        <v>64433</v>
      </c>
      <c r="X10453" t="s">
        <v>47438</v>
      </c>
    </row>
    <row r="10454" spans="1:24">
      <c r="A10454">
        <f>HYPERLINK("https://www.philgeps.gov.ph/GEPSNONPILOT/Tender/SplashBidNoticeAbstractUI.aspx?menuIndex=3&amp;refID=7152074&amp;Result=3","7152074")</f>
        <v>0</v>
      </c>
      <c r="B10454" t="s">
        <v>958</v>
      </c>
      <c r="C10454" t="s">
        <v>13732</v>
      </c>
      <c r="D10454" t="s">
        <v>19097</v>
      </c>
      <c r="E10454" t="s">
        <v>28097</v>
      </c>
      <c r="F10454" t="s">
        <v>32831</v>
      </c>
      <c r="G10454" t="s">
        <v>32839</v>
      </c>
      <c r="H10454" t="s">
        <v>32848</v>
      </c>
      <c r="I10454" t="s">
        <v>4222</v>
      </c>
      <c r="J10454" t="s">
        <v>39427</v>
      </c>
      <c r="K10454" t="s">
        <v>42732</v>
      </c>
      <c r="M10454" t="s">
        <v>46267</v>
      </c>
      <c r="N10454" t="s">
        <v>47424</v>
      </c>
      <c r="O10454" t="s">
        <v>47425</v>
      </c>
      <c r="Q10454">
        <v>3</v>
      </c>
      <c r="R10454" t="s">
        <v>47433</v>
      </c>
      <c r="S10454" t="s">
        <v>47690</v>
      </c>
      <c r="T10454" t="s">
        <v>49302</v>
      </c>
      <c r="U10454" t="s">
        <v>58258</v>
      </c>
      <c r="W10454" t="s">
        <v>46267</v>
      </c>
      <c r="X10454" t="s">
        <v>47434</v>
      </c>
    </row>
    <row r="10455" spans="1:24">
      <c r="A10455">
        <f>HYPERLINK("https://www.philgeps.gov.ph/GEPSNONPILOT/Tender/SplashBidNoticeAbstractUI.aspx?menuIndex=3&amp;refID=7152057&amp;Result=3","7152057")</f>
        <v>0</v>
      </c>
      <c r="B10455" t="s">
        <v>639</v>
      </c>
      <c r="C10455" t="s">
        <v>13733</v>
      </c>
      <c r="D10455" t="s">
        <v>19017</v>
      </c>
      <c r="E10455" t="s">
        <v>13733</v>
      </c>
      <c r="F10455" t="s">
        <v>32831</v>
      </c>
      <c r="G10455" t="s">
        <v>32838</v>
      </c>
      <c r="H10455" t="s">
        <v>32848</v>
      </c>
      <c r="I10455" t="s">
        <v>9577</v>
      </c>
      <c r="J10455" t="s">
        <v>39428</v>
      </c>
      <c r="K10455" t="s">
        <v>42730</v>
      </c>
      <c r="M10455" t="s">
        <v>43656</v>
      </c>
      <c r="N10455" t="s">
        <v>47424</v>
      </c>
      <c r="O10455" t="s">
        <v>47425</v>
      </c>
      <c r="P10455">
        <v>0</v>
      </c>
      <c r="Q10455">
        <v>28</v>
      </c>
      <c r="R10455" t="s">
        <v>47433</v>
      </c>
      <c r="S10455" t="s">
        <v>47633</v>
      </c>
      <c r="T10455" t="s">
        <v>49163</v>
      </c>
      <c r="U10455" t="s">
        <v>58259</v>
      </c>
      <c r="W10455" t="s">
        <v>43656</v>
      </c>
      <c r="X10455" t="s">
        <v>47434</v>
      </c>
    </row>
    <row r="10456" spans="1:24">
      <c r="A10456">
        <f>HYPERLINK("https://www.philgeps.gov.ph/GEPSNONPILOT/Tender/SplashBidNoticeAbstractUI.aspx?menuIndex=3&amp;refID=7147419&amp;Result=3","7147419")</f>
        <v>0</v>
      </c>
      <c r="B10456" t="s">
        <v>2434</v>
      </c>
      <c r="C10456" t="s">
        <v>13734</v>
      </c>
      <c r="D10456" t="s">
        <v>19059</v>
      </c>
      <c r="E10456" t="s">
        <v>28098</v>
      </c>
      <c r="F10456" t="s">
        <v>32831</v>
      </c>
      <c r="G10456" t="s">
        <v>32839</v>
      </c>
      <c r="H10456" t="s">
        <v>32848</v>
      </c>
      <c r="I10456" t="s">
        <v>32860</v>
      </c>
      <c r="J10456" t="s">
        <v>39429</v>
      </c>
      <c r="K10456" t="s">
        <v>42727</v>
      </c>
      <c r="M10456" t="s">
        <v>45631</v>
      </c>
      <c r="N10456" t="s">
        <v>47424</v>
      </c>
      <c r="O10456" t="s">
        <v>47425</v>
      </c>
      <c r="P10456">
        <v>0</v>
      </c>
      <c r="Q10456">
        <v>5</v>
      </c>
      <c r="R10456" t="s">
        <v>47434</v>
      </c>
      <c r="S10456" t="s">
        <v>47677</v>
      </c>
      <c r="T10456" t="s">
        <v>49185</v>
      </c>
      <c r="U10456" t="s">
        <v>58260</v>
      </c>
      <c r="V10456" t="s">
        <v>63771</v>
      </c>
      <c r="W10456" t="s">
        <v>45631</v>
      </c>
      <c r="X10456" t="s">
        <v>47438</v>
      </c>
    </row>
    <row r="10457" spans="1:24">
      <c r="A10457">
        <f>HYPERLINK("https://www.philgeps.gov.ph/GEPSNONPILOT/Tender/SplashBidNoticeAbstractUI.aspx?menuIndex=3&amp;refID=7152063&amp;Result=3","7152063")</f>
        <v>0</v>
      </c>
      <c r="B10457" t="s">
        <v>3168</v>
      </c>
      <c r="C10457" t="s">
        <v>13735</v>
      </c>
      <c r="E10457" t="s">
        <v>28091</v>
      </c>
      <c r="F10457" t="s">
        <v>32831</v>
      </c>
      <c r="G10457" t="s">
        <v>32839</v>
      </c>
      <c r="H10457" t="s">
        <v>32848</v>
      </c>
      <c r="I10457" t="s">
        <v>9577</v>
      </c>
      <c r="J10457" t="s">
        <v>33279</v>
      </c>
      <c r="K10457" t="s">
        <v>42732</v>
      </c>
      <c r="M10457" t="s">
        <v>46475</v>
      </c>
      <c r="N10457" t="s">
        <v>47424</v>
      </c>
      <c r="O10457" t="s">
        <v>47425</v>
      </c>
      <c r="P10457">
        <v>0</v>
      </c>
      <c r="Q10457">
        <v>3</v>
      </c>
      <c r="R10457" t="s">
        <v>47433</v>
      </c>
      <c r="S10457" t="s">
        <v>47633</v>
      </c>
      <c r="T10457" t="s">
        <v>49237</v>
      </c>
      <c r="U10457" t="s">
        <v>58261</v>
      </c>
      <c r="W10457" t="s">
        <v>46475</v>
      </c>
      <c r="X10457" t="s">
        <v>47434</v>
      </c>
    </row>
    <row r="10458" spans="1:24">
      <c r="A10458">
        <f>HYPERLINK("https://www.philgeps.gov.ph/GEPSNONPILOT/Tender/SplashBidNoticeAbstractUI.aspx?menuIndex=3&amp;refID=7145832&amp;Result=3","7145832")</f>
        <v>0</v>
      </c>
      <c r="B10458" t="s">
        <v>2615</v>
      </c>
      <c r="C10458" t="s">
        <v>13736</v>
      </c>
      <c r="D10458" t="s">
        <v>19043</v>
      </c>
      <c r="E10458" t="s">
        <v>28099</v>
      </c>
      <c r="F10458" t="s">
        <v>32831</v>
      </c>
      <c r="G10458" t="s">
        <v>32839</v>
      </c>
      <c r="H10458" t="s">
        <v>32849</v>
      </c>
      <c r="I10458" t="s">
        <v>4177</v>
      </c>
      <c r="J10458" t="s">
        <v>39430</v>
      </c>
      <c r="K10458" t="s">
        <v>42731</v>
      </c>
      <c r="M10458" t="s">
        <v>45834</v>
      </c>
      <c r="N10458" t="s">
        <v>47424</v>
      </c>
      <c r="O10458" t="s">
        <v>47425</v>
      </c>
      <c r="P10458">
        <v>0</v>
      </c>
      <c r="Q10458">
        <v>2</v>
      </c>
      <c r="R10458" t="s">
        <v>47434</v>
      </c>
      <c r="S10458" t="s">
        <v>47677</v>
      </c>
      <c r="T10458" t="s">
        <v>49173</v>
      </c>
      <c r="U10458" t="s">
        <v>58262</v>
      </c>
      <c r="V10458" t="s">
        <v>63489</v>
      </c>
      <c r="W10458" t="s">
        <v>45834</v>
      </c>
      <c r="X10458" t="s">
        <v>47438</v>
      </c>
    </row>
    <row r="10459" spans="1:24">
      <c r="A10459">
        <f>HYPERLINK("https://www.philgeps.gov.ph/GEPSNONPILOT/Tender/SplashBidNoticeAbstractUI.aspx?menuIndex=3&amp;refID=7147349&amp;Result=3","7147349")</f>
        <v>0</v>
      </c>
      <c r="B10459" t="s">
        <v>3193</v>
      </c>
      <c r="C10459" t="s">
        <v>13737</v>
      </c>
      <c r="D10459" t="s">
        <v>19071</v>
      </c>
      <c r="E10459" t="s">
        <v>28100</v>
      </c>
      <c r="F10459" t="s">
        <v>32831</v>
      </c>
      <c r="G10459" t="s">
        <v>32839</v>
      </c>
      <c r="H10459" t="s">
        <v>32848</v>
      </c>
      <c r="I10459" t="s">
        <v>32929</v>
      </c>
      <c r="J10459" t="s">
        <v>34129</v>
      </c>
      <c r="K10459" t="s">
        <v>42732</v>
      </c>
      <c r="M10459" t="s">
        <v>46503</v>
      </c>
      <c r="N10459" t="s">
        <v>47424</v>
      </c>
      <c r="O10459" t="s">
        <v>47425</v>
      </c>
      <c r="P10459">
        <v>0</v>
      </c>
      <c r="Q10459">
        <v>2</v>
      </c>
      <c r="R10459" t="s">
        <v>47434</v>
      </c>
      <c r="S10459" t="s">
        <v>47677</v>
      </c>
      <c r="T10459" t="s">
        <v>49415</v>
      </c>
      <c r="U10459" t="s">
        <v>58263</v>
      </c>
      <c r="W10459" t="s">
        <v>64540</v>
      </c>
      <c r="X10459" t="s">
        <v>47438</v>
      </c>
    </row>
    <row r="10460" spans="1:24">
      <c r="A10460">
        <f>HYPERLINK("https://www.philgeps.gov.ph/GEPSNONPILOT/Tender/SplashBidNoticeAbstractUI.aspx?menuIndex=3&amp;refID=7147376&amp;Result=3","7147376")</f>
        <v>0</v>
      </c>
      <c r="B10460" t="s">
        <v>3193</v>
      </c>
      <c r="C10460" t="s">
        <v>13738</v>
      </c>
      <c r="D10460" t="s">
        <v>19071</v>
      </c>
      <c r="E10460" t="s">
        <v>28101</v>
      </c>
      <c r="F10460" t="s">
        <v>32831</v>
      </c>
      <c r="G10460" t="s">
        <v>32839</v>
      </c>
      <c r="H10460" t="s">
        <v>32848</v>
      </c>
      <c r="I10460" t="s">
        <v>32857</v>
      </c>
      <c r="J10460" t="s">
        <v>39431</v>
      </c>
      <c r="K10460" t="s">
        <v>42731</v>
      </c>
      <c r="M10460" t="s">
        <v>46503</v>
      </c>
      <c r="N10460" t="s">
        <v>47424</v>
      </c>
      <c r="O10460" t="s">
        <v>47425</v>
      </c>
      <c r="P10460">
        <v>0</v>
      </c>
      <c r="Q10460">
        <v>18</v>
      </c>
      <c r="R10460" t="s">
        <v>47434</v>
      </c>
      <c r="S10460" t="s">
        <v>47677</v>
      </c>
      <c r="T10460" t="s">
        <v>49095</v>
      </c>
      <c r="U10460" t="s">
        <v>58264</v>
      </c>
      <c r="W10460" t="s">
        <v>64540</v>
      </c>
      <c r="X10460" t="s">
        <v>47438</v>
      </c>
    </row>
    <row r="10461" spans="1:24">
      <c r="A10461">
        <f>HYPERLINK("https://www.philgeps.gov.ph/GEPSNONPILOT/Tender/SplashBidNoticeAbstractUI.aspx?menuIndex=3&amp;refID=7147332&amp;Result=3","7147332")</f>
        <v>0</v>
      </c>
      <c r="B10461" t="s">
        <v>3195</v>
      </c>
      <c r="C10461" t="s">
        <v>13739</v>
      </c>
      <c r="D10461" t="s">
        <v>19080</v>
      </c>
      <c r="E10461" t="s">
        <v>28102</v>
      </c>
      <c r="F10461" t="s">
        <v>32831</v>
      </c>
      <c r="G10461" t="s">
        <v>32839</v>
      </c>
      <c r="H10461" t="s">
        <v>32848</v>
      </c>
      <c r="I10461" t="s">
        <v>11727</v>
      </c>
      <c r="J10461" t="s">
        <v>33465</v>
      </c>
      <c r="K10461" t="s">
        <v>42730</v>
      </c>
      <c r="M10461" t="s">
        <v>46505</v>
      </c>
      <c r="N10461" t="s">
        <v>47424</v>
      </c>
      <c r="O10461" t="s">
        <v>47425</v>
      </c>
      <c r="P10461">
        <v>0</v>
      </c>
      <c r="Q10461">
        <v>2</v>
      </c>
      <c r="R10461" t="s">
        <v>47434</v>
      </c>
      <c r="S10461" t="s">
        <v>47677</v>
      </c>
      <c r="T10461" t="s">
        <v>49173</v>
      </c>
      <c r="U10461" t="s">
        <v>58265</v>
      </c>
      <c r="V10461" t="s">
        <v>63772</v>
      </c>
      <c r="W10461" t="s">
        <v>46505</v>
      </c>
      <c r="X10461" t="s">
        <v>47438</v>
      </c>
    </row>
    <row r="10462" spans="1:24">
      <c r="A10462">
        <f>HYPERLINK("https://www.philgeps.gov.ph/GEPSNONPILOT/Tender/SplashBidNoticeAbstractUI.aspx?menuIndex=3&amp;refID=7147324&amp;Result=3","7147324")</f>
        <v>0</v>
      </c>
      <c r="B10462" t="s">
        <v>3193</v>
      </c>
      <c r="C10462" t="s">
        <v>13740</v>
      </c>
      <c r="D10462" t="s">
        <v>19071</v>
      </c>
      <c r="E10462" t="s">
        <v>28103</v>
      </c>
      <c r="F10462" t="s">
        <v>32831</v>
      </c>
      <c r="G10462" t="s">
        <v>32839</v>
      </c>
      <c r="H10462" t="s">
        <v>32848</v>
      </c>
      <c r="I10462" t="s">
        <v>7416</v>
      </c>
      <c r="J10462" t="s">
        <v>39432</v>
      </c>
      <c r="K10462" t="s">
        <v>42731</v>
      </c>
      <c r="M10462" t="s">
        <v>46503</v>
      </c>
      <c r="N10462" t="s">
        <v>47424</v>
      </c>
      <c r="O10462" t="s">
        <v>47425</v>
      </c>
      <c r="P10462">
        <v>0</v>
      </c>
      <c r="Q10462">
        <v>1</v>
      </c>
      <c r="R10462" t="s">
        <v>47434</v>
      </c>
      <c r="S10462" t="s">
        <v>47677</v>
      </c>
      <c r="T10462" t="s">
        <v>49415</v>
      </c>
      <c r="U10462" t="s">
        <v>58266</v>
      </c>
      <c r="W10462" t="s">
        <v>64540</v>
      </c>
      <c r="X10462" t="s">
        <v>47438</v>
      </c>
    </row>
    <row r="10463" spans="1:24">
      <c r="A10463">
        <f>HYPERLINK("https://www.philgeps.gov.ph/GEPSNONPILOT/Tender/SplashBidNoticeAbstractUI.aspx?menuIndex=3&amp;refID=7147286&amp;Result=3","7147286")</f>
        <v>0</v>
      </c>
      <c r="B10463" t="s">
        <v>1794</v>
      </c>
      <c r="C10463" t="s">
        <v>13741</v>
      </c>
      <c r="D10463" t="s">
        <v>19074</v>
      </c>
      <c r="E10463" t="s">
        <v>28104</v>
      </c>
      <c r="F10463" t="s">
        <v>32831</v>
      </c>
      <c r="G10463" t="s">
        <v>32839</v>
      </c>
      <c r="H10463" t="s">
        <v>32849</v>
      </c>
      <c r="I10463" t="s">
        <v>4177</v>
      </c>
      <c r="J10463" t="s">
        <v>39433</v>
      </c>
      <c r="K10463" t="s">
        <v>42764</v>
      </c>
      <c r="M10463" t="s">
        <v>44924</v>
      </c>
      <c r="N10463" t="s">
        <v>47424</v>
      </c>
      <c r="O10463" t="s">
        <v>47425</v>
      </c>
      <c r="P10463">
        <v>0</v>
      </c>
      <c r="Q10463">
        <v>0</v>
      </c>
      <c r="R10463" t="s">
        <v>47434</v>
      </c>
      <c r="S10463" t="s">
        <v>47677</v>
      </c>
      <c r="T10463" t="s">
        <v>49265</v>
      </c>
      <c r="U10463" t="s">
        <v>58267</v>
      </c>
      <c r="W10463" t="s">
        <v>44924</v>
      </c>
      <c r="X10463" t="s">
        <v>47438</v>
      </c>
    </row>
    <row r="10464" spans="1:24">
      <c r="A10464">
        <f>HYPERLINK("https://www.philgeps.gov.ph/GEPSNONPILOT/Tender/SplashBidNoticeAbstractUI.aspx?menuIndex=3&amp;refID=7147224&amp;Result=3","7147224")</f>
        <v>0</v>
      </c>
      <c r="B10464" t="s">
        <v>1366</v>
      </c>
      <c r="C10464" t="s">
        <v>13742</v>
      </c>
      <c r="D10464" t="s">
        <v>19024</v>
      </c>
      <c r="E10464" t="s">
        <v>28105</v>
      </c>
      <c r="F10464" t="s">
        <v>32831</v>
      </c>
      <c r="G10464" t="s">
        <v>32839</v>
      </c>
      <c r="H10464" t="s">
        <v>32848</v>
      </c>
      <c r="I10464" t="s">
        <v>7751</v>
      </c>
      <c r="J10464" t="s">
        <v>35887</v>
      </c>
      <c r="K10464" t="s">
        <v>42732</v>
      </c>
      <c r="M10464" t="s">
        <v>44446</v>
      </c>
      <c r="N10464" t="s">
        <v>47424</v>
      </c>
      <c r="O10464" t="s">
        <v>47425</v>
      </c>
      <c r="P10464">
        <v>0</v>
      </c>
      <c r="Q10464">
        <v>4</v>
      </c>
      <c r="R10464" t="s">
        <v>47434</v>
      </c>
      <c r="S10464" t="s">
        <v>47677</v>
      </c>
      <c r="T10464" t="s">
        <v>49192</v>
      </c>
      <c r="U10464" t="s">
        <v>58268</v>
      </c>
      <c r="W10464" t="s">
        <v>44446</v>
      </c>
      <c r="X10464" t="s">
        <v>47438</v>
      </c>
    </row>
    <row r="10465" spans="1:24">
      <c r="A10465">
        <f>HYPERLINK("https://www.philgeps.gov.ph/GEPSNONPILOT/Tender/SplashBidNoticeAbstractUI.aspx?menuIndex=3&amp;refID=7147392&amp;Result=3","7147392")</f>
        <v>0</v>
      </c>
      <c r="B10465" t="s">
        <v>1794</v>
      </c>
      <c r="C10465" t="s">
        <v>13743</v>
      </c>
      <c r="D10465" t="s">
        <v>19074</v>
      </c>
      <c r="E10465" t="s">
        <v>28106</v>
      </c>
      <c r="F10465" t="s">
        <v>32831</v>
      </c>
      <c r="G10465" t="s">
        <v>32839</v>
      </c>
      <c r="H10465" t="s">
        <v>32849</v>
      </c>
      <c r="I10465" t="s">
        <v>4177</v>
      </c>
      <c r="J10465" t="s">
        <v>39434</v>
      </c>
      <c r="K10465" t="s">
        <v>42770</v>
      </c>
      <c r="M10465" t="s">
        <v>44924</v>
      </c>
      <c r="N10465" t="s">
        <v>47424</v>
      </c>
      <c r="O10465" t="s">
        <v>47425</v>
      </c>
      <c r="P10465">
        <v>0</v>
      </c>
      <c r="Q10465">
        <v>0</v>
      </c>
      <c r="R10465" t="s">
        <v>47434</v>
      </c>
      <c r="S10465" t="s">
        <v>47677</v>
      </c>
      <c r="T10465" t="s">
        <v>49265</v>
      </c>
      <c r="U10465" t="s">
        <v>58269</v>
      </c>
      <c r="W10465" t="s">
        <v>44924</v>
      </c>
      <c r="X10465" t="s">
        <v>47438</v>
      </c>
    </row>
    <row r="10466" spans="1:24">
      <c r="A10466">
        <f>HYPERLINK("https://www.philgeps.gov.ph/GEPSNONPILOT/Tender/SplashBidNoticeAbstractUI.aspx?menuIndex=3&amp;refID=7147101&amp;Result=3","7147101")</f>
        <v>0</v>
      </c>
      <c r="B10466" t="s">
        <v>2292</v>
      </c>
      <c r="C10466" t="s">
        <v>13744</v>
      </c>
      <c r="D10466" t="s">
        <v>19083</v>
      </c>
      <c r="E10466" t="s">
        <v>28107</v>
      </c>
      <c r="F10466" t="s">
        <v>32831</v>
      </c>
      <c r="G10466" t="s">
        <v>32839</v>
      </c>
      <c r="H10466" t="s">
        <v>32849</v>
      </c>
      <c r="I10466" t="s">
        <v>4177</v>
      </c>
      <c r="J10466" t="s">
        <v>33111</v>
      </c>
      <c r="K10466" t="s">
        <v>42839</v>
      </c>
      <c r="M10466" t="s">
        <v>46506</v>
      </c>
      <c r="N10466" t="s">
        <v>47424</v>
      </c>
      <c r="O10466" t="s">
        <v>47425</v>
      </c>
      <c r="P10466">
        <v>0</v>
      </c>
      <c r="Q10466">
        <v>0</v>
      </c>
      <c r="R10466" t="s">
        <v>47434</v>
      </c>
      <c r="S10466" t="s">
        <v>47677</v>
      </c>
      <c r="T10466" t="s">
        <v>49173</v>
      </c>
      <c r="U10466" t="s">
        <v>58270</v>
      </c>
      <c r="V10466" t="s">
        <v>63773</v>
      </c>
      <c r="W10466" t="s">
        <v>46506</v>
      </c>
      <c r="X10466" t="s">
        <v>47438</v>
      </c>
    </row>
    <row r="10467" spans="1:24">
      <c r="A10467">
        <f>HYPERLINK("https://www.philgeps.gov.ph/GEPSNONPILOT/Tender/SplashBidNoticeAbstractUI.aspx?menuIndex=3&amp;refID=7145818&amp;Result=3","7145818")</f>
        <v>0</v>
      </c>
      <c r="B10467" t="s">
        <v>2615</v>
      </c>
      <c r="C10467" t="s">
        <v>13745</v>
      </c>
      <c r="D10467" t="s">
        <v>19043</v>
      </c>
      <c r="E10467" t="s">
        <v>28108</v>
      </c>
      <c r="F10467" t="s">
        <v>32831</v>
      </c>
      <c r="G10467" t="s">
        <v>32839</v>
      </c>
      <c r="H10467" t="s">
        <v>32849</v>
      </c>
      <c r="I10467" t="s">
        <v>4177</v>
      </c>
      <c r="J10467" t="s">
        <v>33257</v>
      </c>
      <c r="K10467" t="s">
        <v>42751</v>
      </c>
      <c r="M10467" t="s">
        <v>45834</v>
      </c>
      <c r="N10467" t="s">
        <v>47424</v>
      </c>
      <c r="O10467" t="s">
        <v>47425</v>
      </c>
      <c r="P10467">
        <v>0</v>
      </c>
      <c r="Q10467">
        <v>1</v>
      </c>
      <c r="R10467" t="s">
        <v>47434</v>
      </c>
      <c r="S10467" t="s">
        <v>47677</v>
      </c>
      <c r="T10467" t="s">
        <v>49173</v>
      </c>
      <c r="U10467" t="s">
        <v>58271</v>
      </c>
      <c r="V10467" t="s">
        <v>63489</v>
      </c>
      <c r="W10467" t="s">
        <v>45834</v>
      </c>
      <c r="X10467" t="s">
        <v>47438</v>
      </c>
    </row>
    <row r="10468" spans="1:24">
      <c r="A10468">
        <f>HYPERLINK("https://www.philgeps.gov.ph/GEPSNONPILOT/Tender/SplashBidNoticeAbstractUI.aspx?menuIndex=3&amp;refID=7147053&amp;Result=3","7147053")</f>
        <v>0</v>
      </c>
      <c r="B10468" t="s">
        <v>2292</v>
      </c>
      <c r="C10468" t="s">
        <v>13746</v>
      </c>
      <c r="D10468" t="s">
        <v>19083</v>
      </c>
      <c r="E10468" t="s">
        <v>28109</v>
      </c>
      <c r="F10468" t="s">
        <v>32831</v>
      </c>
      <c r="G10468" t="s">
        <v>32839</v>
      </c>
      <c r="H10468" t="s">
        <v>32849</v>
      </c>
      <c r="I10468" t="s">
        <v>4177</v>
      </c>
      <c r="J10468" t="s">
        <v>39435</v>
      </c>
      <c r="K10468" t="s">
        <v>42931</v>
      </c>
      <c r="M10468" t="s">
        <v>46506</v>
      </c>
      <c r="N10468" t="s">
        <v>47424</v>
      </c>
      <c r="O10468" t="s">
        <v>47425</v>
      </c>
      <c r="P10468">
        <v>0</v>
      </c>
      <c r="Q10468">
        <v>1</v>
      </c>
      <c r="R10468" t="s">
        <v>47434</v>
      </c>
      <c r="S10468" t="s">
        <v>47677</v>
      </c>
      <c r="T10468" t="s">
        <v>49173</v>
      </c>
      <c r="U10468" t="s">
        <v>58272</v>
      </c>
      <c r="V10468" t="s">
        <v>63774</v>
      </c>
      <c r="W10468" t="s">
        <v>46506</v>
      </c>
      <c r="X10468" t="s">
        <v>47438</v>
      </c>
    </row>
    <row r="10469" spans="1:24">
      <c r="A10469">
        <f>HYPERLINK("https://www.philgeps.gov.ph/GEPSNONPILOT/Tender/SplashBidNoticeAbstractUI.aspx?menuIndex=3&amp;refID=7146988&amp;Result=3","7146988")</f>
        <v>0</v>
      </c>
      <c r="B10469" t="s">
        <v>2215</v>
      </c>
      <c r="C10469" t="s">
        <v>13747</v>
      </c>
      <c r="E10469" t="s">
        <v>28110</v>
      </c>
      <c r="F10469" t="s">
        <v>32831</v>
      </c>
      <c r="G10469" t="s">
        <v>32839</v>
      </c>
      <c r="H10469" t="s">
        <v>32848</v>
      </c>
      <c r="I10469" t="s">
        <v>32857</v>
      </c>
      <c r="J10469" t="s">
        <v>39436</v>
      </c>
      <c r="K10469" t="s">
        <v>42732</v>
      </c>
      <c r="M10469" t="s">
        <v>46507</v>
      </c>
      <c r="N10469" t="s">
        <v>47424</v>
      </c>
      <c r="O10469" t="s">
        <v>47425</v>
      </c>
      <c r="P10469">
        <v>0</v>
      </c>
      <c r="Q10469">
        <v>27</v>
      </c>
      <c r="R10469" t="s">
        <v>47434</v>
      </c>
      <c r="S10469" t="s">
        <v>47677</v>
      </c>
      <c r="T10469" t="s">
        <v>49192</v>
      </c>
      <c r="U10469" t="s">
        <v>58273</v>
      </c>
      <c r="W10469" t="s">
        <v>64541</v>
      </c>
      <c r="X10469" t="s">
        <v>47438</v>
      </c>
    </row>
    <row r="10470" spans="1:24">
      <c r="A10470">
        <f>HYPERLINK("https://www.philgeps.gov.ph/GEPSNONPILOT/Tender/SplashBidNoticeAbstractUI.aspx?menuIndex=3&amp;refID=7147233&amp;Result=3","7147233")</f>
        <v>0</v>
      </c>
      <c r="B10470" t="s">
        <v>95</v>
      </c>
      <c r="C10470" t="s">
        <v>13748</v>
      </c>
      <c r="D10470" t="s">
        <v>19032</v>
      </c>
      <c r="E10470" t="s">
        <v>28111</v>
      </c>
      <c r="F10470" t="s">
        <v>32831</v>
      </c>
      <c r="G10470" t="s">
        <v>32839</v>
      </c>
      <c r="H10470" t="s">
        <v>32849</v>
      </c>
      <c r="I10470" t="s">
        <v>4177</v>
      </c>
      <c r="J10470" t="s">
        <v>39437</v>
      </c>
      <c r="K10470" t="s">
        <v>42731</v>
      </c>
      <c r="M10470" t="s">
        <v>46393</v>
      </c>
      <c r="N10470" t="s">
        <v>47424</v>
      </c>
      <c r="O10470" t="s">
        <v>47425</v>
      </c>
      <c r="P10470">
        <v>0</v>
      </c>
      <c r="Q10470">
        <v>0</v>
      </c>
      <c r="R10470" t="s">
        <v>47434</v>
      </c>
      <c r="S10470" t="s">
        <v>47677</v>
      </c>
      <c r="T10470" t="s">
        <v>49166</v>
      </c>
      <c r="U10470" t="s">
        <v>58274</v>
      </c>
      <c r="W10470" t="s">
        <v>46393</v>
      </c>
      <c r="X10470" t="s">
        <v>47438</v>
      </c>
    </row>
    <row r="10471" spans="1:24">
      <c r="A10471">
        <f>HYPERLINK("https://www.philgeps.gov.ph/GEPSNONPILOT/Tender/SplashBidNoticeAbstractUI.aspx?menuIndex=3&amp;refID=7145809&amp;Result=3","7145809")</f>
        <v>0</v>
      </c>
      <c r="B10471" t="s">
        <v>2461</v>
      </c>
      <c r="C10471" t="s">
        <v>13749</v>
      </c>
      <c r="D10471" t="s">
        <v>19037</v>
      </c>
      <c r="E10471" t="s">
        <v>28112</v>
      </c>
      <c r="F10471" t="s">
        <v>32831</v>
      </c>
      <c r="G10471" t="s">
        <v>32839</v>
      </c>
      <c r="H10471" t="s">
        <v>32849</v>
      </c>
      <c r="I10471" t="s">
        <v>4177</v>
      </c>
      <c r="J10471" t="s">
        <v>39438</v>
      </c>
      <c r="K10471" t="s">
        <v>42744</v>
      </c>
      <c r="M10471" t="s">
        <v>45659</v>
      </c>
      <c r="N10471" t="s">
        <v>47424</v>
      </c>
      <c r="O10471" t="s">
        <v>47425</v>
      </c>
      <c r="P10471">
        <v>0</v>
      </c>
      <c r="Q10471">
        <v>0</v>
      </c>
      <c r="R10471" t="s">
        <v>47434</v>
      </c>
      <c r="S10471" t="s">
        <v>47677</v>
      </c>
      <c r="T10471" t="s">
        <v>49193</v>
      </c>
      <c r="U10471" t="s">
        <v>58275</v>
      </c>
      <c r="W10471" t="s">
        <v>64509</v>
      </c>
      <c r="X10471" t="s">
        <v>47438</v>
      </c>
    </row>
    <row r="10472" spans="1:24">
      <c r="A10472">
        <f>HYPERLINK("https://www.philgeps.gov.ph/GEPSNONPILOT/Tender/SplashBidNoticeAbstractUI.aspx?menuIndex=3&amp;refID=7147323&amp;Result=3","7147323")</f>
        <v>0</v>
      </c>
      <c r="B10472" t="s">
        <v>1275</v>
      </c>
      <c r="C10472" t="s">
        <v>13750</v>
      </c>
      <c r="D10472" t="s">
        <v>19091</v>
      </c>
      <c r="E10472" t="s">
        <v>28113</v>
      </c>
      <c r="F10472" t="s">
        <v>32831</v>
      </c>
      <c r="G10472" t="s">
        <v>32841</v>
      </c>
      <c r="H10472" t="s">
        <v>32849</v>
      </c>
      <c r="I10472" t="s">
        <v>4177</v>
      </c>
      <c r="J10472" t="s">
        <v>39439</v>
      </c>
      <c r="K10472" t="s">
        <v>42780</v>
      </c>
      <c r="M10472" t="s">
        <v>46488</v>
      </c>
      <c r="N10472" t="s">
        <v>47424</v>
      </c>
      <c r="O10472" t="s">
        <v>47425</v>
      </c>
      <c r="P10472">
        <v>0</v>
      </c>
      <c r="Q10472">
        <v>8</v>
      </c>
      <c r="R10472" t="s">
        <v>47434</v>
      </c>
      <c r="S10472" t="s">
        <v>47677</v>
      </c>
      <c r="T10472" t="s">
        <v>49461</v>
      </c>
      <c r="U10472" t="s">
        <v>58276</v>
      </c>
      <c r="V10472" t="s">
        <v>63775</v>
      </c>
      <c r="W10472" t="s">
        <v>46488</v>
      </c>
      <c r="X10472" t="s">
        <v>47438</v>
      </c>
    </row>
    <row r="10473" spans="1:24">
      <c r="A10473">
        <f>HYPERLINK("https://www.philgeps.gov.ph/GEPSNONPILOT/Tender/SplashBidNoticeAbstractUI.aspx?menuIndex=3&amp;refID=7148139&amp;Result=3","7148139")</f>
        <v>0</v>
      </c>
      <c r="B10473" t="s">
        <v>49</v>
      </c>
      <c r="C10473" t="s">
        <v>13751</v>
      </c>
      <c r="D10473" t="s">
        <v>19037</v>
      </c>
      <c r="E10473" t="s">
        <v>28114</v>
      </c>
      <c r="F10473" t="s">
        <v>32831</v>
      </c>
      <c r="G10473" t="s">
        <v>32839</v>
      </c>
      <c r="H10473" t="s">
        <v>32848</v>
      </c>
      <c r="I10473" t="s">
        <v>4340</v>
      </c>
      <c r="J10473" t="s">
        <v>39440</v>
      </c>
      <c r="K10473" t="s">
        <v>42726</v>
      </c>
      <c r="M10473" t="s">
        <v>43046</v>
      </c>
      <c r="N10473" t="s">
        <v>47424</v>
      </c>
      <c r="O10473" t="s">
        <v>47425</v>
      </c>
      <c r="P10473">
        <v>0</v>
      </c>
      <c r="Q10473">
        <v>0</v>
      </c>
      <c r="R10473" t="s">
        <v>47434</v>
      </c>
      <c r="S10473" t="s">
        <v>47677</v>
      </c>
      <c r="T10473" t="s">
        <v>49104</v>
      </c>
      <c r="U10473" t="s">
        <v>58277</v>
      </c>
      <c r="V10473" t="s">
        <v>62630</v>
      </c>
      <c r="W10473" t="s">
        <v>43046</v>
      </c>
      <c r="X10473" t="s">
        <v>47437</v>
      </c>
    </row>
    <row r="10474" spans="1:24">
      <c r="A10474">
        <f>HYPERLINK("https://www.philgeps.gov.ph/GEPSNONPILOT/Tender/SplashBidNoticeAbstractUI.aspx?menuIndex=3&amp;refID=7147030&amp;Result=3","7147030")</f>
        <v>0</v>
      </c>
      <c r="B10474" t="s">
        <v>3196</v>
      </c>
      <c r="C10474" t="s">
        <v>13752</v>
      </c>
      <c r="D10474" t="s">
        <v>19062</v>
      </c>
      <c r="E10474" t="s">
        <v>20379</v>
      </c>
      <c r="F10474" t="s">
        <v>32831</v>
      </c>
      <c r="G10474" t="s">
        <v>32839</v>
      </c>
      <c r="H10474" t="s">
        <v>32848</v>
      </c>
      <c r="I10474" t="s">
        <v>32854</v>
      </c>
      <c r="J10474" t="s">
        <v>33031</v>
      </c>
      <c r="K10474" t="s">
        <v>42730</v>
      </c>
      <c r="M10474" t="s">
        <v>46508</v>
      </c>
      <c r="N10474" t="s">
        <v>47424</v>
      </c>
      <c r="O10474" t="s">
        <v>47425</v>
      </c>
      <c r="P10474">
        <v>0</v>
      </c>
      <c r="Q10474">
        <v>1</v>
      </c>
      <c r="R10474" t="s">
        <v>47434</v>
      </c>
      <c r="S10474" t="s">
        <v>47677</v>
      </c>
      <c r="T10474" t="s">
        <v>49105</v>
      </c>
      <c r="U10474" t="s">
        <v>58278</v>
      </c>
      <c r="W10474" t="s">
        <v>46508</v>
      </c>
      <c r="X10474" t="s">
        <v>47438</v>
      </c>
    </row>
    <row r="10475" spans="1:24">
      <c r="A10475">
        <f>HYPERLINK("https://www.philgeps.gov.ph/GEPSNONPILOT/Tender/SplashBidNoticeAbstractUI.aspx?menuIndex=3&amp;refID=7148138&amp;Result=3","7148138")</f>
        <v>0</v>
      </c>
      <c r="B10475" t="s">
        <v>49</v>
      </c>
      <c r="C10475" t="s">
        <v>13753</v>
      </c>
      <c r="D10475" t="s">
        <v>19037</v>
      </c>
      <c r="E10475" t="s">
        <v>28115</v>
      </c>
      <c r="F10475" t="s">
        <v>32831</v>
      </c>
      <c r="G10475" t="s">
        <v>32839</v>
      </c>
      <c r="H10475" t="s">
        <v>32848</v>
      </c>
      <c r="I10475" t="s">
        <v>32870</v>
      </c>
      <c r="J10475" t="s">
        <v>39441</v>
      </c>
      <c r="K10475" t="s">
        <v>42750</v>
      </c>
      <c r="M10475" t="s">
        <v>43046</v>
      </c>
      <c r="N10475" t="s">
        <v>47424</v>
      </c>
      <c r="O10475" t="s">
        <v>47425</v>
      </c>
      <c r="P10475">
        <v>0</v>
      </c>
      <c r="Q10475">
        <v>0</v>
      </c>
      <c r="R10475" t="s">
        <v>47434</v>
      </c>
      <c r="S10475" t="s">
        <v>47677</v>
      </c>
      <c r="T10475" t="s">
        <v>49319</v>
      </c>
      <c r="U10475" t="s">
        <v>58279</v>
      </c>
      <c r="V10475" t="s">
        <v>62630</v>
      </c>
      <c r="W10475" t="s">
        <v>43046</v>
      </c>
      <c r="X10475" t="s">
        <v>47437</v>
      </c>
    </row>
    <row r="10476" spans="1:24">
      <c r="A10476">
        <f>HYPERLINK("https://www.philgeps.gov.ph/GEPSNONPILOT/Tender/SplashBidNoticeAbstractUI.aspx?menuIndex=3&amp;refID=7148137&amp;Result=3","7148137")</f>
        <v>0</v>
      </c>
      <c r="B10476" t="s">
        <v>3197</v>
      </c>
      <c r="C10476" t="s">
        <v>13754</v>
      </c>
      <c r="D10476" t="s">
        <v>19038</v>
      </c>
      <c r="E10476" t="s">
        <v>22740</v>
      </c>
      <c r="F10476" t="s">
        <v>32831</v>
      </c>
      <c r="G10476" t="s">
        <v>32839</v>
      </c>
      <c r="H10476" t="s">
        <v>32848</v>
      </c>
      <c r="I10476" t="s">
        <v>7416</v>
      </c>
      <c r="J10476" t="s">
        <v>38753</v>
      </c>
      <c r="K10476" t="s">
        <v>42742</v>
      </c>
      <c r="M10476" t="s">
        <v>46509</v>
      </c>
      <c r="N10476" t="s">
        <v>47424</v>
      </c>
      <c r="O10476" t="s">
        <v>47425</v>
      </c>
      <c r="P10476">
        <v>0</v>
      </c>
      <c r="Q10476">
        <v>1</v>
      </c>
      <c r="R10476" t="s">
        <v>47434</v>
      </c>
      <c r="S10476" t="s">
        <v>47677</v>
      </c>
      <c r="T10476" t="s">
        <v>49237</v>
      </c>
      <c r="U10476" t="s">
        <v>58280</v>
      </c>
      <c r="W10476" t="s">
        <v>46509</v>
      </c>
      <c r="X10476" t="s">
        <v>47437</v>
      </c>
    </row>
    <row r="10477" spans="1:24">
      <c r="A10477">
        <f>HYPERLINK("https://www.philgeps.gov.ph/GEPSNONPILOT/Tender/SplashBidNoticeAbstractUI.aspx?menuIndex=3&amp;refID=7148135&amp;Result=3","7148135")</f>
        <v>0</v>
      </c>
      <c r="B10477" t="s">
        <v>49</v>
      </c>
      <c r="C10477" t="s">
        <v>13755</v>
      </c>
      <c r="D10477" t="s">
        <v>19037</v>
      </c>
      <c r="E10477" t="s">
        <v>28116</v>
      </c>
      <c r="F10477" t="s">
        <v>32831</v>
      </c>
      <c r="G10477" t="s">
        <v>32839</v>
      </c>
      <c r="H10477" t="s">
        <v>32848</v>
      </c>
      <c r="I10477" t="s">
        <v>9577</v>
      </c>
      <c r="J10477" t="s">
        <v>39442</v>
      </c>
      <c r="K10477" t="s">
        <v>42726</v>
      </c>
      <c r="M10477" t="s">
        <v>43046</v>
      </c>
      <c r="N10477" t="s">
        <v>47424</v>
      </c>
      <c r="O10477" t="s">
        <v>47425</v>
      </c>
      <c r="P10477">
        <v>0</v>
      </c>
      <c r="Q10477">
        <v>0</v>
      </c>
      <c r="R10477" t="s">
        <v>47434</v>
      </c>
      <c r="S10477" t="s">
        <v>47677</v>
      </c>
      <c r="T10477" t="s">
        <v>49104</v>
      </c>
      <c r="U10477" t="s">
        <v>58281</v>
      </c>
      <c r="V10477" t="s">
        <v>62630</v>
      </c>
      <c r="W10477" t="s">
        <v>43046</v>
      </c>
      <c r="X10477" t="s">
        <v>47437</v>
      </c>
    </row>
    <row r="10478" spans="1:24">
      <c r="A10478">
        <f>HYPERLINK("https://www.philgeps.gov.ph/GEPSNONPILOT/Tender/SplashBidNoticeAbstractUI.aspx?menuIndex=3&amp;refID=7148134&amp;Result=3","7148134")</f>
        <v>0</v>
      </c>
      <c r="B10478" t="s">
        <v>49</v>
      </c>
      <c r="C10478" t="s">
        <v>13756</v>
      </c>
      <c r="D10478" t="s">
        <v>19037</v>
      </c>
      <c r="E10478" t="s">
        <v>28117</v>
      </c>
      <c r="F10478" t="s">
        <v>32831</v>
      </c>
      <c r="G10478" t="s">
        <v>32839</v>
      </c>
      <c r="H10478" t="s">
        <v>32848</v>
      </c>
      <c r="I10478" t="s">
        <v>9577</v>
      </c>
      <c r="J10478" t="s">
        <v>39443</v>
      </c>
      <c r="K10478" t="s">
        <v>42750</v>
      </c>
      <c r="M10478" t="s">
        <v>43046</v>
      </c>
      <c r="N10478" t="s">
        <v>47424</v>
      </c>
      <c r="O10478" t="s">
        <v>47425</v>
      </c>
      <c r="P10478">
        <v>0</v>
      </c>
      <c r="Q10478">
        <v>0</v>
      </c>
      <c r="R10478" t="s">
        <v>47434</v>
      </c>
      <c r="S10478" t="s">
        <v>47677</v>
      </c>
      <c r="T10478" t="s">
        <v>49104</v>
      </c>
      <c r="U10478" t="s">
        <v>58282</v>
      </c>
      <c r="V10478" t="s">
        <v>62630</v>
      </c>
      <c r="W10478" t="s">
        <v>43046</v>
      </c>
      <c r="X10478" t="s">
        <v>47437</v>
      </c>
    </row>
    <row r="10479" spans="1:24">
      <c r="A10479">
        <f>HYPERLINK("https://www.philgeps.gov.ph/GEPSNONPILOT/Tender/SplashBidNoticeAbstractUI.aspx?menuIndex=3&amp;refID=7147520&amp;Result=3","7147520")</f>
        <v>0</v>
      </c>
      <c r="B10479" t="s">
        <v>1794</v>
      </c>
      <c r="C10479" t="s">
        <v>13757</v>
      </c>
      <c r="D10479" t="s">
        <v>19074</v>
      </c>
      <c r="E10479" t="s">
        <v>28118</v>
      </c>
      <c r="F10479" t="s">
        <v>32831</v>
      </c>
      <c r="G10479" t="s">
        <v>32839</v>
      </c>
      <c r="H10479" t="s">
        <v>32849</v>
      </c>
      <c r="I10479" t="s">
        <v>4177</v>
      </c>
      <c r="J10479" t="s">
        <v>39444</v>
      </c>
      <c r="K10479" t="s">
        <v>42763</v>
      </c>
      <c r="M10479" t="s">
        <v>44924</v>
      </c>
      <c r="N10479" t="s">
        <v>47424</v>
      </c>
      <c r="O10479" t="s">
        <v>47425</v>
      </c>
      <c r="P10479">
        <v>0</v>
      </c>
      <c r="Q10479">
        <v>0</v>
      </c>
      <c r="R10479" t="s">
        <v>47434</v>
      </c>
      <c r="S10479" t="s">
        <v>47677</v>
      </c>
      <c r="T10479" t="s">
        <v>49265</v>
      </c>
      <c r="U10479" t="s">
        <v>58283</v>
      </c>
      <c r="W10479" t="s">
        <v>44924</v>
      </c>
      <c r="X10479" t="s">
        <v>47438</v>
      </c>
    </row>
    <row r="10480" spans="1:24">
      <c r="A10480">
        <f>HYPERLINK("https://www.philgeps.gov.ph/GEPSNONPILOT/Tender/SplashBidNoticeAbstractUI.aspx?menuIndex=3&amp;refID=7147963&amp;Result=3","7147963")</f>
        <v>0</v>
      </c>
      <c r="B10480" t="s">
        <v>3198</v>
      </c>
      <c r="C10480" t="s">
        <v>13758</v>
      </c>
      <c r="D10480" t="s">
        <v>19062</v>
      </c>
      <c r="E10480" t="s">
        <v>19555</v>
      </c>
      <c r="F10480" t="s">
        <v>32833</v>
      </c>
      <c r="G10480" t="s">
        <v>32838</v>
      </c>
      <c r="H10480" t="s">
        <v>32848</v>
      </c>
      <c r="I10480" t="s">
        <v>32858</v>
      </c>
      <c r="J10480" t="s">
        <v>39445</v>
      </c>
      <c r="K10480" t="s">
        <v>42758</v>
      </c>
      <c r="M10480" t="s">
        <v>46510</v>
      </c>
      <c r="N10480" t="s">
        <v>47424</v>
      </c>
      <c r="O10480" t="s">
        <v>47425</v>
      </c>
      <c r="P10480">
        <v>0</v>
      </c>
      <c r="Q10480">
        <v>0</v>
      </c>
      <c r="R10480" t="s">
        <v>47434</v>
      </c>
      <c r="S10480" t="s">
        <v>47677</v>
      </c>
      <c r="T10480" t="s">
        <v>49166</v>
      </c>
      <c r="U10480" t="s">
        <v>58284</v>
      </c>
      <c r="W10480" t="s">
        <v>46510</v>
      </c>
      <c r="X10480" t="s">
        <v>47438</v>
      </c>
    </row>
    <row r="10481" spans="1:24">
      <c r="A10481">
        <f>HYPERLINK("https://www.philgeps.gov.ph/GEPSNONPILOT/Tender/SplashBidNoticeAbstractUI.aspx?menuIndex=3&amp;refID=7147731&amp;Result=3","7147731")</f>
        <v>0</v>
      </c>
      <c r="B10481" t="s">
        <v>1794</v>
      </c>
      <c r="C10481" t="s">
        <v>13759</v>
      </c>
      <c r="D10481" t="s">
        <v>19074</v>
      </c>
      <c r="E10481" t="s">
        <v>28119</v>
      </c>
      <c r="F10481" t="s">
        <v>32831</v>
      </c>
      <c r="G10481" t="s">
        <v>32839</v>
      </c>
      <c r="H10481" t="s">
        <v>32849</v>
      </c>
      <c r="I10481" t="s">
        <v>4177</v>
      </c>
      <c r="J10481" t="s">
        <v>39446</v>
      </c>
      <c r="K10481" t="s">
        <v>42729</v>
      </c>
      <c r="M10481" t="s">
        <v>44924</v>
      </c>
      <c r="N10481" t="s">
        <v>47424</v>
      </c>
      <c r="O10481" t="s">
        <v>47425</v>
      </c>
      <c r="P10481">
        <v>0</v>
      </c>
      <c r="Q10481">
        <v>0</v>
      </c>
      <c r="R10481" t="s">
        <v>47434</v>
      </c>
      <c r="S10481" t="s">
        <v>47677</v>
      </c>
      <c r="T10481" t="s">
        <v>49265</v>
      </c>
      <c r="U10481" t="s">
        <v>58285</v>
      </c>
      <c r="W10481" t="s">
        <v>44924</v>
      </c>
      <c r="X10481" t="s">
        <v>47438</v>
      </c>
    </row>
    <row r="10482" spans="1:24">
      <c r="A10482">
        <f>HYPERLINK("https://www.philgeps.gov.ph/GEPSNONPILOT/Tender/SplashBidNoticeAbstractUI.aspx?menuIndex=3&amp;refID=7147755&amp;Result=3","7147755")</f>
        <v>0</v>
      </c>
      <c r="B10482" t="s">
        <v>1794</v>
      </c>
      <c r="C10482" t="s">
        <v>13760</v>
      </c>
      <c r="D10482" t="s">
        <v>19074</v>
      </c>
      <c r="E10482" t="s">
        <v>28120</v>
      </c>
      <c r="F10482" t="s">
        <v>32831</v>
      </c>
      <c r="G10482" t="s">
        <v>32839</v>
      </c>
      <c r="H10482" t="s">
        <v>32849</v>
      </c>
      <c r="I10482" t="s">
        <v>4177</v>
      </c>
      <c r="J10482" t="s">
        <v>39447</v>
      </c>
      <c r="K10482" t="s">
        <v>42770</v>
      </c>
      <c r="M10482" t="s">
        <v>44924</v>
      </c>
      <c r="N10482" t="s">
        <v>47424</v>
      </c>
      <c r="O10482" t="s">
        <v>47425</v>
      </c>
      <c r="P10482">
        <v>0</v>
      </c>
      <c r="Q10482">
        <v>0</v>
      </c>
      <c r="R10482" t="s">
        <v>47434</v>
      </c>
      <c r="S10482" t="s">
        <v>47677</v>
      </c>
      <c r="T10482" t="s">
        <v>49265</v>
      </c>
      <c r="U10482" t="s">
        <v>58286</v>
      </c>
      <c r="W10482" t="s">
        <v>44924</v>
      </c>
      <c r="X10482" t="s">
        <v>47438</v>
      </c>
    </row>
    <row r="10483" spans="1:24">
      <c r="A10483">
        <f>HYPERLINK("https://www.philgeps.gov.ph/GEPSNONPILOT/Tender/SplashBidNoticeAbstractUI.aspx?menuIndex=3&amp;refID=7147729&amp;Result=3","7147729")</f>
        <v>0</v>
      </c>
      <c r="B10483" t="s">
        <v>317</v>
      </c>
      <c r="C10483" t="s">
        <v>13761</v>
      </c>
      <c r="D10483" t="s">
        <v>19020</v>
      </c>
      <c r="E10483" t="s">
        <v>28121</v>
      </c>
      <c r="F10483" t="s">
        <v>32831</v>
      </c>
      <c r="G10483" t="s">
        <v>32839</v>
      </c>
      <c r="H10483" t="s">
        <v>32849</v>
      </c>
      <c r="I10483" t="s">
        <v>4177</v>
      </c>
      <c r="J10483" t="s">
        <v>33032</v>
      </c>
      <c r="K10483" t="s">
        <v>42729</v>
      </c>
      <c r="M10483" t="s">
        <v>43319</v>
      </c>
      <c r="N10483" t="s">
        <v>47424</v>
      </c>
      <c r="O10483" t="s">
        <v>47425</v>
      </c>
      <c r="P10483">
        <v>0</v>
      </c>
      <c r="Q10483">
        <v>0</v>
      </c>
      <c r="R10483" t="s">
        <v>47434</v>
      </c>
      <c r="S10483" t="s">
        <v>47677</v>
      </c>
      <c r="T10483" t="s">
        <v>49185</v>
      </c>
      <c r="U10483" t="s">
        <v>58287</v>
      </c>
      <c r="V10483" t="s">
        <v>62682</v>
      </c>
      <c r="W10483" t="s">
        <v>43319</v>
      </c>
      <c r="X10483" t="s">
        <v>47438</v>
      </c>
    </row>
    <row r="10484" spans="1:24">
      <c r="A10484">
        <f>HYPERLINK("https://www.philgeps.gov.ph/GEPSNONPILOT/Tender/SplashBidNoticeAbstractUI.aspx?menuIndex=3&amp;refID=7147183&amp;Result=3","7147183")</f>
        <v>0</v>
      </c>
      <c r="B10484" t="s">
        <v>95</v>
      </c>
      <c r="C10484" t="s">
        <v>13762</v>
      </c>
      <c r="D10484" t="s">
        <v>19032</v>
      </c>
      <c r="E10484" t="s">
        <v>28122</v>
      </c>
      <c r="F10484" t="s">
        <v>32831</v>
      </c>
      <c r="G10484" t="s">
        <v>32839</v>
      </c>
      <c r="H10484" t="s">
        <v>32849</v>
      </c>
      <c r="I10484" t="s">
        <v>4177</v>
      </c>
      <c r="J10484" t="s">
        <v>39448</v>
      </c>
      <c r="K10484" t="s">
        <v>42745</v>
      </c>
      <c r="M10484" t="s">
        <v>46393</v>
      </c>
      <c r="N10484" t="s">
        <v>47424</v>
      </c>
      <c r="O10484" t="s">
        <v>47425</v>
      </c>
      <c r="P10484">
        <v>0</v>
      </c>
      <c r="Q10484">
        <v>0</v>
      </c>
      <c r="R10484" t="s">
        <v>47434</v>
      </c>
      <c r="S10484" t="s">
        <v>47677</v>
      </c>
      <c r="T10484" t="s">
        <v>49166</v>
      </c>
      <c r="U10484" t="s">
        <v>58288</v>
      </c>
      <c r="W10484" t="s">
        <v>46393</v>
      </c>
      <c r="X10484" t="s">
        <v>47438</v>
      </c>
    </row>
    <row r="10485" spans="1:24">
      <c r="A10485">
        <f>HYPERLINK("https://www.philgeps.gov.ph/GEPSNONPILOT/Tender/SplashBidNoticeAbstractUI.aspx?menuIndex=3&amp;refID=7147740&amp;Result=3","7147740")</f>
        <v>0</v>
      </c>
      <c r="B10485" t="s">
        <v>317</v>
      </c>
      <c r="C10485" t="s">
        <v>13763</v>
      </c>
      <c r="D10485" t="s">
        <v>19020</v>
      </c>
      <c r="E10485" t="s">
        <v>28123</v>
      </c>
      <c r="F10485" t="s">
        <v>32831</v>
      </c>
      <c r="G10485" t="s">
        <v>32839</v>
      </c>
      <c r="H10485" t="s">
        <v>32849</v>
      </c>
      <c r="I10485" t="s">
        <v>4177</v>
      </c>
      <c r="J10485" t="s">
        <v>33032</v>
      </c>
      <c r="K10485" t="s">
        <v>42729</v>
      </c>
      <c r="M10485" t="s">
        <v>43319</v>
      </c>
      <c r="N10485" t="s">
        <v>47424</v>
      </c>
      <c r="O10485" t="s">
        <v>47425</v>
      </c>
      <c r="P10485">
        <v>0</v>
      </c>
      <c r="Q10485">
        <v>0</v>
      </c>
      <c r="R10485" t="s">
        <v>47434</v>
      </c>
      <c r="S10485" t="s">
        <v>47677</v>
      </c>
      <c r="T10485" t="s">
        <v>49185</v>
      </c>
      <c r="U10485" t="s">
        <v>58289</v>
      </c>
      <c r="V10485" t="s">
        <v>62682</v>
      </c>
      <c r="W10485" t="s">
        <v>43319</v>
      </c>
      <c r="X10485" t="s">
        <v>47438</v>
      </c>
    </row>
    <row r="10486" spans="1:24">
      <c r="A10486">
        <f>HYPERLINK("https://www.philgeps.gov.ph/GEPSNONPILOT/Tender/SplashBidNoticeAbstractUI.aspx?menuIndex=3&amp;refID=7148615&amp;Result=3","7148615")</f>
        <v>0</v>
      </c>
      <c r="B10486" t="s">
        <v>3199</v>
      </c>
      <c r="C10486" t="s">
        <v>13764</v>
      </c>
      <c r="D10486" t="s">
        <v>19045</v>
      </c>
      <c r="E10486" t="s">
        <v>28124</v>
      </c>
      <c r="F10486" t="s">
        <v>32831</v>
      </c>
      <c r="G10486" t="s">
        <v>32839</v>
      </c>
      <c r="H10486" t="s">
        <v>32848</v>
      </c>
      <c r="I10486" t="s">
        <v>7416</v>
      </c>
      <c r="J10486" t="s">
        <v>39449</v>
      </c>
      <c r="K10486" t="s">
        <v>42727</v>
      </c>
      <c r="M10486" t="s">
        <v>46511</v>
      </c>
      <c r="N10486" t="s">
        <v>47424</v>
      </c>
      <c r="O10486" t="s">
        <v>47425</v>
      </c>
      <c r="P10486">
        <v>0</v>
      </c>
      <c r="Q10486">
        <v>2</v>
      </c>
      <c r="R10486" t="s">
        <v>47434</v>
      </c>
      <c r="S10486" t="s">
        <v>47677</v>
      </c>
      <c r="T10486" t="s">
        <v>49084</v>
      </c>
      <c r="U10486" t="s">
        <v>58290</v>
      </c>
      <c r="W10486" t="s">
        <v>46511</v>
      </c>
      <c r="X10486" t="s">
        <v>47436</v>
      </c>
    </row>
    <row r="10487" spans="1:24">
      <c r="A10487">
        <f>HYPERLINK("https://www.philgeps.gov.ph/GEPSNONPILOT/Tender/SplashBidNoticeAbstractUI.aspx?menuIndex=3&amp;refID=7148528&amp;Result=3","7148528")</f>
        <v>0</v>
      </c>
      <c r="B10487" t="s">
        <v>3200</v>
      </c>
      <c r="C10487" t="s">
        <v>13765</v>
      </c>
      <c r="D10487" t="s">
        <v>19017</v>
      </c>
      <c r="E10487" t="s">
        <v>28125</v>
      </c>
      <c r="F10487" t="s">
        <v>32831</v>
      </c>
      <c r="G10487" t="s">
        <v>32839</v>
      </c>
      <c r="H10487" t="s">
        <v>32848</v>
      </c>
      <c r="I10487" t="s">
        <v>4438</v>
      </c>
      <c r="J10487" t="s">
        <v>32983</v>
      </c>
      <c r="K10487" t="s">
        <v>42731</v>
      </c>
      <c r="M10487" t="s">
        <v>46512</v>
      </c>
      <c r="N10487" t="s">
        <v>47424</v>
      </c>
      <c r="O10487" t="s">
        <v>47425</v>
      </c>
      <c r="P10487">
        <v>0</v>
      </c>
      <c r="Q10487">
        <v>0</v>
      </c>
      <c r="R10487" t="s">
        <v>47434</v>
      </c>
      <c r="S10487" t="s">
        <v>47677</v>
      </c>
      <c r="T10487" t="s">
        <v>49530</v>
      </c>
      <c r="U10487" t="s">
        <v>58291</v>
      </c>
      <c r="W10487" t="s">
        <v>46512</v>
      </c>
      <c r="X10487" t="s">
        <v>47437</v>
      </c>
    </row>
    <row r="10488" spans="1:24">
      <c r="A10488">
        <f>HYPERLINK("https://www.philgeps.gov.ph/GEPSNONPILOT/Tender/SplashBidNoticeAbstractUI.aspx?menuIndex=3&amp;refID=7147722&amp;Result=3","7147722")</f>
        <v>0</v>
      </c>
      <c r="B10488" t="s">
        <v>308</v>
      </c>
      <c r="C10488" t="s">
        <v>11258</v>
      </c>
      <c r="D10488" t="s">
        <v>19077</v>
      </c>
      <c r="E10488" t="s">
        <v>28126</v>
      </c>
      <c r="F10488" t="s">
        <v>32831</v>
      </c>
      <c r="G10488" t="s">
        <v>32839</v>
      </c>
      <c r="H10488" t="s">
        <v>32848</v>
      </c>
      <c r="I10488" t="s">
        <v>4558</v>
      </c>
      <c r="J10488" t="s">
        <v>39450</v>
      </c>
      <c r="K10488" t="s">
        <v>42730</v>
      </c>
      <c r="M10488" t="s">
        <v>43310</v>
      </c>
      <c r="N10488" t="s">
        <v>47424</v>
      </c>
      <c r="O10488" t="s">
        <v>47425</v>
      </c>
      <c r="P10488">
        <v>0</v>
      </c>
      <c r="Q10488">
        <v>7</v>
      </c>
      <c r="R10488" t="s">
        <v>47434</v>
      </c>
      <c r="S10488" t="s">
        <v>47677</v>
      </c>
      <c r="T10488" t="s">
        <v>49192</v>
      </c>
      <c r="U10488" t="s">
        <v>58292</v>
      </c>
      <c r="W10488" t="s">
        <v>43310</v>
      </c>
      <c r="X10488" t="s">
        <v>47438</v>
      </c>
    </row>
    <row r="10489" spans="1:24">
      <c r="A10489">
        <f>HYPERLINK("https://www.philgeps.gov.ph/GEPSNONPILOT/Tender/SplashBidNoticeAbstractUI.aspx?menuIndex=3&amp;refID=7148481&amp;Result=3","7148481")</f>
        <v>0</v>
      </c>
      <c r="B10489" t="s">
        <v>2089</v>
      </c>
      <c r="C10489" t="s">
        <v>13766</v>
      </c>
      <c r="E10489" t="s">
        <v>28127</v>
      </c>
      <c r="F10489" t="s">
        <v>32831</v>
      </c>
      <c r="G10489" t="s">
        <v>32838</v>
      </c>
      <c r="H10489" t="s">
        <v>32848</v>
      </c>
      <c r="I10489" t="s">
        <v>4776</v>
      </c>
      <c r="J10489" t="s">
        <v>39451</v>
      </c>
      <c r="K10489" t="s">
        <v>42732</v>
      </c>
      <c r="M10489" t="s">
        <v>46513</v>
      </c>
      <c r="N10489" t="s">
        <v>47424</v>
      </c>
      <c r="O10489" t="s">
        <v>47425</v>
      </c>
      <c r="Q10489">
        <v>3</v>
      </c>
      <c r="R10489" t="s">
        <v>47434</v>
      </c>
      <c r="S10489" t="s">
        <v>47691</v>
      </c>
      <c r="T10489" t="s">
        <v>49249</v>
      </c>
      <c r="U10489" t="s">
        <v>58293</v>
      </c>
      <c r="W10489" t="s">
        <v>64498</v>
      </c>
      <c r="X10489" t="s">
        <v>47437</v>
      </c>
    </row>
    <row r="10490" spans="1:24">
      <c r="A10490">
        <f>HYPERLINK("https://www.philgeps.gov.ph/GEPSNONPILOT/Tender/SplashBidNoticeAbstractUI.aspx?menuIndex=3&amp;refID=7148367&amp;Result=3","7148367")</f>
        <v>0</v>
      </c>
      <c r="B10490" t="s">
        <v>3201</v>
      </c>
      <c r="C10490" t="s">
        <v>13767</v>
      </c>
      <c r="D10490" t="s">
        <v>19045</v>
      </c>
      <c r="E10490" t="s">
        <v>19351</v>
      </c>
      <c r="F10490" t="s">
        <v>32831</v>
      </c>
      <c r="G10490" t="s">
        <v>32839</v>
      </c>
      <c r="H10490" t="s">
        <v>32849</v>
      </c>
      <c r="I10490" t="s">
        <v>4177</v>
      </c>
      <c r="J10490" t="s">
        <v>33692</v>
      </c>
      <c r="K10490" t="s">
        <v>42729</v>
      </c>
      <c r="M10490" t="s">
        <v>46514</v>
      </c>
      <c r="N10490" t="s">
        <v>47424</v>
      </c>
      <c r="O10490" t="s">
        <v>47425</v>
      </c>
      <c r="P10490">
        <v>0</v>
      </c>
      <c r="Q10490">
        <v>0</v>
      </c>
      <c r="R10490" t="s">
        <v>47434</v>
      </c>
      <c r="S10490" t="s">
        <v>47677</v>
      </c>
      <c r="T10490" t="s">
        <v>49129</v>
      </c>
      <c r="U10490" t="s">
        <v>58294</v>
      </c>
      <c r="W10490" t="s">
        <v>46514</v>
      </c>
      <c r="X10490" t="s">
        <v>47437</v>
      </c>
    </row>
    <row r="10491" spans="1:24">
      <c r="A10491">
        <f>HYPERLINK("https://www.philgeps.gov.ph/GEPSNONPILOT/Tender/SplashBidNoticeAbstractUI.aspx?menuIndex=3&amp;refID=7148468&amp;Result=3","7148468")</f>
        <v>0</v>
      </c>
      <c r="B10491" t="s">
        <v>1100</v>
      </c>
      <c r="C10491" t="s">
        <v>13768</v>
      </c>
      <c r="D10491" t="s">
        <v>19062</v>
      </c>
      <c r="E10491" t="s">
        <v>28128</v>
      </c>
      <c r="F10491" t="s">
        <v>32831</v>
      </c>
      <c r="G10491" t="s">
        <v>32839</v>
      </c>
      <c r="H10491" t="s">
        <v>32848</v>
      </c>
      <c r="I10491" t="s">
        <v>4487</v>
      </c>
      <c r="J10491" t="s">
        <v>39452</v>
      </c>
      <c r="K10491" t="s">
        <v>42726</v>
      </c>
      <c r="M10491" t="s">
        <v>44160</v>
      </c>
      <c r="N10491" t="s">
        <v>47424</v>
      </c>
      <c r="O10491" t="s">
        <v>47425</v>
      </c>
      <c r="P10491">
        <v>0</v>
      </c>
      <c r="Q10491">
        <v>11</v>
      </c>
      <c r="R10491" t="s">
        <v>47434</v>
      </c>
      <c r="S10491" t="s">
        <v>47677</v>
      </c>
      <c r="T10491" t="s">
        <v>49561</v>
      </c>
      <c r="U10491" t="s">
        <v>58295</v>
      </c>
      <c r="V10491" t="s">
        <v>63219</v>
      </c>
      <c r="W10491" t="s">
        <v>44160</v>
      </c>
      <c r="X10491" t="s">
        <v>47437</v>
      </c>
    </row>
    <row r="10492" spans="1:24">
      <c r="A10492">
        <f>HYPERLINK("https://www.philgeps.gov.ph/GEPSNONPILOT/Tender/SplashBidNoticeAbstractUI.aspx?menuIndex=3&amp;refID=7148536&amp;Result=3","7148536")</f>
        <v>0</v>
      </c>
      <c r="B10492" t="s">
        <v>3200</v>
      </c>
      <c r="C10492" t="s">
        <v>13769</v>
      </c>
      <c r="D10492" t="s">
        <v>19017</v>
      </c>
      <c r="E10492" t="s">
        <v>28129</v>
      </c>
      <c r="F10492" t="s">
        <v>32831</v>
      </c>
      <c r="G10492" t="s">
        <v>32839</v>
      </c>
      <c r="H10492" t="s">
        <v>32848</v>
      </c>
      <c r="I10492" t="s">
        <v>4438</v>
      </c>
      <c r="J10492" t="s">
        <v>39453</v>
      </c>
      <c r="K10492" t="s">
        <v>42731</v>
      </c>
      <c r="M10492" t="s">
        <v>46512</v>
      </c>
      <c r="N10492" t="s">
        <v>47424</v>
      </c>
      <c r="O10492" t="s">
        <v>47425</v>
      </c>
      <c r="P10492">
        <v>0</v>
      </c>
      <c r="Q10492">
        <v>1</v>
      </c>
      <c r="R10492" t="s">
        <v>47434</v>
      </c>
      <c r="S10492" t="s">
        <v>47677</v>
      </c>
      <c r="T10492" t="s">
        <v>49134</v>
      </c>
      <c r="U10492" t="s">
        <v>58296</v>
      </c>
      <c r="W10492" t="s">
        <v>46512</v>
      </c>
      <c r="X10492" t="s">
        <v>47437</v>
      </c>
    </row>
    <row r="10493" spans="1:24">
      <c r="A10493">
        <f>HYPERLINK("https://www.philgeps.gov.ph/GEPSNONPILOT/Tender/SplashBidNoticeAbstractUI.aspx?menuIndex=3&amp;refID=7148510&amp;Result=3","7148510")</f>
        <v>0</v>
      </c>
      <c r="B10493" t="s">
        <v>3200</v>
      </c>
      <c r="C10493" t="s">
        <v>13770</v>
      </c>
      <c r="D10493" t="s">
        <v>19017</v>
      </c>
      <c r="E10493" t="s">
        <v>28130</v>
      </c>
      <c r="F10493" t="s">
        <v>32831</v>
      </c>
      <c r="G10493" t="s">
        <v>32839</v>
      </c>
      <c r="H10493" t="s">
        <v>32848</v>
      </c>
      <c r="I10493" t="s">
        <v>4438</v>
      </c>
      <c r="J10493" t="s">
        <v>33626</v>
      </c>
      <c r="K10493" t="s">
        <v>42731</v>
      </c>
      <c r="M10493" t="s">
        <v>46512</v>
      </c>
      <c r="N10493" t="s">
        <v>47424</v>
      </c>
      <c r="O10493" t="s">
        <v>47425</v>
      </c>
      <c r="P10493">
        <v>0</v>
      </c>
      <c r="Q10493">
        <v>0</v>
      </c>
      <c r="R10493" t="s">
        <v>47434</v>
      </c>
      <c r="S10493" t="s">
        <v>47677</v>
      </c>
      <c r="T10493" t="s">
        <v>49374</v>
      </c>
      <c r="U10493" t="s">
        <v>58297</v>
      </c>
      <c r="W10493" t="s">
        <v>46512</v>
      </c>
      <c r="X10493" t="s">
        <v>47437</v>
      </c>
    </row>
    <row r="10494" spans="1:24">
      <c r="A10494">
        <f>HYPERLINK("https://www.philgeps.gov.ph/GEPSNONPILOT/Tender/SplashBidNoticeAbstractUI.aspx?menuIndex=3&amp;refID=7148332&amp;Result=3","7148332")</f>
        <v>0</v>
      </c>
      <c r="B10494" t="s">
        <v>1100</v>
      </c>
      <c r="C10494" t="s">
        <v>13771</v>
      </c>
      <c r="D10494" t="s">
        <v>19062</v>
      </c>
      <c r="E10494" t="s">
        <v>28131</v>
      </c>
      <c r="F10494" t="s">
        <v>32831</v>
      </c>
      <c r="G10494" t="s">
        <v>32839</v>
      </c>
      <c r="H10494" t="s">
        <v>32848</v>
      </c>
      <c r="I10494" t="s">
        <v>11727</v>
      </c>
      <c r="J10494" t="s">
        <v>34860</v>
      </c>
      <c r="K10494" t="s">
        <v>42770</v>
      </c>
      <c r="M10494" t="s">
        <v>44160</v>
      </c>
      <c r="N10494" t="s">
        <v>47424</v>
      </c>
      <c r="O10494" t="s">
        <v>47425</v>
      </c>
      <c r="P10494">
        <v>0</v>
      </c>
      <c r="Q10494">
        <v>2</v>
      </c>
      <c r="R10494" t="s">
        <v>47434</v>
      </c>
      <c r="S10494" t="s">
        <v>47677</v>
      </c>
      <c r="T10494" t="s">
        <v>49452</v>
      </c>
      <c r="U10494" t="s">
        <v>58298</v>
      </c>
      <c r="V10494" t="s">
        <v>63219</v>
      </c>
      <c r="W10494" t="s">
        <v>44160</v>
      </c>
      <c r="X10494" t="s">
        <v>47437</v>
      </c>
    </row>
    <row r="10495" spans="1:24">
      <c r="A10495">
        <f>HYPERLINK("https://www.philgeps.gov.ph/GEPSNONPILOT/Tender/SplashBidNoticeAbstractUI.aspx?menuIndex=3&amp;refID=7148288&amp;Result=3","7148288")</f>
        <v>0</v>
      </c>
      <c r="B10495" t="s">
        <v>3202</v>
      </c>
      <c r="C10495" t="s">
        <v>13772</v>
      </c>
      <c r="D10495" t="s">
        <v>19057</v>
      </c>
      <c r="E10495" t="s">
        <v>28132</v>
      </c>
      <c r="F10495" t="s">
        <v>32831</v>
      </c>
      <c r="G10495" t="s">
        <v>32839</v>
      </c>
      <c r="H10495" t="s">
        <v>32848</v>
      </c>
      <c r="I10495" t="s">
        <v>6526</v>
      </c>
      <c r="J10495" t="s">
        <v>32976</v>
      </c>
      <c r="K10495" t="s">
        <v>42731</v>
      </c>
      <c r="M10495" t="s">
        <v>46515</v>
      </c>
      <c r="N10495" t="s">
        <v>47424</v>
      </c>
      <c r="O10495" t="s">
        <v>47425</v>
      </c>
      <c r="P10495">
        <v>0</v>
      </c>
      <c r="Q10495">
        <v>0</v>
      </c>
      <c r="R10495" t="s">
        <v>47434</v>
      </c>
      <c r="S10495" t="s">
        <v>47677</v>
      </c>
      <c r="T10495" t="s">
        <v>49239</v>
      </c>
      <c r="U10495" t="s">
        <v>58299</v>
      </c>
      <c r="W10495" t="s">
        <v>46515</v>
      </c>
      <c r="X10495" t="s">
        <v>47437</v>
      </c>
    </row>
    <row r="10496" spans="1:24">
      <c r="A10496">
        <f>HYPERLINK("https://www.philgeps.gov.ph/GEPSNONPILOT/Tender/SplashBidNoticeAbstractUI.aspx?menuIndex=3&amp;refID=7148637&amp;Result=3","7148637")</f>
        <v>0</v>
      </c>
      <c r="B10496" t="s">
        <v>3203</v>
      </c>
      <c r="C10496" t="s">
        <v>13773</v>
      </c>
      <c r="D10496" t="s">
        <v>19038</v>
      </c>
      <c r="E10496" t="s">
        <v>28133</v>
      </c>
      <c r="F10496" t="s">
        <v>32831</v>
      </c>
      <c r="G10496" t="s">
        <v>32839</v>
      </c>
      <c r="H10496" t="s">
        <v>32849</v>
      </c>
      <c r="I10496" t="s">
        <v>4177</v>
      </c>
      <c r="J10496" t="s">
        <v>35538</v>
      </c>
      <c r="K10496" t="s">
        <v>42829</v>
      </c>
      <c r="M10496" t="s">
        <v>46516</v>
      </c>
      <c r="N10496" t="s">
        <v>47424</v>
      </c>
      <c r="O10496" t="s">
        <v>47425</v>
      </c>
      <c r="Q10496">
        <v>0</v>
      </c>
      <c r="R10496" t="s">
        <v>47434</v>
      </c>
      <c r="S10496" t="s">
        <v>47692</v>
      </c>
      <c r="T10496" t="s">
        <v>49236</v>
      </c>
      <c r="U10496" t="s">
        <v>58300</v>
      </c>
      <c r="W10496" t="s">
        <v>46516</v>
      </c>
      <c r="X10496" t="s">
        <v>47436</v>
      </c>
    </row>
    <row r="10497" spans="1:24">
      <c r="A10497">
        <f>HYPERLINK("https://www.philgeps.gov.ph/GEPSNONPILOT/Tender/SplashBidNoticeAbstractUI.aspx?menuIndex=3&amp;refID=7148249&amp;Result=3","7148249")</f>
        <v>0</v>
      </c>
      <c r="B10497" t="s">
        <v>3204</v>
      </c>
      <c r="C10497" t="s">
        <v>13774</v>
      </c>
      <c r="D10497" t="s">
        <v>19045</v>
      </c>
      <c r="E10497" t="s">
        <v>28134</v>
      </c>
      <c r="F10497" t="s">
        <v>32832</v>
      </c>
      <c r="G10497" t="s">
        <v>32839</v>
      </c>
      <c r="H10497" t="s">
        <v>32849</v>
      </c>
      <c r="I10497" t="s">
        <v>4177</v>
      </c>
      <c r="J10497" t="s">
        <v>39454</v>
      </c>
      <c r="K10497" t="s">
        <v>42730</v>
      </c>
      <c r="M10497" t="s">
        <v>46517</v>
      </c>
      <c r="N10497" t="s">
        <v>47424</v>
      </c>
      <c r="O10497" t="s">
        <v>47425</v>
      </c>
      <c r="P10497">
        <v>0</v>
      </c>
      <c r="Q10497">
        <v>0</v>
      </c>
      <c r="R10497" t="s">
        <v>47434</v>
      </c>
      <c r="S10497" t="s">
        <v>47677</v>
      </c>
      <c r="T10497" t="s">
        <v>49073</v>
      </c>
      <c r="U10497" t="s">
        <v>58301</v>
      </c>
      <c r="W10497" t="s">
        <v>46517</v>
      </c>
      <c r="X10497" t="s">
        <v>47437</v>
      </c>
    </row>
    <row r="10498" spans="1:24">
      <c r="A10498">
        <f>HYPERLINK("https://www.philgeps.gov.ph/GEPSNONPILOT/Tender/SplashBidNoticeAbstractUI.aspx?menuIndex=3&amp;refID=7148226&amp;Result=3","7148226")</f>
        <v>0</v>
      </c>
      <c r="B10498" t="s">
        <v>421</v>
      </c>
      <c r="C10498" t="s">
        <v>13775</v>
      </c>
      <c r="D10498" t="s">
        <v>19021</v>
      </c>
      <c r="E10498" t="s">
        <v>28135</v>
      </c>
      <c r="F10498" t="s">
        <v>32831</v>
      </c>
      <c r="G10498" t="s">
        <v>32839</v>
      </c>
      <c r="H10498" t="s">
        <v>32848</v>
      </c>
      <c r="I10498" t="s">
        <v>32883</v>
      </c>
      <c r="J10498" t="s">
        <v>33111</v>
      </c>
      <c r="K10498" t="s">
        <v>42729</v>
      </c>
      <c r="M10498" t="s">
        <v>46099</v>
      </c>
      <c r="N10498" t="s">
        <v>47424</v>
      </c>
      <c r="O10498" t="s">
        <v>47425</v>
      </c>
      <c r="P10498">
        <v>0</v>
      </c>
      <c r="Q10498">
        <v>1</v>
      </c>
      <c r="R10498" t="s">
        <v>47434</v>
      </c>
      <c r="S10498" t="s">
        <v>47677</v>
      </c>
      <c r="T10498" t="s">
        <v>49112</v>
      </c>
      <c r="U10498" t="s">
        <v>58302</v>
      </c>
      <c r="W10498" t="s">
        <v>46099</v>
      </c>
      <c r="X10498" t="s">
        <v>47437</v>
      </c>
    </row>
    <row r="10499" spans="1:24">
      <c r="A10499">
        <f>HYPERLINK("https://www.philgeps.gov.ph/GEPSNONPILOT/Tender/SplashBidNoticeAbstractUI.aspx?menuIndex=3&amp;refID=7148638&amp;Result=3","7148638")</f>
        <v>0</v>
      </c>
      <c r="B10499" t="s">
        <v>3203</v>
      </c>
      <c r="C10499" t="s">
        <v>13776</v>
      </c>
      <c r="D10499" t="s">
        <v>19038</v>
      </c>
      <c r="E10499" t="s">
        <v>28136</v>
      </c>
      <c r="F10499" t="s">
        <v>32831</v>
      </c>
      <c r="G10499" t="s">
        <v>32839</v>
      </c>
      <c r="H10499" t="s">
        <v>32849</v>
      </c>
      <c r="I10499" t="s">
        <v>4177</v>
      </c>
      <c r="J10499" t="s">
        <v>35331</v>
      </c>
      <c r="K10499" t="s">
        <v>42792</v>
      </c>
      <c r="M10499" t="s">
        <v>46516</v>
      </c>
      <c r="N10499" t="s">
        <v>47424</v>
      </c>
      <c r="O10499" t="s">
        <v>47425</v>
      </c>
      <c r="Q10499">
        <v>0</v>
      </c>
      <c r="R10499" t="s">
        <v>47434</v>
      </c>
      <c r="S10499" t="s">
        <v>47693</v>
      </c>
      <c r="T10499" t="s">
        <v>49236</v>
      </c>
      <c r="U10499" t="s">
        <v>58300</v>
      </c>
      <c r="W10499" t="s">
        <v>46516</v>
      </c>
      <c r="X10499" t="s">
        <v>47436</v>
      </c>
    </row>
    <row r="10500" spans="1:24">
      <c r="A10500">
        <f>HYPERLINK("https://www.philgeps.gov.ph/GEPSNONPILOT/Tender/SplashBidNoticeAbstractUI.aspx?menuIndex=3&amp;refID=7148504&amp;Result=3","7148504")</f>
        <v>0</v>
      </c>
      <c r="B10500" t="s">
        <v>3200</v>
      </c>
      <c r="C10500" t="s">
        <v>13777</v>
      </c>
      <c r="D10500" t="s">
        <v>19017</v>
      </c>
      <c r="E10500" t="s">
        <v>28137</v>
      </c>
      <c r="F10500" t="s">
        <v>32831</v>
      </c>
      <c r="G10500" t="s">
        <v>32839</v>
      </c>
      <c r="H10500" t="s">
        <v>32848</v>
      </c>
      <c r="I10500" t="s">
        <v>4438</v>
      </c>
      <c r="J10500" t="s">
        <v>33087</v>
      </c>
      <c r="K10500" t="s">
        <v>42731</v>
      </c>
      <c r="M10500" t="s">
        <v>46512</v>
      </c>
      <c r="N10500" t="s">
        <v>47424</v>
      </c>
      <c r="O10500" t="s">
        <v>47425</v>
      </c>
      <c r="P10500">
        <v>0</v>
      </c>
      <c r="Q10500">
        <v>2</v>
      </c>
      <c r="R10500" t="s">
        <v>47434</v>
      </c>
      <c r="S10500" t="s">
        <v>47677</v>
      </c>
      <c r="T10500" t="s">
        <v>49562</v>
      </c>
      <c r="U10500" t="s">
        <v>58303</v>
      </c>
      <c r="W10500" t="s">
        <v>46512</v>
      </c>
      <c r="X10500" t="s">
        <v>47437</v>
      </c>
    </row>
    <row r="10501" spans="1:24">
      <c r="A10501">
        <f>HYPERLINK("https://www.philgeps.gov.ph/GEPSNONPILOT/Tender/SplashBidNoticeAbstractUI.aspx?menuIndex=3&amp;refID=7148190&amp;Result=3","7148190")</f>
        <v>0</v>
      </c>
      <c r="B10501" t="s">
        <v>440</v>
      </c>
      <c r="C10501" t="s">
        <v>13778</v>
      </c>
      <c r="D10501" t="s">
        <v>19094</v>
      </c>
      <c r="E10501" t="s">
        <v>28138</v>
      </c>
      <c r="F10501" t="s">
        <v>32831</v>
      </c>
      <c r="G10501" t="s">
        <v>32839</v>
      </c>
      <c r="H10501" t="s">
        <v>32849</v>
      </c>
      <c r="I10501" t="s">
        <v>4177</v>
      </c>
      <c r="J10501" t="s">
        <v>33072</v>
      </c>
      <c r="K10501" t="s">
        <v>42732</v>
      </c>
      <c r="M10501" t="s">
        <v>43445</v>
      </c>
      <c r="N10501" t="s">
        <v>47424</v>
      </c>
      <c r="O10501" t="s">
        <v>47425</v>
      </c>
      <c r="P10501">
        <v>0</v>
      </c>
      <c r="Q10501">
        <v>0</v>
      </c>
      <c r="R10501" t="s">
        <v>47434</v>
      </c>
      <c r="S10501" t="s">
        <v>47677</v>
      </c>
      <c r="T10501" t="s">
        <v>49255</v>
      </c>
      <c r="U10501" t="s">
        <v>58304</v>
      </c>
      <c r="W10501" t="s">
        <v>43445</v>
      </c>
      <c r="X10501" t="s">
        <v>47437</v>
      </c>
    </row>
    <row r="10502" spans="1:24">
      <c r="A10502">
        <f>HYPERLINK("https://www.philgeps.gov.ph/GEPSNONPILOT/Tender/SplashBidNoticeAbstractUI.aspx?menuIndex=3&amp;refID=7148873&amp;Result=3","7148873")</f>
        <v>0</v>
      </c>
      <c r="B10502" t="s">
        <v>1118</v>
      </c>
      <c r="C10502" t="s">
        <v>13779</v>
      </c>
      <c r="D10502" t="s">
        <v>19060</v>
      </c>
      <c r="E10502" t="s">
        <v>28139</v>
      </c>
      <c r="F10502" t="s">
        <v>32831</v>
      </c>
      <c r="G10502" t="s">
        <v>32838</v>
      </c>
      <c r="H10502" t="s">
        <v>32848</v>
      </c>
      <c r="I10502" t="s">
        <v>32926</v>
      </c>
      <c r="J10502" t="s">
        <v>33018</v>
      </c>
      <c r="K10502" t="s">
        <v>42726</v>
      </c>
      <c r="M10502" t="s">
        <v>44178</v>
      </c>
      <c r="N10502" t="s">
        <v>47424</v>
      </c>
      <c r="O10502" t="s">
        <v>47425</v>
      </c>
      <c r="P10502">
        <v>0</v>
      </c>
      <c r="Q10502">
        <v>0</v>
      </c>
      <c r="R10502" t="s">
        <v>47434</v>
      </c>
      <c r="S10502" t="s">
        <v>47677</v>
      </c>
      <c r="T10502" t="s">
        <v>49166</v>
      </c>
      <c r="U10502" t="s">
        <v>58305</v>
      </c>
      <c r="W10502" t="s">
        <v>44178</v>
      </c>
      <c r="X10502" t="s">
        <v>47435</v>
      </c>
    </row>
    <row r="10503" spans="1:24">
      <c r="A10503">
        <f>HYPERLINK("https://www.philgeps.gov.ph/GEPSNONPILOT/Tender/SplashBidNoticeAbstractUI.aspx?menuIndex=3&amp;refID=7148229&amp;Result=3","7148229")</f>
        <v>0</v>
      </c>
      <c r="B10503" t="s">
        <v>3205</v>
      </c>
      <c r="C10503" t="s">
        <v>13780</v>
      </c>
      <c r="D10503" t="s">
        <v>19017</v>
      </c>
      <c r="E10503" t="s">
        <v>28140</v>
      </c>
      <c r="F10503" t="s">
        <v>32831</v>
      </c>
      <c r="G10503" t="s">
        <v>32838</v>
      </c>
      <c r="H10503" t="s">
        <v>14069</v>
      </c>
      <c r="I10503" t="s">
        <v>14069</v>
      </c>
      <c r="J10503" t="s">
        <v>33193</v>
      </c>
      <c r="K10503" t="s">
        <v>42726</v>
      </c>
      <c r="M10503" t="s">
        <v>46518</v>
      </c>
      <c r="N10503" t="s">
        <v>47424</v>
      </c>
      <c r="O10503" t="s">
        <v>47425</v>
      </c>
      <c r="Q10503">
        <v>2</v>
      </c>
      <c r="R10503" t="s">
        <v>47434</v>
      </c>
      <c r="S10503" t="s">
        <v>47694</v>
      </c>
      <c r="T10503" t="s">
        <v>49251</v>
      </c>
      <c r="U10503" t="s">
        <v>58306</v>
      </c>
      <c r="W10503" t="s">
        <v>46518</v>
      </c>
      <c r="X10503" t="s">
        <v>47437</v>
      </c>
    </row>
    <row r="10504" spans="1:24">
      <c r="A10504">
        <f>HYPERLINK("https://www.philgeps.gov.ph/GEPSNONPILOT/Tender/SplashBidNoticeAbstractUI.aspx?menuIndex=3&amp;refID=7148872&amp;Result=3","7148872")</f>
        <v>0</v>
      </c>
      <c r="B10504" t="s">
        <v>1118</v>
      </c>
      <c r="C10504" t="s">
        <v>13781</v>
      </c>
      <c r="D10504" t="s">
        <v>19060</v>
      </c>
      <c r="E10504" t="s">
        <v>28141</v>
      </c>
      <c r="F10504" t="s">
        <v>32831</v>
      </c>
      <c r="G10504" t="s">
        <v>32838</v>
      </c>
      <c r="H10504" t="s">
        <v>32848</v>
      </c>
      <c r="I10504" t="s">
        <v>4487</v>
      </c>
      <c r="J10504" t="s">
        <v>33421</v>
      </c>
      <c r="K10504" t="s">
        <v>42726</v>
      </c>
      <c r="M10504" t="s">
        <v>44178</v>
      </c>
      <c r="N10504" t="s">
        <v>47424</v>
      </c>
      <c r="O10504" t="s">
        <v>47425</v>
      </c>
      <c r="P10504">
        <v>0</v>
      </c>
      <c r="Q10504">
        <v>1</v>
      </c>
      <c r="R10504" t="s">
        <v>47434</v>
      </c>
      <c r="S10504" t="s">
        <v>47677</v>
      </c>
      <c r="T10504" t="s">
        <v>49166</v>
      </c>
      <c r="U10504" t="s">
        <v>58307</v>
      </c>
      <c r="W10504" t="s">
        <v>44178</v>
      </c>
      <c r="X10504" t="s">
        <v>47435</v>
      </c>
    </row>
    <row r="10505" spans="1:24">
      <c r="A10505">
        <f>HYPERLINK("https://www.philgeps.gov.ph/GEPSNONPILOT/Tender/SplashBidNoticeAbstractUI.aspx?menuIndex=3&amp;refID=7148309&amp;Result=3","7148309")</f>
        <v>0</v>
      </c>
      <c r="B10505" t="s">
        <v>2351</v>
      </c>
      <c r="C10505" t="s">
        <v>13782</v>
      </c>
      <c r="D10505" t="s">
        <v>19022</v>
      </c>
      <c r="E10505" t="s">
        <v>28142</v>
      </c>
      <c r="F10505" t="s">
        <v>32831</v>
      </c>
      <c r="G10505" t="s">
        <v>32839</v>
      </c>
      <c r="H10505" t="s">
        <v>32848</v>
      </c>
      <c r="I10505" t="s">
        <v>10805</v>
      </c>
      <c r="J10505" t="s">
        <v>32983</v>
      </c>
      <c r="K10505" t="s">
        <v>42732</v>
      </c>
      <c r="L10505" t="s">
        <v>2351</v>
      </c>
      <c r="M10505" t="s">
        <v>45540</v>
      </c>
      <c r="N10505" t="s">
        <v>47424</v>
      </c>
      <c r="O10505" t="s">
        <v>47425</v>
      </c>
      <c r="P10505">
        <v>0</v>
      </c>
      <c r="Q10505">
        <v>4</v>
      </c>
      <c r="R10505" t="s">
        <v>47434</v>
      </c>
      <c r="S10505" t="s">
        <v>47677</v>
      </c>
      <c r="T10505" t="s">
        <v>49069</v>
      </c>
      <c r="U10505" t="s">
        <v>55228</v>
      </c>
      <c r="W10505" t="s">
        <v>45540</v>
      </c>
      <c r="X10505" t="s">
        <v>47437</v>
      </c>
    </row>
    <row r="10506" spans="1:24">
      <c r="A10506">
        <f>HYPERLINK("https://www.philgeps.gov.ph/GEPSNONPILOT/Tender/SplashBidNoticeAbstractUI.aspx?menuIndex=3&amp;refID=7148283&amp;Result=3","7148283")</f>
        <v>0</v>
      </c>
      <c r="B10506" t="s">
        <v>2351</v>
      </c>
      <c r="C10506" t="s">
        <v>13783</v>
      </c>
      <c r="D10506" t="s">
        <v>19022</v>
      </c>
      <c r="E10506" t="s">
        <v>28143</v>
      </c>
      <c r="F10506" t="s">
        <v>32831</v>
      </c>
      <c r="G10506" t="s">
        <v>32839</v>
      </c>
      <c r="H10506" t="s">
        <v>32848</v>
      </c>
      <c r="I10506" t="s">
        <v>7751</v>
      </c>
      <c r="J10506" t="s">
        <v>33012</v>
      </c>
      <c r="K10506" t="s">
        <v>42732</v>
      </c>
      <c r="L10506" t="s">
        <v>2351</v>
      </c>
      <c r="M10506" t="s">
        <v>45540</v>
      </c>
      <c r="N10506" t="s">
        <v>47424</v>
      </c>
      <c r="O10506" t="s">
        <v>47425</v>
      </c>
      <c r="P10506">
        <v>0</v>
      </c>
      <c r="Q10506">
        <v>1</v>
      </c>
      <c r="R10506" t="s">
        <v>47434</v>
      </c>
      <c r="S10506" t="s">
        <v>47677</v>
      </c>
      <c r="T10506" t="s">
        <v>49069</v>
      </c>
      <c r="U10506" t="s">
        <v>55228</v>
      </c>
      <c r="W10506" t="s">
        <v>45540</v>
      </c>
      <c r="X10506" t="s">
        <v>47437</v>
      </c>
    </row>
    <row r="10507" spans="1:24">
      <c r="A10507">
        <f>HYPERLINK("https://www.philgeps.gov.ph/GEPSNONPILOT/Tender/SplashBidNoticeAbstractUI.aspx?menuIndex=3&amp;refID=7148869&amp;Result=3","7148869")</f>
        <v>0</v>
      </c>
      <c r="B10507" t="s">
        <v>1118</v>
      </c>
      <c r="C10507" t="s">
        <v>5428</v>
      </c>
      <c r="D10507" t="s">
        <v>19060</v>
      </c>
      <c r="E10507" t="s">
        <v>28144</v>
      </c>
      <c r="F10507" t="s">
        <v>32831</v>
      </c>
      <c r="G10507" t="s">
        <v>32838</v>
      </c>
      <c r="H10507" t="s">
        <v>32848</v>
      </c>
      <c r="I10507" t="s">
        <v>32870</v>
      </c>
      <c r="J10507" t="s">
        <v>33812</v>
      </c>
      <c r="K10507" t="s">
        <v>42726</v>
      </c>
      <c r="M10507" t="s">
        <v>44178</v>
      </c>
      <c r="N10507" t="s">
        <v>47424</v>
      </c>
      <c r="O10507" t="s">
        <v>47425</v>
      </c>
      <c r="P10507">
        <v>0</v>
      </c>
      <c r="Q10507">
        <v>0</v>
      </c>
      <c r="R10507" t="s">
        <v>47434</v>
      </c>
      <c r="S10507" t="s">
        <v>47677</v>
      </c>
      <c r="T10507" t="s">
        <v>49166</v>
      </c>
      <c r="U10507" t="s">
        <v>58308</v>
      </c>
      <c r="W10507" t="s">
        <v>44178</v>
      </c>
      <c r="X10507" t="s">
        <v>47435</v>
      </c>
    </row>
    <row r="10508" spans="1:24">
      <c r="A10508">
        <f>HYPERLINK("https://www.philgeps.gov.ph/GEPSNONPILOT/Tender/SplashBidNoticeAbstractUI.aspx?menuIndex=3&amp;refID=7148866&amp;Result=3","7148866")</f>
        <v>0</v>
      </c>
      <c r="B10508" t="s">
        <v>3206</v>
      </c>
      <c r="C10508" t="s">
        <v>4431</v>
      </c>
      <c r="D10508" t="s">
        <v>19060</v>
      </c>
      <c r="E10508" t="s">
        <v>28145</v>
      </c>
      <c r="F10508" t="s">
        <v>32831</v>
      </c>
      <c r="G10508" t="s">
        <v>32839</v>
      </c>
      <c r="H10508" t="s">
        <v>32848</v>
      </c>
      <c r="I10508" t="s">
        <v>32857</v>
      </c>
      <c r="J10508" t="s">
        <v>39455</v>
      </c>
      <c r="K10508" t="s">
        <v>42726</v>
      </c>
      <c r="M10508" t="s">
        <v>46519</v>
      </c>
      <c r="N10508" t="s">
        <v>47424</v>
      </c>
      <c r="O10508" t="s">
        <v>47425</v>
      </c>
      <c r="P10508">
        <v>0</v>
      </c>
      <c r="Q10508">
        <v>1</v>
      </c>
      <c r="R10508" t="s">
        <v>47434</v>
      </c>
      <c r="S10508" t="s">
        <v>47677</v>
      </c>
      <c r="T10508" t="s">
        <v>49114</v>
      </c>
      <c r="U10508" t="s">
        <v>58309</v>
      </c>
      <c r="W10508" t="s">
        <v>46519</v>
      </c>
      <c r="X10508" t="s">
        <v>47436</v>
      </c>
    </row>
    <row r="10509" spans="1:24">
      <c r="A10509">
        <f>HYPERLINK("https://www.philgeps.gov.ph/GEPSNONPILOT/Tender/SplashBidNoticeAbstractUI.aspx?menuIndex=3&amp;refID=7148197&amp;Result=3","7148197")</f>
        <v>0</v>
      </c>
      <c r="B10509" t="s">
        <v>3207</v>
      </c>
      <c r="C10509" t="s">
        <v>13784</v>
      </c>
      <c r="D10509" t="s">
        <v>19024</v>
      </c>
      <c r="E10509" t="s">
        <v>28146</v>
      </c>
      <c r="F10509" t="s">
        <v>32831</v>
      </c>
      <c r="G10509" t="s">
        <v>32839</v>
      </c>
      <c r="H10509" t="s">
        <v>32849</v>
      </c>
      <c r="I10509" t="s">
        <v>4177</v>
      </c>
      <c r="J10509" t="s">
        <v>32983</v>
      </c>
      <c r="K10509" t="s">
        <v>42729</v>
      </c>
      <c r="M10509" t="s">
        <v>46520</v>
      </c>
      <c r="N10509" t="s">
        <v>47424</v>
      </c>
      <c r="O10509" t="s">
        <v>47425</v>
      </c>
      <c r="P10509">
        <v>0</v>
      </c>
      <c r="Q10509">
        <v>1</v>
      </c>
      <c r="R10509" t="s">
        <v>47434</v>
      </c>
      <c r="S10509" t="s">
        <v>47677</v>
      </c>
      <c r="T10509" t="s">
        <v>49239</v>
      </c>
      <c r="U10509" t="s">
        <v>58310</v>
      </c>
      <c r="W10509" t="s">
        <v>46520</v>
      </c>
      <c r="X10509" t="s">
        <v>47437</v>
      </c>
    </row>
    <row r="10510" spans="1:24">
      <c r="A10510">
        <f>HYPERLINK("https://www.philgeps.gov.ph/GEPSNONPILOT/Tender/SplashBidNoticeAbstractUI.aspx?menuIndex=3&amp;refID=7148864&amp;Result=3","7148864")</f>
        <v>0</v>
      </c>
      <c r="B10510" t="s">
        <v>3206</v>
      </c>
      <c r="C10510" t="s">
        <v>4471</v>
      </c>
      <c r="D10510" t="s">
        <v>19060</v>
      </c>
      <c r="E10510" t="s">
        <v>28147</v>
      </c>
      <c r="F10510" t="s">
        <v>32831</v>
      </c>
      <c r="G10510" t="s">
        <v>32839</v>
      </c>
      <c r="H10510" t="s">
        <v>32848</v>
      </c>
      <c r="I10510" t="s">
        <v>4471</v>
      </c>
      <c r="J10510" t="s">
        <v>39456</v>
      </c>
      <c r="K10510" t="s">
        <v>42726</v>
      </c>
      <c r="M10510" t="s">
        <v>46519</v>
      </c>
      <c r="N10510" t="s">
        <v>47424</v>
      </c>
      <c r="O10510" t="s">
        <v>47425</v>
      </c>
      <c r="P10510">
        <v>0</v>
      </c>
      <c r="Q10510">
        <v>1</v>
      </c>
      <c r="R10510" t="s">
        <v>47434</v>
      </c>
      <c r="S10510" t="s">
        <v>47677</v>
      </c>
      <c r="T10510" t="s">
        <v>49114</v>
      </c>
      <c r="U10510" t="s">
        <v>58309</v>
      </c>
      <c r="W10510" t="s">
        <v>46519</v>
      </c>
      <c r="X10510" t="s">
        <v>47436</v>
      </c>
    </row>
    <row r="10511" spans="1:24">
      <c r="A10511">
        <f>HYPERLINK("https://www.philgeps.gov.ph/GEPSNONPILOT/Tender/SplashBidNoticeAbstractUI.aspx?menuIndex=3&amp;refID=7148862&amp;Result=3","7148862")</f>
        <v>0</v>
      </c>
      <c r="B10511" t="s">
        <v>3206</v>
      </c>
      <c r="C10511" t="s">
        <v>13785</v>
      </c>
      <c r="D10511" t="s">
        <v>19060</v>
      </c>
      <c r="E10511" t="s">
        <v>28148</v>
      </c>
      <c r="F10511" t="s">
        <v>32831</v>
      </c>
      <c r="G10511" t="s">
        <v>32839</v>
      </c>
      <c r="H10511" t="s">
        <v>32848</v>
      </c>
      <c r="I10511" t="s">
        <v>4776</v>
      </c>
      <c r="J10511" t="s">
        <v>39457</v>
      </c>
      <c r="K10511" t="s">
        <v>42726</v>
      </c>
      <c r="M10511" t="s">
        <v>46519</v>
      </c>
      <c r="N10511" t="s">
        <v>47424</v>
      </c>
      <c r="O10511" t="s">
        <v>47425</v>
      </c>
      <c r="P10511">
        <v>0</v>
      </c>
      <c r="Q10511">
        <v>1</v>
      </c>
      <c r="R10511" t="s">
        <v>47434</v>
      </c>
      <c r="S10511" t="s">
        <v>47677</v>
      </c>
      <c r="T10511" t="s">
        <v>49114</v>
      </c>
      <c r="U10511" t="s">
        <v>58309</v>
      </c>
      <c r="W10511" t="s">
        <v>46519</v>
      </c>
      <c r="X10511" t="s">
        <v>47436</v>
      </c>
    </row>
    <row r="10512" spans="1:24">
      <c r="A10512">
        <f>HYPERLINK("https://www.philgeps.gov.ph/GEPSNONPILOT/Tender/SplashBidNoticeAbstractUI.aspx?menuIndex=3&amp;refID=7148859&amp;Result=3","7148859")</f>
        <v>0</v>
      </c>
      <c r="B10512" t="s">
        <v>3206</v>
      </c>
      <c r="C10512" t="s">
        <v>13786</v>
      </c>
      <c r="D10512" t="s">
        <v>19060</v>
      </c>
      <c r="E10512" t="s">
        <v>28149</v>
      </c>
      <c r="F10512" t="s">
        <v>32831</v>
      </c>
      <c r="G10512" t="s">
        <v>32839</v>
      </c>
      <c r="H10512" t="s">
        <v>32848</v>
      </c>
      <c r="I10512" t="s">
        <v>10805</v>
      </c>
      <c r="J10512" t="s">
        <v>39458</v>
      </c>
      <c r="K10512" t="s">
        <v>42726</v>
      </c>
      <c r="M10512" t="s">
        <v>46519</v>
      </c>
      <c r="N10512" t="s">
        <v>47424</v>
      </c>
      <c r="O10512" t="s">
        <v>47425</v>
      </c>
      <c r="P10512">
        <v>0</v>
      </c>
      <c r="Q10512">
        <v>1</v>
      </c>
      <c r="R10512" t="s">
        <v>47434</v>
      </c>
      <c r="S10512" t="s">
        <v>47677</v>
      </c>
      <c r="T10512" t="s">
        <v>49114</v>
      </c>
      <c r="U10512" t="s">
        <v>58311</v>
      </c>
      <c r="W10512" t="s">
        <v>46519</v>
      </c>
      <c r="X10512" t="s">
        <v>47436</v>
      </c>
    </row>
    <row r="10513" spans="1:24">
      <c r="A10513">
        <f>HYPERLINK("https://www.philgeps.gov.ph/GEPSNONPILOT/Tender/SplashBidNoticeAbstractUI.aspx?menuIndex=3&amp;refID=7148850&amp;Result=3","7148850")</f>
        <v>0</v>
      </c>
      <c r="B10513" t="s">
        <v>3208</v>
      </c>
      <c r="C10513" t="s">
        <v>13787</v>
      </c>
      <c r="D10513" t="s">
        <v>19020</v>
      </c>
      <c r="E10513" t="s">
        <v>28150</v>
      </c>
      <c r="F10513" t="s">
        <v>32831</v>
      </c>
      <c r="G10513" t="s">
        <v>32839</v>
      </c>
      <c r="H10513" t="s">
        <v>32849</v>
      </c>
      <c r="I10513" t="s">
        <v>4177</v>
      </c>
      <c r="J10513" t="s">
        <v>39459</v>
      </c>
      <c r="K10513" t="s">
        <v>42736</v>
      </c>
      <c r="M10513" t="s">
        <v>46521</v>
      </c>
      <c r="N10513" t="s">
        <v>47424</v>
      </c>
      <c r="O10513" t="s">
        <v>47425</v>
      </c>
      <c r="P10513">
        <v>0</v>
      </c>
      <c r="Q10513">
        <v>0</v>
      </c>
      <c r="R10513" t="s">
        <v>47434</v>
      </c>
      <c r="S10513" t="s">
        <v>47677</v>
      </c>
      <c r="T10513" t="s">
        <v>49112</v>
      </c>
      <c r="U10513" t="s">
        <v>58312</v>
      </c>
      <c r="W10513" t="s">
        <v>46521</v>
      </c>
      <c r="X10513" t="s">
        <v>47436</v>
      </c>
    </row>
    <row r="10514" spans="1:24">
      <c r="A10514">
        <f>HYPERLINK("https://www.philgeps.gov.ph/GEPSNONPILOT/Tender/SplashBidNoticeAbstractUI.aspx?menuIndex=3&amp;refID=7148827&amp;Result=3","7148827")</f>
        <v>0</v>
      </c>
      <c r="B10514" t="s">
        <v>3206</v>
      </c>
      <c r="C10514" t="s">
        <v>9577</v>
      </c>
      <c r="D10514" t="s">
        <v>19060</v>
      </c>
      <c r="E10514" t="s">
        <v>28151</v>
      </c>
      <c r="F10514" t="s">
        <v>32831</v>
      </c>
      <c r="G10514" t="s">
        <v>32839</v>
      </c>
      <c r="H10514" t="s">
        <v>32848</v>
      </c>
      <c r="I10514" t="s">
        <v>9577</v>
      </c>
      <c r="J10514" t="s">
        <v>39460</v>
      </c>
      <c r="K10514" t="s">
        <v>42726</v>
      </c>
      <c r="M10514" t="s">
        <v>46519</v>
      </c>
      <c r="N10514" t="s">
        <v>47424</v>
      </c>
      <c r="O10514" t="s">
        <v>47425</v>
      </c>
      <c r="P10514">
        <v>0</v>
      </c>
      <c r="Q10514">
        <v>3</v>
      </c>
      <c r="R10514" t="s">
        <v>47434</v>
      </c>
      <c r="S10514" t="s">
        <v>47677</v>
      </c>
      <c r="T10514" t="s">
        <v>49205</v>
      </c>
      <c r="U10514" t="s">
        <v>58313</v>
      </c>
      <c r="W10514" t="s">
        <v>46519</v>
      </c>
      <c r="X10514" t="s">
        <v>47436</v>
      </c>
    </row>
    <row r="10515" spans="1:24">
      <c r="A10515">
        <f>HYPERLINK("https://www.philgeps.gov.ph/GEPSNONPILOT/Tender/SplashBidNoticeAbstractUI.aspx?menuIndex=3&amp;refID=7148811&amp;Result=3","7148811")</f>
        <v>0</v>
      </c>
      <c r="B10515" t="s">
        <v>3209</v>
      </c>
      <c r="C10515" t="s">
        <v>13788</v>
      </c>
      <c r="D10515" t="s">
        <v>19045</v>
      </c>
      <c r="E10515" t="s">
        <v>13788</v>
      </c>
      <c r="F10515" t="s">
        <v>32831</v>
      </c>
      <c r="G10515" t="s">
        <v>32840</v>
      </c>
      <c r="H10515" t="s">
        <v>32850</v>
      </c>
      <c r="I10515" t="s">
        <v>5379</v>
      </c>
      <c r="J10515" t="s">
        <v>33087</v>
      </c>
      <c r="K10515" t="s">
        <v>42726</v>
      </c>
      <c r="M10515" t="s">
        <v>46522</v>
      </c>
      <c r="N10515" t="s">
        <v>47424</v>
      </c>
      <c r="O10515" t="s">
        <v>47425</v>
      </c>
      <c r="P10515">
        <v>0</v>
      </c>
      <c r="Q10515">
        <v>1</v>
      </c>
      <c r="R10515" t="s">
        <v>47434</v>
      </c>
      <c r="S10515" t="s">
        <v>47677</v>
      </c>
      <c r="T10515" t="s">
        <v>49163</v>
      </c>
      <c r="U10515" t="s">
        <v>58314</v>
      </c>
      <c r="W10515" t="s">
        <v>46522</v>
      </c>
      <c r="X10515" t="s">
        <v>47436</v>
      </c>
    </row>
    <row r="10516" spans="1:24">
      <c r="A10516">
        <f>HYPERLINK("https://www.philgeps.gov.ph/GEPSNONPILOT/Tender/SplashBidNoticeAbstractUI.aspx?menuIndex=3&amp;refID=7148783&amp;Result=3","7148783")</f>
        <v>0</v>
      </c>
      <c r="B10516" t="s">
        <v>395</v>
      </c>
      <c r="C10516" t="s">
        <v>13789</v>
      </c>
      <c r="D10516" t="s">
        <v>19091</v>
      </c>
      <c r="E10516" t="s">
        <v>19520</v>
      </c>
      <c r="F10516" t="s">
        <v>32831</v>
      </c>
      <c r="G10516" t="s">
        <v>32839</v>
      </c>
      <c r="H10516" t="s">
        <v>32848</v>
      </c>
      <c r="I10516" t="s">
        <v>7751</v>
      </c>
      <c r="J10516" t="s">
        <v>36730</v>
      </c>
      <c r="K10516" t="s">
        <v>42729</v>
      </c>
      <c r="M10516" t="s">
        <v>43400</v>
      </c>
      <c r="N10516" t="s">
        <v>47424</v>
      </c>
      <c r="O10516" t="s">
        <v>47425</v>
      </c>
      <c r="P10516">
        <v>0</v>
      </c>
      <c r="Q10516">
        <v>8</v>
      </c>
      <c r="R10516" t="s">
        <v>47434</v>
      </c>
      <c r="S10516" t="s">
        <v>47677</v>
      </c>
      <c r="T10516" t="s">
        <v>49112</v>
      </c>
      <c r="U10516" t="s">
        <v>58315</v>
      </c>
      <c r="W10516" t="s">
        <v>43400</v>
      </c>
      <c r="X10516" t="s">
        <v>47436</v>
      </c>
    </row>
    <row r="10517" spans="1:24">
      <c r="A10517">
        <f>HYPERLINK("https://www.philgeps.gov.ph/GEPSNONPILOT/Tender/SplashBidNoticeAbstractUI.aspx?menuIndex=3&amp;refID=7148868&amp;Result=3","7148868")</f>
        <v>0</v>
      </c>
      <c r="B10517" t="s">
        <v>1118</v>
      </c>
      <c r="C10517" t="s">
        <v>13790</v>
      </c>
      <c r="D10517" t="s">
        <v>19060</v>
      </c>
      <c r="E10517" t="s">
        <v>28152</v>
      </c>
      <c r="F10517" t="s">
        <v>32831</v>
      </c>
      <c r="G10517" t="s">
        <v>32838</v>
      </c>
      <c r="H10517" t="s">
        <v>32848</v>
      </c>
      <c r="I10517" t="s">
        <v>32923</v>
      </c>
      <c r="J10517" t="s">
        <v>39461</v>
      </c>
      <c r="K10517" t="s">
        <v>42726</v>
      </c>
      <c r="M10517" t="s">
        <v>44178</v>
      </c>
      <c r="N10517" t="s">
        <v>47424</v>
      </c>
      <c r="O10517" t="s">
        <v>47425</v>
      </c>
      <c r="P10517">
        <v>0</v>
      </c>
      <c r="Q10517">
        <v>2</v>
      </c>
      <c r="R10517" t="s">
        <v>47434</v>
      </c>
      <c r="S10517" t="s">
        <v>47677</v>
      </c>
      <c r="T10517" t="s">
        <v>49166</v>
      </c>
      <c r="U10517" t="s">
        <v>58316</v>
      </c>
      <c r="W10517" t="s">
        <v>44178</v>
      </c>
      <c r="X10517" t="s">
        <v>47435</v>
      </c>
    </row>
    <row r="10518" spans="1:24">
      <c r="A10518">
        <f>HYPERLINK("https://www.philgeps.gov.ph/GEPSNONPILOT/Tender/SplashBidNoticeAbstractUI.aspx?menuIndex=3&amp;refID=7147210&amp;Result=3","7147210")</f>
        <v>0</v>
      </c>
      <c r="B10518" t="s">
        <v>1794</v>
      </c>
      <c r="C10518" t="s">
        <v>13791</v>
      </c>
      <c r="D10518" t="s">
        <v>19074</v>
      </c>
      <c r="E10518" t="s">
        <v>28153</v>
      </c>
      <c r="F10518" t="s">
        <v>32831</v>
      </c>
      <c r="G10518" t="s">
        <v>32839</v>
      </c>
      <c r="H10518" t="s">
        <v>32849</v>
      </c>
      <c r="I10518" t="s">
        <v>4177</v>
      </c>
      <c r="J10518" t="s">
        <v>39462</v>
      </c>
      <c r="K10518" t="s">
        <v>42889</v>
      </c>
      <c r="M10518" t="s">
        <v>44924</v>
      </c>
      <c r="N10518" t="s">
        <v>47424</v>
      </c>
      <c r="O10518" t="s">
        <v>47425</v>
      </c>
      <c r="P10518">
        <v>0</v>
      </c>
      <c r="Q10518">
        <v>0</v>
      </c>
      <c r="R10518" t="s">
        <v>47434</v>
      </c>
      <c r="S10518" t="s">
        <v>47677</v>
      </c>
      <c r="T10518" t="s">
        <v>49265</v>
      </c>
      <c r="U10518" t="s">
        <v>58317</v>
      </c>
      <c r="W10518" t="s">
        <v>44924</v>
      </c>
      <c r="X10518" t="s">
        <v>47438</v>
      </c>
    </row>
    <row r="10519" spans="1:24">
      <c r="A10519">
        <f>HYPERLINK("https://www.philgeps.gov.ph/GEPSNONPILOT/Tender/SplashBidNoticeAbstractUI.aspx?menuIndex=3&amp;refID=7148874&amp;Result=3","7148874")</f>
        <v>0</v>
      </c>
      <c r="B10519" t="s">
        <v>2614</v>
      </c>
      <c r="C10519" t="s">
        <v>13792</v>
      </c>
      <c r="D10519" t="s">
        <v>19017</v>
      </c>
      <c r="E10519" t="s">
        <v>28154</v>
      </c>
      <c r="F10519" t="s">
        <v>32831</v>
      </c>
      <c r="G10519" t="s">
        <v>32839</v>
      </c>
      <c r="H10519" t="s">
        <v>32848</v>
      </c>
      <c r="I10519" t="s">
        <v>11727</v>
      </c>
      <c r="J10519" t="s">
        <v>39463</v>
      </c>
      <c r="K10519" t="s">
        <v>42745</v>
      </c>
      <c r="M10519" t="s">
        <v>46208</v>
      </c>
      <c r="N10519" t="s">
        <v>47424</v>
      </c>
      <c r="O10519" t="s">
        <v>47425</v>
      </c>
      <c r="P10519">
        <v>0</v>
      </c>
      <c r="Q10519">
        <v>1</v>
      </c>
      <c r="R10519" t="s">
        <v>47434</v>
      </c>
      <c r="S10519" t="s">
        <v>47677</v>
      </c>
      <c r="T10519" t="s">
        <v>49116</v>
      </c>
      <c r="U10519" t="s">
        <v>58318</v>
      </c>
      <c r="W10519" t="s">
        <v>64520</v>
      </c>
      <c r="X10519" t="s">
        <v>47435</v>
      </c>
    </row>
    <row r="10520" spans="1:24">
      <c r="A10520">
        <f>HYPERLINK("https://www.philgeps.gov.ph/GEPSNONPILOT/Tender/SplashBidNoticeAbstractUI.aspx?menuIndex=3&amp;refID=7145837&amp;Result=3","7145837")</f>
        <v>0</v>
      </c>
      <c r="B10520" t="s">
        <v>2461</v>
      </c>
      <c r="C10520" t="s">
        <v>13793</v>
      </c>
      <c r="D10520" t="s">
        <v>19037</v>
      </c>
      <c r="E10520" t="s">
        <v>28155</v>
      </c>
      <c r="F10520" t="s">
        <v>32831</v>
      </c>
      <c r="G10520" t="s">
        <v>32839</v>
      </c>
      <c r="H10520" t="s">
        <v>32848</v>
      </c>
      <c r="I10520" t="s">
        <v>4776</v>
      </c>
      <c r="J10520" t="s">
        <v>33291</v>
      </c>
      <c r="K10520" t="s">
        <v>42731</v>
      </c>
      <c r="M10520" t="s">
        <v>45659</v>
      </c>
      <c r="N10520" t="s">
        <v>47424</v>
      </c>
      <c r="O10520" t="s">
        <v>47425</v>
      </c>
      <c r="P10520">
        <v>0</v>
      </c>
      <c r="Q10520">
        <v>5</v>
      </c>
      <c r="R10520" t="s">
        <v>47434</v>
      </c>
      <c r="S10520" t="s">
        <v>47677</v>
      </c>
      <c r="T10520" t="s">
        <v>49563</v>
      </c>
      <c r="U10520" t="s">
        <v>58319</v>
      </c>
      <c r="W10520" t="s">
        <v>64509</v>
      </c>
      <c r="X10520" t="s">
        <v>47438</v>
      </c>
    </row>
    <row r="10521" spans="1:24">
      <c r="A10521">
        <f>HYPERLINK("https://www.philgeps.gov.ph/GEPSNONPILOT/Tender/SplashBidNoticeAbstractUI.aspx?menuIndex=3&amp;refID=7148928&amp;Result=3","7148928")</f>
        <v>0</v>
      </c>
      <c r="B10521" t="s">
        <v>958</v>
      </c>
      <c r="C10521" t="s">
        <v>13794</v>
      </c>
      <c r="D10521" t="s">
        <v>19054</v>
      </c>
      <c r="E10521" t="s">
        <v>28156</v>
      </c>
      <c r="F10521" t="s">
        <v>32831</v>
      </c>
      <c r="G10521" t="s">
        <v>32838</v>
      </c>
      <c r="H10521" t="s">
        <v>32848</v>
      </c>
      <c r="I10521" t="s">
        <v>5379</v>
      </c>
      <c r="J10521" t="s">
        <v>33638</v>
      </c>
      <c r="K10521" t="s">
        <v>42732</v>
      </c>
      <c r="M10521" t="s">
        <v>44004</v>
      </c>
      <c r="N10521" t="s">
        <v>47424</v>
      </c>
      <c r="O10521" t="s">
        <v>47425</v>
      </c>
      <c r="P10521">
        <v>0</v>
      </c>
      <c r="Q10521">
        <v>0</v>
      </c>
      <c r="R10521" t="s">
        <v>47434</v>
      </c>
      <c r="S10521" t="s">
        <v>47677</v>
      </c>
      <c r="T10521" t="s">
        <v>49212</v>
      </c>
      <c r="U10521" t="s">
        <v>58320</v>
      </c>
      <c r="W10521" t="s">
        <v>44004</v>
      </c>
      <c r="X10521" t="s">
        <v>47435</v>
      </c>
    </row>
    <row r="10522" spans="1:24">
      <c r="A10522">
        <f>HYPERLINK("https://www.philgeps.gov.ph/GEPSNONPILOT/Tender/SplashBidNoticeAbstractUI.aspx?menuIndex=3&amp;refID=7148853&amp;Result=3","7148853")</f>
        <v>0</v>
      </c>
      <c r="B10522" t="s">
        <v>3187</v>
      </c>
      <c r="C10522" t="s">
        <v>13795</v>
      </c>
      <c r="D10522" t="s">
        <v>19017</v>
      </c>
      <c r="E10522" t="s">
        <v>28157</v>
      </c>
      <c r="F10522" t="s">
        <v>32831</v>
      </c>
      <c r="G10522" t="s">
        <v>32839</v>
      </c>
      <c r="H10522" t="s">
        <v>32848</v>
      </c>
      <c r="I10522" t="s">
        <v>4487</v>
      </c>
      <c r="J10522" t="s">
        <v>34921</v>
      </c>
      <c r="K10522" t="s">
        <v>42732</v>
      </c>
      <c r="M10522" t="s">
        <v>46496</v>
      </c>
      <c r="N10522" t="s">
        <v>47424</v>
      </c>
      <c r="O10522" t="s">
        <v>47425</v>
      </c>
      <c r="P10522">
        <v>0</v>
      </c>
      <c r="Q10522">
        <v>19</v>
      </c>
      <c r="R10522" t="s">
        <v>47434</v>
      </c>
      <c r="S10522" t="s">
        <v>47677</v>
      </c>
      <c r="T10522" t="s">
        <v>49138</v>
      </c>
      <c r="U10522" t="s">
        <v>58321</v>
      </c>
      <c r="W10522" t="s">
        <v>46496</v>
      </c>
      <c r="X10522" t="s">
        <v>47436</v>
      </c>
    </row>
    <row r="10523" spans="1:24">
      <c r="A10523">
        <f>HYPERLINK("https://www.philgeps.gov.ph/GEPSNONPILOT/Tender/SplashBidNoticeAbstractUI.aspx?menuIndex=3&amp;refID=7148930&amp;Result=3","7148930")</f>
        <v>0</v>
      </c>
      <c r="B10523" t="s">
        <v>3210</v>
      </c>
      <c r="C10523" t="s">
        <v>13796</v>
      </c>
      <c r="D10523" t="s">
        <v>19038</v>
      </c>
      <c r="E10523" t="s">
        <v>28158</v>
      </c>
      <c r="F10523" t="s">
        <v>32831</v>
      </c>
      <c r="G10523" t="s">
        <v>32839</v>
      </c>
      <c r="H10523" t="s">
        <v>32848</v>
      </c>
      <c r="I10523" t="s">
        <v>7416</v>
      </c>
      <c r="J10523" t="s">
        <v>39464</v>
      </c>
      <c r="K10523" t="s">
        <v>42726</v>
      </c>
      <c r="M10523" t="s">
        <v>46523</v>
      </c>
      <c r="N10523" t="s">
        <v>47424</v>
      </c>
      <c r="O10523" t="s">
        <v>47425</v>
      </c>
      <c r="P10523">
        <v>0</v>
      </c>
      <c r="Q10523">
        <v>0</v>
      </c>
      <c r="R10523" t="s">
        <v>47434</v>
      </c>
      <c r="S10523" t="s">
        <v>47677</v>
      </c>
      <c r="T10523" t="s">
        <v>49251</v>
      </c>
      <c r="U10523" t="s">
        <v>58322</v>
      </c>
      <c r="V10523" t="s">
        <v>63776</v>
      </c>
      <c r="W10523" t="s">
        <v>46523</v>
      </c>
      <c r="X10523" t="s">
        <v>47435</v>
      </c>
    </row>
    <row r="10524" spans="1:24">
      <c r="A10524">
        <f>HYPERLINK("https://www.philgeps.gov.ph/GEPSNONPILOT/Tender/SplashBidNoticeAbstractUI.aspx?menuIndex=3&amp;refID=7148923&amp;Result=3","7148923")</f>
        <v>0</v>
      </c>
      <c r="B10524" t="s">
        <v>2970</v>
      </c>
      <c r="C10524" t="s">
        <v>13797</v>
      </c>
      <c r="D10524" t="s">
        <v>19054</v>
      </c>
      <c r="E10524" t="s">
        <v>28159</v>
      </c>
      <c r="F10524" t="s">
        <v>32831</v>
      </c>
      <c r="G10524" t="s">
        <v>32839</v>
      </c>
      <c r="H10524" t="s">
        <v>32848</v>
      </c>
      <c r="I10524" t="s">
        <v>32929</v>
      </c>
      <c r="J10524" t="s">
        <v>39465</v>
      </c>
      <c r="K10524" t="s">
        <v>42730</v>
      </c>
      <c r="M10524" t="s">
        <v>46233</v>
      </c>
      <c r="N10524" t="s">
        <v>47424</v>
      </c>
      <c r="O10524" t="s">
        <v>47425</v>
      </c>
      <c r="P10524">
        <v>0</v>
      </c>
      <c r="Q10524">
        <v>2</v>
      </c>
      <c r="R10524" t="s">
        <v>47434</v>
      </c>
      <c r="S10524" t="s">
        <v>47677</v>
      </c>
      <c r="T10524" t="s">
        <v>49177</v>
      </c>
      <c r="U10524" t="s">
        <v>58323</v>
      </c>
      <c r="V10524" t="s">
        <v>63641</v>
      </c>
      <c r="W10524" t="s">
        <v>46233</v>
      </c>
      <c r="X10524" t="s">
        <v>47435</v>
      </c>
    </row>
    <row r="10525" spans="1:24">
      <c r="A10525">
        <f>HYPERLINK("https://www.philgeps.gov.ph/GEPSNONPILOT/Tender/SplashBidNoticeAbstractUI.aspx?menuIndex=3&amp;refID=7148922&amp;Result=3","7148922")</f>
        <v>0</v>
      </c>
      <c r="B10525" t="s">
        <v>535</v>
      </c>
      <c r="C10525" t="s">
        <v>13798</v>
      </c>
      <c r="D10525" t="s">
        <v>19019</v>
      </c>
      <c r="E10525" t="s">
        <v>28160</v>
      </c>
      <c r="F10525" t="s">
        <v>32831</v>
      </c>
      <c r="G10525" t="s">
        <v>32839</v>
      </c>
      <c r="H10525" t="s">
        <v>32849</v>
      </c>
      <c r="I10525" t="s">
        <v>4177</v>
      </c>
      <c r="J10525" t="s">
        <v>39186</v>
      </c>
      <c r="K10525" t="s">
        <v>42732</v>
      </c>
      <c r="M10525" t="s">
        <v>43541</v>
      </c>
      <c r="N10525" t="s">
        <v>47424</v>
      </c>
      <c r="O10525" t="s">
        <v>47425</v>
      </c>
      <c r="Q10525">
        <v>0</v>
      </c>
      <c r="R10525" t="s">
        <v>47434</v>
      </c>
      <c r="S10525" t="s">
        <v>47695</v>
      </c>
      <c r="T10525" t="s">
        <v>49236</v>
      </c>
      <c r="U10525" t="s">
        <v>58324</v>
      </c>
      <c r="W10525" t="s">
        <v>43541</v>
      </c>
      <c r="X10525" t="s">
        <v>47435</v>
      </c>
    </row>
    <row r="10526" spans="1:24">
      <c r="A10526">
        <f>HYPERLINK("https://www.philgeps.gov.ph/GEPSNONPILOT/Tender/SplashBidNoticeAbstractUI.aspx?menuIndex=3&amp;refID=7148920&amp;Result=3","7148920")</f>
        <v>0</v>
      </c>
      <c r="B10526" t="s">
        <v>958</v>
      </c>
      <c r="C10526" t="s">
        <v>13799</v>
      </c>
      <c r="D10526" t="s">
        <v>19049</v>
      </c>
      <c r="E10526" t="s">
        <v>28161</v>
      </c>
      <c r="F10526" t="s">
        <v>32831</v>
      </c>
      <c r="G10526" t="s">
        <v>32838</v>
      </c>
      <c r="H10526" t="s">
        <v>32848</v>
      </c>
      <c r="I10526" t="s">
        <v>5379</v>
      </c>
      <c r="J10526" t="s">
        <v>33461</v>
      </c>
      <c r="K10526" t="s">
        <v>42732</v>
      </c>
      <c r="M10526" t="s">
        <v>44004</v>
      </c>
      <c r="N10526" t="s">
        <v>47424</v>
      </c>
      <c r="O10526" t="s">
        <v>47425</v>
      </c>
      <c r="P10526">
        <v>0</v>
      </c>
      <c r="Q10526">
        <v>0</v>
      </c>
      <c r="R10526" t="s">
        <v>47434</v>
      </c>
      <c r="S10526" t="s">
        <v>47677</v>
      </c>
      <c r="T10526" t="s">
        <v>49212</v>
      </c>
      <c r="U10526" t="s">
        <v>58325</v>
      </c>
      <c r="W10526" t="s">
        <v>44004</v>
      </c>
      <c r="X10526" t="s">
        <v>47435</v>
      </c>
    </row>
    <row r="10527" spans="1:24">
      <c r="A10527">
        <f>HYPERLINK("https://www.philgeps.gov.ph/GEPSNONPILOT/Tender/SplashBidNoticeAbstractUI.aspx?menuIndex=3&amp;refID=7148915&amp;Result=3","7148915")</f>
        <v>0</v>
      </c>
      <c r="B10527" t="s">
        <v>3210</v>
      </c>
      <c r="C10527" t="s">
        <v>13800</v>
      </c>
      <c r="D10527" t="s">
        <v>19038</v>
      </c>
      <c r="E10527" t="s">
        <v>28162</v>
      </c>
      <c r="F10527" t="s">
        <v>32831</v>
      </c>
      <c r="G10527" t="s">
        <v>32839</v>
      </c>
      <c r="H10527" t="s">
        <v>32848</v>
      </c>
      <c r="I10527" t="s">
        <v>32852</v>
      </c>
      <c r="J10527" t="s">
        <v>39466</v>
      </c>
      <c r="K10527" t="s">
        <v>42726</v>
      </c>
      <c r="M10527" t="s">
        <v>46523</v>
      </c>
      <c r="N10527" t="s">
        <v>47424</v>
      </c>
      <c r="O10527" t="s">
        <v>47425</v>
      </c>
      <c r="P10527">
        <v>0</v>
      </c>
      <c r="Q10527">
        <v>2</v>
      </c>
      <c r="R10527" t="s">
        <v>47434</v>
      </c>
      <c r="S10527" t="s">
        <v>47677</v>
      </c>
      <c r="T10527" t="s">
        <v>49172</v>
      </c>
      <c r="U10527" t="s">
        <v>58322</v>
      </c>
      <c r="V10527" t="s">
        <v>63776</v>
      </c>
      <c r="W10527" t="s">
        <v>46523</v>
      </c>
      <c r="X10527" t="s">
        <v>47435</v>
      </c>
    </row>
    <row r="10528" spans="1:24">
      <c r="A10528">
        <f>HYPERLINK("https://www.philgeps.gov.ph/GEPSNONPILOT/Tender/SplashBidNoticeAbstractUI.aspx?menuIndex=3&amp;refID=7148913&amp;Result=3","7148913")</f>
        <v>0</v>
      </c>
      <c r="B10528" t="s">
        <v>535</v>
      </c>
      <c r="C10528" t="s">
        <v>13801</v>
      </c>
      <c r="D10528" t="s">
        <v>19019</v>
      </c>
      <c r="E10528" t="s">
        <v>28163</v>
      </c>
      <c r="F10528" t="s">
        <v>32831</v>
      </c>
      <c r="G10528" t="s">
        <v>32839</v>
      </c>
      <c r="H10528" t="s">
        <v>32849</v>
      </c>
      <c r="I10528" t="s">
        <v>4177</v>
      </c>
      <c r="J10528" t="s">
        <v>39467</v>
      </c>
      <c r="K10528" t="s">
        <v>42732</v>
      </c>
      <c r="M10528" t="s">
        <v>43541</v>
      </c>
      <c r="N10528" t="s">
        <v>47424</v>
      </c>
      <c r="O10528" t="s">
        <v>47425</v>
      </c>
      <c r="P10528">
        <v>0</v>
      </c>
      <c r="Q10528">
        <v>0</v>
      </c>
      <c r="R10528" t="s">
        <v>47434</v>
      </c>
      <c r="S10528" t="s">
        <v>47677</v>
      </c>
      <c r="T10528" t="s">
        <v>49236</v>
      </c>
      <c r="U10528" t="s">
        <v>58326</v>
      </c>
      <c r="W10528" t="s">
        <v>43541</v>
      </c>
      <c r="X10528" t="s">
        <v>47435</v>
      </c>
    </row>
    <row r="10529" spans="1:24">
      <c r="A10529">
        <f>HYPERLINK("https://www.philgeps.gov.ph/GEPSNONPILOT/Tender/SplashBidNoticeAbstractUI.aspx?menuIndex=3&amp;refID=7148929&amp;Result=3","7148929")</f>
        <v>0</v>
      </c>
      <c r="B10529" t="s">
        <v>535</v>
      </c>
      <c r="C10529" t="s">
        <v>13802</v>
      </c>
      <c r="D10529" t="s">
        <v>19019</v>
      </c>
      <c r="E10529" t="s">
        <v>28164</v>
      </c>
      <c r="F10529" t="s">
        <v>32831</v>
      </c>
      <c r="G10529" t="s">
        <v>32839</v>
      </c>
      <c r="H10529" t="s">
        <v>32849</v>
      </c>
      <c r="I10529" t="s">
        <v>4177</v>
      </c>
      <c r="J10529" t="s">
        <v>39468</v>
      </c>
      <c r="K10529" t="s">
        <v>42732</v>
      </c>
      <c r="M10529" t="s">
        <v>43541</v>
      </c>
      <c r="N10529" t="s">
        <v>47424</v>
      </c>
      <c r="O10529" t="s">
        <v>47425</v>
      </c>
      <c r="P10529">
        <v>0</v>
      </c>
      <c r="Q10529">
        <v>2</v>
      </c>
      <c r="R10529" t="s">
        <v>47434</v>
      </c>
      <c r="S10529" t="s">
        <v>47677</v>
      </c>
      <c r="T10529" t="s">
        <v>49236</v>
      </c>
      <c r="U10529" t="s">
        <v>58327</v>
      </c>
      <c r="W10529" t="s">
        <v>43541</v>
      </c>
      <c r="X10529" t="s">
        <v>47435</v>
      </c>
    </row>
    <row r="10530" spans="1:24">
      <c r="A10530">
        <f>HYPERLINK("https://www.philgeps.gov.ph/GEPSNONPILOT/Tender/SplashBidNoticeAbstractUI.aspx?menuIndex=3&amp;refID=7148934&amp;Result=3","7148934")</f>
        <v>0</v>
      </c>
      <c r="B10530" t="s">
        <v>535</v>
      </c>
      <c r="C10530" t="s">
        <v>13803</v>
      </c>
      <c r="D10530" t="s">
        <v>19019</v>
      </c>
      <c r="E10530" t="s">
        <v>20126</v>
      </c>
      <c r="F10530" t="s">
        <v>32831</v>
      </c>
      <c r="G10530" t="s">
        <v>32839</v>
      </c>
      <c r="H10530" t="s">
        <v>32849</v>
      </c>
      <c r="I10530" t="s">
        <v>4177</v>
      </c>
      <c r="J10530" t="s">
        <v>39469</v>
      </c>
      <c r="K10530" t="s">
        <v>42732</v>
      </c>
      <c r="M10530" t="s">
        <v>43541</v>
      </c>
      <c r="N10530" t="s">
        <v>47424</v>
      </c>
      <c r="O10530" t="s">
        <v>47425</v>
      </c>
      <c r="P10530">
        <v>0</v>
      </c>
      <c r="Q10530">
        <v>1</v>
      </c>
      <c r="R10530" t="s">
        <v>47434</v>
      </c>
      <c r="S10530" t="s">
        <v>47677</v>
      </c>
      <c r="T10530" t="s">
        <v>49236</v>
      </c>
      <c r="U10530" t="s">
        <v>58328</v>
      </c>
      <c r="W10530" t="s">
        <v>43541</v>
      </c>
      <c r="X10530" t="s">
        <v>47435</v>
      </c>
    </row>
    <row r="10531" spans="1:24">
      <c r="A10531">
        <f>HYPERLINK("https://www.philgeps.gov.ph/GEPSNONPILOT/Tender/SplashBidNoticeAbstractUI.aspx?menuIndex=3&amp;refID=7148925&amp;Result=3","7148925")</f>
        <v>0</v>
      </c>
      <c r="B10531" t="s">
        <v>535</v>
      </c>
      <c r="C10531" t="s">
        <v>13804</v>
      </c>
      <c r="D10531" t="s">
        <v>19019</v>
      </c>
      <c r="E10531" t="s">
        <v>28165</v>
      </c>
      <c r="F10531" t="s">
        <v>32831</v>
      </c>
      <c r="G10531" t="s">
        <v>32839</v>
      </c>
      <c r="H10531" t="s">
        <v>32849</v>
      </c>
      <c r="I10531" t="s">
        <v>4177</v>
      </c>
      <c r="J10531" t="s">
        <v>39470</v>
      </c>
      <c r="K10531" t="s">
        <v>42732</v>
      </c>
      <c r="M10531" t="s">
        <v>43541</v>
      </c>
      <c r="N10531" t="s">
        <v>47424</v>
      </c>
      <c r="O10531" t="s">
        <v>47425</v>
      </c>
      <c r="P10531">
        <v>0</v>
      </c>
      <c r="Q10531">
        <v>0</v>
      </c>
      <c r="R10531" t="s">
        <v>47434</v>
      </c>
      <c r="S10531" t="s">
        <v>47677</v>
      </c>
      <c r="T10531" t="s">
        <v>49236</v>
      </c>
      <c r="U10531" t="s">
        <v>58329</v>
      </c>
      <c r="W10531" t="s">
        <v>43541</v>
      </c>
      <c r="X10531" t="s">
        <v>47435</v>
      </c>
    </row>
    <row r="10532" spans="1:24">
      <c r="A10532">
        <f>HYPERLINK("https://www.philgeps.gov.ph/GEPSNONPILOT/Tender/SplashBidNoticeAbstractUI.aspx?menuIndex=3&amp;refID=7148907&amp;Result=3","7148907")</f>
        <v>0</v>
      </c>
      <c r="B10532" t="s">
        <v>958</v>
      </c>
      <c r="C10532" t="s">
        <v>13805</v>
      </c>
      <c r="D10532" t="s">
        <v>19054</v>
      </c>
      <c r="E10532" t="s">
        <v>28166</v>
      </c>
      <c r="F10532" t="s">
        <v>32831</v>
      </c>
      <c r="G10532" t="s">
        <v>32838</v>
      </c>
      <c r="H10532" t="s">
        <v>32848</v>
      </c>
      <c r="I10532" t="s">
        <v>5379</v>
      </c>
      <c r="J10532" t="s">
        <v>39471</v>
      </c>
      <c r="K10532" t="s">
        <v>42732</v>
      </c>
      <c r="M10532" t="s">
        <v>44004</v>
      </c>
      <c r="N10532" t="s">
        <v>47424</v>
      </c>
      <c r="O10532" t="s">
        <v>47425</v>
      </c>
      <c r="P10532">
        <v>0</v>
      </c>
      <c r="Q10532">
        <v>0</v>
      </c>
      <c r="R10532" t="s">
        <v>47434</v>
      </c>
      <c r="S10532" t="s">
        <v>47677</v>
      </c>
      <c r="T10532" t="s">
        <v>49212</v>
      </c>
      <c r="U10532" t="s">
        <v>58330</v>
      </c>
      <c r="W10532" t="s">
        <v>44004</v>
      </c>
      <c r="X10532" t="s">
        <v>47435</v>
      </c>
    </row>
    <row r="10533" spans="1:24">
      <c r="A10533">
        <f>HYPERLINK("https://www.philgeps.gov.ph/GEPSNONPILOT/Tender/SplashBidNoticeAbstractUI.aspx?menuIndex=3&amp;refID=7149050&amp;Result=3","7149050")</f>
        <v>0</v>
      </c>
      <c r="B10533" t="s">
        <v>3211</v>
      </c>
      <c r="C10533" t="s">
        <v>13806</v>
      </c>
      <c r="D10533" t="s">
        <v>19017</v>
      </c>
      <c r="E10533" t="s">
        <v>20851</v>
      </c>
      <c r="F10533" t="s">
        <v>32831</v>
      </c>
      <c r="G10533" t="s">
        <v>32839</v>
      </c>
      <c r="H10533" t="s">
        <v>32848</v>
      </c>
      <c r="I10533" t="s">
        <v>4438</v>
      </c>
      <c r="J10533" t="s">
        <v>32980</v>
      </c>
      <c r="K10533" t="s">
        <v>42730</v>
      </c>
      <c r="M10533" t="s">
        <v>46524</v>
      </c>
      <c r="N10533" t="s">
        <v>47424</v>
      </c>
      <c r="O10533" t="s">
        <v>47425</v>
      </c>
      <c r="Q10533">
        <v>1</v>
      </c>
      <c r="R10533" t="s">
        <v>47434</v>
      </c>
      <c r="S10533" t="s">
        <v>47696</v>
      </c>
      <c r="T10533" t="s">
        <v>49291</v>
      </c>
      <c r="U10533" t="s">
        <v>58331</v>
      </c>
      <c r="W10533" t="s">
        <v>46524</v>
      </c>
      <c r="X10533" t="s">
        <v>47435</v>
      </c>
    </row>
    <row r="10534" spans="1:24">
      <c r="A10534">
        <f>HYPERLINK("https://www.philgeps.gov.ph/GEPSNONPILOT/Tender/SplashBidNoticeAbstractUI.aspx?menuIndex=3&amp;refID=7149048&amp;Result=3","7149048")</f>
        <v>0</v>
      </c>
      <c r="B10534" t="s">
        <v>3212</v>
      </c>
      <c r="C10534" t="s">
        <v>13807</v>
      </c>
      <c r="D10534" t="s">
        <v>19037</v>
      </c>
      <c r="E10534" t="s">
        <v>19351</v>
      </c>
      <c r="F10534" t="s">
        <v>32831</v>
      </c>
      <c r="G10534" t="s">
        <v>32839</v>
      </c>
      <c r="H10534" t="s">
        <v>32848</v>
      </c>
      <c r="I10534" t="s">
        <v>4177</v>
      </c>
      <c r="J10534" t="s">
        <v>39472</v>
      </c>
      <c r="K10534" t="s">
        <v>42732</v>
      </c>
      <c r="M10534" t="s">
        <v>46525</v>
      </c>
      <c r="N10534" t="s">
        <v>47424</v>
      </c>
      <c r="O10534" t="s">
        <v>47425</v>
      </c>
      <c r="P10534">
        <v>0</v>
      </c>
      <c r="Q10534">
        <v>0</v>
      </c>
      <c r="R10534" t="s">
        <v>47434</v>
      </c>
      <c r="S10534" t="s">
        <v>47677</v>
      </c>
      <c r="T10534" t="s">
        <v>49237</v>
      </c>
      <c r="U10534" t="s">
        <v>58332</v>
      </c>
      <c r="W10534" t="s">
        <v>46525</v>
      </c>
      <c r="X10534" t="s">
        <v>47435</v>
      </c>
    </row>
    <row r="10535" spans="1:24">
      <c r="A10535">
        <f>HYPERLINK("https://www.philgeps.gov.ph/GEPSNONPILOT/Tender/SplashBidNoticeAbstractUI.aspx?menuIndex=3&amp;refID=7148916&amp;Result=3","7148916")</f>
        <v>0</v>
      </c>
      <c r="B10535" t="s">
        <v>535</v>
      </c>
      <c r="C10535" t="s">
        <v>13808</v>
      </c>
      <c r="D10535" t="s">
        <v>19019</v>
      </c>
      <c r="E10535" t="s">
        <v>28160</v>
      </c>
      <c r="F10535" t="s">
        <v>32831</v>
      </c>
      <c r="G10535" t="s">
        <v>32839</v>
      </c>
      <c r="H10535" t="s">
        <v>32849</v>
      </c>
      <c r="I10535" t="s">
        <v>4177</v>
      </c>
      <c r="J10535" t="s">
        <v>39473</v>
      </c>
      <c r="K10535" t="s">
        <v>42732</v>
      </c>
      <c r="M10535" t="s">
        <v>43541</v>
      </c>
      <c r="N10535" t="s">
        <v>47424</v>
      </c>
      <c r="O10535" t="s">
        <v>47425</v>
      </c>
      <c r="P10535">
        <v>0</v>
      </c>
      <c r="Q10535">
        <v>3</v>
      </c>
      <c r="R10535" t="s">
        <v>47434</v>
      </c>
      <c r="S10535" t="s">
        <v>47677</v>
      </c>
      <c r="T10535" t="s">
        <v>49236</v>
      </c>
      <c r="U10535" t="s">
        <v>58333</v>
      </c>
      <c r="W10535" t="s">
        <v>43541</v>
      </c>
      <c r="X10535" t="s">
        <v>47435</v>
      </c>
    </row>
    <row r="10536" spans="1:24">
      <c r="A10536">
        <f>HYPERLINK("https://www.philgeps.gov.ph/GEPSNONPILOT/Tender/SplashBidNoticeAbstractUI.aspx?menuIndex=3&amp;refID=7148871&amp;Result=3","7148871")</f>
        <v>0</v>
      </c>
      <c r="B10536" t="s">
        <v>1118</v>
      </c>
      <c r="C10536" t="s">
        <v>13809</v>
      </c>
      <c r="D10536" t="s">
        <v>19060</v>
      </c>
      <c r="E10536" t="s">
        <v>28167</v>
      </c>
      <c r="F10536" t="s">
        <v>32831</v>
      </c>
      <c r="G10536" t="s">
        <v>32838</v>
      </c>
      <c r="H10536" t="s">
        <v>32848</v>
      </c>
      <c r="I10536" t="s">
        <v>32857</v>
      </c>
      <c r="J10536" t="s">
        <v>39474</v>
      </c>
      <c r="K10536" t="s">
        <v>42726</v>
      </c>
      <c r="M10536" t="s">
        <v>44178</v>
      </c>
      <c r="N10536" t="s">
        <v>47424</v>
      </c>
      <c r="O10536" t="s">
        <v>47425</v>
      </c>
      <c r="P10536">
        <v>0</v>
      </c>
      <c r="Q10536">
        <v>3</v>
      </c>
      <c r="R10536" t="s">
        <v>47434</v>
      </c>
      <c r="S10536" t="s">
        <v>47677</v>
      </c>
      <c r="T10536" t="s">
        <v>49166</v>
      </c>
      <c r="U10536" t="s">
        <v>58334</v>
      </c>
      <c r="W10536" t="s">
        <v>44178</v>
      </c>
      <c r="X10536" t="s">
        <v>47435</v>
      </c>
    </row>
    <row r="10537" spans="1:24">
      <c r="A10537">
        <f>HYPERLINK("https://www.philgeps.gov.ph/GEPSNONPILOT/Tender/SplashBidNoticeAbstractUI.aspx?menuIndex=3&amp;refID=7149044&amp;Result=3","7149044")</f>
        <v>0</v>
      </c>
      <c r="B10537" t="s">
        <v>3211</v>
      </c>
      <c r="C10537" t="s">
        <v>13810</v>
      </c>
      <c r="D10537" t="s">
        <v>19017</v>
      </c>
      <c r="E10537" t="s">
        <v>22699</v>
      </c>
      <c r="F10537" t="s">
        <v>32831</v>
      </c>
      <c r="G10537" t="s">
        <v>32839</v>
      </c>
      <c r="H10537" t="s">
        <v>32848</v>
      </c>
      <c r="I10537" t="s">
        <v>4438</v>
      </c>
      <c r="J10537" t="s">
        <v>33072</v>
      </c>
      <c r="K10537" t="s">
        <v>42730</v>
      </c>
      <c r="M10537" t="s">
        <v>46524</v>
      </c>
      <c r="N10537" t="s">
        <v>47424</v>
      </c>
      <c r="O10537" t="s">
        <v>47425</v>
      </c>
      <c r="Q10537">
        <v>1</v>
      </c>
      <c r="R10537" t="s">
        <v>47434</v>
      </c>
      <c r="S10537" t="s">
        <v>47697</v>
      </c>
      <c r="T10537" t="s">
        <v>49291</v>
      </c>
      <c r="U10537" t="s">
        <v>58335</v>
      </c>
      <c r="W10537" t="s">
        <v>46524</v>
      </c>
      <c r="X10537" t="s">
        <v>47435</v>
      </c>
    </row>
    <row r="10538" spans="1:24">
      <c r="A10538">
        <f>HYPERLINK("https://www.philgeps.gov.ph/GEPSNONPILOT/Tender/SplashBidNoticeAbstractUI.aspx?menuIndex=3&amp;refID=7149040&amp;Result=3","7149040")</f>
        <v>0</v>
      </c>
      <c r="B10538" t="s">
        <v>3211</v>
      </c>
      <c r="C10538" t="s">
        <v>13811</v>
      </c>
      <c r="D10538" t="s">
        <v>19017</v>
      </c>
      <c r="E10538" t="s">
        <v>22722</v>
      </c>
      <c r="F10538" t="s">
        <v>32831</v>
      </c>
      <c r="G10538" t="s">
        <v>32839</v>
      </c>
      <c r="H10538" t="s">
        <v>32848</v>
      </c>
      <c r="I10538" t="s">
        <v>4438</v>
      </c>
      <c r="J10538" t="s">
        <v>33083</v>
      </c>
      <c r="K10538" t="s">
        <v>42763</v>
      </c>
      <c r="M10538" t="s">
        <v>46524</v>
      </c>
      <c r="N10538" t="s">
        <v>47424</v>
      </c>
      <c r="O10538" t="s">
        <v>47425</v>
      </c>
      <c r="Q10538">
        <v>0</v>
      </c>
      <c r="R10538" t="s">
        <v>47434</v>
      </c>
      <c r="S10538" t="s">
        <v>47698</v>
      </c>
      <c r="T10538" t="s">
        <v>49291</v>
      </c>
      <c r="U10538" t="s">
        <v>58336</v>
      </c>
      <c r="W10538" t="s">
        <v>46524</v>
      </c>
      <c r="X10538" t="s">
        <v>47435</v>
      </c>
    </row>
    <row r="10539" spans="1:24">
      <c r="A10539">
        <f>HYPERLINK("https://www.philgeps.gov.ph/GEPSNONPILOT/Tender/SplashBidNoticeAbstractUI.aspx?menuIndex=3&amp;refID=7149032&amp;Result=3","7149032")</f>
        <v>0</v>
      </c>
      <c r="B10539" t="s">
        <v>3213</v>
      </c>
      <c r="C10539" t="s">
        <v>13812</v>
      </c>
      <c r="E10539" t="s">
        <v>28168</v>
      </c>
      <c r="F10539" t="s">
        <v>32831</v>
      </c>
      <c r="G10539" t="s">
        <v>32839</v>
      </c>
      <c r="H10539" t="s">
        <v>32848</v>
      </c>
      <c r="I10539" t="s">
        <v>4438</v>
      </c>
      <c r="J10539" t="s">
        <v>39475</v>
      </c>
      <c r="K10539" t="s">
        <v>42729</v>
      </c>
      <c r="M10539" t="s">
        <v>46526</v>
      </c>
      <c r="N10539" t="s">
        <v>47424</v>
      </c>
      <c r="O10539" t="s">
        <v>47425</v>
      </c>
      <c r="P10539">
        <v>0</v>
      </c>
      <c r="Q10539">
        <v>4</v>
      </c>
      <c r="R10539" t="s">
        <v>47434</v>
      </c>
      <c r="S10539" t="s">
        <v>47677</v>
      </c>
      <c r="T10539" t="s">
        <v>49151</v>
      </c>
      <c r="U10539" t="s">
        <v>58337</v>
      </c>
      <c r="W10539" t="s">
        <v>46526</v>
      </c>
      <c r="X10539" t="s">
        <v>47435</v>
      </c>
    </row>
    <row r="10540" spans="1:24">
      <c r="A10540">
        <f>HYPERLINK("https://www.philgeps.gov.ph/GEPSNONPILOT/Tender/SplashBidNoticeAbstractUI.aspx?menuIndex=3&amp;refID=7148910&amp;Result=3","7148910")</f>
        <v>0</v>
      </c>
      <c r="B10540" t="s">
        <v>535</v>
      </c>
      <c r="C10540" t="s">
        <v>13813</v>
      </c>
      <c r="D10540" t="s">
        <v>19019</v>
      </c>
      <c r="E10540" t="s">
        <v>28169</v>
      </c>
      <c r="F10540" t="s">
        <v>32831</v>
      </c>
      <c r="G10540" t="s">
        <v>32839</v>
      </c>
      <c r="H10540" t="s">
        <v>32849</v>
      </c>
      <c r="I10540" t="s">
        <v>4177</v>
      </c>
      <c r="J10540" t="s">
        <v>39476</v>
      </c>
      <c r="K10540" t="s">
        <v>42732</v>
      </c>
      <c r="M10540" t="s">
        <v>43541</v>
      </c>
      <c r="N10540" t="s">
        <v>47424</v>
      </c>
      <c r="O10540" t="s">
        <v>47425</v>
      </c>
      <c r="P10540">
        <v>0</v>
      </c>
      <c r="Q10540">
        <v>0</v>
      </c>
      <c r="R10540" t="s">
        <v>47434</v>
      </c>
      <c r="S10540" t="s">
        <v>47677</v>
      </c>
      <c r="T10540" t="s">
        <v>49236</v>
      </c>
      <c r="U10540" t="s">
        <v>58338</v>
      </c>
      <c r="W10540" t="s">
        <v>43541</v>
      </c>
      <c r="X10540" t="s">
        <v>47435</v>
      </c>
    </row>
    <row r="10541" spans="1:24">
      <c r="A10541">
        <f>HYPERLINK("https://www.philgeps.gov.ph/GEPSNONPILOT/Tender/SplashBidNoticeAbstractUI.aspx?menuIndex=3&amp;refID=7149031&amp;Result=3","7149031")</f>
        <v>0</v>
      </c>
      <c r="B10541" t="s">
        <v>3213</v>
      </c>
      <c r="C10541" t="s">
        <v>13814</v>
      </c>
      <c r="D10541" t="s">
        <v>19017</v>
      </c>
      <c r="E10541" t="s">
        <v>28170</v>
      </c>
      <c r="F10541" t="s">
        <v>32831</v>
      </c>
      <c r="G10541" t="s">
        <v>32839</v>
      </c>
      <c r="H10541" t="s">
        <v>32848</v>
      </c>
      <c r="I10541" t="s">
        <v>4438</v>
      </c>
      <c r="J10541" t="s">
        <v>36415</v>
      </c>
      <c r="K10541" t="s">
        <v>42729</v>
      </c>
      <c r="M10541" t="s">
        <v>46526</v>
      </c>
      <c r="N10541" t="s">
        <v>47424</v>
      </c>
      <c r="O10541" t="s">
        <v>47425</v>
      </c>
      <c r="P10541">
        <v>0</v>
      </c>
      <c r="Q10541">
        <v>4</v>
      </c>
      <c r="R10541" t="s">
        <v>47434</v>
      </c>
      <c r="S10541" t="s">
        <v>47677</v>
      </c>
      <c r="T10541" t="s">
        <v>49151</v>
      </c>
      <c r="U10541" t="s">
        <v>58339</v>
      </c>
      <c r="W10541" t="s">
        <v>46526</v>
      </c>
      <c r="X10541" t="s">
        <v>47435</v>
      </c>
    </row>
    <row r="10542" spans="1:24">
      <c r="A10542">
        <f>HYPERLINK("https://www.philgeps.gov.ph/GEPSNONPILOT/Tender/SplashBidNoticeAbstractUI.aspx?menuIndex=3&amp;refID=7148912&amp;Result=3","7148912")</f>
        <v>0</v>
      </c>
      <c r="B10542" t="s">
        <v>958</v>
      </c>
      <c r="C10542" t="s">
        <v>13815</v>
      </c>
      <c r="D10542" t="s">
        <v>19064</v>
      </c>
      <c r="E10542" t="s">
        <v>28171</v>
      </c>
      <c r="F10542" t="s">
        <v>32831</v>
      </c>
      <c r="G10542" t="s">
        <v>32838</v>
      </c>
      <c r="H10542" t="s">
        <v>32848</v>
      </c>
      <c r="I10542" t="s">
        <v>5379</v>
      </c>
      <c r="J10542" t="s">
        <v>39477</v>
      </c>
      <c r="K10542" t="s">
        <v>42732</v>
      </c>
      <c r="M10542" t="s">
        <v>44004</v>
      </c>
      <c r="N10542" t="s">
        <v>47424</v>
      </c>
      <c r="O10542" t="s">
        <v>47425</v>
      </c>
      <c r="P10542">
        <v>0</v>
      </c>
      <c r="Q10542">
        <v>0</v>
      </c>
      <c r="R10542" t="s">
        <v>47434</v>
      </c>
      <c r="S10542" t="s">
        <v>47677</v>
      </c>
      <c r="T10542" t="s">
        <v>49212</v>
      </c>
      <c r="U10542" t="s">
        <v>58340</v>
      </c>
      <c r="W10542" t="s">
        <v>44004</v>
      </c>
      <c r="X10542" t="s">
        <v>47435</v>
      </c>
    </row>
    <row r="10543" spans="1:24">
      <c r="A10543">
        <f>HYPERLINK("https://www.philgeps.gov.ph/GEPSNONPILOT/Tender/SplashBidNoticeAbstractUI.aspx?menuIndex=3&amp;refID=7149022&amp;Result=3","7149022")</f>
        <v>0</v>
      </c>
      <c r="B10543" t="s">
        <v>3214</v>
      </c>
      <c r="C10543" t="s">
        <v>13816</v>
      </c>
      <c r="D10543" t="s">
        <v>19040</v>
      </c>
      <c r="E10543" t="s">
        <v>28172</v>
      </c>
      <c r="F10543" t="s">
        <v>32831</v>
      </c>
      <c r="G10543" t="s">
        <v>32839</v>
      </c>
      <c r="H10543" t="s">
        <v>32848</v>
      </c>
      <c r="I10543" t="s">
        <v>7751</v>
      </c>
      <c r="J10543" t="s">
        <v>39478</v>
      </c>
      <c r="K10543" t="s">
        <v>42745</v>
      </c>
      <c r="M10543" t="s">
        <v>46527</v>
      </c>
      <c r="N10543" t="s">
        <v>47424</v>
      </c>
      <c r="O10543" t="s">
        <v>47425</v>
      </c>
      <c r="P10543">
        <v>0</v>
      </c>
      <c r="Q10543">
        <v>1</v>
      </c>
      <c r="R10543" t="s">
        <v>47434</v>
      </c>
      <c r="S10543" t="s">
        <v>47677</v>
      </c>
      <c r="T10543" t="s">
        <v>49138</v>
      </c>
      <c r="U10543" t="s">
        <v>58341</v>
      </c>
      <c r="W10543" t="s">
        <v>46527</v>
      </c>
      <c r="X10543" t="s">
        <v>47435</v>
      </c>
    </row>
    <row r="10544" spans="1:24">
      <c r="A10544">
        <f>HYPERLINK("https://www.philgeps.gov.ph/GEPSNONPILOT/Tender/SplashBidNoticeAbstractUI.aspx?menuIndex=3&amp;refID=7148989&amp;Result=3","7148989")</f>
        <v>0</v>
      </c>
      <c r="B10544" t="s">
        <v>1100</v>
      </c>
      <c r="C10544" t="s">
        <v>13817</v>
      </c>
      <c r="D10544" t="s">
        <v>19062</v>
      </c>
      <c r="E10544" t="s">
        <v>28173</v>
      </c>
      <c r="F10544" t="s">
        <v>32831</v>
      </c>
      <c r="G10544" t="s">
        <v>32839</v>
      </c>
      <c r="H10544" t="s">
        <v>32849</v>
      </c>
      <c r="I10544" t="s">
        <v>4177</v>
      </c>
      <c r="J10544" t="s">
        <v>39479</v>
      </c>
      <c r="K10544" t="s">
        <v>42873</v>
      </c>
      <c r="M10544" t="s">
        <v>44160</v>
      </c>
      <c r="N10544" t="s">
        <v>47424</v>
      </c>
      <c r="O10544" t="s">
        <v>47425</v>
      </c>
      <c r="P10544">
        <v>0</v>
      </c>
      <c r="Q10544">
        <v>2</v>
      </c>
      <c r="R10544" t="s">
        <v>47434</v>
      </c>
      <c r="S10544" t="s">
        <v>47677</v>
      </c>
      <c r="T10544" t="s">
        <v>49452</v>
      </c>
      <c r="U10544" t="s">
        <v>58342</v>
      </c>
      <c r="V10544" t="s">
        <v>63219</v>
      </c>
      <c r="W10544" t="s">
        <v>44160</v>
      </c>
      <c r="X10544" t="s">
        <v>47435</v>
      </c>
    </row>
    <row r="10545" spans="1:24">
      <c r="A10545">
        <f>HYPERLINK("https://www.philgeps.gov.ph/GEPSNONPILOT/Tender/SplashBidNoticeAbstractUI.aspx?menuIndex=3&amp;refID=7148870&amp;Result=3","7148870")</f>
        <v>0</v>
      </c>
      <c r="B10545" t="s">
        <v>1118</v>
      </c>
      <c r="C10545" t="s">
        <v>13818</v>
      </c>
      <c r="D10545" t="s">
        <v>19060</v>
      </c>
      <c r="E10545" t="s">
        <v>28174</v>
      </c>
      <c r="F10545" t="s">
        <v>32831</v>
      </c>
      <c r="G10545" t="s">
        <v>32838</v>
      </c>
      <c r="H10545" t="s">
        <v>32848</v>
      </c>
      <c r="I10545" t="s">
        <v>32857</v>
      </c>
      <c r="J10545" t="s">
        <v>32983</v>
      </c>
      <c r="K10545" t="s">
        <v>42726</v>
      </c>
      <c r="M10545" t="s">
        <v>44178</v>
      </c>
      <c r="N10545" t="s">
        <v>47424</v>
      </c>
      <c r="O10545" t="s">
        <v>47425</v>
      </c>
      <c r="P10545">
        <v>0</v>
      </c>
      <c r="Q10545">
        <v>3</v>
      </c>
      <c r="R10545" t="s">
        <v>47434</v>
      </c>
      <c r="S10545" t="s">
        <v>47677</v>
      </c>
      <c r="T10545" t="s">
        <v>49166</v>
      </c>
      <c r="U10545" t="s">
        <v>58343</v>
      </c>
      <c r="W10545" t="s">
        <v>44178</v>
      </c>
      <c r="X10545" t="s">
        <v>47435</v>
      </c>
    </row>
    <row r="10546" spans="1:24">
      <c r="A10546">
        <f>HYPERLINK("https://www.philgeps.gov.ph/GEPSNONPILOT/Tender/SplashBidNoticeAbstractUI.aspx?menuIndex=3&amp;refID=7148977&amp;Result=3","7148977")</f>
        <v>0</v>
      </c>
      <c r="B10546" t="s">
        <v>3214</v>
      </c>
      <c r="C10546" t="s">
        <v>13819</v>
      </c>
      <c r="D10546" t="s">
        <v>19040</v>
      </c>
      <c r="E10546" t="s">
        <v>28175</v>
      </c>
      <c r="F10546" t="s">
        <v>32831</v>
      </c>
      <c r="G10546" t="s">
        <v>32839</v>
      </c>
      <c r="H10546" t="s">
        <v>32848</v>
      </c>
      <c r="I10546" t="s">
        <v>32949</v>
      </c>
      <c r="J10546" t="s">
        <v>39480</v>
      </c>
      <c r="K10546" t="s">
        <v>42745</v>
      </c>
      <c r="M10546" t="s">
        <v>46527</v>
      </c>
      <c r="N10546" t="s">
        <v>47424</v>
      </c>
      <c r="O10546" t="s">
        <v>47425</v>
      </c>
      <c r="P10546">
        <v>0</v>
      </c>
      <c r="Q10546">
        <v>4</v>
      </c>
      <c r="R10546" t="s">
        <v>47434</v>
      </c>
      <c r="S10546" t="s">
        <v>47677</v>
      </c>
      <c r="T10546" t="s">
        <v>49138</v>
      </c>
      <c r="U10546" t="s">
        <v>58344</v>
      </c>
      <c r="W10546" t="s">
        <v>46527</v>
      </c>
      <c r="X10546" t="s">
        <v>47435</v>
      </c>
    </row>
    <row r="10547" spans="1:24">
      <c r="A10547">
        <f>HYPERLINK("https://www.philgeps.gov.ph/GEPSNONPILOT/Tender/SplashBidNoticeAbstractUI.aspx?menuIndex=3&amp;refID=7149035&amp;Result=3","7149035")</f>
        <v>0</v>
      </c>
      <c r="B10547" t="s">
        <v>3211</v>
      </c>
      <c r="C10547" t="s">
        <v>13820</v>
      </c>
      <c r="D10547" t="s">
        <v>19017</v>
      </c>
      <c r="E10547" t="s">
        <v>20017</v>
      </c>
      <c r="F10547" t="s">
        <v>32831</v>
      </c>
      <c r="G10547" t="s">
        <v>32839</v>
      </c>
      <c r="H10547" t="s">
        <v>32848</v>
      </c>
      <c r="I10547" t="s">
        <v>4438</v>
      </c>
      <c r="J10547" t="s">
        <v>33178</v>
      </c>
      <c r="K10547" t="s">
        <v>42729</v>
      </c>
      <c r="M10547" t="s">
        <v>46524</v>
      </c>
      <c r="N10547" t="s">
        <v>47424</v>
      </c>
      <c r="O10547" t="s">
        <v>47425</v>
      </c>
      <c r="Q10547">
        <v>2</v>
      </c>
      <c r="R10547" t="s">
        <v>47434</v>
      </c>
      <c r="S10547" t="s">
        <v>47699</v>
      </c>
      <c r="T10547" t="s">
        <v>49291</v>
      </c>
      <c r="U10547" t="s">
        <v>58345</v>
      </c>
      <c r="W10547" t="s">
        <v>46524</v>
      </c>
      <c r="X10547" t="s">
        <v>47435</v>
      </c>
    </row>
    <row r="10548" spans="1:24">
      <c r="A10548">
        <f>HYPERLINK("https://www.philgeps.gov.ph/GEPSNONPILOT/Tender/SplashBidNoticeAbstractUI.aspx?menuIndex=3&amp;refID=7149102&amp;Result=3","7149102")</f>
        <v>0</v>
      </c>
      <c r="B10548" t="s">
        <v>468</v>
      </c>
      <c r="C10548" t="s">
        <v>13821</v>
      </c>
      <c r="D10548" t="s">
        <v>19031</v>
      </c>
      <c r="E10548" t="s">
        <v>28176</v>
      </c>
      <c r="F10548" t="s">
        <v>32831</v>
      </c>
      <c r="G10548" t="s">
        <v>32839</v>
      </c>
      <c r="H10548" t="s">
        <v>32848</v>
      </c>
      <c r="I10548" t="s">
        <v>32859</v>
      </c>
      <c r="J10548" t="s">
        <v>39481</v>
      </c>
      <c r="K10548" t="s">
        <v>42730</v>
      </c>
      <c r="M10548" t="s">
        <v>43473</v>
      </c>
      <c r="N10548" t="s">
        <v>47424</v>
      </c>
      <c r="O10548" t="s">
        <v>47425</v>
      </c>
      <c r="P10548">
        <v>0</v>
      </c>
      <c r="Q10548">
        <v>3</v>
      </c>
      <c r="R10548" t="s">
        <v>47434</v>
      </c>
      <c r="S10548" t="s">
        <v>47677</v>
      </c>
      <c r="T10548" t="s">
        <v>49250</v>
      </c>
      <c r="U10548" t="s">
        <v>58346</v>
      </c>
      <c r="W10548" t="s">
        <v>64440</v>
      </c>
      <c r="X10548" t="s">
        <v>47435</v>
      </c>
    </row>
    <row r="10549" spans="1:24">
      <c r="A10549">
        <f>HYPERLINK("https://www.philgeps.gov.ph/GEPSNONPILOT/Tender/SplashBidNoticeAbstractUI.aspx?menuIndex=3&amp;refID=7149100&amp;Result=3","7149100")</f>
        <v>0</v>
      </c>
      <c r="B10549" t="s">
        <v>3215</v>
      </c>
      <c r="C10549" t="s">
        <v>13822</v>
      </c>
      <c r="D10549" t="s">
        <v>19018</v>
      </c>
      <c r="E10549" t="s">
        <v>28177</v>
      </c>
      <c r="F10549" t="s">
        <v>32831</v>
      </c>
      <c r="G10549" t="s">
        <v>32840</v>
      </c>
      <c r="H10549" t="s">
        <v>32848</v>
      </c>
      <c r="I10549" t="s">
        <v>32860</v>
      </c>
      <c r="J10549" t="s">
        <v>33775</v>
      </c>
      <c r="K10549" t="s">
        <v>42748</v>
      </c>
      <c r="M10549" t="s">
        <v>46528</v>
      </c>
      <c r="N10549" t="s">
        <v>47424</v>
      </c>
      <c r="O10549" t="s">
        <v>47425</v>
      </c>
      <c r="P10549">
        <v>0</v>
      </c>
      <c r="Q10549">
        <v>2</v>
      </c>
      <c r="R10549" t="s">
        <v>47434</v>
      </c>
      <c r="S10549" t="s">
        <v>47677</v>
      </c>
      <c r="T10549" t="s">
        <v>49564</v>
      </c>
      <c r="U10549" t="s">
        <v>58347</v>
      </c>
      <c r="W10549" t="s">
        <v>46528</v>
      </c>
      <c r="X10549" t="s">
        <v>47435</v>
      </c>
    </row>
    <row r="10550" spans="1:24">
      <c r="A10550">
        <f>HYPERLINK("https://www.philgeps.gov.ph/GEPSNONPILOT/Tender/SplashBidNoticeAbstractUI.aspx?menuIndex=3&amp;refID=7149003&amp;Result=3","7149003")</f>
        <v>0</v>
      </c>
      <c r="B10550" t="s">
        <v>192</v>
      </c>
      <c r="C10550" t="s">
        <v>13823</v>
      </c>
      <c r="D10550" t="s">
        <v>19057</v>
      </c>
      <c r="E10550" t="s">
        <v>28178</v>
      </c>
      <c r="F10550" t="s">
        <v>32831</v>
      </c>
      <c r="G10550" t="s">
        <v>32839</v>
      </c>
      <c r="H10550" t="s">
        <v>32848</v>
      </c>
      <c r="I10550" t="s">
        <v>4487</v>
      </c>
      <c r="J10550" t="s">
        <v>39482</v>
      </c>
      <c r="K10550" t="s">
        <v>42747</v>
      </c>
      <c r="M10550" t="s">
        <v>43190</v>
      </c>
      <c r="N10550" t="s">
        <v>47424</v>
      </c>
      <c r="O10550" t="s">
        <v>47425</v>
      </c>
      <c r="P10550">
        <v>0</v>
      </c>
      <c r="Q10550">
        <v>20</v>
      </c>
      <c r="R10550" t="s">
        <v>47434</v>
      </c>
      <c r="S10550" t="s">
        <v>47677</v>
      </c>
      <c r="T10550" t="s">
        <v>49254</v>
      </c>
      <c r="U10550" t="s">
        <v>58348</v>
      </c>
      <c r="W10550" t="s">
        <v>43190</v>
      </c>
      <c r="X10550" t="s">
        <v>47435</v>
      </c>
    </row>
    <row r="10551" spans="1:24">
      <c r="A10551">
        <f>HYPERLINK("https://www.philgeps.gov.ph/GEPSNONPILOT/Tender/SplashBidNoticeAbstractUI.aspx?menuIndex=3&amp;refID=7149096&amp;Result=3","7149096")</f>
        <v>0</v>
      </c>
      <c r="B10551" t="s">
        <v>468</v>
      </c>
      <c r="C10551" t="s">
        <v>13824</v>
      </c>
      <c r="D10551" t="s">
        <v>19031</v>
      </c>
      <c r="E10551" t="s">
        <v>28179</v>
      </c>
      <c r="F10551" t="s">
        <v>32831</v>
      </c>
      <c r="G10551" t="s">
        <v>32839</v>
      </c>
      <c r="H10551" t="s">
        <v>32848</v>
      </c>
      <c r="I10551" t="s">
        <v>7751</v>
      </c>
      <c r="J10551" t="s">
        <v>33561</v>
      </c>
      <c r="K10551" t="s">
        <v>42729</v>
      </c>
      <c r="M10551" t="s">
        <v>43473</v>
      </c>
      <c r="N10551" t="s">
        <v>47424</v>
      </c>
      <c r="O10551" t="s">
        <v>47425</v>
      </c>
      <c r="P10551">
        <v>0</v>
      </c>
      <c r="Q10551">
        <v>3</v>
      </c>
      <c r="R10551" t="s">
        <v>47434</v>
      </c>
      <c r="S10551" t="s">
        <v>47677</v>
      </c>
      <c r="T10551" t="s">
        <v>49250</v>
      </c>
      <c r="U10551" t="s">
        <v>58349</v>
      </c>
      <c r="W10551" t="s">
        <v>64440</v>
      </c>
      <c r="X10551" t="s">
        <v>47435</v>
      </c>
    </row>
    <row r="10552" spans="1:24">
      <c r="A10552">
        <f>HYPERLINK("https://www.philgeps.gov.ph/GEPSNONPILOT/Tender/SplashBidNoticeAbstractUI.aspx?menuIndex=3&amp;refID=7149092&amp;Result=3","7149092")</f>
        <v>0</v>
      </c>
      <c r="B10552" t="s">
        <v>3215</v>
      </c>
      <c r="C10552" t="s">
        <v>10824</v>
      </c>
      <c r="D10552" t="s">
        <v>19018</v>
      </c>
      <c r="E10552" t="s">
        <v>28180</v>
      </c>
      <c r="F10552" t="s">
        <v>32831</v>
      </c>
      <c r="G10552" t="s">
        <v>32840</v>
      </c>
      <c r="H10552" t="s">
        <v>32848</v>
      </c>
      <c r="I10552" t="s">
        <v>32860</v>
      </c>
      <c r="J10552" t="s">
        <v>39483</v>
      </c>
      <c r="K10552" t="s">
        <v>42748</v>
      </c>
      <c r="M10552" t="s">
        <v>46528</v>
      </c>
      <c r="N10552" t="s">
        <v>47424</v>
      </c>
      <c r="O10552" t="s">
        <v>47425</v>
      </c>
      <c r="P10552">
        <v>0</v>
      </c>
      <c r="Q10552">
        <v>1</v>
      </c>
      <c r="R10552" t="s">
        <v>47434</v>
      </c>
      <c r="S10552" t="s">
        <v>47677</v>
      </c>
      <c r="T10552" t="s">
        <v>49564</v>
      </c>
      <c r="U10552" t="s">
        <v>58350</v>
      </c>
      <c r="W10552" t="s">
        <v>46528</v>
      </c>
      <c r="X10552" t="s">
        <v>47435</v>
      </c>
    </row>
    <row r="10553" spans="1:24">
      <c r="A10553">
        <f>HYPERLINK("https://www.philgeps.gov.ph/GEPSNONPILOT/Tender/SplashBidNoticeAbstractUI.aspx?menuIndex=3&amp;refID=7148980&amp;Result=3","7148980")</f>
        <v>0</v>
      </c>
      <c r="B10553" t="s">
        <v>3216</v>
      </c>
      <c r="C10553" t="s">
        <v>13825</v>
      </c>
      <c r="D10553" t="s">
        <v>19081</v>
      </c>
      <c r="E10553" t="s">
        <v>28181</v>
      </c>
      <c r="F10553" t="s">
        <v>32831</v>
      </c>
      <c r="G10553" t="s">
        <v>32839</v>
      </c>
      <c r="H10553" t="s">
        <v>32848</v>
      </c>
      <c r="I10553" t="s">
        <v>7751</v>
      </c>
      <c r="J10553" t="s">
        <v>32980</v>
      </c>
      <c r="K10553" t="s">
        <v>42730</v>
      </c>
      <c r="M10553" t="s">
        <v>46529</v>
      </c>
      <c r="N10553" t="s">
        <v>47424</v>
      </c>
      <c r="O10553" t="s">
        <v>47425</v>
      </c>
      <c r="P10553">
        <v>0</v>
      </c>
      <c r="Q10553">
        <v>1</v>
      </c>
      <c r="R10553" t="s">
        <v>47434</v>
      </c>
      <c r="S10553" t="s">
        <v>47677</v>
      </c>
      <c r="T10553" t="s">
        <v>49173</v>
      </c>
      <c r="U10553" t="s">
        <v>58351</v>
      </c>
      <c r="W10553" t="s">
        <v>46529</v>
      </c>
      <c r="X10553" t="s">
        <v>47435</v>
      </c>
    </row>
    <row r="10554" spans="1:24">
      <c r="A10554">
        <f>HYPERLINK("https://www.philgeps.gov.ph/GEPSNONPILOT/Tender/SplashBidNoticeAbstractUI.aspx?menuIndex=3&amp;refID=7149094&amp;Result=3","7149094")</f>
        <v>0</v>
      </c>
      <c r="B10554" t="s">
        <v>3217</v>
      </c>
      <c r="C10554" t="s">
        <v>13826</v>
      </c>
      <c r="D10554" t="s">
        <v>19031</v>
      </c>
      <c r="E10554" t="s">
        <v>28182</v>
      </c>
      <c r="F10554" t="s">
        <v>32831</v>
      </c>
      <c r="G10554" t="s">
        <v>32839</v>
      </c>
      <c r="H10554" t="s">
        <v>32849</v>
      </c>
      <c r="I10554" t="s">
        <v>4177</v>
      </c>
      <c r="J10554" t="s">
        <v>39484</v>
      </c>
      <c r="K10554" t="s">
        <v>42780</v>
      </c>
      <c r="M10554" t="s">
        <v>46530</v>
      </c>
      <c r="N10554" t="s">
        <v>47424</v>
      </c>
      <c r="O10554" t="s">
        <v>47425</v>
      </c>
      <c r="P10554">
        <v>0</v>
      </c>
      <c r="Q10554">
        <v>3</v>
      </c>
      <c r="R10554" t="s">
        <v>47434</v>
      </c>
      <c r="S10554" t="s">
        <v>47677</v>
      </c>
      <c r="T10554" t="s">
        <v>49112</v>
      </c>
      <c r="U10554" t="s">
        <v>58352</v>
      </c>
      <c r="W10554" t="s">
        <v>46530</v>
      </c>
      <c r="X10554" t="s">
        <v>47435</v>
      </c>
    </row>
    <row r="10555" spans="1:24">
      <c r="A10555">
        <f>HYPERLINK("https://www.philgeps.gov.ph/GEPSNONPILOT/Tender/SplashBidNoticeAbstractUI.aspx?menuIndex=3&amp;refID=7149088&amp;Result=3","7149088")</f>
        <v>0</v>
      </c>
      <c r="B10555" t="s">
        <v>3217</v>
      </c>
      <c r="C10555" t="s">
        <v>13827</v>
      </c>
      <c r="D10555" t="s">
        <v>19031</v>
      </c>
      <c r="E10555" t="s">
        <v>28183</v>
      </c>
      <c r="F10555" t="s">
        <v>32831</v>
      </c>
      <c r="G10555" t="s">
        <v>32839</v>
      </c>
      <c r="H10555" t="s">
        <v>32849</v>
      </c>
      <c r="I10555" t="s">
        <v>4177</v>
      </c>
      <c r="J10555" t="s">
        <v>39485</v>
      </c>
      <c r="K10555" t="s">
        <v>42862</v>
      </c>
      <c r="M10555" t="s">
        <v>46530</v>
      </c>
      <c r="N10555" t="s">
        <v>47424</v>
      </c>
      <c r="O10555" t="s">
        <v>47425</v>
      </c>
      <c r="P10555">
        <v>0</v>
      </c>
      <c r="Q10555">
        <v>2</v>
      </c>
      <c r="R10555" t="s">
        <v>47434</v>
      </c>
      <c r="S10555" t="s">
        <v>47677</v>
      </c>
      <c r="T10555" t="s">
        <v>49112</v>
      </c>
      <c r="U10555" t="s">
        <v>58353</v>
      </c>
      <c r="W10555" t="s">
        <v>46530</v>
      </c>
      <c r="X10555" t="s">
        <v>47435</v>
      </c>
    </row>
    <row r="10556" spans="1:24">
      <c r="A10556">
        <f>HYPERLINK("https://www.philgeps.gov.ph/GEPSNONPILOT/Tender/SplashBidNoticeAbstractUI.aspx?menuIndex=3&amp;refID=7149083&amp;Result=3","7149083")</f>
        <v>0</v>
      </c>
      <c r="B10556" t="s">
        <v>3217</v>
      </c>
      <c r="C10556" t="s">
        <v>13828</v>
      </c>
      <c r="D10556" t="s">
        <v>19031</v>
      </c>
      <c r="E10556" t="s">
        <v>28184</v>
      </c>
      <c r="F10556" t="s">
        <v>32831</v>
      </c>
      <c r="G10556" t="s">
        <v>32839</v>
      </c>
      <c r="H10556" t="s">
        <v>32849</v>
      </c>
      <c r="I10556" t="s">
        <v>4177</v>
      </c>
      <c r="J10556" t="s">
        <v>39486</v>
      </c>
      <c r="K10556" t="s">
        <v>42862</v>
      </c>
      <c r="M10556" t="s">
        <v>46530</v>
      </c>
      <c r="N10556" t="s">
        <v>47424</v>
      </c>
      <c r="O10556" t="s">
        <v>47425</v>
      </c>
      <c r="P10556">
        <v>0</v>
      </c>
      <c r="Q10556">
        <v>2</v>
      </c>
      <c r="R10556" t="s">
        <v>47434</v>
      </c>
      <c r="S10556" t="s">
        <v>47677</v>
      </c>
      <c r="T10556" t="s">
        <v>49112</v>
      </c>
      <c r="U10556" t="s">
        <v>58354</v>
      </c>
      <c r="W10556" t="s">
        <v>46530</v>
      </c>
      <c r="X10556" t="s">
        <v>47435</v>
      </c>
    </row>
    <row r="10557" spans="1:24">
      <c r="A10557">
        <f>HYPERLINK("https://www.philgeps.gov.ph/GEPSNONPILOT/Tender/SplashBidNoticeAbstractUI.aspx?menuIndex=3&amp;refID=7148978&amp;Result=3","7148978")</f>
        <v>0</v>
      </c>
      <c r="B10557" t="s">
        <v>3218</v>
      </c>
      <c r="C10557" t="s">
        <v>13829</v>
      </c>
      <c r="D10557" t="s">
        <v>19081</v>
      </c>
      <c r="E10557" t="s">
        <v>28185</v>
      </c>
      <c r="F10557" t="s">
        <v>32831</v>
      </c>
      <c r="G10557" t="s">
        <v>32839</v>
      </c>
      <c r="H10557" t="s">
        <v>32848</v>
      </c>
      <c r="I10557" t="s">
        <v>7751</v>
      </c>
      <c r="J10557" t="s">
        <v>33040</v>
      </c>
      <c r="K10557" t="s">
        <v>42730</v>
      </c>
      <c r="M10557" t="s">
        <v>46531</v>
      </c>
      <c r="N10557" t="s">
        <v>47424</v>
      </c>
      <c r="O10557" t="s">
        <v>47425</v>
      </c>
      <c r="P10557">
        <v>0</v>
      </c>
      <c r="Q10557">
        <v>0</v>
      </c>
      <c r="R10557" t="s">
        <v>47434</v>
      </c>
      <c r="S10557" t="s">
        <v>47677</v>
      </c>
      <c r="T10557" t="s">
        <v>49173</v>
      </c>
      <c r="U10557" t="s">
        <v>58355</v>
      </c>
      <c r="W10557" t="s">
        <v>46531</v>
      </c>
      <c r="X10557" t="s">
        <v>47435</v>
      </c>
    </row>
    <row r="10558" spans="1:24">
      <c r="A10558">
        <f>HYPERLINK("https://www.philgeps.gov.ph/GEPSNONPILOT/Tender/SplashBidNoticeAbstractUI.aspx?menuIndex=3&amp;refID=7149086&amp;Result=3","7149086")</f>
        <v>0</v>
      </c>
      <c r="B10558" t="s">
        <v>3215</v>
      </c>
      <c r="C10558" t="s">
        <v>13830</v>
      </c>
      <c r="D10558" t="s">
        <v>19018</v>
      </c>
      <c r="E10558" t="s">
        <v>21910</v>
      </c>
      <c r="F10558" t="s">
        <v>32831</v>
      </c>
      <c r="G10558" t="s">
        <v>32840</v>
      </c>
      <c r="H10558" t="s">
        <v>32848</v>
      </c>
      <c r="I10558" t="s">
        <v>4776</v>
      </c>
      <c r="J10558" t="s">
        <v>33086</v>
      </c>
      <c r="K10558" t="s">
        <v>42748</v>
      </c>
      <c r="M10558" t="s">
        <v>46528</v>
      </c>
      <c r="N10558" t="s">
        <v>47424</v>
      </c>
      <c r="O10558" t="s">
        <v>47425</v>
      </c>
      <c r="P10558">
        <v>0</v>
      </c>
      <c r="Q10558">
        <v>0</v>
      </c>
      <c r="R10558" t="s">
        <v>47434</v>
      </c>
      <c r="S10558" t="s">
        <v>47677</v>
      </c>
      <c r="T10558" t="s">
        <v>49564</v>
      </c>
      <c r="U10558" t="s">
        <v>58356</v>
      </c>
      <c r="W10558" t="s">
        <v>46528</v>
      </c>
      <c r="X10558" t="s">
        <v>47435</v>
      </c>
    </row>
    <row r="10559" spans="1:24">
      <c r="A10559">
        <f>HYPERLINK("https://www.philgeps.gov.ph/GEPSNONPILOT/Tender/SplashBidNoticeAbstractUI.aspx?menuIndex=3&amp;refID=7149074&amp;Result=3","7149074")</f>
        <v>0</v>
      </c>
      <c r="B10559" t="s">
        <v>1456</v>
      </c>
      <c r="C10559" t="s">
        <v>13831</v>
      </c>
      <c r="D10559" t="s">
        <v>19075</v>
      </c>
      <c r="E10559" t="s">
        <v>28186</v>
      </c>
      <c r="F10559" t="s">
        <v>32831</v>
      </c>
      <c r="G10559" t="s">
        <v>32839</v>
      </c>
      <c r="H10559" t="s">
        <v>32848</v>
      </c>
      <c r="I10559" t="s">
        <v>9577</v>
      </c>
      <c r="J10559" t="s">
        <v>39487</v>
      </c>
      <c r="K10559" t="s">
        <v>42727</v>
      </c>
      <c r="L10559" t="s">
        <v>1456</v>
      </c>
      <c r="M10559" t="s">
        <v>44548</v>
      </c>
      <c r="N10559" t="s">
        <v>47424</v>
      </c>
      <c r="O10559" t="s">
        <v>47425</v>
      </c>
      <c r="P10559">
        <v>0</v>
      </c>
      <c r="Q10559">
        <v>8</v>
      </c>
      <c r="R10559" t="s">
        <v>47434</v>
      </c>
      <c r="S10559" t="s">
        <v>47677</v>
      </c>
      <c r="T10559" t="s">
        <v>49239</v>
      </c>
      <c r="U10559" t="s">
        <v>53468</v>
      </c>
      <c r="V10559" t="s">
        <v>63777</v>
      </c>
      <c r="W10559" t="s">
        <v>44548</v>
      </c>
      <c r="X10559" t="s">
        <v>47435</v>
      </c>
    </row>
    <row r="10560" spans="1:24">
      <c r="A10560">
        <f>HYPERLINK("https://www.philgeps.gov.ph/GEPSNONPILOT/Tender/SplashBidNoticeAbstractUI.aspx?menuIndex=3&amp;refID=7149007&amp;Result=3","7149007")</f>
        <v>0</v>
      </c>
      <c r="B10560" t="s">
        <v>3219</v>
      </c>
      <c r="C10560" t="s">
        <v>13832</v>
      </c>
      <c r="D10560" t="s">
        <v>19121</v>
      </c>
      <c r="E10560" t="s">
        <v>28187</v>
      </c>
      <c r="F10560" t="s">
        <v>32831</v>
      </c>
      <c r="G10560" t="s">
        <v>32839</v>
      </c>
      <c r="H10560" t="s">
        <v>32850</v>
      </c>
      <c r="I10560" t="s">
        <v>32922</v>
      </c>
      <c r="J10560" t="s">
        <v>39488</v>
      </c>
      <c r="K10560" t="s">
        <v>42777</v>
      </c>
      <c r="M10560" t="s">
        <v>46532</v>
      </c>
      <c r="N10560" t="s">
        <v>47424</v>
      </c>
      <c r="O10560" t="s">
        <v>47425</v>
      </c>
      <c r="P10560">
        <v>0</v>
      </c>
      <c r="Q10560">
        <v>2</v>
      </c>
      <c r="R10560" t="s">
        <v>47434</v>
      </c>
      <c r="S10560" t="s">
        <v>47677</v>
      </c>
      <c r="T10560" t="s">
        <v>49173</v>
      </c>
      <c r="U10560" t="s">
        <v>58357</v>
      </c>
      <c r="W10560" t="s">
        <v>46532</v>
      </c>
      <c r="X10560" t="s">
        <v>47435</v>
      </c>
    </row>
    <row r="10561" spans="1:24">
      <c r="A10561">
        <f>HYPERLINK("https://www.philgeps.gov.ph/GEPSNONPILOT/Tender/SplashBidNoticeAbstractUI.aspx?menuIndex=3&amp;refID=7149072&amp;Result=3","7149072")</f>
        <v>0</v>
      </c>
      <c r="B10561" t="s">
        <v>1456</v>
      </c>
      <c r="C10561" t="s">
        <v>13833</v>
      </c>
      <c r="D10561" t="s">
        <v>19075</v>
      </c>
      <c r="E10561" t="s">
        <v>28188</v>
      </c>
      <c r="F10561" t="s">
        <v>32831</v>
      </c>
      <c r="G10561" t="s">
        <v>32839</v>
      </c>
      <c r="H10561" t="s">
        <v>32848</v>
      </c>
      <c r="I10561" t="s">
        <v>32856</v>
      </c>
      <c r="J10561" t="s">
        <v>39489</v>
      </c>
      <c r="K10561" t="s">
        <v>42727</v>
      </c>
      <c r="L10561" t="s">
        <v>1456</v>
      </c>
      <c r="M10561" t="s">
        <v>44548</v>
      </c>
      <c r="N10561" t="s">
        <v>47424</v>
      </c>
      <c r="O10561" t="s">
        <v>47425</v>
      </c>
      <c r="P10561">
        <v>0</v>
      </c>
      <c r="Q10561">
        <v>6</v>
      </c>
      <c r="R10561" t="s">
        <v>47434</v>
      </c>
      <c r="S10561" t="s">
        <v>47677</v>
      </c>
      <c r="T10561" t="s">
        <v>49239</v>
      </c>
      <c r="U10561" t="s">
        <v>53468</v>
      </c>
      <c r="V10561" t="s">
        <v>63777</v>
      </c>
      <c r="W10561" t="s">
        <v>44548</v>
      </c>
      <c r="X10561" t="s">
        <v>47435</v>
      </c>
    </row>
    <row r="10562" spans="1:24">
      <c r="A10562">
        <f>HYPERLINK("https://www.philgeps.gov.ph/GEPSNONPILOT/Tender/SplashBidNoticeAbstractUI.aspx?menuIndex=3&amp;refID=7149079&amp;Result=3","7149079")</f>
        <v>0</v>
      </c>
      <c r="B10562" t="s">
        <v>3217</v>
      </c>
      <c r="C10562" t="s">
        <v>13834</v>
      </c>
      <c r="D10562" t="s">
        <v>19031</v>
      </c>
      <c r="E10562" t="s">
        <v>28189</v>
      </c>
      <c r="F10562" t="s">
        <v>32831</v>
      </c>
      <c r="G10562" t="s">
        <v>32839</v>
      </c>
      <c r="H10562" t="s">
        <v>32849</v>
      </c>
      <c r="I10562" t="s">
        <v>4177</v>
      </c>
      <c r="J10562" t="s">
        <v>39490</v>
      </c>
      <c r="K10562" t="s">
        <v>42871</v>
      </c>
      <c r="M10562" t="s">
        <v>46530</v>
      </c>
      <c r="N10562" t="s">
        <v>47424</v>
      </c>
      <c r="O10562" t="s">
        <v>47425</v>
      </c>
      <c r="Q10562">
        <v>3</v>
      </c>
      <c r="R10562" t="s">
        <v>47434</v>
      </c>
      <c r="S10562" t="s">
        <v>47700</v>
      </c>
      <c r="T10562" t="s">
        <v>49112</v>
      </c>
      <c r="U10562" t="s">
        <v>58358</v>
      </c>
      <c r="W10562" t="s">
        <v>46530</v>
      </c>
      <c r="X10562" t="s">
        <v>47435</v>
      </c>
    </row>
    <row r="10563" spans="1:24">
      <c r="A10563">
        <f>HYPERLINK("https://www.philgeps.gov.ph/GEPSNONPILOT/Tender/SplashBidNoticeAbstractUI.aspx?menuIndex=3&amp;refID=7149068&amp;Result=3","7149068")</f>
        <v>0</v>
      </c>
      <c r="B10563" t="s">
        <v>555</v>
      </c>
      <c r="C10563" t="s">
        <v>13835</v>
      </c>
      <c r="D10563" t="s">
        <v>19033</v>
      </c>
      <c r="E10563" t="s">
        <v>28190</v>
      </c>
      <c r="F10563" t="s">
        <v>32831</v>
      </c>
      <c r="G10563" t="s">
        <v>32839</v>
      </c>
      <c r="H10563" t="s">
        <v>32848</v>
      </c>
      <c r="I10563" t="s">
        <v>4487</v>
      </c>
      <c r="J10563" t="s">
        <v>39491</v>
      </c>
      <c r="K10563" t="s">
        <v>42729</v>
      </c>
      <c r="M10563" t="s">
        <v>46533</v>
      </c>
      <c r="N10563" t="s">
        <v>47424</v>
      </c>
      <c r="O10563" t="s">
        <v>47425</v>
      </c>
      <c r="P10563">
        <v>0</v>
      </c>
      <c r="Q10563">
        <v>8</v>
      </c>
      <c r="R10563" t="s">
        <v>47434</v>
      </c>
      <c r="S10563" t="s">
        <v>47677</v>
      </c>
      <c r="T10563" t="s">
        <v>49185</v>
      </c>
      <c r="U10563" t="s">
        <v>58359</v>
      </c>
      <c r="W10563" t="s">
        <v>64542</v>
      </c>
      <c r="X10563" t="s">
        <v>47435</v>
      </c>
    </row>
    <row r="10564" spans="1:24">
      <c r="A10564">
        <f>HYPERLINK("https://www.philgeps.gov.ph/GEPSNONPILOT/Tender/SplashBidNoticeAbstractUI.aspx?menuIndex=3&amp;refID=7149063&amp;Result=3","7149063")</f>
        <v>0</v>
      </c>
      <c r="B10564" t="s">
        <v>1456</v>
      </c>
      <c r="C10564" t="s">
        <v>13836</v>
      </c>
      <c r="D10564" t="s">
        <v>19075</v>
      </c>
      <c r="E10564" t="s">
        <v>28191</v>
      </c>
      <c r="F10564" t="s">
        <v>32831</v>
      </c>
      <c r="G10564" t="s">
        <v>32841</v>
      </c>
      <c r="H10564" t="s">
        <v>32848</v>
      </c>
      <c r="I10564" t="s">
        <v>32859</v>
      </c>
      <c r="J10564" t="s">
        <v>39492</v>
      </c>
      <c r="K10564" t="s">
        <v>42727</v>
      </c>
      <c r="L10564" t="s">
        <v>1456</v>
      </c>
      <c r="M10564" t="s">
        <v>44548</v>
      </c>
      <c r="N10564" t="s">
        <v>47424</v>
      </c>
      <c r="O10564" t="s">
        <v>47425</v>
      </c>
      <c r="P10564">
        <v>0</v>
      </c>
      <c r="Q10564">
        <v>3</v>
      </c>
      <c r="R10564" t="s">
        <v>47434</v>
      </c>
      <c r="S10564" t="s">
        <v>47677</v>
      </c>
      <c r="T10564" t="s">
        <v>49239</v>
      </c>
      <c r="U10564" t="s">
        <v>58360</v>
      </c>
      <c r="V10564" t="s">
        <v>63778</v>
      </c>
      <c r="W10564" t="s">
        <v>44548</v>
      </c>
      <c r="X10564" t="s">
        <v>47435</v>
      </c>
    </row>
    <row r="10565" spans="1:24">
      <c r="A10565">
        <f>HYPERLINK("https://www.philgeps.gov.ph/GEPSNONPILOT/Tender/SplashBidNoticeAbstractUI.aspx?menuIndex=3&amp;refID=7149071&amp;Result=3","7149071")</f>
        <v>0</v>
      </c>
      <c r="B10565" t="s">
        <v>3220</v>
      </c>
      <c r="C10565" t="s">
        <v>13837</v>
      </c>
      <c r="D10565" t="s">
        <v>19073</v>
      </c>
      <c r="E10565" t="s">
        <v>28192</v>
      </c>
      <c r="F10565" t="s">
        <v>32831</v>
      </c>
      <c r="G10565" t="s">
        <v>32839</v>
      </c>
      <c r="H10565" t="s">
        <v>32848</v>
      </c>
      <c r="I10565" t="s">
        <v>7751</v>
      </c>
      <c r="J10565" t="s">
        <v>33437</v>
      </c>
      <c r="K10565" t="s">
        <v>42745</v>
      </c>
      <c r="M10565" t="s">
        <v>46534</v>
      </c>
      <c r="N10565" t="s">
        <v>47424</v>
      </c>
      <c r="O10565" t="s">
        <v>47425</v>
      </c>
      <c r="P10565">
        <v>0</v>
      </c>
      <c r="Q10565">
        <v>2</v>
      </c>
      <c r="R10565" t="s">
        <v>47434</v>
      </c>
      <c r="S10565" t="s">
        <v>47677</v>
      </c>
      <c r="T10565" t="s">
        <v>49231</v>
      </c>
      <c r="U10565" t="s">
        <v>58361</v>
      </c>
      <c r="W10565" t="s">
        <v>46534</v>
      </c>
      <c r="X10565" t="s">
        <v>47435</v>
      </c>
    </row>
    <row r="10566" spans="1:24">
      <c r="A10566">
        <f>HYPERLINK("https://www.philgeps.gov.ph/GEPSNONPILOT/Tender/SplashBidNoticeAbstractUI.aspx?menuIndex=3&amp;refID=7149070&amp;Result=3","7149070")</f>
        <v>0</v>
      </c>
      <c r="B10566" t="s">
        <v>1456</v>
      </c>
      <c r="C10566" t="s">
        <v>13838</v>
      </c>
      <c r="D10566" t="s">
        <v>19075</v>
      </c>
      <c r="E10566" t="s">
        <v>28193</v>
      </c>
      <c r="F10566" t="s">
        <v>32831</v>
      </c>
      <c r="G10566" t="s">
        <v>32841</v>
      </c>
      <c r="H10566" t="s">
        <v>32848</v>
      </c>
      <c r="I10566" t="s">
        <v>7751</v>
      </c>
      <c r="J10566" t="s">
        <v>33032</v>
      </c>
      <c r="K10566" t="s">
        <v>42727</v>
      </c>
      <c r="L10566" t="s">
        <v>1456</v>
      </c>
      <c r="M10566" t="s">
        <v>44548</v>
      </c>
      <c r="N10566" t="s">
        <v>47424</v>
      </c>
      <c r="O10566" t="s">
        <v>47425</v>
      </c>
      <c r="P10566">
        <v>0</v>
      </c>
      <c r="Q10566">
        <v>4</v>
      </c>
      <c r="R10566" t="s">
        <v>47434</v>
      </c>
      <c r="S10566" t="s">
        <v>47677</v>
      </c>
      <c r="T10566" t="s">
        <v>49239</v>
      </c>
      <c r="U10566" t="s">
        <v>58360</v>
      </c>
      <c r="V10566" t="s">
        <v>63779</v>
      </c>
      <c r="W10566" t="s">
        <v>44548</v>
      </c>
      <c r="X10566" t="s">
        <v>47435</v>
      </c>
    </row>
    <row r="10567" spans="1:24">
      <c r="A10567">
        <f>HYPERLINK("https://www.philgeps.gov.ph/GEPSNONPILOT/Tender/SplashBidNoticeAbstractUI.aspx?menuIndex=3&amp;refID=7149058&amp;Result=3","7149058")</f>
        <v>0</v>
      </c>
      <c r="B10567" t="s">
        <v>3221</v>
      </c>
      <c r="C10567" t="s">
        <v>13839</v>
      </c>
      <c r="D10567" t="s">
        <v>19049</v>
      </c>
      <c r="E10567" t="s">
        <v>28194</v>
      </c>
      <c r="F10567" t="s">
        <v>32831</v>
      </c>
      <c r="G10567" t="s">
        <v>32839</v>
      </c>
      <c r="H10567" t="s">
        <v>32848</v>
      </c>
      <c r="I10567" t="s">
        <v>32860</v>
      </c>
      <c r="J10567" t="s">
        <v>39493</v>
      </c>
      <c r="K10567" t="s">
        <v>42727</v>
      </c>
      <c r="M10567" t="s">
        <v>46535</v>
      </c>
      <c r="N10567" t="s">
        <v>47424</v>
      </c>
      <c r="O10567" t="s">
        <v>47425</v>
      </c>
      <c r="P10567">
        <v>0</v>
      </c>
      <c r="Q10567">
        <v>1</v>
      </c>
      <c r="R10567" t="s">
        <v>47434</v>
      </c>
      <c r="S10567" t="s">
        <v>47677</v>
      </c>
      <c r="T10567" t="s">
        <v>49239</v>
      </c>
      <c r="U10567" t="s">
        <v>58362</v>
      </c>
      <c r="W10567" t="s">
        <v>46535</v>
      </c>
      <c r="X10567" t="s">
        <v>47435</v>
      </c>
    </row>
    <row r="10568" spans="1:24">
      <c r="A10568">
        <f>HYPERLINK("https://www.philgeps.gov.ph/GEPSNONPILOT/Tender/SplashBidNoticeAbstractUI.aspx?menuIndex=3&amp;refID=7148966&amp;Result=3","7148966")</f>
        <v>0</v>
      </c>
      <c r="B10568" t="s">
        <v>3206</v>
      </c>
      <c r="C10568" t="s">
        <v>7416</v>
      </c>
      <c r="D10568" t="s">
        <v>19060</v>
      </c>
      <c r="E10568" t="s">
        <v>28195</v>
      </c>
      <c r="F10568" t="s">
        <v>32831</v>
      </c>
      <c r="G10568" t="s">
        <v>32839</v>
      </c>
      <c r="H10568" t="s">
        <v>32848</v>
      </c>
      <c r="I10568" t="s">
        <v>7416</v>
      </c>
      <c r="J10568" t="s">
        <v>39494</v>
      </c>
      <c r="K10568" t="s">
        <v>42726</v>
      </c>
      <c r="M10568" t="s">
        <v>46519</v>
      </c>
      <c r="N10568" t="s">
        <v>47424</v>
      </c>
      <c r="O10568" t="s">
        <v>47425</v>
      </c>
      <c r="P10568">
        <v>0</v>
      </c>
      <c r="Q10568">
        <v>0</v>
      </c>
      <c r="R10568" t="s">
        <v>47434</v>
      </c>
      <c r="S10568" t="s">
        <v>47677</v>
      </c>
      <c r="T10568" t="s">
        <v>49205</v>
      </c>
      <c r="U10568" t="s">
        <v>58309</v>
      </c>
      <c r="W10568" t="s">
        <v>46519</v>
      </c>
      <c r="X10568" t="s">
        <v>47435</v>
      </c>
    </row>
    <row r="10569" spans="1:24">
      <c r="A10569">
        <f>HYPERLINK("https://www.philgeps.gov.ph/GEPSNONPILOT/Tender/SplashBidNoticeAbstractUI.aspx?menuIndex=3&amp;refID=7148955&amp;Result=3","7148955")</f>
        <v>0</v>
      </c>
      <c r="B10569" t="s">
        <v>3222</v>
      </c>
      <c r="C10569" t="s">
        <v>4459</v>
      </c>
      <c r="D10569" t="s">
        <v>19054</v>
      </c>
      <c r="E10569" t="s">
        <v>28159</v>
      </c>
      <c r="F10569" t="s">
        <v>32831</v>
      </c>
      <c r="G10569" t="s">
        <v>32839</v>
      </c>
      <c r="H10569" t="s">
        <v>32848</v>
      </c>
      <c r="I10569" t="s">
        <v>32929</v>
      </c>
      <c r="J10569" t="s">
        <v>39495</v>
      </c>
      <c r="K10569" t="s">
        <v>42730</v>
      </c>
      <c r="M10569" t="s">
        <v>46536</v>
      </c>
      <c r="N10569" t="s">
        <v>47424</v>
      </c>
      <c r="O10569" t="s">
        <v>47425</v>
      </c>
      <c r="P10569">
        <v>0</v>
      </c>
      <c r="Q10569">
        <v>1</v>
      </c>
      <c r="R10569" t="s">
        <v>47434</v>
      </c>
      <c r="S10569" t="s">
        <v>47677</v>
      </c>
      <c r="T10569" t="s">
        <v>49177</v>
      </c>
      <c r="U10569" t="s">
        <v>58363</v>
      </c>
      <c r="V10569" t="s">
        <v>63780</v>
      </c>
      <c r="W10569" t="s">
        <v>46536</v>
      </c>
      <c r="X10569" t="s">
        <v>47435</v>
      </c>
    </row>
    <row r="10570" spans="1:24">
      <c r="A10570">
        <f>HYPERLINK("https://www.philgeps.gov.ph/GEPSNONPILOT/Tender/SplashBidNoticeAbstractUI.aspx?menuIndex=3&amp;refID=7148948&amp;Result=3","7148948")</f>
        <v>0</v>
      </c>
      <c r="B10570" t="s">
        <v>903</v>
      </c>
      <c r="C10570" t="s">
        <v>13840</v>
      </c>
      <c r="E10570" t="s">
        <v>28196</v>
      </c>
      <c r="F10570" t="s">
        <v>32831</v>
      </c>
      <c r="G10570" t="s">
        <v>32839</v>
      </c>
      <c r="H10570" t="s">
        <v>32848</v>
      </c>
      <c r="I10570" t="s">
        <v>32859</v>
      </c>
      <c r="J10570" t="s">
        <v>39496</v>
      </c>
      <c r="K10570" t="s">
        <v>42732</v>
      </c>
      <c r="M10570" t="s">
        <v>43941</v>
      </c>
      <c r="N10570" t="s">
        <v>47424</v>
      </c>
      <c r="O10570" t="s">
        <v>47425</v>
      </c>
      <c r="P10570">
        <v>0</v>
      </c>
      <c r="Q10570">
        <v>5</v>
      </c>
      <c r="R10570" t="s">
        <v>47434</v>
      </c>
      <c r="S10570" t="s">
        <v>47677</v>
      </c>
      <c r="T10570" t="s">
        <v>49338</v>
      </c>
      <c r="U10570" t="s">
        <v>58364</v>
      </c>
      <c r="W10570" t="s">
        <v>43941</v>
      </c>
      <c r="X10570" t="s">
        <v>47435</v>
      </c>
    </row>
    <row r="10571" spans="1:24">
      <c r="A10571">
        <f>HYPERLINK("https://www.philgeps.gov.ph/GEPSNONPILOT/Tender/SplashBidNoticeAbstractUI.aspx?menuIndex=3&amp;refID=7149066&amp;Result=3","7149066")</f>
        <v>0</v>
      </c>
      <c r="B10571" t="s">
        <v>1456</v>
      </c>
      <c r="C10571" t="s">
        <v>13841</v>
      </c>
      <c r="D10571" t="s">
        <v>19075</v>
      </c>
      <c r="E10571" t="s">
        <v>28197</v>
      </c>
      <c r="F10571" t="s">
        <v>32831</v>
      </c>
      <c r="G10571" t="s">
        <v>32841</v>
      </c>
      <c r="H10571" t="s">
        <v>32848</v>
      </c>
      <c r="I10571" t="s">
        <v>32856</v>
      </c>
      <c r="J10571" t="s">
        <v>33026</v>
      </c>
      <c r="K10571" t="s">
        <v>42727</v>
      </c>
      <c r="L10571" t="s">
        <v>1456</v>
      </c>
      <c r="M10571" t="s">
        <v>44548</v>
      </c>
      <c r="N10571" t="s">
        <v>47424</v>
      </c>
      <c r="O10571" t="s">
        <v>47425</v>
      </c>
      <c r="P10571">
        <v>0</v>
      </c>
      <c r="Q10571">
        <v>5</v>
      </c>
      <c r="R10571" t="s">
        <v>47434</v>
      </c>
      <c r="S10571" t="s">
        <v>47677</v>
      </c>
      <c r="T10571" t="s">
        <v>49239</v>
      </c>
      <c r="U10571" t="s">
        <v>58360</v>
      </c>
      <c r="V10571" t="s">
        <v>63778</v>
      </c>
      <c r="W10571" t="s">
        <v>44548</v>
      </c>
      <c r="X10571" t="s">
        <v>47435</v>
      </c>
    </row>
    <row r="10572" spans="1:24">
      <c r="A10572">
        <f>HYPERLINK("https://www.philgeps.gov.ph/GEPSNONPILOT/Tender/SplashBidNoticeAbstractUI.aspx?menuIndex=3&amp;refID=7149062&amp;Result=3","7149062")</f>
        <v>0</v>
      </c>
      <c r="B10572" t="s">
        <v>1349</v>
      </c>
      <c r="C10572" t="s">
        <v>13842</v>
      </c>
      <c r="D10572" t="s">
        <v>19021</v>
      </c>
      <c r="E10572" t="s">
        <v>20783</v>
      </c>
      <c r="F10572" t="s">
        <v>32833</v>
      </c>
      <c r="G10572" t="s">
        <v>32845</v>
      </c>
      <c r="H10572" t="s">
        <v>32849</v>
      </c>
      <c r="I10572" t="s">
        <v>4177</v>
      </c>
      <c r="J10572" t="s">
        <v>33626</v>
      </c>
      <c r="K10572" t="s">
        <v>42730</v>
      </c>
      <c r="M10572" t="s">
        <v>44423</v>
      </c>
      <c r="N10572" t="s">
        <v>47424</v>
      </c>
      <c r="O10572" t="s">
        <v>47425</v>
      </c>
      <c r="P10572">
        <v>0</v>
      </c>
      <c r="Q10572">
        <v>4</v>
      </c>
      <c r="R10572" t="s">
        <v>47434</v>
      </c>
      <c r="S10572" t="s">
        <v>47677</v>
      </c>
      <c r="T10572" t="s">
        <v>49205</v>
      </c>
      <c r="U10572" t="s">
        <v>58365</v>
      </c>
      <c r="V10572" t="s">
        <v>62966</v>
      </c>
      <c r="W10572" t="s">
        <v>44423</v>
      </c>
      <c r="X10572" t="s">
        <v>47435</v>
      </c>
    </row>
    <row r="10573" spans="1:24">
      <c r="A10573">
        <f>HYPERLINK("https://www.philgeps.gov.ph/GEPSNONPILOT/Tender/SplashBidNoticeAbstractUI.aspx?menuIndex=3&amp;refID=7148903&amp;Result=3","7148903")</f>
        <v>0</v>
      </c>
      <c r="B10573" t="s">
        <v>535</v>
      </c>
      <c r="C10573" t="s">
        <v>13843</v>
      </c>
      <c r="D10573" t="s">
        <v>19019</v>
      </c>
      <c r="E10573" t="s">
        <v>28198</v>
      </c>
      <c r="F10573" t="s">
        <v>32831</v>
      </c>
      <c r="G10573" t="s">
        <v>32839</v>
      </c>
      <c r="H10573" t="s">
        <v>32849</v>
      </c>
      <c r="I10573" t="s">
        <v>4177</v>
      </c>
      <c r="J10573" t="s">
        <v>39497</v>
      </c>
      <c r="K10573" t="s">
        <v>42732</v>
      </c>
      <c r="M10573" t="s">
        <v>43541</v>
      </c>
      <c r="N10573" t="s">
        <v>47424</v>
      </c>
      <c r="O10573" t="s">
        <v>47425</v>
      </c>
      <c r="P10573">
        <v>0</v>
      </c>
      <c r="Q10573">
        <v>2</v>
      </c>
      <c r="R10573" t="s">
        <v>47434</v>
      </c>
      <c r="S10573" t="s">
        <v>47677</v>
      </c>
      <c r="T10573" t="s">
        <v>49236</v>
      </c>
      <c r="U10573" t="s">
        <v>58366</v>
      </c>
      <c r="W10573" t="s">
        <v>43541</v>
      </c>
      <c r="X10573" t="s">
        <v>47435</v>
      </c>
    </row>
    <row r="10574" spans="1:24">
      <c r="A10574">
        <f>HYPERLINK("https://www.philgeps.gov.ph/GEPSNONPILOT/Tender/SplashBidNoticeAbstractUI.aspx?menuIndex=3&amp;refID=7149181&amp;Result=3","7149181")</f>
        <v>0</v>
      </c>
      <c r="B10574" t="s">
        <v>830</v>
      </c>
      <c r="C10574" t="s">
        <v>13844</v>
      </c>
      <c r="D10574" t="s">
        <v>19017</v>
      </c>
      <c r="E10574" t="s">
        <v>28199</v>
      </c>
      <c r="F10574" t="s">
        <v>32831</v>
      </c>
      <c r="G10574" t="s">
        <v>32839</v>
      </c>
      <c r="H10574" t="s">
        <v>32848</v>
      </c>
      <c r="I10574" t="s">
        <v>32958</v>
      </c>
      <c r="J10574" t="s">
        <v>39498</v>
      </c>
      <c r="K10574" t="s">
        <v>42730</v>
      </c>
      <c r="M10574" t="s">
        <v>43862</v>
      </c>
      <c r="N10574" t="s">
        <v>47424</v>
      </c>
      <c r="O10574" t="s">
        <v>47425</v>
      </c>
      <c r="P10574">
        <v>0</v>
      </c>
      <c r="Q10574">
        <v>1</v>
      </c>
      <c r="R10574" t="s">
        <v>47434</v>
      </c>
      <c r="S10574" t="s">
        <v>47677</v>
      </c>
      <c r="T10574" t="s">
        <v>49424</v>
      </c>
      <c r="U10574" t="s">
        <v>58367</v>
      </c>
      <c r="V10574" t="s">
        <v>63781</v>
      </c>
      <c r="W10574" t="s">
        <v>43862</v>
      </c>
      <c r="X10574" t="s">
        <v>47435</v>
      </c>
    </row>
    <row r="10575" spans="1:24">
      <c r="A10575">
        <f>HYPERLINK("https://www.philgeps.gov.ph/GEPSNONPILOT/Tender/SplashBidNoticeAbstractUI.aspx?menuIndex=3&amp;refID=7149051&amp;Result=3","7149051")</f>
        <v>0</v>
      </c>
      <c r="B10575" t="s">
        <v>3221</v>
      </c>
      <c r="C10575" t="s">
        <v>13845</v>
      </c>
      <c r="D10575" t="s">
        <v>19049</v>
      </c>
      <c r="E10575" t="s">
        <v>28200</v>
      </c>
      <c r="F10575" t="s">
        <v>32831</v>
      </c>
      <c r="G10575" t="s">
        <v>32839</v>
      </c>
      <c r="H10575" t="s">
        <v>32848</v>
      </c>
      <c r="I10575" t="s">
        <v>32860</v>
      </c>
      <c r="J10575" t="s">
        <v>33018</v>
      </c>
      <c r="K10575" t="s">
        <v>42727</v>
      </c>
      <c r="M10575" t="s">
        <v>46535</v>
      </c>
      <c r="N10575" t="s">
        <v>47424</v>
      </c>
      <c r="O10575" t="s">
        <v>47425</v>
      </c>
      <c r="P10575">
        <v>0</v>
      </c>
      <c r="Q10575">
        <v>2</v>
      </c>
      <c r="R10575" t="s">
        <v>47434</v>
      </c>
      <c r="S10575" t="s">
        <v>47677</v>
      </c>
      <c r="T10575" t="s">
        <v>49239</v>
      </c>
      <c r="U10575" t="s">
        <v>58362</v>
      </c>
      <c r="W10575" t="s">
        <v>46535</v>
      </c>
      <c r="X10575" t="s">
        <v>47435</v>
      </c>
    </row>
    <row r="10576" spans="1:24">
      <c r="A10576">
        <f>HYPERLINK("https://www.philgeps.gov.ph/GEPSNONPILOT/Tender/SplashBidNoticeAbstractUI.aspx?menuIndex=3&amp;refID=7149178&amp;Result=3","7149178")</f>
        <v>0</v>
      </c>
      <c r="B10576" t="s">
        <v>3223</v>
      </c>
      <c r="C10576" t="s">
        <v>13846</v>
      </c>
      <c r="D10576" t="s">
        <v>19020</v>
      </c>
      <c r="E10576" t="s">
        <v>28201</v>
      </c>
      <c r="F10576" t="s">
        <v>32831</v>
      </c>
      <c r="G10576" t="s">
        <v>32839</v>
      </c>
      <c r="H10576" t="s">
        <v>32848</v>
      </c>
      <c r="I10576" t="s">
        <v>32863</v>
      </c>
      <c r="J10576" t="s">
        <v>39499</v>
      </c>
      <c r="K10576" t="s">
        <v>42732</v>
      </c>
      <c r="M10576" t="s">
        <v>46537</v>
      </c>
      <c r="N10576" t="s">
        <v>47424</v>
      </c>
      <c r="O10576" t="s">
        <v>47425</v>
      </c>
      <c r="P10576">
        <v>0</v>
      </c>
      <c r="Q10576">
        <v>0</v>
      </c>
      <c r="R10576" t="s">
        <v>47434</v>
      </c>
      <c r="S10576" t="s">
        <v>47677</v>
      </c>
      <c r="T10576" t="s">
        <v>49244</v>
      </c>
      <c r="U10576" t="s">
        <v>58368</v>
      </c>
      <c r="W10576" t="s">
        <v>46537</v>
      </c>
      <c r="X10576" t="s">
        <v>47435</v>
      </c>
    </row>
    <row r="10577" spans="1:24">
      <c r="A10577">
        <f>HYPERLINK("https://www.philgeps.gov.ph/GEPSNONPILOT/Tender/SplashBidNoticeAbstractUI.aspx?menuIndex=3&amp;refID=7148935&amp;Result=3","7148935")</f>
        <v>0</v>
      </c>
      <c r="B10577" t="s">
        <v>958</v>
      </c>
      <c r="C10577" t="s">
        <v>13847</v>
      </c>
      <c r="D10577" t="s">
        <v>19064</v>
      </c>
      <c r="E10577" t="s">
        <v>28202</v>
      </c>
      <c r="F10577" t="s">
        <v>32831</v>
      </c>
      <c r="G10577" t="s">
        <v>32838</v>
      </c>
      <c r="H10577" t="s">
        <v>32848</v>
      </c>
      <c r="I10577" t="s">
        <v>5379</v>
      </c>
      <c r="J10577" t="s">
        <v>35242</v>
      </c>
      <c r="K10577" t="s">
        <v>42732</v>
      </c>
      <c r="M10577" t="s">
        <v>44004</v>
      </c>
      <c r="N10577" t="s">
        <v>47424</v>
      </c>
      <c r="O10577" t="s">
        <v>47425</v>
      </c>
      <c r="P10577">
        <v>0</v>
      </c>
      <c r="Q10577">
        <v>0</v>
      </c>
      <c r="R10577" t="s">
        <v>47434</v>
      </c>
      <c r="S10577" t="s">
        <v>47677</v>
      </c>
      <c r="T10577" t="s">
        <v>49212</v>
      </c>
      <c r="U10577" t="s">
        <v>58369</v>
      </c>
      <c r="W10577" t="s">
        <v>44004</v>
      </c>
      <c r="X10577" t="s">
        <v>47435</v>
      </c>
    </row>
    <row r="10578" spans="1:24">
      <c r="A10578">
        <f>HYPERLINK("https://www.philgeps.gov.ph/GEPSNONPILOT/Tender/SplashBidNoticeAbstractUI.aspx?menuIndex=3&amp;refID=7148904&amp;Result=3","7148904")</f>
        <v>0</v>
      </c>
      <c r="B10578" t="s">
        <v>958</v>
      </c>
      <c r="C10578" t="s">
        <v>13848</v>
      </c>
      <c r="D10578" t="s">
        <v>19049</v>
      </c>
      <c r="E10578" t="s">
        <v>28203</v>
      </c>
      <c r="F10578" t="s">
        <v>32831</v>
      </c>
      <c r="G10578" t="s">
        <v>32838</v>
      </c>
      <c r="H10578" t="s">
        <v>32848</v>
      </c>
      <c r="I10578" t="s">
        <v>5379</v>
      </c>
      <c r="J10578" t="s">
        <v>33139</v>
      </c>
      <c r="K10578" t="s">
        <v>42732</v>
      </c>
      <c r="M10578" t="s">
        <v>44004</v>
      </c>
      <c r="N10578" t="s">
        <v>47424</v>
      </c>
      <c r="O10578" t="s">
        <v>47425</v>
      </c>
      <c r="P10578">
        <v>0</v>
      </c>
      <c r="Q10578">
        <v>0</v>
      </c>
      <c r="R10578" t="s">
        <v>47434</v>
      </c>
      <c r="S10578" t="s">
        <v>47677</v>
      </c>
      <c r="T10578" t="s">
        <v>49212</v>
      </c>
      <c r="U10578" t="s">
        <v>58370</v>
      </c>
      <c r="W10578" t="s">
        <v>44004</v>
      </c>
      <c r="X10578" t="s">
        <v>47435</v>
      </c>
    </row>
    <row r="10579" spans="1:24">
      <c r="A10579">
        <f>HYPERLINK("https://www.philgeps.gov.ph/GEPSNONPILOT/Tender/SplashBidNoticeAbstractUI.aspx?menuIndex=3&amp;refID=7149087&amp;Result=3","7149087")</f>
        <v>0</v>
      </c>
      <c r="B10579" t="s">
        <v>2800</v>
      </c>
      <c r="C10579" t="s">
        <v>11771</v>
      </c>
      <c r="D10579" t="s">
        <v>19017</v>
      </c>
      <c r="E10579" t="s">
        <v>28204</v>
      </c>
      <c r="F10579" t="s">
        <v>32833</v>
      </c>
      <c r="G10579" t="s">
        <v>32839</v>
      </c>
      <c r="H10579" t="s">
        <v>32849</v>
      </c>
      <c r="I10579" t="s">
        <v>7416</v>
      </c>
      <c r="J10579" t="s">
        <v>33703</v>
      </c>
      <c r="K10579" t="s">
        <v>42776</v>
      </c>
      <c r="M10579" t="s">
        <v>46030</v>
      </c>
      <c r="N10579" t="s">
        <v>47424</v>
      </c>
      <c r="O10579" t="s">
        <v>47425</v>
      </c>
      <c r="P10579">
        <v>0</v>
      </c>
      <c r="Q10579">
        <v>1</v>
      </c>
      <c r="R10579" t="s">
        <v>47434</v>
      </c>
      <c r="S10579" t="s">
        <v>47677</v>
      </c>
      <c r="T10579" t="s">
        <v>49565</v>
      </c>
      <c r="U10579" t="s">
        <v>58371</v>
      </c>
      <c r="W10579" t="s">
        <v>46030</v>
      </c>
      <c r="X10579" t="s">
        <v>47435</v>
      </c>
    </row>
    <row r="10580" spans="1:24">
      <c r="A10580">
        <f>HYPERLINK("https://www.philgeps.gov.ph/GEPSNONPILOT/Tender/SplashBidNoticeAbstractUI.aspx?menuIndex=3&amp;refID=7149172&amp;Result=3","7149172")</f>
        <v>0</v>
      </c>
      <c r="B10580" t="s">
        <v>468</v>
      </c>
      <c r="C10580" t="s">
        <v>13849</v>
      </c>
      <c r="D10580" t="s">
        <v>19031</v>
      </c>
      <c r="E10580" t="s">
        <v>28205</v>
      </c>
      <c r="F10580" t="s">
        <v>32831</v>
      </c>
      <c r="G10580" t="s">
        <v>32839</v>
      </c>
      <c r="H10580" t="s">
        <v>32849</v>
      </c>
      <c r="I10580" t="s">
        <v>4177</v>
      </c>
      <c r="J10580" t="s">
        <v>33528</v>
      </c>
      <c r="K10580" t="s">
        <v>42764</v>
      </c>
      <c r="M10580" t="s">
        <v>43473</v>
      </c>
      <c r="N10580" t="s">
        <v>47424</v>
      </c>
      <c r="O10580" t="s">
        <v>47425</v>
      </c>
      <c r="P10580">
        <v>0</v>
      </c>
      <c r="Q10580">
        <v>0</v>
      </c>
      <c r="R10580" t="s">
        <v>47434</v>
      </c>
      <c r="S10580" t="s">
        <v>47677</v>
      </c>
      <c r="T10580" t="s">
        <v>49137</v>
      </c>
      <c r="U10580" t="s">
        <v>58372</v>
      </c>
      <c r="W10580" t="s">
        <v>64525</v>
      </c>
      <c r="X10580" t="s">
        <v>47435</v>
      </c>
    </row>
    <row r="10581" spans="1:24">
      <c r="A10581">
        <f>HYPERLINK("https://www.philgeps.gov.ph/GEPSNONPILOT/Tender/SplashBidNoticeAbstractUI.aspx?menuIndex=3&amp;refID=7149179&amp;Result=3","7149179")</f>
        <v>0</v>
      </c>
      <c r="B10581" t="s">
        <v>468</v>
      </c>
      <c r="C10581" t="s">
        <v>13850</v>
      </c>
      <c r="D10581" t="s">
        <v>19031</v>
      </c>
      <c r="E10581" t="s">
        <v>28206</v>
      </c>
      <c r="F10581" t="s">
        <v>32831</v>
      </c>
      <c r="G10581" t="s">
        <v>32839</v>
      </c>
      <c r="H10581" t="s">
        <v>32849</v>
      </c>
      <c r="I10581" t="s">
        <v>4177</v>
      </c>
      <c r="J10581" t="s">
        <v>34860</v>
      </c>
      <c r="K10581" t="s">
        <v>42780</v>
      </c>
      <c r="M10581" t="s">
        <v>43473</v>
      </c>
      <c r="N10581" t="s">
        <v>47424</v>
      </c>
      <c r="O10581" t="s">
        <v>47425</v>
      </c>
      <c r="P10581">
        <v>0</v>
      </c>
      <c r="Q10581">
        <v>0</v>
      </c>
      <c r="R10581" t="s">
        <v>47434</v>
      </c>
      <c r="S10581" t="s">
        <v>47677</v>
      </c>
      <c r="T10581" t="s">
        <v>49137</v>
      </c>
      <c r="U10581" t="s">
        <v>58373</v>
      </c>
      <c r="W10581" t="s">
        <v>64525</v>
      </c>
      <c r="X10581" t="s">
        <v>47435</v>
      </c>
    </row>
    <row r="10582" spans="1:24">
      <c r="A10582">
        <f>HYPERLINK("https://www.philgeps.gov.ph/GEPSNONPILOT/Tender/SplashBidNoticeAbstractUI.aspx?menuIndex=3&amp;refID=7149034&amp;Result=3","7149034")</f>
        <v>0</v>
      </c>
      <c r="B10582" t="s">
        <v>3214</v>
      </c>
      <c r="C10582" t="s">
        <v>13851</v>
      </c>
      <c r="D10582" t="s">
        <v>19040</v>
      </c>
      <c r="E10582" t="s">
        <v>28207</v>
      </c>
      <c r="F10582" t="s">
        <v>32831</v>
      </c>
      <c r="G10582" t="s">
        <v>32839</v>
      </c>
      <c r="H10582" t="s">
        <v>32848</v>
      </c>
      <c r="I10582" t="s">
        <v>32931</v>
      </c>
      <c r="J10582" t="s">
        <v>33044</v>
      </c>
      <c r="K10582" t="s">
        <v>42745</v>
      </c>
      <c r="M10582" t="s">
        <v>46527</v>
      </c>
      <c r="N10582" t="s">
        <v>47424</v>
      </c>
      <c r="O10582" t="s">
        <v>47425</v>
      </c>
      <c r="P10582">
        <v>0</v>
      </c>
      <c r="Q10582">
        <v>0</v>
      </c>
      <c r="R10582" t="s">
        <v>47434</v>
      </c>
      <c r="S10582" t="s">
        <v>47677</v>
      </c>
      <c r="T10582" t="s">
        <v>49138</v>
      </c>
      <c r="U10582" t="s">
        <v>58374</v>
      </c>
      <c r="W10582" t="s">
        <v>46527</v>
      </c>
      <c r="X10582" t="s">
        <v>47435</v>
      </c>
    </row>
    <row r="10583" spans="1:24">
      <c r="A10583">
        <f>HYPERLINK("https://www.philgeps.gov.ph/GEPSNONPILOT/Tender/SplashBidNoticeAbstractUI.aspx?menuIndex=3&amp;refID=7149167&amp;Result=3","7149167")</f>
        <v>0</v>
      </c>
      <c r="B10583" t="s">
        <v>3224</v>
      </c>
      <c r="C10583" t="s">
        <v>13852</v>
      </c>
      <c r="D10583" t="s">
        <v>19042</v>
      </c>
      <c r="E10583" t="s">
        <v>19203</v>
      </c>
      <c r="F10583" t="s">
        <v>32831</v>
      </c>
      <c r="G10583" t="s">
        <v>32839</v>
      </c>
      <c r="H10583" t="s">
        <v>32848</v>
      </c>
      <c r="I10583" t="s">
        <v>4471</v>
      </c>
      <c r="J10583" t="s">
        <v>39500</v>
      </c>
      <c r="K10583" t="s">
        <v>42730</v>
      </c>
      <c r="M10583" t="s">
        <v>46538</v>
      </c>
      <c r="N10583" t="s">
        <v>47424</v>
      </c>
      <c r="O10583" t="s">
        <v>47425</v>
      </c>
      <c r="P10583">
        <v>0</v>
      </c>
      <c r="Q10583">
        <v>1</v>
      </c>
      <c r="R10583" t="s">
        <v>47434</v>
      </c>
      <c r="S10583" t="s">
        <v>47677</v>
      </c>
      <c r="T10583" t="s">
        <v>49129</v>
      </c>
      <c r="U10583" t="s">
        <v>58375</v>
      </c>
      <c r="W10583" t="s">
        <v>46538</v>
      </c>
      <c r="X10583" t="s">
        <v>47435</v>
      </c>
    </row>
    <row r="10584" spans="1:24">
      <c r="A10584">
        <f>HYPERLINK("https://www.philgeps.gov.ph/GEPSNONPILOT/Tender/SplashBidNoticeAbstractUI.aspx?menuIndex=3&amp;refID=7149166&amp;Result=3","7149166")</f>
        <v>0</v>
      </c>
      <c r="B10584" t="s">
        <v>468</v>
      </c>
      <c r="C10584" t="s">
        <v>13853</v>
      </c>
      <c r="D10584" t="s">
        <v>19031</v>
      </c>
      <c r="E10584" t="s">
        <v>28208</v>
      </c>
      <c r="F10584" t="s">
        <v>32831</v>
      </c>
      <c r="G10584" t="s">
        <v>32839</v>
      </c>
      <c r="H10584" t="s">
        <v>32849</v>
      </c>
      <c r="I10584" t="s">
        <v>4177</v>
      </c>
      <c r="J10584" t="s">
        <v>39501</v>
      </c>
      <c r="K10584" t="s">
        <v>42862</v>
      </c>
      <c r="M10584" t="s">
        <v>43473</v>
      </c>
      <c r="N10584" t="s">
        <v>47424</v>
      </c>
      <c r="O10584" t="s">
        <v>47425</v>
      </c>
      <c r="P10584">
        <v>0</v>
      </c>
      <c r="Q10584">
        <v>0</v>
      </c>
      <c r="R10584" t="s">
        <v>47434</v>
      </c>
      <c r="S10584" t="s">
        <v>47677</v>
      </c>
      <c r="T10584" t="s">
        <v>49215</v>
      </c>
      <c r="U10584" t="s">
        <v>58376</v>
      </c>
      <c r="W10584" t="s">
        <v>64525</v>
      </c>
      <c r="X10584" t="s">
        <v>47435</v>
      </c>
    </row>
    <row r="10585" spans="1:24">
      <c r="A10585">
        <f>HYPERLINK("https://www.philgeps.gov.ph/GEPSNONPILOT/Tender/SplashBidNoticeAbstractUI.aspx?menuIndex=3&amp;refID=7149160&amp;Result=3","7149160")</f>
        <v>0</v>
      </c>
      <c r="B10585" t="s">
        <v>3225</v>
      </c>
      <c r="C10585" t="s">
        <v>13854</v>
      </c>
      <c r="D10585" t="s">
        <v>19017</v>
      </c>
      <c r="E10585" t="s">
        <v>28209</v>
      </c>
      <c r="F10585" t="s">
        <v>32831</v>
      </c>
      <c r="G10585" t="s">
        <v>32839</v>
      </c>
      <c r="H10585" t="s">
        <v>32848</v>
      </c>
      <c r="I10585" t="s">
        <v>4438</v>
      </c>
      <c r="J10585" t="s">
        <v>32983</v>
      </c>
      <c r="K10585" t="s">
        <v>42748</v>
      </c>
      <c r="M10585" t="s">
        <v>46539</v>
      </c>
      <c r="N10585" t="s">
        <v>47424</v>
      </c>
      <c r="O10585" t="s">
        <v>47425</v>
      </c>
      <c r="P10585">
        <v>0</v>
      </c>
      <c r="Q10585">
        <v>3</v>
      </c>
      <c r="R10585" t="s">
        <v>47434</v>
      </c>
      <c r="S10585" t="s">
        <v>47677</v>
      </c>
      <c r="T10585" t="s">
        <v>49237</v>
      </c>
      <c r="U10585" t="s">
        <v>58377</v>
      </c>
      <c r="V10585" t="s">
        <v>63782</v>
      </c>
      <c r="W10585" t="s">
        <v>46539</v>
      </c>
      <c r="X10585" t="s">
        <v>47435</v>
      </c>
    </row>
    <row r="10586" spans="1:24">
      <c r="A10586">
        <f>HYPERLINK("https://www.philgeps.gov.ph/GEPSNONPILOT/Tender/SplashBidNoticeAbstractUI.aspx?menuIndex=3&amp;refID=7149155&amp;Result=3","7149155")</f>
        <v>0</v>
      </c>
      <c r="B10586" t="s">
        <v>450</v>
      </c>
      <c r="C10586" t="s">
        <v>13855</v>
      </c>
      <c r="D10586" t="s">
        <v>19074</v>
      </c>
      <c r="E10586" t="s">
        <v>28210</v>
      </c>
      <c r="F10586" t="s">
        <v>32831</v>
      </c>
      <c r="G10586" t="s">
        <v>32839</v>
      </c>
      <c r="H10586" t="s">
        <v>32849</v>
      </c>
      <c r="I10586" t="s">
        <v>4177</v>
      </c>
      <c r="J10586" t="s">
        <v>33072</v>
      </c>
      <c r="K10586" t="s">
        <v>42730</v>
      </c>
      <c r="M10586" t="s">
        <v>43455</v>
      </c>
      <c r="N10586" t="s">
        <v>47424</v>
      </c>
      <c r="O10586" t="s">
        <v>47425</v>
      </c>
      <c r="P10586">
        <v>0</v>
      </c>
      <c r="Q10586">
        <v>0</v>
      </c>
      <c r="R10586" t="s">
        <v>47434</v>
      </c>
      <c r="S10586" t="s">
        <v>47677</v>
      </c>
      <c r="T10586" t="s">
        <v>49143</v>
      </c>
      <c r="U10586" t="s">
        <v>58378</v>
      </c>
      <c r="W10586" t="s">
        <v>64437</v>
      </c>
      <c r="X10586" t="s">
        <v>47435</v>
      </c>
    </row>
    <row r="10587" spans="1:24">
      <c r="A10587">
        <f>HYPERLINK("https://www.philgeps.gov.ph/GEPSNONPILOT/Tender/SplashBidNoticeAbstractUI.aspx?menuIndex=3&amp;refID=7149149&amp;Result=3","7149149")</f>
        <v>0</v>
      </c>
      <c r="B10587" t="s">
        <v>1067</v>
      </c>
      <c r="C10587" t="s">
        <v>13856</v>
      </c>
      <c r="D10587" t="s">
        <v>19017</v>
      </c>
      <c r="E10587" t="s">
        <v>19979</v>
      </c>
      <c r="F10587" t="s">
        <v>32831</v>
      </c>
      <c r="G10587" t="s">
        <v>32839</v>
      </c>
      <c r="H10587" t="s">
        <v>14069</v>
      </c>
      <c r="I10587" t="s">
        <v>14069</v>
      </c>
      <c r="J10587" t="s">
        <v>39502</v>
      </c>
      <c r="K10587" t="s">
        <v>42763</v>
      </c>
      <c r="M10587" t="s">
        <v>44124</v>
      </c>
      <c r="N10587" t="s">
        <v>47424</v>
      </c>
      <c r="O10587" t="s">
        <v>47425</v>
      </c>
      <c r="P10587">
        <v>0</v>
      </c>
      <c r="Q10587">
        <v>5</v>
      </c>
      <c r="R10587" t="s">
        <v>47434</v>
      </c>
      <c r="S10587" t="s">
        <v>47677</v>
      </c>
      <c r="T10587" t="s">
        <v>49566</v>
      </c>
      <c r="U10587" t="s">
        <v>58379</v>
      </c>
      <c r="V10587" t="s">
        <v>63478</v>
      </c>
      <c r="W10587" t="s">
        <v>44124</v>
      </c>
      <c r="X10587" t="s">
        <v>47435</v>
      </c>
    </row>
    <row r="10588" spans="1:24">
      <c r="A10588">
        <f>HYPERLINK("https://www.philgeps.gov.ph/GEPSNONPILOT/Tender/SplashBidNoticeAbstractUI.aspx?menuIndex=3&amp;refID=7149146&amp;Result=3","7149146")</f>
        <v>0</v>
      </c>
      <c r="B10588" t="s">
        <v>450</v>
      </c>
      <c r="C10588" t="s">
        <v>13857</v>
      </c>
      <c r="D10588" t="s">
        <v>19074</v>
      </c>
      <c r="E10588" t="s">
        <v>28211</v>
      </c>
      <c r="F10588" t="s">
        <v>32831</v>
      </c>
      <c r="G10588" t="s">
        <v>32839</v>
      </c>
      <c r="H10588" t="s">
        <v>32849</v>
      </c>
      <c r="I10588" t="s">
        <v>4177</v>
      </c>
      <c r="J10588" t="s">
        <v>33078</v>
      </c>
      <c r="K10588" t="s">
        <v>42747</v>
      </c>
      <c r="M10588" t="s">
        <v>43455</v>
      </c>
      <c r="N10588" t="s">
        <v>47424</v>
      </c>
      <c r="O10588" t="s">
        <v>47425</v>
      </c>
      <c r="P10588">
        <v>0</v>
      </c>
      <c r="Q10588">
        <v>0</v>
      </c>
      <c r="R10588" t="s">
        <v>47434</v>
      </c>
      <c r="S10588" t="s">
        <v>47677</v>
      </c>
      <c r="T10588" t="s">
        <v>49143</v>
      </c>
      <c r="U10588" t="s">
        <v>58380</v>
      </c>
      <c r="W10588" t="s">
        <v>64437</v>
      </c>
      <c r="X10588" t="s">
        <v>47435</v>
      </c>
    </row>
    <row r="10589" spans="1:24">
      <c r="A10589">
        <f>HYPERLINK("https://www.philgeps.gov.ph/GEPSNONPILOT/Tender/SplashBidNoticeAbstractUI.aspx?menuIndex=3&amp;refID=7149170&amp;Result=3","7149170")</f>
        <v>0</v>
      </c>
      <c r="B10589" t="s">
        <v>2965</v>
      </c>
      <c r="C10589" t="s">
        <v>13858</v>
      </c>
      <c r="D10589" t="s">
        <v>19037</v>
      </c>
      <c r="E10589" t="s">
        <v>25184</v>
      </c>
      <c r="F10589" t="s">
        <v>32831</v>
      </c>
      <c r="G10589" t="s">
        <v>32839</v>
      </c>
      <c r="H10589" t="s">
        <v>32849</v>
      </c>
      <c r="I10589" t="s">
        <v>32889</v>
      </c>
      <c r="J10589" t="s">
        <v>39503</v>
      </c>
      <c r="K10589" t="s">
        <v>42763</v>
      </c>
      <c r="M10589" t="s">
        <v>46227</v>
      </c>
      <c r="N10589" t="s">
        <v>47424</v>
      </c>
      <c r="O10589" t="s">
        <v>47425</v>
      </c>
      <c r="P10589">
        <v>0</v>
      </c>
      <c r="Q10589">
        <v>0</v>
      </c>
      <c r="R10589" t="s">
        <v>47434</v>
      </c>
      <c r="S10589" t="s">
        <v>47677</v>
      </c>
      <c r="T10589" t="s">
        <v>49163</v>
      </c>
      <c r="U10589" t="s">
        <v>58381</v>
      </c>
      <c r="W10589" t="s">
        <v>46227</v>
      </c>
      <c r="X10589" t="s">
        <v>47435</v>
      </c>
    </row>
    <row r="10590" spans="1:24">
      <c r="A10590">
        <f>HYPERLINK("https://www.philgeps.gov.ph/GEPSNONPILOT/Tender/SplashBidNoticeAbstractUI.aspx?menuIndex=3&amp;refID=7148655&amp;Result=3","7148655")</f>
        <v>0</v>
      </c>
      <c r="B10590" t="s">
        <v>1162</v>
      </c>
      <c r="C10590" t="s">
        <v>13859</v>
      </c>
      <c r="D10590" t="s">
        <v>19050</v>
      </c>
      <c r="E10590" t="s">
        <v>13859</v>
      </c>
      <c r="F10590" t="s">
        <v>32831</v>
      </c>
      <c r="G10590" t="s">
        <v>32839</v>
      </c>
      <c r="H10590" t="s">
        <v>32848</v>
      </c>
      <c r="I10590" t="s">
        <v>4776</v>
      </c>
      <c r="J10590" t="s">
        <v>33179</v>
      </c>
      <c r="K10590" t="s">
        <v>42730</v>
      </c>
      <c r="M10590" t="s">
        <v>46128</v>
      </c>
      <c r="N10590" t="s">
        <v>47424</v>
      </c>
      <c r="O10590" t="s">
        <v>47425</v>
      </c>
      <c r="P10590">
        <v>0</v>
      </c>
      <c r="Q10590">
        <v>1</v>
      </c>
      <c r="R10590" t="s">
        <v>47435</v>
      </c>
      <c r="S10590" t="s">
        <v>47701</v>
      </c>
      <c r="T10590" t="s">
        <v>49229</v>
      </c>
      <c r="U10590" t="s">
        <v>58382</v>
      </c>
      <c r="W10590" t="s">
        <v>46128</v>
      </c>
      <c r="X10590" t="s">
        <v>47436</v>
      </c>
    </row>
    <row r="10591" spans="1:24">
      <c r="A10591">
        <f>HYPERLINK("https://www.philgeps.gov.ph/GEPSNONPILOT/Tender/SplashBidNoticeAbstractUI.aspx?menuIndex=3&amp;refID=7148653&amp;Result=3","7148653")</f>
        <v>0</v>
      </c>
      <c r="B10591" t="s">
        <v>1162</v>
      </c>
      <c r="C10591" t="s">
        <v>13860</v>
      </c>
      <c r="D10591" t="s">
        <v>19050</v>
      </c>
      <c r="E10591" t="s">
        <v>13860</v>
      </c>
      <c r="F10591" t="s">
        <v>32831</v>
      </c>
      <c r="G10591" t="s">
        <v>32839</v>
      </c>
      <c r="H10591" t="s">
        <v>32848</v>
      </c>
      <c r="I10591" t="s">
        <v>32870</v>
      </c>
      <c r="J10591" t="s">
        <v>33041</v>
      </c>
      <c r="K10591" t="s">
        <v>42759</v>
      </c>
      <c r="M10591" t="s">
        <v>46128</v>
      </c>
      <c r="N10591" t="s">
        <v>47424</v>
      </c>
      <c r="O10591" t="s">
        <v>47425</v>
      </c>
      <c r="P10591">
        <v>0</v>
      </c>
      <c r="Q10591">
        <v>0</v>
      </c>
      <c r="R10591" t="s">
        <v>47435</v>
      </c>
      <c r="S10591" t="s">
        <v>47701</v>
      </c>
      <c r="T10591" t="s">
        <v>49229</v>
      </c>
      <c r="U10591" t="s">
        <v>58383</v>
      </c>
      <c r="W10591" t="s">
        <v>46128</v>
      </c>
      <c r="X10591" t="s">
        <v>47436</v>
      </c>
    </row>
    <row r="10592" spans="1:24">
      <c r="A10592">
        <f>HYPERLINK("https://www.philgeps.gov.ph/GEPSNONPILOT/Tender/SplashBidNoticeAbstractUI.aspx?menuIndex=3&amp;refID=7148649&amp;Result=3","7148649")</f>
        <v>0</v>
      </c>
      <c r="B10592" t="s">
        <v>1162</v>
      </c>
      <c r="C10592" t="s">
        <v>13861</v>
      </c>
      <c r="D10592" t="s">
        <v>19050</v>
      </c>
      <c r="E10592" t="s">
        <v>28212</v>
      </c>
      <c r="F10592" t="s">
        <v>32831</v>
      </c>
      <c r="G10592" t="s">
        <v>32839</v>
      </c>
      <c r="H10592" t="s">
        <v>32848</v>
      </c>
      <c r="I10592" t="s">
        <v>4438</v>
      </c>
      <c r="J10592" t="s">
        <v>39504</v>
      </c>
      <c r="K10592" t="s">
        <v>42730</v>
      </c>
      <c r="M10592" t="s">
        <v>46128</v>
      </c>
      <c r="N10592" t="s">
        <v>47424</v>
      </c>
      <c r="O10592" t="s">
        <v>47425</v>
      </c>
      <c r="P10592">
        <v>0</v>
      </c>
      <c r="Q10592">
        <v>0</v>
      </c>
      <c r="R10592" t="s">
        <v>47435</v>
      </c>
      <c r="S10592" t="s">
        <v>47701</v>
      </c>
      <c r="T10592" t="s">
        <v>49229</v>
      </c>
      <c r="U10592" t="s">
        <v>58384</v>
      </c>
      <c r="W10592" t="s">
        <v>46128</v>
      </c>
      <c r="X10592" t="s">
        <v>47436</v>
      </c>
    </row>
    <row r="10593" spans="1:24">
      <c r="A10593">
        <f>HYPERLINK("https://www.philgeps.gov.ph/GEPSNONPILOT/Tender/SplashBidNoticeAbstractUI.aspx?menuIndex=3&amp;refID=7148641&amp;Result=3","7148641")</f>
        <v>0</v>
      </c>
      <c r="B10593" t="s">
        <v>3226</v>
      </c>
      <c r="C10593" t="s">
        <v>13862</v>
      </c>
      <c r="E10593" t="s">
        <v>19351</v>
      </c>
      <c r="F10593" t="s">
        <v>32831</v>
      </c>
      <c r="G10593" t="s">
        <v>32839</v>
      </c>
      <c r="H10593" t="s">
        <v>32849</v>
      </c>
      <c r="I10593" t="s">
        <v>4177</v>
      </c>
      <c r="J10593" t="s">
        <v>33087</v>
      </c>
      <c r="K10593" t="s">
        <v>42745</v>
      </c>
      <c r="M10593" t="s">
        <v>46540</v>
      </c>
      <c r="N10593" t="s">
        <v>47424</v>
      </c>
      <c r="O10593" t="s">
        <v>47425</v>
      </c>
      <c r="P10593">
        <v>0</v>
      </c>
      <c r="Q10593">
        <v>0</v>
      </c>
      <c r="R10593" t="s">
        <v>47435</v>
      </c>
      <c r="S10593" t="s">
        <v>47701</v>
      </c>
      <c r="T10593" t="s">
        <v>49068</v>
      </c>
      <c r="U10593" t="s">
        <v>58385</v>
      </c>
      <c r="W10593" t="s">
        <v>46540</v>
      </c>
      <c r="X10593" t="s">
        <v>47436</v>
      </c>
    </row>
    <row r="10594" spans="1:24">
      <c r="A10594">
        <f>HYPERLINK("https://www.philgeps.gov.ph/GEPSNONPILOT/Tender/SplashBidNoticeAbstractUI.aspx?menuIndex=3&amp;refID=7149039&amp;Result=3","7149039")</f>
        <v>0</v>
      </c>
      <c r="B10594" t="s">
        <v>3227</v>
      </c>
      <c r="C10594" t="s">
        <v>13863</v>
      </c>
      <c r="E10594" t="s">
        <v>28213</v>
      </c>
      <c r="F10594" t="s">
        <v>32831</v>
      </c>
      <c r="G10594" t="s">
        <v>32840</v>
      </c>
      <c r="H10594" t="s">
        <v>32848</v>
      </c>
      <c r="I10594" t="s">
        <v>32857</v>
      </c>
      <c r="J10594" t="s">
        <v>39505</v>
      </c>
      <c r="K10594" t="s">
        <v>42726</v>
      </c>
      <c r="M10594" t="s">
        <v>46541</v>
      </c>
      <c r="N10594" t="s">
        <v>47424</v>
      </c>
      <c r="O10594" t="s">
        <v>47425</v>
      </c>
      <c r="P10594">
        <v>0</v>
      </c>
      <c r="Q10594">
        <v>5</v>
      </c>
      <c r="R10594" t="s">
        <v>47434</v>
      </c>
      <c r="S10594" t="s">
        <v>47677</v>
      </c>
      <c r="T10594" t="s">
        <v>49239</v>
      </c>
      <c r="U10594" t="s">
        <v>58386</v>
      </c>
      <c r="W10594" t="s">
        <v>46541</v>
      </c>
      <c r="X10594" t="s">
        <v>47435</v>
      </c>
    </row>
    <row r="10595" spans="1:24">
      <c r="A10595">
        <f>HYPERLINK("https://www.philgeps.gov.ph/GEPSNONPILOT/Tender/SplashBidNoticeAbstractUI.aspx?menuIndex=3&amp;refID=7149176&amp;Result=3","7149176")</f>
        <v>0</v>
      </c>
      <c r="B10595" t="s">
        <v>3224</v>
      </c>
      <c r="C10595" t="s">
        <v>4694</v>
      </c>
      <c r="D10595" t="s">
        <v>19042</v>
      </c>
      <c r="E10595" t="s">
        <v>19211</v>
      </c>
      <c r="F10595" t="s">
        <v>32831</v>
      </c>
      <c r="G10595" t="s">
        <v>32839</v>
      </c>
      <c r="H10595" t="s">
        <v>32848</v>
      </c>
      <c r="I10595" t="s">
        <v>7416</v>
      </c>
      <c r="J10595" t="s">
        <v>39506</v>
      </c>
      <c r="K10595" t="s">
        <v>42730</v>
      </c>
      <c r="M10595" t="s">
        <v>46538</v>
      </c>
      <c r="N10595" t="s">
        <v>47424</v>
      </c>
      <c r="O10595" t="s">
        <v>47425</v>
      </c>
      <c r="P10595">
        <v>0</v>
      </c>
      <c r="Q10595">
        <v>2</v>
      </c>
      <c r="R10595" t="s">
        <v>47434</v>
      </c>
      <c r="S10595" t="s">
        <v>47677</v>
      </c>
      <c r="T10595" t="s">
        <v>49129</v>
      </c>
      <c r="U10595" t="s">
        <v>56089</v>
      </c>
      <c r="W10595" t="s">
        <v>46538</v>
      </c>
      <c r="X10595" t="s">
        <v>47435</v>
      </c>
    </row>
    <row r="10596" spans="1:24">
      <c r="A10596">
        <f>HYPERLINK("https://www.philgeps.gov.ph/GEPSNONPILOT/Tender/SplashBidNoticeAbstractUI.aspx?menuIndex=3&amp;refID=7149169&amp;Result=3","7149169")</f>
        <v>0</v>
      </c>
      <c r="B10596" t="s">
        <v>468</v>
      </c>
      <c r="C10596" t="s">
        <v>13864</v>
      </c>
      <c r="D10596" t="s">
        <v>19031</v>
      </c>
      <c r="E10596" t="s">
        <v>28214</v>
      </c>
      <c r="F10596" t="s">
        <v>32831</v>
      </c>
      <c r="G10596" t="s">
        <v>32839</v>
      </c>
      <c r="H10596" t="s">
        <v>32849</v>
      </c>
      <c r="I10596" t="s">
        <v>4177</v>
      </c>
      <c r="J10596" t="s">
        <v>39507</v>
      </c>
      <c r="K10596" t="s">
        <v>42932</v>
      </c>
      <c r="M10596" t="s">
        <v>43473</v>
      </c>
      <c r="N10596" t="s">
        <v>47424</v>
      </c>
      <c r="O10596" t="s">
        <v>47425</v>
      </c>
      <c r="P10596">
        <v>0</v>
      </c>
      <c r="Q10596">
        <v>0</v>
      </c>
      <c r="R10596" t="s">
        <v>47434</v>
      </c>
      <c r="S10596" t="s">
        <v>47677</v>
      </c>
      <c r="T10596" t="s">
        <v>49137</v>
      </c>
      <c r="U10596" t="s">
        <v>58387</v>
      </c>
      <c r="W10596" t="s">
        <v>64525</v>
      </c>
      <c r="X10596" t="s">
        <v>47435</v>
      </c>
    </row>
    <row r="10597" spans="1:24">
      <c r="A10597">
        <f>HYPERLINK("https://www.philgeps.gov.ph/GEPSNONPILOT/Tender/SplashBidNoticeAbstractUI.aspx?menuIndex=3&amp;refID=7148597&amp;Result=3","7148597")</f>
        <v>0</v>
      </c>
      <c r="B10597" t="s">
        <v>433</v>
      </c>
      <c r="C10597" t="s">
        <v>13865</v>
      </c>
      <c r="D10597" t="s">
        <v>19093</v>
      </c>
      <c r="E10597" t="s">
        <v>28215</v>
      </c>
      <c r="F10597" t="s">
        <v>32831</v>
      </c>
      <c r="G10597" t="s">
        <v>32839</v>
      </c>
      <c r="H10597" t="s">
        <v>32849</v>
      </c>
      <c r="I10597" t="s">
        <v>4177</v>
      </c>
      <c r="J10597" t="s">
        <v>34629</v>
      </c>
      <c r="K10597" t="s">
        <v>42745</v>
      </c>
      <c r="M10597" t="s">
        <v>43438</v>
      </c>
      <c r="N10597" t="s">
        <v>47424</v>
      </c>
      <c r="O10597" t="s">
        <v>47425</v>
      </c>
      <c r="P10597">
        <v>0</v>
      </c>
      <c r="Q10597">
        <v>0</v>
      </c>
      <c r="R10597" t="s">
        <v>47435</v>
      </c>
      <c r="S10597" t="s">
        <v>47701</v>
      </c>
      <c r="T10597" t="s">
        <v>49064</v>
      </c>
      <c r="U10597" t="s">
        <v>58388</v>
      </c>
      <c r="W10597" t="s">
        <v>43438</v>
      </c>
      <c r="X10597" t="s">
        <v>47436</v>
      </c>
    </row>
    <row r="10598" spans="1:24">
      <c r="A10598">
        <f>HYPERLINK("https://www.philgeps.gov.ph/GEPSNONPILOT/Tender/SplashBidNoticeAbstractUI.aspx?menuIndex=3&amp;refID=7148596&amp;Result=3","7148596")</f>
        <v>0</v>
      </c>
      <c r="B10598" t="s">
        <v>3228</v>
      </c>
      <c r="C10598" t="s">
        <v>13866</v>
      </c>
      <c r="D10598" t="s">
        <v>19042</v>
      </c>
      <c r="E10598" t="s">
        <v>20747</v>
      </c>
      <c r="F10598" t="s">
        <v>32831</v>
      </c>
      <c r="G10598" t="s">
        <v>32839</v>
      </c>
      <c r="H10598" t="s">
        <v>32848</v>
      </c>
      <c r="I10598" t="s">
        <v>4438</v>
      </c>
      <c r="J10598" t="s">
        <v>33041</v>
      </c>
      <c r="K10598" t="s">
        <v>42748</v>
      </c>
      <c r="M10598" t="s">
        <v>46542</v>
      </c>
      <c r="N10598" t="s">
        <v>47424</v>
      </c>
      <c r="O10598" t="s">
        <v>47425</v>
      </c>
      <c r="P10598">
        <v>0</v>
      </c>
      <c r="Q10598">
        <v>0</v>
      </c>
      <c r="R10598" t="s">
        <v>47435</v>
      </c>
      <c r="S10598" t="s">
        <v>47701</v>
      </c>
      <c r="T10598" t="s">
        <v>49303</v>
      </c>
      <c r="U10598" t="s">
        <v>58389</v>
      </c>
      <c r="W10598" t="s">
        <v>46542</v>
      </c>
      <c r="X10598" t="s">
        <v>47436</v>
      </c>
    </row>
    <row r="10599" spans="1:24">
      <c r="A10599">
        <f>HYPERLINK("https://www.philgeps.gov.ph/GEPSNONPILOT/Tender/SplashBidNoticeAbstractUI.aspx?menuIndex=3&amp;refID=7148591&amp;Result=3","7148591")</f>
        <v>0</v>
      </c>
      <c r="B10599" t="s">
        <v>3229</v>
      </c>
      <c r="C10599" t="s">
        <v>13867</v>
      </c>
      <c r="D10599" t="s">
        <v>19021</v>
      </c>
      <c r="E10599" t="s">
        <v>28216</v>
      </c>
      <c r="F10599" t="s">
        <v>32831</v>
      </c>
      <c r="G10599" t="s">
        <v>32839</v>
      </c>
      <c r="H10599" t="s">
        <v>32848</v>
      </c>
      <c r="I10599" t="s">
        <v>32860</v>
      </c>
      <c r="J10599" t="s">
        <v>39508</v>
      </c>
      <c r="K10599" t="s">
        <v>42730</v>
      </c>
      <c r="M10599" t="s">
        <v>46543</v>
      </c>
      <c r="N10599" t="s">
        <v>47424</v>
      </c>
      <c r="O10599" t="s">
        <v>47425</v>
      </c>
      <c r="P10599">
        <v>0</v>
      </c>
      <c r="Q10599">
        <v>2</v>
      </c>
      <c r="R10599" t="s">
        <v>47435</v>
      </c>
      <c r="S10599" t="s">
        <v>47701</v>
      </c>
      <c r="T10599" t="s">
        <v>49567</v>
      </c>
      <c r="U10599" t="s">
        <v>58390</v>
      </c>
      <c r="W10599" t="s">
        <v>46543</v>
      </c>
      <c r="X10599" t="s">
        <v>47436</v>
      </c>
    </row>
    <row r="10600" spans="1:24">
      <c r="A10600">
        <f>HYPERLINK("https://www.philgeps.gov.ph/GEPSNONPILOT/Tender/SplashBidNoticeAbstractUI.aspx?menuIndex=3&amp;refID=7149177&amp;Result=3","7149177")</f>
        <v>0</v>
      </c>
      <c r="B10600" t="s">
        <v>830</v>
      </c>
      <c r="C10600" t="s">
        <v>13868</v>
      </c>
      <c r="D10600" t="s">
        <v>19017</v>
      </c>
      <c r="E10600" t="s">
        <v>28217</v>
      </c>
      <c r="F10600" t="s">
        <v>32831</v>
      </c>
      <c r="G10600" t="s">
        <v>32839</v>
      </c>
      <c r="H10600" t="s">
        <v>32848</v>
      </c>
      <c r="I10600" t="s">
        <v>32967</v>
      </c>
      <c r="J10600" t="s">
        <v>33118</v>
      </c>
      <c r="K10600" t="s">
        <v>42730</v>
      </c>
      <c r="M10600" t="s">
        <v>43862</v>
      </c>
      <c r="N10600" t="s">
        <v>47424</v>
      </c>
      <c r="O10600" t="s">
        <v>47425</v>
      </c>
      <c r="P10600">
        <v>0</v>
      </c>
      <c r="Q10600">
        <v>1</v>
      </c>
      <c r="R10600" t="s">
        <v>47434</v>
      </c>
      <c r="S10600" t="s">
        <v>47677</v>
      </c>
      <c r="T10600" t="s">
        <v>49424</v>
      </c>
      <c r="U10600" t="s">
        <v>58391</v>
      </c>
      <c r="V10600" t="s">
        <v>63781</v>
      </c>
      <c r="W10600" t="s">
        <v>43862</v>
      </c>
      <c r="X10600" t="s">
        <v>47435</v>
      </c>
    </row>
    <row r="10601" spans="1:24">
      <c r="A10601">
        <f>HYPERLINK("https://www.philgeps.gov.ph/GEPSNONPILOT/Tender/SplashBidNoticeAbstractUI.aspx?menuIndex=3&amp;refID=7148616&amp;Result=3","7148616")</f>
        <v>0</v>
      </c>
      <c r="B10601" t="s">
        <v>2691</v>
      </c>
      <c r="C10601" t="s">
        <v>13869</v>
      </c>
      <c r="D10601" t="s">
        <v>19077</v>
      </c>
      <c r="E10601" t="s">
        <v>23763</v>
      </c>
      <c r="F10601" t="s">
        <v>32831</v>
      </c>
      <c r="G10601" t="s">
        <v>32839</v>
      </c>
      <c r="H10601" t="s">
        <v>32848</v>
      </c>
      <c r="I10601" t="s">
        <v>7751</v>
      </c>
      <c r="J10601" t="s">
        <v>32985</v>
      </c>
      <c r="K10601" t="s">
        <v>42730</v>
      </c>
      <c r="L10601" t="s">
        <v>2691</v>
      </c>
      <c r="M10601" t="s">
        <v>45914</v>
      </c>
      <c r="N10601" t="s">
        <v>47424</v>
      </c>
      <c r="O10601" t="s">
        <v>47425</v>
      </c>
      <c r="P10601">
        <v>0</v>
      </c>
      <c r="Q10601">
        <v>0</v>
      </c>
      <c r="R10601" t="s">
        <v>47435</v>
      </c>
      <c r="S10601" t="s">
        <v>47701</v>
      </c>
      <c r="T10601" t="s">
        <v>49198</v>
      </c>
      <c r="U10601" t="s">
        <v>58392</v>
      </c>
      <c r="W10601" t="s">
        <v>45914</v>
      </c>
      <c r="X10601" t="s">
        <v>47436</v>
      </c>
    </row>
    <row r="10602" spans="1:24">
      <c r="A10602">
        <f>HYPERLINK("https://www.philgeps.gov.ph/GEPSNONPILOT/Tender/SplashBidNoticeAbstractUI.aspx?menuIndex=3&amp;refID=7148574&amp;Result=3","7148574")</f>
        <v>0</v>
      </c>
      <c r="B10602" t="s">
        <v>1118</v>
      </c>
      <c r="C10602" t="s">
        <v>4067</v>
      </c>
      <c r="D10602" t="s">
        <v>19060</v>
      </c>
      <c r="E10602" t="s">
        <v>28218</v>
      </c>
      <c r="F10602" t="s">
        <v>32831</v>
      </c>
      <c r="G10602" t="s">
        <v>32840</v>
      </c>
      <c r="H10602" t="s">
        <v>32848</v>
      </c>
      <c r="I10602" t="s">
        <v>32860</v>
      </c>
      <c r="J10602" t="s">
        <v>39509</v>
      </c>
      <c r="K10602" t="s">
        <v>42726</v>
      </c>
      <c r="M10602" t="s">
        <v>44178</v>
      </c>
      <c r="N10602" t="s">
        <v>47424</v>
      </c>
      <c r="O10602" t="s">
        <v>47425</v>
      </c>
      <c r="P10602">
        <v>0</v>
      </c>
      <c r="Q10602">
        <v>0</v>
      </c>
      <c r="R10602" t="s">
        <v>47435</v>
      </c>
      <c r="S10602" t="s">
        <v>47701</v>
      </c>
      <c r="T10602" t="s">
        <v>49166</v>
      </c>
      <c r="U10602" t="s">
        <v>58393</v>
      </c>
      <c r="W10602" t="s">
        <v>44178</v>
      </c>
      <c r="X10602" t="s">
        <v>47437</v>
      </c>
    </row>
    <row r="10603" spans="1:24">
      <c r="A10603">
        <f>HYPERLINK("https://www.philgeps.gov.ph/GEPSNONPILOT/Tender/SplashBidNoticeAbstractUI.aspx?menuIndex=3&amp;refID=7147252&amp;Result=3","7147252")</f>
        <v>0</v>
      </c>
      <c r="B10603" t="s">
        <v>618</v>
      </c>
      <c r="C10603" t="s">
        <v>13870</v>
      </c>
      <c r="D10603" t="s">
        <v>19084</v>
      </c>
      <c r="E10603" t="s">
        <v>28219</v>
      </c>
      <c r="F10603" t="s">
        <v>32831</v>
      </c>
      <c r="G10603" t="s">
        <v>32839</v>
      </c>
      <c r="H10603" t="s">
        <v>32848</v>
      </c>
      <c r="I10603" t="s">
        <v>7416</v>
      </c>
      <c r="J10603" t="s">
        <v>39510</v>
      </c>
      <c r="K10603" t="s">
        <v>42730</v>
      </c>
      <c r="M10603" t="s">
        <v>43634</v>
      </c>
      <c r="N10603" t="s">
        <v>47424</v>
      </c>
      <c r="O10603" t="s">
        <v>47425</v>
      </c>
      <c r="P10603">
        <v>0</v>
      </c>
      <c r="Q10603">
        <v>0</v>
      </c>
      <c r="R10603" t="s">
        <v>47435</v>
      </c>
      <c r="S10603" t="s">
        <v>47701</v>
      </c>
      <c r="T10603" t="s">
        <v>49236</v>
      </c>
      <c r="U10603" t="s">
        <v>58394</v>
      </c>
      <c r="V10603" t="s">
        <v>63783</v>
      </c>
      <c r="W10603" t="s">
        <v>43634</v>
      </c>
      <c r="X10603" t="s">
        <v>47438</v>
      </c>
    </row>
    <row r="10604" spans="1:24">
      <c r="A10604">
        <f>HYPERLINK("https://www.philgeps.gov.ph/GEPSNONPILOT/Tender/SplashBidNoticeAbstractUI.aspx?menuIndex=3&amp;refID=7148583&amp;Result=3","7148583")</f>
        <v>0</v>
      </c>
      <c r="B10604" t="s">
        <v>1118</v>
      </c>
      <c r="C10604" t="s">
        <v>4067</v>
      </c>
      <c r="D10604" t="s">
        <v>19060</v>
      </c>
      <c r="E10604" t="s">
        <v>28220</v>
      </c>
      <c r="F10604" t="s">
        <v>32831</v>
      </c>
      <c r="G10604" t="s">
        <v>32840</v>
      </c>
      <c r="H10604" t="s">
        <v>32848</v>
      </c>
      <c r="I10604" t="s">
        <v>9577</v>
      </c>
      <c r="J10604" t="s">
        <v>34387</v>
      </c>
      <c r="K10604" t="s">
        <v>42726</v>
      </c>
      <c r="M10604" t="s">
        <v>44178</v>
      </c>
      <c r="N10604" t="s">
        <v>47424</v>
      </c>
      <c r="O10604" t="s">
        <v>47425</v>
      </c>
      <c r="P10604">
        <v>0</v>
      </c>
      <c r="Q10604">
        <v>0</v>
      </c>
      <c r="R10604" t="s">
        <v>47435</v>
      </c>
      <c r="S10604" t="s">
        <v>47701</v>
      </c>
      <c r="T10604" t="s">
        <v>49166</v>
      </c>
      <c r="U10604" t="s">
        <v>58395</v>
      </c>
      <c r="W10604" t="s">
        <v>44178</v>
      </c>
      <c r="X10604" t="s">
        <v>47437</v>
      </c>
    </row>
    <row r="10605" spans="1:24">
      <c r="A10605">
        <f>HYPERLINK("https://www.philgeps.gov.ph/GEPSNONPILOT/Tender/SplashBidNoticeAbstractUI.aspx?menuIndex=3&amp;refID=7148592&amp;Result=3","7148592")</f>
        <v>0</v>
      </c>
      <c r="B10605" t="s">
        <v>3229</v>
      </c>
      <c r="C10605" t="s">
        <v>13871</v>
      </c>
      <c r="D10605" t="s">
        <v>19021</v>
      </c>
      <c r="E10605" t="s">
        <v>28221</v>
      </c>
      <c r="F10605" t="s">
        <v>32831</v>
      </c>
      <c r="G10605" t="s">
        <v>32839</v>
      </c>
      <c r="H10605" t="s">
        <v>32848</v>
      </c>
      <c r="I10605" t="s">
        <v>32936</v>
      </c>
      <c r="J10605" t="s">
        <v>39511</v>
      </c>
      <c r="K10605" t="s">
        <v>42730</v>
      </c>
      <c r="M10605" t="s">
        <v>46543</v>
      </c>
      <c r="N10605" t="s">
        <v>47424</v>
      </c>
      <c r="O10605" t="s">
        <v>47425</v>
      </c>
      <c r="P10605">
        <v>0</v>
      </c>
      <c r="Q10605">
        <v>1</v>
      </c>
      <c r="R10605" t="s">
        <v>47435</v>
      </c>
      <c r="S10605" t="s">
        <v>47701</v>
      </c>
      <c r="T10605" t="s">
        <v>49568</v>
      </c>
      <c r="U10605" t="s">
        <v>58390</v>
      </c>
      <c r="W10605" t="s">
        <v>46543</v>
      </c>
      <c r="X10605" t="s">
        <v>47436</v>
      </c>
    </row>
    <row r="10606" spans="1:24">
      <c r="A10606">
        <f>HYPERLINK("https://www.philgeps.gov.ph/GEPSNONPILOT/Tender/SplashBidNoticeAbstractUI.aspx?menuIndex=3&amp;refID=7149211&amp;Result=3","7149211")</f>
        <v>0</v>
      </c>
      <c r="B10606" t="s">
        <v>3219</v>
      </c>
      <c r="C10606" t="s">
        <v>13872</v>
      </c>
      <c r="E10606" t="s">
        <v>28222</v>
      </c>
      <c r="F10606" t="s">
        <v>32831</v>
      </c>
      <c r="G10606" t="s">
        <v>32839</v>
      </c>
      <c r="H10606" t="s">
        <v>32850</v>
      </c>
      <c r="I10606" t="s">
        <v>32904</v>
      </c>
      <c r="J10606" t="s">
        <v>39512</v>
      </c>
      <c r="K10606" t="s">
        <v>42807</v>
      </c>
      <c r="M10606" t="s">
        <v>46532</v>
      </c>
      <c r="N10606" t="s">
        <v>47424</v>
      </c>
      <c r="O10606" t="s">
        <v>47425</v>
      </c>
      <c r="P10606">
        <v>0</v>
      </c>
      <c r="Q10606">
        <v>4</v>
      </c>
      <c r="R10606" t="s">
        <v>47434</v>
      </c>
      <c r="S10606" t="s">
        <v>47677</v>
      </c>
      <c r="T10606" t="s">
        <v>49192</v>
      </c>
      <c r="U10606" t="s">
        <v>58396</v>
      </c>
      <c r="W10606" t="s">
        <v>46532</v>
      </c>
      <c r="X10606" t="s">
        <v>47435</v>
      </c>
    </row>
    <row r="10607" spans="1:24">
      <c r="A10607">
        <f>HYPERLINK("https://www.philgeps.gov.ph/GEPSNONPILOT/Tender/SplashBidNoticeAbstractUI.aspx?menuIndex=3&amp;refID=7149186&amp;Result=3","7149186")</f>
        <v>0</v>
      </c>
      <c r="B10607" t="s">
        <v>830</v>
      </c>
      <c r="C10607" t="s">
        <v>13873</v>
      </c>
      <c r="D10607" t="s">
        <v>19017</v>
      </c>
      <c r="E10607" t="s">
        <v>28223</v>
      </c>
      <c r="F10607" t="s">
        <v>32831</v>
      </c>
      <c r="G10607" t="s">
        <v>32839</v>
      </c>
      <c r="H10607" t="s">
        <v>32848</v>
      </c>
      <c r="I10607" t="s">
        <v>9577</v>
      </c>
      <c r="J10607" t="s">
        <v>39513</v>
      </c>
      <c r="K10607" t="s">
        <v>42730</v>
      </c>
      <c r="M10607" t="s">
        <v>43862</v>
      </c>
      <c r="N10607" t="s">
        <v>47424</v>
      </c>
      <c r="O10607" t="s">
        <v>47425</v>
      </c>
      <c r="P10607">
        <v>0</v>
      </c>
      <c r="Q10607">
        <v>5</v>
      </c>
      <c r="R10607" t="s">
        <v>47434</v>
      </c>
      <c r="S10607" t="s">
        <v>47677</v>
      </c>
      <c r="T10607" t="s">
        <v>49424</v>
      </c>
      <c r="U10607" t="s">
        <v>58397</v>
      </c>
      <c r="V10607" t="s">
        <v>63781</v>
      </c>
      <c r="W10607" t="s">
        <v>43862</v>
      </c>
      <c r="X10607" t="s">
        <v>47435</v>
      </c>
    </row>
    <row r="10608" spans="1:24">
      <c r="A10608">
        <f>HYPERLINK("https://www.philgeps.gov.ph/GEPSNONPILOT/Tender/SplashBidNoticeAbstractUI.aspx?menuIndex=3&amp;refID=7148613&amp;Result=3","7148613")</f>
        <v>0</v>
      </c>
      <c r="B10608" t="s">
        <v>903</v>
      </c>
      <c r="C10608" t="s">
        <v>13874</v>
      </c>
      <c r="D10608" t="s">
        <v>19056</v>
      </c>
      <c r="E10608" t="s">
        <v>28224</v>
      </c>
      <c r="F10608" t="s">
        <v>32831</v>
      </c>
      <c r="G10608" t="s">
        <v>32839</v>
      </c>
      <c r="H10608" t="s">
        <v>32848</v>
      </c>
      <c r="I10608" t="s">
        <v>32883</v>
      </c>
      <c r="J10608" t="s">
        <v>33528</v>
      </c>
      <c r="K10608" t="s">
        <v>42763</v>
      </c>
      <c r="M10608" t="s">
        <v>43941</v>
      </c>
      <c r="N10608" t="s">
        <v>47424</v>
      </c>
      <c r="O10608" t="s">
        <v>47425</v>
      </c>
      <c r="P10608">
        <v>0</v>
      </c>
      <c r="Q10608">
        <v>4</v>
      </c>
      <c r="R10608" t="s">
        <v>47435</v>
      </c>
      <c r="S10608" t="s">
        <v>47701</v>
      </c>
      <c r="T10608" t="s">
        <v>49192</v>
      </c>
      <c r="U10608" t="s">
        <v>58398</v>
      </c>
      <c r="W10608" t="s">
        <v>43941</v>
      </c>
      <c r="X10608" t="s">
        <v>47436</v>
      </c>
    </row>
    <row r="10609" spans="1:24">
      <c r="A10609">
        <f>HYPERLINK("https://www.philgeps.gov.ph/GEPSNONPILOT/Tender/SplashBidNoticeAbstractUI.aspx?menuIndex=3&amp;refID=7149183&amp;Result=3","7149183")</f>
        <v>0</v>
      </c>
      <c r="B10609" t="s">
        <v>468</v>
      </c>
      <c r="C10609" t="s">
        <v>13875</v>
      </c>
      <c r="D10609" t="s">
        <v>19031</v>
      </c>
      <c r="E10609" t="s">
        <v>28225</v>
      </c>
      <c r="F10609" t="s">
        <v>32831</v>
      </c>
      <c r="G10609" t="s">
        <v>32839</v>
      </c>
      <c r="H10609" t="s">
        <v>32849</v>
      </c>
      <c r="I10609" t="s">
        <v>4177</v>
      </c>
      <c r="J10609" t="s">
        <v>34921</v>
      </c>
      <c r="K10609" t="s">
        <v>42780</v>
      </c>
      <c r="M10609" t="s">
        <v>43473</v>
      </c>
      <c r="N10609" t="s">
        <v>47424</v>
      </c>
      <c r="O10609" t="s">
        <v>47425</v>
      </c>
      <c r="P10609">
        <v>0</v>
      </c>
      <c r="Q10609">
        <v>0</v>
      </c>
      <c r="R10609" t="s">
        <v>47434</v>
      </c>
      <c r="S10609" t="s">
        <v>47677</v>
      </c>
      <c r="T10609" t="s">
        <v>49137</v>
      </c>
      <c r="U10609" t="s">
        <v>58399</v>
      </c>
      <c r="W10609" t="s">
        <v>64525</v>
      </c>
      <c r="X10609" t="s">
        <v>47435</v>
      </c>
    </row>
    <row r="10610" spans="1:24">
      <c r="A10610">
        <f>HYPERLINK("https://www.philgeps.gov.ph/GEPSNONPILOT/Tender/SplashBidNoticeAbstractUI.aspx?menuIndex=3&amp;refID=7148577&amp;Result=3","7148577")</f>
        <v>0</v>
      </c>
      <c r="B10610" t="s">
        <v>1118</v>
      </c>
      <c r="C10610" t="s">
        <v>6362</v>
      </c>
      <c r="D10610" t="s">
        <v>19060</v>
      </c>
      <c r="E10610" t="s">
        <v>28226</v>
      </c>
      <c r="F10610" t="s">
        <v>32831</v>
      </c>
      <c r="G10610" t="s">
        <v>32838</v>
      </c>
      <c r="H10610" t="s">
        <v>32848</v>
      </c>
      <c r="I10610" t="s">
        <v>4471</v>
      </c>
      <c r="J10610" t="s">
        <v>39514</v>
      </c>
      <c r="K10610" t="s">
        <v>42726</v>
      </c>
      <c r="M10610" t="s">
        <v>44178</v>
      </c>
      <c r="N10610" t="s">
        <v>47424</v>
      </c>
      <c r="O10610" t="s">
        <v>47425</v>
      </c>
      <c r="P10610">
        <v>0</v>
      </c>
      <c r="Q10610">
        <v>1</v>
      </c>
      <c r="R10610" t="s">
        <v>47435</v>
      </c>
      <c r="S10610" t="s">
        <v>47701</v>
      </c>
      <c r="T10610" t="s">
        <v>49166</v>
      </c>
      <c r="U10610" t="s">
        <v>58400</v>
      </c>
      <c r="W10610" t="s">
        <v>44178</v>
      </c>
      <c r="X10610" t="s">
        <v>47437</v>
      </c>
    </row>
    <row r="10611" spans="1:24">
      <c r="A10611">
        <f>HYPERLINK("https://www.philgeps.gov.ph/GEPSNONPILOT/Tender/SplashBidNoticeAbstractUI.aspx?menuIndex=3&amp;refID=7149144&amp;Result=3","7149144")</f>
        <v>0</v>
      </c>
      <c r="B10611" t="s">
        <v>721</v>
      </c>
      <c r="C10611" t="s">
        <v>13876</v>
      </c>
      <c r="D10611" t="s">
        <v>19018</v>
      </c>
      <c r="E10611" t="s">
        <v>27916</v>
      </c>
      <c r="F10611" t="s">
        <v>32831</v>
      </c>
      <c r="G10611" t="s">
        <v>32839</v>
      </c>
      <c r="H10611" t="s">
        <v>32849</v>
      </c>
      <c r="I10611" t="s">
        <v>4177</v>
      </c>
      <c r="J10611" t="s">
        <v>39515</v>
      </c>
      <c r="K10611" t="s">
        <v>42732</v>
      </c>
      <c r="M10611" t="s">
        <v>43742</v>
      </c>
      <c r="N10611" t="s">
        <v>47424</v>
      </c>
      <c r="O10611" t="s">
        <v>47425</v>
      </c>
      <c r="P10611">
        <v>0</v>
      </c>
      <c r="Q10611">
        <v>0</v>
      </c>
      <c r="R10611" t="s">
        <v>47434</v>
      </c>
      <c r="S10611" t="s">
        <v>47677</v>
      </c>
      <c r="T10611" t="s">
        <v>49461</v>
      </c>
      <c r="U10611" t="s">
        <v>58401</v>
      </c>
      <c r="W10611" t="s">
        <v>43742</v>
      </c>
      <c r="X10611" t="s">
        <v>47435</v>
      </c>
    </row>
    <row r="10612" spans="1:24">
      <c r="A10612">
        <f>HYPERLINK("https://www.philgeps.gov.ph/GEPSNONPILOT/Tender/SplashBidNoticeAbstractUI.aspx?menuIndex=3&amp;refID=7149104&amp;Result=3","7149104")</f>
        <v>0</v>
      </c>
      <c r="B10612" t="s">
        <v>468</v>
      </c>
      <c r="C10612" t="s">
        <v>13877</v>
      </c>
      <c r="D10612" t="s">
        <v>19031</v>
      </c>
      <c r="E10612" t="s">
        <v>28227</v>
      </c>
      <c r="F10612" t="s">
        <v>32831</v>
      </c>
      <c r="G10612" t="s">
        <v>32839</v>
      </c>
      <c r="H10612" t="s">
        <v>32848</v>
      </c>
      <c r="I10612" t="s">
        <v>7751</v>
      </c>
      <c r="J10612" t="s">
        <v>39516</v>
      </c>
      <c r="K10612" t="s">
        <v>42729</v>
      </c>
      <c r="M10612" t="s">
        <v>43473</v>
      </c>
      <c r="N10612" t="s">
        <v>47424</v>
      </c>
      <c r="O10612" t="s">
        <v>47425</v>
      </c>
      <c r="P10612">
        <v>0</v>
      </c>
      <c r="Q10612">
        <v>3</v>
      </c>
      <c r="R10612" t="s">
        <v>47434</v>
      </c>
      <c r="S10612" t="s">
        <v>47677</v>
      </c>
      <c r="T10612" t="s">
        <v>49250</v>
      </c>
      <c r="U10612" t="s">
        <v>58402</v>
      </c>
      <c r="W10612" t="s">
        <v>64440</v>
      </c>
      <c r="X10612" t="s">
        <v>47435</v>
      </c>
    </row>
    <row r="10613" spans="1:24">
      <c r="A10613">
        <f>HYPERLINK("https://www.philgeps.gov.ph/GEPSNONPILOT/Tender/SplashBidNoticeAbstractUI.aspx?menuIndex=3&amp;refID=7149103&amp;Result=3","7149103")</f>
        <v>0</v>
      </c>
      <c r="B10613" t="s">
        <v>3215</v>
      </c>
      <c r="C10613" t="s">
        <v>6696</v>
      </c>
      <c r="D10613" t="s">
        <v>19018</v>
      </c>
      <c r="E10613" t="s">
        <v>28228</v>
      </c>
      <c r="F10613" t="s">
        <v>32831</v>
      </c>
      <c r="G10613" t="s">
        <v>32840</v>
      </c>
      <c r="H10613" t="s">
        <v>32848</v>
      </c>
      <c r="I10613" t="s">
        <v>32858</v>
      </c>
      <c r="J10613" t="s">
        <v>39517</v>
      </c>
      <c r="K10613" t="s">
        <v>42748</v>
      </c>
      <c r="M10613" t="s">
        <v>46528</v>
      </c>
      <c r="N10613" t="s">
        <v>47424</v>
      </c>
      <c r="O10613" t="s">
        <v>47425</v>
      </c>
      <c r="P10613">
        <v>0</v>
      </c>
      <c r="Q10613">
        <v>0</v>
      </c>
      <c r="R10613" t="s">
        <v>47434</v>
      </c>
      <c r="S10613" t="s">
        <v>47677</v>
      </c>
      <c r="T10613" t="s">
        <v>49564</v>
      </c>
      <c r="U10613" t="s">
        <v>58403</v>
      </c>
      <c r="W10613" t="s">
        <v>46528</v>
      </c>
      <c r="X10613" t="s">
        <v>47435</v>
      </c>
    </row>
    <row r="10614" spans="1:24">
      <c r="A10614">
        <f>HYPERLINK("https://www.philgeps.gov.ph/GEPSNONPILOT/Tender/SplashBidNoticeAbstractUI.aspx?menuIndex=3&amp;refID=7149188&amp;Result=3","7149188")</f>
        <v>0</v>
      </c>
      <c r="B10614" t="s">
        <v>830</v>
      </c>
      <c r="C10614" t="s">
        <v>13878</v>
      </c>
      <c r="D10614" t="s">
        <v>19017</v>
      </c>
      <c r="E10614" t="s">
        <v>28229</v>
      </c>
      <c r="F10614" t="s">
        <v>32831</v>
      </c>
      <c r="G10614" t="s">
        <v>32839</v>
      </c>
      <c r="H10614" t="s">
        <v>32848</v>
      </c>
      <c r="I10614" t="s">
        <v>32958</v>
      </c>
      <c r="J10614" t="s">
        <v>32978</v>
      </c>
      <c r="K10614" t="s">
        <v>42730</v>
      </c>
      <c r="M10614" t="s">
        <v>43862</v>
      </c>
      <c r="N10614" t="s">
        <v>47424</v>
      </c>
      <c r="O10614" t="s">
        <v>47425</v>
      </c>
      <c r="P10614">
        <v>0</v>
      </c>
      <c r="Q10614">
        <v>1</v>
      </c>
      <c r="R10614" t="s">
        <v>47434</v>
      </c>
      <c r="S10614" t="s">
        <v>47677</v>
      </c>
      <c r="T10614" t="s">
        <v>49424</v>
      </c>
      <c r="U10614" t="s">
        <v>58404</v>
      </c>
      <c r="V10614" t="s">
        <v>63781</v>
      </c>
      <c r="W10614" t="s">
        <v>43862</v>
      </c>
      <c r="X10614" t="s">
        <v>47435</v>
      </c>
    </row>
    <row r="10615" spans="1:24">
      <c r="A10615">
        <f>HYPERLINK("https://www.philgeps.gov.ph/GEPSNONPILOT/Tender/SplashBidNoticeAbstractUI.aspx?menuIndex=3&amp;refID=7149132&amp;Result=3","7149132")</f>
        <v>0</v>
      </c>
      <c r="B10615" t="s">
        <v>450</v>
      </c>
      <c r="C10615" t="s">
        <v>13879</v>
      </c>
      <c r="D10615" t="s">
        <v>19074</v>
      </c>
      <c r="E10615" t="s">
        <v>28230</v>
      </c>
      <c r="F10615" t="s">
        <v>32831</v>
      </c>
      <c r="G10615" t="s">
        <v>32839</v>
      </c>
      <c r="H10615" t="s">
        <v>32849</v>
      </c>
      <c r="I10615" t="s">
        <v>4177</v>
      </c>
      <c r="J10615" t="s">
        <v>33118</v>
      </c>
      <c r="K10615" t="s">
        <v>42747</v>
      </c>
      <c r="M10615" t="s">
        <v>43455</v>
      </c>
      <c r="N10615" t="s">
        <v>47424</v>
      </c>
      <c r="O10615" t="s">
        <v>47425</v>
      </c>
      <c r="P10615">
        <v>0</v>
      </c>
      <c r="Q10615">
        <v>0</v>
      </c>
      <c r="R10615" t="s">
        <v>47434</v>
      </c>
      <c r="S10615" t="s">
        <v>47677</v>
      </c>
      <c r="T10615" t="s">
        <v>49143</v>
      </c>
      <c r="U10615" t="s">
        <v>58405</v>
      </c>
      <c r="W10615" t="s">
        <v>64437</v>
      </c>
      <c r="X10615" t="s">
        <v>47435</v>
      </c>
    </row>
    <row r="10616" spans="1:24">
      <c r="A10616">
        <f>HYPERLINK("https://www.philgeps.gov.ph/GEPSNONPILOT/Tender/SplashBidNoticeAbstractUI.aspx?menuIndex=3&amp;refID=7148764&amp;Result=3","7148764")</f>
        <v>0</v>
      </c>
      <c r="B10616" t="s">
        <v>3230</v>
      </c>
      <c r="C10616" t="s">
        <v>13880</v>
      </c>
      <c r="D10616" t="s">
        <v>19067</v>
      </c>
      <c r="E10616" t="s">
        <v>28231</v>
      </c>
      <c r="F10616" t="s">
        <v>32831</v>
      </c>
      <c r="G10616" t="s">
        <v>32839</v>
      </c>
      <c r="H10616" t="s">
        <v>32849</v>
      </c>
      <c r="I10616" t="s">
        <v>4177</v>
      </c>
      <c r="J10616" t="s">
        <v>32978</v>
      </c>
      <c r="K10616" t="s">
        <v>42747</v>
      </c>
      <c r="M10616" t="s">
        <v>46544</v>
      </c>
      <c r="N10616" t="s">
        <v>47424</v>
      </c>
      <c r="O10616" t="s">
        <v>47425</v>
      </c>
      <c r="P10616">
        <v>0</v>
      </c>
      <c r="Q10616">
        <v>0</v>
      </c>
      <c r="R10616" t="s">
        <v>47435</v>
      </c>
      <c r="S10616" t="s">
        <v>47701</v>
      </c>
      <c r="T10616" t="s">
        <v>49104</v>
      </c>
      <c r="U10616" t="s">
        <v>58406</v>
      </c>
      <c r="W10616" t="s">
        <v>46544</v>
      </c>
      <c r="X10616" t="s">
        <v>47436</v>
      </c>
    </row>
    <row r="10617" spans="1:24">
      <c r="A10617">
        <f>HYPERLINK("https://www.philgeps.gov.ph/GEPSNONPILOT/Tender/SplashBidNoticeAbstractUI.aspx?menuIndex=3&amp;refID=7149197&amp;Result=3","7149197")</f>
        <v>0</v>
      </c>
      <c r="B10617" t="s">
        <v>3231</v>
      </c>
      <c r="C10617" t="s">
        <v>13881</v>
      </c>
      <c r="D10617" t="s">
        <v>19032</v>
      </c>
      <c r="E10617" t="s">
        <v>24348</v>
      </c>
      <c r="F10617" t="s">
        <v>32831</v>
      </c>
      <c r="G10617" t="s">
        <v>32839</v>
      </c>
      <c r="H10617" t="s">
        <v>32848</v>
      </c>
      <c r="I10617" t="s">
        <v>4776</v>
      </c>
      <c r="J10617" t="s">
        <v>33315</v>
      </c>
      <c r="K10617" t="s">
        <v>42730</v>
      </c>
      <c r="M10617" t="s">
        <v>46545</v>
      </c>
      <c r="N10617" t="s">
        <v>47424</v>
      </c>
      <c r="O10617" t="s">
        <v>47425</v>
      </c>
      <c r="P10617">
        <v>0</v>
      </c>
      <c r="Q10617">
        <v>7</v>
      </c>
      <c r="R10617" t="s">
        <v>47434</v>
      </c>
      <c r="S10617" t="s">
        <v>47677</v>
      </c>
      <c r="T10617" t="s">
        <v>49192</v>
      </c>
      <c r="U10617" t="s">
        <v>58407</v>
      </c>
      <c r="W10617" t="s">
        <v>46545</v>
      </c>
      <c r="X10617" t="s">
        <v>47435</v>
      </c>
    </row>
    <row r="10618" spans="1:24">
      <c r="A10618">
        <f>HYPERLINK("https://www.philgeps.gov.ph/GEPSNONPILOT/Tender/SplashBidNoticeAbstractUI.aspx?menuIndex=3&amp;refID=7148762&amp;Result=3","7148762")</f>
        <v>0</v>
      </c>
      <c r="B10618" t="s">
        <v>3230</v>
      </c>
      <c r="C10618" t="s">
        <v>13882</v>
      </c>
      <c r="D10618" t="s">
        <v>19067</v>
      </c>
      <c r="E10618" t="s">
        <v>28232</v>
      </c>
      <c r="F10618" t="s">
        <v>32831</v>
      </c>
      <c r="G10618" t="s">
        <v>32839</v>
      </c>
      <c r="H10618" t="s">
        <v>32848</v>
      </c>
      <c r="I10618" t="s">
        <v>7416</v>
      </c>
      <c r="J10618" t="s">
        <v>39518</v>
      </c>
      <c r="K10618" t="s">
        <v>42727</v>
      </c>
      <c r="M10618" t="s">
        <v>46544</v>
      </c>
      <c r="N10618" t="s">
        <v>47424</v>
      </c>
      <c r="O10618" t="s">
        <v>47425</v>
      </c>
      <c r="P10618">
        <v>0</v>
      </c>
      <c r="Q10618">
        <v>0</v>
      </c>
      <c r="R10618" t="s">
        <v>47435</v>
      </c>
      <c r="S10618" t="s">
        <v>47701</v>
      </c>
      <c r="T10618" t="s">
        <v>49104</v>
      </c>
      <c r="U10618" t="s">
        <v>58408</v>
      </c>
      <c r="W10618" t="s">
        <v>46544</v>
      </c>
      <c r="X10618" t="s">
        <v>47436</v>
      </c>
    </row>
    <row r="10619" spans="1:24">
      <c r="A10619">
        <f>HYPERLINK("https://www.philgeps.gov.ph/GEPSNONPILOT/Tender/SplashBidNoticeAbstractUI.aspx?menuIndex=3&amp;refID=7148754&amp;Result=3","7148754")</f>
        <v>0</v>
      </c>
      <c r="B10619" t="s">
        <v>3232</v>
      </c>
      <c r="C10619" t="s">
        <v>13883</v>
      </c>
      <c r="E10619" t="s">
        <v>28233</v>
      </c>
      <c r="F10619" t="s">
        <v>32831</v>
      </c>
      <c r="G10619" t="s">
        <v>32839</v>
      </c>
      <c r="H10619" t="s">
        <v>32849</v>
      </c>
      <c r="I10619" t="s">
        <v>4177</v>
      </c>
      <c r="J10619" t="s">
        <v>33018</v>
      </c>
      <c r="K10619" t="s">
        <v>42729</v>
      </c>
      <c r="M10619" t="s">
        <v>46546</v>
      </c>
      <c r="N10619" t="s">
        <v>47424</v>
      </c>
      <c r="O10619" t="s">
        <v>47425</v>
      </c>
      <c r="P10619">
        <v>0</v>
      </c>
      <c r="Q10619">
        <v>4</v>
      </c>
      <c r="R10619" t="s">
        <v>47435</v>
      </c>
      <c r="S10619" t="s">
        <v>47701</v>
      </c>
      <c r="T10619" t="s">
        <v>49192</v>
      </c>
      <c r="U10619" t="s">
        <v>58409</v>
      </c>
      <c r="W10619" t="s">
        <v>46546</v>
      </c>
      <c r="X10619" t="s">
        <v>47436</v>
      </c>
    </row>
    <row r="10620" spans="1:24">
      <c r="A10620">
        <f>HYPERLINK("https://www.philgeps.gov.ph/GEPSNONPILOT/Tender/SplashBidNoticeAbstractUI.aspx?menuIndex=3&amp;refID=7148761&amp;Result=3","7148761")</f>
        <v>0</v>
      </c>
      <c r="B10620" t="s">
        <v>3230</v>
      </c>
      <c r="C10620" t="s">
        <v>13884</v>
      </c>
      <c r="D10620" t="s">
        <v>19067</v>
      </c>
      <c r="E10620" t="s">
        <v>28234</v>
      </c>
      <c r="F10620" t="s">
        <v>32831</v>
      </c>
      <c r="G10620" t="s">
        <v>32839</v>
      </c>
      <c r="H10620" t="s">
        <v>32848</v>
      </c>
      <c r="I10620" t="s">
        <v>4303</v>
      </c>
      <c r="J10620" t="s">
        <v>33072</v>
      </c>
      <c r="K10620" t="s">
        <v>42727</v>
      </c>
      <c r="M10620" t="s">
        <v>46544</v>
      </c>
      <c r="N10620" t="s">
        <v>47424</v>
      </c>
      <c r="O10620" t="s">
        <v>47425</v>
      </c>
      <c r="P10620">
        <v>0</v>
      </c>
      <c r="Q10620">
        <v>0</v>
      </c>
      <c r="R10620" t="s">
        <v>47435</v>
      </c>
      <c r="S10620" t="s">
        <v>47701</v>
      </c>
      <c r="T10620" t="s">
        <v>49104</v>
      </c>
      <c r="U10620" t="s">
        <v>58408</v>
      </c>
      <c r="W10620" t="s">
        <v>46544</v>
      </c>
      <c r="X10620" t="s">
        <v>47436</v>
      </c>
    </row>
    <row r="10621" spans="1:24">
      <c r="A10621">
        <f>HYPERLINK("https://www.philgeps.gov.ph/GEPSNONPILOT/Tender/SplashBidNoticeAbstractUI.aspx?menuIndex=3&amp;refID=7148801&amp;Result=3","7148801")</f>
        <v>0</v>
      </c>
      <c r="B10621" t="s">
        <v>1417</v>
      </c>
      <c r="C10621" t="s">
        <v>13885</v>
      </c>
      <c r="D10621" t="s">
        <v>19047</v>
      </c>
      <c r="E10621" t="s">
        <v>23900</v>
      </c>
      <c r="F10621" t="s">
        <v>32831</v>
      </c>
      <c r="G10621" t="s">
        <v>32839</v>
      </c>
      <c r="H10621" t="s">
        <v>32848</v>
      </c>
      <c r="I10621" t="s">
        <v>4487</v>
      </c>
      <c r="J10621" t="s">
        <v>39519</v>
      </c>
      <c r="K10621" t="s">
        <v>42763</v>
      </c>
      <c r="M10621" t="s">
        <v>44505</v>
      </c>
      <c r="N10621" t="s">
        <v>47424</v>
      </c>
      <c r="O10621" t="s">
        <v>47425</v>
      </c>
      <c r="P10621">
        <v>0</v>
      </c>
      <c r="Q10621">
        <v>7</v>
      </c>
      <c r="R10621" t="s">
        <v>47435</v>
      </c>
      <c r="S10621" t="s">
        <v>47701</v>
      </c>
      <c r="T10621" t="s">
        <v>49173</v>
      </c>
      <c r="U10621" t="s">
        <v>58410</v>
      </c>
      <c r="V10621" t="s">
        <v>63784</v>
      </c>
      <c r="W10621" t="s">
        <v>44505</v>
      </c>
      <c r="X10621" t="s">
        <v>47436</v>
      </c>
    </row>
    <row r="10622" spans="1:24">
      <c r="A10622">
        <f>HYPERLINK("https://www.philgeps.gov.ph/GEPSNONPILOT/Tender/SplashBidNoticeAbstractUI.aspx?menuIndex=3&amp;refID=7148709&amp;Result=3","7148709")</f>
        <v>0</v>
      </c>
      <c r="B10622" t="s">
        <v>3233</v>
      </c>
      <c r="C10622" t="s">
        <v>13886</v>
      </c>
      <c r="D10622" t="s">
        <v>19053</v>
      </c>
      <c r="E10622" t="s">
        <v>28235</v>
      </c>
      <c r="F10622" t="s">
        <v>32831</v>
      </c>
      <c r="G10622" t="s">
        <v>32839</v>
      </c>
      <c r="H10622" t="s">
        <v>32849</v>
      </c>
      <c r="I10622" t="s">
        <v>4177</v>
      </c>
      <c r="J10622" t="s">
        <v>33083</v>
      </c>
      <c r="K10622" t="s">
        <v>42764</v>
      </c>
      <c r="M10622" t="s">
        <v>46547</v>
      </c>
      <c r="N10622" t="s">
        <v>47424</v>
      </c>
      <c r="O10622" t="s">
        <v>47425</v>
      </c>
      <c r="P10622">
        <v>0</v>
      </c>
      <c r="Q10622">
        <v>1</v>
      </c>
      <c r="R10622" t="s">
        <v>47435</v>
      </c>
      <c r="S10622" t="s">
        <v>47701</v>
      </c>
      <c r="T10622" t="s">
        <v>49398</v>
      </c>
      <c r="U10622" t="s">
        <v>58411</v>
      </c>
      <c r="W10622" t="s">
        <v>46547</v>
      </c>
      <c r="X10622" t="s">
        <v>47436</v>
      </c>
    </row>
    <row r="10623" spans="1:24">
      <c r="A10623">
        <f>HYPERLINK("https://www.philgeps.gov.ph/GEPSNONPILOT/Tender/SplashBidNoticeAbstractUI.aspx?menuIndex=3&amp;refID=7149175&amp;Result=3","7149175")</f>
        <v>0</v>
      </c>
      <c r="B10623" t="s">
        <v>2965</v>
      </c>
      <c r="C10623" t="s">
        <v>13887</v>
      </c>
      <c r="D10623" t="s">
        <v>19037</v>
      </c>
      <c r="E10623" t="s">
        <v>22035</v>
      </c>
      <c r="F10623" t="s">
        <v>32831</v>
      </c>
      <c r="G10623" t="s">
        <v>32839</v>
      </c>
      <c r="H10623" t="s">
        <v>32848</v>
      </c>
      <c r="I10623" t="s">
        <v>7416</v>
      </c>
      <c r="J10623" t="s">
        <v>39520</v>
      </c>
      <c r="K10623" t="s">
        <v>42745</v>
      </c>
      <c r="M10623" t="s">
        <v>46227</v>
      </c>
      <c r="N10623" t="s">
        <v>47424</v>
      </c>
      <c r="O10623" t="s">
        <v>47425</v>
      </c>
      <c r="P10623">
        <v>0</v>
      </c>
      <c r="Q10623">
        <v>0</v>
      </c>
      <c r="R10623" t="s">
        <v>47434</v>
      </c>
      <c r="S10623" t="s">
        <v>47677</v>
      </c>
      <c r="T10623" t="s">
        <v>49163</v>
      </c>
      <c r="U10623" t="s">
        <v>58412</v>
      </c>
      <c r="W10623" t="s">
        <v>46227</v>
      </c>
      <c r="X10623" t="s">
        <v>47435</v>
      </c>
    </row>
    <row r="10624" spans="1:24">
      <c r="A10624">
        <f>HYPERLINK("https://www.philgeps.gov.ph/GEPSNONPILOT/Tender/SplashBidNoticeAbstractUI.aspx?menuIndex=3&amp;refID=7148704&amp;Result=3","7148704")</f>
        <v>0</v>
      </c>
      <c r="B10624" t="s">
        <v>3233</v>
      </c>
      <c r="C10624" t="s">
        <v>13888</v>
      </c>
      <c r="D10624" t="s">
        <v>19053</v>
      </c>
      <c r="E10624" t="s">
        <v>28236</v>
      </c>
      <c r="F10624" t="s">
        <v>32831</v>
      </c>
      <c r="G10624" t="s">
        <v>32839</v>
      </c>
      <c r="H10624" t="s">
        <v>32849</v>
      </c>
      <c r="I10624" t="s">
        <v>32956</v>
      </c>
      <c r="J10624" t="s">
        <v>33083</v>
      </c>
      <c r="K10624" t="s">
        <v>42764</v>
      </c>
      <c r="M10624" t="s">
        <v>46547</v>
      </c>
      <c r="N10624" t="s">
        <v>47424</v>
      </c>
      <c r="O10624" t="s">
        <v>47425</v>
      </c>
      <c r="P10624">
        <v>0</v>
      </c>
      <c r="Q10624">
        <v>0</v>
      </c>
      <c r="R10624" t="s">
        <v>47435</v>
      </c>
      <c r="S10624" t="s">
        <v>47701</v>
      </c>
      <c r="T10624" t="s">
        <v>49398</v>
      </c>
      <c r="U10624" t="s">
        <v>58413</v>
      </c>
      <c r="W10624" t="s">
        <v>46547</v>
      </c>
      <c r="X10624" t="s">
        <v>47436</v>
      </c>
    </row>
    <row r="10625" spans="1:24">
      <c r="A10625">
        <f>HYPERLINK("https://www.philgeps.gov.ph/GEPSNONPILOT/Tender/SplashBidNoticeAbstractUI.aspx?menuIndex=3&amp;refID=7149138&amp;Result=3","7149138")</f>
        <v>0</v>
      </c>
      <c r="B10625" t="s">
        <v>1067</v>
      </c>
      <c r="C10625" t="s">
        <v>13889</v>
      </c>
      <c r="D10625" t="s">
        <v>19017</v>
      </c>
      <c r="E10625" t="s">
        <v>20202</v>
      </c>
      <c r="F10625" t="s">
        <v>32831</v>
      </c>
      <c r="G10625" t="s">
        <v>32839</v>
      </c>
      <c r="H10625" t="s">
        <v>14069</v>
      </c>
      <c r="I10625" t="s">
        <v>14069</v>
      </c>
      <c r="J10625" t="s">
        <v>33111</v>
      </c>
      <c r="K10625" t="s">
        <v>42763</v>
      </c>
      <c r="M10625" t="s">
        <v>44124</v>
      </c>
      <c r="N10625" t="s">
        <v>47424</v>
      </c>
      <c r="O10625" t="s">
        <v>47425</v>
      </c>
      <c r="P10625">
        <v>0</v>
      </c>
      <c r="Q10625">
        <v>8</v>
      </c>
      <c r="R10625" t="s">
        <v>47434</v>
      </c>
      <c r="S10625" t="s">
        <v>47677</v>
      </c>
      <c r="T10625" t="s">
        <v>49569</v>
      </c>
      <c r="U10625" t="s">
        <v>58414</v>
      </c>
      <c r="V10625" t="s">
        <v>63478</v>
      </c>
      <c r="W10625" t="s">
        <v>44124</v>
      </c>
      <c r="X10625" t="s">
        <v>47435</v>
      </c>
    </row>
    <row r="10626" spans="1:24">
      <c r="A10626">
        <f>HYPERLINK("https://www.philgeps.gov.ph/GEPSNONPILOT/Tender/SplashBidNoticeAbstractUI.aspx?menuIndex=3&amp;refID=7148687&amp;Result=3","7148687")</f>
        <v>0</v>
      </c>
      <c r="B10626" t="s">
        <v>3233</v>
      </c>
      <c r="C10626" t="s">
        <v>13890</v>
      </c>
      <c r="D10626" t="s">
        <v>19053</v>
      </c>
      <c r="E10626" t="s">
        <v>28146</v>
      </c>
      <c r="F10626" t="s">
        <v>32831</v>
      </c>
      <c r="G10626" t="s">
        <v>32839</v>
      </c>
      <c r="H10626" t="s">
        <v>32850</v>
      </c>
      <c r="I10626" t="s">
        <v>7751</v>
      </c>
      <c r="J10626" t="s">
        <v>33083</v>
      </c>
      <c r="K10626" t="s">
        <v>42727</v>
      </c>
      <c r="M10626" t="s">
        <v>46547</v>
      </c>
      <c r="N10626" t="s">
        <v>47424</v>
      </c>
      <c r="O10626" t="s">
        <v>47425</v>
      </c>
      <c r="P10626">
        <v>0</v>
      </c>
      <c r="Q10626">
        <v>3</v>
      </c>
      <c r="R10626" t="s">
        <v>47435</v>
      </c>
      <c r="S10626" t="s">
        <v>47701</v>
      </c>
      <c r="T10626" t="s">
        <v>49398</v>
      </c>
      <c r="U10626" t="s">
        <v>58415</v>
      </c>
      <c r="W10626" t="s">
        <v>46547</v>
      </c>
      <c r="X10626" t="s">
        <v>47436</v>
      </c>
    </row>
    <row r="10627" spans="1:24">
      <c r="A10627">
        <f>HYPERLINK("https://www.philgeps.gov.ph/GEPSNONPILOT/Tender/SplashBidNoticeAbstractUI.aspx?menuIndex=3&amp;refID=7148681&amp;Result=3","7148681")</f>
        <v>0</v>
      </c>
      <c r="B10627" t="s">
        <v>1162</v>
      </c>
      <c r="C10627" t="s">
        <v>13891</v>
      </c>
      <c r="D10627" t="s">
        <v>19050</v>
      </c>
      <c r="E10627" t="s">
        <v>13891</v>
      </c>
      <c r="F10627" t="s">
        <v>32831</v>
      </c>
      <c r="G10627" t="s">
        <v>32839</v>
      </c>
      <c r="H10627" t="s">
        <v>32848</v>
      </c>
      <c r="I10627" t="s">
        <v>4487</v>
      </c>
      <c r="J10627" t="s">
        <v>39521</v>
      </c>
      <c r="K10627" t="s">
        <v>42730</v>
      </c>
      <c r="M10627" t="s">
        <v>46128</v>
      </c>
      <c r="N10627" t="s">
        <v>47424</v>
      </c>
      <c r="O10627" t="s">
        <v>47425</v>
      </c>
      <c r="P10627">
        <v>0</v>
      </c>
      <c r="Q10627">
        <v>1</v>
      </c>
      <c r="R10627" t="s">
        <v>47435</v>
      </c>
      <c r="S10627" t="s">
        <v>47701</v>
      </c>
      <c r="T10627" t="s">
        <v>49229</v>
      </c>
      <c r="U10627" t="s">
        <v>58416</v>
      </c>
      <c r="W10627" t="s">
        <v>46128</v>
      </c>
      <c r="X10627" t="s">
        <v>47436</v>
      </c>
    </row>
    <row r="10628" spans="1:24">
      <c r="A10628">
        <f>HYPERLINK("https://www.philgeps.gov.ph/GEPSNONPILOT/Tender/SplashBidNoticeAbstractUI.aspx?menuIndex=3&amp;refID=7148674&amp;Result=3","7148674")</f>
        <v>0</v>
      </c>
      <c r="B10628" t="s">
        <v>663</v>
      </c>
      <c r="C10628" t="s">
        <v>13892</v>
      </c>
      <c r="D10628" t="s">
        <v>19026</v>
      </c>
      <c r="E10628" t="s">
        <v>28237</v>
      </c>
      <c r="F10628" t="s">
        <v>32831</v>
      </c>
      <c r="G10628" t="s">
        <v>32839</v>
      </c>
      <c r="H10628" t="s">
        <v>32848</v>
      </c>
      <c r="I10628" t="s">
        <v>32864</v>
      </c>
      <c r="J10628" t="s">
        <v>39522</v>
      </c>
      <c r="K10628" t="s">
        <v>42732</v>
      </c>
      <c r="M10628" t="s">
        <v>43681</v>
      </c>
      <c r="N10628" t="s">
        <v>47424</v>
      </c>
      <c r="O10628" t="s">
        <v>47425</v>
      </c>
      <c r="P10628">
        <v>0</v>
      </c>
      <c r="Q10628">
        <v>18</v>
      </c>
      <c r="R10628" t="s">
        <v>47435</v>
      </c>
      <c r="S10628" t="s">
        <v>47701</v>
      </c>
      <c r="T10628" t="s">
        <v>49111</v>
      </c>
      <c r="U10628" t="s">
        <v>58417</v>
      </c>
      <c r="W10628" t="s">
        <v>43681</v>
      </c>
      <c r="X10628" t="s">
        <v>47436</v>
      </c>
    </row>
    <row r="10629" spans="1:24">
      <c r="A10629">
        <f>HYPERLINK("https://www.philgeps.gov.ph/GEPSNONPILOT/Tender/SplashBidNoticeAbstractUI.aspx?menuIndex=3&amp;refID=7148759&amp;Result=3","7148759")</f>
        <v>0</v>
      </c>
      <c r="B10629" t="s">
        <v>3230</v>
      </c>
      <c r="C10629" t="s">
        <v>13893</v>
      </c>
      <c r="D10629" t="s">
        <v>19067</v>
      </c>
      <c r="E10629" t="s">
        <v>28238</v>
      </c>
      <c r="F10629" t="s">
        <v>32831</v>
      </c>
      <c r="G10629" t="s">
        <v>32839</v>
      </c>
      <c r="H10629" t="s">
        <v>32848</v>
      </c>
      <c r="I10629" t="s">
        <v>4303</v>
      </c>
      <c r="J10629" t="s">
        <v>39523</v>
      </c>
      <c r="K10629" t="s">
        <v>42727</v>
      </c>
      <c r="M10629" t="s">
        <v>46544</v>
      </c>
      <c r="N10629" t="s">
        <v>47424</v>
      </c>
      <c r="O10629" t="s">
        <v>47425</v>
      </c>
      <c r="P10629">
        <v>0</v>
      </c>
      <c r="Q10629">
        <v>0</v>
      </c>
      <c r="R10629" t="s">
        <v>47435</v>
      </c>
      <c r="S10629" t="s">
        <v>47701</v>
      </c>
      <c r="T10629" t="s">
        <v>49104</v>
      </c>
      <c r="U10629" t="s">
        <v>58418</v>
      </c>
      <c r="W10629" t="s">
        <v>46544</v>
      </c>
      <c r="X10629" t="s">
        <v>47436</v>
      </c>
    </row>
    <row r="10630" spans="1:24">
      <c r="A10630">
        <f>HYPERLINK("https://www.philgeps.gov.ph/GEPSNONPILOT/Tender/SplashBidNoticeAbstractUI.aspx?menuIndex=3&amp;refID=7148816&amp;Result=3","7148816")</f>
        <v>0</v>
      </c>
      <c r="B10630" t="s">
        <v>1118</v>
      </c>
      <c r="C10630" t="s">
        <v>13894</v>
      </c>
      <c r="D10630" t="s">
        <v>19060</v>
      </c>
      <c r="E10630" t="s">
        <v>28239</v>
      </c>
      <c r="F10630" t="s">
        <v>32831</v>
      </c>
      <c r="G10630" t="s">
        <v>32838</v>
      </c>
      <c r="H10630" t="s">
        <v>32848</v>
      </c>
      <c r="I10630" t="s">
        <v>4776</v>
      </c>
      <c r="J10630" t="s">
        <v>39524</v>
      </c>
      <c r="K10630" t="s">
        <v>42726</v>
      </c>
      <c r="M10630" t="s">
        <v>44178</v>
      </c>
      <c r="N10630" t="s">
        <v>47424</v>
      </c>
      <c r="O10630" t="s">
        <v>47425</v>
      </c>
      <c r="P10630">
        <v>0</v>
      </c>
      <c r="Q10630">
        <v>1</v>
      </c>
      <c r="R10630" t="s">
        <v>47435</v>
      </c>
      <c r="S10630" t="s">
        <v>47701</v>
      </c>
      <c r="T10630" t="s">
        <v>49166</v>
      </c>
      <c r="U10630" t="s">
        <v>58419</v>
      </c>
      <c r="W10630" t="s">
        <v>44178</v>
      </c>
      <c r="X10630" t="s">
        <v>47436</v>
      </c>
    </row>
    <row r="10631" spans="1:24">
      <c r="A10631">
        <f>HYPERLINK("https://www.philgeps.gov.ph/GEPSNONPILOT/Tender/SplashBidNoticeAbstractUI.aspx?menuIndex=3&amp;refID=7145924&amp;Result=3","7145924")</f>
        <v>0</v>
      </c>
      <c r="B10631" t="s">
        <v>2876</v>
      </c>
      <c r="C10631" t="s">
        <v>13895</v>
      </c>
      <c r="D10631" t="s">
        <v>19017</v>
      </c>
      <c r="E10631" t="s">
        <v>28240</v>
      </c>
      <c r="F10631" t="s">
        <v>32831</v>
      </c>
      <c r="G10631" t="s">
        <v>32839</v>
      </c>
      <c r="H10631" t="s">
        <v>32848</v>
      </c>
      <c r="I10631" t="s">
        <v>32861</v>
      </c>
      <c r="J10631" t="s">
        <v>39525</v>
      </c>
      <c r="K10631" t="s">
        <v>42732</v>
      </c>
      <c r="M10631" t="s">
        <v>46548</v>
      </c>
      <c r="N10631" t="s">
        <v>47424</v>
      </c>
      <c r="O10631" t="s">
        <v>47425</v>
      </c>
      <c r="P10631">
        <v>0</v>
      </c>
      <c r="Q10631">
        <v>10</v>
      </c>
      <c r="R10631" t="s">
        <v>47436</v>
      </c>
      <c r="S10631" t="s">
        <v>47702</v>
      </c>
      <c r="T10631" t="s">
        <v>49265</v>
      </c>
      <c r="U10631" t="s">
        <v>58420</v>
      </c>
      <c r="V10631" t="s">
        <v>63785</v>
      </c>
      <c r="W10631" t="s">
        <v>46548</v>
      </c>
      <c r="X10631" t="s">
        <v>47438</v>
      </c>
    </row>
    <row r="10632" spans="1:24">
      <c r="A10632">
        <f>HYPERLINK("https://www.philgeps.gov.ph/GEPSNONPILOT/Tender/SplashBidNoticeAbstractUI.aspx?menuIndex=3&amp;refID=7145408&amp;Result=3","7145408")</f>
        <v>0</v>
      </c>
      <c r="B10632" t="s">
        <v>1032</v>
      </c>
      <c r="C10632" t="s">
        <v>13896</v>
      </c>
      <c r="D10632" t="s">
        <v>19036</v>
      </c>
      <c r="E10632" t="s">
        <v>28241</v>
      </c>
      <c r="F10632" t="s">
        <v>32831</v>
      </c>
      <c r="G10632" t="s">
        <v>32839</v>
      </c>
      <c r="H10632" t="s">
        <v>32848</v>
      </c>
      <c r="I10632" t="s">
        <v>7416</v>
      </c>
      <c r="J10632" t="s">
        <v>33044</v>
      </c>
      <c r="K10632" t="s">
        <v>42745</v>
      </c>
      <c r="M10632" t="s">
        <v>44086</v>
      </c>
      <c r="N10632" t="s">
        <v>47424</v>
      </c>
      <c r="O10632" t="s">
        <v>47425</v>
      </c>
      <c r="P10632">
        <v>0</v>
      </c>
      <c r="Q10632">
        <v>2</v>
      </c>
      <c r="R10632" t="s">
        <v>47436</v>
      </c>
      <c r="S10632" t="s">
        <v>47702</v>
      </c>
      <c r="T10632" t="s">
        <v>49288</v>
      </c>
      <c r="U10632" t="s">
        <v>58421</v>
      </c>
      <c r="V10632" t="s">
        <v>63786</v>
      </c>
      <c r="W10632" t="s">
        <v>44086</v>
      </c>
      <c r="X10632" t="s">
        <v>47438</v>
      </c>
    </row>
    <row r="10633" spans="1:24">
      <c r="A10633">
        <f>HYPERLINK("https://www.philgeps.gov.ph/GEPSNONPILOT/Tender/SplashBidNoticeAbstractUI.aspx?menuIndex=3&amp;refID=7148715&amp;Result=3","7148715")</f>
        <v>0</v>
      </c>
      <c r="B10633" t="s">
        <v>3234</v>
      </c>
      <c r="C10633" t="s">
        <v>13897</v>
      </c>
      <c r="D10633" t="s">
        <v>19091</v>
      </c>
      <c r="E10633" t="s">
        <v>27813</v>
      </c>
      <c r="F10633" t="s">
        <v>32831</v>
      </c>
      <c r="G10633" t="s">
        <v>32845</v>
      </c>
      <c r="H10633" t="s">
        <v>32849</v>
      </c>
      <c r="I10633" t="s">
        <v>4177</v>
      </c>
      <c r="J10633" t="s">
        <v>39526</v>
      </c>
      <c r="K10633" t="s">
        <v>42763</v>
      </c>
      <c r="M10633" t="s">
        <v>46549</v>
      </c>
      <c r="N10633" t="s">
        <v>47424</v>
      </c>
      <c r="O10633" t="s">
        <v>47425</v>
      </c>
      <c r="P10633">
        <v>0</v>
      </c>
      <c r="Q10633">
        <v>9</v>
      </c>
      <c r="R10633" t="s">
        <v>47435</v>
      </c>
      <c r="S10633" t="s">
        <v>47701</v>
      </c>
      <c r="T10633" t="s">
        <v>49464</v>
      </c>
      <c r="U10633" t="s">
        <v>58422</v>
      </c>
      <c r="W10633" t="s">
        <v>46549</v>
      </c>
      <c r="X10633" t="s">
        <v>47436</v>
      </c>
    </row>
    <row r="10634" spans="1:24">
      <c r="A10634">
        <f>HYPERLINK("https://www.philgeps.gov.ph/GEPSNONPILOT/Tender/SplashBidNoticeAbstractUI.aspx?menuIndex=3&amp;refID=7132953&amp;Result=3","7132953")</f>
        <v>0</v>
      </c>
      <c r="B10634" t="s">
        <v>3235</v>
      </c>
      <c r="C10634" t="s">
        <v>13898</v>
      </c>
      <c r="D10634" t="s">
        <v>19044</v>
      </c>
      <c r="E10634" t="s">
        <v>28242</v>
      </c>
      <c r="F10634" t="s">
        <v>32831</v>
      </c>
      <c r="G10634" t="s">
        <v>32839</v>
      </c>
      <c r="H10634" t="s">
        <v>32848</v>
      </c>
      <c r="I10634" t="s">
        <v>7416</v>
      </c>
      <c r="J10634" t="s">
        <v>33044</v>
      </c>
      <c r="K10634" t="s">
        <v>42730</v>
      </c>
      <c r="M10634" t="s">
        <v>46550</v>
      </c>
      <c r="N10634" t="s">
        <v>47424</v>
      </c>
      <c r="O10634" t="s">
        <v>47425</v>
      </c>
      <c r="P10634">
        <v>0</v>
      </c>
      <c r="Q10634">
        <v>0</v>
      </c>
      <c r="R10634" t="s">
        <v>47436</v>
      </c>
      <c r="S10634" t="s">
        <v>47702</v>
      </c>
      <c r="T10634" t="s">
        <v>49243</v>
      </c>
      <c r="U10634" t="s">
        <v>58423</v>
      </c>
      <c r="W10634" t="s">
        <v>46550</v>
      </c>
      <c r="X10634" t="s">
        <v>47444</v>
      </c>
    </row>
    <row r="10635" spans="1:24">
      <c r="A10635">
        <f>HYPERLINK("https://www.philgeps.gov.ph/GEPSNONPILOT/Tender/SplashBidNoticeAbstractUI.aspx?menuIndex=3&amp;refID=7148863&amp;Result=3","7148863")</f>
        <v>0</v>
      </c>
      <c r="B10635" t="s">
        <v>1118</v>
      </c>
      <c r="C10635" t="s">
        <v>13899</v>
      </c>
      <c r="D10635" t="s">
        <v>19060</v>
      </c>
      <c r="E10635" t="s">
        <v>28243</v>
      </c>
      <c r="F10635" t="s">
        <v>32831</v>
      </c>
      <c r="G10635" t="s">
        <v>32838</v>
      </c>
      <c r="H10635" t="s">
        <v>32848</v>
      </c>
      <c r="I10635" t="s">
        <v>32864</v>
      </c>
      <c r="J10635" t="s">
        <v>39527</v>
      </c>
      <c r="K10635" t="s">
        <v>42726</v>
      </c>
      <c r="M10635" t="s">
        <v>44178</v>
      </c>
      <c r="N10635" t="s">
        <v>47424</v>
      </c>
      <c r="O10635" t="s">
        <v>47425</v>
      </c>
      <c r="P10635">
        <v>0</v>
      </c>
      <c r="Q10635">
        <v>0</v>
      </c>
      <c r="R10635" t="s">
        <v>47435</v>
      </c>
      <c r="S10635" t="s">
        <v>47701</v>
      </c>
      <c r="T10635" t="s">
        <v>49166</v>
      </c>
      <c r="U10635" t="s">
        <v>58424</v>
      </c>
      <c r="W10635" t="s">
        <v>44178</v>
      </c>
      <c r="X10635" t="s">
        <v>47436</v>
      </c>
    </row>
    <row r="10636" spans="1:24">
      <c r="A10636">
        <f>HYPERLINK("https://www.philgeps.gov.ph/GEPSNONPILOT/Tender/SplashBidNoticeAbstractUI.aspx?menuIndex=3&amp;refID=7148705&amp;Result=3","7148705")</f>
        <v>0</v>
      </c>
      <c r="B10636" t="s">
        <v>3234</v>
      </c>
      <c r="C10636" t="s">
        <v>13900</v>
      </c>
      <c r="D10636" t="s">
        <v>19091</v>
      </c>
      <c r="E10636" t="s">
        <v>27769</v>
      </c>
      <c r="F10636" t="s">
        <v>32831</v>
      </c>
      <c r="G10636" t="s">
        <v>32845</v>
      </c>
      <c r="H10636" t="s">
        <v>32849</v>
      </c>
      <c r="I10636" t="s">
        <v>4177</v>
      </c>
      <c r="J10636" t="s">
        <v>39528</v>
      </c>
      <c r="K10636" t="s">
        <v>42757</v>
      </c>
      <c r="M10636" t="s">
        <v>46549</v>
      </c>
      <c r="N10636" t="s">
        <v>47424</v>
      </c>
      <c r="O10636" t="s">
        <v>47425</v>
      </c>
      <c r="P10636">
        <v>0</v>
      </c>
      <c r="Q10636">
        <v>9</v>
      </c>
      <c r="R10636" t="s">
        <v>47435</v>
      </c>
      <c r="S10636" t="s">
        <v>47701</v>
      </c>
      <c r="T10636" t="s">
        <v>49394</v>
      </c>
      <c r="U10636" t="s">
        <v>58425</v>
      </c>
      <c r="W10636" t="s">
        <v>46549</v>
      </c>
      <c r="X10636" t="s">
        <v>47436</v>
      </c>
    </row>
    <row r="10637" spans="1:24">
      <c r="A10637">
        <f>HYPERLINK("https://www.philgeps.gov.ph/GEPSNONPILOT/Tender/SplashBidNoticeAbstractUI.aspx?menuIndex=3&amp;refID=7148684&amp;Result=3","7148684")</f>
        <v>0</v>
      </c>
      <c r="B10637" t="s">
        <v>3236</v>
      </c>
      <c r="C10637" t="s">
        <v>8764</v>
      </c>
      <c r="D10637" t="s">
        <v>19024</v>
      </c>
      <c r="E10637" t="s">
        <v>28244</v>
      </c>
      <c r="F10637" t="s">
        <v>32831</v>
      </c>
      <c r="G10637" t="s">
        <v>32839</v>
      </c>
      <c r="H10637" t="s">
        <v>32848</v>
      </c>
      <c r="I10637" t="s">
        <v>4471</v>
      </c>
      <c r="J10637" t="s">
        <v>39529</v>
      </c>
      <c r="K10637" t="s">
        <v>42727</v>
      </c>
      <c r="M10637" t="s">
        <v>46551</v>
      </c>
      <c r="N10637" t="s">
        <v>47424</v>
      </c>
      <c r="O10637" t="s">
        <v>47425</v>
      </c>
      <c r="P10637">
        <v>0</v>
      </c>
      <c r="Q10637">
        <v>0</v>
      </c>
      <c r="R10637" t="s">
        <v>47435</v>
      </c>
      <c r="S10637" t="s">
        <v>47701</v>
      </c>
      <c r="T10637" t="s">
        <v>49129</v>
      </c>
      <c r="U10637" t="s">
        <v>58426</v>
      </c>
      <c r="W10637" t="s">
        <v>46551</v>
      </c>
      <c r="X10637" t="s">
        <v>47436</v>
      </c>
    </row>
    <row r="10638" spans="1:24">
      <c r="A10638">
        <f>HYPERLINK("https://www.philgeps.gov.ph/GEPSNONPILOT/Tender/SplashBidNoticeAbstractUI.aspx?menuIndex=3&amp;refID=7148865&amp;Result=3","7148865")</f>
        <v>0</v>
      </c>
      <c r="B10638" t="s">
        <v>1118</v>
      </c>
      <c r="C10638" t="s">
        <v>6362</v>
      </c>
      <c r="D10638" t="s">
        <v>19060</v>
      </c>
      <c r="E10638" t="s">
        <v>28245</v>
      </c>
      <c r="F10638" t="s">
        <v>32831</v>
      </c>
      <c r="G10638" t="s">
        <v>32838</v>
      </c>
      <c r="H10638" t="s">
        <v>32848</v>
      </c>
      <c r="I10638" t="s">
        <v>32857</v>
      </c>
      <c r="J10638" t="s">
        <v>39530</v>
      </c>
      <c r="K10638" t="s">
        <v>42726</v>
      </c>
      <c r="M10638" t="s">
        <v>44178</v>
      </c>
      <c r="N10638" t="s">
        <v>47424</v>
      </c>
      <c r="O10638" t="s">
        <v>47425</v>
      </c>
      <c r="P10638">
        <v>0</v>
      </c>
      <c r="Q10638">
        <v>1</v>
      </c>
      <c r="R10638" t="s">
        <v>47435</v>
      </c>
      <c r="S10638" t="s">
        <v>47701</v>
      </c>
      <c r="T10638" t="s">
        <v>49166</v>
      </c>
      <c r="U10638" t="s">
        <v>58427</v>
      </c>
      <c r="W10638" t="s">
        <v>44178</v>
      </c>
      <c r="X10638" t="s">
        <v>47436</v>
      </c>
    </row>
    <row r="10639" spans="1:24">
      <c r="A10639">
        <f>HYPERLINK("https://www.philgeps.gov.ph/GEPSNONPILOT/Tender/SplashBidNoticeAbstractUI.aspx?menuIndex=3&amp;refID=7148831&amp;Result=3","7148831")</f>
        <v>0</v>
      </c>
      <c r="B10639" t="s">
        <v>1118</v>
      </c>
      <c r="C10639" t="s">
        <v>13901</v>
      </c>
      <c r="D10639" t="s">
        <v>19060</v>
      </c>
      <c r="E10639" t="s">
        <v>28246</v>
      </c>
      <c r="F10639" t="s">
        <v>32831</v>
      </c>
      <c r="G10639" t="s">
        <v>32841</v>
      </c>
      <c r="H10639" t="s">
        <v>32848</v>
      </c>
      <c r="I10639" t="s">
        <v>32929</v>
      </c>
      <c r="J10639" t="s">
        <v>32980</v>
      </c>
      <c r="K10639" t="s">
        <v>42726</v>
      </c>
      <c r="M10639" t="s">
        <v>44178</v>
      </c>
      <c r="N10639" t="s">
        <v>47424</v>
      </c>
      <c r="O10639" t="s">
        <v>47425</v>
      </c>
      <c r="P10639">
        <v>0</v>
      </c>
      <c r="Q10639">
        <v>0</v>
      </c>
      <c r="R10639" t="s">
        <v>47435</v>
      </c>
      <c r="S10639" t="s">
        <v>47701</v>
      </c>
      <c r="T10639" t="s">
        <v>49166</v>
      </c>
      <c r="U10639" t="s">
        <v>58428</v>
      </c>
      <c r="W10639" t="s">
        <v>44178</v>
      </c>
      <c r="X10639" t="s">
        <v>47436</v>
      </c>
    </row>
    <row r="10640" spans="1:24">
      <c r="A10640">
        <f>HYPERLINK("https://www.philgeps.gov.ph/GEPSNONPILOT/Tender/SplashBidNoticeAbstractUI.aspx?menuIndex=3&amp;refID=7148828&amp;Result=3","7148828")</f>
        <v>0</v>
      </c>
      <c r="B10640" t="s">
        <v>3237</v>
      </c>
      <c r="C10640" t="s">
        <v>13902</v>
      </c>
      <c r="D10640" t="s">
        <v>19042</v>
      </c>
      <c r="E10640" t="s">
        <v>19211</v>
      </c>
      <c r="F10640" t="s">
        <v>32831</v>
      </c>
      <c r="G10640" t="s">
        <v>32839</v>
      </c>
      <c r="H10640" t="s">
        <v>32848</v>
      </c>
      <c r="I10640" t="s">
        <v>7416</v>
      </c>
      <c r="J10640" t="s">
        <v>39531</v>
      </c>
      <c r="K10640" t="s">
        <v>42730</v>
      </c>
      <c r="M10640" t="s">
        <v>46552</v>
      </c>
      <c r="N10640" t="s">
        <v>47424</v>
      </c>
      <c r="O10640" t="s">
        <v>47425</v>
      </c>
      <c r="P10640">
        <v>0</v>
      </c>
      <c r="Q10640">
        <v>2</v>
      </c>
      <c r="R10640" t="s">
        <v>47435</v>
      </c>
      <c r="S10640" t="s">
        <v>47701</v>
      </c>
      <c r="T10640" t="s">
        <v>49114</v>
      </c>
      <c r="U10640" t="s">
        <v>58429</v>
      </c>
      <c r="W10640" t="s">
        <v>46552</v>
      </c>
      <c r="X10640" t="s">
        <v>47436</v>
      </c>
    </row>
    <row r="10641" spans="1:24">
      <c r="A10641">
        <f>HYPERLINK("https://www.philgeps.gov.ph/GEPSNONPILOT/Tender/SplashBidNoticeAbstractUI.aspx?menuIndex=3&amp;refID=7148846&amp;Result=3","7148846")</f>
        <v>0</v>
      </c>
      <c r="B10641" t="s">
        <v>1118</v>
      </c>
      <c r="C10641" t="s">
        <v>9480</v>
      </c>
      <c r="D10641" t="s">
        <v>19060</v>
      </c>
      <c r="E10641" t="s">
        <v>28247</v>
      </c>
      <c r="F10641" t="s">
        <v>32831</v>
      </c>
      <c r="G10641" t="s">
        <v>32838</v>
      </c>
      <c r="H10641" t="s">
        <v>32848</v>
      </c>
      <c r="I10641" t="s">
        <v>4558</v>
      </c>
      <c r="J10641" t="s">
        <v>39532</v>
      </c>
      <c r="K10641" t="s">
        <v>42726</v>
      </c>
      <c r="M10641" t="s">
        <v>44178</v>
      </c>
      <c r="N10641" t="s">
        <v>47424</v>
      </c>
      <c r="O10641" t="s">
        <v>47425</v>
      </c>
      <c r="P10641">
        <v>0</v>
      </c>
      <c r="Q10641">
        <v>1</v>
      </c>
      <c r="R10641" t="s">
        <v>47435</v>
      </c>
      <c r="S10641" t="s">
        <v>47701</v>
      </c>
      <c r="T10641" t="s">
        <v>49166</v>
      </c>
      <c r="U10641" t="s">
        <v>58430</v>
      </c>
      <c r="W10641" t="s">
        <v>44178</v>
      </c>
      <c r="X10641" t="s">
        <v>47436</v>
      </c>
    </row>
    <row r="10642" spans="1:24">
      <c r="A10642">
        <f>HYPERLINK("https://www.philgeps.gov.ph/GEPSNONPILOT/Tender/SplashBidNoticeAbstractUI.aspx?menuIndex=3&amp;refID=7148825&amp;Result=3","7148825")</f>
        <v>0</v>
      </c>
      <c r="B10642" t="s">
        <v>2220</v>
      </c>
      <c r="C10642" t="s">
        <v>13903</v>
      </c>
      <c r="D10642" t="s">
        <v>19062</v>
      </c>
      <c r="E10642" t="s">
        <v>28248</v>
      </c>
      <c r="F10642" t="s">
        <v>32831</v>
      </c>
      <c r="G10642" t="s">
        <v>32839</v>
      </c>
      <c r="H10642" t="s">
        <v>32848</v>
      </c>
      <c r="I10642" t="s">
        <v>4776</v>
      </c>
      <c r="J10642" t="s">
        <v>33561</v>
      </c>
      <c r="K10642" t="s">
        <v>42730</v>
      </c>
      <c r="M10642" t="s">
        <v>45400</v>
      </c>
      <c r="N10642" t="s">
        <v>47424</v>
      </c>
      <c r="O10642" t="s">
        <v>47425</v>
      </c>
      <c r="P10642">
        <v>0</v>
      </c>
      <c r="Q10642">
        <v>9</v>
      </c>
      <c r="R10642" t="s">
        <v>47435</v>
      </c>
      <c r="S10642" t="s">
        <v>47701</v>
      </c>
      <c r="T10642" t="s">
        <v>49214</v>
      </c>
      <c r="U10642" t="s">
        <v>54865</v>
      </c>
      <c r="W10642" t="s">
        <v>45400</v>
      </c>
      <c r="X10642" t="s">
        <v>47436</v>
      </c>
    </row>
    <row r="10643" spans="1:24">
      <c r="A10643">
        <f>HYPERLINK("https://www.philgeps.gov.ph/GEPSNONPILOT/Tender/SplashBidNoticeAbstractUI.aspx?menuIndex=3&amp;refID=7148824&amp;Result=3","7148824")</f>
        <v>0</v>
      </c>
      <c r="B10643" t="s">
        <v>1118</v>
      </c>
      <c r="C10643" t="s">
        <v>13904</v>
      </c>
      <c r="D10643" t="s">
        <v>19060</v>
      </c>
      <c r="E10643" t="s">
        <v>28249</v>
      </c>
      <c r="F10643" t="s">
        <v>32831</v>
      </c>
      <c r="G10643" t="s">
        <v>32838</v>
      </c>
      <c r="H10643" t="s">
        <v>32848</v>
      </c>
      <c r="I10643" t="s">
        <v>4487</v>
      </c>
      <c r="J10643" t="s">
        <v>39533</v>
      </c>
      <c r="K10643" t="s">
        <v>42726</v>
      </c>
      <c r="M10643" t="s">
        <v>44178</v>
      </c>
      <c r="N10643" t="s">
        <v>47424</v>
      </c>
      <c r="O10643" t="s">
        <v>47425</v>
      </c>
      <c r="P10643">
        <v>0</v>
      </c>
      <c r="Q10643">
        <v>2</v>
      </c>
      <c r="R10643" t="s">
        <v>47435</v>
      </c>
      <c r="S10643" t="s">
        <v>47701</v>
      </c>
      <c r="T10643" t="s">
        <v>49166</v>
      </c>
      <c r="U10643" t="s">
        <v>58431</v>
      </c>
      <c r="W10643" t="s">
        <v>44178</v>
      </c>
      <c r="X10643" t="s">
        <v>47436</v>
      </c>
    </row>
    <row r="10644" spans="1:24">
      <c r="A10644">
        <f>HYPERLINK("https://www.philgeps.gov.ph/GEPSNONPILOT/Tender/SplashBidNoticeAbstractUI.aspx?menuIndex=3&amp;refID=7148834&amp;Result=3","7148834")</f>
        <v>0</v>
      </c>
      <c r="B10644" t="s">
        <v>1118</v>
      </c>
      <c r="C10644" t="s">
        <v>5428</v>
      </c>
      <c r="D10644" t="s">
        <v>19060</v>
      </c>
      <c r="E10644" t="s">
        <v>28250</v>
      </c>
      <c r="F10644" t="s">
        <v>32831</v>
      </c>
      <c r="G10644" t="s">
        <v>32838</v>
      </c>
      <c r="H10644" t="s">
        <v>32848</v>
      </c>
      <c r="I10644" t="s">
        <v>32870</v>
      </c>
      <c r="J10644" t="s">
        <v>33692</v>
      </c>
      <c r="K10644" t="s">
        <v>42726</v>
      </c>
      <c r="M10644" t="s">
        <v>44178</v>
      </c>
      <c r="N10644" t="s">
        <v>47424</v>
      </c>
      <c r="O10644" t="s">
        <v>47425</v>
      </c>
      <c r="P10644">
        <v>0</v>
      </c>
      <c r="Q10644">
        <v>0</v>
      </c>
      <c r="R10644" t="s">
        <v>47435</v>
      </c>
      <c r="S10644" t="s">
        <v>47701</v>
      </c>
      <c r="T10644" t="s">
        <v>49166</v>
      </c>
      <c r="U10644" t="s">
        <v>58432</v>
      </c>
      <c r="W10644" t="s">
        <v>44178</v>
      </c>
      <c r="X10644" t="s">
        <v>47436</v>
      </c>
    </row>
    <row r="10645" spans="1:24">
      <c r="A10645">
        <f>HYPERLINK("https://www.philgeps.gov.ph/GEPSNONPILOT/Tender/SplashBidNoticeAbstractUI.aspx?menuIndex=3&amp;refID=7148823&amp;Result=3","7148823")</f>
        <v>0</v>
      </c>
      <c r="B10645" t="s">
        <v>2220</v>
      </c>
      <c r="C10645" t="s">
        <v>13905</v>
      </c>
      <c r="D10645" t="s">
        <v>19062</v>
      </c>
      <c r="E10645" t="s">
        <v>28251</v>
      </c>
      <c r="F10645" t="s">
        <v>32831</v>
      </c>
      <c r="G10645" t="s">
        <v>32839</v>
      </c>
      <c r="H10645" t="s">
        <v>32848</v>
      </c>
      <c r="I10645" t="s">
        <v>32876</v>
      </c>
      <c r="J10645" t="s">
        <v>33561</v>
      </c>
      <c r="K10645" t="s">
        <v>42730</v>
      </c>
      <c r="M10645" t="s">
        <v>45400</v>
      </c>
      <c r="N10645" t="s">
        <v>47424</v>
      </c>
      <c r="O10645" t="s">
        <v>47425</v>
      </c>
      <c r="P10645">
        <v>0</v>
      </c>
      <c r="Q10645">
        <v>18</v>
      </c>
      <c r="R10645" t="s">
        <v>47435</v>
      </c>
      <c r="S10645" t="s">
        <v>47701</v>
      </c>
      <c r="T10645" t="s">
        <v>49377</v>
      </c>
      <c r="U10645" t="s">
        <v>54865</v>
      </c>
      <c r="W10645" t="s">
        <v>45400</v>
      </c>
      <c r="X10645" t="s">
        <v>47436</v>
      </c>
    </row>
    <row r="10646" spans="1:24">
      <c r="A10646">
        <f>HYPERLINK("https://www.philgeps.gov.ph/GEPSNONPILOT/Tender/SplashBidNoticeAbstractUI.aspx?menuIndex=3&amp;refID=7148821&amp;Result=3","7148821")</f>
        <v>0</v>
      </c>
      <c r="B10646" t="s">
        <v>1118</v>
      </c>
      <c r="C10646" t="s">
        <v>13906</v>
      </c>
      <c r="D10646" t="s">
        <v>19060</v>
      </c>
      <c r="E10646" t="s">
        <v>28252</v>
      </c>
      <c r="F10646" t="s">
        <v>32831</v>
      </c>
      <c r="G10646" t="s">
        <v>32838</v>
      </c>
      <c r="H10646" t="s">
        <v>32848</v>
      </c>
      <c r="I10646" t="s">
        <v>4340</v>
      </c>
      <c r="J10646" t="s">
        <v>39534</v>
      </c>
      <c r="K10646" t="s">
        <v>42726</v>
      </c>
      <c r="M10646" t="s">
        <v>44178</v>
      </c>
      <c r="N10646" t="s">
        <v>47424</v>
      </c>
      <c r="O10646" t="s">
        <v>47425</v>
      </c>
      <c r="P10646">
        <v>0</v>
      </c>
      <c r="Q10646">
        <v>0</v>
      </c>
      <c r="R10646" t="s">
        <v>47435</v>
      </c>
      <c r="S10646" t="s">
        <v>47701</v>
      </c>
      <c r="T10646" t="s">
        <v>49166</v>
      </c>
      <c r="U10646" t="s">
        <v>58433</v>
      </c>
      <c r="W10646" t="s">
        <v>44178</v>
      </c>
      <c r="X10646" t="s">
        <v>47436</v>
      </c>
    </row>
    <row r="10647" spans="1:24">
      <c r="A10647">
        <f>HYPERLINK("https://www.philgeps.gov.ph/GEPSNONPILOT/Tender/SplashBidNoticeAbstractUI.aspx?menuIndex=3&amp;refID=7145670&amp;Result=3","7145670")</f>
        <v>0</v>
      </c>
      <c r="B10647" t="s">
        <v>3238</v>
      </c>
      <c r="C10647" t="s">
        <v>13907</v>
      </c>
      <c r="D10647" t="s">
        <v>19086</v>
      </c>
      <c r="E10647" t="s">
        <v>28253</v>
      </c>
      <c r="F10647" t="s">
        <v>32831</v>
      </c>
      <c r="G10647" t="s">
        <v>32839</v>
      </c>
      <c r="H10647" t="s">
        <v>32849</v>
      </c>
      <c r="I10647" t="s">
        <v>4177</v>
      </c>
      <c r="J10647" t="s">
        <v>35473</v>
      </c>
      <c r="K10647" t="s">
        <v>42780</v>
      </c>
      <c r="M10647" t="s">
        <v>46553</v>
      </c>
      <c r="N10647" t="s">
        <v>47424</v>
      </c>
      <c r="O10647" t="s">
        <v>47425</v>
      </c>
      <c r="P10647">
        <v>0</v>
      </c>
      <c r="Q10647">
        <v>5</v>
      </c>
      <c r="R10647" t="s">
        <v>47436</v>
      </c>
      <c r="S10647" t="s">
        <v>47702</v>
      </c>
      <c r="T10647" t="s">
        <v>49080</v>
      </c>
      <c r="U10647" t="s">
        <v>58434</v>
      </c>
      <c r="W10647" t="s">
        <v>46553</v>
      </c>
      <c r="X10647" t="s">
        <v>47438</v>
      </c>
    </row>
    <row r="10648" spans="1:24">
      <c r="A10648">
        <f>HYPERLINK("https://www.philgeps.gov.ph/GEPSNONPILOT/Tender/SplashBidNoticeAbstractUI.aspx?menuIndex=3&amp;refID=7148855&amp;Result=3","7148855")</f>
        <v>0</v>
      </c>
      <c r="B10648" t="s">
        <v>1118</v>
      </c>
      <c r="C10648" t="s">
        <v>9480</v>
      </c>
      <c r="D10648" t="s">
        <v>19060</v>
      </c>
      <c r="E10648" t="s">
        <v>28254</v>
      </c>
      <c r="F10648" t="s">
        <v>32831</v>
      </c>
      <c r="G10648" t="s">
        <v>32838</v>
      </c>
      <c r="H10648" t="s">
        <v>32848</v>
      </c>
      <c r="I10648" t="s">
        <v>4558</v>
      </c>
      <c r="J10648" t="s">
        <v>39535</v>
      </c>
      <c r="K10648" t="s">
        <v>42726</v>
      </c>
      <c r="M10648" t="s">
        <v>44178</v>
      </c>
      <c r="N10648" t="s">
        <v>47424</v>
      </c>
      <c r="O10648" t="s">
        <v>47425</v>
      </c>
      <c r="P10648">
        <v>0</v>
      </c>
      <c r="Q10648">
        <v>1</v>
      </c>
      <c r="R10648" t="s">
        <v>47435</v>
      </c>
      <c r="S10648" t="s">
        <v>47701</v>
      </c>
      <c r="T10648" t="s">
        <v>49166</v>
      </c>
      <c r="U10648" t="s">
        <v>58435</v>
      </c>
      <c r="W10648" t="s">
        <v>44178</v>
      </c>
      <c r="X10648" t="s">
        <v>47436</v>
      </c>
    </row>
    <row r="10649" spans="1:24">
      <c r="A10649">
        <f>HYPERLINK("https://www.philgeps.gov.ph/GEPSNONPILOT/Tender/SplashBidNoticeAbstractUI.aspx?menuIndex=3&amp;refID=7148227&amp;Result=3","7148227")</f>
        <v>0</v>
      </c>
      <c r="B10649" t="s">
        <v>3239</v>
      </c>
      <c r="C10649" t="s">
        <v>13908</v>
      </c>
      <c r="D10649" t="s">
        <v>19033</v>
      </c>
      <c r="E10649" t="s">
        <v>20926</v>
      </c>
      <c r="F10649" t="s">
        <v>32833</v>
      </c>
      <c r="G10649" t="s">
        <v>32839</v>
      </c>
      <c r="H10649" t="s">
        <v>32848</v>
      </c>
      <c r="I10649" t="s">
        <v>32856</v>
      </c>
      <c r="J10649" t="s">
        <v>32980</v>
      </c>
      <c r="K10649" t="s">
        <v>42726</v>
      </c>
      <c r="M10649" t="s">
        <v>46554</v>
      </c>
      <c r="N10649" t="s">
        <v>47424</v>
      </c>
      <c r="O10649" t="s">
        <v>47425</v>
      </c>
      <c r="P10649">
        <v>0</v>
      </c>
      <c r="Q10649">
        <v>3</v>
      </c>
      <c r="R10649" t="s">
        <v>47436</v>
      </c>
      <c r="S10649" t="s">
        <v>47702</v>
      </c>
      <c r="T10649" t="s">
        <v>49073</v>
      </c>
      <c r="U10649" t="s">
        <v>58436</v>
      </c>
      <c r="V10649" t="s">
        <v>63787</v>
      </c>
      <c r="W10649" t="s">
        <v>46554</v>
      </c>
      <c r="X10649" t="s">
        <v>47437</v>
      </c>
    </row>
    <row r="10650" spans="1:24">
      <c r="A10650">
        <f>HYPERLINK("https://www.philgeps.gov.ph/GEPSNONPILOT/Tender/SplashBidNoticeAbstractUI.aspx?menuIndex=3&amp;refID=7148225&amp;Result=3","7148225")</f>
        <v>0</v>
      </c>
      <c r="B10650" t="s">
        <v>3240</v>
      </c>
      <c r="C10650" t="s">
        <v>13909</v>
      </c>
      <c r="D10650" t="s">
        <v>19017</v>
      </c>
      <c r="E10650" t="s">
        <v>28255</v>
      </c>
      <c r="F10650" t="s">
        <v>32831</v>
      </c>
      <c r="G10650" t="s">
        <v>32839</v>
      </c>
      <c r="H10650" t="s">
        <v>32848</v>
      </c>
      <c r="I10650" t="s">
        <v>32905</v>
      </c>
      <c r="J10650" t="s">
        <v>39536</v>
      </c>
      <c r="K10650" t="s">
        <v>42738</v>
      </c>
      <c r="M10650" t="s">
        <v>46555</v>
      </c>
      <c r="N10650" t="s">
        <v>47424</v>
      </c>
      <c r="O10650" t="s">
        <v>47425</v>
      </c>
      <c r="Q10650">
        <v>7</v>
      </c>
      <c r="R10650" t="s">
        <v>47436</v>
      </c>
      <c r="S10650" t="s">
        <v>47703</v>
      </c>
      <c r="T10650" t="s">
        <v>49112</v>
      </c>
      <c r="U10650" t="s">
        <v>58437</v>
      </c>
      <c r="W10650" t="s">
        <v>46555</v>
      </c>
      <c r="X10650" t="s">
        <v>47437</v>
      </c>
    </row>
    <row r="10651" spans="1:24">
      <c r="A10651">
        <f>HYPERLINK("https://www.philgeps.gov.ph/GEPSNONPILOT/Tender/SplashBidNoticeAbstractUI.aspx?menuIndex=3&amp;refID=7148215&amp;Result=3","7148215")</f>
        <v>0</v>
      </c>
      <c r="B10651" t="s">
        <v>3241</v>
      </c>
      <c r="C10651" t="s">
        <v>13910</v>
      </c>
      <c r="D10651" t="s">
        <v>19057</v>
      </c>
      <c r="E10651" t="s">
        <v>28256</v>
      </c>
      <c r="F10651" t="s">
        <v>32831</v>
      </c>
      <c r="G10651" t="s">
        <v>32839</v>
      </c>
      <c r="H10651" t="s">
        <v>32849</v>
      </c>
      <c r="I10651" t="s">
        <v>4177</v>
      </c>
      <c r="J10651" t="s">
        <v>39537</v>
      </c>
      <c r="K10651" t="s">
        <v>42730</v>
      </c>
      <c r="M10651" t="s">
        <v>46556</v>
      </c>
      <c r="N10651" t="s">
        <v>47424</v>
      </c>
      <c r="O10651" t="s">
        <v>47425</v>
      </c>
      <c r="P10651">
        <v>0</v>
      </c>
      <c r="Q10651">
        <v>3</v>
      </c>
      <c r="R10651" t="s">
        <v>47436</v>
      </c>
      <c r="S10651" t="s">
        <v>47702</v>
      </c>
      <c r="T10651" t="s">
        <v>49129</v>
      </c>
      <c r="U10651" t="s">
        <v>58438</v>
      </c>
      <c r="W10651" t="s">
        <v>46556</v>
      </c>
      <c r="X10651" t="s">
        <v>47437</v>
      </c>
    </row>
    <row r="10652" spans="1:24">
      <c r="A10652">
        <f>HYPERLINK("https://www.philgeps.gov.ph/GEPSNONPILOT/Tender/SplashBidNoticeAbstractUI.aspx?menuIndex=3&amp;refID=7148818&amp;Result=3","7148818")</f>
        <v>0</v>
      </c>
      <c r="B10652" t="s">
        <v>1118</v>
      </c>
      <c r="C10652" t="s">
        <v>13790</v>
      </c>
      <c r="D10652" t="s">
        <v>19060</v>
      </c>
      <c r="E10652" t="s">
        <v>28257</v>
      </c>
      <c r="F10652" t="s">
        <v>32831</v>
      </c>
      <c r="G10652" t="s">
        <v>32838</v>
      </c>
      <c r="H10652" t="s">
        <v>32848</v>
      </c>
      <c r="I10652" t="s">
        <v>32876</v>
      </c>
      <c r="J10652" t="s">
        <v>39538</v>
      </c>
      <c r="K10652" t="s">
        <v>42726</v>
      </c>
      <c r="M10652" t="s">
        <v>44178</v>
      </c>
      <c r="N10652" t="s">
        <v>47424</v>
      </c>
      <c r="O10652" t="s">
        <v>47425</v>
      </c>
      <c r="P10652">
        <v>0</v>
      </c>
      <c r="Q10652">
        <v>4</v>
      </c>
      <c r="R10652" t="s">
        <v>47435</v>
      </c>
      <c r="S10652" t="s">
        <v>47701</v>
      </c>
      <c r="T10652" t="s">
        <v>49166</v>
      </c>
      <c r="U10652" t="s">
        <v>58439</v>
      </c>
      <c r="W10652" t="s">
        <v>44178</v>
      </c>
      <c r="X10652" t="s">
        <v>47436</v>
      </c>
    </row>
    <row r="10653" spans="1:24">
      <c r="A10653">
        <f>HYPERLINK("https://www.philgeps.gov.ph/GEPSNONPILOT/Tender/SplashBidNoticeAbstractUI.aspx?menuIndex=3&amp;refID=7148200&amp;Result=3","7148200")</f>
        <v>0</v>
      </c>
      <c r="B10653" t="s">
        <v>3242</v>
      </c>
      <c r="C10653" t="s">
        <v>13911</v>
      </c>
      <c r="D10653" t="s">
        <v>19062</v>
      </c>
      <c r="E10653" t="s">
        <v>28258</v>
      </c>
      <c r="F10653" t="s">
        <v>32831</v>
      </c>
      <c r="G10653" t="s">
        <v>32839</v>
      </c>
      <c r="H10653" t="s">
        <v>32848</v>
      </c>
      <c r="I10653" t="s">
        <v>7416</v>
      </c>
      <c r="J10653" t="s">
        <v>39539</v>
      </c>
      <c r="K10653" t="s">
        <v>42731</v>
      </c>
      <c r="M10653" t="s">
        <v>46557</v>
      </c>
      <c r="N10653" t="s">
        <v>47424</v>
      </c>
      <c r="O10653" t="s">
        <v>47425</v>
      </c>
      <c r="P10653">
        <v>0</v>
      </c>
      <c r="Q10653">
        <v>1</v>
      </c>
      <c r="R10653" t="s">
        <v>47436</v>
      </c>
      <c r="S10653" t="s">
        <v>47702</v>
      </c>
      <c r="T10653" t="s">
        <v>49080</v>
      </c>
      <c r="U10653" t="s">
        <v>58440</v>
      </c>
      <c r="V10653" t="s">
        <v>63788</v>
      </c>
      <c r="W10653" t="s">
        <v>46557</v>
      </c>
      <c r="X10653" t="s">
        <v>47437</v>
      </c>
    </row>
    <row r="10654" spans="1:24">
      <c r="A10654">
        <f>HYPERLINK("https://www.philgeps.gov.ph/GEPSNONPILOT/Tender/SplashBidNoticeAbstractUI.aspx?menuIndex=3&amp;refID=7148232&amp;Result=3","7148232")</f>
        <v>0</v>
      </c>
      <c r="B10654" t="s">
        <v>3239</v>
      </c>
      <c r="C10654" t="s">
        <v>13912</v>
      </c>
      <c r="D10654" t="s">
        <v>19033</v>
      </c>
      <c r="E10654" t="s">
        <v>28213</v>
      </c>
      <c r="F10654" t="s">
        <v>32833</v>
      </c>
      <c r="G10654" t="s">
        <v>32839</v>
      </c>
      <c r="H10654" t="s">
        <v>32848</v>
      </c>
      <c r="I10654" t="s">
        <v>32883</v>
      </c>
      <c r="J10654" t="s">
        <v>32980</v>
      </c>
      <c r="K10654" t="s">
        <v>42726</v>
      </c>
      <c r="M10654" t="s">
        <v>46554</v>
      </c>
      <c r="N10654" t="s">
        <v>47424</v>
      </c>
      <c r="O10654" t="s">
        <v>47425</v>
      </c>
      <c r="P10654">
        <v>0</v>
      </c>
      <c r="Q10654">
        <v>1</v>
      </c>
      <c r="R10654" t="s">
        <v>47436</v>
      </c>
      <c r="S10654" t="s">
        <v>47702</v>
      </c>
      <c r="T10654" t="s">
        <v>49073</v>
      </c>
      <c r="U10654" t="s">
        <v>58441</v>
      </c>
      <c r="V10654" t="s">
        <v>63789</v>
      </c>
      <c r="W10654" t="s">
        <v>46554</v>
      </c>
      <c r="X10654" t="s">
        <v>47437</v>
      </c>
    </row>
    <row r="10655" spans="1:24">
      <c r="A10655">
        <f>HYPERLINK("https://www.philgeps.gov.ph/GEPSNONPILOT/Tender/SplashBidNoticeAbstractUI.aspx?menuIndex=3&amp;refID=7148183&amp;Result=3","7148183")</f>
        <v>0</v>
      </c>
      <c r="B10655" t="s">
        <v>3243</v>
      </c>
      <c r="C10655" t="s">
        <v>13913</v>
      </c>
      <c r="D10655" t="s">
        <v>19017</v>
      </c>
      <c r="E10655" t="s">
        <v>28259</v>
      </c>
      <c r="F10655" t="s">
        <v>32831</v>
      </c>
      <c r="G10655" t="s">
        <v>32839</v>
      </c>
      <c r="H10655" t="s">
        <v>32848</v>
      </c>
      <c r="I10655" t="s">
        <v>4438</v>
      </c>
      <c r="J10655" t="s">
        <v>39540</v>
      </c>
      <c r="K10655" t="s">
        <v>42731</v>
      </c>
      <c r="L10655" t="s">
        <v>3243</v>
      </c>
      <c r="M10655" t="s">
        <v>46558</v>
      </c>
      <c r="N10655" t="s">
        <v>47424</v>
      </c>
      <c r="O10655" t="s">
        <v>47425</v>
      </c>
      <c r="P10655">
        <v>0</v>
      </c>
      <c r="Q10655">
        <v>3</v>
      </c>
      <c r="R10655" t="s">
        <v>47436</v>
      </c>
      <c r="S10655" t="s">
        <v>47702</v>
      </c>
      <c r="T10655" t="s">
        <v>49243</v>
      </c>
      <c r="U10655" t="s">
        <v>58442</v>
      </c>
      <c r="V10655" t="s">
        <v>63790</v>
      </c>
      <c r="W10655" t="s">
        <v>46558</v>
      </c>
      <c r="X10655" t="s">
        <v>47437</v>
      </c>
    </row>
    <row r="10656" spans="1:24">
      <c r="A10656">
        <f>HYPERLINK("https://www.philgeps.gov.ph/GEPSNONPILOT/Tender/SplashBidNoticeAbstractUI.aspx?menuIndex=3&amp;refID=7148122&amp;Result=3","7148122")</f>
        <v>0</v>
      </c>
      <c r="B10656" t="s">
        <v>3244</v>
      </c>
      <c r="C10656" t="s">
        <v>13914</v>
      </c>
      <c r="D10656" t="s">
        <v>19045</v>
      </c>
      <c r="E10656" t="s">
        <v>28260</v>
      </c>
      <c r="F10656" t="s">
        <v>32831</v>
      </c>
      <c r="G10656" t="s">
        <v>32838</v>
      </c>
      <c r="H10656" t="s">
        <v>32848</v>
      </c>
      <c r="I10656" t="s">
        <v>32855</v>
      </c>
      <c r="J10656" t="s">
        <v>39541</v>
      </c>
      <c r="K10656" t="s">
        <v>42730</v>
      </c>
      <c r="M10656" t="s">
        <v>46559</v>
      </c>
      <c r="N10656" t="s">
        <v>47424</v>
      </c>
      <c r="O10656" t="s">
        <v>47425</v>
      </c>
      <c r="P10656">
        <v>0</v>
      </c>
      <c r="Q10656">
        <v>9</v>
      </c>
      <c r="R10656" t="s">
        <v>47436</v>
      </c>
      <c r="S10656" t="s">
        <v>47702</v>
      </c>
      <c r="T10656" t="s">
        <v>49111</v>
      </c>
      <c r="U10656" t="s">
        <v>58443</v>
      </c>
      <c r="W10656" t="s">
        <v>46559</v>
      </c>
      <c r="X10656" t="s">
        <v>47437</v>
      </c>
    </row>
    <row r="10657" spans="1:24">
      <c r="A10657">
        <f>HYPERLINK("https://www.philgeps.gov.ph/GEPSNONPILOT/Tender/SplashBidNoticeAbstractUI.aspx?menuIndex=3&amp;refID=7148121&amp;Result=3","7148121")</f>
        <v>0</v>
      </c>
      <c r="B10657" t="s">
        <v>3244</v>
      </c>
      <c r="C10657" t="s">
        <v>13915</v>
      </c>
      <c r="D10657" t="s">
        <v>19045</v>
      </c>
      <c r="E10657" t="s">
        <v>28261</v>
      </c>
      <c r="F10657" t="s">
        <v>32831</v>
      </c>
      <c r="G10657" t="s">
        <v>32838</v>
      </c>
      <c r="H10657" t="s">
        <v>32848</v>
      </c>
      <c r="I10657" t="s">
        <v>4435</v>
      </c>
      <c r="J10657" t="s">
        <v>33291</v>
      </c>
      <c r="K10657" t="s">
        <v>42730</v>
      </c>
      <c r="M10657" t="s">
        <v>46559</v>
      </c>
      <c r="N10657" t="s">
        <v>47424</v>
      </c>
      <c r="O10657" t="s">
        <v>47425</v>
      </c>
      <c r="P10657">
        <v>0</v>
      </c>
      <c r="Q10657">
        <v>1</v>
      </c>
      <c r="R10657" t="s">
        <v>47436</v>
      </c>
      <c r="S10657" t="s">
        <v>47702</v>
      </c>
      <c r="T10657" t="s">
        <v>49111</v>
      </c>
      <c r="U10657" t="s">
        <v>58444</v>
      </c>
      <c r="W10657" t="s">
        <v>46559</v>
      </c>
      <c r="X10657" t="s">
        <v>47437</v>
      </c>
    </row>
    <row r="10658" spans="1:24">
      <c r="A10658">
        <f>HYPERLINK("https://www.philgeps.gov.ph/GEPSNONPILOT/Tender/SplashBidNoticeAbstractUI.aspx?menuIndex=3&amp;refID=7148120&amp;Result=3","7148120")</f>
        <v>0</v>
      </c>
      <c r="B10658" t="s">
        <v>3244</v>
      </c>
      <c r="C10658" t="s">
        <v>13916</v>
      </c>
      <c r="D10658" t="s">
        <v>19045</v>
      </c>
      <c r="E10658" t="s">
        <v>28262</v>
      </c>
      <c r="F10658" t="s">
        <v>32831</v>
      </c>
      <c r="G10658" t="s">
        <v>32838</v>
      </c>
      <c r="H10658" t="s">
        <v>32848</v>
      </c>
      <c r="I10658" t="s">
        <v>32894</v>
      </c>
      <c r="J10658" t="s">
        <v>33510</v>
      </c>
      <c r="K10658" t="s">
        <v>42730</v>
      </c>
      <c r="M10658" t="s">
        <v>46559</v>
      </c>
      <c r="N10658" t="s">
        <v>47424</v>
      </c>
      <c r="O10658" t="s">
        <v>47425</v>
      </c>
      <c r="P10658">
        <v>0</v>
      </c>
      <c r="Q10658">
        <v>6</v>
      </c>
      <c r="R10658" t="s">
        <v>47436</v>
      </c>
      <c r="S10658" t="s">
        <v>47702</v>
      </c>
      <c r="T10658" t="s">
        <v>49111</v>
      </c>
      <c r="U10658" t="s">
        <v>58445</v>
      </c>
      <c r="W10658" t="s">
        <v>46559</v>
      </c>
      <c r="X10658" t="s">
        <v>47437</v>
      </c>
    </row>
    <row r="10659" spans="1:24">
      <c r="A10659">
        <f>HYPERLINK("https://www.philgeps.gov.ph/GEPSNONPILOT/Tender/SplashBidNoticeAbstractUI.aspx?menuIndex=3&amp;refID=7148112&amp;Result=3","7148112")</f>
        <v>0</v>
      </c>
      <c r="B10659" t="s">
        <v>1118</v>
      </c>
      <c r="C10659" t="s">
        <v>6346</v>
      </c>
      <c r="D10659" t="s">
        <v>19060</v>
      </c>
      <c r="E10659" t="s">
        <v>28263</v>
      </c>
      <c r="F10659" t="s">
        <v>32831</v>
      </c>
      <c r="G10659" t="s">
        <v>32838</v>
      </c>
      <c r="H10659" t="s">
        <v>32848</v>
      </c>
      <c r="I10659" t="s">
        <v>4340</v>
      </c>
      <c r="J10659" t="s">
        <v>39542</v>
      </c>
      <c r="K10659" t="s">
        <v>42726</v>
      </c>
      <c r="M10659" t="s">
        <v>44178</v>
      </c>
      <c r="N10659" t="s">
        <v>47424</v>
      </c>
      <c r="O10659" t="s">
        <v>47425</v>
      </c>
      <c r="P10659">
        <v>0</v>
      </c>
      <c r="Q10659">
        <v>0</v>
      </c>
      <c r="R10659" t="s">
        <v>47436</v>
      </c>
      <c r="S10659" t="s">
        <v>47702</v>
      </c>
      <c r="T10659" t="s">
        <v>49166</v>
      </c>
      <c r="U10659" t="s">
        <v>58446</v>
      </c>
      <c r="W10659" t="s">
        <v>44178</v>
      </c>
      <c r="X10659" t="s">
        <v>47437</v>
      </c>
    </row>
    <row r="10660" spans="1:24">
      <c r="A10660">
        <f>HYPERLINK("https://www.philgeps.gov.ph/GEPSNONPILOT/Tender/SplashBidNoticeAbstractUI.aspx?menuIndex=3&amp;refID=7148241&amp;Result=3","7148241")</f>
        <v>0</v>
      </c>
      <c r="B10660" t="s">
        <v>3245</v>
      </c>
      <c r="C10660" t="s">
        <v>13917</v>
      </c>
      <c r="D10660" t="s">
        <v>19061</v>
      </c>
      <c r="E10660" t="s">
        <v>28264</v>
      </c>
      <c r="F10660" t="s">
        <v>32831</v>
      </c>
      <c r="G10660" t="s">
        <v>32839</v>
      </c>
      <c r="H10660" t="s">
        <v>32849</v>
      </c>
      <c r="I10660" t="s">
        <v>4177</v>
      </c>
      <c r="J10660" t="s">
        <v>39543</v>
      </c>
      <c r="K10660" t="s">
        <v>42770</v>
      </c>
      <c r="M10660" t="s">
        <v>46560</v>
      </c>
      <c r="N10660" t="s">
        <v>47424</v>
      </c>
      <c r="O10660" t="s">
        <v>47425</v>
      </c>
      <c r="P10660">
        <v>0</v>
      </c>
      <c r="Q10660">
        <v>6</v>
      </c>
      <c r="R10660" t="s">
        <v>47436</v>
      </c>
      <c r="S10660" t="s">
        <v>47702</v>
      </c>
      <c r="T10660" t="s">
        <v>49173</v>
      </c>
      <c r="U10660" t="s">
        <v>58447</v>
      </c>
      <c r="W10660" t="s">
        <v>46560</v>
      </c>
      <c r="X10660" t="s">
        <v>47437</v>
      </c>
    </row>
    <row r="10661" spans="1:24">
      <c r="A10661">
        <f>HYPERLINK("https://www.philgeps.gov.ph/GEPSNONPILOT/Tender/SplashBidNoticeAbstractUI.aspx?menuIndex=3&amp;refID=7148860&amp;Result=3","7148860")</f>
        <v>0</v>
      </c>
      <c r="B10661" t="s">
        <v>1118</v>
      </c>
      <c r="C10661" t="s">
        <v>5428</v>
      </c>
      <c r="D10661" t="s">
        <v>19060</v>
      </c>
      <c r="E10661" t="s">
        <v>28265</v>
      </c>
      <c r="F10661" t="s">
        <v>32831</v>
      </c>
      <c r="G10661" t="s">
        <v>32838</v>
      </c>
      <c r="H10661" t="s">
        <v>32848</v>
      </c>
      <c r="I10661" t="s">
        <v>32870</v>
      </c>
      <c r="J10661" t="s">
        <v>33072</v>
      </c>
      <c r="K10661" t="s">
        <v>42726</v>
      </c>
      <c r="M10661" t="s">
        <v>44178</v>
      </c>
      <c r="N10661" t="s">
        <v>47424</v>
      </c>
      <c r="O10661" t="s">
        <v>47425</v>
      </c>
      <c r="P10661">
        <v>0</v>
      </c>
      <c r="Q10661">
        <v>0</v>
      </c>
      <c r="R10661" t="s">
        <v>47435</v>
      </c>
      <c r="S10661" t="s">
        <v>47701</v>
      </c>
      <c r="T10661" t="s">
        <v>49166</v>
      </c>
      <c r="U10661" t="s">
        <v>58448</v>
      </c>
      <c r="W10661" t="s">
        <v>44178</v>
      </c>
      <c r="X10661" t="s">
        <v>47436</v>
      </c>
    </row>
    <row r="10662" spans="1:24">
      <c r="A10662">
        <f>HYPERLINK("https://www.philgeps.gov.ph/GEPSNONPILOT/Tender/SplashBidNoticeAbstractUI.aspx?menuIndex=3&amp;refID=7148366&amp;Result=3","7148366")</f>
        <v>0</v>
      </c>
      <c r="B10662" t="s">
        <v>3246</v>
      </c>
      <c r="C10662" t="s">
        <v>13918</v>
      </c>
      <c r="D10662" t="s">
        <v>19038</v>
      </c>
      <c r="E10662" t="s">
        <v>28266</v>
      </c>
      <c r="F10662" t="s">
        <v>32831</v>
      </c>
      <c r="G10662" t="s">
        <v>32839</v>
      </c>
      <c r="H10662" t="s">
        <v>32849</v>
      </c>
      <c r="I10662" t="s">
        <v>4177</v>
      </c>
      <c r="J10662" t="s">
        <v>39544</v>
      </c>
      <c r="K10662" t="s">
        <v>42763</v>
      </c>
      <c r="M10662" t="s">
        <v>46561</v>
      </c>
      <c r="N10662" t="s">
        <v>47424</v>
      </c>
      <c r="O10662" t="s">
        <v>47425</v>
      </c>
      <c r="P10662">
        <v>0</v>
      </c>
      <c r="Q10662">
        <v>1</v>
      </c>
      <c r="R10662" t="s">
        <v>47436</v>
      </c>
      <c r="S10662" t="s">
        <v>47702</v>
      </c>
      <c r="T10662" t="s">
        <v>49162</v>
      </c>
      <c r="U10662" t="s">
        <v>58449</v>
      </c>
      <c r="W10662" t="s">
        <v>46561</v>
      </c>
      <c r="X10662" t="s">
        <v>47437</v>
      </c>
    </row>
    <row r="10663" spans="1:24">
      <c r="A10663">
        <f>HYPERLINK("https://www.philgeps.gov.ph/GEPSNONPILOT/Tender/SplashBidNoticeAbstractUI.aspx?menuIndex=3&amp;refID=7148172&amp;Result=3","7148172")</f>
        <v>0</v>
      </c>
      <c r="B10663" t="s">
        <v>3247</v>
      </c>
      <c r="C10663" t="s">
        <v>13919</v>
      </c>
      <c r="D10663" t="s">
        <v>19044</v>
      </c>
      <c r="E10663" t="s">
        <v>28267</v>
      </c>
      <c r="F10663" t="s">
        <v>32831</v>
      </c>
      <c r="G10663" t="s">
        <v>32839</v>
      </c>
      <c r="H10663" t="s">
        <v>32849</v>
      </c>
      <c r="I10663" t="s">
        <v>4177</v>
      </c>
      <c r="J10663" t="s">
        <v>32980</v>
      </c>
      <c r="K10663" t="s">
        <v>42747</v>
      </c>
      <c r="M10663" t="s">
        <v>46562</v>
      </c>
      <c r="N10663" t="s">
        <v>47424</v>
      </c>
      <c r="O10663" t="s">
        <v>47425</v>
      </c>
      <c r="P10663">
        <v>0</v>
      </c>
      <c r="Q10663">
        <v>0</v>
      </c>
      <c r="R10663" t="s">
        <v>47436</v>
      </c>
      <c r="S10663" t="s">
        <v>47702</v>
      </c>
      <c r="T10663" t="s">
        <v>49112</v>
      </c>
      <c r="U10663" t="s">
        <v>58450</v>
      </c>
      <c r="V10663" t="s">
        <v>62886</v>
      </c>
      <c r="W10663" t="s">
        <v>46562</v>
      </c>
      <c r="X10663" t="s">
        <v>47437</v>
      </c>
    </row>
    <row r="10664" spans="1:24">
      <c r="A10664">
        <f>HYPERLINK("https://www.philgeps.gov.ph/GEPSNONPILOT/Tender/SplashBidNoticeAbstractUI.aspx?menuIndex=3&amp;refID=7148111&amp;Result=3","7148111")</f>
        <v>0</v>
      </c>
      <c r="B10664" t="s">
        <v>1118</v>
      </c>
      <c r="C10664" t="s">
        <v>6346</v>
      </c>
      <c r="D10664" t="s">
        <v>19060</v>
      </c>
      <c r="E10664" t="s">
        <v>28268</v>
      </c>
      <c r="F10664" t="s">
        <v>32831</v>
      </c>
      <c r="G10664" t="s">
        <v>32838</v>
      </c>
      <c r="H10664" t="s">
        <v>32848</v>
      </c>
      <c r="I10664" t="s">
        <v>32884</v>
      </c>
      <c r="J10664" t="s">
        <v>32980</v>
      </c>
      <c r="K10664" t="s">
        <v>42726</v>
      </c>
      <c r="M10664" t="s">
        <v>44178</v>
      </c>
      <c r="N10664" t="s">
        <v>47424</v>
      </c>
      <c r="O10664" t="s">
        <v>47425</v>
      </c>
      <c r="P10664">
        <v>0</v>
      </c>
      <c r="Q10664">
        <v>1</v>
      </c>
      <c r="R10664" t="s">
        <v>47436</v>
      </c>
      <c r="S10664" t="s">
        <v>47702</v>
      </c>
      <c r="T10664" t="s">
        <v>49166</v>
      </c>
      <c r="U10664" t="s">
        <v>58451</v>
      </c>
      <c r="W10664" t="s">
        <v>44178</v>
      </c>
      <c r="X10664" t="s">
        <v>47437</v>
      </c>
    </row>
    <row r="10665" spans="1:24">
      <c r="A10665">
        <f>HYPERLINK("https://www.philgeps.gov.ph/GEPSNONPILOT/Tender/SplashBidNoticeAbstractUI.aspx?menuIndex=3&amp;refID=7148356&amp;Result=3","7148356")</f>
        <v>0</v>
      </c>
      <c r="B10665" t="s">
        <v>3246</v>
      </c>
      <c r="C10665" t="s">
        <v>13920</v>
      </c>
      <c r="D10665" t="s">
        <v>19038</v>
      </c>
      <c r="E10665" t="s">
        <v>28269</v>
      </c>
      <c r="F10665" t="s">
        <v>32831</v>
      </c>
      <c r="G10665" t="s">
        <v>32839</v>
      </c>
      <c r="H10665" t="s">
        <v>32849</v>
      </c>
      <c r="I10665" t="s">
        <v>4177</v>
      </c>
      <c r="J10665" t="s">
        <v>39545</v>
      </c>
      <c r="K10665" t="s">
        <v>42763</v>
      </c>
      <c r="M10665" t="s">
        <v>46561</v>
      </c>
      <c r="N10665" t="s">
        <v>47424</v>
      </c>
      <c r="O10665" t="s">
        <v>47425</v>
      </c>
      <c r="Q10665">
        <v>0</v>
      </c>
      <c r="R10665" t="s">
        <v>47436</v>
      </c>
      <c r="S10665" t="s">
        <v>47704</v>
      </c>
      <c r="T10665" t="s">
        <v>49162</v>
      </c>
      <c r="U10665" t="s">
        <v>58449</v>
      </c>
      <c r="W10665" t="s">
        <v>46561</v>
      </c>
      <c r="X10665" t="s">
        <v>47437</v>
      </c>
    </row>
    <row r="10666" spans="1:24">
      <c r="A10666">
        <f>HYPERLINK("https://www.philgeps.gov.ph/GEPSNONPILOT/Tender/SplashBidNoticeAbstractUI.aspx?menuIndex=3&amp;refID=7148355&amp;Result=3","7148355")</f>
        <v>0</v>
      </c>
      <c r="B10666" t="s">
        <v>3248</v>
      </c>
      <c r="C10666" t="s">
        <v>13921</v>
      </c>
      <c r="D10666" t="s">
        <v>19041</v>
      </c>
      <c r="E10666" t="s">
        <v>28270</v>
      </c>
      <c r="F10666" t="s">
        <v>32831</v>
      </c>
      <c r="G10666" t="s">
        <v>32839</v>
      </c>
      <c r="H10666" t="s">
        <v>32848</v>
      </c>
      <c r="I10666" t="s">
        <v>32886</v>
      </c>
      <c r="J10666" t="s">
        <v>33364</v>
      </c>
      <c r="K10666" t="s">
        <v>42729</v>
      </c>
      <c r="M10666" t="s">
        <v>46563</v>
      </c>
      <c r="N10666" t="s">
        <v>47424</v>
      </c>
      <c r="O10666" t="s">
        <v>47425</v>
      </c>
      <c r="P10666">
        <v>0</v>
      </c>
      <c r="Q10666">
        <v>3</v>
      </c>
      <c r="R10666" t="s">
        <v>47436</v>
      </c>
      <c r="S10666" t="s">
        <v>47702</v>
      </c>
      <c r="T10666" t="s">
        <v>49129</v>
      </c>
      <c r="U10666" t="s">
        <v>58452</v>
      </c>
      <c r="W10666" t="s">
        <v>46563</v>
      </c>
      <c r="X10666" t="s">
        <v>47437</v>
      </c>
    </row>
    <row r="10667" spans="1:24">
      <c r="A10667">
        <f>HYPERLINK("https://www.philgeps.gov.ph/GEPSNONPILOT/Tender/SplashBidNoticeAbstractUI.aspx?menuIndex=3&amp;refID=7148343&amp;Result=3","7148343")</f>
        <v>0</v>
      </c>
      <c r="B10667" t="s">
        <v>3248</v>
      </c>
      <c r="C10667" t="s">
        <v>13922</v>
      </c>
      <c r="D10667" t="s">
        <v>19041</v>
      </c>
      <c r="E10667" t="s">
        <v>28271</v>
      </c>
      <c r="F10667" t="s">
        <v>32831</v>
      </c>
      <c r="G10667" t="s">
        <v>32839</v>
      </c>
      <c r="H10667" t="s">
        <v>32848</v>
      </c>
      <c r="I10667" t="s">
        <v>32886</v>
      </c>
      <c r="J10667" t="s">
        <v>39546</v>
      </c>
      <c r="K10667" t="s">
        <v>42729</v>
      </c>
      <c r="M10667" t="s">
        <v>46563</v>
      </c>
      <c r="N10667" t="s">
        <v>47424</v>
      </c>
      <c r="O10667" t="s">
        <v>47425</v>
      </c>
      <c r="P10667">
        <v>0</v>
      </c>
      <c r="Q10667">
        <v>3</v>
      </c>
      <c r="R10667" t="s">
        <v>47436</v>
      </c>
      <c r="S10667" t="s">
        <v>47702</v>
      </c>
      <c r="T10667" t="s">
        <v>49129</v>
      </c>
      <c r="U10667" t="s">
        <v>58453</v>
      </c>
      <c r="W10667" t="s">
        <v>46563</v>
      </c>
      <c r="X10667" t="s">
        <v>47437</v>
      </c>
    </row>
    <row r="10668" spans="1:24">
      <c r="A10668">
        <f>HYPERLINK("https://www.philgeps.gov.ph/GEPSNONPILOT/Tender/SplashBidNoticeAbstractUI.aspx?menuIndex=3&amp;refID=7148205&amp;Result=3","7148205")</f>
        <v>0</v>
      </c>
      <c r="B10668" t="s">
        <v>3239</v>
      </c>
      <c r="C10668" t="s">
        <v>9702</v>
      </c>
      <c r="D10668" t="s">
        <v>19033</v>
      </c>
      <c r="E10668" t="s">
        <v>21910</v>
      </c>
      <c r="F10668" t="s">
        <v>32833</v>
      </c>
      <c r="G10668" t="s">
        <v>32839</v>
      </c>
      <c r="H10668" t="s">
        <v>32848</v>
      </c>
      <c r="I10668" t="s">
        <v>4471</v>
      </c>
      <c r="J10668" t="s">
        <v>39547</v>
      </c>
      <c r="K10668" t="s">
        <v>42726</v>
      </c>
      <c r="M10668" t="s">
        <v>46554</v>
      </c>
      <c r="N10668" t="s">
        <v>47424</v>
      </c>
      <c r="O10668" t="s">
        <v>47425</v>
      </c>
      <c r="P10668">
        <v>0</v>
      </c>
      <c r="Q10668">
        <v>3</v>
      </c>
      <c r="R10668" t="s">
        <v>47436</v>
      </c>
      <c r="S10668" t="s">
        <v>47702</v>
      </c>
      <c r="T10668" t="s">
        <v>49073</v>
      </c>
      <c r="U10668" t="s">
        <v>58454</v>
      </c>
      <c r="V10668" t="s">
        <v>63789</v>
      </c>
      <c r="W10668" t="s">
        <v>46554</v>
      </c>
      <c r="X10668" t="s">
        <v>47437</v>
      </c>
    </row>
    <row r="10669" spans="1:24">
      <c r="A10669">
        <f>HYPERLINK("https://www.philgeps.gov.ph/GEPSNONPILOT/Tender/SplashBidNoticeAbstractUI.aspx?menuIndex=3&amp;refID=7148341&amp;Result=3","7148341")</f>
        <v>0</v>
      </c>
      <c r="B10669" t="s">
        <v>3246</v>
      </c>
      <c r="C10669" t="s">
        <v>13923</v>
      </c>
      <c r="D10669" t="s">
        <v>19038</v>
      </c>
      <c r="E10669" t="s">
        <v>28272</v>
      </c>
      <c r="F10669" t="s">
        <v>32831</v>
      </c>
      <c r="G10669" t="s">
        <v>32839</v>
      </c>
      <c r="H10669" t="s">
        <v>32849</v>
      </c>
      <c r="I10669" t="s">
        <v>4177</v>
      </c>
      <c r="J10669" t="s">
        <v>39548</v>
      </c>
      <c r="K10669" t="s">
        <v>42747</v>
      </c>
      <c r="M10669" t="s">
        <v>46561</v>
      </c>
      <c r="N10669" t="s">
        <v>47424</v>
      </c>
      <c r="O10669" t="s">
        <v>47425</v>
      </c>
      <c r="P10669">
        <v>0</v>
      </c>
      <c r="Q10669">
        <v>0</v>
      </c>
      <c r="R10669" t="s">
        <v>47436</v>
      </c>
      <c r="S10669" t="s">
        <v>47702</v>
      </c>
      <c r="T10669" t="s">
        <v>49173</v>
      </c>
      <c r="U10669" t="s">
        <v>58449</v>
      </c>
      <c r="W10669" t="s">
        <v>46561</v>
      </c>
      <c r="X10669" t="s">
        <v>47437</v>
      </c>
    </row>
    <row r="10670" spans="1:24">
      <c r="A10670">
        <f>HYPERLINK("https://www.philgeps.gov.ph/GEPSNONPILOT/Tender/SplashBidNoticeAbstractUI.aspx?menuIndex=3&amp;refID=7148350&amp;Result=3","7148350")</f>
        <v>0</v>
      </c>
      <c r="B10670" t="s">
        <v>3248</v>
      </c>
      <c r="C10670" t="s">
        <v>13924</v>
      </c>
      <c r="D10670" t="s">
        <v>19041</v>
      </c>
      <c r="E10670" t="s">
        <v>28273</v>
      </c>
      <c r="F10670" t="s">
        <v>32831</v>
      </c>
      <c r="G10670" t="s">
        <v>32839</v>
      </c>
      <c r="H10670" t="s">
        <v>32848</v>
      </c>
      <c r="I10670" t="s">
        <v>32886</v>
      </c>
      <c r="J10670" t="s">
        <v>39204</v>
      </c>
      <c r="K10670" t="s">
        <v>42729</v>
      </c>
      <c r="M10670" t="s">
        <v>46563</v>
      </c>
      <c r="N10670" t="s">
        <v>47424</v>
      </c>
      <c r="O10670" t="s">
        <v>47425</v>
      </c>
      <c r="P10670">
        <v>0</v>
      </c>
      <c r="Q10670">
        <v>4</v>
      </c>
      <c r="R10670" t="s">
        <v>47436</v>
      </c>
      <c r="S10670" t="s">
        <v>47702</v>
      </c>
      <c r="T10670" t="s">
        <v>49129</v>
      </c>
      <c r="U10670" t="s">
        <v>58455</v>
      </c>
      <c r="W10670" t="s">
        <v>46563</v>
      </c>
      <c r="X10670" t="s">
        <v>47437</v>
      </c>
    </row>
    <row r="10671" spans="1:24">
      <c r="A10671">
        <f>HYPERLINK("https://www.philgeps.gov.ph/GEPSNONPILOT/Tender/SplashBidNoticeAbstractUI.aspx?menuIndex=3&amp;refID=7148313&amp;Result=3","7148313")</f>
        <v>0</v>
      </c>
      <c r="B10671" t="s">
        <v>3248</v>
      </c>
      <c r="C10671" t="s">
        <v>13925</v>
      </c>
      <c r="D10671" t="s">
        <v>19041</v>
      </c>
      <c r="E10671" t="s">
        <v>28274</v>
      </c>
      <c r="F10671" t="s">
        <v>32831</v>
      </c>
      <c r="G10671" t="s">
        <v>32839</v>
      </c>
      <c r="H10671" t="s">
        <v>32848</v>
      </c>
      <c r="I10671" t="s">
        <v>32886</v>
      </c>
      <c r="J10671" t="s">
        <v>39549</v>
      </c>
      <c r="K10671" t="s">
        <v>42729</v>
      </c>
      <c r="M10671" t="s">
        <v>46563</v>
      </c>
      <c r="N10671" t="s">
        <v>47424</v>
      </c>
      <c r="O10671" t="s">
        <v>47425</v>
      </c>
      <c r="P10671">
        <v>0</v>
      </c>
      <c r="Q10671">
        <v>3</v>
      </c>
      <c r="R10671" t="s">
        <v>47436</v>
      </c>
      <c r="S10671" t="s">
        <v>47702</v>
      </c>
      <c r="T10671" t="s">
        <v>49129</v>
      </c>
      <c r="U10671" t="s">
        <v>58456</v>
      </c>
      <c r="W10671" t="s">
        <v>46563</v>
      </c>
      <c r="X10671" t="s">
        <v>47437</v>
      </c>
    </row>
    <row r="10672" spans="1:24">
      <c r="A10672">
        <f>HYPERLINK("https://www.philgeps.gov.ph/GEPSNONPILOT/Tender/SplashBidNoticeAbstractUI.aspx?menuIndex=3&amp;refID=7148657&amp;Result=3","7148657")</f>
        <v>0</v>
      </c>
      <c r="B10672" t="s">
        <v>879</v>
      </c>
      <c r="C10672" t="s">
        <v>13926</v>
      </c>
      <c r="D10672" t="s">
        <v>19043</v>
      </c>
      <c r="E10672" t="s">
        <v>19895</v>
      </c>
      <c r="F10672" t="s">
        <v>32831</v>
      </c>
      <c r="G10672" t="s">
        <v>32839</v>
      </c>
      <c r="H10672" t="s">
        <v>32848</v>
      </c>
      <c r="I10672" t="s">
        <v>4776</v>
      </c>
      <c r="J10672" t="s">
        <v>33291</v>
      </c>
      <c r="K10672" t="s">
        <v>42730</v>
      </c>
      <c r="M10672" t="s">
        <v>43913</v>
      </c>
      <c r="N10672" t="s">
        <v>47424</v>
      </c>
      <c r="O10672" t="s">
        <v>47425</v>
      </c>
      <c r="P10672">
        <v>0</v>
      </c>
      <c r="Q10672">
        <v>8</v>
      </c>
      <c r="R10672" t="s">
        <v>47435</v>
      </c>
      <c r="S10672" t="s">
        <v>47701</v>
      </c>
      <c r="T10672" t="s">
        <v>49173</v>
      </c>
      <c r="U10672" t="s">
        <v>58457</v>
      </c>
      <c r="W10672" t="s">
        <v>43913</v>
      </c>
      <c r="X10672" t="s">
        <v>47436</v>
      </c>
    </row>
    <row r="10673" spans="1:24">
      <c r="A10673">
        <f>HYPERLINK("https://www.philgeps.gov.ph/GEPSNONPILOT/Tender/SplashBidNoticeAbstractUI.aspx?menuIndex=3&amp;refID=7148312&amp;Result=3","7148312")</f>
        <v>0</v>
      </c>
      <c r="B10673" t="s">
        <v>3246</v>
      </c>
      <c r="C10673" t="s">
        <v>13927</v>
      </c>
      <c r="D10673" t="s">
        <v>19038</v>
      </c>
      <c r="E10673" t="s">
        <v>28275</v>
      </c>
      <c r="F10673" t="s">
        <v>32831</v>
      </c>
      <c r="G10673" t="s">
        <v>32839</v>
      </c>
      <c r="H10673" t="s">
        <v>32849</v>
      </c>
      <c r="I10673" t="s">
        <v>4177</v>
      </c>
      <c r="J10673" t="s">
        <v>39550</v>
      </c>
      <c r="K10673" t="s">
        <v>42729</v>
      </c>
      <c r="M10673" t="s">
        <v>46561</v>
      </c>
      <c r="N10673" t="s">
        <v>47424</v>
      </c>
      <c r="O10673" t="s">
        <v>47425</v>
      </c>
      <c r="P10673">
        <v>0</v>
      </c>
      <c r="Q10673">
        <v>1</v>
      </c>
      <c r="R10673" t="s">
        <v>47436</v>
      </c>
      <c r="S10673" t="s">
        <v>47702</v>
      </c>
      <c r="T10673" t="s">
        <v>49173</v>
      </c>
      <c r="U10673" t="s">
        <v>58449</v>
      </c>
      <c r="W10673" t="s">
        <v>46561</v>
      </c>
      <c r="X10673" t="s">
        <v>47437</v>
      </c>
    </row>
    <row r="10674" spans="1:24">
      <c r="A10674">
        <f>HYPERLINK("https://www.philgeps.gov.ph/GEPSNONPILOT/Tender/SplashBidNoticeAbstractUI.aspx?menuIndex=3&amp;refID=7148334&amp;Result=3","7148334")</f>
        <v>0</v>
      </c>
      <c r="B10674" t="s">
        <v>3248</v>
      </c>
      <c r="C10674" t="s">
        <v>13928</v>
      </c>
      <c r="D10674" t="s">
        <v>19041</v>
      </c>
      <c r="E10674" t="s">
        <v>28276</v>
      </c>
      <c r="F10674" t="s">
        <v>32831</v>
      </c>
      <c r="G10674" t="s">
        <v>32839</v>
      </c>
      <c r="H10674" t="s">
        <v>32848</v>
      </c>
      <c r="I10674" t="s">
        <v>32886</v>
      </c>
      <c r="J10674" t="s">
        <v>33364</v>
      </c>
      <c r="K10674" t="s">
        <v>42729</v>
      </c>
      <c r="M10674" t="s">
        <v>46563</v>
      </c>
      <c r="N10674" t="s">
        <v>47424</v>
      </c>
      <c r="O10674" t="s">
        <v>47425</v>
      </c>
      <c r="P10674">
        <v>0</v>
      </c>
      <c r="Q10674">
        <v>2</v>
      </c>
      <c r="R10674" t="s">
        <v>47436</v>
      </c>
      <c r="S10674" t="s">
        <v>47702</v>
      </c>
      <c r="T10674" t="s">
        <v>49129</v>
      </c>
      <c r="U10674" t="s">
        <v>58458</v>
      </c>
      <c r="W10674" t="s">
        <v>46563</v>
      </c>
      <c r="X10674" t="s">
        <v>47437</v>
      </c>
    </row>
    <row r="10675" spans="1:24">
      <c r="A10675">
        <f>HYPERLINK("https://www.philgeps.gov.ph/GEPSNONPILOT/Tender/SplashBidNoticeAbstractUI.aspx?menuIndex=3&amp;refID=7148271&amp;Result=3","7148271")</f>
        <v>0</v>
      </c>
      <c r="B10675" t="s">
        <v>1316</v>
      </c>
      <c r="C10675" t="s">
        <v>13929</v>
      </c>
      <c r="D10675" t="s">
        <v>19035</v>
      </c>
      <c r="E10675" t="s">
        <v>28277</v>
      </c>
      <c r="F10675" t="s">
        <v>32831</v>
      </c>
      <c r="G10675" t="s">
        <v>32839</v>
      </c>
      <c r="H10675" t="s">
        <v>32848</v>
      </c>
      <c r="I10675" t="s">
        <v>9577</v>
      </c>
      <c r="J10675" t="s">
        <v>39551</v>
      </c>
      <c r="K10675" t="s">
        <v>42732</v>
      </c>
      <c r="M10675" t="s">
        <v>44387</v>
      </c>
      <c r="N10675" t="s">
        <v>47424</v>
      </c>
      <c r="O10675" t="s">
        <v>47425</v>
      </c>
      <c r="P10675">
        <v>0</v>
      </c>
      <c r="Q10675">
        <v>5</v>
      </c>
      <c r="R10675" t="s">
        <v>47436</v>
      </c>
      <c r="S10675" t="s">
        <v>47702</v>
      </c>
      <c r="T10675" t="s">
        <v>49198</v>
      </c>
      <c r="U10675" t="s">
        <v>58459</v>
      </c>
      <c r="W10675" t="s">
        <v>44387</v>
      </c>
      <c r="X10675" t="s">
        <v>47437</v>
      </c>
    </row>
    <row r="10676" spans="1:24">
      <c r="A10676">
        <f>HYPERLINK("https://www.philgeps.gov.ph/GEPSNONPILOT/Tender/SplashBidNoticeAbstractUI.aspx?menuIndex=3&amp;refID=7148317&amp;Result=3","7148317")</f>
        <v>0</v>
      </c>
      <c r="B10676" t="s">
        <v>3248</v>
      </c>
      <c r="C10676" t="s">
        <v>13930</v>
      </c>
      <c r="D10676" t="s">
        <v>19041</v>
      </c>
      <c r="E10676" t="s">
        <v>28278</v>
      </c>
      <c r="F10676" t="s">
        <v>32831</v>
      </c>
      <c r="G10676" t="s">
        <v>32839</v>
      </c>
      <c r="H10676" t="s">
        <v>32848</v>
      </c>
      <c r="I10676" t="s">
        <v>32886</v>
      </c>
      <c r="J10676" t="s">
        <v>32980</v>
      </c>
      <c r="K10676" t="s">
        <v>42729</v>
      </c>
      <c r="M10676" t="s">
        <v>46563</v>
      </c>
      <c r="N10676" t="s">
        <v>47424</v>
      </c>
      <c r="O10676" t="s">
        <v>47425</v>
      </c>
      <c r="P10676">
        <v>0</v>
      </c>
      <c r="Q10676">
        <v>2</v>
      </c>
      <c r="R10676" t="s">
        <v>47436</v>
      </c>
      <c r="S10676" t="s">
        <v>47702</v>
      </c>
      <c r="T10676" t="s">
        <v>49129</v>
      </c>
      <c r="U10676" t="s">
        <v>58455</v>
      </c>
      <c r="W10676" t="s">
        <v>46563</v>
      </c>
      <c r="X10676" t="s">
        <v>47437</v>
      </c>
    </row>
    <row r="10677" spans="1:24">
      <c r="A10677">
        <f>HYPERLINK("https://www.philgeps.gov.ph/GEPSNONPILOT/Tender/SplashBidNoticeAbstractUI.aspx?menuIndex=3&amp;refID=7148452&amp;Result=3","7148452")</f>
        <v>0</v>
      </c>
      <c r="B10677" t="s">
        <v>3248</v>
      </c>
      <c r="C10677" t="s">
        <v>13931</v>
      </c>
      <c r="D10677" t="s">
        <v>19051</v>
      </c>
      <c r="E10677" t="s">
        <v>28279</v>
      </c>
      <c r="F10677" t="s">
        <v>32831</v>
      </c>
      <c r="G10677" t="s">
        <v>32839</v>
      </c>
      <c r="H10677" t="s">
        <v>32848</v>
      </c>
      <c r="I10677" t="s">
        <v>32886</v>
      </c>
      <c r="J10677" t="s">
        <v>39552</v>
      </c>
      <c r="K10677" t="s">
        <v>42729</v>
      </c>
      <c r="M10677" t="s">
        <v>46563</v>
      </c>
      <c r="N10677" t="s">
        <v>47424</v>
      </c>
      <c r="O10677" t="s">
        <v>47425</v>
      </c>
      <c r="P10677">
        <v>0</v>
      </c>
      <c r="Q10677">
        <v>2</v>
      </c>
      <c r="R10677" t="s">
        <v>47436</v>
      </c>
      <c r="S10677" t="s">
        <v>47702</v>
      </c>
      <c r="T10677" t="s">
        <v>49129</v>
      </c>
      <c r="U10677" t="s">
        <v>58460</v>
      </c>
      <c r="W10677" t="s">
        <v>46563</v>
      </c>
      <c r="X10677" t="s">
        <v>47437</v>
      </c>
    </row>
    <row r="10678" spans="1:24">
      <c r="A10678">
        <f>HYPERLINK("https://www.philgeps.gov.ph/GEPSNONPILOT/Tender/SplashBidNoticeAbstractUI.aspx?menuIndex=3&amp;refID=7148448&amp;Result=3","7148448")</f>
        <v>0</v>
      </c>
      <c r="B10678" t="s">
        <v>3248</v>
      </c>
      <c r="C10678" t="s">
        <v>13932</v>
      </c>
      <c r="D10678" t="s">
        <v>19028</v>
      </c>
      <c r="E10678" t="s">
        <v>28280</v>
      </c>
      <c r="F10678" t="s">
        <v>32831</v>
      </c>
      <c r="G10678" t="s">
        <v>32839</v>
      </c>
      <c r="H10678" t="s">
        <v>32848</v>
      </c>
      <c r="I10678" t="s">
        <v>32886</v>
      </c>
      <c r="J10678" t="s">
        <v>34696</v>
      </c>
      <c r="K10678" t="s">
        <v>42729</v>
      </c>
      <c r="M10678" t="s">
        <v>46563</v>
      </c>
      <c r="N10678" t="s">
        <v>47424</v>
      </c>
      <c r="O10678" t="s">
        <v>47425</v>
      </c>
      <c r="P10678">
        <v>0</v>
      </c>
      <c r="Q10678">
        <v>5</v>
      </c>
      <c r="R10678" t="s">
        <v>47436</v>
      </c>
      <c r="S10678" t="s">
        <v>47702</v>
      </c>
      <c r="T10678" t="s">
        <v>49129</v>
      </c>
      <c r="U10678" t="s">
        <v>58461</v>
      </c>
      <c r="W10678" t="s">
        <v>46563</v>
      </c>
      <c r="X10678" t="s">
        <v>47437</v>
      </c>
    </row>
    <row r="10679" spans="1:24">
      <c r="A10679">
        <f>HYPERLINK("https://www.philgeps.gov.ph/GEPSNONPILOT/Tender/SplashBidNoticeAbstractUI.aspx?menuIndex=3&amp;refID=7148652&amp;Result=3","7148652")</f>
        <v>0</v>
      </c>
      <c r="B10679" t="s">
        <v>1162</v>
      </c>
      <c r="C10679" t="s">
        <v>13933</v>
      </c>
      <c r="D10679" t="s">
        <v>19050</v>
      </c>
      <c r="E10679" t="s">
        <v>13933</v>
      </c>
      <c r="F10679" t="s">
        <v>32831</v>
      </c>
      <c r="G10679" t="s">
        <v>32839</v>
      </c>
      <c r="H10679" t="s">
        <v>32848</v>
      </c>
      <c r="I10679" t="s">
        <v>10888</v>
      </c>
      <c r="J10679" t="s">
        <v>34033</v>
      </c>
      <c r="K10679" t="s">
        <v>42730</v>
      </c>
      <c r="M10679" t="s">
        <v>46128</v>
      </c>
      <c r="N10679" t="s">
        <v>47424</v>
      </c>
      <c r="O10679" t="s">
        <v>47425</v>
      </c>
      <c r="P10679">
        <v>0</v>
      </c>
      <c r="Q10679">
        <v>3</v>
      </c>
      <c r="R10679" t="s">
        <v>47435</v>
      </c>
      <c r="S10679" t="s">
        <v>47701</v>
      </c>
      <c r="T10679" t="s">
        <v>49229</v>
      </c>
      <c r="U10679" t="s">
        <v>58462</v>
      </c>
      <c r="W10679" t="s">
        <v>46128</v>
      </c>
      <c r="X10679" t="s">
        <v>47436</v>
      </c>
    </row>
    <row r="10680" spans="1:24">
      <c r="A10680">
        <f>HYPERLINK("https://www.philgeps.gov.ph/GEPSNONPILOT/Tender/SplashBidNoticeAbstractUI.aspx?menuIndex=3&amp;refID=7148441&amp;Result=3","7148441")</f>
        <v>0</v>
      </c>
      <c r="B10680" t="s">
        <v>3248</v>
      </c>
      <c r="C10680" t="s">
        <v>13934</v>
      </c>
      <c r="D10680" t="s">
        <v>19028</v>
      </c>
      <c r="E10680" t="s">
        <v>28281</v>
      </c>
      <c r="F10680" t="s">
        <v>32831</v>
      </c>
      <c r="G10680" t="s">
        <v>32839</v>
      </c>
      <c r="H10680" t="s">
        <v>32848</v>
      </c>
      <c r="I10680" t="s">
        <v>32886</v>
      </c>
      <c r="J10680" t="s">
        <v>39553</v>
      </c>
      <c r="K10680" t="s">
        <v>42729</v>
      </c>
      <c r="M10680" t="s">
        <v>46563</v>
      </c>
      <c r="N10680" t="s">
        <v>47424</v>
      </c>
      <c r="O10680" t="s">
        <v>47425</v>
      </c>
      <c r="P10680">
        <v>0</v>
      </c>
      <c r="Q10680">
        <v>2</v>
      </c>
      <c r="R10680" t="s">
        <v>47436</v>
      </c>
      <c r="S10680" t="s">
        <v>47702</v>
      </c>
      <c r="T10680" t="s">
        <v>49129</v>
      </c>
      <c r="U10680" t="s">
        <v>58463</v>
      </c>
      <c r="W10680" t="s">
        <v>46563</v>
      </c>
      <c r="X10680" t="s">
        <v>47437</v>
      </c>
    </row>
    <row r="10681" spans="1:24">
      <c r="A10681">
        <f>HYPERLINK("https://www.philgeps.gov.ph/GEPSNONPILOT/Tender/SplashBidNoticeAbstractUI.aspx?menuIndex=3&amp;refID=7148446&amp;Result=3","7148446")</f>
        <v>0</v>
      </c>
      <c r="B10681" t="s">
        <v>3248</v>
      </c>
      <c r="C10681" t="s">
        <v>13935</v>
      </c>
      <c r="D10681" t="s">
        <v>19028</v>
      </c>
      <c r="E10681" t="s">
        <v>28282</v>
      </c>
      <c r="F10681" t="s">
        <v>32831</v>
      </c>
      <c r="G10681" t="s">
        <v>32839</v>
      </c>
      <c r="H10681" t="s">
        <v>32848</v>
      </c>
      <c r="I10681" t="s">
        <v>32886</v>
      </c>
      <c r="J10681" t="s">
        <v>39554</v>
      </c>
      <c r="K10681" t="s">
        <v>42729</v>
      </c>
      <c r="M10681" t="s">
        <v>46563</v>
      </c>
      <c r="N10681" t="s">
        <v>47424</v>
      </c>
      <c r="O10681" t="s">
        <v>47425</v>
      </c>
      <c r="P10681">
        <v>0</v>
      </c>
      <c r="Q10681">
        <v>3</v>
      </c>
      <c r="R10681" t="s">
        <v>47436</v>
      </c>
      <c r="S10681" t="s">
        <v>47702</v>
      </c>
      <c r="T10681" t="s">
        <v>49129</v>
      </c>
      <c r="U10681" t="s">
        <v>58464</v>
      </c>
      <c r="W10681" t="s">
        <v>46563</v>
      </c>
      <c r="X10681" t="s">
        <v>47437</v>
      </c>
    </row>
    <row r="10682" spans="1:24">
      <c r="A10682">
        <f>HYPERLINK("https://www.philgeps.gov.ph/GEPSNONPILOT/Tender/SplashBidNoticeAbstractUI.aspx?menuIndex=3&amp;refID=7148437&amp;Result=3","7148437")</f>
        <v>0</v>
      </c>
      <c r="B10682" t="s">
        <v>3248</v>
      </c>
      <c r="C10682" t="s">
        <v>13936</v>
      </c>
      <c r="D10682" t="s">
        <v>19028</v>
      </c>
      <c r="E10682" t="s">
        <v>28283</v>
      </c>
      <c r="F10682" t="s">
        <v>32831</v>
      </c>
      <c r="G10682" t="s">
        <v>32839</v>
      </c>
      <c r="H10682" t="s">
        <v>32848</v>
      </c>
      <c r="I10682" t="s">
        <v>32886</v>
      </c>
      <c r="J10682" t="s">
        <v>39554</v>
      </c>
      <c r="K10682" t="s">
        <v>42729</v>
      </c>
      <c r="M10682" t="s">
        <v>46563</v>
      </c>
      <c r="N10682" t="s">
        <v>47424</v>
      </c>
      <c r="O10682" t="s">
        <v>47425</v>
      </c>
      <c r="P10682">
        <v>0</v>
      </c>
      <c r="Q10682">
        <v>2</v>
      </c>
      <c r="R10682" t="s">
        <v>47436</v>
      </c>
      <c r="S10682" t="s">
        <v>47702</v>
      </c>
      <c r="T10682" t="s">
        <v>49129</v>
      </c>
      <c r="U10682" t="s">
        <v>58465</v>
      </c>
      <c r="W10682" t="s">
        <v>46563</v>
      </c>
      <c r="X10682" t="s">
        <v>47437</v>
      </c>
    </row>
    <row r="10683" spans="1:24">
      <c r="A10683">
        <f>HYPERLINK("https://www.philgeps.gov.ph/GEPSNONPILOT/Tender/SplashBidNoticeAbstractUI.aspx?menuIndex=3&amp;refID=7148443&amp;Result=3","7148443")</f>
        <v>0</v>
      </c>
      <c r="B10683" t="s">
        <v>3248</v>
      </c>
      <c r="C10683" t="s">
        <v>13937</v>
      </c>
      <c r="D10683" t="s">
        <v>19028</v>
      </c>
      <c r="E10683" t="s">
        <v>28284</v>
      </c>
      <c r="F10683" t="s">
        <v>32831</v>
      </c>
      <c r="G10683" t="s">
        <v>32839</v>
      </c>
      <c r="H10683" t="s">
        <v>32848</v>
      </c>
      <c r="I10683" t="s">
        <v>32886</v>
      </c>
      <c r="J10683" t="s">
        <v>39555</v>
      </c>
      <c r="K10683" t="s">
        <v>42729</v>
      </c>
      <c r="M10683" t="s">
        <v>46563</v>
      </c>
      <c r="N10683" t="s">
        <v>47424</v>
      </c>
      <c r="O10683" t="s">
        <v>47425</v>
      </c>
      <c r="P10683">
        <v>0</v>
      </c>
      <c r="Q10683">
        <v>4</v>
      </c>
      <c r="R10683" t="s">
        <v>47436</v>
      </c>
      <c r="S10683" t="s">
        <v>47702</v>
      </c>
      <c r="T10683" t="s">
        <v>49129</v>
      </c>
      <c r="U10683" t="s">
        <v>58466</v>
      </c>
      <c r="W10683" t="s">
        <v>46563</v>
      </c>
      <c r="X10683" t="s">
        <v>47437</v>
      </c>
    </row>
    <row r="10684" spans="1:24">
      <c r="A10684">
        <f>HYPERLINK("https://www.philgeps.gov.ph/GEPSNONPILOT/Tender/SplashBidNoticeAbstractUI.aspx?menuIndex=3&amp;refID=7148433&amp;Result=3","7148433")</f>
        <v>0</v>
      </c>
      <c r="B10684" t="s">
        <v>3248</v>
      </c>
      <c r="C10684" t="s">
        <v>13938</v>
      </c>
      <c r="D10684" t="s">
        <v>19032</v>
      </c>
      <c r="E10684" t="s">
        <v>28285</v>
      </c>
      <c r="F10684" t="s">
        <v>32831</v>
      </c>
      <c r="G10684" t="s">
        <v>32839</v>
      </c>
      <c r="H10684" t="s">
        <v>32848</v>
      </c>
      <c r="I10684" t="s">
        <v>32886</v>
      </c>
      <c r="J10684" t="s">
        <v>39556</v>
      </c>
      <c r="K10684" t="s">
        <v>42729</v>
      </c>
      <c r="M10684" t="s">
        <v>46563</v>
      </c>
      <c r="N10684" t="s">
        <v>47424</v>
      </c>
      <c r="O10684" t="s">
        <v>47425</v>
      </c>
      <c r="P10684">
        <v>0</v>
      </c>
      <c r="Q10684">
        <v>6</v>
      </c>
      <c r="R10684" t="s">
        <v>47436</v>
      </c>
      <c r="S10684" t="s">
        <v>47702</v>
      </c>
      <c r="T10684" t="s">
        <v>49129</v>
      </c>
      <c r="U10684" t="s">
        <v>58467</v>
      </c>
      <c r="W10684" t="s">
        <v>46563</v>
      </c>
      <c r="X10684" t="s">
        <v>47437</v>
      </c>
    </row>
    <row r="10685" spans="1:24">
      <c r="A10685">
        <f>HYPERLINK("https://www.philgeps.gov.ph/GEPSNONPILOT/Tender/SplashBidNoticeAbstractUI.aspx?menuIndex=3&amp;refID=7148425&amp;Result=3","7148425")</f>
        <v>0</v>
      </c>
      <c r="B10685" t="s">
        <v>3248</v>
      </c>
      <c r="C10685" t="s">
        <v>13939</v>
      </c>
      <c r="D10685" t="s">
        <v>19032</v>
      </c>
      <c r="E10685" t="s">
        <v>28286</v>
      </c>
      <c r="F10685" t="s">
        <v>32831</v>
      </c>
      <c r="G10685" t="s">
        <v>32839</v>
      </c>
      <c r="H10685" t="s">
        <v>32848</v>
      </c>
      <c r="I10685" t="s">
        <v>32886</v>
      </c>
      <c r="J10685" t="s">
        <v>39557</v>
      </c>
      <c r="K10685" t="s">
        <v>42729</v>
      </c>
      <c r="M10685" t="s">
        <v>46563</v>
      </c>
      <c r="N10685" t="s">
        <v>47424</v>
      </c>
      <c r="O10685" t="s">
        <v>47425</v>
      </c>
      <c r="P10685">
        <v>0</v>
      </c>
      <c r="Q10685">
        <v>4</v>
      </c>
      <c r="R10685" t="s">
        <v>47436</v>
      </c>
      <c r="S10685" t="s">
        <v>47702</v>
      </c>
      <c r="T10685" t="s">
        <v>49129</v>
      </c>
      <c r="U10685" t="s">
        <v>58468</v>
      </c>
      <c r="W10685" t="s">
        <v>46563</v>
      </c>
      <c r="X10685" t="s">
        <v>47437</v>
      </c>
    </row>
    <row r="10686" spans="1:24">
      <c r="A10686">
        <f>HYPERLINK("https://www.philgeps.gov.ph/GEPSNONPILOT/Tender/SplashBidNoticeAbstractUI.aspx?menuIndex=3&amp;refID=7148423&amp;Result=3","7148423")</f>
        <v>0</v>
      </c>
      <c r="B10686" t="s">
        <v>3248</v>
      </c>
      <c r="C10686" t="s">
        <v>13940</v>
      </c>
      <c r="D10686" t="s">
        <v>19032</v>
      </c>
      <c r="E10686" t="s">
        <v>28287</v>
      </c>
      <c r="F10686" t="s">
        <v>32831</v>
      </c>
      <c r="G10686" t="s">
        <v>32839</v>
      </c>
      <c r="H10686" t="s">
        <v>32848</v>
      </c>
      <c r="I10686" t="s">
        <v>32886</v>
      </c>
      <c r="J10686" t="s">
        <v>35117</v>
      </c>
      <c r="K10686" t="s">
        <v>42729</v>
      </c>
      <c r="M10686" t="s">
        <v>46563</v>
      </c>
      <c r="N10686" t="s">
        <v>47424</v>
      </c>
      <c r="O10686" t="s">
        <v>47425</v>
      </c>
      <c r="P10686">
        <v>0</v>
      </c>
      <c r="Q10686">
        <v>3</v>
      </c>
      <c r="R10686" t="s">
        <v>47436</v>
      </c>
      <c r="S10686" t="s">
        <v>47702</v>
      </c>
      <c r="T10686" t="s">
        <v>49129</v>
      </c>
      <c r="U10686" t="s">
        <v>58469</v>
      </c>
      <c r="W10686" t="s">
        <v>46563</v>
      </c>
      <c r="X10686" t="s">
        <v>47437</v>
      </c>
    </row>
    <row r="10687" spans="1:24">
      <c r="A10687">
        <f>HYPERLINK("https://www.philgeps.gov.ph/GEPSNONPILOT/Tender/SplashBidNoticeAbstractUI.aspx?menuIndex=3&amp;refID=7148413&amp;Result=3","7148413")</f>
        <v>0</v>
      </c>
      <c r="B10687" t="s">
        <v>3248</v>
      </c>
      <c r="C10687" t="s">
        <v>13941</v>
      </c>
      <c r="D10687" t="s">
        <v>19051</v>
      </c>
      <c r="E10687" t="s">
        <v>28288</v>
      </c>
      <c r="F10687" t="s">
        <v>32831</v>
      </c>
      <c r="G10687" t="s">
        <v>32839</v>
      </c>
      <c r="H10687" t="s">
        <v>32848</v>
      </c>
      <c r="I10687" t="s">
        <v>32886</v>
      </c>
      <c r="J10687" t="s">
        <v>39558</v>
      </c>
      <c r="K10687" t="s">
        <v>42729</v>
      </c>
      <c r="M10687" t="s">
        <v>46563</v>
      </c>
      <c r="N10687" t="s">
        <v>47424</v>
      </c>
      <c r="O10687" t="s">
        <v>47425</v>
      </c>
      <c r="P10687">
        <v>0</v>
      </c>
      <c r="Q10687">
        <v>7</v>
      </c>
      <c r="R10687" t="s">
        <v>47436</v>
      </c>
      <c r="S10687" t="s">
        <v>47702</v>
      </c>
      <c r="T10687" t="s">
        <v>49129</v>
      </c>
      <c r="U10687" t="s">
        <v>58470</v>
      </c>
      <c r="W10687" t="s">
        <v>46563</v>
      </c>
      <c r="X10687" t="s">
        <v>47437</v>
      </c>
    </row>
    <row r="10688" spans="1:24">
      <c r="A10688">
        <f>HYPERLINK("https://www.philgeps.gov.ph/GEPSNONPILOT/Tender/SplashBidNoticeAbstractUI.aspx?menuIndex=3&amp;refID=7148412&amp;Result=3","7148412")</f>
        <v>0</v>
      </c>
      <c r="B10688" t="s">
        <v>832</v>
      </c>
      <c r="C10688" t="s">
        <v>13942</v>
      </c>
      <c r="D10688" t="s">
        <v>19017</v>
      </c>
      <c r="E10688" t="s">
        <v>28289</v>
      </c>
      <c r="F10688" t="s">
        <v>32831</v>
      </c>
      <c r="G10688" t="s">
        <v>32842</v>
      </c>
      <c r="H10688" t="s">
        <v>32848</v>
      </c>
      <c r="I10688" t="s">
        <v>4438</v>
      </c>
      <c r="J10688" t="s">
        <v>39559</v>
      </c>
      <c r="K10688" t="s">
        <v>42745</v>
      </c>
      <c r="M10688" t="s">
        <v>43864</v>
      </c>
      <c r="N10688" t="s">
        <v>47424</v>
      </c>
      <c r="O10688" t="s">
        <v>47425</v>
      </c>
      <c r="Q10688">
        <v>5</v>
      </c>
      <c r="R10688" t="s">
        <v>47436</v>
      </c>
      <c r="S10688" t="s">
        <v>47705</v>
      </c>
      <c r="T10688" t="s">
        <v>49127</v>
      </c>
      <c r="U10688" t="s">
        <v>58471</v>
      </c>
      <c r="V10688" t="s">
        <v>63791</v>
      </c>
      <c r="W10688" t="s">
        <v>43864</v>
      </c>
      <c r="X10688" t="s">
        <v>47437</v>
      </c>
    </row>
    <row r="10689" spans="1:24">
      <c r="A10689">
        <f>HYPERLINK("https://www.philgeps.gov.ph/GEPSNONPILOT/Tender/SplashBidNoticeAbstractUI.aspx?menuIndex=3&amp;refID=7148454&amp;Result=3","7148454")</f>
        <v>0</v>
      </c>
      <c r="B10689" t="s">
        <v>3248</v>
      </c>
      <c r="C10689" t="s">
        <v>13943</v>
      </c>
      <c r="D10689" t="s">
        <v>19032</v>
      </c>
      <c r="E10689" t="s">
        <v>28290</v>
      </c>
      <c r="F10689" t="s">
        <v>32831</v>
      </c>
      <c r="G10689" t="s">
        <v>32839</v>
      </c>
      <c r="H10689" t="s">
        <v>32848</v>
      </c>
      <c r="I10689" t="s">
        <v>32886</v>
      </c>
      <c r="J10689" t="s">
        <v>39560</v>
      </c>
      <c r="K10689" t="s">
        <v>42729</v>
      </c>
      <c r="M10689" t="s">
        <v>46563</v>
      </c>
      <c r="N10689" t="s">
        <v>47424</v>
      </c>
      <c r="O10689" t="s">
        <v>47425</v>
      </c>
      <c r="P10689">
        <v>0</v>
      </c>
      <c r="Q10689">
        <v>6</v>
      </c>
      <c r="R10689" t="s">
        <v>47436</v>
      </c>
      <c r="S10689" t="s">
        <v>47702</v>
      </c>
      <c r="T10689" t="s">
        <v>49129</v>
      </c>
      <c r="U10689" t="s">
        <v>58472</v>
      </c>
      <c r="W10689" t="s">
        <v>46563</v>
      </c>
      <c r="X10689" t="s">
        <v>47437</v>
      </c>
    </row>
    <row r="10690" spans="1:24">
      <c r="A10690">
        <f>HYPERLINK("https://www.philgeps.gov.ph/GEPSNONPILOT/Tender/SplashBidNoticeAbstractUI.aspx?menuIndex=3&amp;refID=7148173&amp;Result=3","7148173")</f>
        <v>0</v>
      </c>
      <c r="B10690" t="s">
        <v>3243</v>
      </c>
      <c r="C10690" t="s">
        <v>13944</v>
      </c>
      <c r="D10690" t="s">
        <v>19017</v>
      </c>
      <c r="E10690" t="s">
        <v>28291</v>
      </c>
      <c r="F10690" t="s">
        <v>32831</v>
      </c>
      <c r="G10690" t="s">
        <v>32839</v>
      </c>
      <c r="H10690" t="s">
        <v>32848</v>
      </c>
      <c r="I10690" t="s">
        <v>4438</v>
      </c>
      <c r="J10690" t="s">
        <v>39561</v>
      </c>
      <c r="K10690" t="s">
        <v>42731</v>
      </c>
      <c r="L10690" t="s">
        <v>3243</v>
      </c>
      <c r="M10690" t="s">
        <v>46558</v>
      </c>
      <c r="N10690" t="s">
        <v>47424</v>
      </c>
      <c r="O10690" t="s">
        <v>47425</v>
      </c>
      <c r="P10690">
        <v>0</v>
      </c>
      <c r="Q10690">
        <v>6</v>
      </c>
      <c r="R10690" t="s">
        <v>47436</v>
      </c>
      <c r="S10690" t="s">
        <v>47702</v>
      </c>
      <c r="T10690" t="s">
        <v>49212</v>
      </c>
      <c r="U10690" t="s">
        <v>58473</v>
      </c>
      <c r="V10690" t="s">
        <v>63792</v>
      </c>
      <c r="W10690" t="s">
        <v>46558</v>
      </c>
      <c r="X10690" t="s">
        <v>47437</v>
      </c>
    </row>
    <row r="10691" spans="1:24">
      <c r="A10691">
        <f>HYPERLINK("https://www.philgeps.gov.ph/GEPSNONPILOT/Tender/SplashBidNoticeAbstractUI.aspx?menuIndex=3&amp;refID=7148358&amp;Result=3","7148358")</f>
        <v>0</v>
      </c>
      <c r="B10691" t="s">
        <v>3248</v>
      </c>
      <c r="C10691" t="s">
        <v>13945</v>
      </c>
      <c r="D10691" t="s">
        <v>19041</v>
      </c>
      <c r="E10691" t="s">
        <v>28292</v>
      </c>
      <c r="F10691" t="s">
        <v>32831</v>
      </c>
      <c r="G10691" t="s">
        <v>32839</v>
      </c>
      <c r="H10691" t="s">
        <v>32848</v>
      </c>
      <c r="I10691" t="s">
        <v>32886</v>
      </c>
      <c r="J10691" t="s">
        <v>39562</v>
      </c>
      <c r="K10691" t="s">
        <v>42729</v>
      </c>
      <c r="M10691" t="s">
        <v>46563</v>
      </c>
      <c r="N10691" t="s">
        <v>47424</v>
      </c>
      <c r="O10691" t="s">
        <v>47425</v>
      </c>
      <c r="P10691">
        <v>0</v>
      </c>
      <c r="Q10691">
        <v>3</v>
      </c>
      <c r="R10691" t="s">
        <v>47436</v>
      </c>
      <c r="S10691" t="s">
        <v>47702</v>
      </c>
      <c r="T10691" t="s">
        <v>49129</v>
      </c>
      <c r="U10691" t="s">
        <v>58474</v>
      </c>
      <c r="W10691" t="s">
        <v>46563</v>
      </c>
      <c r="X10691" t="s">
        <v>47437</v>
      </c>
    </row>
    <row r="10692" spans="1:24">
      <c r="A10692">
        <f>HYPERLINK("https://www.philgeps.gov.ph/GEPSNONPILOT/Tender/SplashBidNoticeAbstractUI.aspx?menuIndex=3&amp;refID=7126128-2&amp;Result=3","7126128-2")</f>
        <v>0</v>
      </c>
      <c r="B10692" t="s">
        <v>1493</v>
      </c>
      <c r="C10692" t="s">
        <v>13946</v>
      </c>
      <c r="D10692" t="s">
        <v>19019</v>
      </c>
      <c r="E10692" t="s">
        <v>28293</v>
      </c>
      <c r="F10692" t="s">
        <v>32831</v>
      </c>
      <c r="G10692" t="s">
        <v>32839</v>
      </c>
      <c r="H10692" t="s">
        <v>14069</v>
      </c>
      <c r="I10692" t="s">
        <v>14069</v>
      </c>
      <c r="J10692" t="s">
        <v>39563</v>
      </c>
      <c r="K10692" t="s">
        <v>42757</v>
      </c>
      <c r="M10692" t="s">
        <v>46564</v>
      </c>
      <c r="N10692" t="s">
        <v>47424</v>
      </c>
      <c r="O10692" t="s">
        <v>47425</v>
      </c>
      <c r="P10692">
        <v>0</v>
      </c>
      <c r="Q10692">
        <v>0</v>
      </c>
      <c r="R10692" t="s">
        <v>47437</v>
      </c>
      <c r="S10692" t="s">
        <v>47706</v>
      </c>
      <c r="T10692" t="s">
        <v>49196</v>
      </c>
      <c r="U10692" t="s">
        <v>58475</v>
      </c>
      <c r="V10692" t="s">
        <v>63793</v>
      </c>
      <c r="W10692" t="s">
        <v>46564</v>
      </c>
      <c r="X10692" t="s">
        <v>47438</v>
      </c>
    </row>
    <row r="10693" spans="1:24">
      <c r="A10693">
        <f>HYPERLINK("https://www.philgeps.gov.ph/GEPSNONPILOT/Tender/SplashBidNoticeAbstractUI.aspx?menuIndex=3&amp;refID=7148420&amp;Result=3","7148420")</f>
        <v>0</v>
      </c>
      <c r="B10693" t="s">
        <v>3248</v>
      </c>
      <c r="C10693" t="s">
        <v>13947</v>
      </c>
      <c r="D10693" t="s">
        <v>19020</v>
      </c>
      <c r="E10693" t="s">
        <v>28294</v>
      </c>
      <c r="F10693" t="s">
        <v>32831</v>
      </c>
      <c r="G10693" t="s">
        <v>32839</v>
      </c>
      <c r="H10693" t="s">
        <v>32848</v>
      </c>
      <c r="I10693" t="s">
        <v>32886</v>
      </c>
      <c r="J10693" t="s">
        <v>39564</v>
      </c>
      <c r="K10693" t="s">
        <v>42729</v>
      </c>
      <c r="M10693" t="s">
        <v>46563</v>
      </c>
      <c r="N10693" t="s">
        <v>47424</v>
      </c>
      <c r="O10693" t="s">
        <v>47425</v>
      </c>
      <c r="P10693">
        <v>0</v>
      </c>
      <c r="Q10693">
        <v>5</v>
      </c>
      <c r="R10693" t="s">
        <v>47436</v>
      </c>
      <c r="S10693" t="s">
        <v>47702</v>
      </c>
      <c r="T10693" t="s">
        <v>49129</v>
      </c>
      <c r="U10693" t="s">
        <v>58476</v>
      </c>
      <c r="W10693" t="s">
        <v>46563</v>
      </c>
      <c r="X10693" t="s">
        <v>47437</v>
      </c>
    </row>
    <row r="10694" spans="1:24">
      <c r="A10694">
        <f>HYPERLINK("https://www.philgeps.gov.ph/GEPSNONPILOT/Tender/SplashBidNoticeAbstractUI.aspx?menuIndex=3&amp;refID=7113902&amp;Result=3","7113902")</f>
        <v>0</v>
      </c>
      <c r="B10694" t="s">
        <v>2161</v>
      </c>
      <c r="C10694" t="s">
        <v>13948</v>
      </c>
      <c r="D10694" t="s">
        <v>19082</v>
      </c>
      <c r="E10694" t="s">
        <v>28295</v>
      </c>
      <c r="F10694" t="s">
        <v>32831</v>
      </c>
      <c r="G10694" t="s">
        <v>32840</v>
      </c>
      <c r="H10694" t="s">
        <v>32848</v>
      </c>
      <c r="I10694" t="s">
        <v>4471</v>
      </c>
      <c r="J10694" t="s">
        <v>34649</v>
      </c>
      <c r="K10694" t="s">
        <v>42742</v>
      </c>
      <c r="M10694" t="s">
        <v>45340</v>
      </c>
      <c r="N10694" t="s">
        <v>47424</v>
      </c>
      <c r="O10694" t="s">
        <v>47425</v>
      </c>
      <c r="P10694">
        <v>0</v>
      </c>
      <c r="Q10694">
        <v>0</v>
      </c>
      <c r="R10694" t="s">
        <v>47437</v>
      </c>
      <c r="S10694" t="s">
        <v>47706</v>
      </c>
      <c r="T10694" t="s">
        <v>49068</v>
      </c>
      <c r="U10694" t="s">
        <v>58477</v>
      </c>
      <c r="W10694" t="s">
        <v>45340</v>
      </c>
      <c r="X10694" t="s">
        <v>47452</v>
      </c>
    </row>
    <row r="10695" spans="1:24">
      <c r="A10695">
        <f>HYPERLINK("https://www.philgeps.gov.ph/GEPSNONPILOT/Tender/SplashBidNoticeAbstractUI.aspx?menuIndex=3&amp;refID=7126118-2&amp;Result=3","7126118-2")</f>
        <v>0</v>
      </c>
      <c r="B10695" t="s">
        <v>1493</v>
      </c>
      <c r="C10695" t="s">
        <v>13949</v>
      </c>
      <c r="D10695" t="s">
        <v>19019</v>
      </c>
      <c r="E10695" t="s">
        <v>28296</v>
      </c>
      <c r="F10695" t="s">
        <v>32831</v>
      </c>
      <c r="G10695" t="s">
        <v>32839</v>
      </c>
      <c r="H10695" t="s">
        <v>14069</v>
      </c>
      <c r="I10695" t="s">
        <v>14069</v>
      </c>
      <c r="J10695" t="s">
        <v>39565</v>
      </c>
      <c r="K10695" t="s">
        <v>42814</v>
      </c>
      <c r="M10695" t="s">
        <v>46564</v>
      </c>
      <c r="N10695" t="s">
        <v>47424</v>
      </c>
      <c r="O10695" t="s">
        <v>47425</v>
      </c>
      <c r="P10695">
        <v>0</v>
      </c>
      <c r="Q10695">
        <v>0</v>
      </c>
      <c r="R10695" t="s">
        <v>47437</v>
      </c>
      <c r="S10695" t="s">
        <v>47706</v>
      </c>
      <c r="T10695" t="s">
        <v>49196</v>
      </c>
      <c r="U10695" t="s">
        <v>58478</v>
      </c>
      <c r="V10695" t="s">
        <v>63793</v>
      </c>
      <c r="W10695" t="s">
        <v>46564</v>
      </c>
      <c r="X10695" t="s">
        <v>47438</v>
      </c>
    </row>
    <row r="10696" spans="1:24">
      <c r="A10696">
        <f>HYPERLINK("https://www.philgeps.gov.ph/GEPSNONPILOT/Tender/SplashBidNoticeAbstractUI.aspx?menuIndex=3&amp;refID=7123159&amp;Result=3","7123159")</f>
        <v>0</v>
      </c>
      <c r="B10696" t="s">
        <v>3249</v>
      </c>
      <c r="C10696" t="s">
        <v>7774</v>
      </c>
      <c r="E10696" t="s">
        <v>28297</v>
      </c>
      <c r="F10696" t="s">
        <v>32831</v>
      </c>
      <c r="G10696" t="s">
        <v>32839</v>
      </c>
      <c r="H10696" t="s">
        <v>32849</v>
      </c>
      <c r="I10696" t="s">
        <v>32852</v>
      </c>
      <c r="J10696" t="s">
        <v>32983</v>
      </c>
      <c r="K10696" t="s">
        <v>42732</v>
      </c>
      <c r="M10696" t="s">
        <v>46565</v>
      </c>
      <c r="N10696" t="s">
        <v>47424</v>
      </c>
      <c r="O10696" t="s">
        <v>47425</v>
      </c>
      <c r="P10696">
        <v>0</v>
      </c>
      <c r="Q10696">
        <v>0</v>
      </c>
      <c r="R10696" t="s">
        <v>47437</v>
      </c>
      <c r="S10696" t="s">
        <v>47706</v>
      </c>
      <c r="T10696" t="s">
        <v>49465</v>
      </c>
      <c r="U10696" t="s">
        <v>58479</v>
      </c>
      <c r="W10696" t="s">
        <v>46565</v>
      </c>
      <c r="X10696" t="s">
        <v>47447</v>
      </c>
    </row>
    <row r="10697" spans="1:24">
      <c r="A10697">
        <f>HYPERLINK("https://www.philgeps.gov.ph/GEPSNONPILOT/Tender/SplashBidNoticeAbstractUI.aspx?menuIndex=3&amp;refID=7106985-2&amp;Result=3","7106985-2")</f>
        <v>0</v>
      </c>
      <c r="B10697" t="s">
        <v>3250</v>
      </c>
      <c r="C10697" t="s">
        <v>13950</v>
      </c>
      <c r="E10697" t="s">
        <v>28298</v>
      </c>
      <c r="F10697" t="s">
        <v>32831</v>
      </c>
      <c r="G10697" t="s">
        <v>32839</v>
      </c>
      <c r="H10697" t="s">
        <v>14069</v>
      </c>
      <c r="I10697" t="s">
        <v>14069</v>
      </c>
      <c r="J10697" t="s">
        <v>39566</v>
      </c>
      <c r="K10697" t="s">
        <v>42757</v>
      </c>
      <c r="M10697" t="s">
        <v>46566</v>
      </c>
      <c r="N10697" t="s">
        <v>47424</v>
      </c>
      <c r="O10697" t="s">
        <v>47425</v>
      </c>
      <c r="P10697">
        <v>0</v>
      </c>
      <c r="Q10697">
        <v>3</v>
      </c>
      <c r="R10697" t="s">
        <v>47437</v>
      </c>
      <c r="S10697" t="s">
        <v>47706</v>
      </c>
      <c r="T10697" t="s">
        <v>49111</v>
      </c>
      <c r="U10697" t="s">
        <v>58480</v>
      </c>
      <c r="W10697" t="s">
        <v>46566</v>
      </c>
      <c r="X10697" t="s">
        <v>47438</v>
      </c>
    </row>
    <row r="10698" spans="1:24">
      <c r="A10698">
        <f>HYPERLINK("https://www.philgeps.gov.ph/GEPSNONPILOT/Tender/SplashBidNoticeAbstractUI.aspx?menuIndex=3&amp;refID=7148581&amp;Result=3","7148581")</f>
        <v>0</v>
      </c>
      <c r="B10698" t="s">
        <v>3251</v>
      </c>
      <c r="C10698" t="s">
        <v>13951</v>
      </c>
      <c r="D10698" t="s">
        <v>19077</v>
      </c>
      <c r="E10698" t="s">
        <v>28299</v>
      </c>
      <c r="F10698" t="s">
        <v>32831</v>
      </c>
      <c r="G10698" t="s">
        <v>32839</v>
      </c>
      <c r="H10698" t="s">
        <v>32848</v>
      </c>
      <c r="I10698" t="s">
        <v>7416</v>
      </c>
      <c r="J10698" t="s">
        <v>39567</v>
      </c>
      <c r="K10698" t="s">
        <v>42730</v>
      </c>
      <c r="M10698" t="s">
        <v>46567</v>
      </c>
      <c r="N10698" t="s">
        <v>47424</v>
      </c>
      <c r="O10698" t="s">
        <v>47425</v>
      </c>
      <c r="Q10698">
        <v>6</v>
      </c>
      <c r="R10698" t="s">
        <v>47436</v>
      </c>
      <c r="S10698" t="s">
        <v>47707</v>
      </c>
      <c r="T10698" t="s">
        <v>49196</v>
      </c>
      <c r="U10698" t="s">
        <v>58481</v>
      </c>
      <c r="W10698" t="s">
        <v>46567</v>
      </c>
      <c r="X10698" t="s">
        <v>47437</v>
      </c>
    </row>
    <row r="10699" spans="1:24">
      <c r="A10699">
        <f>HYPERLINK("https://www.philgeps.gov.ph/GEPSNONPILOT/Tender/SplashBidNoticeAbstractUI.aspx?menuIndex=3&amp;refID=7148568&amp;Result=3","7148568")</f>
        <v>0</v>
      </c>
      <c r="B10699" t="s">
        <v>3252</v>
      </c>
      <c r="C10699" t="s">
        <v>13952</v>
      </c>
      <c r="D10699" t="s">
        <v>19045</v>
      </c>
      <c r="E10699" t="s">
        <v>28300</v>
      </c>
      <c r="F10699" t="s">
        <v>32831</v>
      </c>
      <c r="G10699" t="s">
        <v>32839</v>
      </c>
      <c r="H10699" t="s">
        <v>32849</v>
      </c>
      <c r="I10699" t="s">
        <v>4177</v>
      </c>
      <c r="J10699" t="s">
        <v>33087</v>
      </c>
      <c r="K10699" t="s">
        <v>42747</v>
      </c>
      <c r="M10699" t="s">
        <v>44620</v>
      </c>
      <c r="N10699" t="s">
        <v>47424</v>
      </c>
      <c r="O10699" t="s">
        <v>47425</v>
      </c>
      <c r="P10699">
        <v>0</v>
      </c>
      <c r="Q10699">
        <v>0</v>
      </c>
      <c r="R10699" t="s">
        <v>47436</v>
      </c>
      <c r="S10699" t="s">
        <v>47702</v>
      </c>
      <c r="T10699" t="s">
        <v>49129</v>
      </c>
      <c r="U10699" t="s">
        <v>58482</v>
      </c>
      <c r="W10699" t="s">
        <v>44620</v>
      </c>
      <c r="X10699" t="s">
        <v>47437</v>
      </c>
    </row>
    <row r="10700" spans="1:24">
      <c r="A10700">
        <f>HYPERLINK("https://www.philgeps.gov.ph/GEPSNONPILOT/Tender/SplashBidNoticeAbstractUI.aspx?menuIndex=3&amp;refID=7148559&amp;Result=3","7148559")</f>
        <v>0</v>
      </c>
      <c r="B10700" t="s">
        <v>3253</v>
      </c>
      <c r="C10700" t="s">
        <v>13953</v>
      </c>
      <c r="D10700" t="s">
        <v>19045</v>
      </c>
      <c r="E10700" t="s">
        <v>28301</v>
      </c>
      <c r="F10700" t="s">
        <v>32831</v>
      </c>
      <c r="G10700" t="s">
        <v>32839</v>
      </c>
      <c r="H10700" t="s">
        <v>32849</v>
      </c>
      <c r="I10700" t="s">
        <v>4177</v>
      </c>
      <c r="J10700" t="s">
        <v>33364</v>
      </c>
      <c r="K10700" t="s">
        <v>42750</v>
      </c>
      <c r="M10700" t="s">
        <v>46568</v>
      </c>
      <c r="N10700" t="s">
        <v>47424</v>
      </c>
      <c r="O10700" t="s">
        <v>47425</v>
      </c>
      <c r="P10700">
        <v>0</v>
      </c>
      <c r="Q10700">
        <v>0</v>
      </c>
      <c r="R10700" t="s">
        <v>47436</v>
      </c>
      <c r="S10700" t="s">
        <v>47702</v>
      </c>
      <c r="T10700" t="s">
        <v>49129</v>
      </c>
      <c r="U10700" t="s">
        <v>58483</v>
      </c>
      <c r="W10700" t="s">
        <v>46568</v>
      </c>
      <c r="X10700" t="s">
        <v>47437</v>
      </c>
    </row>
    <row r="10701" spans="1:24">
      <c r="A10701">
        <f>HYPERLINK("https://www.philgeps.gov.ph/GEPSNONPILOT/Tender/SplashBidNoticeAbstractUI.aspx?menuIndex=3&amp;refID=7148544&amp;Result=3","7148544")</f>
        <v>0</v>
      </c>
      <c r="B10701" t="s">
        <v>2593</v>
      </c>
      <c r="C10701" t="s">
        <v>13954</v>
      </c>
      <c r="D10701" t="s">
        <v>19043</v>
      </c>
      <c r="E10701" t="s">
        <v>28302</v>
      </c>
      <c r="F10701" t="s">
        <v>32831</v>
      </c>
      <c r="G10701" t="s">
        <v>32839</v>
      </c>
      <c r="H10701" t="s">
        <v>32848</v>
      </c>
      <c r="I10701" t="s">
        <v>32864</v>
      </c>
      <c r="J10701" t="s">
        <v>39568</v>
      </c>
      <c r="K10701" t="s">
        <v>42727</v>
      </c>
      <c r="M10701" t="s">
        <v>45812</v>
      </c>
      <c r="N10701" t="s">
        <v>47424</v>
      </c>
      <c r="O10701" t="s">
        <v>47425</v>
      </c>
      <c r="Q10701">
        <v>10</v>
      </c>
      <c r="R10701" t="s">
        <v>47436</v>
      </c>
      <c r="S10701" t="s">
        <v>47708</v>
      </c>
      <c r="T10701" t="s">
        <v>49196</v>
      </c>
      <c r="U10701" t="s">
        <v>58484</v>
      </c>
      <c r="W10701" t="s">
        <v>45812</v>
      </c>
      <c r="X10701" t="s">
        <v>47437</v>
      </c>
    </row>
    <row r="10702" spans="1:24">
      <c r="A10702">
        <f>HYPERLINK("https://www.philgeps.gov.ph/GEPSNONPILOT/Tender/SplashBidNoticeAbstractUI.aspx?menuIndex=3&amp;refID=7148530&amp;Result=3","7148530")</f>
        <v>0</v>
      </c>
      <c r="B10702" t="s">
        <v>3254</v>
      </c>
      <c r="C10702" t="s">
        <v>13955</v>
      </c>
      <c r="D10702" t="s">
        <v>19028</v>
      </c>
      <c r="E10702" t="s">
        <v>19665</v>
      </c>
      <c r="F10702" t="s">
        <v>32831</v>
      </c>
      <c r="G10702" t="s">
        <v>32840</v>
      </c>
      <c r="H10702" t="s">
        <v>32848</v>
      </c>
      <c r="I10702" t="s">
        <v>5379</v>
      </c>
      <c r="J10702" t="s">
        <v>39569</v>
      </c>
      <c r="K10702" t="s">
        <v>42749</v>
      </c>
      <c r="M10702" t="s">
        <v>46569</v>
      </c>
      <c r="N10702" t="s">
        <v>47424</v>
      </c>
      <c r="O10702" t="s">
        <v>47425</v>
      </c>
      <c r="P10702">
        <v>0</v>
      </c>
      <c r="Q10702">
        <v>0</v>
      </c>
      <c r="R10702" t="s">
        <v>47436</v>
      </c>
      <c r="S10702" t="s">
        <v>47702</v>
      </c>
      <c r="T10702" t="s">
        <v>49129</v>
      </c>
      <c r="U10702" t="s">
        <v>58485</v>
      </c>
      <c r="W10702" t="s">
        <v>46569</v>
      </c>
      <c r="X10702" t="s">
        <v>47437</v>
      </c>
    </row>
    <row r="10703" spans="1:24">
      <c r="A10703">
        <f>HYPERLINK("https://www.philgeps.gov.ph/GEPSNONPILOT/Tender/SplashBidNoticeAbstractUI.aspx?menuIndex=3&amp;refID=7126069-2&amp;Result=3","7126069-2")</f>
        <v>0</v>
      </c>
      <c r="B10703" t="s">
        <v>1493</v>
      </c>
      <c r="C10703" t="s">
        <v>13956</v>
      </c>
      <c r="D10703" t="s">
        <v>19019</v>
      </c>
      <c r="E10703" t="s">
        <v>28303</v>
      </c>
      <c r="F10703" t="s">
        <v>32831</v>
      </c>
      <c r="G10703" t="s">
        <v>32839</v>
      </c>
      <c r="H10703" t="s">
        <v>14069</v>
      </c>
      <c r="I10703" t="s">
        <v>14069</v>
      </c>
      <c r="J10703" t="s">
        <v>39570</v>
      </c>
      <c r="K10703" t="s">
        <v>42789</v>
      </c>
      <c r="M10703" t="s">
        <v>46564</v>
      </c>
      <c r="N10703" t="s">
        <v>47424</v>
      </c>
      <c r="O10703" t="s">
        <v>47425</v>
      </c>
      <c r="P10703">
        <v>0</v>
      </c>
      <c r="Q10703">
        <v>2</v>
      </c>
      <c r="R10703" t="s">
        <v>47437</v>
      </c>
      <c r="S10703" t="s">
        <v>47706</v>
      </c>
      <c r="T10703" t="s">
        <v>49196</v>
      </c>
      <c r="U10703" t="s">
        <v>58486</v>
      </c>
      <c r="V10703" t="s">
        <v>63794</v>
      </c>
      <c r="W10703" t="s">
        <v>46564</v>
      </c>
      <c r="X10703" t="s">
        <v>47438</v>
      </c>
    </row>
    <row r="10704" spans="1:24">
      <c r="A10704">
        <f>HYPERLINK("https://www.philgeps.gov.ph/GEPSNONPILOT/Tender/SplashBidNoticeAbstractUI.aspx?menuIndex=3&amp;refID=7131923&amp;Result=3","7131923")</f>
        <v>0</v>
      </c>
      <c r="B10704" t="s">
        <v>56</v>
      </c>
      <c r="C10704" t="s">
        <v>13957</v>
      </c>
      <c r="D10704" t="s">
        <v>19040</v>
      </c>
      <c r="E10704" t="s">
        <v>28304</v>
      </c>
      <c r="F10704" t="s">
        <v>32831</v>
      </c>
      <c r="G10704" t="s">
        <v>32839</v>
      </c>
      <c r="H10704" t="s">
        <v>32848</v>
      </c>
      <c r="I10704" t="s">
        <v>32864</v>
      </c>
      <c r="J10704" t="s">
        <v>39571</v>
      </c>
      <c r="K10704" t="s">
        <v>42730</v>
      </c>
      <c r="M10704" t="s">
        <v>43053</v>
      </c>
      <c r="N10704" t="s">
        <v>47424</v>
      </c>
      <c r="O10704" t="s">
        <v>47425</v>
      </c>
      <c r="P10704">
        <v>0</v>
      </c>
      <c r="Q10704">
        <v>6</v>
      </c>
      <c r="R10704" t="s">
        <v>47437</v>
      </c>
      <c r="S10704" t="s">
        <v>47706</v>
      </c>
      <c r="T10704" t="s">
        <v>49173</v>
      </c>
      <c r="U10704" t="s">
        <v>58487</v>
      </c>
      <c r="W10704" t="s">
        <v>43053</v>
      </c>
      <c r="X10704" t="s">
        <v>47445</v>
      </c>
    </row>
    <row r="10705" spans="1:24">
      <c r="A10705">
        <f>HYPERLINK("https://www.philgeps.gov.ph/GEPSNONPILOT/Tender/SplashBidNoticeAbstractUI.aspx?menuIndex=3&amp;refID=7148578&amp;Result=3","7148578")</f>
        <v>0</v>
      </c>
      <c r="B10705" t="s">
        <v>3251</v>
      </c>
      <c r="C10705" t="s">
        <v>13958</v>
      </c>
      <c r="D10705" t="s">
        <v>19077</v>
      </c>
      <c r="E10705" t="s">
        <v>28305</v>
      </c>
      <c r="F10705" t="s">
        <v>32831</v>
      </c>
      <c r="G10705" t="s">
        <v>32839</v>
      </c>
      <c r="H10705" t="s">
        <v>32848</v>
      </c>
      <c r="I10705" t="s">
        <v>32859</v>
      </c>
      <c r="J10705" t="s">
        <v>39572</v>
      </c>
      <c r="K10705" t="s">
        <v>42729</v>
      </c>
      <c r="M10705" t="s">
        <v>46567</v>
      </c>
      <c r="N10705" t="s">
        <v>47424</v>
      </c>
      <c r="O10705" t="s">
        <v>47425</v>
      </c>
      <c r="Q10705">
        <v>7</v>
      </c>
      <c r="R10705" t="s">
        <v>47436</v>
      </c>
      <c r="S10705" t="s">
        <v>47709</v>
      </c>
      <c r="T10705" t="s">
        <v>49196</v>
      </c>
      <c r="U10705" t="s">
        <v>58481</v>
      </c>
      <c r="W10705" t="s">
        <v>46567</v>
      </c>
      <c r="X10705" t="s">
        <v>47437</v>
      </c>
    </row>
    <row r="10706" spans="1:24">
      <c r="A10706">
        <f>HYPERLINK("https://www.philgeps.gov.ph/GEPSNONPILOT/Tender/SplashBidNoticeAbstractUI.aspx?menuIndex=3&amp;refID=7140861&amp;Result=3","7140861")</f>
        <v>0</v>
      </c>
      <c r="B10706" t="s">
        <v>618</v>
      </c>
      <c r="C10706" t="s">
        <v>13959</v>
      </c>
      <c r="D10706" t="s">
        <v>19084</v>
      </c>
      <c r="E10706" t="s">
        <v>28306</v>
      </c>
      <c r="F10706" t="s">
        <v>32831</v>
      </c>
      <c r="G10706" t="s">
        <v>32839</v>
      </c>
      <c r="H10706" t="s">
        <v>32849</v>
      </c>
      <c r="I10706" t="s">
        <v>4177</v>
      </c>
      <c r="J10706" t="s">
        <v>33465</v>
      </c>
      <c r="K10706" t="s">
        <v>42770</v>
      </c>
      <c r="M10706" t="s">
        <v>43634</v>
      </c>
      <c r="N10706" t="s">
        <v>47424</v>
      </c>
      <c r="O10706" t="s">
        <v>47425</v>
      </c>
      <c r="P10706">
        <v>0</v>
      </c>
      <c r="Q10706">
        <v>1</v>
      </c>
      <c r="R10706" t="s">
        <v>47437</v>
      </c>
      <c r="S10706" t="s">
        <v>47706</v>
      </c>
      <c r="T10706" t="s">
        <v>49236</v>
      </c>
      <c r="U10706" t="s">
        <v>58488</v>
      </c>
      <c r="V10706" t="s">
        <v>63795</v>
      </c>
      <c r="W10706" t="s">
        <v>43634</v>
      </c>
      <c r="X10706" t="s">
        <v>47440</v>
      </c>
    </row>
    <row r="10707" spans="1:24">
      <c r="A10707">
        <f>HYPERLINK("https://www.philgeps.gov.ph/GEPSNONPILOT/Tender/SplashBidNoticeAbstractUI.aspx?menuIndex=3&amp;refID=7140181&amp;Result=3","7140181")</f>
        <v>0</v>
      </c>
      <c r="B10707" t="s">
        <v>3255</v>
      </c>
      <c r="C10707" t="s">
        <v>13960</v>
      </c>
      <c r="D10707" t="s">
        <v>19047</v>
      </c>
      <c r="E10707" t="s">
        <v>28307</v>
      </c>
      <c r="F10707" t="s">
        <v>32831</v>
      </c>
      <c r="G10707" t="s">
        <v>32839</v>
      </c>
      <c r="H10707" t="s">
        <v>32849</v>
      </c>
      <c r="I10707" t="s">
        <v>32889</v>
      </c>
      <c r="J10707" t="s">
        <v>39573</v>
      </c>
      <c r="K10707" t="s">
        <v>42887</v>
      </c>
      <c r="M10707" t="s">
        <v>46570</v>
      </c>
      <c r="N10707" t="s">
        <v>47424</v>
      </c>
      <c r="O10707" t="s">
        <v>47425</v>
      </c>
      <c r="Q10707">
        <v>4</v>
      </c>
      <c r="R10707" t="s">
        <v>47437</v>
      </c>
      <c r="S10707" t="s">
        <v>47710</v>
      </c>
      <c r="T10707" t="s">
        <v>49118</v>
      </c>
      <c r="U10707" t="s">
        <v>58489</v>
      </c>
      <c r="V10707" t="s">
        <v>63796</v>
      </c>
      <c r="W10707" t="s">
        <v>46570</v>
      </c>
      <c r="X10707" t="s">
        <v>47440</v>
      </c>
    </row>
    <row r="10708" spans="1:24">
      <c r="A10708">
        <f>HYPERLINK("https://www.philgeps.gov.ph/GEPSNONPILOT/Tender/SplashBidNoticeAbstractUI.aspx?menuIndex=3&amp;refID=7148411&amp;Result=3","7148411")</f>
        <v>0</v>
      </c>
      <c r="B10708" t="s">
        <v>832</v>
      </c>
      <c r="C10708" t="s">
        <v>13961</v>
      </c>
      <c r="D10708" t="s">
        <v>19017</v>
      </c>
      <c r="E10708" t="s">
        <v>28308</v>
      </c>
      <c r="F10708" t="s">
        <v>32831</v>
      </c>
      <c r="G10708" t="s">
        <v>32842</v>
      </c>
      <c r="H10708" t="s">
        <v>32848</v>
      </c>
      <c r="I10708" t="s">
        <v>32860</v>
      </c>
      <c r="J10708" t="s">
        <v>34488</v>
      </c>
      <c r="K10708" t="s">
        <v>42745</v>
      </c>
      <c r="M10708" t="s">
        <v>43864</v>
      </c>
      <c r="N10708" t="s">
        <v>47424</v>
      </c>
      <c r="O10708" t="s">
        <v>47425</v>
      </c>
      <c r="Q10708">
        <v>4</v>
      </c>
      <c r="R10708" t="s">
        <v>47436</v>
      </c>
      <c r="S10708" t="s">
        <v>47711</v>
      </c>
      <c r="T10708" t="s">
        <v>49127</v>
      </c>
      <c r="U10708" t="s">
        <v>51215</v>
      </c>
      <c r="V10708" t="s">
        <v>63791</v>
      </c>
      <c r="W10708" t="s">
        <v>43864</v>
      </c>
      <c r="X10708" t="s">
        <v>47437</v>
      </c>
    </row>
    <row r="10709" spans="1:24">
      <c r="A10709">
        <f>HYPERLINK("https://www.philgeps.gov.ph/GEPSNONPILOT/Tender/SplashBidNoticeAbstractUI.aspx?menuIndex=3&amp;refID=7139274&amp;Result=3","7139274")</f>
        <v>0</v>
      </c>
      <c r="B10709" t="s">
        <v>607</v>
      </c>
      <c r="C10709" t="s">
        <v>13962</v>
      </c>
      <c r="D10709" t="s">
        <v>19017</v>
      </c>
      <c r="E10709" t="s">
        <v>28309</v>
      </c>
      <c r="F10709" t="s">
        <v>32831</v>
      </c>
      <c r="G10709" t="s">
        <v>32839</v>
      </c>
      <c r="H10709" t="s">
        <v>32848</v>
      </c>
      <c r="I10709" t="s">
        <v>4558</v>
      </c>
      <c r="J10709" t="s">
        <v>39574</v>
      </c>
      <c r="K10709" t="s">
        <v>42731</v>
      </c>
      <c r="M10709" t="s">
        <v>46571</v>
      </c>
      <c r="N10709" t="s">
        <v>47424</v>
      </c>
      <c r="O10709" t="s">
        <v>47425</v>
      </c>
      <c r="P10709">
        <v>0</v>
      </c>
      <c r="Q10709">
        <v>21</v>
      </c>
      <c r="R10709" t="s">
        <v>47437</v>
      </c>
      <c r="S10709" t="s">
        <v>47706</v>
      </c>
      <c r="T10709" t="s">
        <v>49236</v>
      </c>
      <c r="U10709" t="s">
        <v>58490</v>
      </c>
      <c r="W10709" t="s">
        <v>46571</v>
      </c>
      <c r="X10709" t="s">
        <v>47440</v>
      </c>
    </row>
    <row r="10710" spans="1:24">
      <c r="A10710">
        <f>HYPERLINK("https://www.philgeps.gov.ph/GEPSNONPILOT/Tender/SplashBidNoticeAbstractUI.aspx?menuIndex=3&amp;refID=7140090&amp;Result=3","7140090")</f>
        <v>0</v>
      </c>
      <c r="B10710" t="s">
        <v>1541</v>
      </c>
      <c r="C10710" t="s">
        <v>13963</v>
      </c>
      <c r="D10710" t="s">
        <v>19019</v>
      </c>
      <c r="E10710" t="s">
        <v>28310</v>
      </c>
      <c r="F10710" t="s">
        <v>32831</v>
      </c>
      <c r="G10710" t="s">
        <v>32839</v>
      </c>
      <c r="H10710" t="s">
        <v>32848</v>
      </c>
      <c r="I10710" t="s">
        <v>32861</v>
      </c>
      <c r="J10710" t="s">
        <v>38391</v>
      </c>
      <c r="K10710" t="s">
        <v>42730</v>
      </c>
      <c r="M10710" t="s">
        <v>44645</v>
      </c>
      <c r="N10710" t="s">
        <v>47424</v>
      </c>
      <c r="O10710" t="s">
        <v>47425</v>
      </c>
      <c r="P10710">
        <v>0</v>
      </c>
      <c r="Q10710">
        <v>10</v>
      </c>
      <c r="R10710" t="s">
        <v>47437</v>
      </c>
      <c r="S10710" t="s">
        <v>47706</v>
      </c>
      <c r="T10710" t="s">
        <v>49192</v>
      </c>
      <c r="U10710" t="s">
        <v>58491</v>
      </c>
      <c r="V10710" t="s">
        <v>63797</v>
      </c>
      <c r="W10710" t="s">
        <v>44645</v>
      </c>
      <c r="X10710" t="s">
        <v>47440</v>
      </c>
    </row>
    <row r="10711" spans="1:24">
      <c r="A10711">
        <f>HYPERLINK("https://www.philgeps.gov.ph/GEPSNONPILOT/Tender/SplashBidNoticeAbstractUI.aspx?menuIndex=3&amp;refID=7139469&amp;Result=3","7139469")</f>
        <v>0</v>
      </c>
      <c r="B10711" t="s">
        <v>3256</v>
      </c>
      <c r="C10711" t="s">
        <v>13964</v>
      </c>
      <c r="D10711" t="s">
        <v>19040</v>
      </c>
      <c r="E10711" t="s">
        <v>28311</v>
      </c>
      <c r="F10711" t="s">
        <v>32831</v>
      </c>
      <c r="G10711" t="s">
        <v>32839</v>
      </c>
      <c r="H10711" t="s">
        <v>32848</v>
      </c>
      <c r="I10711" t="s">
        <v>32870</v>
      </c>
      <c r="J10711" t="s">
        <v>39575</v>
      </c>
      <c r="K10711" t="s">
        <v>42745</v>
      </c>
      <c r="M10711" t="s">
        <v>46572</v>
      </c>
      <c r="N10711" t="s">
        <v>47424</v>
      </c>
      <c r="O10711" t="s">
        <v>47425</v>
      </c>
      <c r="P10711">
        <v>0</v>
      </c>
      <c r="Q10711">
        <v>0</v>
      </c>
      <c r="R10711" t="s">
        <v>47437</v>
      </c>
      <c r="S10711" t="s">
        <v>47706</v>
      </c>
      <c r="T10711" t="s">
        <v>49063</v>
      </c>
      <c r="U10711" t="s">
        <v>58492</v>
      </c>
      <c r="W10711" t="s">
        <v>46572</v>
      </c>
      <c r="X10711" t="s">
        <v>47440</v>
      </c>
    </row>
    <row r="10712" spans="1:24">
      <c r="A10712">
        <f>HYPERLINK("https://www.philgeps.gov.ph/GEPSNONPILOT/Tender/SplashBidNoticeAbstractUI.aspx?menuIndex=3&amp;refID=7138284&amp;Result=3","7138284")</f>
        <v>0</v>
      </c>
      <c r="B10712" t="s">
        <v>171</v>
      </c>
      <c r="C10712" t="s">
        <v>13965</v>
      </c>
      <c r="D10712" t="s">
        <v>19122</v>
      </c>
      <c r="E10712" t="s">
        <v>28312</v>
      </c>
      <c r="F10712" t="s">
        <v>32831</v>
      </c>
      <c r="G10712" t="s">
        <v>32839</v>
      </c>
      <c r="H10712" t="s">
        <v>32848</v>
      </c>
      <c r="I10712" t="s">
        <v>32875</v>
      </c>
      <c r="J10712" t="s">
        <v>39576</v>
      </c>
      <c r="K10712" t="s">
        <v>42730</v>
      </c>
      <c r="M10712" t="s">
        <v>43168</v>
      </c>
      <c r="N10712" t="s">
        <v>47424</v>
      </c>
      <c r="O10712" t="s">
        <v>47425</v>
      </c>
      <c r="P10712">
        <v>0</v>
      </c>
      <c r="Q10712">
        <v>1</v>
      </c>
      <c r="R10712" t="s">
        <v>47437</v>
      </c>
      <c r="S10712" t="s">
        <v>47706</v>
      </c>
      <c r="T10712" t="s">
        <v>49192</v>
      </c>
      <c r="U10712" t="s">
        <v>58493</v>
      </c>
      <c r="W10712" t="s">
        <v>64432</v>
      </c>
      <c r="X10712" t="s">
        <v>47441</v>
      </c>
    </row>
    <row r="10713" spans="1:24">
      <c r="A10713">
        <f>HYPERLINK("https://www.philgeps.gov.ph/GEPSNONPILOT/Tender/SplashBidNoticeAbstractUI.aspx?menuIndex=3&amp;refID=7138413&amp;Result=3","7138413")</f>
        <v>0</v>
      </c>
      <c r="B10713" t="s">
        <v>171</v>
      </c>
      <c r="C10713" t="s">
        <v>13966</v>
      </c>
      <c r="D10713" t="s">
        <v>19077</v>
      </c>
      <c r="E10713" t="s">
        <v>28313</v>
      </c>
      <c r="F10713" t="s">
        <v>32831</v>
      </c>
      <c r="G10713" t="s">
        <v>32839</v>
      </c>
      <c r="H10713" t="s">
        <v>32848</v>
      </c>
      <c r="I10713" t="s">
        <v>32859</v>
      </c>
      <c r="J10713" t="s">
        <v>39577</v>
      </c>
      <c r="K10713" t="s">
        <v>42730</v>
      </c>
      <c r="M10713" t="s">
        <v>43168</v>
      </c>
      <c r="N10713" t="s">
        <v>47424</v>
      </c>
      <c r="O10713" t="s">
        <v>47425</v>
      </c>
      <c r="P10713">
        <v>0</v>
      </c>
      <c r="Q10713">
        <v>3</v>
      </c>
      <c r="R10713" t="s">
        <v>47437</v>
      </c>
      <c r="S10713" t="s">
        <v>47706</v>
      </c>
      <c r="T10713" t="s">
        <v>49192</v>
      </c>
      <c r="U10713" t="s">
        <v>58494</v>
      </c>
      <c r="W10713" t="s">
        <v>64432</v>
      </c>
      <c r="X10713" t="s">
        <v>47441</v>
      </c>
    </row>
    <row r="10714" spans="1:24">
      <c r="A10714">
        <f>HYPERLINK("https://www.philgeps.gov.ph/GEPSNONPILOT/Tender/SplashBidNoticeAbstractUI.aspx?menuIndex=3&amp;refID=7137874&amp;Result=3","7137874")</f>
        <v>0</v>
      </c>
      <c r="B10714" t="s">
        <v>618</v>
      </c>
      <c r="C10714" t="s">
        <v>13967</v>
      </c>
      <c r="D10714" t="s">
        <v>19084</v>
      </c>
      <c r="E10714" t="s">
        <v>28314</v>
      </c>
      <c r="F10714" t="s">
        <v>32831</v>
      </c>
      <c r="G10714" t="s">
        <v>32839</v>
      </c>
      <c r="H10714" t="s">
        <v>32849</v>
      </c>
      <c r="I10714" t="s">
        <v>4177</v>
      </c>
      <c r="J10714" t="s">
        <v>33465</v>
      </c>
      <c r="K10714" t="s">
        <v>42770</v>
      </c>
      <c r="M10714" t="s">
        <v>43634</v>
      </c>
      <c r="N10714" t="s">
        <v>47424</v>
      </c>
      <c r="O10714" t="s">
        <v>47425</v>
      </c>
      <c r="P10714">
        <v>0</v>
      </c>
      <c r="Q10714">
        <v>1</v>
      </c>
      <c r="R10714" t="s">
        <v>47437</v>
      </c>
      <c r="S10714" t="s">
        <v>47706</v>
      </c>
      <c r="T10714" t="s">
        <v>49236</v>
      </c>
      <c r="U10714" t="s">
        <v>58488</v>
      </c>
      <c r="V10714" t="s">
        <v>63798</v>
      </c>
      <c r="W10714" t="s">
        <v>43634</v>
      </c>
      <c r="X10714" t="s">
        <v>47441</v>
      </c>
    </row>
    <row r="10715" spans="1:24">
      <c r="A10715">
        <f>HYPERLINK("https://www.philgeps.gov.ph/GEPSNONPILOT/Tender/SplashBidNoticeAbstractUI.aspx?menuIndex=3&amp;refID=7148445&amp;Result=3","7148445")</f>
        <v>0</v>
      </c>
      <c r="B10715" t="s">
        <v>3257</v>
      </c>
      <c r="C10715" t="s">
        <v>13968</v>
      </c>
      <c r="E10715" t="s">
        <v>28315</v>
      </c>
      <c r="F10715" t="s">
        <v>32831</v>
      </c>
      <c r="G10715" t="s">
        <v>32839</v>
      </c>
      <c r="H10715" t="s">
        <v>32848</v>
      </c>
      <c r="I10715" t="s">
        <v>32968</v>
      </c>
      <c r="J10715" t="s">
        <v>39578</v>
      </c>
      <c r="K10715" t="s">
        <v>42732</v>
      </c>
      <c r="M10715" t="s">
        <v>46573</v>
      </c>
      <c r="N10715" t="s">
        <v>47424</v>
      </c>
      <c r="O10715" t="s">
        <v>47425</v>
      </c>
      <c r="Q10715">
        <v>3</v>
      </c>
      <c r="R10715" t="s">
        <v>47436</v>
      </c>
      <c r="S10715" t="s">
        <v>47712</v>
      </c>
      <c r="T10715" t="s">
        <v>49221</v>
      </c>
      <c r="U10715" t="s">
        <v>58495</v>
      </c>
      <c r="V10715" t="s">
        <v>63799</v>
      </c>
      <c r="W10715" t="s">
        <v>46573</v>
      </c>
      <c r="X10715" t="s">
        <v>47437</v>
      </c>
    </row>
    <row r="10716" spans="1:24">
      <c r="A10716">
        <f>HYPERLINK("https://www.philgeps.gov.ph/GEPSNONPILOT/Tender/SplashBidNoticeAbstractUI.aspx?menuIndex=3&amp;refID=7137819&amp;Result=3","7137819")</f>
        <v>0</v>
      </c>
      <c r="B10716" t="s">
        <v>618</v>
      </c>
      <c r="C10716" t="s">
        <v>13969</v>
      </c>
      <c r="D10716" t="s">
        <v>19084</v>
      </c>
      <c r="E10716" t="s">
        <v>28316</v>
      </c>
      <c r="F10716" t="s">
        <v>32831</v>
      </c>
      <c r="G10716" t="s">
        <v>32839</v>
      </c>
      <c r="H10716" t="s">
        <v>32849</v>
      </c>
      <c r="I10716" t="s">
        <v>4177</v>
      </c>
      <c r="J10716" t="s">
        <v>33465</v>
      </c>
      <c r="K10716" t="s">
        <v>42770</v>
      </c>
      <c r="M10716" t="s">
        <v>43634</v>
      </c>
      <c r="N10716" t="s">
        <v>47424</v>
      </c>
      <c r="O10716" t="s">
        <v>47425</v>
      </c>
      <c r="P10716">
        <v>0</v>
      </c>
      <c r="Q10716">
        <v>1</v>
      </c>
      <c r="R10716" t="s">
        <v>47437</v>
      </c>
      <c r="S10716" t="s">
        <v>47706</v>
      </c>
      <c r="T10716" t="s">
        <v>49236</v>
      </c>
      <c r="U10716" t="s">
        <v>58488</v>
      </c>
      <c r="V10716" t="s">
        <v>63800</v>
      </c>
      <c r="W10716" t="s">
        <v>43634</v>
      </c>
      <c r="X10716" t="s">
        <v>47441</v>
      </c>
    </row>
    <row r="10717" spans="1:24">
      <c r="A10717">
        <f>HYPERLINK("https://www.philgeps.gov.ph/GEPSNONPILOT/Tender/SplashBidNoticeAbstractUI.aspx?menuIndex=3&amp;refID=7137783&amp;Result=3","7137783")</f>
        <v>0</v>
      </c>
      <c r="B10717" t="s">
        <v>618</v>
      </c>
      <c r="C10717" t="s">
        <v>13970</v>
      </c>
      <c r="D10717" t="s">
        <v>19084</v>
      </c>
      <c r="E10717" t="s">
        <v>28317</v>
      </c>
      <c r="F10717" t="s">
        <v>32831</v>
      </c>
      <c r="G10717" t="s">
        <v>32839</v>
      </c>
      <c r="H10717" t="s">
        <v>32849</v>
      </c>
      <c r="I10717" t="s">
        <v>4177</v>
      </c>
      <c r="J10717" t="s">
        <v>33465</v>
      </c>
      <c r="K10717" t="s">
        <v>42770</v>
      </c>
      <c r="M10717" t="s">
        <v>43634</v>
      </c>
      <c r="N10717" t="s">
        <v>47424</v>
      </c>
      <c r="O10717" t="s">
        <v>47425</v>
      </c>
      <c r="P10717">
        <v>0</v>
      </c>
      <c r="Q10717">
        <v>1</v>
      </c>
      <c r="R10717" t="s">
        <v>47437</v>
      </c>
      <c r="S10717" t="s">
        <v>47706</v>
      </c>
      <c r="T10717" t="s">
        <v>49236</v>
      </c>
      <c r="U10717" t="s">
        <v>58488</v>
      </c>
      <c r="V10717" t="s">
        <v>63801</v>
      </c>
      <c r="W10717" t="s">
        <v>43634</v>
      </c>
      <c r="X10717" t="s">
        <v>47441</v>
      </c>
    </row>
    <row r="10718" spans="1:24">
      <c r="A10718">
        <f>HYPERLINK("https://www.philgeps.gov.ph/GEPSNONPILOT/Tender/SplashBidNoticeAbstractUI.aspx?menuIndex=3&amp;refID=7137711&amp;Result=3","7137711")</f>
        <v>0</v>
      </c>
      <c r="B10718" t="s">
        <v>618</v>
      </c>
      <c r="C10718" t="s">
        <v>13971</v>
      </c>
      <c r="D10718" t="s">
        <v>19084</v>
      </c>
      <c r="E10718" t="s">
        <v>28318</v>
      </c>
      <c r="F10718" t="s">
        <v>32831</v>
      </c>
      <c r="G10718" t="s">
        <v>32839</v>
      </c>
      <c r="H10718" t="s">
        <v>32849</v>
      </c>
      <c r="I10718" t="s">
        <v>4177</v>
      </c>
      <c r="J10718" t="s">
        <v>33465</v>
      </c>
      <c r="K10718" t="s">
        <v>42770</v>
      </c>
      <c r="M10718" t="s">
        <v>43634</v>
      </c>
      <c r="N10718" t="s">
        <v>47424</v>
      </c>
      <c r="O10718" t="s">
        <v>47425</v>
      </c>
      <c r="P10718">
        <v>0</v>
      </c>
      <c r="Q10718">
        <v>1</v>
      </c>
      <c r="R10718" t="s">
        <v>47437</v>
      </c>
      <c r="S10718" t="s">
        <v>47706</v>
      </c>
      <c r="T10718" t="s">
        <v>49236</v>
      </c>
      <c r="U10718" t="s">
        <v>58488</v>
      </c>
      <c r="V10718" t="s">
        <v>63802</v>
      </c>
      <c r="W10718" t="s">
        <v>43634</v>
      </c>
      <c r="X10718" t="s">
        <v>47441</v>
      </c>
    </row>
    <row r="10719" spans="1:24">
      <c r="A10719">
        <f>HYPERLINK("https://www.philgeps.gov.ph/GEPSNONPILOT/Tender/SplashBidNoticeAbstractUI.aspx?menuIndex=3&amp;refID=7137592&amp;Result=3","7137592")</f>
        <v>0</v>
      </c>
      <c r="B10719" t="s">
        <v>618</v>
      </c>
      <c r="C10719" t="s">
        <v>13972</v>
      </c>
      <c r="D10719" t="s">
        <v>19084</v>
      </c>
      <c r="E10719" t="s">
        <v>28319</v>
      </c>
      <c r="F10719" t="s">
        <v>32831</v>
      </c>
      <c r="G10719" t="s">
        <v>32839</v>
      </c>
      <c r="H10719" t="s">
        <v>32849</v>
      </c>
      <c r="I10719" t="s">
        <v>4177</v>
      </c>
      <c r="J10719" t="s">
        <v>33465</v>
      </c>
      <c r="K10719" t="s">
        <v>42770</v>
      </c>
      <c r="M10719" t="s">
        <v>43634</v>
      </c>
      <c r="N10719" t="s">
        <v>47424</v>
      </c>
      <c r="O10719" t="s">
        <v>47425</v>
      </c>
      <c r="P10719">
        <v>0</v>
      </c>
      <c r="Q10719">
        <v>3</v>
      </c>
      <c r="R10719" t="s">
        <v>47437</v>
      </c>
      <c r="S10719" t="s">
        <v>47706</v>
      </c>
      <c r="T10719" t="s">
        <v>49236</v>
      </c>
      <c r="U10719" t="s">
        <v>58488</v>
      </c>
      <c r="V10719" t="s">
        <v>63803</v>
      </c>
      <c r="W10719" t="s">
        <v>43634</v>
      </c>
      <c r="X10719" t="s">
        <v>47441</v>
      </c>
    </row>
    <row r="10720" spans="1:24">
      <c r="A10720">
        <f>HYPERLINK("https://www.philgeps.gov.ph/GEPSNONPILOT/Tender/SplashBidNoticeAbstractUI.aspx?menuIndex=3&amp;refID=7139199&amp;Result=3","7139199")</f>
        <v>0</v>
      </c>
      <c r="B10720" t="s">
        <v>607</v>
      </c>
      <c r="C10720" t="s">
        <v>13973</v>
      </c>
      <c r="D10720" t="s">
        <v>19017</v>
      </c>
      <c r="E10720" t="s">
        <v>28320</v>
      </c>
      <c r="F10720" t="s">
        <v>32831</v>
      </c>
      <c r="G10720" t="s">
        <v>32839</v>
      </c>
      <c r="H10720" t="s">
        <v>32848</v>
      </c>
      <c r="I10720" t="s">
        <v>4558</v>
      </c>
      <c r="J10720" t="s">
        <v>39579</v>
      </c>
      <c r="K10720" t="s">
        <v>42731</v>
      </c>
      <c r="M10720" t="s">
        <v>46571</v>
      </c>
      <c r="N10720" t="s">
        <v>47424</v>
      </c>
      <c r="O10720" t="s">
        <v>47425</v>
      </c>
      <c r="P10720">
        <v>0</v>
      </c>
      <c r="Q10720">
        <v>15</v>
      </c>
      <c r="R10720" t="s">
        <v>47437</v>
      </c>
      <c r="S10720" t="s">
        <v>47706</v>
      </c>
      <c r="T10720" t="s">
        <v>49236</v>
      </c>
      <c r="U10720" t="s">
        <v>58496</v>
      </c>
      <c r="W10720" t="s">
        <v>46571</v>
      </c>
      <c r="X10720" t="s">
        <v>47440</v>
      </c>
    </row>
    <row r="10721" spans="1:24">
      <c r="A10721">
        <f>HYPERLINK("https://www.philgeps.gov.ph/GEPSNONPILOT/Tender/SplashBidNoticeAbstractUI.aspx?menuIndex=3&amp;refID=7132125&amp;Result=3","7132125")</f>
        <v>0</v>
      </c>
      <c r="B10721" t="s">
        <v>1037</v>
      </c>
      <c r="C10721" t="s">
        <v>13974</v>
      </c>
      <c r="D10721" t="s">
        <v>19100</v>
      </c>
      <c r="E10721" t="s">
        <v>23155</v>
      </c>
      <c r="F10721" t="s">
        <v>32831</v>
      </c>
      <c r="G10721" t="s">
        <v>32839</v>
      </c>
      <c r="H10721" t="s">
        <v>32848</v>
      </c>
      <c r="I10721" t="s">
        <v>7416</v>
      </c>
      <c r="J10721" t="s">
        <v>39580</v>
      </c>
      <c r="K10721" t="s">
        <v>42750</v>
      </c>
      <c r="M10721" t="s">
        <v>44091</v>
      </c>
      <c r="N10721" t="s">
        <v>47424</v>
      </c>
      <c r="O10721" t="s">
        <v>47425</v>
      </c>
      <c r="P10721">
        <v>0</v>
      </c>
      <c r="Q10721">
        <v>0</v>
      </c>
      <c r="R10721" t="s">
        <v>47437</v>
      </c>
      <c r="S10721" t="s">
        <v>47706</v>
      </c>
      <c r="T10721" t="s">
        <v>49239</v>
      </c>
      <c r="U10721" t="s">
        <v>58497</v>
      </c>
      <c r="W10721" t="s">
        <v>44091</v>
      </c>
      <c r="X10721" t="s">
        <v>47445</v>
      </c>
    </row>
    <row r="10722" spans="1:24">
      <c r="A10722">
        <f>HYPERLINK("https://www.philgeps.gov.ph/GEPSNONPILOT/Tender/SplashBidNoticeAbstractUI.aspx?menuIndex=3&amp;refID=7132004&amp;Result=3","7132004")</f>
        <v>0</v>
      </c>
      <c r="B10722" t="s">
        <v>1037</v>
      </c>
      <c r="C10722" t="s">
        <v>13975</v>
      </c>
      <c r="D10722" t="s">
        <v>19100</v>
      </c>
      <c r="E10722" t="s">
        <v>26290</v>
      </c>
      <c r="F10722" t="s">
        <v>32831</v>
      </c>
      <c r="G10722" t="s">
        <v>32839</v>
      </c>
      <c r="H10722" t="s">
        <v>32848</v>
      </c>
      <c r="I10722" t="s">
        <v>9577</v>
      </c>
      <c r="J10722" t="s">
        <v>39581</v>
      </c>
      <c r="K10722" t="s">
        <v>42750</v>
      </c>
      <c r="M10722" t="s">
        <v>44091</v>
      </c>
      <c r="N10722" t="s">
        <v>47424</v>
      </c>
      <c r="O10722" t="s">
        <v>47425</v>
      </c>
      <c r="P10722">
        <v>0</v>
      </c>
      <c r="Q10722">
        <v>2</v>
      </c>
      <c r="R10722" t="s">
        <v>47437</v>
      </c>
      <c r="S10722" t="s">
        <v>47706</v>
      </c>
      <c r="T10722" t="s">
        <v>49239</v>
      </c>
      <c r="U10722" t="s">
        <v>58498</v>
      </c>
      <c r="W10722" t="s">
        <v>44091</v>
      </c>
      <c r="X10722" t="s">
        <v>47445</v>
      </c>
    </row>
    <row r="10723" spans="1:24">
      <c r="A10723">
        <f>HYPERLINK("https://www.philgeps.gov.ph/GEPSNONPILOT/Tender/SplashBidNoticeAbstractUI.aspx?menuIndex=3&amp;refID=7138243&amp;Result=3","7138243")</f>
        <v>0</v>
      </c>
      <c r="B10723" t="s">
        <v>171</v>
      </c>
      <c r="C10723" t="s">
        <v>13976</v>
      </c>
      <c r="D10723" t="s">
        <v>19076</v>
      </c>
      <c r="E10723" t="s">
        <v>28321</v>
      </c>
      <c r="F10723" t="s">
        <v>32831</v>
      </c>
      <c r="G10723" t="s">
        <v>32839</v>
      </c>
      <c r="H10723" t="s">
        <v>32848</v>
      </c>
      <c r="I10723" t="s">
        <v>32859</v>
      </c>
      <c r="J10723" t="s">
        <v>39582</v>
      </c>
      <c r="K10723" t="s">
        <v>42747</v>
      </c>
      <c r="M10723" t="s">
        <v>43168</v>
      </c>
      <c r="N10723" t="s">
        <v>47424</v>
      </c>
      <c r="O10723" t="s">
        <v>47425</v>
      </c>
      <c r="P10723">
        <v>0</v>
      </c>
      <c r="Q10723">
        <v>1</v>
      </c>
      <c r="R10723" t="s">
        <v>47437</v>
      </c>
      <c r="S10723" t="s">
        <v>47706</v>
      </c>
      <c r="T10723" t="s">
        <v>49204</v>
      </c>
      <c r="U10723" t="s">
        <v>58499</v>
      </c>
      <c r="W10723" t="s">
        <v>64432</v>
      </c>
      <c r="X10723" t="s">
        <v>47441</v>
      </c>
    </row>
    <row r="10724" spans="1:24">
      <c r="A10724">
        <f>HYPERLINK("https://www.philgeps.gov.ph/GEPSNONPILOT/Tender/SplashBidNoticeAbstractUI.aspx?menuIndex=3&amp;refID=7132954&amp;Result=3","7132954")</f>
        <v>0</v>
      </c>
      <c r="B10724" t="s">
        <v>3258</v>
      </c>
      <c r="C10724" t="s">
        <v>13977</v>
      </c>
      <c r="D10724" t="s">
        <v>19022</v>
      </c>
      <c r="E10724" t="s">
        <v>28322</v>
      </c>
      <c r="F10724" t="s">
        <v>32833</v>
      </c>
      <c r="G10724" t="s">
        <v>32839</v>
      </c>
      <c r="H10724" t="s">
        <v>32849</v>
      </c>
      <c r="I10724" t="s">
        <v>4177</v>
      </c>
      <c r="J10724" t="s">
        <v>35531</v>
      </c>
      <c r="K10724" t="s">
        <v>42729</v>
      </c>
      <c r="M10724" t="s">
        <v>46574</v>
      </c>
      <c r="N10724" t="s">
        <v>47424</v>
      </c>
      <c r="O10724" t="s">
        <v>47425</v>
      </c>
      <c r="Q10724">
        <v>3</v>
      </c>
      <c r="R10724" t="s">
        <v>47437</v>
      </c>
      <c r="S10724" t="s">
        <v>47713</v>
      </c>
      <c r="T10724" t="s">
        <v>49057</v>
      </c>
      <c r="U10724" t="s">
        <v>58500</v>
      </c>
      <c r="W10724" t="s">
        <v>46574</v>
      </c>
      <c r="X10724" t="s">
        <v>47444</v>
      </c>
    </row>
    <row r="10725" spans="1:24">
      <c r="A10725">
        <f>HYPERLINK("https://www.philgeps.gov.ph/GEPSNONPILOT/Tender/SplashBidNoticeAbstractUI.aspx?menuIndex=3&amp;refID=7148529&amp;Result=3","7148529")</f>
        <v>0</v>
      </c>
      <c r="B10725" t="s">
        <v>2149</v>
      </c>
      <c r="C10725" t="s">
        <v>13978</v>
      </c>
      <c r="D10725" t="s">
        <v>19043</v>
      </c>
      <c r="E10725" t="s">
        <v>28323</v>
      </c>
      <c r="F10725" t="s">
        <v>32831</v>
      </c>
      <c r="G10725" t="s">
        <v>32839</v>
      </c>
      <c r="H10725" t="s">
        <v>32849</v>
      </c>
      <c r="I10725" t="s">
        <v>4177</v>
      </c>
      <c r="J10725" t="s">
        <v>39583</v>
      </c>
      <c r="K10725" t="s">
        <v>42727</v>
      </c>
      <c r="M10725" t="s">
        <v>45329</v>
      </c>
      <c r="N10725" t="s">
        <v>47424</v>
      </c>
      <c r="O10725" t="s">
        <v>47425</v>
      </c>
      <c r="P10725">
        <v>0</v>
      </c>
      <c r="Q10725">
        <v>1</v>
      </c>
      <c r="R10725" t="s">
        <v>47436</v>
      </c>
      <c r="S10725" t="s">
        <v>47702</v>
      </c>
      <c r="T10725" t="s">
        <v>49114</v>
      </c>
      <c r="U10725" t="s">
        <v>58501</v>
      </c>
      <c r="W10725" t="s">
        <v>45329</v>
      </c>
      <c r="X10725" t="s">
        <v>47437</v>
      </c>
    </row>
    <row r="10726" spans="1:24">
      <c r="A10726">
        <f>HYPERLINK("https://www.philgeps.gov.ph/GEPSNONPILOT/Tender/SplashBidNoticeAbstractUI.aspx?menuIndex=3&amp;refID=7148520&amp;Result=3","7148520")</f>
        <v>0</v>
      </c>
      <c r="B10726" t="s">
        <v>3259</v>
      </c>
      <c r="C10726" t="s">
        <v>13979</v>
      </c>
      <c r="D10726" t="s">
        <v>19086</v>
      </c>
      <c r="E10726" t="s">
        <v>28324</v>
      </c>
      <c r="F10726" t="s">
        <v>32831</v>
      </c>
      <c r="G10726" t="s">
        <v>32839</v>
      </c>
      <c r="H10726" t="s">
        <v>32848</v>
      </c>
      <c r="I10726" t="s">
        <v>32860</v>
      </c>
      <c r="J10726" t="s">
        <v>33078</v>
      </c>
      <c r="K10726" t="s">
        <v>42731</v>
      </c>
      <c r="M10726" t="s">
        <v>46575</v>
      </c>
      <c r="N10726" t="s">
        <v>47424</v>
      </c>
      <c r="O10726" t="s">
        <v>47425</v>
      </c>
      <c r="P10726">
        <v>0</v>
      </c>
      <c r="Q10726">
        <v>3</v>
      </c>
      <c r="R10726" t="s">
        <v>47436</v>
      </c>
      <c r="S10726" t="s">
        <v>47702</v>
      </c>
      <c r="T10726" t="s">
        <v>49124</v>
      </c>
      <c r="U10726" t="s">
        <v>58502</v>
      </c>
      <c r="W10726" t="s">
        <v>46575</v>
      </c>
      <c r="X10726" t="s">
        <v>47437</v>
      </c>
    </row>
    <row r="10727" spans="1:24">
      <c r="A10727">
        <f>HYPERLINK("https://www.philgeps.gov.ph/GEPSNONPILOT/Tender/SplashBidNoticeAbstractUI.aspx?menuIndex=3&amp;refID=7148491&amp;Result=3","7148491")</f>
        <v>0</v>
      </c>
      <c r="B10727" t="s">
        <v>3250</v>
      </c>
      <c r="C10727" t="s">
        <v>13980</v>
      </c>
      <c r="E10727" t="s">
        <v>28325</v>
      </c>
      <c r="F10727" t="s">
        <v>32831</v>
      </c>
      <c r="G10727" t="s">
        <v>32839</v>
      </c>
      <c r="H10727" t="s">
        <v>14069</v>
      </c>
      <c r="I10727" t="s">
        <v>14069</v>
      </c>
      <c r="J10727" t="s">
        <v>39584</v>
      </c>
      <c r="K10727" t="s">
        <v>42798</v>
      </c>
      <c r="M10727" t="s">
        <v>46566</v>
      </c>
      <c r="N10727" t="s">
        <v>47424</v>
      </c>
      <c r="O10727" t="s">
        <v>47425</v>
      </c>
      <c r="Q10727">
        <v>2</v>
      </c>
      <c r="R10727" t="s">
        <v>47436</v>
      </c>
      <c r="S10727" t="s">
        <v>47714</v>
      </c>
      <c r="T10727" t="s">
        <v>49111</v>
      </c>
      <c r="U10727" t="s">
        <v>58503</v>
      </c>
      <c r="W10727" t="s">
        <v>46566</v>
      </c>
      <c r="X10727" t="s">
        <v>47437</v>
      </c>
    </row>
    <row r="10728" spans="1:24">
      <c r="A10728">
        <f>HYPERLINK("https://www.philgeps.gov.ph/GEPSNONPILOT/Tender/SplashBidNoticeAbstractUI.aspx?menuIndex=3&amp;refID=7148298&amp;Result=3","7148298")</f>
        <v>0</v>
      </c>
      <c r="B10728" t="s">
        <v>3248</v>
      </c>
      <c r="C10728" t="s">
        <v>13981</v>
      </c>
      <c r="D10728" t="s">
        <v>19041</v>
      </c>
      <c r="E10728" t="s">
        <v>28326</v>
      </c>
      <c r="F10728" t="s">
        <v>32831</v>
      </c>
      <c r="G10728" t="s">
        <v>32839</v>
      </c>
      <c r="H10728" t="s">
        <v>32848</v>
      </c>
      <c r="I10728" t="s">
        <v>32886</v>
      </c>
      <c r="J10728" t="s">
        <v>39585</v>
      </c>
      <c r="K10728" t="s">
        <v>42729</v>
      </c>
      <c r="M10728" t="s">
        <v>46563</v>
      </c>
      <c r="N10728" t="s">
        <v>47424</v>
      </c>
      <c r="O10728" t="s">
        <v>47425</v>
      </c>
      <c r="P10728">
        <v>0</v>
      </c>
      <c r="Q10728">
        <v>5</v>
      </c>
      <c r="R10728" t="s">
        <v>47436</v>
      </c>
      <c r="S10728" t="s">
        <v>47702</v>
      </c>
      <c r="T10728" t="s">
        <v>49129</v>
      </c>
      <c r="U10728" t="s">
        <v>58504</v>
      </c>
      <c r="W10728" t="s">
        <v>46563</v>
      </c>
      <c r="X10728" t="s">
        <v>47437</v>
      </c>
    </row>
    <row r="10729" spans="1:24">
      <c r="A10729">
        <f>HYPERLINK("https://www.philgeps.gov.ph/GEPSNONPILOT/Tender/SplashBidNoticeAbstractUI.aspx?menuIndex=3&amp;refID=7126148-2&amp;Result=3","7126148-2")</f>
        <v>0</v>
      </c>
      <c r="B10729" t="s">
        <v>1493</v>
      </c>
      <c r="C10729" t="s">
        <v>13982</v>
      </c>
      <c r="D10729" t="s">
        <v>19019</v>
      </c>
      <c r="E10729" t="s">
        <v>28327</v>
      </c>
      <c r="F10729" t="s">
        <v>32831</v>
      </c>
      <c r="G10729" t="s">
        <v>32839</v>
      </c>
      <c r="H10729" t="s">
        <v>14069</v>
      </c>
      <c r="I10729" t="s">
        <v>14069</v>
      </c>
      <c r="J10729" t="s">
        <v>39586</v>
      </c>
      <c r="K10729" t="s">
        <v>42933</v>
      </c>
      <c r="M10729" t="s">
        <v>46564</v>
      </c>
      <c r="N10729" t="s">
        <v>47424</v>
      </c>
      <c r="O10729" t="s">
        <v>47425</v>
      </c>
      <c r="P10729">
        <v>0</v>
      </c>
      <c r="Q10729">
        <v>0</v>
      </c>
      <c r="R10729" t="s">
        <v>47437</v>
      </c>
      <c r="S10729" t="s">
        <v>47706</v>
      </c>
      <c r="T10729" t="s">
        <v>49196</v>
      </c>
      <c r="U10729" t="s">
        <v>58505</v>
      </c>
      <c r="V10729" t="s">
        <v>63793</v>
      </c>
      <c r="W10729" t="s">
        <v>46564</v>
      </c>
      <c r="X10729" t="s">
        <v>47438</v>
      </c>
    </row>
    <row r="10730" spans="1:24">
      <c r="A10730">
        <f>HYPERLINK("https://www.philgeps.gov.ph/GEPSNONPILOT/Tender/SplashBidNoticeAbstractUI.aspx?menuIndex=3&amp;refID=7148459&amp;Result=3","7148459")</f>
        <v>0</v>
      </c>
      <c r="B10730" t="s">
        <v>3248</v>
      </c>
      <c r="C10730" t="s">
        <v>13983</v>
      </c>
      <c r="D10730" t="s">
        <v>19020</v>
      </c>
      <c r="E10730" t="s">
        <v>28328</v>
      </c>
      <c r="F10730" t="s">
        <v>32831</v>
      </c>
      <c r="G10730" t="s">
        <v>32839</v>
      </c>
      <c r="H10730" t="s">
        <v>32848</v>
      </c>
      <c r="I10730" t="s">
        <v>32886</v>
      </c>
      <c r="J10730" t="s">
        <v>39587</v>
      </c>
      <c r="K10730" t="s">
        <v>42729</v>
      </c>
      <c r="M10730" t="s">
        <v>46563</v>
      </c>
      <c r="N10730" t="s">
        <v>47424</v>
      </c>
      <c r="O10730" t="s">
        <v>47425</v>
      </c>
      <c r="P10730">
        <v>0</v>
      </c>
      <c r="Q10730">
        <v>4</v>
      </c>
      <c r="R10730" t="s">
        <v>47436</v>
      </c>
      <c r="S10730" t="s">
        <v>47702</v>
      </c>
      <c r="T10730" t="s">
        <v>49129</v>
      </c>
      <c r="U10730" t="s">
        <v>58506</v>
      </c>
      <c r="W10730" t="s">
        <v>46563</v>
      </c>
      <c r="X10730" t="s">
        <v>47437</v>
      </c>
    </row>
    <row r="10731" spans="1:24">
      <c r="A10731">
        <f>HYPERLINK("https://www.philgeps.gov.ph/GEPSNONPILOT/Tender/SplashBidNoticeAbstractUI.aspx?menuIndex=3&amp;refID=7148497&amp;Result=3","7148497")</f>
        <v>0</v>
      </c>
      <c r="B10731" t="s">
        <v>2014</v>
      </c>
      <c r="C10731" t="s">
        <v>13984</v>
      </c>
      <c r="D10731" t="s">
        <v>19047</v>
      </c>
      <c r="E10731" t="s">
        <v>28329</v>
      </c>
      <c r="F10731" t="s">
        <v>32831</v>
      </c>
      <c r="G10731" t="s">
        <v>32839</v>
      </c>
      <c r="H10731" t="s">
        <v>32849</v>
      </c>
      <c r="I10731" t="s">
        <v>4177</v>
      </c>
      <c r="J10731" t="s">
        <v>33118</v>
      </c>
      <c r="K10731" t="s">
        <v>42729</v>
      </c>
      <c r="M10731" t="s">
        <v>45181</v>
      </c>
      <c r="N10731" t="s">
        <v>47424</v>
      </c>
      <c r="O10731" t="s">
        <v>47425</v>
      </c>
      <c r="P10731">
        <v>0</v>
      </c>
      <c r="Q10731">
        <v>0</v>
      </c>
      <c r="R10731" t="s">
        <v>47436</v>
      </c>
      <c r="S10731" t="s">
        <v>47702</v>
      </c>
      <c r="T10731" t="s">
        <v>49063</v>
      </c>
      <c r="U10731" t="s">
        <v>58507</v>
      </c>
      <c r="W10731" t="s">
        <v>45181</v>
      </c>
      <c r="X10731" t="s">
        <v>47437</v>
      </c>
    </row>
    <row r="10732" spans="1:24">
      <c r="A10732">
        <f>HYPERLINK("https://www.philgeps.gov.ph/GEPSNONPILOT/Tender/SplashBidNoticeAbstractUI.aspx?menuIndex=3&amp;refID=7148403&amp;Result=3","7148403")</f>
        <v>0</v>
      </c>
      <c r="B10732" t="s">
        <v>3260</v>
      </c>
      <c r="C10732" t="s">
        <v>13985</v>
      </c>
      <c r="D10732" t="s">
        <v>19044</v>
      </c>
      <c r="E10732" t="s">
        <v>28242</v>
      </c>
      <c r="F10732" t="s">
        <v>32831</v>
      </c>
      <c r="G10732" t="s">
        <v>32839</v>
      </c>
      <c r="H10732" t="s">
        <v>32849</v>
      </c>
      <c r="I10732" t="s">
        <v>7416</v>
      </c>
      <c r="J10732" t="s">
        <v>39588</v>
      </c>
      <c r="K10732" t="s">
        <v>42730</v>
      </c>
      <c r="M10732" t="s">
        <v>46576</v>
      </c>
      <c r="N10732" t="s">
        <v>47424</v>
      </c>
      <c r="O10732" t="s">
        <v>47425</v>
      </c>
      <c r="P10732">
        <v>0</v>
      </c>
      <c r="Q10732">
        <v>1</v>
      </c>
      <c r="R10732" t="s">
        <v>47436</v>
      </c>
      <c r="S10732" t="s">
        <v>47702</v>
      </c>
      <c r="T10732" t="s">
        <v>49204</v>
      </c>
      <c r="U10732" t="s">
        <v>58508</v>
      </c>
      <c r="W10732" t="s">
        <v>46576</v>
      </c>
      <c r="X10732" t="s">
        <v>47437</v>
      </c>
    </row>
    <row r="10733" spans="1:24">
      <c r="A10733">
        <f>HYPERLINK("https://www.philgeps.gov.ph/GEPSNONPILOT/Tender/SplashBidNoticeAbstractUI.aspx?menuIndex=3&amp;refID=7148346&amp;Result=3","7148346")</f>
        <v>0</v>
      </c>
      <c r="B10733" t="s">
        <v>2426</v>
      </c>
      <c r="C10733" t="s">
        <v>13986</v>
      </c>
      <c r="D10733" t="s">
        <v>19017</v>
      </c>
      <c r="E10733" t="s">
        <v>28330</v>
      </c>
      <c r="F10733" t="s">
        <v>32831</v>
      </c>
      <c r="G10733" t="s">
        <v>32839</v>
      </c>
      <c r="H10733" t="s">
        <v>32850</v>
      </c>
      <c r="I10733" t="s">
        <v>32862</v>
      </c>
      <c r="J10733" t="s">
        <v>39589</v>
      </c>
      <c r="K10733" t="s">
        <v>42780</v>
      </c>
      <c r="M10733" t="s">
        <v>45623</v>
      </c>
      <c r="N10733" t="s">
        <v>47424</v>
      </c>
      <c r="O10733" t="s">
        <v>47425</v>
      </c>
      <c r="Q10733">
        <v>2</v>
      </c>
      <c r="R10733" t="s">
        <v>47436</v>
      </c>
      <c r="S10733" t="s">
        <v>47715</v>
      </c>
      <c r="T10733" t="s">
        <v>49071</v>
      </c>
      <c r="U10733" t="s">
        <v>55423</v>
      </c>
      <c r="V10733" t="s">
        <v>63396</v>
      </c>
      <c r="W10733" t="s">
        <v>45623</v>
      </c>
      <c r="X10733" t="s">
        <v>47437</v>
      </c>
    </row>
    <row r="10734" spans="1:24">
      <c r="A10734">
        <f>HYPERLINK("https://www.philgeps.gov.ph/GEPSNONPILOT/Tender/SplashBidNoticeAbstractUI.aspx?menuIndex=3&amp;refID=7148400&amp;Result=3","7148400")</f>
        <v>0</v>
      </c>
      <c r="B10734" t="s">
        <v>3248</v>
      </c>
      <c r="C10734" t="s">
        <v>13987</v>
      </c>
      <c r="D10734" t="s">
        <v>19041</v>
      </c>
      <c r="E10734" t="s">
        <v>28331</v>
      </c>
      <c r="F10734" t="s">
        <v>32831</v>
      </c>
      <c r="G10734" t="s">
        <v>32839</v>
      </c>
      <c r="H10734" t="s">
        <v>32848</v>
      </c>
      <c r="I10734" t="s">
        <v>32886</v>
      </c>
      <c r="J10734" t="s">
        <v>39590</v>
      </c>
      <c r="K10734" t="s">
        <v>42729</v>
      </c>
      <c r="M10734" t="s">
        <v>46563</v>
      </c>
      <c r="N10734" t="s">
        <v>47424</v>
      </c>
      <c r="O10734" t="s">
        <v>47425</v>
      </c>
      <c r="P10734">
        <v>0</v>
      </c>
      <c r="Q10734">
        <v>5</v>
      </c>
      <c r="R10734" t="s">
        <v>47436</v>
      </c>
      <c r="S10734" t="s">
        <v>47702</v>
      </c>
      <c r="T10734" t="s">
        <v>49129</v>
      </c>
      <c r="U10734" t="s">
        <v>58509</v>
      </c>
      <c r="W10734" t="s">
        <v>46563</v>
      </c>
      <c r="X10734" t="s">
        <v>47437</v>
      </c>
    </row>
    <row r="10735" spans="1:24">
      <c r="A10735">
        <f>HYPERLINK("https://www.philgeps.gov.ph/GEPSNONPILOT/Tender/SplashBidNoticeAbstractUI.aspx?menuIndex=3&amp;refID=7148461&amp;Result=3","7148461")</f>
        <v>0</v>
      </c>
      <c r="B10735" t="s">
        <v>3248</v>
      </c>
      <c r="C10735" t="s">
        <v>13988</v>
      </c>
      <c r="D10735" t="s">
        <v>19020</v>
      </c>
      <c r="E10735" t="s">
        <v>28332</v>
      </c>
      <c r="F10735" t="s">
        <v>32831</v>
      </c>
      <c r="G10735" t="s">
        <v>32839</v>
      </c>
      <c r="H10735" t="s">
        <v>32848</v>
      </c>
      <c r="I10735" t="s">
        <v>32886</v>
      </c>
      <c r="J10735" t="s">
        <v>39591</v>
      </c>
      <c r="K10735" t="s">
        <v>42729</v>
      </c>
      <c r="M10735" t="s">
        <v>46563</v>
      </c>
      <c r="N10735" t="s">
        <v>47424</v>
      </c>
      <c r="O10735" t="s">
        <v>47425</v>
      </c>
      <c r="P10735">
        <v>0</v>
      </c>
      <c r="Q10735">
        <v>3</v>
      </c>
      <c r="R10735" t="s">
        <v>47436</v>
      </c>
      <c r="S10735" t="s">
        <v>47702</v>
      </c>
      <c r="T10735" t="s">
        <v>49129</v>
      </c>
      <c r="U10735" t="s">
        <v>58510</v>
      </c>
      <c r="W10735" t="s">
        <v>46563</v>
      </c>
      <c r="X10735" t="s">
        <v>47437</v>
      </c>
    </row>
    <row r="10736" spans="1:24">
      <c r="A10736">
        <f>HYPERLINK("https://www.philgeps.gov.ph/GEPSNONPILOT/Tender/SplashBidNoticeAbstractUI.aspx?menuIndex=3&amp;refID=7148397&amp;Result=3","7148397")</f>
        <v>0</v>
      </c>
      <c r="B10736" t="s">
        <v>3248</v>
      </c>
      <c r="C10736" t="s">
        <v>13989</v>
      </c>
      <c r="D10736" t="s">
        <v>19041</v>
      </c>
      <c r="E10736" t="s">
        <v>28333</v>
      </c>
      <c r="F10736" t="s">
        <v>32831</v>
      </c>
      <c r="G10736" t="s">
        <v>32839</v>
      </c>
      <c r="H10736" t="s">
        <v>32848</v>
      </c>
      <c r="I10736" t="s">
        <v>32886</v>
      </c>
      <c r="J10736" t="s">
        <v>39592</v>
      </c>
      <c r="K10736" t="s">
        <v>42729</v>
      </c>
      <c r="M10736" t="s">
        <v>46563</v>
      </c>
      <c r="N10736" t="s">
        <v>47424</v>
      </c>
      <c r="O10736" t="s">
        <v>47425</v>
      </c>
      <c r="P10736">
        <v>0</v>
      </c>
      <c r="Q10736">
        <v>5</v>
      </c>
      <c r="R10736" t="s">
        <v>47436</v>
      </c>
      <c r="S10736" t="s">
        <v>47702</v>
      </c>
      <c r="T10736" t="s">
        <v>49129</v>
      </c>
      <c r="U10736" t="s">
        <v>58511</v>
      </c>
      <c r="W10736" t="s">
        <v>46563</v>
      </c>
      <c r="X10736" t="s">
        <v>47437</v>
      </c>
    </row>
    <row r="10737" spans="1:24">
      <c r="A10737">
        <f>HYPERLINK("https://www.philgeps.gov.ph/GEPSNONPILOT/Tender/SplashBidNoticeAbstractUI.aspx?menuIndex=3&amp;refID=7148261&amp;Result=3","7148261")</f>
        <v>0</v>
      </c>
      <c r="B10737" t="s">
        <v>3238</v>
      </c>
      <c r="C10737" t="s">
        <v>13990</v>
      </c>
      <c r="D10737" t="s">
        <v>19086</v>
      </c>
      <c r="E10737" t="s">
        <v>28334</v>
      </c>
      <c r="F10737" t="s">
        <v>32831</v>
      </c>
      <c r="G10737" t="s">
        <v>32839</v>
      </c>
      <c r="H10737" t="s">
        <v>32849</v>
      </c>
      <c r="I10737" t="s">
        <v>4177</v>
      </c>
      <c r="J10737" t="s">
        <v>39593</v>
      </c>
      <c r="K10737" t="s">
        <v>42763</v>
      </c>
      <c r="M10737" t="s">
        <v>46553</v>
      </c>
      <c r="N10737" t="s">
        <v>47424</v>
      </c>
      <c r="O10737" t="s">
        <v>47425</v>
      </c>
      <c r="P10737">
        <v>0</v>
      </c>
      <c r="Q10737">
        <v>1</v>
      </c>
      <c r="R10737" t="s">
        <v>47436</v>
      </c>
      <c r="S10737" t="s">
        <v>47702</v>
      </c>
      <c r="T10737" t="s">
        <v>49080</v>
      </c>
      <c r="U10737" t="s">
        <v>54052</v>
      </c>
      <c r="W10737" t="s">
        <v>46553</v>
      </c>
      <c r="X10737" t="s">
        <v>47437</v>
      </c>
    </row>
    <row r="10738" spans="1:24">
      <c r="A10738">
        <f>HYPERLINK("https://www.philgeps.gov.ph/GEPSNONPILOT/Tender/SplashBidNoticeAbstractUI.aspx?menuIndex=3&amp;refID=7148407&amp;Result=3","7148407")</f>
        <v>0</v>
      </c>
      <c r="B10738" t="s">
        <v>3248</v>
      </c>
      <c r="C10738" t="s">
        <v>13991</v>
      </c>
      <c r="D10738" t="s">
        <v>19041</v>
      </c>
      <c r="E10738" t="s">
        <v>28335</v>
      </c>
      <c r="F10738" t="s">
        <v>32831</v>
      </c>
      <c r="G10738" t="s">
        <v>32839</v>
      </c>
      <c r="H10738" t="s">
        <v>32848</v>
      </c>
      <c r="I10738" t="s">
        <v>32886</v>
      </c>
      <c r="J10738" t="s">
        <v>32976</v>
      </c>
      <c r="K10738" t="s">
        <v>42729</v>
      </c>
      <c r="M10738" t="s">
        <v>46563</v>
      </c>
      <c r="N10738" t="s">
        <v>47424</v>
      </c>
      <c r="O10738" t="s">
        <v>47425</v>
      </c>
      <c r="P10738">
        <v>0</v>
      </c>
      <c r="Q10738">
        <v>2</v>
      </c>
      <c r="R10738" t="s">
        <v>47436</v>
      </c>
      <c r="S10738" t="s">
        <v>47702</v>
      </c>
      <c r="T10738" t="s">
        <v>49129</v>
      </c>
      <c r="U10738" t="s">
        <v>58512</v>
      </c>
      <c r="W10738" t="s">
        <v>46563</v>
      </c>
      <c r="X10738" t="s">
        <v>47437</v>
      </c>
    </row>
    <row r="10739" spans="1:24">
      <c r="A10739">
        <f>HYPERLINK("https://www.philgeps.gov.ph/GEPSNONPILOT/Tender/SplashBidNoticeAbstractUI.aspx?menuIndex=3&amp;refID=7148252&amp;Result=3","7148252")</f>
        <v>0</v>
      </c>
      <c r="B10739" t="s">
        <v>3238</v>
      </c>
      <c r="C10739" t="s">
        <v>13992</v>
      </c>
      <c r="D10739" t="s">
        <v>19086</v>
      </c>
      <c r="E10739" t="s">
        <v>28336</v>
      </c>
      <c r="F10739" t="s">
        <v>32831</v>
      </c>
      <c r="G10739" t="s">
        <v>32839</v>
      </c>
      <c r="H10739" t="s">
        <v>32849</v>
      </c>
      <c r="I10739" t="s">
        <v>4177</v>
      </c>
      <c r="J10739" t="s">
        <v>39594</v>
      </c>
      <c r="K10739" t="s">
        <v>42770</v>
      </c>
      <c r="M10739" t="s">
        <v>46553</v>
      </c>
      <c r="N10739" t="s">
        <v>47424</v>
      </c>
      <c r="O10739" t="s">
        <v>47425</v>
      </c>
      <c r="P10739">
        <v>0</v>
      </c>
      <c r="Q10739">
        <v>0</v>
      </c>
      <c r="R10739" t="s">
        <v>47436</v>
      </c>
      <c r="S10739" t="s">
        <v>47702</v>
      </c>
      <c r="T10739" t="s">
        <v>49080</v>
      </c>
      <c r="U10739" t="s">
        <v>58513</v>
      </c>
      <c r="W10739" t="s">
        <v>46553</v>
      </c>
      <c r="X10739" t="s">
        <v>47437</v>
      </c>
    </row>
    <row r="10740" spans="1:24">
      <c r="A10740">
        <f>HYPERLINK("https://www.philgeps.gov.ph/GEPSNONPILOT/Tender/SplashBidNoticeAbstractUI.aspx?menuIndex=3&amp;refID=7148250&amp;Result=3","7148250")</f>
        <v>0</v>
      </c>
      <c r="B10740" t="s">
        <v>3245</v>
      </c>
      <c r="C10740" t="s">
        <v>13993</v>
      </c>
      <c r="D10740" t="s">
        <v>19061</v>
      </c>
      <c r="E10740" t="s">
        <v>26794</v>
      </c>
      <c r="F10740" t="s">
        <v>32831</v>
      </c>
      <c r="G10740" t="s">
        <v>32839</v>
      </c>
      <c r="H10740" t="s">
        <v>32849</v>
      </c>
      <c r="I10740" t="s">
        <v>4177</v>
      </c>
      <c r="J10740" t="s">
        <v>39543</v>
      </c>
      <c r="K10740" t="s">
        <v>42770</v>
      </c>
      <c r="M10740" t="s">
        <v>46560</v>
      </c>
      <c r="N10740" t="s">
        <v>47424</v>
      </c>
      <c r="O10740" t="s">
        <v>47425</v>
      </c>
      <c r="P10740">
        <v>0</v>
      </c>
      <c r="Q10740">
        <v>5</v>
      </c>
      <c r="R10740" t="s">
        <v>47436</v>
      </c>
      <c r="S10740" t="s">
        <v>47702</v>
      </c>
      <c r="T10740" t="s">
        <v>49173</v>
      </c>
      <c r="U10740" t="s">
        <v>58514</v>
      </c>
      <c r="W10740" t="s">
        <v>46560</v>
      </c>
      <c r="X10740" t="s">
        <v>47437</v>
      </c>
    </row>
    <row r="10741" spans="1:24">
      <c r="A10741">
        <f>HYPERLINK("https://www.philgeps.gov.ph/GEPSNONPILOT/Tender/SplashBidNoticeAbstractUI.aspx?menuIndex=3&amp;refID=7147724&amp;Result=3","7147724")</f>
        <v>0</v>
      </c>
      <c r="B10741" t="s">
        <v>2921</v>
      </c>
      <c r="C10741" t="s">
        <v>13994</v>
      </c>
      <c r="D10741" t="s">
        <v>19049</v>
      </c>
      <c r="E10741" t="s">
        <v>28337</v>
      </c>
      <c r="F10741" t="s">
        <v>32831</v>
      </c>
      <c r="G10741" t="s">
        <v>32839</v>
      </c>
      <c r="H10741" t="s">
        <v>32848</v>
      </c>
      <c r="I10741" t="s">
        <v>4776</v>
      </c>
      <c r="J10741" t="s">
        <v>35180</v>
      </c>
      <c r="K10741" t="s">
        <v>42747</v>
      </c>
      <c r="M10741" t="s">
        <v>46174</v>
      </c>
      <c r="N10741" t="s">
        <v>47424</v>
      </c>
      <c r="O10741" t="s">
        <v>47425</v>
      </c>
      <c r="Q10741">
        <v>3</v>
      </c>
      <c r="R10741" t="s">
        <v>47436</v>
      </c>
      <c r="S10741" t="s">
        <v>47716</v>
      </c>
      <c r="T10741" t="s">
        <v>49123</v>
      </c>
      <c r="U10741" t="s">
        <v>58515</v>
      </c>
      <c r="W10741" t="s">
        <v>46174</v>
      </c>
      <c r="X10741" t="s">
        <v>47438</v>
      </c>
    </row>
    <row r="10742" spans="1:24">
      <c r="A10742">
        <f>HYPERLINK("https://www.philgeps.gov.ph/GEPSNONPILOT/Tender/SplashBidNoticeAbstractUI.aspx?menuIndex=3&amp;refID=7148386&amp;Result=3","7148386")</f>
        <v>0</v>
      </c>
      <c r="B10742" t="s">
        <v>3246</v>
      </c>
      <c r="C10742" t="s">
        <v>13995</v>
      </c>
      <c r="D10742" t="s">
        <v>19038</v>
      </c>
      <c r="E10742" t="s">
        <v>28338</v>
      </c>
      <c r="F10742" t="s">
        <v>32831</v>
      </c>
      <c r="G10742" t="s">
        <v>32839</v>
      </c>
      <c r="H10742" t="s">
        <v>32848</v>
      </c>
      <c r="I10742" t="s">
        <v>7416</v>
      </c>
      <c r="J10742" t="s">
        <v>39595</v>
      </c>
      <c r="K10742" t="s">
        <v>42727</v>
      </c>
      <c r="M10742" t="s">
        <v>46561</v>
      </c>
      <c r="N10742" t="s">
        <v>47424</v>
      </c>
      <c r="O10742" t="s">
        <v>47425</v>
      </c>
      <c r="P10742">
        <v>0</v>
      </c>
      <c r="Q10742">
        <v>2</v>
      </c>
      <c r="R10742" t="s">
        <v>47436</v>
      </c>
      <c r="S10742" t="s">
        <v>47702</v>
      </c>
      <c r="T10742" t="s">
        <v>49114</v>
      </c>
      <c r="U10742" t="s">
        <v>58449</v>
      </c>
      <c r="W10742" t="s">
        <v>46561</v>
      </c>
      <c r="X10742" t="s">
        <v>47437</v>
      </c>
    </row>
    <row r="10743" spans="1:24">
      <c r="A10743">
        <f>HYPERLINK("https://www.philgeps.gov.ph/GEPSNONPILOT/Tender/SplashBidNoticeAbstractUI.aspx?menuIndex=3&amp;refID=7148257&amp;Result=3","7148257")</f>
        <v>0</v>
      </c>
      <c r="B10743" t="s">
        <v>3238</v>
      </c>
      <c r="C10743" t="s">
        <v>13996</v>
      </c>
      <c r="D10743" t="s">
        <v>19086</v>
      </c>
      <c r="E10743" t="s">
        <v>28339</v>
      </c>
      <c r="F10743" t="s">
        <v>32831</v>
      </c>
      <c r="G10743" t="s">
        <v>32839</v>
      </c>
      <c r="H10743" t="s">
        <v>32849</v>
      </c>
      <c r="I10743" t="s">
        <v>4177</v>
      </c>
      <c r="J10743" t="s">
        <v>39596</v>
      </c>
      <c r="K10743" t="s">
        <v>42770</v>
      </c>
      <c r="M10743" t="s">
        <v>46553</v>
      </c>
      <c r="N10743" t="s">
        <v>47424</v>
      </c>
      <c r="O10743" t="s">
        <v>47425</v>
      </c>
      <c r="P10743">
        <v>0</v>
      </c>
      <c r="Q10743">
        <v>2</v>
      </c>
      <c r="R10743" t="s">
        <v>47436</v>
      </c>
      <c r="S10743" t="s">
        <v>47702</v>
      </c>
      <c r="T10743" t="s">
        <v>49080</v>
      </c>
      <c r="U10743" t="s">
        <v>54052</v>
      </c>
      <c r="W10743" t="s">
        <v>46553</v>
      </c>
      <c r="X10743" t="s">
        <v>47437</v>
      </c>
    </row>
    <row r="10744" spans="1:24">
      <c r="A10744">
        <f>HYPERLINK("https://www.philgeps.gov.ph/GEPSNONPILOT/Tender/SplashBidNoticeAbstractUI.aspx?menuIndex=3&amp;refID=7146021&amp;Result=3","7146021")</f>
        <v>0</v>
      </c>
      <c r="B10744" t="s">
        <v>2876</v>
      </c>
      <c r="C10744" t="s">
        <v>13997</v>
      </c>
      <c r="D10744" t="s">
        <v>19017</v>
      </c>
      <c r="E10744" t="s">
        <v>28240</v>
      </c>
      <c r="F10744" t="s">
        <v>32831</v>
      </c>
      <c r="G10744" t="s">
        <v>32839</v>
      </c>
      <c r="H10744" t="s">
        <v>32848</v>
      </c>
      <c r="I10744" t="s">
        <v>32951</v>
      </c>
      <c r="J10744" t="s">
        <v>35000</v>
      </c>
      <c r="K10744" t="s">
        <v>42732</v>
      </c>
      <c r="M10744" t="s">
        <v>46548</v>
      </c>
      <c r="N10744" t="s">
        <v>47424</v>
      </c>
      <c r="O10744" t="s">
        <v>47425</v>
      </c>
      <c r="P10744">
        <v>0</v>
      </c>
      <c r="Q10744">
        <v>3</v>
      </c>
      <c r="R10744" t="s">
        <v>47436</v>
      </c>
      <c r="S10744" t="s">
        <v>47702</v>
      </c>
      <c r="T10744" t="s">
        <v>49265</v>
      </c>
      <c r="U10744" t="s">
        <v>58516</v>
      </c>
      <c r="V10744" t="s">
        <v>63785</v>
      </c>
      <c r="W10744" t="s">
        <v>46548</v>
      </c>
      <c r="X10744" t="s">
        <v>47438</v>
      </c>
    </row>
    <row r="10745" spans="1:24">
      <c r="A10745">
        <f>HYPERLINK("https://www.philgeps.gov.ph/GEPSNONPILOT/Tender/SplashBidNoticeAbstractUI.aspx?menuIndex=3&amp;refID=7145995&amp;Result=3","7145995")</f>
        <v>0</v>
      </c>
      <c r="B10745" t="s">
        <v>2876</v>
      </c>
      <c r="C10745" t="s">
        <v>13998</v>
      </c>
      <c r="D10745" t="s">
        <v>19017</v>
      </c>
      <c r="E10745" t="s">
        <v>28240</v>
      </c>
      <c r="F10745" t="s">
        <v>32831</v>
      </c>
      <c r="G10745" t="s">
        <v>32839</v>
      </c>
      <c r="H10745" t="s">
        <v>32848</v>
      </c>
      <c r="I10745" t="s">
        <v>32951</v>
      </c>
      <c r="J10745" t="s">
        <v>33292</v>
      </c>
      <c r="K10745" t="s">
        <v>42732</v>
      </c>
      <c r="M10745" t="s">
        <v>46548</v>
      </c>
      <c r="N10745" t="s">
        <v>47424</v>
      </c>
      <c r="O10745" t="s">
        <v>47425</v>
      </c>
      <c r="P10745">
        <v>0</v>
      </c>
      <c r="Q10745">
        <v>3</v>
      </c>
      <c r="R10745" t="s">
        <v>47436</v>
      </c>
      <c r="S10745" t="s">
        <v>47702</v>
      </c>
      <c r="T10745" t="s">
        <v>49265</v>
      </c>
      <c r="U10745" t="s">
        <v>58517</v>
      </c>
      <c r="V10745" t="s">
        <v>63785</v>
      </c>
      <c r="W10745" t="s">
        <v>46548</v>
      </c>
      <c r="X10745" t="s">
        <v>47438</v>
      </c>
    </row>
    <row r="10746" spans="1:24">
      <c r="A10746">
        <f>HYPERLINK("https://www.philgeps.gov.ph/GEPSNONPILOT/Tender/SplashBidNoticeAbstractUI.aspx?menuIndex=3&amp;refID=7148244&amp;Result=3","7148244")</f>
        <v>0</v>
      </c>
      <c r="B10746" t="s">
        <v>3261</v>
      </c>
      <c r="C10746" t="s">
        <v>13999</v>
      </c>
      <c r="D10746" t="s">
        <v>19057</v>
      </c>
      <c r="E10746" t="s">
        <v>28256</v>
      </c>
      <c r="F10746" t="s">
        <v>32831</v>
      </c>
      <c r="G10746" t="s">
        <v>32839</v>
      </c>
      <c r="H10746" t="s">
        <v>32849</v>
      </c>
      <c r="I10746" t="s">
        <v>4177</v>
      </c>
      <c r="J10746" t="s">
        <v>39597</v>
      </c>
      <c r="K10746" t="s">
        <v>42730</v>
      </c>
      <c r="M10746" t="s">
        <v>46577</v>
      </c>
      <c r="N10746" t="s">
        <v>47424</v>
      </c>
      <c r="O10746" t="s">
        <v>47425</v>
      </c>
      <c r="P10746">
        <v>0</v>
      </c>
      <c r="Q10746">
        <v>2</v>
      </c>
      <c r="R10746" t="s">
        <v>47436</v>
      </c>
      <c r="S10746" t="s">
        <v>47702</v>
      </c>
      <c r="T10746" t="s">
        <v>49123</v>
      </c>
      <c r="U10746" t="s">
        <v>58518</v>
      </c>
      <c r="W10746" t="s">
        <v>46577</v>
      </c>
      <c r="X10746" t="s">
        <v>47437</v>
      </c>
    </row>
    <row r="10747" spans="1:24">
      <c r="A10747">
        <f>HYPERLINK("https://www.philgeps.gov.ph/GEPSNONPILOT/Tender/SplashBidNoticeAbstractUI.aspx?menuIndex=3&amp;refID=7148817&amp;Result=3","7148817")</f>
        <v>0</v>
      </c>
      <c r="B10747" t="s">
        <v>1169</v>
      </c>
      <c r="C10747" t="s">
        <v>12370</v>
      </c>
      <c r="D10747" t="s">
        <v>19045</v>
      </c>
      <c r="E10747" t="s">
        <v>28340</v>
      </c>
      <c r="F10747" t="s">
        <v>32831</v>
      </c>
      <c r="G10747" t="s">
        <v>32839</v>
      </c>
      <c r="H10747" t="s">
        <v>32848</v>
      </c>
      <c r="I10747" t="s">
        <v>4558</v>
      </c>
      <c r="J10747" t="s">
        <v>39598</v>
      </c>
      <c r="K10747" t="s">
        <v>42730</v>
      </c>
      <c r="M10747" t="s">
        <v>44234</v>
      </c>
      <c r="N10747" t="s">
        <v>47424</v>
      </c>
      <c r="O10747" t="s">
        <v>47425</v>
      </c>
      <c r="P10747">
        <v>0</v>
      </c>
      <c r="Q10747">
        <v>4</v>
      </c>
      <c r="R10747" t="s">
        <v>47435</v>
      </c>
      <c r="S10747" t="s">
        <v>47701</v>
      </c>
      <c r="T10747" t="s">
        <v>49106</v>
      </c>
      <c r="U10747" t="s">
        <v>58519</v>
      </c>
      <c r="W10747" t="s">
        <v>44234</v>
      </c>
      <c r="X10747" t="s">
        <v>47436</v>
      </c>
    </row>
    <row r="10748" spans="1:24">
      <c r="A10748">
        <f>HYPERLINK("https://www.philgeps.gov.ph/GEPSNONPILOT/Tender/SplashBidNoticeAbstractUI.aspx?menuIndex=3&amp;refID=7146830&amp;Result=3","7146830")</f>
        <v>0</v>
      </c>
      <c r="B10748" t="s">
        <v>3256</v>
      </c>
      <c r="C10748" t="s">
        <v>14000</v>
      </c>
      <c r="D10748" t="s">
        <v>19040</v>
      </c>
      <c r="E10748" t="s">
        <v>28341</v>
      </c>
      <c r="F10748" t="s">
        <v>32831</v>
      </c>
      <c r="G10748" t="s">
        <v>32839</v>
      </c>
      <c r="H10748" t="s">
        <v>32848</v>
      </c>
      <c r="I10748" t="s">
        <v>32941</v>
      </c>
      <c r="J10748" t="s">
        <v>39599</v>
      </c>
      <c r="K10748" t="s">
        <v>42745</v>
      </c>
      <c r="M10748" t="s">
        <v>46572</v>
      </c>
      <c r="N10748" t="s">
        <v>47424</v>
      </c>
      <c r="O10748" t="s">
        <v>47425</v>
      </c>
      <c r="P10748">
        <v>0</v>
      </c>
      <c r="Q10748">
        <v>0</v>
      </c>
      <c r="R10748" t="s">
        <v>47436</v>
      </c>
      <c r="S10748" t="s">
        <v>47702</v>
      </c>
      <c r="T10748" t="s">
        <v>49111</v>
      </c>
      <c r="U10748" t="s">
        <v>58492</v>
      </c>
      <c r="W10748" t="s">
        <v>46572</v>
      </c>
      <c r="X10748" t="s">
        <v>47438</v>
      </c>
    </row>
    <row r="10749" spans="1:24">
      <c r="A10749">
        <f>HYPERLINK("https://www.philgeps.gov.ph/GEPSNONPILOT/Tender/SplashBidNoticeAbstractUI.aspx?menuIndex=3&amp;refID=7148815&amp;Result=3","7148815")</f>
        <v>0</v>
      </c>
      <c r="B10749" t="s">
        <v>3237</v>
      </c>
      <c r="C10749" t="s">
        <v>14001</v>
      </c>
      <c r="D10749" t="s">
        <v>19042</v>
      </c>
      <c r="E10749" t="s">
        <v>19203</v>
      </c>
      <c r="F10749" t="s">
        <v>32831</v>
      </c>
      <c r="G10749" t="s">
        <v>32839</v>
      </c>
      <c r="H10749" t="s">
        <v>32848</v>
      </c>
      <c r="I10749" t="s">
        <v>7416</v>
      </c>
      <c r="J10749" t="s">
        <v>39600</v>
      </c>
      <c r="K10749" t="s">
        <v>42730</v>
      </c>
      <c r="M10749" t="s">
        <v>46552</v>
      </c>
      <c r="N10749" t="s">
        <v>47424</v>
      </c>
      <c r="O10749" t="s">
        <v>47425</v>
      </c>
      <c r="P10749">
        <v>0</v>
      </c>
      <c r="Q10749">
        <v>2</v>
      </c>
      <c r="R10749" t="s">
        <v>47435</v>
      </c>
      <c r="S10749" t="s">
        <v>47701</v>
      </c>
      <c r="T10749" t="s">
        <v>49214</v>
      </c>
      <c r="U10749" t="s">
        <v>58520</v>
      </c>
      <c r="W10749" t="s">
        <v>46552</v>
      </c>
      <c r="X10749" t="s">
        <v>47436</v>
      </c>
    </row>
    <row r="10750" spans="1:24">
      <c r="A10750">
        <f>HYPERLINK("https://www.philgeps.gov.ph/GEPSNONPILOT/Tender/SplashBidNoticeAbstractUI.aspx?menuIndex=3&amp;refID=7148669&amp;Result=3","7148669")</f>
        <v>0</v>
      </c>
      <c r="B10750" t="s">
        <v>1162</v>
      </c>
      <c r="C10750" t="s">
        <v>14002</v>
      </c>
      <c r="D10750" t="s">
        <v>19050</v>
      </c>
      <c r="E10750" t="s">
        <v>14002</v>
      </c>
      <c r="F10750" t="s">
        <v>32831</v>
      </c>
      <c r="G10750" t="s">
        <v>32839</v>
      </c>
      <c r="H10750" t="s">
        <v>32848</v>
      </c>
      <c r="I10750" t="s">
        <v>4487</v>
      </c>
      <c r="J10750" t="s">
        <v>39601</v>
      </c>
      <c r="K10750" t="s">
        <v>42730</v>
      </c>
      <c r="M10750" t="s">
        <v>46128</v>
      </c>
      <c r="N10750" t="s">
        <v>47424</v>
      </c>
      <c r="O10750" t="s">
        <v>47425</v>
      </c>
      <c r="P10750">
        <v>0</v>
      </c>
      <c r="Q10750">
        <v>2</v>
      </c>
      <c r="R10750" t="s">
        <v>47435</v>
      </c>
      <c r="S10750" t="s">
        <v>47701</v>
      </c>
      <c r="T10750" t="s">
        <v>49229</v>
      </c>
      <c r="U10750" t="s">
        <v>58521</v>
      </c>
      <c r="W10750" t="s">
        <v>46128</v>
      </c>
      <c r="X10750" t="s">
        <v>47436</v>
      </c>
    </row>
    <row r="10751" spans="1:24">
      <c r="A10751">
        <f>HYPERLINK("https://www.philgeps.gov.ph/GEPSNONPILOT/Tender/SplashBidNoticeAbstractUI.aspx?menuIndex=3&amp;refID=7148668&amp;Result=3","7148668")</f>
        <v>0</v>
      </c>
      <c r="B10751" t="s">
        <v>1162</v>
      </c>
      <c r="C10751" t="s">
        <v>14003</v>
      </c>
      <c r="D10751" t="s">
        <v>19050</v>
      </c>
      <c r="E10751" t="s">
        <v>28342</v>
      </c>
      <c r="F10751" t="s">
        <v>32831</v>
      </c>
      <c r="G10751" t="s">
        <v>32839</v>
      </c>
      <c r="H10751" t="s">
        <v>32848</v>
      </c>
      <c r="I10751" t="s">
        <v>6526</v>
      </c>
      <c r="J10751" t="s">
        <v>39602</v>
      </c>
      <c r="K10751" t="s">
        <v>42730</v>
      </c>
      <c r="M10751" t="s">
        <v>46128</v>
      </c>
      <c r="N10751" t="s">
        <v>47424</v>
      </c>
      <c r="O10751" t="s">
        <v>47425</v>
      </c>
      <c r="P10751">
        <v>0</v>
      </c>
      <c r="Q10751">
        <v>0</v>
      </c>
      <c r="R10751" t="s">
        <v>47435</v>
      </c>
      <c r="S10751" t="s">
        <v>47701</v>
      </c>
      <c r="T10751" t="s">
        <v>49229</v>
      </c>
      <c r="U10751" t="s">
        <v>58522</v>
      </c>
      <c r="W10751" t="s">
        <v>46128</v>
      </c>
      <c r="X10751" t="s">
        <v>47436</v>
      </c>
    </row>
    <row r="10752" spans="1:24">
      <c r="A10752">
        <f>HYPERLINK("https://www.philgeps.gov.ph/GEPSNONPILOT/Tender/SplashBidNoticeAbstractUI.aspx?menuIndex=3&amp;refID=7148666&amp;Result=3","7148666")</f>
        <v>0</v>
      </c>
      <c r="B10752" t="s">
        <v>1162</v>
      </c>
      <c r="C10752" t="s">
        <v>14004</v>
      </c>
      <c r="D10752" t="s">
        <v>19050</v>
      </c>
      <c r="E10752" t="s">
        <v>14004</v>
      </c>
      <c r="F10752" t="s">
        <v>32831</v>
      </c>
      <c r="G10752" t="s">
        <v>32839</v>
      </c>
      <c r="H10752" t="s">
        <v>32848</v>
      </c>
      <c r="I10752" t="s">
        <v>32862</v>
      </c>
      <c r="J10752" t="s">
        <v>39603</v>
      </c>
      <c r="K10752" t="s">
        <v>42730</v>
      </c>
      <c r="M10752" t="s">
        <v>46128</v>
      </c>
      <c r="N10752" t="s">
        <v>47424</v>
      </c>
      <c r="O10752" t="s">
        <v>47425</v>
      </c>
      <c r="P10752">
        <v>0</v>
      </c>
      <c r="Q10752">
        <v>1</v>
      </c>
      <c r="R10752" t="s">
        <v>47435</v>
      </c>
      <c r="S10752" t="s">
        <v>47701</v>
      </c>
      <c r="T10752" t="s">
        <v>49229</v>
      </c>
      <c r="U10752" t="s">
        <v>58523</v>
      </c>
      <c r="W10752" t="s">
        <v>46128</v>
      </c>
      <c r="X10752" t="s">
        <v>47436</v>
      </c>
    </row>
    <row r="10753" spans="1:24">
      <c r="A10753">
        <f>HYPERLINK("https://www.philgeps.gov.ph/GEPSNONPILOT/Tender/SplashBidNoticeAbstractUI.aspx?menuIndex=3&amp;refID=7145961&amp;Result=3","7145961")</f>
        <v>0</v>
      </c>
      <c r="B10753" t="s">
        <v>2876</v>
      </c>
      <c r="C10753" t="s">
        <v>14005</v>
      </c>
      <c r="D10753" t="s">
        <v>19017</v>
      </c>
      <c r="E10753" t="s">
        <v>28240</v>
      </c>
      <c r="F10753" t="s">
        <v>32831</v>
      </c>
      <c r="G10753" t="s">
        <v>32839</v>
      </c>
      <c r="H10753" t="s">
        <v>32848</v>
      </c>
      <c r="I10753" t="s">
        <v>32951</v>
      </c>
      <c r="J10753" t="s">
        <v>39604</v>
      </c>
      <c r="K10753" t="s">
        <v>42732</v>
      </c>
      <c r="M10753" t="s">
        <v>46548</v>
      </c>
      <c r="N10753" t="s">
        <v>47424</v>
      </c>
      <c r="O10753" t="s">
        <v>47425</v>
      </c>
      <c r="P10753">
        <v>0</v>
      </c>
      <c r="Q10753">
        <v>7</v>
      </c>
      <c r="R10753" t="s">
        <v>47436</v>
      </c>
      <c r="S10753" t="s">
        <v>47702</v>
      </c>
      <c r="T10753" t="s">
        <v>49265</v>
      </c>
      <c r="U10753" t="s">
        <v>58524</v>
      </c>
      <c r="V10753" t="s">
        <v>63785</v>
      </c>
      <c r="W10753" t="s">
        <v>46548</v>
      </c>
      <c r="X10753" t="s">
        <v>47438</v>
      </c>
    </row>
    <row r="10754" spans="1:24">
      <c r="A10754">
        <f>HYPERLINK("https://www.philgeps.gov.ph/GEPSNONPILOT/Tender/SplashBidNoticeAbstractUI.aspx?menuIndex=3&amp;refID=7148662&amp;Result=3","7148662")</f>
        <v>0</v>
      </c>
      <c r="B10754" t="s">
        <v>879</v>
      </c>
      <c r="C10754" t="s">
        <v>14006</v>
      </c>
      <c r="D10754" t="s">
        <v>19043</v>
      </c>
      <c r="E10754" t="s">
        <v>28343</v>
      </c>
      <c r="F10754" t="s">
        <v>32831</v>
      </c>
      <c r="G10754" t="s">
        <v>32839</v>
      </c>
      <c r="H10754" t="s">
        <v>32848</v>
      </c>
      <c r="I10754" t="s">
        <v>9577</v>
      </c>
      <c r="J10754" t="s">
        <v>39605</v>
      </c>
      <c r="K10754" t="s">
        <v>42730</v>
      </c>
      <c r="M10754" t="s">
        <v>43913</v>
      </c>
      <c r="N10754" t="s">
        <v>47424</v>
      </c>
      <c r="O10754" t="s">
        <v>47425</v>
      </c>
      <c r="P10754">
        <v>0</v>
      </c>
      <c r="Q10754">
        <v>1</v>
      </c>
      <c r="R10754" t="s">
        <v>47435</v>
      </c>
      <c r="S10754" t="s">
        <v>47701</v>
      </c>
      <c r="T10754" t="s">
        <v>49173</v>
      </c>
      <c r="U10754" t="s">
        <v>58525</v>
      </c>
      <c r="W10754" t="s">
        <v>43913</v>
      </c>
      <c r="X10754" t="s">
        <v>47436</v>
      </c>
    </row>
    <row r="10755" spans="1:24">
      <c r="A10755">
        <f>HYPERLINK("https://www.philgeps.gov.ph/GEPSNONPILOT/Tender/SplashBidNoticeAbstractUI.aspx?menuIndex=3&amp;refID=7148409&amp;Result=3","7148409")</f>
        <v>0</v>
      </c>
      <c r="B10755" t="s">
        <v>832</v>
      </c>
      <c r="C10755" t="s">
        <v>14007</v>
      </c>
      <c r="D10755" t="s">
        <v>19017</v>
      </c>
      <c r="E10755" t="s">
        <v>28344</v>
      </c>
      <c r="F10755" t="s">
        <v>32831</v>
      </c>
      <c r="G10755" t="s">
        <v>32842</v>
      </c>
      <c r="H10755" t="s">
        <v>32848</v>
      </c>
      <c r="I10755" t="s">
        <v>32914</v>
      </c>
      <c r="J10755" t="s">
        <v>33087</v>
      </c>
      <c r="K10755" t="s">
        <v>42745</v>
      </c>
      <c r="M10755" t="s">
        <v>43864</v>
      </c>
      <c r="N10755" t="s">
        <v>47424</v>
      </c>
      <c r="O10755" t="s">
        <v>47425</v>
      </c>
      <c r="Q10755">
        <v>7</v>
      </c>
      <c r="R10755" t="s">
        <v>47436</v>
      </c>
      <c r="S10755" t="s">
        <v>47717</v>
      </c>
      <c r="T10755" t="s">
        <v>49127</v>
      </c>
      <c r="U10755" t="s">
        <v>51215</v>
      </c>
      <c r="V10755" t="s">
        <v>63791</v>
      </c>
      <c r="W10755" t="s">
        <v>43864</v>
      </c>
      <c r="X10755" t="s">
        <v>47437</v>
      </c>
    </row>
    <row r="10756" spans="1:24">
      <c r="A10756">
        <f>HYPERLINK("https://www.philgeps.gov.ph/GEPSNONPILOT/Tender/SplashBidNoticeAbstractUI.aspx?menuIndex=3&amp;refID=7148900&amp;Result=3","7148900")</f>
        <v>0</v>
      </c>
      <c r="B10756" t="s">
        <v>958</v>
      </c>
      <c r="C10756" t="s">
        <v>14008</v>
      </c>
      <c r="D10756" t="s">
        <v>19064</v>
      </c>
      <c r="E10756" t="s">
        <v>28345</v>
      </c>
      <c r="F10756" t="s">
        <v>32831</v>
      </c>
      <c r="G10756" t="s">
        <v>32838</v>
      </c>
      <c r="H10756" t="s">
        <v>32848</v>
      </c>
      <c r="I10756" t="s">
        <v>5379</v>
      </c>
      <c r="J10756" t="s">
        <v>33031</v>
      </c>
      <c r="K10756" t="s">
        <v>42732</v>
      </c>
      <c r="M10756" t="s">
        <v>44004</v>
      </c>
      <c r="N10756" t="s">
        <v>47424</v>
      </c>
      <c r="O10756" t="s">
        <v>47425</v>
      </c>
      <c r="P10756">
        <v>0</v>
      </c>
      <c r="Q10756">
        <v>0</v>
      </c>
      <c r="R10756" t="s">
        <v>47434</v>
      </c>
      <c r="S10756" t="s">
        <v>47677</v>
      </c>
      <c r="T10756" t="s">
        <v>49212</v>
      </c>
      <c r="U10756" t="s">
        <v>58526</v>
      </c>
      <c r="W10756" t="s">
        <v>44004</v>
      </c>
      <c r="X10756" t="s">
        <v>47435</v>
      </c>
    </row>
    <row r="10757" spans="1:24">
      <c r="A10757">
        <f>HYPERLINK("https://www.philgeps.gov.ph/GEPSNONPILOT/Tender/SplashBidNoticeAbstractUI.aspx?menuIndex=3&amp;refID=7146010&amp;Result=3","7146010")</f>
        <v>0</v>
      </c>
      <c r="B10757" t="s">
        <v>2876</v>
      </c>
      <c r="C10757" t="s">
        <v>14009</v>
      </c>
      <c r="D10757" t="s">
        <v>19017</v>
      </c>
      <c r="E10757" t="s">
        <v>28240</v>
      </c>
      <c r="F10757" t="s">
        <v>32831</v>
      </c>
      <c r="G10757" t="s">
        <v>32839</v>
      </c>
      <c r="H10757" t="s">
        <v>32848</v>
      </c>
      <c r="I10757" t="s">
        <v>32951</v>
      </c>
      <c r="J10757" t="s">
        <v>39606</v>
      </c>
      <c r="K10757" t="s">
        <v>42732</v>
      </c>
      <c r="M10757" t="s">
        <v>46548</v>
      </c>
      <c r="N10757" t="s">
        <v>47424</v>
      </c>
      <c r="O10757" t="s">
        <v>47425</v>
      </c>
      <c r="P10757">
        <v>0</v>
      </c>
      <c r="Q10757">
        <v>6</v>
      </c>
      <c r="R10757" t="s">
        <v>47436</v>
      </c>
      <c r="S10757" t="s">
        <v>47702</v>
      </c>
      <c r="T10757" t="s">
        <v>49265</v>
      </c>
      <c r="U10757" t="s">
        <v>58527</v>
      </c>
      <c r="V10757" t="s">
        <v>63785</v>
      </c>
      <c r="W10757" t="s">
        <v>46548</v>
      </c>
      <c r="X10757" t="s">
        <v>47438</v>
      </c>
    </row>
    <row r="10758" spans="1:24">
      <c r="A10758">
        <f>HYPERLINK("https://www.philgeps.gov.ph/GEPSNONPILOT/Tender/SplashBidNoticeAbstractUI.aspx?menuIndex=3&amp;refID=7148780&amp;Result=3","7148780")</f>
        <v>0</v>
      </c>
      <c r="B10758" t="s">
        <v>395</v>
      </c>
      <c r="C10758" t="s">
        <v>14010</v>
      </c>
      <c r="D10758" t="s">
        <v>19091</v>
      </c>
      <c r="E10758" t="s">
        <v>19311</v>
      </c>
      <c r="F10758" t="s">
        <v>32831</v>
      </c>
      <c r="G10758" t="s">
        <v>32839</v>
      </c>
      <c r="H10758" t="s">
        <v>32849</v>
      </c>
      <c r="I10758" t="s">
        <v>4177</v>
      </c>
      <c r="J10758" t="s">
        <v>33140</v>
      </c>
      <c r="K10758" t="s">
        <v>42727</v>
      </c>
      <c r="M10758" t="s">
        <v>43400</v>
      </c>
      <c r="N10758" t="s">
        <v>47424</v>
      </c>
      <c r="O10758" t="s">
        <v>47425</v>
      </c>
      <c r="P10758">
        <v>0</v>
      </c>
      <c r="Q10758">
        <v>0</v>
      </c>
      <c r="R10758" t="s">
        <v>47434</v>
      </c>
      <c r="S10758" t="s">
        <v>47677</v>
      </c>
      <c r="T10758" t="s">
        <v>49166</v>
      </c>
      <c r="U10758" t="s">
        <v>58528</v>
      </c>
      <c r="W10758" t="s">
        <v>43400</v>
      </c>
      <c r="X10758" t="s">
        <v>47436</v>
      </c>
    </row>
    <row r="10759" spans="1:24">
      <c r="A10759">
        <f>HYPERLINK("https://www.philgeps.gov.ph/GEPSNONPILOT/Tender/SplashBidNoticeAbstractUI.aspx?menuIndex=3&amp;refID=7148769&amp;Result=3","7148769")</f>
        <v>0</v>
      </c>
      <c r="B10759" t="s">
        <v>958</v>
      </c>
      <c r="C10759" t="s">
        <v>14011</v>
      </c>
      <c r="D10759" t="s">
        <v>19049</v>
      </c>
      <c r="E10759" t="s">
        <v>28346</v>
      </c>
      <c r="F10759" t="s">
        <v>32831</v>
      </c>
      <c r="G10759" t="s">
        <v>32838</v>
      </c>
      <c r="H10759" t="s">
        <v>32848</v>
      </c>
      <c r="I10759" t="s">
        <v>5379</v>
      </c>
      <c r="J10759" t="s">
        <v>33041</v>
      </c>
      <c r="K10759" t="s">
        <v>42732</v>
      </c>
      <c r="M10759" t="s">
        <v>44004</v>
      </c>
      <c r="N10759" t="s">
        <v>47424</v>
      </c>
      <c r="O10759" t="s">
        <v>47425</v>
      </c>
      <c r="P10759">
        <v>0</v>
      </c>
      <c r="Q10759">
        <v>0</v>
      </c>
      <c r="R10759" t="s">
        <v>47434</v>
      </c>
      <c r="S10759" t="s">
        <v>47677</v>
      </c>
      <c r="T10759" t="s">
        <v>49212</v>
      </c>
      <c r="U10759" t="s">
        <v>58529</v>
      </c>
      <c r="W10759" t="s">
        <v>44004</v>
      </c>
      <c r="X10759" t="s">
        <v>47436</v>
      </c>
    </row>
    <row r="10760" spans="1:24">
      <c r="A10760">
        <f>HYPERLINK("https://www.philgeps.gov.ph/GEPSNONPILOT/Tender/SplashBidNoticeAbstractUI.aspx?menuIndex=3&amp;refID=7148664&amp;Result=3","7148664")</f>
        <v>0</v>
      </c>
      <c r="B10760" t="s">
        <v>879</v>
      </c>
      <c r="C10760" t="s">
        <v>14012</v>
      </c>
      <c r="D10760" t="s">
        <v>19043</v>
      </c>
      <c r="E10760" t="s">
        <v>28347</v>
      </c>
      <c r="F10760" t="s">
        <v>32831</v>
      </c>
      <c r="G10760" t="s">
        <v>32839</v>
      </c>
      <c r="H10760" t="s">
        <v>32848</v>
      </c>
      <c r="I10760" t="s">
        <v>7416</v>
      </c>
      <c r="J10760" t="s">
        <v>39607</v>
      </c>
      <c r="K10760" t="s">
        <v>42730</v>
      </c>
      <c r="M10760" t="s">
        <v>43913</v>
      </c>
      <c r="N10760" t="s">
        <v>47424</v>
      </c>
      <c r="O10760" t="s">
        <v>47425</v>
      </c>
      <c r="P10760">
        <v>0</v>
      </c>
      <c r="Q10760">
        <v>1</v>
      </c>
      <c r="R10760" t="s">
        <v>47435</v>
      </c>
      <c r="S10760" t="s">
        <v>47701</v>
      </c>
      <c r="T10760" t="s">
        <v>49173</v>
      </c>
      <c r="U10760" t="s">
        <v>58530</v>
      </c>
      <c r="W10760" t="s">
        <v>43913</v>
      </c>
      <c r="X10760" t="s">
        <v>47436</v>
      </c>
    </row>
    <row r="10761" spans="1:24">
      <c r="A10761">
        <f>HYPERLINK("https://www.philgeps.gov.ph/GEPSNONPILOT/Tender/SplashBidNoticeAbstractUI.aspx?menuIndex=3&amp;refID=7148645&amp;Result=3","7148645")</f>
        <v>0</v>
      </c>
      <c r="B10761" t="s">
        <v>3203</v>
      </c>
      <c r="C10761" t="s">
        <v>14013</v>
      </c>
      <c r="D10761" t="s">
        <v>19038</v>
      </c>
      <c r="E10761" t="s">
        <v>28348</v>
      </c>
      <c r="F10761" t="s">
        <v>32831</v>
      </c>
      <c r="G10761" t="s">
        <v>32840</v>
      </c>
      <c r="H10761" t="s">
        <v>32848</v>
      </c>
      <c r="I10761" t="s">
        <v>32876</v>
      </c>
      <c r="J10761" t="s">
        <v>33017</v>
      </c>
      <c r="K10761" t="s">
        <v>42726</v>
      </c>
      <c r="M10761" t="s">
        <v>46578</v>
      </c>
      <c r="N10761" t="s">
        <v>47424</v>
      </c>
      <c r="O10761" t="s">
        <v>47425</v>
      </c>
      <c r="P10761">
        <v>0</v>
      </c>
      <c r="Q10761">
        <v>4</v>
      </c>
      <c r="R10761" t="s">
        <v>47434</v>
      </c>
      <c r="S10761" t="s">
        <v>47677</v>
      </c>
      <c r="T10761" t="s">
        <v>49239</v>
      </c>
      <c r="U10761" t="s">
        <v>58531</v>
      </c>
      <c r="W10761" t="s">
        <v>46578</v>
      </c>
      <c r="X10761" t="s">
        <v>47436</v>
      </c>
    </row>
    <row r="10762" spans="1:24">
      <c r="A10762">
        <f>HYPERLINK("https://www.philgeps.gov.ph/GEPSNONPILOT/Tender/SplashBidNoticeAbstractUI.aspx?menuIndex=3&amp;refID=7148148&amp;Result=3","7148148")</f>
        <v>0</v>
      </c>
      <c r="B10762" t="s">
        <v>49</v>
      </c>
      <c r="C10762" t="s">
        <v>14014</v>
      </c>
      <c r="D10762" t="s">
        <v>19037</v>
      </c>
      <c r="E10762" t="s">
        <v>28349</v>
      </c>
      <c r="F10762" t="s">
        <v>32831</v>
      </c>
      <c r="G10762" t="s">
        <v>32839</v>
      </c>
      <c r="H10762" t="s">
        <v>32848</v>
      </c>
      <c r="I10762" t="s">
        <v>32859</v>
      </c>
      <c r="J10762" t="s">
        <v>37920</v>
      </c>
      <c r="K10762" t="s">
        <v>42726</v>
      </c>
      <c r="M10762" t="s">
        <v>43046</v>
      </c>
      <c r="N10762" t="s">
        <v>47424</v>
      </c>
      <c r="O10762" t="s">
        <v>47425</v>
      </c>
      <c r="P10762">
        <v>0</v>
      </c>
      <c r="Q10762">
        <v>2</v>
      </c>
      <c r="R10762" t="s">
        <v>47434</v>
      </c>
      <c r="S10762" t="s">
        <v>47677</v>
      </c>
      <c r="T10762" t="s">
        <v>49104</v>
      </c>
      <c r="U10762" t="s">
        <v>58532</v>
      </c>
      <c r="V10762" t="s">
        <v>62630</v>
      </c>
      <c r="W10762" t="s">
        <v>43046</v>
      </c>
      <c r="X10762" t="s">
        <v>47437</v>
      </c>
    </row>
    <row r="10763" spans="1:24">
      <c r="A10763">
        <f>HYPERLINK("https://www.philgeps.gov.ph/GEPSNONPILOT/Tender/SplashBidNoticeAbstractUI.aspx?menuIndex=3&amp;refID=7148149&amp;Result=3","7148149")</f>
        <v>0</v>
      </c>
      <c r="B10763" t="s">
        <v>49</v>
      </c>
      <c r="C10763" t="s">
        <v>14015</v>
      </c>
      <c r="D10763" t="s">
        <v>19037</v>
      </c>
      <c r="E10763" t="s">
        <v>28350</v>
      </c>
      <c r="F10763" t="s">
        <v>32831</v>
      </c>
      <c r="G10763" t="s">
        <v>32839</v>
      </c>
      <c r="H10763" t="s">
        <v>32848</v>
      </c>
      <c r="I10763" t="s">
        <v>32859</v>
      </c>
      <c r="J10763" t="s">
        <v>38660</v>
      </c>
      <c r="K10763" t="s">
        <v>42726</v>
      </c>
      <c r="M10763" t="s">
        <v>43046</v>
      </c>
      <c r="N10763" t="s">
        <v>47424</v>
      </c>
      <c r="O10763" t="s">
        <v>47425</v>
      </c>
      <c r="P10763">
        <v>0</v>
      </c>
      <c r="Q10763">
        <v>1</v>
      </c>
      <c r="R10763" t="s">
        <v>47434</v>
      </c>
      <c r="S10763" t="s">
        <v>47677</v>
      </c>
      <c r="T10763" t="s">
        <v>49104</v>
      </c>
      <c r="U10763" t="s">
        <v>58533</v>
      </c>
      <c r="V10763" t="s">
        <v>62630</v>
      </c>
      <c r="W10763" t="s">
        <v>43046</v>
      </c>
      <c r="X10763" t="s">
        <v>47437</v>
      </c>
    </row>
    <row r="10764" spans="1:24">
      <c r="A10764">
        <f>HYPERLINK("https://www.philgeps.gov.ph/GEPSNONPILOT/Tender/SplashBidNoticeAbstractUI.aspx?menuIndex=3&amp;refID=7147716&amp;Result=3","7147716")</f>
        <v>0</v>
      </c>
      <c r="B10764" t="s">
        <v>120</v>
      </c>
      <c r="C10764" t="s">
        <v>14016</v>
      </c>
      <c r="D10764" t="s">
        <v>19026</v>
      </c>
      <c r="E10764" t="s">
        <v>28351</v>
      </c>
      <c r="F10764" t="s">
        <v>32831</v>
      </c>
      <c r="G10764" t="s">
        <v>32839</v>
      </c>
      <c r="H10764" t="s">
        <v>32849</v>
      </c>
      <c r="I10764" t="s">
        <v>4177</v>
      </c>
      <c r="J10764" t="s">
        <v>39608</v>
      </c>
      <c r="K10764" t="s">
        <v>42729</v>
      </c>
      <c r="M10764" t="s">
        <v>43117</v>
      </c>
      <c r="N10764" t="s">
        <v>47424</v>
      </c>
      <c r="O10764" t="s">
        <v>47425</v>
      </c>
      <c r="Q10764">
        <v>10</v>
      </c>
      <c r="R10764" t="s">
        <v>47434</v>
      </c>
      <c r="S10764" t="s">
        <v>47718</v>
      </c>
      <c r="T10764" t="s">
        <v>49192</v>
      </c>
      <c r="U10764" t="s">
        <v>58534</v>
      </c>
      <c r="W10764" t="s">
        <v>43117</v>
      </c>
      <c r="X10764" t="s">
        <v>47438</v>
      </c>
    </row>
    <row r="10765" spans="1:24">
      <c r="A10765">
        <f>HYPERLINK("https://www.philgeps.gov.ph/GEPSNONPILOT/Tender/SplashBidNoticeAbstractUI.aspx?menuIndex=3&amp;refID=7148731&amp;Result=3","7148731")</f>
        <v>0</v>
      </c>
      <c r="B10765" t="s">
        <v>2570</v>
      </c>
      <c r="C10765" t="s">
        <v>14017</v>
      </c>
      <c r="D10765" t="s">
        <v>19033</v>
      </c>
      <c r="E10765" t="s">
        <v>20035</v>
      </c>
      <c r="F10765" t="s">
        <v>32831</v>
      </c>
      <c r="G10765" t="s">
        <v>32839</v>
      </c>
      <c r="H10765" t="s">
        <v>32848</v>
      </c>
      <c r="I10765" t="s">
        <v>32918</v>
      </c>
      <c r="J10765" t="s">
        <v>39609</v>
      </c>
      <c r="K10765" t="s">
        <v>42730</v>
      </c>
      <c r="M10765" t="s">
        <v>45786</v>
      </c>
      <c r="N10765" t="s">
        <v>47424</v>
      </c>
      <c r="O10765" t="s">
        <v>47425</v>
      </c>
      <c r="P10765">
        <v>0</v>
      </c>
      <c r="Q10765">
        <v>8</v>
      </c>
      <c r="R10765" t="s">
        <v>47434</v>
      </c>
      <c r="S10765" t="s">
        <v>47677</v>
      </c>
      <c r="T10765" t="s">
        <v>49228</v>
      </c>
      <c r="U10765" t="s">
        <v>58535</v>
      </c>
      <c r="W10765" t="s">
        <v>45786</v>
      </c>
      <c r="X10765" t="s">
        <v>47436</v>
      </c>
    </row>
    <row r="10766" spans="1:24">
      <c r="A10766">
        <f>HYPERLINK("https://www.philgeps.gov.ph/GEPSNONPILOT/Tender/SplashBidNoticeAbstractUI.aspx?menuIndex=3&amp;refID=7148876&amp;Result=3","7148876")</f>
        <v>0</v>
      </c>
      <c r="B10766" t="s">
        <v>3262</v>
      </c>
      <c r="C10766" t="s">
        <v>14018</v>
      </c>
      <c r="D10766" t="s">
        <v>19044</v>
      </c>
      <c r="E10766" t="s">
        <v>28352</v>
      </c>
      <c r="F10766" t="s">
        <v>32831</v>
      </c>
      <c r="G10766" t="s">
        <v>32839</v>
      </c>
      <c r="H10766" t="s">
        <v>32848</v>
      </c>
      <c r="I10766" t="s">
        <v>7416</v>
      </c>
      <c r="J10766" t="s">
        <v>39610</v>
      </c>
      <c r="K10766" t="s">
        <v>42730</v>
      </c>
      <c r="M10766" t="s">
        <v>46579</v>
      </c>
      <c r="N10766" t="s">
        <v>47424</v>
      </c>
      <c r="O10766" t="s">
        <v>47425</v>
      </c>
      <c r="P10766">
        <v>0</v>
      </c>
      <c r="Q10766">
        <v>0</v>
      </c>
      <c r="R10766" t="s">
        <v>47434</v>
      </c>
      <c r="S10766" t="s">
        <v>47677</v>
      </c>
      <c r="T10766" t="s">
        <v>49350</v>
      </c>
      <c r="U10766" t="s">
        <v>58536</v>
      </c>
      <c r="W10766" t="s">
        <v>46579</v>
      </c>
      <c r="X10766" t="s">
        <v>47435</v>
      </c>
    </row>
    <row r="10767" spans="1:24">
      <c r="A10767">
        <f>HYPERLINK("https://www.philgeps.gov.ph/GEPSNONPILOT/Tender/SplashBidNoticeAbstractUI.aspx?menuIndex=3&amp;refID=7147702&amp;Result=3","7147702")</f>
        <v>0</v>
      </c>
      <c r="B10767" t="s">
        <v>317</v>
      </c>
      <c r="C10767" t="s">
        <v>14019</v>
      </c>
      <c r="E10767" t="s">
        <v>28353</v>
      </c>
      <c r="F10767" t="s">
        <v>32831</v>
      </c>
      <c r="G10767" t="s">
        <v>32839</v>
      </c>
      <c r="H10767" t="s">
        <v>32849</v>
      </c>
      <c r="I10767" t="s">
        <v>4177</v>
      </c>
      <c r="J10767" t="s">
        <v>33528</v>
      </c>
      <c r="K10767" t="s">
        <v>42766</v>
      </c>
      <c r="M10767" t="s">
        <v>43319</v>
      </c>
      <c r="N10767" t="s">
        <v>47424</v>
      </c>
      <c r="O10767" t="s">
        <v>47425</v>
      </c>
      <c r="P10767">
        <v>0</v>
      </c>
      <c r="Q10767">
        <v>0</v>
      </c>
      <c r="R10767" t="s">
        <v>47434</v>
      </c>
      <c r="S10767" t="s">
        <v>47677</v>
      </c>
      <c r="T10767" t="s">
        <v>49185</v>
      </c>
      <c r="U10767" t="s">
        <v>58537</v>
      </c>
      <c r="V10767" t="s">
        <v>62682</v>
      </c>
      <c r="W10767" t="s">
        <v>43319</v>
      </c>
      <c r="X10767" t="s">
        <v>47438</v>
      </c>
    </row>
    <row r="10768" spans="1:24">
      <c r="A10768">
        <f>HYPERLINK("https://www.philgeps.gov.ph/GEPSNONPILOT/Tender/SplashBidNoticeAbstractUI.aspx?menuIndex=3&amp;refID=7147684&amp;Result=3","7147684")</f>
        <v>0</v>
      </c>
      <c r="B10768" t="s">
        <v>317</v>
      </c>
      <c r="C10768" t="s">
        <v>14020</v>
      </c>
      <c r="D10768" t="s">
        <v>19020</v>
      </c>
      <c r="E10768" t="s">
        <v>28354</v>
      </c>
      <c r="F10768" t="s">
        <v>32831</v>
      </c>
      <c r="G10768" t="s">
        <v>32839</v>
      </c>
      <c r="H10768" t="s">
        <v>32849</v>
      </c>
      <c r="I10768" t="s">
        <v>4177</v>
      </c>
      <c r="J10768" t="s">
        <v>33528</v>
      </c>
      <c r="K10768" t="s">
        <v>42766</v>
      </c>
      <c r="M10768" t="s">
        <v>43319</v>
      </c>
      <c r="N10768" t="s">
        <v>47424</v>
      </c>
      <c r="O10768" t="s">
        <v>47425</v>
      </c>
      <c r="P10768">
        <v>0</v>
      </c>
      <c r="Q10768">
        <v>0</v>
      </c>
      <c r="R10768" t="s">
        <v>47434</v>
      </c>
      <c r="S10768" t="s">
        <v>47677</v>
      </c>
      <c r="T10768" t="s">
        <v>49185</v>
      </c>
      <c r="U10768" t="s">
        <v>58538</v>
      </c>
      <c r="V10768" t="s">
        <v>62682</v>
      </c>
      <c r="W10768" t="s">
        <v>43319</v>
      </c>
      <c r="X10768" t="s">
        <v>47438</v>
      </c>
    </row>
    <row r="10769" spans="1:24">
      <c r="A10769">
        <f>HYPERLINK("https://www.philgeps.gov.ph/GEPSNONPILOT/Tender/SplashBidNoticeAbstractUI.aspx?menuIndex=3&amp;refID=7147625&amp;Result=3","7147625")</f>
        <v>0</v>
      </c>
      <c r="B10769" t="s">
        <v>1794</v>
      </c>
      <c r="C10769" t="s">
        <v>14021</v>
      </c>
      <c r="D10769" t="s">
        <v>19074</v>
      </c>
      <c r="E10769" t="s">
        <v>28355</v>
      </c>
      <c r="F10769" t="s">
        <v>32831</v>
      </c>
      <c r="G10769" t="s">
        <v>32839</v>
      </c>
      <c r="H10769" t="s">
        <v>32849</v>
      </c>
      <c r="I10769" t="s">
        <v>4177</v>
      </c>
      <c r="J10769" t="s">
        <v>39611</v>
      </c>
      <c r="K10769" t="s">
        <v>42763</v>
      </c>
      <c r="M10769" t="s">
        <v>44924</v>
      </c>
      <c r="N10769" t="s">
        <v>47424</v>
      </c>
      <c r="O10769" t="s">
        <v>47425</v>
      </c>
      <c r="P10769">
        <v>0</v>
      </c>
      <c r="Q10769">
        <v>0</v>
      </c>
      <c r="R10769" t="s">
        <v>47434</v>
      </c>
      <c r="S10769" t="s">
        <v>47677</v>
      </c>
      <c r="T10769" t="s">
        <v>49265</v>
      </c>
      <c r="U10769" t="s">
        <v>58539</v>
      </c>
      <c r="W10769" t="s">
        <v>44924</v>
      </c>
      <c r="X10769" t="s">
        <v>47438</v>
      </c>
    </row>
    <row r="10770" spans="1:24">
      <c r="A10770">
        <f>HYPERLINK("https://www.philgeps.gov.ph/GEPSNONPILOT/Tender/SplashBidNoticeAbstractUI.aspx?menuIndex=3&amp;refID=7148893&amp;Result=3","7148893")</f>
        <v>0</v>
      </c>
      <c r="B10770" t="s">
        <v>3263</v>
      </c>
      <c r="C10770" t="s">
        <v>14022</v>
      </c>
      <c r="E10770" t="s">
        <v>28356</v>
      </c>
      <c r="F10770" t="s">
        <v>32831</v>
      </c>
      <c r="G10770" t="s">
        <v>32839</v>
      </c>
      <c r="H10770" t="s">
        <v>32848</v>
      </c>
      <c r="I10770" t="s">
        <v>7416</v>
      </c>
      <c r="J10770" t="s">
        <v>39612</v>
      </c>
      <c r="K10770" t="s">
        <v>42726</v>
      </c>
      <c r="M10770" t="s">
        <v>46580</v>
      </c>
      <c r="N10770" t="s">
        <v>47424</v>
      </c>
      <c r="O10770" t="s">
        <v>47425</v>
      </c>
      <c r="P10770">
        <v>0</v>
      </c>
      <c r="Q10770">
        <v>1</v>
      </c>
      <c r="R10770" t="s">
        <v>47434</v>
      </c>
      <c r="S10770" t="s">
        <v>47677</v>
      </c>
      <c r="T10770" t="s">
        <v>49080</v>
      </c>
      <c r="U10770" t="s">
        <v>58540</v>
      </c>
      <c r="W10770" t="s">
        <v>46580</v>
      </c>
      <c r="X10770" t="s">
        <v>47435</v>
      </c>
    </row>
    <row r="10771" spans="1:24">
      <c r="A10771">
        <f>HYPERLINK("https://www.philgeps.gov.ph/GEPSNONPILOT/Tender/SplashBidNoticeAbstractUI.aspx?menuIndex=3&amp;refID=7147463&amp;Result=3","7147463")</f>
        <v>0</v>
      </c>
      <c r="B10771" t="s">
        <v>1794</v>
      </c>
      <c r="C10771" t="s">
        <v>14023</v>
      </c>
      <c r="D10771" t="s">
        <v>19074</v>
      </c>
      <c r="E10771" t="s">
        <v>28357</v>
      </c>
      <c r="F10771" t="s">
        <v>32831</v>
      </c>
      <c r="G10771" t="s">
        <v>32839</v>
      </c>
      <c r="H10771" t="s">
        <v>32848</v>
      </c>
      <c r="I10771" t="s">
        <v>4177</v>
      </c>
      <c r="J10771" t="s">
        <v>39613</v>
      </c>
      <c r="K10771" t="s">
        <v>42780</v>
      </c>
      <c r="M10771" t="s">
        <v>44924</v>
      </c>
      <c r="N10771" t="s">
        <v>47424</v>
      </c>
      <c r="O10771" t="s">
        <v>47425</v>
      </c>
      <c r="P10771">
        <v>0</v>
      </c>
      <c r="Q10771">
        <v>0</v>
      </c>
      <c r="R10771" t="s">
        <v>47434</v>
      </c>
      <c r="S10771" t="s">
        <v>47677</v>
      </c>
      <c r="T10771" t="s">
        <v>49265</v>
      </c>
      <c r="U10771" t="s">
        <v>58541</v>
      </c>
      <c r="W10771" t="s">
        <v>44924</v>
      </c>
      <c r="X10771" t="s">
        <v>47438</v>
      </c>
    </row>
    <row r="10772" spans="1:24">
      <c r="A10772">
        <f>HYPERLINK("https://www.philgeps.gov.ph/GEPSNONPILOT/Tender/SplashBidNoticeAbstractUI.aspx?menuIndex=3&amp;refID=7146984&amp;Result=3","7146984")</f>
        <v>0</v>
      </c>
      <c r="B10772" t="s">
        <v>3264</v>
      </c>
      <c r="C10772" t="s">
        <v>14024</v>
      </c>
      <c r="D10772" t="s">
        <v>19045</v>
      </c>
      <c r="E10772" t="s">
        <v>28358</v>
      </c>
      <c r="F10772" t="s">
        <v>32831</v>
      </c>
      <c r="G10772" t="s">
        <v>32839</v>
      </c>
      <c r="H10772" t="s">
        <v>32848</v>
      </c>
      <c r="I10772" t="s">
        <v>4487</v>
      </c>
      <c r="J10772" t="s">
        <v>33257</v>
      </c>
      <c r="K10772" t="s">
        <v>42729</v>
      </c>
      <c r="M10772" t="s">
        <v>46581</v>
      </c>
      <c r="N10772" t="s">
        <v>47424</v>
      </c>
      <c r="O10772" t="s">
        <v>47425</v>
      </c>
      <c r="P10772">
        <v>0</v>
      </c>
      <c r="Q10772">
        <v>5</v>
      </c>
      <c r="R10772" t="s">
        <v>47434</v>
      </c>
      <c r="S10772" t="s">
        <v>47677</v>
      </c>
      <c r="T10772" t="s">
        <v>49112</v>
      </c>
      <c r="U10772" t="s">
        <v>58542</v>
      </c>
      <c r="W10772" t="s">
        <v>46581</v>
      </c>
      <c r="X10772" t="s">
        <v>47438</v>
      </c>
    </row>
    <row r="10773" spans="1:24">
      <c r="A10773">
        <f>HYPERLINK("https://www.philgeps.gov.ph/GEPSNONPILOT/Tender/SplashBidNoticeAbstractUI.aspx?menuIndex=3&amp;refID=7146833&amp;Result=3","7146833")</f>
        <v>0</v>
      </c>
      <c r="B10773" t="s">
        <v>2316</v>
      </c>
      <c r="C10773" t="s">
        <v>8560</v>
      </c>
      <c r="D10773" t="s">
        <v>19049</v>
      </c>
      <c r="E10773" t="s">
        <v>28359</v>
      </c>
      <c r="F10773" t="s">
        <v>32831</v>
      </c>
      <c r="G10773" t="s">
        <v>32839</v>
      </c>
      <c r="H10773" t="s">
        <v>32848</v>
      </c>
      <c r="I10773" t="s">
        <v>4222</v>
      </c>
      <c r="J10773" t="s">
        <v>39614</v>
      </c>
      <c r="K10773" t="s">
        <v>42730</v>
      </c>
      <c r="M10773" t="s">
        <v>45501</v>
      </c>
      <c r="N10773" t="s">
        <v>47424</v>
      </c>
      <c r="O10773" t="s">
        <v>47425</v>
      </c>
      <c r="P10773">
        <v>0</v>
      </c>
      <c r="Q10773">
        <v>0</v>
      </c>
      <c r="R10773" t="s">
        <v>47434</v>
      </c>
      <c r="S10773" t="s">
        <v>47677</v>
      </c>
      <c r="T10773" t="s">
        <v>49111</v>
      </c>
      <c r="U10773" t="s">
        <v>58543</v>
      </c>
      <c r="W10773" t="s">
        <v>45501</v>
      </c>
      <c r="X10773" t="s">
        <v>47438</v>
      </c>
    </row>
    <row r="10774" spans="1:24">
      <c r="A10774">
        <f>HYPERLINK("https://www.philgeps.gov.ph/GEPSNONPILOT/Tender/SplashBidNoticeAbstractUI.aspx?menuIndex=3&amp;refID=7146679&amp;Result=3","7146679")</f>
        <v>0</v>
      </c>
      <c r="B10774" t="s">
        <v>2026</v>
      </c>
      <c r="C10774" t="s">
        <v>14025</v>
      </c>
      <c r="D10774" t="s">
        <v>19019</v>
      </c>
      <c r="E10774" t="s">
        <v>28360</v>
      </c>
      <c r="F10774" t="s">
        <v>32831</v>
      </c>
      <c r="G10774" t="s">
        <v>32839</v>
      </c>
      <c r="H10774" t="s">
        <v>32849</v>
      </c>
      <c r="I10774" t="s">
        <v>4177</v>
      </c>
      <c r="J10774" t="s">
        <v>39615</v>
      </c>
      <c r="K10774" t="s">
        <v>42733</v>
      </c>
      <c r="M10774" t="s">
        <v>45194</v>
      </c>
      <c r="N10774" t="s">
        <v>47424</v>
      </c>
      <c r="O10774" t="s">
        <v>47425</v>
      </c>
      <c r="P10774">
        <v>0</v>
      </c>
      <c r="Q10774">
        <v>1</v>
      </c>
      <c r="R10774" t="s">
        <v>47434</v>
      </c>
      <c r="S10774" t="s">
        <v>47677</v>
      </c>
      <c r="T10774" t="s">
        <v>49160</v>
      </c>
      <c r="U10774" t="s">
        <v>56405</v>
      </c>
      <c r="W10774" t="s">
        <v>45194</v>
      </c>
      <c r="X10774" t="s">
        <v>47438</v>
      </c>
    </row>
    <row r="10775" spans="1:24">
      <c r="A10775">
        <f>HYPERLINK("https://www.philgeps.gov.ph/GEPSNONPILOT/Tender/SplashBidNoticeAbstractUI.aspx?menuIndex=3&amp;refID=7146750&amp;Result=3","7146750")</f>
        <v>0</v>
      </c>
      <c r="B10775" t="s">
        <v>147</v>
      </c>
      <c r="C10775" t="s">
        <v>14026</v>
      </c>
      <c r="D10775" t="s">
        <v>19067</v>
      </c>
      <c r="E10775" t="s">
        <v>28361</v>
      </c>
      <c r="F10775" t="s">
        <v>32831</v>
      </c>
      <c r="G10775" t="s">
        <v>32839</v>
      </c>
      <c r="H10775" t="s">
        <v>32848</v>
      </c>
      <c r="I10775" t="s">
        <v>7751</v>
      </c>
      <c r="J10775" t="s">
        <v>33083</v>
      </c>
      <c r="K10775" t="s">
        <v>42763</v>
      </c>
      <c r="M10775" t="s">
        <v>43144</v>
      </c>
      <c r="N10775" t="s">
        <v>47424</v>
      </c>
      <c r="O10775" t="s">
        <v>47425</v>
      </c>
      <c r="P10775">
        <v>0</v>
      </c>
      <c r="Q10775">
        <v>3</v>
      </c>
      <c r="R10775" t="s">
        <v>47434</v>
      </c>
      <c r="S10775" t="s">
        <v>47677</v>
      </c>
      <c r="T10775" t="s">
        <v>49080</v>
      </c>
      <c r="U10775" t="s">
        <v>58544</v>
      </c>
      <c r="W10775" t="s">
        <v>43144</v>
      </c>
      <c r="X10775" t="s">
        <v>47438</v>
      </c>
    </row>
    <row r="10776" spans="1:24">
      <c r="A10776">
        <f>HYPERLINK("https://www.philgeps.gov.ph/GEPSNONPILOT/Tender/SplashBidNoticeAbstractUI.aspx?menuIndex=3&amp;refID=7147577&amp;Result=3","7147577")</f>
        <v>0</v>
      </c>
      <c r="B10776" t="s">
        <v>1794</v>
      </c>
      <c r="C10776" t="s">
        <v>14027</v>
      </c>
      <c r="D10776" t="s">
        <v>19074</v>
      </c>
      <c r="E10776" t="s">
        <v>28362</v>
      </c>
      <c r="F10776" t="s">
        <v>32831</v>
      </c>
      <c r="G10776" t="s">
        <v>32839</v>
      </c>
      <c r="H10776" t="s">
        <v>32849</v>
      </c>
      <c r="I10776" t="s">
        <v>4177</v>
      </c>
      <c r="J10776" t="s">
        <v>39616</v>
      </c>
      <c r="K10776" t="s">
        <v>42763</v>
      </c>
      <c r="M10776" t="s">
        <v>44924</v>
      </c>
      <c r="N10776" t="s">
        <v>47424</v>
      </c>
      <c r="O10776" t="s">
        <v>47425</v>
      </c>
      <c r="P10776">
        <v>0</v>
      </c>
      <c r="Q10776">
        <v>0</v>
      </c>
      <c r="R10776" t="s">
        <v>47434</v>
      </c>
      <c r="S10776" t="s">
        <v>47677</v>
      </c>
      <c r="T10776" t="s">
        <v>49265</v>
      </c>
      <c r="U10776" t="s">
        <v>58545</v>
      </c>
      <c r="W10776" t="s">
        <v>44924</v>
      </c>
      <c r="X10776" t="s">
        <v>47438</v>
      </c>
    </row>
    <row r="10777" spans="1:24">
      <c r="A10777">
        <f>HYPERLINK("https://www.philgeps.gov.ph/GEPSNONPILOT/Tender/SplashBidNoticeAbstractUI.aspx?menuIndex=3&amp;refID=7152028&amp;Result=3","7152028")</f>
        <v>0</v>
      </c>
      <c r="B10777" t="s">
        <v>3265</v>
      </c>
      <c r="C10777" t="s">
        <v>14028</v>
      </c>
      <c r="E10777" t="s">
        <v>24470</v>
      </c>
      <c r="F10777" t="s">
        <v>32831</v>
      </c>
      <c r="G10777" t="s">
        <v>32839</v>
      </c>
      <c r="H10777" t="s">
        <v>32848</v>
      </c>
      <c r="I10777" t="s">
        <v>32864</v>
      </c>
      <c r="J10777" t="s">
        <v>39617</v>
      </c>
      <c r="K10777" t="s">
        <v>42732</v>
      </c>
      <c r="M10777" t="s">
        <v>46582</v>
      </c>
      <c r="N10777" t="s">
        <v>47424</v>
      </c>
      <c r="O10777" t="s">
        <v>47425</v>
      </c>
      <c r="P10777">
        <v>0</v>
      </c>
      <c r="Q10777">
        <v>24</v>
      </c>
      <c r="R10777" t="s">
        <v>47433</v>
      </c>
      <c r="S10777" t="s">
        <v>47633</v>
      </c>
      <c r="T10777" t="s">
        <v>49173</v>
      </c>
      <c r="U10777" t="s">
        <v>58546</v>
      </c>
      <c r="W10777" t="s">
        <v>46582</v>
      </c>
      <c r="X10777" t="s">
        <v>47434</v>
      </c>
    </row>
    <row r="10778" spans="1:24">
      <c r="A10778">
        <f>HYPERLINK("https://www.philgeps.gov.ph/GEPSNONPILOT/Tender/SplashBidNoticeAbstractUI.aspx?menuIndex=3&amp;refID=7152024&amp;Result=3","7152024")</f>
        <v>0</v>
      </c>
      <c r="B10778" t="s">
        <v>1538</v>
      </c>
      <c r="C10778" t="s">
        <v>14029</v>
      </c>
      <c r="D10778" t="s">
        <v>19060</v>
      </c>
      <c r="E10778" t="s">
        <v>28363</v>
      </c>
      <c r="F10778" t="s">
        <v>32831</v>
      </c>
      <c r="G10778" t="s">
        <v>32838</v>
      </c>
      <c r="H10778" t="s">
        <v>32848</v>
      </c>
      <c r="I10778" t="s">
        <v>6526</v>
      </c>
      <c r="J10778" t="s">
        <v>39618</v>
      </c>
      <c r="K10778" t="s">
        <v>42732</v>
      </c>
      <c r="M10778" t="s">
        <v>44642</v>
      </c>
      <c r="N10778" t="s">
        <v>47424</v>
      </c>
      <c r="O10778" t="s">
        <v>47425</v>
      </c>
      <c r="P10778">
        <v>0</v>
      </c>
      <c r="Q10778">
        <v>1</v>
      </c>
      <c r="R10778" t="s">
        <v>47433</v>
      </c>
      <c r="S10778" t="s">
        <v>47633</v>
      </c>
      <c r="T10778" t="s">
        <v>49212</v>
      </c>
      <c r="U10778" t="s">
        <v>58547</v>
      </c>
      <c r="V10778" t="s">
        <v>63804</v>
      </c>
      <c r="W10778" t="s">
        <v>44642</v>
      </c>
      <c r="X10778" t="s">
        <v>47434</v>
      </c>
    </row>
    <row r="10779" spans="1:24">
      <c r="A10779">
        <f>HYPERLINK("https://www.philgeps.gov.ph/GEPSNONPILOT/Tender/SplashBidNoticeAbstractUI.aspx?menuIndex=3&amp;refID=7152023&amp;Result=3","7152023")</f>
        <v>0</v>
      </c>
      <c r="B10779" t="s">
        <v>2089</v>
      </c>
      <c r="C10779" t="s">
        <v>14030</v>
      </c>
      <c r="E10779" t="s">
        <v>28364</v>
      </c>
      <c r="F10779" t="s">
        <v>32831</v>
      </c>
      <c r="G10779" t="s">
        <v>32839</v>
      </c>
      <c r="H10779" t="s">
        <v>32848</v>
      </c>
      <c r="I10779" t="s">
        <v>32863</v>
      </c>
      <c r="J10779" t="s">
        <v>39619</v>
      </c>
      <c r="K10779" t="s">
        <v>42732</v>
      </c>
      <c r="M10779" t="s">
        <v>46583</v>
      </c>
      <c r="N10779" t="s">
        <v>47424</v>
      </c>
      <c r="O10779" t="s">
        <v>47425</v>
      </c>
      <c r="Q10779">
        <v>0</v>
      </c>
      <c r="R10779" t="s">
        <v>47433</v>
      </c>
      <c r="S10779" t="s">
        <v>47719</v>
      </c>
      <c r="T10779" t="s">
        <v>49185</v>
      </c>
      <c r="U10779" t="s">
        <v>58548</v>
      </c>
      <c r="W10779" t="s">
        <v>46583</v>
      </c>
      <c r="X10779" t="s">
        <v>47434</v>
      </c>
    </row>
    <row r="10780" spans="1:24">
      <c r="A10780">
        <f>HYPERLINK("https://www.philgeps.gov.ph/GEPSNONPILOT/Tender/SplashBidNoticeAbstractUI.aspx?menuIndex=3&amp;refID=7152029&amp;Result=3","7152029")</f>
        <v>0</v>
      </c>
      <c r="B10780" t="s">
        <v>3166</v>
      </c>
      <c r="C10780" t="s">
        <v>14031</v>
      </c>
      <c r="D10780" t="s">
        <v>19043</v>
      </c>
      <c r="E10780" t="s">
        <v>19311</v>
      </c>
      <c r="F10780" t="s">
        <v>32831</v>
      </c>
      <c r="G10780" t="s">
        <v>32839</v>
      </c>
      <c r="H10780" t="s">
        <v>32848</v>
      </c>
      <c r="I10780" t="s">
        <v>32852</v>
      </c>
      <c r="J10780" t="s">
        <v>33310</v>
      </c>
      <c r="K10780" t="s">
        <v>42727</v>
      </c>
      <c r="M10780" t="s">
        <v>46473</v>
      </c>
      <c r="N10780" t="s">
        <v>47424</v>
      </c>
      <c r="O10780" t="s">
        <v>47425</v>
      </c>
      <c r="P10780">
        <v>0</v>
      </c>
      <c r="Q10780">
        <v>3</v>
      </c>
      <c r="R10780" t="s">
        <v>47433</v>
      </c>
      <c r="S10780" t="s">
        <v>47633</v>
      </c>
      <c r="T10780" t="s">
        <v>49237</v>
      </c>
      <c r="U10780" t="s">
        <v>58549</v>
      </c>
      <c r="W10780" t="s">
        <v>46473</v>
      </c>
      <c r="X10780" t="s">
        <v>47434</v>
      </c>
    </row>
    <row r="10781" spans="1:24">
      <c r="A10781">
        <f>HYPERLINK("https://www.philgeps.gov.ph/GEPSNONPILOT/Tender/SplashBidNoticeAbstractUI.aspx?menuIndex=3&amp;refID=7152005&amp;Result=3","7152005")</f>
        <v>0</v>
      </c>
      <c r="B10781" t="s">
        <v>883</v>
      </c>
      <c r="C10781" t="s">
        <v>11978</v>
      </c>
      <c r="D10781" t="s">
        <v>19080</v>
      </c>
      <c r="E10781" t="s">
        <v>28365</v>
      </c>
      <c r="F10781" t="s">
        <v>32831</v>
      </c>
      <c r="G10781" t="s">
        <v>32839</v>
      </c>
      <c r="H10781" t="s">
        <v>32848</v>
      </c>
      <c r="I10781" t="s">
        <v>10805</v>
      </c>
      <c r="J10781" t="s">
        <v>33111</v>
      </c>
      <c r="K10781" t="s">
        <v>42747</v>
      </c>
      <c r="M10781" t="s">
        <v>43918</v>
      </c>
      <c r="N10781" t="s">
        <v>47424</v>
      </c>
      <c r="O10781" t="s">
        <v>47425</v>
      </c>
      <c r="P10781">
        <v>0</v>
      </c>
      <c r="Q10781">
        <v>7</v>
      </c>
      <c r="R10781" t="s">
        <v>47433</v>
      </c>
      <c r="S10781" t="s">
        <v>47633</v>
      </c>
      <c r="T10781" t="s">
        <v>49250</v>
      </c>
      <c r="U10781" t="s">
        <v>58550</v>
      </c>
      <c r="V10781" t="s">
        <v>63805</v>
      </c>
      <c r="W10781" t="s">
        <v>43918</v>
      </c>
      <c r="X10781" t="s">
        <v>47434</v>
      </c>
    </row>
    <row r="10782" spans="1:24">
      <c r="A10782">
        <f>HYPERLINK("https://www.philgeps.gov.ph/GEPSNONPILOT/Tender/SplashBidNoticeAbstractUI.aspx?menuIndex=3&amp;refID=7152004&amp;Result=3","7152004")</f>
        <v>0</v>
      </c>
      <c r="B10782" t="s">
        <v>958</v>
      </c>
      <c r="C10782" t="s">
        <v>14032</v>
      </c>
      <c r="D10782" t="s">
        <v>19092</v>
      </c>
      <c r="E10782" t="s">
        <v>28366</v>
      </c>
      <c r="F10782" t="s">
        <v>32831</v>
      </c>
      <c r="G10782" t="s">
        <v>32839</v>
      </c>
      <c r="H10782" t="s">
        <v>32848</v>
      </c>
      <c r="I10782" t="s">
        <v>4222</v>
      </c>
      <c r="J10782" t="s">
        <v>39620</v>
      </c>
      <c r="K10782" t="s">
        <v>42732</v>
      </c>
      <c r="M10782" t="s">
        <v>46267</v>
      </c>
      <c r="N10782" t="s">
        <v>47424</v>
      </c>
      <c r="O10782" t="s">
        <v>47425</v>
      </c>
      <c r="Q10782">
        <v>4</v>
      </c>
      <c r="R10782" t="s">
        <v>47433</v>
      </c>
      <c r="S10782" t="s">
        <v>47720</v>
      </c>
      <c r="T10782" t="s">
        <v>49302</v>
      </c>
      <c r="U10782" t="s">
        <v>58551</v>
      </c>
      <c r="W10782" t="s">
        <v>46267</v>
      </c>
      <c r="X10782" t="s">
        <v>47434</v>
      </c>
    </row>
    <row r="10783" spans="1:24">
      <c r="A10783">
        <f>HYPERLINK("https://www.philgeps.gov.ph/GEPSNONPILOT/Tender/SplashBidNoticeAbstractUI.aspx?menuIndex=3&amp;refID=7152002&amp;Result=3","7152002")</f>
        <v>0</v>
      </c>
      <c r="B10783" t="s">
        <v>3266</v>
      </c>
      <c r="C10783" t="s">
        <v>14033</v>
      </c>
      <c r="D10783" t="s">
        <v>19018</v>
      </c>
      <c r="E10783" t="s">
        <v>28367</v>
      </c>
      <c r="F10783" t="s">
        <v>32831</v>
      </c>
      <c r="G10783" t="s">
        <v>32839</v>
      </c>
      <c r="H10783" t="s">
        <v>32849</v>
      </c>
      <c r="I10783" t="s">
        <v>4177</v>
      </c>
      <c r="J10783" t="s">
        <v>39621</v>
      </c>
      <c r="K10783" t="s">
        <v>42934</v>
      </c>
      <c r="M10783" t="s">
        <v>46584</v>
      </c>
      <c r="N10783" t="s">
        <v>47424</v>
      </c>
      <c r="O10783" t="s">
        <v>47425</v>
      </c>
      <c r="P10783">
        <v>0</v>
      </c>
      <c r="Q10783">
        <v>1</v>
      </c>
      <c r="R10783" t="s">
        <v>47433</v>
      </c>
      <c r="S10783" t="s">
        <v>47633</v>
      </c>
      <c r="T10783" t="s">
        <v>49490</v>
      </c>
      <c r="U10783" t="s">
        <v>58552</v>
      </c>
      <c r="W10783" t="s">
        <v>46584</v>
      </c>
      <c r="X10783" t="s">
        <v>47434</v>
      </c>
    </row>
    <row r="10784" spans="1:24">
      <c r="A10784">
        <f>HYPERLINK("https://www.philgeps.gov.ph/GEPSNONPILOT/Tender/SplashBidNoticeAbstractUI.aspx?menuIndex=3&amp;refID=7152025&amp;Result=3","7152025")</f>
        <v>0</v>
      </c>
      <c r="B10784" t="s">
        <v>3164</v>
      </c>
      <c r="C10784" t="s">
        <v>14034</v>
      </c>
      <c r="D10784" t="s">
        <v>19077</v>
      </c>
      <c r="E10784" t="s">
        <v>28368</v>
      </c>
      <c r="F10784" t="s">
        <v>32831</v>
      </c>
      <c r="G10784" t="s">
        <v>32839</v>
      </c>
      <c r="H10784" t="s">
        <v>32848</v>
      </c>
      <c r="I10784" t="s">
        <v>4558</v>
      </c>
      <c r="J10784" t="s">
        <v>39622</v>
      </c>
      <c r="K10784" t="s">
        <v>42727</v>
      </c>
      <c r="M10784" t="s">
        <v>46470</v>
      </c>
      <c r="N10784" t="s">
        <v>47424</v>
      </c>
      <c r="O10784" t="s">
        <v>47425</v>
      </c>
      <c r="P10784">
        <v>0</v>
      </c>
      <c r="Q10784">
        <v>5</v>
      </c>
      <c r="R10784" t="s">
        <v>47433</v>
      </c>
      <c r="S10784" t="s">
        <v>47633</v>
      </c>
      <c r="T10784" t="s">
        <v>49173</v>
      </c>
      <c r="U10784" t="s">
        <v>58103</v>
      </c>
      <c r="V10784" t="s">
        <v>63754</v>
      </c>
      <c r="W10784" t="s">
        <v>46470</v>
      </c>
      <c r="X10784" t="s">
        <v>47434</v>
      </c>
    </row>
    <row r="10785" spans="1:24">
      <c r="A10785">
        <f>HYPERLINK("https://www.philgeps.gov.ph/GEPSNONPILOT/Tender/SplashBidNoticeAbstractUI.aspx?menuIndex=3&amp;refID=7151998&amp;Result=3","7151998")</f>
        <v>0</v>
      </c>
      <c r="B10785" t="s">
        <v>883</v>
      </c>
      <c r="C10785" t="s">
        <v>14035</v>
      </c>
      <c r="D10785" t="s">
        <v>19080</v>
      </c>
      <c r="E10785" t="s">
        <v>28369</v>
      </c>
      <c r="F10785" t="s">
        <v>32831</v>
      </c>
      <c r="G10785" t="s">
        <v>32839</v>
      </c>
      <c r="H10785" t="s">
        <v>32848</v>
      </c>
      <c r="I10785" t="s">
        <v>10805</v>
      </c>
      <c r="J10785" t="s">
        <v>39623</v>
      </c>
      <c r="K10785" t="s">
        <v>42747</v>
      </c>
      <c r="M10785" t="s">
        <v>43918</v>
      </c>
      <c r="N10785" t="s">
        <v>47424</v>
      </c>
      <c r="O10785" t="s">
        <v>47425</v>
      </c>
      <c r="P10785">
        <v>0</v>
      </c>
      <c r="Q10785">
        <v>9</v>
      </c>
      <c r="R10785" t="s">
        <v>47433</v>
      </c>
      <c r="S10785" t="s">
        <v>47633</v>
      </c>
      <c r="T10785" t="s">
        <v>49250</v>
      </c>
      <c r="U10785" t="s">
        <v>58553</v>
      </c>
      <c r="V10785" t="s">
        <v>63805</v>
      </c>
      <c r="W10785" t="s">
        <v>43918</v>
      </c>
      <c r="X10785" t="s">
        <v>47434</v>
      </c>
    </row>
    <row r="10786" spans="1:24">
      <c r="A10786">
        <f>HYPERLINK("https://www.philgeps.gov.ph/GEPSNONPILOT/Tender/SplashBidNoticeAbstractUI.aspx?menuIndex=3&amp;refID=7147660&amp;Result=3","7147660")</f>
        <v>0</v>
      </c>
      <c r="B10786" t="s">
        <v>1794</v>
      </c>
      <c r="C10786" t="s">
        <v>14036</v>
      </c>
      <c r="D10786" t="s">
        <v>19074</v>
      </c>
      <c r="E10786" t="s">
        <v>28370</v>
      </c>
      <c r="F10786" t="s">
        <v>32831</v>
      </c>
      <c r="G10786" t="s">
        <v>32839</v>
      </c>
      <c r="H10786" t="s">
        <v>32849</v>
      </c>
      <c r="I10786" t="s">
        <v>4177</v>
      </c>
      <c r="J10786" t="s">
        <v>39624</v>
      </c>
      <c r="K10786" t="s">
        <v>42763</v>
      </c>
      <c r="M10786" t="s">
        <v>44924</v>
      </c>
      <c r="N10786" t="s">
        <v>47424</v>
      </c>
      <c r="O10786" t="s">
        <v>47425</v>
      </c>
      <c r="P10786">
        <v>0</v>
      </c>
      <c r="Q10786">
        <v>0</v>
      </c>
      <c r="R10786" t="s">
        <v>47434</v>
      </c>
      <c r="S10786" t="s">
        <v>47677</v>
      </c>
      <c r="T10786" t="s">
        <v>49265</v>
      </c>
      <c r="U10786" t="s">
        <v>58554</v>
      </c>
      <c r="W10786" t="s">
        <v>44924</v>
      </c>
      <c r="X10786" t="s">
        <v>47438</v>
      </c>
    </row>
    <row r="10787" spans="1:24">
      <c r="A10787">
        <f>HYPERLINK("https://www.philgeps.gov.ph/GEPSNONPILOT/Tender/SplashBidNoticeAbstractUI.aspx?menuIndex=3&amp;refID=7151957&amp;Result=3","7151957")</f>
        <v>0</v>
      </c>
      <c r="B10787" t="s">
        <v>3157</v>
      </c>
      <c r="C10787" t="s">
        <v>14037</v>
      </c>
      <c r="D10787" t="s">
        <v>19074</v>
      </c>
      <c r="E10787" t="s">
        <v>28371</v>
      </c>
      <c r="F10787" t="s">
        <v>32831</v>
      </c>
      <c r="G10787" t="s">
        <v>32839</v>
      </c>
      <c r="H10787" t="s">
        <v>32849</v>
      </c>
      <c r="I10787" t="s">
        <v>4177</v>
      </c>
      <c r="J10787" t="s">
        <v>39625</v>
      </c>
      <c r="K10787" t="s">
        <v>42763</v>
      </c>
      <c r="M10787" t="s">
        <v>46460</v>
      </c>
      <c r="N10787" t="s">
        <v>47424</v>
      </c>
      <c r="O10787" t="s">
        <v>47425</v>
      </c>
      <c r="P10787">
        <v>0</v>
      </c>
      <c r="Q10787">
        <v>0</v>
      </c>
      <c r="R10787" t="s">
        <v>47433</v>
      </c>
      <c r="S10787" t="s">
        <v>47633</v>
      </c>
      <c r="T10787" t="s">
        <v>49112</v>
      </c>
      <c r="U10787" t="s">
        <v>58555</v>
      </c>
      <c r="W10787" t="s">
        <v>46460</v>
      </c>
      <c r="X10787" t="s">
        <v>47434</v>
      </c>
    </row>
    <row r="10788" spans="1:24">
      <c r="A10788">
        <f>HYPERLINK("https://www.philgeps.gov.ph/GEPSNONPILOT/Tender/SplashBidNoticeAbstractUI.aspx?menuIndex=3&amp;refID=7151956&amp;Result=3","7151956")</f>
        <v>0</v>
      </c>
      <c r="B10788" t="s">
        <v>3153</v>
      </c>
      <c r="C10788" t="s">
        <v>14038</v>
      </c>
      <c r="D10788" t="s">
        <v>19017</v>
      </c>
      <c r="E10788" t="s">
        <v>20141</v>
      </c>
      <c r="F10788" t="s">
        <v>32831</v>
      </c>
      <c r="G10788" t="s">
        <v>32839</v>
      </c>
      <c r="H10788" t="s">
        <v>32848</v>
      </c>
      <c r="I10788" t="s">
        <v>4438</v>
      </c>
      <c r="J10788" t="s">
        <v>32978</v>
      </c>
      <c r="K10788" t="s">
        <v>42758</v>
      </c>
      <c r="M10788" t="s">
        <v>46455</v>
      </c>
      <c r="N10788" t="s">
        <v>47424</v>
      </c>
      <c r="O10788" t="s">
        <v>47425</v>
      </c>
      <c r="P10788">
        <v>0</v>
      </c>
      <c r="Q10788">
        <v>0</v>
      </c>
      <c r="R10788" t="s">
        <v>47433</v>
      </c>
      <c r="S10788" t="s">
        <v>47633</v>
      </c>
      <c r="T10788" t="s">
        <v>49221</v>
      </c>
      <c r="U10788" t="s">
        <v>58080</v>
      </c>
      <c r="W10788" t="s">
        <v>46455</v>
      </c>
      <c r="X10788" t="s">
        <v>47434</v>
      </c>
    </row>
    <row r="10789" spans="1:24">
      <c r="A10789">
        <f>HYPERLINK("https://www.philgeps.gov.ph/GEPSNONPILOT/Tender/SplashBidNoticeAbstractUI.aspx?menuIndex=3&amp;refID=7151888&amp;Result=3","7151888")</f>
        <v>0</v>
      </c>
      <c r="B10789" t="s">
        <v>2917</v>
      </c>
      <c r="C10789" t="s">
        <v>14039</v>
      </c>
      <c r="E10789" t="s">
        <v>28372</v>
      </c>
      <c r="F10789" t="s">
        <v>32831</v>
      </c>
      <c r="G10789" t="s">
        <v>32838</v>
      </c>
      <c r="H10789" t="s">
        <v>32848</v>
      </c>
      <c r="I10789" t="s">
        <v>32892</v>
      </c>
      <c r="J10789" t="s">
        <v>39626</v>
      </c>
      <c r="K10789" t="s">
        <v>42732</v>
      </c>
      <c r="M10789" t="s">
        <v>46169</v>
      </c>
      <c r="N10789" t="s">
        <v>47424</v>
      </c>
      <c r="O10789" t="s">
        <v>47425</v>
      </c>
      <c r="P10789">
        <v>0</v>
      </c>
      <c r="Q10789">
        <v>2</v>
      </c>
      <c r="R10789" t="s">
        <v>47433</v>
      </c>
      <c r="S10789" t="s">
        <v>47633</v>
      </c>
      <c r="T10789" t="s">
        <v>49239</v>
      </c>
      <c r="U10789" t="s">
        <v>58556</v>
      </c>
      <c r="W10789" t="s">
        <v>46169</v>
      </c>
      <c r="X10789" t="s">
        <v>47434</v>
      </c>
    </row>
    <row r="10790" spans="1:24">
      <c r="A10790">
        <f>HYPERLINK("https://www.philgeps.gov.ph/GEPSNONPILOT/Tender/SplashBidNoticeAbstractUI.aspx?menuIndex=3&amp;refID=7152001&amp;Result=3","7152001")</f>
        <v>0</v>
      </c>
      <c r="B10790" t="s">
        <v>3164</v>
      </c>
      <c r="C10790" t="s">
        <v>14040</v>
      </c>
      <c r="D10790" t="s">
        <v>19077</v>
      </c>
      <c r="E10790" t="s">
        <v>28373</v>
      </c>
      <c r="F10790" t="s">
        <v>32831</v>
      </c>
      <c r="G10790" t="s">
        <v>32839</v>
      </c>
      <c r="H10790" t="s">
        <v>32848</v>
      </c>
      <c r="I10790" t="s">
        <v>32857</v>
      </c>
      <c r="J10790" t="s">
        <v>39627</v>
      </c>
      <c r="K10790" t="s">
        <v>42727</v>
      </c>
      <c r="M10790" t="s">
        <v>46470</v>
      </c>
      <c r="N10790" t="s">
        <v>47424</v>
      </c>
      <c r="O10790" t="s">
        <v>47425</v>
      </c>
      <c r="P10790">
        <v>0</v>
      </c>
      <c r="Q10790">
        <v>9</v>
      </c>
      <c r="R10790" t="s">
        <v>47433</v>
      </c>
      <c r="S10790" t="s">
        <v>47633</v>
      </c>
      <c r="T10790" t="s">
        <v>49173</v>
      </c>
      <c r="U10790" t="s">
        <v>58103</v>
      </c>
      <c r="V10790" t="s">
        <v>63754</v>
      </c>
      <c r="W10790" t="s">
        <v>46470</v>
      </c>
      <c r="X10790" t="s">
        <v>47434</v>
      </c>
    </row>
    <row r="10791" spans="1:24">
      <c r="A10791">
        <f>HYPERLINK("https://www.philgeps.gov.ph/GEPSNONPILOT/Tender/SplashBidNoticeAbstractUI.aspx?menuIndex=3&amp;refID=7151885&amp;Result=3","7151885")</f>
        <v>0</v>
      </c>
      <c r="B10791" t="s">
        <v>3267</v>
      </c>
      <c r="C10791" t="s">
        <v>14041</v>
      </c>
      <c r="D10791" t="s">
        <v>19057</v>
      </c>
      <c r="E10791" t="s">
        <v>28374</v>
      </c>
      <c r="F10791" t="s">
        <v>32831</v>
      </c>
      <c r="G10791" t="s">
        <v>32839</v>
      </c>
      <c r="H10791" t="s">
        <v>32848</v>
      </c>
      <c r="I10791" t="s">
        <v>32860</v>
      </c>
      <c r="J10791" t="s">
        <v>35169</v>
      </c>
      <c r="K10791" t="s">
        <v>42727</v>
      </c>
      <c r="M10791" t="s">
        <v>46585</v>
      </c>
      <c r="N10791" t="s">
        <v>47424</v>
      </c>
      <c r="O10791" t="s">
        <v>47425</v>
      </c>
      <c r="P10791">
        <v>0</v>
      </c>
      <c r="Q10791">
        <v>1</v>
      </c>
      <c r="R10791" t="s">
        <v>47433</v>
      </c>
      <c r="S10791" t="s">
        <v>47633</v>
      </c>
      <c r="T10791" t="s">
        <v>49239</v>
      </c>
      <c r="U10791" t="s">
        <v>58557</v>
      </c>
      <c r="W10791" t="s">
        <v>46585</v>
      </c>
      <c r="X10791" t="s">
        <v>47434</v>
      </c>
    </row>
    <row r="10792" spans="1:24">
      <c r="A10792">
        <f>HYPERLINK("https://www.philgeps.gov.ph/GEPSNONPILOT/Tender/SplashBidNoticeAbstractUI.aspx?menuIndex=3&amp;refID=7152000&amp;Result=3","7152000")</f>
        <v>0</v>
      </c>
      <c r="B10792" t="s">
        <v>958</v>
      </c>
      <c r="C10792" t="s">
        <v>14042</v>
      </c>
      <c r="D10792" t="s">
        <v>19097</v>
      </c>
      <c r="E10792" t="s">
        <v>28375</v>
      </c>
      <c r="F10792" t="s">
        <v>32831</v>
      </c>
      <c r="G10792" t="s">
        <v>32839</v>
      </c>
      <c r="H10792" t="s">
        <v>32848</v>
      </c>
      <c r="I10792" t="s">
        <v>4222</v>
      </c>
      <c r="J10792" t="s">
        <v>39628</v>
      </c>
      <c r="K10792" t="s">
        <v>42732</v>
      </c>
      <c r="M10792" t="s">
        <v>46267</v>
      </c>
      <c r="N10792" t="s">
        <v>47424</v>
      </c>
      <c r="O10792" t="s">
        <v>47425</v>
      </c>
      <c r="Q10792">
        <v>3</v>
      </c>
      <c r="R10792" t="s">
        <v>47433</v>
      </c>
      <c r="S10792" t="s">
        <v>47721</v>
      </c>
      <c r="T10792" t="s">
        <v>49302</v>
      </c>
      <c r="U10792" t="s">
        <v>58558</v>
      </c>
      <c r="W10792" t="s">
        <v>46267</v>
      </c>
      <c r="X10792" t="s">
        <v>47434</v>
      </c>
    </row>
    <row r="10793" spans="1:24">
      <c r="A10793">
        <f>HYPERLINK("https://www.philgeps.gov.ph/GEPSNONPILOT/Tender/SplashBidNoticeAbstractUI.aspx?menuIndex=3&amp;refID=7151852&amp;Result=3","7151852")</f>
        <v>0</v>
      </c>
      <c r="B10793" t="s">
        <v>2315</v>
      </c>
      <c r="C10793" t="s">
        <v>14043</v>
      </c>
      <c r="D10793" t="s">
        <v>19031</v>
      </c>
      <c r="E10793" t="s">
        <v>28376</v>
      </c>
      <c r="F10793" t="s">
        <v>32831</v>
      </c>
      <c r="G10793" t="s">
        <v>32839</v>
      </c>
      <c r="H10793" t="s">
        <v>32848</v>
      </c>
      <c r="I10793" t="s">
        <v>4487</v>
      </c>
      <c r="J10793" t="s">
        <v>39629</v>
      </c>
      <c r="K10793" t="s">
        <v>42730</v>
      </c>
      <c r="M10793" t="s">
        <v>45500</v>
      </c>
      <c r="N10793" t="s">
        <v>47424</v>
      </c>
      <c r="O10793" t="s">
        <v>47425</v>
      </c>
      <c r="P10793">
        <v>0</v>
      </c>
      <c r="Q10793">
        <v>2</v>
      </c>
      <c r="R10793" t="s">
        <v>47433</v>
      </c>
      <c r="S10793" t="s">
        <v>47633</v>
      </c>
      <c r="T10793" t="s">
        <v>49236</v>
      </c>
      <c r="U10793" t="s">
        <v>58559</v>
      </c>
      <c r="W10793" t="s">
        <v>45500</v>
      </c>
      <c r="X10793" t="s">
        <v>47434</v>
      </c>
    </row>
    <row r="10794" spans="1:24">
      <c r="A10794">
        <f>HYPERLINK("https://www.philgeps.gov.ph/GEPSNONPILOT/Tender/SplashBidNoticeAbstractUI.aspx?menuIndex=3&amp;refID=7151851&amp;Result=3","7151851")</f>
        <v>0</v>
      </c>
      <c r="B10794" t="s">
        <v>761</v>
      </c>
      <c r="C10794" t="s">
        <v>14044</v>
      </c>
      <c r="D10794" t="s">
        <v>19022</v>
      </c>
      <c r="E10794" t="s">
        <v>28377</v>
      </c>
      <c r="F10794" t="s">
        <v>32831</v>
      </c>
      <c r="G10794" t="s">
        <v>32839</v>
      </c>
      <c r="H10794" t="s">
        <v>32849</v>
      </c>
      <c r="I10794" t="s">
        <v>32889</v>
      </c>
      <c r="J10794" t="s">
        <v>39630</v>
      </c>
      <c r="K10794" t="s">
        <v>42729</v>
      </c>
      <c r="M10794" t="s">
        <v>43787</v>
      </c>
      <c r="N10794" t="s">
        <v>47424</v>
      </c>
      <c r="O10794" t="s">
        <v>47425</v>
      </c>
      <c r="P10794">
        <v>0</v>
      </c>
      <c r="Q10794">
        <v>3</v>
      </c>
      <c r="R10794" t="s">
        <v>47433</v>
      </c>
      <c r="S10794" t="s">
        <v>47633</v>
      </c>
      <c r="T10794" t="s">
        <v>49291</v>
      </c>
      <c r="U10794" t="s">
        <v>58560</v>
      </c>
      <c r="W10794" t="s">
        <v>43787</v>
      </c>
      <c r="X10794" t="s">
        <v>47434</v>
      </c>
    </row>
    <row r="10795" spans="1:24">
      <c r="A10795">
        <f>HYPERLINK("https://www.philgeps.gov.ph/GEPSNONPILOT/Tender/SplashBidNoticeAbstractUI.aspx?menuIndex=3&amp;refID=7151954&amp;Result=3","7151954")</f>
        <v>0</v>
      </c>
      <c r="B10795" t="s">
        <v>3153</v>
      </c>
      <c r="C10795" t="s">
        <v>14045</v>
      </c>
      <c r="D10795" t="s">
        <v>19017</v>
      </c>
      <c r="E10795" t="s">
        <v>20163</v>
      </c>
      <c r="F10795" t="s">
        <v>32831</v>
      </c>
      <c r="G10795" t="s">
        <v>32839</v>
      </c>
      <c r="H10795" t="s">
        <v>32848</v>
      </c>
      <c r="I10795" t="s">
        <v>4438</v>
      </c>
      <c r="J10795" t="s">
        <v>32978</v>
      </c>
      <c r="K10795" t="s">
        <v>42758</v>
      </c>
      <c r="M10795" t="s">
        <v>46455</v>
      </c>
      <c r="N10795" t="s">
        <v>47424</v>
      </c>
      <c r="O10795" t="s">
        <v>47425</v>
      </c>
      <c r="P10795">
        <v>0</v>
      </c>
      <c r="Q10795">
        <v>0</v>
      </c>
      <c r="R10795" t="s">
        <v>47433</v>
      </c>
      <c r="S10795" t="s">
        <v>47633</v>
      </c>
      <c r="T10795" t="s">
        <v>49221</v>
      </c>
      <c r="U10795" t="s">
        <v>58080</v>
      </c>
      <c r="W10795" t="s">
        <v>46455</v>
      </c>
      <c r="X10795" t="s">
        <v>47434</v>
      </c>
    </row>
    <row r="10796" spans="1:24">
      <c r="A10796">
        <f>HYPERLINK("https://www.philgeps.gov.ph/GEPSNONPILOT/Tender/SplashBidNoticeAbstractUI.aspx?menuIndex=3&amp;refID=7151814&amp;Result=3","7151814")</f>
        <v>0</v>
      </c>
      <c r="B10796" t="s">
        <v>834</v>
      </c>
      <c r="C10796" t="s">
        <v>14046</v>
      </c>
      <c r="D10796" t="s">
        <v>19046</v>
      </c>
      <c r="E10796" t="s">
        <v>28378</v>
      </c>
      <c r="F10796" t="s">
        <v>32831</v>
      </c>
      <c r="G10796" t="s">
        <v>32839</v>
      </c>
      <c r="H10796" t="s">
        <v>32848</v>
      </c>
      <c r="I10796" t="s">
        <v>4776</v>
      </c>
      <c r="J10796" t="s">
        <v>34222</v>
      </c>
      <c r="K10796" t="s">
        <v>42732</v>
      </c>
      <c r="M10796" t="s">
        <v>43983</v>
      </c>
      <c r="N10796" t="s">
        <v>47424</v>
      </c>
      <c r="O10796" t="s">
        <v>47425</v>
      </c>
      <c r="P10796">
        <v>0</v>
      </c>
      <c r="Q10796">
        <v>5</v>
      </c>
      <c r="R10796" t="s">
        <v>47433</v>
      </c>
      <c r="S10796" t="s">
        <v>47633</v>
      </c>
      <c r="T10796" t="s">
        <v>49239</v>
      </c>
      <c r="U10796" t="s">
        <v>51434</v>
      </c>
      <c r="W10796" t="s">
        <v>43983</v>
      </c>
      <c r="X10796" t="s">
        <v>47434</v>
      </c>
    </row>
    <row r="10797" spans="1:24">
      <c r="A10797">
        <f>HYPERLINK("https://www.philgeps.gov.ph/GEPSNONPILOT/Tender/SplashBidNoticeAbstractUI.aspx?menuIndex=3&amp;refID=7151812&amp;Result=3","7151812")</f>
        <v>0</v>
      </c>
      <c r="B10797" t="s">
        <v>3268</v>
      </c>
      <c r="C10797" t="s">
        <v>14047</v>
      </c>
      <c r="D10797" t="s">
        <v>19026</v>
      </c>
      <c r="E10797" t="s">
        <v>28379</v>
      </c>
      <c r="F10797" t="s">
        <v>32831</v>
      </c>
      <c r="G10797" t="s">
        <v>32839</v>
      </c>
      <c r="H10797" t="s">
        <v>32848</v>
      </c>
      <c r="I10797" t="s">
        <v>4303</v>
      </c>
      <c r="J10797" t="s">
        <v>39631</v>
      </c>
      <c r="K10797" t="s">
        <v>42726</v>
      </c>
      <c r="M10797" t="s">
        <v>46586</v>
      </c>
      <c r="N10797" t="s">
        <v>47424</v>
      </c>
      <c r="O10797" t="s">
        <v>47425</v>
      </c>
      <c r="P10797">
        <v>0</v>
      </c>
      <c r="Q10797">
        <v>1</v>
      </c>
      <c r="R10797" t="s">
        <v>47433</v>
      </c>
      <c r="S10797" t="s">
        <v>47633</v>
      </c>
      <c r="T10797" t="s">
        <v>49111</v>
      </c>
      <c r="U10797" t="s">
        <v>58561</v>
      </c>
      <c r="W10797" t="s">
        <v>46586</v>
      </c>
      <c r="X10797" t="s">
        <v>47434</v>
      </c>
    </row>
    <row r="10798" spans="1:24">
      <c r="A10798">
        <f>HYPERLINK("https://www.philgeps.gov.ph/GEPSNONPILOT/Tender/SplashBidNoticeAbstractUI.aspx?menuIndex=3&amp;refID=7151808&amp;Result=3","7151808")</f>
        <v>0</v>
      </c>
      <c r="B10798" t="s">
        <v>834</v>
      </c>
      <c r="C10798" t="s">
        <v>14048</v>
      </c>
      <c r="D10798" t="s">
        <v>19046</v>
      </c>
      <c r="E10798" t="s">
        <v>28380</v>
      </c>
      <c r="F10798" t="s">
        <v>32831</v>
      </c>
      <c r="G10798" t="s">
        <v>32839</v>
      </c>
      <c r="H10798" t="s">
        <v>32848</v>
      </c>
      <c r="I10798" t="s">
        <v>4776</v>
      </c>
      <c r="J10798" t="s">
        <v>39632</v>
      </c>
      <c r="K10798" t="s">
        <v>42732</v>
      </c>
      <c r="M10798" t="s">
        <v>43983</v>
      </c>
      <c r="N10798" t="s">
        <v>47424</v>
      </c>
      <c r="O10798" t="s">
        <v>47425</v>
      </c>
      <c r="P10798">
        <v>0</v>
      </c>
      <c r="Q10798">
        <v>4</v>
      </c>
      <c r="R10798" t="s">
        <v>47433</v>
      </c>
      <c r="S10798" t="s">
        <v>47633</v>
      </c>
      <c r="T10798" t="s">
        <v>49239</v>
      </c>
      <c r="U10798" t="s">
        <v>51434</v>
      </c>
      <c r="W10798" t="s">
        <v>43983</v>
      </c>
      <c r="X10798" t="s">
        <v>47434</v>
      </c>
    </row>
    <row r="10799" spans="1:24">
      <c r="A10799">
        <f>HYPERLINK("https://www.philgeps.gov.ph/GEPSNONPILOT/Tender/SplashBidNoticeAbstractUI.aspx?menuIndex=3&amp;refID=7151818&amp;Result=3","7151818")</f>
        <v>0</v>
      </c>
      <c r="B10799" t="s">
        <v>3268</v>
      </c>
      <c r="C10799" t="s">
        <v>14049</v>
      </c>
      <c r="D10799" t="s">
        <v>19026</v>
      </c>
      <c r="E10799" t="s">
        <v>28381</v>
      </c>
      <c r="F10799" t="s">
        <v>32831</v>
      </c>
      <c r="G10799" t="s">
        <v>32839</v>
      </c>
      <c r="H10799" t="s">
        <v>32848</v>
      </c>
      <c r="I10799" t="s">
        <v>32863</v>
      </c>
      <c r="J10799" t="s">
        <v>39633</v>
      </c>
      <c r="K10799" t="s">
        <v>42726</v>
      </c>
      <c r="M10799" t="s">
        <v>46586</v>
      </c>
      <c r="N10799" t="s">
        <v>47424</v>
      </c>
      <c r="O10799" t="s">
        <v>47425</v>
      </c>
      <c r="P10799">
        <v>0</v>
      </c>
      <c r="Q10799">
        <v>1</v>
      </c>
      <c r="R10799" t="s">
        <v>47433</v>
      </c>
      <c r="S10799" t="s">
        <v>47633</v>
      </c>
      <c r="T10799" t="s">
        <v>49237</v>
      </c>
      <c r="U10799" t="s">
        <v>58561</v>
      </c>
      <c r="W10799" t="s">
        <v>46586</v>
      </c>
      <c r="X10799" t="s">
        <v>47434</v>
      </c>
    </row>
    <row r="10800" spans="1:24">
      <c r="A10800">
        <f>HYPERLINK("https://www.philgeps.gov.ph/GEPSNONPILOT/Tender/SplashBidNoticeAbstractUI.aspx?menuIndex=3&amp;refID=7150800&amp;Result=3","7150800")</f>
        <v>0</v>
      </c>
      <c r="B10800" t="s">
        <v>714</v>
      </c>
      <c r="C10800" t="s">
        <v>14050</v>
      </c>
      <c r="D10800" t="s">
        <v>19038</v>
      </c>
      <c r="E10800" t="s">
        <v>28382</v>
      </c>
      <c r="F10800" t="s">
        <v>32831</v>
      </c>
      <c r="G10800" t="s">
        <v>32839</v>
      </c>
      <c r="H10800" t="s">
        <v>32849</v>
      </c>
      <c r="I10800" t="s">
        <v>4177</v>
      </c>
      <c r="J10800" t="s">
        <v>39634</v>
      </c>
      <c r="K10800" t="s">
        <v>42732</v>
      </c>
      <c r="M10800" t="s">
        <v>43734</v>
      </c>
      <c r="N10800" t="s">
        <v>47424</v>
      </c>
      <c r="O10800" t="s">
        <v>47425</v>
      </c>
      <c r="P10800">
        <v>0</v>
      </c>
      <c r="Q10800">
        <v>0</v>
      </c>
      <c r="R10800" t="s">
        <v>47433</v>
      </c>
      <c r="S10800" t="s">
        <v>47633</v>
      </c>
      <c r="T10800" t="s">
        <v>49112</v>
      </c>
      <c r="U10800" t="s">
        <v>50996</v>
      </c>
      <c r="W10800" t="s">
        <v>43734</v>
      </c>
      <c r="X10800" t="s">
        <v>47434</v>
      </c>
    </row>
    <row r="10801" spans="1:24">
      <c r="A10801">
        <f>HYPERLINK("https://www.philgeps.gov.ph/GEPSNONPILOT/Tender/SplashBidNoticeAbstractUI.aspx?menuIndex=3&amp;refID=7151809&amp;Result=3","7151809")</f>
        <v>0</v>
      </c>
      <c r="B10801" t="s">
        <v>3269</v>
      </c>
      <c r="C10801" t="s">
        <v>14051</v>
      </c>
      <c r="D10801" t="s">
        <v>19047</v>
      </c>
      <c r="E10801" t="s">
        <v>19203</v>
      </c>
      <c r="F10801" t="s">
        <v>32831</v>
      </c>
      <c r="G10801" t="s">
        <v>32839</v>
      </c>
      <c r="H10801" t="s">
        <v>32848</v>
      </c>
      <c r="I10801" t="s">
        <v>32857</v>
      </c>
      <c r="J10801" t="s">
        <v>33087</v>
      </c>
      <c r="K10801" t="s">
        <v>42726</v>
      </c>
      <c r="M10801" t="s">
        <v>46587</v>
      </c>
      <c r="N10801" t="s">
        <v>47424</v>
      </c>
      <c r="O10801" t="s">
        <v>47425</v>
      </c>
      <c r="P10801">
        <v>0</v>
      </c>
      <c r="Q10801">
        <v>2</v>
      </c>
      <c r="R10801" t="s">
        <v>47433</v>
      </c>
      <c r="S10801" t="s">
        <v>47633</v>
      </c>
      <c r="T10801" t="s">
        <v>49235</v>
      </c>
      <c r="U10801" t="s">
        <v>58562</v>
      </c>
      <c r="W10801" t="s">
        <v>46587</v>
      </c>
      <c r="X10801" t="s">
        <v>47434</v>
      </c>
    </row>
    <row r="10802" spans="1:24">
      <c r="A10802">
        <f>HYPERLINK("https://www.philgeps.gov.ph/GEPSNONPILOT/Tender/SplashBidNoticeAbstractUI.aspx?menuIndex=3&amp;refID=7150796&amp;Result=3","7150796")</f>
        <v>0</v>
      </c>
      <c r="B10802" t="s">
        <v>2338</v>
      </c>
      <c r="C10802" t="s">
        <v>14052</v>
      </c>
      <c r="D10802" t="s">
        <v>19049</v>
      </c>
      <c r="E10802" t="s">
        <v>28383</v>
      </c>
      <c r="F10802" t="s">
        <v>32831</v>
      </c>
      <c r="G10802" t="s">
        <v>32839</v>
      </c>
      <c r="H10802" t="s">
        <v>32848</v>
      </c>
      <c r="I10802" t="s">
        <v>4438</v>
      </c>
      <c r="J10802" t="s">
        <v>37638</v>
      </c>
      <c r="K10802" t="s">
        <v>42730</v>
      </c>
      <c r="M10802" t="s">
        <v>45525</v>
      </c>
      <c r="N10802" t="s">
        <v>47424</v>
      </c>
      <c r="O10802" t="s">
        <v>47425</v>
      </c>
      <c r="P10802">
        <v>0</v>
      </c>
      <c r="Q10802">
        <v>0</v>
      </c>
      <c r="R10802" t="s">
        <v>47433</v>
      </c>
      <c r="S10802" t="s">
        <v>47633</v>
      </c>
      <c r="T10802" t="s">
        <v>49235</v>
      </c>
      <c r="U10802" t="s">
        <v>55192</v>
      </c>
      <c r="V10802" t="s">
        <v>63352</v>
      </c>
      <c r="W10802" t="s">
        <v>45525</v>
      </c>
      <c r="X10802" t="s">
        <v>47434</v>
      </c>
    </row>
    <row r="10803" spans="1:24">
      <c r="A10803">
        <f>HYPERLINK("https://www.philgeps.gov.ph/GEPSNONPILOT/Tender/SplashBidNoticeAbstractUI.aspx?menuIndex=3&amp;refID=7150557&amp;Result=3","7150557")</f>
        <v>0</v>
      </c>
      <c r="B10803" t="s">
        <v>2528</v>
      </c>
      <c r="C10803" t="s">
        <v>14053</v>
      </c>
      <c r="D10803" t="s">
        <v>19079</v>
      </c>
      <c r="E10803" t="s">
        <v>28384</v>
      </c>
      <c r="F10803" t="s">
        <v>32831</v>
      </c>
      <c r="G10803" t="s">
        <v>32838</v>
      </c>
      <c r="H10803" t="s">
        <v>32848</v>
      </c>
      <c r="I10803" t="s">
        <v>32865</v>
      </c>
      <c r="J10803" t="s">
        <v>33144</v>
      </c>
      <c r="K10803" t="s">
        <v>42730</v>
      </c>
      <c r="M10803" t="s">
        <v>45737</v>
      </c>
      <c r="N10803" t="s">
        <v>47424</v>
      </c>
      <c r="O10803" t="s">
        <v>47425</v>
      </c>
      <c r="P10803">
        <v>0</v>
      </c>
      <c r="Q10803">
        <v>0</v>
      </c>
      <c r="R10803" t="s">
        <v>47433</v>
      </c>
      <c r="S10803" t="s">
        <v>47633</v>
      </c>
      <c r="T10803" t="s">
        <v>49235</v>
      </c>
      <c r="U10803" t="s">
        <v>58563</v>
      </c>
      <c r="W10803" t="s">
        <v>45737</v>
      </c>
      <c r="X10803" t="s">
        <v>47434</v>
      </c>
    </row>
    <row r="10804" spans="1:24">
      <c r="A10804">
        <f>HYPERLINK("https://www.philgeps.gov.ph/GEPSNONPILOT/Tender/SplashBidNoticeAbstractUI.aspx?menuIndex=3&amp;refID=7150556&amp;Result=3","7150556")</f>
        <v>0</v>
      </c>
      <c r="B10804" t="s">
        <v>1178</v>
      </c>
      <c r="C10804" t="s">
        <v>14054</v>
      </c>
      <c r="D10804" t="s">
        <v>19049</v>
      </c>
      <c r="E10804" t="s">
        <v>28385</v>
      </c>
      <c r="F10804" t="s">
        <v>32831</v>
      </c>
      <c r="G10804" t="s">
        <v>32838</v>
      </c>
      <c r="H10804" t="s">
        <v>32848</v>
      </c>
      <c r="I10804" t="s">
        <v>4776</v>
      </c>
      <c r="J10804" t="s">
        <v>33041</v>
      </c>
      <c r="K10804" t="s">
        <v>42727</v>
      </c>
      <c r="M10804" t="s">
        <v>44244</v>
      </c>
      <c r="N10804" t="s">
        <v>47424</v>
      </c>
      <c r="O10804" t="s">
        <v>47425</v>
      </c>
      <c r="Q10804">
        <v>9</v>
      </c>
      <c r="R10804" t="s">
        <v>47433</v>
      </c>
      <c r="S10804" t="s">
        <v>47722</v>
      </c>
      <c r="T10804" t="s">
        <v>49111</v>
      </c>
      <c r="U10804" t="s">
        <v>58564</v>
      </c>
      <c r="W10804" t="s">
        <v>44244</v>
      </c>
      <c r="X10804" t="s">
        <v>47434</v>
      </c>
    </row>
    <row r="10805" spans="1:24">
      <c r="A10805">
        <f>HYPERLINK("https://www.philgeps.gov.ph/GEPSNONPILOT/Tender/SplashBidNoticeAbstractUI.aspx?menuIndex=3&amp;refID=7150555&amp;Result=3","7150555")</f>
        <v>0</v>
      </c>
      <c r="B10805" t="s">
        <v>1858</v>
      </c>
      <c r="C10805" t="s">
        <v>14055</v>
      </c>
      <c r="D10805" t="s">
        <v>19056</v>
      </c>
      <c r="E10805" t="s">
        <v>28386</v>
      </c>
      <c r="F10805" t="s">
        <v>32831</v>
      </c>
      <c r="G10805" t="s">
        <v>32839</v>
      </c>
      <c r="H10805" t="s">
        <v>32848</v>
      </c>
      <c r="I10805" t="s">
        <v>7416</v>
      </c>
      <c r="J10805" t="s">
        <v>33979</v>
      </c>
      <c r="K10805" t="s">
        <v>42748</v>
      </c>
      <c r="M10805" t="s">
        <v>44997</v>
      </c>
      <c r="N10805" t="s">
        <v>47424</v>
      </c>
      <c r="O10805" t="s">
        <v>47425</v>
      </c>
      <c r="P10805">
        <v>0</v>
      </c>
      <c r="Q10805">
        <v>0</v>
      </c>
      <c r="R10805" t="s">
        <v>47433</v>
      </c>
      <c r="S10805" t="s">
        <v>47633</v>
      </c>
      <c r="T10805" t="s">
        <v>49080</v>
      </c>
      <c r="U10805" t="s">
        <v>58565</v>
      </c>
      <c r="V10805" t="s">
        <v>63806</v>
      </c>
      <c r="W10805" t="s">
        <v>44997</v>
      </c>
      <c r="X10805" t="s">
        <v>47434</v>
      </c>
    </row>
    <row r="10806" spans="1:24">
      <c r="A10806">
        <f>HYPERLINK("https://www.philgeps.gov.ph/GEPSNONPILOT/Tender/SplashBidNoticeAbstractUI.aspx?menuIndex=3&amp;refID=7150552&amp;Result=3","7150552")</f>
        <v>0</v>
      </c>
      <c r="B10806" t="s">
        <v>1606</v>
      </c>
      <c r="C10806" t="s">
        <v>14056</v>
      </c>
      <c r="D10806" t="s">
        <v>19017</v>
      </c>
      <c r="E10806" t="s">
        <v>28387</v>
      </c>
      <c r="F10806" t="s">
        <v>32831</v>
      </c>
      <c r="G10806" t="s">
        <v>32838</v>
      </c>
      <c r="H10806" t="s">
        <v>32848</v>
      </c>
      <c r="I10806" t="s">
        <v>32877</v>
      </c>
      <c r="J10806" t="s">
        <v>33040</v>
      </c>
      <c r="K10806" t="s">
        <v>42732</v>
      </c>
      <c r="M10806" t="s">
        <v>46588</v>
      </c>
      <c r="N10806" t="s">
        <v>47424</v>
      </c>
      <c r="O10806" t="s">
        <v>47425</v>
      </c>
      <c r="P10806">
        <v>0</v>
      </c>
      <c r="Q10806">
        <v>5</v>
      </c>
      <c r="R10806" t="s">
        <v>47433</v>
      </c>
      <c r="S10806" t="s">
        <v>47633</v>
      </c>
      <c r="T10806" t="s">
        <v>49163</v>
      </c>
      <c r="U10806" t="s">
        <v>58566</v>
      </c>
      <c r="W10806" t="s">
        <v>46588</v>
      </c>
      <c r="X10806" t="s">
        <v>47434</v>
      </c>
    </row>
    <row r="10807" spans="1:24">
      <c r="A10807">
        <f>HYPERLINK("https://www.philgeps.gov.ph/GEPSNONPILOT/Tender/SplashBidNoticeAbstractUI.aspx?menuIndex=3&amp;refID=7150559&amp;Result=3","7150559")</f>
        <v>0</v>
      </c>
      <c r="B10807" t="s">
        <v>2429</v>
      </c>
      <c r="C10807" t="s">
        <v>14057</v>
      </c>
      <c r="D10807" t="s">
        <v>19064</v>
      </c>
      <c r="E10807" t="s">
        <v>23919</v>
      </c>
      <c r="F10807" t="s">
        <v>32831</v>
      </c>
      <c r="G10807" t="s">
        <v>32839</v>
      </c>
      <c r="H10807" t="s">
        <v>32848</v>
      </c>
      <c r="I10807" t="s">
        <v>32878</v>
      </c>
      <c r="J10807" t="s">
        <v>39635</v>
      </c>
      <c r="K10807" t="s">
        <v>42731</v>
      </c>
      <c r="M10807" t="s">
        <v>45626</v>
      </c>
      <c r="N10807" t="s">
        <v>47424</v>
      </c>
      <c r="O10807" t="s">
        <v>47425</v>
      </c>
      <c r="P10807">
        <v>0</v>
      </c>
      <c r="Q10807">
        <v>1</v>
      </c>
      <c r="R10807" t="s">
        <v>47433</v>
      </c>
      <c r="S10807" t="s">
        <v>47633</v>
      </c>
      <c r="T10807" t="s">
        <v>49055</v>
      </c>
      <c r="U10807" t="s">
        <v>58567</v>
      </c>
      <c r="W10807" t="s">
        <v>45626</v>
      </c>
      <c r="X10807" t="s">
        <v>47434</v>
      </c>
    </row>
    <row r="10808" spans="1:24">
      <c r="A10808">
        <f>HYPERLINK("https://www.philgeps.gov.ph/GEPSNONPILOT/Tender/SplashBidNoticeAbstractUI.aspx?menuIndex=3&amp;refID=7150547&amp;Result=3","7150547")</f>
        <v>0</v>
      </c>
      <c r="B10808" t="s">
        <v>3270</v>
      </c>
      <c r="C10808" t="s">
        <v>14058</v>
      </c>
      <c r="D10808" t="s">
        <v>19052</v>
      </c>
      <c r="E10808" t="s">
        <v>28388</v>
      </c>
      <c r="F10808" t="s">
        <v>32831</v>
      </c>
      <c r="G10808" t="s">
        <v>32838</v>
      </c>
      <c r="H10808" t="s">
        <v>14069</v>
      </c>
      <c r="I10808" t="s">
        <v>14069</v>
      </c>
      <c r="J10808" t="s">
        <v>33227</v>
      </c>
      <c r="K10808" t="s">
        <v>42905</v>
      </c>
      <c r="M10808" t="s">
        <v>46589</v>
      </c>
      <c r="N10808" t="s">
        <v>47424</v>
      </c>
      <c r="O10808" t="s">
        <v>47425</v>
      </c>
      <c r="P10808">
        <v>0</v>
      </c>
      <c r="Q10808">
        <v>6</v>
      </c>
      <c r="R10808" t="s">
        <v>47433</v>
      </c>
      <c r="S10808" t="s">
        <v>47633</v>
      </c>
      <c r="T10808" t="s">
        <v>49237</v>
      </c>
      <c r="U10808" t="s">
        <v>58568</v>
      </c>
      <c r="W10808" t="s">
        <v>46589</v>
      </c>
      <c r="X10808" t="s">
        <v>47434</v>
      </c>
    </row>
    <row r="10809" spans="1:24">
      <c r="A10809">
        <f>HYPERLINK("https://www.philgeps.gov.ph/GEPSNONPILOT/Tender/SplashBidNoticeAbstractUI.aspx?menuIndex=3&amp;refID=7147699&amp;Result=3","7147699")</f>
        <v>0</v>
      </c>
      <c r="B10809" t="s">
        <v>1794</v>
      </c>
      <c r="C10809" t="s">
        <v>14059</v>
      </c>
      <c r="D10809" t="s">
        <v>19074</v>
      </c>
      <c r="E10809" t="s">
        <v>28389</v>
      </c>
      <c r="F10809" t="s">
        <v>32831</v>
      </c>
      <c r="G10809" t="s">
        <v>32839</v>
      </c>
      <c r="H10809" t="s">
        <v>32849</v>
      </c>
      <c r="I10809" t="s">
        <v>4177</v>
      </c>
      <c r="J10809" t="s">
        <v>39636</v>
      </c>
      <c r="K10809" t="s">
        <v>42730</v>
      </c>
      <c r="M10809" t="s">
        <v>44924</v>
      </c>
      <c r="N10809" t="s">
        <v>47424</v>
      </c>
      <c r="O10809" t="s">
        <v>47425</v>
      </c>
      <c r="P10809">
        <v>0</v>
      </c>
      <c r="Q10809">
        <v>0</v>
      </c>
      <c r="R10809" t="s">
        <v>47434</v>
      </c>
      <c r="S10809" t="s">
        <v>47677</v>
      </c>
      <c r="T10809" t="s">
        <v>49265</v>
      </c>
      <c r="U10809" t="s">
        <v>58569</v>
      </c>
      <c r="W10809" t="s">
        <v>44924</v>
      </c>
      <c r="X10809" t="s">
        <v>47438</v>
      </c>
    </row>
    <row r="10810" spans="1:24">
      <c r="A10810">
        <f>HYPERLINK("https://www.philgeps.gov.ph/GEPSNONPILOT/Tender/SplashBidNoticeAbstractUI.aspx?menuIndex=3&amp;refID=7150551&amp;Result=3","7150551")</f>
        <v>0</v>
      </c>
      <c r="B10810" t="s">
        <v>2035</v>
      </c>
      <c r="C10810" t="s">
        <v>14060</v>
      </c>
      <c r="D10810" t="s">
        <v>19045</v>
      </c>
      <c r="E10810" t="s">
        <v>28390</v>
      </c>
      <c r="F10810" t="s">
        <v>32831</v>
      </c>
      <c r="G10810" t="s">
        <v>32840</v>
      </c>
      <c r="H10810" t="s">
        <v>32848</v>
      </c>
      <c r="I10810" t="s">
        <v>32860</v>
      </c>
      <c r="J10810" t="s">
        <v>39637</v>
      </c>
      <c r="K10810" t="s">
        <v>42726</v>
      </c>
      <c r="M10810" t="s">
        <v>45204</v>
      </c>
      <c r="N10810" t="s">
        <v>47424</v>
      </c>
      <c r="O10810" t="s">
        <v>47425</v>
      </c>
      <c r="P10810">
        <v>0</v>
      </c>
      <c r="Q10810">
        <v>5</v>
      </c>
      <c r="R10810" t="s">
        <v>47433</v>
      </c>
      <c r="S10810" t="s">
        <v>47633</v>
      </c>
      <c r="T10810" t="s">
        <v>49073</v>
      </c>
      <c r="U10810" t="s">
        <v>58570</v>
      </c>
      <c r="W10810" t="s">
        <v>45204</v>
      </c>
      <c r="X10810" t="s">
        <v>47434</v>
      </c>
    </row>
    <row r="10811" spans="1:24">
      <c r="A10811">
        <f>HYPERLINK("https://www.philgeps.gov.ph/GEPSNONPILOT/Tender/SplashBidNoticeAbstractUI.aspx?menuIndex=3&amp;refID=7150513&amp;Result=3","7150513")</f>
        <v>0</v>
      </c>
      <c r="B10811" t="s">
        <v>2034</v>
      </c>
      <c r="C10811" t="s">
        <v>14061</v>
      </c>
      <c r="D10811" t="s">
        <v>19103</v>
      </c>
      <c r="E10811" t="s">
        <v>28391</v>
      </c>
      <c r="F10811" t="s">
        <v>32831</v>
      </c>
      <c r="G10811" t="s">
        <v>32839</v>
      </c>
      <c r="H10811" t="s">
        <v>32849</v>
      </c>
      <c r="I10811" t="s">
        <v>4177</v>
      </c>
      <c r="J10811" t="s">
        <v>39638</v>
      </c>
      <c r="K10811" t="s">
        <v>42764</v>
      </c>
      <c r="M10811" t="s">
        <v>45203</v>
      </c>
      <c r="N10811" t="s">
        <v>47424</v>
      </c>
      <c r="O10811" t="s">
        <v>47425</v>
      </c>
      <c r="P10811">
        <v>0</v>
      </c>
      <c r="Q10811">
        <v>3</v>
      </c>
      <c r="R10811" t="s">
        <v>47433</v>
      </c>
      <c r="S10811" t="s">
        <v>47633</v>
      </c>
      <c r="T10811" t="s">
        <v>49236</v>
      </c>
      <c r="U10811" t="s">
        <v>57764</v>
      </c>
      <c r="W10811" t="s">
        <v>45203</v>
      </c>
      <c r="X10811" t="s">
        <v>47434</v>
      </c>
    </row>
    <row r="10812" spans="1:24">
      <c r="A10812">
        <f>HYPERLINK("https://www.philgeps.gov.ph/GEPSNONPILOT/Tender/SplashBidNoticeAbstractUI.aspx?menuIndex=3&amp;refID=7150512&amp;Result=3","7150512")</f>
        <v>0</v>
      </c>
      <c r="B10812" t="s">
        <v>3037</v>
      </c>
      <c r="C10812" t="s">
        <v>14062</v>
      </c>
      <c r="D10812" t="s">
        <v>19060</v>
      </c>
      <c r="E10812" t="s">
        <v>28392</v>
      </c>
      <c r="F10812" t="s">
        <v>32831</v>
      </c>
      <c r="G10812" t="s">
        <v>32840</v>
      </c>
      <c r="H10812" t="s">
        <v>32848</v>
      </c>
      <c r="I10812" t="s">
        <v>32866</v>
      </c>
      <c r="J10812" t="s">
        <v>39639</v>
      </c>
      <c r="K10812" t="s">
        <v>42730</v>
      </c>
      <c r="M10812" t="s">
        <v>46310</v>
      </c>
      <c r="N10812" t="s">
        <v>47424</v>
      </c>
      <c r="O10812" t="s">
        <v>47425</v>
      </c>
      <c r="P10812">
        <v>0</v>
      </c>
      <c r="Q10812">
        <v>1</v>
      </c>
      <c r="R10812" t="s">
        <v>47433</v>
      </c>
      <c r="S10812" t="s">
        <v>47633</v>
      </c>
      <c r="T10812" t="s">
        <v>49212</v>
      </c>
      <c r="U10812" t="s">
        <v>58571</v>
      </c>
      <c r="W10812" t="s">
        <v>46310</v>
      </c>
      <c r="X10812" t="s">
        <v>47434</v>
      </c>
    </row>
    <row r="10813" spans="1:24">
      <c r="A10813">
        <f>HYPERLINK("https://www.philgeps.gov.ph/GEPSNONPILOT/Tender/SplashBidNoticeAbstractUI.aspx?menuIndex=3&amp;refID=7134275&amp;Result=3","7134275")</f>
        <v>0</v>
      </c>
      <c r="B10813" t="s">
        <v>1787</v>
      </c>
      <c r="C10813" t="s">
        <v>14063</v>
      </c>
      <c r="D10813" t="s">
        <v>19097</v>
      </c>
      <c r="E10813" t="s">
        <v>14063</v>
      </c>
      <c r="F10813" t="s">
        <v>32831</v>
      </c>
      <c r="G10813" t="s">
        <v>32839</v>
      </c>
      <c r="H10813" t="s">
        <v>32848</v>
      </c>
      <c r="I10813" t="s">
        <v>32857</v>
      </c>
      <c r="J10813" t="s">
        <v>39640</v>
      </c>
      <c r="K10813" t="s">
        <v>42732</v>
      </c>
      <c r="M10813" t="s">
        <v>44917</v>
      </c>
      <c r="N10813" t="s">
        <v>47424</v>
      </c>
      <c r="O10813" t="s">
        <v>47425</v>
      </c>
      <c r="Q10813">
        <v>16</v>
      </c>
      <c r="R10813" t="s">
        <v>47437</v>
      </c>
      <c r="S10813" t="s">
        <v>47723</v>
      </c>
      <c r="T10813" t="s">
        <v>49173</v>
      </c>
      <c r="U10813" t="s">
        <v>58572</v>
      </c>
      <c r="V10813" t="s">
        <v>62833</v>
      </c>
      <c r="W10813" t="s">
        <v>44917</v>
      </c>
      <c r="X10813" t="s">
        <v>47444</v>
      </c>
    </row>
    <row r="10814" spans="1:24">
      <c r="A10814">
        <f>HYPERLINK("https://www.philgeps.gov.ph/GEPSNONPILOT/Tender/SplashBidNoticeAbstractUI.aspx?menuIndex=3&amp;refID=7150509&amp;Result=3","7150509")</f>
        <v>0</v>
      </c>
      <c r="B10814" t="s">
        <v>2784</v>
      </c>
      <c r="C10814" t="s">
        <v>14064</v>
      </c>
      <c r="D10814" t="s">
        <v>19079</v>
      </c>
      <c r="E10814" t="s">
        <v>28393</v>
      </c>
      <c r="F10814" t="s">
        <v>32831</v>
      </c>
      <c r="G10814" t="s">
        <v>32839</v>
      </c>
      <c r="H10814" t="s">
        <v>32849</v>
      </c>
      <c r="I10814" t="s">
        <v>4177</v>
      </c>
      <c r="J10814" t="s">
        <v>34733</v>
      </c>
      <c r="K10814" t="s">
        <v>42830</v>
      </c>
      <c r="M10814" t="s">
        <v>46014</v>
      </c>
      <c r="N10814" t="s">
        <v>47424</v>
      </c>
      <c r="O10814" t="s">
        <v>47425</v>
      </c>
      <c r="P10814">
        <v>0</v>
      </c>
      <c r="Q10814">
        <v>1</v>
      </c>
      <c r="R10814" t="s">
        <v>47433</v>
      </c>
      <c r="S10814" t="s">
        <v>47633</v>
      </c>
      <c r="T10814" t="s">
        <v>49470</v>
      </c>
      <c r="U10814" t="s">
        <v>58573</v>
      </c>
      <c r="W10814" t="s">
        <v>46014</v>
      </c>
      <c r="X10814" t="s">
        <v>47434</v>
      </c>
    </row>
    <row r="10815" spans="1:24">
      <c r="A10815">
        <f>HYPERLINK("https://www.philgeps.gov.ph/GEPSNONPILOT/Tender/SplashBidNoticeAbstractUI.aspx?menuIndex=3&amp;refID=7150545&amp;Result=3","7150545")</f>
        <v>0</v>
      </c>
      <c r="B10815" t="s">
        <v>1406</v>
      </c>
      <c r="C10815" t="s">
        <v>14065</v>
      </c>
      <c r="D10815" t="s">
        <v>19034</v>
      </c>
      <c r="E10815" t="s">
        <v>28394</v>
      </c>
      <c r="F10815" t="s">
        <v>32831</v>
      </c>
      <c r="G10815" t="s">
        <v>32839</v>
      </c>
      <c r="H10815" t="s">
        <v>32848</v>
      </c>
      <c r="I10815" t="s">
        <v>4776</v>
      </c>
      <c r="J10815" t="s">
        <v>33468</v>
      </c>
      <c r="K10815" t="s">
        <v>42727</v>
      </c>
      <c r="M10815" t="s">
        <v>44492</v>
      </c>
      <c r="N10815" t="s">
        <v>47424</v>
      </c>
      <c r="O10815" t="s">
        <v>47425</v>
      </c>
      <c r="P10815">
        <v>0</v>
      </c>
      <c r="Q10815">
        <v>3</v>
      </c>
      <c r="R10815" t="s">
        <v>47433</v>
      </c>
      <c r="S10815" t="s">
        <v>47633</v>
      </c>
      <c r="T10815" t="s">
        <v>49415</v>
      </c>
      <c r="U10815" t="s">
        <v>58574</v>
      </c>
      <c r="W10815" t="s">
        <v>44492</v>
      </c>
      <c r="X10815" t="s">
        <v>47434</v>
      </c>
    </row>
    <row r="10816" spans="1:24">
      <c r="A10816">
        <f>HYPERLINK("https://www.philgeps.gov.ph/GEPSNONPILOT/Tender/SplashBidNoticeAbstractUI.aspx?menuIndex=3&amp;refID=7150508&amp;Result=3","7150508")</f>
        <v>0</v>
      </c>
      <c r="B10816" t="s">
        <v>3062</v>
      </c>
      <c r="C10816" t="s">
        <v>14066</v>
      </c>
      <c r="D10816" t="s">
        <v>19019</v>
      </c>
      <c r="E10816" t="s">
        <v>28395</v>
      </c>
      <c r="F10816" t="s">
        <v>32831</v>
      </c>
      <c r="G10816" t="s">
        <v>32839</v>
      </c>
      <c r="H10816" t="s">
        <v>32849</v>
      </c>
      <c r="I10816" t="s">
        <v>4177</v>
      </c>
      <c r="J10816" t="s">
        <v>32980</v>
      </c>
      <c r="K10816" t="s">
        <v>42731</v>
      </c>
      <c r="M10816" t="s">
        <v>46337</v>
      </c>
      <c r="N10816" t="s">
        <v>47424</v>
      </c>
      <c r="O10816" t="s">
        <v>47425</v>
      </c>
      <c r="P10816">
        <v>0</v>
      </c>
      <c r="Q10816">
        <v>1</v>
      </c>
      <c r="R10816" t="s">
        <v>47433</v>
      </c>
      <c r="S10816" t="s">
        <v>47633</v>
      </c>
      <c r="T10816" t="s">
        <v>49307</v>
      </c>
      <c r="U10816" t="s">
        <v>57658</v>
      </c>
      <c r="W10816" t="s">
        <v>46337</v>
      </c>
      <c r="X10816" t="s">
        <v>47434</v>
      </c>
    </row>
    <row r="10817" spans="1:24">
      <c r="A10817">
        <f>HYPERLINK("https://www.philgeps.gov.ph/GEPSNONPILOT/Tender/SplashBidNoticeAbstractUI.aspx?menuIndex=3&amp;refID=7150503&amp;Result=3","7150503")</f>
        <v>0</v>
      </c>
      <c r="B10817" t="s">
        <v>3271</v>
      </c>
      <c r="C10817" t="s">
        <v>14067</v>
      </c>
      <c r="D10817" t="s">
        <v>19061</v>
      </c>
      <c r="E10817" t="s">
        <v>20789</v>
      </c>
      <c r="F10817" t="s">
        <v>32831</v>
      </c>
      <c r="G10817" t="s">
        <v>32839</v>
      </c>
      <c r="H10817" t="s">
        <v>32849</v>
      </c>
      <c r="I10817" t="s">
        <v>7416</v>
      </c>
      <c r="J10817" t="s">
        <v>39641</v>
      </c>
      <c r="K10817" t="s">
        <v>42730</v>
      </c>
      <c r="M10817" t="s">
        <v>46590</v>
      </c>
      <c r="N10817" t="s">
        <v>47424</v>
      </c>
      <c r="O10817" t="s">
        <v>47425</v>
      </c>
      <c r="P10817">
        <v>0</v>
      </c>
      <c r="Q10817">
        <v>0</v>
      </c>
      <c r="R10817" t="s">
        <v>47433</v>
      </c>
      <c r="S10817" t="s">
        <v>47633</v>
      </c>
      <c r="T10817" t="s">
        <v>49056</v>
      </c>
      <c r="U10817" t="s">
        <v>58575</v>
      </c>
      <c r="V10817" t="s">
        <v>63807</v>
      </c>
      <c r="W10817" t="s">
        <v>46590</v>
      </c>
      <c r="X10817" t="s">
        <v>47434</v>
      </c>
    </row>
    <row r="10818" spans="1:24">
      <c r="A10818">
        <f>HYPERLINK("https://www.philgeps.gov.ph/GEPSNONPILOT/Tender/SplashBidNoticeAbstractUI.aspx?menuIndex=3&amp;refID=7150495&amp;Result=3","7150495")</f>
        <v>0</v>
      </c>
      <c r="B10818" t="s">
        <v>1043</v>
      </c>
      <c r="C10818" t="s">
        <v>14068</v>
      </c>
      <c r="D10818" t="s">
        <v>19103</v>
      </c>
      <c r="E10818" t="s">
        <v>28396</v>
      </c>
      <c r="F10818" t="s">
        <v>32831</v>
      </c>
      <c r="G10818" t="s">
        <v>32839</v>
      </c>
      <c r="H10818" t="s">
        <v>32849</v>
      </c>
      <c r="I10818" t="s">
        <v>4177</v>
      </c>
      <c r="J10818" t="s">
        <v>39642</v>
      </c>
      <c r="K10818" t="s">
        <v>42729</v>
      </c>
      <c r="M10818" t="s">
        <v>44097</v>
      </c>
      <c r="N10818" t="s">
        <v>47424</v>
      </c>
      <c r="O10818" t="s">
        <v>47425</v>
      </c>
      <c r="P10818">
        <v>0</v>
      </c>
      <c r="Q10818">
        <v>1</v>
      </c>
      <c r="R10818" t="s">
        <v>47433</v>
      </c>
      <c r="S10818" t="s">
        <v>47633</v>
      </c>
      <c r="T10818" t="s">
        <v>49192</v>
      </c>
      <c r="U10818" t="s">
        <v>58576</v>
      </c>
      <c r="V10818" t="s">
        <v>63808</v>
      </c>
      <c r="W10818" t="s">
        <v>44097</v>
      </c>
      <c r="X10818" t="s">
        <v>47434</v>
      </c>
    </row>
    <row r="10819" spans="1:24">
      <c r="A10819">
        <f>HYPERLINK("https://www.philgeps.gov.ph/GEPSNONPILOT/Tender/SplashBidNoticeAbstractUI.aspx?menuIndex=3&amp;refID=7150444&amp;Result=3","7150444")</f>
        <v>0</v>
      </c>
      <c r="B10819" t="s">
        <v>3272</v>
      </c>
      <c r="C10819" t="s">
        <v>14069</v>
      </c>
      <c r="D10819" t="s">
        <v>19026</v>
      </c>
      <c r="E10819" t="s">
        <v>28397</v>
      </c>
      <c r="F10819" t="s">
        <v>32831</v>
      </c>
      <c r="G10819" t="s">
        <v>32844</v>
      </c>
      <c r="H10819" t="s">
        <v>14069</v>
      </c>
      <c r="I10819" t="s">
        <v>4487</v>
      </c>
      <c r="J10819" t="s">
        <v>33137</v>
      </c>
      <c r="K10819" t="s">
        <v>42775</v>
      </c>
      <c r="M10819" t="s">
        <v>46591</v>
      </c>
      <c r="N10819" t="s">
        <v>47424</v>
      </c>
      <c r="O10819" t="s">
        <v>47425</v>
      </c>
      <c r="P10819">
        <v>0</v>
      </c>
      <c r="Q10819">
        <v>4</v>
      </c>
      <c r="R10819" t="s">
        <v>47433</v>
      </c>
      <c r="S10819" t="s">
        <v>47633</v>
      </c>
      <c r="T10819" t="s">
        <v>49163</v>
      </c>
      <c r="U10819" t="s">
        <v>58577</v>
      </c>
      <c r="W10819" t="s">
        <v>46591</v>
      </c>
      <c r="X10819" t="s">
        <v>47434</v>
      </c>
    </row>
    <row r="10820" spans="1:24">
      <c r="A10820">
        <f>HYPERLINK("https://www.philgeps.gov.ph/GEPSNONPILOT/Tender/SplashBidNoticeAbstractUI.aspx?menuIndex=3&amp;refID=7150437&amp;Result=3","7150437")</f>
        <v>0</v>
      </c>
      <c r="B10820" t="s">
        <v>1265</v>
      </c>
      <c r="C10820" t="s">
        <v>14070</v>
      </c>
      <c r="D10820" t="s">
        <v>19024</v>
      </c>
      <c r="E10820" t="s">
        <v>28398</v>
      </c>
      <c r="F10820" t="s">
        <v>32831</v>
      </c>
      <c r="G10820" t="s">
        <v>32839</v>
      </c>
      <c r="H10820" t="s">
        <v>32849</v>
      </c>
      <c r="I10820" t="s">
        <v>4177</v>
      </c>
      <c r="J10820" t="s">
        <v>33257</v>
      </c>
      <c r="K10820" t="s">
        <v>42730</v>
      </c>
      <c r="M10820" t="s">
        <v>44335</v>
      </c>
      <c r="N10820" t="s">
        <v>47424</v>
      </c>
      <c r="O10820" t="s">
        <v>47425</v>
      </c>
      <c r="Q10820">
        <v>0</v>
      </c>
      <c r="R10820" t="s">
        <v>47433</v>
      </c>
      <c r="S10820" t="s">
        <v>47724</v>
      </c>
      <c r="T10820" t="s">
        <v>49192</v>
      </c>
      <c r="U10820" t="s">
        <v>58578</v>
      </c>
      <c r="W10820" t="s">
        <v>44335</v>
      </c>
      <c r="X10820" t="s">
        <v>47434</v>
      </c>
    </row>
    <row r="10821" spans="1:24">
      <c r="A10821">
        <f>HYPERLINK("https://www.philgeps.gov.ph/GEPSNONPILOT/Tender/SplashBidNoticeAbstractUI.aspx?menuIndex=3&amp;refID=7150434&amp;Result=3","7150434")</f>
        <v>0</v>
      </c>
      <c r="B10821" t="s">
        <v>755</v>
      </c>
      <c r="C10821" t="s">
        <v>14071</v>
      </c>
      <c r="D10821" t="s">
        <v>19018</v>
      </c>
      <c r="E10821" t="s">
        <v>14071</v>
      </c>
      <c r="F10821" t="s">
        <v>32831</v>
      </c>
      <c r="G10821" t="s">
        <v>32839</v>
      </c>
      <c r="H10821" t="s">
        <v>32849</v>
      </c>
      <c r="I10821" t="s">
        <v>32899</v>
      </c>
      <c r="J10821" t="s">
        <v>39643</v>
      </c>
      <c r="K10821" t="s">
        <v>42732</v>
      </c>
      <c r="M10821" t="s">
        <v>43779</v>
      </c>
      <c r="N10821" t="s">
        <v>47424</v>
      </c>
      <c r="O10821" t="s">
        <v>47425</v>
      </c>
      <c r="P10821">
        <v>0</v>
      </c>
      <c r="Q10821">
        <v>0</v>
      </c>
      <c r="R10821" t="s">
        <v>47433</v>
      </c>
      <c r="S10821" t="s">
        <v>47633</v>
      </c>
      <c r="T10821" t="s">
        <v>49138</v>
      </c>
      <c r="U10821" t="s">
        <v>58579</v>
      </c>
      <c r="W10821" t="s">
        <v>43779</v>
      </c>
      <c r="X10821" t="s">
        <v>47434</v>
      </c>
    </row>
    <row r="10822" spans="1:24">
      <c r="A10822">
        <f>HYPERLINK("https://www.philgeps.gov.ph/GEPSNONPILOT/Tender/SplashBidNoticeAbstractUI.aspx?menuIndex=3&amp;refID=7150389&amp;Result=3","7150389")</f>
        <v>0</v>
      </c>
      <c r="B10822" t="s">
        <v>1312</v>
      </c>
      <c r="C10822" t="s">
        <v>14072</v>
      </c>
      <c r="D10822" t="s">
        <v>19054</v>
      </c>
      <c r="E10822" t="s">
        <v>28399</v>
      </c>
      <c r="F10822" t="s">
        <v>32831</v>
      </c>
      <c r="G10822" t="s">
        <v>32838</v>
      </c>
      <c r="H10822" t="s">
        <v>32848</v>
      </c>
      <c r="I10822" t="s">
        <v>4487</v>
      </c>
      <c r="J10822" t="s">
        <v>33568</v>
      </c>
      <c r="K10822" t="s">
        <v>42732</v>
      </c>
      <c r="M10822" t="s">
        <v>44383</v>
      </c>
      <c r="N10822" t="s">
        <v>47424</v>
      </c>
      <c r="O10822" t="s">
        <v>47425</v>
      </c>
      <c r="P10822">
        <v>0</v>
      </c>
      <c r="Q10822">
        <v>1</v>
      </c>
      <c r="R10822" t="s">
        <v>47433</v>
      </c>
      <c r="S10822" t="s">
        <v>47633</v>
      </c>
      <c r="T10822" t="s">
        <v>49243</v>
      </c>
      <c r="U10822" t="s">
        <v>58580</v>
      </c>
      <c r="W10822" t="s">
        <v>44383</v>
      </c>
      <c r="X10822" t="s">
        <v>47434</v>
      </c>
    </row>
    <row r="10823" spans="1:24">
      <c r="A10823">
        <f>HYPERLINK("https://www.philgeps.gov.ph/GEPSNONPILOT/Tender/SplashBidNoticeAbstractUI.aspx?menuIndex=3&amp;refID=7150385&amp;Result=3","7150385")</f>
        <v>0</v>
      </c>
      <c r="B10823" t="s">
        <v>2277</v>
      </c>
      <c r="C10823" t="s">
        <v>12716</v>
      </c>
      <c r="D10823" t="s">
        <v>19031</v>
      </c>
      <c r="E10823" t="s">
        <v>28400</v>
      </c>
      <c r="F10823" t="s">
        <v>32831</v>
      </c>
      <c r="G10823" t="s">
        <v>32838</v>
      </c>
      <c r="H10823" t="s">
        <v>32848</v>
      </c>
      <c r="I10823" t="s">
        <v>4471</v>
      </c>
      <c r="J10823" t="s">
        <v>33795</v>
      </c>
      <c r="K10823" t="s">
        <v>42731</v>
      </c>
      <c r="M10823" t="s">
        <v>45461</v>
      </c>
      <c r="N10823" t="s">
        <v>47424</v>
      </c>
      <c r="O10823" t="s">
        <v>47425</v>
      </c>
      <c r="P10823">
        <v>0</v>
      </c>
      <c r="Q10823">
        <v>3</v>
      </c>
      <c r="R10823" t="s">
        <v>47433</v>
      </c>
      <c r="S10823" t="s">
        <v>47633</v>
      </c>
      <c r="T10823" t="s">
        <v>49214</v>
      </c>
      <c r="U10823" t="s">
        <v>58581</v>
      </c>
      <c r="W10823" t="s">
        <v>45461</v>
      </c>
      <c r="X10823" t="s">
        <v>47434</v>
      </c>
    </row>
    <row r="10824" spans="1:24">
      <c r="A10824">
        <f>HYPERLINK("https://www.philgeps.gov.ph/GEPSNONPILOT/Tender/SplashBidNoticeAbstractUI.aspx?menuIndex=3&amp;refID=7150379&amp;Result=3","7150379")</f>
        <v>0</v>
      </c>
      <c r="B10824" t="s">
        <v>3273</v>
      </c>
      <c r="C10824" t="s">
        <v>14073</v>
      </c>
      <c r="D10824" t="s">
        <v>19049</v>
      </c>
      <c r="E10824" t="s">
        <v>28401</v>
      </c>
      <c r="F10824" t="s">
        <v>32831</v>
      </c>
      <c r="G10824" t="s">
        <v>32838</v>
      </c>
      <c r="H10824" t="s">
        <v>32848</v>
      </c>
      <c r="I10824" t="s">
        <v>32901</v>
      </c>
      <c r="J10824" t="s">
        <v>39644</v>
      </c>
      <c r="K10824" t="s">
        <v>42748</v>
      </c>
      <c r="M10824" t="s">
        <v>46592</v>
      </c>
      <c r="N10824" t="s">
        <v>47424</v>
      </c>
      <c r="O10824" t="s">
        <v>47425</v>
      </c>
      <c r="P10824">
        <v>0</v>
      </c>
      <c r="Q10824">
        <v>1</v>
      </c>
      <c r="R10824" t="s">
        <v>47433</v>
      </c>
      <c r="S10824" t="s">
        <v>47633</v>
      </c>
      <c r="T10824" t="s">
        <v>49163</v>
      </c>
      <c r="U10824" t="s">
        <v>58582</v>
      </c>
      <c r="W10824" t="s">
        <v>46592</v>
      </c>
      <c r="X10824" t="s">
        <v>47434</v>
      </c>
    </row>
    <row r="10825" spans="1:24">
      <c r="A10825">
        <f>HYPERLINK("https://www.philgeps.gov.ph/GEPSNONPILOT/Tender/SplashBidNoticeAbstractUI.aspx?menuIndex=3&amp;refID=7150339&amp;Result=3","7150339")</f>
        <v>0</v>
      </c>
      <c r="B10825" t="s">
        <v>2269</v>
      </c>
      <c r="C10825" t="s">
        <v>14074</v>
      </c>
      <c r="D10825" t="s">
        <v>19018</v>
      </c>
      <c r="E10825" t="s">
        <v>28402</v>
      </c>
      <c r="F10825" t="s">
        <v>32831</v>
      </c>
      <c r="G10825" t="s">
        <v>32838</v>
      </c>
      <c r="H10825" t="s">
        <v>32848</v>
      </c>
      <c r="I10825" t="s">
        <v>7416</v>
      </c>
      <c r="J10825" t="s">
        <v>39645</v>
      </c>
      <c r="K10825" t="s">
        <v>42727</v>
      </c>
      <c r="M10825" t="s">
        <v>45453</v>
      </c>
      <c r="N10825" t="s">
        <v>47424</v>
      </c>
      <c r="O10825" t="s">
        <v>47425</v>
      </c>
      <c r="P10825">
        <v>0</v>
      </c>
      <c r="Q10825">
        <v>0</v>
      </c>
      <c r="R10825" t="s">
        <v>47433</v>
      </c>
      <c r="S10825" t="s">
        <v>47633</v>
      </c>
      <c r="T10825" t="s">
        <v>49328</v>
      </c>
      <c r="U10825" t="s">
        <v>55595</v>
      </c>
      <c r="W10825" t="s">
        <v>45453</v>
      </c>
      <c r="X10825" t="s">
        <v>47434</v>
      </c>
    </row>
    <row r="10826" spans="1:24">
      <c r="A10826">
        <f>HYPERLINK("https://www.philgeps.gov.ph/GEPSNONPILOT/Tender/SplashBidNoticeAbstractUI.aspx?menuIndex=3&amp;refID=7150335&amp;Result=3","7150335")</f>
        <v>0</v>
      </c>
      <c r="B10826" t="s">
        <v>3037</v>
      </c>
      <c r="C10826" t="s">
        <v>14075</v>
      </c>
      <c r="D10826" t="s">
        <v>19060</v>
      </c>
      <c r="E10826" t="s">
        <v>28403</v>
      </c>
      <c r="F10826" t="s">
        <v>32831</v>
      </c>
      <c r="G10826" t="s">
        <v>32839</v>
      </c>
      <c r="H10826" t="s">
        <v>32848</v>
      </c>
      <c r="I10826" t="s">
        <v>32870</v>
      </c>
      <c r="J10826" t="s">
        <v>33083</v>
      </c>
      <c r="K10826" t="s">
        <v>42730</v>
      </c>
      <c r="M10826" t="s">
        <v>46310</v>
      </c>
      <c r="N10826" t="s">
        <v>47424</v>
      </c>
      <c r="O10826" t="s">
        <v>47425</v>
      </c>
      <c r="P10826">
        <v>0</v>
      </c>
      <c r="Q10826">
        <v>0</v>
      </c>
      <c r="R10826" t="s">
        <v>47433</v>
      </c>
      <c r="S10826" t="s">
        <v>47633</v>
      </c>
      <c r="T10826" t="s">
        <v>49231</v>
      </c>
      <c r="U10826" t="s">
        <v>58583</v>
      </c>
      <c r="W10826" t="s">
        <v>46310</v>
      </c>
      <c r="X10826" t="s">
        <v>47434</v>
      </c>
    </row>
    <row r="10827" spans="1:24">
      <c r="A10827">
        <f>HYPERLINK("https://www.philgeps.gov.ph/GEPSNONPILOT/Tender/SplashBidNoticeAbstractUI.aspx?menuIndex=3&amp;refID=7150803&amp;Result=3","7150803")</f>
        <v>0</v>
      </c>
      <c r="B10827" t="s">
        <v>3274</v>
      </c>
      <c r="C10827" t="s">
        <v>14076</v>
      </c>
      <c r="D10827" t="s">
        <v>19103</v>
      </c>
      <c r="E10827" t="s">
        <v>20779</v>
      </c>
      <c r="F10827" t="s">
        <v>32831</v>
      </c>
      <c r="G10827" t="s">
        <v>32839</v>
      </c>
      <c r="H10827" t="s">
        <v>32848</v>
      </c>
      <c r="I10827" t="s">
        <v>4776</v>
      </c>
      <c r="J10827" t="s">
        <v>39646</v>
      </c>
      <c r="K10827" t="s">
        <v>42726</v>
      </c>
      <c r="M10827" t="s">
        <v>46593</v>
      </c>
      <c r="N10827" t="s">
        <v>47424</v>
      </c>
      <c r="O10827" t="s">
        <v>47425</v>
      </c>
      <c r="P10827">
        <v>0</v>
      </c>
      <c r="Q10827">
        <v>1</v>
      </c>
      <c r="R10827" t="s">
        <v>47433</v>
      </c>
      <c r="S10827" t="s">
        <v>47633</v>
      </c>
      <c r="T10827" t="s">
        <v>49107</v>
      </c>
      <c r="U10827" t="s">
        <v>58584</v>
      </c>
      <c r="V10827" t="s">
        <v>63809</v>
      </c>
      <c r="W10827" t="s">
        <v>46593</v>
      </c>
      <c r="X10827" t="s">
        <v>47434</v>
      </c>
    </row>
    <row r="10828" spans="1:24">
      <c r="A10828">
        <f>HYPERLINK("https://www.philgeps.gov.ph/GEPSNONPILOT/Tender/SplashBidNoticeAbstractUI.aspx?menuIndex=3&amp;refID=7150332&amp;Result=3","7150332")</f>
        <v>0</v>
      </c>
      <c r="B10828" t="s">
        <v>1316</v>
      </c>
      <c r="C10828" t="s">
        <v>14077</v>
      </c>
      <c r="D10828" t="s">
        <v>19035</v>
      </c>
      <c r="E10828" t="s">
        <v>28404</v>
      </c>
      <c r="F10828" t="s">
        <v>32831</v>
      </c>
      <c r="G10828" t="s">
        <v>32839</v>
      </c>
      <c r="H10828" t="s">
        <v>32849</v>
      </c>
      <c r="I10828" t="s">
        <v>4177</v>
      </c>
      <c r="J10828" t="s">
        <v>39647</v>
      </c>
      <c r="K10828" t="s">
        <v>42756</v>
      </c>
      <c r="M10828" t="s">
        <v>44387</v>
      </c>
      <c r="N10828" t="s">
        <v>47424</v>
      </c>
      <c r="O10828" t="s">
        <v>47425</v>
      </c>
      <c r="Q10828">
        <v>0</v>
      </c>
      <c r="R10828" t="s">
        <v>47433</v>
      </c>
      <c r="S10828" t="s">
        <v>47725</v>
      </c>
      <c r="T10828" t="s">
        <v>49159</v>
      </c>
      <c r="U10828" t="s">
        <v>58585</v>
      </c>
      <c r="W10828" t="s">
        <v>44387</v>
      </c>
      <c r="X10828" t="s">
        <v>47434</v>
      </c>
    </row>
    <row r="10829" spans="1:24">
      <c r="A10829">
        <f>HYPERLINK("https://www.philgeps.gov.ph/GEPSNONPILOT/Tender/SplashBidNoticeAbstractUI.aspx?menuIndex=3&amp;refID=7150331&amp;Result=3","7150331")</f>
        <v>0</v>
      </c>
      <c r="B10829" t="s">
        <v>171</v>
      </c>
      <c r="C10829" t="s">
        <v>14078</v>
      </c>
      <c r="D10829" t="s">
        <v>19076</v>
      </c>
      <c r="E10829" t="s">
        <v>28405</v>
      </c>
      <c r="F10829" t="s">
        <v>32831</v>
      </c>
      <c r="G10829" t="s">
        <v>32839</v>
      </c>
      <c r="H10829" t="s">
        <v>32848</v>
      </c>
      <c r="I10829" t="s">
        <v>32890</v>
      </c>
      <c r="J10829" t="s">
        <v>39648</v>
      </c>
      <c r="K10829" t="s">
        <v>42763</v>
      </c>
      <c r="M10829" t="s">
        <v>43168</v>
      </c>
      <c r="N10829" t="s">
        <v>47424</v>
      </c>
      <c r="O10829" t="s">
        <v>47425</v>
      </c>
      <c r="P10829">
        <v>0</v>
      </c>
      <c r="Q10829">
        <v>0</v>
      </c>
      <c r="R10829" t="s">
        <v>47433</v>
      </c>
      <c r="S10829" t="s">
        <v>47633</v>
      </c>
      <c r="T10829" t="s">
        <v>49192</v>
      </c>
      <c r="U10829" t="s">
        <v>58586</v>
      </c>
      <c r="W10829" t="s">
        <v>64432</v>
      </c>
      <c r="X10829" t="s">
        <v>47434</v>
      </c>
    </row>
    <row r="10830" spans="1:24">
      <c r="A10830">
        <f>HYPERLINK("https://www.philgeps.gov.ph/GEPSNONPILOT/Tender/SplashBidNoticeAbstractUI.aspx?menuIndex=3&amp;refID=7150338&amp;Result=3","7150338")</f>
        <v>0</v>
      </c>
      <c r="B10830" t="s">
        <v>3060</v>
      </c>
      <c r="C10830" t="s">
        <v>14079</v>
      </c>
      <c r="D10830" t="s">
        <v>19034</v>
      </c>
      <c r="E10830" t="s">
        <v>28406</v>
      </c>
      <c r="F10830" t="s">
        <v>32831</v>
      </c>
      <c r="G10830" t="s">
        <v>32839</v>
      </c>
      <c r="H10830" t="s">
        <v>32848</v>
      </c>
      <c r="I10830" t="s">
        <v>4487</v>
      </c>
      <c r="J10830" t="s">
        <v>39649</v>
      </c>
      <c r="K10830" t="s">
        <v>42746</v>
      </c>
      <c r="M10830" t="s">
        <v>46335</v>
      </c>
      <c r="N10830" t="s">
        <v>47424</v>
      </c>
      <c r="O10830" t="s">
        <v>47425</v>
      </c>
      <c r="P10830">
        <v>0</v>
      </c>
      <c r="Q10830">
        <v>0</v>
      </c>
      <c r="R10830" t="s">
        <v>47433</v>
      </c>
      <c r="S10830" t="s">
        <v>47633</v>
      </c>
      <c r="T10830" t="s">
        <v>49338</v>
      </c>
      <c r="U10830" t="s">
        <v>58587</v>
      </c>
      <c r="V10830" t="s">
        <v>63810</v>
      </c>
      <c r="W10830" t="s">
        <v>46335</v>
      </c>
      <c r="X10830" t="s">
        <v>47434</v>
      </c>
    </row>
    <row r="10831" spans="1:24">
      <c r="A10831">
        <f>HYPERLINK("https://www.philgeps.gov.ph/GEPSNONPILOT/Tender/SplashBidNoticeAbstractUI.aspx?menuIndex=3&amp;refID=7150167&amp;Result=3","7150167")</f>
        <v>0</v>
      </c>
      <c r="B10831" t="s">
        <v>2416</v>
      </c>
      <c r="C10831" t="s">
        <v>14080</v>
      </c>
      <c r="D10831" t="s">
        <v>19017</v>
      </c>
      <c r="E10831" t="s">
        <v>25026</v>
      </c>
      <c r="F10831" t="s">
        <v>32831</v>
      </c>
      <c r="G10831" t="s">
        <v>32839</v>
      </c>
      <c r="H10831" t="s">
        <v>32848</v>
      </c>
      <c r="I10831" t="s">
        <v>7819</v>
      </c>
      <c r="J10831" t="s">
        <v>32978</v>
      </c>
      <c r="K10831" t="s">
        <v>42748</v>
      </c>
      <c r="M10831" t="s">
        <v>45611</v>
      </c>
      <c r="N10831" t="s">
        <v>47424</v>
      </c>
      <c r="O10831" t="s">
        <v>47425</v>
      </c>
      <c r="P10831">
        <v>0</v>
      </c>
      <c r="Q10831">
        <v>2</v>
      </c>
      <c r="R10831" t="s">
        <v>47433</v>
      </c>
      <c r="S10831" t="s">
        <v>47633</v>
      </c>
      <c r="T10831" t="s">
        <v>49239</v>
      </c>
      <c r="U10831" t="s">
        <v>55395</v>
      </c>
      <c r="W10831" t="s">
        <v>45611</v>
      </c>
      <c r="X10831" t="s">
        <v>47434</v>
      </c>
    </row>
    <row r="10832" spans="1:24">
      <c r="A10832">
        <f>HYPERLINK("https://www.philgeps.gov.ph/GEPSNONPILOT/Tender/SplashBidNoticeAbstractUI.aspx?menuIndex=3&amp;refID=7150337&amp;Result=3","7150337")</f>
        <v>0</v>
      </c>
      <c r="B10832" t="s">
        <v>3275</v>
      </c>
      <c r="C10832" t="s">
        <v>14081</v>
      </c>
      <c r="D10832" t="s">
        <v>19067</v>
      </c>
      <c r="E10832" t="s">
        <v>27088</v>
      </c>
      <c r="F10832" t="s">
        <v>32831</v>
      </c>
      <c r="G10832" t="s">
        <v>32839</v>
      </c>
      <c r="H10832" t="s">
        <v>32849</v>
      </c>
      <c r="I10832" t="s">
        <v>4177</v>
      </c>
      <c r="J10832" t="s">
        <v>33044</v>
      </c>
      <c r="K10832" t="s">
        <v>42730</v>
      </c>
      <c r="M10832" t="s">
        <v>46594</v>
      </c>
      <c r="N10832" t="s">
        <v>47424</v>
      </c>
      <c r="O10832" t="s">
        <v>47425</v>
      </c>
      <c r="P10832">
        <v>0</v>
      </c>
      <c r="Q10832">
        <v>1</v>
      </c>
      <c r="R10832" t="s">
        <v>47433</v>
      </c>
      <c r="S10832" t="s">
        <v>47633</v>
      </c>
      <c r="T10832" t="s">
        <v>49105</v>
      </c>
      <c r="U10832" t="s">
        <v>58588</v>
      </c>
      <c r="W10832" t="s">
        <v>46594</v>
      </c>
      <c r="X10832" t="s">
        <v>47434</v>
      </c>
    </row>
    <row r="10833" spans="1:24">
      <c r="A10833">
        <f>HYPERLINK("https://www.philgeps.gov.ph/GEPSNONPILOT/Tender/SplashBidNoticeAbstractUI.aspx?menuIndex=3&amp;refID=7150166&amp;Result=3","7150166")</f>
        <v>0</v>
      </c>
      <c r="B10833" t="s">
        <v>243</v>
      </c>
      <c r="C10833" t="s">
        <v>14082</v>
      </c>
      <c r="D10833" t="s">
        <v>19074</v>
      </c>
      <c r="E10833" t="s">
        <v>28407</v>
      </c>
      <c r="F10833" t="s">
        <v>32831</v>
      </c>
      <c r="G10833" t="s">
        <v>32839</v>
      </c>
      <c r="H10833" t="s">
        <v>32849</v>
      </c>
      <c r="I10833" t="s">
        <v>4177</v>
      </c>
      <c r="J10833" t="s">
        <v>39650</v>
      </c>
      <c r="K10833" t="s">
        <v>42763</v>
      </c>
      <c r="M10833" t="s">
        <v>43242</v>
      </c>
      <c r="N10833" t="s">
        <v>47424</v>
      </c>
      <c r="O10833" t="s">
        <v>47425</v>
      </c>
      <c r="P10833">
        <v>0</v>
      </c>
      <c r="Q10833">
        <v>0</v>
      </c>
      <c r="R10833" t="s">
        <v>47433</v>
      </c>
      <c r="S10833" t="s">
        <v>47633</v>
      </c>
      <c r="T10833" t="s">
        <v>49173</v>
      </c>
      <c r="U10833" t="s">
        <v>58589</v>
      </c>
      <c r="W10833" t="s">
        <v>43242</v>
      </c>
      <c r="X10833" t="s">
        <v>47434</v>
      </c>
    </row>
    <row r="10834" spans="1:24">
      <c r="A10834">
        <f>HYPERLINK("https://www.philgeps.gov.ph/GEPSNONPILOT/Tender/SplashBidNoticeAbstractUI.aspx?menuIndex=3&amp;refID=7150165&amp;Result=3","7150165")</f>
        <v>0</v>
      </c>
      <c r="B10834" t="s">
        <v>1279</v>
      </c>
      <c r="C10834" t="s">
        <v>14083</v>
      </c>
      <c r="D10834" t="s">
        <v>19052</v>
      </c>
      <c r="E10834" t="s">
        <v>28408</v>
      </c>
      <c r="F10834" t="s">
        <v>32831</v>
      </c>
      <c r="G10834" t="s">
        <v>32839</v>
      </c>
      <c r="H10834" t="s">
        <v>32849</v>
      </c>
      <c r="I10834" t="s">
        <v>4177</v>
      </c>
      <c r="J10834" t="s">
        <v>39651</v>
      </c>
      <c r="K10834" t="s">
        <v>42747</v>
      </c>
      <c r="M10834" t="s">
        <v>44349</v>
      </c>
      <c r="N10834" t="s">
        <v>47424</v>
      </c>
      <c r="O10834" t="s">
        <v>47425</v>
      </c>
      <c r="P10834">
        <v>0</v>
      </c>
      <c r="Q10834">
        <v>0</v>
      </c>
      <c r="R10834" t="s">
        <v>47433</v>
      </c>
      <c r="S10834" t="s">
        <v>47633</v>
      </c>
      <c r="T10834" t="s">
        <v>49192</v>
      </c>
      <c r="U10834" t="s">
        <v>58590</v>
      </c>
      <c r="W10834" t="s">
        <v>64464</v>
      </c>
      <c r="X10834" t="s">
        <v>47434</v>
      </c>
    </row>
    <row r="10835" spans="1:24">
      <c r="A10835">
        <f>HYPERLINK("https://www.philgeps.gov.ph/GEPSNONPILOT/Tender/SplashBidNoticeAbstractUI.aspx?menuIndex=3&amp;refID=7152275&amp;Result=3","7152275")</f>
        <v>0</v>
      </c>
      <c r="B10835" t="s">
        <v>3276</v>
      </c>
      <c r="C10835" t="s">
        <v>14084</v>
      </c>
      <c r="D10835" t="s">
        <v>19047</v>
      </c>
      <c r="E10835" t="s">
        <v>19351</v>
      </c>
      <c r="F10835" t="s">
        <v>32831</v>
      </c>
      <c r="G10835" t="s">
        <v>32839</v>
      </c>
      <c r="H10835" t="s">
        <v>32848</v>
      </c>
      <c r="I10835" t="s">
        <v>4438</v>
      </c>
      <c r="J10835" t="s">
        <v>33078</v>
      </c>
      <c r="K10835" t="s">
        <v>42726</v>
      </c>
      <c r="M10835" t="s">
        <v>46595</v>
      </c>
      <c r="N10835" t="s">
        <v>47424</v>
      </c>
      <c r="O10835" t="s">
        <v>47425</v>
      </c>
      <c r="P10835">
        <v>0</v>
      </c>
      <c r="Q10835">
        <v>6</v>
      </c>
      <c r="R10835" t="s">
        <v>47432</v>
      </c>
      <c r="S10835" t="s">
        <v>47597</v>
      </c>
      <c r="T10835" t="s">
        <v>49177</v>
      </c>
      <c r="U10835" t="s">
        <v>58591</v>
      </c>
      <c r="W10835" t="s">
        <v>46595</v>
      </c>
      <c r="X10835" t="s">
        <v>47433</v>
      </c>
    </row>
    <row r="10836" spans="1:24">
      <c r="A10836">
        <f>HYPERLINK("https://www.philgeps.gov.ph/GEPSNONPILOT/Tender/SplashBidNoticeAbstractUI.aspx?menuIndex=3&amp;refID=7152265&amp;Result=3","7152265")</f>
        <v>0</v>
      </c>
      <c r="B10836" t="s">
        <v>1253</v>
      </c>
      <c r="C10836" t="s">
        <v>14085</v>
      </c>
      <c r="D10836" t="s">
        <v>19020</v>
      </c>
      <c r="E10836" t="s">
        <v>28409</v>
      </c>
      <c r="F10836" t="s">
        <v>32831</v>
      </c>
      <c r="G10836" t="s">
        <v>32839</v>
      </c>
      <c r="H10836" t="s">
        <v>32848</v>
      </c>
      <c r="I10836" t="s">
        <v>32869</v>
      </c>
      <c r="J10836" t="s">
        <v>32983</v>
      </c>
      <c r="K10836" t="s">
        <v>42730</v>
      </c>
      <c r="M10836" t="s">
        <v>44323</v>
      </c>
      <c r="N10836" t="s">
        <v>47424</v>
      </c>
      <c r="O10836" t="s">
        <v>47425</v>
      </c>
      <c r="P10836">
        <v>0</v>
      </c>
      <c r="Q10836">
        <v>2</v>
      </c>
      <c r="R10836" t="s">
        <v>47432</v>
      </c>
      <c r="S10836" t="s">
        <v>47597</v>
      </c>
      <c r="T10836" t="s">
        <v>49114</v>
      </c>
      <c r="U10836" t="s">
        <v>58592</v>
      </c>
      <c r="W10836" t="s">
        <v>44323</v>
      </c>
      <c r="X10836" t="s">
        <v>47433</v>
      </c>
    </row>
    <row r="10837" spans="1:24">
      <c r="A10837">
        <f>HYPERLINK("https://www.philgeps.gov.ph/GEPSNONPILOT/Tender/SplashBidNoticeAbstractUI.aspx?menuIndex=3&amp;refID=7150334&amp;Result=3","7150334")</f>
        <v>0</v>
      </c>
      <c r="B10837" t="s">
        <v>1684</v>
      </c>
      <c r="C10837" t="s">
        <v>14086</v>
      </c>
      <c r="D10837" t="s">
        <v>19022</v>
      </c>
      <c r="E10837" t="s">
        <v>28410</v>
      </c>
      <c r="F10837" t="s">
        <v>32831</v>
      </c>
      <c r="G10837" t="s">
        <v>32838</v>
      </c>
      <c r="H10837" t="s">
        <v>32848</v>
      </c>
      <c r="I10837" t="s">
        <v>32855</v>
      </c>
      <c r="J10837" t="s">
        <v>33077</v>
      </c>
      <c r="K10837" t="s">
        <v>42731</v>
      </c>
      <c r="M10837" t="s">
        <v>44804</v>
      </c>
      <c r="N10837" t="s">
        <v>47424</v>
      </c>
      <c r="O10837" t="s">
        <v>47425</v>
      </c>
      <c r="P10837">
        <v>0</v>
      </c>
      <c r="Q10837">
        <v>2</v>
      </c>
      <c r="R10837" t="s">
        <v>47433</v>
      </c>
      <c r="S10837" t="s">
        <v>47633</v>
      </c>
      <c r="T10837" t="s">
        <v>49255</v>
      </c>
      <c r="U10837" t="s">
        <v>58593</v>
      </c>
      <c r="W10837" t="s">
        <v>44804</v>
      </c>
      <c r="X10837" t="s">
        <v>47434</v>
      </c>
    </row>
    <row r="10838" spans="1:24">
      <c r="A10838">
        <f>HYPERLINK("https://www.philgeps.gov.ph/GEPSNONPILOT/Tender/SplashBidNoticeAbstractUI.aspx?menuIndex=3&amp;refID=7152263&amp;Result=3","7152263")</f>
        <v>0</v>
      </c>
      <c r="B10838" t="s">
        <v>3277</v>
      </c>
      <c r="C10838" t="s">
        <v>14087</v>
      </c>
      <c r="D10838" t="s">
        <v>19059</v>
      </c>
      <c r="E10838" t="s">
        <v>28411</v>
      </c>
      <c r="F10838" t="s">
        <v>32831</v>
      </c>
      <c r="G10838" t="s">
        <v>32839</v>
      </c>
      <c r="H10838" t="s">
        <v>32849</v>
      </c>
      <c r="I10838" t="s">
        <v>32919</v>
      </c>
      <c r="J10838" t="s">
        <v>32980</v>
      </c>
      <c r="K10838" t="s">
        <v>42730</v>
      </c>
      <c r="M10838" t="s">
        <v>46596</v>
      </c>
      <c r="N10838" t="s">
        <v>47424</v>
      </c>
      <c r="O10838" t="s">
        <v>47425</v>
      </c>
      <c r="P10838">
        <v>0</v>
      </c>
      <c r="Q10838">
        <v>2</v>
      </c>
      <c r="R10838" t="s">
        <v>47432</v>
      </c>
      <c r="S10838" t="s">
        <v>47597</v>
      </c>
      <c r="T10838" t="s">
        <v>49198</v>
      </c>
      <c r="U10838" t="s">
        <v>58594</v>
      </c>
      <c r="W10838" t="s">
        <v>46596</v>
      </c>
      <c r="X10838" t="s">
        <v>47433</v>
      </c>
    </row>
    <row r="10839" spans="1:24">
      <c r="A10839">
        <f>HYPERLINK("https://www.philgeps.gov.ph/GEPSNONPILOT/Tender/SplashBidNoticeAbstractUI.aspx?menuIndex=3&amp;refID=7152092&amp;Result=3","7152092")</f>
        <v>0</v>
      </c>
      <c r="B10839" t="s">
        <v>1015</v>
      </c>
      <c r="C10839" t="s">
        <v>12088</v>
      </c>
      <c r="D10839" t="s">
        <v>19017</v>
      </c>
      <c r="E10839" t="s">
        <v>26662</v>
      </c>
      <c r="F10839" t="s">
        <v>32831</v>
      </c>
      <c r="G10839" t="s">
        <v>32839</v>
      </c>
      <c r="H10839" t="s">
        <v>32848</v>
      </c>
      <c r="I10839" t="s">
        <v>7751</v>
      </c>
      <c r="J10839" t="s">
        <v>39652</v>
      </c>
      <c r="K10839" t="s">
        <v>42730</v>
      </c>
      <c r="M10839" t="s">
        <v>44065</v>
      </c>
      <c r="N10839" t="s">
        <v>47424</v>
      </c>
      <c r="O10839" t="s">
        <v>47425</v>
      </c>
      <c r="P10839">
        <v>0</v>
      </c>
      <c r="Q10839">
        <v>3</v>
      </c>
      <c r="R10839" t="s">
        <v>47432</v>
      </c>
      <c r="S10839" t="s">
        <v>47597</v>
      </c>
      <c r="T10839" t="s">
        <v>49108</v>
      </c>
      <c r="U10839" t="s">
        <v>58595</v>
      </c>
      <c r="W10839" t="s">
        <v>44065</v>
      </c>
      <c r="X10839" t="s">
        <v>47434</v>
      </c>
    </row>
    <row r="10840" spans="1:24">
      <c r="A10840">
        <f>HYPERLINK("https://www.philgeps.gov.ph/GEPSNONPILOT/Tender/SplashBidNoticeAbstractUI.aspx?menuIndex=3&amp;refID=7151817&amp;Result=3","7151817")</f>
        <v>0</v>
      </c>
      <c r="B10840" t="s">
        <v>3278</v>
      </c>
      <c r="C10840" t="s">
        <v>14088</v>
      </c>
      <c r="D10840" t="s">
        <v>19027</v>
      </c>
      <c r="E10840" t="s">
        <v>28412</v>
      </c>
      <c r="F10840" t="s">
        <v>32831</v>
      </c>
      <c r="G10840" t="s">
        <v>32839</v>
      </c>
      <c r="H10840" t="s">
        <v>32848</v>
      </c>
      <c r="I10840" t="s">
        <v>32860</v>
      </c>
      <c r="J10840" t="s">
        <v>39653</v>
      </c>
      <c r="K10840" t="s">
        <v>42732</v>
      </c>
      <c r="M10840" t="s">
        <v>46597</v>
      </c>
      <c r="N10840" t="s">
        <v>47424</v>
      </c>
      <c r="O10840" t="s">
        <v>47425</v>
      </c>
      <c r="P10840">
        <v>0</v>
      </c>
      <c r="Q10840">
        <v>1</v>
      </c>
      <c r="R10840" t="s">
        <v>47433</v>
      </c>
      <c r="S10840" t="s">
        <v>47633</v>
      </c>
      <c r="T10840" t="s">
        <v>49235</v>
      </c>
      <c r="U10840" t="s">
        <v>58596</v>
      </c>
      <c r="W10840" t="s">
        <v>46597</v>
      </c>
      <c r="X10840" t="s">
        <v>47434</v>
      </c>
    </row>
    <row r="10841" spans="1:24">
      <c r="A10841">
        <f>HYPERLINK("https://www.philgeps.gov.ph/GEPSNONPILOT/Tender/SplashBidNoticeAbstractUI.aspx?menuIndex=3&amp;refID=7149148&amp;Result=3","7149148")</f>
        <v>0</v>
      </c>
      <c r="B10841" t="s">
        <v>3279</v>
      </c>
      <c r="C10841" t="s">
        <v>14089</v>
      </c>
      <c r="D10841" t="s">
        <v>19093</v>
      </c>
      <c r="E10841" t="s">
        <v>19211</v>
      </c>
      <c r="F10841" t="s">
        <v>32831</v>
      </c>
      <c r="G10841" t="s">
        <v>32839</v>
      </c>
      <c r="H10841" t="s">
        <v>32848</v>
      </c>
      <c r="I10841" t="s">
        <v>7751</v>
      </c>
      <c r="J10841" t="s">
        <v>33090</v>
      </c>
      <c r="K10841" t="s">
        <v>42748</v>
      </c>
      <c r="M10841" t="s">
        <v>46598</v>
      </c>
      <c r="N10841" t="s">
        <v>47424</v>
      </c>
      <c r="O10841" t="s">
        <v>47425</v>
      </c>
      <c r="P10841">
        <v>0</v>
      </c>
      <c r="Q10841">
        <v>0</v>
      </c>
      <c r="R10841" t="s">
        <v>47432</v>
      </c>
      <c r="S10841" t="s">
        <v>47597</v>
      </c>
      <c r="T10841" t="s">
        <v>49108</v>
      </c>
      <c r="U10841" t="s">
        <v>58597</v>
      </c>
      <c r="V10841" t="s">
        <v>63811</v>
      </c>
      <c r="W10841" t="s">
        <v>46598</v>
      </c>
      <c r="X10841" t="s">
        <v>47435</v>
      </c>
    </row>
    <row r="10842" spans="1:24">
      <c r="A10842">
        <f>HYPERLINK("https://www.philgeps.gov.ph/GEPSNONPILOT/Tender/SplashBidNoticeAbstractUI.aspx?menuIndex=3&amp;refID=7152276&amp;Result=3","7152276")</f>
        <v>0</v>
      </c>
      <c r="B10842" t="s">
        <v>1688</v>
      </c>
      <c r="C10842" t="s">
        <v>14090</v>
      </c>
      <c r="D10842" t="s">
        <v>19078</v>
      </c>
      <c r="E10842" t="s">
        <v>28413</v>
      </c>
      <c r="F10842" t="s">
        <v>32831</v>
      </c>
      <c r="G10842" t="s">
        <v>32840</v>
      </c>
      <c r="H10842" t="s">
        <v>32848</v>
      </c>
      <c r="I10842" t="s">
        <v>32860</v>
      </c>
      <c r="J10842" t="s">
        <v>39654</v>
      </c>
      <c r="K10842" t="s">
        <v>42732</v>
      </c>
      <c r="L10842" t="s">
        <v>1688</v>
      </c>
      <c r="M10842" t="s">
        <v>44808</v>
      </c>
      <c r="N10842" t="s">
        <v>47424</v>
      </c>
      <c r="O10842" t="s">
        <v>47425</v>
      </c>
      <c r="P10842">
        <v>0</v>
      </c>
      <c r="Q10842">
        <v>5</v>
      </c>
      <c r="R10842" t="s">
        <v>47432</v>
      </c>
      <c r="S10842" t="s">
        <v>47597</v>
      </c>
      <c r="T10842" t="s">
        <v>49111</v>
      </c>
      <c r="U10842" t="s">
        <v>53382</v>
      </c>
      <c r="W10842" t="s">
        <v>44808</v>
      </c>
      <c r="X10842" t="s">
        <v>47433</v>
      </c>
    </row>
    <row r="10843" spans="1:24">
      <c r="A10843">
        <f>HYPERLINK("https://www.philgeps.gov.ph/GEPSNONPILOT/Tender/SplashBidNoticeAbstractUI.aspx?menuIndex=3&amp;refID=7148861&amp;Result=3","7148861")</f>
        <v>0</v>
      </c>
      <c r="B10843" t="s">
        <v>3280</v>
      </c>
      <c r="C10843" t="s">
        <v>14091</v>
      </c>
      <c r="D10843" t="s">
        <v>19044</v>
      </c>
      <c r="E10843" t="s">
        <v>19219</v>
      </c>
      <c r="F10843" t="s">
        <v>32831</v>
      </c>
      <c r="G10843" t="s">
        <v>32839</v>
      </c>
      <c r="H10843" t="s">
        <v>32848</v>
      </c>
      <c r="I10843" t="s">
        <v>7416</v>
      </c>
      <c r="J10843" t="s">
        <v>39655</v>
      </c>
      <c r="K10843" t="s">
        <v>42730</v>
      </c>
      <c r="M10843" t="s">
        <v>46599</v>
      </c>
      <c r="N10843" t="s">
        <v>47424</v>
      </c>
      <c r="O10843" t="s">
        <v>47425</v>
      </c>
      <c r="P10843">
        <v>0</v>
      </c>
      <c r="Q10843">
        <v>0</v>
      </c>
      <c r="R10843" t="s">
        <v>47432</v>
      </c>
      <c r="S10843" t="s">
        <v>47597</v>
      </c>
      <c r="T10843" t="s">
        <v>49214</v>
      </c>
      <c r="U10843" t="s">
        <v>51857</v>
      </c>
      <c r="V10843" t="s">
        <v>62896</v>
      </c>
      <c r="W10843" t="s">
        <v>46599</v>
      </c>
      <c r="X10843" t="s">
        <v>47436</v>
      </c>
    </row>
    <row r="10844" spans="1:24">
      <c r="A10844">
        <f>HYPERLINK("https://www.philgeps.gov.ph/GEPSNONPILOT/Tender/SplashBidNoticeAbstractUI.aspx?menuIndex=3&amp;refID=7152271&amp;Result=3","7152271")</f>
        <v>0</v>
      </c>
      <c r="B10844" t="s">
        <v>1253</v>
      </c>
      <c r="C10844" t="s">
        <v>14092</v>
      </c>
      <c r="D10844" t="s">
        <v>19020</v>
      </c>
      <c r="E10844" t="s">
        <v>28414</v>
      </c>
      <c r="F10844" t="s">
        <v>32831</v>
      </c>
      <c r="G10844" t="s">
        <v>32839</v>
      </c>
      <c r="H10844" t="s">
        <v>32848</v>
      </c>
      <c r="I10844" t="s">
        <v>32932</v>
      </c>
      <c r="J10844" t="s">
        <v>32985</v>
      </c>
      <c r="K10844" t="s">
        <v>42730</v>
      </c>
      <c r="M10844" t="s">
        <v>44323</v>
      </c>
      <c r="N10844" t="s">
        <v>47424</v>
      </c>
      <c r="O10844" t="s">
        <v>47425</v>
      </c>
      <c r="P10844">
        <v>0</v>
      </c>
      <c r="Q10844">
        <v>1</v>
      </c>
      <c r="R10844" t="s">
        <v>47432</v>
      </c>
      <c r="S10844" t="s">
        <v>47597</v>
      </c>
      <c r="T10844" t="s">
        <v>49114</v>
      </c>
      <c r="U10844" t="s">
        <v>58598</v>
      </c>
      <c r="W10844" t="s">
        <v>44323</v>
      </c>
      <c r="X10844" t="s">
        <v>47433</v>
      </c>
    </row>
    <row r="10845" spans="1:24">
      <c r="A10845">
        <f>HYPERLINK("https://www.philgeps.gov.ph/GEPSNONPILOT/Tender/SplashBidNoticeAbstractUI.aspx?menuIndex=3&amp;refID=7152189&amp;Result=3","7152189")</f>
        <v>0</v>
      </c>
      <c r="B10845" t="s">
        <v>3180</v>
      </c>
      <c r="C10845" t="s">
        <v>14093</v>
      </c>
      <c r="E10845" t="s">
        <v>28415</v>
      </c>
      <c r="F10845" t="s">
        <v>32831</v>
      </c>
      <c r="G10845" t="s">
        <v>32839</v>
      </c>
      <c r="H10845" t="s">
        <v>32848</v>
      </c>
      <c r="I10845" t="s">
        <v>7751</v>
      </c>
      <c r="J10845" t="s">
        <v>33528</v>
      </c>
      <c r="K10845" t="s">
        <v>42763</v>
      </c>
      <c r="M10845" t="s">
        <v>46487</v>
      </c>
      <c r="N10845" t="s">
        <v>47424</v>
      </c>
      <c r="O10845" t="s">
        <v>47425</v>
      </c>
      <c r="P10845">
        <v>0</v>
      </c>
      <c r="Q10845">
        <v>6</v>
      </c>
      <c r="R10845" t="s">
        <v>47432</v>
      </c>
      <c r="S10845" t="s">
        <v>47597</v>
      </c>
      <c r="T10845" t="s">
        <v>49283</v>
      </c>
      <c r="U10845" t="s">
        <v>58599</v>
      </c>
      <c r="W10845" t="s">
        <v>46487</v>
      </c>
      <c r="X10845" t="s">
        <v>47434</v>
      </c>
    </row>
    <row r="10846" spans="1:24">
      <c r="A10846">
        <f>HYPERLINK("https://www.philgeps.gov.ph/GEPSNONPILOT/Tender/SplashBidNoticeAbstractUI.aspx?menuIndex=3&amp;refID=7148624&amp;Result=3","7148624")</f>
        <v>0</v>
      </c>
      <c r="B10846" t="s">
        <v>3281</v>
      </c>
      <c r="C10846" t="s">
        <v>4142</v>
      </c>
      <c r="D10846" t="s">
        <v>19024</v>
      </c>
      <c r="E10846" t="s">
        <v>28416</v>
      </c>
      <c r="F10846" t="s">
        <v>32831</v>
      </c>
      <c r="G10846" t="s">
        <v>32839</v>
      </c>
      <c r="H10846" t="s">
        <v>32848</v>
      </c>
      <c r="I10846" t="s">
        <v>32857</v>
      </c>
      <c r="J10846" t="s">
        <v>39656</v>
      </c>
      <c r="K10846" t="s">
        <v>42747</v>
      </c>
      <c r="M10846" t="s">
        <v>46600</v>
      </c>
      <c r="N10846" t="s">
        <v>47424</v>
      </c>
      <c r="O10846" t="s">
        <v>47425</v>
      </c>
      <c r="P10846">
        <v>0</v>
      </c>
      <c r="Q10846">
        <v>7</v>
      </c>
      <c r="R10846" t="s">
        <v>47432</v>
      </c>
      <c r="S10846" t="s">
        <v>47597</v>
      </c>
      <c r="T10846" t="s">
        <v>49160</v>
      </c>
      <c r="U10846" t="s">
        <v>58600</v>
      </c>
      <c r="W10846" t="s">
        <v>46600</v>
      </c>
      <c r="X10846" t="s">
        <v>47436</v>
      </c>
    </row>
    <row r="10847" spans="1:24">
      <c r="A10847">
        <f>HYPERLINK("https://www.philgeps.gov.ph/GEPSNONPILOT/Tender/SplashBidNoticeAbstractUI.aspx?menuIndex=3&amp;refID=7149101&amp;Result=3","7149101")</f>
        <v>0</v>
      </c>
      <c r="B10847" t="s">
        <v>3282</v>
      </c>
      <c r="C10847" t="s">
        <v>14094</v>
      </c>
      <c r="D10847" t="s">
        <v>19049</v>
      </c>
      <c r="E10847" t="s">
        <v>28417</v>
      </c>
      <c r="F10847" t="s">
        <v>32831</v>
      </c>
      <c r="G10847" t="s">
        <v>32844</v>
      </c>
      <c r="H10847" t="s">
        <v>14069</v>
      </c>
      <c r="I10847" t="s">
        <v>14069</v>
      </c>
      <c r="J10847" t="s">
        <v>33692</v>
      </c>
      <c r="K10847" t="s">
        <v>42751</v>
      </c>
      <c r="M10847" t="s">
        <v>46601</v>
      </c>
      <c r="N10847" t="s">
        <v>47424</v>
      </c>
      <c r="O10847" t="s">
        <v>47425</v>
      </c>
      <c r="P10847">
        <v>0</v>
      </c>
      <c r="Q10847">
        <v>2</v>
      </c>
      <c r="R10847" t="s">
        <v>47432</v>
      </c>
      <c r="S10847" t="s">
        <v>47597</v>
      </c>
      <c r="T10847" t="s">
        <v>49131</v>
      </c>
      <c r="U10847" t="s">
        <v>58601</v>
      </c>
      <c r="W10847" t="s">
        <v>46601</v>
      </c>
      <c r="X10847" t="s">
        <v>47435</v>
      </c>
    </row>
    <row r="10848" spans="1:24">
      <c r="A10848">
        <f>HYPERLINK("https://www.philgeps.gov.ph/GEPSNONPILOT/Tender/SplashBidNoticeAbstractUI.aspx?menuIndex=3&amp;refID=7148858&amp;Result=3","7148858")</f>
        <v>0</v>
      </c>
      <c r="B10848" t="s">
        <v>3283</v>
      </c>
      <c r="C10848" t="s">
        <v>14095</v>
      </c>
      <c r="D10848" t="s">
        <v>19044</v>
      </c>
      <c r="E10848" t="s">
        <v>19219</v>
      </c>
      <c r="F10848" t="s">
        <v>32831</v>
      </c>
      <c r="G10848" t="s">
        <v>32839</v>
      </c>
      <c r="H10848" t="s">
        <v>32848</v>
      </c>
      <c r="I10848" t="s">
        <v>7416</v>
      </c>
      <c r="J10848" t="s">
        <v>35624</v>
      </c>
      <c r="K10848" t="s">
        <v>42730</v>
      </c>
      <c r="M10848" t="s">
        <v>46602</v>
      </c>
      <c r="N10848" t="s">
        <v>47424</v>
      </c>
      <c r="O10848" t="s">
        <v>47425</v>
      </c>
      <c r="P10848">
        <v>0</v>
      </c>
      <c r="Q10848">
        <v>0</v>
      </c>
      <c r="R10848" t="s">
        <v>47432</v>
      </c>
      <c r="S10848" t="s">
        <v>47597</v>
      </c>
      <c r="T10848" t="s">
        <v>49141</v>
      </c>
      <c r="U10848" t="s">
        <v>51857</v>
      </c>
      <c r="V10848" t="s">
        <v>62896</v>
      </c>
      <c r="W10848" t="s">
        <v>46602</v>
      </c>
      <c r="X10848" t="s">
        <v>47436</v>
      </c>
    </row>
    <row r="10849" spans="1:24">
      <c r="A10849">
        <f>HYPERLINK("https://www.philgeps.gov.ph/GEPSNONPILOT/Tender/SplashBidNoticeAbstractUI.aspx?menuIndex=3&amp;refID=7148519&amp;Result=3","7148519")</f>
        <v>0</v>
      </c>
      <c r="B10849" t="s">
        <v>3281</v>
      </c>
      <c r="C10849" t="s">
        <v>12757</v>
      </c>
      <c r="D10849" t="s">
        <v>19024</v>
      </c>
      <c r="E10849" t="s">
        <v>28418</v>
      </c>
      <c r="F10849" t="s">
        <v>32831</v>
      </c>
      <c r="G10849" t="s">
        <v>32839</v>
      </c>
      <c r="H10849" t="s">
        <v>32848</v>
      </c>
      <c r="I10849" t="s">
        <v>4558</v>
      </c>
      <c r="J10849" t="s">
        <v>39657</v>
      </c>
      <c r="K10849" t="s">
        <v>42747</v>
      </c>
      <c r="M10849" t="s">
        <v>46600</v>
      </c>
      <c r="N10849" t="s">
        <v>47424</v>
      </c>
      <c r="O10849" t="s">
        <v>47425</v>
      </c>
      <c r="P10849">
        <v>0</v>
      </c>
      <c r="Q10849">
        <v>6</v>
      </c>
      <c r="R10849" t="s">
        <v>47432</v>
      </c>
      <c r="S10849" t="s">
        <v>47597</v>
      </c>
      <c r="T10849" t="s">
        <v>49160</v>
      </c>
      <c r="U10849" t="s">
        <v>58600</v>
      </c>
      <c r="W10849" t="s">
        <v>46600</v>
      </c>
      <c r="X10849" t="s">
        <v>47437</v>
      </c>
    </row>
    <row r="10850" spans="1:24">
      <c r="A10850">
        <f>HYPERLINK("https://www.philgeps.gov.ph/GEPSNONPILOT/Tender/SplashBidNoticeAbstractUI.aspx?menuIndex=3&amp;refID=7148436&amp;Result=3","7148436")</f>
        <v>0</v>
      </c>
      <c r="B10850" t="s">
        <v>2794</v>
      </c>
      <c r="C10850" t="s">
        <v>14096</v>
      </c>
      <c r="D10850" t="s">
        <v>19038</v>
      </c>
      <c r="E10850" t="s">
        <v>26778</v>
      </c>
      <c r="F10850" t="s">
        <v>32831</v>
      </c>
      <c r="G10850" t="s">
        <v>32839</v>
      </c>
      <c r="H10850" t="s">
        <v>32848</v>
      </c>
      <c r="I10850" t="s">
        <v>7416</v>
      </c>
      <c r="J10850" t="s">
        <v>39658</v>
      </c>
      <c r="K10850" t="s">
        <v>42730</v>
      </c>
      <c r="M10850" t="s">
        <v>46024</v>
      </c>
      <c r="N10850" t="s">
        <v>47424</v>
      </c>
      <c r="O10850" t="s">
        <v>47425</v>
      </c>
      <c r="P10850">
        <v>0</v>
      </c>
      <c r="Q10850">
        <v>1</v>
      </c>
      <c r="R10850" t="s">
        <v>47432</v>
      </c>
      <c r="S10850" t="s">
        <v>47597</v>
      </c>
      <c r="T10850" t="s">
        <v>49192</v>
      </c>
      <c r="U10850" t="s">
        <v>58602</v>
      </c>
      <c r="V10850" t="s">
        <v>63812</v>
      </c>
      <c r="W10850" t="s">
        <v>46024</v>
      </c>
      <c r="X10850" t="s">
        <v>47437</v>
      </c>
    </row>
    <row r="10851" spans="1:24">
      <c r="A10851">
        <f>HYPERLINK("https://www.philgeps.gov.ph/GEPSNONPILOT/Tender/SplashBidNoticeAbstractUI.aspx?menuIndex=3&amp;refID=7147753&amp;Result=3","7147753")</f>
        <v>0</v>
      </c>
      <c r="B10851" t="s">
        <v>1978</v>
      </c>
      <c r="C10851" t="s">
        <v>14097</v>
      </c>
      <c r="D10851" t="s">
        <v>19017</v>
      </c>
      <c r="E10851" t="s">
        <v>28419</v>
      </c>
      <c r="F10851" t="s">
        <v>32831</v>
      </c>
      <c r="G10851" t="s">
        <v>32838</v>
      </c>
      <c r="H10851" t="s">
        <v>32848</v>
      </c>
      <c r="I10851" t="s">
        <v>4340</v>
      </c>
      <c r="J10851" t="s">
        <v>39659</v>
      </c>
      <c r="K10851" t="s">
        <v>42726</v>
      </c>
      <c r="M10851" t="s">
        <v>45139</v>
      </c>
      <c r="N10851" t="s">
        <v>47424</v>
      </c>
      <c r="O10851" t="s">
        <v>47425</v>
      </c>
      <c r="P10851">
        <v>0</v>
      </c>
      <c r="Q10851">
        <v>4</v>
      </c>
      <c r="R10851" t="s">
        <v>47432</v>
      </c>
      <c r="S10851" t="s">
        <v>47597</v>
      </c>
      <c r="T10851" t="s">
        <v>49107</v>
      </c>
      <c r="U10851" t="s">
        <v>58603</v>
      </c>
      <c r="W10851" t="s">
        <v>45139</v>
      </c>
      <c r="X10851" t="s">
        <v>47438</v>
      </c>
    </row>
    <row r="10852" spans="1:24">
      <c r="A10852">
        <f>HYPERLINK("https://www.philgeps.gov.ph/GEPSNONPILOT/Tender/SplashBidNoticeAbstractUI.aspx?menuIndex=3&amp;refID=7147692&amp;Result=3","7147692")</f>
        <v>0</v>
      </c>
      <c r="B10852" t="s">
        <v>3284</v>
      </c>
      <c r="C10852" t="s">
        <v>14098</v>
      </c>
      <c r="D10852" t="s">
        <v>19044</v>
      </c>
      <c r="E10852" t="s">
        <v>28420</v>
      </c>
      <c r="F10852" t="s">
        <v>32831</v>
      </c>
      <c r="G10852" t="s">
        <v>32839</v>
      </c>
      <c r="H10852" t="s">
        <v>32848</v>
      </c>
      <c r="I10852" t="s">
        <v>4303</v>
      </c>
      <c r="J10852" t="s">
        <v>32983</v>
      </c>
      <c r="K10852" t="s">
        <v>42727</v>
      </c>
      <c r="M10852" t="s">
        <v>46603</v>
      </c>
      <c r="N10852" t="s">
        <v>47424</v>
      </c>
      <c r="O10852" t="s">
        <v>47425</v>
      </c>
      <c r="P10852">
        <v>0</v>
      </c>
      <c r="Q10852">
        <v>1</v>
      </c>
      <c r="R10852" t="s">
        <v>47432</v>
      </c>
      <c r="S10852" t="s">
        <v>47597</v>
      </c>
      <c r="T10852" t="s">
        <v>49221</v>
      </c>
      <c r="U10852" t="s">
        <v>58604</v>
      </c>
      <c r="W10852" t="s">
        <v>46603</v>
      </c>
      <c r="X10852" t="s">
        <v>47438</v>
      </c>
    </row>
    <row r="10853" spans="1:24">
      <c r="A10853">
        <f>HYPERLINK("https://www.philgeps.gov.ph/GEPSNONPILOT/Tender/SplashBidNoticeAbstractUI.aspx?menuIndex=3&amp;refID=7148422&amp;Result=3","7148422")</f>
        <v>0</v>
      </c>
      <c r="B10853" t="s">
        <v>2794</v>
      </c>
      <c r="C10853" t="s">
        <v>14099</v>
      </c>
      <c r="D10853" t="s">
        <v>19038</v>
      </c>
      <c r="E10853" t="s">
        <v>28421</v>
      </c>
      <c r="F10853" t="s">
        <v>32831</v>
      </c>
      <c r="G10853" t="s">
        <v>32839</v>
      </c>
      <c r="H10853" t="s">
        <v>32848</v>
      </c>
      <c r="I10853" t="s">
        <v>32931</v>
      </c>
      <c r="J10853" t="s">
        <v>39660</v>
      </c>
      <c r="K10853" t="s">
        <v>42730</v>
      </c>
      <c r="M10853" t="s">
        <v>46024</v>
      </c>
      <c r="N10853" t="s">
        <v>47424</v>
      </c>
      <c r="O10853" t="s">
        <v>47425</v>
      </c>
      <c r="P10853">
        <v>0</v>
      </c>
      <c r="Q10853">
        <v>1</v>
      </c>
      <c r="R10853" t="s">
        <v>47432</v>
      </c>
      <c r="S10853" t="s">
        <v>47597</v>
      </c>
      <c r="T10853" t="s">
        <v>49192</v>
      </c>
      <c r="U10853" t="s">
        <v>58605</v>
      </c>
      <c r="V10853" t="s">
        <v>63813</v>
      </c>
      <c r="W10853" t="s">
        <v>46024</v>
      </c>
      <c r="X10853" t="s">
        <v>47437</v>
      </c>
    </row>
    <row r="10854" spans="1:24">
      <c r="A10854">
        <f>HYPERLINK("https://www.philgeps.gov.ph/GEPSNONPILOT/Tender/SplashBidNoticeAbstractUI.aspx?menuIndex=3&amp;refID=7148643&amp;Result=3","7148643")</f>
        <v>0</v>
      </c>
      <c r="B10854" t="s">
        <v>513</v>
      </c>
      <c r="C10854" t="s">
        <v>14100</v>
      </c>
      <c r="D10854" t="s">
        <v>19018</v>
      </c>
      <c r="E10854" t="s">
        <v>28422</v>
      </c>
      <c r="F10854" t="s">
        <v>32831</v>
      </c>
      <c r="G10854" t="s">
        <v>32839</v>
      </c>
      <c r="H10854" t="s">
        <v>32848</v>
      </c>
      <c r="I10854" t="s">
        <v>32857</v>
      </c>
      <c r="J10854" t="s">
        <v>39661</v>
      </c>
      <c r="K10854" t="s">
        <v>42726</v>
      </c>
      <c r="M10854" t="s">
        <v>43518</v>
      </c>
      <c r="N10854" t="s">
        <v>47424</v>
      </c>
      <c r="O10854" t="s">
        <v>47425</v>
      </c>
      <c r="P10854">
        <v>0</v>
      </c>
      <c r="Q10854">
        <v>4</v>
      </c>
      <c r="R10854" t="s">
        <v>47432</v>
      </c>
      <c r="S10854" t="s">
        <v>47597</v>
      </c>
      <c r="T10854" t="s">
        <v>49214</v>
      </c>
      <c r="U10854" t="s">
        <v>58606</v>
      </c>
      <c r="W10854" t="s">
        <v>64441</v>
      </c>
      <c r="X10854" t="s">
        <v>47436</v>
      </c>
    </row>
    <row r="10855" spans="1:24">
      <c r="A10855">
        <f>HYPERLINK("https://www.philgeps.gov.ph/GEPSNONPILOT/Tender/SplashBidNoticeAbstractUI.aspx?menuIndex=3&amp;refID=7150504&amp;Result=3","7150504")</f>
        <v>0</v>
      </c>
      <c r="B10855" t="s">
        <v>2441</v>
      </c>
      <c r="C10855" t="s">
        <v>14101</v>
      </c>
      <c r="D10855" t="s">
        <v>19041</v>
      </c>
      <c r="E10855" t="s">
        <v>28423</v>
      </c>
      <c r="F10855" t="s">
        <v>32831</v>
      </c>
      <c r="G10855" t="s">
        <v>32838</v>
      </c>
      <c r="H10855" t="s">
        <v>32848</v>
      </c>
      <c r="I10855" t="s">
        <v>4222</v>
      </c>
      <c r="J10855" t="s">
        <v>39662</v>
      </c>
      <c r="K10855" t="s">
        <v>42786</v>
      </c>
      <c r="M10855" t="s">
        <v>45916</v>
      </c>
      <c r="N10855" t="s">
        <v>47424</v>
      </c>
      <c r="O10855" t="s">
        <v>47425</v>
      </c>
      <c r="P10855">
        <v>0</v>
      </c>
      <c r="Q10855">
        <v>4</v>
      </c>
      <c r="R10855" t="s">
        <v>47433</v>
      </c>
      <c r="S10855" t="s">
        <v>47633</v>
      </c>
      <c r="T10855" t="s">
        <v>49465</v>
      </c>
      <c r="U10855" t="s">
        <v>56341</v>
      </c>
      <c r="W10855" t="s">
        <v>45916</v>
      </c>
      <c r="X10855" t="s">
        <v>47434</v>
      </c>
    </row>
    <row r="10856" spans="1:24">
      <c r="A10856">
        <f>HYPERLINK("https://www.philgeps.gov.ph/GEPSNONPILOT/Tender/SplashBidNoticeAbstractUI.aspx?menuIndex=3&amp;refID=7146000&amp;Result=3","7146000")</f>
        <v>0</v>
      </c>
      <c r="B10856" t="s">
        <v>3039</v>
      </c>
      <c r="C10856" t="s">
        <v>14102</v>
      </c>
      <c r="D10856" t="s">
        <v>19093</v>
      </c>
      <c r="E10856" t="s">
        <v>28424</v>
      </c>
      <c r="F10856" t="s">
        <v>32831</v>
      </c>
      <c r="G10856" t="s">
        <v>32839</v>
      </c>
      <c r="H10856" t="s">
        <v>32849</v>
      </c>
      <c r="I10856" t="s">
        <v>4177</v>
      </c>
      <c r="J10856" t="s">
        <v>33032</v>
      </c>
      <c r="K10856" t="s">
        <v>42730</v>
      </c>
      <c r="L10856" t="s">
        <v>3039</v>
      </c>
      <c r="M10856" t="s">
        <v>46312</v>
      </c>
      <c r="N10856" t="s">
        <v>47424</v>
      </c>
      <c r="O10856" t="s">
        <v>47425</v>
      </c>
      <c r="P10856">
        <v>0</v>
      </c>
      <c r="Q10856">
        <v>0</v>
      </c>
      <c r="R10856" t="s">
        <v>47432</v>
      </c>
      <c r="S10856" t="s">
        <v>47597</v>
      </c>
      <c r="T10856" t="s">
        <v>49185</v>
      </c>
      <c r="U10856" t="s">
        <v>58607</v>
      </c>
      <c r="V10856" t="s">
        <v>63814</v>
      </c>
      <c r="W10856" t="s">
        <v>46312</v>
      </c>
      <c r="X10856" t="s">
        <v>47438</v>
      </c>
    </row>
    <row r="10857" spans="1:24">
      <c r="A10857">
        <f>HYPERLINK("https://www.philgeps.gov.ph/GEPSNONPILOT/Tender/SplashBidNoticeAbstractUI.aspx?menuIndex=3&amp;refID=7145963&amp;Result=3","7145963")</f>
        <v>0</v>
      </c>
      <c r="B10857" t="s">
        <v>104</v>
      </c>
      <c r="C10857" t="s">
        <v>14103</v>
      </c>
      <c r="E10857" t="s">
        <v>28425</v>
      </c>
      <c r="F10857" t="s">
        <v>32831</v>
      </c>
      <c r="G10857" t="s">
        <v>32839</v>
      </c>
      <c r="H10857" t="s">
        <v>32848</v>
      </c>
      <c r="I10857" t="s">
        <v>32871</v>
      </c>
      <c r="J10857" t="s">
        <v>37917</v>
      </c>
      <c r="K10857" t="s">
        <v>42732</v>
      </c>
      <c r="M10857" t="s">
        <v>46604</v>
      </c>
      <c r="N10857" t="s">
        <v>47424</v>
      </c>
      <c r="O10857" t="s">
        <v>47425</v>
      </c>
      <c r="P10857">
        <v>0</v>
      </c>
      <c r="Q10857">
        <v>1</v>
      </c>
      <c r="R10857" t="s">
        <v>47432</v>
      </c>
      <c r="S10857" t="s">
        <v>47597</v>
      </c>
      <c r="T10857" t="s">
        <v>49221</v>
      </c>
      <c r="U10857" t="s">
        <v>58608</v>
      </c>
      <c r="W10857" t="s">
        <v>46604</v>
      </c>
      <c r="X10857" t="s">
        <v>47438</v>
      </c>
    </row>
    <row r="10858" spans="1:24">
      <c r="A10858">
        <f>HYPERLINK("https://www.philgeps.gov.ph/GEPSNONPILOT/Tender/SplashBidNoticeAbstractUI.aspx?menuIndex=3&amp;refID=7145941&amp;Result=3","7145941")</f>
        <v>0</v>
      </c>
      <c r="B10858" t="s">
        <v>104</v>
      </c>
      <c r="C10858" t="s">
        <v>14104</v>
      </c>
      <c r="E10858" t="s">
        <v>28426</v>
      </c>
      <c r="F10858" t="s">
        <v>32831</v>
      </c>
      <c r="G10858" t="s">
        <v>32839</v>
      </c>
      <c r="H10858" t="s">
        <v>32848</v>
      </c>
      <c r="I10858" t="s">
        <v>32871</v>
      </c>
      <c r="J10858" t="s">
        <v>39663</v>
      </c>
      <c r="K10858" t="s">
        <v>42732</v>
      </c>
      <c r="M10858" t="s">
        <v>46604</v>
      </c>
      <c r="N10858" t="s">
        <v>47424</v>
      </c>
      <c r="O10858" t="s">
        <v>47425</v>
      </c>
      <c r="P10858">
        <v>0</v>
      </c>
      <c r="Q10858">
        <v>3</v>
      </c>
      <c r="R10858" t="s">
        <v>47432</v>
      </c>
      <c r="S10858" t="s">
        <v>47597</v>
      </c>
      <c r="T10858" t="s">
        <v>49221</v>
      </c>
      <c r="U10858" t="s">
        <v>58609</v>
      </c>
      <c r="W10858" t="s">
        <v>46604</v>
      </c>
      <c r="X10858" t="s">
        <v>47438</v>
      </c>
    </row>
    <row r="10859" spans="1:24">
      <c r="A10859">
        <f>HYPERLINK("https://www.philgeps.gov.ph/GEPSNONPILOT/Tender/SplashBidNoticeAbstractUI.aspx?menuIndex=3&amp;refID=7145842&amp;Result=3","7145842")</f>
        <v>0</v>
      </c>
      <c r="B10859" t="s">
        <v>104</v>
      </c>
      <c r="C10859" t="s">
        <v>14105</v>
      </c>
      <c r="E10859" t="s">
        <v>28427</v>
      </c>
      <c r="F10859" t="s">
        <v>32831</v>
      </c>
      <c r="G10859" t="s">
        <v>32839</v>
      </c>
      <c r="H10859" t="s">
        <v>32848</v>
      </c>
      <c r="I10859" t="s">
        <v>32871</v>
      </c>
      <c r="J10859" t="s">
        <v>33508</v>
      </c>
      <c r="K10859" t="s">
        <v>42732</v>
      </c>
      <c r="M10859" t="s">
        <v>46604</v>
      </c>
      <c r="N10859" t="s">
        <v>47424</v>
      </c>
      <c r="O10859" t="s">
        <v>47425</v>
      </c>
      <c r="P10859">
        <v>0</v>
      </c>
      <c r="Q10859">
        <v>2</v>
      </c>
      <c r="R10859" t="s">
        <v>47432</v>
      </c>
      <c r="S10859" t="s">
        <v>47597</v>
      </c>
      <c r="T10859" t="s">
        <v>49221</v>
      </c>
      <c r="U10859" t="s">
        <v>58610</v>
      </c>
      <c r="W10859" t="s">
        <v>46604</v>
      </c>
      <c r="X10859" t="s">
        <v>47438</v>
      </c>
    </row>
    <row r="10860" spans="1:24">
      <c r="A10860">
        <f>HYPERLINK("https://www.philgeps.gov.ph/GEPSNONPILOT/Tender/SplashBidNoticeAbstractUI.aspx?menuIndex=3&amp;refID=7148449&amp;Result=3","7148449")</f>
        <v>0</v>
      </c>
      <c r="B10860" t="s">
        <v>2794</v>
      </c>
      <c r="C10860" t="s">
        <v>14106</v>
      </c>
      <c r="D10860" t="s">
        <v>19038</v>
      </c>
      <c r="E10860" t="s">
        <v>28428</v>
      </c>
      <c r="F10860" t="s">
        <v>32831</v>
      </c>
      <c r="G10860" t="s">
        <v>32839</v>
      </c>
      <c r="H10860" t="s">
        <v>32848</v>
      </c>
      <c r="I10860" t="s">
        <v>9577</v>
      </c>
      <c r="J10860" t="s">
        <v>39664</v>
      </c>
      <c r="K10860" t="s">
        <v>42730</v>
      </c>
      <c r="M10860" t="s">
        <v>46024</v>
      </c>
      <c r="N10860" t="s">
        <v>47424</v>
      </c>
      <c r="O10860" t="s">
        <v>47425</v>
      </c>
      <c r="P10860">
        <v>0</v>
      </c>
      <c r="Q10860">
        <v>2</v>
      </c>
      <c r="R10860" t="s">
        <v>47432</v>
      </c>
      <c r="S10860" t="s">
        <v>47597</v>
      </c>
      <c r="T10860" t="s">
        <v>49192</v>
      </c>
      <c r="U10860" t="s">
        <v>58611</v>
      </c>
      <c r="V10860" t="s">
        <v>63815</v>
      </c>
      <c r="W10860" t="s">
        <v>46024</v>
      </c>
      <c r="X10860" t="s">
        <v>47437</v>
      </c>
    </row>
    <row r="10861" spans="1:24">
      <c r="A10861">
        <f>HYPERLINK("https://www.philgeps.gov.ph/GEPSNONPILOT/Tender/SplashBidNoticeAbstractUI.aspx?menuIndex=3&amp;refID=7145458&amp;Result=3","7145458")</f>
        <v>0</v>
      </c>
      <c r="B10861" t="s">
        <v>104</v>
      </c>
      <c r="C10861" t="s">
        <v>14107</v>
      </c>
      <c r="E10861" t="s">
        <v>28429</v>
      </c>
      <c r="F10861" t="s">
        <v>32831</v>
      </c>
      <c r="G10861" t="s">
        <v>32839</v>
      </c>
      <c r="H10861" t="s">
        <v>32848</v>
      </c>
      <c r="I10861" t="s">
        <v>32871</v>
      </c>
      <c r="J10861" t="s">
        <v>32983</v>
      </c>
      <c r="K10861" t="s">
        <v>42732</v>
      </c>
      <c r="M10861" t="s">
        <v>46604</v>
      </c>
      <c r="N10861" t="s">
        <v>47424</v>
      </c>
      <c r="O10861" t="s">
        <v>47425</v>
      </c>
      <c r="P10861">
        <v>0</v>
      </c>
      <c r="Q10861">
        <v>4</v>
      </c>
      <c r="R10861" t="s">
        <v>47432</v>
      </c>
      <c r="S10861" t="s">
        <v>47597</v>
      </c>
      <c r="T10861" t="s">
        <v>49221</v>
      </c>
      <c r="U10861" t="s">
        <v>58612</v>
      </c>
      <c r="W10861" t="s">
        <v>46604</v>
      </c>
      <c r="X10861" t="s">
        <v>47438</v>
      </c>
    </row>
    <row r="10862" spans="1:24">
      <c r="A10862">
        <f>HYPERLINK("https://www.philgeps.gov.ph/GEPSNONPILOT/Tender/SplashBidNoticeAbstractUI.aspx?menuIndex=3&amp;refID=7145356&amp;Result=3","7145356")</f>
        <v>0</v>
      </c>
      <c r="B10862" t="s">
        <v>72</v>
      </c>
      <c r="C10862" t="s">
        <v>14108</v>
      </c>
      <c r="D10862" t="s">
        <v>19027</v>
      </c>
      <c r="E10862" t="s">
        <v>28430</v>
      </c>
      <c r="F10862" t="s">
        <v>32831</v>
      </c>
      <c r="G10862" t="s">
        <v>32839</v>
      </c>
      <c r="H10862" t="s">
        <v>32848</v>
      </c>
      <c r="I10862" t="s">
        <v>9577</v>
      </c>
      <c r="J10862" t="s">
        <v>39665</v>
      </c>
      <c r="K10862" t="s">
        <v>42745</v>
      </c>
      <c r="M10862" t="s">
        <v>43069</v>
      </c>
      <c r="N10862" t="s">
        <v>47424</v>
      </c>
      <c r="O10862" t="s">
        <v>47425</v>
      </c>
      <c r="P10862">
        <v>0</v>
      </c>
      <c r="Q10862">
        <v>3</v>
      </c>
      <c r="R10862" t="s">
        <v>47432</v>
      </c>
      <c r="S10862" t="s">
        <v>47597</v>
      </c>
      <c r="T10862" t="s">
        <v>49087</v>
      </c>
      <c r="U10862" t="s">
        <v>49763</v>
      </c>
      <c r="W10862" t="s">
        <v>64429</v>
      </c>
      <c r="X10862" t="s">
        <v>47438</v>
      </c>
    </row>
    <row r="10863" spans="1:24">
      <c r="A10863">
        <f>HYPERLINK("https://www.philgeps.gov.ph/GEPSNONPILOT/Tender/SplashBidNoticeAbstractUI.aspx?menuIndex=3&amp;refID=7145999&amp;Result=3","7145999")</f>
        <v>0</v>
      </c>
      <c r="B10863" t="s">
        <v>104</v>
      </c>
      <c r="C10863" t="s">
        <v>14109</v>
      </c>
      <c r="E10863" t="s">
        <v>28431</v>
      </c>
      <c r="F10863" t="s">
        <v>32831</v>
      </c>
      <c r="G10863" t="s">
        <v>32839</v>
      </c>
      <c r="H10863" t="s">
        <v>32848</v>
      </c>
      <c r="I10863" t="s">
        <v>32871</v>
      </c>
      <c r="J10863" t="s">
        <v>33018</v>
      </c>
      <c r="K10863" t="s">
        <v>42732</v>
      </c>
      <c r="M10863" t="s">
        <v>46604</v>
      </c>
      <c r="N10863" t="s">
        <v>47424</v>
      </c>
      <c r="O10863" t="s">
        <v>47425</v>
      </c>
      <c r="P10863">
        <v>0</v>
      </c>
      <c r="Q10863">
        <v>2</v>
      </c>
      <c r="R10863" t="s">
        <v>47432</v>
      </c>
      <c r="S10863" t="s">
        <v>47597</v>
      </c>
      <c r="T10863" t="s">
        <v>49221</v>
      </c>
      <c r="U10863" t="s">
        <v>58613</v>
      </c>
      <c r="W10863" t="s">
        <v>46604</v>
      </c>
      <c r="X10863" t="s">
        <v>47438</v>
      </c>
    </row>
    <row r="10864" spans="1:24">
      <c r="A10864">
        <f>HYPERLINK("https://www.philgeps.gov.ph/GEPSNONPILOT/Tender/SplashBidNoticeAbstractUI.aspx?menuIndex=3&amp;refID=7158467&amp;Result=3","7158467")</f>
        <v>0</v>
      </c>
      <c r="B10864" t="s">
        <v>254</v>
      </c>
      <c r="C10864" t="s">
        <v>14110</v>
      </c>
      <c r="D10864" t="s">
        <v>19067</v>
      </c>
      <c r="E10864" t="s">
        <v>28432</v>
      </c>
      <c r="F10864" t="s">
        <v>32833</v>
      </c>
      <c r="G10864" t="s">
        <v>32839</v>
      </c>
      <c r="H10864" t="s">
        <v>32849</v>
      </c>
      <c r="I10864" t="s">
        <v>32913</v>
      </c>
      <c r="J10864" t="s">
        <v>33087</v>
      </c>
      <c r="K10864" t="s">
        <v>42747</v>
      </c>
      <c r="L10864" t="s">
        <v>254</v>
      </c>
      <c r="M10864" t="s">
        <v>43253</v>
      </c>
      <c r="N10864" t="s">
        <v>47424</v>
      </c>
      <c r="O10864" t="s">
        <v>47425</v>
      </c>
      <c r="P10864">
        <v>0</v>
      </c>
      <c r="Q10864">
        <v>0</v>
      </c>
      <c r="R10864" t="s">
        <v>47431</v>
      </c>
      <c r="S10864" t="s">
        <v>47565</v>
      </c>
      <c r="T10864" t="s">
        <v>49160</v>
      </c>
      <c r="U10864" t="s">
        <v>58614</v>
      </c>
      <c r="W10864" t="s">
        <v>43253</v>
      </c>
      <c r="X10864" t="s">
        <v>47432</v>
      </c>
    </row>
    <row r="10865" spans="1:24">
      <c r="A10865">
        <f>HYPERLINK("https://www.philgeps.gov.ph/GEPSNONPILOT/Tender/SplashBidNoticeAbstractUI.aspx?menuIndex=3&amp;refID=7148702&amp;Result=3","7148702")</f>
        <v>0</v>
      </c>
      <c r="B10865" t="s">
        <v>49</v>
      </c>
      <c r="C10865" t="s">
        <v>14111</v>
      </c>
      <c r="D10865" t="s">
        <v>19037</v>
      </c>
      <c r="E10865" t="s">
        <v>28433</v>
      </c>
      <c r="F10865" t="s">
        <v>32831</v>
      </c>
      <c r="G10865" t="s">
        <v>32839</v>
      </c>
      <c r="H10865" t="s">
        <v>32848</v>
      </c>
      <c r="I10865" t="s">
        <v>4776</v>
      </c>
      <c r="J10865" t="s">
        <v>33424</v>
      </c>
      <c r="K10865" t="s">
        <v>42750</v>
      </c>
      <c r="M10865" t="s">
        <v>44702</v>
      </c>
      <c r="N10865" t="s">
        <v>47424</v>
      </c>
      <c r="O10865" t="s">
        <v>47425</v>
      </c>
      <c r="P10865">
        <v>0</v>
      </c>
      <c r="Q10865">
        <v>6</v>
      </c>
      <c r="R10865" t="s">
        <v>47432</v>
      </c>
      <c r="S10865" t="s">
        <v>47597</v>
      </c>
      <c r="T10865" t="s">
        <v>49319</v>
      </c>
      <c r="U10865" t="s">
        <v>58615</v>
      </c>
      <c r="V10865" t="s">
        <v>62630</v>
      </c>
      <c r="W10865" t="s">
        <v>44702</v>
      </c>
      <c r="X10865" t="s">
        <v>47436</v>
      </c>
    </row>
    <row r="10866" spans="1:24">
      <c r="A10866">
        <f>HYPERLINK("https://www.philgeps.gov.ph/GEPSNONPILOT/Tender/SplashBidNoticeAbstractUI.aspx?menuIndex=3&amp;refID=7158462&amp;Result=3","7158462")</f>
        <v>0</v>
      </c>
      <c r="B10866" t="s">
        <v>1149</v>
      </c>
      <c r="C10866" t="s">
        <v>12159</v>
      </c>
      <c r="D10866" t="s">
        <v>19079</v>
      </c>
      <c r="E10866" t="s">
        <v>28434</v>
      </c>
      <c r="F10866" t="s">
        <v>32831</v>
      </c>
      <c r="G10866" t="s">
        <v>32838</v>
      </c>
      <c r="H10866" t="s">
        <v>32848</v>
      </c>
      <c r="I10866" t="s">
        <v>4558</v>
      </c>
      <c r="J10866" t="s">
        <v>35152</v>
      </c>
      <c r="K10866" t="s">
        <v>42731</v>
      </c>
      <c r="M10866" t="s">
        <v>44914</v>
      </c>
      <c r="N10866" t="s">
        <v>47424</v>
      </c>
      <c r="O10866" t="s">
        <v>47425</v>
      </c>
      <c r="P10866">
        <v>0</v>
      </c>
      <c r="Q10866">
        <v>0</v>
      </c>
      <c r="R10866" t="s">
        <v>47431</v>
      </c>
      <c r="S10866" t="s">
        <v>47565</v>
      </c>
      <c r="T10866" t="s">
        <v>49212</v>
      </c>
      <c r="U10866" t="s">
        <v>58616</v>
      </c>
      <c r="W10866" t="s">
        <v>44914</v>
      </c>
      <c r="X10866" t="s">
        <v>47432</v>
      </c>
    </row>
    <row r="10867" spans="1:24">
      <c r="A10867">
        <f>HYPERLINK("https://www.philgeps.gov.ph/GEPSNONPILOT/Tender/SplashBidNoticeAbstractUI.aspx?menuIndex=3&amp;refID=7158459&amp;Result=3","7158459")</f>
        <v>0</v>
      </c>
      <c r="B10867" t="s">
        <v>3285</v>
      </c>
      <c r="C10867" t="s">
        <v>14112</v>
      </c>
      <c r="D10867" t="s">
        <v>19089</v>
      </c>
      <c r="E10867" t="s">
        <v>28435</v>
      </c>
      <c r="F10867" t="s">
        <v>32831</v>
      </c>
      <c r="G10867" t="s">
        <v>32839</v>
      </c>
      <c r="H10867" t="s">
        <v>32848</v>
      </c>
      <c r="I10867" t="s">
        <v>4776</v>
      </c>
      <c r="J10867" t="s">
        <v>32980</v>
      </c>
      <c r="K10867" t="s">
        <v>42731</v>
      </c>
      <c r="M10867" t="s">
        <v>46605</v>
      </c>
      <c r="N10867" t="s">
        <v>47424</v>
      </c>
      <c r="O10867" t="s">
        <v>47425</v>
      </c>
      <c r="P10867">
        <v>0</v>
      </c>
      <c r="Q10867">
        <v>0</v>
      </c>
      <c r="R10867" t="s">
        <v>47431</v>
      </c>
      <c r="S10867" t="s">
        <v>47565</v>
      </c>
      <c r="T10867" t="s">
        <v>49123</v>
      </c>
      <c r="U10867" t="s">
        <v>58617</v>
      </c>
      <c r="W10867" t="s">
        <v>46605</v>
      </c>
      <c r="X10867" t="s">
        <v>47432</v>
      </c>
    </row>
    <row r="10868" spans="1:24">
      <c r="A10868">
        <f>HYPERLINK("https://www.philgeps.gov.ph/GEPSNONPILOT/Tender/SplashBidNoticeAbstractUI.aspx?menuIndex=3&amp;refID=7158506&amp;Result=3","7158506")</f>
        <v>0</v>
      </c>
      <c r="B10868" t="s">
        <v>3286</v>
      </c>
      <c r="C10868" t="s">
        <v>14113</v>
      </c>
      <c r="D10868" t="s">
        <v>19038</v>
      </c>
      <c r="E10868" t="s">
        <v>28436</v>
      </c>
      <c r="F10868" t="s">
        <v>32831</v>
      </c>
      <c r="G10868" t="s">
        <v>32839</v>
      </c>
      <c r="H10868" t="s">
        <v>32849</v>
      </c>
      <c r="I10868" t="s">
        <v>4177</v>
      </c>
      <c r="J10868" t="s">
        <v>37626</v>
      </c>
      <c r="K10868" t="s">
        <v>42801</v>
      </c>
      <c r="M10868" t="s">
        <v>46606</v>
      </c>
      <c r="N10868" t="s">
        <v>47424</v>
      </c>
      <c r="O10868" t="s">
        <v>47425</v>
      </c>
      <c r="P10868">
        <v>0</v>
      </c>
      <c r="Q10868">
        <v>1</v>
      </c>
      <c r="R10868" t="s">
        <v>47431</v>
      </c>
      <c r="S10868" t="s">
        <v>47565</v>
      </c>
      <c r="T10868" t="s">
        <v>49056</v>
      </c>
      <c r="U10868" t="s">
        <v>58618</v>
      </c>
      <c r="W10868" t="s">
        <v>46606</v>
      </c>
      <c r="X10868" t="s">
        <v>47432</v>
      </c>
    </row>
    <row r="10869" spans="1:24">
      <c r="A10869">
        <f>HYPERLINK("https://www.philgeps.gov.ph/GEPSNONPILOT/Tender/SplashBidNoticeAbstractUI.aspx?menuIndex=3&amp;refID=7158253&amp;Result=3","7158253")</f>
        <v>0</v>
      </c>
      <c r="B10869" t="s">
        <v>2576</v>
      </c>
      <c r="C10869" t="s">
        <v>14114</v>
      </c>
      <c r="D10869" t="s">
        <v>19093</v>
      </c>
      <c r="E10869" t="s">
        <v>28437</v>
      </c>
      <c r="F10869" t="s">
        <v>32831</v>
      </c>
      <c r="G10869" t="s">
        <v>32841</v>
      </c>
      <c r="H10869" t="s">
        <v>32849</v>
      </c>
      <c r="I10869" t="s">
        <v>32948</v>
      </c>
      <c r="J10869" t="s">
        <v>39666</v>
      </c>
      <c r="K10869" t="s">
        <v>42881</v>
      </c>
      <c r="M10869" t="s">
        <v>45793</v>
      </c>
      <c r="N10869" t="s">
        <v>47424</v>
      </c>
      <c r="O10869" t="s">
        <v>47425</v>
      </c>
      <c r="P10869">
        <v>0</v>
      </c>
      <c r="Q10869">
        <v>0</v>
      </c>
      <c r="R10869" t="s">
        <v>47431</v>
      </c>
      <c r="S10869" t="s">
        <v>47565</v>
      </c>
      <c r="T10869" t="s">
        <v>49319</v>
      </c>
      <c r="U10869" t="s">
        <v>58619</v>
      </c>
      <c r="W10869" t="s">
        <v>45793</v>
      </c>
      <c r="X10869" t="s">
        <v>47432</v>
      </c>
    </row>
    <row r="10870" spans="1:24">
      <c r="A10870">
        <f>HYPERLINK("https://www.philgeps.gov.ph/GEPSNONPILOT/Tender/SplashBidNoticeAbstractUI.aspx?menuIndex=3&amp;refID=7158470&amp;Result=3","7158470")</f>
        <v>0</v>
      </c>
      <c r="B10870" t="s">
        <v>2621</v>
      </c>
      <c r="C10870" t="s">
        <v>10166</v>
      </c>
      <c r="D10870" t="s">
        <v>19038</v>
      </c>
      <c r="E10870" t="s">
        <v>28438</v>
      </c>
      <c r="F10870" t="s">
        <v>32831</v>
      </c>
      <c r="G10870" t="s">
        <v>32839</v>
      </c>
      <c r="H10870" t="s">
        <v>32849</v>
      </c>
      <c r="I10870" t="s">
        <v>4177</v>
      </c>
      <c r="J10870" t="s">
        <v>39667</v>
      </c>
      <c r="K10870" t="s">
        <v>42824</v>
      </c>
      <c r="M10870" t="s">
        <v>45840</v>
      </c>
      <c r="N10870" t="s">
        <v>47424</v>
      </c>
      <c r="O10870" t="s">
        <v>47425</v>
      </c>
      <c r="P10870">
        <v>0</v>
      </c>
      <c r="Q10870">
        <v>1</v>
      </c>
      <c r="R10870" t="s">
        <v>47431</v>
      </c>
      <c r="S10870" t="s">
        <v>47565</v>
      </c>
      <c r="T10870" t="s">
        <v>49236</v>
      </c>
      <c r="U10870" t="s">
        <v>58620</v>
      </c>
      <c r="W10870" t="s">
        <v>45840</v>
      </c>
      <c r="X10870" t="s">
        <v>47432</v>
      </c>
    </row>
    <row r="10871" spans="1:24">
      <c r="A10871">
        <f>HYPERLINK("https://www.philgeps.gov.ph/GEPSNONPILOT/Tender/SplashBidNoticeAbstractUI.aspx?menuIndex=3&amp;refID=7158247&amp;Result=3","7158247")</f>
        <v>0</v>
      </c>
      <c r="B10871" t="s">
        <v>2071</v>
      </c>
      <c r="C10871" t="s">
        <v>14115</v>
      </c>
      <c r="D10871" t="s">
        <v>19056</v>
      </c>
      <c r="E10871" t="s">
        <v>28439</v>
      </c>
      <c r="F10871" t="s">
        <v>32831</v>
      </c>
      <c r="G10871" t="s">
        <v>32838</v>
      </c>
      <c r="H10871" t="s">
        <v>32848</v>
      </c>
      <c r="I10871" t="s">
        <v>32906</v>
      </c>
      <c r="J10871" t="s">
        <v>39668</v>
      </c>
      <c r="K10871" t="s">
        <v>42730</v>
      </c>
      <c r="M10871" t="s">
        <v>45241</v>
      </c>
      <c r="N10871" t="s">
        <v>47424</v>
      </c>
      <c r="O10871" t="s">
        <v>47425</v>
      </c>
      <c r="P10871">
        <v>0</v>
      </c>
      <c r="Q10871">
        <v>1</v>
      </c>
      <c r="R10871" t="s">
        <v>47431</v>
      </c>
      <c r="S10871" t="s">
        <v>47565</v>
      </c>
      <c r="T10871" t="s">
        <v>49056</v>
      </c>
      <c r="U10871" t="s">
        <v>54448</v>
      </c>
      <c r="W10871" t="s">
        <v>45241</v>
      </c>
      <c r="X10871" t="s">
        <v>47432</v>
      </c>
    </row>
    <row r="10872" spans="1:24">
      <c r="A10872">
        <f>HYPERLINK("https://www.philgeps.gov.ph/GEPSNONPILOT/Tender/SplashBidNoticeAbstractUI.aspx?menuIndex=3&amp;refID=7145332&amp;Result=3","7145332")</f>
        <v>0</v>
      </c>
      <c r="B10872" t="s">
        <v>1016</v>
      </c>
      <c r="C10872" t="s">
        <v>14116</v>
      </c>
      <c r="D10872" t="s">
        <v>19062</v>
      </c>
      <c r="E10872" t="s">
        <v>28440</v>
      </c>
      <c r="F10872" t="s">
        <v>32831</v>
      </c>
      <c r="G10872" t="s">
        <v>32838</v>
      </c>
      <c r="H10872" t="s">
        <v>32848</v>
      </c>
      <c r="I10872" t="s">
        <v>32853</v>
      </c>
      <c r="J10872" t="s">
        <v>39669</v>
      </c>
      <c r="K10872" t="s">
        <v>42727</v>
      </c>
      <c r="M10872" t="s">
        <v>44066</v>
      </c>
      <c r="N10872" t="s">
        <v>47424</v>
      </c>
      <c r="O10872" t="s">
        <v>47425</v>
      </c>
      <c r="P10872">
        <v>0</v>
      </c>
      <c r="Q10872">
        <v>0</v>
      </c>
      <c r="R10872" t="s">
        <v>47432</v>
      </c>
      <c r="S10872" t="s">
        <v>47597</v>
      </c>
      <c r="T10872" t="s">
        <v>49141</v>
      </c>
      <c r="U10872" t="s">
        <v>58621</v>
      </c>
      <c r="V10872" t="s">
        <v>63816</v>
      </c>
      <c r="W10872" t="s">
        <v>44066</v>
      </c>
      <c r="X10872" t="s">
        <v>47438</v>
      </c>
    </row>
    <row r="10873" spans="1:24">
      <c r="A10873">
        <f>HYPERLINK("https://www.philgeps.gov.ph/GEPSNONPILOT/Tender/SplashBidNoticeAbstractUI.aspx?menuIndex=3&amp;refID=7158243&amp;Result=3","7158243")</f>
        <v>0</v>
      </c>
      <c r="B10873" t="s">
        <v>410</v>
      </c>
      <c r="C10873" t="s">
        <v>14117</v>
      </c>
      <c r="D10873" t="s">
        <v>19031</v>
      </c>
      <c r="E10873" t="s">
        <v>28441</v>
      </c>
      <c r="F10873" t="s">
        <v>32831</v>
      </c>
      <c r="G10873" t="s">
        <v>32839</v>
      </c>
      <c r="H10873" t="s">
        <v>32848</v>
      </c>
      <c r="I10873" t="s">
        <v>32867</v>
      </c>
      <c r="J10873" t="s">
        <v>33131</v>
      </c>
      <c r="K10873" t="s">
        <v>42730</v>
      </c>
      <c r="M10873" t="s">
        <v>43415</v>
      </c>
      <c r="N10873" t="s">
        <v>47424</v>
      </c>
      <c r="O10873" t="s">
        <v>47425</v>
      </c>
      <c r="P10873">
        <v>0</v>
      </c>
      <c r="Q10873">
        <v>3</v>
      </c>
      <c r="R10873" t="s">
        <v>47431</v>
      </c>
      <c r="S10873" t="s">
        <v>47565</v>
      </c>
      <c r="T10873" t="s">
        <v>49080</v>
      </c>
      <c r="U10873" t="s">
        <v>58622</v>
      </c>
      <c r="V10873" t="s">
        <v>63817</v>
      </c>
      <c r="W10873" t="s">
        <v>43415</v>
      </c>
      <c r="X10873" t="s">
        <v>47432</v>
      </c>
    </row>
    <row r="10874" spans="1:24">
      <c r="A10874">
        <f>HYPERLINK("https://www.philgeps.gov.ph/GEPSNONPILOT/Tender/SplashBidNoticeAbstractUI.aspx?menuIndex=3&amp;refID=7158248&amp;Result=3","7158248")</f>
        <v>0</v>
      </c>
      <c r="B10874" t="s">
        <v>2586</v>
      </c>
      <c r="C10874" t="s">
        <v>14118</v>
      </c>
      <c r="D10874" t="s">
        <v>19020</v>
      </c>
      <c r="E10874" t="s">
        <v>28442</v>
      </c>
      <c r="F10874" t="s">
        <v>32831</v>
      </c>
      <c r="G10874" t="s">
        <v>32842</v>
      </c>
      <c r="H10874" t="s">
        <v>32848</v>
      </c>
      <c r="I10874" t="s">
        <v>32860</v>
      </c>
      <c r="J10874" t="s">
        <v>33600</v>
      </c>
      <c r="K10874" t="s">
        <v>42726</v>
      </c>
      <c r="M10874" t="s">
        <v>45805</v>
      </c>
      <c r="N10874" t="s">
        <v>47424</v>
      </c>
      <c r="O10874" t="s">
        <v>47425</v>
      </c>
      <c r="P10874">
        <v>0</v>
      </c>
      <c r="Q10874">
        <v>5</v>
      </c>
      <c r="R10874" t="s">
        <v>47431</v>
      </c>
      <c r="S10874" t="s">
        <v>47565</v>
      </c>
      <c r="T10874" t="s">
        <v>49214</v>
      </c>
      <c r="U10874" t="s">
        <v>58623</v>
      </c>
      <c r="W10874" t="s">
        <v>45805</v>
      </c>
      <c r="X10874" t="s">
        <v>47432</v>
      </c>
    </row>
    <row r="10875" spans="1:24">
      <c r="A10875">
        <f>HYPERLINK("https://www.philgeps.gov.ph/GEPSNONPILOT/Tender/SplashBidNoticeAbstractUI.aspx?menuIndex=3&amp;refID=7148539&amp;Result=3","7148539")</f>
        <v>0</v>
      </c>
      <c r="B10875" t="s">
        <v>3287</v>
      </c>
      <c r="C10875" t="s">
        <v>14119</v>
      </c>
      <c r="D10875" t="s">
        <v>19090</v>
      </c>
      <c r="E10875" t="s">
        <v>28443</v>
      </c>
      <c r="F10875" t="s">
        <v>32831</v>
      </c>
      <c r="G10875" t="s">
        <v>32839</v>
      </c>
      <c r="H10875" t="s">
        <v>32849</v>
      </c>
      <c r="I10875" t="s">
        <v>4177</v>
      </c>
      <c r="J10875" t="s">
        <v>33032</v>
      </c>
      <c r="K10875" t="s">
        <v>42728</v>
      </c>
      <c r="M10875" t="s">
        <v>46607</v>
      </c>
      <c r="N10875" t="s">
        <v>47424</v>
      </c>
      <c r="O10875" t="s">
        <v>47425</v>
      </c>
      <c r="P10875">
        <v>0</v>
      </c>
      <c r="Q10875">
        <v>0</v>
      </c>
      <c r="R10875" t="s">
        <v>47436</v>
      </c>
      <c r="S10875" t="s">
        <v>47702</v>
      </c>
      <c r="T10875" t="s">
        <v>49106</v>
      </c>
      <c r="U10875" t="s">
        <v>58624</v>
      </c>
      <c r="W10875" t="s">
        <v>46607</v>
      </c>
      <c r="X10875" t="s">
        <v>47437</v>
      </c>
    </row>
    <row r="10876" spans="1:24">
      <c r="A10876">
        <f>HYPERLINK("https://www.philgeps.gov.ph/GEPSNONPILOT/Tender/SplashBidNoticeAbstractUI.aspx?menuIndex=3&amp;refID=7143253&amp;Result=3","7143253")</f>
        <v>0</v>
      </c>
      <c r="B10876" t="s">
        <v>1618</v>
      </c>
      <c r="C10876" t="s">
        <v>14120</v>
      </c>
      <c r="D10876" t="s">
        <v>19035</v>
      </c>
      <c r="E10876" t="s">
        <v>28444</v>
      </c>
      <c r="F10876" t="s">
        <v>32831</v>
      </c>
      <c r="G10876" t="s">
        <v>32839</v>
      </c>
      <c r="H10876" t="s">
        <v>32849</v>
      </c>
      <c r="I10876" t="s">
        <v>4177</v>
      </c>
      <c r="J10876" t="s">
        <v>39670</v>
      </c>
      <c r="K10876" t="s">
        <v>42763</v>
      </c>
      <c r="M10876" t="s">
        <v>46608</v>
      </c>
      <c r="N10876" t="s">
        <v>47424</v>
      </c>
      <c r="O10876" t="s">
        <v>47425</v>
      </c>
      <c r="P10876">
        <v>0</v>
      </c>
      <c r="Q10876">
        <v>0</v>
      </c>
      <c r="R10876" t="s">
        <v>47437</v>
      </c>
      <c r="S10876" t="s">
        <v>47706</v>
      </c>
      <c r="T10876" t="s">
        <v>49120</v>
      </c>
      <c r="U10876" t="s">
        <v>58625</v>
      </c>
      <c r="W10876" t="s">
        <v>46608</v>
      </c>
      <c r="X10876" t="s">
        <v>47439</v>
      </c>
    </row>
    <row r="10877" spans="1:24">
      <c r="A10877">
        <f>HYPERLINK("https://www.philgeps.gov.ph/GEPSNONPILOT/Tender/SplashBidNoticeAbstractUI.aspx?menuIndex=3&amp;refID=7158252&amp;Result=3","7158252")</f>
        <v>0</v>
      </c>
      <c r="B10877" t="s">
        <v>2071</v>
      </c>
      <c r="C10877" t="s">
        <v>14121</v>
      </c>
      <c r="D10877" t="s">
        <v>19056</v>
      </c>
      <c r="E10877" t="s">
        <v>28445</v>
      </c>
      <c r="F10877" t="s">
        <v>32831</v>
      </c>
      <c r="G10877" t="s">
        <v>32838</v>
      </c>
      <c r="H10877" t="s">
        <v>32848</v>
      </c>
      <c r="I10877" t="s">
        <v>4438</v>
      </c>
      <c r="J10877" t="s">
        <v>39671</v>
      </c>
      <c r="K10877" t="s">
        <v>42730</v>
      </c>
      <c r="M10877" t="s">
        <v>45241</v>
      </c>
      <c r="N10877" t="s">
        <v>47424</v>
      </c>
      <c r="O10877" t="s">
        <v>47425</v>
      </c>
      <c r="P10877">
        <v>0</v>
      </c>
      <c r="Q10877">
        <v>0</v>
      </c>
      <c r="R10877" t="s">
        <v>47431</v>
      </c>
      <c r="S10877" t="s">
        <v>47565</v>
      </c>
      <c r="T10877" t="s">
        <v>49056</v>
      </c>
      <c r="U10877" t="s">
        <v>54448</v>
      </c>
      <c r="W10877" t="s">
        <v>45241</v>
      </c>
      <c r="X10877" t="s">
        <v>47432</v>
      </c>
    </row>
    <row r="10878" spans="1:24">
      <c r="A10878">
        <f>HYPERLINK("https://www.philgeps.gov.ph/GEPSNONPILOT/Tender/SplashBidNoticeAbstractUI.aspx?menuIndex=3&amp;refID=7143241&amp;Result=3","7143241")</f>
        <v>0</v>
      </c>
      <c r="B10878" t="s">
        <v>1618</v>
      </c>
      <c r="C10878" t="s">
        <v>14122</v>
      </c>
      <c r="D10878" t="s">
        <v>19035</v>
      </c>
      <c r="E10878" t="s">
        <v>28446</v>
      </c>
      <c r="F10878" t="s">
        <v>32831</v>
      </c>
      <c r="G10878" t="s">
        <v>32839</v>
      </c>
      <c r="H10878" t="s">
        <v>32849</v>
      </c>
      <c r="I10878" t="s">
        <v>4177</v>
      </c>
      <c r="J10878" t="s">
        <v>39672</v>
      </c>
      <c r="K10878" t="s">
        <v>42763</v>
      </c>
      <c r="M10878" t="s">
        <v>46608</v>
      </c>
      <c r="N10878" t="s">
        <v>47424</v>
      </c>
      <c r="O10878" t="s">
        <v>47425</v>
      </c>
      <c r="P10878">
        <v>0</v>
      </c>
      <c r="Q10878">
        <v>0</v>
      </c>
      <c r="R10878" t="s">
        <v>47437</v>
      </c>
      <c r="S10878" t="s">
        <v>47706</v>
      </c>
      <c r="T10878" t="s">
        <v>49120</v>
      </c>
      <c r="U10878" t="s">
        <v>58626</v>
      </c>
      <c r="W10878" t="s">
        <v>46608</v>
      </c>
      <c r="X10878" t="s">
        <v>47439</v>
      </c>
    </row>
    <row r="10879" spans="1:24">
      <c r="A10879">
        <f>HYPERLINK("https://www.philgeps.gov.ph/GEPSNONPILOT/Tender/SplashBidNoticeAbstractUI.aspx?menuIndex=3&amp;refID=7143216&amp;Result=3","7143216")</f>
        <v>0</v>
      </c>
      <c r="B10879" t="s">
        <v>1618</v>
      </c>
      <c r="C10879" t="s">
        <v>14123</v>
      </c>
      <c r="D10879" t="s">
        <v>19035</v>
      </c>
      <c r="E10879" t="s">
        <v>28447</v>
      </c>
      <c r="F10879" t="s">
        <v>32831</v>
      </c>
      <c r="G10879" t="s">
        <v>32839</v>
      </c>
      <c r="H10879" t="s">
        <v>32849</v>
      </c>
      <c r="I10879" t="s">
        <v>4177</v>
      </c>
      <c r="J10879" t="s">
        <v>39673</v>
      </c>
      <c r="K10879" t="s">
        <v>42747</v>
      </c>
      <c r="M10879" t="s">
        <v>46608</v>
      </c>
      <c r="N10879" t="s">
        <v>47424</v>
      </c>
      <c r="O10879" t="s">
        <v>47425</v>
      </c>
      <c r="P10879">
        <v>0</v>
      </c>
      <c r="Q10879">
        <v>1</v>
      </c>
      <c r="R10879" t="s">
        <v>47437</v>
      </c>
      <c r="S10879" t="s">
        <v>47706</v>
      </c>
      <c r="T10879" t="s">
        <v>49120</v>
      </c>
      <c r="U10879" t="s">
        <v>58627</v>
      </c>
      <c r="W10879" t="s">
        <v>46608</v>
      </c>
      <c r="X10879" t="s">
        <v>47439</v>
      </c>
    </row>
    <row r="10880" spans="1:24">
      <c r="A10880">
        <f>HYPERLINK("https://www.philgeps.gov.ph/GEPSNONPILOT/Tender/SplashBidNoticeAbstractUI.aspx?menuIndex=3&amp;refID=7158457&amp;Result=3","7158457")</f>
        <v>0</v>
      </c>
      <c r="B10880" t="s">
        <v>3288</v>
      </c>
      <c r="C10880" t="s">
        <v>14124</v>
      </c>
      <c r="D10880" t="s">
        <v>19017</v>
      </c>
      <c r="E10880" t="s">
        <v>26151</v>
      </c>
      <c r="F10880" t="s">
        <v>32831</v>
      </c>
      <c r="G10880" t="s">
        <v>32840</v>
      </c>
      <c r="H10880" t="s">
        <v>32848</v>
      </c>
      <c r="I10880" t="s">
        <v>32858</v>
      </c>
      <c r="J10880" t="s">
        <v>33178</v>
      </c>
      <c r="K10880" t="s">
        <v>42748</v>
      </c>
      <c r="M10880" t="s">
        <v>46609</v>
      </c>
      <c r="N10880" t="s">
        <v>47424</v>
      </c>
      <c r="O10880" t="s">
        <v>47425</v>
      </c>
      <c r="P10880">
        <v>0</v>
      </c>
      <c r="Q10880">
        <v>7</v>
      </c>
      <c r="R10880" t="s">
        <v>47431</v>
      </c>
      <c r="S10880" t="s">
        <v>47565</v>
      </c>
      <c r="T10880" t="s">
        <v>49141</v>
      </c>
      <c r="U10880" t="s">
        <v>58628</v>
      </c>
      <c r="W10880" t="s">
        <v>46609</v>
      </c>
      <c r="X10880" t="s">
        <v>47432</v>
      </c>
    </row>
    <row r="10881" spans="1:24">
      <c r="A10881">
        <f>HYPERLINK("https://www.philgeps.gov.ph/GEPSNONPILOT/Tender/SplashBidNoticeAbstractUI.aspx?menuIndex=3&amp;refID=7143165&amp;Result=3","7143165")</f>
        <v>0</v>
      </c>
      <c r="B10881" t="s">
        <v>1618</v>
      </c>
      <c r="C10881" t="s">
        <v>14125</v>
      </c>
      <c r="D10881" t="s">
        <v>19035</v>
      </c>
      <c r="E10881" t="s">
        <v>28448</v>
      </c>
      <c r="F10881" t="s">
        <v>32831</v>
      </c>
      <c r="G10881" t="s">
        <v>32839</v>
      </c>
      <c r="H10881" t="s">
        <v>32849</v>
      </c>
      <c r="I10881" t="s">
        <v>4177</v>
      </c>
      <c r="J10881" t="s">
        <v>39674</v>
      </c>
      <c r="K10881" t="s">
        <v>42757</v>
      </c>
      <c r="M10881" t="s">
        <v>46608</v>
      </c>
      <c r="N10881" t="s">
        <v>47424</v>
      </c>
      <c r="O10881" t="s">
        <v>47425</v>
      </c>
      <c r="P10881">
        <v>0</v>
      </c>
      <c r="Q10881">
        <v>0</v>
      </c>
      <c r="R10881" t="s">
        <v>47437</v>
      </c>
      <c r="S10881" t="s">
        <v>47706</v>
      </c>
      <c r="T10881" t="s">
        <v>49120</v>
      </c>
      <c r="U10881" t="s">
        <v>58629</v>
      </c>
      <c r="W10881" t="s">
        <v>46608</v>
      </c>
      <c r="X10881" t="s">
        <v>47439</v>
      </c>
    </row>
    <row r="10882" spans="1:24">
      <c r="A10882">
        <f>HYPERLINK("https://www.philgeps.gov.ph/GEPSNONPILOT/Tender/SplashBidNoticeAbstractUI.aspx?menuIndex=3&amp;refID=7143202&amp;Result=3","7143202")</f>
        <v>0</v>
      </c>
      <c r="B10882" t="s">
        <v>1618</v>
      </c>
      <c r="C10882" t="s">
        <v>14126</v>
      </c>
      <c r="D10882" t="s">
        <v>19035</v>
      </c>
      <c r="E10882" t="s">
        <v>28449</v>
      </c>
      <c r="F10882" t="s">
        <v>32831</v>
      </c>
      <c r="G10882" t="s">
        <v>32839</v>
      </c>
      <c r="H10882" t="s">
        <v>32849</v>
      </c>
      <c r="I10882" t="s">
        <v>4177</v>
      </c>
      <c r="J10882" t="s">
        <v>39675</v>
      </c>
      <c r="K10882" t="s">
        <v>42729</v>
      </c>
      <c r="M10882" t="s">
        <v>46608</v>
      </c>
      <c r="N10882" t="s">
        <v>47424</v>
      </c>
      <c r="O10882" t="s">
        <v>47425</v>
      </c>
      <c r="P10882">
        <v>0</v>
      </c>
      <c r="Q10882">
        <v>1</v>
      </c>
      <c r="R10882" t="s">
        <v>47437</v>
      </c>
      <c r="S10882" t="s">
        <v>47706</v>
      </c>
      <c r="T10882" t="s">
        <v>49120</v>
      </c>
      <c r="U10882" t="s">
        <v>58630</v>
      </c>
      <c r="W10882" t="s">
        <v>46608</v>
      </c>
      <c r="X10882" t="s">
        <v>47439</v>
      </c>
    </row>
    <row r="10883" spans="1:24">
      <c r="A10883">
        <f>HYPERLINK("https://www.philgeps.gov.ph/GEPSNONPILOT/Tender/SplashBidNoticeAbstractUI.aspx?menuIndex=3&amp;refID=7143010&amp;Result=3","7143010")</f>
        <v>0</v>
      </c>
      <c r="B10883" t="s">
        <v>3289</v>
      </c>
      <c r="C10883" t="s">
        <v>14127</v>
      </c>
      <c r="D10883" t="s">
        <v>19083</v>
      </c>
      <c r="E10883" t="s">
        <v>28450</v>
      </c>
      <c r="F10883" t="s">
        <v>32831</v>
      </c>
      <c r="G10883" t="s">
        <v>32845</v>
      </c>
      <c r="H10883" t="s">
        <v>32849</v>
      </c>
      <c r="I10883" t="s">
        <v>4177</v>
      </c>
      <c r="J10883" t="s">
        <v>32978</v>
      </c>
      <c r="K10883" t="s">
        <v>42770</v>
      </c>
      <c r="M10883" t="s">
        <v>46610</v>
      </c>
      <c r="N10883" t="s">
        <v>47424</v>
      </c>
      <c r="O10883" t="s">
        <v>47425</v>
      </c>
      <c r="P10883">
        <v>0</v>
      </c>
      <c r="Q10883">
        <v>0</v>
      </c>
      <c r="R10883" t="s">
        <v>47437</v>
      </c>
      <c r="S10883" t="s">
        <v>47706</v>
      </c>
      <c r="T10883" t="s">
        <v>49398</v>
      </c>
      <c r="U10883" t="s">
        <v>58631</v>
      </c>
      <c r="W10883" t="s">
        <v>46610</v>
      </c>
      <c r="X10883" t="s">
        <v>47439</v>
      </c>
    </row>
    <row r="10884" spans="1:24">
      <c r="A10884">
        <f>HYPERLINK("https://www.philgeps.gov.ph/GEPSNONPILOT/Tender/SplashBidNoticeAbstractUI.aspx?menuIndex=3&amp;refID=7142929&amp;Result=3","7142929")</f>
        <v>0</v>
      </c>
      <c r="B10884" t="s">
        <v>3290</v>
      </c>
      <c r="C10884" t="s">
        <v>14128</v>
      </c>
      <c r="D10884" t="s">
        <v>19052</v>
      </c>
      <c r="E10884" t="s">
        <v>20585</v>
      </c>
      <c r="F10884" t="s">
        <v>32831</v>
      </c>
      <c r="G10884" t="s">
        <v>32839</v>
      </c>
      <c r="H10884" t="s">
        <v>32848</v>
      </c>
      <c r="I10884" t="s">
        <v>7751</v>
      </c>
      <c r="J10884" t="s">
        <v>39676</v>
      </c>
      <c r="K10884" t="s">
        <v>42729</v>
      </c>
      <c r="M10884" t="s">
        <v>46611</v>
      </c>
      <c r="N10884" t="s">
        <v>47424</v>
      </c>
      <c r="O10884" t="s">
        <v>47425</v>
      </c>
      <c r="P10884">
        <v>0</v>
      </c>
      <c r="Q10884">
        <v>3</v>
      </c>
      <c r="R10884" t="s">
        <v>47437</v>
      </c>
      <c r="S10884" t="s">
        <v>47706</v>
      </c>
      <c r="T10884" t="s">
        <v>49080</v>
      </c>
      <c r="U10884" t="s">
        <v>58632</v>
      </c>
      <c r="W10884" t="s">
        <v>46611</v>
      </c>
      <c r="X10884" t="s">
        <v>47439</v>
      </c>
    </row>
    <row r="10885" spans="1:24">
      <c r="A10885">
        <f>HYPERLINK("https://www.philgeps.gov.ph/GEPSNONPILOT/Tender/SplashBidNoticeAbstractUI.aspx?menuIndex=3&amp;refID=7143226&amp;Result=3","7143226")</f>
        <v>0</v>
      </c>
      <c r="B10885" t="s">
        <v>1618</v>
      </c>
      <c r="C10885" t="s">
        <v>14129</v>
      </c>
      <c r="D10885" t="s">
        <v>19035</v>
      </c>
      <c r="E10885" t="s">
        <v>28451</v>
      </c>
      <c r="F10885" t="s">
        <v>32831</v>
      </c>
      <c r="G10885" t="s">
        <v>32839</v>
      </c>
      <c r="H10885" t="s">
        <v>32849</v>
      </c>
      <c r="I10885" t="s">
        <v>4177</v>
      </c>
      <c r="J10885" t="s">
        <v>39670</v>
      </c>
      <c r="K10885" t="s">
        <v>42763</v>
      </c>
      <c r="M10885" t="s">
        <v>46608</v>
      </c>
      <c r="N10885" t="s">
        <v>47424</v>
      </c>
      <c r="O10885" t="s">
        <v>47425</v>
      </c>
      <c r="P10885">
        <v>0</v>
      </c>
      <c r="Q10885">
        <v>1</v>
      </c>
      <c r="R10885" t="s">
        <v>47437</v>
      </c>
      <c r="S10885" t="s">
        <v>47706</v>
      </c>
      <c r="T10885" t="s">
        <v>49120</v>
      </c>
      <c r="U10885" t="s">
        <v>58633</v>
      </c>
      <c r="W10885" t="s">
        <v>46608</v>
      </c>
      <c r="X10885" t="s">
        <v>47439</v>
      </c>
    </row>
    <row r="10886" spans="1:24">
      <c r="A10886">
        <f>HYPERLINK("https://www.philgeps.gov.ph/GEPSNONPILOT/Tender/SplashBidNoticeAbstractUI.aspx?menuIndex=3&amp;refID=7143266&amp;Result=3","7143266")</f>
        <v>0</v>
      </c>
      <c r="B10886" t="s">
        <v>1618</v>
      </c>
      <c r="C10886" t="s">
        <v>14130</v>
      </c>
      <c r="D10886" t="s">
        <v>19035</v>
      </c>
      <c r="E10886" t="s">
        <v>28452</v>
      </c>
      <c r="F10886" t="s">
        <v>32831</v>
      </c>
      <c r="G10886" t="s">
        <v>32839</v>
      </c>
      <c r="H10886" t="s">
        <v>32849</v>
      </c>
      <c r="I10886" t="s">
        <v>4177</v>
      </c>
      <c r="J10886" t="s">
        <v>39672</v>
      </c>
      <c r="K10886" t="s">
        <v>42728</v>
      </c>
      <c r="M10886" t="s">
        <v>46608</v>
      </c>
      <c r="N10886" t="s">
        <v>47424</v>
      </c>
      <c r="O10886" t="s">
        <v>47425</v>
      </c>
      <c r="P10886">
        <v>0</v>
      </c>
      <c r="Q10886">
        <v>0</v>
      </c>
      <c r="R10886" t="s">
        <v>47437</v>
      </c>
      <c r="S10886" t="s">
        <v>47706</v>
      </c>
      <c r="T10886" t="s">
        <v>49120</v>
      </c>
      <c r="U10886" t="s">
        <v>58634</v>
      </c>
      <c r="W10886" t="s">
        <v>46608</v>
      </c>
      <c r="X10886" t="s">
        <v>47439</v>
      </c>
    </row>
    <row r="10887" spans="1:24">
      <c r="A10887">
        <f>HYPERLINK("https://www.philgeps.gov.ph/GEPSNONPILOT/Tender/SplashBidNoticeAbstractUI.aspx?menuIndex=3&amp;refID=7142791&amp;Result=3","7142791")</f>
        <v>0</v>
      </c>
      <c r="B10887" t="s">
        <v>3291</v>
      </c>
      <c r="C10887" t="s">
        <v>14131</v>
      </c>
      <c r="D10887" t="s">
        <v>19045</v>
      </c>
      <c r="E10887" t="s">
        <v>28453</v>
      </c>
      <c r="F10887" t="s">
        <v>32831</v>
      </c>
      <c r="G10887" t="s">
        <v>32839</v>
      </c>
      <c r="H10887" t="s">
        <v>32848</v>
      </c>
      <c r="I10887" t="s">
        <v>32864</v>
      </c>
      <c r="J10887" t="s">
        <v>39677</v>
      </c>
      <c r="K10887" t="s">
        <v>42745</v>
      </c>
      <c r="M10887" t="s">
        <v>46612</v>
      </c>
      <c r="N10887" t="s">
        <v>47424</v>
      </c>
      <c r="O10887" t="s">
        <v>47425</v>
      </c>
      <c r="Q10887">
        <v>19</v>
      </c>
      <c r="R10887" t="s">
        <v>47437</v>
      </c>
      <c r="S10887" t="s">
        <v>47726</v>
      </c>
      <c r="T10887" t="s">
        <v>49063</v>
      </c>
      <c r="U10887" t="s">
        <v>58635</v>
      </c>
      <c r="W10887" t="s">
        <v>46612</v>
      </c>
      <c r="X10887" t="s">
        <v>47439</v>
      </c>
    </row>
    <row r="10888" spans="1:24">
      <c r="A10888">
        <f>HYPERLINK("https://www.philgeps.gov.ph/GEPSNONPILOT/Tender/SplashBidNoticeAbstractUI.aspx?menuIndex=3&amp;refID=7144360&amp;Result=3","7144360")</f>
        <v>0</v>
      </c>
      <c r="B10888" t="s">
        <v>171</v>
      </c>
      <c r="C10888" t="s">
        <v>14132</v>
      </c>
      <c r="D10888" t="s">
        <v>19076</v>
      </c>
      <c r="E10888" t="s">
        <v>28454</v>
      </c>
      <c r="F10888" t="s">
        <v>32831</v>
      </c>
      <c r="G10888" t="s">
        <v>32839</v>
      </c>
      <c r="H10888" t="s">
        <v>32848</v>
      </c>
      <c r="I10888" t="s">
        <v>32859</v>
      </c>
      <c r="J10888" t="s">
        <v>39678</v>
      </c>
      <c r="K10888" t="s">
        <v>42747</v>
      </c>
      <c r="M10888" t="s">
        <v>43168</v>
      </c>
      <c r="N10888" t="s">
        <v>47424</v>
      </c>
      <c r="O10888" t="s">
        <v>47425</v>
      </c>
      <c r="P10888">
        <v>0</v>
      </c>
      <c r="Q10888">
        <v>1</v>
      </c>
      <c r="R10888" t="s">
        <v>47437</v>
      </c>
      <c r="S10888" t="s">
        <v>47706</v>
      </c>
      <c r="T10888" t="s">
        <v>49192</v>
      </c>
      <c r="U10888" t="s">
        <v>58636</v>
      </c>
      <c r="W10888" t="s">
        <v>64432</v>
      </c>
      <c r="X10888" t="s">
        <v>47439</v>
      </c>
    </row>
    <row r="10889" spans="1:24">
      <c r="A10889">
        <f>HYPERLINK("https://www.philgeps.gov.ph/GEPSNONPILOT/Tender/SplashBidNoticeAbstractUI.aspx?menuIndex=3&amp;refID=7143184&amp;Result=3","7143184")</f>
        <v>0</v>
      </c>
      <c r="B10889" t="s">
        <v>1618</v>
      </c>
      <c r="C10889" t="s">
        <v>14133</v>
      </c>
      <c r="D10889" t="s">
        <v>19035</v>
      </c>
      <c r="E10889" t="s">
        <v>28455</v>
      </c>
      <c r="F10889" t="s">
        <v>32831</v>
      </c>
      <c r="G10889" t="s">
        <v>32839</v>
      </c>
      <c r="H10889" t="s">
        <v>32849</v>
      </c>
      <c r="I10889" t="s">
        <v>4177</v>
      </c>
      <c r="J10889" t="s">
        <v>39679</v>
      </c>
      <c r="K10889" t="s">
        <v>42747</v>
      </c>
      <c r="M10889" t="s">
        <v>46608</v>
      </c>
      <c r="N10889" t="s">
        <v>47424</v>
      </c>
      <c r="O10889" t="s">
        <v>47425</v>
      </c>
      <c r="P10889">
        <v>0</v>
      </c>
      <c r="Q10889">
        <v>0</v>
      </c>
      <c r="R10889" t="s">
        <v>47437</v>
      </c>
      <c r="S10889" t="s">
        <v>47706</v>
      </c>
      <c r="T10889" t="s">
        <v>49120</v>
      </c>
      <c r="U10889" t="s">
        <v>58637</v>
      </c>
      <c r="W10889" t="s">
        <v>46608</v>
      </c>
      <c r="X10889" t="s">
        <v>47439</v>
      </c>
    </row>
    <row r="10890" spans="1:24">
      <c r="A10890">
        <f>HYPERLINK("https://www.philgeps.gov.ph/GEPSNONPILOT/Tender/SplashBidNoticeAbstractUI.aspx?menuIndex=3&amp;refID=7144717&amp;Result=3","7144717")</f>
        <v>0</v>
      </c>
      <c r="B10890" t="s">
        <v>980</v>
      </c>
      <c r="C10890" t="s">
        <v>14134</v>
      </c>
      <c r="D10890" t="s">
        <v>19022</v>
      </c>
      <c r="E10890" t="s">
        <v>28456</v>
      </c>
      <c r="F10890" t="s">
        <v>32831</v>
      </c>
      <c r="G10890" t="s">
        <v>32839</v>
      </c>
      <c r="H10890" t="s">
        <v>32849</v>
      </c>
      <c r="I10890" t="s">
        <v>4177</v>
      </c>
      <c r="J10890" t="s">
        <v>38388</v>
      </c>
      <c r="K10890" t="s">
        <v>42914</v>
      </c>
      <c r="M10890" t="s">
        <v>44029</v>
      </c>
      <c r="N10890" t="s">
        <v>47424</v>
      </c>
      <c r="O10890" t="s">
        <v>47425</v>
      </c>
      <c r="P10890">
        <v>0</v>
      </c>
      <c r="Q10890">
        <v>9</v>
      </c>
      <c r="R10890" t="s">
        <v>47437</v>
      </c>
      <c r="S10890" t="s">
        <v>47706</v>
      </c>
      <c r="T10890" t="s">
        <v>49059</v>
      </c>
      <c r="U10890" t="s">
        <v>58638</v>
      </c>
      <c r="W10890" t="s">
        <v>44029</v>
      </c>
      <c r="X10890" t="s">
        <v>47439</v>
      </c>
    </row>
    <row r="10891" spans="1:24">
      <c r="A10891">
        <f>HYPERLINK("https://www.philgeps.gov.ph/GEPSNONPILOT/Tender/SplashBidNoticeAbstractUI.aspx?menuIndex=3&amp;refID=7144626&amp;Result=3","7144626")</f>
        <v>0</v>
      </c>
      <c r="B10891" t="s">
        <v>3292</v>
      </c>
      <c r="C10891" t="s">
        <v>14135</v>
      </c>
      <c r="D10891" t="s">
        <v>19078</v>
      </c>
      <c r="E10891" t="s">
        <v>27522</v>
      </c>
      <c r="F10891" t="s">
        <v>32831</v>
      </c>
      <c r="G10891" t="s">
        <v>32839</v>
      </c>
      <c r="H10891" t="s">
        <v>32849</v>
      </c>
      <c r="I10891" t="s">
        <v>4177</v>
      </c>
      <c r="J10891" t="s">
        <v>39680</v>
      </c>
      <c r="K10891" t="s">
        <v>42757</v>
      </c>
      <c r="M10891" t="s">
        <v>46613</v>
      </c>
      <c r="N10891" t="s">
        <v>47424</v>
      </c>
      <c r="O10891" t="s">
        <v>47425</v>
      </c>
      <c r="P10891">
        <v>0</v>
      </c>
      <c r="Q10891">
        <v>1</v>
      </c>
      <c r="R10891" t="s">
        <v>47437</v>
      </c>
      <c r="S10891" t="s">
        <v>47706</v>
      </c>
      <c r="T10891" t="s">
        <v>49063</v>
      </c>
      <c r="U10891" t="s">
        <v>58639</v>
      </c>
      <c r="W10891" t="s">
        <v>46613</v>
      </c>
      <c r="X10891" t="s">
        <v>47439</v>
      </c>
    </row>
    <row r="10892" spans="1:24">
      <c r="A10892">
        <f>HYPERLINK("https://www.philgeps.gov.ph/GEPSNONPILOT/Tender/SplashBidNoticeAbstractUI.aspx?menuIndex=3&amp;refID=7158465&amp;Result=3","7158465")</f>
        <v>0</v>
      </c>
      <c r="B10892" t="s">
        <v>254</v>
      </c>
      <c r="C10892" t="s">
        <v>14136</v>
      </c>
      <c r="D10892" t="s">
        <v>19067</v>
      </c>
      <c r="E10892" t="s">
        <v>28457</v>
      </c>
      <c r="F10892" t="s">
        <v>32833</v>
      </c>
      <c r="G10892" t="s">
        <v>32839</v>
      </c>
      <c r="H10892" t="s">
        <v>32848</v>
      </c>
      <c r="I10892" t="s">
        <v>32851</v>
      </c>
      <c r="J10892" t="s">
        <v>33118</v>
      </c>
      <c r="K10892" t="s">
        <v>42742</v>
      </c>
      <c r="L10892" t="s">
        <v>254</v>
      </c>
      <c r="M10892" t="s">
        <v>43253</v>
      </c>
      <c r="N10892" t="s">
        <v>47424</v>
      </c>
      <c r="O10892" t="s">
        <v>47425</v>
      </c>
      <c r="P10892">
        <v>0</v>
      </c>
      <c r="Q10892">
        <v>6</v>
      </c>
      <c r="R10892" t="s">
        <v>47431</v>
      </c>
      <c r="S10892" t="s">
        <v>47565</v>
      </c>
      <c r="T10892" t="s">
        <v>49160</v>
      </c>
      <c r="U10892" t="s">
        <v>58640</v>
      </c>
      <c r="W10892" t="s">
        <v>43253</v>
      </c>
      <c r="X10892" t="s">
        <v>47432</v>
      </c>
    </row>
    <row r="10893" spans="1:24">
      <c r="A10893">
        <f>HYPERLINK("https://www.philgeps.gov.ph/GEPSNONPILOT/Tender/SplashBidNoticeAbstractUI.aspx?menuIndex=3&amp;refID=7144515&amp;Result=3","7144515")</f>
        <v>0</v>
      </c>
      <c r="B10893" t="s">
        <v>3292</v>
      </c>
      <c r="C10893" t="s">
        <v>14137</v>
      </c>
      <c r="D10893" t="s">
        <v>19078</v>
      </c>
      <c r="E10893" t="s">
        <v>23482</v>
      </c>
      <c r="F10893" t="s">
        <v>32831</v>
      </c>
      <c r="G10893" t="s">
        <v>32839</v>
      </c>
      <c r="H10893" t="s">
        <v>32849</v>
      </c>
      <c r="I10893" t="s">
        <v>4177</v>
      </c>
      <c r="J10893" t="s">
        <v>39681</v>
      </c>
      <c r="K10893" t="s">
        <v>42730</v>
      </c>
      <c r="M10893" t="s">
        <v>46613</v>
      </c>
      <c r="N10893" t="s">
        <v>47424</v>
      </c>
      <c r="O10893" t="s">
        <v>47425</v>
      </c>
      <c r="P10893">
        <v>0</v>
      </c>
      <c r="Q10893">
        <v>1</v>
      </c>
      <c r="R10893" t="s">
        <v>47437</v>
      </c>
      <c r="S10893" t="s">
        <v>47706</v>
      </c>
      <c r="T10893" t="s">
        <v>49063</v>
      </c>
      <c r="U10893" t="s">
        <v>58641</v>
      </c>
      <c r="W10893" t="s">
        <v>46613</v>
      </c>
      <c r="X10893" t="s">
        <v>47439</v>
      </c>
    </row>
    <row r="10894" spans="1:24">
      <c r="A10894">
        <f>HYPERLINK("https://www.philgeps.gov.ph/GEPSNONPILOT/Tender/SplashBidNoticeAbstractUI.aspx?menuIndex=3&amp;refID=7144470&amp;Result=3","7144470")</f>
        <v>0</v>
      </c>
      <c r="B10894" t="s">
        <v>3292</v>
      </c>
      <c r="C10894" t="s">
        <v>14138</v>
      </c>
      <c r="D10894" t="s">
        <v>19078</v>
      </c>
      <c r="E10894" t="s">
        <v>19654</v>
      </c>
      <c r="F10894" t="s">
        <v>32831</v>
      </c>
      <c r="G10894" t="s">
        <v>32839</v>
      </c>
      <c r="H10894" t="s">
        <v>32848</v>
      </c>
      <c r="I10894" t="s">
        <v>32875</v>
      </c>
      <c r="J10894" t="s">
        <v>39682</v>
      </c>
      <c r="K10894" t="s">
        <v>42763</v>
      </c>
      <c r="M10894" t="s">
        <v>46613</v>
      </c>
      <c r="N10894" t="s">
        <v>47424</v>
      </c>
      <c r="O10894" t="s">
        <v>47425</v>
      </c>
      <c r="P10894">
        <v>0</v>
      </c>
      <c r="Q10894">
        <v>3</v>
      </c>
      <c r="R10894" t="s">
        <v>47437</v>
      </c>
      <c r="S10894" t="s">
        <v>47706</v>
      </c>
      <c r="T10894" t="s">
        <v>49063</v>
      </c>
      <c r="U10894" t="s">
        <v>58642</v>
      </c>
      <c r="W10894" t="s">
        <v>46613</v>
      </c>
      <c r="X10894" t="s">
        <v>47439</v>
      </c>
    </row>
    <row r="10895" spans="1:24">
      <c r="A10895">
        <f>HYPERLINK("https://www.philgeps.gov.ph/GEPSNONPILOT/Tender/SplashBidNoticeAbstractUI.aspx?menuIndex=3&amp;refID=7142838&amp;Result=3","7142838")</f>
        <v>0</v>
      </c>
      <c r="B10895" t="s">
        <v>3291</v>
      </c>
      <c r="C10895" t="s">
        <v>14139</v>
      </c>
      <c r="D10895" t="s">
        <v>19045</v>
      </c>
      <c r="E10895" t="s">
        <v>28458</v>
      </c>
      <c r="F10895" t="s">
        <v>32831</v>
      </c>
      <c r="G10895" t="s">
        <v>32839</v>
      </c>
      <c r="H10895" t="s">
        <v>32848</v>
      </c>
      <c r="I10895" t="s">
        <v>32860</v>
      </c>
      <c r="J10895" t="s">
        <v>39683</v>
      </c>
      <c r="K10895" t="s">
        <v>42730</v>
      </c>
      <c r="M10895" t="s">
        <v>46612</v>
      </c>
      <c r="N10895" t="s">
        <v>47424</v>
      </c>
      <c r="O10895" t="s">
        <v>47425</v>
      </c>
      <c r="P10895">
        <v>0</v>
      </c>
      <c r="Q10895">
        <v>14</v>
      </c>
      <c r="R10895" t="s">
        <v>47437</v>
      </c>
      <c r="S10895" t="s">
        <v>47706</v>
      </c>
      <c r="T10895" t="s">
        <v>49288</v>
      </c>
      <c r="U10895" t="s">
        <v>58643</v>
      </c>
      <c r="W10895" t="s">
        <v>46612</v>
      </c>
      <c r="X10895" t="s">
        <v>47439</v>
      </c>
    </row>
    <row r="10896" spans="1:24">
      <c r="A10896">
        <f>HYPERLINK("https://www.philgeps.gov.ph/GEPSNONPILOT/Tender/SplashBidNoticeAbstractUI.aspx?menuIndex=3&amp;refID=7145902&amp;Result=3","7145902")</f>
        <v>0</v>
      </c>
      <c r="B10896" t="s">
        <v>104</v>
      </c>
      <c r="C10896" t="s">
        <v>14140</v>
      </c>
      <c r="E10896" t="s">
        <v>28459</v>
      </c>
      <c r="F10896" t="s">
        <v>32831</v>
      </c>
      <c r="G10896" t="s">
        <v>32839</v>
      </c>
      <c r="H10896" t="s">
        <v>32848</v>
      </c>
      <c r="I10896" t="s">
        <v>32871</v>
      </c>
      <c r="J10896" t="s">
        <v>39684</v>
      </c>
      <c r="K10896" t="s">
        <v>42732</v>
      </c>
      <c r="M10896" t="s">
        <v>46604</v>
      </c>
      <c r="N10896" t="s">
        <v>47424</v>
      </c>
      <c r="O10896" t="s">
        <v>47425</v>
      </c>
      <c r="P10896">
        <v>0</v>
      </c>
      <c r="Q10896">
        <v>6</v>
      </c>
      <c r="R10896" t="s">
        <v>47432</v>
      </c>
      <c r="S10896" t="s">
        <v>47597</v>
      </c>
      <c r="T10896" t="s">
        <v>49221</v>
      </c>
      <c r="U10896" t="s">
        <v>58644</v>
      </c>
      <c r="W10896" t="s">
        <v>46604</v>
      </c>
      <c r="X10896" t="s">
        <v>47438</v>
      </c>
    </row>
    <row r="10897" spans="1:24">
      <c r="A10897">
        <f>HYPERLINK("https://www.philgeps.gov.ph/GEPSNONPILOT/Tender/SplashBidNoticeAbstractUI.aspx?menuIndex=3&amp;refID=7144381&amp;Result=3","7144381")</f>
        <v>0</v>
      </c>
      <c r="B10897" t="s">
        <v>3292</v>
      </c>
      <c r="C10897" t="s">
        <v>14141</v>
      </c>
      <c r="D10897" t="s">
        <v>19078</v>
      </c>
      <c r="E10897" t="s">
        <v>21296</v>
      </c>
      <c r="F10897" t="s">
        <v>32831</v>
      </c>
      <c r="G10897" t="s">
        <v>32839</v>
      </c>
      <c r="H10897" t="s">
        <v>32848</v>
      </c>
      <c r="I10897" t="s">
        <v>32883</v>
      </c>
      <c r="J10897" t="s">
        <v>39685</v>
      </c>
      <c r="K10897" t="s">
        <v>42763</v>
      </c>
      <c r="M10897" t="s">
        <v>46613</v>
      </c>
      <c r="N10897" t="s">
        <v>47424</v>
      </c>
      <c r="O10897" t="s">
        <v>47425</v>
      </c>
      <c r="P10897">
        <v>0</v>
      </c>
      <c r="Q10897">
        <v>4</v>
      </c>
      <c r="R10897" t="s">
        <v>47437</v>
      </c>
      <c r="S10897" t="s">
        <v>47706</v>
      </c>
      <c r="T10897" t="s">
        <v>49063</v>
      </c>
      <c r="U10897" t="s">
        <v>58645</v>
      </c>
      <c r="W10897" t="s">
        <v>46613</v>
      </c>
      <c r="X10897" t="s">
        <v>47439</v>
      </c>
    </row>
    <row r="10898" spans="1:24">
      <c r="A10898">
        <f>HYPERLINK("https://www.philgeps.gov.ph/GEPSNONPILOT/Tender/SplashBidNoticeAbstractUI.aspx?menuIndex=3&amp;refID=7144240&amp;Result=3","7144240")</f>
        <v>0</v>
      </c>
      <c r="B10898" t="s">
        <v>618</v>
      </c>
      <c r="C10898" t="s">
        <v>14142</v>
      </c>
      <c r="D10898" t="s">
        <v>19084</v>
      </c>
      <c r="E10898" t="s">
        <v>28460</v>
      </c>
      <c r="F10898" t="s">
        <v>32831</v>
      </c>
      <c r="G10898" t="s">
        <v>32839</v>
      </c>
      <c r="H10898" t="s">
        <v>32849</v>
      </c>
      <c r="I10898" t="s">
        <v>4177</v>
      </c>
      <c r="J10898" t="s">
        <v>39686</v>
      </c>
      <c r="K10898" t="s">
        <v>42799</v>
      </c>
      <c r="M10898" t="s">
        <v>43634</v>
      </c>
      <c r="N10898" t="s">
        <v>47424</v>
      </c>
      <c r="O10898" t="s">
        <v>47425</v>
      </c>
      <c r="P10898">
        <v>0</v>
      </c>
      <c r="Q10898">
        <v>2</v>
      </c>
      <c r="R10898" t="s">
        <v>47437</v>
      </c>
      <c r="S10898" t="s">
        <v>47706</v>
      </c>
      <c r="T10898" t="s">
        <v>49236</v>
      </c>
      <c r="U10898" t="s">
        <v>58646</v>
      </c>
      <c r="V10898" t="s">
        <v>63818</v>
      </c>
      <c r="W10898" t="s">
        <v>43634</v>
      </c>
      <c r="X10898" t="s">
        <v>47439</v>
      </c>
    </row>
    <row r="10899" spans="1:24">
      <c r="A10899">
        <f>HYPERLINK("https://www.philgeps.gov.ph/GEPSNONPILOT/Tender/SplashBidNoticeAbstractUI.aspx?menuIndex=3&amp;refID=7144570&amp;Result=3","7144570")</f>
        <v>0</v>
      </c>
      <c r="B10899" t="s">
        <v>3292</v>
      </c>
      <c r="C10899" t="s">
        <v>14143</v>
      </c>
      <c r="D10899" t="s">
        <v>19078</v>
      </c>
      <c r="E10899" t="s">
        <v>24188</v>
      </c>
      <c r="F10899" t="s">
        <v>32831</v>
      </c>
      <c r="G10899" t="s">
        <v>32839</v>
      </c>
      <c r="H10899" t="s">
        <v>32849</v>
      </c>
      <c r="I10899" t="s">
        <v>4177</v>
      </c>
      <c r="J10899" t="s">
        <v>39687</v>
      </c>
      <c r="K10899" t="s">
        <v>42746</v>
      </c>
      <c r="M10899" t="s">
        <v>46613</v>
      </c>
      <c r="N10899" t="s">
        <v>47424</v>
      </c>
      <c r="O10899" t="s">
        <v>47425</v>
      </c>
      <c r="P10899">
        <v>0</v>
      </c>
      <c r="Q10899">
        <v>1</v>
      </c>
      <c r="R10899" t="s">
        <v>47437</v>
      </c>
      <c r="S10899" t="s">
        <v>47706</v>
      </c>
      <c r="T10899" t="s">
        <v>49063</v>
      </c>
      <c r="U10899" t="s">
        <v>58647</v>
      </c>
      <c r="W10899" t="s">
        <v>46613</v>
      </c>
      <c r="X10899" t="s">
        <v>47439</v>
      </c>
    </row>
    <row r="10900" spans="1:24">
      <c r="A10900">
        <f>HYPERLINK("https://www.philgeps.gov.ph/GEPSNONPILOT/Tender/SplashBidNoticeAbstractUI.aspx?menuIndex=3&amp;refID=7144174&amp;Result=3","7144174")</f>
        <v>0</v>
      </c>
      <c r="B10900" t="s">
        <v>67</v>
      </c>
      <c r="C10900" t="s">
        <v>14144</v>
      </c>
      <c r="D10900" t="s">
        <v>19079</v>
      </c>
      <c r="E10900" t="s">
        <v>28461</v>
      </c>
      <c r="F10900" t="s">
        <v>32831</v>
      </c>
      <c r="G10900" t="s">
        <v>32839</v>
      </c>
      <c r="H10900" t="s">
        <v>32849</v>
      </c>
      <c r="I10900" t="s">
        <v>4177</v>
      </c>
      <c r="J10900" t="s">
        <v>39688</v>
      </c>
      <c r="K10900" t="s">
        <v>42773</v>
      </c>
      <c r="M10900" t="s">
        <v>43346</v>
      </c>
      <c r="N10900" t="s">
        <v>47424</v>
      </c>
      <c r="O10900" t="s">
        <v>47425</v>
      </c>
      <c r="P10900">
        <v>0</v>
      </c>
      <c r="Q10900">
        <v>2</v>
      </c>
      <c r="R10900" t="s">
        <v>47437</v>
      </c>
      <c r="S10900" t="s">
        <v>47706</v>
      </c>
      <c r="T10900" t="s">
        <v>49427</v>
      </c>
      <c r="U10900" t="s">
        <v>58648</v>
      </c>
      <c r="W10900" t="s">
        <v>43346</v>
      </c>
      <c r="X10900" t="s">
        <v>47439</v>
      </c>
    </row>
    <row r="10901" spans="1:24">
      <c r="A10901">
        <f>HYPERLINK("https://www.philgeps.gov.ph/GEPSNONPILOT/Tender/SplashBidNoticeAbstractUI.aspx?menuIndex=3&amp;refID=7144322&amp;Result=3","7144322")</f>
        <v>0</v>
      </c>
      <c r="B10901" t="s">
        <v>618</v>
      </c>
      <c r="C10901" t="s">
        <v>14145</v>
      </c>
      <c r="D10901" t="s">
        <v>19084</v>
      </c>
      <c r="E10901" t="s">
        <v>28462</v>
      </c>
      <c r="F10901" t="s">
        <v>32831</v>
      </c>
      <c r="G10901" t="s">
        <v>32839</v>
      </c>
      <c r="H10901" t="s">
        <v>32849</v>
      </c>
      <c r="I10901" t="s">
        <v>4177</v>
      </c>
      <c r="J10901" t="s">
        <v>39689</v>
      </c>
      <c r="K10901" t="s">
        <v>42799</v>
      </c>
      <c r="M10901" t="s">
        <v>43634</v>
      </c>
      <c r="N10901" t="s">
        <v>47424</v>
      </c>
      <c r="O10901" t="s">
        <v>47425</v>
      </c>
      <c r="P10901">
        <v>0</v>
      </c>
      <c r="Q10901">
        <v>3</v>
      </c>
      <c r="R10901" t="s">
        <v>47437</v>
      </c>
      <c r="S10901" t="s">
        <v>47706</v>
      </c>
      <c r="T10901" t="s">
        <v>49236</v>
      </c>
      <c r="U10901" t="s">
        <v>58649</v>
      </c>
      <c r="V10901" t="s">
        <v>63819</v>
      </c>
      <c r="W10901" t="s">
        <v>43634</v>
      </c>
      <c r="X10901" t="s">
        <v>47439</v>
      </c>
    </row>
    <row r="10902" spans="1:24">
      <c r="A10902">
        <f>HYPERLINK("https://www.philgeps.gov.ph/GEPSNONPILOT/Tender/SplashBidNoticeAbstractUI.aspx?menuIndex=3&amp;refID=7143623&amp;Result=3","7143623")</f>
        <v>0</v>
      </c>
      <c r="B10902" t="s">
        <v>3293</v>
      </c>
      <c r="C10902" t="s">
        <v>14146</v>
      </c>
      <c r="D10902" t="s">
        <v>19062</v>
      </c>
      <c r="E10902" t="s">
        <v>28463</v>
      </c>
      <c r="F10902" t="s">
        <v>32831</v>
      </c>
      <c r="G10902" t="s">
        <v>32840</v>
      </c>
      <c r="H10902" t="s">
        <v>32848</v>
      </c>
      <c r="I10902" t="s">
        <v>32858</v>
      </c>
      <c r="J10902" t="s">
        <v>39690</v>
      </c>
      <c r="K10902" t="s">
        <v>42758</v>
      </c>
      <c r="M10902" t="s">
        <v>46614</v>
      </c>
      <c r="N10902" t="s">
        <v>47424</v>
      </c>
      <c r="O10902" t="s">
        <v>47425</v>
      </c>
      <c r="Q10902">
        <v>0</v>
      </c>
      <c r="R10902" t="s">
        <v>47437</v>
      </c>
      <c r="S10902" t="s">
        <v>47727</v>
      </c>
      <c r="T10902" t="s">
        <v>49161</v>
      </c>
      <c r="U10902" t="s">
        <v>58650</v>
      </c>
      <c r="V10902" t="s">
        <v>63820</v>
      </c>
      <c r="W10902" t="s">
        <v>46614</v>
      </c>
      <c r="X10902" t="s">
        <v>47439</v>
      </c>
    </row>
    <row r="10903" spans="1:24">
      <c r="A10903">
        <f>HYPERLINK("https://www.philgeps.gov.ph/GEPSNONPILOT/Tender/SplashBidNoticeAbstractUI.aspx?menuIndex=3&amp;refID=7143592&amp;Result=3","7143592")</f>
        <v>0</v>
      </c>
      <c r="B10903" t="s">
        <v>341</v>
      </c>
      <c r="C10903" t="s">
        <v>14147</v>
      </c>
      <c r="D10903" t="s">
        <v>19035</v>
      </c>
      <c r="E10903" t="s">
        <v>28464</v>
      </c>
      <c r="F10903" t="s">
        <v>32831</v>
      </c>
      <c r="G10903" t="s">
        <v>32839</v>
      </c>
      <c r="H10903" t="s">
        <v>32849</v>
      </c>
      <c r="I10903" t="s">
        <v>4177</v>
      </c>
      <c r="J10903" t="s">
        <v>39691</v>
      </c>
      <c r="K10903" t="s">
        <v>42830</v>
      </c>
      <c r="M10903" t="s">
        <v>43344</v>
      </c>
      <c r="N10903" t="s">
        <v>47424</v>
      </c>
      <c r="O10903" t="s">
        <v>47425</v>
      </c>
      <c r="P10903">
        <v>0</v>
      </c>
      <c r="Q10903">
        <v>5</v>
      </c>
      <c r="R10903" t="s">
        <v>47437</v>
      </c>
      <c r="S10903" t="s">
        <v>47706</v>
      </c>
      <c r="T10903" t="s">
        <v>49173</v>
      </c>
      <c r="U10903" t="s">
        <v>58651</v>
      </c>
      <c r="W10903" t="s">
        <v>43344</v>
      </c>
      <c r="X10903" t="s">
        <v>47439</v>
      </c>
    </row>
    <row r="10904" spans="1:24">
      <c r="A10904">
        <f>HYPERLINK("https://www.philgeps.gov.ph/GEPSNONPILOT/Tender/SplashBidNoticeAbstractUI.aspx?menuIndex=3&amp;refID=7144168&amp;Result=3","7144168")</f>
        <v>0</v>
      </c>
      <c r="B10904" t="s">
        <v>618</v>
      </c>
      <c r="C10904" t="s">
        <v>14148</v>
      </c>
      <c r="D10904" t="s">
        <v>19084</v>
      </c>
      <c r="E10904" t="s">
        <v>28465</v>
      </c>
      <c r="F10904" t="s">
        <v>32831</v>
      </c>
      <c r="G10904" t="s">
        <v>32839</v>
      </c>
      <c r="H10904" t="s">
        <v>32849</v>
      </c>
      <c r="I10904" t="s">
        <v>4177</v>
      </c>
      <c r="J10904" t="s">
        <v>39692</v>
      </c>
      <c r="K10904" t="s">
        <v>42766</v>
      </c>
      <c r="M10904" t="s">
        <v>43634</v>
      </c>
      <c r="N10904" t="s">
        <v>47424</v>
      </c>
      <c r="O10904" t="s">
        <v>47425</v>
      </c>
      <c r="P10904">
        <v>0</v>
      </c>
      <c r="Q10904">
        <v>4</v>
      </c>
      <c r="R10904" t="s">
        <v>47437</v>
      </c>
      <c r="S10904" t="s">
        <v>47706</v>
      </c>
      <c r="T10904" t="s">
        <v>49236</v>
      </c>
      <c r="U10904" t="s">
        <v>58652</v>
      </c>
      <c r="V10904" t="s">
        <v>63821</v>
      </c>
      <c r="W10904" t="s">
        <v>43634</v>
      </c>
      <c r="X10904" t="s">
        <v>47439</v>
      </c>
    </row>
    <row r="10905" spans="1:24">
      <c r="A10905">
        <f>HYPERLINK("https://www.philgeps.gov.ph/GEPSNONPILOT/Tender/SplashBidNoticeAbstractUI.aspx?menuIndex=3&amp;refID=7143299&amp;Result=3","7143299")</f>
        <v>0</v>
      </c>
      <c r="B10905" t="s">
        <v>1618</v>
      </c>
      <c r="C10905" t="s">
        <v>14149</v>
      </c>
      <c r="D10905" t="s">
        <v>19035</v>
      </c>
      <c r="E10905" t="s">
        <v>28466</v>
      </c>
      <c r="F10905" t="s">
        <v>32831</v>
      </c>
      <c r="G10905" t="s">
        <v>32839</v>
      </c>
      <c r="H10905" t="s">
        <v>32849</v>
      </c>
      <c r="I10905" t="s">
        <v>4177</v>
      </c>
      <c r="J10905" t="s">
        <v>39693</v>
      </c>
      <c r="K10905" t="s">
        <v>42763</v>
      </c>
      <c r="M10905" t="s">
        <v>46608</v>
      </c>
      <c r="N10905" t="s">
        <v>47424</v>
      </c>
      <c r="O10905" t="s">
        <v>47425</v>
      </c>
      <c r="P10905">
        <v>0</v>
      </c>
      <c r="Q10905">
        <v>0</v>
      </c>
      <c r="R10905" t="s">
        <v>47437</v>
      </c>
      <c r="S10905" t="s">
        <v>47706</v>
      </c>
      <c r="T10905" t="s">
        <v>49120</v>
      </c>
      <c r="U10905" t="s">
        <v>58653</v>
      </c>
      <c r="W10905" t="s">
        <v>46608</v>
      </c>
      <c r="X10905" t="s">
        <v>47439</v>
      </c>
    </row>
    <row r="10906" spans="1:24">
      <c r="A10906">
        <f>HYPERLINK("https://www.philgeps.gov.ph/GEPSNONPILOT/Tender/SplashBidNoticeAbstractUI.aspx?menuIndex=3&amp;refID=7144603&amp;Result=3","7144603")</f>
        <v>0</v>
      </c>
      <c r="B10906" t="s">
        <v>2566</v>
      </c>
      <c r="C10906" t="s">
        <v>14150</v>
      </c>
      <c r="D10906" t="s">
        <v>19088</v>
      </c>
      <c r="E10906" t="s">
        <v>28467</v>
      </c>
      <c r="F10906" t="s">
        <v>32831</v>
      </c>
      <c r="G10906" t="s">
        <v>32839</v>
      </c>
      <c r="H10906" t="s">
        <v>32848</v>
      </c>
      <c r="I10906" t="s">
        <v>32858</v>
      </c>
      <c r="J10906" t="s">
        <v>39694</v>
      </c>
      <c r="K10906" t="s">
        <v>42763</v>
      </c>
      <c r="M10906" t="s">
        <v>45782</v>
      </c>
      <c r="N10906" t="s">
        <v>47424</v>
      </c>
      <c r="O10906" t="s">
        <v>47425</v>
      </c>
      <c r="P10906">
        <v>0</v>
      </c>
      <c r="Q10906">
        <v>2</v>
      </c>
      <c r="R10906" t="s">
        <v>47437</v>
      </c>
      <c r="S10906" t="s">
        <v>47706</v>
      </c>
      <c r="T10906" t="s">
        <v>49196</v>
      </c>
      <c r="U10906" t="s">
        <v>58654</v>
      </c>
      <c r="W10906" t="s">
        <v>45782</v>
      </c>
      <c r="X10906" t="s">
        <v>47439</v>
      </c>
    </row>
    <row r="10907" spans="1:24">
      <c r="A10907">
        <f>HYPERLINK("https://www.philgeps.gov.ph/GEPSNONPILOT/Tender/SplashBidNoticeAbstractUI.aspx?menuIndex=3&amp;refID=7143279&amp;Result=3","7143279")</f>
        <v>0</v>
      </c>
      <c r="B10907" t="s">
        <v>1618</v>
      </c>
      <c r="C10907" t="s">
        <v>14151</v>
      </c>
      <c r="D10907" t="s">
        <v>19035</v>
      </c>
      <c r="E10907" t="s">
        <v>28468</v>
      </c>
      <c r="F10907" t="s">
        <v>32831</v>
      </c>
      <c r="G10907" t="s">
        <v>32839</v>
      </c>
      <c r="H10907" t="s">
        <v>32849</v>
      </c>
      <c r="I10907" t="s">
        <v>4177</v>
      </c>
      <c r="J10907" t="s">
        <v>39695</v>
      </c>
      <c r="K10907" t="s">
        <v>42770</v>
      </c>
      <c r="M10907" t="s">
        <v>46608</v>
      </c>
      <c r="N10907" t="s">
        <v>47424</v>
      </c>
      <c r="O10907" t="s">
        <v>47425</v>
      </c>
      <c r="P10907">
        <v>0</v>
      </c>
      <c r="Q10907">
        <v>0</v>
      </c>
      <c r="R10907" t="s">
        <v>47437</v>
      </c>
      <c r="S10907" t="s">
        <v>47706</v>
      </c>
      <c r="T10907" t="s">
        <v>49120</v>
      </c>
      <c r="U10907" t="s">
        <v>58655</v>
      </c>
      <c r="W10907" t="s">
        <v>46608</v>
      </c>
      <c r="X10907" t="s">
        <v>47439</v>
      </c>
    </row>
    <row r="10908" spans="1:24">
      <c r="A10908">
        <f>HYPERLINK("https://www.philgeps.gov.ph/GEPSNONPILOT/Tender/SplashBidNoticeAbstractUI.aspx?menuIndex=3&amp;refID=7143394&amp;Result=3","7143394")</f>
        <v>0</v>
      </c>
      <c r="B10908" t="s">
        <v>341</v>
      </c>
      <c r="C10908" t="s">
        <v>14152</v>
      </c>
      <c r="D10908" t="s">
        <v>19035</v>
      </c>
      <c r="E10908" t="s">
        <v>19437</v>
      </c>
      <c r="F10908" t="s">
        <v>32831</v>
      </c>
      <c r="G10908" t="s">
        <v>32839</v>
      </c>
      <c r="H10908" t="s">
        <v>32848</v>
      </c>
      <c r="I10908" t="s">
        <v>4222</v>
      </c>
      <c r="J10908" t="s">
        <v>39696</v>
      </c>
      <c r="K10908" t="s">
        <v>42738</v>
      </c>
      <c r="M10908" t="s">
        <v>43344</v>
      </c>
      <c r="N10908" t="s">
        <v>47424</v>
      </c>
      <c r="O10908" t="s">
        <v>47425</v>
      </c>
      <c r="P10908">
        <v>0</v>
      </c>
      <c r="Q10908">
        <v>3</v>
      </c>
      <c r="R10908" t="s">
        <v>47437</v>
      </c>
      <c r="S10908" t="s">
        <v>47706</v>
      </c>
      <c r="T10908" t="s">
        <v>49192</v>
      </c>
      <c r="U10908" t="s">
        <v>58656</v>
      </c>
      <c r="W10908" t="s">
        <v>43344</v>
      </c>
      <c r="X10908" t="s">
        <v>47439</v>
      </c>
    </row>
    <row r="10909" spans="1:24">
      <c r="A10909">
        <f>HYPERLINK("https://www.philgeps.gov.ph/GEPSNONPILOT/Tender/SplashBidNoticeAbstractUI.aspx?menuIndex=3&amp;refID=7144049&amp;Result=3","7144049")</f>
        <v>0</v>
      </c>
      <c r="B10909" t="s">
        <v>3294</v>
      </c>
      <c r="C10909" t="s">
        <v>14153</v>
      </c>
      <c r="D10909" t="s">
        <v>19077</v>
      </c>
      <c r="E10909" t="s">
        <v>28469</v>
      </c>
      <c r="F10909" t="s">
        <v>32831</v>
      </c>
      <c r="G10909" t="s">
        <v>32839</v>
      </c>
      <c r="H10909" t="s">
        <v>32848</v>
      </c>
      <c r="I10909" t="s">
        <v>7416</v>
      </c>
      <c r="J10909" t="s">
        <v>39697</v>
      </c>
      <c r="K10909" t="s">
        <v>42745</v>
      </c>
      <c r="M10909" t="s">
        <v>46615</v>
      </c>
      <c r="N10909" t="s">
        <v>47424</v>
      </c>
      <c r="O10909" t="s">
        <v>47425</v>
      </c>
      <c r="P10909">
        <v>0</v>
      </c>
      <c r="Q10909">
        <v>2</v>
      </c>
      <c r="R10909" t="s">
        <v>47437</v>
      </c>
      <c r="S10909" t="s">
        <v>47706</v>
      </c>
      <c r="T10909" t="s">
        <v>49057</v>
      </c>
      <c r="U10909" t="s">
        <v>58657</v>
      </c>
      <c r="V10909" t="s">
        <v>63822</v>
      </c>
      <c r="W10909" t="s">
        <v>46615</v>
      </c>
      <c r="X10909" t="s">
        <v>47439</v>
      </c>
    </row>
    <row r="10910" spans="1:24">
      <c r="A10910">
        <f>HYPERLINK("https://www.philgeps.gov.ph/GEPSNONPILOT/Tender/SplashBidNoticeAbstractUI.aspx?menuIndex=3&amp;refID=7143809&amp;Result=3","7143809")</f>
        <v>0</v>
      </c>
      <c r="B10910" t="s">
        <v>1607</v>
      </c>
      <c r="C10910" t="s">
        <v>14154</v>
      </c>
      <c r="D10910" t="s">
        <v>19048</v>
      </c>
      <c r="E10910" t="s">
        <v>28470</v>
      </c>
      <c r="F10910" t="s">
        <v>32831</v>
      </c>
      <c r="G10910" t="s">
        <v>32839</v>
      </c>
      <c r="H10910" t="s">
        <v>32848</v>
      </c>
      <c r="I10910" t="s">
        <v>32855</v>
      </c>
      <c r="J10910" t="s">
        <v>39698</v>
      </c>
      <c r="K10910" t="s">
        <v>42727</v>
      </c>
      <c r="M10910" t="s">
        <v>44723</v>
      </c>
      <c r="N10910" t="s">
        <v>47424</v>
      </c>
      <c r="O10910" t="s">
        <v>47425</v>
      </c>
      <c r="P10910">
        <v>0</v>
      </c>
      <c r="Q10910">
        <v>1</v>
      </c>
      <c r="R10910" t="s">
        <v>47437</v>
      </c>
      <c r="S10910" t="s">
        <v>47706</v>
      </c>
      <c r="T10910" t="s">
        <v>49142</v>
      </c>
      <c r="U10910" t="s">
        <v>58658</v>
      </c>
      <c r="W10910" t="s">
        <v>44723</v>
      </c>
      <c r="X10910" t="s">
        <v>47439</v>
      </c>
    </row>
    <row r="10911" spans="1:24">
      <c r="A10911">
        <f>HYPERLINK("https://www.philgeps.gov.ph/GEPSNONPILOT/Tender/SplashBidNoticeAbstractUI.aspx?menuIndex=3&amp;refID=7142163&amp;Result=3","7142163")</f>
        <v>0</v>
      </c>
      <c r="B10911" t="s">
        <v>1149</v>
      </c>
      <c r="C10911" t="s">
        <v>14155</v>
      </c>
      <c r="D10911" t="s">
        <v>19079</v>
      </c>
      <c r="E10911" t="s">
        <v>23300</v>
      </c>
      <c r="F10911" t="s">
        <v>32831</v>
      </c>
      <c r="G10911" t="s">
        <v>32839</v>
      </c>
      <c r="H10911" t="s">
        <v>32849</v>
      </c>
      <c r="I10911" t="s">
        <v>4177</v>
      </c>
      <c r="J10911" t="s">
        <v>34447</v>
      </c>
      <c r="K10911" t="s">
        <v>42829</v>
      </c>
      <c r="M10911" t="s">
        <v>44985</v>
      </c>
      <c r="N10911" t="s">
        <v>47424</v>
      </c>
      <c r="O10911" t="s">
        <v>47425</v>
      </c>
      <c r="P10911">
        <v>0</v>
      </c>
      <c r="Q10911">
        <v>0</v>
      </c>
      <c r="R10911" t="s">
        <v>47437</v>
      </c>
      <c r="S10911" t="s">
        <v>47706</v>
      </c>
      <c r="T10911" t="s">
        <v>49262</v>
      </c>
      <c r="U10911" t="s">
        <v>53683</v>
      </c>
      <c r="W10911" t="s">
        <v>44985</v>
      </c>
      <c r="X10911" t="s">
        <v>47439</v>
      </c>
    </row>
    <row r="10912" spans="1:24">
      <c r="A10912">
        <f>HYPERLINK("https://www.philgeps.gov.ph/GEPSNONPILOT/Tender/SplashBidNoticeAbstractUI.aspx?menuIndex=3&amp;refID=7142054&amp;Result=3","7142054")</f>
        <v>0</v>
      </c>
      <c r="B10912" t="s">
        <v>3295</v>
      </c>
      <c r="C10912" t="s">
        <v>14156</v>
      </c>
      <c r="D10912" t="s">
        <v>19026</v>
      </c>
      <c r="E10912" t="s">
        <v>28471</v>
      </c>
      <c r="F10912" t="s">
        <v>32831</v>
      </c>
      <c r="G10912" t="s">
        <v>32839</v>
      </c>
      <c r="H10912" t="s">
        <v>32848</v>
      </c>
      <c r="I10912" t="s">
        <v>7416</v>
      </c>
      <c r="J10912" t="s">
        <v>39699</v>
      </c>
      <c r="K10912" t="s">
        <v>42731</v>
      </c>
      <c r="M10912" t="s">
        <v>46616</v>
      </c>
      <c r="N10912" t="s">
        <v>47424</v>
      </c>
      <c r="O10912" t="s">
        <v>47425</v>
      </c>
      <c r="P10912">
        <v>0</v>
      </c>
      <c r="Q10912">
        <v>3</v>
      </c>
      <c r="R10912" t="s">
        <v>47437</v>
      </c>
      <c r="S10912" t="s">
        <v>47706</v>
      </c>
      <c r="T10912" t="s">
        <v>49079</v>
      </c>
      <c r="U10912" t="s">
        <v>58659</v>
      </c>
      <c r="W10912" t="s">
        <v>46616</v>
      </c>
      <c r="X10912" t="s">
        <v>47440</v>
      </c>
    </row>
    <row r="10913" spans="1:24">
      <c r="A10913">
        <f>HYPERLINK("https://www.philgeps.gov.ph/GEPSNONPILOT/Tender/SplashBidNoticeAbstractUI.aspx?menuIndex=3&amp;refID=7141110&amp;Result=3","7141110")</f>
        <v>0</v>
      </c>
      <c r="B10913" t="s">
        <v>3296</v>
      </c>
      <c r="C10913" t="s">
        <v>14157</v>
      </c>
      <c r="D10913" t="s">
        <v>19057</v>
      </c>
      <c r="E10913" t="s">
        <v>19219</v>
      </c>
      <c r="F10913" t="s">
        <v>32831</v>
      </c>
      <c r="G10913" t="s">
        <v>32839</v>
      </c>
      <c r="H10913" t="s">
        <v>32848</v>
      </c>
      <c r="I10913" t="s">
        <v>32878</v>
      </c>
      <c r="J10913" t="s">
        <v>33087</v>
      </c>
      <c r="K10913" t="s">
        <v>42726</v>
      </c>
      <c r="M10913" t="s">
        <v>46617</v>
      </c>
      <c r="N10913" t="s">
        <v>47424</v>
      </c>
      <c r="O10913" t="s">
        <v>47425</v>
      </c>
      <c r="P10913">
        <v>0</v>
      </c>
      <c r="Q10913">
        <v>1</v>
      </c>
      <c r="R10913" t="s">
        <v>47437</v>
      </c>
      <c r="S10913" t="s">
        <v>47706</v>
      </c>
      <c r="T10913" t="s">
        <v>49080</v>
      </c>
      <c r="U10913" t="s">
        <v>58660</v>
      </c>
      <c r="W10913" t="s">
        <v>46617</v>
      </c>
      <c r="X10913" t="s">
        <v>47440</v>
      </c>
    </row>
    <row r="10914" spans="1:24">
      <c r="A10914">
        <f>HYPERLINK("https://www.philgeps.gov.ph/GEPSNONPILOT/Tender/SplashBidNoticeAbstractUI.aspx?menuIndex=3&amp;refID=7142800&amp;Result=3","7142800")</f>
        <v>0</v>
      </c>
      <c r="B10914" t="s">
        <v>3297</v>
      </c>
      <c r="C10914" t="s">
        <v>14158</v>
      </c>
      <c r="D10914" t="s">
        <v>19044</v>
      </c>
      <c r="E10914" t="s">
        <v>28472</v>
      </c>
      <c r="F10914" t="s">
        <v>32833</v>
      </c>
      <c r="G10914" t="s">
        <v>32840</v>
      </c>
      <c r="H10914" t="s">
        <v>32848</v>
      </c>
      <c r="I10914" t="s">
        <v>32931</v>
      </c>
      <c r="J10914" t="s">
        <v>33175</v>
      </c>
      <c r="K10914" t="s">
        <v>42732</v>
      </c>
      <c r="M10914" t="s">
        <v>46618</v>
      </c>
      <c r="N10914" t="s">
        <v>47424</v>
      </c>
      <c r="O10914" t="s">
        <v>47425</v>
      </c>
      <c r="P10914">
        <v>0</v>
      </c>
      <c r="Q10914">
        <v>1</v>
      </c>
      <c r="R10914" t="s">
        <v>47437</v>
      </c>
      <c r="S10914" t="s">
        <v>47706</v>
      </c>
      <c r="T10914" t="s">
        <v>49570</v>
      </c>
      <c r="U10914" t="s">
        <v>58661</v>
      </c>
      <c r="W10914" t="s">
        <v>46618</v>
      </c>
      <c r="X10914" t="s">
        <v>47439</v>
      </c>
    </row>
    <row r="10915" spans="1:24">
      <c r="A10915">
        <f>HYPERLINK("https://www.philgeps.gov.ph/GEPSNONPILOT/Tender/SplashBidNoticeAbstractUI.aspx?menuIndex=3&amp;refID=7145294&amp;Result=3","7145294")</f>
        <v>0</v>
      </c>
      <c r="B10915" t="s">
        <v>3298</v>
      </c>
      <c r="C10915" t="s">
        <v>14159</v>
      </c>
      <c r="D10915" t="s">
        <v>19099</v>
      </c>
      <c r="E10915" t="s">
        <v>21910</v>
      </c>
      <c r="F10915" t="s">
        <v>32831</v>
      </c>
      <c r="G10915" t="s">
        <v>32839</v>
      </c>
      <c r="H10915" t="s">
        <v>32849</v>
      </c>
      <c r="I10915" t="s">
        <v>4177</v>
      </c>
      <c r="J10915" t="s">
        <v>34447</v>
      </c>
      <c r="K10915" t="s">
        <v>42729</v>
      </c>
      <c r="M10915" t="s">
        <v>46619</v>
      </c>
      <c r="N10915" t="s">
        <v>47424</v>
      </c>
      <c r="O10915" t="s">
        <v>47425</v>
      </c>
      <c r="Q10915">
        <v>2</v>
      </c>
      <c r="R10915" t="s">
        <v>47437</v>
      </c>
      <c r="S10915" t="s">
        <v>47728</v>
      </c>
      <c r="T10915" t="s">
        <v>49204</v>
      </c>
      <c r="U10915" t="s">
        <v>58662</v>
      </c>
      <c r="W10915" t="s">
        <v>46619</v>
      </c>
      <c r="X10915" t="s">
        <v>47438</v>
      </c>
    </row>
    <row r="10916" spans="1:24">
      <c r="A10916">
        <f>HYPERLINK("https://www.philgeps.gov.ph/GEPSNONPILOT/Tender/SplashBidNoticeAbstractUI.aspx?menuIndex=3&amp;refID=7142512&amp;Result=3","7142512")</f>
        <v>0</v>
      </c>
      <c r="B10916" t="s">
        <v>49</v>
      </c>
      <c r="C10916" t="s">
        <v>4162</v>
      </c>
      <c r="D10916" t="s">
        <v>19037</v>
      </c>
      <c r="E10916" t="s">
        <v>28473</v>
      </c>
      <c r="F10916" t="s">
        <v>32831</v>
      </c>
      <c r="G10916" t="s">
        <v>32839</v>
      </c>
      <c r="H10916" t="s">
        <v>32848</v>
      </c>
      <c r="I10916" t="s">
        <v>4487</v>
      </c>
      <c r="J10916" t="s">
        <v>39700</v>
      </c>
      <c r="K10916" t="s">
        <v>42750</v>
      </c>
      <c r="M10916" t="s">
        <v>45033</v>
      </c>
      <c r="N10916" t="s">
        <v>47424</v>
      </c>
      <c r="O10916" t="s">
        <v>47425</v>
      </c>
      <c r="P10916">
        <v>0</v>
      </c>
      <c r="Q10916">
        <v>1</v>
      </c>
      <c r="R10916" t="s">
        <v>47437</v>
      </c>
      <c r="S10916" t="s">
        <v>47706</v>
      </c>
      <c r="T10916" t="s">
        <v>49063</v>
      </c>
      <c r="U10916" t="s">
        <v>58663</v>
      </c>
      <c r="V10916" t="s">
        <v>62833</v>
      </c>
      <c r="W10916" t="s">
        <v>45033</v>
      </c>
      <c r="X10916" t="s">
        <v>47439</v>
      </c>
    </row>
    <row r="10917" spans="1:24">
      <c r="A10917">
        <f>HYPERLINK("https://www.philgeps.gov.ph/GEPSNONPILOT/Tender/SplashBidNoticeAbstractUI.aspx?menuIndex=3&amp;refID=7145215&amp;Result=3","7145215")</f>
        <v>0</v>
      </c>
      <c r="B10917" t="s">
        <v>3299</v>
      </c>
      <c r="C10917" t="s">
        <v>14160</v>
      </c>
      <c r="D10917" t="s">
        <v>19094</v>
      </c>
      <c r="E10917" t="s">
        <v>28474</v>
      </c>
      <c r="F10917" t="s">
        <v>32831</v>
      </c>
      <c r="G10917" t="s">
        <v>32839</v>
      </c>
      <c r="H10917" t="s">
        <v>32848</v>
      </c>
      <c r="I10917" t="s">
        <v>7416</v>
      </c>
      <c r="J10917" t="s">
        <v>39701</v>
      </c>
      <c r="K10917" t="s">
        <v>42732</v>
      </c>
      <c r="M10917" t="s">
        <v>46620</v>
      </c>
      <c r="N10917" t="s">
        <v>47424</v>
      </c>
      <c r="O10917" t="s">
        <v>47425</v>
      </c>
      <c r="P10917">
        <v>0</v>
      </c>
      <c r="Q10917">
        <v>0</v>
      </c>
      <c r="R10917" t="s">
        <v>47437</v>
      </c>
      <c r="S10917" t="s">
        <v>47706</v>
      </c>
      <c r="T10917" t="s">
        <v>49119</v>
      </c>
      <c r="U10917" t="s">
        <v>58664</v>
      </c>
      <c r="W10917" t="s">
        <v>46620</v>
      </c>
      <c r="X10917" t="s">
        <v>47438</v>
      </c>
    </row>
    <row r="10918" spans="1:24">
      <c r="A10918">
        <f>HYPERLINK("https://www.philgeps.gov.ph/GEPSNONPILOT/Tender/SplashBidNoticeAbstractUI.aspx?menuIndex=3&amp;refID=7145261&amp;Result=3","7145261")</f>
        <v>0</v>
      </c>
      <c r="B10918" t="s">
        <v>1860</v>
      </c>
      <c r="C10918" t="s">
        <v>14161</v>
      </c>
      <c r="D10918" t="s">
        <v>19079</v>
      </c>
      <c r="E10918" t="s">
        <v>28475</v>
      </c>
      <c r="F10918" t="s">
        <v>32831</v>
      </c>
      <c r="G10918" t="s">
        <v>32839</v>
      </c>
      <c r="H10918" t="s">
        <v>32848</v>
      </c>
      <c r="I10918" t="s">
        <v>4487</v>
      </c>
      <c r="J10918" t="s">
        <v>35998</v>
      </c>
      <c r="K10918" t="s">
        <v>42727</v>
      </c>
      <c r="M10918" t="s">
        <v>44999</v>
      </c>
      <c r="N10918" t="s">
        <v>47424</v>
      </c>
      <c r="O10918" t="s">
        <v>47425</v>
      </c>
      <c r="P10918">
        <v>0</v>
      </c>
      <c r="Q10918">
        <v>4</v>
      </c>
      <c r="R10918" t="s">
        <v>47437</v>
      </c>
      <c r="S10918" t="s">
        <v>47706</v>
      </c>
      <c r="T10918" t="s">
        <v>49251</v>
      </c>
      <c r="U10918" t="s">
        <v>58665</v>
      </c>
      <c r="V10918" t="s">
        <v>63823</v>
      </c>
      <c r="W10918" t="s">
        <v>44999</v>
      </c>
      <c r="X10918" t="s">
        <v>47438</v>
      </c>
    </row>
    <row r="10919" spans="1:24">
      <c r="A10919">
        <f>HYPERLINK("https://www.philgeps.gov.ph/GEPSNONPILOT/Tender/SplashBidNoticeAbstractUI.aspx?menuIndex=3&amp;refID=7145212&amp;Result=3","7145212")</f>
        <v>0</v>
      </c>
      <c r="B10919" t="s">
        <v>2219</v>
      </c>
      <c r="C10919" t="s">
        <v>14162</v>
      </c>
      <c r="D10919" t="s">
        <v>19091</v>
      </c>
      <c r="E10919" t="s">
        <v>27924</v>
      </c>
      <c r="F10919" t="s">
        <v>32831</v>
      </c>
      <c r="G10919" t="s">
        <v>32839</v>
      </c>
      <c r="H10919" t="s">
        <v>32848</v>
      </c>
      <c r="I10919" t="s">
        <v>32857</v>
      </c>
      <c r="J10919" t="s">
        <v>39702</v>
      </c>
      <c r="K10919" t="s">
        <v>42727</v>
      </c>
      <c r="M10919" t="s">
        <v>45399</v>
      </c>
      <c r="N10919" t="s">
        <v>47424</v>
      </c>
      <c r="O10919" t="s">
        <v>47425</v>
      </c>
      <c r="P10919">
        <v>0</v>
      </c>
      <c r="Q10919">
        <v>1</v>
      </c>
      <c r="R10919" t="s">
        <v>47437</v>
      </c>
      <c r="S10919" t="s">
        <v>47706</v>
      </c>
      <c r="T10919" t="s">
        <v>49080</v>
      </c>
      <c r="U10919" t="s">
        <v>58666</v>
      </c>
      <c r="V10919" t="s">
        <v>63824</v>
      </c>
      <c r="W10919" t="s">
        <v>45399</v>
      </c>
      <c r="X10919" t="s">
        <v>47438</v>
      </c>
    </row>
    <row r="10920" spans="1:24">
      <c r="A10920">
        <f>HYPERLINK("https://www.philgeps.gov.ph/GEPSNONPILOT/Tender/SplashBidNoticeAbstractUI.aspx?menuIndex=3&amp;refID=7145289&amp;Result=3","7145289")</f>
        <v>0</v>
      </c>
      <c r="B10920" t="s">
        <v>160</v>
      </c>
      <c r="C10920" t="s">
        <v>14163</v>
      </c>
      <c r="D10920" t="s">
        <v>19088</v>
      </c>
      <c r="E10920" t="s">
        <v>28476</v>
      </c>
      <c r="F10920" t="s">
        <v>32831</v>
      </c>
      <c r="G10920" t="s">
        <v>32839</v>
      </c>
      <c r="H10920" t="s">
        <v>32848</v>
      </c>
      <c r="I10920" t="s">
        <v>4487</v>
      </c>
      <c r="J10920" t="s">
        <v>33118</v>
      </c>
      <c r="K10920" t="s">
        <v>42747</v>
      </c>
      <c r="M10920" t="s">
        <v>45098</v>
      </c>
      <c r="N10920" t="s">
        <v>47424</v>
      </c>
      <c r="O10920" t="s">
        <v>47425</v>
      </c>
      <c r="P10920">
        <v>0</v>
      </c>
      <c r="Q10920">
        <v>5</v>
      </c>
      <c r="R10920" t="s">
        <v>47437</v>
      </c>
      <c r="S10920" t="s">
        <v>47706</v>
      </c>
      <c r="T10920" t="s">
        <v>49242</v>
      </c>
      <c r="U10920" t="s">
        <v>58667</v>
      </c>
      <c r="W10920" t="s">
        <v>45098</v>
      </c>
      <c r="X10920" t="s">
        <v>47438</v>
      </c>
    </row>
    <row r="10921" spans="1:24">
      <c r="A10921">
        <f>HYPERLINK("https://www.philgeps.gov.ph/GEPSNONPILOT/Tender/SplashBidNoticeAbstractUI.aspx?menuIndex=3&amp;refID=7145209&amp;Result=3","7145209")</f>
        <v>0</v>
      </c>
      <c r="B10921" t="s">
        <v>2219</v>
      </c>
      <c r="C10921" t="s">
        <v>14164</v>
      </c>
      <c r="D10921" t="s">
        <v>19091</v>
      </c>
      <c r="E10921" t="s">
        <v>22757</v>
      </c>
      <c r="F10921" t="s">
        <v>32831</v>
      </c>
      <c r="G10921" t="s">
        <v>32839</v>
      </c>
      <c r="H10921" t="s">
        <v>32848</v>
      </c>
      <c r="I10921" t="s">
        <v>4303</v>
      </c>
      <c r="J10921" t="s">
        <v>39703</v>
      </c>
      <c r="K10921" t="s">
        <v>42727</v>
      </c>
      <c r="M10921" t="s">
        <v>45399</v>
      </c>
      <c r="N10921" t="s">
        <v>47424</v>
      </c>
      <c r="O10921" t="s">
        <v>47425</v>
      </c>
      <c r="P10921">
        <v>0</v>
      </c>
      <c r="Q10921">
        <v>0</v>
      </c>
      <c r="R10921" t="s">
        <v>47437</v>
      </c>
      <c r="S10921" t="s">
        <v>47706</v>
      </c>
      <c r="T10921" t="s">
        <v>49080</v>
      </c>
      <c r="U10921" t="s">
        <v>58668</v>
      </c>
      <c r="V10921" t="s">
        <v>63825</v>
      </c>
      <c r="W10921" t="s">
        <v>45399</v>
      </c>
      <c r="X10921" t="s">
        <v>47438</v>
      </c>
    </row>
    <row r="10922" spans="1:24">
      <c r="A10922">
        <f>HYPERLINK("https://www.philgeps.gov.ph/GEPSNONPILOT/Tender/SplashBidNoticeAbstractUI.aspx?menuIndex=3&amp;refID=7145139&amp;Result=3","7145139")</f>
        <v>0</v>
      </c>
      <c r="B10922" t="s">
        <v>832</v>
      </c>
      <c r="C10922" t="s">
        <v>14165</v>
      </c>
      <c r="D10922" t="s">
        <v>19101</v>
      </c>
      <c r="E10922" t="s">
        <v>28477</v>
      </c>
      <c r="F10922" t="s">
        <v>32831</v>
      </c>
      <c r="G10922" t="s">
        <v>32839</v>
      </c>
      <c r="H10922" t="s">
        <v>32848</v>
      </c>
      <c r="I10922" t="s">
        <v>32925</v>
      </c>
      <c r="J10922" t="s">
        <v>39704</v>
      </c>
      <c r="K10922" t="s">
        <v>42729</v>
      </c>
      <c r="M10922" t="s">
        <v>44445</v>
      </c>
      <c r="N10922" t="s">
        <v>47424</v>
      </c>
      <c r="O10922" t="s">
        <v>47425</v>
      </c>
      <c r="Q10922">
        <v>7</v>
      </c>
      <c r="R10922" t="s">
        <v>47437</v>
      </c>
      <c r="S10922" t="s">
        <v>47729</v>
      </c>
      <c r="T10922" t="s">
        <v>49265</v>
      </c>
      <c r="U10922" t="s">
        <v>58669</v>
      </c>
      <c r="V10922" t="s">
        <v>63826</v>
      </c>
      <c r="W10922" t="s">
        <v>44445</v>
      </c>
      <c r="X10922" t="s">
        <v>47439</v>
      </c>
    </row>
    <row r="10923" spans="1:24">
      <c r="A10923">
        <f>HYPERLINK("https://www.philgeps.gov.ph/GEPSNONPILOT/Tender/SplashBidNoticeAbstractUI.aspx?menuIndex=3&amp;refID=7144399&amp;Result=3","7144399")</f>
        <v>0</v>
      </c>
      <c r="B10923" t="s">
        <v>3300</v>
      </c>
      <c r="C10923" t="s">
        <v>14166</v>
      </c>
      <c r="D10923" t="s">
        <v>19017</v>
      </c>
      <c r="E10923" t="s">
        <v>28478</v>
      </c>
      <c r="F10923" t="s">
        <v>32831</v>
      </c>
      <c r="G10923" t="s">
        <v>32839</v>
      </c>
      <c r="H10923" t="s">
        <v>32848</v>
      </c>
      <c r="I10923" t="s">
        <v>32851</v>
      </c>
      <c r="J10923" t="s">
        <v>39705</v>
      </c>
      <c r="K10923" t="s">
        <v>42786</v>
      </c>
      <c r="M10923" t="s">
        <v>46621</v>
      </c>
      <c r="N10923" t="s">
        <v>47424</v>
      </c>
      <c r="O10923" t="s">
        <v>47425</v>
      </c>
      <c r="Q10923">
        <v>5</v>
      </c>
      <c r="R10923" t="s">
        <v>47437</v>
      </c>
      <c r="S10923" t="s">
        <v>47730</v>
      </c>
      <c r="T10923" t="s">
        <v>49571</v>
      </c>
      <c r="U10923" t="s">
        <v>58670</v>
      </c>
      <c r="W10923" t="s">
        <v>46621</v>
      </c>
      <c r="X10923" t="s">
        <v>47439</v>
      </c>
    </row>
    <row r="10924" spans="1:24">
      <c r="A10924">
        <f>HYPERLINK("https://www.philgeps.gov.ph/GEPSNONPILOT/Tender/SplashBidNoticeAbstractUI.aspx?menuIndex=3&amp;refID=7145136&amp;Result=3","7145136")</f>
        <v>0</v>
      </c>
      <c r="B10924" t="s">
        <v>832</v>
      </c>
      <c r="C10924" t="s">
        <v>14167</v>
      </c>
      <c r="D10924" t="s">
        <v>19101</v>
      </c>
      <c r="E10924" t="s">
        <v>28479</v>
      </c>
      <c r="F10924" t="s">
        <v>32831</v>
      </c>
      <c r="G10924" t="s">
        <v>32839</v>
      </c>
      <c r="H10924" t="s">
        <v>32848</v>
      </c>
      <c r="I10924" t="s">
        <v>32925</v>
      </c>
      <c r="J10924" t="s">
        <v>39706</v>
      </c>
      <c r="K10924" t="s">
        <v>42729</v>
      </c>
      <c r="M10924" t="s">
        <v>44445</v>
      </c>
      <c r="N10924" t="s">
        <v>47424</v>
      </c>
      <c r="O10924" t="s">
        <v>47425</v>
      </c>
      <c r="Q10924">
        <v>8</v>
      </c>
      <c r="R10924" t="s">
        <v>47437</v>
      </c>
      <c r="S10924" t="s">
        <v>47731</v>
      </c>
      <c r="T10924" t="s">
        <v>49265</v>
      </c>
      <c r="U10924" t="s">
        <v>58671</v>
      </c>
      <c r="V10924" t="s">
        <v>63827</v>
      </c>
      <c r="W10924" t="s">
        <v>44445</v>
      </c>
      <c r="X10924" t="s">
        <v>47439</v>
      </c>
    </row>
    <row r="10925" spans="1:24">
      <c r="A10925">
        <f>HYPERLINK("https://www.philgeps.gov.ph/GEPSNONPILOT/Tender/SplashBidNoticeAbstractUI.aspx?menuIndex=3&amp;refID=7145134&amp;Result=3","7145134")</f>
        <v>0</v>
      </c>
      <c r="B10925" t="s">
        <v>832</v>
      </c>
      <c r="C10925" t="s">
        <v>14168</v>
      </c>
      <c r="D10925" t="s">
        <v>19101</v>
      </c>
      <c r="E10925" t="s">
        <v>28480</v>
      </c>
      <c r="F10925" t="s">
        <v>32831</v>
      </c>
      <c r="G10925" t="s">
        <v>32839</v>
      </c>
      <c r="H10925" t="s">
        <v>32849</v>
      </c>
      <c r="I10925" t="s">
        <v>4177</v>
      </c>
      <c r="J10925" t="s">
        <v>39707</v>
      </c>
      <c r="K10925" t="s">
        <v>42862</v>
      </c>
      <c r="M10925" t="s">
        <v>44445</v>
      </c>
      <c r="N10925" t="s">
        <v>47424</v>
      </c>
      <c r="O10925" t="s">
        <v>47425</v>
      </c>
      <c r="P10925">
        <v>0</v>
      </c>
      <c r="Q10925">
        <v>3</v>
      </c>
      <c r="R10925" t="s">
        <v>47437</v>
      </c>
      <c r="S10925" t="s">
        <v>47706</v>
      </c>
      <c r="T10925" t="s">
        <v>49097</v>
      </c>
      <c r="U10925" t="s">
        <v>58671</v>
      </c>
      <c r="V10925" t="s">
        <v>63828</v>
      </c>
      <c r="W10925" t="s">
        <v>44445</v>
      </c>
      <c r="X10925" t="s">
        <v>47439</v>
      </c>
    </row>
    <row r="10926" spans="1:24">
      <c r="A10926">
        <f>HYPERLINK("https://www.philgeps.gov.ph/GEPSNONPILOT/Tender/SplashBidNoticeAbstractUI.aspx?menuIndex=3&amp;refID=7142367&amp;Result=3","7142367")</f>
        <v>0</v>
      </c>
      <c r="B10926" t="s">
        <v>3293</v>
      </c>
      <c r="C10926" t="s">
        <v>14169</v>
      </c>
      <c r="D10926" t="s">
        <v>19062</v>
      </c>
      <c r="E10926" t="s">
        <v>28481</v>
      </c>
      <c r="F10926" t="s">
        <v>32831</v>
      </c>
      <c r="G10926" t="s">
        <v>32840</v>
      </c>
      <c r="H10926" t="s">
        <v>32848</v>
      </c>
      <c r="I10926" t="s">
        <v>32858</v>
      </c>
      <c r="J10926" t="s">
        <v>39708</v>
      </c>
      <c r="K10926" t="s">
        <v>42758</v>
      </c>
      <c r="M10926" t="s">
        <v>46614</v>
      </c>
      <c r="N10926" t="s">
        <v>47424</v>
      </c>
      <c r="O10926" t="s">
        <v>47425</v>
      </c>
      <c r="Q10926">
        <v>0</v>
      </c>
      <c r="R10926" t="s">
        <v>47437</v>
      </c>
      <c r="S10926" t="s">
        <v>47732</v>
      </c>
      <c r="T10926" t="s">
        <v>49270</v>
      </c>
      <c r="U10926" t="s">
        <v>58672</v>
      </c>
      <c r="V10926" t="s">
        <v>63829</v>
      </c>
      <c r="W10926" t="s">
        <v>46614</v>
      </c>
      <c r="X10926" t="s">
        <v>47439</v>
      </c>
    </row>
    <row r="10927" spans="1:24">
      <c r="A10927">
        <f>HYPERLINK("https://www.philgeps.gov.ph/GEPSNONPILOT/Tender/SplashBidNoticeAbstractUI.aspx?menuIndex=3&amp;refID=7145279&amp;Result=3","7145279")</f>
        <v>0</v>
      </c>
      <c r="B10927" t="s">
        <v>2858</v>
      </c>
      <c r="C10927" t="s">
        <v>14170</v>
      </c>
      <c r="D10927" t="s">
        <v>19078</v>
      </c>
      <c r="E10927" t="s">
        <v>28482</v>
      </c>
      <c r="F10927" t="s">
        <v>32831</v>
      </c>
      <c r="G10927" t="s">
        <v>32839</v>
      </c>
      <c r="H10927" t="s">
        <v>32849</v>
      </c>
      <c r="I10927" t="s">
        <v>4177</v>
      </c>
      <c r="J10927" t="s">
        <v>39709</v>
      </c>
      <c r="K10927" t="s">
        <v>42847</v>
      </c>
      <c r="M10927" t="s">
        <v>46091</v>
      </c>
      <c r="N10927" t="s">
        <v>47424</v>
      </c>
      <c r="O10927" t="s">
        <v>47425</v>
      </c>
      <c r="P10927">
        <v>0</v>
      </c>
      <c r="Q10927">
        <v>1</v>
      </c>
      <c r="R10927" t="s">
        <v>47437</v>
      </c>
      <c r="S10927" t="s">
        <v>47706</v>
      </c>
      <c r="T10927" t="s">
        <v>49572</v>
      </c>
      <c r="U10927" t="s">
        <v>58673</v>
      </c>
      <c r="W10927" t="s">
        <v>46091</v>
      </c>
      <c r="X10927" t="s">
        <v>47438</v>
      </c>
    </row>
    <row r="10928" spans="1:24">
      <c r="A10928">
        <f>HYPERLINK("https://www.philgeps.gov.ph/GEPSNONPILOT/Tender/SplashBidNoticeAbstractUI.aspx?menuIndex=3&amp;refID=7145284&amp;Result=3","7145284")</f>
        <v>0</v>
      </c>
      <c r="B10928" t="s">
        <v>1716</v>
      </c>
      <c r="C10928" t="s">
        <v>14171</v>
      </c>
      <c r="D10928" t="s">
        <v>19037</v>
      </c>
      <c r="E10928" t="s">
        <v>28483</v>
      </c>
      <c r="F10928" t="s">
        <v>32831</v>
      </c>
      <c r="G10928" t="s">
        <v>32839</v>
      </c>
      <c r="H10928" t="s">
        <v>32849</v>
      </c>
      <c r="I10928" t="s">
        <v>7416</v>
      </c>
      <c r="J10928" t="s">
        <v>33193</v>
      </c>
      <c r="K10928" t="s">
        <v>42770</v>
      </c>
      <c r="M10928" t="s">
        <v>44838</v>
      </c>
      <c r="N10928" t="s">
        <v>47424</v>
      </c>
      <c r="O10928" t="s">
        <v>47425</v>
      </c>
      <c r="P10928">
        <v>0</v>
      </c>
      <c r="Q10928">
        <v>0</v>
      </c>
      <c r="R10928" t="s">
        <v>47437</v>
      </c>
      <c r="S10928" t="s">
        <v>47706</v>
      </c>
      <c r="T10928" t="s">
        <v>49070</v>
      </c>
      <c r="U10928" t="s">
        <v>58674</v>
      </c>
      <c r="V10928" t="s">
        <v>63830</v>
      </c>
      <c r="W10928" t="s">
        <v>44838</v>
      </c>
      <c r="X10928" t="s">
        <v>47438</v>
      </c>
    </row>
    <row r="10929" spans="1:24">
      <c r="A10929">
        <f>HYPERLINK("https://www.philgeps.gov.ph/GEPSNONPILOT/Tender/SplashBidNoticeAbstractUI.aspx?menuIndex=3&amp;refID=7145543&amp;Result=3","7145543")</f>
        <v>0</v>
      </c>
      <c r="B10929" t="s">
        <v>1214</v>
      </c>
      <c r="C10929" t="s">
        <v>14172</v>
      </c>
      <c r="D10929" t="s">
        <v>19038</v>
      </c>
      <c r="E10929" t="s">
        <v>28484</v>
      </c>
      <c r="F10929" t="s">
        <v>32831</v>
      </c>
      <c r="G10929" t="s">
        <v>32839</v>
      </c>
      <c r="H10929" t="s">
        <v>32849</v>
      </c>
      <c r="I10929" t="s">
        <v>4177</v>
      </c>
      <c r="J10929" t="s">
        <v>39710</v>
      </c>
      <c r="K10929" t="s">
        <v>42763</v>
      </c>
      <c r="M10929" t="s">
        <v>44282</v>
      </c>
      <c r="N10929" t="s">
        <v>47424</v>
      </c>
      <c r="O10929" t="s">
        <v>47425</v>
      </c>
      <c r="P10929">
        <v>0</v>
      </c>
      <c r="Q10929">
        <v>1</v>
      </c>
      <c r="R10929" t="s">
        <v>47437</v>
      </c>
      <c r="S10929" t="s">
        <v>47706</v>
      </c>
      <c r="T10929" t="s">
        <v>49080</v>
      </c>
      <c r="U10929" t="s">
        <v>58675</v>
      </c>
      <c r="W10929" t="s">
        <v>44282</v>
      </c>
      <c r="X10929" t="s">
        <v>47438</v>
      </c>
    </row>
    <row r="10930" spans="1:24">
      <c r="A10930">
        <f>HYPERLINK("https://www.philgeps.gov.ph/GEPSNONPILOT/Tender/SplashBidNoticeAbstractUI.aspx?menuIndex=3&amp;refID=7142218&amp;Result=3","7142218")</f>
        <v>0</v>
      </c>
      <c r="B10930" t="s">
        <v>2738</v>
      </c>
      <c r="C10930" t="s">
        <v>14173</v>
      </c>
      <c r="D10930" t="s">
        <v>19078</v>
      </c>
      <c r="E10930" t="s">
        <v>28485</v>
      </c>
      <c r="F10930" t="s">
        <v>32831</v>
      </c>
      <c r="G10930" t="s">
        <v>32839</v>
      </c>
      <c r="H10930" t="s">
        <v>32849</v>
      </c>
      <c r="I10930" t="s">
        <v>4177</v>
      </c>
      <c r="J10930" t="s">
        <v>39711</v>
      </c>
      <c r="K10930" t="s">
        <v>42745</v>
      </c>
      <c r="M10930" t="s">
        <v>45966</v>
      </c>
      <c r="N10930" t="s">
        <v>47424</v>
      </c>
      <c r="O10930" t="s">
        <v>47425</v>
      </c>
      <c r="P10930">
        <v>0</v>
      </c>
      <c r="Q10930">
        <v>0</v>
      </c>
      <c r="R10930" t="s">
        <v>47437</v>
      </c>
      <c r="S10930" t="s">
        <v>47706</v>
      </c>
      <c r="T10930" t="s">
        <v>49069</v>
      </c>
      <c r="U10930" t="s">
        <v>58676</v>
      </c>
      <c r="W10930" t="s">
        <v>45966</v>
      </c>
      <c r="X10930" t="s">
        <v>47439</v>
      </c>
    </row>
    <row r="10931" spans="1:24">
      <c r="A10931">
        <f>HYPERLINK("https://www.philgeps.gov.ph/GEPSNONPILOT/Tender/SplashBidNoticeAbstractUI.aspx?menuIndex=3&amp;refID=7145526&amp;Result=3","7145526")</f>
        <v>0</v>
      </c>
      <c r="B10931" t="s">
        <v>1189</v>
      </c>
      <c r="C10931" t="s">
        <v>14174</v>
      </c>
      <c r="D10931" t="s">
        <v>19034</v>
      </c>
      <c r="E10931" t="s">
        <v>28486</v>
      </c>
      <c r="F10931" t="s">
        <v>32831</v>
      </c>
      <c r="G10931" t="s">
        <v>32839</v>
      </c>
      <c r="H10931" t="s">
        <v>32848</v>
      </c>
      <c r="I10931" t="s">
        <v>7416</v>
      </c>
      <c r="J10931" t="s">
        <v>33433</v>
      </c>
      <c r="K10931" t="s">
        <v>42732</v>
      </c>
      <c r="M10931" t="s">
        <v>44255</v>
      </c>
      <c r="N10931" t="s">
        <v>47424</v>
      </c>
      <c r="O10931" t="s">
        <v>47425</v>
      </c>
      <c r="P10931">
        <v>0</v>
      </c>
      <c r="Q10931">
        <v>0</v>
      </c>
      <c r="R10931" t="s">
        <v>47437</v>
      </c>
      <c r="S10931" t="s">
        <v>47706</v>
      </c>
      <c r="T10931" t="s">
        <v>49214</v>
      </c>
      <c r="U10931" t="s">
        <v>58677</v>
      </c>
      <c r="W10931" t="s">
        <v>44255</v>
      </c>
      <c r="X10931" t="s">
        <v>47438</v>
      </c>
    </row>
    <row r="10932" spans="1:24">
      <c r="A10932">
        <f>HYPERLINK("https://www.philgeps.gov.ph/GEPSNONPILOT/Tender/SplashBidNoticeAbstractUI.aspx?menuIndex=3&amp;refID=7145485&amp;Result=3","7145485")</f>
        <v>0</v>
      </c>
      <c r="B10932" t="s">
        <v>3301</v>
      </c>
      <c r="C10932" t="s">
        <v>14175</v>
      </c>
      <c r="D10932" t="s">
        <v>19041</v>
      </c>
      <c r="E10932" t="s">
        <v>28487</v>
      </c>
      <c r="F10932" t="s">
        <v>32831</v>
      </c>
      <c r="G10932" t="s">
        <v>32839</v>
      </c>
      <c r="H10932" t="s">
        <v>32849</v>
      </c>
      <c r="I10932" t="s">
        <v>4177</v>
      </c>
      <c r="J10932" t="s">
        <v>37318</v>
      </c>
      <c r="K10932" t="s">
        <v>42770</v>
      </c>
      <c r="M10932" t="s">
        <v>46622</v>
      </c>
      <c r="N10932" t="s">
        <v>47424</v>
      </c>
      <c r="O10932" t="s">
        <v>47425</v>
      </c>
      <c r="P10932">
        <v>0</v>
      </c>
      <c r="Q10932">
        <v>0</v>
      </c>
      <c r="R10932" t="s">
        <v>47437</v>
      </c>
      <c r="S10932" t="s">
        <v>47706</v>
      </c>
      <c r="T10932" t="s">
        <v>49108</v>
      </c>
      <c r="U10932" t="s">
        <v>58678</v>
      </c>
      <c r="W10932" t="s">
        <v>46622</v>
      </c>
      <c r="X10932" t="s">
        <v>47438</v>
      </c>
    </row>
    <row r="10933" spans="1:24">
      <c r="A10933">
        <f>HYPERLINK("https://www.philgeps.gov.ph/GEPSNONPILOT/Tender/SplashBidNoticeAbstractUI.aspx?menuIndex=3&amp;refID=7145073&amp;Result=3","7145073")</f>
        <v>0</v>
      </c>
      <c r="B10933" t="s">
        <v>958</v>
      </c>
      <c r="C10933" t="s">
        <v>14176</v>
      </c>
      <c r="D10933" t="s">
        <v>19049</v>
      </c>
      <c r="E10933" t="s">
        <v>28488</v>
      </c>
      <c r="F10933" t="s">
        <v>32831</v>
      </c>
      <c r="G10933" t="s">
        <v>32838</v>
      </c>
      <c r="H10933" t="s">
        <v>32848</v>
      </c>
      <c r="I10933" t="s">
        <v>32868</v>
      </c>
      <c r="J10933" t="s">
        <v>39712</v>
      </c>
      <c r="K10933" t="s">
        <v>42732</v>
      </c>
      <c r="M10933" t="s">
        <v>44004</v>
      </c>
      <c r="N10933" t="s">
        <v>47424</v>
      </c>
      <c r="O10933" t="s">
        <v>47425</v>
      </c>
      <c r="P10933">
        <v>0</v>
      </c>
      <c r="Q10933">
        <v>3</v>
      </c>
      <c r="R10933" t="s">
        <v>47437</v>
      </c>
      <c r="S10933" t="s">
        <v>47706</v>
      </c>
      <c r="T10933" t="s">
        <v>49061</v>
      </c>
      <c r="U10933" t="s">
        <v>58679</v>
      </c>
      <c r="W10933" t="s">
        <v>44004</v>
      </c>
      <c r="X10933" t="s">
        <v>47439</v>
      </c>
    </row>
    <row r="10934" spans="1:24">
      <c r="A10934">
        <f>HYPERLINK("https://www.philgeps.gov.ph/GEPSNONPILOT/Tender/SplashBidNoticeAbstractUI.aspx?menuIndex=3&amp;refID=7145495&amp;Result=3","7145495")</f>
        <v>0</v>
      </c>
      <c r="B10934" t="s">
        <v>1149</v>
      </c>
      <c r="C10934" t="s">
        <v>14177</v>
      </c>
      <c r="D10934" t="s">
        <v>19079</v>
      </c>
      <c r="E10934" t="s">
        <v>23382</v>
      </c>
      <c r="F10934" t="s">
        <v>32831</v>
      </c>
      <c r="G10934" t="s">
        <v>32839</v>
      </c>
      <c r="H10934" t="s">
        <v>32849</v>
      </c>
      <c r="I10934" t="s">
        <v>4177</v>
      </c>
      <c r="J10934" t="s">
        <v>36100</v>
      </c>
      <c r="K10934" t="s">
        <v>42770</v>
      </c>
      <c r="M10934" t="s">
        <v>44985</v>
      </c>
      <c r="N10934" t="s">
        <v>47424</v>
      </c>
      <c r="O10934" t="s">
        <v>47425</v>
      </c>
      <c r="P10934">
        <v>0</v>
      </c>
      <c r="Q10934">
        <v>0</v>
      </c>
      <c r="R10934" t="s">
        <v>47437</v>
      </c>
      <c r="S10934" t="s">
        <v>47706</v>
      </c>
      <c r="T10934" t="s">
        <v>49262</v>
      </c>
      <c r="U10934" t="s">
        <v>53774</v>
      </c>
      <c r="W10934" t="s">
        <v>44985</v>
      </c>
      <c r="X10934" t="s">
        <v>47438</v>
      </c>
    </row>
    <row r="10935" spans="1:24">
      <c r="A10935">
        <f>HYPERLINK("https://www.philgeps.gov.ph/GEPSNONPILOT/Tender/SplashBidNoticeAbstractUI.aspx?menuIndex=3&amp;refID=7145482&amp;Result=3","7145482")</f>
        <v>0</v>
      </c>
      <c r="B10935" t="s">
        <v>3302</v>
      </c>
      <c r="C10935" t="s">
        <v>14178</v>
      </c>
      <c r="D10935" t="s">
        <v>19058</v>
      </c>
      <c r="E10935" t="s">
        <v>28489</v>
      </c>
      <c r="F10935" t="s">
        <v>32832</v>
      </c>
      <c r="G10935" t="s">
        <v>32839</v>
      </c>
      <c r="H10935" t="s">
        <v>32848</v>
      </c>
      <c r="I10935" t="s">
        <v>9577</v>
      </c>
      <c r="J10935" t="s">
        <v>33007</v>
      </c>
      <c r="K10935" t="s">
        <v>42727</v>
      </c>
      <c r="M10935" t="s">
        <v>46623</v>
      </c>
      <c r="N10935" t="s">
        <v>47424</v>
      </c>
      <c r="O10935" t="s">
        <v>47425</v>
      </c>
      <c r="P10935">
        <v>0</v>
      </c>
      <c r="Q10935">
        <v>1</v>
      </c>
      <c r="R10935" t="s">
        <v>47437</v>
      </c>
      <c r="S10935" t="s">
        <v>47706</v>
      </c>
      <c r="T10935" t="s">
        <v>49119</v>
      </c>
      <c r="U10935" t="s">
        <v>58680</v>
      </c>
      <c r="W10935" t="s">
        <v>46623</v>
      </c>
      <c r="X10935" t="s">
        <v>47438</v>
      </c>
    </row>
    <row r="10936" spans="1:24">
      <c r="A10936">
        <f>HYPERLINK("https://www.philgeps.gov.ph/GEPSNONPILOT/Tender/SplashBidNoticeAbstractUI.aspx?menuIndex=3&amp;refID=7145472&amp;Result=3","7145472")</f>
        <v>0</v>
      </c>
      <c r="B10936" t="s">
        <v>1500</v>
      </c>
      <c r="C10936" t="s">
        <v>14179</v>
      </c>
      <c r="D10936" t="s">
        <v>19050</v>
      </c>
      <c r="E10936" t="s">
        <v>28490</v>
      </c>
      <c r="F10936" t="s">
        <v>32831</v>
      </c>
      <c r="G10936" t="s">
        <v>32839</v>
      </c>
      <c r="H10936" t="s">
        <v>32848</v>
      </c>
      <c r="I10936" t="s">
        <v>7416</v>
      </c>
      <c r="J10936" t="s">
        <v>39713</v>
      </c>
      <c r="K10936" t="s">
        <v>42727</v>
      </c>
      <c r="M10936" t="s">
        <v>44598</v>
      </c>
      <c r="N10936" t="s">
        <v>47424</v>
      </c>
      <c r="O10936" t="s">
        <v>47425</v>
      </c>
      <c r="P10936">
        <v>0</v>
      </c>
      <c r="Q10936">
        <v>0</v>
      </c>
      <c r="R10936" t="s">
        <v>47437</v>
      </c>
      <c r="S10936" t="s">
        <v>47706</v>
      </c>
      <c r="T10936" t="s">
        <v>49148</v>
      </c>
      <c r="U10936" t="s">
        <v>52722</v>
      </c>
      <c r="W10936" t="s">
        <v>44598</v>
      </c>
      <c r="X10936" t="s">
        <v>47438</v>
      </c>
    </row>
    <row r="10937" spans="1:24">
      <c r="A10937">
        <f>HYPERLINK("https://www.philgeps.gov.ph/GEPSNONPILOT/Tender/SplashBidNoticeAbstractUI.aspx?menuIndex=3&amp;refID=7145127&amp;Result=3","7145127")</f>
        <v>0</v>
      </c>
      <c r="B10937" t="s">
        <v>832</v>
      </c>
      <c r="C10937" t="s">
        <v>14180</v>
      </c>
      <c r="D10937" t="s">
        <v>19101</v>
      </c>
      <c r="E10937" t="s">
        <v>28491</v>
      </c>
      <c r="F10937" t="s">
        <v>32831</v>
      </c>
      <c r="G10937" t="s">
        <v>32839</v>
      </c>
      <c r="H10937" t="s">
        <v>32848</v>
      </c>
      <c r="I10937" t="s">
        <v>32925</v>
      </c>
      <c r="J10937" t="s">
        <v>39714</v>
      </c>
      <c r="K10937" t="s">
        <v>42729</v>
      </c>
      <c r="M10937" t="s">
        <v>44445</v>
      </c>
      <c r="N10937" t="s">
        <v>47424</v>
      </c>
      <c r="O10937" t="s">
        <v>47425</v>
      </c>
      <c r="Q10937">
        <v>8</v>
      </c>
      <c r="R10937" t="s">
        <v>47437</v>
      </c>
      <c r="S10937" t="s">
        <v>47733</v>
      </c>
      <c r="T10937" t="s">
        <v>49087</v>
      </c>
      <c r="U10937" t="s">
        <v>58671</v>
      </c>
      <c r="V10937" t="s">
        <v>63231</v>
      </c>
      <c r="W10937" t="s">
        <v>44445</v>
      </c>
      <c r="X10937" t="s">
        <v>47439</v>
      </c>
    </row>
    <row r="10938" spans="1:24">
      <c r="A10938">
        <f>HYPERLINK("https://www.philgeps.gov.ph/GEPSNONPILOT/Tender/SplashBidNoticeAbstractUI.aspx?menuIndex=3&amp;refID=7145469&amp;Result=3","7145469")</f>
        <v>0</v>
      </c>
      <c r="B10938" t="s">
        <v>3303</v>
      </c>
      <c r="C10938" t="s">
        <v>14181</v>
      </c>
      <c r="D10938" t="s">
        <v>19038</v>
      </c>
      <c r="E10938" t="s">
        <v>28492</v>
      </c>
      <c r="F10938" t="s">
        <v>32831</v>
      </c>
      <c r="G10938" t="s">
        <v>32839</v>
      </c>
      <c r="H10938" t="s">
        <v>32849</v>
      </c>
      <c r="I10938" t="s">
        <v>4177</v>
      </c>
      <c r="J10938" t="s">
        <v>39715</v>
      </c>
      <c r="K10938" t="s">
        <v>42751</v>
      </c>
      <c r="M10938" t="s">
        <v>46624</v>
      </c>
      <c r="N10938" t="s">
        <v>47424</v>
      </c>
      <c r="O10938" t="s">
        <v>47425</v>
      </c>
      <c r="P10938">
        <v>0</v>
      </c>
      <c r="Q10938">
        <v>0</v>
      </c>
      <c r="R10938" t="s">
        <v>47437</v>
      </c>
      <c r="S10938" t="s">
        <v>47706</v>
      </c>
      <c r="T10938" t="s">
        <v>49142</v>
      </c>
      <c r="U10938" t="s">
        <v>58681</v>
      </c>
      <c r="W10938" t="s">
        <v>46624</v>
      </c>
      <c r="X10938" t="s">
        <v>47438</v>
      </c>
    </row>
    <row r="10939" spans="1:24">
      <c r="A10939">
        <f>HYPERLINK("https://www.philgeps.gov.ph/GEPSNONPILOT/Tender/SplashBidNoticeAbstractUI.aspx?menuIndex=3&amp;refID=7145475&amp;Result=3","7145475")</f>
        <v>0</v>
      </c>
      <c r="B10939" t="s">
        <v>3304</v>
      </c>
      <c r="C10939" t="s">
        <v>14182</v>
      </c>
      <c r="D10939" t="s">
        <v>19085</v>
      </c>
      <c r="E10939" t="s">
        <v>28493</v>
      </c>
      <c r="F10939" t="s">
        <v>32831</v>
      </c>
      <c r="G10939" t="s">
        <v>32839</v>
      </c>
      <c r="H10939" t="s">
        <v>32848</v>
      </c>
      <c r="I10939" t="s">
        <v>32867</v>
      </c>
      <c r="J10939" t="s">
        <v>39716</v>
      </c>
      <c r="K10939" t="s">
        <v>42729</v>
      </c>
      <c r="M10939" t="s">
        <v>46625</v>
      </c>
      <c r="N10939" t="s">
        <v>47424</v>
      </c>
      <c r="O10939" t="s">
        <v>47425</v>
      </c>
      <c r="P10939">
        <v>0</v>
      </c>
      <c r="Q10939">
        <v>6</v>
      </c>
      <c r="R10939" t="s">
        <v>47437</v>
      </c>
      <c r="S10939" t="s">
        <v>47706</v>
      </c>
      <c r="T10939" t="s">
        <v>49089</v>
      </c>
      <c r="U10939" t="s">
        <v>58682</v>
      </c>
      <c r="W10939" t="s">
        <v>46625</v>
      </c>
      <c r="X10939" t="s">
        <v>47438</v>
      </c>
    </row>
    <row r="10940" spans="1:24">
      <c r="A10940">
        <f>HYPERLINK("https://www.philgeps.gov.ph/GEPSNONPILOT/Tender/SplashBidNoticeAbstractUI.aspx?menuIndex=3&amp;refID=7145451&amp;Result=3","7145451")</f>
        <v>0</v>
      </c>
      <c r="B10940" t="s">
        <v>3305</v>
      </c>
      <c r="C10940" t="s">
        <v>14183</v>
      </c>
      <c r="D10940" t="s">
        <v>19080</v>
      </c>
      <c r="E10940" t="s">
        <v>28494</v>
      </c>
      <c r="F10940" t="s">
        <v>32831</v>
      </c>
      <c r="G10940" t="s">
        <v>32839</v>
      </c>
      <c r="H10940" t="s">
        <v>32848</v>
      </c>
      <c r="I10940" t="s">
        <v>32935</v>
      </c>
      <c r="J10940" t="s">
        <v>39717</v>
      </c>
      <c r="K10940" t="s">
        <v>42729</v>
      </c>
      <c r="M10940" t="s">
        <v>46626</v>
      </c>
      <c r="N10940" t="s">
        <v>47424</v>
      </c>
      <c r="O10940" t="s">
        <v>47425</v>
      </c>
      <c r="P10940">
        <v>0</v>
      </c>
      <c r="Q10940">
        <v>4</v>
      </c>
      <c r="R10940" t="s">
        <v>47437</v>
      </c>
      <c r="S10940" t="s">
        <v>47706</v>
      </c>
      <c r="T10940" t="s">
        <v>49573</v>
      </c>
      <c r="U10940" t="s">
        <v>58683</v>
      </c>
      <c r="W10940" t="s">
        <v>46626</v>
      </c>
      <c r="X10940" t="s">
        <v>47438</v>
      </c>
    </row>
    <row r="10941" spans="1:24">
      <c r="A10941">
        <f>HYPERLINK("https://www.philgeps.gov.ph/GEPSNONPILOT/Tender/SplashBidNoticeAbstractUI.aspx?menuIndex=3&amp;refID=7145471&amp;Result=3","7145471")</f>
        <v>0</v>
      </c>
      <c r="B10941" t="s">
        <v>3306</v>
      </c>
      <c r="C10941" t="s">
        <v>14184</v>
      </c>
      <c r="E10941" t="s">
        <v>28495</v>
      </c>
      <c r="F10941" t="s">
        <v>32831</v>
      </c>
      <c r="G10941" t="s">
        <v>32839</v>
      </c>
      <c r="H10941" t="s">
        <v>32848</v>
      </c>
      <c r="I10941" t="s">
        <v>4177</v>
      </c>
      <c r="J10941" t="s">
        <v>32980</v>
      </c>
      <c r="K10941" t="s">
        <v>42732</v>
      </c>
      <c r="M10941" t="s">
        <v>46627</v>
      </c>
      <c r="N10941" t="s">
        <v>47424</v>
      </c>
      <c r="O10941" t="s">
        <v>47425</v>
      </c>
      <c r="P10941">
        <v>0</v>
      </c>
      <c r="Q10941">
        <v>0</v>
      </c>
      <c r="R10941" t="s">
        <v>47437</v>
      </c>
      <c r="S10941" t="s">
        <v>47706</v>
      </c>
      <c r="T10941" t="s">
        <v>49057</v>
      </c>
      <c r="U10941" t="s">
        <v>58684</v>
      </c>
      <c r="W10941" t="s">
        <v>46627</v>
      </c>
      <c r="X10941" t="s">
        <v>47438</v>
      </c>
    </row>
    <row r="10942" spans="1:24">
      <c r="A10942">
        <f>HYPERLINK("https://www.philgeps.gov.ph/GEPSNONPILOT/Tender/SplashBidNoticeAbstractUI.aspx?menuIndex=3&amp;refID=7145445&amp;Result=3","7145445")</f>
        <v>0</v>
      </c>
      <c r="B10942" t="s">
        <v>3301</v>
      </c>
      <c r="C10942" t="s">
        <v>14185</v>
      </c>
      <c r="D10942" t="s">
        <v>19041</v>
      </c>
      <c r="E10942" t="s">
        <v>28496</v>
      </c>
      <c r="F10942" t="s">
        <v>32831</v>
      </c>
      <c r="G10942" t="s">
        <v>32839</v>
      </c>
      <c r="H10942" t="s">
        <v>32849</v>
      </c>
      <c r="I10942" t="s">
        <v>4177</v>
      </c>
      <c r="J10942" t="s">
        <v>39718</v>
      </c>
      <c r="K10942" t="s">
        <v>42757</v>
      </c>
      <c r="M10942" t="s">
        <v>46622</v>
      </c>
      <c r="N10942" t="s">
        <v>47424</v>
      </c>
      <c r="O10942" t="s">
        <v>47425</v>
      </c>
      <c r="P10942">
        <v>0</v>
      </c>
      <c r="Q10942">
        <v>0</v>
      </c>
      <c r="R10942" t="s">
        <v>47437</v>
      </c>
      <c r="S10942" t="s">
        <v>47706</v>
      </c>
      <c r="T10942" t="s">
        <v>49108</v>
      </c>
      <c r="U10942" t="s">
        <v>58685</v>
      </c>
      <c r="W10942" t="s">
        <v>46622</v>
      </c>
      <c r="X10942" t="s">
        <v>47438</v>
      </c>
    </row>
    <row r="10943" spans="1:24">
      <c r="A10943">
        <f>HYPERLINK("https://www.philgeps.gov.ph/GEPSNONPILOT/Tender/SplashBidNoticeAbstractUI.aspx?menuIndex=3&amp;refID=7145438&amp;Result=3","7145438")</f>
        <v>0</v>
      </c>
      <c r="B10943" t="s">
        <v>3304</v>
      </c>
      <c r="C10943" t="s">
        <v>14186</v>
      </c>
      <c r="D10943" t="s">
        <v>19085</v>
      </c>
      <c r="E10943" t="s">
        <v>25290</v>
      </c>
      <c r="F10943" t="s">
        <v>32831</v>
      </c>
      <c r="G10943" t="s">
        <v>32839</v>
      </c>
      <c r="H10943" t="s">
        <v>32848</v>
      </c>
      <c r="I10943" t="s">
        <v>5667</v>
      </c>
      <c r="J10943" t="s">
        <v>39719</v>
      </c>
      <c r="K10943" t="s">
        <v>42786</v>
      </c>
      <c r="M10943" t="s">
        <v>46625</v>
      </c>
      <c r="N10943" t="s">
        <v>47424</v>
      </c>
      <c r="O10943" t="s">
        <v>47425</v>
      </c>
      <c r="P10943">
        <v>0</v>
      </c>
      <c r="Q10943">
        <v>4</v>
      </c>
      <c r="R10943" t="s">
        <v>47437</v>
      </c>
      <c r="S10943" t="s">
        <v>47706</v>
      </c>
      <c r="T10943" t="s">
        <v>49089</v>
      </c>
      <c r="U10943" t="s">
        <v>58686</v>
      </c>
      <c r="W10943" t="s">
        <v>46625</v>
      </c>
      <c r="X10943" t="s">
        <v>47438</v>
      </c>
    </row>
    <row r="10944" spans="1:24">
      <c r="A10944">
        <f>HYPERLINK("https://www.philgeps.gov.ph/GEPSNONPILOT/Tender/SplashBidNoticeAbstractUI.aspx?menuIndex=3&amp;refID=7145132&amp;Result=3","7145132")</f>
        <v>0</v>
      </c>
      <c r="B10944" t="s">
        <v>832</v>
      </c>
      <c r="C10944" t="s">
        <v>14187</v>
      </c>
      <c r="D10944" t="s">
        <v>19101</v>
      </c>
      <c r="E10944" t="s">
        <v>28497</v>
      </c>
      <c r="F10944" t="s">
        <v>32831</v>
      </c>
      <c r="G10944" t="s">
        <v>32839</v>
      </c>
      <c r="H10944" t="s">
        <v>32848</v>
      </c>
      <c r="I10944" t="s">
        <v>32863</v>
      </c>
      <c r="J10944" t="s">
        <v>39720</v>
      </c>
      <c r="K10944" t="s">
        <v>42732</v>
      </c>
      <c r="M10944" t="s">
        <v>44445</v>
      </c>
      <c r="N10944" t="s">
        <v>47424</v>
      </c>
      <c r="O10944" t="s">
        <v>47425</v>
      </c>
      <c r="Q10944">
        <v>3</v>
      </c>
      <c r="R10944" t="s">
        <v>47437</v>
      </c>
      <c r="S10944" t="s">
        <v>47638</v>
      </c>
      <c r="T10944" t="s">
        <v>49087</v>
      </c>
      <c r="U10944" t="s">
        <v>58671</v>
      </c>
      <c r="V10944" t="s">
        <v>63831</v>
      </c>
      <c r="W10944" t="s">
        <v>44445</v>
      </c>
      <c r="X10944" t="s">
        <v>47439</v>
      </c>
    </row>
    <row r="10945" spans="1:24">
      <c r="A10945">
        <f>HYPERLINK("https://www.philgeps.gov.ph/GEPSNONPILOT/Tender/SplashBidNoticeAbstractUI.aspx?menuIndex=3&amp;refID=7145321&amp;Result=3","7145321")</f>
        <v>0</v>
      </c>
      <c r="B10945" t="s">
        <v>2858</v>
      </c>
      <c r="C10945" t="s">
        <v>14188</v>
      </c>
      <c r="D10945" t="s">
        <v>19078</v>
      </c>
      <c r="E10945" t="s">
        <v>28498</v>
      </c>
      <c r="F10945" t="s">
        <v>32831</v>
      </c>
      <c r="G10945" t="s">
        <v>32839</v>
      </c>
      <c r="H10945" t="s">
        <v>32849</v>
      </c>
      <c r="I10945" t="s">
        <v>4177</v>
      </c>
      <c r="J10945" t="s">
        <v>34778</v>
      </c>
      <c r="K10945" t="s">
        <v>42757</v>
      </c>
      <c r="M10945" t="s">
        <v>46091</v>
      </c>
      <c r="N10945" t="s">
        <v>47424</v>
      </c>
      <c r="O10945" t="s">
        <v>47425</v>
      </c>
      <c r="P10945">
        <v>0</v>
      </c>
      <c r="Q10945">
        <v>2</v>
      </c>
      <c r="R10945" t="s">
        <v>47437</v>
      </c>
      <c r="S10945" t="s">
        <v>47706</v>
      </c>
      <c r="T10945" t="s">
        <v>49572</v>
      </c>
      <c r="U10945" t="s">
        <v>58687</v>
      </c>
      <c r="W10945" t="s">
        <v>46091</v>
      </c>
      <c r="X10945" t="s">
        <v>47438</v>
      </c>
    </row>
    <row r="10946" spans="1:24">
      <c r="A10946">
        <f>HYPERLINK("https://www.philgeps.gov.ph/GEPSNONPILOT/Tender/SplashBidNoticeAbstractUI.aspx?menuIndex=3&amp;refID=7145394&amp;Result=3","7145394")</f>
        <v>0</v>
      </c>
      <c r="B10946" t="s">
        <v>178</v>
      </c>
      <c r="C10946" t="s">
        <v>14189</v>
      </c>
      <c r="D10946" t="s">
        <v>19074</v>
      </c>
      <c r="E10946" t="s">
        <v>20442</v>
      </c>
      <c r="F10946" t="s">
        <v>32831</v>
      </c>
      <c r="G10946" t="s">
        <v>32839</v>
      </c>
      <c r="H10946" t="s">
        <v>32849</v>
      </c>
      <c r="I10946" t="s">
        <v>32883</v>
      </c>
      <c r="J10946" t="s">
        <v>34222</v>
      </c>
      <c r="K10946" t="s">
        <v>42730</v>
      </c>
      <c r="M10946" t="s">
        <v>43176</v>
      </c>
      <c r="N10946" t="s">
        <v>47424</v>
      </c>
      <c r="O10946" t="s">
        <v>47425</v>
      </c>
      <c r="P10946">
        <v>0</v>
      </c>
      <c r="Q10946">
        <v>1</v>
      </c>
      <c r="R10946" t="s">
        <v>47437</v>
      </c>
      <c r="S10946" t="s">
        <v>47706</v>
      </c>
      <c r="T10946" t="s">
        <v>49174</v>
      </c>
      <c r="U10946" t="s">
        <v>58688</v>
      </c>
      <c r="W10946" t="s">
        <v>43176</v>
      </c>
      <c r="X10946" t="s">
        <v>47438</v>
      </c>
    </row>
    <row r="10947" spans="1:24">
      <c r="A10947">
        <f>HYPERLINK("https://www.philgeps.gov.ph/GEPSNONPILOT/Tender/SplashBidNoticeAbstractUI.aspx?menuIndex=3&amp;refID=7145509&amp;Result=3","7145509")</f>
        <v>0</v>
      </c>
      <c r="B10947" t="s">
        <v>3307</v>
      </c>
      <c r="C10947" t="s">
        <v>14190</v>
      </c>
      <c r="D10947" t="s">
        <v>19022</v>
      </c>
      <c r="E10947" t="s">
        <v>28499</v>
      </c>
      <c r="F10947" t="s">
        <v>32831</v>
      </c>
      <c r="G10947" t="s">
        <v>32839</v>
      </c>
      <c r="H10947" t="s">
        <v>32848</v>
      </c>
      <c r="I10947" t="s">
        <v>7416</v>
      </c>
      <c r="J10947" t="s">
        <v>39721</v>
      </c>
      <c r="K10947" t="s">
        <v>42742</v>
      </c>
      <c r="M10947" t="s">
        <v>46628</v>
      </c>
      <c r="N10947" t="s">
        <v>47424</v>
      </c>
      <c r="O10947" t="s">
        <v>47425</v>
      </c>
      <c r="P10947">
        <v>0</v>
      </c>
      <c r="Q10947">
        <v>1</v>
      </c>
      <c r="R10947" t="s">
        <v>47437</v>
      </c>
      <c r="S10947" t="s">
        <v>47706</v>
      </c>
      <c r="T10947" t="s">
        <v>49162</v>
      </c>
      <c r="U10947" t="s">
        <v>58689</v>
      </c>
      <c r="W10947" t="s">
        <v>46628</v>
      </c>
      <c r="X10947" t="s">
        <v>47438</v>
      </c>
    </row>
    <row r="10948" spans="1:24">
      <c r="A10948">
        <f>HYPERLINK("https://www.philgeps.gov.ph/GEPSNONPILOT/Tender/SplashBidNoticeAbstractUI.aspx?menuIndex=3&amp;refID=7145313&amp;Result=3","7145313")</f>
        <v>0</v>
      </c>
      <c r="B10948" t="s">
        <v>3298</v>
      </c>
      <c r="C10948" t="s">
        <v>14191</v>
      </c>
      <c r="D10948" t="s">
        <v>19099</v>
      </c>
      <c r="E10948" t="s">
        <v>20926</v>
      </c>
      <c r="F10948" t="s">
        <v>32831</v>
      </c>
      <c r="G10948" t="s">
        <v>32839</v>
      </c>
      <c r="H10948" t="s">
        <v>32849</v>
      </c>
      <c r="I10948" t="s">
        <v>4177</v>
      </c>
      <c r="J10948" t="s">
        <v>34860</v>
      </c>
      <c r="K10948" t="s">
        <v>42770</v>
      </c>
      <c r="M10948" t="s">
        <v>46619</v>
      </c>
      <c r="N10948" t="s">
        <v>47424</v>
      </c>
      <c r="O10948" t="s">
        <v>47425</v>
      </c>
      <c r="P10948">
        <v>0</v>
      </c>
      <c r="Q10948">
        <v>2</v>
      </c>
      <c r="R10948" t="s">
        <v>47437</v>
      </c>
      <c r="S10948" t="s">
        <v>47706</v>
      </c>
      <c r="T10948" t="s">
        <v>49204</v>
      </c>
      <c r="U10948" t="s">
        <v>58690</v>
      </c>
      <c r="W10948" t="s">
        <v>46619</v>
      </c>
      <c r="X10948" t="s">
        <v>47438</v>
      </c>
    </row>
    <row r="10949" spans="1:24">
      <c r="A10949">
        <f>HYPERLINK("https://www.philgeps.gov.ph/GEPSNONPILOT/Tender/SplashBidNoticeAbstractUI.aspx?menuIndex=3&amp;refID=7145353&amp;Result=3","7145353")</f>
        <v>0</v>
      </c>
      <c r="B10949" t="s">
        <v>823</v>
      </c>
      <c r="C10949" t="s">
        <v>14192</v>
      </c>
      <c r="D10949" t="s">
        <v>19062</v>
      </c>
      <c r="E10949" t="s">
        <v>28500</v>
      </c>
      <c r="F10949" t="s">
        <v>32831</v>
      </c>
      <c r="G10949" t="s">
        <v>32839</v>
      </c>
      <c r="H10949" t="s">
        <v>32848</v>
      </c>
      <c r="I10949" t="s">
        <v>32883</v>
      </c>
      <c r="J10949" t="s">
        <v>35198</v>
      </c>
      <c r="K10949" t="s">
        <v>42727</v>
      </c>
      <c r="M10949" t="s">
        <v>46629</v>
      </c>
      <c r="N10949" t="s">
        <v>47424</v>
      </c>
      <c r="O10949" t="s">
        <v>47425</v>
      </c>
      <c r="P10949">
        <v>0</v>
      </c>
      <c r="Q10949">
        <v>3</v>
      </c>
      <c r="R10949" t="s">
        <v>47437</v>
      </c>
      <c r="S10949" t="s">
        <v>47706</v>
      </c>
      <c r="T10949" t="s">
        <v>49328</v>
      </c>
      <c r="U10949" t="s">
        <v>58691</v>
      </c>
      <c r="W10949" t="s">
        <v>46629</v>
      </c>
      <c r="X10949" t="s">
        <v>47438</v>
      </c>
    </row>
    <row r="10950" spans="1:24">
      <c r="A10950">
        <f>HYPERLINK("https://www.philgeps.gov.ph/GEPSNONPILOT/Tender/SplashBidNoticeAbstractUI.aspx?menuIndex=3&amp;refID=7145026&amp;Result=3","7145026")</f>
        <v>0</v>
      </c>
      <c r="B10950" t="s">
        <v>3308</v>
      </c>
      <c r="C10950" t="s">
        <v>14193</v>
      </c>
      <c r="D10950" t="s">
        <v>19047</v>
      </c>
      <c r="E10950" t="s">
        <v>28501</v>
      </c>
      <c r="F10950" t="s">
        <v>32831</v>
      </c>
      <c r="G10950" t="s">
        <v>32845</v>
      </c>
      <c r="H10950" t="s">
        <v>32848</v>
      </c>
      <c r="I10950" t="s">
        <v>32883</v>
      </c>
      <c r="J10950" t="s">
        <v>36189</v>
      </c>
      <c r="K10950" t="s">
        <v>42747</v>
      </c>
      <c r="M10950" t="s">
        <v>46630</v>
      </c>
      <c r="N10950" t="s">
        <v>47424</v>
      </c>
      <c r="O10950" t="s">
        <v>47425</v>
      </c>
      <c r="P10950">
        <v>0</v>
      </c>
      <c r="Q10950">
        <v>5</v>
      </c>
      <c r="R10950" t="s">
        <v>47437</v>
      </c>
      <c r="S10950" t="s">
        <v>47706</v>
      </c>
      <c r="T10950" t="s">
        <v>49077</v>
      </c>
      <c r="U10950" t="s">
        <v>58692</v>
      </c>
      <c r="W10950" t="s">
        <v>46630</v>
      </c>
      <c r="X10950" t="s">
        <v>47439</v>
      </c>
    </row>
    <row r="10951" spans="1:24">
      <c r="A10951">
        <f>HYPERLINK("https://www.philgeps.gov.ph/GEPSNONPILOT/Tender/SplashBidNoticeAbstractUI.aspx?menuIndex=3&amp;refID=7145439&amp;Result=3","7145439")</f>
        <v>0</v>
      </c>
      <c r="B10951" t="s">
        <v>861</v>
      </c>
      <c r="C10951" t="s">
        <v>14194</v>
      </c>
      <c r="D10951" t="s">
        <v>19041</v>
      </c>
      <c r="E10951" t="s">
        <v>28502</v>
      </c>
      <c r="F10951" t="s">
        <v>32831</v>
      </c>
      <c r="G10951" t="s">
        <v>32839</v>
      </c>
      <c r="H10951" t="s">
        <v>32849</v>
      </c>
      <c r="I10951" t="s">
        <v>4177</v>
      </c>
      <c r="J10951" t="s">
        <v>39722</v>
      </c>
      <c r="K10951" t="s">
        <v>42729</v>
      </c>
      <c r="M10951" t="s">
        <v>43895</v>
      </c>
      <c r="N10951" t="s">
        <v>47424</v>
      </c>
      <c r="O10951" t="s">
        <v>47425</v>
      </c>
      <c r="P10951">
        <v>0</v>
      </c>
      <c r="Q10951">
        <v>0</v>
      </c>
      <c r="R10951" t="s">
        <v>47437</v>
      </c>
      <c r="S10951" t="s">
        <v>47706</v>
      </c>
      <c r="T10951" t="s">
        <v>49080</v>
      </c>
      <c r="U10951" t="s">
        <v>58693</v>
      </c>
      <c r="W10951" t="s">
        <v>43895</v>
      </c>
      <c r="X10951" t="s">
        <v>47438</v>
      </c>
    </row>
    <row r="10952" spans="1:24">
      <c r="A10952">
        <f>HYPERLINK("https://www.philgeps.gov.ph/GEPSNONPILOT/Tender/SplashBidNoticeAbstractUI.aspx?menuIndex=3&amp;refID=7145337&amp;Result=3","7145337")</f>
        <v>0</v>
      </c>
      <c r="B10952" t="s">
        <v>2872</v>
      </c>
      <c r="C10952" t="s">
        <v>14195</v>
      </c>
      <c r="D10952" t="s">
        <v>19044</v>
      </c>
      <c r="E10952" t="s">
        <v>19838</v>
      </c>
      <c r="F10952" t="s">
        <v>32831</v>
      </c>
      <c r="G10952" t="s">
        <v>32841</v>
      </c>
      <c r="H10952" t="s">
        <v>32848</v>
      </c>
      <c r="I10952" t="s">
        <v>7416</v>
      </c>
      <c r="J10952" t="s">
        <v>39723</v>
      </c>
      <c r="K10952" t="s">
        <v>42730</v>
      </c>
      <c r="M10952" t="s">
        <v>46107</v>
      </c>
      <c r="N10952" t="s">
        <v>47424</v>
      </c>
      <c r="O10952" t="s">
        <v>47425</v>
      </c>
      <c r="P10952">
        <v>0</v>
      </c>
      <c r="Q10952">
        <v>0</v>
      </c>
      <c r="R10952" t="s">
        <v>47437</v>
      </c>
      <c r="S10952" t="s">
        <v>47706</v>
      </c>
      <c r="T10952" t="s">
        <v>49108</v>
      </c>
      <c r="U10952" t="s">
        <v>58694</v>
      </c>
      <c r="W10952" t="s">
        <v>46107</v>
      </c>
      <c r="X10952" t="s">
        <v>47438</v>
      </c>
    </row>
    <row r="10953" spans="1:24">
      <c r="A10953">
        <f>HYPERLINK("https://www.philgeps.gov.ph/GEPSNONPILOT/Tender/SplashBidNoticeAbstractUI.aspx?menuIndex=3&amp;refID=7144941&amp;Result=3","7144941")</f>
        <v>0</v>
      </c>
      <c r="B10953" t="s">
        <v>958</v>
      </c>
      <c r="C10953" t="s">
        <v>14196</v>
      </c>
      <c r="D10953" t="s">
        <v>19049</v>
      </c>
      <c r="E10953" t="s">
        <v>28503</v>
      </c>
      <c r="F10953" t="s">
        <v>32831</v>
      </c>
      <c r="G10953" t="s">
        <v>32838</v>
      </c>
      <c r="H10953" t="s">
        <v>32848</v>
      </c>
      <c r="I10953" t="s">
        <v>32857</v>
      </c>
      <c r="J10953" t="s">
        <v>33397</v>
      </c>
      <c r="K10953" t="s">
        <v>42732</v>
      </c>
      <c r="M10953" t="s">
        <v>44004</v>
      </c>
      <c r="N10953" t="s">
        <v>47424</v>
      </c>
      <c r="O10953" t="s">
        <v>47425</v>
      </c>
      <c r="P10953">
        <v>0</v>
      </c>
      <c r="Q10953">
        <v>3</v>
      </c>
      <c r="R10953" t="s">
        <v>47437</v>
      </c>
      <c r="S10953" t="s">
        <v>47706</v>
      </c>
      <c r="T10953" t="s">
        <v>49061</v>
      </c>
      <c r="U10953" t="s">
        <v>58695</v>
      </c>
      <c r="W10953" t="s">
        <v>44004</v>
      </c>
      <c r="X10953" t="s">
        <v>47439</v>
      </c>
    </row>
    <row r="10954" spans="1:24">
      <c r="A10954">
        <f>HYPERLINK("https://www.philgeps.gov.ph/GEPSNONPILOT/Tender/SplashBidNoticeAbstractUI.aspx?menuIndex=3&amp;refID=7144819&amp;Result=3","7144819")</f>
        <v>0</v>
      </c>
      <c r="B10954" t="s">
        <v>3309</v>
      </c>
      <c r="C10954" t="s">
        <v>14197</v>
      </c>
      <c r="D10954" t="s">
        <v>19018</v>
      </c>
      <c r="E10954" t="s">
        <v>22739</v>
      </c>
      <c r="F10954" t="s">
        <v>32831</v>
      </c>
      <c r="G10954" t="s">
        <v>32839</v>
      </c>
      <c r="H10954" t="s">
        <v>32849</v>
      </c>
      <c r="I10954" t="s">
        <v>4177</v>
      </c>
      <c r="J10954" t="s">
        <v>33111</v>
      </c>
      <c r="K10954" t="s">
        <v>42770</v>
      </c>
      <c r="M10954" t="s">
        <v>46631</v>
      </c>
      <c r="N10954" t="s">
        <v>47424</v>
      </c>
      <c r="O10954" t="s">
        <v>47425</v>
      </c>
      <c r="P10954">
        <v>0</v>
      </c>
      <c r="Q10954">
        <v>0</v>
      </c>
      <c r="R10954" t="s">
        <v>47437</v>
      </c>
      <c r="S10954" t="s">
        <v>47706</v>
      </c>
      <c r="T10954" t="s">
        <v>49122</v>
      </c>
      <c r="U10954" t="s">
        <v>58696</v>
      </c>
      <c r="W10954" t="s">
        <v>46631</v>
      </c>
      <c r="X10954" t="s">
        <v>47439</v>
      </c>
    </row>
    <row r="10955" spans="1:24">
      <c r="A10955">
        <f>HYPERLINK("https://www.philgeps.gov.ph/GEPSNONPILOT/Tender/SplashBidNoticeAbstractUI.aspx?menuIndex=3&amp;refID=7145441&amp;Result=3","7145441")</f>
        <v>0</v>
      </c>
      <c r="B10955" t="s">
        <v>649</v>
      </c>
      <c r="C10955" t="s">
        <v>14198</v>
      </c>
      <c r="D10955" t="s">
        <v>19082</v>
      </c>
      <c r="E10955" t="s">
        <v>28504</v>
      </c>
      <c r="F10955" t="s">
        <v>32831</v>
      </c>
      <c r="G10955" t="s">
        <v>32839</v>
      </c>
      <c r="H10955" t="s">
        <v>32848</v>
      </c>
      <c r="I10955" t="s">
        <v>4558</v>
      </c>
      <c r="J10955" t="s">
        <v>33072</v>
      </c>
      <c r="K10955" t="s">
        <v>42727</v>
      </c>
      <c r="M10955" t="s">
        <v>43666</v>
      </c>
      <c r="N10955" t="s">
        <v>47424</v>
      </c>
      <c r="O10955" t="s">
        <v>47425</v>
      </c>
      <c r="P10955">
        <v>0</v>
      </c>
      <c r="Q10955">
        <v>3</v>
      </c>
      <c r="R10955" t="s">
        <v>47437</v>
      </c>
      <c r="S10955" t="s">
        <v>47706</v>
      </c>
      <c r="T10955" t="s">
        <v>49196</v>
      </c>
      <c r="U10955" t="s">
        <v>58697</v>
      </c>
      <c r="W10955" t="s">
        <v>43666</v>
      </c>
      <c r="X10955" t="s">
        <v>47438</v>
      </c>
    </row>
    <row r="10956" spans="1:24">
      <c r="A10956">
        <f>HYPERLINK("https://www.philgeps.gov.ph/GEPSNONPILOT/Tender/SplashBidNoticeAbstractUI.aspx?menuIndex=3&amp;refID=7145676&amp;Result=3","7145676")</f>
        <v>0</v>
      </c>
      <c r="B10956" t="s">
        <v>618</v>
      </c>
      <c r="C10956" t="s">
        <v>14199</v>
      </c>
      <c r="D10956" t="s">
        <v>19084</v>
      </c>
      <c r="E10956" t="s">
        <v>28505</v>
      </c>
      <c r="F10956" t="s">
        <v>32831</v>
      </c>
      <c r="G10956" t="s">
        <v>32839</v>
      </c>
      <c r="H10956" t="s">
        <v>32849</v>
      </c>
      <c r="I10956" t="s">
        <v>4177</v>
      </c>
      <c r="J10956" t="s">
        <v>33465</v>
      </c>
      <c r="K10956" t="s">
        <v>42780</v>
      </c>
      <c r="M10956" t="s">
        <v>43634</v>
      </c>
      <c r="N10956" t="s">
        <v>47424</v>
      </c>
      <c r="O10956" t="s">
        <v>47425</v>
      </c>
      <c r="P10956">
        <v>0</v>
      </c>
      <c r="Q10956">
        <v>1</v>
      </c>
      <c r="R10956" t="s">
        <v>47437</v>
      </c>
      <c r="S10956" t="s">
        <v>47706</v>
      </c>
      <c r="T10956" t="s">
        <v>49236</v>
      </c>
      <c r="U10956" t="s">
        <v>58698</v>
      </c>
      <c r="V10956" t="s">
        <v>63832</v>
      </c>
      <c r="W10956" t="s">
        <v>43634</v>
      </c>
      <c r="X10956" t="s">
        <v>47438</v>
      </c>
    </row>
    <row r="10957" spans="1:24">
      <c r="A10957">
        <f>HYPERLINK("https://www.philgeps.gov.ph/GEPSNONPILOT/Tender/SplashBidNoticeAbstractUI.aspx?menuIndex=3&amp;refID=7145669&amp;Result=3","7145669")</f>
        <v>0</v>
      </c>
      <c r="B10957" t="s">
        <v>3310</v>
      </c>
      <c r="C10957" t="s">
        <v>14200</v>
      </c>
      <c r="D10957" t="s">
        <v>19022</v>
      </c>
      <c r="E10957" t="s">
        <v>28506</v>
      </c>
      <c r="F10957" t="s">
        <v>32831</v>
      </c>
      <c r="G10957" t="s">
        <v>32839</v>
      </c>
      <c r="H10957" t="s">
        <v>32849</v>
      </c>
      <c r="I10957" t="s">
        <v>4177</v>
      </c>
      <c r="J10957" t="s">
        <v>39724</v>
      </c>
      <c r="K10957" t="s">
        <v>42770</v>
      </c>
      <c r="M10957" t="s">
        <v>46632</v>
      </c>
      <c r="N10957" t="s">
        <v>47424</v>
      </c>
      <c r="O10957" t="s">
        <v>47425</v>
      </c>
      <c r="P10957">
        <v>0</v>
      </c>
      <c r="Q10957">
        <v>0</v>
      </c>
      <c r="R10957" t="s">
        <v>47437</v>
      </c>
      <c r="S10957" t="s">
        <v>47706</v>
      </c>
      <c r="T10957" t="s">
        <v>49059</v>
      </c>
      <c r="U10957" t="s">
        <v>58699</v>
      </c>
      <c r="W10957" t="s">
        <v>46632</v>
      </c>
      <c r="X10957" t="s">
        <v>47438</v>
      </c>
    </row>
    <row r="10958" spans="1:24">
      <c r="A10958">
        <f>HYPERLINK("https://www.philgeps.gov.ph/GEPSNONPILOT/Tender/SplashBidNoticeAbstractUI.aspx?menuIndex=3&amp;refID=7145690&amp;Result=3","7145690")</f>
        <v>0</v>
      </c>
      <c r="B10958" t="s">
        <v>1666</v>
      </c>
      <c r="C10958" t="s">
        <v>14201</v>
      </c>
      <c r="D10958" t="s">
        <v>19067</v>
      </c>
      <c r="E10958" t="s">
        <v>28507</v>
      </c>
      <c r="F10958" t="s">
        <v>32831</v>
      </c>
      <c r="G10958" t="s">
        <v>32839</v>
      </c>
      <c r="H10958" t="s">
        <v>32848</v>
      </c>
      <c r="I10958" t="s">
        <v>7416</v>
      </c>
      <c r="J10958" t="s">
        <v>33980</v>
      </c>
      <c r="K10958" t="s">
        <v>42747</v>
      </c>
      <c r="M10958" t="s">
        <v>44783</v>
      </c>
      <c r="N10958" t="s">
        <v>47424</v>
      </c>
      <c r="O10958" t="s">
        <v>47425</v>
      </c>
      <c r="P10958">
        <v>0</v>
      </c>
      <c r="Q10958">
        <v>0</v>
      </c>
      <c r="R10958" t="s">
        <v>47437</v>
      </c>
      <c r="S10958" t="s">
        <v>47706</v>
      </c>
      <c r="T10958" t="s">
        <v>49302</v>
      </c>
      <c r="U10958" t="s">
        <v>58700</v>
      </c>
      <c r="W10958" t="s">
        <v>44783</v>
      </c>
      <c r="X10958" t="s">
        <v>47438</v>
      </c>
    </row>
    <row r="10959" spans="1:24">
      <c r="A10959">
        <f>HYPERLINK("https://www.philgeps.gov.ph/GEPSNONPILOT/Tender/SplashBidNoticeAbstractUI.aspx?menuIndex=3&amp;refID=7145660&amp;Result=3","7145660")</f>
        <v>0</v>
      </c>
      <c r="B10959" t="s">
        <v>3311</v>
      </c>
      <c r="C10959" t="s">
        <v>14202</v>
      </c>
      <c r="D10959" t="s">
        <v>19045</v>
      </c>
      <c r="E10959" t="s">
        <v>28508</v>
      </c>
      <c r="F10959" t="s">
        <v>32831</v>
      </c>
      <c r="G10959" t="s">
        <v>32839</v>
      </c>
      <c r="H10959" t="s">
        <v>32849</v>
      </c>
      <c r="I10959" t="s">
        <v>4177</v>
      </c>
      <c r="J10959" t="s">
        <v>32978</v>
      </c>
      <c r="K10959" t="s">
        <v>42763</v>
      </c>
      <c r="M10959" t="s">
        <v>46633</v>
      </c>
      <c r="N10959" t="s">
        <v>47424</v>
      </c>
      <c r="O10959" t="s">
        <v>47425</v>
      </c>
      <c r="P10959">
        <v>0</v>
      </c>
      <c r="Q10959">
        <v>2</v>
      </c>
      <c r="R10959" t="s">
        <v>47437</v>
      </c>
      <c r="S10959" t="s">
        <v>47706</v>
      </c>
      <c r="T10959" t="s">
        <v>49155</v>
      </c>
      <c r="U10959" t="s">
        <v>58701</v>
      </c>
      <c r="V10959" t="s">
        <v>62846</v>
      </c>
      <c r="W10959" t="s">
        <v>46633</v>
      </c>
      <c r="X10959" t="s">
        <v>47438</v>
      </c>
    </row>
    <row r="10960" spans="1:24">
      <c r="A10960">
        <f>HYPERLINK("https://www.philgeps.gov.ph/GEPSNONPILOT/Tender/SplashBidNoticeAbstractUI.aspx?menuIndex=3&amp;refID=7145724&amp;Result=3","7145724")</f>
        <v>0</v>
      </c>
      <c r="B10960" t="s">
        <v>27</v>
      </c>
      <c r="C10960" t="s">
        <v>14203</v>
      </c>
      <c r="D10960" t="s">
        <v>19020</v>
      </c>
      <c r="E10960" t="s">
        <v>28509</v>
      </c>
      <c r="F10960" t="s">
        <v>32831</v>
      </c>
      <c r="G10960" t="s">
        <v>32839</v>
      </c>
      <c r="H10960" t="s">
        <v>32848</v>
      </c>
      <c r="I10960" t="s">
        <v>32921</v>
      </c>
      <c r="J10960" t="s">
        <v>39725</v>
      </c>
      <c r="K10960" t="s">
        <v>42905</v>
      </c>
      <c r="M10960" t="s">
        <v>43309</v>
      </c>
      <c r="N10960" t="s">
        <v>47424</v>
      </c>
      <c r="O10960" t="s">
        <v>47425</v>
      </c>
      <c r="P10960">
        <v>0</v>
      </c>
      <c r="Q10960">
        <v>4</v>
      </c>
      <c r="R10960" t="s">
        <v>47437</v>
      </c>
      <c r="S10960" t="s">
        <v>47706</v>
      </c>
      <c r="T10960" t="s">
        <v>49155</v>
      </c>
      <c r="U10960" t="s">
        <v>58702</v>
      </c>
      <c r="W10960" t="s">
        <v>43309</v>
      </c>
      <c r="X10960" t="s">
        <v>47438</v>
      </c>
    </row>
    <row r="10961" spans="1:24">
      <c r="A10961">
        <f>HYPERLINK("https://www.philgeps.gov.ph/GEPSNONPILOT/Tender/SplashBidNoticeAbstractUI.aspx?menuIndex=3&amp;refID=7145742&amp;Result=3","7145742")</f>
        <v>0</v>
      </c>
      <c r="B10961" t="s">
        <v>459</v>
      </c>
      <c r="C10961" t="s">
        <v>14204</v>
      </c>
      <c r="D10961" t="s">
        <v>19023</v>
      </c>
      <c r="E10961" t="s">
        <v>28510</v>
      </c>
      <c r="F10961" t="s">
        <v>32831</v>
      </c>
      <c r="G10961" t="s">
        <v>32839</v>
      </c>
      <c r="H10961" t="s">
        <v>32848</v>
      </c>
      <c r="I10961" t="s">
        <v>4487</v>
      </c>
      <c r="J10961" t="s">
        <v>39726</v>
      </c>
      <c r="K10961" t="s">
        <v>42730</v>
      </c>
      <c r="M10961" t="s">
        <v>43464</v>
      </c>
      <c r="N10961" t="s">
        <v>47424</v>
      </c>
      <c r="O10961" t="s">
        <v>47425</v>
      </c>
      <c r="P10961">
        <v>0</v>
      </c>
      <c r="Q10961">
        <v>12</v>
      </c>
      <c r="R10961" t="s">
        <v>47437</v>
      </c>
      <c r="S10961" t="s">
        <v>47706</v>
      </c>
      <c r="T10961" t="s">
        <v>49057</v>
      </c>
      <c r="U10961" t="s">
        <v>58703</v>
      </c>
      <c r="V10961" t="s">
        <v>62882</v>
      </c>
      <c r="W10961" t="s">
        <v>43464</v>
      </c>
      <c r="X10961" t="s">
        <v>47438</v>
      </c>
    </row>
    <row r="10962" spans="1:24">
      <c r="A10962">
        <f>HYPERLINK("https://www.philgeps.gov.ph/GEPSNONPILOT/Tender/SplashBidNoticeAbstractUI.aspx?menuIndex=3&amp;refID=7145707&amp;Result=3","7145707")</f>
        <v>0</v>
      </c>
      <c r="B10962" t="s">
        <v>616</v>
      </c>
      <c r="C10962" t="s">
        <v>14205</v>
      </c>
      <c r="D10962" t="s">
        <v>19059</v>
      </c>
      <c r="E10962" t="s">
        <v>28511</v>
      </c>
      <c r="F10962" t="s">
        <v>32831</v>
      </c>
      <c r="G10962" t="s">
        <v>32839</v>
      </c>
      <c r="H10962" t="s">
        <v>32848</v>
      </c>
      <c r="I10962" t="s">
        <v>6526</v>
      </c>
      <c r="J10962" t="s">
        <v>39727</v>
      </c>
      <c r="K10962" t="s">
        <v>42732</v>
      </c>
      <c r="L10962" t="s">
        <v>616</v>
      </c>
      <c r="M10962" t="s">
        <v>43630</v>
      </c>
      <c r="N10962" t="s">
        <v>47424</v>
      </c>
      <c r="O10962" t="s">
        <v>47425</v>
      </c>
      <c r="P10962">
        <v>0</v>
      </c>
      <c r="Q10962">
        <v>3</v>
      </c>
      <c r="R10962" t="s">
        <v>47437</v>
      </c>
      <c r="S10962" t="s">
        <v>47706</v>
      </c>
      <c r="T10962" t="s">
        <v>49236</v>
      </c>
      <c r="U10962" t="s">
        <v>58704</v>
      </c>
      <c r="W10962" t="s">
        <v>43630</v>
      </c>
      <c r="X10962" t="s">
        <v>47438</v>
      </c>
    </row>
    <row r="10963" spans="1:24">
      <c r="A10963">
        <f>HYPERLINK("https://www.philgeps.gov.ph/GEPSNONPILOT/Tender/SplashBidNoticeAbstractUI.aspx?menuIndex=3&amp;refID=7145706&amp;Result=3","7145706")</f>
        <v>0</v>
      </c>
      <c r="B10963" t="s">
        <v>3312</v>
      </c>
      <c r="C10963" t="s">
        <v>14206</v>
      </c>
      <c r="D10963" t="s">
        <v>19030</v>
      </c>
      <c r="E10963" t="s">
        <v>28512</v>
      </c>
      <c r="F10963" t="s">
        <v>32831</v>
      </c>
      <c r="G10963" t="s">
        <v>32839</v>
      </c>
      <c r="H10963" t="s">
        <v>32849</v>
      </c>
      <c r="I10963" t="s">
        <v>4177</v>
      </c>
      <c r="J10963" t="s">
        <v>39728</v>
      </c>
      <c r="K10963" t="s">
        <v>42794</v>
      </c>
      <c r="M10963" t="s">
        <v>46634</v>
      </c>
      <c r="N10963" t="s">
        <v>47424</v>
      </c>
      <c r="O10963" t="s">
        <v>47425</v>
      </c>
      <c r="P10963">
        <v>0</v>
      </c>
      <c r="Q10963">
        <v>2</v>
      </c>
      <c r="R10963" t="s">
        <v>47437</v>
      </c>
      <c r="S10963" t="s">
        <v>47706</v>
      </c>
      <c r="T10963" t="s">
        <v>49237</v>
      </c>
      <c r="U10963" t="s">
        <v>58705</v>
      </c>
      <c r="V10963" t="s">
        <v>63833</v>
      </c>
      <c r="W10963" t="s">
        <v>46634</v>
      </c>
      <c r="X10963" t="s">
        <v>47438</v>
      </c>
    </row>
    <row r="10964" spans="1:24">
      <c r="A10964">
        <f>HYPERLINK("https://www.philgeps.gov.ph/GEPSNONPILOT/Tender/SplashBidNoticeAbstractUI.aspx?menuIndex=3&amp;refID=7145650&amp;Result=3","7145650")</f>
        <v>0</v>
      </c>
      <c r="B10964" t="s">
        <v>295</v>
      </c>
      <c r="C10964" t="s">
        <v>14207</v>
      </c>
      <c r="D10964" t="s">
        <v>19044</v>
      </c>
      <c r="E10964" t="s">
        <v>28513</v>
      </c>
      <c r="F10964" t="s">
        <v>32831</v>
      </c>
      <c r="G10964" t="s">
        <v>32839</v>
      </c>
      <c r="H10964" t="s">
        <v>32848</v>
      </c>
      <c r="I10964" t="s">
        <v>32890</v>
      </c>
      <c r="J10964" t="s">
        <v>39729</v>
      </c>
      <c r="K10964" t="s">
        <v>42729</v>
      </c>
      <c r="M10964" t="s">
        <v>46635</v>
      </c>
      <c r="N10964" t="s">
        <v>47424</v>
      </c>
      <c r="O10964" t="s">
        <v>47425</v>
      </c>
      <c r="P10964">
        <v>0</v>
      </c>
      <c r="Q10964">
        <v>1</v>
      </c>
      <c r="R10964" t="s">
        <v>47437</v>
      </c>
      <c r="S10964" t="s">
        <v>47706</v>
      </c>
      <c r="T10964" t="s">
        <v>49310</v>
      </c>
      <c r="U10964" t="s">
        <v>58706</v>
      </c>
      <c r="V10964" t="s">
        <v>63834</v>
      </c>
      <c r="W10964" t="s">
        <v>46635</v>
      </c>
      <c r="X10964" t="s">
        <v>47438</v>
      </c>
    </row>
    <row r="10965" spans="1:24">
      <c r="A10965">
        <f>HYPERLINK("https://www.philgeps.gov.ph/GEPSNONPILOT/Tender/SplashBidNoticeAbstractUI.aspx?menuIndex=3&amp;refID=7145651&amp;Result=3","7145651")</f>
        <v>0</v>
      </c>
      <c r="B10965" t="s">
        <v>2487</v>
      </c>
      <c r="C10965" t="s">
        <v>14208</v>
      </c>
      <c r="D10965" t="s">
        <v>19071</v>
      </c>
      <c r="E10965" t="s">
        <v>28514</v>
      </c>
      <c r="F10965" t="s">
        <v>32831</v>
      </c>
      <c r="G10965" t="s">
        <v>32839</v>
      </c>
      <c r="H10965" t="s">
        <v>32848</v>
      </c>
      <c r="I10965" t="s">
        <v>7416</v>
      </c>
      <c r="J10965" t="s">
        <v>39730</v>
      </c>
      <c r="K10965" t="s">
        <v>42732</v>
      </c>
      <c r="M10965" t="s">
        <v>45690</v>
      </c>
      <c r="N10965" t="s">
        <v>47424</v>
      </c>
      <c r="O10965" t="s">
        <v>47425</v>
      </c>
      <c r="P10965">
        <v>0</v>
      </c>
      <c r="Q10965">
        <v>1</v>
      </c>
      <c r="R10965" t="s">
        <v>47437</v>
      </c>
      <c r="S10965" t="s">
        <v>47706</v>
      </c>
      <c r="T10965" t="s">
        <v>49073</v>
      </c>
      <c r="U10965" t="s">
        <v>58707</v>
      </c>
      <c r="W10965" t="s">
        <v>45690</v>
      </c>
      <c r="X10965" t="s">
        <v>47438</v>
      </c>
    </row>
    <row r="10966" spans="1:24">
      <c r="A10966">
        <f>HYPERLINK("https://www.philgeps.gov.ph/GEPSNONPILOT/Tender/SplashBidNoticeAbstractUI.aspx?menuIndex=3&amp;refID=7145746&amp;Result=3","7145746")</f>
        <v>0</v>
      </c>
      <c r="B10966" t="s">
        <v>618</v>
      </c>
      <c r="C10966" t="s">
        <v>14209</v>
      </c>
      <c r="D10966" t="s">
        <v>19084</v>
      </c>
      <c r="E10966" t="s">
        <v>28515</v>
      </c>
      <c r="F10966" t="s">
        <v>32831</v>
      </c>
      <c r="G10966" t="s">
        <v>32839</v>
      </c>
      <c r="H10966" t="s">
        <v>32849</v>
      </c>
      <c r="I10966" t="s">
        <v>4177</v>
      </c>
      <c r="J10966" t="s">
        <v>33465</v>
      </c>
      <c r="K10966" t="s">
        <v>42780</v>
      </c>
      <c r="M10966" t="s">
        <v>43634</v>
      </c>
      <c r="N10966" t="s">
        <v>47424</v>
      </c>
      <c r="O10966" t="s">
        <v>47425</v>
      </c>
      <c r="P10966">
        <v>0</v>
      </c>
      <c r="Q10966">
        <v>1</v>
      </c>
      <c r="R10966" t="s">
        <v>47437</v>
      </c>
      <c r="S10966" t="s">
        <v>47706</v>
      </c>
      <c r="T10966" t="s">
        <v>49236</v>
      </c>
      <c r="U10966" t="s">
        <v>58488</v>
      </c>
      <c r="V10966" t="s">
        <v>63835</v>
      </c>
      <c r="W10966" t="s">
        <v>43634</v>
      </c>
      <c r="X10966" t="s">
        <v>47438</v>
      </c>
    </row>
    <row r="10967" spans="1:24">
      <c r="A10967">
        <f>HYPERLINK("https://www.philgeps.gov.ph/GEPSNONPILOT/Tender/SplashBidNoticeAbstractUI.aspx?menuIndex=3&amp;refID=7145623&amp;Result=3","7145623")</f>
        <v>0</v>
      </c>
      <c r="B10967" t="s">
        <v>2487</v>
      </c>
      <c r="C10967" t="s">
        <v>14210</v>
      </c>
      <c r="D10967" t="s">
        <v>19071</v>
      </c>
      <c r="E10967" t="s">
        <v>28516</v>
      </c>
      <c r="F10967" t="s">
        <v>32831</v>
      </c>
      <c r="G10967" t="s">
        <v>32839</v>
      </c>
      <c r="H10967" t="s">
        <v>32848</v>
      </c>
      <c r="I10967" t="s">
        <v>7416</v>
      </c>
      <c r="J10967" t="s">
        <v>39731</v>
      </c>
      <c r="K10967" t="s">
        <v>42732</v>
      </c>
      <c r="M10967" t="s">
        <v>45690</v>
      </c>
      <c r="N10967" t="s">
        <v>47424</v>
      </c>
      <c r="O10967" t="s">
        <v>47425</v>
      </c>
      <c r="P10967">
        <v>0</v>
      </c>
      <c r="Q10967">
        <v>1</v>
      </c>
      <c r="R10967" t="s">
        <v>47437</v>
      </c>
      <c r="S10967" t="s">
        <v>47706</v>
      </c>
      <c r="T10967" t="s">
        <v>49073</v>
      </c>
      <c r="U10967" t="s">
        <v>58708</v>
      </c>
      <c r="W10967" t="s">
        <v>45690</v>
      </c>
      <c r="X10967" t="s">
        <v>47438</v>
      </c>
    </row>
    <row r="10968" spans="1:24">
      <c r="A10968">
        <f>HYPERLINK("https://www.philgeps.gov.ph/GEPSNONPILOT/Tender/SplashBidNoticeAbstractUI.aspx?menuIndex=3&amp;refID=7145640&amp;Result=3","7145640")</f>
        <v>0</v>
      </c>
      <c r="B10968" t="s">
        <v>27</v>
      </c>
      <c r="C10968" t="s">
        <v>14211</v>
      </c>
      <c r="D10968" t="s">
        <v>19020</v>
      </c>
      <c r="E10968" t="s">
        <v>28517</v>
      </c>
      <c r="F10968" t="s">
        <v>32831</v>
      </c>
      <c r="G10968" t="s">
        <v>32839</v>
      </c>
      <c r="H10968" t="s">
        <v>32848</v>
      </c>
      <c r="I10968" t="s">
        <v>32859</v>
      </c>
      <c r="J10968" t="s">
        <v>33016</v>
      </c>
      <c r="K10968" t="s">
        <v>42935</v>
      </c>
      <c r="M10968" t="s">
        <v>43309</v>
      </c>
      <c r="N10968" t="s">
        <v>47424</v>
      </c>
      <c r="O10968" t="s">
        <v>47425</v>
      </c>
      <c r="Q10968">
        <v>3</v>
      </c>
      <c r="R10968" t="s">
        <v>47437</v>
      </c>
      <c r="S10968" t="s">
        <v>47734</v>
      </c>
      <c r="T10968" t="s">
        <v>49155</v>
      </c>
      <c r="U10968" t="s">
        <v>58709</v>
      </c>
      <c r="W10968" t="s">
        <v>43309</v>
      </c>
      <c r="X10968" t="s">
        <v>47438</v>
      </c>
    </row>
    <row r="10969" spans="1:24">
      <c r="A10969">
        <f>HYPERLINK("https://www.philgeps.gov.ph/GEPSNONPILOT/Tender/SplashBidNoticeAbstractUI.aspx?menuIndex=3&amp;refID=7145649&amp;Result=3","7145649")</f>
        <v>0</v>
      </c>
      <c r="B10969" t="s">
        <v>2739</v>
      </c>
      <c r="C10969" t="s">
        <v>14212</v>
      </c>
      <c r="D10969" t="s">
        <v>19018</v>
      </c>
      <c r="E10969" t="s">
        <v>28518</v>
      </c>
      <c r="F10969" t="s">
        <v>32831</v>
      </c>
      <c r="G10969" t="s">
        <v>32839</v>
      </c>
      <c r="H10969" t="s">
        <v>32848</v>
      </c>
      <c r="I10969" t="s">
        <v>32870</v>
      </c>
      <c r="J10969" t="s">
        <v>33025</v>
      </c>
      <c r="K10969" t="s">
        <v>42758</v>
      </c>
      <c r="M10969" t="s">
        <v>45967</v>
      </c>
      <c r="N10969" t="s">
        <v>47424</v>
      </c>
      <c r="O10969" t="s">
        <v>47425</v>
      </c>
      <c r="P10969">
        <v>0</v>
      </c>
      <c r="Q10969">
        <v>0</v>
      </c>
      <c r="R10969" t="s">
        <v>47437</v>
      </c>
      <c r="S10969" t="s">
        <v>47706</v>
      </c>
      <c r="T10969" t="s">
        <v>49288</v>
      </c>
      <c r="U10969" t="s">
        <v>58710</v>
      </c>
      <c r="W10969" t="s">
        <v>45967</v>
      </c>
      <c r="X10969" t="s">
        <v>47438</v>
      </c>
    </row>
    <row r="10970" spans="1:24">
      <c r="A10970">
        <f>HYPERLINK("https://www.philgeps.gov.ph/GEPSNONPILOT/Tender/SplashBidNoticeAbstractUI.aspx?menuIndex=3&amp;refID=7145041&amp;Result=3","7145041")</f>
        <v>0</v>
      </c>
      <c r="B10970" t="s">
        <v>819</v>
      </c>
      <c r="C10970" t="s">
        <v>14213</v>
      </c>
      <c r="D10970" t="s">
        <v>19057</v>
      </c>
      <c r="E10970" t="s">
        <v>28519</v>
      </c>
      <c r="F10970" t="s">
        <v>32831</v>
      </c>
      <c r="G10970" t="s">
        <v>32839</v>
      </c>
      <c r="H10970" t="s">
        <v>32849</v>
      </c>
      <c r="I10970" t="s">
        <v>4177</v>
      </c>
      <c r="J10970" t="s">
        <v>39732</v>
      </c>
      <c r="K10970" t="s">
        <v>42770</v>
      </c>
      <c r="M10970" t="s">
        <v>43850</v>
      </c>
      <c r="N10970" t="s">
        <v>47424</v>
      </c>
      <c r="O10970" t="s">
        <v>47425</v>
      </c>
      <c r="P10970">
        <v>0</v>
      </c>
      <c r="Q10970">
        <v>1</v>
      </c>
      <c r="R10970" t="s">
        <v>47437</v>
      </c>
      <c r="S10970" t="s">
        <v>47706</v>
      </c>
      <c r="T10970" t="s">
        <v>49057</v>
      </c>
      <c r="U10970" t="s">
        <v>58711</v>
      </c>
      <c r="W10970" t="s">
        <v>43850</v>
      </c>
      <c r="X10970" t="s">
        <v>47439</v>
      </c>
    </row>
    <row r="10971" spans="1:24">
      <c r="A10971">
        <f>HYPERLINK("https://www.philgeps.gov.ph/GEPSNONPILOT/Tender/SplashBidNoticeAbstractUI.aspx?menuIndex=3&amp;refID=7145888&amp;Result=3","7145888")</f>
        <v>0</v>
      </c>
      <c r="B10971" t="s">
        <v>1564</v>
      </c>
      <c r="C10971" t="s">
        <v>14214</v>
      </c>
      <c r="D10971" t="s">
        <v>19049</v>
      </c>
      <c r="E10971" t="s">
        <v>28520</v>
      </c>
      <c r="F10971" t="s">
        <v>32831</v>
      </c>
      <c r="G10971" t="s">
        <v>32839</v>
      </c>
      <c r="H10971" t="s">
        <v>32848</v>
      </c>
      <c r="I10971" t="s">
        <v>32870</v>
      </c>
      <c r="J10971" t="s">
        <v>39733</v>
      </c>
      <c r="K10971" t="s">
        <v>42738</v>
      </c>
      <c r="M10971" t="s">
        <v>44673</v>
      </c>
      <c r="N10971" t="s">
        <v>47424</v>
      </c>
      <c r="O10971" t="s">
        <v>47425</v>
      </c>
      <c r="P10971">
        <v>0</v>
      </c>
      <c r="Q10971">
        <v>1</v>
      </c>
      <c r="R10971" t="s">
        <v>47437</v>
      </c>
      <c r="S10971" t="s">
        <v>47706</v>
      </c>
      <c r="T10971" t="s">
        <v>49179</v>
      </c>
      <c r="U10971" t="s">
        <v>58712</v>
      </c>
      <c r="V10971" t="s">
        <v>63836</v>
      </c>
      <c r="W10971" t="s">
        <v>44673</v>
      </c>
      <c r="X10971" t="s">
        <v>47438</v>
      </c>
    </row>
    <row r="10972" spans="1:24">
      <c r="A10972">
        <f>HYPERLINK("https://www.philgeps.gov.ph/GEPSNONPILOT/Tender/SplashBidNoticeAbstractUI.aspx?menuIndex=3&amp;refID=7145907&amp;Result=3","7145907")</f>
        <v>0</v>
      </c>
      <c r="B10972" t="s">
        <v>3313</v>
      </c>
      <c r="C10972" t="s">
        <v>14215</v>
      </c>
      <c r="D10972" t="s">
        <v>19021</v>
      </c>
      <c r="E10972" t="s">
        <v>28521</v>
      </c>
      <c r="F10972" t="s">
        <v>32831</v>
      </c>
      <c r="G10972" t="s">
        <v>32839</v>
      </c>
      <c r="H10972" t="s">
        <v>32849</v>
      </c>
      <c r="I10972" t="s">
        <v>4177</v>
      </c>
      <c r="J10972" t="s">
        <v>39734</v>
      </c>
      <c r="K10972" t="s">
        <v>42770</v>
      </c>
      <c r="M10972" t="s">
        <v>46636</v>
      </c>
      <c r="N10972" t="s">
        <v>47424</v>
      </c>
      <c r="O10972" t="s">
        <v>47425</v>
      </c>
      <c r="P10972">
        <v>0</v>
      </c>
      <c r="Q10972">
        <v>47</v>
      </c>
      <c r="R10972" t="s">
        <v>47437</v>
      </c>
      <c r="S10972" t="s">
        <v>47706</v>
      </c>
      <c r="T10972" t="s">
        <v>49073</v>
      </c>
      <c r="U10972" t="s">
        <v>58713</v>
      </c>
      <c r="V10972" t="s">
        <v>63837</v>
      </c>
      <c r="W10972" t="s">
        <v>46636</v>
      </c>
      <c r="X10972" t="s">
        <v>47438</v>
      </c>
    </row>
    <row r="10973" spans="1:24">
      <c r="A10973">
        <f>HYPERLINK("https://www.philgeps.gov.ph/GEPSNONPILOT/Tender/SplashBidNoticeAbstractUI.aspx?menuIndex=3&amp;refID=7145835&amp;Result=3","7145835")</f>
        <v>0</v>
      </c>
      <c r="B10973" t="s">
        <v>693</v>
      </c>
      <c r="C10973" t="s">
        <v>14216</v>
      </c>
      <c r="D10973" t="s">
        <v>19073</v>
      </c>
      <c r="E10973" t="s">
        <v>28522</v>
      </c>
      <c r="F10973" t="s">
        <v>32831</v>
      </c>
      <c r="G10973" t="s">
        <v>32839</v>
      </c>
      <c r="H10973" t="s">
        <v>32848</v>
      </c>
      <c r="I10973" t="s">
        <v>32868</v>
      </c>
      <c r="J10973" t="s">
        <v>39735</v>
      </c>
      <c r="K10973" t="s">
        <v>42731</v>
      </c>
      <c r="M10973" t="s">
        <v>44145</v>
      </c>
      <c r="N10973" t="s">
        <v>47424</v>
      </c>
      <c r="O10973" t="s">
        <v>47425</v>
      </c>
      <c r="P10973">
        <v>0</v>
      </c>
      <c r="Q10973">
        <v>6</v>
      </c>
      <c r="R10973" t="s">
        <v>47437</v>
      </c>
      <c r="S10973" t="s">
        <v>47706</v>
      </c>
      <c r="T10973" t="s">
        <v>49192</v>
      </c>
      <c r="U10973" t="s">
        <v>53968</v>
      </c>
      <c r="V10973" t="s">
        <v>63187</v>
      </c>
      <c r="W10973" t="s">
        <v>64457</v>
      </c>
      <c r="X10973" t="s">
        <v>47438</v>
      </c>
    </row>
    <row r="10974" spans="1:24">
      <c r="A10974">
        <f>HYPERLINK("https://www.philgeps.gov.ph/GEPSNONPILOT/Tender/SplashBidNoticeAbstractUI.aspx?menuIndex=3&amp;refID=7145892&amp;Result=3","7145892")</f>
        <v>0</v>
      </c>
      <c r="B10974" t="s">
        <v>3314</v>
      </c>
      <c r="C10974" t="s">
        <v>14217</v>
      </c>
      <c r="D10974" t="s">
        <v>19017</v>
      </c>
      <c r="E10974" t="s">
        <v>28523</v>
      </c>
      <c r="F10974" t="s">
        <v>32831</v>
      </c>
      <c r="G10974" t="s">
        <v>32841</v>
      </c>
      <c r="H10974" t="s">
        <v>32848</v>
      </c>
      <c r="I10974" t="s">
        <v>32874</v>
      </c>
      <c r="J10974" t="s">
        <v>37087</v>
      </c>
      <c r="K10974" t="s">
        <v>42732</v>
      </c>
      <c r="L10974" t="s">
        <v>3314</v>
      </c>
      <c r="M10974" t="s">
        <v>46637</v>
      </c>
      <c r="N10974" t="s">
        <v>47424</v>
      </c>
      <c r="O10974" t="s">
        <v>47425</v>
      </c>
      <c r="Q10974">
        <v>4</v>
      </c>
      <c r="R10974" t="s">
        <v>47437</v>
      </c>
      <c r="S10974" t="s">
        <v>47735</v>
      </c>
      <c r="T10974" t="s">
        <v>49142</v>
      </c>
      <c r="U10974" t="s">
        <v>58714</v>
      </c>
      <c r="W10974" t="s">
        <v>46637</v>
      </c>
      <c r="X10974" t="s">
        <v>47438</v>
      </c>
    </row>
    <row r="10975" spans="1:24">
      <c r="A10975">
        <f>HYPERLINK("https://www.philgeps.gov.ph/GEPSNONPILOT/Tender/SplashBidNoticeAbstractUI.aspx?menuIndex=3&amp;refID=7145831&amp;Result=3","7145831")</f>
        <v>0</v>
      </c>
      <c r="B10975" t="s">
        <v>3315</v>
      </c>
      <c r="C10975" t="s">
        <v>14218</v>
      </c>
      <c r="D10975" t="s">
        <v>19047</v>
      </c>
      <c r="E10975" t="s">
        <v>28213</v>
      </c>
      <c r="F10975" t="s">
        <v>32833</v>
      </c>
      <c r="G10975" t="s">
        <v>32839</v>
      </c>
      <c r="H10975" t="s">
        <v>32848</v>
      </c>
      <c r="I10975" t="s">
        <v>9577</v>
      </c>
      <c r="J10975" t="s">
        <v>32976</v>
      </c>
      <c r="K10975" t="s">
        <v>42758</v>
      </c>
      <c r="M10975" t="s">
        <v>46638</v>
      </c>
      <c r="N10975" t="s">
        <v>47424</v>
      </c>
      <c r="O10975" t="s">
        <v>47425</v>
      </c>
      <c r="P10975">
        <v>0</v>
      </c>
      <c r="Q10975">
        <v>2</v>
      </c>
      <c r="R10975" t="s">
        <v>47437</v>
      </c>
      <c r="S10975" t="s">
        <v>47706</v>
      </c>
      <c r="T10975" t="s">
        <v>49129</v>
      </c>
      <c r="U10975" t="s">
        <v>58715</v>
      </c>
      <c r="V10975" t="s">
        <v>63838</v>
      </c>
      <c r="W10975" t="s">
        <v>46638</v>
      </c>
      <c r="X10975" t="s">
        <v>47438</v>
      </c>
    </row>
    <row r="10976" spans="1:24">
      <c r="A10976">
        <f>HYPERLINK("https://www.philgeps.gov.ph/GEPSNONPILOT/Tender/SplashBidNoticeAbstractUI.aspx?menuIndex=3&amp;refID=7145900&amp;Result=3","7145900")</f>
        <v>0</v>
      </c>
      <c r="B10976" t="s">
        <v>693</v>
      </c>
      <c r="C10976" t="s">
        <v>14219</v>
      </c>
      <c r="D10976" t="s">
        <v>19073</v>
      </c>
      <c r="E10976" t="s">
        <v>28524</v>
      </c>
      <c r="F10976" t="s">
        <v>32831</v>
      </c>
      <c r="G10976" t="s">
        <v>32839</v>
      </c>
      <c r="H10976" t="s">
        <v>32848</v>
      </c>
      <c r="I10976" t="s">
        <v>32857</v>
      </c>
      <c r="J10976" t="s">
        <v>36256</v>
      </c>
      <c r="K10976" t="s">
        <v>42731</v>
      </c>
      <c r="M10976" t="s">
        <v>44145</v>
      </c>
      <c r="N10976" t="s">
        <v>47424</v>
      </c>
      <c r="O10976" t="s">
        <v>47425</v>
      </c>
      <c r="P10976">
        <v>0</v>
      </c>
      <c r="Q10976">
        <v>4</v>
      </c>
      <c r="R10976" t="s">
        <v>47437</v>
      </c>
      <c r="S10976" t="s">
        <v>47706</v>
      </c>
      <c r="T10976" t="s">
        <v>49192</v>
      </c>
      <c r="U10976" t="s">
        <v>53968</v>
      </c>
      <c r="V10976" t="s">
        <v>63187</v>
      </c>
      <c r="W10976" t="s">
        <v>64457</v>
      </c>
      <c r="X10976" t="s">
        <v>47438</v>
      </c>
    </row>
    <row r="10977" spans="1:24">
      <c r="A10977">
        <f>HYPERLINK("https://www.philgeps.gov.ph/GEPSNONPILOT/Tender/SplashBidNoticeAbstractUI.aspx?menuIndex=3&amp;refID=7145858&amp;Result=3","7145858")</f>
        <v>0</v>
      </c>
      <c r="B10977" t="s">
        <v>27</v>
      </c>
      <c r="C10977" t="s">
        <v>14220</v>
      </c>
      <c r="D10977" t="s">
        <v>19020</v>
      </c>
      <c r="E10977" t="s">
        <v>28525</v>
      </c>
      <c r="F10977" t="s">
        <v>32831</v>
      </c>
      <c r="G10977" t="s">
        <v>32839</v>
      </c>
      <c r="H10977" t="s">
        <v>32848</v>
      </c>
      <c r="I10977" t="s">
        <v>7751</v>
      </c>
      <c r="J10977" t="s">
        <v>39736</v>
      </c>
      <c r="K10977" t="s">
        <v>42862</v>
      </c>
      <c r="M10977" t="s">
        <v>43309</v>
      </c>
      <c r="N10977" t="s">
        <v>47424</v>
      </c>
      <c r="O10977" t="s">
        <v>47425</v>
      </c>
      <c r="P10977">
        <v>0</v>
      </c>
      <c r="Q10977">
        <v>15</v>
      </c>
      <c r="R10977" t="s">
        <v>47437</v>
      </c>
      <c r="S10977" t="s">
        <v>47706</v>
      </c>
      <c r="T10977" t="s">
        <v>49398</v>
      </c>
      <c r="U10977" t="s">
        <v>58716</v>
      </c>
      <c r="W10977" t="s">
        <v>43309</v>
      </c>
      <c r="X10977" t="s">
        <v>47438</v>
      </c>
    </row>
    <row r="10978" spans="1:24">
      <c r="A10978">
        <f>HYPERLINK("https://www.philgeps.gov.ph/GEPSNONPILOT/Tender/SplashBidNoticeAbstractUI.aspx?menuIndex=3&amp;refID=7145827&amp;Result=3","7145827")</f>
        <v>0</v>
      </c>
      <c r="B10978" t="s">
        <v>3314</v>
      </c>
      <c r="C10978" t="s">
        <v>14221</v>
      </c>
      <c r="D10978" t="s">
        <v>19017</v>
      </c>
      <c r="E10978" t="s">
        <v>28526</v>
      </c>
      <c r="F10978" t="s">
        <v>32831</v>
      </c>
      <c r="G10978" t="s">
        <v>32841</v>
      </c>
      <c r="H10978" t="s">
        <v>32848</v>
      </c>
      <c r="I10978" t="s">
        <v>32874</v>
      </c>
      <c r="J10978" t="s">
        <v>39737</v>
      </c>
      <c r="K10978" t="s">
        <v>42732</v>
      </c>
      <c r="L10978" t="s">
        <v>3314</v>
      </c>
      <c r="M10978" t="s">
        <v>46637</v>
      </c>
      <c r="N10978" t="s">
        <v>47424</v>
      </c>
      <c r="O10978" t="s">
        <v>47425</v>
      </c>
      <c r="Q10978">
        <v>14</v>
      </c>
      <c r="R10978" t="s">
        <v>47437</v>
      </c>
      <c r="S10978" t="s">
        <v>47736</v>
      </c>
      <c r="T10978" t="s">
        <v>49142</v>
      </c>
      <c r="U10978" t="s">
        <v>58714</v>
      </c>
      <c r="W10978" t="s">
        <v>46637</v>
      </c>
      <c r="X10978" t="s">
        <v>47438</v>
      </c>
    </row>
    <row r="10979" spans="1:24">
      <c r="A10979">
        <f>HYPERLINK("https://www.philgeps.gov.ph/GEPSNONPILOT/Tender/SplashBidNoticeAbstractUI.aspx?menuIndex=3&amp;refID=7145806&amp;Result=3","7145806")</f>
        <v>0</v>
      </c>
      <c r="B10979" t="s">
        <v>3314</v>
      </c>
      <c r="C10979" t="s">
        <v>14222</v>
      </c>
      <c r="D10979" t="s">
        <v>19017</v>
      </c>
      <c r="E10979" t="s">
        <v>28527</v>
      </c>
      <c r="F10979" t="s">
        <v>32831</v>
      </c>
      <c r="G10979" t="s">
        <v>32839</v>
      </c>
      <c r="H10979" t="s">
        <v>32848</v>
      </c>
      <c r="I10979" t="s">
        <v>32874</v>
      </c>
      <c r="J10979" t="s">
        <v>39594</v>
      </c>
      <c r="K10979" t="s">
        <v>42732</v>
      </c>
      <c r="L10979" t="s">
        <v>3314</v>
      </c>
      <c r="M10979" t="s">
        <v>46637</v>
      </c>
      <c r="N10979" t="s">
        <v>47424</v>
      </c>
      <c r="O10979" t="s">
        <v>47425</v>
      </c>
      <c r="Q10979">
        <v>18</v>
      </c>
      <c r="R10979" t="s">
        <v>47437</v>
      </c>
      <c r="S10979" t="s">
        <v>47737</v>
      </c>
      <c r="T10979" t="s">
        <v>49142</v>
      </c>
      <c r="U10979" t="s">
        <v>58714</v>
      </c>
      <c r="W10979" t="s">
        <v>46637</v>
      </c>
      <c r="X10979" t="s">
        <v>47438</v>
      </c>
    </row>
    <row r="10980" spans="1:24">
      <c r="A10980">
        <f>HYPERLINK("https://www.philgeps.gov.ph/GEPSNONPILOT/Tender/SplashBidNoticeAbstractUI.aspx?menuIndex=3&amp;refID=7145897&amp;Result=3","7145897")</f>
        <v>0</v>
      </c>
      <c r="B10980" t="s">
        <v>3303</v>
      </c>
      <c r="C10980" t="s">
        <v>14223</v>
      </c>
      <c r="D10980" t="s">
        <v>19038</v>
      </c>
      <c r="E10980" t="s">
        <v>28528</v>
      </c>
      <c r="F10980" t="s">
        <v>32831</v>
      </c>
      <c r="G10980" t="s">
        <v>32839</v>
      </c>
      <c r="H10980" t="s">
        <v>32849</v>
      </c>
      <c r="I10980" t="s">
        <v>4177</v>
      </c>
      <c r="J10980" t="s">
        <v>39738</v>
      </c>
      <c r="K10980" t="s">
        <v>42766</v>
      </c>
      <c r="M10980" t="s">
        <v>46624</v>
      </c>
      <c r="N10980" t="s">
        <v>47424</v>
      </c>
      <c r="O10980" t="s">
        <v>47425</v>
      </c>
      <c r="P10980">
        <v>0</v>
      </c>
      <c r="Q10980">
        <v>0</v>
      </c>
      <c r="R10980" t="s">
        <v>47437</v>
      </c>
      <c r="S10980" t="s">
        <v>47706</v>
      </c>
      <c r="T10980" t="s">
        <v>49142</v>
      </c>
      <c r="U10980" t="s">
        <v>58717</v>
      </c>
      <c r="W10980" t="s">
        <v>46624</v>
      </c>
      <c r="X10980" t="s">
        <v>47438</v>
      </c>
    </row>
    <row r="10981" spans="1:24">
      <c r="A10981">
        <f>HYPERLINK("https://www.philgeps.gov.ph/GEPSNONPILOT/Tender/SplashBidNoticeAbstractUI.aspx?menuIndex=3&amp;refID=7145234&amp;Result=3","7145234")</f>
        <v>0</v>
      </c>
      <c r="B10981" t="s">
        <v>3316</v>
      </c>
      <c r="C10981" t="s">
        <v>14224</v>
      </c>
      <c r="D10981" t="s">
        <v>19034</v>
      </c>
      <c r="E10981" t="s">
        <v>28529</v>
      </c>
      <c r="F10981" t="s">
        <v>32831</v>
      </c>
      <c r="G10981" t="s">
        <v>32839</v>
      </c>
      <c r="H10981" t="s">
        <v>32848</v>
      </c>
      <c r="I10981" t="s">
        <v>10888</v>
      </c>
      <c r="J10981" t="s">
        <v>33424</v>
      </c>
      <c r="K10981" t="s">
        <v>42727</v>
      </c>
      <c r="M10981" t="s">
        <v>46639</v>
      </c>
      <c r="N10981" t="s">
        <v>47424</v>
      </c>
      <c r="O10981" t="s">
        <v>47425</v>
      </c>
      <c r="P10981">
        <v>0</v>
      </c>
      <c r="Q10981">
        <v>1</v>
      </c>
      <c r="R10981" t="s">
        <v>47437</v>
      </c>
      <c r="S10981" t="s">
        <v>47706</v>
      </c>
      <c r="T10981" t="s">
        <v>49056</v>
      </c>
      <c r="U10981" t="s">
        <v>58718</v>
      </c>
      <c r="W10981" t="s">
        <v>46639</v>
      </c>
      <c r="X10981" t="s">
        <v>47438</v>
      </c>
    </row>
    <row r="10982" spans="1:24">
      <c r="A10982">
        <f>HYPERLINK("https://www.philgeps.gov.ph/GEPSNONPILOT/Tender/SplashBidNoticeAbstractUI.aspx?menuIndex=3&amp;refID=7146072&amp;Result=3","7146072")</f>
        <v>0</v>
      </c>
      <c r="B10982" t="s">
        <v>3292</v>
      </c>
      <c r="C10982" t="s">
        <v>14225</v>
      </c>
      <c r="D10982" t="s">
        <v>19078</v>
      </c>
      <c r="E10982" t="s">
        <v>19984</v>
      </c>
      <c r="F10982" t="s">
        <v>32831</v>
      </c>
      <c r="G10982" t="s">
        <v>32839</v>
      </c>
      <c r="H10982" t="s">
        <v>32849</v>
      </c>
      <c r="I10982" t="s">
        <v>4177</v>
      </c>
      <c r="J10982" t="s">
        <v>39739</v>
      </c>
      <c r="K10982" t="s">
        <v>42746</v>
      </c>
      <c r="M10982" t="s">
        <v>46613</v>
      </c>
      <c r="N10982" t="s">
        <v>47424</v>
      </c>
      <c r="O10982" t="s">
        <v>47425</v>
      </c>
      <c r="P10982">
        <v>0</v>
      </c>
      <c r="Q10982">
        <v>2</v>
      </c>
      <c r="R10982" t="s">
        <v>47437</v>
      </c>
      <c r="S10982" t="s">
        <v>47706</v>
      </c>
      <c r="T10982" t="s">
        <v>49063</v>
      </c>
      <c r="U10982" t="s">
        <v>58719</v>
      </c>
      <c r="W10982" t="s">
        <v>46613</v>
      </c>
      <c r="X10982" t="s">
        <v>47438</v>
      </c>
    </row>
    <row r="10983" spans="1:24">
      <c r="A10983">
        <f>HYPERLINK("https://www.philgeps.gov.ph/GEPSNONPILOT/Tender/SplashBidNoticeAbstractUI.aspx?menuIndex=3&amp;refID=7145816&amp;Result=3","7145816")</f>
        <v>0</v>
      </c>
      <c r="B10983" t="s">
        <v>27</v>
      </c>
      <c r="C10983" t="s">
        <v>14226</v>
      </c>
      <c r="D10983" t="s">
        <v>19020</v>
      </c>
      <c r="E10983" t="s">
        <v>28530</v>
      </c>
      <c r="F10983" t="s">
        <v>32831</v>
      </c>
      <c r="G10983" t="s">
        <v>32839</v>
      </c>
      <c r="H10983" t="s">
        <v>32848</v>
      </c>
      <c r="I10983" t="s">
        <v>32862</v>
      </c>
      <c r="J10983" t="s">
        <v>38420</v>
      </c>
      <c r="K10983" t="s">
        <v>42727</v>
      </c>
      <c r="M10983" t="s">
        <v>43309</v>
      </c>
      <c r="N10983" t="s">
        <v>47424</v>
      </c>
      <c r="O10983" t="s">
        <v>47425</v>
      </c>
      <c r="Q10983">
        <v>7</v>
      </c>
      <c r="R10983" t="s">
        <v>47437</v>
      </c>
      <c r="S10983" t="s">
        <v>47738</v>
      </c>
      <c r="T10983" t="s">
        <v>49155</v>
      </c>
      <c r="U10983" t="s">
        <v>58720</v>
      </c>
      <c r="W10983" t="s">
        <v>43309</v>
      </c>
      <c r="X10983" t="s">
        <v>47438</v>
      </c>
    </row>
    <row r="10984" spans="1:24">
      <c r="A10984">
        <f>HYPERLINK("https://www.philgeps.gov.ph/GEPSNONPILOT/Tender/SplashBidNoticeAbstractUI.aspx?menuIndex=3&amp;refID=7146049&amp;Result=3","7146049")</f>
        <v>0</v>
      </c>
      <c r="B10984" t="s">
        <v>1607</v>
      </c>
      <c r="C10984" t="s">
        <v>14227</v>
      </c>
      <c r="D10984" t="s">
        <v>19048</v>
      </c>
      <c r="E10984" t="s">
        <v>28531</v>
      </c>
      <c r="F10984" t="s">
        <v>32831</v>
      </c>
      <c r="G10984" t="s">
        <v>32839</v>
      </c>
      <c r="H10984" t="s">
        <v>32848</v>
      </c>
      <c r="I10984" t="s">
        <v>32931</v>
      </c>
      <c r="J10984" t="s">
        <v>33080</v>
      </c>
      <c r="K10984" t="s">
        <v>42730</v>
      </c>
      <c r="M10984" t="s">
        <v>44723</v>
      </c>
      <c r="N10984" t="s">
        <v>47424</v>
      </c>
      <c r="O10984" t="s">
        <v>47425</v>
      </c>
      <c r="Q10984">
        <v>2</v>
      </c>
      <c r="R10984" t="s">
        <v>47437</v>
      </c>
      <c r="S10984" t="s">
        <v>47739</v>
      </c>
      <c r="T10984" t="s">
        <v>49142</v>
      </c>
      <c r="U10984" t="s">
        <v>58721</v>
      </c>
      <c r="W10984" t="s">
        <v>44723</v>
      </c>
      <c r="X10984" t="s">
        <v>47438</v>
      </c>
    </row>
    <row r="10985" spans="1:24">
      <c r="A10985">
        <f>HYPERLINK("https://www.philgeps.gov.ph/GEPSNONPILOT/Tender/SplashBidNoticeAbstractUI.aspx?menuIndex=3&amp;refID=7146031&amp;Result=3","7146031")</f>
        <v>0</v>
      </c>
      <c r="B10985" t="s">
        <v>693</v>
      </c>
      <c r="C10985" t="s">
        <v>14228</v>
      </c>
      <c r="D10985" t="s">
        <v>19073</v>
      </c>
      <c r="E10985" t="s">
        <v>28532</v>
      </c>
      <c r="F10985" t="s">
        <v>32831</v>
      </c>
      <c r="G10985" t="s">
        <v>32839</v>
      </c>
      <c r="H10985" t="s">
        <v>32848</v>
      </c>
      <c r="I10985" t="s">
        <v>32867</v>
      </c>
      <c r="J10985" t="s">
        <v>39740</v>
      </c>
      <c r="K10985" t="s">
        <v>42731</v>
      </c>
      <c r="M10985" t="s">
        <v>44145</v>
      </c>
      <c r="N10985" t="s">
        <v>47424</v>
      </c>
      <c r="O10985" t="s">
        <v>47425</v>
      </c>
      <c r="P10985">
        <v>0</v>
      </c>
      <c r="Q10985">
        <v>10</v>
      </c>
      <c r="R10985" t="s">
        <v>47437</v>
      </c>
      <c r="S10985" t="s">
        <v>47706</v>
      </c>
      <c r="T10985" t="s">
        <v>49192</v>
      </c>
      <c r="U10985" t="s">
        <v>53968</v>
      </c>
      <c r="V10985" t="s">
        <v>63187</v>
      </c>
      <c r="W10985" t="s">
        <v>64457</v>
      </c>
      <c r="X10985" t="s">
        <v>47438</v>
      </c>
    </row>
    <row r="10986" spans="1:24">
      <c r="A10986">
        <f>HYPERLINK("https://www.philgeps.gov.ph/GEPSNONPILOT/Tender/SplashBidNoticeAbstractUI.aspx?menuIndex=3&amp;refID=7146026&amp;Result=3","7146026")</f>
        <v>0</v>
      </c>
      <c r="B10986" t="s">
        <v>2358</v>
      </c>
      <c r="C10986" t="s">
        <v>14229</v>
      </c>
      <c r="D10986" t="s">
        <v>19034</v>
      </c>
      <c r="E10986" t="s">
        <v>23900</v>
      </c>
      <c r="F10986" t="s">
        <v>32831</v>
      </c>
      <c r="G10986" t="s">
        <v>32839</v>
      </c>
      <c r="H10986" t="s">
        <v>32848</v>
      </c>
      <c r="I10986" t="s">
        <v>9577</v>
      </c>
      <c r="J10986" t="s">
        <v>33490</v>
      </c>
      <c r="K10986" t="s">
        <v>42731</v>
      </c>
      <c r="M10986" t="s">
        <v>45547</v>
      </c>
      <c r="N10986" t="s">
        <v>47424</v>
      </c>
      <c r="O10986" t="s">
        <v>47425</v>
      </c>
      <c r="P10986">
        <v>0</v>
      </c>
      <c r="Q10986">
        <v>1</v>
      </c>
      <c r="R10986" t="s">
        <v>47437</v>
      </c>
      <c r="S10986" t="s">
        <v>47706</v>
      </c>
      <c r="T10986" t="s">
        <v>49239</v>
      </c>
      <c r="U10986" t="s">
        <v>55246</v>
      </c>
      <c r="W10986" t="s">
        <v>45547</v>
      </c>
      <c r="X10986" t="s">
        <v>47438</v>
      </c>
    </row>
    <row r="10987" spans="1:24">
      <c r="A10987">
        <f>HYPERLINK("https://www.philgeps.gov.ph/GEPSNONPILOT/Tender/SplashBidNoticeAbstractUI.aspx?menuIndex=3&amp;refID=7146025&amp;Result=3","7146025")</f>
        <v>0</v>
      </c>
      <c r="B10987" t="s">
        <v>3251</v>
      </c>
      <c r="C10987" t="s">
        <v>14230</v>
      </c>
      <c r="D10987" t="s">
        <v>19077</v>
      </c>
      <c r="E10987" t="s">
        <v>28533</v>
      </c>
      <c r="F10987" t="s">
        <v>32831</v>
      </c>
      <c r="G10987" t="s">
        <v>32845</v>
      </c>
      <c r="H10987" t="s">
        <v>32849</v>
      </c>
      <c r="I10987" t="s">
        <v>4177</v>
      </c>
      <c r="J10987" t="s">
        <v>35538</v>
      </c>
      <c r="K10987" t="s">
        <v>42844</v>
      </c>
      <c r="M10987" t="s">
        <v>46567</v>
      </c>
      <c r="N10987" t="s">
        <v>47424</v>
      </c>
      <c r="O10987" t="s">
        <v>47425</v>
      </c>
      <c r="Q10987">
        <v>2</v>
      </c>
      <c r="R10987" t="s">
        <v>47437</v>
      </c>
      <c r="S10987" t="s">
        <v>47740</v>
      </c>
      <c r="T10987" t="s">
        <v>49080</v>
      </c>
      <c r="U10987" t="s">
        <v>49692</v>
      </c>
      <c r="W10987" t="s">
        <v>46567</v>
      </c>
      <c r="X10987" t="s">
        <v>47438</v>
      </c>
    </row>
    <row r="10988" spans="1:24">
      <c r="A10988">
        <f>HYPERLINK("https://www.philgeps.gov.ph/GEPSNONPILOT/Tender/SplashBidNoticeAbstractUI.aspx?menuIndex=3&amp;refID=7146020&amp;Result=3","7146020")</f>
        <v>0</v>
      </c>
      <c r="B10988" t="s">
        <v>3074</v>
      </c>
      <c r="C10988" t="s">
        <v>14231</v>
      </c>
      <c r="D10988" t="s">
        <v>19022</v>
      </c>
      <c r="E10988" t="s">
        <v>28534</v>
      </c>
      <c r="F10988" t="s">
        <v>32831</v>
      </c>
      <c r="G10988" t="s">
        <v>32839</v>
      </c>
      <c r="H10988" t="s">
        <v>32848</v>
      </c>
      <c r="I10988" t="s">
        <v>32859</v>
      </c>
      <c r="J10988" t="s">
        <v>39741</v>
      </c>
      <c r="K10988" t="s">
        <v>42730</v>
      </c>
      <c r="M10988" t="s">
        <v>46353</v>
      </c>
      <c r="N10988" t="s">
        <v>47424</v>
      </c>
      <c r="O10988" t="s">
        <v>47425</v>
      </c>
      <c r="P10988">
        <v>0</v>
      </c>
      <c r="Q10988">
        <v>3</v>
      </c>
      <c r="R10988" t="s">
        <v>47437</v>
      </c>
      <c r="S10988" t="s">
        <v>47706</v>
      </c>
      <c r="T10988" t="s">
        <v>49464</v>
      </c>
      <c r="U10988" t="s">
        <v>58722</v>
      </c>
      <c r="W10988" t="s">
        <v>46353</v>
      </c>
      <c r="X10988" t="s">
        <v>47438</v>
      </c>
    </row>
    <row r="10989" spans="1:24">
      <c r="A10989">
        <f>HYPERLINK("https://www.philgeps.gov.ph/GEPSNONPILOT/Tender/SplashBidNoticeAbstractUI.aspx?menuIndex=3&amp;refID=7146004&amp;Result=3","7146004")</f>
        <v>0</v>
      </c>
      <c r="B10989" t="s">
        <v>3317</v>
      </c>
      <c r="C10989" t="s">
        <v>14232</v>
      </c>
      <c r="D10989" t="s">
        <v>19054</v>
      </c>
      <c r="E10989" t="s">
        <v>28535</v>
      </c>
      <c r="F10989" t="s">
        <v>32831</v>
      </c>
      <c r="G10989" t="s">
        <v>32839</v>
      </c>
      <c r="H10989" t="s">
        <v>32848</v>
      </c>
      <c r="I10989" t="s">
        <v>4487</v>
      </c>
      <c r="J10989" t="s">
        <v>39742</v>
      </c>
      <c r="K10989" t="s">
        <v>42730</v>
      </c>
      <c r="M10989" t="s">
        <v>46640</v>
      </c>
      <c r="N10989" t="s">
        <v>47424</v>
      </c>
      <c r="O10989" t="s">
        <v>47425</v>
      </c>
      <c r="P10989">
        <v>0</v>
      </c>
      <c r="Q10989">
        <v>1</v>
      </c>
      <c r="R10989" t="s">
        <v>47437</v>
      </c>
      <c r="S10989" t="s">
        <v>47706</v>
      </c>
      <c r="T10989" t="s">
        <v>49370</v>
      </c>
      <c r="U10989" t="s">
        <v>58723</v>
      </c>
      <c r="W10989" t="s">
        <v>46640</v>
      </c>
      <c r="X10989" t="s">
        <v>47438</v>
      </c>
    </row>
    <row r="10990" spans="1:24">
      <c r="A10990">
        <f>HYPERLINK("https://www.philgeps.gov.ph/GEPSNONPILOT/Tender/SplashBidNoticeAbstractUI.aspx?menuIndex=3&amp;refID=7146038&amp;Result=3","7146038")</f>
        <v>0</v>
      </c>
      <c r="B10990" t="s">
        <v>821</v>
      </c>
      <c r="C10990" t="s">
        <v>14233</v>
      </c>
      <c r="D10990" t="s">
        <v>19054</v>
      </c>
      <c r="E10990" t="s">
        <v>28536</v>
      </c>
      <c r="F10990" t="s">
        <v>32833</v>
      </c>
      <c r="G10990" t="s">
        <v>32838</v>
      </c>
      <c r="H10990" t="s">
        <v>32848</v>
      </c>
      <c r="I10990" t="s">
        <v>9577</v>
      </c>
      <c r="J10990" t="s">
        <v>33025</v>
      </c>
      <c r="K10990" t="s">
        <v>42726</v>
      </c>
      <c r="M10990" t="s">
        <v>43852</v>
      </c>
      <c r="N10990" t="s">
        <v>47424</v>
      </c>
      <c r="O10990" t="s">
        <v>47425</v>
      </c>
      <c r="P10990">
        <v>0</v>
      </c>
      <c r="Q10990">
        <v>0</v>
      </c>
      <c r="R10990" t="s">
        <v>47437</v>
      </c>
      <c r="S10990" t="s">
        <v>47706</v>
      </c>
      <c r="T10990" t="s">
        <v>49162</v>
      </c>
      <c r="U10990" t="s">
        <v>51197</v>
      </c>
      <c r="V10990" t="s">
        <v>62820</v>
      </c>
      <c r="W10990" t="s">
        <v>64447</v>
      </c>
      <c r="X10990" t="s">
        <v>47438</v>
      </c>
    </row>
    <row r="10991" spans="1:24">
      <c r="A10991">
        <f>HYPERLINK("https://www.philgeps.gov.ph/GEPSNONPILOT/Tender/SplashBidNoticeAbstractUI.aspx?menuIndex=3&amp;refID=7146054&amp;Result=3","7146054")</f>
        <v>0</v>
      </c>
      <c r="B10991" t="s">
        <v>1693</v>
      </c>
      <c r="C10991" t="s">
        <v>14234</v>
      </c>
      <c r="E10991" t="s">
        <v>28537</v>
      </c>
      <c r="F10991" t="s">
        <v>32831</v>
      </c>
      <c r="G10991" t="s">
        <v>32839</v>
      </c>
      <c r="H10991" t="s">
        <v>32849</v>
      </c>
      <c r="I10991" t="s">
        <v>32866</v>
      </c>
      <c r="J10991" t="s">
        <v>39743</v>
      </c>
      <c r="K10991" t="s">
        <v>42732</v>
      </c>
      <c r="M10991" t="s">
        <v>44813</v>
      </c>
      <c r="N10991" t="s">
        <v>47424</v>
      </c>
      <c r="O10991" t="s">
        <v>47425</v>
      </c>
      <c r="P10991">
        <v>0</v>
      </c>
      <c r="Q10991">
        <v>10</v>
      </c>
      <c r="R10991" t="s">
        <v>47437</v>
      </c>
      <c r="S10991" t="s">
        <v>47706</v>
      </c>
      <c r="T10991" t="s">
        <v>49071</v>
      </c>
      <c r="U10991" t="s">
        <v>58724</v>
      </c>
      <c r="W10991" t="s">
        <v>45477</v>
      </c>
      <c r="X10991" t="s">
        <v>47438</v>
      </c>
    </row>
    <row r="10992" spans="1:24">
      <c r="A10992">
        <f>HYPERLINK("https://www.philgeps.gov.ph/GEPSNONPILOT/Tender/SplashBidNoticeAbstractUI.aspx?menuIndex=3&amp;refID=7145990&amp;Result=3","7145990")</f>
        <v>0</v>
      </c>
      <c r="B10992" t="s">
        <v>3318</v>
      </c>
      <c r="C10992" t="s">
        <v>14235</v>
      </c>
      <c r="D10992" t="s">
        <v>19060</v>
      </c>
      <c r="E10992" t="s">
        <v>28538</v>
      </c>
      <c r="F10992" t="s">
        <v>32831</v>
      </c>
      <c r="G10992" t="s">
        <v>32842</v>
      </c>
      <c r="H10992" t="s">
        <v>32848</v>
      </c>
      <c r="I10992" t="s">
        <v>32862</v>
      </c>
      <c r="J10992" t="s">
        <v>39744</v>
      </c>
      <c r="K10992" t="s">
        <v>42730</v>
      </c>
      <c r="M10992" t="s">
        <v>46641</v>
      </c>
      <c r="N10992" t="s">
        <v>47424</v>
      </c>
      <c r="O10992" t="s">
        <v>47425</v>
      </c>
      <c r="Q10992">
        <v>2</v>
      </c>
      <c r="R10992" t="s">
        <v>47437</v>
      </c>
      <c r="S10992" t="s">
        <v>47741</v>
      </c>
      <c r="T10992" t="s">
        <v>49056</v>
      </c>
      <c r="U10992" t="s">
        <v>58725</v>
      </c>
      <c r="V10992" t="s">
        <v>63839</v>
      </c>
      <c r="W10992" t="s">
        <v>46641</v>
      </c>
      <c r="X10992" t="s">
        <v>47438</v>
      </c>
    </row>
    <row r="10993" spans="1:24">
      <c r="A10993">
        <f>HYPERLINK("https://www.philgeps.gov.ph/GEPSNONPILOT/Tender/SplashBidNoticeAbstractUI.aspx?menuIndex=3&amp;refID=7145957&amp;Result=3","7145957")</f>
        <v>0</v>
      </c>
      <c r="B10993" t="s">
        <v>3318</v>
      </c>
      <c r="C10993" t="s">
        <v>14236</v>
      </c>
      <c r="D10993" t="s">
        <v>19060</v>
      </c>
      <c r="E10993" t="s">
        <v>28539</v>
      </c>
      <c r="F10993" t="s">
        <v>32831</v>
      </c>
      <c r="G10993" t="s">
        <v>32842</v>
      </c>
      <c r="H10993" t="s">
        <v>32848</v>
      </c>
      <c r="I10993" t="s">
        <v>7416</v>
      </c>
      <c r="J10993" t="s">
        <v>39745</v>
      </c>
      <c r="K10993" t="s">
        <v>42730</v>
      </c>
      <c r="M10993" t="s">
        <v>46641</v>
      </c>
      <c r="N10993" t="s">
        <v>47424</v>
      </c>
      <c r="O10993" t="s">
        <v>47425</v>
      </c>
      <c r="Q10993">
        <v>2</v>
      </c>
      <c r="R10993" t="s">
        <v>47437</v>
      </c>
      <c r="S10993" t="s">
        <v>47742</v>
      </c>
      <c r="T10993" t="s">
        <v>49056</v>
      </c>
      <c r="U10993" t="s">
        <v>58726</v>
      </c>
      <c r="V10993" t="s">
        <v>63839</v>
      </c>
      <c r="W10993" t="s">
        <v>46641</v>
      </c>
      <c r="X10993" t="s">
        <v>47438</v>
      </c>
    </row>
    <row r="10994" spans="1:24">
      <c r="A10994">
        <f>HYPERLINK("https://www.philgeps.gov.ph/GEPSNONPILOT/Tender/SplashBidNoticeAbstractUI.aspx?menuIndex=3&amp;refID=7145955&amp;Result=3","7145955")</f>
        <v>0</v>
      </c>
      <c r="B10994" t="s">
        <v>693</v>
      </c>
      <c r="C10994" t="s">
        <v>14237</v>
      </c>
      <c r="D10994" t="s">
        <v>19073</v>
      </c>
      <c r="E10994" t="s">
        <v>28540</v>
      </c>
      <c r="F10994" t="s">
        <v>32831</v>
      </c>
      <c r="G10994" t="s">
        <v>32839</v>
      </c>
      <c r="H10994" t="s">
        <v>32848</v>
      </c>
      <c r="I10994" t="s">
        <v>32859</v>
      </c>
      <c r="J10994" t="s">
        <v>39746</v>
      </c>
      <c r="K10994" t="s">
        <v>42731</v>
      </c>
      <c r="M10994" t="s">
        <v>44145</v>
      </c>
      <c r="N10994" t="s">
        <v>47424</v>
      </c>
      <c r="O10994" t="s">
        <v>47425</v>
      </c>
      <c r="P10994">
        <v>0</v>
      </c>
      <c r="Q10994">
        <v>4</v>
      </c>
      <c r="R10994" t="s">
        <v>47437</v>
      </c>
      <c r="S10994" t="s">
        <v>47706</v>
      </c>
      <c r="T10994" t="s">
        <v>49192</v>
      </c>
      <c r="U10994" t="s">
        <v>53968</v>
      </c>
      <c r="V10994" t="s">
        <v>63187</v>
      </c>
      <c r="W10994" t="s">
        <v>64457</v>
      </c>
      <c r="X10994" t="s">
        <v>47438</v>
      </c>
    </row>
    <row r="10995" spans="1:24">
      <c r="A10995">
        <f>HYPERLINK("https://www.philgeps.gov.ph/GEPSNONPILOT/Tender/SplashBidNoticeAbstractUI.aspx?menuIndex=3&amp;refID=7145847&amp;Result=3","7145847")</f>
        <v>0</v>
      </c>
      <c r="B10995" t="s">
        <v>3318</v>
      </c>
      <c r="C10995" t="s">
        <v>14238</v>
      </c>
      <c r="D10995" t="s">
        <v>19060</v>
      </c>
      <c r="E10995" t="s">
        <v>28541</v>
      </c>
      <c r="F10995" t="s">
        <v>32831</v>
      </c>
      <c r="G10995" t="s">
        <v>32839</v>
      </c>
      <c r="H10995" t="s">
        <v>32848</v>
      </c>
      <c r="I10995" t="s">
        <v>32860</v>
      </c>
      <c r="J10995" t="s">
        <v>39747</v>
      </c>
      <c r="K10995" t="s">
        <v>42730</v>
      </c>
      <c r="M10995" t="s">
        <v>46641</v>
      </c>
      <c r="N10995" t="s">
        <v>47424</v>
      </c>
      <c r="O10995" t="s">
        <v>47425</v>
      </c>
      <c r="P10995">
        <v>0</v>
      </c>
      <c r="Q10995">
        <v>5</v>
      </c>
      <c r="R10995" t="s">
        <v>47437</v>
      </c>
      <c r="S10995" t="s">
        <v>47706</v>
      </c>
      <c r="T10995" t="s">
        <v>49106</v>
      </c>
      <c r="U10995" t="s">
        <v>58727</v>
      </c>
      <c r="V10995" t="s">
        <v>63840</v>
      </c>
      <c r="W10995" t="s">
        <v>46641</v>
      </c>
      <c r="X10995" t="s">
        <v>47438</v>
      </c>
    </row>
    <row r="10996" spans="1:24">
      <c r="A10996">
        <f>HYPERLINK("https://www.philgeps.gov.ph/GEPSNONPILOT/Tender/SplashBidNoticeAbstractUI.aspx?menuIndex=3&amp;refID=7145946&amp;Result=3","7145946")</f>
        <v>0</v>
      </c>
      <c r="B10996" t="s">
        <v>821</v>
      </c>
      <c r="C10996" t="s">
        <v>14239</v>
      </c>
      <c r="D10996" t="s">
        <v>19054</v>
      </c>
      <c r="E10996" t="s">
        <v>28542</v>
      </c>
      <c r="F10996" t="s">
        <v>32833</v>
      </c>
      <c r="G10996" t="s">
        <v>32838</v>
      </c>
      <c r="H10996" t="s">
        <v>32848</v>
      </c>
      <c r="I10996" t="s">
        <v>11484</v>
      </c>
      <c r="J10996" t="s">
        <v>33812</v>
      </c>
      <c r="K10996" t="s">
        <v>42726</v>
      </c>
      <c r="M10996" t="s">
        <v>43852</v>
      </c>
      <c r="N10996" t="s">
        <v>47424</v>
      </c>
      <c r="O10996" t="s">
        <v>47425</v>
      </c>
      <c r="P10996">
        <v>0</v>
      </c>
      <c r="Q10996">
        <v>3</v>
      </c>
      <c r="R10996" t="s">
        <v>47437</v>
      </c>
      <c r="S10996" t="s">
        <v>47706</v>
      </c>
      <c r="T10996" t="s">
        <v>49162</v>
      </c>
      <c r="U10996" t="s">
        <v>51197</v>
      </c>
      <c r="V10996" t="s">
        <v>62820</v>
      </c>
      <c r="W10996" t="s">
        <v>64447</v>
      </c>
      <c r="X10996" t="s">
        <v>47438</v>
      </c>
    </row>
    <row r="10997" spans="1:24">
      <c r="A10997">
        <f>HYPERLINK("https://www.philgeps.gov.ph/GEPSNONPILOT/Tender/SplashBidNoticeAbstractUI.aspx?menuIndex=3&amp;refID=7145952&amp;Result=3","7145952")</f>
        <v>0</v>
      </c>
      <c r="B10997" t="s">
        <v>3313</v>
      </c>
      <c r="C10997" t="s">
        <v>14240</v>
      </c>
      <c r="D10997" t="s">
        <v>19021</v>
      </c>
      <c r="E10997" t="s">
        <v>28543</v>
      </c>
      <c r="F10997" t="s">
        <v>32831</v>
      </c>
      <c r="G10997" t="s">
        <v>32839</v>
      </c>
      <c r="H10997" t="s">
        <v>32849</v>
      </c>
      <c r="I10997" t="s">
        <v>4177</v>
      </c>
      <c r="J10997" t="s">
        <v>33528</v>
      </c>
      <c r="K10997" t="s">
        <v>42757</v>
      </c>
      <c r="M10997" t="s">
        <v>46636</v>
      </c>
      <c r="N10997" t="s">
        <v>47424</v>
      </c>
      <c r="O10997" t="s">
        <v>47425</v>
      </c>
      <c r="P10997">
        <v>0</v>
      </c>
      <c r="Q10997">
        <v>45</v>
      </c>
      <c r="R10997" t="s">
        <v>47437</v>
      </c>
      <c r="S10997" t="s">
        <v>47706</v>
      </c>
      <c r="T10997" t="s">
        <v>49073</v>
      </c>
      <c r="U10997" t="s">
        <v>58728</v>
      </c>
      <c r="V10997" t="s">
        <v>63837</v>
      </c>
      <c r="W10997" t="s">
        <v>46636</v>
      </c>
      <c r="X10997" t="s">
        <v>47438</v>
      </c>
    </row>
    <row r="10998" spans="1:24">
      <c r="A10998">
        <f>HYPERLINK("https://www.philgeps.gov.ph/GEPSNONPILOT/Tender/SplashBidNoticeAbstractUI.aspx?menuIndex=3&amp;refID=7145915&amp;Result=3","7145915")</f>
        <v>0</v>
      </c>
      <c r="B10998" t="s">
        <v>1150</v>
      </c>
      <c r="C10998" t="s">
        <v>14241</v>
      </c>
      <c r="D10998" t="s">
        <v>19095</v>
      </c>
      <c r="E10998" t="s">
        <v>28544</v>
      </c>
      <c r="F10998" t="s">
        <v>32831</v>
      </c>
      <c r="G10998" t="s">
        <v>32839</v>
      </c>
      <c r="H10998" t="s">
        <v>32849</v>
      </c>
      <c r="I10998" t="s">
        <v>4177</v>
      </c>
      <c r="J10998" t="s">
        <v>35538</v>
      </c>
      <c r="K10998" t="s">
        <v>42792</v>
      </c>
      <c r="M10998" t="s">
        <v>45116</v>
      </c>
      <c r="N10998" t="s">
        <v>47424</v>
      </c>
      <c r="O10998" t="s">
        <v>47425</v>
      </c>
      <c r="P10998">
        <v>0</v>
      </c>
      <c r="Q10998">
        <v>0</v>
      </c>
      <c r="R10998" t="s">
        <v>47437</v>
      </c>
      <c r="S10998" t="s">
        <v>47706</v>
      </c>
      <c r="T10998" t="s">
        <v>49057</v>
      </c>
      <c r="U10998" t="s">
        <v>58729</v>
      </c>
      <c r="V10998" t="s">
        <v>50989</v>
      </c>
      <c r="W10998" t="s">
        <v>45116</v>
      </c>
      <c r="X10998" t="s">
        <v>47438</v>
      </c>
    </row>
    <row r="10999" spans="1:24">
      <c r="A10999">
        <f>HYPERLINK("https://www.philgeps.gov.ph/GEPSNONPILOT/Tender/SplashBidNoticeAbstractUI.aspx?menuIndex=3&amp;refID=7145933&amp;Result=3","7145933")</f>
        <v>0</v>
      </c>
      <c r="B10999" t="s">
        <v>3314</v>
      </c>
      <c r="C10999" t="s">
        <v>14242</v>
      </c>
      <c r="D10999" t="s">
        <v>19017</v>
      </c>
      <c r="E10999" t="s">
        <v>28545</v>
      </c>
      <c r="F10999" t="s">
        <v>32831</v>
      </c>
      <c r="G10999" t="s">
        <v>32841</v>
      </c>
      <c r="H10999" t="s">
        <v>32848</v>
      </c>
      <c r="I10999" t="s">
        <v>32874</v>
      </c>
      <c r="J10999" t="s">
        <v>39748</v>
      </c>
      <c r="K10999" t="s">
        <v>42732</v>
      </c>
      <c r="L10999" t="s">
        <v>3314</v>
      </c>
      <c r="M10999" t="s">
        <v>46637</v>
      </c>
      <c r="N10999" t="s">
        <v>47424</v>
      </c>
      <c r="O10999" t="s">
        <v>47425</v>
      </c>
      <c r="Q10999">
        <v>15</v>
      </c>
      <c r="R10999" t="s">
        <v>47437</v>
      </c>
      <c r="S10999" t="s">
        <v>47743</v>
      </c>
      <c r="T10999" t="s">
        <v>49142</v>
      </c>
      <c r="U10999" t="s">
        <v>58714</v>
      </c>
      <c r="W10999" t="s">
        <v>46637</v>
      </c>
      <c r="X10999" t="s">
        <v>47438</v>
      </c>
    </row>
    <row r="11000" spans="1:24">
      <c r="A11000">
        <f>HYPERLINK("https://www.philgeps.gov.ph/GEPSNONPILOT/Tender/SplashBidNoticeAbstractUI.aspx?menuIndex=3&amp;refID=7145908&amp;Result=3","7145908")</f>
        <v>0</v>
      </c>
      <c r="B11000" t="s">
        <v>3318</v>
      </c>
      <c r="C11000" t="s">
        <v>14243</v>
      </c>
      <c r="D11000" t="s">
        <v>19060</v>
      </c>
      <c r="E11000" t="s">
        <v>28546</v>
      </c>
      <c r="F11000" t="s">
        <v>32831</v>
      </c>
      <c r="G11000" t="s">
        <v>32839</v>
      </c>
      <c r="H11000" t="s">
        <v>32848</v>
      </c>
      <c r="I11000" t="s">
        <v>4487</v>
      </c>
      <c r="J11000" t="s">
        <v>39749</v>
      </c>
      <c r="K11000" t="s">
        <v>42730</v>
      </c>
      <c r="M11000" t="s">
        <v>46641</v>
      </c>
      <c r="N11000" t="s">
        <v>47424</v>
      </c>
      <c r="O11000" t="s">
        <v>47425</v>
      </c>
      <c r="P11000">
        <v>0</v>
      </c>
      <c r="Q11000">
        <v>6</v>
      </c>
      <c r="R11000" t="s">
        <v>47437</v>
      </c>
      <c r="S11000" t="s">
        <v>47706</v>
      </c>
      <c r="T11000" t="s">
        <v>49106</v>
      </c>
      <c r="U11000" t="s">
        <v>58730</v>
      </c>
      <c r="V11000" t="s">
        <v>63840</v>
      </c>
      <c r="W11000" t="s">
        <v>46641</v>
      </c>
      <c r="X11000" t="s">
        <v>47438</v>
      </c>
    </row>
    <row r="11001" spans="1:24">
      <c r="A11001">
        <f>HYPERLINK("https://www.philgeps.gov.ph/GEPSNONPILOT/Tender/SplashBidNoticeAbstractUI.aspx?menuIndex=3&amp;refID=7145922&amp;Result=3","7145922")</f>
        <v>0</v>
      </c>
      <c r="B11001" t="s">
        <v>3251</v>
      </c>
      <c r="C11001" t="s">
        <v>14244</v>
      </c>
      <c r="D11001" t="s">
        <v>19077</v>
      </c>
      <c r="E11001" t="s">
        <v>28547</v>
      </c>
      <c r="F11001" t="s">
        <v>32831</v>
      </c>
      <c r="G11001" t="s">
        <v>32845</v>
      </c>
      <c r="H11001" t="s">
        <v>32849</v>
      </c>
      <c r="I11001" t="s">
        <v>4177</v>
      </c>
      <c r="J11001" t="s">
        <v>39750</v>
      </c>
      <c r="K11001" t="s">
        <v>42936</v>
      </c>
      <c r="M11001" t="s">
        <v>46567</v>
      </c>
      <c r="N11001" t="s">
        <v>47424</v>
      </c>
      <c r="O11001" t="s">
        <v>47425</v>
      </c>
      <c r="Q11001">
        <v>1</v>
      </c>
      <c r="R11001" t="s">
        <v>47437</v>
      </c>
      <c r="S11001" t="s">
        <v>47744</v>
      </c>
      <c r="T11001" t="s">
        <v>49080</v>
      </c>
      <c r="U11001" t="s">
        <v>49692</v>
      </c>
      <c r="W11001" t="s">
        <v>46567</v>
      </c>
      <c r="X11001" t="s">
        <v>47438</v>
      </c>
    </row>
    <row r="11002" spans="1:24">
      <c r="A11002">
        <f>HYPERLINK("https://www.philgeps.gov.ph/GEPSNONPILOT/Tender/SplashBidNoticeAbstractUI.aspx?menuIndex=3&amp;refID=7145802&amp;Result=3","7145802")</f>
        <v>0</v>
      </c>
      <c r="B11002" t="s">
        <v>1202</v>
      </c>
      <c r="C11002" t="s">
        <v>14245</v>
      </c>
      <c r="D11002" t="s">
        <v>19029</v>
      </c>
      <c r="E11002" t="s">
        <v>28548</v>
      </c>
      <c r="F11002" t="s">
        <v>32831</v>
      </c>
      <c r="G11002" t="s">
        <v>32839</v>
      </c>
      <c r="H11002" t="s">
        <v>32848</v>
      </c>
      <c r="I11002" t="s">
        <v>32874</v>
      </c>
      <c r="J11002" t="s">
        <v>39751</v>
      </c>
      <c r="K11002" t="s">
        <v>42729</v>
      </c>
      <c r="M11002" t="s">
        <v>44269</v>
      </c>
      <c r="N11002" t="s">
        <v>47424</v>
      </c>
      <c r="O11002" t="s">
        <v>47425</v>
      </c>
      <c r="P11002">
        <v>0</v>
      </c>
      <c r="Q11002">
        <v>19</v>
      </c>
      <c r="R11002" t="s">
        <v>47437</v>
      </c>
      <c r="S11002" t="s">
        <v>47706</v>
      </c>
      <c r="T11002" t="s">
        <v>49063</v>
      </c>
      <c r="U11002" t="s">
        <v>58731</v>
      </c>
      <c r="V11002" t="s">
        <v>63841</v>
      </c>
      <c r="W11002" t="s">
        <v>44269</v>
      </c>
      <c r="X11002" t="s">
        <v>47438</v>
      </c>
    </row>
    <row r="11003" spans="1:24">
      <c r="A11003">
        <f>HYPERLINK("https://www.philgeps.gov.ph/GEPSNONPILOT/Tender/SplashBidNoticeAbstractUI.aspx?menuIndex=3&amp;refID=7145797&amp;Result=3","7145797")</f>
        <v>0</v>
      </c>
      <c r="B11003" t="s">
        <v>618</v>
      </c>
      <c r="C11003" t="s">
        <v>14246</v>
      </c>
      <c r="D11003" t="s">
        <v>19084</v>
      </c>
      <c r="E11003" t="s">
        <v>28549</v>
      </c>
      <c r="F11003" t="s">
        <v>32831</v>
      </c>
      <c r="G11003" t="s">
        <v>32839</v>
      </c>
      <c r="H11003" t="s">
        <v>32849</v>
      </c>
      <c r="I11003" t="s">
        <v>4177</v>
      </c>
      <c r="J11003" t="s">
        <v>33465</v>
      </c>
      <c r="K11003" t="s">
        <v>42780</v>
      </c>
      <c r="M11003" t="s">
        <v>43634</v>
      </c>
      <c r="N11003" t="s">
        <v>47424</v>
      </c>
      <c r="O11003" t="s">
        <v>47425</v>
      </c>
      <c r="P11003">
        <v>0</v>
      </c>
      <c r="Q11003">
        <v>1</v>
      </c>
      <c r="R11003" t="s">
        <v>47437</v>
      </c>
      <c r="S11003" t="s">
        <v>47706</v>
      </c>
      <c r="T11003" t="s">
        <v>49236</v>
      </c>
      <c r="U11003" t="s">
        <v>58488</v>
      </c>
      <c r="V11003" t="s">
        <v>63842</v>
      </c>
      <c r="W11003" t="s">
        <v>43634</v>
      </c>
      <c r="X11003" t="s">
        <v>47438</v>
      </c>
    </row>
    <row r="11004" spans="1:24">
      <c r="A11004">
        <f>HYPERLINK("https://www.philgeps.gov.ph/GEPSNONPILOT/Tender/SplashBidNoticeAbstractUI.aspx?menuIndex=3&amp;refID=7145779&amp;Result=3","7145779")</f>
        <v>0</v>
      </c>
      <c r="B11004" t="s">
        <v>3314</v>
      </c>
      <c r="C11004" t="s">
        <v>14247</v>
      </c>
      <c r="D11004" t="s">
        <v>19017</v>
      </c>
      <c r="E11004" t="s">
        <v>28550</v>
      </c>
      <c r="F11004" t="s">
        <v>32831</v>
      </c>
      <c r="G11004" t="s">
        <v>32839</v>
      </c>
      <c r="H11004" t="s">
        <v>32848</v>
      </c>
      <c r="I11004" t="s">
        <v>7416</v>
      </c>
      <c r="J11004" t="s">
        <v>39752</v>
      </c>
      <c r="K11004" t="s">
        <v>42732</v>
      </c>
      <c r="L11004" t="s">
        <v>3314</v>
      </c>
      <c r="M11004" t="s">
        <v>46637</v>
      </c>
      <c r="N11004" t="s">
        <v>47424</v>
      </c>
      <c r="O11004" t="s">
        <v>47425</v>
      </c>
      <c r="Q11004">
        <v>4</v>
      </c>
      <c r="R11004" t="s">
        <v>47437</v>
      </c>
      <c r="S11004" t="s">
        <v>47745</v>
      </c>
      <c r="T11004" t="s">
        <v>49142</v>
      </c>
      <c r="U11004" t="s">
        <v>58714</v>
      </c>
      <c r="W11004" t="s">
        <v>46637</v>
      </c>
      <c r="X11004" t="s">
        <v>47438</v>
      </c>
    </row>
    <row r="11005" spans="1:24">
      <c r="A11005">
        <f>HYPERLINK("https://www.philgeps.gov.ph/GEPSNONPILOT/Tender/SplashBidNoticeAbstractUI.aspx?menuIndex=3&amp;refID=7145998&amp;Result=3","7145998")</f>
        <v>0</v>
      </c>
      <c r="B11005" t="s">
        <v>3313</v>
      </c>
      <c r="C11005" t="s">
        <v>14248</v>
      </c>
      <c r="D11005" t="s">
        <v>19021</v>
      </c>
      <c r="E11005" t="s">
        <v>28551</v>
      </c>
      <c r="F11005" t="s">
        <v>32831</v>
      </c>
      <c r="G11005" t="s">
        <v>32839</v>
      </c>
      <c r="H11005" t="s">
        <v>32849</v>
      </c>
      <c r="I11005" t="s">
        <v>4177</v>
      </c>
      <c r="J11005" t="s">
        <v>33118</v>
      </c>
      <c r="K11005" t="s">
        <v>42729</v>
      </c>
      <c r="M11005" t="s">
        <v>46636</v>
      </c>
      <c r="N11005" t="s">
        <v>47424</v>
      </c>
      <c r="O11005" t="s">
        <v>47425</v>
      </c>
      <c r="P11005">
        <v>0</v>
      </c>
      <c r="Q11005">
        <v>35</v>
      </c>
      <c r="R11005" t="s">
        <v>47437</v>
      </c>
      <c r="S11005" t="s">
        <v>47706</v>
      </c>
      <c r="T11005" t="s">
        <v>49237</v>
      </c>
      <c r="U11005" t="s">
        <v>58732</v>
      </c>
      <c r="V11005" t="s">
        <v>63843</v>
      </c>
      <c r="W11005" t="s">
        <v>46636</v>
      </c>
      <c r="X11005" t="s">
        <v>47438</v>
      </c>
    </row>
    <row r="11006" spans="1:24">
      <c r="A11006">
        <f>HYPERLINK("https://www.philgeps.gov.ph/GEPSNONPILOT/Tender/SplashBidNoticeAbstractUI.aspx?menuIndex=3&amp;refID=7145765&amp;Result=3","7145765")</f>
        <v>0</v>
      </c>
      <c r="B11006" t="s">
        <v>3319</v>
      </c>
      <c r="C11006" t="s">
        <v>14249</v>
      </c>
      <c r="D11006" t="s">
        <v>19024</v>
      </c>
      <c r="E11006" t="s">
        <v>28552</v>
      </c>
      <c r="F11006" t="s">
        <v>32831</v>
      </c>
      <c r="G11006" t="s">
        <v>32839</v>
      </c>
      <c r="H11006" t="s">
        <v>32849</v>
      </c>
      <c r="I11006" t="s">
        <v>4177</v>
      </c>
      <c r="J11006" t="s">
        <v>39753</v>
      </c>
      <c r="K11006" t="s">
        <v>42730</v>
      </c>
      <c r="M11006" t="s">
        <v>46642</v>
      </c>
      <c r="N11006" t="s">
        <v>47424</v>
      </c>
      <c r="O11006" t="s">
        <v>47425</v>
      </c>
      <c r="P11006">
        <v>0</v>
      </c>
      <c r="Q11006">
        <v>1</v>
      </c>
      <c r="R11006" t="s">
        <v>47437</v>
      </c>
      <c r="S11006" t="s">
        <v>47706</v>
      </c>
      <c r="T11006" t="s">
        <v>49574</v>
      </c>
      <c r="U11006" t="s">
        <v>58733</v>
      </c>
      <c r="V11006" t="s">
        <v>63844</v>
      </c>
      <c r="W11006" t="s">
        <v>46642</v>
      </c>
      <c r="X11006" t="s">
        <v>47438</v>
      </c>
    </row>
    <row r="11007" spans="1:24">
      <c r="A11007">
        <f>HYPERLINK("https://www.philgeps.gov.ph/GEPSNONPILOT/Tender/SplashBidNoticeAbstractUI.aspx?menuIndex=3&amp;refID=7145747&amp;Result=3","7145747")</f>
        <v>0</v>
      </c>
      <c r="B11007" t="s">
        <v>3314</v>
      </c>
      <c r="C11007" t="s">
        <v>14250</v>
      </c>
      <c r="D11007" t="s">
        <v>19017</v>
      </c>
      <c r="E11007" t="s">
        <v>28553</v>
      </c>
      <c r="F11007" t="s">
        <v>32831</v>
      </c>
      <c r="G11007" t="s">
        <v>32839</v>
      </c>
      <c r="H11007" t="s">
        <v>32848</v>
      </c>
      <c r="I11007" t="s">
        <v>7416</v>
      </c>
      <c r="J11007" t="s">
        <v>39754</v>
      </c>
      <c r="K11007" t="s">
        <v>42732</v>
      </c>
      <c r="L11007" t="s">
        <v>3314</v>
      </c>
      <c r="M11007" t="s">
        <v>46637</v>
      </c>
      <c r="N11007" t="s">
        <v>47424</v>
      </c>
      <c r="O11007" t="s">
        <v>47425</v>
      </c>
      <c r="Q11007">
        <v>5</v>
      </c>
      <c r="R11007" t="s">
        <v>47437</v>
      </c>
      <c r="S11007" t="s">
        <v>47746</v>
      </c>
      <c r="T11007" t="s">
        <v>49142</v>
      </c>
      <c r="U11007" t="s">
        <v>58714</v>
      </c>
      <c r="W11007" t="s">
        <v>46637</v>
      </c>
      <c r="X11007" t="s">
        <v>47438</v>
      </c>
    </row>
    <row r="11008" spans="1:24">
      <c r="A11008">
        <f>HYPERLINK("https://www.philgeps.gov.ph/GEPSNONPILOT/Tender/SplashBidNoticeAbstractUI.aspx?menuIndex=3&amp;refID=7145596&amp;Result=3","7145596")</f>
        <v>0</v>
      </c>
      <c r="B11008" t="s">
        <v>748</v>
      </c>
      <c r="C11008" t="s">
        <v>14251</v>
      </c>
      <c r="D11008" t="s">
        <v>19081</v>
      </c>
      <c r="E11008" t="s">
        <v>28554</v>
      </c>
      <c r="F11008" t="s">
        <v>32835</v>
      </c>
      <c r="G11008" t="s">
        <v>32839</v>
      </c>
      <c r="H11008" t="s">
        <v>32848</v>
      </c>
      <c r="I11008" t="s">
        <v>7416</v>
      </c>
      <c r="J11008" t="s">
        <v>39755</v>
      </c>
      <c r="K11008" t="s">
        <v>42742</v>
      </c>
      <c r="M11008" t="s">
        <v>43771</v>
      </c>
      <c r="N11008" t="s">
        <v>47424</v>
      </c>
      <c r="O11008" t="s">
        <v>47425</v>
      </c>
      <c r="P11008">
        <v>0</v>
      </c>
      <c r="Q11008">
        <v>0</v>
      </c>
      <c r="R11008" t="s">
        <v>47437</v>
      </c>
      <c r="S11008" t="s">
        <v>47706</v>
      </c>
      <c r="T11008" t="s">
        <v>49101</v>
      </c>
      <c r="U11008" t="s">
        <v>58734</v>
      </c>
      <c r="W11008" t="s">
        <v>43771</v>
      </c>
      <c r="X11008" t="s">
        <v>47438</v>
      </c>
    </row>
    <row r="11009" spans="1:24">
      <c r="A11009">
        <f>HYPERLINK("https://www.philgeps.gov.ph/GEPSNONPILOT/Tender/SplashBidNoticeAbstractUI.aspx?menuIndex=3&amp;refID=7145614&amp;Result=3","7145614")</f>
        <v>0</v>
      </c>
      <c r="B11009" t="s">
        <v>3311</v>
      </c>
      <c r="C11009" t="s">
        <v>14252</v>
      </c>
      <c r="D11009" t="s">
        <v>19045</v>
      </c>
      <c r="E11009" t="s">
        <v>28508</v>
      </c>
      <c r="F11009" t="s">
        <v>32831</v>
      </c>
      <c r="G11009" t="s">
        <v>32839</v>
      </c>
      <c r="H11009" t="s">
        <v>32848</v>
      </c>
      <c r="I11009" t="s">
        <v>4303</v>
      </c>
      <c r="J11009" t="s">
        <v>33978</v>
      </c>
      <c r="K11009" t="s">
        <v>42747</v>
      </c>
      <c r="M11009" t="s">
        <v>46633</v>
      </c>
      <c r="N11009" t="s">
        <v>47424</v>
      </c>
      <c r="O11009" t="s">
        <v>47425</v>
      </c>
      <c r="P11009">
        <v>0</v>
      </c>
      <c r="Q11009">
        <v>4</v>
      </c>
      <c r="R11009" t="s">
        <v>47437</v>
      </c>
      <c r="S11009" t="s">
        <v>47706</v>
      </c>
      <c r="T11009" t="s">
        <v>49398</v>
      </c>
      <c r="U11009" t="s">
        <v>58735</v>
      </c>
      <c r="V11009" t="s">
        <v>62846</v>
      </c>
      <c r="W11009" t="s">
        <v>46633</v>
      </c>
      <c r="X11009" t="s">
        <v>47438</v>
      </c>
    </row>
    <row r="11010" spans="1:24">
      <c r="A11010">
        <f>HYPERLINK("https://www.philgeps.gov.ph/GEPSNONPILOT/Tender/SplashBidNoticeAbstractUI.aspx?menuIndex=3&amp;refID=7145792&amp;Result=3","7145792")</f>
        <v>0</v>
      </c>
      <c r="B11010" t="s">
        <v>459</v>
      </c>
      <c r="C11010" t="s">
        <v>14253</v>
      </c>
      <c r="D11010" t="s">
        <v>19023</v>
      </c>
      <c r="E11010" t="s">
        <v>28555</v>
      </c>
      <c r="F11010" t="s">
        <v>32831</v>
      </c>
      <c r="G11010" t="s">
        <v>32839</v>
      </c>
      <c r="H11010" t="s">
        <v>32848</v>
      </c>
      <c r="I11010" t="s">
        <v>4776</v>
      </c>
      <c r="J11010" t="s">
        <v>39756</v>
      </c>
      <c r="K11010" t="s">
        <v>42730</v>
      </c>
      <c r="M11010" t="s">
        <v>43464</v>
      </c>
      <c r="N11010" t="s">
        <v>47424</v>
      </c>
      <c r="O11010" t="s">
        <v>47425</v>
      </c>
      <c r="P11010">
        <v>0</v>
      </c>
      <c r="Q11010">
        <v>5</v>
      </c>
      <c r="R11010" t="s">
        <v>47437</v>
      </c>
      <c r="S11010" t="s">
        <v>47706</v>
      </c>
      <c r="T11010" t="s">
        <v>49057</v>
      </c>
      <c r="U11010" t="s">
        <v>58736</v>
      </c>
      <c r="V11010" t="s">
        <v>62882</v>
      </c>
      <c r="W11010" t="s">
        <v>43464</v>
      </c>
      <c r="X11010" t="s">
        <v>47438</v>
      </c>
    </row>
    <row r="11011" spans="1:24">
      <c r="A11011">
        <f>HYPERLINK("https://www.philgeps.gov.ph/GEPSNONPILOT/Tender/SplashBidNoticeAbstractUI.aspx?menuIndex=3&amp;refID=7145769&amp;Result=3","7145769")</f>
        <v>0</v>
      </c>
      <c r="B11011" t="s">
        <v>27</v>
      </c>
      <c r="C11011" t="s">
        <v>14254</v>
      </c>
      <c r="D11011" t="s">
        <v>19020</v>
      </c>
      <c r="E11011" t="s">
        <v>28556</v>
      </c>
      <c r="F11011" t="s">
        <v>32831</v>
      </c>
      <c r="G11011" t="s">
        <v>32839</v>
      </c>
      <c r="H11011" t="s">
        <v>32848</v>
      </c>
      <c r="I11011" t="s">
        <v>4776</v>
      </c>
      <c r="J11011" t="s">
        <v>36730</v>
      </c>
      <c r="K11011" t="s">
        <v>42763</v>
      </c>
      <c r="M11011" t="s">
        <v>43309</v>
      </c>
      <c r="N11011" t="s">
        <v>47424</v>
      </c>
      <c r="O11011" t="s">
        <v>47425</v>
      </c>
      <c r="P11011">
        <v>0</v>
      </c>
      <c r="Q11011">
        <v>5</v>
      </c>
      <c r="R11011" t="s">
        <v>47437</v>
      </c>
      <c r="S11011" t="s">
        <v>47706</v>
      </c>
      <c r="T11011" t="s">
        <v>49155</v>
      </c>
      <c r="U11011" t="s">
        <v>58737</v>
      </c>
      <c r="W11011" t="s">
        <v>43309</v>
      </c>
      <c r="X11011" t="s">
        <v>47438</v>
      </c>
    </row>
    <row r="11012" spans="1:24">
      <c r="A11012">
        <f>HYPERLINK("https://www.philgeps.gov.ph/GEPSNONPILOT/Tender/SplashBidNoticeAbstractUI.aspx?menuIndex=3&amp;refID=7145578&amp;Result=3","7145578")</f>
        <v>0</v>
      </c>
      <c r="B11012" t="s">
        <v>989</v>
      </c>
      <c r="C11012" t="s">
        <v>14255</v>
      </c>
      <c r="D11012" t="s">
        <v>19021</v>
      </c>
      <c r="E11012" t="s">
        <v>28557</v>
      </c>
      <c r="F11012" t="s">
        <v>32831</v>
      </c>
      <c r="G11012" t="s">
        <v>32839</v>
      </c>
      <c r="H11012" t="s">
        <v>32849</v>
      </c>
      <c r="I11012" t="s">
        <v>4177</v>
      </c>
      <c r="J11012" t="s">
        <v>33118</v>
      </c>
      <c r="K11012" t="s">
        <v>42747</v>
      </c>
      <c r="L11012" t="s">
        <v>989</v>
      </c>
      <c r="M11012" t="s">
        <v>44038</v>
      </c>
      <c r="N11012" t="s">
        <v>47424</v>
      </c>
      <c r="O11012" t="s">
        <v>47425</v>
      </c>
      <c r="P11012">
        <v>0</v>
      </c>
      <c r="Q11012">
        <v>63</v>
      </c>
      <c r="R11012" t="s">
        <v>47437</v>
      </c>
      <c r="S11012" t="s">
        <v>47706</v>
      </c>
      <c r="T11012" t="s">
        <v>49172</v>
      </c>
      <c r="U11012" t="s">
        <v>58738</v>
      </c>
      <c r="W11012" t="s">
        <v>44038</v>
      </c>
      <c r="X11012" t="s">
        <v>47438</v>
      </c>
    </row>
    <row r="11013" spans="1:24">
      <c r="A11013">
        <f>HYPERLINK("https://www.philgeps.gov.ph/GEPSNONPILOT/Tender/SplashBidNoticeAbstractUI.aspx?menuIndex=3&amp;refID=7145552&amp;Result=3","7145552")</f>
        <v>0</v>
      </c>
      <c r="B11013" t="s">
        <v>958</v>
      </c>
      <c r="C11013" t="s">
        <v>14256</v>
      </c>
      <c r="D11013" t="s">
        <v>19049</v>
      </c>
      <c r="E11013" t="s">
        <v>28558</v>
      </c>
      <c r="F11013" t="s">
        <v>32831</v>
      </c>
      <c r="G11013" t="s">
        <v>32840</v>
      </c>
      <c r="H11013" t="s">
        <v>32848</v>
      </c>
      <c r="I11013" t="s">
        <v>4222</v>
      </c>
      <c r="J11013" t="s">
        <v>39757</v>
      </c>
      <c r="K11013" t="s">
        <v>42732</v>
      </c>
      <c r="M11013" t="s">
        <v>44004</v>
      </c>
      <c r="N11013" t="s">
        <v>47424</v>
      </c>
      <c r="O11013" t="s">
        <v>47425</v>
      </c>
      <c r="P11013">
        <v>0</v>
      </c>
      <c r="Q11013">
        <v>1</v>
      </c>
      <c r="R11013" t="s">
        <v>47437</v>
      </c>
      <c r="S11013" t="s">
        <v>47706</v>
      </c>
      <c r="T11013" t="s">
        <v>49061</v>
      </c>
      <c r="U11013" t="s">
        <v>58739</v>
      </c>
      <c r="W11013" t="s">
        <v>44004</v>
      </c>
      <c r="X11013" t="s">
        <v>47438</v>
      </c>
    </row>
    <row r="11014" spans="1:24">
      <c r="A11014">
        <f>HYPERLINK("https://www.philgeps.gov.ph/GEPSNONPILOT/Tender/SplashBidNoticeAbstractUI.aspx?menuIndex=3&amp;refID=7140919&amp;Result=3","7140919")</f>
        <v>0</v>
      </c>
      <c r="B11014" t="s">
        <v>618</v>
      </c>
      <c r="C11014" t="s">
        <v>14257</v>
      </c>
      <c r="D11014" t="s">
        <v>19084</v>
      </c>
      <c r="E11014" t="s">
        <v>28559</v>
      </c>
      <c r="F11014" t="s">
        <v>32831</v>
      </c>
      <c r="G11014" t="s">
        <v>32839</v>
      </c>
      <c r="H11014" t="s">
        <v>32849</v>
      </c>
      <c r="I11014" t="s">
        <v>4177</v>
      </c>
      <c r="J11014" t="s">
        <v>33465</v>
      </c>
      <c r="K11014" t="s">
        <v>42770</v>
      </c>
      <c r="M11014" t="s">
        <v>43634</v>
      </c>
      <c r="N11014" t="s">
        <v>47424</v>
      </c>
      <c r="O11014" t="s">
        <v>47425</v>
      </c>
      <c r="P11014">
        <v>0</v>
      </c>
      <c r="Q11014">
        <v>1</v>
      </c>
      <c r="R11014" t="s">
        <v>47437</v>
      </c>
      <c r="S11014" t="s">
        <v>47706</v>
      </c>
      <c r="T11014" t="s">
        <v>49236</v>
      </c>
      <c r="U11014" t="s">
        <v>58488</v>
      </c>
      <c r="V11014" t="s">
        <v>63845</v>
      </c>
      <c r="W11014" t="s">
        <v>43634</v>
      </c>
      <c r="X11014" t="s">
        <v>47440</v>
      </c>
    </row>
    <row r="11015" spans="1:24">
      <c r="A11015">
        <f>HYPERLINK("https://www.philgeps.gov.ph/GEPSNONPILOT/Tender/SplashBidNoticeAbstractUI.aspx?menuIndex=3&amp;refID=7158239&amp;Result=3","7158239")</f>
        <v>0</v>
      </c>
      <c r="B11015" t="s">
        <v>2149</v>
      </c>
      <c r="C11015" t="s">
        <v>14258</v>
      </c>
      <c r="D11015" t="s">
        <v>19043</v>
      </c>
      <c r="E11015" t="s">
        <v>28560</v>
      </c>
      <c r="F11015" t="s">
        <v>32831</v>
      </c>
      <c r="G11015" t="s">
        <v>32839</v>
      </c>
      <c r="H11015" t="s">
        <v>32848</v>
      </c>
      <c r="I11015" t="s">
        <v>32855</v>
      </c>
      <c r="J11015" t="s">
        <v>39758</v>
      </c>
      <c r="K11015" t="s">
        <v>42727</v>
      </c>
      <c r="M11015" t="s">
        <v>45329</v>
      </c>
      <c r="N11015" t="s">
        <v>47424</v>
      </c>
      <c r="O11015" t="s">
        <v>47425</v>
      </c>
      <c r="P11015">
        <v>0</v>
      </c>
      <c r="Q11015">
        <v>3</v>
      </c>
      <c r="R11015" t="s">
        <v>47431</v>
      </c>
      <c r="S11015" t="s">
        <v>47565</v>
      </c>
      <c r="T11015" t="s">
        <v>49196</v>
      </c>
      <c r="U11015" t="s">
        <v>58740</v>
      </c>
      <c r="W11015" t="s">
        <v>45329</v>
      </c>
      <c r="X11015" t="s">
        <v>47432</v>
      </c>
    </row>
    <row r="11016" spans="1:24">
      <c r="A11016">
        <f>HYPERLINK("https://www.philgeps.gov.ph/GEPSNONPILOT/Tender/SplashBidNoticeAbstractUI.aspx?menuIndex=3&amp;refID=7145921&amp;Result=3","7145921")</f>
        <v>0</v>
      </c>
      <c r="B11016" t="s">
        <v>748</v>
      </c>
      <c r="C11016" t="s">
        <v>14259</v>
      </c>
      <c r="D11016" t="s">
        <v>19081</v>
      </c>
      <c r="E11016" t="s">
        <v>28561</v>
      </c>
      <c r="F11016" t="s">
        <v>32831</v>
      </c>
      <c r="G11016" t="s">
        <v>32839</v>
      </c>
      <c r="H11016" t="s">
        <v>32848</v>
      </c>
      <c r="I11016" t="s">
        <v>4776</v>
      </c>
      <c r="J11016" t="s">
        <v>39759</v>
      </c>
      <c r="K11016" t="s">
        <v>42731</v>
      </c>
      <c r="M11016" t="s">
        <v>43771</v>
      </c>
      <c r="N11016" t="s">
        <v>47424</v>
      </c>
      <c r="O11016" t="s">
        <v>47425</v>
      </c>
      <c r="P11016">
        <v>0</v>
      </c>
      <c r="Q11016">
        <v>5</v>
      </c>
      <c r="R11016" t="s">
        <v>47437</v>
      </c>
      <c r="S11016" t="s">
        <v>47706</v>
      </c>
      <c r="T11016" t="s">
        <v>49118</v>
      </c>
      <c r="U11016" t="s">
        <v>58741</v>
      </c>
      <c r="W11016" t="s">
        <v>43771</v>
      </c>
      <c r="X11016" t="s">
        <v>47438</v>
      </c>
    </row>
    <row r="11017" spans="1:24">
      <c r="A11017">
        <f>HYPERLINK("https://www.philgeps.gov.ph/GEPSNONPILOT/Tender/SplashBidNoticeAbstractUI.aspx?menuIndex=3&amp;refID=7145590&amp;Result=3","7145590")</f>
        <v>0</v>
      </c>
      <c r="B11017" t="s">
        <v>3303</v>
      </c>
      <c r="C11017" t="s">
        <v>14260</v>
      </c>
      <c r="E11017" t="s">
        <v>28562</v>
      </c>
      <c r="F11017" t="s">
        <v>32831</v>
      </c>
      <c r="G11017" t="s">
        <v>32839</v>
      </c>
      <c r="H11017" t="s">
        <v>32849</v>
      </c>
      <c r="I11017" t="s">
        <v>4177</v>
      </c>
      <c r="J11017" t="s">
        <v>39738</v>
      </c>
      <c r="K11017" t="s">
        <v>42766</v>
      </c>
      <c r="M11017" t="s">
        <v>46624</v>
      </c>
      <c r="N11017" t="s">
        <v>47424</v>
      </c>
      <c r="O11017" t="s">
        <v>47425</v>
      </c>
      <c r="P11017">
        <v>0</v>
      </c>
      <c r="Q11017">
        <v>0</v>
      </c>
      <c r="R11017" t="s">
        <v>47437</v>
      </c>
      <c r="S11017" t="s">
        <v>47706</v>
      </c>
      <c r="T11017" t="s">
        <v>49152</v>
      </c>
      <c r="U11017" t="s">
        <v>58742</v>
      </c>
      <c r="W11017" t="s">
        <v>46624</v>
      </c>
      <c r="X11017" t="s">
        <v>47438</v>
      </c>
    </row>
    <row r="11018" spans="1:24">
      <c r="A11018">
        <f>HYPERLINK("https://www.philgeps.gov.ph/GEPSNONPILOT/Tender/SplashBidNoticeAbstractUI.aspx?menuIndex=3&amp;refID=7144743&amp;Result=3","7144743")</f>
        <v>0</v>
      </c>
      <c r="B11018" t="s">
        <v>245</v>
      </c>
      <c r="C11018" t="s">
        <v>14261</v>
      </c>
      <c r="D11018" t="s">
        <v>19033</v>
      </c>
      <c r="E11018" t="s">
        <v>28563</v>
      </c>
      <c r="F11018" t="s">
        <v>32831</v>
      </c>
      <c r="G11018" t="s">
        <v>32839</v>
      </c>
      <c r="H11018" t="s">
        <v>32849</v>
      </c>
      <c r="I11018" t="s">
        <v>4177</v>
      </c>
      <c r="J11018" t="s">
        <v>39760</v>
      </c>
      <c r="K11018" t="s">
        <v>42757</v>
      </c>
      <c r="M11018" t="s">
        <v>43244</v>
      </c>
      <c r="N11018" t="s">
        <v>47424</v>
      </c>
      <c r="O11018" t="s">
        <v>47425</v>
      </c>
      <c r="P11018">
        <v>0</v>
      </c>
      <c r="Q11018">
        <v>5</v>
      </c>
      <c r="R11018" t="s">
        <v>47437</v>
      </c>
      <c r="S11018" t="s">
        <v>47706</v>
      </c>
      <c r="T11018" t="s">
        <v>49063</v>
      </c>
      <c r="U11018" t="s">
        <v>58743</v>
      </c>
      <c r="W11018" t="s">
        <v>43244</v>
      </c>
      <c r="X11018" t="s">
        <v>47439</v>
      </c>
    </row>
    <row r="11019" spans="1:24">
      <c r="A11019">
        <f>HYPERLINK("https://www.philgeps.gov.ph/GEPSNONPILOT/Tender/SplashBidNoticeAbstractUI.aspx?menuIndex=3&amp;refID=7157980&amp;Result=3","7157980")</f>
        <v>0</v>
      </c>
      <c r="B11019" t="s">
        <v>2566</v>
      </c>
      <c r="C11019" t="s">
        <v>14262</v>
      </c>
      <c r="D11019" t="s">
        <v>19088</v>
      </c>
      <c r="E11019" t="s">
        <v>28564</v>
      </c>
      <c r="F11019" t="s">
        <v>32831</v>
      </c>
      <c r="G11019" t="s">
        <v>32839</v>
      </c>
      <c r="H11019" t="s">
        <v>32848</v>
      </c>
      <c r="I11019" t="s">
        <v>10805</v>
      </c>
      <c r="J11019" t="s">
        <v>39761</v>
      </c>
      <c r="K11019" t="s">
        <v>42763</v>
      </c>
      <c r="M11019" t="s">
        <v>45782</v>
      </c>
      <c r="N11019" t="s">
        <v>47424</v>
      </c>
      <c r="O11019" t="s">
        <v>47425</v>
      </c>
      <c r="Q11019">
        <v>8</v>
      </c>
      <c r="R11019" t="s">
        <v>47431</v>
      </c>
      <c r="S11019" t="s">
        <v>47747</v>
      </c>
      <c r="T11019" t="s">
        <v>49236</v>
      </c>
      <c r="U11019" t="s">
        <v>58744</v>
      </c>
      <c r="W11019" t="s">
        <v>45782</v>
      </c>
      <c r="X11019" t="s">
        <v>47432</v>
      </c>
    </row>
    <row r="11020" spans="1:24">
      <c r="A11020">
        <f>HYPERLINK("https://www.philgeps.gov.ph/GEPSNONPILOT/Tender/SplashBidNoticeAbstractUI.aspx?menuIndex=3&amp;refID=7158240&amp;Result=3","7158240")</f>
        <v>0</v>
      </c>
      <c r="B11020" t="s">
        <v>2071</v>
      </c>
      <c r="C11020" t="s">
        <v>14263</v>
      </c>
      <c r="D11020" t="s">
        <v>19056</v>
      </c>
      <c r="E11020" t="s">
        <v>28565</v>
      </c>
      <c r="F11020" t="s">
        <v>32831</v>
      </c>
      <c r="G11020" t="s">
        <v>32838</v>
      </c>
      <c r="H11020" t="s">
        <v>32848</v>
      </c>
      <c r="I11020" t="s">
        <v>4438</v>
      </c>
      <c r="J11020" t="s">
        <v>39762</v>
      </c>
      <c r="K11020" t="s">
        <v>42730</v>
      </c>
      <c r="M11020" t="s">
        <v>45241</v>
      </c>
      <c r="N11020" t="s">
        <v>47424</v>
      </c>
      <c r="O11020" t="s">
        <v>47425</v>
      </c>
      <c r="P11020">
        <v>0</v>
      </c>
      <c r="Q11020">
        <v>0</v>
      </c>
      <c r="R11020" t="s">
        <v>47431</v>
      </c>
      <c r="S11020" t="s">
        <v>47565</v>
      </c>
      <c r="T11020" t="s">
        <v>49056</v>
      </c>
      <c r="U11020" t="s">
        <v>54448</v>
      </c>
      <c r="W11020" t="s">
        <v>45241</v>
      </c>
      <c r="X11020" t="s">
        <v>47432</v>
      </c>
    </row>
    <row r="11021" spans="1:24">
      <c r="A11021">
        <f>HYPERLINK("https://www.philgeps.gov.ph/GEPSNONPILOT/Tender/SplashBidNoticeAbstractUI.aspx?menuIndex=3&amp;refID=7157977&amp;Result=3","7157977")</f>
        <v>0</v>
      </c>
      <c r="B11021" t="s">
        <v>744</v>
      </c>
      <c r="C11021" t="s">
        <v>14264</v>
      </c>
      <c r="D11021" t="s">
        <v>19017</v>
      </c>
      <c r="E11021" t="s">
        <v>28566</v>
      </c>
      <c r="F11021" t="s">
        <v>32831</v>
      </c>
      <c r="G11021" t="s">
        <v>32838</v>
      </c>
      <c r="H11021" t="s">
        <v>32848</v>
      </c>
      <c r="I11021" t="s">
        <v>4222</v>
      </c>
      <c r="J11021" t="s">
        <v>39763</v>
      </c>
      <c r="K11021" t="s">
        <v>42726</v>
      </c>
      <c r="M11021" t="s">
        <v>45773</v>
      </c>
      <c r="N11021" t="s">
        <v>47424</v>
      </c>
      <c r="O11021" t="s">
        <v>47425</v>
      </c>
      <c r="P11021">
        <v>0</v>
      </c>
      <c r="Q11021">
        <v>0</v>
      </c>
      <c r="R11021" t="s">
        <v>47431</v>
      </c>
      <c r="S11021" t="s">
        <v>47565</v>
      </c>
      <c r="T11021" t="s">
        <v>49237</v>
      </c>
      <c r="U11021" t="s">
        <v>51041</v>
      </c>
      <c r="W11021" t="s">
        <v>45773</v>
      </c>
      <c r="X11021" t="s">
        <v>47432</v>
      </c>
    </row>
    <row r="11022" spans="1:24">
      <c r="A11022">
        <f>HYPERLINK("https://www.philgeps.gov.ph/GEPSNONPILOT/Tender/SplashBidNoticeAbstractUI.aspx?menuIndex=3&amp;refID=7157970&amp;Result=3","7157970")</f>
        <v>0</v>
      </c>
      <c r="B11022" t="s">
        <v>1966</v>
      </c>
      <c r="C11022" t="s">
        <v>14265</v>
      </c>
      <c r="D11022" t="s">
        <v>19042</v>
      </c>
      <c r="E11022" t="s">
        <v>28567</v>
      </c>
      <c r="F11022" t="s">
        <v>32831</v>
      </c>
      <c r="G11022" t="s">
        <v>32838</v>
      </c>
      <c r="H11022" t="s">
        <v>32848</v>
      </c>
      <c r="I11022" t="s">
        <v>32874</v>
      </c>
      <c r="J11022" t="s">
        <v>39764</v>
      </c>
      <c r="K11022" t="s">
        <v>42730</v>
      </c>
      <c r="M11022" t="s">
        <v>45126</v>
      </c>
      <c r="N11022" t="s">
        <v>47424</v>
      </c>
      <c r="O11022" t="s">
        <v>47425</v>
      </c>
      <c r="P11022">
        <v>0</v>
      </c>
      <c r="Q11022">
        <v>12</v>
      </c>
      <c r="R11022" t="s">
        <v>47431</v>
      </c>
      <c r="S11022" t="s">
        <v>47565</v>
      </c>
      <c r="T11022" t="s">
        <v>49141</v>
      </c>
      <c r="U11022" t="s">
        <v>55901</v>
      </c>
      <c r="W11022" t="s">
        <v>45126</v>
      </c>
      <c r="X11022" t="s">
        <v>47432</v>
      </c>
    </row>
    <row r="11023" spans="1:24">
      <c r="A11023">
        <f>HYPERLINK("https://www.philgeps.gov.ph/GEPSNONPILOT/Tender/SplashBidNoticeAbstractUI.aspx?menuIndex=3&amp;refID=7146221&amp;Result=3","7146221")</f>
        <v>0</v>
      </c>
      <c r="B11023" t="s">
        <v>3320</v>
      </c>
      <c r="C11023" t="s">
        <v>14266</v>
      </c>
      <c r="D11023" t="s">
        <v>19080</v>
      </c>
      <c r="E11023" t="s">
        <v>28568</v>
      </c>
      <c r="F11023" t="s">
        <v>32831</v>
      </c>
      <c r="G11023" t="s">
        <v>32839</v>
      </c>
      <c r="H11023" t="s">
        <v>32849</v>
      </c>
      <c r="I11023" t="s">
        <v>4177</v>
      </c>
      <c r="J11023" t="s">
        <v>39765</v>
      </c>
      <c r="K11023" t="s">
        <v>42730</v>
      </c>
      <c r="M11023" t="s">
        <v>46643</v>
      </c>
      <c r="N11023" t="s">
        <v>47424</v>
      </c>
      <c r="O11023" t="s">
        <v>47425</v>
      </c>
      <c r="Q11023">
        <v>0</v>
      </c>
      <c r="R11023" t="s">
        <v>47437</v>
      </c>
      <c r="S11023" t="s">
        <v>47748</v>
      </c>
      <c r="T11023" t="s">
        <v>49106</v>
      </c>
      <c r="U11023" t="s">
        <v>58745</v>
      </c>
      <c r="W11023" t="s">
        <v>46643</v>
      </c>
      <c r="X11023" t="s">
        <v>47438</v>
      </c>
    </row>
    <row r="11024" spans="1:24">
      <c r="A11024">
        <f>HYPERLINK("https://www.philgeps.gov.ph/GEPSNONPILOT/Tender/SplashBidNoticeAbstractUI.aspx?menuIndex=3&amp;refID=7146220&amp;Result=3","7146220")</f>
        <v>0</v>
      </c>
      <c r="B11024" t="s">
        <v>3321</v>
      </c>
      <c r="C11024" t="s">
        <v>14267</v>
      </c>
      <c r="D11024" t="s">
        <v>19054</v>
      </c>
      <c r="E11024" t="s">
        <v>28569</v>
      </c>
      <c r="F11024" t="s">
        <v>32831</v>
      </c>
      <c r="G11024" t="s">
        <v>32839</v>
      </c>
      <c r="H11024" t="s">
        <v>32848</v>
      </c>
      <c r="I11024" t="s">
        <v>32859</v>
      </c>
      <c r="J11024" t="s">
        <v>39766</v>
      </c>
      <c r="K11024" t="s">
        <v>42747</v>
      </c>
      <c r="M11024" t="s">
        <v>46644</v>
      </c>
      <c r="N11024" t="s">
        <v>47424</v>
      </c>
      <c r="O11024" t="s">
        <v>47425</v>
      </c>
      <c r="P11024">
        <v>0</v>
      </c>
      <c r="Q11024">
        <v>2</v>
      </c>
      <c r="R11024" t="s">
        <v>47437</v>
      </c>
      <c r="S11024" t="s">
        <v>47706</v>
      </c>
      <c r="T11024" t="s">
        <v>49192</v>
      </c>
      <c r="U11024" t="s">
        <v>58746</v>
      </c>
      <c r="W11024" t="s">
        <v>46644</v>
      </c>
      <c r="X11024" t="s">
        <v>47438</v>
      </c>
    </row>
    <row r="11025" spans="1:24">
      <c r="A11025">
        <f>HYPERLINK("https://www.philgeps.gov.ph/GEPSNONPILOT/Tender/SplashBidNoticeAbstractUI.aspx?menuIndex=3&amp;refID=7146211&amp;Result=3","7146211")</f>
        <v>0</v>
      </c>
      <c r="B11025" t="s">
        <v>323</v>
      </c>
      <c r="C11025" t="s">
        <v>14268</v>
      </c>
      <c r="D11025" t="s">
        <v>19081</v>
      </c>
      <c r="E11025" t="s">
        <v>28570</v>
      </c>
      <c r="F11025" t="s">
        <v>32831</v>
      </c>
      <c r="G11025" t="s">
        <v>32839</v>
      </c>
      <c r="H11025" t="s">
        <v>32848</v>
      </c>
      <c r="I11025" t="s">
        <v>4558</v>
      </c>
      <c r="J11025" t="s">
        <v>39767</v>
      </c>
      <c r="K11025" t="s">
        <v>42730</v>
      </c>
      <c r="M11025" t="s">
        <v>43326</v>
      </c>
      <c r="N11025" t="s">
        <v>47424</v>
      </c>
      <c r="O11025" t="s">
        <v>47425</v>
      </c>
      <c r="P11025">
        <v>0</v>
      </c>
      <c r="Q11025">
        <v>2</v>
      </c>
      <c r="R11025" t="s">
        <v>47437</v>
      </c>
      <c r="S11025" t="s">
        <v>47706</v>
      </c>
      <c r="T11025" t="s">
        <v>49172</v>
      </c>
      <c r="U11025" t="s">
        <v>58747</v>
      </c>
      <c r="W11025" t="s">
        <v>43326</v>
      </c>
      <c r="X11025" t="s">
        <v>47438</v>
      </c>
    </row>
    <row r="11026" spans="1:24">
      <c r="A11026">
        <f>HYPERLINK("https://www.philgeps.gov.ph/GEPSNONPILOT/Tender/SplashBidNoticeAbstractUI.aspx?menuIndex=3&amp;refID=7146203&amp;Result=3","7146203")</f>
        <v>0</v>
      </c>
      <c r="B11026" t="s">
        <v>3251</v>
      </c>
      <c r="C11026" t="s">
        <v>14269</v>
      </c>
      <c r="D11026" t="s">
        <v>19077</v>
      </c>
      <c r="E11026" t="s">
        <v>28571</v>
      </c>
      <c r="F11026" t="s">
        <v>32831</v>
      </c>
      <c r="G11026" t="s">
        <v>32845</v>
      </c>
      <c r="H11026" t="s">
        <v>32849</v>
      </c>
      <c r="I11026" t="s">
        <v>4177</v>
      </c>
      <c r="J11026" t="s">
        <v>35331</v>
      </c>
      <c r="K11026" t="s">
        <v>42845</v>
      </c>
      <c r="M11026" t="s">
        <v>46567</v>
      </c>
      <c r="N11026" t="s">
        <v>47424</v>
      </c>
      <c r="O11026" t="s">
        <v>47425</v>
      </c>
      <c r="Q11026">
        <v>2</v>
      </c>
      <c r="R11026" t="s">
        <v>47437</v>
      </c>
      <c r="S11026" t="s">
        <v>47749</v>
      </c>
      <c r="T11026" t="s">
        <v>49080</v>
      </c>
      <c r="U11026" t="s">
        <v>49692</v>
      </c>
      <c r="W11026" t="s">
        <v>46567</v>
      </c>
      <c r="X11026" t="s">
        <v>47438</v>
      </c>
    </row>
    <row r="11027" spans="1:24">
      <c r="A11027">
        <f>HYPERLINK("https://www.philgeps.gov.ph/GEPSNONPILOT/Tender/SplashBidNoticeAbstractUI.aspx?menuIndex=3&amp;refID=7157974&amp;Result=3","7157974")</f>
        <v>0</v>
      </c>
      <c r="B11027" t="s">
        <v>3322</v>
      </c>
      <c r="C11027" t="s">
        <v>14270</v>
      </c>
      <c r="D11027" t="s">
        <v>19074</v>
      </c>
      <c r="E11027" t="s">
        <v>24647</v>
      </c>
      <c r="F11027" t="s">
        <v>32831</v>
      </c>
      <c r="G11027" t="s">
        <v>32838</v>
      </c>
      <c r="H11027" t="s">
        <v>32848</v>
      </c>
      <c r="I11027" t="s">
        <v>32861</v>
      </c>
      <c r="J11027" t="s">
        <v>39768</v>
      </c>
      <c r="K11027" t="s">
        <v>42748</v>
      </c>
      <c r="M11027" t="s">
        <v>46645</v>
      </c>
      <c r="N11027" t="s">
        <v>47424</v>
      </c>
      <c r="O11027" t="s">
        <v>47425</v>
      </c>
      <c r="P11027">
        <v>0</v>
      </c>
      <c r="Q11027">
        <v>4</v>
      </c>
      <c r="R11027" t="s">
        <v>47431</v>
      </c>
      <c r="S11027" t="s">
        <v>47565</v>
      </c>
      <c r="T11027" t="s">
        <v>49114</v>
      </c>
      <c r="U11027" t="s">
        <v>58748</v>
      </c>
      <c r="W11027" t="s">
        <v>46645</v>
      </c>
      <c r="X11027" t="s">
        <v>47432</v>
      </c>
    </row>
    <row r="11028" spans="1:24">
      <c r="A11028">
        <f>HYPERLINK("https://www.philgeps.gov.ph/GEPSNONPILOT/Tender/SplashBidNoticeAbstractUI.aspx?menuIndex=3&amp;refID=7146180&amp;Result=3","7146180")</f>
        <v>0</v>
      </c>
      <c r="B11028" t="s">
        <v>693</v>
      </c>
      <c r="C11028" t="s">
        <v>14271</v>
      </c>
      <c r="D11028" t="s">
        <v>19073</v>
      </c>
      <c r="E11028" t="s">
        <v>28572</v>
      </c>
      <c r="F11028" t="s">
        <v>32831</v>
      </c>
      <c r="G11028" t="s">
        <v>32839</v>
      </c>
      <c r="H11028" t="s">
        <v>32848</v>
      </c>
      <c r="I11028" t="s">
        <v>4487</v>
      </c>
      <c r="J11028" t="s">
        <v>39769</v>
      </c>
      <c r="K11028" t="s">
        <v>42731</v>
      </c>
      <c r="M11028" t="s">
        <v>44145</v>
      </c>
      <c r="N11028" t="s">
        <v>47424</v>
      </c>
      <c r="O11028" t="s">
        <v>47425</v>
      </c>
      <c r="P11028">
        <v>0</v>
      </c>
      <c r="Q11028">
        <v>8</v>
      </c>
      <c r="R11028" t="s">
        <v>47437</v>
      </c>
      <c r="S11028" t="s">
        <v>47706</v>
      </c>
      <c r="T11028" t="s">
        <v>49192</v>
      </c>
      <c r="U11028" t="s">
        <v>53968</v>
      </c>
      <c r="V11028" t="s">
        <v>63187</v>
      </c>
      <c r="W11028" t="s">
        <v>64457</v>
      </c>
      <c r="X11028" t="s">
        <v>47438</v>
      </c>
    </row>
    <row r="11029" spans="1:24">
      <c r="A11029">
        <f>HYPERLINK("https://www.philgeps.gov.ph/GEPSNONPILOT/Tender/SplashBidNoticeAbstractUI.aspx?menuIndex=3&amp;refID=7146163&amp;Result=3","7146163")</f>
        <v>0</v>
      </c>
      <c r="B11029" t="s">
        <v>958</v>
      </c>
      <c r="C11029" t="s">
        <v>14272</v>
      </c>
      <c r="D11029" t="s">
        <v>19049</v>
      </c>
      <c r="E11029" t="s">
        <v>28573</v>
      </c>
      <c r="F11029" t="s">
        <v>32831</v>
      </c>
      <c r="G11029" t="s">
        <v>32838</v>
      </c>
      <c r="H11029" t="s">
        <v>32848</v>
      </c>
      <c r="I11029" t="s">
        <v>32863</v>
      </c>
      <c r="J11029" t="s">
        <v>35866</v>
      </c>
      <c r="K11029" t="s">
        <v>42732</v>
      </c>
      <c r="M11029" t="s">
        <v>44004</v>
      </c>
      <c r="N11029" t="s">
        <v>47424</v>
      </c>
      <c r="O11029" t="s">
        <v>47425</v>
      </c>
      <c r="P11029">
        <v>0</v>
      </c>
      <c r="Q11029">
        <v>0</v>
      </c>
      <c r="R11029" t="s">
        <v>47437</v>
      </c>
      <c r="S11029" t="s">
        <v>47706</v>
      </c>
      <c r="T11029" t="s">
        <v>49061</v>
      </c>
      <c r="U11029" t="s">
        <v>58749</v>
      </c>
      <c r="W11029" t="s">
        <v>44004</v>
      </c>
      <c r="X11029" t="s">
        <v>47438</v>
      </c>
    </row>
    <row r="11030" spans="1:24">
      <c r="A11030">
        <f>HYPERLINK("https://www.philgeps.gov.ph/GEPSNONPILOT/Tender/SplashBidNoticeAbstractUI.aspx?menuIndex=3&amp;refID=7158238&amp;Result=3","7158238")</f>
        <v>0</v>
      </c>
      <c r="B11030" t="s">
        <v>2923</v>
      </c>
      <c r="C11030" t="s">
        <v>14273</v>
      </c>
      <c r="D11030" t="s">
        <v>19069</v>
      </c>
      <c r="E11030" t="s">
        <v>28574</v>
      </c>
      <c r="F11030" t="s">
        <v>32831</v>
      </c>
      <c r="G11030" t="s">
        <v>32839</v>
      </c>
      <c r="H11030" t="s">
        <v>32849</v>
      </c>
      <c r="I11030" t="s">
        <v>4177</v>
      </c>
      <c r="J11030" t="s">
        <v>39770</v>
      </c>
      <c r="K11030" t="s">
        <v>42729</v>
      </c>
      <c r="M11030" t="s">
        <v>46176</v>
      </c>
      <c r="N11030" t="s">
        <v>47424</v>
      </c>
      <c r="O11030" t="s">
        <v>47425</v>
      </c>
      <c r="P11030">
        <v>0</v>
      </c>
      <c r="Q11030">
        <v>7</v>
      </c>
      <c r="R11030" t="s">
        <v>47431</v>
      </c>
      <c r="S11030" t="s">
        <v>47565</v>
      </c>
      <c r="T11030" t="s">
        <v>49160</v>
      </c>
      <c r="U11030" t="s">
        <v>58750</v>
      </c>
      <c r="W11030" t="s">
        <v>46176</v>
      </c>
      <c r="X11030" t="s">
        <v>47432</v>
      </c>
    </row>
    <row r="11031" spans="1:24">
      <c r="A11031">
        <f>HYPERLINK("https://www.philgeps.gov.ph/GEPSNONPILOT/Tender/SplashBidNoticeAbstractUI.aspx?menuIndex=3&amp;refID=7146208&amp;Result=3","7146208")</f>
        <v>0</v>
      </c>
      <c r="B11031" t="s">
        <v>3321</v>
      </c>
      <c r="C11031" t="s">
        <v>14274</v>
      </c>
      <c r="D11031" t="s">
        <v>19054</v>
      </c>
      <c r="E11031" t="s">
        <v>28575</v>
      </c>
      <c r="F11031" t="s">
        <v>32831</v>
      </c>
      <c r="G11031" t="s">
        <v>32839</v>
      </c>
      <c r="H11031" t="s">
        <v>32848</v>
      </c>
      <c r="I11031" t="s">
        <v>32963</v>
      </c>
      <c r="J11031" t="s">
        <v>33490</v>
      </c>
      <c r="K11031" t="s">
        <v>42747</v>
      </c>
      <c r="M11031" t="s">
        <v>46644</v>
      </c>
      <c r="N11031" t="s">
        <v>47424</v>
      </c>
      <c r="O11031" t="s">
        <v>47425</v>
      </c>
      <c r="P11031">
        <v>0</v>
      </c>
      <c r="Q11031">
        <v>2</v>
      </c>
      <c r="R11031" t="s">
        <v>47437</v>
      </c>
      <c r="S11031" t="s">
        <v>47706</v>
      </c>
      <c r="T11031" t="s">
        <v>49192</v>
      </c>
      <c r="U11031" t="s">
        <v>58751</v>
      </c>
      <c r="W11031" t="s">
        <v>46644</v>
      </c>
      <c r="X11031" t="s">
        <v>47438</v>
      </c>
    </row>
    <row r="11032" spans="1:24">
      <c r="A11032">
        <f>HYPERLINK("https://www.philgeps.gov.ph/GEPSNONPILOT/Tender/SplashBidNoticeAbstractUI.aspx?menuIndex=3&amp;refID=7146156&amp;Result=3","7146156")</f>
        <v>0</v>
      </c>
      <c r="B11032" t="s">
        <v>3292</v>
      </c>
      <c r="C11032" t="s">
        <v>14275</v>
      </c>
      <c r="D11032" t="s">
        <v>19078</v>
      </c>
      <c r="E11032" t="s">
        <v>20862</v>
      </c>
      <c r="F11032" t="s">
        <v>32831</v>
      </c>
      <c r="G11032" t="s">
        <v>32839</v>
      </c>
      <c r="H11032" t="s">
        <v>32849</v>
      </c>
      <c r="I11032" t="s">
        <v>4177</v>
      </c>
      <c r="J11032" t="s">
        <v>39771</v>
      </c>
      <c r="K11032" t="s">
        <v>42746</v>
      </c>
      <c r="M11032" t="s">
        <v>46613</v>
      </c>
      <c r="N11032" t="s">
        <v>47424</v>
      </c>
      <c r="O11032" t="s">
        <v>47425</v>
      </c>
      <c r="P11032">
        <v>0</v>
      </c>
      <c r="Q11032">
        <v>1</v>
      </c>
      <c r="R11032" t="s">
        <v>47437</v>
      </c>
      <c r="S11032" t="s">
        <v>47706</v>
      </c>
      <c r="T11032" t="s">
        <v>49063</v>
      </c>
      <c r="U11032" t="s">
        <v>58752</v>
      </c>
      <c r="W11032" t="s">
        <v>46613</v>
      </c>
      <c r="X11032" t="s">
        <v>47438</v>
      </c>
    </row>
    <row r="11033" spans="1:24">
      <c r="A11033">
        <f>HYPERLINK("https://www.philgeps.gov.ph/GEPSNONPILOT/Tender/SplashBidNoticeAbstractUI.aspx?menuIndex=3&amp;refID=7146129&amp;Result=3","7146129")</f>
        <v>0</v>
      </c>
      <c r="B11033" t="s">
        <v>2279</v>
      </c>
      <c r="C11033" t="s">
        <v>14276</v>
      </c>
      <c r="D11033" t="s">
        <v>19044</v>
      </c>
      <c r="E11033" t="s">
        <v>28576</v>
      </c>
      <c r="F11033" t="s">
        <v>32831</v>
      </c>
      <c r="G11033" t="s">
        <v>32839</v>
      </c>
      <c r="H11033" t="s">
        <v>32848</v>
      </c>
      <c r="I11033" t="s">
        <v>4776</v>
      </c>
      <c r="J11033" t="s">
        <v>39772</v>
      </c>
      <c r="K11033" t="s">
        <v>42729</v>
      </c>
      <c r="M11033" t="s">
        <v>45463</v>
      </c>
      <c r="N11033" t="s">
        <v>47424</v>
      </c>
      <c r="O11033" t="s">
        <v>47425</v>
      </c>
      <c r="P11033">
        <v>0</v>
      </c>
      <c r="Q11033">
        <v>4</v>
      </c>
      <c r="R11033" t="s">
        <v>47437</v>
      </c>
      <c r="S11033" t="s">
        <v>47706</v>
      </c>
      <c r="T11033" t="s">
        <v>49211</v>
      </c>
      <c r="U11033" t="s">
        <v>58753</v>
      </c>
      <c r="W11033" t="s">
        <v>45463</v>
      </c>
      <c r="X11033" t="s">
        <v>47438</v>
      </c>
    </row>
    <row r="11034" spans="1:24">
      <c r="A11034">
        <f>HYPERLINK("https://www.philgeps.gov.ph/GEPSNONPILOT/Tender/SplashBidNoticeAbstractUI.aspx?menuIndex=3&amp;refID=7146134&amp;Result=3","7146134")</f>
        <v>0</v>
      </c>
      <c r="B11034" t="s">
        <v>693</v>
      </c>
      <c r="C11034" t="s">
        <v>14277</v>
      </c>
      <c r="D11034" t="s">
        <v>19073</v>
      </c>
      <c r="E11034" t="s">
        <v>28577</v>
      </c>
      <c r="F11034" t="s">
        <v>32831</v>
      </c>
      <c r="G11034" t="s">
        <v>32839</v>
      </c>
      <c r="H11034" t="s">
        <v>32848</v>
      </c>
      <c r="I11034" t="s">
        <v>4438</v>
      </c>
      <c r="J11034" t="s">
        <v>39773</v>
      </c>
      <c r="K11034" t="s">
        <v>42731</v>
      </c>
      <c r="M11034" t="s">
        <v>44145</v>
      </c>
      <c r="N11034" t="s">
        <v>47424</v>
      </c>
      <c r="O11034" t="s">
        <v>47425</v>
      </c>
      <c r="P11034">
        <v>0</v>
      </c>
      <c r="Q11034">
        <v>8</v>
      </c>
      <c r="R11034" t="s">
        <v>47437</v>
      </c>
      <c r="S11034" t="s">
        <v>47706</v>
      </c>
      <c r="T11034" t="s">
        <v>49192</v>
      </c>
      <c r="U11034" t="s">
        <v>53968</v>
      </c>
      <c r="V11034" t="s">
        <v>63187</v>
      </c>
      <c r="W11034" t="s">
        <v>64457</v>
      </c>
      <c r="X11034" t="s">
        <v>47438</v>
      </c>
    </row>
    <row r="11035" spans="1:24">
      <c r="A11035">
        <f>HYPERLINK("https://www.philgeps.gov.ph/GEPSNONPILOT/Tender/SplashBidNoticeAbstractUI.aspx?menuIndex=3&amp;refID=7146102&amp;Result=3","7146102")</f>
        <v>0</v>
      </c>
      <c r="B11035" t="s">
        <v>1858</v>
      </c>
      <c r="C11035" t="s">
        <v>14278</v>
      </c>
      <c r="D11035" t="s">
        <v>19056</v>
      </c>
      <c r="E11035" t="s">
        <v>28578</v>
      </c>
      <c r="F11035" t="s">
        <v>32831</v>
      </c>
      <c r="G11035" t="s">
        <v>32839</v>
      </c>
      <c r="H11035" t="s">
        <v>32848</v>
      </c>
      <c r="I11035" t="s">
        <v>7416</v>
      </c>
      <c r="J11035" t="s">
        <v>39774</v>
      </c>
      <c r="K11035" t="s">
        <v>42748</v>
      </c>
      <c r="M11035" t="s">
        <v>44997</v>
      </c>
      <c r="N11035" t="s">
        <v>47424</v>
      </c>
      <c r="O11035" t="s">
        <v>47425</v>
      </c>
      <c r="P11035">
        <v>0</v>
      </c>
      <c r="Q11035">
        <v>0</v>
      </c>
      <c r="R11035" t="s">
        <v>47437</v>
      </c>
      <c r="S11035" t="s">
        <v>47706</v>
      </c>
      <c r="T11035" t="s">
        <v>49056</v>
      </c>
      <c r="U11035" t="s">
        <v>58754</v>
      </c>
      <c r="V11035" t="s">
        <v>63846</v>
      </c>
      <c r="W11035" t="s">
        <v>44997</v>
      </c>
      <c r="X11035" t="s">
        <v>47438</v>
      </c>
    </row>
    <row r="11036" spans="1:24">
      <c r="A11036">
        <f>HYPERLINK("https://www.philgeps.gov.ph/GEPSNONPILOT/Tender/SplashBidNoticeAbstractUI.aspx?menuIndex=3&amp;refID=7145555&amp;Result=3","7145555")</f>
        <v>0</v>
      </c>
      <c r="B11036" t="s">
        <v>3323</v>
      </c>
      <c r="C11036" t="s">
        <v>14279</v>
      </c>
      <c r="D11036" t="s">
        <v>19071</v>
      </c>
      <c r="E11036" t="s">
        <v>19937</v>
      </c>
      <c r="F11036" t="s">
        <v>32831</v>
      </c>
      <c r="G11036" t="s">
        <v>32839</v>
      </c>
      <c r="H11036" t="s">
        <v>32849</v>
      </c>
      <c r="I11036" t="s">
        <v>7416</v>
      </c>
      <c r="J11036" t="s">
        <v>39775</v>
      </c>
      <c r="K11036" t="s">
        <v>42731</v>
      </c>
      <c r="M11036" t="s">
        <v>46646</v>
      </c>
      <c r="N11036" t="s">
        <v>47424</v>
      </c>
      <c r="O11036" t="s">
        <v>47425</v>
      </c>
      <c r="P11036">
        <v>0</v>
      </c>
      <c r="Q11036">
        <v>0</v>
      </c>
      <c r="R11036" t="s">
        <v>47437</v>
      </c>
      <c r="S11036" t="s">
        <v>47706</v>
      </c>
      <c r="T11036" t="s">
        <v>49073</v>
      </c>
      <c r="U11036" t="s">
        <v>58755</v>
      </c>
      <c r="V11036" t="s">
        <v>63768</v>
      </c>
      <c r="W11036" t="s">
        <v>46646</v>
      </c>
      <c r="X11036" t="s">
        <v>47438</v>
      </c>
    </row>
    <row r="11037" spans="1:24">
      <c r="A11037">
        <f>HYPERLINK("https://www.philgeps.gov.ph/GEPSNONPILOT/Tender/SplashBidNoticeAbstractUI.aspx?menuIndex=3&amp;refID=7146416&amp;Result=3","7146416")</f>
        <v>0</v>
      </c>
      <c r="B11037" t="s">
        <v>2358</v>
      </c>
      <c r="C11037" t="s">
        <v>14280</v>
      </c>
      <c r="D11037" t="s">
        <v>19034</v>
      </c>
      <c r="E11037" t="s">
        <v>25282</v>
      </c>
      <c r="F11037" t="s">
        <v>32831</v>
      </c>
      <c r="G11037" t="s">
        <v>32839</v>
      </c>
      <c r="H11037" t="s">
        <v>32848</v>
      </c>
      <c r="I11037" t="s">
        <v>32869</v>
      </c>
      <c r="J11037" t="s">
        <v>33044</v>
      </c>
      <c r="K11037" t="s">
        <v>42727</v>
      </c>
      <c r="M11037" t="s">
        <v>45547</v>
      </c>
      <c r="N11037" t="s">
        <v>47424</v>
      </c>
      <c r="O11037" t="s">
        <v>47425</v>
      </c>
      <c r="P11037">
        <v>0</v>
      </c>
      <c r="Q11037">
        <v>2</v>
      </c>
      <c r="R11037" t="s">
        <v>47437</v>
      </c>
      <c r="S11037" t="s">
        <v>47706</v>
      </c>
      <c r="T11037" t="s">
        <v>49239</v>
      </c>
      <c r="U11037" t="s">
        <v>58756</v>
      </c>
      <c r="W11037" t="s">
        <v>45547</v>
      </c>
      <c r="X11037" t="s">
        <v>47438</v>
      </c>
    </row>
    <row r="11038" spans="1:24">
      <c r="A11038">
        <f>HYPERLINK("https://www.philgeps.gov.ph/GEPSNONPILOT/Tender/SplashBidNoticeAbstractUI.aspx?menuIndex=3&amp;refID=7146195&amp;Result=3","7146195")</f>
        <v>0</v>
      </c>
      <c r="B11038" t="s">
        <v>693</v>
      </c>
      <c r="C11038" t="s">
        <v>14281</v>
      </c>
      <c r="D11038" t="s">
        <v>19073</v>
      </c>
      <c r="E11038" t="s">
        <v>28579</v>
      </c>
      <c r="F11038" t="s">
        <v>32831</v>
      </c>
      <c r="G11038" t="s">
        <v>32839</v>
      </c>
      <c r="H11038" t="s">
        <v>32848</v>
      </c>
      <c r="I11038" t="s">
        <v>32870</v>
      </c>
      <c r="J11038" t="s">
        <v>39776</v>
      </c>
      <c r="K11038" t="s">
        <v>42731</v>
      </c>
      <c r="M11038" t="s">
        <v>44145</v>
      </c>
      <c r="N11038" t="s">
        <v>47424</v>
      </c>
      <c r="O11038" t="s">
        <v>47425</v>
      </c>
      <c r="P11038">
        <v>0</v>
      </c>
      <c r="Q11038">
        <v>1</v>
      </c>
      <c r="R11038" t="s">
        <v>47437</v>
      </c>
      <c r="S11038" t="s">
        <v>47706</v>
      </c>
      <c r="T11038" t="s">
        <v>49192</v>
      </c>
      <c r="U11038" t="s">
        <v>53968</v>
      </c>
      <c r="V11038" t="s">
        <v>63187</v>
      </c>
      <c r="W11038" t="s">
        <v>64457</v>
      </c>
      <c r="X11038" t="s">
        <v>47438</v>
      </c>
    </row>
    <row r="11039" spans="1:24">
      <c r="A11039">
        <f>HYPERLINK("https://www.philgeps.gov.ph/GEPSNONPILOT/Tender/SplashBidNoticeAbstractUI.aspx?menuIndex=3&amp;refID=7145824&amp;Result=3","7145824")</f>
        <v>0</v>
      </c>
      <c r="B11039" t="s">
        <v>861</v>
      </c>
      <c r="C11039" t="s">
        <v>14282</v>
      </c>
      <c r="D11039" t="s">
        <v>19041</v>
      </c>
      <c r="E11039" t="s">
        <v>28502</v>
      </c>
      <c r="F11039" t="s">
        <v>32831</v>
      </c>
      <c r="G11039" t="s">
        <v>32839</v>
      </c>
      <c r="H11039" t="s">
        <v>32849</v>
      </c>
      <c r="I11039" t="s">
        <v>4177</v>
      </c>
      <c r="J11039" t="s">
        <v>36020</v>
      </c>
      <c r="K11039" t="s">
        <v>42789</v>
      </c>
      <c r="M11039" t="s">
        <v>43895</v>
      </c>
      <c r="N11039" t="s">
        <v>47424</v>
      </c>
      <c r="O11039" t="s">
        <v>47425</v>
      </c>
      <c r="P11039">
        <v>0</v>
      </c>
      <c r="Q11039">
        <v>0</v>
      </c>
      <c r="R11039" t="s">
        <v>47437</v>
      </c>
      <c r="S11039" t="s">
        <v>47706</v>
      </c>
      <c r="T11039" t="s">
        <v>49080</v>
      </c>
      <c r="U11039" t="s">
        <v>58757</v>
      </c>
      <c r="W11039" t="s">
        <v>43895</v>
      </c>
      <c r="X11039" t="s">
        <v>47438</v>
      </c>
    </row>
    <row r="11040" spans="1:24">
      <c r="A11040">
        <f>HYPERLINK("https://www.philgeps.gov.ph/GEPSNONPILOT/Tender/SplashBidNoticeAbstractUI.aspx?menuIndex=3&amp;refID=7146467&amp;Result=3","7146467")</f>
        <v>0</v>
      </c>
      <c r="B11040" t="s">
        <v>3324</v>
      </c>
      <c r="C11040" t="s">
        <v>14283</v>
      </c>
      <c r="D11040" t="s">
        <v>19084</v>
      </c>
      <c r="E11040" t="s">
        <v>28580</v>
      </c>
      <c r="F11040" t="s">
        <v>32831</v>
      </c>
      <c r="G11040" t="s">
        <v>32839</v>
      </c>
      <c r="H11040" t="s">
        <v>32849</v>
      </c>
      <c r="I11040" t="s">
        <v>7416</v>
      </c>
      <c r="J11040" t="s">
        <v>39777</v>
      </c>
      <c r="K11040" t="s">
        <v>42833</v>
      </c>
      <c r="L11040" t="s">
        <v>3324</v>
      </c>
      <c r="M11040" t="s">
        <v>46647</v>
      </c>
      <c r="N11040" t="s">
        <v>47424</v>
      </c>
      <c r="O11040" t="s">
        <v>47425</v>
      </c>
      <c r="Q11040">
        <v>0</v>
      </c>
      <c r="R11040" t="s">
        <v>47437</v>
      </c>
      <c r="S11040" t="s">
        <v>47750</v>
      </c>
      <c r="T11040" t="s">
        <v>49106</v>
      </c>
      <c r="U11040" t="s">
        <v>58758</v>
      </c>
      <c r="W11040" t="s">
        <v>64543</v>
      </c>
      <c r="X11040" t="s">
        <v>47438</v>
      </c>
    </row>
    <row r="11041" spans="1:24">
      <c r="A11041">
        <f>HYPERLINK("https://www.philgeps.gov.ph/GEPSNONPILOT/Tender/SplashBidNoticeAbstractUI.aspx?menuIndex=3&amp;refID=7146463&amp;Result=3","7146463")</f>
        <v>0</v>
      </c>
      <c r="B11041" t="s">
        <v>2664</v>
      </c>
      <c r="C11041" t="s">
        <v>14284</v>
      </c>
      <c r="D11041" t="s">
        <v>19059</v>
      </c>
      <c r="E11041" t="s">
        <v>28581</v>
      </c>
      <c r="F11041" t="s">
        <v>32831</v>
      </c>
      <c r="G11041" t="s">
        <v>32842</v>
      </c>
      <c r="H11041" t="s">
        <v>32848</v>
      </c>
      <c r="I11041" t="s">
        <v>4438</v>
      </c>
      <c r="J11041" t="s">
        <v>39778</v>
      </c>
      <c r="K11041" t="s">
        <v>42745</v>
      </c>
      <c r="M11041" t="s">
        <v>45887</v>
      </c>
      <c r="N11041" t="s">
        <v>47424</v>
      </c>
      <c r="O11041" t="s">
        <v>47425</v>
      </c>
      <c r="Q11041">
        <v>1</v>
      </c>
      <c r="R11041" t="s">
        <v>47437</v>
      </c>
      <c r="S11041" t="s">
        <v>47751</v>
      </c>
      <c r="T11041" t="s">
        <v>49073</v>
      </c>
      <c r="U11041" t="s">
        <v>58759</v>
      </c>
      <c r="W11041" t="s">
        <v>45887</v>
      </c>
      <c r="X11041" t="s">
        <v>47438</v>
      </c>
    </row>
    <row r="11042" spans="1:24">
      <c r="A11042">
        <f>HYPERLINK("https://www.philgeps.gov.ph/GEPSNONPILOT/Tender/SplashBidNoticeAbstractUI.aspx?menuIndex=3&amp;refID=7158242&amp;Result=3","7158242")</f>
        <v>0</v>
      </c>
      <c r="B11042" t="s">
        <v>67</v>
      </c>
      <c r="C11042" t="s">
        <v>14285</v>
      </c>
      <c r="D11042" t="s">
        <v>19099</v>
      </c>
      <c r="E11042" t="s">
        <v>28582</v>
      </c>
      <c r="F11042" t="s">
        <v>32831</v>
      </c>
      <c r="G11042" t="s">
        <v>32840</v>
      </c>
      <c r="H11042" t="s">
        <v>32848</v>
      </c>
      <c r="I11042" t="s">
        <v>4471</v>
      </c>
      <c r="J11042" t="s">
        <v>37948</v>
      </c>
      <c r="K11042" t="s">
        <v>42729</v>
      </c>
      <c r="M11042" t="s">
        <v>43749</v>
      </c>
      <c r="N11042" t="s">
        <v>47424</v>
      </c>
      <c r="O11042" t="s">
        <v>47425</v>
      </c>
      <c r="P11042">
        <v>0</v>
      </c>
      <c r="Q11042">
        <v>6</v>
      </c>
      <c r="R11042" t="s">
        <v>47431</v>
      </c>
      <c r="S11042" t="s">
        <v>47565</v>
      </c>
      <c r="T11042" t="s">
        <v>49206</v>
      </c>
      <c r="U11042" t="s">
        <v>51013</v>
      </c>
      <c r="W11042" t="s">
        <v>64446</v>
      </c>
      <c r="X11042" t="s">
        <v>47432</v>
      </c>
    </row>
    <row r="11043" spans="1:24">
      <c r="A11043">
        <f>HYPERLINK("https://www.philgeps.gov.ph/GEPSNONPILOT/Tender/SplashBidNoticeAbstractUI.aspx?menuIndex=3&amp;refID=7146158&amp;Result=3","7146158")</f>
        <v>0</v>
      </c>
      <c r="B11043" t="s">
        <v>693</v>
      </c>
      <c r="C11043" t="s">
        <v>14286</v>
      </c>
      <c r="D11043" t="s">
        <v>19073</v>
      </c>
      <c r="E11043" t="s">
        <v>28583</v>
      </c>
      <c r="F11043" t="s">
        <v>32831</v>
      </c>
      <c r="G11043" t="s">
        <v>32839</v>
      </c>
      <c r="H11043" t="s">
        <v>32848</v>
      </c>
      <c r="I11043" t="s">
        <v>32859</v>
      </c>
      <c r="J11043" t="s">
        <v>32985</v>
      </c>
      <c r="K11043" t="s">
        <v>42731</v>
      </c>
      <c r="M11043" t="s">
        <v>44145</v>
      </c>
      <c r="N11043" t="s">
        <v>47424</v>
      </c>
      <c r="O11043" t="s">
        <v>47425</v>
      </c>
      <c r="P11043">
        <v>0</v>
      </c>
      <c r="Q11043">
        <v>2</v>
      </c>
      <c r="R11043" t="s">
        <v>47437</v>
      </c>
      <c r="S11043" t="s">
        <v>47706</v>
      </c>
      <c r="T11043" t="s">
        <v>49192</v>
      </c>
      <c r="U11043" t="s">
        <v>53968</v>
      </c>
      <c r="V11043" t="s">
        <v>63187</v>
      </c>
      <c r="W11043" t="s">
        <v>64457</v>
      </c>
      <c r="X11043" t="s">
        <v>47438</v>
      </c>
    </row>
    <row r="11044" spans="1:24">
      <c r="A11044">
        <f>HYPERLINK("https://www.philgeps.gov.ph/GEPSNONPILOT/Tender/SplashBidNoticeAbstractUI.aspx?menuIndex=3&amp;refID=7146454&amp;Result=3","7146454")</f>
        <v>0</v>
      </c>
      <c r="B11044" t="s">
        <v>99</v>
      </c>
      <c r="C11044" t="s">
        <v>14287</v>
      </c>
      <c r="D11044" t="s">
        <v>19054</v>
      </c>
      <c r="E11044" t="s">
        <v>28584</v>
      </c>
      <c r="F11044" t="s">
        <v>32831</v>
      </c>
      <c r="G11044" t="s">
        <v>32839</v>
      </c>
      <c r="H11044" t="s">
        <v>32848</v>
      </c>
      <c r="I11044" t="s">
        <v>7416</v>
      </c>
      <c r="J11044" t="s">
        <v>39779</v>
      </c>
      <c r="K11044" t="s">
        <v>42730</v>
      </c>
      <c r="M11044" t="s">
        <v>43171</v>
      </c>
      <c r="N11044" t="s">
        <v>47424</v>
      </c>
      <c r="O11044" t="s">
        <v>47425</v>
      </c>
      <c r="P11044">
        <v>0</v>
      </c>
      <c r="Q11044">
        <v>0</v>
      </c>
      <c r="R11044" t="s">
        <v>47437</v>
      </c>
      <c r="S11044" t="s">
        <v>47706</v>
      </c>
      <c r="T11044" t="s">
        <v>49111</v>
      </c>
      <c r="U11044" t="s">
        <v>49821</v>
      </c>
      <c r="V11044" t="s">
        <v>62643</v>
      </c>
      <c r="W11044" t="s">
        <v>43171</v>
      </c>
      <c r="X11044" t="s">
        <v>47438</v>
      </c>
    </row>
    <row r="11045" spans="1:24">
      <c r="A11045">
        <f>HYPERLINK("https://www.philgeps.gov.ph/GEPSNONPILOT/Tender/SplashBidNoticeAbstractUI.aspx?menuIndex=3&amp;refID=7146465&amp;Result=3","7146465")</f>
        <v>0</v>
      </c>
      <c r="B11045" t="s">
        <v>1037</v>
      </c>
      <c r="C11045" t="s">
        <v>14288</v>
      </c>
      <c r="D11045" t="s">
        <v>19100</v>
      </c>
      <c r="E11045" t="s">
        <v>23211</v>
      </c>
      <c r="F11045" t="s">
        <v>32831</v>
      </c>
      <c r="G11045" t="s">
        <v>32839</v>
      </c>
      <c r="H11045" t="s">
        <v>32848</v>
      </c>
      <c r="I11045" t="s">
        <v>32870</v>
      </c>
      <c r="J11045" t="s">
        <v>34100</v>
      </c>
      <c r="K11045" t="s">
        <v>42750</v>
      </c>
      <c r="M11045" t="s">
        <v>44091</v>
      </c>
      <c r="N11045" t="s">
        <v>47424</v>
      </c>
      <c r="O11045" t="s">
        <v>47425</v>
      </c>
      <c r="P11045">
        <v>0</v>
      </c>
      <c r="Q11045">
        <v>0</v>
      </c>
      <c r="R11045" t="s">
        <v>47437</v>
      </c>
      <c r="S11045" t="s">
        <v>47706</v>
      </c>
      <c r="T11045" t="s">
        <v>49151</v>
      </c>
      <c r="U11045" t="s">
        <v>58760</v>
      </c>
      <c r="W11045" t="s">
        <v>44091</v>
      </c>
      <c r="X11045" t="s">
        <v>47438</v>
      </c>
    </row>
    <row r="11046" spans="1:24">
      <c r="A11046">
        <f>HYPERLINK("https://www.philgeps.gov.ph/GEPSNONPILOT/Tender/SplashBidNoticeAbstractUI.aspx?menuIndex=3&amp;refID=7146449&amp;Result=3","7146449")</f>
        <v>0</v>
      </c>
      <c r="B11046" t="s">
        <v>661</v>
      </c>
      <c r="C11046" t="s">
        <v>14289</v>
      </c>
      <c r="D11046" t="s">
        <v>19058</v>
      </c>
      <c r="E11046" t="s">
        <v>28585</v>
      </c>
      <c r="F11046" t="s">
        <v>32831</v>
      </c>
      <c r="G11046" t="s">
        <v>32839</v>
      </c>
      <c r="H11046" t="s">
        <v>32848</v>
      </c>
      <c r="I11046" t="s">
        <v>7416</v>
      </c>
      <c r="J11046" t="s">
        <v>39780</v>
      </c>
      <c r="K11046" t="s">
        <v>42731</v>
      </c>
      <c r="M11046" t="s">
        <v>43679</v>
      </c>
      <c r="N11046" t="s">
        <v>47424</v>
      </c>
      <c r="O11046" t="s">
        <v>47425</v>
      </c>
      <c r="P11046">
        <v>0</v>
      </c>
      <c r="Q11046">
        <v>0</v>
      </c>
      <c r="R11046" t="s">
        <v>47437</v>
      </c>
      <c r="S11046" t="s">
        <v>47706</v>
      </c>
      <c r="T11046" t="s">
        <v>49237</v>
      </c>
      <c r="U11046" t="s">
        <v>58761</v>
      </c>
      <c r="W11046" t="s">
        <v>43679</v>
      </c>
      <c r="X11046" t="s">
        <v>47438</v>
      </c>
    </row>
    <row r="11047" spans="1:24">
      <c r="A11047">
        <f>HYPERLINK("https://www.philgeps.gov.ph/GEPSNONPILOT/Tender/SplashBidNoticeAbstractUI.aspx?menuIndex=3&amp;refID=7146114&amp;Result=3","7146114")</f>
        <v>0</v>
      </c>
      <c r="B11047" t="s">
        <v>3292</v>
      </c>
      <c r="C11047" t="s">
        <v>14290</v>
      </c>
      <c r="D11047" t="s">
        <v>19078</v>
      </c>
      <c r="E11047" t="s">
        <v>19987</v>
      </c>
      <c r="F11047" t="s">
        <v>32831</v>
      </c>
      <c r="G11047" t="s">
        <v>32839</v>
      </c>
      <c r="H11047" t="s">
        <v>32849</v>
      </c>
      <c r="I11047" t="s">
        <v>4177</v>
      </c>
      <c r="J11047" t="s">
        <v>39781</v>
      </c>
      <c r="K11047" t="s">
        <v>42746</v>
      </c>
      <c r="M11047" t="s">
        <v>46613</v>
      </c>
      <c r="N11047" t="s">
        <v>47424</v>
      </c>
      <c r="O11047" t="s">
        <v>47425</v>
      </c>
      <c r="P11047">
        <v>0</v>
      </c>
      <c r="Q11047">
        <v>1</v>
      </c>
      <c r="R11047" t="s">
        <v>47437</v>
      </c>
      <c r="S11047" t="s">
        <v>47706</v>
      </c>
      <c r="T11047" t="s">
        <v>49063</v>
      </c>
      <c r="U11047" t="s">
        <v>58762</v>
      </c>
      <c r="W11047" t="s">
        <v>46613</v>
      </c>
      <c r="X11047" t="s">
        <v>47438</v>
      </c>
    </row>
    <row r="11048" spans="1:24">
      <c r="A11048">
        <f>HYPERLINK("https://www.philgeps.gov.ph/GEPSNONPILOT/Tender/SplashBidNoticeAbstractUI.aspx?menuIndex=3&amp;refID=7146340&amp;Result=3","7146340")</f>
        <v>0</v>
      </c>
      <c r="B11048" t="s">
        <v>731</v>
      </c>
      <c r="C11048" t="s">
        <v>14291</v>
      </c>
      <c r="D11048" t="s">
        <v>19086</v>
      </c>
      <c r="E11048" t="s">
        <v>28586</v>
      </c>
      <c r="F11048" t="s">
        <v>32831</v>
      </c>
      <c r="G11048" t="s">
        <v>32839</v>
      </c>
      <c r="H11048" t="s">
        <v>32848</v>
      </c>
      <c r="I11048" t="s">
        <v>8577</v>
      </c>
      <c r="J11048" t="s">
        <v>39782</v>
      </c>
      <c r="K11048" t="s">
        <v>42730</v>
      </c>
      <c r="M11048" t="s">
        <v>43753</v>
      </c>
      <c r="N11048" t="s">
        <v>47424</v>
      </c>
      <c r="O11048" t="s">
        <v>47425</v>
      </c>
      <c r="P11048">
        <v>0</v>
      </c>
      <c r="Q11048">
        <v>6</v>
      </c>
      <c r="R11048" t="s">
        <v>47437</v>
      </c>
      <c r="S11048" t="s">
        <v>47706</v>
      </c>
      <c r="T11048" t="s">
        <v>49196</v>
      </c>
      <c r="U11048" t="s">
        <v>52530</v>
      </c>
      <c r="W11048" t="s">
        <v>43753</v>
      </c>
      <c r="X11048" t="s">
        <v>47438</v>
      </c>
    </row>
    <row r="11049" spans="1:24">
      <c r="A11049">
        <f>HYPERLINK("https://www.philgeps.gov.ph/GEPSNONPILOT/Tender/SplashBidNoticeAbstractUI.aspx?menuIndex=3&amp;refID=7146318&amp;Result=3","7146318")</f>
        <v>0</v>
      </c>
      <c r="B11049" t="s">
        <v>324</v>
      </c>
      <c r="C11049" t="s">
        <v>14292</v>
      </c>
      <c r="D11049" t="s">
        <v>19049</v>
      </c>
      <c r="E11049" t="s">
        <v>28587</v>
      </c>
      <c r="F11049" t="s">
        <v>32831</v>
      </c>
      <c r="G11049" t="s">
        <v>32839</v>
      </c>
      <c r="H11049" t="s">
        <v>32848</v>
      </c>
      <c r="I11049" t="s">
        <v>32892</v>
      </c>
      <c r="J11049" t="s">
        <v>39783</v>
      </c>
      <c r="K11049" t="s">
        <v>42729</v>
      </c>
      <c r="M11049" t="s">
        <v>43327</v>
      </c>
      <c r="N11049" t="s">
        <v>47424</v>
      </c>
      <c r="O11049" t="s">
        <v>47425</v>
      </c>
      <c r="Q11049">
        <v>4</v>
      </c>
      <c r="R11049" t="s">
        <v>47437</v>
      </c>
      <c r="S11049" t="s">
        <v>47752</v>
      </c>
      <c r="T11049" t="s">
        <v>49265</v>
      </c>
      <c r="U11049" t="s">
        <v>58763</v>
      </c>
      <c r="W11049" t="s">
        <v>43327</v>
      </c>
      <c r="X11049" t="s">
        <v>47438</v>
      </c>
    </row>
    <row r="11050" spans="1:24">
      <c r="A11050">
        <f>HYPERLINK("https://www.philgeps.gov.ph/GEPSNONPILOT/Tender/SplashBidNoticeAbstractUI.aspx?menuIndex=3&amp;refID=7146101&amp;Result=3","7146101")</f>
        <v>0</v>
      </c>
      <c r="B11050" t="s">
        <v>693</v>
      </c>
      <c r="C11050" t="s">
        <v>14293</v>
      </c>
      <c r="D11050" t="s">
        <v>19073</v>
      </c>
      <c r="E11050" t="s">
        <v>28588</v>
      </c>
      <c r="F11050" t="s">
        <v>32831</v>
      </c>
      <c r="G11050" t="s">
        <v>32839</v>
      </c>
      <c r="H11050" t="s">
        <v>32848</v>
      </c>
      <c r="I11050" t="s">
        <v>4558</v>
      </c>
      <c r="J11050" t="s">
        <v>39784</v>
      </c>
      <c r="K11050" t="s">
        <v>42731</v>
      </c>
      <c r="M11050" t="s">
        <v>44145</v>
      </c>
      <c r="N11050" t="s">
        <v>47424</v>
      </c>
      <c r="O11050" t="s">
        <v>47425</v>
      </c>
      <c r="P11050">
        <v>0</v>
      </c>
      <c r="Q11050">
        <v>2</v>
      </c>
      <c r="R11050" t="s">
        <v>47437</v>
      </c>
      <c r="S11050" t="s">
        <v>47706</v>
      </c>
      <c r="T11050" t="s">
        <v>49192</v>
      </c>
      <c r="U11050" t="s">
        <v>53968</v>
      </c>
      <c r="V11050" t="s">
        <v>63187</v>
      </c>
      <c r="W11050" t="s">
        <v>64457</v>
      </c>
      <c r="X11050" t="s">
        <v>47438</v>
      </c>
    </row>
    <row r="11051" spans="1:24">
      <c r="A11051">
        <f>HYPERLINK("https://www.philgeps.gov.ph/GEPSNONPILOT/Tender/SplashBidNoticeAbstractUI.aspx?menuIndex=3&amp;refID=7146576&amp;Result=3","7146576")</f>
        <v>0</v>
      </c>
      <c r="B11051" t="s">
        <v>1316</v>
      </c>
      <c r="C11051" t="s">
        <v>14294</v>
      </c>
      <c r="D11051" t="s">
        <v>19035</v>
      </c>
      <c r="E11051" t="s">
        <v>28589</v>
      </c>
      <c r="F11051" t="s">
        <v>32831</v>
      </c>
      <c r="G11051" t="s">
        <v>32839</v>
      </c>
      <c r="H11051" t="s">
        <v>32849</v>
      </c>
      <c r="I11051" t="s">
        <v>4177</v>
      </c>
      <c r="J11051" t="s">
        <v>39785</v>
      </c>
      <c r="K11051" t="s">
        <v>42747</v>
      </c>
      <c r="M11051" t="s">
        <v>44387</v>
      </c>
      <c r="N11051" t="s">
        <v>47424</v>
      </c>
      <c r="O11051" t="s">
        <v>47425</v>
      </c>
      <c r="P11051">
        <v>0</v>
      </c>
      <c r="Q11051">
        <v>0</v>
      </c>
      <c r="R11051" t="s">
        <v>47437</v>
      </c>
      <c r="S11051" t="s">
        <v>47706</v>
      </c>
      <c r="T11051" t="s">
        <v>49061</v>
      </c>
      <c r="U11051" t="s">
        <v>58764</v>
      </c>
      <c r="W11051" t="s">
        <v>44387</v>
      </c>
      <c r="X11051" t="s">
        <v>47438</v>
      </c>
    </row>
    <row r="11052" spans="1:24">
      <c r="A11052">
        <f>HYPERLINK("https://www.philgeps.gov.ph/GEPSNONPILOT/Tender/SplashBidNoticeAbstractUI.aspx?menuIndex=3&amp;refID=7146568&amp;Result=3","7146568")</f>
        <v>0</v>
      </c>
      <c r="B11052" t="s">
        <v>324</v>
      </c>
      <c r="C11052" t="s">
        <v>14295</v>
      </c>
      <c r="D11052" t="s">
        <v>19049</v>
      </c>
      <c r="E11052" t="s">
        <v>28590</v>
      </c>
      <c r="F11052" t="s">
        <v>32831</v>
      </c>
      <c r="G11052" t="s">
        <v>32839</v>
      </c>
      <c r="H11052" t="s">
        <v>32848</v>
      </c>
      <c r="I11052" t="s">
        <v>32859</v>
      </c>
      <c r="J11052" t="s">
        <v>38438</v>
      </c>
      <c r="K11052" t="s">
        <v>42727</v>
      </c>
      <c r="M11052" t="s">
        <v>43327</v>
      </c>
      <c r="N11052" t="s">
        <v>47424</v>
      </c>
      <c r="O11052" t="s">
        <v>47425</v>
      </c>
      <c r="Q11052">
        <v>3</v>
      </c>
      <c r="R11052" t="s">
        <v>47437</v>
      </c>
      <c r="S11052" t="s">
        <v>47753</v>
      </c>
      <c r="T11052" t="s">
        <v>49265</v>
      </c>
      <c r="U11052" t="s">
        <v>58765</v>
      </c>
      <c r="W11052" t="s">
        <v>43327</v>
      </c>
      <c r="X11052" t="s">
        <v>47438</v>
      </c>
    </row>
    <row r="11053" spans="1:24">
      <c r="A11053">
        <f>HYPERLINK("https://www.philgeps.gov.ph/GEPSNONPILOT/Tender/SplashBidNoticeAbstractUI.aspx?menuIndex=3&amp;refID=7146439&amp;Result=3","7146439")</f>
        <v>0</v>
      </c>
      <c r="B11053" t="s">
        <v>2386</v>
      </c>
      <c r="C11053" t="s">
        <v>14296</v>
      </c>
      <c r="D11053" t="s">
        <v>19104</v>
      </c>
      <c r="E11053" t="s">
        <v>28591</v>
      </c>
      <c r="F11053" t="s">
        <v>32831</v>
      </c>
      <c r="G11053" t="s">
        <v>32839</v>
      </c>
      <c r="H11053" t="s">
        <v>32848</v>
      </c>
      <c r="I11053" t="s">
        <v>4177</v>
      </c>
      <c r="J11053" t="s">
        <v>34733</v>
      </c>
      <c r="K11053" t="s">
        <v>42937</v>
      </c>
      <c r="M11053" t="s">
        <v>45577</v>
      </c>
      <c r="N11053" t="s">
        <v>47424</v>
      </c>
      <c r="O11053" t="s">
        <v>47425</v>
      </c>
      <c r="Q11053">
        <v>0</v>
      </c>
      <c r="R11053" t="s">
        <v>47437</v>
      </c>
      <c r="S11053" t="s">
        <v>47754</v>
      </c>
      <c r="T11053" t="s">
        <v>49071</v>
      </c>
      <c r="U11053" t="s">
        <v>58766</v>
      </c>
      <c r="W11053" t="s">
        <v>45577</v>
      </c>
      <c r="X11053" t="s">
        <v>47438</v>
      </c>
    </row>
    <row r="11054" spans="1:24">
      <c r="A11054">
        <f>HYPERLINK("https://www.philgeps.gov.ph/GEPSNONPILOT/Tender/SplashBidNoticeAbstractUI.aspx?menuIndex=3&amp;refID=7146640&amp;Result=3","7146640")</f>
        <v>0</v>
      </c>
      <c r="B11054" t="s">
        <v>3325</v>
      </c>
      <c r="C11054" t="s">
        <v>14297</v>
      </c>
      <c r="D11054" t="s">
        <v>19059</v>
      </c>
      <c r="E11054" t="s">
        <v>28592</v>
      </c>
      <c r="F11054" t="s">
        <v>32831</v>
      </c>
      <c r="G11054" t="s">
        <v>32838</v>
      </c>
      <c r="H11054" t="s">
        <v>32849</v>
      </c>
      <c r="I11054" t="s">
        <v>32866</v>
      </c>
      <c r="J11054" t="s">
        <v>39786</v>
      </c>
      <c r="K11054" t="s">
        <v>42791</v>
      </c>
      <c r="M11054" t="s">
        <v>46648</v>
      </c>
      <c r="N11054" t="s">
        <v>47424</v>
      </c>
      <c r="O11054" t="s">
        <v>47425</v>
      </c>
      <c r="P11054">
        <v>0</v>
      </c>
      <c r="Q11054">
        <v>1</v>
      </c>
      <c r="R11054" t="s">
        <v>47437</v>
      </c>
      <c r="S11054" t="s">
        <v>47706</v>
      </c>
      <c r="T11054" t="s">
        <v>49239</v>
      </c>
      <c r="U11054" t="s">
        <v>58767</v>
      </c>
      <c r="W11054" t="s">
        <v>46648</v>
      </c>
      <c r="X11054" t="s">
        <v>47438</v>
      </c>
    </row>
    <row r="11055" spans="1:24">
      <c r="A11055">
        <f>HYPERLINK("https://www.philgeps.gov.ph/GEPSNONPILOT/Tender/SplashBidNoticeAbstractUI.aspx?menuIndex=3&amp;refID=7146321&amp;Result=3","7146321")</f>
        <v>0</v>
      </c>
      <c r="B11055" t="s">
        <v>3326</v>
      </c>
      <c r="C11055" t="s">
        <v>14298</v>
      </c>
      <c r="D11055" t="s">
        <v>19064</v>
      </c>
      <c r="E11055" t="s">
        <v>20297</v>
      </c>
      <c r="F11055" t="s">
        <v>32831</v>
      </c>
      <c r="G11055" t="s">
        <v>32839</v>
      </c>
      <c r="H11055" t="s">
        <v>32849</v>
      </c>
      <c r="I11055" t="s">
        <v>7416</v>
      </c>
      <c r="J11055" t="s">
        <v>39787</v>
      </c>
      <c r="K11055" t="s">
        <v>42730</v>
      </c>
      <c r="M11055" t="s">
        <v>46649</v>
      </c>
      <c r="N11055" t="s">
        <v>47424</v>
      </c>
      <c r="O11055" t="s">
        <v>47425</v>
      </c>
      <c r="P11055">
        <v>0</v>
      </c>
      <c r="Q11055">
        <v>3</v>
      </c>
      <c r="R11055" t="s">
        <v>47437</v>
      </c>
      <c r="S11055" t="s">
        <v>47706</v>
      </c>
      <c r="T11055" t="s">
        <v>49137</v>
      </c>
      <c r="U11055" t="s">
        <v>58768</v>
      </c>
      <c r="W11055" t="s">
        <v>46649</v>
      </c>
      <c r="X11055" t="s">
        <v>47438</v>
      </c>
    </row>
    <row r="11056" spans="1:24">
      <c r="A11056">
        <f>HYPERLINK("https://www.philgeps.gov.ph/GEPSNONPILOT/Tender/SplashBidNoticeAbstractUI.aspx?menuIndex=3&amp;refID=7146157&amp;Result=3","7146157")</f>
        <v>0</v>
      </c>
      <c r="B11056" t="s">
        <v>3327</v>
      </c>
      <c r="C11056" t="s">
        <v>14299</v>
      </c>
      <c r="D11056" t="s">
        <v>19034</v>
      </c>
      <c r="E11056" t="s">
        <v>28593</v>
      </c>
      <c r="F11056" t="s">
        <v>32831</v>
      </c>
      <c r="G11056" t="s">
        <v>32839</v>
      </c>
      <c r="H11056" t="s">
        <v>32848</v>
      </c>
      <c r="I11056" t="s">
        <v>7416</v>
      </c>
      <c r="J11056" t="s">
        <v>38141</v>
      </c>
      <c r="K11056" t="s">
        <v>42727</v>
      </c>
      <c r="M11056" t="s">
        <v>46650</v>
      </c>
      <c r="N11056" t="s">
        <v>47424</v>
      </c>
      <c r="O11056" t="s">
        <v>47425</v>
      </c>
      <c r="P11056">
        <v>0</v>
      </c>
      <c r="Q11056">
        <v>0</v>
      </c>
      <c r="R11056" t="s">
        <v>47437</v>
      </c>
      <c r="S11056" t="s">
        <v>47706</v>
      </c>
      <c r="T11056" t="s">
        <v>49214</v>
      </c>
      <c r="U11056" t="s">
        <v>58769</v>
      </c>
      <c r="W11056" t="s">
        <v>46650</v>
      </c>
      <c r="X11056" t="s">
        <v>47438</v>
      </c>
    </row>
    <row r="11057" spans="1:24">
      <c r="A11057">
        <f>HYPERLINK("https://www.philgeps.gov.ph/GEPSNONPILOT/Tender/SplashBidNoticeAbstractUI.aspx?menuIndex=3&amp;refID=7146614&amp;Result=3","7146614")</f>
        <v>0</v>
      </c>
      <c r="B11057" t="s">
        <v>3313</v>
      </c>
      <c r="C11057" t="s">
        <v>5582</v>
      </c>
      <c r="D11057" t="s">
        <v>19021</v>
      </c>
      <c r="E11057" t="s">
        <v>28594</v>
      </c>
      <c r="F11057" t="s">
        <v>32831</v>
      </c>
      <c r="G11057" t="s">
        <v>32839</v>
      </c>
      <c r="H11057" t="s">
        <v>32848</v>
      </c>
      <c r="I11057" t="s">
        <v>32860</v>
      </c>
      <c r="J11057" t="s">
        <v>39788</v>
      </c>
      <c r="K11057" t="s">
        <v>42727</v>
      </c>
      <c r="M11057" t="s">
        <v>46636</v>
      </c>
      <c r="N11057" t="s">
        <v>47424</v>
      </c>
      <c r="O11057" t="s">
        <v>47425</v>
      </c>
      <c r="P11057">
        <v>0</v>
      </c>
      <c r="Q11057">
        <v>3</v>
      </c>
      <c r="R11057" t="s">
        <v>47437</v>
      </c>
      <c r="S11057" t="s">
        <v>47706</v>
      </c>
      <c r="T11057" t="s">
        <v>49237</v>
      </c>
      <c r="U11057" t="s">
        <v>58770</v>
      </c>
      <c r="V11057" t="s">
        <v>63847</v>
      </c>
      <c r="W11057" t="s">
        <v>46636</v>
      </c>
      <c r="X11057" t="s">
        <v>47438</v>
      </c>
    </row>
    <row r="11058" spans="1:24">
      <c r="A11058">
        <f>HYPERLINK("https://www.philgeps.gov.ph/GEPSNONPILOT/Tender/SplashBidNoticeAbstractUI.aspx?menuIndex=3&amp;refID=7146586&amp;Result=3","7146586")</f>
        <v>0</v>
      </c>
      <c r="B11058" t="s">
        <v>3313</v>
      </c>
      <c r="C11058" t="s">
        <v>14300</v>
      </c>
      <c r="D11058" t="s">
        <v>19021</v>
      </c>
      <c r="E11058" t="s">
        <v>28595</v>
      </c>
      <c r="F11058" t="s">
        <v>32831</v>
      </c>
      <c r="G11058" t="s">
        <v>32839</v>
      </c>
      <c r="H11058" t="s">
        <v>32848</v>
      </c>
      <c r="I11058" t="s">
        <v>32860</v>
      </c>
      <c r="J11058" t="s">
        <v>39789</v>
      </c>
      <c r="K11058" t="s">
        <v>42731</v>
      </c>
      <c r="M11058" t="s">
        <v>46636</v>
      </c>
      <c r="N11058" t="s">
        <v>47424</v>
      </c>
      <c r="O11058" t="s">
        <v>47425</v>
      </c>
      <c r="P11058">
        <v>0</v>
      </c>
      <c r="Q11058">
        <v>4</v>
      </c>
      <c r="R11058" t="s">
        <v>47437</v>
      </c>
      <c r="S11058" t="s">
        <v>47706</v>
      </c>
      <c r="T11058" t="s">
        <v>49237</v>
      </c>
      <c r="U11058" t="s">
        <v>58771</v>
      </c>
      <c r="V11058" t="s">
        <v>63847</v>
      </c>
      <c r="W11058" t="s">
        <v>46636</v>
      </c>
      <c r="X11058" t="s">
        <v>47438</v>
      </c>
    </row>
    <row r="11059" spans="1:24">
      <c r="A11059">
        <f>HYPERLINK("https://www.philgeps.gov.ph/GEPSNONPILOT/Tender/SplashBidNoticeAbstractUI.aspx?menuIndex=3&amp;refID=7146562&amp;Result=3","7146562")</f>
        <v>0</v>
      </c>
      <c r="B11059" t="s">
        <v>3328</v>
      </c>
      <c r="C11059" t="s">
        <v>14301</v>
      </c>
      <c r="D11059" t="s">
        <v>19067</v>
      </c>
      <c r="E11059" t="s">
        <v>19130</v>
      </c>
      <c r="F11059" t="s">
        <v>32831</v>
      </c>
      <c r="G11059" t="s">
        <v>32839</v>
      </c>
      <c r="H11059" t="s">
        <v>32848</v>
      </c>
      <c r="I11059" t="s">
        <v>7416</v>
      </c>
      <c r="J11059" t="s">
        <v>39790</v>
      </c>
      <c r="K11059" t="s">
        <v>42727</v>
      </c>
      <c r="M11059" t="s">
        <v>46651</v>
      </c>
      <c r="N11059" t="s">
        <v>47424</v>
      </c>
      <c r="O11059" t="s">
        <v>47425</v>
      </c>
      <c r="P11059">
        <v>0</v>
      </c>
      <c r="Q11059">
        <v>0</v>
      </c>
      <c r="R11059" t="s">
        <v>47437</v>
      </c>
      <c r="S11059" t="s">
        <v>47706</v>
      </c>
      <c r="T11059" t="s">
        <v>49150</v>
      </c>
      <c r="U11059" t="s">
        <v>58772</v>
      </c>
      <c r="W11059" t="s">
        <v>46651</v>
      </c>
      <c r="X11059" t="s">
        <v>47438</v>
      </c>
    </row>
    <row r="11060" spans="1:24">
      <c r="A11060">
        <f>HYPERLINK("https://www.philgeps.gov.ph/GEPSNONPILOT/Tender/SplashBidNoticeAbstractUI.aspx?menuIndex=3&amp;refID=7146533&amp;Result=3","7146533")</f>
        <v>0</v>
      </c>
      <c r="B11060" t="s">
        <v>3329</v>
      </c>
      <c r="C11060" t="s">
        <v>14302</v>
      </c>
      <c r="D11060" t="s">
        <v>19047</v>
      </c>
      <c r="E11060" t="s">
        <v>28596</v>
      </c>
      <c r="F11060" t="s">
        <v>32831</v>
      </c>
      <c r="G11060" t="s">
        <v>32839</v>
      </c>
      <c r="H11060" t="s">
        <v>32848</v>
      </c>
      <c r="I11060" t="s">
        <v>4487</v>
      </c>
      <c r="J11060" t="s">
        <v>33380</v>
      </c>
      <c r="K11060" t="s">
        <v>42726</v>
      </c>
      <c r="M11060" t="s">
        <v>46652</v>
      </c>
      <c r="N11060" t="s">
        <v>47424</v>
      </c>
      <c r="O11060" t="s">
        <v>47425</v>
      </c>
      <c r="P11060">
        <v>0</v>
      </c>
      <c r="Q11060">
        <v>8</v>
      </c>
      <c r="R11060" t="s">
        <v>47437</v>
      </c>
      <c r="S11060" t="s">
        <v>47706</v>
      </c>
      <c r="T11060" t="s">
        <v>49106</v>
      </c>
      <c r="U11060" t="s">
        <v>58773</v>
      </c>
      <c r="W11060" t="s">
        <v>46652</v>
      </c>
      <c r="X11060" t="s">
        <v>47438</v>
      </c>
    </row>
    <row r="11061" spans="1:24">
      <c r="A11061">
        <f>HYPERLINK("https://www.philgeps.gov.ph/GEPSNONPILOT/Tender/SplashBidNoticeAbstractUI.aspx?menuIndex=3&amp;refID=7146429&amp;Result=3","7146429")</f>
        <v>0</v>
      </c>
      <c r="B11061" t="s">
        <v>1137</v>
      </c>
      <c r="C11061" t="s">
        <v>14303</v>
      </c>
      <c r="D11061" t="s">
        <v>19020</v>
      </c>
      <c r="E11061" t="s">
        <v>28597</v>
      </c>
      <c r="F11061" t="s">
        <v>32831</v>
      </c>
      <c r="G11061" t="s">
        <v>32839</v>
      </c>
      <c r="H11061" t="s">
        <v>32848</v>
      </c>
      <c r="I11061" t="s">
        <v>32879</v>
      </c>
      <c r="J11061" t="s">
        <v>34222</v>
      </c>
      <c r="K11061" t="s">
        <v>42732</v>
      </c>
      <c r="M11061" t="s">
        <v>44200</v>
      </c>
      <c r="N11061" t="s">
        <v>47424</v>
      </c>
      <c r="O11061" t="s">
        <v>47425</v>
      </c>
      <c r="P11061">
        <v>0</v>
      </c>
      <c r="Q11061">
        <v>4</v>
      </c>
      <c r="R11061" t="s">
        <v>47437</v>
      </c>
      <c r="S11061" t="s">
        <v>47706</v>
      </c>
      <c r="T11061" t="s">
        <v>49166</v>
      </c>
      <c r="U11061" t="s">
        <v>58774</v>
      </c>
      <c r="V11061" t="s">
        <v>63848</v>
      </c>
      <c r="W11061" t="s">
        <v>44200</v>
      </c>
      <c r="X11061" t="s">
        <v>47438</v>
      </c>
    </row>
    <row r="11062" spans="1:24">
      <c r="A11062">
        <f>HYPERLINK("https://www.philgeps.gov.ph/GEPSNONPILOT/Tender/SplashBidNoticeAbstractUI.aspx?menuIndex=3&amp;refID=7146522&amp;Result=3","7146522")</f>
        <v>0</v>
      </c>
      <c r="B11062" t="s">
        <v>1316</v>
      </c>
      <c r="C11062" t="s">
        <v>14304</v>
      </c>
      <c r="D11062" t="s">
        <v>19035</v>
      </c>
      <c r="E11062" t="s">
        <v>28598</v>
      </c>
      <c r="F11062" t="s">
        <v>32831</v>
      </c>
      <c r="G11062" t="s">
        <v>32839</v>
      </c>
      <c r="H11062" t="s">
        <v>32849</v>
      </c>
      <c r="I11062" t="s">
        <v>4177</v>
      </c>
      <c r="J11062" t="s">
        <v>39791</v>
      </c>
      <c r="K11062" t="s">
        <v>42730</v>
      </c>
      <c r="M11062" t="s">
        <v>44387</v>
      </c>
      <c r="N11062" t="s">
        <v>47424</v>
      </c>
      <c r="O11062" t="s">
        <v>47425</v>
      </c>
      <c r="P11062">
        <v>0</v>
      </c>
      <c r="Q11062">
        <v>0</v>
      </c>
      <c r="R11062" t="s">
        <v>47437</v>
      </c>
      <c r="S11062" t="s">
        <v>47706</v>
      </c>
      <c r="T11062" t="s">
        <v>49061</v>
      </c>
      <c r="U11062" t="s">
        <v>58775</v>
      </c>
      <c r="W11062" t="s">
        <v>44387</v>
      </c>
      <c r="X11062" t="s">
        <v>47438</v>
      </c>
    </row>
    <row r="11063" spans="1:24">
      <c r="A11063">
        <f>HYPERLINK("https://www.philgeps.gov.ph/GEPSNONPILOT/Tender/SplashBidNoticeAbstractUI.aspx?menuIndex=3&amp;refID=7146505&amp;Result=3","7146505")</f>
        <v>0</v>
      </c>
      <c r="B11063" t="s">
        <v>324</v>
      </c>
      <c r="C11063" t="s">
        <v>14305</v>
      </c>
      <c r="D11063" t="s">
        <v>19049</v>
      </c>
      <c r="E11063" t="s">
        <v>28599</v>
      </c>
      <c r="F11063" t="s">
        <v>32831</v>
      </c>
      <c r="G11063" t="s">
        <v>32839</v>
      </c>
      <c r="H11063" t="s">
        <v>32848</v>
      </c>
      <c r="I11063" t="s">
        <v>32859</v>
      </c>
      <c r="J11063" t="s">
        <v>39792</v>
      </c>
      <c r="K11063" t="s">
        <v>42730</v>
      </c>
      <c r="M11063" t="s">
        <v>43327</v>
      </c>
      <c r="N11063" t="s">
        <v>47424</v>
      </c>
      <c r="O11063" t="s">
        <v>47425</v>
      </c>
      <c r="Q11063">
        <v>3</v>
      </c>
      <c r="R11063" t="s">
        <v>47437</v>
      </c>
      <c r="S11063" t="s">
        <v>47755</v>
      </c>
      <c r="T11063" t="s">
        <v>49265</v>
      </c>
      <c r="U11063" t="s">
        <v>58776</v>
      </c>
      <c r="W11063" t="s">
        <v>43327</v>
      </c>
      <c r="X11063" t="s">
        <v>47438</v>
      </c>
    </row>
    <row r="11064" spans="1:24">
      <c r="A11064">
        <f>HYPERLINK("https://www.philgeps.gov.ph/GEPSNONPILOT/Tender/SplashBidNoticeAbstractUI.aspx?menuIndex=3&amp;refID=7146504&amp;Result=3","7146504")</f>
        <v>0</v>
      </c>
      <c r="B11064" t="s">
        <v>3330</v>
      </c>
      <c r="C11064" t="s">
        <v>14306</v>
      </c>
      <c r="D11064" t="s">
        <v>19052</v>
      </c>
      <c r="E11064" t="s">
        <v>28600</v>
      </c>
      <c r="F11064" t="s">
        <v>32831</v>
      </c>
      <c r="G11064" t="s">
        <v>32839</v>
      </c>
      <c r="H11064" t="s">
        <v>32849</v>
      </c>
      <c r="I11064" t="s">
        <v>4177</v>
      </c>
      <c r="J11064" t="s">
        <v>39793</v>
      </c>
      <c r="K11064" t="s">
        <v>42729</v>
      </c>
      <c r="M11064" t="s">
        <v>46653</v>
      </c>
      <c r="N11064" t="s">
        <v>47424</v>
      </c>
      <c r="O11064" t="s">
        <v>47425</v>
      </c>
      <c r="P11064">
        <v>0</v>
      </c>
      <c r="Q11064">
        <v>0</v>
      </c>
      <c r="R11064" t="s">
        <v>47437</v>
      </c>
      <c r="S11064" t="s">
        <v>47706</v>
      </c>
      <c r="T11064" t="s">
        <v>49112</v>
      </c>
      <c r="U11064" t="s">
        <v>58777</v>
      </c>
      <c r="W11064" t="s">
        <v>46653</v>
      </c>
      <c r="X11064" t="s">
        <v>47438</v>
      </c>
    </row>
    <row r="11065" spans="1:24">
      <c r="A11065">
        <f>HYPERLINK("https://www.philgeps.gov.ph/GEPSNONPILOT/Tender/SplashBidNoticeAbstractUI.aspx?menuIndex=3&amp;refID=7146501&amp;Result=3","7146501")</f>
        <v>0</v>
      </c>
      <c r="B11065" t="s">
        <v>3324</v>
      </c>
      <c r="C11065" t="s">
        <v>14307</v>
      </c>
      <c r="D11065" t="s">
        <v>19084</v>
      </c>
      <c r="E11065" t="s">
        <v>28601</v>
      </c>
      <c r="F11065" t="s">
        <v>32831</v>
      </c>
      <c r="G11065" t="s">
        <v>32839</v>
      </c>
      <c r="H11065" t="s">
        <v>32849</v>
      </c>
      <c r="I11065" t="s">
        <v>7416</v>
      </c>
      <c r="J11065" t="s">
        <v>39794</v>
      </c>
      <c r="K11065" t="s">
        <v>42800</v>
      </c>
      <c r="L11065" t="s">
        <v>3324</v>
      </c>
      <c r="M11065" t="s">
        <v>46647</v>
      </c>
      <c r="N11065" t="s">
        <v>47424</v>
      </c>
      <c r="O11065" t="s">
        <v>47425</v>
      </c>
      <c r="Q11065">
        <v>0</v>
      </c>
      <c r="R11065" t="s">
        <v>47437</v>
      </c>
      <c r="S11065" t="s">
        <v>47756</v>
      </c>
      <c r="T11065" t="s">
        <v>49106</v>
      </c>
      <c r="U11065" t="s">
        <v>58778</v>
      </c>
      <c r="W11065" t="s">
        <v>64543</v>
      </c>
      <c r="X11065" t="s">
        <v>47438</v>
      </c>
    </row>
    <row r="11066" spans="1:24">
      <c r="A11066">
        <f>HYPERLINK("https://www.philgeps.gov.ph/GEPSNONPILOT/Tender/SplashBidNoticeAbstractUI.aspx?menuIndex=3&amp;refID=7146516&amp;Result=3","7146516")</f>
        <v>0</v>
      </c>
      <c r="B11066" t="s">
        <v>69</v>
      </c>
      <c r="C11066" t="s">
        <v>14308</v>
      </c>
      <c r="D11066" t="s">
        <v>19021</v>
      </c>
      <c r="E11066" t="s">
        <v>28602</v>
      </c>
      <c r="F11066" t="s">
        <v>32831</v>
      </c>
      <c r="G11066" t="s">
        <v>32839</v>
      </c>
      <c r="H11066" t="s">
        <v>32848</v>
      </c>
      <c r="I11066" t="s">
        <v>7416</v>
      </c>
      <c r="J11066" t="s">
        <v>39795</v>
      </c>
      <c r="K11066" t="s">
        <v>42730</v>
      </c>
      <c r="L11066" t="s">
        <v>69</v>
      </c>
      <c r="M11066" t="s">
        <v>43066</v>
      </c>
      <c r="N11066" t="s">
        <v>47424</v>
      </c>
      <c r="O11066" t="s">
        <v>47425</v>
      </c>
      <c r="P11066">
        <v>0</v>
      </c>
      <c r="Q11066">
        <v>12</v>
      </c>
      <c r="R11066" t="s">
        <v>47437</v>
      </c>
      <c r="S11066" t="s">
        <v>47706</v>
      </c>
      <c r="T11066" t="s">
        <v>49112</v>
      </c>
      <c r="U11066" t="s">
        <v>58779</v>
      </c>
      <c r="W11066" t="s">
        <v>43066</v>
      </c>
      <c r="X11066" t="s">
        <v>47438</v>
      </c>
    </row>
    <row r="11067" spans="1:24">
      <c r="A11067">
        <f>HYPERLINK("https://www.philgeps.gov.ph/GEPSNONPILOT/Tender/SplashBidNoticeAbstractUI.aspx?menuIndex=3&amp;refID=7146625&amp;Result=3","7146625")</f>
        <v>0</v>
      </c>
      <c r="B11067" t="s">
        <v>69</v>
      </c>
      <c r="C11067" t="s">
        <v>14309</v>
      </c>
      <c r="D11067" t="s">
        <v>19021</v>
      </c>
      <c r="E11067" t="s">
        <v>28603</v>
      </c>
      <c r="F11067" t="s">
        <v>32831</v>
      </c>
      <c r="G11067" t="s">
        <v>32839</v>
      </c>
      <c r="H11067" t="s">
        <v>32848</v>
      </c>
      <c r="I11067" t="s">
        <v>7416</v>
      </c>
      <c r="J11067" t="s">
        <v>39796</v>
      </c>
      <c r="K11067" t="s">
        <v>42730</v>
      </c>
      <c r="L11067" t="s">
        <v>69</v>
      </c>
      <c r="M11067" t="s">
        <v>43066</v>
      </c>
      <c r="N11067" t="s">
        <v>47424</v>
      </c>
      <c r="O11067" t="s">
        <v>47425</v>
      </c>
      <c r="P11067">
        <v>0</v>
      </c>
      <c r="Q11067">
        <v>4</v>
      </c>
      <c r="R11067" t="s">
        <v>47437</v>
      </c>
      <c r="S11067" t="s">
        <v>47706</v>
      </c>
      <c r="T11067" t="s">
        <v>49112</v>
      </c>
      <c r="U11067" t="s">
        <v>49755</v>
      </c>
      <c r="W11067" t="s">
        <v>43066</v>
      </c>
      <c r="X11067" t="s">
        <v>47438</v>
      </c>
    </row>
    <row r="11068" spans="1:24">
      <c r="A11068">
        <f>HYPERLINK("https://www.philgeps.gov.ph/GEPSNONPILOT/Tender/SplashBidNoticeAbstractUI.aspx?menuIndex=3&amp;refID=7146714&amp;Result=3","7146714")</f>
        <v>0</v>
      </c>
      <c r="B11068" t="s">
        <v>99</v>
      </c>
      <c r="C11068" t="s">
        <v>14310</v>
      </c>
      <c r="D11068" t="s">
        <v>19054</v>
      </c>
      <c r="E11068" t="s">
        <v>28604</v>
      </c>
      <c r="F11068" t="s">
        <v>32831</v>
      </c>
      <c r="G11068" t="s">
        <v>32839</v>
      </c>
      <c r="H11068" t="s">
        <v>32848</v>
      </c>
      <c r="I11068" t="s">
        <v>7416</v>
      </c>
      <c r="J11068" t="s">
        <v>33568</v>
      </c>
      <c r="K11068" t="s">
        <v>42730</v>
      </c>
      <c r="M11068" t="s">
        <v>43171</v>
      </c>
      <c r="N11068" t="s">
        <v>47424</v>
      </c>
      <c r="O11068" t="s">
        <v>47425</v>
      </c>
      <c r="P11068">
        <v>0</v>
      </c>
      <c r="Q11068">
        <v>0</v>
      </c>
      <c r="R11068" t="s">
        <v>47437</v>
      </c>
      <c r="S11068" t="s">
        <v>47706</v>
      </c>
      <c r="T11068" t="s">
        <v>49111</v>
      </c>
      <c r="U11068" t="s">
        <v>49821</v>
      </c>
      <c r="V11068" t="s">
        <v>62643</v>
      </c>
      <c r="W11068" t="s">
        <v>43171</v>
      </c>
      <c r="X11068" t="s">
        <v>47438</v>
      </c>
    </row>
    <row r="11069" spans="1:24">
      <c r="A11069">
        <f>HYPERLINK("https://www.philgeps.gov.ph/GEPSNONPILOT/Tender/SplashBidNoticeAbstractUI.aspx?menuIndex=3&amp;refID=7146741&amp;Result=3","7146741")</f>
        <v>0</v>
      </c>
      <c r="B11069" t="s">
        <v>1997</v>
      </c>
      <c r="C11069" t="s">
        <v>14311</v>
      </c>
      <c r="D11069" t="s">
        <v>19061</v>
      </c>
      <c r="E11069" t="s">
        <v>28605</v>
      </c>
      <c r="F11069" t="s">
        <v>32831</v>
      </c>
      <c r="G11069" t="s">
        <v>32839</v>
      </c>
      <c r="H11069" t="s">
        <v>32849</v>
      </c>
      <c r="I11069" t="s">
        <v>4177</v>
      </c>
      <c r="J11069" t="s">
        <v>33118</v>
      </c>
      <c r="K11069" t="s">
        <v>42770</v>
      </c>
      <c r="M11069" t="s">
        <v>45164</v>
      </c>
      <c r="N11069" t="s">
        <v>47424</v>
      </c>
      <c r="O11069" t="s">
        <v>47425</v>
      </c>
      <c r="P11069">
        <v>0</v>
      </c>
      <c r="Q11069">
        <v>0</v>
      </c>
      <c r="R11069" t="s">
        <v>47437</v>
      </c>
      <c r="S11069" t="s">
        <v>47706</v>
      </c>
      <c r="T11069" t="s">
        <v>49101</v>
      </c>
      <c r="U11069" t="s">
        <v>58780</v>
      </c>
      <c r="W11069" t="s">
        <v>45164</v>
      </c>
      <c r="X11069" t="s">
        <v>47438</v>
      </c>
    </row>
    <row r="11070" spans="1:24">
      <c r="A11070">
        <f>HYPERLINK("https://www.philgeps.gov.ph/GEPSNONPILOT/Tender/SplashBidNoticeAbstractUI.aspx?menuIndex=3&amp;refID=7146557&amp;Result=3","7146557")</f>
        <v>0</v>
      </c>
      <c r="B11070" t="s">
        <v>3331</v>
      </c>
      <c r="C11070" t="s">
        <v>14312</v>
      </c>
      <c r="D11070" t="s">
        <v>19081</v>
      </c>
      <c r="E11070" t="s">
        <v>28606</v>
      </c>
      <c r="F11070" t="s">
        <v>32831</v>
      </c>
      <c r="G11070" t="s">
        <v>32839</v>
      </c>
      <c r="H11070" t="s">
        <v>32848</v>
      </c>
      <c r="I11070" t="s">
        <v>4776</v>
      </c>
      <c r="J11070" t="s">
        <v>33133</v>
      </c>
      <c r="K11070" t="s">
        <v>42727</v>
      </c>
      <c r="M11070" t="s">
        <v>46654</v>
      </c>
      <c r="N11070" t="s">
        <v>47424</v>
      </c>
      <c r="O11070" t="s">
        <v>47425</v>
      </c>
      <c r="P11070">
        <v>0</v>
      </c>
      <c r="Q11070">
        <v>1</v>
      </c>
      <c r="R11070" t="s">
        <v>47437</v>
      </c>
      <c r="S11070" t="s">
        <v>47706</v>
      </c>
      <c r="T11070" t="s">
        <v>49106</v>
      </c>
      <c r="U11070" t="s">
        <v>58781</v>
      </c>
      <c r="W11070" t="s">
        <v>46654</v>
      </c>
      <c r="X11070" t="s">
        <v>47438</v>
      </c>
    </row>
    <row r="11071" spans="1:24">
      <c r="A11071">
        <f>HYPERLINK("https://www.philgeps.gov.ph/GEPSNONPILOT/Tender/SplashBidNoticeAbstractUI.aspx?menuIndex=3&amp;refID=7146552&amp;Result=3","7146552")</f>
        <v>0</v>
      </c>
      <c r="B11071" t="s">
        <v>1860</v>
      </c>
      <c r="C11071" t="s">
        <v>14313</v>
      </c>
      <c r="D11071" t="s">
        <v>19079</v>
      </c>
      <c r="E11071" t="s">
        <v>28607</v>
      </c>
      <c r="F11071" t="s">
        <v>32831</v>
      </c>
      <c r="G11071" t="s">
        <v>32839</v>
      </c>
      <c r="H11071" t="s">
        <v>32849</v>
      </c>
      <c r="I11071" t="s">
        <v>4177</v>
      </c>
      <c r="J11071" t="s">
        <v>39797</v>
      </c>
      <c r="K11071" t="s">
        <v>42892</v>
      </c>
      <c r="M11071" t="s">
        <v>44999</v>
      </c>
      <c r="N11071" t="s">
        <v>47424</v>
      </c>
      <c r="O11071" t="s">
        <v>47425</v>
      </c>
      <c r="P11071">
        <v>0</v>
      </c>
      <c r="Q11071">
        <v>5</v>
      </c>
      <c r="R11071" t="s">
        <v>47437</v>
      </c>
      <c r="S11071" t="s">
        <v>47706</v>
      </c>
      <c r="T11071" t="s">
        <v>49251</v>
      </c>
      <c r="U11071" t="s">
        <v>58782</v>
      </c>
      <c r="V11071" t="s">
        <v>63849</v>
      </c>
      <c r="W11071" t="s">
        <v>44999</v>
      </c>
      <c r="X11071" t="s">
        <v>47438</v>
      </c>
    </row>
    <row r="11072" spans="1:24">
      <c r="A11072">
        <f>HYPERLINK("https://www.philgeps.gov.ph/GEPSNONPILOT/Tender/SplashBidNoticeAbstractUI.aspx?menuIndex=3&amp;refID=7146734&amp;Result=3","7146734")</f>
        <v>0</v>
      </c>
      <c r="B11072" t="s">
        <v>69</v>
      </c>
      <c r="C11072" t="s">
        <v>14314</v>
      </c>
      <c r="D11072" t="s">
        <v>19021</v>
      </c>
      <c r="E11072" t="s">
        <v>28608</v>
      </c>
      <c r="F11072" t="s">
        <v>32831</v>
      </c>
      <c r="G11072" t="s">
        <v>32839</v>
      </c>
      <c r="H11072" t="s">
        <v>32848</v>
      </c>
      <c r="I11072" t="s">
        <v>7416</v>
      </c>
      <c r="J11072" t="s">
        <v>39798</v>
      </c>
      <c r="K11072" t="s">
        <v>42730</v>
      </c>
      <c r="L11072" t="s">
        <v>69</v>
      </c>
      <c r="M11072" t="s">
        <v>43066</v>
      </c>
      <c r="N11072" t="s">
        <v>47424</v>
      </c>
      <c r="O11072" t="s">
        <v>47425</v>
      </c>
      <c r="P11072">
        <v>0</v>
      </c>
      <c r="Q11072">
        <v>1</v>
      </c>
      <c r="R11072" t="s">
        <v>47437</v>
      </c>
      <c r="S11072" t="s">
        <v>47706</v>
      </c>
      <c r="T11072" t="s">
        <v>49112</v>
      </c>
      <c r="U11072" t="s">
        <v>49755</v>
      </c>
      <c r="W11072" t="s">
        <v>43066</v>
      </c>
      <c r="X11072" t="s">
        <v>47438</v>
      </c>
    </row>
    <row r="11073" spans="1:24">
      <c r="A11073">
        <f>HYPERLINK("https://www.philgeps.gov.ph/GEPSNONPILOT/Tender/SplashBidNoticeAbstractUI.aspx?menuIndex=3&amp;refID=7146735&amp;Result=3","7146735")</f>
        <v>0</v>
      </c>
      <c r="B11073" t="s">
        <v>99</v>
      </c>
      <c r="C11073" t="s">
        <v>14315</v>
      </c>
      <c r="D11073" t="s">
        <v>19054</v>
      </c>
      <c r="E11073" t="s">
        <v>28609</v>
      </c>
      <c r="F11073" t="s">
        <v>32831</v>
      </c>
      <c r="G11073" t="s">
        <v>32839</v>
      </c>
      <c r="H11073" t="s">
        <v>32848</v>
      </c>
      <c r="I11073" t="s">
        <v>7416</v>
      </c>
      <c r="J11073" t="s">
        <v>33568</v>
      </c>
      <c r="K11073" t="s">
        <v>42730</v>
      </c>
      <c r="M11073" t="s">
        <v>43171</v>
      </c>
      <c r="N11073" t="s">
        <v>47424</v>
      </c>
      <c r="O11073" t="s">
        <v>47425</v>
      </c>
      <c r="P11073">
        <v>0</v>
      </c>
      <c r="Q11073">
        <v>0</v>
      </c>
      <c r="R11073" t="s">
        <v>47437</v>
      </c>
      <c r="S11073" t="s">
        <v>47706</v>
      </c>
      <c r="T11073" t="s">
        <v>49111</v>
      </c>
      <c r="U11073" t="s">
        <v>49821</v>
      </c>
      <c r="V11073" t="s">
        <v>62643</v>
      </c>
      <c r="W11073" t="s">
        <v>43171</v>
      </c>
      <c r="X11073" t="s">
        <v>47438</v>
      </c>
    </row>
    <row r="11074" spans="1:24">
      <c r="A11074">
        <f>HYPERLINK("https://www.philgeps.gov.ph/GEPSNONPILOT/Tender/SplashBidNoticeAbstractUI.aspx?menuIndex=3&amp;refID=7146732&amp;Result=3","7146732")</f>
        <v>0</v>
      </c>
      <c r="B11074" t="s">
        <v>1277</v>
      </c>
      <c r="C11074" t="s">
        <v>14316</v>
      </c>
      <c r="D11074" t="s">
        <v>19067</v>
      </c>
      <c r="E11074" t="s">
        <v>28610</v>
      </c>
      <c r="F11074" t="s">
        <v>32831</v>
      </c>
      <c r="G11074" t="s">
        <v>32839</v>
      </c>
      <c r="H11074" t="s">
        <v>32848</v>
      </c>
      <c r="I11074" t="s">
        <v>32862</v>
      </c>
      <c r="J11074" t="s">
        <v>39799</v>
      </c>
      <c r="K11074" t="s">
        <v>42727</v>
      </c>
      <c r="M11074" t="s">
        <v>44347</v>
      </c>
      <c r="N11074" t="s">
        <v>47424</v>
      </c>
      <c r="O11074" t="s">
        <v>47425</v>
      </c>
      <c r="P11074">
        <v>0</v>
      </c>
      <c r="Q11074">
        <v>0</v>
      </c>
      <c r="R11074" t="s">
        <v>47437</v>
      </c>
      <c r="S11074" t="s">
        <v>47706</v>
      </c>
      <c r="T11074" t="s">
        <v>49057</v>
      </c>
      <c r="U11074" t="s">
        <v>58783</v>
      </c>
      <c r="W11074" t="s">
        <v>44347</v>
      </c>
      <c r="X11074" t="s">
        <v>47438</v>
      </c>
    </row>
    <row r="11075" spans="1:24">
      <c r="A11075">
        <f>HYPERLINK("https://www.philgeps.gov.ph/GEPSNONPILOT/Tender/SplashBidNoticeAbstractUI.aspx?menuIndex=3&amp;refID=7146729&amp;Result=3","7146729")</f>
        <v>0</v>
      </c>
      <c r="B11075" t="s">
        <v>2350</v>
      </c>
      <c r="C11075" t="s">
        <v>14317</v>
      </c>
      <c r="D11075" t="s">
        <v>19018</v>
      </c>
      <c r="E11075" t="s">
        <v>28611</v>
      </c>
      <c r="F11075" t="s">
        <v>32831</v>
      </c>
      <c r="G11075" t="s">
        <v>32840</v>
      </c>
      <c r="H11075" t="s">
        <v>32848</v>
      </c>
      <c r="I11075" t="s">
        <v>32855</v>
      </c>
      <c r="J11075" t="s">
        <v>35998</v>
      </c>
      <c r="K11075" t="s">
        <v>42730</v>
      </c>
      <c r="M11075" t="s">
        <v>45539</v>
      </c>
      <c r="N11075" t="s">
        <v>47424</v>
      </c>
      <c r="O11075" t="s">
        <v>47425</v>
      </c>
      <c r="Q11075">
        <v>2</v>
      </c>
      <c r="R11075" t="s">
        <v>47437</v>
      </c>
      <c r="S11075" t="s">
        <v>47645</v>
      </c>
      <c r="T11075" t="s">
        <v>49100</v>
      </c>
      <c r="U11075" t="s">
        <v>50084</v>
      </c>
      <c r="W11075" t="s">
        <v>45539</v>
      </c>
      <c r="X11075" t="s">
        <v>47438</v>
      </c>
    </row>
    <row r="11076" spans="1:24">
      <c r="A11076">
        <f>HYPERLINK("https://www.philgeps.gov.ph/GEPSNONPILOT/Tender/SplashBidNoticeAbstractUI.aspx?menuIndex=3&amp;refID=7146705&amp;Result=3","7146705")</f>
        <v>0</v>
      </c>
      <c r="B11076" t="s">
        <v>655</v>
      </c>
      <c r="C11076" t="s">
        <v>14318</v>
      </c>
      <c r="D11076" t="s">
        <v>19036</v>
      </c>
      <c r="E11076" t="s">
        <v>28612</v>
      </c>
      <c r="F11076" t="s">
        <v>32831</v>
      </c>
      <c r="G11076" t="s">
        <v>32839</v>
      </c>
      <c r="H11076" t="s">
        <v>32849</v>
      </c>
      <c r="I11076" t="s">
        <v>4177</v>
      </c>
      <c r="J11076" t="s">
        <v>39800</v>
      </c>
      <c r="K11076" t="s">
        <v>42727</v>
      </c>
      <c r="M11076" t="s">
        <v>43673</v>
      </c>
      <c r="N11076" t="s">
        <v>47424</v>
      </c>
      <c r="O11076" t="s">
        <v>47425</v>
      </c>
      <c r="P11076">
        <v>0</v>
      </c>
      <c r="Q11076">
        <v>0</v>
      </c>
      <c r="R11076" t="s">
        <v>47437</v>
      </c>
      <c r="S11076" t="s">
        <v>47706</v>
      </c>
      <c r="T11076" t="s">
        <v>49106</v>
      </c>
      <c r="U11076" t="s">
        <v>58784</v>
      </c>
      <c r="V11076" t="s">
        <v>63850</v>
      </c>
      <c r="W11076" t="s">
        <v>43673</v>
      </c>
      <c r="X11076" t="s">
        <v>47438</v>
      </c>
    </row>
    <row r="11077" spans="1:24">
      <c r="A11077">
        <f>HYPERLINK("https://www.philgeps.gov.ph/GEPSNONPILOT/Tender/SplashBidNoticeAbstractUI.aspx?menuIndex=3&amp;refID=7146588&amp;Result=3","7146588")</f>
        <v>0</v>
      </c>
      <c r="B11077" t="s">
        <v>3325</v>
      </c>
      <c r="C11077" t="s">
        <v>14319</v>
      </c>
      <c r="D11077" t="s">
        <v>19059</v>
      </c>
      <c r="E11077" t="s">
        <v>28613</v>
      </c>
      <c r="F11077" t="s">
        <v>32831</v>
      </c>
      <c r="G11077" t="s">
        <v>32838</v>
      </c>
      <c r="H11077" t="s">
        <v>32849</v>
      </c>
      <c r="I11077" t="s">
        <v>32866</v>
      </c>
      <c r="J11077" t="s">
        <v>39801</v>
      </c>
      <c r="K11077" t="s">
        <v>42739</v>
      </c>
      <c r="M11077" t="s">
        <v>46648</v>
      </c>
      <c r="N11077" t="s">
        <v>47424</v>
      </c>
      <c r="O11077" t="s">
        <v>47425</v>
      </c>
      <c r="P11077">
        <v>0</v>
      </c>
      <c r="Q11077">
        <v>1</v>
      </c>
      <c r="R11077" t="s">
        <v>47437</v>
      </c>
      <c r="S11077" t="s">
        <v>47706</v>
      </c>
      <c r="T11077" t="s">
        <v>49239</v>
      </c>
      <c r="U11077" t="s">
        <v>58785</v>
      </c>
      <c r="W11077" t="s">
        <v>46648</v>
      </c>
      <c r="X11077" t="s">
        <v>47438</v>
      </c>
    </row>
    <row r="11078" spans="1:24">
      <c r="A11078">
        <f>HYPERLINK("https://www.philgeps.gov.ph/GEPSNONPILOT/Tender/SplashBidNoticeAbstractUI.aspx?menuIndex=3&amp;refID=7146418&amp;Result=3","7146418")</f>
        <v>0</v>
      </c>
      <c r="B11078" t="s">
        <v>513</v>
      </c>
      <c r="C11078" t="s">
        <v>14320</v>
      </c>
      <c r="D11078" t="s">
        <v>19018</v>
      </c>
      <c r="E11078" t="s">
        <v>28614</v>
      </c>
      <c r="F11078" t="s">
        <v>32831</v>
      </c>
      <c r="G11078" t="s">
        <v>32838</v>
      </c>
      <c r="H11078" t="s">
        <v>32848</v>
      </c>
      <c r="I11078" t="s">
        <v>32869</v>
      </c>
      <c r="J11078" t="s">
        <v>39802</v>
      </c>
      <c r="K11078" t="s">
        <v>42726</v>
      </c>
      <c r="M11078" t="s">
        <v>43518</v>
      </c>
      <c r="N11078" t="s">
        <v>47424</v>
      </c>
      <c r="O11078" t="s">
        <v>47425</v>
      </c>
      <c r="P11078">
        <v>0</v>
      </c>
      <c r="Q11078">
        <v>2</v>
      </c>
      <c r="R11078" t="s">
        <v>47437</v>
      </c>
      <c r="S11078" t="s">
        <v>47706</v>
      </c>
      <c r="T11078" t="s">
        <v>49214</v>
      </c>
      <c r="U11078" t="s">
        <v>52845</v>
      </c>
      <c r="V11078" t="s">
        <v>63851</v>
      </c>
      <c r="W11078" t="s">
        <v>64441</v>
      </c>
      <c r="X11078" t="s">
        <v>47438</v>
      </c>
    </row>
    <row r="11079" spans="1:24">
      <c r="A11079">
        <f>HYPERLINK("https://www.philgeps.gov.ph/GEPSNONPILOT/Tender/SplashBidNoticeAbstractUI.aspx?menuIndex=3&amp;refID=7146694&amp;Result=3","7146694")</f>
        <v>0</v>
      </c>
      <c r="B11079" t="s">
        <v>2350</v>
      </c>
      <c r="C11079" t="s">
        <v>14321</v>
      </c>
      <c r="D11079" t="s">
        <v>19018</v>
      </c>
      <c r="E11079" t="s">
        <v>28615</v>
      </c>
      <c r="F11079" t="s">
        <v>32831</v>
      </c>
      <c r="G11079" t="s">
        <v>32840</v>
      </c>
      <c r="H11079" t="s">
        <v>32848</v>
      </c>
      <c r="I11079" t="s">
        <v>32851</v>
      </c>
      <c r="J11079" t="s">
        <v>33401</v>
      </c>
      <c r="K11079" t="s">
        <v>42730</v>
      </c>
      <c r="M11079" t="s">
        <v>45539</v>
      </c>
      <c r="N11079" t="s">
        <v>47424</v>
      </c>
      <c r="O11079" t="s">
        <v>47425</v>
      </c>
      <c r="Q11079">
        <v>7</v>
      </c>
      <c r="R11079" t="s">
        <v>47437</v>
      </c>
      <c r="S11079" t="s">
        <v>47757</v>
      </c>
      <c r="T11079" t="s">
        <v>49100</v>
      </c>
      <c r="U11079" t="s">
        <v>50084</v>
      </c>
      <c r="W11079" t="s">
        <v>45539</v>
      </c>
      <c r="X11079" t="s">
        <v>47438</v>
      </c>
    </row>
    <row r="11080" spans="1:24">
      <c r="A11080">
        <f>HYPERLINK("https://www.philgeps.gov.ph/GEPSNONPILOT/Tender/SplashBidNoticeAbstractUI.aspx?menuIndex=3&amp;refID=7146691&amp;Result=3","7146691")</f>
        <v>0</v>
      </c>
      <c r="B11080" t="s">
        <v>2234</v>
      </c>
      <c r="C11080" t="s">
        <v>14322</v>
      </c>
      <c r="D11080" t="s">
        <v>19043</v>
      </c>
      <c r="E11080" t="s">
        <v>28616</v>
      </c>
      <c r="F11080" t="s">
        <v>32831</v>
      </c>
      <c r="G11080" t="s">
        <v>32839</v>
      </c>
      <c r="H11080" t="s">
        <v>32849</v>
      </c>
      <c r="I11080" t="s">
        <v>4177</v>
      </c>
      <c r="J11080" t="s">
        <v>39803</v>
      </c>
      <c r="K11080" t="s">
        <v>42756</v>
      </c>
      <c r="M11080" t="s">
        <v>45415</v>
      </c>
      <c r="N11080" t="s">
        <v>47424</v>
      </c>
      <c r="O11080" t="s">
        <v>47425</v>
      </c>
      <c r="P11080">
        <v>0</v>
      </c>
      <c r="Q11080">
        <v>2</v>
      </c>
      <c r="R11080" t="s">
        <v>47437</v>
      </c>
      <c r="S11080" t="s">
        <v>47706</v>
      </c>
      <c r="T11080" t="s">
        <v>49057</v>
      </c>
      <c r="U11080" t="s">
        <v>58786</v>
      </c>
      <c r="V11080" t="s">
        <v>63852</v>
      </c>
      <c r="W11080" t="s">
        <v>45415</v>
      </c>
      <c r="X11080" t="s">
        <v>47438</v>
      </c>
    </row>
    <row r="11081" spans="1:24">
      <c r="A11081">
        <f>HYPERLINK("https://www.philgeps.gov.ph/GEPSNONPILOT/Tender/SplashBidNoticeAbstractUI.aspx?menuIndex=3&amp;refID=7146710&amp;Result=3","7146710")</f>
        <v>0</v>
      </c>
      <c r="B11081" t="s">
        <v>2350</v>
      </c>
      <c r="C11081" t="s">
        <v>14323</v>
      </c>
      <c r="D11081" t="s">
        <v>19018</v>
      </c>
      <c r="E11081" t="s">
        <v>28617</v>
      </c>
      <c r="F11081" t="s">
        <v>32831</v>
      </c>
      <c r="G11081" t="s">
        <v>32840</v>
      </c>
      <c r="H11081" t="s">
        <v>32848</v>
      </c>
      <c r="I11081" t="s">
        <v>4487</v>
      </c>
      <c r="J11081" t="s">
        <v>33087</v>
      </c>
      <c r="K11081" t="s">
        <v>42730</v>
      </c>
      <c r="M11081" t="s">
        <v>45539</v>
      </c>
      <c r="N11081" t="s">
        <v>47424</v>
      </c>
      <c r="O11081" t="s">
        <v>47425</v>
      </c>
      <c r="Q11081">
        <v>9</v>
      </c>
      <c r="R11081" t="s">
        <v>47437</v>
      </c>
      <c r="S11081" t="s">
        <v>47758</v>
      </c>
      <c r="T11081" t="s">
        <v>49100</v>
      </c>
      <c r="U11081" t="s">
        <v>50084</v>
      </c>
      <c r="W11081" t="s">
        <v>45539</v>
      </c>
      <c r="X11081" t="s">
        <v>47438</v>
      </c>
    </row>
    <row r="11082" spans="1:24">
      <c r="A11082">
        <f>HYPERLINK("https://www.philgeps.gov.ph/GEPSNONPILOT/Tender/SplashBidNoticeAbstractUI.aspx?menuIndex=3&amp;refID=7146736&amp;Result=3","7146736")</f>
        <v>0</v>
      </c>
      <c r="B11082" t="s">
        <v>3314</v>
      </c>
      <c r="C11082" t="s">
        <v>14324</v>
      </c>
      <c r="D11082" t="s">
        <v>19017</v>
      </c>
      <c r="E11082" t="s">
        <v>28618</v>
      </c>
      <c r="F11082" t="s">
        <v>32831</v>
      </c>
      <c r="G11082" t="s">
        <v>32841</v>
      </c>
      <c r="H11082" t="s">
        <v>32848</v>
      </c>
      <c r="I11082" t="s">
        <v>32874</v>
      </c>
      <c r="J11082" t="s">
        <v>39804</v>
      </c>
      <c r="K11082" t="s">
        <v>42732</v>
      </c>
      <c r="L11082" t="s">
        <v>3314</v>
      </c>
      <c r="M11082" t="s">
        <v>46637</v>
      </c>
      <c r="N11082" t="s">
        <v>47424</v>
      </c>
      <c r="O11082" t="s">
        <v>47425</v>
      </c>
      <c r="Q11082">
        <v>9</v>
      </c>
      <c r="R11082" t="s">
        <v>47437</v>
      </c>
      <c r="S11082" t="s">
        <v>47759</v>
      </c>
      <c r="T11082" t="s">
        <v>49142</v>
      </c>
      <c r="U11082" t="s">
        <v>58714</v>
      </c>
      <c r="W11082" t="s">
        <v>46637</v>
      </c>
      <c r="X11082" t="s">
        <v>47438</v>
      </c>
    </row>
    <row r="11083" spans="1:24">
      <c r="A11083">
        <f>HYPERLINK("https://www.philgeps.gov.ph/GEPSNONPILOT/Tender/SplashBidNoticeAbstractUI.aspx?menuIndex=3&amp;refID=7146671&amp;Result=3","7146671")</f>
        <v>0</v>
      </c>
      <c r="B11083" t="s">
        <v>3314</v>
      </c>
      <c r="C11083" t="s">
        <v>14325</v>
      </c>
      <c r="D11083" t="s">
        <v>19017</v>
      </c>
      <c r="E11083" t="s">
        <v>28619</v>
      </c>
      <c r="F11083" t="s">
        <v>32831</v>
      </c>
      <c r="G11083" t="s">
        <v>32841</v>
      </c>
      <c r="H11083" t="s">
        <v>32848</v>
      </c>
      <c r="I11083" t="s">
        <v>32874</v>
      </c>
      <c r="J11083" t="s">
        <v>39805</v>
      </c>
      <c r="K11083" t="s">
        <v>42732</v>
      </c>
      <c r="L11083" t="s">
        <v>3314</v>
      </c>
      <c r="M11083" t="s">
        <v>46637</v>
      </c>
      <c r="N11083" t="s">
        <v>47424</v>
      </c>
      <c r="O11083" t="s">
        <v>47425</v>
      </c>
      <c r="Q11083">
        <v>4</v>
      </c>
      <c r="R11083" t="s">
        <v>47437</v>
      </c>
      <c r="S11083" t="s">
        <v>47760</v>
      </c>
      <c r="T11083" t="s">
        <v>49142</v>
      </c>
      <c r="U11083" t="s">
        <v>58714</v>
      </c>
      <c r="W11083" t="s">
        <v>46637</v>
      </c>
      <c r="X11083" t="s">
        <v>47438</v>
      </c>
    </row>
    <row r="11084" spans="1:24">
      <c r="A11084">
        <f>HYPERLINK("https://www.philgeps.gov.ph/GEPSNONPILOT/Tender/SplashBidNoticeAbstractUI.aspx?menuIndex=3&amp;refID=7146824&amp;Result=3","7146824")</f>
        <v>0</v>
      </c>
      <c r="B11084" t="s">
        <v>630</v>
      </c>
      <c r="C11084" t="s">
        <v>14326</v>
      </c>
      <c r="D11084" t="s">
        <v>19102</v>
      </c>
      <c r="E11084" t="s">
        <v>28620</v>
      </c>
      <c r="F11084" t="s">
        <v>32831</v>
      </c>
      <c r="G11084" t="s">
        <v>32839</v>
      </c>
      <c r="H11084" t="s">
        <v>32848</v>
      </c>
      <c r="I11084" t="s">
        <v>32966</v>
      </c>
      <c r="J11084" t="s">
        <v>32976</v>
      </c>
      <c r="K11084" t="s">
        <v>42730</v>
      </c>
      <c r="M11084" t="s">
        <v>43647</v>
      </c>
      <c r="N11084" t="s">
        <v>47424</v>
      </c>
      <c r="O11084" t="s">
        <v>47425</v>
      </c>
      <c r="P11084">
        <v>0</v>
      </c>
      <c r="Q11084">
        <v>1</v>
      </c>
      <c r="R11084" t="s">
        <v>47437</v>
      </c>
      <c r="S11084" t="s">
        <v>47706</v>
      </c>
      <c r="T11084" t="s">
        <v>49111</v>
      </c>
      <c r="U11084" t="s">
        <v>58787</v>
      </c>
      <c r="V11084" t="s">
        <v>63853</v>
      </c>
      <c r="W11084" t="s">
        <v>43647</v>
      </c>
      <c r="X11084" t="s">
        <v>47438</v>
      </c>
    </row>
    <row r="11085" spans="1:24">
      <c r="A11085">
        <f>HYPERLINK("https://www.philgeps.gov.ph/GEPSNONPILOT/Tender/SplashBidNoticeAbstractUI.aspx?menuIndex=3&amp;refID=7146723&amp;Result=3","7146723")</f>
        <v>0</v>
      </c>
      <c r="B11085" t="s">
        <v>3332</v>
      </c>
      <c r="C11085" t="s">
        <v>14327</v>
      </c>
      <c r="D11085" t="s">
        <v>19017</v>
      </c>
      <c r="E11085" t="s">
        <v>28621</v>
      </c>
      <c r="F11085" t="s">
        <v>32831</v>
      </c>
      <c r="G11085" t="s">
        <v>32839</v>
      </c>
      <c r="H11085" t="s">
        <v>32848</v>
      </c>
      <c r="I11085" t="s">
        <v>32874</v>
      </c>
      <c r="J11085" t="s">
        <v>33111</v>
      </c>
      <c r="K11085" t="s">
        <v>42763</v>
      </c>
      <c r="M11085" t="s">
        <v>46655</v>
      </c>
      <c r="N11085" t="s">
        <v>47424</v>
      </c>
      <c r="O11085" t="s">
        <v>47425</v>
      </c>
      <c r="P11085">
        <v>0</v>
      </c>
      <c r="Q11085">
        <v>13</v>
      </c>
      <c r="R11085" t="s">
        <v>47437</v>
      </c>
      <c r="S11085" t="s">
        <v>47706</v>
      </c>
      <c r="T11085" t="s">
        <v>49112</v>
      </c>
      <c r="U11085" t="s">
        <v>58788</v>
      </c>
      <c r="W11085" t="s">
        <v>46655</v>
      </c>
      <c r="X11085" t="s">
        <v>47438</v>
      </c>
    </row>
    <row r="11086" spans="1:24">
      <c r="A11086">
        <f>HYPERLINK("https://www.philgeps.gov.ph/GEPSNONPILOT/Tender/SplashBidNoticeAbstractUI.aspx?menuIndex=3&amp;refID=7146814&amp;Result=3","7146814")</f>
        <v>0</v>
      </c>
      <c r="B11086" t="s">
        <v>99</v>
      </c>
      <c r="C11086" t="s">
        <v>14328</v>
      </c>
      <c r="D11086" t="s">
        <v>19054</v>
      </c>
      <c r="E11086" t="s">
        <v>28622</v>
      </c>
      <c r="F11086" t="s">
        <v>32831</v>
      </c>
      <c r="G11086" t="s">
        <v>32839</v>
      </c>
      <c r="H11086" t="s">
        <v>32848</v>
      </c>
      <c r="I11086" t="s">
        <v>7416</v>
      </c>
      <c r="J11086" t="s">
        <v>39806</v>
      </c>
      <c r="K11086" t="s">
        <v>42730</v>
      </c>
      <c r="M11086" t="s">
        <v>43171</v>
      </c>
      <c r="N11086" t="s">
        <v>47424</v>
      </c>
      <c r="O11086" t="s">
        <v>47425</v>
      </c>
      <c r="P11086">
        <v>0</v>
      </c>
      <c r="Q11086">
        <v>0</v>
      </c>
      <c r="R11086" t="s">
        <v>47437</v>
      </c>
      <c r="S11086" t="s">
        <v>47706</v>
      </c>
      <c r="T11086" t="s">
        <v>49111</v>
      </c>
      <c r="U11086" t="s">
        <v>49821</v>
      </c>
      <c r="V11086" t="s">
        <v>62643</v>
      </c>
      <c r="W11086" t="s">
        <v>43171</v>
      </c>
      <c r="X11086" t="s">
        <v>47438</v>
      </c>
    </row>
    <row r="11087" spans="1:24">
      <c r="A11087">
        <f>HYPERLINK("https://www.philgeps.gov.ph/GEPSNONPILOT/Tender/SplashBidNoticeAbstractUI.aspx?menuIndex=3&amp;refID=7146674&amp;Result=3","7146674")</f>
        <v>0</v>
      </c>
      <c r="B11087" t="s">
        <v>3333</v>
      </c>
      <c r="C11087" t="s">
        <v>14329</v>
      </c>
      <c r="D11087" t="s">
        <v>19017</v>
      </c>
      <c r="E11087" t="s">
        <v>28623</v>
      </c>
      <c r="F11087" t="s">
        <v>32831</v>
      </c>
      <c r="G11087" t="s">
        <v>32839</v>
      </c>
      <c r="H11087" t="s">
        <v>32849</v>
      </c>
      <c r="I11087" t="s">
        <v>4177</v>
      </c>
      <c r="J11087" t="s">
        <v>39807</v>
      </c>
      <c r="K11087" t="s">
        <v>42770</v>
      </c>
      <c r="M11087" t="s">
        <v>46656</v>
      </c>
      <c r="N11087" t="s">
        <v>47424</v>
      </c>
      <c r="O11087" t="s">
        <v>47425</v>
      </c>
      <c r="P11087">
        <v>0</v>
      </c>
      <c r="Q11087">
        <v>36</v>
      </c>
      <c r="R11087" t="s">
        <v>47437</v>
      </c>
      <c r="S11087" t="s">
        <v>47706</v>
      </c>
      <c r="T11087" t="s">
        <v>49143</v>
      </c>
      <c r="U11087" t="s">
        <v>58789</v>
      </c>
      <c r="V11087" t="s">
        <v>63854</v>
      </c>
      <c r="W11087" t="s">
        <v>46656</v>
      </c>
      <c r="X11087" t="s">
        <v>47438</v>
      </c>
    </row>
    <row r="11088" spans="1:24">
      <c r="A11088">
        <f>HYPERLINK("https://www.philgeps.gov.ph/GEPSNONPILOT/Tender/SplashBidNoticeAbstractUI.aspx?menuIndex=3&amp;refID=7146426&amp;Result=3","7146426")</f>
        <v>0</v>
      </c>
      <c r="B11088" t="s">
        <v>99</v>
      </c>
      <c r="C11088" t="s">
        <v>14330</v>
      </c>
      <c r="D11088" t="s">
        <v>19054</v>
      </c>
      <c r="E11088" t="s">
        <v>28624</v>
      </c>
      <c r="F11088" t="s">
        <v>32831</v>
      </c>
      <c r="G11088" t="s">
        <v>32839</v>
      </c>
      <c r="H11088" t="s">
        <v>32848</v>
      </c>
      <c r="I11088" t="s">
        <v>7416</v>
      </c>
      <c r="J11088" t="s">
        <v>39808</v>
      </c>
      <c r="K11088" t="s">
        <v>42730</v>
      </c>
      <c r="M11088" t="s">
        <v>43171</v>
      </c>
      <c r="N11088" t="s">
        <v>47424</v>
      </c>
      <c r="O11088" t="s">
        <v>47425</v>
      </c>
      <c r="P11088">
        <v>0</v>
      </c>
      <c r="Q11088">
        <v>0</v>
      </c>
      <c r="R11088" t="s">
        <v>47437</v>
      </c>
      <c r="S11088" t="s">
        <v>47706</v>
      </c>
      <c r="T11088" t="s">
        <v>49221</v>
      </c>
      <c r="U11088" t="s">
        <v>56583</v>
      </c>
      <c r="V11088" t="s">
        <v>62643</v>
      </c>
      <c r="W11088" t="s">
        <v>43171</v>
      </c>
      <c r="X11088" t="s">
        <v>47438</v>
      </c>
    </row>
    <row r="11089" spans="1:24">
      <c r="A11089">
        <f>HYPERLINK("https://www.philgeps.gov.ph/GEPSNONPILOT/Tender/SplashBidNoticeAbstractUI.aspx?menuIndex=3&amp;refID=7146813&amp;Result=3","7146813")</f>
        <v>0</v>
      </c>
      <c r="B11089" t="s">
        <v>2350</v>
      </c>
      <c r="C11089" t="s">
        <v>14331</v>
      </c>
      <c r="D11089" t="s">
        <v>19018</v>
      </c>
      <c r="E11089" t="s">
        <v>28625</v>
      </c>
      <c r="F11089" t="s">
        <v>32831</v>
      </c>
      <c r="G11089" t="s">
        <v>32838</v>
      </c>
      <c r="H11089" t="s">
        <v>32848</v>
      </c>
      <c r="I11089" t="s">
        <v>32865</v>
      </c>
      <c r="J11089" t="s">
        <v>33475</v>
      </c>
      <c r="K11089" t="s">
        <v>42732</v>
      </c>
      <c r="M11089" t="s">
        <v>45539</v>
      </c>
      <c r="N11089" t="s">
        <v>47424</v>
      </c>
      <c r="O11089" t="s">
        <v>47425</v>
      </c>
      <c r="Q11089">
        <v>1</v>
      </c>
      <c r="R11089" t="s">
        <v>47437</v>
      </c>
      <c r="S11089" t="s">
        <v>47761</v>
      </c>
      <c r="T11089" t="s">
        <v>49100</v>
      </c>
      <c r="U11089" t="s">
        <v>50084</v>
      </c>
      <c r="W11089" t="s">
        <v>45539</v>
      </c>
      <c r="X11089" t="s">
        <v>47438</v>
      </c>
    </row>
    <row r="11090" spans="1:24">
      <c r="A11090">
        <f>HYPERLINK("https://www.philgeps.gov.ph/GEPSNONPILOT/Tender/SplashBidNoticeAbstractUI.aspx?menuIndex=3&amp;refID=7146808&amp;Result=3","7146808")</f>
        <v>0</v>
      </c>
      <c r="B11090" t="s">
        <v>1364</v>
      </c>
      <c r="C11090" t="s">
        <v>11978</v>
      </c>
      <c r="D11090" t="s">
        <v>19077</v>
      </c>
      <c r="E11090" t="s">
        <v>28626</v>
      </c>
      <c r="F11090" t="s">
        <v>32831</v>
      </c>
      <c r="G11090" t="s">
        <v>32839</v>
      </c>
      <c r="H11090" t="s">
        <v>32848</v>
      </c>
      <c r="I11090" t="s">
        <v>4776</v>
      </c>
      <c r="J11090" t="s">
        <v>39809</v>
      </c>
      <c r="K11090" t="s">
        <v>42730</v>
      </c>
      <c r="M11090" t="s">
        <v>44443</v>
      </c>
      <c r="N11090" t="s">
        <v>47424</v>
      </c>
      <c r="O11090" t="s">
        <v>47425</v>
      </c>
      <c r="P11090">
        <v>0</v>
      </c>
      <c r="Q11090">
        <v>8</v>
      </c>
      <c r="R11090" t="s">
        <v>47437</v>
      </c>
      <c r="S11090" t="s">
        <v>47706</v>
      </c>
      <c r="T11090" t="s">
        <v>49172</v>
      </c>
      <c r="U11090" t="s">
        <v>58790</v>
      </c>
      <c r="W11090" t="s">
        <v>44443</v>
      </c>
      <c r="X11090" t="s">
        <v>47438</v>
      </c>
    </row>
    <row r="11091" spans="1:24">
      <c r="A11091">
        <f>HYPERLINK("https://www.philgeps.gov.ph/GEPSNONPILOT/Tender/SplashBidNoticeAbstractUI.aspx?menuIndex=3&amp;refID=7146804&amp;Result=3","7146804")</f>
        <v>0</v>
      </c>
      <c r="B11091" t="s">
        <v>3334</v>
      </c>
      <c r="C11091" t="s">
        <v>14332</v>
      </c>
      <c r="E11091" t="s">
        <v>28627</v>
      </c>
      <c r="F11091" t="s">
        <v>32831</v>
      </c>
      <c r="G11091" t="s">
        <v>32839</v>
      </c>
      <c r="H11091" t="s">
        <v>32849</v>
      </c>
      <c r="I11091" t="s">
        <v>4177</v>
      </c>
      <c r="J11091" t="s">
        <v>32978</v>
      </c>
      <c r="K11091" t="s">
        <v>42732</v>
      </c>
      <c r="M11091" t="s">
        <v>46657</v>
      </c>
      <c r="N11091" t="s">
        <v>47424</v>
      </c>
      <c r="O11091" t="s">
        <v>47425</v>
      </c>
      <c r="P11091">
        <v>0</v>
      </c>
      <c r="Q11091">
        <v>0</v>
      </c>
      <c r="R11091" t="s">
        <v>47437</v>
      </c>
      <c r="S11091" t="s">
        <v>47706</v>
      </c>
      <c r="T11091" t="s">
        <v>49111</v>
      </c>
      <c r="U11091" t="s">
        <v>58791</v>
      </c>
      <c r="W11091" t="s">
        <v>46657</v>
      </c>
      <c r="X11091" t="s">
        <v>47438</v>
      </c>
    </row>
    <row r="11092" spans="1:24">
      <c r="A11092">
        <f>HYPERLINK("https://www.philgeps.gov.ph/GEPSNONPILOT/Tender/SplashBidNoticeAbstractUI.aspx?menuIndex=3&amp;refID=7146702&amp;Result=3","7146702")</f>
        <v>0</v>
      </c>
      <c r="B11092" t="s">
        <v>3335</v>
      </c>
      <c r="C11092" t="s">
        <v>14333</v>
      </c>
      <c r="D11092" t="s">
        <v>19038</v>
      </c>
      <c r="E11092" t="s">
        <v>25131</v>
      </c>
      <c r="F11092" t="s">
        <v>32831</v>
      </c>
      <c r="G11092" t="s">
        <v>32839</v>
      </c>
      <c r="H11092" t="s">
        <v>32849</v>
      </c>
      <c r="I11092" t="s">
        <v>4177</v>
      </c>
      <c r="J11092" t="s">
        <v>36317</v>
      </c>
      <c r="K11092" t="s">
        <v>42773</v>
      </c>
      <c r="M11092" t="s">
        <v>46658</v>
      </c>
      <c r="N11092" t="s">
        <v>47424</v>
      </c>
      <c r="O11092" t="s">
        <v>47425</v>
      </c>
      <c r="P11092">
        <v>0</v>
      </c>
      <c r="Q11092">
        <v>2</v>
      </c>
      <c r="R11092" t="s">
        <v>47437</v>
      </c>
      <c r="S11092" t="s">
        <v>47706</v>
      </c>
      <c r="T11092" t="s">
        <v>49063</v>
      </c>
      <c r="U11092" t="s">
        <v>58792</v>
      </c>
      <c r="W11092" t="s">
        <v>46658</v>
      </c>
      <c r="X11092" t="s">
        <v>47438</v>
      </c>
    </row>
    <row r="11093" spans="1:24">
      <c r="A11093">
        <f>HYPERLINK("https://www.philgeps.gov.ph/GEPSNONPILOT/Tender/SplashBidNoticeAbstractUI.aspx?menuIndex=3&amp;refID=7146801&amp;Result=3","7146801")</f>
        <v>0</v>
      </c>
      <c r="B11093" t="s">
        <v>3336</v>
      </c>
      <c r="C11093" t="s">
        <v>14334</v>
      </c>
      <c r="D11093" t="s">
        <v>19040</v>
      </c>
      <c r="E11093" t="s">
        <v>28628</v>
      </c>
      <c r="F11093" t="s">
        <v>32831</v>
      </c>
      <c r="G11093" t="s">
        <v>32839</v>
      </c>
      <c r="H11093" t="s">
        <v>32849</v>
      </c>
      <c r="I11093" t="s">
        <v>32889</v>
      </c>
      <c r="J11093" t="s">
        <v>39810</v>
      </c>
      <c r="K11093" t="s">
        <v>42930</v>
      </c>
      <c r="M11093" t="s">
        <v>46659</v>
      </c>
      <c r="N11093" t="s">
        <v>47424</v>
      </c>
      <c r="O11093" t="s">
        <v>47425</v>
      </c>
      <c r="P11093">
        <v>0</v>
      </c>
      <c r="Q11093">
        <v>0</v>
      </c>
      <c r="R11093" t="s">
        <v>47437</v>
      </c>
      <c r="S11093" t="s">
        <v>47706</v>
      </c>
      <c r="T11093" t="s">
        <v>49152</v>
      </c>
      <c r="U11093" t="s">
        <v>58793</v>
      </c>
      <c r="W11093" t="s">
        <v>46659</v>
      </c>
      <c r="X11093" t="s">
        <v>47438</v>
      </c>
    </row>
    <row r="11094" spans="1:24">
      <c r="A11094">
        <f>HYPERLINK("https://www.philgeps.gov.ph/GEPSNONPILOT/Tender/SplashBidNoticeAbstractUI.aspx?menuIndex=3&amp;refID=7146794&amp;Result=3","7146794")</f>
        <v>0</v>
      </c>
      <c r="B11094" t="s">
        <v>3337</v>
      </c>
      <c r="C11094" t="s">
        <v>14335</v>
      </c>
      <c r="D11094" t="s">
        <v>19088</v>
      </c>
      <c r="E11094" t="s">
        <v>28629</v>
      </c>
      <c r="F11094" t="s">
        <v>32831</v>
      </c>
      <c r="G11094" t="s">
        <v>32839</v>
      </c>
      <c r="H11094" t="s">
        <v>32848</v>
      </c>
      <c r="I11094" t="s">
        <v>7751</v>
      </c>
      <c r="J11094" t="s">
        <v>33032</v>
      </c>
      <c r="K11094" t="s">
        <v>42732</v>
      </c>
      <c r="M11094" t="s">
        <v>46660</v>
      </c>
      <c r="N11094" t="s">
        <v>47424</v>
      </c>
      <c r="O11094" t="s">
        <v>47425</v>
      </c>
      <c r="P11094">
        <v>0</v>
      </c>
      <c r="Q11094">
        <v>12</v>
      </c>
      <c r="R11094" t="s">
        <v>47437</v>
      </c>
      <c r="S11094" t="s">
        <v>47706</v>
      </c>
      <c r="T11094" t="s">
        <v>49236</v>
      </c>
      <c r="U11094" t="s">
        <v>58794</v>
      </c>
      <c r="V11094" t="s">
        <v>63021</v>
      </c>
      <c r="W11094" t="s">
        <v>46660</v>
      </c>
      <c r="X11094" t="s">
        <v>47438</v>
      </c>
    </row>
    <row r="11095" spans="1:24">
      <c r="A11095">
        <f>HYPERLINK("https://www.philgeps.gov.ph/GEPSNONPILOT/Tender/SplashBidNoticeAbstractUI.aspx?menuIndex=3&amp;refID=7146821&amp;Result=3","7146821")</f>
        <v>0</v>
      </c>
      <c r="B11095" t="s">
        <v>3314</v>
      </c>
      <c r="C11095" t="s">
        <v>14336</v>
      </c>
      <c r="D11095" t="s">
        <v>19017</v>
      </c>
      <c r="E11095" t="s">
        <v>28630</v>
      </c>
      <c r="F11095" t="s">
        <v>32831</v>
      </c>
      <c r="G11095" t="s">
        <v>32841</v>
      </c>
      <c r="H11095" t="s">
        <v>32848</v>
      </c>
      <c r="I11095" t="s">
        <v>4222</v>
      </c>
      <c r="J11095" t="s">
        <v>39811</v>
      </c>
      <c r="K11095" t="s">
        <v>42732</v>
      </c>
      <c r="L11095" t="s">
        <v>3314</v>
      </c>
      <c r="M11095" t="s">
        <v>46637</v>
      </c>
      <c r="N11095" t="s">
        <v>47424</v>
      </c>
      <c r="O11095" t="s">
        <v>47425</v>
      </c>
      <c r="Q11095">
        <v>3</v>
      </c>
      <c r="R11095" t="s">
        <v>47437</v>
      </c>
      <c r="S11095" t="s">
        <v>47762</v>
      </c>
      <c r="T11095" t="s">
        <v>49142</v>
      </c>
      <c r="U11095" t="s">
        <v>58714</v>
      </c>
      <c r="W11095" t="s">
        <v>46637</v>
      </c>
      <c r="X11095" t="s">
        <v>47438</v>
      </c>
    </row>
    <row r="11096" spans="1:24">
      <c r="A11096">
        <f>HYPERLINK("https://www.philgeps.gov.ph/GEPSNONPILOT/Tender/SplashBidNoticeAbstractUI.aspx?menuIndex=3&amp;refID=7146792&amp;Result=3","7146792")</f>
        <v>0</v>
      </c>
      <c r="B11096" t="s">
        <v>3338</v>
      </c>
      <c r="C11096" t="s">
        <v>14337</v>
      </c>
      <c r="D11096" t="s">
        <v>19062</v>
      </c>
      <c r="E11096" t="s">
        <v>28631</v>
      </c>
      <c r="F11096" t="s">
        <v>32831</v>
      </c>
      <c r="G11096" t="s">
        <v>32839</v>
      </c>
      <c r="H11096" t="s">
        <v>32849</v>
      </c>
      <c r="I11096" t="s">
        <v>4177</v>
      </c>
      <c r="J11096" t="s">
        <v>34921</v>
      </c>
      <c r="K11096" t="s">
        <v>42932</v>
      </c>
      <c r="M11096" t="s">
        <v>46661</v>
      </c>
      <c r="N11096" t="s">
        <v>47424</v>
      </c>
      <c r="O11096" t="s">
        <v>47425</v>
      </c>
      <c r="P11096">
        <v>0</v>
      </c>
      <c r="Q11096">
        <v>8</v>
      </c>
      <c r="R11096" t="s">
        <v>47437</v>
      </c>
      <c r="S11096" t="s">
        <v>47706</v>
      </c>
      <c r="T11096" t="s">
        <v>49142</v>
      </c>
      <c r="U11096" t="s">
        <v>58795</v>
      </c>
      <c r="W11096" t="s">
        <v>46661</v>
      </c>
      <c r="X11096" t="s">
        <v>47438</v>
      </c>
    </row>
    <row r="11097" spans="1:24">
      <c r="A11097">
        <f>HYPERLINK("https://www.philgeps.gov.ph/GEPSNONPILOT/Tender/SplashBidNoticeAbstractUI.aspx?menuIndex=3&amp;refID=7146782&amp;Result=3","7146782")</f>
        <v>0</v>
      </c>
      <c r="B11097" t="s">
        <v>3331</v>
      </c>
      <c r="C11097" t="s">
        <v>14338</v>
      </c>
      <c r="D11097" t="s">
        <v>19081</v>
      </c>
      <c r="E11097" t="s">
        <v>28632</v>
      </c>
      <c r="F11097" t="s">
        <v>32831</v>
      </c>
      <c r="G11097" t="s">
        <v>32839</v>
      </c>
      <c r="H11097" t="s">
        <v>32848</v>
      </c>
      <c r="I11097" t="s">
        <v>32867</v>
      </c>
      <c r="J11097" t="s">
        <v>32980</v>
      </c>
      <c r="K11097" t="s">
        <v>42727</v>
      </c>
      <c r="M11097" t="s">
        <v>46654</v>
      </c>
      <c r="N11097" t="s">
        <v>47424</v>
      </c>
      <c r="O11097" t="s">
        <v>47425</v>
      </c>
      <c r="P11097">
        <v>0</v>
      </c>
      <c r="Q11097">
        <v>1</v>
      </c>
      <c r="R11097" t="s">
        <v>47437</v>
      </c>
      <c r="S11097" t="s">
        <v>47706</v>
      </c>
      <c r="T11097" t="s">
        <v>49106</v>
      </c>
      <c r="U11097" t="s">
        <v>58796</v>
      </c>
      <c r="W11097" t="s">
        <v>46654</v>
      </c>
      <c r="X11097" t="s">
        <v>47438</v>
      </c>
    </row>
    <row r="11098" spans="1:24">
      <c r="A11098">
        <f>HYPERLINK("https://www.philgeps.gov.ph/GEPSNONPILOT/Tender/SplashBidNoticeAbstractUI.aspx?menuIndex=3&amp;refID=7146685&amp;Result=3","7146685")</f>
        <v>0</v>
      </c>
      <c r="B11098" t="s">
        <v>3339</v>
      </c>
      <c r="C11098" t="s">
        <v>3993</v>
      </c>
      <c r="D11098" t="s">
        <v>19081</v>
      </c>
      <c r="E11098" t="s">
        <v>28633</v>
      </c>
      <c r="F11098" t="s">
        <v>32831</v>
      </c>
      <c r="G11098" t="s">
        <v>32839</v>
      </c>
      <c r="H11098" t="s">
        <v>32849</v>
      </c>
      <c r="I11098" t="s">
        <v>4177</v>
      </c>
      <c r="J11098" t="s">
        <v>39812</v>
      </c>
      <c r="K11098" t="s">
        <v>42728</v>
      </c>
      <c r="M11098" t="s">
        <v>46662</v>
      </c>
      <c r="N11098" t="s">
        <v>47424</v>
      </c>
      <c r="O11098" t="s">
        <v>47425</v>
      </c>
      <c r="P11098">
        <v>0</v>
      </c>
      <c r="Q11098">
        <v>0</v>
      </c>
      <c r="R11098" t="s">
        <v>47437</v>
      </c>
      <c r="S11098" t="s">
        <v>47706</v>
      </c>
      <c r="T11098" t="s">
        <v>49063</v>
      </c>
      <c r="U11098" t="s">
        <v>58797</v>
      </c>
      <c r="W11098" t="s">
        <v>46662</v>
      </c>
      <c r="X11098" t="s">
        <v>47438</v>
      </c>
    </row>
    <row r="11099" spans="1:24">
      <c r="A11099">
        <f>HYPERLINK("https://www.philgeps.gov.ph/GEPSNONPILOT/Tender/SplashBidNoticeAbstractUI.aspx?menuIndex=3&amp;refID=7146775&amp;Result=3","7146775")</f>
        <v>0</v>
      </c>
      <c r="B11099" t="s">
        <v>1467</v>
      </c>
      <c r="C11099" t="s">
        <v>13818</v>
      </c>
      <c r="D11099" t="s">
        <v>19051</v>
      </c>
      <c r="E11099" t="s">
        <v>28634</v>
      </c>
      <c r="F11099" t="s">
        <v>32831</v>
      </c>
      <c r="G11099" t="s">
        <v>32839</v>
      </c>
      <c r="H11099" t="s">
        <v>32848</v>
      </c>
      <c r="I11099" t="s">
        <v>32857</v>
      </c>
      <c r="J11099" t="s">
        <v>33087</v>
      </c>
      <c r="K11099" t="s">
        <v>42726</v>
      </c>
      <c r="M11099" t="s">
        <v>44559</v>
      </c>
      <c r="N11099" t="s">
        <v>47424</v>
      </c>
      <c r="O11099" t="s">
        <v>47425</v>
      </c>
      <c r="Q11099">
        <v>1</v>
      </c>
      <c r="R11099" t="s">
        <v>47437</v>
      </c>
      <c r="S11099" t="s">
        <v>47763</v>
      </c>
      <c r="T11099" t="s">
        <v>49073</v>
      </c>
      <c r="U11099" t="s">
        <v>58798</v>
      </c>
      <c r="W11099" t="s">
        <v>44559</v>
      </c>
      <c r="X11099" t="s">
        <v>47438</v>
      </c>
    </row>
    <row r="11100" spans="1:24">
      <c r="A11100">
        <f>HYPERLINK("https://www.philgeps.gov.ph/GEPSNONPILOT/Tender/SplashBidNoticeAbstractUI.aspx?menuIndex=3&amp;refID=7146765&amp;Result=3","7146765")</f>
        <v>0</v>
      </c>
      <c r="B11100" t="s">
        <v>1364</v>
      </c>
      <c r="C11100" t="s">
        <v>14339</v>
      </c>
      <c r="D11100" t="s">
        <v>19077</v>
      </c>
      <c r="E11100" t="s">
        <v>28635</v>
      </c>
      <c r="F11100" t="s">
        <v>32831</v>
      </c>
      <c r="G11100" t="s">
        <v>32839</v>
      </c>
      <c r="H11100" t="s">
        <v>32848</v>
      </c>
      <c r="I11100" t="s">
        <v>32931</v>
      </c>
      <c r="J11100" t="s">
        <v>35051</v>
      </c>
      <c r="K11100" t="s">
        <v>42730</v>
      </c>
      <c r="M11100" t="s">
        <v>44443</v>
      </c>
      <c r="N11100" t="s">
        <v>47424</v>
      </c>
      <c r="O11100" t="s">
        <v>47425</v>
      </c>
      <c r="P11100">
        <v>0</v>
      </c>
      <c r="Q11100">
        <v>4</v>
      </c>
      <c r="R11100" t="s">
        <v>47437</v>
      </c>
      <c r="S11100" t="s">
        <v>47706</v>
      </c>
      <c r="T11100" t="s">
        <v>49172</v>
      </c>
      <c r="U11100" t="s">
        <v>58790</v>
      </c>
      <c r="V11100" t="s">
        <v>63855</v>
      </c>
      <c r="W11100" t="s">
        <v>44443</v>
      </c>
      <c r="X11100" t="s">
        <v>47438</v>
      </c>
    </row>
    <row r="11101" spans="1:24">
      <c r="A11101">
        <f>HYPERLINK("https://www.philgeps.gov.ph/GEPSNONPILOT/Tender/SplashBidNoticeAbstractUI.aspx?menuIndex=3&amp;refID=7146783&amp;Result=3","7146783")</f>
        <v>0</v>
      </c>
      <c r="B11101" t="s">
        <v>99</v>
      </c>
      <c r="C11101" t="s">
        <v>14340</v>
      </c>
      <c r="D11101" t="s">
        <v>19054</v>
      </c>
      <c r="E11101" t="s">
        <v>28636</v>
      </c>
      <c r="F11101" t="s">
        <v>32831</v>
      </c>
      <c r="G11101" t="s">
        <v>32839</v>
      </c>
      <c r="H11101" t="s">
        <v>32848</v>
      </c>
      <c r="I11101" t="s">
        <v>7416</v>
      </c>
      <c r="J11101" t="s">
        <v>35088</v>
      </c>
      <c r="K11101" t="s">
        <v>42730</v>
      </c>
      <c r="M11101" t="s">
        <v>43171</v>
      </c>
      <c r="N11101" t="s">
        <v>47424</v>
      </c>
      <c r="O11101" t="s">
        <v>47425</v>
      </c>
      <c r="P11101">
        <v>0</v>
      </c>
      <c r="Q11101">
        <v>0</v>
      </c>
      <c r="R11101" t="s">
        <v>47437</v>
      </c>
      <c r="S11101" t="s">
        <v>47706</v>
      </c>
      <c r="T11101" t="s">
        <v>49111</v>
      </c>
      <c r="U11101" t="s">
        <v>49821</v>
      </c>
      <c r="V11101" t="s">
        <v>62643</v>
      </c>
      <c r="W11101" t="s">
        <v>43171</v>
      </c>
      <c r="X11101" t="s">
        <v>47438</v>
      </c>
    </row>
    <row r="11102" spans="1:24">
      <c r="A11102">
        <f>HYPERLINK("https://www.philgeps.gov.ph/GEPSNONPILOT/Tender/SplashBidNoticeAbstractUI.aspx?menuIndex=3&amp;refID=7146757&amp;Result=3","7146757")</f>
        <v>0</v>
      </c>
      <c r="B11102" t="s">
        <v>99</v>
      </c>
      <c r="C11102" t="s">
        <v>14341</v>
      </c>
      <c r="D11102" t="s">
        <v>19054</v>
      </c>
      <c r="E11102" t="s">
        <v>28637</v>
      </c>
      <c r="F11102" t="s">
        <v>32831</v>
      </c>
      <c r="G11102" t="s">
        <v>32839</v>
      </c>
      <c r="H11102" t="s">
        <v>32848</v>
      </c>
      <c r="I11102" t="s">
        <v>7416</v>
      </c>
      <c r="J11102" t="s">
        <v>33568</v>
      </c>
      <c r="K11102" t="s">
        <v>42730</v>
      </c>
      <c r="M11102" t="s">
        <v>43171</v>
      </c>
      <c r="N11102" t="s">
        <v>47424</v>
      </c>
      <c r="O11102" t="s">
        <v>47425</v>
      </c>
      <c r="P11102">
        <v>0</v>
      </c>
      <c r="Q11102">
        <v>0</v>
      </c>
      <c r="R11102" t="s">
        <v>47437</v>
      </c>
      <c r="S11102" t="s">
        <v>47706</v>
      </c>
      <c r="T11102" t="s">
        <v>49111</v>
      </c>
      <c r="U11102" t="s">
        <v>49821</v>
      </c>
      <c r="V11102" t="s">
        <v>62643</v>
      </c>
      <c r="W11102" t="s">
        <v>43171</v>
      </c>
      <c r="X11102" t="s">
        <v>47438</v>
      </c>
    </row>
    <row r="11103" spans="1:24">
      <c r="A11103">
        <f>HYPERLINK("https://www.philgeps.gov.ph/GEPSNONPILOT/Tender/SplashBidNoticeAbstractUI.aspx?menuIndex=3&amp;refID=7146762&amp;Result=3","7146762")</f>
        <v>0</v>
      </c>
      <c r="B11103" t="s">
        <v>3314</v>
      </c>
      <c r="C11103" t="s">
        <v>14342</v>
      </c>
      <c r="D11103" t="s">
        <v>19017</v>
      </c>
      <c r="E11103" t="s">
        <v>28638</v>
      </c>
      <c r="F11103" t="s">
        <v>32831</v>
      </c>
      <c r="G11103" t="s">
        <v>32841</v>
      </c>
      <c r="H11103" t="s">
        <v>32848</v>
      </c>
      <c r="I11103" t="s">
        <v>4222</v>
      </c>
      <c r="J11103" t="s">
        <v>39813</v>
      </c>
      <c r="K11103" t="s">
        <v>42732</v>
      </c>
      <c r="L11103" t="s">
        <v>3314</v>
      </c>
      <c r="M11103" t="s">
        <v>46637</v>
      </c>
      <c r="N11103" t="s">
        <v>47424</v>
      </c>
      <c r="O11103" t="s">
        <v>47425</v>
      </c>
      <c r="Q11103">
        <v>1</v>
      </c>
      <c r="R11103" t="s">
        <v>47437</v>
      </c>
      <c r="S11103" t="s">
        <v>47764</v>
      </c>
      <c r="T11103" t="s">
        <v>49142</v>
      </c>
      <c r="U11103" t="s">
        <v>58714</v>
      </c>
      <c r="W11103" t="s">
        <v>46637</v>
      </c>
      <c r="X11103" t="s">
        <v>47438</v>
      </c>
    </row>
    <row r="11104" spans="1:24">
      <c r="A11104">
        <f>HYPERLINK("https://www.philgeps.gov.ph/GEPSNONPILOT/Tender/SplashBidNoticeAbstractUI.aspx?menuIndex=3&amp;refID=7146745&amp;Result=3","7146745")</f>
        <v>0</v>
      </c>
      <c r="B11104" t="s">
        <v>99</v>
      </c>
      <c r="C11104" t="s">
        <v>14343</v>
      </c>
      <c r="D11104" t="s">
        <v>19054</v>
      </c>
      <c r="E11104" t="s">
        <v>28639</v>
      </c>
      <c r="F11104" t="s">
        <v>32831</v>
      </c>
      <c r="G11104" t="s">
        <v>32839</v>
      </c>
      <c r="H11104" t="s">
        <v>32848</v>
      </c>
      <c r="I11104" t="s">
        <v>7416</v>
      </c>
      <c r="J11104" t="s">
        <v>33568</v>
      </c>
      <c r="K11104" t="s">
        <v>42730</v>
      </c>
      <c r="M11104" t="s">
        <v>43171</v>
      </c>
      <c r="N11104" t="s">
        <v>47424</v>
      </c>
      <c r="O11104" t="s">
        <v>47425</v>
      </c>
      <c r="P11104">
        <v>0</v>
      </c>
      <c r="Q11104">
        <v>0</v>
      </c>
      <c r="R11104" t="s">
        <v>47437</v>
      </c>
      <c r="S11104" t="s">
        <v>47706</v>
      </c>
      <c r="T11104" t="s">
        <v>49111</v>
      </c>
      <c r="U11104" t="s">
        <v>49821</v>
      </c>
      <c r="V11104" t="s">
        <v>62643</v>
      </c>
      <c r="W11104" t="s">
        <v>43171</v>
      </c>
      <c r="X11104" t="s">
        <v>47438</v>
      </c>
    </row>
    <row r="11105" spans="1:24">
      <c r="A11105">
        <f>HYPERLINK("https://www.philgeps.gov.ph/GEPSNONPILOT/Tender/SplashBidNoticeAbstractUI.aspx?menuIndex=3&amp;refID=7146789&amp;Result=3","7146789")</f>
        <v>0</v>
      </c>
      <c r="B11105" t="s">
        <v>3314</v>
      </c>
      <c r="C11105" t="s">
        <v>14344</v>
      </c>
      <c r="D11105" t="s">
        <v>19017</v>
      </c>
      <c r="E11105" t="s">
        <v>28640</v>
      </c>
      <c r="F11105" t="s">
        <v>32831</v>
      </c>
      <c r="G11105" t="s">
        <v>32841</v>
      </c>
      <c r="H11105" t="s">
        <v>32848</v>
      </c>
      <c r="I11105" t="s">
        <v>4222</v>
      </c>
      <c r="J11105" t="s">
        <v>39814</v>
      </c>
      <c r="K11105" t="s">
        <v>42732</v>
      </c>
      <c r="L11105" t="s">
        <v>3314</v>
      </c>
      <c r="M11105" t="s">
        <v>46637</v>
      </c>
      <c r="N11105" t="s">
        <v>47424</v>
      </c>
      <c r="O11105" t="s">
        <v>47425</v>
      </c>
      <c r="Q11105">
        <v>2</v>
      </c>
      <c r="R11105" t="s">
        <v>47437</v>
      </c>
      <c r="S11105" t="s">
        <v>47765</v>
      </c>
      <c r="T11105" t="s">
        <v>49142</v>
      </c>
      <c r="U11105" t="s">
        <v>58714</v>
      </c>
      <c r="W11105" t="s">
        <v>46637</v>
      </c>
      <c r="X11105" t="s">
        <v>47438</v>
      </c>
    </row>
    <row r="11106" spans="1:24">
      <c r="A11106">
        <f>HYPERLINK("https://www.philgeps.gov.ph/GEPSNONPILOT/Tender/SplashBidNoticeAbstractUI.aspx?menuIndex=3&amp;refID=7146666&amp;Result=3","7146666")</f>
        <v>0</v>
      </c>
      <c r="B11106" t="s">
        <v>2725</v>
      </c>
      <c r="C11106" t="s">
        <v>14345</v>
      </c>
      <c r="D11106" t="s">
        <v>19104</v>
      </c>
      <c r="E11106" t="s">
        <v>28641</v>
      </c>
      <c r="F11106" t="s">
        <v>32831</v>
      </c>
      <c r="G11106" t="s">
        <v>32839</v>
      </c>
      <c r="H11106" t="s">
        <v>32848</v>
      </c>
      <c r="I11106" t="s">
        <v>32870</v>
      </c>
      <c r="J11106" t="s">
        <v>39815</v>
      </c>
      <c r="K11106" t="s">
        <v>42729</v>
      </c>
      <c r="L11106" t="s">
        <v>2725</v>
      </c>
      <c r="M11106" t="s">
        <v>45951</v>
      </c>
      <c r="N11106" t="s">
        <v>47424</v>
      </c>
      <c r="O11106" t="s">
        <v>47425</v>
      </c>
      <c r="P11106">
        <v>0</v>
      </c>
      <c r="Q11106">
        <v>0</v>
      </c>
      <c r="R11106" t="s">
        <v>47437</v>
      </c>
      <c r="S11106" t="s">
        <v>47706</v>
      </c>
      <c r="T11106" t="s">
        <v>49105</v>
      </c>
      <c r="U11106" t="s">
        <v>58799</v>
      </c>
      <c r="V11106" t="s">
        <v>63856</v>
      </c>
      <c r="W11106" t="s">
        <v>45951</v>
      </c>
      <c r="X11106" t="s">
        <v>47438</v>
      </c>
    </row>
    <row r="11107" spans="1:24">
      <c r="A11107">
        <f>HYPERLINK("https://www.philgeps.gov.ph/GEPSNONPILOT/Tender/SplashBidNoticeAbstractUI.aspx?menuIndex=3&amp;refID=7146495&amp;Result=3","7146495")</f>
        <v>0</v>
      </c>
      <c r="B11107" t="s">
        <v>2358</v>
      </c>
      <c r="C11107" t="s">
        <v>14346</v>
      </c>
      <c r="D11107" t="s">
        <v>19034</v>
      </c>
      <c r="E11107" t="s">
        <v>24219</v>
      </c>
      <c r="F11107" t="s">
        <v>32831</v>
      </c>
      <c r="G11107" t="s">
        <v>32839</v>
      </c>
      <c r="H11107" t="s">
        <v>32849</v>
      </c>
      <c r="I11107" t="s">
        <v>4303</v>
      </c>
      <c r="J11107" t="s">
        <v>33007</v>
      </c>
      <c r="K11107" t="s">
        <v>42731</v>
      </c>
      <c r="M11107" t="s">
        <v>45547</v>
      </c>
      <c r="N11107" t="s">
        <v>47424</v>
      </c>
      <c r="O11107" t="s">
        <v>47425</v>
      </c>
      <c r="P11107">
        <v>0</v>
      </c>
      <c r="Q11107">
        <v>1</v>
      </c>
      <c r="R11107" t="s">
        <v>47437</v>
      </c>
      <c r="S11107" t="s">
        <v>47706</v>
      </c>
      <c r="T11107" t="s">
        <v>49239</v>
      </c>
      <c r="U11107" t="s">
        <v>58756</v>
      </c>
      <c r="W11107" t="s">
        <v>45547</v>
      </c>
      <c r="X11107" t="s">
        <v>47438</v>
      </c>
    </row>
    <row r="11108" spans="1:24">
      <c r="A11108">
        <f>HYPERLINK("https://www.philgeps.gov.ph/GEPSNONPILOT/Tender/SplashBidNoticeAbstractUI.aspx?menuIndex=3&amp;refID=7146755&amp;Result=3","7146755")</f>
        <v>0</v>
      </c>
      <c r="B11108" t="s">
        <v>2350</v>
      </c>
      <c r="C11108" t="s">
        <v>14347</v>
      </c>
      <c r="D11108" t="s">
        <v>19018</v>
      </c>
      <c r="E11108" t="s">
        <v>28642</v>
      </c>
      <c r="F11108" t="s">
        <v>32831</v>
      </c>
      <c r="G11108" t="s">
        <v>32838</v>
      </c>
      <c r="H11108" t="s">
        <v>32848</v>
      </c>
      <c r="I11108" t="s">
        <v>32865</v>
      </c>
      <c r="J11108" t="s">
        <v>39816</v>
      </c>
      <c r="K11108" t="s">
        <v>42730</v>
      </c>
      <c r="M11108" t="s">
        <v>45539</v>
      </c>
      <c r="N11108" t="s">
        <v>47424</v>
      </c>
      <c r="O11108" t="s">
        <v>47425</v>
      </c>
      <c r="Q11108">
        <v>3</v>
      </c>
      <c r="R11108" t="s">
        <v>47437</v>
      </c>
      <c r="S11108" t="s">
        <v>47766</v>
      </c>
      <c r="T11108" t="s">
        <v>49100</v>
      </c>
      <c r="U11108" t="s">
        <v>50084</v>
      </c>
      <c r="W11108" t="s">
        <v>45539</v>
      </c>
      <c r="X11108" t="s">
        <v>47438</v>
      </c>
    </row>
    <row r="11109" spans="1:24">
      <c r="A11109">
        <f>HYPERLINK("https://www.philgeps.gov.ph/GEPSNONPILOT/Tender/SplashBidNoticeAbstractUI.aspx?menuIndex=3&amp;refID=7146484&amp;Result=3","7146484")</f>
        <v>0</v>
      </c>
      <c r="B11109" t="s">
        <v>682</v>
      </c>
      <c r="C11109" t="s">
        <v>14348</v>
      </c>
      <c r="D11109" t="s">
        <v>19067</v>
      </c>
      <c r="E11109" t="s">
        <v>28643</v>
      </c>
      <c r="F11109" t="s">
        <v>32831</v>
      </c>
      <c r="G11109" t="s">
        <v>32839</v>
      </c>
      <c r="H11109" t="s">
        <v>32848</v>
      </c>
      <c r="I11109" t="s">
        <v>32857</v>
      </c>
      <c r="J11109" t="s">
        <v>39817</v>
      </c>
      <c r="K11109" t="s">
        <v>42730</v>
      </c>
      <c r="M11109" t="s">
        <v>43701</v>
      </c>
      <c r="N11109" t="s">
        <v>47424</v>
      </c>
      <c r="O11109" t="s">
        <v>47425</v>
      </c>
      <c r="P11109">
        <v>0</v>
      </c>
      <c r="Q11109">
        <v>1</v>
      </c>
      <c r="R11109" t="s">
        <v>47437</v>
      </c>
      <c r="S11109" t="s">
        <v>47706</v>
      </c>
      <c r="T11109" t="s">
        <v>49221</v>
      </c>
      <c r="U11109" t="s">
        <v>58800</v>
      </c>
      <c r="W11109" t="s">
        <v>43701</v>
      </c>
      <c r="X11109" t="s">
        <v>47438</v>
      </c>
    </row>
    <row r="11110" spans="1:24">
      <c r="A11110">
        <f>HYPERLINK("https://www.philgeps.gov.ph/GEPSNONPILOT/Tender/SplashBidNoticeAbstractUI.aspx?menuIndex=3&amp;refID=7146780&amp;Result=3","7146780")</f>
        <v>0</v>
      </c>
      <c r="B11110" t="s">
        <v>2350</v>
      </c>
      <c r="C11110" t="s">
        <v>14349</v>
      </c>
      <c r="D11110" t="s">
        <v>19018</v>
      </c>
      <c r="E11110" t="s">
        <v>28644</v>
      </c>
      <c r="F11110" t="s">
        <v>32831</v>
      </c>
      <c r="G11110" t="s">
        <v>32838</v>
      </c>
      <c r="H11110" t="s">
        <v>32848</v>
      </c>
      <c r="I11110" t="s">
        <v>32865</v>
      </c>
      <c r="J11110" t="s">
        <v>33832</v>
      </c>
      <c r="K11110" t="s">
        <v>42732</v>
      </c>
      <c r="M11110" t="s">
        <v>45539</v>
      </c>
      <c r="N11110" t="s">
        <v>47424</v>
      </c>
      <c r="O11110" t="s">
        <v>47425</v>
      </c>
      <c r="Q11110">
        <v>2</v>
      </c>
      <c r="R11110" t="s">
        <v>47437</v>
      </c>
      <c r="S11110" t="s">
        <v>47761</v>
      </c>
      <c r="T11110" t="s">
        <v>49100</v>
      </c>
      <c r="U11110" t="s">
        <v>50084</v>
      </c>
      <c r="W11110" t="s">
        <v>45539</v>
      </c>
      <c r="X11110" t="s">
        <v>47438</v>
      </c>
    </row>
    <row r="11111" spans="1:24">
      <c r="A11111">
        <f>HYPERLINK("https://www.philgeps.gov.ph/GEPSNONPILOT/Tender/SplashBidNoticeAbstractUI.aspx?menuIndex=3&amp;refID=7146651&amp;Result=3","7146651")</f>
        <v>0</v>
      </c>
      <c r="B11111" t="s">
        <v>630</v>
      </c>
      <c r="C11111" t="s">
        <v>14350</v>
      </c>
      <c r="D11111" t="s">
        <v>19049</v>
      </c>
      <c r="E11111" t="s">
        <v>28645</v>
      </c>
      <c r="F11111" t="s">
        <v>32831</v>
      </c>
      <c r="G11111" t="s">
        <v>32839</v>
      </c>
      <c r="H11111" t="s">
        <v>32848</v>
      </c>
      <c r="I11111" t="s">
        <v>32886</v>
      </c>
      <c r="J11111" t="s">
        <v>39818</v>
      </c>
      <c r="K11111" t="s">
        <v>42729</v>
      </c>
      <c r="M11111" t="s">
        <v>43647</v>
      </c>
      <c r="N11111" t="s">
        <v>47424</v>
      </c>
      <c r="O11111" t="s">
        <v>47425</v>
      </c>
      <c r="P11111">
        <v>0</v>
      </c>
      <c r="Q11111">
        <v>8</v>
      </c>
      <c r="R11111" t="s">
        <v>47437</v>
      </c>
      <c r="S11111" t="s">
        <v>47706</v>
      </c>
      <c r="T11111" t="s">
        <v>49111</v>
      </c>
      <c r="U11111" t="s">
        <v>58787</v>
      </c>
      <c r="V11111" t="s">
        <v>63857</v>
      </c>
      <c r="W11111" t="s">
        <v>43647</v>
      </c>
      <c r="X11111" t="s">
        <v>47438</v>
      </c>
    </row>
    <row r="11112" spans="1:24">
      <c r="A11112">
        <f>HYPERLINK("https://www.philgeps.gov.ph/GEPSNONPILOT/Tender/SplashBidNoticeAbstractUI.aspx?menuIndex=3&amp;refID=7146293&amp;Result=3","7146293")</f>
        <v>0</v>
      </c>
      <c r="B11112" t="s">
        <v>1313</v>
      </c>
      <c r="C11112" t="s">
        <v>14351</v>
      </c>
      <c r="D11112" t="s">
        <v>19087</v>
      </c>
      <c r="E11112" t="s">
        <v>28646</v>
      </c>
      <c r="F11112" t="s">
        <v>32831</v>
      </c>
      <c r="G11112" t="s">
        <v>32839</v>
      </c>
      <c r="H11112" t="s">
        <v>32848</v>
      </c>
      <c r="I11112" t="s">
        <v>32879</v>
      </c>
      <c r="J11112" t="s">
        <v>33978</v>
      </c>
      <c r="K11112" t="s">
        <v>42727</v>
      </c>
      <c r="M11112" t="s">
        <v>44384</v>
      </c>
      <c r="N11112" t="s">
        <v>47424</v>
      </c>
      <c r="O11112" t="s">
        <v>47425</v>
      </c>
      <c r="P11112">
        <v>0</v>
      </c>
      <c r="Q11112">
        <v>3</v>
      </c>
      <c r="R11112" t="s">
        <v>47437</v>
      </c>
      <c r="S11112" t="s">
        <v>47706</v>
      </c>
      <c r="T11112" t="s">
        <v>49097</v>
      </c>
      <c r="U11112" t="s">
        <v>58801</v>
      </c>
      <c r="V11112" t="s">
        <v>63858</v>
      </c>
      <c r="W11112" t="s">
        <v>44384</v>
      </c>
      <c r="X11112" t="s">
        <v>47438</v>
      </c>
    </row>
    <row r="11113" spans="1:24">
      <c r="A11113">
        <f>HYPERLINK("https://www.philgeps.gov.ph/GEPSNONPILOT/Tender/SplashBidNoticeAbstractUI.aspx?menuIndex=3&amp;refID=7146272&amp;Result=3","7146272")</f>
        <v>0</v>
      </c>
      <c r="B11113" t="s">
        <v>3340</v>
      </c>
      <c r="C11113" t="s">
        <v>14352</v>
      </c>
      <c r="D11113" t="s">
        <v>19099</v>
      </c>
      <c r="E11113" t="s">
        <v>19203</v>
      </c>
      <c r="F11113" t="s">
        <v>32831</v>
      </c>
      <c r="G11113" t="s">
        <v>32845</v>
      </c>
      <c r="H11113" t="s">
        <v>32849</v>
      </c>
      <c r="I11113" t="s">
        <v>4177</v>
      </c>
      <c r="J11113" t="s">
        <v>35952</v>
      </c>
      <c r="K11113" t="s">
        <v>42757</v>
      </c>
      <c r="M11113" t="s">
        <v>46663</v>
      </c>
      <c r="N11113" t="s">
        <v>47424</v>
      </c>
      <c r="O11113" t="s">
        <v>47425</v>
      </c>
      <c r="P11113">
        <v>0</v>
      </c>
      <c r="Q11113">
        <v>2</v>
      </c>
      <c r="R11113" t="s">
        <v>47437</v>
      </c>
      <c r="S11113" t="s">
        <v>47706</v>
      </c>
      <c r="T11113" t="s">
        <v>49129</v>
      </c>
      <c r="U11113" t="s">
        <v>58802</v>
      </c>
      <c r="W11113" t="s">
        <v>46663</v>
      </c>
      <c r="X11113" t="s">
        <v>47438</v>
      </c>
    </row>
    <row r="11114" spans="1:24">
      <c r="A11114">
        <f>HYPERLINK("https://www.philgeps.gov.ph/GEPSNONPILOT/Tender/SplashBidNoticeAbstractUI.aspx?menuIndex=3&amp;refID=7146478&amp;Result=3","7146478")</f>
        <v>0</v>
      </c>
      <c r="B11114" t="s">
        <v>1467</v>
      </c>
      <c r="C11114" t="s">
        <v>14353</v>
      </c>
      <c r="D11114" t="s">
        <v>19051</v>
      </c>
      <c r="E11114" t="s">
        <v>28647</v>
      </c>
      <c r="F11114" t="s">
        <v>32831</v>
      </c>
      <c r="G11114" t="s">
        <v>32839</v>
      </c>
      <c r="H11114" t="s">
        <v>32848</v>
      </c>
      <c r="I11114" t="s">
        <v>32857</v>
      </c>
      <c r="J11114" t="s">
        <v>32983</v>
      </c>
      <c r="K11114" t="s">
        <v>42726</v>
      </c>
      <c r="M11114" t="s">
        <v>44559</v>
      </c>
      <c r="N11114" t="s">
        <v>47424</v>
      </c>
      <c r="O11114" t="s">
        <v>47425</v>
      </c>
      <c r="P11114">
        <v>0</v>
      </c>
      <c r="Q11114">
        <v>2</v>
      </c>
      <c r="R11114" t="s">
        <v>47437</v>
      </c>
      <c r="S11114" t="s">
        <v>47706</v>
      </c>
      <c r="T11114" t="s">
        <v>49073</v>
      </c>
      <c r="U11114" t="s">
        <v>58803</v>
      </c>
      <c r="W11114" t="s">
        <v>44559</v>
      </c>
      <c r="X11114" t="s">
        <v>47438</v>
      </c>
    </row>
    <row r="11115" spans="1:24">
      <c r="A11115">
        <f>HYPERLINK("https://www.philgeps.gov.ph/GEPSNONPILOT/Tender/SplashBidNoticeAbstractUI.aspx?menuIndex=3&amp;refID=7146251&amp;Result=3","7146251")</f>
        <v>0</v>
      </c>
      <c r="B11115" t="s">
        <v>3341</v>
      </c>
      <c r="C11115" t="s">
        <v>14354</v>
      </c>
      <c r="D11115" t="s">
        <v>19039</v>
      </c>
      <c r="E11115" t="s">
        <v>28648</v>
      </c>
      <c r="F11115" t="s">
        <v>32831</v>
      </c>
      <c r="G11115" t="s">
        <v>32838</v>
      </c>
      <c r="H11115" t="s">
        <v>32848</v>
      </c>
      <c r="I11115" t="s">
        <v>7416</v>
      </c>
      <c r="J11115" t="s">
        <v>39819</v>
      </c>
      <c r="K11115" t="s">
        <v>42731</v>
      </c>
      <c r="M11115" t="s">
        <v>46664</v>
      </c>
      <c r="N11115" t="s">
        <v>47424</v>
      </c>
      <c r="O11115" t="s">
        <v>47425</v>
      </c>
      <c r="P11115">
        <v>0</v>
      </c>
      <c r="Q11115">
        <v>0</v>
      </c>
      <c r="R11115" t="s">
        <v>47437</v>
      </c>
      <c r="S11115" t="s">
        <v>47706</v>
      </c>
      <c r="T11115" t="s">
        <v>49119</v>
      </c>
      <c r="U11115" t="s">
        <v>58804</v>
      </c>
      <c r="W11115" t="s">
        <v>46664</v>
      </c>
      <c r="X11115" t="s">
        <v>47438</v>
      </c>
    </row>
    <row r="11116" spans="1:24">
      <c r="A11116">
        <f>HYPERLINK("https://www.philgeps.gov.ph/GEPSNONPILOT/Tender/SplashBidNoticeAbstractUI.aspx?menuIndex=3&amp;refID=7146480&amp;Result=3","7146480")</f>
        <v>0</v>
      </c>
      <c r="B11116" t="s">
        <v>1316</v>
      </c>
      <c r="C11116" t="s">
        <v>14355</v>
      </c>
      <c r="D11116" t="s">
        <v>19035</v>
      </c>
      <c r="E11116" t="s">
        <v>28649</v>
      </c>
      <c r="F11116" t="s">
        <v>32831</v>
      </c>
      <c r="G11116" t="s">
        <v>32839</v>
      </c>
      <c r="H11116" t="s">
        <v>32849</v>
      </c>
      <c r="I11116" t="s">
        <v>4177</v>
      </c>
      <c r="J11116" t="s">
        <v>39820</v>
      </c>
      <c r="K11116" t="s">
        <v>42730</v>
      </c>
      <c r="M11116" t="s">
        <v>44387</v>
      </c>
      <c r="N11116" t="s">
        <v>47424</v>
      </c>
      <c r="O11116" t="s">
        <v>47425</v>
      </c>
      <c r="P11116">
        <v>0</v>
      </c>
      <c r="Q11116">
        <v>0</v>
      </c>
      <c r="R11116" t="s">
        <v>47437</v>
      </c>
      <c r="S11116" t="s">
        <v>47706</v>
      </c>
      <c r="T11116" t="s">
        <v>49061</v>
      </c>
      <c r="U11116" t="s">
        <v>58805</v>
      </c>
      <c r="W11116" t="s">
        <v>44387</v>
      </c>
      <c r="X11116" t="s">
        <v>47438</v>
      </c>
    </row>
    <row r="11117" spans="1:24">
      <c r="A11117">
        <f>HYPERLINK("https://www.philgeps.gov.ph/GEPSNONPILOT/Tender/SplashBidNoticeAbstractUI.aspx?menuIndex=3&amp;refID=7146255&amp;Result=3","7146255")</f>
        <v>0</v>
      </c>
      <c r="B11117" t="s">
        <v>2841</v>
      </c>
      <c r="C11117" t="s">
        <v>14356</v>
      </c>
      <c r="D11117" t="s">
        <v>19079</v>
      </c>
      <c r="E11117" t="s">
        <v>28650</v>
      </c>
      <c r="F11117" t="s">
        <v>32831</v>
      </c>
      <c r="G11117" t="s">
        <v>32839</v>
      </c>
      <c r="H11117" t="s">
        <v>14069</v>
      </c>
      <c r="I11117" t="s">
        <v>4177</v>
      </c>
      <c r="J11117" t="s">
        <v>33066</v>
      </c>
      <c r="K11117" t="s">
        <v>42732</v>
      </c>
      <c r="M11117" t="s">
        <v>46073</v>
      </c>
      <c r="N11117" t="s">
        <v>47424</v>
      </c>
      <c r="O11117" t="s">
        <v>47425</v>
      </c>
      <c r="P11117">
        <v>0</v>
      </c>
      <c r="Q11117">
        <v>0</v>
      </c>
      <c r="R11117" t="s">
        <v>47437</v>
      </c>
      <c r="S11117" t="s">
        <v>47706</v>
      </c>
      <c r="T11117" t="s">
        <v>49575</v>
      </c>
      <c r="U11117" t="s">
        <v>56745</v>
      </c>
      <c r="V11117" t="s">
        <v>63859</v>
      </c>
      <c r="W11117" t="s">
        <v>46073</v>
      </c>
      <c r="X11117" t="s">
        <v>47438</v>
      </c>
    </row>
    <row r="11118" spans="1:24">
      <c r="A11118">
        <f>HYPERLINK("https://www.philgeps.gov.ph/GEPSNONPILOT/Tender/SplashBidNoticeAbstractUI.aspx?menuIndex=3&amp;refID=7146245&amp;Result=3","7146245")</f>
        <v>0</v>
      </c>
      <c r="B11118" t="s">
        <v>3320</v>
      </c>
      <c r="C11118" t="s">
        <v>14357</v>
      </c>
      <c r="D11118" t="s">
        <v>19080</v>
      </c>
      <c r="E11118" t="s">
        <v>28651</v>
      </c>
      <c r="F11118" t="s">
        <v>32831</v>
      </c>
      <c r="G11118" t="s">
        <v>32839</v>
      </c>
      <c r="H11118" t="s">
        <v>32849</v>
      </c>
      <c r="I11118" t="s">
        <v>4177</v>
      </c>
      <c r="J11118" t="s">
        <v>39821</v>
      </c>
      <c r="K11118" t="s">
        <v>42729</v>
      </c>
      <c r="M11118" t="s">
        <v>46643</v>
      </c>
      <c r="N11118" t="s">
        <v>47424</v>
      </c>
      <c r="O11118" t="s">
        <v>47425</v>
      </c>
      <c r="Q11118">
        <v>0</v>
      </c>
      <c r="R11118" t="s">
        <v>47437</v>
      </c>
      <c r="S11118" t="s">
        <v>47767</v>
      </c>
      <c r="T11118" t="s">
        <v>49106</v>
      </c>
      <c r="U11118" t="s">
        <v>58806</v>
      </c>
      <c r="W11118" t="s">
        <v>46643</v>
      </c>
      <c r="X11118" t="s">
        <v>47438</v>
      </c>
    </row>
    <row r="11119" spans="1:24">
      <c r="A11119">
        <f>HYPERLINK("https://www.philgeps.gov.ph/GEPSNONPILOT/Tender/SplashBidNoticeAbstractUI.aspx?menuIndex=3&amp;refID=7146092&amp;Result=3","7146092")</f>
        <v>0</v>
      </c>
      <c r="B11119" t="s">
        <v>861</v>
      </c>
      <c r="C11119" t="s">
        <v>14358</v>
      </c>
      <c r="D11119" t="s">
        <v>19041</v>
      </c>
      <c r="E11119" t="s">
        <v>28652</v>
      </c>
      <c r="F11119" t="s">
        <v>32831</v>
      </c>
      <c r="G11119" t="s">
        <v>32839</v>
      </c>
      <c r="H11119" t="s">
        <v>32848</v>
      </c>
      <c r="I11119" t="s">
        <v>32914</v>
      </c>
      <c r="J11119" t="s">
        <v>36189</v>
      </c>
      <c r="K11119" t="s">
        <v>42729</v>
      </c>
      <c r="M11119" t="s">
        <v>43895</v>
      </c>
      <c r="N11119" t="s">
        <v>47424</v>
      </c>
      <c r="O11119" t="s">
        <v>47425</v>
      </c>
      <c r="P11119">
        <v>0</v>
      </c>
      <c r="Q11119">
        <v>15</v>
      </c>
      <c r="R11119" t="s">
        <v>47437</v>
      </c>
      <c r="S11119" t="s">
        <v>47706</v>
      </c>
      <c r="T11119" t="s">
        <v>49080</v>
      </c>
      <c r="U11119" t="s">
        <v>58807</v>
      </c>
      <c r="W11119" t="s">
        <v>43895</v>
      </c>
      <c r="X11119" t="s">
        <v>47438</v>
      </c>
    </row>
    <row r="11120" spans="1:24">
      <c r="A11120">
        <f>HYPERLINK("https://www.philgeps.gov.ph/GEPSNONPILOT/Tender/SplashBidNoticeAbstractUI.aspx?menuIndex=3&amp;refID=7146654&amp;Result=3","7146654")</f>
        <v>0</v>
      </c>
      <c r="B11120" t="s">
        <v>1429</v>
      </c>
      <c r="C11120" t="s">
        <v>14359</v>
      </c>
      <c r="D11120" t="s">
        <v>19045</v>
      </c>
      <c r="E11120" t="s">
        <v>28653</v>
      </c>
      <c r="F11120" t="s">
        <v>32831</v>
      </c>
      <c r="G11120" t="s">
        <v>32839</v>
      </c>
      <c r="H11120" t="s">
        <v>32849</v>
      </c>
      <c r="I11120" t="s">
        <v>4177</v>
      </c>
      <c r="J11120" t="s">
        <v>35628</v>
      </c>
      <c r="K11120" t="s">
        <v>42747</v>
      </c>
      <c r="M11120" t="s">
        <v>44518</v>
      </c>
      <c r="N11120" t="s">
        <v>47424</v>
      </c>
      <c r="O11120" t="s">
        <v>47425</v>
      </c>
      <c r="P11120">
        <v>0</v>
      </c>
      <c r="Q11120">
        <v>0</v>
      </c>
      <c r="R11120" t="s">
        <v>47437</v>
      </c>
      <c r="S11120" t="s">
        <v>47706</v>
      </c>
      <c r="T11120" t="s">
        <v>49196</v>
      </c>
      <c r="U11120" t="s">
        <v>58808</v>
      </c>
      <c r="V11120" t="s">
        <v>63860</v>
      </c>
      <c r="W11120" t="s">
        <v>64469</v>
      </c>
      <c r="X11120" t="s">
        <v>47438</v>
      </c>
    </row>
    <row r="11121" spans="1:24">
      <c r="A11121">
        <f>HYPERLINK("https://www.philgeps.gov.ph/GEPSNONPILOT/Tender/SplashBidNoticeAbstractUI.aspx?menuIndex=3&amp;refID=7146075&amp;Result=3","7146075")</f>
        <v>0</v>
      </c>
      <c r="B11121" t="s">
        <v>2358</v>
      </c>
      <c r="C11121" t="s">
        <v>14360</v>
      </c>
      <c r="D11121" t="s">
        <v>19034</v>
      </c>
      <c r="E11121" t="s">
        <v>24075</v>
      </c>
      <c r="F11121" t="s">
        <v>32831</v>
      </c>
      <c r="G11121" t="s">
        <v>32839</v>
      </c>
      <c r="H11121" t="s">
        <v>32848</v>
      </c>
      <c r="I11121" t="s">
        <v>32869</v>
      </c>
      <c r="J11121" t="s">
        <v>32983</v>
      </c>
      <c r="K11121" t="s">
        <v>42727</v>
      </c>
      <c r="M11121" t="s">
        <v>45547</v>
      </c>
      <c r="N11121" t="s">
        <v>47424</v>
      </c>
      <c r="O11121" t="s">
        <v>47425</v>
      </c>
      <c r="P11121">
        <v>0</v>
      </c>
      <c r="Q11121">
        <v>1</v>
      </c>
      <c r="R11121" t="s">
        <v>47437</v>
      </c>
      <c r="S11121" t="s">
        <v>47706</v>
      </c>
      <c r="T11121" t="s">
        <v>49239</v>
      </c>
      <c r="U11121" t="s">
        <v>58756</v>
      </c>
      <c r="W11121" t="s">
        <v>45547</v>
      </c>
      <c r="X11121" t="s">
        <v>47438</v>
      </c>
    </row>
    <row r="11122" spans="1:24">
      <c r="A11122">
        <f>HYPERLINK("https://www.philgeps.gov.ph/GEPSNONPILOT/Tender/SplashBidNoticeAbstractUI.aspx?menuIndex=3&amp;refID=7146076&amp;Result=3","7146076")</f>
        <v>0</v>
      </c>
      <c r="B11122" t="s">
        <v>693</v>
      </c>
      <c r="C11122" t="s">
        <v>14361</v>
      </c>
      <c r="D11122" t="s">
        <v>19073</v>
      </c>
      <c r="E11122" t="s">
        <v>28654</v>
      </c>
      <c r="F11122" t="s">
        <v>32831</v>
      </c>
      <c r="G11122" t="s">
        <v>32839</v>
      </c>
      <c r="H11122" t="s">
        <v>32848</v>
      </c>
      <c r="I11122" t="s">
        <v>32867</v>
      </c>
      <c r="J11122" t="s">
        <v>33401</v>
      </c>
      <c r="K11122" t="s">
        <v>42731</v>
      </c>
      <c r="M11122" t="s">
        <v>44145</v>
      </c>
      <c r="N11122" t="s">
        <v>47424</v>
      </c>
      <c r="O11122" t="s">
        <v>47425</v>
      </c>
      <c r="P11122">
        <v>0</v>
      </c>
      <c r="Q11122">
        <v>6</v>
      </c>
      <c r="R11122" t="s">
        <v>47437</v>
      </c>
      <c r="S11122" t="s">
        <v>47706</v>
      </c>
      <c r="T11122" t="s">
        <v>49192</v>
      </c>
      <c r="U11122" t="s">
        <v>53968</v>
      </c>
      <c r="V11122" t="s">
        <v>63187</v>
      </c>
      <c r="W11122" t="s">
        <v>64457</v>
      </c>
      <c r="X11122" t="s">
        <v>47438</v>
      </c>
    </row>
    <row r="11123" spans="1:24">
      <c r="A11123">
        <f>HYPERLINK("https://www.philgeps.gov.ph/GEPSNONPILOT/Tender/SplashBidNoticeAbstractUI.aspx?menuIndex=3&amp;refID=7157967&amp;Result=3","7157967")</f>
        <v>0</v>
      </c>
      <c r="B11123" t="s">
        <v>1012</v>
      </c>
      <c r="C11123" t="s">
        <v>14362</v>
      </c>
      <c r="D11123" t="s">
        <v>19077</v>
      </c>
      <c r="E11123" t="s">
        <v>28655</v>
      </c>
      <c r="F11123" t="s">
        <v>32831</v>
      </c>
      <c r="G11123" t="s">
        <v>32839</v>
      </c>
      <c r="H11123" t="s">
        <v>32849</v>
      </c>
      <c r="I11123" t="s">
        <v>4177</v>
      </c>
      <c r="J11123" t="s">
        <v>37685</v>
      </c>
      <c r="K11123" t="s">
        <v>42757</v>
      </c>
      <c r="M11123" t="s">
        <v>44061</v>
      </c>
      <c r="N11123" t="s">
        <v>47424</v>
      </c>
      <c r="O11123" t="s">
        <v>47425</v>
      </c>
      <c r="P11123">
        <v>0</v>
      </c>
      <c r="Q11123">
        <v>0</v>
      </c>
      <c r="R11123" t="s">
        <v>47431</v>
      </c>
      <c r="S11123" t="s">
        <v>47565</v>
      </c>
      <c r="T11123" t="s">
        <v>49160</v>
      </c>
      <c r="U11123" t="s">
        <v>58809</v>
      </c>
      <c r="W11123" t="s">
        <v>44061</v>
      </c>
      <c r="X11123" t="s">
        <v>47432</v>
      </c>
    </row>
    <row r="11124" spans="1:24">
      <c r="A11124">
        <f>HYPERLINK("https://www.philgeps.gov.ph/GEPSNONPILOT/Tender/SplashBidNoticeAbstractUI.aspx?menuIndex=3&amp;refID=7157965&amp;Result=3","7157965")</f>
        <v>0</v>
      </c>
      <c r="B11124" t="s">
        <v>345</v>
      </c>
      <c r="C11124" t="s">
        <v>14363</v>
      </c>
      <c r="D11124" t="s">
        <v>19074</v>
      </c>
      <c r="E11124" t="s">
        <v>28656</v>
      </c>
      <c r="F11124" t="s">
        <v>32831</v>
      </c>
      <c r="G11124" t="s">
        <v>32838</v>
      </c>
      <c r="H11124" t="s">
        <v>32850</v>
      </c>
      <c r="I11124" t="s">
        <v>4776</v>
      </c>
      <c r="J11124" t="s">
        <v>39822</v>
      </c>
      <c r="K11124" t="s">
        <v>42731</v>
      </c>
      <c r="M11124" t="s">
        <v>44082</v>
      </c>
      <c r="N11124" t="s">
        <v>47424</v>
      </c>
      <c r="O11124" t="s">
        <v>47425</v>
      </c>
      <c r="P11124">
        <v>0</v>
      </c>
      <c r="Q11124">
        <v>0</v>
      </c>
      <c r="R11124" t="s">
        <v>47431</v>
      </c>
      <c r="S11124" t="s">
        <v>47565</v>
      </c>
      <c r="T11124" t="s">
        <v>49100</v>
      </c>
      <c r="U11124" t="s">
        <v>58810</v>
      </c>
      <c r="W11124" t="s">
        <v>44082</v>
      </c>
      <c r="X11124" t="s">
        <v>47432</v>
      </c>
    </row>
    <row r="11125" spans="1:24">
      <c r="A11125">
        <f>HYPERLINK("https://www.philgeps.gov.ph/GEPSNONPILOT/Tender/SplashBidNoticeAbstractUI.aspx?menuIndex=3&amp;refID=7146934&amp;Result=3","7146934")</f>
        <v>0</v>
      </c>
      <c r="B11125" t="s">
        <v>1364</v>
      </c>
      <c r="C11125" t="s">
        <v>14364</v>
      </c>
      <c r="D11125" t="s">
        <v>19077</v>
      </c>
      <c r="E11125" t="s">
        <v>28657</v>
      </c>
      <c r="F11125" t="s">
        <v>32831</v>
      </c>
      <c r="G11125" t="s">
        <v>32839</v>
      </c>
      <c r="H11125" t="s">
        <v>32848</v>
      </c>
      <c r="I11125" t="s">
        <v>32887</v>
      </c>
      <c r="J11125" t="s">
        <v>39823</v>
      </c>
      <c r="K11125" t="s">
        <v>42730</v>
      </c>
      <c r="M11125" t="s">
        <v>44443</v>
      </c>
      <c r="N11125" t="s">
        <v>47424</v>
      </c>
      <c r="O11125" t="s">
        <v>47425</v>
      </c>
      <c r="P11125">
        <v>0</v>
      </c>
      <c r="Q11125">
        <v>1</v>
      </c>
      <c r="R11125" t="s">
        <v>47437</v>
      </c>
      <c r="S11125" t="s">
        <v>47706</v>
      </c>
      <c r="T11125" t="s">
        <v>49172</v>
      </c>
      <c r="U11125" t="s">
        <v>58790</v>
      </c>
      <c r="V11125" t="s">
        <v>63855</v>
      </c>
      <c r="W11125" t="s">
        <v>44443</v>
      </c>
      <c r="X11125" t="s">
        <v>47438</v>
      </c>
    </row>
    <row r="11126" spans="1:24">
      <c r="A11126">
        <f>HYPERLINK("https://www.philgeps.gov.ph/GEPSNONPILOT/Tender/SplashBidNoticeAbstractUI.aspx?menuIndex=3&amp;refID=7146928&amp;Result=3","7146928")</f>
        <v>0</v>
      </c>
      <c r="B11126" t="s">
        <v>2350</v>
      </c>
      <c r="C11126" t="s">
        <v>14365</v>
      </c>
      <c r="D11126" t="s">
        <v>19018</v>
      </c>
      <c r="E11126" t="s">
        <v>28658</v>
      </c>
      <c r="F11126" t="s">
        <v>32831</v>
      </c>
      <c r="G11126" t="s">
        <v>32838</v>
      </c>
      <c r="H11126" t="s">
        <v>32848</v>
      </c>
      <c r="I11126" t="s">
        <v>32865</v>
      </c>
      <c r="J11126" t="s">
        <v>34188</v>
      </c>
      <c r="K11126" t="s">
        <v>42730</v>
      </c>
      <c r="M11126" t="s">
        <v>45539</v>
      </c>
      <c r="N11126" t="s">
        <v>47424</v>
      </c>
      <c r="O11126" t="s">
        <v>47425</v>
      </c>
      <c r="Q11126">
        <v>2</v>
      </c>
      <c r="R11126" t="s">
        <v>47437</v>
      </c>
      <c r="S11126" t="s">
        <v>47768</v>
      </c>
      <c r="T11126" t="s">
        <v>49100</v>
      </c>
      <c r="U11126" t="s">
        <v>50084</v>
      </c>
      <c r="W11126" t="s">
        <v>45539</v>
      </c>
      <c r="X11126" t="s">
        <v>47438</v>
      </c>
    </row>
    <row r="11127" spans="1:24">
      <c r="A11127">
        <f>HYPERLINK("https://www.philgeps.gov.ph/GEPSNONPILOT/Tender/SplashBidNoticeAbstractUI.aspx?menuIndex=3&amp;refID=7146919&amp;Result=3","7146919")</f>
        <v>0</v>
      </c>
      <c r="B11127" t="s">
        <v>3314</v>
      </c>
      <c r="C11127" t="s">
        <v>14366</v>
      </c>
      <c r="D11127" t="s">
        <v>19017</v>
      </c>
      <c r="E11127" t="s">
        <v>28659</v>
      </c>
      <c r="F11127" t="s">
        <v>32831</v>
      </c>
      <c r="G11127" t="s">
        <v>32841</v>
      </c>
      <c r="H11127" t="s">
        <v>32848</v>
      </c>
      <c r="I11127" t="s">
        <v>32880</v>
      </c>
      <c r="J11127" t="s">
        <v>38777</v>
      </c>
      <c r="K11127" t="s">
        <v>42732</v>
      </c>
      <c r="L11127" t="s">
        <v>3314</v>
      </c>
      <c r="M11127" t="s">
        <v>46637</v>
      </c>
      <c r="N11127" t="s">
        <v>47424</v>
      </c>
      <c r="O11127" t="s">
        <v>47425</v>
      </c>
      <c r="Q11127">
        <v>3</v>
      </c>
      <c r="R11127" t="s">
        <v>47437</v>
      </c>
      <c r="S11127" t="s">
        <v>47769</v>
      </c>
      <c r="T11127" t="s">
        <v>49142</v>
      </c>
      <c r="U11127" t="s">
        <v>58714</v>
      </c>
      <c r="W11127" t="s">
        <v>46637</v>
      </c>
      <c r="X11127" t="s">
        <v>47438</v>
      </c>
    </row>
    <row r="11128" spans="1:24">
      <c r="A11128">
        <f>HYPERLINK("https://www.philgeps.gov.ph/GEPSNONPILOT/Tender/SplashBidNoticeAbstractUI.aspx?menuIndex=3&amp;refID=7146917&amp;Result=3","7146917")</f>
        <v>0</v>
      </c>
      <c r="B11128" t="s">
        <v>448</v>
      </c>
      <c r="C11128" t="s">
        <v>14367</v>
      </c>
      <c r="D11128" t="s">
        <v>19027</v>
      </c>
      <c r="E11128" t="s">
        <v>28660</v>
      </c>
      <c r="F11128" t="s">
        <v>32831</v>
      </c>
      <c r="G11128" t="s">
        <v>32839</v>
      </c>
      <c r="H11128" t="s">
        <v>32849</v>
      </c>
      <c r="I11128" t="s">
        <v>4177</v>
      </c>
      <c r="J11128" t="s">
        <v>39824</v>
      </c>
      <c r="K11128" t="s">
        <v>42770</v>
      </c>
      <c r="M11128" t="s">
        <v>43453</v>
      </c>
      <c r="N11128" t="s">
        <v>47424</v>
      </c>
      <c r="O11128" t="s">
        <v>47425</v>
      </c>
      <c r="P11128">
        <v>0</v>
      </c>
      <c r="Q11128">
        <v>0</v>
      </c>
      <c r="R11128" t="s">
        <v>47437</v>
      </c>
      <c r="S11128" t="s">
        <v>47706</v>
      </c>
      <c r="T11128" t="s">
        <v>49237</v>
      </c>
      <c r="U11128" t="s">
        <v>58811</v>
      </c>
      <c r="W11128" t="s">
        <v>43453</v>
      </c>
      <c r="X11128" t="s">
        <v>47438</v>
      </c>
    </row>
    <row r="11129" spans="1:24">
      <c r="A11129">
        <f>HYPERLINK("https://www.philgeps.gov.ph/GEPSNONPILOT/Tender/SplashBidNoticeAbstractUI.aspx?menuIndex=3&amp;refID=7146090&amp;Result=3","7146090")</f>
        <v>0</v>
      </c>
      <c r="B11129" t="s">
        <v>2955</v>
      </c>
      <c r="C11129" t="s">
        <v>14368</v>
      </c>
      <c r="D11129" t="s">
        <v>19017</v>
      </c>
      <c r="E11129" t="s">
        <v>28661</v>
      </c>
      <c r="F11129" t="s">
        <v>32836</v>
      </c>
      <c r="G11129" t="s">
        <v>32844</v>
      </c>
      <c r="H11129" t="s">
        <v>14069</v>
      </c>
      <c r="I11129" t="s">
        <v>14069</v>
      </c>
      <c r="J11129" t="s">
        <v>33703</v>
      </c>
      <c r="K11129" t="s">
        <v>42732</v>
      </c>
      <c r="M11129" t="s">
        <v>46215</v>
      </c>
      <c r="N11129" t="s">
        <v>47424</v>
      </c>
      <c r="O11129" t="s">
        <v>47425</v>
      </c>
      <c r="P11129">
        <v>0</v>
      </c>
      <c r="Q11129">
        <v>7</v>
      </c>
      <c r="R11129" t="s">
        <v>47437</v>
      </c>
      <c r="S11129" t="s">
        <v>47706</v>
      </c>
      <c r="T11129" t="s">
        <v>49100</v>
      </c>
      <c r="U11129" t="s">
        <v>57247</v>
      </c>
      <c r="W11129" t="s">
        <v>46215</v>
      </c>
      <c r="X11129" t="s">
        <v>47438</v>
      </c>
    </row>
    <row r="11130" spans="1:24">
      <c r="A11130">
        <f>HYPERLINK("https://www.philgeps.gov.ph/GEPSNONPILOT/Tender/SplashBidNoticeAbstractUI.aspx?menuIndex=3&amp;refID=7146903&amp;Result=3","7146903")</f>
        <v>0</v>
      </c>
      <c r="B11130" t="s">
        <v>3334</v>
      </c>
      <c r="C11130" t="s">
        <v>14369</v>
      </c>
      <c r="E11130" t="s">
        <v>28662</v>
      </c>
      <c r="F11130" t="s">
        <v>32831</v>
      </c>
      <c r="G11130" t="s">
        <v>32839</v>
      </c>
      <c r="H11130" t="s">
        <v>32848</v>
      </c>
      <c r="I11130" t="s">
        <v>7751</v>
      </c>
      <c r="J11130" t="s">
        <v>36189</v>
      </c>
      <c r="K11130" t="s">
        <v>42732</v>
      </c>
      <c r="M11130" t="s">
        <v>46657</v>
      </c>
      <c r="N11130" t="s">
        <v>47424</v>
      </c>
      <c r="O11130" t="s">
        <v>47425</v>
      </c>
      <c r="P11130">
        <v>0</v>
      </c>
      <c r="Q11130">
        <v>3</v>
      </c>
      <c r="R11130" t="s">
        <v>47437</v>
      </c>
      <c r="S11130" t="s">
        <v>47706</v>
      </c>
      <c r="T11130" t="s">
        <v>49221</v>
      </c>
      <c r="U11130" t="s">
        <v>58812</v>
      </c>
      <c r="W11130" t="s">
        <v>46657</v>
      </c>
      <c r="X11130" t="s">
        <v>47438</v>
      </c>
    </row>
    <row r="11131" spans="1:24">
      <c r="A11131">
        <f>HYPERLINK("https://www.philgeps.gov.ph/GEPSNONPILOT/Tender/SplashBidNoticeAbstractUI.aspx?menuIndex=3&amp;refID=7146231&amp;Result=3","7146231")</f>
        <v>0</v>
      </c>
      <c r="B11131" t="s">
        <v>3320</v>
      </c>
      <c r="C11131" t="s">
        <v>14370</v>
      </c>
      <c r="D11131" t="s">
        <v>19080</v>
      </c>
      <c r="E11131" t="s">
        <v>28663</v>
      </c>
      <c r="F11131" t="s">
        <v>32831</v>
      </c>
      <c r="G11131" t="s">
        <v>32839</v>
      </c>
      <c r="H11131" t="s">
        <v>32849</v>
      </c>
      <c r="I11131" t="s">
        <v>4177</v>
      </c>
      <c r="J11131" t="s">
        <v>39825</v>
      </c>
      <c r="K11131" t="s">
        <v>42729</v>
      </c>
      <c r="M11131" t="s">
        <v>46643</v>
      </c>
      <c r="N11131" t="s">
        <v>47424</v>
      </c>
      <c r="O11131" t="s">
        <v>47425</v>
      </c>
      <c r="Q11131">
        <v>1</v>
      </c>
      <c r="R11131" t="s">
        <v>47437</v>
      </c>
      <c r="S11131" t="s">
        <v>47770</v>
      </c>
      <c r="T11131" t="s">
        <v>49106</v>
      </c>
      <c r="U11131" t="s">
        <v>58813</v>
      </c>
      <c r="W11131" t="s">
        <v>46643</v>
      </c>
      <c r="X11131" t="s">
        <v>47438</v>
      </c>
    </row>
    <row r="11132" spans="1:24">
      <c r="A11132">
        <f>HYPERLINK("https://www.philgeps.gov.ph/GEPSNONPILOT/Tender/SplashBidNoticeAbstractUI.aspx?menuIndex=3&amp;refID=7146888&amp;Result=3","7146888")</f>
        <v>0</v>
      </c>
      <c r="B11132" t="s">
        <v>3314</v>
      </c>
      <c r="C11132" t="s">
        <v>14371</v>
      </c>
      <c r="D11132" t="s">
        <v>19017</v>
      </c>
      <c r="E11132" t="s">
        <v>28664</v>
      </c>
      <c r="F11132" t="s">
        <v>32831</v>
      </c>
      <c r="G11132" t="s">
        <v>32841</v>
      </c>
      <c r="H11132" t="s">
        <v>32848</v>
      </c>
      <c r="I11132" t="s">
        <v>7416</v>
      </c>
      <c r="J11132" t="s">
        <v>39826</v>
      </c>
      <c r="K11132" t="s">
        <v>42732</v>
      </c>
      <c r="L11132" t="s">
        <v>3314</v>
      </c>
      <c r="M11132" t="s">
        <v>46637</v>
      </c>
      <c r="N11132" t="s">
        <v>47424</v>
      </c>
      <c r="O11132" t="s">
        <v>47425</v>
      </c>
      <c r="Q11132">
        <v>3</v>
      </c>
      <c r="R11132" t="s">
        <v>47437</v>
      </c>
      <c r="S11132" t="s">
        <v>47653</v>
      </c>
      <c r="T11132" t="s">
        <v>49142</v>
      </c>
      <c r="U11132" t="s">
        <v>58714</v>
      </c>
      <c r="W11132" t="s">
        <v>46637</v>
      </c>
      <c r="X11132" t="s">
        <v>47438</v>
      </c>
    </row>
    <row r="11133" spans="1:24">
      <c r="A11133">
        <f>HYPERLINK("https://www.philgeps.gov.ph/GEPSNONPILOT/Tender/SplashBidNoticeAbstractUI.aspx?menuIndex=3&amp;refID=7146886&amp;Result=3","7146886")</f>
        <v>0</v>
      </c>
      <c r="B11133" t="s">
        <v>2350</v>
      </c>
      <c r="C11133" t="s">
        <v>14372</v>
      </c>
      <c r="D11133" t="s">
        <v>19018</v>
      </c>
      <c r="E11133" t="s">
        <v>28665</v>
      </c>
      <c r="F11133" t="s">
        <v>32831</v>
      </c>
      <c r="G11133" t="s">
        <v>32838</v>
      </c>
      <c r="H11133" t="s">
        <v>32848</v>
      </c>
      <c r="I11133" t="s">
        <v>32865</v>
      </c>
      <c r="J11133" t="s">
        <v>35128</v>
      </c>
      <c r="K11133" t="s">
        <v>42730</v>
      </c>
      <c r="M11133" t="s">
        <v>45539</v>
      </c>
      <c r="N11133" t="s">
        <v>47424</v>
      </c>
      <c r="O11133" t="s">
        <v>47425</v>
      </c>
      <c r="Q11133">
        <v>2</v>
      </c>
      <c r="R11133" t="s">
        <v>47437</v>
      </c>
      <c r="S11133" t="s">
        <v>47768</v>
      </c>
      <c r="T11133" t="s">
        <v>49100</v>
      </c>
      <c r="U11133" t="s">
        <v>50084</v>
      </c>
      <c r="W11133" t="s">
        <v>45539</v>
      </c>
      <c r="X11133" t="s">
        <v>47438</v>
      </c>
    </row>
    <row r="11134" spans="1:24">
      <c r="A11134">
        <f>HYPERLINK("https://www.philgeps.gov.ph/GEPSNONPILOT/Tender/SplashBidNoticeAbstractUI.aspx?menuIndex=3&amp;refID=7146914&amp;Result=3","7146914")</f>
        <v>0</v>
      </c>
      <c r="B11134" t="s">
        <v>3338</v>
      </c>
      <c r="C11134" t="s">
        <v>14373</v>
      </c>
      <c r="D11134" t="s">
        <v>19062</v>
      </c>
      <c r="E11134" t="s">
        <v>28666</v>
      </c>
      <c r="F11134" t="s">
        <v>32831</v>
      </c>
      <c r="G11134" t="s">
        <v>32839</v>
      </c>
      <c r="H11134" t="s">
        <v>14069</v>
      </c>
      <c r="I11134" t="s">
        <v>14069</v>
      </c>
      <c r="J11134" t="s">
        <v>35952</v>
      </c>
      <c r="K11134" t="s">
        <v>42780</v>
      </c>
      <c r="M11134" t="s">
        <v>46661</v>
      </c>
      <c r="N11134" t="s">
        <v>47424</v>
      </c>
      <c r="O11134" t="s">
        <v>47425</v>
      </c>
      <c r="P11134">
        <v>0</v>
      </c>
      <c r="Q11134">
        <v>4</v>
      </c>
      <c r="R11134" t="s">
        <v>47437</v>
      </c>
      <c r="S11134" t="s">
        <v>47706</v>
      </c>
      <c r="T11134" t="s">
        <v>49576</v>
      </c>
      <c r="U11134" t="s">
        <v>58814</v>
      </c>
      <c r="W11134" t="s">
        <v>46661</v>
      </c>
      <c r="X11134" t="s">
        <v>47438</v>
      </c>
    </row>
    <row r="11135" spans="1:24">
      <c r="A11135">
        <f>HYPERLINK("https://www.philgeps.gov.ph/GEPSNONPILOT/Tender/SplashBidNoticeAbstractUI.aspx?menuIndex=3&amp;refID=7146881&amp;Result=3","7146881")</f>
        <v>0</v>
      </c>
      <c r="B11135" t="s">
        <v>1364</v>
      </c>
      <c r="C11135" t="s">
        <v>14374</v>
      </c>
      <c r="D11135" t="s">
        <v>19077</v>
      </c>
      <c r="E11135" t="s">
        <v>28667</v>
      </c>
      <c r="F11135" t="s">
        <v>32831</v>
      </c>
      <c r="G11135" t="s">
        <v>32839</v>
      </c>
      <c r="H11135" t="s">
        <v>32848</v>
      </c>
      <c r="I11135" t="s">
        <v>4558</v>
      </c>
      <c r="J11135" t="s">
        <v>39827</v>
      </c>
      <c r="K11135" t="s">
        <v>42730</v>
      </c>
      <c r="M11135" t="s">
        <v>44443</v>
      </c>
      <c r="N11135" t="s">
        <v>47424</v>
      </c>
      <c r="O11135" t="s">
        <v>47425</v>
      </c>
      <c r="P11135">
        <v>0</v>
      </c>
      <c r="Q11135">
        <v>4</v>
      </c>
      <c r="R11135" t="s">
        <v>47437</v>
      </c>
      <c r="S11135" t="s">
        <v>47706</v>
      </c>
      <c r="T11135" t="s">
        <v>49172</v>
      </c>
      <c r="U11135" t="s">
        <v>58790</v>
      </c>
      <c r="V11135" t="s">
        <v>63855</v>
      </c>
      <c r="W11135" t="s">
        <v>44443</v>
      </c>
      <c r="X11135" t="s">
        <v>47438</v>
      </c>
    </row>
    <row r="11136" spans="1:24">
      <c r="A11136">
        <f>HYPERLINK("https://www.philgeps.gov.ph/GEPSNONPILOT/Tender/SplashBidNoticeAbstractUI.aspx?menuIndex=3&amp;refID=7146864&amp;Result=3","7146864")</f>
        <v>0</v>
      </c>
      <c r="B11136" t="s">
        <v>3342</v>
      </c>
      <c r="C11136" t="s">
        <v>14375</v>
      </c>
      <c r="D11136" t="s">
        <v>19029</v>
      </c>
      <c r="E11136" t="s">
        <v>28668</v>
      </c>
      <c r="F11136" t="s">
        <v>32831</v>
      </c>
      <c r="G11136" t="s">
        <v>32839</v>
      </c>
      <c r="H11136" t="s">
        <v>32848</v>
      </c>
      <c r="I11136" t="s">
        <v>32883</v>
      </c>
      <c r="J11136" t="s">
        <v>39828</v>
      </c>
      <c r="K11136" t="s">
        <v>42730</v>
      </c>
      <c r="M11136" t="s">
        <v>46665</v>
      </c>
      <c r="N11136" t="s">
        <v>47424</v>
      </c>
      <c r="O11136" t="s">
        <v>47425</v>
      </c>
      <c r="P11136">
        <v>0</v>
      </c>
      <c r="Q11136">
        <v>2</v>
      </c>
      <c r="R11136" t="s">
        <v>47437</v>
      </c>
      <c r="S11136" t="s">
        <v>47706</v>
      </c>
      <c r="T11136" t="s">
        <v>49163</v>
      </c>
      <c r="U11136" t="s">
        <v>58815</v>
      </c>
      <c r="W11136" t="s">
        <v>46665</v>
      </c>
      <c r="X11136" t="s">
        <v>47438</v>
      </c>
    </row>
    <row r="11137" spans="1:24">
      <c r="A11137">
        <f>HYPERLINK("https://www.philgeps.gov.ph/GEPSNONPILOT/Tender/SplashBidNoticeAbstractUI.aspx?menuIndex=3&amp;refID=7146900&amp;Result=3","7146900")</f>
        <v>0</v>
      </c>
      <c r="B11137" t="s">
        <v>2355</v>
      </c>
      <c r="C11137" t="s">
        <v>14376</v>
      </c>
      <c r="D11137" t="s">
        <v>19025</v>
      </c>
      <c r="E11137" t="s">
        <v>28669</v>
      </c>
      <c r="F11137" t="s">
        <v>32831</v>
      </c>
      <c r="G11137" t="s">
        <v>32839</v>
      </c>
      <c r="H11137" t="s">
        <v>32849</v>
      </c>
      <c r="I11137" t="s">
        <v>4177</v>
      </c>
      <c r="J11137" t="s">
        <v>39829</v>
      </c>
      <c r="K11137" t="s">
        <v>42729</v>
      </c>
      <c r="M11137" t="s">
        <v>45544</v>
      </c>
      <c r="N11137" t="s">
        <v>47424</v>
      </c>
      <c r="O11137" t="s">
        <v>47425</v>
      </c>
      <c r="P11137">
        <v>0</v>
      </c>
      <c r="Q11137">
        <v>0</v>
      </c>
      <c r="R11137" t="s">
        <v>47437</v>
      </c>
      <c r="S11137" t="s">
        <v>47706</v>
      </c>
      <c r="T11137" t="s">
        <v>49063</v>
      </c>
      <c r="U11137" t="s">
        <v>58816</v>
      </c>
      <c r="W11137" t="s">
        <v>45544</v>
      </c>
      <c r="X11137" t="s">
        <v>47438</v>
      </c>
    </row>
    <row r="11138" spans="1:24">
      <c r="A11138">
        <f>HYPERLINK("https://www.philgeps.gov.ph/GEPSNONPILOT/Tender/SplashBidNoticeAbstractUI.aspx?menuIndex=3&amp;refID=7146856&amp;Result=3","7146856")</f>
        <v>0</v>
      </c>
      <c r="B11138" t="s">
        <v>661</v>
      </c>
      <c r="C11138" t="s">
        <v>14377</v>
      </c>
      <c r="D11138" t="s">
        <v>19058</v>
      </c>
      <c r="E11138" t="s">
        <v>28670</v>
      </c>
      <c r="F11138" t="s">
        <v>32831</v>
      </c>
      <c r="G11138" t="s">
        <v>32839</v>
      </c>
      <c r="H11138" t="s">
        <v>32848</v>
      </c>
      <c r="I11138" t="s">
        <v>7416</v>
      </c>
      <c r="J11138" t="s">
        <v>39830</v>
      </c>
      <c r="K11138" t="s">
        <v>42731</v>
      </c>
      <c r="M11138" t="s">
        <v>43679</v>
      </c>
      <c r="N11138" t="s">
        <v>47424</v>
      </c>
      <c r="O11138" t="s">
        <v>47425</v>
      </c>
      <c r="P11138">
        <v>0</v>
      </c>
      <c r="Q11138">
        <v>0</v>
      </c>
      <c r="R11138" t="s">
        <v>47437</v>
      </c>
      <c r="S11138" t="s">
        <v>47706</v>
      </c>
      <c r="T11138" t="s">
        <v>49237</v>
      </c>
      <c r="U11138" t="s">
        <v>58817</v>
      </c>
      <c r="W11138" t="s">
        <v>43679</v>
      </c>
      <c r="X11138" t="s">
        <v>47438</v>
      </c>
    </row>
    <row r="11139" spans="1:24">
      <c r="A11139">
        <f>HYPERLINK("https://www.philgeps.gov.ph/GEPSNONPILOT/Tender/SplashBidNoticeAbstractUI.aspx?menuIndex=3&amp;refID=7146859&amp;Result=3","7146859")</f>
        <v>0</v>
      </c>
      <c r="B11139" t="s">
        <v>3338</v>
      </c>
      <c r="C11139" t="s">
        <v>14378</v>
      </c>
      <c r="D11139" t="s">
        <v>19062</v>
      </c>
      <c r="E11139" t="s">
        <v>28671</v>
      </c>
      <c r="F11139" t="s">
        <v>32831</v>
      </c>
      <c r="G11139" t="s">
        <v>32839</v>
      </c>
      <c r="H11139" t="s">
        <v>32849</v>
      </c>
      <c r="I11139" t="s">
        <v>4177</v>
      </c>
      <c r="J11139" t="s">
        <v>39831</v>
      </c>
      <c r="K11139" t="s">
        <v>42783</v>
      </c>
      <c r="M11139" t="s">
        <v>46661</v>
      </c>
      <c r="N11139" t="s">
        <v>47424</v>
      </c>
      <c r="O11139" t="s">
        <v>47425</v>
      </c>
      <c r="P11139">
        <v>0</v>
      </c>
      <c r="Q11139">
        <v>2</v>
      </c>
      <c r="R11139" t="s">
        <v>47437</v>
      </c>
      <c r="S11139" t="s">
        <v>47706</v>
      </c>
      <c r="T11139" t="s">
        <v>49142</v>
      </c>
      <c r="U11139" t="s">
        <v>58818</v>
      </c>
      <c r="W11139" t="s">
        <v>46661</v>
      </c>
      <c r="X11139" t="s">
        <v>47438</v>
      </c>
    </row>
    <row r="11140" spans="1:24">
      <c r="A11140">
        <f>HYPERLINK("https://www.philgeps.gov.ph/GEPSNONPILOT/Tender/SplashBidNoticeAbstractUI.aspx?menuIndex=3&amp;refID=7146855&amp;Result=3","7146855")</f>
        <v>0</v>
      </c>
      <c r="B11140" t="s">
        <v>1997</v>
      </c>
      <c r="C11140" t="s">
        <v>14379</v>
      </c>
      <c r="D11140" t="s">
        <v>19061</v>
      </c>
      <c r="E11140" t="s">
        <v>28672</v>
      </c>
      <c r="F11140" t="s">
        <v>32831</v>
      </c>
      <c r="G11140" t="s">
        <v>32839</v>
      </c>
      <c r="H11140" t="s">
        <v>32849</v>
      </c>
      <c r="I11140" t="s">
        <v>4177</v>
      </c>
      <c r="J11140" t="s">
        <v>33087</v>
      </c>
      <c r="K11140" t="s">
        <v>42729</v>
      </c>
      <c r="M11140" t="s">
        <v>45164</v>
      </c>
      <c r="N11140" t="s">
        <v>47424</v>
      </c>
      <c r="O11140" t="s">
        <v>47425</v>
      </c>
      <c r="P11140">
        <v>0</v>
      </c>
      <c r="Q11140">
        <v>0</v>
      </c>
      <c r="R11140" t="s">
        <v>47437</v>
      </c>
      <c r="S11140" t="s">
        <v>47706</v>
      </c>
      <c r="T11140" t="s">
        <v>49101</v>
      </c>
      <c r="U11140" t="s">
        <v>58780</v>
      </c>
      <c r="W11140" t="s">
        <v>45164</v>
      </c>
      <c r="X11140" t="s">
        <v>47438</v>
      </c>
    </row>
    <row r="11141" spans="1:24">
      <c r="A11141">
        <f>HYPERLINK("https://www.philgeps.gov.ph/GEPSNONPILOT/Tender/SplashBidNoticeAbstractUI.aspx?menuIndex=3&amp;refID=7146853&amp;Result=3","7146853")</f>
        <v>0</v>
      </c>
      <c r="B11141" t="s">
        <v>3314</v>
      </c>
      <c r="C11141" t="s">
        <v>14380</v>
      </c>
      <c r="D11141" t="s">
        <v>19017</v>
      </c>
      <c r="E11141" t="s">
        <v>28673</v>
      </c>
      <c r="F11141" t="s">
        <v>32831</v>
      </c>
      <c r="G11141" t="s">
        <v>32841</v>
      </c>
      <c r="H11141" t="s">
        <v>32848</v>
      </c>
      <c r="I11141" t="s">
        <v>7416</v>
      </c>
      <c r="J11141" t="s">
        <v>39832</v>
      </c>
      <c r="K11141" t="s">
        <v>42732</v>
      </c>
      <c r="L11141" t="s">
        <v>3314</v>
      </c>
      <c r="M11141" t="s">
        <v>46637</v>
      </c>
      <c r="N11141" t="s">
        <v>47424</v>
      </c>
      <c r="O11141" t="s">
        <v>47425</v>
      </c>
      <c r="Q11141">
        <v>3</v>
      </c>
      <c r="R11141" t="s">
        <v>47437</v>
      </c>
      <c r="S11141" t="s">
        <v>47771</v>
      </c>
      <c r="T11141" t="s">
        <v>49142</v>
      </c>
      <c r="U11141" t="s">
        <v>58714</v>
      </c>
      <c r="W11141" t="s">
        <v>46637</v>
      </c>
      <c r="X11141" t="s">
        <v>47438</v>
      </c>
    </row>
    <row r="11142" spans="1:24">
      <c r="A11142">
        <f>HYPERLINK("https://www.philgeps.gov.ph/GEPSNONPILOT/Tender/SplashBidNoticeAbstractUI.aspx?menuIndex=3&amp;refID=7146829&amp;Result=3","7146829")</f>
        <v>0</v>
      </c>
      <c r="B11142" t="s">
        <v>3338</v>
      </c>
      <c r="C11142" t="s">
        <v>14381</v>
      </c>
      <c r="D11142" t="s">
        <v>19062</v>
      </c>
      <c r="E11142" t="s">
        <v>28674</v>
      </c>
      <c r="F11142" t="s">
        <v>32831</v>
      </c>
      <c r="G11142" t="s">
        <v>32839</v>
      </c>
      <c r="H11142" t="s">
        <v>32849</v>
      </c>
      <c r="I11142" t="s">
        <v>4177</v>
      </c>
      <c r="J11142" t="s">
        <v>39833</v>
      </c>
      <c r="K11142" t="s">
        <v>42763</v>
      </c>
      <c r="M11142" t="s">
        <v>46661</v>
      </c>
      <c r="N11142" t="s">
        <v>47424</v>
      </c>
      <c r="O11142" t="s">
        <v>47425</v>
      </c>
      <c r="P11142">
        <v>0</v>
      </c>
      <c r="Q11142">
        <v>2</v>
      </c>
      <c r="R11142" t="s">
        <v>47437</v>
      </c>
      <c r="S11142" t="s">
        <v>47706</v>
      </c>
      <c r="T11142" t="s">
        <v>49142</v>
      </c>
      <c r="U11142" t="s">
        <v>58819</v>
      </c>
      <c r="W11142" t="s">
        <v>46661</v>
      </c>
      <c r="X11142" t="s">
        <v>47438</v>
      </c>
    </row>
    <row r="11143" spans="1:24">
      <c r="A11143">
        <f>HYPERLINK("https://www.philgeps.gov.ph/GEPSNONPILOT/Tender/SplashBidNoticeAbstractUI.aspx?menuIndex=3&amp;refID=7146827&amp;Result=3","7146827")</f>
        <v>0</v>
      </c>
      <c r="B11143" t="s">
        <v>69</v>
      </c>
      <c r="C11143" t="s">
        <v>14382</v>
      </c>
      <c r="D11143" t="s">
        <v>19021</v>
      </c>
      <c r="E11143" t="s">
        <v>28675</v>
      </c>
      <c r="F11143" t="s">
        <v>32831</v>
      </c>
      <c r="G11143" t="s">
        <v>32839</v>
      </c>
      <c r="H11143" t="s">
        <v>32848</v>
      </c>
      <c r="I11143" t="s">
        <v>7416</v>
      </c>
      <c r="J11143" t="s">
        <v>39834</v>
      </c>
      <c r="K11143" t="s">
        <v>42730</v>
      </c>
      <c r="L11143" t="s">
        <v>69</v>
      </c>
      <c r="M11143" t="s">
        <v>43066</v>
      </c>
      <c r="N11143" t="s">
        <v>47424</v>
      </c>
      <c r="O11143" t="s">
        <v>47425</v>
      </c>
      <c r="P11143">
        <v>0</v>
      </c>
      <c r="Q11143">
        <v>2</v>
      </c>
      <c r="R11143" t="s">
        <v>47437</v>
      </c>
      <c r="S11143" t="s">
        <v>47706</v>
      </c>
      <c r="T11143" t="s">
        <v>49112</v>
      </c>
      <c r="U11143" t="s">
        <v>49755</v>
      </c>
      <c r="W11143" t="s">
        <v>43066</v>
      </c>
      <c r="X11143" t="s">
        <v>47438</v>
      </c>
    </row>
    <row r="11144" spans="1:24">
      <c r="A11144">
        <f>HYPERLINK("https://www.philgeps.gov.ph/GEPSNONPILOT/Tender/SplashBidNoticeAbstractUI.aspx?menuIndex=3&amp;refID=7157963&amp;Result=3","7157963")</f>
        <v>0</v>
      </c>
      <c r="B11144" t="s">
        <v>2559</v>
      </c>
      <c r="C11144" t="s">
        <v>14383</v>
      </c>
      <c r="D11144" t="s">
        <v>19018</v>
      </c>
      <c r="E11144" t="s">
        <v>19645</v>
      </c>
      <c r="F11144" t="s">
        <v>32831</v>
      </c>
      <c r="G11144" t="s">
        <v>32840</v>
      </c>
      <c r="H11144" t="s">
        <v>32848</v>
      </c>
      <c r="I11144" t="s">
        <v>32858</v>
      </c>
      <c r="J11144" t="s">
        <v>33562</v>
      </c>
      <c r="K11144" t="s">
        <v>42759</v>
      </c>
      <c r="M11144" t="s">
        <v>45772</v>
      </c>
      <c r="N11144" t="s">
        <v>47424</v>
      </c>
      <c r="O11144" t="s">
        <v>47425</v>
      </c>
      <c r="P11144">
        <v>0</v>
      </c>
      <c r="Q11144">
        <v>1</v>
      </c>
      <c r="R11144" t="s">
        <v>47431</v>
      </c>
      <c r="S11144" t="s">
        <v>47565</v>
      </c>
      <c r="T11144" t="s">
        <v>49079</v>
      </c>
      <c r="U11144" t="s">
        <v>58820</v>
      </c>
      <c r="W11144" t="s">
        <v>45772</v>
      </c>
      <c r="X11144" t="s">
        <v>47432</v>
      </c>
    </row>
    <row r="11145" spans="1:24">
      <c r="A11145">
        <f>HYPERLINK("https://www.philgeps.gov.ph/GEPSNONPILOT/Tender/SplashBidNoticeAbstractUI.aspx?menuIndex=3&amp;refID=7157960&amp;Result=3","7157960")</f>
        <v>0</v>
      </c>
      <c r="B11145" t="s">
        <v>74</v>
      </c>
      <c r="C11145" t="s">
        <v>14384</v>
      </c>
      <c r="D11145" t="s">
        <v>19033</v>
      </c>
      <c r="E11145" t="s">
        <v>28676</v>
      </c>
      <c r="F11145" t="s">
        <v>32831</v>
      </c>
      <c r="G11145" t="s">
        <v>32840</v>
      </c>
      <c r="H11145" t="s">
        <v>32848</v>
      </c>
      <c r="I11145" t="s">
        <v>32855</v>
      </c>
      <c r="J11145" t="s">
        <v>39835</v>
      </c>
      <c r="K11145" t="s">
        <v>42727</v>
      </c>
      <c r="M11145" t="s">
        <v>43071</v>
      </c>
      <c r="N11145" t="s">
        <v>47424</v>
      </c>
      <c r="O11145" t="s">
        <v>47425</v>
      </c>
      <c r="P11145">
        <v>0</v>
      </c>
      <c r="Q11145">
        <v>10</v>
      </c>
      <c r="R11145" t="s">
        <v>47431</v>
      </c>
      <c r="S11145" t="s">
        <v>47565</v>
      </c>
      <c r="T11145" t="s">
        <v>49150</v>
      </c>
      <c r="U11145" t="s">
        <v>58821</v>
      </c>
      <c r="V11145" t="s">
        <v>62634</v>
      </c>
      <c r="W11145" t="s">
        <v>43071</v>
      </c>
      <c r="X11145" t="s">
        <v>47432</v>
      </c>
    </row>
    <row r="11146" spans="1:24">
      <c r="A11146">
        <f>HYPERLINK("https://www.philgeps.gov.ph/GEPSNONPILOT/Tender/SplashBidNoticeAbstractUI.aspx?menuIndex=3&amp;refID=7157964&amp;Result=3","7157964")</f>
        <v>0</v>
      </c>
      <c r="B11146" t="s">
        <v>2071</v>
      </c>
      <c r="C11146" t="s">
        <v>14385</v>
      </c>
      <c r="D11146" t="s">
        <v>19056</v>
      </c>
      <c r="E11146" t="s">
        <v>28677</v>
      </c>
      <c r="F11146" t="s">
        <v>32831</v>
      </c>
      <c r="G11146" t="s">
        <v>32839</v>
      </c>
      <c r="H11146" t="s">
        <v>32849</v>
      </c>
      <c r="I11146" t="s">
        <v>4177</v>
      </c>
      <c r="J11146" t="s">
        <v>39836</v>
      </c>
      <c r="K11146" t="s">
        <v>42757</v>
      </c>
      <c r="M11146" t="s">
        <v>45241</v>
      </c>
      <c r="N11146" t="s">
        <v>47424</v>
      </c>
      <c r="O11146" t="s">
        <v>47425</v>
      </c>
      <c r="P11146">
        <v>0</v>
      </c>
      <c r="Q11146">
        <v>0</v>
      </c>
      <c r="R11146" t="s">
        <v>47431</v>
      </c>
      <c r="S11146" t="s">
        <v>47565</v>
      </c>
      <c r="T11146" t="s">
        <v>49077</v>
      </c>
      <c r="U11146" t="s">
        <v>55989</v>
      </c>
      <c r="V11146" t="s">
        <v>63861</v>
      </c>
      <c r="W11146" t="s">
        <v>45241</v>
      </c>
      <c r="X11146" t="s">
        <v>47432</v>
      </c>
    </row>
    <row r="11147" spans="1:24">
      <c r="A11147">
        <f>HYPERLINK("https://www.philgeps.gov.ph/GEPSNONPILOT/Tender/SplashBidNoticeAbstractUI.aspx?menuIndex=3&amp;refID=7146656&amp;Result=3","7146656")</f>
        <v>0</v>
      </c>
      <c r="B11147" t="s">
        <v>3255</v>
      </c>
      <c r="C11147" t="s">
        <v>14386</v>
      </c>
      <c r="D11147" t="s">
        <v>19047</v>
      </c>
      <c r="E11147" t="s">
        <v>28678</v>
      </c>
      <c r="F11147" t="s">
        <v>32831</v>
      </c>
      <c r="G11147" t="s">
        <v>32839</v>
      </c>
      <c r="H11147" t="s">
        <v>32848</v>
      </c>
      <c r="I11147" t="s">
        <v>4776</v>
      </c>
      <c r="J11147" t="s">
        <v>39837</v>
      </c>
      <c r="K11147" t="s">
        <v>42776</v>
      </c>
      <c r="M11147" t="s">
        <v>46570</v>
      </c>
      <c r="N11147" t="s">
        <v>47424</v>
      </c>
      <c r="O11147" t="s">
        <v>47425</v>
      </c>
      <c r="Q11147">
        <v>7</v>
      </c>
      <c r="R11147" t="s">
        <v>47437</v>
      </c>
      <c r="S11147" t="s">
        <v>47772</v>
      </c>
      <c r="T11147" t="s">
        <v>49078</v>
      </c>
      <c r="U11147" t="s">
        <v>58822</v>
      </c>
      <c r="V11147" t="s">
        <v>63862</v>
      </c>
      <c r="W11147" t="s">
        <v>46570</v>
      </c>
      <c r="X11147" t="s">
        <v>47438</v>
      </c>
    </row>
    <row r="11148" spans="1:24">
      <c r="A11148">
        <f>HYPERLINK("https://www.philgeps.gov.ph/GEPSNONPILOT/Tender/SplashBidNoticeAbstractUI.aspx?menuIndex=3&amp;refID=7146840&amp;Result=3","7146840")</f>
        <v>0</v>
      </c>
      <c r="B11148" t="s">
        <v>2350</v>
      </c>
      <c r="C11148" t="s">
        <v>14387</v>
      </c>
      <c r="D11148" t="s">
        <v>19018</v>
      </c>
      <c r="E11148" t="s">
        <v>28679</v>
      </c>
      <c r="F11148" t="s">
        <v>32831</v>
      </c>
      <c r="G11148" t="s">
        <v>32838</v>
      </c>
      <c r="H11148" t="s">
        <v>32848</v>
      </c>
      <c r="I11148" t="s">
        <v>32865</v>
      </c>
      <c r="J11148" t="s">
        <v>34061</v>
      </c>
      <c r="K11148" t="s">
        <v>42732</v>
      </c>
      <c r="M11148" t="s">
        <v>45539</v>
      </c>
      <c r="N11148" t="s">
        <v>47424</v>
      </c>
      <c r="O11148" t="s">
        <v>47425</v>
      </c>
      <c r="Q11148">
        <v>2</v>
      </c>
      <c r="R11148" t="s">
        <v>47437</v>
      </c>
      <c r="S11148" t="s">
        <v>47761</v>
      </c>
      <c r="T11148" t="s">
        <v>49100</v>
      </c>
      <c r="U11148" t="s">
        <v>50084</v>
      </c>
      <c r="W11148" t="s">
        <v>45539</v>
      </c>
      <c r="X11148" t="s">
        <v>47438</v>
      </c>
    </row>
    <row r="11149" spans="1:24">
      <c r="A11149">
        <f>HYPERLINK("https://www.philgeps.gov.ph/GEPSNONPILOT/Tender/SplashBidNoticeAbstractUI.aspx?menuIndex=3&amp;refID=7146845&amp;Result=3","7146845")</f>
        <v>0</v>
      </c>
      <c r="B11149" t="s">
        <v>99</v>
      </c>
      <c r="C11149" t="s">
        <v>14388</v>
      </c>
      <c r="D11149" t="s">
        <v>19054</v>
      </c>
      <c r="E11149" t="s">
        <v>28680</v>
      </c>
      <c r="F11149" t="s">
        <v>32831</v>
      </c>
      <c r="G11149" t="s">
        <v>32839</v>
      </c>
      <c r="H11149" t="s">
        <v>32848</v>
      </c>
      <c r="I11149" t="s">
        <v>7416</v>
      </c>
      <c r="J11149" t="s">
        <v>33568</v>
      </c>
      <c r="K11149" t="s">
        <v>42730</v>
      </c>
      <c r="M11149" t="s">
        <v>43171</v>
      </c>
      <c r="N11149" t="s">
        <v>47424</v>
      </c>
      <c r="O11149" t="s">
        <v>47425</v>
      </c>
      <c r="P11149">
        <v>0</v>
      </c>
      <c r="Q11149">
        <v>0</v>
      </c>
      <c r="R11149" t="s">
        <v>47437</v>
      </c>
      <c r="S11149" t="s">
        <v>47706</v>
      </c>
      <c r="T11149" t="s">
        <v>49111</v>
      </c>
      <c r="U11149" t="s">
        <v>49821</v>
      </c>
      <c r="V11149" t="s">
        <v>62643</v>
      </c>
      <c r="W11149" t="s">
        <v>43171</v>
      </c>
      <c r="X11149" t="s">
        <v>47438</v>
      </c>
    </row>
    <row r="11150" spans="1:24">
      <c r="A11150">
        <f>HYPERLINK("https://www.philgeps.gov.ph/GEPSNONPILOT/Tender/SplashBidNoticeAbstractUI.aspx?menuIndex=3&amp;refID=7157711&amp;Result=3","7157711")</f>
        <v>0</v>
      </c>
      <c r="B11150" t="s">
        <v>823</v>
      </c>
      <c r="C11150" t="s">
        <v>14389</v>
      </c>
      <c r="D11150" t="s">
        <v>19062</v>
      </c>
      <c r="E11150" t="s">
        <v>28681</v>
      </c>
      <c r="F11150" t="s">
        <v>32831</v>
      </c>
      <c r="G11150" t="s">
        <v>32838</v>
      </c>
      <c r="H11150" t="s">
        <v>32848</v>
      </c>
      <c r="I11150" t="s">
        <v>32894</v>
      </c>
      <c r="J11150" t="s">
        <v>39838</v>
      </c>
      <c r="K11150" t="s">
        <v>42726</v>
      </c>
      <c r="M11150" t="s">
        <v>45752</v>
      </c>
      <c r="N11150" t="s">
        <v>47424</v>
      </c>
      <c r="O11150" t="s">
        <v>47425</v>
      </c>
      <c r="P11150">
        <v>0</v>
      </c>
      <c r="Q11150">
        <v>0</v>
      </c>
      <c r="R11150" t="s">
        <v>47431</v>
      </c>
      <c r="S11150" t="s">
        <v>47565</v>
      </c>
      <c r="T11150" t="s">
        <v>49237</v>
      </c>
      <c r="U11150" t="s">
        <v>55868</v>
      </c>
      <c r="W11150" t="s">
        <v>45752</v>
      </c>
      <c r="X11150" t="s">
        <v>47432</v>
      </c>
    </row>
    <row r="11151" spans="1:24">
      <c r="A11151">
        <f>HYPERLINK("https://www.philgeps.gov.ph/GEPSNONPILOT/Tender/SplashBidNoticeAbstractUI.aspx?menuIndex=3&amp;refID=7147064&amp;Result=3","7147064")</f>
        <v>0</v>
      </c>
      <c r="B11151" t="s">
        <v>1088</v>
      </c>
      <c r="C11151" t="s">
        <v>14390</v>
      </c>
      <c r="D11151" t="s">
        <v>19028</v>
      </c>
      <c r="E11151" t="s">
        <v>28682</v>
      </c>
      <c r="F11151" t="s">
        <v>32831</v>
      </c>
      <c r="G11151" t="s">
        <v>32839</v>
      </c>
      <c r="H11151" t="s">
        <v>32849</v>
      </c>
      <c r="I11151" t="s">
        <v>4177</v>
      </c>
      <c r="J11151" t="s">
        <v>39839</v>
      </c>
      <c r="K11151" t="s">
        <v>42757</v>
      </c>
      <c r="M11151" t="s">
        <v>44147</v>
      </c>
      <c r="N11151" t="s">
        <v>47424</v>
      </c>
      <c r="O11151" t="s">
        <v>47425</v>
      </c>
      <c r="P11151">
        <v>0</v>
      </c>
      <c r="Q11151">
        <v>0</v>
      </c>
      <c r="R11151" t="s">
        <v>47437</v>
      </c>
      <c r="S11151" t="s">
        <v>47706</v>
      </c>
      <c r="T11151" t="s">
        <v>49059</v>
      </c>
      <c r="U11151" t="s">
        <v>58823</v>
      </c>
      <c r="V11151" t="s">
        <v>63863</v>
      </c>
      <c r="W11151" t="s">
        <v>44147</v>
      </c>
      <c r="X11151" t="s">
        <v>47438</v>
      </c>
    </row>
    <row r="11152" spans="1:24">
      <c r="A11152">
        <f>HYPERLINK("https://www.philgeps.gov.ph/GEPSNONPILOT/Tender/SplashBidNoticeAbstractUI.aspx?menuIndex=3&amp;refID=7147060&amp;Result=3","7147060")</f>
        <v>0</v>
      </c>
      <c r="B11152" t="s">
        <v>2674</v>
      </c>
      <c r="C11152" t="s">
        <v>14391</v>
      </c>
      <c r="D11152" t="s">
        <v>19077</v>
      </c>
      <c r="E11152" t="s">
        <v>28683</v>
      </c>
      <c r="F11152" t="s">
        <v>32831</v>
      </c>
      <c r="G11152" t="s">
        <v>32839</v>
      </c>
      <c r="H11152" t="s">
        <v>32849</v>
      </c>
      <c r="I11152" t="s">
        <v>4177</v>
      </c>
      <c r="J11152" t="s">
        <v>32983</v>
      </c>
      <c r="K11152" t="s">
        <v>42745</v>
      </c>
      <c r="M11152" t="s">
        <v>45897</v>
      </c>
      <c r="N11152" t="s">
        <v>47424</v>
      </c>
      <c r="O11152" t="s">
        <v>47425</v>
      </c>
      <c r="P11152">
        <v>0</v>
      </c>
      <c r="Q11152">
        <v>0</v>
      </c>
      <c r="R11152" t="s">
        <v>47437</v>
      </c>
      <c r="S11152" t="s">
        <v>47706</v>
      </c>
      <c r="T11152" t="s">
        <v>49218</v>
      </c>
      <c r="U11152" t="s">
        <v>58824</v>
      </c>
      <c r="V11152" t="s">
        <v>54734</v>
      </c>
      <c r="W11152" t="s">
        <v>45897</v>
      </c>
      <c r="X11152" t="s">
        <v>47438</v>
      </c>
    </row>
    <row r="11153" spans="1:24">
      <c r="A11153">
        <f>HYPERLINK("https://www.philgeps.gov.ph/GEPSNONPILOT/Tender/SplashBidNoticeAbstractUI.aspx?menuIndex=3&amp;refID=7147059&amp;Result=3","7147059")</f>
        <v>0</v>
      </c>
      <c r="B11153" t="s">
        <v>448</v>
      </c>
      <c r="C11153" t="s">
        <v>14392</v>
      </c>
      <c r="D11153" t="s">
        <v>19027</v>
      </c>
      <c r="E11153" t="s">
        <v>28684</v>
      </c>
      <c r="F11153" t="s">
        <v>32831</v>
      </c>
      <c r="G11153" t="s">
        <v>32839</v>
      </c>
      <c r="H11153" t="s">
        <v>32849</v>
      </c>
      <c r="I11153" t="s">
        <v>4177</v>
      </c>
      <c r="J11153" t="s">
        <v>39840</v>
      </c>
      <c r="K11153" t="s">
        <v>42729</v>
      </c>
      <c r="M11153" t="s">
        <v>43453</v>
      </c>
      <c r="N11153" t="s">
        <v>47424</v>
      </c>
      <c r="O11153" t="s">
        <v>47425</v>
      </c>
      <c r="P11153">
        <v>0</v>
      </c>
      <c r="Q11153">
        <v>0</v>
      </c>
      <c r="R11153" t="s">
        <v>47437</v>
      </c>
      <c r="S11153" t="s">
        <v>47706</v>
      </c>
      <c r="T11153" t="s">
        <v>49237</v>
      </c>
      <c r="U11153" t="s">
        <v>58825</v>
      </c>
      <c r="W11153" t="s">
        <v>43453</v>
      </c>
      <c r="X11153" t="s">
        <v>47438</v>
      </c>
    </row>
    <row r="11154" spans="1:24">
      <c r="A11154">
        <f>HYPERLINK("https://www.philgeps.gov.ph/GEPSNONPILOT/Tender/SplashBidNoticeAbstractUI.aspx?menuIndex=3&amp;refID=7157714&amp;Result=3","7157714")</f>
        <v>0</v>
      </c>
      <c r="B11154" t="s">
        <v>1669</v>
      </c>
      <c r="C11154" t="s">
        <v>4967</v>
      </c>
      <c r="D11154" t="s">
        <v>19046</v>
      </c>
      <c r="E11154" t="s">
        <v>28685</v>
      </c>
      <c r="F11154" t="s">
        <v>32831</v>
      </c>
      <c r="G11154" t="s">
        <v>32840</v>
      </c>
      <c r="H11154" t="s">
        <v>32848</v>
      </c>
      <c r="I11154" t="s">
        <v>10805</v>
      </c>
      <c r="J11154" t="s">
        <v>33144</v>
      </c>
      <c r="K11154" t="s">
        <v>42748</v>
      </c>
      <c r="M11154" t="s">
        <v>44786</v>
      </c>
      <c r="N11154" t="s">
        <v>47424</v>
      </c>
      <c r="O11154" t="s">
        <v>47425</v>
      </c>
      <c r="P11154">
        <v>0</v>
      </c>
      <c r="Q11154">
        <v>2</v>
      </c>
      <c r="R11154" t="s">
        <v>47431</v>
      </c>
      <c r="S11154" t="s">
        <v>47565</v>
      </c>
      <c r="T11154" t="s">
        <v>49127</v>
      </c>
      <c r="U11154" t="s">
        <v>58826</v>
      </c>
      <c r="V11154" t="s">
        <v>63864</v>
      </c>
      <c r="W11154" t="s">
        <v>44786</v>
      </c>
      <c r="X11154" t="s">
        <v>47432</v>
      </c>
    </row>
    <row r="11155" spans="1:24">
      <c r="A11155">
        <f>HYPERLINK("https://www.philgeps.gov.ph/GEPSNONPILOT/Tender/SplashBidNoticeAbstractUI.aspx?menuIndex=3&amp;refID=7147046&amp;Result=3","7147046")</f>
        <v>0</v>
      </c>
      <c r="B11155" t="s">
        <v>3343</v>
      </c>
      <c r="C11155" t="s">
        <v>14393</v>
      </c>
      <c r="D11155" t="s">
        <v>19049</v>
      </c>
      <c r="E11155" t="s">
        <v>25184</v>
      </c>
      <c r="F11155" t="s">
        <v>32831</v>
      </c>
      <c r="G11155" t="s">
        <v>32839</v>
      </c>
      <c r="H11155" t="s">
        <v>32849</v>
      </c>
      <c r="I11155" t="s">
        <v>4177</v>
      </c>
      <c r="J11155" t="s">
        <v>39841</v>
      </c>
      <c r="K11155" t="s">
        <v>42784</v>
      </c>
      <c r="M11155" t="s">
        <v>46666</v>
      </c>
      <c r="N11155" t="s">
        <v>47424</v>
      </c>
      <c r="O11155" t="s">
        <v>47425</v>
      </c>
      <c r="P11155">
        <v>0</v>
      </c>
      <c r="Q11155">
        <v>8</v>
      </c>
      <c r="R11155" t="s">
        <v>47437</v>
      </c>
      <c r="S11155" t="s">
        <v>47706</v>
      </c>
      <c r="T11155" t="s">
        <v>49106</v>
      </c>
      <c r="U11155" t="s">
        <v>58827</v>
      </c>
      <c r="W11155" t="s">
        <v>46666</v>
      </c>
      <c r="X11155" t="s">
        <v>47438</v>
      </c>
    </row>
    <row r="11156" spans="1:24">
      <c r="A11156">
        <f>HYPERLINK("https://www.philgeps.gov.ph/GEPSNONPILOT/Tender/SplashBidNoticeAbstractUI.aspx?menuIndex=3&amp;refID=7147027&amp;Result=3","7147027")</f>
        <v>0</v>
      </c>
      <c r="B11156" t="s">
        <v>2516</v>
      </c>
      <c r="C11156" t="s">
        <v>14394</v>
      </c>
      <c r="D11156" t="s">
        <v>19044</v>
      </c>
      <c r="E11156" t="s">
        <v>28686</v>
      </c>
      <c r="F11156" t="s">
        <v>32831</v>
      </c>
      <c r="G11156" t="s">
        <v>32839</v>
      </c>
      <c r="H11156" t="s">
        <v>32848</v>
      </c>
      <c r="I11156" t="s">
        <v>4776</v>
      </c>
      <c r="J11156" t="s">
        <v>39842</v>
      </c>
      <c r="K11156" t="s">
        <v>42732</v>
      </c>
      <c r="M11156" t="s">
        <v>45723</v>
      </c>
      <c r="N11156" t="s">
        <v>47424</v>
      </c>
      <c r="O11156" t="s">
        <v>47425</v>
      </c>
      <c r="P11156">
        <v>0</v>
      </c>
      <c r="Q11156">
        <v>6</v>
      </c>
      <c r="R11156" t="s">
        <v>47437</v>
      </c>
      <c r="S11156" t="s">
        <v>47706</v>
      </c>
      <c r="T11156" t="s">
        <v>49112</v>
      </c>
      <c r="U11156" t="s">
        <v>58828</v>
      </c>
      <c r="W11156" t="s">
        <v>45723</v>
      </c>
      <c r="X11156" t="s">
        <v>47438</v>
      </c>
    </row>
    <row r="11157" spans="1:24">
      <c r="A11157">
        <f>HYPERLINK("https://www.philgeps.gov.ph/GEPSNONPILOT/Tender/SplashBidNoticeAbstractUI.aspx?menuIndex=3&amp;refID=7147020&amp;Result=3","7147020")</f>
        <v>0</v>
      </c>
      <c r="B11157" t="s">
        <v>69</v>
      </c>
      <c r="C11157" t="s">
        <v>14395</v>
      </c>
      <c r="D11157" t="s">
        <v>19021</v>
      </c>
      <c r="E11157" t="s">
        <v>28687</v>
      </c>
      <c r="F11157" t="s">
        <v>32831</v>
      </c>
      <c r="G11157" t="s">
        <v>32839</v>
      </c>
      <c r="H11157" t="s">
        <v>32848</v>
      </c>
      <c r="I11157" t="s">
        <v>4471</v>
      </c>
      <c r="J11157" t="s">
        <v>39843</v>
      </c>
      <c r="K11157" t="s">
        <v>42730</v>
      </c>
      <c r="L11157" t="s">
        <v>69</v>
      </c>
      <c r="M11157" t="s">
        <v>43066</v>
      </c>
      <c r="N11157" t="s">
        <v>47424</v>
      </c>
      <c r="O11157" t="s">
        <v>47425</v>
      </c>
      <c r="P11157">
        <v>0</v>
      </c>
      <c r="Q11157">
        <v>3</v>
      </c>
      <c r="R11157" t="s">
        <v>47437</v>
      </c>
      <c r="S11157" t="s">
        <v>47706</v>
      </c>
      <c r="T11157" t="s">
        <v>49112</v>
      </c>
      <c r="U11157" t="s">
        <v>49755</v>
      </c>
      <c r="W11157" t="s">
        <v>43066</v>
      </c>
      <c r="X11157" t="s">
        <v>47438</v>
      </c>
    </row>
    <row r="11158" spans="1:24">
      <c r="A11158">
        <f>HYPERLINK("https://www.philgeps.gov.ph/GEPSNONPILOT/Tender/SplashBidNoticeAbstractUI.aspx?menuIndex=3&amp;refID=7147018&amp;Result=3","7147018")</f>
        <v>0</v>
      </c>
      <c r="B11158" t="s">
        <v>3344</v>
      </c>
      <c r="C11158" t="s">
        <v>14396</v>
      </c>
      <c r="D11158" t="s">
        <v>19027</v>
      </c>
      <c r="E11158" t="s">
        <v>19183</v>
      </c>
      <c r="F11158" t="s">
        <v>32833</v>
      </c>
      <c r="G11158" t="s">
        <v>32839</v>
      </c>
      <c r="H11158" t="s">
        <v>32848</v>
      </c>
      <c r="I11158" t="s">
        <v>9577</v>
      </c>
      <c r="J11158" t="s">
        <v>39844</v>
      </c>
      <c r="K11158" t="s">
        <v>42759</v>
      </c>
      <c r="M11158" t="s">
        <v>46667</v>
      </c>
      <c r="N11158" t="s">
        <v>47424</v>
      </c>
      <c r="O11158" t="s">
        <v>47425</v>
      </c>
      <c r="P11158">
        <v>0</v>
      </c>
      <c r="Q11158">
        <v>1</v>
      </c>
      <c r="R11158" t="s">
        <v>47437</v>
      </c>
      <c r="S11158" t="s">
        <v>47706</v>
      </c>
      <c r="T11158" t="s">
        <v>49070</v>
      </c>
      <c r="U11158" t="s">
        <v>58829</v>
      </c>
      <c r="V11158" t="s">
        <v>63865</v>
      </c>
      <c r="W11158" t="s">
        <v>46667</v>
      </c>
      <c r="X11158" t="s">
        <v>47438</v>
      </c>
    </row>
    <row r="11159" spans="1:24">
      <c r="A11159">
        <f>HYPERLINK("https://www.philgeps.gov.ph/GEPSNONPILOT/Tender/SplashBidNoticeAbstractUI.aspx?menuIndex=3&amp;refID=7157712&amp;Result=3","7157712")</f>
        <v>0</v>
      </c>
      <c r="B11159" t="s">
        <v>2232</v>
      </c>
      <c r="C11159" t="s">
        <v>14397</v>
      </c>
      <c r="D11159" t="s">
        <v>19062</v>
      </c>
      <c r="E11159" t="s">
        <v>28688</v>
      </c>
      <c r="F11159" t="s">
        <v>32831</v>
      </c>
      <c r="G11159" t="s">
        <v>32838</v>
      </c>
      <c r="H11159" t="s">
        <v>14069</v>
      </c>
      <c r="I11159" t="s">
        <v>4177</v>
      </c>
      <c r="J11159" t="s">
        <v>39845</v>
      </c>
      <c r="K11159" t="s">
        <v>42742</v>
      </c>
      <c r="M11159" t="s">
        <v>45413</v>
      </c>
      <c r="N11159" t="s">
        <v>47424</v>
      </c>
      <c r="O11159" t="s">
        <v>47425</v>
      </c>
      <c r="P11159">
        <v>0</v>
      </c>
      <c r="Q11159">
        <v>2</v>
      </c>
      <c r="R11159" t="s">
        <v>47431</v>
      </c>
      <c r="S11159" t="s">
        <v>47565</v>
      </c>
      <c r="T11159" t="s">
        <v>49056</v>
      </c>
      <c r="U11159" t="s">
        <v>58830</v>
      </c>
      <c r="W11159" t="s">
        <v>45413</v>
      </c>
      <c r="X11159" t="s">
        <v>47432</v>
      </c>
    </row>
    <row r="11160" spans="1:24">
      <c r="A11160">
        <f>HYPERLINK("https://www.philgeps.gov.ph/GEPSNONPILOT/Tender/SplashBidNoticeAbstractUI.aspx?menuIndex=3&amp;refID=7147006&amp;Result=3","7147006")</f>
        <v>0</v>
      </c>
      <c r="B11160" t="s">
        <v>448</v>
      </c>
      <c r="C11160" t="s">
        <v>14398</v>
      </c>
      <c r="D11160" t="s">
        <v>19027</v>
      </c>
      <c r="E11160" t="s">
        <v>28689</v>
      </c>
      <c r="F11160" t="s">
        <v>32831</v>
      </c>
      <c r="G11160" t="s">
        <v>32839</v>
      </c>
      <c r="H11160" t="s">
        <v>32849</v>
      </c>
      <c r="I11160" t="s">
        <v>4177</v>
      </c>
      <c r="J11160" t="s">
        <v>39846</v>
      </c>
      <c r="K11160" t="s">
        <v>42729</v>
      </c>
      <c r="M11160" t="s">
        <v>43453</v>
      </c>
      <c r="N11160" t="s">
        <v>47424</v>
      </c>
      <c r="O11160" t="s">
        <v>47425</v>
      </c>
      <c r="P11160">
        <v>0</v>
      </c>
      <c r="Q11160">
        <v>0</v>
      </c>
      <c r="R11160" t="s">
        <v>47437</v>
      </c>
      <c r="S11160" t="s">
        <v>47706</v>
      </c>
      <c r="T11160" t="s">
        <v>49237</v>
      </c>
      <c r="U11160" t="s">
        <v>58831</v>
      </c>
      <c r="W11160" t="s">
        <v>43453</v>
      </c>
      <c r="X11160" t="s">
        <v>47438</v>
      </c>
    </row>
    <row r="11161" spans="1:24">
      <c r="A11161">
        <f>HYPERLINK("https://www.philgeps.gov.ph/GEPSNONPILOT/Tender/SplashBidNoticeAbstractUI.aspx?menuIndex=3&amp;refID=7146996&amp;Result=3","7146996")</f>
        <v>0</v>
      </c>
      <c r="B11161" t="s">
        <v>1364</v>
      </c>
      <c r="C11161" t="s">
        <v>14399</v>
      </c>
      <c r="D11161" t="s">
        <v>19077</v>
      </c>
      <c r="E11161" t="s">
        <v>28690</v>
      </c>
      <c r="F11161" t="s">
        <v>32831</v>
      </c>
      <c r="G11161" t="s">
        <v>32839</v>
      </c>
      <c r="H11161" t="s">
        <v>32848</v>
      </c>
      <c r="I11161" t="s">
        <v>4303</v>
      </c>
      <c r="J11161" t="s">
        <v>39847</v>
      </c>
      <c r="K11161" t="s">
        <v>42730</v>
      </c>
      <c r="M11161" t="s">
        <v>44443</v>
      </c>
      <c r="N11161" t="s">
        <v>47424</v>
      </c>
      <c r="O11161" t="s">
        <v>47425</v>
      </c>
      <c r="P11161">
        <v>0</v>
      </c>
      <c r="Q11161">
        <v>2</v>
      </c>
      <c r="R11161" t="s">
        <v>47437</v>
      </c>
      <c r="S11161" t="s">
        <v>47706</v>
      </c>
      <c r="T11161" t="s">
        <v>49172</v>
      </c>
      <c r="U11161" t="s">
        <v>58790</v>
      </c>
      <c r="V11161" t="s">
        <v>63855</v>
      </c>
      <c r="W11161" t="s">
        <v>44443</v>
      </c>
      <c r="X11161" t="s">
        <v>47438</v>
      </c>
    </row>
    <row r="11162" spans="1:24">
      <c r="A11162">
        <f>HYPERLINK("https://www.philgeps.gov.ph/GEPSNONPILOT/Tender/SplashBidNoticeAbstractUI.aspx?menuIndex=3&amp;refID=7146980&amp;Result=3","7146980")</f>
        <v>0</v>
      </c>
      <c r="B11162" t="s">
        <v>2678</v>
      </c>
      <c r="C11162" t="s">
        <v>14400</v>
      </c>
      <c r="D11162" t="s">
        <v>19041</v>
      </c>
      <c r="E11162" t="s">
        <v>28691</v>
      </c>
      <c r="F11162" t="s">
        <v>32831</v>
      </c>
      <c r="G11162" t="s">
        <v>32839</v>
      </c>
      <c r="H11162" t="s">
        <v>32849</v>
      </c>
      <c r="I11162" t="s">
        <v>4177</v>
      </c>
      <c r="J11162" t="s">
        <v>39848</v>
      </c>
      <c r="K11162" t="s">
        <v>42862</v>
      </c>
      <c r="M11162" t="s">
        <v>45901</v>
      </c>
      <c r="N11162" t="s">
        <v>47424</v>
      </c>
      <c r="O11162" t="s">
        <v>47425</v>
      </c>
      <c r="Q11162">
        <v>0</v>
      </c>
      <c r="R11162" t="s">
        <v>47437</v>
      </c>
      <c r="S11162" t="s">
        <v>47773</v>
      </c>
      <c r="T11162" t="s">
        <v>49106</v>
      </c>
      <c r="U11162" t="s">
        <v>58832</v>
      </c>
      <c r="V11162" t="s">
        <v>63866</v>
      </c>
      <c r="W11162" t="s">
        <v>45901</v>
      </c>
      <c r="X11162" t="s">
        <v>47438</v>
      </c>
    </row>
    <row r="11163" spans="1:24">
      <c r="A11163">
        <f>HYPERLINK("https://www.philgeps.gov.ph/GEPSNONPILOT/Tender/SplashBidNoticeAbstractUI.aspx?menuIndex=3&amp;refID=7147153&amp;Result=3","7147153")</f>
        <v>0</v>
      </c>
      <c r="B11163" t="s">
        <v>1777</v>
      </c>
      <c r="C11163" t="s">
        <v>14401</v>
      </c>
      <c r="D11163" t="s">
        <v>19074</v>
      </c>
      <c r="E11163" t="s">
        <v>28692</v>
      </c>
      <c r="F11163" t="s">
        <v>32831</v>
      </c>
      <c r="G11163" t="s">
        <v>32839</v>
      </c>
      <c r="H11163" t="s">
        <v>32848</v>
      </c>
      <c r="I11163" t="s">
        <v>9577</v>
      </c>
      <c r="J11163" t="s">
        <v>33257</v>
      </c>
      <c r="K11163" t="s">
        <v>42730</v>
      </c>
      <c r="M11163" t="s">
        <v>44902</v>
      </c>
      <c r="N11163" t="s">
        <v>47424</v>
      </c>
      <c r="O11163" t="s">
        <v>47425</v>
      </c>
      <c r="P11163">
        <v>0</v>
      </c>
      <c r="Q11163">
        <v>5</v>
      </c>
      <c r="R11163" t="s">
        <v>47437</v>
      </c>
      <c r="S11163" t="s">
        <v>47706</v>
      </c>
      <c r="T11163" t="s">
        <v>49362</v>
      </c>
      <c r="U11163" t="s">
        <v>58833</v>
      </c>
      <c r="W11163" t="s">
        <v>44902</v>
      </c>
      <c r="X11163" t="s">
        <v>47438</v>
      </c>
    </row>
    <row r="11164" spans="1:24">
      <c r="A11164">
        <f>HYPERLINK("https://www.philgeps.gov.ph/GEPSNONPILOT/Tender/SplashBidNoticeAbstractUI.aspx?menuIndex=3&amp;refID=7146882&amp;Result=3","7146882")</f>
        <v>0</v>
      </c>
      <c r="B11164" t="s">
        <v>99</v>
      </c>
      <c r="C11164" t="s">
        <v>14402</v>
      </c>
      <c r="D11164" t="s">
        <v>19054</v>
      </c>
      <c r="E11164" t="s">
        <v>28693</v>
      </c>
      <c r="F11164" t="s">
        <v>32831</v>
      </c>
      <c r="G11164" t="s">
        <v>32839</v>
      </c>
      <c r="H11164" t="s">
        <v>32848</v>
      </c>
      <c r="I11164" t="s">
        <v>7416</v>
      </c>
      <c r="J11164" t="s">
        <v>33568</v>
      </c>
      <c r="K11164" t="s">
        <v>42730</v>
      </c>
      <c r="M11164" t="s">
        <v>43171</v>
      </c>
      <c r="N11164" t="s">
        <v>47424</v>
      </c>
      <c r="O11164" t="s">
        <v>47425</v>
      </c>
      <c r="P11164">
        <v>0</v>
      </c>
      <c r="Q11164">
        <v>0</v>
      </c>
      <c r="R11164" t="s">
        <v>47437</v>
      </c>
      <c r="S11164" t="s">
        <v>47706</v>
      </c>
      <c r="T11164" t="s">
        <v>49111</v>
      </c>
      <c r="U11164" t="s">
        <v>49821</v>
      </c>
      <c r="V11164" t="s">
        <v>62643</v>
      </c>
      <c r="W11164" t="s">
        <v>43171</v>
      </c>
      <c r="X11164" t="s">
        <v>47438</v>
      </c>
    </row>
    <row r="11165" spans="1:24">
      <c r="A11165">
        <f>HYPERLINK("https://www.philgeps.gov.ph/GEPSNONPILOT/Tender/SplashBidNoticeAbstractUI.aspx?menuIndex=3&amp;refID=7147035&amp;Result=3","7147035")</f>
        <v>0</v>
      </c>
      <c r="B11165" t="s">
        <v>3297</v>
      </c>
      <c r="C11165" t="s">
        <v>14403</v>
      </c>
      <c r="D11165" t="s">
        <v>19044</v>
      </c>
      <c r="E11165" t="s">
        <v>14403</v>
      </c>
      <c r="F11165" t="s">
        <v>32833</v>
      </c>
      <c r="G11165" t="s">
        <v>32840</v>
      </c>
      <c r="H11165" t="s">
        <v>32848</v>
      </c>
      <c r="I11165" t="s">
        <v>4558</v>
      </c>
      <c r="J11165" t="s">
        <v>33175</v>
      </c>
      <c r="K11165" t="s">
        <v>42732</v>
      </c>
      <c r="M11165" t="s">
        <v>46618</v>
      </c>
      <c r="N11165" t="s">
        <v>47424</v>
      </c>
      <c r="O11165" t="s">
        <v>47425</v>
      </c>
      <c r="P11165">
        <v>0</v>
      </c>
      <c r="Q11165">
        <v>0</v>
      </c>
      <c r="R11165" t="s">
        <v>47437</v>
      </c>
      <c r="S11165" t="s">
        <v>47706</v>
      </c>
      <c r="T11165" t="s">
        <v>49577</v>
      </c>
      <c r="U11165" t="s">
        <v>58834</v>
      </c>
      <c r="W11165" t="s">
        <v>46618</v>
      </c>
      <c r="X11165" t="s">
        <v>47438</v>
      </c>
    </row>
    <row r="11166" spans="1:24">
      <c r="A11166">
        <f>HYPERLINK("https://www.philgeps.gov.ph/GEPSNONPILOT/Tender/SplashBidNoticeAbstractUI.aspx?menuIndex=3&amp;refID=7147149&amp;Result=3","7147149")</f>
        <v>0</v>
      </c>
      <c r="B11166" t="s">
        <v>3343</v>
      </c>
      <c r="C11166" t="s">
        <v>14404</v>
      </c>
      <c r="D11166" t="s">
        <v>19060</v>
      </c>
      <c r="E11166" t="s">
        <v>23900</v>
      </c>
      <c r="F11166" t="s">
        <v>32831</v>
      </c>
      <c r="G11166" t="s">
        <v>32839</v>
      </c>
      <c r="H11166" t="s">
        <v>32849</v>
      </c>
      <c r="I11166" t="s">
        <v>4177</v>
      </c>
      <c r="J11166" t="s">
        <v>39849</v>
      </c>
      <c r="K11166" t="s">
        <v>42938</v>
      </c>
      <c r="M11166" t="s">
        <v>46666</v>
      </c>
      <c r="N11166" t="s">
        <v>47424</v>
      </c>
      <c r="O11166" t="s">
        <v>47425</v>
      </c>
      <c r="P11166">
        <v>0</v>
      </c>
      <c r="Q11166">
        <v>5</v>
      </c>
      <c r="R11166" t="s">
        <v>47437</v>
      </c>
      <c r="S11166" t="s">
        <v>47706</v>
      </c>
      <c r="T11166" t="s">
        <v>49188</v>
      </c>
      <c r="U11166" t="s">
        <v>58835</v>
      </c>
      <c r="W11166" t="s">
        <v>46666</v>
      </c>
      <c r="X11166" t="s">
        <v>47438</v>
      </c>
    </row>
    <row r="11167" spans="1:24">
      <c r="A11167">
        <f>HYPERLINK("https://www.philgeps.gov.ph/GEPSNONPILOT/Tender/SplashBidNoticeAbstractUI.aspx?menuIndex=3&amp;refID=7147191&amp;Result=3","7147191")</f>
        <v>0</v>
      </c>
      <c r="B11167" t="s">
        <v>3345</v>
      </c>
      <c r="C11167" t="s">
        <v>12338</v>
      </c>
      <c r="D11167" t="s">
        <v>19065</v>
      </c>
      <c r="E11167" t="s">
        <v>26477</v>
      </c>
      <c r="F11167" t="s">
        <v>32831</v>
      </c>
      <c r="G11167" t="s">
        <v>32839</v>
      </c>
      <c r="H11167" t="s">
        <v>32849</v>
      </c>
      <c r="I11167" t="s">
        <v>32852</v>
      </c>
      <c r="J11167" t="s">
        <v>33044</v>
      </c>
      <c r="K11167" t="s">
        <v>42730</v>
      </c>
      <c r="M11167" t="s">
        <v>46668</v>
      </c>
      <c r="N11167" t="s">
        <v>47424</v>
      </c>
      <c r="O11167" t="s">
        <v>47425</v>
      </c>
      <c r="P11167">
        <v>0</v>
      </c>
      <c r="Q11167">
        <v>3</v>
      </c>
      <c r="R11167" t="s">
        <v>47437</v>
      </c>
      <c r="S11167" t="s">
        <v>47706</v>
      </c>
      <c r="T11167" t="s">
        <v>49112</v>
      </c>
      <c r="U11167" t="s">
        <v>58836</v>
      </c>
      <c r="W11167" t="s">
        <v>46668</v>
      </c>
      <c r="X11167" t="s">
        <v>47438</v>
      </c>
    </row>
    <row r="11168" spans="1:24">
      <c r="A11168">
        <f>HYPERLINK("https://www.philgeps.gov.ph/GEPSNONPILOT/Tender/SplashBidNoticeAbstractUI.aspx?menuIndex=3&amp;refID=7147019&amp;Result=3","7147019")</f>
        <v>0</v>
      </c>
      <c r="B11168" t="s">
        <v>2860</v>
      </c>
      <c r="C11168" t="s">
        <v>14405</v>
      </c>
      <c r="D11168" t="s">
        <v>19084</v>
      </c>
      <c r="E11168" t="s">
        <v>28694</v>
      </c>
      <c r="F11168" t="s">
        <v>32831</v>
      </c>
      <c r="G11168" t="s">
        <v>32839</v>
      </c>
      <c r="H11168" t="s">
        <v>32849</v>
      </c>
      <c r="I11168" t="s">
        <v>4177</v>
      </c>
      <c r="J11168" t="s">
        <v>39850</v>
      </c>
      <c r="K11168" t="s">
        <v>42764</v>
      </c>
      <c r="M11168" t="s">
        <v>46094</v>
      </c>
      <c r="N11168" t="s">
        <v>47424</v>
      </c>
      <c r="O11168" t="s">
        <v>47425</v>
      </c>
      <c r="P11168">
        <v>0</v>
      </c>
      <c r="Q11168">
        <v>4</v>
      </c>
      <c r="R11168" t="s">
        <v>47437</v>
      </c>
      <c r="S11168" t="s">
        <v>47706</v>
      </c>
      <c r="T11168" t="s">
        <v>49160</v>
      </c>
      <c r="U11168" t="s">
        <v>58837</v>
      </c>
      <c r="W11168" t="s">
        <v>46094</v>
      </c>
      <c r="X11168" t="s">
        <v>47438</v>
      </c>
    </row>
    <row r="11169" spans="1:24">
      <c r="A11169">
        <f>HYPERLINK("https://www.philgeps.gov.ph/GEPSNONPILOT/Tender/SplashBidNoticeAbstractUI.aspx?menuIndex=3&amp;refID=7146978&amp;Result=3","7146978")</f>
        <v>0</v>
      </c>
      <c r="B11169" t="s">
        <v>485</v>
      </c>
      <c r="C11169" t="s">
        <v>14406</v>
      </c>
      <c r="D11169" t="s">
        <v>19032</v>
      </c>
      <c r="E11169" t="s">
        <v>27808</v>
      </c>
      <c r="F11169" t="s">
        <v>32831</v>
      </c>
      <c r="G11169" t="s">
        <v>32839</v>
      </c>
      <c r="H11169" t="s">
        <v>32849</v>
      </c>
      <c r="I11169" t="s">
        <v>4177</v>
      </c>
      <c r="J11169" t="s">
        <v>39851</v>
      </c>
      <c r="K11169" t="s">
        <v>42737</v>
      </c>
      <c r="M11169" t="s">
        <v>43490</v>
      </c>
      <c r="N11169" t="s">
        <v>47424</v>
      </c>
      <c r="O11169" t="s">
        <v>47425</v>
      </c>
      <c r="P11169">
        <v>0</v>
      </c>
      <c r="Q11169">
        <v>0</v>
      </c>
      <c r="R11169" t="s">
        <v>47437</v>
      </c>
      <c r="S11169" t="s">
        <v>47706</v>
      </c>
      <c r="T11169" t="s">
        <v>49578</v>
      </c>
      <c r="U11169" t="s">
        <v>58838</v>
      </c>
      <c r="V11169" t="s">
        <v>63867</v>
      </c>
      <c r="W11169" t="s">
        <v>43490</v>
      </c>
      <c r="X11169" t="s">
        <v>47438</v>
      </c>
    </row>
    <row r="11170" spans="1:24">
      <c r="A11170">
        <f>HYPERLINK("https://www.philgeps.gov.ph/GEPSNONPILOT/Tender/SplashBidNoticeAbstractUI.aspx?menuIndex=3&amp;refID=7147024&amp;Result=3","7147024")</f>
        <v>0</v>
      </c>
      <c r="B11170" t="s">
        <v>661</v>
      </c>
      <c r="C11170" t="s">
        <v>14407</v>
      </c>
      <c r="D11170" t="s">
        <v>19058</v>
      </c>
      <c r="E11170" t="s">
        <v>28695</v>
      </c>
      <c r="F11170" t="s">
        <v>32831</v>
      </c>
      <c r="G11170" t="s">
        <v>32839</v>
      </c>
      <c r="H11170" t="s">
        <v>32848</v>
      </c>
      <c r="I11170" t="s">
        <v>32852</v>
      </c>
      <c r="J11170" t="s">
        <v>39852</v>
      </c>
      <c r="K11170" t="s">
        <v>42731</v>
      </c>
      <c r="M11170" t="s">
        <v>43679</v>
      </c>
      <c r="N11170" t="s">
        <v>47424</v>
      </c>
      <c r="O11170" t="s">
        <v>47425</v>
      </c>
      <c r="P11170">
        <v>0</v>
      </c>
      <c r="Q11170">
        <v>0</v>
      </c>
      <c r="R11170" t="s">
        <v>47437</v>
      </c>
      <c r="S11170" t="s">
        <v>47706</v>
      </c>
      <c r="T11170" t="s">
        <v>49237</v>
      </c>
      <c r="U11170" t="s">
        <v>58839</v>
      </c>
      <c r="W11170" t="s">
        <v>43679</v>
      </c>
      <c r="X11170" t="s">
        <v>47438</v>
      </c>
    </row>
    <row r="11171" spans="1:24">
      <c r="A11171">
        <f>HYPERLINK("https://www.philgeps.gov.ph/GEPSNONPILOT/Tender/SplashBidNoticeAbstractUI.aspx?menuIndex=3&amp;refID=7147173&amp;Result=3","7147173")</f>
        <v>0</v>
      </c>
      <c r="B11171" t="s">
        <v>2008</v>
      </c>
      <c r="C11171" t="s">
        <v>14408</v>
      </c>
      <c r="D11171" t="s">
        <v>19084</v>
      </c>
      <c r="E11171" t="s">
        <v>28696</v>
      </c>
      <c r="F11171" t="s">
        <v>32831</v>
      </c>
      <c r="G11171" t="s">
        <v>32839</v>
      </c>
      <c r="H11171" t="s">
        <v>32848</v>
      </c>
      <c r="I11171" t="s">
        <v>32858</v>
      </c>
      <c r="J11171" t="s">
        <v>39853</v>
      </c>
      <c r="K11171" t="s">
        <v>42727</v>
      </c>
      <c r="M11171" t="s">
        <v>45175</v>
      </c>
      <c r="N11171" t="s">
        <v>47424</v>
      </c>
      <c r="O11171" t="s">
        <v>47425</v>
      </c>
      <c r="P11171">
        <v>0</v>
      </c>
      <c r="Q11171">
        <v>5</v>
      </c>
      <c r="R11171" t="s">
        <v>47437</v>
      </c>
      <c r="S11171" t="s">
        <v>47706</v>
      </c>
      <c r="T11171" t="s">
        <v>49063</v>
      </c>
      <c r="U11171" t="s">
        <v>58840</v>
      </c>
      <c r="W11171" t="s">
        <v>45175</v>
      </c>
      <c r="X11171" t="s">
        <v>47438</v>
      </c>
    </row>
    <row r="11172" spans="1:24">
      <c r="A11172">
        <f>HYPERLINK("https://www.philgeps.gov.ph/GEPSNONPILOT/Tender/SplashBidNoticeAbstractUI.aspx?menuIndex=3&amp;refID=7146235&amp;Result=3","7146235")</f>
        <v>0</v>
      </c>
      <c r="B11172" t="s">
        <v>2170</v>
      </c>
      <c r="C11172" t="s">
        <v>14409</v>
      </c>
      <c r="D11172" t="s">
        <v>19066</v>
      </c>
      <c r="E11172" t="s">
        <v>28697</v>
      </c>
      <c r="F11172" t="s">
        <v>32831</v>
      </c>
      <c r="G11172" t="s">
        <v>32839</v>
      </c>
      <c r="H11172" t="s">
        <v>32849</v>
      </c>
      <c r="I11172" t="s">
        <v>4177</v>
      </c>
      <c r="J11172" t="s">
        <v>39854</v>
      </c>
      <c r="K11172" t="s">
        <v>42883</v>
      </c>
      <c r="M11172" t="s">
        <v>45348</v>
      </c>
      <c r="N11172" t="s">
        <v>47424</v>
      </c>
      <c r="O11172" t="s">
        <v>47425</v>
      </c>
      <c r="P11172">
        <v>0</v>
      </c>
      <c r="Q11172">
        <v>1</v>
      </c>
      <c r="R11172" t="s">
        <v>47437</v>
      </c>
      <c r="S11172" t="s">
        <v>47706</v>
      </c>
      <c r="T11172" t="s">
        <v>49069</v>
      </c>
      <c r="U11172" t="s">
        <v>58841</v>
      </c>
      <c r="W11172" t="s">
        <v>45348</v>
      </c>
      <c r="X11172" t="s">
        <v>47438</v>
      </c>
    </row>
    <row r="11173" spans="1:24">
      <c r="A11173">
        <f>HYPERLINK("https://www.philgeps.gov.ph/GEPSNONPILOT/Tender/SplashBidNoticeAbstractUI.aspx?menuIndex=3&amp;refID=7147141&amp;Result=3","7147141")</f>
        <v>0</v>
      </c>
      <c r="B11173" t="s">
        <v>661</v>
      </c>
      <c r="C11173" t="s">
        <v>14410</v>
      </c>
      <c r="D11173" t="s">
        <v>19058</v>
      </c>
      <c r="E11173" t="s">
        <v>28698</v>
      </c>
      <c r="F11173" t="s">
        <v>32831</v>
      </c>
      <c r="G11173" t="s">
        <v>32839</v>
      </c>
      <c r="H11173" t="s">
        <v>32848</v>
      </c>
      <c r="I11173" t="s">
        <v>7416</v>
      </c>
      <c r="J11173" t="s">
        <v>39855</v>
      </c>
      <c r="K11173" t="s">
        <v>42731</v>
      </c>
      <c r="M11173" t="s">
        <v>43679</v>
      </c>
      <c r="N11173" t="s">
        <v>47424</v>
      </c>
      <c r="O11173" t="s">
        <v>47425</v>
      </c>
      <c r="P11173">
        <v>0</v>
      </c>
      <c r="Q11173">
        <v>0</v>
      </c>
      <c r="R11173" t="s">
        <v>47437</v>
      </c>
      <c r="S11173" t="s">
        <v>47706</v>
      </c>
      <c r="T11173" t="s">
        <v>49237</v>
      </c>
      <c r="U11173" t="s">
        <v>58842</v>
      </c>
      <c r="W11173" t="s">
        <v>43679</v>
      </c>
      <c r="X11173" t="s">
        <v>47438</v>
      </c>
    </row>
    <row r="11174" spans="1:24">
      <c r="A11174">
        <f>HYPERLINK("https://www.philgeps.gov.ph/GEPSNONPILOT/Tender/SplashBidNoticeAbstractUI.aspx?menuIndex=3&amp;refID=7147114&amp;Result=3","7147114")</f>
        <v>0</v>
      </c>
      <c r="B11174" t="s">
        <v>3151</v>
      </c>
      <c r="C11174" t="s">
        <v>14411</v>
      </c>
      <c r="D11174" t="s">
        <v>19070</v>
      </c>
      <c r="E11174" t="s">
        <v>28699</v>
      </c>
      <c r="F11174" t="s">
        <v>32831</v>
      </c>
      <c r="G11174" t="s">
        <v>32839</v>
      </c>
      <c r="H11174" t="s">
        <v>14069</v>
      </c>
      <c r="I11174" t="s">
        <v>14069</v>
      </c>
      <c r="J11174" t="s">
        <v>39856</v>
      </c>
      <c r="K11174" t="s">
        <v>42829</v>
      </c>
      <c r="M11174" t="s">
        <v>46451</v>
      </c>
      <c r="N11174" t="s">
        <v>47424</v>
      </c>
      <c r="O11174" t="s">
        <v>47425</v>
      </c>
      <c r="P11174">
        <v>0</v>
      </c>
      <c r="Q11174">
        <v>6</v>
      </c>
      <c r="R11174" t="s">
        <v>47437</v>
      </c>
      <c r="S11174" t="s">
        <v>47706</v>
      </c>
      <c r="T11174" t="s">
        <v>49077</v>
      </c>
      <c r="U11174" t="s">
        <v>58843</v>
      </c>
      <c r="W11174" t="s">
        <v>46451</v>
      </c>
      <c r="X11174" t="s">
        <v>47438</v>
      </c>
    </row>
    <row r="11175" spans="1:24">
      <c r="A11175">
        <f>HYPERLINK("https://www.philgeps.gov.ph/GEPSNONPILOT/Tender/SplashBidNoticeAbstractUI.aspx?menuIndex=3&amp;refID=7146777&amp;Result=3","7146777")</f>
        <v>0</v>
      </c>
      <c r="B11175" t="s">
        <v>1769</v>
      </c>
      <c r="C11175" t="s">
        <v>14412</v>
      </c>
      <c r="D11175" t="s">
        <v>19035</v>
      </c>
      <c r="E11175" t="s">
        <v>28700</v>
      </c>
      <c r="F11175" t="s">
        <v>32831</v>
      </c>
      <c r="G11175" t="s">
        <v>32839</v>
      </c>
      <c r="H11175" t="s">
        <v>32848</v>
      </c>
      <c r="I11175" t="s">
        <v>4487</v>
      </c>
      <c r="J11175" t="s">
        <v>39519</v>
      </c>
      <c r="K11175" t="s">
        <v>42730</v>
      </c>
      <c r="M11175" t="s">
        <v>44894</v>
      </c>
      <c r="N11175" t="s">
        <v>47424</v>
      </c>
      <c r="O11175" t="s">
        <v>47425</v>
      </c>
      <c r="P11175">
        <v>0</v>
      </c>
      <c r="Q11175">
        <v>8</v>
      </c>
      <c r="R11175" t="s">
        <v>47437</v>
      </c>
      <c r="S11175" t="s">
        <v>47706</v>
      </c>
      <c r="T11175" t="s">
        <v>49407</v>
      </c>
      <c r="U11175" t="s">
        <v>58844</v>
      </c>
      <c r="V11175" t="s">
        <v>63121</v>
      </c>
      <c r="W11175" t="s">
        <v>44894</v>
      </c>
      <c r="X11175" t="s">
        <v>47438</v>
      </c>
    </row>
    <row r="11176" spans="1:24">
      <c r="A11176">
        <f>HYPERLINK("https://www.philgeps.gov.ph/GEPSNONPILOT/Tender/SplashBidNoticeAbstractUI.aspx?menuIndex=3&amp;refID=7147147&amp;Result=3","7147147")</f>
        <v>0</v>
      </c>
      <c r="B11176" t="s">
        <v>3346</v>
      </c>
      <c r="C11176" t="s">
        <v>14413</v>
      </c>
      <c r="D11176" t="s">
        <v>19057</v>
      </c>
      <c r="E11176" t="s">
        <v>28701</v>
      </c>
      <c r="F11176" t="s">
        <v>32831</v>
      </c>
      <c r="G11176" t="s">
        <v>32839</v>
      </c>
      <c r="H11176" t="s">
        <v>32848</v>
      </c>
      <c r="I11176" t="s">
        <v>32949</v>
      </c>
      <c r="J11176" t="s">
        <v>39857</v>
      </c>
      <c r="K11176" t="s">
        <v>42732</v>
      </c>
      <c r="M11176" t="s">
        <v>46669</v>
      </c>
      <c r="N11176" t="s">
        <v>47424</v>
      </c>
      <c r="O11176" t="s">
        <v>47425</v>
      </c>
      <c r="P11176">
        <v>0</v>
      </c>
      <c r="Q11176">
        <v>0</v>
      </c>
      <c r="R11176" t="s">
        <v>47437</v>
      </c>
      <c r="S11176" t="s">
        <v>47706</v>
      </c>
      <c r="T11176" t="s">
        <v>49185</v>
      </c>
      <c r="U11176" t="s">
        <v>58845</v>
      </c>
      <c r="W11176" t="s">
        <v>46669</v>
      </c>
      <c r="X11176" t="s">
        <v>47438</v>
      </c>
    </row>
    <row r="11177" spans="1:24">
      <c r="A11177">
        <f>HYPERLINK("https://www.philgeps.gov.ph/GEPSNONPILOT/Tender/SplashBidNoticeAbstractUI.aspx?menuIndex=3&amp;refID=7147120&amp;Result=3","7147120")</f>
        <v>0</v>
      </c>
      <c r="B11177" t="s">
        <v>3347</v>
      </c>
      <c r="C11177" t="s">
        <v>14414</v>
      </c>
      <c r="D11177" t="s">
        <v>19074</v>
      </c>
      <c r="E11177" t="s">
        <v>28702</v>
      </c>
      <c r="F11177" t="s">
        <v>32831</v>
      </c>
      <c r="G11177" t="s">
        <v>32839</v>
      </c>
      <c r="H11177" t="s">
        <v>32849</v>
      </c>
      <c r="I11177" t="s">
        <v>4177</v>
      </c>
      <c r="J11177" t="s">
        <v>36118</v>
      </c>
      <c r="K11177" t="s">
        <v>42761</v>
      </c>
      <c r="M11177" t="s">
        <v>46670</v>
      </c>
      <c r="N11177" t="s">
        <v>47424</v>
      </c>
      <c r="O11177" t="s">
        <v>47425</v>
      </c>
      <c r="P11177">
        <v>0</v>
      </c>
      <c r="Q11177">
        <v>0</v>
      </c>
      <c r="R11177" t="s">
        <v>47437</v>
      </c>
      <c r="S11177" t="s">
        <v>47706</v>
      </c>
      <c r="T11177" t="s">
        <v>49579</v>
      </c>
      <c r="U11177" t="s">
        <v>58846</v>
      </c>
      <c r="W11177" t="s">
        <v>46670</v>
      </c>
      <c r="X11177" t="s">
        <v>47438</v>
      </c>
    </row>
    <row r="11178" spans="1:24">
      <c r="A11178">
        <f>HYPERLINK("https://www.philgeps.gov.ph/GEPSNONPILOT/Tender/SplashBidNoticeAbstractUI.aspx?menuIndex=3&amp;refID=7147094&amp;Result=3","7147094")</f>
        <v>0</v>
      </c>
      <c r="B11178" t="s">
        <v>3348</v>
      </c>
      <c r="C11178" t="s">
        <v>14415</v>
      </c>
      <c r="D11178" t="s">
        <v>19028</v>
      </c>
      <c r="E11178" t="s">
        <v>28703</v>
      </c>
      <c r="F11178" t="s">
        <v>32831</v>
      </c>
      <c r="G11178" t="s">
        <v>32839</v>
      </c>
      <c r="H11178" t="s">
        <v>32848</v>
      </c>
      <c r="I11178" t="s">
        <v>4776</v>
      </c>
      <c r="J11178" t="s">
        <v>33087</v>
      </c>
      <c r="K11178" t="s">
        <v>42727</v>
      </c>
      <c r="M11178" t="s">
        <v>46671</v>
      </c>
      <c r="N11178" t="s">
        <v>47424</v>
      </c>
      <c r="O11178" t="s">
        <v>47425</v>
      </c>
      <c r="P11178">
        <v>0</v>
      </c>
      <c r="Q11178">
        <v>1</v>
      </c>
      <c r="R11178" t="s">
        <v>47437</v>
      </c>
      <c r="S11178" t="s">
        <v>47706</v>
      </c>
      <c r="T11178" t="s">
        <v>49139</v>
      </c>
      <c r="U11178" t="s">
        <v>58847</v>
      </c>
      <c r="W11178" t="s">
        <v>64544</v>
      </c>
      <c r="X11178" t="s">
        <v>47438</v>
      </c>
    </row>
    <row r="11179" spans="1:24">
      <c r="A11179">
        <f>HYPERLINK("https://www.philgeps.gov.ph/GEPSNONPILOT/Tender/SplashBidNoticeAbstractUI.aspx?menuIndex=3&amp;refID=7147196&amp;Result=3","7147196")</f>
        <v>0</v>
      </c>
      <c r="B11179" t="s">
        <v>3343</v>
      </c>
      <c r="C11179" t="s">
        <v>14416</v>
      </c>
      <c r="D11179" t="s">
        <v>19060</v>
      </c>
      <c r="E11179" t="s">
        <v>24075</v>
      </c>
      <c r="F11179" t="s">
        <v>32831</v>
      </c>
      <c r="G11179" t="s">
        <v>32839</v>
      </c>
      <c r="H11179" t="s">
        <v>32849</v>
      </c>
      <c r="I11179" t="s">
        <v>4177</v>
      </c>
      <c r="J11179" t="s">
        <v>39858</v>
      </c>
      <c r="K11179" t="s">
        <v>42939</v>
      </c>
      <c r="M11179" t="s">
        <v>46666</v>
      </c>
      <c r="N11179" t="s">
        <v>47424</v>
      </c>
      <c r="O11179" t="s">
        <v>47425</v>
      </c>
      <c r="P11179">
        <v>0</v>
      </c>
      <c r="Q11179">
        <v>5</v>
      </c>
      <c r="R11179" t="s">
        <v>47437</v>
      </c>
      <c r="S11179" t="s">
        <v>47706</v>
      </c>
      <c r="T11179" t="s">
        <v>49188</v>
      </c>
      <c r="U11179" t="s">
        <v>58835</v>
      </c>
      <c r="W11179" t="s">
        <v>46666</v>
      </c>
      <c r="X11179" t="s">
        <v>47438</v>
      </c>
    </row>
    <row r="11180" spans="1:24">
      <c r="A11180">
        <f>HYPERLINK("https://www.philgeps.gov.ph/GEPSNONPILOT/Tender/SplashBidNoticeAbstractUI.aspx?menuIndex=3&amp;refID=7147079&amp;Result=3","7147079")</f>
        <v>0</v>
      </c>
      <c r="B11180" t="s">
        <v>3349</v>
      </c>
      <c r="C11180" t="s">
        <v>14417</v>
      </c>
      <c r="D11180" t="s">
        <v>19080</v>
      </c>
      <c r="E11180" t="s">
        <v>19211</v>
      </c>
      <c r="F11180" t="s">
        <v>32831</v>
      </c>
      <c r="G11180" t="s">
        <v>32839</v>
      </c>
      <c r="H11180" t="s">
        <v>32850</v>
      </c>
      <c r="I11180" t="s">
        <v>4177</v>
      </c>
      <c r="J11180" t="s">
        <v>32978</v>
      </c>
      <c r="K11180" t="s">
        <v>42729</v>
      </c>
      <c r="L11180" t="s">
        <v>3349</v>
      </c>
      <c r="M11180" t="s">
        <v>46672</v>
      </c>
      <c r="N11180" t="s">
        <v>47424</v>
      </c>
      <c r="O11180" t="s">
        <v>47425</v>
      </c>
      <c r="P11180">
        <v>0</v>
      </c>
      <c r="Q11180">
        <v>0</v>
      </c>
      <c r="R11180" t="s">
        <v>47437</v>
      </c>
      <c r="S11180" t="s">
        <v>47706</v>
      </c>
      <c r="T11180" t="s">
        <v>49163</v>
      </c>
      <c r="U11180" t="s">
        <v>58848</v>
      </c>
      <c r="W11180" t="s">
        <v>46672</v>
      </c>
      <c r="X11180" t="s">
        <v>47438</v>
      </c>
    </row>
    <row r="11181" spans="1:24">
      <c r="A11181">
        <f>HYPERLINK("https://www.philgeps.gov.ph/GEPSNONPILOT/Tender/SplashBidNoticeAbstractUI.aspx?menuIndex=3&amp;refID=7147085&amp;Result=3","7147085")</f>
        <v>0</v>
      </c>
      <c r="B11181" t="s">
        <v>3343</v>
      </c>
      <c r="C11181" t="s">
        <v>14418</v>
      </c>
      <c r="D11181" t="s">
        <v>19017</v>
      </c>
      <c r="E11181" t="s">
        <v>22035</v>
      </c>
      <c r="F11181" t="s">
        <v>32831</v>
      </c>
      <c r="G11181" t="s">
        <v>32839</v>
      </c>
      <c r="H11181" t="s">
        <v>32849</v>
      </c>
      <c r="I11181" t="s">
        <v>4177</v>
      </c>
      <c r="J11181" t="s">
        <v>39859</v>
      </c>
      <c r="K11181" t="s">
        <v>42780</v>
      </c>
      <c r="M11181" t="s">
        <v>46666</v>
      </c>
      <c r="N11181" t="s">
        <v>47424</v>
      </c>
      <c r="O11181" t="s">
        <v>47425</v>
      </c>
      <c r="P11181">
        <v>0</v>
      </c>
      <c r="Q11181">
        <v>7</v>
      </c>
      <c r="R11181" t="s">
        <v>47437</v>
      </c>
      <c r="S11181" t="s">
        <v>47706</v>
      </c>
      <c r="T11181" t="s">
        <v>49106</v>
      </c>
      <c r="U11181" t="s">
        <v>58849</v>
      </c>
      <c r="W11181" t="s">
        <v>46666</v>
      </c>
      <c r="X11181" t="s">
        <v>47438</v>
      </c>
    </row>
    <row r="11182" spans="1:24">
      <c r="A11182">
        <f>HYPERLINK("https://www.philgeps.gov.ph/GEPSNONPILOT/Tender/SplashBidNoticeAbstractUI.aspx?menuIndex=3&amp;refID=7147312&amp;Result=3","7147312")</f>
        <v>0</v>
      </c>
      <c r="B11182" t="s">
        <v>3345</v>
      </c>
      <c r="C11182" t="s">
        <v>14419</v>
      </c>
      <c r="D11182" t="s">
        <v>19065</v>
      </c>
      <c r="E11182" t="s">
        <v>21881</v>
      </c>
      <c r="F11182" t="s">
        <v>32831</v>
      </c>
      <c r="G11182" t="s">
        <v>32839</v>
      </c>
      <c r="H11182" t="s">
        <v>32849</v>
      </c>
      <c r="I11182" t="s">
        <v>4177</v>
      </c>
      <c r="J11182" t="s">
        <v>39860</v>
      </c>
      <c r="K11182" t="s">
        <v>42730</v>
      </c>
      <c r="M11182" t="s">
        <v>46668</v>
      </c>
      <c r="N11182" t="s">
        <v>47424</v>
      </c>
      <c r="O11182" t="s">
        <v>47425</v>
      </c>
      <c r="P11182">
        <v>0</v>
      </c>
      <c r="Q11182">
        <v>0</v>
      </c>
      <c r="R11182" t="s">
        <v>47437</v>
      </c>
      <c r="S11182" t="s">
        <v>47706</v>
      </c>
      <c r="T11182" t="s">
        <v>49112</v>
      </c>
      <c r="U11182" t="s">
        <v>58850</v>
      </c>
      <c r="W11182" t="s">
        <v>46668</v>
      </c>
      <c r="X11182" t="s">
        <v>47438</v>
      </c>
    </row>
    <row r="11183" spans="1:24">
      <c r="A11183">
        <f>HYPERLINK("https://www.philgeps.gov.ph/GEPSNONPILOT/Tender/SplashBidNoticeAbstractUI.aspx?menuIndex=3&amp;refID=7147098&amp;Result=3","7147098")</f>
        <v>0</v>
      </c>
      <c r="B11183" t="s">
        <v>448</v>
      </c>
      <c r="C11183" t="s">
        <v>14420</v>
      </c>
      <c r="D11183" t="s">
        <v>19027</v>
      </c>
      <c r="E11183" t="s">
        <v>28704</v>
      </c>
      <c r="F11183" t="s">
        <v>32831</v>
      </c>
      <c r="G11183" t="s">
        <v>32839</v>
      </c>
      <c r="H11183" t="s">
        <v>32849</v>
      </c>
      <c r="I11183" t="s">
        <v>4177</v>
      </c>
      <c r="J11183" t="s">
        <v>39861</v>
      </c>
      <c r="K11183" t="s">
        <v>42729</v>
      </c>
      <c r="M11183" t="s">
        <v>43453</v>
      </c>
      <c r="N11183" t="s">
        <v>47424</v>
      </c>
      <c r="O11183" t="s">
        <v>47425</v>
      </c>
      <c r="P11183">
        <v>0</v>
      </c>
      <c r="Q11183">
        <v>0</v>
      </c>
      <c r="R11183" t="s">
        <v>47437</v>
      </c>
      <c r="S11183" t="s">
        <v>47706</v>
      </c>
      <c r="T11183" t="s">
        <v>49237</v>
      </c>
      <c r="U11183" t="s">
        <v>58851</v>
      </c>
      <c r="V11183" t="s">
        <v>63868</v>
      </c>
      <c r="W11183" t="s">
        <v>43453</v>
      </c>
      <c r="X11183" t="s">
        <v>47438</v>
      </c>
    </row>
    <row r="11184" spans="1:24">
      <c r="A11184">
        <f>HYPERLINK("https://www.philgeps.gov.ph/GEPSNONPILOT/Tender/SplashBidNoticeAbstractUI.aspx?menuIndex=3&amp;refID=7147091&amp;Result=3","7147091")</f>
        <v>0</v>
      </c>
      <c r="B11184" t="s">
        <v>1881</v>
      </c>
      <c r="C11184" t="s">
        <v>14421</v>
      </c>
      <c r="D11184" t="s">
        <v>19030</v>
      </c>
      <c r="E11184" t="s">
        <v>28705</v>
      </c>
      <c r="F11184" t="s">
        <v>32831</v>
      </c>
      <c r="G11184" t="s">
        <v>32839</v>
      </c>
      <c r="H11184" t="s">
        <v>32849</v>
      </c>
      <c r="I11184" t="s">
        <v>32899</v>
      </c>
      <c r="J11184" t="s">
        <v>39862</v>
      </c>
      <c r="K11184" t="s">
        <v>42729</v>
      </c>
      <c r="M11184" t="s">
        <v>46673</v>
      </c>
      <c r="N11184" t="s">
        <v>47424</v>
      </c>
      <c r="O11184" t="s">
        <v>47425</v>
      </c>
      <c r="P11184">
        <v>0</v>
      </c>
      <c r="Q11184">
        <v>1</v>
      </c>
      <c r="R11184" t="s">
        <v>47437</v>
      </c>
      <c r="S11184" t="s">
        <v>47706</v>
      </c>
      <c r="T11184" t="s">
        <v>49192</v>
      </c>
      <c r="U11184" t="s">
        <v>58852</v>
      </c>
      <c r="W11184" t="s">
        <v>46673</v>
      </c>
      <c r="X11184" t="s">
        <v>47438</v>
      </c>
    </row>
    <row r="11185" spans="1:24">
      <c r="A11185">
        <f>HYPERLINK("https://www.philgeps.gov.ph/GEPSNONPILOT/Tender/SplashBidNoticeAbstractUI.aspx?menuIndex=3&amp;refID=7147088&amp;Result=3","7147088")</f>
        <v>0</v>
      </c>
      <c r="B11185" t="s">
        <v>69</v>
      </c>
      <c r="C11185" t="s">
        <v>14422</v>
      </c>
      <c r="D11185" t="s">
        <v>19021</v>
      </c>
      <c r="E11185" t="s">
        <v>28706</v>
      </c>
      <c r="F11185" t="s">
        <v>32831</v>
      </c>
      <c r="G11185" t="s">
        <v>32839</v>
      </c>
      <c r="H11185" t="s">
        <v>32848</v>
      </c>
      <c r="I11185" t="s">
        <v>7416</v>
      </c>
      <c r="J11185" t="s">
        <v>39863</v>
      </c>
      <c r="K11185" t="s">
        <v>42730</v>
      </c>
      <c r="L11185" t="s">
        <v>69</v>
      </c>
      <c r="M11185" t="s">
        <v>43066</v>
      </c>
      <c r="N11185" t="s">
        <v>47424</v>
      </c>
      <c r="O11185" t="s">
        <v>47425</v>
      </c>
      <c r="P11185">
        <v>0</v>
      </c>
      <c r="Q11185">
        <v>2</v>
      </c>
      <c r="R11185" t="s">
        <v>47437</v>
      </c>
      <c r="S11185" t="s">
        <v>47706</v>
      </c>
      <c r="T11185" t="s">
        <v>49112</v>
      </c>
      <c r="U11185" t="s">
        <v>49755</v>
      </c>
      <c r="W11185" t="s">
        <v>43066</v>
      </c>
      <c r="X11185" t="s">
        <v>47438</v>
      </c>
    </row>
    <row r="11186" spans="1:24">
      <c r="A11186">
        <f>HYPERLINK("https://www.philgeps.gov.ph/GEPSNONPILOT/Tender/SplashBidNoticeAbstractUI.aspx?menuIndex=3&amp;refID=7147304&amp;Result=3","7147304")</f>
        <v>0</v>
      </c>
      <c r="B11186" t="s">
        <v>2231</v>
      </c>
      <c r="C11186" t="s">
        <v>14423</v>
      </c>
      <c r="D11186" t="s">
        <v>19034</v>
      </c>
      <c r="E11186" t="s">
        <v>28707</v>
      </c>
      <c r="F11186" t="s">
        <v>32831</v>
      </c>
      <c r="G11186" t="s">
        <v>32839</v>
      </c>
      <c r="H11186" t="s">
        <v>32849</v>
      </c>
      <c r="I11186" t="s">
        <v>32855</v>
      </c>
      <c r="J11186" t="s">
        <v>33118</v>
      </c>
      <c r="K11186" t="s">
        <v>42729</v>
      </c>
      <c r="M11186" t="s">
        <v>45411</v>
      </c>
      <c r="N11186" t="s">
        <v>47424</v>
      </c>
      <c r="O11186" t="s">
        <v>47425</v>
      </c>
      <c r="P11186">
        <v>0</v>
      </c>
      <c r="Q11186">
        <v>0</v>
      </c>
      <c r="R11186" t="s">
        <v>47437</v>
      </c>
      <c r="S11186" t="s">
        <v>47706</v>
      </c>
      <c r="T11186" t="s">
        <v>49196</v>
      </c>
      <c r="U11186" t="s">
        <v>58853</v>
      </c>
      <c r="W11186" t="s">
        <v>45411</v>
      </c>
      <c r="X11186" t="s">
        <v>47438</v>
      </c>
    </row>
    <row r="11187" spans="1:24">
      <c r="A11187">
        <f>HYPERLINK("https://www.philgeps.gov.ph/GEPSNONPILOT/Tender/SplashBidNoticeAbstractUI.aspx?menuIndex=3&amp;refID=7147154&amp;Result=3","7147154")</f>
        <v>0</v>
      </c>
      <c r="B11187" t="s">
        <v>1277</v>
      </c>
      <c r="C11187" t="s">
        <v>14424</v>
      </c>
      <c r="D11187" t="s">
        <v>19067</v>
      </c>
      <c r="E11187" t="s">
        <v>28708</v>
      </c>
      <c r="F11187" t="s">
        <v>32831</v>
      </c>
      <c r="G11187" t="s">
        <v>32839</v>
      </c>
      <c r="H11187" t="s">
        <v>32849</v>
      </c>
      <c r="I11187" t="s">
        <v>4177</v>
      </c>
      <c r="J11187" t="s">
        <v>39864</v>
      </c>
      <c r="K11187" t="s">
        <v>42770</v>
      </c>
      <c r="M11187" t="s">
        <v>44347</v>
      </c>
      <c r="N11187" t="s">
        <v>47424</v>
      </c>
      <c r="O11187" t="s">
        <v>47425</v>
      </c>
      <c r="P11187">
        <v>0</v>
      </c>
      <c r="Q11187">
        <v>1</v>
      </c>
      <c r="R11187" t="s">
        <v>47437</v>
      </c>
      <c r="S11187" t="s">
        <v>47706</v>
      </c>
      <c r="T11187" t="s">
        <v>49057</v>
      </c>
      <c r="U11187" t="s">
        <v>58854</v>
      </c>
      <c r="W11187" t="s">
        <v>44347</v>
      </c>
      <c r="X11187" t="s">
        <v>47438</v>
      </c>
    </row>
    <row r="11188" spans="1:24">
      <c r="A11188">
        <f>HYPERLINK("https://www.philgeps.gov.ph/GEPSNONPILOT/Tender/SplashBidNoticeAbstractUI.aspx?menuIndex=3&amp;refID=7147301&amp;Result=3","7147301")</f>
        <v>0</v>
      </c>
      <c r="B11188" t="s">
        <v>853</v>
      </c>
      <c r="C11188" t="s">
        <v>14425</v>
      </c>
      <c r="D11188" t="s">
        <v>19027</v>
      </c>
      <c r="E11188" t="s">
        <v>28709</v>
      </c>
      <c r="F11188" t="s">
        <v>32831</v>
      </c>
      <c r="G11188" t="s">
        <v>32839</v>
      </c>
      <c r="H11188" t="s">
        <v>32849</v>
      </c>
      <c r="I11188" t="s">
        <v>4177</v>
      </c>
      <c r="J11188" t="s">
        <v>39865</v>
      </c>
      <c r="K11188" t="s">
        <v>42732</v>
      </c>
      <c r="M11188" t="s">
        <v>46408</v>
      </c>
      <c r="N11188" t="s">
        <v>47424</v>
      </c>
      <c r="O11188" t="s">
        <v>47425</v>
      </c>
      <c r="P11188">
        <v>0</v>
      </c>
      <c r="Q11188">
        <v>3</v>
      </c>
      <c r="R11188" t="s">
        <v>47437</v>
      </c>
      <c r="S11188" t="s">
        <v>47706</v>
      </c>
      <c r="T11188" t="s">
        <v>49173</v>
      </c>
      <c r="U11188" t="s">
        <v>57923</v>
      </c>
      <c r="W11188" t="s">
        <v>46408</v>
      </c>
      <c r="X11188" t="s">
        <v>47438</v>
      </c>
    </row>
    <row r="11189" spans="1:24">
      <c r="A11189">
        <f>HYPERLINK("https://www.philgeps.gov.ph/GEPSNONPILOT/Tender/SplashBidNoticeAbstractUI.aspx?menuIndex=3&amp;refID=7147296&amp;Result=3","7147296")</f>
        <v>0</v>
      </c>
      <c r="B11189" t="s">
        <v>3343</v>
      </c>
      <c r="C11189" t="s">
        <v>14426</v>
      </c>
      <c r="D11189" t="s">
        <v>19045</v>
      </c>
      <c r="E11189" t="s">
        <v>24855</v>
      </c>
      <c r="F11189" t="s">
        <v>32831</v>
      </c>
      <c r="G11189" t="s">
        <v>32839</v>
      </c>
      <c r="H11189" t="s">
        <v>32849</v>
      </c>
      <c r="I11189" t="s">
        <v>4177</v>
      </c>
      <c r="J11189" t="s">
        <v>39866</v>
      </c>
      <c r="K11189" t="s">
        <v>42940</v>
      </c>
      <c r="M11189" t="s">
        <v>46666</v>
      </c>
      <c r="N11189" t="s">
        <v>47424</v>
      </c>
      <c r="O11189" t="s">
        <v>47425</v>
      </c>
      <c r="P11189">
        <v>0</v>
      </c>
      <c r="Q11189">
        <v>5</v>
      </c>
      <c r="R11189" t="s">
        <v>47437</v>
      </c>
      <c r="S11189" t="s">
        <v>47706</v>
      </c>
      <c r="T11189" t="s">
        <v>49188</v>
      </c>
      <c r="U11189" t="s">
        <v>58835</v>
      </c>
      <c r="W11189" t="s">
        <v>46666</v>
      </c>
      <c r="X11189" t="s">
        <v>47438</v>
      </c>
    </row>
    <row r="11190" spans="1:24">
      <c r="A11190">
        <f>HYPERLINK("https://www.philgeps.gov.ph/GEPSNONPILOT/Tender/SplashBidNoticeAbstractUI.aspx?menuIndex=3&amp;refID=7147274&amp;Result=3","7147274")</f>
        <v>0</v>
      </c>
      <c r="B11190" t="s">
        <v>818</v>
      </c>
      <c r="C11190" t="s">
        <v>14427</v>
      </c>
      <c r="D11190" t="s">
        <v>19017</v>
      </c>
      <c r="E11190" t="s">
        <v>28710</v>
      </c>
      <c r="F11190" t="s">
        <v>32831</v>
      </c>
      <c r="G11190" t="s">
        <v>32838</v>
      </c>
      <c r="H11190" t="s">
        <v>32848</v>
      </c>
      <c r="I11190" t="s">
        <v>32868</v>
      </c>
      <c r="J11190" t="s">
        <v>32983</v>
      </c>
      <c r="K11190" t="s">
        <v>42732</v>
      </c>
      <c r="M11190" t="s">
        <v>43849</v>
      </c>
      <c r="N11190" t="s">
        <v>47424</v>
      </c>
      <c r="O11190" t="s">
        <v>47425</v>
      </c>
      <c r="Q11190">
        <v>0</v>
      </c>
      <c r="R11190" t="s">
        <v>47437</v>
      </c>
      <c r="S11190" t="s">
        <v>47774</v>
      </c>
      <c r="T11190" t="s">
        <v>49116</v>
      </c>
      <c r="U11190" t="s">
        <v>58855</v>
      </c>
      <c r="V11190" t="s">
        <v>62819</v>
      </c>
      <c r="W11190" t="s">
        <v>43849</v>
      </c>
      <c r="X11190" t="s">
        <v>47438</v>
      </c>
    </row>
    <row r="11191" spans="1:24">
      <c r="A11191">
        <f>HYPERLINK("https://www.philgeps.gov.ph/GEPSNONPILOT/Tender/SplashBidNoticeAbstractUI.aspx?menuIndex=3&amp;refID=7147306&amp;Result=3","7147306")</f>
        <v>0</v>
      </c>
      <c r="B11191" t="s">
        <v>3350</v>
      </c>
      <c r="C11191" t="s">
        <v>14428</v>
      </c>
      <c r="D11191" t="s">
        <v>19042</v>
      </c>
      <c r="E11191" t="s">
        <v>28711</v>
      </c>
      <c r="F11191" t="s">
        <v>32831</v>
      </c>
      <c r="G11191" t="s">
        <v>32839</v>
      </c>
      <c r="H11191" t="s">
        <v>32849</v>
      </c>
      <c r="I11191" t="s">
        <v>4177</v>
      </c>
      <c r="J11191" t="s">
        <v>38388</v>
      </c>
      <c r="K11191" t="s">
        <v>42836</v>
      </c>
      <c r="L11191" t="s">
        <v>3350</v>
      </c>
      <c r="M11191" t="s">
        <v>46674</v>
      </c>
      <c r="N11191" t="s">
        <v>47424</v>
      </c>
      <c r="O11191" t="s">
        <v>47425</v>
      </c>
      <c r="P11191">
        <v>0</v>
      </c>
      <c r="Q11191">
        <v>0</v>
      </c>
      <c r="R11191" t="s">
        <v>47437</v>
      </c>
      <c r="S11191" t="s">
        <v>47706</v>
      </c>
      <c r="T11191" t="s">
        <v>49106</v>
      </c>
      <c r="U11191" t="s">
        <v>58856</v>
      </c>
      <c r="W11191" t="s">
        <v>46674</v>
      </c>
      <c r="X11191" t="s">
        <v>47438</v>
      </c>
    </row>
    <row r="11192" spans="1:24">
      <c r="A11192">
        <f>HYPERLINK("https://www.philgeps.gov.ph/GEPSNONPILOT/Tender/SplashBidNoticeAbstractUI.aspx?menuIndex=3&amp;refID=7147307&amp;Result=3","7147307")</f>
        <v>0</v>
      </c>
      <c r="B11192" t="s">
        <v>2285</v>
      </c>
      <c r="C11192" t="s">
        <v>14429</v>
      </c>
      <c r="D11192" t="s">
        <v>19019</v>
      </c>
      <c r="E11192" t="s">
        <v>21531</v>
      </c>
      <c r="F11192" t="s">
        <v>32831</v>
      </c>
      <c r="G11192" t="s">
        <v>32839</v>
      </c>
      <c r="H11192" t="s">
        <v>32848</v>
      </c>
      <c r="I11192" t="s">
        <v>4177</v>
      </c>
      <c r="J11192" t="s">
        <v>33111</v>
      </c>
      <c r="K11192" t="s">
        <v>42732</v>
      </c>
      <c r="M11192" t="s">
        <v>45469</v>
      </c>
      <c r="N11192" t="s">
        <v>47424</v>
      </c>
      <c r="O11192" t="s">
        <v>47425</v>
      </c>
      <c r="P11192">
        <v>0</v>
      </c>
      <c r="Q11192">
        <v>2</v>
      </c>
      <c r="R11192" t="s">
        <v>47437</v>
      </c>
      <c r="S11192" t="s">
        <v>47706</v>
      </c>
      <c r="T11192" t="s">
        <v>49237</v>
      </c>
      <c r="U11192" t="s">
        <v>58857</v>
      </c>
      <c r="W11192" t="s">
        <v>45469</v>
      </c>
      <c r="X11192" t="s">
        <v>47438</v>
      </c>
    </row>
    <row r="11193" spans="1:24">
      <c r="A11193">
        <f>HYPERLINK("https://www.philgeps.gov.ph/GEPSNONPILOT/Tender/SplashBidNoticeAbstractUI.aspx?menuIndex=3&amp;refID=7147268&amp;Result=3","7147268")</f>
        <v>0</v>
      </c>
      <c r="B11193" t="s">
        <v>2008</v>
      </c>
      <c r="C11193" t="s">
        <v>14430</v>
      </c>
      <c r="D11193" t="s">
        <v>19084</v>
      </c>
      <c r="E11193" t="s">
        <v>28712</v>
      </c>
      <c r="F11193" t="s">
        <v>32831</v>
      </c>
      <c r="G11193" t="s">
        <v>32839</v>
      </c>
      <c r="H11193" t="s">
        <v>32848</v>
      </c>
      <c r="I11193" t="s">
        <v>32906</v>
      </c>
      <c r="J11193" t="s">
        <v>39867</v>
      </c>
      <c r="K11193" t="s">
        <v>42727</v>
      </c>
      <c r="M11193" t="s">
        <v>45175</v>
      </c>
      <c r="N11193" t="s">
        <v>47424</v>
      </c>
      <c r="O11193" t="s">
        <v>47425</v>
      </c>
      <c r="P11193">
        <v>0</v>
      </c>
      <c r="Q11193">
        <v>6</v>
      </c>
      <c r="R11193" t="s">
        <v>47437</v>
      </c>
      <c r="S11193" t="s">
        <v>47706</v>
      </c>
      <c r="T11193" t="s">
        <v>49063</v>
      </c>
      <c r="U11193" t="s">
        <v>58858</v>
      </c>
      <c r="W11193" t="s">
        <v>45175</v>
      </c>
      <c r="X11193" t="s">
        <v>47438</v>
      </c>
    </row>
    <row r="11194" spans="1:24">
      <c r="A11194">
        <f>HYPERLINK("https://www.philgeps.gov.ph/GEPSNONPILOT/Tender/SplashBidNoticeAbstractUI.aspx?menuIndex=3&amp;refID=7147160&amp;Result=3","7147160")</f>
        <v>0</v>
      </c>
      <c r="B11194" t="s">
        <v>3351</v>
      </c>
      <c r="C11194" t="s">
        <v>14431</v>
      </c>
      <c r="D11194" t="s">
        <v>19069</v>
      </c>
      <c r="E11194" t="s">
        <v>28713</v>
      </c>
      <c r="F11194" t="s">
        <v>32831</v>
      </c>
      <c r="G11194" t="s">
        <v>32844</v>
      </c>
      <c r="H11194" t="s">
        <v>14069</v>
      </c>
      <c r="I11194" t="s">
        <v>14069</v>
      </c>
      <c r="J11194" t="s">
        <v>34207</v>
      </c>
      <c r="K11194" t="s">
        <v>42766</v>
      </c>
      <c r="M11194" t="s">
        <v>46675</v>
      </c>
      <c r="N11194" t="s">
        <v>47424</v>
      </c>
      <c r="O11194" t="s">
        <v>47425</v>
      </c>
      <c r="P11194">
        <v>0</v>
      </c>
      <c r="Q11194">
        <v>0</v>
      </c>
      <c r="R11194" t="s">
        <v>47437</v>
      </c>
      <c r="S11194" t="s">
        <v>47706</v>
      </c>
      <c r="T11194" t="s">
        <v>49057</v>
      </c>
      <c r="U11194" t="s">
        <v>58859</v>
      </c>
      <c r="W11194" t="s">
        <v>46675</v>
      </c>
      <c r="X11194" t="s">
        <v>47438</v>
      </c>
    </row>
    <row r="11195" spans="1:24">
      <c r="A11195">
        <f>HYPERLINK("https://www.philgeps.gov.ph/GEPSNONPILOT/Tender/SplashBidNoticeAbstractUI.aspx?menuIndex=3&amp;refID=7147264&amp;Result=3","7147264")</f>
        <v>0</v>
      </c>
      <c r="B11195" t="s">
        <v>2578</v>
      </c>
      <c r="C11195" t="s">
        <v>14432</v>
      </c>
      <c r="D11195" t="s">
        <v>19021</v>
      </c>
      <c r="E11195" t="s">
        <v>28714</v>
      </c>
      <c r="F11195" t="s">
        <v>32831</v>
      </c>
      <c r="G11195" t="s">
        <v>32839</v>
      </c>
      <c r="H11195" t="s">
        <v>32849</v>
      </c>
      <c r="I11195" t="s">
        <v>4177</v>
      </c>
      <c r="J11195" t="s">
        <v>33111</v>
      </c>
      <c r="K11195" t="s">
        <v>42732</v>
      </c>
      <c r="M11195" t="s">
        <v>45796</v>
      </c>
      <c r="N11195" t="s">
        <v>47424</v>
      </c>
      <c r="O11195" t="s">
        <v>47425</v>
      </c>
      <c r="P11195">
        <v>0</v>
      </c>
      <c r="Q11195">
        <v>20</v>
      </c>
      <c r="R11195" t="s">
        <v>47437</v>
      </c>
      <c r="S11195" t="s">
        <v>47706</v>
      </c>
      <c r="T11195" t="s">
        <v>49302</v>
      </c>
      <c r="U11195" t="s">
        <v>58105</v>
      </c>
      <c r="V11195" t="s">
        <v>63469</v>
      </c>
      <c r="W11195" t="s">
        <v>45796</v>
      </c>
      <c r="X11195" t="s">
        <v>47438</v>
      </c>
    </row>
    <row r="11196" spans="1:24">
      <c r="A11196">
        <f>HYPERLINK("https://www.philgeps.gov.ph/GEPSNONPILOT/Tender/SplashBidNoticeAbstractUI.aspx?menuIndex=3&amp;refID=7147247&amp;Result=3","7147247")</f>
        <v>0</v>
      </c>
      <c r="B11196" t="s">
        <v>355</v>
      </c>
      <c r="C11196" t="s">
        <v>14433</v>
      </c>
      <c r="D11196" t="s">
        <v>19023</v>
      </c>
      <c r="E11196" t="s">
        <v>28715</v>
      </c>
      <c r="F11196" t="s">
        <v>32831</v>
      </c>
      <c r="G11196" t="s">
        <v>32840</v>
      </c>
      <c r="H11196" t="s">
        <v>32848</v>
      </c>
      <c r="I11196" t="s">
        <v>32934</v>
      </c>
      <c r="J11196" t="s">
        <v>39868</v>
      </c>
      <c r="K11196" t="s">
        <v>42726</v>
      </c>
      <c r="M11196" t="s">
        <v>43359</v>
      </c>
      <c r="N11196" t="s">
        <v>47424</v>
      </c>
      <c r="O11196" t="s">
        <v>47425</v>
      </c>
      <c r="P11196">
        <v>0</v>
      </c>
      <c r="Q11196">
        <v>6</v>
      </c>
      <c r="R11196" t="s">
        <v>47437</v>
      </c>
      <c r="S11196" t="s">
        <v>47706</v>
      </c>
      <c r="T11196" t="s">
        <v>49177</v>
      </c>
      <c r="U11196" t="s">
        <v>58860</v>
      </c>
      <c r="W11196" t="s">
        <v>43359</v>
      </c>
      <c r="X11196" t="s">
        <v>47438</v>
      </c>
    </row>
    <row r="11197" spans="1:24">
      <c r="A11197">
        <f>HYPERLINK("https://www.philgeps.gov.ph/GEPSNONPILOT/Tender/SplashBidNoticeAbstractUI.aspx?menuIndex=3&amp;refID=7147245&amp;Result=3","7147245")</f>
        <v>0</v>
      </c>
      <c r="B11197" t="s">
        <v>3343</v>
      </c>
      <c r="C11197" t="s">
        <v>14434</v>
      </c>
      <c r="D11197" t="s">
        <v>19045</v>
      </c>
      <c r="E11197" t="s">
        <v>25282</v>
      </c>
      <c r="F11197" t="s">
        <v>32831</v>
      </c>
      <c r="G11197" t="s">
        <v>32839</v>
      </c>
      <c r="H11197" t="s">
        <v>32849</v>
      </c>
      <c r="I11197" t="s">
        <v>4177</v>
      </c>
      <c r="J11197" t="s">
        <v>39869</v>
      </c>
      <c r="K11197" t="s">
        <v>42941</v>
      </c>
      <c r="M11197" t="s">
        <v>46666</v>
      </c>
      <c r="N11197" t="s">
        <v>47424</v>
      </c>
      <c r="O11197" t="s">
        <v>47425</v>
      </c>
      <c r="P11197">
        <v>0</v>
      </c>
      <c r="Q11197">
        <v>5</v>
      </c>
      <c r="R11197" t="s">
        <v>47437</v>
      </c>
      <c r="S11197" t="s">
        <v>47706</v>
      </c>
      <c r="T11197" t="s">
        <v>49188</v>
      </c>
      <c r="U11197" t="s">
        <v>58835</v>
      </c>
      <c r="W11197" t="s">
        <v>46666</v>
      </c>
      <c r="X11197" t="s">
        <v>47438</v>
      </c>
    </row>
    <row r="11198" spans="1:24">
      <c r="A11198">
        <f>HYPERLINK("https://www.philgeps.gov.ph/GEPSNONPILOT/Tender/SplashBidNoticeAbstractUI.aspx?menuIndex=3&amp;refID=7147272&amp;Result=3","7147272")</f>
        <v>0</v>
      </c>
      <c r="B11198" t="s">
        <v>3343</v>
      </c>
      <c r="C11198" t="s">
        <v>14435</v>
      </c>
      <c r="D11198" t="s">
        <v>19045</v>
      </c>
      <c r="E11198" t="s">
        <v>24219</v>
      </c>
      <c r="F11198" t="s">
        <v>32831</v>
      </c>
      <c r="G11198" t="s">
        <v>32839</v>
      </c>
      <c r="H11198" t="s">
        <v>32849</v>
      </c>
      <c r="I11198" t="s">
        <v>4177</v>
      </c>
      <c r="J11198" t="s">
        <v>39870</v>
      </c>
      <c r="K11198" t="s">
        <v>42942</v>
      </c>
      <c r="M11198" t="s">
        <v>46666</v>
      </c>
      <c r="N11198" t="s">
        <v>47424</v>
      </c>
      <c r="O11198" t="s">
        <v>47425</v>
      </c>
      <c r="P11198">
        <v>0</v>
      </c>
      <c r="Q11198">
        <v>5</v>
      </c>
      <c r="R11198" t="s">
        <v>47437</v>
      </c>
      <c r="S11198" t="s">
        <v>47706</v>
      </c>
      <c r="T11198" t="s">
        <v>49188</v>
      </c>
      <c r="U11198" t="s">
        <v>58835</v>
      </c>
      <c r="W11198" t="s">
        <v>46666</v>
      </c>
      <c r="X11198" t="s">
        <v>47438</v>
      </c>
    </row>
    <row r="11199" spans="1:24">
      <c r="A11199">
        <f>HYPERLINK("https://www.philgeps.gov.ph/GEPSNONPILOT/Tender/SplashBidNoticeAbstractUI.aspx?menuIndex=3&amp;refID=7147251&amp;Result=3","7147251")</f>
        <v>0</v>
      </c>
      <c r="B11199" t="s">
        <v>448</v>
      </c>
      <c r="C11199" t="s">
        <v>14436</v>
      </c>
      <c r="D11199" t="s">
        <v>19027</v>
      </c>
      <c r="E11199" t="s">
        <v>28716</v>
      </c>
      <c r="F11199" t="s">
        <v>32831</v>
      </c>
      <c r="G11199" t="s">
        <v>32839</v>
      </c>
      <c r="H11199" t="s">
        <v>32849</v>
      </c>
      <c r="I11199" t="s">
        <v>4177</v>
      </c>
      <c r="J11199" t="s">
        <v>39871</v>
      </c>
      <c r="K11199" t="s">
        <v>42729</v>
      </c>
      <c r="M11199" t="s">
        <v>43453</v>
      </c>
      <c r="N11199" t="s">
        <v>47424</v>
      </c>
      <c r="O11199" t="s">
        <v>47425</v>
      </c>
      <c r="P11199">
        <v>0</v>
      </c>
      <c r="Q11199">
        <v>0</v>
      </c>
      <c r="R11199" t="s">
        <v>47437</v>
      </c>
      <c r="S11199" t="s">
        <v>47706</v>
      </c>
      <c r="T11199" t="s">
        <v>49237</v>
      </c>
      <c r="U11199" t="s">
        <v>58861</v>
      </c>
      <c r="W11199" t="s">
        <v>43453</v>
      </c>
      <c r="X11199" t="s">
        <v>47438</v>
      </c>
    </row>
    <row r="11200" spans="1:24">
      <c r="A11200">
        <f>HYPERLINK("https://www.philgeps.gov.ph/GEPSNONPILOT/Tender/SplashBidNoticeAbstractUI.aspx?menuIndex=3&amp;refID=7147234&amp;Result=3","7147234")</f>
        <v>0</v>
      </c>
      <c r="B11200" t="s">
        <v>3021</v>
      </c>
      <c r="C11200" t="s">
        <v>14437</v>
      </c>
      <c r="D11200" t="s">
        <v>19034</v>
      </c>
      <c r="E11200" t="s">
        <v>28717</v>
      </c>
      <c r="F11200" t="s">
        <v>32831</v>
      </c>
      <c r="G11200" t="s">
        <v>32839</v>
      </c>
      <c r="H11200" t="s">
        <v>32848</v>
      </c>
      <c r="I11200" t="s">
        <v>6526</v>
      </c>
      <c r="J11200" t="s">
        <v>39872</v>
      </c>
      <c r="K11200" t="s">
        <v>42730</v>
      </c>
      <c r="L11200" t="s">
        <v>3021</v>
      </c>
      <c r="M11200" t="s">
        <v>46291</v>
      </c>
      <c r="N11200" t="s">
        <v>47424</v>
      </c>
      <c r="O11200" t="s">
        <v>47425</v>
      </c>
      <c r="P11200">
        <v>0</v>
      </c>
      <c r="Q11200">
        <v>0</v>
      </c>
      <c r="R11200" t="s">
        <v>47437</v>
      </c>
      <c r="S11200" t="s">
        <v>47706</v>
      </c>
      <c r="T11200" t="s">
        <v>49212</v>
      </c>
      <c r="U11200" t="s">
        <v>58862</v>
      </c>
      <c r="V11200" t="s">
        <v>50828</v>
      </c>
      <c r="W11200" t="s">
        <v>46291</v>
      </c>
      <c r="X11200" t="s">
        <v>47438</v>
      </c>
    </row>
    <row r="11201" spans="1:24">
      <c r="A11201">
        <f>HYPERLINK("https://www.philgeps.gov.ph/GEPSNONPILOT/Tender/SplashBidNoticeAbstractUI.aspx?menuIndex=3&amp;refID=7147225&amp;Result=3","7147225")</f>
        <v>0</v>
      </c>
      <c r="B11201" t="s">
        <v>90</v>
      </c>
      <c r="C11201" t="s">
        <v>14438</v>
      </c>
      <c r="D11201" t="s">
        <v>19017</v>
      </c>
      <c r="E11201" t="s">
        <v>28718</v>
      </c>
      <c r="F11201" t="s">
        <v>32831</v>
      </c>
      <c r="G11201" t="s">
        <v>32841</v>
      </c>
      <c r="H11201" t="s">
        <v>32848</v>
      </c>
      <c r="I11201" t="s">
        <v>32951</v>
      </c>
      <c r="J11201" t="s">
        <v>39873</v>
      </c>
      <c r="K11201" t="s">
        <v>42726</v>
      </c>
      <c r="M11201" t="s">
        <v>46676</v>
      </c>
      <c r="N11201" t="s">
        <v>47424</v>
      </c>
      <c r="O11201" t="s">
        <v>47425</v>
      </c>
      <c r="Q11201">
        <v>8</v>
      </c>
      <c r="R11201" t="s">
        <v>47437</v>
      </c>
      <c r="S11201" t="s">
        <v>47775</v>
      </c>
      <c r="T11201" t="s">
        <v>49236</v>
      </c>
      <c r="U11201" t="s">
        <v>58863</v>
      </c>
      <c r="W11201" t="s">
        <v>46676</v>
      </c>
      <c r="X11201" t="s">
        <v>47438</v>
      </c>
    </row>
    <row r="11202" spans="1:24">
      <c r="A11202">
        <f>HYPERLINK("https://www.philgeps.gov.ph/GEPSNONPILOT/Tender/SplashBidNoticeAbstractUI.aspx?menuIndex=3&amp;refID=7147076&amp;Result=3","7147076")</f>
        <v>0</v>
      </c>
      <c r="B11202" t="s">
        <v>3352</v>
      </c>
      <c r="C11202" t="s">
        <v>14439</v>
      </c>
      <c r="D11202" t="s">
        <v>19095</v>
      </c>
      <c r="E11202" t="s">
        <v>26465</v>
      </c>
      <c r="F11202" t="s">
        <v>32831</v>
      </c>
      <c r="G11202" t="s">
        <v>32839</v>
      </c>
      <c r="H11202" t="s">
        <v>32848</v>
      </c>
      <c r="I11202" t="s">
        <v>7416</v>
      </c>
      <c r="J11202" t="s">
        <v>39874</v>
      </c>
      <c r="K11202" t="s">
        <v>42730</v>
      </c>
      <c r="M11202" t="s">
        <v>46677</v>
      </c>
      <c r="N11202" t="s">
        <v>47424</v>
      </c>
      <c r="O11202" t="s">
        <v>47425</v>
      </c>
      <c r="P11202">
        <v>0</v>
      </c>
      <c r="Q11202">
        <v>0</v>
      </c>
      <c r="R11202" t="s">
        <v>47437</v>
      </c>
      <c r="S11202" t="s">
        <v>47706</v>
      </c>
      <c r="T11202" t="s">
        <v>49142</v>
      </c>
      <c r="U11202" t="s">
        <v>58864</v>
      </c>
      <c r="W11202" t="s">
        <v>46677</v>
      </c>
      <c r="X11202" t="s">
        <v>47438</v>
      </c>
    </row>
    <row r="11203" spans="1:24">
      <c r="A11203">
        <f>HYPERLINK("https://www.philgeps.gov.ph/GEPSNONPILOT/Tender/SplashBidNoticeAbstractUI.aspx?menuIndex=3&amp;refID=7147117&amp;Result=3","7147117")</f>
        <v>0</v>
      </c>
      <c r="B11203" t="s">
        <v>1997</v>
      </c>
      <c r="C11203" t="s">
        <v>14440</v>
      </c>
      <c r="D11203" t="s">
        <v>19061</v>
      </c>
      <c r="E11203" t="s">
        <v>28719</v>
      </c>
      <c r="F11203" t="s">
        <v>32831</v>
      </c>
      <c r="G11203" t="s">
        <v>32839</v>
      </c>
      <c r="H11203" t="s">
        <v>32848</v>
      </c>
      <c r="I11203" t="s">
        <v>4558</v>
      </c>
      <c r="J11203" t="s">
        <v>39875</v>
      </c>
      <c r="K11203" t="s">
        <v>42750</v>
      </c>
      <c r="M11203" t="s">
        <v>45164</v>
      </c>
      <c r="N11203" t="s">
        <v>47424</v>
      </c>
      <c r="O11203" t="s">
        <v>47425</v>
      </c>
      <c r="P11203">
        <v>0</v>
      </c>
      <c r="Q11203">
        <v>10</v>
      </c>
      <c r="R11203" t="s">
        <v>47437</v>
      </c>
      <c r="S11203" t="s">
        <v>47706</v>
      </c>
      <c r="T11203" t="s">
        <v>49101</v>
      </c>
      <c r="U11203" t="s">
        <v>58780</v>
      </c>
      <c r="W11203" t="s">
        <v>45164</v>
      </c>
      <c r="X11203" t="s">
        <v>47438</v>
      </c>
    </row>
    <row r="11204" spans="1:24">
      <c r="A11204">
        <f>HYPERLINK("https://www.philgeps.gov.ph/GEPSNONPILOT/Tender/SplashBidNoticeAbstractUI.aspx?menuIndex=3&amp;refID=7147075&amp;Result=3","7147075")</f>
        <v>0</v>
      </c>
      <c r="B11204" t="s">
        <v>2860</v>
      </c>
      <c r="C11204" t="s">
        <v>14441</v>
      </c>
      <c r="D11204" t="s">
        <v>19084</v>
      </c>
      <c r="E11204" t="s">
        <v>28720</v>
      </c>
      <c r="F11204" t="s">
        <v>32831</v>
      </c>
      <c r="G11204" t="s">
        <v>32839</v>
      </c>
      <c r="H11204" t="s">
        <v>32849</v>
      </c>
      <c r="I11204" t="s">
        <v>4177</v>
      </c>
      <c r="J11204" t="s">
        <v>39876</v>
      </c>
      <c r="K11204" t="s">
        <v>42943</v>
      </c>
      <c r="M11204" t="s">
        <v>46094</v>
      </c>
      <c r="N11204" t="s">
        <v>47424</v>
      </c>
      <c r="O11204" t="s">
        <v>47425</v>
      </c>
      <c r="P11204">
        <v>0</v>
      </c>
      <c r="Q11204">
        <v>4</v>
      </c>
      <c r="R11204" t="s">
        <v>47437</v>
      </c>
      <c r="S11204" t="s">
        <v>47706</v>
      </c>
      <c r="T11204" t="s">
        <v>49160</v>
      </c>
      <c r="U11204" t="s">
        <v>58865</v>
      </c>
      <c r="W11204" t="s">
        <v>46094</v>
      </c>
      <c r="X11204" t="s">
        <v>47438</v>
      </c>
    </row>
    <row r="11205" spans="1:24">
      <c r="A11205">
        <f>HYPERLINK("https://www.philgeps.gov.ph/GEPSNONPILOT/Tender/SplashBidNoticeAbstractUI.aspx?menuIndex=3&amp;refID=7147236&amp;Result=3","7147236")</f>
        <v>0</v>
      </c>
      <c r="B11205" t="s">
        <v>3353</v>
      </c>
      <c r="C11205" t="s">
        <v>14442</v>
      </c>
      <c r="D11205" t="s">
        <v>19065</v>
      </c>
      <c r="E11205" t="s">
        <v>19555</v>
      </c>
      <c r="F11205" t="s">
        <v>32831</v>
      </c>
      <c r="G11205" t="s">
        <v>32839</v>
      </c>
      <c r="H11205" t="s">
        <v>32849</v>
      </c>
      <c r="I11205" t="s">
        <v>32889</v>
      </c>
      <c r="J11205" t="s">
        <v>39877</v>
      </c>
      <c r="K11205" t="s">
        <v>42856</v>
      </c>
      <c r="M11205" t="s">
        <v>46678</v>
      </c>
      <c r="N11205" t="s">
        <v>47424</v>
      </c>
      <c r="O11205" t="s">
        <v>47425</v>
      </c>
      <c r="P11205">
        <v>0</v>
      </c>
      <c r="Q11205">
        <v>4</v>
      </c>
      <c r="R11205" t="s">
        <v>47437</v>
      </c>
      <c r="S11205" t="s">
        <v>47706</v>
      </c>
      <c r="T11205" t="s">
        <v>49580</v>
      </c>
      <c r="U11205" t="s">
        <v>58866</v>
      </c>
      <c r="W11205" t="s">
        <v>46678</v>
      </c>
      <c r="X11205" t="s">
        <v>47438</v>
      </c>
    </row>
    <row r="11206" spans="1:24">
      <c r="A11206">
        <f>HYPERLINK("https://www.philgeps.gov.ph/GEPSNONPILOT/Tender/SplashBidNoticeAbstractUI.aspx?menuIndex=3&amp;refID=7146958&amp;Result=3","7146958")</f>
        <v>0</v>
      </c>
      <c r="B11206" t="s">
        <v>2350</v>
      </c>
      <c r="C11206" t="s">
        <v>14443</v>
      </c>
      <c r="D11206" t="s">
        <v>19018</v>
      </c>
      <c r="E11206" t="s">
        <v>28721</v>
      </c>
      <c r="F11206" t="s">
        <v>32831</v>
      </c>
      <c r="G11206" t="s">
        <v>32840</v>
      </c>
      <c r="H11206" t="s">
        <v>32848</v>
      </c>
      <c r="I11206" t="s">
        <v>4487</v>
      </c>
      <c r="J11206" t="s">
        <v>33007</v>
      </c>
      <c r="K11206" t="s">
        <v>42730</v>
      </c>
      <c r="M11206" t="s">
        <v>45539</v>
      </c>
      <c r="N11206" t="s">
        <v>47424</v>
      </c>
      <c r="O11206" t="s">
        <v>47425</v>
      </c>
      <c r="Q11206">
        <v>2</v>
      </c>
      <c r="R11206" t="s">
        <v>47437</v>
      </c>
      <c r="S11206" t="s">
        <v>47647</v>
      </c>
      <c r="T11206" t="s">
        <v>49100</v>
      </c>
      <c r="U11206" t="s">
        <v>50084</v>
      </c>
      <c r="W11206" t="s">
        <v>45539</v>
      </c>
      <c r="X11206" t="s">
        <v>47438</v>
      </c>
    </row>
    <row r="11207" spans="1:24">
      <c r="A11207">
        <f>HYPERLINK("https://www.philgeps.gov.ph/GEPSNONPILOT/Tender/SplashBidNoticeAbstractUI.aspx?menuIndex=3&amp;refID=7147259&amp;Result=3","7147259")</f>
        <v>0</v>
      </c>
      <c r="B11207" t="s">
        <v>3354</v>
      </c>
      <c r="C11207" t="s">
        <v>14444</v>
      </c>
      <c r="D11207" t="s">
        <v>19065</v>
      </c>
      <c r="E11207" t="s">
        <v>19555</v>
      </c>
      <c r="F11207" t="s">
        <v>32831</v>
      </c>
      <c r="G11207" t="s">
        <v>32839</v>
      </c>
      <c r="H11207" t="s">
        <v>32849</v>
      </c>
      <c r="I11207" t="s">
        <v>32889</v>
      </c>
      <c r="J11207" t="s">
        <v>39878</v>
      </c>
      <c r="K11207" t="s">
        <v>42846</v>
      </c>
      <c r="M11207" t="s">
        <v>46679</v>
      </c>
      <c r="N11207" t="s">
        <v>47424</v>
      </c>
      <c r="O11207" t="s">
        <v>47425</v>
      </c>
      <c r="P11207">
        <v>0</v>
      </c>
      <c r="Q11207">
        <v>3</v>
      </c>
      <c r="R11207" t="s">
        <v>47437</v>
      </c>
      <c r="S11207" t="s">
        <v>47706</v>
      </c>
      <c r="T11207" t="s">
        <v>49581</v>
      </c>
      <c r="U11207" t="s">
        <v>58867</v>
      </c>
      <c r="W11207" t="s">
        <v>46679</v>
      </c>
      <c r="X11207" t="s">
        <v>47438</v>
      </c>
    </row>
    <row r="11208" spans="1:24">
      <c r="A11208">
        <f>HYPERLINK("https://www.philgeps.gov.ph/GEPSNONPILOT/Tender/SplashBidNoticeAbstractUI.aspx?menuIndex=3&amp;refID=7146956&amp;Result=3","7146956")</f>
        <v>0</v>
      </c>
      <c r="B11208" t="s">
        <v>3355</v>
      </c>
      <c r="C11208" t="s">
        <v>14445</v>
      </c>
      <c r="D11208" t="s">
        <v>19044</v>
      </c>
      <c r="E11208" t="s">
        <v>28722</v>
      </c>
      <c r="F11208" t="s">
        <v>32833</v>
      </c>
      <c r="G11208" t="s">
        <v>32839</v>
      </c>
      <c r="H11208" t="s">
        <v>32848</v>
      </c>
      <c r="I11208" t="s">
        <v>7416</v>
      </c>
      <c r="J11208" t="s">
        <v>32980</v>
      </c>
      <c r="K11208" t="s">
        <v>42732</v>
      </c>
      <c r="M11208" t="s">
        <v>46680</v>
      </c>
      <c r="N11208" t="s">
        <v>47424</v>
      </c>
      <c r="O11208" t="s">
        <v>47425</v>
      </c>
      <c r="P11208">
        <v>0</v>
      </c>
      <c r="Q11208">
        <v>0</v>
      </c>
      <c r="R11208" t="s">
        <v>47437</v>
      </c>
      <c r="S11208" t="s">
        <v>47706</v>
      </c>
      <c r="T11208" t="s">
        <v>49070</v>
      </c>
      <c r="U11208" t="s">
        <v>58868</v>
      </c>
      <c r="W11208" t="s">
        <v>46680</v>
      </c>
      <c r="X11208" t="s">
        <v>47438</v>
      </c>
    </row>
    <row r="11209" spans="1:24">
      <c r="A11209">
        <f>HYPERLINK("https://www.philgeps.gov.ph/GEPSNONPILOT/Tender/SplashBidNoticeAbstractUI.aspx?menuIndex=3&amp;refID=7146941&amp;Result=3","7146941")</f>
        <v>0</v>
      </c>
      <c r="B11209" t="s">
        <v>2234</v>
      </c>
      <c r="C11209" t="s">
        <v>14446</v>
      </c>
      <c r="D11209" t="s">
        <v>19043</v>
      </c>
      <c r="E11209" t="s">
        <v>28723</v>
      </c>
      <c r="F11209" t="s">
        <v>32831</v>
      </c>
      <c r="G11209" t="s">
        <v>32839</v>
      </c>
      <c r="H11209" t="s">
        <v>32848</v>
      </c>
      <c r="I11209" t="s">
        <v>11484</v>
      </c>
      <c r="J11209" t="s">
        <v>39879</v>
      </c>
      <c r="K11209" t="s">
        <v>42730</v>
      </c>
      <c r="M11209" t="s">
        <v>45415</v>
      </c>
      <c r="N11209" t="s">
        <v>47424</v>
      </c>
      <c r="O11209" t="s">
        <v>47425</v>
      </c>
      <c r="P11209">
        <v>0</v>
      </c>
      <c r="Q11209">
        <v>7</v>
      </c>
      <c r="R11209" t="s">
        <v>47437</v>
      </c>
      <c r="S11209" t="s">
        <v>47706</v>
      </c>
      <c r="T11209" t="s">
        <v>49057</v>
      </c>
      <c r="U11209" t="s">
        <v>58869</v>
      </c>
      <c r="V11209" t="s">
        <v>63869</v>
      </c>
      <c r="W11209" t="s">
        <v>45415</v>
      </c>
      <c r="X11209" t="s">
        <v>47438</v>
      </c>
    </row>
    <row r="11210" spans="1:24">
      <c r="A11210">
        <f>HYPERLINK("https://www.philgeps.gov.ph/GEPSNONPILOT/Tender/SplashBidNoticeAbstractUI.aspx?menuIndex=3&amp;refID=7146970&amp;Result=3","7146970")</f>
        <v>0</v>
      </c>
      <c r="B11210" t="s">
        <v>1997</v>
      </c>
      <c r="C11210" t="s">
        <v>14447</v>
      </c>
      <c r="D11210" t="s">
        <v>19061</v>
      </c>
      <c r="E11210" t="s">
        <v>28724</v>
      </c>
      <c r="F11210" t="s">
        <v>32831</v>
      </c>
      <c r="G11210" t="s">
        <v>32839</v>
      </c>
      <c r="H11210" t="s">
        <v>32848</v>
      </c>
      <c r="I11210" t="s">
        <v>32870</v>
      </c>
      <c r="J11210" t="s">
        <v>39880</v>
      </c>
      <c r="K11210" t="s">
        <v>42730</v>
      </c>
      <c r="M11210" t="s">
        <v>45164</v>
      </c>
      <c r="N11210" t="s">
        <v>47424</v>
      </c>
      <c r="O11210" t="s">
        <v>47425</v>
      </c>
      <c r="P11210">
        <v>0</v>
      </c>
      <c r="Q11210">
        <v>0</v>
      </c>
      <c r="R11210" t="s">
        <v>47437</v>
      </c>
      <c r="S11210" t="s">
        <v>47706</v>
      </c>
      <c r="T11210" t="s">
        <v>49101</v>
      </c>
      <c r="U11210" t="s">
        <v>58780</v>
      </c>
      <c r="W11210" t="s">
        <v>45164</v>
      </c>
      <c r="X11210" t="s">
        <v>47438</v>
      </c>
    </row>
    <row r="11211" spans="1:24">
      <c r="A11211">
        <f>HYPERLINK("https://www.philgeps.gov.ph/GEPSNONPILOT/Tender/SplashBidNoticeAbstractUI.aspx?menuIndex=3&amp;refID=7157707&amp;Result=3","7157707")</f>
        <v>0</v>
      </c>
      <c r="B11211" t="s">
        <v>883</v>
      </c>
      <c r="C11211" t="s">
        <v>14448</v>
      </c>
      <c r="D11211" t="s">
        <v>19080</v>
      </c>
      <c r="E11211" t="s">
        <v>28725</v>
      </c>
      <c r="F11211" t="s">
        <v>32831</v>
      </c>
      <c r="G11211" t="s">
        <v>32839</v>
      </c>
      <c r="H11211" t="s">
        <v>32848</v>
      </c>
      <c r="I11211" t="s">
        <v>32914</v>
      </c>
      <c r="J11211" t="s">
        <v>34578</v>
      </c>
      <c r="K11211" t="s">
        <v>42729</v>
      </c>
      <c r="M11211" t="s">
        <v>43918</v>
      </c>
      <c r="N11211" t="s">
        <v>47424</v>
      </c>
      <c r="O11211" t="s">
        <v>47425</v>
      </c>
      <c r="P11211">
        <v>0</v>
      </c>
      <c r="Q11211">
        <v>13</v>
      </c>
      <c r="R11211" t="s">
        <v>47431</v>
      </c>
      <c r="S11211" t="s">
        <v>47565</v>
      </c>
      <c r="T11211" t="s">
        <v>49363</v>
      </c>
      <c r="U11211" t="s">
        <v>58870</v>
      </c>
      <c r="V11211" t="s">
        <v>63805</v>
      </c>
      <c r="W11211" t="s">
        <v>43918</v>
      </c>
      <c r="X11211" t="s">
        <v>47432</v>
      </c>
    </row>
    <row r="11212" spans="1:24">
      <c r="A11212">
        <f>HYPERLINK("https://www.philgeps.gov.ph/GEPSNONPILOT/Tender/SplashBidNoticeAbstractUI.aspx?menuIndex=3&amp;refID=7157706&amp;Result=3","7157706")</f>
        <v>0</v>
      </c>
      <c r="B11212" t="s">
        <v>1675</v>
      </c>
      <c r="C11212" t="s">
        <v>14449</v>
      </c>
      <c r="D11212" t="s">
        <v>19083</v>
      </c>
      <c r="E11212" t="s">
        <v>28726</v>
      </c>
      <c r="F11212" t="s">
        <v>32831</v>
      </c>
      <c r="G11212" t="s">
        <v>32838</v>
      </c>
      <c r="H11212" t="s">
        <v>32848</v>
      </c>
      <c r="I11212" t="s">
        <v>32862</v>
      </c>
      <c r="J11212" t="s">
        <v>34061</v>
      </c>
      <c r="K11212" t="s">
        <v>42745</v>
      </c>
      <c r="M11212" t="s">
        <v>44793</v>
      </c>
      <c r="N11212" t="s">
        <v>47424</v>
      </c>
      <c r="O11212" t="s">
        <v>47425</v>
      </c>
      <c r="P11212">
        <v>0</v>
      </c>
      <c r="Q11212">
        <v>1</v>
      </c>
      <c r="R11212" t="s">
        <v>47431</v>
      </c>
      <c r="S11212" t="s">
        <v>47565</v>
      </c>
      <c r="T11212" t="s">
        <v>49114</v>
      </c>
      <c r="U11212" t="s">
        <v>58871</v>
      </c>
      <c r="W11212" t="s">
        <v>44793</v>
      </c>
      <c r="X11212" t="s">
        <v>47432</v>
      </c>
    </row>
    <row r="11213" spans="1:24">
      <c r="A11213">
        <f>HYPERLINK("https://www.philgeps.gov.ph/GEPSNONPILOT/Tender/SplashBidNoticeAbstractUI.aspx?menuIndex=3&amp;refID=7146943&amp;Result=3","7146943")</f>
        <v>0</v>
      </c>
      <c r="B11213" t="s">
        <v>2832</v>
      </c>
      <c r="C11213" t="s">
        <v>14450</v>
      </c>
      <c r="D11213" t="s">
        <v>19040</v>
      </c>
      <c r="E11213" t="s">
        <v>28727</v>
      </c>
      <c r="F11213" t="s">
        <v>32831</v>
      </c>
      <c r="G11213" t="s">
        <v>32839</v>
      </c>
      <c r="H11213" t="s">
        <v>32849</v>
      </c>
      <c r="I11213" t="s">
        <v>4177</v>
      </c>
      <c r="J11213" t="s">
        <v>33553</v>
      </c>
      <c r="K11213" t="s">
        <v>42763</v>
      </c>
      <c r="M11213" t="s">
        <v>46064</v>
      </c>
      <c r="N11213" t="s">
        <v>47424</v>
      </c>
      <c r="O11213" t="s">
        <v>47425</v>
      </c>
      <c r="P11213">
        <v>0</v>
      </c>
      <c r="Q11213">
        <v>0</v>
      </c>
      <c r="R11213" t="s">
        <v>47437</v>
      </c>
      <c r="S11213" t="s">
        <v>47706</v>
      </c>
      <c r="T11213" t="s">
        <v>49231</v>
      </c>
      <c r="U11213" t="s">
        <v>58872</v>
      </c>
      <c r="W11213" t="s">
        <v>46064</v>
      </c>
      <c r="X11213" t="s">
        <v>47438</v>
      </c>
    </row>
    <row r="11214" spans="1:24">
      <c r="A11214">
        <f>HYPERLINK("https://www.philgeps.gov.ph/GEPSNONPILOT/Tender/SplashBidNoticeAbstractUI.aspx?menuIndex=3&amp;refID=7157705&amp;Result=3","7157705")</f>
        <v>0</v>
      </c>
      <c r="B11214" t="s">
        <v>3356</v>
      </c>
      <c r="C11214" t="s">
        <v>14451</v>
      </c>
      <c r="D11214" t="s">
        <v>19019</v>
      </c>
      <c r="E11214" t="s">
        <v>27322</v>
      </c>
      <c r="F11214" t="s">
        <v>32831</v>
      </c>
      <c r="G11214" t="s">
        <v>32839</v>
      </c>
      <c r="H11214" t="s">
        <v>32848</v>
      </c>
      <c r="I11214" t="s">
        <v>7416</v>
      </c>
      <c r="J11214" t="s">
        <v>39881</v>
      </c>
      <c r="K11214" t="s">
        <v>42732</v>
      </c>
      <c r="M11214" t="s">
        <v>46681</v>
      </c>
      <c r="N11214" t="s">
        <v>47424</v>
      </c>
      <c r="O11214" t="s">
        <v>47425</v>
      </c>
      <c r="P11214">
        <v>0</v>
      </c>
      <c r="Q11214">
        <v>0</v>
      </c>
      <c r="R11214" t="s">
        <v>47431</v>
      </c>
      <c r="S11214" t="s">
        <v>47565</v>
      </c>
      <c r="T11214" t="s">
        <v>49123</v>
      </c>
      <c r="U11214" t="s">
        <v>58873</v>
      </c>
      <c r="W11214" t="s">
        <v>46681</v>
      </c>
      <c r="X11214" t="s">
        <v>47432</v>
      </c>
    </row>
    <row r="11215" spans="1:24">
      <c r="A11215">
        <f>HYPERLINK("https://www.philgeps.gov.ph/GEPSNONPILOT/Tender/SplashBidNoticeAbstractUI.aspx?menuIndex=3&amp;refID=7157704&amp;Result=3","7157704")</f>
        <v>0</v>
      </c>
      <c r="B11215" t="s">
        <v>2539</v>
      </c>
      <c r="C11215" t="s">
        <v>14452</v>
      </c>
      <c r="D11215" t="s">
        <v>19041</v>
      </c>
      <c r="E11215" t="s">
        <v>28728</v>
      </c>
      <c r="F11215" t="s">
        <v>32831</v>
      </c>
      <c r="G11215" t="s">
        <v>32839</v>
      </c>
      <c r="H11215" t="s">
        <v>32849</v>
      </c>
      <c r="I11215" t="s">
        <v>4177</v>
      </c>
      <c r="J11215" t="s">
        <v>32978</v>
      </c>
      <c r="K11215" t="s">
        <v>42766</v>
      </c>
      <c r="M11215" t="s">
        <v>45749</v>
      </c>
      <c r="N11215" t="s">
        <v>47424</v>
      </c>
      <c r="O11215" t="s">
        <v>47425</v>
      </c>
      <c r="P11215">
        <v>0</v>
      </c>
      <c r="Q11215">
        <v>0</v>
      </c>
      <c r="R11215" t="s">
        <v>47431</v>
      </c>
      <c r="S11215" t="s">
        <v>47565</v>
      </c>
      <c r="T11215" t="s">
        <v>49057</v>
      </c>
      <c r="U11215" t="s">
        <v>55862</v>
      </c>
      <c r="W11215" t="s">
        <v>45749</v>
      </c>
      <c r="X11215" t="s">
        <v>47432</v>
      </c>
    </row>
    <row r="11216" spans="1:24">
      <c r="A11216">
        <f>HYPERLINK("https://www.philgeps.gov.ph/GEPSNONPILOT/Tender/SplashBidNoticeAbstractUI.aspx?menuIndex=3&amp;refID=7158653&amp;Result=3","7158653")</f>
        <v>0</v>
      </c>
      <c r="B11216" t="s">
        <v>633</v>
      </c>
      <c r="C11216" t="s">
        <v>14453</v>
      </c>
      <c r="D11216" t="s">
        <v>19062</v>
      </c>
      <c r="E11216" t="s">
        <v>28729</v>
      </c>
      <c r="F11216" t="s">
        <v>32831</v>
      </c>
      <c r="G11216" t="s">
        <v>32838</v>
      </c>
      <c r="H11216" t="s">
        <v>32848</v>
      </c>
      <c r="I11216" t="s">
        <v>32857</v>
      </c>
      <c r="J11216" t="s">
        <v>33397</v>
      </c>
      <c r="K11216" t="s">
        <v>42750</v>
      </c>
      <c r="M11216" t="s">
        <v>43650</v>
      </c>
      <c r="N11216" t="s">
        <v>47424</v>
      </c>
      <c r="O11216" t="s">
        <v>47425</v>
      </c>
      <c r="P11216">
        <v>0</v>
      </c>
      <c r="Q11216">
        <v>4</v>
      </c>
      <c r="R11216" t="s">
        <v>47430</v>
      </c>
      <c r="S11216" t="s">
        <v>47549</v>
      </c>
      <c r="T11216" t="s">
        <v>49127</v>
      </c>
      <c r="U11216" t="s">
        <v>58874</v>
      </c>
      <c r="W11216" t="s">
        <v>43650</v>
      </c>
      <c r="X11216" t="s">
        <v>47431</v>
      </c>
    </row>
    <row r="11217" spans="1:24">
      <c r="A11217">
        <f>HYPERLINK("https://www.philgeps.gov.ph/GEPSNONPILOT/Tender/SplashBidNoticeAbstractUI.aspx?menuIndex=3&amp;refID=7158650&amp;Result=3","7158650")</f>
        <v>0</v>
      </c>
      <c r="B11217" t="s">
        <v>3357</v>
      </c>
      <c r="C11217" t="s">
        <v>14454</v>
      </c>
      <c r="D11217" t="s">
        <v>19054</v>
      </c>
      <c r="E11217" t="s">
        <v>28730</v>
      </c>
      <c r="F11217" t="s">
        <v>32832</v>
      </c>
      <c r="G11217" t="s">
        <v>32839</v>
      </c>
      <c r="H11217" t="s">
        <v>32848</v>
      </c>
      <c r="I11217" t="s">
        <v>4303</v>
      </c>
      <c r="J11217" t="s">
        <v>39882</v>
      </c>
      <c r="K11217" t="s">
        <v>42727</v>
      </c>
      <c r="M11217" t="s">
        <v>46682</v>
      </c>
      <c r="N11217" t="s">
        <v>47424</v>
      </c>
      <c r="O11217" t="s">
        <v>47425</v>
      </c>
      <c r="P11217">
        <v>0</v>
      </c>
      <c r="Q11217">
        <v>0</v>
      </c>
      <c r="R11217" t="s">
        <v>47430</v>
      </c>
      <c r="S11217" t="s">
        <v>47549</v>
      </c>
      <c r="T11217" t="s">
        <v>49137</v>
      </c>
      <c r="U11217" t="s">
        <v>58875</v>
      </c>
      <c r="W11217" t="s">
        <v>47178</v>
      </c>
      <c r="X11217" t="s">
        <v>47431</v>
      </c>
    </row>
    <row r="11218" spans="1:24">
      <c r="A11218">
        <f>HYPERLINK("https://www.philgeps.gov.ph/GEPSNONPILOT/Tender/SplashBidNoticeAbstractUI.aspx?menuIndex=3&amp;refID=7158649&amp;Result=3","7158649")</f>
        <v>0</v>
      </c>
      <c r="B11218" t="s">
        <v>1760</v>
      </c>
      <c r="C11218" t="s">
        <v>14455</v>
      </c>
      <c r="D11218" t="s">
        <v>19058</v>
      </c>
      <c r="E11218" t="s">
        <v>28731</v>
      </c>
      <c r="F11218" t="s">
        <v>32831</v>
      </c>
      <c r="G11218" t="s">
        <v>32838</v>
      </c>
      <c r="H11218" t="s">
        <v>32848</v>
      </c>
      <c r="I11218" t="s">
        <v>4776</v>
      </c>
      <c r="J11218" t="s">
        <v>32983</v>
      </c>
      <c r="K11218" t="s">
        <v>42745</v>
      </c>
      <c r="M11218" t="s">
        <v>44884</v>
      </c>
      <c r="N11218" t="s">
        <v>47424</v>
      </c>
      <c r="O11218" t="s">
        <v>47425</v>
      </c>
      <c r="P11218">
        <v>0</v>
      </c>
      <c r="Q11218">
        <v>5</v>
      </c>
      <c r="R11218" t="s">
        <v>47430</v>
      </c>
      <c r="S11218" t="s">
        <v>47549</v>
      </c>
      <c r="T11218" t="s">
        <v>49237</v>
      </c>
      <c r="U11218" t="s">
        <v>58876</v>
      </c>
      <c r="W11218" t="s">
        <v>44884</v>
      </c>
      <c r="X11218" t="s">
        <v>47431</v>
      </c>
    </row>
    <row r="11219" spans="1:24">
      <c r="A11219">
        <f>HYPERLINK("https://www.philgeps.gov.ph/GEPSNONPILOT/Tender/SplashBidNoticeAbstractUI.aspx?menuIndex=3&amp;refID=7158648&amp;Result=3","7158648")</f>
        <v>0</v>
      </c>
      <c r="B11219" t="s">
        <v>1647</v>
      </c>
      <c r="C11219" t="s">
        <v>14456</v>
      </c>
      <c r="E11219" t="s">
        <v>28732</v>
      </c>
      <c r="F11219" t="s">
        <v>32831</v>
      </c>
      <c r="G11219" t="s">
        <v>32839</v>
      </c>
      <c r="H11219" t="s">
        <v>32848</v>
      </c>
      <c r="I11219" t="s">
        <v>4438</v>
      </c>
      <c r="J11219" t="s">
        <v>39883</v>
      </c>
      <c r="K11219" t="s">
        <v>42732</v>
      </c>
      <c r="M11219" t="s">
        <v>44764</v>
      </c>
      <c r="N11219" t="s">
        <v>47424</v>
      </c>
      <c r="O11219" t="s">
        <v>47425</v>
      </c>
      <c r="P11219">
        <v>0</v>
      </c>
      <c r="Q11219">
        <v>0</v>
      </c>
      <c r="R11219" t="s">
        <v>47430</v>
      </c>
      <c r="S11219" t="s">
        <v>47549</v>
      </c>
      <c r="T11219" t="s">
        <v>49129</v>
      </c>
      <c r="U11219" t="s">
        <v>58877</v>
      </c>
      <c r="W11219" t="s">
        <v>44764</v>
      </c>
      <c r="X11219" t="s">
        <v>47431</v>
      </c>
    </row>
    <row r="11220" spans="1:24">
      <c r="A11220">
        <f>HYPERLINK("https://www.philgeps.gov.ph/GEPSNONPILOT/Tender/SplashBidNoticeAbstractUI.aspx?menuIndex=3&amp;refID=7157829&amp;Result=3","7157829")</f>
        <v>0</v>
      </c>
      <c r="B11220" t="s">
        <v>1611</v>
      </c>
      <c r="C11220" t="s">
        <v>14457</v>
      </c>
      <c r="D11220" t="s">
        <v>19077</v>
      </c>
      <c r="E11220" t="s">
        <v>28733</v>
      </c>
      <c r="F11220" t="s">
        <v>32831</v>
      </c>
      <c r="G11220" t="s">
        <v>32840</v>
      </c>
      <c r="H11220" t="s">
        <v>32848</v>
      </c>
      <c r="I11220" t="s">
        <v>32870</v>
      </c>
      <c r="J11220" t="s">
        <v>39884</v>
      </c>
      <c r="K11220" t="s">
        <v>42726</v>
      </c>
      <c r="M11220" t="s">
        <v>44727</v>
      </c>
      <c r="N11220" t="s">
        <v>47424</v>
      </c>
      <c r="O11220" t="s">
        <v>47425</v>
      </c>
      <c r="P11220">
        <v>0</v>
      </c>
      <c r="Q11220">
        <v>0</v>
      </c>
      <c r="R11220" t="s">
        <v>47430</v>
      </c>
      <c r="S11220" t="s">
        <v>47549</v>
      </c>
      <c r="T11220" t="s">
        <v>49056</v>
      </c>
      <c r="U11220" t="s">
        <v>58878</v>
      </c>
      <c r="W11220" t="s">
        <v>44727</v>
      </c>
      <c r="X11220" t="s">
        <v>47432</v>
      </c>
    </row>
    <row r="11221" spans="1:24">
      <c r="A11221">
        <f>HYPERLINK("https://www.philgeps.gov.ph/GEPSNONPILOT/Tender/SplashBidNoticeAbstractUI.aspx?menuIndex=3&amp;refID=7157816&amp;Result=3","7157816")</f>
        <v>0</v>
      </c>
      <c r="B11221" t="s">
        <v>1616</v>
      </c>
      <c r="C11221" t="s">
        <v>14458</v>
      </c>
      <c r="D11221" t="s">
        <v>19033</v>
      </c>
      <c r="E11221" t="s">
        <v>28734</v>
      </c>
      <c r="F11221" t="s">
        <v>32831</v>
      </c>
      <c r="G11221" t="s">
        <v>32840</v>
      </c>
      <c r="H11221" t="s">
        <v>32848</v>
      </c>
      <c r="I11221" t="s">
        <v>4776</v>
      </c>
      <c r="J11221" t="s">
        <v>39885</v>
      </c>
      <c r="K11221" t="s">
        <v>42731</v>
      </c>
      <c r="M11221" t="s">
        <v>44732</v>
      </c>
      <c r="N11221" t="s">
        <v>47424</v>
      </c>
      <c r="O11221" t="s">
        <v>47425</v>
      </c>
      <c r="P11221">
        <v>0</v>
      </c>
      <c r="Q11221">
        <v>3</v>
      </c>
      <c r="R11221" t="s">
        <v>47430</v>
      </c>
      <c r="S11221" t="s">
        <v>47549</v>
      </c>
      <c r="T11221" t="s">
        <v>49111</v>
      </c>
      <c r="U11221" t="s">
        <v>53047</v>
      </c>
      <c r="W11221" t="s">
        <v>44732</v>
      </c>
      <c r="X11221" t="s">
        <v>47432</v>
      </c>
    </row>
    <row r="11222" spans="1:24">
      <c r="A11222">
        <f>HYPERLINK("https://www.philgeps.gov.ph/GEPSNONPILOT/Tender/SplashBidNoticeAbstractUI.aspx?menuIndex=3&amp;refID=7157809&amp;Result=3","7157809")</f>
        <v>0</v>
      </c>
      <c r="B11222" t="s">
        <v>1654</v>
      </c>
      <c r="C11222" t="s">
        <v>14459</v>
      </c>
      <c r="D11222" t="s">
        <v>19058</v>
      </c>
      <c r="E11222" t="s">
        <v>28735</v>
      </c>
      <c r="F11222" t="s">
        <v>32831</v>
      </c>
      <c r="G11222" t="s">
        <v>32839</v>
      </c>
      <c r="H11222" t="s">
        <v>32849</v>
      </c>
      <c r="I11222" t="s">
        <v>4177</v>
      </c>
      <c r="J11222" t="s">
        <v>39886</v>
      </c>
      <c r="K11222" t="s">
        <v>42764</v>
      </c>
      <c r="M11222" t="s">
        <v>44771</v>
      </c>
      <c r="N11222" t="s">
        <v>47424</v>
      </c>
      <c r="O11222" t="s">
        <v>47425</v>
      </c>
      <c r="P11222">
        <v>0</v>
      </c>
      <c r="Q11222">
        <v>0</v>
      </c>
      <c r="R11222" t="s">
        <v>47430</v>
      </c>
      <c r="S11222" t="s">
        <v>47549</v>
      </c>
      <c r="T11222" t="s">
        <v>49078</v>
      </c>
      <c r="U11222" t="s">
        <v>58879</v>
      </c>
      <c r="W11222" t="s">
        <v>44771</v>
      </c>
      <c r="X11222" t="s">
        <v>47432</v>
      </c>
    </row>
    <row r="11223" spans="1:24">
      <c r="A11223">
        <f>HYPERLINK("https://www.philgeps.gov.ph/GEPSNONPILOT/Tender/SplashBidNoticeAbstractUI.aspx?menuIndex=3&amp;refID=7158652&amp;Result=3","7158652")</f>
        <v>0</v>
      </c>
      <c r="B11223" t="s">
        <v>583</v>
      </c>
      <c r="C11223" t="s">
        <v>14460</v>
      </c>
      <c r="D11223" t="s">
        <v>19069</v>
      </c>
      <c r="E11223" t="s">
        <v>28736</v>
      </c>
      <c r="F11223" t="s">
        <v>32831</v>
      </c>
      <c r="G11223" t="s">
        <v>32839</v>
      </c>
      <c r="H11223" t="s">
        <v>32848</v>
      </c>
      <c r="I11223" t="s">
        <v>32860</v>
      </c>
      <c r="J11223" t="s">
        <v>33241</v>
      </c>
      <c r="K11223" t="s">
        <v>42730</v>
      </c>
      <c r="M11223" t="s">
        <v>43594</v>
      </c>
      <c r="N11223" t="s">
        <v>47424</v>
      </c>
      <c r="O11223" t="s">
        <v>47425</v>
      </c>
      <c r="P11223">
        <v>0</v>
      </c>
      <c r="Q11223">
        <v>5</v>
      </c>
      <c r="R11223" t="s">
        <v>47430</v>
      </c>
      <c r="S11223" t="s">
        <v>47549</v>
      </c>
      <c r="T11223" t="s">
        <v>49129</v>
      </c>
      <c r="U11223" t="s">
        <v>58880</v>
      </c>
      <c r="V11223" t="s">
        <v>62762</v>
      </c>
      <c r="W11223" t="s">
        <v>43594</v>
      </c>
      <c r="X11223" t="s">
        <v>47431</v>
      </c>
    </row>
    <row r="11224" spans="1:24">
      <c r="A11224">
        <f>HYPERLINK("https://www.philgeps.gov.ph/GEPSNONPILOT/Tender/SplashBidNoticeAbstractUI.aspx?menuIndex=3&amp;refID=7146959&amp;Result=3","7146959")</f>
        <v>0</v>
      </c>
      <c r="B11224" t="s">
        <v>3358</v>
      </c>
      <c r="C11224" t="s">
        <v>14461</v>
      </c>
      <c r="D11224" t="s">
        <v>19086</v>
      </c>
      <c r="E11224" t="s">
        <v>28737</v>
      </c>
      <c r="F11224" t="s">
        <v>32831</v>
      </c>
      <c r="G11224" t="s">
        <v>32839</v>
      </c>
      <c r="H11224" t="s">
        <v>32848</v>
      </c>
      <c r="I11224" t="s">
        <v>32858</v>
      </c>
      <c r="J11224" t="s">
        <v>39887</v>
      </c>
      <c r="K11224" t="s">
        <v>42730</v>
      </c>
      <c r="M11224" t="s">
        <v>46683</v>
      </c>
      <c r="N11224" t="s">
        <v>47424</v>
      </c>
      <c r="O11224" t="s">
        <v>47425</v>
      </c>
      <c r="P11224">
        <v>0</v>
      </c>
      <c r="Q11224">
        <v>4</v>
      </c>
      <c r="R11224" t="s">
        <v>47437</v>
      </c>
      <c r="S11224" t="s">
        <v>47706</v>
      </c>
      <c r="T11224" t="s">
        <v>49112</v>
      </c>
      <c r="U11224" t="s">
        <v>58881</v>
      </c>
      <c r="W11224" t="s">
        <v>46683</v>
      </c>
      <c r="X11224" t="s">
        <v>47438</v>
      </c>
    </row>
    <row r="11225" spans="1:24">
      <c r="A11225">
        <f>HYPERLINK("https://www.philgeps.gov.ph/GEPSNONPILOT/Tender/SplashBidNoticeAbstractUI.aspx?menuIndex=3&amp;refID=7157790&amp;Result=3","7157790")</f>
        <v>0</v>
      </c>
      <c r="B11225" t="s">
        <v>1609</v>
      </c>
      <c r="C11225" t="s">
        <v>14462</v>
      </c>
      <c r="D11225" t="s">
        <v>19060</v>
      </c>
      <c r="E11225" t="s">
        <v>28738</v>
      </c>
      <c r="F11225" t="s">
        <v>32831</v>
      </c>
      <c r="G11225" t="s">
        <v>32838</v>
      </c>
      <c r="H11225" t="s">
        <v>32848</v>
      </c>
      <c r="I11225" t="s">
        <v>4177</v>
      </c>
      <c r="J11225" t="s">
        <v>39888</v>
      </c>
      <c r="K11225" t="s">
        <v>42730</v>
      </c>
      <c r="M11225" t="s">
        <v>44725</v>
      </c>
      <c r="N11225" t="s">
        <v>47424</v>
      </c>
      <c r="O11225" t="s">
        <v>47425</v>
      </c>
      <c r="P11225">
        <v>0</v>
      </c>
      <c r="Q11225">
        <v>0</v>
      </c>
      <c r="R11225" t="s">
        <v>47430</v>
      </c>
      <c r="S11225" t="s">
        <v>47549</v>
      </c>
      <c r="T11225" t="s">
        <v>49056</v>
      </c>
      <c r="U11225" t="s">
        <v>58882</v>
      </c>
      <c r="V11225" t="s">
        <v>62833</v>
      </c>
      <c r="W11225" t="s">
        <v>44725</v>
      </c>
      <c r="X11225" t="s">
        <v>47432</v>
      </c>
    </row>
    <row r="11226" spans="1:24">
      <c r="A11226">
        <f>HYPERLINK("https://www.philgeps.gov.ph/GEPSNONPILOT/Tender/SplashBidNoticeAbstractUI.aspx?menuIndex=3&amp;refID=7157802&amp;Result=3","7157802")</f>
        <v>0</v>
      </c>
      <c r="B11226" t="s">
        <v>1608</v>
      </c>
      <c r="C11226" t="s">
        <v>14463</v>
      </c>
      <c r="D11226" t="s">
        <v>19058</v>
      </c>
      <c r="E11226" t="s">
        <v>28739</v>
      </c>
      <c r="F11226" t="s">
        <v>32831</v>
      </c>
      <c r="G11226" t="s">
        <v>32839</v>
      </c>
      <c r="H11226" t="s">
        <v>32849</v>
      </c>
      <c r="I11226" t="s">
        <v>4177</v>
      </c>
      <c r="J11226" t="s">
        <v>39889</v>
      </c>
      <c r="K11226" t="s">
        <v>42770</v>
      </c>
      <c r="M11226" t="s">
        <v>44724</v>
      </c>
      <c r="N11226" t="s">
        <v>47424</v>
      </c>
      <c r="O11226" t="s">
        <v>47425</v>
      </c>
      <c r="P11226">
        <v>0</v>
      </c>
      <c r="Q11226">
        <v>0</v>
      </c>
      <c r="R11226" t="s">
        <v>47430</v>
      </c>
      <c r="S11226" t="s">
        <v>47549</v>
      </c>
      <c r="T11226" t="s">
        <v>49077</v>
      </c>
      <c r="U11226" t="s">
        <v>53033</v>
      </c>
      <c r="V11226" t="s">
        <v>63870</v>
      </c>
      <c r="W11226" t="s">
        <v>44724</v>
      </c>
      <c r="X11226" t="s">
        <v>47432</v>
      </c>
    </row>
    <row r="11227" spans="1:24">
      <c r="A11227">
        <f>HYPERLINK("https://www.philgeps.gov.ph/GEPSNONPILOT/Tender/SplashBidNoticeAbstractUI.aspx?menuIndex=3&amp;refID=7157476&amp;Result=3","7157476")</f>
        <v>0</v>
      </c>
      <c r="B11227" t="s">
        <v>43</v>
      </c>
      <c r="C11227" t="s">
        <v>10854</v>
      </c>
      <c r="D11227" t="s">
        <v>19032</v>
      </c>
      <c r="E11227" t="s">
        <v>28740</v>
      </c>
      <c r="F11227" t="s">
        <v>32831</v>
      </c>
      <c r="G11227" t="s">
        <v>32839</v>
      </c>
      <c r="H11227" t="s">
        <v>32849</v>
      </c>
      <c r="I11227" t="s">
        <v>4177</v>
      </c>
      <c r="J11227" t="s">
        <v>33055</v>
      </c>
      <c r="K11227" t="s">
        <v>42746</v>
      </c>
      <c r="M11227" t="s">
        <v>43040</v>
      </c>
      <c r="N11227" t="s">
        <v>47424</v>
      </c>
      <c r="O11227" t="s">
        <v>47425</v>
      </c>
      <c r="P11227">
        <v>0</v>
      </c>
      <c r="Q11227">
        <v>0</v>
      </c>
      <c r="R11227" t="s">
        <v>47430</v>
      </c>
      <c r="S11227" t="s">
        <v>47549</v>
      </c>
      <c r="T11227" t="s">
        <v>49582</v>
      </c>
      <c r="U11227" t="s">
        <v>58883</v>
      </c>
      <c r="W11227" t="s">
        <v>43040</v>
      </c>
      <c r="X11227" t="s">
        <v>47432</v>
      </c>
    </row>
    <row r="11228" spans="1:24">
      <c r="A11228">
        <f>HYPERLINK("https://www.philgeps.gov.ph/GEPSNONPILOT/Tender/SplashBidNoticeAbstractUI.aspx?menuIndex=3&amp;refID=7147202&amp;Result=3","7147202")</f>
        <v>0</v>
      </c>
      <c r="B11228" t="s">
        <v>3352</v>
      </c>
      <c r="C11228" t="s">
        <v>14464</v>
      </c>
      <c r="D11228" t="s">
        <v>19095</v>
      </c>
      <c r="E11228" t="s">
        <v>22782</v>
      </c>
      <c r="F11228" t="s">
        <v>32831</v>
      </c>
      <c r="G11228" t="s">
        <v>32839</v>
      </c>
      <c r="H11228" t="s">
        <v>32848</v>
      </c>
      <c r="I11228" t="s">
        <v>7416</v>
      </c>
      <c r="J11228" t="s">
        <v>39890</v>
      </c>
      <c r="K11228" t="s">
        <v>42730</v>
      </c>
      <c r="M11228" t="s">
        <v>46677</v>
      </c>
      <c r="N11228" t="s">
        <v>47424</v>
      </c>
      <c r="O11228" t="s">
        <v>47425</v>
      </c>
      <c r="P11228">
        <v>0</v>
      </c>
      <c r="Q11228">
        <v>0</v>
      </c>
      <c r="R11228" t="s">
        <v>47437</v>
      </c>
      <c r="S11228" t="s">
        <v>47706</v>
      </c>
      <c r="T11228" t="s">
        <v>49142</v>
      </c>
      <c r="U11228" t="s">
        <v>58884</v>
      </c>
      <c r="W11228" t="s">
        <v>46677</v>
      </c>
      <c r="X11228" t="s">
        <v>47438</v>
      </c>
    </row>
    <row r="11229" spans="1:24">
      <c r="A11229">
        <f>HYPERLINK("https://www.philgeps.gov.ph/GEPSNONPILOT/Tender/SplashBidNoticeAbstractUI.aspx?menuIndex=3&amp;refID=7157431&amp;Result=3","7157431")</f>
        <v>0</v>
      </c>
      <c r="B11229" t="s">
        <v>43</v>
      </c>
      <c r="C11229" t="s">
        <v>3976</v>
      </c>
      <c r="D11229" t="s">
        <v>19032</v>
      </c>
      <c r="E11229" t="s">
        <v>28741</v>
      </c>
      <c r="F11229" t="s">
        <v>32831</v>
      </c>
      <c r="G11229" t="s">
        <v>32839</v>
      </c>
      <c r="H11229" t="s">
        <v>32849</v>
      </c>
      <c r="I11229" t="s">
        <v>4177</v>
      </c>
      <c r="J11229" t="s">
        <v>33118</v>
      </c>
      <c r="K11229" t="s">
        <v>42729</v>
      </c>
      <c r="M11229" t="s">
        <v>43040</v>
      </c>
      <c r="N11229" t="s">
        <v>47424</v>
      </c>
      <c r="O11229" t="s">
        <v>47425</v>
      </c>
      <c r="P11229">
        <v>0</v>
      </c>
      <c r="Q11229">
        <v>0</v>
      </c>
      <c r="R11229" t="s">
        <v>47430</v>
      </c>
      <c r="S11229" t="s">
        <v>47549</v>
      </c>
      <c r="T11229" t="s">
        <v>49583</v>
      </c>
      <c r="U11229" t="s">
        <v>58885</v>
      </c>
      <c r="W11229" t="s">
        <v>43040</v>
      </c>
      <c r="X11229" t="s">
        <v>47432</v>
      </c>
    </row>
    <row r="11230" spans="1:24">
      <c r="A11230">
        <f>HYPERLINK("https://www.philgeps.gov.ph/GEPSNONPILOT/Tender/SplashBidNoticeAbstractUI.aspx?menuIndex=3&amp;refID=7156152&amp;Result=3","7156152")</f>
        <v>0</v>
      </c>
      <c r="B11230" t="s">
        <v>80</v>
      </c>
      <c r="C11230" t="s">
        <v>14465</v>
      </c>
      <c r="D11230" t="s">
        <v>19048</v>
      </c>
      <c r="E11230" t="s">
        <v>28742</v>
      </c>
      <c r="F11230" t="s">
        <v>32831</v>
      </c>
      <c r="G11230" t="s">
        <v>32839</v>
      </c>
      <c r="H11230" t="s">
        <v>32848</v>
      </c>
      <c r="I11230" t="s">
        <v>4776</v>
      </c>
      <c r="J11230" t="s">
        <v>33706</v>
      </c>
      <c r="K11230" t="s">
        <v>42730</v>
      </c>
      <c r="M11230" t="s">
        <v>43077</v>
      </c>
      <c r="N11230" t="s">
        <v>47424</v>
      </c>
      <c r="O11230" t="s">
        <v>47425</v>
      </c>
      <c r="P11230">
        <v>0</v>
      </c>
      <c r="Q11230">
        <v>4</v>
      </c>
      <c r="R11230" t="s">
        <v>47430</v>
      </c>
      <c r="S11230" t="s">
        <v>47549</v>
      </c>
      <c r="T11230" t="s">
        <v>49104</v>
      </c>
      <c r="U11230" t="s">
        <v>58886</v>
      </c>
      <c r="W11230" t="s">
        <v>43077</v>
      </c>
      <c r="X11230" t="s">
        <v>47432</v>
      </c>
    </row>
    <row r="11231" spans="1:24">
      <c r="A11231">
        <f>HYPERLINK("https://www.philgeps.gov.ph/GEPSNONPILOT/Tender/SplashBidNoticeAbstractUI.aspx?menuIndex=3&amp;refID=7147221&amp;Result=3","7147221")</f>
        <v>0</v>
      </c>
      <c r="B11231" t="s">
        <v>3359</v>
      </c>
      <c r="C11231" t="s">
        <v>14466</v>
      </c>
      <c r="D11231" t="s">
        <v>19044</v>
      </c>
      <c r="E11231" t="s">
        <v>28743</v>
      </c>
      <c r="F11231" t="s">
        <v>32831</v>
      </c>
      <c r="G11231" t="s">
        <v>32839</v>
      </c>
      <c r="H11231" t="s">
        <v>32848</v>
      </c>
      <c r="I11231" t="s">
        <v>4222</v>
      </c>
      <c r="J11231" t="s">
        <v>39891</v>
      </c>
      <c r="K11231" t="s">
        <v>42735</v>
      </c>
      <c r="M11231" t="s">
        <v>46684</v>
      </c>
      <c r="N11231" t="s">
        <v>47424</v>
      </c>
      <c r="O11231" t="s">
        <v>47425</v>
      </c>
      <c r="P11231">
        <v>0</v>
      </c>
      <c r="Q11231">
        <v>6</v>
      </c>
      <c r="R11231" t="s">
        <v>47437</v>
      </c>
      <c r="S11231" t="s">
        <v>47706</v>
      </c>
      <c r="T11231" t="s">
        <v>49173</v>
      </c>
      <c r="U11231" t="s">
        <v>58887</v>
      </c>
      <c r="W11231" t="s">
        <v>46684</v>
      </c>
      <c r="X11231" t="s">
        <v>47438</v>
      </c>
    </row>
    <row r="11232" spans="1:24">
      <c r="A11232">
        <f>HYPERLINK("https://www.philgeps.gov.ph/GEPSNONPILOT/Tender/SplashBidNoticeAbstractUI.aspx?menuIndex=3&amp;refID=7157463&amp;Result=3","7157463")</f>
        <v>0</v>
      </c>
      <c r="B11232" t="s">
        <v>2472</v>
      </c>
      <c r="C11232" t="s">
        <v>14467</v>
      </c>
      <c r="D11232" t="s">
        <v>19082</v>
      </c>
      <c r="E11232" t="s">
        <v>19471</v>
      </c>
      <c r="F11232" t="s">
        <v>32831</v>
      </c>
      <c r="G11232" t="s">
        <v>32838</v>
      </c>
      <c r="H11232" t="s">
        <v>32848</v>
      </c>
      <c r="I11232" t="s">
        <v>4776</v>
      </c>
      <c r="J11232" t="s">
        <v>33922</v>
      </c>
      <c r="K11232" t="s">
        <v>42726</v>
      </c>
      <c r="M11232" t="s">
        <v>45671</v>
      </c>
      <c r="N11232" t="s">
        <v>47424</v>
      </c>
      <c r="O11232" t="s">
        <v>47425</v>
      </c>
      <c r="P11232">
        <v>0</v>
      </c>
      <c r="Q11232">
        <v>0</v>
      </c>
      <c r="R11232" t="s">
        <v>47430</v>
      </c>
      <c r="S11232" t="s">
        <v>47549</v>
      </c>
      <c r="T11232" t="s">
        <v>49114</v>
      </c>
      <c r="U11232" t="s">
        <v>58888</v>
      </c>
      <c r="W11232" t="s">
        <v>45671</v>
      </c>
      <c r="X11232" t="s">
        <v>47432</v>
      </c>
    </row>
    <row r="11233" spans="1:24">
      <c r="A11233">
        <f>HYPERLINK("https://www.philgeps.gov.ph/GEPSNONPILOT/Tender/SplashBidNoticeAbstractUI.aspx?menuIndex=3&amp;refID=7156249&amp;Result=3","7156249")</f>
        <v>0</v>
      </c>
      <c r="B11233" t="s">
        <v>2979</v>
      </c>
      <c r="C11233" t="s">
        <v>14468</v>
      </c>
      <c r="D11233" t="s">
        <v>19029</v>
      </c>
      <c r="E11233" t="s">
        <v>28744</v>
      </c>
      <c r="F11233" t="s">
        <v>32831</v>
      </c>
      <c r="G11233" t="s">
        <v>32839</v>
      </c>
      <c r="H11233" t="s">
        <v>32848</v>
      </c>
      <c r="I11233" t="s">
        <v>7416</v>
      </c>
      <c r="J11233" t="s">
        <v>39892</v>
      </c>
      <c r="K11233" t="s">
        <v>42727</v>
      </c>
      <c r="M11233" t="s">
        <v>46242</v>
      </c>
      <c r="N11233" t="s">
        <v>47424</v>
      </c>
      <c r="O11233" t="s">
        <v>47425</v>
      </c>
      <c r="P11233">
        <v>0</v>
      </c>
      <c r="Q11233">
        <v>1</v>
      </c>
      <c r="R11233" t="s">
        <v>47430</v>
      </c>
      <c r="S11233" t="s">
        <v>47549</v>
      </c>
      <c r="T11233" t="s">
        <v>49188</v>
      </c>
      <c r="U11233" t="s">
        <v>58889</v>
      </c>
      <c r="W11233" t="s">
        <v>46242</v>
      </c>
      <c r="X11233" t="s">
        <v>47432</v>
      </c>
    </row>
    <row r="11234" spans="1:24">
      <c r="A11234">
        <f>HYPERLINK("https://www.philgeps.gov.ph/GEPSNONPILOT/Tender/SplashBidNoticeAbstractUI.aspx?menuIndex=3&amp;refID=7155569&amp;Result=3","7155569")</f>
        <v>0</v>
      </c>
      <c r="B11234" t="s">
        <v>1595</v>
      </c>
      <c r="C11234" t="s">
        <v>14469</v>
      </c>
      <c r="D11234" t="s">
        <v>19022</v>
      </c>
      <c r="E11234" t="s">
        <v>28745</v>
      </c>
      <c r="F11234" t="s">
        <v>32831</v>
      </c>
      <c r="G11234" t="s">
        <v>32839</v>
      </c>
      <c r="H11234" t="s">
        <v>32849</v>
      </c>
      <c r="I11234" t="s">
        <v>4177</v>
      </c>
      <c r="J11234" t="s">
        <v>39893</v>
      </c>
      <c r="K11234" t="s">
        <v>42837</v>
      </c>
      <c r="M11234" t="s">
        <v>44709</v>
      </c>
      <c r="N11234" t="s">
        <v>47424</v>
      </c>
      <c r="O11234" t="s">
        <v>47425</v>
      </c>
      <c r="P11234">
        <v>0</v>
      </c>
      <c r="Q11234">
        <v>1</v>
      </c>
      <c r="R11234" t="s">
        <v>47430</v>
      </c>
      <c r="S11234" t="s">
        <v>47549</v>
      </c>
      <c r="T11234" t="s">
        <v>49319</v>
      </c>
      <c r="U11234" t="s">
        <v>58890</v>
      </c>
      <c r="W11234" t="s">
        <v>44709</v>
      </c>
      <c r="X11234" t="s">
        <v>47432</v>
      </c>
    </row>
    <row r="11235" spans="1:24">
      <c r="A11235">
        <f>HYPERLINK("https://www.philgeps.gov.ph/GEPSNONPILOT/Tender/SplashBidNoticeAbstractUI.aspx?menuIndex=3&amp;refID=7157801&amp;Result=3","7157801")</f>
        <v>0</v>
      </c>
      <c r="B11235" t="s">
        <v>1611</v>
      </c>
      <c r="C11235" t="s">
        <v>14470</v>
      </c>
      <c r="D11235" t="s">
        <v>19077</v>
      </c>
      <c r="E11235" t="s">
        <v>28746</v>
      </c>
      <c r="F11235" t="s">
        <v>32831</v>
      </c>
      <c r="G11235" t="s">
        <v>32840</v>
      </c>
      <c r="H11235" t="s">
        <v>32848</v>
      </c>
      <c r="I11235" t="s">
        <v>11484</v>
      </c>
      <c r="J11235" t="s">
        <v>33922</v>
      </c>
      <c r="K11235" t="s">
        <v>42726</v>
      </c>
      <c r="M11235" t="s">
        <v>44727</v>
      </c>
      <c r="N11235" t="s">
        <v>47424</v>
      </c>
      <c r="O11235" t="s">
        <v>47425</v>
      </c>
      <c r="P11235">
        <v>0</v>
      </c>
      <c r="Q11235">
        <v>2</v>
      </c>
      <c r="R11235" t="s">
        <v>47430</v>
      </c>
      <c r="S11235" t="s">
        <v>47549</v>
      </c>
      <c r="T11235" t="s">
        <v>49056</v>
      </c>
      <c r="U11235" t="s">
        <v>58891</v>
      </c>
      <c r="W11235" t="s">
        <v>44727</v>
      </c>
      <c r="X11235" t="s">
        <v>47432</v>
      </c>
    </row>
    <row r="11236" spans="1:24">
      <c r="A11236">
        <f>HYPERLINK("https://www.philgeps.gov.ph/GEPSNONPILOT/Tender/SplashBidNoticeAbstractUI.aspx?menuIndex=3&amp;refID=7156091&amp;Result=3","7156091")</f>
        <v>0</v>
      </c>
      <c r="B11236" t="s">
        <v>3360</v>
      </c>
      <c r="C11236" t="s">
        <v>14471</v>
      </c>
      <c r="D11236" t="s">
        <v>19034</v>
      </c>
      <c r="E11236" t="s">
        <v>28747</v>
      </c>
      <c r="F11236" t="s">
        <v>32831</v>
      </c>
      <c r="G11236" t="s">
        <v>32839</v>
      </c>
      <c r="H11236" t="s">
        <v>32848</v>
      </c>
      <c r="I11236" t="s">
        <v>7416</v>
      </c>
      <c r="J11236" t="s">
        <v>39894</v>
      </c>
      <c r="K11236" t="s">
        <v>42727</v>
      </c>
      <c r="M11236" t="s">
        <v>46685</v>
      </c>
      <c r="N11236" t="s">
        <v>47424</v>
      </c>
      <c r="O11236" t="s">
        <v>47425</v>
      </c>
      <c r="P11236">
        <v>0</v>
      </c>
      <c r="Q11236">
        <v>0</v>
      </c>
      <c r="R11236" t="s">
        <v>47430</v>
      </c>
      <c r="S11236" t="s">
        <v>47549</v>
      </c>
      <c r="T11236" t="s">
        <v>49129</v>
      </c>
      <c r="U11236" t="s">
        <v>49870</v>
      </c>
      <c r="W11236" t="s">
        <v>46685</v>
      </c>
      <c r="X11236" t="s">
        <v>47432</v>
      </c>
    </row>
    <row r="11237" spans="1:24">
      <c r="A11237">
        <f>HYPERLINK("https://www.philgeps.gov.ph/GEPSNONPILOT/Tender/SplashBidNoticeAbstractUI.aspx?menuIndex=3&amp;refID=7155505&amp;Result=3","7155505")</f>
        <v>0</v>
      </c>
      <c r="B11237" t="s">
        <v>2089</v>
      </c>
      <c r="C11237" t="s">
        <v>14472</v>
      </c>
      <c r="E11237" t="s">
        <v>28748</v>
      </c>
      <c r="F11237" t="s">
        <v>32835</v>
      </c>
      <c r="G11237" t="s">
        <v>32838</v>
      </c>
      <c r="H11237" t="s">
        <v>32848</v>
      </c>
      <c r="I11237" t="s">
        <v>32950</v>
      </c>
      <c r="J11237" t="s">
        <v>33338</v>
      </c>
      <c r="K11237" t="s">
        <v>42732</v>
      </c>
      <c r="M11237" t="s">
        <v>46686</v>
      </c>
      <c r="N11237" t="s">
        <v>47424</v>
      </c>
      <c r="O11237" t="s">
        <v>47425</v>
      </c>
      <c r="P11237">
        <v>0</v>
      </c>
      <c r="Q11237">
        <v>9</v>
      </c>
      <c r="R11237" t="s">
        <v>47430</v>
      </c>
      <c r="S11237" t="s">
        <v>47549</v>
      </c>
      <c r="T11237" t="s">
        <v>49211</v>
      </c>
      <c r="U11237" t="s">
        <v>58892</v>
      </c>
      <c r="W11237" t="s">
        <v>64498</v>
      </c>
      <c r="X11237" t="s">
        <v>47432</v>
      </c>
    </row>
    <row r="11238" spans="1:24">
      <c r="A11238">
        <f>HYPERLINK("https://www.philgeps.gov.ph/GEPSNONPILOT/Tender/SplashBidNoticeAbstractUI.aspx?menuIndex=3&amp;refID=7156073&amp;Result=3","7156073")</f>
        <v>0</v>
      </c>
      <c r="B11238" t="s">
        <v>80</v>
      </c>
      <c r="C11238" t="s">
        <v>14473</v>
      </c>
      <c r="D11238" t="s">
        <v>19048</v>
      </c>
      <c r="E11238" t="s">
        <v>28749</v>
      </c>
      <c r="F11238" t="s">
        <v>32831</v>
      </c>
      <c r="G11238" t="s">
        <v>32839</v>
      </c>
      <c r="H11238" t="s">
        <v>32849</v>
      </c>
      <c r="I11238" t="s">
        <v>4177</v>
      </c>
      <c r="J11238" t="s">
        <v>39895</v>
      </c>
      <c r="K11238" t="s">
        <v>42728</v>
      </c>
      <c r="M11238" t="s">
        <v>43077</v>
      </c>
      <c r="N11238" t="s">
        <v>47424</v>
      </c>
      <c r="O11238" t="s">
        <v>47425</v>
      </c>
      <c r="P11238">
        <v>0</v>
      </c>
      <c r="Q11238">
        <v>0</v>
      </c>
      <c r="R11238" t="s">
        <v>47430</v>
      </c>
      <c r="S11238" t="s">
        <v>47549</v>
      </c>
      <c r="T11238" t="s">
        <v>49291</v>
      </c>
      <c r="U11238" t="s">
        <v>49773</v>
      </c>
      <c r="W11238" t="s">
        <v>43077</v>
      </c>
      <c r="X11238" t="s">
        <v>47432</v>
      </c>
    </row>
    <row r="11239" spans="1:24">
      <c r="A11239">
        <f>HYPERLINK("https://www.philgeps.gov.ph/GEPSNONPILOT/Tender/SplashBidNoticeAbstractUI.aspx?menuIndex=3&amp;refID=7155547&amp;Result=3","7155547")</f>
        <v>0</v>
      </c>
      <c r="B11239" t="s">
        <v>49</v>
      </c>
      <c r="C11239" t="s">
        <v>14474</v>
      </c>
      <c r="D11239" t="s">
        <v>19037</v>
      </c>
      <c r="E11239" t="s">
        <v>28750</v>
      </c>
      <c r="F11239" t="s">
        <v>32831</v>
      </c>
      <c r="G11239" t="s">
        <v>32839</v>
      </c>
      <c r="H11239" t="s">
        <v>32848</v>
      </c>
      <c r="I11239" t="s">
        <v>9577</v>
      </c>
      <c r="J11239" t="s">
        <v>39896</v>
      </c>
      <c r="K11239" t="s">
        <v>42750</v>
      </c>
      <c r="M11239" t="s">
        <v>44702</v>
      </c>
      <c r="N11239" t="s">
        <v>47424</v>
      </c>
      <c r="O11239" t="s">
        <v>47425</v>
      </c>
      <c r="P11239">
        <v>0</v>
      </c>
      <c r="Q11239">
        <v>0</v>
      </c>
      <c r="R11239" t="s">
        <v>47430</v>
      </c>
      <c r="S11239" t="s">
        <v>47549</v>
      </c>
      <c r="T11239" t="s">
        <v>49143</v>
      </c>
      <c r="U11239" t="s">
        <v>58893</v>
      </c>
      <c r="V11239" t="s">
        <v>62630</v>
      </c>
      <c r="W11239" t="s">
        <v>44702</v>
      </c>
      <c r="X11239" t="s">
        <v>47432</v>
      </c>
    </row>
    <row r="11240" spans="1:24">
      <c r="A11240">
        <f>HYPERLINK("https://www.philgeps.gov.ph/GEPSNONPILOT/Tender/SplashBidNoticeAbstractUI.aspx?menuIndex=3&amp;refID=7155483&amp;Result=3","7155483")</f>
        <v>0</v>
      </c>
      <c r="B11240" t="s">
        <v>49</v>
      </c>
      <c r="C11240" t="s">
        <v>14475</v>
      </c>
      <c r="D11240" t="s">
        <v>19037</v>
      </c>
      <c r="E11240" t="s">
        <v>28751</v>
      </c>
      <c r="F11240" t="s">
        <v>32831</v>
      </c>
      <c r="G11240" t="s">
        <v>32839</v>
      </c>
      <c r="H11240" t="s">
        <v>32848</v>
      </c>
      <c r="I11240" t="s">
        <v>32871</v>
      </c>
      <c r="J11240" t="s">
        <v>33257</v>
      </c>
      <c r="K11240" t="s">
        <v>42750</v>
      </c>
      <c r="M11240" t="s">
        <v>44702</v>
      </c>
      <c r="N11240" t="s">
        <v>47424</v>
      </c>
      <c r="O11240" t="s">
        <v>47425</v>
      </c>
      <c r="P11240">
        <v>0</v>
      </c>
      <c r="Q11240">
        <v>2</v>
      </c>
      <c r="R11240" t="s">
        <v>47430</v>
      </c>
      <c r="S11240" t="s">
        <v>47549</v>
      </c>
      <c r="T11240" t="s">
        <v>49179</v>
      </c>
      <c r="U11240" t="s">
        <v>58894</v>
      </c>
      <c r="V11240" t="s">
        <v>62630</v>
      </c>
      <c r="W11240" t="s">
        <v>44702</v>
      </c>
      <c r="X11240" t="s">
        <v>47432</v>
      </c>
    </row>
    <row r="11241" spans="1:24">
      <c r="A11241">
        <f>HYPERLINK("https://www.philgeps.gov.ph/GEPSNONPILOT/Tender/SplashBidNoticeAbstractUI.aspx?menuIndex=3&amp;refID=7147235&amp;Result=3","7147235")</f>
        <v>0</v>
      </c>
      <c r="B11241" t="s">
        <v>3361</v>
      </c>
      <c r="C11241" t="s">
        <v>14476</v>
      </c>
      <c r="D11241" t="s">
        <v>19039</v>
      </c>
      <c r="E11241" t="s">
        <v>28752</v>
      </c>
      <c r="F11241" t="s">
        <v>32831</v>
      </c>
      <c r="G11241" t="s">
        <v>32839</v>
      </c>
      <c r="H11241" t="s">
        <v>32849</v>
      </c>
      <c r="I11241" t="s">
        <v>32913</v>
      </c>
      <c r="J11241" t="s">
        <v>39897</v>
      </c>
      <c r="K11241" t="s">
        <v>42732</v>
      </c>
      <c r="M11241" t="s">
        <v>46687</v>
      </c>
      <c r="N11241" t="s">
        <v>47424</v>
      </c>
      <c r="O11241" t="s">
        <v>47425</v>
      </c>
      <c r="P11241">
        <v>0</v>
      </c>
      <c r="Q11241">
        <v>0</v>
      </c>
      <c r="R11241" t="s">
        <v>47437</v>
      </c>
      <c r="S11241" t="s">
        <v>47706</v>
      </c>
      <c r="T11241" t="s">
        <v>49584</v>
      </c>
      <c r="U11241" t="s">
        <v>58895</v>
      </c>
      <c r="V11241" t="s">
        <v>63871</v>
      </c>
      <c r="W11241" t="s">
        <v>64545</v>
      </c>
      <c r="X11241" t="s">
        <v>47438</v>
      </c>
    </row>
    <row r="11242" spans="1:24">
      <c r="A11242">
        <f>HYPERLINK("https://www.philgeps.gov.ph/GEPSNONPILOT/Tender/SplashBidNoticeAbstractUI.aspx?menuIndex=3&amp;refID=7147316&amp;Result=3","7147316")</f>
        <v>0</v>
      </c>
      <c r="B11242" t="s">
        <v>3352</v>
      </c>
      <c r="C11242" t="s">
        <v>14477</v>
      </c>
      <c r="D11242" t="s">
        <v>19095</v>
      </c>
      <c r="E11242" t="s">
        <v>23444</v>
      </c>
      <c r="F11242" t="s">
        <v>32831</v>
      </c>
      <c r="G11242" t="s">
        <v>32839</v>
      </c>
      <c r="H11242" t="s">
        <v>32848</v>
      </c>
      <c r="I11242" t="s">
        <v>4435</v>
      </c>
      <c r="J11242" t="s">
        <v>39898</v>
      </c>
      <c r="K11242" t="s">
        <v>42730</v>
      </c>
      <c r="M11242" t="s">
        <v>46677</v>
      </c>
      <c r="N11242" t="s">
        <v>47424</v>
      </c>
      <c r="O11242" t="s">
        <v>47425</v>
      </c>
      <c r="P11242">
        <v>0</v>
      </c>
      <c r="Q11242">
        <v>1</v>
      </c>
      <c r="R11242" t="s">
        <v>47437</v>
      </c>
      <c r="S11242" t="s">
        <v>47706</v>
      </c>
      <c r="T11242" t="s">
        <v>49142</v>
      </c>
      <c r="U11242" t="s">
        <v>58896</v>
      </c>
      <c r="W11242" t="s">
        <v>46677</v>
      </c>
      <c r="X11242" t="s">
        <v>47438</v>
      </c>
    </row>
    <row r="11243" spans="1:24">
      <c r="A11243">
        <f>HYPERLINK("https://www.philgeps.gov.ph/GEPSNONPILOT/Tender/SplashBidNoticeAbstractUI.aspx?menuIndex=3&amp;refID=7147325&amp;Result=3","7147325")</f>
        <v>0</v>
      </c>
      <c r="B11243" t="s">
        <v>3343</v>
      </c>
      <c r="C11243" t="s">
        <v>14478</v>
      </c>
      <c r="D11243" t="s">
        <v>19045</v>
      </c>
      <c r="E11243" t="s">
        <v>19995</v>
      </c>
      <c r="F11243" t="s">
        <v>32831</v>
      </c>
      <c r="G11243" t="s">
        <v>32839</v>
      </c>
      <c r="H11243" t="s">
        <v>32849</v>
      </c>
      <c r="I11243" t="s">
        <v>4177</v>
      </c>
      <c r="J11243" t="s">
        <v>39899</v>
      </c>
      <c r="K11243" t="s">
        <v>42940</v>
      </c>
      <c r="M11243" t="s">
        <v>46666</v>
      </c>
      <c r="N11243" t="s">
        <v>47424</v>
      </c>
      <c r="O11243" t="s">
        <v>47425</v>
      </c>
      <c r="P11243">
        <v>0</v>
      </c>
      <c r="Q11243">
        <v>3</v>
      </c>
      <c r="R11243" t="s">
        <v>47437</v>
      </c>
      <c r="S11243" t="s">
        <v>47706</v>
      </c>
      <c r="T11243" t="s">
        <v>49188</v>
      </c>
      <c r="U11243" t="s">
        <v>58835</v>
      </c>
      <c r="W11243" t="s">
        <v>46666</v>
      </c>
      <c r="X11243" t="s">
        <v>47438</v>
      </c>
    </row>
    <row r="11244" spans="1:24">
      <c r="A11244">
        <f>HYPERLINK("https://www.philgeps.gov.ph/GEPSNONPILOT/Tender/SplashBidNoticeAbstractUI.aspx?menuIndex=3&amp;refID=7147322&amp;Result=3","7147322")</f>
        <v>0</v>
      </c>
      <c r="B11244" t="s">
        <v>3362</v>
      </c>
      <c r="C11244" t="s">
        <v>14479</v>
      </c>
      <c r="E11244" t="s">
        <v>19130</v>
      </c>
      <c r="F11244" t="s">
        <v>32831</v>
      </c>
      <c r="G11244" t="s">
        <v>32839</v>
      </c>
      <c r="H11244" t="s">
        <v>32849</v>
      </c>
      <c r="I11244" t="s">
        <v>4177</v>
      </c>
      <c r="J11244" t="s">
        <v>32983</v>
      </c>
      <c r="K11244" t="s">
        <v>42732</v>
      </c>
      <c r="M11244" t="s">
        <v>46688</v>
      </c>
      <c r="N11244" t="s">
        <v>47424</v>
      </c>
      <c r="O11244" t="s">
        <v>47425</v>
      </c>
      <c r="P11244">
        <v>0</v>
      </c>
      <c r="Q11244">
        <v>0</v>
      </c>
      <c r="R11244" t="s">
        <v>47437</v>
      </c>
      <c r="S11244" t="s">
        <v>47706</v>
      </c>
      <c r="T11244" t="s">
        <v>49123</v>
      </c>
      <c r="U11244" t="s">
        <v>58897</v>
      </c>
      <c r="W11244" t="s">
        <v>46688</v>
      </c>
      <c r="X11244" t="s">
        <v>47438</v>
      </c>
    </row>
    <row r="11245" spans="1:24">
      <c r="A11245">
        <f>HYPERLINK("https://www.philgeps.gov.ph/GEPSNONPILOT/Tender/SplashBidNoticeAbstractUI.aspx?menuIndex=3&amp;refID=7147394&amp;Result=3","7147394")</f>
        <v>0</v>
      </c>
      <c r="B11245" t="s">
        <v>3352</v>
      </c>
      <c r="C11245" t="s">
        <v>14480</v>
      </c>
      <c r="D11245" t="s">
        <v>19095</v>
      </c>
      <c r="E11245" t="s">
        <v>28753</v>
      </c>
      <c r="F11245" t="s">
        <v>32831</v>
      </c>
      <c r="G11245" t="s">
        <v>32839</v>
      </c>
      <c r="H11245" t="s">
        <v>32848</v>
      </c>
      <c r="I11245" t="s">
        <v>4776</v>
      </c>
      <c r="J11245" t="s">
        <v>33132</v>
      </c>
      <c r="K11245" t="s">
        <v>42730</v>
      </c>
      <c r="M11245" t="s">
        <v>46677</v>
      </c>
      <c r="N11245" t="s">
        <v>47424</v>
      </c>
      <c r="O11245" t="s">
        <v>47425</v>
      </c>
      <c r="P11245">
        <v>0</v>
      </c>
      <c r="Q11245">
        <v>1</v>
      </c>
      <c r="R11245" t="s">
        <v>47437</v>
      </c>
      <c r="S11245" t="s">
        <v>47706</v>
      </c>
      <c r="T11245" t="s">
        <v>49142</v>
      </c>
      <c r="U11245" t="s">
        <v>58898</v>
      </c>
      <c r="W11245" t="s">
        <v>46677</v>
      </c>
      <c r="X11245" t="s">
        <v>47438</v>
      </c>
    </row>
    <row r="11246" spans="1:24">
      <c r="A11246">
        <f>HYPERLINK("https://www.philgeps.gov.ph/GEPSNONPILOT/Tender/SplashBidNoticeAbstractUI.aspx?menuIndex=3&amp;refID=7147393&amp;Result=3","7147393")</f>
        <v>0</v>
      </c>
      <c r="B11246" t="s">
        <v>3343</v>
      </c>
      <c r="C11246" t="s">
        <v>14481</v>
      </c>
      <c r="D11246" t="s">
        <v>19046</v>
      </c>
      <c r="E11246" t="s">
        <v>20014</v>
      </c>
      <c r="F11246" t="s">
        <v>32831</v>
      </c>
      <c r="G11246" t="s">
        <v>32839</v>
      </c>
      <c r="H11246" t="s">
        <v>32849</v>
      </c>
      <c r="I11246" t="s">
        <v>4177</v>
      </c>
      <c r="J11246" t="s">
        <v>39900</v>
      </c>
      <c r="K11246" t="s">
        <v>42944</v>
      </c>
      <c r="M11246" t="s">
        <v>46666</v>
      </c>
      <c r="N11246" t="s">
        <v>47424</v>
      </c>
      <c r="O11246" t="s">
        <v>47425</v>
      </c>
      <c r="P11246">
        <v>0</v>
      </c>
      <c r="Q11246">
        <v>4</v>
      </c>
      <c r="R11246" t="s">
        <v>47437</v>
      </c>
      <c r="S11246" t="s">
        <v>47706</v>
      </c>
      <c r="T11246" t="s">
        <v>49188</v>
      </c>
      <c r="U11246" t="s">
        <v>58835</v>
      </c>
      <c r="W11246" t="s">
        <v>46666</v>
      </c>
      <c r="X11246" t="s">
        <v>47438</v>
      </c>
    </row>
    <row r="11247" spans="1:24">
      <c r="A11247">
        <f>HYPERLINK("https://www.philgeps.gov.ph/GEPSNONPILOT/Tender/SplashBidNoticeAbstractUI.aspx?menuIndex=3&amp;refID=7147333&amp;Result=3","7147333")</f>
        <v>0</v>
      </c>
      <c r="B11247" t="s">
        <v>1777</v>
      </c>
      <c r="C11247" t="s">
        <v>14482</v>
      </c>
      <c r="D11247" t="s">
        <v>19074</v>
      </c>
      <c r="E11247" t="s">
        <v>26855</v>
      </c>
      <c r="F11247" t="s">
        <v>32831</v>
      </c>
      <c r="G11247" t="s">
        <v>32839</v>
      </c>
      <c r="H11247" t="s">
        <v>32848</v>
      </c>
      <c r="I11247" t="s">
        <v>4222</v>
      </c>
      <c r="J11247" t="s">
        <v>39901</v>
      </c>
      <c r="K11247" t="s">
        <v>42730</v>
      </c>
      <c r="M11247" t="s">
        <v>44902</v>
      </c>
      <c r="N11247" t="s">
        <v>47424</v>
      </c>
      <c r="O11247" t="s">
        <v>47425</v>
      </c>
      <c r="P11247">
        <v>0</v>
      </c>
      <c r="Q11247">
        <v>1</v>
      </c>
      <c r="R11247" t="s">
        <v>47437</v>
      </c>
      <c r="S11247" t="s">
        <v>47706</v>
      </c>
      <c r="T11247" t="s">
        <v>49449</v>
      </c>
      <c r="U11247" t="s">
        <v>58899</v>
      </c>
      <c r="W11247" t="s">
        <v>44902</v>
      </c>
      <c r="X11247" t="s">
        <v>47438</v>
      </c>
    </row>
    <row r="11248" spans="1:24">
      <c r="A11248">
        <f>HYPERLINK("https://www.philgeps.gov.ph/GEPSNONPILOT/Tender/SplashBidNoticeAbstractUI.aspx?menuIndex=3&amp;refID=7147339&amp;Result=3","7147339")</f>
        <v>0</v>
      </c>
      <c r="B11248" t="s">
        <v>3352</v>
      </c>
      <c r="C11248" t="s">
        <v>14483</v>
      </c>
      <c r="D11248" t="s">
        <v>19095</v>
      </c>
      <c r="E11248" t="s">
        <v>23596</v>
      </c>
      <c r="F11248" t="s">
        <v>32831</v>
      </c>
      <c r="G11248" t="s">
        <v>32839</v>
      </c>
      <c r="H11248" t="s">
        <v>32848</v>
      </c>
      <c r="I11248" t="s">
        <v>7416</v>
      </c>
      <c r="J11248" t="s">
        <v>39902</v>
      </c>
      <c r="K11248" t="s">
        <v>42730</v>
      </c>
      <c r="M11248" t="s">
        <v>46677</v>
      </c>
      <c r="N11248" t="s">
        <v>47424</v>
      </c>
      <c r="O11248" t="s">
        <v>47425</v>
      </c>
      <c r="P11248">
        <v>0</v>
      </c>
      <c r="Q11248">
        <v>0</v>
      </c>
      <c r="R11248" t="s">
        <v>47437</v>
      </c>
      <c r="S11248" t="s">
        <v>47706</v>
      </c>
      <c r="T11248" t="s">
        <v>49142</v>
      </c>
      <c r="U11248" t="s">
        <v>58900</v>
      </c>
      <c r="W11248" t="s">
        <v>46677</v>
      </c>
      <c r="X11248" t="s">
        <v>47438</v>
      </c>
    </row>
    <row r="11249" spans="1:24">
      <c r="A11249">
        <f>HYPERLINK("https://www.philgeps.gov.ph/GEPSNONPILOT/Tender/SplashBidNoticeAbstractUI.aspx?menuIndex=3&amp;refID=7147374&amp;Result=3","7147374")</f>
        <v>0</v>
      </c>
      <c r="B11249" t="s">
        <v>3103</v>
      </c>
      <c r="C11249" t="s">
        <v>14484</v>
      </c>
      <c r="D11249" t="s">
        <v>19103</v>
      </c>
      <c r="E11249" t="s">
        <v>28754</v>
      </c>
      <c r="F11249" t="s">
        <v>32831</v>
      </c>
      <c r="G11249" t="s">
        <v>32839</v>
      </c>
      <c r="H11249" t="s">
        <v>32849</v>
      </c>
      <c r="I11249" t="s">
        <v>32889</v>
      </c>
      <c r="J11249" t="s">
        <v>39903</v>
      </c>
      <c r="K11249" t="s">
        <v>42789</v>
      </c>
      <c r="M11249" t="s">
        <v>46387</v>
      </c>
      <c r="N11249" t="s">
        <v>47424</v>
      </c>
      <c r="O11249" t="s">
        <v>47425</v>
      </c>
      <c r="P11249">
        <v>0</v>
      </c>
      <c r="Q11249">
        <v>1</v>
      </c>
      <c r="R11249" t="s">
        <v>47437</v>
      </c>
      <c r="S11249" t="s">
        <v>47706</v>
      </c>
      <c r="T11249" t="s">
        <v>49149</v>
      </c>
      <c r="U11249" t="s">
        <v>58901</v>
      </c>
      <c r="V11249" t="s">
        <v>63872</v>
      </c>
      <c r="W11249" t="s">
        <v>46387</v>
      </c>
      <c r="X11249" t="s">
        <v>47438</v>
      </c>
    </row>
    <row r="11250" spans="1:24">
      <c r="A11250">
        <f>HYPERLINK("https://www.philgeps.gov.ph/GEPSNONPILOT/Tender/SplashBidNoticeAbstractUI.aspx?menuIndex=3&amp;refID=7147370&amp;Result=3","7147370")</f>
        <v>0</v>
      </c>
      <c r="B11250" t="s">
        <v>3343</v>
      </c>
      <c r="C11250" t="s">
        <v>14485</v>
      </c>
      <c r="D11250" t="s">
        <v>19069</v>
      </c>
      <c r="E11250" t="s">
        <v>20017</v>
      </c>
      <c r="F11250" t="s">
        <v>32831</v>
      </c>
      <c r="G11250" t="s">
        <v>32839</v>
      </c>
      <c r="H11250" t="s">
        <v>32849</v>
      </c>
      <c r="I11250" t="s">
        <v>4177</v>
      </c>
      <c r="J11250" t="s">
        <v>39904</v>
      </c>
      <c r="K11250" t="s">
        <v>42942</v>
      </c>
      <c r="M11250" t="s">
        <v>46666</v>
      </c>
      <c r="N11250" t="s">
        <v>47424</v>
      </c>
      <c r="O11250" t="s">
        <v>47425</v>
      </c>
      <c r="P11250">
        <v>0</v>
      </c>
      <c r="Q11250">
        <v>4</v>
      </c>
      <c r="R11250" t="s">
        <v>47437</v>
      </c>
      <c r="S11250" t="s">
        <v>47706</v>
      </c>
      <c r="T11250" t="s">
        <v>49188</v>
      </c>
      <c r="U11250" t="s">
        <v>58835</v>
      </c>
      <c r="W11250" t="s">
        <v>46666</v>
      </c>
      <c r="X11250" t="s">
        <v>47438</v>
      </c>
    </row>
    <row r="11251" spans="1:24">
      <c r="A11251">
        <f>HYPERLINK("https://www.philgeps.gov.ph/GEPSNONPILOT/Tender/SplashBidNoticeAbstractUI.aspx?menuIndex=3&amp;refID=7147386&amp;Result=3","7147386")</f>
        <v>0</v>
      </c>
      <c r="B11251" t="s">
        <v>3345</v>
      </c>
      <c r="C11251" t="s">
        <v>14486</v>
      </c>
      <c r="D11251" t="s">
        <v>19065</v>
      </c>
      <c r="E11251" t="s">
        <v>20010</v>
      </c>
      <c r="F11251" t="s">
        <v>32831</v>
      </c>
      <c r="G11251" t="s">
        <v>32839</v>
      </c>
      <c r="H11251" t="s">
        <v>32849</v>
      </c>
      <c r="I11251" t="s">
        <v>4177</v>
      </c>
      <c r="J11251" t="s">
        <v>39905</v>
      </c>
      <c r="K11251" t="s">
        <v>42729</v>
      </c>
      <c r="M11251" t="s">
        <v>46668</v>
      </c>
      <c r="N11251" t="s">
        <v>47424</v>
      </c>
      <c r="O11251" t="s">
        <v>47425</v>
      </c>
      <c r="P11251">
        <v>0</v>
      </c>
      <c r="Q11251">
        <v>0</v>
      </c>
      <c r="R11251" t="s">
        <v>47437</v>
      </c>
      <c r="S11251" t="s">
        <v>47706</v>
      </c>
      <c r="T11251" t="s">
        <v>49112</v>
      </c>
      <c r="U11251" t="s">
        <v>58902</v>
      </c>
      <c r="W11251" t="s">
        <v>46668</v>
      </c>
      <c r="X11251" t="s">
        <v>47438</v>
      </c>
    </row>
    <row r="11252" spans="1:24">
      <c r="A11252">
        <f>HYPERLINK("https://www.philgeps.gov.ph/GEPSNONPILOT/Tender/SplashBidNoticeAbstractUI.aspx?menuIndex=3&amp;refID=7147415&amp;Result=3","7147415")</f>
        <v>0</v>
      </c>
      <c r="B11252" t="s">
        <v>3339</v>
      </c>
      <c r="C11252" t="s">
        <v>14487</v>
      </c>
      <c r="D11252" t="s">
        <v>19081</v>
      </c>
      <c r="E11252" t="s">
        <v>28755</v>
      </c>
      <c r="F11252" t="s">
        <v>32831</v>
      </c>
      <c r="G11252" t="s">
        <v>32839</v>
      </c>
      <c r="H11252" t="s">
        <v>32849</v>
      </c>
      <c r="I11252" t="s">
        <v>4177</v>
      </c>
      <c r="J11252" t="s">
        <v>33017</v>
      </c>
      <c r="K11252" t="s">
        <v>42734</v>
      </c>
      <c r="M11252" t="s">
        <v>46662</v>
      </c>
      <c r="N11252" t="s">
        <v>47424</v>
      </c>
      <c r="O11252" t="s">
        <v>47425</v>
      </c>
      <c r="P11252">
        <v>0</v>
      </c>
      <c r="Q11252">
        <v>0</v>
      </c>
      <c r="R11252" t="s">
        <v>47437</v>
      </c>
      <c r="S11252" t="s">
        <v>47706</v>
      </c>
      <c r="T11252" t="s">
        <v>49057</v>
      </c>
      <c r="U11252" t="s">
        <v>58903</v>
      </c>
      <c r="W11252" t="s">
        <v>46662</v>
      </c>
      <c r="X11252" t="s">
        <v>47438</v>
      </c>
    </row>
    <row r="11253" spans="1:24">
      <c r="A11253">
        <f>HYPERLINK("https://www.philgeps.gov.ph/GEPSNONPILOT/Tender/SplashBidNoticeAbstractUI.aspx?menuIndex=3&amp;refID=7147373&amp;Result=3","7147373")</f>
        <v>0</v>
      </c>
      <c r="B11253" t="s">
        <v>3352</v>
      </c>
      <c r="C11253" t="s">
        <v>14488</v>
      </c>
      <c r="D11253" t="s">
        <v>19095</v>
      </c>
      <c r="E11253" t="s">
        <v>20402</v>
      </c>
      <c r="F11253" t="s">
        <v>32831</v>
      </c>
      <c r="G11253" t="s">
        <v>32839</v>
      </c>
      <c r="H11253" t="s">
        <v>32848</v>
      </c>
      <c r="I11253" t="s">
        <v>7416</v>
      </c>
      <c r="J11253" t="s">
        <v>39906</v>
      </c>
      <c r="K11253" t="s">
        <v>42730</v>
      </c>
      <c r="M11253" t="s">
        <v>46677</v>
      </c>
      <c r="N11253" t="s">
        <v>47424</v>
      </c>
      <c r="O11253" t="s">
        <v>47425</v>
      </c>
      <c r="P11253">
        <v>0</v>
      </c>
      <c r="Q11253">
        <v>1</v>
      </c>
      <c r="R11253" t="s">
        <v>47437</v>
      </c>
      <c r="S11253" t="s">
        <v>47706</v>
      </c>
      <c r="T11253" t="s">
        <v>49585</v>
      </c>
      <c r="U11253" t="s">
        <v>58904</v>
      </c>
      <c r="W11253" t="s">
        <v>46677</v>
      </c>
      <c r="X11253" t="s">
        <v>47438</v>
      </c>
    </row>
    <row r="11254" spans="1:24">
      <c r="A11254">
        <f>HYPERLINK("https://www.philgeps.gov.ph/GEPSNONPILOT/Tender/SplashBidNoticeAbstractUI.aspx?menuIndex=3&amp;refID=7147406&amp;Result=3","7147406")</f>
        <v>0</v>
      </c>
      <c r="B11254" t="s">
        <v>2856</v>
      </c>
      <c r="C11254" t="s">
        <v>14489</v>
      </c>
      <c r="D11254" t="s">
        <v>19093</v>
      </c>
      <c r="E11254" t="s">
        <v>28756</v>
      </c>
      <c r="F11254" t="s">
        <v>32831</v>
      </c>
      <c r="G11254" t="s">
        <v>32839</v>
      </c>
      <c r="H11254" t="s">
        <v>32849</v>
      </c>
      <c r="I11254" t="s">
        <v>4177</v>
      </c>
      <c r="J11254" t="s">
        <v>39907</v>
      </c>
      <c r="K11254" t="s">
        <v>42763</v>
      </c>
      <c r="M11254" t="s">
        <v>46089</v>
      </c>
      <c r="N11254" t="s">
        <v>47424</v>
      </c>
      <c r="O11254" t="s">
        <v>47425</v>
      </c>
      <c r="P11254">
        <v>0</v>
      </c>
      <c r="Q11254">
        <v>11</v>
      </c>
      <c r="R11254" t="s">
        <v>47437</v>
      </c>
      <c r="S11254" t="s">
        <v>47706</v>
      </c>
      <c r="T11254" t="s">
        <v>49192</v>
      </c>
      <c r="U11254" t="s">
        <v>58905</v>
      </c>
      <c r="W11254" t="s">
        <v>46089</v>
      </c>
      <c r="X11254" t="s">
        <v>47438</v>
      </c>
    </row>
    <row r="11255" spans="1:24">
      <c r="A11255">
        <f>HYPERLINK("https://www.philgeps.gov.ph/GEPSNONPILOT/Tender/SplashBidNoticeAbstractUI.aspx?menuIndex=3&amp;refID=7147416&amp;Result=3","7147416")</f>
        <v>0</v>
      </c>
      <c r="B11255" t="s">
        <v>2667</v>
      </c>
      <c r="C11255" t="s">
        <v>14490</v>
      </c>
      <c r="D11255" t="s">
        <v>19025</v>
      </c>
      <c r="E11255" t="s">
        <v>28757</v>
      </c>
      <c r="F11255" t="s">
        <v>32831</v>
      </c>
      <c r="G11255" t="s">
        <v>32839</v>
      </c>
      <c r="H11255" t="s">
        <v>32849</v>
      </c>
      <c r="I11255" t="s">
        <v>4177</v>
      </c>
      <c r="J11255" t="s">
        <v>39908</v>
      </c>
      <c r="K11255" t="s">
        <v>42763</v>
      </c>
      <c r="M11255" t="s">
        <v>45890</v>
      </c>
      <c r="N11255" t="s">
        <v>47424</v>
      </c>
      <c r="O11255" t="s">
        <v>47425</v>
      </c>
      <c r="P11255">
        <v>0</v>
      </c>
      <c r="Q11255">
        <v>0</v>
      </c>
      <c r="R11255" t="s">
        <v>47437</v>
      </c>
      <c r="S11255" t="s">
        <v>47706</v>
      </c>
      <c r="T11255" t="s">
        <v>49192</v>
      </c>
      <c r="U11255" t="s">
        <v>58906</v>
      </c>
      <c r="W11255" t="s">
        <v>45890</v>
      </c>
      <c r="X11255" t="s">
        <v>47438</v>
      </c>
    </row>
    <row r="11256" spans="1:24">
      <c r="A11256">
        <f>HYPERLINK("https://www.philgeps.gov.ph/GEPSNONPILOT/Tender/SplashBidNoticeAbstractUI.aspx?menuIndex=3&amp;refID=7147502&amp;Result=3","7147502")</f>
        <v>0</v>
      </c>
      <c r="B11256" t="s">
        <v>630</v>
      </c>
      <c r="C11256" t="s">
        <v>14491</v>
      </c>
      <c r="D11256" t="s">
        <v>19049</v>
      </c>
      <c r="E11256" t="s">
        <v>28758</v>
      </c>
      <c r="F11256" t="s">
        <v>32831</v>
      </c>
      <c r="G11256" t="s">
        <v>32841</v>
      </c>
      <c r="H11256" t="s">
        <v>32848</v>
      </c>
      <c r="I11256" t="s">
        <v>4471</v>
      </c>
      <c r="J11256" t="s">
        <v>39909</v>
      </c>
      <c r="K11256" t="s">
        <v>42729</v>
      </c>
      <c r="M11256" t="s">
        <v>43647</v>
      </c>
      <c r="N11256" t="s">
        <v>47424</v>
      </c>
      <c r="O11256" t="s">
        <v>47425</v>
      </c>
      <c r="P11256">
        <v>0</v>
      </c>
      <c r="Q11256">
        <v>5</v>
      </c>
      <c r="R11256" t="s">
        <v>47437</v>
      </c>
      <c r="S11256" t="s">
        <v>47706</v>
      </c>
      <c r="T11256" t="s">
        <v>49243</v>
      </c>
      <c r="U11256" t="s">
        <v>58787</v>
      </c>
      <c r="V11256" t="s">
        <v>63857</v>
      </c>
      <c r="W11256" t="s">
        <v>43647</v>
      </c>
      <c r="X11256" t="s">
        <v>47438</v>
      </c>
    </row>
    <row r="11257" spans="1:24">
      <c r="A11257">
        <f>HYPERLINK("https://www.philgeps.gov.ph/GEPSNONPILOT/Tender/SplashBidNoticeAbstractUI.aspx?menuIndex=3&amp;refID=7147361&amp;Result=3","7147361")</f>
        <v>0</v>
      </c>
      <c r="B11257" t="s">
        <v>90</v>
      </c>
      <c r="C11257" t="s">
        <v>14492</v>
      </c>
      <c r="D11257" t="s">
        <v>19017</v>
      </c>
      <c r="E11257" t="s">
        <v>28759</v>
      </c>
      <c r="F11257" t="s">
        <v>32831</v>
      </c>
      <c r="G11257" t="s">
        <v>32841</v>
      </c>
      <c r="H11257" t="s">
        <v>32848</v>
      </c>
      <c r="I11257" t="s">
        <v>32857</v>
      </c>
      <c r="J11257" t="s">
        <v>39910</v>
      </c>
      <c r="K11257" t="s">
        <v>42726</v>
      </c>
      <c r="M11257" t="s">
        <v>46676</v>
      </c>
      <c r="N11257" t="s">
        <v>47424</v>
      </c>
      <c r="O11257" t="s">
        <v>47425</v>
      </c>
      <c r="Q11257">
        <v>12</v>
      </c>
      <c r="R11257" t="s">
        <v>47437</v>
      </c>
      <c r="S11257" t="s">
        <v>47776</v>
      </c>
      <c r="T11257" t="s">
        <v>49221</v>
      </c>
      <c r="U11257" t="s">
        <v>58907</v>
      </c>
      <c r="V11257" t="s">
        <v>63873</v>
      </c>
      <c r="W11257" t="s">
        <v>46676</v>
      </c>
      <c r="X11257" t="s">
        <v>47438</v>
      </c>
    </row>
    <row r="11258" spans="1:24">
      <c r="A11258">
        <f>HYPERLINK("https://www.philgeps.gov.ph/GEPSNONPILOT/Tender/SplashBidNoticeAbstractUI.aspx?menuIndex=3&amp;refID=7147493&amp;Result=3","7147493")</f>
        <v>0</v>
      </c>
      <c r="B11258" t="s">
        <v>3109</v>
      </c>
      <c r="C11258" t="s">
        <v>4694</v>
      </c>
      <c r="D11258" t="s">
        <v>19044</v>
      </c>
      <c r="E11258" t="s">
        <v>21910</v>
      </c>
      <c r="F11258" t="s">
        <v>32831</v>
      </c>
      <c r="G11258" t="s">
        <v>32839</v>
      </c>
      <c r="H11258" t="s">
        <v>32849</v>
      </c>
      <c r="I11258" t="s">
        <v>4177</v>
      </c>
      <c r="J11258" t="s">
        <v>32976</v>
      </c>
      <c r="K11258" t="s">
        <v>42731</v>
      </c>
      <c r="M11258" t="s">
        <v>46396</v>
      </c>
      <c r="N11258" t="s">
        <v>47424</v>
      </c>
      <c r="O11258" t="s">
        <v>47425</v>
      </c>
      <c r="P11258">
        <v>0</v>
      </c>
      <c r="Q11258">
        <v>0</v>
      </c>
      <c r="R11258" t="s">
        <v>47437</v>
      </c>
      <c r="S11258" t="s">
        <v>47706</v>
      </c>
      <c r="T11258" t="s">
        <v>49203</v>
      </c>
      <c r="U11258" t="s">
        <v>58908</v>
      </c>
      <c r="W11258" t="s">
        <v>46396</v>
      </c>
      <c r="X11258" t="s">
        <v>47438</v>
      </c>
    </row>
    <row r="11259" spans="1:24">
      <c r="A11259">
        <f>HYPERLINK("https://www.philgeps.gov.ph/GEPSNONPILOT/Tender/SplashBidNoticeAbstractUI.aspx?menuIndex=3&amp;refID=7147488&amp;Result=3","7147488")</f>
        <v>0</v>
      </c>
      <c r="B11259" t="s">
        <v>3363</v>
      </c>
      <c r="C11259" t="s">
        <v>7481</v>
      </c>
      <c r="D11259" t="s">
        <v>19033</v>
      </c>
      <c r="E11259" t="s">
        <v>28760</v>
      </c>
      <c r="F11259" t="s">
        <v>32831</v>
      </c>
      <c r="G11259" t="s">
        <v>32839</v>
      </c>
      <c r="H11259" t="s">
        <v>32848</v>
      </c>
      <c r="I11259" t="s">
        <v>7416</v>
      </c>
      <c r="J11259" t="s">
        <v>33007</v>
      </c>
      <c r="K11259" t="s">
        <v>42726</v>
      </c>
      <c r="M11259" t="s">
        <v>46689</v>
      </c>
      <c r="N11259" t="s">
        <v>47424</v>
      </c>
      <c r="O11259" t="s">
        <v>47425</v>
      </c>
      <c r="P11259">
        <v>0</v>
      </c>
      <c r="Q11259">
        <v>2</v>
      </c>
      <c r="R11259" t="s">
        <v>47437</v>
      </c>
      <c r="S11259" t="s">
        <v>47706</v>
      </c>
      <c r="T11259" t="s">
        <v>49106</v>
      </c>
      <c r="U11259" t="s">
        <v>58909</v>
      </c>
      <c r="W11259" t="s">
        <v>46689</v>
      </c>
      <c r="X11259" t="s">
        <v>47438</v>
      </c>
    </row>
    <row r="11260" spans="1:24">
      <c r="A11260">
        <f>HYPERLINK("https://www.philgeps.gov.ph/GEPSNONPILOT/Tender/SplashBidNoticeAbstractUI.aspx?menuIndex=3&amp;refID=7147487&amp;Result=3","7147487")</f>
        <v>0</v>
      </c>
      <c r="B11260" t="s">
        <v>3352</v>
      </c>
      <c r="C11260" t="s">
        <v>14493</v>
      </c>
      <c r="E11260" t="s">
        <v>28761</v>
      </c>
      <c r="F11260" t="s">
        <v>32831</v>
      </c>
      <c r="G11260" t="s">
        <v>32839</v>
      </c>
      <c r="H11260" t="s">
        <v>32848</v>
      </c>
      <c r="I11260" t="s">
        <v>32859</v>
      </c>
      <c r="J11260" t="s">
        <v>39911</v>
      </c>
      <c r="K11260" t="s">
        <v>42730</v>
      </c>
      <c r="M11260" t="s">
        <v>46677</v>
      </c>
      <c r="N11260" t="s">
        <v>47424</v>
      </c>
      <c r="O11260" t="s">
        <v>47425</v>
      </c>
      <c r="P11260">
        <v>0</v>
      </c>
      <c r="Q11260">
        <v>0</v>
      </c>
      <c r="R11260" t="s">
        <v>47437</v>
      </c>
      <c r="S11260" t="s">
        <v>47706</v>
      </c>
      <c r="T11260" t="s">
        <v>49142</v>
      </c>
      <c r="U11260" t="s">
        <v>58910</v>
      </c>
      <c r="W11260" t="s">
        <v>46677</v>
      </c>
      <c r="X11260" t="s">
        <v>47438</v>
      </c>
    </row>
    <row r="11261" spans="1:24">
      <c r="A11261">
        <f>HYPERLINK("https://www.philgeps.gov.ph/GEPSNONPILOT/Tender/SplashBidNoticeAbstractUI.aspx?menuIndex=3&amp;refID=7147485&amp;Result=3","7147485")</f>
        <v>0</v>
      </c>
      <c r="B11261" t="s">
        <v>448</v>
      </c>
      <c r="C11261" t="s">
        <v>14494</v>
      </c>
      <c r="D11261" t="s">
        <v>19027</v>
      </c>
      <c r="E11261" t="s">
        <v>24498</v>
      </c>
      <c r="F11261" t="s">
        <v>32831</v>
      </c>
      <c r="G11261" t="s">
        <v>32839</v>
      </c>
      <c r="H11261" t="s">
        <v>32849</v>
      </c>
      <c r="I11261" t="s">
        <v>4177</v>
      </c>
      <c r="J11261" t="s">
        <v>32985</v>
      </c>
      <c r="K11261" t="s">
        <v>42729</v>
      </c>
      <c r="M11261" t="s">
        <v>43453</v>
      </c>
      <c r="N11261" t="s">
        <v>47424</v>
      </c>
      <c r="O11261" t="s">
        <v>47425</v>
      </c>
      <c r="P11261">
        <v>0</v>
      </c>
      <c r="Q11261">
        <v>0</v>
      </c>
      <c r="R11261" t="s">
        <v>47437</v>
      </c>
      <c r="S11261" t="s">
        <v>47706</v>
      </c>
      <c r="T11261" t="s">
        <v>49237</v>
      </c>
      <c r="U11261" t="s">
        <v>58911</v>
      </c>
      <c r="W11261" t="s">
        <v>43453</v>
      </c>
      <c r="X11261" t="s">
        <v>47438</v>
      </c>
    </row>
    <row r="11262" spans="1:24">
      <c r="A11262">
        <f>HYPERLINK("https://www.philgeps.gov.ph/GEPSNONPILOT/Tender/SplashBidNoticeAbstractUI.aspx?menuIndex=3&amp;refID=7147362&amp;Result=3","7147362")</f>
        <v>0</v>
      </c>
      <c r="B11262" t="s">
        <v>3345</v>
      </c>
      <c r="C11262" t="s">
        <v>14495</v>
      </c>
      <c r="D11262" t="s">
        <v>19065</v>
      </c>
      <c r="E11262" t="s">
        <v>22111</v>
      </c>
      <c r="F11262" t="s">
        <v>32831</v>
      </c>
      <c r="G11262" t="s">
        <v>32839</v>
      </c>
      <c r="H11262" t="s">
        <v>32849</v>
      </c>
      <c r="I11262" t="s">
        <v>4177</v>
      </c>
      <c r="J11262" t="s">
        <v>32978</v>
      </c>
      <c r="K11262" t="s">
        <v>42729</v>
      </c>
      <c r="M11262" t="s">
        <v>46668</v>
      </c>
      <c r="N11262" t="s">
        <v>47424</v>
      </c>
      <c r="O11262" t="s">
        <v>47425</v>
      </c>
      <c r="P11262">
        <v>0</v>
      </c>
      <c r="Q11262">
        <v>0</v>
      </c>
      <c r="R11262" t="s">
        <v>47437</v>
      </c>
      <c r="S11262" t="s">
        <v>47706</v>
      </c>
      <c r="T11262" t="s">
        <v>49112</v>
      </c>
      <c r="U11262" t="s">
        <v>58902</v>
      </c>
      <c r="W11262" t="s">
        <v>46668</v>
      </c>
      <c r="X11262" t="s">
        <v>47438</v>
      </c>
    </row>
    <row r="11263" spans="1:24">
      <c r="A11263">
        <f>HYPERLINK("https://www.philgeps.gov.ph/GEPSNONPILOT/Tender/SplashBidNoticeAbstractUI.aspx?menuIndex=3&amp;refID=7147498&amp;Result=3","7147498")</f>
        <v>0</v>
      </c>
      <c r="B11263" t="s">
        <v>2835</v>
      </c>
      <c r="C11263" t="s">
        <v>14496</v>
      </c>
      <c r="D11263" t="s">
        <v>19050</v>
      </c>
      <c r="E11263" t="s">
        <v>28762</v>
      </c>
      <c r="F11263" t="s">
        <v>32831</v>
      </c>
      <c r="G11263" t="s">
        <v>32839</v>
      </c>
      <c r="H11263" t="s">
        <v>32848</v>
      </c>
      <c r="I11263" t="s">
        <v>9577</v>
      </c>
      <c r="J11263" t="s">
        <v>39912</v>
      </c>
      <c r="K11263" t="s">
        <v>42726</v>
      </c>
      <c r="M11263" t="s">
        <v>46067</v>
      </c>
      <c r="N11263" t="s">
        <v>47424</v>
      </c>
      <c r="O11263" t="s">
        <v>47425</v>
      </c>
      <c r="P11263">
        <v>0</v>
      </c>
      <c r="Q11263">
        <v>3</v>
      </c>
      <c r="R11263" t="s">
        <v>47437</v>
      </c>
      <c r="S11263" t="s">
        <v>47706</v>
      </c>
      <c r="T11263" t="s">
        <v>49239</v>
      </c>
      <c r="U11263" t="s">
        <v>58912</v>
      </c>
      <c r="W11263" t="s">
        <v>46067</v>
      </c>
      <c r="X11263" t="s">
        <v>47438</v>
      </c>
    </row>
    <row r="11264" spans="1:24">
      <c r="A11264">
        <f>HYPERLINK("https://www.philgeps.gov.ph/GEPSNONPILOT/Tender/SplashBidNoticeAbstractUI.aspx?menuIndex=3&amp;refID=7147347&amp;Result=3","7147347")</f>
        <v>0</v>
      </c>
      <c r="B11264" t="s">
        <v>3364</v>
      </c>
      <c r="C11264" t="s">
        <v>14497</v>
      </c>
      <c r="D11264" t="s">
        <v>19037</v>
      </c>
      <c r="E11264" t="s">
        <v>23632</v>
      </c>
      <c r="F11264" t="s">
        <v>32831</v>
      </c>
      <c r="G11264" t="s">
        <v>32839</v>
      </c>
      <c r="H11264" t="s">
        <v>32848</v>
      </c>
      <c r="I11264" t="s">
        <v>7751</v>
      </c>
      <c r="J11264" t="s">
        <v>33528</v>
      </c>
      <c r="K11264" t="s">
        <v>42732</v>
      </c>
      <c r="M11264" t="s">
        <v>46690</v>
      </c>
      <c r="N11264" t="s">
        <v>47424</v>
      </c>
      <c r="O11264" t="s">
        <v>47425</v>
      </c>
      <c r="P11264">
        <v>0</v>
      </c>
      <c r="Q11264">
        <v>4</v>
      </c>
      <c r="R11264" t="s">
        <v>47437</v>
      </c>
      <c r="S11264" t="s">
        <v>47706</v>
      </c>
      <c r="T11264" t="s">
        <v>49073</v>
      </c>
      <c r="U11264" t="s">
        <v>58913</v>
      </c>
      <c r="W11264" t="s">
        <v>46690</v>
      </c>
      <c r="X11264" t="s">
        <v>47438</v>
      </c>
    </row>
    <row r="11265" spans="1:24">
      <c r="A11265">
        <f>HYPERLINK("https://www.philgeps.gov.ph/GEPSNONPILOT/Tender/SplashBidNoticeAbstractUI.aspx?menuIndex=3&amp;refID=7147474&amp;Result=3","7147474")</f>
        <v>0</v>
      </c>
      <c r="B11265" t="s">
        <v>3365</v>
      </c>
      <c r="C11265" t="s">
        <v>14498</v>
      </c>
      <c r="D11265" t="s">
        <v>19059</v>
      </c>
      <c r="E11265" t="s">
        <v>19937</v>
      </c>
      <c r="F11265" t="s">
        <v>32831</v>
      </c>
      <c r="G11265" t="s">
        <v>32839</v>
      </c>
      <c r="H11265" t="s">
        <v>32849</v>
      </c>
      <c r="I11265" t="s">
        <v>7416</v>
      </c>
      <c r="J11265" t="s">
        <v>39913</v>
      </c>
      <c r="K11265" t="s">
        <v>42727</v>
      </c>
      <c r="M11265" t="s">
        <v>46691</v>
      </c>
      <c r="N11265" t="s">
        <v>47424</v>
      </c>
      <c r="O11265" t="s">
        <v>47425</v>
      </c>
      <c r="P11265">
        <v>0</v>
      </c>
      <c r="Q11265">
        <v>5</v>
      </c>
      <c r="R11265" t="s">
        <v>47437</v>
      </c>
      <c r="S11265" t="s">
        <v>47706</v>
      </c>
      <c r="T11265" t="s">
        <v>49127</v>
      </c>
      <c r="U11265" t="s">
        <v>58914</v>
      </c>
      <c r="W11265" t="s">
        <v>46691</v>
      </c>
      <c r="X11265" t="s">
        <v>47438</v>
      </c>
    </row>
    <row r="11266" spans="1:24">
      <c r="A11266">
        <f>HYPERLINK("https://www.philgeps.gov.ph/GEPSNONPILOT/Tender/SplashBidNoticeAbstractUI.aspx?menuIndex=3&amp;refID=7147555&amp;Result=3","7147555")</f>
        <v>0</v>
      </c>
      <c r="B11266" t="s">
        <v>3352</v>
      </c>
      <c r="C11266" t="s">
        <v>14499</v>
      </c>
      <c r="D11266" t="s">
        <v>19095</v>
      </c>
      <c r="E11266" t="s">
        <v>28763</v>
      </c>
      <c r="F11266" t="s">
        <v>32831</v>
      </c>
      <c r="G11266" t="s">
        <v>32839</v>
      </c>
      <c r="H11266" t="s">
        <v>32848</v>
      </c>
      <c r="I11266" t="s">
        <v>7416</v>
      </c>
      <c r="J11266" t="s">
        <v>39914</v>
      </c>
      <c r="K11266" t="s">
        <v>42730</v>
      </c>
      <c r="M11266" t="s">
        <v>46677</v>
      </c>
      <c r="N11266" t="s">
        <v>47424</v>
      </c>
      <c r="O11266" t="s">
        <v>47425</v>
      </c>
      <c r="P11266">
        <v>0</v>
      </c>
      <c r="Q11266">
        <v>0</v>
      </c>
      <c r="R11266" t="s">
        <v>47437</v>
      </c>
      <c r="S11266" t="s">
        <v>47706</v>
      </c>
      <c r="T11266" t="s">
        <v>49142</v>
      </c>
      <c r="U11266" t="s">
        <v>58915</v>
      </c>
      <c r="W11266" t="s">
        <v>46677</v>
      </c>
      <c r="X11266" t="s">
        <v>47438</v>
      </c>
    </row>
    <row r="11267" spans="1:24">
      <c r="A11267">
        <f>HYPERLINK("https://www.philgeps.gov.ph/GEPSNONPILOT/Tender/SplashBidNoticeAbstractUI.aspx?menuIndex=3&amp;refID=7147541&amp;Result=3","7147541")</f>
        <v>0</v>
      </c>
      <c r="B11267" t="s">
        <v>630</v>
      </c>
      <c r="C11267" t="s">
        <v>14500</v>
      </c>
      <c r="D11267" t="s">
        <v>19049</v>
      </c>
      <c r="E11267" t="s">
        <v>28764</v>
      </c>
      <c r="F11267" t="s">
        <v>32831</v>
      </c>
      <c r="G11267" t="s">
        <v>32841</v>
      </c>
      <c r="H11267" t="s">
        <v>32848</v>
      </c>
      <c r="I11267" t="s">
        <v>32947</v>
      </c>
      <c r="J11267" t="s">
        <v>32978</v>
      </c>
      <c r="K11267" t="s">
        <v>42729</v>
      </c>
      <c r="M11267" t="s">
        <v>43647</v>
      </c>
      <c r="N11267" t="s">
        <v>47424</v>
      </c>
      <c r="O11267" t="s">
        <v>47425</v>
      </c>
      <c r="P11267">
        <v>0</v>
      </c>
      <c r="Q11267">
        <v>6</v>
      </c>
      <c r="R11267" t="s">
        <v>47437</v>
      </c>
      <c r="S11267" t="s">
        <v>47706</v>
      </c>
      <c r="T11267" t="s">
        <v>49243</v>
      </c>
      <c r="U11267" t="s">
        <v>58787</v>
      </c>
      <c r="V11267" t="s">
        <v>63857</v>
      </c>
      <c r="W11267" t="s">
        <v>43647</v>
      </c>
      <c r="X11267" t="s">
        <v>47438</v>
      </c>
    </row>
    <row r="11268" spans="1:24">
      <c r="A11268">
        <f>HYPERLINK("https://www.philgeps.gov.ph/GEPSNONPILOT/Tender/SplashBidNoticeAbstractUI.aspx?menuIndex=3&amp;refID=7147528&amp;Result=3","7147528")</f>
        <v>0</v>
      </c>
      <c r="B11268" t="s">
        <v>1857</v>
      </c>
      <c r="C11268" t="s">
        <v>14501</v>
      </c>
      <c r="E11268" t="s">
        <v>28765</v>
      </c>
      <c r="F11268" t="s">
        <v>32831</v>
      </c>
      <c r="G11268" t="s">
        <v>32839</v>
      </c>
      <c r="H11268" t="s">
        <v>32849</v>
      </c>
      <c r="I11268" t="s">
        <v>4177</v>
      </c>
      <c r="J11268" t="s">
        <v>36801</v>
      </c>
      <c r="K11268" t="s">
        <v>42943</v>
      </c>
      <c r="M11268" t="s">
        <v>44996</v>
      </c>
      <c r="N11268" t="s">
        <v>47424</v>
      </c>
      <c r="O11268" t="s">
        <v>47425</v>
      </c>
      <c r="P11268">
        <v>0</v>
      </c>
      <c r="Q11268">
        <v>0</v>
      </c>
      <c r="R11268" t="s">
        <v>47437</v>
      </c>
      <c r="S11268" t="s">
        <v>47706</v>
      </c>
      <c r="T11268" t="s">
        <v>49192</v>
      </c>
      <c r="U11268" t="s">
        <v>53704</v>
      </c>
      <c r="W11268" t="s">
        <v>44996</v>
      </c>
      <c r="X11268" t="s">
        <v>47438</v>
      </c>
    </row>
    <row r="11269" spans="1:24">
      <c r="A11269">
        <f>HYPERLINK("https://www.philgeps.gov.ph/GEPSNONPILOT/Tender/SplashBidNoticeAbstractUI.aspx?menuIndex=3&amp;refID=7147514&amp;Result=3","7147514")</f>
        <v>0</v>
      </c>
      <c r="B11269" t="s">
        <v>3352</v>
      </c>
      <c r="C11269" t="s">
        <v>14502</v>
      </c>
      <c r="D11269" t="s">
        <v>19095</v>
      </c>
      <c r="E11269" t="s">
        <v>28761</v>
      </c>
      <c r="F11269" t="s">
        <v>32831</v>
      </c>
      <c r="G11269" t="s">
        <v>32839</v>
      </c>
      <c r="H11269" t="s">
        <v>32848</v>
      </c>
      <c r="I11269" t="s">
        <v>7416</v>
      </c>
      <c r="J11269" t="s">
        <v>39915</v>
      </c>
      <c r="K11269" t="s">
        <v>42730</v>
      </c>
      <c r="M11269" t="s">
        <v>46677</v>
      </c>
      <c r="N11269" t="s">
        <v>47424</v>
      </c>
      <c r="O11269" t="s">
        <v>47425</v>
      </c>
      <c r="P11269">
        <v>0</v>
      </c>
      <c r="Q11269">
        <v>0</v>
      </c>
      <c r="R11269" t="s">
        <v>47437</v>
      </c>
      <c r="S11269" t="s">
        <v>47706</v>
      </c>
      <c r="T11269" t="s">
        <v>49142</v>
      </c>
      <c r="U11269" t="s">
        <v>58916</v>
      </c>
      <c r="W11269" t="s">
        <v>46677</v>
      </c>
      <c r="X11269" t="s">
        <v>47438</v>
      </c>
    </row>
    <row r="11270" spans="1:24">
      <c r="A11270">
        <f>HYPERLINK("https://www.philgeps.gov.ph/GEPSNONPILOT/Tender/SplashBidNoticeAbstractUI.aspx?menuIndex=3&amp;refID=7147340&amp;Result=3","7147340")</f>
        <v>0</v>
      </c>
      <c r="B11270" t="s">
        <v>3350</v>
      </c>
      <c r="C11270" t="s">
        <v>14503</v>
      </c>
      <c r="D11270" t="s">
        <v>19042</v>
      </c>
      <c r="E11270" t="s">
        <v>28766</v>
      </c>
      <c r="F11270" t="s">
        <v>32831</v>
      </c>
      <c r="G11270" t="s">
        <v>32839</v>
      </c>
      <c r="H11270" t="s">
        <v>32849</v>
      </c>
      <c r="I11270" t="s">
        <v>4177</v>
      </c>
      <c r="J11270" t="s">
        <v>39916</v>
      </c>
      <c r="K11270" t="s">
        <v>42836</v>
      </c>
      <c r="L11270" t="s">
        <v>3350</v>
      </c>
      <c r="M11270" t="s">
        <v>46674</v>
      </c>
      <c r="N11270" t="s">
        <v>47424</v>
      </c>
      <c r="O11270" t="s">
        <v>47425</v>
      </c>
      <c r="P11270">
        <v>0</v>
      </c>
      <c r="Q11270">
        <v>0</v>
      </c>
      <c r="R11270" t="s">
        <v>47437</v>
      </c>
      <c r="S11270" t="s">
        <v>47706</v>
      </c>
      <c r="T11270" t="s">
        <v>49106</v>
      </c>
      <c r="U11270" t="s">
        <v>58917</v>
      </c>
      <c r="W11270" t="s">
        <v>46674</v>
      </c>
      <c r="X11270" t="s">
        <v>47438</v>
      </c>
    </row>
    <row r="11271" spans="1:24">
      <c r="A11271">
        <f>HYPERLINK("https://www.philgeps.gov.ph/GEPSNONPILOT/Tender/SplashBidNoticeAbstractUI.aspx?menuIndex=3&amp;refID=7147462&amp;Result=3","7147462")</f>
        <v>0</v>
      </c>
      <c r="B11271" t="s">
        <v>3345</v>
      </c>
      <c r="C11271" t="s">
        <v>14504</v>
      </c>
      <c r="D11271" t="s">
        <v>19065</v>
      </c>
      <c r="E11271" t="s">
        <v>23324</v>
      </c>
      <c r="F11271" t="s">
        <v>32831</v>
      </c>
      <c r="G11271" t="s">
        <v>32839</v>
      </c>
      <c r="H11271" t="s">
        <v>32848</v>
      </c>
      <c r="I11271" t="s">
        <v>7751</v>
      </c>
      <c r="J11271" t="s">
        <v>33032</v>
      </c>
      <c r="K11271" t="s">
        <v>42730</v>
      </c>
      <c r="M11271" t="s">
        <v>46668</v>
      </c>
      <c r="N11271" t="s">
        <v>47424</v>
      </c>
      <c r="O11271" t="s">
        <v>47425</v>
      </c>
      <c r="P11271">
        <v>0</v>
      </c>
      <c r="Q11271">
        <v>4</v>
      </c>
      <c r="R11271" t="s">
        <v>47437</v>
      </c>
      <c r="S11271" t="s">
        <v>47706</v>
      </c>
      <c r="T11271" t="s">
        <v>49173</v>
      </c>
      <c r="U11271" t="s">
        <v>58918</v>
      </c>
      <c r="W11271" t="s">
        <v>46668</v>
      </c>
      <c r="X11271" t="s">
        <v>47438</v>
      </c>
    </row>
    <row r="11272" spans="1:24">
      <c r="A11272">
        <f>HYPERLINK("https://www.philgeps.gov.ph/GEPSNONPILOT/Tender/SplashBidNoticeAbstractUI.aspx?menuIndex=3&amp;refID=7147458&amp;Result=3","7147458")</f>
        <v>0</v>
      </c>
      <c r="B11272" t="s">
        <v>3366</v>
      </c>
      <c r="C11272" t="s">
        <v>14505</v>
      </c>
      <c r="D11272" t="s">
        <v>19017</v>
      </c>
      <c r="E11272" t="s">
        <v>14505</v>
      </c>
      <c r="F11272" t="s">
        <v>32831</v>
      </c>
      <c r="G11272" t="s">
        <v>32839</v>
      </c>
      <c r="H11272" t="s">
        <v>32848</v>
      </c>
      <c r="I11272" t="s">
        <v>32860</v>
      </c>
      <c r="J11272" t="s">
        <v>39917</v>
      </c>
      <c r="K11272" t="s">
        <v>42730</v>
      </c>
      <c r="M11272" t="s">
        <v>46692</v>
      </c>
      <c r="N11272" t="s">
        <v>47424</v>
      </c>
      <c r="O11272" t="s">
        <v>47425</v>
      </c>
      <c r="P11272">
        <v>0</v>
      </c>
      <c r="Q11272">
        <v>0</v>
      </c>
      <c r="R11272" t="s">
        <v>47437</v>
      </c>
      <c r="S11272" t="s">
        <v>47706</v>
      </c>
      <c r="T11272" t="s">
        <v>49059</v>
      </c>
      <c r="U11272" t="s">
        <v>58919</v>
      </c>
      <c r="W11272" t="s">
        <v>46692</v>
      </c>
      <c r="X11272" t="s">
        <v>47438</v>
      </c>
    </row>
    <row r="11273" spans="1:24">
      <c r="A11273">
        <f>HYPERLINK("https://www.philgeps.gov.ph/GEPSNONPILOT/Tender/SplashBidNoticeAbstractUI.aspx?menuIndex=3&amp;refID=7147457&amp;Result=3","7147457")</f>
        <v>0</v>
      </c>
      <c r="B11273" t="s">
        <v>630</v>
      </c>
      <c r="C11273" t="s">
        <v>14506</v>
      </c>
      <c r="D11273" t="s">
        <v>19097</v>
      </c>
      <c r="E11273" t="s">
        <v>28767</v>
      </c>
      <c r="F11273" t="s">
        <v>32831</v>
      </c>
      <c r="G11273" t="s">
        <v>32841</v>
      </c>
      <c r="H11273" t="s">
        <v>32848</v>
      </c>
      <c r="I11273" t="s">
        <v>32899</v>
      </c>
      <c r="J11273" t="s">
        <v>35531</v>
      </c>
      <c r="K11273" t="s">
        <v>42730</v>
      </c>
      <c r="M11273" t="s">
        <v>43647</v>
      </c>
      <c r="N11273" t="s">
        <v>47424</v>
      </c>
      <c r="O11273" t="s">
        <v>47425</v>
      </c>
      <c r="P11273">
        <v>0</v>
      </c>
      <c r="Q11273">
        <v>2</v>
      </c>
      <c r="R11273" t="s">
        <v>47437</v>
      </c>
      <c r="S11273" t="s">
        <v>47706</v>
      </c>
      <c r="T11273" t="s">
        <v>49243</v>
      </c>
      <c r="U11273" t="s">
        <v>58787</v>
      </c>
      <c r="V11273" t="s">
        <v>62769</v>
      </c>
      <c r="W11273" t="s">
        <v>43647</v>
      </c>
      <c r="X11273" t="s">
        <v>47438</v>
      </c>
    </row>
    <row r="11274" spans="1:24">
      <c r="A11274">
        <f>HYPERLINK("https://www.philgeps.gov.ph/GEPSNONPILOT/Tender/SplashBidNoticeAbstractUI.aspx?menuIndex=3&amp;refID=7147449&amp;Result=3","7147449")</f>
        <v>0</v>
      </c>
      <c r="B11274" t="s">
        <v>448</v>
      </c>
      <c r="C11274" t="s">
        <v>14507</v>
      </c>
      <c r="D11274" t="s">
        <v>19027</v>
      </c>
      <c r="E11274" t="s">
        <v>28768</v>
      </c>
      <c r="F11274" t="s">
        <v>32831</v>
      </c>
      <c r="G11274" t="s">
        <v>32839</v>
      </c>
      <c r="H11274" t="s">
        <v>32849</v>
      </c>
      <c r="I11274" t="s">
        <v>4177</v>
      </c>
      <c r="J11274" t="s">
        <v>32985</v>
      </c>
      <c r="K11274" t="s">
        <v>42729</v>
      </c>
      <c r="M11274" t="s">
        <v>43453</v>
      </c>
      <c r="N11274" t="s">
        <v>47424</v>
      </c>
      <c r="O11274" t="s">
        <v>47425</v>
      </c>
      <c r="P11274">
        <v>0</v>
      </c>
      <c r="Q11274">
        <v>0</v>
      </c>
      <c r="R11274" t="s">
        <v>47437</v>
      </c>
      <c r="S11274" t="s">
        <v>47706</v>
      </c>
      <c r="T11274" t="s">
        <v>49237</v>
      </c>
      <c r="U11274" t="s">
        <v>58920</v>
      </c>
      <c r="W11274" t="s">
        <v>43453</v>
      </c>
      <c r="X11274" t="s">
        <v>47438</v>
      </c>
    </row>
    <row r="11275" spans="1:24">
      <c r="A11275">
        <f>HYPERLINK("https://www.philgeps.gov.ph/GEPSNONPILOT/Tender/SplashBidNoticeAbstractUI.aspx?menuIndex=3&amp;refID=7147426&amp;Result=3","7147426")</f>
        <v>0</v>
      </c>
      <c r="B11275" t="s">
        <v>3363</v>
      </c>
      <c r="C11275" t="s">
        <v>7481</v>
      </c>
      <c r="D11275" t="s">
        <v>19033</v>
      </c>
      <c r="E11275" t="s">
        <v>28769</v>
      </c>
      <c r="F11275" t="s">
        <v>32831</v>
      </c>
      <c r="G11275" t="s">
        <v>32839</v>
      </c>
      <c r="H11275" t="s">
        <v>32848</v>
      </c>
      <c r="I11275" t="s">
        <v>7416</v>
      </c>
      <c r="J11275" t="s">
        <v>39918</v>
      </c>
      <c r="K11275" t="s">
        <v>42726</v>
      </c>
      <c r="M11275" t="s">
        <v>46689</v>
      </c>
      <c r="N11275" t="s">
        <v>47424</v>
      </c>
      <c r="O11275" t="s">
        <v>47425</v>
      </c>
      <c r="P11275">
        <v>0</v>
      </c>
      <c r="Q11275">
        <v>1</v>
      </c>
      <c r="R11275" t="s">
        <v>47437</v>
      </c>
      <c r="S11275" t="s">
        <v>47706</v>
      </c>
      <c r="T11275" t="s">
        <v>49172</v>
      </c>
      <c r="U11275" t="s">
        <v>58921</v>
      </c>
      <c r="W11275" t="s">
        <v>46689</v>
      </c>
      <c r="X11275" t="s">
        <v>47438</v>
      </c>
    </row>
    <row r="11276" spans="1:24">
      <c r="A11276">
        <f>HYPERLINK("https://www.philgeps.gov.ph/GEPSNONPILOT/Tender/SplashBidNoticeAbstractUI.aspx?menuIndex=3&amp;refID=7147547&amp;Result=3","7147547")</f>
        <v>0</v>
      </c>
      <c r="B11276" t="s">
        <v>1969</v>
      </c>
      <c r="C11276" t="s">
        <v>14508</v>
      </c>
      <c r="D11276" t="s">
        <v>19047</v>
      </c>
      <c r="E11276" t="s">
        <v>28770</v>
      </c>
      <c r="F11276" t="s">
        <v>32831</v>
      </c>
      <c r="G11276" t="s">
        <v>32839</v>
      </c>
      <c r="H11276" t="s">
        <v>32848</v>
      </c>
      <c r="I11276" t="s">
        <v>32852</v>
      </c>
      <c r="J11276" t="s">
        <v>39919</v>
      </c>
      <c r="K11276" t="s">
        <v>42727</v>
      </c>
      <c r="M11276" t="s">
        <v>46136</v>
      </c>
      <c r="N11276" t="s">
        <v>47424</v>
      </c>
      <c r="O11276" t="s">
        <v>47425</v>
      </c>
      <c r="P11276">
        <v>0</v>
      </c>
      <c r="Q11276">
        <v>2</v>
      </c>
      <c r="R11276" t="s">
        <v>47437</v>
      </c>
      <c r="S11276" t="s">
        <v>47706</v>
      </c>
      <c r="T11276" t="s">
        <v>49091</v>
      </c>
      <c r="U11276" t="s">
        <v>58922</v>
      </c>
      <c r="V11276" t="s">
        <v>63874</v>
      </c>
      <c r="W11276" t="s">
        <v>64494</v>
      </c>
      <c r="X11276" t="s">
        <v>47438</v>
      </c>
    </row>
    <row r="11277" spans="1:24">
      <c r="A11277">
        <f>HYPERLINK("https://www.philgeps.gov.ph/GEPSNONPILOT/Tender/SplashBidNoticeAbstractUI.aspx?menuIndex=3&amp;refID=7147447&amp;Result=3","7147447")</f>
        <v>0</v>
      </c>
      <c r="B11277" t="s">
        <v>48</v>
      </c>
      <c r="C11277" t="s">
        <v>14509</v>
      </c>
      <c r="D11277" t="s">
        <v>19036</v>
      </c>
      <c r="E11277" t="s">
        <v>28771</v>
      </c>
      <c r="F11277" t="s">
        <v>32831</v>
      </c>
      <c r="G11277" t="s">
        <v>32839</v>
      </c>
      <c r="H11277" t="s">
        <v>32848</v>
      </c>
      <c r="I11277" t="s">
        <v>32860</v>
      </c>
      <c r="J11277" t="s">
        <v>39920</v>
      </c>
      <c r="K11277" t="s">
        <v>42727</v>
      </c>
      <c r="M11277" t="s">
        <v>43045</v>
      </c>
      <c r="N11277" t="s">
        <v>47424</v>
      </c>
      <c r="O11277" t="s">
        <v>47425</v>
      </c>
      <c r="Q11277">
        <v>4</v>
      </c>
      <c r="R11277" t="s">
        <v>47437</v>
      </c>
      <c r="S11277" t="s">
        <v>47777</v>
      </c>
      <c r="T11277" t="s">
        <v>49236</v>
      </c>
      <c r="U11277" t="s">
        <v>58923</v>
      </c>
      <c r="W11277" t="s">
        <v>43045</v>
      </c>
      <c r="X11277" t="s">
        <v>47438</v>
      </c>
    </row>
    <row r="11278" spans="1:24">
      <c r="A11278">
        <f>HYPERLINK("https://www.philgeps.gov.ph/GEPSNONPILOT/Tender/SplashBidNoticeAbstractUI.aspx?menuIndex=3&amp;refID=7147358&amp;Result=3","7147358")</f>
        <v>0</v>
      </c>
      <c r="B11278" t="s">
        <v>1135</v>
      </c>
      <c r="C11278" t="s">
        <v>14510</v>
      </c>
      <c r="D11278" t="s">
        <v>19064</v>
      </c>
      <c r="E11278" t="s">
        <v>28772</v>
      </c>
      <c r="F11278" t="s">
        <v>32831</v>
      </c>
      <c r="G11278" t="s">
        <v>32839</v>
      </c>
      <c r="H11278" t="s">
        <v>32848</v>
      </c>
      <c r="I11278" t="s">
        <v>7751</v>
      </c>
      <c r="J11278" t="s">
        <v>33118</v>
      </c>
      <c r="K11278" t="s">
        <v>42726</v>
      </c>
      <c r="M11278" t="s">
        <v>44197</v>
      </c>
      <c r="N11278" t="s">
        <v>47424</v>
      </c>
      <c r="O11278" t="s">
        <v>47425</v>
      </c>
      <c r="P11278">
        <v>0</v>
      </c>
      <c r="Q11278">
        <v>3</v>
      </c>
      <c r="R11278" t="s">
        <v>47437</v>
      </c>
      <c r="S11278" t="s">
        <v>47706</v>
      </c>
      <c r="T11278" t="s">
        <v>49586</v>
      </c>
      <c r="U11278" t="s">
        <v>58924</v>
      </c>
      <c r="W11278" t="s">
        <v>44197</v>
      </c>
      <c r="X11278" t="s">
        <v>47438</v>
      </c>
    </row>
    <row r="11279" spans="1:24">
      <c r="A11279">
        <f>HYPERLINK("https://www.philgeps.gov.ph/GEPSNONPILOT/Tender/SplashBidNoticeAbstractUI.aspx?menuIndex=3&amp;refID=7147507&amp;Result=3","7147507")</f>
        <v>0</v>
      </c>
      <c r="B11279" t="s">
        <v>2415</v>
      </c>
      <c r="C11279" t="s">
        <v>14511</v>
      </c>
      <c r="D11279" t="s">
        <v>19044</v>
      </c>
      <c r="E11279" t="s">
        <v>28773</v>
      </c>
      <c r="F11279" t="s">
        <v>32831</v>
      </c>
      <c r="G11279" t="s">
        <v>32839</v>
      </c>
      <c r="H11279" t="s">
        <v>32848</v>
      </c>
      <c r="I11279" t="s">
        <v>32861</v>
      </c>
      <c r="J11279" t="s">
        <v>38777</v>
      </c>
      <c r="K11279" t="s">
        <v>42732</v>
      </c>
      <c r="M11279" t="s">
        <v>45610</v>
      </c>
      <c r="N11279" t="s">
        <v>47424</v>
      </c>
      <c r="O11279" t="s">
        <v>47425</v>
      </c>
      <c r="Q11279">
        <v>22</v>
      </c>
      <c r="R11279" t="s">
        <v>47437</v>
      </c>
      <c r="S11279" t="s">
        <v>47778</v>
      </c>
      <c r="T11279" t="s">
        <v>49112</v>
      </c>
      <c r="U11279" t="s">
        <v>58925</v>
      </c>
      <c r="W11279" t="s">
        <v>45610</v>
      </c>
      <c r="X11279" t="s">
        <v>47438</v>
      </c>
    </row>
    <row r="11280" spans="1:24">
      <c r="A11280">
        <f>HYPERLINK("https://www.philgeps.gov.ph/GEPSNONPILOT/Tender/SplashBidNoticeAbstractUI.aspx?menuIndex=3&amp;refID=7147559&amp;Result=3","7147559")</f>
        <v>0</v>
      </c>
      <c r="B11280" t="s">
        <v>448</v>
      </c>
      <c r="C11280" t="s">
        <v>14512</v>
      </c>
      <c r="D11280" t="s">
        <v>19058</v>
      </c>
      <c r="E11280" t="s">
        <v>28774</v>
      </c>
      <c r="F11280" t="s">
        <v>32831</v>
      </c>
      <c r="G11280" t="s">
        <v>32839</v>
      </c>
      <c r="H11280" t="s">
        <v>32849</v>
      </c>
      <c r="I11280" t="s">
        <v>4177</v>
      </c>
      <c r="J11280" t="s">
        <v>32985</v>
      </c>
      <c r="K11280" t="s">
        <v>42729</v>
      </c>
      <c r="M11280" t="s">
        <v>43453</v>
      </c>
      <c r="N11280" t="s">
        <v>47424</v>
      </c>
      <c r="O11280" t="s">
        <v>47425</v>
      </c>
      <c r="P11280">
        <v>0</v>
      </c>
      <c r="Q11280">
        <v>0</v>
      </c>
      <c r="R11280" t="s">
        <v>47437</v>
      </c>
      <c r="S11280" t="s">
        <v>47706</v>
      </c>
      <c r="T11280" t="s">
        <v>49237</v>
      </c>
      <c r="U11280" t="s">
        <v>58926</v>
      </c>
      <c r="W11280" t="s">
        <v>43453</v>
      </c>
      <c r="X11280" t="s">
        <v>47438</v>
      </c>
    </row>
    <row r="11281" spans="1:24">
      <c r="A11281">
        <f>HYPERLINK("https://www.philgeps.gov.ph/GEPSNONPILOT/Tender/SplashBidNoticeAbstractUI.aspx?menuIndex=3&amp;refID=7147611&amp;Result=3","7147611")</f>
        <v>0</v>
      </c>
      <c r="B11281" t="s">
        <v>3352</v>
      </c>
      <c r="C11281" t="s">
        <v>14513</v>
      </c>
      <c r="D11281" t="s">
        <v>19095</v>
      </c>
      <c r="E11281" t="s">
        <v>28775</v>
      </c>
      <c r="F11281" t="s">
        <v>32831</v>
      </c>
      <c r="G11281" t="s">
        <v>32839</v>
      </c>
      <c r="H11281" t="s">
        <v>32848</v>
      </c>
      <c r="I11281" t="s">
        <v>7416</v>
      </c>
      <c r="J11281" t="s">
        <v>39921</v>
      </c>
      <c r="K11281" t="s">
        <v>42730</v>
      </c>
      <c r="M11281" t="s">
        <v>46677</v>
      </c>
      <c r="N11281" t="s">
        <v>47424</v>
      </c>
      <c r="O11281" t="s">
        <v>47425</v>
      </c>
      <c r="P11281">
        <v>0</v>
      </c>
      <c r="Q11281">
        <v>0</v>
      </c>
      <c r="R11281" t="s">
        <v>47437</v>
      </c>
      <c r="S11281" t="s">
        <v>47706</v>
      </c>
      <c r="T11281" t="s">
        <v>49142</v>
      </c>
      <c r="U11281" t="s">
        <v>58927</v>
      </c>
      <c r="W11281" t="s">
        <v>46677</v>
      </c>
      <c r="X11281" t="s">
        <v>47438</v>
      </c>
    </row>
    <row r="11282" spans="1:24">
      <c r="A11282">
        <f>HYPERLINK("https://www.philgeps.gov.ph/GEPSNONPILOT/Tender/SplashBidNoticeAbstractUI.aspx?menuIndex=3&amp;refID=7147352&amp;Result=3","7147352")</f>
        <v>0</v>
      </c>
      <c r="B11282" t="s">
        <v>2231</v>
      </c>
      <c r="C11282" t="s">
        <v>14514</v>
      </c>
      <c r="D11282" t="s">
        <v>19034</v>
      </c>
      <c r="E11282" t="s">
        <v>28707</v>
      </c>
      <c r="F11282" t="s">
        <v>32831</v>
      </c>
      <c r="G11282" t="s">
        <v>32839</v>
      </c>
      <c r="H11282" t="s">
        <v>32848</v>
      </c>
      <c r="I11282" t="s">
        <v>32923</v>
      </c>
      <c r="J11282" t="s">
        <v>33044</v>
      </c>
      <c r="K11282" t="s">
        <v>42729</v>
      </c>
      <c r="M11282" t="s">
        <v>45411</v>
      </c>
      <c r="N11282" t="s">
        <v>47424</v>
      </c>
      <c r="O11282" t="s">
        <v>47425</v>
      </c>
      <c r="P11282">
        <v>0</v>
      </c>
      <c r="Q11282">
        <v>3</v>
      </c>
      <c r="R11282" t="s">
        <v>47437</v>
      </c>
      <c r="S11282" t="s">
        <v>47706</v>
      </c>
      <c r="T11282" t="s">
        <v>49196</v>
      </c>
      <c r="U11282" t="s">
        <v>58928</v>
      </c>
      <c r="W11282" t="s">
        <v>45411</v>
      </c>
      <c r="X11282" t="s">
        <v>47438</v>
      </c>
    </row>
    <row r="11283" spans="1:24">
      <c r="A11283">
        <f>HYPERLINK("https://www.philgeps.gov.ph/GEPSNONPILOT/Tender/SplashBidNoticeAbstractUI.aspx?menuIndex=3&amp;refID=7147592&amp;Result=3","7147592")</f>
        <v>0</v>
      </c>
      <c r="B11283" t="s">
        <v>2674</v>
      </c>
      <c r="C11283" t="s">
        <v>14515</v>
      </c>
      <c r="D11283" t="s">
        <v>19077</v>
      </c>
      <c r="E11283" t="s">
        <v>28776</v>
      </c>
      <c r="F11283" t="s">
        <v>32831</v>
      </c>
      <c r="G11283" t="s">
        <v>32839</v>
      </c>
      <c r="H11283" t="s">
        <v>32849</v>
      </c>
      <c r="I11283" t="s">
        <v>4177</v>
      </c>
      <c r="J11283" t="s">
        <v>33338</v>
      </c>
      <c r="K11283" t="s">
        <v>42736</v>
      </c>
      <c r="M11283" t="s">
        <v>45897</v>
      </c>
      <c r="N11283" t="s">
        <v>47424</v>
      </c>
      <c r="O11283" t="s">
        <v>47425</v>
      </c>
      <c r="P11283">
        <v>0</v>
      </c>
      <c r="Q11283">
        <v>0</v>
      </c>
      <c r="R11283" t="s">
        <v>47437</v>
      </c>
      <c r="S11283" t="s">
        <v>47706</v>
      </c>
      <c r="T11283" t="s">
        <v>49080</v>
      </c>
      <c r="U11283" t="s">
        <v>58929</v>
      </c>
      <c r="V11283" t="s">
        <v>54734</v>
      </c>
      <c r="W11283" t="s">
        <v>45897</v>
      </c>
      <c r="X11283" t="s">
        <v>47438</v>
      </c>
    </row>
    <row r="11284" spans="1:24">
      <c r="A11284">
        <f>HYPERLINK("https://www.philgeps.gov.ph/GEPSNONPILOT/Tender/SplashBidNoticeAbstractUI.aspx?menuIndex=3&amp;refID=7147588&amp;Result=3","7147588")</f>
        <v>0</v>
      </c>
      <c r="B11284" t="s">
        <v>3366</v>
      </c>
      <c r="C11284" t="s">
        <v>14516</v>
      </c>
      <c r="D11284" t="s">
        <v>19017</v>
      </c>
      <c r="E11284" t="s">
        <v>14516</v>
      </c>
      <c r="F11284" t="s">
        <v>32831</v>
      </c>
      <c r="G11284" t="s">
        <v>32839</v>
      </c>
      <c r="H11284" t="s">
        <v>32848</v>
      </c>
      <c r="I11284" t="s">
        <v>32860</v>
      </c>
      <c r="J11284" t="s">
        <v>39922</v>
      </c>
      <c r="K11284" t="s">
        <v>42730</v>
      </c>
      <c r="M11284" t="s">
        <v>46692</v>
      </c>
      <c r="N11284" t="s">
        <v>47424</v>
      </c>
      <c r="O11284" t="s">
        <v>47425</v>
      </c>
      <c r="P11284">
        <v>0</v>
      </c>
      <c r="Q11284">
        <v>1</v>
      </c>
      <c r="R11284" t="s">
        <v>47437</v>
      </c>
      <c r="S11284" t="s">
        <v>47706</v>
      </c>
      <c r="T11284" t="s">
        <v>49059</v>
      </c>
      <c r="U11284" t="s">
        <v>51307</v>
      </c>
      <c r="W11284" t="s">
        <v>46692</v>
      </c>
      <c r="X11284" t="s">
        <v>47438</v>
      </c>
    </row>
    <row r="11285" spans="1:24">
      <c r="A11285">
        <f>HYPERLINK("https://www.philgeps.gov.ph/GEPSNONPILOT/Tender/SplashBidNoticeAbstractUI.aspx?menuIndex=3&amp;refID=7147636&amp;Result=3","7147636")</f>
        <v>0</v>
      </c>
      <c r="B11285" t="s">
        <v>3367</v>
      </c>
      <c r="C11285" t="s">
        <v>14517</v>
      </c>
      <c r="D11285" t="s">
        <v>19022</v>
      </c>
      <c r="E11285" t="s">
        <v>28390</v>
      </c>
      <c r="F11285" t="s">
        <v>32831</v>
      </c>
      <c r="G11285" t="s">
        <v>32839</v>
      </c>
      <c r="H11285" t="s">
        <v>32848</v>
      </c>
      <c r="I11285" t="s">
        <v>7416</v>
      </c>
      <c r="J11285" t="s">
        <v>39923</v>
      </c>
      <c r="K11285" t="s">
        <v>42726</v>
      </c>
      <c r="M11285" t="s">
        <v>46693</v>
      </c>
      <c r="N11285" t="s">
        <v>47424</v>
      </c>
      <c r="O11285" t="s">
        <v>47425</v>
      </c>
      <c r="Q11285">
        <v>0</v>
      </c>
      <c r="R11285" t="s">
        <v>47437</v>
      </c>
      <c r="S11285" t="s">
        <v>47779</v>
      </c>
      <c r="T11285" t="s">
        <v>49057</v>
      </c>
      <c r="U11285" t="s">
        <v>58930</v>
      </c>
      <c r="W11285" t="s">
        <v>46693</v>
      </c>
      <c r="X11285" t="s">
        <v>47438</v>
      </c>
    </row>
    <row r="11286" spans="1:24">
      <c r="A11286">
        <f>HYPERLINK("https://www.philgeps.gov.ph/GEPSNONPILOT/Tender/SplashBidNoticeAbstractUI.aspx?menuIndex=3&amp;refID=7147612&amp;Result=3","7147612")</f>
        <v>0</v>
      </c>
      <c r="B11286" t="s">
        <v>868</v>
      </c>
      <c r="C11286" t="s">
        <v>14518</v>
      </c>
      <c r="D11286" t="s">
        <v>19073</v>
      </c>
      <c r="E11286" t="s">
        <v>28777</v>
      </c>
      <c r="F11286" t="s">
        <v>32832</v>
      </c>
      <c r="G11286" t="s">
        <v>32838</v>
      </c>
      <c r="H11286" t="s">
        <v>32848</v>
      </c>
      <c r="I11286" t="s">
        <v>4438</v>
      </c>
      <c r="J11286" t="s">
        <v>33031</v>
      </c>
      <c r="K11286" t="s">
        <v>42726</v>
      </c>
      <c r="M11286" t="s">
        <v>46694</v>
      </c>
      <c r="N11286" t="s">
        <v>47424</v>
      </c>
      <c r="O11286" t="s">
        <v>47425</v>
      </c>
      <c r="P11286">
        <v>0</v>
      </c>
      <c r="Q11286">
        <v>0</v>
      </c>
      <c r="R11286" t="s">
        <v>47437</v>
      </c>
      <c r="S11286" t="s">
        <v>47706</v>
      </c>
      <c r="T11286" t="s">
        <v>49587</v>
      </c>
      <c r="U11286" t="s">
        <v>58931</v>
      </c>
      <c r="W11286" t="s">
        <v>46694</v>
      </c>
      <c r="X11286" t="s">
        <v>47438</v>
      </c>
    </row>
    <row r="11287" spans="1:24">
      <c r="A11287">
        <f>HYPERLINK("https://www.philgeps.gov.ph/GEPSNONPILOT/Tender/SplashBidNoticeAbstractUI.aspx?menuIndex=3&amp;refID=7147584&amp;Result=3","7147584")</f>
        <v>0</v>
      </c>
      <c r="B11287" t="s">
        <v>3246</v>
      </c>
      <c r="C11287" t="s">
        <v>14519</v>
      </c>
      <c r="D11287" t="s">
        <v>19038</v>
      </c>
      <c r="E11287" t="s">
        <v>28778</v>
      </c>
      <c r="F11287" t="s">
        <v>32831</v>
      </c>
      <c r="G11287" t="s">
        <v>32839</v>
      </c>
      <c r="H11287" t="s">
        <v>32848</v>
      </c>
      <c r="I11287" t="s">
        <v>7751</v>
      </c>
      <c r="J11287" t="s">
        <v>33083</v>
      </c>
      <c r="K11287" t="s">
        <v>42730</v>
      </c>
      <c r="M11287" t="s">
        <v>46561</v>
      </c>
      <c r="N11287" t="s">
        <v>47424</v>
      </c>
      <c r="O11287" t="s">
        <v>47425</v>
      </c>
      <c r="P11287">
        <v>0</v>
      </c>
      <c r="Q11287">
        <v>2</v>
      </c>
      <c r="R11287" t="s">
        <v>47437</v>
      </c>
      <c r="S11287" t="s">
        <v>47706</v>
      </c>
      <c r="T11287" t="s">
        <v>49173</v>
      </c>
      <c r="U11287" t="s">
        <v>58932</v>
      </c>
      <c r="W11287" t="s">
        <v>46561</v>
      </c>
      <c r="X11287" t="s">
        <v>47438</v>
      </c>
    </row>
    <row r="11288" spans="1:24">
      <c r="A11288">
        <f>HYPERLINK("https://www.philgeps.gov.ph/GEPSNONPILOT/Tender/SplashBidNoticeAbstractUI.aspx?menuIndex=3&amp;refID=7147578&amp;Result=3","7147578")</f>
        <v>0</v>
      </c>
      <c r="B11288" t="s">
        <v>3366</v>
      </c>
      <c r="C11288" t="s">
        <v>14520</v>
      </c>
      <c r="D11288" t="s">
        <v>19017</v>
      </c>
      <c r="E11288" t="s">
        <v>14520</v>
      </c>
      <c r="F11288" t="s">
        <v>32831</v>
      </c>
      <c r="G11288" t="s">
        <v>32839</v>
      </c>
      <c r="H11288" t="s">
        <v>32848</v>
      </c>
      <c r="I11288" t="s">
        <v>32860</v>
      </c>
      <c r="J11288" t="s">
        <v>39924</v>
      </c>
      <c r="K11288" t="s">
        <v>42730</v>
      </c>
      <c r="M11288" t="s">
        <v>46692</v>
      </c>
      <c r="N11288" t="s">
        <v>47424</v>
      </c>
      <c r="O11288" t="s">
        <v>47425</v>
      </c>
      <c r="P11288">
        <v>0</v>
      </c>
      <c r="Q11288">
        <v>1</v>
      </c>
      <c r="R11288" t="s">
        <v>47437</v>
      </c>
      <c r="S11288" t="s">
        <v>47706</v>
      </c>
      <c r="T11288" t="s">
        <v>49059</v>
      </c>
      <c r="U11288" t="s">
        <v>51307</v>
      </c>
      <c r="W11288" t="s">
        <v>46692</v>
      </c>
      <c r="X11288" t="s">
        <v>47438</v>
      </c>
    </row>
    <row r="11289" spans="1:24">
      <c r="A11289">
        <f>HYPERLINK("https://www.philgeps.gov.ph/GEPSNONPILOT/Tender/SplashBidNoticeAbstractUI.aspx?menuIndex=3&amp;refID=7147685&amp;Result=3","7147685")</f>
        <v>0</v>
      </c>
      <c r="B11289" t="s">
        <v>3368</v>
      </c>
      <c r="C11289" t="s">
        <v>14521</v>
      </c>
      <c r="E11289" t="s">
        <v>28779</v>
      </c>
      <c r="F11289" t="s">
        <v>32831</v>
      </c>
      <c r="G11289" t="s">
        <v>32839</v>
      </c>
      <c r="H11289" t="s">
        <v>32848</v>
      </c>
      <c r="I11289" t="s">
        <v>7416</v>
      </c>
      <c r="J11289" t="s">
        <v>36358</v>
      </c>
      <c r="K11289" t="s">
        <v>42727</v>
      </c>
      <c r="M11289" t="s">
        <v>46695</v>
      </c>
      <c r="N11289" t="s">
        <v>47424</v>
      </c>
      <c r="O11289" t="s">
        <v>47425</v>
      </c>
      <c r="P11289">
        <v>0</v>
      </c>
      <c r="Q11289">
        <v>0</v>
      </c>
      <c r="R11289" t="s">
        <v>47437</v>
      </c>
      <c r="S11289" t="s">
        <v>47706</v>
      </c>
      <c r="T11289" t="s">
        <v>49097</v>
      </c>
      <c r="U11289" t="s">
        <v>58933</v>
      </c>
      <c r="W11289" t="s">
        <v>46695</v>
      </c>
      <c r="X11289" t="s">
        <v>47438</v>
      </c>
    </row>
    <row r="11290" spans="1:24">
      <c r="A11290">
        <f>HYPERLINK("https://www.philgeps.gov.ph/GEPSNONPILOT/Tender/SplashBidNoticeAbstractUI.aspx?menuIndex=3&amp;refID=7147582&amp;Result=3","7147582")</f>
        <v>0</v>
      </c>
      <c r="B11290" t="s">
        <v>3352</v>
      </c>
      <c r="C11290" t="s">
        <v>14522</v>
      </c>
      <c r="D11290" t="s">
        <v>19095</v>
      </c>
      <c r="E11290" t="s">
        <v>20521</v>
      </c>
      <c r="F11290" t="s">
        <v>32831</v>
      </c>
      <c r="G11290" t="s">
        <v>32839</v>
      </c>
      <c r="H11290" t="s">
        <v>32848</v>
      </c>
      <c r="I11290" t="s">
        <v>7416</v>
      </c>
      <c r="J11290" t="s">
        <v>39925</v>
      </c>
      <c r="K11290" t="s">
        <v>42730</v>
      </c>
      <c r="M11290" t="s">
        <v>46677</v>
      </c>
      <c r="N11290" t="s">
        <v>47424</v>
      </c>
      <c r="O11290" t="s">
        <v>47425</v>
      </c>
      <c r="P11290">
        <v>0</v>
      </c>
      <c r="Q11290">
        <v>0</v>
      </c>
      <c r="R11290" t="s">
        <v>47437</v>
      </c>
      <c r="S11290" t="s">
        <v>47706</v>
      </c>
      <c r="T11290" t="s">
        <v>49142</v>
      </c>
      <c r="U11290" t="s">
        <v>58934</v>
      </c>
      <c r="W11290" t="s">
        <v>46677</v>
      </c>
      <c r="X11290" t="s">
        <v>47438</v>
      </c>
    </row>
    <row r="11291" spans="1:24">
      <c r="A11291">
        <f>HYPERLINK("https://www.philgeps.gov.ph/GEPSNONPILOT/Tender/SplashBidNoticeAbstractUI.aspx?menuIndex=3&amp;refID=7147608&amp;Result=3","7147608")</f>
        <v>0</v>
      </c>
      <c r="B11291" t="s">
        <v>2805</v>
      </c>
      <c r="C11291" t="s">
        <v>10980</v>
      </c>
      <c r="D11291" t="s">
        <v>19080</v>
      </c>
      <c r="E11291" t="s">
        <v>28780</v>
      </c>
      <c r="F11291" t="s">
        <v>32831</v>
      </c>
      <c r="G11291" t="s">
        <v>32839</v>
      </c>
      <c r="H11291" t="s">
        <v>32848</v>
      </c>
      <c r="I11291" t="s">
        <v>7416</v>
      </c>
      <c r="J11291" t="s">
        <v>39926</v>
      </c>
      <c r="K11291" t="s">
        <v>42727</v>
      </c>
      <c r="M11291" t="s">
        <v>46035</v>
      </c>
      <c r="N11291" t="s">
        <v>47424</v>
      </c>
      <c r="O11291" t="s">
        <v>47425</v>
      </c>
      <c r="P11291">
        <v>0</v>
      </c>
      <c r="Q11291">
        <v>0</v>
      </c>
      <c r="R11291" t="s">
        <v>47437</v>
      </c>
      <c r="S11291" t="s">
        <v>47706</v>
      </c>
      <c r="T11291" t="s">
        <v>49123</v>
      </c>
      <c r="U11291" t="s">
        <v>58935</v>
      </c>
      <c r="V11291" t="s">
        <v>63875</v>
      </c>
      <c r="W11291" t="s">
        <v>46035</v>
      </c>
      <c r="X11291" t="s">
        <v>47438</v>
      </c>
    </row>
    <row r="11292" spans="1:24">
      <c r="A11292">
        <f>HYPERLINK("https://www.philgeps.gov.ph/GEPSNONPILOT/Tender/SplashBidNoticeAbstractUI.aspx?menuIndex=3&amp;refID=7147669&amp;Result=3","7147669")</f>
        <v>0</v>
      </c>
      <c r="B11292" t="s">
        <v>2921</v>
      </c>
      <c r="C11292" t="s">
        <v>14523</v>
      </c>
      <c r="D11292" t="s">
        <v>19049</v>
      </c>
      <c r="E11292" t="s">
        <v>28781</v>
      </c>
      <c r="F11292" t="s">
        <v>32831</v>
      </c>
      <c r="G11292" t="s">
        <v>32841</v>
      </c>
      <c r="H11292" t="s">
        <v>32848</v>
      </c>
      <c r="I11292" t="s">
        <v>4487</v>
      </c>
      <c r="J11292" t="s">
        <v>39927</v>
      </c>
      <c r="K11292" t="s">
        <v>42747</v>
      </c>
      <c r="M11292" t="s">
        <v>46174</v>
      </c>
      <c r="N11292" t="s">
        <v>47424</v>
      </c>
      <c r="O11292" t="s">
        <v>47425</v>
      </c>
      <c r="Q11292">
        <v>5</v>
      </c>
      <c r="R11292" t="s">
        <v>47437</v>
      </c>
      <c r="S11292" t="s">
        <v>47780</v>
      </c>
      <c r="T11292" t="s">
        <v>49173</v>
      </c>
      <c r="U11292" t="s">
        <v>58936</v>
      </c>
      <c r="W11292" t="s">
        <v>46174</v>
      </c>
      <c r="X11292" t="s">
        <v>47438</v>
      </c>
    </row>
    <row r="11293" spans="1:24">
      <c r="A11293">
        <f>HYPERLINK("https://www.philgeps.gov.ph/GEPSNONPILOT/Tender/SplashBidNoticeAbstractUI.aspx?menuIndex=3&amp;refID=7147341&amp;Result=3","7147341")</f>
        <v>0</v>
      </c>
      <c r="B11293" t="s">
        <v>3369</v>
      </c>
      <c r="C11293" t="s">
        <v>14524</v>
      </c>
      <c r="D11293" t="s">
        <v>19069</v>
      </c>
      <c r="E11293" t="s">
        <v>20574</v>
      </c>
      <c r="F11293" t="s">
        <v>32831</v>
      </c>
      <c r="G11293" t="s">
        <v>32839</v>
      </c>
      <c r="H11293" t="s">
        <v>32848</v>
      </c>
      <c r="I11293" t="s">
        <v>32949</v>
      </c>
      <c r="J11293" t="s">
        <v>33445</v>
      </c>
      <c r="K11293" t="s">
        <v>42730</v>
      </c>
      <c r="M11293" t="s">
        <v>46696</v>
      </c>
      <c r="N11293" t="s">
        <v>47424</v>
      </c>
      <c r="O11293" t="s">
        <v>47425</v>
      </c>
      <c r="P11293">
        <v>0</v>
      </c>
      <c r="Q11293">
        <v>6</v>
      </c>
      <c r="R11293" t="s">
        <v>47437</v>
      </c>
      <c r="S11293" t="s">
        <v>47706</v>
      </c>
      <c r="T11293" t="s">
        <v>49106</v>
      </c>
      <c r="U11293" t="s">
        <v>58937</v>
      </c>
      <c r="W11293" t="s">
        <v>46696</v>
      </c>
      <c r="X11293" t="s">
        <v>47438</v>
      </c>
    </row>
    <row r="11294" spans="1:24">
      <c r="A11294">
        <f>HYPERLINK("https://www.philgeps.gov.ph/GEPSNONPILOT/Tender/SplashBidNoticeAbstractUI.aspx?menuIndex=3&amp;refID=7147670&amp;Result=3","7147670")</f>
        <v>0</v>
      </c>
      <c r="B11294" t="s">
        <v>448</v>
      </c>
      <c r="C11294" t="s">
        <v>14525</v>
      </c>
      <c r="D11294" t="s">
        <v>19027</v>
      </c>
      <c r="E11294" t="s">
        <v>28774</v>
      </c>
      <c r="F11294" t="s">
        <v>32831</v>
      </c>
      <c r="G11294" t="s">
        <v>32839</v>
      </c>
      <c r="H11294" t="s">
        <v>32849</v>
      </c>
      <c r="I11294" t="s">
        <v>4177</v>
      </c>
      <c r="J11294" t="s">
        <v>32978</v>
      </c>
      <c r="K11294" t="s">
        <v>42729</v>
      </c>
      <c r="M11294" t="s">
        <v>43453</v>
      </c>
      <c r="N11294" t="s">
        <v>47424</v>
      </c>
      <c r="O11294" t="s">
        <v>47425</v>
      </c>
      <c r="P11294">
        <v>0</v>
      </c>
      <c r="Q11294">
        <v>0</v>
      </c>
      <c r="R11294" t="s">
        <v>47437</v>
      </c>
      <c r="S11294" t="s">
        <v>47706</v>
      </c>
      <c r="T11294" t="s">
        <v>49196</v>
      </c>
      <c r="U11294" t="s">
        <v>58938</v>
      </c>
      <c r="W11294" t="s">
        <v>43453</v>
      </c>
      <c r="X11294" t="s">
        <v>47438</v>
      </c>
    </row>
    <row r="11295" spans="1:24">
      <c r="A11295">
        <f>HYPERLINK("https://www.philgeps.gov.ph/GEPSNONPILOT/Tender/SplashBidNoticeAbstractUI.aspx?menuIndex=3&amp;refID=7147647&amp;Result=3","7147647")</f>
        <v>0</v>
      </c>
      <c r="B11295" t="s">
        <v>3370</v>
      </c>
      <c r="C11295" t="s">
        <v>14526</v>
      </c>
      <c r="D11295" t="s">
        <v>19019</v>
      </c>
      <c r="E11295" t="s">
        <v>28782</v>
      </c>
      <c r="F11295" t="s">
        <v>32831</v>
      </c>
      <c r="G11295" t="s">
        <v>32839</v>
      </c>
      <c r="H11295" t="s">
        <v>32849</v>
      </c>
      <c r="I11295" t="s">
        <v>4177</v>
      </c>
      <c r="J11295" t="s">
        <v>39928</v>
      </c>
      <c r="K11295" t="s">
        <v>42732</v>
      </c>
      <c r="M11295" t="s">
        <v>46697</v>
      </c>
      <c r="N11295" t="s">
        <v>47424</v>
      </c>
      <c r="O11295" t="s">
        <v>47425</v>
      </c>
      <c r="P11295">
        <v>0</v>
      </c>
      <c r="Q11295">
        <v>3</v>
      </c>
      <c r="R11295" t="s">
        <v>47437</v>
      </c>
      <c r="S11295" t="s">
        <v>47706</v>
      </c>
      <c r="T11295" t="s">
        <v>49283</v>
      </c>
      <c r="U11295" t="s">
        <v>58939</v>
      </c>
      <c r="W11295" t="s">
        <v>46697</v>
      </c>
      <c r="X11295" t="s">
        <v>47438</v>
      </c>
    </row>
    <row r="11296" spans="1:24">
      <c r="A11296">
        <f>HYPERLINK("https://www.philgeps.gov.ph/GEPSNONPILOT/Tender/SplashBidNoticeAbstractUI.aspx?menuIndex=3&amp;refID=7147687&amp;Result=3","7147687")</f>
        <v>0</v>
      </c>
      <c r="B11296" t="s">
        <v>3366</v>
      </c>
      <c r="C11296" t="s">
        <v>14527</v>
      </c>
      <c r="E11296" t="s">
        <v>14527</v>
      </c>
      <c r="F11296" t="s">
        <v>32831</v>
      </c>
      <c r="G11296" t="s">
        <v>32839</v>
      </c>
      <c r="H11296" t="s">
        <v>32848</v>
      </c>
      <c r="I11296" t="s">
        <v>32860</v>
      </c>
      <c r="J11296" t="s">
        <v>33044</v>
      </c>
      <c r="K11296" t="s">
        <v>42730</v>
      </c>
      <c r="M11296" t="s">
        <v>46692</v>
      </c>
      <c r="N11296" t="s">
        <v>47424</v>
      </c>
      <c r="O11296" t="s">
        <v>47425</v>
      </c>
      <c r="P11296">
        <v>0</v>
      </c>
      <c r="Q11296">
        <v>0</v>
      </c>
      <c r="R11296" t="s">
        <v>47437</v>
      </c>
      <c r="S11296" t="s">
        <v>47706</v>
      </c>
      <c r="T11296" t="s">
        <v>49059</v>
      </c>
      <c r="U11296" t="s">
        <v>51307</v>
      </c>
      <c r="W11296" t="s">
        <v>46692</v>
      </c>
      <c r="X11296" t="s">
        <v>47438</v>
      </c>
    </row>
    <row r="11297" spans="1:24">
      <c r="A11297">
        <f>HYPERLINK("https://www.philgeps.gov.ph/GEPSNONPILOT/Tender/SplashBidNoticeAbstractUI.aspx?menuIndex=3&amp;refID=7147742&amp;Result=3","7147742")</f>
        <v>0</v>
      </c>
      <c r="B11297" t="s">
        <v>911</v>
      </c>
      <c r="C11297" t="s">
        <v>14528</v>
      </c>
      <c r="D11297" t="s">
        <v>19049</v>
      </c>
      <c r="E11297" t="s">
        <v>28783</v>
      </c>
      <c r="F11297" t="s">
        <v>32831</v>
      </c>
      <c r="G11297" t="s">
        <v>32839</v>
      </c>
      <c r="H11297" t="s">
        <v>32848</v>
      </c>
      <c r="I11297" t="s">
        <v>32884</v>
      </c>
      <c r="J11297" t="s">
        <v>39929</v>
      </c>
      <c r="K11297" t="s">
        <v>42747</v>
      </c>
      <c r="M11297" t="s">
        <v>43951</v>
      </c>
      <c r="N11297" t="s">
        <v>47424</v>
      </c>
      <c r="O11297" t="s">
        <v>47425</v>
      </c>
      <c r="P11297">
        <v>0</v>
      </c>
      <c r="Q11297">
        <v>2</v>
      </c>
      <c r="R11297" t="s">
        <v>47437</v>
      </c>
      <c r="S11297" t="s">
        <v>47706</v>
      </c>
      <c r="T11297" t="s">
        <v>49221</v>
      </c>
      <c r="U11297" t="s">
        <v>52589</v>
      </c>
      <c r="W11297" t="s">
        <v>43951</v>
      </c>
      <c r="X11297" t="s">
        <v>47438</v>
      </c>
    </row>
    <row r="11298" spans="1:24">
      <c r="A11298">
        <f>HYPERLINK("https://www.philgeps.gov.ph/GEPSNONPILOT/Tender/SplashBidNoticeAbstractUI.aspx?menuIndex=3&amp;refID=7147570&amp;Result=3","7147570")</f>
        <v>0</v>
      </c>
      <c r="B11298" t="s">
        <v>3366</v>
      </c>
      <c r="C11298" t="s">
        <v>14529</v>
      </c>
      <c r="D11298" t="s">
        <v>19017</v>
      </c>
      <c r="E11298" t="s">
        <v>14529</v>
      </c>
      <c r="F11298" t="s">
        <v>32831</v>
      </c>
      <c r="G11298" t="s">
        <v>32839</v>
      </c>
      <c r="H11298" t="s">
        <v>32848</v>
      </c>
      <c r="I11298" t="s">
        <v>32860</v>
      </c>
      <c r="J11298" t="s">
        <v>32983</v>
      </c>
      <c r="K11298" t="s">
        <v>42730</v>
      </c>
      <c r="M11298" t="s">
        <v>46692</v>
      </c>
      <c r="N11298" t="s">
        <v>47424</v>
      </c>
      <c r="O11298" t="s">
        <v>47425</v>
      </c>
      <c r="P11298">
        <v>0</v>
      </c>
      <c r="Q11298">
        <v>1</v>
      </c>
      <c r="R11298" t="s">
        <v>47437</v>
      </c>
      <c r="S11298" t="s">
        <v>47706</v>
      </c>
      <c r="T11298" t="s">
        <v>49059</v>
      </c>
      <c r="U11298" t="s">
        <v>51307</v>
      </c>
      <c r="W11298" t="s">
        <v>46692</v>
      </c>
      <c r="X11298" t="s">
        <v>47438</v>
      </c>
    </row>
    <row r="11299" spans="1:24">
      <c r="A11299">
        <f>HYPERLINK("https://www.philgeps.gov.ph/GEPSNONPILOT/Tender/SplashBidNoticeAbstractUI.aspx?menuIndex=3&amp;refID=7147732&amp;Result=3","7147732")</f>
        <v>0</v>
      </c>
      <c r="B11299" t="s">
        <v>3371</v>
      </c>
      <c r="C11299" t="s">
        <v>14530</v>
      </c>
      <c r="D11299" t="s">
        <v>19049</v>
      </c>
      <c r="E11299" t="s">
        <v>28784</v>
      </c>
      <c r="F11299" t="s">
        <v>32831</v>
      </c>
      <c r="G11299" t="s">
        <v>32838</v>
      </c>
      <c r="H11299" t="s">
        <v>32849</v>
      </c>
      <c r="I11299" t="s">
        <v>4177</v>
      </c>
      <c r="J11299" t="s">
        <v>39930</v>
      </c>
      <c r="K11299" t="s">
        <v>42747</v>
      </c>
      <c r="M11299" t="s">
        <v>46698</v>
      </c>
      <c r="N11299" t="s">
        <v>47424</v>
      </c>
      <c r="O11299" t="s">
        <v>47425</v>
      </c>
      <c r="Q11299">
        <v>1</v>
      </c>
      <c r="R11299" t="s">
        <v>47437</v>
      </c>
      <c r="S11299" t="s">
        <v>47781</v>
      </c>
      <c r="T11299" t="s">
        <v>49237</v>
      </c>
      <c r="U11299" t="s">
        <v>58940</v>
      </c>
      <c r="W11299" t="s">
        <v>46698</v>
      </c>
      <c r="X11299" t="s">
        <v>47438</v>
      </c>
    </row>
    <row r="11300" spans="1:24">
      <c r="A11300">
        <f>HYPERLINK("https://www.philgeps.gov.ph/GEPSNONPILOT/Tender/SplashBidNoticeAbstractUI.aspx?menuIndex=3&amp;refID=7147727&amp;Result=3","7147727")</f>
        <v>0</v>
      </c>
      <c r="B11300" t="s">
        <v>3372</v>
      </c>
      <c r="C11300" t="s">
        <v>14531</v>
      </c>
      <c r="D11300" t="s">
        <v>19067</v>
      </c>
      <c r="E11300" t="s">
        <v>28785</v>
      </c>
      <c r="F11300" t="s">
        <v>32831</v>
      </c>
      <c r="G11300" t="s">
        <v>32845</v>
      </c>
      <c r="H11300" t="s">
        <v>14069</v>
      </c>
      <c r="I11300" t="s">
        <v>32863</v>
      </c>
      <c r="J11300" t="s">
        <v>33279</v>
      </c>
      <c r="K11300" t="s">
        <v>42774</v>
      </c>
      <c r="M11300" t="s">
        <v>46699</v>
      </c>
      <c r="N11300" t="s">
        <v>47424</v>
      </c>
      <c r="O11300" t="s">
        <v>47425</v>
      </c>
      <c r="P11300">
        <v>0</v>
      </c>
      <c r="Q11300">
        <v>0</v>
      </c>
      <c r="R11300" t="s">
        <v>47437</v>
      </c>
      <c r="S11300" t="s">
        <v>47706</v>
      </c>
      <c r="T11300" t="s">
        <v>49319</v>
      </c>
      <c r="U11300" t="s">
        <v>58941</v>
      </c>
      <c r="W11300" t="s">
        <v>46699</v>
      </c>
      <c r="X11300" t="s">
        <v>47438</v>
      </c>
    </row>
    <row r="11301" spans="1:24">
      <c r="A11301">
        <f>HYPERLINK("https://www.philgeps.gov.ph/GEPSNONPILOT/Tender/SplashBidNoticeAbstractUI.aspx?menuIndex=3&amp;refID=7147735&amp;Result=3","7147735")</f>
        <v>0</v>
      </c>
      <c r="B11301" t="s">
        <v>3366</v>
      </c>
      <c r="C11301" t="s">
        <v>14532</v>
      </c>
      <c r="D11301" t="s">
        <v>19017</v>
      </c>
      <c r="E11301" t="s">
        <v>14532</v>
      </c>
      <c r="F11301" t="s">
        <v>32831</v>
      </c>
      <c r="G11301" t="s">
        <v>32839</v>
      </c>
      <c r="H11301" t="s">
        <v>32848</v>
      </c>
      <c r="I11301" t="s">
        <v>4222</v>
      </c>
      <c r="J11301" t="s">
        <v>32978</v>
      </c>
      <c r="K11301" t="s">
        <v>42730</v>
      </c>
      <c r="M11301" t="s">
        <v>46692</v>
      </c>
      <c r="N11301" t="s">
        <v>47424</v>
      </c>
      <c r="O11301" t="s">
        <v>47425</v>
      </c>
      <c r="P11301">
        <v>0</v>
      </c>
      <c r="Q11301">
        <v>0</v>
      </c>
      <c r="R11301" t="s">
        <v>47437</v>
      </c>
      <c r="S11301" t="s">
        <v>47706</v>
      </c>
      <c r="T11301" t="s">
        <v>49059</v>
      </c>
      <c r="U11301" t="s">
        <v>57931</v>
      </c>
      <c r="W11301" t="s">
        <v>46692</v>
      </c>
      <c r="X11301" t="s">
        <v>47438</v>
      </c>
    </row>
    <row r="11302" spans="1:24">
      <c r="A11302">
        <f>HYPERLINK("https://www.philgeps.gov.ph/GEPSNONPILOT/Tender/SplashBidNoticeAbstractUI.aspx?menuIndex=3&amp;refID=7147760&amp;Result=3","7147760")</f>
        <v>0</v>
      </c>
      <c r="B11302" t="s">
        <v>3373</v>
      </c>
      <c r="C11302" t="s">
        <v>14533</v>
      </c>
      <c r="D11302" t="s">
        <v>19082</v>
      </c>
      <c r="E11302" t="s">
        <v>28786</v>
      </c>
      <c r="F11302" t="s">
        <v>32831</v>
      </c>
      <c r="G11302" t="s">
        <v>32839</v>
      </c>
      <c r="H11302" t="s">
        <v>32849</v>
      </c>
      <c r="I11302" t="s">
        <v>4177</v>
      </c>
      <c r="J11302" t="s">
        <v>39931</v>
      </c>
      <c r="K11302" t="s">
        <v>42756</v>
      </c>
      <c r="M11302" t="s">
        <v>46700</v>
      </c>
      <c r="N11302" t="s">
        <v>47424</v>
      </c>
      <c r="O11302" t="s">
        <v>47425</v>
      </c>
      <c r="P11302">
        <v>0</v>
      </c>
      <c r="Q11302">
        <v>0</v>
      </c>
      <c r="R11302" t="s">
        <v>47437</v>
      </c>
      <c r="S11302" t="s">
        <v>47706</v>
      </c>
      <c r="T11302" t="s">
        <v>49057</v>
      </c>
      <c r="U11302" t="s">
        <v>58942</v>
      </c>
      <c r="V11302" t="s">
        <v>63876</v>
      </c>
      <c r="W11302" t="s">
        <v>46700</v>
      </c>
      <c r="X11302" t="s">
        <v>47438</v>
      </c>
    </row>
    <row r="11303" spans="1:24">
      <c r="A11303">
        <f>HYPERLINK("https://www.philgeps.gov.ph/GEPSNONPILOT/Tender/SplashBidNoticeAbstractUI.aspx?menuIndex=3&amp;refID=7147646&amp;Result=3","7147646")</f>
        <v>0</v>
      </c>
      <c r="B11303" t="s">
        <v>3366</v>
      </c>
      <c r="C11303" t="s">
        <v>14534</v>
      </c>
      <c r="D11303" t="s">
        <v>19017</v>
      </c>
      <c r="E11303" t="s">
        <v>14534</v>
      </c>
      <c r="F11303" t="s">
        <v>32831</v>
      </c>
      <c r="G11303" t="s">
        <v>32839</v>
      </c>
      <c r="H11303" t="s">
        <v>32848</v>
      </c>
      <c r="I11303" t="s">
        <v>32860</v>
      </c>
      <c r="J11303" t="s">
        <v>33017</v>
      </c>
      <c r="K11303" t="s">
        <v>42730</v>
      </c>
      <c r="M11303" t="s">
        <v>46692</v>
      </c>
      <c r="N11303" t="s">
        <v>47424</v>
      </c>
      <c r="O11303" t="s">
        <v>47425</v>
      </c>
      <c r="P11303">
        <v>0</v>
      </c>
      <c r="Q11303">
        <v>3</v>
      </c>
      <c r="R11303" t="s">
        <v>47437</v>
      </c>
      <c r="S11303" t="s">
        <v>47706</v>
      </c>
      <c r="T11303" t="s">
        <v>49059</v>
      </c>
      <c r="U11303" t="s">
        <v>51307</v>
      </c>
      <c r="W11303" t="s">
        <v>46692</v>
      </c>
      <c r="X11303" t="s">
        <v>47438</v>
      </c>
    </row>
    <row r="11304" spans="1:24">
      <c r="A11304">
        <f>HYPERLINK("https://www.philgeps.gov.ph/GEPSNONPILOT/Tender/SplashBidNoticeAbstractUI.aspx?menuIndex=3&amp;refID=7147654&amp;Result=3","7147654")</f>
        <v>0</v>
      </c>
      <c r="B11304" t="s">
        <v>2616</v>
      </c>
      <c r="C11304" t="s">
        <v>14535</v>
      </c>
      <c r="D11304" t="s">
        <v>19062</v>
      </c>
      <c r="E11304" t="s">
        <v>28787</v>
      </c>
      <c r="F11304" t="s">
        <v>32831</v>
      </c>
      <c r="G11304" t="s">
        <v>32839</v>
      </c>
      <c r="H11304" t="s">
        <v>32848</v>
      </c>
      <c r="I11304" t="s">
        <v>11727</v>
      </c>
      <c r="J11304" t="s">
        <v>39932</v>
      </c>
      <c r="K11304" t="s">
        <v>42731</v>
      </c>
      <c r="M11304" t="s">
        <v>45835</v>
      </c>
      <c r="N11304" t="s">
        <v>47424</v>
      </c>
      <c r="O11304" t="s">
        <v>47425</v>
      </c>
      <c r="P11304">
        <v>0</v>
      </c>
      <c r="Q11304">
        <v>3</v>
      </c>
      <c r="R11304" t="s">
        <v>47437</v>
      </c>
      <c r="S11304" t="s">
        <v>47706</v>
      </c>
      <c r="T11304" t="s">
        <v>49242</v>
      </c>
      <c r="U11304" t="s">
        <v>56134</v>
      </c>
      <c r="V11304" t="s">
        <v>63490</v>
      </c>
      <c r="W11304" t="s">
        <v>45835</v>
      </c>
      <c r="X11304" t="s">
        <v>47438</v>
      </c>
    </row>
    <row r="11305" spans="1:24">
      <c r="A11305">
        <f>HYPERLINK("https://www.philgeps.gov.ph/GEPSNONPILOT/Tender/SplashBidNoticeAbstractUI.aspx?menuIndex=3&amp;refID=7147754&amp;Result=3","7147754")</f>
        <v>0</v>
      </c>
      <c r="B11305" t="s">
        <v>3374</v>
      </c>
      <c r="C11305" t="s">
        <v>14536</v>
      </c>
      <c r="D11305" t="s">
        <v>19022</v>
      </c>
      <c r="E11305" t="s">
        <v>28788</v>
      </c>
      <c r="F11305" t="s">
        <v>32831</v>
      </c>
      <c r="G11305" t="s">
        <v>32839</v>
      </c>
      <c r="H11305" t="s">
        <v>32849</v>
      </c>
      <c r="I11305" t="s">
        <v>4177</v>
      </c>
      <c r="J11305" t="s">
        <v>39933</v>
      </c>
      <c r="K11305" t="s">
        <v>42824</v>
      </c>
      <c r="M11305" t="s">
        <v>46701</v>
      </c>
      <c r="N11305" t="s">
        <v>47424</v>
      </c>
      <c r="O11305" t="s">
        <v>47425</v>
      </c>
      <c r="P11305">
        <v>0</v>
      </c>
      <c r="Q11305">
        <v>0</v>
      </c>
      <c r="R11305" t="s">
        <v>47437</v>
      </c>
      <c r="S11305" t="s">
        <v>47706</v>
      </c>
      <c r="T11305" t="s">
        <v>49588</v>
      </c>
      <c r="U11305" t="s">
        <v>58943</v>
      </c>
      <c r="W11305" t="s">
        <v>46701</v>
      </c>
      <c r="X11305" t="s">
        <v>47438</v>
      </c>
    </row>
    <row r="11306" spans="1:24">
      <c r="A11306">
        <f>HYPERLINK("https://www.philgeps.gov.ph/GEPSNONPILOT/Tender/SplashBidNoticeAbstractUI.aspx?menuIndex=3&amp;refID=7147750&amp;Result=3","7147750")</f>
        <v>0</v>
      </c>
      <c r="B11306" t="s">
        <v>1312</v>
      </c>
      <c r="C11306" t="s">
        <v>14537</v>
      </c>
      <c r="D11306" t="s">
        <v>19054</v>
      </c>
      <c r="E11306" t="s">
        <v>28789</v>
      </c>
      <c r="F11306" t="s">
        <v>32831</v>
      </c>
      <c r="G11306" t="s">
        <v>32838</v>
      </c>
      <c r="H11306" t="s">
        <v>32848</v>
      </c>
      <c r="I11306" t="s">
        <v>4340</v>
      </c>
      <c r="J11306" t="s">
        <v>39934</v>
      </c>
      <c r="K11306" t="s">
        <v>42732</v>
      </c>
      <c r="M11306" t="s">
        <v>44383</v>
      </c>
      <c r="N11306" t="s">
        <v>47424</v>
      </c>
      <c r="O11306" t="s">
        <v>47425</v>
      </c>
      <c r="P11306">
        <v>0</v>
      </c>
      <c r="Q11306">
        <v>0</v>
      </c>
      <c r="R11306" t="s">
        <v>47437</v>
      </c>
      <c r="S11306" t="s">
        <v>47706</v>
      </c>
      <c r="T11306" t="s">
        <v>49243</v>
      </c>
      <c r="U11306" t="s">
        <v>57593</v>
      </c>
      <c r="W11306" t="s">
        <v>44383</v>
      </c>
      <c r="X11306" t="s">
        <v>47438</v>
      </c>
    </row>
    <row r="11307" spans="1:24">
      <c r="A11307">
        <f>HYPERLINK("https://www.philgeps.gov.ph/GEPSNONPILOT/Tender/SplashBidNoticeAbstractUI.aspx?menuIndex=3&amp;refID=7147744&amp;Result=3","7147744")</f>
        <v>0</v>
      </c>
      <c r="B11307" t="s">
        <v>3339</v>
      </c>
      <c r="C11307" t="s">
        <v>14538</v>
      </c>
      <c r="D11307" t="s">
        <v>19081</v>
      </c>
      <c r="E11307" t="s">
        <v>28790</v>
      </c>
      <c r="F11307" t="s">
        <v>32831</v>
      </c>
      <c r="G11307" t="s">
        <v>32839</v>
      </c>
      <c r="H11307" t="s">
        <v>32849</v>
      </c>
      <c r="I11307" t="s">
        <v>4177</v>
      </c>
      <c r="J11307" t="s">
        <v>33044</v>
      </c>
      <c r="K11307" t="s">
        <v>42803</v>
      </c>
      <c r="M11307" t="s">
        <v>46662</v>
      </c>
      <c r="N11307" t="s">
        <v>47424</v>
      </c>
      <c r="O11307" t="s">
        <v>47425</v>
      </c>
      <c r="P11307">
        <v>0</v>
      </c>
      <c r="Q11307">
        <v>0</v>
      </c>
      <c r="R11307" t="s">
        <v>47437</v>
      </c>
      <c r="S11307" t="s">
        <v>47706</v>
      </c>
      <c r="T11307" t="s">
        <v>49589</v>
      </c>
      <c r="U11307" t="s">
        <v>58944</v>
      </c>
      <c r="W11307" t="s">
        <v>46662</v>
      </c>
      <c r="X11307" t="s">
        <v>47438</v>
      </c>
    </row>
    <row r="11308" spans="1:24">
      <c r="A11308">
        <f>HYPERLINK("https://www.philgeps.gov.ph/GEPSNONPILOT/Tender/SplashBidNoticeAbstractUI.aspx?menuIndex=3&amp;refID=7147728&amp;Result=3","7147728")</f>
        <v>0</v>
      </c>
      <c r="B11308" t="s">
        <v>1312</v>
      </c>
      <c r="C11308" t="s">
        <v>14539</v>
      </c>
      <c r="D11308" t="s">
        <v>19054</v>
      </c>
      <c r="E11308" t="s">
        <v>28791</v>
      </c>
      <c r="F11308" t="s">
        <v>32831</v>
      </c>
      <c r="G11308" t="s">
        <v>32838</v>
      </c>
      <c r="H11308" t="s">
        <v>32848</v>
      </c>
      <c r="I11308" t="s">
        <v>9577</v>
      </c>
      <c r="J11308" t="s">
        <v>39935</v>
      </c>
      <c r="K11308" t="s">
        <v>42732</v>
      </c>
      <c r="M11308" t="s">
        <v>44383</v>
      </c>
      <c r="N11308" t="s">
        <v>47424</v>
      </c>
      <c r="O11308" t="s">
        <v>47425</v>
      </c>
      <c r="P11308">
        <v>0</v>
      </c>
      <c r="Q11308">
        <v>1</v>
      </c>
      <c r="R11308" t="s">
        <v>47437</v>
      </c>
      <c r="S11308" t="s">
        <v>47706</v>
      </c>
      <c r="T11308" t="s">
        <v>49243</v>
      </c>
      <c r="U11308" t="s">
        <v>57593</v>
      </c>
      <c r="W11308" t="s">
        <v>44383</v>
      </c>
      <c r="X11308" t="s">
        <v>47438</v>
      </c>
    </row>
    <row r="11309" spans="1:24">
      <c r="A11309">
        <f>HYPERLINK("https://www.philgeps.gov.ph/GEPSNONPILOT/Tender/SplashBidNoticeAbstractUI.aspx?menuIndex=3&amp;refID=7147743&amp;Result=3","7147743")</f>
        <v>0</v>
      </c>
      <c r="B11309" t="s">
        <v>2886</v>
      </c>
      <c r="C11309" t="s">
        <v>14540</v>
      </c>
      <c r="D11309" t="s">
        <v>19070</v>
      </c>
      <c r="E11309" t="s">
        <v>28792</v>
      </c>
      <c r="F11309" t="s">
        <v>32831</v>
      </c>
      <c r="G11309" t="s">
        <v>32839</v>
      </c>
      <c r="H11309" t="s">
        <v>32848</v>
      </c>
      <c r="I11309" t="s">
        <v>8781</v>
      </c>
      <c r="J11309" t="s">
        <v>32983</v>
      </c>
      <c r="K11309" t="s">
        <v>42726</v>
      </c>
      <c r="M11309" t="s">
        <v>46125</v>
      </c>
      <c r="N11309" t="s">
        <v>47424</v>
      </c>
      <c r="O11309" t="s">
        <v>47425</v>
      </c>
      <c r="Q11309">
        <v>1</v>
      </c>
      <c r="R11309" t="s">
        <v>47437</v>
      </c>
      <c r="S11309" t="s">
        <v>47782</v>
      </c>
      <c r="T11309" t="s">
        <v>49229</v>
      </c>
      <c r="U11309" t="s">
        <v>58945</v>
      </c>
      <c r="W11309" t="s">
        <v>46125</v>
      </c>
      <c r="X11309" t="s">
        <v>47438</v>
      </c>
    </row>
    <row r="11310" spans="1:24">
      <c r="A11310">
        <f>HYPERLINK("https://www.philgeps.gov.ph/GEPSNONPILOT/Tender/SplashBidNoticeAbstractUI.aspx?menuIndex=3&amp;refID=7147677&amp;Result=3","7147677")</f>
        <v>0</v>
      </c>
      <c r="B11310" t="s">
        <v>3366</v>
      </c>
      <c r="C11310" t="s">
        <v>14541</v>
      </c>
      <c r="D11310" t="s">
        <v>19017</v>
      </c>
      <c r="E11310" t="s">
        <v>14541</v>
      </c>
      <c r="F11310" t="s">
        <v>32831</v>
      </c>
      <c r="G11310" t="s">
        <v>32839</v>
      </c>
      <c r="H11310" t="s">
        <v>32848</v>
      </c>
      <c r="I11310" t="s">
        <v>32860</v>
      </c>
      <c r="J11310" t="s">
        <v>39936</v>
      </c>
      <c r="K11310" t="s">
        <v>42730</v>
      </c>
      <c r="M11310" t="s">
        <v>46692</v>
      </c>
      <c r="N11310" t="s">
        <v>47424</v>
      </c>
      <c r="O11310" t="s">
        <v>47425</v>
      </c>
      <c r="P11310">
        <v>0</v>
      </c>
      <c r="Q11310">
        <v>0</v>
      </c>
      <c r="R11310" t="s">
        <v>47437</v>
      </c>
      <c r="S11310" t="s">
        <v>47706</v>
      </c>
      <c r="T11310" t="s">
        <v>49059</v>
      </c>
      <c r="U11310" t="s">
        <v>51307</v>
      </c>
      <c r="W11310" t="s">
        <v>46692</v>
      </c>
      <c r="X11310" t="s">
        <v>47438</v>
      </c>
    </row>
    <row r="11311" spans="1:24">
      <c r="A11311">
        <f>HYPERLINK("https://www.philgeps.gov.ph/GEPSNONPILOT/Tender/SplashBidNoticeAbstractUI.aspx?menuIndex=3&amp;refID=7147715&amp;Result=3","7147715")</f>
        <v>0</v>
      </c>
      <c r="B11311" t="s">
        <v>1312</v>
      </c>
      <c r="C11311" t="s">
        <v>14542</v>
      </c>
      <c r="D11311" t="s">
        <v>19054</v>
      </c>
      <c r="E11311" t="s">
        <v>28793</v>
      </c>
      <c r="F11311" t="s">
        <v>32831</v>
      </c>
      <c r="G11311" t="s">
        <v>32838</v>
      </c>
      <c r="H11311" t="s">
        <v>32848</v>
      </c>
      <c r="I11311" t="s">
        <v>4303</v>
      </c>
      <c r="J11311" t="s">
        <v>39937</v>
      </c>
      <c r="K11311" t="s">
        <v>42732</v>
      </c>
      <c r="M11311" t="s">
        <v>44383</v>
      </c>
      <c r="N11311" t="s">
        <v>47424</v>
      </c>
      <c r="O11311" t="s">
        <v>47425</v>
      </c>
      <c r="P11311">
        <v>0</v>
      </c>
      <c r="Q11311">
        <v>0</v>
      </c>
      <c r="R11311" t="s">
        <v>47437</v>
      </c>
      <c r="S11311" t="s">
        <v>47706</v>
      </c>
      <c r="T11311" t="s">
        <v>49243</v>
      </c>
      <c r="U11311" t="s">
        <v>57593</v>
      </c>
      <c r="W11311" t="s">
        <v>44383</v>
      </c>
      <c r="X11311" t="s">
        <v>47438</v>
      </c>
    </row>
    <row r="11312" spans="1:24">
      <c r="A11312">
        <f>HYPERLINK("https://www.philgeps.gov.ph/GEPSNONPILOT/Tender/SplashBidNoticeAbstractUI.aspx?menuIndex=3&amp;refID=7147698&amp;Result=3","7147698")</f>
        <v>0</v>
      </c>
      <c r="B11312" t="s">
        <v>3366</v>
      </c>
      <c r="C11312" t="s">
        <v>14543</v>
      </c>
      <c r="D11312" t="s">
        <v>19017</v>
      </c>
      <c r="E11312" t="s">
        <v>14543</v>
      </c>
      <c r="F11312" t="s">
        <v>32831</v>
      </c>
      <c r="G11312" t="s">
        <v>32839</v>
      </c>
      <c r="H11312" t="s">
        <v>32848</v>
      </c>
      <c r="I11312" t="s">
        <v>4222</v>
      </c>
      <c r="J11312" t="s">
        <v>39938</v>
      </c>
      <c r="K11312" t="s">
        <v>42730</v>
      </c>
      <c r="M11312" t="s">
        <v>46692</v>
      </c>
      <c r="N11312" t="s">
        <v>47424</v>
      </c>
      <c r="O11312" t="s">
        <v>47425</v>
      </c>
      <c r="P11312">
        <v>0</v>
      </c>
      <c r="Q11312">
        <v>0</v>
      </c>
      <c r="R11312" t="s">
        <v>47437</v>
      </c>
      <c r="S11312" t="s">
        <v>47706</v>
      </c>
      <c r="T11312" t="s">
        <v>49059</v>
      </c>
      <c r="U11312" t="s">
        <v>57931</v>
      </c>
      <c r="W11312" t="s">
        <v>46692</v>
      </c>
      <c r="X11312" t="s">
        <v>47438</v>
      </c>
    </row>
    <row r="11313" spans="1:24">
      <c r="A11313">
        <f>HYPERLINK("https://www.philgeps.gov.ph/GEPSNONPILOT/Tender/SplashBidNoticeAbstractUI.aspx?menuIndex=3&amp;refID=7147693&amp;Result=3","7147693")</f>
        <v>0</v>
      </c>
      <c r="B11313" t="s">
        <v>3366</v>
      </c>
      <c r="C11313" t="s">
        <v>14544</v>
      </c>
      <c r="D11313" t="s">
        <v>19017</v>
      </c>
      <c r="E11313" t="s">
        <v>14544</v>
      </c>
      <c r="F11313" t="s">
        <v>32831</v>
      </c>
      <c r="G11313" t="s">
        <v>32839</v>
      </c>
      <c r="H11313" t="s">
        <v>32848</v>
      </c>
      <c r="I11313" t="s">
        <v>4222</v>
      </c>
      <c r="J11313" t="s">
        <v>39939</v>
      </c>
      <c r="K11313" t="s">
        <v>42730</v>
      </c>
      <c r="M11313" t="s">
        <v>46692</v>
      </c>
      <c r="N11313" t="s">
        <v>47424</v>
      </c>
      <c r="O11313" t="s">
        <v>47425</v>
      </c>
      <c r="P11313">
        <v>0</v>
      </c>
      <c r="Q11313">
        <v>1</v>
      </c>
      <c r="R11313" t="s">
        <v>47437</v>
      </c>
      <c r="S11313" t="s">
        <v>47706</v>
      </c>
      <c r="T11313" t="s">
        <v>49059</v>
      </c>
      <c r="U11313" t="s">
        <v>57931</v>
      </c>
      <c r="W11313" t="s">
        <v>46692</v>
      </c>
      <c r="X11313" t="s">
        <v>47438</v>
      </c>
    </row>
    <row r="11314" spans="1:24">
      <c r="A11314">
        <f>HYPERLINK("https://www.philgeps.gov.ph/GEPSNONPILOT/Tender/SplashBidNoticeAbstractUI.aspx?menuIndex=3&amp;refID=7147691&amp;Result=3","7147691")</f>
        <v>0</v>
      </c>
      <c r="B11314" t="s">
        <v>3375</v>
      </c>
      <c r="C11314" t="s">
        <v>14545</v>
      </c>
      <c r="D11314" t="s">
        <v>19041</v>
      </c>
      <c r="E11314" t="s">
        <v>28794</v>
      </c>
      <c r="F11314" t="s">
        <v>32831</v>
      </c>
      <c r="G11314" t="s">
        <v>32839</v>
      </c>
      <c r="H11314" t="s">
        <v>32848</v>
      </c>
      <c r="I11314" t="s">
        <v>4177</v>
      </c>
      <c r="J11314" t="s">
        <v>33257</v>
      </c>
      <c r="K11314" t="s">
        <v>42770</v>
      </c>
      <c r="M11314" t="s">
        <v>46702</v>
      </c>
      <c r="N11314" t="s">
        <v>47424</v>
      </c>
      <c r="O11314" t="s">
        <v>47425</v>
      </c>
      <c r="P11314">
        <v>0</v>
      </c>
      <c r="Q11314">
        <v>0</v>
      </c>
      <c r="R11314" t="s">
        <v>47437</v>
      </c>
      <c r="S11314" t="s">
        <v>47706</v>
      </c>
      <c r="T11314" t="s">
        <v>49080</v>
      </c>
      <c r="U11314" t="s">
        <v>58946</v>
      </c>
      <c r="V11314" t="s">
        <v>63877</v>
      </c>
      <c r="W11314" t="s">
        <v>46702</v>
      </c>
      <c r="X11314" t="s">
        <v>47438</v>
      </c>
    </row>
    <row r="11315" spans="1:24">
      <c r="A11315">
        <f>HYPERLINK("https://www.philgeps.gov.ph/GEPSNONPILOT/Tender/SplashBidNoticeAbstractUI.aspx?menuIndex=3&amp;refID=7147704&amp;Result=3","7147704")</f>
        <v>0</v>
      </c>
      <c r="B11315" t="s">
        <v>2674</v>
      </c>
      <c r="C11315" t="s">
        <v>14546</v>
      </c>
      <c r="D11315" t="s">
        <v>19077</v>
      </c>
      <c r="E11315" t="s">
        <v>28795</v>
      </c>
      <c r="F11315" t="s">
        <v>32831</v>
      </c>
      <c r="G11315" t="s">
        <v>32839</v>
      </c>
      <c r="H11315" t="s">
        <v>32848</v>
      </c>
      <c r="I11315" t="s">
        <v>7416</v>
      </c>
      <c r="J11315" t="s">
        <v>32983</v>
      </c>
      <c r="K11315" t="s">
        <v>42745</v>
      </c>
      <c r="M11315" t="s">
        <v>45897</v>
      </c>
      <c r="N11315" t="s">
        <v>47424</v>
      </c>
      <c r="O11315" t="s">
        <v>47425</v>
      </c>
      <c r="P11315">
        <v>0</v>
      </c>
      <c r="Q11315">
        <v>2</v>
      </c>
      <c r="R11315" t="s">
        <v>47437</v>
      </c>
      <c r="S11315" t="s">
        <v>47706</v>
      </c>
      <c r="T11315" t="s">
        <v>49080</v>
      </c>
      <c r="U11315" t="s">
        <v>58947</v>
      </c>
      <c r="W11315" t="s">
        <v>45897</v>
      </c>
      <c r="X11315" t="s">
        <v>47438</v>
      </c>
    </row>
    <row r="11316" spans="1:24">
      <c r="A11316">
        <f>HYPERLINK("https://www.philgeps.gov.ph/GEPSNONPILOT/Tender/SplashBidNoticeAbstractUI.aspx?menuIndex=3&amp;refID=7147717&amp;Result=3","7147717")</f>
        <v>0</v>
      </c>
      <c r="B11316" t="s">
        <v>1379</v>
      </c>
      <c r="C11316" t="s">
        <v>14547</v>
      </c>
      <c r="D11316" t="s">
        <v>19067</v>
      </c>
      <c r="E11316" t="s">
        <v>28796</v>
      </c>
      <c r="F11316" t="s">
        <v>32831</v>
      </c>
      <c r="G11316" t="s">
        <v>32839</v>
      </c>
      <c r="H11316" t="s">
        <v>32848</v>
      </c>
      <c r="I11316" t="s">
        <v>5379</v>
      </c>
      <c r="J11316" t="s">
        <v>39940</v>
      </c>
      <c r="K11316" t="s">
        <v>42730</v>
      </c>
      <c r="M11316" t="s">
        <v>44463</v>
      </c>
      <c r="N11316" t="s">
        <v>47424</v>
      </c>
      <c r="O11316" t="s">
        <v>47425</v>
      </c>
      <c r="P11316">
        <v>0</v>
      </c>
      <c r="Q11316">
        <v>0</v>
      </c>
      <c r="R11316" t="s">
        <v>47437</v>
      </c>
      <c r="S11316" t="s">
        <v>47706</v>
      </c>
      <c r="T11316" t="s">
        <v>49590</v>
      </c>
      <c r="U11316" t="s">
        <v>58948</v>
      </c>
      <c r="W11316" t="s">
        <v>44463</v>
      </c>
      <c r="X11316" t="s">
        <v>47438</v>
      </c>
    </row>
    <row r="11317" spans="1:24">
      <c r="A11317">
        <f>HYPERLINK("https://www.philgeps.gov.ph/GEPSNONPILOT/Tender/SplashBidNoticeAbstractUI.aspx?menuIndex=3&amp;refID=7147803&amp;Result=3","7147803")</f>
        <v>0</v>
      </c>
      <c r="B11317" t="s">
        <v>1312</v>
      </c>
      <c r="C11317" t="s">
        <v>14548</v>
      </c>
      <c r="D11317" t="s">
        <v>19054</v>
      </c>
      <c r="E11317" t="s">
        <v>28797</v>
      </c>
      <c r="F11317" t="s">
        <v>32831</v>
      </c>
      <c r="G11317" t="s">
        <v>32838</v>
      </c>
      <c r="H11317" t="s">
        <v>32848</v>
      </c>
      <c r="I11317" t="s">
        <v>4776</v>
      </c>
      <c r="J11317" t="s">
        <v>33073</v>
      </c>
      <c r="K11317" t="s">
        <v>42732</v>
      </c>
      <c r="M11317" t="s">
        <v>44383</v>
      </c>
      <c r="N11317" t="s">
        <v>47424</v>
      </c>
      <c r="O11317" t="s">
        <v>47425</v>
      </c>
      <c r="P11317">
        <v>0</v>
      </c>
      <c r="Q11317">
        <v>1</v>
      </c>
      <c r="R11317" t="s">
        <v>47437</v>
      </c>
      <c r="S11317" t="s">
        <v>47706</v>
      </c>
      <c r="T11317" t="s">
        <v>49243</v>
      </c>
      <c r="U11317" t="s">
        <v>58949</v>
      </c>
      <c r="W11317" t="s">
        <v>44383</v>
      </c>
      <c r="X11317" t="s">
        <v>47438</v>
      </c>
    </row>
    <row r="11318" spans="1:24">
      <c r="A11318">
        <f>HYPERLINK("https://www.philgeps.gov.ph/GEPSNONPILOT/Tender/SplashBidNoticeAbstractUI.aspx?menuIndex=3&amp;refID=7147689&amp;Result=3","7147689")</f>
        <v>0</v>
      </c>
      <c r="B11318" t="s">
        <v>2594</v>
      </c>
      <c r="C11318" t="s">
        <v>14549</v>
      </c>
      <c r="D11318" t="s">
        <v>19062</v>
      </c>
      <c r="E11318" t="s">
        <v>28798</v>
      </c>
      <c r="F11318" t="s">
        <v>32831</v>
      </c>
      <c r="G11318" t="s">
        <v>32839</v>
      </c>
      <c r="H11318" t="s">
        <v>32849</v>
      </c>
      <c r="I11318" t="s">
        <v>4177</v>
      </c>
      <c r="J11318" t="s">
        <v>39941</v>
      </c>
      <c r="K11318" t="s">
        <v>42730</v>
      </c>
      <c r="M11318" t="s">
        <v>46404</v>
      </c>
      <c r="N11318" t="s">
        <v>47424</v>
      </c>
      <c r="O11318" t="s">
        <v>47425</v>
      </c>
      <c r="Q11318">
        <v>0</v>
      </c>
      <c r="R11318" t="s">
        <v>47437</v>
      </c>
      <c r="S11318" t="s">
        <v>47783</v>
      </c>
      <c r="T11318" t="s">
        <v>49106</v>
      </c>
      <c r="U11318" t="s">
        <v>58950</v>
      </c>
      <c r="W11318" t="s">
        <v>46404</v>
      </c>
      <c r="X11318" t="s">
        <v>47438</v>
      </c>
    </row>
    <row r="11319" spans="1:24">
      <c r="A11319">
        <f>HYPERLINK("https://www.philgeps.gov.ph/GEPSNONPILOT/Tender/SplashBidNoticeAbstractUI.aspx?menuIndex=3&amp;refID=7147806&amp;Result=3","7147806")</f>
        <v>0</v>
      </c>
      <c r="B11319" t="s">
        <v>911</v>
      </c>
      <c r="C11319" t="s">
        <v>14550</v>
      </c>
      <c r="D11319" t="s">
        <v>19049</v>
      </c>
      <c r="E11319" t="s">
        <v>28799</v>
      </c>
      <c r="F11319" t="s">
        <v>32831</v>
      </c>
      <c r="G11319" t="s">
        <v>32839</v>
      </c>
      <c r="H11319" t="s">
        <v>32848</v>
      </c>
      <c r="I11319" t="s">
        <v>32925</v>
      </c>
      <c r="J11319" t="s">
        <v>39942</v>
      </c>
      <c r="K11319" t="s">
        <v>42763</v>
      </c>
      <c r="M11319" t="s">
        <v>43951</v>
      </c>
      <c r="N11319" t="s">
        <v>47424</v>
      </c>
      <c r="O11319" t="s">
        <v>47425</v>
      </c>
      <c r="P11319">
        <v>0</v>
      </c>
      <c r="Q11319">
        <v>14</v>
      </c>
      <c r="R11319" t="s">
        <v>47437</v>
      </c>
      <c r="S11319" t="s">
        <v>47706</v>
      </c>
      <c r="T11319" t="s">
        <v>49221</v>
      </c>
      <c r="U11319" t="s">
        <v>52589</v>
      </c>
      <c r="W11319" t="s">
        <v>43951</v>
      </c>
      <c r="X11319" t="s">
        <v>47438</v>
      </c>
    </row>
    <row r="11320" spans="1:24">
      <c r="A11320">
        <f>HYPERLINK("https://www.philgeps.gov.ph/GEPSNONPILOT/Tender/SplashBidNoticeAbstractUI.aspx?menuIndex=3&amp;refID=7147748&amp;Result=3","7147748")</f>
        <v>0</v>
      </c>
      <c r="B11320" t="s">
        <v>3366</v>
      </c>
      <c r="C11320" t="s">
        <v>14551</v>
      </c>
      <c r="D11320" t="s">
        <v>19017</v>
      </c>
      <c r="E11320" t="s">
        <v>28800</v>
      </c>
      <c r="F11320" t="s">
        <v>32831</v>
      </c>
      <c r="G11320" t="s">
        <v>32839</v>
      </c>
      <c r="H11320" t="s">
        <v>32848</v>
      </c>
      <c r="I11320" t="s">
        <v>32874</v>
      </c>
      <c r="J11320" t="s">
        <v>34374</v>
      </c>
      <c r="K11320" t="s">
        <v>42730</v>
      </c>
      <c r="M11320" t="s">
        <v>46692</v>
      </c>
      <c r="N11320" t="s">
        <v>47424</v>
      </c>
      <c r="O11320" t="s">
        <v>47425</v>
      </c>
      <c r="P11320">
        <v>0</v>
      </c>
      <c r="Q11320">
        <v>5</v>
      </c>
      <c r="R11320" t="s">
        <v>47437</v>
      </c>
      <c r="S11320" t="s">
        <v>47706</v>
      </c>
      <c r="T11320" t="s">
        <v>49059</v>
      </c>
      <c r="U11320" t="s">
        <v>58951</v>
      </c>
      <c r="W11320" t="s">
        <v>46692</v>
      </c>
      <c r="X11320" t="s">
        <v>47438</v>
      </c>
    </row>
    <row r="11321" spans="1:24">
      <c r="A11321">
        <f>HYPERLINK("https://www.philgeps.gov.ph/GEPSNONPILOT/Tender/SplashBidNoticeAbstractUI.aspx?menuIndex=3&amp;refID=7147799&amp;Result=3","7147799")</f>
        <v>0</v>
      </c>
      <c r="B11321" t="s">
        <v>2424</v>
      </c>
      <c r="C11321" t="s">
        <v>14552</v>
      </c>
      <c r="D11321" t="s">
        <v>19060</v>
      </c>
      <c r="E11321" t="s">
        <v>28801</v>
      </c>
      <c r="F11321" t="s">
        <v>32831</v>
      </c>
      <c r="G11321" t="s">
        <v>32839</v>
      </c>
      <c r="H11321" t="s">
        <v>32848</v>
      </c>
      <c r="I11321" t="s">
        <v>32871</v>
      </c>
      <c r="J11321" t="s">
        <v>39943</v>
      </c>
      <c r="K11321" t="s">
        <v>42763</v>
      </c>
      <c r="M11321" t="s">
        <v>45621</v>
      </c>
      <c r="N11321" t="s">
        <v>47424</v>
      </c>
      <c r="O11321" t="s">
        <v>47425</v>
      </c>
      <c r="P11321">
        <v>0</v>
      </c>
      <c r="Q11321">
        <v>44</v>
      </c>
      <c r="R11321" t="s">
        <v>47437</v>
      </c>
      <c r="S11321" t="s">
        <v>47706</v>
      </c>
      <c r="T11321" t="s">
        <v>49063</v>
      </c>
      <c r="U11321" t="s">
        <v>58952</v>
      </c>
      <c r="W11321" t="s">
        <v>45621</v>
      </c>
      <c r="X11321" t="s">
        <v>47438</v>
      </c>
    </row>
    <row r="11322" spans="1:24">
      <c r="A11322">
        <f>HYPERLINK("https://www.philgeps.gov.ph/GEPSNONPILOT/Tender/SplashBidNoticeAbstractUI.aspx?menuIndex=3&amp;refID=7147761&amp;Result=3","7147761")</f>
        <v>0</v>
      </c>
      <c r="B11322" t="s">
        <v>3375</v>
      </c>
      <c r="C11322" t="s">
        <v>14553</v>
      </c>
      <c r="D11322" t="s">
        <v>19041</v>
      </c>
      <c r="E11322" t="s">
        <v>28802</v>
      </c>
      <c r="F11322" t="s">
        <v>32831</v>
      </c>
      <c r="G11322" t="s">
        <v>32839</v>
      </c>
      <c r="H11322" t="s">
        <v>32849</v>
      </c>
      <c r="I11322" t="s">
        <v>4177</v>
      </c>
      <c r="J11322" t="s">
        <v>36671</v>
      </c>
      <c r="K11322" t="s">
        <v>42770</v>
      </c>
      <c r="M11322" t="s">
        <v>46702</v>
      </c>
      <c r="N11322" t="s">
        <v>47424</v>
      </c>
      <c r="O11322" t="s">
        <v>47425</v>
      </c>
      <c r="P11322">
        <v>0</v>
      </c>
      <c r="Q11322">
        <v>0</v>
      </c>
      <c r="R11322" t="s">
        <v>47437</v>
      </c>
      <c r="S11322" t="s">
        <v>47706</v>
      </c>
      <c r="T11322" t="s">
        <v>49080</v>
      </c>
      <c r="U11322" t="s">
        <v>58953</v>
      </c>
      <c r="V11322" t="s">
        <v>63877</v>
      </c>
      <c r="W11322" t="s">
        <v>46702</v>
      </c>
      <c r="X11322" t="s">
        <v>47438</v>
      </c>
    </row>
    <row r="11323" spans="1:24">
      <c r="A11323">
        <f>HYPERLINK("https://www.philgeps.gov.ph/GEPSNONPILOT/Tender/SplashBidNoticeAbstractUI.aspx?menuIndex=3&amp;refID=7147802&amp;Result=3","7147802")</f>
        <v>0</v>
      </c>
      <c r="B11323" t="s">
        <v>448</v>
      </c>
      <c r="C11323" t="s">
        <v>14554</v>
      </c>
      <c r="D11323" t="s">
        <v>19027</v>
      </c>
      <c r="E11323" t="s">
        <v>24498</v>
      </c>
      <c r="F11323" t="s">
        <v>32831</v>
      </c>
      <c r="G11323" t="s">
        <v>32839</v>
      </c>
      <c r="H11323" t="s">
        <v>32849</v>
      </c>
      <c r="I11323" t="s">
        <v>4177</v>
      </c>
      <c r="J11323" t="s">
        <v>39944</v>
      </c>
      <c r="K11323" t="s">
        <v>42770</v>
      </c>
      <c r="M11323" t="s">
        <v>43453</v>
      </c>
      <c r="N11323" t="s">
        <v>47424</v>
      </c>
      <c r="O11323" t="s">
        <v>47425</v>
      </c>
      <c r="P11323">
        <v>0</v>
      </c>
      <c r="Q11323">
        <v>0</v>
      </c>
      <c r="R11323" t="s">
        <v>47437</v>
      </c>
      <c r="S11323" t="s">
        <v>47706</v>
      </c>
      <c r="T11323" t="s">
        <v>49196</v>
      </c>
      <c r="U11323" t="s">
        <v>58954</v>
      </c>
      <c r="W11323" t="s">
        <v>43453</v>
      </c>
      <c r="X11323" t="s">
        <v>47438</v>
      </c>
    </row>
    <row r="11324" spans="1:24">
      <c r="A11324">
        <f>HYPERLINK("https://www.philgeps.gov.ph/GEPSNONPILOT/Tender/SplashBidNoticeAbstractUI.aspx?menuIndex=3&amp;refID=7147800&amp;Result=3","7147800")</f>
        <v>0</v>
      </c>
      <c r="B11324" t="s">
        <v>3376</v>
      </c>
      <c r="C11324" t="s">
        <v>14555</v>
      </c>
      <c r="D11324" t="s">
        <v>19091</v>
      </c>
      <c r="E11324" t="s">
        <v>24455</v>
      </c>
      <c r="F11324" t="s">
        <v>32831</v>
      </c>
      <c r="G11324" t="s">
        <v>32839</v>
      </c>
      <c r="H11324" t="s">
        <v>32849</v>
      </c>
      <c r="I11324" t="s">
        <v>4177</v>
      </c>
      <c r="J11324" t="s">
        <v>39945</v>
      </c>
      <c r="K11324" t="s">
        <v>42729</v>
      </c>
      <c r="M11324" t="s">
        <v>46703</v>
      </c>
      <c r="N11324" t="s">
        <v>47424</v>
      </c>
      <c r="O11324" t="s">
        <v>47425</v>
      </c>
      <c r="P11324">
        <v>0</v>
      </c>
      <c r="Q11324">
        <v>0</v>
      </c>
      <c r="R11324" t="s">
        <v>47437</v>
      </c>
      <c r="S11324" t="s">
        <v>47706</v>
      </c>
      <c r="T11324" t="s">
        <v>49172</v>
      </c>
      <c r="U11324" t="s">
        <v>58955</v>
      </c>
      <c r="W11324" t="s">
        <v>46703</v>
      </c>
      <c r="X11324" t="s">
        <v>47438</v>
      </c>
    </row>
    <row r="11325" spans="1:24">
      <c r="A11325">
        <f>HYPERLINK("https://www.philgeps.gov.ph/GEPSNONPILOT/Tender/SplashBidNoticeAbstractUI.aspx?menuIndex=3&amp;refID=7147826&amp;Result=3","7147826")</f>
        <v>0</v>
      </c>
      <c r="B11325" t="s">
        <v>2426</v>
      </c>
      <c r="C11325" t="s">
        <v>14556</v>
      </c>
      <c r="D11325" t="s">
        <v>19019</v>
      </c>
      <c r="E11325" t="s">
        <v>28803</v>
      </c>
      <c r="F11325" t="s">
        <v>32831</v>
      </c>
      <c r="G11325" t="s">
        <v>32839</v>
      </c>
      <c r="H11325" t="s">
        <v>32850</v>
      </c>
      <c r="I11325" t="s">
        <v>32884</v>
      </c>
      <c r="J11325" t="s">
        <v>39946</v>
      </c>
      <c r="K11325" t="s">
        <v>42730</v>
      </c>
      <c r="M11325" t="s">
        <v>45623</v>
      </c>
      <c r="N11325" t="s">
        <v>47424</v>
      </c>
      <c r="O11325" t="s">
        <v>47425</v>
      </c>
      <c r="Q11325">
        <v>5</v>
      </c>
      <c r="R11325" t="s">
        <v>47437</v>
      </c>
      <c r="S11325" t="s">
        <v>47784</v>
      </c>
      <c r="T11325" t="s">
        <v>49071</v>
      </c>
      <c r="U11325" t="s">
        <v>55423</v>
      </c>
      <c r="V11325" t="s">
        <v>63388</v>
      </c>
      <c r="W11325" t="s">
        <v>45623</v>
      </c>
      <c r="X11325" t="s">
        <v>47438</v>
      </c>
    </row>
    <row r="11326" spans="1:24">
      <c r="A11326">
        <f>HYPERLINK("https://www.philgeps.gov.ph/GEPSNONPILOT/Tender/SplashBidNoticeAbstractUI.aspx?menuIndex=3&amp;refID=7147822&amp;Result=3","7147822")</f>
        <v>0</v>
      </c>
      <c r="B11326" t="s">
        <v>3377</v>
      </c>
      <c r="C11326" t="s">
        <v>14557</v>
      </c>
      <c r="D11326" t="s">
        <v>19058</v>
      </c>
      <c r="E11326" t="s">
        <v>28804</v>
      </c>
      <c r="F11326" t="s">
        <v>32831</v>
      </c>
      <c r="G11326" t="s">
        <v>32839</v>
      </c>
      <c r="H11326" t="s">
        <v>32848</v>
      </c>
      <c r="I11326" t="s">
        <v>7416</v>
      </c>
      <c r="J11326" t="s">
        <v>39947</v>
      </c>
      <c r="K11326" t="s">
        <v>42730</v>
      </c>
      <c r="M11326" t="s">
        <v>46704</v>
      </c>
      <c r="N11326" t="s">
        <v>47424</v>
      </c>
      <c r="O11326" t="s">
        <v>47425</v>
      </c>
      <c r="P11326">
        <v>0</v>
      </c>
      <c r="Q11326">
        <v>0</v>
      </c>
      <c r="R11326" t="s">
        <v>47437</v>
      </c>
      <c r="S11326" t="s">
        <v>47706</v>
      </c>
      <c r="T11326" t="s">
        <v>49196</v>
      </c>
      <c r="U11326" t="s">
        <v>58956</v>
      </c>
      <c r="W11326" t="s">
        <v>46704</v>
      </c>
      <c r="X11326" t="s">
        <v>47438</v>
      </c>
    </row>
    <row r="11327" spans="1:24">
      <c r="A11327">
        <f>HYPERLINK("https://www.philgeps.gov.ph/GEPSNONPILOT/Tender/SplashBidNoticeAbstractUI.aspx?menuIndex=3&amp;refID=7147817&amp;Result=3","7147817")</f>
        <v>0</v>
      </c>
      <c r="B11327" t="s">
        <v>448</v>
      </c>
      <c r="C11327" t="s">
        <v>14558</v>
      </c>
      <c r="D11327" t="s">
        <v>19027</v>
      </c>
      <c r="E11327" t="s">
        <v>24498</v>
      </c>
      <c r="F11327" t="s">
        <v>32831</v>
      </c>
      <c r="G11327" t="s">
        <v>32839</v>
      </c>
      <c r="H11327" t="s">
        <v>32849</v>
      </c>
      <c r="I11327" t="s">
        <v>4177</v>
      </c>
      <c r="J11327" t="s">
        <v>39948</v>
      </c>
      <c r="K11327" t="s">
        <v>42729</v>
      </c>
      <c r="M11327" t="s">
        <v>43453</v>
      </c>
      <c r="N11327" t="s">
        <v>47424</v>
      </c>
      <c r="O11327" t="s">
        <v>47425</v>
      </c>
      <c r="P11327">
        <v>0</v>
      </c>
      <c r="Q11327">
        <v>0</v>
      </c>
      <c r="R11327" t="s">
        <v>47437</v>
      </c>
      <c r="S11327" t="s">
        <v>47706</v>
      </c>
      <c r="T11327" t="s">
        <v>49143</v>
      </c>
      <c r="U11327" t="s">
        <v>58957</v>
      </c>
      <c r="W11327" t="s">
        <v>43453</v>
      </c>
      <c r="X11327" t="s">
        <v>47438</v>
      </c>
    </row>
    <row r="11328" spans="1:24">
      <c r="A11328">
        <f>HYPERLINK("https://www.philgeps.gov.ph/GEPSNONPILOT/Tender/SplashBidNoticeAbstractUI.aspx?menuIndex=3&amp;refID=7147667&amp;Result=3","7147667")</f>
        <v>0</v>
      </c>
      <c r="B11328" t="s">
        <v>3368</v>
      </c>
      <c r="C11328" t="s">
        <v>14559</v>
      </c>
      <c r="E11328" t="s">
        <v>28805</v>
      </c>
      <c r="F11328" t="s">
        <v>32831</v>
      </c>
      <c r="G11328" t="s">
        <v>32839</v>
      </c>
      <c r="H11328" t="s">
        <v>32848</v>
      </c>
      <c r="I11328" t="s">
        <v>7416</v>
      </c>
      <c r="J11328" t="s">
        <v>35852</v>
      </c>
      <c r="K11328" t="s">
        <v>42727</v>
      </c>
      <c r="M11328" t="s">
        <v>46695</v>
      </c>
      <c r="N11328" t="s">
        <v>47424</v>
      </c>
      <c r="O11328" t="s">
        <v>47425</v>
      </c>
      <c r="P11328">
        <v>0</v>
      </c>
      <c r="Q11328">
        <v>0</v>
      </c>
      <c r="R11328" t="s">
        <v>47437</v>
      </c>
      <c r="S11328" t="s">
        <v>47706</v>
      </c>
      <c r="T11328" t="s">
        <v>49097</v>
      </c>
      <c r="U11328" t="s">
        <v>58933</v>
      </c>
      <c r="W11328" t="s">
        <v>46695</v>
      </c>
      <c r="X11328" t="s">
        <v>47438</v>
      </c>
    </row>
    <row r="11329" spans="1:24">
      <c r="A11329">
        <f>HYPERLINK("https://www.philgeps.gov.ph/GEPSNONPILOT/Tender/SplashBidNoticeAbstractUI.aspx?menuIndex=3&amp;refID=7147791&amp;Result=3","7147791")</f>
        <v>0</v>
      </c>
      <c r="B11329" t="s">
        <v>1312</v>
      </c>
      <c r="C11329" t="s">
        <v>14560</v>
      </c>
      <c r="D11329" t="s">
        <v>19054</v>
      </c>
      <c r="E11329" t="s">
        <v>28806</v>
      </c>
      <c r="F11329" t="s">
        <v>32831</v>
      </c>
      <c r="G11329" t="s">
        <v>32838</v>
      </c>
      <c r="H11329" t="s">
        <v>32848</v>
      </c>
      <c r="I11329" t="s">
        <v>32857</v>
      </c>
      <c r="J11329" t="s">
        <v>33292</v>
      </c>
      <c r="K11329" t="s">
        <v>42732</v>
      </c>
      <c r="M11329" t="s">
        <v>44383</v>
      </c>
      <c r="N11329" t="s">
        <v>47424</v>
      </c>
      <c r="O11329" t="s">
        <v>47425</v>
      </c>
      <c r="P11329">
        <v>0</v>
      </c>
      <c r="Q11329">
        <v>0</v>
      </c>
      <c r="R11329" t="s">
        <v>47437</v>
      </c>
      <c r="S11329" t="s">
        <v>47706</v>
      </c>
      <c r="T11329" t="s">
        <v>49243</v>
      </c>
      <c r="U11329" t="s">
        <v>58949</v>
      </c>
      <c r="W11329" t="s">
        <v>44383</v>
      </c>
      <c r="X11329" t="s">
        <v>47438</v>
      </c>
    </row>
    <row r="11330" spans="1:24">
      <c r="A11330">
        <f>HYPERLINK("https://www.philgeps.gov.ph/GEPSNONPILOT/Tender/SplashBidNoticeAbstractUI.aspx?menuIndex=3&amp;refID=7147813&amp;Result=3","7147813")</f>
        <v>0</v>
      </c>
      <c r="B11330" t="s">
        <v>761</v>
      </c>
      <c r="C11330" t="s">
        <v>14561</v>
      </c>
      <c r="D11330" t="s">
        <v>19022</v>
      </c>
      <c r="E11330" t="s">
        <v>28807</v>
      </c>
      <c r="F11330" t="s">
        <v>32831</v>
      </c>
      <c r="G11330" t="s">
        <v>32839</v>
      </c>
      <c r="H11330" t="s">
        <v>32848</v>
      </c>
      <c r="I11330" t="s">
        <v>7751</v>
      </c>
      <c r="J11330" t="s">
        <v>33083</v>
      </c>
      <c r="K11330" t="s">
        <v>42747</v>
      </c>
      <c r="M11330" t="s">
        <v>43787</v>
      </c>
      <c r="N11330" t="s">
        <v>47424</v>
      </c>
      <c r="O11330" t="s">
        <v>47425</v>
      </c>
      <c r="P11330">
        <v>0</v>
      </c>
      <c r="Q11330">
        <v>0</v>
      </c>
      <c r="R11330" t="s">
        <v>47437</v>
      </c>
      <c r="S11330" t="s">
        <v>47706</v>
      </c>
      <c r="T11330" t="s">
        <v>49108</v>
      </c>
      <c r="U11330" t="s">
        <v>58958</v>
      </c>
      <c r="W11330" t="s">
        <v>43787</v>
      </c>
      <c r="X11330" t="s">
        <v>47438</v>
      </c>
    </row>
    <row r="11331" spans="1:24">
      <c r="A11331">
        <f>HYPERLINK("https://www.philgeps.gov.ph/GEPSNONPILOT/Tender/SplashBidNoticeAbstractUI.aspx?menuIndex=3&amp;refID=7147782&amp;Result=3","7147782")</f>
        <v>0</v>
      </c>
      <c r="B11331" t="s">
        <v>2856</v>
      </c>
      <c r="C11331" t="s">
        <v>14562</v>
      </c>
      <c r="D11331" t="s">
        <v>19093</v>
      </c>
      <c r="E11331" t="s">
        <v>28808</v>
      </c>
      <c r="F11331" t="s">
        <v>32831</v>
      </c>
      <c r="G11331" t="s">
        <v>32839</v>
      </c>
      <c r="H11331" t="s">
        <v>32849</v>
      </c>
      <c r="I11331" t="s">
        <v>4177</v>
      </c>
      <c r="J11331" t="s">
        <v>39949</v>
      </c>
      <c r="K11331" t="s">
        <v>42763</v>
      </c>
      <c r="M11331" t="s">
        <v>46089</v>
      </c>
      <c r="N11331" t="s">
        <v>47424</v>
      </c>
      <c r="O11331" t="s">
        <v>47425</v>
      </c>
      <c r="P11331">
        <v>0</v>
      </c>
      <c r="Q11331">
        <v>11</v>
      </c>
      <c r="R11331" t="s">
        <v>47437</v>
      </c>
      <c r="S11331" t="s">
        <v>47706</v>
      </c>
      <c r="T11331" t="s">
        <v>49173</v>
      </c>
      <c r="U11331" t="s">
        <v>58959</v>
      </c>
      <c r="W11331" t="s">
        <v>46089</v>
      </c>
      <c r="X11331" t="s">
        <v>47438</v>
      </c>
    </row>
    <row r="11332" spans="1:24">
      <c r="A11332">
        <f>HYPERLINK("https://www.philgeps.gov.ph/GEPSNONPILOT/Tender/SplashBidNoticeAbstractUI.aspx?menuIndex=3&amp;refID=7147781&amp;Result=3","7147781")</f>
        <v>0</v>
      </c>
      <c r="B11332" t="s">
        <v>1459</v>
      </c>
      <c r="C11332" t="s">
        <v>14563</v>
      </c>
      <c r="D11332" t="s">
        <v>19033</v>
      </c>
      <c r="E11332" t="s">
        <v>28809</v>
      </c>
      <c r="F11332" t="s">
        <v>32831</v>
      </c>
      <c r="G11332" t="s">
        <v>32839</v>
      </c>
      <c r="H11332" t="s">
        <v>32848</v>
      </c>
      <c r="I11332" t="s">
        <v>32957</v>
      </c>
      <c r="J11332" t="s">
        <v>39950</v>
      </c>
      <c r="K11332" t="s">
        <v>42862</v>
      </c>
      <c r="M11332" t="s">
        <v>44551</v>
      </c>
      <c r="N11332" t="s">
        <v>47424</v>
      </c>
      <c r="O11332" t="s">
        <v>47425</v>
      </c>
      <c r="P11332">
        <v>0</v>
      </c>
      <c r="Q11332">
        <v>15</v>
      </c>
      <c r="R11332" t="s">
        <v>47437</v>
      </c>
      <c r="S11332" t="s">
        <v>47706</v>
      </c>
      <c r="T11332" t="s">
        <v>49323</v>
      </c>
      <c r="U11332" t="s">
        <v>58960</v>
      </c>
      <c r="W11332" t="s">
        <v>44551</v>
      </c>
      <c r="X11332" t="s">
        <v>47438</v>
      </c>
    </row>
    <row r="11333" spans="1:24">
      <c r="A11333">
        <f>HYPERLINK("https://www.philgeps.gov.ph/GEPSNONPILOT/Tender/SplashBidNoticeAbstractUI.aspx?menuIndex=3&amp;refID=7147776&amp;Result=3","7147776")</f>
        <v>0</v>
      </c>
      <c r="B11333" t="s">
        <v>448</v>
      </c>
      <c r="C11333" t="s">
        <v>14564</v>
      </c>
      <c r="D11333" t="s">
        <v>19027</v>
      </c>
      <c r="E11333" t="s">
        <v>28768</v>
      </c>
      <c r="F11333" t="s">
        <v>32831</v>
      </c>
      <c r="G11333" t="s">
        <v>32839</v>
      </c>
      <c r="H11333" t="s">
        <v>32849</v>
      </c>
      <c r="I11333" t="s">
        <v>4177</v>
      </c>
      <c r="J11333" t="s">
        <v>39951</v>
      </c>
      <c r="K11333" t="s">
        <v>42770</v>
      </c>
      <c r="M11333" t="s">
        <v>43453</v>
      </c>
      <c r="N11333" t="s">
        <v>47424</v>
      </c>
      <c r="O11333" t="s">
        <v>47425</v>
      </c>
      <c r="P11333">
        <v>0</v>
      </c>
      <c r="Q11333">
        <v>0</v>
      </c>
      <c r="R11333" t="s">
        <v>47437</v>
      </c>
      <c r="S11333" t="s">
        <v>47706</v>
      </c>
      <c r="T11333" t="s">
        <v>49196</v>
      </c>
      <c r="U11333" t="s">
        <v>58961</v>
      </c>
      <c r="W11333" t="s">
        <v>43453</v>
      </c>
      <c r="X11333" t="s">
        <v>47438</v>
      </c>
    </row>
    <row r="11334" spans="1:24">
      <c r="A11334">
        <f>HYPERLINK("https://www.philgeps.gov.ph/GEPSNONPILOT/Tender/SplashBidNoticeAbstractUI.aspx?menuIndex=3&amp;refID=7147821&amp;Result=3","7147821")</f>
        <v>0</v>
      </c>
      <c r="B11334" t="s">
        <v>3366</v>
      </c>
      <c r="C11334" t="s">
        <v>14565</v>
      </c>
      <c r="D11334" t="s">
        <v>19017</v>
      </c>
      <c r="E11334" t="s">
        <v>28810</v>
      </c>
      <c r="F11334" t="s">
        <v>32831</v>
      </c>
      <c r="G11334" t="s">
        <v>32839</v>
      </c>
      <c r="H11334" t="s">
        <v>32848</v>
      </c>
      <c r="I11334" t="s">
        <v>32874</v>
      </c>
      <c r="J11334" t="s">
        <v>32978</v>
      </c>
      <c r="K11334" t="s">
        <v>42730</v>
      </c>
      <c r="M11334" t="s">
        <v>46692</v>
      </c>
      <c r="N11334" t="s">
        <v>47424</v>
      </c>
      <c r="O11334" t="s">
        <v>47425</v>
      </c>
      <c r="P11334">
        <v>0</v>
      </c>
      <c r="Q11334">
        <v>3</v>
      </c>
      <c r="R11334" t="s">
        <v>47437</v>
      </c>
      <c r="S11334" t="s">
        <v>47706</v>
      </c>
      <c r="T11334" t="s">
        <v>49059</v>
      </c>
      <c r="U11334" t="s">
        <v>58951</v>
      </c>
      <c r="W11334" t="s">
        <v>46692</v>
      </c>
      <c r="X11334" t="s">
        <v>47438</v>
      </c>
    </row>
    <row r="11335" spans="1:24">
      <c r="A11335">
        <f>HYPERLINK("https://www.philgeps.gov.ph/GEPSNONPILOT/Tender/SplashBidNoticeAbstractUI.aspx?menuIndex=3&amp;refID=7147764&amp;Result=3","7147764")</f>
        <v>0</v>
      </c>
      <c r="B11335" t="s">
        <v>1312</v>
      </c>
      <c r="C11335" t="s">
        <v>14566</v>
      </c>
      <c r="D11335" t="s">
        <v>19054</v>
      </c>
      <c r="E11335" t="s">
        <v>28811</v>
      </c>
      <c r="F11335" t="s">
        <v>32831</v>
      </c>
      <c r="G11335" t="s">
        <v>32838</v>
      </c>
      <c r="H11335" t="s">
        <v>32848</v>
      </c>
      <c r="I11335" t="s">
        <v>4303</v>
      </c>
      <c r="J11335" t="s">
        <v>35915</v>
      </c>
      <c r="K11335" t="s">
        <v>42732</v>
      </c>
      <c r="M11335" t="s">
        <v>44383</v>
      </c>
      <c r="N11335" t="s">
        <v>47424</v>
      </c>
      <c r="O11335" t="s">
        <v>47425</v>
      </c>
      <c r="P11335">
        <v>0</v>
      </c>
      <c r="Q11335">
        <v>0</v>
      </c>
      <c r="R11335" t="s">
        <v>47437</v>
      </c>
      <c r="S11335" t="s">
        <v>47706</v>
      </c>
      <c r="T11335" t="s">
        <v>49243</v>
      </c>
      <c r="U11335" t="s">
        <v>57593</v>
      </c>
      <c r="W11335" t="s">
        <v>44383</v>
      </c>
      <c r="X11335" t="s">
        <v>47438</v>
      </c>
    </row>
    <row r="11336" spans="1:24">
      <c r="A11336">
        <f>HYPERLINK("https://www.philgeps.gov.ph/GEPSNONPILOT/Tender/SplashBidNoticeAbstractUI.aspx?menuIndex=3&amp;refID=7147767&amp;Result=3","7147767")</f>
        <v>0</v>
      </c>
      <c r="B11336" t="s">
        <v>1459</v>
      </c>
      <c r="C11336" t="s">
        <v>14567</v>
      </c>
      <c r="D11336" t="s">
        <v>19033</v>
      </c>
      <c r="E11336" t="s">
        <v>28812</v>
      </c>
      <c r="F11336" t="s">
        <v>32831</v>
      </c>
      <c r="G11336" t="s">
        <v>32839</v>
      </c>
      <c r="H11336" t="s">
        <v>32849</v>
      </c>
      <c r="I11336" t="s">
        <v>4177</v>
      </c>
      <c r="J11336" t="s">
        <v>39952</v>
      </c>
      <c r="K11336" t="s">
        <v>42862</v>
      </c>
      <c r="M11336" t="s">
        <v>44551</v>
      </c>
      <c r="N11336" t="s">
        <v>47424</v>
      </c>
      <c r="O11336" t="s">
        <v>47425</v>
      </c>
      <c r="P11336">
        <v>0</v>
      </c>
      <c r="Q11336">
        <v>3</v>
      </c>
      <c r="R11336" t="s">
        <v>47437</v>
      </c>
      <c r="S11336" t="s">
        <v>47706</v>
      </c>
      <c r="T11336" t="s">
        <v>49077</v>
      </c>
      <c r="U11336" t="s">
        <v>58962</v>
      </c>
      <c r="W11336" t="s">
        <v>44551</v>
      </c>
      <c r="X11336" t="s">
        <v>47438</v>
      </c>
    </row>
    <row r="11337" spans="1:24">
      <c r="A11337">
        <f>HYPERLINK("https://www.philgeps.gov.ph/GEPSNONPILOT/Tender/SplashBidNoticeAbstractUI.aspx?menuIndex=3&amp;refID=7147779&amp;Result=3","7147779")</f>
        <v>0</v>
      </c>
      <c r="B11337" t="s">
        <v>2674</v>
      </c>
      <c r="C11337" t="s">
        <v>14568</v>
      </c>
      <c r="D11337" t="s">
        <v>19077</v>
      </c>
      <c r="E11337" t="s">
        <v>28813</v>
      </c>
      <c r="F11337" t="s">
        <v>32831</v>
      </c>
      <c r="G11337" t="s">
        <v>32839</v>
      </c>
      <c r="H11337" t="s">
        <v>32848</v>
      </c>
      <c r="I11337" t="s">
        <v>4471</v>
      </c>
      <c r="J11337" t="s">
        <v>32980</v>
      </c>
      <c r="K11337" t="s">
        <v>42745</v>
      </c>
      <c r="M11337" t="s">
        <v>45897</v>
      </c>
      <c r="N11337" t="s">
        <v>47424</v>
      </c>
      <c r="O11337" t="s">
        <v>47425</v>
      </c>
      <c r="P11337">
        <v>0</v>
      </c>
      <c r="Q11337">
        <v>2</v>
      </c>
      <c r="R11337" t="s">
        <v>47437</v>
      </c>
      <c r="S11337" t="s">
        <v>47706</v>
      </c>
      <c r="T11337" t="s">
        <v>49080</v>
      </c>
      <c r="U11337" t="s">
        <v>58963</v>
      </c>
      <c r="W11337" t="s">
        <v>45897</v>
      </c>
      <c r="X11337" t="s">
        <v>47438</v>
      </c>
    </row>
    <row r="11338" spans="1:24">
      <c r="A11338">
        <f>HYPERLINK("https://www.philgeps.gov.ph/GEPSNONPILOT/Tender/SplashBidNoticeAbstractUI.aspx?menuIndex=3&amp;refID=7147896&amp;Result=3","7147896")</f>
        <v>0</v>
      </c>
      <c r="B11338" t="s">
        <v>1301</v>
      </c>
      <c r="C11338" t="s">
        <v>14569</v>
      </c>
      <c r="D11338" t="s">
        <v>19052</v>
      </c>
      <c r="E11338" t="s">
        <v>28814</v>
      </c>
      <c r="F11338" t="s">
        <v>32831</v>
      </c>
      <c r="G11338" t="s">
        <v>32839</v>
      </c>
      <c r="H11338" t="s">
        <v>32848</v>
      </c>
      <c r="I11338" t="s">
        <v>32857</v>
      </c>
      <c r="J11338" t="s">
        <v>39953</v>
      </c>
      <c r="K11338" t="s">
        <v>42729</v>
      </c>
      <c r="M11338" t="s">
        <v>44371</v>
      </c>
      <c r="N11338" t="s">
        <v>47424</v>
      </c>
      <c r="O11338" t="s">
        <v>47425</v>
      </c>
      <c r="P11338">
        <v>0</v>
      </c>
      <c r="Q11338">
        <v>9</v>
      </c>
      <c r="R11338" t="s">
        <v>47437</v>
      </c>
      <c r="S11338" t="s">
        <v>47706</v>
      </c>
      <c r="T11338" t="s">
        <v>49173</v>
      </c>
      <c r="U11338" t="s">
        <v>58964</v>
      </c>
      <c r="V11338" t="s">
        <v>63878</v>
      </c>
      <c r="W11338" t="s">
        <v>44371</v>
      </c>
      <c r="X11338" t="s">
        <v>47438</v>
      </c>
    </row>
    <row r="11339" spans="1:24">
      <c r="A11339">
        <f>HYPERLINK("https://www.philgeps.gov.ph/GEPSNONPILOT/Tender/SplashBidNoticeAbstractUI.aspx?menuIndex=3&amp;refID=7147886&amp;Result=3","7147886")</f>
        <v>0</v>
      </c>
      <c r="B11339" t="s">
        <v>3378</v>
      </c>
      <c r="C11339" t="s">
        <v>14570</v>
      </c>
      <c r="D11339" t="s">
        <v>19078</v>
      </c>
      <c r="E11339" t="s">
        <v>28815</v>
      </c>
      <c r="F11339" t="s">
        <v>32831</v>
      </c>
      <c r="G11339" t="s">
        <v>32839</v>
      </c>
      <c r="H11339" t="s">
        <v>32849</v>
      </c>
      <c r="I11339" t="s">
        <v>4177</v>
      </c>
      <c r="J11339" t="s">
        <v>39954</v>
      </c>
      <c r="K11339" t="s">
        <v>42748</v>
      </c>
      <c r="M11339" t="s">
        <v>46705</v>
      </c>
      <c r="N11339" t="s">
        <v>47424</v>
      </c>
      <c r="O11339" t="s">
        <v>47425</v>
      </c>
      <c r="P11339">
        <v>0</v>
      </c>
      <c r="Q11339">
        <v>0</v>
      </c>
      <c r="R11339" t="s">
        <v>47437</v>
      </c>
      <c r="S11339" t="s">
        <v>47706</v>
      </c>
      <c r="T11339" t="s">
        <v>49235</v>
      </c>
      <c r="U11339" t="s">
        <v>58965</v>
      </c>
      <c r="W11339" t="s">
        <v>46705</v>
      </c>
      <c r="X11339" t="s">
        <v>47438</v>
      </c>
    </row>
    <row r="11340" spans="1:24">
      <c r="A11340">
        <f>HYPERLINK("https://www.philgeps.gov.ph/GEPSNONPILOT/Tender/SplashBidNoticeAbstractUI.aspx?menuIndex=3&amp;refID=7147775&amp;Result=3","7147775")</f>
        <v>0</v>
      </c>
      <c r="B11340" t="s">
        <v>820</v>
      </c>
      <c r="C11340" t="s">
        <v>14571</v>
      </c>
      <c r="E11340" t="s">
        <v>28816</v>
      </c>
      <c r="F11340" t="s">
        <v>32831</v>
      </c>
      <c r="G11340" t="s">
        <v>32839</v>
      </c>
      <c r="H11340" t="s">
        <v>32848</v>
      </c>
      <c r="I11340" t="s">
        <v>8781</v>
      </c>
      <c r="J11340" t="s">
        <v>39955</v>
      </c>
      <c r="K11340" t="s">
        <v>42732</v>
      </c>
      <c r="M11340" t="s">
        <v>43851</v>
      </c>
      <c r="N11340" t="s">
        <v>47424</v>
      </c>
      <c r="O11340" t="s">
        <v>47425</v>
      </c>
      <c r="Q11340">
        <v>2</v>
      </c>
      <c r="R11340" t="s">
        <v>47437</v>
      </c>
      <c r="S11340" t="s">
        <v>47785</v>
      </c>
      <c r="T11340" t="s">
        <v>49172</v>
      </c>
      <c r="U11340" t="s">
        <v>58966</v>
      </c>
      <c r="W11340" t="s">
        <v>43851</v>
      </c>
      <c r="X11340" t="s">
        <v>47438</v>
      </c>
    </row>
    <row r="11341" spans="1:24">
      <c r="A11341">
        <f>HYPERLINK("https://www.philgeps.gov.ph/GEPSNONPILOT/Tender/SplashBidNoticeAbstractUI.aspx?menuIndex=3&amp;refID=7147879&amp;Result=3","7147879")</f>
        <v>0</v>
      </c>
      <c r="B11341" t="s">
        <v>2787</v>
      </c>
      <c r="C11341" t="s">
        <v>14572</v>
      </c>
      <c r="D11341" t="s">
        <v>19037</v>
      </c>
      <c r="E11341" t="s">
        <v>28817</v>
      </c>
      <c r="F11341" t="s">
        <v>32831</v>
      </c>
      <c r="G11341" t="s">
        <v>32839</v>
      </c>
      <c r="H11341" t="s">
        <v>32848</v>
      </c>
      <c r="I11341" t="s">
        <v>11727</v>
      </c>
      <c r="J11341" t="s">
        <v>39956</v>
      </c>
      <c r="K11341" t="s">
        <v>42730</v>
      </c>
      <c r="M11341" t="s">
        <v>46017</v>
      </c>
      <c r="N11341" t="s">
        <v>47424</v>
      </c>
      <c r="O11341" t="s">
        <v>47425</v>
      </c>
      <c r="Q11341">
        <v>4</v>
      </c>
      <c r="R11341" t="s">
        <v>47437</v>
      </c>
      <c r="S11341" t="s">
        <v>47786</v>
      </c>
      <c r="T11341" t="s">
        <v>49192</v>
      </c>
      <c r="U11341" t="s">
        <v>58967</v>
      </c>
      <c r="V11341" t="s">
        <v>63879</v>
      </c>
      <c r="W11341" t="s">
        <v>46017</v>
      </c>
      <c r="X11341" t="s">
        <v>47438</v>
      </c>
    </row>
    <row r="11342" spans="1:24">
      <c r="A11342">
        <f>HYPERLINK("https://www.philgeps.gov.ph/GEPSNONPILOT/Tender/SplashBidNoticeAbstractUI.aspx?menuIndex=3&amp;refID=7147875&amp;Result=3","7147875")</f>
        <v>0</v>
      </c>
      <c r="B11342" t="s">
        <v>2787</v>
      </c>
      <c r="C11342" t="s">
        <v>14573</v>
      </c>
      <c r="D11342" t="s">
        <v>19037</v>
      </c>
      <c r="E11342" t="s">
        <v>28818</v>
      </c>
      <c r="F11342" t="s">
        <v>32831</v>
      </c>
      <c r="G11342" t="s">
        <v>32839</v>
      </c>
      <c r="H11342" t="s">
        <v>32848</v>
      </c>
      <c r="I11342" t="s">
        <v>7416</v>
      </c>
      <c r="J11342" t="s">
        <v>39957</v>
      </c>
      <c r="K11342" t="s">
        <v>42747</v>
      </c>
      <c r="M11342" t="s">
        <v>46017</v>
      </c>
      <c r="N11342" t="s">
        <v>47424</v>
      </c>
      <c r="O11342" t="s">
        <v>47425</v>
      </c>
      <c r="P11342">
        <v>0</v>
      </c>
      <c r="Q11342">
        <v>5</v>
      </c>
      <c r="R11342" t="s">
        <v>47437</v>
      </c>
      <c r="S11342" t="s">
        <v>47706</v>
      </c>
      <c r="T11342" t="s">
        <v>49192</v>
      </c>
      <c r="U11342" t="s">
        <v>58968</v>
      </c>
      <c r="V11342" t="s">
        <v>63880</v>
      </c>
      <c r="W11342" t="s">
        <v>46017</v>
      </c>
      <c r="X11342" t="s">
        <v>47438</v>
      </c>
    </row>
    <row r="11343" spans="1:24">
      <c r="A11343">
        <f>HYPERLINK("https://www.philgeps.gov.ph/GEPSNONPILOT/Tender/SplashBidNoticeAbstractUI.aspx?menuIndex=3&amp;refID=7147871&amp;Result=3","7147871")</f>
        <v>0</v>
      </c>
      <c r="B11343" t="s">
        <v>2426</v>
      </c>
      <c r="C11343" t="s">
        <v>14574</v>
      </c>
      <c r="E11343" t="s">
        <v>28819</v>
      </c>
      <c r="F11343" t="s">
        <v>32831</v>
      </c>
      <c r="G11343" t="s">
        <v>32839</v>
      </c>
      <c r="H11343" t="s">
        <v>32850</v>
      </c>
      <c r="I11343" t="s">
        <v>32937</v>
      </c>
      <c r="J11343" t="s">
        <v>39958</v>
      </c>
      <c r="K11343" t="s">
        <v>42730</v>
      </c>
      <c r="M11343" t="s">
        <v>45623</v>
      </c>
      <c r="N11343" t="s">
        <v>47424</v>
      </c>
      <c r="O11343" t="s">
        <v>47425</v>
      </c>
      <c r="Q11343">
        <v>4</v>
      </c>
      <c r="R11343" t="s">
        <v>47437</v>
      </c>
      <c r="S11343" t="s">
        <v>47787</v>
      </c>
      <c r="T11343" t="s">
        <v>49071</v>
      </c>
      <c r="U11343" t="s">
        <v>55423</v>
      </c>
      <c r="V11343" t="s">
        <v>63398</v>
      </c>
      <c r="W11343" t="s">
        <v>45623</v>
      </c>
      <c r="X11343" t="s">
        <v>47438</v>
      </c>
    </row>
    <row r="11344" spans="1:24">
      <c r="A11344">
        <f>HYPERLINK("https://www.philgeps.gov.ph/GEPSNONPILOT/Tender/SplashBidNoticeAbstractUI.aspx?menuIndex=3&amp;refID=7147870&amp;Result=3","7147870")</f>
        <v>0</v>
      </c>
      <c r="B11344" t="s">
        <v>911</v>
      </c>
      <c r="C11344" t="s">
        <v>14575</v>
      </c>
      <c r="D11344" t="s">
        <v>19049</v>
      </c>
      <c r="E11344" t="s">
        <v>28820</v>
      </c>
      <c r="F11344" t="s">
        <v>32831</v>
      </c>
      <c r="G11344" t="s">
        <v>32839</v>
      </c>
      <c r="H11344" t="s">
        <v>32848</v>
      </c>
      <c r="I11344" t="s">
        <v>7416</v>
      </c>
      <c r="J11344" t="s">
        <v>39959</v>
      </c>
      <c r="K11344" t="s">
        <v>42730</v>
      </c>
      <c r="M11344" t="s">
        <v>43951</v>
      </c>
      <c r="N11344" t="s">
        <v>47424</v>
      </c>
      <c r="O11344" t="s">
        <v>47425</v>
      </c>
      <c r="P11344">
        <v>0</v>
      </c>
      <c r="Q11344">
        <v>0</v>
      </c>
      <c r="R11344" t="s">
        <v>47437</v>
      </c>
      <c r="S11344" t="s">
        <v>47706</v>
      </c>
      <c r="T11344" t="s">
        <v>49111</v>
      </c>
      <c r="U11344" t="s">
        <v>52589</v>
      </c>
      <c r="W11344" t="s">
        <v>43951</v>
      </c>
      <c r="X11344" t="s">
        <v>47438</v>
      </c>
    </row>
    <row r="11345" spans="1:24">
      <c r="A11345">
        <f>HYPERLINK("https://www.philgeps.gov.ph/GEPSNONPILOT/Tender/SplashBidNoticeAbstractUI.aspx?menuIndex=3&amp;refID=7147829&amp;Result=3","7147829")</f>
        <v>0</v>
      </c>
      <c r="B11345" t="s">
        <v>3366</v>
      </c>
      <c r="C11345" t="s">
        <v>14576</v>
      </c>
      <c r="D11345" t="s">
        <v>19017</v>
      </c>
      <c r="E11345" t="s">
        <v>28821</v>
      </c>
      <c r="F11345" t="s">
        <v>32831</v>
      </c>
      <c r="G11345" t="s">
        <v>32839</v>
      </c>
      <c r="H11345" t="s">
        <v>32848</v>
      </c>
      <c r="I11345" t="s">
        <v>32874</v>
      </c>
      <c r="J11345" t="s">
        <v>32978</v>
      </c>
      <c r="K11345" t="s">
        <v>42730</v>
      </c>
      <c r="M11345" t="s">
        <v>46692</v>
      </c>
      <c r="N11345" t="s">
        <v>47424</v>
      </c>
      <c r="O11345" t="s">
        <v>47425</v>
      </c>
      <c r="P11345">
        <v>0</v>
      </c>
      <c r="Q11345">
        <v>5</v>
      </c>
      <c r="R11345" t="s">
        <v>47437</v>
      </c>
      <c r="S11345" t="s">
        <v>47706</v>
      </c>
      <c r="T11345" t="s">
        <v>49059</v>
      </c>
      <c r="U11345" t="s">
        <v>58951</v>
      </c>
      <c r="W11345" t="s">
        <v>46692</v>
      </c>
      <c r="X11345" t="s">
        <v>47438</v>
      </c>
    </row>
    <row r="11346" spans="1:24">
      <c r="A11346">
        <f>HYPERLINK("https://www.philgeps.gov.ph/GEPSNONPILOT/Tender/SplashBidNoticeAbstractUI.aspx?menuIndex=3&amp;refID=7147860&amp;Result=3","7147860")</f>
        <v>0</v>
      </c>
      <c r="B11346" t="s">
        <v>1388</v>
      </c>
      <c r="C11346" t="s">
        <v>14577</v>
      </c>
      <c r="D11346" t="s">
        <v>19027</v>
      </c>
      <c r="E11346" t="s">
        <v>22016</v>
      </c>
      <c r="F11346" t="s">
        <v>32831</v>
      </c>
      <c r="G11346" t="s">
        <v>32839</v>
      </c>
      <c r="H11346" t="s">
        <v>32848</v>
      </c>
      <c r="I11346" t="s">
        <v>9577</v>
      </c>
      <c r="J11346" t="s">
        <v>39960</v>
      </c>
      <c r="K11346" t="s">
        <v>42759</v>
      </c>
      <c r="M11346" t="s">
        <v>44473</v>
      </c>
      <c r="N11346" t="s">
        <v>47424</v>
      </c>
      <c r="O11346" t="s">
        <v>47425</v>
      </c>
      <c r="P11346">
        <v>0</v>
      </c>
      <c r="Q11346">
        <v>3</v>
      </c>
      <c r="R11346" t="s">
        <v>47437</v>
      </c>
      <c r="S11346" t="s">
        <v>47706</v>
      </c>
      <c r="T11346" t="s">
        <v>49171</v>
      </c>
      <c r="U11346" t="s">
        <v>58969</v>
      </c>
      <c r="V11346" t="s">
        <v>63881</v>
      </c>
      <c r="W11346" t="s">
        <v>44473</v>
      </c>
      <c r="X11346" t="s">
        <v>47438</v>
      </c>
    </row>
    <row r="11347" spans="1:24">
      <c r="A11347">
        <f>HYPERLINK("https://www.philgeps.gov.ph/GEPSNONPILOT/Tender/SplashBidNoticeAbstractUI.aspx?menuIndex=3&amp;refID=7147849&amp;Result=3","7147849")</f>
        <v>0</v>
      </c>
      <c r="B11347" t="s">
        <v>2426</v>
      </c>
      <c r="C11347" t="s">
        <v>14578</v>
      </c>
      <c r="D11347" t="s">
        <v>19019</v>
      </c>
      <c r="E11347" t="s">
        <v>28822</v>
      </c>
      <c r="F11347" t="s">
        <v>32831</v>
      </c>
      <c r="G11347" t="s">
        <v>32839</v>
      </c>
      <c r="H11347" t="s">
        <v>32850</v>
      </c>
      <c r="I11347" t="s">
        <v>32937</v>
      </c>
      <c r="J11347" t="s">
        <v>39961</v>
      </c>
      <c r="K11347" t="s">
        <v>42763</v>
      </c>
      <c r="M11347" t="s">
        <v>45623</v>
      </c>
      <c r="N11347" t="s">
        <v>47424</v>
      </c>
      <c r="O11347" t="s">
        <v>47425</v>
      </c>
      <c r="Q11347">
        <v>7</v>
      </c>
      <c r="R11347" t="s">
        <v>47437</v>
      </c>
      <c r="S11347" t="s">
        <v>47788</v>
      </c>
      <c r="T11347" t="s">
        <v>49071</v>
      </c>
      <c r="U11347" t="s">
        <v>55423</v>
      </c>
      <c r="V11347" t="s">
        <v>63398</v>
      </c>
      <c r="W11347" t="s">
        <v>45623</v>
      </c>
      <c r="X11347" t="s">
        <v>47438</v>
      </c>
    </row>
    <row r="11348" spans="1:24">
      <c r="A11348">
        <f>HYPERLINK("https://www.philgeps.gov.ph/GEPSNONPILOT/Tender/SplashBidNoticeAbstractUI.aspx?menuIndex=3&amp;refID=7147797&amp;Result=3","7147797")</f>
        <v>0</v>
      </c>
      <c r="B11348" t="s">
        <v>1312</v>
      </c>
      <c r="C11348" t="s">
        <v>14579</v>
      </c>
      <c r="D11348" t="s">
        <v>19054</v>
      </c>
      <c r="E11348" t="s">
        <v>28823</v>
      </c>
      <c r="F11348" t="s">
        <v>32831</v>
      </c>
      <c r="G11348" t="s">
        <v>32838</v>
      </c>
      <c r="H11348" t="s">
        <v>32848</v>
      </c>
      <c r="I11348" t="s">
        <v>32863</v>
      </c>
      <c r="J11348" t="s">
        <v>33133</v>
      </c>
      <c r="K11348" t="s">
        <v>42732</v>
      </c>
      <c r="M11348" t="s">
        <v>44383</v>
      </c>
      <c r="N11348" t="s">
        <v>47424</v>
      </c>
      <c r="O11348" t="s">
        <v>47425</v>
      </c>
      <c r="P11348">
        <v>0</v>
      </c>
      <c r="Q11348">
        <v>0</v>
      </c>
      <c r="R11348" t="s">
        <v>47437</v>
      </c>
      <c r="S11348" t="s">
        <v>47706</v>
      </c>
      <c r="T11348" t="s">
        <v>49243</v>
      </c>
      <c r="U11348" t="s">
        <v>58949</v>
      </c>
      <c r="W11348" t="s">
        <v>44383</v>
      </c>
      <c r="X11348" t="s">
        <v>47438</v>
      </c>
    </row>
    <row r="11349" spans="1:24">
      <c r="A11349">
        <f>HYPERLINK("https://www.philgeps.gov.ph/GEPSNONPILOT/Tender/SplashBidNoticeAbstractUI.aspx?menuIndex=3&amp;refID=7147923&amp;Result=3","7147923")</f>
        <v>0</v>
      </c>
      <c r="B11349" t="s">
        <v>448</v>
      </c>
      <c r="C11349" t="s">
        <v>14580</v>
      </c>
      <c r="D11349" t="s">
        <v>19027</v>
      </c>
      <c r="E11349" t="s">
        <v>28824</v>
      </c>
      <c r="F11349" t="s">
        <v>32831</v>
      </c>
      <c r="G11349" t="s">
        <v>32839</v>
      </c>
      <c r="H11349" t="s">
        <v>32848</v>
      </c>
      <c r="I11349" t="s">
        <v>7751</v>
      </c>
      <c r="J11349" t="s">
        <v>34828</v>
      </c>
      <c r="K11349" t="s">
        <v>42729</v>
      </c>
      <c r="M11349" t="s">
        <v>43453</v>
      </c>
      <c r="N11349" t="s">
        <v>47424</v>
      </c>
      <c r="O11349" t="s">
        <v>47425</v>
      </c>
      <c r="P11349">
        <v>0</v>
      </c>
      <c r="Q11349">
        <v>3</v>
      </c>
      <c r="R11349" t="s">
        <v>47437</v>
      </c>
      <c r="S11349" t="s">
        <v>47706</v>
      </c>
      <c r="T11349" t="s">
        <v>49196</v>
      </c>
      <c r="U11349" t="s">
        <v>58970</v>
      </c>
      <c r="W11349" t="s">
        <v>43453</v>
      </c>
      <c r="X11349" t="s">
        <v>47438</v>
      </c>
    </row>
    <row r="11350" spans="1:24">
      <c r="A11350">
        <f>HYPERLINK("https://www.philgeps.gov.ph/GEPSNONPILOT/Tender/SplashBidNoticeAbstractUI.aspx?menuIndex=3&amp;refID=7147918&amp;Result=3","7147918")</f>
        <v>0</v>
      </c>
      <c r="B11350" t="s">
        <v>657</v>
      </c>
      <c r="C11350" t="s">
        <v>14581</v>
      </c>
      <c r="D11350" t="s">
        <v>19027</v>
      </c>
      <c r="E11350" t="s">
        <v>28825</v>
      </c>
      <c r="F11350" t="s">
        <v>32831</v>
      </c>
      <c r="G11350" t="s">
        <v>32839</v>
      </c>
      <c r="H11350" t="s">
        <v>32848</v>
      </c>
      <c r="I11350" t="s">
        <v>7416</v>
      </c>
      <c r="J11350" t="s">
        <v>39962</v>
      </c>
      <c r="K11350" t="s">
        <v>42732</v>
      </c>
      <c r="M11350" t="s">
        <v>43675</v>
      </c>
      <c r="N11350" t="s">
        <v>47424</v>
      </c>
      <c r="O11350" t="s">
        <v>47425</v>
      </c>
      <c r="P11350">
        <v>0</v>
      </c>
      <c r="Q11350">
        <v>1</v>
      </c>
      <c r="R11350" t="s">
        <v>47437</v>
      </c>
      <c r="S11350" t="s">
        <v>47706</v>
      </c>
      <c r="T11350" t="s">
        <v>49188</v>
      </c>
      <c r="U11350" t="s">
        <v>55155</v>
      </c>
      <c r="W11350" t="s">
        <v>43675</v>
      </c>
      <c r="X11350" t="s">
        <v>47438</v>
      </c>
    </row>
    <row r="11351" spans="1:24">
      <c r="A11351">
        <f>HYPERLINK("https://www.philgeps.gov.ph/GEPSNONPILOT/Tender/SplashBidNoticeAbstractUI.aspx?menuIndex=3&amp;refID=7147915&amp;Result=3","7147915")</f>
        <v>0</v>
      </c>
      <c r="B11351" t="s">
        <v>448</v>
      </c>
      <c r="C11351" t="s">
        <v>14582</v>
      </c>
      <c r="D11351" t="s">
        <v>19027</v>
      </c>
      <c r="E11351" t="s">
        <v>28826</v>
      </c>
      <c r="F11351" t="s">
        <v>32831</v>
      </c>
      <c r="G11351" t="s">
        <v>32839</v>
      </c>
      <c r="H11351" t="s">
        <v>32848</v>
      </c>
      <c r="I11351" t="s">
        <v>7751</v>
      </c>
      <c r="J11351" t="s">
        <v>33118</v>
      </c>
      <c r="K11351" t="s">
        <v>42729</v>
      </c>
      <c r="M11351" t="s">
        <v>43453</v>
      </c>
      <c r="N11351" t="s">
        <v>47424</v>
      </c>
      <c r="O11351" t="s">
        <v>47425</v>
      </c>
      <c r="P11351">
        <v>0</v>
      </c>
      <c r="Q11351">
        <v>1</v>
      </c>
      <c r="R11351" t="s">
        <v>47437</v>
      </c>
      <c r="S11351" t="s">
        <v>47706</v>
      </c>
      <c r="T11351" t="s">
        <v>49591</v>
      </c>
      <c r="U11351" t="s">
        <v>58971</v>
      </c>
      <c r="W11351" t="s">
        <v>43453</v>
      </c>
      <c r="X11351" t="s">
        <v>47438</v>
      </c>
    </row>
    <row r="11352" spans="1:24">
      <c r="A11352">
        <f>HYPERLINK("https://www.philgeps.gov.ph/GEPSNONPILOT/Tender/SplashBidNoticeAbstractUI.aspx?menuIndex=3&amp;refID=7147909&amp;Result=3","7147909")</f>
        <v>0</v>
      </c>
      <c r="B11352" t="s">
        <v>1301</v>
      </c>
      <c r="C11352" t="s">
        <v>14583</v>
      </c>
      <c r="D11352" t="s">
        <v>19052</v>
      </c>
      <c r="E11352" t="s">
        <v>28827</v>
      </c>
      <c r="F11352" t="s">
        <v>32831</v>
      </c>
      <c r="G11352" t="s">
        <v>32839</v>
      </c>
      <c r="H11352" t="s">
        <v>32849</v>
      </c>
      <c r="I11352" t="s">
        <v>4177</v>
      </c>
      <c r="J11352" t="s">
        <v>39963</v>
      </c>
      <c r="K11352" t="s">
        <v>42770</v>
      </c>
      <c r="M11352" t="s">
        <v>44371</v>
      </c>
      <c r="N11352" t="s">
        <v>47424</v>
      </c>
      <c r="O11352" t="s">
        <v>47425</v>
      </c>
      <c r="P11352">
        <v>0</v>
      </c>
      <c r="Q11352">
        <v>4</v>
      </c>
      <c r="R11352" t="s">
        <v>47437</v>
      </c>
      <c r="S11352" t="s">
        <v>47706</v>
      </c>
      <c r="T11352" t="s">
        <v>49173</v>
      </c>
      <c r="U11352" t="s">
        <v>58972</v>
      </c>
      <c r="W11352" t="s">
        <v>44371</v>
      </c>
      <c r="X11352" t="s">
        <v>47438</v>
      </c>
    </row>
    <row r="11353" spans="1:24">
      <c r="A11353">
        <f>HYPERLINK("https://www.philgeps.gov.ph/GEPSNONPILOT/Tender/SplashBidNoticeAbstractUI.aspx?menuIndex=3&amp;refID=7147907&amp;Result=3","7147907")</f>
        <v>0</v>
      </c>
      <c r="B11353" t="s">
        <v>657</v>
      </c>
      <c r="C11353" t="s">
        <v>14584</v>
      </c>
      <c r="D11353" t="s">
        <v>19027</v>
      </c>
      <c r="E11353" t="s">
        <v>28828</v>
      </c>
      <c r="F11353" t="s">
        <v>32831</v>
      </c>
      <c r="G11353" t="s">
        <v>32839</v>
      </c>
      <c r="H11353" t="s">
        <v>32848</v>
      </c>
      <c r="I11353" t="s">
        <v>7416</v>
      </c>
      <c r="J11353" t="s">
        <v>39964</v>
      </c>
      <c r="K11353" t="s">
        <v>42732</v>
      </c>
      <c r="M11353" t="s">
        <v>43675</v>
      </c>
      <c r="N11353" t="s">
        <v>47424</v>
      </c>
      <c r="O11353" t="s">
        <v>47425</v>
      </c>
      <c r="P11353">
        <v>0</v>
      </c>
      <c r="Q11353">
        <v>0</v>
      </c>
      <c r="R11353" t="s">
        <v>47437</v>
      </c>
      <c r="S11353" t="s">
        <v>47706</v>
      </c>
      <c r="T11353" t="s">
        <v>49192</v>
      </c>
      <c r="U11353" t="s">
        <v>55155</v>
      </c>
      <c r="W11353" t="s">
        <v>43675</v>
      </c>
      <c r="X11353" t="s">
        <v>47438</v>
      </c>
    </row>
    <row r="11354" spans="1:24">
      <c r="A11354">
        <f>HYPERLINK("https://www.philgeps.gov.ph/GEPSNONPILOT/Tender/SplashBidNoticeAbstractUI.aspx?menuIndex=3&amp;refID=7147726&amp;Result=3","7147726")</f>
        <v>0</v>
      </c>
      <c r="B11354" t="s">
        <v>3379</v>
      </c>
      <c r="C11354" t="s">
        <v>14585</v>
      </c>
      <c r="D11354" t="s">
        <v>19049</v>
      </c>
      <c r="E11354" t="s">
        <v>28829</v>
      </c>
      <c r="F11354" t="s">
        <v>32833</v>
      </c>
      <c r="G11354" t="s">
        <v>32839</v>
      </c>
      <c r="H11354" t="s">
        <v>32849</v>
      </c>
      <c r="I11354" t="s">
        <v>4177</v>
      </c>
      <c r="J11354" t="s">
        <v>39965</v>
      </c>
      <c r="K11354" t="s">
        <v>42763</v>
      </c>
      <c r="M11354" t="s">
        <v>46706</v>
      </c>
      <c r="N11354" t="s">
        <v>47424</v>
      </c>
      <c r="O11354" t="s">
        <v>47425</v>
      </c>
      <c r="P11354">
        <v>0</v>
      </c>
      <c r="Q11354">
        <v>1</v>
      </c>
      <c r="R11354" t="s">
        <v>47437</v>
      </c>
      <c r="S11354" t="s">
        <v>47706</v>
      </c>
      <c r="T11354" t="s">
        <v>49192</v>
      </c>
      <c r="U11354" t="s">
        <v>58973</v>
      </c>
      <c r="V11354" t="s">
        <v>63882</v>
      </c>
      <c r="W11354" t="s">
        <v>46706</v>
      </c>
      <c r="X11354" t="s">
        <v>47438</v>
      </c>
    </row>
    <row r="11355" spans="1:24">
      <c r="A11355">
        <f>HYPERLINK("https://www.philgeps.gov.ph/GEPSNONPILOT/Tender/SplashBidNoticeAbstractUI.aspx?menuIndex=3&amp;refID=7147840&amp;Result=3","7147840")</f>
        <v>0</v>
      </c>
      <c r="B11355" t="s">
        <v>448</v>
      </c>
      <c r="C11355" t="s">
        <v>14586</v>
      </c>
      <c r="D11355" t="s">
        <v>19027</v>
      </c>
      <c r="E11355" t="s">
        <v>28830</v>
      </c>
      <c r="F11355" t="s">
        <v>32831</v>
      </c>
      <c r="G11355" t="s">
        <v>32839</v>
      </c>
      <c r="H11355" t="s">
        <v>32849</v>
      </c>
      <c r="I11355" t="s">
        <v>4177</v>
      </c>
      <c r="J11355" t="s">
        <v>39966</v>
      </c>
      <c r="K11355" t="s">
        <v>42729</v>
      </c>
      <c r="M11355" t="s">
        <v>43453</v>
      </c>
      <c r="N11355" t="s">
        <v>47424</v>
      </c>
      <c r="O11355" t="s">
        <v>47425</v>
      </c>
      <c r="P11355">
        <v>0</v>
      </c>
      <c r="Q11355">
        <v>1</v>
      </c>
      <c r="R11355" t="s">
        <v>47437</v>
      </c>
      <c r="S11355" t="s">
        <v>47706</v>
      </c>
      <c r="T11355" t="s">
        <v>49196</v>
      </c>
      <c r="U11355" t="s">
        <v>58974</v>
      </c>
      <c r="W11355" t="s">
        <v>43453</v>
      </c>
      <c r="X11355" t="s">
        <v>47438</v>
      </c>
    </row>
    <row r="11356" spans="1:24">
      <c r="A11356">
        <f>HYPERLINK("https://www.philgeps.gov.ph/GEPSNONPILOT/Tender/SplashBidNoticeAbstractUI.aspx?menuIndex=3&amp;refID=7147880&amp;Result=3","7147880")</f>
        <v>0</v>
      </c>
      <c r="B11356" t="s">
        <v>448</v>
      </c>
      <c r="C11356" t="s">
        <v>14587</v>
      </c>
      <c r="D11356" t="s">
        <v>19027</v>
      </c>
      <c r="E11356" t="s">
        <v>28831</v>
      </c>
      <c r="F11356" t="s">
        <v>32831</v>
      </c>
      <c r="G11356" t="s">
        <v>32839</v>
      </c>
      <c r="H11356" t="s">
        <v>32849</v>
      </c>
      <c r="I11356" t="s">
        <v>4177</v>
      </c>
      <c r="J11356" t="s">
        <v>39967</v>
      </c>
      <c r="K11356" t="s">
        <v>42770</v>
      </c>
      <c r="M11356" t="s">
        <v>43453</v>
      </c>
      <c r="N11356" t="s">
        <v>47424</v>
      </c>
      <c r="O11356" t="s">
        <v>47425</v>
      </c>
      <c r="P11356">
        <v>0</v>
      </c>
      <c r="Q11356">
        <v>3</v>
      </c>
      <c r="R11356" t="s">
        <v>47437</v>
      </c>
      <c r="S11356" t="s">
        <v>47706</v>
      </c>
      <c r="T11356" t="s">
        <v>49196</v>
      </c>
      <c r="U11356" t="s">
        <v>58975</v>
      </c>
      <c r="W11356" t="s">
        <v>43453</v>
      </c>
      <c r="X11356" t="s">
        <v>47438</v>
      </c>
    </row>
    <row r="11357" spans="1:24">
      <c r="A11357">
        <f>HYPERLINK("https://www.philgeps.gov.ph/GEPSNONPILOT/Tender/SplashBidNoticeAbstractUI.aspx?menuIndex=3&amp;refID=7147837&amp;Result=3","7147837")</f>
        <v>0</v>
      </c>
      <c r="B11357" t="s">
        <v>911</v>
      </c>
      <c r="C11357" t="s">
        <v>14588</v>
      </c>
      <c r="D11357" t="s">
        <v>19049</v>
      </c>
      <c r="E11357" t="s">
        <v>28832</v>
      </c>
      <c r="F11357" t="s">
        <v>32831</v>
      </c>
      <c r="G11357" t="s">
        <v>32839</v>
      </c>
      <c r="H11357" t="s">
        <v>32848</v>
      </c>
      <c r="I11357" t="s">
        <v>32875</v>
      </c>
      <c r="J11357" t="s">
        <v>39968</v>
      </c>
      <c r="K11357" t="s">
        <v>42730</v>
      </c>
      <c r="M11357" t="s">
        <v>43951</v>
      </c>
      <c r="N11357" t="s">
        <v>47424</v>
      </c>
      <c r="O11357" t="s">
        <v>47425</v>
      </c>
      <c r="P11357">
        <v>0</v>
      </c>
      <c r="Q11357">
        <v>0</v>
      </c>
      <c r="R11357" t="s">
        <v>47437</v>
      </c>
      <c r="S11357" t="s">
        <v>47706</v>
      </c>
      <c r="T11357" t="s">
        <v>49111</v>
      </c>
      <c r="U11357" t="s">
        <v>52589</v>
      </c>
      <c r="W11357" t="s">
        <v>43951</v>
      </c>
      <c r="X11357" t="s">
        <v>47438</v>
      </c>
    </row>
    <row r="11358" spans="1:24">
      <c r="A11358">
        <f>HYPERLINK("https://www.philgeps.gov.ph/GEPSNONPILOT/Tender/SplashBidNoticeAbstractUI.aspx?menuIndex=3&amp;refID=7147906&amp;Result=3","7147906")</f>
        <v>0</v>
      </c>
      <c r="B11358" t="s">
        <v>3378</v>
      </c>
      <c r="C11358" t="s">
        <v>4459</v>
      </c>
      <c r="D11358" t="s">
        <v>19078</v>
      </c>
      <c r="E11358" t="s">
        <v>28833</v>
      </c>
      <c r="F11358" t="s">
        <v>32831</v>
      </c>
      <c r="G11358" t="s">
        <v>32839</v>
      </c>
      <c r="H11358" t="s">
        <v>32849</v>
      </c>
      <c r="I11358" t="s">
        <v>4177</v>
      </c>
      <c r="J11358" t="s">
        <v>32985</v>
      </c>
      <c r="K11358" t="s">
        <v>42745</v>
      </c>
      <c r="M11358" t="s">
        <v>46705</v>
      </c>
      <c r="N11358" t="s">
        <v>47424</v>
      </c>
      <c r="O11358" t="s">
        <v>47425</v>
      </c>
      <c r="P11358">
        <v>0</v>
      </c>
      <c r="Q11358">
        <v>0</v>
      </c>
      <c r="R11358" t="s">
        <v>47437</v>
      </c>
      <c r="S11358" t="s">
        <v>47706</v>
      </c>
      <c r="T11358" t="s">
        <v>49235</v>
      </c>
      <c r="U11358" t="s">
        <v>58976</v>
      </c>
      <c r="W11358" t="s">
        <v>46705</v>
      </c>
      <c r="X11358" t="s">
        <v>47438</v>
      </c>
    </row>
    <row r="11359" spans="1:24">
      <c r="A11359">
        <f>HYPERLINK("https://www.philgeps.gov.ph/GEPSNONPILOT/Tender/SplashBidNoticeAbstractUI.aspx?menuIndex=3&amp;refID=7147648&amp;Result=3","7147648")</f>
        <v>0</v>
      </c>
      <c r="B11359" t="s">
        <v>3368</v>
      </c>
      <c r="C11359" t="s">
        <v>14589</v>
      </c>
      <c r="E11359" t="s">
        <v>28834</v>
      </c>
      <c r="F11359" t="s">
        <v>32831</v>
      </c>
      <c r="G11359" t="s">
        <v>32839</v>
      </c>
      <c r="H11359" t="s">
        <v>32848</v>
      </c>
      <c r="I11359" t="s">
        <v>7416</v>
      </c>
      <c r="J11359" t="s">
        <v>39969</v>
      </c>
      <c r="K11359" t="s">
        <v>42727</v>
      </c>
      <c r="M11359" t="s">
        <v>46695</v>
      </c>
      <c r="N11359" t="s">
        <v>47424</v>
      </c>
      <c r="O11359" t="s">
        <v>47425</v>
      </c>
      <c r="P11359">
        <v>0</v>
      </c>
      <c r="Q11359">
        <v>0</v>
      </c>
      <c r="R11359" t="s">
        <v>47437</v>
      </c>
      <c r="S11359" t="s">
        <v>47706</v>
      </c>
      <c r="T11359" t="s">
        <v>49097</v>
      </c>
      <c r="U11359" t="s">
        <v>58933</v>
      </c>
      <c r="W11359" t="s">
        <v>46695</v>
      </c>
      <c r="X11359" t="s">
        <v>47438</v>
      </c>
    </row>
    <row r="11360" spans="1:24">
      <c r="A11360">
        <f>HYPERLINK("https://www.philgeps.gov.ph/GEPSNONPILOT/Tender/SplashBidNoticeAbstractUI.aspx?menuIndex=3&amp;refID=7147897&amp;Result=3","7147897")</f>
        <v>0</v>
      </c>
      <c r="B11360" t="s">
        <v>3378</v>
      </c>
      <c r="C11360" t="s">
        <v>14590</v>
      </c>
      <c r="D11360" t="s">
        <v>19078</v>
      </c>
      <c r="E11360" t="s">
        <v>28835</v>
      </c>
      <c r="F11360" t="s">
        <v>32831</v>
      </c>
      <c r="G11360" t="s">
        <v>32839</v>
      </c>
      <c r="H11360" t="s">
        <v>32849</v>
      </c>
      <c r="I11360" t="s">
        <v>4177</v>
      </c>
      <c r="J11360" t="s">
        <v>32980</v>
      </c>
      <c r="K11360" t="s">
        <v>42804</v>
      </c>
      <c r="M11360" t="s">
        <v>46705</v>
      </c>
      <c r="N11360" t="s">
        <v>47424</v>
      </c>
      <c r="O11360" t="s">
        <v>47425</v>
      </c>
      <c r="P11360">
        <v>0</v>
      </c>
      <c r="Q11360">
        <v>0</v>
      </c>
      <c r="R11360" t="s">
        <v>47437</v>
      </c>
      <c r="S11360" t="s">
        <v>47706</v>
      </c>
      <c r="T11360" t="s">
        <v>49235</v>
      </c>
      <c r="U11360" t="s">
        <v>58977</v>
      </c>
      <c r="W11360" t="s">
        <v>46705</v>
      </c>
      <c r="X11360" t="s">
        <v>47438</v>
      </c>
    </row>
    <row r="11361" spans="1:24">
      <c r="A11361">
        <f>HYPERLINK("https://www.philgeps.gov.ph/GEPSNONPILOT/Tender/SplashBidNoticeAbstractUI.aspx?menuIndex=3&amp;refID=7147913&amp;Result=3","7147913")</f>
        <v>0</v>
      </c>
      <c r="B11361" t="s">
        <v>657</v>
      </c>
      <c r="C11361" t="s">
        <v>14591</v>
      </c>
      <c r="D11361" t="s">
        <v>19027</v>
      </c>
      <c r="E11361" t="s">
        <v>28836</v>
      </c>
      <c r="F11361" t="s">
        <v>32831</v>
      </c>
      <c r="G11361" t="s">
        <v>32839</v>
      </c>
      <c r="H11361" t="s">
        <v>32848</v>
      </c>
      <c r="I11361" t="s">
        <v>7416</v>
      </c>
      <c r="J11361" t="s">
        <v>39970</v>
      </c>
      <c r="K11361" t="s">
        <v>42732</v>
      </c>
      <c r="M11361" t="s">
        <v>43675</v>
      </c>
      <c r="N11361" t="s">
        <v>47424</v>
      </c>
      <c r="O11361" t="s">
        <v>47425</v>
      </c>
      <c r="P11361">
        <v>0</v>
      </c>
      <c r="Q11361">
        <v>0</v>
      </c>
      <c r="R11361" t="s">
        <v>47437</v>
      </c>
      <c r="S11361" t="s">
        <v>47706</v>
      </c>
      <c r="T11361" t="s">
        <v>49077</v>
      </c>
      <c r="U11361" t="s">
        <v>55155</v>
      </c>
      <c r="W11361" t="s">
        <v>43675</v>
      </c>
      <c r="X11361" t="s">
        <v>47438</v>
      </c>
    </row>
    <row r="11362" spans="1:24">
      <c r="A11362">
        <f>HYPERLINK("https://www.philgeps.gov.ph/GEPSNONPILOT/Tender/SplashBidNoticeAbstractUI.aspx?menuIndex=3&amp;refID=7147990&amp;Result=3","7147990")</f>
        <v>0</v>
      </c>
      <c r="B11362" t="s">
        <v>3366</v>
      </c>
      <c r="C11362" t="s">
        <v>14592</v>
      </c>
      <c r="D11362" t="s">
        <v>19017</v>
      </c>
      <c r="E11362" t="s">
        <v>28837</v>
      </c>
      <c r="F11362" t="s">
        <v>32831</v>
      </c>
      <c r="G11362" t="s">
        <v>32839</v>
      </c>
      <c r="H11362" t="s">
        <v>32848</v>
      </c>
      <c r="I11362" t="s">
        <v>32874</v>
      </c>
      <c r="J11362" t="s">
        <v>33140</v>
      </c>
      <c r="K11362" t="s">
        <v>42730</v>
      </c>
      <c r="M11362" t="s">
        <v>46692</v>
      </c>
      <c r="N11362" t="s">
        <v>47424</v>
      </c>
      <c r="O11362" t="s">
        <v>47425</v>
      </c>
      <c r="P11362">
        <v>0</v>
      </c>
      <c r="Q11362">
        <v>4</v>
      </c>
      <c r="R11362" t="s">
        <v>47437</v>
      </c>
      <c r="S11362" t="s">
        <v>47706</v>
      </c>
      <c r="T11362" t="s">
        <v>49239</v>
      </c>
      <c r="U11362" t="s">
        <v>58951</v>
      </c>
      <c r="W11362" t="s">
        <v>46692</v>
      </c>
      <c r="X11362" t="s">
        <v>47438</v>
      </c>
    </row>
    <row r="11363" spans="1:24">
      <c r="A11363">
        <f>HYPERLINK("https://www.philgeps.gov.ph/GEPSNONPILOT/Tender/SplashBidNoticeAbstractUI.aspx?menuIndex=3&amp;refID=7147975&amp;Result=3","7147975")</f>
        <v>0</v>
      </c>
      <c r="B11363" t="s">
        <v>1240</v>
      </c>
      <c r="C11363" t="s">
        <v>14593</v>
      </c>
      <c r="D11363" t="s">
        <v>19017</v>
      </c>
      <c r="E11363" t="s">
        <v>28838</v>
      </c>
      <c r="F11363" t="s">
        <v>32831</v>
      </c>
      <c r="G11363" t="s">
        <v>32839</v>
      </c>
      <c r="H11363" t="s">
        <v>32848</v>
      </c>
      <c r="I11363" t="s">
        <v>9577</v>
      </c>
      <c r="J11363" t="s">
        <v>34274</v>
      </c>
      <c r="K11363" t="s">
        <v>42730</v>
      </c>
      <c r="M11363" t="s">
        <v>46707</v>
      </c>
      <c r="N11363" t="s">
        <v>47424</v>
      </c>
      <c r="O11363" t="s">
        <v>47425</v>
      </c>
      <c r="P11363">
        <v>0</v>
      </c>
      <c r="Q11363">
        <v>5</v>
      </c>
      <c r="R11363" t="s">
        <v>47437</v>
      </c>
      <c r="S11363" t="s">
        <v>47706</v>
      </c>
      <c r="T11363" t="s">
        <v>49193</v>
      </c>
      <c r="U11363" t="s">
        <v>58978</v>
      </c>
      <c r="W11363" t="s">
        <v>46707</v>
      </c>
      <c r="X11363" t="s">
        <v>47438</v>
      </c>
    </row>
    <row r="11364" spans="1:24">
      <c r="A11364">
        <f>HYPERLINK("https://www.philgeps.gov.ph/GEPSNONPILOT/Tender/SplashBidNoticeAbstractUI.aspx?menuIndex=3&amp;refID=7147971&amp;Result=3","7147971")</f>
        <v>0</v>
      </c>
      <c r="B11364" t="s">
        <v>3380</v>
      </c>
      <c r="C11364" t="s">
        <v>14594</v>
      </c>
      <c r="D11364" t="s">
        <v>19095</v>
      </c>
      <c r="E11364" t="s">
        <v>20297</v>
      </c>
      <c r="F11364" t="s">
        <v>32833</v>
      </c>
      <c r="G11364" t="s">
        <v>32839</v>
      </c>
      <c r="H11364" t="s">
        <v>32849</v>
      </c>
      <c r="I11364" t="s">
        <v>32919</v>
      </c>
      <c r="J11364" t="s">
        <v>33108</v>
      </c>
      <c r="K11364" t="s">
        <v>42845</v>
      </c>
      <c r="M11364" t="s">
        <v>46708</v>
      </c>
      <c r="N11364" t="s">
        <v>47424</v>
      </c>
      <c r="O11364" t="s">
        <v>47425</v>
      </c>
      <c r="P11364">
        <v>0</v>
      </c>
      <c r="Q11364">
        <v>0</v>
      </c>
      <c r="R11364" t="s">
        <v>47437</v>
      </c>
      <c r="S11364" t="s">
        <v>47706</v>
      </c>
      <c r="T11364" t="s">
        <v>49066</v>
      </c>
      <c r="U11364" t="s">
        <v>58979</v>
      </c>
      <c r="W11364" t="s">
        <v>46708</v>
      </c>
      <c r="X11364" t="s">
        <v>47438</v>
      </c>
    </row>
    <row r="11365" spans="1:24">
      <c r="A11365">
        <f>HYPERLINK("https://www.philgeps.gov.ph/GEPSNONPILOT/Tender/SplashBidNoticeAbstractUI.aspx?menuIndex=3&amp;refID=7147969&amp;Result=3","7147969")</f>
        <v>0</v>
      </c>
      <c r="B11365" t="s">
        <v>3381</v>
      </c>
      <c r="C11365" t="s">
        <v>5371</v>
      </c>
      <c r="D11365" t="s">
        <v>19047</v>
      </c>
      <c r="E11365" t="s">
        <v>28839</v>
      </c>
      <c r="F11365" t="s">
        <v>32831</v>
      </c>
      <c r="G11365" t="s">
        <v>32839</v>
      </c>
      <c r="H11365" t="s">
        <v>32849</v>
      </c>
      <c r="I11365" t="s">
        <v>4177</v>
      </c>
      <c r="J11365" t="s">
        <v>39971</v>
      </c>
      <c r="K11365" t="s">
        <v>42763</v>
      </c>
      <c r="M11365" t="s">
        <v>46709</v>
      </c>
      <c r="N11365" t="s">
        <v>47424</v>
      </c>
      <c r="O11365" t="s">
        <v>47425</v>
      </c>
      <c r="P11365">
        <v>0</v>
      </c>
      <c r="Q11365">
        <v>3</v>
      </c>
      <c r="R11365" t="s">
        <v>47437</v>
      </c>
      <c r="S11365" t="s">
        <v>47706</v>
      </c>
      <c r="T11365" t="s">
        <v>49107</v>
      </c>
      <c r="U11365" t="s">
        <v>58980</v>
      </c>
      <c r="W11365" t="s">
        <v>46709</v>
      </c>
      <c r="X11365" t="s">
        <v>47438</v>
      </c>
    </row>
    <row r="11366" spans="1:24">
      <c r="A11366">
        <f>HYPERLINK("https://www.philgeps.gov.ph/GEPSNONPILOT/Tender/SplashBidNoticeAbstractUI.aspx?menuIndex=3&amp;refID=7147954&amp;Result=3","7147954")</f>
        <v>0</v>
      </c>
      <c r="B11366" t="s">
        <v>3382</v>
      </c>
      <c r="C11366" t="s">
        <v>14595</v>
      </c>
      <c r="D11366" t="s">
        <v>19078</v>
      </c>
      <c r="E11366" t="s">
        <v>28840</v>
      </c>
      <c r="F11366" t="s">
        <v>32831</v>
      </c>
      <c r="G11366" t="s">
        <v>32839</v>
      </c>
      <c r="H11366" t="s">
        <v>32849</v>
      </c>
      <c r="I11366" t="s">
        <v>4177</v>
      </c>
      <c r="J11366" t="s">
        <v>39972</v>
      </c>
      <c r="K11366" t="s">
        <v>42798</v>
      </c>
      <c r="M11366" t="s">
        <v>46710</v>
      </c>
      <c r="N11366" t="s">
        <v>47424</v>
      </c>
      <c r="O11366" t="s">
        <v>47425</v>
      </c>
      <c r="P11366">
        <v>0</v>
      </c>
      <c r="Q11366">
        <v>0</v>
      </c>
      <c r="R11366" t="s">
        <v>47437</v>
      </c>
      <c r="S11366" t="s">
        <v>47706</v>
      </c>
      <c r="T11366" t="s">
        <v>49235</v>
      </c>
      <c r="U11366" t="s">
        <v>58981</v>
      </c>
      <c r="W11366" t="s">
        <v>46710</v>
      </c>
      <c r="X11366" t="s">
        <v>47438</v>
      </c>
    </row>
    <row r="11367" spans="1:24">
      <c r="A11367">
        <f>HYPERLINK("https://www.philgeps.gov.ph/GEPSNONPILOT/Tender/SplashBidNoticeAbstractUI.aspx?menuIndex=3&amp;refID=7147953&amp;Result=3","7147953")</f>
        <v>0</v>
      </c>
      <c r="B11367" t="s">
        <v>3383</v>
      </c>
      <c r="C11367" t="s">
        <v>14596</v>
      </c>
      <c r="D11367" t="s">
        <v>19088</v>
      </c>
      <c r="E11367" t="s">
        <v>19351</v>
      </c>
      <c r="F11367" t="s">
        <v>32831</v>
      </c>
      <c r="G11367" t="s">
        <v>32839</v>
      </c>
      <c r="H11367" t="s">
        <v>32849</v>
      </c>
      <c r="I11367" t="s">
        <v>4177</v>
      </c>
      <c r="J11367" t="s">
        <v>39973</v>
      </c>
      <c r="K11367" t="s">
        <v>42729</v>
      </c>
      <c r="M11367" t="s">
        <v>46711</v>
      </c>
      <c r="N11367" t="s">
        <v>47424</v>
      </c>
      <c r="O11367" t="s">
        <v>47425</v>
      </c>
      <c r="P11367">
        <v>0</v>
      </c>
      <c r="Q11367">
        <v>0</v>
      </c>
      <c r="R11367" t="s">
        <v>47437</v>
      </c>
      <c r="S11367" t="s">
        <v>47706</v>
      </c>
      <c r="T11367" t="s">
        <v>49198</v>
      </c>
      <c r="U11367" t="s">
        <v>58982</v>
      </c>
      <c r="W11367" t="s">
        <v>46711</v>
      </c>
      <c r="X11367" t="s">
        <v>47438</v>
      </c>
    </row>
    <row r="11368" spans="1:24">
      <c r="A11368">
        <f>HYPERLINK("https://www.philgeps.gov.ph/GEPSNONPILOT/Tender/SplashBidNoticeAbstractUI.aspx?menuIndex=3&amp;refID=7147945&amp;Result=3","7147945")</f>
        <v>0</v>
      </c>
      <c r="B11368" t="s">
        <v>3378</v>
      </c>
      <c r="C11368" t="s">
        <v>14570</v>
      </c>
      <c r="D11368" t="s">
        <v>19078</v>
      </c>
      <c r="E11368" t="s">
        <v>28841</v>
      </c>
      <c r="F11368" t="s">
        <v>32831</v>
      </c>
      <c r="G11368" t="s">
        <v>32839</v>
      </c>
      <c r="H11368" t="s">
        <v>32849</v>
      </c>
      <c r="I11368" t="s">
        <v>4177</v>
      </c>
      <c r="J11368" t="s">
        <v>39974</v>
      </c>
      <c r="K11368" t="s">
        <v>42760</v>
      </c>
      <c r="M11368" t="s">
        <v>46705</v>
      </c>
      <c r="N11368" t="s">
        <v>47424</v>
      </c>
      <c r="O11368" t="s">
        <v>47425</v>
      </c>
      <c r="P11368">
        <v>0</v>
      </c>
      <c r="Q11368">
        <v>0</v>
      </c>
      <c r="R11368" t="s">
        <v>47437</v>
      </c>
      <c r="S11368" t="s">
        <v>47706</v>
      </c>
      <c r="T11368" t="s">
        <v>49235</v>
      </c>
      <c r="U11368" t="s">
        <v>58983</v>
      </c>
      <c r="W11368" t="s">
        <v>46705</v>
      </c>
      <c r="X11368" t="s">
        <v>47438</v>
      </c>
    </row>
    <row r="11369" spans="1:24">
      <c r="A11369">
        <f>HYPERLINK("https://www.philgeps.gov.ph/GEPSNONPILOT/Tender/SplashBidNoticeAbstractUI.aspx?menuIndex=3&amp;refID=7147926&amp;Result=3","7147926")</f>
        <v>0</v>
      </c>
      <c r="B11369" t="s">
        <v>1301</v>
      </c>
      <c r="C11369" t="s">
        <v>14597</v>
      </c>
      <c r="D11369" t="s">
        <v>19052</v>
      </c>
      <c r="E11369" t="s">
        <v>28842</v>
      </c>
      <c r="F11369" t="s">
        <v>32831</v>
      </c>
      <c r="G11369" t="s">
        <v>32839</v>
      </c>
      <c r="H11369" t="s">
        <v>32849</v>
      </c>
      <c r="I11369" t="s">
        <v>4177</v>
      </c>
      <c r="J11369" t="s">
        <v>39975</v>
      </c>
      <c r="K11369" t="s">
        <v>42780</v>
      </c>
      <c r="M11369" t="s">
        <v>44371</v>
      </c>
      <c r="N11369" t="s">
        <v>47424</v>
      </c>
      <c r="O11369" t="s">
        <v>47425</v>
      </c>
      <c r="P11369">
        <v>0</v>
      </c>
      <c r="Q11369">
        <v>4</v>
      </c>
      <c r="R11369" t="s">
        <v>47437</v>
      </c>
      <c r="S11369" t="s">
        <v>47706</v>
      </c>
      <c r="T11369" t="s">
        <v>49173</v>
      </c>
      <c r="U11369" t="s">
        <v>58984</v>
      </c>
      <c r="V11369" t="s">
        <v>63883</v>
      </c>
      <c r="W11369" t="s">
        <v>44371</v>
      </c>
      <c r="X11369" t="s">
        <v>47438</v>
      </c>
    </row>
    <row r="11370" spans="1:24">
      <c r="A11370">
        <f>HYPERLINK("https://www.philgeps.gov.ph/GEPSNONPILOT/Tender/SplashBidNoticeAbstractUI.aspx?menuIndex=3&amp;refID=7148042&amp;Result=3","7148042")</f>
        <v>0</v>
      </c>
      <c r="B11370" t="s">
        <v>2833</v>
      </c>
      <c r="C11370" t="s">
        <v>14598</v>
      </c>
      <c r="D11370" t="s">
        <v>19073</v>
      </c>
      <c r="E11370" t="s">
        <v>28843</v>
      </c>
      <c r="F11370" t="s">
        <v>32831</v>
      </c>
      <c r="G11370" t="s">
        <v>32839</v>
      </c>
      <c r="H11370" t="s">
        <v>32849</v>
      </c>
      <c r="I11370" t="s">
        <v>4177</v>
      </c>
      <c r="J11370" t="s">
        <v>39976</v>
      </c>
      <c r="K11370" t="s">
        <v>42780</v>
      </c>
      <c r="M11370" t="s">
        <v>46712</v>
      </c>
      <c r="N11370" t="s">
        <v>47424</v>
      </c>
      <c r="O11370" t="s">
        <v>47425</v>
      </c>
      <c r="P11370">
        <v>0</v>
      </c>
      <c r="Q11370">
        <v>0</v>
      </c>
      <c r="R11370" t="s">
        <v>47437</v>
      </c>
      <c r="S11370" t="s">
        <v>47706</v>
      </c>
      <c r="T11370" t="s">
        <v>49143</v>
      </c>
      <c r="U11370" t="s">
        <v>58985</v>
      </c>
      <c r="W11370" t="s">
        <v>46712</v>
      </c>
      <c r="X11370" t="s">
        <v>47438</v>
      </c>
    </row>
    <row r="11371" spans="1:24">
      <c r="A11371">
        <f>HYPERLINK("https://www.philgeps.gov.ph/GEPSNONPILOT/Tender/SplashBidNoticeAbstractUI.aspx?menuIndex=3&amp;refID=7147978&amp;Result=3","7147978")</f>
        <v>0</v>
      </c>
      <c r="B11371" t="s">
        <v>27</v>
      </c>
      <c r="C11371" t="s">
        <v>14599</v>
      </c>
      <c r="D11371" t="s">
        <v>19020</v>
      </c>
      <c r="E11371" t="s">
        <v>28844</v>
      </c>
      <c r="F11371" t="s">
        <v>32831</v>
      </c>
      <c r="G11371" t="s">
        <v>32844</v>
      </c>
      <c r="H11371" t="s">
        <v>14069</v>
      </c>
      <c r="I11371" t="s">
        <v>14069</v>
      </c>
      <c r="J11371" t="s">
        <v>33083</v>
      </c>
      <c r="K11371" t="s">
        <v>42905</v>
      </c>
      <c r="M11371" t="s">
        <v>43728</v>
      </c>
      <c r="N11371" t="s">
        <v>47424</v>
      </c>
      <c r="O11371" t="s">
        <v>47425</v>
      </c>
      <c r="P11371">
        <v>0</v>
      </c>
      <c r="Q11371">
        <v>2</v>
      </c>
      <c r="R11371" t="s">
        <v>47437</v>
      </c>
      <c r="S11371" t="s">
        <v>47706</v>
      </c>
      <c r="T11371" t="s">
        <v>49091</v>
      </c>
      <c r="U11371" t="s">
        <v>58986</v>
      </c>
      <c r="V11371" t="s">
        <v>50828</v>
      </c>
      <c r="W11371" t="s">
        <v>43728</v>
      </c>
      <c r="X11371" t="s">
        <v>47438</v>
      </c>
    </row>
    <row r="11372" spans="1:24">
      <c r="A11372">
        <f>HYPERLINK("https://www.philgeps.gov.ph/GEPSNONPILOT/Tender/SplashBidNoticeAbstractUI.aspx?menuIndex=3&amp;refID=7148040&amp;Result=3","7148040")</f>
        <v>0</v>
      </c>
      <c r="B11372" t="s">
        <v>2833</v>
      </c>
      <c r="C11372" t="s">
        <v>14600</v>
      </c>
      <c r="D11372" t="s">
        <v>19073</v>
      </c>
      <c r="E11372" t="s">
        <v>28845</v>
      </c>
      <c r="F11372" t="s">
        <v>32831</v>
      </c>
      <c r="G11372" t="s">
        <v>32839</v>
      </c>
      <c r="H11372" t="s">
        <v>32849</v>
      </c>
      <c r="I11372" t="s">
        <v>4177</v>
      </c>
      <c r="J11372" t="s">
        <v>35331</v>
      </c>
      <c r="K11372" t="s">
        <v>42792</v>
      </c>
      <c r="M11372" t="s">
        <v>46712</v>
      </c>
      <c r="N11372" t="s">
        <v>47424</v>
      </c>
      <c r="O11372" t="s">
        <v>47425</v>
      </c>
      <c r="P11372">
        <v>0</v>
      </c>
      <c r="Q11372">
        <v>0</v>
      </c>
      <c r="R11372" t="s">
        <v>47437</v>
      </c>
      <c r="S11372" t="s">
        <v>47706</v>
      </c>
      <c r="T11372" t="s">
        <v>49143</v>
      </c>
      <c r="U11372" t="s">
        <v>58987</v>
      </c>
      <c r="W11372" t="s">
        <v>46712</v>
      </c>
      <c r="X11372" t="s">
        <v>47438</v>
      </c>
    </row>
    <row r="11373" spans="1:24">
      <c r="A11373">
        <f>HYPERLINK("https://www.philgeps.gov.ph/GEPSNONPILOT/Tender/SplashBidNoticeAbstractUI.aspx?menuIndex=3&amp;refID=7148022&amp;Result=3","7148022")</f>
        <v>0</v>
      </c>
      <c r="B11373" t="s">
        <v>3366</v>
      </c>
      <c r="C11373" t="s">
        <v>14601</v>
      </c>
      <c r="D11373" t="s">
        <v>19017</v>
      </c>
      <c r="E11373" t="s">
        <v>14601</v>
      </c>
      <c r="F11373" t="s">
        <v>32831</v>
      </c>
      <c r="G11373" t="s">
        <v>32839</v>
      </c>
      <c r="H11373" t="s">
        <v>32848</v>
      </c>
      <c r="I11373" t="s">
        <v>32874</v>
      </c>
      <c r="J11373" t="s">
        <v>39977</v>
      </c>
      <c r="K11373" t="s">
        <v>42730</v>
      </c>
      <c r="M11373" t="s">
        <v>46692</v>
      </c>
      <c r="N11373" t="s">
        <v>47424</v>
      </c>
      <c r="O11373" t="s">
        <v>47425</v>
      </c>
      <c r="P11373">
        <v>0</v>
      </c>
      <c r="Q11373">
        <v>6</v>
      </c>
      <c r="R11373" t="s">
        <v>47437</v>
      </c>
      <c r="S11373" t="s">
        <v>47706</v>
      </c>
      <c r="T11373" t="s">
        <v>49059</v>
      </c>
      <c r="U11373" t="s">
        <v>57952</v>
      </c>
      <c r="W11373" t="s">
        <v>46692</v>
      </c>
      <c r="X11373" t="s">
        <v>47438</v>
      </c>
    </row>
    <row r="11374" spans="1:24">
      <c r="A11374">
        <f>HYPERLINK("https://www.philgeps.gov.ph/GEPSNONPILOT/Tender/SplashBidNoticeAbstractUI.aspx?menuIndex=3&amp;refID=7148019&amp;Result=3","7148019")</f>
        <v>0</v>
      </c>
      <c r="B11374" t="s">
        <v>3366</v>
      </c>
      <c r="C11374" t="s">
        <v>14602</v>
      </c>
      <c r="D11374" t="s">
        <v>19017</v>
      </c>
      <c r="E11374" t="s">
        <v>14602</v>
      </c>
      <c r="F11374" t="s">
        <v>32831</v>
      </c>
      <c r="G11374" t="s">
        <v>32839</v>
      </c>
      <c r="H11374" t="s">
        <v>32848</v>
      </c>
      <c r="I11374" t="s">
        <v>32874</v>
      </c>
      <c r="J11374" t="s">
        <v>33118</v>
      </c>
      <c r="K11374" t="s">
        <v>42730</v>
      </c>
      <c r="M11374" t="s">
        <v>46692</v>
      </c>
      <c r="N11374" t="s">
        <v>47424</v>
      </c>
      <c r="O11374" t="s">
        <v>47425</v>
      </c>
      <c r="P11374">
        <v>0</v>
      </c>
      <c r="Q11374">
        <v>6</v>
      </c>
      <c r="R11374" t="s">
        <v>47437</v>
      </c>
      <c r="S11374" t="s">
        <v>47706</v>
      </c>
      <c r="T11374" t="s">
        <v>49059</v>
      </c>
      <c r="U11374" t="s">
        <v>57952</v>
      </c>
      <c r="W11374" t="s">
        <v>46692</v>
      </c>
      <c r="X11374" t="s">
        <v>47438</v>
      </c>
    </row>
    <row r="11375" spans="1:24">
      <c r="A11375">
        <f>HYPERLINK("https://www.philgeps.gov.ph/GEPSNONPILOT/Tender/SplashBidNoticeAbstractUI.aspx?menuIndex=3&amp;refID=7148018&amp;Result=3","7148018")</f>
        <v>0</v>
      </c>
      <c r="B11375" t="s">
        <v>2817</v>
      </c>
      <c r="C11375" t="s">
        <v>14603</v>
      </c>
      <c r="D11375" t="s">
        <v>19027</v>
      </c>
      <c r="E11375" t="s">
        <v>28846</v>
      </c>
      <c r="F11375" t="s">
        <v>32831</v>
      </c>
      <c r="G11375" t="s">
        <v>32839</v>
      </c>
      <c r="H11375" t="s">
        <v>32848</v>
      </c>
      <c r="I11375" t="s">
        <v>32911</v>
      </c>
      <c r="J11375" t="s">
        <v>33922</v>
      </c>
      <c r="K11375" t="s">
        <v>42759</v>
      </c>
      <c r="M11375" t="s">
        <v>46047</v>
      </c>
      <c r="N11375" t="s">
        <v>47424</v>
      </c>
      <c r="O11375" t="s">
        <v>47425</v>
      </c>
      <c r="P11375">
        <v>0</v>
      </c>
      <c r="Q11375">
        <v>0</v>
      </c>
      <c r="R11375" t="s">
        <v>47437</v>
      </c>
      <c r="S11375" t="s">
        <v>47706</v>
      </c>
      <c r="T11375" t="s">
        <v>49288</v>
      </c>
      <c r="U11375" t="s">
        <v>49907</v>
      </c>
      <c r="W11375" t="s">
        <v>46047</v>
      </c>
      <c r="X11375" t="s">
        <v>47438</v>
      </c>
    </row>
    <row r="11376" spans="1:24">
      <c r="A11376">
        <f>HYPERLINK("https://www.philgeps.gov.ph/GEPSNONPILOT/Tender/SplashBidNoticeAbstractUI.aspx?menuIndex=3&amp;refID=7148010&amp;Result=3","7148010")</f>
        <v>0</v>
      </c>
      <c r="B11376" t="s">
        <v>3366</v>
      </c>
      <c r="C11376" t="s">
        <v>14604</v>
      </c>
      <c r="D11376" t="s">
        <v>19017</v>
      </c>
      <c r="E11376" t="s">
        <v>14604</v>
      </c>
      <c r="F11376" t="s">
        <v>32831</v>
      </c>
      <c r="G11376" t="s">
        <v>32839</v>
      </c>
      <c r="H11376" t="s">
        <v>32848</v>
      </c>
      <c r="I11376" t="s">
        <v>32874</v>
      </c>
      <c r="J11376" t="s">
        <v>39978</v>
      </c>
      <c r="K11376" t="s">
        <v>42730</v>
      </c>
      <c r="M11376" t="s">
        <v>46692</v>
      </c>
      <c r="N11376" t="s">
        <v>47424</v>
      </c>
      <c r="O11376" t="s">
        <v>47425</v>
      </c>
      <c r="P11376">
        <v>0</v>
      </c>
      <c r="Q11376">
        <v>5</v>
      </c>
      <c r="R11376" t="s">
        <v>47437</v>
      </c>
      <c r="S11376" t="s">
        <v>47706</v>
      </c>
      <c r="T11376" t="s">
        <v>49059</v>
      </c>
      <c r="U11376" t="s">
        <v>57952</v>
      </c>
      <c r="W11376" t="s">
        <v>46692</v>
      </c>
      <c r="X11376" t="s">
        <v>47438</v>
      </c>
    </row>
    <row r="11377" spans="1:24">
      <c r="A11377">
        <f>HYPERLINK("https://www.philgeps.gov.ph/GEPSNONPILOT/Tender/SplashBidNoticeAbstractUI.aspx?menuIndex=3&amp;refID=7148006&amp;Result=3","7148006")</f>
        <v>0</v>
      </c>
      <c r="B11377" t="s">
        <v>3366</v>
      </c>
      <c r="C11377" t="s">
        <v>14605</v>
      </c>
      <c r="D11377" t="s">
        <v>19017</v>
      </c>
      <c r="E11377" t="s">
        <v>28847</v>
      </c>
      <c r="F11377" t="s">
        <v>32831</v>
      </c>
      <c r="G11377" t="s">
        <v>32839</v>
      </c>
      <c r="H11377" t="s">
        <v>32848</v>
      </c>
      <c r="I11377" t="s">
        <v>32874</v>
      </c>
      <c r="J11377" t="s">
        <v>39979</v>
      </c>
      <c r="K11377" t="s">
        <v>42730</v>
      </c>
      <c r="M11377" t="s">
        <v>46692</v>
      </c>
      <c r="N11377" t="s">
        <v>47424</v>
      </c>
      <c r="O11377" t="s">
        <v>47425</v>
      </c>
      <c r="P11377">
        <v>0</v>
      </c>
      <c r="Q11377">
        <v>3</v>
      </c>
      <c r="R11377" t="s">
        <v>47437</v>
      </c>
      <c r="S11377" t="s">
        <v>47706</v>
      </c>
      <c r="T11377" t="s">
        <v>49059</v>
      </c>
      <c r="U11377" t="s">
        <v>58951</v>
      </c>
      <c r="W11377" t="s">
        <v>46692</v>
      </c>
      <c r="X11377" t="s">
        <v>47438</v>
      </c>
    </row>
    <row r="11378" spans="1:24">
      <c r="A11378">
        <f>HYPERLINK("https://www.philgeps.gov.ph/GEPSNONPILOT/Tender/SplashBidNoticeAbstractUI.aspx?menuIndex=3&amp;refID=7148094&amp;Result=3","7148094")</f>
        <v>0</v>
      </c>
      <c r="B11378" t="s">
        <v>992</v>
      </c>
      <c r="C11378" t="s">
        <v>14606</v>
      </c>
      <c r="D11378" t="s">
        <v>19030</v>
      </c>
      <c r="E11378" t="s">
        <v>28848</v>
      </c>
      <c r="F11378" t="s">
        <v>32831</v>
      </c>
      <c r="G11378" t="s">
        <v>32839</v>
      </c>
      <c r="H11378" t="s">
        <v>32849</v>
      </c>
      <c r="I11378" t="s">
        <v>4177</v>
      </c>
      <c r="J11378" t="s">
        <v>33528</v>
      </c>
      <c r="K11378" t="s">
        <v>42770</v>
      </c>
      <c r="M11378" t="s">
        <v>44041</v>
      </c>
      <c r="N11378" t="s">
        <v>47424</v>
      </c>
      <c r="O11378" t="s">
        <v>47425</v>
      </c>
      <c r="P11378">
        <v>0</v>
      </c>
      <c r="Q11378">
        <v>2</v>
      </c>
      <c r="R11378" t="s">
        <v>47437</v>
      </c>
      <c r="S11378" t="s">
        <v>47706</v>
      </c>
      <c r="T11378" t="s">
        <v>49394</v>
      </c>
      <c r="U11378" t="s">
        <v>58988</v>
      </c>
      <c r="W11378" t="s">
        <v>44041</v>
      </c>
      <c r="X11378" t="s">
        <v>47438</v>
      </c>
    </row>
    <row r="11379" spans="1:24">
      <c r="A11379">
        <f>HYPERLINK("https://www.philgeps.gov.ph/GEPSNONPILOT/Tender/SplashBidNoticeAbstractUI.aspx?menuIndex=3&amp;refID=7148082&amp;Result=3","7148082")</f>
        <v>0</v>
      </c>
      <c r="B11379" t="s">
        <v>192</v>
      </c>
      <c r="C11379" t="s">
        <v>14607</v>
      </c>
      <c r="D11379" t="s">
        <v>19057</v>
      </c>
      <c r="E11379" t="s">
        <v>28849</v>
      </c>
      <c r="F11379" t="s">
        <v>32831</v>
      </c>
      <c r="G11379" t="s">
        <v>32839</v>
      </c>
      <c r="H11379" t="s">
        <v>32848</v>
      </c>
      <c r="I11379" t="s">
        <v>5667</v>
      </c>
      <c r="J11379" t="s">
        <v>39980</v>
      </c>
      <c r="K11379" t="s">
        <v>42870</v>
      </c>
      <c r="M11379" t="s">
        <v>43190</v>
      </c>
      <c r="N11379" t="s">
        <v>47424</v>
      </c>
      <c r="O11379" t="s">
        <v>47425</v>
      </c>
      <c r="P11379">
        <v>0</v>
      </c>
      <c r="Q11379">
        <v>8</v>
      </c>
      <c r="R11379" t="s">
        <v>47437</v>
      </c>
      <c r="S11379" t="s">
        <v>47706</v>
      </c>
      <c r="T11379" t="s">
        <v>49254</v>
      </c>
      <c r="U11379" t="s">
        <v>58989</v>
      </c>
      <c r="W11379" t="s">
        <v>43190</v>
      </c>
      <c r="X11379" t="s">
        <v>47438</v>
      </c>
    </row>
    <row r="11380" spans="1:24">
      <c r="A11380">
        <f>HYPERLINK("https://www.philgeps.gov.ph/GEPSNONPILOT/Tender/SplashBidNoticeAbstractUI.aspx?menuIndex=3&amp;refID=7148020&amp;Result=3","7148020")</f>
        <v>0</v>
      </c>
      <c r="B11380" t="s">
        <v>3366</v>
      </c>
      <c r="C11380" t="s">
        <v>14608</v>
      </c>
      <c r="D11380" t="s">
        <v>19017</v>
      </c>
      <c r="E11380" t="s">
        <v>14608</v>
      </c>
      <c r="F11380" t="s">
        <v>32831</v>
      </c>
      <c r="G11380" t="s">
        <v>32839</v>
      </c>
      <c r="H11380" t="s">
        <v>32848</v>
      </c>
      <c r="I11380" t="s">
        <v>32874</v>
      </c>
      <c r="J11380" t="s">
        <v>32978</v>
      </c>
      <c r="K11380" t="s">
        <v>42730</v>
      </c>
      <c r="M11380" t="s">
        <v>46692</v>
      </c>
      <c r="N11380" t="s">
        <v>47424</v>
      </c>
      <c r="O11380" t="s">
        <v>47425</v>
      </c>
      <c r="P11380">
        <v>0</v>
      </c>
      <c r="Q11380">
        <v>4</v>
      </c>
      <c r="R11380" t="s">
        <v>47437</v>
      </c>
      <c r="S11380" t="s">
        <v>47706</v>
      </c>
      <c r="T11380" t="s">
        <v>49059</v>
      </c>
      <c r="U11380" t="s">
        <v>57952</v>
      </c>
      <c r="W11380" t="s">
        <v>46692</v>
      </c>
      <c r="X11380" t="s">
        <v>47438</v>
      </c>
    </row>
    <row r="11381" spans="1:24">
      <c r="A11381">
        <f>HYPERLINK("https://www.philgeps.gov.ph/GEPSNONPILOT/Tender/SplashBidNoticeAbstractUI.aspx?menuIndex=3&amp;refID=7148068&amp;Result=3","7148068")</f>
        <v>0</v>
      </c>
      <c r="B11381" t="s">
        <v>2833</v>
      </c>
      <c r="C11381" t="s">
        <v>14609</v>
      </c>
      <c r="D11381" t="s">
        <v>19073</v>
      </c>
      <c r="E11381" t="s">
        <v>28850</v>
      </c>
      <c r="F11381" t="s">
        <v>32831</v>
      </c>
      <c r="G11381" t="s">
        <v>32839</v>
      </c>
      <c r="H11381" t="s">
        <v>32849</v>
      </c>
      <c r="I11381" t="s">
        <v>4177</v>
      </c>
      <c r="J11381" t="s">
        <v>35513</v>
      </c>
      <c r="K11381" t="s">
        <v>42757</v>
      </c>
      <c r="M11381" t="s">
        <v>46712</v>
      </c>
      <c r="N11381" t="s">
        <v>47424</v>
      </c>
      <c r="O11381" t="s">
        <v>47425</v>
      </c>
      <c r="Q11381">
        <v>0</v>
      </c>
      <c r="R11381" t="s">
        <v>47437</v>
      </c>
      <c r="S11381" t="s">
        <v>47789</v>
      </c>
      <c r="T11381" t="s">
        <v>49143</v>
      </c>
      <c r="U11381" t="s">
        <v>58990</v>
      </c>
      <c r="W11381" t="s">
        <v>46712</v>
      </c>
      <c r="X11381" t="s">
        <v>47438</v>
      </c>
    </row>
    <row r="11382" spans="1:24">
      <c r="A11382">
        <f>HYPERLINK("https://www.philgeps.gov.ph/GEPSNONPILOT/Tender/SplashBidNoticeAbstractUI.aspx?menuIndex=3&amp;refID=7148061&amp;Result=3","7148061")</f>
        <v>0</v>
      </c>
      <c r="B11382" t="s">
        <v>2833</v>
      </c>
      <c r="C11382" t="s">
        <v>14610</v>
      </c>
      <c r="D11382" t="s">
        <v>19073</v>
      </c>
      <c r="E11382" t="s">
        <v>28851</v>
      </c>
      <c r="F11382" t="s">
        <v>32831</v>
      </c>
      <c r="G11382" t="s">
        <v>32839</v>
      </c>
      <c r="H11382" t="s">
        <v>32849</v>
      </c>
      <c r="I11382" t="s">
        <v>4177</v>
      </c>
      <c r="J11382" t="s">
        <v>35538</v>
      </c>
      <c r="K11382" t="s">
        <v>42853</v>
      </c>
      <c r="M11382" t="s">
        <v>46712</v>
      </c>
      <c r="N11382" t="s">
        <v>47424</v>
      </c>
      <c r="O11382" t="s">
        <v>47425</v>
      </c>
      <c r="P11382">
        <v>0</v>
      </c>
      <c r="Q11382">
        <v>0</v>
      </c>
      <c r="R11382" t="s">
        <v>47437</v>
      </c>
      <c r="S11382" t="s">
        <v>47706</v>
      </c>
      <c r="T11382" t="s">
        <v>49143</v>
      </c>
      <c r="U11382" t="s">
        <v>58991</v>
      </c>
      <c r="W11382" t="s">
        <v>46712</v>
      </c>
      <c r="X11382" t="s">
        <v>47438</v>
      </c>
    </row>
    <row r="11383" spans="1:24">
      <c r="A11383">
        <f>HYPERLINK("https://www.philgeps.gov.ph/GEPSNONPILOT/Tender/SplashBidNoticeAbstractUI.aspx?menuIndex=3&amp;refID=7148060&amp;Result=3","7148060")</f>
        <v>0</v>
      </c>
      <c r="B11383" t="s">
        <v>2833</v>
      </c>
      <c r="C11383" t="s">
        <v>14611</v>
      </c>
      <c r="D11383" t="s">
        <v>19073</v>
      </c>
      <c r="E11383" t="s">
        <v>28852</v>
      </c>
      <c r="F11383" t="s">
        <v>32831</v>
      </c>
      <c r="G11383" t="s">
        <v>32839</v>
      </c>
      <c r="H11383" t="s">
        <v>32849</v>
      </c>
      <c r="I11383" t="s">
        <v>4177</v>
      </c>
      <c r="J11383" t="s">
        <v>35331</v>
      </c>
      <c r="K11383" t="s">
        <v>42792</v>
      </c>
      <c r="M11383" t="s">
        <v>46712</v>
      </c>
      <c r="N11383" t="s">
        <v>47424</v>
      </c>
      <c r="O11383" t="s">
        <v>47425</v>
      </c>
      <c r="P11383">
        <v>0</v>
      </c>
      <c r="Q11383">
        <v>0</v>
      </c>
      <c r="R11383" t="s">
        <v>47437</v>
      </c>
      <c r="S11383" t="s">
        <v>47706</v>
      </c>
      <c r="T11383" t="s">
        <v>49143</v>
      </c>
      <c r="U11383" t="s">
        <v>58992</v>
      </c>
      <c r="W11383" t="s">
        <v>46712</v>
      </c>
      <c r="X11383" t="s">
        <v>47438</v>
      </c>
    </row>
    <row r="11384" spans="1:24">
      <c r="A11384">
        <f>HYPERLINK("https://www.philgeps.gov.ph/GEPSNONPILOT/Tender/SplashBidNoticeAbstractUI.aspx?menuIndex=3&amp;refID=7148058&amp;Result=3","7148058")</f>
        <v>0</v>
      </c>
      <c r="B11384" t="s">
        <v>2833</v>
      </c>
      <c r="C11384" t="s">
        <v>14612</v>
      </c>
      <c r="D11384" t="s">
        <v>19073</v>
      </c>
      <c r="E11384" t="s">
        <v>28853</v>
      </c>
      <c r="F11384" t="s">
        <v>32831</v>
      </c>
      <c r="G11384" t="s">
        <v>32839</v>
      </c>
      <c r="H11384" t="s">
        <v>32849</v>
      </c>
      <c r="I11384" t="s">
        <v>4177</v>
      </c>
      <c r="J11384" t="s">
        <v>35538</v>
      </c>
      <c r="K11384" t="s">
        <v>42829</v>
      </c>
      <c r="M11384" t="s">
        <v>46712</v>
      </c>
      <c r="N11384" t="s">
        <v>47424</v>
      </c>
      <c r="O11384" t="s">
        <v>47425</v>
      </c>
      <c r="P11384">
        <v>0</v>
      </c>
      <c r="Q11384">
        <v>0</v>
      </c>
      <c r="R11384" t="s">
        <v>47437</v>
      </c>
      <c r="S11384" t="s">
        <v>47706</v>
      </c>
      <c r="T11384" t="s">
        <v>49143</v>
      </c>
      <c r="U11384" t="s">
        <v>58993</v>
      </c>
      <c r="W11384" t="s">
        <v>46712</v>
      </c>
      <c r="X11384" t="s">
        <v>47438</v>
      </c>
    </row>
    <row r="11385" spans="1:24">
      <c r="A11385">
        <f>HYPERLINK("https://www.philgeps.gov.ph/GEPSNONPILOT/Tender/SplashBidNoticeAbstractUI.aspx?menuIndex=3&amp;refID=7148073&amp;Result=3","7148073")</f>
        <v>0</v>
      </c>
      <c r="B11385" t="s">
        <v>272</v>
      </c>
      <c r="C11385" t="s">
        <v>14613</v>
      </c>
      <c r="D11385" t="s">
        <v>19077</v>
      </c>
      <c r="E11385" t="s">
        <v>28854</v>
      </c>
      <c r="F11385" t="s">
        <v>32831</v>
      </c>
      <c r="G11385" t="s">
        <v>32839</v>
      </c>
      <c r="H11385" t="s">
        <v>32849</v>
      </c>
      <c r="I11385" t="s">
        <v>4177</v>
      </c>
      <c r="J11385" t="s">
        <v>37430</v>
      </c>
      <c r="K11385" t="s">
        <v>42780</v>
      </c>
      <c r="M11385" t="s">
        <v>46713</v>
      </c>
      <c r="N11385" t="s">
        <v>47424</v>
      </c>
      <c r="O11385" t="s">
        <v>47425</v>
      </c>
      <c r="Q11385">
        <v>5</v>
      </c>
      <c r="R11385" t="s">
        <v>47437</v>
      </c>
      <c r="S11385" t="s">
        <v>47790</v>
      </c>
      <c r="T11385" t="s">
        <v>49142</v>
      </c>
      <c r="U11385" t="s">
        <v>58994</v>
      </c>
      <c r="V11385" t="s">
        <v>63884</v>
      </c>
      <c r="W11385" t="s">
        <v>46713</v>
      </c>
      <c r="X11385" t="s">
        <v>47438</v>
      </c>
    </row>
    <row r="11386" spans="1:24">
      <c r="A11386">
        <f>HYPERLINK("https://www.philgeps.gov.ph/GEPSNONPILOT/Tender/SplashBidNoticeAbstractUI.aspx?menuIndex=3&amp;refID=7131521&amp;Result=3","7131521")</f>
        <v>0</v>
      </c>
      <c r="B11386" t="s">
        <v>1684</v>
      </c>
      <c r="C11386" t="s">
        <v>14614</v>
      </c>
      <c r="D11386" t="s">
        <v>19022</v>
      </c>
      <c r="E11386" t="s">
        <v>28855</v>
      </c>
      <c r="F11386" t="s">
        <v>32831</v>
      </c>
      <c r="G11386" t="s">
        <v>32839</v>
      </c>
      <c r="H11386" t="s">
        <v>32848</v>
      </c>
      <c r="I11386" t="s">
        <v>32855</v>
      </c>
      <c r="J11386" t="s">
        <v>39981</v>
      </c>
      <c r="K11386" t="s">
        <v>42729</v>
      </c>
      <c r="M11386" t="s">
        <v>46714</v>
      </c>
      <c r="N11386" t="s">
        <v>47424</v>
      </c>
      <c r="O11386" t="s">
        <v>47425</v>
      </c>
      <c r="Q11386">
        <v>7</v>
      </c>
      <c r="R11386" t="s">
        <v>47438</v>
      </c>
      <c r="S11386" t="s">
        <v>47791</v>
      </c>
      <c r="T11386" t="s">
        <v>49069</v>
      </c>
      <c r="U11386" t="s">
        <v>58995</v>
      </c>
      <c r="W11386" t="s">
        <v>46714</v>
      </c>
      <c r="X11386" t="s">
        <v>47445</v>
      </c>
    </row>
    <row r="11387" spans="1:24">
      <c r="A11387">
        <f>HYPERLINK("https://www.philgeps.gov.ph/GEPSNONPILOT/Tender/SplashBidNoticeAbstractUI.aspx?menuIndex=3&amp;refID=7148065&amp;Result=3","7148065")</f>
        <v>0</v>
      </c>
      <c r="B11387" t="s">
        <v>2833</v>
      </c>
      <c r="C11387" t="s">
        <v>14615</v>
      </c>
      <c r="D11387" t="s">
        <v>19073</v>
      </c>
      <c r="E11387" t="s">
        <v>28856</v>
      </c>
      <c r="F11387" t="s">
        <v>32831</v>
      </c>
      <c r="G11387" t="s">
        <v>32839</v>
      </c>
      <c r="H11387" t="s">
        <v>32849</v>
      </c>
      <c r="I11387" t="s">
        <v>4177</v>
      </c>
      <c r="J11387" t="s">
        <v>39982</v>
      </c>
      <c r="K11387" t="s">
        <v>42861</v>
      </c>
      <c r="M11387" t="s">
        <v>46712</v>
      </c>
      <c r="N11387" t="s">
        <v>47424</v>
      </c>
      <c r="O11387" t="s">
        <v>47425</v>
      </c>
      <c r="Q11387">
        <v>0</v>
      </c>
      <c r="R11387" t="s">
        <v>47437</v>
      </c>
      <c r="S11387" t="s">
        <v>47792</v>
      </c>
      <c r="T11387" t="s">
        <v>49143</v>
      </c>
      <c r="U11387" t="s">
        <v>58996</v>
      </c>
      <c r="W11387" t="s">
        <v>46712</v>
      </c>
      <c r="X11387" t="s">
        <v>47438</v>
      </c>
    </row>
    <row r="11388" spans="1:24">
      <c r="A11388">
        <f>HYPERLINK("https://www.philgeps.gov.ph/GEPSNONPILOT/Tender/SplashBidNoticeAbstractUI.aspx?menuIndex=3&amp;refID=7125127&amp;Result=3","7125127")</f>
        <v>0</v>
      </c>
      <c r="B11388" t="s">
        <v>3384</v>
      </c>
      <c r="C11388" t="s">
        <v>14616</v>
      </c>
      <c r="D11388" t="s">
        <v>19037</v>
      </c>
      <c r="E11388" t="s">
        <v>25282</v>
      </c>
      <c r="F11388" t="s">
        <v>32831</v>
      </c>
      <c r="G11388" t="s">
        <v>32839</v>
      </c>
      <c r="H11388" t="s">
        <v>32849</v>
      </c>
      <c r="I11388" t="s">
        <v>4177</v>
      </c>
      <c r="J11388" t="s">
        <v>33111</v>
      </c>
      <c r="K11388" t="s">
        <v>42763</v>
      </c>
      <c r="M11388" t="s">
        <v>46715</v>
      </c>
      <c r="N11388" t="s">
        <v>47424</v>
      </c>
      <c r="O11388" t="s">
        <v>47425</v>
      </c>
      <c r="P11388">
        <v>0</v>
      </c>
      <c r="Q11388">
        <v>3</v>
      </c>
      <c r="R11388" t="s">
        <v>47438</v>
      </c>
      <c r="S11388" t="s">
        <v>47793</v>
      </c>
      <c r="T11388" t="s">
        <v>49057</v>
      </c>
      <c r="U11388" t="s">
        <v>58997</v>
      </c>
      <c r="W11388" t="s">
        <v>46715</v>
      </c>
      <c r="X11388" t="s">
        <v>47447</v>
      </c>
    </row>
    <row r="11389" spans="1:24">
      <c r="A11389">
        <f>HYPERLINK("https://www.philgeps.gov.ph/GEPSNONPILOT/Tender/SplashBidNoticeAbstractUI.aspx?menuIndex=3&amp;refID=7148103&amp;Result=3","7148103")</f>
        <v>0</v>
      </c>
      <c r="B11389" t="s">
        <v>1118</v>
      </c>
      <c r="C11389" t="s">
        <v>14617</v>
      </c>
      <c r="D11389" t="s">
        <v>19060</v>
      </c>
      <c r="E11389" t="s">
        <v>28857</v>
      </c>
      <c r="F11389" t="s">
        <v>32831</v>
      </c>
      <c r="G11389" t="s">
        <v>32841</v>
      </c>
      <c r="H11389" t="s">
        <v>32848</v>
      </c>
      <c r="I11389" t="s">
        <v>7416</v>
      </c>
      <c r="J11389" t="s">
        <v>39983</v>
      </c>
      <c r="K11389" t="s">
        <v>42726</v>
      </c>
      <c r="M11389" t="s">
        <v>44178</v>
      </c>
      <c r="N11389" t="s">
        <v>47424</v>
      </c>
      <c r="O11389" t="s">
        <v>47425</v>
      </c>
      <c r="P11389">
        <v>0</v>
      </c>
      <c r="Q11389">
        <v>0</v>
      </c>
      <c r="R11389" t="s">
        <v>47437</v>
      </c>
      <c r="S11389" t="s">
        <v>47706</v>
      </c>
      <c r="T11389" t="s">
        <v>49166</v>
      </c>
      <c r="U11389" t="s">
        <v>58998</v>
      </c>
      <c r="W11389" t="s">
        <v>44178</v>
      </c>
      <c r="X11389" t="s">
        <v>47438</v>
      </c>
    </row>
    <row r="11390" spans="1:24">
      <c r="A11390">
        <f>HYPERLINK("https://www.philgeps.gov.ph/GEPSNONPILOT/Tender/SplashBidNoticeAbstractUI.aspx?menuIndex=3&amp;refID=7148101&amp;Result=3","7148101")</f>
        <v>0</v>
      </c>
      <c r="B11390" t="s">
        <v>992</v>
      </c>
      <c r="C11390" t="s">
        <v>14618</v>
      </c>
      <c r="D11390" t="s">
        <v>19030</v>
      </c>
      <c r="E11390" t="s">
        <v>28858</v>
      </c>
      <c r="F11390" t="s">
        <v>32831</v>
      </c>
      <c r="G11390" t="s">
        <v>32839</v>
      </c>
      <c r="H11390" t="s">
        <v>32848</v>
      </c>
      <c r="I11390" t="s">
        <v>7751</v>
      </c>
      <c r="J11390" t="s">
        <v>33257</v>
      </c>
      <c r="K11390" t="s">
        <v>42747</v>
      </c>
      <c r="M11390" t="s">
        <v>44041</v>
      </c>
      <c r="N11390" t="s">
        <v>47424</v>
      </c>
      <c r="O11390" t="s">
        <v>47425</v>
      </c>
      <c r="P11390">
        <v>0</v>
      </c>
      <c r="Q11390">
        <v>5</v>
      </c>
      <c r="R11390" t="s">
        <v>47437</v>
      </c>
      <c r="S11390" t="s">
        <v>47706</v>
      </c>
      <c r="T11390" t="s">
        <v>49394</v>
      </c>
      <c r="U11390" t="s">
        <v>58999</v>
      </c>
      <c r="W11390" t="s">
        <v>44041</v>
      </c>
      <c r="X11390" t="s">
        <v>47438</v>
      </c>
    </row>
    <row r="11391" spans="1:24">
      <c r="A11391">
        <f>HYPERLINK("https://www.philgeps.gov.ph/GEPSNONPILOT/Tender/SplashBidNoticeAbstractUI.aspx?menuIndex=3&amp;refID=7100313-2&amp;Result=3","7100313-2")</f>
        <v>0</v>
      </c>
      <c r="B11391" t="s">
        <v>3385</v>
      </c>
      <c r="C11391" t="s">
        <v>14619</v>
      </c>
      <c r="D11391" t="s">
        <v>19036</v>
      </c>
      <c r="E11391" t="s">
        <v>26784</v>
      </c>
      <c r="F11391" t="s">
        <v>32831</v>
      </c>
      <c r="G11391" t="s">
        <v>32839</v>
      </c>
      <c r="H11391" t="s">
        <v>32848</v>
      </c>
      <c r="I11391" t="s">
        <v>7751</v>
      </c>
      <c r="J11391" t="s">
        <v>33012</v>
      </c>
      <c r="K11391" t="s">
        <v>42730</v>
      </c>
      <c r="M11391" t="s">
        <v>46716</v>
      </c>
      <c r="N11391" t="s">
        <v>47424</v>
      </c>
      <c r="O11391" t="s">
        <v>47425</v>
      </c>
      <c r="P11391">
        <v>0</v>
      </c>
      <c r="Q11391">
        <v>0</v>
      </c>
      <c r="R11391" t="s">
        <v>47438</v>
      </c>
      <c r="S11391" t="s">
        <v>47793</v>
      </c>
      <c r="T11391" t="s">
        <v>49122</v>
      </c>
      <c r="U11391" t="s">
        <v>59000</v>
      </c>
      <c r="V11391" t="s">
        <v>63885</v>
      </c>
      <c r="W11391" t="s">
        <v>46716</v>
      </c>
      <c r="X11391" t="s">
        <v>47439</v>
      </c>
    </row>
    <row r="11392" spans="1:24">
      <c r="A11392">
        <f>HYPERLINK("https://www.philgeps.gov.ph/GEPSNONPILOT/Tender/SplashBidNoticeAbstractUI.aspx?menuIndex=3&amp;refID=7148057&amp;Result=3","7148057")</f>
        <v>0</v>
      </c>
      <c r="B11392" t="s">
        <v>2833</v>
      </c>
      <c r="C11392" t="s">
        <v>14620</v>
      </c>
      <c r="D11392" t="s">
        <v>19073</v>
      </c>
      <c r="E11392" t="s">
        <v>28859</v>
      </c>
      <c r="F11392" t="s">
        <v>32831</v>
      </c>
      <c r="G11392" t="s">
        <v>32839</v>
      </c>
      <c r="H11392" t="s">
        <v>32849</v>
      </c>
      <c r="I11392" t="s">
        <v>4177</v>
      </c>
      <c r="J11392" t="s">
        <v>34578</v>
      </c>
      <c r="K11392" t="s">
        <v>42770</v>
      </c>
      <c r="M11392" t="s">
        <v>46712</v>
      </c>
      <c r="N11392" t="s">
        <v>47424</v>
      </c>
      <c r="O11392" t="s">
        <v>47425</v>
      </c>
      <c r="P11392">
        <v>0</v>
      </c>
      <c r="Q11392">
        <v>0</v>
      </c>
      <c r="R11392" t="s">
        <v>47437</v>
      </c>
      <c r="S11392" t="s">
        <v>47706</v>
      </c>
      <c r="T11392" t="s">
        <v>49143</v>
      </c>
      <c r="U11392" t="s">
        <v>59001</v>
      </c>
      <c r="W11392" t="s">
        <v>46712</v>
      </c>
      <c r="X11392" t="s">
        <v>47438</v>
      </c>
    </row>
    <row r="11393" spans="1:24">
      <c r="A11393">
        <f>HYPERLINK("https://www.philgeps.gov.ph/GEPSNONPILOT/Tender/SplashBidNoticeAbstractUI.aspx?menuIndex=3&amp;refID=7148008&amp;Result=3","7148008")</f>
        <v>0</v>
      </c>
      <c r="B11393" t="s">
        <v>3366</v>
      </c>
      <c r="C11393" t="s">
        <v>14621</v>
      </c>
      <c r="D11393" t="s">
        <v>19017</v>
      </c>
      <c r="E11393" t="s">
        <v>14621</v>
      </c>
      <c r="F11393" t="s">
        <v>32831</v>
      </c>
      <c r="G11393" t="s">
        <v>32839</v>
      </c>
      <c r="H11393" t="s">
        <v>32848</v>
      </c>
      <c r="I11393" t="s">
        <v>32874</v>
      </c>
      <c r="J11393" t="s">
        <v>33111</v>
      </c>
      <c r="K11393" t="s">
        <v>42730</v>
      </c>
      <c r="M11393" t="s">
        <v>46692</v>
      </c>
      <c r="N11393" t="s">
        <v>47424</v>
      </c>
      <c r="O11393" t="s">
        <v>47425</v>
      </c>
      <c r="P11393">
        <v>0</v>
      </c>
      <c r="Q11393">
        <v>6</v>
      </c>
      <c r="R11393" t="s">
        <v>47437</v>
      </c>
      <c r="S11393" t="s">
        <v>47706</v>
      </c>
      <c r="T11393" t="s">
        <v>49059</v>
      </c>
      <c r="U11393" t="s">
        <v>57952</v>
      </c>
      <c r="W11393" t="s">
        <v>46692</v>
      </c>
      <c r="X11393" t="s">
        <v>47438</v>
      </c>
    </row>
    <row r="11394" spans="1:24">
      <c r="A11394">
        <f>HYPERLINK("https://www.philgeps.gov.ph/GEPSNONPILOT/Tender/SplashBidNoticeAbstractUI.aspx?menuIndex=3&amp;refID=7148053&amp;Result=3","7148053")</f>
        <v>0</v>
      </c>
      <c r="B11394" t="s">
        <v>2833</v>
      </c>
      <c r="C11394" t="s">
        <v>14622</v>
      </c>
      <c r="D11394" t="s">
        <v>19073</v>
      </c>
      <c r="E11394" t="s">
        <v>28860</v>
      </c>
      <c r="F11394" t="s">
        <v>32831</v>
      </c>
      <c r="G11394" t="s">
        <v>32839</v>
      </c>
      <c r="H11394" t="s">
        <v>32849</v>
      </c>
      <c r="I11394" t="s">
        <v>4177</v>
      </c>
      <c r="J11394" t="s">
        <v>39984</v>
      </c>
      <c r="K11394" t="s">
        <v>42757</v>
      </c>
      <c r="M11394" t="s">
        <v>46712</v>
      </c>
      <c r="N11394" t="s">
        <v>47424</v>
      </c>
      <c r="O11394" t="s">
        <v>47425</v>
      </c>
      <c r="P11394">
        <v>0</v>
      </c>
      <c r="Q11394">
        <v>1</v>
      </c>
      <c r="R11394" t="s">
        <v>47437</v>
      </c>
      <c r="S11394" t="s">
        <v>47706</v>
      </c>
      <c r="T11394" t="s">
        <v>49143</v>
      </c>
      <c r="U11394" t="s">
        <v>59002</v>
      </c>
      <c r="W11394" t="s">
        <v>46712</v>
      </c>
      <c r="X11394" t="s">
        <v>47438</v>
      </c>
    </row>
    <row r="11395" spans="1:24">
      <c r="A11395">
        <f>HYPERLINK("https://www.philgeps.gov.ph/GEPSNONPILOT/Tender/SplashBidNoticeAbstractUI.aspx?menuIndex=3&amp;refID=7148051&amp;Result=3","7148051")</f>
        <v>0</v>
      </c>
      <c r="B11395" t="s">
        <v>2833</v>
      </c>
      <c r="C11395" t="s">
        <v>14623</v>
      </c>
      <c r="D11395" t="s">
        <v>19073</v>
      </c>
      <c r="E11395" t="s">
        <v>28861</v>
      </c>
      <c r="F11395" t="s">
        <v>32831</v>
      </c>
      <c r="G11395" t="s">
        <v>32839</v>
      </c>
      <c r="H11395" t="s">
        <v>32849</v>
      </c>
      <c r="I11395" t="s">
        <v>4177</v>
      </c>
      <c r="J11395" t="s">
        <v>39985</v>
      </c>
      <c r="K11395" t="s">
        <v>42932</v>
      </c>
      <c r="M11395" t="s">
        <v>46712</v>
      </c>
      <c r="N11395" t="s">
        <v>47424</v>
      </c>
      <c r="O11395" t="s">
        <v>47425</v>
      </c>
      <c r="P11395">
        <v>0</v>
      </c>
      <c r="Q11395">
        <v>1</v>
      </c>
      <c r="R11395" t="s">
        <v>47437</v>
      </c>
      <c r="S11395" t="s">
        <v>47706</v>
      </c>
      <c r="T11395" t="s">
        <v>49143</v>
      </c>
      <c r="U11395" t="s">
        <v>59003</v>
      </c>
      <c r="W11395" t="s">
        <v>46712</v>
      </c>
      <c r="X11395" t="s">
        <v>47438</v>
      </c>
    </row>
    <row r="11396" spans="1:24">
      <c r="A11396">
        <f>HYPERLINK("https://www.philgeps.gov.ph/GEPSNONPILOT/Tender/SplashBidNoticeAbstractUI.aspx?menuIndex=3&amp;refID=7135683&amp;Result=3","7135683")</f>
        <v>0</v>
      </c>
      <c r="B11396" t="s">
        <v>3386</v>
      </c>
      <c r="C11396" t="s">
        <v>14624</v>
      </c>
      <c r="E11396" t="s">
        <v>28862</v>
      </c>
      <c r="F11396" t="s">
        <v>32831</v>
      </c>
      <c r="G11396" t="s">
        <v>32839</v>
      </c>
      <c r="H11396" t="s">
        <v>32848</v>
      </c>
      <c r="I11396" t="s">
        <v>7416</v>
      </c>
      <c r="J11396" t="s">
        <v>39986</v>
      </c>
      <c r="K11396" t="s">
        <v>42730</v>
      </c>
      <c r="M11396" t="s">
        <v>46717</v>
      </c>
      <c r="N11396" t="s">
        <v>47424</v>
      </c>
      <c r="O11396" t="s">
        <v>47425</v>
      </c>
      <c r="Q11396">
        <v>5</v>
      </c>
      <c r="R11396" t="s">
        <v>47438</v>
      </c>
      <c r="S11396" t="s">
        <v>47794</v>
      </c>
      <c r="T11396" t="s">
        <v>49211</v>
      </c>
      <c r="U11396" t="s">
        <v>59004</v>
      </c>
      <c r="W11396" t="s">
        <v>46717</v>
      </c>
      <c r="X11396" t="s">
        <v>47443</v>
      </c>
    </row>
    <row r="11397" spans="1:24">
      <c r="A11397">
        <f>HYPERLINK("https://www.philgeps.gov.ph/GEPSNONPILOT/Tender/SplashBidNoticeAbstractUI.aspx?menuIndex=3&amp;refID=7135624&amp;Result=3","7135624")</f>
        <v>0</v>
      </c>
      <c r="B11397" t="s">
        <v>3387</v>
      </c>
      <c r="C11397" t="s">
        <v>14625</v>
      </c>
      <c r="D11397" t="s">
        <v>19090</v>
      </c>
      <c r="E11397" t="s">
        <v>20384</v>
      </c>
      <c r="F11397" t="s">
        <v>32831</v>
      </c>
      <c r="G11397" t="s">
        <v>32839</v>
      </c>
      <c r="H11397" t="s">
        <v>32849</v>
      </c>
      <c r="I11397" t="s">
        <v>4177</v>
      </c>
      <c r="J11397" t="s">
        <v>33055</v>
      </c>
      <c r="K11397" t="s">
        <v>42747</v>
      </c>
      <c r="M11397" t="s">
        <v>46718</v>
      </c>
      <c r="N11397" t="s">
        <v>47424</v>
      </c>
      <c r="O11397" t="s">
        <v>47425</v>
      </c>
      <c r="P11397">
        <v>0</v>
      </c>
      <c r="Q11397">
        <v>2</v>
      </c>
      <c r="R11397" t="s">
        <v>47438</v>
      </c>
      <c r="S11397" t="s">
        <v>47793</v>
      </c>
      <c r="T11397" t="s">
        <v>49198</v>
      </c>
      <c r="U11397" t="s">
        <v>59005</v>
      </c>
      <c r="W11397" t="s">
        <v>46718</v>
      </c>
      <c r="X11397" t="s">
        <v>47443</v>
      </c>
    </row>
    <row r="11398" spans="1:24">
      <c r="A11398">
        <f>HYPERLINK("https://www.philgeps.gov.ph/GEPSNONPILOT/Tender/SplashBidNoticeAbstractUI.aspx?menuIndex=3&amp;refID=7139081&amp;Result=3","7139081")</f>
        <v>0</v>
      </c>
      <c r="B11398" t="s">
        <v>104</v>
      </c>
      <c r="C11398" t="s">
        <v>14626</v>
      </c>
      <c r="E11398" t="s">
        <v>28863</v>
      </c>
      <c r="F11398" t="s">
        <v>32831</v>
      </c>
      <c r="G11398" t="s">
        <v>32839</v>
      </c>
      <c r="H11398" t="s">
        <v>32848</v>
      </c>
      <c r="I11398" t="s">
        <v>32857</v>
      </c>
      <c r="J11398" t="s">
        <v>35038</v>
      </c>
      <c r="K11398" t="s">
        <v>42732</v>
      </c>
      <c r="M11398" t="s">
        <v>46604</v>
      </c>
      <c r="N11398" t="s">
        <v>47424</v>
      </c>
      <c r="O11398" t="s">
        <v>47425</v>
      </c>
      <c r="P11398">
        <v>0</v>
      </c>
      <c r="Q11398">
        <v>1</v>
      </c>
      <c r="R11398" t="s">
        <v>47438</v>
      </c>
      <c r="S11398" t="s">
        <v>47793</v>
      </c>
      <c r="T11398" t="s">
        <v>49069</v>
      </c>
      <c r="U11398" t="s">
        <v>59006</v>
      </c>
      <c r="W11398" t="s">
        <v>46604</v>
      </c>
      <c r="X11398" t="s">
        <v>47440</v>
      </c>
    </row>
    <row r="11399" spans="1:24">
      <c r="A11399">
        <f>HYPERLINK("https://www.philgeps.gov.ph/GEPSNONPILOT/Tender/SplashBidNoticeAbstractUI.aspx?menuIndex=3&amp;refID=7136011&amp;Result=3","7136011")</f>
        <v>0</v>
      </c>
      <c r="B11399" t="s">
        <v>3371</v>
      </c>
      <c r="C11399" t="s">
        <v>14627</v>
      </c>
      <c r="D11399" t="s">
        <v>19049</v>
      </c>
      <c r="E11399" t="s">
        <v>28864</v>
      </c>
      <c r="F11399" t="s">
        <v>32831</v>
      </c>
      <c r="G11399" t="s">
        <v>32839</v>
      </c>
      <c r="H11399" t="s">
        <v>32848</v>
      </c>
      <c r="I11399" t="s">
        <v>4303</v>
      </c>
      <c r="J11399" t="s">
        <v>39987</v>
      </c>
      <c r="K11399" t="s">
        <v>42727</v>
      </c>
      <c r="M11399" t="s">
        <v>46698</v>
      </c>
      <c r="N11399" t="s">
        <v>47424</v>
      </c>
      <c r="O11399" t="s">
        <v>47425</v>
      </c>
      <c r="Q11399">
        <v>1</v>
      </c>
      <c r="R11399" t="s">
        <v>47438</v>
      </c>
      <c r="S11399" t="s">
        <v>47795</v>
      </c>
      <c r="T11399" t="s">
        <v>49592</v>
      </c>
      <c r="U11399" t="s">
        <v>59007</v>
      </c>
      <c r="W11399" t="s">
        <v>46698</v>
      </c>
      <c r="X11399" t="s">
        <v>47442</v>
      </c>
    </row>
    <row r="11400" spans="1:24">
      <c r="A11400">
        <f>HYPERLINK("https://www.philgeps.gov.ph/GEPSNONPILOT/Tender/SplashBidNoticeAbstractUI.aspx?menuIndex=3&amp;refID=7138965&amp;Result=3","7138965")</f>
        <v>0</v>
      </c>
      <c r="B11400" t="s">
        <v>83</v>
      </c>
      <c r="C11400" t="s">
        <v>14628</v>
      </c>
      <c r="D11400" t="s">
        <v>19038</v>
      </c>
      <c r="E11400" t="s">
        <v>28865</v>
      </c>
      <c r="F11400" t="s">
        <v>32831</v>
      </c>
      <c r="G11400" t="s">
        <v>32839</v>
      </c>
      <c r="H11400" t="s">
        <v>32849</v>
      </c>
      <c r="I11400" t="s">
        <v>4177</v>
      </c>
      <c r="J11400" t="s">
        <v>39988</v>
      </c>
      <c r="K11400" t="s">
        <v>42888</v>
      </c>
      <c r="M11400" t="s">
        <v>43080</v>
      </c>
      <c r="N11400" t="s">
        <v>47424</v>
      </c>
      <c r="O11400" t="s">
        <v>47425</v>
      </c>
      <c r="P11400">
        <v>0</v>
      </c>
      <c r="Q11400">
        <v>0</v>
      </c>
      <c r="R11400" t="s">
        <v>47438</v>
      </c>
      <c r="S11400" t="s">
        <v>47793</v>
      </c>
      <c r="T11400" t="s">
        <v>49120</v>
      </c>
      <c r="U11400" t="s">
        <v>59008</v>
      </c>
      <c r="W11400" t="s">
        <v>43080</v>
      </c>
      <c r="X11400" t="s">
        <v>47440</v>
      </c>
    </row>
    <row r="11401" spans="1:24">
      <c r="A11401">
        <f>HYPERLINK("https://www.philgeps.gov.ph/GEPSNONPILOT/Tender/SplashBidNoticeAbstractUI.aspx?menuIndex=3&amp;refID=7148097&amp;Result=3","7148097")</f>
        <v>0</v>
      </c>
      <c r="B11401" t="s">
        <v>992</v>
      </c>
      <c r="C11401" t="s">
        <v>14629</v>
      </c>
      <c r="D11401" t="s">
        <v>19030</v>
      </c>
      <c r="E11401" t="s">
        <v>28866</v>
      </c>
      <c r="F11401" t="s">
        <v>32831</v>
      </c>
      <c r="G11401" t="s">
        <v>32839</v>
      </c>
      <c r="H11401" t="s">
        <v>32848</v>
      </c>
      <c r="I11401" t="s">
        <v>7751</v>
      </c>
      <c r="J11401" t="s">
        <v>33083</v>
      </c>
      <c r="K11401" t="s">
        <v>42747</v>
      </c>
      <c r="M11401" t="s">
        <v>44041</v>
      </c>
      <c r="N11401" t="s">
        <v>47424</v>
      </c>
      <c r="O11401" t="s">
        <v>47425</v>
      </c>
      <c r="P11401">
        <v>0</v>
      </c>
      <c r="Q11401">
        <v>7</v>
      </c>
      <c r="R11401" t="s">
        <v>47437</v>
      </c>
      <c r="S11401" t="s">
        <v>47706</v>
      </c>
      <c r="T11401" t="s">
        <v>49394</v>
      </c>
      <c r="U11401" t="s">
        <v>59009</v>
      </c>
      <c r="W11401" t="s">
        <v>44041</v>
      </c>
      <c r="X11401" t="s">
        <v>47438</v>
      </c>
    </row>
    <row r="11402" spans="1:24">
      <c r="A11402">
        <f>HYPERLINK("https://www.philgeps.gov.ph/GEPSNONPILOT/Tender/SplashBidNoticeAbstractUI.aspx?menuIndex=3&amp;refID=7139202&amp;Result=3","7139202")</f>
        <v>0</v>
      </c>
      <c r="B11402" t="s">
        <v>1597</v>
      </c>
      <c r="C11402" t="s">
        <v>14630</v>
      </c>
      <c r="D11402" t="s">
        <v>19031</v>
      </c>
      <c r="E11402" t="s">
        <v>28867</v>
      </c>
      <c r="F11402" t="s">
        <v>32831</v>
      </c>
      <c r="G11402" t="s">
        <v>32839</v>
      </c>
      <c r="H11402" t="s">
        <v>32849</v>
      </c>
      <c r="I11402" t="s">
        <v>4177</v>
      </c>
      <c r="J11402" t="s">
        <v>39989</v>
      </c>
      <c r="K11402" t="s">
        <v>42727</v>
      </c>
      <c r="M11402" t="s">
        <v>44712</v>
      </c>
      <c r="N11402" t="s">
        <v>47424</v>
      </c>
      <c r="O11402" t="s">
        <v>47425</v>
      </c>
      <c r="P11402">
        <v>0</v>
      </c>
      <c r="Q11402">
        <v>0</v>
      </c>
      <c r="R11402" t="s">
        <v>47438</v>
      </c>
      <c r="S11402" t="s">
        <v>47793</v>
      </c>
      <c r="T11402" t="s">
        <v>49108</v>
      </c>
      <c r="U11402" t="s">
        <v>59010</v>
      </c>
      <c r="V11402" t="s">
        <v>63051</v>
      </c>
      <c r="W11402" t="s">
        <v>44712</v>
      </c>
      <c r="X11402" t="s">
        <v>47440</v>
      </c>
    </row>
    <row r="11403" spans="1:24">
      <c r="A11403">
        <f>HYPERLINK("https://www.philgeps.gov.ph/GEPSNONPILOT/Tender/SplashBidNoticeAbstractUI.aspx?menuIndex=3&amp;refID=7148048&amp;Result=3","7148048")</f>
        <v>0</v>
      </c>
      <c r="B11403" t="s">
        <v>2833</v>
      </c>
      <c r="C11403" t="s">
        <v>14631</v>
      </c>
      <c r="D11403" t="s">
        <v>19073</v>
      </c>
      <c r="E11403" t="s">
        <v>28868</v>
      </c>
      <c r="F11403" t="s">
        <v>32831</v>
      </c>
      <c r="G11403" t="s">
        <v>32839</v>
      </c>
      <c r="H11403" t="s">
        <v>32849</v>
      </c>
      <c r="I11403" t="s">
        <v>4177</v>
      </c>
      <c r="J11403" t="s">
        <v>39990</v>
      </c>
      <c r="K11403" t="s">
        <v>42757</v>
      </c>
      <c r="M11403" t="s">
        <v>46712</v>
      </c>
      <c r="N11403" t="s">
        <v>47424</v>
      </c>
      <c r="O11403" t="s">
        <v>47425</v>
      </c>
      <c r="P11403">
        <v>0</v>
      </c>
      <c r="Q11403">
        <v>2</v>
      </c>
      <c r="R11403" t="s">
        <v>47437</v>
      </c>
      <c r="S11403" t="s">
        <v>47706</v>
      </c>
      <c r="T11403" t="s">
        <v>49143</v>
      </c>
      <c r="U11403" t="s">
        <v>59011</v>
      </c>
      <c r="W11403" t="s">
        <v>46712</v>
      </c>
      <c r="X11403" t="s">
        <v>47438</v>
      </c>
    </row>
    <row r="11404" spans="1:24">
      <c r="A11404">
        <f>HYPERLINK("https://www.philgeps.gov.ph/GEPSNONPILOT/Tender/SplashBidNoticeAbstractUI.aspx?menuIndex=3&amp;refID=7139132&amp;Result=3","7139132")</f>
        <v>0</v>
      </c>
      <c r="B11404" t="s">
        <v>1017</v>
      </c>
      <c r="C11404" t="s">
        <v>14632</v>
      </c>
      <c r="D11404" t="s">
        <v>19083</v>
      </c>
      <c r="E11404" t="s">
        <v>28869</v>
      </c>
      <c r="F11404" t="s">
        <v>32831</v>
      </c>
      <c r="G11404" t="s">
        <v>32839</v>
      </c>
      <c r="H11404" t="s">
        <v>32849</v>
      </c>
      <c r="I11404" t="s">
        <v>4177</v>
      </c>
      <c r="J11404" t="s">
        <v>33528</v>
      </c>
      <c r="K11404" t="s">
        <v>42780</v>
      </c>
      <c r="M11404" t="s">
        <v>44067</v>
      </c>
      <c r="N11404" t="s">
        <v>47424</v>
      </c>
      <c r="O11404" t="s">
        <v>47425</v>
      </c>
      <c r="P11404">
        <v>0</v>
      </c>
      <c r="Q11404">
        <v>1</v>
      </c>
      <c r="R11404" t="s">
        <v>47438</v>
      </c>
      <c r="S11404" t="s">
        <v>47793</v>
      </c>
      <c r="T11404" t="s">
        <v>49066</v>
      </c>
      <c r="U11404" t="s">
        <v>59012</v>
      </c>
      <c r="W11404" t="s">
        <v>44067</v>
      </c>
      <c r="X11404" t="s">
        <v>47440</v>
      </c>
    </row>
    <row r="11405" spans="1:24">
      <c r="A11405">
        <f>HYPERLINK("https://www.philgeps.gov.ph/GEPSNONPILOT/Tender/SplashBidNoticeAbstractUI.aspx?menuIndex=3&amp;refID=7139117&amp;Result=3","7139117")</f>
        <v>0</v>
      </c>
      <c r="B11405" t="s">
        <v>307</v>
      </c>
      <c r="C11405" t="s">
        <v>14633</v>
      </c>
      <c r="D11405" t="s">
        <v>19078</v>
      </c>
      <c r="E11405" t="s">
        <v>28870</v>
      </c>
      <c r="F11405" t="s">
        <v>32831</v>
      </c>
      <c r="G11405" t="s">
        <v>32839</v>
      </c>
      <c r="H11405" t="s">
        <v>32849</v>
      </c>
      <c r="I11405" t="s">
        <v>4177</v>
      </c>
      <c r="J11405" t="s">
        <v>39991</v>
      </c>
      <c r="K11405" t="s">
        <v>42756</v>
      </c>
      <c r="M11405" t="s">
        <v>43308</v>
      </c>
      <c r="N11405" t="s">
        <v>47424</v>
      </c>
      <c r="O11405" t="s">
        <v>47425</v>
      </c>
      <c r="P11405">
        <v>0</v>
      </c>
      <c r="Q11405">
        <v>1</v>
      </c>
      <c r="R11405" t="s">
        <v>47438</v>
      </c>
      <c r="S11405" t="s">
        <v>47793</v>
      </c>
      <c r="T11405" t="s">
        <v>49080</v>
      </c>
      <c r="U11405" t="s">
        <v>59013</v>
      </c>
      <c r="W11405" t="s">
        <v>43308</v>
      </c>
      <c r="X11405" t="s">
        <v>47440</v>
      </c>
    </row>
    <row r="11406" spans="1:24">
      <c r="A11406">
        <f>HYPERLINK("https://www.philgeps.gov.ph/GEPSNONPILOT/Tender/SplashBidNoticeAbstractUI.aspx?menuIndex=3&amp;refID=7139092&amp;Result=3","7139092")</f>
        <v>0</v>
      </c>
      <c r="B11406" t="s">
        <v>104</v>
      </c>
      <c r="C11406" t="s">
        <v>14634</v>
      </c>
      <c r="E11406" t="s">
        <v>28871</v>
      </c>
      <c r="F11406" t="s">
        <v>32831</v>
      </c>
      <c r="G11406" t="s">
        <v>32839</v>
      </c>
      <c r="H11406" t="s">
        <v>32848</v>
      </c>
      <c r="I11406" t="s">
        <v>32857</v>
      </c>
      <c r="J11406" t="s">
        <v>35715</v>
      </c>
      <c r="K11406" t="s">
        <v>42732</v>
      </c>
      <c r="M11406" t="s">
        <v>46604</v>
      </c>
      <c r="N11406" t="s">
        <v>47424</v>
      </c>
      <c r="O11406" t="s">
        <v>47425</v>
      </c>
      <c r="P11406">
        <v>0</v>
      </c>
      <c r="Q11406">
        <v>1</v>
      </c>
      <c r="R11406" t="s">
        <v>47438</v>
      </c>
      <c r="S11406" t="s">
        <v>47793</v>
      </c>
      <c r="T11406" t="s">
        <v>49069</v>
      </c>
      <c r="U11406" t="s">
        <v>59014</v>
      </c>
      <c r="W11406" t="s">
        <v>46604</v>
      </c>
      <c r="X11406" t="s">
        <v>47440</v>
      </c>
    </row>
    <row r="11407" spans="1:24">
      <c r="A11407">
        <f>HYPERLINK("https://www.philgeps.gov.ph/GEPSNONPILOT/Tender/SplashBidNoticeAbstractUI.aspx?menuIndex=3&amp;refID=7138963&amp;Result=3","7138963")</f>
        <v>0</v>
      </c>
      <c r="B11407" t="s">
        <v>83</v>
      </c>
      <c r="C11407" t="s">
        <v>14635</v>
      </c>
      <c r="D11407" t="s">
        <v>19038</v>
      </c>
      <c r="E11407" t="s">
        <v>28872</v>
      </c>
      <c r="F11407" t="s">
        <v>32831</v>
      </c>
      <c r="G11407" t="s">
        <v>32839</v>
      </c>
      <c r="H11407" t="s">
        <v>32848</v>
      </c>
      <c r="I11407" t="s">
        <v>32862</v>
      </c>
      <c r="J11407" t="s">
        <v>39992</v>
      </c>
      <c r="K11407" t="s">
        <v>42730</v>
      </c>
      <c r="M11407" t="s">
        <v>43080</v>
      </c>
      <c r="N11407" t="s">
        <v>47424</v>
      </c>
      <c r="O11407" t="s">
        <v>47425</v>
      </c>
      <c r="P11407">
        <v>0</v>
      </c>
      <c r="Q11407">
        <v>0</v>
      </c>
      <c r="R11407" t="s">
        <v>47438</v>
      </c>
      <c r="S11407" t="s">
        <v>47793</v>
      </c>
      <c r="T11407" t="s">
        <v>49120</v>
      </c>
      <c r="U11407" t="s">
        <v>49780</v>
      </c>
      <c r="W11407" t="s">
        <v>43080</v>
      </c>
      <c r="X11407" t="s">
        <v>47440</v>
      </c>
    </row>
    <row r="11408" spans="1:24">
      <c r="A11408">
        <f>HYPERLINK("https://www.philgeps.gov.ph/GEPSNONPILOT/Tender/SplashBidNoticeAbstractUI.aspx?menuIndex=3&amp;refID=7138831&amp;Result=3","7138831")</f>
        <v>0</v>
      </c>
      <c r="B11408" t="s">
        <v>3042</v>
      </c>
      <c r="C11408" t="s">
        <v>14636</v>
      </c>
      <c r="D11408" t="s">
        <v>19018</v>
      </c>
      <c r="E11408" t="s">
        <v>19144</v>
      </c>
      <c r="F11408" t="s">
        <v>32831</v>
      </c>
      <c r="G11408" t="s">
        <v>32839</v>
      </c>
      <c r="H11408" t="s">
        <v>32848</v>
      </c>
      <c r="I11408" t="s">
        <v>7751</v>
      </c>
      <c r="J11408" t="s">
        <v>33794</v>
      </c>
      <c r="K11408" t="s">
        <v>42729</v>
      </c>
      <c r="M11408" t="s">
        <v>46315</v>
      </c>
      <c r="N11408" t="s">
        <v>47424</v>
      </c>
      <c r="O11408" t="s">
        <v>47425</v>
      </c>
      <c r="P11408">
        <v>0</v>
      </c>
      <c r="Q11408">
        <v>3</v>
      </c>
      <c r="R11408" t="s">
        <v>47438</v>
      </c>
      <c r="S11408" t="s">
        <v>47793</v>
      </c>
      <c r="T11408" t="s">
        <v>49172</v>
      </c>
      <c r="U11408" t="s">
        <v>59015</v>
      </c>
      <c r="V11408" t="s">
        <v>63886</v>
      </c>
      <c r="W11408" t="s">
        <v>46315</v>
      </c>
      <c r="X11408" t="s">
        <v>47441</v>
      </c>
    </row>
    <row r="11409" spans="1:24">
      <c r="A11409">
        <f>HYPERLINK("https://www.philgeps.gov.ph/GEPSNONPILOT/Tender/SplashBidNoticeAbstractUI.aspx?menuIndex=3&amp;refID=7139144&amp;Result=3","7139144")</f>
        <v>0</v>
      </c>
      <c r="B11409" t="s">
        <v>1597</v>
      </c>
      <c r="C11409" t="s">
        <v>14637</v>
      </c>
      <c r="D11409" t="s">
        <v>19031</v>
      </c>
      <c r="E11409" t="s">
        <v>28873</v>
      </c>
      <c r="F11409" t="s">
        <v>32831</v>
      </c>
      <c r="G11409" t="s">
        <v>32839</v>
      </c>
      <c r="H11409" t="s">
        <v>32849</v>
      </c>
      <c r="I11409" t="s">
        <v>4177</v>
      </c>
      <c r="J11409" t="s">
        <v>39993</v>
      </c>
      <c r="K11409" t="s">
        <v>42747</v>
      </c>
      <c r="M11409" t="s">
        <v>44712</v>
      </c>
      <c r="N11409" t="s">
        <v>47424</v>
      </c>
      <c r="O11409" t="s">
        <v>47425</v>
      </c>
      <c r="P11409">
        <v>0</v>
      </c>
      <c r="Q11409">
        <v>0</v>
      </c>
      <c r="R11409" t="s">
        <v>47438</v>
      </c>
      <c r="S11409" t="s">
        <v>47793</v>
      </c>
      <c r="T11409" t="s">
        <v>49056</v>
      </c>
      <c r="U11409" t="s">
        <v>59016</v>
      </c>
      <c r="V11409" t="s">
        <v>63051</v>
      </c>
      <c r="W11409" t="s">
        <v>44712</v>
      </c>
      <c r="X11409" t="s">
        <v>47440</v>
      </c>
    </row>
    <row r="11410" spans="1:24">
      <c r="A11410">
        <f>HYPERLINK("https://www.philgeps.gov.ph/GEPSNONPILOT/Tender/SplashBidNoticeAbstractUI.aspx?menuIndex=3&amp;refID=7139054&amp;Result=3","7139054")</f>
        <v>0</v>
      </c>
      <c r="B11410" t="s">
        <v>104</v>
      </c>
      <c r="C11410" t="s">
        <v>14638</v>
      </c>
      <c r="E11410" t="s">
        <v>28874</v>
      </c>
      <c r="F11410" t="s">
        <v>32831</v>
      </c>
      <c r="G11410" t="s">
        <v>32839</v>
      </c>
      <c r="H11410" t="s">
        <v>32848</v>
      </c>
      <c r="I11410" t="s">
        <v>32857</v>
      </c>
      <c r="J11410" t="s">
        <v>39994</v>
      </c>
      <c r="K11410" t="s">
        <v>42732</v>
      </c>
      <c r="M11410" t="s">
        <v>46604</v>
      </c>
      <c r="N11410" t="s">
        <v>47424</v>
      </c>
      <c r="O11410" t="s">
        <v>47425</v>
      </c>
      <c r="P11410">
        <v>0</v>
      </c>
      <c r="Q11410">
        <v>6</v>
      </c>
      <c r="R11410" t="s">
        <v>47438</v>
      </c>
      <c r="S11410" t="s">
        <v>47793</v>
      </c>
      <c r="T11410" t="s">
        <v>49069</v>
      </c>
      <c r="U11410" t="s">
        <v>59017</v>
      </c>
      <c r="W11410" t="s">
        <v>46604</v>
      </c>
      <c r="X11410" t="s">
        <v>47440</v>
      </c>
    </row>
    <row r="11411" spans="1:24">
      <c r="A11411">
        <f>HYPERLINK("https://www.philgeps.gov.ph/GEPSNONPILOT/Tender/SplashBidNoticeAbstractUI.aspx?menuIndex=3&amp;refID=7137895&amp;Result=3","7137895")</f>
        <v>0</v>
      </c>
      <c r="B11411" t="s">
        <v>2827</v>
      </c>
      <c r="C11411" t="s">
        <v>14639</v>
      </c>
      <c r="D11411" t="s">
        <v>19056</v>
      </c>
      <c r="E11411" t="s">
        <v>28875</v>
      </c>
      <c r="F11411" t="s">
        <v>32831</v>
      </c>
      <c r="G11411" t="s">
        <v>32839</v>
      </c>
      <c r="H11411" t="s">
        <v>32848</v>
      </c>
      <c r="I11411" t="s">
        <v>32857</v>
      </c>
      <c r="J11411" t="s">
        <v>39995</v>
      </c>
      <c r="K11411" t="s">
        <v>42732</v>
      </c>
      <c r="M11411" t="s">
        <v>46058</v>
      </c>
      <c r="N11411" t="s">
        <v>47424</v>
      </c>
      <c r="O11411" t="s">
        <v>47425</v>
      </c>
      <c r="Q11411">
        <v>44</v>
      </c>
      <c r="R11411" t="s">
        <v>47438</v>
      </c>
      <c r="S11411" t="s">
        <v>47796</v>
      </c>
      <c r="T11411" t="s">
        <v>49063</v>
      </c>
      <c r="U11411" t="s">
        <v>59018</v>
      </c>
      <c r="W11411" t="s">
        <v>46058</v>
      </c>
      <c r="X11411" t="s">
        <v>47441</v>
      </c>
    </row>
    <row r="11412" spans="1:24">
      <c r="A11412">
        <f>HYPERLINK("https://www.philgeps.gov.ph/GEPSNONPILOT/Tender/SplashBidNoticeAbstractUI.aspx?menuIndex=3&amp;refID=7137250&amp;Result=3","7137250")</f>
        <v>0</v>
      </c>
      <c r="B11412" t="s">
        <v>2292</v>
      </c>
      <c r="C11412" t="s">
        <v>14640</v>
      </c>
      <c r="D11412" t="s">
        <v>19083</v>
      </c>
      <c r="E11412" t="s">
        <v>28876</v>
      </c>
      <c r="F11412" t="s">
        <v>32831</v>
      </c>
      <c r="G11412" t="s">
        <v>32839</v>
      </c>
      <c r="H11412" t="s">
        <v>32849</v>
      </c>
      <c r="I11412" t="s">
        <v>4177</v>
      </c>
      <c r="J11412" t="s">
        <v>33111</v>
      </c>
      <c r="K11412" t="s">
        <v>42839</v>
      </c>
      <c r="M11412" t="s">
        <v>46506</v>
      </c>
      <c r="N11412" t="s">
        <v>47424</v>
      </c>
      <c r="O11412" t="s">
        <v>47425</v>
      </c>
      <c r="P11412">
        <v>0</v>
      </c>
      <c r="Q11412">
        <v>0</v>
      </c>
      <c r="R11412" t="s">
        <v>47438</v>
      </c>
      <c r="S11412" t="s">
        <v>47793</v>
      </c>
      <c r="T11412" t="s">
        <v>49057</v>
      </c>
      <c r="U11412" t="s">
        <v>59019</v>
      </c>
      <c r="V11412" t="s">
        <v>63887</v>
      </c>
      <c r="W11412" t="s">
        <v>46506</v>
      </c>
      <c r="X11412" t="s">
        <v>47441</v>
      </c>
    </row>
    <row r="11413" spans="1:24">
      <c r="A11413">
        <f>HYPERLINK("https://www.philgeps.gov.ph/GEPSNONPILOT/Tender/SplashBidNoticeAbstractUI.aspx?menuIndex=3&amp;refID=7137927&amp;Result=3","7137927")</f>
        <v>0</v>
      </c>
      <c r="B11413" t="s">
        <v>2827</v>
      </c>
      <c r="C11413" t="s">
        <v>14641</v>
      </c>
      <c r="D11413" t="s">
        <v>19056</v>
      </c>
      <c r="E11413" t="s">
        <v>28877</v>
      </c>
      <c r="F11413" t="s">
        <v>32831</v>
      </c>
      <c r="G11413" t="s">
        <v>32839</v>
      </c>
      <c r="H11413" t="s">
        <v>32848</v>
      </c>
      <c r="I11413" t="s">
        <v>7416</v>
      </c>
      <c r="J11413" t="s">
        <v>39996</v>
      </c>
      <c r="K11413" t="s">
        <v>42732</v>
      </c>
      <c r="M11413" t="s">
        <v>46058</v>
      </c>
      <c r="N11413" t="s">
        <v>47424</v>
      </c>
      <c r="O11413" t="s">
        <v>47425</v>
      </c>
      <c r="Q11413">
        <v>2</v>
      </c>
      <c r="R11413" t="s">
        <v>47438</v>
      </c>
      <c r="S11413" t="s">
        <v>47797</v>
      </c>
      <c r="T11413" t="s">
        <v>49063</v>
      </c>
      <c r="U11413" t="s">
        <v>59020</v>
      </c>
      <c r="W11413" t="s">
        <v>46058</v>
      </c>
      <c r="X11413" t="s">
        <v>47441</v>
      </c>
    </row>
    <row r="11414" spans="1:24">
      <c r="A11414">
        <f>HYPERLINK("https://www.philgeps.gov.ph/GEPSNONPILOT/Tender/SplashBidNoticeAbstractUI.aspx?menuIndex=3&amp;refID=7136948&amp;Result=3","7136948")</f>
        <v>0</v>
      </c>
      <c r="B11414" t="s">
        <v>3388</v>
      </c>
      <c r="C11414" t="s">
        <v>14642</v>
      </c>
      <c r="D11414" t="s">
        <v>19017</v>
      </c>
      <c r="E11414" t="s">
        <v>28878</v>
      </c>
      <c r="F11414" t="s">
        <v>32832</v>
      </c>
      <c r="G11414" t="s">
        <v>32839</v>
      </c>
      <c r="H11414" t="s">
        <v>32848</v>
      </c>
      <c r="I11414" t="s">
        <v>8577</v>
      </c>
      <c r="J11414" t="s">
        <v>39997</v>
      </c>
      <c r="K11414" t="s">
        <v>42750</v>
      </c>
      <c r="M11414" t="s">
        <v>46719</v>
      </c>
      <c r="N11414" t="s">
        <v>47424</v>
      </c>
      <c r="O11414" t="s">
        <v>47425</v>
      </c>
      <c r="P11414">
        <v>0</v>
      </c>
      <c r="Q11414">
        <v>3</v>
      </c>
      <c r="R11414" t="s">
        <v>47438</v>
      </c>
      <c r="S11414" t="s">
        <v>47793</v>
      </c>
      <c r="T11414" t="s">
        <v>49091</v>
      </c>
      <c r="U11414" t="s">
        <v>59021</v>
      </c>
      <c r="W11414" t="s">
        <v>46719</v>
      </c>
      <c r="X11414" t="s">
        <v>47441</v>
      </c>
    </row>
    <row r="11415" spans="1:24">
      <c r="A11415">
        <f>HYPERLINK("https://www.philgeps.gov.ph/GEPSNONPILOT/Tender/SplashBidNoticeAbstractUI.aspx?menuIndex=3&amp;refID=7137410&amp;Result=3","7137410")</f>
        <v>0</v>
      </c>
      <c r="B11415" t="s">
        <v>3389</v>
      </c>
      <c r="C11415" t="s">
        <v>14643</v>
      </c>
      <c r="D11415" t="s">
        <v>19058</v>
      </c>
      <c r="E11415" t="s">
        <v>22935</v>
      </c>
      <c r="F11415" t="s">
        <v>32831</v>
      </c>
      <c r="G11415" t="s">
        <v>32839</v>
      </c>
      <c r="H11415" t="s">
        <v>32848</v>
      </c>
      <c r="I11415" t="s">
        <v>4471</v>
      </c>
      <c r="J11415" t="s">
        <v>39998</v>
      </c>
      <c r="K11415" t="s">
        <v>42730</v>
      </c>
      <c r="M11415" t="s">
        <v>46720</v>
      </c>
      <c r="N11415" t="s">
        <v>47424</v>
      </c>
      <c r="O11415" t="s">
        <v>47425</v>
      </c>
      <c r="P11415">
        <v>0</v>
      </c>
      <c r="Q11415">
        <v>0</v>
      </c>
      <c r="R11415" t="s">
        <v>47438</v>
      </c>
      <c r="S11415" t="s">
        <v>47793</v>
      </c>
      <c r="T11415" t="s">
        <v>49142</v>
      </c>
      <c r="U11415" t="s">
        <v>59022</v>
      </c>
      <c r="W11415" t="s">
        <v>46720</v>
      </c>
      <c r="X11415" t="s">
        <v>47441</v>
      </c>
    </row>
    <row r="11416" spans="1:24">
      <c r="A11416">
        <f>HYPERLINK("https://www.philgeps.gov.ph/GEPSNONPILOT/Tender/SplashBidNoticeAbstractUI.aspx?menuIndex=3&amp;refID=7140122&amp;Result=3","7140122")</f>
        <v>0</v>
      </c>
      <c r="B11416" t="s">
        <v>2192</v>
      </c>
      <c r="C11416" t="s">
        <v>14644</v>
      </c>
      <c r="D11416" t="s">
        <v>19037</v>
      </c>
      <c r="E11416" t="s">
        <v>28879</v>
      </c>
      <c r="F11416" t="s">
        <v>32831</v>
      </c>
      <c r="G11416" t="s">
        <v>32839</v>
      </c>
      <c r="H11416" t="s">
        <v>32848</v>
      </c>
      <c r="I11416" t="s">
        <v>7751</v>
      </c>
      <c r="J11416" t="s">
        <v>34447</v>
      </c>
      <c r="K11416" t="s">
        <v>42729</v>
      </c>
      <c r="M11416" t="s">
        <v>45372</v>
      </c>
      <c r="N11416" t="s">
        <v>47424</v>
      </c>
      <c r="O11416" t="s">
        <v>47425</v>
      </c>
      <c r="P11416">
        <v>0</v>
      </c>
      <c r="Q11416">
        <v>6</v>
      </c>
      <c r="R11416" t="s">
        <v>47438</v>
      </c>
      <c r="S11416" t="s">
        <v>47793</v>
      </c>
      <c r="T11416" t="s">
        <v>49172</v>
      </c>
      <c r="U11416" t="s">
        <v>59023</v>
      </c>
      <c r="W11416" t="s">
        <v>45372</v>
      </c>
      <c r="X11416" t="s">
        <v>47440</v>
      </c>
    </row>
    <row r="11417" spans="1:24">
      <c r="A11417">
        <f>HYPERLINK("https://www.philgeps.gov.ph/GEPSNONPILOT/Tender/SplashBidNoticeAbstractUI.aspx?menuIndex=3&amp;refID=7140120&amp;Result=3","7140120")</f>
        <v>0</v>
      </c>
      <c r="B11417" t="s">
        <v>825</v>
      </c>
      <c r="C11417" t="s">
        <v>14645</v>
      </c>
      <c r="D11417" t="s">
        <v>19046</v>
      </c>
      <c r="E11417" t="s">
        <v>20014</v>
      </c>
      <c r="F11417" t="s">
        <v>32831</v>
      </c>
      <c r="G11417" t="s">
        <v>32839</v>
      </c>
      <c r="H11417" t="s">
        <v>32849</v>
      </c>
      <c r="I11417" t="s">
        <v>4177</v>
      </c>
      <c r="J11417" t="s">
        <v>39999</v>
      </c>
      <c r="K11417" t="s">
        <v>42770</v>
      </c>
      <c r="M11417" t="s">
        <v>43856</v>
      </c>
      <c r="N11417" t="s">
        <v>47424</v>
      </c>
      <c r="O11417" t="s">
        <v>47425</v>
      </c>
      <c r="Q11417">
        <v>1</v>
      </c>
      <c r="R11417" t="s">
        <v>47438</v>
      </c>
      <c r="S11417" t="s">
        <v>47798</v>
      </c>
      <c r="T11417" t="s">
        <v>49069</v>
      </c>
      <c r="U11417" t="s">
        <v>59024</v>
      </c>
      <c r="W11417" t="s">
        <v>43856</v>
      </c>
      <c r="X11417" t="s">
        <v>47440</v>
      </c>
    </row>
    <row r="11418" spans="1:24">
      <c r="A11418">
        <f>HYPERLINK("https://www.philgeps.gov.ph/GEPSNONPILOT/Tender/SplashBidNoticeAbstractUI.aspx?menuIndex=3&amp;refID=7140030&amp;Result=3","7140030")</f>
        <v>0</v>
      </c>
      <c r="B11418" t="s">
        <v>3390</v>
      </c>
      <c r="C11418" t="s">
        <v>14646</v>
      </c>
      <c r="D11418" t="s">
        <v>19079</v>
      </c>
      <c r="E11418" t="s">
        <v>28880</v>
      </c>
      <c r="F11418" t="s">
        <v>32831</v>
      </c>
      <c r="G11418" t="s">
        <v>32839</v>
      </c>
      <c r="H11418" t="s">
        <v>32849</v>
      </c>
      <c r="I11418" t="s">
        <v>4177</v>
      </c>
      <c r="J11418" t="s">
        <v>33044</v>
      </c>
      <c r="K11418" t="s">
        <v>42730</v>
      </c>
      <c r="M11418" t="s">
        <v>46721</v>
      </c>
      <c r="N11418" t="s">
        <v>47424</v>
      </c>
      <c r="O11418" t="s">
        <v>47425</v>
      </c>
      <c r="P11418">
        <v>0</v>
      </c>
      <c r="Q11418">
        <v>1</v>
      </c>
      <c r="R11418" t="s">
        <v>47438</v>
      </c>
      <c r="S11418" t="s">
        <v>47793</v>
      </c>
      <c r="T11418" t="s">
        <v>49242</v>
      </c>
      <c r="U11418" t="s">
        <v>59025</v>
      </c>
      <c r="W11418" t="s">
        <v>46721</v>
      </c>
      <c r="X11418" t="s">
        <v>47440</v>
      </c>
    </row>
    <row r="11419" spans="1:24">
      <c r="A11419">
        <f>HYPERLINK("https://www.philgeps.gov.ph/GEPSNONPILOT/Tender/SplashBidNoticeAbstractUI.aspx?menuIndex=3&amp;refID=7137954&amp;Result=3","7137954")</f>
        <v>0</v>
      </c>
      <c r="B11419" t="s">
        <v>1769</v>
      </c>
      <c r="C11419" t="s">
        <v>14647</v>
      </c>
      <c r="D11419" t="s">
        <v>19035</v>
      </c>
      <c r="E11419" t="s">
        <v>28881</v>
      </c>
      <c r="F11419" t="s">
        <v>32831</v>
      </c>
      <c r="G11419" t="s">
        <v>32839</v>
      </c>
      <c r="H11419" t="s">
        <v>32849</v>
      </c>
      <c r="I11419" t="s">
        <v>4177</v>
      </c>
      <c r="J11419" t="s">
        <v>34733</v>
      </c>
      <c r="K11419" t="s">
        <v>42780</v>
      </c>
      <c r="M11419" t="s">
        <v>44894</v>
      </c>
      <c r="N11419" t="s">
        <v>47424</v>
      </c>
      <c r="O11419" t="s">
        <v>47425</v>
      </c>
      <c r="P11419">
        <v>0</v>
      </c>
      <c r="Q11419">
        <v>1</v>
      </c>
      <c r="R11419" t="s">
        <v>47438</v>
      </c>
      <c r="S11419" t="s">
        <v>47793</v>
      </c>
      <c r="T11419" t="s">
        <v>49593</v>
      </c>
      <c r="U11419" t="s">
        <v>59026</v>
      </c>
      <c r="V11419" t="s">
        <v>63888</v>
      </c>
      <c r="W11419" t="s">
        <v>44894</v>
      </c>
      <c r="X11419" t="s">
        <v>47441</v>
      </c>
    </row>
    <row r="11420" spans="1:24">
      <c r="A11420">
        <f>HYPERLINK("https://www.philgeps.gov.ph/GEPSNONPILOT/Tender/SplashBidNoticeAbstractUI.aspx?menuIndex=3&amp;refID=7140074&amp;Result=3","7140074")</f>
        <v>0</v>
      </c>
      <c r="B11420" t="s">
        <v>2192</v>
      </c>
      <c r="C11420" t="s">
        <v>14648</v>
      </c>
      <c r="D11420" t="s">
        <v>19037</v>
      </c>
      <c r="E11420" t="s">
        <v>28882</v>
      </c>
      <c r="F11420" t="s">
        <v>32831</v>
      </c>
      <c r="G11420" t="s">
        <v>32839</v>
      </c>
      <c r="H11420" t="s">
        <v>32848</v>
      </c>
      <c r="I11420" t="s">
        <v>32856</v>
      </c>
      <c r="J11420" t="s">
        <v>40000</v>
      </c>
      <c r="K11420" t="s">
        <v>42729</v>
      </c>
      <c r="M11420" t="s">
        <v>45372</v>
      </c>
      <c r="N11420" t="s">
        <v>47424</v>
      </c>
      <c r="O11420" t="s">
        <v>47425</v>
      </c>
      <c r="Q11420">
        <v>4</v>
      </c>
      <c r="R11420" t="s">
        <v>47438</v>
      </c>
      <c r="S11420" t="s">
        <v>47799</v>
      </c>
      <c r="T11420" t="s">
        <v>49172</v>
      </c>
      <c r="U11420" t="s">
        <v>59027</v>
      </c>
      <c r="W11420" t="s">
        <v>45372</v>
      </c>
      <c r="X11420" t="s">
        <v>47440</v>
      </c>
    </row>
    <row r="11421" spans="1:24">
      <c r="A11421">
        <f>HYPERLINK("https://www.philgeps.gov.ph/GEPSNONPILOT/Tender/SplashBidNoticeAbstractUI.aspx?menuIndex=3&amp;refID=7139895&amp;Result=3","7139895")</f>
        <v>0</v>
      </c>
      <c r="B11421" t="s">
        <v>2418</v>
      </c>
      <c r="C11421" t="s">
        <v>14649</v>
      </c>
      <c r="D11421" t="s">
        <v>19027</v>
      </c>
      <c r="E11421" t="s">
        <v>28883</v>
      </c>
      <c r="F11421" t="s">
        <v>32831</v>
      </c>
      <c r="G11421" t="s">
        <v>32839</v>
      </c>
      <c r="H11421" t="s">
        <v>32849</v>
      </c>
      <c r="I11421" t="s">
        <v>4177</v>
      </c>
      <c r="J11421" t="s">
        <v>34530</v>
      </c>
      <c r="K11421" t="s">
        <v>42732</v>
      </c>
      <c r="M11421" t="s">
        <v>45613</v>
      </c>
      <c r="N11421" t="s">
        <v>47424</v>
      </c>
      <c r="O11421" t="s">
        <v>47425</v>
      </c>
      <c r="P11421">
        <v>0</v>
      </c>
      <c r="Q11421">
        <v>1</v>
      </c>
      <c r="R11421" t="s">
        <v>47438</v>
      </c>
      <c r="S11421" t="s">
        <v>47793</v>
      </c>
      <c r="T11421" t="s">
        <v>49122</v>
      </c>
      <c r="U11421" t="s">
        <v>59028</v>
      </c>
      <c r="V11421" t="s">
        <v>63379</v>
      </c>
      <c r="W11421" t="s">
        <v>45613</v>
      </c>
      <c r="X11421" t="s">
        <v>47440</v>
      </c>
    </row>
    <row r="11422" spans="1:24">
      <c r="A11422">
        <f>HYPERLINK("https://www.philgeps.gov.ph/GEPSNONPILOT/Tender/SplashBidNoticeAbstractUI.aspx?menuIndex=3&amp;refID=7139851&amp;Result=3","7139851")</f>
        <v>0</v>
      </c>
      <c r="B11422" t="s">
        <v>2418</v>
      </c>
      <c r="C11422" t="s">
        <v>14650</v>
      </c>
      <c r="D11422" t="s">
        <v>19027</v>
      </c>
      <c r="E11422" t="s">
        <v>28884</v>
      </c>
      <c r="F11422" t="s">
        <v>32831</v>
      </c>
      <c r="G11422" t="s">
        <v>32839</v>
      </c>
      <c r="H11422" t="s">
        <v>32849</v>
      </c>
      <c r="I11422" t="s">
        <v>4177</v>
      </c>
      <c r="J11422" t="s">
        <v>34530</v>
      </c>
      <c r="K11422" t="s">
        <v>42732</v>
      </c>
      <c r="M11422" t="s">
        <v>45613</v>
      </c>
      <c r="N11422" t="s">
        <v>47424</v>
      </c>
      <c r="O11422" t="s">
        <v>47425</v>
      </c>
      <c r="P11422">
        <v>0</v>
      </c>
      <c r="Q11422">
        <v>1</v>
      </c>
      <c r="R11422" t="s">
        <v>47438</v>
      </c>
      <c r="S11422" t="s">
        <v>47793</v>
      </c>
      <c r="T11422" t="s">
        <v>49122</v>
      </c>
      <c r="U11422" t="s">
        <v>59029</v>
      </c>
      <c r="V11422" t="s">
        <v>63379</v>
      </c>
      <c r="W11422" t="s">
        <v>45613</v>
      </c>
      <c r="X11422" t="s">
        <v>47440</v>
      </c>
    </row>
    <row r="11423" spans="1:24">
      <c r="A11423">
        <f>HYPERLINK("https://www.philgeps.gov.ph/GEPSNONPILOT/Tender/SplashBidNoticeAbstractUI.aspx?menuIndex=3&amp;refID=7139846&amp;Result=3","7139846")</f>
        <v>0</v>
      </c>
      <c r="B11423" t="s">
        <v>1597</v>
      </c>
      <c r="C11423" t="s">
        <v>14651</v>
      </c>
      <c r="D11423" t="s">
        <v>19031</v>
      </c>
      <c r="E11423" t="s">
        <v>28885</v>
      </c>
      <c r="F11423" t="s">
        <v>32831</v>
      </c>
      <c r="G11423" t="s">
        <v>32839</v>
      </c>
      <c r="H11423" t="s">
        <v>32848</v>
      </c>
      <c r="I11423" t="s">
        <v>4471</v>
      </c>
      <c r="J11423" t="s">
        <v>40001</v>
      </c>
      <c r="K11423" t="s">
        <v>42727</v>
      </c>
      <c r="M11423" t="s">
        <v>44719</v>
      </c>
      <c r="N11423" t="s">
        <v>47424</v>
      </c>
      <c r="O11423" t="s">
        <v>47425</v>
      </c>
      <c r="P11423">
        <v>0</v>
      </c>
      <c r="Q11423">
        <v>0</v>
      </c>
      <c r="R11423" t="s">
        <v>47438</v>
      </c>
      <c r="S11423" t="s">
        <v>47793</v>
      </c>
      <c r="T11423" t="s">
        <v>49108</v>
      </c>
      <c r="U11423" t="s">
        <v>59030</v>
      </c>
      <c r="V11423" t="s">
        <v>63051</v>
      </c>
      <c r="W11423" t="s">
        <v>44719</v>
      </c>
      <c r="X11423" t="s">
        <v>47440</v>
      </c>
    </row>
    <row r="11424" spans="1:24">
      <c r="A11424">
        <f>HYPERLINK("https://www.philgeps.gov.ph/GEPSNONPILOT/Tender/SplashBidNoticeAbstractUI.aspx?menuIndex=3&amp;refID=7139869&amp;Result=3","7139869")</f>
        <v>0</v>
      </c>
      <c r="B11424" t="s">
        <v>825</v>
      </c>
      <c r="C11424" t="s">
        <v>14652</v>
      </c>
      <c r="D11424" t="s">
        <v>19046</v>
      </c>
      <c r="E11424" t="s">
        <v>19995</v>
      </c>
      <c r="F11424" t="s">
        <v>32831</v>
      </c>
      <c r="G11424" t="s">
        <v>32839</v>
      </c>
      <c r="H11424" t="s">
        <v>32849</v>
      </c>
      <c r="I11424" t="s">
        <v>4177</v>
      </c>
      <c r="J11424" t="s">
        <v>40002</v>
      </c>
      <c r="K11424" t="s">
        <v>42770</v>
      </c>
      <c r="M11424" t="s">
        <v>43856</v>
      </c>
      <c r="N11424" t="s">
        <v>47424</v>
      </c>
      <c r="O11424" t="s">
        <v>47425</v>
      </c>
      <c r="P11424">
        <v>0</v>
      </c>
      <c r="Q11424">
        <v>1</v>
      </c>
      <c r="R11424" t="s">
        <v>47438</v>
      </c>
      <c r="S11424" t="s">
        <v>47793</v>
      </c>
      <c r="T11424" t="s">
        <v>49069</v>
      </c>
      <c r="U11424" t="s">
        <v>59024</v>
      </c>
      <c r="W11424" t="s">
        <v>43856</v>
      </c>
      <c r="X11424" t="s">
        <v>47440</v>
      </c>
    </row>
    <row r="11425" spans="1:24">
      <c r="A11425">
        <f>HYPERLINK("https://www.philgeps.gov.ph/GEPSNONPILOT/Tender/SplashBidNoticeAbstractUI.aspx?menuIndex=3&amp;refID=7139761&amp;Result=3","7139761")</f>
        <v>0</v>
      </c>
      <c r="B11425" t="s">
        <v>3391</v>
      </c>
      <c r="C11425" t="s">
        <v>14653</v>
      </c>
      <c r="D11425" t="s">
        <v>19077</v>
      </c>
      <c r="E11425" t="s">
        <v>28886</v>
      </c>
      <c r="F11425" t="s">
        <v>32831</v>
      </c>
      <c r="G11425" t="s">
        <v>32839</v>
      </c>
      <c r="H11425" t="s">
        <v>32848</v>
      </c>
      <c r="I11425" t="s">
        <v>7751</v>
      </c>
      <c r="J11425" t="s">
        <v>33083</v>
      </c>
      <c r="K11425" t="s">
        <v>42747</v>
      </c>
      <c r="M11425" t="s">
        <v>46722</v>
      </c>
      <c r="N11425" t="s">
        <v>47424</v>
      </c>
      <c r="O11425" t="s">
        <v>47425</v>
      </c>
      <c r="P11425">
        <v>0</v>
      </c>
      <c r="Q11425">
        <v>3</v>
      </c>
      <c r="R11425" t="s">
        <v>47438</v>
      </c>
      <c r="S11425" t="s">
        <v>47793</v>
      </c>
      <c r="T11425" t="s">
        <v>49196</v>
      </c>
      <c r="U11425" t="s">
        <v>59031</v>
      </c>
      <c r="V11425" t="s">
        <v>63889</v>
      </c>
      <c r="W11425" t="s">
        <v>46722</v>
      </c>
      <c r="X11425" t="s">
        <v>47440</v>
      </c>
    </row>
    <row r="11426" spans="1:24">
      <c r="A11426">
        <f>HYPERLINK("https://www.philgeps.gov.ph/GEPSNONPILOT/Tender/SplashBidNoticeAbstractUI.aspx?menuIndex=3&amp;refID=7139791&amp;Result=3","7139791")</f>
        <v>0</v>
      </c>
      <c r="B11426" t="s">
        <v>639</v>
      </c>
      <c r="C11426" t="s">
        <v>14654</v>
      </c>
      <c r="E11426" t="s">
        <v>28887</v>
      </c>
      <c r="F11426" t="s">
        <v>32831</v>
      </c>
      <c r="G11426" t="s">
        <v>32839</v>
      </c>
      <c r="H11426" t="s">
        <v>32848</v>
      </c>
      <c r="I11426" t="s">
        <v>4776</v>
      </c>
      <c r="J11426" t="s">
        <v>40003</v>
      </c>
      <c r="K11426" t="s">
        <v>42732</v>
      </c>
      <c r="M11426" t="s">
        <v>46723</v>
      </c>
      <c r="N11426" t="s">
        <v>47424</v>
      </c>
      <c r="O11426" t="s">
        <v>47425</v>
      </c>
      <c r="P11426">
        <v>0</v>
      </c>
      <c r="Q11426">
        <v>11</v>
      </c>
      <c r="R11426" t="s">
        <v>47438</v>
      </c>
      <c r="S11426" t="s">
        <v>47793</v>
      </c>
      <c r="T11426" t="s">
        <v>49172</v>
      </c>
      <c r="U11426" t="s">
        <v>59032</v>
      </c>
      <c r="W11426" t="s">
        <v>46723</v>
      </c>
      <c r="X11426" t="s">
        <v>47440</v>
      </c>
    </row>
    <row r="11427" spans="1:24">
      <c r="A11427">
        <f>HYPERLINK("https://www.philgeps.gov.ph/GEPSNONPILOT/Tender/SplashBidNoticeAbstractUI.aspx?menuIndex=3&amp;refID=7139730&amp;Result=3","7139730")</f>
        <v>0</v>
      </c>
      <c r="B11427" t="s">
        <v>2418</v>
      </c>
      <c r="C11427" t="s">
        <v>14655</v>
      </c>
      <c r="D11427" t="s">
        <v>19027</v>
      </c>
      <c r="E11427" t="s">
        <v>28888</v>
      </c>
      <c r="F11427" t="s">
        <v>32831</v>
      </c>
      <c r="G11427" t="s">
        <v>32839</v>
      </c>
      <c r="H11427" t="s">
        <v>32849</v>
      </c>
      <c r="I11427" t="s">
        <v>4177</v>
      </c>
      <c r="J11427" t="s">
        <v>36338</v>
      </c>
      <c r="K11427" t="s">
        <v>42732</v>
      </c>
      <c r="M11427" t="s">
        <v>45613</v>
      </c>
      <c r="N11427" t="s">
        <v>47424</v>
      </c>
      <c r="O11427" t="s">
        <v>47425</v>
      </c>
      <c r="P11427">
        <v>0</v>
      </c>
      <c r="Q11427">
        <v>1</v>
      </c>
      <c r="R11427" t="s">
        <v>47438</v>
      </c>
      <c r="S11427" t="s">
        <v>47793</v>
      </c>
      <c r="T11427" t="s">
        <v>49122</v>
      </c>
      <c r="U11427" t="s">
        <v>59033</v>
      </c>
      <c r="V11427" t="s">
        <v>63379</v>
      </c>
      <c r="W11427" t="s">
        <v>45613</v>
      </c>
      <c r="X11427" t="s">
        <v>47440</v>
      </c>
    </row>
    <row r="11428" spans="1:24">
      <c r="A11428">
        <f>HYPERLINK("https://www.philgeps.gov.ph/GEPSNONPILOT/Tender/SplashBidNoticeAbstractUI.aspx?menuIndex=3&amp;refID=7139951&amp;Result=3","7139951")</f>
        <v>0</v>
      </c>
      <c r="B11428" t="s">
        <v>825</v>
      </c>
      <c r="C11428" t="s">
        <v>14656</v>
      </c>
      <c r="D11428" t="s">
        <v>19046</v>
      </c>
      <c r="E11428" t="s">
        <v>20017</v>
      </c>
      <c r="F11428" t="s">
        <v>32831</v>
      </c>
      <c r="G11428" t="s">
        <v>32839</v>
      </c>
      <c r="H11428" t="s">
        <v>32849</v>
      </c>
      <c r="I11428" t="s">
        <v>4177</v>
      </c>
      <c r="J11428" t="s">
        <v>39999</v>
      </c>
      <c r="K11428" t="s">
        <v>42770</v>
      </c>
      <c r="M11428" t="s">
        <v>43856</v>
      </c>
      <c r="N11428" t="s">
        <v>47424</v>
      </c>
      <c r="O11428" t="s">
        <v>47425</v>
      </c>
      <c r="Q11428">
        <v>1</v>
      </c>
      <c r="R11428" t="s">
        <v>47438</v>
      </c>
      <c r="S11428" t="s">
        <v>47545</v>
      </c>
      <c r="T11428" t="s">
        <v>49069</v>
      </c>
      <c r="U11428" t="s">
        <v>59024</v>
      </c>
      <c r="W11428" t="s">
        <v>43856</v>
      </c>
      <c r="X11428" t="s">
        <v>47440</v>
      </c>
    </row>
    <row r="11429" spans="1:24">
      <c r="A11429">
        <f>HYPERLINK("https://www.philgeps.gov.ph/GEPSNONPILOT/Tender/SplashBidNoticeAbstractUI.aspx?menuIndex=3&amp;refID=7139536&amp;Result=3","7139536")</f>
        <v>0</v>
      </c>
      <c r="B11429" t="s">
        <v>34</v>
      </c>
      <c r="C11429" t="s">
        <v>14657</v>
      </c>
      <c r="E11429" t="s">
        <v>28889</v>
      </c>
      <c r="F11429" t="s">
        <v>32831</v>
      </c>
      <c r="G11429" t="s">
        <v>32839</v>
      </c>
      <c r="H11429" t="s">
        <v>32848</v>
      </c>
      <c r="I11429" t="s">
        <v>7751</v>
      </c>
      <c r="J11429" t="s">
        <v>33083</v>
      </c>
      <c r="K11429" t="s">
        <v>42729</v>
      </c>
      <c r="M11429" t="s">
        <v>44653</v>
      </c>
      <c r="N11429" t="s">
        <v>47424</v>
      </c>
      <c r="O11429" t="s">
        <v>47425</v>
      </c>
      <c r="P11429">
        <v>0</v>
      </c>
      <c r="Q11429">
        <v>5</v>
      </c>
      <c r="R11429" t="s">
        <v>47438</v>
      </c>
      <c r="S11429" t="s">
        <v>47793</v>
      </c>
      <c r="T11429" t="s">
        <v>49142</v>
      </c>
      <c r="U11429" t="s">
        <v>59034</v>
      </c>
      <c r="W11429" t="s">
        <v>44653</v>
      </c>
      <c r="X11429" t="s">
        <v>47440</v>
      </c>
    </row>
    <row r="11430" spans="1:24">
      <c r="A11430">
        <f>HYPERLINK("https://www.philgeps.gov.ph/GEPSNONPILOT/Tender/SplashBidNoticeAbstractUI.aspx?menuIndex=3&amp;refID=7139581&amp;Result=3","7139581")</f>
        <v>0</v>
      </c>
      <c r="B11430" t="s">
        <v>3392</v>
      </c>
      <c r="C11430" t="s">
        <v>14658</v>
      </c>
      <c r="D11430" t="s">
        <v>19093</v>
      </c>
      <c r="E11430" t="s">
        <v>24464</v>
      </c>
      <c r="F11430" t="s">
        <v>32831</v>
      </c>
      <c r="G11430" t="s">
        <v>32839</v>
      </c>
      <c r="H11430" t="s">
        <v>32848</v>
      </c>
      <c r="I11430" t="s">
        <v>32862</v>
      </c>
      <c r="J11430" t="s">
        <v>40004</v>
      </c>
      <c r="K11430" t="s">
        <v>42747</v>
      </c>
      <c r="M11430" t="s">
        <v>46724</v>
      </c>
      <c r="N11430" t="s">
        <v>47424</v>
      </c>
      <c r="O11430" t="s">
        <v>47425</v>
      </c>
      <c r="P11430">
        <v>0</v>
      </c>
      <c r="Q11430">
        <v>1</v>
      </c>
      <c r="R11430" t="s">
        <v>47438</v>
      </c>
      <c r="S11430" t="s">
        <v>47793</v>
      </c>
      <c r="T11430" t="s">
        <v>49142</v>
      </c>
      <c r="U11430" t="s">
        <v>59035</v>
      </c>
      <c r="W11430" t="s">
        <v>46724</v>
      </c>
      <c r="X11430" t="s">
        <v>47440</v>
      </c>
    </row>
    <row r="11431" spans="1:24">
      <c r="A11431">
        <f>HYPERLINK("https://www.philgeps.gov.ph/GEPSNONPILOT/Tender/SplashBidNoticeAbstractUI.aspx?menuIndex=3&amp;refID=7139723&amp;Result=3","7139723")</f>
        <v>0</v>
      </c>
      <c r="B11431" t="s">
        <v>3390</v>
      </c>
      <c r="C11431" t="s">
        <v>14659</v>
      </c>
      <c r="D11431" t="s">
        <v>19045</v>
      </c>
      <c r="E11431" t="s">
        <v>28890</v>
      </c>
      <c r="F11431" t="s">
        <v>32831</v>
      </c>
      <c r="G11431" t="s">
        <v>32839</v>
      </c>
      <c r="H11431" t="s">
        <v>32849</v>
      </c>
      <c r="I11431" t="s">
        <v>4177</v>
      </c>
      <c r="J11431" t="s">
        <v>33044</v>
      </c>
      <c r="K11431" t="s">
        <v>42730</v>
      </c>
      <c r="M11431" t="s">
        <v>46721</v>
      </c>
      <c r="N11431" t="s">
        <v>47424</v>
      </c>
      <c r="O11431" t="s">
        <v>47425</v>
      </c>
      <c r="P11431">
        <v>0</v>
      </c>
      <c r="Q11431">
        <v>2</v>
      </c>
      <c r="R11431" t="s">
        <v>47438</v>
      </c>
      <c r="S11431" t="s">
        <v>47793</v>
      </c>
      <c r="T11431" t="s">
        <v>49427</v>
      </c>
      <c r="U11431" t="s">
        <v>59036</v>
      </c>
      <c r="W11431" t="s">
        <v>46721</v>
      </c>
      <c r="X11431" t="s">
        <v>47440</v>
      </c>
    </row>
    <row r="11432" spans="1:24">
      <c r="A11432">
        <f>HYPERLINK("https://www.philgeps.gov.ph/GEPSNONPILOT/Tender/SplashBidNoticeAbstractUI.aspx?menuIndex=3&amp;refID=7140862&amp;Result=3","7140862")</f>
        <v>0</v>
      </c>
      <c r="B11432" t="s">
        <v>1597</v>
      </c>
      <c r="C11432" t="s">
        <v>14660</v>
      </c>
      <c r="D11432" t="s">
        <v>19031</v>
      </c>
      <c r="E11432" t="s">
        <v>28891</v>
      </c>
      <c r="F11432" t="s">
        <v>32831</v>
      </c>
      <c r="G11432" t="s">
        <v>32839</v>
      </c>
      <c r="H11432" t="s">
        <v>32848</v>
      </c>
      <c r="I11432" t="s">
        <v>32864</v>
      </c>
      <c r="J11432" t="s">
        <v>34095</v>
      </c>
      <c r="K11432" t="s">
        <v>42727</v>
      </c>
      <c r="M11432" t="s">
        <v>44719</v>
      </c>
      <c r="N11432" t="s">
        <v>47424</v>
      </c>
      <c r="O11432" t="s">
        <v>47425</v>
      </c>
      <c r="P11432">
        <v>0</v>
      </c>
      <c r="Q11432">
        <v>5</v>
      </c>
      <c r="R11432" t="s">
        <v>47438</v>
      </c>
      <c r="S11432" t="s">
        <v>47793</v>
      </c>
      <c r="T11432" t="s">
        <v>49108</v>
      </c>
      <c r="U11432" t="s">
        <v>59037</v>
      </c>
      <c r="V11432" t="s">
        <v>63051</v>
      </c>
      <c r="W11432" t="s">
        <v>44719</v>
      </c>
      <c r="X11432" t="s">
        <v>47440</v>
      </c>
    </row>
    <row r="11433" spans="1:24">
      <c r="A11433">
        <f>HYPERLINK("https://www.philgeps.gov.ph/GEPSNONPILOT/Tender/SplashBidNoticeAbstractUI.aspx?menuIndex=3&amp;refID=7139992&amp;Result=3","7139992")</f>
        <v>0</v>
      </c>
      <c r="B11433" t="s">
        <v>2192</v>
      </c>
      <c r="C11433" t="s">
        <v>14661</v>
      </c>
      <c r="D11433" t="s">
        <v>19037</v>
      </c>
      <c r="E11433" t="s">
        <v>28892</v>
      </c>
      <c r="F11433" t="s">
        <v>32831</v>
      </c>
      <c r="G11433" t="s">
        <v>32839</v>
      </c>
      <c r="H11433" t="s">
        <v>32848</v>
      </c>
      <c r="I11433" t="s">
        <v>32929</v>
      </c>
      <c r="J11433" t="s">
        <v>40005</v>
      </c>
      <c r="K11433" t="s">
        <v>42732</v>
      </c>
      <c r="M11433" t="s">
        <v>45372</v>
      </c>
      <c r="N11433" t="s">
        <v>47424</v>
      </c>
      <c r="O11433" t="s">
        <v>47425</v>
      </c>
      <c r="P11433">
        <v>0</v>
      </c>
      <c r="Q11433">
        <v>3</v>
      </c>
      <c r="R11433" t="s">
        <v>47438</v>
      </c>
      <c r="S11433" t="s">
        <v>47793</v>
      </c>
      <c r="T11433" t="s">
        <v>49172</v>
      </c>
      <c r="U11433" t="s">
        <v>59038</v>
      </c>
      <c r="W11433" t="s">
        <v>45372</v>
      </c>
      <c r="X11433" t="s">
        <v>47440</v>
      </c>
    </row>
    <row r="11434" spans="1:24">
      <c r="A11434">
        <f>HYPERLINK("https://www.philgeps.gov.ph/GEPSNONPILOT/Tender/SplashBidNoticeAbstractUI.aspx?menuIndex=3&amp;refID=7140827&amp;Result=3","7140827")</f>
        <v>0</v>
      </c>
      <c r="B11434" t="s">
        <v>2192</v>
      </c>
      <c r="C11434" t="s">
        <v>14662</v>
      </c>
      <c r="D11434" t="s">
        <v>19037</v>
      </c>
      <c r="E11434" t="s">
        <v>22575</v>
      </c>
      <c r="F11434" t="s">
        <v>32831</v>
      </c>
      <c r="G11434" t="s">
        <v>32839</v>
      </c>
      <c r="H11434" t="s">
        <v>32849</v>
      </c>
      <c r="I11434" t="s">
        <v>4177</v>
      </c>
      <c r="J11434" t="s">
        <v>33257</v>
      </c>
      <c r="K11434" t="s">
        <v>42756</v>
      </c>
      <c r="M11434" t="s">
        <v>45372</v>
      </c>
      <c r="N11434" t="s">
        <v>47424</v>
      </c>
      <c r="O11434" t="s">
        <v>47425</v>
      </c>
      <c r="P11434">
        <v>0</v>
      </c>
      <c r="Q11434">
        <v>1</v>
      </c>
      <c r="R11434" t="s">
        <v>47438</v>
      </c>
      <c r="S11434" t="s">
        <v>47793</v>
      </c>
      <c r="T11434" t="s">
        <v>49172</v>
      </c>
      <c r="U11434" t="s">
        <v>59039</v>
      </c>
      <c r="W11434" t="s">
        <v>45372</v>
      </c>
      <c r="X11434" t="s">
        <v>47440</v>
      </c>
    </row>
    <row r="11435" spans="1:24">
      <c r="A11435">
        <f>HYPERLINK("https://www.philgeps.gov.ph/GEPSNONPILOT/Tender/SplashBidNoticeAbstractUI.aspx?menuIndex=3&amp;refID=7140807&amp;Result=3","7140807")</f>
        <v>0</v>
      </c>
      <c r="B11435" t="s">
        <v>75</v>
      </c>
      <c r="C11435" t="s">
        <v>14663</v>
      </c>
      <c r="E11435" t="s">
        <v>28893</v>
      </c>
      <c r="F11435" t="s">
        <v>32831</v>
      </c>
      <c r="G11435" t="s">
        <v>32839</v>
      </c>
      <c r="H11435" t="s">
        <v>32849</v>
      </c>
      <c r="I11435" t="s">
        <v>4177</v>
      </c>
      <c r="J11435" t="s">
        <v>33465</v>
      </c>
      <c r="K11435" t="s">
        <v>42757</v>
      </c>
      <c r="M11435" t="s">
        <v>43072</v>
      </c>
      <c r="N11435" t="s">
        <v>47424</v>
      </c>
      <c r="O11435" t="s">
        <v>47425</v>
      </c>
      <c r="P11435">
        <v>0</v>
      </c>
      <c r="Q11435">
        <v>2</v>
      </c>
      <c r="R11435" t="s">
        <v>47438</v>
      </c>
      <c r="S11435" t="s">
        <v>47793</v>
      </c>
      <c r="T11435" t="s">
        <v>49266</v>
      </c>
      <c r="U11435" t="s">
        <v>59040</v>
      </c>
      <c r="W11435" t="s">
        <v>43072</v>
      </c>
      <c r="X11435" t="s">
        <v>47440</v>
      </c>
    </row>
    <row r="11436" spans="1:24">
      <c r="A11436">
        <f>HYPERLINK("https://www.philgeps.gov.ph/GEPSNONPILOT/Tender/SplashBidNoticeAbstractUI.aspx?menuIndex=3&amp;refID=7140803&amp;Result=3","7140803")</f>
        <v>0</v>
      </c>
      <c r="B11436" t="s">
        <v>1597</v>
      </c>
      <c r="C11436" t="s">
        <v>14664</v>
      </c>
      <c r="D11436" t="s">
        <v>19031</v>
      </c>
      <c r="E11436" t="s">
        <v>28894</v>
      </c>
      <c r="F11436" t="s">
        <v>32831</v>
      </c>
      <c r="G11436" t="s">
        <v>32839</v>
      </c>
      <c r="H11436" t="s">
        <v>32848</v>
      </c>
      <c r="I11436" t="s">
        <v>9577</v>
      </c>
      <c r="J11436" t="s">
        <v>40006</v>
      </c>
      <c r="K11436" t="s">
        <v>42731</v>
      </c>
      <c r="M11436" t="s">
        <v>44719</v>
      </c>
      <c r="N11436" t="s">
        <v>47424</v>
      </c>
      <c r="O11436" t="s">
        <v>47425</v>
      </c>
      <c r="P11436">
        <v>0</v>
      </c>
      <c r="Q11436">
        <v>4</v>
      </c>
      <c r="R11436" t="s">
        <v>47438</v>
      </c>
      <c r="S11436" t="s">
        <v>47793</v>
      </c>
      <c r="T11436" t="s">
        <v>49108</v>
      </c>
      <c r="U11436" t="s">
        <v>59041</v>
      </c>
      <c r="V11436" t="s">
        <v>63051</v>
      </c>
      <c r="W11436" t="s">
        <v>44719</v>
      </c>
      <c r="X11436" t="s">
        <v>47440</v>
      </c>
    </row>
    <row r="11437" spans="1:24">
      <c r="A11437">
        <f>HYPERLINK("https://www.philgeps.gov.ph/GEPSNONPILOT/Tender/SplashBidNoticeAbstractUI.aspx?menuIndex=3&amp;refID=7140831&amp;Result=3","7140831")</f>
        <v>0</v>
      </c>
      <c r="B11437" t="s">
        <v>72</v>
      </c>
      <c r="C11437" t="s">
        <v>14665</v>
      </c>
      <c r="D11437" t="s">
        <v>19027</v>
      </c>
      <c r="E11437" t="s">
        <v>28895</v>
      </c>
      <c r="F11437" t="s">
        <v>32831</v>
      </c>
      <c r="G11437" t="s">
        <v>32838</v>
      </c>
      <c r="H11437" t="s">
        <v>32848</v>
      </c>
      <c r="I11437" t="s">
        <v>4177</v>
      </c>
      <c r="J11437" t="s">
        <v>40007</v>
      </c>
      <c r="K11437" t="s">
        <v>42745</v>
      </c>
      <c r="M11437" t="s">
        <v>43069</v>
      </c>
      <c r="N11437" t="s">
        <v>47424</v>
      </c>
      <c r="O11437" t="s">
        <v>47425</v>
      </c>
      <c r="P11437">
        <v>0</v>
      </c>
      <c r="Q11437">
        <v>0</v>
      </c>
      <c r="R11437" t="s">
        <v>47438</v>
      </c>
      <c r="S11437" t="s">
        <v>47793</v>
      </c>
      <c r="T11437" t="s">
        <v>49328</v>
      </c>
      <c r="U11437" t="s">
        <v>50732</v>
      </c>
      <c r="W11437" t="s">
        <v>64429</v>
      </c>
      <c r="X11437" t="s">
        <v>47440</v>
      </c>
    </row>
    <row r="11438" spans="1:24">
      <c r="A11438">
        <f>HYPERLINK("https://www.philgeps.gov.ph/GEPSNONPILOT/Tender/SplashBidNoticeAbstractUI.aspx?menuIndex=3&amp;refID=7140750&amp;Result=3","7140750")</f>
        <v>0</v>
      </c>
      <c r="B11438" t="s">
        <v>2192</v>
      </c>
      <c r="C11438" t="s">
        <v>14666</v>
      </c>
      <c r="D11438" t="s">
        <v>19037</v>
      </c>
      <c r="E11438" t="s">
        <v>19809</v>
      </c>
      <c r="F11438" t="s">
        <v>32831</v>
      </c>
      <c r="G11438" t="s">
        <v>32839</v>
      </c>
      <c r="H11438" t="s">
        <v>32849</v>
      </c>
      <c r="I11438" t="s">
        <v>4177</v>
      </c>
      <c r="J11438" t="s">
        <v>40008</v>
      </c>
      <c r="K11438" t="s">
        <v>42880</v>
      </c>
      <c r="M11438" t="s">
        <v>45372</v>
      </c>
      <c r="N11438" t="s">
        <v>47424</v>
      </c>
      <c r="O11438" t="s">
        <v>47425</v>
      </c>
      <c r="P11438">
        <v>0</v>
      </c>
      <c r="Q11438">
        <v>0</v>
      </c>
      <c r="R11438" t="s">
        <v>47438</v>
      </c>
      <c r="S11438" t="s">
        <v>47793</v>
      </c>
      <c r="T11438" t="s">
        <v>49172</v>
      </c>
      <c r="U11438" t="s">
        <v>59042</v>
      </c>
      <c r="W11438" t="s">
        <v>45372</v>
      </c>
      <c r="X11438" t="s">
        <v>47440</v>
      </c>
    </row>
    <row r="11439" spans="1:24">
      <c r="A11439">
        <f>HYPERLINK("https://www.philgeps.gov.ph/GEPSNONPILOT/Tender/SplashBidNoticeAbstractUI.aspx?menuIndex=3&amp;refID=7140683&amp;Result=3","7140683")</f>
        <v>0</v>
      </c>
      <c r="B11439" t="s">
        <v>2192</v>
      </c>
      <c r="C11439" t="s">
        <v>14667</v>
      </c>
      <c r="D11439" t="s">
        <v>19037</v>
      </c>
      <c r="E11439" t="s">
        <v>28896</v>
      </c>
      <c r="F11439" t="s">
        <v>32831</v>
      </c>
      <c r="G11439" t="s">
        <v>32839</v>
      </c>
      <c r="H11439" t="s">
        <v>32849</v>
      </c>
      <c r="I11439" t="s">
        <v>4177</v>
      </c>
      <c r="J11439" t="s">
        <v>40009</v>
      </c>
      <c r="K11439" t="s">
        <v>42836</v>
      </c>
      <c r="M11439" t="s">
        <v>45372</v>
      </c>
      <c r="N11439" t="s">
        <v>47424</v>
      </c>
      <c r="O11439" t="s">
        <v>47425</v>
      </c>
      <c r="P11439">
        <v>0</v>
      </c>
      <c r="Q11439">
        <v>0</v>
      </c>
      <c r="R11439" t="s">
        <v>47438</v>
      </c>
      <c r="S11439" t="s">
        <v>47793</v>
      </c>
      <c r="T11439" t="s">
        <v>49172</v>
      </c>
      <c r="U11439" t="s">
        <v>59043</v>
      </c>
      <c r="W11439" t="s">
        <v>45372</v>
      </c>
      <c r="X11439" t="s">
        <v>47440</v>
      </c>
    </row>
    <row r="11440" spans="1:24">
      <c r="A11440">
        <f>HYPERLINK("https://www.philgeps.gov.ph/GEPSNONPILOT/Tender/SplashBidNoticeAbstractUI.aspx?menuIndex=3&amp;refID=7140665&amp;Result=3","7140665")</f>
        <v>0</v>
      </c>
      <c r="B11440" t="s">
        <v>127</v>
      </c>
      <c r="C11440" t="s">
        <v>14668</v>
      </c>
      <c r="D11440" t="s">
        <v>19038</v>
      </c>
      <c r="E11440" t="s">
        <v>28897</v>
      </c>
      <c r="F11440" t="s">
        <v>32831</v>
      </c>
      <c r="G11440" t="s">
        <v>32839</v>
      </c>
      <c r="H11440" t="s">
        <v>32848</v>
      </c>
      <c r="I11440" t="s">
        <v>32931</v>
      </c>
      <c r="J11440" t="s">
        <v>40010</v>
      </c>
      <c r="K11440" t="s">
        <v>42729</v>
      </c>
      <c r="M11440" t="s">
        <v>43124</v>
      </c>
      <c r="N11440" t="s">
        <v>47424</v>
      </c>
      <c r="O11440" t="s">
        <v>47425</v>
      </c>
      <c r="P11440">
        <v>0</v>
      </c>
      <c r="Q11440">
        <v>5</v>
      </c>
      <c r="R11440" t="s">
        <v>47438</v>
      </c>
      <c r="S11440" t="s">
        <v>47793</v>
      </c>
      <c r="T11440" t="s">
        <v>49111</v>
      </c>
      <c r="U11440" t="s">
        <v>59044</v>
      </c>
      <c r="V11440" t="s">
        <v>62748</v>
      </c>
      <c r="W11440" t="s">
        <v>43124</v>
      </c>
      <c r="X11440" t="s">
        <v>47440</v>
      </c>
    </row>
    <row r="11441" spans="1:24">
      <c r="A11441">
        <f>HYPERLINK("https://www.philgeps.gov.ph/GEPSNONPILOT/Tender/SplashBidNoticeAbstractUI.aspx?menuIndex=3&amp;refID=7140641&amp;Result=3","7140641")</f>
        <v>0</v>
      </c>
      <c r="B11441" t="s">
        <v>2192</v>
      </c>
      <c r="C11441" t="s">
        <v>14669</v>
      </c>
      <c r="D11441" t="s">
        <v>19037</v>
      </c>
      <c r="E11441" t="s">
        <v>25454</v>
      </c>
      <c r="F11441" t="s">
        <v>32831</v>
      </c>
      <c r="G11441" t="s">
        <v>32839</v>
      </c>
      <c r="H11441" t="s">
        <v>32849</v>
      </c>
      <c r="I11441" t="s">
        <v>4177</v>
      </c>
      <c r="J11441" t="s">
        <v>33083</v>
      </c>
      <c r="K11441" t="s">
        <v>42729</v>
      </c>
      <c r="M11441" t="s">
        <v>45372</v>
      </c>
      <c r="N11441" t="s">
        <v>47424</v>
      </c>
      <c r="O11441" t="s">
        <v>47425</v>
      </c>
      <c r="P11441">
        <v>0</v>
      </c>
      <c r="Q11441">
        <v>0</v>
      </c>
      <c r="R11441" t="s">
        <v>47438</v>
      </c>
      <c r="S11441" t="s">
        <v>47793</v>
      </c>
      <c r="T11441" t="s">
        <v>49172</v>
      </c>
      <c r="U11441" t="s">
        <v>59045</v>
      </c>
      <c r="W11441" t="s">
        <v>45372</v>
      </c>
      <c r="X11441" t="s">
        <v>47440</v>
      </c>
    </row>
    <row r="11442" spans="1:24">
      <c r="A11442">
        <f>HYPERLINK("https://www.philgeps.gov.ph/GEPSNONPILOT/Tender/SplashBidNoticeAbstractUI.aspx?menuIndex=3&amp;refID=7140538&amp;Result=3","7140538")</f>
        <v>0</v>
      </c>
      <c r="B11442" t="s">
        <v>3393</v>
      </c>
      <c r="C11442" t="s">
        <v>10304</v>
      </c>
      <c r="D11442" t="s">
        <v>19082</v>
      </c>
      <c r="E11442" t="s">
        <v>28898</v>
      </c>
      <c r="F11442" t="s">
        <v>32831</v>
      </c>
      <c r="G11442" t="s">
        <v>32839</v>
      </c>
      <c r="H11442" t="s">
        <v>32849</v>
      </c>
      <c r="I11442" t="s">
        <v>4177</v>
      </c>
      <c r="J11442" t="s">
        <v>40011</v>
      </c>
      <c r="K11442" t="s">
        <v>42742</v>
      </c>
      <c r="M11442" t="s">
        <v>46725</v>
      </c>
      <c r="N11442" t="s">
        <v>47424</v>
      </c>
      <c r="O11442" t="s">
        <v>47425</v>
      </c>
      <c r="P11442">
        <v>0</v>
      </c>
      <c r="Q11442">
        <v>0</v>
      </c>
      <c r="R11442" t="s">
        <v>47438</v>
      </c>
      <c r="S11442" t="s">
        <v>47793</v>
      </c>
      <c r="T11442" t="s">
        <v>49080</v>
      </c>
      <c r="U11442" t="s">
        <v>59046</v>
      </c>
      <c r="W11442" t="s">
        <v>46725</v>
      </c>
      <c r="X11442" t="s">
        <v>47440</v>
      </c>
    </row>
    <row r="11443" spans="1:24">
      <c r="A11443">
        <f>HYPERLINK("https://www.philgeps.gov.ph/GEPSNONPILOT/Tender/SplashBidNoticeAbstractUI.aspx?menuIndex=3&amp;refID=7148045&amp;Result=3","7148045")</f>
        <v>0</v>
      </c>
      <c r="B11443" t="s">
        <v>2833</v>
      </c>
      <c r="C11443" t="s">
        <v>14670</v>
      </c>
      <c r="D11443" t="s">
        <v>19073</v>
      </c>
      <c r="E11443" t="s">
        <v>28899</v>
      </c>
      <c r="F11443" t="s">
        <v>32831</v>
      </c>
      <c r="G11443" t="s">
        <v>32839</v>
      </c>
      <c r="H11443" t="s">
        <v>32849</v>
      </c>
      <c r="I11443" t="s">
        <v>4177</v>
      </c>
      <c r="J11443" t="s">
        <v>36338</v>
      </c>
      <c r="K11443" t="s">
        <v>42770</v>
      </c>
      <c r="M11443" t="s">
        <v>46712</v>
      </c>
      <c r="N11443" t="s">
        <v>47424</v>
      </c>
      <c r="O11443" t="s">
        <v>47425</v>
      </c>
      <c r="Q11443">
        <v>0</v>
      </c>
      <c r="R11443" t="s">
        <v>47437</v>
      </c>
      <c r="S11443" t="s">
        <v>47800</v>
      </c>
      <c r="T11443" t="s">
        <v>49143</v>
      </c>
      <c r="U11443" t="s">
        <v>59047</v>
      </c>
      <c r="W11443" t="s">
        <v>46712</v>
      </c>
      <c r="X11443" t="s">
        <v>47438</v>
      </c>
    </row>
    <row r="11444" spans="1:24">
      <c r="A11444">
        <f>HYPERLINK("https://www.philgeps.gov.ph/GEPSNONPILOT/Tender/SplashBidNoticeAbstractUI.aspx?menuIndex=3&amp;refID=7140551&amp;Result=3","7140551")</f>
        <v>0</v>
      </c>
      <c r="B11444" t="s">
        <v>127</v>
      </c>
      <c r="C11444" t="s">
        <v>14671</v>
      </c>
      <c r="D11444" t="s">
        <v>19038</v>
      </c>
      <c r="E11444" t="s">
        <v>28900</v>
      </c>
      <c r="F11444" t="s">
        <v>32831</v>
      </c>
      <c r="G11444" t="s">
        <v>32839</v>
      </c>
      <c r="H11444" t="s">
        <v>32848</v>
      </c>
      <c r="I11444" t="s">
        <v>32931</v>
      </c>
      <c r="J11444" t="s">
        <v>40010</v>
      </c>
      <c r="K11444" t="s">
        <v>42729</v>
      </c>
      <c r="M11444" t="s">
        <v>43124</v>
      </c>
      <c r="N11444" t="s">
        <v>47424</v>
      </c>
      <c r="O11444" t="s">
        <v>47425</v>
      </c>
      <c r="P11444">
        <v>0</v>
      </c>
      <c r="Q11444">
        <v>4</v>
      </c>
      <c r="R11444" t="s">
        <v>47438</v>
      </c>
      <c r="S11444" t="s">
        <v>47793</v>
      </c>
      <c r="T11444" t="s">
        <v>49111</v>
      </c>
      <c r="U11444" t="s">
        <v>59044</v>
      </c>
      <c r="V11444" t="s">
        <v>62748</v>
      </c>
      <c r="W11444" t="s">
        <v>43124</v>
      </c>
      <c r="X11444" t="s">
        <v>47440</v>
      </c>
    </row>
    <row r="11445" spans="1:24">
      <c r="A11445">
        <f>HYPERLINK("https://www.philgeps.gov.ph/GEPSNONPILOT/Tender/SplashBidNoticeAbstractUI.aspx?menuIndex=3&amp;refID=7140216&amp;Result=3","7140216")</f>
        <v>0</v>
      </c>
      <c r="B11445" t="s">
        <v>1589</v>
      </c>
      <c r="C11445" t="s">
        <v>14672</v>
      </c>
      <c r="D11445" t="s">
        <v>19044</v>
      </c>
      <c r="E11445" t="s">
        <v>28901</v>
      </c>
      <c r="F11445" t="s">
        <v>32831</v>
      </c>
      <c r="G11445" t="s">
        <v>32839</v>
      </c>
      <c r="H11445" t="s">
        <v>32848</v>
      </c>
      <c r="I11445" t="s">
        <v>11727</v>
      </c>
      <c r="J11445" t="s">
        <v>40012</v>
      </c>
      <c r="K11445" t="s">
        <v>42747</v>
      </c>
      <c r="M11445" t="s">
        <v>44703</v>
      </c>
      <c r="N11445" t="s">
        <v>47424</v>
      </c>
      <c r="O11445" t="s">
        <v>47425</v>
      </c>
      <c r="P11445">
        <v>0</v>
      </c>
      <c r="Q11445">
        <v>6</v>
      </c>
      <c r="R11445" t="s">
        <v>47438</v>
      </c>
      <c r="S11445" t="s">
        <v>47793</v>
      </c>
      <c r="T11445" t="s">
        <v>49069</v>
      </c>
      <c r="U11445" t="s">
        <v>59048</v>
      </c>
      <c r="W11445" t="s">
        <v>44703</v>
      </c>
      <c r="X11445" t="s">
        <v>47440</v>
      </c>
    </row>
    <row r="11446" spans="1:24">
      <c r="A11446">
        <f>HYPERLINK("https://www.philgeps.gov.ph/GEPSNONPILOT/Tender/SplashBidNoticeAbstractUI.aspx?menuIndex=3&amp;refID=7140372&amp;Result=3","7140372")</f>
        <v>0</v>
      </c>
      <c r="B11446" t="s">
        <v>1589</v>
      </c>
      <c r="C11446" t="s">
        <v>14673</v>
      </c>
      <c r="D11446" t="s">
        <v>19044</v>
      </c>
      <c r="E11446" t="s">
        <v>28902</v>
      </c>
      <c r="F11446" t="s">
        <v>32831</v>
      </c>
      <c r="G11446" t="s">
        <v>32839</v>
      </c>
      <c r="H11446" t="s">
        <v>32848</v>
      </c>
      <c r="I11446" t="s">
        <v>7751</v>
      </c>
      <c r="J11446" t="s">
        <v>40013</v>
      </c>
      <c r="K11446" t="s">
        <v>42747</v>
      </c>
      <c r="M11446" t="s">
        <v>44703</v>
      </c>
      <c r="N11446" t="s">
        <v>47424</v>
      </c>
      <c r="O11446" t="s">
        <v>47425</v>
      </c>
      <c r="P11446">
        <v>0</v>
      </c>
      <c r="Q11446">
        <v>4</v>
      </c>
      <c r="R11446" t="s">
        <v>47438</v>
      </c>
      <c r="S11446" t="s">
        <v>47793</v>
      </c>
      <c r="T11446" t="s">
        <v>49069</v>
      </c>
      <c r="U11446" t="s">
        <v>59049</v>
      </c>
      <c r="W11446" t="s">
        <v>44703</v>
      </c>
      <c r="X11446" t="s">
        <v>47440</v>
      </c>
    </row>
    <row r="11447" spans="1:24">
      <c r="A11447">
        <f>HYPERLINK("https://www.philgeps.gov.ph/GEPSNONPILOT/Tender/SplashBidNoticeAbstractUI.aspx?menuIndex=3&amp;refID=7141307&amp;Result=3","7141307")</f>
        <v>0</v>
      </c>
      <c r="B11447" t="s">
        <v>104</v>
      </c>
      <c r="C11447" t="s">
        <v>14674</v>
      </c>
      <c r="E11447" t="s">
        <v>28903</v>
      </c>
      <c r="F11447" t="s">
        <v>32831</v>
      </c>
      <c r="G11447" t="s">
        <v>32839</v>
      </c>
      <c r="H11447" t="s">
        <v>32848</v>
      </c>
      <c r="I11447" t="s">
        <v>32871</v>
      </c>
      <c r="J11447" t="s">
        <v>33508</v>
      </c>
      <c r="K11447" t="s">
        <v>42732</v>
      </c>
      <c r="M11447" t="s">
        <v>46604</v>
      </c>
      <c r="N11447" t="s">
        <v>47424</v>
      </c>
      <c r="O11447" t="s">
        <v>47425</v>
      </c>
      <c r="P11447">
        <v>0</v>
      </c>
      <c r="Q11447">
        <v>1</v>
      </c>
      <c r="R11447" t="s">
        <v>47438</v>
      </c>
      <c r="S11447" t="s">
        <v>47793</v>
      </c>
      <c r="T11447" t="s">
        <v>49069</v>
      </c>
      <c r="U11447" t="s">
        <v>59050</v>
      </c>
      <c r="W11447" t="s">
        <v>46604</v>
      </c>
      <c r="X11447" t="s">
        <v>47440</v>
      </c>
    </row>
    <row r="11448" spans="1:24">
      <c r="A11448">
        <f>HYPERLINK("https://www.philgeps.gov.ph/GEPSNONPILOT/Tender/SplashBidNoticeAbstractUI.aspx?menuIndex=3&amp;refID=7140224&amp;Result=3","7140224")</f>
        <v>0</v>
      </c>
      <c r="B11448" t="s">
        <v>825</v>
      </c>
      <c r="C11448" t="s">
        <v>14675</v>
      </c>
      <c r="D11448" t="s">
        <v>19046</v>
      </c>
      <c r="E11448" t="s">
        <v>22097</v>
      </c>
      <c r="F11448" t="s">
        <v>32831</v>
      </c>
      <c r="G11448" t="s">
        <v>32839</v>
      </c>
      <c r="H11448" t="s">
        <v>32849</v>
      </c>
      <c r="I11448" t="s">
        <v>4177</v>
      </c>
      <c r="J11448" t="s">
        <v>40014</v>
      </c>
      <c r="K11448" t="s">
        <v>42770</v>
      </c>
      <c r="M11448" t="s">
        <v>43856</v>
      </c>
      <c r="N11448" t="s">
        <v>47424</v>
      </c>
      <c r="O11448" t="s">
        <v>47425</v>
      </c>
      <c r="P11448">
        <v>0</v>
      </c>
      <c r="Q11448">
        <v>1</v>
      </c>
      <c r="R11448" t="s">
        <v>47438</v>
      </c>
      <c r="S11448" t="s">
        <v>47793</v>
      </c>
      <c r="T11448" t="s">
        <v>49069</v>
      </c>
      <c r="U11448" t="s">
        <v>59024</v>
      </c>
      <c r="W11448" t="s">
        <v>43856</v>
      </c>
      <c r="X11448" t="s">
        <v>47440</v>
      </c>
    </row>
    <row r="11449" spans="1:24">
      <c r="A11449">
        <f>HYPERLINK("https://www.philgeps.gov.ph/GEPSNONPILOT/Tender/SplashBidNoticeAbstractUI.aspx?menuIndex=3&amp;refID=7140449&amp;Result=3","7140449")</f>
        <v>0</v>
      </c>
      <c r="B11449" t="s">
        <v>127</v>
      </c>
      <c r="C11449" t="s">
        <v>14676</v>
      </c>
      <c r="D11449" t="s">
        <v>19038</v>
      </c>
      <c r="E11449" t="s">
        <v>28904</v>
      </c>
      <c r="F11449" t="s">
        <v>32831</v>
      </c>
      <c r="G11449" t="s">
        <v>32839</v>
      </c>
      <c r="H11449" t="s">
        <v>32848</v>
      </c>
      <c r="I11449" t="s">
        <v>32854</v>
      </c>
      <c r="J11449" t="s">
        <v>40015</v>
      </c>
      <c r="K11449" t="s">
        <v>42729</v>
      </c>
      <c r="M11449" t="s">
        <v>43124</v>
      </c>
      <c r="N11449" t="s">
        <v>47424</v>
      </c>
      <c r="O11449" t="s">
        <v>47425</v>
      </c>
      <c r="P11449">
        <v>0</v>
      </c>
      <c r="Q11449">
        <v>3</v>
      </c>
      <c r="R11449" t="s">
        <v>47438</v>
      </c>
      <c r="S11449" t="s">
        <v>47793</v>
      </c>
      <c r="T11449" t="s">
        <v>49111</v>
      </c>
      <c r="U11449" t="s">
        <v>59051</v>
      </c>
      <c r="V11449" t="s">
        <v>62748</v>
      </c>
      <c r="W11449" t="s">
        <v>43124</v>
      </c>
      <c r="X11449" t="s">
        <v>47440</v>
      </c>
    </row>
    <row r="11450" spans="1:24">
      <c r="A11450">
        <f>HYPERLINK("https://www.philgeps.gov.ph/GEPSNONPILOT/Tender/SplashBidNoticeAbstractUI.aspx?menuIndex=3&amp;refID=7141246&amp;Result=3","7141246")</f>
        <v>0</v>
      </c>
      <c r="B11450" t="s">
        <v>104</v>
      </c>
      <c r="C11450" t="s">
        <v>14677</v>
      </c>
      <c r="E11450" t="s">
        <v>28905</v>
      </c>
      <c r="F11450" t="s">
        <v>32831</v>
      </c>
      <c r="G11450" t="s">
        <v>32839</v>
      </c>
      <c r="H11450" t="s">
        <v>32848</v>
      </c>
      <c r="I11450" t="s">
        <v>32871</v>
      </c>
      <c r="J11450" t="s">
        <v>34095</v>
      </c>
      <c r="K11450" t="s">
        <v>42732</v>
      </c>
      <c r="M11450" t="s">
        <v>46604</v>
      </c>
      <c r="N11450" t="s">
        <v>47424</v>
      </c>
      <c r="O11450" t="s">
        <v>47425</v>
      </c>
      <c r="P11450">
        <v>0</v>
      </c>
      <c r="Q11450">
        <v>4</v>
      </c>
      <c r="R11450" t="s">
        <v>47438</v>
      </c>
      <c r="S11450" t="s">
        <v>47793</v>
      </c>
      <c r="T11450" t="s">
        <v>49069</v>
      </c>
      <c r="U11450" t="s">
        <v>59052</v>
      </c>
      <c r="W11450" t="s">
        <v>46604</v>
      </c>
      <c r="X11450" t="s">
        <v>47440</v>
      </c>
    </row>
    <row r="11451" spans="1:24">
      <c r="A11451">
        <f>HYPERLINK("https://www.philgeps.gov.ph/GEPSNONPILOT/Tender/SplashBidNoticeAbstractUI.aspx?menuIndex=3&amp;refID=7141211&amp;Result=3","7141211")</f>
        <v>0</v>
      </c>
      <c r="B11451" t="s">
        <v>104</v>
      </c>
      <c r="C11451" t="s">
        <v>14678</v>
      </c>
      <c r="E11451" t="s">
        <v>28906</v>
      </c>
      <c r="F11451" t="s">
        <v>32831</v>
      </c>
      <c r="G11451" t="s">
        <v>32839</v>
      </c>
      <c r="H11451" t="s">
        <v>32848</v>
      </c>
      <c r="I11451" t="s">
        <v>32857</v>
      </c>
      <c r="J11451" t="s">
        <v>40016</v>
      </c>
      <c r="K11451" t="s">
        <v>42732</v>
      </c>
      <c r="M11451" t="s">
        <v>46604</v>
      </c>
      <c r="N11451" t="s">
        <v>47424</v>
      </c>
      <c r="O11451" t="s">
        <v>47425</v>
      </c>
      <c r="P11451">
        <v>0</v>
      </c>
      <c r="Q11451">
        <v>2</v>
      </c>
      <c r="R11451" t="s">
        <v>47438</v>
      </c>
      <c r="S11451" t="s">
        <v>47793</v>
      </c>
      <c r="T11451" t="s">
        <v>49069</v>
      </c>
      <c r="U11451" t="s">
        <v>59053</v>
      </c>
      <c r="W11451" t="s">
        <v>46604</v>
      </c>
      <c r="X11451" t="s">
        <v>47440</v>
      </c>
    </row>
    <row r="11452" spans="1:24">
      <c r="A11452">
        <f>HYPERLINK("https://www.philgeps.gov.ph/GEPSNONPILOT/Tender/SplashBidNoticeAbstractUI.aspx?menuIndex=3&amp;refID=7148044&amp;Result=3","7148044")</f>
        <v>0</v>
      </c>
      <c r="B11452" t="s">
        <v>2149</v>
      </c>
      <c r="C11452" t="s">
        <v>14679</v>
      </c>
      <c r="E11452" t="s">
        <v>28907</v>
      </c>
      <c r="F11452" t="s">
        <v>32831</v>
      </c>
      <c r="G11452" t="s">
        <v>32839</v>
      </c>
      <c r="H11452" t="s">
        <v>32849</v>
      </c>
      <c r="I11452" t="s">
        <v>4177</v>
      </c>
      <c r="J11452" t="s">
        <v>40017</v>
      </c>
      <c r="K11452" t="s">
        <v>42746</v>
      </c>
      <c r="M11452" t="s">
        <v>45329</v>
      </c>
      <c r="N11452" t="s">
        <v>47424</v>
      </c>
      <c r="O11452" t="s">
        <v>47425</v>
      </c>
      <c r="P11452">
        <v>0</v>
      </c>
      <c r="Q11452">
        <v>0</v>
      </c>
      <c r="R11452" t="s">
        <v>47437</v>
      </c>
      <c r="S11452" t="s">
        <v>47706</v>
      </c>
      <c r="T11452" t="s">
        <v>49143</v>
      </c>
      <c r="U11452" t="s">
        <v>59054</v>
      </c>
      <c r="W11452" t="s">
        <v>45329</v>
      </c>
      <c r="X11452" t="s">
        <v>47438</v>
      </c>
    </row>
    <row r="11453" spans="1:24">
      <c r="A11453">
        <f>HYPERLINK("https://www.philgeps.gov.ph/GEPSNONPILOT/Tender/SplashBidNoticeAbstractUI.aspx?menuIndex=3&amp;refID=7140329&amp;Result=3","7140329")</f>
        <v>0</v>
      </c>
      <c r="B11453" t="s">
        <v>1589</v>
      </c>
      <c r="C11453" t="s">
        <v>14680</v>
      </c>
      <c r="D11453" t="s">
        <v>19044</v>
      </c>
      <c r="E11453" t="s">
        <v>28908</v>
      </c>
      <c r="F11453" t="s">
        <v>32831</v>
      </c>
      <c r="G11453" t="s">
        <v>32839</v>
      </c>
      <c r="H11453" t="s">
        <v>32848</v>
      </c>
      <c r="I11453" t="s">
        <v>7751</v>
      </c>
      <c r="J11453" t="s">
        <v>40018</v>
      </c>
      <c r="K11453" t="s">
        <v>42747</v>
      </c>
      <c r="M11453" t="s">
        <v>44703</v>
      </c>
      <c r="N11453" t="s">
        <v>47424</v>
      </c>
      <c r="O11453" t="s">
        <v>47425</v>
      </c>
      <c r="P11453">
        <v>0</v>
      </c>
      <c r="Q11453">
        <v>6</v>
      </c>
      <c r="R11453" t="s">
        <v>47438</v>
      </c>
      <c r="S11453" t="s">
        <v>47793</v>
      </c>
      <c r="T11453" t="s">
        <v>49069</v>
      </c>
      <c r="U11453" t="s">
        <v>59055</v>
      </c>
      <c r="W11453" t="s">
        <v>44703</v>
      </c>
      <c r="X11453" t="s">
        <v>47440</v>
      </c>
    </row>
    <row r="11454" spans="1:24">
      <c r="A11454">
        <f>HYPERLINK("https://www.philgeps.gov.ph/GEPSNONPILOT/Tender/SplashBidNoticeAbstractUI.aspx?menuIndex=3&amp;refID=7141060&amp;Result=3","7141060")</f>
        <v>0</v>
      </c>
      <c r="B11454" t="s">
        <v>2192</v>
      </c>
      <c r="C11454" t="s">
        <v>14681</v>
      </c>
      <c r="D11454" t="s">
        <v>19037</v>
      </c>
      <c r="E11454" t="s">
        <v>28909</v>
      </c>
      <c r="F11454" t="s">
        <v>32831</v>
      </c>
      <c r="G11454" t="s">
        <v>32839</v>
      </c>
      <c r="H11454" t="s">
        <v>32849</v>
      </c>
      <c r="I11454" t="s">
        <v>4177</v>
      </c>
      <c r="J11454" t="s">
        <v>33465</v>
      </c>
      <c r="K11454" t="s">
        <v>42836</v>
      </c>
      <c r="M11454" t="s">
        <v>45372</v>
      </c>
      <c r="N11454" t="s">
        <v>47424</v>
      </c>
      <c r="O11454" t="s">
        <v>47425</v>
      </c>
      <c r="P11454">
        <v>0</v>
      </c>
      <c r="Q11454">
        <v>0</v>
      </c>
      <c r="R11454" t="s">
        <v>47438</v>
      </c>
      <c r="S11454" t="s">
        <v>47793</v>
      </c>
      <c r="T11454" t="s">
        <v>49172</v>
      </c>
      <c r="U11454" t="s">
        <v>59056</v>
      </c>
      <c r="W11454" t="s">
        <v>45372</v>
      </c>
      <c r="X11454" t="s">
        <v>47440</v>
      </c>
    </row>
    <row r="11455" spans="1:24">
      <c r="A11455">
        <f>HYPERLINK("https://www.philgeps.gov.ph/GEPSNONPILOT/Tender/SplashBidNoticeAbstractUI.aspx?menuIndex=3&amp;refID=7141031&amp;Result=3","7141031")</f>
        <v>0</v>
      </c>
      <c r="B11455" t="s">
        <v>1597</v>
      </c>
      <c r="C11455" t="s">
        <v>14682</v>
      </c>
      <c r="D11455" t="s">
        <v>19031</v>
      </c>
      <c r="E11455" t="s">
        <v>28910</v>
      </c>
      <c r="F11455" t="s">
        <v>32831</v>
      </c>
      <c r="G11455" t="s">
        <v>32839</v>
      </c>
      <c r="H11455" t="s">
        <v>32848</v>
      </c>
      <c r="I11455" t="s">
        <v>32870</v>
      </c>
      <c r="J11455" t="s">
        <v>40019</v>
      </c>
      <c r="K11455" t="s">
        <v>42727</v>
      </c>
      <c r="M11455" t="s">
        <v>44719</v>
      </c>
      <c r="N11455" t="s">
        <v>47424</v>
      </c>
      <c r="O11455" t="s">
        <v>47425</v>
      </c>
      <c r="P11455">
        <v>0</v>
      </c>
      <c r="Q11455">
        <v>0</v>
      </c>
      <c r="R11455" t="s">
        <v>47438</v>
      </c>
      <c r="S11455" t="s">
        <v>47793</v>
      </c>
      <c r="T11455" t="s">
        <v>49108</v>
      </c>
      <c r="U11455" t="s">
        <v>59057</v>
      </c>
      <c r="V11455" t="s">
        <v>63051</v>
      </c>
      <c r="W11455" t="s">
        <v>44719</v>
      </c>
      <c r="X11455" t="s">
        <v>47440</v>
      </c>
    </row>
    <row r="11456" spans="1:24">
      <c r="A11456">
        <f>HYPERLINK("https://www.philgeps.gov.ph/GEPSNONPILOT/Tender/SplashBidNoticeAbstractUI.aspx?menuIndex=3&amp;refID=7141247&amp;Result=3","7141247")</f>
        <v>0</v>
      </c>
      <c r="B11456" t="s">
        <v>1951</v>
      </c>
      <c r="C11456" t="s">
        <v>14683</v>
      </c>
      <c r="D11456" t="s">
        <v>19084</v>
      </c>
      <c r="E11456" t="s">
        <v>28911</v>
      </c>
      <c r="F11456" t="s">
        <v>32831</v>
      </c>
      <c r="G11456" t="s">
        <v>32839</v>
      </c>
      <c r="H11456" t="s">
        <v>32848</v>
      </c>
      <c r="I11456" t="s">
        <v>9577</v>
      </c>
      <c r="J11456" t="s">
        <v>40020</v>
      </c>
      <c r="K11456" t="s">
        <v>42730</v>
      </c>
      <c r="M11456" t="s">
        <v>45108</v>
      </c>
      <c r="N11456" t="s">
        <v>47424</v>
      </c>
      <c r="O11456" t="s">
        <v>47425</v>
      </c>
      <c r="P11456">
        <v>0</v>
      </c>
      <c r="Q11456">
        <v>1</v>
      </c>
      <c r="R11456" t="s">
        <v>47438</v>
      </c>
      <c r="S11456" t="s">
        <v>47793</v>
      </c>
      <c r="T11456" t="s">
        <v>49080</v>
      </c>
      <c r="U11456" t="s">
        <v>59058</v>
      </c>
      <c r="V11456" t="s">
        <v>63890</v>
      </c>
      <c r="W11456" t="s">
        <v>45108</v>
      </c>
      <c r="X11456" t="s">
        <v>47440</v>
      </c>
    </row>
    <row r="11457" spans="1:24">
      <c r="A11457">
        <f>HYPERLINK("https://www.philgeps.gov.ph/GEPSNONPILOT/Tender/SplashBidNoticeAbstractUI.aspx?menuIndex=3&amp;refID=7141100&amp;Result=3","7141100")</f>
        <v>0</v>
      </c>
      <c r="B11457" t="s">
        <v>1597</v>
      </c>
      <c r="C11457" t="s">
        <v>14684</v>
      </c>
      <c r="D11457" t="s">
        <v>19031</v>
      </c>
      <c r="E11457" t="s">
        <v>28912</v>
      </c>
      <c r="F11457" t="s">
        <v>32831</v>
      </c>
      <c r="G11457" t="s">
        <v>32839</v>
      </c>
      <c r="H11457" t="s">
        <v>32848</v>
      </c>
      <c r="I11457" t="s">
        <v>7416</v>
      </c>
      <c r="J11457" t="s">
        <v>40021</v>
      </c>
      <c r="K11457" t="s">
        <v>42727</v>
      </c>
      <c r="M11457" t="s">
        <v>44719</v>
      </c>
      <c r="N11457" t="s">
        <v>47424</v>
      </c>
      <c r="O11457" t="s">
        <v>47425</v>
      </c>
      <c r="P11457">
        <v>0</v>
      </c>
      <c r="Q11457">
        <v>0</v>
      </c>
      <c r="R11457" t="s">
        <v>47438</v>
      </c>
      <c r="S11457" t="s">
        <v>47793</v>
      </c>
      <c r="T11457" t="s">
        <v>49108</v>
      </c>
      <c r="U11457" t="s">
        <v>59059</v>
      </c>
      <c r="V11457" t="s">
        <v>63051</v>
      </c>
      <c r="W11457" t="s">
        <v>44719</v>
      </c>
      <c r="X11457" t="s">
        <v>47440</v>
      </c>
    </row>
    <row r="11458" spans="1:24">
      <c r="A11458">
        <f>HYPERLINK("https://www.philgeps.gov.ph/GEPSNONPILOT/Tender/SplashBidNoticeAbstractUI.aspx?menuIndex=3&amp;refID=7140989&amp;Result=3","7140989")</f>
        <v>0</v>
      </c>
      <c r="B11458" t="s">
        <v>1597</v>
      </c>
      <c r="C11458" t="s">
        <v>14685</v>
      </c>
      <c r="D11458" t="s">
        <v>19031</v>
      </c>
      <c r="E11458" t="s">
        <v>28913</v>
      </c>
      <c r="F11458" t="s">
        <v>32831</v>
      </c>
      <c r="G11458" t="s">
        <v>32839</v>
      </c>
      <c r="H11458" t="s">
        <v>32848</v>
      </c>
      <c r="I11458" t="s">
        <v>32864</v>
      </c>
      <c r="J11458" t="s">
        <v>33031</v>
      </c>
      <c r="K11458" t="s">
        <v>42727</v>
      </c>
      <c r="M11458" t="s">
        <v>44719</v>
      </c>
      <c r="N11458" t="s">
        <v>47424</v>
      </c>
      <c r="O11458" t="s">
        <v>47425</v>
      </c>
      <c r="P11458">
        <v>0</v>
      </c>
      <c r="Q11458">
        <v>1</v>
      </c>
      <c r="R11458" t="s">
        <v>47438</v>
      </c>
      <c r="S11458" t="s">
        <v>47793</v>
      </c>
      <c r="T11458" t="s">
        <v>49108</v>
      </c>
      <c r="U11458" t="s">
        <v>59060</v>
      </c>
      <c r="V11458" t="s">
        <v>63051</v>
      </c>
      <c r="W11458" t="s">
        <v>44719</v>
      </c>
      <c r="X11458" t="s">
        <v>47440</v>
      </c>
    </row>
    <row r="11459" spans="1:24">
      <c r="A11459">
        <f>HYPERLINK("https://www.philgeps.gov.ph/GEPSNONPILOT/Tender/SplashBidNoticeAbstractUI.aspx?menuIndex=3&amp;refID=7147999&amp;Result=3","7147999")</f>
        <v>0</v>
      </c>
      <c r="B11459" t="s">
        <v>3394</v>
      </c>
      <c r="C11459" t="s">
        <v>6330</v>
      </c>
      <c r="D11459" t="s">
        <v>19045</v>
      </c>
      <c r="E11459" t="s">
        <v>28914</v>
      </c>
      <c r="F11459" t="s">
        <v>32831</v>
      </c>
      <c r="G11459" t="s">
        <v>32839</v>
      </c>
      <c r="H11459" t="s">
        <v>32849</v>
      </c>
      <c r="I11459" t="s">
        <v>4177</v>
      </c>
      <c r="J11459" t="s">
        <v>40022</v>
      </c>
      <c r="K11459" t="s">
        <v>42798</v>
      </c>
      <c r="M11459" t="s">
        <v>46726</v>
      </c>
      <c r="N11459" t="s">
        <v>47424</v>
      </c>
      <c r="O11459" t="s">
        <v>47425</v>
      </c>
      <c r="P11459">
        <v>0</v>
      </c>
      <c r="Q11459">
        <v>0</v>
      </c>
      <c r="R11459" t="s">
        <v>47437</v>
      </c>
      <c r="S11459" t="s">
        <v>47706</v>
      </c>
      <c r="T11459" t="s">
        <v>49129</v>
      </c>
      <c r="U11459" t="s">
        <v>59061</v>
      </c>
      <c r="W11459" t="s">
        <v>46726</v>
      </c>
      <c r="X11459" t="s">
        <v>47438</v>
      </c>
    </row>
    <row r="11460" spans="1:24">
      <c r="A11460">
        <f>HYPERLINK("https://www.philgeps.gov.ph/GEPSNONPILOT/Tender/SplashBidNoticeAbstractUI.aspx?menuIndex=3&amp;refID=7142090&amp;Result=3","7142090")</f>
        <v>0</v>
      </c>
      <c r="B11460" t="s">
        <v>3395</v>
      </c>
      <c r="C11460" t="s">
        <v>14686</v>
      </c>
      <c r="D11460" t="s">
        <v>19068</v>
      </c>
      <c r="E11460" t="s">
        <v>28915</v>
      </c>
      <c r="F11460" t="s">
        <v>32831</v>
      </c>
      <c r="G11460" t="s">
        <v>32839</v>
      </c>
      <c r="H11460" t="s">
        <v>32848</v>
      </c>
      <c r="I11460" t="s">
        <v>32854</v>
      </c>
      <c r="J11460" t="s">
        <v>33364</v>
      </c>
      <c r="K11460" t="s">
        <v>42779</v>
      </c>
      <c r="L11460" t="s">
        <v>3395</v>
      </c>
      <c r="M11460" t="s">
        <v>46727</v>
      </c>
      <c r="N11460" t="s">
        <v>47424</v>
      </c>
      <c r="O11460" t="s">
        <v>47425</v>
      </c>
      <c r="P11460">
        <v>0</v>
      </c>
      <c r="Q11460">
        <v>0</v>
      </c>
      <c r="R11460" t="s">
        <v>47438</v>
      </c>
      <c r="S11460" t="s">
        <v>47793</v>
      </c>
      <c r="T11460" t="s">
        <v>49221</v>
      </c>
      <c r="U11460" t="s">
        <v>59062</v>
      </c>
      <c r="V11460" t="s">
        <v>63891</v>
      </c>
      <c r="W11460" t="s">
        <v>46727</v>
      </c>
      <c r="X11460" t="s">
        <v>47439</v>
      </c>
    </row>
    <row r="11461" spans="1:24">
      <c r="A11461">
        <f>HYPERLINK("https://www.philgeps.gov.ph/GEPSNONPILOT/Tender/SplashBidNoticeAbstractUI.aspx?menuIndex=3&amp;refID=7141016&amp;Result=3","7141016")</f>
        <v>0</v>
      </c>
      <c r="B11461" t="s">
        <v>75</v>
      </c>
      <c r="C11461" t="s">
        <v>14687</v>
      </c>
      <c r="D11461" t="s">
        <v>19046</v>
      </c>
      <c r="E11461" t="s">
        <v>28916</v>
      </c>
      <c r="F11461" t="s">
        <v>32831</v>
      </c>
      <c r="G11461" t="s">
        <v>32839</v>
      </c>
      <c r="H11461" t="s">
        <v>32849</v>
      </c>
      <c r="I11461" t="s">
        <v>4177</v>
      </c>
      <c r="J11461" t="s">
        <v>40023</v>
      </c>
      <c r="K11461" t="s">
        <v>42730</v>
      </c>
      <c r="M11461" t="s">
        <v>43072</v>
      </c>
      <c r="N11461" t="s">
        <v>47424</v>
      </c>
      <c r="O11461" t="s">
        <v>47425</v>
      </c>
      <c r="P11461">
        <v>0</v>
      </c>
      <c r="Q11461">
        <v>2</v>
      </c>
      <c r="R11461" t="s">
        <v>47438</v>
      </c>
      <c r="S11461" t="s">
        <v>47793</v>
      </c>
      <c r="T11461" t="s">
        <v>49057</v>
      </c>
      <c r="U11461" t="s">
        <v>59063</v>
      </c>
      <c r="W11461" t="s">
        <v>43072</v>
      </c>
      <c r="X11461" t="s">
        <v>47440</v>
      </c>
    </row>
    <row r="11462" spans="1:24">
      <c r="A11462">
        <f>HYPERLINK("https://www.philgeps.gov.ph/GEPSNONPILOT/Tender/SplashBidNoticeAbstractUI.aspx?menuIndex=3&amp;refID=7140995&amp;Result=3","7140995")</f>
        <v>0</v>
      </c>
      <c r="B11462" t="s">
        <v>2192</v>
      </c>
      <c r="C11462" t="s">
        <v>14688</v>
      </c>
      <c r="D11462" t="s">
        <v>19037</v>
      </c>
      <c r="E11462" t="s">
        <v>28917</v>
      </c>
      <c r="F11462" t="s">
        <v>32831</v>
      </c>
      <c r="G11462" t="s">
        <v>32839</v>
      </c>
      <c r="H11462" t="s">
        <v>32849</v>
      </c>
      <c r="I11462" t="s">
        <v>4177</v>
      </c>
      <c r="J11462" t="s">
        <v>33118</v>
      </c>
      <c r="K11462" t="s">
        <v>42747</v>
      </c>
      <c r="M11462" t="s">
        <v>45372</v>
      </c>
      <c r="N11462" t="s">
        <v>47424</v>
      </c>
      <c r="O11462" t="s">
        <v>47425</v>
      </c>
      <c r="P11462">
        <v>0</v>
      </c>
      <c r="Q11462">
        <v>0</v>
      </c>
      <c r="R11462" t="s">
        <v>47438</v>
      </c>
      <c r="S11462" t="s">
        <v>47793</v>
      </c>
      <c r="T11462" t="s">
        <v>49172</v>
      </c>
      <c r="U11462" t="s">
        <v>59064</v>
      </c>
      <c r="W11462" t="s">
        <v>45372</v>
      </c>
      <c r="X11462" t="s">
        <v>47440</v>
      </c>
    </row>
    <row r="11463" spans="1:24">
      <c r="A11463">
        <f>HYPERLINK("https://www.philgeps.gov.ph/GEPSNONPILOT/Tender/SplashBidNoticeAbstractUI.aspx?menuIndex=3&amp;refID=7141167&amp;Result=3","7141167")</f>
        <v>0</v>
      </c>
      <c r="B11463" t="s">
        <v>1597</v>
      </c>
      <c r="C11463" t="s">
        <v>14689</v>
      </c>
      <c r="D11463" t="s">
        <v>19031</v>
      </c>
      <c r="E11463" t="s">
        <v>28918</v>
      </c>
      <c r="F11463" t="s">
        <v>32831</v>
      </c>
      <c r="G11463" t="s">
        <v>32839</v>
      </c>
      <c r="H11463" t="s">
        <v>32848</v>
      </c>
      <c r="I11463" t="s">
        <v>32870</v>
      </c>
      <c r="J11463" t="s">
        <v>40024</v>
      </c>
      <c r="K11463" t="s">
        <v>42729</v>
      </c>
      <c r="M11463" t="s">
        <v>44719</v>
      </c>
      <c r="N11463" t="s">
        <v>47424</v>
      </c>
      <c r="O11463" t="s">
        <v>47425</v>
      </c>
      <c r="P11463">
        <v>0</v>
      </c>
      <c r="Q11463">
        <v>0</v>
      </c>
      <c r="R11463" t="s">
        <v>47438</v>
      </c>
      <c r="S11463" t="s">
        <v>47793</v>
      </c>
      <c r="T11463" t="s">
        <v>49291</v>
      </c>
      <c r="U11463" t="s">
        <v>59065</v>
      </c>
      <c r="V11463" t="s">
        <v>63051</v>
      </c>
      <c r="W11463" t="s">
        <v>44719</v>
      </c>
      <c r="X11463" t="s">
        <v>47440</v>
      </c>
    </row>
    <row r="11464" spans="1:24">
      <c r="A11464">
        <f>HYPERLINK("https://www.philgeps.gov.ph/GEPSNONPILOT/Tender/SplashBidNoticeAbstractUI.aspx?menuIndex=3&amp;refID=7142088&amp;Result=3","7142088")</f>
        <v>0</v>
      </c>
      <c r="B11464" t="s">
        <v>3395</v>
      </c>
      <c r="C11464" t="s">
        <v>14690</v>
      </c>
      <c r="D11464" t="s">
        <v>19068</v>
      </c>
      <c r="E11464" t="s">
        <v>28919</v>
      </c>
      <c r="F11464" t="s">
        <v>32831</v>
      </c>
      <c r="G11464" t="s">
        <v>32839</v>
      </c>
      <c r="H11464" t="s">
        <v>32848</v>
      </c>
      <c r="I11464" t="s">
        <v>32860</v>
      </c>
      <c r="J11464" t="s">
        <v>33175</v>
      </c>
      <c r="K11464" t="s">
        <v>42779</v>
      </c>
      <c r="L11464" t="s">
        <v>3395</v>
      </c>
      <c r="M11464" t="s">
        <v>46727</v>
      </c>
      <c r="N11464" t="s">
        <v>47424</v>
      </c>
      <c r="O11464" t="s">
        <v>47425</v>
      </c>
      <c r="P11464">
        <v>0</v>
      </c>
      <c r="Q11464">
        <v>0</v>
      </c>
      <c r="R11464" t="s">
        <v>47438</v>
      </c>
      <c r="S11464" t="s">
        <v>47793</v>
      </c>
      <c r="T11464" t="s">
        <v>49221</v>
      </c>
      <c r="U11464" t="s">
        <v>59066</v>
      </c>
      <c r="V11464" t="s">
        <v>63891</v>
      </c>
      <c r="W11464" t="s">
        <v>46727</v>
      </c>
      <c r="X11464" t="s">
        <v>47439</v>
      </c>
    </row>
    <row r="11465" spans="1:24">
      <c r="A11465">
        <f>HYPERLINK("https://www.philgeps.gov.ph/GEPSNONPILOT/Tender/SplashBidNoticeAbstractUI.aspx?menuIndex=3&amp;refID=7142086&amp;Result=3","7142086")</f>
        <v>0</v>
      </c>
      <c r="B11465" t="s">
        <v>3395</v>
      </c>
      <c r="C11465" t="s">
        <v>14691</v>
      </c>
      <c r="D11465" t="s">
        <v>19068</v>
      </c>
      <c r="E11465" t="s">
        <v>28920</v>
      </c>
      <c r="F11465" t="s">
        <v>32831</v>
      </c>
      <c r="G11465" t="s">
        <v>32839</v>
      </c>
      <c r="H11465" t="s">
        <v>32848</v>
      </c>
      <c r="I11465" t="s">
        <v>32895</v>
      </c>
      <c r="J11465" t="s">
        <v>40025</v>
      </c>
      <c r="K11465" t="s">
        <v>42779</v>
      </c>
      <c r="L11465" t="s">
        <v>3395</v>
      </c>
      <c r="M11465" t="s">
        <v>46727</v>
      </c>
      <c r="N11465" t="s">
        <v>47424</v>
      </c>
      <c r="O11465" t="s">
        <v>47425</v>
      </c>
      <c r="P11465">
        <v>0</v>
      </c>
      <c r="Q11465">
        <v>0</v>
      </c>
      <c r="R11465" t="s">
        <v>47438</v>
      </c>
      <c r="S11465" t="s">
        <v>47793</v>
      </c>
      <c r="T11465" t="s">
        <v>49221</v>
      </c>
      <c r="U11465" t="s">
        <v>59067</v>
      </c>
      <c r="V11465" t="s">
        <v>63891</v>
      </c>
      <c r="W11465" t="s">
        <v>46727</v>
      </c>
      <c r="X11465" t="s">
        <v>47439</v>
      </c>
    </row>
    <row r="11466" spans="1:24">
      <c r="A11466">
        <f>HYPERLINK("https://www.philgeps.gov.ph/GEPSNONPILOT/Tender/SplashBidNoticeAbstractUI.aspx?menuIndex=3&amp;refID=7142085&amp;Result=3","7142085")</f>
        <v>0</v>
      </c>
      <c r="B11466" t="s">
        <v>3395</v>
      </c>
      <c r="C11466" t="s">
        <v>14692</v>
      </c>
      <c r="D11466" t="s">
        <v>19068</v>
      </c>
      <c r="E11466" t="s">
        <v>28712</v>
      </c>
      <c r="F11466" t="s">
        <v>32831</v>
      </c>
      <c r="G11466" t="s">
        <v>32839</v>
      </c>
      <c r="H11466" t="s">
        <v>32848</v>
      </c>
      <c r="I11466" t="s">
        <v>4776</v>
      </c>
      <c r="J11466" t="s">
        <v>33025</v>
      </c>
      <c r="K11466" t="s">
        <v>42779</v>
      </c>
      <c r="L11466" t="s">
        <v>3395</v>
      </c>
      <c r="M11466" t="s">
        <v>46727</v>
      </c>
      <c r="N11466" t="s">
        <v>47424</v>
      </c>
      <c r="O11466" t="s">
        <v>47425</v>
      </c>
      <c r="P11466">
        <v>0</v>
      </c>
      <c r="Q11466">
        <v>1</v>
      </c>
      <c r="R11466" t="s">
        <v>47438</v>
      </c>
      <c r="S11466" t="s">
        <v>47793</v>
      </c>
      <c r="T11466" t="s">
        <v>49221</v>
      </c>
      <c r="U11466" t="s">
        <v>59068</v>
      </c>
      <c r="V11466" t="s">
        <v>63891</v>
      </c>
      <c r="W11466" t="s">
        <v>46727</v>
      </c>
      <c r="X11466" t="s">
        <v>47439</v>
      </c>
    </row>
    <row r="11467" spans="1:24">
      <c r="A11467">
        <f>HYPERLINK("https://www.philgeps.gov.ph/GEPSNONPILOT/Tender/SplashBidNoticeAbstractUI.aspx?menuIndex=3&amp;refID=7142081&amp;Result=3","7142081")</f>
        <v>0</v>
      </c>
      <c r="B11467" t="s">
        <v>3396</v>
      </c>
      <c r="C11467" t="s">
        <v>14693</v>
      </c>
      <c r="D11467" t="s">
        <v>19097</v>
      </c>
      <c r="E11467" t="s">
        <v>21296</v>
      </c>
      <c r="F11467" t="s">
        <v>32831</v>
      </c>
      <c r="G11467" t="s">
        <v>32839</v>
      </c>
      <c r="H11467" t="s">
        <v>32849</v>
      </c>
      <c r="I11467" t="s">
        <v>4177</v>
      </c>
      <c r="J11467" t="s">
        <v>33528</v>
      </c>
      <c r="K11467" t="s">
        <v>42780</v>
      </c>
      <c r="M11467" t="s">
        <v>46728</v>
      </c>
      <c r="N11467" t="s">
        <v>47424</v>
      </c>
      <c r="O11467" t="s">
        <v>47425</v>
      </c>
      <c r="P11467">
        <v>0</v>
      </c>
      <c r="Q11467">
        <v>3</v>
      </c>
      <c r="R11467" t="s">
        <v>47438</v>
      </c>
      <c r="S11467" t="s">
        <v>47793</v>
      </c>
      <c r="T11467" t="s">
        <v>49066</v>
      </c>
      <c r="U11467" t="s">
        <v>59069</v>
      </c>
      <c r="W11467" t="s">
        <v>46728</v>
      </c>
      <c r="X11467" t="s">
        <v>47439</v>
      </c>
    </row>
    <row r="11468" spans="1:24">
      <c r="A11468">
        <f>HYPERLINK("https://www.philgeps.gov.ph/GEPSNONPILOT/Tender/SplashBidNoticeAbstractUI.aspx?menuIndex=3&amp;refID=7142089&amp;Result=3","7142089")</f>
        <v>0</v>
      </c>
      <c r="B11468" t="s">
        <v>3162</v>
      </c>
      <c r="C11468" t="s">
        <v>8107</v>
      </c>
      <c r="D11468" t="s">
        <v>19044</v>
      </c>
      <c r="E11468" t="s">
        <v>28921</v>
      </c>
      <c r="F11468" t="s">
        <v>32831</v>
      </c>
      <c r="G11468" t="s">
        <v>32839</v>
      </c>
      <c r="H11468" t="s">
        <v>32849</v>
      </c>
      <c r="I11468" t="s">
        <v>7416</v>
      </c>
      <c r="J11468" t="s">
        <v>40026</v>
      </c>
      <c r="K11468" t="s">
        <v>42732</v>
      </c>
      <c r="M11468" t="s">
        <v>46467</v>
      </c>
      <c r="N11468" t="s">
        <v>47424</v>
      </c>
      <c r="O11468" t="s">
        <v>47425</v>
      </c>
      <c r="P11468">
        <v>0</v>
      </c>
      <c r="Q11468">
        <v>0</v>
      </c>
      <c r="R11468" t="s">
        <v>47438</v>
      </c>
      <c r="S11468" t="s">
        <v>47793</v>
      </c>
      <c r="T11468" t="s">
        <v>49208</v>
      </c>
      <c r="U11468" t="s">
        <v>59070</v>
      </c>
      <c r="W11468" t="s">
        <v>46467</v>
      </c>
      <c r="X11468" t="s">
        <v>47439</v>
      </c>
    </row>
    <row r="11469" spans="1:24">
      <c r="A11469">
        <f>HYPERLINK("https://www.philgeps.gov.ph/GEPSNONPILOT/Tender/SplashBidNoticeAbstractUI.aspx?menuIndex=3&amp;refID=7147984&amp;Result=3","7147984")</f>
        <v>0</v>
      </c>
      <c r="B11469" t="s">
        <v>3397</v>
      </c>
      <c r="C11469" t="s">
        <v>14694</v>
      </c>
      <c r="D11469" t="s">
        <v>19091</v>
      </c>
      <c r="E11469" t="s">
        <v>19203</v>
      </c>
      <c r="F11469" t="s">
        <v>32831</v>
      </c>
      <c r="G11469" t="s">
        <v>32839</v>
      </c>
      <c r="H11469" t="s">
        <v>32849</v>
      </c>
      <c r="I11469" t="s">
        <v>4177</v>
      </c>
      <c r="J11469" t="s">
        <v>40027</v>
      </c>
      <c r="K11469" t="s">
        <v>42730</v>
      </c>
      <c r="M11469" t="s">
        <v>46729</v>
      </c>
      <c r="N11469" t="s">
        <v>47424</v>
      </c>
      <c r="O11469" t="s">
        <v>47425</v>
      </c>
      <c r="P11469">
        <v>0</v>
      </c>
      <c r="Q11469">
        <v>0</v>
      </c>
      <c r="R11469" t="s">
        <v>47437</v>
      </c>
      <c r="S11469" t="s">
        <v>47706</v>
      </c>
      <c r="T11469" t="s">
        <v>49302</v>
      </c>
      <c r="U11469" t="s">
        <v>59071</v>
      </c>
      <c r="W11469" t="s">
        <v>46729</v>
      </c>
      <c r="X11469" t="s">
        <v>47438</v>
      </c>
    </row>
    <row r="11470" spans="1:24">
      <c r="A11470">
        <f>HYPERLINK("https://www.philgeps.gov.ph/GEPSNONPILOT/Tender/SplashBidNoticeAbstractUI.aspx?menuIndex=3&amp;refID=7141179&amp;Result=3","7141179")</f>
        <v>0</v>
      </c>
      <c r="B11470" t="s">
        <v>1597</v>
      </c>
      <c r="C11470" t="s">
        <v>14695</v>
      </c>
      <c r="D11470" t="s">
        <v>19031</v>
      </c>
      <c r="E11470" t="s">
        <v>28922</v>
      </c>
      <c r="F11470" t="s">
        <v>32831</v>
      </c>
      <c r="G11470" t="s">
        <v>32839</v>
      </c>
      <c r="H11470" t="s">
        <v>32848</v>
      </c>
      <c r="I11470" t="s">
        <v>32870</v>
      </c>
      <c r="J11470" t="s">
        <v>40028</v>
      </c>
      <c r="K11470" t="s">
        <v>42773</v>
      </c>
      <c r="M11470" t="s">
        <v>44719</v>
      </c>
      <c r="N11470" t="s">
        <v>47424</v>
      </c>
      <c r="O11470" t="s">
        <v>47425</v>
      </c>
      <c r="P11470">
        <v>0</v>
      </c>
      <c r="Q11470">
        <v>0</v>
      </c>
      <c r="R11470" t="s">
        <v>47438</v>
      </c>
      <c r="S11470" t="s">
        <v>47793</v>
      </c>
      <c r="T11470" t="s">
        <v>49291</v>
      </c>
      <c r="U11470" t="s">
        <v>59065</v>
      </c>
      <c r="V11470" t="s">
        <v>63051</v>
      </c>
      <c r="W11470" t="s">
        <v>44719</v>
      </c>
      <c r="X11470" t="s">
        <v>47440</v>
      </c>
    </row>
    <row r="11471" spans="1:24">
      <c r="A11471">
        <f>HYPERLINK("https://www.philgeps.gov.ph/GEPSNONPILOT/Tender/SplashBidNoticeAbstractUI.aspx?menuIndex=3&amp;refID=7141991&amp;Result=3","7141991")</f>
        <v>0</v>
      </c>
      <c r="B11471" t="s">
        <v>3398</v>
      </c>
      <c r="C11471" t="s">
        <v>14696</v>
      </c>
      <c r="E11471" t="s">
        <v>22173</v>
      </c>
      <c r="F11471" t="s">
        <v>32831</v>
      </c>
      <c r="G11471" t="s">
        <v>32839</v>
      </c>
      <c r="H11471" t="s">
        <v>32848</v>
      </c>
      <c r="I11471" t="s">
        <v>32863</v>
      </c>
      <c r="J11471" t="s">
        <v>40029</v>
      </c>
      <c r="K11471" t="s">
        <v>42732</v>
      </c>
      <c r="M11471" t="s">
        <v>46730</v>
      </c>
      <c r="N11471" t="s">
        <v>47424</v>
      </c>
      <c r="O11471" t="s">
        <v>47425</v>
      </c>
      <c r="P11471">
        <v>0</v>
      </c>
      <c r="Q11471">
        <v>3</v>
      </c>
      <c r="R11471" t="s">
        <v>47438</v>
      </c>
      <c r="S11471" t="s">
        <v>47793</v>
      </c>
      <c r="T11471" t="s">
        <v>49495</v>
      </c>
      <c r="U11471" t="s">
        <v>59072</v>
      </c>
      <c r="V11471" t="s">
        <v>63892</v>
      </c>
      <c r="W11471" t="s">
        <v>46730</v>
      </c>
      <c r="X11471" t="s">
        <v>47440</v>
      </c>
    </row>
    <row r="11472" spans="1:24">
      <c r="A11472">
        <f>HYPERLINK("https://www.philgeps.gov.ph/GEPSNONPILOT/Tender/SplashBidNoticeAbstractUI.aspx?menuIndex=3&amp;refID=7141575&amp;Result=3","7141575")</f>
        <v>0</v>
      </c>
      <c r="B11472" t="s">
        <v>3399</v>
      </c>
      <c r="C11472" t="s">
        <v>14697</v>
      </c>
      <c r="D11472" t="s">
        <v>19034</v>
      </c>
      <c r="E11472" t="s">
        <v>28923</v>
      </c>
      <c r="F11472" t="s">
        <v>32831</v>
      </c>
      <c r="G11472" t="s">
        <v>32839</v>
      </c>
      <c r="H11472" t="s">
        <v>32849</v>
      </c>
      <c r="I11472" t="s">
        <v>4177</v>
      </c>
      <c r="J11472" t="s">
        <v>32978</v>
      </c>
      <c r="K11472" t="s">
        <v>42730</v>
      </c>
      <c r="M11472" t="s">
        <v>46731</v>
      </c>
      <c r="N11472" t="s">
        <v>47424</v>
      </c>
      <c r="O11472" t="s">
        <v>47425</v>
      </c>
      <c r="P11472">
        <v>0</v>
      </c>
      <c r="Q11472">
        <v>0</v>
      </c>
      <c r="R11472" t="s">
        <v>47438</v>
      </c>
      <c r="S11472" t="s">
        <v>47793</v>
      </c>
      <c r="T11472" t="s">
        <v>49071</v>
      </c>
      <c r="U11472" t="s">
        <v>59073</v>
      </c>
      <c r="W11472" t="s">
        <v>46731</v>
      </c>
      <c r="X11472" t="s">
        <v>47440</v>
      </c>
    </row>
    <row r="11473" spans="1:24">
      <c r="A11473">
        <f>HYPERLINK("https://www.philgeps.gov.ph/GEPSNONPILOT/Tender/SplashBidNoticeAbstractUI.aspx?menuIndex=3&amp;refID=7141979&amp;Result=3","7141979")</f>
        <v>0</v>
      </c>
      <c r="B11473" t="s">
        <v>3398</v>
      </c>
      <c r="C11473" t="s">
        <v>14698</v>
      </c>
      <c r="E11473" t="s">
        <v>27586</v>
      </c>
      <c r="F11473" t="s">
        <v>32831</v>
      </c>
      <c r="G11473" t="s">
        <v>32839</v>
      </c>
      <c r="H11473" t="s">
        <v>32848</v>
      </c>
      <c r="I11473" t="s">
        <v>32863</v>
      </c>
      <c r="J11473" t="s">
        <v>33528</v>
      </c>
      <c r="K11473" t="s">
        <v>42732</v>
      </c>
      <c r="M11473" t="s">
        <v>46730</v>
      </c>
      <c r="N11473" t="s">
        <v>47424</v>
      </c>
      <c r="O11473" t="s">
        <v>47425</v>
      </c>
      <c r="P11473">
        <v>0</v>
      </c>
      <c r="Q11473">
        <v>3</v>
      </c>
      <c r="R11473" t="s">
        <v>47438</v>
      </c>
      <c r="S11473" t="s">
        <v>47793</v>
      </c>
      <c r="T11473" t="s">
        <v>49057</v>
      </c>
      <c r="U11473" t="s">
        <v>59074</v>
      </c>
      <c r="V11473" t="s">
        <v>63892</v>
      </c>
      <c r="W11473" t="s">
        <v>46730</v>
      </c>
      <c r="X11473" t="s">
        <v>47440</v>
      </c>
    </row>
    <row r="11474" spans="1:24">
      <c r="A11474">
        <f>HYPERLINK("https://www.philgeps.gov.ph/GEPSNONPILOT/Tender/SplashBidNoticeAbstractUI.aspx?menuIndex=3&amp;refID=7141437&amp;Result=3","7141437")</f>
        <v>0</v>
      </c>
      <c r="B11474" t="s">
        <v>104</v>
      </c>
      <c r="C11474" t="s">
        <v>14699</v>
      </c>
      <c r="E11474" t="s">
        <v>28924</v>
      </c>
      <c r="F11474" t="s">
        <v>32831</v>
      </c>
      <c r="G11474" t="s">
        <v>32839</v>
      </c>
      <c r="H11474" t="s">
        <v>32848</v>
      </c>
      <c r="I11474" t="s">
        <v>32871</v>
      </c>
      <c r="J11474" t="s">
        <v>37336</v>
      </c>
      <c r="K11474" t="s">
        <v>42732</v>
      </c>
      <c r="M11474" t="s">
        <v>46604</v>
      </c>
      <c r="N11474" t="s">
        <v>47424</v>
      </c>
      <c r="O11474" t="s">
        <v>47425</v>
      </c>
      <c r="P11474">
        <v>0</v>
      </c>
      <c r="Q11474">
        <v>20</v>
      </c>
      <c r="R11474" t="s">
        <v>47438</v>
      </c>
      <c r="S11474" t="s">
        <v>47793</v>
      </c>
      <c r="T11474" t="s">
        <v>49069</v>
      </c>
      <c r="U11474" t="s">
        <v>59075</v>
      </c>
      <c r="W11474" t="s">
        <v>46604</v>
      </c>
      <c r="X11474" t="s">
        <v>47440</v>
      </c>
    </row>
    <row r="11475" spans="1:24">
      <c r="A11475">
        <f>HYPERLINK("https://www.philgeps.gov.ph/GEPSNONPILOT/Tender/SplashBidNoticeAbstractUI.aspx?menuIndex=3&amp;refID=7141814&amp;Result=3","7141814")</f>
        <v>0</v>
      </c>
      <c r="B11475" t="s">
        <v>3400</v>
      </c>
      <c r="C11475" t="s">
        <v>14700</v>
      </c>
      <c r="D11475" t="s">
        <v>19023</v>
      </c>
      <c r="E11475" t="s">
        <v>28925</v>
      </c>
      <c r="F11475" t="s">
        <v>32831</v>
      </c>
      <c r="G11475" t="s">
        <v>32839</v>
      </c>
      <c r="H11475" t="s">
        <v>32849</v>
      </c>
      <c r="I11475" t="s">
        <v>4177</v>
      </c>
      <c r="J11475" t="s">
        <v>40030</v>
      </c>
      <c r="K11475" t="s">
        <v>42727</v>
      </c>
      <c r="M11475" t="s">
        <v>46732</v>
      </c>
      <c r="N11475" t="s">
        <v>47424</v>
      </c>
      <c r="O11475" t="s">
        <v>47425</v>
      </c>
      <c r="P11475">
        <v>0</v>
      </c>
      <c r="Q11475">
        <v>1</v>
      </c>
      <c r="R11475" t="s">
        <v>47438</v>
      </c>
      <c r="S11475" t="s">
        <v>47793</v>
      </c>
      <c r="T11475" t="s">
        <v>49106</v>
      </c>
      <c r="U11475" t="s">
        <v>59076</v>
      </c>
      <c r="V11475" t="s">
        <v>63893</v>
      </c>
      <c r="W11475" t="s">
        <v>46732</v>
      </c>
      <c r="X11475" t="s">
        <v>47440</v>
      </c>
    </row>
    <row r="11476" spans="1:24">
      <c r="A11476">
        <f>HYPERLINK("https://www.philgeps.gov.ph/GEPSNONPILOT/Tender/SplashBidNoticeAbstractUI.aspx?menuIndex=3&amp;refID=7141374&amp;Result=3","7141374")</f>
        <v>0</v>
      </c>
      <c r="B11476" t="s">
        <v>104</v>
      </c>
      <c r="C11476" t="s">
        <v>14701</v>
      </c>
      <c r="E11476" t="s">
        <v>28926</v>
      </c>
      <c r="F11476" t="s">
        <v>32831</v>
      </c>
      <c r="G11476" t="s">
        <v>32839</v>
      </c>
      <c r="H11476" t="s">
        <v>32848</v>
      </c>
      <c r="I11476" t="s">
        <v>32871</v>
      </c>
      <c r="J11476" t="s">
        <v>38297</v>
      </c>
      <c r="K11476" t="s">
        <v>42732</v>
      </c>
      <c r="M11476" t="s">
        <v>46604</v>
      </c>
      <c r="N11476" t="s">
        <v>47424</v>
      </c>
      <c r="O11476" t="s">
        <v>47425</v>
      </c>
      <c r="P11476">
        <v>0</v>
      </c>
      <c r="Q11476">
        <v>8</v>
      </c>
      <c r="R11476" t="s">
        <v>47438</v>
      </c>
      <c r="S11476" t="s">
        <v>47793</v>
      </c>
      <c r="T11476" t="s">
        <v>49069</v>
      </c>
      <c r="U11476" t="s">
        <v>59077</v>
      </c>
      <c r="W11476" t="s">
        <v>46604</v>
      </c>
      <c r="X11476" t="s">
        <v>47440</v>
      </c>
    </row>
    <row r="11477" spans="1:24">
      <c r="A11477">
        <f>HYPERLINK("https://www.philgeps.gov.ph/GEPSNONPILOT/Tender/SplashBidNoticeAbstractUI.aspx?menuIndex=3&amp;refID=7141396&amp;Result=3","7141396")</f>
        <v>0</v>
      </c>
      <c r="B11477" t="s">
        <v>104</v>
      </c>
      <c r="C11477" t="s">
        <v>14702</v>
      </c>
      <c r="E11477" t="s">
        <v>28927</v>
      </c>
      <c r="F11477" t="s">
        <v>32831</v>
      </c>
      <c r="G11477" t="s">
        <v>32841</v>
      </c>
      <c r="H11477" t="s">
        <v>32848</v>
      </c>
      <c r="I11477" t="s">
        <v>32871</v>
      </c>
      <c r="J11477" t="s">
        <v>32983</v>
      </c>
      <c r="K11477" t="s">
        <v>42732</v>
      </c>
      <c r="M11477" t="s">
        <v>46604</v>
      </c>
      <c r="N11477" t="s">
        <v>47424</v>
      </c>
      <c r="O11477" t="s">
        <v>47425</v>
      </c>
      <c r="P11477">
        <v>0</v>
      </c>
      <c r="Q11477">
        <v>5</v>
      </c>
      <c r="R11477" t="s">
        <v>47438</v>
      </c>
      <c r="S11477" t="s">
        <v>47793</v>
      </c>
      <c r="T11477" t="s">
        <v>49069</v>
      </c>
      <c r="U11477" t="s">
        <v>59078</v>
      </c>
      <c r="W11477" t="s">
        <v>46604</v>
      </c>
      <c r="X11477" t="s">
        <v>47440</v>
      </c>
    </row>
    <row r="11478" spans="1:24">
      <c r="A11478">
        <f>HYPERLINK("https://www.philgeps.gov.ph/GEPSNONPILOT/Tender/SplashBidNoticeAbstractUI.aspx?menuIndex=3&amp;refID=7141334&amp;Result=3","7141334")</f>
        <v>0</v>
      </c>
      <c r="B11478" t="s">
        <v>598</v>
      </c>
      <c r="C11478" t="s">
        <v>14703</v>
      </c>
      <c r="E11478" t="s">
        <v>28928</v>
      </c>
      <c r="F11478" t="s">
        <v>32831</v>
      </c>
      <c r="G11478" t="s">
        <v>32839</v>
      </c>
      <c r="H11478" t="s">
        <v>32848</v>
      </c>
      <c r="I11478" t="s">
        <v>32851</v>
      </c>
      <c r="J11478" t="s">
        <v>34828</v>
      </c>
      <c r="K11478" t="s">
        <v>42732</v>
      </c>
      <c r="M11478" t="s">
        <v>43991</v>
      </c>
      <c r="N11478" t="s">
        <v>47424</v>
      </c>
      <c r="O11478" t="s">
        <v>47425</v>
      </c>
      <c r="P11478">
        <v>0</v>
      </c>
      <c r="Q11478">
        <v>9</v>
      </c>
      <c r="R11478" t="s">
        <v>47438</v>
      </c>
      <c r="S11478" t="s">
        <v>47793</v>
      </c>
      <c r="T11478" t="s">
        <v>49310</v>
      </c>
      <c r="U11478" t="s">
        <v>54781</v>
      </c>
      <c r="W11478" t="s">
        <v>43991</v>
      </c>
      <c r="X11478" t="s">
        <v>47440</v>
      </c>
    </row>
    <row r="11479" spans="1:24">
      <c r="A11479">
        <f>HYPERLINK("https://www.philgeps.gov.ph/GEPSNONPILOT/Tender/SplashBidNoticeAbstractUI.aspx?menuIndex=3&amp;refID=7141800&amp;Result=3","7141800")</f>
        <v>0</v>
      </c>
      <c r="B11479" t="s">
        <v>83</v>
      </c>
      <c r="C11479" t="s">
        <v>14704</v>
      </c>
      <c r="D11479" t="s">
        <v>19038</v>
      </c>
      <c r="E11479" t="s">
        <v>28929</v>
      </c>
      <c r="F11479" t="s">
        <v>32831</v>
      </c>
      <c r="G11479" t="s">
        <v>32839</v>
      </c>
      <c r="H11479" t="s">
        <v>32849</v>
      </c>
      <c r="I11479" t="s">
        <v>4177</v>
      </c>
      <c r="J11479" t="s">
        <v>40031</v>
      </c>
      <c r="K11479" t="s">
        <v>42729</v>
      </c>
      <c r="M11479" t="s">
        <v>43080</v>
      </c>
      <c r="N11479" t="s">
        <v>47424</v>
      </c>
      <c r="O11479" t="s">
        <v>47425</v>
      </c>
      <c r="P11479">
        <v>0</v>
      </c>
      <c r="Q11479">
        <v>0</v>
      </c>
      <c r="R11479" t="s">
        <v>47438</v>
      </c>
      <c r="S11479" t="s">
        <v>47793</v>
      </c>
      <c r="T11479" t="s">
        <v>49120</v>
      </c>
      <c r="U11479" t="s">
        <v>59008</v>
      </c>
      <c r="W11479" t="s">
        <v>43080</v>
      </c>
      <c r="X11479" t="s">
        <v>47440</v>
      </c>
    </row>
    <row r="11480" spans="1:24">
      <c r="A11480">
        <f>HYPERLINK("https://www.philgeps.gov.ph/GEPSNONPILOT/Tender/SplashBidNoticeAbstractUI.aspx?menuIndex=3&amp;refID=7141386&amp;Result=3","7141386")</f>
        <v>0</v>
      </c>
      <c r="B11480" t="s">
        <v>598</v>
      </c>
      <c r="C11480" t="s">
        <v>14705</v>
      </c>
      <c r="E11480" t="s">
        <v>28930</v>
      </c>
      <c r="F11480" t="s">
        <v>32831</v>
      </c>
      <c r="G11480" t="s">
        <v>32839</v>
      </c>
      <c r="H11480" t="s">
        <v>32848</v>
      </c>
      <c r="I11480" t="s">
        <v>4487</v>
      </c>
      <c r="J11480" t="s">
        <v>33118</v>
      </c>
      <c r="K11480" t="s">
        <v>42732</v>
      </c>
      <c r="M11480" t="s">
        <v>43991</v>
      </c>
      <c r="N11480" t="s">
        <v>47424</v>
      </c>
      <c r="O11480" t="s">
        <v>47425</v>
      </c>
      <c r="P11480">
        <v>0</v>
      </c>
      <c r="Q11480">
        <v>9</v>
      </c>
      <c r="R11480" t="s">
        <v>47438</v>
      </c>
      <c r="S11480" t="s">
        <v>47793</v>
      </c>
      <c r="T11480" t="s">
        <v>49310</v>
      </c>
      <c r="U11480" t="s">
        <v>54781</v>
      </c>
      <c r="W11480" t="s">
        <v>43991</v>
      </c>
      <c r="X11480" t="s">
        <v>47440</v>
      </c>
    </row>
    <row r="11481" spans="1:24">
      <c r="A11481">
        <f>HYPERLINK("https://www.philgeps.gov.ph/GEPSNONPILOT/Tender/SplashBidNoticeAbstractUI.aspx?menuIndex=3&amp;refID=7142080&amp;Result=3","7142080")</f>
        <v>0</v>
      </c>
      <c r="B11481" t="s">
        <v>1649</v>
      </c>
      <c r="C11481" t="s">
        <v>14706</v>
      </c>
      <c r="D11481" t="s">
        <v>19018</v>
      </c>
      <c r="E11481" t="s">
        <v>28931</v>
      </c>
      <c r="F11481" t="s">
        <v>32831</v>
      </c>
      <c r="G11481" t="s">
        <v>32839</v>
      </c>
      <c r="H11481" t="s">
        <v>32848</v>
      </c>
      <c r="I11481" t="s">
        <v>32867</v>
      </c>
      <c r="J11481" t="s">
        <v>40032</v>
      </c>
      <c r="K11481" t="s">
        <v>42732</v>
      </c>
      <c r="M11481" t="s">
        <v>46118</v>
      </c>
      <c r="N11481" t="s">
        <v>47424</v>
      </c>
      <c r="O11481" t="s">
        <v>47425</v>
      </c>
      <c r="P11481">
        <v>0</v>
      </c>
      <c r="Q11481">
        <v>16</v>
      </c>
      <c r="R11481" t="s">
        <v>47438</v>
      </c>
      <c r="S11481" t="s">
        <v>47793</v>
      </c>
      <c r="T11481" t="s">
        <v>49470</v>
      </c>
      <c r="U11481" t="s">
        <v>59079</v>
      </c>
      <c r="W11481" t="s">
        <v>46118</v>
      </c>
      <c r="X11481" t="s">
        <v>47439</v>
      </c>
    </row>
    <row r="11482" spans="1:24">
      <c r="A11482">
        <f>HYPERLINK("https://www.philgeps.gov.ph/GEPSNONPILOT/Tender/SplashBidNoticeAbstractUI.aspx?menuIndex=3&amp;refID=7141415&amp;Result=3","7141415")</f>
        <v>0</v>
      </c>
      <c r="B11482" t="s">
        <v>104</v>
      </c>
      <c r="C11482" t="s">
        <v>14707</v>
      </c>
      <c r="E11482" t="s">
        <v>28932</v>
      </c>
      <c r="F11482" t="s">
        <v>32831</v>
      </c>
      <c r="G11482" t="s">
        <v>32839</v>
      </c>
      <c r="H11482" t="s">
        <v>32848</v>
      </c>
      <c r="I11482" t="s">
        <v>32871</v>
      </c>
      <c r="J11482" t="s">
        <v>40033</v>
      </c>
      <c r="K11482" t="s">
        <v>42732</v>
      </c>
      <c r="M11482" t="s">
        <v>46604</v>
      </c>
      <c r="N11482" t="s">
        <v>47424</v>
      </c>
      <c r="O11482" t="s">
        <v>47425</v>
      </c>
      <c r="P11482">
        <v>0</v>
      </c>
      <c r="Q11482">
        <v>10</v>
      </c>
      <c r="R11482" t="s">
        <v>47438</v>
      </c>
      <c r="S11482" t="s">
        <v>47793</v>
      </c>
      <c r="T11482" t="s">
        <v>49069</v>
      </c>
      <c r="U11482" t="s">
        <v>59080</v>
      </c>
      <c r="W11482" t="s">
        <v>46604</v>
      </c>
      <c r="X11482" t="s">
        <v>47440</v>
      </c>
    </row>
    <row r="11483" spans="1:24">
      <c r="A11483">
        <f>HYPERLINK("https://www.philgeps.gov.ph/GEPSNONPILOT/Tender/SplashBidNoticeAbstractUI.aspx?menuIndex=3&amp;refID=7140934&amp;Result=3","7140934")</f>
        <v>0</v>
      </c>
      <c r="B11483" t="s">
        <v>72</v>
      </c>
      <c r="C11483" t="s">
        <v>14708</v>
      </c>
      <c r="D11483" t="s">
        <v>19027</v>
      </c>
      <c r="E11483" t="s">
        <v>28933</v>
      </c>
      <c r="F11483" t="s">
        <v>32831</v>
      </c>
      <c r="G11483" t="s">
        <v>32842</v>
      </c>
      <c r="H11483" t="s">
        <v>32848</v>
      </c>
      <c r="I11483" t="s">
        <v>4487</v>
      </c>
      <c r="J11483" t="s">
        <v>40034</v>
      </c>
      <c r="K11483" t="s">
        <v>42745</v>
      </c>
      <c r="M11483" t="s">
        <v>43069</v>
      </c>
      <c r="N11483" t="s">
        <v>47424</v>
      </c>
      <c r="O11483" t="s">
        <v>47425</v>
      </c>
      <c r="P11483">
        <v>0</v>
      </c>
      <c r="Q11483">
        <v>4</v>
      </c>
      <c r="R11483" t="s">
        <v>47438</v>
      </c>
      <c r="S11483" t="s">
        <v>47793</v>
      </c>
      <c r="T11483" t="s">
        <v>49328</v>
      </c>
      <c r="U11483" t="s">
        <v>50732</v>
      </c>
      <c r="W11483" t="s">
        <v>64429</v>
      </c>
      <c r="X11483" t="s">
        <v>47440</v>
      </c>
    </row>
    <row r="11484" spans="1:24">
      <c r="A11484">
        <f>HYPERLINK("https://www.philgeps.gov.ph/GEPSNONPILOT/Tender/SplashBidNoticeAbstractUI.aspx?menuIndex=3&amp;refID=7140957&amp;Result=3","7140957")</f>
        <v>0</v>
      </c>
      <c r="B11484" t="s">
        <v>1597</v>
      </c>
      <c r="C11484" t="s">
        <v>14709</v>
      </c>
      <c r="D11484" t="s">
        <v>19031</v>
      </c>
      <c r="E11484" t="s">
        <v>28934</v>
      </c>
      <c r="F11484" t="s">
        <v>32831</v>
      </c>
      <c r="G11484" t="s">
        <v>32839</v>
      </c>
      <c r="H11484" t="s">
        <v>32848</v>
      </c>
      <c r="I11484" t="s">
        <v>32853</v>
      </c>
      <c r="J11484" t="s">
        <v>40035</v>
      </c>
      <c r="K11484" t="s">
        <v>42727</v>
      </c>
      <c r="M11484" t="s">
        <v>44719</v>
      </c>
      <c r="N11484" t="s">
        <v>47424</v>
      </c>
      <c r="O11484" t="s">
        <v>47425</v>
      </c>
      <c r="P11484">
        <v>0</v>
      </c>
      <c r="Q11484">
        <v>3</v>
      </c>
      <c r="R11484" t="s">
        <v>47438</v>
      </c>
      <c r="S11484" t="s">
        <v>47793</v>
      </c>
      <c r="T11484" t="s">
        <v>49108</v>
      </c>
      <c r="U11484" t="s">
        <v>59081</v>
      </c>
      <c r="V11484" t="s">
        <v>63051</v>
      </c>
      <c r="W11484" t="s">
        <v>44719</v>
      </c>
      <c r="X11484" t="s">
        <v>47440</v>
      </c>
    </row>
    <row r="11485" spans="1:24">
      <c r="A11485">
        <f>HYPERLINK("https://www.philgeps.gov.ph/GEPSNONPILOT/Tender/SplashBidNoticeAbstractUI.aspx?menuIndex=3&amp;refID=7140896&amp;Result=3","7140896")</f>
        <v>0</v>
      </c>
      <c r="B11485" t="s">
        <v>1597</v>
      </c>
      <c r="C11485" t="s">
        <v>14710</v>
      </c>
      <c r="D11485" t="s">
        <v>19031</v>
      </c>
      <c r="E11485" t="s">
        <v>28935</v>
      </c>
      <c r="F11485" t="s">
        <v>32831</v>
      </c>
      <c r="G11485" t="s">
        <v>32839</v>
      </c>
      <c r="H11485" t="s">
        <v>32848</v>
      </c>
      <c r="I11485" t="s">
        <v>32870</v>
      </c>
      <c r="J11485" t="s">
        <v>40036</v>
      </c>
      <c r="K11485" t="s">
        <v>42763</v>
      </c>
      <c r="M11485" t="s">
        <v>44719</v>
      </c>
      <c r="N11485" t="s">
        <v>47424</v>
      </c>
      <c r="O11485" t="s">
        <v>47425</v>
      </c>
      <c r="P11485">
        <v>0</v>
      </c>
      <c r="Q11485">
        <v>0</v>
      </c>
      <c r="R11485" t="s">
        <v>47438</v>
      </c>
      <c r="S11485" t="s">
        <v>47793</v>
      </c>
      <c r="T11485" t="s">
        <v>49108</v>
      </c>
      <c r="U11485" t="s">
        <v>59082</v>
      </c>
      <c r="V11485" t="s">
        <v>63051</v>
      </c>
      <c r="W11485" t="s">
        <v>44719</v>
      </c>
      <c r="X11485" t="s">
        <v>47440</v>
      </c>
    </row>
    <row r="11486" spans="1:24">
      <c r="A11486">
        <f>HYPERLINK("https://www.philgeps.gov.ph/GEPSNONPILOT/Tender/SplashBidNoticeAbstractUI.aspx?menuIndex=3&amp;refID=7140953&amp;Result=3","7140953")</f>
        <v>0</v>
      </c>
      <c r="B11486" t="s">
        <v>2192</v>
      </c>
      <c r="C11486" t="s">
        <v>14711</v>
      </c>
      <c r="D11486" t="s">
        <v>19037</v>
      </c>
      <c r="E11486" t="s">
        <v>28936</v>
      </c>
      <c r="F11486" t="s">
        <v>32831</v>
      </c>
      <c r="G11486" t="s">
        <v>32839</v>
      </c>
      <c r="H11486" t="s">
        <v>32849</v>
      </c>
      <c r="I11486" t="s">
        <v>4177</v>
      </c>
      <c r="J11486" t="s">
        <v>33111</v>
      </c>
      <c r="K11486" t="s">
        <v>42829</v>
      </c>
      <c r="M11486" t="s">
        <v>45372</v>
      </c>
      <c r="N11486" t="s">
        <v>47424</v>
      </c>
      <c r="O11486" t="s">
        <v>47425</v>
      </c>
      <c r="P11486">
        <v>0</v>
      </c>
      <c r="Q11486">
        <v>0</v>
      </c>
      <c r="R11486" t="s">
        <v>47438</v>
      </c>
      <c r="S11486" t="s">
        <v>47793</v>
      </c>
      <c r="T11486" t="s">
        <v>49172</v>
      </c>
      <c r="U11486" t="s">
        <v>59083</v>
      </c>
      <c r="W11486" t="s">
        <v>45372</v>
      </c>
      <c r="X11486" t="s">
        <v>47440</v>
      </c>
    </row>
    <row r="11487" spans="1:24">
      <c r="A11487">
        <f>HYPERLINK("https://www.philgeps.gov.ph/GEPSNONPILOT/Tender/SplashBidNoticeAbstractUI.aspx?menuIndex=3&amp;refID=7142229&amp;Result=3","7142229")</f>
        <v>0</v>
      </c>
      <c r="B11487" t="s">
        <v>781</v>
      </c>
      <c r="C11487" t="s">
        <v>14712</v>
      </c>
      <c r="D11487" t="s">
        <v>19040</v>
      </c>
      <c r="E11487" t="s">
        <v>28937</v>
      </c>
      <c r="F11487" t="s">
        <v>32831</v>
      </c>
      <c r="G11487" t="s">
        <v>32839</v>
      </c>
      <c r="H11487" t="s">
        <v>32848</v>
      </c>
      <c r="I11487" t="s">
        <v>4438</v>
      </c>
      <c r="J11487" t="s">
        <v>33118</v>
      </c>
      <c r="K11487" t="s">
        <v>42730</v>
      </c>
      <c r="M11487" t="s">
        <v>46733</v>
      </c>
      <c r="N11487" t="s">
        <v>47424</v>
      </c>
      <c r="O11487" t="s">
        <v>47425</v>
      </c>
      <c r="P11487">
        <v>0</v>
      </c>
      <c r="Q11487">
        <v>1</v>
      </c>
      <c r="R11487" t="s">
        <v>47438</v>
      </c>
      <c r="S11487" t="s">
        <v>47793</v>
      </c>
      <c r="T11487" t="s">
        <v>49080</v>
      </c>
      <c r="U11487" t="s">
        <v>59084</v>
      </c>
      <c r="W11487" t="s">
        <v>46733</v>
      </c>
      <c r="X11487" t="s">
        <v>47439</v>
      </c>
    </row>
    <row r="11488" spans="1:24">
      <c r="A11488">
        <f>HYPERLINK("https://www.philgeps.gov.ph/GEPSNONPILOT/Tender/SplashBidNoticeAbstractUI.aspx?menuIndex=3&amp;refID=7141999&amp;Result=3","7141999")</f>
        <v>0</v>
      </c>
      <c r="B11488" t="s">
        <v>3401</v>
      </c>
      <c r="C11488" t="s">
        <v>14713</v>
      </c>
      <c r="D11488" t="s">
        <v>19021</v>
      </c>
      <c r="E11488" t="s">
        <v>28938</v>
      </c>
      <c r="F11488" t="s">
        <v>32831</v>
      </c>
      <c r="G11488" t="s">
        <v>32839</v>
      </c>
      <c r="H11488" t="s">
        <v>32849</v>
      </c>
      <c r="I11488" t="s">
        <v>4177</v>
      </c>
      <c r="J11488" t="s">
        <v>33257</v>
      </c>
      <c r="K11488" t="s">
        <v>42763</v>
      </c>
      <c r="M11488" t="s">
        <v>46734</v>
      </c>
      <c r="N11488" t="s">
        <v>47424</v>
      </c>
      <c r="O11488" t="s">
        <v>47425</v>
      </c>
      <c r="P11488">
        <v>0</v>
      </c>
      <c r="Q11488">
        <v>65</v>
      </c>
      <c r="R11488" t="s">
        <v>47438</v>
      </c>
      <c r="S11488" t="s">
        <v>47793</v>
      </c>
      <c r="T11488" t="s">
        <v>49151</v>
      </c>
      <c r="U11488" t="s">
        <v>59085</v>
      </c>
      <c r="V11488" t="s">
        <v>63894</v>
      </c>
      <c r="W11488" t="s">
        <v>46734</v>
      </c>
      <c r="X11488" t="s">
        <v>47440</v>
      </c>
    </row>
    <row r="11489" spans="1:24">
      <c r="A11489">
        <f>HYPERLINK("https://www.philgeps.gov.ph/GEPSNONPILOT/Tender/SplashBidNoticeAbstractUI.aspx?menuIndex=3&amp;refID=7142225&amp;Result=3","7142225")</f>
        <v>0</v>
      </c>
      <c r="B11489" t="s">
        <v>2176</v>
      </c>
      <c r="C11489" t="s">
        <v>14714</v>
      </c>
      <c r="D11489" t="s">
        <v>19022</v>
      </c>
      <c r="E11489" t="s">
        <v>28939</v>
      </c>
      <c r="F11489" t="s">
        <v>32831</v>
      </c>
      <c r="G11489" t="s">
        <v>32839</v>
      </c>
      <c r="H11489" t="s">
        <v>32848</v>
      </c>
      <c r="I11489" t="s">
        <v>7416</v>
      </c>
      <c r="J11489" t="s">
        <v>40037</v>
      </c>
      <c r="K11489" t="s">
        <v>42726</v>
      </c>
      <c r="M11489" t="s">
        <v>45354</v>
      </c>
      <c r="N11489" t="s">
        <v>47424</v>
      </c>
      <c r="O11489" t="s">
        <v>47425</v>
      </c>
      <c r="P11489">
        <v>0</v>
      </c>
      <c r="Q11489">
        <v>1</v>
      </c>
      <c r="R11489" t="s">
        <v>47438</v>
      </c>
      <c r="S11489" t="s">
        <v>47793</v>
      </c>
      <c r="T11489" t="s">
        <v>49524</v>
      </c>
      <c r="U11489" t="s">
        <v>59086</v>
      </c>
      <c r="W11489" t="s">
        <v>45354</v>
      </c>
      <c r="X11489" t="s">
        <v>47439</v>
      </c>
    </row>
    <row r="11490" spans="1:24">
      <c r="A11490">
        <f>HYPERLINK("https://www.philgeps.gov.ph/GEPSNONPILOT/Tender/SplashBidNoticeAbstractUI.aspx?menuIndex=3&amp;refID=7142220&amp;Result=3","7142220")</f>
        <v>0</v>
      </c>
      <c r="B11490" t="s">
        <v>3402</v>
      </c>
      <c r="C11490" t="s">
        <v>14715</v>
      </c>
      <c r="D11490" t="s">
        <v>19056</v>
      </c>
      <c r="E11490" t="s">
        <v>28940</v>
      </c>
      <c r="F11490" t="s">
        <v>32832</v>
      </c>
      <c r="G11490" t="s">
        <v>32839</v>
      </c>
      <c r="H11490" t="s">
        <v>32848</v>
      </c>
      <c r="I11490" t="s">
        <v>32905</v>
      </c>
      <c r="J11490" t="s">
        <v>33090</v>
      </c>
      <c r="K11490" t="s">
        <v>42758</v>
      </c>
      <c r="M11490" t="s">
        <v>46735</v>
      </c>
      <c r="N11490" t="s">
        <v>47424</v>
      </c>
      <c r="O11490" t="s">
        <v>47425</v>
      </c>
      <c r="P11490">
        <v>0</v>
      </c>
      <c r="Q11490">
        <v>0</v>
      </c>
      <c r="R11490" t="s">
        <v>47438</v>
      </c>
      <c r="S11490" t="s">
        <v>47793</v>
      </c>
      <c r="T11490" t="s">
        <v>49104</v>
      </c>
      <c r="U11490" t="s">
        <v>59087</v>
      </c>
      <c r="W11490" t="s">
        <v>46735</v>
      </c>
      <c r="X11490" t="s">
        <v>47439</v>
      </c>
    </row>
    <row r="11491" spans="1:24">
      <c r="A11491">
        <f>HYPERLINK("https://www.philgeps.gov.ph/GEPSNONPILOT/Tender/SplashBidNoticeAbstractUI.aspx?menuIndex=3&amp;refID=7142231&amp;Result=3","7142231")</f>
        <v>0</v>
      </c>
      <c r="B11491" t="s">
        <v>1151</v>
      </c>
      <c r="C11491" t="s">
        <v>14716</v>
      </c>
      <c r="D11491" t="s">
        <v>19091</v>
      </c>
      <c r="E11491" t="s">
        <v>28941</v>
      </c>
      <c r="F11491" t="s">
        <v>32831</v>
      </c>
      <c r="G11491" t="s">
        <v>32839</v>
      </c>
      <c r="H11491" t="s">
        <v>32849</v>
      </c>
      <c r="I11491" t="s">
        <v>4177</v>
      </c>
      <c r="J11491" t="s">
        <v>34100</v>
      </c>
      <c r="K11491" t="s">
        <v>42729</v>
      </c>
      <c r="M11491" t="s">
        <v>44215</v>
      </c>
      <c r="N11491" t="s">
        <v>47424</v>
      </c>
      <c r="O11491" t="s">
        <v>47425</v>
      </c>
      <c r="P11491">
        <v>0</v>
      </c>
      <c r="Q11491">
        <v>0</v>
      </c>
      <c r="R11491" t="s">
        <v>47438</v>
      </c>
      <c r="S11491" t="s">
        <v>47793</v>
      </c>
      <c r="T11491" t="s">
        <v>49302</v>
      </c>
      <c r="U11491" t="s">
        <v>59088</v>
      </c>
      <c r="W11491" t="s">
        <v>44215</v>
      </c>
      <c r="X11491" t="s">
        <v>47439</v>
      </c>
    </row>
    <row r="11492" spans="1:24">
      <c r="A11492">
        <f>HYPERLINK("https://www.philgeps.gov.ph/GEPSNONPILOT/Tender/SplashBidNoticeAbstractUI.aspx?menuIndex=3&amp;refID=7142205&amp;Result=3","7142205")</f>
        <v>0</v>
      </c>
      <c r="B11492" t="s">
        <v>3014</v>
      </c>
      <c r="C11492" t="s">
        <v>14717</v>
      </c>
      <c r="D11492" t="s">
        <v>19062</v>
      </c>
      <c r="E11492" t="s">
        <v>28942</v>
      </c>
      <c r="F11492" t="s">
        <v>32831</v>
      </c>
      <c r="G11492" t="s">
        <v>32839</v>
      </c>
      <c r="H11492" t="s">
        <v>32848</v>
      </c>
      <c r="I11492" t="s">
        <v>4487</v>
      </c>
      <c r="J11492" t="s">
        <v>40038</v>
      </c>
      <c r="K11492" t="s">
        <v>42730</v>
      </c>
      <c r="M11492" t="s">
        <v>46284</v>
      </c>
      <c r="N11492" t="s">
        <v>47424</v>
      </c>
      <c r="O11492" t="s">
        <v>47425</v>
      </c>
      <c r="P11492">
        <v>0</v>
      </c>
      <c r="Q11492">
        <v>12</v>
      </c>
      <c r="R11492" t="s">
        <v>47438</v>
      </c>
      <c r="S11492" t="s">
        <v>47793</v>
      </c>
      <c r="T11492" t="s">
        <v>49089</v>
      </c>
      <c r="U11492" t="s">
        <v>59089</v>
      </c>
      <c r="W11492" t="s">
        <v>46284</v>
      </c>
      <c r="X11492" t="s">
        <v>47439</v>
      </c>
    </row>
    <row r="11493" spans="1:24">
      <c r="A11493">
        <f>HYPERLINK("https://www.philgeps.gov.ph/GEPSNONPILOT/Tender/SplashBidNoticeAbstractUI.aspx?menuIndex=3&amp;refID=7140899&amp;Result=3","7140899")</f>
        <v>0</v>
      </c>
      <c r="B11493" t="s">
        <v>72</v>
      </c>
      <c r="C11493" t="s">
        <v>14718</v>
      </c>
      <c r="D11493" t="s">
        <v>19027</v>
      </c>
      <c r="E11493" t="s">
        <v>28943</v>
      </c>
      <c r="F11493" t="s">
        <v>32831</v>
      </c>
      <c r="G11493" t="s">
        <v>32838</v>
      </c>
      <c r="H11493" t="s">
        <v>32848</v>
      </c>
      <c r="I11493" t="s">
        <v>32871</v>
      </c>
      <c r="J11493" t="s">
        <v>40039</v>
      </c>
      <c r="K11493" t="s">
        <v>42732</v>
      </c>
      <c r="M11493" t="s">
        <v>43069</v>
      </c>
      <c r="N11493" t="s">
        <v>47424</v>
      </c>
      <c r="O11493" t="s">
        <v>47425</v>
      </c>
      <c r="P11493">
        <v>0</v>
      </c>
      <c r="Q11493">
        <v>7</v>
      </c>
      <c r="R11493" t="s">
        <v>47438</v>
      </c>
      <c r="S11493" t="s">
        <v>47793</v>
      </c>
      <c r="T11493" t="s">
        <v>49328</v>
      </c>
      <c r="U11493" t="s">
        <v>50732</v>
      </c>
      <c r="W11493" t="s">
        <v>64429</v>
      </c>
      <c r="X11493" t="s">
        <v>47440</v>
      </c>
    </row>
    <row r="11494" spans="1:24">
      <c r="A11494">
        <f>HYPERLINK("https://www.philgeps.gov.ph/GEPSNONPILOT/Tender/SplashBidNoticeAbstractUI.aspx?menuIndex=3&amp;refID=7142178&amp;Result=3","7142178")</f>
        <v>0</v>
      </c>
      <c r="B11494" t="s">
        <v>2738</v>
      </c>
      <c r="C11494" t="s">
        <v>14719</v>
      </c>
      <c r="D11494" t="s">
        <v>19078</v>
      </c>
      <c r="E11494" t="s">
        <v>28944</v>
      </c>
      <c r="F11494" t="s">
        <v>32831</v>
      </c>
      <c r="G11494" t="s">
        <v>32839</v>
      </c>
      <c r="H11494" t="s">
        <v>32849</v>
      </c>
      <c r="I11494" t="s">
        <v>4177</v>
      </c>
      <c r="J11494" t="s">
        <v>40040</v>
      </c>
      <c r="K11494" t="s">
        <v>42730</v>
      </c>
      <c r="M11494" t="s">
        <v>45966</v>
      </c>
      <c r="N11494" t="s">
        <v>47424</v>
      </c>
      <c r="O11494" t="s">
        <v>47425</v>
      </c>
      <c r="P11494">
        <v>0</v>
      </c>
      <c r="Q11494">
        <v>0</v>
      </c>
      <c r="R11494" t="s">
        <v>47438</v>
      </c>
      <c r="S11494" t="s">
        <v>47793</v>
      </c>
      <c r="T11494" t="s">
        <v>49105</v>
      </c>
      <c r="U11494" t="s">
        <v>59090</v>
      </c>
      <c r="W11494" t="s">
        <v>45966</v>
      </c>
      <c r="X11494" t="s">
        <v>47439</v>
      </c>
    </row>
    <row r="11495" spans="1:24">
      <c r="A11495">
        <f>HYPERLINK("https://www.philgeps.gov.ph/GEPSNONPILOT/Tender/SplashBidNoticeAbstractUI.aspx?menuIndex=3&amp;refID=7142195&amp;Result=3","7142195")</f>
        <v>0</v>
      </c>
      <c r="B11495" t="s">
        <v>2240</v>
      </c>
      <c r="C11495" t="s">
        <v>14720</v>
      </c>
      <c r="D11495" t="s">
        <v>19071</v>
      </c>
      <c r="E11495" t="s">
        <v>28945</v>
      </c>
      <c r="F11495" t="s">
        <v>32831</v>
      </c>
      <c r="G11495" t="s">
        <v>32839</v>
      </c>
      <c r="H11495" t="s">
        <v>32849</v>
      </c>
      <c r="I11495" t="s">
        <v>4177</v>
      </c>
      <c r="J11495" t="s">
        <v>40041</v>
      </c>
      <c r="K11495" t="s">
        <v>42732</v>
      </c>
      <c r="M11495" t="s">
        <v>45421</v>
      </c>
      <c r="N11495" t="s">
        <v>47424</v>
      </c>
      <c r="O11495" t="s">
        <v>47425</v>
      </c>
      <c r="P11495">
        <v>0</v>
      </c>
      <c r="Q11495">
        <v>1</v>
      </c>
      <c r="R11495" t="s">
        <v>47438</v>
      </c>
      <c r="S11495" t="s">
        <v>47793</v>
      </c>
      <c r="T11495" t="s">
        <v>49070</v>
      </c>
      <c r="U11495" t="s">
        <v>59091</v>
      </c>
      <c r="W11495" t="s">
        <v>45421</v>
      </c>
      <c r="X11495" t="s">
        <v>47439</v>
      </c>
    </row>
    <row r="11496" spans="1:24">
      <c r="A11496">
        <f>HYPERLINK("https://www.philgeps.gov.ph/GEPSNONPILOT/Tender/SplashBidNoticeAbstractUI.aspx?menuIndex=3&amp;refID=7142174&amp;Result=3","7142174")</f>
        <v>0</v>
      </c>
      <c r="B11496" t="s">
        <v>381</v>
      </c>
      <c r="C11496" t="s">
        <v>14721</v>
      </c>
      <c r="E11496" t="s">
        <v>28946</v>
      </c>
      <c r="F11496" t="s">
        <v>32831</v>
      </c>
      <c r="G11496" t="s">
        <v>32838</v>
      </c>
      <c r="H11496" t="s">
        <v>32850</v>
      </c>
      <c r="I11496" t="s">
        <v>4487</v>
      </c>
      <c r="J11496" t="s">
        <v>40042</v>
      </c>
      <c r="K11496" t="s">
        <v>42730</v>
      </c>
      <c r="M11496" t="s">
        <v>43385</v>
      </c>
      <c r="N11496" t="s">
        <v>47424</v>
      </c>
      <c r="O11496" t="s">
        <v>47425</v>
      </c>
      <c r="P11496">
        <v>0</v>
      </c>
      <c r="Q11496">
        <v>6</v>
      </c>
      <c r="R11496" t="s">
        <v>47438</v>
      </c>
      <c r="S11496" t="s">
        <v>47793</v>
      </c>
      <c r="T11496" t="s">
        <v>49111</v>
      </c>
      <c r="U11496" t="s">
        <v>59092</v>
      </c>
      <c r="W11496" t="s">
        <v>43385</v>
      </c>
      <c r="X11496" t="s">
        <v>47439</v>
      </c>
    </row>
    <row r="11497" spans="1:24">
      <c r="A11497">
        <f>HYPERLINK("https://www.philgeps.gov.ph/GEPSNONPILOT/Tender/SplashBidNoticeAbstractUI.aspx?menuIndex=3&amp;refID=7142166&amp;Result=3","7142166")</f>
        <v>0</v>
      </c>
      <c r="B11497" t="s">
        <v>3403</v>
      </c>
      <c r="C11497" t="s">
        <v>10853</v>
      </c>
      <c r="D11497" t="s">
        <v>19026</v>
      </c>
      <c r="E11497" t="s">
        <v>25531</v>
      </c>
      <c r="F11497" t="s">
        <v>32831</v>
      </c>
      <c r="G11497" t="s">
        <v>32839</v>
      </c>
      <c r="H11497" t="s">
        <v>32849</v>
      </c>
      <c r="I11497" t="s">
        <v>4177</v>
      </c>
      <c r="J11497" t="s">
        <v>40043</v>
      </c>
      <c r="K11497" t="s">
        <v>42763</v>
      </c>
      <c r="M11497" t="s">
        <v>46736</v>
      </c>
      <c r="N11497" t="s">
        <v>47424</v>
      </c>
      <c r="O11497" t="s">
        <v>47425</v>
      </c>
      <c r="Q11497">
        <v>6</v>
      </c>
      <c r="R11497" t="s">
        <v>47438</v>
      </c>
      <c r="S11497" t="s">
        <v>47801</v>
      </c>
      <c r="T11497" t="s">
        <v>49069</v>
      </c>
      <c r="U11497" t="s">
        <v>59093</v>
      </c>
      <c r="W11497" t="s">
        <v>46736</v>
      </c>
      <c r="X11497" t="s">
        <v>47439</v>
      </c>
    </row>
    <row r="11498" spans="1:24">
      <c r="A11498">
        <f>HYPERLINK("https://www.philgeps.gov.ph/GEPSNONPILOT/Tender/SplashBidNoticeAbstractUI.aspx?menuIndex=3&amp;refID=7142153&amp;Result=3","7142153")</f>
        <v>0</v>
      </c>
      <c r="B11498" t="s">
        <v>671</v>
      </c>
      <c r="C11498" t="s">
        <v>14722</v>
      </c>
      <c r="D11498" t="s">
        <v>19030</v>
      </c>
      <c r="E11498" t="s">
        <v>28947</v>
      </c>
      <c r="F11498" t="s">
        <v>32831</v>
      </c>
      <c r="G11498" t="s">
        <v>32839</v>
      </c>
      <c r="H11498" t="s">
        <v>32849</v>
      </c>
      <c r="I11498" t="s">
        <v>4177</v>
      </c>
      <c r="J11498" t="s">
        <v>40044</v>
      </c>
      <c r="K11498" t="s">
        <v>42729</v>
      </c>
      <c r="M11498" t="s">
        <v>46398</v>
      </c>
      <c r="N11498" t="s">
        <v>47424</v>
      </c>
      <c r="O11498" t="s">
        <v>47425</v>
      </c>
      <c r="P11498">
        <v>0</v>
      </c>
      <c r="Q11498">
        <v>49</v>
      </c>
      <c r="R11498" t="s">
        <v>47438</v>
      </c>
      <c r="S11498" t="s">
        <v>47793</v>
      </c>
      <c r="T11498" t="s">
        <v>49159</v>
      </c>
      <c r="U11498" t="s">
        <v>52028</v>
      </c>
      <c r="V11498" t="s">
        <v>62999</v>
      </c>
      <c r="W11498" t="s">
        <v>64462</v>
      </c>
      <c r="X11498" t="s">
        <v>47439</v>
      </c>
    </row>
    <row r="11499" spans="1:24">
      <c r="A11499">
        <f>HYPERLINK("https://www.philgeps.gov.ph/GEPSNONPILOT/Tender/SplashBidNoticeAbstractUI.aspx?menuIndex=3&amp;refID=7142204&amp;Result=3","7142204")</f>
        <v>0</v>
      </c>
      <c r="B11499" t="s">
        <v>2340</v>
      </c>
      <c r="C11499" t="s">
        <v>14723</v>
      </c>
      <c r="D11499" t="s">
        <v>19054</v>
      </c>
      <c r="E11499" t="s">
        <v>27212</v>
      </c>
      <c r="F11499" t="s">
        <v>32833</v>
      </c>
      <c r="G11499" t="s">
        <v>32840</v>
      </c>
      <c r="H11499" t="s">
        <v>32848</v>
      </c>
      <c r="I11499" t="s">
        <v>32855</v>
      </c>
      <c r="J11499" t="s">
        <v>40045</v>
      </c>
      <c r="K11499" t="s">
        <v>42730</v>
      </c>
      <c r="M11499" t="s">
        <v>45527</v>
      </c>
      <c r="N11499" t="s">
        <v>47424</v>
      </c>
      <c r="O11499" t="s">
        <v>47425</v>
      </c>
      <c r="P11499">
        <v>0</v>
      </c>
      <c r="Q11499">
        <v>1</v>
      </c>
      <c r="R11499" t="s">
        <v>47438</v>
      </c>
      <c r="S11499" t="s">
        <v>47793</v>
      </c>
      <c r="T11499" t="s">
        <v>49196</v>
      </c>
      <c r="U11499" t="s">
        <v>59094</v>
      </c>
      <c r="W11499" t="s">
        <v>45527</v>
      </c>
      <c r="X11499" t="s">
        <v>47439</v>
      </c>
    </row>
    <row r="11500" spans="1:24">
      <c r="A11500">
        <f>HYPERLINK("https://www.philgeps.gov.ph/GEPSNONPILOT/Tender/SplashBidNoticeAbstractUI.aspx?menuIndex=3&amp;refID=7142148&amp;Result=3","7142148")</f>
        <v>0</v>
      </c>
      <c r="B11500" t="s">
        <v>586</v>
      </c>
      <c r="C11500" t="s">
        <v>14724</v>
      </c>
      <c r="D11500" t="s">
        <v>19028</v>
      </c>
      <c r="E11500" t="s">
        <v>28948</v>
      </c>
      <c r="F11500" t="s">
        <v>32831</v>
      </c>
      <c r="G11500" t="s">
        <v>32839</v>
      </c>
      <c r="H11500" t="s">
        <v>32849</v>
      </c>
      <c r="I11500" t="s">
        <v>4177</v>
      </c>
      <c r="J11500" t="s">
        <v>40046</v>
      </c>
      <c r="K11500" t="s">
        <v>42791</v>
      </c>
      <c r="M11500" t="s">
        <v>43597</v>
      </c>
      <c r="N11500" t="s">
        <v>47424</v>
      </c>
      <c r="O11500" t="s">
        <v>47425</v>
      </c>
      <c r="P11500">
        <v>0</v>
      </c>
      <c r="Q11500">
        <v>0</v>
      </c>
      <c r="R11500" t="s">
        <v>47438</v>
      </c>
      <c r="S11500" t="s">
        <v>47793</v>
      </c>
      <c r="T11500" t="s">
        <v>49198</v>
      </c>
      <c r="U11500" t="s">
        <v>59095</v>
      </c>
      <c r="W11500" t="s">
        <v>43597</v>
      </c>
      <c r="X11500" t="s">
        <v>47439</v>
      </c>
    </row>
    <row r="11501" spans="1:24">
      <c r="A11501">
        <f>HYPERLINK("https://www.philgeps.gov.ph/GEPSNONPILOT/Tender/SplashBidNoticeAbstractUI.aspx?menuIndex=3&amp;refID=7142117&amp;Result=3","7142117")</f>
        <v>0</v>
      </c>
      <c r="B11501" t="s">
        <v>3404</v>
      </c>
      <c r="C11501" t="s">
        <v>14725</v>
      </c>
      <c r="D11501" t="s">
        <v>19070</v>
      </c>
      <c r="E11501" t="s">
        <v>28949</v>
      </c>
      <c r="F11501" t="s">
        <v>32831</v>
      </c>
      <c r="G11501" t="s">
        <v>32839</v>
      </c>
      <c r="H11501" t="s">
        <v>32848</v>
      </c>
      <c r="I11501" t="s">
        <v>32860</v>
      </c>
      <c r="J11501" t="s">
        <v>40047</v>
      </c>
      <c r="K11501" t="s">
        <v>42731</v>
      </c>
      <c r="M11501" t="s">
        <v>46737</v>
      </c>
      <c r="N11501" t="s">
        <v>47424</v>
      </c>
      <c r="O11501" t="s">
        <v>47425</v>
      </c>
      <c r="P11501">
        <v>0</v>
      </c>
      <c r="Q11501">
        <v>2</v>
      </c>
      <c r="R11501" t="s">
        <v>47438</v>
      </c>
      <c r="S11501" t="s">
        <v>47793</v>
      </c>
      <c r="T11501" t="s">
        <v>49100</v>
      </c>
      <c r="U11501" t="s">
        <v>59096</v>
      </c>
      <c r="V11501" t="s">
        <v>63895</v>
      </c>
      <c r="W11501" t="s">
        <v>46737</v>
      </c>
      <c r="X11501" t="s">
        <v>47439</v>
      </c>
    </row>
    <row r="11502" spans="1:24">
      <c r="A11502">
        <f>HYPERLINK("https://www.philgeps.gov.ph/GEPSNONPILOT/Tender/SplashBidNoticeAbstractUI.aspx?menuIndex=3&amp;refID=7142168&amp;Result=3","7142168")</f>
        <v>0</v>
      </c>
      <c r="B11502" t="s">
        <v>671</v>
      </c>
      <c r="C11502" t="s">
        <v>14726</v>
      </c>
      <c r="D11502" t="s">
        <v>19030</v>
      </c>
      <c r="E11502" t="s">
        <v>28950</v>
      </c>
      <c r="F11502" t="s">
        <v>32831</v>
      </c>
      <c r="G11502" t="s">
        <v>32839</v>
      </c>
      <c r="H11502" t="s">
        <v>32849</v>
      </c>
      <c r="I11502" t="s">
        <v>4177</v>
      </c>
      <c r="J11502" t="s">
        <v>40048</v>
      </c>
      <c r="K11502" t="s">
        <v>42729</v>
      </c>
      <c r="M11502" t="s">
        <v>45667</v>
      </c>
      <c r="N11502" t="s">
        <v>47424</v>
      </c>
      <c r="O11502" t="s">
        <v>47425</v>
      </c>
      <c r="Q11502">
        <v>58</v>
      </c>
      <c r="R11502" t="s">
        <v>47438</v>
      </c>
      <c r="S11502" t="s">
        <v>47802</v>
      </c>
      <c r="T11502" t="s">
        <v>49159</v>
      </c>
      <c r="U11502" t="s">
        <v>52028</v>
      </c>
      <c r="V11502" t="s">
        <v>62999</v>
      </c>
      <c r="W11502" t="s">
        <v>64462</v>
      </c>
      <c r="X11502" t="s">
        <v>47439</v>
      </c>
    </row>
    <row r="11503" spans="1:24">
      <c r="A11503">
        <f>HYPERLINK("https://www.philgeps.gov.ph/GEPSNONPILOT/Tender/SplashBidNoticeAbstractUI.aspx?menuIndex=3&amp;refID=7142094&amp;Result=3","7142094")</f>
        <v>0</v>
      </c>
      <c r="B11503" t="s">
        <v>2112</v>
      </c>
      <c r="C11503" t="s">
        <v>14727</v>
      </c>
      <c r="D11503" t="s">
        <v>19061</v>
      </c>
      <c r="E11503" t="s">
        <v>28951</v>
      </c>
      <c r="F11503" t="s">
        <v>32832</v>
      </c>
      <c r="G11503" t="s">
        <v>32839</v>
      </c>
      <c r="H11503" t="s">
        <v>32848</v>
      </c>
      <c r="I11503" t="s">
        <v>32855</v>
      </c>
      <c r="J11503" t="s">
        <v>40049</v>
      </c>
      <c r="K11503" t="s">
        <v>42731</v>
      </c>
      <c r="M11503" t="s">
        <v>45286</v>
      </c>
      <c r="N11503" t="s">
        <v>47424</v>
      </c>
      <c r="O11503" t="s">
        <v>47425</v>
      </c>
      <c r="P11503">
        <v>0</v>
      </c>
      <c r="Q11503">
        <v>0</v>
      </c>
      <c r="R11503" t="s">
        <v>47438</v>
      </c>
      <c r="S11503" t="s">
        <v>47793</v>
      </c>
      <c r="T11503" t="s">
        <v>49125</v>
      </c>
      <c r="U11503" t="s">
        <v>59097</v>
      </c>
      <c r="W11503" t="s">
        <v>45286</v>
      </c>
      <c r="X11503" t="s">
        <v>47439</v>
      </c>
    </row>
    <row r="11504" spans="1:24">
      <c r="A11504">
        <f>HYPERLINK("https://www.philgeps.gov.ph/GEPSNONPILOT/Tender/SplashBidNoticeAbstractUI.aspx?menuIndex=3&amp;refID=7142100&amp;Result=3","7142100")</f>
        <v>0</v>
      </c>
      <c r="B11504" t="s">
        <v>2292</v>
      </c>
      <c r="C11504" t="s">
        <v>14728</v>
      </c>
      <c r="D11504" t="s">
        <v>19083</v>
      </c>
      <c r="E11504" t="s">
        <v>28952</v>
      </c>
      <c r="F11504" t="s">
        <v>32831</v>
      </c>
      <c r="G11504" t="s">
        <v>32839</v>
      </c>
      <c r="H11504" t="s">
        <v>32848</v>
      </c>
      <c r="I11504" t="s">
        <v>10888</v>
      </c>
      <c r="J11504" t="s">
        <v>37878</v>
      </c>
      <c r="K11504" t="s">
        <v>42729</v>
      </c>
      <c r="M11504" t="s">
        <v>46738</v>
      </c>
      <c r="N11504" t="s">
        <v>47424</v>
      </c>
      <c r="O11504" t="s">
        <v>47425</v>
      </c>
      <c r="P11504">
        <v>0</v>
      </c>
      <c r="Q11504">
        <v>7</v>
      </c>
      <c r="R11504" t="s">
        <v>47438</v>
      </c>
      <c r="S11504" t="s">
        <v>47793</v>
      </c>
      <c r="T11504" t="s">
        <v>49080</v>
      </c>
      <c r="U11504" t="s">
        <v>59098</v>
      </c>
      <c r="W11504" t="s">
        <v>46738</v>
      </c>
      <c r="X11504" t="s">
        <v>47439</v>
      </c>
    </row>
    <row r="11505" spans="1:24">
      <c r="A11505">
        <f>HYPERLINK("https://www.philgeps.gov.ph/GEPSNONPILOT/Tender/SplashBidNoticeAbstractUI.aspx?menuIndex=3&amp;refID=7142097&amp;Result=3","7142097")</f>
        <v>0</v>
      </c>
      <c r="B11505" t="s">
        <v>2292</v>
      </c>
      <c r="C11505" t="s">
        <v>14729</v>
      </c>
      <c r="D11505" t="s">
        <v>19083</v>
      </c>
      <c r="E11505" t="s">
        <v>28953</v>
      </c>
      <c r="F11505" t="s">
        <v>32831</v>
      </c>
      <c r="G11505" t="s">
        <v>32839</v>
      </c>
      <c r="H11505" t="s">
        <v>32849</v>
      </c>
      <c r="I11505" t="s">
        <v>4177</v>
      </c>
      <c r="J11505" t="s">
        <v>35577</v>
      </c>
      <c r="K11505" t="s">
        <v>42788</v>
      </c>
      <c r="M11505" t="s">
        <v>46738</v>
      </c>
      <c r="N11505" t="s">
        <v>47424</v>
      </c>
      <c r="O11505" t="s">
        <v>47425</v>
      </c>
      <c r="Q11505">
        <v>1</v>
      </c>
      <c r="R11505" t="s">
        <v>47438</v>
      </c>
      <c r="S11505" t="s">
        <v>47803</v>
      </c>
      <c r="T11505" t="s">
        <v>49080</v>
      </c>
      <c r="U11505" t="s">
        <v>59099</v>
      </c>
      <c r="W11505" t="s">
        <v>46738</v>
      </c>
      <c r="X11505" t="s">
        <v>47439</v>
      </c>
    </row>
    <row r="11506" spans="1:24">
      <c r="A11506">
        <f>HYPERLINK("https://www.philgeps.gov.ph/GEPSNONPILOT/Tender/SplashBidNoticeAbstractUI.aspx?menuIndex=3&amp;refID=7140199&amp;Result=3","7140199")</f>
        <v>0</v>
      </c>
      <c r="B11506" t="s">
        <v>825</v>
      </c>
      <c r="C11506" t="s">
        <v>14730</v>
      </c>
      <c r="D11506" t="s">
        <v>19046</v>
      </c>
      <c r="E11506" t="s">
        <v>22699</v>
      </c>
      <c r="F11506" t="s">
        <v>32831</v>
      </c>
      <c r="G11506" t="s">
        <v>32839</v>
      </c>
      <c r="H11506" t="s">
        <v>32849</v>
      </c>
      <c r="I11506" t="s">
        <v>4177</v>
      </c>
      <c r="J11506" t="s">
        <v>40050</v>
      </c>
      <c r="K11506" t="s">
        <v>42770</v>
      </c>
      <c r="M11506" t="s">
        <v>43856</v>
      </c>
      <c r="N11506" t="s">
        <v>47424</v>
      </c>
      <c r="O11506" t="s">
        <v>47425</v>
      </c>
      <c r="P11506">
        <v>0</v>
      </c>
      <c r="Q11506">
        <v>0</v>
      </c>
      <c r="R11506" t="s">
        <v>47438</v>
      </c>
      <c r="S11506" t="s">
        <v>47793</v>
      </c>
      <c r="T11506" t="s">
        <v>49069</v>
      </c>
      <c r="U11506" t="s">
        <v>59024</v>
      </c>
      <c r="W11506" t="s">
        <v>43856</v>
      </c>
      <c r="X11506" t="s">
        <v>47440</v>
      </c>
    </row>
    <row r="11507" spans="1:24">
      <c r="A11507">
        <f>HYPERLINK("https://www.philgeps.gov.ph/GEPSNONPILOT/Tender/SplashBidNoticeAbstractUI.aspx?menuIndex=3&amp;refID=7140870&amp;Result=3","7140870")</f>
        <v>0</v>
      </c>
      <c r="B11507" t="s">
        <v>75</v>
      </c>
      <c r="C11507" t="s">
        <v>14731</v>
      </c>
      <c r="D11507" t="s">
        <v>19046</v>
      </c>
      <c r="E11507" t="s">
        <v>28954</v>
      </c>
      <c r="F11507" t="s">
        <v>32831</v>
      </c>
      <c r="G11507" t="s">
        <v>32839</v>
      </c>
      <c r="H11507" t="s">
        <v>32849</v>
      </c>
      <c r="I11507" t="s">
        <v>4177</v>
      </c>
      <c r="J11507" t="s">
        <v>33279</v>
      </c>
      <c r="K11507" t="s">
        <v>42730</v>
      </c>
      <c r="M11507" t="s">
        <v>43072</v>
      </c>
      <c r="N11507" t="s">
        <v>47424</v>
      </c>
      <c r="O11507" t="s">
        <v>47425</v>
      </c>
      <c r="P11507">
        <v>0</v>
      </c>
      <c r="Q11507">
        <v>1</v>
      </c>
      <c r="R11507" t="s">
        <v>47438</v>
      </c>
      <c r="S11507" t="s">
        <v>47793</v>
      </c>
      <c r="T11507" t="s">
        <v>49143</v>
      </c>
      <c r="U11507" t="s">
        <v>59100</v>
      </c>
      <c r="W11507" t="s">
        <v>43072</v>
      </c>
      <c r="X11507" t="s">
        <v>47440</v>
      </c>
    </row>
    <row r="11508" spans="1:24">
      <c r="A11508">
        <f>HYPERLINK("https://www.philgeps.gov.ph/GEPSNONPILOT/Tender/SplashBidNoticeAbstractUI.aspx?menuIndex=3&amp;refID=7140162&amp;Result=3","7140162")</f>
        <v>0</v>
      </c>
      <c r="B11508" t="s">
        <v>825</v>
      </c>
      <c r="C11508" t="s">
        <v>14732</v>
      </c>
      <c r="D11508" t="s">
        <v>19046</v>
      </c>
      <c r="E11508" t="s">
        <v>22722</v>
      </c>
      <c r="F11508" t="s">
        <v>32831</v>
      </c>
      <c r="G11508" t="s">
        <v>32839</v>
      </c>
      <c r="H11508" t="s">
        <v>32849</v>
      </c>
      <c r="I11508" t="s">
        <v>4177</v>
      </c>
      <c r="J11508" t="s">
        <v>40051</v>
      </c>
      <c r="K11508" t="s">
        <v>42770</v>
      </c>
      <c r="M11508" t="s">
        <v>43856</v>
      </c>
      <c r="N11508" t="s">
        <v>47424</v>
      </c>
      <c r="O11508" t="s">
        <v>47425</v>
      </c>
      <c r="P11508">
        <v>0</v>
      </c>
      <c r="Q11508">
        <v>1</v>
      </c>
      <c r="R11508" t="s">
        <v>47438</v>
      </c>
      <c r="S11508" t="s">
        <v>47793</v>
      </c>
      <c r="T11508" t="s">
        <v>49069</v>
      </c>
      <c r="U11508" t="s">
        <v>59024</v>
      </c>
      <c r="W11508" t="s">
        <v>43856</v>
      </c>
      <c r="X11508" t="s">
        <v>47440</v>
      </c>
    </row>
    <row r="11509" spans="1:24">
      <c r="A11509">
        <f>HYPERLINK("https://www.philgeps.gov.ph/GEPSNONPILOT/Tender/SplashBidNoticeAbstractUI.aspx?menuIndex=3&amp;refID=7142093&amp;Result=3","7142093")</f>
        <v>0</v>
      </c>
      <c r="B11509" t="s">
        <v>3395</v>
      </c>
      <c r="C11509" t="s">
        <v>14733</v>
      </c>
      <c r="D11509" t="s">
        <v>19068</v>
      </c>
      <c r="E11509" t="s">
        <v>28955</v>
      </c>
      <c r="F11509" t="s">
        <v>32831</v>
      </c>
      <c r="G11509" t="s">
        <v>32839</v>
      </c>
      <c r="H11509" t="s">
        <v>32848</v>
      </c>
      <c r="I11509" t="s">
        <v>4222</v>
      </c>
      <c r="J11509" t="s">
        <v>40052</v>
      </c>
      <c r="K11509" t="s">
        <v>42779</v>
      </c>
      <c r="L11509" t="s">
        <v>3395</v>
      </c>
      <c r="M11509" t="s">
        <v>46727</v>
      </c>
      <c r="N11509" t="s">
        <v>47424</v>
      </c>
      <c r="O11509" t="s">
        <v>47425</v>
      </c>
      <c r="P11509">
        <v>0</v>
      </c>
      <c r="Q11509">
        <v>0</v>
      </c>
      <c r="R11509" t="s">
        <v>47438</v>
      </c>
      <c r="S11509" t="s">
        <v>47793</v>
      </c>
      <c r="T11509" t="s">
        <v>49221</v>
      </c>
      <c r="U11509" t="s">
        <v>59101</v>
      </c>
      <c r="V11509" t="s">
        <v>63891</v>
      </c>
      <c r="W11509" t="s">
        <v>46727</v>
      </c>
      <c r="X11509" t="s">
        <v>47439</v>
      </c>
    </row>
    <row r="11510" spans="1:24">
      <c r="A11510">
        <f>HYPERLINK("https://www.philgeps.gov.ph/GEPSNONPILOT/Tender/SplashBidNoticeAbstractUI.aspx?menuIndex=3&amp;refID=7140156&amp;Result=3","7140156")</f>
        <v>0</v>
      </c>
      <c r="B11510" t="s">
        <v>2192</v>
      </c>
      <c r="C11510" t="s">
        <v>14734</v>
      </c>
      <c r="D11510" t="s">
        <v>19037</v>
      </c>
      <c r="E11510" t="s">
        <v>28956</v>
      </c>
      <c r="F11510" t="s">
        <v>32831</v>
      </c>
      <c r="G11510" t="s">
        <v>32839</v>
      </c>
      <c r="H11510" t="s">
        <v>32848</v>
      </c>
      <c r="I11510" t="s">
        <v>4776</v>
      </c>
      <c r="J11510" t="s">
        <v>40053</v>
      </c>
      <c r="K11510" t="s">
        <v>42731</v>
      </c>
      <c r="M11510" t="s">
        <v>45372</v>
      </c>
      <c r="N11510" t="s">
        <v>47424</v>
      </c>
      <c r="O11510" t="s">
        <v>47425</v>
      </c>
      <c r="P11510">
        <v>0</v>
      </c>
      <c r="Q11510">
        <v>9</v>
      </c>
      <c r="R11510" t="s">
        <v>47438</v>
      </c>
      <c r="S11510" t="s">
        <v>47793</v>
      </c>
      <c r="T11510" t="s">
        <v>49172</v>
      </c>
      <c r="U11510" t="s">
        <v>59102</v>
      </c>
      <c r="W11510" t="s">
        <v>45372</v>
      </c>
      <c r="X11510" t="s">
        <v>47440</v>
      </c>
    </row>
    <row r="11511" spans="1:24">
      <c r="A11511">
        <f>HYPERLINK("https://www.philgeps.gov.ph/GEPSNONPILOT/Tender/SplashBidNoticeAbstractUI.aspx?menuIndex=3&amp;refID=7139373&amp;Result=3","7139373")</f>
        <v>0</v>
      </c>
      <c r="B11511" t="s">
        <v>1597</v>
      </c>
      <c r="C11511" t="s">
        <v>14735</v>
      </c>
      <c r="D11511" t="s">
        <v>19031</v>
      </c>
      <c r="E11511" t="s">
        <v>28957</v>
      </c>
      <c r="F11511" t="s">
        <v>32831</v>
      </c>
      <c r="G11511" t="s">
        <v>32839</v>
      </c>
      <c r="H11511" t="s">
        <v>32849</v>
      </c>
      <c r="I11511" t="s">
        <v>4177</v>
      </c>
      <c r="J11511" t="s">
        <v>40054</v>
      </c>
      <c r="K11511" t="s">
        <v>42751</v>
      </c>
      <c r="M11511" t="s">
        <v>44712</v>
      </c>
      <c r="N11511" t="s">
        <v>47424</v>
      </c>
      <c r="O11511" t="s">
        <v>47425</v>
      </c>
      <c r="P11511">
        <v>0</v>
      </c>
      <c r="Q11511">
        <v>0</v>
      </c>
      <c r="R11511" t="s">
        <v>47438</v>
      </c>
      <c r="S11511" t="s">
        <v>47793</v>
      </c>
      <c r="T11511" t="s">
        <v>49291</v>
      </c>
      <c r="U11511" t="s">
        <v>59103</v>
      </c>
      <c r="V11511" t="s">
        <v>63051</v>
      </c>
      <c r="W11511" t="s">
        <v>44712</v>
      </c>
      <c r="X11511" t="s">
        <v>47440</v>
      </c>
    </row>
    <row r="11512" spans="1:24">
      <c r="A11512">
        <f>HYPERLINK("https://www.philgeps.gov.ph/GEPSNONPILOT/Tender/SplashBidNoticeAbstractUI.aspx?menuIndex=3&amp;refID=7142221&amp;Result=3","7142221")</f>
        <v>0</v>
      </c>
      <c r="B11512" t="s">
        <v>3303</v>
      </c>
      <c r="C11512" t="s">
        <v>14736</v>
      </c>
      <c r="D11512" t="s">
        <v>19038</v>
      </c>
      <c r="E11512" t="s">
        <v>28958</v>
      </c>
      <c r="F11512" t="s">
        <v>32831</v>
      </c>
      <c r="G11512" t="s">
        <v>32839</v>
      </c>
      <c r="H11512" t="s">
        <v>32849</v>
      </c>
      <c r="I11512" t="s">
        <v>4177</v>
      </c>
      <c r="J11512" t="s">
        <v>33055</v>
      </c>
      <c r="K11512" t="s">
        <v>42729</v>
      </c>
      <c r="M11512" t="s">
        <v>46624</v>
      </c>
      <c r="N11512" t="s">
        <v>47424</v>
      </c>
      <c r="O11512" t="s">
        <v>47425</v>
      </c>
      <c r="P11512">
        <v>0</v>
      </c>
      <c r="Q11512">
        <v>1</v>
      </c>
      <c r="R11512" t="s">
        <v>47438</v>
      </c>
      <c r="S11512" t="s">
        <v>47793</v>
      </c>
      <c r="T11512" t="s">
        <v>49057</v>
      </c>
      <c r="U11512" t="s">
        <v>59104</v>
      </c>
      <c r="W11512" t="s">
        <v>46624</v>
      </c>
      <c r="X11512" t="s">
        <v>47439</v>
      </c>
    </row>
    <row r="11513" spans="1:24">
      <c r="A11513">
        <f>HYPERLINK("https://www.philgeps.gov.ph/GEPSNONPILOT/Tender/SplashBidNoticeAbstractUI.aspx?menuIndex=3&amp;refID=7140938&amp;Result=3","7140938")</f>
        <v>0</v>
      </c>
      <c r="B11513" t="s">
        <v>1597</v>
      </c>
      <c r="C11513" t="s">
        <v>14737</v>
      </c>
      <c r="D11513" t="s">
        <v>19031</v>
      </c>
      <c r="E11513" t="s">
        <v>28959</v>
      </c>
      <c r="F11513" t="s">
        <v>32831</v>
      </c>
      <c r="G11513" t="s">
        <v>32839</v>
      </c>
      <c r="H11513" t="s">
        <v>32848</v>
      </c>
      <c r="I11513" t="s">
        <v>9577</v>
      </c>
      <c r="J11513" t="s">
        <v>40055</v>
      </c>
      <c r="K11513" t="s">
        <v>42731</v>
      </c>
      <c r="M11513" t="s">
        <v>44719</v>
      </c>
      <c r="N11513" t="s">
        <v>47424</v>
      </c>
      <c r="O11513" t="s">
        <v>47425</v>
      </c>
      <c r="P11513">
        <v>0</v>
      </c>
      <c r="Q11513">
        <v>4</v>
      </c>
      <c r="R11513" t="s">
        <v>47438</v>
      </c>
      <c r="S11513" t="s">
        <v>47793</v>
      </c>
      <c r="T11513" t="s">
        <v>49108</v>
      </c>
      <c r="U11513" t="s">
        <v>59105</v>
      </c>
      <c r="V11513" t="s">
        <v>63051</v>
      </c>
      <c r="W11513" t="s">
        <v>44719</v>
      </c>
      <c r="X11513" t="s">
        <v>47440</v>
      </c>
    </row>
    <row r="11514" spans="1:24">
      <c r="A11514">
        <f>HYPERLINK("https://www.philgeps.gov.ph/GEPSNONPILOT/Tender/SplashBidNoticeAbstractUI.aspx?menuIndex=3&amp;refID=7142334&amp;Result=3","7142334")</f>
        <v>0</v>
      </c>
      <c r="B11514" t="s">
        <v>3405</v>
      </c>
      <c r="C11514" t="s">
        <v>14738</v>
      </c>
      <c r="D11514" t="s">
        <v>19094</v>
      </c>
      <c r="E11514" t="s">
        <v>28960</v>
      </c>
      <c r="F11514" t="s">
        <v>32831</v>
      </c>
      <c r="G11514" t="s">
        <v>32839</v>
      </c>
      <c r="H11514" t="s">
        <v>32848</v>
      </c>
      <c r="I11514" t="s">
        <v>32879</v>
      </c>
      <c r="J11514" t="s">
        <v>33644</v>
      </c>
      <c r="K11514" t="s">
        <v>42729</v>
      </c>
      <c r="M11514" t="s">
        <v>46739</v>
      </c>
      <c r="N11514" t="s">
        <v>47424</v>
      </c>
      <c r="O11514" t="s">
        <v>47425</v>
      </c>
      <c r="Q11514">
        <v>2</v>
      </c>
      <c r="R11514" t="s">
        <v>47438</v>
      </c>
      <c r="S11514" t="s">
        <v>47804</v>
      </c>
      <c r="T11514" t="s">
        <v>49398</v>
      </c>
      <c r="U11514" t="s">
        <v>59106</v>
      </c>
      <c r="V11514" t="s">
        <v>63896</v>
      </c>
      <c r="W11514" t="s">
        <v>46739</v>
      </c>
      <c r="X11514" t="s">
        <v>47439</v>
      </c>
    </row>
    <row r="11515" spans="1:24">
      <c r="A11515">
        <f>HYPERLINK("https://www.philgeps.gov.ph/GEPSNONPILOT/Tender/SplashBidNoticeAbstractUI.aspx?menuIndex=3&amp;refID=7140178&amp;Result=3","7140178")</f>
        <v>0</v>
      </c>
      <c r="B11515" t="s">
        <v>2192</v>
      </c>
      <c r="C11515" t="s">
        <v>14739</v>
      </c>
      <c r="D11515" t="s">
        <v>19037</v>
      </c>
      <c r="E11515" t="s">
        <v>28961</v>
      </c>
      <c r="F11515" t="s">
        <v>32831</v>
      </c>
      <c r="G11515" t="s">
        <v>32839</v>
      </c>
      <c r="H11515" t="s">
        <v>32848</v>
      </c>
      <c r="I11515" t="s">
        <v>32857</v>
      </c>
      <c r="J11515" t="s">
        <v>40056</v>
      </c>
      <c r="K11515" t="s">
        <v>42731</v>
      </c>
      <c r="M11515" t="s">
        <v>45372</v>
      </c>
      <c r="N11515" t="s">
        <v>47424</v>
      </c>
      <c r="O11515" t="s">
        <v>47425</v>
      </c>
      <c r="P11515">
        <v>0</v>
      </c>
      <c r="Q11515">
        <v>5</v>
      </c>
      <c r="R11515" t="s">
        <v>47438</v>
      </c>
      <c r="S11515" t="s">
        <v>47793</v>
      </c>
      <c r="T11515" t="s">
        <v>49172</v>
      </c>
      <c r="U11515" t="s">
        <v>59107</v>
      </c>
      <c r="W11515" t="s">
        <v>45372</v>
      </c>
      <c r="X11515" t="s">
        <v>47440</v>
      </c>
    </row>
    <row r="11516" spans="1:24">
      <c r="A11516">
        <f>HYPERLINK("https://www.philgeps.gov.ph/GEPSNONPILOT/Tender/SplashBidNoticeAbstractUI.aspx?menuIndex=3&amp;refID=7142333&amp;Result=3","7142333")</f>
        <v>0</v>
      </c>
      <c r="B11516" t="s">
        <v>3406</v>
      </c>
      <c r="C11516" t="s">
        <v>14740</v>
      </c>
      <c r="D11516" t="s">
        <v>19032</v>
      </c>
      <c r="E11516" t="s">
        <v>14740</v>
      </c>
      <c r="F11516" t="s">
        <v>32831</v>
      </c>
      <c r="G11516" t="s">
        <v>32839</v>
      </c>
      <c r="H11516" t="s">
        <v>32848</v>
      </c>
      <c r="I11516" t="s">
        <v>7416</v>
      </c>
      <c r="J11516" t="s">
        <v>40057</v>
      </c>
      <c r="K11516" t="s">
        <v>42742</v>
      </c>
      <c r="M11516" t="s">
        <v>46740</v>
      </c>
      <c r="N11516" t="s">
        <v>47424</v>
      </c>
      <c r="O11516" t="s">
        <v>47425</v>
      </c>
      <c r="P11516">
        <v>0</v>
      </c>
      <c r="Q11516">
        <v>0</v>
      </c>
      <c r="R11516" t="s">
        <v>47438</v>
      </c>
      <c r="S11516" t="s">
        <v>47793</v>
      </c>
      <c r="T11516" t="s">
        <v>49198</v>
      </c>
      <c r="U11516" t="s">
        <v>59108</v>
      </c>
      <c r="W11516" t="s">
        <v>46740</v>
      </c>
      <c r="X11516" t="s">
        <v>47439</v>
      </c>
    </row>
    <row r="11517" spans="1:24">
      <c r="A11517">
        <f>HYPERLINK("https://www.philgeps.gov.ph/GEPSNONPILOT/Tender/SplashBidNoticeAbstractUI.aspx?menuIndex=3&amp;refID=7142326&amp;Result=3","7142326")</f>
        <v>0</v>
      </c>
      <c r="B11517" t="s">
        <v>3406</v>
      </c>
      <c r="C11517" t="s">
        <v>14741</v>
      </c>
      <c r="D11517" t="s">
        <v>19032</v>
      </c>
      <c r="E11517" t="s">
        <v>28962</v>
      </c>
      <c r="F11517" t="s">
        <v>32831</v>
      </c>
      <c r="G11517" t="s">
        <v>32839</v>
      </c>
      <c r="H11517" t="s">
        <v>32848</v>
      </c>
      <c r="I11517" t="s">
        <v>7416</v>
      </c>
      <c r="J11517" t="s">
        <v>40058</v>
      </c>
      <c r="K11517" t="s">
        <v>42742</v>
      </c>
      <c r="M11517" t="s">
        <v>46740</v>
      </c>
      <c r="N11517" t="s">
        <v>47424</v>
      </c>
      <c r="O11517" t="s">
        <v>47425</v>
      </c>
      <c r="P11517">
        <v>0</v>
      </c>
      <c r="Q11517">
        <v>0</v>
      </c>
      <c r="R11517" t="s">
        <v>47438</v>
      </c>
      <c r="S11517" t="s">
        <v>47793</v>
      </c>
      <c r="T11517" t="s">
        <v>49198</v>
      </c>
      <c r="U11517" t="s">
        <v>59109</v>
      </c>
      <c r="W11517" t="s">
        <v>46740</v>
      </c>
      <c r="X11517" t="s">
        <v>47439</v>
      </c>
    </row>
    <row r="11518" spans="1:24">
      <c r="A11518">
        <f>HYPERLINK("https://www.philgeps.gov.ph/GEPSNONPILOT/Tender/SplashBidNoticeAbstractUI.aspx?menuIndex=3&amp;refID=7142317&amp;Result=3","7142317")</f>
        <v>0</v>
      </c>
      <c r="B11518" t="s">
        <v>3074</v>
      </c>
      <c r="C11518" t="s">
        <v>14742</v>
      </c>
      <c r="D11518" t="s">
        <v>19022</v>
      </c>
      <c r="E11518" t="s">
        <v>28963</v>
      </c>
      <c r="F11518" t="s">
        <v>32831</v>
      </c>
      <c r="G11518" t="s">
        <v>32839</v>
      </c>
      <c r="H11518" t="s">
        <v>32849</v>
      </c>
      <c r="I11518" t="s">
        <v>4177</v>
      </c>
      <c r="J11518" t="s">
        <v>40059</v>
      </c>
      <c r="K11518" t="s">
        <v>42920</v>
      </c>
      <c r="M11518" t="s">
        <v>46353</v>
      </c>
      <c r="N11518" t="s">
        <v>47424</v>
      </c>
      <c r="O11518" t="s">
        <v>47425</v>
      </c>
      <c r="P11518">
        <v>0</v>
      </c>
      <c r="Q11518">
        <v>1</v>
      </c>
      <c r="R11518" t="s">
        <v>47438</v>
      </c>
      <c r="S11518" t="s">
        <v>47793</v>
      </c>
      <c r="T11518" t="s">
        <v>49464</v>
      </c>
      <c r="U11518" t="s">
        <v>59110</v>
      </c>
      <c r="W11518" t="s">
        <v>46353</v>
      </c>
      <c r="X11518" t="s">
        <v>47439</v>
      </c>
    </row>
    <row r="11519" spans="1:24">
      <c r="A11519">
        <f>HYPERLINK("https://www.philgeps.gov.ph/GEPSNONPILOT/Tender/SplashBidNoticeAbstractUI.aspx?menuIndex=3&amp;refID=7139311&amp;Result=3","7139311")</f>
        <v>0</v>
      </c>
      <c r="B11519" t="s">
        <v>1597</v>
      </c>
      <c r="C11519" t="s">
        <v>14743</v>
      </c>
      <c r="D11519" t="s">
        <v>19031</v>
      </c>
      <c r="E11519" t="s">
        <v>28964</v>
      </c>
      <c r="F11519" t="s">
        <v>32831</v>
      </c>
      <c r="G11519" t="s">
        <v>32839</v>
      </c>
      <c r="H11519" t="s">
        <v>32849</v>
      </c>
      <c r="I11519" t="s">
        <v>4177</v>
      </c>
      <c r="J11519" t="s">
        <v>40060</v>
      </c>
      <c r="K11519" t="s">
        <v>42751</v>
      </c>
      <c r="M11519" t="s">
        <v>44712</v>
      </c>
      <c r="N11519" t="s">
        <v>47424</v>
      </c>
      <c r="O11519" t="s">
        <v>47425</v>
      </c>
      <c r="P11519">
        <v>0</v>
      </c>
      <c r="Q11519">
        <v>0</v>
      </c>
      <c r="R11519" t="s">
        <v>47438</v>
      </c>
      <c r="S11519" t="s">
        <v>47793</v>
      </c>
      <c r="T11519" t="s">
        <v>49108</v>
      </c>
      <c r="U11519" t="s">
        <v>59111</v>
      </c>
      <c r="V11519" t="s">
        <v>63051</v>
      </c>
      <c r="W11519" t="s">
        <v>44712</v>
      </c>
      <c r="X11519" t="s">
        <v>47440</v>
      </c>
    </row>
    <row r="11520" spans="1:24">
      <c r="A11520">
        <f>HYPERLINK("https://www.philgeps.gov.ph/GEPSNONPILOT/Tender/SplashBidNoticeAbstractUI.aspx?menuIndex=3&amp;refID=7142092&amp;Result=3","7142092")</f>
        <v>0</v>
      </c>
      <c r="B11520" t="s">
        <v>3395</v>
      </c>
      <c r="C11520" t="s">
        <v>14744</v>
      </c>
      <c r="D11520" t="s">
        <v>19068</v>
      </c>
      <c r="E11520" t="s">
        <v>28965</v>
      </c>
      <c r="F11520" t="s">
        <v>32831</v>
      </c>
      <c r="G11520" t="s">
        <v>32839</v>
      </c>
      <c r="H11520" t="s">
        <v>32848</v>
      </c>
      <c r="I11520" t="s">
        <v>32860</v>
      </c>
      <c r="J11520" t="s">
        <v>40061</v>
      </c>
      <c r="K11520" t="s">
        <v>42779</v>
      </c>
      <c r="L11520" t="s">
        <v>3395</v>
      </c>
      <c r="M11520" t="s">
        <v>46727</v>
      </c>
      <c r="N11520" t="s">
        <v>47424</v>
      </c>
      <c r="O11520" t="s">
        <v>47425</v>
      </c>
      <c r="P11520">
        <v>0</v>
      </c>
      <c r="Q11520">
        <v>0</v>
      </c>
      <c r="R11520" t="s">
        <v>47438</v>
      </c>
      <c r="S11520" t="s">
        <v>47793</v>
      </c>
      <c r="T11520" t="s">
        <v>49221</v>
      </c>
      <c r="U11520" t="s">
        <v>59112</v>
      </c>
      <c r="V11520" t="s">
        <v>63891</v>
      </c>
      <c r="W11520" t="s">
        <v>46727</v>
      </c>
      <c r="X11520" t="s">
        <v>47439</v>
      </c>
    </row>
    <row r="11521" spans="1:24">
      <c r="A11521">
        <f>HYPERLINK("https://www.philgeps.gov.ph/GEPSNONPILOT/Tender/SplashBidNoticeAbstractUI.aspx?menuIndex=3&amp;refID=7142308&amp;Result=3","7142308")</f>
        <v>0</v>
      </c>
      <c r="B11521" t="s">
        <v>2240</v>
      </c>
      <c r="C11521" t="s">
        <v>14745</v>
      </c>
      <c r="D11521" t="s">
        <v>19071</v>
      </c>
      <c r="E11521" t="s">
        <v>28966</v>
      </c>
      <c r="F11521" t="s">
        <v>32831</v>
      </c>
      <c r="G11521" t="s">
        <v>32839</v>
      </c>
      <c r="H11521" t="s">
        <v>32848</v>
      </c>
      <c r="I11521" t="s">
        <v>4558</v>
      </c>
      <c r="J11521" t="s">
        <v>40062</v>
      </c>
      <c r="K11521" t="s">
        <v>42732</v>
      </c>
      <c r="M11521" t="s">
        <v>45421</v>
      </c>
      <c r="N11521" t="s">
        <v>47424</v>
      </c>
      <c r="O11521" t="s">
        <v>47425</v>
      </c>
      <c r="P11521">
        <v>0</v>
      </c>
      <c r="Q11521">
        <v>0</v>
      </c>
      <c r="R11521" t="s">
        <v>47438</v>
      </c>
      <c r="S11521" t="s">
        <v>47793</v>
      </c>
      <c r="T11521" t="s">
        <v>49070</v>
      </c>
      <c r="U11521" t="s">
        <v>59113</v>
      </c>
      <c r="W11521" t="s">
        <v>45421</v>
      </c>
      <c r="X11521" t="s">
        <v>47439</v>
      </c>
    </row>
    <row r="11522" spans="1:24">
      <c r="A11522">
        <f>HYPERLINK("https://www.philgeps.gov.ph/GEPSNONPILOT/Tender/SplashBidNoticeAbstractUI.aspx?menuIndex=3&amp;refID=7142301&amp;Result=3","7142301")</f>
        <v>0</v>
      </c>
      <c r="B11522" t="s">
        <v>3407</v>
      </c>
      <c r="C11522" t="s">
        <v>14746</v>
      </c>
      <c r="D11522" t="s">
        <v>19049</v>
      </c>
      <c r="E11522" t="s">
        <v>28967</v>
      </c>
      <c r="F11522" t="s">
        <v>32831</v>
      </c>
      <c r="G11522" t="s">
        <v>32839</v>
      </c>
      <c r="H11522" t="s">
        <v>32849</v>
      </c>
      <c r="I11522" t="s">
        <v>4177</v>
      </c>
      <c r="J11522" t="s">
        <v>33118</v>
      </c>
      <c r="K11522" t="s">
        <v>42750</v>
      </c>
      <c r="M11522" t="s">
        <v>46741</v>
      </c>
      <c r="N11522" t="s">
        <v>47424</v>
      </c>
      <c r="O11522" t="s">
        <v>47425</v>
      </c>
      <c r="P11522">
        <v>0</v>
      </c>
      <c r="Q11522">
        <v>3</v>
      </c>
      <c r="R11522" t="s">
        <v>47438</v>
      </c>
      <c r="S11522" t="s">
        <v>47793</v>
      </c>
      <c r="T11522" t="s">
        <v>49172</v>
      </c>
      <c r="U11522" t="s">
        <v>59114</v>
      </c>
      <c r="W11522" t="s">
        <v>46741</v>
      </c>
      <c r="X11522" t="s">
        <v>47439</v>
      </c>
    </row>
    <row r="11523" spans="1:24">
      <c r="A11523">
        <f>HYPERLINK("https://www.philgeps.gov.ph/GEPSNONPILOT/Tender/SplashBidNoticeAbstractUI.aspx?menuIndex=3&amp;refID=7142305&amp;Result=3","7142305")</f>
        <v>0</v>
      </c>
      <c r="B11523" t="s">
        <v>3408</v>
      </c>
      <c r="C11523" t="s">
        <v>14747</v>
      </c>
      <c r="D11523" t="s">
        <v>19027</v>
      </c>
      <c r="E11523" t="s">
        <v>28968</v>
      </c>
      <c r="F11523" t="s">
        <v>32831</v>
      </c>
      <c r="G11523" t="s">
        <v>32838</v>
      </c>
      <c r="H11523" t="s">
        <v>32848</v>
      </c>
      <c r="I11523" t="s">
        <v>32922</v>
      </c>
      <c r="J11523" t="s">
        <v>32980</v>
      </c>
      <c r="K11523" t="s">
        <v>42731</v>
      </c>
      <c r="M11523" t="s">
        <v>46742</v>
      </c>
      <c r="N11523" t="s">
        <v>47424</v>
      </c>
      <c r="O11523" t="s">
        <v>47425</v>
      </c>
      <c r="P11523">
        <v>0</v>
      </c>
      <c r="Q11523">
        <v>0</v>
      </c>
      <c r="R11523" t="s">
        <v>47438</v>
      </c>
      <c r="S11523" t="s">
        <v>47793</v>
      </c>
      <c r="T11523" t="s">
        <v>49237</v>
      </c>
      <c r="U11523" t="s">
        <v>59115</v>
      </c>
      <c r="W11523" t="s">
        <v>46742</v>
      </c>
      <c r="X11523" t="s">
        <v>47439</v>
      </c>
    </row>
    <row r="11524" spans="1:24">
      <c r="A11524">
        <f>HYPERLINK("https://www.philgeps.gov.ph/GEPSNONPILOT/Tender/SplashBidNoticeAbstractUI.aspx?menuIndex=3&amp;refID=7139433&amp;Result=3","7139433")</f>
        <v>0</v>
      </c>
      <c r="B11524" t="s">
        <v>3392</v>
      </c>
      <c r="C11524" t="s">
        <v>14748</v>
      </c>
      <c r="D11524" t="s">
        <v>19093</v>
      </c>
      <c r="E11524" t="s">
        <v>27924</v>
      </c>
      <c r="F11524" t="s">
        <v>32831</v>
      </c>
      <c r="G11524" t="s">
        <v>32839</v>
      </c>
      <c r="H11524" t="s">
        <v>32848</v>
      </c>
      <c r="I11524" t="s">
        <v>32860</v>
      </c>
      <c r="J11524" t="s">
        <v>40063</v>
      </c>
      <c r="K11524" t="s">
        <v>42747</v>
      </c>
      <c r="M11524" t="s">
        <v>46724</v>
      </c>
      <c r="N11524" t="s">
        <v>47424</v>
      </c>
      <c r="O11524" t="s">
        <v>47425</v>
      </c>
      <c r="P11524">
        <v>0</v>
      </c>
      <c r="Q11524">
        <v>11</v>
      </c>
      <c r="R11524" t="s">
        <v>47438</v>
      </c>
      <c r="S11524" t="s">
        <v>47793</v>
      </c>
      <c r="T11524" t="s">
        <v>49142</v>
      </c>
      <c r="U11524" t="s">
        <v>59035</v>
      </c>
      <c r="W11524" t="s">
        <v>46724</v>
      </c>
      <c r="X11524" t="s">
        <v>47440</v>
      </c>
    </row>
    <row r="11525" spans="1:24">
      <c r="A11525">
        <f>HYPERLINK("https://www.philgeps.gov.ph/GEPSNONPILOT/Tender/SplashBidNoticeAbstractUI.aspx?menuIndex=3&amp;refID=7142320&amp;Result=3","7142320")</f>
        <v>0</v>
      </c>
      <c r="B11525" t="s">
        <v>3407</v>
      </c>
      <c r="C11525" t="s">
        <v>14749</v>
      </c>
      <c r="D11525" t="s">
        <v>19049</v>
      </c>
      <c r="E11525" t="s">
        <v>28969</v>
      </c>
      <c r="F11525" t="s">
        <v>32831</v>
      </c>
      <c r="G11525" t="s">
        <v>32839</v>
      </c>
      <c r="H11525" t="s">
        <v>32849</v>
      </c>
      <c r="I11525" t="s">
        <v>4177</v>
      </c>
      <c r="J11525" t="s">
        <v>40064</v>
      </c>
      <c r="K11525" t="s">
        <v>42927</v>
      </c>
      <c r="M11525" t="s">
        <v>46741</v>
      </c>
      <c r="N11525" t="s">
        <v>47424</v>
      </c>
      <c r="O11525" t="s">
        <v>47425</v>
      </c>
      <c r="P11525">
        <v>0</v>
      </c>
      <c r="Q11525">
        <v>4</v>
      </c>
      <c r="R11525" t="s">
        <v>47438</v>
      </c>
      <c r="S11525" t="s">
        <v>47793</v>
      </c>
      <c r="T11525" t="s">
        <v>49172</v>
      </c>
      <c r="U11525" t="s">
        <v>59116</v>
      </c>
      <c r="W11525" t="s">
        <v>46741</v>
      </c>
      <c r="X11525" t="s">
        <v>47439</v>
      </c>
    </row>
    <row r="11526" spans="1:24">
      <c r="A11526">
        <f>HYPERLINK("https://www.philgeps.gov.ph/GEPSNONPILOT/Tender/SplashBidNoticeAbstractUI.aspx?menuIndex=3&amp;refID=7142288&amp;Result=3","7142288")</f>
        <v>0</v>
      </c>
      <c r="B11526" t="s">
        <v>2240</v>
      </c>
      <c r="C11526" t="s">
        <v>14750</v>
      </c>
      <c r="D11526" t="s">
        <v>19071</v>
      </c>
      <c r="E11526" t="s">
        <v>28970</v>
      </c>
      <c r="F11526" t="s">
        <v>32831</v>
      </c>
      <c r="G11526" t="s">
        <v>32839</v>
      </c>
      <c r="H11526" t="s">
        <v>32848</v>
      </c>
      <c r="I11526" t="s">
        <v>32869</v>
      </c>
      <c r="J11526" t="s">
        <v>37217</v>
      </c>
      <c r="K11526" t="s">
        <v>42732</v>
      </c>
      <c r="M11526" t="s">
        <v>45421</v>
      </c>
      <c r="N11526" t="s">
        <v>47424</v>
      </c>
      <c r="O11526" t="s">
        <v>47425</v>
      </c>
      <c r="P11526">
        <v>0</v>
      </c>
      <c r="Q11526">
        <v>1</v>
      </c>
      <c r="R11526" t="s">
        <v>47438</v>
      </c>
      <c r="S11526" t="s">
        <v>47793</v>
      </c>
      <c r="T11526" t="s">
        <v>49070</v>
      </c>
      <c r="U11526" t="s">
        <v>59117</v>
      </c>
      <c r="W11526" t="s">
        <v>45421</v>
      </c>
      <c r="X11526" t="s">
        <v>47439</v>
      </c>
    </row>
    <row r="11527" spans="1:24">
      <c r="A11527">
        <f>HYPERLINK("https://www.philgeps.gov.ph/GEPSNONPILOT/Tender/SplashBidNoticeAbstractUI.aspx?menuIndex=3&amp;refID=7142287&amp;Result=3","7142287")</f>
        <v>0</v>
      </c>
      <c r="B11527" t="s">
        <v>3407</v>
      </c>
      <c r="C11527" t="s">
        <v>14751</v>
      </c>
      <c r="D11527" t="s">
        <v>19049</v>
      </c>
      <c r="E11527" t="s">
        <v>28971</v>
      </c>
      <c r="F11527" t="s">
        <v>32831</v>
      </c>
      <c r="G11527" t="s">
        <v>32839</v>
      </c>
      <c r="H11527" t="s">
        <v>32849</v>
      </c>
      <c r="I11527" t="s">
        <v>4177</v>
      </c>
      <c r="J11527" t="s">
        <v>33111</v>
      </c>
      <c r="K11527" t="s">
        <v>42733</v>
      </c>
      <c r="M11527" t="s">
        <v>46741</v>
      </c>
      <c r="N11527" t="s">
        <v>47424</v>
      </c>
      <c r="O11527" t="s">
        <v>47425</v>
      </c>
      <c r="P11527">
        <v>0</v>
      </c>
      <c r="Q11527">
        <v>3</v>
      </c>
      <c r="R11527" t="s">
        <v>47438</v>
      </c>
      <c r="S11527" t="s">
        <v>47793</v>
      </c>
      <c r="T11527" t="s">
        <v>49172</v>
      </c>
      <c r="U11527" t="s">
        <v>59118</v>
      </c>
      <c r="W11527" t="s">
        <v>46741</v>
      </c>
      <c r="X11527" t="s">
        <v>47439</v>
      </c>
    </row>
    <row r="11528" spans="1:24">
      <c r="A11528">
        <f>HYPERLINK("https://www.philgeps.gov.ph/GEPSNONPILOT/Tender/SplashBidNoticeAbstractUI.aspx?menuIndex=3&amp;refID=7142289&amp;Result=3","7142289")</f>
        <v>0</v>
      </c>
      <c r="B11528" t="s">
        <v>2192</v>
      </c>
      <c r="C11528" t="s">
        <v>14752</v>
      </c>
      <c r="D11528" t="s">
        <v>19037</v>
      </c>
      <c r="E11528" t="s">
        <v>28972</v>
      </c>
      <c r="F11528" t="s">
        <v>32831</v>
      </c>
      <c r="G11528" t="s">
        <v>32839</v>
      </c>
      <c r="H11528" t="s">
        <v>32849</v>
      </c>
      <c r="I11528" t="s">
        <v>4177</v>
      </c>
      <c r="J11528" t="s">
        <v>33108</v>
      </c>
      <c r="K11528" t="s">
        <v>42751</v>
      </c>
      <c r="M11528" t="s">
        <v>45372</v>
      </c>
      <c r="N11528" t="s">
        <v>47424</v>
      </c>
      <c r="O11528" t="s">
        <v>47425</v>
      </c>
      <c r="P11528">
        <v>0</v>
      </c>
      <c r="Q11528">
        <v>0</v>
      </c>
      <c r="R11528" t="s">
        <v>47438</v>
      </c>
      <c r="S11528" t="s">
        <v>47793</v>
      </c>
      <c r="T11528" t="s">
        <v>49152</v>
      </c>
      <c r="U11528" t="s">
        <v>59119</v>
      </c>
      <c r="W11528" t="s">
        <v>45372</v>
      </c>
      <c r="X11528" t="s">
        <v>47439</v>
      </c>
    </row>
    <row r="11529" spans="1:24">
      <c r="A11529">
        <f>HYPERLINK("https://www.philgeps.gov.ph/GEPSNONPILOT/Tender/SplashBidNoticeAbstractUI.aspx?menuIndex=3&amp;refID=7140920&amp;Result=3","7140920")</f>
        <v>0</v>
      </c>
      <c r="B11529" t="s">
        <v>2192</v>
      </c>
      <c r="C11529" t="s">
        <v>14753</v>
      </c>
      <c r="D11529" t="s">
        <v>19037</v>
      </c>
      <c r="E11529" t="s">
        <v>28973</v>
      </c>
      <c r="F11529" t="s">
        <v>32831</v>
      </c>
      <c r="G11529" t="s">
        <v>32839</v>
      </c>
      <c r="H11529" t="s">
        <v>32849</v>
      </c>
      <c r="I11529" t="s">
        <v>4177</v>
      </c>
      <c r="J11529" t="s">
        <v>40065</v>
      </c>
      <c r="K11529" t="s">
        <v>42763</v>
      </c>
      <c r="M11529" t="s">
        <v>45372</v>
      </c>
      <c r="N11529" t="s">
        <v>47424</v>
      </c>
      <c r="O11529" t="s">
        <v>47425</v>
      </c>
      <c r="P11529">
        <v>0</v>
      </c>
      <c r="Q11529">
        <v>0</v>
      </c>
      <c r="R11529" t="s">
        <v>47438</v>
      </c>
      <c r="S11529" t="s">
        <v>47793</v>
      </c>
      <c r="T11529" t="s">
        <v>49172</v>
      </c>
      <c r="U11529" t="s">
        <v>59120</v>
      </c>
      <c r="W11529" t="s">
        <v>45372</v>
      </c>
      <c r="X11529" t="s">
        <v>47440</v>
      </c>
    </row>
    <row r="11530" spans="1:24">
      <c r="A11530">
        <f>HYPERLINK("https://www.philgeps.gov.ph/GEPSNONPILOT/Tender/SplashBidNoticeAbstractUI.aspx?menuIndex=3&amp;refID=7142277&amp;Result=3","7142277")</f>
        <v>0</v>
      </c>
      <c r="B11530" t="s">
        <v>1254</v>
      </c>
      <c r="C11530" t="s">
        <v>14754</v>
      </c>
      <c r="D11530" t="s">
        <v>19041</v>
      </c>
      <c r="E11530" t="s">
        <v>19219</v>
      </c>
      <c r="F11530" t="s">
        <v>32831</v>
      </c>
      <c r="G11530" t="s">
        <v>32839</v>
      </c>
      <c r="H11530" t="s">
        <v>32849</v>
      </c>
      <c r="I11530" t="s">
        <v>4177</v>
      </c>
      <c r="J11530" t="s">
        <v>32983</v>
      </c>
      <c r="K11530" t="s">
        <v>42876</v>
      </c>
      <c r="M11530" t="s">
        <v>44324</v>
      </c>
      <c r="N11530" t="s">
        <v>47424</v>
      </c>
      <c r="O11530" t="s">
        <v>47425</v>
      </c>
      <c r="P11530">
        <v>0</v>
      </c>
      <c r="Q11530">
        <v>0</v>
      </c>
      <c r="R11530" t="s">
        <v>47438</v>
      </c>
      <c r="S11530" t="s">
        <v>47793</v>
      </c>
      <c r="T11530" t="s">
        <v>49172</v>
      </c>
      <c r="U11530" t="s">
        <v>59121</v>
      </c>
      <c r="V11530" t="s">
        <v>62941</v>
      </c>
      <c r="W11530" t="s">
        <v>44324</v>
      </c>
      <c r="X11530" t="s">
        <v>47439</v>
      </c>
    </row>
    <row r="11531" spans="1:24">
      <c r="A11531">
        <f>HYPERLINK("https://www.philgeps.gov.ph/GEPSNONPILOT/Tender/SplashBidNoticeAbstractUI.aspx?menuIndex=3&amp;refID=7142302&amp;Result=3","7142302")</f>
        <v>0</v>
      </c>
      <c r="B11531" t="s">
        <v>3406</v>
      </c>
      <c r="C11531" t="s">
        <v>14755</v>
      </c>
      <c r="D11531" t="s">
        <v>19032</v>
      </c>
      <c r="E11531" t="s">
        <v>14755</v>
      </c>
      <c r="F11531" t="s">
        <v>32831</v>
      </c>
      <c r="G11531" t="s">
        <v>32839</v>
      </c>
      <c r="H11531" t="s">
        <v>32848</v>
      </c>
      <c r="I11531" t="s">
        <v>7416</v>
      </c>
      <c r="J11531" t="s">
        <v>40066</v>
      </c>
      <c r="K11531" t="s">
        <v>42742</v>
      </c>
      <c r="M11531" t="s">
        <v>46740</v>
      </c>
      <c r="N11531" t="s">
        <v>47424</v>
      </c>
      <c r="O11531" t="s">
        <v>47425</v>
      </c>
      <c r="P11531">
        <v>0</v>
      </c>
      <c r="Q11531">
        <v>0</v>
      </c>
      <c r="R11531" t="s">
        <v>47438</v>
      </c>
      <c r="S11531" t="s">
        <v>47793</v>
      </c>
      <c r="T11531" t="s">
        <v>49198</v>
      </c>
      <c r="U11531" t="s">
        <v>59122</v>
      </c>
      <c r="W11531" t="s">
        <v>46740</v>
      </c>
      <c r="X11531" t="s">
        <v>47439</v>
      </c>
    </row>
    <row r="11532" spans="1:24">
      <c r="A11532">
        <f>HYPERLINK("https://www.philgeps.gov.ph/GEPSNONPILOT/Tender/SplashBidNoticeAbstractUI.aspx?menuIndex=3&amp;refID=7142488&amp;Result=3","7142488")</f>
        <v>0</v>
      </c>
      <c r="B11532" t="s">
        <v>3409</v>
      </c>
      <c r="C11532" t="s">
        <v>14756</v>
      </c>
      <c r="D11532" t="s">
        <v>19022</v>
      </c>
      <c r="E11532" t="s">
        <v>28974</v>
      </c>
      <c r="F11532" t="s">
        <v>32831</v>
      </c>
      <c r="G11532" t="s">
        <v>32839</v>
      </c>
      <c r="H11532" t="s">
        <v>32848</v>
      </c>
      <c r="I11532" t="s">
        <v>32855</v>
      </c>
      <c r="J11532" t="s">
        <v>40067</v>
      </c>
      <c r="K11532" t="s">
        <v>42763</v>
      </c>
      <c r="M11532" t="s">
        <v>46743</v>
      </c>
      <c r="N11532" t="s">
        <v>47424</v>
      </c>
      <c r="O11532" t="s">
        <v>47425</v>
      </c>
      <c r="P11532">
        <v>0</v>
      </c>
      <c r="Q11532">
        <v>4</v>
      </c>
      <c r="R11532" t="s">
        <v>47438</v>
      </c>
      <c r="S11532" t="s">
        <v>47793</v>
      </c>
      <c r="T11532" t="s">
        <v>49135</v>
      </c>
      <c r="U11532" t="s">
        <v>59123</v>
      </c>
      <c r="W11532" t="s">
        <v>46743</v>
      </c>
      <c r="X11532" t="s">
        <v>47439</v>
      </c>
    </row>
    <row r="11533" spans="1:24">
      <c r="A11533">
        <f>HYPERLINK("https://www.philgeps.gov.ph/GEPSNONPILOT/Tender/SplashBidNoticeAbstractUI.aspx?menuIndex=3&amp;refID=7142299&amp;Result=3","7142299")</f>
        <v>0</v>
      </c>
      <c r="B11533" t="s">
        <v>3410</v>
      </c>
      <c r="C11533" t="s">
        <v>14757</v>
      </c>
      <c r="D11533" t="s">
        <v>19042</v>
      </c>
      <c r="E11533" t="s">
        <v>20747</v>
      </c>
      <c r="F11533" t="s">
        <v>32831</v>
      </c>
      <c r="G11533" t="s">
        <v>32839</v>
      </c>
      <c r="H11533" t="s">
        <v>32848</v>
      </c>
      <c r="I11533" t="s">
        <v>7416</v>
      </c>
      <c r="J11533" t="s">
        <v>40068</v>
      </c>
      <c r="K11533" t="s">
        <v>42748</v>
      </c>
      <c r="M11533" t="s">
        <v>46744</v>
      </c>
      <c r="N11533" t="s">
        <v>47424</v>
      </c>
      <c r="O11533" t="s">
        <v>47425</v>
      </c>
      <c r="P11533">
        <v>0</v>
      </c>
      <c r="Q11533">
        <v>0</v>
      </c>
      <c r="R11533" t="s">
        <v>47438</v>
      </c>
      <c r="S11533" t="s">
        <v>47793</v>
      </c>
      <c r="T11533" t="s">
        <v>49237</v>
      </c>
      <c r="U11533" t="s">
        <v>59124</v>
      </c>
      <c r="W11533" t="s">
        <v>46744</v>
      </c>
      <c r="X11533" t="s">
        <v>47439</v>
      </c>
    </row>
    <row r="11534" spans="1:24">
      <c r="A11534">
        <f>HYPERLINK("https://www.philgeps.gov.ph/GEPSNONPILOT/Tender/SplashBidNoticeAbstractUI.aspx?menuIndex=3&amp;refID=7142476&amp;Result=3","7142476")</f>
        <v>0</v>
      </c>
      <c r="B11534" t="s">
        <v>3411</v>
      </c>
      <c r="C11534" t="s">
        <v>14758</v>
      </c>
      <c r="D11534" t="s">
        <v>19023</v>
      </c>
      <c r="E11534" t="s">
        <v>28975</v>
      </c>
      <c r="F11534" t="s">
        <v>32831</v>
      </c>
      <c r="G11534" t="s">
        <v>32839</v>
      </c>
      <c r="H11534" t="s">
        <v>32849</v>
      </c>
      <c r="I11534" t="s">
        <v>4177</v>
      </c>
      <c r="J11534" t="s">
        <v>40069</v>
      </c>
      <c r="K11534" t="s">
        <v>42727</v>
      </c>
      <c r="M11534" t="s">
        <v>46745</v>
      </c>
      <c r="N11534" t="s">
        <v>47424</v>
      </c>
      <c r="O11534" t="s">
        <v>47425</v>
      </c>
      <c r="P11534">
        <v>0</v>
      </c>
      <c r="Q11534">
        <v>1</v>
      </c>
      <c r="R11534" t="s">
        <v>47438</v>
      </c>
      <c r="S11534" t="s">
        <v>47793</v>
      </c>
      <c r="T11534" t="s">
        <v>49106</v>
      </c>
      <c r="U11534" t="s">
        <v>59125</v>
      </c>
      <c r="V11534" t="s">
        <v>63897</v>
      </c>
      <c r="W11534" t="s">
        <v>46745</v>
      </c>
      <c r="X11534" t="s">
        <v>47439</v>
      </c>
    </row>
    <row r="11535" spans="1:24">
      <c r="A11535">
        <f>HYPERLINK("https://www.philgeps.gov.ph/GEPSNONPILOT/Tender/SplashBidNoticeAbstractUI.aspx?menuIndex=3&amp;refID=7142268&amp;Result=3","7142268")</f>
        <v>0</v>
      </c>
      <c r="B11535" t="s">
        <v>3412</v>
      </c>
      <c r="C11535" t="s">
        <v>14759</v>
      </c>
      <c r="D11535" t="s">
        <v>19086</v>
      </c>
      <c r="E11535" t="s">
        <v>19555</v>
      </c>
      <c r="F11535" t="s">
        <v>32832</v>
      </c>
      <c r="G11535" t="s">
        <v>32838</v>
      </c>
      <c r="H11535" t="s">
        <v>32850</v>
      </c>
      <c r="I11535" t="s">
        <v>32864</v>
      </c>
      <c r="J11535" t="s">
        <v>40070</v>
      </c>
      <c r="K11535" t="s">
        <v>42750</v>
      </c>
      <c r="M11535" t="s">
        <v>46746</v>
      </c>
      <c r="N11535" t="s">
        <v>47424</v>
      </c>
      <c r="O11535" t="s">
        <v>47425</v>
      </c>
      <c r="P11535">
        <v>0</v>
      </c>
      <c r="Q11535">
        <v>4</v>
      </c>
      <c r="R11535" t="s">
        <v>47438</v>
      </c>
      <c r="S11535" t="s">
        <v>47793</v>
      </c>
      <c r="T11535" t="s">
        <v>49079</v>
      </c>
      <c r="U11535" t="s">
        <v>59126</v>
      </c>
      <c r="W11535" t="s">
        <v>46746</v>
      </c>
      <c r="X11535" t="s">
        <v>47439</v>
      </c>
    </row>
    <row r="11536" spans="1:24">
      <c r="A11536">
        <f>HYPERLINK("https://www.philgeps.gov.ph/GEPSNONPILOT/Tender/SplashBidNoticeAbstractUI.aspx?menuIndex=3&amp;refID=7142468&amp;Result=3","7142468")</f>
        <v>0</v>
      </c>
      <c r="B11536" t="s">
        <v>3413</v>
      </c>
      <c r="C11536" t="s">
        <v>14760</v>
      </c>
      <c r="D11536" t="s">
        <v>19055</v>
      </c>
      <c r="E11536" t="s">
        <v>28976</v>
      </c>
      <c r="F11536" t="s">
        <v>32831</v>
      </c>
      <c r="G11536" t="s">
        <v>32839</v>
      </c>
      <c r="H11536" t="s">
        <v>32848</v>
      </c>
      <c r="I11536" t="s">
        <v>32862</v>
      </c>
      <c r="J11536" t="s">
        <v>40071</v>
      </c>
      <c r="K11536" t="s">
        <v>42742</v>
      </c>
      <c r="M11536" t="s">
        <v>46747</v>
      </c>
      <c r="N11536" t="s">
        <v>47424</v>
      </c>
      <c r="O11536" t="s">
        <v>47425</v>
      </c>
      <c r="P11536">
        <v>0</v>
      </c>
      <c r="Q11536">
        <v>1</v>
      </c>
      <c r="R11536" t="s">
        <v>47438</v>
      </c>
      <c r="S11536" t="s">
        <v>47793</v>
      </c>
      <c r="T11536" t="s">
        <v>49123</v>
      </c>
      <c r="U11536" t="s">
        <v>59127</v>
      </c>
      <c r="V11536" t="s">
        <v>63898</v>
      </c>
      <c r="W11536" t="s">
        <v>46747</v>
      </c>
      <c r="X11536" t="s">
        <v>47439</v>
      </c>
    </row>
    <row r="11537" spans="1:24">
      <c r="A11537">
        <f>HYPERLINK("https://www.philgeps.gov.ph/GEPSNONPILOT/Tender/SplashBidNoticeAbstractUI.aspx?menuIndex=3&amp;refID=7142284&amp;Result=3","7142284")</f>
        <v>0</v>
      </c>
      <c r="B11537" t="s">
        <v>793</v>
      </c>
      <c r="C11537" t="s">
        <v>14761</v>
      </c>
      <c r="D11537" t="s">
        <v>19048</v>
      </c>
      <c r="E11537" t="s">
        <v>21641</v>
      </c>
      <c r="F11537" t="s">
        <v>32831</v>
      </c>
      <c r="G11537" t="s">
        <v>32839</v>
      </c>
      <c r="H11537" t="s">
        <v>32848</v>
      </c>
      <c r="I11537" t="s">
        <v>32948</v>
      </c>
      <c r="J11537" t="s">
        <v>33111</v>
      </c>
      <c r="K11537" t="s">
        <v>42730</v>
      </c>
      <c r="M11537" t="s">
        <v>43823</v>
      </c>
      <c r="N11537" t="s">
        <v>47424</v>
      </c>
      <c r="O11537" t="s">
        <v>47425</v>
      </c>
      <c r="Q11537">
        <v>3</v>
      </c>
      <c r="R11537" t="s">
        <v>47438</v>
      </c>
      <c r="S11537" t="s">
        <v>47805</v>
      </c>
      <c r="T11537" t="s">
        <v>49172</v>
      </c>
      <c r="U11537" t="s">
        <v>59128</v>
      </c>
      <c r="W11537" t="s">
        <v>43823</v>
      </c>
      <c r="X11537" t="s">
        <v>47439</v>
      </c>
    </row>
    <row r="11538" spans="1:24">
      <c r="A11538">
        <f>HYPERLINK("https://www.philgeps.gov.ph/GEPSNONPILOT/Tender/SplashBidNoticeAbstractUI.aspx?menuIndex=3&amp;refID=7142438&amp;Result=3","7142438")</f>
        <v>0</v>
      </c>
      <c r="B11538" t="s">
        <v>3414</v>
      </c>
      <c r="C11538" t="s">
        <v>14762</v>
      </c>
      <c r="D11538" t="s">
        <v>19039</v>
      </c>
      <c r="E11538" t="s">
        <v>28977</v>
      </c>
      <c r="F11538" t="s">
        <v>32831</v>
      </c>
      <c r="G11538" t="s">
        <v>32839</v>
      </c>
      <c r="H11538" t="s">
        <v>32848</v>
      </c>
      <c r="I11538" t="s">
        <v>32886</v>
      </c>
      <c r="J11538" t="s">
        <v>33257</v>
      </c>
      <c r="K11538" t="s">
        <v>42747</v>
      </c>
      <c r="M11538" t="s">
        <v>46748</v>
      </c>
      <c r="N11538" t="s">
        <v>47424</v>
      </c>
      <c r="O11538" t="s">
        <v>47425</v>
      </c>
      <c r="P11538">
        <v>0</v>
      </c>
      <c r="Q11538">
        <v>8</v>
      </c>
      <c r="R11538" t="s">
        <v>47438</v>
      </c>
      <c r="S11538" t="s">
        <v>47793</v>
      </c>
      <c r="T11538" t="s">
        <v>49073</v>
      </c>
      <c r="U11538" t="s">
        <v>59129</v>
      </c>
      <c r="W11538" t="s">
        <v>46748</v>
      </c>
      <c r="X11538" t="s">
        <v>47439</v>
      </c>
    </row>
    <row r="11539" spans="1:24">
      <c r="A11539">
        <f>HYPERLINK("https://www.philgeps.gov.ph/GEPSNONPILOT/Tender/SplashBidNoticeAbstractUI.aspx?menuIndex=3&amp;refID=7142448&amp;Result=3","7142448")</f>
        <v>0</v>
      </c>
      <c r="B11539" t="s">
        <v>3405</v>
      </c>
      <c r="C11539" t="s">
        <v>14763</v>
      </c>
      <c r="D11539" t="s">
        <v>19018</v>
      </c>
      <c r="E11539" t="s">
        <v>28978</v>
      </c>
      <c r="F11539" t="s">
        <v>32831</v>
      </c>
      <c r="G11539" t="s">
        <v>32839</v>
      </c>
      <c r="H11539" t="s">
        <v>32848</v>
      </c>
      <c r="I11539" t="s">
        <v>32925</v>
      </c>
      <c r="J11539" t="s">
        <v>40072</v>
      </c>
      <c r="K11539" t="s">
        <v>42729</v>
      </c>
      <c r="M11539" t="s">
        <v>46739</v>
      </c>
      <c r="N11539" t="s">
        <v>47424</v>
      </c>
      <c r="O11539" t="s">
        <v>47425</v>
      </c>
      <c r="Q11539">
        <v>6</v>
      </c>
      <c r="R11539" t="s">
        <v>47438</v>
      </c>
      <c r="S11539" t="s">
        <v>47806</v>
      </c>
      <c r="T11539" t="s">
        <v>49398</v>
      </c>
      <c r="U11539" t="s">
        <v>59106</v>
      </c>
      <c r="V11539" t="s">
        <v>63899</v>
      </c>
      <c r="W11539" t="s">
        <v>46739</v>
      </c>
      <c r="X11539" t="s">
        <v>47439</v>
      </c>
    </row>
    <row r="11540" spans="1:24">
      <c r="A11540">
        <f>HYPERLINK("https://www.philgeps.gov.ph/GEPSNONPILOT/Tender/SplashBidNoticeAbstractUI.aspx?menuIndex=3&amp;refID=7142435&amp;Result=3","7142435")</f>
        <v>0</v>
      </c>
      <c r="B11540" t="s">
        <v>1850</v>
      </c>
      <c r="C11540" t="s">
        <v>14764</v>
      </c>
      <c r="D11540" t="s">
        <v>19020</v>
      </c>
      <c r="E11540" t="s">
        <v>28979</v>
      </c>
      <c r="F11540" t="s">
        <v>32831</v>
      </c>
      <c r="G11540" t="s">
        <v>32839</v>
      </c>
      <c r="H11540" t="s">
        <v>32848</v>
      </c>
      <c r="I11540" t="s">
        <v>7819</v>
      </c>
      <c r="J11540" t="s">
        <v>40073</v>
      </c>
      <c r="K11540" t="s">
        <v>42727</v>
      </c>
      <c r="M11540" t="s">
        <v>44988</v>
      </c>
      <c r="N11540" t="s">
        <v>47424</v>
      </c>
      <c r="O11540" t="s">
        <v>47425</v>
      </c>
      <c r="P11540">
        <v>0</v>
      </c>
      <c r="Q11540">
        <v>2</v>
      </c>
      <c r="R11540" t="s">
        <v>47438</v>
      </c>
      <c r="S11540" t="s">
        <v>47793</v>
      </c>
      <c r="T11540" t="s">
        <v>49105</v>
      </c>
      <c r="U11540" t="s">
        <v>59130</v>
      </c>
      <c r="W11540" t="s">
        <v>44988</v>
      </c>
      <c r="X11540" t="s">
        <v>47439</v>
      </c>
    </row>
    <row r="11541" spans="1:24">
      <c r="A11541">
        <f>HYPERLINK("https://www.philgeps.gov.ph/GEPSNONPILOT/Tender/SplashBidNoticeAbstractUI.aspx?menuIndex=3&amp;refID=7142464&amp;Result=3","7142464")</f>
        <v>0</v>
      </c>
      <c r="B11541" t="s">
        <v>1976</v>
      </c>
      <c r="C11541" t="s">
        <v>14765</v>
      </c>
      <c r="D11541" t="s">
        <v>19034</v>
      </c>
      <c r="E11541" t="s">
        <v>28980</v>
      </c>
      <c r="F11541" t="s">
        <v>32831</v>
      </c>
      <c r="G11541" t="s">
        <v>32839</v>
      </c>
      <c r="H11541" t="s">
        <v>32849</v>
      </c>
      <c r="I11541" t="s">
        <v>4177</v>
      </c>
      <c r="J11541" t="s">
        <v>35998</v>
      </c>
      <c r="K11541" t="s">
        <v>42730</v>
      </c>
      <c r="M11541" t="s">
        <v>45137</v>
      </c>
      <c r="N11541" t="s">
        <v>47424</v>
      </c>
      <c r="O11541" t="s">
        <v>47425</v>
      </c>
      <c r="Q11541">
        <v>0</v>
      </c>
      <c r="R11541" t="s">
        <v>47438</v>
      </c>
      <c r="S11541" t="s">
        <v>47807</v>
      </c>
      <c r="T11541" t="s">
        <v>49159</v>
      </c>
      <c r="U11541" t="s">
        <v>59131</v>
      </c>
      <c r="W11541" t="s">
        <v>45137</v>
      </c>
      <c r="X11541" t="s">
        <v>47439</v>
      </c>
    </row>
    <row r="11542" spans="1:24">
      <c r="A11542">
        <f>HYPERLINK("https://www.philgeps.gov.ph/GEPSNONPILOT/Tender/SplashBidNoticeAbstractUI.aspx?menuIndex=3&amp;refID=7142478&amp;Result=3","7142478")</f>
        <v>0</v>
      </c>
      <c r="B11542" t="s">
        <v>3415</v>
      </c>
      <c r="C11542" t="s">
        <v>14766</v>
      </c>
      <c r="D11542" t="s">
        <v>19018</v>
      </c>
      <c r="E11542" t="s">
        <v>28981</v>
      </c>
      <c r="F11542" t="s">
        <v>32831</v>
      </c>
      <c r="G11542" t="s">
        <v>32839</v>
      </c>
      <c r="H11542" t="s">
        <v>32848</v>
      </c>
      <c r="I11542" t="s">
        <v>4558</v>
      </c>
      <c r="J11542" t="s">
        <v>40074</v>
      </c>
      <c r="K11542" t="s">
        <v>42748</v>
      </c>
      <c r="M11542" t="s">
        <v>46749</v>
      </c>
      <c r="N11542" t="s">
        <v>47424</v>
      </c>
      <c r="O11542" t="s">
        <v>47425</v>
      </c>
      <c r="P11542">
        <v>0</v>
      </c>
      <c r="Q11542">
        <v>6</v>
      </c>
      <c r="R11542" t="s">
        <v>47438</v>
      </c>
      <c r="S11542" t="s">
        <v>47793</v>
      </c>
      <c r="T11542" t="s">
        <v>49262</v>
      </c>
      <c r="U11542" t="s">
        <v>59132</v>
      </c>
      <c r="V11542" t="s">
        <v>62714</v>
      </c>
      <c r="W11542" t="s">
        <v>46749</v>
      </c>
      <c r="X11542" t="s">
        <v>47439</v>
      </c>
    </row>
    <row r="11543" spans="1:24">
      <c r="A11543">
        <f>HYPERLINK("https://www.philgeps.gov.ph/GEPSNONPILOT/Tender/SplashBidNoticeAbstractUI.aspx?menuIndex=3&amp;refID=7142431&amp;Result=3","7142431")</f>
        <v>0</v>
      </c>
      <c r="B11543" t="s">
        <v>3416</v>
      </c>
      <c r="C11543" t="s">
        <v>14767</v>
      </c>
      <c r="D11543" t="s">
        <v>19017</v>
      </c>
      <c r="E11543" t="s">
        <v>28982</v>
      </c>
      <c r="F11543" t="s">
        <v>32835</v>
      </c>
      <c r="G11543" t="s">
        <v>32840</v>
      </c>
      <c r="H11543" t="s">
        <v>32848</v>
      </c>
      <c r="I11543" t="s">
        <v>4487</v>
      </c>
      <c r="J11543" t="s">
        <v>36025</v>
      </c>
      <c r="K11543" t="s">
        <v>42730</v>
      </c>
      <c r="M11543" t="s">
        <v>46750</v>
      </c>
      <c r="N11543" t="s">
        <v>47424</v>
      </c>
      <c r="O11543" t="s">
        <v>47425</v>
      </c>
      <c r="Q11543">
        <v>13</v>
      </c>
      <c r="R11543" t="s">
        <v>47438</v>
      </c>
      <c r="S11543" t="s">
        <v>47808</v>
      </c>
      <c r="T11543" t="s">
        <v>49497</v>
      </c>
      <c r="U11543" t="s">
        <v>59133</v>
      </c>
      <c r="V11543" t="s">
        <v>63900</v>
      </c>
      <c r="W11543" t="s">
        <v>46750</v>
      </c>
      <c r="X11543" t="s">
        <v>47439</v>
      </c>
    </row>
    <row r="11544" spans="1:24">
      <c r="A11544">
        <f>HYPERLINK("https://www.philgeps.gov.ph/GEPSNONPILOT/Tender/SplashBidNoticeAbstractUI.aspx?menuIndex=3&amp;refID=7142432&amp;Result=3","7142432")</f>
        <v>0</v>
      </c>
      <c r="B11544" t="s">
        <v>3074</v>
      </c>
      <c r="C11544" t="s">
        <v>14768</v>
      </c>
      <c r="D11544" t="s">
        <v>19022</v>
      </c>
      <c r="E11544" t="s">
        <v>28983</v>
      </c>
      <c r="F11544" t="s">
        <v>32831</v>
      </c>
      <c r="G11544" t="s">
        <v>32839</v>
      </c>
      <c r="H11544" t="s">
        <v>32849</v>
      </c>
      <c r="I11544" t="s">
        <v>4177</v>
      </c>
      <c r="J11544" t="s">
        <v>40075</v>
      </c>
      <c r="K11544" t="s">
        <v>42945</v>
      </c>
      <c r="M11544" t="s">
        <v>46353</v>
      </c>
      <c r="N11544" t="s">
        <v>47424</v>
      </c>
      <c r="O11544" t="s">
        <v>47425</v>
      </c>
      <c r="P11544">
        <v>0</v>
      </c>
      <c r="Q11544">
        <v>2</v>
      </c>
      <c r="R11544" t="s">
        <v>47438</v>
      </c>
      <c r="S11544" t="s">
        <v>47793</v>
      </c>
      <c r="T11544" t="s">
        <v>49464</v>
      </c>
      <c r="U11544" t="s">
        <v>59110</v>
      </c>
      <c r="W11544" t="s">
        <v>46353</v>
      </c>
      <c r="X11544" t="s">
        <v>47439</v>
      </c>
    </row>
    <row r="11545" spans="1:24">
      <c r="A11545">
        <f>HYPERLINK("https://www.philgeps.gov.ph/GEPSNONPILOT/Tender/SplashBidNoticeAbstractUI.aspx?menuIndex=3&amp;refID=7142383&amp;Result=3","7142383")</f>
        <v>0</v>
      </c>
      <c r="B11545" t="s">
        <v>793</v>
      </c>
      <c r="C11545" t="s">
        <v>14769</v>
      </c>
      <c r="D11545" t="s">
        <v>19048</v>
      </c>
      <c r="E11545" t="s">
        <v>21569</v>
      </c>
      <c r="F11545" t="s">
        <v>32831</v>
      </c>
      <c r="G11545" t="s">
        <v>32839</v>
      </c>
      <c r="H11545" t="s">
        <v>32849</v>
      </c>
      <c r="I11545" t="s">
        <v>4177</v>
      </c>
      <c r="J11545" t="s">
        <v>40076</v>
      </c>
      <c r="K11545" t="s">
        <v>42770</v>
      </c>
      <c r="M11545" t="s">
        <v>46751</v>
      </c>
      <c r="N11545" t="s">
        <v>47424</v>
      </c>
      <c r="O11545" t="s">
        <v>47425</v>
      </c>
      <c r="Q11545">
        <v>1</v>
      </c>
      <c r="R11545" t="s">
        <v>47438</v>
      </c>
      <c r="S11545" t="s">
        <v>47809</v>
      </c>
      <c r="T11545" t="s">
        <v>49221</v>
      </c>
      <c r="U11545" t="s">
        <v>59134</v>
      </c>
      <c r="W11545" t="s">
        <v>46751</v>
      </c>
      <c r="X11545" t="s">
        <v>47439</v>
      </c>
    </row>
    <row r="11546" spans="1:24">
      <c r="A11546">
        <f>HYPERLINK("https://www.philgeps.gov.ph/GEPSNONPILOT/Tender/SplashBidNoticeAbstractUI.aspx?menuIndex=3&amp;refID=7142427&amp;Result=3","7142427")</f>
        <v>0</v>
      </c>
      <c r="B11546" t="s">
        <v>1334</v>
      </c>
      <c r="C11546" t="s">
        <v>14770</v>
      </c>
      <c r="D11546" t="s">
        <v>19077</v>
      </c>
      <c r="E11546" t="s">
        <v>28984</v>
      </c>
      <c r="F11546" t="s">
        <v>32831</v>
      </c>
      <c r="G11546" t="s">
        <v>32839</v>
      </c>
      <c r="H11546" t="s">
        <v>32848</v>
      </c>
      <c r="I11546" t="s">
        <v>7416</v>
      </c>
      <c r="J11546" t="s">
        <v>40077</v>
      </c>
      <c r="K11546" t="s">
        <v>42732</v>
      </c>
      <c r="M11546" t="s">
        <v>44406</v>
      </c>
      <c r="N11546" t="s">
        <v>47424</v>
      </c>
      <c r="O11546" t="s">
        <v>47425</v>
      </c>
      <c r="P11546">
        <v>0</v>
      </c>
      <c r="Q11546">
        <v>0</v>
      </c>
      <c r="R11546" t="s">
        <v>47438</v>
      </c>
      <c r="S11546" t="s">
        <v>47793</v>
      </c>
      <c r="T11546" t="s">
        <v>49350</v>
      </c>
      <c r="U11546" t="s">
        <v>59135</v>
      </c>
      <c r="W11546" t="s">
        <v>44406</v>
      </c>
      <c r="X11546" t="s">
        <v>47439</v>
      </c>
    </row>
    <row r="11547" spans="1:24">
      <c r="A11547">
        <f>HYPERLINK("https://www.philgeps.gov.ph/GEPSNONPILOT/Tender/SplashBidNoticeAbstractUI.aspx?menuIndex=3&amp;refID=7142426&amp;Result=3","7142426")</f>
        <v>0</v>
      </c>
      <c r="B11547" t="s">
        <v>1484</v>
      </c>
      <c r="C11547" t="s">
        <v>14771</v>
      </c>
      <c r="D11547" t="s">
        <v>19031</v>
      </c>
      <c r="E11547" t="s">
        <v>28985</v>
      </c>
      <c r="F11547" t="s">
        <v>32831</v>
      </c>
      <c r="G11547" t="s">
        <v>32839</v>
      </c>
      <c r="H11547" t="s">
        <v>32849</v>
      </c>
      <c r="I11547" t="s">
        <v>4177</v>
      </c>
      <c r="J11547" t="s">
        <v>40078</v>
      </c>
      <c r="K11547" t="s">
        <v>42757</v>
      </c>
      <c r="M11547" t="s">
        <v>46206</v>
      </c>
      <c r="N11547" t="s">
        <v>47424</v>
      </c>
      <c r="O11547" t="s">
        <v>47425</v>
      </c>
      <c r="P11547">
        <v>0</v>
      </c>
      <c r="Q11547">
        <v>1</v>
      </c>
      <c r="R11547" t="s">
        <v>47438</v>
      </c>
      <c r="S11547" t="s">
        <v>47793</v>
      </c>
      <c r="T11547" t="s">
        <v>49196</v>
      </c>
      <c r="U11547" t="s">
        <v>59136</v>
      </c>
      <c r="W11547" t="s">
        <v>46206</v>
      </c>
      <c r="X11547" t="s">
        <v>47439</v>
      </c>
    </row>
    <row r="11548" spans="1:24">
      <c r="A11548">
        <f>HYPERLINK("https://www.philgeps.gov.ph/GEPSNONPILOT/Tender/SplashBidNoticeAbstractUI.aspx?menuIndex=3&amp;refID=7142401&amp;Result=3","7142401")</f>
        <v>0</v>
      </c>
      <c r="B11548" t="s">
        <v>3408</v>
      </c>
      <c r="C11548" t="s">
        <v>14772</v>
      </c>
      <c r="D11548" t="s">
        <v>19027</v>
      </c>
      <c r="E11548" t="s">
        <v>28986</v>
      </c>
      <c r="F11548" t="s">
        <v>32831</v>
      </c>
      <c r="G11548" t="s">
        <v>32838</v>
      </c>
      <c r="H11548" t="s">
        <v>32848</v>
      </c>
      <c r="I11548" t="s">
        <v>32857</v>
      </c>
      <c r="J11548" t="s">
        <v>40079</v>
      </c>
      <c r="K11548" t="s">
        <v>42731</v>
      </c>
      <c r="M11548" t="s">
        <v>46742</v>
      </c>
      <c r="N11548" t="s">
        <v>47424</v>
      </c>
      <c r="O11548" t="s">
        <v>47425</v>
      </c>
      <c r="P11548">
        <v>0</v>
      </c>
      <c r="Q11548">
        <v>5</v>
      </c>
      <c r="R11548" t="s">
        <v>47438</v>
      </c>
      <c r="S11548" t="s">
        <v>47793</v>
      </c>
      <c r="T11548" t="s">
        <v>49237</v>
      </c>
      <c r="U11548" t="s">
        <v>59115</v>
      </c>
      <c r="W11548" t="s">
        <v>46742</v>
      </c>
      <c r="X11548" t="s">
        <v>47439</v>
      </c>
    </row>
    <row r="11549" spans="1:24">
      <c r="A11549">
        <f>HYPERLINK("https://www.philgeps.gov.ph/GEPSNONPILOT/Tender/SplashBidNoticeAbstractUI.aspx?menuIndex=3&amp;refID=7142643&amp;Result=3","7142643")</f>
        <v>0</v>
      </c>
      <c r="B11549" t="s">
        <v>865</v>
      </c>
      <c r="C11549" t="s">
        <v>14773</v>
      </c>
      <c r="D11549" t="s">
        <v>19077</v>
      </c>
      <c r="E11549" t="s">
        <v>28771</v>
      </c>
      <c r="F11549" t="s">
        <v>32831</v>
      </c>
      <c r="G11549" t="s">
        <v>32839</v>
      </c>
      <c r="H11549" t="s">
        <v>32848</v>
      </c>
      <c r="I11549" t="s">
        <v>10805</v>
      </c>
      <c r="J11549" t="s">
        <v>33291</v>
      </c>
      <c r="K11549" t="s">
        <v>42726</v>
      </c>
      <c r="M11549" t="s">
        <v>43899</v>
      </c>
      <c r="N11549" t="s">
        <v>47424</v>
      </c>
      <c r="O11549" t="s">
        <v>47425</v>
      </c>
      <c r="P11549">
        <v>0</v>
      </c>
      <c r="Q11549">
        <v>5</v>
      </c>
      <c r="R11549" t="s">
        <v>47438</v>
      </c>
      <c r="S11549" t="s">
        <v>47793</v>
      </c>
      <c r="T11549" t="s">
        <v>49162</v>
      </c>
      <c r="U11549" t="s">
        <v>59137</v>
      </c>
      <c r="V11549" t="s">
        <v>62825</v>
      </c>
      <c r="W11549" t="s">
        <v>43899</v>
      </c>
      <c r="X11549" t="s">
        <v>47439</v>
      </c>
    </row>
    <row r="11550" spans="1:24">
      <c r="A11550">
        <f>HYPERLINK("https://www.philgeps.gov.ph/GEPSNONPILOT/Tender/SplashBidNoticeAbstractUI.aspx?menuIndex=3&amp;refID=7142637&amp;Result=3","7142637")</f>
        <v>0</v>
      </c>
      <c r="B11550" t="s">
        <v>3417</v>
      </c>
      <c r="C11550" t="s">
        <v>14774</v>
      </c>
      <c r="D11550" t="s">
        <v>19092</v>
      </c>
      <c r="E11550" t="s">
        <v>28987</v>
      </c>
      <c r="F11550" t="s">
        <v>32831</v>
      </c>
      <c r="G11550" t="s">
        <v>32839</v>
      </c>
      <c r="H11550" t="s">
        <v>32848</v>
      </c>
      <c r="I11550" t="s">
        <v>32871</v>
      </c>
      <c r="J11550" t="s">
        <v>33111</v>
      </c>
      <c r="K11550" t="s">
        <v>42730</v>
      </c>
      <c r="M11550" t="s">
        <v>46752</v>
      </c>
      <c r="N11550" t="s">
        <v>47424</v>
      </c>
      <c r="O11550" t="s">
        <v>47425</v>
      </c>
      <c r="P11550">
        <v>0</v>
      </c>
      <c r="Q11550">
        <v>28</v>
      </c>
      <c r="R11550" t="s">
        <v>47438</v>
      </c>
      <c r="S11550" t="s">
        <v>47793</v>
      </c>
      <c r="T11550" t="s">
        <v>49143</v>
      </c>
      <c r="U11550" t="s">
        <v>59138</v>
      </c>
      <c r="V11550" t="s">
        <v>63901</v>
      </c>
      <c r="W11550" t="s">
        <v>46752</v>
      </c>
      <c r="X11550" t="s">
        <v>47439</v>
      </c>
    </row>
    <row r="11551" spans="1:24">
      <c r="A11551">
        <f>HYPERLINK("https://www.philgeps.gov.ph/GEPSNONPILOT/Tender/SplashBidNoticeAbstractUI.aspx?menuIndex=3&amp;refID=7141985&amp;Result=3","7141985")</f>
        <v>0</v>
      </c>
      <c r="B11551" t="s">
        <v>3401</v>
      </c>
      <c r="C11551" t="s">
        <v>14775</v>
      </c>
      <c r="D11551" t="s">
        <v>19021</v>
      </c>
      <c r="E11551" t="s">
        <v>28988</v>
      </c>
      <c r="F11551" t="s">
        <v>32831</v>
      </c>
      <c r="G11551" t="s">
        <v>32839</v>
      </c>
      <c r="H11551" t="s">
        <v>32849</v>
      </c>
      <c r="I11551" t="s">
        <v>4177</v>
      </c>
      <c r="J11551" t="s">
        <v>40080</v>
      </c>
      <c r="K11551" t="s">
        <v>42763</v>
      </c>
      <c r="M11551" t="s">
        <v>46734</v>
      </c>
      <c r="N11551" t="s">
        <v>47424</v>
      </c>
      <c r="O11551" t="s">
        <v>47425</v>
      </c>
      <c r="P11551">
        <v>0</v>
      </c>
      <c r="Q11551">
        <v>66</v>
      </c>
      <c r="R11551" t="s">
        <v>47438</v>
      </c>
      <c r="S11551" t="s">
        <v>47793</v>
      </c>
      <c r="T11551" t="s">
        <v>49151</v>
      </c>
      <c r="U11551" t="s">
        <v>59139</v>
      </c>
      <c r="V11551" t="s">
        <v>63902</v>
      </c>
      <c r="W11551" t="s">
        <v>46734</v>
      </c>
      <c r="X11551" t="s">
        <v>47440</v>
      </c>
    </row>
    <row r="11552" spans="1:24">
      <c r="A11552">
        <f>HYPERLINK("https://www.philgeps.gov.ph/GEPSNONPILOT/Tender/SplashBidNoticeAbstractUI.aspx?menuIndex=3&amp;refID=7142672&amp;Result=3","7142672")</f>
        <v>0</v>
      </c>
      <c r="B11552" t="s">
        <v>1334</v>
      </c>
      <c r="C11552" t="s">
        <v>14776</v>
      </c>
      <c r="D11552" t="s">
        <v>19077</v>
      </c>
      <c r="E11552" t="s">
        <v>28989</v>
      </c>
      <c r="F11552" t="s">
        <v>32831</v>
      </c>
      <c r="G11552" t="s">
        <v>32839</v>
      </c>
      <c r="H11552" t="s">
        <v>32848</v>
      </c>
      <c r="I11552" t="s">
        <v>7416</v>
      </c>
      <c r="J11552" t="s">
        <v>40081</v>
      </c>
      <c r="K11552" t="s">
        <v>42732</v>
      </c>
      <c r="M11552" t="s">
        <v>44406</v>
      </c>
      <c r="N11552" t="s">
        <v>47424</v>
      </c>
      <c r="O11552" t="s">
        <v>47425</v>
      </c>
      <c r="P11552">
        <v>0</v>
      </c>
      <c r="Q11552">
        <v>0</v>
      </c>
      <c r="R11552" t="s">
        <v>47438</v>
      </c>
      <c r="S11552" t="s">
        <v>47793</v>
      </c>
      <c r="T11552" t="s">
        <v>49163</v>
      </c>
      <c r="U11552" t="s">
        <v>59140</v>
      </c>
      <c r="W11552" t="s">
        <v>44406</v>
      </c>
      <c r="X11552" t="s">
        <v>47439</v>
      </c>
    </row>
    <row r="11553" spans="1:24">
      <c r="A11553">
        <f>HYPERLINK("https://www.philgeps.gov.ph/GEPSNONPILOT/Tender/SplashBidNoticeAbstractUI.aspx?menuIndex=3&amp;refID=7142613&amp;Result=3","7142613")</f>
        <v>0</v>
      </c>
      <c r="B11553" t="s">
        <v>3418</v>
      </c>
      <c r="C11553" t="s">
        <v>14777</v>
      </c>
      <c r="D11553" t="s">
        <v>19050</v>
      </c>
      <c r="E11553" t="s">
        <v>28990</v>
      </c>
      <c r="F11553" t="s">
        <v>32831</v>
      </c>
      <c r="G11553" t="s">
        <v>32839</v>
      </c>
      <c r="H11553" t="s">
        <v>32848</v>
      </c>
      <c r="I11553" t="s">
        <v>7751</v>
      </c>
      <c r="J11553" t="s">
        <v>35553</v>
      </c>
      <c r="K11553" t="s">
        <v>42747</v>
      </c>
      <c r="M11553" t="s">
        <v>46753</v>
      </c>
      <c r="N11553" t="s">
        <v>47424</v>
      </c>
      <c r="O11553" t="s">
        <v>47425</v>
      </c>
      <c r="P11553">
        <v>0</v>
      </c>
      <c r="Q11553">
        <v>4</v>
      </c>
      <c r="R11553" t="s">
        <v>47438</v>
      </c>
      <c r="S11553" t="s">
        <v>47793</v>
      </c>
      <c r="T11553" t="s">
        <v>49123</v>
      </c>
      <c r="U11553" t="s">
        <v>59141</v>
      </c>
      <c r="V11553" t="s">
        <v>63903</v>
      </c>
      <c r="W11553" t="s">
        <v>46753</v>
      </c>
      <c r="X11553" t="s">
        <v>47439</v>
      </c>
    </row>
    <row r="11554" spans="1:24">
      <c r="A11554">
        <f>HYPERLINK("https://www.philgeps.gov.ph/GEPSNONPILOT/Tender/SplashBidNoticeAbstractUI.aspx?menuIndex=3&amp;refID=7142656&amp;Result=3","7142656")</f>
        <v>0</v>
      </c>
      <c r="B11554" t="s">
        <v>3022</v>
      </c>
      <c r="C11554" t="s">
        <v>14778</v>
      </c>
      <c r="D11554" t="s">
        <v>19052</v>
      </c>
      <c r="E11554" t="s">
        <v>28991</v>
      </c>
      <c r="F11554" t="s">
        <v>32831</v>
      </c>
      <c r="G11554" t="s">
        <v>32839</v>
      </c>
      <c r="H11554" t="s">
        <v>32848</v>
      </c>
      <c r="I11554" t="s">
        <v>7416</v>
      </c>
      <c r="J11554" t="s">
        <v>40082</v>
      </c>
      <c r="K11554" t="s">
        <v>42732</v>
      </c>
      <c r="M11554" t="s">
        <v>46293</v>
      </c>
      <c r="N11554" t="s">
        <v>47424</v>
      </c>
      <c r="O11554" t="s">
        <v>47425</v>
      </c>
      <c r="P11554">
        <v>0</v>
      </c>
      <c r="Q11554">
        <v>1</v>
      </c>
      <c r="R11554" t="s">
        <v>47438</v>
      </c>
      <c r="S11554" t="s">
        <v>47793</v>
      </c>
      <c r="T11554" t="s">
        <v>49196</v>
      </c>
      <c r="U11554" t="s">
        <v>59142</v>
      </c>
      <c r="W11554" t="s">
        <v>46293</v>
      </c>
      <c r="X11554" t="s">
        <v>47439</v>
      </c>
    </row>
    <row r="11555" spans="1:24">
      <c r="A11555">
        <f>HYPERLINK("https://www.philgeps.gov.ph/GEPSNONPILOT/Tender/SplashBidNoticeAbstractUI.aspx?menuIndex=3&amp;refID=7142481&amp;Result=3","7142481")</f>
        <v>0</v>
      </c>
      <c r="B11555" t="s">
        <v>3419</v>
      </c>
      <c r="C11555" t="s">
        <v>14779</v>
      </c>
      <c r="D11555" t="s">
        <v>19052</v>
      </c>
      <c r="E11555" t="s">
        <v>20585</v>
      </c>
      <c r="F11555" t="s">
        <v>32831</v>
      </c>
      <c r="G11555" t="s">
        <v>32839</v>
      </c>
      <c r="H11555" t="s">
        <v>32848</v>
      </c>
      <c r="I11555" t="s">
        <v>7751</v>
      </c>
      <c r="J11555" t="s">
        <v>40083</v>
      </c>
      <c r="K11555" t="s">
        <v>42729</v>
      </c>
      <c r="M11555" t="s">
        <v>46754</v>
      </c>
      <c r="N11555" t="s">
        <v>47424</v>
      </c>
      <c r="O11555" t="s">
        <v>47425</v>
      </c>
      <c r="P11555">
        <v>0</v>
      </c>
      <c r="Q11555">
        <v>4</v>
      </c>
      <c r="R11555" t="s">
        <v>47438</v>
      </c>
      <c r="S11555" t="s">
        <v>47793</v>
      </c>
      <c r="T11555" t="s">
        <v>49080</v>
      </c>
      <c r="U11555" t="s">
        <v>59143</v>
      </c>
      <c r="W11555" t="s">
        <v>46754</v>
      </c>
      <c r="X11555" t="s">
        <v>47439</v>
      </c>
    </row>
    <row r="11556" spans="1:24">
      <c r="A11556">
        <f>HYPERLINK("https://www.philgeps.gov.ph/GEPSNONPILOT/Tender/SplashBidNoticeAbstractUI.aspx?menuIndex=3&amp;refID=7142573&amp;Result=3","7142573")</f>
        <v>0</v>
      </c>
      <c r="B11556" t="s">
        <v>865</v>
      </c>
      <c r="C11556" t="s">
        <v>14780</v>
      </c>
      <c r="D11556" t="s">
        <v>19077</v>
      </c>
      <c r="E11556" t="s">
        <v>28992</v>
      </c>
      <c r="F11556" t="s">
        <v>32831</v>
      </c>
      <c r="G11556" t="s">
        <v>32839</v>
      </c>
      <c r="H11556" t="s">
        <v>32848</v>
      </c>
      <c r="I11556" t="s">
        <v>32892</v>
      </c>
      <c r="J11556" t="s">
        <v>40084</v>
      </c>
      <c r="K11556" t="s">
        <v>42726</v>
      </c>
      <c r="M11556" t="s">
        <v>43899</v>
      </c>
      <c r="N11556" t="s">
        <v>47424</v>
      </c>
      <c r="O11556" t="s">
        <v>47425</v>
      </c>
      <c r="P11556">
        <v>0</v>
      </c>
      <c r="Q11556">
        <v>1</v>
      </c>
      <c r="R11556" t="s">
        <v>47438</v>
      </c>
      <c r="S11556" t="s">
        <v>47793</v>
      </c>
      <c r="T11556" t="s">
        <v>49162</v>
      </c>
      <c r="U11556" t="s">
        <v>59144</v>
      </c>
      <c r="V11556" t="s">
        <v>62825</v>
      </c>
      <c r="W11556" t="s">
        <v>43899</v>
      </c>
      <c r="X11556" t="s">
        <v>47439</v>
      </c>
    </row>
    <row r="11557" spans="1:24">
      <c r="A11557">
        <f>HYPERLINK("https://www.philgeps.gov.ph/GEPSNONPILOT/Tender/SplashBidNoticeAbstractUI.aspx?menuIndex=3&amp;refID=7142624&amp;Result=3","7142624")</f>
        <v>0</v>
      </c>
      <c r="B11557" t="s">
        <v>2287</v>
      </c>
      <c r="C11557" t="s">
        <v>14781</v>
      </c>
      <c r="D11557" t="s">
        <v>19033</v>
      </c>
      <c r="E11557" t="s">
        <v>23608</v>
      </c>
      <c r="F11557" t="s">
        <v>32831</v>
      </c>
      <c r="G11557" t="s">
        <v>32839</v>
      </c>
      <c r="H11557" t="s">
        <v>32849</v>
      </c>
      <c r="I11557" t="s">
        <v>4177</v>
      </c>
      <c r="J11557" t="s">
        <v>36801</v>
      </c>
      <c r="K11557" t="s">
        <v>42780</v>
      </c>
      <c r="M11557" t="s">
        <v>45471</v>
      </c>
      <c r="N11557" t="s">
        <v>47424</v>
      </c>
      <c r="O11557" t="s">
        <v>47425</v>
      </c>
      <c r="Q11557">
        <v>4</v>
      </c>
      <c r="R11557" t="s">
        <v>47438</v>
      </c>
      <c r="S11557" t="s">
        <v>47810</v>
      </c>
      <c r="T11557" t="s">
        <v>49324</v>
      </c>
      <c r="U11557" t="s">
        <v>59145</v>
      </c>
      <c r="V11557" t="s">
        <v>63334</v>
      </c>
      <c r="W11557" t="s">
        <v>45471</v>
      </c>
      <c r="X11557" t="s">
        <v>47439</v>
      </c>
    </row>
    <row r="11558" spans="1:24">
      <c r="A11558">
        <f>HYPERLINK("https://www.philgeps.gov.ph/GEPSNONPILOT/Tender/SplashBidNoticeAbstractUI.aspx?menuIndex=3&amp;refID=7142619&amp;Result=3","7142619")</f>
        <v>0</v>
      </c>
      <c r="B11558" t="s">
        <v>1151</v>
      </c>
      <c r="C11558" t="s">
        <v>14782</v>
      </c>
      <c r="D11558" t="s">
        <v>19091</v>
      </c>
      <c r="E11558" t="s">
        <v>28993</v>
      </c>
      <c r="F11558" t="s">
        <v>32831</v>
      </c>
      <c r="G11558" t="s">
        <v>32839</v>
      </c>
      <c r="H11558" t="s">
        <v>32849</v>
      </c>
      <c r="I11558" t="s">
        <v>4177</v>
      </c>
      <c r="J11558" t="s">
        <v>40085</v>
      </c>
      <c r="K11558" t="s">
        <v>42779</v>
      </c>
      <c r="M11558" t="s">
        <v>44215</v>
      </c>
      <c r="N11558" t="s">
        <v>47424</v>
      </c>
      <c r="O11558" t="s">
        <v>47425</v>
      </c>
      <c r="P11558">
        <v>0</v>
      </c>
      <c r="Q11558">
        <v>0</v>
      </c>
      <c r="R11558" t="s">
        <v>47438</v>
      </c>
      <c r="S11558" t="s">
        <v>47793</v>
      </c>
      <c r="T11558" t="s">
        <v>49302</v>
      </c>
      <c r="U11558" t="s">
        <v>59146</v>
      </c>
      <c r="W11558" t="s">
        <v>44215</v>
      </c>
      <c r="X11558" t="s">
        <v>47439</v>
      </c>
    </row>
    <row r="11559" spans="1:24">
      <c r="A11559">
        <f>HYPERLINK("https://www.philgeps.gov.ph/GEPSNONPILOT/Tender/SplashBidNoticeAbstractUI.aspx?menuIndex=3&amp;refID=7142541&amp;Result=3","7142541")</f>
        <v>0</v>
      </c>
      <c r="B11559" t="s">
        <v>3420</v>
      </c>
      <c r="C11559" t="s">
        <v>14783</v>
      </c>
      <c r="D11559" t="s">
        <v>19038</v>
      </c>
      <c r="E11559" t="s">
        <v>28994</v>
      </c>
      <c r="F11559" t="s">
        <v>32831</v>
      </c>
      <c r="G11559" t="s">
        <v>32839</v>
      </c>
      <c r="H11559" t="s">
        <v>32848</v>
      </c>
      <c r="I11559" t="s">
        <v>7416</v>
      </c>
      <c r="J11559" t="s">
        <v>40086</v>
      </c>
      <c r="K11559" t="s">
        <v>42726</v>
      </c>
      <c r="M11559" t="s">
        <v>46755</v>
      </c>
      <c r="N11559" t="s">
        <v>47424</v>
      </c>
      <c r="O11559" t="s">
        <v>47425</v>
      </c>
      <c r="P11559">
        <v>0</v>
      </c>
      <c r="Q11559">
        <v>0</v>
      </c>
      <c r="R11559" t="s">
        <v>47438</v>
      </c>
      <c r="S11559" t="s">
        <v>47793</v>
      </c>
      <c r="T11559" t="s">
        <v>49080</v>
      </c>
      <c r="U11559" t="s">
        <v>59147</v>
      </c>
      <c r="V11559" t="s">
        <v>63904</v>
      </c>
      <c r="W11559" t="s">
        <v>46755</v>
      </c>
      <c r="X11559" t="s">
        <v>47439</v>
      </c>
    </row>
    <row r="11560" spans="1:24">
      <c r="A11560">
        <f>HYPERLINK("https://www.philgeps.gov.ph/GEPSNONPILOT/Tender/SplashBidNoticeAbstractUI.aspx?menuIndex=3&amp;refID=7142594&amp;Result=3","7142594")</f>
        <v>0</v>
      </c>
      <c r="B11560" t="s">
        <v>1334</v>
      </c>
      <c r="C11560" t="s">
        <v>14784</v>
      </c>
      <c r="D11560" t="s">
        <v>19077</v>
      </c>
      <c r="E11560" t="s">
        <v>28995</v>
      </c>
      <c r="F11560" t="s">
        <v>32831</v>
      </c>
      <c r="G11560" t="s">
        <v>32839</v>
      </c>
      <c r="H11560" t="s">
        <v>32848</v>
      </c>
      <c r="I11560" t="s">
        <v>7416</v>
      </c>
      <c r="J11560" t="s">
        <v>40077</v>
      </c>
      <c r="K11560" t="s">
        <v>42732</v>
      </c>
      <c r="M11560" t="s">
        <v>44406</v>
      </c>
      <c r="N11560" t="s">
        <v>47424</v>
      </c>
      <c r="O11560" t="s">
        <v>47425</v>
      </c>
      <c r="P11560">
        <v>0</v>
      </c>
      <c r="Q11560">
        <v>0</v>
      </c>
      <c r="R11560" t="s">
        <v>47438</v>
      </c>
      <c r="S11560" t="s">
        <v>47793</v>
      </c>
      <c r="T11560" t="s">
        <v>49163</v>
      </c>
      <c r="U11560" t="s">
        <v>59148</v>
      </c>
      <c r="W11560" t="s">
        <v>44406</v>
      </c>
      <c r="X11560" t="s">
        <v>47439</v>
      </c>
    </row>
    <row r="11561" spans="1:24">
      <c r="A11561">
        <f>HYPERLINK("https://www.philgeps.gov.ph/GEPSNONPILOT/Tender/SplashBidNoticeAbstractUI.aspx?menuIndex=3&amp;refID=7142580&amp;Result=3","7142580")</f>
        <v>0</v>
      </c>
      <c r="B11561" t="s">
        <v>3421</v>
      </c>
      <c r="C11561" t="s">
        <v>14785</v>
      </c>
      <c r="D11561" t="s">
        <v>19042</v>
      </c>
      <c r="E11561" t="s">
        <v>20747</v>
      </c>
      <c r="F11561" t="s">
        <v>32831</v>
      </c>
      <c r="G11561" t="s">
        <v>32839</v>
      </c>
      <c r="H11561" t="s">
        <v>32848</v>
      </c>
      <c r="I11561" t="s">
        <v>7416</v>
      </c>
      <c r="J11561" t="s">
        <v>40087</v>
      </c>
      <c r="K11561" t="s">
        <v>42748</v>
      </c>
      <c r="M11561" t="s">
        <v>46756</v>
      </c>
      <c r="N11561" t="s">
        <v>47424</v>
      </c>
      <c r="O11561" t="s">
        <v>47425</v>
      </c>
      <c r="P11561">
        <v>0</v>
      </c>
      <c r="Q11561">
        <v>0</v>
      </c>
      <c r="R11561" t="s">
        <v>47438</v>
      </c>
      <c r="S11561" t="s">
        <v>47793</v>
      </c>
      <c r="T11561" t="s">
        <v>49383</v>
      </c>
      <c r="U11561" t="s">
        <v>59149</v>
      </c>
      <c r="W11561" t="s">
        <v>46756</v>
      </c>
      <c r="X11561" t="s">
        <v>47439</v>
      </c>
    </row>
    <row r="11562" spans="1:24">
      <c r="A11562">
        <f>HYPERLINK("https://www.philgeps.gov.ph/GEPSNONPILOT/Tender/SplashBidNoticeAbstractUI.aspx?menuIndex=3&amp;refID=7142293&amp;Result=3","7142293")</f>
        <v>0</v>
      </c>
      <c r="B11562" t="s">
        <v>2435</v>
      </c>
      <c r="C11562" t="s">
        <v>14786</v>
      </c>
      <c r="D11562" t="s">
        <v>19083</v>
      </c>
      <c r="E11562" t="s">
        <v>28996</v>
      </c>
      <c r="F11562" t="s">
        <v>32831</v>
      </c>
      <c r="G11562" t="s">
        <v>32839</v>
      </c>
      <c r="H11562" t="s">
        <v>32848</v>
      </c>
      <c r="I11562" t="s">
        <v>32949</v>
      </c>
      <c r="J11562" t="s">
        <v>40088</v>
      </c>
      <c r="K11562" t="s">
        <v>42730</v>
      </c>
      <c r="M11562" t="s">
        <v>45632</v>
      </c>
      <c r="N11562" t="s">
        <v>47424</v>
      </c>
      <c r="O11562" t="s">
        <v>47425</v>
      </c>
      <c r="P11562">
        <v>0</v>
      </c>
      <c r="Q11562">
        <v>10</v>
      </c>
      <c r="R11562" t="s">
        <v>47438</v>
      </c>
      <c r="S11562" t="s">
        <v>47793</v>
      </c>
      <c r="T11562" t="s">
        <v>49142</v>
      </c>
      <c r="U11562" t="s">
        <v>59150</v>
      </c>
      <c r="W11562" t="s">
        <v>45632</v>
      </c>
      <c r="X11562" t="s">
        <v>47439</v>
      </c>
    </row>
    <row r="11563" spans="1:24">
      <c r="A11563">
        <f>HYPERLINK("https://www.philgeps.gov.ph/GEPSNONPILOT/Tender/SplashBidNoticeAbstractUI.aspx?menuIndex=3&amp;refID=7142539&amp;Result=3","7142539")</f>
        <v>0</v>
      </c>
      <c r="B11563" t="s">
        <v>3422</v>
      </c>
      <c r="C11563" t="s">
        <v>14787</v>
      </c>
      <c r="D11563" t="s">
        <v>19065</v>
      </c>
      <c r="E11563" t="s">
        <v>25131</v>
      </c>
      <c r="F11563" t="s">
        <v>32831</v>
      </c>
      <c r="G11563" t="s">
        <v>32839</v>
      </c>
      <c r="H11563" t="s">
        <v>32848</v>
      </c>
      <c r="I11563" t="s">
        <v>32886</v>
      </c>
      <c r="J11563" t="s">
        <v>38777</v>
      </c>
      <c r="K11563" t="s">
        <v>42763</v>
      </c>
      <c r="M11563" t="s">
        <v>46757</v>
      </c>
      <c r="N11563" t="s">
        <v>47424</v>
      </c>
      <c r="O11563" t="s">
        <v>47425</v>
      </c>
      <c r="P11563">
        <v>0</v>
      </c>
      <c r="Q11563">
        <v>5</v>
      </c>
      <c r="R11563" t="s">
        <v>47438</v>
      </c>
      <c r="S11563" t="s">
        <v>47793</v>
      </c>
      <c r="T11563" t="s">
        <v>49256</v>
      </c>
      <c r="U11563" t="s">
        <v>59151</v>
      </c>
      <c r="W11563" t="s">
        <v>46757</v>
      </c>
      <c r="X11563" t="s">
        <v>47439</v>
      </c>
    </row>
    <row r="11564" spans="1:24">
      <c r="A11564">
        <f>HYPERLINK("https://www.philgeps.gov.ph/GEPSNONPILOT/Tender/SplashBidNoticeAbstractUI.aspx?menuIndex=3&amp;refID=7142827&amp;Result=3","7142827")</f>
        <v>0</v>
      </c>
      <c r="B11564" t="s">
        <v>1254</v>
      </c>
      <c r="C11564" t="s">
        <v>14788</v>
      </c>
      <c r="D11564" t="s">
        <v>19041</v>
      </c>
      <c r="E11564" t="s">
        <v>19979</v>
      </c>
      <c r="F11564" t="s">
        <v>32831</v>
      </c>
      <c r="G11564" t="s">
        <v>32839</v>
      </c>
      <c r="H11564" t="s">
        <v>32849</v>
      </c>
      <c r="I11564" t="s">
        <v>4177</v>
      </c>
      <c r="J11564" t="s">
        <v>32978</v>
      </c>
      <c r="K11564" t="s">
        <v>42746</v>
      </c>
      <c r="M11564" t="s">
        <v>44324</v>
      </c>
      <c r="N11564" t="s">
        <v>47424</v>
      </c>
      <c r="O11564" t="s">
        <v>47425</v>
      </c>
      <c r="P11564">
        <v>0</v>
      </c>
      <c r="Q11564">
        <v>0</v>
      </c>
      <c r="R11564" t="s">
        <v>47438</v>
      </c>
      <c r="S11564" t="s">
        <v>47793</v>
      </c>
      <c r="T11564" t="s">
        <v>49172</v>
      </c>
      <c r="U11564" t="s">
        <v>59152</v>
      </c>
      <c r="V11564" t="s">
        <v>62941</v>
      </c>
      <c r="W11564" t="s">
        <v>44324</v>
      </c>
      <c r="X11564" t="s">
        <v>47439</v>
      </c>
    </row>
    <row r="11565" spans="1:24">
      <c r="A11565">
        <f>HYPERLINK("https://www.philgeps.gov.ph/GEPSNONPILOT/Tender/SplashBidNoticeAbstractUI.aspx?menuIndex=3&amp;refID=7142844&amp;Result=3","7142844")</f>
        <v>0</v>
      </c>
      <c r="B11565" t="s">
        <v>1254</v>
      </c>
      <c r="C11565" t="s">
        <v>14789</v>
      </c>
      <c r="D11565" t="s">
        <v>19041</v>
      </c>
      <c r="E11565" t="s">
        <v>20202</v>
      </c>
      <c r="F11565" t="s">
        <v>32831</v>
      </c>
      <c r="G11565" t="s">
        <v>32839</v>
      </c>
      <c r="H11565" t="s">
        <v>32849</v>
      </c>
      <c r="I11565" t="s">
        <v>4177</v>
      </c>
      <c r="J11565" t="s">
        <v>32978</v>
      </c>
      <c r="K11565" t="s">
        <v>42729</v>
      </c>
      <c r="M11565" t="s">
        <v>44324</v>
      </c>
      <c r="N11565" t="s">
        <v>47424</v>
      </c>
      <c r="O11565" t="s">
        <v>47425</v>
      </c>
      <c r="P11565">
        <v>0</v>
      </c>
      <c r="Q11565">
        <v>0</v>
      </c>
      <c r="R11565" t="s">
        <v>47438</v>
      </c>
      <c r="S11565" t="s">
        <v>47793</v>
      </c>
      <c r="T11565" t="s">
        <v>49172</v>
      </c>
      <c r="U11565" t="s">
        <v>59153</v>
      </c>
      <c r="V11565" t="s">
        <v>62941</v>
      </c>
      <c r="W11565" t="s">
        <v>44324</v>
      </c>
      <c r="X11565" t="s">
        <v>47439</v>
      </c>
    </row>
    <row r="11566" spans="1:24">
      <c r="A11566">
        <f>HYPERLINK("https://www.philgeps.gov.ph/GEPSNONPILOT/Tender/SplashBidNoticeAbstractUI.aspx?menuIndex=3&amp;refID=7142795&amp;Result=3","7142795")</f>
        <v>0</v>
      </c>
      <c r="B11566" t="s">
        <v>1254</v>
      </c>
      <c r="C11566" t="s">
        <v>14790</v>
      </c>
      <c r="D11566" t="s">
        <v>19041</v>
      </c>
      <c r="E11566" t="s">
        <v>19144</v>
      </c>
      <c r="F11566" t="s">
        <v>32831</v>
      </c>
      <c r="G11566" t="s">
        <v>32839</v>
      </c>
      <c r="H11566" t="s">
        <v>32849</v>
      </c>
      <c r="I11566" t="s">
        <v>4177</v>
      </c>
      <c r="J11566" t="s">
        <v>32978</v>
      </c>
      <c r="K11566" t="s">
        <v>42729</v>
      </c>
      <c r="M11566" t="s">
        <v>44324</v>
      </c>
      <c r="N11566" t="s">
        <v>47424</v>
      </c>
      <c r="O11566" t="s">
        <v>47425</v>
      </c>
      <c r="P11566">
        <v>0</v>
      </c>
      <c r="Q11566">
        <v>0</v>
      </c>
      <c r="R11566" t="s">
        <v>47438</v>
      </c>
      <c r="S11566" t="s">
        <v>47793</v>
      </c>
      <c r="T11566" t="s">
        <v>49172</v>
      </c>
      <c r="U11566" t="s">
        <v>59154</v>
      </c>
      <c r="V11566" t="s">
        <v>62941</v>
      </c>
      <c r="W11566" t="s">
        <v>44324</v>
      </c>
      <c r="X11566" t="s">
        <v>47439</v>
      </c>
    </row>
    <row r="11567" spans="1:24">
      <c r="A11567">
        <f>HYPERLINK("https://www.philgeps.gov.ph/GEPSNONPILOT/Tender/SplashBidNoticeAbstractUI.aspx?menuIndex=3&amp;refID=7142810&amp;Result=3","7142810")</f>
        <v>0</v>
      </c>
      <c r="B11567" t="s">
        <v>1616</v>
      </c>
      <c r="C11567" t="s">
        <v>14791</v>
      </c>
      <c r="D11567" t="s">
        <v>19033</v>
      </c>
      <c r="E11567" t="s">
        <v>28997</v>
      </c>
      <c r="F11567" t="s">
        <v>32831</v>
      </c>
      <c r="G11567" t="s">
        <v>32839</v>
      </c>
      <c r="H11567" t="s">
        <v>32848</v>
      </c>
      <c r="I11567" t="s">
        <v>4438</v>
      </c>
      <c r="J11567" t="s">
        <v>40089</v>
      </c>
      <c r="K11567" t="s">
        <v>42731</v>
      </c>
      <c r="M11567" t="s">
        <v>44732</v>
      </c>
      <c r="N11567" t="s">
        <v>47424</v>
      </c>
      <c r="O11567" t="s">
        <v>47425</v>
      </c>
      <c r="P11567">
        <v>0</v>
      </c>
      <c r="Q11567">
        <v>3</v>
      </c>
      <c r="R11567" t="s">
        <v>47438</v>
      </c>
      <c r="S11567" t="s">
        <v>47793</v>
      </c>
      <c r="T11567" t="s">
        <v>49080</v>
      </c>
      <c r="U11567" t="s">
        <v>59155</v>
      </c>
      <c r="W11567" t="s">
        <v>44732</v>
      </c>
      <c r="X11567" t="s">
        <v>47439</v>
      </c>
    </row>
    <row r="11568" spans="1:24">
      <c r="A11568">
        <f>HYPERLINK("https://www.philgeps.gov.ph/GEPSNONPILOT/Tender/SplashBidNoticeAbstractUI.aspx?menuIndex=3&amp;refID=7142785&amp;Result=3","7142785")</f>
        <v>0</v>
      </c>
      <c r="B11568" t="s">
        <v>2287</v>
      </c>
      <c r="C11568" t="s">
        <v>14792</v>
      </c>
      <c r="D11568" t="s">
        <v>19033</v>
      </c>
      <c r="E11568" t="s">
        <v>28998</v>
      </c>
      <c r="F11568" t="s">
        <v>32831</v>
      </c>
      <c r="G11568" t="s">
        <v>32839</v>
      </c>
      <c r="H11568" t="s">
        <v>32849</v>
      </c>
      <c r="I11568" t="s">
        <v>4177</v>
      </c>
      <c r="J11568" t="s">
        <v>34921</v>
      </c>
      <c r="K11568" t="s">
        <v>42780</v>
      </c>
      <c r="M11568" t="s">
        <v>45471</v>
      </c>
      <c r="N11568" t="s">
        <v>47424</v>
      </c>
      <c r="O11568" t="s">
        <v>47425</v>
      </c>
      <c r="P11568">
        <v>0</v>
      </c>
      <c r="Q11568">
        <v>3</v>
      </c>
      <c r="R11568" t="s">
        <v>47438</v>
      </c>
      <c r="S11568" t="s">
        <v>47793</v>
      </c>
      <c r="T11568" t="s">
        <v>49324</v>
      </c>
      <c r="U11568" t="s">
        <v>59156</v>
      </c>
      <c r="V11568" t="s">
        <v>63334</v>
      </c>
      <c r="W11568" t="s">
        <v>45471</v>
      </c>
      <c r="X11568" t="s">
        <v>47439</v>
      </c>
    </row>
    <row r="11569" spans="1:24">
      <c r="A11569">
        <f>HYPERLINK("https://www.philgeps.gov.ph/GEPSNONPILOT/Tender/SplashBidNoticeAbstractUI.aspx?menuIndex=3&amp;refID=7142761&amp;Result=3","7142761")</f>
        <v>0</v>
      </c>
      <c r="B11569" t="s">
        <v>3405</v>
      </c>
      <c r="C11569" t="s">
        <v>14793</v>
      </c>
      <c r="D11569" t="s">
        <v>19018</v>
      </c>
      <c r="E11569" t="s">
        <v>28999</v>
      </c>
      <c r="F11569" t="s">
        <v>32831</v>
      </c>
      <c r="G11569" t="s">
        <v>32839</v>
      </c>
      <c r="H11569" t="s">
        <v>32848</v>
      </c>
      <c r="I11569" t="s">
        <v>32925</v>
      </c>
      <c r="J11569" t="s">
        <v>40090</v>
      </c>
      <c r="K11569" t="s">
        <v>42729</v>
      </c>
      <c r="M11569" t="s">
        <v>46739</v>
      </c>
      <c r="N11569" t="s">
        <v>47424</v>
      </c>
      <c r="O11569" t="s">
        <v>47425</v>
      </c>
      <c r="Q11569">
        <v>4</v>
      </c>
      <c r="R11569" t="s">
        <v>47438</v>
      </c>
      <c r="S11569" t="s">
        <v>47811</v>
      </c>
      <c r="T11569" t="s">
        <v>49398</v>
      </c>
      <c r="U11569" t="s">
        <v>59157</v>
      </c>
      <c r="V11569" t="s">
        <v>63899</v>
      </c>
      <c r="W11569" t="s">
        <v>46739</v>
      </c>
      <c r="X11569" t="s">
        <v>47439</v>
      </c>
    </row>
    <row r="11570" spans="1:24">
      <c r="A11570">
        <f>HYPERLINK("https://www.philgeps.gov.ph/GEPSNONPILOT/Tender/SplashBidNoticeAbstractUI.aspx?menuIndex=3&amp;refID=7142760&amp;Result=3","7142760")</f>
        <v>0</v>
      </c>
      <c r="B11570" t="s">
        <v>2287</v>
      </c>
      <c r="C11570" t="s">
        <v>14794</v>
      </c>
      <c r="D11570" t="s">
        <v>19033</v>
      </c>
      <c r="E11570" t="s">
        <v>19515</v>
      </c>
      <c r="F11570" t="s">
        <v>32831</v>
      </c>
      <c r="G11570" t="s">
        <v>32839</v>
      </c>
      <c r="H11570" t="s">
        <v>32849</v>
      </c>
      <c r="I11570" t="s">
        <v>4177</v>
      </c>
      <c r="J11570" t="s">
        <v>36801</v>
      </c>
      <c r="K11570" t="s">
        <v>42780</v>
      </c>
      <c r="M11570" t="s">
        <v>45471</v>
      </c>
      <c r="N11570" t="s">
        <v>47424</v>
      </c>
      <c r="O11570" t="s">
        <v>47425</v>
      </c>
      <c r="P11570">
        <v>0</v>
      </c>
      <c r="Q11570">
        <v>3</v>
      </c>
      <c r="R11570" t="s">
        <v>47438</v>
      </c>
      <c r="S11570" t="s">
        <v>47793</v>
      </c>
      <c r="T11570" t="s">
        <v>49324</v>
      </c>
      <c r="U11570" t="s">
        <v>59158</v>
      </c>
      <c r="V11570" t="s">
        <v>63334</v>
      </c>
      <c r="W11570" t="s">
        <v>45471</v>
      </c>
      <c r="X11570" t="s">
        <v>47439</v>
      </c>
    </row>
    <row r="11571" spans="1:24">
      <c r="A11571">
        <f>HYPERLINK("https://www.philgeps.gov.ph/GEPSNONPILOT/Tender/SplashBidNoticeAbstractUI.aspx?menuIndex=3&amp;refID=7142635&amp;Result=3","7142635")</f>
        <v>0</v>
      </c>
      <c r="B11571" t="s">
        <v>3303</v>
      </c>
      <c r="C11571" t="s">
        <v>14795</v>
      </c>
      <c r="D11571" t="s">
        <v>19038</v>
      </c>
      <c r="E11571" t="s">
        <v>29000</v>
      </c>
      <c r="F11571" t="s">
        <v>32831</v>
      </c>
      <c r="G11571" t="s">
        <v>32839</v>
      </c>
      <c r="H11571" t="s">
        <v>32849</v>
      </c>
      <c r="I11571" t="s">
        <v>4177</v>
      </c>
      <c r="J11571" t="s">
        <v>40091</v>
      </c>
      <c r="K11571" t="s">
        <v>42757</v>
      </c>
      <c r="M11571" t="s">
        <v>46624</v>
      </c>
      <c r="N11571" t="s">
        <v>47424</v>
      </c>
      <c r="O11571" t="s">
        <v>47425</v>
      </c>
      <c r="P11571">
        <v>0</v>
      </c>
      <c r="Q11571">
        <v>1</v>
      </c>
      <c r="R11571" t="s">
        <v>47438</v>
      </c>
      <c r="S11571" t="s">
        <v>47793</v>
      </c>
      <c r="T11571" t="s">
        <v>49057</v>
      </c>
      <c r="U11571" t="s">
        <v>59159</v>
      </c>
      <c r="W11571" t="s">
        <v>46624</v>
      </c>
      <c r="X11571" t="s">
        <v>47439</v>
      </c>
    </row>
    <row r="11572" spans="1:24">
      <c r="A11572">
        <f>HYPERLINK("https://www.philgeps.gov.ph/GEPSNONPILOT/Tender/SplashBidNoticeAbstractUI.aspx?menuIndex=3&amp;refID=7142753&amp;Result=3","7142753")</f>
        <v>0</v>
      </c>
      <c r="B11572" t="s">
        <v>1135</v>
      </c>
      <c r="C11572" t="s">
        <v>14796</v>
      </c>
      <c r="D11572" t="s">
        <v>19064</v>
      </c>
      <c r="E11572" t="s">
        <v>29001</v>
      </c>
      <c r="F11572" t="s">
        <v>32831</v>
      </c>
      <c r="G11572" t="s">
        <v>32838</v>
      </c>
      <c r="H11572" t="s">
        <v>32848</v>
      </c>
      <c r="I11572" t="s">
        <v>10888</v>
      </c>
      <c r="J11572" t="s">
        <v>35019</v>
      </c>
      <c r="K11572" t="s">
        <v>42726</v>
      </c>
      <c r="M11572" t="s">
        <v>44197</v>
      </c>
      <c r="N11572" t="s">
        <v>47424</v>
      </c>
      <c r="O11572" t="s">
        <v>47425</v>
      </c>
      <c r="P11572">
        <v>0</v>
      </c>
      <c r="Q11572">
        <v>1</v>
      </c>
      <c r="R11572" t="s">
        <v>47438</v>
      </c>
      <c r="S11572" t="s">
        <v>47793</v>
      </c>
      <c r="T11572" t="s">
        <v>49174</v>
      </c>
      <c r="U11572" t="s">
        <v>59160</v>
      </c>
      <c r="W11572" t="s">
        <v>44197</v>
      </c>
      <c r="X11572" t="s">
        <v>47439</v>
      </c>
    </row>
    <row r="11573" spans="1:24">
      <c r="A11573">
        <f>HYPERLINK("https://www.philgeps.gov.ph/GEPSNONPILOT/Tender/SplashBidNoticeAbstractUI.aspx?menuIndex=3&amp;refID=7142751&amp;Result=3","7142751")</f>
        <v>0</v>
      </c>
      <c r="B11573" t="s">
        <v>1433</v>
      </c>
      <c r="C11573" t="s">
        <v>14797</v>
      </c>
      <c r="D11573" t="s">
        <v>19058</v>
      </c>
      <c r="E11573" t="s">
        <v>29002</v>
      </c>
      <c r="F11573" t="s">
        <v>32831</v>
      </c>
      <c r="G11573" t="s">
        <v>32839</v>
      </c>
      <c r="H11573" t="s">
        <v>32849</v>
      </c>
      <c r="I11573" t="s">
        <v>4177</v>
      </c>
      <c r="J11573" t="s">
        <v>35513</v>
      </c>
      <c r="K11573" t="s">
        <v>42763</v>
      </c>
      <c r="M11573" t="s">
        <v>44523</v>
      </c>
      <c r="N11573" t="s">
        <v>47424</v>
      </c>
      <c r="O11573" t="s">
        <v>47425</v>
      </c>
      <c r="P11573">
        <v>0</v>
      </c>
      <c r="Q11573">
        <v>1</v>
      </c>
      <c r="R11573" t="s">
        <v>47438</v>
      </c>
      <c r="S11573" t="s">
        <v>47793</v>
      </c>
      <c r="T11573" t="s">
        <v>49122</v>
      </c>
      <c r="U11573" t="s">
        <v>59161</v>
      </c>
      <c r="V11573" t="s">
        <v>63905</v>
      </c>
      <c r="W11573" t="s">
        <v>44523</v>
      </c>
      <c r="X11573" t="s">
        <v>47439</v>
      </c>
    </row>
    <row r="11574" spans="1:24">
      <c r="A11574">
        <f>HYPERLINK("https://www.philgeps.gov.ph/GEPSNONPILOT/Tender/SplashBidNoticeAbstractUI.aspx?menuIndex=3&amp;refID=7142743&amp;Result=3","7142743")</f>
        <v>0</v>
      </c>
      <c r="B11574" t="s">
        <v>1649</v>
      </c>
      <c r="C11574" t="s">
        <v>14798</v>
      </c>
      <c r="D11574" t="s">
        <v>19018</v>
      </c>
      <c r="E11574" t="s">
        <v>29003</v>
      </c>
      <c r="F11574" t="s">
        <v>32831</v>
      </c>
      <c r="G11574" t="s">
        <v>32839</v>
      </c>
      <c r="H11574" t="s">
        <v>32848</v>
      </c>
      <c r="I11574" t="s">
        <v>4487</v>
      </c>
      <c r="J11574" t="s">
        <v>40092</v>
      </c>
      <c r="K11574" t="s">
        <v>42732</v>
      </c>
      <c r="M11574" t="s">
        <v>46118</v>
      </c>
      <c r="N11574" t="s">
        <v>47424</v>
      </c>
      <c r="O11574" t="s">
        <v>47425</v>
      </c>
      <c r="P11574">
        <v>0</v>
      </c>
      <c r="Q11574">
        <v>5</v>
      </c>
      <c r="R11574" t="s">
        <v>47438</v>
      </c>
      <c r="S11574" t="s">
        <v>47793</v>
      </c>
      <c r="T11574" t="s">
        <v>49212</v>
      </c>
      <c r="U11574" t="s">
        <v>59162</v>
      </c>
      <c r="W11574" t="s">
        <v>46118</v>
      </c>
      <c r="X11574" t="s">
        <v>47439</v>
      </c>
    </row>
    <row r="11575" spans="1:24">
      <c r="A11575">
        <f>HYPERLINK("https://www.philgeps.gov.ph/GEPSNONPILOT/Tender/SplashBidNoticeAbstractUI.aspx?menuIndex=3&amp;refID=7142820&amp;Result=3","7142820")</f>
        <v>0</v>
      </c>
      <c r="B11575" t="s">
        <v>464</v>
      </c>
      <c r="C11575" t="s">
        <v>7191</v>
      </c>
      <c r="D11575" t="s">
        <v>19055</v>
      </c>
      <c r="E11575" t="s">
        <v>29004</v>
      </c>
      <c r="F11575" t="s">
        <v>32831</v>
      </c>
      <c r="G11575" t="s">
        <v>32840</v>
      </c>
      <c r="H11575" t="s">
        <v>32848</v>
      </c>
      <c r="I11575" t="s">
        <v>32870</v>
      </c>
      <c r="J11575" t="s">
        <v>34008</v>
      </c>
      <c r="K11575" t="s">
        <v>42732</v>
      </c>
      <c r="M11575" t="s">
        <v>43469</v>
      </c>
      <c r="N11575" t="s">
        <v>47424</v>
      </c>
      <c r="O11575" t="s">
        <v>47425</v>
      </c>
      <c r="P11575">
        <v>0</v>
      </c>
      <c r="Q11575">
        <v>0</v>
      </c>
      <c r="R11575" t="s">
        <v>47438</v>
      </c>
      <c r="S11575" t="s">
        <v>47793</v>
      </c>
      <c r="T11575" t="s">
        <v>49213</v>
      </c>
      <c r="U11575" t="s">
        <v>59163</v>
      </c>
      <c r="V11575" t="s">
        <v>63906</v>
      </c>
      <c r="W11575" t="s">
        <v>43469</v>
      </c>
      <c r="X11575" t="s">
        <v>47439</v>
      </c>
    </row>
    <row r="11576" spans="1:24">
      <c r="A11576">
        <f>HYPERLINK("https://www.philgeps.gov.ph/GEPSNONPILOT/Tender/SplashBidNoticeAbstractUI.aspx?menuIndex=3&amp;refID=7142786&amp;Result=3","7142786")</f>
        <v>0</v>
      </c>
      <c r="B11576" t="s">
        <v>3423</v>
      </c>
      <c r="C11576" t="s">
        <v>14799</v>
      </c>
      <c r="D11576" t="s">
        <v>19017</v>
      </c>
      <c r="E11576" t="s">
        <v>29005</v>
      </c>
      <c r="F11576" t="s">
        <v>32832</v>
      </c>
      <c r="G11576" t="s">
        <v>32839</v>
      </c>
      <c r="H11576" t="s">
        <v>32848</v>
      </c>
      <c r="I11576" t="s">
        <v>4438</v>
      </c>
      <c r="J11576" t="s">
        <v>33087</v>
      </c>
      <c r="K11576" t="s">
        <v>42726</v>
      </c>
      <c r="M11576" t="s">
        <v>46758</v>
      </c>
      <c r="N11576" t="s">
        <v>47424</v>
      </c>
      <c r="O11576" t="s">
        <v>47425</v>
      </c>
      <c r="P11576">
        <v>0</v>
      </c>
      <c r="Q11576">
        <v>3</v>
      </c>
      <c r="R11576" t="s">
        <v>47438</v>
      </c>
      <c r="S11576" t="s">
        <v>47793</v>
      </c>
      <c r="T11576" t="s">
        <v>49108</v>
      </c>
      <c r="U11576" t="s">
        <v>59164</v>
      </c>
      <c r="W11576" t="s">
        <v>46758</v>
      </c>
      <c r="X11576" t="s">
        <v>47439</v>
      </c>
    </row>
    <row r="11577" spans="1:24">
      <c r="A11577">
        <f>HYPERLINK("https://www.philgeps.gov.ph/GEPSNONPILOT/Tender/SplashBidNoticeAbstractUI.aspx?menuIndex=3&amp;refID=7142990&amp;Result=3","7142990")</f>
        <v>0</v>
      </c>
      <c r="B11577" t="s">
        <v>3405</v>
      </c>
      <c r="C11577" t="s">
        <v>14800</v>
      </c>
      <c r="D11577" t="s">
        <v>19018</v>
      </c>
      <c r="E11577" t="s">
        <v>29006</v>
      </c>
      <c r="F11577" t="s">
        <v>32831</v>
      </c>
      <c r="G11577" t="s">
        <v>32839</v>
      </c>
      <c r="H11577" t="s">
        <v>32848</v>
      </c>
      <c r="I11577" t="s">
        <v>32925</v>
      </c>
      <c r="J11577" t="s">
        <v>40093</v>
      </c>
      <c r="K11577" t="s">
        <v>42729</v>
      </c>
      <c r="M11577" t="s">
        <v>46739</v>
      </c>
      <c r="N11577" t="s">
        <v>47424</v>
      </c>
      <c r="O11577" t="s">
        <v>47425</v>
      </c>
      <c r="Q11577">
        <v>4</v>
      </c>
      <c r="R11577" t="s">
        <v>47438</v>
      </c>
      <c r="S11577" t="s">
        <v>47812</v>
      </c>
      <c r="T11577" t="s">
        <v>49398</v>
      </c>
      <c r="U11577" t="s">
        <v>59157</v>
      </c>
      <c r="V11577" t="s">
        <v>63899</v>
      </c>
      <c r="W11577" t="s">
        <v>46739</v>
      </c>
      <c r="X11577" t="s">
        <v>47439</v>
      </c>
    </row>
    <row r="11578" spans="1:24">
      <c r="A11578">
        <f>HYPERLINK("https://www.philgeps.gov.ph/GEPSNONPILOT/Tender/SplashBidNoticeAbstractUI.aspx?menuIndex=3&amp;refID=7142980&amp;Result=3","7142980")</f>
        <v>0</v>
      </c>
      <c r="B11578" t="s">
        <v>1254</v>
      </c>
      <c r="C11578" t="s">
        <v>14801</v>
      </c>
      <c r="D11578" t="s">
        <v>19041</v>
      </c>
      <c r="E11578" t="s">
        <v>21330</v>
      </c>
      <c r="F11578" t="s">
        <v>32831</v>
      </c>
      <c r="G11578" t="s">
        <v>32839</v>
      </c>
      <c r="H11578" t="s">
        <v>32849</v>
      </c>
      <c r="I11578" t="s">
        <v>4177</v>
      </c>
      <c r="J11578" t="s">
        <v>33118</v>
      </c>
      <c r="K11578" t="s">
        <v>42729</v>
      </c>
      <c r="M11578" t="s">
        <v>44324</v>
      </c>
      <c r="N11578" t="s">
        <v>47424</v>
      </c>
      <c r="O11578" t="s">
        <v>47425</v>
      </c>
      <c r="P11578">
        <v>0</v>
      </c>
      <c r="Q11578">
        <v>0</v>
      </c>
      <c r="R11578" t="s">
        <v>47438</v>
      </c>
      <c r="S11578" t="s">
        <v>47793</v>
      </c>
      <c r="T11578" t="s">
        <v>49172</v>
      </c>
      <c r="U11578" t="s">
        <v>59165</v>
      </c>
      <c r="V11578" t="s">
        <v>62941</v>
      </c>
      <c r="W11578" t="s">
        <v>44324</v>
      </c>
      <c r="X11578" t="s">
        <v>47439</v>
      </c>
    </row>
    <row r="11579" spans="1:24">
      <c r="A11579">
        <f>HYPERLINK("https://www.philgeps.gov.ph/GEPSNONPILOT/Tender/SplashBidNoticeAbstractUI.aspx?menuIndex=3&amp;refID=7142862&amp;Result=3","7142862")</f>
        <v>0</v>
      </c>
      <c r="B11579" t="s">
        <v>1254</v>
      </c>
      <c r="C11579" t="s">
        <v>14802</v>
      </c>
      <c r="D11579" t="s">
        <v>19041</v>
      </c>
      <c r="E11579" t="s">
        <v>20152</v>
      </c>
      <c r="F11579" t="s">
        <v>32831</v>
      </c>
      <c r="G11579" t="s">
        <v>32839</v>
      </c>
      <c r="H11579" t="s">
        <v>32849</v>
      </c>
      <c r="I11579" t="s">
        <v>4177</v>
      </c>
      <c r="J11579" t="s">
        <v>33055</v>
      </c>
      <c r="K11579" t="s">
        <v>42729</v>
      </c>
      <c r="M11579" t="s">
        <v>44324</v>
      </c>
      <c r="N11579" t="s">
        <v>47424</v>
      </c>
      <c r="O11579" t="s">
        <v>47425</v>
      </c>
      <c r="P11579">
        <v>0</v>
      </c>
      <c r="Q11579">
        <v>0</v>
      </c>
      <c r="R11579" t="s">
        <v>47438</v>
      </c>
      <c r="S11579" t="s">
        <v>47793</v>
      </c>
      <c r="T11579" t="s">
        <v>49172</v>
      </c>
      <c r="U11579" t="s">
        <v>59166</v>
      </c>
      <c r="V11579" t="s">
        <v>62941</v>
      </c>
      <c r="W11579" t="s">
        <v>44324</v>
      </c>
      <c r="X11579" t="s">
        <v>47439</v>
      </c>
    </row>
    <row r="11580" spans="1:24">
      <c r="A11580">
        <f>HYPERLINK("https://www.philgeps.gov.ph/GEPSNONPILOT/Tender/SplashBidNoticeAbstractUI.aspx?menuIndex=3&amp;refID=7142993&amp;Result=3","7142993")</f>
        <v>0</v>
      </c>
      <c r="B11580" t="s">
        <v>1135</v>
      </c>
      <c r="C11580" t="s">
        <v>14803</v>
      </c>
      <c r="D11580" t="s">
        <v>19064</v>
      </c>
      <c r="E11580" t="s">
        <v>29001</v>
      </c>
      <c r="F11580" t="s">
        <v>32831</v>
      </c>
      <c r="G11580" t="s">
        <v>32838</v>
      </c>
      <c r="H11580" t="s">
        <v>32848</v>
      </c>
      <c r="I11580" t="s">
        <v>4776</v>
      </c>
      <c r="J11580" t="s">
        <v>34782</v>
      </c>
      <c r="K11580" t="s">
        <v>42726</v>
      </c>
      <c r="M11580" t="s">
        <v>44197</v>
      </c>
      <c r="N11580" t="s">
        <v>47424</v>
      </c>
      <c r="O11580" t="s">
        <v>47425</v>
      </c>
      <c r="P11580">
        <v>0</v>
      </c>
      <c r="Q11580">
        <v>1</v>
      </c>
      <c r="R11580" t="s">
        <v>47438</v>
      </c>
      <c r="S11580" t="s">
        <v>47793</v>
      </c>
      <c r="T11580" t="s">
        <v>49174</v>
      </c>
      <c r="U11580" t="s">
        <v>59167</v>
      </c>
      <c r="W11580" t="s">
        <v>44197</v>
      </c>
      <c r="X11580" t="s">
        <v>47439</v>
      </c>
    </row>
    <row r="11581" spans="1:24">
      <c r="A11581">
        <f>HYPERLINK("https://www.philgeps.gov.ph/GEPSNONPILOT/Tender/SplashBidNoticeAbstractUI.aspx?menuIndex=3&amp;refID=7142834&amp;Result=3","7142834")</f>
        <v>0</v>
      </c>
      <c r="B11581" t="s">
        <v>2388</v>
      </c>
      <c r="C11581" t="s">
        <v>14804</v>
      </c>
      <c r="D11581" t="s">
        <v>19075</v>
      </c>
      <c r="E11581" t="s">
        <v>29007</v>
      </c>
      <c r="F11581" t="s">
        <v>32831</v>
      </c>
      <c r="G11581" t="s">
        <v>32839</v>
      </c>
      <c r="H11581" t="s">
        <v>32849</v>
      </c>
      <c r="I11581" t="s">
        <v>4177</v>
      </c>
      <c r="J11581" t="s">
        <v>40094</v>
      </c>
      <c r="K11581" t="s">
        <v>42732</v>
      </c>
      <c r="M11581" t="s">
        <v>45579</v>
      </c>
      <c r="N11581" t="s">
        <v>47424</v>
      </c>
      <c r="O11581" t="s">
        <v>47425</v>
      </c>
      <c r="P11581">
        <v>0</v>
      </c>
      <c r="Q11581">
        <v>1</v>
      </c>
      <c r="R11581" t="s">
        <v>47438</v>
      </c>
      <c r="S11581" t="s">
        <v>47793</v>
      </c>
      <c r="T11581" t="s">
        <v>49080</v>
      </c>
      <c r="U11581" t="s">
        <v>59168</v>
      </c>
      <c r="W11581" t="s">
        <v>64507</v>
      </c>
      <c r="X11581" t="s">
        <v>47439</v>
      </c>
    </row>
    <row r="11582" spans="1:24">
      <c r="A11582">
        <f>HYPERLINK("https://www.philgeps.gov.ph/GEPSNONPILOT/Tender/SplashBidNoticeAbstractUI.aspx?menuIndex=3&amp;refID=7142966&amp;Result=3","7142966")</f>
        <v>0</v>
      </c>
      <c r="B11582" t="s">
        <v>1135</v>
      </c>
      <c r="C11582" t="s">
        <v>14805</v>
      </c>
      <c r="D11582" t="s">
        <v>19064</v>
      </c>
      <c r="E11582" t="s">
        <v>29008</v>
      </c>
      <c r="F11582" t="s">
        <v>32831</v>
      </c>
      <c r="G11582" t="s">
        <v>32838</v>
      </c>
      <c r="H11582" t="s">
        <v>32848</v>
      </c>
      <c r="I11582" t="s">
        <v>4776</v>
      </c>
      <c r="J11582" t="s">
        <v>34782</v>
      </c>
      <c r="K11582" t="s">
        <v>42726</v>
      </c>
      <c r="M11582" t="s">
        <v>44197</v>
      </c>
      <c r="N11582" t="s">
        <v>47424</v>
      </c>
      <c r="O11582" t="s">
        <v>47425</v>
      </c>
      <c r="P11582">
        <v>0</v>
      </c>
      <c r="Q11582">
        <v>0</v>
      </c>
      <c r="R11582" t="s">
        <v>47438</v>
      </c>
      <c r="S11582" t="s">
        <v>47793</v>
      </c>
      <c r="T11582" t="s">
        <v>49174</v>
      </c>
      <c r="U11582" t="s">
        <v>59167</v>
      </c>
      <c r="W11582" t="s">
        <v>44197</v>
      </c>
      <c r="X11582" t="s">
        <v>47439</v>
      </c>
    </row>
    <row r="11583" spans="1:24">
      <c r="A11583">
        <f>HYPERLINK("https://www.philgeps.gov.ph/GEPSNONPILOT/Tender/SplashBidNoticeAbstractUI.aspx?menuIndex=3&amp;refID=7142997&amp;Result=3","7142997")</f>
        <v>0</v>
      </c>
      <c r="B11583" t="s">
        <v>1254</v>
      </c>
      <c r="C11583" t="s">
        <v>14806</v>
      </c>
      <c r="D11583" t="s">
        <v>19041</v>
      </c>
      <c r="E11583" t="s">
        <v>21296</v>
      </c>
      <c r="F11583" t="s">
        <v>32831</v>
      </c>
      <c r="G11583" t="s">
        <v>32839</v>
      </c>
      <c r="H11583" t="s">
        <v>32849</v>
      </c>
      <c r="I11583" t="s">
        <v>4177</v>
      </c>
      <c r="J11583" t="s">
        <v>33118</v>
      </c>
      <c r="K11583" t="s">
        <v>42729</v>
      </c>
      <c r="M11583" t="s">
        <v>44324</v>
      </c>
      <c r="N11583" t="s">
        <v>47424</v>
      </c>
      <c r="O11583" t="s">
        <v>47425</v>
      </c>
      <c r="P11583">
        <v>0</v>
      </c>
      <c r="Q11583">
        <v>0</v>
      </c>
      <c r="R11583" t="s">
        <v>47438</v>
      </c>
      <c r="S11583" t="s">
        <v>47793</v>
      </c>
      <c r="T11583" t="s">
        <v>49172</v>
      </c>
      <c r="U11583" t="s">
        <v>59169</v>
      </c>
      <c r="V11583" t="s">
        <v>62941</v>
      </c>
      <c r="W11583" t="s">
        <v>44324</v>
      </c>
      <c r="X11583" t="s">
        <v>47439</v>
      </c>
    </row>
    <row r="11584" spans="1:24">
      <c r="A11584">
        <f>HYPERLINK("https://www.philgeps.gov.ph/GEPSNONPILOT/Tender/SplashBidNoticeAbstractUI.aspx?menuIndex=3&amp;refID=7142556&amp;Result=3","7142556")</f>
        <v>0</v>
      </c>
      <c r="B11584" t="s">
        <v>3424</v>
      </c>
      <c r="C11584" t="s">
        <v>14807</v>
      </c>
      <c r="D11584" t="s">
        <v>19050</v>
      </c>
      <c r="E11584" t="s">
        <v>29009</v>
      </c>
      <c r="F11584" t="s">
        <v>32831</v>
      </c>
      <c r="G11584" t="s">
        <v>32839</v>
      </c>
      <c r="H11584" t="s">
        <v>32848</v>
      </c>
      <c r="I11584" t="s">
        <v>6526</v>
      </c>
      <c r="J11584" t="s">
        <v>33031</v>
      </c>
      <c r="K11584" t="s">
        <v>42730</v>
      </c>
      <c r="M11584" t="s">
        <v>46759</v>
      </c>
      <c r="N11584" t="s">
        <v>47424</v>
      </c>
      <c r="O11584" t="s">
        <v>47425</v>
      </c>
      <c r="Q11584">
        <v>0</v>
      </c>
      <c r="R11584" t="s">
        <v>47438</v>
      </c>
      <c r="S11584" t="s">
        <v>47813</v>
      </c>
      <c r="T11584" t="s">
        <v>49141</v>
      </c>
      <c r="U11584" t="s">
        <v>59170</v>
      </c>
      <c r="W11584" t="s">
        <v>46759</v>
      </c>
      <c r="X11584" t="s">
        <v>47439</v>
      </c>
    </row>
    <row r="11585" spans="1:24">
      <c r="A11585">
        <f>HYPERLINK("https://www.philgeps.gov.ph/GEPSNONPILOT/Tender/SplashBidNoticeAbstractUI.aspx?menuIndex=3&amp;refID=7142979&amp;Result=3","7142979")</f>
        <v>0</v>
      </c>
      <c r="B11585" t="s">
        <v>3425</v>
      </c>
      <c r="C11585" t="s">
        <v>14808</v>
      </c>
      <c r="D11585" t="s">
        <v>19053</v>
      </c>
      <c r="E11585" t="s">
        <v>29010</v>
      </c>
      <c r="F11585" t="s">
        <v>32831</v>
      </c>
      <c r="G11585" t="s">
        <v>32839</v>
      </c>
      <c r="H11585" t="s">
        <v>32849</v>
      </c>
      <c r="I11585" t="s">
        <v>4177</v>
      </c>
      <c r="J11585" t="s">
        <v>40095</v>
      </c>
      <c r="K11585" t="s">
        <v>42729</v>
      </c>
      <c r="M11585" t="s">
        <v>46760</v>
      </c>
      <c r="N11585" t="s">
        <v>47424</v>
      </c>
      <c r="O11585" t="s">
        <v>47425</v>
      </c>
      <c r="P11585">
        <v>0</v>
      </c>
      <c r="Q11585">
        <v>3</v>
      </c>
      <c r="R11585" t="s">
        <v>47438</v>
      </c>
      <c r="S11585" t="s">
        <v>47793</v>
      </c>
      <c r="T11585" t="s">
        <v>49063</v>
      </c>
      <c r="U11585" t="s">
        <v>59171</v>
      </c>
      <c r="W11585" t="s">
        <v>46760</v>
      </c>
      <c r="X11585" t="s">
        <v>47439</v>
      </c>
    </row>
    <row r="11586" spans="1:24">
      <c r="A11586">
        <f>HYPERLINK("https://www.philgeps.gov.ph/GEPSNONPILOT/Tender/SplashBidNoticeAbstractUI.aspx?menuIndex=3&amp;refID=7142949&amp;Result=3","7142949")</f>
        <v>0</v>
      </c>
      <c r="B11586" t="s">
        <v>3426</v>
      </c>
      <c r="C11586" t="s">
        <v>14809</v>
      </c>
      <c r="D11586" t="s">
        <v>19081</v>
      </c>
      <c r="E11586" t="s">
        <v>29011</v>
      </c>
      <c r="F11586" t="s">
        <v>32831</v>
      </c>
      <c r="G11586" t="s">
        <v>32839</v>
      </c>
      <c r="H11586" t="s">
        <v>32848</v>
      </c>
      <c r="I11586" t="s">
        <v>32884</v>
      </c>
      <c r="J11586" t="s">
        <v>32978</v>
      </c>
      <c r="K11586" t="s">
        <v>42730</v>
      </c>
      <c r="M11586" t="s">
        <v>46761</v>
      </c>
      <c r="N11586" t="s">
        <v>47424</v>
      </c>
      <c r="O11586" t="s">
        <v>47425</v>
      </c>
      <c r="P11586">
        <v>0</v>
      </c>
      <c r="Q11586">
        <v>3</v>
      </c>
      <c r="R11586" t="s">
        <v>47438</v>
      </c>
      <c r="S11586" t="s">
        <v>47793</v>
      </c>
      <c r="T11586" t="s">
        <v>49106</v>
      </c>
      <c r="U11586" t="s">
        <v>59172</v>
      </c>
      <c r="W11586" t="s">
        <v>46761</v>
      </c>
      <c r="X11586" t="s">
        <v>47439</v>
      </c>
    </row>
    <row r="11587" spans="1:24">
      <c r="A11587">
        <f>HYPERLINK("https://www.philgeps.gov.ph/GEPSNONPILOT/Tender/SplashBidNoticeAbstractUI.aspx?menuIndex=3&amp;refID=7142944&amp;Result=3","7142944")</f>
        <v>0</v>
      </c>
      <c r="B11587" t="s">
        <v>1254</v>
      </c>
      <c r="C11587" t="s">
        <v>14810</v>
      </c>
      <c r="D11587" t="s">
        <v>19041</v>
      </c>
      <c r="E11587" t="s">
        <v>20783</v>
      </c>
      <c r="F11587" t="s">
        <v>32832</v>
      </c>
      <c r="G11587" t="s">
        <v>32839</v>
      </c>
      <c r="H11587" t="s">
        <v>32849</v>
      </c>
      <c r="I11587" t="s">
        <v>4177</v>
      </c>
      <c r="J11587" t="s">
        <v>32978</v>
      </c>
      <c r="K11587" t="s">
        <v>42729</v>
      </c>
      <c r="M11587" t="s">
        <v>44324</v>
      </c>
      <c r="N11587" t="s">
        <v>47424</v>
      </c>
      <c r="O11587" t="s">
        <v>47425</v>
      </c>
      <c r="P11587">
        <v>0</v>
      </c>
      <c r="Q11587">
        <v>0</v>
      </c>
      <c r="R11587" t="s">
        <v>47438</v>
      </c>
      <c r="S11587" t="s">
        <v>47793</v>
      </c>
      <c r="T11587" t="s">
        <v>49172</v>
      </c>
      <c r="U11587" t="s">
        <v>59173</v>
      </c>
      <c r="V11587" t="s">
        <v>62941</v>
      </c>
      <c r="W11587" t="s">
        <v>44324</v>
      </c>
      <c r="X11587" t="s">
        <v>47439</v>
      </c>
    </row>
    <row r="11588" spans="1:24">
      <c r="A11588">
        <f>HYPERLINK("https://www.philgeps.gov.ph/GEPSNONPILOT/Tender/SplashBidNoticeAbstractUI.aspx?menuIndex=3&amp;refID=7142926&amp;Result=3","7142926")</f>
        <v>0</v>
      </c>
      <c r="B11588" t="s">
        <v>1135</v>
      </c>
      <c r="C11588" t="s">
        <v>14811</v>
      </c>
      <c r="D11588" t="s">
        <v>19064</v>
      </c>
      <c r="E11588" t="s">
        <v>29001</v>
      </c>
      <c r="F11588" t="s">
        <v>32831</v>
      </c>
      <c r="G11588" t="s">
        <v>32838</v>
      </c>
      <c r="H11588" t="s">
        <v>32848</v>
      </c>
      <c r="I11588" t="s">
        <v>4776</v>
      </c>
      <c r="J11588" t="s">
        <v>34782</v>
      </c>
      <c r="K11588" t="s">
        <v>42726</v>
      </c>
      <c r="M11588" t="s">
        <v>44197</v>
      </c>
      <c r="N11588" t="s">
        <v>47424</v>
      </c>
      <c r="O11588" t="s">
        <v>47425</v>
      </c>
      <c r="P11588">
        <v>0</v>
      </c>
      <c r="Q11588">
        <v>0</v>
      </c>
      <c r="R11588" t="s">
        <v>47438</v>
      </c>
      <c r="S11588" t="s">
        <v>47793</v>
      </c>
      <c r="T11588" t="s">
        <v>49174</v>
      </c>
      <c r="U11588" t="s">
        <v>59160</v>
      </c>
      <c r="W11588" t="s">
        <v>44197</v>
      </c>
      <c r="X11588" t="s">
        <v>47439</v>
      </c>
    </row>
    <row r="11589" spans="1:24">
      <c r="A11589">
        <f>HYPERLINK("https://www.philgeps.gov.ph/GEPSNONPILOT/Tender/SplashBidNoticeAbstractUI.aspx?menuIndex=3&amp;refID=7142907&amp;Result=3","7142907")</f>
        <v>0</v>
      </c>
      <c r="B11589" t="s">
        <v>3427</v>
      </c>
      <c r="C11589" t="s">
        <v>14812</v>
      </c>
      <c r="D11589" t="s">
        <v>19081</v>
      </c>
      <c r="E11589" t="s">
        <v>29012</v>
      </c>
      <c r="F11589" t="s">
        <v>32831</v>
      </c>
      <c r="G11589" t="s">
        <v>32839</v>
      </c>
      <c r="H11589" t="s">
        <v>32849</v>
      </c>
      <c r="I11589" t="s">
        <v>4177</v>
      </c>
      <c r="J11589" t="s">
        <v>33528</v>
      </c>
      <c r="K11589" t="s">
        <v>42757</v>
      </c>
      <c r="M11589" t="s">
        <v>46762</v>
      </c>
      <c r="N11589" t="s">
        <v>47424</v>
      </c>
      <c r="O11589" t="s">
        <v>47425</v>
      </c>
      <c r="P11589">
        <v>0</v>
      </c>
      <c r="Q11589">
        <v>8</v>
      </c>
      <c r="R11589" t="s">
        <v>47438</v>
      </c>
      <c r="S11589" t="s">
        <v>47793</v>
      </c>
      <c r="T11589" t="s">
        <v>49057</v>
      </c>
      <c r="U11589" t="s">
        <v>59174</v>
      </c>
      <c r="W11589" t="s">
        <v>46762</v>
      </c>
      <c r="X11589" t="s">
        <v>47439</v>
      </c>
    </row>
    <row r="11590" spans="1:24">
      <c r="A11590">
        <f>HYPERLINK("https://www.philgeps.gov.ph/GEPSNONPILOT/Tender/SplashBidNoticeAbstractUI.aspx?menuIndex=3&amp;refID=7142923&amp;Result=3","7142923")</f>
        <v>0</v>
      </c>
      <c r="B11590" t="s">
        <v>1254</v>
      </c>
      <c r="C11590" t="s">
        <v>14813</v>
      </c>
      <c r="D11590" t="s">
        <v>19041</v>
      </c>
      <c r="E11590" t="s">
        <v>20779</v>
      </c>
      <c r="F11590" t="s">
        <v>32831</v>
      </c>
      <c r="G11590" t="s">
        <v>32839</v>
      </c>
      <c r="H11590" t="s">
        <v>32849</v>
      </c>
      <c r="I11590" t="s">
        <v>4177</v>
      </c>
      <c r="J11590" t="s">
        <v>33118</v>
      </c>
      <c r="K11590" t="s">
        <v>42756</v>
      </c>
      <c r="M11590" t="s">
        <v>44324</v>
      </c>
      <c r="N11590" t="s">
        <v>47424</v>
      </c>
      <c r="O11590" t="s">
        <v>47425</v>
      </c>
      <c r="P11590">
        <v>0</v>
      </c>
      <c r="Q11590">
        <v>0</v>
      </c>
      <c r="R11590" t="s">
        <v>47438</v>
      </c>
      <c r="S11590" t="s">
        <v>47793</v>
      </c>
      <c r="T11590" t="s">
        <v>49172</v>
      </c>
      <c r="U11590" t="s">
        <v>59175</v>
      </c>
      <c r="V11590" t="s">
        <v>62941</v>
      </c>
      <c r="W11590" t="s">
        <v>44324</v>
      </c>
      <c r="X11590" t="s">
        <v>47439</v>
      </c>
    </row>
    <row r="11591" spans="1:24">
      <c r="A11591">
        <f>HYPERLINK("https://www.philgeps.gov.ph/GEPSNONPILOT/Tender/SplashBidNoticeAbstractUI.aspx?menuIndex=3&amp;refID=7142906&amp;Result=3","7142906")</f>
        <v>0</v>
      </c>
      <c r="B11591" t="s">
        <v>1295</v>
      </c>
      <c r="C11591" t="s">
        <v>14814</v>
      </c>
      <c r="D11591" t="s">
        <v>19054</v>
      </c>
      <c r="E11591" t="s">
        <v>29013</v>
      </c>
      <c r="F11591" t="s">
        <v>32831</v>
      </c>
      <c r="G11591" t="s">
        <v>32839</v>
      </c>
      <c r="H11591" t="s">
        <v>32848</v>
      </c>
      <c r="I11591" t="s">
        <v>32855</v>
      </c>
      <c r="J11591" t="s">
        <v>40096</v>
      </c>
      <c r="K11591" t="s">
        <v>42731</v>
      </c>
      <c r="M11591" t="s">
        <v>44365</v>
      </c>
      <c r="N11591" t="s">
        <v>47424</v>
      </c>
      <c r="O11591" t="s">
        <v>47425</v>
      </c>
      <c r="P11591">
        <v>0</v>
      </c>
      <c r="Q11591">
        <v>0</v>
      </c>
      <c r="R11591" t="s">
        <v>47438</v>
      </c>
      <c r="S11591" t="s">
        <v>47793</v>
      </c>
      <c r="T11591" t="s">
        <v>49196</v>
      </c>
      <c r="U11591" t="s">
        <v>52500</v>
      </c>
      <c r="W11591" t="s">
        <v>44365</v>
      </c>
      <c r="X11591" t="s">
        <v>47439</v>
      </c>
    </row>
    <row r="11592" spans="1:24">
      <c r="A11592">
        <f>HYPERLINK("https://www.philgeps.gov.ph/GEPSNONPILOT/Tender/SplashBidNoticeAbstractUI.aspx?menuIndex=3&amp;refID=7142905&amp;Result=3","7142905")</f>
        <v>0</v>
      </c>
      <c r="B11592" t="s">
        <v>1777</v>
      </c>
      <c r="C11592" t="s">
        <v>14815</v>
      </c>
      <c r="D11592" t="s">
        <v>19074</v>
      </c>
      <c r="E11592" t="s">
        <v>29014</v>
      </c>
      <c r="F11592" t="s">
        <v>32831</v>
      </c>
      <c r="G11592" t="s">
        <v>32839</v>
      </c>
      <c r="H11592" t="s">
        <v>32848</v>
      </c>
      <c r="I11592" t="s">
        <v>4558</v>
      </c>
      <c r="J11592" t="s">
        <v>34342</v>
      </c>
      <c r="K11592" t="s">
        <v>42730</v>
      </c>
      <c r="M11592" t="s">
        <v>44902</v>
      </c>
      <c r="N11592" t="s">
        <v>47424</v>
      </c>
      <c r="O11592" t="s">
        <v>47425</v>
      </c>
      <c r="P11592">
        <v>0</v>
      </c>
      <c r="Q11592">
        <v>7</v>
      </c>
      <c r="R11592" t="s">
        <v>47438</v>
      </c>
      <c r="S11592" t="s">
        <v>47793</v>
      </c>
      <c r="T11592" t="s">
        <v>49142</v>
      </c>
      <c r="U11592" t="s">
        <v>59176</v>
      </c>
      <c r="W11592" t="s">
        <v>44902</v>
      </c>
      <c r="X11592" t="s">
        <v>47439</v>
      </c>
    </row>
    <row r="11593" spans="1:24">
      <c r="A11593">
        <f>HYPERLINK("https://www.philgeps.gov.ph/GEPSNONPILOT/Tender/SplashBidNoticeAbstractUI.aspx?menuIndex=3&amp;refID=7142962&amp;Result=3","7142962")</f>
        <v>0</v>
      </c>
      <c r="B11593" t="s">
        <v>3425</v>
      </c>
      <c r="C11593" t="s">
        <v>14816</v>
      </c>
      <c r="D11593" t="s">
        <v>19053</v>
      </c>
      <c r="E11593" t="s">
        <v>29015</v>
      </c>
      <c r="F11593" t="s">
        <v>32831</v>
      </c>
      <c r="G11593" t="s">
        <v>32839</v>
      </c>
      <c r="H11593" t="s">
        <v>32849</v>
      </c>
      <c r="I11593" t="s">
        <v>4177</v>
      </c>
      <c r="J11593" t="s">
        <v>40097</v>
      </c>
      <c r="K11593" t="s">
        <v>42946</v>
      </c>
      <c r="M11593" t="s">
        <v>46760</v>
      </c>
      <c r="N11593" t="s">
        <v>47424</v>
      </c>
      <c r="O11593" t="s">
        <v>47425</v>
      </c>
      <c r="P11593">
        <v>0</v>
      </c>
      <c r="Q11593">
        <v>1</v>
      </c>
      <c r="R11593" t="s">
        <v>47438</v>
      </c>
      <c r="S11593" t="s">
        <v>47793</v>
      </c>
      <c r="T11593" t="s">
        <v>49063</v>
      </c>
      <c r="U11593" t="s">
        <v>59171</v>
      </c>
      <c r="W11593" t="s">
        <v>46760</v>
      </c>
      <c r="X11593" t="s">
        <v>47439</v>
      </c>
    </row>
    <row r="11594" spans="1:24">
      <c r="A11594">
        <f>HYPERLINK("https://www.philgeps.gov.ph/GEPSNONPILOT/Tender/SplashBidNoticeAbstractUI.aspx?menuIndex=3&amp;refID=7142897&amp;Result=3","7142897")</f>
        <v>0</v>
      </c>
      <c r="B11594" t="s">
        <v>3428</v>
      </c>
      <c r="C11594" t="s">
        <v>14817</v>
      </c>
      <c r="E11594" t="s">
        <v>19486</v>
      </c>
      <c r="F11594" t="s">
        <v>32833</v>
      </c>
      <c r="G11594" t="s">
        <v>32839</v>
      </c>
      <c r="H11594" t="s">
        <v>32848</v>
      </c>
      <c r="I11594" t="s">
        <v>9577</v>
      </c>
      <c r="J11594" t="s">
        <v>40098</v>
      </c>
      <c r="K11594" t="s">
        <v>42732</v>
      </c>
      <c r="M11594" t="s">
        <v>46763</v>
      </c>
      <c r="N11594" t="s">
        <v>47424</v>
      </c>
      <c r="O11594" t="s">
        <v>47425</v>
      </c>
      <c r="P11594">
        <v>0</v>
      </c>
      <c r="Q11594">
        <v>8</v>
      </c>
      <c r="R11594" t="s">
        <v>47438</v>
      </c>
      <c r="S11594" t="s">
        <v>47793</v>
      </c>
      <c r="T11594" t="s">
        <v>49362</v>
      </c>
      <c r="U11594" t="s">
        <v>59177</v>
      </c>
      <c r="V11594" t="s">
        <v>63907</v>
      </c>
      <c r="W11594" t="s">
        <v>46763</v>
      </c>
      <c r="X11594" t="s">
        <v>47439</v>
      </c>
    </row>
    <row r="11595" spans="1:24">
      <c r="A11595">
        <f>HYPERLINK("https://www.philgeps.gov.ph/GEPSNONPILOT/Tender/SplashBidNoticeAbstractUI.aspx?menuIndex=3&amp;refID=7142976&amp;Result=3","7142976")</f>
        <v>0</v>
      </c>
      <c r="B11595" t="s">
        <v>3372</v>
      </c>
      <c r="C11595" t="s">
        <v>14818</v>
      </c>
      <c r="D11595" t="s">
        <v>19067</v>
      </c>
      <c r="E11595" t="s">
        <v>29016</v>
      </c>
      <c r="F11595" t="s">
        <v>32831</v>
      </c>
      <c r="G11595" t="s">
        <v>32845</v>
      </c>
      <c r="H11595" t="s">
        <v>32848</v>
      </c>
      <c r="I11595" t="s">
        <v>32883</v>
      </c>
      <c r="J11595" t="s">
        <v>34816</v>
      </c>
      <c r="K11595" t="s">
        <v>42727</v>
      </c>
      <c r="M11595" t="s">
        <v>46699</v>
      </c>
      <c r="N11595" t="s">
        <v>47424</v>
      </c>
      <c r="O11595" t="s">
        <v>47425</v>
      </c>
      <c r="P11595">
        <v>0</v>
      </c>
      <c r="Q11595">
        <v>1</v>
      </c>
      <c r="R11595" t="s">
        <v>47438</v>
      </c>
      <c r="S11595" t="s">
        <v>47793</v>
      </c>
      <c r="T11595" t="s">
        <v>49143</v>
      </c>
      <c r="U11595" t="s">
        <v>59178</v>
      </c>
      <c r="W11595" t="s">
        <v>46699</v>
      </c>
      <c r="X11595" t="s">
        <v>47439</v>
      </c>
    </row>
    <row r="11596" spans="1:24">
      <c r="A11596">
        <f>HYPERLINK("https://www.philgeps.gov.ph/GEPSNONPILOT/Tender/SplashBidNoticeAbstractUI.aspx?menuIndex=3&amp;refID=7142879&amp;Result=3","7142879")</f>
        <v>0</v>
      </c>
      <c r="B11596" t="s">
        <v>2388</v>
      </c>
      <c r="C11596" t="s">
        <v>14819</v>
      </c>
      <c r="D11596" t="s">
        <v>19075</v>
      </c>
      <c r="E11596" t="s">
        <v>29017</v>
      </c>
      <c r="F11596" t="s">
        <v>32831</v>
      </c>
      <c r="G11596" t="s">
        <v>32839</v>
      </c>
      <c r="H11596" t="s">
        <v>32849</v>
      </c>
      <c r="I11596" t="s">
        <v>4177</v>
      </c>
      <c r="J11596" t="s">
        <v>40099</v>
      </c>
      <c r="K11596" t="s">
        <v>42732</v>
      </c>
      <c r="M11596" t="s">
        <v>45579</v>
      </c>
      <c r="N11596" t="s">
        <v>47424</v>
      </c>
      <c r="O11596" t="s">
        <v>47425</v>
      </c>
      <c r="P11596">
        <v>0</v>
      </c>
      <c r="Q11596">
        <v>1</v>
      </c>
      <c r="R11596" t="s">
        <v>47438</v>
      </c>
      <c r="S11596" t="s">
        <v>47793</v>
      </c>
      <c r="T11596" t="s">
        <v>49080</v>
      </c>
      <c r="U11596" t="s">
        <v>59179</v>
      </c>
      <c r="W11596" t="s">
        <v>64507</v>
      </c>
      <c r="X11596" t="s">
        <v>47439</v>
      </c>
    </row>
    <row r="11597" spans="1:24">
      <c r="A11597">
        <f>HYPERLINK("https://www.philgeps.gov.ph/GEPSNONPILOT/Tender/SplashBidNoticeAbstractUI.aspx?menuIndex=3&amp;refID=7142729&amp;Result=3","7142729")</f>
        <v>0</v>
      </c>
      <c r="B11597" t="s">
        <v>2287</v>
      </c>
      <c r="C11597" t="s">
        <v>14820</v>
      </c>
      <c r="D11597" t="s">
        <v>19033</v>
      </c>
      <c r="E11597" t="s">
        <v>19692</v>
      </c>
      <c r="F11597" t="s">
        <v>32831</v>
      </c>
      <c r="G11597" t="s">
        <v>32839</v>
      </c>
      <c r="H11597" t="s">
        <v>32849</v>
      </c>
      <c r="I11597" t="s">
        <v>4177</v>
      </c>
      <c r="J11597" t="s">
        <v>35952</v>
      </c>
      <c r="K11597" t="s">
        <v>42780</v>
      </c>
      <c r="M11597" t="s">
        <v>45471</v>
      </c>
      <c r="N11597" t="s">
        <v>47424</v>
      </c>
      <c r="O11597" t="s">
        <v>47425</v>
      </c>
      <c r="P11597">
        <v>0</v>
      </c>
      <c r="Q11597">
        <v>3</v>
      </c>
      <c r="R11597" t="s">
        <v>47438</v>
      </c>
      <c r="S11597" t="s">
        <v>47793</v>
      </c>
      <c r="T11597" t="s">
        <v>49324</v>
      </c>
      <c r="U11597" t="s">
        <v>59180</v>
      </c>
      <c r="V11597" t="s">
        <v>63334</v>
      </c>
      <c r="W11597" t="s">
        <v>45471</v>
      </c>
      <c r="X11597" t="s">
        <v>47439</v>
      </c>
    </row>
    <row r="11598" spans="1:24">
      <c r="A11598">
        <f>HYPERLINK("https://www.philgeps.gov.ph/GEPSNONPILOT/Tender/SplashBidNoticeAbstractUI.aspx?menuIndex=3&amp;refID=7142711&amp;Result=3","7142711")</f>
        <v>0</v>
      </c>
      <c r="B11598" t="s">
        <v>971</v>
      </c>
      <c r="C11598" t="s">
        <v>14821</v>
      </c>
      <c r="D11598" t="s">
        <v>19022</v>
      </c>
      <c r="E11598" t="s">
        <v>29018</v>
      </c>
      <c r="F11598" t="s">
        <v>32831</v>
      </c>
      <c r="G11598" t="s">
        <v>32838</v>
      </c>
      <c r="H11598" t="s">
        <v>32848</v>
      </c>
      <c r="I11598" t="s">
        <v>4776</v>
      </c>
      <c r="J11598" t="s">
        <v>40100</v>
      </c>
      <c r="K11598" t="s">
        <v>42727</v>
      </c>
      <c r="M11598" t="s">
        <v>44017</v>
      </c>
      <c r="N11598" t="s">
        <v>47424</v>
      </c>
      <c r="O11598" t="s">
        <v>47425</v>
      </c>
      <c r="Q11598">
        <v>0</v>
      </c>
      <c r="R11598" t="s">
        <v>47438</v>
      </c>
      <c r="S11598" t="s">
        <v>47814</v>
      </c>
      <c r="T11598" t="s">
        <v>49239</v>
      </c>
      <c r="U11598" t="s">
        <v>59181</v>
      </c>
      <c r="W11598" t="s">
        <v>44017</v>
      </c>
      <c r="X11598" t="s">
        <v>47439</v>
      </c>
    </row>
    <row r="11599" spans="1:24">
      <c r="A11599">
        <f>HYPERLINK("https://www.philgeps.gov.ph/GEPSNONPILOT/Tender/SplashBidNoticeAbstractUI.aspx?menuIndex=3&amp;refID=7142704&amp;Result=3","7142704")</f>
        <v>0</v>
      </c>
      <c r="B11599" t="s">
        <v>1649</v>
      </c>
      <c r="C11599" t="s">
        <v>14822</v>
      </c>
      <c r="D11599" t="s">
        <v>19018</v>
      </c>
      <c r="E11599" t="s">
        <v>29019</v>
      </c>
      <c r="F11599" t="s">
        <v>32831</v>
      </c>
      <c r="G11599" t="s">
        <v>32839</v>
      </c>
      <c r="H11599" t="s">
        <v>32848</v>
      </c>
      <c r="I11599" t="s">
        <v>10888</v>
      </c>
      <c r="J11599" t="s">
        <v>35553</v>
      </c>
      <c r="K11599" t="s">
        <v>42732</v>
      </c>
      <c r="M11599" t="s">
        <v>46118</v>
      </c>
      <c r="N11599" t="s">
        <v>47424</v>
      </c>
      <c r="O11599" t="s">
        <v>47425</v>
      </c>
      <c r="P11599">
        <v>0</v>
      </c>
      <c r="Q11599">
        <v>14</v>
      </c>
      <c r="R11599" t="s">
        <v>47438</v>
      </c>
      <c r="S11599" t="s">
        <v>47793</v>
      </c>
      <c r="T11599" t="s">
        <v>49470</v>
      </c>
      <c r="U11599" t="s">
        <v>59182</v>
      </c>
      <c r="W11599" t="s">
        <v>46118</v>
      </c>
      <c r="X11599" t="s">
        <v>47439</v>
      </c>
    </row>
    <row r="11600" spans="1:24">
      <c r="A11600">
        <f>HYPERLINK("https://www.philgeps.gov.ph/GEPSNONPILOT/Tender/SplashBidNoticeAbstractUI.aspx?menuIndex=3&amp;refID=7142702&amp;Result=3","7142702")</f>
        <v>0</v>
      </c>
      <c r="B11600" t="s">
        <v>1135</v>
      </c>
      <c r="C11600" t="s">
        <v>14823</v>
      </c>
      <c r="D11600" t="s">
        <v>19064</v>
      </c>
      <c r="E11600" t="s">
        <v>29001</v>
      </c>
      <c r="F11600" t="s">
        <v>32831</v>
      </c>
      <c r="G11600" t="s">
        <v>32838</v>
      </c>
      <c r="H11600" t="s">
        <v>32848</v>
      </c>
      <c r="I11600" t="s">
        <v>4776</v>
      </c>
      <c r="J11600" t="s">
        <v>33600</v>
      </c>
      <c r="K11600" t="s">
        <v>42726</v>
      </c>
      <c r="M11600" t="s">
        <v>44197</v>
      </c>
      <c r="N11600" t="s">
        <v>47424</v>
      </c>
      <c r="O11600" t="s">
        <v>47425</v>
      </c>
      <c r="P11600">
        <v>0</v>
      </c>
      <c r="Q11600">
        <v>1</v>
      </c>
      <c r="R11600" t="s">
        <v>47438</v>
      </c>
      <c r="S11600" t="s">
        <v>47793</v>
      </c>
      <c r="T11600" t="s">
        <v>49174</v>
      </c>
      <c r="U11600" t="s">
        <v>59160</v>
      </c>
      <c r="W11600" t="s">
        <v>44197</v>
      </c>
      <c r="X11600" t="s">
        <v>47439</v>
      </c>
    </row>
    <row r="11601" spans="1:24">
      <c r="A11601">
        <f>HYPERLINK("https://www.philgeps.gov.ph/GEPSNONPILOT/Tender/SplashBidNoticeAbstractUI.aspx?menuIndex=3&amp;refID=7142728&amp;Result=3","7142728")</f>
        <v>0</v>
      </c>
      <c r="B11601" t="s">
        <v>3429</v>
      </c>
      <c r="C11601" t="s">
        <v>14824</v>
      </c>
      <c r="E11601" t="s">
        <v>19203</v>
      </c>
      <c r="F11601" t="s">
        <v>32831</v>
      </c>
      <c r="G11601" t="s">
        <v>32839</v>
      </c>
      <c r="H11601" t="s">
        <v>32848</v>
      </c>
      <c r="I11601" t="s">
        <v>7416</v>
      </c>
      <c r="J11601" t="s">
        <v>40101</v>
      </c>
      <c r="K11601" t="s">
        <v>42732</v>
      </c>
      <c r="M11601" t="s">
        <v>46764</v>
      </c>
      <c r="N11601" t="s">
        <v>47424</v>
      </c>
      <c r="O11601" t="s">
        <v>47425</v>
      </c>
      <c r="P11601">
        <v>0</v>
      </c>
      <c r="Q11601">
        <v>1</v>
      </c>
      <c r="R11601" t="s">
        <v>47438</v>
      </c>
      <c r="S11601" t="s">
        <v>47793</v>
      </c>
      <c r="T11601" t="s">
        <v>49110</v>
      </c>
      <c r="U11601" t="s">
        <v>59183</v>
      </c>
      <c r="W11601" t="s">
        <v>46764</v>
      </c>
      <c r="X11601" t="s">
        <v>47439</v>
      </c>
    </row>
    <row r="11602" spans="1:24">
      <c r="A11602">
        <f>HYPERLINK("https://www.philgeps.gov.ph/GEPSNONPILOT/Tender/SplashBidNoticeAbstractUI.aspx?menuIndex=3&amp;refID=7142887&amp;Result=3","7142887")</f>
        <v>0</v>
      </c>
      <c r="B11602" t="s">
        <v>1254</v>
      </c>
      <c r="C11602" t="s">
        <v>14825</v>
      </c>
      <c r="D11602" t="s">
        <v>19041</v>
      </c>
      <c r="E11602" t="s">
        <v>19888</v>
      </c>
      <c r="F11602" t="s">
        <v>32831</v>
      </c>
      <c r="G11602" t="s">
        <v>32839</v>
      </c>
      <c r="H11602" t="s">
        <v>32849</v>
      </c>
      <c r="I11602" t="s">
        <v>4177</v>
      </c>
      <c r="J11602" t="s">
        <v>33118</v>
      </c>
      <c r="K11602" t="s">
        <v>42729</v>
      </c>
      <c r="M11602" t="s">
        <v>44324</v>
      </c>
      <c r="N11602" t="s">
        <v>47424</v>
      </c>
      <c r="O11602" t="s">
        <v>47425</v>
      </c>
      <c r="P11602">
        <v>0</v>
      </c>
      <c r="Q11602">
        <v>0</v>
      </c>
      <c r="R11602" t="s">
        <v>47438</v>
      </c>
      <c r="S11602" t="s">
        <v>47793</v>
      </c>
      <c r="T11602" t="s">
        <v>49172</v>
      </c>
      <c r="U11602" t="s">
        <v>59184</v>
      </c>
      <c r="V11602" t="s">
        <v>62941</v>
      </c>
      <c r="W11602" t="s">
        <v>44324</v>
      </c>
      <c r="X11602" t="s">
        <v>47439</v>
      </c>
    </row>
    <row r="11603" spans="1:24">
      <c r="A11603">
        <f>HYPERLINK("https://www.philgeps.gov.ph/GEPSNONPILOT/Tender/SplashBidNoticeAbstractUI.aspx?menuIndex=3&amp;refID=7142525&amp;Result=3","7142525")</f>
        <v>0</v>
      </c>
      <c r="B11603" t="s">
        <v>3430</v>
      </c>
      <c r="C11603" t="s">
        <v>14826</v>
      </c>
      <c r="D11603" t="s">
        <v>19095</v>
      </c>
      <c r="E11603" t="s">
        <v>29020</v>
      </c>
      <c r="F11603" t="s">
        <v>32831</v>
      </c>
      <c r="G11603" t="s">
        <v>32839</v>
      </c>
      <c r="H11603" t="s">
        <v>32848</v>
      </c>
      <c r="I11603" t="s">
        <v>4222</v>
      </c>
      <c r="J11603" t="s">
        <v>33328</v>
      </c>
      <c r="K11603" t="s">
        <v>42726</v>
      </c>
      <c r="M11603" t="s">
        <v>46765</v>
      </c>
      <c r="N11603" t="s">
        <v>47424</v>
      </c>
      <c r="O11603" t="s">
        <v>47425</v>
      </c>
      <c r="P11603">
        <v>0</v>
      </c>
      <c r="Q11603">
        <v>1</v>
      </c>
      <c r="R11603" t="s">
        <v>47438</v>
      </c>
      <c r="S11603" t="s">
        <v>47793</v>
      </c>
      <c r="T11603" t="s">
        <v>49172</v>
      </c>
      <c r="U11603" t="s">
        <v>59185</v>
      </c>
      <c r="W11603" t="s">
        <v>46765</v>
      </c>
      <c r="X11603" t="s">
        <v>47439</v>
      </c>
    </row>
    <row r="11604" spans="1:24">
      <c r="A11604">
        <f>HYPERLINK("https://www.philgeps.gov.ph/GEPSNONPILOT/Tender/SplashBidNoticeAbstractUI.aspx?menuIndex=3&amp;refID=7142501&amp;Result=3","7142501")</f>
        <v>0</v>
      </c>
      <c r="B11604" t="s">
        <v>323</v>
      </c>
      <c r="C11604" t="s">
        <v>14827</v>
      </c>
      <c r="D11604" t="s">
        <v>19081</v>
      </c>
      <c r="E11604" t="s">
        <v>29021</v>
      </c>
      <c r="F11604" t="s">
        <v>32831</v>
      </c>
      <c r="G11604" t="s">
        <v>32839</v>
      </c>
      <c r="H11604" t="s">
        <v>32849</v>
      </c>
      <c r="I11604" t="s">
        <v>4177</v>
      </c>
      <c r="J11604" t="s">
        <v>40102</v>
      </c>
      <c r="K11604" t="s">
        <v>42728</v>
      </c>
      <c r="M11604" t="s">
        <v>45062</v>
      </c>
      <c r="N11604" t="s">
        <v>47424</v>
      </c>
      <c r="O11604" t="s">
        <v>47425</v>
      </c>
      <c r="P11604">
        <v>0</v>
      </c>
      <c r="Q11604">
        <v>1</v>
      </c>
      <c r="R11604" t="s">
        <v>47438</v>
      </c>
      <c r="S11604" t="s">
        <v>47793</v>
      </c>
      <c r="T11604" t="s">
        <v>49172</v>
      </c>
      <c r="U11604" t="s">
        <v>59186</v>
      </c>
      <c r="W11604" t="s">
        <v>45062</v>
      </c>
      <c r="X11604" t="s">
        <v>47439</v>
      </c>
    </row>
    <row r="11605" spans="1:24">
      <c r="A11605">
        <f>HYPERLINK("https://www.philgeps.gov.ph/GEPSNONPILOT/Tender/SplashBidNoticeAbstractUI.aspx?menuIndex=3&amp;refID=7142537&amp;Result=3","7142537")</f>
        <v>0</v>
      </c>
      <c r="B11605" t="s">
        <v>3430</v>
      </c>
      <c r="C11605" t="s">
        <v>14828</v>
      </c>
      <c r="D11605" t="s">
        <v>19095</v>
      </c>
      <c r="E11605" t="s">
        <v>29022</v>
      </c>
      <c r="F11605" t="s">
        <v>32831</v>
      </c>
      <c r="G11605" t="s">
        <v>32839</v>
      </c>
      <c r="H11605" t="s">
        <v>32848</v>
      </c>
      <c r="I11605" t="s">
        <v>32855</v>
      </c>
      <c r="J11605" t="s">
        <v>40103</v>
      </c>
      <c r="K11605" t="s">
        <v>42726</v>
      </c>
      <c r="M11605" t="s">
        <v>46765</v>
      </c>
      <c r="N11605" t="s">
        <v>47424</v>
      </c>
      <c r="O11605" t="s">
        <v>47425</v>
      </c>
      <c r="P11605">
        <v>0</v>
      </c>
      <c r="Q11605">
        <v>1</v>
      </c>
      <c r="R11605" t="s">
        <v>47438</v>
      </c>
      <c r="S11605" t="s">
        <v>47793</v>
      </c>
      <c r="T11605" t="s">
        <v>49172</v>
      </c>
      <c r="U11605" t="s">
        <v>59187</v>
      </c>
      <c r="W11605" t="s">
        <v>46765</v>
      </c>
      <c r="X11605" t="s">
        <v>47439</v>
      </c>
    </row>
    <row r="11606" spans="1:24">
      <c r="A11606">
        <f>HYPERLINK("https://www.philgeps.gov.ph/GEPSNONPILOT/Tender/SplashBidNoticeAbstractUI.aspx?menuIndex=3&amp;refID=7142892&amp;Result=3","7142892")</f>
        <v>0</v>
      </c>
      <c r="B11606" t="s">
        <v>3425</v>
      </c>
      <c r="C11606" t="s">
        <v>14829</v>
      </c>
      <c r="D11606" t="s">
        <v>19053</v>
      </c>
      <c r="E11606" t="s">
        <v>29023</v>
      </c>
      <c r="F11606" t="s">
        <v>32831</v>
      </c>
      <c r="G11606" t="s">
        <v>32839</v>
      </c>
      <c r="H11606" t="s">
        <v>32849</v>
      </c>
      <c r="I11606" t="s">
        <v>4177</v>
      </c>
      <c r="J11606" t="s">
        <v>40097</v>
      </c>
      <c r="K11606" t="s">
        <v>42947</v>
      </c>
      <c r="M11606" t="s">
        <v>46760</v>
      </c>
      <c r="N11606" t="s">
        <v>47424</v>
      </c>
      <c r="O11606" t="s">
        <v>47425</v>
      </c>
      <c r="P11606">
        <v>0</v>
      </c>
      <c r="Q11606">
        <v>1</v>
      </c>
      <c r="R11606" t="s">
        <v>47438</v>
      </c>
      <c r="S11606" t="s">
        <v>47793</v>
      </c>
      <c r="T11606" t="s">
        <v>49063</v>
      </c>
      <c r="U11606" t="s">
        <v>59171</v>
      </c>
      <c r="W11606" t="s">
        <v>46760</v>
      </c>
      <c r="X11606" t="s">
        <v>47439</v>
      </c>
    </row>
    <row r="11607" spans="1:24">
      <c r="A11607">
        <f>HYPERLINK("https://www.philgeps.gov.ph/GEPSNONPILOT/Tender/SplashBidNoticeAbstractUI.aspx?menuIndex=3&amp;refID=7142371&amp;Result=3","7142371")</f>
        <v>0</v>
      </c>
      <c r="B11607" t="s">
        <v>3303</v>
      </c>
      <c r="C11607" t="s">
        <v>14830</v>
      </c>
      <c r="D11607" t="s">
        <v>19038</v>
      </c>
      <c r="E11607" t="s">
        <v>29000</v>
      </c>
      <c r="F11607" t="s">
        <v>32831</v>
      </c>
      <c r="G11607" t="s">
        <v>32839</v>
      </c>
      <c r="H11607" t="s">
        <v>32849</v>
      </c>
      <c r="I11607" t="s">
        <v>4177</v>
      </c>
      <c r="J11607" t="s">
        <v>40104</v>
      </c>
      <c r="K11607" t="s">
        <v>42757</v>
      </c>
      <c r="M11607" t="s">
        <v>46624</v>
      </c>
      <c r="N11607" t="s">
        <v>47424</v>
      </c>
      <c r="O11607" t="s">
        <v>47425</v>
      </c>
      <c r="P11607">
        <v>0</v>
      </c>
      <c r="Q11607">
        <v>1</v>
      </c>
      <c r="R11607" t="s">
        <v>47438</v>
      </c>
      <c r="S11607" t="s">
        <v>47793</v>
      </c>
      <c r="T11607" t="s">
        <v>49057</v>
      </c>
      <c r="U11607" t="s">
        <v>59188</v>
      </c>
      <c r="W11607" t="s">
        <v>46624</v>
      </c>
      <c r="X11607" t="s">
        <v>47439</v>
      </c>
    </row>
    <row r="11608" spans="1:24">
      <c r="A11608">
        <f>HYPERLINK("https://www.philgeps.gov.ph/GEPSNONPILOT/Tender/SplashBidNoticeAbstractUI.aspx?menuIndex=3&amp;refID=7142363&amp;Result=3","7142363")</f>
        <v>0</v>
      </c>
      <c r="B11608" t="s">
        <v>3422</v>
      </c>
      <c r="C11608" t="s">
        <v>14831</v>
      </c>
      <c r="D11608" t="s">
        <v>19065</v>
      </c>
      <c r="E11608" t="s">
        <v>27916</v>
      </c>
      <c r="F11608" t="s">
        <v>32831</v>
      </c>
      <c r="G11608" t="s">
        <v>32839</v>
      </c>
      <c r="H11608" t="s">
        <v>32848</v>
      </c>
      <c r="I11608" t="s">
        <v>7751</v>
      </c>
      <c r="J11608" t="s">
        <v>32985</v>
      </c>
      <c r="K11608" t="s">
        <v>42730</v>
      </c>
      <c r="M11608" t="s">
        <v>46757</v>
      </c>
      <c r="N11608" t="s">
        <v>47424</v>
      </c>
      <c r="O11608" t="s">
        <v>47425</v>
      </c>
      <c r="P11608">
        <v>0</v>
      </c>
      <c r="Q11608">
        <v>1</v>
      </c>
      <c r="R11608" t="s">
        <v>47438</v>
      </c>
      <c r="S11608" t="s">
        <v>47793</v>
      </c>
      <c r="T11608" t="s">
        <v>49487</v>
      </c>
      <c r="U11608" t="s">
        <v>59189</v>
      </c>
      <c r="W11608" t="s">
        <v>46757</v>
      </c>
      <c r="X11608" t="s">
        <v>47439</v>
      </c>
    </row>
    <row r="11609" spans="1:24">
      <c r="A11609">
        <f>HYPERLINK("https://www.philgeps.gov.ph/GEPSNONPILOT/Tender/SplashBidNoticeAbstractUI.aspx?menuIndex=3&amp;refID=7142533&amp;Result=3","7142533")</f>
        <v>0</v>
      </c>
      <c r="B11609" t="s">
        <v>3405</v>
      </c>
      <c r="C11609" t="s">
        <v>14832</v>
      </c>
      <c r="D11609" t="s">
        <v>19018</v>
      </c>
      <c r="E11609" t="s">
        <v>29024</v>
      </c>
      <c r="F11609" t="s">
        <v>32831</v>
      </c>
      <c r="G11609" t="s">
        <v>32839</v>
      </c>
      <c r="H11609" t="s">
        <v>32848</v>
      </c>
      <c r="I11609" t="s">
        <v>4776</v>
      </c>
      <c r="J11609" t="s">
        <v>40105</v>
      </c>
      <c r="K11609" t="s">
        <v>42729</v>
      </c>
      <c r="M11609" t="s">
        <v>46739</v>
      </c>
      <c r="N11609" t="s">
        <v>47424</v>
      </c>
      <c r="O11609" t="s">
        <v>47425</v>
      </c>
      <c r="Q11609">
        <v>6</v>
      </c>
      <c r="R11609" t="s">
        <v>47438</v>
      </c>
      <c r="S11609" t="s">
        <v>47815</v>
      </c>
      <c r="T11609" t="s">
        <v>49398</v>
      </c>
      <c r="U11609" t="s">
        <v>59190</v>
      </c>
      <c r="V11609" t="s">
        <v>63899</v>
      </c>
      <c r="W11609" t="s">
        <v>46739</v>
      </c>
      <c r="X11609" t="s">
        <v>47439</v>
      </c>
    </row>
    <row r="11610" spans="1:24">
      <c r="A11610">
        <f>HYPERLINK("https://www.philgeps.gov.ph/GEPSNONPILOT/Tender/SplashBidNoticeAbstractUI.aspx?menuIndex=3&amp;refID=7142569&amp;Result=3","7142569")</f>
        <v>0</v>
      </c>
      <c r="B11610" t="s">
        <v>1649</v>
      </c>
      <c r="C11610" t="s">
        <v>14833</v>
      </c>
      <c r="D11610" t="s">
        <v>19018</v>
      </c>
      <c r="E11610" t="s">
        <v>29025</v>
      </c>
      <c r="F11610" t="s">
        <v>32831</v>
      </c>
      <c r="G11610" t="s">
        <v>32839</v>
      </c>
      <c r="H11610" t="s">
        <v>32848</v>
      </c>
      <c r="I11610" t="s">
        <v>10888</v>
      </c>
      <c r="J11610" t="s">
        <v>40106</v>
      </c>
      <c r="K11610" t="s">
        <v>42732</v>
      </c>
      <c r="M11610" t="s">
        <v>46118</v>
      </c>
      <c r="N11610" t="s">
        <v>47424</v>
      </c>
      <c r="O11610" t="s">
        <v>47425</v>
      </c>
      <c r="Q11610">
        <v>11</v>
      </c>
      <c r="R11610" t="s">
        <v>47438</v>
      </c>
      <c r="S11610" t="s">
        <v>47776</v>
      </c>
      <c r="T11610" t="s">
        <v>49470</v>
      </c>
      <c r="U11610" t="s">
        <v>59191</v>
      </c>
      <c r="W11610" t="s">
        <v>46118</v>
      </c>
      <c r="X11610" t="s">
        <v>47439</v>
      </c>
    </row>
    <row r="11611" spans="1:24">
      <c r="A11611">
        <f>HYPERLINK("https://www.philgeps.gov.ph/GEPSNONPILOT/Tender/SplashBidNoticeAbstractUI.aspx?menuIndex=3&amp;refID=7142341&amp;Result=3","7142341")</f>
        <v>0</v>
      </c>
      <c r="B11611" t="s">
        <v>49</v>
      </c>
      <c r="C11611" t="s">
        <v>14834</v>
      </c>
      <c r="D11611" t="s">
        <v>19037</v>
      </c>
      <c r="E11611" t="s">
        <v>29026</v>
      </c>
      <c r="F11611" t="s">
        <v>32831</v>
      </c>
      <c r="G11611" t="s">
        <v>32839</v>
      </c>
      <c r="H11611" t="s">
        <v>32848</v>
      </c>
      <c r="I11611" t="s">
        <v>10805</v>
      </c>
      <c r="J11611" t="s">
        <v>40107</v>
      </c>
      <c r="K11611" t="s">
        <v>42750</v>
      </c>
      <c r="M11611" t="s">
        <v>45033</v>
      </c>
      <c r="N11611" t="s">
        <v>47424</v>
      </c>
      <c r="O11611" t="s">
        <v>47425</v>
      </c>
      <c r="P11611">
        <v>0</v>
      </c>
      <c r="Q11611">
        <v>3</v>
      </c>
      <c r="R11611" t="s">
        <v>47438</v>
      </c>
      <c r="S11611" t="s">
        <v>47793</v>
      </c>
      <c r="T11611" t="s">
        <v>49319</v>
      </c>
      <c r="U11611" t="s">
        <v>59192</v>
      </c>
      <c r="V11611" t="s">
        <v>62630</v>
      </c>
      <c r="W11611" t="s">
        <v>45033</v>
      </c>
      <c r="X11611" t="s">
        <v>47439</v>
      </c>
    </row>
    <row r="11612" spans="1:24">
      <c r="A11612">
        <f>HYPERLINK("https://www.philgeps.gov.ph/GEPSNONPILOT/Tender/SplashBidNoticeAbstractUI.aspx?menuIndex=3&amp;refID=7143115&amp;Result=3","7143115")</f>
        <v>0</v>
      </c>
      <c r="B11612" t="s">
        <v>2457</v>
      </c>
      <c r="C11612" t="s">
        <v>14835</v>
      </c>
      <c r="D11612" t="s">
        <v>19049</v>
      </c>
      <c r="E11612" t="s">
        <v>29027</v>
      </c>
      <c r="F11612" t="s">
        <v>32831</v>
      </c>
      <c r="G11612" t="s">
        <v>32839</v>
      </c>
      <c r="H11612" t="s">
        <v>32848</v>
      </c>
      <c r="I11612" t="s">
        <v>7416</v>
      </c>
      <c r="J11612" t="s">
        <v>33133</v>
      </c>
      <c r="K11612" t="s">
        <v>42730</v>
      </c>
      <c r="M11612" t="s">
        <v>45655</v>
      </c>
      <c r="N11612" t="s">
        <v>47424</v>
      </c>
      <c r="O11612" t="s">
        <v>47425</v>
      </c>
      <c r="P11612">
        <v>0</v>
      </c>
      <c r="Q11612">
        <v>0</v>
      </c>
      <c r="R11612" t="s">
        <v>47438</v>
      </c>
      <c r="S11612" t="s">
        <v>47793</v>
      </c>
      <c r="T11612" t="s">
        <v>49218</v>
      </c>
      <c r="U11612" t="s">
        <v>55526</v>
      </c>
      <c r="V11612" t="s">
        <v>63908</v>
      </c>
      <c r="W11612" t="s">
        <v>45655</v>
      </c>
      <c r="X11612" t="s">
        <v>47439</v>
      </c>
    </row>
    <row r="11613" spans="1:24">
      <c r="A11613">
        <f>HYPERLINK("https://www.philgeps.gov.ph/GEPSNONPILOT/Tender/SplashBidNoticeAbstractUI.aspx?menuIndex=3&amp;refID=7143102&amp;Result=3","7143102")</f>
        <v>0</v>
      </c>
      <c r="B11613" t="s">
        <v>1334</v>
      </c>
      <c r="C11613" t="s">
        <v>14836</v>
      </c>
      <c r="D11613" t="s">
        <v>19077</v>
      </c>
      <c r="E11613" t="s">
        <v>29028</v>
      </c>
      <c r="F11613" t="s">
        <v>32831</v>
      </c>
      <c r="G11613" t="s">
        <v>32839</v>
      </c>
      <c r="H11613" t="s">
        <v>32848</v>
      </c>
      <c r="I11613" t="s">
        <v>7416</v>
      </c>
      <c r="J11613" t="s">
        <v>40077</v>
      </c>
      <c r="K11613" t="s">
        <v>42732</v>
      </c>
      <c r="M11613" t="s">
        <v>44406</v>
      </c>
      <c r="N11613" t="s">
        <v>47424</v>
      </c>
      <c r="O11613" t="s">
        <v>47425</v>
      </c>
      <c r="P11613">
        <v>0</v>
      </c>
      <c r="Q11613">
        <v>0</v>
      </c>
      <c r="R11613" t="s">
        <v>47438</v>
      </c>
      <c r="S11613" t="s">
        <v>47793</v>
      </c>
      <c r="T11613" t="s">
        <v>49163</v>
      </c>
      <c r="U11613" t="s">
        <v>59148</v>
      </c>
      <c r="W11613" t="s">
        <v>44406</v>
      </c>
      <c r="X11613" t="s">
        <v>47439</v>
      </c>
    </row>
    <row r="11614" spans="1:24">
      <c r="A11614">
        <f>HYPERLINK("https://www.philgeps.gov.ph/GEPSNONPILOT/Tender/SplashBidNoticeAbstractUI.aspx?menuIndex=3&amp;refID=7142361&amp;Result=3","7142361")</f>
        <v>0</v>
      </c>
      <c r="B11614" t="s">
        <v>850</v>
      </c>
      <c r="C11614" t="s">
        <v>14837</v>
      </c>
      <c r="D11614" t="s">
        <v>19080</v>
      </c>
      <c r="E11614" t="s">
        <v>29029</v>
      </c>
      <c r="F11614" t="s">
        <v>32831</v>
      </c>
      <c r="G11614" t="s">
        <v>32839</v>
      </c>
      <c r="H11614" t="s">
        <v>32849</v>
      </c>
      <c r="I11614" t="s">
        <v>4177</v>
      </c>
      <c r="J11614" t="s">
        <v>32985</v>
      </c>
      <c r="K11614" t="s">
        <v>42730</v>
      </c>
      <c r="M11614" t="s">
        <v>43883</v>
      </c>
      <c r="N11614" t="s">
        <v>47424</v>
      </c>
      <c r="O11614" t="s">
        <v>47425</v>
      </c>
      <c r="P11614">
        <v>0</v>
      </c>
      <c r="Q11614">
        <v>0</v>
      </c>
      <c r="R11614" t="s">
        <v>47438</v>
      </c>
      <c r="S11614" t="s">
        <v>47793</v>
      </c>
      <c r="T11614" t="s">
        <v>49056</v>
      </c>
      <c r="U11614" t="s">
        <v>59193</v>
      </c>
      <c r="W11614" t="s">
        <v>43883</v>
      </c>
      <c r="X11614" t="s">
        <v>47439</v>
      </c>
    </row>
    <row r="11615" spans="1:24">
      <c r="A11615">
        <f>HYPERLINK("https://www.philgeps.gov.ph/GEPSNONPILOT/Tender/SplashBidNoticeAbstractUI.aspx?menuIndex=3&amp;refID=7143098&amp;Result=3","7143098")</f>
        <v>0</v>
      </c>
      <c r="B11615" t="s">
        <v>3431</v>
      </c>
      <c r="C11615" t="s">
        <v>14838</v>
      </c>
      <c r="D11615" t="s">
        <v>19034</v>
      </c>
      <c r="E11615" t="s">
        <v>29030</v>
      </c>
      <c r="F11615" t="s">
        <v>32831</v>
      </c>
      <c r="G11615" t="s">
        <v>32839</v>
      </c>
      <c r="H11615" t="s">
        <v>32848</v>
      </c>
      <c r="I11615" t="s">
        <v>7416</v>
      </c>
      <c r="J11615" t="s">
        <v>40108</v>
      </c>
      <c r="K11615" t="s">
        <v>42727</v>
      </c>
      <c r="M11615" t="s">
        <v>46766</v>
      </c>
      <c r="N11615" t="s">
        <v>47424</v>
      </c>
      <c r="O11615" t="s">
        <v>47425</v>
      </c>
      <c r="P11615">
        <v>0</v>
      </c>
      <c r="Q11615">
        <v>0</v>
      </c>
      <c r="R11615" t="s">
        <v>47438</v>
      </c>
      <c r="S11615" t="s">
        <v>47793</v>
      </c>
      <c r="T11615" t="s">
        <v>49237</v>
      </c>
      <c r="U11615" t="s">
        <v>59194</v>
      </c>
      <c r="W11615" t="s">
        <v>46766</v>
      </c>
      <c r="X11615" t="s">
        <v>47439</v>
      </c>
    </row>
    <row r="11616" spans="1:24">
      <c r="A11616">
        <f>HYPERLINK("https://www.philgeps.gov.ph/GEPSNONPILOT/Tender/SplashBidNoticeAbstractUI.aspx?menuIndex=3&amp;refID=7143088&amp;Result=3","7143088")</f>
        <v>0</v>
      </c>
      <c r="B11616" t="s">
        <v>1900</v>
      </c>
      <c r="C11616" t="s">
        <v>14839</v>
      </c>
      <c r="D11616" t="s">
        <v>19038</v>
      </c>
      <c r="E11616" t="s">
        <v>22929</v>
      </c>
      <c r="F11616" t="s">
        <v>32831</v>
      </c>
      <c r="G11616" t="s">
        <v>32839</v>
      </c>
      <c r="H11616" t="s">
        <v>32849</v>
      </c>
      <c r="I11616" t="s">
        <v>4177</v>
      </c>
      <c r="J11616" t="s">
        <v>33118</v>
      </c>
      <c r="K11616" t="s">
        <v>42729</v>
      </c>
      <c r="M11616" t="s">
        <v>45048</v>
      </c>
      <c r="N11616" t="s">
        <v>47424</v>
      </c>
      <c r="O11616" t="s">
        <v>47425</v>
      </c>
      <c r="P11616">
        <v>0</v>
      </c>
      <c r="Q11616">
        <v>0</v>
      </c>
      <c r="R11616" t="s">
        <v>47438</v>
      </c>
      <c r="S11616" t="s">
        <v>47793</v>
      </c>
      <c r="T11616" t="s">
        <v>49254</v>
      </c>
      <c r="U11616" t="s">
        <v>59195</v>
      </c>
      <c r="W11616" t="s">
        <v>45048</v>
      </c>
      <c r="X11616" t="s">
        <v>47439</v>
      </c>
    </row>
    <row r="11617" spans="1:24">
      <c r="A11617">
        <f>HYPERLINK("https://www.philgeps.gov.ph/GEPSNONPILOT/Tender/SplashBidNoticeAbstractUI.aspx?menuIndex=3&amp;refID=7142965&amp;Result=3","7142965")</f>
        <v>0</v>
      </c>
      <c r="B11617" t="s">
        <v>1254</v>
      </c>
      <c r="C11617" t="s">
        <v>14840</v>
      </c>
      <c r="D11617" t="s">
        <v>19041</v>
      </c>
      <c r="E11617" t="s">
        <v>19665</v>
      </c>
      <c r="F11617" t="s">
        <v>32831</v>
      </c>
      <c r="G11617" t="s">
        <v>32839</v>
      </c>
      <c r="H11617" t="s">
        <v>32849</v>
      </c>
      <c r="I11617" t="s">
        <v>4177</v>
      </c>
      <c r="J11617" t="s">
        <v>32978</v>
      </c>
      <c r="K11617" t="s">
        <v>42765</v>
      </c>
      <c r="M11617" t="s">
        <v>44324</v>
      </c>
      <c r="N11617" t="s">
        <v>47424</v>
      </c>
      <c r="O11617" t="s">
        <v>47425</v>
      </c>
      <c r="P11617">
        <v>0</v>
      </c>
      <c r="Q11617">
        <v>0</v>
      </c>
      <c r="R11617" t="s">
        <v>47438</v>
      </c>
      <c r="S11617" t="s">
        <v>47793</v>
      </c>
      <c r="T11617" t="s">
        <v>49172</v>
      </c>
      <c r="U11617" t="s">
        <v>59196</v>
      </c>
      <c r="V11617" t="s">
        <v>62941</v>
      </c>
      <c r="W11617" t="s">
        <v>44324</v>
      </c>
      <c r="X11617" t="s">
        <v>47439</v>
      </c>
    </row>
    <row r="11618" spans="1:24">
      <c r="A11618">
        <f>HYPERLINK("https://www.philgeps.gov.ph/GEPSNONPILOT/Tender/SplashBidNoticeAbstractUI.aspx?menuIndex=3&amp;refID=7143084&amp;Result=3","7143084")</f>
        <v>0</v>
      </c>
      <c r="B11618" t="s">
        <v>2388</v>
      </c>
      <c r="C11618" t="s">
        <v>14841</v>
      </c>
      <c r="D11618" t="s">
        <v>19075</v>
      </c>
      <c r="E11618" t="s">
        <v>29031</v>
      </c>
      <c r="F11618" t="s">
        <v>32831</v>
      </c>
      <c r="G11618" t="s">
        <v>32839</v>
      </c>
      <c r="H11618" t="s">
        <v>32849</v>
      </c>
      <c r="I11618" t="s">
        <v>4177</v>
      </c>
      <c r="J11618" t="s">
        <v>40109</v>
      </c>
      <c r="K11618" t="s">
        <v>42732</v>
      </c>
      <c r="M11618" t="s">
        <v>45579</v>
      </c>
      <c r="N11618" t="s">
        <v>47424</v>
      </c>
      <c r="O11618" t="s">
        <v>47425</v>
      </c>
      <c r="P11618">
        <v>0</v>
      </c>
      <c r="Q11618">
        <v>1</v>
      </c>
      <c r="R11618" t="s">
        <v>47438</v>
      </c>
      <c r="S11618" t="s">
        <v>47793</v>
      </c>
      <c r="T11618" t="s">
        <v>49080</v>
      </c>
      <c r="U11618" t="s">
        <v>59197</v>
      </c>
      <c r="W11618" t="s">
        <v>64507</v>
      </c>
      <c r="X11618" t="s">
        <v>47439</v>
      </c>
    </row>
    <row r="11619" spans="1:24">
      <c r="A11619">
        <f>HYPERLINK("https://www.philgeps.gov.ph/GEPSNONPILOT/Tender/SplashBidNoticeAbstractUI.aspx?menuIndex=3&amp;refID=7142349&amp;Result=3","7142349")</f>
        <v>0</v>
      </c>
      <c r="B11619" t="s">
        <v>3432</v>
      </c>
      <c r="C11619" t="s">
        <v>14842</v>
      </c>
      <c r="D11619" t="s">
        <v>19052</v>
      </c>
      <c r="E11619" t="s">
        <v>29032</v>
      </c>
      <c r="F11619" t="s">
        <v>32831</v>
      </c>
      <c r="G11619" t="s">
        <v>32839</v>
      </c>
      <c r="H11619" t="s">
        <v>32848</v>
      </c>
      <c r="I11619" t="s">
        <v>32905</v>
      </c>
      <c r="J11619" t="s">
        <v>40110</v>
      </c>
      <c r="K11619" t="s">
        <v>42732</v>
      </c>
      <c r="M11619" t="s">
        <v>46767</v>
      </c>
      <c r="N11619" t="s">
        <v>47424</v>
      </c>
      <c r="O11619" t="s">
        <v>47425</v>
      </c>
      <c r="P11619">
        <v>0</v>
      </c>
      <c r="Q11619">
        <v>2</v>
      </c>
      <c r="R11619" t="s">
        <v>47438</v>
      </c>
      <c r="S11619" t="s">
        <v>47793</v>
      </c>
      <c r="T11619" t="s">
        <v>49196</v>
      </c>
      <c r="U11619" t="s">
        <v>59198</v>
      </c>
      <c r="W11619" t="s">
        <v>46767</v>
      </c>
      <c r="X11619" t="s">
        <v>47439</v>
      </c>
    </row>
    <row r="11620" spans="1:24">
      <c r="A11620">
        <f>HYPERLINK("https://www.philgeps.gov.ph/GEPSNONPILOT/Tender/SplashBidNoticeAbstractUI.aspx?menuIndex=3&amp;refID=7142264&amp;Result=3","7142264")</f>
        <v>0</v>
      </c>
      <c r="B11620" t="s">
        <v>3414</v>
      </c>
      <c r="C11620" t="s">
        <v>14843</v>
      </c>
      <c r="D11620" t="s">
        <v>19039</v>
      </c>
      <c r="E11620" t="s">
        <v>29033</v>
      </c>
      <c r="F11620" t="s">
        <v>32831</v>
      </c>
      <c r="G11620" t="s">
        <v>32839</v>
      </c>
      <c r="H11620" t="s">
        <v>32848</v>
      </c>
      <c r="I11620" t="s">
        <v>32905</v>
      </c>
      <c r="J11620" t="s">
        <v>33257</v>
      </c>
      <c r="K11620" t="s">
        <v>42747</v>
      </c>
      <c r="M11620" t="s">
        <v>46748</v>
      </c>
      <c r="N11620" t="s">
        <v>47424</v>
      </c>
      <c r="O11620" t="s">
        <v>47425</v>
      </c>
      <c r="P11620">
        <v>0</v>
      </c>
      <c r="Q11620">
        <v>1</v>
      </c>
      <c r="R11620" t="s">
        <v>47438</v>
      </c>
      <c r="S11620" t="s">
        <v>47793</v>
      </c>
      <c r="T11620" t="s">
        <v>49073</v>
      </c>
      <c r="U11620" t="s">
        <v>59199</v>
      </c>
      <c r="V11620" t="s">
        <v>63909</v>
      </c>
      <c r="W11620" t="s">
        <v>46748</v>
      </c>
      <c r="X11620" t="s">
        <v>47439</v>
      </c>
    </row>
    <row r="11621" spans="1:24">
      <c r="A11621">
        <f>HYPERLINK("https://www.philgeps.gov.ph/GEPSNONPILOT/Tender/SplashBidNoticeAbstractUI.aspx?menuIndex=3&amp;refID=7142506&amp;Result=3","7142506")</f>
        <v>0</v>
      </c>
      <c r="B11621" t="s">
        <v>3411</v>
      </c>
      <c r="C11621" t="s">
        <v>14844</v>
      </c>
      <c r="D11621" t="s">
        <v>19023</v>
      </c>
      <c r="E11621" t="s">
        <v>29034</v>
      </c>
      <c r="F11621" t="s">
        <v>32831</v>
      </c>
      <c r="G11621" t="s">
        <v>32839</v>
      </c>
      <c r="H11621" t="s">
        <v>32849</v>
      </c>
      <c r="I11621" t="s">
        <v>4177</v>
      </c>
      <c r="J11621" t="s">
        <v>40111</v>
      </c>
      <c r="K11621" t="s">
        <v>42727</v>
      </c>
      <c r="M11621" t="s">
        <v>46745</v>
      </c>
      <c r="N11621" t="s">
        <v>47424</v>
      </c>
      <c r="O11621" t="s">
        <v>47425</v>
      </c>
      <c r="P11621">
        <v>0</v>
      </c>
      <c r="Q11621">
        <v>1</v>
      </c>
      <c r="R11621" t="s">
        <v>47438</v>
      </c>
      <c r="S11621" t="s">
        <v>47793</v>
      </c>
      <c r="T11621" t="s">
        <v>49106</v>
      </c>
      <c r="U11621" t="s">
        <v>59200</v>
      </c>
      <c r="V11621" t="s">
        <v>63910</v>
      </c>
      <c r="W11621" t="s">
        <v>46745</v>
      </c>
      <c r="X11621" t="s">
        <v>47439</v>
      </c>
    </row>
    <row r="11622" spans="1:24">
      <c r="A11622">
        <f>HYPERLINK("https://www.philgeps.gov.ph/GEPSNONPILOT/Tender/SplashBidNoticeAbstractUI.aspx?menuIndex=3&amp;refID=7143093&amp;Result=3","7143093")</f>
        <v>0</v>
      </c>
      <c r="B11622" t="s">
        <v>2241</v>
      </c>
      <c r="C11622" t="s">
        <v>14845</v>
      </c>
      <c r="D11622" t="s">
        <v>19020</v>
      </c>
      <c r="E11622" t="s">
        <v>29035</v>
      </c>
      <c r="F11622" t="s">
        <v>32831</v>
      </c>
      <c r="G11622" t="s">
        <v>32839</v>
      </c>
      <c r="H11622" t="s">
        <v>32848</v>
      </c>
      <c r="I11622" t="s">
        <v>4558</v>
      </c>
      <c r="J11622" t="s">
        <v>40112</v>
      </c>
      <c r="K11622" t="s">
        <v>42730</v>
      </c>
      <c r="M11622" t="s">
        <v>45422</v>
      </c>
      <c r="N11622" t="s">
        <v>47424</v>
      </c>
      <c r="O11622" t="s">
        <v>47425</v>
      </c>
      <c r="Q11622">
        <v>2</v>
      </c>
      <c r="R11622" t="s">
        <v>47438</v>
      </c>
      <c r="S11622" t="s">
        <v>47816</v>
      </c>
      <c r="T11622" t="s">
        <v>49080</v>
      </c>
      <c r="U11622" t="s">
        <v>59201</v>
      </c>
      <c r="W11622" t="s">
        <v>45422</v>
      </c>
      <c r="X11622" t="s">
        <v>47439</v>
      </c>
    </row>
    <row r="11623" spans="1:24">
      <c r="A11623">
        <f>HYPERLINK("https://www.philgeps.gov.ph/GEPSNONPILOT/Tender/SplashBidNoticeAbstractUI.aspx?menuIndex=3&amp;refID=7143056&amp;Result=3","7143056")</f>
        <v>0</v>
      </c>
      <c r="B11623" t="s">
        <v>2241</v>
      </c>
      <c r="C11623" t="s">
        <v>14846</v>
      </c>
      <c r="D11623" t="s">
        <v>19020</v>
      </c>
      <c r="E11623" t="s">
        <v>29036</v>
      </c>
      <c r="F11623" t="s">
        <v>32831</v>
      </c>
      <c r="G11623" t="s">
        <v>32839</v>
      </c>
      <c r="H11623" t="s">
        <v>32848</v>
      </c>
      <c r="I11623" t="s">
        <v>32931</v>
      </c>
      <c r="J11623" t="s">
        <v>32978</v>
      </c>
      <c r="K11623" t="s">
        <v>42730</v>
      </c>
      <c r="M11623" t="s">
        <v>45422</v>
      </c>
      <c r="N11623" t="s">
        <v>47424</v>
      </c>
      <c r="O11623" t="s">
        <v>47425</v>
      </c>
      <c r="P11623">
        <v>0</v>
      </c>
      <c r="Q11623">
        <v>4</v>
      </c>
      <c r="R11623" t="s">
        <v>47438</v>
      </c>
      <c r="S11623" t="s">
        <v>47793</v>
      </c>
      <c r="T11623" t="s">
        <v>49080</v>
      </c>
      <c r="U11623" t="s">
        <v>59202</v>
      </c>
      <c r="W11623" t="s">
        <v>45422</v>
      </c>
      <c r="X11623" t="s">
        <v>47439</v>
      </c>
    </row>
    <row r="11624" spans="1:24">
      <c r="A11624">
        <f>HYPERLINK("https://www.philgeps.gov.ph/GEPSNONPILOT/Tender/SplashBidNoticeAbstractUI.aspx?menuIndex=3&amp;refID=7143073&amp;Result=3","7143073")</f>
        <v>0</v>
      </c>
      <c r="B11624" t="s">
        <v>2457</v>
      </c>
      <c r="C11624" t="s">
        <v>14847</v>
      </c>
      <c r="D11624" t="s">
        <v>19049</v>
      </c>
      <c r="E11624" t="s">
        <v>29037</v>
      </c>
      <c r="F11624" t="s">
        <v>32831</v>
      </c>
      <c r="G11624" t="s">
        <v>32839</v>
      </c>
      <c r="H11624" t="s">
        <v>32848</v>
      </c>
      <c r="I11624" t="s">
        <v>7416</v>
      </c>
      <c r="J11624" t="s">
        <v>32983</v>
      </c>
      <c r="K11624" t="s">
        <v>42730</v>
      </c>
      <c r="M11624" t="s">
        <v>45655</v>
      </c>
      <c r="N11624" t="s">
        <v>47424</v>
      </c>
      <c r="O11624" t="s">
        <v>47425</v>
      </c>
      <c r="P11624">
        <v>0</v>
      </c>
      <c r="Q11624">
        <v>0</v>
      </c>
      <c r="R11624" t="s">
        <v>47438</v>
      </c>
      <c r="S11624" t="s">
        <v>47793</v>
      </c>
      <c r="T11624" t="s">
        <v>49218</v>
      </c>
      <c r="U11624" t="s">
        <v>55526</v>
      </c>
      <c r="V11624" t="s">
        <v>63908</v>
      </c>
      <c r="W11624" t="s">
        <v>45655</v>
      </c>
      <c r="X11624" t="s">
        <v>47439</v>
      </c>
    </row>
    <row r="11625" spans="1:24">
      <c r="A11625">
        <f>HYPERLINK("https://www.philgeps.gov.ph/GEPSNONPILOT/Tender/SplashBidNoticeAbstractUI.aspx?menuIndex=3&amp;refID=7143079&amp;Result=3","7143079")</f>
        <v>0</v>
      </c>
      <c r="B11625" t="s">
        <v>174</v>
      </c>
      <c r="C11625" t="s">
        <v>14848</v>
      </c>
      <c r="D11625" t="s">
        <v>19019</v>
      </c>
      <c r="E11625" t="s">
        <v>29038</v>
      </c>
      <c r="F11625" t="s">
        <v>32831</v>
      </c>
      <c r="G11625" t="s">
        <v>32839</v>
      </c>
      <c r="H11625" t="s">
        <v>32848</v>
      </c>
      <c r="I11625" t="s">
        <v>4438</v>
      </c>
      <c r="J11625" t="s">
        <v>39186</v>
      </c>
      <c r="K11625" t="s">
        <v>42730</v>
      </c>
      <c r="M11625" t="s">
        <v>45686</v>
      </c>
      <c r="N11625" t="s">
        <v>47424</v>
      </c>
      <c r="O11625" t="s">
        <v>47425</v>
      </c>
      <c r="P11625">
        <v>0</v>
      </c>
      <c r="Q11625">
        <v>6</v>
      </c>
      <c r="R11625" t="s">
        <v>47438</v>
      </c>
      <c r="S11625" t="s">
        <v>47793</v>
      </c>
      <c r="T11625" t="s">
        <v>49310</v>
      </c>
      <c r="U11625" t="s">
        <v>59203</v>
      </c>
      <c r="W11625" t="s">
        <v>45686</v>
      </c>
      <c r="X11625" t="s">
        <v>47439</v>
      </c>
    </row>
    <row r="11626" spans="1:24">
      <c r="A11626">
        <f>HYPERLINK("https://www.philgeps.gov.ph/GEPSNONPILOT/Tender/SplashBidNoticeAbstractUI.aspx?menuIndex=3&amp;refID=7143058&amp;Result=3","7143058")</f>
        <v>0</v>
      </c>
      <c r="B11626" t="s">
        <v>1254</v>
      </c>
      <c r="C11626" t="s">
        <v>14849</v>
      </c>
      <c r="D11626" t="s">
        <v>19041</v>
      </c>
      <c r="E11626" t="s">
        <v>23482</v>
      </c>
      <c r="F11626" t="s">
        <v>32831</v>
      </c>
      <c r="G11626" t="s">
        <v>32839</v>
      </c>
      <c r="H11626" t="s">
        <v>32849</v>
      </c>
      <c r="I11626" t="s">
        <v>4177</v>
      </c>
      <c r="J11626" t="s">
        <v>33644</v>
      </c>
      <c r="K11626" t="s">
        <v>42790</v>
      </c>
      <c r="M11626" t="s">
        <v>44324</v>
      </c>
      <c r="N11626" t="s">
        <v>47424</v>
      </c>
      <c r="O11626" t="s">
        <v>47425</v>
      </c>
      <c r="P11626">
        <v>0</v>
      </c>
      <c r="Q11626">
        <v>0</v>
      </c>
      <c r="R11626" t="s">
        <v>47438</v>
      </c>
      <c r="S11626" t="s">
        <v>47793</v>
      </c>
      <c r="T11626" t="s">
        <v>49172</v>
      </c>
      <c r="U11626" t="s">
        <v>59204</v>
      </c>
      <c r="V11626" t="s">
        <v>62941</v>
      </c>
      <c r="W11626" t="s">
        <v>44324</v>
      </c>
      <c r="X11626" t="s">
        <v>47439</v>
      </c>
    </row>
    <row r="11627" spans="1:24">
      <c r="A11627">
        <f>HYPERLINK("https://www.philgeps.gov.ph/GEPSNONPILOT/Tender/SplashBidNoticeAbstractUI.aspx?menuIndex=3&amp;refID=7143078&amp;Result=3","7143078")</f>
        <v>0</v>
      </c>
      <c r="B11627" t="s">
        <v>1254</v>
      </c>
      <c r="C11627" t="s">
        <v>14850</v>
      </c>
      <c r="D11627" t="s">
        <v>19041</v>
      </c>
      <c r="E11627" t="s">
        <v>24188</v>
      </c>
      <c r="F11627" t="s">
        <v>32831</v>
      </c>
      <c r="G11627" t="s">
        <v>32839</v>
      </c>
      <c r="H11627" t="s">
        <v>32849</v>
      </c>
      <c r="I11627" t="s">
        <v>4177</v>
      </c>
      <c r="J11627" t="s">
        <v>32978</v>
      </c>
      <c r="K11627" t="s">
        <v>42787</v>
      </c>
      <c r="M11627" t="s">
        <v>44324</v>
      </c>
      <c r="N11627" t="s">
        <v>47424</v>
      </c>
      <c r="O11627" t="s">
        <v>47425</v>
      </c>
      <c r="P11627">
        <v>0</v>
      </c>
      <c r="Q11627">
        <v>0</v>
      </c>
      <c r="R11627" t="s">
        <v>47438</v>
      </c>
      <c r="S11627" t="s">
        <v>47793</v>
      </c>
      <c r="T11627" t="s">
        <v>49172</v>
      </c>
      <c r="U11627" t="s">
        <v>59205</v>
      </c>
      <c r="V11627" t="s">
        <v>62941</v>
      </c>
      <c r="W11627" t="s">
        <v>44324</v>
      </c>
      <c r="X11627" t="s">
        <v>47439</v>
      </c>
    </row>
    <row r="11628" spans="1:24">
      <c r="A11628">
        <f>HYPERLINK("https://www.philgeps.gov.ph/GEPSNONPILOT/Tender/SplashBidNoticeAbstractUI.aspx?menuIndex=3&amp;refID=7143196&amp;Result=3","7143196")</f>
        <v>0</v>
      </c>
      <c r="B11628" t="s">
        <v>2457</v>
      </c>
      <c r="C11628" t="s">
        <v>14851</v>
      </c>
      <c r="D11628" t="s">
        <v>19049</v>
      </c>
      <c r="E11628" t="s">
        <v>21211</v>
      </c>
      <c r="F11628" t="s">
        <v>32831</v>
      </c>
      <c r="G11628" t="s">
        <v>32839</v>
      </c>
      <c r="H11628" t="s">
        <v>32848</v>
      </c>
      <c r="I11628" t="s">
        <v>7416</v>
      </c>
      <c r="J11628" t="s">
        <v>40113</v>
      </c>
      <c r="K11628" t="s">
        <v>42730</v>
      </c>
      <c r="M11628" t="s">
        <v>45655</v>
      </c>
      <c r="N11628" t="s">
        <v>47424</v>
      </c>
      <c r="O11628" t="s">
        <v>47425</v>
      </c>
      <c r="P11628">
        <v>0</v>
      </c>
      <c r="Q11628">
        <v>0</v>
      </c>
      <c r="R11628" t="s">
        <v>47438</v>
      </c>
      <c r="S11628" t="s">
        <v>47793</v>
      </c>
      <c r="T11628" t="s">
        <v>49218</v>
      </c>
      <c r="U11628" t="s">
        <v>55526</v>
      </c>
      <c r="V11628" t="s">
        <v>63908</v>
      </c>
      <c r="W11628" t="s">
        <v>45655</v>
      </c>
      <c r="X11628" t="s">
        <v>47439</v>
      </c>
    </row>
    <row r="11629" spans="1:24">
      <c r="A11629">
        <f>HYPERLINK("https://www.philgeps.gov.ph/GEPSNONPILOT/Tender/SplashBidNoticeAbstractUI.aspx?menuIndex=3&amp;refID=7143187&amp;Result=3","7143187")</f>
        <v>0</v>
      </c>
      <c r="B11629" t="s">
        <v>2457</v>
      </c>
      <c r="C11629" t="s">
        <v>14852</v>
      </c>
      <c r="D11629" t="s">
        <v>19049</v>
      </c>
      <c r="E11629" t="s">
        <v>29039</v>
      </c>
      <c r="F11629" t="s">
        <v>32831</v>
      </c>
      <c r="G11629" t="s">
        <v>32839</v>
      </c>
      <c r="H11629" t="s">
        <v>32848</v>
      </c>
      <c r="I11629" t="s">
        <v>7416</v>
      </c>
      <c r="J11629" t="s">
        <v>33133</v>
      </c>
      <c r="K11629" t="s">
        <v>42730</v>
      </c>
      <c r="M11629" t="s">
        <v>45655</v>
      </c>
      <c r="N11629" t="s">
        <v>47424</v>
      </c>
      <c r="O11629" t="s">
        <v>47425</v>
      </c>
      <c r="P11629">
        <v>0</v>
      </c>
      <c r="Q11629">
        <v>0</v>
      </c>
      <c r="R11629" t="s">
        <v>47438</v>
      </c>
      <c r="S11629" t="s">
        <v>47793</v>
      </c>
      <c r="T11629" t="s">
        <v>49218</v>
      </c>
      <c r="U11629" t="s">
        <v>55526</v>
      </c>
      <c r="V11629" t="s">
        <v>63908</v>
      </c>
      <c r="W11629" t="s">
        <v>45655</v>
      </c>
      <c r="X11629" t="s">
        <v>47439</v>
      </c>
    </row>
    <row r="11630" spans="1:24">
      <c r="A11630">
        <f>HYPERLINK("https://www.philgeps.gov.ph/GEPSNONPILOT/Tender/SplashBidNoticeAbstractUI.aspx?menuIndex=3&amp;refID=7143182&amp;Result=3","7143182")</f>
        <v>0</v>
      </c>
      <c r="B11630" t="s">
        <v>3433</v>
      </c>
      <c r="C11630" t="s">
        <v>14853</v>
      </c>
      <c r="D11630" t="s">
        <v>19044</v>
      </c>
      <c r="E11630" t="s">
        <v>29040</v>
      </c>
      <c r="F11630" t="s">
        <v>32831</v>
      </c>
      <c r="G11630" t="s">
        <v>32839</v>
      </c>
      <c r="H11630" t="s">
        <v>32848</v>
      </c>
      <c r="I11630" t="s">
        <v>32861</v>
      </c>
      <c r="J11630" t="s">
        <v>33111</v>
      </c>
      <c r="K11630" t="s">
        <v>42732</v>
      </c>
      <c r="M11630" t="s">
        <v>46768</v>
      </c>
      <c r="N11630" t="s">
        <v>47424</v>
      </c>
      <c r="O11630" t="s">
        <v>47425</v>
      </c>
      <c r="Q11630">
        <v>16</v>
      </c>
      <c r="R11630" t="s">
        <v>47438</v>
      </c>
      <c r="S11630" t="s">
        <v>47817</v>
      </c>
      <c r="T11630" t="s">
        <v>49069</v>
      </c>
      <c r="U11630" t="s">
        <v>59206</v>
      </c>
      <c r="W11630" t="s">
        <v>46768</v>
      </c>
      <c r="X11630" t="s">
        <v>47439</v>
      </c>
    </row>
    <row r="11631" spans="1:24">
      <c r="A11631">
        <f>HYPERLINK("https://www.philgeps.gov.ph/GEPSNONPILOT/Tender/SplashBidNoticeAbstractUI.aspx?menuIndex=3&amp;refID=7142686&amp;Result=3","7142686")</f>
        <v>0</v>
      </c>
      <c r="B11631" t="s">
        <v>2287</v>
      </c>
      <c r="C11631" t="s">
        <v>14854</v>
      </c>
      <c r="D11631" t="s">
        <v>19033</v>
      </c>
      <c r="E11631" t="s">
        <v>23632</v>
      </c>
      <c r="F11631" t="s">
        <v>32831</v>
      </c>
      <c r="G11631" t="s">
        <v>32839</v>
      </c>
      <c r="H11631" t="s">
        <v>32849</v>
      </c>
      <c r="I11631" t="s">
        <v>4177</v>
      </c>
      <c r="J11631" t="s">
        <v>34921</v>
      </c>
      <c r="K11631" t="s">
        <v>42780</v>
      </c>
      <c r="M11631" t="s">
        <v>45471</v>
      </c>
      <c r="N11631" t="s">
        <v>47424</v>
      </c>
      <c r="O11631" t="s">
        <v>47425</v>
      </c>
      <c r="P11631">
        <v>0</v>
      </c>
      <c r="Q11631">
        <v>3</v>
      </c>
      <c r="R11631" t="s">
        <v>47438</v>
      </c>
      <c r="S11631" t="s">
        <v>47793</v>
      </c>
      <c r="T11631" t="s">
        <v>49324</v>
      </c>
      <c r="U11631" t="s">
        <v>59207</v>
      </c>
      <c r="V11631" t="s">
        <v>63334</v>
      </c>
      <c r="W11631" t="s">
        <v>45471</v>
      </c>
      <c r="X11631" t="s">
        <v>47439</v>
      </c>
    </row>
    <row r="11632" spans="1:24">
      <c r="A11632">
        <f>HYPERLINK("https://www.philgeps.gov.ph/GEPSNONPILOT/Tender/SplashBidNoticeAbstractUI.aspx?menuIndex=3&amp;refID=7143172&amp;Result=3","7143172")</f>
        <v>0</v>
      </c>
      <c r="B11632" t="s">
        <v>3433</v>
      </c>
      <c r="C11632" t="s">
        <v>14855</v>
      </c>
      <c r="D11632" t="s">
        <v>19044</v>
      </c>
      <c r="E11632" t="s">
        <v>29041</v>
      </c>
      <c r="F11632" t="s">
        <v>32831</v>
      </c>
      <c r="G11632" t="s">
        <v>32839</v>
      </c>
      <c r="H11632" t="s">
        <v>32848</v>
      </c>
      <c r="I11632" t="s">
        <v>32861</v>
      </c>
      <c r="J11632" t="s">
        <v>33528</v>
      </c>
      <c r="K11632" t="s">
        <v>42732</v>
      </c>
      <c r="M11632" t="s">
        <v>46768</v>
      </c>
      <c r="N11632" t="s">
        <v>47424</v>
      </c>
      <c r="O11632" t="s">
        <v>47425</v>
      </c>
      <c r="Q11632">
        <v>16</v>
      </c>
      <c r="R11632" t="s">
        <v>47438</v>
      </c>
      <c r="S11632" t="s">
        <v>47818</v>
      </c>
      <c r="T11632" t="s">
        <v>49069</v>
      </c>
      <c r="U11632" t="s">
        <v>59208</v>
      </c>
      <c r="W11632" t="s">
        <v>46768</v>
      </c>
      <c r="X11632" t="s">
        <v>47439</v>
      </c>
    </row>
    <row r="11633" spans="1:24">
      <c r="A11633">
        <f>HYPERLINK("https://www.philgeps.gov.ph/GEPSNONPILOT/Tender/SplashBidNoticeAbstractUI.aspx?menuIndex=3&amp;refID=7143171&amp;Result=3","7143171")</f>
        <v>0</v>
      </c>
      <c r="B11633" t="s">
        <v>2457</v>
      </c>
      <c r="C11633" t="s">
        <v>14856</v>
      </c>
      <c r="D11633" t="s">
        <v>19049</v>
      </c>
      <c r="E11633" t="s">
        <v>29042</v>
      </c>
      <c r="F11633" t="s">
        <v>32831</v>
      </c>
      <c r="G11633" t="s">
        <v>32839</v>
      </c>
      <c r="H11633" t="s">
        <v>32848</v>
      </c>
      <c r="I11633" t="s">
        <v>7416</v>
      </c>
      <c r="J11633" t="s">
        <v>32980</v>
      </c>
      <c r="K11633" t="s">
        <v>42730</v>
      </c>
      <c r="M11633" t="s">
        <v>45655</v>
      </c>
      <c r="N11633" t="s">
        <v>47424</v>
      </c>
      <c r="O11633" t="s">
        <v>47425</v>
      </c>
      <c r="P11633">
        <v>0</v>
      </c>
      <c r="Q11633">
        <v>0</v>
      </c>
      <c r="R11633" t="s">
        <v>47438</v>
      </c>
      <c r="S11633" t="s">
        <v>47793</v>
      </c>
      <c r="T11633" t="s">
        <v>49218</v>
      </c>
      <c r="U11633" t="s">
        <v>55526</v>
      </c>
      <c r="V11633" t="s">
        <v>63908</v>
      </c>
      <c r="W11633" t="s">
        <v>45655</v>
      </c>
      <c r="X11633" t="s">
        <v>47439</v>
      </c>
    </row>
    <row r="11634" spans="1:24">
      <c r="A11634">
        <f>HYPERLINK("https://www.philgeps.gov.ph/GEPSNONPILOT/Tender/SplashBidNoticeAbstractUI.aspx?menuIndex=3&amp;refID=7143203&amp;Result=3","7143203")</f>
        <v>0</v>
      </c>
      <c r="B11634" t="s">
        <v>1351</v>
      </c>
      <c r="C11634" t="s">
        <v>14857</v>
      </c>
      <c r="D11634" t="s">
        <v>19080</v>
      </c>
      <c r="E11634" t="s">
        <v>29043</v>
      </c>
      <c r="F11634" t="s">
        <v>32831</v>
      </c>
      <c r="G11634" t="s">
        <v>32839</v>
      </c>
      <c r="H11634" t="s">
        <v>32848</v>
      </c>
      <c r="I11634" t="s">
        <v>32863</v>
      </c>
      <c r="J11634" t="s">
        <v>40114</v>
      </c>
      <c r="K11634" t="s">
        <v>42729</v>
      </c>
      <c r="M11634" t="s">
        <v>44425</v>
      </c>
      <c r="N11634" t="s">
        <v>47424</v>
      </c>
      <c r="O11634" t="s">
        <v>47425</v>
      </c>
      <c r="P11634">
        <v>0</v>
      </c>
      <c r="Q11634">
        <v>1</v>
      </c>
      <c r="R11634" t="s">
        <v>47438</v>
      </c>
      <c r="S11634" t="s">
        <v>47793</v>
      </c>
      <c r="T11634" t="s">
        <v>49080</v>
      </c>
      <c r="U11634" t="s">
        <v>59209</v>
      </c>
      <c r="V11634" t="s">
        <v>63911</v>
      </c>
      <c r="W11634" t="s">
        <v>44425</v>
      </c>
      <c r="X11634" t="s">
        <v>47439</v>
      </c>
    </row>
    <row r="11635" spans="1:24">
      <c r="A11635">
        <f>HYPERLINK("https://www.philgeps.gov.ph/GEPSNONPILOT/Tender/SplashBidNoticeAbstractUI.aspx?menuIndex=3&amp;refID=7143189&amp;Result=3","7143189")</f>
        <v>0</v>
      </c>
      <c r="B11635" t="s">
        <v>2241</v>
      </c>
      <c r="C11635" t="s">
        <v>14858</v>
      </c>
      <c r="D11635" t="s">
        <v>19020</v>
      </c>
      <c r="E11635" t="s">
        <v>29044</v>
      </c>
      <c r="F11635" t="s">
        <v>32831</v>
      </c>
      <c r="G11635" t="s">
        <v>32839</v>
      </c>
      <c r="H11635" t="s">
        <v>32848</v>
      </c>
      <c r="I11635" t="s">
        <v>4438</v>
      </c>
      <c r="J11635" t="s">
        <v>40115</v>
      </c>
      <c r="K11635" t="s">
        <v>42730</v>
      </c>
      <c r="M11635" t="s">
        <v>45422</v>
      </c>
      <c r="N11635" t="s">
        <v>47424</v>
      </c>
      <c r="O11635" t="s">
        <v>47425</v>
      </c>
      <c r="Q11635">
        <v>2</v>
      </c>
      <c r="R11635" t="s">
        <v>47438</v>
      </c>
      <c r="S11635" t="s">
        <v>47819</v>
      </c>
      <c r="T11635" t="s">
        <v>49080</v>
      </c>
      <c r="U11635" t="s">
        <v>59210</v>
      </c>
      <c r="W11635" t="s">
        <v>45422</v>
      </c>
      <c r="X11635" t="s">
        <v>47439</v>
      </c>
    </row>
    <row r="11636" spans="1:24">
      <c r="A11636">
        <f>HYPERLINK("https://www.philgeps.gov.ph/GEPSNONPILOT/Tender/SplashBidNoticeAbstractUI.aspx?menuIndex=3&amp;refID=7143160&amp;Result=3","7143160")</f>
        <v>0</v>
      </c>
      <c r="B11636" t="s">
        <v>3433</v>
      </c>
      <c r="C11636" t="s">
        <v>14859</v>
      </c>
      <c r="D11636" t="s">
        <v>19044</v>
      </c>
      <c r="E11636" t="s">
        <v>29045</v>
      </c>
      <c r="F11636" t="s">
        <v>32831</v>
      </c>
      <c r="G11636" t="s">
        <v>32839</v>
      </c>
      <c r="H11636" t="s">
        <v>32848</v>
      </c>
      <c r="I11636" t="s">
        <v>32861</v>
      </c>
      <c r="J11636" t="s">
        <v>34447</v>
      </c>
      <c r="K11636" t="s">
        <v>42732</v>
      </c>
      <c r="M11636" t="s">
        <v>46768</v>
      </c>
      <c r="N11636" t="s">
        <v>47424</v>
      </c>
      <c r="O11636" t="s">
        <v>47425</v>
      </c>
      <c r="Q11636">
        <v>16</v>
      </c>
      <c r="R11636" t="s">
        <v>47438</v>
      </c>
      <c r="S11636" t="s">
        <v>47820</v>
      </c>
      <c r="T11636" t="s">
        <v>49069</v>
      </c>
      <c r="U11636" t="s">
        <v>59211</v>
      </c>
      <c r="W11636" t="s">
        <v>46768</v>
      </c>
      <c r="X11636" t="s">
        <v>47439</v>
      </c>
    </row>
    <row r="11637" spans="1:24">
      <c r="A11637">
        <f>HYPERLINK("https://www.philgeps.gov.ph/GEPSNONPILOT/Tender/SplashBidNoticeAbstractUI.aspx?menuIndex=3&amp;refID=7143155&amp;Result=3","7143155")</f>
        <v>0</v>
      </c>
      <c r="B11637" t="s">
        <v>1654</v>
      </c>
      <c r="C11637" t="s">
        <v>14860</v>
      </c>
      <c r="D11637" t="s">
        <v>19058</v>
      </c>
      <c r="E11637" t="s">
        <v>29046</v>
      </c>
      <c r="F11637" t="s">
        <v>32831</v>
      </c>
      <c r="G11637" t="s">
        <v>32839</v>
      </c>
      <c r="H11637" t="s">
        <v>32848</v>
      </c>
      <c r="I11637" t="s">
        <v>7416</v>
      </c>
      <c r="J11637" t="s">
        <v>40116</v>
      </c>
      <c r="K11637" t="s">
        <v>42730</v>
      </c>
      <c r="M11637" t="s">
        <v>44771</v>
      </c>
      <c r="N11637" t="s">
        <v>47424</v>
      </c>
      <c r="O11637" t="s">
        <v>47425</v>
      </c>
      <c r="P11637">
        <v>0</v>
      </c>
      <c r="Q11637">
        <v>0</v>
      </c>
      <c r="R11637" t="s">
        <v>47438</v>
      </c>
      <c r="S11637" t="s">
        <v>47793</v>
      </c>
      <c r="T11637" t="s">
        <v>49160</v>
      </c>
      <c r="U11637" t="s">
        <v>59212</v>
      </c>
      <c r="W11637" t="s">
        <v>44771</v>
      </c>
      <c r="X11637" t="s">
        <v>47439</v>
      </c>
    </row>
    <row r="11638" spans="1:24">
      <c r="A11638">
        <f>HYPERLINK("https://www.philgeps.gov.ph/GEPSNONPILOT/Tender/SplashBidNoticeAbstractUI.aspx?menuIndex=3&amp;refID=7143074&amp;Result=3","7143074")</f>
        <v>0</v>
      </c>
      <c r="B11638" t="s">
        <v>1484</v>
      </c>
      <c r="C11638" t="s">
        <v>14861</v>
      </c>
      <c r="D11638" t="s">
        <v>19031</v>
      </c>
      <c r="E11638" t="s">
        <v>29047</v>
      </c>
      <c r="F11638" t="s">
        <v>32831</v>
      </c>
      <c r="G11638" t="s">
        <v>32839</v>
      </c>
      <c r="H11638" t="s">
        <v>32848</v>
      </c>
      <c r="I11638" t="s">
        <v>9577</v>
      </c>
      <c r="J11638" t="s">
        <v>40117</v>
      </c>
      <c r="K11638" t="s">
        <v>42727</v>
      </c>
      <c r="M11638" t="s">
        <v>44578</v>
      </c>
      <c r="N11638" t="s">
        <v>47424</v>
      </c>
      <c r="O11638" t="s">
        <v>47425</v>
      </c>
      <c r="P11638">
        <v>0</v>
      </c>
      <c r="Q11638">
        <v>6</v>
      </c>
      <c r="R11638" t="s">
        <v>47438</v>
      </c>
      <c r="S11638" t="s">
        <v>47793</v>
      </c>
      <c r="T11638" t="s">
        <v>49080</v>
      </c>
      <c r="U11638" t="s">
        <v>51307</v>
      </c>
      <c r="W11638" t="s">
        <v>44578</v>
      </c>
      <c r="X11638" t="s">
        <v>47439</v>
      </c>
    </row>
    <row r="11639" spans="1:24">
      <c r="A11639">
        <f>HYPERLINK("https://www.philgeps.gov.ph/GEPSNONPILOT/Tender/SplashBidNoticeAbstractUI.aspx?menuIndex=3&amp;refID=7143081&amp;Result=3","7143081")</f>
        <v>0</v>
      </c>
      <c r="B11639" t="s">
        <v>3434</v>
      </c>
      <c r="C11639" t="s">
        <v>14862</v>
      </c>
      <c r="D11639" t="s">
        <v>19032</v>
      </c>
      <c r="E11639" t="s">
        <v>29048</v>
      </c>
      <c r="F11639" t="s">
        <v>32831</v>
      </c>
      <c r="G11639" t="s">
        <v>32839</v>
      </c>
      <c r="H11639" t="s">
        <v>32849</v>
      </c>
      <c r="I11639" t="s">
        <v>4177</v>
      </c>
      <c r="J11639" t="s">
        <v>40118</v>
      </c>
      <c r="K11639" t="s">
        <v>42727</v>
      </c>
      <c r="M11639" t="s">
        <v>46769</v>
      </c>
      <c r="N11639" t="s">
        <v>47424</v>
      </c>
      <c r="O11639" t="s">
        <v>47425</v>
      </c>
      <c r="P11639">
        <v>0</v>
      </c>
      <c r="Q11639">
        <v>0</v>
      </c>
      <c r="R11639" t="s">
        <v>47438</v>
      </c>
      <c r="S11639" t="s">
        <v>47793</v>
      </c>
      <c r="T11639" t="s">
        <v>49470</v>
      </c>
      <c r="U11639" t="s">
        <v>59213</v>
      </c>
      <c r="W11639" t="s">
        <v>46769</v>
      </c>
      <c r="X11639" t="s">
        <v>47439</v>
      </c>
    </row>
    <row r="11640" spans="1:24">
      <c r="A11640">
        <f>HYPERLINK("https://www.philgeps.gov.ph/GEPSNONPILOT/Tender/SplashBidNoticeAbstractUI.aspx?menuIndex=3&amp;refID=7143170&amp;Result=3","7143170")</f>
        <v>0</v>
      </c>
      <c r="B11640" t="s">
        <v>1334</v>
      </c>
      <c r="C11640" t="s">
        <v>14863</v>
      </c>
      <c r="D11640" t="s">
        <v>19077</v>
      </c>
      <c r="E11640" t="s">
        <v>29049</v>
      </c>
      <c r="F11640" t="s">
        <v>32831</v>
      </c>
      <c r="G11640" t="s">
        <v>32839</v>
      </c>
      <c r="H11640" t="s">
        <v>32848</v>
      </c>
      <c r="I11640" t="s">
        <v>7416</v>
      </c>
      <c r="J11640" t="s">
        <v>33098</v>
      </c>
      <c r="K11640" t="s">
        <v>42732</v>
      </c>
      <c r="M11640" t="s">
        <v>44406</v>
      </c>
      <c r="N11640" t="s">
        <v>47424</v>
      </c>
      <c r="O11640" t="s">
        <v>47425</v>
      </c>
      <c r="P11640">
        <v>0</v>
      </c>
      <c r="Q11640">
        <v>0</v>
      </c>
      <c r="R11640" t="s">
        <v>47438</v>
      </c>
      <c r="S11640" t="s">
        <v>47793</v>
      </c>
      <c r="T11640" t="s">
        <v>49163</v>
      </c>
      <c r="U11640" t="s">
        <v>59214</v>
      </c>
      <c r="W11640" t="s">
        <v>44406</v>
      </c>
      <c r="X11640" t="s">
        <v>47439</v>
      </c>
    </row>
    <row r="11641" spans="1:24">
      <c r="A11641">
        <f>HYPERLINK("https://www.philgeps.gov.ph/GEPSNONPILOT/Tender/SplashBidNoticeAbstractUI.aspx?menuIndex=3&amp;refID=7143138&amp;Result=3","7143138")</f>
        <v>0</v>
      </c>
      <c r="B11641" t="s">
        <v>2089</v>
      </c>
      <c r="C11641" t="s">
        <v>14864</v>
      </c>
      <c r="E11641" t="s">
        <v>29050</v>
      </c>
      <c r="F11641" t="s">
        <v>32831</v>
      </c>
      <c r="G11641" t="s">
        <v>32839</v>
      </c>
      <c r="H11641" t="s">
        <v>32848</v>
      </c>
      <c r="I11641" t="s">
        <v>32863</v>
      </c>
      <c r="J11641" t="s">
        <v>35553</v>
      </c>
      <c r="K11641" t="s">
        <v>42732</v>
      </c>
      <c r="M11641" t="s">
        <v>46770</v>
      </c>
      <c r="N11641" t="s">
        <v>47424</v>
      </c>
      <c r="O11641" t="s">
        <v>47425</v>
      </c>
      <c r="P11641">
        <v>0</v>
      </c>
      <c r="Q11641">
        <v>2</v>
      </c>
      <c r="R11641" t="s">
        <v>47438</v>
      </c>
      <c r="S11641" t="s">
        <v>47793</v>
      </c>
      <c r="T11641" t="s">
        <v>49199</v>
      </c>
      <c r="U11641" t="s">
        <v>59215</v>
      </c>
      <c r="W11641" t="s">
        <v>46770</v>
      </c>
      <c r="X11641" t="s">
        <v>47439</v>
      </c>
    </row>
    <row r="11642" spans="1:24">
      <c r="A11642">
        <f>HYPERLINK("https://www.philgeps.gov.ph/GEPSNONPILOT/Tender/SplashBidNoticeAbstractUI.aspx?menuIndex=3&amp;refID=7143137&amp;Result=3","7143137")</f>
        <v>0</v>
      </c>
      <c r="B11642" t="s">
        <v>1654</v>
      </c>
      <c r="C11642" t="s">
        <v>14865</v>
      </c>
      <c r="D11642" t="s">
        <v>19058</v>
      </c>
      <c r="E11642" t="s">
        <v>29051</v>
      </c>
      <c r="F11642" t="s">
        <v>32831</v>
      </c>
      <c r="G11642" t="s">
        <v>32839</v>
      </c>
      <c r="H11642" t="s">
        <v>32849</v>
      </c>
      <c r="I11642" t="s">
        <v>4177</v>
      </c>
      <c r="J11642" t="s">
        <v>40119</v>
      </c>
      <c r="K11642" t="s">
        <v>42746</v>
      </c>
      <c r="M11642" t="s">
        <v>44771</v>
      </c>
      <c r="N11642" t="s">
        <v>47424</v>
      </c>
      <c r="O11642" t="s">
        <v>47425</v>
      </c>
      <c r="P11642">
        <v>0</v>
      </c>
      <c r="Q11642">
        <v>0</v>
      </c>
      <c r="R11642" t="s">
        <v>47438</v>
      </c>
      <c r="S11642" t="s">
        <v>47793</v>
      </c>
      <c r="T11642" t="s">
        <v>49160</v>
      </c>
      <c r="U11642" t="s">
        <v>59216</v>
      </c>
      <c r="W11642" t="s">
        <v>44771</v>
      </c>
      <c r="X11642" t="s">
        <v>47439</v>
      </c>
    </row>
    <row r="11643" spans="1:24">
      <c r="A11643">
        <f>HYPERLINK("https://www.philgeps.gov.ph/GEPSNONPILOT/Tender/SplashBidNoticeAbstractUI.aspx?menuIndex=3&amp;refID=7143133&amp;Result=3","7143133")</f>
        <v>0</v>
      </c>
      <c r="B11643" t="s">
        <v>1334</v>
      </c>
      <c r="C11643" t="s">
        <v>14866</v>
      </c>
      <c r="D11643" t="s">
        <v>19077</v>
      </c>
      <c r="E11643" t="s">
        <v>29052</v>
      </c>
      <c r="F11643" t="s">
        <v>32831</v>
      </c>
      <c r="G11643" t="s">
        <v>32839</v>
      </c>
      <c r="H11643" t="s">
        <v>32848</v>
      </c>
      <c r="I11643" t="s">
        <v>7416</v>
      </c>
      <c r="J11643" t="s">
        <v>40077</v>
      </c>
      <c r="K11643" t="s">
        <v>42732</v>
      </c>
      <c r="M11643" t="s">
        <v>44406</v>
      </c>
      <c r="N11643" t="s">
        <v>47424</v>
      </c>
      <c r="O11643" t="s">
        <v>47425</v>
      </c>
      <c r="P11643">
        <v>0</v>
      </c>
      <c r="Q11643">
        <v>0</v>
      </c>
      <c r="R11643" t="s">
        <v>47438</v>
      </c>
      <c r="S11643" t="s">
        <v>47793</v>
      </c>
      <c r="T11643" t="s">
        <v>49163</v>
      </c>
      <c r="U11643" t="s">
        <v>59148</v>
      </c>
      <c r="W11643" t="s">
        <v>44406</v>
      </c>
      <c r="X11643" t="s">
        <v>47439</v>
      </c>
    </row>
    <row r="11644" spans="1:24">
      <c r="A11644">
        <f>HYPERLINK("https://www.philgeps.gov.ph/GEPSNONPILOT/Tender/SplashBidNoticeAbstractUI.aspx?menuIndex=3&amp;refID=7143125&amp;Result=3","7143125")</f>
        <v>0</v>
      </c>
      <c r="B11644" t="s">
        <v>3434</v>
      </c>
      <c r="C11644" t="s">
        <v>14867</v>
      </c>
      <c r="D11644" t="s">
        <v>19032</v>
      </c>
      <c r="E11644" t="s">
        <v>29053</v>
      </c>
      <c r="F11644" t="s">
        <v>32831</v>
      </c>
      <c r="G11644" t="s">
        <v>32839</v>
      </c>
      <c r="H11644" t="s">
        <v>32849</v>
      </c>
      <c r="I11644" t="s">
        <v>4177</v>
      </c>
      <c r="J11644" t="s">
        <v>40120</v>
      </c>
      <c r="K11644" t="s">
        <v>42729</v>
      </c>
      <c r="M11644" t="s">
        <v>46769</v>
      </c>
      <c r="N11644" t="s">
        <v>47424</v>
      </c>
      <c r="O11644" t="s">
        <v>47425</v>
      </c>
      <c r="P11644">
        <v>0</v>
      </c>
      <c r="Q11644">
        <v>0</v>
      </c>
      <c r="R11644" t="s">
        <v>47438</v>
      </c>
      <c r="S11644" t="s">
        <v>47793</v>
      </c>
      <c r="T11644" t="s">
        <v>49470</v>
      </c>
      <c r="U11644" t="s">
        <v>59217</v>
      </c>
      <c r="W11644" t="s">
        <v>46769</v>
      </c>
      <c r="X11644" t="s">
        <v>47439</v>
      </c>
    </row>
    <row r="11645" spans="1:24">
      <c r="A11645">
        <f>HYPERLINK("https://www.philgeps.gov.ph/GEPSNONPILOT/Tender/SplashBidNoticeAbstractUI.aspx?menuIndex=3&amp;refID=7143161&amp;Result=3","7143161")</f>
        <v>0</v>
      </c>
      <c r="B11645" t="s">
        <v>1254</v>
      </c>
      <c r="C11645" t="s">
        <v>14868</v>
      </c>
      <c r="D11645" t="s">
        <v>19041</v>
      </c>
      <c r="E11645" t="s">
        <v>19984</v>
      </c>
      <c r="F11645" t="s">
        <v>32831</v>
      </c>
      <c r="G11645" t="s">
        <v>32839</v>
      </c>
      <c r="H11645" t="s">
        <v>32849</v>
      </c>
      <c r="I11645" t="s">
        <v>4177</v>
      </c>
      <c r="J11645" t="s">
        <v>33017</v>
      </c>
      <c r="K11645" t="s">
        <v>42729</v>
      </c>
      <c r="M11645" t="s">
        <v>44324</v>
      </c>
      <c r="N11645" t="s">
        <v>47424</v>
      </c>
      <c r="O11645" t="s">
        <v>47425</v>
      </c>
      <c r="P11645">
        <v>0</v>
      </c>
      <c r="Q11645">
        <v>0</v>
      </c>
      <c r="R11645" t="s">
        <v>47438</v>
      </c>
      <c r="S11645" t="s">
        <v>47793</v>
      </c>
      <c r="T11645" t="s">
        <v>49172</v>
      </c>
      <c r="U11645" t="s">
        <v>59218</v>
      </c>
      <c r="V11645" t="s">
        <v>62941</v>
      </c>
      <c r="W11645" t="s">
        <v>44324</v>
      </c>
      <c r="X11645" t="s">
        <v>47439</v>
      </c>
    </row>
    <row r="11646" spans="1:24">
      <c r="A11646">
        <f>HYPERLINK("https://www.philgeps.gov.ph/GEPSNONPILOT/Tender/SplashBidNoticeAbstractUI.aspx?menuIndex=3&amp;refID=7143117&amp;Result=3","7143117")</f>
        <v>0</v>
      </c>
      <c r="B11646" t="s">
        <v>3435</v>
      </c>
      <c r="C11646" t="s">
        <v>14869</v>
      </c>
      <c r="D11646" t="s">
        <v>19022</v>
      </c>
      <c r="E11646" t="s">
        <v>29054</v>
      </c>
      <c r="F11646" t="s">
        <v>32831</v>
      </c>
      <c r="G11646" t="s">
        <v>32839</v>
      </c>
      <c r="H11646" t="s">
        <v>32848</v>
      </c>
      <c r="I11646" t="s">
        <v>7416</v>
      </c>
      <c r="J11646" t="s">
        <v>40121</v>
      </c>
      <c r="K11646" t="s">
        <v>42730</v>
      </c>
      <c r="M11646" t="s">
        <v>46771</v>
      </c>
      <c r="N11646" t="s">
        <v>47424</v>
      </c>
      <c r="O11646" t="s">
        <v>47425</v>
      </c>
      <c r="P11646">
        <v>0</v>
      </c>
      <c r="Q11646">
        <v>1</v>
      </c>
      <c r="R11646" t="s">
        <v>47438</v>
      </c>
      <c r="S11646" t="s">
        <v>47793</v>
      </c>
      <c r="T11646" t="s">
        <v>49089</v>
      </c>
      <c r="U11646" t="s">
        <v>59219</v>
      </c>
      <c r="W11646" t="s">
        <v>46771</v>
      </c>
      <c r="X11646" t="s">
        <v>47439</v>
      </c>
    </row>
    <row r="11647" spans="1:24">
      <c r="A11647">
        <f>HYPERLINK("https://www.philgeps.gov.ph/GEPSNONPILOT/Tender/SplashBidNoticeAbstractUI.aspx?menuIndex=3&amp;refID=7143146&amp;Result=3","7143146")</f>
        <v>0</v>
      </c>
      <c r="B11647" t="s">
        <v>2457</v>
      </c>
      <c r="C11647" t="s">
        <v>14870</v>
      </c>
      <c r="D11647" t="s">
        <v>19049</v>
      </c>
      <c r="E11647" t="s">
        <v>29055</v>
      </c>
      <c r="F11647" t="s">
        <v>32831</v>
      </c>
      <c r="G11647" t="s">
        <v>32839</v>
      </c>
      <c r="H11647" t="s">
        <v>32848</v>
      </c>
      <c r="I11647" t="s">
        <v>7416</v>
      </c>
      <c r="J11647" t="s">
        <v>40122</v>
      </c>
      <c r="K11647" t="s">
        <v>42730</v>
      </c>
      <c r="M11647" t="s">
        <v>45655</v>
      </c>
      <c r="N11647" t="s">
        <v>47424</v>
      </c>
      <c r="O11647" t="s">
        <v>47425</v>
      </c>
      <c r="P11647">
        <v>0</v>
      </c>
      <c r="Q11647">
        <v>0</v>
      </c>
      <c r="R11647" t="s">
        <v>47438</v>
      </c>
      <c r="S11647" t="s">
        <v>47793</v>
      </c>
      <c r="T11647" t="s">
        <v>49218</v>
      </c>
      <c r="U11647" t="s">
        <v>55526</v>
      </c>
      <c r="V11647" t="s">
        <v>63908</v>
      </c>
      <c r="W11647" t="s">
        <v>45655</v>
      </c>
      <c r="X11647" t="s">
        <v>47439</v>
      </c>
    </row>
    <row r="11648" spans="1:24">
      <c r="A11648">
        <f>HYPERLINK("https://www.philgeps.gov.ph/GEPSNONPILOT/Tender/SplashBidNoticeAbstractUI.aspx?menuIndex=3&amp;refID=7143143&amp;Result=3","7143143")</f>
        <v>0</v>
      </c>
      <c r="B11648" t="s">
        <v>1254</v>
      </c>
      <c r="C11648" t="s">
        <v>14871</v>
      </c>
      <c r="D11648" t="s">
        <v>19041</v>
      </c>
      <c r="E11648" t="s">
        <v>27522</v>
      </c>
      <c r="F11648" t="s">
        <v>32831</v>
      </c>
      <c r="G11648" t="s">
        <v>32839</v>
      </c>
      <c r="H11648" t="s">
        <v>32849</v>
      </c>
      <c r="I11648" t="s">
        <v>4177</v>
      </c>
      <c r="J11648" t="s">
        <v>33193</v>
      </c>
      <c r="K11648" t="s">
        <v>42729</v>
      </c>
      <c r="M11648" t="s">
        <v>44324</v>
      </c>
      <c r="N11648" t="s">
        <v>47424</v>
      </c>
      <c r="O11648" t="s">
        <v>47425</v>
      </c>
      <c r="P11648">
        <v>0</v>
      </c>
      <c r="Q11648">
        <v>0</v>
      </c>
      <c r="R11648" t="s">
        <v>47438</v>
      </c>
      <c r="S11648" t="s">
        <v>47793</v>
      </c>
      <c r="T11648" t="s">
        <v>49172</v>
      </c>
      <c r="U11648" t="s">
        <v>59220</v>
      </c>
      <c r="V11648" t="s">
        <v>62941</v>
      </c>
      <c r="W11648" t="s">
        <v>44324</v>
      </c>
      <c r="X11648" t="s">
        <v>47439</v>
      </c>
    </row>
    <row r="11649" spans="1:24">
      <c r="A11649">
        <f>HYPERLINK("https://www.philgeps.gov.ph/GEPSNONPILOT/Tender/SplashBidNoticeAbstractUI.aspx?menuIndex=3&amp;refID=7143204&amp;Result=3","7143204")</f>
        <v>0</v>
      </c>
      <c r="B11649" t="s">
        <v>3436</v>
      </c>
      <c r="C11649" t="s">
        <v>14872</v>
      </c>
      <c r="D11649" t="s">
        <v>19077</v>
      </c>
      <c r="E11649" t="s">
        <v>29056</v>
      </c>
      <c r="F11649" t="s">
        <v>32831</v>
      </c>
      <c r="G11649" t="s">
        <v>32839</v>
      </c>
      <c r="H11649" t="s">
        <v>32849</v>
      </c>
      <c r="I11649" t="s">
        <v>4177</v>
      </c>
      <c r="J11649" t="s">
        <v>40123</v>
      </c>
      <c r="K11649" t="s">
        <v>42770</v>
      </c>
      <c r="M11649" t="s">
        <v>46772</v>
      </c>
      <c r="N11649" t="s">
        <v>47424</v>
      </c>
      <c r="O11649" t="s">
        <v>47425</v>
      </c>
      <c r="P11649">
        <v>0</v>
      </c>
      <c r="Q11649">
        <v>1</v>
      </c>
      <c r="R11649" t="s">
        <v>47438</v>
      </c>
      <c r="S11649" t="s">
        <v>47793</v>
      </c>
      <c r="T11649" t="s">
        <v>49221</v>
      </c>
      <c r="U11649" t="s">
        <v>59221</v>
      </c>
      <c r="V11649" t="s">
        <v>63912</v>
      </c>
      <c r="W11649" t="s">
        <v>46772</v>
      </c>
      <c r="X11649" t="s">
        <v>47439</v>
      </c>
    </row>
    <row r="11650" spans="1:24">
      <c r="A11650">
        <f>HYPERLINK("https://www.philgeps.gov.ph/GEPSNONPILOT/Tender/SplashBidNoticeAbstractUI.aspx?menuIndex=3&amp;refID=7143123&amp;Result=3","7143123")</f>
        <v>0</v>
      </c>
      <c r="B11650" t="s">
        <v>2388</v>
      </c>
      <c r="C11650" t="s">
        <v>14873</v>
      </c>
      <c r="D11650" t="s">
        <v>19075</v>
      </c>
      <c r="E11650" t="s">
        <v>29057</v>
      </c>
      <c r="F11650" t="s">
        <v>32831</v>
      </c>
      <c r="G11650" t="s">
        <v>32839</v>
      </c>
      <c r="H11650" t="s">
        <v>32849</v>
      </c>
      <c r="I11650" t="s">
        <v>4177</v>
      </c>
      <c r="J11650" t="s">
        <v>40124</v>
      </c>
      <c r="K11650" t="s">
        <v>42732</v>
      </c>
      <c r="M11650" t="s">
        <v>45579</v>
      </c>
      <c r="N11650" t="s">
        <v>47424</v>
      </c>
      <c r="O11650" t="s">
        <v>47425</v>
      </c>
      <c r="P11650">
        <v>0</v>
      </c>
      <c r="Q11650">
        <v>1</v>
      </c>
      <c r="R11650" t="s">
        <v>47438</v>
      </c>
      <c r="S11650" t="s">
        <v>47793</v>
      </c>
      <c r="T11650" t="s">
        <v>49080</v>
      </c>
      <c r="U11650" t="s">
        <v>59222</v>
      </c>
      <c r="W11650" t="s">
        <v>64507</v>
      </c>
      <c r="X11650" t="s">
        <v>47439</v>
      </c>
    </row>
    <row r="11651" spans="1:24">
      <c r="A11651">
        <f>HYPERLINK("https://www.philgeps.gov.ph/GEPSNONPILOT/Tender/SplashBidNoticeAbstractUI.aspx?menuIndex=3&amp;refID=7143051&amp;Result=3","7143051")</f>
        <v>0</v>
      </c>
      <c r="B11651" t="s">
        <v>174</v>
      </c>
      <c r="C11651" t="s">
        <v>14874</v>
      </c>
      <c r="D11651" t="s">
        <v>19019</v>
      </c>
      <c r="E11651" t="s">
        <v>29058</v>
      </c>
      <c r="F11651" t="s">
        <v>32831</v>
      </c>
      <c r="G11651" t="s">
        <v>32839</v>
      </c>
      <c r="H11651" t="s">
        <v>32848</v>
      </c>
      <c r="I11651" t="s">
        <v>4438</v>
      </c>
      <c r="J11651" t="s">
        <v>39073</v>
      </c>
      <c r="K11651" t="s">
        <v>42730</v>
      </c>
      <c r="M11651" t="s">
        <v>45686</v>
      </c>
      <c r="N11651" t="s">
        <v>47424</v>
      </c>
      <c r="O11651" t="s">
        <v>47425</v>
      </c>
      <c r="P11651">
        <v>0</v>
      </c>
      <c r="Q11651">
        <v>21</v>
      </c>
      <c r="R11651" t="s">
        <v>47438</v>
      </c>
      <c r="S11651" t="s">
        <v>47793</v>
      </c>
      <c r="T11651" t="s">
        <v>49310</v>
      </c>
      <c r="U11651" t="s">
        <v>59223</v>
      </c>
      <c r="W11651" t="s">
        <v>45686</v>
      </c>
      <c r="X11651" t="s">
        <v>47439</v>
      </c>
    </row>
    <row r="11652" spans="1:24">
      <c r="A11652">
        <f>HYPERLINK("https://www.philgeps.gov.ph/GEPSNONPILOT/Tender/SplashBidNoticeAbstractUI.aspx?menuIndex=3&amp;refID=7143324&amp;Result=3","7143324")</f>
        <v>0</v>
      </c>
      <c r="B11652" t="s">
        <v>2388</v>
      </c>
      <c r="C11652" t="s">
        <v>14875</v>
      </c>
      <c r="D11652" t="s">
        <v>19075</v>
      </c>
      <c r="E11652" t="s">
        <v>29059</v>
      </c>
      <c r="F11652" t="s">
        <v>32831</v>
      </c>
      <c r="G11652" t="s">
        <v>32839</v>
      </c>
      <c r="H11652" t="s">
        <v>32849</v>
      </c>
      <c r="I11652" t="s">
        <v>4177</v>
      </c>
      <c r="J11652" t="s">
        <v>40125</v>
      </c>
      <c r="K11652" t="s">
        <v>42732</v>
      </c>
      <c r="M11652" t="s">
        <v>45579</v>
      </c>
      <c r="N11652" t="s">
        <v>47424</v>
      </c>
      <c r="O11652" t="s">
        <v>47425</v>
      </c>
      <c r="P11652">
        <v>0</v>
      </c>
      <c r="Q11652">
        <v>1</v>
      </c>
      <c r="R11652" t="s">
        <v>47438</v>
      </c>
      <c r="S11652" t="s">
        <v>47793</v>
      </c>
      <c r="T11652" t="s">
        <v>49080</v>
      </c>
      <c r="U11652" t="s">
        <v>59224</v>
      </c>
      <c r="W11652" t="s">
        <v>64507</v>
      </c>
      <c r="X11652" t="s">
        <v>47439</v>
      </c>
    </row>
    <row r="11653" spans="1:24">
      <c r="A11653">
        <f>HYPERLINK("https://www.philgeps.gov.ph/GEPSNONPILOT/Tender/SplashBidNoticeAbstractUI.aspx?menuIndex=3&amp;refID=7143049&amp;Result=3","7143049")</f>
        <v>0</v>
      </c>
      <c r="B11653" t="s">
        <v>1439</v>
      </c>
      <c r="C11653" t="s">
        <v>14876</v>
      </c>
      <c r="D11653" t="s">
        <v>19114</v>
      </c>
      <c r="E11653" t="s">
        <v>29060</v>
      </c>
      <c r="F11653" t="s">
        <v>32831</v>
      </c>
      <c r="G11653" t="s">
        <v>32839</v>
      </c>
      <c r="H11653" t="s">
        <v>32848</v>
      </c>
      <c r="I11653" t="s">
        <v>32890</v>
      </c>
      <c r="J11653" t="s">
        <v>39577</v>
      </c>
      <c r="K11653" t="s">
        <v>42747</v>
      </c>
      <c r="M11653" t="s">
        <v>46078</v>
      </c>
      <c r="N11653" t="s">
        <v>47424</v>
      </c>
      <c r="O11653" t="s">
        <v>47425</v>
      </c>
      <c r="Q11653">
        <v>3</v>
      </c>
      <c r="R11653" t="s">
        <v>47438</v>
      </c>
      <c r="S11653" t="s">
        <v>47821</v>
      </c>
      <c r="T11653" t="s">
        <v>49470</v>
      </c>
      <c r="U11653" t="s">
        <v>59225</v>
      </c>
      <c r="W11653" t="s">
        <v>46078</v>
      </c>
      <c r="X11653" t="s">
        <v>47439</v>
      </c>
    </row>
    <row r="11654" spans="1:24">
      <c r="A11654">
        <f>HYPERLINK("https://www.philgeps.gov.ph/GEPSNONPILOT/Tender/SplashBidNoticeAbstractUI.aspx?menuIndex=3&amp;refID=7143319&amp;Result=3","7143319")</f>
        <v>0</v>
      </c>
      <c r="B11654" t="s">
        <v>2241</v>
      </c>
      <c r="C11654" t="s">
        <v>14877</v>
      </c>
      <c r="D11654" t="s">
        <v>19020</v>
      </c>
      <c r="E11654" t="s">
        <v>29061</v>
      </c>
      <c r="F11654" t="s">
        <v>32831</v>
      </c>
      <c r="G11654" t="s">
        <v>32839</v>
      </c>
      <c r="H11654" t="s">
        <v>32848</v>
      </c>
      <c r="I11654" t="s">
        <v>7819</v>
      </c>
      <c r="J11654" t="s">
        <v>40126</v>
      </c>
      <c r="K11654" t="s">
        <v>42730</v>
      </c>
      <c r="M11654" t="s">
        <v>45422</v>
      </c>
      <c r="N11654" t="s">
        <v>47424</v>
      </c>
      <c r="O11654" t="s">
        <v>47425</v>
      </c>
      <c r="Q11654">
        <v>3</v>
      </c>
      <c r="R11654" t="s">
        <v>47438</v>
      </c>
      <c r="S11654" t="s">
        <v>47822</v>
      </c>
      <c r="T11654" t="s">
        <v>49080</v>
      </c>
      <c r="U11654" t="s">
        <v>59226</v>
      </c>
      <c r="W11654" t="s">
        <v>45422</v>
      </c>
      <c r="X11654" t="s">
        <v>47439</v>
      </c>
    </row>
    <row r="11655" spans="1:24">
      <c r="A11655">
        <f>HYPERLINK("https://www.philgeps.gov.ph/GEPSNONPILOT/Tender/SplashBidNoticeAbstractUI.aspx?menuIndex=3&amp;refID=7143308&amp;Result=3","7143308")</f>
        <v>0</v>
      </c>
      <c r="B11655" t="s">
        <v>3437</v>
      </c>
      <c r="C11655" t="s">
        <v>14878</v>
      </c>
      <c r="D11655" t="s">
        <v>19085</v>
      </c>
      <c r="E11655" t="s">
        <v>29062</v>
      </c>
      <c r="F11655" t="s">
        <v>32831</v>
      </c>
      <c r="G11655" t="s">
        <v>32839</v>
      </c>
      <c r="H11655" t="s">
        <v>32848</v>
      </c>
      <c r="I11655" t="s">
        <v>4222</v>
      </c>
      <c r="J11655" t="s">
        <v>40127</v>
      </c>
      <c r="K11655" t="s">
        <v>42727</v>
      </c>
      <c r="M11655" t="s">
        <v>46773</v>
      </c>
      <c r="N11655" t="s">
        <v>47424</v>
      </c>
      <c r="O11655" t="s">
        <v>47425</v>
      </c>
      <c r="P11655">
        <v>0</v>
      </c>
      <c r="Q11655">
        <v>1</v>
      </c>
      <c r="R11655" t="s">
        <v>47438</v>
      </c>
      <c r="S11655" t="s">
        <v>47793</v>
      </c>
      <c r="T11655" t="s">
        <v>49063</v>
      </c>
      <c r="U11655" t="s">
        <v>59227</v>
      </c>
      <c r="W11655" t="s">
        <v>46773</v>
      </c>
      <c r="X11655" t="s">
        <v>47439</v>
      </c>
    </row>
    <row r="11656" spans="1:24">
      <c r="A11656">
        <f>HYPERLINK("https://www.philgeps.gov.ph/GEPSNONPILOT/Tender/SplashBidNoticeAbstractUI.aspx?menuIndex=3&amp;refID=7143286&amp;Result=3","7143286")</f>
        <v>0</v>
      </c>
      <c r="B11656" t="s">
        <v>2388</v>
      </c>
      <c r="C11656" t="s">
        <v>14879</v>
      </c>
      <c r="D11656" t="s">
        <v>19075</v>
      </c>
      <c r="E11656" t="s">
        <v>29063</v>
      </c>
      <c r="F11656" t="s">
        <v>32831</v>
      </c>
      <c r="G11656" t="s">
        <v>32839</v>
      </c>
      <c r="H11656" t="s">
        <v>32849</v>
      </c>
      <c r="I11656" t="s">
        <v>4177</v>
      </c>
      <c r="J11656" t="s">
        <v>40128</v>
      </c>
      <c r="K11656" t="s">
        <v>42732</v>
      </c>
      <c r="M11656" t="s">
        <v>45579</v>
      </c>
      <c r="N11656" t="s">
        <v>47424</v>
      </c>
      <c r="O11656" t="s">
        <v>47425</v>
      </c>
      <c r="P11656">
        <v>0</v>
      </c>
      <c r="Q11656">
        <v>1</v>
      </c>
      <c r="R11656" t="s">
        <v>47438</v>
      </c>
      <c r="S11656" t="s">
        <v>47793</v>
      </c>
      <c r="T11656" t="s">
        <v>49080</v>
      </c>
      <c r="U11656" t="s">
        <v>59228</v>
      </c>
      <c r="W11656" t="s">
        <v>64507</v>
      </c>
      <c r="X11656" t="s">
        <v>47439</v>
      </c>
    </row>
    <row r="11657" spans="1:24">
      <c r="A11657">
        <f>HYPERLINK("https://www.philgeps.gov.ph/GEPSNONPILOT/Tender/SplashBidNoticeAbstractUI.aspx?menuIndex=3&amp;refID=7143282&amp;Result=3","7143282")</f>
        <v>0</v>
      </c>
      <c r="B11657" t="s">
        <v>231</v>
      </c>
      <c r="C11657" t="s">
        <v>14880</v>
      </c>
      <c r="D11657" t="s">
        <v>19039</v>
      </c>
      <c r="E11657" t="s">
        <v>29064</v>
      </c>
      <c r="F11657" t="s">
        <v>32831</v>
      </c>
      <c r="G11657" t="s">
        <v>32839</v>
      </c>
      <c r="H11657" t="s">
        <v>32848</v>
      </c>
      <c r="I11657" t="s">
        <v>32892</v>
      </c>
      <c r="J11657" t="s">
        <v>33257</v>
      </c>
      <c r="K11657" t="s">
        <v>42763</v>
      </c>
      <c r="M11657" t="s">
        <v>43230</v>
      </c>
      <c r="N11657" t="s">
        <v>47424</v>
      </c>
      <c r="O11657" t="s">
        <v>47425</v>
      </c>
      <c r="P11657">
        <v>0</v>
      </c>
      <c r="Q11657">
        <v>1</v>
      </c>
      <c r="R11657" t="s">
        <v>47438</v>
      </c>
      <c r="S11657" t="s">
        <v>47793</v>
      </c>
      <c r="T11657" t="s">
        <v>49196</v>
      </c>
      <c r="U11657" t="s">
        <v>59229</v>
      </c>
      <c r="W11657" t="s">
        <v>43230</v>
      </c>
      <c r="X11657" t="s">
        <v>47439</v>
      </c>
    </row>
    <row r="11658" spans="1:24">
      <c r="A11658">
        <f>HYPERLINK("https://www.philgeps.gov.ph/GEPSNONPILOT/Tender/SplashBidNoticeAbstractUI.aspx?menuIndex=3&amp;refID=7143305&amp;Result=3","7143305")</f>
        <v>0</v>
      </c>
      <c r="B11658" t="s">
        <v>759</v>
      </c>
      <c r="C11658" t="s">
        <v>14881</v>
      </c>
      <c r="E11658" t="s">
        <v>29065</v>
      </c>
      <c r="F11658" t="s">
        <v>32831</v>
      </c>
      <c r="G11658" t="s">
        <v>32838</v>
      </c>
      <c r="H11658" t="s">
        <v>32848</v>
      </c>
      <c r="I11658" t="s">
        <v>4438</v>
      </c>
      <c r="J11658" t="s">
        <v>40129</v>
      </c>
      <c r="K11658" t="s">
        <v>42732</v>
      </c>
      <c r="M11658" t="s">
        <v>46774</v>
      </c>
      <c r="N11658" t="s">
        <v>47424</v>
      </c>
      <c r="O11658" t="s">
        <v>47425</v>
      </c>
      <c r="Q11658">
        <v>1</v>
      </c>
      <c r="R11658" t="s">
        <v>47438</v>
      </c>
      <c r="S11658" t="s">
        <v>47823</v>
      </c>
      <c r="T11658" t="s">
        <v>49129</v>
      </c>
      <c r="U11658" t="s">
        <v>59230</v>
      </c>
      <c r="W11658" t="s">
        <v>46774</v>
      </c>
      <c r="X11658" t="s">
        <v>47439</v>
      </c>
    </row>
    <row r="11659" spans="1:24">
      <c r="A11659">
        <f>HYPERLINK("https://www.philgeps.gov.ph/GEPSNONPILOT/Tender/SplashBidNoticeAbstractUI.aspx?menuIndex=3&amp;refID=7143276&amp;Result=3","7143276")</f>
        <v>0</v>
      </c>
      <c r="B11659" t="s">
        <v>1334</v>
      </c>
      <c r="C11659" t="s">
        <v>14882</v>
      </c>
      <c r="D11659" t="s">
        <v>19077</v>
      </c>
      <c r="E11659" t="s">
        <v>29066</v>
      </c>
      <c r="F11659" t="s">
        <v>32831</v>
      </c>
      <c r="G11659" t="s">
        <v>32839</v>
      </c>
      <c r="H11659" t="s">
        <v>32848</v>
      </c>
      <c r="I11659" t="s">
        <v>7416</v>
      </c>
      <c r="J11659" t="s">
        <v>33098</v>
      </c>
      <c r="K11659" t="s">
        <v>42732</v>
      </c>
      <c r="M11659" t="s">
        <v>44406</v>
      </c>
      <c r="N11659" t="s">
        <v>47424</v>
      </c>
      <c r="O11659" t="s">
        <v>47425</v>
      </c>
      <c r="P11659">
        <v>0</v>
      </c>
      <c r="Q11659">
        <v>0</v>
      </c>
      <c r="R11659" t="s">
        <v>47438</v>
      </c>
      <c r="S11659" t="s">
        <v>47793</v>
      </c>
      <c r="T11659" t="s">
        <v>49163</v>
      </c>
      <c r="U11659" t="s">
        <v>59231</v>
      </c>
      <c r="W11659" t="s">
        <v>44406</v>
      </c>
      <c r="X11659" t="s">
        <v>47439</v>
      </c>
    </row>
    <row r="11660" spans="1:24">
      <c r="A11660">
        <f>HYPERLINK("https://www.philgeps.gov.ph/GEPSNONPILOT/Tender/SplashBidNoticeAbstractUI.aspx?menuIndex=3&amp;refID=7143331&amp;Result=3","7143331")</f>
        <v>0</v>
      </c>
      <c r="B11660" t="s">
        <v>1334</v>
      </c>
      <c r="C11660" t="s">
        <v>14883</v>
      </c>
      <c r="D11660" t="s">
        <v>19077</v>
      </c>
      <c r="E11660" t="s">
        <v>29067</v>
      </c>
      <c r="F11660" t="s">
        <v>32831</v>
      </c>
      <c r="G11660" t="s">
        <v>32839</v>
      </c>
      <c r="H11660" t="s">
        <v>32848</v>
      </c>
      <c r="I11660" t="s">
        <v>7416</v>
      </c>
      <c r="J11660" t="s">
        <v>40077</v>
      </c>
      <c r="K11660" t="s">
        <v>42732</v>
      </c>
      <c r="M11660" t="s">
        <v>44406</v>
      </c>
      <c r="N11660" t="s">
        <v>47424</v>
      </c>
      <c r="O11660" t="s">
        <v>47425</v>
      </c>
      <c r="P11660">
        <v>0</v>
      </c>
      <c r="Q11660">
        <v>0</v>
      </c>
      <c r="R11660" t="s">
        <v>47438</v>
      </c>
      <c r="S11660" t="s">
        <v>47793</v>
      </c>
      <c r="T11660" t="s">
        <v>49163</v>
      </c>
      <c r="U11660" t="s">
        <v>59232</v>
      </c>
      <c r="W11660" t="s">
        <v>44406</v>
      </c>
      <c r="X11660" t="s">
        <v>47439</v>
      </c>
    </row>
    <row r="11661" spans="1:24">
      <c r="A11661">
        <f>HYPERLINK("https://www.philgeps.gov.ph/GEPSNONPILOT/Tender/SplashBidNoticeAbstractUI.aspx?menuIndex=3&amp;refID=7143034&amp;Result=3","7143034")</f>
        <v>0</v>
      </c>
      <c r="B11661" t="s">
        <v>1900</v>
      </c>
      <c r="C11661" t="s">
        <v>14884</v>
      </c>
      <c r="D11661" t="s">
        <v>19038</v>
      </c>
      <c r="E11661" t="s">
        <v>20574</v>
      </c>
      <c r="F11661" t="s">
        <v>32831</v>
      </c>
      <c r="G11661" t="s">
        <v>32839</v>
      </c>
      <c r="H11661" t="s">
        <v>32849</v>
      </c>
      <c r="I11661" t="s">
        <v>4177</v>
      </c>
      <c r="J11661" t="s">
        <v>33083</v>
      </c>
      <c r="K11661" t="s">
        <v>42729</v>
      </c>
      <c r="M11661" t="s">
        <v>45048</v>
      </c>
      <c r="N11661" t="s">
        <v>47424</v>
      </c>
      <c r="O11661" t="s">
        <v>47425</v>
      </c>
      <c r="P11661">
        <v>0</v>
      </c>
      <c r="Q11661">
        <v>0</v>
      </c>
      <c r="R11661" t="s">
        <v>47438</v>
      </c>
      <c r="S11661" t="s">
        <v>47793</v>
      </c>
      <c r="T11661" t="s">
        <v>49254</v>
      </c>
      <c r="U11661" t="s">
        <v>59233</v>
      </c>
      <c r="W11661" t="s">
        <v>45048</v>
      </c>
      <c r="X11661" t="s">
        <v>47439</v>
      </c>
    </row>
    <row r="11662" spans="1:24">
      <c r="A11662">
        <f>HYPERLINK("https://www.philgeps.gov.ph/GEPSNONPILOT/Tender/SplashBidNoticeAbstractUI.aspx?menuIndex=3&amp;refID=7143256&amp;Result=3","7143256")</f>
        <v>0</v>
      </c>
      <c r="B11662" t="s">
        <v>3436</v>
      </c>
      <c r="C11662" t="s">
        <v>14885</v>
      </c>
      <c r="D11662" t="s">
        <v>19077</v>
      </c>
      <c r="E11662" t="s">
        <v>29068</v>
      </c>
      <c r="F11662" t="s">
        <v>32831</v>
      </c>
      <c r="G11662" t="s">
        <v>32839</v>
      </c>
      <c r="H11662" t="s">
        <v>32849</v>
      </c>
      <c r="I11662" t="s">
        <v>4177</v>
      </c>
      <c r="J11662" t="s">
        <v>40130</v>
      </c>
      <c r="K11662" t="s">
        <v>42780</v>
      </c>
      <c r="M11662" t="s">
        <v>46772</v>
      </c>
      <c r="N11662" t="s">
        <v>47424</v>
      </c>
      <c r="O11662" t="s">
        <v>47425</v>
      </c>
      <c r="P11662">
        <v>0</v>
      </c>
      <c r="Q11662">
        <v>1</v>
      </c>
      <c r="R11662" t="s">
        <v>47438</v>
      </c>
      <c r="S11662" t="s">
        <v>47793</v>
      </c>
      <c r="T11662" t="s">
        <v>49221</v>
      </c>
      <c r="U11662" t="s">
        <v>59234</v>
      </c>
      <c r="V11662" t="s">
        <v>63912</v>
      </c>
      <c r="W11662" t="s">
        <v>46772</v>
      </c>
      <c r="X11662" t="s">
        <v>47439</v>
      </c>
    </row>
    <row r="11663" spans="1:24">
      <c r="A11663">
        <f>HYPERLINK("https://www.philgeps.gov.ph/GEPSNONPILOT/Tender/SplashBidNoticeAbstractUI.aspx?menuIndex=3&amp;refID=7143240&amp;Result=3","7143240")</f>
        <v>0</v>
      </c>
      <c r="B11663" t="s">
        <v>2457</v>
      </c>
      <c r="C11663" t="s">
        <v>14886</v>
      </c>
      <c r="D11663" t="s">
        <v>19049</v>
      </c>
      <c r="E11663" t="s">
        <v>21978</v>
      </c>
      <c r="F11663" t="s">
        <v>32831</v>
      </c>
      <c r="G11663" t="s">
        <v>32839</v>
      </c>
      <c r="H11663" t="s">
        <v>32848</v>
      </c>
      <c r="I11663" t="s">
        <v>5379</v>
      </c>
      <c r="J11663" t="s">
        <v>32980</v>
      </c>
      <c r="K11663" t="s">
        <v>42730</v>
      </c>
      <c r="M11663" t="s">
        <v>45655</v>
      </c>
      <c r="N11663" t="s">
        <v>47424</v>
      </c>
      <c r="O11663" t="s">
        <v>47425</v>
      </c>
      <c r="P11663">
        <v>0</v>
      </c>
      <c r="Q11663">
        <v>0</v>
      </c>
      <c r="R11663" t="s">
        <v>47438</v>
      </c>
      <c r="S11663" t="s">
        <v>47793</v>
      </c>
      <c r="T11663" t="s">
        <v>49218</v>
      </c>
      <c r="U11663" t="s">
        <v>55526</v>
      </c>
      <c r="V11663" t="s">
        <v>63908</v>
      </c>
      <c r="W11663" t="s">
        <v>45655</v>
      </c>
      <c r="X11663" t="s">
        <v>47439</v>
      </c>
    </row>
    <row r="11664" spans="1:24">
      <c r="A11664">
        <f>HYPERLINK("https://www.philgeps.gov.ph/GEPSNONPILOT/Tender/SplashBidNoticeAbstractUI.aspx?menuIndex=3&amp;refID=7143239&amp;Result=3","7143239")</f>
        <v>0</v>
      </c>
      <c r="B11664" t="s">
        <v>2388</v>
      </c>
      <c r="C11664" t="s">
        <v>14887</v>
      </c>
      <c r="D11664" t="s">
        <v>19075</v>
      </c>
      <c r="E11664" t="s">
        <v>29069</v>
      </c>
      <c r="F11664" t="s">
        <v>32831</v>
      </c>
      <c r="G11664" t="s">
        <v>32839</v>
      </c>
      <c r="H11664" t="s">
        <v>32849</v>
      </c>
      <c r="I11664" t="s">
        <v>4177</v>
      </c>
      <c r="J11664" t="s">
        <v>40131</v>
      </c>
      <c r="K11664" t="s">
        <v>42732</v>
      </c>
      <c r="M11664" t="s">
        <v>45579</v>
      </c>
      <c r="N11664" t="s">
        <v>47424</v>
      </c>
      <c r="O11664" t="s">
        <v>47425</v>
      </c>
      <c r="P11664">
        <v>0</v>
      </c>
      <c r="Q11664">
        <v>1</v>
      </c>
      <c r="R11664" t="s">
        <v>47438</v>
      </c>
      <c r="S11664" t="s">
        <v>47793</v>
      </c>
      <c r="T11664" t="s">
        <v>49080</v>
      </c>
      <c r="U11664" t="s">
        <v>59235</v>
      </c>
      <c r="W11664" t="s">
        <v>64507</v>
      </c>
      <c r="X11664" t="s">
        <v>47439</v>
      </c>
    </row>
    <row r="11665" spans="1:24">
      <c r="A11665">
        <f>HYPERLINK("https://www.philgeps.gov.ph/GEPSNONPILOT/Tender/SplashBidNoticeAbstractUI.aspx?menuIndex=3&amp;refID=7143225&amp;Result=3","7143225")</f>
        <v>0</v>
      </c>
      <c r="B11665" t="s">
        <v>2457</v>
      </c>
      <c r="C11665" t="s">
        <v>14888</v>
      </c>
      <c r="D11665" t="s">
        <v>19049</v>
      </c>
      <c r="E11665" t="s">
        <v>21829</v>
      </c>
      <c r="F11665" t="s">
        <v>32831</v>
      </c>
      <c r="G11665" t="s">
        <v>32839</v>
      </c>
      <c r="H11665" t="s">
        <v>32848</v>
      </c>
      <c r="I11665" t="s">
        <v>5379</v>
      </c>
      <c r="J11665" t="s">
        <v>33031</v>
      </c>
      <c r="K11665" t="s">
        <v>42730</v>
      </c>
      <c r="M11665" t="s">
        <v>45655</v>
      </c>
      <c r="N11665" t="s">
        <v>47424</v>
      </c>
      <c r="O11665" t="s">
        <v>47425</v>
      </c>
      <c r="P11665">
        <v>0</v>
      </c>
      <c r="Q11665">
        <v>0</v>
      </c>
      <c r="R11665" t="s">
        <v>47438</v>
      </c>
      <c r="S11665" t="s">
        <v>47793</v>
      </c>
      <c r="T11665" t="s">
        <v>49218</v>
      </c>
      <c r="U11665" t="s">
        <v>55526</v>
      </c>
      <c r="V11665" t="s">
        <v>63908</v>
      </c>
      <c r="W11665" t="s">
        <v>45655</v>
      </c>
      <c r="X11665" t="s">
        <v>47439</v>
      </c>
    </row>
    <row r="11666" spans="1:24">
      <c r="A11666">
        <f>HYPERLINK("https://www.philgeps.gov.ph/GEPSNONPILOT/Tender/SplashBidNoticeAbstractUI.aspx?menuIndex=3&amp;refID=7143212&amp;Result=3","7143212")</f>
        <v>0</v>
      </c>
      <c r="B11666" t="s">
        <v>2457</v>
      </c>
      <c r="C11666" t="s">
        <v>14889</v>
      </c>
      <c r="D11666" t="s">
        <v>19049</v>
      </c>
      <c r="E11666" t="s">
        <v>21252</v>
      </c>
      <c r="F11666" t="s">
        <v>32831</v>
      </c>
      <c r="G11666" t="s">
        <v>32839</v>
      </c>
      <c r="H11666" t="s">
        <v>32848</v>
      </c>
      <c r="I11666" t="s">
        <v>4776</v>
      </c>
      <c r="J11666" t="s">
        <v>35347</v>
      </c>
      <c r="K11666" t="s">
        <v>42730</v>
      </c>
      <c r="M11666" t="s">
        <v>45655</v>
      </c>
      <c r="N11666" t="s">
        <v>47424</v>
      </c>
      <c r="O11666" t="s">
        <v>47425</v>
      </c>
      <c r="P11666">
        <v>0</v>
      </c>
      <c r="Q11666">
        <v>3</v>
      </c>
      <c r="R11666" t="s">
        <v>47438</v>
      </c>
      <c r="S11666" t="s">
        <v>47793</v>
      </c>
      <c r="T11666" t="s">
        <v>49218</v>
      </c>
      <c r="U11666" t="s">
        <v>55526</v>
      </c>
      <c r="V11666" t="s">
        <v>63908</v>
      </c>
      <c r="W11666" t="s">
        <v>45655</v>
      </c>
      <c r="X11666" t="s">
        <v>47439</v>
      </c>
    </row>
    <row r="11667" spans="1:24">
      <c r="A11667">
        <f>HYPERLINK("https://www.philgeps.gov.ph/GEPSNONPILOT/Tender/SplashBidNoticeAbstractUI.aspx?menuIndex=3&amp;refID=7143209&amp;Result=3","7143209")</f>
        <v>0</v>
      </c>
      <c r="B11667" t="s">
        <v>3438</v>
      </c>
      <c r="C11667" t="s">
        <v>14890</v>
      </c>
      <c r="D11667" t="s">
        <v>19093</v>
      </c>
      <c r="E11667" t="s">
        <v>29070</v>
      </c>
      <c r="F11667" t="s">
        <v>32831</v>
      </c>
      <c r="G11667" t="s">
        <v>32839</v>
      </c>
      <c r="H11667" t="s">
        <v>32849</v>
      </c>
      <c r="I11667" t="s">
        <v>4177</v>
      </c>
      <c r="J11667" t="s">
        <v>40132</v>
      </c>
      <c r="K11667" t="s">
        <v>42730</v>
      </c>
      <c r="M11667" t="s">
        <v>46775</v>
      </c>
      <c r="N11667" t="s">
        <v>47424</v>
      </c>
      <c r="O11667" t="s">
        <v>47425</v>
      </c>
      <c r="P11667">
        <v>0</v>
      </c>
      <c r="Q11667">
        <v>1</v>
      </c>
      <c r="R11667" t="s">
        <v>47438</v>
      </c>
      <c r="S11667" t="s">
        <v>47793</v>
      </c>
      <c r="T11667" t="s">
        <v>49080</v>
      </c>
      <c r="U11667" t="s">
        <v>59236</v>
      </c>
      <c r="V11667" t="s">
        <v>63913</v>
      </c>
      <c r="W11667" t="s">
        <v>46775</v>
      </c>
      <c r="X11667" t="s">
        <v>47439</v>
      </c>
    </row>
    <row r="11668" spans="1:24">
      <c r="A11668">
        <f>HYPERLINK("https://www.philgeps.gov.ph/GEPSNONPILOT/Tender/SplashBidNoticeAbstractUI.aspx?menuIndex=3&amp;refID=7143126&amp;Result=3","7143126")</f>
        <v>0</v>
      </c>
      <c r="B11668" t="s">
        <v>3405</v>
      </c>
      <c r="C11668" t="s">
        <v>14891</v>
      </c>
      <c r="D11668" t="s">
        <v>19018</v>
      </c>
      <c r="E11668" t="s">
        <v>29071</v>
      </c>
      <c r="F11668" t="s">
        <v>32831</v>
      </c>
      <c r="G11668" t="s">
        <v>32839</v>
      </c>
      <c r="H11668" t="s">
        <v>32848</v>
      </c>
      <c r="I11668" t="s">
        <v>32925</v>
      </c>
      <c r="J11668" t="s">
        <v>35143</v>
      </c>
      <c r="K11668" t="s">
        <v>42729</v>
      </c>
      <c r="M11668" t="s">
        <v>46739</v>
      </c>
      <c r="N11668" t="s">
        <v>47424</v>
      </c>
      <c r="O11668" t="s">
        <v>47425</v>
      </c>
      <c r="Q11668">
        <v>4</v>
      </c>
      <c r="R11668" t="s">
        <v>47438</v>
      </c>
      <c r="S11668" t="s">
        <v>47734</v>
      </c>
      <c r="T11668" t="s">
        <v>49398</v>
      </c>
      <c r="U11668" t="s">
        <v>59157</v>
      </c>
      <c r="V11668" t="s">
        <v>63899</v>
      </c>
      <c r="W11668" t="s">
        <v>46739</v>
      </c>
      <c r="X11668" t="s">
        <v>47439</v>
      </c>
    </row>
    <row r="11669" spans="1:24">
      <c r="A11669">
        <f>HYPERLINK("https://www.philgeps.gov.ph/GEPSNONPILOT/Tender/SplashBidNoticeAbstractUI.aspx?menuIndex=3&amp;refID=7143255&amp;Result=3","7143255")</f>
        <v>0</v>
      </c>
      <c r="B11669" t="s">
        <v>2388</v>
      </c>
      <c r="C11669" t="s">
        <v>14892</v>
      </c>
      <c r="D11669" t="s">
        <v>19075</v>
      </c>
      <c r="E11669" t="s">
        <v>29072</v>
      </c>
      <c r="F11669" t="s">
        <v>32831</v>
      </c>
      <c r="G11669" t="s">
        <v>32839</v>
      </c>
      <c r="H11669" t="s">
        <v>32849</v>
      </c>
      <c r="I11669" t="s">
        <v>4177</v>
      </c>
      <c r="J11669" t="s">
        <v>40133</v>
      </c>
      <c r="K11669" t="s">
        <v>42732</v>
      </c>
      <c r="M11669" t="s">
        <v>45579</v>
      </c>
      <c r="N11669" t="s">
        <v>47424</v>
      </c>
      <c r="O11669" t="s">
        <v>47425</v>
      </c>
      <c r="P11669">
        <v>0</v>
      </c>
      <c r="Q11669">
        <v>1</v>
      </c>
      <c r="R11669" t="s">
        <v>47438</v>
      </c>
      <c r="S11669" t="s">
        <v>47793</v>
      </c>
      <c r="T11669" t="s">
        <v>49080</v>
      </c>
      <c r="U11669" t="s">
        <v>59237</v>
      </c>
      <c r="W11669" t="s">
        <v>64507</v>
      </c>
      <c r="X11669" t="s">
        <v>47439</v>
      </c>
    </row>
    <row r="11670" spans="1:24">
      <c r="A11670">
        <f>HYPERLINK("https://www.philgeps.gov.ph/GEPSNONPILOT/Tender/SplashBidNoticeAbstractUI.aspx?menuIndex=3&amp;refID=7143231&amp;Result=3","7143231")</f>
        <v>0</v>
      </c>
      <c r="B11670" t="s">
        <v>3405</v>
      </c>
      <c r="C11670" t="s">
        <v>14893</v>
      </c>
      <c r="D11670" t="s">
        <v>19018</v>
      </c>
      <c r="E11670" t="s">
        <v>29073</v>
      </c>
      <c r="F11670" t="s">
        <v>32831</v>
      </c>
      <c r="G11670" t="s">
        <v>32839</v>
      </c>
      <c r="H11670" t="s">
        <v>32848</v>
      </c>
      <c r="I11670" t="s">
        <v>32925</v>
      </c>
      <c r="J11670" t="s">
        <v>37920</v>
      </c>
      <c r="K11670" t="s">
        <v>42729</v>
      </c>
      <c r="M11670" t="s">
        <v>46739</v>
      </c>
      <c r="N11670" t="s">
        <v>47424</v>
      </c>
      <c r="O11670" t="s">
        <v>47425</v>
      </c>
      <c r="Q11670">
        <v>5</v>
      </c>
      <c r="R11670" t="s">
        <v>47438</v>
      </c>
      <c r="S11670" t="s">
        <v>47824</v>
      </c>
      <c r="T11670" t="s">
        <v>49398</v>
      </c>
      <c r="U11670" t="s">
        <v>59157</v>
      </c>
      <c r="V11670" t="s">
        <v>63899</v>
      </c>
      <c r="W11670" t="s">
        <v>46739</v>
      </c>
      <c r="X11670" t="s">
        <v>47439</v>
      </c>
    </row>
    <row r="11671" spans="1:24">
      <c r="A11671">
        <f>HYPERLINK("https://www.philgeps.gov.ph/GEPSNONPILOT/Tender/SplashBidNoticeAbstractUI.aspx?menuIndex=3&amp;refID=7143024&amp;Result=3","7143024")</f>
        <v>0</v>
      </c>
      <c r="B11671" t="s">
        <v>214</v>
      </c>
      <c r="C11671" t="s">
        <v>14894</v>
      </c>
      <c r="D11671" t="s">
        <v>19047</v>
      </c>
      <c r="E11671" t="s">
        <v>29074</v>
      </c>
      <c r="F11671" t="s">
        <v>32831</v>
      </c>
      <c r="G11671" t="s">
        <v>32839</v>
      </c>
      <c r="H11671" t="s">
        <v>32849</v>
      </c>
      <c r="I11671" t="s">
        <v>4177</v>
      </c>
      <c r="J11671" t="s">
        <v>40134</v>
      </c>
      <c r="K11671" t="s">
        <v>42772</v>
      </c>
      <c r="M11671" t="s">
        <v>43212</v>
      </c>
      <c r="N11671" t="s">
        <v>47424</v>
      </c>
      <c r="O11671" t="s">
        <v>47425</v>
      </c>
      <c r="P11671">
        <v>0</v>
      </c>
      <c r="Q11671">
        <v>3</v>
      </c>
      <c r="R11671" t="s">
        <v>47438</v>
      </c>
      <c r="S11671" t="s">
        <v>47793</v>
      </c>
      <c r="T11671" t="s">
        <v>49594</v>
      </c>
      <c r="U11671" t="s">
        <v>50022</v>
      </c>
      <c r="W11671" t="s">
        <v>43212</v>
      </c>
      <c r="X11671" t="s">
        <v>47439</v>
      </c>
    </row>
    <row r="11672" spans="1:24">
      <c r="A11672">
        <f>HYPERLINK("https://www.philgeps.gov.ph/GEPSNONPILOT/Tender/SplashBidNoticeAbstractUI.aspx?menuIndex=3&amp;refID=7143030&amp;Result=3","7143030")</f>
        <v>0</v>
      </c>
      <c r="B11672" t="s">
        <v>3439</v>
      </c>
      <c r="C11672" t="s">
        <v>14895</v>
      </c>
      <c r="D11672" t="s">
        <v>19078</v>
      </c>
      <c r="E11672" t="s">
        <v>29075</v>
      </c>
      <c r="F11672" t="s">
        <v>32831</v>
      </c>
      <c r="G11672" t="s">
        <v>32839</v>
      </c>
      <c r="H11672" t="s">
        <v>32848</v>
      </c>
      <c r="I11672" t="s">
        <v>32928</v>
      </c>
      <c r="J11672" t="s">
        <v>33553</v>
      </c>
      <c r="K11672" t="s">
        <v>42729</v>
      </c>
      <c r="M11672" t="s">
        <v>46776</v>
      </c>
      <c r="N11672" t="s">
        <v>47424</v>
      </c>
      <c r="O11672" t="s">
        <v>47425</v>
      </c>
      <c r="P11672">
        <v>0</v>
      </c>
      <c r="Q11672">
        <v>4</v>
      </c>
      <c r="R11672" t="s">
        <v>47438</v>
      </c>
      <c r="S11672" t="s">
        <v>47793</v>
      </c>
      <c r="T11672" t="s">
        <v>49057</v>
      </c>
      <c r="U11672" t="s">
        <v>59238</v>
      </c>
      <c r="W11672" t="s">
        <v>46776</v>
      </c>
      <c r="X11672" t="s">
        <v>47439</v>
      </c>
    </row>
    <row r="11673" spans="1:24">
      <c r="A11673">
        <f>HYPERLINK("https://www.philgeps.gov.ph/GEPSNONPILOT/Tender/SplashBidNoticeAbstractUI.aspx?menuIndex=3&amp;refID=7143006&amp;Result=3","7143006")</f>
        <v>0</v>
      </c>
      <c r="B11673" t="s">
        <v>3440</v>
      </c>
      <c r="C11673" t="s">
        <v>14896</v>
      </c>
      <c r="D11673" t="s">
        <v>19034</v>
      </c>
      <c r="E11673" t="s">
        <v>29076</v>
      </c>
      <c r="F11673" t="s">
        <v>32831</v>
      </c>
      <c r="G11673" t="s">
        <v>32839</v>
      </c>
      <c r="H11673" t="s">
        <v>32848</v>
      </c>
      <c r="I11673" t="s">
        <v>7416</v>
      </c>
      <c r="J11673" t="s">
        <v>40135</v>
      </c>
      <c r="K11673" t="s">
        <v>42727</v>
      </c>
      <c r="M11673" t="s">
        <v>46777</v>
      </c>
      <c r="N11673" t="s">
        <v>47424</v>
      </c>
      <c r="O11673" t="s">
        <v>47425</v>
      </c>
      <c r="P11673">
        <v>0</v>
      </c>
      <c r="Q11673">
        <v>0</v>
      </c>
      <c r="R11673" t="s">
        <v>47438</v>
      </c>
      <c r="S11673" t="s">
        <v>47793</v>
      </c>
      <c r="T11673" t="s">
        <v>49237</v>
      </c>
      <c r="U11673" t="s">
        <v>59239</v>
      </c>
      <c r="W11673" t="s">
        <v>46777</v>
      </c>
      <c r="X11673" t="s">
        <v>47439</v>
      </c>
    </row>
    <row r="11674" spans="1:24">
      <c r="A11674">
        <f>HYPERLINK("https://www.philgeps.gov.ph/GEPSNONPILOT/Tender/SplashBidNoticeAbstractUI.aspx?menuIndex=3&amp;refID=7142249&amp;Result=3","7142249")</f>
        <v>0</v>
      </c>
      <c r="B11674" t="s">
        <v>786</v>
      </c>
      <c r="C11674" t="s">
        <v>14897</v>
      </c>
      <c r="D11674" t="s">
        <v>19056</v>
      </c>
      <c r="E11674" t="s">
        <v>29077</v>
      </c>
      <c r="F11674" t="s">
        <v>32831</v>
      </c>
      <c r="G11674" t="s">
        <v>32839</v>
      </c>
      <c r="H11674" t="s">
        <v>32848</v>
      </c>
      <c r="I11674" t="s">
        <v>4558</v>
      </c>
      <c r="J11674" t="s">
        <v>33257</v>
      </c>
      <c r="K11674" t="s">
        <v>42730</v>
      </c>
      <c r="M11674" t="s">
        <v>43815</v>
      </c>
      <c r="N11674" t="s">
        <v>47424</v>
      </c>
      <c r="O11674" t="s">
        <v>47425</v>
      </c>
      <c r="P11674">
        <v>0</v>
      </c>
      <c r="Q11674">
        <v>10</v>
      </c>
      <c r="R11674" t="s">
        <v>47438</v>
      </c>
      <c r="S11674" t="s">
        <v>47793</v>
      </c>
      <c r="T11674" t="s">
        <v>49261</v>
      </c>
      <c r="U11674" t="s">
        <v>59240</v>
      </c>
      <c r="W11674" t="s">
        <v>43815</v>
      </c>
      <c r="X11674" t="s">
        <v>47439</v>
      </c>
    </row>
    <row r="11675" spans="1:24">
      <c r="A11675">
        <f>HYPERLINK("https://www.philgeps.gov.ph/GEPSNONPILOT/Tender/SplashBidNoticeAbstractUI.aspx?menuIndex=3&amp;refID=7143022&amp;Result=3","7143022")</f>
        <v>0</v>
      </c>
      <c r="B11675" t="s">
        <v>1254</v>
      </c>
      <c r="C11675" t="s">
        <v>14898</v>
      </c>
      <c r="D11675" t="s">
        <v>19041</v>
      </c>
      <c r="E11675" t="s">
        <v>19654</v>
      </c>
      <c r="F11675" t="s">
        <v>32831</v>
      </c>
      <c r="G11675" t="s">
        <v>32839</v>
      </c>
      <c r="H11675" t="s">
        <v>32849</v>
      </c>
      <c r="I11675" t="s">
        <v>4177</v>
      </c>
      <c r="J11675" t="s">
        <v>33428</v>
      </c>
      <c r="K11675" t="s">
        <v>42832</v>
      </c>
      <c r="M11675" t="s">
        <v>44324</v>
      </c>
      <c r="N11675" t="s">
        <v>47424</v>
      </c>
      <c r="O11675" t="s">
        <v>47425</v>
      </c>
      <c r="P11675">
        <v>0</v>
      </c>
      <c r="Q11675">
        <v>1</v>
      </c>
      <c r="R11675" t="s">
        <v>47438</v>
      </c>
      <c r="S11675" t="s">
        <v>47793</v>
      </c>
      <c r="T11675" t="s">
        <v>49172</v>
      </c>
      <c r="U11675" t="s">
        <v>59241</v>
      </c>
      <c r="V11675" t="s">
        <v>62941</v>
      </c>
      <c r="W11675" t="s">
        <v>44324</v>
      </c>
      <c r="X11675" t="s">
        <v>47439</v>
      </c>
    </row>
    <row r="11676" spans="1:24">
      <c r="A11676">
        <f>HYPERLINK("https://www.philgeps.gov.ph/GEPSNONPILOT/Tender/SplashBidNoticeAbstractUI.aspx?menuIndex=3&amp;refID=7143489&amp;Result=3","7143489")</f>
        <v>0</v>
      </c>
      <c r="B11676" t="s">
        <v>3441</v>
      </c>
      <c r="C11676" t="s">
        <v>14899</v>
      </c>
      <c r="D11676" t="s">
        <v>19094</v>
      </c>
      <c r="E11676" t="s">
        <v>29078</v>
      </c>
      <c r="F11676" t="s">
        <v>32831</v>
      </c>
      <c r="G11676" t="s">
        <v>32839</v>
      </c>
      <c r="H11676" t="s">
        <v>32849</v>
      </c>
      <c r="I11676" t="s">
        <v>4177</v>
      </c>
      <c r="J11676" t="s">
        <v>37619</v>
      </c>
      <c r="K11676" t="s">
        <v>42770</v>
      </c>
      <c r="M11676" t="s">
        <v>46778</v>
      </c>
      <c r="N11676" t="s">
        <v>47424</v>
      </c>
      <c r="O11676" t="s">
        <v>47425</v>
      </c>
      <c r="P11676">
        <v>0</v>
      </c>
      <c r="Q11676">
        <v>0</v>
      </c>
      <c r="R11676" t="s">
        <v>47438</v>
      </c>
      <c r="S11676" t="s">
        <v>47793</v>
      </c>
      <c r="T11676" t="s">
        <v>49069</v>
      </c>
      <c r="U11676" t="s">
        <v>59242</v>
      </c>
      <c r="V11676" t="s">
        <v>63914</v>
      </c>
      <c r="W11676" t="s">
        <v>46778</v>
      </c>
      <c r="X11676" t="s">
        <v>47439</v>
      </c>
    </row>
    <row r="11677" spans="1:24">
      <c r="A11677">
        <f>HYPERLINK("https://www.philgeps.gov.ph/GEPSNONPILOT/Tender/SplashBidNoticeAbstractUI.aspx?menuIndex=3&amp;refID=7143479&amp;Result=3","7143479")</f>
        <v>0</v>
      </c>
      <c r="B11677" t="s">
        <v>1446</v>
      </c>
      <c r="C11677" t="s">
        <v>7488</v>
      </c>
      <c r="D11677" t="s">
        <v>19017</v>
      </c>
      <c r="E11677" t="s">
        <v>29079</v>
      </c>
      <c r="F11677" t="s">
        <v>32831</v>
      </c>
      <c r="G11677" t="s">
        <v>32839</v>
      </c>
      <c r="H11677" t="s">
        <v>32848</v>
      </c>
      <c r="I11677" t="s">
        <v>4471</v>
      </c>
      <c r="J11677" t="s">
        <v>36801</v>
      </c>
      <c r="K11677" t="s">
        <v>42763</v>
      </c>
      <c r="M11677" t="s">
        <v>46779</v>
      </c>
      <c r="N11677" t="s">
        <v>47424</v>
      </c>
      <c r="O11677" t="s">
        <v>47425</v>
      </c>
      <c r="P11677">
        <v>0</v>
      </c>
      <c r="Q11677">
        <v>6</v>
      </c>
      <c r="R11677" t="s">
        <v>47438</v>
      </c>
      <c r="S11677" t="s">
        <v>47793</v>
      </c>
      <c r="T11677" t="s">
        <v>49151</v>
      </c>
      <c r="U11677" t="s">
        <v>59243</v>
      </c>
      <c r="W11677" t="s">
        <v>46779</v>
      </c>
      <c r="X11677" t="s">
        <v>47439</v>
      </c>
    </row>
    <row r="11678" spans="1:24">
      <c r="A11678">
        <f>HYPERLINK("https://www.philgeps.gov.ph/GEPSNONPILOT/Tender/SplashBidNoticeAbstractUI.aspx?menuIndex=3&amp;refID=7143268&amp;Result=3","7143268")</f>
        <v>0</v>
      </c>
      <c r="B11678" t="s">
        <v>2457</v>
      </c>
      <c r="C11678" t="s">
        <v>14900</v>
      </c>
      <c r="D11678" t="s">
        <v>19049</v>
      </c>
      <c r="E11678" t="s">
        <v>20103</v>
      </c>
      <c r="F11678" t="s">
        <v>32831</v>
      </c>
      <c r="G11678" t="s">
        <v>32839</v>
      </c>
      <c r="H11678" t="s">
        <v>32848</v>
      </c>
      <c r="I11678" t="s">
        <v>7751</v>
      </c>
      <c r="J11678" t="s">
        <v>40136</v>
      </c>
      <c r="K11678" t="s">
        <v>42763</v>
      </c>
      <c r="M11678" t="s">
        <v>45655</v>
      </c>
      <c r="N11678" t="s">
        <v>47424</v>
      </c>
      <c r="O11678" t="s">
        <v>47425</v>
      </c>
      <c r="P11678">
        <v>0</v>
      </c>
      <c r="Q11678">
        <v>2</v>
      </c>
      <c r="R11678" t="s">
        <v>47438</v>
      </c>
      <c r="S11678" t="s">
        <v>47793</v>
      </c>
      <c r="T11678" t="s">
        <v>49218</v>
      </c>
      <c r="U11678" t="s">
        <v>55526</v>
      </c>
      <c r="V11678" t="s">
        <v>63915</v>
      </c>
      <c r="W11678" t="s">
        <v>45655</v>
      </c>
      <c r="X11678" t="s">
        <v>47439</v>
      </c>
    </row>
    <row r="11679" spans="1:24">
      <c r="A11679">
        <f>HYPERLINK("https://www.philgeps.gov.ph/GEPSNONPILOT/Tender/SplashBidNoticeAbstractUI.aspx?menuIndex=3&amp;refID=7143476&amp;Result=3","7143476")</f>
        <v>0</v>
      </c>
      <c r="B11679" t="s">
        <v>536</v>
      </c>
      <c r="C11679" t="s">
        <v>14901</v>
      </c>
      <c r="D11679" t="s">
        <v>19030</v>
      </c>
      <c r="E11679" t="s">
        <v>29080</v>
      </c>
      <c r="F11679" t="s">
        <v>32831</v>
      </c>
      <c r="G11679" t="s">
        <v>32839</v>
      </c>
      <c r="H11679" t="s">
        <v>32848</v>
      </c>
      <c r="I11679" t="s">
        <v>32857</v>
      </c>
      <c r="J11679" t="s">
        <v>40137</v>
      </c>
      <c r="K11679" t="s">
        <v>42729</v>
      </c>
      <c r="M11679" t="s">
        <v>43542</v>
      </c>
      <c r="N11679" t="s">
        <v>47424</v>
      </c>
      <c r="O11679" t="s">
        <v>47425</v>
      </c>
      <c r="P11679">
        <v>0</v>
      </c>
      <c r="Q11679">
        <v>5</v>
      </c>
      <c r="R11679" t="s">
        <v>47438</v>
      </c>
      <c r="S11679" t="s">
        <v>47793</v>
      </c>
      <c r="T11679" t="s">
        <v>49196</v>
      </c>
      <c r="U11679" t="s">
        <v>59244</v>
      </c>
      <c r="V11679" t="s">
        <v>63291</v>
      </c>
      <c r="W11679" t="s">
        <v>43542</v>
      </c>
      <c r="X11679" t="s">
        <v>47439</v>
      </c>
    </row>
    <row r="11680" spans="1:24">
      <c r="A11680">
        <f>HYPERLINK("https://www.philgeps.gov.ph/GEPSNONPILOT/Tender/SplashBidNoticeAbstractUI.aspx?menuIndex=3&amp;refID=7143472&amp;Result=3","7143472")</f>
        <v>0</v>
      </c>
      <c r="B11680" t="s">
        <v>3435</v>
      </c>
      <c r="C11680" t="s">
        <v>14902</v>
      </c>
      <c r="D11680" t="s">
        <v>19022</v>
      </c>
      <c r="E11680" t="s">
        <v>22443</v>
      </c>
      <c r="F11680" t="s">
        <v>32831</v>
      </c>
      <c r="G11680" t="s">
        <v>32839</v>
      </c>
      <c r="H11680" t="s">
        <v>32848</v>
      </c>
      <c r="I11680" t="s">
        <v>32870</v>
      </c>
      <c r="J11680" t="s">
        <v>40138</v>
      </c>
      <c r="K11680" t="s">
        <v>42730</v>
      </c>
      <c r="M11680" t="s">
        <v>46771</v>
      </c>
      <c r="N11680" t="s">
        <v>47424</v>
      </c>
      <c r="O11680" t="s">
        <v>47425</v>
      </c>
      <c r="P11680">
        <v>0</v>
      </c>
      <c r="Q11680">
        <v>2</v>
      </c>
      <c r="R11680" t="s">
        <v>47438</v>
      </c>
      <c r="S11680" t="s">
        <v>47793</v>
      </c>
      <c r="T11680" t="s">
        <v>49089</v>
      </c>
      <c r="U11680" t="s">
        <v>59245</v>
      </c>
      <c r="W11680" t="s">
        <v>46771</v>
      </c>
      <c r="X11680" t="s">
        <v>47439</v>
      </c>
    </row>
    <row r="11681" spans="1:24">
      <c r="A11681">
        <f>HYPERLINK("https://www.philgeps.gov.ph/GEPSNONPILOT/Tender/SplashBidNoticeAbstractUI.aspx?menuIndex=3&amp;refID=7143481&amp;Result=3","7143481")</f>
        <v>0</v>
      </c>
      <c r="B11681" t="s">
        <v>3437</v>
      </c>
      <c r="C11681" t="s">
        <v>14903</v>
      </c>
      <c r="D11681" t="s">
        <v>19085</v>
      </c>
      <c r="E11681" t="s">
        <v>29081</v>
      </c>
      <c r="F11681" t="s">
        <v>32831</v>
      </c>
      <c r="G11681" t="s">
        <v>32839</v>
      </c>
      <c r="H11681" t="s">
        <v>32849</v>
      </c>
      <c r="I11681" t="s">
        <v>4177</v>
      </c>
      <c r="J11681" t="s">
        <v>40139</v>
      </c>
      <c r="K11681" t="s">
        <v>42743</v>
      </c>
      <c r="M11681" t="s">
        <v>46773</v>
      </c>
      <c r="N11681" t="s">
        <v>47424</v>
      </c>
      <c r="O11681" t="s">
        <v>47425</v>
      </c>
      <c r="P11681">
        <v>0</v>
      </c>
      <c r="Q11681">
        <v>0</v>
      </c>
      <c r="R11681" t="s">
        <v>47438</v>
      </c>
      <c r="S11681" t="s">
        <v>47793</v>
      </c>
      <c r="T11681" t="s">
        <v>49063</v>
      </c>
      <c r="U11681" t="s">
        <v>59246</v>
      </c>
      <c r="W11681" t="s">
        <v>46773</v>
      </c>
      <c r="X11681" t="s">
        <v>47439</v>
      </c>
    </row>
    <row r="11682" spans="1:24">
      <c r="A11682">
        <f>HYPERLINK("https://www.philgeps.gov.ph/GEPSNONPILOT/Tender/SplashBidNoticeAbstractUI.aspx?menuIndex=3&amp;refID=7143438&amp;Result=3","7143438")</f>
        <v>0</v>
      </c>
      <c r="B11682" t="s">
        <v>1446</v>
      </c>
      <c r="C11682" t="s">
        <v>14904</v>
      </c>
      <c r="D11682" t="s">
        <v>19017</v>
      </c>
      <c r="E11682" t="s">
        <v>29082</v>
      </c>
      <c r="F11682" t="s">
        <v>32831</v>
      </c>
      <c r="G11682" t="s">
        <v>32839</v>
      </c>
      <c r="H11682" t="s">
        <v>32848</v>
      </c>
      <c r="I11682" t="s">
        <v>7416</v>
      </c>
      <c r="J11682" t="s">
        <v>40140</v>
      </c>
      <c r="K11682" t="s">
        <v>42763</v>
      </c>
      <c r="M11682" t="s">
        <v>46779</v>
      </c>
      <c r="N11682" t="s">
        <v>47424</v>
      </c>
      <c r="O11682" t="s">
        <v>47425</v>
      </c>
      <c r="P11682">
        <v>0</v>
      </c>
      <c r="Q11682">
        <v>2</v>
      </c>
      <c r="R11682" t="s">
        <v>47438</v>
      </c>
      <c r="S11682" t="s">
        <v>47793</v>
      </c>
      <c r="T11682" t="s">
        <v>49151</v>
      </c>
      <c r="U11682" t="s">
        <v>59243</v>
      </c>
      <c r="W11682" t="s">
        <v>46779</v>
      </c>
      <c r="X11682" t="s">
        <v>47439</v>
      </c>
    </row>
    <row r="11683" spans="1:24">
      <c r="A11683">
        <f>HYPERLINK("https://www.philgeps.gov.ph/GEPSNONPILOT/Tender/SplashBidNoticeAbstractUI.aspx?menuIndex=3&amp;refID=7143214&amp;Result=3","7143214")</f>
        <v>0</v>
      </c>
      <c r="B11683" t="s">
        <v>2388</v>
      </c>
      <c r="C11683" t="s">
        <v>14905</v>
      </c>
      <c r="D11683" t="s">
        <v>19075</v>
      </c>
      <c r="E11683" t="s">
        <v>29083</v>
      </c>
      <c r="F11683" t="s">
        <v>32831</v>
      </c>
      <c r="G11683" t="s">
        <v>32839</v>
      </c>
      <c r="H11683" t="s">
        <v>32849</v>
      </c>
      <c r="I11683" t="s">
        <v>4177</v>
      </c>
      <c r="J11683" t="s">
        <v>40141</v>
      </c>
      <c r="K11683" t="s">
        <v>42732</v>
      </c>
      <c r="M11683" t="s">
        <v>45579</v>
      </c>
      <c r="N11683" t="s">
        <v>47424</v>
      </c>
      <c r="O11683" t="s">
        <v>47425</v>
      </c>
      <c r="P11683">
        <v>0</v>
      </c>
      <c r="Q11683">
        <v>1</v>
      </c>
      <c r="R11683" t="s">
        <v>47438</v>
      </c>
      <c r="S11683" t="s">
        <v>47793</v>
      </c>
      <c r="T11683" t="s">
        <v>49080</v>
      </c>
      <c r="U11683" t="s">
        <v>59247</v>
      </c>
      <c r="W11683" t="s">
        <v>64507</v>
      </c>
      <c r="X11683" t="s">
        <v>47439</v>
      </c>
    </row>
    <row r="11684" spans="1:24">
      <c r="A11684">
        <f>HYPERLINK("https://www.philgeps.gov.ph/GEPSNONPILOT/Tender/SplashBidNoticeAbstractUI.aspx?menuIndex=3&amp;refID=7143431&amp;Result=3","7143431")</f>
        <v>0</v>
      </c>
      <c r="B11684" t="s">
        <v>3442</v>
      </c>
      <c r="C11684" t="s">
        <v>14906</v>
      </c>
      <c r="D11684" t="s">
        <v>19023</v>
      </c>
      <c r="E11684" t="s">
        <v>29084</v>
      </c>
      <c r="F11684" t="s">
        <v>32832</v>
      </c>
      <c r="G11684" t="s">
        <v>32839</v>
      </c>
      <c r="H11684" t="s">
        <v>32849</v>
      </c>
      <c r="I11684" t="s">
        <v>4177</v>
      </c>
      <c r="J11684" t="s">
        <v>40142</v>
      </c>
      <c r="K11684" t="s">
        <v>42730</v>
      </c>
      <c r="M11684" t="s">
        <v>46780</v>
      </c>
      <c r="N11684" t="s">
        <v>47424</v>
      </c>
      <c r="O11684" t="s">
        <v>47425</v>
      </c>
      <c r="P11684">
        <v>0</v>
      </c>
      <c r="Q11684">
        <v>1</v>
      </c>
      <c r="R11684" t="s">
        <v>47438</v>
      </c>
      <c r="S11684" t="s">
        <v>47793</v>
      </c>
      <c r="T11684" t="s">
        <v>49140</v>
      </c>
      <c r="U11684" t="s">
        <v>59248</v>
      </c>
      <c r="W11684" t="s">
        <v>46780</v>
      </c>
      <c r="X11684" t="s">
        <v>47439</v>
      </c>
    </row>
    <row r="11685" spans="1:24">
      <c r="A11685">
        <f>HYPERLINK("https://www.philgeps.gov.ph/GEPSNONPILOT/Tender/SplashBidNoticeAbstractUI.aspx?menuIndex=3&amp;refID=7142263&amp;Result=3","7142263")</f>
        <v>0</v>
      </c>
      <c r="B11685" t="s">
        <v>2192</v>
      </c>
      <c r="C11685" t="s">
        <v>14907</v>
      </c>
      <c r="D11685" t="s">
        <v>19037</v>
      </c>
      <c r="E11685" t="s">
        <v>29085</v>
      </c>
      <c r="F11685" t="s">
        <v>32831</v>
      </c>
      <c r="G11685" t="s">
        <v>32839</v>
      </c>
      <c r="H11685" t="s">
        <v>32849</v>
      </c>
      <c r="I11685" t="s">
        <v>4177</v>
      </c>
      <c r="J11685" t="s">
        <v>33083</v>
      </c>
      <c r="K11685" t="s">
        <v>42766</v>
      </c>
      <c r="M11685" t="s">
        <v>45372</v>
      </c>
      <c r="N11685" t="s">
        <v>47424</v>
      </c>
      <c r="O11685" t="s">
        <v>47425</v>
      </c>
      <c r="P11685">
        <v>0</v>
      </c>
      <c r="Q11685">
        <v>0</v>
      </c>
      <c r="R11685" t="s">
        <v>47438</v>
      </c>
      <c r="S11685" t="s">
        <v>47793</v>
      </c>
      <c r="T11685" t="s">
        <v>49172</v>
      </c>
      <c r="U11685" t="s">
        <v>59249</v>
      </c>
      <c r="W11685" t="s">
        <v>45372</v>
      </c>
      <c r="X11685" t="s">
        <v>47439</v>
      </c>
    </row>
    <row r="11686" spans="1:24">
      <c r="A11686">
        <f>HYPERLINK("https://www.philgeps.gov.ph/GEPSNONPILOT/Tender/SplashBidNoticeAbstractUI.aspx?menuIndex=3&amp;refID=7143430&amp;Result=3","7143430")</f>
        <v>0</v>
      </c>
      <c r="B11686" t="s">
        <v>1334</v>
      </c>
      <c r="C11686" t="s">
        <v>14908</v>
      </c>
      <c r="D11686" t="s">
        <v>19077</v>
      </c>
      <c r="E11686" t="s">
        <v>29086</v>
      </c>
      <c r="F11686" t="s">
        <v>32831</v>
      </c>
      <c r="G11686" t="s">
        <v>32839</v>
      </c>
      <c r="H11686" t="s">
        <v>32848</v>
      </c>
      <c r="I11686" t="s">
        <v>4776</v>
      </c>
      <c r="J11686" t="s">
        <v>34348</v>
      </c>
      <c r="K11686" t="s">
        <v>42732</v>
      </c>
      <c r="M11686" t="s">
        <v>44406</v>
      </c>
      <c r="N11686" t="s">
        <v>47424</v>
      </c>
      <c r="O11686" t="s">
        <v>47425</v>
      </c>
      <c r="P11686">
        <v>0</v>
      </c>
      <c r="Q11686">
        <v>1</v>
      </c>
      <c r="R11686" t="s">
        <v>47438</v>
      </c>
      <c r="S11686" t="s">
        <v>47793</v>
      </c>
      <c r="T11686" t="s">
        <v>49163</v>
      </c>
      <c r="U11686" t="s">
        <v>59250</v>
      </c>
      <c r="W11686" t="s">
        <v>44406</v>
      </c>
      <c r="X11686" t="s">
        <v>47439</v>
      </c>
    </row>
    <row r="11687" spans="1:24">
      <c r="A11687">
        <f>HYPERLINK("https://www.philgeps.gov.ph/GEPSNONPILOT/Tender/SplashBidNoticeAbstractUI.aspx?menuIndex=3&amp;refID=7143447&amp;Result=3","7143447")</f>
        <v>0</v>
      </c>
      <c r="B11687" t="s">
        <v>3074</v>
      </c>
      <c r="C11687" t="s">
        <v>14909</v>
      </c>
      <c r="D11687" t="s">
        <v>19022</v>
      </c>
      <c r="E11687" t="s">
        <v>29087</v>
      </c>
      <c r="F11687" t="s">
        <v>32831</v>
      </c>
      <c r="G11687" t="s">
        <v>32839</v>
      </c>
      <c r="H11687" t="s">
        <v>32849</v>
      </c>
      <c r="I11687" t="s">
        <v>4177</v>
      </c>
      <c r="J11687" t="s">
        <v>40143</v>
      </c>
      <c r="K11687" t="s">
        <v>42948</v>
      </c>
      <c r="M11687" t="s">
        <v>46353</v>
      </c>
      <c r="N11687" t="s">
        <v>47424</v>
      </c>
      <c r="O11687" t="s">
        <v>47425</v>
      </c>
      <c r="P11687">
        <v>0</v>
      </c>
      <c r="Q11687">
        <v>0</v>
      </c>
      <c r="R11687" t="s">
        <v>47438</v>
      </c>
      <c r="S11687" t="s">
        <v>47793</v>
      </c>
      <c r="T11687" t="s">
        <v>49464</v>
      </c>
      <c r="U11687" t="s">
        <v>59110</v>
      </c>
      <c r="W11687" t="s">
        <v>46353</v>
      </c>
      <c r="X11687" t="s">
        <v>47439</v>
      </c>
    </row>
    <row r="11688" spans="1:24">
      <c r="A11688">
        <f>HYPERLINK("https://www.philgeps.gov.ph/GEPSNONPILOT/Tender/SplashBidNoticeAbstractUI.aspx?menuIndex=3&amp;refID=7143415&amp;Result=3","7143415")</f>
        <v>0</v>
      </c>
      <c r="B11688" t="s">
        <v>688</v>
      </c>
      <c r="C11688" t="s">
        <v>4558</v>
      </c>
      <c r="E11688" t="s">
        <v>29088</v>
      </c>
      <c r="F11688" t="s">
        <v>32831</v>
      </c>
      <c r="G11688" t="s">
        <v>32839</v>
      </c>
      <c r="H11688" t="s">
        <v>32848</v>
      </c>
      <c r="I11688" t="s">
        <v>4558</v>
      </c>
      <c r="J11688" t="s">
        <v>40144</v>
      </c>
      <c r="K11688" t="s">
        <v>42732</v>
      </c>
      <c r="M11688" t="s">
        <v>43707</v>
      </c>
      <c r="N11688" t="s">
        <v>47424</v>
      </c>
      <c r="O11688" t="s">
        <v>47425</v>
      </c>
      <c r="P11688">
        <v>0</v>
      </c>
      <c r="Q11688">
        <v>1</v>
      </c>
      <c r="R11688" t="s">
        <v>47438</v>
      </c>
      <c r="S11688" t="s">
        <v>47793</v>
      </c>
      <c r="T11688" t="s">
        <v>49259</v>
      </c>
      <c r="U11688" t="s">
        <v>56708</v>
      </c>
      <c r="W11688" t="s">
        <v>43707</v>
      </c>
      <c r="X11688" t="s">
        <v>47439</v>
      </c>
    </row>
    <row r="11689" spans="1:24">
      <c r="A11689">
        <f>HYPERLINK("https://www.philgeps.gov.ph/GEPSNONPILOT/Tender/SplashBidNoticeAbstractUI.aspx?menuIndex=3&amp;refID=7143407&amp;Result=3","7143407")</f>
        <v>0</v>
      </c>
      <c r="B11689" t="s">
        <v>581</v>
      </c>
      <c r="C11689" t="s">
        <v>14910</v>
      </c>
      <c r="D11689" t="s">
        <v>19044</v>
      </c>
      <c r="E11689" t="s">
        <v>29089</v>
      </c>
      <c r="F11689" t="s">
        <v>32831</v>
      </c>
      <c r="G11689" t="s">
        <v>32841</v>
      </c>
      <c r="H11689" t="s">
        <v>32848</v>
      </c>
      <c r="I11689" t="s">
        <v>32870</v>
      </c>
      <c r="J11689" t="s">
        <v>40145</v>
      </c>
      <c r="K11689" t="s">
        <v>42732</v>
      </c>
      <c r="M11689" t="s">
        <v>43986</v>
      </c>
      <c r="N11689" t="s">
        <v>47424</v>
      </c>
      <c r="O11689" t="s">
        <v>47425</v>
      </c>
      <c r="P11689">
        <v>0</v>
      </c>
      <c r="Q11689">
        <v>2</v>
      </c>
      <c r="R11689" t="s">
        <v>47438</v>
      </c>
      <c r="S11689" t="s">
        <v>47793</v>
      </c>
      <c r="T11689" t="s">
        <v>49111</v>
      </c>
      <c r="U11689" t="s">
        <v>59251</v>
      </c>
      <c r="W11689" t="s">
        <v>43986</v>
      </c>
      <c r="X11689" t="s">
        <v>47439</v>
      </c>
    </row>
    <row r="11690" spans="1:24">
      <c r="A11690">
        <f>HYPERLINK("https://www.philgeps.gov.ph/GEPSNONPILOT/Tender/SplashBidNoticeAbstractUI.aspx?menuIndex=3&amp;refID=7143643&amp;Result=3","7143643")</f>
        <v>0</v>
      </c>
      <c r="B11690" t="s">
        <v>1446</v>
      </c>
      <c r="C11690" t="s">
        <v>14911</v>
      </c>
      <c r="D11690" t="s">
        <v>19017</v>
      </c>
      <c r="E11690" t="s">
        <v>29090</v>
      </c>
      <c r="F11690" t="s">
        <v>32831</v>
      </c>
      <c r="G11690" t="s">
        <v>32839</v>
      </c>
      <c r="H11690" t="s">
        <v>32848</v>
      </c>
      <c r="I11690" t="s">
        <v>4222</v>
      </c>
      <c r="J11690" t="s">
        <v>40146</v>
      </c>
      <c r="K11690" t="s">
        <v>42763</v>
      </c>
      <c r="M11690" t="s">
        <v>46779</v>
      </c>
      <c r="N11690" t="s">
        <v>47424</v>
      </c>
      <c r="O11690" t="s">
        <v>47425</v>
      </c>
      <c r="P11690">
        <v>0</v>
      </c>
      <c r="Q11690">
        <v>2</v>
      </c>
      <c r="R11690" t="s">
        <v>47438</v>
      </c>
      <c r="S11690" t="s">
        <v>47793</v>
      </c>
      <c r="T11690" t="s">
        <v>49151</v>
      </c>
      <c r="U11690" t="s">
        <v>59243</v>
      </c>
      <c r="W11690" t="s">
        <v>46779</v>
      </c>
      <c r="X11690" t="s">
        <v>47439</v>
      </c>
    </row>
    <row r="11691" spans="1:24">
      <c r="A11691">
        <f>HYPERLINK("https://www.philgeps.gov.ph/GEPSNONPILOT/Tender/SplashBidNoticeAbstractUI.aspx?menuIndex=3&amp;refID=7143437&amp;Result=3","7143437")</f>
        <v>0</v>
      </c>
      <c r="B11691" t="s">
        <v>3405</v>
      </c>
      <c r="C11691" t="s">
        <v>14912</v>
      </c>
      <c r="D11691" t="s">
        <v>19018</v>
      </c>
      <c r="E11691" t="s">
        <v>29091</v>
      </c>
      <c r="F11691" t="s">
        <v>32831</v>
      </c>
      <c r="G11691" t="s">
        <v>32839</v>
      </c>
      <c r="H11691" t="s">
        <v>32848</v>
      </c>
      <c r="I11691" t="s">
        <v>32925</v>
      </c>
      <c r="J11691" t="s">
        <v>40147</v>
      </c>
      <c r="K11691" t="s">
        <v>42729</v>
      </c>
      <c r="M11691" t="s">
        <v>46739</v>
      </c>
      <c r="N11691" t="s">
        <v>47424</v>
      </c>
      <c r="O11691" t="s">
        <v>47425</v>
      </c>
      <c r="Q11691">
        <v>3</v>
      </c>
      <c r="R11691" t="s">
        <v>47438</v>
      </c>
      <c r="S11691" t="s">
        <v>47825</v>
      </c>
      <c r="T11691" t="s">
        <v>49398</v>
      </c>
      <c r="U11691" t="s">
        <v>59157</v>
      </c>
      <c r="V11691" t="s">
        <v>63899</v>
      </c>
      <c r="W11691" t="s">
        <v>46739</v>
      </c>
      <c r="X11691" t="s">
        <v>47439</v>
      </c>
    </row>
    <row r="11692" spans="1:24">
      <c r="A11692">
        <f>HYPERLINK("https://www.philgeps.gov.ph/GEPSNONPILOT/Tender/SplashBidNoticeAbstractUI.aspx?menuIndex=3&amp;refID=7143420&amp;Result=3","7143420")</f>
        <v>0</v>
      </c>
      <c r="B11692" t="s">
        <v>3443</v>
      </c>
      <c r="C11692" t="s">
        <v>14913</v>
      </c>
      <c r="D11692" t="s">
        <v>19081</v>
      </c>
      <c r="E11692" t="s">
        <v>29092</v>
      </c>
      <c r="F11692" t="s">
        <v>32831</v>
      </c>
      <c r="G11692" t="s">
        <v>32839</v>
      </c>
      <c r="H11692" t="s">
        <v>32849</v>
      </c>
      <c r="I11692" t="s">
        <v>4177</v>
      </c>
      <c r="J11692" t="s">
        <v>40148</v>
      </c>
      <c r="K11692" t="s">
        <v>42791</v>
      </c>
      <c r="M11692" t="s">
        <v>46781</v>
      </c>
      <c r="N11692" t="s">
        <v>47424</v>
      </c>
      <c r="O11692" t="s">
        <v>47425</v>
      </c>
      <c r="P11692">
        <v>0</v>
      </c>
      <c r="Q11692">
        <v>0</v>
      </c>
      <c r="R11692" t="s">
        <v>47438</v>
      </c>
      <c r="S11692" t="s">
        <v>47793</v>
      </c>
      <c r="T11692" t="s">
        <v>49594</v>
      </c>
      <c r="U11692" t="s">
        <v>59252</v>
      </c>
      <c r="W11692" t="s">
        <v>46781</v>
      </c>
      <c r="X11692" t="s">
        <v>47439</v>
      </c>
    </row>
    <row r="11693" spans="1:24">
      <c r="A11693">
        <f>HYPERLINK("https://www.philgeps.gov.ph/GEPSNONPILOT/Tender/SplashBidNoticeAbstractUI.aspx?menuIndex=3&amp;refID=7143610&amp;Result=3","7143610")</f>
        <v>0</v>
      </c>
      <c r="B11693" t="s">
        <v>1446</v>
      </c>
      <c r="C11693" t="s">
        <v>14914</v>
      </c>
      <c r="D11693" t="s">
        <v>19017</v>
      </c>
      <c r="E11693" t="s">
        <v>29093</v>
      </c>
      <c r="F11693" t="s">
        <v>32831</v>
      </c>
      <c r="G11693" t="s">
        <v>32839</v>
      </c>
      <c r="H11693" t="s">
        <v>32848</v>
      </c>
      <c r="I11693" t="s">
        <v>4340</v>
      </c>
      <c r="J11693" t="s">
        <v>35952</v>
      </c>
      <c r="K11693" t="s">
        <v>42763</v>
      </c>
      <c r="M11693" t="s">
        <v>46779</v>
      </c>
      <c r="N11693" t="s">
        <v>47424</v>
      </c>
      <c r="O11693" t="s">
        <v>47425</v>
      </c>
      <c r="P11693">
        <v>0</v>
      </c>
      <c r="Q11693">
        <v>2</v>
      </c>
      <c r="R11693" t="s">
        <v>47438</v>
      </c>
      <c r="S11693" t="s">
        <v>47793</v>
      </c>
      <c r="T11693" t="s">
        <v>49151</v>
      </c>
      <c r="U11693" t="s">
        <v>59243</v>
      </c>
      <c r="W11693" t="s">
        <v>46779</v>
      </c>
      <c r="X11693" t="s">
        <v>47439</v>
      </c>
    </row>
    <row r="11694" spans="1:24">
      <c r="A11694">
        <f>HYPERLINK("https://www.philgeps.gov.ph/GEPSNONPILOT/Tender/SplashBidNoticeAbstractUI.aspx?menuIndex=3&amp;refID=7143605&amp;Result=3","7143605")</f>
        <v>0</v>
      </c>
      <c r="B11694" t="s">
        <v>1296</v>
      </c>
      <c r="C11694" t="s">
        <v>14915</v>
      </c>
      <c r="D11694" t="s">
        <v>19034</v>
      </c>
      <c r="E11694" t="s">
        <v>29094</v>
      </c>
      <c r="F11694" t="s">
        <v>32831</v>
      </c>
      <c r="G11694" t="s">
        <v>32839</v>
      </c>
      <c r="H11694" t="s">
        <v>32848</v>
      </c>
      <c r="I11694" t="s">
        <v>7751</v>
      </c>
      <c r="J11694" t="s">
        <v>40149</v>
      </c>
      <c r="K11694" t="s">
        <v>42730</v>
      </c>
      <c r="M11694" t="s">
        <v>44366</v>
      </c>
      <c r="N11694" t="s">
        <v>47424</v>
      </c>
      <c r="O11694" t="s">
        <v>47425</v>
      </c>
      <c r="P11694">
        <v>0</v>
      </c>
      <c r="Q11694">
        <v>3</v>
      </c>
      <c r="R11694" t="s">
        <v>47438</v>
      </c>
      <c r="S11694" t="s">
        <v>47793</v>
      </c>
      <c r="T11694" t="s">
        <v>49196</v>
      </c>
      <c r="U11694" t="s">
        <v>59253</v>
      </c>
      <c r="V11694" t="s">
        <v>62833</v>
      </c>
      <c r="W11694" t="s">
        <v>44366</v>
      </c>
      <c r="X11694" t="s">
        <v>47439</v>
      </c>
    </row>
    <row r="11695" spans="1:24">
      <c r="A11695">
        <f>HYPERLINK("https://www.philgeps.gov.ph/GEPSNONPILOT/Tender/SplashBidNoticeAbstractUI.aspx?menuIndex=3&amp;refID=7143642&amp;Result=3","7143642")</f>
        <v>0</v>
      </c>
      <c r="B11695" t="s">
        <v>3433</v>
      </c>
      <c r="C11695" t="s">
        <v>14916</v>
      </c>
      <c r="D11695" t="s">
        <v>19044</v>
      </c>
      <c r="E11695" t="s">
        <v>29095</v>
      </c>
      <c r="F11695" t="s">
        <v>32831</v>
      </c>
      <c r="G11695" t="s">
        <v>32839</v>
      </c>
      <c r="H11695" t="s">
        <v>32848</v>
      </c>
      <c r="I11695" t="s">
        <v>32906</v>
      </c>
      <c r="J11695" t="s">
        <v>40150</v>
      </c>
      <c r="K11695" t="s">
        <v>42732</v>
      </c>
      <c r="M11695" t="s">
        <v>46768</v>
      </c>
      <c r="N11695" t="s">
        <v>47424</v>
      </c>
      <c r="O11695" t="s">
        <v>47425</v>
      </c>
      <c r="Q11695">
        <v>13</v>
      </c>
      <c r="R11695" t="s">
        <v>47438</v>
      </c>
      <c r="S11695" t="s">
        <v>47826</v>
      </c>
      <c r="T11695" t="s">
        <v>49069</v>
      </c>
      <c r="U11695" t="s">
        <v>59254</v>
      </c>
      <c r="W11695" t="s">
        <v>46768</v>
      </c>
      <c r="X11695" t="s">
        <v>47439</v>
      </c>
    </row>
    <row r="11696" spans="1:24">
      <c r="A11696">
        <f>HYPERLINK("https://www.philgeps.gov.ph/GEPSNONPILOT/Tender/SplashBidNoticeAbstractUI.aspx?menuIndex=3&amp;refID=7143467&amp;Result=3","7143467")</f>
        <v>0</v>
      </c>
      <c r="B11696" t="s">
        <v>3444</v>
      </c>
      <c r="C11696" t="s">
        <v>14917</v>
      </c>
      <c r="E11696" t="s">
        <v>27337</v>
      </c>
      <c r="F11696" t="s">
        <v>32833</v>
      </c>
      <c r="G11696" t="s">
        <v>32839</v>
      </c>
      <c r="H11696" t="s">
        <v>32848</v>
      </c>
      <c r="I11696" t="s">
        <v>10805</v>
      </c>
      <c r="J11696" t="s">
        <v>35715</v>
      </c>
      <c r="K11696" t="s">
        <v>42748</v>
      </c>
      <c r="M11696" t="s">
        <v>46782</v>
      </c>
      <c r="N11696" t="s">
        <v>47424</v>
      </c>
      <c r="O11696" t="s">
        <v>47425</v>
      </c>
      <c r="P11696">
        <v>0</v>
      </c>
      <c r="Q11696">
        <v>1</v>
      </c>
      <c r="R11696" t="s">
        <v>47438</v>
      </c>
      <c r="S11696" t="s">
        <v>47793</v>
      </c>
      <c r="T11696" t="s">
        <v>49079</v>
      </c>
      <c r="U11696" t="s">
        <v>59255</v>
      </c>
      <c r="V11696" t="s">
        <v>63916</v>
      </c>
      <c r="W11696" t="s">
        <v>46782</v>
      </c>
      <c r="X11696" t="s">
        <v>47439</v>
      </c>
    </row>
    <row r="11697" spans="1:24">
      <c r="A11697">
        <f>HYPERLINK("https://www.philgeps.gov.ph/GEPSNONPILOT/Tender/SplashBidNoticeAbstractUI.aspx?menuIndex=3&amp;refID=7143596&amp;Result=3","7143596")</f>
        <v>0</v>
      </c>
      <c r="B11697" t="s">
        <v>231</v>
      </c>
      <c r="C11697" t="s">
        <v>14918</v>
      </c>
      <c r="D11697" t="s">
        <v>19039</v>
      </c>
      <c r="E11697" t="s">
        <v>29096</v>
      </c>
      <c r="F11697" t="s">
        <v>32831</v>
      </c>
      <c r="G11697" t="s">
        <v>32839</v>
      </c>
      <c r="H11697" t="s">
        <v>32848</v>
      </c>
      <c r="I11697" t="s">
        <v>9577</v>
      </c>
      <c r="J11697" t="s">
        <v>40151</v>
      </c>
      <c r="K11697" t="s">
        <v>42730</v>
      </c>
      <c r="M11697" t="s">
        <v>43230</v>
      </c>
      <c r="N11697" t="s">
        <v>47424</v>
      </c>
      <c r="O11697" t="s">
        <v>47425</v>
      </c>
      <c r="Q11697">
        <v>2</v>
      </c>
      <c r="R11697" t="s">
        <v>47438</v>
      </c>
      <c r="S11697" t="s">
        <v>47825</v>
      </c>
      <c r="T11697" t="s">
        <v>49143</v>
      </c>
      <c r="U11697" t="s">
        <v>59256</v>
      </c>
      <c r="W11697" t="s">
        <v>43230</v>
      </c>
      <c r="X11697" t="s">
        <v>47439</v>
      </c>
    </row>
    <row r="11698" spans="1:24">
      <c r="A11698">
        <f>HYPERLINK("https://www.philgeps.gov.ph/GEPSNONPILOT/Tender/SplashBidNoticeAbstractUI.aspx?menuIndex=3&amp;refID=7143630&amp;Result=3","7143630")</f>
        <v>0</v>
      </c>
      <c r="B11698" t="s">
        <v>1446</v>
      </c>
      <c r="C11698" t="s">
        <v>14919</v>
      </c>
      <c r="D11698" t="s">
        <v>19017</v>
      </c>
      <c r="E11698" t="s">
        <v>29097</v>
      </c>
      <c r="F11698" t="s">
        <v>32831</v>
      </c>
      <c r="G11698" t="s">
        <v>32839</v>
      </c>
      <c r="H11698" t="s">
        <v>32848</v>
      </c>
      <c r="I11698" t="s">
        <v>4438</v>
      </c>
      <c r="J11698" t="s">
        <v>33528</v>
      </c>
      <c r="K11698" t="s">
        <v>42763</v>
      </c>
      <c r="M11698" t="s">
        <v>46779</v>
      </c>
      <c r="N11698" t="s">
        <v>47424</v>
      </c>
      <c r="O11698" t="s">
        <v>47425</v>
      </c>
      <c r="P11698">
        <v>0</v>
      </c>
      <c r="Q11698">
        <v>2</v>
      </c>
      <c r="R11698" t="s">
        <v>47438</v>
      </c>
      <c r="S11698" t="s">
        <v>47793</v>
      </c>
      <c r="T11698" t="s">
        <v>49151</v>
      </c>
      <c r="U11698" t="s">
        <v>59243</v>
      </c>
      <c r="W11698" t="s">
        <v>46779</v>
      </c>
      <c r="X11698" t="s">
        <v>47439</v>
      </c>
    </row>
    <row r="11699" spans="1:24">
      <c r="A11699">
        <f>HYPERLINK("https://www.philgeps.gov.ph/GEPSNONPILOT/Tender/SplashBidNoticeAbstractUI.aspx?menuIndex=3&amp;refID=7143593&amp;Result=3","7143593")</f>
        <v>0</v>
      </c>
      <c r="B11699" t="s">
        <v>3433</v>
      </c>
      <c r="C11699" t="s">
        <v>14920</v>
      </c>
      <c r="D11699" t="s">
        <v>19044</v>
      </c>
      <c r="E11699" t="s">
        <v>29098</v>
      </c>
      <c r="F11699" t="s">
        <v>32831</v>
      </c>
      <c r="G11699" t="s">
        <v>32839</v>
      </c>
      <c r="H11699" t="s">
        <v>32848</v>
      </c>
      <c r="I11699" t="s">
        <v>32906</v>
      </c>
      <c r="J11699" t="s">
        <v>40152</v>
      </c>
      <c r="K11699" t="s">
        <v>42732</v>
      </c>
      <c r="M11699" t="s">
        <v>46768</v>
      </c>
      <c r="N11699" t="s">
        <v>47424</v>
      </c>
      <c r="O11699" t="s">
        <v>47425</v>
      </c>
      <c r="Q11699">
        <v>14</v>
      </c>
      <c r="R11699" t="s">
        <v>47438</v>
      </c>
      <c r="S11699" t="s">
        <v>47827</v>
      </c>
      <c r="T11699" t="s">
        <v>49069</v>
      </c>
      <c r="U11699" t="s">
        <v>59257</v>
      </c>
      <c r="W11699" t="s">
        <v>46768</v>
      </c>
      <c r="X11699" t="s">
        <v>47439</v>
      </c>
    </row>
    <row r="11700" spans="1:24">
      <c r="A11700">
        <f>HYPERLINK("https://www.philgeps.gov.ph/GEPSNONPILOT/Tender/SplashBidNoticeAbstractUI.aspx?menuIndex=3&amp;refID=7143464&amp;Result=3","7143464")</f>
        <v>0</v>
      </c>
      <c r="B11700" t="s">
        <v>583</v>
      </c>
      <c r="C11700" t="s">
        <v>14921</v>
      </c>
      <c r="D11700" t="s">
        <v>19069</v>
      </c>
      <c r="E11700" t="s">
        <v>29099</v>
      </c>
      <c r="F11700" t="s">
        <v>32831</v>
      </c>
      <c r="G11700" t="s">
        <v>32839</v>
      </c>
      <c r="H11700" t="s">
        <v>32849</v>
      </c>
      <c r="I11700" t="s">
        <v>4177</v>
      </c>
      <c r="J11700" t="s">
        <v>36189</v>
      </c>
      <c r="K11700" t="s">
        <v>42730</v>
      </c>
      <c r="M11700" t="s">
        <v>43594</v>
      </c>
      <c r="N11700" t="s">
        <v>47424</v>
      </c>
      <c r="O11700" t="s">
        <v>47425</v>
      </c>
      <c r="P11700">
        <v>0</v>
      </c>
      <c r="Q11700">
        <v>4</v>
      </c>
      <c r="R11700" t="s">
        <v>47438</v>
      </c>
      <c r="S11700" t="s">
        <v>47793</v>
      </c>
      <c r="T11700" t="s">
        <v>49106</v>
      </c>
      <c r="U11700" t="s">
        <v>59258</v>
      </c>
      <c r="V11700" t="s">
        <v>63917</v>
      </c>
      <c r="W11700" t="s">
        <v>43594</v>
      </c>
      <c r="X11700" t="s">
        <v>47439</v>
      </c>
    </row>
    <row r="11701" spans="1:24">
      <c r="A11701">
        <f>HYPERLINK("https://www.philgeps.gov.ph/GEPSNONPILOT/Tender/SplashBidNoticeAbstractUI.aspx?menuIndex=3&amp;refID=7143750&amp;Result=3","7143750")</f>
        <v>0</v>
      </c>
      <c r="B11701" t="s">
        <v>1446</v>
      </c>
      <c r="C11701" t="s">
        <v>14922</v>
      </c>
      <c r="D11701" t="s">
        <v>19017</v>
      </c>
      <c r="E11701" t="s">
        <v>29100</v>
      </c>
      <c r="F11701" t="s">
        <v>32831</v>
      </c>
      <c r="G11701" t="s">
        <v>32839</v>
      </c>
      <c r="H11701" t="s">
        <v>32848</v>
      </c>
      <c r="I11701" t="s">
        <v>4438</v>
      </c>
      <c r="J11701" t="s">
        <v>34578</v>
      </c>
      <c r="K11701" t="s">
        <v>42763</v>
      </c>
      <c r="M11701" t="s">
        <v>46779</v>
      </c>
      <c r="N11701" t="s">
        <v>47424</v>
      </c>
      <c r="O11701" t="s">
        <v>47425</v>
      </c>
      <c r="P11701">
        <v>0</v>
      </c>
      <c r="Q11701">
        <v>2</v>
      </c>
      <c r="R11701" t="s">
        <v>47438</v>
      </c>
      <c r="S11701" t="s">
        <v>47793</v>
      </c>
      <c r="T11701" t="s">
        <v>49151</v>
      </c>
      <c r="U11701" t="s">
        <v>59243</v>
      </c>
      <c r="W11701" t="s">
        <v>46779</v>
      </c>
      <c r="X11701" t="s">
        <v>47439</v>
      </c>
    </row>
    <row r="11702" spans="1:24">
      <c r="A11702">
        <f>HYPERLINK("https://www.philgeps.gov.ph/GEPSNONPILOT/Tender/SplashBidNoticeAbstractUI.aspx?menuIndex=3&amp;refID=7143597&amp;Result=3","7143597")</f>
        <v>0</v>
      </c>
      <c r="B11702" t="s">
        <v>2170</v>
      </c>
      <c r="C11702" t="s">
        <v>14923</v>
      </c>
      <c r="D11702" t="s">
        <v>19066</v>
      </c>
      <c r="E11702" t="s">
        <v>29101</v>
      </c>
      <c r="F11702" t="s">
        <v>32831</v>
      </c>
      <c r="G11702" t="s">
        <v>32839</v>
      </c>
      <c r="H11702" t="s">
        <v>32848</v>
      </c>
      <c r="I11702" t="s">
        <v>7751</v>
      </c>
      <c r="J11702" t="s">
        <v>40153</v>
      </c>
      <c r="K11702" t="s">
        <v>42729</v>
      </c>
      <c r="M11702" t="s">
        <v>45348</v>
      </c>
      <c r="N11702" t="s">
        <v>47424</v>
      </c>
      <c r="O11702" t="s">
        <v>47425</v>
      </c>
      <c r="P11702">
        <v>0</v>
      </c>
      <c r="Q11702">
        <v>10</v>
      </c>
      <c r="R11702" t="s">
        <v>47438</v>
      </c>
      <c r="S11702" t="s">
        <v>47793</v>
      </c>
      <c r="T11702" t="s">
        <v>49221</v>
      </c>
      <c r="U11702" t="s">
        <v>59259</v>
      </c>
      <c r="W11702" t="s">
        <v>45348</v>
      </c>
      <c r="X11702" t="s">
        <v>47439</v>
      </c>
    </row>
    <row r="11703" spans="1:24">
      <c r="A11703">
        <f>HYPERLINK("https://www.philgeps.gov.ph/GEPSNONPILOT/Tender/SplashBidNoticeAbstractUI.aspx?menuIndex=3&amp;refID=7143452&amp;Result=3","7143452")</f>
        <v>0</v>
      </c>
      <c r="B11703" t="s">
        <v>1533</v>
      </c>
      <c r="C11703" t="s">
        <v>14924</v>
      </c>
      <c r="D11703" t="s">
        <v>19093</v>
      </c>
      <c r="E11703" t="s">
        <v>29102</v>
      </c>
      <c r="F11703" t="s">
        <v>32831</v>
      </c>
      <c r="G11703" t="s">
        <v>32839</v>
      </c>
      <c r="H11703" t="s">
        <v>32848</v>
      </c>
      <c r="I11703" t="s">
        <v>7751</v>
      </c>
      <c r="J11703" t="s">
        <v>34733</v>
      </c>
      <c r="K11703" t="s">
        <v>42726</v>
      </c>
      <c r="M11703" t="s">
        <v>44637</v>
      </c>
      <c r="N11703" t="s">
        <v>47424</v>
      </c>
      <c r="O11703" t="s">
        <v>47425</v>
      </c>
      <c r="P11703">
        <v>0</v>
      </c>
      <c r="Q11703">
        <v>7</v>
      </c>
      <c r="R11703" t="s">
        <v>47438</v>
      </c>
      <c r="S11703" t="s">
        <v>47793</v>
      </c>
      <c r="T11703" t="s">
        <v>49173</v>
      </c>
      <c r="U11703" t="s">
        <v>59260</v>
      </c>
      <c r="W11703" t="s">
        <v>44637</v>
      </c>
      <c r="X11703" t="s">
        <v>47439</v>
      </c>
    </row>
    <row r="11704" spans="1:24">
      <c r="A11704">
        <f>HYPERLINK("https://www.philgeps.gov.ph/GEPSNONPILOT/Tender/SplashBidNoticeAbstractUI.aspx?menuIndex=3&amp;refID=7143749&amp;Result=3","7143749")</f>
        <v>0</v>
      </c>
      <c r="B11704" t="s">
        <v>3445</v>
      </c>
      <c r="C11704" t="s">
        <v>14925</v>
      </c>
      <c r="D11704" t="s">
        <v>19032</v>
      </c>
      <c r="E11704" t="s">
        <v>29103</v>
      </c>
      <c r="F11704" t="s">
        <v>32831</v>
      </c>
      <c r="G11704" t="s">
        <v>32839</v>
      </c>
      <c r="H11704" t="s">
        <v>32849</v>
      </c>
      <c r="I11704" t="s">
        <v>4177</v>
      </c>
      <c r="J11704" t="s">
        <v>40154</v>
      </c>
      <c r="K11704" t="s">
        <v>42727</v>
      </c>
      <c r="M11704" t="s">
        <v>46783</v>
      </c>
      <c r="N11704" t="s">
        <v>47424</v>
      </c>
      <c r="O11704" t="s">
        <v>47425</v>
      </c>
      <c r="P11704">
        <v>0</v>
      </c>
      <c r="Q11704">
        <v>1</v>
      </c>
      <c r="R11704" t="s">
        <v>47438</v>
      </c>
      <c r="S11704" t="s">
        <v>47793</v>
      </c>
      <c r="T11704" t="s">
        <v>49063</v>
      </c>
      <c r="U11704" t="s">
        <v>59261</v>
      </c>
      <c r="W11704" t="s">
        <v>46783</v>
      </c>
      <c r="X11704" t="s">
        <v>47439</v>
      </c>
    </row>
    <row r="11705" spans="1:24">
      <c r="A11705">
        <f>HYPERLINK("https://www.philgeps.gov.ph/GEPSNONPILOT/Tender/SplashBidNoticeAbstractUI.aspx?menuIndex=3&amp;refID=7143739&amp;Result=3","7143739")</f>
        <v>0</v>
      </c>
      <c r="B11705" t="s">
        <v>3446</v>
      </c>
      <c r="C11705" t="s">
        <v>14926</v>
      </c>
      <c r="D11705" t="s">
        <v>19028</v>
      </c>
      <c r="E11705" t="s">
        <v>29104</v>
      </c>
      <c r="F11705" t="s">
        <v>32831</v>
      </c>
      <c r="G11705" t="s">
        <v>32839</v>
      </c>
      <c r="H11705" t="s">
        <v>32848</v>
      </c>
      <c r="I11705" t="s">
        <v>32862</v>
      </c>
      <c r="J11705" t="s">
        <v>40155</v>
      </c>
      <c r="K11705" t="s">
        <v>42730</v>
      </c>
      <c r="L11705" t="s">
        <v>3446</v>
      </c>
      <c r="M11705" t="s">
        <v>46784</v>
      </c>
      <c r="N11705" t="s">
        <v>47424</v>
      </c>
      <c r="O11705" t="s">
        <v>47425</v>
      </c>
      <c r="P11705">
        <v>0</v>
      </c>
      <c r="Q11705">
        <v>4</v>
      </c>
      <c r="R11705" t="s">
        <v>47438</v>
      </c>
      <c r="S11705" t="s">
        <v>47793</v>
      </c>
      <c r="T11705" t="s">
        <v>49080</v>
      </c>
      <c r="U11705" t="s">
        <v>59262</v>
      </c>
      <c r="V11705" t="s">
        <v>63918</v>
      </c>
      <c r="W11705" t="s">
        <v>46784</v>
      </c>
      <c r="X11705" t="s">
        <v>47439</v>
      </c>
    </row>
    <row r="11706" spans="1:24">
      <c r="A11706">
        <f>HYPERLINK("https://www.philgeps.gov.ph/GEPSNONPILOT/Tender/SplashBidNoticeAbstractUI.aspx?menuIndex=3&amp;refID=7143736&amp;Result=3","7143736")</f>
        <v>0</v>
      </c>
      <c r="B11706" t="s">
        <v>1446</v>
      </c>
      <c r="C11706" t="s">
        <v>14927</v>
      </c>
      <c r="D11706" t="s">
        <v>19017</v>
      </c>
      <c r="E11706" t="s">
        <v>29105</v>
      </c>
      <c r="F11706" t="s">
        <v>32831</v>
      </c>
      <c r="G11706" t="s">
        <v>32839</v>
      </c>
      <c r="H11706" t="s">
        <v>32848</v>
      </c>
      <c r="I11706" t="s">
        <v>32857</v>
      </c>
      <c r="J11706" t="s">
        <v>36653</v>
      </c>
      <c r="K11706" t="s">
        <v>42763</v>
      </c>
      <c r="M11706" t="s">
        <v>46779</v>
      </c>
      <c r="N11706" t="s">
        <v>47424</v>
      </c>
      <c r="O11706" t="s">
        <v>47425</v>
      </c>
      <c r="P11706">
        <v>0</v>
      </c>
      <c r="Q11706">
        <v>19</v>
      </c>
      <c r="R11706" t="s">
        <v>47438</v>
      </c>
      <c r="S11706" t="s">
        <v>47793</v>
      </c>
      <c r="T11706" t="s">
        <v>49151</v>
      </c>
      <c r="U11706" t="s">
        <v>59243</v>
      </c>
      <c r="W11706" t="s">
        <v>46779</v>
      </c>
      <c r="X11706" t="s">
        <v>47439</v>
      </c>
    </row>
    <row r="11707" spans="1:24">
      <c r="A11707">
        <f>HYPERLINK("https://www.philgeps.gov.ph/GEPSNONPILOT/Tender/SplashBidNoticeAbstractUI.aspx?menuIndex=3&amp;refID=7143589&amp;Result=3","7143589")</f>
        <v>0</v>
      </c>
      <c r="B11707" t="s">
        <v>1736</v>
      </c>
      <c r="C11707" t="s">
        <v>14928</v>
      </c>
      <c r="D11707" t="s">
        <v>19054</v>
      </c>
      <c r="E11707" t="s">
        <v>29106</v>
      </c>
      <c r="F11707" t="s">
        <v>32831</v>
      </c>
      <c r="G11707" t="s">
        <v>32838</v>
      </c>
      <c r="H11707" t="s">
        <v>32848</v>
      </c>
      <c r="I11707" t="s">
        <v>32870</v>
      </c>
      <c r="J11707" t="s">
        <v>40156</v>
      </c>
      <c r="K11707" t="s">
        <v>42730</v>
      </c>
      <c r="L11707" t="s">
        <v>1736</v>
      </c>
      <c r="M11707" t="s">
        <v>44859</v>
      </c>
      <c r="N11707" t="s">
        <v>47424</v>
      </c>
      <c r="O11707" t="s">
        <v>47425</v>
      </c>
      <c r="P11707">
        <v>0</v>
      </c>
      <c r="Q11707">
        <v>0</v>
      </c>
      <c r="R11707" t="s">
        <v>47438</v>
      </c>
      <c r="S11707" t="s">
        <v>47793</v>
      </c>
      <c r="T11707" t="s">
        <v>49111</v>
      </c>
      <c r="U11707" t="s">
        <v>59263</v>
      </c>
      <c r="V11707" t="s">
        <v>63112</v>
      </c>
      <c r="W11707" t="s">
        <v>44859</v>
      </c>
      <c r="X11707" t="s">
        <v>47439</v>
      </c>
    </row>
    <row r="11708" spans="1:24">
      <c r="A11708">
        <f>HYPERLINK("https://www.philgeps.gov.ph/GEPSNONPILOT/Tender/SplashBidNoticeAbstractUI.aspx?menuIndex=3&amp;refID=7143729&amp;Result=3","7143729")</f>
        <v>0</v>
      </c>
      <c r="B11708" t="s">
        <v>653</v>
      </c>
      <c r="C11708" t="s">
        <v>14929</v>
      </c>
      <c r="D11708" t="s">
        <v>19044</v>
      </c>
      <c r="E11708" t="s">
        <v>20717</v>
      </c>
      <c r="F11708" t="s">
        <v>32831</v>
      </c>
      <c r="G11708" t="s">
        <v>32839</v>
      </c>
      <c r="H11708" t="s">
        <v>32849</v>
      </c>
      <c r="I11708" t="s">
        <v>4177</v>
      </c>
      <c r="J11708" t="s">
        <v>40157</v>
      </c>
      <c r="K11708" t="s">
        <v>42745</v>
      </c>
      <c r="M11708" t="s">
        <v>43671</v>
      </c>
      <c r="N11708" t="s">
        <v>47424</v>
      </c>
      <c r="O11708" t="s">
        <v>47425</v>
      </c>
      <c r="P11708">
        <v>0</v>
      </c>
      <c r="Q11708">
        <v>0</v>
      </c>
      <c r="R11708" t="s">
        <v>47438</v>
      </c>
      <c r="S11708" t="s">
        <v>47793</v>
      </c>
      <c r="T11708" t="s">
        <v>49104</v>
      </c>
      <c r="U11708" t="s">
        <v>59264</v>
      </c>
      <c r="W11708" t="s">
        <v>43671</v>
      </c>
      <c r="X11708" t="s">
        <v>47439</v>
      </c>
    </row>
    <row r="11709" spans="1:24">
      <c r="A11709">
        <f>HYPERLINK("https://www.philgeps.gov.ph/GEPSNONPILOT/Tender/SplashBidNoticeAbstractUI.aspx?menuIndex=3&amp;refID=7143726&amp;Result=3","7143726")</f>
        <v>0</v>
      </c>
      <c r="B11709" t="s">
        <v>868</v>
      </c>
      <c r="C11709" t="s">
        <v>14930</v>
      </c>
      <c r="D11709" t="s">
        <v>19073</v>
      </c>
      <c r="E11709" t="s">
        <v>29107</v>
      </c>
      <c r="F11709" t="s">
        <v>32831</v>
      </c>
      <c r="G11709" t="s">
        <v>32839</v>
      </c>
      <c r="H11709" t="s">
        <v>32848</v>
      </c>
      <c r="I11709" t="s">
        <v>4558</v>
      </c>
      <c r="J11709" t="s">
        <v>40158</v>
      </c>
      <c r="K11709" t="s">
        <v>42732</v>
      </c>
      <c r="M11709" t="s">
        <v>43902</v>
      </c>
      <c r="N11709" t="s">
        <v>47424</v>
      </c>
      <c r="O11709" t="s">
        <v>47425</v>
      </c>
      <c r="P11709">
        <v>0</v>
      </c>
      <c r="Q11709">
        <v>8</v>
      </c>
      <c r="R11709" t="s">
        <v>47438</v>
      </c>
      <c r="S11709" t="s">
        <v>47793</v>
      </c>
      <c r="T11709" t="s">
        <v>49142</v>
      </c>
      <c r="U11709" t="s">
        <v>59265</v>
      </c>
      <c r="W11709" t="s">
        <v>43902</v>
      </c>
      <c r="X11709" t="s">
        <v>47439</v>
      </c>
    </row>
    <row r="11710" spans="1:24">
      <c r="A11710">
        <f>HYPERLINK("https://www.philgeps.gov.ph/GEPSNONPILOT/Tender/SplashBidNoticeAbstractUI.aspx?menuIndex=3&amp;refID=7143609&amp;Result=3","7143609")</f>
        <v>0</v>
      </c>
      <c r="B11710" t="s">
        <v>1149</v>
      </c>
      <c r="C11710" t="s">
        <v>8621</v>
      </c>
      <c r="D11710" t="s">
        <v>19079</v>
      </c>
      <c r="E11710" t="s">
        <v>23522</v>
      </c>
      <c r="F11710" t="s">
        <v>32831</v>
      </c>
      <c r="G11710" t="s">
        <v>32839</v>
      </c>
      <c r="H11710" t="s">
        <v>32849</v>
      </c>
      <c r="I11710" t="s">
        <v>4177</v>
      </c>
      <c r="J11710" t="s">
        <v>36198</v>
      </c>
      <c r="K11710" t="s">
        <v>42872</v>
      </c>
      <c r="M11710" t="s">
        <v>44985</v>
      </c>
      <c r="N11710" t="s">
        <v>47424</v>
      </c>
      <c r="O11710" t="s">
        <v>47425</v>
      </c>
      <c r="P11710">
        <v>0</v>
      </c>
      <c r="Q11710">
        <v>0</v>
      </c>
      <c r="R11710" t="s">
        <v>47438</v>
      </c>
      <c r="S11710" t="s">
        <v>47793</v>
      </c>
      <c r="T11710" t="s">
        <v>49318</v>
      </c>
      <c r="U11710" t="s">
        <v>59266</v>
      </c>
      <c r="W11710" t="s">
        <v>44985</v>
      </c>
      <c r="X11710" t="s">
        <v>47439</v>
      </c>
    </row>
    <row r="11711" spans="1:24">
      <c r="A11711">
        <f>HYPERLINK("https://www.philgeps.gov.ph/GEPSNONPILOT/Tender/SplashBidNoticeAbstractUI.aspx?menuIndex=3&amp;refID=7143720&amp;Result=3","7143720")</f>
        <v>0</v>
      </c>
      <c r="B11711" t="s">
        <v>161</v>
      </c>
      <c r="C11711" t="s">
        <v>14931</v>
      </c>
      <c r="D11711" t="s">
        <v>19031</v>
      </c>
      <c r="E11711" t="s">
        <v>29108</v>
      </c>
      <c r="F11711" t="s">
        <v>32831</v>
      </c>
      <c r="G11711" t="s">
        <v>32839</v>
      </c>
      <c r="H11711" t="s">
        <v>32848</v>
      </c>
      <c r="I11711" t="s">
        <v>7416</v>
      </c>
      <c r="J11711" t="s">
        <v>33072</v>
      </c>
      <c r="K11711" t="s">
        <v>42729</v>
      </c>
      <c r="M11711" t="s">
        <v>43158</v>
      </c>
      <c r="N11711" t="s">
        <v>47424</v>
      </c>
      <c r="O11711" t="s">
        <v>47425</v>
      </c>
      <c r="P11711">
        <v>0</v>
      </c>
      <c r="Q11711">
        <v>0</v>
      </c>
      <c r="R11711" t="s">
        <v>47438</v>
      </c>
      <c r="S11711" t="s">
        <v>47793</v>
      </c>
      <c r="T11711" t="s">
        <v>49196</v>
      </c>
      <c r="U11711" t="s">
        <v>59267</v>
      </c>
      <c r="W11711" t="s">
        <v>43158</v>
      </c>
      <c r="X11711" t="s">
        <v>47439</v>
      </c>
    </row>
    <row r="11712" spans="1:24">
      <c r="A11712">
        <f>HYPERLINK("https://www.philgeps.gov.ph/GEPSNONPILOT/Tender/SplashBidNoticeAbstractUI.aspx?menuIndex=3&amp;refID=7143252&amp;Result=3","7143252")</f>
        <v>0</v>
      </c>
      <c r="B11712" t="s">
        <v>1334</v>
      </c>
      <c r="C11712" t="s">
        <v>14932</v>
      </c>
      <c r="D11712" t="s">
        <v>19077</v>
      </c>
      <c r="E11712" t="s">
        <v>19488</v>
      </c>
      <c r="F11712" t="s">
        <v>32831</v>
      </c>
      <c r="G11712" t="s">
        <v>32839</v>
      </c>
      <c r="H11712" t="s">
        <v>32848</v>
      </c>
      <c r="I11712" t="s">
        <v>7416</v>
      </c>
      <c r="J11712" t="s">
        <v>33178</v>
      </c>
      <c r="K11712" t="s">
        <v>42732</v>
      </c>
      <c r="M11712" t="s">
        <v>44406</v>
      </c>
      <c r="N11712" t="s">
        <v>47424</v>
      </c>
      <c r="O11712" t="s">
        <v>47425</v>
      </c>
      <c r="P11712">
        <v>0</v>
      </c>
      <c r="Q11712">
        <v>0</v>
      </c>
      <c r="R11712" t="s">
        <v>47438</v>
      </c>
      <c r="S11712" t="s">
        <v>47793</v>
      </c>
      <c r="T11712" t="s">
        <v>49163</v>
      </c>
      <c r="U11712" t="s">
        <v>59268</v>
      </c>
      <c r="W11712" t="s">
        <v>44406</v>
      </c>
      <c r="X11712" t="s">
        <v>47439</v>
      </c>
    </row>
    <row r="11713" spans="1:24">
      <c r="A11713">
        <f>HYPERLINK("https://www.philgeps.gov.ph/GEPSNONPILOT/Tender/SplashBidNoticeAbstractUI.aspx?menuIndex=3&amp;refID=7143715&amp;Result=3","7143715")</f>
        <v>0</v>
      </c>
      <c r="B11713" t="s">
        <v>2380</v>
      </c>
      <c r="C11713" t="s">
        <v>14933</v>
      </c>
      <c r="D11713" t="s">
        <v>19017</v>
      </c>
      <c r="E11713" t="s">
        <v>29109</v>
      </c>
      <c r="F11713" t="s">
        <v>32831</v>
      </c>
      <c r="G11713" t="s">
        <v>32839</v>
      </c>
      <c r="H11713" t="s">
        <v>32850</v>
      </c>
      <c r="I11713" t="s">
        <v>32949</v>
      </c>
      <c r="J11713" t="s">
        <v>34229</v>
      </c>
      <c r="K11713" t="s">
        <v>42775</v>
      </c>
      <c r="M11713" t="s">
        <v>46785</v>
      </c>
      <c r="N11713" t="s">
        <v>47424</v>
      </c>
      <c r="O11713" t="s">
        <v>47425</v>
      </c>
      <c r="P11713">
        <v>0</v>
      </c>
      <c r="Q11713">
        <v>1</v>
      </c>
      <c r="R11713" t="s">
        <v>47438</v>
      </c>
      <c r="S11713" t="s">
        <v>47793</v>
      </c>
      <c r="T11713" t="s">
        <v>49172</v>
      </c>
      <c r="U11713" t="s">
        <v>59269</v>
      </c>
      <c r="W11713" t="s">
        <v>46785</v>
      </c>
      <c r="X11713" t="s">
        <v>47439</v>
      </c>
    </row>
    <row r="11714" spans="1:24">
      <c r="A11714">
        <f>HYPERLINK("https://www.philgeps.gov.ph/GEPSNONPILOT/Tender/SplashBidNoticeAbstractUI.aspx?menuIndex=3&amp;refID=7143719&amp;Result=3","7143719")</f>
        <v>0</v>
      </c>
      <c r="B11714" t="s">
        <v>1446</v>
      </c>
      <c r="C11714" t="s">
        <v>14934</v>
      </c>
      <c r="D11714" t="s">
        <v>19017</v>
      </c>
      <c r="E11714" t="s">
        <v>27413</v>
      </c>
      <c r="F11714" t="s">
        <v>32831</v>
      </c>
      <c r="G11714" t="s">
        <v>32839</v>
      </c>
      <c r="H11714" t="s">
        <v>32848</v>
      </c>
      <c r="I11714" t="s">
        <v>4558</v>
      </c>
      <c r="J11714" t="s">
        <v>40159</v>
      </c>
      <c r="K11714" t="s">
        <v>42763</v>
      </c>
      <c r="M11714" t="s">
        <v>46779</v>
      </c>
      <c r="N11714" t="s">
        <v>47424</v>
      </c>
      <c r="O11714" t="s">
        <v>47425</v>
      </c>
      <c r="P11714">
        <v>0</v>
      </c>
      <c r="Q11714">
        <v>13</v>
      </c>
      <c r="R11714" t="s">
        <v>47438</v>
      </c>
      <c r="S11714" t="s">
        <v>47793</v>
      </c>
      <c r="T11714" t="s">
        <v>49151</v>
      </c>
      <c r="U11714" t="s">
        <v>59243</v>
      </c>
      <c r="W11714" t="s">
        <v>46779</v>
      </c>
      <c r="X11714" t="s">
        <v>47439</v>
      </c>
    </row>
    <row r="11715" spans="1:24">
      <c r="A11715">
        <f>HYPERLINK("https://www.philgeps.gov.ph/GEPSNONPILOT/Tender/SplashBidNoticeAbstractUI.aspx?menuIndex=3&amp;refID=7143699&amp;Result=3","7143699")</f>
        <v>0</v>
      </c>
      <c r="B11715" t="s">
        <v>3447</v>
      </c>
      <c r="C11715" t="s">
        <v>14935</v>
      </c>
      <c r="D11715" t="s">
        <v>19065</v>
      </c>
      <c r="E11715" t="s">
        <v>29110</v>
      </c>
      <c r="F11715" t="s">
        <v>32831</v>
      </c>
      <c r="G11715" t="s">
        <v>32839</v>
      </c>
      <c r="H11715" t="s">
        <v>14069</v>
      </c>
      <c r="I11715" t="s">
        <v>14069</v>
      </c>
      <c r="J11715" t="s">
        <v>40160</v>
      </c>
      <c r="K11715" t="s">
        <v>42786</v>
      </c>
      <c r="M11715" t="s">
        <v>46786</v>
      </c>
      <c r="N11715" t="s">
        <v>47424</v>
      </c>
      <c r="O11715" t="s">
        <v>47425</v>
      </c>
      <c r="Q11715">
        <v>10</v>
      </c>
      <c r="R11715" t="s">
        <v>47438</v>
      </c>
      <c r="S11715" t="s">
        <v>47828</v>
      </c>
      <c r="T11715" t="s">
        <v>49595</v>
      </c>
      <c r="U11715" t="s">
        <v>59270</v>
      </c>
      <c r="W11715" t="s">
        <v>46786</v>
      </c>
      <c r="X11715" t="s">
        <v>47439</v>
      </c>
    </row>
    <row r="11716" spans="1:24">
      <c r="A11716">
        <f>HYPERLINK("https://www.philgeps.gov.ph/GEPSNONPILOT/Tender/SplashBidNoticeAbstractUI.aspx?menuIndex=3&amp;refID=7143696&amp;Result=3","7143696")</f>
        <v>0</v>
      </c>
      <c r="B11716" t="s">
        <v>3441</v>
      </c>
      <c r="C11716" t="s">
        <v>14936</v>
      </c>
      <c r="D11716" t="s">
        <v>19094</v>
      </c>
      <c r="E11716" t="s">
        <v>29111</v>
      </c>
      <c r="F11716" t="s">
        <v>32831</v>
      </c>
      <c r="G11716" t="s">
        <v>32839</v>
      </c>
      <c r="H11716" t="s">
        <v>32849</v>
      </c>
      <c r="I11716" t="s">
        <v>4177</v>
      </c>
      <c r="J11716" t="s">
        <v>40161</v>
      </c>
      <c r="K11716" t="s">
        <v>42763</v>
      </c>
      <c r="M11716" t="s">
        <v>46778</v>
      </c>
      <c r="N11716" t="s">
        <v>47424</v>
      </c>
      <c r="O11716" t="s">
        <v>47425</v>
      </c>
      <c r="P11716">
        <v>0</v>
      </c>
      <c r="Q11716">
        <v>0</v>
      </c>
      <c r="R11716" t="s">
        <v>47438</v>
      </c>
      <c r="S11716" t="s">
        <v>47793</v>
      </c>
      <c r="T11716" t="s">
        <v>49080</v>
      </c>
      <c r="U11716" t="s">
        <v>59271</v>
      </c>
      <c r="V11716" t="s">
        <v>63914</v>
      </c>
      <c r="W11716" t="s">
        <v>46778</v>
      </c>
      <c r="X11716" t="s">
        <v>47439</v>
      </c>
    </row>
    <row r="11717" spans="1:24">
      <c r="A11717">
        <f>HYPERLINK("https://www.philgeps.gov.ph/GEPSNONPILOT/Tender/SplashBidNoticeAbstractUI.aspx?menuIndex=3&amp;refID=7143683&amp;Result=3","7143683")</f>
        <v>0</v>
      </c>
      <c r="B11717" t="s">
        <v>1446</v>
      </c>
      <c r="C11717" t="s">
        <v>14937</v>
      </c>
      <c r="D11717" t="s">
        <v>19017</v>
      </c>
      <c r="E11717" t="s">
        <v>29112</v>
      </c>
      <c r="F11717" t="s">
        <v>32831</v>
      </c>
      <c r="G11717" t="s">
        <v>32839</v>
      </c>
      <c r="H11717" t="s">
        <v>32848</v>
      </c>
      <c r="I11717" t="s">
        <v>4438</v>
      </c>
      <c r="J11717" t="s">
        <v>34921</v>
      </c>
      <c r="K11717" t="s">
        <v>42763</v>
      </c>
      <c r="M11717" t="s">
        <v>46779</v>
      </c>
      <c r="N11717" t="s">
        <v>47424</v>
      </c>
      <c r="O11717" t="s">
        <v>47425</v>
      </c>
      <c r="P11717">
        <v>0</v>
      </c>
      <c r="Q11717">
        <v>1</v>
      </c>
      <c r="R11717" t="s">
        <v>47438</v>
      </c>
      <c r="S11717" t="s">
        <v>47793</v>
      </c>
      <c r="T11717" t="s">
        <v>49151</v>
      </c>
      <c r="U11717" t="s">
        <v>59243</v>
      </c>
      <c r="W11717" t="s">
        <v>46779</v>
      </c>
      <c r="X11717" t="s">
        <v>47439</v>
      </c>
    </row>
    <row r="11718" spans="1:24">
      <c r="A11718">
        <f>HYPERLINK("https://www.philgeps.gov.ph/GEPSNONPILOT/Tender/SplashBidNoticeAbstractUI.aspx?menuIndex=3&amp;refID=7143738&amp;Result=3","7143738")</f>
        <v>0</v>
      </c>
      <c r="B11718" t="s">
        <v>3448</v>
      </c>
      <c r="C11718" t="s">
        <v>14938</v>
      </c>
      <c r="D11718" t="s">
        <v>19095</v>
      </c>
      <c r="E11718" t="s">
        <v>29113</v>
      </c>
      <c r="F11718" t="s">
        <v>32831</v>
      </c>
      <c r="G11718" t="s">
        <v>32839</v>
      </c>
      <c r="H11718" t="s">
        <v>32848</v>
      </c>
      <c r="I11718" t="s">
        <v>7416</v>
      </c>
      <c r="J11718" t="s">
        <v>40162</v>
      </c>
      <c r="K11718" t="s">
        <v>42727</v>
      </c>
      <c r="M11718" t="s">
        <v>46787</v>
      </c>
      <c r="N11718" t="s">
        <v>47424</v>
      </c>
      <c r="O11718" t="s">
        <v>47425</v>
      </c>
      <c r="P11718">
        <v>0</v>
      </c>
      <c r="Q11718">
        <v>0</v>
      </c>
      <c r="R11718" t="s">
        <v>47438</v>
      </c>
      <c r="S11718" t="s">
        <v>47793</v>
      </c>
      <c r="T11718" t="s">
        <v>49159</v>
      </c>
      <c r="U11718" t="s">
        <v>59272</v>
      </c>
      <c r="W11718" t="s">
        <v>46787</v>
      </c>
      <c r="X11718" t="s">
        <v>47439</v>
      </c>
    </row>
    <row r="11719" spans="1:24">
      <c r="A11719">
        <f>HYPERLINK("https://www.philgeps.gov.ph/GEPSNONPILOT/Tender/SplashBidNoticeAbstractUI.aspx?menuIndex=3&amp;refID=7143682&amp;Result=3","7143682")</f>
        <v>0</v>
      </c>
      <c r="B11719" t="s">
        <v>3446</v>
      </c>
      <c r="C11719" t="s">
        <v>14939</v>
      </c>
      <c r="D11719" t="s">
        <v>19028</v>
      </c>
      <c r="E11719" t="s">
        <v>29114</v>
      </c>
      <c r="F11719" t="s">
        <v>32831</v>
      </c>
      <c r="G11719" t="s">
        <v>32839</v>
      </c>
      <c r="H11719" t="s">
        <v>32848</v>
      </c>
      <c r="I11719" t="s">
        <v>9577</v>
      </c>
      <c r="J11719" t="s">
        <v>40163</v>
      </c>
      <c r="K11719" t="s">
        <v>42742</v>
      </c>
      <c r="L11719" t="s">
        <v>3446</v>
      </c>
      <c r="M11719" t="s">
        <v>46784</v>
      </c>
      <c r="N11719" t="s">
        <v>47424</v>
      </c>
      <c r="O11719" t="s">
        <v>47425</v>
      </c>
      <c r="P11719">
        <v>0</v>
      </c>
      <c r="Q11719">
        <v>4</v>
      </c>
      <c r="R11719" t="s">
        <v>47438</v>
      </c>
      <c r="S11719" t="s">
        <v>47793</v>
      </c>
      <c r="T11719" t="s">
        <v>49080</v>
      </c>
      <c r="U11719" t="s">
        <v>59273</v>
      </c>
      <c r="V11719" t="s">
        <v>63919</v>
      </c>
      <c r="W11719" t="s">
        <v>46784</v>
      </c>
      <c r="X11719" t="s">
        <v>47439</v>
      </c>
    </row>
    <row r="11720" spans="1:24">
      <c r="A11720">
        <f>HYPERLINK("https://www.philgeps.gov.ph/GEPSNONPILOT/Tender/SplashBidNoticeAbstractUI.aspx?menuIndex=3&amp;refID=7143655&amp;Result=3","7143655")</f>
        <v>0</v>
      </c>
      <c r="B11720" t="s">
        <v>1649</v>
      </c>
      <c r="C11720" t="s">
        <v>14940</v>
      </c>
      <c r="D11720" t="s">
        <v>19018</v>
      </c>
      <c r="E11720" t="s">
        <v>29115</v>
      </c>
      <c r="F11720" t="s">
        <v>32831</v>
      </c>
      <c r="G11720" t="s">
        <v>32839</v>
      </c>
      <c r="H11720" t="s">
        <v>32849</v>
      </c>
      <c r="I11720" t="s">
        <v>4177</v>
      </c>
      <c r="J11720" t="s">
        <v>35513</v>
      </c>
      <c r="K11720" t="s">
        <v>42766</v>
      </c>
      <c r="M11720" t="s">
        <v>44766</v>
      </c>
      <c r="N11720" t="s">
        <v>47424</v>
      </c>
      <c r="O11720" t="s">
        <v>47425</v>
      </c>
      <c r="P11720">
        <v>0</v>
      </c>
      <c r="Q11720">
        <v>0</v>
      </c>
      <c r="R11720" t="s">
        <v>47438</v>
      </c>
      <c r="S11720" t="s">
        <v>47793</v>
      </c>
      <c r="T11720" t="s">
        <v>49359</v>
      </c>
      <c r="U11720" t="s">
        <v>59274</v>
      </c>
      <c r="V11720" t="s">
        <v>63076</v>
      </c>
      <c r="W11720" t="s">
        <v>64479</v>
      </c>
      <c r="X11720" t="s">
        <v>47439</v>
      </c>
    </row>
    <row r="11721" spans="1:24">
      <c r="A11721">
        <f>HYPERLINK("https://www.philgeps.gov.ph/GEPSNONPILOT/Tender/SplashBidNoticeAbstractUI.aspx?menuIndex=3&amp;refID=7143710&amp;Result=3","7143710")</f>
        <v>0</v>
      </c>
      <c r="B11721" t="s">
        <v>2170</v>
      </c>
      <c r="C11721" t="s">
        <v>9541</v>
      </c>
      <c r="D11721" t="s">
        <v>19066</v>
      </c>
      <c r="E11721" t="s">
        <v>29116</v>
      </c>
      <c r="F11721" t="s">
        <v>32831</v>
      </c>
      <c r="G11721" t="s">
        <v>32839</v>
      </c>
      <c r="H11721" t="s">
        <v>32848</v>
      </c>
      <c r="I11721" t="s">
        <v>32857</v>
      </c>
      <c r="J11721" t="s">
        <v>40164</v>
      </c>
      <c r="K11721" t="s">
        <v>42726</v>
      </c>
      <c r="M11721" t="s">
        <v>45348</v>
      </c>
      <c r="N11721" t="s">
        <v>47424</v>
      </c>
      <c r="O11721" t="s">
        <v>47425</v>
      </c>
      <c r="P11721">
        <v>0</v>
      </c>
      <c r="Q11721">
        <v>14</v>
      </c>
      <c r="R11721" t="s">
        <v>47438</v>
      </c>
      <c r="S11721" t="s">
        <v>47793</v>
      </c>
      <c r="T11721" t="s">
        <v>49221</v>
      </c>
      <c r="U11721" t="s">
        <v>59259</v>
      </c>
      <c r="W11721" t="s">
        <v>45348</v>
      </c>
      <c r="X11721" t="s">
        <v>47439</v>
      </c>
    </row>
    <row r="11722" spans="1:24">
      <c r="A11722">
        <f>HYPERLINK("https://www.philgeps.gov.ph/GEPSNONPILOT/Tender/SplashBidNoticeAbstractUI.aspx?menuIndex=3&amp;refID=7143680&amp;Result=3","7143680")</f>
        <v>0</v>
      </c>
      <c r="B11722" t="s">
        <v>107</v>
      </c>
      <c r="C11722" t="s">
        <v>14941</v>
      </c>
      <c r="D11722" t="s">
        <v>19034</v>
      </c>
      <c r="E11722" t="s">
        <v>29117</v>
      </c>
      <c r="F11722" t="s">
        <v>32831</v>
      </c>
      <c r="G11722" t="s">
        <v>32839</v>
      </c>
      <c r="H11722" t="s">
        <v>32848</v>
      </c>
      <c r="I11722" t="s">
        <v>32867</v>
      </c>
      <c r="J11722" t="s">
        <v>40165</v>
      </c>
      <c r="K11722" t="s">
        <v>42730</v>
      </c>
      <c r="M11722" t="s">
        <v>43104</v>
      </c>
      <c r="N11722" t="s">
        <v>47424</v>
      </c>
      <c r="O11722" t="s">
        <v>47425</v>
      </c>
      <c r="P11722">
        <v>0</v>
      </c>
      <c r="Q11722">
        <v>3</v>
      </c>
      <c r="R11722" t="s">
        <v>47438</v>
      </c>
      <c r="S11722" t="s">
        <v>47793</v>
      </c>
      <c r="T11722" t="s">
        <v>49444</v>
      </c>
      <c r="U11722" t="s">
        <v>59275</v>
      </c>
      <c r="W11722" t="s">
        <v>43104</v>
      </c>
      <c r="X11722" t="s">
        <v>47439</v>
      </c>
    </row>
    <row r="11723" spans="1:24">
      <c r="A11723">
        <f>HYPERLINK("https://www.philgeps.gov.ph/GEPSNONPILOT/Tender/SplashBidNoticeAbstractUI.aspx?menuIndex=3&amp;refID=7143649&amp;Result=3","7143649")</f>
        <v>0</v>
      </c>
      <c r="B11723" t="s">
        <v>999</v>
      </c>
      <c r="C11723" t="s">
        <v>14942</v>
      </c>
      <c r="D11723" t="s">
        <v>19017</v>
      </c>
      <c r="E11723" t="s">
        <v>29118</v>
      </c>
      <c r="F11723" t="s">
        <v>32831</v>
      </c>
      <c r="G11723" t="s">
        <v>32839</v>
      </c>
      <c r="H11723" t="s">
        <v>32848</v>
      </c>
      <c r="I11723" t="s">
        <v>4558</v>
      </c>
      <c r="J11723" t="s">
        <v>40166</v>
      </c>
      <c r="K11723" t="s">
        <v>42731</v>
      </c>
      <c r="M11723" t="s">
        <v>46788</v>
      </c>
      <c r="N11723" t="s">
        <v>47424</v>
      </c>
      <c r="O11723" t="s">
        <v>47425</v>
      </c>
      <c r="P11723">
        <v>0</v>
      </c>
      <c r="Q11723">
        <v>13</v>
      </c>
      <c r="R11723" t="s">
        <v>47438</v>
      </c>
      <c r="S11723" t="s">
        <v>47793</v>
      </c>
      <c r="T11723" t="s">
        <v>49288</v>
      </c>
      <c r="U11723" t="s">
        <v>59276</v>
      </c>
      <c r="W11723" t="s">
        <v>46788</v>
      </c>
      <c r="X11723" t="s">
        <v>47439</v>
      </c>
    </row>
    <row r="11724" spans="1:24">
      <c r="A11724">
        <f>HYPERLINK("https://www.philgeps.gov.ph/GEPSNONPILOT/Tender/SplashBidNoticeAbstractUI.aspx?menuIndex=3&amp;refID=7143565&amp;Result=3","7143565")</f>
        <v>0</v>
      </c>
      <c r="B11724" t="s">
        <v>1446</v>
      </c>
      <c r="C11724" t="s">
        <v>4699</v>
      </c>
      <c r="D11724" t="s">
        <v>19017</v>
      </c>
      <c r="E11724" t="s">
        <v>29119</v>
      </c>
      <c r="F11724" t="s">
        <v>32831</v>
      </c>
      <c r="G11724" t="s">
        <v>32839</v>
      </c>
      <c r="H11724" t="s">
        <v>32848</v>
      </c>
      <c r="I11724" t="s">
        <v>9577</v>
      </c>
      <c r="J11724" t="s">
        <v>34926</v>
      </c>
      <c r="K11724" t="s">
        <v>42763</v>
      </c>
      <c r="M11724" t="s">
        <v>46779</v>
      </c>
      <c r="N11724" t="s">
        <v>47424</v>
      </c>
      <c r="O11724" t="s">
        <v>47425</v>
      </c>
      <c r="P11724">
        <v>0</v>
      </c>
      <c r="Q11724">
        <v>5</v>
      </c>
      <c r="R11724" t="s">
        <v>47438</v>
      </c>
      <c r="S11724" t="s">
        <v>47793</v>
      </c>
      <c r="T11724" t="s">
        <v>49151</v>
      </c>
      <c r="U11724" t="s">
        <v>59243</v>
      </c>
      <c r="W11724" t="s">
        <v>46779</v>
      </c>
      <c r="X11724" t="s">
        <v>47439</v>
      </c>
    </row>
    <row r="11725" spans="1:24">
      <c r="A11725">
        <f>HYPERLINK("https://www.philgeps.gov.ph/GEPSNONPILOT/Tender/SplashBidNoticeAbstractUI.aspx?menuIndex=3&amp;refID=7143582&amp;Result=3","7143582")</f>
        <v>0</v>
      </c>
      <c r="B11725" t="s">
        <v>1836</v>
      </c>
      <c r="C11725" t="s">
        <v>14943</v>
      </c>
      <c r="D11725" t="s">
        <v>19038</v>
      </c>
      <c r="E11725" t="s">
        <v>29120</v>
      </c>
      <c r="F11725" t="s">
        <v>32833</v>
      </c>
      <c r="G11725" t="s">
        <v>32839</v>
      </c>
      <c r="H11725" t="s">
        <v>32849</v>
      </c>
      <c r="I11725" t="s">
        <v>4177</v>
      </c>
      <c r="J11725" t="s">
        <v>38544</v>
      </c>
      <c r="K11725" t="s">
        <v>42770</v>
      </c>
      <c r="M11725" t="s">
        <v>44970</v>
      </c>
      <c r="N11725" t="s">
        <v>47424</v>
      </c>
      <c r="O11725" t="s">
        <v>47425</v>
      </c>
      <c r="P11725">
        <v>0</v>
      </c>
      <c r="Q11725">
        <v>2</v>
      </c>
      <c r="R11725" t="s">
        <v>47438</v>
      </c>
      <c r="S11725" t="s">
        <v>47793</v>
      </c>
      <c r="T11725" t="s">
        <v>49105</v>
      </c>
      <c r="U11725" t="s">
        <v>53641</v>
      </c>
      <c r="V11725" t="s">
        <v>63920</v>
      </c>
      <c r="W11725" t="s">
        <v>44970</v>
      </c>
      <c r="X11725" t="s">
        <v>47439</v>
      </c>
    </row>
    <row r="11726" spans="1:24">
      <c r="A11726">
        <f>HYPERLINK("https://www.philgeps.gov.ph/GEPSNONPILOT/Tender/SplashBidNoticeAbstractUI.aspx?menuIndex=3&amp;refID=7143560&amp;Result=3","7143560")</f>
        <v>0</v>
      </c>
      <c r="B11726" t="s">
        <v>2568</v>
      </c>
      <c r="C11726" t="s">
        <v>14944</v>
      </c>
      <c r="D11726" t="s">
        <v>19073</v>
      </c>
      <c r="E11726" t="s">
        <v>29121</v>
      </c>
      <c r="F11726" t="s">
        <v>32831</v>
      </c>
      <c r="G11726" t="s">
        <v>32838</v>
      </c>
      <c r="H11726" t="s">
        <v>32848</v>
      </c>
      <c r="I11726" t="s">
        <v>32867</v>
      </c>
      <c r="J11726" t="s">
        <v>33395</v>
      </c>
      <c r="K11726" t="s">
        <v>42732</v>
      </c>
      <c r="M11726" t="s">
        <v>45784</v>
      </c>
      <c r="N11726" t="s">
        <v>47424</v>
      </c>
      <c r="O11726" t="s">
        <v>47425</v>
      </c>
      <c r="P11726">
        <v>0</v>
      </c>
      <c r="Q11726">
        <v>3</v>
      </c>
      <c r="R11726" t="s">
        <v>47438</v>
      </c>
      <c r="S11726" t="s">
        <v>47793</v>
      </c>
      <c r="T11726" t="s">
        <v>49127</v>
      </c>
      <c r="U11726" t="s">
        <v>59277</v>
      </c>
      <c r="W11726" t="s">
        <v>45784</v>
      </c>
      <c r="X11726" t="s">
        <v>47439</v>
      </c>
    </row>
    <row r="11727" spans="1:24">
      <c r="A11727">
        <f>HYPERLINK("https://www.philgeps.gov.ph/GEPSNONPILOT/Tender/SplashBidNoticeAbstractUI.aspx?menuIndex=3&amp;refID=7143558&amp;Result=3","7143558")</f>
        <v>0</v>
      </c>
      <c r="B11727" t="s">
        <v>3445</v>
      </c>
      <c r="C11727" t="s">
        <v>14945</v>
      </c>
      <c r="D11727" t="s">
        <v>19032</v>
      </c>
      <c r="E11727" t="s">
        <v>29122</v>
      </c>
      <c r="F11727" t="s">
        <v>32831</v>
      </c>
      <c r="G11727" t="s">
        <v>32839</v>
      </c>
      <c r="H11727" t="s">
        <v>32849</v>
      </c>
      <c r="I11727" t="s">
        <v>4177</v>
      </c>
      <c r="J11727" t="s">
        <v>40167</v>
      </c>
      <c r="K11727" t="s">
        <v>42726</v>
      </c>
      <c r="M11727" t="s">
        <v>46783</v>
      </c>
      <c r="N11727" t="s">
        <v>47424</v>
      </c>
      <c r="O11727" t="s">
        <v>47425</v>
      </c>
      <c r="P11727">
        <v>0</v>
      </c>
      <c r="Q11727">
        <v>1</v>
      </c>
      <c r="R11727" t="s">
        <v>47438</v>
      </c>
      <c r="S11727" t="s">
        <v>47793</v>
      </c>
      <c r="T11727" t="s">
        <v>49063</v>
      </c>
      <c r="U11727" t="s">
        <v>59278</v>
      </c>
      <c r="W11727" t="s">
        <v>46783</v>
      </c>
      <c r="X11727" t="s">
        <v>47439</v>
      </c>
    </row>
    <row r="11728" spans="1:24">
      <c r="A11728">
        <f>HYPERLINK("https://www.philgeps.gov.ph/GEPSNONPILOT/Tender/SplashBidNoticeAbstractUI.aspx?menuIndex=3&amp;refID=7143587&amp;Result=3","7143587")</f>
        <v>0</v>
      </c>
      <c r="B11728" t="s">
        <v>2247</v>
      </c>
      <c r="C11728" t="s">
        <v>14946</v>
      </c>
      <c r="D11728" t="s">
        <v>19071</v>
      </c>
      <c r="E11728" t="s">
        <v>29123</v>
      </c>
      <c r="F11728" t="s">
        <v>32831</v>
      </c>
      <c r="G11728" t="s">
        <v>32839</v>
      </c>
      <c r="H11728" t="s">
        <v>32848</v>
      </c>
      <c r="I11728" t="s">
        <v>32870</v>
      </c>
      <c r="J11728" t="s">
        <v>40168</v>
      </c>
      <c r="K11728" t="s">
        <v>42732</v>
      </c>
      <c r="M11728" t="s">
        <v>45428</v>
      </c>
      <c r="N11728" t="s">
        <v>47424</v>
      </c>
      <c r="O11728" t="s">
        <v>47425</v>
      </c>
      <c r="P11728">
        <v>0</v>
      </c>
      <c r="Q11728">
        <v>0</v>
      </c>
      <c r="R11728" t="s">
        <v>47438</v>
      </c>
      <c r="S11728" t="s">
        <v>47793</v>
      </c>
      <c r="T11728" t="s">
        <v>49127</v>
      </c>
      <c r="U11728" t="s">
        <v>59279</v>
      </c>
      <c r="W11728" t="s">
        <v>45428</v>
      </c>
      <c r="X11728" t="s">
        <v>47439</v>
      </c>
    </row>
    <row r="11729" spans="1:24">
      <c r="A11729">
        <f>HYPERLINK("https://www.philgeps.gov.ph/GEPSNONPILOT/Tender/SplashBidNoticeAbstractUI.aspx?menuIndex=3&amp;refID=7143499&amp;Result=3","7143499")</f>
        <v>0</v>
      </c>
      <c r="B11729" t="s">
        <v>1446</v>
      </c>
      <c r="C11729" t="s">
        <v>14947</v>
      </c>
      <c r="D11729" t="s">
        <v>19017</v>
      </c>
      <c r="E11729" t="s">
        <v>29124</v>
      </c>
      <c r="F11729" t="s">
        <v>32831</v>
      </c>
      <c r="G11729" t="s">
        <v>32839</v>
      </c>
      <c r="H11729" t="s">
        <v>32848</v>
      </c>
      <c r="I11729" t="s">
        <v>7416</v>
      </c>
      <c r="J11729" t="s">
        <v>34926</v>
      </c>
      <c r="K11729" t="s">
        <v>42763</v>
      </c>
      <c r="M11729" t="s">
        <v>46779</v>
      </c>
      <c r="N11729" t="s">
        <v>47424</v>
      </c>
      <c r="O11729" t="s">
        <v>47425</v>
      </c>
      <c r="P11729">
        <v>0</v>
      </c>
      <c r="Q11729">
        <v>1</v>
      </c>
      <c r="R11729" t="s">
        <v>47438</v>
      </c>
      <c r="S11729" t="s">
        <v>47793</v>
      </c>
      <c r="T11729" t="s">
        <v>49151</v>
      </c>
      <c r="U11729" t="s">
        <v>59243</v>
      </c>
      <c r="W11729" t="s">
        <v>46779</v>
      </c>
      <c r="X11729" t="s">
        <v>47439</v>
      </c>
    </row>
    <row r="11730" spans="1:24">
      <c r="A11730">
        <f>HYPERLINK("https://www.philgeps.gov.ph/GEPSNONPILOT/Tender/SplashBidNoticeAbstractUI.aspx?menuIndex=3&amp;refID=7143698&amp;Result=3","7143698")</f>
        <v>0</v>
      </c>
      <c r="B11730" t="s">
        <v>1446</v>
      </c>
      <c r="C11730" t="s">
        <v>14948</v>
      </c>
      <c r="D11730" t="s">
        <v>19017</v>
      </c>
      <c r="E11730" t="s">
        <v>29125</v>
      </c>
      <c r="F11730" t="s">
        <v>32831</v>
      </c>
      <c r="G11730" t="s">
        <v>32839</v>
      </c>
      <c r="H11730" t="s">
        <v>32848</v>
      </c>
      <c r="I11730" t="s">
        <v>32853</v>
      </c>
      <c r="J11730" t="s">
        <v>36801</v>
      </c>
      <c r="K11730" t="s">
        <v>42763</v>
      </c>
      <c r="M11730" t="s">
        <v>46779</v>
      </c>
      <c r="N11730" t="s">
        <v>47424</v>
      </c>
      <c r="O11730" t="s">
        <v>47425</v>
      </c>
      <c r="P11730">
        <v>0</v>
      </c>
      <c r="Q11730">
        <v>5</v>
      </c>
      <c r="R11730" t="s">
        <v>47438</v>
      </c>
      <c r="S11730" t="s">
        <v>47793</v>
      </c>
      <c r="T11730" t="s">
        <v>49151</v>
      </c>
      <c r="U11730" t="s">
        <v>59243</v>
      </c>
      <c r="W11730" t="s">
        <v>46779</v>
      </c>
      <c r="X11730" t="s">
        <v>47439</v>
      </c>
    </row>
    <row r="11731" spans="1:24">
      <c r="A11731">
        <f>HYPERLINK("https://www.philgeps.gov.ph/GEPSNONPILOT/Tender/SplashBidNoticeAbstractUI.aspx?menuIndex=3&amp;refID=7143397&amp;Result=3","7143397")</f>
        <v>0</v>
      </c>
      <c r="B11731" t="s">
        <v>688</v>
      </c>
      <c r="C11731" t="s">
        <v>4776</v>
      </c>
      <c r="E11731" t="s">
        <v>29126</v>
      </c>
      <c r="F11731" t="s">
        <v>32831</v>
      </c>
      <c r="G11731" t="s">
        <v>32839</v>
      </c>
      <c r="H11731" t="s">
        <v>32848</v>
      </c>
      <c r="I11731" t="s">
        <v>4776</v>
      </c>
      <c r="J11731" t="s">
        <v>40169</v>
      </c>
      <c r="K11731" t="s">
        <v>42732</v>
      </c>
      <c r="M11731" t="s">
        <v>43707</v>
      </c>
      <c r="N11731" t="s">
        <v>47424</v>
      </c>
      <c r="O11731" t="s">
        <v>47425</v>
      </c>
      <c r="P11731">
        <v>0</v>
      </c>
      <c r="Q11731">
        <v>0</v>
      </c>
      <c r="R11731" t="s">
        <v>47438</v>
      </c>
      <c r="S11731" t="s">
        <v>47793</v>
      </c>
      <c r="T11731" t="s">
        <v>49259</v>
      </c>
      <c r="U11731" t="s">
        <v>59280</v>
      </c>
      <c r="W11731" t="s">
        <v>43707</v>
      </c>
      <c r="X11731" t="s">
        <v>47439</v>
      </c>
    </row>
    <row r="11732" spans="1:24">
      <c r="A11732">
        <f>HYPERLINK("https://www.philgeps.gov.ph/GEPSNONPILOT/Tender/SplashBidNoticeAbstractUI.aspx?menuIndex=3&amp;refID=7143566&amp;Result=3","7143566")</f>
        <v>0</v>
      </c>
      <c r="B11732" t="s">
        <v>3449</v>
      </c>
      <c r="C11732" t="s">
        <v>14949</v>
      </c>
      <c r="D11732" t="s">
        <v>19049</v>
      </c>
      <c r="E11732" t="s">
        <v>29127</v>
      </c>
      <c r="F11732" t="s">
        <v>32831</v>
      </c>
      <c r="G11732" t="s">
        <v>32839</v>
      </c>
      <c r="H11732" t="s">
        <v>32848</v>
      </c>
      <c r="I11732" t="s">
        <v>4487</v>
      </c>
      <c r="J11732" t="s">
        <v>33707</v>
      </c>
      <c r="K11732" t="s">
        <v>42730</v>
      </c>
      <c r="M11732" t="s">
        <v>46789</v>
      </c>
      <c r="N11732" t="s">
        <v>47424</v>
      </c>
      <c r="O11732" t="s">
        <v>47425</v>
      </c>
      <c r="Q11732">
        <v>15</v>
      </c>
      <c r="R11732" t="s">
        <v>47438</v>
      </c>
      <c r="S11732" t="s">
        <v>47822</v>
      </c>
      <c r="T11732" t="s">
        <v>49106</v>
      </c>
      <c r="U11732" t="s">
        <v>59281</v>
      </c>
      <c r="V11732" t="s">
        <v>63921</v>
      </c>
      <c r="W11732" t="s">
        <v>46789</v>
      </c>
      <c r="X11732" t="s">
        <v>47439</v>
      </c>
    </row>
    <row r="11733" spans="1:24">
      <c r="A11733">
        <f>HYPERLINK("https://www.philgeps.gov.ph/GEPSNONPILOT/Tender/SplashBidNoticeAbstractUI.aspx?menuIndex=3&amp;refID=7143716&amp;Result=3","7143716")</f>
        <v>0</v>
      </c>
      <c r="B11733" t="s">
        <v>2280</v>
      </c>
      <c r="C11733" t="s">
        <v>14950</v>
      </c>
      <c r="D11733" t="s">
        <v>19017</v>
      </c>
      <c r="E11733" t="s">
        <v>29128</v>
      </c>
      <c r="F11733" t="s">
        <v>32831</v>
      </c>
      <c r="G11733" t="s">
        <v>32839</v>
      </c>
      <c r="H11733" t="s">
        <v>32848</v>
      </c>
      <c r="I11733" t="s">
        <v>7416</v>
      </c>
      <c r="J11733" t="s">
        <v>40170</v>
      </c>
      <c r="K11733" t="s">
        <v>42730</v>
      </c>
      <c r="M11733" t="s">
        <v>45464</v>
      </c>
      <c r="N11733" t="s">
        <v>47424</v>
      </c>
      <c r="O11733" t="s">
        <v>47425</v>
      </c>
      <c r="P11733">
        <v>0</v>
      </c>
      <c r="Q11733">
        <v>1</v>
      </c>
      <c r="R11733" t="s">
        <v>47438</v>
      </c>
      <c r="S11733" t="s">
        <v>47793</v>
      </c>
      <c r="T11733" t="s">
        <v>49057</v>
      </c>
      <c r="U11733" t="s">
        <v>59282</v>
      </c>
      <c r="W11733" t="s">
        <v>45464</v>
      </c>
      <c r="X11733" t="s">
        <v>47439</v>
      </c>
    </row>
    <row r="11734" spans="1:24">
      <c r="A11734">
        <f>HYPERLINK("https://www.philgeps.gov.ph/GEPSNONPILOT/Tender/SplashBidNoticeAbstractUI.aspx?menuIndex=3&amp;refID=7143364&amp;Result=3","7143364")</f>
        <v>0</v>
      </c>
      <c r="B11734" t="s">
        <v>581</v>
      </c>
      <c r="C11734" t="s">
        <v>14951</v>
      </c>
      <c r="D11734" t="s">
        <v>19044</v>
      </c>
      <c r="E11734" t="s">
        <v>29129</v>
      </c>
      <c r="F11734" t="s">
        <v>32831</v>
      </c>
      <c r="G11734" t="s">
        <v>32841</v>
      </c>
      <c r="H11734" t="s">
        <v>32848</v>
      </c>
      <c r="I11734" t="s">
        <v>32862</v>
      </c>
      <c r="J11734" t="s">
        <v>40171</v>
      </c>
      <c r="K11734" t="s">
        <v>42727</v>
      </c>
      <c r="M11734" t="s">
        <v>43986</v>
      </c>
      <c r="N11734" t="s">
        <v>47424</v>
      </c>
      <c r="O11734" t="s">
        <v>47425</v>
      </c>
      <c r="P11734">
        <v>0</v>
      </c>
      <c r="Q11734">
        <v>5</v>
      </c>
      <c r="R11734" t="s">
        <v>47438</v>
      </c>
      <c r="S11734" t="s">
        <v>47793</v>
      </c>
      <c r="T11734" t="s">
        <v>49111</v>
      </c>
      <c r="U11734" t="s">
        <v>59283</v>
      </c>
      <c r="W11734" t="s">
        <v>43986</v>
      </c>
      <c r="X11734" t="s">
        <v>47439</v>
      </c>
    </row>
    <row r="11735" spans="1:24">
      <c r="A11735">
        <f>HYPERLINK("https://www.philgeps.gov.ph/GEPSNONPILOT/Tender/SplashBidNoticeAbstractUI.aspx?menuIndex=3&amp;refID=7143355&amp;Result=3","7143355")</f>
        <v>0</v>
      </c>
      <c r="B11735" t="s">
        <v>688</v>
      </c>
      <c r="C11735" t="s">
        <v>14952</v>
      </c>
      <c r="E11735" t="s">
        <v>29130</v>
      </c>
      <c r="F11735" t="s">
        <v>32831</v>
      </c>
      <c r="G11735" t="s">
        <v>32839</v>
      </c>
      <c r="H11735" t="s">
        <v>32848</v>
      </c>
      <c r="I11735" t="s">
        <v>32855</v>
      </c>
      <c r="J11735" t="s">
        <v>40172</v>
      </c>
      <c r="K11735" t="s">
        <v>42732</v>
      </c>
      <c r="M11735" t="s">
        <v>43707</v>
      </c>
      <c r="N11735" t="s">
        <v>47424</v>
      </c>
      <c r="O11735" t="s">
        <v>47425</v>
      </c>
      <c r="P11735">
        <v>0</v>
      </c>
      <c r="Q11735">
        <v>0</v>
      </c>
      <c r="R11735" t="s">
        <v>47438</v>
      </c>
      <c r="S11735" t="s">
        <v>47793</v>
      </c>
      <c r="T11735" t="s">
        <v>49259</v>
      </c>
      <c r="U11735" t="s">
        <v>59284</v>
      </c>
      <c r="W11735" t="s">
        <v>43707</v>
      </c>
      <c r="X11735" t="s">
        <v>47439</v>
      </c>
    </row>
    <row r="11736" spans="1:24">
      <c r="A11736">
        <f>HYPERLINK("https://www.philgeps.gov.ph/GEPSNONPILOT/Tender/SplashBidNoticeAbstractUI.aspx?menuIndex=3&amp;refID=7136489&amp;Result=3","7136489")</f>
        <v>0</v>
      </c>
      <c r="B11736" t="s">
        <v>3450</v>
      </c>
      <c r="C11736" t="s">
        <v>14953</v>
      </c>
      <c r="D11736" t="s">
        <v>19024</v>
      </c>
      <c r="E11736" t="s">
        <v>29131</v>
      </c>
      <c r="F11736" t="s">
        <v>32831</v>
      </c>
      <c r="G11736" t="s">
        <v>32839</v>
      </c>
      <c r="H11736" t="s">
        <v>32849</v>
      </c>
      <c r="I11736" t="s">
        <v>4177</v>
      </c>
      <c r="J11736" t="s">
        <v>33087</v>
      </c>
      <c r="K11736" t="s">
        <v>42763</v>
      </c>
      <c r="L11736" t="s">
        <v>3450</v>
      </c>
      <c r="M11736" t="s">
        <v>46790</v>
      </c>
      <c r="N11736" t="s">
        <v>47424</v>
      </c>
      <c r="O11736" t="s">
        <v>47425</v>
      </c>
      <c r="P11736">
        <v>0</v>
      </c>
      <c r="Q11736">
        <v>1</v>
      </c>
      <c r="R11736" t="s">
        <v>47438</v>
      </c>
      <c r="S11736" t="s">
        <v>47793</v>
      </c>
      <c r="T11736" t="s">
        <v>49212</v>
      </c>
      <c r="U11736" t="s">
        <v>59285</v>
      </c>
      <c r="V11736" t="s">
        <v>63922</v>
      </c>
      <c r="W11736" t="s">
        <v>46790</v>
      </c>
      <c r="X11736" t="s">
        <v>47441</v>
      </c>
    </row>
    <row r="11737" spans="1:24">
      <c r="A11737">
        <f>HYPERLINK("https://www.philgeps.gov.ph/GEPSNONPILOT/Tender/SplashBidNoticeAbstractUI.aspx?menuIndex=3&amp;refID=7143491&amp;Result=3","7143491")</f>
        <v>0</v>
      </c>
      <c r="B11737" t="s">
        <v>3442</v>
      </c>
      <c r="C11737" t="s">
        <v>14906</v>
      </c>
      <c r="D11737" t="s">
        <v>19023</v>
      </c>
      <c r="E11737" t="s">
        <v>29132</v>
      </c>
      <c r="F11737" t="s">
        <v>32832</v>
      </c>
      <c r="G11737" t="s">
        <v>32839</v>
      </c>
      <c r="H11737" t="s">
        <v>32849</v>
      </c>
      <c r="I11737" t="s">
        <v>4177</v>
      </c>
      <c r="J11737" t="s">
        <v>32976</v>
      </c>
      <c r="K11737" t="s">
        <v>42730</v>
      </c>
      <c r="M11737" t="s">
        <v>46780</v>
      </c>
      <c r="N11737" t="s">
        <v>47424</v>
      </c>
      <c r="O11737" t="s">
        <v>47425</v>
      </c>
      <c r="P11737">
        <v>0</v>
      </c>
      <c r="Q11737">
        <v>1</v>
      </c>
      <c r="R11737" t="s">
        <v>47438</v>
      </c>
      <c r="S11737" t="s">
        <v>47793</v>
      </c>
      <c r="T11737" t="s">
        <v>49155</v>
      </c>
      <c r="U11737" t="s">
        <v>59248</v>
      </c>
      <c r="W11737" t="s">
        <v>46780</v>
      </c>
      <c r="X11737" t="s">
        <v>47439</v>
      </c>
    </row>
    <row r="11738" spans="1:24">
      <c r="A11738">
        <f>HYPERLINK("https://www.philgeps.gov.ph/GEPSNONPILOT/Tender/SplashBidNoticeAbstractUI.aspx?menuIndex=3&amp;refID=7143388&amp;Result=3","7143388")</f>
        <v>0</v>
      </c>
      <c r="B11738" t="s">
        <v>328</v>
      </c>
      <c r="C11738" t="s">
        <v>14954</v>
      </c>
      <c r="D11738" t="s">
        <v>19031</v>
      </c>
      <c r="E11738" t="s">
        <v>29133</v>
      </c>
      <c r="F11738" t="s">
        <v>32831</v>
      </c>
      <c r="G11738" t="s">
        <v>32839</v>
      </c>
      <c r="H11738" t="s">
        <v>32848</v>
      </c>
      <c r="I11738" t="s">
        <v>32910</v>
      </c>
      <c r="J11738" t="s">
        <v>40173</v>
      </c>
      <c r="K11738" t="s">
        <v>42730</v>
      </c>
      <c r="M11738" t="s">
        <v>43331</v>
      </c>
      <c r="N11738" t="s">
        <v>47424</v>
      </c>
      <c r="O11738" t="s">
        <v>47425</v>
      </c>
      <c r="P11738">
        <v>0</v>
      </c>
      <c r="Q11738">
        <v>6</v>
      </c>
      <c r="R11738" t="s">
        <v>47438</v>
      </c>
      <c r="S11738" t="s">
        <v>47793</v>
      </c>
      <c r="T11738" t="s">
        <v>49080</v>
      </c>
      <c r="U11738" t="s">
        <v>59286</v>
      </c>
      <c r="W11738" t="s">
        <v>43331</v>
      </c>
      <c r="X11738" t="s">
        <v>47439</v>
      </c>
    </row>
    <row r="11739" spans="1:24">
      <c r="A11739">
        <f>HYPERLINK("https://www.philgeps.gov.ph/GEPSNONPILOT/Tender/SplashBidNoticeAbstractUI.aspx?menuIndex=3&amp;refID=7143531&amp;Result=3","7143531")</f>
        <v>0</v>
      </c>
      <c r="B11739" t="s">
        <v>3442</v>
      </c>
      <c r="C11739" t="s">
        <v>14955</v>
      </c>
      <c r="D11739" t="s">
        <v>19023</v>
      </c>
      <c r="E11739" t="s">
        <v>29134</v>
      </c>
      <c r="F11739" t="s">
        <v>32832</v>
      </c>
      <c r="G11739" t="s">
        <v>32839</v>
      </c>
      <c r="H11739" t="s">
        <v>32849</v>
      </c>
      <c r="I11739" t="s">
        <v>4177</v>
      </c>
      <c r="J11739" t="s">
        <v>32980</v>
      </c>
      <c r="K11739" t="s">
        <v>42730</v>
      </c>
      <c r="M11739" t="s">
        <v>46780</v>
      </c>
      <c r="N11739" t="s">
        <v>47424</v>
      </c>
      <c r="O11739" t="s">
        <v>47425</v>
      </c>
      <c r="P11739">
        <v>0</v>
      </c>
      <c r="Q11739">
        <v>2</v>
      </c>
      <c r="R11739" t="s">
        <v>47438</v>
      </c>
      <c r="S11739" t="s">
        <v>47793</v>
      </c>
      <c r="T11739" t="s">
        <v>49155</v>
      </c>
      <c r="U11739" t="s">
        <v>59248</v>
      </c>
      <c r="W11739" t="s">
        <v>46780</v>
      </c>
      <c r="X11739" t="s">
        <v>47439</v>
      </c>
    </row>
    <row r="11740" spans="1:24">
      <c r="A11740">
        <f>HYPERLINK("https://www.philgeps.gov.ph/GEPSNONPILOT/Tender/SplashBidNoticeAbstractUI.aspx?menuIndex=3&amp;refID=7139250&amp;Result=3","7139250")</f>
        <v>0</v>
      </c>
      <c r="B11740" t="s">
        <v>1597</v>
      </c>
      <c r="C11740" t="s">
        <v>14956</v>
      </c>
      <c r="D11740" t="s">
        <v>19031</v>
      </c>
      <c r="E11740" t="s">
        <v>29135</v>
      </c>
      <c r="F11740" t="s">
        <v>32831</v>
      </c>
      <c r="G11740" t="s">
        <v>32839</v>
      </c>
      <c r="H11740" t="s">
        <v>32849</v>
      </c>
      <c r="I11740" t="s">
        <v>4177</v>
      </c>
      <c r="J11740" t="s">
        <v>40174</v>
      </c>
      <c r="K11740" t="s">
        <v>42729</v>
      </c>
      <c r="M11740" t="s">
        <v>44712</v>
      </c>
      <c r="N11740" t="s">
        <v>47424</v>
      </c>
      <c r="O11740" t="s">
        <v>47425</v>
      </c>
      <c r="P11740">
        <v>0</v>
      </c>
      <c r="Q11740">
        <v>0</v>
      </c>
      <c r="R11740" t="s">
        <v>47438</v>
      </c>
      <c r="S11740" t="s">
        <v>47793</v>
      </c>
      <c r="T11740" t="s">
        <v>49108</v>
      </c>
      <c r="U11740" t="s">
        <v>59287</v>
      </c>
      <c r="V11740" t="s">
        <v>63051</v>
      </c>
      <c r="W11740" t="s">
        <v>44712</v>
      </c>
      <c r="X11740" t="s">
        <v>47440</v>
      </c>
    </row>
    <row r="11741" spans="1:24">
      <c r="A11741">
        <f>HYPERLINK("https://www.philgeps.gov.ph/GEPSNONPILOT/Tender/SplashBidNoticeAbstractUI.aspx?menuIndex=3&amp;refID=7143753&amp;Result=3","7143753")</f>
        <v>0</v>
      </c>
      <c r="B11741" t="s">
        <v>3030</v>
      </c>
      <c r="C11741" t="s">
        <v>14957</v>
      </c>
      <c r="D11741" t="s">
        <v>19091</v>
      </c>
      <c r="E11741" t="s">
        <v>29136</v>
      </c>
      <c r="F11741" t="s">
        <v>32831</v>
      </c>
      <c r="G11741" t="s">
        <v>32839</v>
      </c>
      <c r="H11741" t="s">
        <v>32848</v>
      </c>
      <c r="I11741" t="s">
        <v>7416</v>
      </c>
      <c r="J11741" t="s">
        <v>33072</v>
      </c>
      <c r="K11741" t="s">
        <v>42729</v>
      </c>
      <c r="M11741" t="s">
        <v>46300</v>
      </c>
      <c r="N11741" t="s">
        <v>47424</v>
      </c>
      <c r="O11741" t="s">
        <v>47425</v>
      </c>
      <c r="P11741">
        <v>0</v>
      </c>
      <c r="Q11741">
        <v>1</v>
      </c>
      <c r="R11741" t="s">
        <v>47438</v>
      </c>
      <c r="S11741" t="s">
        <v>47793</v>
      </c>
      <c r="T11741" t="s">
        <v>49302</v>
      </c>
      <c r="U11741" t="s">
        <v>59288</v>
      </c>
      <c r="W11741" t="s">
        <v>46300</v>
      </c>
      <c r="X11741" t="s">
        <v>47439</v>
      </c>
    </row>
    <row r="11742" spans="1:24">
      <c r="A11742">
        <f>HYPERLINK("https://www.philgeps.gov.ph/GEPSNONPILOT/Tender/SplashBidNoticeAbstractUI.aspx?menuIndex=3&amp;refID=7143844&amp;Result=3","7143844")</f>
        <v>0</v>
      </c>
      <c r="B11742" t="s">
        <v>3444</v>
      </c>
      <c r="C11742" t="s">
        <v>14917</v>
      </c>
      <c r="D11742" t="s">
        <v>19019</v>
      </c>
      <c r="E11742" t="s">
        <v>20132</v>
      </c>
      <c r="F11742" t="s">
        <v>32833</v>
      </c>
      <c r="G11742" t="s">
        <v>32839</v>
      </c>
      <c r="H11742" t="s">
        <v>32848</v>
      </c>
      <c r="I11742" t="s">
        <v>10805</v>
      </c>
      <c r="J11742" t="s">
        <v>33018</v>
      </c>
      <c r="K11742" t="s">
        <v>42748</v>
      </c>
      <c r="M11742" t="s">
        <v>46782</v>
      </c>
      <c r="N11742" t="s">
        <v>47424</v>
      </c>
      <c r="O11742" t="s">
        <v>47425</v>
      </c>
      <c r="P11742">
        <v>0</v>
      </c>
      <c r="Q11742">
        <v>1</v>
      </c>
      <c r="R11742" t="s">
        <v>47438</v>
      </c>
      <c r="S11742" t="s">
        <v>47793</v>
      </c>
      <c r="T11742" t="s">
        <v>49104</v>
      </c>
      <c r="U11742" t="s">
        <v>59255</v>
      </c>
      <c r="V11742" t="s">
        <v>63916</v>
      </c>
      <c r="W11742" t="s">
        <v>46782</v>
      </c>
      <c r="X11742" t="s">
        <v>47439</v>
      </c>
    </row>
    <row r="11743" spans="1:24">
      <c r="A11743">
        <f>HYPERLINK("https://www.philgeps.gov.ph/GEPSNONPILOT/Tender/SplashBidNoticeAbstractUI.aspx?menuIndex=3&amp;refID=7143815&amp;Result=3","7143815")</f>
        <v>0</v>
      </c>
      <c r="B11743" t="s">
        <v>1149</v>
      </c>
      <c r="C11743" t="s">
        <v>6330</v>
      </c>
      <c r="D11743" t="s">
        <v>19079</v>
      </c>
      <c r="E11743" t="s">
        <v>29137</v>
      </c>
      <c r="F11743" t="s">
        <v>32831</v>
      </c>
      <c r="G11743" t="s">
        <v>32839</v>
      </c>
      <c r="H11743" t="s">
        <v>32849</v>
      </c>
      <c r="I11743" t="s">
        <v>4177</v>
      </c>
      <c r="J11743" t="s">
        <v>40175</v>
      </c>
      <c r="K11743" t="s">
        <v>42845</v>
      </c>
      <c r="M11743" t="s">
        <v>44985</v>
      </c>
      <c r="N11743" t="s">
        <v>47424</v>
      </c>
      <c r="O11743" t="s">
        <v>47425</v>
      </c>
      <c r="P11743">
        <v>0</v>
      </c>
      <c r="Q11743">
        <v>1</v>
      </c>
      <c r="R11743" t="s">
        <v>47438</v>
      </c>
      <c r="S11743" t="s">
        <v>47793</v>
      </c>
      <c r="T11743" t="s">
        <v>49596</v>
      </c>
      <c r="U11743" t="s">
        <v>59289</v>
      </c>
      <c r="W11743" t="s">
        <v>44985</v>
      </c>
      <c r="X11743" t="s">
        <v>47439</v>
      </c>
    </row>
    <row r="11744" spans="1:24">
      <c r="A11744">
        <f>HYPERLINK("https://www.philgeps.gov.ph/GEPSNONPILOT/Tender/SplashBidNoticeAbstractUI.aspx?menuIndex=3&amp;refID=7143803&amp;Result=3","7143803")</f>
        <v>0</v>
      </c>
      <c r="B11744" t="s">
        <v>3451</v>
      </c>
      <c r="C11744" t="s">
        <v>14958</v>
      </c>
      <c r="D11744" t="s">
        <v>19050</v>
      </c>
      <c r="E11744" t="s">
        <v>29138</v>
      </c>
      <c r="F11744" t="s">
        <v>32831</v>
      </c>
      <c r="G11744" t="s">
        <v>32839</v>
      </c>
      <c r="H11744" t="s">
        <v>32848</v>
      </c>
      <c r="I11744" t="s">
        <v>8577</v>
      </c>
      <c r="J11744" t="s">
        <v>40176</v>
      </c>
      <c r="K11744" t="s">
        <v>42745</v>
      </c>
      <c r="M11744" t="s">
        <v>46791</v>
      </c>
      <c r="N11744" t="s">
        <v>47424</v>
      </c>
      <c r="O11744" t="s">
        <v>47425</v>
      </c>
      <c r="P11744">
        <v>0</v>
      </c>
      <c r="Q11744">
        <v>8</v>
      </c>
      <c r="R11744" t="s">
        <v>47438</v>
      </c>
      <c r="S11744" t="s">
        <v>47793</v>
      </c>
      <c r="T11744" t="s">
        <v>49066</v>
      </c>
      <c r="U11744" t="s">
        <v>59290</v>
      </c>
      <c r="W11744" t="s">
        <v>46791</v>
      </c>
      <c r="X11744" t="s">
        <v>47439</v>
      </c>
    </row>
    <row r="11745" spans="1:24">
      <c r="A11745">
        <f>HYPERLINK("https://www.philgeps.gov.ph/GEPSNONPILOT/Tender/SplashBidNoticeAbstractUI.aspx?menuIndex=3&amp;refID=7143546&amp;Result=3","7143546")</f>
        <v>0</v>
      </c>
      <c r="B11745" t="s">
        <v>3433</v>
      </c>
      <c r="C11745" t="s">
        <v>14959</v>
      </c>
      <c r="D11745" t="s">
        <v>19044</v>
      </c>
      <c r="E11745" t="s">
        <v>29139</v>
      </c>
      <c r="F11745" t="s">
        <v>32831</v>
      </c>
      <c r="G11745" t="s">
        <v>32839</v>
      </c>
      <c r="H11745" t="s">
        <v>32848</v>
      </c>
      <c r="I11745" t="s">
        <v>32906</v>
      </c>
      <c r="J11745" t="s">
        <v>40177</v>
      </c>
      <c r="K11745" t="s">
        <v>42732</v>
      </c>
      <c r="M11745" t="s">
        <v>46768</v>
      </c>
      <c r="N11745" t="s">
        <v>47424</v>
      </c>
      <c r="O11745" t="s">
        <v>47425</v>
      </c>
      <c r="Q11745">
        <v>15</v>
      </c>
      <c r="R11745" t="s">
        <v>47438</v>
      </c>
      <c r="S11745" t="s">
        <v>47829</v>
      </c>
      <c r="T11745" t="s">
        <v>49069</v>
      </c>
      <c r="U11745" t="s">
        <v>59291</v>
      </c>
      <c r="W11745" t="s">
        <v>46768</v>
      </c>
      <c r="X11745" t="s">
        <v>47439</v>
      </c>
    </row>
    <row r="11746" spans="1:24">
      <c r="A11746">
        <f>HYPERLINK("https://www.philgeps.gov.ph/GEPSNONPILOT/Tender/SplashBidNoticeAbstractUI.aspx?menuIndex=3&amp;refID=7143787&amp;Result=3","7143787")</f>
        <v>0</v>
      </c>
      <c r="B11746" t="s">
        <v>328</v>
      </c>
      <c r="C11746" t="s">
        <v>14960</v>
      </c>
      <c r="D11746" t="s">
        <v>19031</v>
      </c>
      <c r="E11746" t="s">
        <v>29140</v>
      </c>
      <c r="F11746" t="s">
        <v>32831</v>
      </c>
      <c r="G11746" t="s">
        <v>32839</v>
      </c>
      <c r="H11746" t="s">
        <v>32848</v>
      </c>
      <c r="I11746" t="s">
        <v>32857</v>
      </c>
      <c r="J11746" t="s">
        <v>40178</v>
      </c>
      <c r="K11746" t="s">
        <v>42730</v>
      </c>
      <c r="M11746" t="s">
        <v>43331</v>
      </c>
      <c r="N11746" t="s">
        <v>47424</v>
      </c>
      <c r="O11746" t="s">
        <v>47425</v>
      </c>
      <c r="Q11746">
        <v>21</v>
      </c>
      <c r="R11746" t="s">
        <v>47438</v>
      </c>
      <c r="S11746" t="s">
        <v>47830</v>
      </c>
      <c r="T11746" t="s">
        <v>49080</v>
      </c>
      <c r="U11746" t="s">
        <v>59292</v>
      </c>
      <c r="W11746" t="s">
        <v>43331</v>
      </c>
      <c r="X11746" t="s">
        <v>47439</v>
      </c>
    </row>
    <row r="11747" spans="1:24">
      <c r="A11747">
        <f>HYPERLINK("https://www.philgeps.gov.ph/GEPSNONPILOT/Tender/SplashBidNoticeAbstractUI.aspx?menuIndex=3&amp;refID=7143839&amp;Result=3","7143839")</f>
        <v>0</v>
      </c>
      <c r="B11747" t="s">
        <v>3452</v>
      </c>
      <c r="C11747" t="s">
        <v>14961</v>
      </c>
      <c r="D11747" t="s">
        <v>19024</v>
      </c>
      <c r="E11747" t="s">
        <v>21211</v>
      </c>
      <c r="F11747" t="s">
        <v>32831</v>
      </c>
      <c r="G11747" t="s">
        <v>32839</v>
      </c>
      <c r="H11747" t="s">
        <v>32850</v>
      </c>
      <c r="I11747" t="s">
        <v>32863</v>
      </c>
      <c r="J11747" t="s">
        <v>33108</v>
      </c>
      <c r="K11747" t="s">
        <v>42775</v>
      </c>
      <c r="M11747" t="s">
        <v>46792</v>
      </c>
      <c r="N11747" t="s">
        <v>47424</v>
      </c>
      <c r="O11747" t="s">
        <v>47425</v>
      </c>
      <c r="Q11747">
        <v>16</v>
      </c>
      <c r="R11747" t="s">
        <v>47438</v>
      </c>
      <c r="S11747" t="s">
        <v>47775</v>
      </c>
      <c r="T11747" t="s">
        <v>49427</v>
      </c>
      <c r="U11747" t="s">
        <v>59293</v>
      </c>
      <c r="V11747" t="s">
        <v>63923</v>
      </c>
      <c r="W11747" t="s">
        <v>46792</v>
      </c>
      <c r="X11747" t="s">
        <v>47439</v>
      </c>
    </row>
    <row r="11748" spans="1:24">
      <c r="A11748">
        <f>HYPERLINK("https://www.philgeps.gov.ph/GEPSNONPILOT/Tender/SplashBidNoticeAbstractUI.aspx?menuIndex=3&amp;refID=7143823&amp;Result=3","7143823")</f>
        <v>0</v>
      </c>
      <c r="B11748" t="s">
        <v>1316</v>
      </c>
      <c r="C11748" t="s">
        <v>14962</v>
      </c>
      <c r="D11748" t="s">
        <v>19035</v>
      </c>
      <c r="E11748" t="s">
        <v>29141</v>
      </c>
      <c r="F11748" t="s">
        <v>32831</v>
      </c>
      <c r="G11748" t="s">
        <v>32839</v>
      </c>
      <c r="H11748" t="s">
        <v>32849</v>
      </c>
      <c r="I11748" t="s">
        <v>4177</v>
      </c>
      <c r="J11748" t="s">
        <v>40179</v>
      </c>
      <c r="K11748" t="s">
        <v>42747</v>
      </c>
      <c r="M11748" t="s">
        <v>44387</v>
      </c>
      <c r="N11748" t="s">
        <v>47424</v>
      </c>
      <c r="O11748" t="s">
        <v>47425</v>
      </c>
      <c r="P11748">
        <v>0</v>
      </c>
      <c r="Q11748">
        <v>0</v>
      </c>
      <c r="R11748" t="s">
        <v>47438</v>
      </c>
      <c r="S11748" t="s">
        <v>47793</v>
      </c>
      <c r="T11748" t="s">
        <v>49212</v>
      </c>
      <c r="U11748" t="s">
        <v>59294</v>
      </c>
      <c r="W11748" t="s">
        <v>44387</v>
      </c>
      <c r="X11748" t="s">
        <v>47439</v>
      </c>
    </row>
    <row r="11749" spans="1:24">
      <c r="A11749">
        <f>HYPERLINK("https://www.philgeps.gov.ph/GEPSNONPILOT/Tender/SplashBidNoticeAbstractUI.aspx?menuIndex=3&amp;refID=7143797&amp;Result=3","7143797")</f>
        <v>0</v>
      </c>
      <c r="B11749" t="s">
        <v>3453</v>
      </c>
      <c r="C11749" t="s">
        <v>14963</v>
      </c>
      <c r="D11749" t="s">
        <v>19053</v>
      </c>
      <c r="E11749" t="s">
        <v>29142</v>
      </c>
      <c r="F11749" t="s">
        <v>32831</v>
      </c>
      <c r="G11749" t="s">
        <v>32839</v>
      </c>
      <c r="H11749" t="s">
        <v>32848</v>
      </c>
      <c r="I11749" t="s">
        <v>8577</v>
      </c>
      <c r="J11749" t="s">
        <v>33066</v>
      </c>
      <c r="K11749" t="s">
        <v>42730</v>
      </c>
      <c r="M11749" t="s">
        <v>46793</v>
      </c>
      <c r="N11749" t="s">
        <v>47424</v>
      </c>
      <c r="O11749" t="s">
        <v>47425</v>
      </c>
      <c r="P11749">
        <v>0</v>
      </c>
      <c r="Q11749">
        <v>6</v>
      </c>
      <c r="R11749" t="s">
        <v>47438</v>
      </c>
      <c r="S11749" t="s">
        <v>47793</v>
      </c>
      <c r="T11749" t="s">
        <v>49127</v>
      </c>
      <c r="U11749" t="s">
        <v>59295</v>
      </c>
      <c r="W11749" t="s">
        <v>46793</v>
      </c>
      <c r="X11749" t="s">
        <v>47439</v>
      </c>
    </row>
    <row r="11750" spans="1:24">
      <c r="A11750">
        <f>HYPERLINK("https://www.philgeps.gov.ph/GEPSNONPILOT/Tender/SplashBidNoticeAbstractUI.aspx?menuIndex=3&amp;refID=7143910&amp;Result=3","7143910")</f>
        <v>0</v>
      </c>
      <c r="B11750" t="s">
        <v>674</v>
      </c>
      <c r="C11750" t="s">
        <v>14964</v>
      </c>
      <c r="D11750" t="s">
        <v>19058</v>
      </c>
      <c r="E11750" t="s">
        <v>29143</v>
      </c>
      <c r="F11750" t="s">
        <v>32831</v>
      </c>
      <c r="G11750" t="s">
        <v>32839</v>
      </c>
      <c r="H11750" t="s">
        <v>32849</v>
      </c>
      <c r="I11750" t="s">
        <v>4177</v>
      </c>
      <c r="J11750" t="s">
        <v>40180</v>
      </c>
      <c r="K11750" t="s">
        <v>42732</v>
      </c>
      <c r="M11750" t="s">
        <v>44520</v>
      </c>
      <c r="N11750" t="s">
        <v>47424</v>
      </c>
      <c r="O11750" t="s">
        <v>47425</v>
      </c>
      <c r="P11750">
        <v>0</v>
      </c>
      <c r="Q11750">
        <v>1</v>
      </c>
      <c r="R11750" t="s">
        <v>47438</v>
      </c>
      <c r="S11750" t="s">
        <v>47793</v>
      </c>
      <c r="T11750" t="s">
        <v>49080</v>
      </c>
      <c r="U11750" t="s">
        <v>59296</v>
      </c>
      <c r="W11750" t="s">
        <v>44520</v>
      </c>
      <c r="X11750" t="s">
        <v>47439</v>
      </c>
    </row>
    <row r="11751" spans="1:24">
      <c r="A11751">
        <f>HYPERLINK("https://www.philgeps.gov.ph/GEPSNONPILOT/Tender/SplashBidNoticeAbstractUI.aspx?menuIndex=3&amp;refID=7143908&amp;Result=3","7143908")</f>
        <v>0</v>
      </c>
      <c r="B11751" t="s">
        <v>3454</v>
      </c>
      <c r="C11751" t="s">
        <v>14965</v>
      </c>
      <c r="D11751" t="s">
        <v>19100</v>
      </c>
      <c r="E11751" t="s">
        <v>29144</v>
      </c>
      <c r="F11751" t="s">
        <v>32831</v>
      </c>
      <c r="G11751" t="s">
        <v>32839</v>
      </c>
      <c r="H11751" t="s">
        <v>32849</v>
      </c>
      <c r="I11751" t="s">
        <v>4177</v>
      </c>
      <c r="J11751" t="s">
        <v>33083</v>
      </c>
      <c r="K11751" t="s">
        <v>42757</v>
      </c>
      <c r="M11751" t="s">
        <v>46794</v>
      </c>
      <c r="N11751" t="s">
        <v>47424</v>
      </c>
      <c r="O11751" t="s">
        <v>47425</v>
      </c>
      <c r="P11751">
        <v>0</v>
      </c>
      <c r="Q11751">
        <v>0</v>
      </c>
      <c r="R11751" t="s">
        <v>47438</v>
      </c>
      <c r="S11751" t="s">
        <v>47793</v>
      </c>
      <c r="T11751" t="s">
        <v>49080</v>
      </c>
      <c r="U11751" t="s">
        <v>59297</v>
      </c>
      <c r="V11751" t="s">
        <v>63924</v>
      </c>
      <c r="W11751" t="s">
        <v>46794</v>
      </c>
      <c r="X11751" t="s">
        <v>47439</v>
      </c>
    </row>
    <row r="11752" spans="1:24">
      <c r="A11752">
        <f>HYPERLINK("https://www.philgeps.gov.ph/GEPSNONPILOT/Tender/SplashBidNoticeAbstractUI.aspx?menuIndex=3&amp;refID=7143911&amp;Result=3","7143911")</f>
        <v>0</v>
      </c>
      <c r="B11752" t="s">
        <v>1439</v>
      </c>
      <c r="C11752" t="s">
        <v>14966</v>
      </c>
      <c r="D11752" t="s">
        <v>19123</v>
      </c>
      <c r="E11752" t="s">
        <v>29145</v>
      </c>
      <c r="F11752" t="s">
        <v>32831</v>
      </c>
      <c r="G11752" t="s">
        <v>32841</v>
      </c>
      <c r="H11752" t="s">
        <v>32848</v>
      </c>
      <c r="I11752" t="s">
        <v>32875</v>
      </c>
      <c r="J11752" t="s">
        <v>40181</v>
      </c>
      <c r="K11752" t="s">
        <v>42730</v>
      </c>
      <c r="M11752" t="s">
        <v>46078</v>
      </c>
      <c r="N11752" t="s">
        <v>47424</v>
      </c>
      <c r="O11752" t="s">
        <v>47425</v>
      </c>
      <c r="Q11752">
        <v>2</v>
      </c>
      <c r="R11752" t="s">
        <v>47438</v>
      </c>
      <c r="S11752" t="s">
        <v>47831</v>
      </c>
      <c r="T11752" t="s">
        <v>49239</v>
      </c>
      <c r="U11752" t="s">
        <v>59298</v>
      </c>
      <c r="W11752" t="s">
        <v>46078</v>
      </c>
      <c r="X11752" t="s">
        <v>47439</v>
      </c>
    </row>
    <row r="11753" spans="1:24">
      <c r="A11753">
        <f>HYPERLINK("https://www.philgeps.gov.ph/GEPSNONPILOT/Tender/SplashBidNoticeAbstractUI.aspx?menuIndex=3&amp;refID=7143762&amp;Result=3","7143762")</f>
        <v>0</v>
      </c>
      <c r="B11753" t="s">
        <v>123</v>
      </c>
      <c r="C11753" t="s">
        <v>14967</v>
      </c>
      <c r="D11753" t="s">
        <v>19038</v>
      </c>
      <c r="E11753" t="s">
        <v>29146</v>
      </c>
      <c r="F11753" t="s">
        <v>32831</v>
      </c>
      <c r="G11753" t="s">
        <v>32839</v>
      </c>
      <c r="H11753" t="s">
        <v>32848</v>
      </c>
      <c r="I11753" t="s">
        <v>4776</v>
      </c>
      <c r="J11753" t="s">
        <v>40182</v>
      </c>
      <c r="K11753" t="s">
        <v>42727</v>
      </c>
      <c r="M11753" t="s">
        <v>43120</v>
      </c>
      <c r="N11753" t="s">
        <v>47424</v>
      </c>
      <c r="O11753" t="s">
        <v>47425</v>
      </c>
      <c r="Q11753">
        <v>9</v>
      </c>
      <c r="R11753" t="s">
        <v>47438</v>
      </c>
      <c r="S11753" t="s">
        <v>47832</v>
      </c>
      <c r="T11753" t="s">
        <v>49196</v>
      </c>
      <c r="U11753" t="s">
        <v>59299</v>
      </c>
      <c r="V11753" t="s">
        <v>62659</v>
      </c>
      <c r="W11753" t="s">
        <v>43120</v>
      </c>
      <c r="X11753" t="s">
        <v>47439</v>
      </c>
    </row>
    <row r="11754" spans="1:24">
      <c r="A11754">
        <f>HYPERLINK("https://www.philgeps.gov.ph/GEPSNONPILOT/Tender/SplashBidNoticeAbstractUI.aspx?menuIndex=3&amp;refID=7143771&amp;Result=3","7143771")</f>
        <v>0</v>
      </c>
      <c r="B11754" t="s">
        <v>1446</v>
      </c>
      <c r="C11754" t="s">
        <v>14968</v>
      </c>
      <c r="D11754" t="s">
        <v>19017</v>
      </c>
      <c r="E11754" t="s">
        <v>29147</v>
      </c>
      <c r="F11754" t="s">
        <v>32831</v>
      </c>
      <c r="G11754" t="s">
        <v>32839</v>
      </c>
      <c r="H11754" t="s">
        <v>32848</v>
      </c>
      <c r="I11754" t="s">
        <v>32862</v>
      </c>
      <c r="J11754" t="s">
        <v>34733</v>
      </c>
      <c r="K11754" t="s">
        <v>42763</v>
      </c>
      <c r="M11754" t="s">
        <v>46779</v>
      </c>
      <c r="N11754" t="s">
        <v>47424</v>
      </c>
      <c r="O11754" t="s">
        <v>47425</v>
      </c>
      <c r="P11754">
        <v>0</v>
      </c>
      <c r="Q11754">
        <v>2</v>
      </c>
      <c r="R11754" t="s">
        <v>47438</v>
      </c>
      <c r="S11754" t="s">
        <v>47793</v>
      </c>
      <c r="T11754" t="s">
        <v>49151</v>
      </c>
      <c r="U11754" t="s">
        <v>59243</v>
      </c>
      <c r="W11754" t="s">
        <v>46779</v>
      </c>
      <c r="X11754" t="s">
        <v>47439</v>
      </c>
    </row>
    <row r="11755" spans="1:24">
      <c r="A11755">
        <f>HYPERLINK("https://www.philgeps.gov.ph/GEPSNONPILOT/Tender/SplashBidNoticeAbstractUI.aspx?menuIndex=3&amp;refID=7143869&amp;Result=3","7143869")</f>
        <v>0</v>
      </c>
      <c r="B11755" t="s">
        <v>3441</v>
      </c>
      <c r="C11755" t="s">
        <v>14969</v>
      </c>
      <c r="D11755" t="s">
        <v>19094</v>
      </c>
      <c r="E11755" t="s">
        <v>29148</v>
      </c>
      <c r="F11755" t="s">
        <v>32831</v>
      </c>
      <c r="G11755" t="s">
        <v>32839</v>
      </c>
      <c r="H11755" t="s">
        <v>32849</v>
      </c>
      <c r="I11755" t="s">
        <v>4177</v>
      </c>
      <c r="J11755" t="s">
        <v>40183</v>
      </c>
      <c r="K11755" t="s">
        <v>42945</v>
      </c>
      <c r="M11755" t="s">
        <v>46778</v>
      </c>
      <c r="N11755" t="s">
        <v>47424</v>
      </c>
      <c r="O11755" t="s">
        <v>47425</v>
      </c>
      <c r="P11755">
        <v>0</v>
      </c>
      <c r="Q11755">
        <v>0</v>
      </c>
      <c r="R11755" t="s">
        <v>47438</v>
      </c>
      <c r="S11755" t="s">
        <v>47793</v>
      </c>
      <c r="T11755" t="s">
        <v>49218</v>
      </c>
      <c r="U11755" t="s">
        <v>59300</v>
      </c>
      <c r="V11755" t="s">
        <v>63914</v>
      </c>
      <c r="W11755" t="s">
        <v>46778</v>
      </c>
      <c r="X11755" t="s">
        <v>47439</v>
      </c>
    </row>
    <row r="11756" spans="1:24">
      <c r="A11756">
        <f>HYPERLINK("https://www.philgeps.gov.ph/GEPSNONPILOT/Tender/SplashBidNoticeAbstractUI.aspx?menuIndex=3&amp;refID=7143799&amp;Result=3","7143799")</f>
        <v>0</v>
      </c>
      <c r="B11756" t="s">
        <v>1446</v>
      </c>
      <c r="C11756" t="s">
        <v>7487</v>
      </c>
      <c r="D11756" t="s">
        <v>19017</v>
      </c>
      <c r="E11756" t="s">
        <v>29149</v>
      </c>
      <c r="F11756" t="s">
        <v>32831</v>
      </c>
      <c r="G11756" t="s">
        <v>32839</v>
      </c>
      <c r="H11756" t="s">
        <v>32848</v>
      </c>
      <c r="I11756" t="s">
        <v>32859</v>
      </c>
      <c r="J11756" t="s">
        <v>33083</v>
      </c>
      <c r="K11756" t="s">
        <v>42763</v>
      </c>
      <c r="M11756" t="s">
        <v>46779</v>
      </c>
      <c r="N11756" t="s">
        <v>47424</v>
      </c>
      <c r="O11756" t="s">
        <v>47425</v>
      </c>
      <c r="P11756">
        <v>0</v>
      </c>
      <c r="Q11756">
        <v>6</v>
      </c>
      <c r="R11756" t="s">
        <v>47438</v>
      </c>
      <c r="S11756" t="s">
        <v>47793</v>
      </c>
      <c r="T11756" t="s">
        <v>49151</v>
      </c>
      <c r="U11756" t="s">
        <v>59243</v>
      </c>
      <c r="W11756" t="s">
        <v>46779</v>
      </c>
      <c r="X11756" t="s">
        <v>47439</v>
      </c>
    </row>
    <row r="11757" spans="1:24">
      <c r="A11757">
        <f>HYPERLINK("https://www.philgeps.gov.ph/GEPSNONPILOT/Tender/SplashBidNoticeAbstractUI.aspx?menuIndex=3&amp;refID=7143913&amp;Result=3","7143913")</f>
        <v>0</v>
      </c>
      <c r="B11757" t="s">
        <v>2235</v>
      </c>
      <c r="C11757" t="s">
        <v>14970</v>
      </c>
      <c r="D11757" t="s">
        <v>19022</v>
      </c>
      <c r="E11757" t="s">
        <v>29150</v>
      </c>
      <c r="F11757" t="s">
        <v>32831</v>
      </c>
      <c r="G11757" t="s">
        <v>32839</v>
      </c>
      <c r="H11757" t="s">
        <v>32849</v>
      </c>
      <c r="I11757" t="s">
        <v>4177</v>
      </c>
      <c r="J11757" t="s">
        <v>40184</v>
      </c>
      <c r="K11757" t="s">
        <v>42949</v>
      </c>
      <c r="M11757" t="s">
        <v>46795</v>
      </c>
      <c r="N11757" t="s">
        <v>47424</v>
      </c>
      <c r="O11757" t="s">
        <v>47425</v>
      </c>
      <c r="P11757">
        <v>0</v>
      </c>
      <c r="Q11757">
        <v>2</v>
      </c>
      <c r="R11757" t="s">
        <v>47438</v>
      </c>
      <c r="S11757" t="s">
        <v>47793</v>
      </c>
      <c r="T11757" t="s">
        <v>49310</v>
      </c>
      <c r="U11757" t="s">
        <v>59301</v>
      </c>
      <c r="W11757" t="s">
        <v>46795</v>
      </c>
      <c r="X11757" t="s">
        <v>47439</v>
      </c>
    </row>
    <row r="11758" spans="1:24">
      <c r="A11758">
        <f>HYPERLINK("https://www.philgeps.gov.ph/GEPSNONPILOT/Tender/SplashBidNoticeAbstractUI.aspx?menuIndex=3&amp;refID=7144029&amp;Result=3","7144029")</f>
        <v>0</v>
      </c>
      <c r="B11758" t="s">
        <v>674</v>
      </c>
      <c r="C11758" t="s">
        <v>14971</v>
      </c>
      <c r="D11758" t="s">
        <v>19058</v>
      </c>
      <c r="E11758" t="s">
        <v>29151</v>
      </c>
      <c r="F11758" t="s">
        <v>32831</v>
      </c>
      <c r="G11758" t="s">
        <v>32839</v>
      </c>
      <c r="H11758" t="s">
        <v>32848</v>
      </c>
      <c r="I11758" t="s">
        <v>7416</v>
      </c>
      <c r="J11758" t="s">
        <v>40185</v>
      </c>
      <c r="K11758" t="s">
        <v>42732</v>
      </c>
      <c r="M11758" t="s">
        <v>44520</v>
      </c>
      <c r="N11758" t="s">
        <v>47424</v>
      </c>
      <c r="O11758" t="s">
        <v>47425</v>
      </c>
      <c r="P11758">
        <v>0</v>
      </c>
      <c r="Q11758">
        <v>0</v>
      </c>
      <c r="R11758" t="s">
        <v>47438</v>
      </c>
      <c r="S11758" t="s">
        <v>47793</v>
      </c>
      <c r="T11758" t="s">
        <v>49237</v>
      </c>
      <c r="U11758" t="s">
        <v>59302</v>
      </c>
      <c r="W11758" t="s">
        <v>44520</v>
      </c>
      <c r="X11758" t="s">
        <v>47439</v>
      </c>
    </row>
    <row r="11759" spans="1:24">
      <c r="A11759">
        <f>HYPERLINK("https://www.philgeps.gov.ph/GEPSNONPILOT/Tender/SplashBidNoticeAbstractUI.aspx?menuIndex=3&amp;refID=7143853&amp;Result=3","7143853")</f>
        <v>0</v>
      </c>
      <c r="B11759" t="s">
        <v>586</v>
      </c>
      <c r="C11759" t="s">
        <v>14972</v>
      </c>
      <c r="D11759" t="s">
        <v>19074</v>
      </c>
      <c r="E11759" t="s">
        <v>29152</v>
      </c>
      <c r="F11759" t="s">
        <v>32831</v>
      </c>
      <c r="G11759" t="s">
        <v>32839</v>
      </c>
      <c r="H11759" t="s">
        <v>32849</v>
      </c>
      <c r="I11759" t="s">
        <v>4177</v>
      </c>
      <c r="J11759" t="s">
        <v>40186</v>
      </c>
      <c r="K11759" t="s">
        <v>42790</v>
      </c>
      <c r="M11759" t="s">
        <v>43597</v>
      </c>
      <c r="N11759" t="s">
        <v>47424</v>
      </c>
      <c r="O11759" t="s">
        <v>47425</v>
      </c>
      <c r="P11759">
        <v>0</v>
      </c>
      <c r="Q11759">
        <v>0</v>
      </c>
      <c r="R11759" t="s">
        <v>47438</v>
      </c>
      <c r="S11759" t="s">
        <v>47793</v>
      </c>
      <c r="T11759" t="s">
        <v>49198</v>
      </c>
      <c r="U11759" t="s">
        <v>59303</v>
      </c>
      <c r="W11759" t="s">
        <v>43597</v>
      </c>
      <c r="X11759" t="s">
        <v>47439</v>
      </c>
    </row>
    <row r="11760" spans="1:24">
      <c r="A11760">
        <f>HYPERLINK("https://www.philgeps.gov.ph/GEPSNONPILOT/Tender/SplashBidNoticeAbstractUI.aspx?menuIndex=3&amp;refID=7144072&amp;Result=3","7144072")</f>
        <v>0</v>
      </c>
      <c r="B11760" t="s">
        <v>795</v>
      </c>
      <c r="C11760" t="s">
        <v>14973</v>
      </c>
      <c r="D11760" t="s">
        <v>19045</v>
      </c>
      <c r="E11760" t="s">
        <v>29153</v>
      </c>
      <c r="F11760" t="s">
        <v>32831</v>
      </c>
      <c r="G11760" t="s">
        <v>32839</v>
      </c>
      <c r="H11760" t="s">
        <v>32849</v>
      </c>
      <c r="I11760" t="s">
        <v>4177</v>
      </c>
      <c r="J11760" t="s">
        <v>40187</v>
      </c>
      <c r="K11760" t="s">
        <v>42813</v>
      </c>
      <c r="M11760" t="s">
        <v>43825</v>
      </c>
      <c r="N11760" t="s">
        <v>47424</v>
      </c>
      <c r="O11760" t="s">
        <v>47425</v>
      </c>
      <c r="P11760">
        <v>0</v>
      </c>
      <c r="Q11760">
        <v>8</v>
      </c>
      <c r="R11760" t="s">
        <v>47438</v>
      </c>
      <c r="S11760" t="s">
        <v>47793</v>
      </c>
      <c r="T11760" t="s">
        <v>49057</v>
      </c>
      <c r="U11760" t="s">
        <v>51208</v>
      </c>
      <c r="W11760" t="s">
        <v>43825</v>
      </c>
      <c r="X11760" t="s">
        <v>47439</v>
      </c>
    </row>
    <row r="11761" spans="1:24">
      <c r="A11761">
        <f>HYPERLINK("https://www.philgeps.gov.ph/GEPSNONPILOT/Tender/SplashBidNoticeAbstractUI.aspx?menuIndex=3&amp;refID=7143918&amp;Result=3","7143918")</f>
        <v>0</v>
      </c>
      <c r="B11761" t="s">
        <v>2885</v>
      </c>
      <c r="C11761" t="s">
        <v>14974</v>
      </c>
      <c r="D11761" t="s">
        <v>19019</v>
      </c>
      <c r="E11761" t="s">
        <v>29154</v>
      </c>
      <c r="F11761" t="s">
        <v>32831</v>
      </c>
      <c r="G11761" t="s">
        <v>32839</v>
      </c>
      <c r="H11761" t="s">
        <v>32849</v>
      </c>
      <c r="I11761" t="s">
        <v>4177</v>
      </c>
      <c r="J11761" t="s">
        <v>40188</v>
      </c>
      <c r="K11761" t="s">
        <v>42770</v>
      </c>
      <c r="M11761" t="s">
        <v>46124</v>
      </c>
      <c r="N11761" t="s">
        <v>47424</v>
      </c>
      <c r="O11761" t="s">
        <v>47425</v>
      </c>
      <c r="P11761">
        <v>0</v>
      </c>
      <c r="Q11761">
        <v>4</v>
      </c>
      <c r="R11761" t="s">
        <v>47438</v>
      </c>
      <c r="S11761" t="s">
        <v>47793</v>
      </c>
      <c r="T11761" t="s">
        <v>49133</v>
      </c>
      <c r="U11761" t="s">
        <v>59304</v>
      </c>
      <c r="W11761" t="s">
        <v>46124</v>
      </c>
      <c r="X11761" t="s">
        <v>47439</v>
      </c>
    </row>
    <row r="11762" spans="1:24">
      <c r="A11762">
        <f>HYPERLINK("https://www.philgeps.gov.ph/GEPSNONPILOT/Tender/SplashBidNoticeAbstractUI.aspx?menuIndex=3&amp;refID=7144059&amp;Result=3","7144059")</f>
        <v>0</v>
      </c>
      <c r="B11762" t="s">
        <v>3454</v>
      </c>
      <c r="C11762" t="s">
        <v>14975</v>
      </c>
      <c r="D11762" t="s">
        <v>19100</v>
      </c>
      <c r="E11762" t="s">
        <v>29155</v>
      </c>
      <c r="F11762" t="s">
        <v>32831</v>
      </c>
      <c r="G11762" t="s">
        <v>32839</v>
      </c>
      <c r="H11762" t="s">
        <v>32849</v>
      </c>
      <c r="I11762" t="s">
        <v>4177</v>
      </c>
      <c r="J11762" t="s">
        <v>33111</v>
      </c>
      <c r="K11762" t="s">
        <v>42757</v>
      </c>
      <c r="M11762" t="s">
        <v>46794</v>
      </c>
      <c r="N11762" t="s">
        <v>47424</v>
      </c>
      <c r="O11762" t="s">
        <v>47425</v>
      </c>
      <c r="P11762">
        <v>0</v>
      </c>
      <c r="Q11762">
        <v>1</v>
      </c>
      <c r="R11762" t="s">
        <v>47438</v>
      </c>
      <c r="S11762" t="s">
        <v>47793</v>
      </c>
      <c r="T11762" t="s">
        <v>49080</v>
      </c>
      <c r="U11762" t="s">
        <v>59305</v>
      </c>
      <c r="V11762" t="s">
        <v>63924</v>
      </c>
      <c r="W11762" t="s">
        <v>46794</v>
      </c>
      <c r="X11762" t="s">
        <v>47439</v>
      </c>
    </row>
    <row r="11763" spans="1:24">
      <c r="A11763">
        <f>HYPERLINK("https://www.philgeps.gov.ph/GEPSNONPILOT/Tender/SplashBidNoticeAbstractUI.aspx?menuIndex=3&amp;refID=7143757&amp;Result=3","7143757")</f>
        <v>0</v>
      </c>
      <c r="B11763" t="s">
        <v>2170</v>
      </c>
      <c r="C11763" t="s">
        <v>8556</v>
      </c>
      <c r="D11763" t="s">
        <v>19066</v>
      </c>
      <c r="E11763" t="s">
        <v>29156</v>
      </c>
      <c r="F11763" t="s">
        <v>32831</v>
      </c>
      <c r="G11763" t="s">
        <v>32839</v>
      </c>
      <c r="H11763" t="s">
        <v>32848</v>
      </c>
      <c r="I11763" t="s">
        <v>4558</v>
      </c>
      <c r="J11763" t="s">
        <v>40189</v>
      </c>
      <c r="K11763" t="s">
        <v>42726</v>
      </c>
      <c r="M11763" t="s">
        <v>45348</v>
      </c>
      <c r="N11763" t="s">
        <v>47424</v>
      </c>
      <c r="O11763" t="s">
        <v>47425</v>
      </c>
      <c r="P11763">
        <v>0</v>
      </c>
      <c r="Q11763">
        <v>4</v>
      </c>
      <c r="R11763" t="s">
        <v>47438</v>
      </c>
      <c r="S11763" t="s">
        <v>47793</v>
      </c>
      <c r="T11763" t="s">
        <v>49221</v>
      </c>
      <c r="U11763" t="s">
        <v>59259</v>
      </c>
      <c r="W11763" t="s">
        <v>45348</v>
      </c>
      <c r="X11763" t="s">
        <v>47439</v>
      </c>
    </row>
    <row r="11764" spans="1:24">
      <c r="A11764">
        <f>HYPERLINK("https://www.philgeps.gov.ph/GEPSNONPILOT/Tender/SplashBidNoticeAbstractUI.aspx?menuIndex=3&amp;refID=7144043&amp;Result=3","7144043")</f>
        <v>0</v>
      </c>
      <c r="B11764" t="s">
        <v>674</v>
      </c>
      <c r="C11764" t="s">
        <v>14976</v>
      </c>
      <c r="D11764" t="s">
        <v>19058</v>
      </c>
      <c r="E11764" t="s">
        <v>29157</v>
      </c>
      <c r="F11764" t="s">
        <v>32831</v>
      </c>
      <c r="G11764" t="s">
        <v>32839</v>
      </c>
      <c r="H11764" t="s">
        <v>32848</v>
      </c>
      <c r="I11764" t="s">
        <v>7416</v>
      </c>
      <c r="J11764" t="s">
        <v>40190</v>
      </c>
      <c r="K11764" t="s">
        <v>42732</v>
      </c>
      <c r="M11764" t="s">
        <v>44520</v>
      </c>
      <c r="N11764" t="s">
        <v>47424</v>
      </c>
      <c r="O11764" t="s">
        <v>47425</v>
      </c>
      <c r="P11764">
        <v>0</v>
      </c>
      <c r="Q11764">
        <v>0</v>
      </c>
      <c r="R11764" t="s">
        <v>47438</v>
      </c>
      <c r="S11764" t="s">
        <v>47793</v>
      </c>
      <c r="T11764" t="s">
        <v>49236</v>
      </c>
      <c r="U11764" t="s">
        <v>59306</v>
      </c>
      <c r="W11764" t="s">
        <v>44520</v>
      </c>
      <c r="X11764" t="s">
        <v>47439</v>
      </c>
    </row>
    <row r="11765" spans="1:24">
      <c r="A11765">
        <f>HYPERLINK("https://www.philgeps.gov.ph/GEPSNONPILOT/Tender/SplashBidNoticeAbstractUI.aspx?menuIndex=3&amp;refID=7144015&amp;Result=3","7144015")</f>
        <v>0</v>
      </c>
      <c r="B11765" t="s">
        <v>674</v>
      </c>
      <c r="C11765" t="s">
        <v>14977</v>
      </c>
      <c r="D11765" t="s">
        <v>19058</v>
      </c>
      <c r="E11765" t="s">
        <v>29158</v>
      </c>
      <c r="F11765" t="s">
        <v>32831</v>
      </c>
      <c r="G11765" t="s">
        <v>32839</v>
      </c>
      <c r="H11765" t="s">
        <v>32849</v>
      </c>
      <c r="I11765" t="s">
        <v>4177</v>
      </c>
      <c r="J11765" t="s">
        <v>35275</v>
      </c>
      <c r="K11765" t="s">
        <v>42732</v>
      </c>
      <c r="M11765" t="s">
        <v>44520</v>
      </c>
      <c r="N11765" t="s">
        <v>47424</v>
      </c>
      <c r="O11765" t="s">
        <v>47425</v>
      </c>
      <c r="P11765">
        <v>0</v>
      </c>
      <c r="Q11765">
        <v>1</v>
      </c>
      <c r="R11765" t="s">
        <v>47438</v>
      </c>
      <c r="S11765" t="s">
        <v>47793</v>
      </c>
      <c r="T11765" t="s">
        <v>49080</v>
      </c>
      <c r="U11765" t="s">
        <v>59307</v>
      </c>
      <c r="W11765" t="s">
        <v>44520</v>
      </c>
      <c r="X11765" t="s">
        <v>47439</v>
      </c>
    </row>
    <row r="11766" spans="1:24">
      <c r="A11766">
        <f>HYPERLINK("https://www.philgeps.gov.ph/GEPSNONPILOT/Tender/SplashBidNoticeAbstractUI.aspx?menuIndex=3&amp;refID=7144051&amp;Result=3","7144051")</f>
        <v>0</v>
      </c>
      <c r="B11766" t="s">
        <v>2635</v>
      </c>
      <c r="C11766" t="s">
        <v>14978</v>
      </c>
      <c r="D11766" t="s">
        <v>19037</v>
      </c>
      <c r="E11766" t="s">
        <v>22897</v>
      </c>
      <c r="F11766" t="s">
        <v>32831</v>
      </c>
      <c r="G11766" t="s">
        <v>32839</v>
      </c>
      <c r="H11766" t="s">
        <v>32848</v>
      </c>
      <c r="I11766" t="s">
        <v>32857</v>
      </c>
      <c r="J11766" t="s">
        <v>40191</v>
      </c>
      <c r="K11766" t="s">
        <v>42745</v>
      </c>
      <c r="L11766" t="s">
        <v>2635</v>
      </c>
      <c r="M11766" t="s">
        <v>45857</v>
      </c>
      <c r="N11766" t="s">
        <v>47424</v>
      </c>
      <c r="O11766" t="s">
        <v>47425</v>
      </c>
      <c r="Q11766">
        <v>6</v>
      </c>
      <c r="R11766" t="s">
        <v>47438</v>
      </c>
      <c r="S11766" t="s">
        <v>47833</v>
      </c>
      <c r="T11766" t="s">
        <v>49112</v>
      </c>
      <c r="U11766" t="s">
        <v>59308</v>
      </c>
      <c r="W11766" t="s">
        <v>45857</v>
      </c>
      <c r="X11766" t="s">
        <v>47439</v>
      </c>
    </row>
    <row r="11767" spans="1:24">
      <c r="A11767">
        <f>HYPERLINK("https://www.philgeps.gov.ph/GEPSNONPILOT/Tender/SplashBidNoticeAbstractUI.aspx?menuIndex=3&amp;refID=7143868&amp;Result=3","7143868")</f>
        <v>0</v>
      </c>
      <c r="B11767" t="s">
        <v>795</v>
      </c>
      <c r="C11767" t="s">
        <v>14979</v>
      </c>
      <c r="D11767" t="s">
        <v>19045</v>
      </c>
      <c r="E11767" t="s">
        <v>29159</v>
      </c>
      <c r="F11767" t="s">
        <v>32831</v>
      </c>
      <c r="G11767" t="s">
        <v>32839</v>
      </c>
      <c r="H11767" t="s">
        <v>32848</v>
      </c>
      <c r="I11767" t="s">
        <v>5379</v>
      </c>
      <c r="J11767" t="s">
        <v>40192</v>
      </c>
      <c r="K11767" t="s">
        <v>42738</v>
      </c>
      <c r="M11767" t="s">
        <v>43825</v>
      </c>
      <c r="N11767" t="s">
        <v>47424</v>
      </c>
      <c r="O11767" t="s">
        <v>47425</v>
      </c>
      <c r="P11767">
        <v>0</v>
      </c>
      <c r="Q11767">
        <v>5</v>
      </c>
      <c r="R11767" t="s">
        <v>47438</v>
      </c>
      <c r="S11767" t="s">
        <v>47793</v>
      </c>
      <c r="T11767" t="s">
        <v>49057</v>
      </c>
      <c r="U11767" t="s">
        <v>51208</v>
      </c>
      <c r="W11767" t="s">
        <v>43825</v>
      </c>
      <c r="X11767" t="s">
        <v>47439</v>
      </c>
    </row>
    <row r="11768" spans="1:24">
      <c r="A11768">
        <f>HYPERLINK("https://www.philgeps.gov.ph/GEPSNONPILOT/Tender/SplashBidNoticeAbstractUI.aspx?menuIndex=3&amp;refID=7144009&amp;Result=3","7144009")</f>
        <v>0</v>
      </c>
      <c r="B11768" t="s">
        <v>795</v>
      </c>
      <c r="C11768" t="s">
        <v>14980</v>
      </c>
      <c r="D11768" t="s">
        <v>19045</v>
      </c>
      <c r="E11768" t="s">
        <v>29160</v>
      </c>
      <c r="F11768" t="s">
        <v>32831</v>
      </c>
      <c r="G11768" t="s">
        <v>32839</v>
      </c>
      <c r="H11768" t="s">
        <v>32849</v>
      </c>
      <c r="I11768" t="s">
        <v>4177</v>
      </c>
      <c r="J11768" t="s">
        <v>40193</v>
      </c>
      <c r="K11768" t="s">
        <v>42922</v>
      </c>
      <c r="M11768" t="s">
        <v>43825</v>
      </c>
      <c r="N11768" t="s">
        <v>47424</v>
      </c>
      <c r="O11768" t="s">
        <v>47425</v>
      </c>
      <c r="P11768">
        <v>0</v>
      </c>
      <c r="Q11768">
        <v>9</v>
      </c>
      <c r="R11768" t="s">
        <v>47438</v>
      </c>
      <c r="S11768" t="s">
        <v>47793</v>
      </c>
      <c r="T11768" t="s">
        <v>49057</v>
      </c>
      <c r="U11768" t="s">
        <v>59309</v>
      </c>
      <c r="W11768" t="s">
        <v>43825</v>
      </c>
      <c r="X11768" t="s">
        <v>47439</v>
      </c>
    </row>
    <row r="11769" spans="1:24">
      <c r="A11769">
        <f>HYPERLINK("https://www.philgeps.gov.ph/GEPSNONPILOT/Tender/SplashBidNoticeAbstractUI.aspx?menuIndex=3&amp;refID=7144006&amp;Result=3","7144006")</f>
        <v>0</v>
      </c>
      <c r="B11769" t="s">
        <v>3063</v>
      </c>
      <c r="C11769" t="s">
        <v>14981</v>
      </c>
      <c r="D11769" t="s">
        <v>19062</v>
      </c>
      <c r="E11769" t="s">
        <v>29161</v>
      </c>
      <c r="F11769" t="s">
        <v>32833</v>
      </c>
      <c r="G11769" t="s">
        <v>32839</v>
      </c>
      <c r="H11769" t="s">
        <v>32848</v>
      </c>
      <c r="I11769" t="s">
        <v>7416</v>
      </c>
      <c r="J11769" t="s">
        <v>40194</v>
      </c>
      <c r="K11769" t="s">
        <v>42731</v>
      </c>
      <c r="M11769" t="s">
        <v>46338</v>
      </c>
      <c r="N11769" t="s">
        <v>47424</v>
      </c>
      <c r="O11769" t="s">
        <v>47425</v>
      </c>
      <c r="P11769">
        <v>0</v>
      </c>
      <c r="Q11769">
        <v>4</v>
      </c>
      <c r="R11769" t="s">
        <v>47438</v>
      </c>
      <c r="S11769" t="s">
        <v>47793</v>
      </c>
      <c r="T11769" t="s">
        <v>49063</v>
      </c>
      <c r="U11769" t="s">
        <v>59310</v>
      </c>
      <c r="W11769" t="s">
        <v>46338</v>
      </c>
      <c r="X11769" t="s">
        <v>47439</v>
      </c>
    </row>
    <row r="11770" spans="1:24">
      <c r="A11770">
        <f>HYPERLINK("https://www.philgeps.gov.ph/GEPSNONPILOT/Tender/SplashBidNoticeAbstractUI.aspx?menuIndex=3&amp;refID=7143988&amp;Result=3","7143988")</f>
        <v>0</v>
      </c>
      <c r="B11770" t="s">
        <v>678</v>
      </c>
      <c r="C11770" t="s">
        <v>14982</v>
      </c>
      <c r="D11770" t="s">
        <v>19037</v>
      </c>
      <c r="E11770" t="s">
        <v>29162</v>
      </c>
      <c r="F11770" t="s">
        <v>32831</v>
      </c>
      <c r="G11770" t="s">
        <v>32838</v>
      </c>
      <c r="H11770" t="s">
        <v>32849</v>
      </c>
      <c r="I11770" t="s">
        <v>4177</v>
      </c>
      <c r="J11770" t="s">
        <v>40195</v>
      </c>
      <c r="K11770" t="s">
        <v>42743</v>
      </c>
      <c r="M11770" t="s">
        <v>43697</v>
      </c>
      <c r="N11770" t="s">
        <v>47424</v>
      </c>
      <c r="O11770" t="s">
        <v>47425</v>
      </c>
      <c r="P11770">
        <v>0</v>
      </c>
      <c r="Q11770">
        <v>2</v>
      </c>
      <c r="R11770" t="s">
        <v>47438</v>
      </c>
      <c r="S11770" t="s">
        <v>47793</v>
      </c>
      <c r="T11770" t="s">
        <v>49090</v>
      </c>
      <c r="U11770" t="s">
        <v>59311</v>
      </c>
      <c r="W11770" t="s">
        <v>43697</v>
      </c>
      <c r="X11770" t="s">
        <v>47439</v>
      </c>
    </row>
    <row r="11771" spans="1:24">
      <c r="A11771">
        <f>HYPERLINK("https://www.philgeps.gov.ph/GEPSNONPILOT/Tender/SplashBidNoticeAbstractUI.aspx?menuIndex=3&amp;refID=7143993&amp;Result=3","7143993")</f>
        <v>0</v>
      </c>
      <c r="B11771" t="s">
        <v>2235</v>
      </c>
      <c r="C11771" t="s">
        <v>14983</v>
      </c>
      <c r="D11771" t="s">
        <v>19022</v>
      </c>
      <c r="E11771" t="s">
        <v>29163</v>
      </c>
      <c r="F11771" t="s">
        <v>32831</v>
      </c>
      <c r="G11771" t="s">
        <v>32839</v>
      </c>
      <c r="H11771" t="s">
        <v>32849</v>
      </c>
      <c r="I11771" t="s">
        <v>4177</v>
      </c>
      <c r="J11771" t="s">
        <v>40196</v>
      </c>
      <c r="K11771" t="s">
        <v>42950</v>
      </c>
      <c r="M11771" t="s">
        <v>46795</v>
      </c>
      <c r="N11771" t="s">
        <v>47424</v>
      </c>
      <c r="O11771" t="s">
        <v>47425</v>
      </c>
      <c r="P11771">
        <v>0</v>
      </c>
      <c r="Q11771">
        <v>1</v>
      </c>
      <c r="R11771" t="s">
        <v>47438</v>
      </c>
      <c r="S11771" t="s">
        <v>47793</v>
      </c>
      <c r="T11771" t="s">
        <v>49310</v>
      </c>
      <c r="U11771" t="s">
        <v>59312</v>
      </c>
      <c r="W11771" t="s">
        <v>46795</v>
      </c>
      <c r="X11771" t="s">
        <v>47439</v>
      </c>
    </row>
    <row r="11772" spans="1:24">
      <c r="A11772">
        <f>HYPERLINK("https://www.philgeps.gov.ph/GEPSNONPILOT/Tender/SplashBidNoticeAbstractUI.aspx?menuIndex=3&amp;refID=7144148&amp;Result=3","7144148")</f>
        <v>0</v>
      </c>
      <c r="B11772" t="s">
        <v>328</v>
      </c>
      <c r="C11772" t="s">
        <v>14984</v>
      </c>
      <c r="D11772" t="s">
        <v>19031</v>
      </c>
      <c r="E11772" t="s">
        <v>29164</v>
      </c>
      <c r="F11772" t="s">
        <v>32831</v>
      </c>
      <c r="G11772" t="s">
        <v>32839</v>
      </c>
      <c r="H11772" t="s">
        <v>32848</v>
      </c>
      <c r="I11772" t="s">
        <v>32860</v>
      </c>
      <c r="J11772" t="s">
        <v>40197</v>
      </c>
      <c r="K11772" t="s">
        <v>42730</v>
      </c>
      <c r="M11772" t="s">
        <v>43331</v>
      </c>
      <c r="N11772" t="s">
        <v>47424</v>
      </c>
      <c r="O11772" t="s">
        <v>47425</v>
      </c>
      <c r="P11772">
        <v>0</v>
      </c>
      <c r="Q11772">
        <v>11</v>
      </c>
      <c r="R11772" t="s">
        <v>47438</v>
      </c>
      <c r="S11772" t="s">
        <v>47793</v>
      </c>
      <c r="T11772" t="s">
        <v>49080</v>
      </c>
      <c r="U11772" t="s">
        <v>59313</v>
      </c>
      <c r="W11772" t="s">
        <v>43331</v>
      </c>
      <c r="X11772" t="s">
        <v>47439</v>
      </c>
    </row>
    <row r="11773" spans="1:24">
      <c r="A11773">
        <f>HYPERLINK("https://www.philgeps.gov.ph/GEPSNONPILOT/Tender/SplashBidNoticeAbstractUI.aspx?menuIndex=3&amp;refID=7144027&amp;Result=3","7144027")</f>
        <v>0</v>
      </c>
      <c r="B11773" t="s">
        <v>1316</v>
      </c>
      <c r="C11773" t="s">
        <v>14985</v>
      </c>
      <c r="D11773" t="s">
        <v>19035</v>
      </c>
      <c r="E11773" t="s">
        <v>29165</v>
      </c>
      <c r="F11773" t="s">
        <v>32831</v>
      </c>
      <c r="G11773" t="s">
        <v>32839</v>
      </c>
      <c r="H11773" t="s">
        <v>32849</v>
      </c>
      <c r="I11773" t="s">
        <v>4177</v>
      </c>
      <c r="J11773" t="s">
        <v>40198</v>
      </c>
      <c r="K11773" t="s">
        <v>42747</v>
      </c>
      <c r="M11773" t="s">
        <v>44387</v>
      </c>
      <c r="N11773" t="s">
        <v>47424</v>
      </c>
      <c r="O11773" t="s">
        <v>47425</v>
      </c>
      <c r="P11773">
        <v>0</v>
      </c>
      <c r="Q11773">
        <v>0</v>
      </c>
      <c r="R11773" t="s">
        <v>47438</v>
      </c>
      <c r="S11773" t="s">
        <v>47793</v>
      </c>
      <c r="T11773" t="s">
        <v>49212</v>
      </c>
      <c r="U11773" t="s">
        <v>59294</v>
      </c>
      <c r="W11773" t="s">
        <v>44387</v>
      </c>
      <c r="X11773" t="s">
        <v>47439</v>
      </c>
    </row>
    <row r="11774" spans="1:24">
      <c r="A11774">
        <f>HYPERLINK("https://www.philgeps.gov.ph/GEPSNONPILOT/Tender/SplashBidNoticeAbstractUI.aspx?menuIndex=3&amp;refID=7144139&amp;Result=3","7144139")</f>
        <v>0</v>
      </c>
      <c r="B11774" t="s">
        <v>3455</v>
      </c>
      <c r="C11774" t="s">
        <v>14986</v>
      </c>
      <c r="D11774" t="s">
        <v>19037</v>
      </c>
      <c r="E11774" t="s">
        <v>29166</v>
      </c>
      <c r="F11774" t="s">
        <v>32831</v>
      </c>
      <c r="G11774" t="s">
        <v>32839</v>
      </c>
      <c r="H11774" t="s">
        <v>32849</v>
      </c>
      <c r="I11774" t="s">
        <v>4177</v>
      </c>
      <c r="J11774" t="s">
        <v>40199</v>
      </c>
      <c r="K11774" t="s">
        <v>42763</v>
      </c>
      <c r="M11774" t="s">
        <v>46796</v>
      </c>
      <c r="N11774" t="s">
        <v>47424</v>
      </c>
      <c r="O11774" t="s">
        <v>47425</v>
      </c>
      <c r="P11774">
        <v>0</v>
      </c>
      <c r="Q11774">
        <v>1</v>
      </c>
      <c r="R11774" t="s">
        <v>47438</v>
      </c>
      <c r="S11774" t="s">
        <v>47793</v>
      </c>
      <c r="T11774" t="s">
        <v>49262</v>
      </c>
      <c r="U11774" t="s">
        <v>59314</v>
      </c>
      <c r="W11774" t="s">
        <v>46796</v>
      </c>
      <c r="X11774" t="s">
        <v>47439</v>
      </c>
    </row>
    <row r="11775" spans="1:24">
      <c r="A11775">
        <f>HYPERLINK("https://www.philgeps.gov.ph/GEPSNONPILOT/Tender/SplashBidNoticeAbstractUI.aspx?menuIndex=3&amp;refID=7144141&amp;Result=3","7144141")</f>
        <v>0</v>
      </c>
      <c r="B11775" t="s">
        <v>1137</v>
      </c>
      <c r="C11775" t="s">
        <v>14987</v>
      </c>
      <c r="D11775" t="s">
        <v>19020</v>
      </c>
      <c r="E11775" t="s">
        <v>26346</v>
      </c>
      <c r="F11775" t="s">
        <v>32831</v>
      </c>
      <c r="G11775" t="s">
        <v>32839</v>
      </c>
      <c r="H11775" t="s">
        <v>32849</v>
      </c>
      <c r="I11775" t="s">
        <v>4177</v>
      </c>
      <c r="J11775" t="s">
        <v>40200</v>
      </c>
      <c r="K11775" t="s">
        <v>42732</v>
      </c>
      <c r="M11775" t="s">
        <v>44200</v>
      </c>
      <c r="N11775" t="s">
        <v>47424</v>
      </c>
      <c r="O11775" t="s">
        <v>47425</v>
      </c>
      <c r="P11775">
        <v>0</v>
      </c>
      <c r="Q11775">
        <v>0</v>
      </c>
      <c r="R11775" t="s">
        <v>47438</v>
      </c>
      <c r="S11775" t="s">
        <v>47793</v>
      </c>
      <c r="T11775" t="s">
        <v>49063</v>
      </c>
      <c r="U11775" t="s">
        <v>59315</v>
      </c>
      <c r="W11775" t="s">
        <v>44200</v>
      </c>
      <c r="X11775" t="s">
        <v>47439</v>
      </c>
    </row>
    <row r="11776" spans="1:24">
      <c r="A11776">
        <f>HYPERLINK("https://www.philgeps.gov.ph/GEPSNONPILOT/Tender/SplashBidNoticeAbstractUI.aspx?menuIndex=3&amp;refID=7144030&amp;Result=3","7144030")</f>
        <v>0</v>
      </c>
      <c r="B11776" t="s">
        <v>3125</v>
      </c>
      <c r="C11776" t="s">
        <v>14988</v>
      </c>
      <c r="D11776" t="s">
        <v>19065</v>
      </c>
      <c r="E11776" t="s">
        <v>29167</v>
      </c>
      <c r="F11776" t="s">
        <v>32831</v>
      </c>
      <c r="G11776" t="s">
        <v>32839</v>
      </c>
      <c r="H11776" t="s">
        <v>32848</v>
      </c>
      <c r="I11776" t="s">
        <v>7751</v>
      </c>
      <c r="J11776" t="s">
        <v>40201</v>
      </c>
      <c r="K11776" t="s">
        <v>42730</v>
      </c>
      <c r="M11776" t="s">
        <v>46418</v>
      </c>
      <c r="N11776" t="s">
        <v>47424</v>
      </c>
      <c r="O11776" t="s">
        <v>47425</v>
      </c>
      <c r="P11776">
        <v>0</v>
      </c>
      <c r="Q11776">
        <v>1</v>
      </c>
      <c r="R11776" t="s">
        <v>47438</v>
      </c>
      <c r="S11776" t="s">
        <v>47793</v>
      </c>
      <c r="T11776" t="s">
        <v>49133</v>
      </c>
      <c r="U11776" t="s">
        <v>59316</v>
      </c>
      <c r="V11776" t="s">
        <v>63925</v>
      </c>
      <c r="W11776" t="s">
        <v>64536</v>
      </c>
      <c r="X11776" t="s">
        <v>47439</v>
      </c>
    </row>
    <row r="11777" spans="1:24">
      <c r="A11777">
        <f>HYPERLINK("https://www.philgeps.gov.ph/GEPSNONPILOT/Tender/SplashBidNoticeAbstractUI.aspx?menuIndex=3&amp;refID=7144136&amp;Result=3","7144136")</f>
        <v>0</v>
      </c>
      <c r="B11777" t="s">
        <v>3456</v>
      </c>
      <c r="C11777" t="s">
        <v>14989</v>
      </c>
      <c r="D11777" t="s">
        <v>19036</v>
      </c>
      <c r="E11777" t="s">
        <v>23131</v>
      </c>
      <c r="F11777" t="s">
        <v>32831</v>
      </c>
      <c r="G11777" t="s">
        <v>32839</v>
      </c>
      <c r="H11777" t="s">
        <v>32848</v>
      </c>
      <c r="I11777" t="s">
        <v>7416</v>
      </c>
      <c r="J11777" t="s">
        <v>40202</v>
      </c>
      <c r="K11777" t="s">
        <v>42745</v>
      </c>
      <c r="M11777" t="s">
        <v>46797</v>
      </c>
      <c r="N11777" t="s">
        <v>47424</v>
      </c>
      <c r="O11777" t="s">
        <v>47425</v>
      </c>
      <c r="P11777">
        <v>0</v>
      </c>
      <c r="Q11777">
        <v>0</v>
      </c>
      <c r="R11777" t="s">
        <v>47438</v>
      </c>
      <c r="S11777" t="s">
        <v>47793</v>
      </c>
      <c r="T11777" t="s">
        <v>49108</v>
      </c>
      <c r="U11777" t="s">
        <v>59317</v>
      </c>
      <c r="W11777" t="s">
        <v>46797</v>
      </c>
      <c r="X11777" t="s">
        <v>47439</v>
      </c>
    </row>
    <row r="11778" spans="1:24">
      <c r="A11778">
        <f>HYPERLINK("https://www.philgeps.gov.ph/GEPSNONPILOT/Tender/SplashBidNoticeAbstractUI.aspx?menuIndex=3&amp;refID=7144132&amp;Result=3","7144132")</f>
        <v>0</v>
      </c>
      <c r="B11778" t="s">
        <v>726</v>
      </c>
      <c r="C11778" t="s">
        <v>14990</v>
      </c>
      <c r="E11778" t="s">
        <v>29168</v>
      </c>
      <c r="F11778" t="s">
        <v>32831</v>
      </c>
      <c r="G11778" t="s">
        <v>32839</v>
      </c>
      <c r="H11778" t="s">
        <v>32848</v>
      </c>
      <c r="I11778" t="s">
        <v>4487</v>
      </c>
      <c r="J11778" t="s">
        <v>40203</v>
      </c>
      <c r="K11778" t="s">
        <v>42732</v>
      </c>
      <c r="M11778" t="s">
        <v>44276</v>
      </c>
      <c r="N11778" t="s">
        <v>47424</v>
      </c>
      <c r="O11778" t="s">
        <v>47425</v>
      </c>
      <c r="P11778">
        <v>0</v>
      </c>
      <c r="Q11778">
        <v>18</v>
      </c>
      <c r="R11778" t="s">
        <v>47438</v>
      </c>
      <c r="S11778" t="s">
        <v>47793</v>
      </c>
      <c r="T11778" t="s">
        <v>49196</v>
      </c>
      <c r="U11778" t="s">
        <v>59318</v>
      </c>
      <c r="W11778" t="s">
        <v>44276</v>
      </c>
      <c r="X11778" t="s">
        <v>47439</v>
      </c>
    </row>
    <row r="11779" spans="1:24">
      <c r="A11779">
        <f>HYPERLINK("https://www.philgeps.gov.ph/GEPSNONPILOT/Tender/SplashBidNoticeAbstractUI.aspx?menuIndex=3&amp;refID=7144128&amp;Result=3","7144128")</f>
        <v>0</v>
      </c>
      <c r="B11779" t="s">
        <v>3331</v>
      </c>
      <c r="C11779" t="s">
        <v>14991</v>
      </c>
      <c r="D11779" t="s">
        <v>19081</v>
      </c>
      <c r="E11779" t="s">
        <v>29169</v>
      </c>
      <c r="F11779" t="s">
        <v>32831</v>
      </c>
      <c r="G11779" t="s">
        <v>32839</v>
      </c>
      <c r="H11779" t="s">
        <v>32848</v>
      </c>
      <c r="I11779" t="s">
        <v>32903</v>
      </c>
      <c r="J11779" t="s">
        <v>33044</v>
      </c>
      <c r="K11779" t="s">
        <v>42727</v>
      </c>
      <c r="M11779" t="s">
        <v>46654</v>
      </c>
      <c r="N11779" t="s">
        <v>47424</v>
      </c>
      <c r="O11779" t="s">
        <v>47425</v>
      </c>
      <c r="P11779">
        <v>0</v>
      </c>
      <c r="Q11779">
        <v>0</v>
      </c>
      <c r="R11779" t="s">
        <v>47438</v>
      </c>
      <c r="S11779" t="s">
        <v>47793</v>
      </c>
      <c r="T11779" t="s">
        <v>49196</v>
      </c>
      <c r="U11779" t="s">
        <v>59319</v>
      </c>
      <c r="W11779" t="s">
        <v>46654</v>
      </c>
      <c r="X11779" t="s">
        <v>47439</v>
      </c>
    </row>
    <row r="11780" spans="1:24">
      <c r="A11780">
        <f>HYPERLINK("https://www.philgeps.gov.ph/GEPSNONPILOT/Tender/SplashBidNoticeAbstractUI.aspx?menuIndex=3&amp;refID=7143890&amp;Result=3","7143890")</f>
        <v>0</v>
      </c>
      <c r="B11780" t="s">
        <v>2635</v>
      </c>
      <c r="C11780" t="s">
        <v>14992</v>
      </c>
      <c r="D11780" t="s">
        <v>19037</v>
      </c>
      <c r="E11780" t="s">
        <v>23045</v>
      </c>
      <c r="F11780" t="s">
        <v>32831</v>
      </c>
      <c r="G11780" t="s">
        <v>32839</v>
      </c>
      <c r="H11780" t="s">
        <v>32848</v>
      </c>
      <c r="I11780" t="s">
        <v>4776</v>
      </c>
      <c r="J11780" t="s">
        <v>35305</v>
      </c>
      <c r="K11780" t="s">
        <v>42745</v>
      </c>
      <c r="L11780" t="s">
        <v>2635</v>
      </c>
      <c r="M11780" t="s">
        <v>45857</v>
      </c>
      <c r="N11780" t="s">
        <v>47424</v>
      </c>
      <c r="O11780" t="s">
        <v>47425</v>
      </c>
      <c r="Q11780">
        <v>12</v>
      </c>
      <c r="R11780" t="s">
        <v>47438</v>
      </c>
      <c r="S11780" t="s">
        <v>47834</v>
      </c>
      <c r="T11780" t="s">
        <v>49112</v>
      </c>
      <c r="U11780" t="s">
        <v>59320</v>
      </c>
      <c r="W11780" t="s">
        <v>45857</v>
      </c>
      <c r="X11780" t="s">
        <v>47439</v>
      </c>
    </row>
    <row r="11781" spans="1:24">
      <c r="A11781">
        <f>HYPERLINK("https://www.philgeps.gov.ph/GEPSNONPILOT/Tender/SplashBidNoticeAbstractUI.aspx?menuIndex=3&amp;refID=7144120&amp;Result=3","7144120")</f>
        <v>0</v>
      </c>
      <c r="B11781" t="s">
        <v>3455</v>
      </c>
      <c r="C11781" t="s">
        <v>14993</v>
      </c>
      <c r="D11781" t="s">
        <v>19037</v>
      </c>
      <c r="E11781" t="s">
        <v>29170</v>
      </c>
      <c r="F11781" t="s">
        <v>32831</v>
      </c>
      <c r="G11781" t="s">
        <v>32839</v>
      </c>
      <c r="H11781" t="s">
        <v>32849</v>
      </c>
      <c r="I11781" t="s">
        <v>4177</v>
      </c>
      <c r="J11781" t="s">
        <v>40204</v>
      </c>
      <c r="K11781" t="s">
        <v>42770</v>
      </c>
      <c r="M11781" t="s">
        <v>46796</v>
      </c>
      <c r="N11781" t="s">
        <v>47424</v>
      </c>
      <c r="O11781" t="s">
        <v>47425</v>
      </c>
      <c r="P11781">
        <v>0</v>
      </c>
      <c r="Q11781">
        <v>4</v>
      </c>
      <c r="R11781" t="s">
        <v>47438</v>
      </c>
      <c r="S11781" t="s">
        <v>47793</v>
      </c>
      <c r="T11781" t="s">
        <v>49262</v>
      </c>
      <c r="U11781" t="s">
        <v>59321</v>
      </c>
      <c r="W11781" t="s">
        <v>46796</v>
      </c>
      <c r="X11781" t="s">
        <v>47439</v>
      </c>
    </row>
    <row r="11782" spans="1:24">
      <c r="A11782">
        <f>HYPERLINK("https://www.philgeps.gov.ph/GEPSNONPILOT/Tender/SplashBidNoticeAbstractUI.aspx?menuIndex=3&amp;refID=7144011&amp;Result=3","7144011")</f>
        <v>0</v>
      </c>
      <c r="B11782" t="s">
        <v>1414</v>
      </c>
      <c r="C11782" t="s">
        <v>14994</v>
      </c>
      <c r="D11782" t="s">
        <v>19030</v>
      </c>
      <c r="E11782" t="s">
        <v>29171</v>
      </c>
      <c r="F11782" t="s">
        <v>32831</v>
      </c>
      <c r="G11782" t="s">
        <v>32839</v>
      </c>
      <c r="H11782" t="s">
        <v>32848</v>
      </c>
      <c r="I11782" t="s">
        <v>32874</v>
      </c>
      <c r="J11782" t="s">
        <v>40205</v>
      </c>
      <c r="K11782" t="s">
        <v>42732</v>
      </c>
      <c r="M11782" t="s">
        <v>44502</v>
      </c>
      <c r="N11782" t="s">
        <v>47424</v>
      </c>
      <c r="O11782" t="s">
        <v>47425</v>
      </c>
      <c r="P11782">
        <v>0</v>
      </c>
      <c r="Q11782">
        <v>18</v>
      </c>
      <c r="R11782" t="s">
        <v>47438</v>
      </c>
      <c r="S11782" t="s">
        <v>47793</v>
      </c>
      <c r="T11782" t="s">
        <v>49302</v>
      </c>
      <c r="U11782" t="s">
        <v>59322</v>
      </c>
      <c r="W11782" t="s">
        <v>44502</v>
      </c>
      <c r="X11782" t="s">
        <v>47439</v>
      </c>
    </row>
    <row r="11783" spans="1:24">
      <c r="A11783">
        <f>HYPERLINK("https://www.philgeps.gov.ph/GEPSNONPILOT/Tender/SplashBidNoticeAbstractUI.aspx?menuIndex=3&amp;refID=7144133&amp;Result=3","7144133")</f>
        <v>0</v>
      </c>
      <c r="B11783" t="s">
        <v>3454</v>
      </c>
      <c r="C11783" t="s">
        <v>14995</v>
      </c>
      <c r="D11783" t="s">
        <v>19100</v>
      </c>
      <c r="E11783" t="s">
        <v>29172</v>
      </c>
      <c r="F11783" t="s">
        <v>32831</v>
      </c>
      <c r="G11783" t="s">
        <v>32839</v>
      </c>
      <c r="H11783" t="s">
        <v>32849</v>
      </c>
      <c r="I11783" t="s">
        <v>4177</v>
      </c>
      <c r="J11783" t="s">
        <v>40206</v>
      </c>
      <c r="K11783" t="s">
        <v>42757</v>
      </c>
      <c r="M11783" t="s">
        <v>46794</v>
      </c>
      <c r="N11783" t="s">
        <v>47424</v>
      </c>
      <c r="O11783" t="s">
        <v>47425</v>
      </c>
      <c r="P11783">
        <v>0</v>
      </c>
      <c r="Q11783">
        <v>0</v>
      </c>
      <c r="R11783" t="s">
        <v>47438</v>
      </c>
      <c r="S11783" t="s">
        <v>47793</v>
      </c>
      <c r="T11783" t="s">
        <v>49080</v>
      </c>
      <c r="U11783" t="s">
        <v>59323</v>
      </c>
      <c r="V11783" t="s">
        <v>63924</v>
      </c>
      <c r="W11783" t="s">
        <v>46794</v>
      </c>
      <c r="X11783" t="s">
        <v>47439</v>
      </c>
    </row>
    <row r="11784" spans="1:24">
      <c r="A11784">
        <f>HYPERLINK("https://www.philgeps.gov.ph/GEPSNONPILOT/Tender/SplashBidNoticeAbstractUI.aspx?menuIndex=3&amp;refID=7144122&amp;Result=3","7144122")</f>
        <v>0</v>
      </c>
      <c r="B11784" t="s">
        <v>3457</v>
      </c>
      <c r="C11784" t="s">
        <v>5379</v>
      </c>
      <c r="D11784" t="s">
        <v>19031</v>
      </c>
      <c r="E11784" t="s">
        <v>29173</v>
      </c>
      <c r="F11784" t="s">
        <v>32831</v>
      </c>
      <c r="G11784" t="s">
        <v>32839</v>
      </c>
      <c r="H11784" t="s">
        <v>32848</v>
      </c>
      <c r="I11784" t="s">
        <v>5379</v>
      </c>
      <c r="J11784" t="s">
        <v>33257</v>
      </c>
      <c r="K11784" t="s">
        <v>42730</v>
      </c>
      <c r="M11784" t="s">
        <v>46798</v>
      </c>
      <c r="N11784" t="s">
        <v>47424</v>
      </c>
      <c r="O11784" t="s">
        <v>47425</v>
      </c>
      <c r="P11784">
        <v>0</v>
      </c>
      <c r="Q11784">
        <v>0</v>
      </c>
      <c r="R11784" t="s">
        <v>47438</v>
      </c>
      <c r="S11784" t="s">
        <v>47793</v>
      </c>
      <c r="T11784" t="s">
        <v>49080</v>
      </c>
      <c r="U11784" t="s">
        <v>59324</v>
      </c>
      <c r="V11784" t="s">
        <v>63926</v>
      </c>
      <c r="W11784" t="s">
        <v>46798</v>
      </c>
      <c r="X11784" t="s">
        <v>47439</v>
      </c>
    </row>
    <row r="11785" spans="1:24">
      <c r="A11785">
        <f>HYPERLINK("https://www.philgeps.gov.ph/GEPSNONPILOT/Tender/SplashBidNoticeAbstractUI.aspx?menuIndex=3&amp;refID=7144130&amp;Result=3","7144130")</f>
        <v>0</v>
      </c>
      <c r="B11785" t="s">
        <v>632</v>
      </c>
      <c r="C11785" t="s">
        <v>14996</v>
      </c>
      <c r="D11785" t="s">
        <v>19058</v>
      </c>
      <c r="E11785" t="s">
        <v>29174</v>
      </c>
      <c r="F11785" t="s">
        <v>32831</v>
      </c>
      <c r="G11785" t="s">
        <v>32839</v>
      </c>
      <c r="H11785" t="s">
        <v>32849</v>
      </c>
      <c r="I11785" t="s">
        <v>4177</v>
      </c>
      <c r="J11785" t="s">
        <v>40207</v>
      </c>
      <c r="K11785" t="s">
        <v>42757</v>
      </c>
      <c r="M11785" t="s">
        <v>43649</v>
      </c>
      <c r="N11785" t="s">
        <v>47424</v>
      </c>
      <c r="O11785" t="s">
        <v>47425</v>
      </c>
      <c r="P11785">
        <v>0</v>
      </c>
      <c r="Q11785">
        <v>0</v>
      </c>
      <c r="R11785" t="s">
        <v>47438</v>
      </c>
      <c r="S11785" t="s">
        <v>47793</v>
      </c>
      <c r="T11785" t="s">
        <v>49283</v>
      </c>
      <c r="U11785" t="s">
        <v>59325</v>
      </c>
      <c r="W11785" t="s">
        <v>43649</v>
      </c>
      <c r="X11785" t="s">
        <v>47439</v>
      </c>
    </row>
    <row r="11786" spans="1:24">
      <c r="A11786">
        <f>HYPERLINK("https://www.philgeps.gov.ph/GEPSNONPILOT/Tender/SplashBidNoticeAbstractUI.aspx?menuIndex=3&amp;refID=7144105&amp;Result=3","7144105")</f>
        <v>0</v>
      </c>
      <c r="B11786" t="s">
        <v>824</v>
      </c>
      <c r="C11786" t="s">
        <v>14997</v>
      </c>
      <c r="D11786" t="s">
        <v>19029</v>
      </c>
      <c r="E11786" t="s">
        <v>29175</v>
      </c>
      <c r="F11786" t="s">
        <v>32831</v>
      </c>
      <c r="G11786" t="s">
        <v>32839</v>
      </c>
      <c r="H11786" t="s">
        <v>32849</v>
      </c>
      <c r="I11786" t="s">
        <v>4177</v>
      </c>
      <c r="J11786" t="s">
        <v>40208</v>
      </c>
      <c r="K11786" t="s">
        <v>42756</v>
      </c>
      <c r="M11786" t="s">
        <v>43855</v>
      </c>
      <c r="N11786" t="s">
        <v>47424</v>
      </c>
      <c r="O11786" t="s">
        <v>47425</v>
      </c>
      <c r="P11786">
        <v>0</v>
      </c>
      <c r="Q11786">
        <v>1</v>
      </c>
      <c r="R11786" t="s">
        <v>47438</v>
      </c>
      <c r="S11786" t="s">
        <v>47793</v>
      </c>
      <c r="T11786" t="s">
        <v>49288</v>
      </c>
      <c r="U11786" t="s">
        <v>59326</v>
      </c>
      <c r="W11786" t="s">
        <v>43855</v>
      </c>
      <c r="X11786" t="s">
        <v>47439</v>
      </c>
    </row>
    <row r="11787" spans="1:24">
      <c r="A11787">
        <f>HYPERLINK("https://www.philgeps.gov.ph/GEPSNONPILOT/Tender/SplashBidNoticeAbstractUI.aspx?menuIndex=3&amp;refID=7144107&amp;Result=3","7144107")</f>
        <v>0</v>
      </c>
      <c r="B11787" t="s">
        <v>1316</v>
      </c>
      <c r="C11787" t="s">
        <v>14998</v>
      </c>
      <c r="D11787" t="s">
        <v>19035</v>
      </c>
      <c r="E11787" t="s">
        <v>29176</v>
      </c>
      <c r="F11787" t="s">
        <v>32831</v>
      </c>
      <c r="G11787" t="s">
        <v>32839</v>
      </c>
      <c r="H11787" t="s">
        <v>32849</v>
      </c>
      <c r="I11787" t="s">
        <v>4177</v>
      </c>
      <c r="J11787" t="s">
        <v>40209</v>
      </c>
      <c r="K11787" t="s">
        <v>42747</v>
      </c>
      <c r="M11787" t="s">
        <v>44387</v>
      </c>
      <c r="N11787" t="s">
        <v>47424</v>
      </c>
      <c r="O11787" t="s">
        <v>47425</v>
      </c>
      <c r="P11787">
        <v>0</v>
      </c>
      <c r="Q11787">
        <v>0</v>
      </c>
      <c r="R11787" t="s">
        <v>47438</v>
      </c>
      <c r="S11787" t="s">
        <v>47793</v>
      </c>
      <c r="T11787" t="s">
        <v>49212</v>
      </c>
      <c r="U11787" t="s">
        <v>59327</v>
      </c>
      <c r="W11787" t="s">
        <v>44387</v>
      </c>
      <c r="X11787" t="s">
        <v>47439</v>
      </c>
    </row>
    <row r="11788" spans="1:24">
      <c r="A11788">
        <f>HYPERLINK("https://www.philgeps.gov.ph/GEPSNONPILOT/Tender/SplashBidNoticeAbstractUI.aspx?menuIndex=3&amp;refID=7144101&amp;Result=3","7144101")</f>
        <v>0</v>
      </c>
      <c r="B11788" t="s">
        <v>3455</v>
      </c>
      <c r="C11788" t="s">
        <v>14999</v>
      </c>
      <c r="D11788" t="s">
        <v>19037</v>
      </c>
      <c r="E11788" t="s">
        <v>29177</v>
      </c>
      <c r="F11788" t="s">
        <v>32831</v>
      </c>
      <c r="G11788" t="s">
        <v>32839</v>
      </c>
      <c r="H11788" t="s">
        <v>32848</v>
      </c>
      <c r="I11788" t="s">
        <v>32867</v>
      </c>
      <c r="J11788" t="s">
        <v>33951</v>
      </c>
      <c r="K11788" t="s">
        <v>42730</v>
      </c>
      <c r="M11788" t="s">
        <v>46796</v>
      </c>
      <c r="N11788" t="s">
        <v>47424</v>
      </c>
      <c r="O11788" t="s">
        <v>47425</v>
      </c>
      <c r="P11788">
        <v>0</v>
      </c>
      <c r="Q11788">
        <v>1</v>
      </c>
      <c r="R11788" t="s">
        <v>47438</v>
      </c>
      <c r="S11788" t="s">
        <v>47793</v>
      </c>
      <c r="T11788" t="s">
        <v>49262</v>
      </c>
      <c r="U11788" t="s">
        <v>59328</v>
      </c>
      <c r="W11788" t="s">
        <v>46796</v>
      </c>
      <c r="X11788" t="s">
        <v>47439</v>
      </c>
    </row>
    <row r="11789" spans="1:24">
      <c r="A11789">
        <f>HYPERLINK("https://www.philgeps.gov.ph/GEPSNONPILOT/Tender/SplashBidNoticeAbstractUI.aspx?menuIndex=3&amp;refID=7144102&amp;Result=3","7144102")</f>
        <v>0</v>
      </c>
      <c r="B11789" t="s">
        <v>1877</v>
      </c>
      <c r="C11789" t="s">
        <v>15000</v>
      </c>
      <c r="D11789" t="s">
        <v>19043</v>
      </c>
      <c r="E11789" t="s">
        <v>29178</v>
      </c>
      <c r="F11789" t="s">
        <v>32831</v>
      </c>
      <c r="G11789" t="s">
        <v>32839</v>
      </c>
      <c r="H11789" t="s">
        <v>32848</v>
      </c>
      <c r="I11789" t="s">
        <v>4558</v>
      </c>
      <c r="J11789" t="s">
        <v>40210</v>
      </c>
      <c r="K11789" t="s">
        <v>42745</v>
      </c>
      <c r="M11789" t="s">
        <v>45021</v>
      </c>
      <c r="N11789" t="s">
        <v>47424</v>
      </c>
      <c r="O11789" t="s">
        <v>47425</v>
      </c>
      <c r="Q11789">
        <v>4</v>
      </c>
      <c r="R11789" t="s">
        <v>47438</v>
      </c>
      <c r="S11789" t="s">
        <v>47835</v>
      </c>
      <c r="T11789" t="s">
        <v>49160</v>
      </c>
      <c r="U11789" t="s">
        <v>59329</v>
      </c>
      <c r="V11789" t="s">
        <v>62833</v>
      </c>
      <c r="W11789" t="s">
        <v>45021</v>
      </c>
      <c r="X11789" t="s">
        <v>47439</v>
      </c>
    </row>
    <row r="11790" spans="1:24">
      <c r="A11790">
        <f>HYPERLINK("https://www.philgeps.gov.ph/GEPSNONPILOT/Tender/SplashBidNoticeAbstractUI.aspx?menuIndex=3&amp;refID=7144052&amp;Result=3","7144052")</f>
        <v>0</v>
      </c>
      <c r="B11790" t="s">
        <v>3458</v>
      </c>
      <c r="C11790" t="s">
        <v>15001</v>
      </c>
      <c r="D11790" t="s">
        <v>19068</v>
      </c>
      <c r="E11790" t="s">
        <v>29179</v>
      </c>
      <c r="F11790" t="s">
        <v>32831</v>
      </c>
      <c r="G11790" t="s">
        <v>32839</v>
      </c>
      <c r="H11790" t="s">
        <v>32849</v>
      </c>
      <c r="I11790" t="s">
        <v>4177</v>
      </c>
      <c r="J11790" t="s">
        <v>40211</v>
      </c>
      <c r="K11790" t="s">
        <v>42862</v>
      </c>
      <c r="M11790" t="s">
        <v>46799</v>
      </c>
      <c r="N11790" t="s">
        <v>47424</v>
      </c>
      <c r="O11790" t="s">
        <v>47425</v>
      </c>
      <c r="P11790">
        <v>0</v>
      </c>
      <c r="Q11790">
        <v>0</v>
      </c>
      <c r="R11790" t="s">
        <v>47438</v>
      </c>
      <c r="S11790" t="s">
        <v>47793</v>
      </c>
      <c r="T11790" t="s">
        <v>49080</v>
      </c>
      <c r="U11790" t="s">
        <v>56624</v>
      </c>
      <c r="W11790" t="s">
        <v>46799</v>
      </c>
      <c r="X11790" t="s">
        <v>47439</v>
      </c>
    </row>
    <row r="11791" spans="1:24">
      <c r="A11791">
        <f>HYPERLINK("https://www.philgeps.gov.ph/GEPSNONPILOT/Tender/SplashBidNoticeAbstractUI.aspx?menuIndex=3&amp;refID=7144103&amp;Result=3","7144103")</f>
        <v>0</v>
      </c>
      <c r="B11791" t="s">
        <v>726</v>
      </c>
      <c r="C11791" t="s">
        <v>15002</v>
      </c>
      <c r="E11791" t="s">
        <v>29180</v>
      </c>
      <c r="F11791" t="s">
        <v>32831</v>
      </c>
      <c r="G11791" t="s">
        <v>32839</v>
      </c>
      <c r="H11791" t="s">
        <v>32848</v>
      </c>
      <c r="I11791" t="s">
        <v>7751</v>
      </c>
      <c r="J11791" t="s">
        <v>40212</v>
      </c>
      <c r="K11791" t="s">
        <v>42732</v>
      </c>
      <c r="M11791" t="s">
        <v>44276</v>
      </c>
      <c r="N11791" t="s">
        <v>47424</v>
      </c>
      <c r="O11791" t="s">
        <v>47425</v>
      </c>
      <c r="P11791">
        <v>0</v>
      </c>
      <c r="Q11791">
        <v>3</v>
      </c>
      <c r="R11791" t="s">
        <v>47438</v>
      </c>
      <c r="S11791" t="s">
        <v>47793</v>
      </c>
      <c r="T11791" t="s">
        <v>49196</v>
      </c>
      <c r="U11791" t="s">
        <v>59330</v>
      </c>
      <c r="W11791" t="s">
        <v>44276</v>
      </c>
      <c r="X11791" t="s">
        <v>47439</v>
      </c>
    </row>
    <row r="11792" spans="1:24">
      <c r="A11792">
        <f>HYPERLINK("https://www.philgeps.gov.ph/GEPSNONPILOT/Tender/SplashBidNoticeAbstractUI.aspx?menuIndex=3&amp;refID=7144092&amp;Result=3","7144092")</f>
        <v>0</v>
      </c>
      <c r="B11792" t="s">
        <v>1606</v>
      </c>
      <c r="C11792" t="s">
        <v>15003</v>
      </c>
      <c r="E11792" t="s">
        <v>29181</v>
      </c>
      <c r="F11792" t="s">
        <v>32831</v>
      </c>
      <c r="G11792" t="s">
        <v>32839</v>
      </c>
      <c r="H11792" t="s">
        <v>32848</v>
      </c>
      <c r="I11792" t="s">
        <v>32871</v>
      </c>
      <c r="J11792" t="s">
        <v>39350</v>
      </c>
      <c r="K11792" t="s">
        <v>42732</v>
      </c>
      <c r="M11792" t="s">
        <v>46800</v>
      </c>
      <c r="N11792" t="s">
        <v>47424</v>
      </c>
      <c r="O11792" t="s">
        <v>47425</v>
      </c>
      <c r="P11792">
        <v>0</v>
      </c>
      <c r="Q11792">
        <v>21</v>
      </c>
      <c r="R11792" t="s">
        <v>47438</v>
      </c>
      <c r="S11792" t="s">
        <v>47793</v>
      </c>
      <c r="T11792" t="s">
        <v>49173</v>
      </c>
      <c r="U11792" t="s">
        <v>59331</v>
      </c>
      <c r="W11792" t="s">
        <v>46800</v>
      </c>
      <c r="X11792" t="s">
        <v>47439</v>
      </c>
    </row>
    <row r="11793" spans="1:24">
      <c r="A11793">
        <f>HYPERLINK("https://www.philgeps.gov.ph/GEPSNONPILOT/Tender/SplashBidNoticeAbstractUI.aspx?menuIndex=3&amp;refID=7144077&amp;Result=3","7144077")</f>
        <v>0</v>
      </c>
      <c r="B11793" t="s">
        <v>3459</v>
      </c>
      <c r="C11793" t="s">
        <v>15004</v>
      </c>
      <c r="D11793" t="s">
        <v>19024</v>
      </c>
      <c r="E11793" t="s">
        <v>29182</v>
      </c>
      <c r="F11793" t="s">
        <v>32831</v>
      </c>
      <c r="G11793" t="s">
        <v>32839</v>
      </c>
      <c r="H11793" t="s">
        <v>32848</v>
      </c>
      <c r="I11793" t="s">
        <v>7416</v>
      </c>
      <c r="J11793" t="s">
        <v>40213</v>
      </c>
      <c r="K11793" t="s">
        <v>42731</v>
      </c>
      <c r="M11793" t="s">
        <v>46801</v>
      </c>
      <c r="N11793" t="s">
        <v>47424</v>
      </c>
      <c r="O11793" t="s">
        <v>47425</v>
      </c>
      <c r="P11793">
        <v>0</v>
      </c>
      <c r="Q11793">
        <v>0</v>
      </c>
      <c r="R11793" t="s">
        <v>47438</v>
      </c>
      <c r="S11793" t="s">
        <v>47793</v>
      </c>
      <c r="T11793" t="s">
        <v>49106</v>
      </c>
      <c r="U11793" t="s">
        <v>59332</v>
      </c>
      <c r="W11793" t="s">
        <v>46801</v>
      </c>
      <c r="X11793" t="s">
        <v>47439</v>
      </c>
    </row>
    <row r="11794" spans="1:24">
      <c r="A11794">
        <f>HYPERLINK("https://www.philgeps.gov.ph/GEPSNONPILOT/Tender/SplashBidNoticeAbstractUI.aspx?menuIndex=3&amp;refID=7144149&amp;Result=3","7144149")</f>
        <v>0</v>
      </c>
      <c r="B11794" t="s">
        <v>726</v>
      </c>
      <c r="C11794" t="s">
        <v>15005</v>
      </c>
      <c r="E11794" t="s">
        <v>29183</v>
      </c>
      <c r="F11794" t="s">
        <v>32831</v>
      </c>
      <c r="G11794" t="s">
        <v>32839</v>
      </c>
      <c r="H11794" t="s">
        <v>32848</v>
      </c>
      <c r="I11794" t="s">
        <v>32871</v>
      </c>
      <c r="J11794" t="s">
        <v>40214</v>
      </c>
      <c r="K11794" t="s">
        <v>42732</v>
      </c>
      <c r="M11794" t="s">
        <v>44276</v>
      </c>
      <c r="N11794" t="s">
        <v>47424</v>
      </c>
      <c r="O11794" t="s">
        <v>47425</v>
      </c>
      <c r="P11794">
        <v>0</v>
      </c>
      <c r="Q11794">
        <v>10</v>
      </c>
      <c r="R11794" t="s">
        <v>47438</v>
      </c>
      <c r="S11794" t="s">
        <v>47793</v>
      </c>
      <c r="T11794" t="s">
        <v>49196</v>
      </c>
      <c r="U11794" t="s">
        <v>59333</v>
      </c>
      <c r="W11794" t="s">
        <v>44276</v>
      </c>
      <c r="X11794" t="s">
        <v>47439</v>
      </c>
    </row>
    <row r="11795" spans="1:24">
      <c r="A11795">
        <f>HYPERLINK("https://www.philgeps.gov.ph/GEPSNONPILOT/Tender/SplashBidNoticeAbstractUI.aspx?menuIndex=3&amp;refID=7144085&amp;Result=3","7144085")</f>
        <v>0</v>
      </c>
      <c r="B11795" t="s">
        <v>2831</v>
      </c>
      <c r="C11795" t="s">
        <v>15006</v>
      </c>
      <c r="D11795" t="s">
        <v>19077</v>
      </c>
      <c r="E11795" t="s">
        <v>29184</v>
      </c>
      <c r="F11795" t="s">
        <v>32831</v>
      </c>
      <c r="G11795" t="s">
        <v>32839</v>
      </c>
      <c r="H11795" t="s">
        <v>32849</v>
      </c>
      <c r="I11795" t="s">
        <v>32855</v>
      </c>
      <c r="J11795" t="s">
        <v>40215</v>
      </c>
      <c r="K11795" t="s">
        <v>42835</v>
      </c>
      <c r="M11795" t="s">
        <v>46063</v>
      </c>
      <c r="N11795" t="s">
        <v>47424</v>
      </c>
      <c r="O11795" t="s">
        <v>47425</v>
      </c>
      <c r="P11795">
        <v>0</v>
      </c>
      <c r="Q11795">
        <v>5</v>
      </c>
      <c r="R11795" t="s">
        <v>47438</v>
      </c>
      <c r="S11795" t="s">
        <v>47793</v>
      </c>
      <c r="T11795" t="s">
        <v>49221</v>
      </c>
      <c r="U11795" t="s">
        <v>59334</v>
      </c>
      <c r="W11795" t="s">
        <v>46063</v>
      </c>
      <c r="X11795" t="s">
        <v>47439</v>
      </c>
    </row>
    <row r="11796" spans="1:24">
      <c r="A11796">
        <f>HYPERLINK("https://www.philgeps.gov.ph/GEPSNONPILOT/Tender/SplashBidNoticeAbstractUI.aspx?menuIndex=3&amp;refID=7143836&amp;Result=3","7143836")</f>
        <v>0</v>
      </c>
      <c r="B11796" t="s">
        <v>3460</v>
      </c>
      <c r="C11796" t="s">
        <v>15007</v>
      </c>
      <c r="D11796" t="s">
        <v>19017</v>
      </c>
      <c r="E11796" t="s">
        <v>29185</v>
      </c>
      <c r="F11796" t="s">
        <v>32833</v>
      </c>
      <c r="G11796" t="s">
        <v>32839</v>
      </c>
      <c r="H11796" t="s">
        <v>32848</v>
      </c>
      <c r="I11796" t="s">
        <v>32860</v>
      </c>
      <c r="J11796" t="s">
        <v>40216</v>
      </c>
      <c r="K11796" t="s">
        <v>42730</v>
      </c>
      <c r="M11796" t="s">
        <v>46802</v>
      </c>
      <c r="N11796" t="s">
        <v>47424</v>
      </c>
      <c r="O11796" t="s">
        <v>47425</v>
      </c>
      <c r="P11796">
        <v>0</v>
      </c>
      <c r="Q11796">
        <v>2</v>
      </c>
      <c r="R11796" t="s">
        <v>47438</v>
      </c>
      <c r="S11796" t="s">
        <v>47793</v>
      </c>
      <c r="T11796" t="s">
        <v>49125</v>
      </c>
      <c r="U11796" t="s">
        <v>59335</v>
      </c>
      <c r="V11796" t="s">
        <v>63927</v>
      </c>
      <c r="W11796" t="s">
        <v>46802</v>
      </c>
      <c r="X11796" t="s">
        <v>47439</v>
      </c>
    </row>
    <row r="11797" spans="1:24">
      <c r="A11797">
        <f>HYPERLINK("https://www.philgeps.gov.ph/GEPSNONPILOT/Tender/SplashBidNoticeAbstractUI.aspx?menuIndex=3&amp;refID=7144230&amp;Result=3","7144230")</f>
        <v>0</v>
      </c>
      <c r="B11797" t="s">
        <v>3454</v>
      </c>
      <c r="C11797" t="s">
        <v>15008</v>
      </c>
      <c r="D11797" t="s">
        <v>19100</v>
      </c>
      <c r="E11797" t="s">
        <v>29186</v>
      </c>
      <c r="F11797" t="s">
        <v>32831</v>
      </c>
      <c r="G11797" t="s">
        <v>32839</v>
      </c>
      <c r="H11797" t="s">
        <v>32849</v>
      </c>
      <c r="I11797" t="s">
        <v>4177</v>
      </c>
      <c r="J11797" t="s">
        <v>33111</v>
      </c>
      <c r="K11797" t="s">
        <v>42757</v>
      </c>
      <c r="M11797" t="s">
        <v>46794</v>
      </c>
      <c r="N11797" t="s">
        <v>47424</v>
      </c>
      <c r="O11797" t="s">
        <v>47425</v>
      </c>
      <c r="P11797">
        <v>0</v>
      </c>
      <c r="Q11797">
        <v>1</v>
      </c>
      <c r="R11797" t="s">
        <v>47438</v>
      </c>
      <c r="S11797" t="s">
        <v>47793</v>
      </c>
      <c r="T11797" t="s">
        <v>49080</v>
      </c>
      <c r="U11797" t="s">
        <v>59336</v>
      </c>
      <c r="V11797" t="s">
        <v>63924</v>
      </c>
      <c r="W11797" t="s">
        <v>46794</v>
      </c>
      <c r="X11797" t="s">
        <v>47439</v>
      </c>
    </row>
    <row r="11798" spans="1:24">
      <c r="A11798">
        <f>HYPERLINK("https://www.philgeps.gov.ph/GEPSNONPILOT/Tender/SplashBidNoticeAbstractUI.aspx?menuIndex=3&amp;refID=7144215&amp;Result=3","7144215")</f>
        <v>0</v>
      </c>
      <c r="B11798" t="s">
        <v>726</v>
      </c>
      <c r="C11798" t="s">
        <v>15009</v>
      </c>
      <c r="E11798" t="s">
        <v>29187</v>
      </c>
      <c r="F11798" t="s">
        <v>32831</v>
      </c>
      <c r="G11798" t="s">
        <v>32839</v>
      </c>
      <c r="H11798" t="s">
        <v>32848</v>
      </c>
      <c r="I11798" t="s">
        <v>32874</v>
      </c>
      <c r="J11798" t="s">
        <v>40217</v>
      </c>
      <c r="K11798" t="s">
        <v>42732</v>
      </c>
      <c r="M11798" t="s">
        <v>44276</v>
      </c>
      <c r="N11798" t="s">
        <v>47424</v>
      </c>
      <c r="O11798" t="s">
        <v>47425</v>
      </c>
      <c r="P11798">
        <v>0</v>
      </c>
      <c r="Q11798">
        <v>5</v>
      </c>
      <c r="R11798" t="s">
        <v>47438</v>
      </c>
      <c r="S11798" t="s">
        <v>47793</v>
      </c>
      <c r="T11798" t="s">
        <v>49196</v>
      </c>
      <c r="U11798" t="s">
        <v>59337</v>
      </c>
      <c r="W11798" t="s">
        <v>44276</v>
      </c>
      <c r="X11798" t="s">
        <v>47439</v>
      </c>
    </row>
    <row r="11799" spans="1:24">
      <c r="A11799">
        <f>HYPERLINK("https://www.philgeps.gov.ph/GEPSNONPILOT/Tender/SplashBidNoticeAbstractUI.aspx?menuIndex=3&amp;refID=7144221&amp;Result=3","7144221")</f>
        <v>0</v>
      </c>
      <c r="B11799" t="s">
        <v>3456</v>
      </c>
      <c r="C11799" t="s">
        <v>15010</v>
      </c>
      <c r="D11799" t="s">
        <v>19036</v>
      </c>
      <c r="E11799" t="s">
        <v>26918</v>
      </c>
      <c r="F11799" t="s">
        <v>32831</v>
      </c>
      <c r="G11799" t="s">
        <v>32839</v>
      </c>
      <c r="H11799" t="s">
        <v>32848</v>
      </c>
      <c r="I11799" t="s">
        <v>7416</v>
      </c>
      <c r="J11799" t="s">
        <v>40218</v>
      </c>
      <c r="K11799" t="s">
        <v>42745</v>
      </c>
      <c r="M11799" t="s">
        <v>46797</v>
      </c>
      <c r="N11799" t="s">
        <v>47424</v>
      </c>
      <c r="O11799" t="s">
        <v>47425</v>
      </c>
      <c r="P11799">
        <v>0</v>
      </c>
      <c r="Q11799">
        <v>0</v>
      </c>
      <c r="R11799" t="s">
        <v>47438</v>
      </c>
      <c r="S11799" t="s">
        <v>47793</v>
      </c>
      <c r="T11799" t="s">
        <v>49108</v>
      </c>
      <c r="U11799" t="s">
        <v>59338</v>
      </c>
      <c r="W11799" t="s">
        <v>46797</v>
      </c>
      <c r="X11799" t="s">
        <v>47439</v>
      </c>
    </row>
    <row r="11800" spans="1:24">
      <c r="A11800">
        <f>HYPERLINK("https://www.philgeps.gov.ph/GEPSNONPILOT/Tender/SplashBidNoticeAbstractUI.aspx?menuIndex=3&amp;refID=7144194&amp;Result=3","7144194")</f>
        <v>0</v>
      </c>
      <c r="B11800" t="s">
        <v>1137</v>
      </c>
      <c r="C11800" t="s">
        <v>15011</v>
      </c>
      <c r="D11800" t="s">
        <v>19020</v>
      </c>
      <c r="E11800" t="s">
        <v>22012</v>
      </c>
      <c r="F11800" t="s">
        <v>32831</v>
      </c>
      <c r="G11800" t="s">
        <v>32839</v>
      </c>
      <c r="H11800" t="s">
        <v>32849</v>
      </c>
      <c r="I11800" t="s">
        <v>4177</v>
      </c>
      <c r="J11800" t="s">
        <v>40219</v>
      </c>
      <c r="K11800" t="s">
        <v>42732</v>
      </c>
      <c r="M11800" t="s">
        <v>44200</v>
      </c>
      <c r="N11800" t="s">
        <v>47424</v>
      </c>
      <c r="O11800" t="s">
        <v>47425</v>
      </c>
      <c r="P11800">
        <v>0</v>
      </c>
      <c r="Q11800">
        <v>0</v>
      </c>
      <c r="R11800" t="s">
        <v>47438</v>
      </c>
      <c r="S11800" t="s">
        <v>47793</v>
      </c>
      <c r="T11800" t="s">
        <v>49063</v>
      </c>
      <c r="U11800" t="s">
        <v>59339</v>
      </c>
      <c r="W11800" t="s">
        <v>44200</v>
      </c>
      <c r="X11800" t="s">
        <v>47439</v>
      </c>
    </row>
    <row r="11801" spans="1:24">
      <c r="A11801">
        <f>HYPERLINK("https://www.philgeps.gov.ph/GEPSNONPILOT/Tender/SplashBidNoticeAbstractUI.aspx?menuIndex=3&amp;refID=7144185&amp;Result=3","7144185")</f>
        <v>0</v>
      </c>
      <c r="B11801" t="s">
        <v>674</v>
      </c>
      <c r="C11801" t="s">
        <v>15012</v>
      </c>
      <c r="D11801" t="s">
        <v>19058</v>
      </c>
      <c r="E11801" t="s">
        <v>29188</v>
      </c>
      <c r="F11801" t="s">
        <v>32831</v>
      </c>
      <c r="G11801" t="s">
        <v>32839</v>
      </c>
      <c r="H11801" t="s">
        <v>32848</v>
      </c>
      <c r="I11801" t="s">
        <v>7416</v>
      </c>
      <c r="J11801" t="s">
        <v>40220</v>
      </c>
      <c r="K11801" t="s">
        <v>42732</v>
      </c>
      <c r="M11801" t="s">
        <v>44520</v>
      </c>
      <c r="N11801" t="s">
        <v>47424</v>
      </c>
      <c r="O11801" t="s">
        <v>47425</v>
      </c>
      <c r="P11801">
        <v>0</v>
      </c>
      <c r="Q11801">
        <v>0</v>
      </c>
      <c r="R11801" t="s">
        <v>47438</v>
      </c>
      <c r="S11801" t="s">
        <v>47793</v>
      </c>
      <c r="T11801" t="s">
        <v>49080</v>
      </c>
      <c r="U11801" t="s">
        <v>59340</v>
      </c>
      <c r="W11801" t="s">
        <v>44520</v>
      </c>
      <c r="X11801" t="s">
        <v>47439</v>
      </c>
    </row>
    <row r="11802" spans="1:24">
      <c r="A11802">
        <f>HYPERLINK("https://www.philgeps.gov.ph/GEPSNONPILOT/Tender/SplashBidNoticeAbstractUI.aspx?menuIndex=3&amp;refID=7144191&amp;Result=3","7144191")</f>
        <v>0</v>
      </c>
      <c r="B11802" t="s">
        <v>726</v>
      </c>
      <c r="C11802" t="s">
        <v>15013</v>
      </c>
      <c r="E11802" t="s">
        <v>29189</v>
      </c>
      <c r="F11802" t="s">
        <v>32831</v>
      </c>
      <c r="G11802" t="s">
        <v>32839</v>
      </c>
      <c r="H11802" t="s">
        <v>32848</v>
      </c>
      <c r="I11802" t="s">
        <v>32874</v>
      </c>
      <c r="J11802" t="s">
        <v>33995</v>
      </c>
      <c r="K11802" t="s">
        <v>42732</v>
      </c>
      <c r="M11802" t="s">
        <v>44276</v>
      </c>
      <c r="N11802" t="s">
        <v>47424</v>
      </c>
      <c r="O11802" t="s">
        <v>47425</v>
      </c>
      <c r="P11802">
        <v>0</v>
      </c>
      <c r="Q11802">
        <v>22</v>
      </c>
      <c r="R11802" t="s">
        <v>47438</v>
      </c>
      <c r="S11802" t="s">
        <v>47793</v>
      </c>
      <c r="T11802" t="s">
        <v>49196</v>
      </c>
      <c r="U11802" t="s">
        <v>59341</v>
      </c>
      <c r="W11802" t="s">
        <v>44276</v>
      </c>
      <c r="X11802" t="s">
        <v>47439</v>
      </c>
    </row>
    <row r="11803" spans="1:24">
      <c r="A11803">
        <f>HYPERLINK("https://www.philgeps.gov.ph/GEPSNONPILOT/Tender/SplashBidNoticeAbstractUI.aspx?menuIndex=3&amp;refID=7144179&amp;Result=3","7144179")</f>
        <v>0</v>
      </c>
      <c r="B11803" t="s">
        <v>3455</v>
      </c>
      <c r="C11803" t="s">
        <v>15014</v>
      </c>
      <c r="D11803" t="s">
        <v>19037</v>
      </c>
      <c r="E11803" t="s">
        <v>29190</v>
      </c>
      <c r="F11803" t="s">
        <v>32831</v>
      </c>
      <c r="G11803" t="s">
        <v>32839</v>
      </c>
      <c r="H11803" t="s">
        <v>32849</v>
      </c>
      <c r="I11803" t="s">
        <v>4177</v>
      </c>
      <c r="J11803" t="s">
        <v>40221</v>
      </c>
      <c r="K11803" t="s">
        <v>42729</v>
      </c>
      <c r="M11803" t="s">
        <v>46796</v>
      </c>
      <c r="N11803" t="s">
        <v>47424</v>
      </c>
      <c r="O11803" t="s">
        <v>47425</v>
      </c>
      <c r="P11803">
        <v>0</v>
      </c>
      <c r="Q11803">
        <v>0</v>
      </c>
      <c r="R11803" t="s">
        <v>47438</v>
      </c>
      <c r="S11803" t="s">
        <v>47793</v>
      </c>
      <c r="T11803" t="s">
        <v>49262</v>
      </c>
      <c r="U11803" t="s">
        <v>59342</v>
      </c>
      <c r="W11803" t="s">
        <v>46796</v>
      </c>
      <c r="X11803" t="s">
        <v>47439</v>
      </c>
    </row>
    <row r="11804" spans="1:24">
      <c r="A11804">
        <f>HYPERLINK("https://www.philgeps.gov.ph/GEPSNONPILOT/Tender/SplashBidNoticeAbstractUI.aspx?menuIndex=3&amp;refID=7144231&amp;Result=3","7144231")</f>
        <v>0</v>
      </c>
      <c r="B11804" t="s">
        <v>2261</v>
      </c>
      <c r="C11804" t="s">
        <v>15015</v>
      </c>
      <c r="D11804" t="s">
        <v>19038</v>
      </c>
      <c r="E11804" t="s">
        <v>29191</v>
      </c>
      <c r="F11804" t="s">
        <v>32831</v>
      </c>
      <c r="G11804" t="s">
        <v>32839</v>
      </c>
      <c r="H11804" t="s">
        <v>32848</v>
      </c>
      <c r="I11804" t="s">
        <v>7416</v>
      </c>
      <c r="J11804" t="s">
        <v>40222</v>
      </c>
      <c r="K11804" t="s">
        <v>42731</v>
      </c>
      <c r="L11804" t="s">
        <v>2261</v>
      </c>
      <c r="M11804" t="s">
        <v>45445</v>
      </c>
      <c r="N11804" t="s">
        <v>47424</v>
      </c>
      <c r="O11804" t="s">
        <v>47425</v>
      </c>
      <c r="P11804">
        <v>0</v>
      </c>
      <c r="Q11804">
        <v>1</v>
      </c>
      <c r="R11804" t="s">
        <v>47438</v>
      </c>
      <c r="S11804" t="s">
        <v>47793</v>
      </c>
      <c r="T11804" t="s">
        <v>49073</v>
      </c>
      <c r="U11804" t="s">
        <v>59343</v>
      </c>
      <c r="W11804" t="s">
        <v>45445</v>
      </c>
      <c r="X11804" t="s">
        <v>47439</v>
      </c>
    </row>
    <row r="11805" spans="1:24">
      <c r="A11805">
        <f>HYPERLINK("https://www.philgeps.gov.ph/GEPSNONPILOT/Tender/SplashBidNoticeAbstractUI.aspx?menuIndex=3&amp;refID=7144244&amp;Result=3","7144244")</f>
        <v>0</v>
      </c>
      <c r="B11805" t="s">
        <v>1227</v>
      </c>
      <c r="C11805" t="s">
        <v>15016</v>
      </c>
      <c r="E11805" t="s">
        <v>29192</v>
      </c>
      <c r="F11805" t="s">
        <v>32831</v>
      </c>
      <c r="G11805" t="s">
        <v>32845</v>
      </c>
      <c r="H11805" t="s">
        <v>32848</v>
      </c>
      <c r="I11805" t="s">
        <v>32883</v>
      </c>
      <c r="J11805" t="s">
        <v>40223</v>
      </c>
      <c r="K11805" t="s">
        <v>42729</v>
      </c>
      <c r="M11805" t="s">
        <v>44296</v>
      </c>
      <c r="N11805" t="s">
        <v>47424</v>
      </c>
      <c r="O11805" t="s">
        <v>47425</v>
      </c>
      <c r="P11805">
        <v>0</v>
      </c>
      <c r="Q11805">
        <v>14</v>
      </c>
      <c r="R11805" t="s">
        <v>47438</v>
      </c>
      <c r="S11805" t="s">
        <v>47793</v>
      </c>
      <c r="T11805" t="s">
        <v>49063</v>
      </c>
      <c r="U11805" t="s">
        <v>59344</v>
      </c>
      <c r="V11805" t="s">
        <v>62932</v>
      </c>
      <c r="W11805" t="s">
        <v>44296</v>
      </c>
      <c r="X11805" t="s">
        <v>47439</v>
      </c>
    </row>
    <row r="11806" spans="1:24">
      <c r="A11806">
        <f>HYPERLINK("https://www.philgeps.gov.ph/GEPSNONPILOT/Tender/SplashBidNoticeAbstractUI.aspx?menuIndex=3&amp;refID=7144315&amp;Result=3","7144315")</f>
        <v>0</v>
      </c>
      <c r="B11806" t="s">
        <v>3455</v>
      </c>
      <c r="C11806" t="s">
        <v>15017</v>
      </c>
      <c r="D11806" t="s">
        <v>19037</v>
      </c>
      <c r="E11806" t="s">
        <v>29193</v>
      </c>
      <c r="F11806" t="s">
        <v>32831</v>
      </c>
      <c r="G11806" t="s">
        <v>32839</v>
      </c>
      <c r="H11806" t="s">
        <v>32849</v>
      </c>
      <c r="I11806" t="s">
        <v>32852</v>
      </c>
      <c r="J11806" t="s">
        <v>33083</v>
      </c>
      <c r="K11806" t="s">
        <v>42729</v>
      </c>
      <c r="M11806" t="s">
        <v>46796</v>
      </c>
      <c r="N11806" t="s">
        <v>47424</v>
      </c>
      <c r="O11806" t="s">
        <v>47425</v>
      </c>
      <c r="P11806">
        <v>0</v>
      </c>
      <c r="Q11806">
        <v>1</v>
      </c>
      <c r="R11806" t="s">
        <v>47438</v>
      </c>
      <c r="S11806" t="s">
        <v>47793</v>
      </c>
      <c r="T11806" t="s">
        <v>49262</v>
      </c>
      <c r="U11806" t="s">
        <v>59345</v>
      </c>
      <c r="W11806" t="s">
        <v>46796</v>
      </c>
      <c r="X11806" t="s">
        <v>47439</v>
      </c>
    </row>
    <row r="11807" spans="1:24">
      <c r="A11807">
        <f>HYPERLINK("https://www.philgeps.gov.ph/GEPSNONPILOT/Tender/SplashBidNoticeAbstractUI.aspx?menuIndex=3&amp;refID=7144311&amp;Result=3","7144311")</f>
        <v>0</v>
      </c>
      <c r="B11807" t="s">
        <v>3437</v>
      </c>
      <c r="C11807" t="s">
        <v>15018</v>
      </c>
      <c r="D11807" t="s">
        <v>19085</v>
      </c>
      <c r="E11807" t="s">
        <v>29194</v>
      </c>
      <c r="F11807" t="s">
        <v>32831</v>
      </c>
      <c r="G11807" t="s">
        <v>32839</v>
      </c>
      <c r="H11807" t="s">
        <v>32849</v>
      </c>
      <c r="I11807" t="s">
        <v>4177</v>
      </c>
      <c r="J11807" t="s">
        <v>33044</v>
      </c>
      <c r="K11807" t="s">
        <v>42733</v>
      </c>
      <c r="M11807" t="s">
        <v>46773</v>
      </c>
      <c r="N11807" t="s">
        <v>47424</v>
      </c>
      <c r="O11807" t="s">
        <v>47425</v>
      </c>
      <c r="P11807">
        <v>0</v>
      </c>
      <c r="Q11807">
        <v>0</v>
      </c>
      <c r="R11807" t="s">
        <v>47438</v>
      </c>
      <c r="S11807" t="s">
        <v>47793</v>
      </c>
      <c r="T11807" t="s">
        <v>49063</v>
      </c>
      <c r="U11807" t="s">
        <v>59346</v>
      </c>
      <c r="W11807" t="s">
        <v>46773</v>
      </c>
      <c r="X11807" t="s">
        <v>47439</v>
      </c>
    </row>
    <row r="11808" spans="1:24">
      <c r="A11808">
        <f>HYPERLINK("https://www.philgeps.gov.ph/GEPSNONPILOT/Tender/SplashBidNoticeAbstractUI.aspx?menuIndex=3&amp;refID=7144177&amp;Result=3","7144177")</f>
        <v>0</v>
      </c>
      <c r="B11808" t="s">
        <v>3456</v>
      </c>
      <c r="C11808" t="s">
        <v>15019</v>
      </c>
      <c r="D11808" t="s">
        <v>19036</v>
      </c>
      <c r="E11808" t="s">
        <v>23136</v>
      </c>
      <c r="F11808" t="s">
        <v>32831</v>
      </c>
      <c r="G11808" t="s">
        <v>32839</v>
      </c>
      <c r="H11808" t="s">
        <v>32848</v>
      </c>
      <c r="I11808" t="s">
        <v>32963</v>
      </c>
      <c r="J11808" t="s">
        <v>40224</v>
      </c>
      <c r="K11808" t="s">
        <v>42745</v>
      </c>
      <c r="M11808" t="s">
        <v>46797</v>
      </c>
      <c r="N11808" t="s">
        <v>47424</v>
      </c>
      <c r="O11808" t="s">
        <v>47425</v>
      </c>
      <c r="P11808">
        <v>0</v>
      </c>
      <c r="Q11808">
        <v>1</v>
      </c>
      <c r="R11808" t="s">
        <v>47438</v>
      </c>
      <c r="S11808" t="s">
        <v>47793</v>
      </c>
      <c r="T11808" t="s">
        <v>49108</v>
      </c>
      <c r="U11808" t="s">
        <v>59347</v>
      </c>
      <c r="W11808" t="s">
        <v>46797</v>
      </c>
      <c r="X11808" t="s">
        <v>47439</v>
      </c>
    </row>
    <row r="11809" spans="1:24">
      <c r="A11809">
        <f>HYPERLINK("https://www.philgeps.gov.ph/GEPSNONPILOT/Tender/SplashBidNoticeAbstractUI.aspx?menuIndex=3&amp;refID=7144236&amp;Result=3","7144236")</f>
        <v>0</v>
      </c>
      <c r="B11809" t="s">
        <v>3437</v>
      </c>
      <c r="C11809" t="s">
        <v>15020</v>
      </c>
      <c r="D11809" t="s">
        <v>19085</v>
      </c>
      <c r="E11809" t="s">
        <v>29195</v>
      </c>
      <c r="F11809" t="s">
        <v>32831</v>
      </c>
      <c r="G11809" t="s">
        <v>32839</v>
      </c>
      <c r="H11809" t="s">
        <v>32849</v>
      </c>
      <c r="I11809" t="s">
        <v>4177</v>
      </c>
      <c r="J11809" t="s">
        <v>33279</v>
      </c>
      <c r="K11809" t="s">
        <v>42747</v>
      </c>
      <c r="M11809" t="s">
        <v>46773</v>
      </c>
      <c r="N11809" t="s">
        <v>47424</v>
      </c>
      <c r="O11809" t="s">
        <v>47425</v>
      </c>
      <c r="P11809">
        <v>0</v>
      </c>
      <c r="Q11809">
        <v>0</v>
      </c>
      <c r="R11809" t="s">
        <v>47438</v>
      </c>
      <c r="S11809" t="s">
        <v>47793</v>
      </c>
      <c r="T11809" t="s">
        <v>49063</v>
      </c>
      <c r="U11809" t="s">
        <v>59348</v>
      </c>
      <c r="W11809" t="s">
        <v>46773</v>
      </c>
      <c r="X11809" t="s">
        <v>47439</v>
      </c>
    </row>
    <row r="11810" spans="1:24">
      <c r="A11810">
        <f>HYPERLINK("https://www.philgeps.gov.ph/GEPSNONPILOT/Tender/SplashBidNoticeAbstractUI.aspx?menuIndex=3&amp;refID=7144304&amp;Result=3","7144304")</f>
        <v>0</v>
      </c>
      <c r="B11810" t="s">
        <v>726</v>
      </c>
      <c r="C11810" t="s">
        <v>15021</v>
      </c>
      <c r="E11810" t="s">
        <v>29196</v>
      </c>
      <c r="F11810" t="s">
        <v>32831</v>
      </c>
      <c r="G11810" t="s">
        <v>32839</v>
      </c>
      <c r="H11810" t="s">
        <v>32848</v>
      </c>
      <c r="I11810" t="s">
        <v>5379</v>
      </c>
      <c r="J11810" t="s">
        <v>38798</v>
      </c>
      <c r="K11810" t="s">
        <v>42732</v>
      </c>
      <c r="M11810" t="s">
        <v>44276</v>
      </c>
      <c r="N11810" t="s">
        <v>47424</v>
      </c>
      <c r="O11810" t="s">
        <v>47425</v>
      </c>
      <c r="P11810">
        <v>0</v>
      </c>
      <c r="Q11810">
        <v>3</v>
      </c>
      <c r="R11810" t="s">
        <v>47438</v>
      </c>
      <c r="S11810" t="s">
        <v>47793</v>
      </c>
      <c r="T11810" t="s">
        <v>49196</v>
      </c>
      <c r="U11810" t="s">
        <v>59349</v>
      </c>
      <c r="W11810" t="s">
        <v>44276</v>
      </c>
      <c r="X11810" t="s">
        <v>47439</v>
      </c>
    </row>
    <row r="11811" spans="1:24">
      <c r="A11811">
        <f>HYPERLINK("https://www.philgeps.gov.ph/GEPSNONPILOT/Tender/SplashBidNoticeAbstractUI.aspx?menuIndex=3&amp;refID=7144291&amp;Result=3","7144291")</f>
        <v>0</v>
      </c>
      <c r="B11811" t="s">
        <v>1484</v>
      </c>
      <c r="C11811" t="s">
        <v>15022</v>
      </c>
      <c r="D11811" t="s">
        <v>19031</v>
      </c>
      <c r="E11811" t="s">
        <v>29197</v>
      </c>
      <c r="F11811" t="s">
        <v>32831</v>
      </c>
      <c r="G11811" t="s">
        <v>32839</v>
      </c>
      <c r="H11811" t="s">
        <v>32848</v>
      </c>
      <c r="I11811" t="s">
        <v>32856</v>
      </c>
      <c r="J11811" t="s">
        <v>40225</v>
      </c>
      <c r="K11811" t="s">
        <v>42727</v>
      </c>
      <c r="M11811" t="s">
        <v>44578</v>
      </c>
      <c r="N11811" t="s">
        <v>47424</v>
      </c>
      <c r="O11811" t="s">
        <v>47425</v>
      </c>
      <c r="P11811">
        <v>0</v>
      </c>
      <c r="Q11811">
        <v>3</v>
      </c>
      <c r="R11811" t="s">
        <v>47438</v>
      </c>
      <c r="S11811" t="s">
        <v>47793</v>
      </c>
      <c r="T11811" t="s">
        <v>49080</v>
      </c>
      <c r="U11811" t="s">
        <v>59350</v>
      </c>
      <c r="W11811" t="s">
        <v>44578</v>
      </c>
      <c r="X11811" t="s">
        <v>47439</v>
      </c>
    </row>
    <row r="11812" spans="1:24">
      <c r="A11812">
        <f>HYPERLINK("https://www.philgeps.gov.ph/GEPSNONPILOT/Tender/SplashBidNoticeAbstractUI.aspx?menuIndex=3&amp;refID=7144313&amp;Result=3","7144313")</f>
        <v>0</v>
      </c>
      <c r="B11812" t="s">
        <v>3461</v>
      </c>
      <c r="C11812" t="s">
        <v>15023</v>
      </c>
      <c r="D11812" t="s">
        <v>19045</v>
      </c>
      <c r="E11812" t="s">
        <v>29198</v>
      </c>
      <c r="F11812" t="s">
        <v>32833</v>
      </c>
      <c r="G11812" t="s">
        <v>32839</v>
      </c>
      <c r="H11812" t="s">
        <v>32848</v>
      </c>
      <c r="I11812" t="s">
        <v>7416</v>
      </c>
      <c r="J11812" t="s">
        <v>40226</v>
      </c>
      <c r="K11812" t="s">
        <v>42731</v>
      </c>
      <c r="M11812" t="s">
        <v>46803</v>
      </c>
      <c r="N11812" t="s">
        <v>47424</v>
      </c>
      <c r="O11812" t="s">
        <v>47425</v>
      </c>
      <c r="P11812">
        <v>0</v>
      </c>
      <c r="Q11812">
        <v>0</v>
      </c>
      <c r="R11812" t="s">
        <v>47438</v>
      </c>
      <c r="S11812" t="s">
        <v>47793</v>
      </c>
      <c r="T11812" t="s">
        <v>49196</v>
      </c>
      <c r="U11812" t="s">
        <v>59351</v>
      </c>
      <c r="V11812" t="s">
        <v>63928</v>
      </c>
      <c r="W11812" t="s">
        <v>46803</v>
      </c>
      <c r="X11812" t="s">
        <v>47439</v>
      </c>
    </row>
    <row r="11813" spans="1:24">
      <c r="A11813">
        <f>HYPERLINK("https://www.philgeps.gov.ph/GEPSNONPILOT/Tender/SplashBidNoticeAbstractUI.aspx?menuIndex=3&amp;refID=7144200&amp;Result=3","7144200")</f>
        <v>0</v>
      </c>
      <c r="B11813" t="s">
        <v>1983</v>
      </c>
      <c r="C11813" t="s">
        <v>15024</v>
      </c>
      <c r="E11813" t="s">
        <v>29199</v>
      </c>
      <c r="F11813" t="s">
        <v>32831</v>
      </c>
      <c r="G11813" t="s">
        <v>32839</v>
      </c>
      <c r="H11813" t="s">
        <v>32848</v>
      </c>
      <c r="I11813" t="s">
        <v>7416</v>
      </c>
      <c r="J11813" t="s">
        <v>40227</v>
      </c>
      <c r="K11813" t="s">
        <v>42732</v>
      </c>
      <c r="M11813" t="s">
        <v>45145</v>
      </c>
      <c r="N11813" t="s">
        <v>47424</v>
      </c>
      <c r="O11813" t="s">
        <v>47425</v>
      </c>
      <c r="Q11813">
        <v>2</v>
      </c>
      <c r="R11813" t="s">
        <v>47438</v>
      </c>
      <c r="S11813" t="s">
        <v>47836</v>
      </c>
      <c r="T11813" t="s">
        <v>49196</v>
      </c>
      <c r="U11813" t="s">
        <v>59352</v>
      </c>
      <c r="W11813" t="s">
        <v>45145</v>
      </c>
      <c r="X11813" t="s">
        <v>47439</v>
      </c>
    </row>
    <row r="11814" spans="1:24">
      <c r="A11814">
        <f>HYPERLINK("https://www.philgeps.gov.ph/GEPSNONPILOT/Tender/SplashBidNoticeAbstractUI.aspx?menuIndex=3&amp;refID=7144297&amp;Result=3","7144297")</f>
        <v>0</v>
      </c>
      <c r="B11814" t="s">
        <v>3462</v>
      </c>
      <c r="C11814" t="s">
        <v>15025</v>
      </c>
      <c r="D11814" t="s">
        <v>19083</v>
      </c>
      <c r="E11814" t="s">
        <v>29200</v>
      </c>
      <c r="F11814" t="s">
        <v>32831</v>
      </c>
      <c r="G11814" t="s">
        <v>32839</v>
      </c>
      <c r="H11814" t="s">
        <v>32848</v>
      </c>
      <c r="I11814" t="s">
        <v>7751</v>
      </c>
      <c r="J11814" t="s">
        <v>33083</v>
      </c>
      <c r="K11814" t="s">
        <v>42730</v>
      </c>
      <c r="M11814" t="s">
        <v>46804</v>
      </c>
      <c r="N11814" t="s">
        <v>47424</v>
      </c>
      <c r="O11814" t="s">
        <v>47425</v>
      </c>
      <c r="P11814">
        <v>0</v>
      </c>
      <c r="Q11814">
        <v>1</v>
      </c>
      <c r="R11814" t="s">
        <v>47438</v>
      </c>
      <c r="S11814" t="s">
        <v>47793</v>
      </c>
      <c r="T11814" t="s">
        <v>49120</v>
      </c>
      <c r="U11814" t="s">
        <v>59353</v>
      </c>
      <c r="W11814" t="s">
        <v>46804</v>
      </c>
      <c r="X11814" t="s">
        <v>47439</v>
      </c>
    </row>
    <row r="11815" spans="1:24">
      <c r="A11815">
        <f>HYPERLINK("https://www.philgeps.gov.ph/GEPSNONPILOT/Tender/SplashBidNoticeAbstractUI.aspx?menuIndex=3&amp;refID=7144270&amp;Result=3","7144270")</f>
        <v>0</v>
      </c>
      <c r="B11815" t="s">
        <v>3455</v>
      </c>
      <c r="C11815" t="s">
        <v>15026</v>
      </c>
      <c r="D11815" t="s">
        <v>19037</v>
      </c>
      <c r="E11815" t="s">
        <v>29201</v>
      </c>
      <c r="F11815" t="s">
        <v>32831</v>
      </c>
      <c r="G11815" t="s">
        <v>32839</v>
      </c>
      <c r="H11815" t="s">
        <v>32848</v>
      </c>
      <c r="I11815" t="s">
        <v>32856</v>
      </c>
      <c r="J11815" t="s">
        <v>40228</v>
      </c>
      <c r="K11815" t="s">
        <v>42730</v>
      </c>
      <c r="M11815" t="s">
        <v>46796</v>
      </c>
      <c r="N11815" t="s">
        <v>47424</v>
      </c>
      <c r="O11815" t="s">
        <v>47425</v>
      </c>
      <c r="P11815">
        <v>0</v>
      </c>
      <c r="Q11815">
        <v>2</v>
      </c>
      <c r="R11815" t="s">
        <v>47438</v>
      </c>
      <c r="S11815" t="s">
        <v>47793</v>
      </c>
      <c r="T11815" t="s">
        <v>49262</v>
      </c>
      <c r="U11815" t="s">
        <v>59354</v>
      </c>
      <c r="W11815" t="s">
        <v>46796</v>
      </c>
      <c r="X11815" t="s">
        <v>47439</v>
      </c>
    </row>
    <row r="11816" spans="1:24">
      <c r="A11816">
        <f>HYPERLINK("https://www.philgeps.gov.ph/GEPSNONPILOT/Tender/SplashBidNoticeAbstractUI.aspx?menuIndex=3&amp;refID=7144276&amp;Result=3","7144276")</f>
        <v>0</v>
      </c>
      <c r="B11816" t="s">
        <v>3437</v>
      </c>
      <c r="C11816" t="s">
        <v>15027</v>
      </c>
      <c r="D11816" t="s">
        <v>19085</v>
      </c>
      <c r="E11816" t="s">
        <v>29202</v>
      </c>
      <c r="F11816" t="s">
        <v>32831</v>
      </c>
      <c r="G11816" t="s">
        <v>32839</v>
      </c>
      <c r="H11816" t="s">
        <v>32849</v>
      </c>
      <c r="I11816" t="s">
        <v>4177</v>
      </c>
      <c r="J11816" t="s">
        <v>40229</v>
      </c>
      <c r="K11816" t="s">
        <v>42742</v>
      </c>
      <c r="M11816" t="s">
        <v>46773</v>
      </c>
      <c r="N11816" t="s">
        <v>47424</v>
      </c>
      <c r="O11816" t="s">
        <v>47425</v>
      </c>
      <c r="P11816">
        <v>0</v>
      </c>
      <c r="Q11816">
        <v>0</v>
      </c>
      <c r="R11816" t="s">
        <v>47438</v>
      </c>
      <c r="S11816" t="s">
        <v>47793</v>
      </c>
      <c r="T11816" t="s">
        <v>49063</v>
      </c>
      <c r="U11816" t="s">
        <v>59355</v>
      </c>
      <c r="W11816" t="s">
        <v>46773</v>
      </c>
      <c r="X11816" t="s">
        <v>47439</v>
      </c>
    </row>
    <row r="11817" spans="1:24">
      <c r="A11817">
        <f>HYPERLINK("https://www.philgeps.gov.ph/GEPSNONPILOT/Tender/SplashBidNoticeAbstractUI.aspx?menuIndex=3&amp;refID=7144195&amp;Result=3","7144195")</f>
        <v>0</v>
      </c>
      <c r="B11817" t="s">
        <v>1891</v>
      </c>
      <c r="C11817" t="s">
        <v>15028</v>
      </c>
      <c r="D11817" t="s">
        <v>19017</v>
      </c>
      <c r="E11817" t="s">
        <v>29203</v>
      </c>
      <c r="F11817" t="s">
        <v>32831</v>
      </c>
      <c r="G11817" t="s">
        <v>32839</v>
      </c>
      <c r="H11817" t="s">
        <v>32848</v>
      </c>
      <c r="I11817" t="s">
        <v>4487</v>
      </c>
      <c r="J11817" t="s">
        <v>40230</v>
      </c>
      <c r="K11817" t="s">
        <v>42732</v>
      </c>
      <c r="M11817" t="s">
        <v>46805</v>
      </c>
      <c r="N11817" t="s">
        <v>47424</v>
      </c>
      <c r="O11817" t="s">
        <v>47425</v>
      </c>
      <c r="Q11817">
        <v>11</v>
      </c>
      <c r="R11817" t="s">
        <v>47438</v>
      </c>
      <c r="S11817" t="s">
        <v>47837</v>
      </c>
      <c r="T11817" t="s">
        <v>49106</v>
      </c>
      <c r="U11817" t="s">
        <v>59356</v>
      </c>
      <c r="V11817" t="s">
        <v>63929</v>
      </c>
      <c r="W11817" t="s">
        <v>46805</v>
      </c>
      <c r="X11817" t="s">
        <v>47439</v>
      </c>
    </row>
    <row r="11818" spans="1:24">
      <c r="A11818">
        <f>HYPERLINK("https://www.philgeps.gov.ph/GEPSNONPILOT/Tender/SplashBidNoticeAbstractUI.aspx?menuIndex=3&amp;refID=7144261&amp;Result=3","7144261")</f>
        <v>0</v>
      </c>
      <c r="B11818" t="s">
        <v>850</v>
      </c>
      <c r="C11818" t="s">
        <v>15029</v>
      </c>
      <c r="D11818" t="s">
        <v>19051</v>
      </c>
      <c r="E11818" t="s">
        <v>29029</v>
      </c>
      <c r="F11818" t="s">
        <v>32831</v>
      </c>
      <c r="G11818" t="s">
        <v>32839</v>
      </c>
      <c r="H11818" t="s">
        <v>32849</v>
      </c>
      <c r="I11818" t="s">
        <v>32852</v>
      </c>
      <c r="J11818" t="s">
        <v>40231</v>
      </c>
      <c r="K11818" t="s">
        <v>42727</v>
      </c>
      <c r="M11818" t="s">
        <v>43883</v>
      </c>
      <c r="N11818" t="s">
        <v>47424</v>
      </c>
      <c r="O11818" t="s">
        <v>47425</v>
      </c>
      <c r="P11818">
        <v>0</v>
      </c>
      <c r="Q11818">
        <v>1</v>
      </c>
      <c r="R11818" t="s">
        <v>47438</v>
      </c>
      <c r="S11818" t="s">
        <v>47793</v>
      </c>
      <c r="T11818" t="s">
        <v>49079</v>
      </c>
      <c r="U11818" t="s">
        <v>59357</v>
      </c>
      <c r="W11818" t="s">
        <v>43883</v>
      </c>
      <c r="X11818" t="s">
        <v>47439</v>
      </c>
    </row>
    <row r="11819" spans="1:24">
      <c r="A11819">
        <f>HYPERLINK("https://www.philgeps.gov.ph/GEPSNONPILOT/Tender/SplashBidNoticeAbstractUI.aspx?menuIndex=3&amp;refID=7144271&amp;Result=3","7144271")</f>
        <v>0</v>
      </c>
      <c r="B11819" t="s">
        <v>83</v>
      </c>
      <c r="C11819" t="s">
        <v>15030</v>
      </c>
      <c r="D11819" t="s">
        <v>19038</v>
      </c>
      <c r="E11819" t="s">
        <v>29204</v>
      </c>
      <c r="F11819" t="s">
        <v>32831</v>
      </c>
      <c r="G11819" t="s">
        <v>32839</v>
      </c>
      <c r="H11819" t="s">
        <v>32849</v>
      </c>
      <c r="I11819" t="s">
        <v>4177</v>
      </c>
      <c r="J11819" t="s">
        <v>40232</v>
      </c>
      <c r="K11819" t="s">
        <v>42747</v>
      </c>
      <c r="M11819" t="s">
        <v>43080</v>
      </c>
      <c r="N11819" t="s">
        <v>47424</v>
      </c>
      <c r="O11819" t="s">
        <v>47425</v>
      </c>
      <c r="P11819">
        <v>0</v>
      </c>
      <c r="Q11819">
        <v>0</v>
      </c>
      <c r="R11819" t="s">
        <v>47438</v>
      </c>
      <c r="S11819" t="s">
        <v>47793</v>
      </c>
      <c r="T11819" t="s">
        <v>49120</v>
      </c>
      <c r="U11819" t="s">
        <v>59358</v>
      </c>
      <c r="W11819" t="s">
        <v>43080</v>
      </c>
      <c r="X11819" t="s">
        <v>47439</v>
      </c>
    </row>
    <row r="11820" spans="1:24">
      <c r="A11820">
        <f>HYPERLINK("https://www.philgeps.gov.ph/GEPSNONPILOT/Tender/SplashBidNoticeAbstractUI.aspx?menuIndex=3&amp;refID=7144265&amp;Result=3","7144265")</f>
        <v>0</v>
      </c>
      <c r="B11820" t="s">
        <v>3463</v>
      </c>
      <c r="C11820" t="s">
        <v>15031</v>
      </c>
      <c r="D11820" t="s">
        <v>19061</v>
      </c>
      <c r="E11820" t="s">
        <v>29205</v>
      </c>
      <c r="F11820" t="s">
        <v>32831</v>
      </c>
      <c r="G11820" t="s">
        <v>32839</v>
      </c>
      <c r="H11820" t="s">
        <v>32849</v>
      </c>
      <c r="I11820" t="s">
        <v>32913</v>
      </c>
      <c r="J11820" t="s">
        <v>33257</v>
      </c>
      <c r="K11820" t="s">
        <v>42757</v>
      </c>
      <c r="M11820" t="s">
        <v>46806</v>
      </c>
      <c r="N11820" t="s">
        <v>47424</v>
      </c>
      <c r="O11820" t="s">
        <v>47425</v>
      </c>
      <c r="P11820">
        <v>0</v>
      </c>
      <c r="Q11820">
        <v>8</v>
      </c>
      <c r="R11820" t="s">
        <v>47438</v>
      </c>
      <c r="S11820" t="s">
        <v>47793</v>
      </c>
      <c r="T11820" t="s">
        <v>49427</v>
      </c>
      <c r="U11820" t="s">
        <v>59359</v>
      </c>
      <c r="W11820" t="s">
        <v>46806</v>
      </c>
      <c r="X11820" t="s">
        <v>47439</v>
      </c>
    </row>
    <row r="11821" spans="1:24">
      <c r="A11821">
        <f>HYPERLINK("https://www.philgeps.gov.ph/GEPSNONPILOT/Tender/SplashBidNoticeAbstractUI.aspx?menuIndex=3&amp;refID=7144282&amp;Result=3","7144282")</f>
        <v>0</v>
      </c>
      <c r="B11821" t="s">
        <v>2831</v>
      </c>
      <c r="C11821" t="s">
        <v>15032</v>
      </c>
      <c r="D11821" t="s">
        <v>19077</v>
      </c>
      <c r="E11821" t="s">
        <v>29206</v>
      </c>
      <c r="F11821" t="s">
        <v>32831</v>
      </c>
      <c r="G11821" t="s">
        <v>32839</v>
      </c>
      <c r="H11821" t="s">
        <v>32849</v>
      </c>
      <c r="I11821" t="s">
        <v>32855</v>
      </c>
      <c r="J11821" t="s">
        <v>40233</v>
      </c>
      <c r="K11821" t="s">
        <v>42780</v>
      </c>
      <c r="M11821" t="s">
        <v>46063</v>
      </c>
      <c r="N11821" t="s">
        <v>47424</v>
      </c>
      <c r="O11821" t="s">
        <v>47425</v>
      </c>
      <c r="P11821">
        <v>0</v>
      </c>
      <c r="Q11821">
        <v>5</v>
      </c>
      <c r="R11821" t="s">
        <v>47438</v>
      </c>
      <c r="S11821" t="s">
        <v>47793</v>
      </c>
      <c r="T11821" t="s">
        <v>49221</v>
      </c>
      <c r="U11821" t="s">
        <v>59360</v>
      </c>
      <c r="W11821" t="s">
        <v>46063</v>
      </c>
      <c r="X11821" t="s">
        <v>47439</v>
      </c>
    </row>
    <row r="11822" spans="1:24">
      <c r="A11822">
        <f>HYPERLINK("https://www.philgeps.gov.ph/GEPSNONPILOT/Tender/SplashBidNoticeAbstractUI.aspx?menuIndex=3&amp;refID=7144252&amp;Result=3","7144252")</f>
        <v>0</v>
      </c>
      <c r="B11822" t="s">
        <v>3464</v>
      </c>
      <c r="C11822" t="s">
        <v>15033</v>
      </c>
      <c r="D11822" t="s">
        <v>19042</v>
      </c>
      <c r="E11822" t="s">
        <v>29207</v>
      </c>
      <c r="F11822" t="s">
        <v>32831</v>
      </c>
      <c r="G11822" t="s">
        <v>32839</v>
      </c>
      <c r="H11822" t="s">
        <v>32848</v>
      </c>
      <c r="I11822" t="s">
        <v>32925</v>
      </c>
      <c r="J11822" t="s">
        <v>34629</v>
      </c>
      <c r="K11822" t="s">
        <v>42730</v>
      </c>
      <c r="M11822" t="s">
        <v>46807</v>
      </c>
      <c r="N11822" t="s">
        <v>47424</v>
      </c>
      <c r="O11822" t="s">
        <v>47425</v>
      </c>
      <c r="Q11822">
        <v>3</v>
      </c>
      <c r="R11822" t="s">
        <v>47438</v>
      </c>
      <c r="S11822" t="s">
        <v>47838</v>
      </c>
      <c r="T11822" t="s">
        <v>49196</v>
      </c>
      <c r="U11822" t="s">
        <v>50989</v>
      </c>
      <c r="W11822" t="s">
        <v>46807</v>
      </c>
      <c r="X11822" t="s">
        <v>47439</v>
      </c>
    </row>
    <row r="11823" spans="1:24">
      <c r="A11823">
        <f>HYPERLINK("https://www.philgeps.gov.ph/GEPSNONPILOT/Tender/SplashBidNoticeAbstractUI.aspx?menuIndex=3&amp;refID=7144251&amp;Result=3","7144251")</f>
        <v>0</v>
      </c>
      <c r="B11823" t="s">
        <v>3456</v>
      </c>
      <c r="C11823" t="s">
        <v>15034</v>
      </c>
      <c r="D11823" t="s">
        <v>19036</v>
      </c>
      <c r="E11823" t="s">
        <v>20597</v>
      </c>
      <c r="F11823" t="s">
        <v>32831</v>
      </c>
      <c r="G11823" t="s">
        <v>32839</v>
      </c>
      <c r="H11823" t="s">
        <v>32848</v>
      </c>
      <c r="I11823" t="s">
        <v>7416</v>
      </c>
      <c r="J11823" t="s">
        <v>40234</v>
      </c>
      <c r="K11823" t="s">
        <v>42745</v>
      </c>
      <c r="M11823" t="s">
        <v>46797</v>
      </c>
      <c r="N11823" t="s">
        <v>47424</v>
      </c>
      <c r="O11823" t="s">
        <v>47425</v>
      </c>
      <c r="P11823">
        <v>0</v>
      </c>
      <c r="Q11823">
        <v>0</v>
      </c>
      <c r="R11823" t="s">
        <v>47438</v>
      </c>
      <c r="S11823" t="s">
        <v>47793</v>
      </c>
      <c r="T11823" t="s">
        <v>49108</v>
      </c>
      <c r="U11823" t="s">
        <v>59361</v>
      </c>
      <c r="W11823" t="s">
        <v>46797</v>
      </c>
      <c r="X11823" t="s">
        <v>47439</v>
      </c>
    </row>
    <row r="11824" spans="1:24">
      <c r="A11824">
        <f>HYPERLINK("https://www.philgeps.gov.ph/GEPSNONPILOT/Tender/SplashBidNoticeAbstractUI.aspx?menuIndex=3&amp;refID=7144246&amp;Result=3","7144246")</f>
        <v>0</v>
      </c>
      <c r="B11824" t="s">
        <v>1983</v>
      </c>
      <c r="C11824" t="s">
        <v>15035</v>
      </c>
      <c r="E11824" t="s">
        <v>29208</v>
      </c>
      <c r="F11824" t="s">
        <v>32831</v>
      </c>
      <c r="G11824" t="s">
        <v>32839</v>
      </c>
      <c r="H11824" t="s">
        <v>32848</v>
      </c>
      <c r="I11824" t="s">
        <v>9577</v>
      </c>
      <c r="J11824" t="s">
        <v>40235</v>
      </c>
      <c r="K11824" t="s">
        <v>42732</v>
      </c>
      <c r="M11824" t="s">
        <v>45145</v>
      </c>
      <c r="N11824" t="s">
        <v>47424</v>
      </c>
      <c r="O11824" t="s">
        <v>47425</v>
      </c>
      <c r="Q11824">
        <v>2</v>
      </c>
      <c r="R11824" t="s">
        <v>47438</v>
      </c>
      <c r="S11824" t="s">
        <v>47839</v>
      </c>
      <c r="T11824" t="s">
        <v>49196</v>
      </c>
      <c r="U11824" t="s">
        <v>59352</v>
      </c>
      <c r="W11824" t="s">
        <v>45145</v>
      </c>
      <c r="X11824" t="s">
        <v>47439</v>
      </c>
    </row>
    <row r="11825" spans="1:24">
      <c r="A11825">
        <f>HYPERLINK("https://www.philgeps.gov.ph/GEPSNONPILOT/Tender/SplashBidNoticeAbstractUI.aspx?menuIndex=3&amp;refID=7144266&amp;Result=3","7144266")</f>
        <v>0</v>
      </c>
      <c r="B11825" t="s">
        <v>3462</v>
      </c>
      <c r="C11825" t="s">
        <v>15036</v>
      </c>
      <c r="D11825" t="s">
        <v>19083</v>
      </c>
      <c r="E11825" t="s">
        <v>29209</v>
      </c>
      <c r="F11825" t="s">
        <v>32831</v>
      </c>
      <c r="G11825" t="s">
        <v>32839</v>
      </c>
      <c r="H11825" t="s">
        <v>32849</v>
      </c>
      <c r="I11825" t="s">
        <v>4177</v>
      </c>
      <c r="J11825" t="s">
        <v>36020</v>
      </c>
      <c r="K11825" t="s">
        <v>42770</v>
      </c>
      <c r="M11825" t="s">
        <v>46804</v>
      </c>
      <c r="N11825" t="s">
        <v>47424</v>
      </c>
      <c r="O11825" t="s">
        <v>47425</v>
      </c>
      <c r="P11825">
        <v>0</v>
      </c>
      <c r="Q11825">
        <v>1</v>
      </c>
      <c r="R11825" t="s">
        <v>47438</v>
      </c>
      <c r="S11825" t="s">
        <v>47793</v>
      </c>
      <c r="T11825" t="s">
        <v>49120</v>
      </c>
      <c r="U11825" t="s">
        <v>59362</v>
      </c>
      <c r="W11825" t="s">
        <v>46804</v>
      </c>
      <c r="X11825" t="s">
        <v>47439</v>
      </c>
    </row>
    <row r="11826" spans="1:24">
      <c r="A11826">
        <f>HYPERLINK("https://www.philgeps.gov.ph/GEPSNONPILOT/Tender/SplashBidNoticeAbstractUI.aspx?menuIndex=3&amp;refID=7144309&amp;Result=3","7144309")</f>
        <v>0</v>
      </c>
      <c r="B11826" t="s">
        <v>3465</v>
      </c>
      <c r="C11826" t="s">
        <v>7827</v>
      </c>
      <c r="D11826" t="s">
        <v>19093</v>
      </c>
      <c r="E11826" t="s">
        <v>19144</v>
      </c>
      <c r="F11826" t="s">
        <v>32831</v>
      </c>
      <c r="G11826" t="s">
        <v>32839</v>
      </c>
      <c r="H11826" t="s">
        <v>32849</v>
      </c>
      <c r="I11826" t="s">
        <v>4177</v>
      </c>
      <c r="J11826" t="s">
        <v>40236</v>
      </c>
      <c r="K11826" t="s">
        <v>42730</v>
      </c>
      <c r="M11826" t="s">
        <v>46808</v>
      </c>
      <c r="N11826" t="s">
        <v>47424</v>
      </c>
      <c r="O11826" t="s">
        <v>47425</v>
      </c>
      <c r="P11826">
        <v>0</v>
      </c>
      <c r="Q11826">
        <v>0</v>
      </c>
      <c r="R11826" t="s">
        <v>47438</v>
      </c>
      <c r="S11826" t="s">
        <v>47793</v>
      </c>
      <c r="T11826" t="s">
        <v>49080</v>
      </c>
      <c r="U11826" t="s">
        <v>59363</v>
      </c>
      <c r="V11826" t="s">
        <v>63930</v>
      </c>
      <c r="W11826" t="s">
        <v>46808</v>
      </c>
      <c r="X11826" t="s">
        <v>47439</v>
      </c>
    </row>
    <row r="11827" spans="1:24">
      <c r="A11827">
        <f>HYPERLINK("https://www.philgeps.gov.ph/GEPSNONPILOT/Tender/SplashBidNoticeAbstractUI.aspx?menuIndex=3&amp;refID=7144286&amp;Result=3","7144286")</f>
        <v>0</v>
      </c>
      <c r="B11827" t="s">
        <v>3455</v>
      </c>
      <c r="C11827" t="s">
        <v>15037</v>
      </c>
      <c r="D11827" t="s">
        <v>19037</v>
      </c>
      <c r="E11827" t="s">
        <v>29210</v>
      </c>
      <c r="F11827" t="s">
        <v>32831</v>
      </c>
      <c r="G11827" t="s">
        <v>32839</v>
      </c>
      <c r="H11827" t="s">
        <v>32849</v>
      </c>
      <c r="I11827" t="s">
        <v>32852</v>
      </c>
      <c r="J11827" t="s">
        <v>33083</v>
      </c>
      <c r="K11827" t="s">
        <v>42729</v>
      </c>
      <c r="M11827" t="s">
        <v>46796</v>
      </c>
      <c r="N11827" t="s">
        <v>47424</v>
      </c>
      <c r="O11827" t="s">
        <v>47425</v>
      </c>
      <c r="P11827">
        <v>0</v>
      </c>
      <c r="Q11827">
        <v>3</v>
      </c>
      <c r="R11827" t="s">
        <v>47438</v>
      </c>
      <c r="S11827" t="s">
        <v>47793</v>
      </c>
      <c r="T11827" t="s">
        <v>49262</v>
      </c>
      <c r="U11827" t="s">
        <v>59364</v>
      </c>
      <c r="W11827" t="s">
        <v>46796</v>
      </c>
      <c r="X11827" t="s">
        <v>47439</v>
      </c>
    </row>
    <row r="11828" spans="1:24">
      <c r="A11828">
        <f>HYPERLINK("https://www.philgeps.gov.ph/GEPSNONPILOT/Tender/SplashBidNoticeAbstractUI.aspx?menuIndex=3&amp;refID=7144254&amp;Result=3","7144254")</f>
        <v>0</v>
      </c>
      <c r="B11828" t="s">
        <v>726</v>
      </c>
      <c r="C11828" t="s">
        <v>15038</v>
      </c>
      <c r="E11828" t="s">
        <v>27554</v>
      </c>
      <c r="F11828" t="s">
        <v>32831</v>
      </c>
      <c r="G11828" t="s">
        <v>32839</v>
      </c>
      <c r="H11828" t="s">
        <v>32848</v>
      </c>
      <c r="I11828" t="s">
        <v>7751</v>
      </c>
      <c r="J11828" t="s">
        <v>40237</v>
      </c>
      <c r="K11828" t="s">
        <v>42732</v>
      </c>
      <c r="M11828" t="s">
        <v>44276</v>
      </c>
      <c r="N11828" t="s">
        <v>47424</v>
      </c>
      <c r="O11828" t="s">
        <v>47425</v>
      </c>
      <c r="P11828">
        <v>0</v>
      </c>
      <c r="Q11828">
        <v>6</v>
      </c>
      <c r="R11828" t="s">
        <v>47438</v>
      </c>
      <c r="S11828" t="s">
        <v>47793</v>
      </c>
      <c r="T11828" t="s">
        <v>49196</v>
      </c>
      <c r="U11828" t="s">
        <v>59365</v>
      </c>
      <c r="W11828" t="s">
        <v>44276</v>
      </c>
      <c r="X11828" t="s">
        <v>47439</v>
      </c>
    </row>
    <row r="11829" spans="1:24">
      <c r="A11829">
        <f>HYPERLINK("https://www.philgeps.gov.ph/GEPSNONPILOT/Tender/SplashBidNoticeAbstractUI.aspx?menuIndex=3&amp;refID=7144380&amp;Result=3","7144380")</f>
        <v>0</v>
      </c>
      <c r="B11829" t="s">
        <v>1891</v>
      </c>
      <c r="C11829" t="s">
        <v>15039</v>
      </c>
      <c r="D11829" t="s">
        <v>19017</v>
      </c>
      <c r="E11829" t="s">
        <v>29211</v>
      </c>
      <c r="F11829" t="s">
        <v>32831</v>
      </c>
      <c r="G11829" t="s">
        <v>32839</v>
      </c>
      <c r="H11829" t="s">
        <v>32848</v>
      </c>
      <c r="I11829" t="s">
        <v>7751</v>
      </c>
      <c r="J11829" t="s">
        <v>40238</v>
      </c>
      <c r="K11829" t="s">
        <v>42732</v>
      </c>
      <c r="M11829" t="s">
        <v>46805</v>
      </c>
      <c r="N11829" t="s">
        <v>47424</v>
      </c>
      <c r="O11829" t="s">
        <v>47425</v>
      </c>
      <c r="Q11829">
        <v>4</v>
      </c>
      <c r="R11829" t="s">
        <v>47438</v>
      </c>
      <c r="S11829" t="s">
        <v>47837</v>
      </c>
      <c r="T11829" t="s">
        <v>49106</v>
      </c>
      <c r="U11829" t="s">
        <v>59366</v>
      </c>
      <c r="V11829" t="s">
        <v>63929</v>
      </c>
      <c r="W11829" t="s">
        <v>46805</v>
      </c>
      <c r="X11829" t="s">
        <v>47439</v>
      </c>
    </row>
    <row r="11830" spans="1:24">
      <c r="A11830">
        <f>HYPERLINK("https://www.philgeps.gov.ph/GEPSNONPILOT/Tender/SplashBidNoticeAbstractUI.aspx?menuIndex=3&amp;refID=7144245&amp;Result=3","7144245")</f>
        <v>0</v>
      </c>
      <c r="B11830" t="s">
        <v>3455</v>
      </c>
      <c r="C11830" t="s">
        <v>15040</v>
      </c>
      <c r="D11830" t="s">
        <v>19037</v>
      </c>
      <c r="E11830" t="s">
        <v>29212</v>
      </c>
      <c r="F11830" t="s">
        <v>32831</v>
      </c>
      <c r="G11830" t="s">
        <v>32839</v>
      </c>
      <c r="H11830" t="s">
        <v>32848</v>
      </c>
      <c r="I11830" t="s">
        <v>7751</v>
      </c>
      <c r="J11830" t="s">
        <v>36338</v>
      </c>
      <c r="K11830" t="s">
        <v>42730</v>
      </c>
      <c r="M11830" t="s">
        <v>46796</v>
      </c>
      <c r="N11830" t="s">
        <v>47424</v>
      </c>
      <c r="O11830" t="s">
        <v>47425</v>
      </c>
      <c r="P11830">
        <v>0</v>
      </c>
      <c r="Q11830">
        <v>2</v>
      </c>
      <c r="R11830" t="s">
        <v>47438</v>
      </c>
      <c r="S11830" t="s">
        <v>47793</v>
      </c>
      <c r="T11830" t="s">
        <v>49262</v>
      </c>
      <c r="U11830" t="s">
        <v>59367</v>
      </c>
      <c r="W11830" t="s">
        <v>46796</v>
      </c>
      <c r="X11830" t="s">
        <v>47439</v>
      </c>
    </row>
    <row r="11831" spans="1:24">
      <c r="A11831">
        <f>HYPERLINK("https://www.philgeps.gov.ph/GEPSNONPILOT/Tender/SplashBidNoticeAbstractUI.aspx?menuIndex=3&amp;refID=7144115&amp;Result=3","7144115")</f>
        <v>0</v>
      </c>
      <c r="B11831" t="s">
        <v>2235</v>
      </c>
      <c r="C11831" t="s">
        <v>15041</v>
      </c>
      <c r="E11831" t="s">
        <v>29213</v>
      </c>
      <c r="F11831" t="s">
        <v>32831</v>
      </c>
      <c r="G11831" t="s">
        <v>32839</v>
      </c>
      <c r="H11831" t="s">
        <v>32848</v>
      </c>
      <c r="I11831" t="s">
        <v>4558</v>
      </c>
      <c r="J11831" t="s">
        <v>40239</v>
      </c>
      <c r="K11831" t="s">
        <v>42730</v>
      </c>
      <c r="M11831" t="s">
        <v>45724</v>
      </c>
      <c r="N11831" t="s">
        <v>47424</v>
      </c>
      <c r="O11831" t="s">
        <v>47425</v>
      </c>
      <c r="P11831">
        <v>0</v>
      </c>
      <c r="Q11831">
        <v>1</v>
      </c>
      <c r="R11831" t="s">
        <v>47438</v>
      </c>
      <c r="S11831" t="s">
        <v>47793</v>
      </c>
      <c r="T11831" t="s">
        <v>49310</v>
      </c>
      <c r="U11831" t="s">
        <v>59368</v>
      </c>
      <c r="W11831" t="s">
        <v>45724</v>
      </c>
      <c r="X11831" t="s">
        <v>47439</v>
      </c>
    </row>
    <row r="11832" spans="1:24">
      <c r="A11832">
        <f>HYPERLINK("https://www.philgeps.gov.ph/GEPSNONPILOT/Tender/SplashBidNoticeAbstractUI.aspx?menuIndex=3&amp;refID=7144386&amp;Result=3","7144386")</f>
        <v>0</v>
      </c>
      <c r="B11832" t="s">
        <v>1227</v>
      </c>
      <c r="C11832" t="s">
        <v>15042</v>
      </c>
      <c r="E11832" t="s">
        <v>29214</v>
      </c>
      <c r="F11832" t="s">
        <v>32831</v>
      </c>
      <c r="G11832" t="s">
        <v>32845</v>
      </c>
      <c r="H11832" t="s">
        <v>32848</v>
      </c>
      <c r="I11832" t="s">
        <v>32859</v>
      </c>
      <c r="J11832" t="s">
        <v>40240</v>
      </c>
      <c r="K11832" t="s">
        <v>42747</v>
      </c>
      <c r="M11832" t="s">
        <v>44296</v>
      </c>
      <c r="N11832" t="s">
        <v>47424</v>
      </c>
      <c r="O11832" t="s">
        <v>47425</v>
      </c>
      <c r="P11832">
        <v>0</v>
      </c>
      <c r="Q11832">
        <v>4</v>
      </c>
      <c r="R11832" t="s">
        <v>47438</v>
      </c>
      <c r="S11832" t="s">
        <v>47793</v>
      </c>
      <c r="T11832" t="s">
        <v>49288</v>
      </c>
      <c r="U11832" t="s">
        <v>59369</v>
      </c>
      <c r="V11832" t="s">
        <v>62932</v>
      </c>
      <c r="W11832" t="s">
        <v>44296</v>
      </c>
      <c r="X11832" t="s">
        <v>47439</v>
      </c>
    </row>
    <row r="11833" spans="1:24">
      <c r="A11833">
        <f>HYPERLINK("https://www.philgeps.gov.ph/GEPSNONPILOT/Tender/SplashBidNoticeAbstractUI.aspx?menuIndex=3&amp;refID=7144368&amp;Result=3","7144368")</f>
        <v>0</v>
      </c>
      <c r="B11833" t="s">
        <v>3461</v>
      </c>
      <c r="C11833" t="s">
        <v>15043</v>
      </c>
      <c r="D11833" t="s">
        <v>19045</v>
      </c>
      <c r="E11833" t="s">
        <v>29215</v>
      </c>
      <c r="F11833" t="s">
        <v>32833</v>
      </c>
      <c r="G11833" t="s">
        <v>32839</v>
      </c>
      <c r="H11833" t="s">
        <v>32848</v>
      </c>
      <c r="I11833" t="s">
        <v>7416</v>
      </c>
      <c r="J11833" t="s">
        <v>40241</v>
      </c>
      <c r="K11833" t="s">
        <v>42731</v>
      </c>
      <c r="M11833" t="s">
        <v>46803</v>
      </c>
      <c r="N11833" t="s">
        <v>47424</v>
      </c>
      <c r="O11833" t="s">
        <v>47425</v>
      </c>
      <c r="P11833">
        <v>0</v>
      </c>
      <c r="Q11833">
        <v>0</v>
      </c>
      <c r="R11833" t="s">
        <v>47438</v>
      </c>
      <c r="S11833" t="s">
        <v>47793</v>
      </c>
      <c r="T11833" t="s">
        <v>49196</v>
      </c>
      <c r="U11833" t="s">
        <v>59351</v>
      </c>
      <c r="V11833" t="s">
        <v>63928</v>
      </c>
      <c r="W11833" t="s">
        <v>46803</v>
      </c>
      <c r="X11833" t="s">
        <v>47439</v>
      </c>
    </row>
    <row r="11834" spans="1:24">
      <c r="A11834">
        <f>HYPERLINK("https://www.philgeps.gov.ph/GEPSNONPILOT/Tender/SplashBidNoticeAbstractUI.aspx?menuIndex=3&amp;refID=7144377&amp;Result=3","7144377")</f>
        <v>0</v>
      </c>
      <c r="B11834" t="s">
        <v>2337</v>
      </c>
      <c r="C11834" t="s">
        <v>15044</v>
      </c>
      <c r="D11834" t="s">
        <v>19038</v>
      </c>
      <c r="E11834" t="s">
        <v>29216</v>
      </c>
      <c r="F11834" t="s">
        <v>32831</v>
      </c>
      <c r="G11834" t="s">
        <v>32839</v>
      </c>
      <c r="H11834" t="s">
        <v>32848</v>
      </c>
      <c r="I11834" t="s">
        <v>32894</v>
      </c>
      <c r="J11834" t="s">
        <v>36815</v>
      </c>
      <c r="K11834" t="s">
        <v>42730</v>
      </c>
      <c r="M11834" t="s">
        <v>45524</v>
      </c>
      <c r="N11834" t="s">
        <v>47424</v>
      </c>
      <c r="O11834" t="s">
        <v>47425</v>
      </c>
      <c r="P11834">
        <v>0</v>
      </c>
      <c r="Q11834">
        <v>2</v>
      </c>
      <c r="R11834" t="s">
        <v>47438</v>
      </c>
      <c r="S11834" t="s">
        <v>47793</v>
      </c>
      <c r="T11834" t="s">
        <v>49172</v>
      </c>
      <c r="U11834" t="s">
        <v>59370</v>
      </c>
      <c r="W11834" t="s">
        <v>45524</v>
      </c>
      <c r="X11834" t="s">
        <v>47439</v>
      </c>
    </row>
    <row r="11835" spans="1:24">
      <c r="A11835">
        <f>HYPERLINK("https://www.philgeps.gov.ph/GEPSNONPILOT/Tender/SplashBidNoticeAbstractUI.aspx?menuIndex=3&amp;refID=7144396&amp;Result=3","7144396")</f>
        <v>0</v>
      </c>
      <c r="B11835" t="s">
        <v>3455</v>
      </c>
      <c r="C11835" t="s">
        <v>15045</v>
      </c>
      <c r="D11835" t="s">
        <v>19037</v>
      </c>
      <c r="E11835" t="s">
        <v>29217</v>
      </c>
      <c r="F11835" t="s">
        <v>32831</v>
      </c>
      <c r="G11835" t="s">
        <v>32839</v>
      </c>
      <c r="H11835" t="s">
        <v>32848</v>
      </c>
      <c r="I11835" t="s">
        <v>4487</v>
      </c>
      <c r="J11835" t="s">
        <v>40242</v>
      </c>
      <c r="K11835" t="s">
        <v>42730</v>
      </c>
      <c r="M11835" t="s">
        <v>46796</v>
      </c>
      <c r="N11835" t="s">
        <v>47424</v>
      </c>
      <c r="O11835" t="s">
        <v>47425</v>
      </c>
      <c r="P11835">
        <v>0</v>
      </c>
      <c r="Q11835">
        <v>3</v>
      </c>
      <c r="R11835" t="s">
        <v>47438</v>
      </c>
      <c r="S11835" t="s">
        <v>47793</v>
      </c>
      <c r="T11835" t="s">
        <v>49262</v>
      </c>
      <c r="U11835" t="s">
        <v>59371</v>
      </c>
      <c r="W11835" t="s">
        <v>46796</v>
      </c>
      <c r="X11835" t="s">
        <v>47439</v>
      </c>
    </row>
    <row r="11836" spans="1:24">
      <c r="A11836">
        <f>HYPERLINK("https://www.philgeps.gov.ph/GEPSNONPILOT/Tender/SplashBidNoticeAbstractUI.aspx?menuIndex=3&amp;refID=7144378&amp;Result=3","7144378")</f>
        <v>0</v>
      </c>
      <c r="B11836" t="s">
        <v>3455</v>
      </c>
      <c r="C11836" t="s">
        <v>15046</v>
      </c>
      <c r="D11836" t="s">
        <v>19037</v>
      </c>
      <c r="E11836" t="s">
        <v>29218</v>
      </c>
      <c r="F11836" t="s">
        <v>32831</v>
      </c>
      <c r="G11836" t="s">
        <v>32839</v>
      </c>
      <c r="H11836" t="s">
        <v>32848</v>
      </c>
      <c r="I11836" t="s">
        <v>7751</v>
      </c>
      <c r="J11836" t="s">
        <v>35198</v>
      </c>
      <c r="K11836" t="s">
        <v>42730</v>
      </c>
      <c r="M11836" t="s">
        <v>46796</v>
      </c>
      <c r="N11836" t="s">
        <v>47424</v>
      </c>
      <c r="O11836" t="s">
        <v>47425</v>
      </c>
      <c r="P11836">
        <v>0</v>
      </c>
      <c r="Q11836">
        <v>1</v>
      </c>
      <c r="R11836" t="s">
        <v>47438</v>
      </c>
      <c r="S11836" t="s">
        <v>47793</v>
      </c>
      <c r="T11836" t="s">
        <v>49262</v>
      </c>
      <c r="U11836" t="s">
        <v>59372</v>
      </c>
      <c r="W11836" t="s">
        <v>46796</v>
      </c>
      <c r="X11836" t="s">
        <v>47439</v>
      </c>
    </row>
    <row r="11837" spans="1:24">
      <c r="A11837">
        <f>HYPERLINK("https://www.philgeps.gov.ph/GEPSNONPILOT/Tender/SplashBidNoticeAbstractUI.aspx?menuIndex=3&amp;refID=7144363&amp;Result=3","7144363")</f>
        <v>0</v>
      </c>
      <c r="B11837" t="s">
        <v>3455</v>
      </c>
      <c r="C11837" t="s">
        <v>15047</v>
      </c>
      <c r="D11837" t="s">
        <v>19037</v>
      </c>
      <c r="E11837" t="s">
        <v>29219</v>
      </c>
      <c r="F11837" t="s">
        <v>32831</v>
      </c>
      <c r="G11837" t="s">
        <v>32839</v>
      </c>
      <c r="H11837" t="s">
        <v>32849</v>
      </c>
      <c r="I11837" t="s">
        <v>4177</v>
      </c>
      <c r="J11837" t="s">
        <v>33072</v>
      </c>
      <c r="K11837" t="s">
        <v>42729</v>
      </c>
      <c r="M11837" t="s">
        <v>46796</v>
      </c>
      <c r="N11837" t="s">
        <v>47424</v>
      </c>
      <c r="O11837" t="s">
        <v>47425</v>
      </c>
      <c r="P11837">
        <v>0</v>
      </c>
      <c r="Q11837">
        <v>0</v>
      </c>
      <c r="R11837" t="s">
        <v>47438</v>
      </c>
      <c r="S11837" t="s">
        <v>47793</v>
      </c>
      <c r="T11837" t="s">
        <v>49262</v>
      </c>
      <c r="U11837" t="s">
        <v>59373</v>
      </c>
      <c r="W11837" t="s">
        <v>46796</v>
      </c>
      <c r="X11837" t="s">
        <v>47439</v>
      </c>
    </row>
    <row r="11838" spans="1:24">
      <c r="A11838">
        <f>HYPERLINK("https://www.philgeps.gov.ph/GEPSNONPILOT/Tender/SplashBidNoticeAbstractUI.aspx?menuIndex=3&amp;refID=7144348&amp;Result=3","7144348")</f>
        <v>0</v>
      </c>
      <c r="B11838" t="s">
        <v>3455</v>
      </c>
      <c r="C11838" t="s">
        <v>15048</v>
      </c>
      <c r="D11838" t="s">
        <v>19037</v>
      </c>
      <c r="E11838" t="s">
        <v>29220</v>
      </c>
      <c r="F11838" t="s">
        <v>32831</v>
      </c>
      <c r="G11838" t="s">
        <v>32839</v>
      </c>
      <c r="H11838" t="s">
        <v>32849</v>
      </c>
      <c r="I11838" t="s">
        <v>4177</v>
      </c>
      <c r="J11838" t="s">
        <v>32978</v>
      </c>
      <c r="K11838" t="s">
        <v>42729</v>
      </c>
      <c r="M11838" t="s">
        <v>46796</v>
      </c>
      <c r="N11838" t="s">
        <v>47424</v>
      </c>
      <c r="O11838" t="s">
        <v>47425</v>
      </c>
      <c r="P11838">
        <v>0</v>
      </c>
      <c r="Q11838">
        <v>0</v>
      </c>
      <c r="R11838" t="s">
        <v>47438</v>
      </c>
      <c r="S11838" t="s">
        <v>47793</v>
      </c>
      <c r="T11838" t="s">
        <v>49262</v>
      </c>
      <c r="U11838" t="s">
        <v>59374</v>
      </c>
      <c r="W11838" t="s">
        <v>46796</v>
      </c>
      <c r="X11838" t="s">
        <v>47439</v>
      </c>
    </row>
    <row r="11839" spans="1:24">
      <c r="A11839">
        <f>HYPERLINK("https://www.philgeps.gov.ph/GEPSNONPILOT/Tender/SplashBidNoticeAbstractUI.aspx?menuIndex=3&amp;refID=7144359&amp;Result=3","7144359")</f>
        <v>0</v>
      </c>
      <c r="B11839" t="s">
        <v>731</v>
      </c>
      <c r="C11839" t="s">
        <v>15049</v>
      </c>
      <c r="D11839" t="s">
        <v>19086</v>
      </c>
      <c r="E11839" t="s">
        <v>29221</v>
      </c>
      <c r="F11839" t="s">
        <v>32831</v>
      </c>
      <c r="G11839" t="s">
        <v>32845</v>
      </c>
      <c r="H11839" t="s">
        <v>32848</v>
      </c>
      <c r="I11839" t="s">
        <v>9577</v>
      </c>
      <c r="J11839" t="s">
        <v>40243</v>
      </c>
      <c r="K11839" t="s">
        <v>42727</v>
      </c>
      <c r="M11839" t="s">
        <v>43753</v>
      </c>
      <c r="N11839" t="s">
        <v>47424</v>
      </c>
      <c r="O11839" t="s">
        <v>47425</v>
      </c>
      <c r="P11839">
        <v>0</v>
      </c>
      <c r="Q11839">
        <v>6</v>
      </c>
      <c r="R11839" t="s">
        <v>47438</v>
      </c>
      <c r="S11839" t="s">
        <v>47793</v>
      </c>
      <c r="T11839" t="s">
        <v>49080</v>
      </c>
      <c r="U11839" t="s">
        <v>52530</v>
      </c>
      <c r="W11839" t="s">
        <v>43753</v>
      </c>
      <c r="X11839" t="s">
        <v>47439</v>
      </c>
    </row>
    <row r="11840" spans="1:24">
      <c r="A11840">
        <f>HYPERLINK("https://www.philgeps.gov.ph/GEPSNONPILOT/Tender/SplashBidNoticeAbstractUI.aspx?menuIndex=3&amp;refID=7144357&amp;Result=3","7144357")</f>
        <v>0</v>
      </c>
      <c r="B11840" t="s">
        <v>726</v>
      </c>
      <c r="C11840" t="s">
        <v>15050</v>
      </c>
      <c r="E11840" t="s">
        <v>29222</v>
      </c>
      <c r="F11840" t="s">
        <v>32831</v>
      </c>
      <c r="G11840" t="s">
        <v>32839</v>
      </c>
      <c r="H11840" t="s">
        <v>32848</v>
      </c>
      <c r="I11840" t="s">
        <v>4222</v>
      </c>
      <c r="J11840" t="s">
        <v>40244</v>
      </c>
      <c r="K11840" t="s">
        <v>42732</v>
      </c>
      <c r="M11840" t="s">
        <v>44276</v>
      </c>
      <c r="N11840" t="s">
        <v>47424</v>
      </c>
      <c r="O11840" t="s">
        <v>47425</v>
      </c>
      <c r="P11840">
        <v>0</v>
      </c>
      <c r="Q11840">
        <v>4</v>
      </c>
      <c r="R11840" t="s">
        <v>47438</v>
      </c>
      <c r="S11840" t="s">
        <v>47793</v>
      </c>
      <c r="T11840" t="s">
        <v>49196</v>
      </c>
      <c r="U11840" t="s">
        <v>59375</v>
      </c>
      <c r="W11840" t="s">
        <v>44276</v>
      </c>
      <c r="X11840" t="s">
        <v>47439</v>
      </c>
    </row>
    <row r="11841" spans="1:24">
      <c r="A11841">
        <f>HYPERLINK("https://www.philgeps.gov.ph/GEPSNONPILOT/Tender/SplashBidNoticeAbstractUI.aspx?menuIndex=3&amp;refID=7144371&amp;Result=3","7144371")</f>
        <v>0</v>
      </c>
      <c r="B11841" t="s">
        <v>2235</v>
      </c>
      <c r="C11841" t="s">
        <v>15051</v>
      </c>
      <c r="D11841" t="s">
        <v>19022</v>
      </c>
      <c r="E11841" t="s">
        <v>29223</v>
      </c>
      <c r="F11841" t="s">
        <v>32831</v>
      </c>
      <c r="G11841" t="s">
        <v>32839</v>
      </c>
      <c r="H11841" t="s">
        <v>32849</v>
      </c>
      <c r="I11841" t="s">
        <v>4177</v>
      </c>
      <c r="J11841" t="s">
        <v>40245</v>
      </c>
      <c r="K11841" t="s">
        <v>42839</v>
      </c>
      <c r="M11841" t="s">
        <v>46795</v>
      </c>
      <c r="N11841" t="s">
        <v>47424</v>
      </c>
      <c r="O11841" t="s">
        <v>47425</v>
      </c>
      <c r="P11841">
        <v>0</v>
      </c>
      <c r="Q11841">
        <v>2</v>
      </c>
      <c r="R11841" t="s">
        <v>47438</v>
      </c>
      <c r="S11841" t="s">
        <v>47793</v>
      </c>
      <c r="T11841" t="s">
        <v>49142</v>
      </c>
      <c r="U11841" t="s">
        <v>59312</v>
      </c>
      <c r="W11841" t="s">
        <v>46795</v>
      </c>
      <c r="X11841" t="s">
        <v>47439</v>
      </c>
    </row>
    <row r="11842" spans="1:24">
      <c r="A11842">
        <f>HYPERLINK("https://www.philgeps.gov.ph/GEPSNONPILOT/Tender/SplashBidNoticeAbstractUI.aspx?menuIndex=3&amp;refID=7144514&amp;Result=3","7144514")</f>
        <v>0</v>
      </c>
      <c r="B11842" t="s">
        <v>731</v>
      </c>
      <c r="C11842" t="s">
        <v>15052</v>
      </c>
      <c r="D11842" t="s">
        <v>19086</v>
      </c>
      <c r="E11842" t="s">
        <v>29224</v>
      </c>
      <c r="F11842" t="s">
        <v>32831</v>
      </c>
      <c r="G11842" t="s">
        <v>32839</v>
      </c>
      <c r="H11842" t="s">
        <v>32848</v>
      </c>
      <c r="I11842" t="s">
        <v>4776</v>
      </c>
      <c r="J11842" t="s">
        <v>40246</v>
      </c>
      <c r="K11842" t="s">
        <v>42730</v>
      </c>
      <c r="M11842" t="s">
        <v>43753</v>
      </c>
      <c r="N11842" t="s">
        <v>47424</v>
      </c>
      <c r="O11842" t="s">
        <v>47425</v>
      </c>
      <c r="P11842">
        <v>0</v>
      </c>
      <c r="Q11842">
        <v>5</v>
      </c>
      <c r="R11842" t="s">
        <v>47438</v>
      </c>
      <c r="S11842" t="s">
        <v>47793</v>
      </c>
      <c r="T11842" t="s">
        <v>49059</v>
      </c>
      <c r="U11842" t="s">
        <v>52530</v>
      </c>
      <c r="W11842" t="s">
        <v>43753</v>
      </c>
      <c r="X11842" t="s">
        <v>47439</v>
      </c>
    </row>
    <row r="11843" spans="1:24">
      <c r="A11843">
        <f>HYPERLINK("https://www.philgeps.gov.ph/GEPSNONPILOT/Tender/SplashBidNoticeAbstractUI.aspx?menuIndex=3&amp;refID=7144529&amp;Result=3","7144529")</f>
        <v>0</v>
      </c>
      <c r="B11843" t="s">
        <v>3437</v>
      </c>
      <c r="C11843" t="s">
        <v>15053</v>
      </c>
      <c r="D11843" t="s">
        <v>19085</v>
      </c>
      <c r="E11843" t="s">
        <v>29225</v>
      </c>
      <c r="F11843" t="s">
        <v>32831</v>
      </c>
      <c r="G11843" t="s">
        <v>32839</v>
      </c>
      <c r="H11843" t="s">
        <v>32848</v>
      </c>
      <c r="I11843" t="s">
        <v>32949</v>
      </c>
      <c r="J11843" t="s">
        <v>33241</v>
      </c>
      <c r="K11843" t="s">
        <v>42727</v>
      </c>
      <c r="M11843" t="s">
        <v>46773</v>
      </c>
      <c r="N11843" t="s">
        <v>47424</v>
      </c>
      <c r="O11843" t="s">
        <v>47425</v>
      </c>
      <c r="P11843">
        <v>0</v>
      </c>
      <c r="Q11843">
        <v>3</v>
      </c>
      <c r="R11843" t="s">
        <v>47438</v>
      </c>
      <c r="S11843" t="s">
        <v>47793</v>
      </c>
      <c r="T11843" t="s">
        <v>49063</v>
      </c>
      <c r="U11843" t="s">
        <v>59376</v>
      </c>
      <c r="W11843" t="s">
        <v>46773</v>
      </c>
      <c r="X11843" t="s">
        <v>47439</v>
      </c>
    </row>
    <row r="11844" spans="1:24">
      <c r="A11844">
        <f>HYPERLINK("https://www.philgeps.gov.ph/GEPSNONPILOT/Tender/SplashBidNoticeAbstractUI.aspx?menuIndex=3&amp;refID=7144477&amp;Result=3","7144477")</f>
        <v>0</v>
      </c>
      <c r="B11844" t="s">
        <v>2061</v>
      </c>
      <c r="C11844" t="s">
        <v>15054</v>
      </c>
      <c r="D11844" t="s">
        <v>19045</v>
      </c>
      <c r="E11844" t="s">
        <v>29226</v>
      </c>
      <c r="F11844" t="s">
        <v>32831</v>
      </c>
      <c r="G11844" t="s">
        <v>32839</v>
      </c>
      <c r="H11844" t="s">
        <v>32848</v>
      </c>
      <c r="I11844" t="s">
        <v>32872</v>
      </c>
      <c r="J11844" t="s">
        <v>40247</v>
      </c>
      <c r="K11844" t="s">
        <v>42727</v>
      </c>
      <c r="M11844" t="s">
        <v>46809</v>
      </c>
      <c r="N11844" t="s">
        <v>47424</v>
      </c>
      <c r="O11844" t="s">
        <v>47425</v>
      </c>
      <c r="P11844">
        <v>0</v>
      </c>
      <c r="Q11844">
        <v>2</v>
      </c>
      <c r="R11844" t="s">
        <v>47438</v>
      </c>
      <c r="S11844" t="s">
        <v>47793</v>
      </c>
      <c r="T11844" t="s">
        <v>49597</v>
      </c>
      <c r="U11844" t="s">
        <v>59377</v>
      </c>
      <c r="W11844" t="s">
        <v>46809</v>
      </c>
      <c r="X11844" t="s">
        <v>47439</v>
      </c>
    </row>
    <row r="11845" spans="1:24">
      <c r="A11845">
        <f>HYPERLINK("https://www.philgeps.gov.ph/GEPSNONPILOT/Tender/SplashBidNoticeAbstractUI.aspx?menuIndex=3&amp;refID=7144471&amp;Result=3","7144471")</f>
        <v>0</v>
      </c>
      <c r="B11845" t="s">
        <v>3463</v>
      </c>
      <c r="C11845" t="s">
        <v>15055</v>
      </c>
      <c r="D11845" t="s">
        <v>19061</v>
      </c>
      <c r="E11845" t="s">
        <v>29227</v>
      </c>
      <c r="F11845" t="s">
        <v>32831</v>
      </c>
      <c r="G11845" t="s">
        <v>32839</v>
      </c>
      <c r="H11845" t="s">
        <v>32849</v>
      </c>
      <c r="I11845" t="s">
        <v>32913</v>
      </c>
      <c r="J11845" t="s">
        <v>33118</v>
      </c>
      <c r="K11845" t="s">
        <v>42757</v>
      </c>
      <c r="M11845" t="s">
        <v>46806</v>
      </c>
      <c r="N11845" t="s">
        <v>47424</v>
      </c>
      <c r="O11845" t="s">
        <v>47425</v>
      </c>
      <c r="P11845">
        <v>0</v>
      </c>
      <c r="Q11845">
        <v>7</v>
      </c>
      <c r="R11845" t="s">
        <v>47438</v>
      </c>
      <c r="S11845" t="s">
        <v>47793</v>
      </c>
      <c r="T11845" t="s">
        <v>49427</v>
      </c>
      <c r="U11845" t="s">
        <v>59378</v>
      </c>
      <c r="W11845" t="s">
        <v>46806</v>
      </c>
      <c r="X11845" t="s">
        <v>47439</v>
      </c>
    </row>
    <row r="11846" spans="1:24">
      <c r="A11846">
        <f>HYPERLINK("https://www.philgeps.gov.ph/GEPSNONPILOT/Tender/SplashBidNoticeAbstractUI.aspx?menuIndex=3&amp;refID=7144469&amp;Result=3","7144469")</f>
        <v>0</v>
      </c>
      <c r="B11846" t="s">
        <v>3455</v>
      </c>
      <c r="C11846" t="s">
        <v>15056</v>
      </c>
      <c r="D11846" t="s">
        <v>19037</v>
      </c>
      <c r="E11846" t="s">
        <v>29228</v>
      </c>
      <c r="F11846" t="s">
        <v>32831</v>
      </c>
      <c r="G11846" t="s">
        <v>32839</v>
      </c>
      <c r="H11846" t="s">
        <v>32849</v>
      </c>
      <c r="I11846" t="s">
        <v>4177</v>
      </c>
      <c r="J11846" t="s">
        <v>33087</v>
      </c>
      <c r="K11846" t="s">
        <v>42729</v>
      </c>
      <c r="M11846" t="s">
        <v>46796</v>
      </c>
      <c r="N11846" t="s">
        <v>47424</v>
      </c>
      <c r="O11846" t="s">
        <v>47425</v>
      </c>
      <c r="P11846">
        <v>0</v>
      </c>
      <c r="Q11846">
        <v>0</v>
      </c>
      <c r="R11846" t="s">
        <v>47438</v>
      </c>
      <c r="S11846" t="s">
        <v>47793</v>
      </c>
      <c r="T11846" t="s">
        <v>49262</v>
      </c>
      <c r="U11846" t="s">
        <v>59379</v>
      </c>
      <c r="W11846" t="s">
        <v>46796</v>
      </c>
      <c r="X11846" t="s">
        <v>47439</v>
      </c>
    </row>
    <row r="11847" spans="1:24">
      <c r="A11847">
        <f>HYPERLINK("https://www.philgeps.gov.ph/GEPSNONPILOT/Tender/SplashBidNoticeAbstractUI.aspx?menuIndex=3&amp;refID=7144452&amp;Result=3","7144452")</f>
        <v>0</v>
      </c>
      <c r="B11847" t="s">
        <v>2337</v>
      </c>
      <c r="C11847" t="s">
        <v>15057</v>
      </c>
      <c r="D11847" t="s">
        <v>19038</v>
      </c>
      <c r="E11847" t="s">
        <v>29229</v>
      </c>
      <c r="F11847" t="s">
        <v>32831</v>
      </c>
      <c r="G11847" t="s">
        <v>32839</v>
      </c>
      <c r="H11847" t="s">
        <v>32848</v>
      </c>
      <c r="I11847" t="s">
        <v>32867</v>
      </c>
      <c r="J11847" t="s">
        <v>40248</v>
      </c>
      <c r="K11847" t="s">
        <v>42730</v>
      </c>
      <c r="M11847" t="s">
        <v>45524</v>
      </c>
      <c r="N11847" t="s">
        <v>47424</v>
      </c>
      <c r="O11847" t="s">
        <v>47425</v>
      </c>
      <c r="P11847">
        <v>0</v>
      </c>
      <c r="Q11847">
        <v>10</v>
      </c>
      <c r="R11847" t="s">
        <v>47438</v>
      </c>
      <c r="S11847" t="s">
        <v>47793</v>
      </c>
      <c r="T11847" t="s">
        <v>49172</v>
      </c>
      <c r="U11847" t="s">
        <v>59380</v>
      </c>
      <c r="W11847" t="s">
        <v>45524</v>
      </c>
      <c r="X11847" t="s">
        <v>47439</v>
      </c>
    </row>
    <row r="11848" spans="1:24">
      <c r="A11848">
        <f>HYPERLINK("https://www.philgeps.gov.ph/GEPSNONPILOT/Tender/SplashBidNoticeAbstractUI.aspx?menuIndex=3&amp;refID=7144374&amp;Result=3","7144374")</f>
        <v>0</v>
      </c>
      <c r="B11848" t="s">
        <v>726</v>
      </c>
      <c r="C11848" t="s">
        <v>15058</v>
      </c>
      <c r="E11848" t="s">
        <v>29230</v>
      </c>
      <c r="F11848" t="s">
        <v>32831</v>
      </c>
      <c r="G11848" t="s">
        <v>32839</v>
      </c>
      <c r="H11848" t="s">
        <v>32848</v>
      </c>
      <c r="I11848" t="s">
        <v>32857</v>
      </c>
      <c r="J11848" t="s">
        <v>40249</v>
      </c>
      <c r="K11848" t="s">
        <v>42732</v>
      </c>
      <c r="M11848" t="s">
        <v>44276</v>
      </c>
      <c r="N11848" t="s">
        <v>47424</v>
      </c>
      <c r="O11848" t="s">
        <v>47425</v>
      </c>
      <c r="P11848">
        <v>0</v>
      </c>
      <c r="Q11848">
        <v>3</v>
      </c>
      <c r="R11848" t="s">
        <v>47438</v>
      </c>
      <c r="S11848" t="s">
        <v>47793</v>
      </c>
      <c r="T11848" t="s">
        <v>49196</v>
      </c>
      <c r="U11848" t="s">
        <v>59381</v>
      </c>
      <c r="W11848" t="s">
        <v>44276</v>
      </c>
      <c r="X11848" t="s">
        <v>47439</v>
      </c>
    </row>
    <row r="11849" spans="1:24">
      <c r="A11849">
        <f>HYPERLINK("https://www.philgeps.gov.ph/GEPSNONPILOT/Tender/SplashBidNoticeAbstractUI.aspx?menuIndex=3&amp;refID=7144443&amp;Result=3","7144443")</f>
        <v>0</v>
      </c>
      <c r="B11849" t="s">
        <v>3463</v>
      </c>
      <c r="C11849" t="s">
        <v>15055</v>
      </c>
      <c r="D11849" t="s">
        <v>19061</v>
      </c>
      <c r="E11849" t="s">
        <v>29231</v>
      </c>
      <c r="F11849" t="s">
        <v>32831</v>
      </c>
      <c r="G11849" t="s">
        <v>32839</v>
      </c>
      <c r="H11849" t="s">
        <v>32849</v>
      </c>
      <c r="I11849" t="s">
        <v>32913</v>
      </c>
      <c r="J11849" t="s">
        <v>33257</v>
      </c>
      <c r="K11849" t="s">
        <v>42763</v>
      </c>
      <c r="M11849" t="s">
        <v>46806</v>
      </c>
      <c r="N11849" t="s">
        <v>47424</v>
      </c>
      <c r="O11849" t="s">
        <v>47425</v>
      </c>
      <c r="P11849">
        <v>0</v>
      </c>
      <c r="Q11849">
        <v>7</v>
      </c>
      <c r="R11849" t="s">
        <v>47438</v>
      </c>
      <c r="S11849" t="s">
        <v>47793</v>
      </c>
      <c r="T11849" t="s">
        <v>49427</v>
      </c>
      <c r="U11849" t="s">
        <v>59382</v>
      </c>
      <c r="W11849" t="s">
        <v>46806</v>
      </c>
      <c r="X11849" t="s">
        <v>47439</v>
      </c>
    </row>
    <row r="11850" spans="1:24">
      <c r="A11850">
        <f>HYPERLINK("https://www.philgeps.gov.ph/GEPSNONPILOT/Tender/SplashBidNoticeAbstractUI.aspx?menuIndex=3&amp;refID=7144436&amp;Result=3","7144436")</f>
        <v>0</v>
      </c>
      <c r="B11850" t="s">
        <v>3455</v>
      </c>
      <c r="C11850" t="s">
        <v>15059</v>
      </c>
      <c r="D11850" t="s">
        <v>19037</v>
      </c>
      <c r="E11850" t="s">
        <v>29232</v>
      </c>
      <c r="F11850" t="s">
        <v>32831</v>
      </c>
      <c r="G11850" t="s">
        <v>32839</v>
      </c>
      <c r="H11850" t="s">
        <v>32848</v>
      </c>
      <c r="I11850" t="s">
        <v>32869</v>
      </c>
      <c r="J11850" t="s">
        <v>34348</v>
      </c>
      <c r="K11850" t="s">
        <v>42730</v>
      </c>
      <c r="M11850" t="s">
        <v>46796</v>
      </c>
      <c r="N11850" t="s">
        <v>47424</v>
      </c>
      <c r="O11850" t="s">
        <v>47425</v>
      </c>
      <c r="P11850">
        <v>0</v>
      </c>
      <c r="Q11850">
        <v>2</v>
      </c>
      <c r="R11850" t="s">
        <v>47438</v>
      </c>
      <c r="S11850" t="s">
        <v>47793</v>
      </c>
      <c r="T11850" t="s">
        <v>49262</v>
      </c>
      <c r="U11850" t="s">
        <v>59383</v>
      </c>
      <c r="W11850" t="s">
        <v>46796</v>
      </c>
      <c r="X11850" t="s">
        <v>47439</v>
      </c>
    </row>
    <row r="11851" spans="1:24">
      <c r="A11851">
        <f>HYPERLINK("https://www.philgeps.gov.ph/GEPSNONPILOT/Tender/SplashBidNoticeAbstractUI.aspx?menuIndex=3&amp;refID=7144441&amp;Result=3","7144441")</f>
        <v>0</v>
      </c>
      <c r="B11851" t="s">
        <v>2337</v>
      </c>
      <c r="C11851" t="s">
        <v>15060</v>
      </c>
      <c r="D11851" t="s">
        <v>19038</v>
      </c>
      <c r="E11851" t="s">
        <v>29233</v>
      </c>
      <c r="F11851" t="s">
        <v>32831</v>
      </c>
      <c r="G11851" t="s">
        <v>32839</v>
      </c>
      <c r="H11851" t="s">
        <v>32848</v>
      </c>
      <c r="I11851" t="s">
        <v>32871</v>
      </c>
      <c r="J11851" t="s">
        <v>33283</v>
      </c>
      <c r="K11851" t="s">
        <v>42730</v>
      </c>
      <c r="M11851" t="s">
        <v>45524</v>
      </c>
      <c r="N11851" t="s">
        <v>47424</v>
      </c>
      <c r="O11851" t="s">
        <v>47425</v>
      </c>
      <c r="P11851">
        <v>0</v>
      </c>
      <c r="Q11851">
        <v>5</v>
      </c>
      <c r="R11851" t="s">
        <v>47438</v>
      </c>
      <c r="S11851" t="s">
        <v>47793</v>
      </c>
      <c r="T11851" t="s">
        <v>49172</v>
      </c>
      <c r="U11851" t="s">
        <v>59384</v>
      </c>
      <c r="W11851" t="s">
        <v>45524</v>
      </c>
      <c r="X11851" t="s">
        <v>47439</v>
      </c>
    </row>
    <row r="11852" spans="1:24">
      <c r="A11852">
        <f>HYPERLINK("https://www.philgeps.gov.ph/GEPSNONPILOT/Tender/SplashBidNoticeAbstractUI.aspx?menuIndex=3&amp;refID=7144430&amp;Result=3","7144430")</f>
        <v>0</v>
      </c>
      <c r="B11852" t="s">
        <v>3466</v>
      </c>
      <c r="C11852" t="s">
        <v>15061</v>
      </c>
      <c r="D11852" t="s">
        <v>19017</v>
      </c>
      <c r="E11852" t="s">
        <v>29234</v>
      </c>
      <c r="F11852" t="s">
        <v>32832</v>
      </c>
      <c r="G11852" t="s">
        <v>32839</v>
      </c>
      <c r="H11852" t="s">
        <v>32848</v>
      </c>
      <c r="I11852" t="s">
        <v>4438</v>
      </c>
      <c r="J11852" t="s">
        <v>33338</v>
      </c>
      <c r="K11852" t="s">
        <v>42726</v>
      </c>
      <c r="M11852" t="s">
        <v>46810</v>
      </c>
      <c r="N11852" t="s">
        <v>47424</v>
      </c>
      <c r="O11852" t="s">
        <v>47425</v>
      </c>
      <c r="P11852">
        <v>0</v>
      </c>
      <c r="Q11852">
        <v>3</v>
      </c>
      <c r="R11852" t="s">
        <v>47438</v>
      </c>
      <c r="S11852" t="s">
        <v>47793</v>
      </c>
      <c r="T11852" t="s">
        <v>49056</v>
      </c>
      <c r="U11852" t="s">
        <v>59385</v>
      </c>
      <c r="W11852" t="s">
        <v>46810</v>
      </c>
      <c r="X11852" t="s">
        <v>47439</v>
      </c>
    </row>
    <row r="11853" spans="1:24">
      <c r="A11853">
        <f>HYPERLINK("https://www.philgeps.gov.ph/GEPSNONPILOT/Tender/SplashBidNoticeAbstractUI.aspx?menuIndex=3&amp;refID=7144450&amp;Result=3","7144450")</f>
        <v>0</v>
      </c>
      <c r="B11853" t="s">
        <v>3455</v>
      </c>
      <c r="C11853" t="s">
        <v>15062</v>
      </c>
      <c r="D11853" t="s">
        <v>19037</v>
      </c>
      <c r="E11853" t="s">
        <v>29235</v>
      </c>
      <c r="F11853" t="s">
        <v>32831</v>
      </c>
      <c r="G11853" t="s">
        <v>32839</v>
      </c>
      <c r="H11853" t="s">
        <v>32848</v>
      </c>
      <c r="I11853" t="s">
        <v>32867</v>
      </c>
      <c r="J11853" t="s">
        <v>35715</v>
      </c>
      <c r="K11853" t="s">
        <v>42730</v>
      </c>
      <c r="M11853" t="s">
        <v>46796</v>
      </c>
      <c r="N11853" t="s">
        <v>47424</v>
      </c>
      <c r="O11853" t="s">
        <v>47425</v>
      </c>
      <c r="P11853">
        <v>0</v>
      </c>
      <c r="Q11853">
        <v>6</v>
      </c>
      <c r="R11853" t="s">
        <v>47438</v>
      </c>
      <c r="S11853" t="s">
        <v>47793</v>
      </c>
      <c r="T11853" t="s">
        <v>49262</v>
      </c>
      <c r="U11853" t="s">
        <v>59386</v>
      </c>
      <c r="W11853" t="s">
        <v>46796</v>
      </c>
      <c r="X11853" t="s">
        <v>47439</v>
      </c>
    </row>
    <row r="11854" spans="1:24">
      <c r="A11854">
        <f>HYPERLINK("https://www.philgeps.gov.ph/GEPSNONPILOT/Tender/SplashBidNoticeAbstractUI.aspx?menuIndex=3&amp;refID=7144426&amp;Result=3","7144426")</f>
        <v>0</v>
      </c>
      <c r="B11854" t="s">
        <v>588</v>
      </c>
      <c r="C11854" t="s">
        <v>15063</v>
      </c>
      <c r="E11854" t="s">
        <v>29236</v>
      </c>
      <c r="F11854" t="s">
        <v>32831</v>
      </c>
      <c r="G11854" t="s">
        <v>32839</v>
      </c>
      <c r="H11854" t="s">
        <v>32848</v>
      </c>
      <c r="I11854" t="s">
        <v>4438</v>
      </c>
      <c r="J11854" t="s">
        <v>40250</v>
      </c>
      <c r="K11854" t="s">
        <v>42732</v>
      </c>
      <c r="M11854" t="s">
        <v>43600</v>
      </c>
      <c r="N11854" t="s">
        <v>47424</v>
      </c>
      <c r="O11854" t="s">
        <v>47425</v>
      </c>
      <c r="P11854">
        <v>0</v>
      </c>
      <c r="Q11854">
        <v>2</v>
      </c>
      <c r="R11854" t="s">
        <v>47438</v>
      </c>
      <c r="S11854" t="s">
        <v>47793</v>
      </c>
      <c r="T11854" t="s">
        <v>49069</v>
      </c>
      <c r="U11854" t="s">
        <v>59387</v>
      </c>
      <c r="V11854" t="s">
        <v>63001</v>
      </c>
      <c r="W11854" t="s">
        <v>43600</v>
      </c>
      <c r="X11854" t="s">
        <v>47439</v>
      </c>
    </row>
    <row r="11855" spans="1:24">
      <c r="A11855">
        <f>HYPERLINK("https://www.philgeps.gov.ph/GEPSNONPILOT/Tender/SplashBidNoticeAbstractUI.aspx?menuIndex=3&amp;refID=7144434&amp;Result=3","7144434")</f>
        <v>0</v>
      </c>
      <c r="B11855" t="s">
        <v>2363</v>
      </c>
      <c r="C11855" t="s">
        <v>15064</v>
      </c>
      <c r="D11855" t="s">
        <v>19047</v>
      </c>
      <c r="E11855" t="s">
        <v>29237</v>
      </c>
      <c r="F11855" t="s">
        <v>32831</v>
      </c>
      <c r="G11855" t="s">
        <v>32839</v>
      </c>
      <c r="H11855" t="s">
        <v>32848</v>
      </c>
      <c r="I11855" t="s">
        <v>7751</v>
      </c>
      <c r="J11855" t="s">
        <v>40251</v>
      </c>
      <c r="K11855" t="s">
        <v>42732</v>
      </c>
      <c r="M11855" t="s">
        <v>45553</v>
      </c>
      <c r="N11855" t="s">
        <v>47424</v>
      </c>
      <c r="O11855" t="s">
        <v>47425</v>
      </c>
      <c r="P11855">
        <v>0</v>
      </c>
      <c r="Q11855">
        <v>6</v>
      </c>
      <c r="R11855" t="s">
        <v>47438</v>
      </c>
      <c r="S11855" t="s">
        <v>47793</v>
      </c>
      <c r="T11855" t="s">
        <v>49598</v>
      </c>
      <c r="U11855" t="s">
        <v>59388</v>
      </c>
      <c r="V11855" t="s">
        <v>63931</v>
      </c>
      <c r="W11855" t="s">
        <v>45553</v>
      </c>
      <c r="X11855" t="s">
        <v>47439</v>
      </c>
    </row>
    <row r="11856" spans="1:24">
      <c r="A11856">
        <f>HYPERLINK("https://www.philgeps.gov.ph/GEPSNONPILOT/Tender/SplashBidNoticeAbstractUI.aspx?menuIndex=3&amp;refID=7144422&amp;Result=3","7144422")</f>
        <v>0</v>
      </c>
      <c r="B11856" t="s">
        <v>1374</v>
      </c>
      <c r="C11856" t="s">
        <v>15065</v>
      </c>
      <c r="E11856" t="s">
        <v>29238</v>
      </c>
      <c r="F11856" t="s">
        <v>32831</v>
      </c>
      <c r="G11856" t="s">
        <v>32840</v>
      </c>
      <c r="H11856" t="s">
        <v>32848</v>
      </c>
      <c r="I11856" t="s">
        <v>5379</v>
      </c>
      <c r="J11856" t="s">
        <v>40252</v>
      </c>
      <c r="K11856" t="s">
        <v>42732</v>
      </c>
      <c r="M11856" t="s">
        <v>44455</v>
      </c>
      <c r="N11856" t="s">
        <v>47424</v>
      </c>
      <c r="O11856" t="s">
        <v>47425</v>
      </c>
      <c r="P11856">
        <v>0</v>
      </c>
      <c r="Q11856">
        <v>2</v>
      </c>
      <c r="R11856" t="s">
        <v>47438</v>
      </c>
      <c r="S11856" t="s">
        <v>47793</v>
      </c>
      <c r="T11856" t="s">
        <v>49132</v>
      </c>
      <c r="U11856" t="s">
        <v>59389</v>
      </c>
      <c r="W11856" t="s">
        <v>44455</v>
      </c>
      <c r="X11856" t="s">
        <v>47439</v>
      </c>
    </row>
    <row r="11857" spans="1:24">
      <c r="A11857">
        <f>HYPERLINK("https://www.philgeps.gov.ph/GEPSNONPILOT/Tender/SplashBidNoticeAbstractUI.aspx?menuIndex=3&amp;refID=7144406&amp;Result=3","7144406")</f>
        <v>0</v>
      </c>
      <c r="B11857" t="s">
        <v>2337</v>
      </c>
      <c r="C11857" t="s">
        <v>15066</v>
      </c>
      <c r="D11857" t="s">
        <v>19038</v>
      </c>
      <c r="E11857" t="s">
        <v>29239</v>
      </c>
      <c r="F11857" t="s">
        <v>32831</v>
      </c>
      <c r="G11857" t="s">
        <v>32839</v>
      </c>
      <c r="H11857" t="s">
        <v>32848</v>
      </c>
      <c r="I11857" t="s">
        <v>4438</v>
      </c>
      <c r="J11857" t="s">
        <v>35380</v>
      </c>
      <c r="K11857" t="s">
        <v>42730</v>
      </c>
      <c r="M11857" t="s">
        <v>45524</v>
      </c>
      <c r="N11857" t="s">
        <v>47424</v>
      </c>
      <c r="O11857" t="s">
        <v>47425</v>
      </c>
      <c r="P11857">
        <v>0</v>
      </c>
      <c r="Q11857">
        <v>2</v>
      </c>
      <c r="R11857" t="s">
        <v>47438</v>
      </c>
      <c r="S11857" t="s">
        <v>47793</v>
      </c>
      <c r="T11857" t="s">
        <v>49172</v>
      </c>
      <c r="U11857" t="s">
        <v>59390</v>
      </c>
      <c r="W11857" t="s">
        <v>45524</v>
      </c>
      <c r="X11857" t="s">
        <v>47439</v>
      </c>
    </row>
    <row r="11858" spans="1:24">
      <c r="A11858">
        <f>HYPERLINK("https://www.philgeps.gov.ph/GEPSNONPILOT/Tender/SplashBidNoticeAbstractUI.aspx?menuIndex=3&amp;refID=7144494&amp;Result=3","7144494")</f>
        <v>0</v>
      </c>
      <c r="B11858" t="s">
        <v>2539</v>
      </c>
      <c r="C11858" t="s">
        <v>15067</v>
      </c>
      <c r="D11858" t="s">
        <v>19041</v>
      </c>
      <c r="E11858" t="s">
        <v>29240</v>
      </c>
      <c r="F11858" t="s">
        <v>32831</v>
      </c>
      <c r="G11858" t="s">
        <v>32839</v>
      </c>
      <c r="H11858" t="s">
        <v>32849</v>
      </c>
      <c r="I11858" t="s">
        <v>4177</v>
      </c>
      <c r="J11858" t="s">
        <v>33111</v>
      </c>
      <c r="K11858" t="s">
        <v>42862</v>
      </c>
      <c r="M11858" t="s">
        <v>45749</v>
      </c>
      <c r="N11858" t="s">
        <v>47424</v>
      </c>
      <c r="O11858" t="s">
        <v>47425</v>
      </c>
      <c r="P11858">
        <v>0</v>
      </c>
      <c r="Q11858">
        <v>0</v>
      </c>
      <c r="R11858" t="s">
        <v>47438</v>
      </c>
      <c r="S11858" t="s">
        <v>47793</v>
      </c>
      <c r="T11858" t="s">
        <v>49162</v>
      </c>
      <c r="U11858" t="s">
        <v>59391</v>
      </c>
      <c r="W11858" t="s">
        <v>45749</v>
      </c>
      <c r="X11858" t="s">
        <v>47439</v>
      </c>
    </row>
    <row r="11859" spans="1:24">
      <c r="A11859">
        <f>HYPERLINK("https://www.philgeps.gov.ph/GEPSNONPILOT/Tender/SplashBidNoticeAbstractUI.aspx?menuIndex=3&amp;refID=7144405&amp;Result=3","7144405")</f>
        <v>0</v>
      </c>
      <c r="B11859" t="s">
        <v>3467</v>
      </c>
      <c r="C11859" t="s">
        <v>15068</v>
      </c>
      <c r="D11859" t="s">
        <v>19025</v>
      </c>
      <c r="E11859" t="s">
        <v>19838</v>
      </c>
      <c r="F11859" t="s">
        <v>32831</v>
      </c>
      <c r="G11859" t="s">
        <v>32839</v>
      </c>
      <c r="H11859" t="s">
        <v>32849</v>
      </c>
      <c r="I11859" t="s">
        <v>32919</v>
      </c>
      <c r="J11859" t="s">
        <v>34770</v>
      </c>
      <c r="K11859" t="s">
        <v>42727</v>
      </c>
      <c r="M11859" t="s">
        <v>46811</v>
      </c>
      <c r="N11859" t="s">
        <v>47424</v>
      </c>
      <c r="O11859" t="s">
        <v>47425</v>
      </c>
      <c r="P11859">
        <v>0</v>
      </c>
      <c r="Q11859">
        <v>0</v>
      </c>
      <c r="R11859" t="s">
        <v>47438</v>
      </c>
      <c r="S11859" t="s">
        <v>47793</v>
      </c>
      <c r="T11859" t="s">
        <v>49152</v>
      </c>
      <c r="U11859" t="s">
        <v>59392</v>
      </c>
      <c r="W11859" t="s">
        <v>46811</v>
      </c>
      <c r="X11859" t="s">
        <v>47439</v>
      </c>
    </row>
    <row r="11860" spans="1:24">
      <c r="A11860">
        <f>HYPERLINK("https://www.philgeps.gov.ph/GEPSNONPILOT/Tender/SplashBidNoticeAbstractUI.aspx?menuIndex=3&amp;refID=7144345&amp;Result=3","7144345")</f>
        <v>0</v>
      </c>
      <c r="B11860" t="s">
        <v>3468</v>
      </c>
      <c r="C11860" t="s">
        <v>15069</v>
      </c>
      <c r="D11860" t="s">
        <v>19031</v>
      </c>
      <c r="E11860" t="s">
        <v>29241</v>
      </c>
      <c r="F11860" t="s">
        <v>32831</v>
      </c>
      <c r="G11860" t="s">
        <v>32839</v>
      </c>
      <c r="H11860" t="s">
        <v>32848</v>
      </c>
      <c r="I11860" t="s">
        <v>32855</v>
      </c>
      <c r="J11860" t="s">
        <v>40253</v>
      </c>
      <c r="K11860" t="s">
        <v>42730</v>
      </c>
      <c r="M11860" t="s">
        <v>46812</v>
      </c>
      <c r="N11860" t="s">
        <v>47424</v>
      </c>
      <c r="O11860" t="s">
        <v>47425</v>
      </c>
      <c r="P11860">
        <v>0</v>
      </c>
      <c r="Q11860">
        <v>14</v>
      </c>
      <c r="R11860" t="s">
        <v>47438</v>
      </c>
      <c r="S11860" t="s">
        <v>47793</v>
      </c>
      <c r="T11860" t="s">
        <v>49288</v>
      </c>
      <c r="U11860" t="s">
        <v>59393</v>
      </c>
      <c r="W11860" t="s">
        <v>46812</v>
      </c>
      <c r="X11860" t="s">
        <v>47439</v>
      </c>
    </row>
    <row r="11861" spans="1:24">
      <c r="A11861">
        <f>HYPERLINK("https://www.philgeps.gov.ph/GEPSNONPILOT/Tender/SplashBidNoticeAbstractUI.aspx?menuIndex=3&amp;refID=7144423&amp;Result=3","7144423")</f>
        <v>0</v>
      </c>
      <c r="B11861" t="s">
        <v>3437</v>
      </c>
      <c r="C11861" t="s">
        <v>10139</v>
      </c>
      <c r="D11861" t="s">
        <v>19085</v>
      </c>
      <c r="E11861" t="s">
        <v>29242</v>
      </c>
      <c r="F11861" t="s">
        <v>32831</v>
      </c>
      <c r="G11861" t="s">
        <v>32839</v>
      </c>
      <c r="H11861" t="s">
        <v>32848</v>
      </c>
      <c r="I11861" t="s">
        <v>32857</v>
      </c>
      <c r="J11861" t="s">
        <v>33118</v>
      </c>
      <c r="K11861" t="s">
        <v>42727</v>
      </c>
      <c r="M11861" t="s">
        <v>46773</v>
      </c>
      <c r="N11861" t="s">
        <v>47424</v>
      </c>
      <c r="O11861" t="s">
        <v>47425</v>
      </c>
      <c r="P11861">
        <v>0</v>
      </c>
      <c r="Q11861">
        <v>8</v>
      </c>
      <c r="R11861" t="s">
        <v>47438</v>
      </c>
      <c r="S11861" t="s">
        <v>47793</v>
      </c>
      <c r="T11861" t="s">
        <v>49063</v>
      </c>
      <c r="U11861" t="s">
        <v>59394</v>
      </c>
      <c r="W11861" t="s">
        <v>46773</v>
      </c>
      <c r="X11861" t="s">
        <v>47439</v>
      </c>
    </row>
    <row r="11862" spans="1:24">
      <c r="A11862">
        <f>HYPERLINK("https://www.philgeps.gov.ph/GEPSNONPILOT/Tender/SplashBidNoticeAbstractUI.aspx?menuIndex=3&amp;refID=7144418&amp;Result=3","7144418")</f>
        <v>0</v>
      </c>
      <c r="B11862" t="s">
        <v>3455</v>
      </c>
      <c r="C11862" t="s">
        <v>15070</v>
      </c>
      <c r="D11862" t="s">
        <v>19037</v>
      </c>
      <c r="E11862" t="s">
        <v>29243</v>
      </c>
      <c r="F11862" t="s">
        <v>32831</v>
      </c>
      <c r="G11862" t="s">
        <v>32839</v>
      </c>
      <c r="H11862" t="s">
        <v>32848</v>
      </c>
      <c r="I11862" t="s">
        <v>5379</v>
      </c>
      <c r="J11862" t="s">
        <v>40254</v>
      </c>
      <c r="K11862" t="s">
        <v>42807</v>
      </c>
      <c r="M11862" t="s">
        <v>46796</v>
      </c>
      <c r="N11862" t="s">
        <v>47424</v>
      </c>
      <c r="O11862" t="s">
        <v>47425</v>
      </c>
      <c r="P11862">
        <v>0</v>
      </c>
      <c r="Q11862">
        <v>0</v>
      </c>
      <c r="R11862" t="s">
        <v>47438</v>
      </c>
      <c r="S11862" t="s">
        <v>47793</v>
      </c>
      <c r="T11862" t="s">
        <v>49262</v>
      </c>
      <c r="U11862" t="s">
        <v>59395</v>
      </c>
      <c r="W11862" t="s">
        <v>46796</v>
      </c>
      <c r="X11862" t="s">
        <v>47439</v>
      </c>
    </row>
    <row r="11863" spans="1:24">
      <c r="A11863">
        <f>HYPERLINK("https://www.philgeps.gov.ph/GEPSNONPILOT/Tender/SplashBidNoticeAbstractUI.aspx?menuIndex=3&amp;refID=7144334&amp;Result=3","7144334")</f>
        <v>0</v>
      </c>
      <c r="B11863" t="s">
        <v>3455</v>
      </c>
      <c r="C11863" t="s">
        <v>15071</v>
      </c>
      <c r="D11863" t="s">
        <v>19037</v>
      </c>
      <c r="E11863" t="s">
        <v>29244</v>
      </c>
      <c r="F11863" t="s">
        <v>32831</v>
      </c>
      <c r="G11863" t="s">
        <v>32839</v>
      </c>
      <c r="H11863" t="s">
        <v>32849</v>
      </c>
      <c r="I11863" t="s">
        <v>32852</v>
      </c>
      <c r="J11863" t="s">
        <v>33083</v>
      </c>
      <c r="K11863" t="s">
        <v>42729</v>
      </c>
      <c r="M11863" t="s">
        <v>46796</v>
      </c>
      <c r="N11863" t="s">
        <v>47424</v>
      </c>
      <c r="O11863" t="s">
        <v>47425</v>
      </c>
      <c r="P11863">
        <v>0</v>
      </c>
      <c r="Q11863">
        <v>2</v>
      </c>
      <c r="R11863" t="s">
        <v>47438</v>
      </c>
      <c r="S11863" t="s">
        <v>47793</v>
      </c>
      <c r="T11863" t="s">
        <v>49262</v>
      </c>
      <c r="U11863" t="s">
        <v>59396</v>
      </c>
      <c r="W11863" t="s">
        <v>46796</v>
      </c>
      <c r="X11863" t="s">
        <v>47439</v>
      </c>
    </row>
    <row r="11864" spans="1:24">
      <c r="A11864">
        <f>HYPERLINK("https://www.philgeps.gov.ph/GEPSNONPILOT/Tender/SplashBidNoticeAbstractUI.aspx?menuIndex=3&amp;refID=7144346&amp;Result=3","7144346")</f>
        <v>0</v>
      </c>
      <c r="B11864" t="s">
        <v>1227</v>
      </c>
      <c r="C11864" t="s">
        <v>15072</v>
      </c>
      <c r="D11864" t="s">
        <v>19062</v>
      </c>
      <c r="E11864" t="s">
        <v>29245</v>
      </c>
      <c r="F11864" t="s">
        <v>32831</v>
      </c>
      <c r="G11864" t="s">
        <v>32845</v>
      </c>
      <c r="H11864" t="s">
        <v>32848</v>
      </c>
      <c r="I11864" t="s">
        <v>32859</v>
      </c>
      <c r="J11864" t="s">
        <v>40255</v>
      </c>
      <c r="K11864" t="s">
        <v>42729</v>
      </c>
      <c r="M11864" t="s">
        <v>44296</v>
      </c>
      <c r="N11864" t="s">
        <v>47424</v>
      </c>
      <c r="O11864" t="s">
        <v>47425</v>
      </c>
      <c r="P11864">
        <v>0</v>
      </c>
      <c r="Q11864">
        <v>2</v>
      </c>
      <c r="R11864" t="s">
        <v>47438</v>
      </c>
      <c r="S11864" t="s">
        <v>47793</v>
      </c>
      <c r="T11864" t="s">
        <v>49542</v>
      </c>
      <c r="U11864" t="s">
        <v>59397</v>
      </c>
      <c r="V11864" t="s">
        <v>62932</v>
      </c>
      <c r="W11864" t="s">
        <v>44296</v>
      </c>
      <c r="X11864" t="s">
        <v>47439</v>
      </c>
    </row>
    <row r="11865" spans="1:24">
      <c r="A11865">
        <f>HYPERLINK("https://www.philgeps.gov.ph/GEPSNONPILOT/Tender/SplashBidNoticeAbstractUI.aspx?menuIndex=3&amp;refID=7144502&amp;Result=3","7144502")</f>
        <v>0</v>
      </c>
      <c r="B11865" t="s">
        <v>3463</v>
      </c>
      <c r="C11865" t="s">
        <v>15055</v>
      </c>
      <c r="D11865" t="s">
        <v>19061</v>
      </c>
      <c r="E11865" t="s">
        <v>29246</v>
      </c>
      <c r="F11865" t="s">
        <v>32831</v>
      </c>
      <c r="G11865" t="s">
        <v>32839</v>
      </c>
      <c r="H11865" t="s">
        <v>32849</v>
      </c>
      <c r="I11865" t="s">
        <v>32913</v>
      </c>
      <c r="J11865" t="s">
        <v>33257</v>
      </c>
      <c r="K11865" t="s">
        <v>42763</v>
      </c>
      <c r="M11865" t="s">
        <v>46806</v>
      </c>
      <c r="N11865" t="s">
        <v>47424</v>
      </c>
      <c r="O11865" t="s">
        <v>47425</v>
      </c>
      <c r="P11865">
        <v>0</v>
      </c>
      <c r="Q11865">
        <v>6</v>
      </c>
      <c r="R11865" t="s">
        <v>47438</v>
      </c>
      <c r="S11865" t="s">
        <v>47793</v>
      </c>
      <c r="T11865" t="s">
        <v>49427</v>
      </c>
      <c r="U11865" t="s">
        <v>59398</v>
      </c>
      <c r="W11865" t="s">
        <v>46806</v>
      </c>
      <c r="X11865" t="s">
        <v>47439</v>
      </c>
    </row>
    <row r="11866" spans="1:24">
      <c r="A11866">
        <f>HYPERLINK("https://www.philgeps.gov.ph/GEPSNONPILOT/Tender/SplashBidNoticeAbstractUI.aspx?menuIndex=3&amp;refID=7144338&amp;Result=3","7144338")</f>
        <v>0</v>
      </c>
      <c r="B11866" t="s">
        <v>3469</v>
      </c>
      <c r="C11866" t="s">
        <v>15073</v>
      </c>
      <c r="D11866" t="s">
        <v>19032</v>
      </c>
      <c r="E11866" t="s">
        <v>29247</v>
      </c>
      <c r="F11866" t="s">
        <v>32831</v>
      </c>
      <c r="G11866" t="s">
        <v>32839</v>
      </c>
      <c r="H11866" t="s">
        <v>32848</v>
      </c>
      <c r="I11866" t="s">
        <v>7416</v>
      </c>
      <c r="J11866" t="s">
        <v>40256</v>
      </c>
      <c r="K11866" t="s">
        <v>42748</v>
      </c>
      <c r="M11866" t="s">
        <v>46813</v>
      </c>
      <c r="N11866" t="s">
        <v>47424</v>
      </c>
      <c r="O11866" t="s">
        <v>47425</v>
      </c>
      <c r="Q11866">
        <v>0</v>
      </c>
      <c r="R11866" t="s">
        <v>47438</v>
      </c>
      <c r="S11866" t="s">
        <v>47840</v>
      </c>
      <c r="T11866" t="s">
        <v>49599</v>
      </c>
      <c r="U11866" t="s">
        <v>59399</v>
      </c>
      <c r="W11866" t="s">
        <v>46813</v>
      </c>
      <c r="X11866" t="s">
        <v>47439</v>
      </c>
    </row>
    <row r="11867" spans="1:24">
      <c r="A11867">
        <f>HYPERLINK("https://www.philgeps.gov.ph/GEPSNONPILOT/Tender/SplashBidNoticeAbstractUI.aspx?menuIndex=3&amp;refID=7144164&amp;Result=3","7144164")</f>
        <v>0</v>
      </c>
      <c r="B11867" t="s">
        <v>588</v>
      </c>
      <c r="C11867" t="s">
        <v>15074</v>
      </c>
      <c r="E11867" t="s">
        <v>29248</v>
      </c>
      <c r="F11867" t="s">
        <v>32831</v>
      </c>
      <c r="G11867" t="s">
        <v>32839</v>
      </c>
      <c r="H11867" t="s">
        <v>32848</v>
      </c>
      <c r="I11867" t="s">
        <v>4438</v>
      </c>
      <c r="J11867" t="s">
        <v>40257</v>
      </c>
      <c r="K11867" t="s">
        <v>42732</v>
      </c>
      <c r="M11867" t="s">
        <v>43600</v>
      </c>
      <c r="N11867" t="s">
        <v>47424</v>
      </c>
      <c r="O11867" t="s">
        <v>47425</v>
      </c>
      <c r="P11867">
        <v>0</v>
      </c>
      <c r="Q11867">
        <v>1</v>
      </c>
      <c r="R11867" t="s">
        <v>47438</v>
      </c>
      <c r="S11867" t="s">
        <v>47793</v>
      </c>
      <c r="T11867" t="s">
        <v>49104</v>
      </c>
      <c r="U11867" t="s">
        <v>59400</v>
      </c>
      <c r="V11867" t="s">
        <v>63932</v>
      </c>
      <c r="W11867" t="s">
        <v>43600</v>
      </c>
      <c r="X11867" t="s">
        <v>47439</v>
      </c>
    </row>
    <row r="11868" spans="1:24">
      <c r="A11868">
        <f>HYPERLINK("https://www.philgeps.gov.ph/GEPSNONPILOT/Tender/SplashBidNoticeAbstractUI.aspx?menuIndex=3&amp;refID=7144159&amp;Result=3","7144159")</f>
        <v>0</v>
      </c>
      <c r="B11868" t="s">
        <v>2568</v>
      </c>
      <c r="C11868" t="s">
        <v>15075</v>
      </c>
      <c r="D11868" t="s">
        <v>19073</v>
      </c>
      <c r="E11868" t="s">
        <v>29249</v>
      </c>
      <c r="F11868" t="s">
        <v>32831</v>
      </c>
      <c r="G11868" t="s">
        <v>32838</v>
      </c>
      <c r="H11868" t="s">
        <v>32848</v>
      </c>
      <c r="I11868" t="s">
        <v>32858</v>
      </c>
      <c r="J11868" t="s">
        <v>35054</v>
      </c>
      <c r="K11868" t="s">
        <v>42732</v>
      </c>
      <c r="M11868" t="s">
        <v>45784</v>
      </c>
      <c r="N11868" t="s">
        <v>47424</v>
      </c>
      <c r="O11868" t="s">
        <v>47425</v>
      </c>
      <c r="P11868">
        <v>0</v>
      </c>
      <c r="Q11868">
        <v>0</v>
      </c>
      <c r="R11868" t="s">
        <v>47438</v>
      </c>
      <c r="S11868" t="s">
        <v>47793</v>
      </c>
      <c r="T11868" t="s">
        <v>49079</v>
      </c>
      <c r="U11868" t="s">
        <v>59401</v>
      </c>
      <c r="W11868" t="s">
        <v>45784</v>
      </c>
      <c r="X11868" t="s">
        <v>47439</v>
      </c>
    </row>
    <row r="11869" spans="1:24">
      <c r="A11869">
        <f>HYPERLINK("https://www.philgeps.gov.ph/GEPSNONPILOT/Tender/SplashBidNoticeAbstractUI.aspx?menuIndex=3&amp;refID=7144339&amp;Result=3","7144339")</f>
        <v>0</v>
      </c>
      <c r="B11869" t="s">
        <v>3437</v>
      </c>
      <c r="C11869" t="s">
        <v>15076</v>
      </c>
      <c r="D11869" t="s">
        <v>19085</v>
      </c>
      <c r="E11869" t="s">
        <v>29250</v>
      </c>
      <c r="F11869" t="s">
        <v>32831</v>
      </c>
      <c r="G11869" t="s">
        <v>32839</v>
      </c>
      <c r="H11869" t="s">
        <v>32849</v>
      </c>
      <c r="I11869" t="s">
        <v>4177</v>
      </c>
      <c r="J11869" t="s">
        <v>33279</v>
      </c>
      <c r="K11869" t="s">
        <v>42881</v>
      </c>
      <c r="M11869" t="s">
        <v>46773</v>
      </c>
      <c r="N11869" t="s">
        <v>47424</v>
      </c>
      <c r="O11869" t="s">
        <v>47425</v>
      </c>
      <c r="P11869">
        <v>0</v>
      </c>
      <c r="Q11869">
        <v>0</v>
      </c>
      <c r="R11869" t="s">
        <v>47438</v>
      </c>
      <c r="S11869" t="s">
        <v>47793</v>
      </c>
      <c r="T11869" t="s">
        <v>49063</v>
      </c>
      <c r="U11869" t="s">
        <v>59402</v>
      </c>
      <c r="W11869" t="s">
        <v>46773</v>
      </c>
      <c r="X11869" t="s">
        <v>47439</v>
      </c>
    </row>
    <row r="11870" spans="1:24">
      <c r="A11870">
        <f>HYPERLINK("https://www.philgeps.gov.ph/GEPSNONPILOT/Tender/SplashBidNoticeAbstractUI.aspx?menuIndex=3&amp;refID=7144330&amp;Result=3","7144330")</f>
        <v>0</v>
      </c>
      <c r="B11870" t="s">
        <v>2733</v>
      </c>
      <c r="C11870" t="s">
        <v>15077</v>
      </c>
      <c r="D11870" t="s">
        <v>19034</v>
      </c>
      <c r="E11870" t="s">
        <v>29251</v>
      </c>
      <c r="F11870" t="s">
        <v>32833</v>
      </c>
      <c r="G11870" t="s">
        <v>32843</v>
      </c>
      <c r="H11870" t="s">
        <v>32848</v>
      </c>
      <c r="I11870" t="s">
        <v>4222</v>
      </c>
      <c r="J11870" t="s">
        <v>40258</v>
      </c>
      <c r="K11870" t="s">
        <v>42731</v>
      </c>
      <c r="M11870" t="s">
        <v>45960</v>
      </c>
      <c r="N11870" t="s">
        <v>47424</v>
      </c>
      <c r="O11870" t="s">
        <v>47425</v>
      </c>
      <c r="P11870">
        <v>0</v>
      </c>
      <c r="Q11870">
        <v>0</v>
      </c>
      <c r="R11870" t="s">
        <v>47438</v>
      </c>
      <c r="S11870" t="s">
        <v>47793</v>
      </c>
      <c r="T11870" t="s">
        <v>49056</v>
      </c>
      <c r="U11870" t="s">
        <v>59403</v>
      </c>
      <c r="W11870" t="s">
        <v>45960</v>
      </c>
      <c r="X11870" t="s">
        <v>47439</v>
      </c>
    </row>
    <row r="11871" spans="1:24">
      <c r="A11871">
        <f>HYPERLINK("https://www.philgeps.gov.ph/GEPSNONPILOT/Tender/SplashBidNoticeAbstractUI.aspx?menuIndex=3&amp;refID=7144150&amp;Result=3","7144150")</f>
        <v>0</v>
      </c>
      <c r="B11871" t="s">
        <v>2061</v>
      </c>
      <c r="C11871" t="s">
        <v>15078</v>
      </c>
      <c r="D11871" t="s">
        <v>19045</v>
      </c>
      <c r="E11871" t="s">
        <v>21910</v>
      </c>
      <c r="F11871" t="s">
        <v>32831</v>
      </c>
      <c r="G11871" t="s">
        <v>32839</v>
      </c>
      <c r="H11871" t="s">
        <v>32848</v>
      </c>
      <c r="I11871" t="s">
        <v>7416</v>
      </c>
      <c r="J11871" t="s">
        <v>40259</v>
      </c>
      <c r="K11871" t="s">
        <v>42730</v>
      </c>
      <c r="M11871" t="s">
        <v>46809</v>
      </c>
      <c r="N11871" t="s">
        <v>47424</v>
      </c>
      <c r="O11871" t="s">
        <v>47425</v>
      </c>
      <c r="P11871">
        <v>0</v>
      </c>
      <c r="Q11871">
        <v>1</v>
      </c>
      <c r="R11871" t="s">
        <v>47438</v>
      </c>
      <c r="S11871" t="s">
        <v>47793</v>
      </c>
      <c r="T11871" t="s">
        <v>49288</v>
      </c>
      <c r="U11871" t="s">
        <v>59404</v>
      </c>
      <c r="W11871" t="s">
        <v>46809</v>
      </c>
      <c r="X11871" t="s">
        <v>47439</v>
      </c>
    </row>
    <row r="11872" spans="1:24">
      <c r="A11872">
        <f>HYPERLINK("https://www.philgeps.gov.ph/GEPSNONPILOT/Tender/SplashBidNoticeAbstractUI.aspx?menuIndex=3&amp;refID=7144076&amp;Result=3","7144076")</f>
        <v>0</v>
      </c>
      <c r="B11872" t="s">
        <v>3435</v>
      </c>
      <c r="C11872" t="s">
        <v>15079</v>
      </c>
      <c r="D11872" t="s">
        <v>19022</v>
      </c>
      <c r="E11872" t="s">
        <v>27562</v>
      </c>
      <c r="F11872" t="s">
        <v>32831</v>
      </c>
      <c r="G11872" t="s">
        <v>32839</v>
      </c>
      <c r="H11872" t="s">
        <v>32848</v>
      </c>
      <c r="I11872" t="s">
        <v>32855</v>
      </c>
      <c r="J11872" t="s">
        <v>40260</v>
      </c>
      <c r="K11872" t="s">
        <v>42730</v>
      </c>
      <c r="M11872" t="s">
        <v>46771</v>
      </c>
      <c r="N11872" t="s">
        <v>47424</v>
      </c>
      <c r="O11872" t="s">
        <v>47425</v>
      </c>
      <c r="P11872">
        <v>0</v>
      </c>
      <c r="Q11872">
        <v>2</v>
      </c>
      <c r="R11872" t="s">
        <v>47438</v>
      </c>
      <c r="S11872" t="s">
        <v>47793</v>
      </c>
      <c r="T11872" t="s">
        <v>49089</v>
      </c>
      <c r="U11872" t="s">
        <v>59405</v>
      </c>
      <c r="W11872" t="s">
        <v>46771</v>
      </c>
      <c r="X11872" t="s">
        <v>47439</v>
      </c>
    </row>
    <row r="11873" spans="1:24">
      <c r="A11873">
        <f>HYPERLINK("https://www.philgeps.gov.ph/GEPSNONPILOT/Tender/SplashBidNoticeAbstractUI.aspx?menuIndex=3&amp;refID=7144162&amp;Result=3","7144162")</f>
        <v>0</v>
      </c>
      <c r="B11873" t="s">
        <v>1137</v>
      </c>
      <c r="C11873" t="s">
        <v>15080</v>
      </c>
      <c r="D11873" t="s">
        <v>19020</v>
      </c>
      <c r="E11873" t="s">
        <v>29252</v>
      </c>
      <c r="F11873" t="s">
        <v>32831</v>
      </c>
      <c r="G11873" t="s">
        <v>32839</v>
      </c>
      <c r="H11873" t="s">
        <v>32849</v>
      </c>
      <c r="I11873" t="s">
        <v>4177</v>
      </c>
      <c r="J11873" t="s">
        <v>32978</v>
      </c>
      <c r="K11873" t="s">
        <v>42732</v>
      </c>
      <c r="M11873" t="s">
        <v>44200</v>
      </c>
      <c r="N11873" t="s">
        <v>47424</v>
      </c>
      <c r="O11873" t="s">
        <v>47425</v>
      </c>
      <c r="P11873">
        <v>0</v>
      </c>
      <c r="Q11873">
        <v>0</v>
      </c>
      <c r="R11873" t="s">
        <v>47438</v>
      </c>
      <c r="S11873" t="s">
        <v>47793</v>
      </c>
      <c r="T11873" t="s">
        <v>49063</v>
      </c>
      <c r="U11873" t="s">
        <v>59406</v>
      </c>
      <c r="W11873" t="s">
        <v>44200</v>
      </c>
      <c r="X11873" t="s">
        <v>47439</v>
      </c>
    </row>
    <row r="11874" spans="1:24">
      <c r="A11874">
        <f>HYPERLINK("https://www.philgeps.gov.ph/GEPSNONPILOT/Tender/SplashBidNoticeAbstractUI.aspx?menuIndex=3&amp;refID=7143974&amp;Result=3","7143974")</f>
        <v>0</v>
      </c>
      <c r="B11874" t="s">
        <v>3441</v>
      </c>
      <c r="C11874" t="s">
        <v>15081</v>
      </c>
      <c r="D11874" t="s">
        <v>19094</v>
      </c>
      <c r="E11874" t="s">
        <v>29253</v>
      </c>
      <c r="F11874" t="s">
        <v>32831</v>
      </c>
      <c r="G11874" t="s">
        <v>32839</v>
      </c>
      <c r="H11874" t="s">
        <v>32849</v>
      </c>
      <c r="I11874" t="s">
        <v>4177</v>
      </c>
      <c r="J11874" t="s">
        <v>33017</v>
      </c>
      <c r="K11874" t="s">
        <v>42763</v>
      </c>
      <c r="M11874" t="s">
        <v>46778</v>
      </c>
      <c r="N11874" t="s">
        <v>47424</v>
      </c>
      <c r="O11874" t="s">
        <v>47425</v>
      </c>
      <c r="P11874">
        <v>0</v>
      </c>
      <c r="Q11874">
        <v>0</v>
      </c>
      <c r="R11874" t="s">
        <v>47438</v>
      </c>
      <c r="S11874" t="s">
        <v>47793</v>
      </c>
      <c r="T11874" t="s">
        <v>49159</v>
      </c>
      <c r="U11874" t="s">
        <v>59407</v>
      </c>
      <c r="V11874" t="s">
        <v>63914</v>
      </c>
      <c r="W11874" t="s">
        <v>46778</v>
      </c>
      <c r="X11874" t="s">
        <v>47439</v>
      </c>
    </row>
    <row r="11875" spans="1:24">
      <c r="A11875">
        <f>HYPERLINK("https://www.philgeps.gov.ph/GEPSNONPILOT/Tender/SplashBidNoticeAbstractUI.aspx?menuIndex=3&amp;refID=7143960&amp;Result=3","7143960")</f>
        <v>0</v>
      </c>
      <c r="B11875" t="s">
        <v>2653</v>
      </c>
      <c r="C11875" t="s">
        <v>15082</v>
      </c>
      <c r="D11875" t="s">
        <v>19020</v>
      </c>
      <c r="E11875" t="s">
        <v>29254</v>
      </c>
      <c r="F11875" t="s">
        <v>32831</v>
      </c>
      <c r="G11875" t="s">
        <v>32839</v>
      </c>
      <c r="H11875" t="s">
        <v>32849</v>
      </c>
      <c r="I11875" t="s">
        <v>4177</v>
      </c>
      <c r="J11875" t="s">
        <v>34348</v>
      </c>
      <c r="K11875" t="s">
        <v>42727</v>
      </c>
      <c r="M11875" t="s">
        <v>45876</v>
      </c>
      <c r="N11875" t="s">
        <v>47424</v>
      </c>
      <c r="O11875" t="s">
        <v>47425</v>
      </c>
      <c r="P11875">
        <v>0</v>
      </c>
      <c r="Q11875">
        <v>0</v>
      </c>
      <c r="R11875" t="s">
        <v>47438</v>
      </c>
      <c r="S11875" t="s">
        <v>47793</v>
      </c>
      <c r="T11875" t="s">
        <v>49404</v>
      </c>
      <c r="U11875" t="s">
        <v>59408</v>
      </c>
      <c r="V11875" t="s">
        <v>63933</v>
      </c>
      <c r="W11875" t="s">
        <v>45876</v>
      </c>
      <c r="X11875" t="s">
        <v>47439</v>
      </c>
    </row>
    <row r="11876" spans="1:24">
      <c r="A11876">
        <f>HYPERLINK("https://www.philgeps.gov.ph/GEPSNONPILOT/Tender/SplashBidNoticeAbstractUI.aspx?menuIndex=3&amp;refID=7144158&amp;Result=3","7144158")</f>
        <v>0</v>
      </c>
      <c r="B11876" t="s">
        <v>3455</v>
      </c>
      <c r="C11876" t="s">
        <v>15083</v>
      </c>
      <c r="D11876" t="s">
        <v>19037</v>
      </c>
      <c r="E11876" t="s">
        <v>29255</v>
      </c>
      <c r="F11876" t="s">
        <v>32831</v>
      </c>
      <c r="G11876" t="s">
        <v>32839</v>
      </c>
      <c r="H11876" t="s">
        <v>32849</v>
      </c>
      <c r="I11876" t="s">
        <v>4177</v>
      </c>
      <c r="J11876" t="s">
        <v>40261</v>
      </c>
      <c r="K11876" t="s">
        <v>42729</v>
      </c>
      <c r="M11876" t="s">
        <v>46796</v>
      </c>
      <c r="N11876" t="s">
        <v>47424</v>
      </c>
      <c r="O11876" t="s">
        <v>47425</v>
      </c>
      <c r="P11876">
        <v>0</v>
      </c>
      <c r="Q11876">
        <v>0</v>
      </c>
      <c r="R11876" t="s">
        <v>47438</v>
      </c>
      <c r="S11876" t="s">
        <v>47793</v>
      </c>
      <c r="T11876" t="s">
        <v>49262</v>
      </c>
      <c r="U11876" t="s">
        <v>59409</v>
      </c>
      <c r="W11876" t="s">
        <v>46796</v>
      </c>
      <c r="X11876" t="s">
        <v>47439</v>
      </c>
    </row>
    <row r="11877" spans="1:24">
      <c r="A11877">
        <f>HYPERLINK("https://www.philgeps.gov.ph/GEPSNONPILOT/Tender/SplashBidNoticeAbstractUI.aspx?menuIndex=3&amp;refID=7143953&amp;Result=3","7143953")</f>
        <v>0</v>
      </c>
      <c r="B11877" t="s">
        <v>795</v>
      </c>
      <c r="C11877" t="s">
        <v>15084</v>
      </c>
      <c r="D11877" t="s">
        <v>19045</v>
      </c>
      <c r="E11877" t="s">
        <v>29256</v>
      </c>
      <c r="F11877" t="s">
        <v>32831</v>
      </c>
      <c r="G11877" t="s">
        <v>32839</v>
      </c>
      <c r="H11877" t="s">
        <v>32849</v>
      </c>
      <c r="I11877" t="s">
        <v>4177</v>
      </c>
      <c r="J11877" t="s">
        <v>40262</v>
      </c>
      <c r="K11877" t="s">
        <v>42747</v>
      </c>
      <c r="M11877" t="s">
        <v>43825</v>
      </c>
      <c r="N11877" t="s">
        <v>47424</v>
      </c>
      <c r="O11877" t="s">
        <v>47425</v>
      </c>
      <c r="P11877">
        <v>0</v>
      </c>
      <c r="Q11877">
        <v>9</v>
      </c>
      <c r="R11877" t="s">
        <v>47438</v>
      </c>
      <c r="S11877" t="s">
        <v>47793</v>
      </c>
      <c r="T11877" t="s">
        <v>49057</v>
      </c>
      <c r="U11877" t="s">
        <v>51208</v>
      </c>
      <c r="W11877" t="s">
        <v>43825</v>
      </c>
      <c r="X11877" t="s">
        <v>47439</v>
      </c>
    </row>
    <row r="11878" spans="1:24">
      <c r="A11878">
        <f>HYPERLINK("https://www.philgeps.gov.ph/GEPSNONPILOT/Tender/SplashBidNoticeAbstractUI.aspx?menuIndex=3&amp;refID=7144167&amp;Result=3","7144167")</f>
        <v>0</v>
      </c>
      <c r="B11878" t="s">
        <v>3303</v>
      </c>
      <c r="C11878" t="s">
        <v>15085</v>
      </c>
      <c r="D11878" t="s">
        <v>19038</v>
      </c>
      <c r="E11878" t="s">
        <v>29257</v>
      </c>
      <c r="F11878" t="s">
        <v>32831</v>
      </c>
      <c r="G11878" t="s">
        <v>32839</v>
      </c>
      <c r="H11878" t="s">
        <v>32849</v>
      </c>
      <c r="I11878" t="s">
        <v>4177</v>
      </c>
      <c r="J11878" t="s">
        <v>39715</v>
      </c>
      <c r="K11878" t="s">
        <v>42751</v>
      </c>
      <c r="M11878" t="s">
        <v>46624</v>
      </c>
      <c r="N11878" t="s">
        <v>47424</v>
      </c>
      <c r="O11878" t="s">
        <v>47425</v>
      </c>
      <c r="P11878">
        <v>0</v>
      </c>
      <c r="Q11878">
        <v>1</v>
      </c>
      <c r="R11878" t="s">
        <v>47438</v>
      </c>
      <c r="S11878" t="s">
        <v>47793</v>
      </c>
      <c r="T11878" t="s">
        <v>49057</v>
      </c>
      <c r="U11878" t="s">
        <v>59410</v>
      </c>
      <c r="W11878" t="s">
        <v>46624</v>
      </c>
      <c r="X11878" t="s">
        <v>47439</v>
      </c>
    </row>
    <row r="11879" spans="1:24">
      <c r="A11879">
        <f>HYPERLINK("https://www.philgeps.gov.ph/GEPSNONPILOT/Tender/SplashBidNoticeAbstractUI.aspx?menuIndex=3&amp;refID=7143940&amp;Result=3","7143940")</f>
        <v>0</v>
      </c>
      <c r="B11879" t="s">
        <v>674</v>
      </c>
      <c r="C11879" t="s">
        <v>15086</v>
      </c>
      <c r="D11879" t="s">
        <v>19058</v>
      </c>
      <c r="E11879" t="s">
        <v>29258</v>
      </c>
      <c r="F11879" t="s">
        <v>32831</v>
      </c>
      <c r="G11879" t="s">
        <v>32839</v>
      </c>
      <c r="H11879" t="s">
        <v>32849</v>
      </c>
      <c r="I11879" t="s">
        <v>4177</v>
      </c>
      <c r="J11879" t="s">
        <v>40263</v>
      </c>
      <c r="K11879" t="s">
        <v>42732</v>
      </c>
      <c r="M11879" t="s">
        <v>44520</v>
      </c>
      <c r="N11879" t="s">
        <v>47424</v>
      </c>
      <c r="O11879" t="s">
        <v>47425</v>
      </c>
      <c r="P11879">
        <v>0</v>
      </c>
      <c r="Q11879">
        <v>0</v>
      </c>
      <c r="R11879" t="s">
        <v>47438</v>
      </c>
      <c r="S11879" t="s">
        <v>47793</v>
      </c>
      <c r="T11879" t="s">
        <v>49080</v>
      </c>
      <c r="U11879" t="s">
        <v>59411</v>
      </c>
      <c r="W11879" t="s">
        <v>44520</v>
      </c>
      <c r="X11879" t="s">
        <v>47439</v>
      </c>
    </row>
    <row r="11880" spans="1:24">
      <c r="A11880">
        <f>HYPERLINK("https://www.philgeps.gov.ph/GEPSNONPILOT/Tender/SplashBidNoticeAbstractUI.aspx?menuIndex=3&amp;refID=7144544&amp;Result=3","7144544")</f>
        <v>0</v>
      </c>
      <c r="B11880" t="s">
        <v>3470</v>
      </c>
      <c r="C11880" t="s">
        <v>15087</v>
      </c>
      <c r="D11880" t="s">
        <v>19044</v>
      </c>
      <c r="E11880" t="s">
        <v>29259</v>
      </c>
      <c r="F11880" t="s">
        <v>32831</v>
      </c>
      <c r="G11880" t="s">
        <v>32838</v>
      </c>
      <c r="H11880" t="s">
        <v>32849</v>
      </c>
      <c r="I11880" t="s">
        <v>4177</v>
      </c>
      <c r="J11880" t="s">
        <v>35117</v>
      </c>
      <c r="K11880" t="s">
        <v>42729</v>
      </c>
      <c r="M11880" t="s">
        <v>46814</v>
      </c>
      <c r="N11880" t="s">
        <v>47424</v>
      </c>
      <c r="O11880" t="s">
        <v>47425</v>
      </c>
      <c r="P11880">
        <v>0</v>
      </c>
      <c r="Q11880">
        <v>1</v>
      </c>
      <c r="R11880" t="s">
        <v>47438</v>
      </c>
      <c r="S11880" t="s">
        <v>47793</v>
      </c>
      <c r="T11880" t="s">
        <v>49108</v>
      </c>
      <c r="U11880" t="s">
        <v>59412</v>
      </c>
      <c r="W11880" t="s">
        <v>46814</v>
      </c>
      <c r="X11880" t="s">
        <v>47439</v>
      </c>
    </row>
    <row r="11881" spans="1:24">
      <c r="A11881">
        <f>HYPERLINK("https://www.philgeps.gov.ph/GEPSNONPILOT/Tender/SplashBidNoticeAbstractUI.aspx?menuIndex=3&amp;refID=7144384&amp;Result=3","7144384")</f>
        <v>0</v>
      </c>
      <c r="B11881" t="s">
        <v>3463</v>
      </c>
      <c r="C11881" t="s">
        <v>15055</v>
      </c>
      <c r="D11881" t="s">
        <v>19061</v>
      </c>
      <c r="E11881" t="s">
        <v>29260</v>
      </c>
      <c r="F11881" t="s">
        <v>32831</v>
      </c>
      <c r="G11881" t="s">
        <v>32839</v>
      </c>
      <c r="H11881" t="s">
        <v>32849</v>
      </c>
      <c r="I11881" t="s">
        <v>32913</v>
      </c>
      <c r="J11881" t="s">
        <v>33083</v>
      </c>
      <c r="K11881" t="s">
        <v>42757</v>
      </c>
      <c r="M11881" t="s">
        <v>46806</v>
      </c>
      <c r="N11881" t="s">
        <v>47424</v>
      </c>
      <c r="O11881" t="s">
        <v>47425</v>
      </c>
      <c r="P11881">
        <v>0</v>
      </c>
      <c r="Q11881">
        <v>7</v>
      </c>
      <c r="R11881" t="s">
        <v>47438</v>
      </c>
      <c r="S11881" t="s">
        <v>47793</v>
      </c>
      <c r="T11881" t="s">
        <v>49427</v>
      </c>
      <c r="U11881" t="s">
        <v>59413</v>
      </c>
      <c r="W11881" t="s">
        <v>46806</v>
      </c>
      <c r="X11881" t="s">
        <v>47439</v>
      </c>
    </row>
    <row r="11882" spans="1:24">
      <c r="A11882">
        <f>HYPERLINK("https://www.philgeps.gov.ph/GEPSNONPILOT/Tender/SplashBidNoticeAbstractUI.aspx?menuIndex=3&amp;refID=7144639&amp;Result=3","7144639")</f>
        <v>0</v>
      </c>
      <c r="B11882" t="s">
        <v>3471</v>
      </c>
      <c r="C11882" t="s">
        <v>15088</v>
      </c>
      <c r="D11882" t="s">
        <v>19086</v>
      </c>
      <c r="E11882" t="s">
        <v>29261</v>
      </c>
      <c r="F11882" t="s">
        <v>32831</v>
      </c>
      <c r="G11882" t="s">
        <v>32839</v>
      </c>
      <c r="H11882" t="s">
        <v>32848</v>
      </c>
      <c r="I11882" t="s">
        <v>32874</v>
      </c>
      <c r="J11882" t="s">
        <v>34061</v>
      </c>
      <c r="K11882" t="s">
        <v>42730</v>
      </c>
      <c r="M11882" t="s">
        <v>46815</v>
      </c>
      <c r="N11882" t="s">
        <v>47424</v>
      </c>
      <c r="O11882" t="s">
        <v>47425</v>
      </c>
      <c r="P11882">
        <v>0</v>
      </c>
      <c r="Q11882">
        <v>9</v>
      </c>
      <c r="R11882" t="s">
        <v>47438</v>
      </c>
      <c r="S11882" t="s">
        <v>47793</v>
      </c>
      <c r="T11882" t="s">
        <v>49239</v>
      </c>
      <c r="U11882" t="s">
        <v>59414</v>
      </c>
      <c r="W11882" t="s">
        <v>46815</v>
      </c>
      <c r="X11882" t="s">
        <v>47439</v>
      </c>
    </row>
    <row r="11883" spans="1:24">
      <c r="A11883">
        <f>HYPERLINK("https://www.philgeps.gov.ph/GEPSNONPILOT/Tender/SplashBidNoticeAbstractUI.aspx?menuIndex=3&amp;refID=7144624&amp;Result=3","7144624")</f>
        <v>0</v>
      </c>
      <c r="B11883" t="s">
        <v>83</v>
      </c>
      <c r="C11883" t="s">
        <v>15089</v>
      </c>
      <c r="D11883" t="s">
        <v>19038</v>
      </c>
      <c r="E11883" t="s">
        <v>29262</v>
      </c>
      <c r="F11883" t="s">
        <v>32831</v>
      </c>
      <c r="G11883" t="s">
        <v>32839</v>
      </c>
      <c r="H11883" t="s">
        <v>32849</v>
      </c>
      <c r="I11883" t="s">
        <v>4177</v>
      </c>
      <c r="J11883" t="s">
        <v>40264</v>
      </c>
      <c r="K11883" t="s">
        <v>42747</v>
      </c>
      <c r="M11883" t="s">
        <v>43080</v>
      </c>
      <c r="N11883" t="s">
        <v>47424</v>
      </c>
      <c r="O11883" t="s">
        <v>47425</v>
      </c>
      <c r="P11883">
        <v>0</v>
      </c>
      <c r="Q11883">
        <v>0</v>
      </c>
      <c r="R11883" t="s">
        <v>47438</v>
      </c>
      <c r="S11883" t="s">
        <v>47793</v>
      </c>
      <c r="T11883" t="s">
        <v>49120</v>
      </c>
      <c r="U11883" t="s">
        <v>59358</v>
      </c>
      <c r="W11883" t="s">
        <v>43080</v>
      </c>
      <c r="X11883" t="s">
        <v>47439</v>
      </c>
    </row>
    <row r="11884" spans="1:24">
      <c r="A11884">
        <f>HYPERLINK("https://www.philgeps.gov.ph/GEPSNONPILOT/Tender/SplashBidNoticeAbstractUI.aspx?menuIndex=3&amp;refID=7144623&amp;Result=3","7144623")</f>
        <v>0</v>
      </c>
      <c r="B11884" t="s">
        <v>2363</v>
      </c>
      <c r="C11884" t="s">
        <v>15090</v>
      </c>
      <c r="D11884" t="s">
        <v>19047</v>
      </c>
      <c r="E11884" t="s">
        <v>29263</v>
      </c>
      <c r="F11884" t="s">
        <v>32831</v>
      </c>
      <c r="G11884" t="s">
        <v>32839</v>
      </c>
      <c r="H11884" t="s">
        <v>32848</v>
      </c>
      <c r="I11884" t="s">
        <v>32865</v>
      </c>
      <c r="J11884" t="s">
        <v>35305</v>
      </c>
      <c r="K11884" t="s">
        <v>42732</v>
      </c>
      <c r="M11884" t="s">
        <v>45553</v>
      </c>
      <c r="N11884" t="s">
        <v>47424</v>
      </c>
      <c r="O11884" t="s">
        <v>47425</v>
      </c>
      <c r="P11884">
        <v>0</v>
      </c>
      <c r="Q11884">
        <v>8</v>
      </c>
      <c r="R11884" t="s">
        <v>47438</v>
      </c>
      <c r="S11884" t="s">
        <v>47793</v>
      </c>
      <c r="T11884" t="s">
        <v>49600</v>
      </c>
      <c r="U11884" t="s">
        <v>59415</v>
      </c>
      <c r="V11884" t="s">
        <v>63934</v>
      </c>
      <c r="W11884" t="s">
        <v>45553</v>
      </c>
      <c r="X11884" t="s">
        <v>47439</v>
      </c>
    </row>
    <row r="11885" spans="1:24">
      <c r="A11885">
        <f>HYPERLINK("https://www.philgeps.gov.ph/GEPSNONPILOT/Tender/SplashBidNoticeAbstractUI.aspx?menuIndex=3&amp;refID=7144584&amp;Result=3","7144584")</f>
        <v>0</v>
      </c>
      <c r="B11885" t="s">
        <v>2061</v>
      </c>
      <c r="C11885" t="s">
        <v>15091</v>
      </c>
      <c r="D11885" t="s">
        <v>19045</v>
      </c>
      <c r="E11885" t="s">
        <v>29264</v>
      </c>
      <c r="F11885" t="s">
        <v>32831</v>
      </c>
      <c r="G11885" t="s">
        <v>32839</v>
      </c>
      <c r="H11885" t="s">
        <v>32848</v>
      </c>
      <c r="I11885" t="s">
        <v>4776</v>
      </c>
      <c r="J11885" t="s">
        <v>32980</v>
      </c>
      <c r="K11885" t="s">
        <v>42727</v>
      </c>
      <c r="M11885" t="s">
        <v>46809</v>
      </c>
      <c r="N11885" t="s">
        <v>47424</v>
      </c>
      <c r="O11885" t="s">
        <v>47425</v>
      </c>
      <c r="P11885">
        <v>0</v>
      </c>
      <c r="Q11885">
        <v>11</v>
      </c>
      <c r="R11885" t="s">
        <v>47438</v>
      </c>
      <c r="S11885" t="s">
        <v>47793</v>
      </c>
      <c r="T11885" t="s">
        <v>49597</v>
      </c>
      <c r="U11885" t="s">
        <v>59377</v>
      </c>
      <c r="W11885" t="s">
        <v>46809</v>
      </c>
      <c r="X11885" t="s">
        <v>47439</v>
      </c>
    </row>
    <row r="11886" spans="1:24">
      <c r="A11886">
        <f>HYPERLINK("https://www.philgeps.gov.ph/GEPSNONPILOT/Tender/SplashBidNoticeAbstractUI.aspx?menuIndex=3&amp;refID=7144575&amp;Result=3","7144575")</f>
        <v>0</v>
      </c>
      <c r="B11886" t="s">
        <v>323</v>
      </c>
      <c r="C11886" t="s">
        <v>15092</v>
      </c>
      <c r="D11886" t="s">
        <v>19081</v>
      </c>
      <c r="E11886" t="s">
        <v>29265</v>
      </c>
      <c r="F11886" t="s">
        <v>32831</v>
      </c>
      <c r="G11886" t="s">
        <v>32839</v>
      </c>
      <c r="H11886" t="s">
        <v>32848</v>
      </c>
      <c r="I11886" t="s">
        <v>4177</v>
      </c>
      <c r="J11886" t="s">
        <v>40265</v>
      </c>
      <c r="K11886" t="s">
        <v>42746</v>
      </c>
      <c r="M11886" t="s">
        <v>43326</v>
      </c>
      <c r="N11886" t="s">
        <v>47424</v>
      </c>
      <c r="O11886" t="s">
        <v>47425</v>
      </c>
      <c r="Q11886">
        <v>2</v>
      </c>
      <c r="R11886" t="s">
        <v>47438</v>
      </c>
      <c r="S11886" t="s">
        <v>47841</v>
      </c>
      <c r="T11886" t="s">
        <v>49172</v>
      </c>
      <c r="U11886" t="s">
        <v>59416</v>
      </c>
      <c r="W11886" t="s">
        <v>43326</v>
      </c>
      <c r="X11886" t="s">
        <v>47439</v>
      </c>
    </row>
    <row r="11887" spans="1:24">
      <c r="A11887">
        <f>HYPERLINK("https://www.philgeps.gov.ph/GEPSNONPILOT/Tender/SplashBidNoticeAbstractUI.aspx?menuIndex=3&amp;refID=7144387&amp;Result=3","7144387")</f>
        <v>0</v>
      </c>
      <c r="B11887" t="s">
        <v>3472</v>
      </c>
      <c r="C11887" t="s">
        <v>15093</v>
      </c>
      <c r="D11887" t="s">
        <v>19034</v>
      </c>
      <c r="E11887" t="s">
        <v>29174</v>
      </c>
      <c r="F11887" t="s">
        <v>32831</v>
      </c>
      <c r="G11887" t="s">
        <v>32839</v>
      </c>
      <c r="H11887" t="s">
        <v>32849</v>
      </c>
      <c r="I11887" t="s">
        <v>4177</v>
      </c>
      <c r="J11887" t="s">
        <v>36801</v>
      </c>
      <c r="K11887" t="s">
        <v>42770</v>
      </c>
      <c r="M11887" t="s">
        <v>46816</v>
      </c>
      <c r="N11887" t="s">
        <v>47424</v>
      </c>
      <c r="O11887" t="s">
        <v>47425</v>
      </c>
      <c r="P11887">
        <v>0</v>
      </c>
      <c r="Q11887">
        <v>1</v>
      </c>
      <c r="R11887" t="s">
        <v>47438</v>
      </c>
      <c r="S11887" t="s">
        <v>47793</v>
      </c>
      <c r="T11887" t="s">
        <v>49122</v>
      </c>
      <c r="U11887" t="s">
        <v>59417</v>
      </c>
      <c r="W11887" t="s">
        <v>46816</v>
      </c>
      <c r="X11887" t="s">
        <v>47439</v>
      </c>
    </row>
    <row r="11888" spans="1:24">
      <c r="A11888">
        <f>HYPERLINK("https://www.philgeps.gov.ph/GEPSNONPILOT/Tender/SplashBidNoticeAbstractUI.aspx?menuIndex=3&amp;refID=7144562&amp;Result=3","7144562")</f>
        <v>0</v>
      </c>
      <c r="B11888" t="s">
        <v>3473</v>
      </c>
      <c r="C11888" t="s">
        <v>15094</v>
      </c>
      <c r="D11888" t="s">
        <v>19023</v>
      </c>
      <c r="E11888" t="s">
        <v>29266</v>
      </c>
      <c r="F11888" t="s">
        <v>32831</v>
      </c>
      <c r="G11888" t="s">
        <v>32839</v>
      </c>
      <c r="H11888" t="s">
        <v>32849</v>
      </c>
      <c r="I11888" t="s">
        <v>32889</v>
      </c>
      <c r="J11888" t="s">
        <v>40266</v>
      </c>
      <c r="K11888" t="s">
        <v>42780</v>
      </c>
      <c r="M11888" t="s">
        <v>46817</v>
      </c>
      <c r="N11888" t="s">
        <v>47424</v>
      </c>
      <c r="O11888" t="s">
        <v>47425</v>
      </c>
      <c r="P11888">
        <v>0</v>
      </c>
      <c r="Q11888">
        <v>4</v>
      </c>
      <c r="R11888" t="s">
        <v>47438</v>
      </c>
      <c r="S11888" t="s">
        <v>47793</v>
      </c>
      <c r="T11888" t="s">
        <v>49063</v>
      </c>
      <c r="U11888" t="s">
        <v>59418</v>
      </c>
      <c r="W11888" t="s">
        <v>46817</v>
      </c>
      <c r="X11888" t="s">
        <v>47439</v>
      </c>
    </row>
    <row r="11889" spans="1:24">
      <c r="A11889">
        <f>HYPERLINK("https://www.philgeps.gov.ph/GEPSNONPILOT/Tender/SplashBidNoticeAbstractUI.aspx?menuIndex=3&amp;refID=7144605&amp;Result=3","7144605")</f>
        <v>0</v>
      </c>
      <c r="B11889" t="s">
        <v>3433</v>
      </c>
      <c r="C11889" t="s">
        <v>15095</v>
      </c>
      <c r="D11889" t="s">
        <v>19044</v>
      </c>
      <c r="E11889" t="s">
        <v>29267</v>
      </c>
      <c r="F11889" t="s">
        <v>32831</v>
      </c>
      <c r="G11889" t="s">
        <v>32839</v>
      </c>
      <c r="H11889" t="s">
        <v>32849</v>
      </c>
      <c r="I11889" t="s">
        <v>4177</v>
      </c>
      <c r="J11889" t="s">
        <v>40267</v>
      </c>
      <c r="K11889" t="s">
        <v>42732</v>
      </c>
      <c r="M11889" t="s">
        <v>46768</v>
      </c>
      <c r="N11889" t="s">
        <v>47424</v>
      </c>
      <c r="O11889" t="s">
        <v>47425</v>
      </c>
      <c r="Q11889">
        <v>7</v>
      </c>
      <c r="R11889" t="s">
        <v>47438</v>
      </c>
      <c r="S11889" t="s">
        <v>47842</v>
      </c>
      <c r="T11889" t="s">
        <v>49122</v>
      </c>
      <c r="U11889" t="s">
        <v>59419</v>
      </c>
      <c r="W11889" t="s">
        <v>46768</v>
      </c>
      <c r="X11889" t="s">
        <v>47439</v>
      </c>
    </row>
    <row r="11890" spans="1:24">
      <c r="A11890">
        <f>HYPERLINK("https://www.philgeps.gov.ph/GEPSNONPILOT/Tender/SplashBidNoticeAbstractUI.aspx?menuIndex=3&amp;refID=7144687&amp;Result=3","7144687")</f>
        <v>0</v>
      </c>
      <c r="B11890" t="s">
        <v>1824</v>
      </c>
      <c r="C11890" t="s">
        <v>15096</v>
      </c>
      <c r="D11890" t="s">
        <v>19042</v>
      </c>
      <c r="E11890" t="s">
        <v>29268</v>
      </c>
      <c r="F11890" t="s">
        <v>32831</v>
      </c>
      <c r="G11890" t="s">
        <v>32839</v>
      </c>
      <c r="H11890" t="s">
        <v>32848</v>
      </c>
      <c r="I11890" t="s">
        <v>32931</v>
      </c>
      <c r="J11890" t="s">
        <v>33108</v>
      </c>
      <c r="K11890" t="s">
        <v>42729</v>
      </c>
      <c r="M11890" t="s">
        <v>44957</v>
      </c>
      <c r="N11890" t="s">
        <v>47424</v>
      </c>
      <c r="O11890" t="s">
        <v>47425</v>
      </c>
      <c r="Q11890">
        <v>6</v>
      </c>
      <c r="R11890" t="s">
        <v>47438</v>
      </c>
      <c r="S11890" t="s">
        <v>47843</v>
      </c>
      <c r="T11890" t="s">
        <v>49143</v>
      </c>
      <c r="U11890" t="s">
        <v>59420</v>
      </c>
      <c r="V11890" t="s">
        <v>63935</v>
      </c>
      <c r="W11890" t="s">
        <v>44957</v>
      </c>
      <c r="X11890" t="s">
        <v>47439</v>
      </c>
    </row>
    <row r="11891" spans="1:24">
      <c r="A11891">
        <f>HYPERLINK("https://www.philgeps.gov.ph/GEPSNONPILOT/Tender/SplashBidNoticeAbstractUI.aspx?menuIndex=3&amp;refID=7144592&amp;Result=3","7144592")</f>
        <v>0</v>
      </c>
      <c r="B11891" t="s">
        <v>3331</v>
      </c>
      <c r="C11891" t="s">
        <v>15097</v>
      </c>
      <c r="D11891" t="s">
        <v>19081</v>
      </c>
      <c r="E11891" t="s">
        <v>29269</v>
      </c>
      <c r="F11891" t="s">
        <v>32831</v>
      </c>
      <c r="G11891" t="s">
        <v>32839</v>
      </c>
      <c r="H11891" t="s">
        <v>32848</v>
      </c>
      <c r="I11891" t="s">
        <v>4776</v>
      </c>
      <c r="J11891" t="s">
        <v>33087</v>
      </c>
      <c r="K11891" t="s">
        <v>42727</v>
      </c>
      <c r="M11891" t="s">
        <v>46654</v>
      </c>
      <c r="N11891" t="s">
        <v>47424</v>
      </c>
      <c r="O11891" t="s">
        <v>47425</v>
      </c>
      <c r="P11891">
        <v>0</v>
      </c>
      <c r="Q11891">
        <v>2</v>
      </c>
      <c r="R11891" t="s">
        <v>47438</v>
      </c>
      <c r="S11891" t="s">
        <v>47793</v>
      </c>
      <c r="T11891" t="s">
        <v>49196</v>
      </c>
      <c r="U11891" t="s">
        <v>59421</v>
      </c>
      <c r="W11891" t="s">
        <v>46654</v>
      </c>
      <c r="X11891" t="s">
        <v>47439</v>
      </c>
    </row>
    <row r="11892" spans="1:24">
      <c r="A11892">
        <f>HYPERLINK("https://www.philgeps.gov.ph/GEPSNONPILOT/Tender/SplashBidNoticeAbstractUI.aspx?menuIndex=3&amp;refID=7144678&amp;Result=3","7144678")</f>
        <v>0</v>
      </c>
      <c r="B11892" t="s">
        <v>2061</v>
      </c>
      <c r="C11892" t="s">
        <v>15098</v>
      </c>
      <c r="D11892" t="s">
        <v>19045</v>
      </c>
      <c r="E11892" t="s">
        <v>29270</v>
      </c>
      <c r="F11892" t="s">
        <v>32831</v>
      </c>
      <c r="G11892" t="s">
        <v>32839</v>
      </c>
      <c r="H11892" t="s">
        <v>32848</v>
      </c>
      <c r="I11892" t="s">
        <v>32855</v>
      </c>
      <c r="J11892" t="s">
        <v>40268</v>
      </c>
      <c r="K11892" t="s">
        <v>42727</v>
      </c>
      <c r="M11892" t="s">
        <v>46809</v>
      </c>
      <c r="N11892" t="s">
        <v>47424</v>
      </c>
      <c r="O11892" t="s">
        <v>47425</v>
      </c>
      <c r="P11892">
        <v>0</v>
      </c>
      <c r="Q11892">
        <v>1</v>
      </c>
      <c r="R11892" t="s">
        <v>47438</v>
      </c>
      <c r="S11892" t="s">
        <v>47793</v>
      </c>
      <c r="T11892" t="s">
        <v>49601</v>
      </c>
      <c r="U11892" t="s">
        <v>59377</v>
      </c>
      <c r="W11892" t="s">
        <v>46809</v>
      </c>
      <c r="X11892" t="s">
        <v>47439</v>
      </c>
    </row>
    <row r="11893" spans="1:24">
      <c r="A11893">
        <f>HYPERLINK("https://www.philgeps.gov.ph/GEPSNONPILOT/Tender/SplashBidNoticeAbstractUI.aspx?menuIndex=3&amp;refID=7144548&amp;Result=3","7144548")</f>
        <v>0</v>
      </c>
      <c r="B11893" t="s">
        <v>2539</v>
      </c>
      <c r="C11893" t="s">
        <v>15099</v>
      </c>
      <c r="D11893" t="s">
        <v>19041</v>
      </c>
      <c r="E11893" t="s">
        <v>29271</v>
      </c>
      <c r="F11893" t="s">
        <v>32831</v>
      </c>
      <c r="G11893" t="s">
        <v>32839</v>
      </c>
      <c r="H11893" t="s">
        <v>32848</v>
      </c>
      <c r="I11893" t="s">
        <v>32896</v>
      </c>
      <c r="J11893" t="s">
        <v>36479</v>
      </c>
      <c r="K11893" t="s">
        <v>42727</v>
      </c>
      <c r="M11893" t="s">
        <v>45749</v>
      </c>
      <c r="N11893" t="s">
        <v>47424</v>
      </c>
      <c r="O11893" t="s">
        <v>47425</v>
      </c>
      <c r="P11893">
        <v>0</v>
      </c>
      <c r="Q11893">
        <v>2</v>
      </c>
      <c r="R11893" t="s">
        <v>47438</v>
      </c>
      <c r="S11893" t="s">
        <v>47793</v>
      </c>
      <c r="T11893" t="s">
        <v>49162</v>
      </c>
      <c r="U11893" t="s">
        <v>59422</v>
      </c>
      <c r="W11893" t="s">
        <v>45749</v>
      </c>
      <c r="X11893" t="s">
        <v>47439</v>
      </c>
    </row>
    <row r="11894" spans="1:24">
      <c r="A11894">
        <f>HYPERLINK("https://www.philgeps.gov.ph/GEPSNONPILOT/Tender/SplashBidNoticeAbstractUI.aspx?menuIndex=3&amp;refID=7144667&amp;Result=3","7144667")</f>
        <v>0</v>
      </c>
      <c r="B11894" t="s">
        <v>3474</v>
      </c>
      <c r="C11894" t="s">
        <v>15100</v>
      </c>
      <c r="D11894" t="s">
        <v>19032</v>
      </c>
      <c r="E11894" t="s">
        <v>29272</v>
      </c>
      <c r="F11894" t="s">
        <v>32831</v>
      </c>
      <c r="G11894" t="s">
        <v>32839</v>
      </c>
      <c r="H11894" t="s">
        <v>32848</v>
      </c>
      <c r="I11894" t="s">
        <v>32857</v>
      </c>
      <c r="J11894" t="s">
        <v>40269</v>
      </c>
      <c r="K11894" t="s">
        <v>42730</v>
      </c>
      <c r="M11894" t="s">
        <v>46818</v>
      </c>
      <c r="N11894" t="s">
        <v>47424</v>
      </c>
      <c r="O11894" t="s">
        <v>47425</v>
      </c>
      <c r="P11894">
        <v>0</v>
      </c>
      <c r="Q11894">
        <v>11</v>
      </c>
      <c r="R11894" t="s">
        <v>47438</v>
      </c>
      <c r="S11894" t="s">
        <v>47793</v>
      </c>
      <c r="T11894" t="s">
        <v>49196</v>
      </c>
      <c r="U11894" t="s">
        <v>59423</v>
      </c>
      <c r="W11894" t="s">
        <v>46818</v>
      </c>
      <c r="X11894" t="s">
        <v>47439</v>
      </c>
    </row>
    <row r="11895" spans="1:24">
      <c r="A11895">
        <f>HYPERLINK("https://www.philgeps.gov.ph/GEPSNONPILOT/Tender/SplashBidNoticeAbstractUI.aspx?menuIndex=3&amp;refID=7144660&amp;Result=3","7144660")</f>
        <v>0</v>
      </c>
      <c r="B11895" t="s">
        <v>834</v>
      </c>
      <c r="C11895" t="s">
        <v>15101</v>
      </c>
      <c r="D11895" t="s">
        <v>19046</v>
      </c>
      <c r="E11895" t="s">
        <v>29273</v>
      </c>
      <c r="F11895" t="s">
        <v>32831</v>
      </c>
      <c r="G11895" t="s">
        <v>32839</v>
      </c>
      <c r="H11895" t="s">
        <v>32849</v>
      </c>
      <c r="I11895" t="s">
        <v>4177</v>
      </c>
      <c r="J11895" t="s">
        <v>40270</v>
      </c>
      <c r="K11895" t="s">
        <v>42732</v>
      </c>
      <c r="M11895" t="s">
        <v>43866</v>
      </c>
      <c r="N11895" t="s">
        <v>47424</v>
      </c>
      <c r="O11895" t="s">
        <v>47425</v>
      </c>
      <c r="P11895">
        <v>0</v>
      </c>
      <c r="Q11895">
        <v>1</v>
      </c>
      <c r="R11895" t="s">
        <v>47438</v>
      </c>
      <c r="S11895" t="s">
        <v>47793</v>
      </c>
      <c r="T11895" t="s">
        <v>49059</v>
      </c>
      <c r="U11895" t="s">
        <v>59424</v>
      </c>
      <c r="W11895" t="s">
        <v>43866</v>
      </c>
      <c r="X11895" t="s">
        <v>47439</v>
      </c>
    </row>
    <row r="11896" spans="1:24">
      <c r="A11896">
        <f>HYPERLINK("https://www.philgeps.gov.ph/GEPSNONPILOT/Tender/SplashBidNoticeAbstractUI.aspx?menuIndex=3&amp;refID=7144673&amp;Result=3","7144673")</f>
        <v>0</v>
      </c>
      <c r="B11896" t="s">
        <v>120</v>
      </c>
      <c r="C11896" t="s">
        <v>15102</v>
      </c>
      <c r="D11896" t="s">
        <v>19026</v>
      </c>
      <c r="E11896" t="s">
        <v>29274</v>
      </c>
      <c r="F11896" t="s">
        <v>32831</v>
      </c>
      <c r="G11896" t="s">
        <v>32838</v>
      </c>
      <c r="H11896" t="s">
        <v>32848</v>
      </c>
      <c r="I11896" t="s">
        <v>6526</v>
      </c>
      <c r="J11896" t="s">
        <v>34390</v>
      </c>
      <c r="K11896" t="s">
        <v>42730</v>
      </c>
      <c r="M11896" t="s">
        <v>43117</v>
      </c>
      <c r="N11896" t="s">
        <v>47424</v>
      </c>
      <c r="O11896" t="s">
        <v>47425</v>
      </c>
      <c r="P11896">
        <v>0</v>
      </c>
      <c r="Q11896">
        <v>0</v>
      </c>
      <c r="R11896" t="s">
        <v>47438</v>
      </c>
      <c r="S11896" t="s">
        <v>47793</v>
      </c>
      <c r="T11896" t="s">
        <v>49056</v>
      </c>
      <c r="U11896" t="s">
        <v>59425</v>
      </c>
      <c r="W11896" t="s">
        <v>43117</v>
      </c>
      <c r="X11896" t="s">
        <v>47439</v>
      </c>
    </row>
    <row r="11897" spans="1:24">
      <c r="A11897">
        <f>HYPERLINK("https://www.philgeps.gov.ph/GEPSNONPILOT/Tender/SplashBidNoticeAbstractUI.aspx?menuIndex=3&amp;refID=7144668&amp;Result=3","7144668")</f>
        <v>0</v>
      </c>
      <c r="B11897" t="s">
        <v>3348</v>
      </c>
      <c r="C11897" t="s">
        <v>15103</v>
      </c>
      <c r="D11897" t="s">
        <v>19028</v>
      </c>
      <c r="E11897" t="s">
        <v>29275</v>
      </c>
      <c r="F11897" t="s">
        <v>32831</v>
      </c>
      <c r="G11897" t="s">
        <v>32839</v>
      </c>
      <c r="H11897" t="s">
        <v>32848</v>
      </c>
      <c r="I11897" t="s">
        <v>4776</v>
      </c>
      <c r="J11897" t="s">
        <v>32983</v>
      </c>
      <c r="K11897" t="s">
        <v>42727</v>
      </c>
      <c r="M11897" t="s">
        <v>46671</v>
      </c>
      <c r="N11897" t="s">
        <v>47424</v>
      </c>
      <c r="O11897" t="s">
        <v>47425</v>
      </c>
      <c r="P11897">
        <v>0</v>
      </c>
      <c r="Q11897">
        <v>5</v>
      </c>
      <c r="R11897" t="s">
        <v>47438</v>
      </c>
      <c r="S11897" t="s">
        <v>47793</v>
      </c>
      <c r="T11897" t="s">
        <v>49602</v>
      </c>
      <c r="U11897" t="s">
        <v>59426</v>
      </c>
      <c r="W11897" t="s">
        <v>64544</v>
      </c>
      <c r="X11897" t="s">
        <v>47439</v>
      </c>
    </row>
    <row r="11898" spans="1:24">
      <c r="A11898">
        <f>HYPERLINK("https://www.philgeps.gov.ph/GEPSNONPILOT/Tender/SplashBidNoticeAbstractUI.aspx?menuIndex=3&amp;refID=7144693&amp;Result=3","7144693")</f>
        <v>0</v>
      </c>
      <c r="B11898" t="s">
        <v>3475</v>
      </c>
      <c r="C11898" t="s">
        <v>11630</v>
      </c>
      <c r="D11898" t="s">
        <v>19045</v>
      </c>
      <c r="E11898" t="s">
        <v>29276</v>
      </c>
      <c r="F11898" t="s">
        <v>32831</v>
      </c>
      <c r="G11898" t="s">
        <v>32839</v>
      </c>
      <c r="H11898" t="s">
        <v>32849</v>
      </c>
      <c r="I11898" t="s">
        <v>4177</v>
      </c>
      <c r="J11898" t="s">
        <v>33118</v>
      </c>
      <c r="K11898" t="s">
        <v>42729</v>
      </c>
      <c r="M11898" t="s">
        <v>46819</v>
      </c>
      <c r="N11898" t="s">
        <v>47424</v>
      </c>
      <c r="O11898" t="s">
        <v>47425</v>
      </c>
      <c r="P11898">
        <v>0</v>
      </c>
      <c r="Q11898">
        <v>1</v>
      </c>
      <c r="R11898" t="s">
        <v>47438</v>
      </c>
      <c r="S11898" t="s">
        <v>47793</v>
      </c>
      <c r="T11898" t="s">
        <v>49057</v>
      </c>
      <c r="U11898" t="s">
        <v>59427</v>
      </c>
      <c r="W11898" t="s">
        <v>46819</v>
      </c>
      <c r="X11898" t="s">
        <v>47439</v>
      </c>
    </row>
    <row r="11899" spans="1:24">
      <c r="A11899">
        <f>HYPERLINK("https://www.philgeps.gov.ph/GEPSNONPILOT/Tender/SplashBidNoticeAbstractUI.aspx?menuIndex=3&amp;refID=7144723&amp;Result=3","7144723")</f>
        <v>0</v>
      </c>
      <c r="B11899" t="s">
        <v>834</v>
      </c>
      <c r="C11899" t="s">
        <v>15104</v>
      </c>
      <c r="D11899" t="s">
        <v>19046</v>
      </c>
      <c r="E11899" t="s">
        <v>29277</v>
      </c>
      <c r="F11899" t="s">
        <v>32831</v>
      </c>
      <c r="G11899" t="s">
        <v>32839</v>
      </c>
      <c r="H11899" t="s">
        <v>32849</v>
      </c>
      <c r="I11899" t="s">
        <v>4177</v>
      </c>
      <c r="J11899" t="s">
        <v>40271</v>
      </c>
      <c r="K11899" t="s">
        <v>42732</v>
      </c>
      <c r="M11899" t="s">
        <v>43866</v>
      </c>
      <c r="N11899" t="s">
        <v>47424</v>
      </c>
      <c r="O11899" t="s">
        <v>47425</v>
      </c>
      <c r="P11899">
        <v>0</v>
      </c>
      <c r="Q11899">
        <v>0</v>
      </c>
      <c r="R11899" t="s">
        <v>47438</v>
      </c>
      <c r="S11899" t="s">
        <v>47793</v>
      </c>
      <c r="T11899" t="s">
        <v>49059</v>
      </c>
      <c r="U11899" t="s">
        <v>59428</v>
      </c>
      <c r="W11899" t="s">
        <v>43866</v>
      </c>
      <c r="X11899" t="s">
        <v>47439</v>
      </c>
    </row>
    <row r="11900" spans="1:24">
      <c r="A11900">
        <f>HYPERLINK("https://www.philgeps.gov.ph/GEPSNONPILOT/Tender/SplashBidNoticeAbstractUI.aspx?menuIndex=3&amp;refID=7144719&amp;Result=3","7144719")</f>
        <v>0</v>
      </c>
      <c r="B11900" t="s">
        <v>1506</v>
      </c>
      <c r="C11900" t="s">
        <v>15105</v>
      </c>
      <c r="D11900" t="s">
        <v>19095</v>
      </c>
      <c r="E11900" t="s">
        <v>29278</v>
      </c>
      <c r="F11900" t="s">
        <v>32831</v>
      </c>
      <c r="G11900" t="s">
        <v>32839</v>
      </c>
      <c r="H11900" t="s">
        <v>32848</v>
      </c>
      <c r="I11900" t="s">
        <v>32884</v>
      </c>
      <c r="J11900" t="s">
        <v>34374</v>
      </c>
      <c r="K11900" t="s">
        <v>42730</v>
      </c>
      <c r="M11900" t="s">
        <v>44605</v>
      </c>
      <c r="N11900" t="s">
        <v>47424</v>
      </c>
      <c r="O11900" t="s">
        <v>47425</v>
      </c>
      <c r="Q11900">
        <v>10</v>
      </c>
      <c r="R11900" t="s">
        <v>47438</v>
      </c>
      <c r="S11900" t="s">
        <v>47844</v>
      </c>
      <c r="T11900" t="s">
        <v>49133</v>
      </c>
      <c r="U11900" t="s">
        <v>59429</v>
      </c>
      <c r="W11900" t="s">
        <v>44605</v>
      </c>
      <c r="X11900" t="s">
        <v>47439</v>
      </c>
    </row>
    <row r="11901" spans="1:24">
      <c r="A11901">
        <f>HYPERLINK("https://www.philgeps.gov.ph/GEPSNONPILOT/Tender/SplashBidNoticeAbstractUI.aspx?menuIndex=3&amp;refID=7144707&amp;Result=3","7144707")</f>
        <v>0</v>
      </c>
      <c r="B11901" t="s">
        <v>1149</v>
      </c>
      <c r="C11901" t="s">
        <v>15106</v>
      </c>
      <c r="D11901" t="s">
        <v>19079</v>
      </c>
      <c r="E11901" t="s">
        <v>29279</v>
      </c>
      <c r="F11901" t="s">
        <v>32831</v>
      </c>
      <c r="G11901" t="s">
        <v>32839</v>
      </c>
      <c r="H11901" t="s">
        <v>32848</v>
      </c>
      <c r="I11901" t="s">
        <v>7751</v>
      </c>
      <c r="J11901" t="s">
        <v>37247</v>
      </c>
      <c r="K11901" t="s">
        <v>42731</v>
      </c>
      <c r="M11901" t="s">
        <v>45518</v>
      </c>
      <c r="N11901" t="s">
        <v>47424</v>
      </c>
      <c r="O11901" t="s">
        <v>47425</v>
      </c>
      <c r="P11901">
        <v>0</v>
      </c>
      <c r="Q11901">
        <v>2</v>
      </c>
      <c r="R11901" t="s">
        <v>47438</v>
      </c>
      <c r="S11901" t="s">
        <v>47793</v>
      </c>
      <c r="T11901" t="s">
        <v>49319</v>
      </c>
      <c r="U11901" t="s">
        <v>59430</v>
      </c>
      <c r="W11901" t="s">
        <v>45518</v>
      </c>
      <c r="X11901" t="s">
        <v>47439</v>
      </c>
    </row>
    <row r="11902" spans="1:24">
      <c r="A11902">
        <f>HYPERLINK("https://www.philgeps.gov.ph/GEPSNONPILOT/Tender/SplashBidNoticeAbstractUI.aspx?menuIndex=3&amp;refID=7144706&amp;Result=3","7144706")</f>
        <v>0</v>
      </c>
      <c r="B11902" t="s">
        <v>2363</v>
      </c>
      <c r="C11902" t="s">
        <v>15107</v>
      </c>
      <c r="D11902" t="s">
        <v>19047</v>
      </c>
      <c r="E11902" t="s">
        <v>29280</v>
      </c>
      <c r="F11902" t="s">
        <v>32831</v>
      </c>
      <c r="G11902" t="s">
        <v>32839</v>
      </c>
      <c r="H11902" t="s">
        <v>32848</v>
      </c>
      <c r="I11902" t="s">
        <v>32874</v>
      </c>
      <c r="J11902" t="s">
        <v>40272</v>
      </c>
      <c r="K11902" t="s">
        <v>42732</v>
      </c>
      <c r="M11902" t="s">
        <v>45553</v>
      </c>
      <c r="N11902" t="s">
        <v>47424</v>
      </c>
      <c r="O11902" t="s">
        <v>47425</v>
      </c>
      <c r="P11902">
        <v>0</v>
      </c>
      <c r="Q11902">
        <v>44</v>
      </c>
      <c r="R11902" t="s">
        <v>47438</v>
      </c>
      <c r="S11902" t="s">
        <v>47793</v>
      </c>
      <c r="T11902" t="s">
        <v>49598</v>
      </c>
      <c r="U11902" t="s">
        <v>59431</v>
      </c>
      <c r="V11902" t="s">
        <v>63936</v>
      </c>
      <c r="W11902" t="s">
        <v>45553</v>
      </c>
      <c r="X11902" t="s">
        <v>47439</v>
      </c>
    </row>
    <row r="11903" spans="1:24">
      <c r="A11903">
        <f>HYPERLINK("https://www.philgeps.gov.ph/GEPSNONPILOT/Tender/SplashBidNoticeAbstractUI.aspx?menuIndex=3&amp;refID=7144705&amp;Result=3","7144705")</f>
        <v>0</v>
      </c>
      <c r="B11903" t="s">
        <v>3472</v>
      </c>
      <c r="C11903" t="s">
        <v>10252</v>
      </c>
      <c r="D11903" t="s">
        <v>19034</v>
      </c>
      <c r="E11903" t="s">
        <v>29281</v>
      </c>
      <c r="F11903" t="s">
        <v>32831</v>
      </c>
      <c r="G11903" t="s">
        <v>32839</v>
      </c>
      <c r="H11903" t="s">
        <v>32848</v>
      </c>
      <c r="I11903" t="s">
        <v>9577</v>
      </c>
      <c r="J11903" t="s">
        <v>40273</v>
      </c>
      <c r="K11903" t="s">
        <v>42730</v>
      </c>
      <c r="M11903" t="s">
        <v>46816</v>
      </c>
      <c r="N11903" t="s">
        <v>47424</v>
      </c>
      <c r="O11903" t="s">
        <v>47425</v>
      </c>
      <c r="P11903">
        <v>0</v>
      </c>
      <c r="Q11903">
        <v>0</v>
      </c>
      <c r="R11903" t="s">
        <v>47438</v>
      </c>
      <c r="S11903" t="s">
        <v>47793</v>
      </c>
      <c r="T11903" t="s">
        <v>49080</v>
      </c>
      <c r="U11903" t="s">
        <v>59432</v>
      </c>
      <c r="W11903" t="s">
        <v>46816</v>
      </c>
      <c r="X11903" t="s">
        <v>47439</v>
      </c>
    </row>
    <row r="11904" spans="1:24">
      <c r="A11904">
        <f>HYPERLINK("https://www.philgeps.gov.ph/GEPSNONPILOT/Tender/SplashBidNoticeAbstractUI.aspx?menuIndex=3&amp;refID=7144702&amp;Result=3","7144702")</f>
        <v>0</v>
      </c>
      <c r="B11904" t="s">
        <v>3473</v>
      </c>
      <c r="C11904" t="s">
        <v>15108</v>
      </c>
      <c r="D11904" t="s">
        <v>19023</v>
      </c>
      <c r="E11904" t="s">
        <v>29282</v>
      </c>
      <c r="F11904" t="s">
        <v>32831</v>
      </c>
      <c r="G11904" t="s">
        <v>32839</v>
      </c>
      <c r="H11904" t="s">
        <v>32849</v>
      </c>
      <c r="I11904" t="s">
        <v>32889</v>
      </c>
      <c r="J11904" t="s">
        <v>40274</v>
      </c>
      <c r="K11904" t="s">
        <v>42747</v>
      </c>
      <c r="M11904" t="s">
        <v>46817</v>
      </c>
      <c r="N11904" t="s">
        <v>47424</v>
      </c>
      <c r="O11904" t="s">
        <v>47425</v>
      </c>
      <c r="P11904">
        <v>0</v>
      </c>
      <c r="Q11904">
        <v>3</v>
      </c>
      <c r="R11904" t="s">
        <v>47438</v>
      </c>
      <c r="S11904" t="s">
        <v>47793</v>
      </c>
      <c r="T11904" t="s">
        <v>49542</v>
      </c>
      <c r="U11904" t="s">
        <v>59433</v>
      </c>
      <c r="W11904" t="s">
        <v>46817</v>
      </c>
      <c r="X11904" t="s">
        <v>47439</v>
      </c>
    </row>
    <row r="11905" spans="1:24">
      <c r="A11905">
        <f>HYPERLINK("https://www.philgeps.gov.ph/GEPSNONPILOT/Tender/SplashBidNoticeAbstractUI.aspx?menuIndex=3&amp;refID=7144766&amp;Result=3","7144766")</f>
        <v>0</v>
      </c>
      <c r="B11905" t="s">
        <v>2061</v>
      </c>
      <c r="C11905" t="s">
        <v>15109</v>
      </c>
      <c r="D11905" t="s">
        <v>19045</v>
      </c>
      <c r="E11905" t="s">
        <v>29283</v>
      </c>
      <c r="F11905" t="s">
        <v>32831</v>
      </c>
      <c r="G11905" t="s">
        <v>32839</v>
      </c>
      <c r="H11905" t="s">
        <v>32848</v>
      </c>
      <c r="I11905" t="s">
        <v>32936</v>
      </c>
      <c r="J11905" t="s">
        <v>34348</v>
      </c>
      <c r="K11905" t="s">
        <v>42727</v>
      </c>
      <c r="M11905" t="s">
        <v>46809</v>
      </c>
      <c r="N11905" t="s">
        <v>47424</v>
      </c>
      <c r="O11905" t="s">
        <v>47425</v>
      </c>
      <c r="P11905">
        <v>0</v>
      </c>
      <c r="Q11905">
        <v>0</v>
      </c>
      <c r="R11905" t="s">
        <v>47438</v>
      </c>
      <c r="S11905" t="s">
        <v>47793</v>
      </c>
      <c r="T11905" t="s">
        <v>49597</v>
      </c>
      <c r="U11905" t="s">
        <v>59377</v>
      </c>
      <c r="W11905" t="s">
        <v>46809</v>
      </c>
      <c r="X11905" t="s">
        <v>47439</v>
      </c>
    </row>
    <row r="11906" spans="1:24">
      <c r="A11906">
        <f>HYPERLINK("https://www.philgeps.gov.ph/GEPSNONPILOT/Tender/SplashBidNoticeAbstractUI.aspx?menuIndex=3&amp;refID=7144731&amp;Result=3","7144731")</f>
        <v>0</v>
      </c>
      <c r="B11906" t="s">
        <v>3472</v>
      </c>
      <c r="C11906" t="s">
        <v>15110</v>
      </c>
      <c r="D11906" t="s">
        <v>19034</v>
      </c>
      <c r="E11906" t="s">
        <v>29284</v>
      </c>
      <c r="F11906" t="s">
        <v>32831</v>
      </c>
      <c r="G11906" t="s">
        <v>32839</v>
      </c>
      <c r="H11906" t="s">
        <v>32848</v>
      </c>
      <c r="I11906" t="s">
        <v>32853</v>
      </c>
      <c r="J11906" t="s">
        <v>40275</v>
      </c>
      <c r="K11906" t="s">
        <v>42730</v>
      </c>
      <c r="M11906" t="s">
        <v>46816</v>
      </c>
      <c r="N11906" t="s">
        <v>47424</v>
      </c>
      <c r="O11906" t="s">
        <v>47425</v>
      </c>
      <c r="P11906">
        <v>0</v>
      </c>
      <c r="Q11906">
        <v>0</v>
      </c>
      <c r="R11906" t="s">
        <v>47438</v>
      </c>
      <c r="S11906" t="s">
        <v>47793</v>
      </c>
      <c r="T11906" t="s">
        <v>49080</v>
      </c>
      <c r="U11906" t="s">
        <v>59434</v>
      </c>
      <c r="W11906" t="s">
        <v>46816</v>
      </c>
      <c r="X11906" t="s">
        <v>47439</v>
      </c>
    </row>
    <row r="11907" spans="1:24">
      <c r="A11907">
        <f>HYPERLINK("https://www.philgeps.gov.ph/GEPSNONPILOT/Tender/SplashBidNoticeAbstractUI.aspx?menuIndex=3&amp;refID=7144698&amp;Result=3","7144698")</f>
        <v>0</v>
      </c>
      <c r="B11907" t="s">
        <v>834</v>
      </c>
      <c r="C11907" t="s">
        <v>15111</v>
      </c>
      <c r="D11907" t="s">
        <v>19046</v>
      </c>
      <c r="E11907" t="s">
        <v>29285</v>
      </c>
      <c r="F11907" t="s">
        <v>32831</v>
      </c>
      <c r="G11907" t="s">
        <v>32839</v>
      </c>
      <c r="H11907" t="s">
        <v>32849</v>
      </c>
      <c r="I11907" t="s">
        <v>4177</v>
      </c>
      <c r="J11907" t="s">
        <v>40276</v>
      </c>
      <c r="K11907" t="s">
        <v>42732</v>
      </c>
      <c r="M11907" t="s">
        <v>43866</v>
      </c>
      <c r="N11907" t="s">
        <v>47424</v>
      </c>
      <c r="O11907" t="s">
        <v>47425</v>
      </c>
      <c r="P11907">
        <v>0</v>
      </c>
      <c r="Q11907">
        <v>2</v>
      </c>
      <c r="R11907" t="s">
        <v>47438</v>
      </c>
      <c r="S11907" t="s">
        <v>47793</v>
      </c>
      <c r="T11907" t="s">
        <v>49059</v>
      </c>
      <c r="U11907" t="s">
        <v>59435</v>
      </c>
      <c r="W11907" t="s">
        <v>43866</v>
      </c>
      <c r="X11907" t="s">
        <v>47439</v>
      </c>
    </row>
    <row r="11908" spans="1:24">
      <c r="A11908">
        <f>HYPERLINK("https://www.philgeps.gov.ph/GEPSNONPILOT/Tender/SplashBidNoticeAbstractUI.aspx?menuIndex=3&amp;refID=7144765&amp;Result=3","7144765")</f>
        <v>0</v>
      </c>
      <c r="B11908" t="s">
        <v>103</v>
      </c>
      <c r="C11908" t="s">
        <v>15112</v>
      </c>
      <c r="D11908" t="s">
        <v>19056</v>
      </c>
      <c r="E11908" t="s">
        <v>29286</v>
      </c>
      <c r="F11908" t="s">
        <v>32831</v>
      </c>
      <c r="G11908" t="s">
        <v>32838</v>
      </c>
      <c r="H11908" t="s">
        <v>32848</v>
      </c>
      <c r="I11908" t="s">
        <v>4438</v>
      </c>
      <c r="J11908" t="s">
        <v>35640</v>
      </c>
      <c r="K11908" t="s">
        <v>42742</v>
      </c>
      <c r="L11908" t="s">
        <v>103</v>
      </c>
      <c r="M11908" t="s">
        <v>43100</v>
      </c>
      <c r="N11908" t="s">
        <v>47424</v>
      </c>
      <c r="O11908" t="s">
        <v>47425</v>
      </c>
      <c r="Q11908">
        <v>4</v>
      </c>
      <c r="R11908" t="s">
        <v>47438</v>
      </c>
      <c r="S11908" t="s">
        <v>47829</v>
      </c>
      <c r="T11908" t="s">
        <v>49064</v>
      </c>
      <c r="U11908" t="s">
        <v>49808</v>
      </c>
      <c r="W11908" t="s">
        <v>43100</v>
      </c>
      <c r="X11908" t="s">
        <v>47439</v>
      </c>
    </row>
    <row r="11909" spans="1:24">
      <c r="A11909">
        <f>HYPERLINK("https://www.philgeps.gov.ph/GEPSNONPILOT/Tender/SplashBidNoticeAbstractUI.aspx?menuIndex=3&amp;refID=7144760&amp;Result=3","7144760")</f>
        <v>0</v>
      </c>
      <c r="B11909" t="s">
        <v>213</v>
      </c>
      <c r="C11909" t="s">
        <v>15113</v>
      </c>
      <c r="E11909" t="s">
        <v>29287</v>
      </c>
      <c r="F11909" t="s">
        <v>32831</v>
      </c>
      <c r="G11909" t="s">
        <v>32839</v>
      </c>
      <c r="H11909" t="s">
        <v>32848</v>
      </c>
      <c r="I11909" t="s">
        <v>32875</v>
      </c>
      <c r="J11909" t="s">
        <v>33528</v>
      </c>
      <c r="K11909" t="s">
        <v>42732</v>
      </c>
      <c r="M11909" t="s">
        <v>43554</v>
      </c>
      <c r="N11909" t="s">
        <v>47424</v>
      </c>
      <c r="O11909" t="s">
        <v>47425</v>
      </c>
      <c r="Q11909">
        <v>2</v>
      </c>
      <c r="R11909" t="s">
        <v>47438</v>
      </c>
      <c r="S11909" t="s">
        <v>47845</v>
      </c>
      <c r="T11909" t="s">
        <v>49173</v>
      </c>
      <c r="U11909" t="s">
        <v>59436</v>
      </c>
      <c r="V11909" t="s">
        <v>62750</v>
      </c>
      <c r="W11909" t="s">
        <v>43554</v>
      </c>
      <c r="X11909" t="s">
        <v>47439</v>
      </c>
    </row>
    <row r="11910" spans="1:24">
      <c r="A11910">
        <f>HYPERLINK("https://www.philgeps.gov.ph/GEPSNONPILOT/Tender/SplashBidNoticeAbstractUI.aspx?menuIndex=3&amp;refID=7144761&amp;Result=3","7144761")</f>
        <v>0</v>
      </c>
      <c r="B11910" t="s">
        <v>834</v>
      </c>
      <c r="C11910" t="s">
        <v>15114</v>
      </c>
      <c r="D11910" t="s">
        <v>19046</v>
      </c>
      <c r="E11910" t="s">
        <v>29288</v>
      </c>
      <c r="F11910" t="s">
        <v>32831</v>
      </c>
      <c r="G11910" t="s">
        <v>32839</v>
      </c>
      <c r="H11910" t="s">
        <v>32849</v>
      </c>
      <c r="I11910" t="s">
        <v>4177</v>
      </c>
      <c r="J11910" t="s">
        <v>40277</v>
      </c>
      <c r="K11910" t="s">
        <v>42732</v>
      </c>
      <c r="M11910" t="s">
        <v>43866</v>
      </c>
      <c r="N11910" t="s">
        <v>47424</v>
      </c>
      <c r="O11910" t="s">
        <v>47425</v>
      </c>
      <c r="P11910">
        <v>0</v>
      </c>
      <c r="Q11910">
        <v>1</v>
      </c>
      <c r="R11910" t="s">
        <v>47438</v>
      </c>
      <c r="S11910" t="s">
        <v>47793</v>
      </c>
      <c r="T11910" t="s">
        <v>49059</v>
      </c>
      <c r="U11910" t="s">
        <v>59437</v>
      </c>
      <c r="W11910" t="s">
        <v>43866</v>
      </c>
      <c r="X11910" t="s">
        <v>47439</v>
      </c>
    </row>
    <row r="11911" spans="1:24">
      <c r="A11911">
        <f>HYPERLINK("https://www.philgeps.gov.ph/GEPSNONPILOT/Tender/SplashBidNoticeAbstractUI.aspx?menuIndex=3&amp;refID=7144722&amp;Result=3","7144722")</f>
        <v>0</v>
      </c>
      <c r="B11911" t="s">
        <v>1824</v>
      </c>
      <c r="C11911" t="s">
        <v>15115</v>
      </c>
      <c r="D11911" t="s">
        <v>19042</v>
      </c>
      <c r="E11911" t="s">
        <v>29289</v>
      </c>
      <c r="F11911" t="s">
        <v>32831</v>
      </c>
      <c r="G11911" t="s">
        <v>32839</v>
      </c>
      <c r="H11911" t="s">
        <v>32848</v>
      </c>
      <c r="I11911" t="s">
        <v>32931</v>
      </c>
      <c r="J11911" t="s">
        <v>40278</v>
      </c>
      <c r="K11911" t="s">
        <v>42729</v>
      </c>
      <c r="M11911" t="s">
        <v>44957</v>
      </c>
      <c r="N11911" t="s">
        <v>47424</v>
      </c>
      <c r="O11911" t="s">
        <v>47425</v>
      </c>
      <c r="P11911">
        <v>0</v>
      </c>
      <c r="Q11911">
        <v>4</v>
      </c>
      <c r="R11911" t="s">
        <v>47438</v>
      </c>
      <c r="S11911" t="s">
        <v>47793</v>
      </c>
      <c r="T11911" t="s">
        <v>49242</v>
      </c>
      <c r="U11911" t="s">
        <v>59438</v>
      </c>
      <c r="V11911" t="s">
        <v>63937</v>
      </c>
      <c r="W11911" t="s">
        <v>44957</v>
      </c>
      <c r="X11911" t="s">
        <v>47439</v>
      </c>
    </row>
    <row r="11912" spans="1:24">
      <c r="A11912">
        <f>HYPERLINK("https://www.philgeps.gov.ph/GEPSNONPILOT/Tender/SplashBidNoticeAbstractUI.aspx?menuIndex=3&amp;refID=7144742&amp;Result=3","7144742")</f>
        <v>0</v>
      </c>
      <c r="B11912" t="s">
        <v>834</v>
      </c>
      <c r="C11912" t="s">
        <v>15116</v>
      </c>
      <c r="D11912" t="s">
        <v>19046</v>
      </c>
      <c r="E11912" t="s">
        <v>29290</v>
      </c>
      <c r="F11912" t="s">
        <v>32831</v>
      </c>
      <c r="G11912" t="s">
        <v>32839</v>
      </c>
      <c r="H11912" t="s">
        <v>32849</v>
      </c>
      <c r="I11912" t="s">
        <v>4177</v>
      </c>
      <c r="J11912" t="s">
        <v>40279</v>
      </c>
      <c r="K11912" t="s">
        <v>42732</v>
      </c>
      <c r="M11912" t="s">
        <v>43866</v>
      </c>
      <c r="N11912" t="s">
        <v>47424</v>
      </c>
      <c r="O11912" t="s">
        <v>47425</v>
      </c>
      <c r="P11912">
        <v>0</v>
      </c>
      <c r="Q11912">
        <v>0</v>
      </c>
      <c r="R11912" t="s">
        <v>47438</v>
      </c>
      <c r="S11912" t="s">
        <v>47793</v>
      </c>
      <c r="T11912" t="s">
        <v>49059</v>
      </c>
      <c r="U11912" t="s">
        <v>59439</v>
      </c>
      <c r="W11912" t="s">
        <v>43866</v>
      </c>
      <c r="X11912" t="s">
        <v>47439</v>
      </c>
    </row>
    <row r="11913" spans="1:24">
      <c r="A11913">
        <f>HYPERLINK("https://www.philgeps.gov.ph/GEPSNONPILOT/Tender/SplashBidNoticeAbstractUI.aspx?menuIndex=3&amp;refID=7144749&amp;Result=3","7144749")</f>
        <v>0</v>
      </c>
      <c r="B11913" t="s">
        <v>834</v>
      </c>
      <c r="C11913" t="s">
        <v>15117</v>
      </c>
      <c r="D11913" t="s">
        <v>19046</v>
      </c>
      <c r="E11913" t="s">
        <v>29291</v>
      </c>
      <c r="F11913" t="s">
        <v>32831</v>
      </c>
      <c r="G11913" t="s">
        <v>32839</v>
      </c>
      <c r="H11913" t="s">
        <v>32849</v>
      </c>
      <c r="I11913" t="s">
        <v>4177</v>
      </c>
      <c r="J11913" t="s">
        <v>40280</v>
      </c>
      <c r="K11913" t="s">
        <v>42732</v>
      </c>
      <c r="M11913" t="s">
        <v>43866</v>
      </c>
      <c r="N11913" t="s">
        <v>47424</v>
      </c>
      <c r="O11913" t="s">
        <v>47425</v>
      </c>
      <c r="P11913">
        <v>0</v>
      </c>
      <c r="Q11913">
        <v>0</v>
      </c>
      <c r="R11913" t="s">
        <v>47438</v>
      </c>
      <c r="S11913" t="s">
        <v>47793</v>
      </c>
      <c r="T11913" t="s">
        <v>49059</v>
      </c>
      <c r="U11913" t="s">
        <v>59440</v>
      </c>
      <c r="W11913" t="s">
        <v>43866</v>
      </c>
      <c r="X11913" t="s">
        <v>47439</v>
      </c>
    </row>
    <row r="11914" spans="1:24">
      <c r="A11914">
        <f>HYPERLINK("https://www.philgeps.gov.ph/GEPSNONPILOT/Tender/SplashBidNoticeAbstractUI.aspx?menuIndex=3&amp;refID=7144741&amp;Result=3","7144741")</f>
        <v>0</v>
      </c>
      <c r="B11914" t="s">
        <v>1506</v>
      </c>
      <c r="C11914" t="s">
        <v>15118</v>
      </c>
      <c r="D11914" t="s">
        <v>19095</v>
      </c>
      <c r="E11914" t="s">
        <v>29292</v>
      </c>
      <c r="F11914" t="s">
        <v>32831</v>
      </c>
      <c r="G11914" t="s">
        <v>32839</v>
      </c>
      <c r="H11914" t="s">
        <v>32848</v>
      </c>
      <c r="I11914" t="s">
        <v>32884</v>
      </c>
      <c r="J11914" t="s">
        <v>40281</v>
      </c>
      <c r="K11914" t="s">
        <v>42730</v>
      </c>
      <c r="M11914" t="s">
        <v>44605</v>
      </c>
      <c r="N11914" t="s">
        <v>47424</v>
      </c>
      <c r="O11914" t="s">
        <v>47425</v>
      </c>
      <c r="Q11914">
        <v>7</v>
      </c>
      <c r="R11914" t="s">
        <v>47438</v>
      </c>
      <c r="S11914" t="s">
        <v>47846</v>
      </c>
      <c r="T11914" t="s">
        <v>49133</v>
      </c>
      <c r="U11914" t="s">
        <v>59441</v>
      </c>
      <c r="W11914" t="s">
        <v>44605</v>
      </c>
      <c r="X11914" t="s">
        <v>47439</v>
      </c>
    </row>
    <row r="11915" spans="1:24">
      <c r="A11915">
        <f>HYPERLINK("https://www.philgeps.gov.ph/GEPSNONPILOT/Tender/SplashBidNoticeAbstractUI.aspx?menuIndex=3&amp;refID=7144767&amp;Result=3","7144767")</f>
        <v>0</v>
      </c>
      <c r="B11915" t="s">
        <v>3472</v>
      </c>
      <c r="C11915" t="s">
        <v>15119</v>
      </c>
      <c r="D11915" t="s">
        <v>19034</v>
      </c>
      <c r="E11915" t="s">
        <v>29293</v>
      </c>
      <c r="F11915" t="s">
        <v>32831</v>
      </c>
      <c r="G11915" t="s">
        <v>32839</v>
      </c>
      <c r="H11915" t="s">
        <v>32848</v>
      </c>
      <c r="I11915" t="s">
        <v>32874</v>
      </c>
      <c r="J11915" t="s">
        <v>40282</v>
      </c>
      <c r="K11915" t="s">
        <v>42730</v>
      </c>
      <c r="M11915" t="s">
        <v>46816</v>
      </c>
      <c r="N11915" t="s">
        <v>47424</v>
      </c>
      <c r="O11915" t="s">
        <v>47425</v>
      </c>
      <c r="P11915">
        <v>0</v>
      </c>
      <c r="Q11915">
        <v>8</v>
      </c>
      <c r="R11915" t="s">
        <v>47438</v>
      </c>
      <c r="S11915" t="s">
        <v>47793</v>
      </c>
      <c r="T11915" t="s">
        <v>49080</v>
      </c>
      <c r="U11915" t="s">
        <v>59442</v>
      </c>
      <c r="W11915" t="s">
        <v>46816</v>
      </c>
      <c r="X11915" t="s">
        <v>47439</v>
      </c>
    </row>
    <row r="11916" spans="1:24">
      <c r="A11916">
        <f>HYPERLINK("https://www.philgeps.gov.ph/GEPSNONPILOT/Tender/SplashBidNoticeAbstractUI.aspx?menuIndex=3&amp;refID=7144635&amp;Result=3","7144635")</f>
        <v>0</v>
      </c>
      <c r="B11916" t="s">
        <v>1877</v>
      </c>
      <c r="C11916" t="s">
        <v>15120</v>
      </c>
      <c r="D11916" t="s">
        <v>19043</v>
      </c>
      <c r="E11916" t="s">
        <v>29294</v>
      </c>
      <c r="F11916" t="s">
        <v>32831</v>
      </c>
      <c r="G11916" t="s">
        <v>32839</v>
      </c>
      <c r="H11916" t="s">
        <v>32848</v>
      </c>
      <c r="I11916" t="s">
        <v>4487</v>
      </c>
      <c r="J11916" t="s">
        <v>40283</v>
      </c>
      <c r="K11916" t="s">
        <v>42730</v>
      </c>
      <c r="M11916" t="s">
        <v>45021</v>
      </c>
      <c r="N11916" t="s">
        <v>47424</v>
      </c>
      <c r="O11916" t="s">
        <v>47425</v>
      </c>
      <c r="P11916">
        <v>0</v>
      </c>
      <c r="Q11916">
        <v>8</v>
      </c>
      <c r="R11916" t="s">
        <v>47438</v>
      </c>
      <c r="S11916" t="s">
        <v>47793</v>
      </c>
      <c r="T11916" t="s">
        <v>49160</v>
      </c>
      <c r="U11916" t="s">
        <v>59443</v>
      </c>
      <c r="V11916" t="s">
        <v>62833</v>
      </c>
      <c r="W11916" t="s">
        <v>45021</v>
      </c>
      <c r="X11916" t="s">
        <v>47439</v>
      </c>
    </row>
    <row r="11917" spans="1:24">
      <c r="A11917">
        <f>HYPERLINK("https://www.philgeps.gov.ph/GEPSNONPILOT/Tender/SplashBidNoticeAbstractUI.aspx?menuIndex=3&amp;refID=7144831&amp;Result=3","7144831")</f>
        <v>0</v>
      </c>
      <c r="B11917" t="s">
        <v>3476</v>
      </c>
      <c r="C11917" t="s">
        <v>15121</v>
      </c>
      <c r="D11917" t="s">
        <v>19082</v>
      </c>
      <c r="E11917" t="s">
        <v>29295</v>
      </c>
      <c r="F11917" t="s">
        <v>32831</v>
      </c>
      <c r="G11917" t="s">
        <v>32839</v>
      </c>
      <c r="H11917" t="s">
        <v>32849</v>
      </c>
      <c r="I11917" t="s">
        <v>4177</v>
      </c>
      <c r="J11917" t="s">
        <v>40284</v>
      </c>
      <c r="K11917" t="s">
        <v>42745</v>
      </c>
      <c r="M11917" t="s">
        <v>46820</v>
      </c>
      <c r="N11917" t="s">
        <v>47424</v>
      </c>
      <c r="O11917" t="s">
        <v>47425</v>
      </c>
      <c r="P11917">
        <v>0</v>
      </c>
      <c r="Q11917">
        <v>0</v>
      </c>
      <c r="R11917" t="s">
        <v>47438</v>
      </c>
      <c r="S11917" t="s">
        <v>47793</v>
      </c>
      <c r="T11917" t="s">
        <v>49603</v>
      </c>
      <c r="U11917" t="s">
        <v>59444</v>
      </c>
      <c r="W11917" t="s">
        <v>46820</v>
      </c>
      <c r="X11917" t="s">
        <v>47439</v>
      </c>
    </row>
    <row r="11918" spans="1:24">
      <c r="A11918">
        <f>HYPERLINK("https://www.philgeps.gov.ph/GEPSNONPILOT/Tender/SplashBidNoticeAbstractUI.aspx?menuIndex=3&amp;refID=7144745&amp;Result=3","7144745")</f>
        <v>0</v>
      </c>
      <c r="B11918" t="s">
        <v>3472</v>
      </c>
      <c r="C11918" t="s">
        <v>15122</v>
      </c>
      <c r="D11918" t="s">
        <v>19034</v>
      </c>
      <c r="E11918" t="s">
        <v>29296</v>
      </c>
      <c r="F11918" t="s">
        <v>32831</v>
      </c>
      <c r="G11918" t="s">
        <v>32839</v>
      </c>
      <c r="H11918" t="s">
        <v>32848</v>
      </c>
      <c r="I11918" t="s">
        <v>10805</v>
      </c>
      <c r="J11918" t="s">
        <v>40285</v>
      </c>
      <c r="K11918" t="s">
        <v>42730</v>
      </c>
      <c r="M11918" t="s">
        <v>46816</v>
      </c>
      <c r="N11918" t="s">
        <v>47424</v>
      </c>
      <c r="O11918" t="s">
        <v>47425</v>
      </c>
      <c r="P11918">
        <v>0</v>
      </c>
      <c r="Q11918">
        <v>1</v>
      </c>
      <c r="R11918" t="s">
        <v>47438</v>
      </c>
      <c r="S11918" t="s">
        <v>47793</v>
      </c>
      <c r="T11918" t="s">
        <v>49080</v>
      </c>
      <c r="U11918" t="s">
        <v>59445</v>
      </c>
      <c r="W11918" t="s">
        <v>46816</v>
      </c>
      <c r="X11918" t="s">
        <v>47439</v>
      </c>
    </row>
    <row r="11919" spans="1:24">
      <c r="A11919">
        <f>HYPERLINK("https://www.philgeps.gov.ph/GEPSNONPILOT/Tender/SplashBidNoticeAbstractUI.aspx?menuIndex=3&amp;refID=7144827&amp;Result=3","7144827")</f>
        <v>0</v>
      </c>
      <c r="B11919" t="s">
        <v>1270</v>
      </c>
      <c r="C11919" t="s">
        <v>15123</v>
      </c>
      <c r="D11919" t="s">
        <v>19104</v>
      </c>
      <c r="E11919" t="s">
        <v>29297</v>
      </c>
      <c r="F11919" t="s">
        <v>32831</v>
      </c>
      <c r="G11919" t="s">
        <v>32839</v>
      </c>
      <c r="H11919" t="s">
        <v>32848</v>
      </c>
      <c r="I11919" t="s">
        <v>7751</v>
      </c>
      <c r="J11919" t="s">
        <v>33024</v>
      </c>
      <c r="K11919" t="s">
        <v>42729</v>
      </c>
      <c r="M11919" t="s">
        <v>44340</v>
      </c>
      <c r="N11919" t="s">
        <v>47424</v>
      </c>
      <c r="O11919" t="s">
        <v>47425</v>
      </c>
      <c r="P11919">
        <v>0</v>
      </c>
      <c r="Q11919">
        <v>2</v>
      </c>
      <c r="R11919" t="s">
        <v>47438</v>
      </c>
      <c r="S11919" t="s">
        <v>47793</v>
      </c>
      <c r="T11919" t="s">
        <v>49283</v>
      </c>
      <c r="U11919" t="s">
        <v>59446</v>
      </c>
      <c r="W11919" t="s">
        <v>44340</v>
      </c>
      <c r="X11919" t="s">
        <v>47439</v>
      </c>
    </row>
    <row r="11920" spans="1:24">
      <c r="A11920">
        <f>HYPERLINK("https://www.philgeps.gov.ph/GEPSNONPILOT/Tender/SplashBidNoticeAbstractUI.aspx?menuIndex=3&amp;refID=7144734&amp;Result=3","7144734")</f>
        <v>0</v>
      </c>
      <c r="B11920" t="s">
        <v>213</v>
      </c>
      <c r="C11920" t="s">
        <v>15124</v>
      </c>
      <c r="E11920" t="s">
        <v>29298</v>
      </c>
      <c r="F11920" t="s">
        <v>32831</v>
      </c>
      <c r="G11920" t="s">
        <v>32839</v>
      </c>
      <c r="H11920" t="s">
        <v>32848</v>
      </c>
      <c r="I11920" t="s">
        <v>32859</v>
      </c>
      <c r="J11920" t="s">
        <v>40286</v>
      </c>
      <c r="K11920" t="s">
        <v>42732</v>
      </c>
      <c r="M11920" t="s">
        <v>43554</v>
      </c>
      <c r="N11920" t="s">
        <v>47424</v>
      </c>
      <c r="O11920" t="s">
        <v>47425</v>
      </c>
      <c r="Q11920">
        <v>1</v>
      </c>
      <c r="R11920" t="s">
        <v>47438</v>
      </c>
      <c r="S11920" t="s">
        <v>47847</v>
      </c>
      <c r="T11920" t="s">
        <v>49173</v>
      </c>
      <c r="U11920" t="s">
        <v>59447</v>
      </c>
      <c r="V11920" t="s">
        <v>62750</v>
      </c>
      <c r="W11920" t="s">
        <v>43554</v>
      </c>
      <c r="X11920" t="s">
        <v>47439</v>
      </c>
    </row>
    <row r="11921" spans="1:24">
      <c r="A11921">
        <f>HYPERLINK("https://www.philgeps.gov.ph/GEPSNONPILOT/Tender/SplashBidNoticeAbstractUI.aspx?menuIndex=3&amp;refID=7144823&amp;Result=3","7144823")</f>
        <v>0</v>
      </c>
      <c r="B11921" t="s">
        <v>1484</v>
      </c>
      <c r="C11921" t="s">
        <v>15125</v>
      </c>
      <c r="D11921" t="s">
        <v>19031</v>
      </c>
      <c r="E11921" t="s">
        <v>29299</v>
      </c>
      <c r="F11921" t="s">
        <v>32831</v>
      </c>
      <c r="G11921" t="s">
        <v>32839</v>
      </c>
      <c r="H11921" t="s">
        <v>32849</v>
      </c>
      <c r="I11921" t="s">
        <v>4177</v>
      </c>
      <c r="J11921" t="s">
        <v>35331</v>
      </c>
      <c r="K11921" t="s">
        <v>42829</v>
      </c>
      <c r="M11921" t="s">
        <v>46206</v>
      </c>
      <c r="N11921" t="s">
        <v>47424</v>
      </c>
      <c r="O11921" t="s">
        <v>47425</v>
      </c>
      <c r="P11921">
        <v>0</v>
      </c>
      <c r="Q11921">
        <v>1</v>
      </c>
      <c r="R11921" t="s">
        <v>47438</v>
      </c>
      <c r="S11921" t="s">
        <v>47793</v>
      </c>
      <c r="T11921" t="s">
        <v>49196</v>
      </c>
      <c r="U11921" t="s">
        <v>59448</v>
      </c>
      <c r="W11921" t="s">
        <v>46206</v>
      </c>
      <c r="X11921" t="s">
        <v>47439</v>
      </c>
    </row>
    <row r="11922" spans="1:24">
      <c r="A11922">
        <f>HYPERLINK("https://www.philgeps.gov.ph/GEPSNONPILOT/Tender/SplashBidNoticeAbstractUI.aspx?menuIndex=3&amp;refID=7144851&amp;Result=3","7144851")</f>
        <v>0</v>
      </c>
      <c r="B11922" t="s">
        <v>3143</v>
      </c>
      <c r="C11922" t="s">
        <v>15126</v>
      </c>
      <c r="D11922" t="s">
        <v>19047</v>
      </c>
      <c r="E11922" t="s">
        <v>29300</v>
      </c>
      <c r="F11922" t="s">
        <v>32831</v>
      </c>
      <c r="G11922" t="s">
        <v>32839</v>
      </c>
      <c r="H11922" t="s">
        <v>32849</v>
      </c>
      <c r="I11922" t="s">
        <v>4177</v>
      </c>
      <c r="J11922" t="s">
        <v>33524</v>
      </c>
      <c r="K11922" t="s">
        <v>42763</v>
      </c>
      <c r="M11922" t="s">
        <v>46440</v>
      </c>
      <c r="N11922" t="s">
        <v>47424</v>
      </c>
      <c r="O11922" t="s">
        <v>47425</v>
      </c>
      <c r="P11922">
        <v>0</v>
      </c>
      <c r="Q11922">
        <v>3</v>
      </c>
      <c r="R11922" t="s">
        <v>47438</v>
      </c>
      <c r="S11922" t="s">
        <v>47793</v>
      </c>
      <c r="T11922" t="s">
        <v>49063</v>
      </c>
      <c r="U11922" t="s">
        <v>59449</v>
      </c>
      <c r="W11922" t="s">
        <v>46440</v>
      </c>
      <c r="X11922" t="s">
        <v>47439</v>
      </c>
    </row>
    <row r="11923" spans="1:24">
      <c r="A11923">
        <f>HYPERLINK("https://www.philgeps.gov.ph/GEPSNONPILOT/Tender/SplashBidNoticeAbstractUI.aspx?menuIndex=3&amp;refID=7144822&amp;Result=3","7144822")</f>
        <v>0</v>
      </c>
      <c r="B11923" t="s">
        <v>2793</v>
      </c>
      <c r="C11923" t="s">
        <v>15127</v>
      </c>
      <c r="D11923" t="s">
        <v>19048</v>
      </c>
      <c r="E11923" t="s">
        <v>29301</v>
      </c>
      <c r="F11923" t="s">
        <v>32833</v>
      </c>
      <c r="G11923" t="s">
        <v>32845</v>
      </c>
      <c r="H11923" t="s">
        <v>32848</v>
      </c>
      <c r="I11923" t="s">
        <v>32883</v>
      </c>
      <c r="J11923" t="s">
        <v>40287</v>
      </c>
      <c r="K11923" t="s">
        <v>42729</v>
      </c>
      <c r="M11923" t="s">
        <v>46023</v>
      </c>
      <c r="N11923" t="s">
        <v>47424</v>
      </c>
      <c r="O11923" t="s">
        <v>47425</v>
      </c>
      <c r="Q11923">
        <v>5</v>
      </c>
      <c r="R11923" t="s">
        <v>47438</v>
      </c>
      <c r="S11923" t="s">
        <v>47848</v>
      </c>
      <c r="T11923" t="s">
        <v>49262</v>
      </c>
      <c r="U11923" t="s">
        <v>59450</v>
      </c>
      <c r="W11923" t="s">
        <v>46023</v>
      </c>
      <c r="X11923" t="s">
        <v>47439</v>
      </c>
    </row>
    <row r="11924" spans="1:24">
      <c r="A11924">
        <f>HYPERLINK("https://www.philgeps.gov.ph/GEPSNONPILOT/Tender/SplashBidNoticeAbstractUI.aspx?menuIndex=3&amp;refID=7144848&amp;Result=3","7144848")</f>
        <v>0</v>
      </c>
      <c r="B11924" t="s">
        <v>3437</v>
      </c>
      <c r="C11924" t="s">
        <v>15128</v>
      </c>
      <c r="D11924" t="s">
        <v>19085</v>
      </c>
      <c r="E11924" t="s">
        <v>29302</v>
      </c>
      <c r="F11924" t="s">
        <v>32831</v>
      </c>
      <c r="G11924" t="s">
        <v>32839</v>
      </c>
      <c r="H11924" t="s">
        <v>32849</v>
      </c>
      <c r="I11924" t="s">
        <v>4177</v>
      </c>
      <c r="J11924" t="s">
        <v>32978</v>
      </c>
      <c r="K11924" t="s">
        <v>42729</v>
      </c>
      <c r="M11924" t="s">
        <v>46773</v>
      </c>
      <c r="N11924" t="s">
        <v>47424</v>
      </c>
      <c r="O11924" t="s">
        <v>47425</v>
      </c>
      <c r="P11924">
        <v>0</v>
      </c>
      <c r="Q11924">
        <v>0</v>
      </c>
      <c r="R11924" t="s">
        <v>47438</v>
      </c>
      <c r="S11924" t="s">
        <v>47793</v>
      </c>
      <c r="T11924" t="s">
        <v>49063</v>
      </c>
      <c r="U11924" t="s">
        <v>59451</v>
      </c>
      <c r="W11924" t="s">
        <v>46773</v>
      </c>
      <c r="X11924" t="s">
        <v>47439</v>
      </c>
    </row>
    <row r="11925" spans="1:24">
      <c r="A11925">
        <f>HYPERLINK("https://www.philgeps.gov.ph/GEPSNONPILOT/Tender/SplashBidNoticeAbstractUI.aspx?menuIndex=3&amp;refID=7144847&amp;Result=3","7144847")</f>
        <v>0</v>
      </c>
      <c r="B11925" t="s">
        <v>2509</v>
      </c>
      <c r="C11925" t="s">
        <v>15129</v>
      </c>
      <c r="D11925" t="s">
        <v>19093</v>
      </c>
      <c r="E11925" t="s">
        <v>29303</v>
      </c>
      <c r="F11925" t="s">
        <v>32831</v>
      </c>
      <c r="G11925" t="s">
        <v>32839</v>
      </c>
      <c r="H11925" t="s">
        <v>32849</v>
      </c>
      <c r="I11925" t="s">
        <v>4177</v>
      </c>
      <c r="J11925" t="s">
        <v>40288</v>
      </c>
      <c r="K11925" t="s">
        <v>42820</v>
      </c>
      <c r="L11925" t="s">
        <v>2509</v>
      </c>
      <c r="M11925" t="s">
        <v>45716</v>
      </c>
      <c r="N11925" t="s">
        <v>47424</v>
      </c>
      <c r="O11925" t="s">
        <v>47425</v>
      </c>
      <c r="P11925">
        <v>0</v>
      </c>
      <c r="Q11925">
        <v>1</v>
      </c>
      <c r="R11925" t="s">
        <v>47438</v>
      </c>
      <c r="S11925" t="s">
        <v>47793</v>
      </c>
      <c r="T11925" t="s">
        <v>49069</v>
      </c>
      <c r="U11925" t="s">
        <v>59452</v>
      </c>
      <c r="W11925" t="s">
        <v>45716</v>
      </c>
      <c r="X11925" t="s">
        <v>47439</v>
      </c>
    </row>
    <row r="11926" spans="1:24">
      <c r="A11926">
        <f>HYPERLINK("https://www.philgeps.gov.ph/GEPSNONPILOT/Tender/SplashBidNoticeAbstractUI.aspx?menuIndex=3&amp;refID=7144650&amp;Result=3","7144650")</f>
        <v>0</v>
      </c>
      <c r="B11926" t="s">
        <v>3477</v>
      </c>
      <c r="C11926" t="s">
        <v>15130</v>
      </c>
      <c r="D11926" t="s">
        <v>19017</v>
      </c>
      <c r="E11926" t="s">
        <v>29304</v>
      </c>
      <c r="F11926" t="s">
        <v>32831</v>
      </c>
      <c r="G11926" t="s">
        <v>32839</v>
      </c>
      <c r="H11926" t="s">
        <v>14069</v>
      </c>
      <c r="I11926" t="s">
        <v>14069</v>
      </c>
      <c r="J11926" t="s">
        <v>40289</v>
      </c>
      <c r="K11926" t="s">
        <v>42951</v>
      </c>
      <c r="M11926" t="s">
        <v>46821</v>
      </c>
      <c r="N11926" t="s">
        <v>47424</v>
      </c>
      <c r="O11926" t="s">
        <v>47425</v>
      </c>
      <c r="P11926">
        <v>0</v>
      </c>
      <c r="Q11926">
        <v>10</v>
      </c>
      <c r="R11926" t="s">
        <v>47438</v>
      </c>
      <c r="S11926" t="s">
        <v>47793</v>
      </c>
      <c r="T11926" t="s">
        <v>49235</v>
      </c>
      <c r="U11926" t="s">
        <v>59453</v>
      </c>
      <c r="W11926" t="s">
        <v>46821</v>
      </c>
      <c r="X11926" t="s">
        <v>47439</v>
      </c>
    </row>
    <row r="11927" spans="1:24">
      <c r="A11927">
        <f>HYPERLINK("https://www.philgeps.gov.ph/GEPSNONPILOT/Tender/SplashBidNoticeAbstractUI.aspx?menuIndex=3&amp;refID=7144845&amp;Result=3","7144845")</f>
        <v>0</v>
      </c>
      <c r="B11927" t="s">
        <v>1963</v>
      </c>
      <c r="C11927" t="s">
        <v>15131</v>
      </c>
      <c r="D11927" t="s">
        <v>19037</v>
      </c>
      <c r="E11927" t="s">
        <v>29305</v>
      </c>
      <c r="F11927" t="s">
        <v>32831</v>
      </c>
      <c r="G11927" t="s">
        <v>32841</v>
      </c>
      <c r="H11927" t="s">
        <v>32848</v>
      </c>
      <c r="I11927" t="s">
        <v>9577</v>
      </c>
      <c r="J11927" t="s">
        <v>40290</v>
      </c>
      <c r="K11927" t="s">
        <v>42732</v>
      </c>
      <c r="M11927" t="s">
        <v>45123</v>
      </c>
      <c r="N11927" t="s">
        <v>47424</v>
      </c>
      <c r="O11927" t="s">
        <v>47425</v>
      </c>
      <c r="Q11927">
        <v>4</v>
      </c>
      <c r="R11927" t="s">
        <v>47438</v>
      </c>
      <c r="S11927" t="s">
        <v>47539</v>
      </c>
      <c r="T11927" t="s">
        <v>49150</v>
      </c>
      <c r="U11927" t="s">
        <v>59454</v>
      </c>
      <c r="V11927" t="s">
        <v>63938</v>
      </c>
      <c r="W11927" t="s">
        <v>45123</v>
      </c>
      <c r="X11927" t="s">
        <v>47439</v>
      </c>
    </row>
    <row r="11928" spans="1:24">
      <c r="A11928">
        <f>HYPERLINK("https://www.philgeps.gov.ph/GEPSNONPILOT/Tender/SplashBidNoticeAbstractUI.aspx?menuIndex=3&amp;refID=7144656&amp;Result=3","7144656")</f>
        <v>0</v>
      </c>
      <c r="B11928" t="s">
        <v>3433</v>
      </c>
      <c r="C11928" t="s">
        <v>15132</v>
      </c>
      <c r="D11928" t="s">
        <v>19044</v>
      </c>
      <c r="E11928" t="s">
        <v>29306</v>
      </c>
      <c r="F11928" t="s">
        <v>32831</v>
      </c>
      <c r="G11928" t="s">
        <v>32839</v>
      </c>
      <c r="H11928" t="s">
        <v>32849</v>
      </c>
      <c r="I11928" t="s">
        <v>32899</v>
      </c>
      <c r="J11928" t="s">
        <v>40291</v>
      </c>
      <c r="K11928" t="s">
        <v>42732</v>
      </c>
      <c r="M11928" t="s">
        <v>46768</v>
      </c>
      <c r="N11928" t="s">
        <v>47424</v>
      </c>
      <c r="O11928" t="s">
        <v>47425</v>
      </c>
      <c r="Q11928">
        <v>7</v>
      </c>
      <c r="R11928" t="s">
        <v>47438</v>
      </c>
      <c r="S11928" t="s">
        <v>47849</v>
      </c>
      <c r="T11928" t="s">
        <v>49122</v>
      </c>
      <c r="U11928" t="s">
        <v>59455</v>
      </c>
      <c r="W11928" t="s">
        <v>46768</v>
      </c>
      <c r="X11928" t="s">
        <v>47439</v>
      </c>
    </row>
    <row r="11929" spans="1:24">
      <c r="A11929">
        <f>HYPERLINK("https://www.philgeps.gov.ph/GEPSNONPILOT/Tender/SplashBidNoticeAbstractUI.aspx?menuIndex=3&amp;refID=7144750&amp;Result=3","7144750")</f>
        <v>0</v>
      </c>
      <c r="B11929" t="s">
        <v>3478</v>
      </c>
      <c r="C11929" t="s">
        <v>15133</v>
      </c>
      <c r="D11929" t="s">
        <v>19045</v>
      </c>
      <c r="E11929" t="s">
        <v>29307</v>
      </c>
      <c r="F11929" t="s">
        <v>32831</v>
      </c>
      <c r="G11929" t="s">
        <v>32839</v>
      </c>
      <c r="H11929" t="s">
        <v>32849</v>
      </c>
      <c r="I11929" t="s">
        <v>4177</v>
      </c>
      <c r="J11929" t="s">
        <v>33257</v>
      </c>
      <c r="K11929" t="s">
        <v>42729</v>
      </c>
      <c r="M11929" t="s">
        <v>46822</v>
      </c>
      <c r="N11929" t="s">
        <v>47424</v>
      </c>
      <c r="O11929" t="s">
        <v>47425</v>
      </c>
      <c r="P11929">
        <v>0</v>
      </c>
      <c r="Q11929">
        <v>1</v>
      </c>
      <c r="R11929" t="s">
        <v>47438</v>
      </c>
      <c r="S11929" t="s">
        <v>47793</v>
      </c>
      <c r="T11929" t="s">
        <v>49251</v>
      </c>
      <c r="U11929" t="s">
        <v>59456</v>
      </c>
      <c r="W11929" t="s">
        <v>46822</v>
      </c>
      <c r="X11929" t="s">
        <v>47439</v>
      </c>
    </row>
    <row r="11930" spans="1:24">
      <c r="A11930">
        <f>HYPERLINK("https://www.philgeps.gov.ph/GEPSNONPILOT/Tender/SplashBidNoticeAbstractUI.aspx?menuIndex=3&amp;refID=7144843&amp;Result=3","7144843")</f>
        <v>0</v>
      </c>
      <c r="B11930" t="s">
        <v>2793</v>
      </c>
      <c r="C11930" t="s">
        <v>15134</v>
      </c>
      <c r="D11930" t="s">
        <v>19048</v>
      </c>
      <c r="E11930" t="s">
        <v>29308</v>
      </c>
      <c r="F11930" t="s">
        <v>32833</v>
      </c>
      <c r="G11930" t="s">
        <v>32845</v>
      </c>
      <c r="H11930" t="s">
        <v>32848</v>
      </c>
      <c r="I11930" t="s">
        <v>32883</v>
      </c>
      <c r="J11930" t="s">
        <v>40292</v>
      </c>
      <c r="K11930" t="s">
        <v>42747</v>
      </c>
      <c r="M11930" t="s">
        <v>46023</v>
      </c>
      <c r="N11930" t="s">
        <v>47424</v>
      </c>
      <c r="O11930" t="s">
        <v>47425</v>
      </c>
      <c r="P11930">
        <v>0</v>
      </c>
      <c r="Q11930">
        <v>6</v>
      </c>
      <c r="R11930" t="s">
        <v>47438</v>
      </c>
      <c r="S11930" t="s">
        <v>47793</v>
      </c>
      <c r="T11930" t="s">
        <v>49196</v>
      </c>
      <c r="U11930" t="s">
        <v>59457</v>
      </c>
      <c r="W11930" t="s">
        <v>46023</v>
      </c>
      <c r="X11930" t="s">
        <v>47439</v>
      </c>
    </row>
    <row r="11931" spans="1:24">
      <c r="A11931">
        <f>HYPERLINK("https://www.philgeps.gov.ph/GEPSNONPILOT/Tender/SplashBidNoticeAbstractUI.aspx?menuIndex=3&amp;refID=7144840&amp;Result=3","7144840")</f>
        <v>0</v>
      </c>
      <c r="B11931" t="s">
        <v>3437</v>
      </c>
      <c r="C11931" t="s">
        <v>15135</v>
      </c>
      <c r="D11931" t="s">
        <v>19085</v>
      </c>
      <c r="E11931" t="s">
        <v>29309</v>
      </c>
      <c r="F11931" t="s">
        <v>32831</v>
      </c>
      <c r="G11931" t="s">
        <v>32839</v>
      </c>
      <c r="H11931" t="s">
        <v>32849</v>
      </c>
      <c r="I11931" t="s">
        <v>4177</v>
      </c>
      <c r="J11931" t="s">
        <v>32978</v>
      </c>
      <c r="K11931" t="s">
        <v>42730</v>
      </c>
      <c r="M11931" t="s">
        <v>46773</v>
      </c>
      <c r="N11931" t="s">
        <v>47424</v>
      </c>
      <c r="O11931" t="s">
        <v>47425</v>
      </c>
      <c r="P11931">
        <v>0</v>
      </c>
      <c r="Q11931">
        <v>1</v>
      </c>
      <c r="R11931" t="s">
        <v>47438</v>
      </c>
      <c r="S11931" t="s">
        <v>47793</v>
      </c>
      <c r="T11931" t="s">
        <v>49063</v>
      </c>
      <c r="U11931" t="s">
        <v>59458</v>
      </c>
      <c r="W11931" t="s">
        <v>46773</v>
      </c>
      <c r="X11931" t="s">
        <v>47439</v>
      </c>
    </row>
    <row r="11932" spans="1:24">
      <c r="A11932">
        <f>HYPERLINK("https://www.philgeps.gov.ph/GEPSNONPILOT/Tender/SplashBidNoticeAbstractUI.aspx?menuIndex=3&amp;refID=7144806&amp;Result=3","7144806")</f>
        <v>0</v>
      </c>
      <c r="B11932" t="s">
        <v>3479</v>
      </c>
      <c r="C11932" t="s">
        <v>15136</v>
      </c>
      <c r="D11932" t="s">
        <v>19039</v>
      </c>
      <c r="E11932" t="s">
        <v>29310</v>
      </c>
      <c r="F11932" t="s">
        <v>32831</v>
      </c>
      <c r="G11932" t="s">
        <v>32838</v>
      </c>
      <c r="H11932" t="s">
        <v>32848</v>
      </c>
      <c r="I11932" t="s">
        <v>32855</v>
      </c>
      <c r="J11932" t="s">
        <v>40293</v>
      </c>
      <c r="K11932" t="s">
        <v>42730</v>
      </c>
      <c r="M11932" t="s">
        <v>46823</v>
      </c>
      <c r="N11932" t="s">
        <v>47424</v>
      </c>
      <c r="O11932" t="s">
        <v>47425</v>
      </c>
      <c r="P11932">
        <v>0</v>
      </c>
      <c r="Q11932">
        <v>5</v>
      </c>
      <c r="R11932" t="s">
        <v>47438</v>
      </c>
      <c r="S11932" t="s">
        <v>47793</v>
      </c>
      <c r="T11932" t="s">
        <v>49210</v>
      </c>
      <c r="U11932" t="s">
        <v>59459</v>
      </c>
      <c r="W11932" t="s">
        <v>46823</v>
      </c>
      <c r="X11932" t="s">
        <v>47439</v>
      </c>
    </row>
    <row r="11933" spans="1:24">
      <c r="A11933">
        <f>HYPERLINK("https://www.philgeps.gov.ph/GEPSNONPILOT/Tender/SplashBidNoticeAbstractUI.aspx?menuIndex=3&amp;refID=7144787&amp;Result=3","7144787")</f>
        <v>0</v>
      </c>
      <c r="B11933" t="s">
        <v>1409</v>
      </c>
      <c r="C11933" t="s">
        <v>15137</v>
      </c>
      <c r="D11933" t="s">
        <v>19026</v>
      </c>
      <c r="E11933" t="s">
        <v>15137</v>
      </c>
      <c r="F11933" t="s">
        <v>32831</v>
      </c>
      <c r="G11933" t="s">
        <v>32839</v>
      </c>
      <c r="H11933" t="s">
        <v>32848</v>
      </c>
      <c r="I11933" t="s">
        <v>7416</v>
      </c>
      <c r="J11933" t="s">
        <v>40294</v>
      </c>
      <c r="K11933" t="s">
        <v>42745</v>
      </c>
      <c r="M11933" t="s">
        <v>44496</v>
      </c>
      <c r="N11933" t="s">
        <v>47424</v>
      </c>
      <c r="O11933" t="s">
        <v>47425</v>
      </c>
      <c r="P11933">
        <v>0</v>
      </c>
      <c r="Q11933">
        <v>31</v>
      </c>
      <c r="R11933" t="s">
        <v>47438</v>
      </c>
      <c r="S11933" t="s">
        <v>47793</v>
      </c>
      <c r="T11933" t="s">
        <v>49123</v>
      </c>
      <c r="U11933" t="s">
        <v>59460</v>
      </c>
      <c r="W11933" t="s">
        <v>44496</v>
      </c>
      <c r="X11933" t="s">
        <v>47439</v>
      </c>
    </row>
    <row r="11934" spans="1:24">
      <c r="A11934">
        <f>HYPERLINK("https://www.philgeps.gov.ph/GEPSNONPILOT/Tender/SplashBidNoticeAbstractUI.aspx?menuIndex=3&amp;refID=7144779&amp;Result=3","7144779")</f>
        <v>0</v>
      </c>
      <c r="B11934" t="s">
        <v>1652</v>
      </c>
      <c r="C11934" t="s">
        <v>15138</v>
      </c>
      <c r="D11934" t="s">
        <v>19045</v>
      </c>
      <c r="E11934" t="s">
        <v>29311</v>
      </c>
      <c r="F11934" t="s">
        <v>32831</v>
      </c>
      <c r="G11934" t="s">
        <v>32839</v>
      </c>
      <c r="H11934" t="s">
        <v>32849</v>
      </c>
      <c r="I11934" t="s">
        <v>4177</v>
      </c>
      <c r="J11934" t="s">
        <v>36801</v>
      </c>
      <c r="K11934" t="s">
        <v>42757</v>
      </c>
      <c r="M11934" t="s">
        <v>44769</v>
      </c>
      <c r="N11934" t="s">
        <v>47424</v>
      </c>
      <c r="O11934" t="s">
        <v>47425</v>
      </c>
      <c r="P11934">
        <v>0</v>
      </c>
      <c r="Q11934">
        <v>18</v>
      </c>
      <c r="R11934" t="s">
        <v>47438</v>
      </c>
      <c r="S11934" t="s">
        <v>47793</v>
      </c>
      <c r="T11934" t="s">
        <v>49066</v>
      </c>
      <c r="U11934" t="s">
        <v>59461</v>
      </c>
      <c r="V11934" t="s">
        <v>63077</v>
      </c>
      <c r="W11934" t="s">
        <v>44769</v>
      </c>
      <c r="X11934" t="s">
        <v>47439</v>
      </c>
    </row>
    <row r="11935" spans="1:24">
      <c r="A11935">
        <f>HYPERLINK("https://www.philgeps.gov.ph/GEPSNONPILOT/Tender/SplashBidNoticeAbstractUI.aspx?menuIndex=3&amp;refID=7144773&amp;Result=3","7144773")</f>
        <v>0</v>
      </c>
      <c r="B11935" t="s">
        <v>999</v>
      </c>
      <c r="C11935" t="s">
        <v>15139</v>
      </c>
      <c r="D11935" t="s">
        <v>19017</v>
      </c>
      <c r="E11935" t="s">
        <v>29312</v>
      </c>
      <c r="F11935" t="s">
        <v>32831</v>
      </c>
      <c r="G11935" t="s">
        <v>32839</v>
      </c>
      <c r="H11935" t="s">
        <v>32848</v>
      </c>
      <c r="I11935" t="s">
        <v>32885</v>
      </c>
      <c r="J11935" t="s">
        <v>34447</v>
      </c>
      <c r="K11935" t="s">
        <v>42759</v>
      </c>
      <c r="M11935" t="s">
        <v>45931</v>
      </c>
      <c r="N11935" t="s">
        <v>47424</v>
      </c>
      <c r="O11935" t="s">
        <v>47425</v>
      </c>
      <c r="P11935">
        <v>0</v>
      </c>
      <c r="Q11935">
        <v>10</v>
      </c>
      <c r="R11935" t="s">
        <v>47438</v>
      </c>
      <c r="S11935" t="s">
        <v>47793</v>
      </c>
      <c r="T11935" t="s">
        <v>49288</v>
      </c>
      <c r="U11935" t="s">
        <v>59462</v>
      </c>
      <c r="W11935" t="s">
        <v>45931</v>
      </c>
      <c r="X11935" t="s">
        <v>47439</v>
      </c>
    </row>
    <row r="11936" spans="1:24">
      <c r="A11936">
        <f>HYPERLINK("https://www.philgeps.gov.ph/GEPSNONPILOT/Tender/SplashBidNoticeAbstractUI.aspx?menuIndex=3&amp;refID=7144853&amp;Result=3","7144853")</f>
        <v>0</v>
      </c>
      <c r="B11936" t="s">
        <v>3437</v>
      </c>
      <c r="C11936" t="s">
        <v>15140</v>
      </c>
      <c r="D11936" t="s">
        <v>19085</v>
      </c>
      <c r="E11936" t="s">
        <v>29313</v>
      </c>
      <c r="F11936" t="s">
        <v>32831</v>
      </c>
      <c r="G11936" t="s">
        <v>32839</v>
      </c>
      <c r="H11936" t="s">
        <v>32849</v>
      </c>
      <c r="I11936" t="s">
        <v>4177</v>
      </c>
      <c r="J11936" t="s">
        <v>33072</v>
      </c>
      <c r="K11936" t="s">
        <v>42763</v>
      </c>
      <c r="M11936" t="s">
        <v>46773</v>
      </c>
      <c r="N11936" t="s">
        <v>47424</v>
      </c>
      <c r="O11936" t="s">
        <v>47425</v>
      </c>
      <c r="P11936">
        <v>0</v>
      </c>
      <c r="Q11936">
        <v>0</v>
      </c>
      <c r="R11936" t="s">
        <v>47438</v>
      </c>
      <c r="S11936" t="s">
        <v>47793</v>
      </c>
      <c r="T11936" t="s">
        <v>49063</v>
      </c>
      <c r="U11936" t="s">
        <v>59463</v>
      </c>
      <c r="W11936" t="s">
        <v>46773</v>
      </c>
      <c r="X11936" t="s">
        <v>47439</v>
      </c>
    </row>
    <row r="11937" spans="1:24">
      <c r="A11937">
        <f>HYPERLINK("https://www.philgeps.gov.ph/GEPSNONPILOT/Tender/SplashBidNoticeAbstractUI.aspx?menuIndex=3&amp;refID=7144776&amp;Result=3","7144776")</f>
        <v>0</v>
      </c>
      <c r="B11937" t="s">
        <v>834</v>
      </c>
      <c r="C11937" t="s">
        <v>15141</v>
      </c>
      <c r="D11937" t="s">
        <v>19046</v>
      </c>
      <c r="E11937" t="s">
        <v>29314</v>
      </c>
      <c r="F11937" t="s">
        <v>32831</v>
      </c>
      <c r="G11937" t="s">
        <v>32839</v>
      </c>
      <c r="H11937" t="s">
        <v>32849</v>
      </c>
      <c r="I11937" t="s">
        <v>4177</v>
      </c>
      <c r="J11937" t="s">
        <v>40295</v>
      </c>
      <c r="K11937" t="s">
        <v>42732</v>
      </c>
      <c r="M11937" t="s">
        <v>43866</v>
      </c>
      <c r="N11937" t="s">
        <v>47424</v>
      </c>
      <c r="O11937" t="s">
        <v>47425</v>
      </c>
      <c r="P11937">
        <v>0</v>
      </c>
      <c r="Q11937">
        <v>0</v>
      </c>
      <c r="R11937" t="s">
        <v>47438</v>
      </c>
      <c r="S11937" t="s">
        <v>47793</v>
      </c>
      <c r="T11937" t="s">
        <v>49059</v>
      </c>
      <c r="U11937" t="s">
        <v>59464</v>
      </c>
      <c r="W11937" t="s">
        <v>43866</v>
      </c>
      <c r="X11937" t="s">
        <v>47439</v>
      </c>
    </row>
    <row r="11938" spans="1:24">
      <c r="A11938">
        <f>HYPERLINK("https://www.philgeps.gov.ph/GEPSNONPILOT/Tender/SplashBidNoticeAbstractUI.aspx?menuIndex=3&amp;refID=7144654&amp;Result=3","7144654")</f>
        <v>0</v>
      </c>
      <c r="B11938" t="s">
        <v>3331</v>
      </c>
      <c r="C11938" t="s">
        <v>15142</v>
      </c>
      <c r="D11938" t="s">
        <v>19081</v>
      </c>
      <c r="E11938" t="s">
        <v>29315</v>
      </c>
      <c r="F11938" t="s">
        <v>32831</v>
      </c>
      <c r="G11938" t="s">
        <v>32839</v>
      </c>
      <c r="H11938" t="s">
        <v>32848</v>
      </c>
      <c r="I11938" t="s">
        <v>7416</v>
      </c>
      <c r="J11938" t="s">
        <v>40296</v>
      </c>
      <c r="K11938" t="s">
        <v>42727</v>
      </c>
      <c r="M11938" t="s">
        <v>46654</v>
      </c>
      <c r="N11938" t="s">
        <v>47424</v>
      </c>
      <c r="O11938" t="s">
        <v>47425</v>
      </c>
      <c r="P11938">
        <v>0</v>
      </c>
      <c r="Q11938">
        <v>0</v>
      </c>
      <c r="R11938" t="s">
        <v>47438</v>
      </c>
      <c r="S11938" t="s">
        <v>47793</v>
      </c>
      <c r="T11938" t="s">
        <v>49196</v>
      </c>
      <c r="U11938" t="s">
        <v>59465</v>
      </c>
      <c r="W11938" t="s">
        <v>46654</v>
      </c>
      <c r="X11938" t="s">
        <v>47439</v>
      </c>
    </row>
    <row r="11939" spans="1:24">
      <c r="A11939">
        <f>HYPERLINK("https://www.philgeps.gov.ph/GEPSNONPILOT/Tender/SplashBidNoticeAbstractUI.aspx?menuIndex=3&amp;refID=7144855&amp;Result=3","7144855")</f>
        <v>0</v>
      </c>
      <c r="B11939" t="s">
        <v>345</v>
      </c>
      <c r="C11939" t="s">
        <v>15143</v>
      </c>
      <c r="D11939" t="s">
        <v>19074</v>
      </c>
      <c r="E11939" t="s">
        <v>29316</v>
      </c>
      <c r="F11939" t="s">
        <v>32831</v>
      </c>
      <c r="G11939" t="s">
        <v>32839</v>
      </c>
      <c r="H11939" t="s">
        <v>32850</v>
      </c>
      <c r="I11939" t="s">
        <v>32967</v>
      </c>
      <c r="J11939" t="s">
        <v>40297</v>
      </c>
      <c r="K11939" t="s">
        <v>42747</v>
      </c>
      <c r="M11939" t="s">
        <v>43349</v>
      </c>
      <c r="N11939" t="s">
        <v>47424</v>
      </c>
      <c r="O11939" t="s">
        <v>47425</v>
      </c>
      <c r="Q11939">
        <v>3</v>
      </c>
      <c r="R11939" t="s">
        <v>47438</v>
      </c>
      <c r="S11939" t="s">
        <v>47766</v>
      </c>
      <c r="T11939" t="s">
        <v>49091</v>
      </c>
      <c r="U11939" t="s">
        <v>59466</v>
      </c>
      <c r="W11939" t="s">
        <v>43349</v>
      </c>
      <c r="X11939" t="s">
        <v>47439</v>
      </c>
    </row>
    <row r="11940" spans="1:24">
      <c r="A11940">
        <f>HYPERLINK("https://www.philgeps.gov.ph/GEPSNONPILOT/Tender/SplashBidNoticeAbstractUI.aspx?menuIndex=3&amp;refID=7144874&amp;Result=3","7144874")</f>
        <v>0</v>
      </c>
      <c r="B11940" t="s">
        <v>412</v>
      </c>
      <c r="C11940" t="s">
        <v>15144</v>
      </c>
      <c r="D11940" t="s">
        <v>19091</v>
      </c>
      <c r="E11940" t="s">
        <v>29317</v>
      </c>
      <c r="F11940" t="s">
        <v>32831</v>
      </c>
      <c r="G11940" t="s">
        <v>32839</v>
      </c>
      <c r="H11940" t="s">
        <v>32848</v>
      </c>
      <c r="I11940" t="s">
        <v>32932</v>
      </c>
      <c r="J11940" t="s">
        <v>40298</v>
      </c>
      <c r="K11940" t="s">
        <v>42730</v>
      </c>
      <c r="M11940" t="s">
        <v>43417</v>
      </c>
      <c r="N11940" t="s">
        <v>47424</v>
      </c>
      <c r="O11940" t="s">
        <v>47425</v>
      </c>
      <c r="P11940">
        <v>0</v>
      </c>
      <c r="Q11940">
        <v>6</v>
      </c>
      <c r="R11940" t="s">
        <v>47438</v>
      </c>
      <c r="S11940" t="s">
        <v>47793</v>
      </c>
      <c r="T11940" t="s">
        <v>49059</v>
      </c>
      <c r="U11940" t="s">
        <v>59467</v>
      </c>
      <c r="W11940" t="s">
        <v>46826</v>
      </c>
      <c r="X11940" t="s">
        <v>47439</v>
      </c>
    </row>
    <row r="11941" spans="1:24">
      <c r="A11941">
        <f>HYPERLINK("https://www.philgeps.gov.ph/GEPSNONPILOT/Tender/SplashBidNoticeAbstractUI.aspx?menuIndex=3&amp;refID=7144783&amp;Result=3","7144783")</f>
        <v>0</v>
      </c>
      <c r="B11941" t="s">
        <v>1484</v>
      </c>
      <c r="C11941" t="s">
        <v>15145</v>
      </c>
      <c r="D11941" t="s">
        <v>19031</v>
      </c>
      <c r="E11941" t="s">
        <v>29318</v>
      </c>
      <c r="F11941" t="s">
        <v>32831</v>
      </c>
      <c r="G11941" t="s">
        <v>32839</v>
      </c>
      <c r="H11941" t="s">
        <v>32849</v>
      </c>
      <c r="I11941" t="s">
        <v>4177</v>
      </c>
      <c r="J11941" t="s">
        <v>40299</v>
      </c>
      <c r="K11941" t="s">
        <v>42909</v>
      </c>
      <c r="M11941" t="s">
        <v>46206</v>
      </c>
      <c r="N11941" t="s">
        <v>47424</v>
      </c>
      <c r="O11941" t="s">
        <v>47425</v>
      </c>
      <c r="P11941">
        <v>0</v>
      </c>
      <c r="Q11941">
        <v>1</v>
      </c>
      <c r="R11941" t="s">
        <v>47438</v>
      </c>
      <c r="S11941" t="s">
        <v>47793</v>
      </c>
      <c r="T11941" t="s">
        <v>49196</v>
      </c>
      <c r="U11941" t="s">
        <v>59468</v>
      </c>
      <c r="W11941" t="s">
        <v>46206</v>
      </c>
      <c r="X11941" t="s">
        <v>47439</v>
      </c>
    </row>
    <row r="11942" spans="1:24">
      <c r="A11942">
        <f>HYPERLINK("https://www.philgeps.gov.ph/GEPSNONPILOT/Tender/SplashBidNoticeAbstractUI.aspx?menuIndex=3&amp;refID=7144781&amp;Result=3","7144781")</f>
        <v>0</v>
      </c>
      <c r="B11942" t="s">
        <v>3472</v>
      </c>
      <c r="C11942" t="s">
        <v>9079</v>
      </c>
      <c r="D11942" t="s">
        <v>19034</v>
      </c>
      <c r="E11942" t="s">
        <v>29319</v>
      </c>
      <c r="F11942" t="s">
        <v>32831</v>
      </c>
      <c r="G11942" t="s">
        <v>32839</v>
      </c>
      <c r="H11942" t="s">
        <v>32848</v>
      </c>
      <c r="I11942" t="s">
        <v>7416</v>
      </c>
      <c r="J11942" t="s">
        <v>40300</v>
      </c>
      <c r="K11942" t="s">
        <v>42730</v>
      </c>
      <c r="M11942" t="s">
        <v>46816</v>
      </c>
      <c r="N11942" t="s">
        <v>47424</v>
      </c>
      <c r="O11942" t="s">
        <v>47425</v>
      </c>
      <c r="P11942">
        <v>0</v>
      </c>
      <c r="Q11942">
        <v>0</v>
      </c>
      <c r="R11942" t="s">
        <v>47438</v>
      </c>
      <c r="S11942" t="s">
        <v>47793</v>
      </c>
      <c r="T11942" t="s">
        <v>49080</v>
      </c>
      <c r="U11942" t="s">
        <v>59469</v>
      </c>
      <c r="W11942" t="s">
        <v>46816</v>
      </c>
      <c r="X11942" t="s">
        <v>47439</v>
      </c>
    </row>
    <row r="11943" spans="1:24">
      <c r="A11943">
        <f>HYPERLINK("https://www.philgeps.gov.ph/GEPSNONPILOT/Tender/SplashBidNoticeAbstractUI.aspx?menuIndex=3&amp;refID=7144858&amp;Result=3","7144858")</f>
        <v>0</v>
      </c>
      <c r="B11943" t="s">
        <v>3437</v>
      </c>
      <c r="C11943" t="s">
        <v>15128</v>
      </c>
      <c r="D11943" t="s">
        <v>19085</v>
      </c>
      <c r="E11943" t="s">
        <v>29320</v>
      </c>
      <c r="F11943" t="s">
        <v>32831</v>
      </c>
      <c r="G11943" t="s">
        <v>32839</v>
      </c>
      <c r="H11943" t="s">
        <v>32849</v>
      </c>
      <c r="I11943" t="s">
        <v>4177</v>
      </c>
      <c r="J11943" t="s">
        <v>33044</v>
      </c>
      <c r="K11943" t="s">
        <v>42747</v>
      </c>
      <c r="M11943" t="s">
        <v>46773</v>
      </c>
      <c r="N11943" t="s">
        <v>47424</v>
      </c>
      <c r="O11943" t="s">
        <v>47425</v>
      </c>
      <c r="P11943">
        <v>0</v>
      </c>
      <c r="Q11943">
        <v>0</v>
      </c>
      <c r="R11943" t="s">
        <v>47438</v>
      </c>
      <c r="S11943" t="s">
        <v>47793</v>
      </c>
      <c r="T11943" t="s">
        <v>49063</v>
      </c>
      <c r="U11943" t="s">
        <v>59470</v>
      </c>
      <c r="W11943" t="s">
        <v>46773</v>
      </c>
      <c r="X11943" t="s">
        <v>47439</v>
      </c>
    </row>
    <row r="11944" spans="1:24">
      <c r="A11944">
        <f>HYPERLINK("https://www.philgeps.gov.ph/GEPSNONPILOT/Tender/SplashBidNoticeAbstractUI.aspx?menuIndex=3&amp;refID=7144873&amp;Result=3","7144873")</f>
        <v>0</v>
      </c>
      <c r="B11944" t="s">
        <v>3437</v>
      </c>
      <c r="C11944" t="s">
        <v>15146</v>
      </c>
      <c r="D11944" t="s">
        <v>19085</v>
      </c>
      <c r="E11944" t="s">
        <v>29321</v>
      </c>
      <c r="F11944" t="s">
        <v>32831</v>
      </c>
      <c r="G11944" t="s">
        <v>32839</v>
      </c>
      <c r="H11944" t="s">
        <v>32849</v>
      </c>
      <c r="I11944" t="s">
        <v>4177</v>
      </c>
      <c r="J11944" t="s">
        <v>33279</v>
      </c>
      <c r="K11944" t="s">
        <v>42730</v>
      </c>
      <c r="M11944" t="s">
        <v>46773</v>
      </c>
      <c r="N11944" t="s">
        <v>47424</v>
      </c>
      <c r="O11944" t="s">
        <v>47425</v>
      </c>
      <c r="Q11944">
        <v>0</v>
      </c>
      <c r="R11944" t="s">
        <v>47438</v>
      </c>
      <c r="S11944" t="s">
        <v>47850</v>
      </c>
      <c r="T11944" t="s">
        <v>49063</v>
      </c>
      <c r="U11944" t="s">
        <v>59471</v>
      </c>
      <c r="W11944" t="s">
        <v>46773</v>
      </c>
      <c r="X11944" t="s">
        <v>47439</v>
      </c>
    </row>
    <row r="11945" spans="1:24">
      <c r="A11945">
        <f>HYPERLINK("https://www.philgeps.gov.ph/GEPSNONPILOT/Tender/SplashBidNoticeAbstractUI.aspx?menuIndex=3&amp;refID=7144946&amp;Result=3","7144946")</f>
        <v>0</v>
      </c>
      <c r="B11945" t="s">
        <v>3480</v>
      </c>
      <c r="C11945" t="s">
        <v>8004</v>
      </c>
      <c r="D11945" t="s">
        <v>19017</v>
      </c>
      <c r="E11945" t="s">
        <v>29322</v>
      </c>
      <c r="F11945" t="s">
        <v>32832</v>
      </c>
      <c r="G11945" t="s">
        <v>32839</v>
      </c>
      <c r="H11945" t="s">
        <v>32848</v>
      </c>
      <c r="I11945" t="s">
        <v>4558</v>
      </c>
      <c r="J11945" t="s">
        <v>33087</v>
      </c>
      <c r="K11945" t="s">
        <v>42726</v>
      </c>
      <c r="M11945" t="s">
        <v>46824</v>
      </c>
      <c r="N11945" t="s">
        <v>47424</v>
      </c>
      <c r="O11945" t="s">
        <v>47425</v>
      </c>
      <c r="P11945">
        <v>0</v>
      </c>
      <c r="Q11945">
        <v>1</v>
      </c>
      <c r="R11945" t="s">
        <v>47438</v>
      </c>
      <c r="S11945" t="s">
        <v>47793</v>
      </c>
      <c r="T11945" t="s">
        <v>49061</v>
      </c>
      <c r="U11945" t="s">
        <v>59472</v>
      </c>
      <c r="W11945" t="s">
        <v>46824</v>
      </c>
      <c r="X11945" t="s">
        <v>47439</v>
      </c>
    </row>
    <row r="11946" spans="1:24">
      <c r="A11946">
        <f>HYPERLINK("https://www.philgeps.gov.ph/GEPSNONPILOT/Tender/SplashBidNoticeAbstractUI.aspx?menuIndex=3&amp;refID=7144866&amp;Result=3","7144866")</f>
        <v>0</v>
      </c>
      <c r="B11946" t="s">
        <v>345</v>
      </c>
      <c r="C11946" t="s">
        <v>15147</v>
      </c>
      <c r="D11946" t="s">
        <v>19074</v>
      </c>
      <c r="E11946" t="s">
        <v>29323</v>
      </c>
      <c r="F11946" t="s">
        <v>32831</v>
      </c>
      <c r="G11946" t="s">
        <v>32839</v>
      </c>
      <c r="H11946" t="s">
        <v>32850</v>
      </c>
      <c r="I11946" t="s">
        <v>32861</v>
      </c>
      <c r="J11946" t="s">
        <v>33024</v>
      </c>
      <c r="K11946" t="s">
        <v>42747</v>
      </c>
      <c r="M11946" t="s">
        <v>43349</v>
      </c>
      <c r="N11946" t="s">
        <v>47424</v>
      </c>
      <c r="O11946" t="s">
        <v>47425</v>
      </c>
      <c r="Q11946">
        <v>22</v>
      </c>
      <c r="R11946" t="s">
        <v>47438</v>
      </c>
      <c r="S11946" t="s">
        <v>47851</v>
      </c>
      <c r="T11946" t="s">
        <v>49068</v>
      </c>
      <c r="U11946" t="s">
        <v>59473</v>
      </c>
      <c r="W11946" t="s">
        <v>43349</v>
      </c>
      <c r="X11946" t="s">
        <v>47439</v>
      </c>
    </row>
    <row r="11947" spans="1:24">
      <c r="A11947">
        <f>HYPERLINK("https://www.philgeps.gov.ph/GEPSNONPILOT/Tender/SplashBidNoticeAbstractUI.aspx?menuIndex=3&amp;refID=7144809&amp;Result=3","7144809")</f>
        <v>0</v>
      </c>
      <c r="B11947" t="s">
        <v>2885</v>
      </c>
      <c r="C11947" t="s">
        <v>15148</v>
      </c>
      <c r="D11947" t="s">
        <v>19019</v>
      </c>
      <c r="E11947" t="s">
        <v>29324</v>
      </c>
      <c r="F11947" t="s">
        <v>32831</v>
      </c>
      <c r="G11947" t="s">
        <v>32839</v>
      </c>
      <c r="H11947" t="s">
        <v>32849</v>
      </c>
      <c r="I11947" t="s">
        <v>32859</v>
      </c>
      <c r="J11947" t="s">
        <v>40301</v>
      </c>
      <c r="K11947" t="s">
        <v>42731</v>
      </c>
      <c r="M11947" t="s">
        <v>46124</v>
      </c>
      <c r="N11947" t="s">
        <v>47424</v>
      </c>
      <c r="O11947" t="s">
        <v>47425</v>
      </c>
      <c r="Q11947">
        <v>7</v>
      </c>
      <c r="R11947" t="s">
        <v>47438</v>
      </c>
      <c r="S11947" t="s">
        <v>47852</v>
      </c>
      <c r="T11947" t="s">
        <v>49133</v>
      </c>
      <c r="U11947" t="s">
        <v>59474</v>
      </c>
      <c r="W11947" t="s">
        <v>46124</v>
      </c>
      <c r="X11947" t="s">
        <v>47439</v>
      </c>
    </row>
    <row r="11948" spans="1:24">
      <c r="A11948">
        <f>HYPERLINK("https://www.philgeps.gov.ph/GEPSNONPILOT/Tender/SplashBidNoticeAbstractUI.aspx?menuIndex=3&amp;refID=7144865&amp;Result=3","7144865")</f>
        <v>0</v>
      </c>
      <c r="B11948" t="s">
        <v>3472</v>
      </c>
      <c r="C11948" t="s">
        <v>15149</v>
      </c>
      <c r="D11948" t="s">
        <v>19034</v>
      </c>
      <c r="E11948" t="s">
        <v>29325</v>
      </c>
      <c r="F11948" t="s">
        <v>32831</v>
      </c>
      <c r="G11948" t="s">
        <v>32839</v>
      </c>
      <c r="H11948" t="s">
        <v>32848</v>
      </c>
      <c r="I11948" t="s">
        <v>4558</v>
      </c>
      <c r="J11948" t="s">
        <v>40302</v>
      </c>
      <c r="K11948" t="s">
        <v>42730</v>
      </c>
      <c r="M11948" t="s">
        <v>46816</v>
      </c>
      <c r="N11948" t="s">
        <v>47424</v>
      </c>
      <c r="O11948" t="s">
        <v>47425</v>
      </c>
      <c r="P11948">
        <v>0</v>
      </c>
      <c r="Q11948">
        <v>3</v>
      </c>
      <c r="R11948" t="s">
        <v>47438</v>
      </c>
      <c r="S11948" t="s">
        <v>47793</v>
      </c>
      <c r="T11948" t="s">
        <v>49080</v>
      </c>
      <c r="U11948" t="s">
        <v>59475</v>
      </c>
      <c r="W11948" t="s">
        <v>46816</v>
      </c>
      <c r="X11948" t="s">
        <v>47439</v>
      </c>
    </row>
    <row r="11949" spans="1:24">
      <c r="A11949">
        <f>HYPERLINK("https://www.philgeps.gov.ph/GEPSNONPILOT/Tender/SplashBidNoticeAbstractUI.aspx?menuIndex=3&amp;refID=7144937&amp;Result=3","7144937")</f>
        <v>0</v>
      </c>
      <c r="B11949" t="s">
        <v>557</v>
      </c>
      <c r="C11949" t="s">
        <v>15150</v>
      </c>
      <c r="E11949" t="s">
        <v>29326</v>
      </c>
      <c r="F11949" t="s">
        <v>32831</v>
      </c>
      <c r="G11949" t="s">
        <v>32839</v>
      </c>
      <c r="H11949" t="s">
        <v>32849</v>
      </c>
      <c r="I11949" t="s">
        <v>4177</v>
      </c>
      <c r="J11949" t="s">
        <v>40303</v>
      </c>
      <c r="K11949" t="s">
        <v>42732</v>
      </c>
      <c r="M11949" t="s">
        <v>43565</v>
      </c>
      <c r="N11949" t="s">
        <v>47424</v>
      </c>
      <c r="O11949" t="s">
        <v>47425</v>
      </c>
      <c r="P11949">
        <v>0</v>
      </c>
      <c r="Q11949">
        <v>2</v>
      </c>
      <c r="R11949" t="s">
        <v>47438</v>
      </c>
      <c r="S11949" t="s">
        <v>47793</v>
      </c>
      <c r="T11949" t="s">
        <v>49080</v>
      </c>
      <c r="U11949" t="s">
        <v>59476</v>
      </c>
      <c r="V11949" t="s">
        <v>63939</v>
      </c>
      <c r="W11949" t="s">
        <v>43565</v>
      </c>
      <c r="X11949" t="s">
        <v>47439</v>
      </c>
    </row>
    <row r="11950" spans="1:24">
      <c r="A11950">
        <f>HYPERLINK("https://www.philgeps.gov.ph/GEPSNONPILOT/Tender/SplashBidNoticeAbstractUI.aspx?menuIndex=3&amp;refID=7144926&amp;Result=3","7144926")</f>
        <v>0</v>
      </c>
      <c r="B11950" t="s">
        <v>3480</v>
      </c>
      <c r="C11950" t="s">
        <v>14458</v>
      </c>
      <c r="D11950" t="s">
        <v>19017</v>
      </c>
      <c r="E11950" t="s">
        <v>29322</v>
      </c>
      <c r="F11950" t="s">
        <v>32832</v>
      </c>
      <c r="G11950" t="s">
        <v>32839</v>
      </c>
      <c r="H11950" t="s">
        <v>32848</v>
      </c>
      <c r="I11950" t="s">
        <v>4776</v>
      </c>
      <c r="J11950" t="s">
        <v>34095</v>
      </c>
      <c r="K11950" t="s">
        <v>42726</v>
      </c>
      <c r="M11950" t="s">
        <v>46824</v>
      </c>
      <c r="N11950" t="s">
        <v>47424</v>
      </c>
      <c r="O11950" t="s">
        <v>47425</v>
      </c>
      <c r="P11950">
        <v>0</v>
      </c>
      <c r="Q11950">
        <v>5</v>
      </c>
      <c r="R11950" t="s">
        <v>47438</v>
      </c>
      <c r="S11950" t="s">
        <v>47793</v>
      </c>
      <c r="T11950" t="s">
        <v>49061</v>
      </c>
      <c r="U11950" t="s">
        <v>59477</v>
      </c>
      <c r="W11950" t="s">
        <v>46824</v>
      </c>
      <c r="X11950" t="s">
        <v>47439</v>
      </c>
    </row>
    <row r="11951" spans="1:24">
      <c r="A11951">
        <f>HYPERLINK("https://www.philgeps.gov.ph/GEPSNONPILOT/Tender/SplashBidNoticeAbstractUI.aspx?menuIndex=3&amp;refID=7144924&amp;Result=3","7144924")</f>
        <v>0</v>
      </c>
      <c r="B11951" t="s">
        <v>3481</v>
      </c>
      <c r="C11951" t="s">
        <v>15151</v>
      </c>
      <c r="E11951" t="s">
        <v>29327</v>
      </c>
      <c r="F11951" t="s">
        <v>32831</v>
      </c>
      <c r="G11951" t="s">
        <v>32839</v>
      </c>
      <c r="H11951" t="s">
        <v>32850</v>
      </c>
      <c r="I11951" t="s">
        <v>32863</v>
      </c>
      <c r="J11951" t="s">
        <v>40304</v>
      </c>
      <c r="K11951" t="s">
        <v>42807</v>
      </c>
      <c r="M11951" t="s">
        <v>46825</v>
      </c>
      <c r="N11951" t="s">
        <v>47424</v>
      </c>
      <c r="O11951" t="s">
        <v>47425</v>
      </c>
      <c r="Q11951">
        <v>1</v>
      </c>
      <c r="R11951" t="s">
        <v>47438</v>
      </c>
      <c r="S11951" t="s">
        <v>47853</v>
      </c>
      <c r="T11951" t="s">
        <v>49106</v>
      </c>
      <c r="U11951" t="s">
        <v>59478</v>
      </c>
      <c r="W11951" t="s">
        <v>46825</v>
      </c>
      <c r="X11951" t="s">
        <v>47439</v>
      </c>
    </row>
    <row r="11952" spans="1:24">
      <c r="A11952">
        <f>HYPERLINK("https://www.philgeps.gov.ph/GEPSNONPILOT/Tender/SplashBidNoticeAbstractUI.aspx?menuIndex=3&amp;refID=7144919&amp;Result=3","7144919")</f>
        <v>0</v>
      </c>
      <c r="B11952" t="s">
        <v>3480</v>
      </c>
      <c r="C11952" t="s">
        <v>15152</v>
      </c>
      <c r="D11952" t="s">
        <v>19017</v>
      </c>
      <c r="E11952" t="s">
        <v>29322</v>
      </c>
      <c r="F11952" t="s">
        <v>32832</v>
      </c>
      <c r="G11952" t="s">
        <v>32839</v>
      </c>
      <c r="H11952" t="s">
        <v>32848</v>
      </c>
      <c r="I11952" t="s">
        <v>9577</v>
      </c>
      <c r="J11952" t="s">
        <v>33087</v>
      </c>
      <c r="K11952" t="s">
        <v>42726</v>
      </c>
      <c r="M11952" t="s">
        <v>46824</v>
      </c>
      <c r="N11952" t="s">
        <v>47424</v>
      </c>
      <c r="O11952" t="s">
        <v>47425</v>
      </c>
      <c r="P11952">
        <v>0</v>
      </c>
      <c r="Q11952">
        <v>7</v>
      </c>
      <c r="R11952" t="s">
        <v>47438</v>
      </c>
      <c r="S11952" t="s">
        <v>47793</v>
      </c>
      <c r="T11952" t="s">
        <v>49061</v>
      </c>
      <c r="U11952" t="s">
        <v>59479</v>
      </c>
      <c r="W11952" t="s">
        <v>46824</v>
      </c>
      <c r="X11952" t="s">
        <v>47439</v>
      </c>
    </row>
    <row r="11953" spans="1:24">
      <c r="A11953">
        <f>HYPERLINK("https://www.philgeps.gov.ph/GEPSNONPILOT/Tender/SplashBidNoticeAbstractUI.aspx?menuIndex=3&amp;refID=7144899&amp;Result=3","7144899")</f>
        <v>0</v>
      </c>
      <c r="B11953" t="s">
        <v>3437</v>
      </c>
      <c r="C11953" t="s">
        <v>10139</v>
      </c>
      <c r="D11953" t="s">
        <v>19085</v>
      </c>
      <c r="E11953" t="s">
        <v>29328</v>
      </c>
      <c r="F11953" t="s">
        <v>32831</v>
      </c>
      <c r="G11953" t="s">
        <v>32839</v>
      </c>
      <c r="H11953" t="s">
        <v>32848</v>
      </c>
      <c r="I11953" t="s">
        <v>4558</v>
      </c>
      <c r="J11953" t="s">
        <v>40305</v>
      </c>
      <c r="K11953" t="s">
        <v>42727</v>
      </c>
      <c r="M11953" t="s">
        <v>46773</v>
      </c>
      <c r="N11953" t="s">
        <v>47424</v>
      </c>
      <c r="O11953" t="s">
        <v>47425</v>
      </c>
      <c r="P11953">
        <v>0</v>
      </c>
      <c r="Q11953">
        <v>3</v>
      </c>
      <c r="R11953" t="s">
        <v>47438</v>
      </c>
      <c r="S11953" t="s">
        <v>47793</v>
      </c>
      <c r="T11953" t="s">
        <v>49063</v>
      </c>
      <c r="U11953" t="s">
        <v>59480</v>
      </c>
      <c r="W11953" t="s">
        <v>46773</v>
      </c>
      <c r="X11953" t="s">
        <v>47439</v>
      </c>
    </row>
    <row r="11954" spans="1:24">
      <c r="A11954">
        <f>HYPERLINK("https://www.philgeps.gov.ph/GEPSNONPILOT/Tender/SplashBidNoticeAbstractUI.aspx?menuIndex=3&amp;refID=7144940&amp;Result=3","7144940")</f>
        <v>0</v>
      </c>
      <c r="B11954" t="s">
        <v>3480</v>
      </c>
      <c r="C11954" t="s">
        <v>15153</v>
      </c>
      <c r="D11954" t="s">
        <v>19017</v>
      </c>
      <c r="E11954" t="s">
        <v>29322</v>
      </c>
      <c r="F11954" t="s">
        <v>32832</v>
      </c>
      <c r="G11954" t="s">
        <v>32839</v>
      </c>
      <c r="H11954" t="s">
        <v>32848</v>
      </c>
      <c r="I11954" t="s">
        <v>32867</v>
      </c>
      <c r="J11954" t="s">
        <v>33041</v>
      </c>
      <c r="K11954" t="s">
        <v>42726</v>
      </c>
      <c r="M11954" t="s">
        <v>46824</v>
      </c>
      <c r="N11954" t="s">
        <v>47424</v>
      </c>
      <c r="O11954" t="s">
        <v>47425</v>
      </c>
      <c r="P11954">
        <v>0</v>
      </c>
      <c r="Q11954">
        <v>4</v>
      </c>
      <c r="R11954" t="s">
        <v>47438</v>
      </c>
      <c r="S11954" t="s">
        <v>47793</v>
      </c>
      <c r="T11954" t="s">
        <v>49061</v>
      </c>
      <c r="U11954" t="s">
        <v>59481</v>
      </c>
      <c r="W11954" t="s">
        <v>46824</v>
      </c>
      <c r="X11954" t="s">
        <v>47439</v>
      </c>
    </row>
    <row r="11955" spans="1:24">
      <c r="A11955">
        <f>HYPERLINK("https://www.philgeps.gov.ph/GEPSNONPILOT/Tender/SplashBidNoticeAbstractUI.aspx?menuIndex=3&amp;refID=7144897&amp;Result=3","7144897")</f>
        <v>0</v>
      </c>
      <c r="B11955" t="s">
        <v>412</v>
      </c>
      <c r="C11955" t="s">
        <v>15154</v>
      </c>
      <c r="D11955" t="s">
        <v>19091</v>
      </c>
      <c r="E11955" t="s">
        <v>29329</v>
      </c>
      <c r="F11955" t="s">
        <v>32831</v>
      </c>
      <c r="G11955" t="s">
        <v>32839</v>
      </c>
      <c r="H11955" t="s">
        <v>32848</v>
      </c>
      <c r="I11955" t="s">
        <v>9577</v>
      </c>
      <c r="J11955" t="s">
        <v>33118</v>
      </c>
      <c r="K11955" t="s">
        <v>42730</v>
      </c>
      <c r="M11955" t="s">
        <v>46826</v>
      </c>
      <c r="N11955" t="s">
        <v>47424</v>
      </c>
      <c r="O11955" t="s">
        <v>47425</v>
      </c>
      <c r="Q11955">
        <v>4</v>
      </c>
      <c r="R11955" t="s">
        <v>47438</v>
      </c>
      <c r="S11955" t="s">
        <v>47854</v>
      </c>
      <c r="T11955" t="s">
        <v>49059</v>
      </c>
      <c r="U11955" t="s">
        <v>59482</v>
      </c>
      <c r="W11955" t="s">
        <v>46826</v>
      </c>
      <c r="X11955" t="s">
        <v>47439</v>
      </c>
    </row>
    <row r="11956" spans="1:24">
      <c r="A11956">
        <f>HYPERLINK("https://www.philgeps.gov.ph/GEPSNONPILOT/Tender/SplashBidNoticeAbstractUI.aspx?menuIndex=3&amp;refID=7144856&amp;Result=3","7144856")</f>
        <v>0</v>
      </c>
      <c r="B11956" t="s">
        <v>960</v>
      </c>
      <c r="C11956" t="s">
        <v>15155</v>
      </c>
      <c r="D11956" t="s">
        <v>19017</v>
      </c>
      <c r="E11956" t="s">
        <v>29330</v>
      </c>
      <c r="F11956" t="s">
        <v>32831</v>
      </c>
      <c r="G11956" t="s">
        <v>32839</v>
      </c>
      <c r="H11956" t="s">
        <v>32848</v>
      </c>
      <c r="I11956" t="s">
        <v>32886</v>
      </c>
      <c r="J11956" t="s">
        <v>36873</v>
      </c>
      <c r="K11956" t="s">
        <v>42768</v>
      </c>
      <c r="M11956" t="s">
        <v>46827</v>
      </c>
      <c r="N11956" t="s">
        <v>47424</v>
      </c>
      <c r="O11956" t="s">
        <v>47425</v>
      </c>
      <c r="P11956">
        <v>0</v>
      </c>
      <c r="Q11956">
        <v>6</v>
      </c>
      <c r="R11956" t="s">
        <v>47438</v>
      </c>
      <c r="S11956" t="s">
        <v>47793</v>
      </c>
      <c r="T11956" t="s">
        <v>49250</v>
      </c>
      <c r="U11956" t="s">
        <v>59483</v>
      </c>
      <c r="W11956" t="s">
        <v>46827</v>
      </c>
      <c r="X11956" t="s">
        <v>47439</v>
      </c>
    </row>
    <row r="11957" spans="1:24">
      <c r="A11957">
        <f>HYPERLINK("https://www.philgeps.gov.ph/GEPSNONPILOT/Tender/SplashBidNoticeAbstractUI.aspx?menuIndex=3&amp;refID=7145007&amp;Result=3","7145007")</f>
        <v>0</v>
      </c>
      <c r="B11957" t="s">
        <v>3482</v>
      </c>
      <c r="C11957" t="s">
        <v>15156</v>
      </c>
      <c r="D11957" t="s">
        <v>19095</v>
      </c>
      <c r="E11957" t="s">
        <v>19189</v>
      </c>
      <c r="F11957" t="s">
        <v>32833</v>
      </c>
      <c r="G11957" t="s">
        <v>32839</v>
      </c>
      <c r="H11957" t="s">
        <v>32848</v>
      </c>
      <c r="I11957" t="s">
        <v>7416</v>
      </c>
      <c r="J11957" t="s">
        <v>40306</v>
      </c>
      <c r="K11957" t="s">
        <v>42770</v>
      </c>
      <c r="M11957" t="s">
        <v>46828</v>
      </c>
      <c r="N11957" t="s">
        <v>47424</v>
      </c>
      <c r="O11957" t="s">
        <v>47425</v>
      </c>
      <c r="P11957">
        <v>0</v>
      </c>
      <c r="Q11957">
        <v>0</v>
      </c>
      <c r="R11957" t="s">
        <v>47438</v>
      </c>
      <c r="S11957" t="s">
        <v>47793</v>
      </c>
      <c r="T11957" t="s">
        <v>49142</v>
      </c>
      <c r="U11957" t="s">
        <v>59484</v>
      </c>
      <c r="W11957" t="s">
        <v>46828</v>
      </c>
      <c r="X11957" t="s">
        <v>47439</v>
      </c>
    </row>
    <row r="11958" spans="1:24">
      <c r="A11958">
        <f>HYPERLINK("https://www.philgeps.gov.ph/GEPSNONPILOT/Tender/SplashBidNoticeAbstractUI.aspx?menuIndex=3&amp;refID=7145006&amp;Result=3","7145006")</f>
        <v>0</v>
      </c>
      <c r="B11958" t="s">
        <v>1312</v>
      </c>
      <c r="C11958" t="s">
        <v>15157</v>
      </c>
      <c r="D11958" t="s">
        <v>19054</v>
      </c>
      <c r="E11958" t="s">
        <v>29331</v>
      </c>
      <c r="F11958" t="s">
        <v>32831</v>
      </c>
      <c r="G11958" t="s">
        <v>32839</v>
      </c>
      <c r="H11958" t="s">
        <v>32848</v>
      </c>
      <c r="I11958" t="s">
        <v>32868</v>
      </c>
      <c r="J11958" t="s">
        <v>33291</v>
      </c>
      <c r="K11958" t="s">
        <v>42732</v>
      </c>
      <c r="M11958" t="s">
        <v>44383</v>
      </c>
      <c r="N11958" t="s">
        <v>47424</v>
      </c>
      <c r="O11958" t="s">
        <v>47425</v>
      </c>
      <c r="P11958">
        <v>0</v>
      </c>
      <c r="Q11958">
        <v>2</v>
      </c>
      <c r="R11958" t="s">
        <v>47438</v>
      </c>
      <c r="S11958" t="s">
        <v>47793</v>
      </c>
      <c r="T11958" t="s">
        <v>49243</v>
      </c>
      <c r="U11958" t="s">
        <v>59485</v>
      </c>
      <c r="W11958" t="s">
        <v>44383</v>
      </c>
      <c r="X11958" t="s">
        <v>47439</v>
      </c>
    </row>
    <row r="11959" spans="1:24">
      <c r="A11959">
        <f>HYPERLINK("https://www.philgeps.gov.ph/GEPSNONPILOT/Tender/SplashBidNoticeAbstractUI.aspx?menuIndex=3&amp;refID=7144998&amp;Result=3","7144998")</f>
        <v>0</v>
      </c>
      <c r="B11959" t="s">
        <v>1312</v>
      </c>
      <c r="C11959" t="s">
        <v>15158</v>
      </c>
      <c r="D11959" t="s">
        <v>19054</v>
      </c>
      <c r="E11959" t="s">
        <v>29332</v>
      </c>
      <c r="F11959" t="s">
        <v>32831</v>
      </c>
      <c r="G11959" t="s">
        <v>32839</v>
      </c>
      <c r="H11959" t="s">
        <v>32848</v>
      </c>
      <c r="I11959" t="s">
        <v>32870</v>
      </c>
      <c r="J11959" t="s">
        <v>37252</v>
      </c>
      <c r="K11959" t="s">
        <v>42732</v>
      </c>
      <c r="M11959" t="s">
        <v>44383</v>
      </c>
      <c r="N11959" t="s">
        <v>47424</v>
      </c>
      <c r="O11959" t="s">
        <v>47425</v>
      </c>
      <c r="P11959">
        <v>0</v>
      </c>
      <c r="Q11959">
        <v>0</v>
      </c>
      <c r="R11959" t="s">
        <v>47438</v>
      </c>
      <c r="S11959" t="s">
        <v>47793</v>
      </c>
      <c r="T11959" t="s">
        <v>49243</v>
      </c>
      <c r="U11959" t="s">
        <v>59485</v>
      </c>
      <c r="W11959" t="s">
        <v>44383</v>
      </c>
      <c r="X11959" t="s">
        <v>47439</v>
      </c>
    </row>
    <row r="11960" spans="1:24">
      <c r="A11960">
        <f>HYPERLINK("https://www.philgeps.gov.ph/GEPSNONPILOT/Tender/SplashBidNoticeAbstractUI.aspx?menuIndex=3&amp;refID=7144993&amp;Result=3","7144993")</f>
        <v>0</v>
      </c>
      <c r="B11960" t="s">
        <v>1312</v>
      </c>
      <c r="C11960" t="s">
        <v>15159</v>
      </c>
      <c r="D11960" t="s">
        <v>19054</v>
      </c>
      <c r="E11960" t="s">
        <v>29333</v>
      </c>
      <c r="F11960" t="s">
        <v>32831</v>
      </c>
      <c r="G11960" t="s">
        <v>32839</v>
      </c>
      <c r="H11960" t="s">
        <v>32848</v>
      </c>
      <c r="I11960" t="s">
        <v>32870</v>
      </c>
      <c r="J11960" t="s">
        <v>33721</v>
      </c>
      <c r="K11960" t="s">
        <v>42732</v>
      </c>
      <c r="M11960" t="s">
        <v>44383</v>
      </c>
      <c r="N11960" t="s">
        <v>47424</v>
      </c>
      <c r="O11960" t="s">
        <v>47425</v>
      </c>
      <c r="P11960">
        <v>0</v>
      </c>
      <c r="Q11960">
        <v>0</v>
      </c>
      <c r="R11960" t="s">
        <v>47438</v>
      </c>
      <c r="S11960" t="s">
        <v>47793</v>
      </c>
      <c r="T11960" t="s">
        <v>49243</v>
      </c>
      <c r="U11960" t="s">
        <v>59485</v>
      </c>
      <c r="W11960" t="s">
        <v>44383</v>
      </c>
      <c r="X11960" t="s">
        <v>47439</v>
      </c>
    </row>
    <row r="11961" spans="1:24">
      <c r="A11961">
        <f>HYPERLINK("https://www.philgeps.gov.ph/GEPSNONPILOT/Tender/SplashBidNoticeAbstractUI.aspx?menuIndex=3&amp;refID=7144933&amp;Result=3","7144933")</f>
        <v>0</v>
      </c>
      <c r="B11961" t="s">
        <v>3480</v>
      </c>
      <c r="C11961" t="s">
        <v>15160</v>
      </c>
      <c r="D11961" t="s">
        <v>19017</v>
      </c>
      <c r="E11961" t="s">
        <v>29322</v>
      </c>
      <c r="F11961" t="s">
        <v>32832</v>
      </c>
      <c r="G11961" t="s">
        <v>32839</v>
      </c>
      <c r="H11961" t="s">
        <v>32848</v>
      </c>
      <c r="I11961" t="s">
        <v>32917</v>
      </c>
      <c r="J11961" t="s">
        <v>33025</v>
      </c>
      <c r="K11961" t="s">
        <v>42726</v>
      </c>
      <c r="M11961" t="s">
        <v>46824</v>
      </c>
      <c r="N11961" t="s">
        <v>47424</v>
      </c>
      <c r="O11961" t="s">
        <v>47425</v>
      </c>
      <c r="P11961">
        <v>0</v>
      </c>
      <c r="Q11961">
        <v>4</v>
      </c>
      <c r="R11961" t="s">
        <v>47438</v>
      </c>
      <c r="S11961" t="s">
        <v>47793</v>
      </c>
      <c r="T11961" t="s">
        <v>49061</v>
      </c>
      <c r="U11961" t="s">
        <v>59486</v>
      </c>
      <c r="W11961" t="s">
        <v>46824</v>
      </c>
      <c r="X11961" t="s">
        <v>47439</v>
      </c>
    </row>
    <row r="11962" spans="1:24">
      <c r="A11962">
        <f>HYPERLINK("https://www.philgeps.gov.ph/GEPSNONPILOT/Tender/SplashBidNoticeAbstractUI.aspx?menuIndex=3&amp;refID=7144923&amp;Result=3","7144923")</f>
        <v>0</v>
      </c>
      <c r="B11962" t="s">
        <v>83</v>
      </c>
      <c r="C11962" t="s">
        <v>15161</v>
      </c>
      <c r="D11962" t="s">
        <v>19038</v>
      </c>
      <c r="E11962" t="s">
        <v>29334</v>
      </c>
      <c r="F11962" t="s">
        <v>32831</v>
      </c>
      <c r="G11962" t="s">
        <v>32839</v>
      </c>
      <c r="H11962" t="s">
        <v>32849</v>
      </c>
      <c r="I11962" t="s">
        <v>4177</v>
      </c>
      <c r="J11962" t="s">
        <v>38582</v>
      </c>
      <c r="K11962" t="s">
        <v>42729</v>
      </c>
      <c r="M11962" t="s">
        <v>43080</v>
      </c>
      <c r="N11962" t="s">
        <v>47424</v>
      </c>
      <c r="O11962" t="s">
        <v>47425</v>
      </c>
      <c r="P11962">
        <v>0</v>
      </c>
      <c r="Q11962">
        <v>0</v>
      </c>
      <c r="R11962" t="s">
        <v>47438</v>
      </c>
      <c r="S11962" t="s">
        <v>47793</v>
      </c>
      <c r="T11962" t="s">
        <v>49120</v>
      </c>
      <c r="U11962" t="s">
        <v>59487</v>
      </c>
      <c r="W11962" t="s">
        <v>43080</v>
      </c>
      <c r="X11962" t="s">
        <v>47439</v>
      </c>
    </row>
    <row r="11963" spans="1:24">
      <c r="A11963">
        <f>HYPERLINK("https://www.philgeps.gov.ph/GEPSNONPILOT/Tender/SplashBidNoticeAbstractUI.aspx?menuIndex=3&amp;refID=7145027&amp;Result=3","7145027")</f>
        <v>0</v>
      </c>
      <c r="B11963" t="s">
        <v>3483</v>
      </c>
      <c r="C11963" t="s">
        <v>15162</v>
      </c>
      <c r="D11963" t="s">
        <v>19030</v>
      </c>
      <c r="E11963" t="s">
        <v>29335</v>
      </c>
      <c r="F11963" t="s">
        <v>32831</v>
      </c>
      <c r="G11963" t="s">
        <v>32839</v>
      </c>
      <c r="H11963" t="s">
        <v>32848</v>
      </c>
      <c r="I11963" t="s">
        <v>5667</v>
      </c>
      <c r="J11963" t="s">
        <v>40307</v>
      </c>
      <c r="K11963" t="s">
        <v>42775</v>
      </c>
      <c r="M11963" t="s">
        <v>46829</v>
      </c>
      <c r="N11963" t="s">
        <v>47424</v>
      </c>
      <c r="O11963" t="s">
        <v>47425</v>
      </c>
      <c r="Q11963">
        <v>4</v>
      </c>
      <c r="R11963" t="s">
        <v>47438</v>
      </c>
      <c r="S11963" t="s">
        <v>47855</v>
      </c>
      <c r="T11963" t="s">
        <v>49482</v>
      </c>
      <c r="U11963" t="s">
        <v>59488</v>
      </c>
      <c r="W11963" t="s">
        <v>46829</v>
      </c>
      <c r="X11963" t="s">
        <v>47439</v>
      </c>
    </row>
    <row r="11964" spans="1:24">
      <c r="A11964">
        <f>HYPERLINK("https://www.philgeps.gov.ph/GEPSNONPILOT/Tender/SplashBidNoticeAbstractUI.aspx?menuIndex=3&amp;refID=7144925&amp;Result=3","7144925")</f>
        <v>0</v>
      </c>
      <c r="B11964" t="s">
        <v>3484</v>
      </c>
      <c r="C11964" t="s">
        <v>15163</v>
      </c>
      <c r="D11964" t="s">
        <v>19040</v>
      </c>
      <c r="E11964" t="s">
        <v>29336</v>
      </c>
      <c r="F11964" t="s">
        <v>32831</v>
      </c>
      <c r="G11964" t="s">
        <v>32839</v>
      </c>
      <c r="H11964" t="s">
        <v>32848</v>
      </c>
      <c r="I11964" t="s">
        <v>7416</v>
      </c>
      <c r="J11964" t="s">
        <v>40308</v>
      </c>
      <c r="K11964" t="s">
        <v>42726</v>
      </c>
      <c r="M11964" t="s">
        <v>46830</v>
      </c>
      <c r="N11964" t="s">
        <v>47424</v>
      </c>
      <c r="O11964" t="s">
        <v>47425</v>
      </c>
      <c r="Q11964">
        <v>3</v>
      </c>
      <c r="R11964" t="s">
        <v>47438</v>
      </c>
      <c r="S11964" t="s">
        <v>47595</v>
      </c>
      <c r="T11964" t="s">
        <v>49080</v>
      </c>
      <c r="U11964" t="s">
        <v>59489</v>
      </c>
      <c r="W11964" t="s">
        <v>46830</v>
      </c>
      <c r="X11964" t="s">
        <v>47439</v>
      </c>
    </row>
    <row r="11965" spans="1:24">
      <c r="A11965">
        <f>HYPERLINK("https://www.philgeps.gov.ph/GEPSNONPILOT/Tender/SplashBidNoticeAbstractUI.aspx?menuIndex=3&amp;refID=7145010&amp;Result=3","7145010")</f>
        <v>0</v>
      </c>
      <c r="B11965" t="s">
        <v>3483</v>
      </c>
      <c r="C11965" t="s">
        <v>15164</v>
      </c>
      <c r="D11965" t="s">
        <v>19062</v>
      </c>
      <c r="E11965" t="s">
        <v>29337</v>
      </c>
      <c r="F11965" t="s">
        <v>32831</v>
      </c>
      <c r="G11965" t="s">
        <v>32839</v>
      </c>
      <c r="H11965" t="s">
        <v>32848</v>
      </c>
      <c r="I11965" t="s">
        <v>5667</v>
      </c>
      <c r="J11965" t="s">
        <v>40309</v>
      </c>
      <c r="K11965" t="s">
        <v>42775</v>
      </c>
      <c r="M11965" t="s">
        <v>46829</v>
      </c>
      <c r="N11965" t="s">
        <v>47424</v>
      </c>
      <c r="O11965" t="s">
        <v>47425</v>
      </c>
      <c r="Q11965">
        <v>7</v>
      </c>
      <c r="R11965" t="s">
        <v>47438</v>
      </c>
      <c r="S11965" t="s">
        <v>47856</v>
      </c>
      <c r="T11965" t="s">
        <v>49106</v>
      </c>
      <c r="U11965" t="s">
        <v>59488</v>
      </c>
      <c r="W11965" t="s">
        <v>46829</v>
      </c>
      <c r="X11965" t="s">
        <v>47439</v>
      </c>
    </row>
    <row r="11966" spans="1:24">
      <c r="A11966">
        <f>HYPERLINK("https://www.philgeps.gov.ph/GEPSNONPILOT/Tender/SplashBidNoticeAbstractUI.aspx?menuIndex=3&amp;refID=7145020&amp;Result=3","7145020")</f>
        <v>0</v>
      </c>
      <c r="B11966" t="s">
        <v>3483</v>
      </c>
      <c r="C11966" t="s">
        <v>15165</v>
      </c>
      <c r="D11966" t="s">
        <v>19023</v>
      </c>
      <c r="E11966" t="s">
        <v>29338</v>
      </c>
      <c r="F11966" t="s">
        <v>32831</v>
      </c>
      <c r="G11966" t="s">
        <v>32839</v>
      </c>
      <c r="H11966" t="s">
        <v>32848</v>
      </c>
      <c r="I11966" t="s">
        <v>5667</v>
      </c>
      <c r="J11966" t="s">
        <v>39940</v>
      </c>
      <c r="K11966" t="s">
        <v>42775</v>
      </c>
      <c r="M11966" t="s">
        <v>46829</v>
      </c>
      <c r="N11966" t="s">
        <v>47424</v>
      </c>
      <c r="O11966" t="s">
        <v>47425</v>
      </c>
      <c r="Q11966">
        <v>5</v>
      </c>
      <c r="R11966" t="s">
        <v>47438</v>
      </c>
      <c r="S11966" t="s">
        <v>47857</v>
      </c>
      <c r="T11966" t="s">
        <v>49594</v>
      </c>
      <c r="U11966" t="s">
        <v>59488</v>
      </c>
      <c r="W11966" t="s">
        <v>46829</v>
      </c>
      <c r="X11966" t="s">
        <v>47439</v>
      </c>
    </row>
    <row r="11967" spans="1:24">
      <c r="A11967">
        <f>HYPERLINK("https://www.philgeps.gov.ph/GEPSNONPILOT/Tender/SplashBidNoticeAbstractUI.aspx?menuIndex=3&amp;refID=7145008&amp;Result=3","7145008")</f>
        <v>0</v>
      </c>
      <c r="B11967" t="s">
        <v>3485</v>
      </c>
      <c r="C11967" t="s">
        <v>15166</v>
      </c>
      <c r="D11967" t="s">
        <v>19045</v>
      </c>
      <c r="E11967" t="s">
        <v>29339</v>
      </c>
      <c r="F11967" t="s">
        <v>32831</v>
      </c>
      <c r="G11967" t="s">
        <v>32839</v>
      </c>
      <c r="H11967" t="s">
        <v>32849</v>
      </c>
      <c r="I11967" t="s">
        <v>4177</v>
      </c>
      <c r="J11967" t="s">
        <v>32980</v>
      </c>
      <c r="K11967" t="s">
        <v>42727</v>
      </c>
      <c r="M11967" t="s">
        <v>46831</v>
      </c>
      <c r="N11967" t="s">
        <v>47424</v>
      </c>
      <c r="O11967" t="s">
        <v>47425</v>
      </c>
      <c r="P11967">
        <v>0</v>
      </c>
      <c r="Q11967">
        <v>1</v>
      </c>
      <c r="R11967" t="s">
        <v>47438</v>
      </c>
      <c r="S11967" t="s">
        <v>47793</v>
      </c>
      <c r="T11967" t="s">
        <v>49056</v>
      </c>
      <c r="U11967" t="s">
        <v>59490</v>
      </c>
      <c r="W11967" t="s">
        <v>46831</v>
      </c>
      <c r="X11967" t="s">
        <v>47439</v>
      </c>
    </row>
    <row r="11968" spans="1:24">
      <c r="A11968">
        <f>HYPERLINK("https://www.philgeps.gov.ph/GEPSNONPILOT/Tender/SplashBidNoticeAbstractUI.aspx?menuIndex=3&amp;refID=7144988&amp;Result=3","7144988")</f>
        <v>0</v>
      </c>
      <c r="B11968" t="s">
        <v>1312</v>
      </c>
      <c r="C11968" t="s">
        <v>15167</v>
      </c>
      <c r="D11968" t="s">
        <v>19054</v>
      </c>
      <c r="E11968" t="s">
        <v>29340</v>
      </c>
      <c r="F11968" t="s">
        <v>32831</v>
      </c>
      <c r="G11968" t="s">
        <v>32839</v>
      </c>
      <c r="H11968" t="s">
        <v>32848</v>
      </c>
      <c r="I11968" t="s">
        <v>4303</v>
      </c>
      <c r="J11968" t="s">
        <v>40310</v>
      </c>
      <c r="K11968" t="s">
        <v>42732</v>
      </c>
      <c r="M11968" t="s">
        <v>44383</v>
      </c>
      <c r="N11968" t="s">
        <v>47424</v>
      </c>
      <c r="O11968" t="s">
        <v>47425</v>
      </c>
      <c r="P11968">
        <v>0</v>
      </c>
      <c r="Q11968">
        <v>1</v>
      </c>
      <c r="R11968" t="s">
        <v>47438</v>
      </c>
      <c r="S11968" t="s">
        <v>47793</v>
      </c>
      <c r="T11968" t="s">
        <v>49243</v>
      </c>
      <c r="U11968" t="s">
        <v>59485</v>
      </c>
      <c r="W11968" t="s">
        <v>44383</v>
      </c>
      <c r="X11968" t="s">
        <v>47439</v>
      </c>
    </row>
    <row r="11969" spans="1:24">
      <c r="A11969">
        <f>HYPERLINK("https://www.philgeps.gov.ph/GEPSNONPILOT/Tender/SplashBidNoticeAbstractUI.aspx?menuIndex=3&amp;refID=7144983&amp;Result=3","7144983")</f>
        <v>0</v>
      </c>
      <c r="B11969" t="s">
        <v>1312</v>
      </c>
      <c r="C11969" t="s">
        <v>15168</v>
      </c>
      <c r="D11969" t="s">
        <v>19054</v>
      </c>
      <c r="E11969" t="s">
        <v>29341</v>
      </c>
      <c r="F11969" t="s">
        <v>32831</v>
      </c>
      <c r="G11969" t="s">
        <v>32839</v>
      </c>
      <c r="H11969" t="s">
        <v>32848</v>
      </c>
      <c r="I11969" t="s">
        <v>4222</v>
      </c>
      <c r="J11969" t="s">
        <v>33644</v>
      </c>
      <c r="K11969" t="s">
        <v>42732</v>
      </c>
      <c r="M11969" t="s">
        <v>44383</v>
      </c>
      <c r="N11969" t="s">
        <v>47424</v>
      </c>
      <c r="O11969" t="s">
        <v>47425</v>
      </c>
      <c r="P11969">
        <v>0</v>
      </c>
      <c r="Q11969">
        <v>0</v>
      </c>
      <c r="R11969" t="s">
        <v>47438</v>
      </c>
      <c r="S11969" t="s">
        <v>47793</v>
      </c>
      <c r="T11969" t="s">
        <v>49243</v>
      </c>
      <c r="U11969" t="s">
        <v>59485</v>
      </c>
      <c r="W11969" t="s">
        <v>44383</v>
      </c>
      <c r="X11969" t="s">
        <v>47439</v>
      </c>
    </row>
    <row r="11970" spans="1:24">
      <c r="A11970">
        <f>HYPERLINK("https://www.philgeps.gov.ph/GEPSNONPILOT/Tender/SplashBidNoticeAbstractUI.aspx?menuIndex=3&amp;refID=7144989&amp;Result=3","7144989")</f>
        <v>0</v>
      </c>
      <c r="B11970" t="s">
        <v>3486</v>
      </c>
      <c r="C11970" t="s">
        <v>15169</v>
      </c>
      <c r="D11970" t="s">
        <v>19050</v>
      </c>
      <c r="E11970" t="s">
        <v>29342</v>
      </c>
      <c r="F11970" t="s">
        <v>32831</v>
      </c>
      <c r="G11970" t="s">
        <v>32839</v>
      </c>
      <c r="H11970" t="s">
        <v>32848</v>
      </c>
      <c r="I11970" t="s">
        <v>32855</v>
      </c>
      <c r="J11970" t="s">
        <v>35104</v>
      </c>
      <c r="K11970" t="s">
        <v>42747</v>
      </c>
      <c r="M11970" t="s">
        <v>46832</v>
      </c>
      <c r="N11970" t="s">
        <v>47424</v>
      </c>
      <c r="O11970" t="s">
        <v>47425</v>
      </c>
      <c r="P11970">
        <v>0</v>
      </c>
      <c r="Q11970">
        <v>6</v>
      </c>
      <c r="R11970" t="s">
        <v>47438</v>
      </c>
      <c r="S11970" t="s">
        <v>47793</v>
      </c>
      <c r="T11970" t="s">
        <v>49408</v>
      </c>
      <c r="U11970" t="s">
        <v>59491</v>
      </c>
      <c r="W11970" t="s">
        <v>46832</v>
      </c>
      <c r="X11970" t="s">
        <v>47439</v>
      </c>
    </row>
    <row r="11971" spans="1:24">
      <c r="A11971">
        <f>HYPERLINK("https://www.philgeps.gov.ph/GEPSNONPILOT/Tender/SplashBidNoticeAbstractUI.aspx?menuIndex=3&amp;refID=7144769&amp;Result=3","7144769")</f>
        <v>0</v>
      </c>
      <c r="B11971" t="s">
        <v>3305</v>
      </c>
      <c r="C11971" t="s">
        <v>15170</v>
      </c>
      <c r="D11971" t="s">
        <v>19079</v>
      </c>
      <c r="E11971" t="s">
        <v>29343</v>
      </c>
      <c r="F11971" t="s">
        <v>32831</v>
      </c>
      <c r="G11971" t="s">
        <v>32839</v>
      </c>
      <c r="H11971" t="s">
        <v>32848</v>
      </c>
      <c r="I11971" t="s">
        <v>8781</v>
      </c>
      <c r="J11971" t="s">
        <v>40311</v>
      </c>
      <c r="K11971" t="s">
        <v>42786</v>
      </c>
      <c r="M11971" t="s">
        <v>46626</v>
      </c>
      <c r="N11971" t="s">
        <v>47424</v>
      </c>
      <c r="O11971" t="s">
        <v>47425</v>
      </c>
      <c r="Q11971">
        <v>1</v>
      </c>
      <c r="R11971" t="s">
        <v>47438</v>
      </c>
      <c r="S11971" t="s">
        <v>47858</v>
      </c>
      <c r="T11971" t="s">
        <v>49604</v>
      </c>
      <c r="U11971" t="s">
        <v>58683</v>
      </c>
      <c r="W11971" t="s">
        <v>46626</v>
      </c>
      <c r="X11971" t="s">
        <v>47439</v>
      </c>
    </row>
    <row r="11972" spans="1:24">
      <c r="A11972">
        <f>HYPERLINK("https://www.philgeps.gov.ph/GEPSNONPILOT/Tender/SplashBidNoticeAbstractUI.aspx?menuIndex=3&amp;refID=7144984&amp;Result=3","7144984")</f>
        <v>0</v>
      </c>
      <c r="B11972" t="s">
        <v>3486</v>
      </c>
      <c r="C11972" t="s">
        <v>15171</v>
      </c>
      <c r="D11972" t="s">
        <v>19050</v>
      </c>
      <c r="E11972" t="s">
        <v>29344</v>
      </c>
      <c r="F11972" t="s">
        <v>32831</v>
      </c>
      <c r="G11972" t="s">
        <v>32839</v>
      </c>
      <c r="H11972" t="s">
        <v>32848</v>
      </c>
      <c r="I11972" t="s">
        <v>32855</v>
      </c>
      <c r="J11972" t="s">
        <v>40312</v>
      </c>
      <c r="K11972" t="s">
        <v>42747</v>
      </c>
      <c r="M11972" t="s">
        <v>46832</v>
      </c>
      <c r="N11972" t="s">
        <v>47424</v>
      </c>
      <c r="O11972" t="s">
        <v>47425</v>
      </c>
      <c r="P11972">
        <v>0</v>
      </c>
      <c r="Q11972">
        <v>7</v>
      </c>
      <c r="R11972" t="s">
        <v>47438</v>
      </c>
      <c r="S11972" t="s">
        <v>47793</v>
      </c>
      <c r="T11972" t="s">
        <v>49257</v>
      </c>
      <c r="U11972" t="s">
        <v>59492</v>
      </c>
      <c r="W11972" t="s">
        <v>46832</v>
      </c>
      <c r="X11972" t="s">
        <v>47439</v>
      </c>
    </row>
    <row r="11973" spans="1:24">
      <c r="A11973">
        <f>HYPERLINK("https://www.philgeps.gov.ph/GEPSNONPILOT/Tender/SplashBidNoticeAbstractUI.aspx?menuIndex=3&amp;refID=7144977&amp;Result=3","7144977")</f>
        <v>0</v>
      </c>
      <c r="B11973" t="s">
        <v>1312</v>
      </c>
      <c r="C11973" t="s">
        <v>15172</v>
      </c>
      <c r="D11973" t="s">
        <v>19054</v>
      </c>
      <c r="E11973" t="s">
        <v>29345</v>
      </c>
      <c r="F11973" t="s">
        <v>32831</v>
      </c>
      <c r="G11973" t="s">
        <v>32839</v>
      </c>
      <c r="H11973" t="s">
        <v>32848</v>
      </c>
      <c r="I11973" t="s">
        <v>9577</v>
      </c>
      <c r="J11973" t="s">
        <v>40313</v>
      </c>
      <c r="K11973" t="s">
        <v>42732</v>
      </c>
      <c r="M11973" t="s">
        <v>44383</v>
      </c>
      <c r="N11973" t="s">
        <v>47424</v>
      </c>
      <c r="O11973" t="s">
        <v>47425</v>
      </c>
      <c r="P11973">
        <v>0</v>
      </c>
      <c r="Q11973">
        <v>1</v>
      </c>
      <c r="R11973" t="s">
        <v>47438</v>
      </c>
      <c r="S11973" t="s">
        <v>47793</v>
      </c>
      <c r="T11973" t="s">
        <v>49243</v>
      </c>
      <c r="U11973" t="s">
        <v>59485</v>
      </c>
      <c r="W11973" t="s">
        <v>44383</v>
      </c>
      <c r="X11973" t="s">
        <v>47439</v>
      </c>
    </row>
    <row r="11974" spans="1:24">
      <c r="A11974">
        <f>HYPERLINK("https://www.philgeps.gov.ph/GEPSNONPILOT/Tender/SplashBidNoticeAbstractUI.aspx?menuIndex=3&amp;refID=7144970&amp;Result=3","7144970")</f>
        <v>0</v>
      </c>
      <c r="B11974" t="s">
        <v>3486</v>
      </c>
      <c r="C11974" t="s">
        <v>15173</v>
      </c>
      <c r="D11974" t="s">
        <v>19050</v>
      </c>
      <c r="E11974" t="s">
        <v>29346</v>
      </c>
      <c r="F11974" t="s">
        <v>32831</v>
      </c>
      <c r="G11974" t="s">
        <v>32839</v>
      </c>
      <c r="H11974" t="s">
        <v>32848</v>
      </c>
      <c r="I11974" t="s">
        <v>32886</v>
      </c>
      <c r="J11974" t="s">
        <v>40314</v>
      </c>
      <c r="K11974" t="s">
        <v>42729</v>
      </c>
      <c r="M11974" t="s">
        <v>46832</v>
      </c>
      <c r="N11974" t="s">
        <v>47424</v>
      </c>
      <c r="O11974" t="s">
        <v>47425</v>
      </c>
      <c r="P11974">
        <v>0</v>
      </c>
      <c r="Q11974">
        <v>12</v>
      </c>
      <c r="R11974" t="s">
        <v>47438</v>
      </c>
      <c r="S11974" t="s">
        <v>47793</v>
      </c>
      <c r="T11974" t="s">
        <v>49605</v>
      </c>
      <c r="U11974" t="s">
        <v>59493</v>
      </c>
      <c r="W11974" t="s">
        <v>46832</v>
      </c>
      <c r="X11974" t="s">
        <v>47439</v>
      </c>
    </row>
    <row r="11975" spans="1:24">
      <c r="A11975">
        <f>HYPERLINK("https://www.philgeps.gov.ph/GEPSNONPILOT/Tender/SplashBidNoticeAbstractUI.aspx?menuIndex=3&amp;refID=7144954&amp;Result=3","7144954")</f>
        <v>0</v>
      </c>
      <c r="B11975" t="s">
        <v>2044</v>
      </c>
      <c r="C11975" t="s">
        <v>15174</v>
      </c>
      <c r="D11975" t="s">
        <v>19045</v>
      </c>
      <c r="E11975" t="s">
        <v>29347</v>
      </c>
      <c r="F11975" t="s">
        <v>32831</v>
      </c>
      <c r="G11975" t="s">
        <v>32839</v>
      </c>
      <c r="H11975" t="s">
        <v>32848</v>
      </c>
      <c r="I11975" t="s">
        <v>32945</v>
      </c>
      <c r="J11975" t="s">
        <v>40315</v>
      </c>
      <c r="K11975" t="s">
        <v>42757</v>
      </c>
      <c r="M11975" t="s">
        <v>45214</v>
      </c>
      <c r="N11975" t="s">
        <v>47424</v>
      </c>
      <c r="O11975" t="s">
        <v>47425</v>
      </c>
      <c r="P11975">
        <v>0</v>
      </c>
      <c r="Q11975">
        <v>11</v>
      </c>
      <c r="R11975" t="s">
        <v>47438</v>
      </c>
      <c r="S11975" t="s">
        <v>47793</v>
      </c>
      <c r="T11975" t="s">
        <v>49606</v>
      </c>
      <c r="U11975" t="s">
        <v>59494</v>
      </c>
      <c r="W11975" t="s">
        <v>45214</v>
      </c>
      <c r="X11975" t="s">
        <v>47439</v>
      </c>
    </row>
    <row r="11976" spans="1:24">
      <c r="A11976">
        <f>HYPERLINK("https://www.philgeps.gov.ph/GEPSNONPILOT/Tender/SplashBidNoticeAbstractUI.aspx?menuIndex=3&amp;refID=7145043&amp;Result=3","7145043")</f>
        <v>0</v>
      </c>
      <c r="B11976" t="s">
        <v>2922</v>
      </c>
      <c r="C11976" t="s">
        <v>15175</v>
      </c>
      <c r="E11976" t="s">
        <v>29348</v>
      </c>
      <c r="F11976" t="s">
        <v>32831</v>
      </c>
      <c r="G11976" t="s">
        <v>32839</v>
      </c>
      <c r="H11976" t="s">
        <v>32848</v>
      </c>
      <c r="I11976" t="s">
        <v>9577</v>
      </c>
      <c r="J11976" t="s">
        <v>40316</v>
      </c>
      <c r="K11976" t="s">
        <v>42732</v>
      </c>
      <c r="M11976" t="s">
        <v>46175</v>
      </c>
      <c r="N11976" t="s">
        <v>47424</v>
      </c>
      <c r="O11976" t="s">
        <v>47425</v>
      </c>
      <c r="P11976">
        <v>0</v>
      </c>
      <c r="Q11976">
        <v>1</v>
      </c>
      <c r="R11976" t="s">
        <v>47438</v>
      </c>
      <c r="S11976" t="s">
        <v>47793</v>
      </c>
      <c r="T11976" t="s">
        <v>49105</v>
      </c>
      <c r="U11976" t="s">
        <v>59495</v>
      </c>
      <c r="W11976" t="s">
        <v>46175</v>
      </c>
      <c r="X11976" t="s">
        <v>47439</v>
      </c>
    </row>
    <row r="11977" spans="1:24">
      <c r="A11977">
        <f>HYPERLINK("https://www.philgeps.gov.ph/GEPSNONPILOT/Tender/SplashBidNoticeAbstractUI.aspx?menuIndex=3&amp;refID=7144875&amp;Result=3","7144875")</f>
        <v>0</v>
      </c>
      <c r="B11977" t="s">
        <v>616</v>
      </c>
      <c r="C11977" t="s">
        <v>15176</v>
      </c>
      <c r="D11977" t="s">
        <v>19059</v>
      </c>
      <c r="E11977" t="s">
        <v>29349</v>
      </c>
      <c r="F11977" t="s">
        <v>32831</v>
      </c>
      <c r="G11977" t="s">
        <v>32839</v>
      </c>
      <c r="H11977" t="s">
        <v>32849</v>
      </c>
      <c r="I11977" t="s">
        <v>4177</v>
      </c>
      <c r="J11977" t="s">
        <v>35538</v>
      </c>
      <c r="K11977" t="s">
        <v>42763</v>
      </c>
      <c r="L11977" t="s">
        <v>616</v>
      </c>
      <c r="M11977" t="s">
        <v>43630</v>
      </c>
      <c r="N11977" t="s">
        <v>47424</v>
      </c>
      <c r="O11977" t="s">
        <v>47425</v>
      </c>
      <c r="Q11977">
        <v>16</v>
      </c>
      <c r="R11977" t="s">
        <v>47438</v>
      </c>
      <c r="S11977" t="s">
        <v>47859</v>
      </c>
      <c r="T11977" t="s">
        <v>49192</v>
      </c>
      <c r="U11977" t="s">
        <v>59496</v>
      </c>
      <c r="W11977" t="s">
        <v>43630</v>
      </c>
      <c r="X11977" t="s">
        <v>47439</v>
      </c>
    </row>
    <row r="11978" spans="1:24">
      <c r="A11978">
        <f>HYPERLINK("https://www.philgeps.gov.ph/GEPSNONPILOT/Tender/SplashBidNoticeAbstractUI.aspx?menuIndex=3&amp;refID=7093741&amp;Result=3","7093741")</f>
        <v>0</v>
      </c>
      <c r="B11978" t="s">
        <v>3487</v>
      </c>
      <c r="C11978" t="s">
        <v>15177</v>
      </c>
      <c r="D11978" t="s">
        <v>19038</v>
      </c>
      <c r="E11978" t="s">
        <v>29350</v>
      </c>
      <c r="F11978" t="s">
        <v>32831</v>
      </c>
      <c r="G11978" t="s">
        <v>32839</v>
      </c>
      <c r="H11978" t="s">
        <v>32848</v>
      </c>
      <c r="I11978" t="s">
        <v>4303</v>
      </c>
      <c r="J11978" t="s">
        <v>40317</v>
      </c>
      <c r="K11978" t="s">
        <v>42731</v>
      </c>
      <c r="M11978" t="s">
        <v>46833</v>
      </c>
      <c r="N11978" t="s">
        <v>47424</v>
      </c>
      <c r="O11978" t="s">
        <v>47425</v>
      </c>
      <c r="P11978">
        <v>0</v>
      </c>
      <c r="Q11978">
        <v>0</v>
      </c>
      <c r="R11978" t="s">
        <v>47439</v>
      </c>
      <c r="S11978" t="s">
        <v>47860</v>
      </c>
      <c r="T11978" t="s">
        <v>49069</v>
      </c>
      <c r="U11978" t="s">
        <v>59497</v>
      </c>
      <c r="V11978" t="s">
        <v>63940</v>
      </c>
      <c r="W11978" t="s">
        <v>46833</v>
      </c>
      <c r="X11978" t="s">
        <v>47460</v>
      </c>
    </row>
    <row r="11979" spans="1:24">
      <c r="A11979">
        <f>HYPERLINK("https://www.philgeps.gov.ph/GEPSNONPILOT/Tender/SplashBidNoticeAbstractUI.aspx?menuIndex=3&amp;refID=7144978&amp;Result=3","7144978")</f>
        <v>0</v>
      </c>
      <c r="B11979" t="s">
        <v>3486</v>
      </c>
      <c r="C11979" t="s">
        <v>15178</v>
      </c>
      <c r="D11979" t="s">
        <v>19050</v>
      </c>
      <c r="E11979" t="s">
        <v>29351</v>
      </c>
      <c r="F11979" t="s">
        <v>32831</v>
      </c>
      <c r="G11979" t="s">
        <v>32839</v>
      </c>
      <c r="H11979" t="s">
        <v>32848</v>
      </c>
      <c r="I11979" t="s">
        <v>32886</v>
      </c>
      <c r="J11979" t="s">
        <v>40318</v>
      </c>
      <c r="K11979" t="s">
        <v>42729</v>
      </c>
      <c r="M11979" t="s">
        <v>46832</v>
      </c>
      <c r="N11979" t="s">
        <v>47424</v>
      </c>
      <c r="O11979" t="s">
        <v>47425</v>
      </c>
      <c r="P11979">
        <v>0</v>
      </c>
      <c r="Q11979">
        <v>12</v>
      </c>
      <c r="R11979" t="s">
        <v>47438</v>
      </c>
      <c r="S11979" t="s">
        <v>47793</v>
      </c>
      <c r="T11979" t="s">
        <v>49607</v>
      </c>
      <c r="U11979" t="s">
        <v>59498</v>
      </c>
      <c r="W11979" t="s">
        <v>46832</v>
      </c>
      <c r="X11979" t="s">
        <v>47439</v>
      </c>
    </row>
    <row r="11980" spans="1:24">
      <c r="A11980">
        <f>HYPERLINK("https://www.philgeps.gov.ph/GEPSNONPILOT/Tender/SplashBidNoticeAbstractUI.aspx?menuIndex=3&amp;refID=7145202&amp;Result=3","7145202")</f>
        <v>0</v>
      </c>
      <c r="B11980" t="s">
        <v>3142</v>
      </c>
      <c r="C11980" t="s">
        <v>15179</v>
      </c>
      <c r="D11980" t="s">
        <v>19056</v>
      </c>
      <c r="E11980" t="s">
        <v>29352</v>
      </c>
      <c r="F11980" t="s">
        <v>32831</v>
      </c>
      <c r="G11980" t="s">
        <v>32839</v>
      </c>
      <c r="H11980" t="s">
        <v>32849</v>
      </c>
      <c r="I11980" t="s">
        <v>4177</v>
      </c>
      <c r="J11980" t="s">
        <v>33032</v>
      </c>
      <c r="K11980" t="s">
        <v>42732</v>
      </c>
      <c r="M11980" t="s">
        <v>46439</v>
      </c>
      <c r="N11980" t="s">
        <v>47424</v>
      </c>
      <c r="O11980" t="s">
        <v>47425</v>
      </c>
      <c r="P11980">
        <v>0</v>
      </c>
      <c r="Q11980">
        <v>1</v>
      </c>
      <c r="R11980" t="s">
        <v>47438</v>
      </c>
      <c r="S11980" t="s">
        <v>47793</v>
      </c>
      <c r="T11980" t="s">
        <v>49427</v>
      </c>
      <c r="U11980" t="s">
        <v>59499</v>
      </c>
      <c r="W11980" t="s">
        <v>46439</v>
      </c>
      <c r="X11980" t="s">
        <v>47439</v>
      </c>
    </row>
    <row r="11981" spans="1:24">
      <c r="A11981">
        <f>HYPERLINK("https://www.philgeps.gov.ph/GEPSNONPILOT/Tender/SplashBidNoticeAbstractUI.aspx?menuIndex=3&amp;refID=7067086&amp;Result=3","7067086")</f>
        <v>0</v>
      </c>
      <c r="B11981" t="s">
        <v>3488</v>
      </c>
      <c r="C11981" t="s">
        <v>9079</v>
      </c>
      <c r="D11981" t="s">
        <v>19060</v>
      </c>
      <c r="E11981" t="s">
        <v>29353</v>
      </c>
      <c r="F11981" t="s">
        <v>32831</v>
      </c>
      <c r="G11981" t="s">
        <v>32839</v>
      </c>
      <c r="H11981" t="s">
        <v>32848</v>
      </c>
      <c r="I11981" t="s">
        <v>7416</v>
      </c>
      <c r="J11981" t="s">
        <v>40319</v>
      </c>
      <c r="K11981" t="s">
        <v>42730</v>
      </c>
      <c r="M11981" t="s">
        <v>46834</v>
      </c>
      <c r="N11981" t="s">
        <v>47424</v>
      </c>
      <c r="O11981" t="s">
        <v>47425</v>
      </c>
      <c r="Q11981">
        <v>0</v>
      </c>
      <c r="R11981" t="s">
        <v>47439</v>
      </c>
      <c r="S11981" t="s">
        <v>47861</v>
      </c>
      <c r="T11981" t="s">
        <v>49205</v>
      </c>
      <c r="U11981" t="s">
        <v>59500</v>
      </c>
      <c r="V11981" t="s">
        <v>63941</v>
      </c>
      <c r="W11981" t="s">
        <v>46834</v>
      </c>
      <c r="X11981" t="s">
        <v>47471</v>
      </c>
    </row>
    <row r="11982" spans="1:24">
      <c r="A11982">
        <f>HYPERLINK("https://www.philgeps.gov.ph/GEPSNONPILOT/Tender/SplashBidNoticeAbstractUI.aspx?menuIndex=3&amp;refID=7145201&amp;Result=3","7145201")</f>
        <v>0</v>
      </c>
      <c r="B11982" t="s">
        <v>3142</v>
      </c>
      <c r="C11982" t="s">
        <v>15180</v>
      </c>
      <c r="D11982" t="s">
        <v>19056</v>
      </c>
      <c r="E11982" t="s">
        <v>29354</v>
      </c>
      <c r="F11982" t="s">
        <v>32831</v>
      </c>
      <c r="G11982" t="s">
        <v>32839</v>
      </c>
      <c r="H11982" t="s">
        <v>32849</v>
      </c>
      <c r="I11982" t="s">
        <v>4177</v>
      </c>
      <c r="J11982" t="s">
        <v>33083</v>
      </c>
      <c r="K11982" t="s">
        <v>42732</v>
      </c>
      <c r="M11982" t="s">
        <v>46439</v>
      </c>
      <c r="N11982" t="s">
        <v>47424</v>
      </c>
      <c r="O11982" t="s">
        <v>47425</v>
      </c>
      <c r="Q11982">
        <v>0</v>
      </c>
      <c r="R11982" t="s">
        <v>47438</v>
      </c>
      <c r="S11982" t="s">
        <v>47862</v>
      </c>
      <c r="T11982" t="s">
        <v>49427</v>
      </c>
      <c r="U11982" t="s">
        <v>59501</v>
      </c>
      <c r="W11982" t="s">
        <v>46439</v>
      </c>
      <c r="X11982" t="s">
        <v>47439</v>
      </c>
    </row>
    <row r="11983" spans="1:24">
      <c r="A11983">
        <f>HYPERLINK("https://www.philgeps.gov.ph/GEPSNONPILOT/Tender/SplashBidNoticeAbstractUI.aspx?menuIndex=3&amp;refID=7144953&amp;Result=3","7144953")</f>
        <v>0</v>
      </c>
      <c r="B11983" t="s">
        <v>3468</v>
      </c>
      <c r="C11983" t="s">
        <v>15181</v>
      </c>
      <c r="D11983" t="s">
        <v>19031</v>
      </c>
      <c r="E11983" t="s">
        <v>29355</v>
      </c>
      <c r="F11983" t="s">
        <v>32831</v>
      </c>
      <c r="G11983" t="s">
        <v>32839</v>
      </c>
      <c r="H11983" t="s">
        <v>32848</v>
      </c>
      <c r="I11983" t="s">
        <v>32855</v>
      </c>
      <c r="J11983" t="s">
        <v>40320</v>
      </c>
      <c r="K11983" t="s">
        <v>42730</v>
      </c>
      <c r="M11983" t="s">
        <v>46812</v>
      </c>
      <c r="N11983" t="s">
        <v>47424</v>
      </c>
      <c r="O11983" t="s">
        <v>47425</v>
      </c>
      <c r="P11983">
        <v>0</v>
      </c>
      <c r="Q11983">
        <v>9</v>
      </c>
      <c r="R11983" t="s">
        <v>47438</v>
      </c>
      <c r="S11983" t="s">
        <v>47793</v>
      </c>
      <c r="T11983" t="s">
        <v>49288</v>
      </c>
      <c r="U11983" t="s">
        <v>59502</v>
      </c>
      <c r="W11983" t="s">
        <v>46812</v>
      </c>
      <c r="X11983" t="s">
        <v>47439</v>
      </c>
    </row>
    <row r="11984" spans="1:24">
      <c r="A11984">
        <f>HYPERLINK("https://www.philgeps.gov.ph/GEPSNONPILOT/Tender/SplashBidNoticeAbstractUI.aspx?menuIndex=3&amp;refID=7145163&amp;Result=3","7145163")</f>
        <v>0</v>
      </c>
      <c r="B11984" t="s">
        <v>3374</v>
      </c>
      <c r="C11984" t="s">
        <v>14536</v>
      </c>
      <c r="D11984" t="s">
        <v>19022</v>
      </c>
      <c r="E11984" t="s">
        <v>29356</v>
      </c>
      <c r="F11984" t="s">
        <v>32831</v>
      </c>
      <c r="G11984" t="s">
        <v>32839</v>
      </c>
      <c r="H11984" t="s">
        <v>32849</v>
      </c>
      <c r="I11984" t="s">
        <v>4177</v>
      </c>
      <c r="J11984" t="s">
        <v>40321</v>
      </c>
      <c r="K11984" t="s">
        <v>42824</v>
      </c>
      <c r="M11984" t="s">
        <v>46701</v>
      </c>
      <c r="N11984" t="s">
        <v>47424</v>
      </c>
      <c r="O11984" t="s">
        <v>47425</v>
      </c>
      <c r="P11984">
        <v>0</v>
      </c>
      <c r="Q11984">
        <v>0</v>
      </c>
      <c r="R11984" t="s">
        <v>47438</v>
      </c>
      <c r="S11984" t="s">
        <v>47793</v>
      </c>
      <c r="T11984" t="s">
        <v>49608</v>
      </c>
      <c r="U11984" t="s">
        <v>59503</v>
      </c>
      <c r="W11984" t="s">
        <v>46701</v>
      </c>
      <c r="X11984" t="s">
        <v>47439</v>
      </c>
    </row>
    <row r="11985" spans="1:24">
      <c r="A11985">
        <f>HYPERLINK("https://www.philgeps.gov.ph/GEPSNONPILOT/Tender/SplashBidNoticeAbstractUI.aspx?menuIndex=3&amp;refID=7145146&amp;Result=3","7145146")</f>
        <v>0</v>
      </c>
      <c r="B11985" t="s">
        <v>999</v>
      </c>
      <c r="C11985" t="s">
        <v>15182</v>
      </c>
      <c r="D11985" t="s">
        <v>19017</v>
      </c>
      <c r="E11985" t="s">
        <v>29357</v>
      </c>
      <c r="F11985" t="s">
        <v>32831</v>
      </c>
      <c r="G11985" t="s">
        <v>32839</v>
      </c>
      <c r="H11985" t="s">
        <v>32848</v>
      </c>
      <c r="I11985" t="s">
        <v>4487</v>
      </c>
      <c r="J11985" t="s">
        <v>40322</v>
      </c>
      <c r="K11985" t="s">
        <v>42886</v>
      </c>
      <c r="M11985" t="s">
        <v>46835</v>
      </c>
      <c r="N11985" t="s">
        <v>47424</v>
      </c>
      <c r="O11985" t="s">
        <v>47425</v>
      </c>
      <c r="P11985">
        <v>0</v>
      </c>
      <c r="Q11985">
        <v>5</v>
      </c>
      <c r="R11985" t="s">
        <v>47438</v>
      </c>
      <c r="S11985" t="s">
        <v>47793</v>
      </c>
      <c r="T11985" t="s">
        <v>49251</v>
      </c>
      <c r="U11985" t="s">
        <v>59504</v>
      </c>
      <c r="V11985" t="s">
        <v>63942</v>
      </c>
      <c r="W11985" t="s">
        <v>46835</v>
      </c>
      <c r="X11985" t="s">
        <v>47439</v>
      </c>
    </row>
    <row r="11986" spans="1:24">
      <c r="A11986">
        <f>HYPERLINK("https://www.philgeps.gov.ph/GEPSNONPILOT/Tender/SplashBidNoticeAbstractUI.aspx?menuIndex=3&amp;refID=7145102&amp;Result=3","7145102")</f>
        <v>0</v>
      </c>
      <c r="B11986" t="s">
        <v>3489</v>
      </c>
      <c r="C11986" t="s">
        <v>15183</v>
      </c>
      <c r="D11986" t="s">
        <v>19087</v>
      </c>
      <c r="E11986" t="s">
        <v>28039</v>
      </c>
      <c r="F11986" t="s">
        <v>32831</v>
      </c>
      <c r="G11986" t="s">
        <v>32839</v>
      </c>
      <c r="H11986" t="s">
        <v>32848</v>
      </c>
      <c r="I11986" t="s">
        <v>32864</v>
      </c>
      <c r="J11986" t="s">
        <v>40323</v>
      </c>
      <c r="K11986" t="s">
        <v>42730</v>
      </c>
      <c r="M11986" t="s">
        <v>46836</v>
      </c>
      <c r="N11986" t="s">
        <v>47424</v>
      </c>
      <c r="O11986" t="s">
        <v>47425</v>
      </c>
      <c r="P11986">
        <v>0</v>
      </c>
      <c r="Q11986">
        <v>12</v>
      </c>
      <c r="R11986" t="s">
        <v>47438</v>
      </c>
      <c r="S11986" t="s">
        <v>47793</v>
      </c>
      <c r="T11986" t="s">
        <v>49063</v>
      </c>
      <c r="U11986" t="s">
        <v>59505</v>
      </c>
      <c r="V11986" t="s">
        <v>63943</v>
      </c>
      <c r="W11986" t="s">
        <v>46836</v>
      </c>
      <c r="X11986" t="s">
        <v>47439</v>
      </c>
    </row>
    <row r="11987" spans="1:24">
      <c r="A11987">
        <f>HYPERLINK("https://www.philgeps.gov.ph/GEPSNONPILOT/Tender/SplashBidNoticeAbstractUI.aspx?menuIndex=3&amp;refID=7145203&amp;Result=3","7145203")</f>
        <v>0</v>
      </c>
      <c r="B11987" t="s">
        <v>3142</v>
      </c>
      <c r="C11987" t="s">
        <v>15184</v>
      </c>
      <c r="D11987" t="s">
        <v>19056</v>
      </c>
      <c r="E11987" t="s">
        <v>29358</v>
      </c>
      <c r="F11987" t="s">
        <v>32831</v>
      </c>
      <c r="G11987" t="s">
        <v>32839</v>
      </c>
      <c r="H11987" t="s">
        <v>32849</v>
      </c>
      <c r="I11987" t="s">
        <v>4177</v>
      </c>
      <c r="J11987" t="s">
        <v>40324</v>
      </c>
      <c r="K11987" t="s">
        <v>42732</v>
      </c>
      <c r="M11987" t="s">
        <v>46439</v>
      </c>
      <c r="N11987" t="s">
        <v>47424</v>
      </c>
      <c r="O11987" t="s">
        <v>47425</v>
      </c>
      <c r="P11987">
        <v>0</v>
      </c>
      <c r="Q11987">
        <v>2</v>
      </c>
      <c r="R11987" t="s">
        <v>47438</v>
      </c>
      <c r="S11987" t="s">
        <v>47793</v>
      </c>
      <c r="T11987" t="s">
        <v>49427</v>
      </c>
      <c r="U11987" t="s">
        <v>59506</v>
      </c>
      <c r="W11987" t="s">
        <v>46439</v>
      </c>
      <c r="X11987" t="s">
        <v>47439</v>
      </c>
    </row>
    <row r="11988" spans="1:24">
      <c r="A11988">
        <f>HYPERLINK("https://www.philgeps.gov.ph/GEPSNONPILOT/Tender/SplashBidNoticeAbstractUI.aspx?menuIndex=3&amp;refID=7145100&amp;Result=3","7145100")</f>
        <v>0</v>
      </c>
      <c r="B11988" t="s">
        <v>1060</v>
      </c>
      <c r="C11988" t="s">
        <v>15185</v>
      </c>
      <c r="D11988" t="s">
        <v>19036</v>
      </c>
      <c r="E11988" t="s">
        <v>29359</v>
      </c>
      <c r="F11988" t="s">
        <v>32831</v>
      </c>
      <c r="G11988" t="s">
        <v>32839</v>
      </c>
      <c r="H11988" t="s">
        <v>32849</v>
      </c>
      <c r="I11988" t="s">
        <v>4177</v>
      </c>
      <c r="J11988" t="s">
        <v>33297</v>
      </c>
      <c r="K11988" t="s">
        <v>42768</v>
      </c>
      <c r="M11988" t="s">
        <v>44117</v>
      </c>
      <c r="N11988" t="s">
        <v>47424</v>
      </c>
      <c r="O11988" t="s">
        <v>47425</v>
      </c>
      <c r="P11988">
        <v>0</v>
      </c>
      <c r="Q11988">
        <v>0</v>
      </c>
      <c r="R11988" t="s">
        <v>47438</v>
      </c>
      <c r="S11988" t="s">
        <v>47793</v>
      </c>
      <c r="T11988" t="s">
        <v>49080</v>
      </c>
      <c r="U11988" t="s">
        <v>59507</v>
      </c>
      <c r="W11988" t="s">
        <v>44117</v>
      </c>
      <c r="X11988" t="s">
        <v>47439</v>
      </c>
    </row>
    <row r="11989" spans="1:24">
      <c r="A11989">
        <f>HYPERLINK("https://www.philgeps.gov.ph/GEPSNONPILOT/Tender/SplashBidNoticeAbstractUI.aspx?menuIndex=3&amp;refID=7145089&amp;Result=3","7145089")</f>
        <v>0</v>
      </c>
      <c r="B11989" t="s">
        <v>1060</v>
      </c>
      <c r="C11989" t="s">
        <v>15186</v>
      </c>
      <c r="D11989" t="s">
        <v>19036</v>
      </c>
      <c r="E11989" t="s">
        <v>29360</v>
      </c>
      <c r="F11989" t="s">
        <v>32831</v>
      </c>
      <c r="G11989" t="s">
        <v>32839</v>
      </c>
      <c r="H11989" t="s">
        <v>32849</v>
      </c>
      <c r="I11989" t="s">
        <v>4177</v>
      </c>
      <c r="J11989" t="s">
        <v>33083</v>
      </c>
      <c r="K11989" t="s">
        <v>42768</v>
      </c>
      <c r="M11989" t="s">
        <v>44117</v>
      </c>
      <c r="N11989" t="s">
        <v>47424</v>
      </c>
      <c r="O11989" t="s">
        <v>47425</v>
      </c>
      <c r="P11989">
        <v>0</v>
      </c>
      <c r="Q11989">
        <v>0</v>
      </c>
      <c r="R11989" t="s">
        <v>47438</v>
      </c>
      <c r="S11989" t="s">
        <v>47793</v>
      </c>
      <c r="T11989" t="s">
        <v>49080</v>
      </c>
      <c r="U11989" t="s">
        <v>59508</v>
      </c>
      <c r="W11989" t="s">
        <v>44117</v>
      </c>
      <c r="X11989" t="s">
        <v>47439</v>
      </c>
    </row>
    <row r="11990" spans="1:24">
      <c r="A11990">
        <f>HYPERLINK("https://www.philgeps.gov.ph/GEPSNONPILOT/Tender/SplashBidNoticeAbstractUI.aspx?menuIndex=3&amp;refID=7144947&amp;Result=3","7144947")</f>
        <v>0</v>
      </c>
      <c r="B11990" t="s">
        <v>2144</v>
      </c>
      <c r="C11990" t="s">
        <v>15187</v>
      </c>
      <c r="D11990" t="s">
        <v>19041</v>
      </c>
      <c r="E11990" t="s">
        <v>29361</v>
      </c>
      <c r="F11990" t="s">
        <v>32831</v>
      </c>
      <c r="G11990" t="s">
        <v>32845</v>
      </c>
      <c r="H11990" t="s">
        <v>32849</v>
      </c>
      <c r="I11990" t="s">
        <v>4177</v>
      </c>
      <c r="J11990" t="s">
        <v>40325</v>
      </c>
      <c r="K11990" t="s">
        <v>42763</v>
      </c>
      <c r="M11990" t="s">
        <v>46837</v>
      </c>
      <c r="N11990" t="s">
        <v>47424</v>
      </c>
      <c r="O11990" t="s">
        <v>47425</v>
      </c>
      <c r="P11990">
        <v>0</v>
      </c>
      <c r="Q11990">
        <v>0</v>
      </c>
      <c r="R11990" t="s">
        <v>47438</v>
      </c>
      <c r="S11990" t="s">
        <v>47793</v>
      </c>
      <c r="T11990" t="s">
        <v>49080</v>
      </c>
      <c r="U11990" t="s">
        <v>59509</v>
      </c>
      <c r="V11990" t="s">
        <v>63944</v>
      </c>
      <c r="W11990" t="s">
        <v>64546</v>
      </c>
      <c r="X11990" t="s">
        <v>47439</v>
      </c>
    </row>
    <row r="11991" spans="1:24">
      <c r="A11991">
        <f>HYPERLINK("https://www.philgeps.gov.ph/GEPSNONPILOT/Tender/SplashBidNoticeAbstractUI.aspx?menuIndex=3&amp;refID=7144963&amp;Result=3","7144963")</f>
        <v>0</v>
      </c>
      <c r="B11991" t="s">
        <v>3486</v>
      </c>
      <c r="C11991" t="s">
        <v>15188</v>
      </c>
      <c r="D11991" t="s">
        <v>19050</v>
      </c>
      <c r="E11991" t="s">
        <v>29362</v>
      </c>
      <c r="F11991" t="s">
        <v>32831</v>
      </c>
      <c r="G11991" t="s">
        <v>32839</v>
      </c>
      <c r="H11991" t="s">
        <v>32848</v>
      </c>
      <c r="I11991" t="s">
        <v>32886</v>
      </c>
      <c r="J11991" t="s">
        <v>40326</v>
      </c>
      <c r="K11991" t="s">
        <v>42729</v>
      </c>
      <c r="M11991" t="s">
        <v>46832</v>
      </c>
      <c r="N11991" t="s">
        <v>47424</v>
      </c>
      <c r="O11991" t="s">
        <v>47425</v>
      </c>
      <c r="P11991">
        <v>0</v>
      </c>
      <c r="Q11991">
        <v>10</v>
      </c>
      <c r="R11991" t="s">
        <v>47438</v>
      </c>
      <c r="S11991" t="s">
        <v>47793</v>
      </c>
      <c r="T11991" t="s">
        <v>49422</v>
      </c>
      <c r="U11991" t="s">
        <v>59510</v>
      </c>
      <c r="W11991" t="s">
        <v>46832</v>
      </c>
      <c r="X11991" t="s">
        <v>47439</v>
      </c>
    </row>
    <row r="11992" spans="1:24">
      <c r="A11992">
        <f>HYPERLINK("https://www.philgeps.gov.ph/GEPSNONPILOT/Tender/SplashBidNoticeAbstractUI.aspx?menuIndex=3&amp;refID=7145188&amp;Result=3","7145188")</f>
        <v>0</v>
      </c>
      <c r="B11992" t="s">
        <v>424</v>
      </c>
      <c r="C11992" t="s">
        <v>15189</v>
      </c>
      <c r="D11992" t="s">
        <v>19062</v>
      </c>
      <c r="E11992" t="s">
        <v>25677</v>
      </c>
      <c r="F11992" t="s">
        <v>32831</v>
      </c>
      <c r="G11992" t="s">
        <v>32839</v>
      </c>
      <c r="H11992" t="s">
        <v>32848</v>
      </c>
      <c r="I11992" t="s">
        <v>32855</v>
      </c>
      <c r="J11992" t="s">
        <v>40327</v>
      </c>
      <c r="K11992" t="s">
        <v>42730</v>
      </c>
      <c r="M11992" t="s">
        <v>46838</v>
      </c>
      <c r="N11992" t="s">
        <v>47424</v>
      </c>
      <c r="O11992" t="s">
        <v>47425</v>
      </c>
      <c r="P11992">
        <v>0</v>
      </c>
      <c r="Q11992">
        <v>9</v>
      </c>
      <c r="R11992" t="s">
        <v>47438</v>
      </c>
      <c r="S11992" t="s">
        <v>47793</v>
      </c>
      <c r="T11992" t="s">
        <v>49119</v>
      </c>
      <c r="U11992" t="s">
        <v>59511</v>
      </c>
      <c r="W11992" t="s">
        <v>46838</v>
      </c>
      <c r="X11992" t="s">
        <v>47439</v>
      </c>
    </row>
    <row r="11993" spans="1:24">
      <c r="A11993">
        <f>HYPERLINK("https://www.philgeps.gov.ph/GEPSNONPILOT/Tender/SplashBidNoticeAbstractUI.aspx?menuIndex=3&amp;refID=7145082&amp;Result=3","7145082")</f>
        <v>0</v>
      </c>
      <c r="B11993" t="s">
        <v>1060</v>
      </c>
      <c r="C11993" t="s">
        <v>15190</v>
      </c>
      <c r="D11993" t="s">
        <v>19036</v>
      </c>
      <c r="E11993" t="s">
        <v>29363</v>
      </c>
      <c r="F11993" t="s">
        <v>32831</v>
      </c>
      <c r="G11993" t="s">
        <v>32839</v>
      </c>
      <c r="H11993" t="s">
        <v>32849</v>
      </c>
      <c r="I11993" t="s">
        <v>4177</v>
      </c>
      <c r="J11993" t="s">
        <v>40328</v>
      </c>
      <c r="K11993" t="s">
        <v>42764</v>
      </c>
      <c r="M11993" t="s">
        <v>44117</v>
      </c>
      <c r="N11993" t="s">
        <v>47424</v>
      </c>
      <c r="O11993" t="s">
        <v>47425</v>
      </c>
      <c r="P11993">
        <v>0</v>
      </c>
      <c r="Q11993">
        <v>0</v>
      </c>
      <c r="R11993" t="s">
        <v>47438</v>
      </c>
      <c r="S11993" t="s">
        <v>47793</v>
      </c>
      <c r="T11993" t="s">
        <v>49080</v>
      </c>
      <c r="U11993" t="s">
        <v>59512</v>
      </c>
      <c r="W11993" t="s">
        <v>44117</v>
      </c>
      <c r="X11993" t="s">
        <v>47439</v>
      </c>
    </row>
    <row r="11994" spans="1:24">
      <c r="A11994">
        <f>HYPERLINK("https://www.philgeps.gov.ph/GEPSNONPILOT/Tender/SplashBidNoticeAbstractUI.aspx?menuIndex=3&amp;refID=7145145&amp;Result=3","7145145")</f>
        <v>0</v>
      </c>
      <c r="B11994" t="s">
        <v>2759</v>
      </c>
      <c r="C11994" t="s">
        <v>15191</v>
      </c>
      <c r="D11994" t="s">
        <v>19019</v>
      </c>
      <c r="E11994" t="s">
        <v>29364</v>
      </c>
      <c r="F11994" t="s">
        <v>32831</v>
      </c>
      <c r="G11994" t="s">
        <v>32839</v>
      </c>
      <c r="H11994" t="s">
        <v>32849</v>
      </c>
      <c r="I11994" t="s">
        <v>4177</v>
      </c>
      <c r="J11994" t="s">
        <v>40329</v>
      </c>
      <c r="K11994" t="s">
        <v>42770</v>
      </c>
      <c r="M11994" t="s">
        <v>45989</v>
      </c>
      <c r="N11994" t="s">
        <v>47424</v>
      </c>
      <c r="O11994" t="s">
        <v>47425</v>
      </c>
      <c r="P11994">
        <v>0</v>
      </c>
      <c r="Q11994">
        <v>0</v>
      </c>
      <c r="R11994" t="s">
        <v>47438</v>
      </c>
      <c r="S11994" t="s">
        <v>47793</v>
      </c>
      <c r="T11994" t="s">
        <v>49114</v>
      </c>
      <c r="U11994" t="s">
        <v>59513</v>
      </c>
      <c r="W11994" t="s">
        <v>45989</v>
      </c>
      <c r="X11994" t="s">
        <v>47439</v>
      </c>
    </row>
    <row r="11995" spans="1:24">
      <c r="A11995">
        <f>HYPERLINK("https://www.philgeps.gov.ph/GEPSNONPILOT/Tender/SplashBidNoticeAbstractUI.aspx?menuIndex=3&amp;refID=7124951&amp;Result=3","7124951")</f>
        <v>0</v>
      </c>
      <c r="B11995" t="s">
        <v>267</v>
      </c>
      <c r="C11995" t="s">
        <v>15192</v>
      </c>
      <c r="D11995" t="s">
        <v>19078</v>
      </c>
      <c r="E11995" t="s">
        <v>29365</v>
      </c>
      <c r="F11995" t="s">
        <v>32831</v>
      </c>
      <c r="G11995" t="s">
        <v>32839</v>
      </c>
      <c r="H11995" t="s">
        <v>32849</v>
      </c>
      <c r="I11995" t="s">
        <v>4177</v>
      </c>
      <c r="J11995" t="s">
        <v>40330</v>
      </c>
      <c r="K11995" t="s">
        <v>42726</v>
      </c>
      <c r="M11995" t="s">
        <v>43266</v>
      </c>
      <c r="N11995" t="s">
        <v>47424</v>
      </c>
      <c r="O11995" t="s">
        <v>47425</v>
      </c>
      <c r="P11995">
        <v>0</v>
      </c>
      <c r="Q11995">
        <v>2</v>
      </c>
      <c r="R11995" t="s">
        <v>47439</v>
      </c>
      <c r="S11995" t="s">
        <v>47860</v>
      </c>
      <c r="T11995" t="s">
        <v>49069</v>
      </c>
      <c r="U11995" t="s">
        <v>59514</v>
      </c>
      <c r="W11995" t="s">
        <v>43266</v>
      </c>
      <c r="X11995" t="s">
        <v>47447</v>
      </c>
    </row>
    <row r="11996" spans="1:24">
      <c r="A11996">
        <f>HYPERLINK("https://www.philgeps.gov.ph/GEPSNONPILOT/Tender/SplashBidNoticeAbstractUI.aspx?menuIndex=3&amp;refID=7133212&amp;Result=3","7133212")</f>
        <v>0</v>
      </c>
      <c r="B11996" t="s">
        <v>2009</v>
      </c>
      <c r="C11996" t="s">
        <v>15193</v>
      </c>
      <c r="D11996" t="s">
        <v>19061</v>
      </c>
      <c r="E11996" t="s">
        <v>22359</v>
      </c>
      <c r="F11996" t="s">
        <v>32831</v>
      </c>
      <c r="G11996" t="s">
        <v>32839</v>
      </c>
      <c r="H11996" t="s">
        <v>32848</v>
      </c>
      <c r="I11996" t="s">
        <v>4303</v>
      </c>
      <c r="J11996" t="s">
        <v>40331</v>
      </c>
      <c r="K11996" t="s">
        <v>42747</v>
      </c>
      <c r="M11996" t="s">
        <v>45176</v>
      </c>
      <c r="N11996" t="s">
        <v>47424</v>
      </c>
      <c r="O11996" t="s">
        <v>47425</v>
      </c>
      <c r="P11996">
        <v>0</v>
      </c>
      <c r="Q11996">
        <v>0</v>
      </c>
      <c r="R11996" t="s">
        <v>47439</v>
      </c>
      <c r="S11996" t="s">
        <v>47860</v>
      </c>
      <c r="T11996" t="s">
        <v>49057</v>
      </c>
      <c r="U11996" t="s">
        <v>59515</v>
      </c>
      <c r="W11996" t="s">
        <v>45176</v>
      </c>
      <c r="X11996" t="s">
        <v>47444</v>
      </c>
    </row>
    <row r="11997" spans="1:24">
      <c r="A11997">
        <f>HYPERLINK("https://www.philgeps.gov.ph/GEPSNONPILOT/Tender/SplashBidNoticeAbstractUI.aspx?menuIndex=3&amp;refID=7145144&amp;Result=3","7145144")</f>
        <v>0</v>
      </c>
      <c r="B11997" t="s">
        <v>3490</v>
      </c>
      <c r="C11997" t="s">
        <v>15194</v>
      </c>
      <c r="D11997" t="s">
        <v>19093</v>
      </c>
      <c r="E11997" t="s">
        <v>19219</v>
      </c>
      <c r="F11997" t="s">
        <v>32831</v>
      </c>
      <c r="G11997" t="s">
        <v>32839</v>
      </c>
      <c r="H11997" t="s">
        <v>32849</v>
      </c>
      <c r="I11997" t="s">
        <v>4177</v>
      </c>
      <c r="J11997" t="s">
        <v>40332</v>
      </c>
      <c r="K11997" t="s">
        <v>42730</v>
      </c>
      <c r="M11997" t="s">
        <v>46839</v>
      </c>
      <c r="N11997" t="s">
        <v>47424</v>
      </c>
      <c r="O11997" t="s">
        <v>47425</v>
      </c>
      <c r="P11997">
        <v>0</v>
      </c>
      <c r="Q11997">
        <v>1</v>
      </c>
      <c r="R11997" t="s">
        <v>47438</v>
      </c>
      <c r="S11997" t="s">
        <v>47793</v>
      </c>
      <c r="T11997" t="s">
        <v>49218</v>
      </c>
      <c r="U11997" t="s">
        <v>59516</v>
      </c>
      <c r="V11997" t="s">
        <v>63945</v>
      </c>
      <c r="W11997" t="s">
        <v>46839</v>
      </c>
      <c r="X11997" t="s">
        <v>47439</v>
      </c>
    </row>
    <row r="11998" spans="1:24">
      <c r="A11998">
        <f>HYPERLINK("https://www.philgeps.gov.ph/GEPSNONPILOT/Tender/SplashBidNoticeAbstractUI.aspx?menuIndex=3&amp;refID=7128569&amp;Result=3","7128569")</f>
        <v>0</v>
      </c>
      <c r="B11998" t="s">
        <v>3491</v>
      </c>
      <c r="C11998" t="s">
        <v>15195</v>
      </c>
      <c r="D11998" t="s">
        <v>19039</v>
      </c>
      <c r="E11998" t="s">
        <v>29366</v>
      </c>
      <c r="F11998" t="s">
        <v>32831</v>
      </c>
      <c r="G11998" t="s">
        <v>32839</v>
      </c>
      <c r="H11998" t="s">
        <v>32848</v>
      </c>
      <c r="I11998" t="s">
        <v>7416</v>
      </c>
      <c r="J11998" t="s">
        <v>40333</v>
      </c>
      <c r="K11998" t="s">
        <v>42729</v>
      </c>
      <c r="L11998" t="s">
        <v>3491</v>
      </c>
      <c r="M11998" t="s">
        <v>46840</v>
      </c>
      <c r="N11998" t="s">
        <v>47424</v>
      </c>
      <c r="O11998" t="s">
        <v>47425</v>
      </c>
      <c r="P11998">
        <v>0</v>
      </c>
      <c r="Q11998">
        <v>1</v>
      </c>
      <c r="R11998" t="s">
        <v>47439</v>
      </c>
      <c r="S11998" t="s">
        <v>47860</v>
      </c>
      <c r="T11998" t="s">
        <v>49141</v>
      </c>
      <c r="U11998" t="s">
        <v>59517</v>
      </c>
      <c r="W11998" t="s">
        <v>46840</v>
      </c>
      <c r="X11998" t="s">
        <v>47446</v>
      </c>
    </row>
    <row r="11999" spans="1:24">
      <c r="A11999">
        <f>HYPERLINK("https://www.philgeps.gov.ph/GEPSNONPILOT/Tender/SplashBidNoticeAbstractUI.aspx?menuIndex=3&amp;refID=7130442&amp;Result=3","7130442")</f>
        <v>0</v>
      </c>
      <c r="B11999" t="s">
        <v>2356</v>
      </c>
      <c r="C11999" t="s">
        <v>15196</v>
      </c>
      <c r="D11999" t="s">
        <v>19017</v>
      </c>
      <c r="E11999" t="s">
        <v>29367</v>
      </c>
      <c r="F11999" t="s">
        <v>32831</v>
      </c>
      <c r="G11999" t="s">
        <v>32845</v>
      </c>
      <c r="H11999" t="s">
        <v>32848</v>
      </c>
      <c r="I11999" t="s">
        <v>32856</v>
      </c>
      <c r="J11999" t="s">
        <v>40334</v>
      </c>
      <c r="K11999" t="s">
        <v>42730</v>
      </c>
      <c r="M11999" t="s">
        <v>45545</v>
      </c>
      <c r="N11999" t="s">
        <v>47424</v>
      </c>
      <c r="O11999" t="s">
        <v>47425</v>
      </c>
      <c r="Q11999">
        <v>19</v>
      </c>
      <c r="R11999" t="s">
        <v>47439</v>
      </c>
      <c r="S11999" t="s">
        <v>47863</v>
      </c>
      <c r="T11999" t="s">
        <v>49106</v>
      </c>
      <c r="U11999" t="s">
        <v>59518</v>
      </c>
      <c r="W11999" t="s">
        <v>45545</v>
      </c>
      <c r="X11999" t="s">
        <v>47445</v>
      </c>
    </row>
    <row r="12000" spans="1:24">
      <c r="A12000">
        <f>HYPERLINK("https://www.philgeps.gov.ph/GEPSNONPILOT/Tender/SplashBidNoticeAbstractUI.aspx?menuIndex=3&amp;refID=7125094&amp;Result=3","7125094")</f>
        <v>0</v>
      </c>
      <c r="B12000" t="s">
        <v>267</v>
      </c>
      <c r="C12000" t="s">
        <v>15197</v>
      </c>
      <c r="D12000" t="s">
        <v>19078</v>
      </c>
      <c r="E12000" t="s">
        <v>29368</v>
      </c>
      <c r="F12000" t="s">
        <v>32831</v>
      </c>
      <c r="G12000" t="s">
        <v>32839</v>
      </c>
      <c r="H12000" t="s">
        <v>32849</v>
      </c>
      <c r="I12000" t="s">
        <v>4177</v>
      </c>
      <c r="J12000" t="s">
        <v>40335</v>
      </c>
      <c r="K12000" t="s">
        <v>42911</v>
      </c>
      <c r="M12000" t="s">
        <v>43266</v>
      </c>
      <c r="N12000" t="s">
        <v>47424</v>
      </c>
      <c r="O12000" t="s">
        <v>47425</v>
      </c>
      <c r="P12000">
        <v>0</v>
      </c>
      <c r="Q12000">
        <v>2</v>
      </c>
      <c r="R12000" t="s">
        <v>47439</v>
      </c>
      <c r="S12000" t="s">
        <v>47860</v>
      </c>
      <c r="T12000" t="s">
        <v>49069</v>
      </c>
      <c r="U12000" t="s">
        <v>59519</v>
      </c>
      <c r="W12000" t="s">
        <v>43266</v>
      </c>
      <c r="X12000" t="s">
        <v>47447</v>
      </c>
    </row>
    <row r="12001" spans="1:24">
      <c r="A12001">
        <f>HYPERLINK("https://www.philgeps.gov.ph/GEPSNONPILOT/Tender/SplashBidNoticeAbstractUI.aspx?menuIndex=3&amp;refID=7125156&amp;Result=3","7125156")</f>
        <v>0</v>
      </c>
      <c r="B12001" t="s">
        <v>267</v>
      </c>
      <c r="C12001" t="s">
        <v>15198</v>
      </c>
      <c r="D12001" t="s">
        <v>19078</v>
      </c>
      <c r="E12001" t="s">
        <v>29369</v>
      </c>
      <c r="F12001" t="s">
        <v>32831</v>
      </c>
      <c r="G12001" t="s">
        <v>32839</v>
      </c>
      <c r="H12001" t="s">
        <v>32849</v>
      </c>
      <c r="I12001" t="s">
        <v>4177</v>
      </c>
      <c r="J12001" t="s">
        <v>40336</v>
      </c>
      <c r="K12001" t="s">
        <v>42798</v>
      </c>
      <c r="M12001" t="s">
        <v>43266</v>
      </c>
      <c r="N12001" t="s">
        <v>47424</v>
      </c>
      <c r="O12001" t="s">
        <v>47425</v>
      </c>
      <c r="P12001">
        <v>0</v>
      </c>
      <c r="Q12001">
        <v>3</v>
      </c>
      <c r="R12001" t="s">
        <v>47439</v>
      </c>
      <c r="S12001" t="s">
        <v>47860</v>
      </c>
      <c r="T12001" t="s">
        <v>49069</v>
      </c>
      <c r="U12001" t="s">
        <v>59520</v>
      </c>
      <c r="W12001" t="s">
        <v>43266</v>
      </c>
      <c r="X12001" t="s">
        <v>47447</v>
      </c>
    </row>
    <row r="12002" spans="1:24">
      <c r="A12002">
        <f>HYPERLINK("https://www.philgeps.gov.ph/GEPSNONPILOT/Tender/SplashBidNoticeAbstractUI.aspx?menuIndex=3&amp;refID=7124999&amp;Result=3","7124999")</f>
        <v>0</v>
      </c>
      <c r="B12002" t="s">
        <v>267</v>
      </c>
      <c r="C12002" t="s">
        <v>15199</v>
      </c>
      <c r="D12002" t="s">
        <v>19078</v>
      </c>
      <c r="E12002" t="s">
        <v>29370</v>
      </c>
      <c r="F12002" t="s">
        <v>32831</v>
      </c>
      <c r="G12002" t="s">
        <v>32839</v>
      </c>
      <c r="H12002" t="s">
        <v>32849</v>
      </c>
      <c r="I12002" t="s">
        <v>4177</v>
      </c>
      <c r="J12002" t="s">
        <v>33257</v>
      </c>
      <c r="K12002" t="s">
        <v>42912</v>
      </c>
      <c r="M12002" t="s">
        <v>43266</v>
      </c>
      <c r="N12002" t="s">
        <v>47424</v>
      </c>
      <c r="O12002" t="s">
        <v>47425</v>
      </c>
      <c r="P12002">
        <v>0</v>
      </c>
      <c r="Q12002">
        <v>2</v>
      </c>
      <c r="R12002" t="s">
        <v>47439</v>
      </c>
      <c r="S12002" t="s">
        <v>47860</v>
      </c>
      <c r="T12002" t="s">
        <v>49069</v>
      </c>
      <c r="U12002" t="s">
        <v>59521</v>
      </c>
      <c r="W12002" t="s">
        <v>43266</v>
      </c>
      <c r="X12002" t="s">
        <v>47447</v>
      </c>
    </row>
    <row r="12003" spans="1:24">
      <c r="A12003">
        <f>HYPERLINK("https://www.philgeps.gov.ph/GEPSNONPILOT/Tender/SplashBidNoticeAbstractUI.aspx?menuIndex=3&amp;refID=7124746&amp;Result=3","7124746")</f>
        <v>0</v>
      </c>
      <c r="B12003" t="s">
        <v>267</v>
      </c>
      <c r="C12003" t="s">
        <v>15192</v>
      </c>
      <c r="D12003" t="s">
        <v>19078</v>
      </c>
      <c r="E12003" t="s">
        <v>29371</v>
      </c>
      <c r="F12003" t="s">
        <v>32831</v>
      </c>
      <c r="G12003" t="s">
        <v>32839</v>
      </c>
      <c r="H12003" t="s">
        <v>32849</v>
      </c>
      <c r="I12003" t="s">
        <v>4177</v>
      </c>
      <c r="J12003" t="s">
        <v>40337</v>
      </c>
      <c r="K12003" t="s">
        <v>42952</v>
      </c>
      <c r="M12003" t="s">
        <v>43266</v>
      </c>
      <c r="N12003" t="s">
        <v>47424</v>
      </c>
      <c r="O12003" t="s">
        <v>47425</v>
      </c>
      <c r="P12003">
        <v>0</v>
      </c>
      <c r="Q12003">
        <v>2</v>
      </c>
      <c r="R12003" t="s">
        <v>47439</v>
      </c>
      <c r="S12003" t="s">
        <v>47860</v>
      </c>
      <c r="T12003" t="s">
        <v>49069</v>
      </c>
      <c r="U12003" t="s">
        <v>59522</v>
      </c>
      <c r="W12003" t="s">
        <v>43266</v>
      </c>
      <c r="X12003" t="s">
        <v>47447</v>
      </c>
    </row>
    <row r="12004" spans="1:24">
      <c r="A12004">
        <f>HYPERLINK("https://www.philgeps.gov.ph/GEPSNONPILOT/Tender/SplashBidNoticeAbstractUI.aspx?menuIndex=3&amp;refID=7124807&amp;Result=3","7124807")</f>
        <v>0</v>
      </c>
      <c r="B12004" t="s">
        <v>267</v>
      </c>
      <c r="C12004" t="s">
        <v>15192</v>
      </c>
      <c r="D12004" t="s">
        <v>19078</v>
      </c>
      <c r="E12004" t="s">
        <v>29372</v>
      </c>
      <c r="F12004" t="s">
        <v>32831</v>
      </c>
      <c r="G12004" t="s">
        <v>32839</v>
      </c>
      <c r="H12004" t="s">
        <v>32849</v>
      </c>
      <c r="I12004" t="s">
        <v>4177</v>
      </c>
      <c r="J12004" t="s">
        <v>40338</v>
      </c>
      <c r="K12004" t="s">
        <v>42909</v>
      </c>
      <c r="M12004" t="s">
        <v>43266</v>
      </c>
      <c r="N12004" t="s">
        <v>47424</v>
      </c>
      <c r="O12004" t="s">
        <v>47425</v>
      </c>
      <c r="P12004">
        <v>0</v>
      </c>
      <c r="Q12004">
        <v>1</v>
      </c>
      <c r="R12004" t="s">
        <v>47439</v>
      </c>
      <c r="S12004" t="s">
        <v>47860</v>
      </c>
      <c r="T12004" t="s">
        <v>49151</v>
      </c>
      <c r="U12004" t="s">
        <v>59523</v>
      </c>
      <c r="W12004" t="s">
        <v>43266</v>
      </c>
      <c r="X12004" t="s">
        <v>47447</v>
      </c>
    </row>
    <row r="12005" spans="1:24">
      <c r="A12005">
        <f>HYPERLINK("https://www.philgeps.gov.ph/GEPSNONPILOT/Tender/SplashBidNoticeAbstractUI.aspx?menuIndex=3&amp;refID=7124843&amp;Result=3","7124843")</f>
        <v>0</v>
      </c>
      <c r="B12005" t="s">
        <v>267</v>
      </c>
      <c r="C12005" t="s">
        <v>15192</v>
      </c>
      <c r="D12005" t="s">
        <v>19078</v>
      </c>
      <c r="E12005" t="s">
        <v>29373</v>
      </c>
      <c r="F12005" t="s">
        <v>32831</v>
      </c>
      <c r="G12005" t="s">
        <v>32839</v>
      </c>
      <c r="H12005" t="s">
        <v>32849</v>
      </c>
      <c r="I12005" t="s">
        <v>4177</v>
      </c>
      <c r="J12005" t="s">
        <v>40339</v>
      </c>
      <c r="K12005" t="s">
        <v>42749</v>
      </c>
      <c r="M12005" t="s">
        <v>43266</v>
      </c>
      <c r="N12005" t="s">
        <v>47424</v>
      </c>
      <c r="O12005" t="s">
        <v>47425</v>
      </c>
      <c r="P12005">
        <v>0</v>
      </c>
      <c r="Q12005">
        <v>2</v>
      </c>
      <c r="R12005" t="s">
        <v>47439</v>
      </c>
      <c r="S12005" t="s">
        <v>47860</v>
      </c>
      <c r="T12005" t="s">
        <v>49069</v>
      </c>
      <c r="U12005" t="s">
        <v>59524</v>
      </c>
      <c r="W12005" t="s">
        <v>43266</v>
      </c>
      <c r="X12005" t="s">
        <v>47447</v>
      </c>
    </row>
    <row r="12006" spans="1:24">
      <c r="A12006">
        <f>HYPERLINK("https://www.philgeps.gov.ph/GEPSNONPILOT/Tender/SplashBidNoticeAbstractUI.aspx?menuIndex=3&amp;refID=7145064&amp;Result=3","7145064")</f>
        <v>0</v>
      </c>
      <c r="B12006" t="s">
        <v>3465</v>
      </c>
      <c r="C12006" t="s">
        <v>15200</v>
      </c>
      <c r="D12006" t="s">
        <v>19093</v>
      </c>
      <c r="E12006" t="s">
        <v>19219</v>
      </c>
      <c r="F12006" t="s">
        <v>32831</v>
      </c>
      <c r="G12006" t="s">
        <v>32839</v>
      </c>
      <c r="H12006" t="s">
        <v>32849</v>
      </c>
      <c r="I12006" t="s">
        <v>4177</v>
      </c>
      <c r="J12006" t="s">
        <v>40340</v>
      </c>
      <c r="K12006" t="s">
        <v>42730</v>
      </c>
      <c r="M12006" t="s">
        <v>46808</v>
      </c>
      <c r="N12006" t="s">
        <v>47424</v>
      </c>
      <c r="O12006" t="s">
        <v>47425</v>
      </c>
      <c r="P12006">
        <v>0</v>
      </c>
      <c r="Q12006">
        <v>0</v>
      </c>
      <c r="R12006" t="s">
        <v>47438</v>
      </c>
      <c r="S12006" t="s">
        <v>47793</v>
      </c>
      <c r="T12006" t="s">
        <v>49069</v>
      </c>
      <c r="U12006" t="s">
        <v>59525</v>
      </c>
      <c r="V12006" t="s">
        <v>63946</v>
      </c>
      <c r="W12006" t="s">
        <v>46808</v>
      </c>
      <c r="X12006" t="s">
        <v>47439</v>
      </c>
    </row>
    <row r="12007" spans="1:24">
      <c r="A12007">
        <f>HYPERLINK("https://www.philgeps.gov.ph/GEPSNONPILOT/Tender/SplashBidNoticeAbstractUI.aspx?menuIndex=3&amp;refID=7123362&amp;Result=3","7123362")</f>
        <v>0</v>
      </c>
      <c r="B12007" t="s">
        <v>2061</v>
      </c>
      <c r="C12007" t="s">
        <v>15201</v>
      </c>
      <c r="D12007" t="s">
        <v>19045</v>
      </c>
      <c r="E12007" t="s">
        <v>29374</v>
      </c>
      <c r="F12007" t="s">
        <v>32831</v>
      </c>
      <c r="G12007" t="s">
        <v>32839</v>
      </c>
      <c r="H12007" t="s">
        <v>32848</v>
      </c>
      <c r="I12007" t="s">
        <v>32867</v>
      </c>
      <c r="J12007" t="s">
        <v>32976</v>
      </c>
      <c r="K12007" t="s">
        <v>42727</v>
      </c>
      <c r="M12007" t="s">
        <v>45231</v>
      </c>
      <c r="N12007" t="s">
        <v>47424</v>
      </c>
      <c r="O12007" t="s">
        <v>47425</v>
      </c>
      <c r="P12007">
        <v>0</v>
      </c>
      <c r="Q12007">
        <v>1</v>
      </c>
      <c r="R12007" t="s">
        <v>47439</v>
      </c>
      <c r="S12007" t="s">
        <v>47860</v>
      </c>
      <c r="T12007" t="s">
        <v>49609</v>
      </c>
      <c r="U12007" t="s">
        <v>54427</v>
      </c>
      <c r="V12007" t="s">
        <v>63947</v>
      </c>
      <c r="W12007" t="s">
        <v>45231</v>
      </c>
      <c r="X12007" t="s">
        <v>47447</v>
      </c>
    </row>
    <row r="12008" spans="1:24">
      <c r="A12008">
        <f>HYPERLINK("https://www.philgeps.gov.ph/GEPSNONPILOT/Tender/SplashBidNoticeAbstractUI.aspx?menuIndex=3&amp;refID=7136555&amp;Result=3","7136555")</f>
        <v>0</v>
      </c>
      <c r="B12008" t="s">
        <v>3492</v>
      </c>
      <c r="C12008" t="s">
        <v>15202</v>
      </c>
      <c r="D12008" t="s">
        <v>19050</v>
      </c>
      <c r="E12008" t="s">
        <v>29375</v>
      </c>
      <c r="F12008" t="s">
        <v>32831</v>
      </c>
      <c r="G12008" t="s">
        <v>32839</v>
      </c>
      <c r="H12008" t="s">
        <v>32848</v>
      </c>
      <c r="I12008" t="s">
        <v>32857</v>
      </c>
      <c r="J12008" t="s">
        <v>33334</v>
      </c>
      <c r="K12008" t="s">
        <v>42730</v>
      </c>
      <c r="M12008" t="s">
        <v>46841</v>
      </c>
      <c r="N12008" t="s">
        <v>47424</v>
      </c>
      <c r="O12008" t="s">
        <v>47425</v>
      </c>
      <c r="P12008">
        <v>0</v>
      </c>
      <c r="Q12008">
        <v>1</v>
      </c>
      <c r="R12008" t="s">
        <v>47439</v>
      </c>
      <c r="S12008" t="s">
        <v>47860</v>
      </c>
      <c r="T12008" t="s">
        <v>49122</v>
      </c>
      <c r="U12008" t="s">
        <v>59526</v>
      </c>
      <c r="V12008" t="s">
        <v>63948</v>
      </c>
      <c r="W12008" t="s">
        <v>46841</v>
      </c>
      <c r="X12008" t="s">
        <v>47441</v>
      </c>
    </row>
    <row r="12009" spans="1:24">
      <c r="A12009">
        <f>HYPERLINK("https://www.philgeps.gov.ph/GEPSNONPILOT/Tender/SplashBidNoticeAbstractUI.aspx?menuIndex=3&amp;refID=7133790&amp;Result=3","7133790")</f>
        <v>0</v>
      </c>
      <c r="B12009" t="s">
        <v>99</v>
      </c>
      <c r="C12009" t="s">
        <v>15203</v>
      </c>
      <c r="D12009" t="s">
        <v>19054</v>
      </c>
      <c r="E12009" t="s">
        <v>29376</v>
      </c>
      <c r="F12009" t="s">
        <v>32831</v>
      </c>
      <c r="G12009" t="s">
        <v>32839</v>
      </c>
      <c r="H12009" t="s">
        <v>32848</v>
      </c>
      <c r="I12009" t="s">
        <v>4487</v>
      </c>
      <c r="J12009" t="s">
        <v>40341</v>
      </c>
      <c r="K12009" t="s">
        <v>42730</v>
      </c>
      <c r="M12009" t="s">
        <v>43096</v>
      </c>
      <c r="N12009" t="s">
        <v>47424</v>
      </c>
      <c r="O12009" t="s">
        <v>47425</v>
      </c>
      <c r="P12009">
        <v>0</v>
      </c>
      <c r="Q12009">
        <v>8</v>
      </c>
      <c r="R12009" t="s">
        <v>47439</v>
      </c>
      <c r="S12009" t="s">
        <v>47860</v>
      </c>
      <c r="T12009" t="s">
        <v>49069</v>
      </c>
      <c r="U12009" t="s">
        <v>56583</v>
      </c>
      <c r="V12009" t="s">
        <v>62643</v>
      </c>
      <c r="W12009" t="s">
        <v>43096</v>
      </c>
      <c r="X12009" t="s">
        <v>47444</v>
      </c>
    </row>
    <row r="12010" spans="1:24">
      <c r="A12010">
        <f>HYPERLINK("https://www.philgeps.gov.ph/GEPSNONPILOT/Tender/SplashBidNoticeAbstractUI.aspx?menuIndex=3&amp;refID=7145016&amp;Result=3","7145016")</f>
        <v>0</v>
      </c>
      <c r="B12010" t="s">
        <v>3483</v>
      </c>
      <c r="C12010" t="s">
        <v>15204</v>
      </c>
      <c r="D12010" t="s">
        <v>19047</v>
      </c>
      <c r="E12010" t="s">
        <v>29377</v>
      </c>
      <c r="F12010" t="s">
        <v>32831</v>
      </c>
      <c r="G12010" t="s">
        <v>32839</v>
      </c>
      <c r="H12010" t="s">
        <v>32848</v>
      </c>
      <c r="I12010" t="s">
        <v>5667</v>
      </c>
      <c r="J12010" t="s">
        <v>40342</v>
      </c>
      <c r="K12010" t="s">
        <v>42775</v>
      </c>
      <c r="M12010" t="s">
        <v>46829</v>
      </c>
      <c r="N12010" t="s">
        <v>47424</v>
      </c>
      <c r="O12010" t="s">
        <v>47425</v>
      </c>
      <c r="Q12010">
        <v>6</v>
      </c>
      <c r="R12010" t="s">
        <v>47438</v>
      </c>
      <c r="S12010" t="s">
        <v>47864</v>
      </c>
      <c r="T12010" t="s">
        <v>49099</v>
      </c>
      <c r="U12010" t="s">
        <v>59488</v>
      </c>
      <c r="W12010" t="s">
        <v>46829</v>
      </c>
      <c r="X12010" t="s">
        <v>47439</v>
      </c>
    </row>
    <row r="12011" spans="1:24">
      <c r="A12011">
        <f>HYPERLINK("https://www.philgeps.gov.ph/GEPSNONPILOT/Tender/SplashBidNoticeAbstractUI.aspx?menuIndex=3&amp;refID=7136479&amp;Result=3","7136479")</f>
        <v>0</v>
      </c>
      <c r="B12011" t="s">
        <v>3493</v>
      </c>
      <c r="C12011" t="s">
        <v>15205</v>
      </c>
      <c r="D12011" t="s">
        <v>19054</v>
      </c>
      <c r="E12011" t="s">
        <v>29378</v>
      </c>
      <c r="F12011" t="s">
        <v>32831</v>
      </c>
      <c r="G12011" t="s">
        <v>32839</v>
      </c>
      <c r="H12011" t="s">
        <v>32849</v>
      </c>
      <c r="I12011" t="s">
        <v>4471</v>
      </c>
      <c r="J12011" t="s">
        <v>33812</v>
      </c>
      <c r="K12011" t="s">
        <v>42731</v>
      </c>
      <c r="M12011" t="s">
        <v>46842</v>
      </c>
      <c r="N12011" t="s">
        <v>47424</v>
      </c>
      <c r="O12011" t="s">
        <v>47425</v>
      </c>
      <c r="P12011">
        <v>0</v>
      </c>
      <c r="Q12011">
        <v>3</v>
      </c>
      <c r="R12011" t="s">
        <v>47439</v>
      </c>
      <c r="S12011" t="s">
        <v>47860</v>
      </c>
      <c r="T12011" t="s">
        <v>49127</v>
      </c>
      <c r="U12011" t="s">
        <v>59527</v>
      </c>
      <c r="W12011" t="s">
        <v>46842</v>
      </c>
      <c r="X12011" t="s">
        <v>47441</v>
      </c>
    </row>
    <row r="12012" spans="1:24">
      <c r="A12012">
        <f>HYPERLINK("https://www.philgeps.gov.ph/GEPSNONPILOT/Tender/SplashBidNoticeAbstractUI.aspx?menuIndex=3&amp;refID=7128187&amp;Result=3","7128187")</f>
        <v>0</v>
      </c>
      <c r="B12012" t="s">
        <v>3491</v>
      </c>
      <c r="C12012" t="s">
        <v>15206</v>
      </c>
      <c r="D12012" t="s">
        <v>19039</v>
      </c>
      <c r="E12012" t="s">
        <v>29379</v>
      </c>
      <c r="F12012" t="s">
        <v>32831</v>
      </c>
      <c r="G12012" t="s">
        <v>32839</v>
      </c>
      <c r="H12012" t="s">
        <v>32848</v>
      </c>
      <c r="I12012" t="s">
        <v>32866</v>
      </c>
      <c r="J12012" t="s">
        <v>33044</v>
      </c>
      <c r="K12012" t="s">
        <v>42729</v>
      </c>
      <c r="M12012" t="s">
        <v>46840</v>
      </c>
      <c r="N12012" t="s">
        <v>47424</v>
      </c>
      <c r="O12012" t="s">
        <v>47425</v>
      </c>
      <c r="P12012">
        <v>0</v>
      </c>
      <c r="Q12012">
        <v>0</v>
      </c>
      <c r="R12012" t="s">
        <v>47439</v>
      </c>
      <c r="S12012" t="s">
        <v>47860</v>
      </c>
      <c r="T12012" t="s">
        <v>49070</v>
      </c>
      <c r="U12012" t="s">
        <v>59528</v>
      </c>
      <c r="W12012" t="s">
        <v>46840</v>
      </c>
      <c r="X12012" t="s">
        <v>47446</v>
      </c>
    </row>
    <row r="12013" spans="1:24">
      <c r="A12013">
        <f>HYPERLINK("https://www.philgeps.gov.ph/GEPSNONPILOT/Tender/SplashBidNoticeAbstractUI.aspx?menuIndex=3&amp;refID=7124229&amp;Result=3","7124229")</f>
        <v>0</v>
      </c>
      <c r="B12013" t="s">
        <v>267</v>
      </c>
      <c r="C12013" t="s">
        <v>15207</v>
      </c>
      <c r="D12013" t="s">
        <v>19078</v>
      </c>
      <c r="E12013" t="s">
        <v>29380</v>
      </c>
      <c r="F12013" t="s">
        <v>32831</v>
      </c>
      <c r="G12013" t="s">
        <v>32839</v>
      </c>
      <c r="H12013" t="s">
        <v>32849</v>
      </c>
      <c r="I12013" t="s">
        <v>4177</v>
      </c>
      <c r="J12013" t="s">
        <v>33553</v>
      </c>
      <c r="K12013" t="s">
        <v>42790</v>
      </c>
      <c r="M12013" t="s">
        <v>43266</v>
      </c>
      <c r="N12013" t="s">
        <v>47424</v>
      </c>
      <c r="O12013" t="s">
        <v>47425</v>
      </c>
      <c r="P12013">
        <v>0</v>
      </c>
      <c r="Q12013">
        <v>1</v>
      </c>
      <c r="R12013" t="s">
        <v>47439</v>
      </c>
      <c r="S12013" t="s">
        <v>47860</v>
      </c>
      <c r="T12013" t="s">
        <v>49069</v>
      </c>
      <c r="U12013" t="s">
        <v>59529</v>
      </c>
      <c r="W12013" t="s">
        <v>43266</v>
      </c>
      <c r="X12013" t="s">
        <v>47447</v>
      </c>
    </row>
    <row r="12014" spans="1:24">
      <c r="A12014">
        <f>HYPERLINK("https://www.philgeps.gov.ph/GEPSNONPILOT/Tender/SplashBidNoticeAbstractUI.aspx?menuIndex=3&amp;refID=7136383&amp;Result=3","7136383")</f>
        <v>0</v>
      </c>
      <c r="B12014" t="s">
        <v>3493</v>
      </c>
      <c r="C12014" t="s">
        <v>15208</v>
      </c>
      <c r="D12014" t="s">
        <v>19054</v>
      </c>
      <c r="E12014" t="s">
        <v>29381</v>
      </c>
      <c r="F12014" t="s">
        <v>32831</v>
      </c>
      <c r="G12014" t="s">
        <v>32839</v>
      </c>
      <c r="H12014" t="s">
        <v>32848</v>
      </c>
      <c r="I12014" t="s">
        <v>7416</v>
      </c>
      <c r="J12014" t="s">
        <v>40343</v>
      </c>
      <c r="K12014" t="s">
        <v>42731</v>
      </c>
      <c r="M12014" t="s">
        <v>46842</v>
      </c>
      <c r="N12014" t="s">
        <v>47424</v>
      </c>
      <c r="O12014" t="s">
        <v>47425</v>
      </c>
      <c r="P12014">
        <v>0</v>
      </c>
      <c r="Q12014">
        <v>1</v>
      </c>
      <c r="R12014" t="s">
        <v>47439</v>
      </c>
      <c r="S12014" t="s">
        <v>47860</v>
      </c>
      <c r="T12014" t="s">
        <v>49127</v>
      </c>
      <c r="U12014" t="s">
        <v>59530</v>
      </c>
      <c r="W12014" t="s">
        <v>46842</v>
      </c>
      <c r="X12014" t="s">
        <v>47441</v>
      </c>
    </row>
    <row r="12015" spans="1:24">
      <c r="A12015">
        <f>HYPERLINK("https://www.philgeps.gov.ph/GEPSNONPILOT/Tender/SplashBidNoticeAbstractUI.aspx?menuIndex=3&amp;refID=7135941&amp;Result=3","7135941")</f>
        <v>0</v>
      </c>
      <c r="B12015" t="s">
        <v>3494</v>
      </c>
      <c r="C12015" t="s">
        <v>15209</v>
      </c>
      <c r="D12015" t="s">
        <v>19091</v>
      </c>
      <c r="E12015" t="s">
        <v>29382</v>
      </c>
      <c r="F12015" t="s">
        <v>32831</v>
      </c>
      <c r="G12015" t="s">
        <v>32839</v>
      </c>
      <c r="H12015" t="s">
        <v>32848</v>
      </c>
      <c r="I12015" t="s">
        <v>32883</v>
      </c>
      <c r="J12015" t="s">
        <v>36171</v>
      </c>
      <c r="K12015" t="s">
        <v>42730</v>
      </c>
      <c r="M12015" t="s">
        <v>46843</v>
      </c>
      <c r="N12015" t="s">
        <v>47424</v>
      </c>
      <c r="O12015" t="s">
        <v>47425</v>
      </c>
      <c r="P12015">
        <v>0</v>
      </c>
      <c r="Q12015">
        <v>2</v>
      </c>
      <c r="R12015" t="s">
        <v>47439</v>
      </c>
      <c r="S12015" t="s">
        <v>47860</v>
      </c>
      <c r="T12015" t="s">
        <v>49059</v>
      </c>
      <c r="U12015" t="s">
        <v>59531</v>
      </c>
      <c r="W12015" t="s">
        <v>46843</v>
      </c>
      <c r="X12015" t="s">
        <v>47442</v>
      </c>
    </row>
    <row r="12016" spans="1:24">
      <c r="A12016">
        <f>HYPERLINK("https://www.philgeps.gov.ph/GEPSNONPILOT/Tender/SplashBidNoticeAbstractUI.aspx?menuIndex=3&amp;refID=7135909&amp;Result=3","7135909")</f>
        <v>0</v>
      </c>
      <c r="B12016" t="s">
        <v>3494</v>
      </c>
      <c r="C12016" t="s">
        <v>15210</v>
      </c>
      <c r="D12016" t="s">
        <v>19091</v>
      </c>
      <c r="E12016" t="s">
        <v>29383</v>
      </c>
      <c r="F12016" t="s">
        <v>32831</v>
      </c>
      <c r="G12016" t="s">
        <v>32839</v>
      </c>
      <c r="H12016" t="s">
        <v>32848</v>
      </c>
      <c r="I12016" t="s">
        <v>4558</v>
      </c>
      <c r="J12016" t="s">
        <v>40344</v>
      </c>
      <c r="K12016" t="s">
        <v>42730</v>
      </c>
      <c r="M12016" t="s">
        <v>46843</v>
      </c>
      <c r="N12016" t="s">
        <v>47424</v>
      </c>
      <c r="O12016" t="s">
        <v>47425</v>
      </c>
      <c r="P12016">
        <v>0</v>
      </c>
      <c r="Q12016">
        <v>7</v>
      </c>
      <c r="R12016" t="s">
        <v>47439</v>
      </c>
      <c r="S12016" t="s">
        <v>47860</v>
      </c>
      <c r="T12016" t="s">
        <v>49059</v>
      </c>
      <c r="U12016" t="s">
        <v>59532</v>
      </c>
      <c r="W12016" t="s">
        <v>46843</v>
      </c>
      <c r="X12016" t="s">
        <v>47442</v>
      </c>
    </row>
    <row r="12017" spans="1:24">
      <c r="A12017">
        <f>HYPERLINK("https://www.philgeps.gov.ph/GEPSNONPILOT/Tender/SplashBidNoticeAbstractUI.aspx?menuIndex=3&amp;refID=7135945&amp;Result=3","7135945")</f>
        <v>0</v>
      </c>
      <c r="B12017" t="s">
        <v>3494</v>
      </c>
      <c r="C12017" t="s">
        <v>15211</v>
      </c>
      <c r="D12017" t="s">
        <v>19091</v>
      </c>
      <c r="E12017" t="s">
        <v>29384</v>
      </c>
      <c r="F12017" t="s">
        <v>32831</v>
      </c>
      <c r="G12017" t="s">
        <v>32839</v>
      </c>
      <c r="H12017" t="s">
        <v>32848</v>
      </c>
      <c r="I12017" t="s">
        <v>32883</v>
      </c>
      <c r="J12017" t="s">
        <v>35198</v>
      </c>
      <c r="K12017" t="s">
        <v>42730</v>
      </c>
      <c r="M12017" t="s">
        <v>46843</v>
      </c>
      <c r="N12017" t="s">
        <v>47424</v>
      </c>
      <c r="O12017" t="s">
        <v>47425</v>
      </c>
      <c r="P12017">
        <v>0</v>
      </c>
      <c r="Q12017">
        <v>2</v>
      </c>
      <c r="R12017" t="s">
        <v>47439</v>
      </c>
      <c r="S12017" t="s">
        <v>47860</v>
      </c>
      <c r="T12017" t="s">
        <v>49059</v>
      </c>
      <c r="U12017" t="s">
        <v>59533</v>
      </c>
      <c r="W12017" t="s">
        <v>46843</v>
      </c>
      <c r="X12017" t="s">
        <v>47442</v>
      </c>
    </row>
    <row r="12018" spans="1:24">
      <c r="A12018">
        <f>HYPERLINK("https://www.philgeps.gov.ph/GEPSNONPILOT/Tender/SplashBidNoticeAbstractUI.aspx?menuIndex=3&amp;refID=7123343&amp;Result=3","7123343")</f>
        <v>0</v>
      </c>
      <c r="B12018" t="s">
        <v>58</v>
      </c>
      <c r="C12018" t="s">
        <v>15212</v>
      </c>
      <c r="D12018" t="s">
        <v>19041</v>
      </c>
      <c r="E12018" t="s">
        <v>20014</v>
      </c>
      <c r="F12018" t="s">
        <v>32831</v>
      </c>
      <c r="G12018" t="s">
        <v>32839</v>
      </c>
      <c r="H12018" t="s">
        <v>32849</v>
      </c>
      <c r="I12018" t="s">
        <v>4177</v>
      </c>
      <c r="J12018" t="s">
        <v>40345</v>
      </c>
      <c r="K12018" t="s">
        <v>42953</v>
      </c>
      <c r="M12018" t="s">
        <v>43055</v>
      </c>
      <c r="N12018" t="s">
        <v>47424</v>
      </c>
      <c r="O12018" t="s">
        <v>47425</v>
      </c>
      <c r="P12018">
        <v>0</v>
      </c>
      <c r="Q12018">
        <v>0</v>
      </c>
      <c r="R12018" t="s">
        <v>47439</v>
      </c>
      <c r="S12018" t="s">
        <v>47860</v>
      </c>
      <c r="T12018" t="s">
        <v>49068</v>
      </c>
      <c r="U12018" t="s">
        <v>59534</v>
      </c>
      <c r="W12018" t="s">
        <v>43055</v>
      </c>
      <c r="X12018" t="s">
        <v>47447</v>
      </c>
    </row>
    <row r="12019" spans="1:24">
      <c r="A12019">
        <f>HYPERLINK("https://www.philgeps.gov.ph/GEPSNONPILOT/Tender/SplashBidNoticeAbstractUI.aspx?menuIndex=3&amp;refID=7135859&amp;Result=3","7135859")</f>
        <v>0</v>
      </c>
      <c r="B12019" t="s">
        <v>1612</v>
      </c>
      <c r="C12019" t="s">
        <v>15213</v>
      </c>
      <c r="D12019" t="s">
        <v>19049</v>
      </c>
      <c r="E12019" t="s">
        <v>29385</v>
      </c>
      <c r="F12019" t="s">
        <v>32831</v>
      </c>
      <c r="G12019" t="s">
        <v>32839</v>
      </c>
      <c r="H12019" t="s">
        <v>32848</v>
      </c>
      <c r="I12019" t="s">
        <v>32873</v>
      </c>
      <c r="J12019" t="s">
        <v>34921</v>
      </c>
      <c r="K12019" t="s">
        <v>42770</v>
      </c>
      <c r="M12019" t="s">
        <v>44728</v>
      </c>
      <c r="N12019" t="s">
        <v>47424</v>
      </c>
      <c r="O12019" t="s">
        <v>47425</v>
      </c>
      <c r="P12019">
        <v>0</v>
      </c>
      <c r="Q12019">
        <v>12</v>
      </c>
      <c r="R12019" t="s">
        <v>47439</v>
      </c>
      <c r="S12019" t="s">
        <v>47860</v>
      </c>
      <c r="T12019" t="s">
        <v>49087</v>
      </c>
      <c r="U12019" t="s">
        <v>59535</v>
      </c>
      <c r="V12019" t="s">
        <v>63949</v>
      </c>
      <c r="W12019" t="s">
        <v>44728</v>
      </c>
      <c r="X12019" t="s">
        <v>47442</v>
      </c>
    </row>
    <row r="12020" spans="1:24">
      <c r="A12020">
        <f>HYPERLINK("https://www.philgeps.gov.ph/GEPSNONPILOT/Tender/SplashBidNoticeAbstractUI.aspx?menuIndex=3&amp;refID=7135939&amp;Result=3","7135939")</f>
        <v>0</v>
      </c>
      <c r="B12020" t="s">
        <v>3494</v>
      </c>
      <c r="C12020" t="s">
        <v>15214</v>
      </c>
      <c r="D12020" t="s">
        <v>19091</v>
      </c>
      <c r="E12020" t="s">
        <v>29386</v>
      </c>
      <c r="F12020" t="s">
        <v>32831</v>
      </c>
      <c r="G12020" t="s">
        <v>32839</v>
      </c>
      <c r="H12020" t="s">
        <v>32848</v>
      </c>
      <c r="I12020" t="s">
        <v>10888</v>
      </c>
      <c r="J12020" t="s">
        <v>33011</v>
      </c>
      <c r="K12020" t="s">
        <v>42731</v>
      </c>
      <c r="M12020" t="s">
        <v>46843</v>
      </c>
      <c r="N12020" t="s">
        <v>47424</v>
      </c>
      <c r="O12020" t="s">
        <v>47425</v>
      </c>
      <c r="P12020">
        <v>0</v>
      </c>
      <c r="Q12020">
        <v>6</v>
      </c>
      <c r="R12020" t="s">
        <v>47439</v>
      </c>
      <c r="S12020" t="s">
        <v>47860</v>
      </c>
      <c r="T12020" t="s">
        <v>49059</v>
      </c>
      <c r="U12020" t="s">
        <v>59536</v>
      </c>
      <c r="W12020" t="s">
        <v>46843</v>
      </c>
      <c r="X12020" t="s">
        <v>47442</v>
      </c>
    </row>
    <row r="12021" spans="1:24">
      <c r="A12021">
        <f>HYPERLINK("https://www.philgeps.gov.ph/GEPSNONPILOT/Tender/SplashBidNoticeAbstractUI.aspx?menuIndex=3&amp;refID=7137635&amp;Result=3","7137635")</f>
        <v>0</v>
      </c>
      <c r="B12021" t="s">
        <v>1146</v>
      </c>
      <c r="C12021" t="s">
        <v>15215</v>
      </c>
      <c r="D12021" t="s">
        <v>19095</v>
      </c>
      <c r="E12021" t="s">
        <v>29387</v>
      </c>
      <c r="F12021" t="s">
        <v>32831</v>
      </c>
      <c r="G12021" t="s">
        <v>32839</v>
      </c>
      <c r="H12021" t="s">
        <v>32849</v>
      </c>
      <c r="I12021" t="s">
        <v>4177</v>
      </c>
      <c r="J12021" t="s">
        <v>40346</v>
      </c>
      <c r="K12021" t="s">
        <v>42726</v>
      </c>
      <c r="L12021" t="s">
        <v>1146</v>
      </c>
      <c r="M12021" t="s">
        <v>44210</v>
      </c>
      <c r="N12021" t="s">
        <v>47424</v>
      </c>
      <c r="O12021" t="s">
        <v>47425</v>
      </c>
      <c r="P12021">
        <v>0</v>
      </c>
      <c r="Q12021">
        <v>0</v>
      </c>
      <c r="R12021" t="s">
        <v>47439</v>
      </c>
      <c r="S12021" t="s">
        <v>47860</v>
      </c>
      <c r="T12021" t="s">
        <v>49122</v>
      </c>
      <c r="U12021" t="s">
        <v>59537</v>
      </c>
      <c r="V12021" t="s">
        <v>63950</v>
      </c>
      <c r="W12021" t="s">
        <v>44210</v>
      </c>
      <c r="X12021" t="s">
        <v>47441</v>
      </c>
    </row>
    <row r="12022" spans="1:24">
      <c r="A12022">
        <f>HYPERLINK("https://www.philgeps.gov.ph/GEPSNONPILOT/Tender/SplashBidNoticeAbstractUI.aspx?menuIndex=3&amp;refID=7137632&amp;Result=3","7137632")</f>
        <v>0</v>
      </c>
      <c r="B12022" t="s">
        <v>1879</v>
      </c>
      <c r="C12022" t="s">
        <v>15216</v>
      </c>
      <c r="D12022" t="s">
        <v>19021</v>
      </c>
      <c r="E12022" t="s">
        <v>29388</v>
      </c>
      <c r="F12022" t="s">
        <v>32831</v>
      </c>
      <c r="G12022" t="s">
        <v>32839</v>
      </c>
      <c r="H12022" t="s">
        <v>32849</v>
      </c>
      <c r="I12022" t="s">
        <v>4177</v>
      </c>
      <c r="J12022" t="s">
        <v>40347</v>
      </c>
      <c r="K12022" t="s">
        <v>42729</v>
      </c>
      <c r="L12022" t="s">
        <v>1879</v>
      </c>
      <c r="M12022" t="s">
        <v>45023</v>
      </c>
      <c r="N12022" t="s">
        <v>47424</v>
      </c>
      <c r="O12022" t="s">
        <v>47425</v>
      </c>
      <c r="P12022">
        <v>0</v>
      </c>
      <c r="Q12022">
        <v>29</v>
      </c>
      <c r="R12022" t="s">
        <v>47439</v>
      </c>
      <c r="S12022" t="s">
        <v>47860</v>
      </c>
      <c r="T12022" t="s">
        <v>49073</v>
      </c>
      <c r="U12022" t="s">
        <v>53768</v>
      </c>
      <c r="W12022" t="s">
        <v>45023</v>
      </c>
      <c r="X12022" t="s">
        <v>47441</v>
      </c>
    </row>
    <row r="12023" spans="1:24">
      <c r="A12023">
        <f>HYPERLINK("https://www.philgeps.gov.ph/GEPSNONPILOT/Tender/SplashBidNoticeAbstractUI.aspx?menuIndex=3&amp;refID=7136348&amp;Result=3","7136348")</f>
        <v>0</v>
      </c>
      <c r="B12023" t="s">
        <v>3495</v>
      </c>
      <c r="C12023" t="s">
        <v>15217</v>
      </c>
      <c r="D12023" t="s">
        <v>19045</v>
      </c>
      <c r="E12023" t="s">
        <v>29389</v>
      </c>
      <c r="F12023" t="s">
        <v>32831</v>
      </c>
      <c r="G12023" t="s">
        <v>32839</v>
      </c>
      <c r="H12023" t="s">
        <v>32849</v>
      </c>
      <c r="I12023" t="s">
        <v>4177</v>
      </c>
      <c r="J12023" t="s">
        <v>32985</v>
      </c>
      <c r="K12023" t="s">
        <v>42747</v>
      </c>
      <c r="M12023" t="s">
        <v>46844</v>
      </c>
      <c r="N12023" t="s">
        <v>47424</v>
      </c>
      <c r="O12023" t="s">
        <v>47425</v>
      </c>
      <c r="P12023">
        <v>0</v>
      </c>
      <c r="Q12023">
        <v>0</v>
      </c>
      <c r="R12023" t="s">
        <v>47439</v>
      </c>
      <c r="S12023" t="s">
        <v>47860</v>
      </c>
      <c r="T12023" t="s">
        <v>49073</v>
      </c>
      <c r="U12023" t="s">
        <v>59538</v>
      </c>
      <c r="W12023" t="s">
        <v>46844</v>
      </c>
      <c r="X12023" t="s">
        <v>47441</v>
      </c>
    </row>
    <row r="12024" spans="1:24">
      <c r="A12024">
        <f>HYPERLINK("https://www.philgeps.gov.ph/GEPSNONPILOT/Tender/SplashBidNoticeAbstractUI.aspx?menuIndex=3&amp;refID=7137595&amp;Result=3","7137595")</f>
        <v>0</v>
      </c>
      <c r="B12024" t="s">
        <v>1566</v>
      </c>
      <c r="C12024" t="s">
        <v>15218</v>
      </c>
      <c r="D12024" t="s">
        <v>19054</v>
      </c>
      <c r="E12024" t="s">
        <v>29390</v>
      </c>
      <c r="F12024" t="s">
        <v>32831</v>
      </c>
      <c r="G12024" t="s">
        <v>32839</v>
      </c>
      <c r="H12024" t="s">
        <v>32849</v>
      </c>
      <c r="I12024" t="s">
        <v>4177</v>
      </c>
      <c r="J12024" t="s">
        <v>40348</v>
      </c>
      <c r="K12024" t="s">
        <v>42744</v>
      </c>
      <c r="M12024" t="s">
        <v>44675</v>
      </c>
      <c r="N12024" t="s">
        <v>47424</v>
      </c>
      <c r="O12024" t="s">
        <v>47425</v>
      </c>
      <c r="P12024">
        <v>0</v>
      </c>
      <c r="Q12024">
        <v>0</v>
      </c>
      <c r="R12024" t="s">
        <v>47439</v>
      </c>
      <c r="S12024" t="s">
        <v>47860</v>
      </c>
      <c r="T12024" t="s">
        <v>49127</v>
      </c>
      <c r="U12024" t="s">
        <v>59539</v>
      </c>
      <c r="W12024" t="s">
        <v>44675</v>
      </c>
      <c r="X12024" t="s">
        <v>47441</v>
      </c>
    </row>
    <row r="12025" spans="1:24">
      <c r="A12025">
        <f>HYPERLINK("https://www.philgeps.gov.ph/GEPSNONPILOT/Tender/SplashBidNoticeAbstractUI.aspx?menuIndex=3&amp;refID=7137528&amp;Result=3","7137528")</f>
        <v>0</v>
      </c>
      <c r="B12025" t="s">
        <v>221</v>
      </c>
      <c r="C12025" t="s">
        <v>15219</v>
      </c>
      <c r="D12025" t="s">
        <v>19079</v>
      </c>
      <c r="E12025" t="s">
        <v>29391</v>
      </c>
      <c r="F12025" t="s">
        <v>32831</v>
      </c>
      <c r="G12025" t="s">
        <v>32845</v>
      </c>
      <c r="H12025" t="s">
        <v>14069</v>
      </c>
      <c r="I12025" t="s">
        <v>14069</v>
      </c>
      <c r="J12025" t="s">
        <v>40349</v>
      </c>
      <c r="K12025" t="s">
        <v>42732</v>
      </c>
      <c r="L12025" t="s">
        <v>221</v>
      </c>
      <c r="M12025" t="s">
        <v>46263</v>
      </c>
      <c r="N12025" t="s">
        <v>47424</v>
      </c>
      <c r="O12025" t="s">
        <v>47425</v>
      </c>
      <c r="Q12025">
        <v>4</v>
      </c>
      <c r="R12025" t="s">
        <v>47439</v>
      </c>
      <c r="S12025" t="s">
        <v>47865</v>
      </c>
      <c r="T12025" t="s">
        <v>49078</v>
      </c>
      <c r="U12025" t="s">
        <v>59540</v>
      </c>
      <c r="W12025" t="s">
        <v>46263</v>
      </c>
      <c r="X12025" t="s">
        <v>47441</v>
      </c>
    </row>
    <row r="12026" spans="1:24">
      <c r="A12026">
        <f>HYPERLINK("https://www.philgeps.gov.ph/GEPSNONPILOT/Tender/SplashBidNoticeAbstractUI.aspx?menuIndex=3&amp;refID=7137479&amp;Result=3","7137479")</f>
        <v>0</v>
      </c>
      <c r="B12026" t="s">
        <v>3496</v>
      </c>
      <c r="C12026" t="s">
        <v>15220</v>
      </c>
      <c r="D12026" t="s">
        <v>19017</v>
      </c>
      <c r="E12026" t="s">
        <v>29392</v>
      </c>
      <c r="F12026" t="s">
        <v>32831</v>
      </c>
      <c r="G12026" t="s">
        <v>32839</v>
      </c>
      <c r="H12026" t="s">
        <v>32848</v>
      </c>
      <c r="I12026" t="s">
        <v>32867</v>
      </c>
      <c r="J12026" t="s">
        <v>40350</v>
      </c>
      <c r="K12026" t="s">
        <v>42732</v>
      </c>
      <c r="M12026" t="s">
        <v>46845</v>
      </c>
      <c r="N12026" t="s">
        <v>47424</v>
      </c>
      <c r="O12026" t="s">
        <v>47425</v>
      </c>
      <c r="Q12026">
        <v>16</v>
      </c>
      <c r="R12026" t="s">
        <v>47439</v>
      </c>
      <c r="S12026" t="s">
        <v>47866</v>
      </c>
      <c r="T12026" t="s">
        <v>49128</v>
      </c>
      <c r="U12026" t="s">
        <v>55890</v>
      </c>
      <c r="W12026" t="s">
        <v>46845</v>
      </c>
      <c r="X12026" t="s">
        <v>47441</v>
      </c>
    </row>
    <row r="12027" spans="1:24">
      <c r="A12027">
        <f>HYPERLINK("https://www.philgeps.gov.ph/GEPSNONPILOT/Tender/SplashBidNoticeAbstractUI.aspx?menuIndex=3&amp;refID=7137364&amp;Result=3","7137364")</f>
        <v>0</v>
      </c>
      <c r="B12027" t="s">
        <v>1146</v>
      </c>
      <c r="C12027" t="s">
        <v>15221</v>
      </c>
      <c r="D12027" t="s">
        <v>19095</v>
      </c>
      <c r="E12027" t="s">
        <v>29393</v>
      </c>
      <c r="F12027" t="s">
        <v>32831</v>
      </c>
      <c r="G12027" t="s">
        <v>32839</v>
      </c>
      <c r="H12027" t="s">
        <v>32848</v>
      </c>
      <c r="I12027" t="s">
        <v>32870</v>
      </c>
      <c r="J12027" t="s">
        <v>40351</v>
      </c>
      <c r="K12027" t="s">
        <v>42770</v>
      </c>
      <c r="L12027" t="s">
        <v>1146</v>
      </c>
      <c r="M12027" t="s">
        <v>44210</v>
      </c>
      <c r="N12027" t="s">
        <v>47424</v>
      </c>
      <c r="O12027" t="s">
        <v>47425</v>
      </c>
      <c r="P12027">
        <v>0</v>
      </c>
      <c r="Q12027">
        <v>0</v>
      </c>
      <c r="R12027" t="s">
        <v>47439</v>
      </c>
      <c r="S12027" t="s">
        <v>47860</v>
      </c>
      <c r="T12027" t="s">
        <v>49122</v>
      </c>
      <c r="U12027" t="s">
        <v>59541</v>
      </c>
      <c r="V12027" t="s">
        <v>63950</v>
      </c>
      <c r="W12027" t="s">
        <v>44210</v>
      </c>
      <c r="X12027" t="s">
        <v>47441</v>
      </c>
    </row>
    <row r="12028" spans="1:24">
      <c r="A12028">
        <f>HYPERLINK("https://www.philgeps.gov.ph/GEPSNONPILOT/Tender/SplashBidNoticeAbstractUI.aspx?menuIndex=3&amp;refID=7137107&amp;Result=3","7137107")</f>
        <v>0</v>
      </c>
      <c r="B12028" t="s">
        <v>3497</v>
      </c>
      <c r="C12028" t="s">
        <v>15222</v>
      </c>
      <c r="D12028" t="s">
        <v>19091</v>
      </c>
      <c r="E12028" t="s">
        <v>29394</v>
      </c>
      <c r="F12028" t="s">
        <v>32831</v>
      </c>
      <c r="G12028" t="s">
        <v>32839</v>
      </c>
      <c r="H12028" t="s">
        <v>32848</v>
      </c>
      <c r="I12028" t="s">
        <v>32862</v>
      </c>
      <c r="J12028" t="s">
        <v>40352</v>
      </c>
      <c r="K12028" t="s">
        <v>42730</v>
      </c>
      <c r="M12028" t="s">
        <v>46846</v>
      </c>
      <c r="N12028" t="s">
        <v>47424</v>
      </c>
      <c r="O12028" t="s">
        <v>47425</v>
      </c>
      <c r="P12028">
        <v>0</v>
      </c>
      <c r="Q12028">
        <v>3</v>
      </c>
      <c r="R12028" t="s">
        <v>47439</v>
      </c>
      <c r="S12028" t="s">
        <v>47860</v>
      </c>
      <c r="T12028" t="s">
        <v>49114</v>
      </c>
      <c r="U12028" t="s">
        <v>59542</v>
      </c>
      <c r="V12028" t="s">
        <v>62817</v>
      </c>
      <c r="W12028" t="s">
        <v>46846</v>
      </c>
      <c r="X12028" t="s">
        <v>47441</v>
      </c>
    </row>
    <row r="12029" spans="1:24">
      <c r="A12029">
        <f>HYPERLINK("https://www.philgeps.gov.ph/GEPSNONPILOT/Tender/SplashBidNoticeAbstractUI.aspx?menuIndex=3&amp;refID=7137101&amp;Result=3","7137101")</f>
        <v>0</v>
      </c>
      <c r="B12029" t="s">
        <v>3498</v>
      </c>
      <c r="C12029" t="s">
        <v>15223</v>
      </c>
      <c r="D12029" t="s">
        <v>19059</v>
      </c>
      <c r="E12029" t="s">
        <v>28204</v>
      </c>
      <c r="F12029" t="s">
        <v>32833</v>
      </c>
      <c r="G12029" t="s">
        <v>32839</v>
      </c>
      <c r="H12029" t="s">
        <v>32849</v>
      </c>
      <c r="I12029" t="s">
        <v>7416</v>
      </c>
      <c r="J12029" t="s">
        <v>32980</v>
      </c>
      <c r="K12029" t="s">
        <v>42730</v>
      </c>
      <c r="M12029" t="s">
        <v>46847</v>
      </c>
      <c r="N12029" t="s">
        <v>47424</v>
      </c>
      <c r="O12029" t="s">
        <v>47425</v>
      </c>
      <c r="P12029">
        <v>0</v>
      </c>
      <c r="Q12029">
        <v>4</v>
      </c>
      <c r="R12029" t="s">
        <v>47439</v>
      </c>
      <c r="S12029" t="s">
        <v>47860</v>
      </c>
      <c r="T12029" t="s">
        <v>49162</v>
      </c>
      <c r="U12029" t="s">
        <v>59543</v>
      </c>
      <c r="W12029" t="s">
        <v>46847</v>
      </c>
      <c r="X12029" t="s">
        <v>47441</v>
      </c>
    </row>
    <row r="12030" spans="1:24">
      <c r="A12030">
        <f>HYPERLINK("https://www.philgeps.gov.ph/GEPSNONPILOT/Tender/SplashBidNoticeAbstractUI.aspx?menuIndex=3&amp;refID=7137494&amp;Result=3","7137494")</f>
        <v>0</v>
      </c>
      <c r="B12030" t="s">
        <v>1118</v>
      </c>
      <c r="C12030" t="s">
        <v>15224</v>
      </c>
      <c r="D12030" t="s">
        <v>19060</v>
      </c>
      <c r="E12030" t="s">
        <v>29395</v>
      </c>
      <c r="F12030" t="s">
        <v>32831</v>
      </c>
      <c r="G12030" t="s">
        <v>32839</v>
      </c>
      <c r="H12030" t="s">
        <v>32848</v>
      </c>
      <c r="I12030" t="s">
        <v>32857</v>
      </c>
      <c r="J12030" t="s">
        <v>40353</v>
      </c>
      <c r="K12030" t="s">
        <v>42726</v>
      </c>
      <c r="M12030" t="s">
        <v>45853</v>
      </c>
      <c r="N12030" t="s">
        <v>47424</v>
      </c>
      <c r="O12030" t="s">
        <v>47425</v>
      </c>
      <c r="Q12030">
        <v>7</v>
      </c>
      <c r="R12030" t="s">
        <v>47439</v>
      </c>
      <c r="S12030" t="s">
        <v>47867</v>
      </c>
      <c r="T12030" t="s">
        <v>49321</v>
      </c>
      <c r="U12030" t="s">
        <v>57532</v>
      </c>
      <c r="V12030" t="s">
        <v>63951</v>
      </c>
      <c r="W12030" t="s">
        <v>45853</v>
      </c>
      <c r="X12030" t="s">
        <v>47441</v>
      </c>
    </row>
    <row r="12031" spans="1:24">
      <c r="A12031">
        <f>HYPERLINK("https://www.philgeps.gov.ph/GEPSNONPILOT/Tender/SplashBidNoticeAbstractUI.aspx?menuIndex=3&amp;refID=7136914&amp;Result=3","7136914")</f>
        <v>0</v>
      </c>
      <c r="B12031" t="s">
        <v>3499</v>
      </c>
      <c r="C12031" t="s">
        <v>15225</v>
      </c>
      <c r="E12031" t="s">
        <v>19203</v>
      </c>
      <c r="F12031" t="s">
        <v>32831</v>
      </c>
      <c r="G12031" t="s">
        <v>32839</v>
      </c>
      <c r="H12031" t="s">
        <v>32848</v>
      </c>
      <c r="I12031" t="s">
        <v>7416</v>
      </c>
      <c r="J12031" t="s">
        <v>36945</v>
      </c>
      <c r="K12031" t="s">
        <v>42732</v>
      </c>
      <c r="M12031" t="s">
        <v>46848</v>
      </c>
      <c r="N12031" t="s">
        <v>47424</v>
      </c>
      <c r="O12031" t="s">
        <v>47425</v>
      </c>
      <c r="P12031">
        <v>0</v>
      </c>
      <c r="Q12031">
        <v>0</v>
      </c>
      <c r="R12031" t="s">
        <v>47439</v>
      </c>
      <c r="S12031" t="s">
        <v>47860</v>
      </c>
      <c r="T12031" t="s">
        <v>49129</v>
      </c>
      <c r="U12031" t="s">
        <v>59544</v>
      </c>
      <c r="W12031" t="s">
        <v>46848</v>
      </c>
      <c r="X12031" t="s">
        <v>47441</v>
      </c>
    </row>
    <row r="12032" spans="1:24">
      <c r="A12032">
        <f>HYPERLINK("https://www.philgeps.gov.ph/GEPSNONPILOT/Tender/SplashBidNoticeAbstractUI.aspx?menuIndex=3&amp;refID=7137692&amp;Result=3","7137692")</f>
        <v>0</v>
      </c>
      <c r="B12032" t="s">
        <v>221</v>
      </c>
      <c r="C12032" t="s">
        <v>15226</v>
      </c>
      <c r="D12032" t="s">
        <v>19022</v>
      </c>
      <c r="E12032" t="s">
        <v>29396</v>
      </c>
      <c r="F12032" t="s">
        <v>32831</v>
      </c>
      <c r="G12032" t="s">
        <v>32845</v>
      </c>
      <c r="H12032" t="s">
        <v>14069</v>
      </c>
      <c r="I12032" t="s">
        <v>14069</v>
      </c>
      <c r="J12032" t="s">
        <v>40354</v>
      </c>
      <c r="K12032" t="s">
        <v>42732</v>
      </c>
      <c r="L12032" t="s">
        <v>221</v>
      </c>
      <c r="M12032" t="s">
        <v>46263</v>
      </c>
      <c r="N12032" t="s">
        <v>47424</v>
      </c>
      <c r="O12032" t="s">
        <v>47425</v>
      </c>
      <c r="Q12032">
        <v>4</v>
      </c>
      <c r="R12032" t="s">
        <v>47439</v>
      </c>
      <c r="S12032" t="s">
        <v>47868</v>
      </c>
      <c r="T12032" t="s">
        <v>49078</v>
      </c>
      <c r="U12032" t="s">
        <v>59545</v>
      </c>
      <c r="W12032" t="s">
        <v>46263</v>
      </c>
      <c r="X12032" t="s">
        <v>47441</v>
      </c>
    </row>
    <row r="12033" spans="1:24">
      <c r="A12033">
        <f>HYPERLINK("https://www.philgeps.gov.ph/GEPSNONPILOT/Tender/SplashBidNoticeAbstractUI.aspx?menuIndex=3&amp;refID=7137021&amp;Result=3","7137021")</f>
        <v>0</v>
      </c>
      <c r="B12033" t="s">
        <v>3500</v>
      </c>
      <c r="C12033" t="s">
        <v>15227</v>
      </c>
      <c r="D12033" t="s">
        <v>19066</v>
      </c>
      <c r="E12033" t="s">
        <v>29397</v>
      </c>
      <c r="F12033" t="s">
        <v>32831</v>
      </c>
      <c r="G12033" t="s">
        <v>32839</v>
      </c>
      <c r="H12033" t="s">
        <v>32849</v>
      </c>
      <c r="I12033" t="s">
        <v>4177</v>
      </c>
      <c r="J12033" t="s">
        <v>33016</v>
      </c>
      <c r="K12033" t="s">
        <v>42829</v>
      </c>
      <c r="M12033" t="s">
        <v>46849</v>
      </c>
      <c r="N12033" t="s">
        <v>47424</v>
      </c>
      <c r="O12033" t="s">
        <v>47425</v>
      </c>
      <c r="P12033">
        <v>0</v>
      </c>
      <c r="Q12033">
        <v>0</v>
      </c>
      <c r="R12033" t="s">
        <v>47439</v>
      </c>
      <c r="S12033" t="s">
        <v>47860</v>
      </c>
      <c r="T12033" t="s">
        <v>49267</v>
      </c>
      <c r="U12033" t="s">
        <v>59546</v>
      </c>
      <c r="V12033" t="s">
        <v>62946</v>
      </c>
      <c r="W12033" t="s">
        <v>46849</v>
      </c>
      <c r="X12033" t="s">
        <v>47441</v>
      </c>
    </row>
    <row r="12034" spans="1:24">
      <c r="A12034">
        <f>HYPERLINK("https://www.philgeps.gov.ph/GEPSNONPILOT/Tender/SplashBidNoticeAbstractUI.aspx?menuIndex=3&amp;refID=7137072&amp;Result=3","7137072")</f>
        <v>0</v>
      </c>
      <c r="B12034" t="s">
        <v>2803</v>
      </c>
      <c r="C12034" t="s">
        <v>10462</v>
      </c>
      <c r="D12034" t="s">
        <v>19071</v>
      </c>
      <c r="E12034" t="s">
        <v>29398</v>
      </c>
      <c r="F12034" t="s">
        <v>32831</v>
      </c>
      <c r="G12034" t="s">
        <v>32839</v>
      </c>
      <c r="H12034" t="s">
        <v>32848</v>
      </c>
      <c r="I12034" t="s">
        <v>32870</v>
      </c>
      <c r="J12034" t="s">
        <v>40355</v>
      </c>
      <c r="K12034" t="s">
        <v>42731</v>
      </c>
      <c r="M12034" t="s">
        <v>46033</v>
      </c>
      <c r="N12034" t="s">
        <v>47424</v>
      </c>
      <c r="O12034" t="s">
        <v>47425</v>
      </c>
      <c r="P12034">
        <v>0</v>
      </c>
      <c r="Q12034">
        <v>0</v>
      </c>
      <c r="R12034" t="s">
        <v>47439</v>
      </c>
      <c r="S12034" t="s">
        <v>47860</v>
      </c>
      <c r="T12034" t="s">
        <v>49069</v>
      </c>
      <c r="U12034" t="s">
        <v>59547</v>
      </c>
      <c r="W12034" t="s">
        <v>46033</v>
      </c>
      <c r="X12034" t="s">
        <v>47441</v>
      </c>
    </row>
    <row r="12035" spans="1:24">
      <c r="A12035">
        <f>HYPERLINK("https://www.philgeps.gov.ph/GEPSNONPILOT/Tender/SplashBidNoticeAbstractUI.aspx?menuIndex=3&amp;refID=7136434&amp;Result=3","7136434")</f>
        <v>0</v>
      </c>
      <c r="B12035" t="s">
        <v>3495</v>
      </c>
      <c r="C12035" t="s">
        <v>15228</v>
      </c>
      <c r="D12035" t="s">
        <v>19045</v>
      </c>
      <c r="E12035" t="s">
        <v>29399</v>
      </c>
      <c r="F12035" t="s">
        <v>32831</v>
      </c>
      <c r="G12035" t="s">
        <v>32839</v>
      </c>
      <c r="H12035" t="s">
        <v>32849</v>
      </c>
      <c r="I12035" t="s">
        <v>4177</v>
      </c>
      <c r="J12035" t="s">
        <v>40356</v>
      </c>
      <c r="K12035" t="s">
        <v>42729</v>
      </c>
      <c r="M12035" t="s">
        <v>46844</v>
      </c>
      <c r="N12035" t="s">
        <v>47424</v>
      </c>
      <c r="O12035" t="s">
        <v>47425</v>
      </c>
      <c r="P12035">
        <v>0</v>
      </c>
      <c r="Q12035">
        <v>0</v>
      </c>
      <c r="R12035" t="s">
        <v>47439</v>
      </c>
      <c r="S12035" t="s">
        <v>47860</v>
      </c>
      <c r="T12035" t="s">
        <v>49148</v>
      </c>
      <c r="U12035" t="s">
        <v>59548</v>
      </c>
      <c r="W12035" t="s">
        <v>46844</v>
      </c>
      <c r="X12035" t="s">
        <v>47441</v>
      </c>
    </row>
    <row r="12036" spans="1:24">
      <c r="A12036">
        <f>HYPERLINK("https://www.philgeps.gov.ph/GEPSNONPILOT/Tender/SplashBidNoticeAbstractUI.aspx?menuIndex=3&amp;refID=7133519&amp;Result=3","7133519")</f>
        <v>0</v>
      </c>
      <c r="B12036" t="s">
        <v>485</v>
      </c>
      <c r="C12036" t="s">
        <v>15229</v>
      </c>
      <c r="D12036" t="s">
        <v>19032</v>
      </c>
      <c r="E12036" t="s">
        <v>29400</v>
      </c>
      <c r="F12036" t="s">
        <v>32831</v>
      </c>
      <c r="G12036" t="s">
        <v>32839</v>
      </c>
      <c r="H12036" t="s">
        <v>32848</v>
      </c>
      <c r="I12036" t="s">
        <v>9577</v>
      </c>
      <c r="J12036" t="s">
        <v>33087</v>
      </c>
      <c r="K12036" t="s">
        <v>42726</v>
      </c>
      <c r="M12036" t="s">
        <v>43490</v>
      </c>
      <c r="N12036" t="s">
        <v>47424</v>
      </c>
      <c r="O12036" t="s">
        <v>47425</v>
      </c>
      <c r="P12036">
        <v>0</v>
      </c>
      <c r="Q12036">
        <v>2</v>
      </c>
      <c r="R12036" t="s">
        <v>47439</v>
      </c>
      <c r="S12036" t="s">
        <v>47860</v>
      </c>
      <c r="T12036" t="s">
        <v>49610</v>
      </c>
      <c r="U12036" t="s">
        <v>50354</v>
      </c>
      <c r="V12036" t="s">
        <v>63952</v>
      </c>
      <c r="W12036" t="s">
        <v>43490</v>
      </c>
      <c r="X12036" t="s">
        <v>47444</v>
      </c>
    </row>
    <row r="12037" spans="1:24">
      <c r="A12037">
        <f>HYPERLINK("https://www.philgeps.gov.ph/GEPSNONPILOT/Tender/SplashBidNoticeAbstractUI.aspx?menuIndex=3&amp;refID=7136595&amp;Result=3","7136595")</f>
        <v>0</v>
      </c>
      <c r="B12037" t="s">
        <v>37</v>
      </c>
      <c r="C12037" t="s">
        <v>15230</v>
      </c>
      <c r="D12037" t="s">
        <v>19027</v>
      </c>
      <c r="E12037" t="s">
        <v>29401</v>
      </c>
      <c r="F12037" t="s">
        <v>32831</v>
      </c>
      <c r="G12037" t="s">
        <v>32839</v>
      </c>
      <c r="H12037" t="s">
        <v>32848</v>
      </c>
      <c r="I12037" t="s">
        <v>4438</v>
      </c>
      <c r="J12037" t="s">
        <v>40357</v>
      </c>
      <c r="K12037" t="s">
        <v>42732</v>
      </c>
      <c r="M12037" t="s">
        <v>43034</v>
      </c>
      <c r="N12037" t="s">
        <v>47424</v>
      </c>
      <c r="O12037" t="s">
        <v>47425</v>
      </c>
      <c r="P12037">
        <v>0</v>
      </c>
      <c r="Q12037">
        <v>6</v>
      </c>
      <c r="R12037" t="s">
        <v>47439</v>
      </c>
      <c r="S12037" t="s">
        <v>47860</v>
      </c>
      <c r="T12037" t="s">
        <v>49069</v>
      </c>
      <c r="U12037" t="s">
        <v>49709</v>
      </c>
      <c r="W12037" t="s">
        <v>43034</v>
      </c>
      <c r="X12037" t="s">
        <v>47441</v>
      </c>
    </row>
    <row r="12038" spans="1:24">
      <c r="A12038">
        <f>HYPERLINK("https://www.philgeps.gov.ph/GEPSNONPILOT/Tender/SplashBidNoticeAbstractUI.aspx?menuIndex=3&amp;refID=7136569&amp;Result=3","7136569")</f>
        <v>0</v>
      </c>
      <c r="B12038" t="s">
        <v>41</v>
      </c>
      <c r="C12038" t="s">
        <v>15231</v>
      </c>
      <c r="D12038" t="s">
        <v>19030</v>
      </c>
      <c r="E12038" t="s">
        <v>29402</v>
      </c>
      <c r="F12038" t="s">
        <v>32831</v>
      </c>
      <c r="G12038" t="s">
        <v>32839</v>
      </c>
      <c r="H12038" t="s">
        <v>32849</v>
      </c>
      <c r="I12038" t="s">
        <v>4177</v>
      </c>
      <c r="J12038" t="s">
        <v>34921</v>
      </c>
      <c r="K12038" t="s">
        <v>42770</v>
      </c>
      <c r="M12038" t="s">
        <v>43038</v>
      </c>
      <c r="N12038" t="s">
        <v>47424</v>
      </c>
      <c r="O12038" t="s">
        <v>47425</v>
      </c>
      <c r="P12038">
        <v>0</v>
      </c>
      <c r="Q12038">
        <v>41</v>
      </c>
      <c r="R12038" t="s">
        <v>47439</v>
      </c>
      <c r="S12038" t="s">
        <v>47860</v>
      </c>
      <c r="T12038" t="s">
        <v>49059</v>
      </c>
      <c r="U12038" t="s">
        <v>59549</v>
      </c>
      <c r="W12038" t="s">
        <v>43038</v>
      </c>
      <c r="X12038" t="s">
        <v>47441</v>
      </c>
    </row>
    <row r="12039" spans="1:24">
      <c r="A12039">
        <f>HYPERLINK("https://www.philgeps.gov.ph/GEPSNONPILOT/Tender/SplashBidNoticeAbstractUI.aspx?menuIndex=3&amp;refID=7136864&amp;Result=3","7136864")</f>
        <v>0</v>
      </c>
      <c r="B12039" t="s">
        <v>1905</v>
      </c>
      <c r="C12039" t="s">
        <v>15232</v>
      </c>
      <c r="E12039" t="s">
        <v>29403</v>
      </c>
      <c r="F12039" t="s">
        <v>32831</v>
      </c>
      <c r="G12039" t="s">
        <v>32839</v>
      </c>
      <c r="H12039" t="s">
        <v>32848</v>
      </c>
      <c r="I12039" t="s">
        <v>32953</v>
      </c>
      <c r="J12039" t="s">
        <v>32978</v>
      </c>
      <c r="K12039" t="s">
        <v>42732</v>
      </c>
      <c r="M12039" t="s">
        <v>45054</v>
      </c>
      <c r="N12039" t="s">
        <v>47424</v>
      </c>
      <c r="O12039" t="s">
        <v>47425</v>
      </c>
      <c r="Q12039">
        <v>5</v>
      </c>
      <c r="R12039" t="s">
        <v>47439</v>
      </c>
      <c r="S12039" t="s">
        <v>47869</v>
      </c>
      <c r="T12039" t="s">
        <v>49196</v>
      </c>
      <c r="U12039" t="s">
        <v>59550</v>
      </c>
      <c r="V12039" t="s">
        <v>63953</v>
      </c>
      <c r="W12039" t="s">
        <v>45054</v>
      </c>
      <c r="X12039" t="s">
        <v>47441</v>
      </c>
    </row>
    <row r="12040" spans="1:24">
      <c r="A12040">
        <f>HYPERLINK("https://www.philgeps.gov.ph/GEPSNONPILOT/Tender/SplashBidNoticeAbstractUI.aspx?menuIndex=3&amp;refID=7136898&amp;Result=3","7136898")</f>
        <v>0</v>
      </c>
      <c r="B12040" t="s">
        <v>3501</v>
      </c>
      <c r="C12040" t="s">
        <v>15233</v>
      </c>
      <c r="D12040" t="s">
        <v>19075</v>
      </c>
      <c r="E12040" t="s">
        <v>29404</v>
      </c>
      <c r="F12040" t="s">
        <v>32831</v>
      </c>
      <c r="G12040" t="s">
        <v>32839</v>
      </c>
      <c r="H12040" t="s">
        <v>32849</v>
      </c>
      <c r="I12040" t="s">
        <v>4177</v>
      </c>
      <c r="J12040" t="s">
        <v>37123</v>
      </c>
      <c r="K12040" t="s">
        <v>42768</v>
      </c>
      <c r="M12040" t="s">
        <v>46850</v>
      </c>
      <c r="N12040" t="s">
        <v>47424</v>
      </c>
      <c r="O12040" t="s">
        <v>47425</v>
      </c>
      <c r="P12040">
        <v>0</v>
      </c>
      <c r="Q12040">
        <v>1</v>
      </c>
      <c r="R12040" t="s">
        <v>47439</v>
      </c>
      <c r="S12040" t="s">
        <v>47860</v>
      </c>
      <c r="T12040" t="s">
        <v>49159</v>
      </c>
      <c r="U12040" t="s">
        <v>59551</v>
      </c>
      <c r="W12040" t="s">
        <v>46850</v>
      </c>
      <c r="X12040" t="s">
        <v>47441</v>
      </c>
    </row>
    <row r="12041" spans="1:24">
      <c r="A12041">
        <f>HYPERLINK("https://www.philgeps.gov.ph/GEPSNONPILOT/Tender/SplashBidNoticeAbstractUI.aspx?menuIndex=3&amp;refID=7137296&amp;Result=3","7137296")</f>
        <v>0</v>
      </c>
      <c r="B12041" t="s">
        <v>1418</v>
      </c>
      <c r="C12041" t="s">
        <v>15234</v>
      </c>
      <c r="D12041" t="s">
        <v>19034</v>
      </c>
      <c r="E12041" t="s">
        <v>29405</v>
      </c>
      <c r="F12041" t="s">
        <v>32831</v>
      </c>
      <c r="G12041" t="s">
        <v>32839</v>
      </c>
      <c r="H12041" t="s">
        <v>32849</v>
      </c>
      <c r="I12041" t="s">
        <v>32866</v>
      </c>
      <c r="J12041" t="s">
        <v>40358</v>
      </c>
      <c r="K12041" t="s">
        <v>42770</v>
      </c>
      <c r="M12041" t="s">
        <v>44506</v>
      </c>
      <c r="N12041" t="s">
        <v>47424</v>
      </c>
      <c r="O12041" t="s">
        <v>47425</v>
      </c>
      <c r="P12041">
        <v>0</v>
      </c>
      <c r="Q12041">
        <v>1</v>
      </c>
      <c r="R12041" t="s">
        <v>47439</v>
      </c>
      <c r="S12041" t="s">
        <v>47860</v>
      </c>
      <c r="T12041" t="s">
        <v>49142</v>
      </c>
      <c r="U12041" t="s">
        <v>59552</v>
      </c>
      <c r="W12041" t="s">
        <v>44506</v>
      </c>
      <c r="X12041" t="s">
        <v>47441</v>
      </c>
    </row>
    <row r="12042" spans="1:24">
      <c r="A12042">
        <f>HYPERLINK("https://www.philgeps.gov.ph/GEPSNONPILOT/Tender/SplashBidNoticeAbstractUI.aspx?menuIndex=3&amp;refID=7135922&amp;Result=3","7135922")</f>
        <v>0</v>
      </c>
      <c r="B12042" t="s">
        <v>3494</v>
      </c>
      <c r="C12042" t="s">
        <v>15235</v>
      </c>
      <c r="D12042" t="s">
        <v>19091</v>
      </c>
      <c r="E12042" t="s">
        <v>29406</v>
      </c>
      <c r="F12042" t="s">
        <v>32831</v>
      </c>
      <c r="G12042" t="s">
        <v>32839</v>
      </c>
      <c r="H12042" t="s">
        <v>32848</v>
      </c>
      <c r="I12042" t="s">
        <v>32868</v>
      </c>
      <c r="J12042" t="s">
        <v>40359</v>
      </c>
      <c r="K12042" t="s">
        <v>42730</v>
      </c>
      <c r="M12042" t="s">
        <v>46843</v>
      </c>
      <c r="N12042" t="s">
        <v>47424</v>
      </c>
      <c r="O12042" t="s">
        <v>47425</v>
      </c>
      <c r="P12042">
        <v>0</v>
      </c>
      <c r="Q12042">
        <v>6</v>
      </c>
      <c r="R12042" t="s">
        <v>47439</v>
      </c>
      <c r="S12042" t="s">
        <v>47860</v>
      </c>
      <c r="T12042" t="s">
        <v>49059</v>
      </c>
      <c r="U12042" t="s">
        <v>59553</v>
      </c>
      <c r="W12042" t="s">
        <v>46843</v>
      </c>
      <c r="X12042" t="s">
        <v>47442</v>
      </c>
    </row>
    <row r="12043" spans="1:24">
      <c r="A12043">
        <f>HYPERLINK("https://www.philgeps.gov.ph/GEPSNONPILOT/Tender/SplashBidNoticeAbstractUI.aspx?menuIndex=3&amp;refID=7138651&amp;Result=3","7138651")</f>
        <v>0</v>
      </c>
      <c r="B12043" t="s">
        <v>1618</v>
      </c>
      <c r="C12043" t="s">
        <v>15236</v>
      </c>
      <c r="D12043" t="s">
        <v>19035</v>
      </c>
      <c r="E12043" t="s">
        <v>29407</v>
      </c>
      <c r="F12043" t="s">
        <v>32831</v>
      </c>
      <c r="G12043" t="s">
        <v>32839</v>
      </c>
      <c r="H12043" t="s">
        <v>32848</v>
      </c>
      <c r="I12043" t="s">
        <v>32857</v>
      </c>
      <c r="J12043" t="s">
        <v>40360</v>
      </c>
      <c r="K12043" t="s">
        <v>42727</v>
      </c>
      <c r="M12043" t="s">
        <v>44734</v>
      </c>
      <c r="N12043" t="s">
        <v>47424</v>
      </c>
      <c r="O12043" t="s">
        <v>47425</v>
      </c>
      <c r="P12043">
        <v>0</v>
      </c>
      <c r="Q12043">
        <v>22</v>
      </c>
      <c r="R12043" t="s">
        <v>47439</v>
      </c>
      <c r="S12043" t="s">
        <v>47860</v>
      </c>
      <c r="T12043" t="s">
        <v>49445</v>
      </c>
      <c r="U12043" t="s">
        <v>59554</v>
      </c>
      <c r="W12043" t="s">
        <v>44734</v>
      </c>
      <c r="X12043" t="s">
        <v>47441</v>
      </c>
    </row>
    <row r="12044" spans="1:24">
      <c r="A12044">
        <f>HYPERLINK("https://www.philgeps.gov.ph/GEPSNONPILOT/Tender/SplashBidNoticeAbstractUI.aspx?menuIndex=3&amp;refID=7136850&amp;Result=3","7136850")</f>
        <v>0</v>
      </c>
      <c r="B12044" t="s">
        <v>1905</v>
      </c>
      <c r="C12044" t="s">
        <v>15237</v>
      </c>
      <c r="E12044" t="s">
        <v>29408</v>
      </c>
      <c r="F12044" t="s">
        <v>32831</v>
      </c>
      <c r="G12044" t="s">
        <v>32839</v>
      </c>
      <c r="H12044" t="s">
        <v>32848</v>
      </c>
      <c r="I12044" t="s">
        <v>4487</v>
      </c>
      <c r="J12044" t="s">
        <v>37702</v>
      </c>
      <c r="K12044" t="s">
        <v>42732</v>
      </c>
      <c r="M12044" t="s">
        <v>45054</v>
      </c>
      <c r="N12044" t="s">
        <v>47424</v>
      </c>
      <c r="O12044" t="s">
        <v>47425</v>
      </c>
      <c r="Q12044">
        <v>12</v>
      </c>
      <c r="R12044" t="s">
        <v>47439</v>
      </c>
      <c r="S12044" t="s">
        <v>47870</v>
      </c>
      <c r="T12044" t="s">
        <v>49196</v>
      </c>
      <c r="U12044" t="s">
        <v>59555</v>
      </c>
      <c r="V12044" t="s">
        <v>63954</v>
      </c>
      <c r="W12044" t="s">
        <v>45054</v>
      </c>
      <c r="X12044" t="s">
        <v>47441</v>
      </c>
    </row>
    <row r="12045" spans="1:24">
      <c r="A12045">
        <f>HYPERLINK("https://www.philgeps.gov.ph/GEPSNONPILOT/Tender/SplashBidNoticeAbstractUI.aspx?menuIndex=3&amp;refID=7138535&amp;Result=3","7138535")</f>
        <v>0</v>
      </c>
      <c r="B12045" t="s">
        <v>2061</v>
      </c>
      <c r="C12045" t="s">
        <v>15238</v>
      </c>
      <c r="D12045" t="s">
        <v>19045</v>
      </c>
      <c r="E12045" t="s">
        <v>29409</v>
      </c>
      <c r="F12045" t="s">
        <v>32831</v>
      </c>
      <c r="G12045" t="s">
        <v>32839</v>
      </c>
      <c r="H12045" t="s">
        <v>32848</v>
      </c>
      <c r="I12045" t="s">
        <v>4487</v>
      </c>
      <c r="J12045" t="s">
        <v>39911</v>
      </c>
      <c r="K12045" t="s">
        <v>42727</v>
      </c>
      <c r="M12045" t="s">
        <v>45231</v>
      </c>
      <c r="N12045" t="s">
        <v>47424</v>
      </c>
      <c r="O12045" t="s">
        <v>47425</v>
      </c>
      <c r="P12045">
        <v>0</v>
      </c>
      <c r="Q12045">
        <v>4</v>
      </c>
      <c r="R12045" t="s">
        <v>47439</v>
      </c>
      <c r="S12045" t="s">
        <v>47860</v>
      </c>
      <c r="T12045" t="s">
        <v>49609</v>
      </c>
      <c r="U12045" t="s">
        <v>54427</v>
      </c>
      <c r="V12045" t="s">
        <v>62692</v>
      </c>
      <c r="W12045" t="s">
        <v>45231</v>
      </c>
      <c r="X12045" t="s">
        <v>47441</v>
      </c>
    </row>
    <row r="12046" spans="1:24">
      <c r="A12046">
        <f>HYPERLINK("https://www.philgeps.gov.ph/GEPSNONPILOT/Tender/SplashBidNoticeAbstractUI.aspx?menuIndex=3&amp;refID=7138504&amp;Result=3","7138504")</f>
        <v>0</v>
      </c>
      <c r="B12046" t="s">
        <v>3502</v>
      </c>
      <c r="C12046" t="s">
        <v>15239</v>
      </c>
      <c r="D12046" t="s">
        <v>19077</v>
      </c>
      <c r="E12046" t="s">
        <v>29410</v>
      </c>
      <c r="F12046" t="s">
        <v>32831</v>
      </c>
      <c r="G12046" t="s">
        <v>32839</v>
      </c>
      <c r="H12046" t="s">
        <v>32848</v>
      </c>
      <c r="I12046" t="s">
        <v>4558</v>
      </c>
      <c r="J12046" t="s">
        <v>40361</v>
      </c>
      <c r="K12046" t="s">
        <v>42731</v>
      </c>
      <c r="M12046" t="s">
        <v>46851</v>
      </c>
      <c r="N12046" t="s">
        <v>47424</v>
      </c>
      <c r="O12046" t="s">
        <v>47425</v>
      </c>
      <c r="Q12046">
        <v>7</v>
      </c>
      <c r="R12046" t="s">
        <v>47439</v>
      </c>
      <c r="S12046" t="s">
        <v>47871</v>
      </c>
      <c r="T12046" t="s">
        <v>49334</v>
      </c>
      <c r="U12046" t="s">
        <v>59556</v>
      </c>
      <c r="W12046" t="s">
        <v>46851</v>
      </c>
      <c r="X12046" t="s">
        <v>47441</v>
      </c>
    </row>
    <row r="12047" spans="1:24">
      <c r="A12047">
        <f>HYPERLINK("https://www.philgeps.gov.ph/GEPSNONPILOT/Tender/SplashBidNoticeAbstractUI.aspx?menuIndex=3&amp;refID=7138842&amp;Result=3","7138842")</f>
        <v>0</v>
      </c>
      <c r="B12047" t="s">
        <v>85</v>
      </c>
      <c r="C12047" t="s">
        <v>15240</v>
      </c>
      <c r="D12047" t="s">
        <v>19028</v>
      </c>
      <c r="E12047" t="s">
        <v>29411</v>
      </c>
      <c r="F12047" t="s">
        <v>32831</v>
      </c>
      <c r="G12047" t="s">
        <v>32839</v>
      </c>
      <c r="H12047" t="s">
        <v>32849</v>
      </c>
      <c r="I12047" t="s">
        <v>4177</v>
      </c>
      <c r="J12047" t="s">
        <v>40362</v>
      </c>
      <c r="K12047" t="s">
        <v>42730</v>
      </c>
      <c r="M12047" t="s">
        <v>43082</v>
      </c>
      <c r="N12047" t="s">
        <v>47424</v>
      </c>
      <c r="O12047" t="s">
        <v>47425</v>
      </c>
      <c r="P12047">
        <v>0</v>
      </c>
      <c r="Q12047">
        <v>0</v>
      </c>
      <c r="R12047" t="s">
        <v>47439</v>
      </c>
      <c r="S12047" t="s">
        <v>47860</v>
      </c>
      <c r="T12047" t="s">
        <v>49166</v>
      </c>
      <c r="U12047" t="s">
        <v>59557</v>
      </c>
      <c r="W12047" t="s">
        <v>43082</v>
      </c>
      <c r="X12047" t="s">
        <v>47441</v>
      </c>
    </row>
    <row r="12048" spans="1:24">
      <c r="A12048">
        <f>HYPERLINK("https://www.philgeps.gov.ph/GEPSNONPILOT/Tender/SplashBidNoticeAbstractUI.aspx?menuIndex=3&amp;refID=7138121&amp;Result=3","7138121")</f>
        <v>0</v>
      </c>
      <c r="B12048" t="s">
        <v>168</v>
      </c>
      <c r="C12048" t="s">
        <v>15241</v>
      </c>
      <c r="D12048" t="s">
        <v>19071</v>
      </c>
      <c r="E12048" t="s">
        <v>29412</v>
      </c>
      <c r="F12048" t="s">
        <v>32831</v>
      </c>
      <c r="G12048" t="s">
        <v>32839</v>
      </c>
      <c r="H12048" t="s">
        <v>32849</v>
      </c>
      <c r="I12048" t="s">
        <v>4177</v>
      </c>
      <c r="J12048" t="s">
        <v>40363</v>
      </c>
      <c r="K12048" t="s">
        <v>42770</v>
      </c>
      <c r="M12048" t="s">
        <v>43165</v>
      </c>
      <c r="N12048" t="s">
        <v>47424</v>
      </c>
      <c r="O12048" t="s">
        <v>47425</v>
      </c>
      <c r="P12048">
        <v>0</v>
      </c>
      <c r="Q12048">
        <v>1</v>
      </c>
      <c r="R12048" t="s">
        <v>47439</v>
      </c>
      <c r="S12048" t="s">
        <v>47860</v>
      </c>
      <c r="T12048" t="s">
        <v>49069</v>
      </c>
      <c r="U12048" t="s">
        <v>59558</v>
      </c>
      <c r="V12048" t="s">
        <v>62654</v>
      </c>
      <c r="W12048" t="s">
        <v>43165</v>
      </c>
      <c r="X12048" t="s">
        <v>47441</v>
      </c>
    </row>
    <row r="12049" spans="1:24">
      <c r="A12049">
        <f>HYPERLINK("https://www.philgeps.gov.ph/GEPSNONPILOT/Tender/SplashBidNoticeAbstractUI.aspx?menuIndex=3&amp;refID=7138124&amp;Result=3","7138124")</f>
        <v>0</v>
      </c>
      <c r="B12049" t="s">
        <v>1118</v>
      </c>
      <c r="C12049" t="s">
        <v>15242</v>
      </c>
      <c r="D12049" t="s">
        <v>19060</v>
      </c>
      <c r="E12049" t="s">
        <v>29413</v>
      </c>
      <c r="F12049" t="s">
        <v>32831</v>
      </c>
      <c r="G12049" t="s">
        <v>32841</v>
      </c>
      <c r="H12049" t="s">
        <v>32848</v>
      </c>
      <c r="I12049" t="s">
        <v>7751</v>
      </c>
      <c r="J12049" t="s">
        <v>40364</v>
      </c>
      <c r="K12049" t="s">
        <v>42730</v>
      </c>
      <c r="M12049" t="s">
        <v>45853</v>
      </c>
      <c r="N12049" t="s">
        <v>47424</v>
      </c>
      <c r="O12049" t="s">
        <v>47425</v>
      </c>
      <c r="Q12049">
        <v>2</v>
      </c>
      <c r="R12049" t="s">
        <v>47439</v>
      </c>
      <c r="S12049" t="s">
        <v>47872</v>
      </c>
      <c r="T12049" t="s">
        <v>49321</v>
      </c>
      <c r="U12049" t="s">
        <v>59559</v>
      </c>
      <c r="W12049" t="s">
        <v>45853</v>
      </c>
      <c r="X12049" t="s">
        <v>47441</v>
      </c>
    </row>
    <row r="12050" spans="1:24">
      <c r="A12050">
        <f>HYPERLINK("https://www.philgeps.gov.ph/GEPSNONPILOT/Tender/SplashBidNoticeAbstractUI.aspx?menuIndex=3&amp;refID=7138109&amp;Result=3","7138109")</f>
        <v>0</v>
      </c>
      <c r="B12050" t="s">
        <v>1118</v>
      </c>
      <c r="C12050" t="s">
        <v>15243</v>
      </c>
      <c r="D12050" t="s">
        <v>19060</v>
      </c>
      <c r="E12050" t="s">
        <v>29414</v>
      </c>
      <c r="F12050" t="s">
        <v>32831</v>
      </c>
      <c r="G12050" t="s">
        <v>32841</v>
      </c>
      <c r="H12050" t="s">
        <v>32848</v>
      </c>
      <c r="I12050" t="s">
        <v>32878</v>
      </c>
      <c r="J12050" t="s">
        <v>40365</v>
      </c>
      <c r="K12050" t="s">
        <v>42726</v>
      </c>
      <c r="M12050" t="s">
        <v>45853</v>
      </c>
      <c r="N12050" t="s">
        <v>47424</v>
      </c>
      <c r="O12050" t="s">
        <v>47425</v>
      </c>
      <c r="Q12050">
        <v>0</v>
      </c>
      <c r="R12050" t="s">
        <v>47439</v>
      </c>
      <c r="S12050" t="s">
        <v>47873</v>
      </c>
      <c r="T12050" t="s">
        <v>49321</v>
      </c>
      <c r="U12050" t="s">
        <v>59559</v>
      </c>
      <c r="W12050" t="s">
        <v>45853</v>
      </c>
      <c r="X12050" t="s">
        <v>47441</v>
      </c>
    </row>
    <row r="12051" spans="1:24">
      <c r="A12051">
        <f>HYPERLINK("https://www.philgeps.gov.ph/GEPSNONPILOT/Tender/SplashBidNoticeAbstractUI.aspx?menuIndex=3&amp;refID=7135009&amp;Result=3","7135009")</f>
        <v>0</v>
      </c>
      <c r="B12051" t="s">
        <v>3370</v>
      </c>
      <c r="C12051" t="s">
        <v>15244</v>
      </c>
      <c r="D12051" t="s">
        <v>19019</v>
      </c>
      <c r="E12051" t="s">
        <v>28264</v>
      </c>
      <c r="F12051" t="s">
        <v>32831</v>
      </c>
      <c r="G12051" t="s">
        <v>32839</v>
      </c>
      <c r="H12051" t="s">
        <v>32849</v>
      </c>
      <c r="I12051" t="s">
        <v>4177</v>
      </c>
      <c r="J12051" t="s">
        <v>40366</v>
      </c>
      <c r="K12051" t="s">
        <v>42732</v>
      </c>
      <c r="M12051" t="s">
        <v>46697</v>
      </c>
      <c r="N12051" t="s">
        <v>47424</v>
      </c>
      <c r="O12051" t="s">
        <v>47425</v>
      </c>
      <c r="P12051">
        <v>0</v>
      </c>
      <c r="Q12051">
        <v>2</v>
      </c>
      <c r="R12051" t="s">
        <v>47439</v>
      </c>
      <c r="S12051" t="s">
        <v>47860</v>
      </c>
      <c r="T12051" t="s">
        <v>49242</v>
      </c>
      <c r="U12051" t="s">
        <v>59560</v>
      </c>
      <c r="W12051" t="s">
        <v>46697</v>
      </c>
      <c r="X12051" t="s">
        <v>47444</v>
      </c>
    </row>
    <row r="12052" spans="1:24">
      <c r="A12052">
        <f>HYPERLINK("https://www.philgeps.gov.ph/GEPSNONPILOT/Tender/SplashBidNoticeAbstractUI.aspx?menuIndex=3&amp;refID=7138002&amp;Result=3","7138002")</f>
        <v>0</v>
      </c>
      <c r="B12052" t="s">
        <v>1118</v>
      </c>
      <c r="C12052" t="s">
        <v>4819</v>
      </c>
      <c r="D12052" t="s">
        <v>19060</v>
      </c>
      <c r="E12052" t="s">
        <v>29415</v>
      </c>
      <c r="F12052" t="s">
        <v>32831</v>
      </c>
      <c r="G12052" t="s">
        <v>32841</v>
      </c>
      <c r="H12052" t="s">
        <v>32848</v>
      </c>
      <c r="I12052" t="s">
        <v>32857</v>
      </c>
      <c r="J12052" t="s">
        <v>40367</v>
      </c>
      <c r="K12052" t="s">
        <v>42726</v>
      </c>
      <c r="M12052" t="s">
        <v>45853</v>
      </c>
      <c r="N12052" t="s">
        <v>47424</v>
      </c>
      <c r="O12052" t="s">
        <v>47425</v>
      </c>
      <c r="Q12052">
        <v>4</v>
      </c>
      <c r="R12052" t="s">
        <v>47439</v>
      </c>
      <c r="S12052" t="s">
        <v>47874</v>
      </c>
      <c r="T12052" t="s">
        <v>49321</v>
      </c>
      <c r="U12052" t="s">
        <v>59559</v>
      </c>
      <c r="W12052" t="s">
        <v>45853</v>
      </c>
      <c r="X12052" t="s">
        <v>47441</v>
      </c>
    </row>
    <row r="12053" spans="1:24">
      <c r="A12053">
        <f>HYPERLINK("https://www.philgeps.gov.ph/GEPSNONPILOT/Tender/SplashBidNoticeAbstractUI.aspx?menuIndex=3&amp;refID=7138112&amp;Result=3","7138112")</f>
        <v>0</v>
      </c>
      <c r="B12053" t="s">
        <v>3502</v>
      </c>
      <c r="C12053" t="s">
        <v>15245</v>
      </c>
      <c r="D12053" t="s">
        <v>19077</v>
      </c>
      <c r="E12053" t="s">
        <v>29416</v>
      </c>
      <c r="F12053" t="s">
        <v>32831</v>
      </c>
      <c r="G12053" t="s">
        <v>32839</v>
      </c>
      <c r="H12053" t="s">
        <v>32849</v>
      </c>
      <c r="I12053" t="s">
        <v>4177</v>
      </c>
      <c r="J12053" t="s">
        <v>40368</v>
      </c>
      <c r="K12053" t="s">
        <v>42757</v>
      </c>
      <c r="M12053" t="s">
        <v>46851</v>
      </c>
      <c r="N12053" t="s">
        <v>47424</v>
      </c>
      <c r="O12053" t="s">
        <v>47425</v>
      </c>
      <c r="Q12053">
        <v>0</v>
      </c>
      <c r="R12053" t="s">
        <v>47439</v>
      </c>
      <c r="S12053" t="s">
        <v>47875</v>
      </c>
      <c r="T12053" t="s">
        <v>49334</v>
      </c>
      <c r="U12053" t="s">
        <v>59561</v>
      </c>
      <c r="W12053" t="s">
        <v>46851</v>
      </c>
      <c r="X12053" t="s">
        <v>47441</v>
      </c>
    </row>
    <row r="12054" spans="1:24">
      <c r="A12054">
        <f>HYPERLINK("https://www.philgeps.gov.ph/GEPSNONPILOT/Tender/SplashBidNoticeAbstractUI.aspx?menuIndex=3&amp;refID=7138639&amp;Result=3","7138639")</f>
        <v>0</v>
      </c>
      <c r="B12054" t="s">
        <v>1618</v>
      </c>
      <c r="C12054" t="s">
        <v>15246</v>
      </c>
      <c r="D12054" t="s">
        <v>19035</v>
      </c>
      <c r="E12054" t="s">
        <v>29417</v>
      </c>
      <c r="F12054" t="s">
        <v>32831</v>
      </c>
      <c r="G12054" t="s">
        <v>32839</v>
      </c>
      <c r="H12054" t="s">
        <v>32848</v>
      </c>
      <c r="I12054" t="s">
        <v>32861</v>
      </c>
      <c r="J12054" t="s">
        <v>33118</v>
      </c>
      <c r="K12054" t="s">
        <v>42727</v>
      </c>
      <c r="M12054" t="s">
        <v>44734</v>
      </c>
      <c r="N12054" t="s">
        <v>47424</v>
      </c>
      <c r="O12054" t="s">
        <v>47425</v>
      </c>
      <c r="P12054">
        <v>0</v>
      </c>
      <c r="Q12054">
        <v>21</v>
      </c>
      <c r="R12054" t="s">
        <v>47439</v>
      </c>
      <c r="S12054" t="s">
        <v>47860</v>
      </c>
      <c r="T12054" t="s">
        <v>49445</v>
      </c>
      <c r="U12054" t="s">
        <v>59554</v>
      </c>
      <c r="W12054" t="s">
        <v>44734</v>
      </c>
      <c r="X12054" t="s">
        <v>47441</v>
      </c>
    </row>
    <row r="12055" spans="1:24">
      <c r="A12055">
        <f>HYPERLINK("https://www.philgeps.gov.ph/GEPSNONPILOT/Tender/SplashBidNoticeAbstractUI.aspx?menuIndex=3&amp;refID=7139115&amp;Result=3","7139115")</f>
        <v>0</v>
      </c>
      <c r="B12055" t="s">
        <v>2719</v>
      </c>
      <c r="C12055" t="s">
        <v>15247</v>
      </c>
      <c r="E12055" t="s">
        <v>29418</v>
      </c>
      <c r="F12055" t="s">
        <v>32831</v>
      </c>
      <c r="G12055" t="s">
        <v>32839</v>
      </c>
      <c r="H12055" t="s">
        <v>32849</v>
      </c>
      <c r="I12055" t="s">
        <v>4177</v>
      </c>
      <c r="J12055" t="s">
        <v>40369</v>
      </c>
      <c r="K12055" t="s">
        <v>42770</v>
      </c>
      <c r="M12055" t="s">
        <v>45945</v>
      </c>
      <c r="N12055" t="s">
        <v>47424</v>
      </c>
      <c r="O12055" t="s">
        <v>47425</v>
      </c>
      <c r="P12055">
        <v>0</v>
      </c>
      <c r="Q12055">
        <v>0</v>
      </c>
      <c r="R12055" t="s">
        <v>47439</v>
      </c>
      <c r="S12055" t="s">
        <v>47860</v>
      </c>
      <c r="T12055" t="s">
        <v>49571</v>
      </c>
      <c r="U12055" t="s">
        <v>59562</v>
      </c>
      <c r="W12055" t="s">
        <v>45945</v>
      </c>
      <c r="X12055" t="s">
        <v>47440</v>
      </c>
    </row>
    <row r="12056" spans="1:24">
      <c r="A12056">
        <f>HYPERLINK("https://www.philgeps.gov.ph/GEPSNONPILOT/Tender/SplashBidNoticeAbstractUI.aspx?menuIndex=3&amp;refID=7139093&amp;Result=3","7139093")</f>
        <v>0</v>
      </c>
      <c r="B12056" t="s">
        <v>3503</v>
      </c>
      <c r="C12056" t="s">
        <v>15248</v>
      </c>
      <c r="D12056" t="s">
        <v>19095</v>
      </c>
      <c r="E12056" t="s">
        <v>29419</v>
      </c>
      <c r="F12056" t="s">
        <v>32833</v>
      </c>
      <c r="G12056" t="s">
        <v>32839</v>
      </c>
      <c r="H12056" t="s">
        <v>32849</v>
      </c>
      <c r="I12056" t="s">
        <v>4177</v>
      </c>
      <c r="J12056" t="s">
        <v>40370</v>
      </c>
      <c r="K12056" t="s">
        <v>42729</v>
      </c>
      <c r="M12056" t="s">
        <v>46852</v>
      </c>
      <c r="N12056" t="s">
        <v>47424</v>
      </c>
      <c r="O12056" t="s">
        <v>47425</v>
      </c>
      <c r="P12056">
        <v>0</v>
      </c>
      <c r="Q12056">
        <v>0</v>
      </c>
      <c r="R12056" t="s">
        <v>47439</v>
      </c>
      <c r="S12056" t="s">
        <v>47860</v>
      </c>
      <c r="T12056" t="s">
        <v>49162</v>
      </c>
      <c r="U12056" t="s">
        <v>59563</v>
      </c>
      <c r="W12056" t="s">
        <v>46852</v>
      </c>
      <c r="X12056" t="s">
        <v>47440</v>
      </c>
    </row>
    <row r="12057" spans="1:24">
      <c r="A12057">
        <f>HYPERLINK("https://www.philgeps.gov.ph/GEPSNONPILOT/Tender/SplashBidNoticeAbstractUI.aspx?menuIndex=3&amp;refID=7139095&amp;Result=3","7139095")</f>
        <v>0</v>
      </c>
      <c r="B12057" t="s">
        <v>761</v>
      </c>
      <c r="C12057" t="s">
        <v>15249</v>
      </c>
      <c r="D12057" t="s">
        <v>19022</v>
      </c>
      <c r="E12057" t="s">
        <v>29420</v>
      </c>
      <c r="F12057" t="s">
        <v>32831</v>
      </c>
      <c r="G12057" t="s">
        <v>32839</v>
      </c>
      <c r="H12057" t="s">
        <v>32848</v>
      </c>
      <c r="I12057" t="s">
        <v>32963</v>
      </c>
      <c r="J12057" t="s">
        <v>33193</v>
      </c>
      <c r="K12057" t="s">
        <v>42727</v>
      </c>
      <c r="M12057" t="s">
        <v>43787</v>
      </c>
      <c r="N12057" t="s">
        <v>47424</v>
      </c>
      <c r="O12057" t="s">
        <v>47425</v>
      </c>
      <c r="P12057">
        <v>0</v>
      </c>
      <c r="Q12057">
        <v>3</v>
      </c>
      <c r="R12057" t="s">
        <v>47439</v>
      </c>
      <c r="S12057" t="s">
        <v>47860</v>
      </c>
      <c r="T12057" t="s">
        <v>49172</v>
      </c>
      <c r="U12057" t="s">
        <v>59564</v>
      </c>
      <c r="W12057" t="s">
        <v>43787</v>
      </c>
      <c r="X12057" t="s">
        <v>47440</v>
      </c>
    </row>
    <row r="12058" spans="1:24">
      <c r="A12058">
        <f>HYPERLINK("https://www.philgeps.gov.ph/GEPSNONPILOT/Tender/SplashBidNoticeAbstractUI.aspx?menuIndex=3&amp;refID=7136871&amp;Result=3","7136871")</f>
        <v>0</v>
      </c>
      <c r="B12058" t="s">
        <v>868</v>
      </c>
      <c r="C12058" t="s">
        <v>15250</v>
      </c>
      <c r="D12058" t="s">
        <v>19073</v>
      </c>
      <c r="E12058" t="s">
        <v>29421</v>
      </c>
      <c r="F12058" t="s">
        <v>32831</v>
      </c>
      <c r="G12058" t="s">
        <v>32839</v>
      </c>
      <c r="H12058" t="s">
        <v>32849</v>
      </c>
      <c r="I12058" t="s">
        <v>4177</v>
      </c>
      <c r="J12058" t="s">
        <v>40371</v>
      </c>
      <c r="K12058" t="s">
        <v>42732</v>
      </c>
      <c r="M12058" t="s">
        <v>43902</v>
      </c>
      <c r="N12058" t="s">
        <v>47424</v>
      </c>
      <c r="O12058" t="s">
        <v>47425</v>
      </c>
      <c r="P12058">
        <v>0</v>
      </c>
      <c r="Q12058">
        <v>2</v>
      </c>
      <c r="R12058" t="s">
        <v>47439</v>
      </c>
      <c r="S12058" t="s">
        <v>47860</v>
      </c>
      <c r="T12058" t="s">
        <v>49059</v>
      </c>
      <c r="U12058" t="s">
        <v>59565</v>
      </c>
      <c r="W12058" t="s">
        <v>43902</v>
      </c>
      <c r="X12058" t="s">
        <v>47441</v>
      </c>
    </row>
    <row r="12059" spans="1:24">
      <c r="A12059">
        <f>HYPERLINK("https://www.philgeps.gov.ph/GEPSNONPILOT/Tender/SplashBidNoticeAbstractUI.aspx?menuIndex=3&amp;refID=7139062&amp;Result=3","7139062")</f>
        <v>0</v>
      </c>
      <c r="B12059" t="s">
        <v>1877</v>
      </c>
      <c r="C12059" t="s">
        <v>15251</v>
      </c>
      <c r="D12059" t="s">
        <v>19043</v>
      </c>
      <c r="E12059" t="s">
        <v>29422</v>
      </c>
      <c r="F12059" t="s">
        <v>32831</v>
      </c>
      <c r="G12059" t="s">
        <v>32839</v>
      </c>
      <c r="H12059" t="s">
        <v>32848</v>
      </c>
      <c r="I12059" t="s">
        <v>4487</v>
      </c>
      <c r="J12059" t="s">
        <v>40372</v>
      </c>
      <c r="K12059" t="s">
        <v>42730</v>
      </c>
      <c r="M12059" t="s">
        <v>45021</v>
      </c>
      <c r="N12059" t="s">
        <v>47424</v>
      </c>
      <c r="O12059" t="s">
        <v>47425</v>
      </c>
      <c r="P12059">
        <v>0</v>
      </c>
      <c r="Q12059">
        <v>7</v>
      </c>
      <c r="R12059" t="s">
        <v>47439</v>
      </c>
      <c r="S12059" t="s">
        <v>47860</v>
      </c>
      <c r="T12059" t="s">
        <v>49160</v>
      </c>
      <c r="U12059" t="s">
        <v>59566</v>
      </c>
      <c r="V12059" t="s">
        <v>62833</v>
      </c>
      <c r="W12059" t="s">
        <v>45021</v>
      </c>
      <c r="X12059" t="s">
        <v>47440</v>
      </c>
    </row>
    <row r="12060" spans="1:24">
      <c r="A12060">
        <f>HYPERLINK("https://www.philgeps.gov.ph/GEPSNONPILOT/Tender/SplashBidNoticeAbstractUI.aspx?menuIndex=3&amp;refID=7138063&amp;Result=3","7138063")</f>
        <v>0</v>
      </c>
      <c r="B12060" t="s">
        <v>1118</v>
      </c>
      <c r="C12060" t="s">
        <v>15252</v>
      </c>
      <c r="D12060" t="s">
        <v>19060</v>
      </c>
      <c r="E12060" t="s">
        <v>29423</v>
      </c>
      <c r="F12060" t="s">
        <v>32831</v>
      </c>
      <c r="G12060" t="s">
        <v>32841</v>
      </c>
      <c r="H12060" t="s">
        <v>32848</v>
      </c>
      <c r="I12060" t="s">
        <v>4438</v>
      </c>
      <c r="J12060" t="s">
        <v>33626</v>
      </c>
      <c r="K12060" t="s">
        <v>42726</v>
      </c>
      <c r="M12060" t="s">
        <v>45853</v>
      </c>
      <c r="N12060" t="s">
        <v>47424</v>
      </c>
      <c r="O12060" t="s">
        <v>47425</v>
      </c>
      <c r="Q12060">
        <v>0</v>
      </c>
      <c r="R12060" t="s">
        <v>47439</v>
      </c>
      <c r="S12060" t="s">
        <v>47876</v>
      </c>
      <c r="T12060" t="s">
        <v>49321</v>
      </c>
      <c r="U12060" t="s">
        <v>59559</v>
      </c>
      <c r="W12060" t="s">
        <v>45853</v>
      </c>
      <c r="X12060" t="s">
        <v>47441</v>
      </c>
    </row>
    <row r="12061" spans="1:24">
      <c r="A12061">
        <f>HYPERLINK("https://www.philgeps.gov.ph/GEPSNONPILOT/Tender/SplashBidNoticeAbstractUI.aspx?menuIndex=3&amp;refID=7139057&amp;Result=3","7139057")</f>
        <v>0</v>
      </c>
      <c r="B12061" t="s">
        <v>2051</v>
      </c>
      <c r="C12061" t="s">
        <v>15253</v>
      </c>
      <c r="D12061" t="s">
        <v>19017</v>
      </c>
      <c r="E12061" t="s">
        <v>29424</v>
      </c>
      <c r="F12061" t="s">
        <v>32831</v>
      </c>
      <c r="G12061" t="s">
        <v>32839</v>
      </c>
      <c r="H12061" t="s">
        <v>32848</v>
      </c>
      <c r="I12061" t="s">
        <v>32871</v>
      </c>
      <c r="J12061" t="s">
        <v>34860</v>
      </c>
      <c r="K12061" t="s">
        <v>42730</v>
      </c>
      <c r="M12061" t="s">
        <v>46154</v>
      </c>
      <c r="N12061" t="s">
        <v>47424</v>
      </c>
      <c r="O12061" t="s">
        <v>47425</v>
      </c>
      <c r="P12061">
        <v>0</v>
      </c>
      <c r="Q12061">
        <v>16</v>
      </c>
      <c r="R12061" t="s">
        <v>47439</v>
      </c>
      <c r="S12061" t="s">
        <v>47860</v>
      </c>
      <c r="T12061" t="s">
        <v>49059</v>
      </c>
      <c r="U12061" t="s">
        <v>59567</v>
      </c>
      <c r="W12061" t="s">
        <v>46154</v>
      </c>
      <c r="X12061" t="s">
        <v>47440</v>
      </c>
    </row>
    <row r="12062" spans="1:24">
      <c r="A12062">
        <f>HYPERLINK("https://www.philgeps.gov.ph/GEPSNONPILOT/Tender/SplashBidNoticeAbstractUI.aspx?menuIndex=3&amp;refID=7139004&amp;Result=3","7139004")</f>
        <v>0</v>
      </c>
      <c r="B12062" t="s">
        <v>1908</v>
      </c>
      <c r="C12062" t="s">
        <v>15254</v>
      </c>
      <c r="D12062" t="s">
        <v>19049</v>
      </c>
      <c r="E12062" t="s">
        <v>29425</v>
      </c>
      <c r="F12062" t="s">
        <v>32831</v>
      </c>
      <c r="G12062" t="s">
        <v>32839</v>
      </c>
      <c r="H12062" t="s">
        <v>32849</v>
      </c>
      <c r="I12062" t="s">
        <v>4177</v>
      </c>
      <c r="J12062" t="s">
        <v>40373</v>
      </c>
      <c r="K12062" t="s">
        <v>42954</v>
      </c>
      <c r="M12062" t="s">
        <v>45057</v>
      </c>
      <c r="N12062" t="s">
        <v>47424</v>
      </c>
      <c r="O12062" t="s">
        <v>47425</v>
      </c>
      <c r="P12062">
        <v>0</v>
      </c>
      <c r="Q12062">
        <v>8</v>
      </c>
      <c r="R12062" t="s">
        <v>47439</v>
      </c>
      <c r="S12062" t="s">
        <v>47860</v>
      </c>
      <c r="T12062" t="s">
        <v>49073</v>
      </c>
      <c r="U12062" t="s">
        <v>59568</v>
      </c>
      <c r="W12062" t="s">
        <v>45057</v>
      </c>
      <c r="X12062" t="s">
        <v>47440</v>
      </c>
    </row>
    <row r="12063" spans="1:24">
      <c r="A12063">
        <f>HYPERLINK("https://www.philgeps.gov.ph/GEPSNONPILOT/Tender/SplashBidNoticeAbstractUI.aspx?menuIndex=3&amp;refID=7139069&amp;Result=3","7139069")</f>
        <v>0</v>
      </c>
      <c r="B12063" t="s">
        <v>3504</v>
      </c>
      <c r="C12063" t="s">
        <v>15255</v>
      </c>
      <c r="D12063" t="s">
        <v>19074</v>
      </c>
      <c r="E12063" t="s">
        <v>25885</v>
      </c>
      <c r="F12063" t="s">
        <v>32831</v>
      </c>
      <c r="G12063" t="s">
        <v>32839</v>
      </c>
      <c r="H12063" t="s">
        <v>32849</v>
      </c>
      <c r="I12063" t="s">
        <v>4177</v>
      </c>
      <c r="J12063" t="s">
        <v>33257</v>
      </c>
      <c r="K12063" t="s">
        <v>42764</v>
      </c>
      <c r="M12063" t="s">
        <v>46853</v>
      </c>
      <c r="N12063" t="s">
        <v>47424</v>
      </c>
      <c r="O12063" t="s">
        <v>47425</v>
      </c>
      <c r="P12063">
        <v>0</v>
      </c>
      <c r="Q12063">
        <v>1</v>
      </c>
      <c r="R12063" t="s">
        <v>47439</v>
      </c>
      <c r="S12063" t="s">
        <v>47860</v>
      </c>
      <c r="T12063" t="s">
        <v>49059</v>
      </c>
      <c r="U12063" t="s">
        <v>59569</v>
      </c>
      <c r="V12063" t="s">
        <v>62754</v>
      </c>
      <c r="W12063" t="s">
        <v>46853</v>
      </c>
      <c r="X12063" t="s">
        <v>47440</v>
      </c>
    </row>
    <row r="12064" spans="1:24">
      <c r="A12064">
        <f>HYPERLINK("https://www.philgeps.gov.ph/GEPSNONPILOT/Tender/SplashBidNoticeAbstractUI.aspx?menuIndex=3&amp;refID=7139100&amp;Result=3","7139100")</f>
        <v>0</v>
      </c>
      <c r="B12064" t="s">
        <v>3505</v>
      </c>
      <c r="C12064" t="s">
        <v>15256</v>
      </c>
      <c r="D12064" t="s">
        <v>19054</v>
      </c>
      <c r="E12064" t="s">
        <v>20384</v>
      </c>
      <c r="F12064" t="s">
        <v>32831</v>
      </c>
      <c r="G12064" t="s">
        <v>32839</v>
      </c>
      <c r="H12064" t="s">
        <v>32849</v>
      </c>
      <c r="I12064" t="s">
        <v>4177</v>
      </c>
      <c r="J12064" t="s">
        <v>40374</v>
      </c>
      <c r="K12064" t="s">
        <v>42826</v>
      </c>
      <c r="M12064" t="s">
        <v>46854</v>
      </c>
      <c r="N12064" t="s">
        <v>47424</v>
      </c>
      <c r="O12064" t="s">
        <v>47425</v>
      </c>
      <c r="P12064">
        <v>0</v>
      </c>
      <c r="Q12064">
        <v>0</v>
      </c>
      <c r="R12064" t="s">
        <v>47439</v>
      </c>
      <c r="S12064" t="s">
        <v>47860</v>
      </c>
      <c r="T12064" t="s">
        <v>49237</v>
      </c>
      <c r="U12064" t="s">
        <v>59570</v>
      </c>
      <c r="W12064" t="s">
        <v>46854</v>
      </c>
      <c r="X12064" t="s">
        <v>47440</v>
      </c>
    </row>
    <row r="12065" spans="1:24">
      <c r="A12065">
        <f>HYPERLINK("https://www.philgeps.gov.ph/GEPSNONPILOT/Tender/SplashBidNoticeAbstractUI.aspx?menuIndex=3&amp;refID=7139000&amp;Result=3","7139000")</f>
        <v>0</v>
      </c>
      <c r="B12065" t="s">
        <v>3506</v>
      </c>
      <c r="C12065" t="s">
        <v>15257</v>
      </c>
      <c r="E12065" t="s">
        <v>29426</v>
      </c>
      <c r="F12065" t="s">
        <v>32831</v>
      </c>
      <c r="G12065" t="s">
        <v>32839</v>
      </c>
      <c r="H12065" t="s">
        <v>32848</v>
      </c>
      <c r="I12065" t="s">
        <v>4303</v>
      </c>
      <c r="J12065" t="s">
        <v>33007</v>
      </c>
      <c r="K12065" t="s">
        <v>42748</v>
      </c>
      <c r="M12065" t="s">
        <v>46855</v>
      </c>
      <c r="N12065" t="s">
        <v>47424</v>
      </c>
      <c r="O12065" t="s">
        <v>47425</v>
      </c>
      <c r="P12065">
        <v>0</v>
      </c>
      <c r="Q12065">
        <v>0</v>
      </c>
      <c r="R12065" t="s">
        <v>47439</v>
      </c>
      <c r="S12065" t="s">
        <v>47860</v>
      </c>
      <c r="T12065" t="s">
        <v>49106</v>
      </c>
      <c r="U12065" t="s">
        <v>59571</v>
      </c>
      <c r="W12065" t="s">
        <v>46855</v>
      </c>
      <c r="X12065" t="s">
        <v>47440</v>
      </c>
    </row>
    <row r="12066" spans="1:24">
      <c r="A12066">
        <f>HYPERLINK("https://www.philgeps.gov.ph/GEPSNONPILOT/Tender/SplashBidNoticeAbstractUI.aspx?menuIndex=3&amp;refID=7138076&amp;Result=3","7138076")</f>
        <v>0</v>
      </c>
      <c r="B12066" t="s">
        <v>3502</v>
      </c>
      <c r="C12066" t="s">
        <v>15258</v>
      </c>
      <c r="D12066" t="s">
        <v>19077</v>
      </c>
      <c r="E12066" t="s">
        <v>29427</v>
      </c>
      <c r="F12066" t="s">
        <v>32831</v>
      </c>
      <c r="G12066" t="s">
        <v>32839</v>
      </c>
      <c r="H12066" t="s">
        <v>32849</v>
      </c>
      <c r="I12066" t="s">
        <v>4177</v>
      </c>
      <c r="J12066" t="s">
        <v>40375</v>
      </c>
      <c r="K12066" t="s">
        <v>42770</v>
      </c>
      <c r="M12066" t="s">
        <v>46851</v>
      </c>
      <c r="N12066" t="s">
        <v>47424</v>
      </c>
      <c r="O12066" t="s">
        <v>47425</v>
      </c>
      <c r="Q12066">
        <v>0</v>
      </c>
      <c r="R12066" t="s">
        <v>47439</v>
      </c>
      <c r="S12066" t="s">
        <v>47877</v>
      </c>
      <c r="T12066" t="s">
        <v>49334</v>
      </c>
      <c r="U12066" t="s">
        <v>59572</v>
      </c>
      <c r="W12066" t="s">
        <v>46851</v>
      </c>
      <c r="X12066" t="s">
        <v>47441</v>
      </c>
    </row>
    <row r="12067" spans="1:24">
      <c r="A12067">
        <f>HYPERLINK("https://www.philgeps.gov.ph/GEPSNONPILOT/Tender/SplashBidNoticeAbstractUI.aspx?menuIndex=3&amp;refID=7138986&amp;Result=3","7138986")</f>
        <v>0</v>
      </c>
      <c r="B12067" t="s">
        <v>3400</v>
      </c>
      <c r="C12067" t="s">
        <v>15259</v>
      </c>
      <c r="D12067" t="s">
        <v>19023</v>
      </c>
      <c r="E12067" t="s">
        <v>29428</v>
      </c>
      <c r="F12067" t="s">
        <v>32831</v>
      </c>
      <c r="G12067" t="s">
        <v>32839</v>
      </c>
      <c r="H12067" t="s">
        <v>32849</v>
      </c>
      <c r="I12067" t="s">
        <v>32856</v>
      </c>
      <c r="J12067" t="s">
        <v>40376</v>
      </c>
      <c r="K12067" t="s">
        <v>42726</v>
      </c>
      <c r="M12067" t="s">
        <v>46856</v>
      </c>
      <c r="N12067" t="s">
        <v>47424</v>
      </c>
      <c r="O12067" t="s">
        <v>47425</v>
      </c>
      <c r="P12067">
        <v>0</v>
      </c>
      <c r="Q12067">
        <v>2</v>
      </c>
      <c r="R12067" t="s">
        <v>47439</v>
      </c>
      <c r="S12067" t="s">
        <v>47860</v>
      </c>
      <c r="T12067" t="s">
        <v>49080</v>
      </c>
      <c r="U12067" t="s">
        <v>59573</v>
      </c>
      <c r="V12067" t="s">
        <v>63955</v>
      </c>
      <c r="W12067" t="s">
        <v>46856</v>
      </c>
      <c r="X12067" t="s">
        <v>47440</v>
      </c>
    </row>
    <row r="12068" spans="1:24">
      <c r="A12068">
        <f>HYPERLINK("https://www.philgeps.gov.ph/GEPSNONPILOT/Tender/SplashBidNoticeAbstractUI.aspx?menuIndex=3&amp;refID=7138403&amp;Result=3","7138403")</f>
        <v>0</v>
      </c>
      <c r="B12068" t="s">
        <v>3502</v>
      </c>
      <c r="C12068" t="s">
        <v>15260</v>
      </c>
      <c r="D12068" t="s">
        <v>19077</v>
      </c>
      <c r="E12068" t="s">
        <v>29429</v>
      </c>
      <c r="F12068" t="s">
        <v>32831</v>
      </c>
      <c r="G12068" t="s">
        <v>32839</v>
      </c>
      <c r="H12068" t="s">
        <v>32848</v>
      </c>
      <c r="I12068" t="s">
        <v>4558</v>
      </c>
      <c r="J12068" t="s">
        <v>40377</v>
      </c>
      <c r="K12068" t="s">
        <v>42731</v>
      </c>
      <c r="M12068" t="s">
        <v>46851</v>
      </c>
      <c r="N12068" t="s">
        <v>47424</v>
      </c>
      <c r="O12068" t="s">
        <v>47425</v>
      </c>
      <c r="Q12068">
        <v>7</v>
      </c>
      <c r="R12068" t="s">
        <v>47439</v>
      </c>
      <c r="S12068" t="s">
        <v>47878</v>
      </c>
      <c r="T12068" t="s">
        <v>49334</v>
      </c>
      <c r="U12068" t="s">
        <v>59574</v>
      </c>
      <c r="W12068" t="s">
        <v>46851</v>
      </c>
      <c r="X12068" t="s">
        <v>47441</v>
      </c>
    </row>
    <row r="12069" spans="1:24">
      <c r="A12069">
        <f>HYPERLINK("https://www.philgeps.gov.ph/GEPSNONPILOT/Tender/SplashBidNoticeAbstractUI.aspx?menuIndex=3&amp;refID=7138973&amp;Result=3","7138973")</f>
        <v>0</v>
      </c>
      <c r="B12069" t="s">
        <v>2112</v>
      </c>
      <c r="C12069" t="s">
        <v>15261</v>
      </c>
      <c r="D12069" t="s">
        <v>19061</v>
      </c>
      <c r="E12069" t="s">
        <v>29430</v>
      </c>
      <c r="F12069" t="s">
        <v>32832</v>
      </c>
      <c r="G12069" t="s">
        <v>32839</v>
      </c>
      <c r="H12069" t="s">
        <v>32848</v>
      </c>
      <c r="I12069" t="s">
        <v>7416</v>
      </c>
      <c r="J12069" t="s">
        <v>33025</v>
      </c>
      <c r="K12069" t="s">
        <v>42731</v>
      </c>
      <c r="M12069" t="s">
        <v>45286</v>
      </c>
      <c r="N12069" t="s">
        <v>47424</v>
      </c>
      <c r="O12069" t="s">
        <v>47425</v>
      </c>
      <c r="P12069">
        <v>0</v>
      </c>
      <c r="Q12069">
        <v>0</v>
      </c>
      <c r="R12069" t="s">
        <v>47439</v>
      </c>
      <c r="S12069" t="s">
        <v>47860</v>
      </c>
      <c r="T12069" t="s">
        <v>49177</v>
      </c>
      <c r="U12069" t="s">
        <v>59575</v>
      </c>
      <c r="W12069" t="s">
        <v>45286</v>
      </c>
      <c r="X12069" t="s">
        <v>47440</v>
      </c>
    </row>
    <row r="12070" spans="1:24">
      <c r="A12070">
        <f>HYPERLINK("https://www.philgeps.gov.ph/GEPSNONPILOT/Tender/SplashBidNoticeAbstractUI.aspx?menuIndex=3&amp;refID=7138972&amp;Result=3","7138972")</f>
        <v>0</v>
      </c>
      <c r="B12070" t="s">
        <v>3507</v>
      </c>
      <c r="C12070" t="s">
        <v>15262</v>
      </c>
      <c r="D12070" t="s">
        <v>19057</v>
      </c>
      <c r="E12070" t="s">
        <v>29431</v>
      </c>
      <c r="F12070" t="s">
        <v>32831</v>
      </c>
      <c r="G12070" t="s">
        <v>32841</v>
      </c>
      <c r="H12070" t="s">
        <v>32848</v>
      </c>
      <c r="I12070" t="s">
        <v>7751</v>
      </c>
      <c r="J12070" t="s">
        <v>33364</v>
      </c>
      <c r="K12070" t="s">
        <v>42732</v>
      </c>
      <c r="M12070" t="s">
        <v>46857</v>
      </c>
      <c r="N12070" t="s">
        <v>47424</v>
      </c>
      <c r="O12070" t="s">
        <v>47425</v>
      </c>
      <c r="P12070">
        <v>0</v>
      </c>
      <c r="Q12070">
        <v>0</v>
      </c>
      <c r="R12070" t="s">
        <v>47439</v>
      </c>
      <c r="S12070" t="s">
        <v>47860</v>
      </c>
      <c r="T12070" t="s">
        <v>49079</v>
      </c>
      <c r="U12070" t="s">
        <v>59576</v>
      </c>
      <c r="W12070" t="s">
        <v>46857</v>
      </c>
      <c r="X12070" t="s">
        <v>47440</v>
      </c>
    </row>
    <row r="12071" spans="1:24">
      <c r="A12071">
        <f>HYPERLINK("https://www.philgeps.gov.ph/GEPSNONPILOT/Tender/SplashBidNoticeAbstractUI.aspx?menuIndex=3&amp;refID=7138970&amp;Result=3","7138970")</f>
        <v>0</v>
      </c>
      <c r="B12071" t="s">
        <v>3508</v>
      </c>
      <c r="C12071" t="s">
        <v>6669</v>
      </c>
      <c r="D12071" t="s">
        <v>19022</v>
      </c>
      <c r="E12071" t="s">
        <v>29432</v>
      </c>
      <c r="F12071" t="s">
        <v>32831</v>
      </c>
      <c r="G12071" t="s">
        <v>32839</v>
      </c>
      <c r="H12071" t="s">
        <v>32848</v>
      </c>
      <c r="I12071" t="s">
        <v>4177</v>
      </c>
      <c r="J12071" t="s">
        <v>32978</v>
      </c>
      <c r="K12071" t="s">
        <v>42747</v>
      </c>
      <c r="M12071" t="s">
        <v>46858</v>
      </c>
      <c r="N12071" t="s">
        <v>47424</v>
      </c>
      <c r="O12071" t="s">
        <v>47425</v>
      </c>
      <c r="Q12071">
        <v>0</v>
      </c>
      <c r="R12071" t="s">
        <v>47439</v>
      </c>
      <c r="S12071" t="s">
        <v>47879</v>
      </c>
      <c r="T12071" t="s">
        <v>49066</v>
      </c>
      <c r="U12071" t="s">
        <v>59577</v>
      </c>
      <c r="W12071" t="s">
        <v>46858</v>
      </c>
      <c r="X12071" t="s">
        <v>47440</v>
      </c>
    </row>
    <row r="12072" spans="1:24">
      <c r="A12072">
        <f>HYPERLINK("https://www.philgeps.gov.ph/GEPSNONPILOT/Tender/SplashBidNoticeAbstractUI.aspx?menuIndex=3&amp;refID=7138920&amp;Result=3","7138920")</f>
        <v>0</v>
      </c>
      <c r="B12072" t="s">
        <v>3501</v>
      </c>
      <c r="C12072" t="s">
        <v>15263</v>
      </c>
      <c r="D12072" t="s">
        <v>19075</v>
      </c>
      <c r="E12072" t="s">
        <v>29433</v>
      </c>
      <c r="F12072" t="s">
        <v>32831</v>
      </c>
      <c r="G12072" t="s">
        <v>32839</v>
      </c>
      <c r="H12072" t="s">
        <v>32849</v>
      </c>
      <c r="I12072" t="s">
        <v>4177</v>
      </c>
      <c r="J12072" t="s">
        <v>37416</v>
      </c>
      <c r="K12072" t="s">
        <v>42780</v>
      </c>
      <c r="M12072" t="s">
        <v>46850</v>
      </c>
      <c r="N12072" t="s">
        <v>47424</v>
      </c>
      <c r="O12072" t="s">
        <v>47425</v>
      </c>
      <c r="P12072">
        <v>0</v>
      </c>
      <c r="Q12072">
        <v>1</v>
      </c>
      <c r="R12072" t="s">
        <v>47439</v>
      </c>
      <c r="S12072" t="s">
        <v>47860</v>
      </c>
      <c r="T12072" t="s">
        <v>49159</v>
      </c>
      <c r="U12072" t="s">
        <v>59578</v>
      </c>
      <c r="W12072" t="s">
        <v>46850</v>
      </c>
      <c r="X12072" t="s">
        <v>47441</v>
      </c>
    </row>
    <row r="12073" spans="1:24">
      <c r="A12073">
        <f>HYPERLINK("https://www.philgeps.gov.ph/GEPSNONPILOT/Tender/SplashBidNoticeAbstractUI.aspx?menuIndex=3&amp;refID=7137980&amp;Result=3","7137980")</f>
        <v>0</v>
      </c>
      <c r="B12073" t="s">
        <v>1908</v>
      </c>
      <c r="C12073" t="s">
        <v>15264</v>
      </c>
      <c r="D12073" t="s">
        <v>19049</v>
      </c>
      <c r="E12073" t="s">
        <v>29434</v>
      </c>
      <c r="F12073" t="s">
        <v>32831</v>
      </c>
      <c r="G12073" t="s">
        <v>32839</v>
      </c>
      <c r="H12073" t="s">
        <v>32849</v>
      </c>
      <c r="I12073" t="s">
        <v>4177</v>
      </c>
      <c r="J12073" t="s">
        <v>40378</v>
      </c>
      <c r="K12073" t="s">
        <v>42955</v>
      </c>
      <c r="M12073" t="s">
        <v>45057</v>
      </c>
      <c r="N12073" t="s">
        <v>47424</v>
      </c>
      <c r="O12073" t="s">
        <v>47425</v>
      </c>
      <c r="P12073">
        <v>0</v>
      </c>
      <c r="Q12073">
        <v>5</v>
      </c>
      <c r="R12073" t="s">
        <v>47439</v>
      </c>
      <c r="S12073" t="s">
        <v>47860</v>
      </c>
      <c r="T12073" t="s">
        <v>49073</v>
      </c>
      <c r="U12073" t="s">
        <v>59568</v>
      </c>
      <c r="W12073" t="s">
        <v>45057</v>
      </c>
      <c r="X12073" t="s">
        <v>47441</v>
      </c>
    </row>
    <row r="12074" spans="1:24">
      <c r="A12074">
        <f>HYPERLINK("https://www.philgeps.gov.ph/GEPSNONPILOT/Tender/SplashBidNoticeAbstractUI.aspx?menuIndex=3&amp;refID=7137975&amp;Result=3","7137975")</f>
        <v>0</v>
      </c>
      <c r="B12074" t="s">
        <v>1118</v>
      </c>
      <c r="C12074" t="s">
        <v>4002</v>
      </c>
      <c r="D12074" t="s">
        <v>19060</v>
      </c>
      <c r="E12074" t="s">
        <v>29435</v>
      </c>
      <c r="F12074" t="s">
        <v>32831</v>
      </c>
      <c r="G12074" t="s">
        <v>32839</v>
      </c>
      <c r="H12074" t="s">
        <v>32848</v>
      </c>
      <c r="I12074" t="s">
        <v>10805</v>
      </c>
      <c r="J12074" t="s">
        <v>40379</v>
      </c>
      <c r="K12074" t="s">
        <v>42726</v>
      </c>
      <c r="M12074" t="s">
        <v>45853</v>
      </c>
      <c r="N12074" t="s">
        <v>47424</v>
      </c>
      <c r="O12074" t="s">
        <v>47425</v>
      </c>
      <c r="Q12074">
        <v>3</v>
      </c>
      <c r="R12074" t="s">
        <v>47439</v>
      </c>
      <c r="S12074" t="s">
        <v>47880</v>
      </c>
      <c r="T12074" t="s">
        <v>49321</v>
      </c>
      <c r="U12074" t="s">
        <v>56180</v>
      </c>
      <c r="V12074" t="s">
        <v>63956</v>
      </c>
      <c r="W12074" t="s">
        <v>45853</v>
      </c>
      <c r="X12074" t="s">
        <v>47441</v>
      </c>
    </row>
    <row r="12075" spans="1:24">
      <c r="A12075">
        <f>HYPERLINK("https://www.philgeps.gov.ph/GEPSNONPILOT/Tender/SplashBidNoticeAbstractUI.aspx?menuIndex=3&amp;refID=7137971&amp;Result=3","7137971")</f>
        <v>0</v>
      </c>
      <c r="B12075" t="s">
        <v>3502</v>
      </c>
      <c r="C12075" t="s">
        <v>15265</v>
      </c>
      <c r="D12075" t="s">
        <v>19077</v>
      </c>
      <c r="E12075" t="s">
        <v>29436</v>
      </c>
      <c r="F12075" t="s">
        <v>32831</v>
      </c>
      <c r="G12075" t="s">
        <v>32839</v>
      </c>
      <c r="H12075" t="s">
        <v>32849</v>
      </c>
      <c r="I12075" t="s">
        <v>4177</v>
      </c>
      <c r="J12075" t="s">
        <v>40380</v>
      </c>
      <c r="K12075" t="s">
        <v>42829</v>
      </c>
      <c r="M12075" t="s">
        <v>46851</v>
      </c>
      <c r="N12075" t="s">
        <v>47424</v>
      </c>
      <c r="O12075" t="s">
        <v>47425</v>
      </c>
      <c r="Q12075">
        <v>0</v>
      </c>
      <c r="R12075" t="s">
        <v>47439</v>
      </c>
      <c r="S12075" t="s">
        <v>47881</v>
      </c>
      <c r="T12075" t="s">
        <v>49334</v>
      </c>
      <c r="U12075" t="s">
        <v>59579</v>
      </c>
      <c r="W12075" t="s">
        <v>46851</v>
      </c>
      <c r="X12075" t="s">
        <v>47441</v>
      </c>
    </row>
    <row r="12076" spans="1:24">
      <c r="A12076">
        <f>HYPERLINK("https://www.philgeps.gov.ph/GEPSNONPILOT/Tender/SplashBidNoticeAbstractUI.aspx?menuIndex=3&amp;refID=7137958&amp;Result=3","7137958")</f>
        <v>0</v>
      </c>
      <c r="B12076" t="s">
        <v>1118</v>
      </c>
      <c r="C12076" t="s">
        <v>8763</v>
      </c>
      <c r="D12076" t="s">
        <v>19060</v>
      </c>
      <c r="E12076" t="s">
        <v>29437</v>
      </c>
      <c r="F12076" t="s">
        <v>32831</v>
      </c>
      <c r="G12076" t="s">
        <v>32839</v>
      </c>
      <c r="H12076" t="s">
        <v>32848</v>
      </c>
      <c r="I12076" t="s">
        <v>4558</v>
      </c>
      <c r="J12076" t="s">
        <v>40381</v>
      </c>
      <c r="K12076" t="s">
        <v>42726</v>
      </c>
      <c r="M12076" t="s">
        <v>45853</v>
      </c>
      <c r="N12076" t="s">
        <v>47424</v>
      </c>
      <c r="O12076" t="s">
        <v>47425</v>
      </c>
      <c r="Q12076">
        <v>0</v>
      </c>
      <c r="R12076" t="s">
        <v>47439</v>
      </c>
      <c r="S12076" t="s">
        <v>47882</v>
      </c>
      <c r="T12076" t="s">
        <v>49321</v>
      </c>
      <c r="U12076" t="s">
        <v>56180</v>
      </c>
      <c r="V12076" t="s">
        <v>63957</v>
      </c>
      <c r="W12076" t="s">
        <v>45853</v>
      </c>
      <c r="X12076" t="s">
        <v>47441</v>
      </c>
    </row>
    <row r="12077" spans="1:24">
      <c r="A12077">
        <f>HYPERLINK("https://www.philgeps.gov.ph/GEPSNONPILOT/Tender/SplashBidNoticeAbstractUI.aspx?menuIndex=3&amp;refID=7138983&amp;Result=3","7138983")</f>
        <v>0</v>
      </c>
      <c r="B12077" t="s">
        <v>3509</v>
      </c>
      <c r="C12077" t="s">
        <v>4459</v>
      </c>
      <c r="D12077" t="s">
        <v>19078</v>
      </c>
      <c r="E12077" t="s">
        <v>28780</v>
      </c>
      <c r="F12077" t="s">
        <v>32831</v>
      </c>
      <c r="G12077" t="s">
        <v>32839</v>
      </c>
      <c r="H12077" t="s">
        <v>32849</v>
      </c>
      <c r="I12077" t="s">
        <v>4177</v>
      </c>
      <c r="J12077" t="s">
        <v>33087</v>
      </c>
      <c r="K12077" t="s">
        <v>42726</v>
      </c>
      <c r="M12077" t="s">
        <v>46859</v>
      </c>
      <c r="N12077" t="s">
        <v>47424</v>
      </c>
      <c r="O12077" t="s">
        <v>47425</v>
      </c>
      <c r="P12077">
        <v>0</v>
      </c>
      <c r="Q12077">
        <v>0</v>
      </c>
      <c r="R12077" t="s">
        <v>47439</v>
      </c>
      <c r="S12077" t="s">
        <v>47860</v>
      </c>
      <c r="T12077" t="s">
        <v>49109</v>
      </c>
      <c r="U12077" t="s">
        <v>59580</v>
      </c>
      <c r="W12077" t="s">
        <v>46859</v>
      </c>
      <c r="X12077" t="s">
        <v>47440</v>
      </c>
    </row>
    <row r="12078" spans="1:24">
      <c r="A12078">
        <f>HYPERLINK("https://www.philgeps.gov.ph/GEPSNONPILOT/Tender/SplashBidNoticeAbstractUI.aspx?menuIndex=3&amp;refID=7139245&amp;Result=3","7139245")</f>
        <v>0</v>
      </c>
      <c r="B12078" t="s">
        <v>1135</v>
      </c>
      <c r="C12078" t="s">
        <v>15266</v>
      </c>
      <c r="D12078" t="s">
        <v>19064</v>
      </c>
      <c r="E12078" t="s">
        <v>29008</v>
      </c>
      <c r="F12078" t="s">
        <v>32831</v>
      </c>
      <c r="G12078" t="s">
        <v>32838</v>
      </c>
      <c r="H12078" t="s">
        <v>32848</v>
      </c>
      <c r="I12078" t="s">
        <v>11484</v>
      </c>
      <c r="J12078" t="s">
        <v>34782</v>
      </c>
      <c r="K12078" t="s">
        <v>42726</v>
      </c>
      <c r="M12078" t="s">
        <v>44197</v>
      </c>
      <c r="N12078" t="s">
        <v>47424</v>
      </c>
      <c r="O12078" t="s">
        <v>47425</v>
      </c>
      <c r="P12078">
        <v>0</v>
      </c>
      <c r="Q12078">
        <v>1</v>
      </c>
      <c r="R12078" t="s">
        <v>47439</v>
      </c>
      <c r="S12078" t="s">
        <v>47860</v>
      </c>
      <c r="T12078" t="s">
        <v>49174</v>
      </c>
      <c r="U12078" t="s">
        <v>59581</v>
      </c>
      <c r="W12078" t="s">
        <v>44197</v>
      </c>
      <c r="X12078" t="s">
        <v>47440</v>
      </c>
    </row>
    <row r="12079" spans="1:24">
      <c r="A12079">
        <f>HYPERLINK("https://www.philgeps.gov.ph/GEPSNONPILOT/Tender/SplashBidNoticeAbstractUI.aspx?menuIndex=3&amp;refID=7139309&amp;Result=3","7139309")</f>
        <v>0</v>
      </c>
      <c r="B12079" t="s">
        <v>3510</v>
      </c>
      <c r="C12079" t="s">
        <v>15267</v>
      </c>
      <c r="D12079" t="s">
        <v>19025</v>
      </c>
      <c r="E12079" t="s">
        <v>20136</v>
      </c>
      <c r="F12079" t="s">
        <v>32831</v>
      </c>
      <c r="G12079" t="s">
        <v>32839</v>
      </c>
      <c r="H12079" t="s">
        <v>32849</v>
      </c>
      <c r="I12079" t="s">
        <v>4177</v>
      </c>
      <c r="J12079" t="s">
        <v>32983</v>
      </c>
      <c r="K12079" t="s">
        <v>42732</v>
      </c>
      <c r="M12079" t="s">
        <v>46860</v>
      </c>
      <c r="N12079" t="s">
        <v>47424</v>
      </c>
      <c r="O12079" t="s">
        <v>47425</v>
      </c>
      <c r="P12079">
        <v>0</v>
      </c>
      <c r="Q12079">
        <v>0</v>
      </c>
      <c r="R12079" t="s">
        <v>47439</v>
      </c>
      <c r="S12079" t="s">
        <v>47860</v>
      </c>
      <c r="T12079" t="s">
        <v>49116</v>
      </c>
      <c r="U12079" t="s">
        <v>59582</v>
      </c>
      <c r="W12079" t="s">
        <v>46860</v>
      </c>
      <c r="X12079" t="s">
        <v>47440</v>
      </c>
    </row>
    <row r="12080" spans="1:24">
      <c r="A12080">
        <f>HYPERLINK("https://www.philgeps.gov.ph/GEPSNONPILOT/Tender/SplashBidNoticeAbstractUI.aspx?menuIndex=3&amp;refID=7138969&amp;Result=3","7138969")</f>
        <v>0</v>
      </c>
      <c r="B12080" t="s">
        <v>3511</v>
      </c>
      <c r="C12080" t="s">
        <v>15268</v>
      </c>
      <c r="D12080" t="s">
        <v>19057</v>
      </c>
      <c r="E12080" t="s">
        <v>29438</v>
      </c>
      <c r="F12080" t="s">
        <v>32831</v>
      </c>
      <c r="G12080" t="s">
        <v>32839</v>
      </c>
      <c r="H12080" t="s">
        <v>32850</v>
      </c>
      <c r="I12080" t="s">
        <v>4177</v>
      </c>
      <c r="J12080" t="s">
        <v>40382</v>
      </c>
      <c r="K12080" t="s">
        <v>42831</v>
      </c>
      <c r="M12080" t="s">
        <v>46861</v>
      </c>
      <c r="N12080" t="s">
        <v>47424</v>
      </c>
      <c r="O12080" t="s">
        <v>47425</v>
      </c>
      <c r="P12080">
        <v>0</v>
      </c>
      <c r="Q12080">
        <v>0</v>
      </c>
      <c r="R12080" t="s">
        <v>47439</v>
      </c>
      <c r="S12080" t="s">
        <v>47860</v>
      </c>
      <c r="T12080" t="s">
        <v>49061</v>
      </c>
      <c r="U12080" t="s">
        <v>59583</v>
      </c>
      <c r="W12080" t="s">
        <v>46861</v>
      </c>
      <c r="X12080" t="s">
        <v>47440</v>
      </c>
    </row>
    <row r="12081" spans="1:24">
      <c r="A12081">
        <f>HYPERLINK("https://www.philgeps.gov.ph/GEPSNONPILOT/Tender/SplashBidNoticeAbstractUI.aspx?menuIndex=3&amp;refID=7139246&amp;Result=3","7139246")</f>
        <v>0</v>
      </c>
      <c r="B12081" t="s">
        <v>3512</v>
      </c>
      <c r="C12081" t="s">
        <v>15269</v>
      </c>
      <c r="D12081" t="s">
        <v>19025</v>
      </c>
      <c r="E12081" t="s">
        <v>20418</v>
      </c>
      <c r="F12081" t="s">
        <v>32831</v>
      </c>
      <c r="G12081" t="s">
        <v>32839</v>
      </c>
      <c r="H12081" t="s">
        <v>32849</v>
      </c>
      <c r="I12081" t="s">
        <v>4177</v>
      </c>
      <c r="J12081" t="s">
        <v>40383</v>
      </c>
      <c r="K12081" t="s">
        <v>42732</v>
      </c>
      <c r="M12081" t="s">
        <v>46862</v>
      </c>
      <c r="N12081" t="s">
        <v>47424</v>
      </c>
      <c r="O12081" t="s">
        <v>47425</v>
      </c>
      <c r="P12081">
        <v>0</v>
      </c>
      <c r="Q12081">
        <v>0</v>
      </c>
      <c r="R12081" t="s">
        <v>47439</v>
      </c>
      <c r="S12081" t="s">
        <v>47860</v>
      </c>
      <c r="T12081" t="s">
        <v>49116</v>
      </c>
      <c r="U12081" t="s">
        <v>59584</v>
      </c>
      <c r="W12081" t="s">
        <v>46862</v>
      </c>
      <c r="X12081" t="s">
        <v>47440</v>
      </c>
    </row>
    <row r="12082" spans="1:24">
      <c r="A12082">
        <f>HYPERLINK("https://www.philgeps.gov.ph/GEPSNONPILOT/Tender/SplashBidNoticeAbstractUI.aspx?menuIndex=3&amp;refID=7139318&amp;Result=3","7139318")</f>
        <v>0</v>
      </c>
      <c r="B12082" t="s">
        <v>3513</v>
      </c>
      <c r="C12082" t="s">
        <v>15270</v>
      </c>
      <c r="D12082" t="s">
        <v>19044</v>
      </c>
      <c r="E12082" t="s">
        <v>19838</v>
      </c>
      <c r="F12082" t="s">
        <v>32831</v>
      </c>
      <c r="G12082" t="s">
        <v>32839</v>
      </c>
      <c r="H12082" t="s">
        <v>32848</v>
      </c>
      <c r="I12082" t="s">
        <v>4438</v>
      </c>
      <c r="J12082" t="s">
        <v>33041</v>
      </c>
      <c r="K12082" t="s">
        <v>42730</v>
      </c>
      <c r="M12082" t="s">
        <v>46863</v>
      </c>
      <c r="N12082" t="s">
        <v>47424</v>
      </c>
      <c r="O12082" t="s">
        <v>47425</v>
      </c>
      <c r="P12082">
        <v>0</v>
      </c>
      <c r="Q12082">
        <v>1</v>
      </c>
      <c r="R12082" t="s">
        <v>47439</v>
      </c>
      <c r="S12082" t="s">
        <v>47860</v>
      </c>
      <c r="T12082" t="s">
        <v>49111</v>
      </c>
      <c r="U12082" t="s">
        <v>59585</v>
      </c>
      <c r="W12082" t="s">
        <v>46863</v>
      </c>
      <c r="X12082" t="s">
        <v>47440</v>
      </c>
    </row>
    <row r="12083" spans="1:24">
      <c r="A12083">
        <f>HYPERLINK("https://www.philgeps.gov.ph/GEPSNONPILOT/Tender/SplashBidNoticeAbstractUI.aspx?menuIndex=3&amp;refID=7139270&amp;Result=3","7139270")</f>
        <v>0</v>
      </c>
      <c r="B12083" t="s">
        <v>1857</v>
      </c>
      <c r="C12083" t="s">
        <v>15271</v>
      </c>
      <c r="E12083" t="s">
        <v>29439</v>
      </c>
      <c r="F12083" t="s">
        <v>32831</v>
      </c>
      <c r="G12083" t="s">
        <v>32839</v>
      </c>
      <c r="H12083" t="s">
        <v>32849</v>
      </c>
      <c r="I12083" t="s">
        <v>4177</v>
      </c>
      <c r="J12083" t="s">
        <v>33066</v>
      </c>
      <c r="K12083" t="s">
        <v>42956</v>
      </c>
      <c r="M12083" t="s">
        <v>44996</v>
      </c>
      <c r="N12083" t="s">
        <v>47424</v>
      </c>
      <c r="O12083" t="s">
        <v>47425</v>
      </c>
      <c r="P12083">
        <v>0</v>
      </c>
      <c r="Q12083">
        <v>0</v>
      </c>
      <c r="R12083" t="s">
        <v>47439</v>
      </c>
      <c r="S12083" t="s">
        <v>47860</v>
      </c>
      <c r="T12083" t="s">
        <v>49196</v>
      </c>
      <c r="U12083" t="s">
        <v>59586</v>
      </c>
      <c r="W12083" t="s">
        <v>44996</v>
      </c>
      <c r="X12083" t="s">
        <v>47440</v>
      </c>
    </row>
    <row r="12084" spans="1:24">
      <c r="A12084">
        <f>HYPERLINK("https://www.philgeps.gov.ph/GEPSNONPILOT/Tender/SplashBidNoticeAbstractUI.aspx?menuIndex=3&amp;refID=7139269&amp;Result=3","7139269")</f>
        <v>0</v>
      </c>
      <c r="B12084" t="s">
        <v>273</v>
      </c>
      <c r="C12084" t="s">
        <v>15272</v>
      </c>
      <c r="D12084" t="s">
        <v>19060</v>
      </c>
      <c r="E12084" t="s">
        <v>29440</v>
      </c>
      <c r="F12084" t="s">
        <v>32831</v>
      </c>
      <c r="G12084" t="s">
        <v>32839</v>
      </c>
      <c r="H12084" t="s">
        <v>32848</v>
      </c>
      <c r="I12084" t="s">
        <v>32870</v>
      </c>
      <c r="J12084" t="s">
        <v>40384</v>
      </c>
      <c r="K12084" t="s">
        <v>42776</v>
      </c>
      <c r="M12084" t="s">
        <v>46864</v>
      </c>
      <c r="N12084" t="s">
        <v>47424</v>
      </c>
      <c r="O12084" t="s">
        <v>47425</v>
      </c>
      <c r="P12084">
        <v>0</v>
      </c>
      <c r="Q12084">
        <v>0</v>
      </c>
      <c r="R12084" t="s">
        <v>47439</v>
      </c>
      <c r="S12084" t="s">
        <v>47860</v>
      </c>
      <c r="T12084" t="s">
        <v>49063</v>
      </c>
      <c r="U12084" t="s">
        <v>59587</v>
      </c>
      <c r="V12084" t="s">
        <v>62674</v>
      </c>
      <c r="W12084" t="s">
        <v>46864</v>
      </c>
      <c r="X12084" t="s">
        <v>47440</v>
      </c>
    </row>
    <row r="12085" spans="1:24">
      <c r="A12085">
        <f>HYPERLINK("https://www.philgeps.gov.ph/GEPSNONPILOT/Tender/SplashBidNoticeAbstractUI.aspx?menuIndex=3&amp;refID=7139222&amp;Result=3","7139222")</f>
        <v>0</v>
      </c>
      <c r="B12085" t="s">
        <v>3514</v>
      </c>
      <c r="C12085" t="s">
        <v>15273</v>
      </c>
      <c r="D12085" t="s">
        <v>19091</v>
      </c>
      <c r="E12085" t="s">
        <v>29441</v>
      </c>
      <c r="F12085" t="s">
        <v>32831</v>
      </c>
      <c r="G12085" t="s">
        <v>32839</v>
      </c>
      <c r="H12085" t="s">
        <v>32849</v>
      </c>
      <c r="I12085" t="s">
        <v>4177</v>
      </c>
      <c r="J12085" t="s">
        <v>32985</v>
      </c>
      <c r="K12085" t="s">
        <v>42770</v>
      </c>
      <c r="M12085" t="s">
        <v>46865</v>
      </c>
      <c r="N12085" t="s">
        <v>47424</v>
      </c>
      <c r="O12085" t="s">
        <v>47425</v>
      </c>
      <c r="P12085">
        <v>0</v>
      </c>
      <c r="Q12085">
        <v>0</v>
      </c>
      <c r="R12085" t="s">
        <v>47439</v>
      </c>
      <c r="S12085" t="s">
        <v>47860</v>
      </c>
      <c r="T12085" t="s">
        <v>49109</v>
      </c>
      <c r="U12085" t="s">
        <v>59588</v>
      </c>
      <c r="W12085" t="s">
        <v>46865</v>
      </c>
      <c r="X12085" t="s">
        <v>47440</v>
      </c>
    </row>
    <row r="12086" spans="1:24">
      <c r="A12086">
        <f>HYPERLINK("https://www.philgeps.gov.ph/GEPSNONPILOT/Tender/SplashBidNoticeAbstractUI.aspx?menuIndex=3&amp;refID=7139244&amp;Result=3","7139244")</f>
        <v>0</v>
      </c>
      <c r="B12086" t="s">
        <v>1394</v>
      </c>
      <c r="C12086" t="s">
        <v>15274</v>
      </c>
      <c r="E12086" t="s">
        <v>29442</v>
      </c>
      <c r="F12086" t="s">
        <v>32834</v>
      </c>
      <c r="G12086" t="s">
        <v>32839</v>
      </c>
      <c r="H12086" t="s">
        <v>32849</v>
      </c>
      <c r="I12086" t="s">
        <v>6526</v>
      </c>
      <c r="J12086" t="s">
        <v>35033</v>
      </c>
      <c r="K12086" t="s">
        <v>42747</v>
      </c>
      <c r="M12086" t="s">
        <v>44479</v>
      </c>
      <c r="N12086" t="s">
        <v>47424</v>
      </c>
      <c r="O12086" t="s">
        <v>47425</v>
      </c>
      <c r="P12086">
        <v>0</v>
      </c>
      <c r="Q12086">
        <v>0</v>
      </c>
      <c r="R12086" t="s">
        <v>47439</v>
      </c>
      <c r="S12086" t="s">
        <v>47860</v>
      </c>
      <c r="T12086" t="s">
        <v>49069</v>
      </c>
      <c r="U12086" t="s">
        <v>59589</v>
      </c>
      <c r="W12086" t="s">
        <v>44479</v>
      </c>
      <c r="X12086" t="s">
        <v>47440</v>
      </c>
    </row>
    <row r="12087" spans="1:24">
      <c r="A12087">
        <f>HYPERLINK("https://www.philgeps.gov.ph/GEPSNONPILOT/Tender/SplashBidNoticeAbstractUI.aspx?menuIndex=3&amp;refID=7139216&amp;Result=3","7139216")</f>
        <v>0</v>
      </c>
      <c r="B12087" t="s">
        <v>3515</v>
      </c>
      <c r="C12087" t="s">
        <v>15275</v>
      </c>
      <c r="D12087" t="s">
        <v>19031</v>
      </c>
      <c r="E12087" t="s">
        <v>29443</v>
      </c>
      <c r="F12087" t="s">
        <v>32831</v>
      </c>
      <c r="G12087" t="s">
        <v>32839</v>
      </c>
      <c r="H12087" t="s">
        <v>32850</v>
      </c>
      <c r="I12087" t="s">
        <v>32911</v>
      </c>
      <c r="J12087" t="s">
        <v>40385</v>
      </c>
      <c r="K12087" t="s">
        <v>42730</v>
      </c>
      <c r="M12087" t="s">
        <v>46866</v>
      </c>
      <c r="N12087" t="s">
        <v>47424</v>
      </c>
      <c r="O12087" t="s">
        <v>47425</v>
      </c>
      <c r="P12087">
        <v>0</v>
      </c>
      <c r="Q12087">
        <v>1</v>
      </c>
      <c r="R12087" t="s">
        <v>47439</v>
      </c>
      <c r="S12087" t="s">
        <v>47860</v>
      </c>
      <c r="T12087" t="s">
        <v>49070</v>
      </c>
      <c r="U12087" t="s">
        <v>59590</v>
      </c>
      <c r="V12087" t="s">
        <v>63958</v>
      </c>
      <c r="W12087" t="s">
        <v>64547</v>
      </c>
      <c r="X12087" t="s">
        <v>47440</v>
      </c>
    </row>
    <row r="12088" spans="1:24">
      <c r="A12088">
        <f>HYPERLINK("https://www.philgeps.gov.ph/GEPSNONPILOT/Tender/SplashBidNoticeAbstractUI.aspx?menuIndex=3&amp;refID=7138999&amp;Result=3","7138999")</f>
        <v>0</v>
      </c>
      <c r="B12088" t="s">
        <v>1736</v>
      </c>
      <c r="C12088" t="s">
        <v>15276</v>
      </c>
      <c r="D12088" t="s">
        <v>19054</v>
      </c>
      <c r="E12088" t="s">
        <v>29444</v>
      </c>
      <c r="F12088" t="s">
        <v>32831</v>
      </c>
      <c r="G12088" t="s">
        <v>32839</v>
      </c>
      <c r="H12088" t="s">
        <v>32848</v>
      </c>
      <c r="I12088" t="s">
        <v>32878</v>
      </c>
      <c r="J12088" t="s">
        <v>40386</v>
      </c>
      <c r="K12088" t="s">
        <v>42730</v>
      </c>
      <c r="L12088" t="s">
        <v>1736</v>
      </c>
      <c r="M12088" t="s">
        <v>44859</v>
      </c>
      <c r="N12088" t="s">
        <v>47424</v>
      </c>
      <c r="O12088" t="s">
        <v>47425</v>
      </c>
      <c r="P12088">
        <v>0</v>
      </c>
      <c r="Q12088">
        <v>0</v>
      </c>
      <c r="R12088" t="s">
        <v>47439</v>
      </c>
      <c r="S12088" t="s">
        <v>47860</v>
      </c>
      <c r="T12088" t="s">
        <v>49111</v>
      </c>
      <c r="U12088" t="s">
        <v>59591</v>
      </c>
      <c r="V12088" t="s">
        <v>63112</v>
      </c>
      <c r="W12088" t="s">
        <v>44859</v>
      </c>
      <c r="X12088" t="s">
        <v>47440</v>
      </c>
    </row>
    <row r="12089" spans="1:24">
      <c r="A12089">
        <f>HYPERLINK("https://www.philgeps.gov.ph/GEPSNONPILOT/Tender/SplashBidNoticeAbstractUI.aspx?menuIndex=3&amp;refID=7139238&amp;Result=3","7139238")</f>
        <v>0</v>
      </c>
      <c r="B12089" t="s">
        <v>2448</v>
      </c>
      <c r="C12089" t="s">
        <v>15277</v>
      </c>
      <c r="D12089" t="s">
        <v>19055</v>
      </c>
      <c r="E12089" t="s">
        <v>29445</v>
      </c>
      <c r="F12089" t="s">
        <v>32831</v>
      </c>
      <c r="G12089" t="s">
        <v>32839</v>
      </c>
      <c r="H12089" t="s">
        <v>32849</v>
      </c>
      <c r="I12089" t="s">
        <v>4177</v>
      </c>
      <c r="J12089" t="s">
        <v>33083</v>
      </c>
      <c r="K12089" t="s">
        <v>42770</v>
      </c>
      <c r="M12089" t="s">
        <v>45646</v>
      </c>
      <c r="N12089" t="s">
        <v>47424</v>
      </c>
      <c r="O12089" t="s">
        <v>47425</v>
      </c>
      <c r="Q12089">
        <v>2</v>
      </c>
      <c r="R12089" t="s">
        <v>47439</v>
      </c>
      <c r="S12089" t="s">
        <v>47883</v>
      </c>
      <c r="T12089" t="s">
        <v>49112</v>
      </c>
      <c r="U12089" t="s">
        <v>59592</v>
      </c>
      <c r="W12089" t="s">
        <v>45646</v>
      </c>
      <c r="X12089" t="s">
        <v>47440</v>
      </c>
    </row>
    <row r="12090" spans="1:24">
      <c r="A12090">
        <f>HYPERLINK("https://www.philgeps.gov.ph/GEPSNONPILOT/Tender/SplashBidNoticeAbstractUI.aspx?menuIndex=3&amp;refID=7139227&amp;Result=3","7139227")</f>
        <v>0</v>
      </c>
      <c r="B12090" t="s">
        <v>1857</v>
      </c>
      <c r="C12090" t="s">
        <v>15278</v>
      </c>
      <c r="E12090" t="s">
        <v>29446</v>
      </c>
      <c r="F12090" t="s">
        <v>32831</v>
      </c>
      <c r="G12090" t="s">
        <v>32839</v>
      </c>
      <c r="H12090" t="s">
        <v>32849</v>
      </c>
      <c r="I12090" t="s">
        <v>4177</v>
      </c>
      <c r="J12090" t="s">
        <v>33111</v>
      </c>
      <c r="K12090" t="s">
        <v>42763</v>
      </c>
      <c r="M12090" t="s">
        <v>44996</v>
      </c>
      <c r="N12090" t="s">
        <v>47424</v>
      </c>
      <c r="O12090" t="s">
        <v>47425</v>
      </c>
      <c r="P12090">
        <v>0</v>
      </c>
      <c r="Q12090">
        <v>0</v>
      </c>
      <c r="R12090" t="s">
        <v>47439</v>
      </c>
      <c r="S12090" t="s">
        <v>47860</v>
      </c>
      <c r="T12090" t="s">
        <v>49196</v>
      </c>
      <c r="U12090" t="s">
        <v>59593</v>
      </c>
      <c r="W12090" t="s">
        <v>44996</v>
      </c>
      <c r="X12090" t="s">
        <v>47440</v>
      </c>
    </row>
    <row r="12091" spans="1:24">
      <c r="A12091">
        <f>HYPERLINK("https://www.philgeps.gov.ph/GEPSNONPILOT/Tender/SplashBidNoticeAbstractUI.aspx?menuIndex=3&amp;refID=7139523&amp;Result=3","7139523")</f>
        <v>0</v>
      </c>
      <c r="B12091" t="s">
        <v>3516</v>
      </c>
      <c r="C12091" t="s">
        <v>15279</v>
      </c>
      <c r="D12091" t="s">
        <v>19095</v>
      </c>
      <c r="E12091" t="s">
        <v>29447</v>
      </c>
      <c r="F12091" t="s">
        <v>32831</v>
      </c>
      <c r="G12091" t="s">
        <v>32839</v>
      </c>
      <c r="H12091" t="s">
        <v>32848</v>
      </c>
      <c r="I12091" t="s">
        <v>7416</v>
      </c>
      <c r="J12091" t="s">
        <v>40387</v>
      </c>
      <c r="K12091" t="s">
        <v>42727</v>
      </c>
      <c r="M12091" t="s">
        <v>46867</v>
      </c>
      <c r="N12091" t="s">
        <v>47424</v>
      </c>
      <c r="O12091" t="s">
        <v>47425</v>
      </c>
      <c r="P12091">
        <v>0</v>
      </c>
      <c r="Q12091">
        <v>0</v>
      </c>
      <c r="R12091" t="s">
        <v>47439</v>
      </c>
      <c r="S12091" t="s">
        <v>47860</v>
      </c>
      <c r="T12091" t="s">
        <v>49070</v>
      </c>
      <c r="U12091" t="s">
        <v>59594</v>
      </c>
      <c r="V12091" t="s">
        <v>63959</v>
      </c>
      <c r="W12091" t="s">
        <v>46867</v>
      </c>
      <c r="X12091" t="s">
        <v>47440</v>
      </c>
    </row>
    <row r="12092" spans="1:24">
      <c r="A12092">
        <f>HYPERLINK("https://www.philgeps.gov.ph/GEPSNONPILOT/Tender/SplashBidNoticeAbstractUI.aspx?menuIndex=3&amp;refID=7139014&amp;Result=3","7139014")</f>
        <v>0</v>
      </c>
      <c r="B12092" t="s">
        <v>3517</v>
      </c>
      <c r="C12092" t="s">
        <v>15280</v>
      </c>
      <c r="E12092" t="s">
        <v>20585</v>
      </c>
      <c r="F12092" t="s">
        <v>32831</v>
      </c>
      <c r="G12092" t="s">
        <v>32839</v>
      </c>
      <c r="H12092" t="s">
        <v>32848</v>
      </c>
      <c r="I12092" t="s">
        <v>9577</v>
      </c>
      <c r="J12092" t="s">
        <v>33041</v>
      </c>
      <c r="K12092" t="s">
        <v>42732</v>
      </c>
      <c r="M12092" t="s">
        <v>46868</v>
      </c>
      <c r="N12092" t="s">
        <v>47424</v>
      </c>
      <c r="O12092" t="s">
        <v>47425</v>
      </c>
      <c r="P12092">
        <v>0</v>
      </c>
      <c r="Q12092">
        <v>0</v>
      </c>
      <c r="R12092" t="s">
        <v>47439</v>
      </c>
      <c r="S12092" t="s">
        <v>47860</v>
      </c>
      <c r="T12092" t="s">
        <v>49237</v>
      </c>
      <c r="U12092" t="s">
        <v>59595</v>
      </c>
      <c r="W12092" t="s">
        <v>46868</v>
      </c>
      <c r="X12092" t="s">
        <v>47440</v>
      </c>
    </row>
    <row r="12093" spans="1:24">
      <c r="A12093">
        <f>HYPERLINK("https://www.philgeps.gov.ph/GEPSNONPILOT/Tender/SplashBidNoticeAbstractUI.aspx?menuIndex=3&amp;refID=7139497&amp;Result=3","7139497")</f>
        <v>0</v>
      </c>
      <c r="B12093" t="s">
        <v>3474</v>
      </c>
      <c r="C12093" t="s">
        <v>15281</v>
      </c>
      <c r="D12093" t="s">
        <v>19032</v>
      </c>
      <c r="E12093" t="s">
        <v>22757</v>
      </c>
      <c r="F12093" t="s">
        <v>32831</v>
      </c>
      <c r="G12093" t="s">
        <v>32839</v>
      </c>
      <c r="H12093" t="s">
        <v>32848</v>
      </c>
      <c r="I12093" t="s">
        <v>32861</v>
      </c>
      <c r="J12093" t="s">
        <v>40388</v>
      </c>
      <c r="K12093" t="s">
        <v>42730</v>
      </c>
      <c r="M12093" t="s">
        <v>46818</v>
      </c>
      <c r="N12093" t="s">
        <v>47424</v>
      </c>
      <c r="O12093" t="s">
        <v>47425</v>
      </c>
      <c r="P12093">
        <v>0</v>
      </c>
      <c r="Q12093">
        <v>39</v>
      </c>
      <c r="R12093" t="s">
        <v>47439</v>
      </c>
      <c r="S12093" t="s">
        <v>47860</v>
      </c>
      <c r="T12093" t="s">
        <v>49159</v>
      </c>
      <c r="U12093" t="s">
        <v>59596</v>
      </c>
      <c r="W12093" t="s">
        <v>46818</v>
      </c>
      <c r="X12093" t="s">
        <v>47440</v>
      </c>
    </row>
    <row r="12094" spans="1:24">
      <c r="A12094">
        <f>HYPERLINK("https://www.philgeps.gov.ph/GEPSNONPILOT/Tender/SplashBidNoticeAbstractUI.aspx?menuIndex=3&amp;refID=7139483&amp;Result=3","7139483")</f>
        <v>0</v>
      </c>
      <c r="B12094" t="s">
        <v>178</v>
      </c>
      <c r="C12094" t="s">
        <v>15282</v>
      </c>
      <c r="D12094" t="s">
        <v>19074</v>
      </c>
      <c r="E12094" t="s">
        <v>27716</v>
      </c>
      <c r="F12094" t="s">
        <v>32831</v>
      </c>
      <c r="G12094" t="s">
        <v>32839</v>
      </c>
      <c r="H12094" t="s">
        <v>32849</v>
      </c>
      <c r="I12094" t="s">
        <v>4177</v>
      </c>
      <c r="J12094" t="s">
        <v>36671</v>
      </c>
      <c r="K12094" t="s">
        <v>42763</v>
      </c>
      <c r="M12094" t="s">
        <v>43176</v>
      </c>
      <c r="N12094" t="s">
        <v>47424</v>
      </c>
      <c r="O12094" t="s">
        <v>47425</v>
      </c>
      <c r="P12094">
        <v>0</v>
      </c>
      <c r="Q12094">
        <v>0</v>
      </c>
      <c r="R12094" t="s">
        <v>47439</v>
      </c>
      <c r="S12094" t="s">
        <v>47860</v>
      </c>
      <c r="T12094" t="s">
        <v>49239</v>
      </c>
      <c r="U12094" t="s">
        <v>59597</v>
      </c>
      <c r="W12094" t="s">
        <v>43176</v>
      </c>
      <c r="X12094" t="s">
        <v>47440</v>
      </c>
    </row>
    <row r="12095" spans="1:24">
      <c r="A12095">
        <f>HYPERLINK("https://www.philgeps.gov.ph/GEPSNONPILOT/Tender/SplashBidNoticeAbstractUI.aspx?menuIndex=3&amp;refID=7139500&amp;Result=3","7139500")</f>
        <v>0</v>
      </c>
      <c r="B12095" t="s">
        <v>1665</v>
      </c>
      <c r="C12095" t="s">
        <v>15283</v>
      </c>
      <c r="D12095" t="s">
        <v>19095</v>
      </c>
      <c r="E12095" t="s">
        <v>29448</v>
      </c>
      <c r="F12095" t="s">
        <v>32831</v>
      </c>
      <c r="G12095" t="s">
        <v>32839</v>
      </c>
      <c r="H12095" t="s">
        <v>32849</v>
      </c>
      <c r="I12095" t="s">
        <v>4177</v>
      </c>
      <c r="J12095" t="s">
        <v>34733</v>
      </c>
      <c r="K12095" t="s">
        <v>42763</v>
      </c>
      <c r="M12095" t="s">
        <v>44782</v>
      </c>
      <c r="N12095" t="s">
        <v>47424</v>
      </c>
      <c r="O12095" t="s">
        <v>47425</v>
      </c>
      <c r="P12095">
        <v>0</v>
      </c>
      <c r="Q12095">
        <v>0</v>
      </c>
      <c r="R12095" t="s">
        <v>47439</v>
      </c>
      <c r="S12095" t="s">
        <v>47860</v>
      </c>
      <c r="T12095" t="s">
        <v>49196</v>
      </c>
      <c r="U12095" t="s">
        <v>59598</v>
      </c>
      <c r="W12095" t="s">
        <v>64483</v>
      </c>
      <c r="X12095" t="s">
        <v>47440</v>
      </c>
    </row>
    <row r="12096" spans="1:24">
      <c r="A12096">
        <f>HYPERLINK("https://www.philgeps.gov.ph/GEPSNONPILOT/Tender/SplashBidNoticeAbstractUI.aspx?menuIndex=3&amp;refID=7139477&amp;Result=3","7139477")</f>
        <v>0</v>
      </c>
      <c r="B12096" t="s">
        <v>2576</v>
      </c>
      <c r="C12096" t="s">
        <v>15284</v>
      </c>
      <c r="D12096" t="s">
        <v>19093</v>
      </c>
      <c r="E12096" t="s">
        <v>29449</v>
      </c>
      <c r="F12096" t="s">
        <v>32831</v>
      </c>
      <c r="G12096" t="s">
        <v>32841</v>
      </c>
      <c r="H12096" t="s">
        <v>32849</v>
      </c>
      <c r="I12096" t="s">
        <v>4177</v>
      </c>
      <c r="J12096" t="s">
        <v>40389</v>
      </c>
      <c r="K12096" t="s">
        <v>42766</v>
      </c>
      <c r="M12096" t="s">
        <v>45793</v>
      </c>
      <c r="N12096" t="s">
        <v>47424</v>
      </c>
      <c r="O12096" t="s">
        <v>47425</v>
      </c>
      <c r="P12096">
        <v>0</v>
      </c>
      <c r="Q12096">
        <v>0</v>
      </c>
      <c r="R12096" t="s">
        <v>47439</v>
      </c>
      <c r="S12096" t="s">
        <v>47860</v>
      </c>
      <c r="T12096" t="s">
        <v>49069</v>
      </c>
      <c r="U12096" t="s">
        <v>59599</v>
      </c>
      <c r="W12096" t="s">
        <v>45793</v>
      </c>
      <c r="X12096" t="s">
        <v>47440</v>
      </c>
    </row>
    <row r="12097" spans="1:24">
      <c r="A12097">
        <f>HYPERLINK("https://www.philgeps.gov.ph/GEPSNONPILOT/Tender/SplashBidNoticeAbstractUI.aspx?menuIndex=3&amp;refID=7139458&amp;Result=3","7139458")</f>
        <v>0</v>
      </c>
      <c r="B12097" t="s">
        <v>1151</v>
      </c>
      <c r="C12097" t="s">
        <v>15285</v>
      </c>
      <c r="D12097" t="s">
        <v>19091</v>
      </c>
      <c r="E12097" t="s">
        <v>29450</v>
      </c>
      <c r="F12097" t="s">
        <v>32831</v>
      </c>
      <c r="G12097" t="s">
        <v>32839</v>
      </c>
      <c r="H12097" t="s">
        <v>32848</v>
      </c>
      <c r="I12097" t="s">
        <v>4487</v>
      </c>
      <c r="J12097" t="s">
        <v>34930</v>
      </c>
      <c r="K12097" t="s">
        <v>42760</v>
      </c>
      <c r="M12097" t="s">
        <v>44215</v>
      </c>
      <c r="N12097" t="s">
        <v>47424</v>
      </c>
      <c r="O12097" t="s">
        <v>47425</v>
      </c>
      <c r="P12097">
        <v>0</v>
      </c>
      <c r="Q12097">
        <v>2</v>
      </c>
      <c r="R12097" t="s">
        <v>47439</v>
      </c>
      <c r="S12097" t="s">
        <v>47860</v>
      </c>
      <c r="T12097" t="s">
        <v>49109</v>
      </c>
      <c r="U12097" t="s">
        <v>59600</v>
      </c>
      <c r="W12097" t="s">
        <v>44215</v>
      </c>
      <c r="X12097" t="s">
        <v>47440</v>
      </c>
    </row>
    <row r="12098" spans="1:24">
      <c r="A12098">
        <f>HYPERLINK("https://www.philgeps.gov.ph/GEPSNONPILOT/Tender/SplashBidNoticeAbstractUI.aspx?menuIndex=3&amp;refID=7138968&amp;Result=3","7138968")</f>
        <v>0</v>
      </c>
      <c r="B12098" t="s">
        <v>3508</v>
      </c>
      <c r="C12098" t="s">
        <v>15286</v>
      </c>
      <c r="D12098" t="s">
        <v>19022</v>
      </c>
      <c r="E12098" t="s">
        <v>29451</v>
      </c>
      <c r="F12098" t="s">
        <v>32831</v>
      </c>
      <c r="G12098" t="s">
        <v>32839</v>
      </c>
      <c r="H12098" t="s">
        <v>32848</v>
      </c>
      <c r="I12098" t="s">
        <v>4177</v>
      </c>
      <c r="J12098" t="s">
        <v>40390</v>
      </c>
      <c r="K12098" t="s">
        <v>42729</v>
      </c>
      <c r="M12098" t="s">
        <v>46858</v>
      </c>
      <c r="N12098" t="s">
        <v>47424</v>
      </c>
      <c r="O12098" t="s">
        <v>47425</v>
      </c>
      <c r="Q12098">
        <v>0</v>
      </c>
      <c r="R12098" t="s">
        <v>47439</v>
      </c>
      <c r="S12098" t="s">
        <v>47884</v>
      </c>
      <c r="T12098" t="s">
        <v>49066</v>
      </c>
      <c r="U12098" t="s">
        <v>59601</v>
      </c>
      <c r="W12098" t="s">
        <v>46858</v>
      </c>
      <c r="X12098" t="s">
        <v>47440</v>
      </c>
    </row>
    <row r="12099" spans="1:24">
      <c r="A12099">
        <f>HYPERLINK("https://www.philgeps.gov.ph/GEPSNONPILOT/Tender/SplashBidNoticeAbstractUI.aspx?menuIndex=3&amp;refID=7139494&amp;Result=3","7139494")</f>
        <v>0</v>
      </c>
      <c r="B12099" t="s">
        <v>3518</v>
      </c>
      <c r="C12099" t="s">
        <v>15287</v>
      </c>
      <c r="D12099" t="s">
        <v>19034</v>
      </c>
      <c r="E12099" t="s">
        <v>29452</v>
      </c>
      <c r="F12099" t="s">
        <v>32831</v>
      </c>
      <c r="G12099" t="s">
        <v>32839</v>
      </c>
      <c r="H12099" t="s">
        <v>32849</v>
      </c>
      <c r="I12099" t="s">
        <v>4177</v>
      </c>
      <c r="J12099" t="s">
        <v>40391</v>
      </c>
      <c r="K12099" t="s">
        <v>42745</v>
      </c>
      <c r="M12099" t="s">
        <v>46869</v>
      </c>
      <c r="N12099" t="s">
        <v>47424</v>
      </c>
      <c r="O12099" t="s">
        <v>47425</v>
      </c>
      <c r="P12099">
        <v>0</v>
      </c>
      <c r="Q12099">
        <v>0</v>
      </c>
      <c r="R12099" t="s">
        <v>47439</v>
      </c>
      <c r="S12099" t="s">
        <v>47860</v>
      </c>
      <c r="T12099" t="s">
        <v>49166</v>
      </c>
      <c r="U12099" t="s">
        <v>59602</v>
      </c>
      <c r="W12099" t="s">
        <v>46869</v>
      </c>
      <c r="X12099" t="s">
        <v>47440</v>
      </c>
    </row>
    <row r="12100" spans="1:24">
      <c r="A12100">
        <f>HYPERLINK("https://www.philgeps.gov.ph/GEPSNONPILOT/Tender/SplashBidNoticeAbstractUI.aspx?menuIndex=3&amp;refID=7139192&amp;Result=3","7139192")</f>
        <v>0</v>
      </c>
      <c r="B12100" t="s">
        <v>1857</v>
      </c>
      <c r="C12100" t="s">
        <v>15288</v>
      </c>
      <c r="E12100" t="s">
        <v>29453</v>
      </c>
      <c r="F12100" t="s">
        <v>32831</v>
      </c>
      <c r="G12100" t="s">
        <v>32839</v>
      </c>
      <c r="H12100" t="s">
        <v>32849</v>
      </c>
      <c r="I12100" t="s">
        <v>4177</v>
      </c>
      <c r="J12100" t="s">
        <v>33083</v>
      </c>
      <c r="K12100" t="s">
        <v>42763</v>
      </c>
      <c r="M12100" t="s">
        <v>44996</v>
      </c>
      <c r="N12100" t="s">
        <v>47424</v>
      </c>
      <c r="O12100" t="s">
        <v>47425</v>
      </c>
      <c r="P12100">
        <v>0</v>
      </c>
      <c r="Q12100">
        <v>0</v>
      </c>
      <c r="R12100" t="s">
        <v>47439</v>
      </c>
      <c r="S12100" t="s">
        <v>47860</v>
      </c>
      <c r="T12100" t="s">
        <v>49196</v>
      </c>
      <c r="U12100" t="s">
        <v>59603</v>
      </c>
      <c r="W12100" t="s">
        <v>44996</v>
      </c>
      <c r="X12100" t="s">
        <v>47440</v>
      </c>
    </row>
    <row r="12101" spans="1:24">
      <c r="A12101">
        <f>HYPERLINK("https://www.philgeps.gov.ph/GEPSNONPILOT/Tender/SplashBidNoticeAbstractUI.aspx?menuIndex=3&amp;refID=7139462&amp;Result=3","7139462")</f>
        <v>0</v>
      </c>
      <c r="B12101" t="s">
        <v>1366</v>
      </c>
      <c r="C12101" t="s">
        <v>15289</v>
      </c>
      <c r="D12101" t="s">
        <v>19024</v>
      </c>
      <c r="E12101" t="s">
        <v>29454</v>
      </c>
      <c r="F12101" t="s">
        <v>32831</v>
      </c>
      <c r="G12101" t="s">
        <v>32839</v>
      </c>
      <c r="H12101" t="s">
        <v>32849</v>
      </c>
      <c r="I12101" t="s">
        <v>4177</v>
      </c>
      <c r="J12101" t="s">
        <v>40392</v>
      </c>
      <c r="K12101" t="s">
        <v>42922</v>
      </c>
      <c r="M12101" t="s">
        <v>44446</v>
      </c>
      <c r="N12101" t="s">
        <v>47424</v>
      </c>
      <c r="O12101" t="s">
        <v>47425</v>
      </c>
      <c r="P12101">
        <v>0</v>
      </c>
      <c r="Q12101">
        <v>2</v>
      </c>
      <c r="R12101" t="s">
        <v>47439</v>
      </c>
      <c r="S12101" t="s">
        <v>47860</v>
      </c>
      <c r="T12101" t="s">
        <v>49080</v>
      </c>
      <c r="U12101" t="s">
        <v>59604</v>
      </c>
      <c r="W12101" t="s">
        <v>44446</v>
      </c>
      <c r="X12101" t="s">
        <v>47440</v>
      </c>
    </row>
    <row r="12102" spans="1:24">
      <c r="A12102">
        <f>HYPERLINK("https://www.philgeps.gov.ph/GEPSNONPILOT/Tender/SplashBidNoticeAbstractUI.aspx?menuIndex=3&amp;refID=7139411&amp;Result=3","7139411")</f>
        <v>0</v>
      </c>
      <c r="B12102" t="s">
        <v>178</v>
      </c>
      <c r="C12102" t="s">
        <v>15290</v>
      </c>
      <c r="D12102" t="s">
        <v>19074</v>
      </c>
      <c r="E12102" t="s">
        <v>29455</v>
      </c>
      <c r="F12102" t="s">
        <v>32831</v>
      </c>
      <c r="G12102" t="s">
        <v>32839</v>
      </c>
      <c r="H12102" t="s">
        <v>32849</v>
      </c>
      <c r="I12102" t="s">
        <v>4177</v>
      </c>
      <c r="J12102" t="s">
        <v>33118</v>
      </c>
      <c r="K12102" t="s">
        <v>42746</v>
      </c>
      <c r="M12102" t="s">
        <v>43176</v>
      </c>
      <c r="N12102" t="s">
        <v>47424</v>
      </c>
      <c r="O12102" t="s">
        <v>47425</v>
      </c>
      <c r="P12102">
        <v>0</v>
      </c>
      <c r="Q12102">
        <v>0</v>
      </c>
      <c r="R12102" t="s">
        <v>47439</v>
      </c>
      <c r="S12102" t="s">
        <v>47860</v>
      </c>
      <c r="T12102" t="s">
        <v>49243</v>
      </c>
      <c r="U12102" t="s">
        <v>59605</v>
      </c>
      <c r="W12102" t="s">
        <v>43176</v>
      </c>
      <c r="X12102" t="s">
        <v>47440</v>
      </c>
    </row>
    <row r="12103" spans="1:24">
      <c r="A12103">
        <f>HYPERLINK("https://www.philgeps.gov.ph/GEPSNONPILOT/Tender/SplashBidNoticeAbstractUI.aspx?menuIndex=3&amp;refID=7139498&amp;Result=3","7139498")</f>
        <v>0</v>
      </c>
      <c r="B12103" t="s">
        <v>3438</v>
      </c>
      <c r="C12103" t="s">
        <v>15291</v>
      </c>
      <c r="D12103" t="s">
        <v>19093</v>
      </c>
      <c r="E12103" t="s">
        <v>29456</v>
      </c>
      <c r="F12103" t="s">
        <v>32831</v>
      </c>
      <c r="G12103" t="s">
        <v>32839</v>
      </c>
      <c r="H12103" t="s">
        <v>32848</v>
      </c>
      <c r="I12103" t="s">
        <v>7416</v>
      </c>
      <c r="J12103" t="s">
        <v>40393</v>
      </c>
      <c r="K12103" t="s">
        <v>42747</v>
      </c>
      <c r="M12103" t="s">
        <v>46775</v>
      </c>
      <c r="N12103" t="s">
        <v>47424</v>
      </c>
      <c r="O12103" t="s">
        <v>47425</v>
      </c>
      <c r="P12103">
        <v>0</v>
      </c>
      <c r="Q12103">
        <v>2</v>
      </c>
      <c r="R12103" t="s">
        <v>47439</v>
      </c>
      <c r="S12103" t="s">
        <v>47860</v>
      </c>
      <c r="T12103" t="s">
        <v>49080</v>
      </c>
      <c r="U12103" t="s">
        <v>59606</v>
      </c>
      <c r="V12103" t="s">
        <v>63960</v>
      </c>
      <c r="W12103" t="s">
        <v>46775</v>
      </c>
      <c r="X12103" t="s">
        <v>47440</v>
      </c>
    </row>
    <row r="12104" spans="1:24">
      <c r="A12104">
        <f>HYPERLINK("https://www.philgeps.gov.ph/GEPSNONPILOT/Tender/SplashBidNoticeAbstractUI.aspx?menuIndex=3&amp;refID=7139384&amp;Result=3","7139384")</f>
        <v>0</v>
      </c>
      <c r="B12104" t="s">
        <v>3519</v>
      </c>
      <c r="C12104" t="s">
        <v>15292</v>
      </c>
      <c r="D12104" t="s">
        <v>19045</v>
      </c>
      <c r="E12104" t="s">
        <v>29457</v>
      </c>
      <c r="F12104" t="s">
        <v>32831</v>
      </c>
      <c r="G12104" t="s">
        <v>32839</v>
      </c>
      <c r="H12104" t="s">
        <v>32849</v>
      </c>
      <c r="I12104" t="s">
        <v>4177</v>
      </c>
      <c r="J12104" t="s">
        <v>32983</v>
      </c>
      <c r="K12104" t="s">
        <v>42747</v>
      </c>
      <c r="L12104" t="s">
        <v>3519</v>
      </c>
      <c r="M12104" t="s">
        <v>46870</v>
      </c>
      <c r="N12104" t="s">
        <v>47424</v>
      </c>
      <c r="O12104" t="s">
        <v>47425</v>
      </c>
      <c r="P12104">
        <v>0</v>
      </c>
      <c r="Q12104">
        <v>0</v>
      </c>
      <c r="R12104" t="s">
        <v>47439</v>
      </c>
      <c r="S12104" t="s">
        <v>47860</v>
      </c>
      <c r="T12104" t="s">
        <v>49242</v>
      </c>
      <c r="U12104" t="s">
        <v>55649</v>
      </c>
      <c r="W12104" t="s">
        <v>46870</v>
      </c>
      <c r="X12104" t="s">
        <v>47440</v>
      </c>
    </row>
    <row r="12105" spans="1:24">
      <c r="A12105">
        <f>HYPERLINK("https://www.philgeps.gov.ph/GEPSNONPILOT/Tender/SplashBidNoticeAbstractUI.aspx?menuIndex=3&amp;refID=7139406&amp;Result=3","7139406")</f>
        <v>0</v>
      </c>
      <c r="B12105" t="s">
        <v>3300</v>
      </c>
      <c r="C12105" t="s">
        <v>15293</v>
      </c>
      <c r="D12105" t="s">
        <v>19017</v>
      </c>
      <c r="E12105" t="s">
        <v>29458</v>
      </c>
      <c r="F12105" t="s">
        <v>32831</v>
      </c>
      <c r="G12105" t="s">
        <v>32839</v>
      </c>
      <c r="H12105" t="s">
        <v>32848</v>
      </c>
      <c r="I12105" t="s">
        <v>32851</v>
      </c>
      <c r="J12105" t="s">
        <v>40394</v>
      </c>
      <c r="K12105" t="s">
        <v>42957</v>
      </c>
      <c r="M12105" t="s">
        <v>46621</v>
      </c>
      <c r="N12105" t="s">
        <v>47424</v>
      </c>
      <c r="O12105" t="s">
        <v>47425</v>
      </c>
      <c r="Q12105">
        <v>6</v>
      </c>
      <c r="R12105" t="s">
        <v>47439</v>
      </c>
      <c r="S12105" t="s">
        <v>47885</v>
      </c>
      <c r="T12105" t="s">
        <v>49427</v>
      </c>
      <c r="U12105" t="s">
        <v>59607</v>
      </c>
      <c r="W12105" t="s">
        <v>46621</v>
      </c>
      <c r="X12105" t="s">
        <v>47440</v>
      </c>
    </row>
    <row r="12106" spans="1:24">
      <c r="A12106">
        <f>HYPERLINK("https://www.philgeps.gov.ph/GEPSNONPILOT/Tender/SplashBidNoticeAbstractUI.aspx?menuIndex=3&amp;refID=7139412&amp;Result=3","7139412")</f>
        <v>0</v>
      </c>
      <c r="B12106" t="s">
        <v>3519</v>
      </c>
      <c r="C12106" t="s">
        <v>15294</v>
      </c>
      <c r="D12106" t="s">
        <v>19045</v>
      </c>
      <c r="E12106" t="s">
        <v>29459</v>
      </c>
      <c r="F12106" t="s">
        <v>32831</v>
      </c>
      <c r="G12106" t="s">
        <v>32839</v>
      </c>
      <c r="H12106" t="s">
        <v>32849</v>
      </c>
      <c r="I12106" t="s">
        <v>4177</v>
      </c>
      <c r="J12106" t="s">
        <v>33279</v>
      </c>
      <c r="K12106" t="s">
        <v>42729</v>
      </c>
      <c r="L12106" t="s">
        <v>3519</v>
      </c>
      <c r="M12106" t="s">
        <v>46870</v>
      </c>
      <c r="N12106" t="s">
        <v>47424</v>
      </c>
      <c r="O12106" t="s">
        <v>47425</v>
      </c>
      <c r="P12106">
        <v>0</v>
      </c>
      <c r="Q12106">
        <v>0</v>
      </c>
      <c r="R12106" t="s">
        <v>47439</v>
      </c>
      <c r="S12106" t="s">
        <v>47860</v>
      </c>
      <c r="T12106" t="s">
        <v>49057</v>
      </c>
      <c r="U12106" t="s">
        <v>55649</v>
      </c>
      <c r="W12106" t="s">
        <v>46870</v>
      </c>
      <c r="X12106" t="s">
        <v>47440</v>
      </c>
    </row>
    <row r="12107" spans="1:24">
      <c r="A12107">
        <f>HYPERLINK("https://www.philgeps.gov.ph/GEPSNONPILOT/Tender/SplashBidNoticeAbstractUI.aspx?menuIndex=3&amp;refID=7139020&amp;Result=3","7139020")</f>
        <v>0</v>
      </c>
      <c r="B12107" t="s">
        <v>3001</v>
      </c>
      <c r="C12107" t="s">
        <v>15295</v>
      </c>
      <c r="D12107" t="s">
        <v>19056</v>
      </c>
      <c r="E12107" t="s">
        <v>29460</v>
      </c>
      <c r="F12107" t="s">
        <v>32831</v>
      </c>
      <c r="G12107" t="s">
        <v>32839</v>
      </c>
      <c r="H12107" t="s">
        <v>32849</v>
      </c>
      <c r="I12107" t="s">
        <v>4177</v>
      </c>
      <c r="J12107" t="s">
        <v>40395</v>
      </c>
      <c r="K12107" t="s">
        <v>42829</v>
      </c>
      <c r="M12107" t="s">
        <v>46269</v>
      </c>
      <c r="N12107" t="s">
        <v>47424</v>
      </c>
      <c r="O12107" t="s">
        <v>47425</v>
      </c>
      <c r="P12107">
        <v>0</v>
      </c>
      <c r="Q12107">
        <v>5</v>
      </c>
      <c r="R12107" t="s">
        <v>47439</v>
      </c>
      <c r="S12107" t="s">
        <v>47860</v>
      </c>
      <c r="T12107" t="s">
        <v>49159</v>
      </c>
      <c r="U12107" t="s">
        <v>59608</v>
      </c>
      <c r="W12107" t="s">
        <v>64531</v>
      </c>
      <c r="X12107" t="s">
        <v>47440</v>
      </c>
    </row>
    <row r="12108" spans="1:24">
      <c r="A12108">
        <f>HYPERLINK("https://www.philgeps.gov.ph/GEPSNONPILOT/Tender/SplashBidNoticeAbstractUI.aspx?menuIndex=3&amp;refID=7139396&amp;Result=3","7139396")</f>
        <v>0</v>
      </c>
      <c r="B12108" t="s">
        <v>72</v>
      </c>
      <c r="C12108" t="s">
        <v>15296</v>
      </c>
      <c r="D12108" t="s">
        <v>19027</v>
      </c>
      <c r="E12108" t="s">
        <v>29461</v>
      </c>
      <c r="F12108" t="s">
        <v>32831</v>
      </c>
      <c r="G12108" t="s">
        <v>32839</v>
      </c>
      <c r="H12108" t="s">
        <v>32849</v>
      </c>
      <c r="I12108" t="s">
        <v>4177</v>
      </c>
      <c r="J12108" t="s">
        <v>33528</v>
      </c>
      <c r="K12108" t="s">
        <v>42770</v>
      </c>
      <c r="M12108" t="s">
        <v>43069</v>
      </c>
      <c r="N12108" t="s">
        <v>47424</v>
      </c>
      <c r="O12108" t="s">
        <v>47425</v>
      </c>
      <c r="P12108">
        <v>0</v>
      </c>
      <c r="Q12108">
        <v>8</v>
      </c>
      <c r="R12108" t="s">
        <v>47439</v>
      </c>
      <c r="S12108" t="s">
        <v>47860</v>
      </c>
      <c r="T12108" t="s">
        <v>49066</v>
      </c>
      <c r="U12108" t="s">
        <v>59609</v>
      </c>
      <c r="W12108" t="s">
        <v>64485</v>
      </c>
      <c r="X12108" t="s">
        <v>47440</v>
      </c>
    </row>
    <row r="12109" spans="1:24">
      <c r="A12109">
        <f>HYPERLINK("https://www.philgeps.gov.ph/GEPSNONPILOT/Tender/SplashBidNoticeAbstractUI.aspx?menuIndex=3&amp;refID=7139363&amp;Result=3","7139363")</f>
        <v>0</v>
      </c>
      <c r="B12109" t="s">
        <v>3519</v>
      </c>
      <c r="C12109" t="s">
        <v>15297</v>
      </c>
      <c r="D12109" t="s">
        <v>19045</v>
      </c>
      <c r="E12109" t="s">
        <v>29462</v>
      </c>
      <c r="F12109" t="s">
        <v>32831</v>
      </c>
      <c r="G12109" t="s">
        <v>32839</v>
      </c>
      <c r="H12109" t="s">
        <v>32849</v>
      </c>
      <c r="I12109" t="s">
        <v>4177</v>
      </c>
      <c r="J12109" t="s">
        <v>32978</v>
      </c>
      <c r="K12109" t="s">
        <v>42747</v>
      </c>
      <c r="L12109" t="s">
        <v>3519</v>
      </c>
      <c r="M12109" t="s">
        <v>46870</v>
      </c>
      <c r="N12109" t="s">
        <v>47424</v>
      </c>
      <c r="O12109" t="s">
        <v>47425</v>
      </c>
      <c r="P12109">
        <v>0</v>
      </c>
      <c r="Q12109">
        <v>0</v>
      </c>
      <c r="R12109" t="s">
        <v>47439</v>
      </c>
      <c r="S12109" t="s">
        <v>47860</v>
      </c>
      <c r="T12109" t="s">
        <v>49288</v>
      </c>
      <c r="U12109" t="s">
        <v>55649</v>
      </c>
      <c r="W12109" t="s">
        <v>46870</v>
      </c>
      <c r="X12109" t="s">
        <v>47440</v>
      </c>
    </row>
    <row r="12110" spans="1:24">
      <c r="A12110">
        <f>HYPERLINK("https://www.philgeps.gov.ph/GEPSNONPILOT/Tender/SplashBidNoticeAbstractUI.aspx?menuIndex=3&amp;refID=7139660&amp;Result=3","7139660")</f>
        <v>0</v>
      </c>
      <c r="B12110" t="s">
        <v>3520</v>
      </c>
      <c r="C12110" t="s">
        <v>15298</v>
      </c>
      <c r="D12110" t="s">
        <v>19017</v>
      </c>
      <c r="E12110" t="s">
        <v>29463</v>
      </c>
      <c r="F12110" t="s">
        <v>32831</v>
      </c>
      <c r="G12110" t="s">
        <v>32839</v>
      </c>
      <c r="H12110" t="s">
        <v>32848</v>
      </c>
      <c r="I12110" t="s">
        <v>9577</v>
      </c>
      <c r="J12110" t="s">
        <v>40396</v>
      </c>
      <c r="K12110" t="s">
        <v>42731</v>
      </c>
      <c r="M12110" t="s">
        <v>46871</v>
      </c>
      <c r="N12110" t="s">
        <v>47424</v>
      </c>
      <c r="O12110" t="s">
        <v>47425</v>
      </c>
      <c r="P12110">
        <v>0</v>
      </c>
      <c r="Q12110">
        <v>22</v>
      </c>
      <c r="R12110" t="s">
        <v>47439</v>
      </c>
      <c r="S12110" t="s">
        <v>47860</v>
      </c>
      <c r="T12110" t="s">
        <v>49080</v>
      </c>
      <c r="U12110" t="s">
        <v>59610</v>
      </c>
      <c r="W12110" t="s">
        <v>46871</v>
      </c>
      <c r="X12110" t="s">
        <v>47440</v>
      </c>
    </row>
    <row r="12111" spans="1:24">
      <c r="A12111">
        <f>HYPERLINK("https://www.philgeps.gov.ph/GEPSNONPILOT/Tender/SplashBidNoticeAbstractUI.aspx?menuIndex=3&amp;refID=7139663&amp;Result=3","7139663")</f>
        <v>0</v>
      </c>
      <c r="B12111" t="s">
        <v>3518</v>
      </c>
      <c r="C12111" t="s">
        <v>15299</v>
      </c>
      <c r="D12111" t="s">
        <v>19034</v>
      </c>
      <c r="E12111" t="s">
        <v>29464</v>
      </c>
      <c r="F12111" t="s">
        <v>32831</v>
      </c>
      <c r="G12111" t="s">
        <v>32839</v>
      </c>
      <c r="H12111" t="s">
        <v>32849</v>
      </c>
      <c r="I12111" t="s">
        <v>4177</v>
      </c>
      <c r="J12111" t="s">
        <v>33561</v>
      </c>
      <c r="K12111" t="s">
        <v>42763</v>
      </c>
      <c r="M12111" t="s">
        <v>46869</v>
      </c>
      <c r="N12111" t="s">
        <v>47424</v>
      </c>
      <c r="O12111" t="s">
        <v>47425</v>
      </c>
      <c r="P12111">
        <v>0</v>
      </c>
      <c r="Q12111">
        <v>0</v>
      </c>
      <c r="R12111" t="s">
        <v>47439</v>
      </c>
      <c r="S12111" t="s">
        <v>47860</v>
      </c>
      <c r="T12111" t="s">
        <v>49112</v>
      </c>
      <c r="U12111" t="s">
        <v>59611</v>
      </c>
      <c r="W12111" t="s">
        <v>46869</v>
      </c>
      <c r="X12111" t="s">
        <v>47440</v>
      </c>
    </row>
    <row r="12112" spans="1:24">
      <c r="A12112">
        <f>HYPERLINK("https://www.philgeps.gov.ph/GEPSNONPILOT/Tender/SplashBidNoticeAbstractUI.aspx?menuIndex=3&amp;refID=7139666&amp;Result=3","7139666")</f>
        <v>0</v>
      </c>
      <c r="B12112" t="s">
        <v>2340</v>
      </c>
      <c r="C12112" t="s">
        <v>15300</v>
      </c>
      <c r="D12112" t="s">
        <v>19054</v>
      </c>
      <c r="E12112" t="s">
        <v>29465</v>
      </c>
      <c r="F12112" t="s">
        <v>32833</v>
      </c>
      <c r="G12112" t="s">
        <v>32839</v>
      </c>
      <c r="H12112" t="s">
        <v>32849</v>
      </c>
      <c r="I12112" t="s">
        <v>4177</v>
      </c>
      <c r="J12112" t="s">
        <v>40397</v>
      </c>
      <c r="K12112" t="s">
        <v>42763</v>
      </c>
      <c r="M12112" t="s">
        <v>45527</v>
      </c>
      <c r="N12112" t="s">
        <v>47424</v>
      </c>
      <c r="O12112" t="s">
        <v>47425</v>
      </c>
      <c r="P12112">
        <v>0</v>
      </c>
      <c r="Q12112">
        <v>2</v>
      </c>
      <c r="R12112" t="s">
        <v>47439</v>
      </c>
      <c r="S12112" t="s">
        <v>47860</v>
      </c>
      <c r="T12112" t="s">
        <v>49084</v>
      </c>
      <c r="U12112" t="s">
        <v>59612</v>
      </c>
      <c r="V12112" t="s">
        <v>63961</v>
      </c>
      <c r="W12112" t="s">
        <v>45527</v>
      </c>
      <c r="X12112" t="s">
        <v>47440</v>
      </c>
    </row>
    <row r="12113" spans="1:24">
      <c r="A12113">
        <f>HYPERLINK("https://www.philgeps.gov.ph/GEPSNONPILOT/Tender/SplashBidNoticeAbstractUI.aspx?menuIndex=3&amp;refID=7139661&amp;Result=3","7139661")</f>
        <v>0</v>
      </c>
      <c r="B12113" t="s">
        <v>1151</v>
      </c>
      <c r="C12113" t="s">
        <v>15301</v>
      </c>
      <c r="D12113" t="s">
        <v>19091</v>
      </c>
      <c r="E12113" t="s">
        <v>29466</v>
      </c>
      <c r="F12113" t="s">
        <v>32831</v>
      </c>
      <c r="G12113" t="s">
        <v>32839</v>
      </c>
      <c r="H12113" t="s">
        <v>32848</v>
      </c>
      <c r="I12113" t="s">
        <v>4177</v>
      </c>
      <c r="J12113" t="s">
        <v>33140</v>
      </c>
      <c r="K12113" t="s">
        <v>42760</v>
      </c>
      <c r="M12113" t="s">
        <v>44215</v>
      </c>
      <c r="N12113" t="s">
        <v>47424</v>
      </c>
      <c r="O12113" t="s">
        <v>47425</v>
      </c>
      <c r="P12113">
        <v>0</v>
      </c>
      <c r="Q12113">
        <v>0</v>
      </c>
      <c r="R12113" t="s">
        <v>47439</v>
      </c>
      <c r="S12113" t="s">
        <v>47860</v>
      </c>
      <c r="T12113" t="s">
        <v>49060</v>
      </c>
      <c r="U12113" t="s">
        <v>59613</v>
      </c>
      <c r="W12113" t="s">
        <v>44215</v>
      </c>
      <c r="X12113" t="s">
        <v>47440</v>
      </c>
    </row>
    <row r="12114" spans="1:24">
      <c r="A12114">
        <f>HYPERLINK("https://www.philgeps.gov.ph/GEPSNONPILOT/Tender/SplashBidNoticeAbstractUI.aspx?menuIndex=3&amp;refID=7139674&amp;Result=3","7139674")</f>
        <v>0</v>
      </c>
      <c r="B12114" t="s">
        <v>2576</v>
      </c>
      <c r="C12114" t="s">
        <v>15302</v>
      </c>
      <c r="D12114" t="s">
        <v>19093</v>
      </c>
      <c r="E12114" t="s">
        <v>29467</v>
      </c>
      <c r="F12114" t="s">
        <v>32831</v>
      </c>
      <c r="G12114" t="s">
        <v>32841</v>
      </c>
      <c r="H12114" t="s">
        <v>32849</v>
      </c>
      <c r="I12114" t="s">
        <v>4177</v>
      </c>
      <c r="J12114" t="s">
        <v>40398</v>
      </c>
      <c r="K12114" t="s">
        <v>42794</v>
      </c>
      <c r="M12114" t="s">
        <v>45793</v>
      </c>
      <c r="N12114" t="s">
        <v>47424</v>
      </c>
      <c r="O12114" t="s">
        <v>47425</v>
      </c>
      <c r="P12114">
        <v>0</v>
      </c>
      <c r="Q12114">
        <v>0</v>
      </c>
      <c r="R12114" t="s">
        <v>47439</v>
      </c>
      <c r="S12114" t="s">
        <v>47860</v>
      </c>
      <c r="T12114" t="s">
        <v>49069</v>
      </c>
      <c r="U12114" t="s">
        <v>59614</v>
      </c>
      <c r="W12114" t="s">
        <v>45793</v>
      </c>
      <c r="X12114" t="s">
        <v>47440</v>
      </c>
    </row>
    <row r="12115" spans="1:24">
      <c r="A12115">
        <f>HYPERLINK("https://www.philgeps.gov.ph/GEPSNONPILOT/Tender/SplashBidNoticeAbstractUI.aspx?menuIndex=3&amp;refID=7139645&amp;Result=3","7139645")</f>
        <v>0</v>
      </c>
      <c r="B12115" t="s">
        <v>3521</v>
      </c>
      <c r="C12115" t="s">
        <v>15303</v>
      </c>
      <c r="D12115" t="s">
        <v>19037</v>
      </c>
      <c r="E12115" t="s">
        <v>29468</v>
      </c>
      <c r="F12115" t="s">
        <v>32831</v>
      </c>
      <c r="G12115" t="s">
        <v>32839</v>
      </c>
      <c r="H12115" t="s">
        <v>32848</v>
      </c>
      <c r="I12115" t="s">
        <v>7416</v>
      </c>
      <c r="J12115" t="s">
        <v>40399</v>
      </c>
      <c r="K12115" t="s">
        <v>42727</v>
      </c>
      <c r="M12115" t="s">
        <v>46872</v>
      </c>
      <c r="N12115" t="s">
        <v>47424</v>
      </c>
      <c r="O12115" t="s">
        <v>47425</v>
      </c>
      <c r="P12115">
        <v>0</v>
      </c>
      <c r="Q12115">
        <v>1</v>
      </c>
      <c r="R12115" t="s">
        <v>47439</v>
      </c>
      <c r="S12115" t="s">
        <v>47860</v>
      </c>
      <c r="T12115" t="s">
        <v>49185</v>
      </c>
      <c r="U12115" t="s">
        <v>59615</v>
      </c>
      <c r="W12115" t="s">
        <v>46872</v>
      </c>
      <c r="X12115" t="s">
        <v>47440</v>
      </c>
    </row>
    <row r="12116" spans="1:24">
      <c r="A12116">
        <f>HYPERLINK("https://www.philgeps.gov.ph/GEPSNONPILOT/Tender/SplashBidNoticeAbstractUI.aspx?menuIndex=3&amp;refID=7139452&amp;Result=3","7139452")</f>
        <v>0</v>
      </c>
      <c r="B12116" t="s">
        <v>3518</v>
      </c>
      <c r="C12116" t="s">
        <v>15304</v>
      </c>
      <c r="D12116" t="s">
        <v>19034</v>
      </c>
      <c r="E12116" t="s">
        <v>29469</v>
      </c>
      <c r="F12116" t="s">
        <v>32831</v>
      </c>
      <c r="G12116" t="s">
        <v>32839</v>
      </c>
      <c r="H12116" t="s">
        <v>32849</v>
      </c>
      <c r="I12116" t="s">
        <v>4177</v>
      </c>
      <c r="J12116" t="s">
        <v>40400</v>
      </c>
      <c r="K12116" t="s">
        <v>42745</v>
      </c>
      <c r="M12116" t="s">
        <v>46869</v>
      </c>
      <c r="N12116" t="s">
        <v>47424</v>
      </c>
      <c r="O12116" t="s">
        <v>47425</v>
      </c>
      <c r="P12116">
        <v>0</v>
      </c>
      <c r="Q12116">
        <v>0</v>
      </c>
      <c r="R12116" t="s">
        <v>47439</v>
      </c>
      <c r="S12116" t="s">
        <v>47860</v>
      </c>
      <c r="T12116" t="s">
        <v>49166</v>
      </c>
      <c r="U12116" t="s">
        <v>59616</v>
      </c>
      <c r="W12116" t="s">
        <v>46869</v>
      </c>
      <c r="X12116" t="s">
        <v>47440</v>
      </c>
    </row>
    <row r="12117" spans="1:24">
      <c r="A12117">
        <f>HYPERLINK("https://www.philgeps.gov.ph/GEPSNONPILOT/Tender/SplashBidNoticeAbstractUI.aspx?menuIndex=3&amp;refID=7139623&amp;Result=3","7139623")</f>
        <v>0</v>
      </c>
      <c r="B12117" t="s">
        <v>3520</v>
      </c>
      <c r="C12117" t="s">
        <v>15305</v>
      </c>
      <c r="D12117" t="s">
        <v>19017</v>
      </c>
      <c r="E12117" t="s">
        <v>29470</v>
      </c>
      <c r="F12117" t="s">
        <v>32831</v>
      </c>
      <c r="G12117" t="s">
        <v>32839</v>
      </c>
      <c r="H12117" t="s">
        <v>32849</v>
      </c>
      <c r="I12117" t="s">
        <v>4177</v>
      </c>
      <c r="J12117" t="s">
        <v>40401</v>
      </c>
      <c r="K12117" t="s">
        <v>42747</v>
      </c>
      <c r="M12117" t="s">
        <v>46871</v>
      </c>
      <c r="N12117" t="s">
        <v>47424</v>
      </c>
      <c r="O12117" t="s">
        <v>47425</v>
      </c>
      <c r="P12117">
        <v>0</v>
      </c>
      <c r="Q12117">
        <v>6</v>
      </c>
      <c r="R12117" t="s">
        <v>47439</v>
      </c>
      <c r="S12117" t="s">
        <v>47860</v>
      </c>
      <c r="T12117" t="s">
        <v>49080</v>
      </c>
      <c r="U12117" t="s">
        <v>59610</v>
      </c>
      <c r="W12117" t="s">
        <v>46871</v>
      </c>
      <c r="X12117" t="s">
        <v>47440</v>
      </c>
    </row>
    <row r="12118" spans="1:24">
      <c r="A12118">
        <f>HYPERLINK("https://www.philgeps.gov.ph/GEPSNONPILOT/Tender/SplashBidNoticeAbstractUI.aspx?menuIndex=3&amp;refID=7139615&amp;Result=3","7139615")</f>
        <v>0</v>
      </c>
      <c r="B12118" t="s">
        <v>592</v>
      </c>
      <c r="C12118" t="s">
        <v>15306</v>
      </c>
      <c r="D12118" t="s">
        <v>19045</v>
      </c>
      <c r="E12118" t="s">
        <v>29471</v>
      </c>
      <c r="F12118" t="s">
        <v>32831</v>
      </c>
      <c r="G12118" t="s">
        <v>32839</v>
      </c>
      <c r="H12118" t="s">
        <v>32848</v>
      </c>
      <c r="I12118" t="s">
        <v>7416</v>
      </c>
      <c r="J12118" t="s">
        <v>40402</v>
      </c>
      <c r="K12118" t="s">
        <v>42727</v>
      </c>
      <c r="M12118" t="s">
        <v>43604</v>
      </c>
      <c r="N12118" t="s">
        <v>47424</v>
      </c>
      <c r="O12118" t="s">
        <v>47425</v>
      </c>
      <c r="P12118">
        <v>0</v>
      </c>
      <c r="Q12118">
        <v>1</v>
      </c>
      <c r="R12118" t="s">
        <v>47439</v>
      </c>
      <c r="S12118" t="s">
        <v>47860</v>
      </c>
      <c r="T12118" t="s">
        <v>49611</v>
      </c>
      <c r="U12118" t="s">
        <v>59617</v>
      </c>
      <c r="V12118" t="s">
        <v>63962</v>
      </c>
      <c r="W12118" t="s">
        <v>43604</v>
      </c>
      <c r="X12118" t="s">
        <v>47440</v>
      </c>
    </row>
    <row r="12119" spans="1:24">
      <c r="A12119">
        <f>HYPERLINK("https://www.philgeps.gov.ph/GEPSNONPILOT/Tender/SplashBidNoticeAbstractUI.aspx?menuIndex=3&amp;refID=7139636&amp;Result=3","7139636")</f>
        <v>0</v>
      </c>
      <c r="B12119" t="s">
        <v>1597</v>
      </c>
      <c r="C12119" t="s">
        <v>15307</v>
      </c>
      <c r="D12119" t="s">
        <v>19031</v>
      </c>
      <c r="E12119" t="s">
        <v>29472</v>
      </c>
      <c r="F12119" t="s">
        <v>32831</v>
      </c>
      <c r="G12119" t="s">
        <v>32838</v>
      </c>
      <c r="H12119" t="s">
        <v>32848</v>
      </c>
      <c r="I12119" t="s">
        <v>4776</v>
      </c>
      <c r="J12119" t="s">
        <v>33143</v>
      </c>
      <c r="K12119" t="s">
        <v>42731</v>
      </c>
      <c r="M12119" t="s">
        <v>44981</v>
      </c>
      <c r="N12119" t="s">
        <v>47424</v>
      </c>
      <c r="O12119" t="s">
        <v>47425</v>
      </c>
      <c r="P12119">
        <v>0</v>
      </c>
      <c r="Q12119">
        <v>1</v>
      </c>
      <c r="R12119" t="s">
        <v>47439</v>
      </c>
      <c r="S12119" t="s">
        <v>47860</v>
      </c>
      <c r="T12119" t="s">
        <v>49111</v>
      </c>
      <c r="U12119" t="s">
        <v>59618</v>
      </c>
      <c r="V12119" t="s">
        <v>63051</v>
      </c>
      <c r="W12119" t="s">
        <v>44981</v>
      </c>
      <c r="X12119" t="s">
        <v>47440</v>
      </c>
    </row>
    <row r="12120" spans="1:24">
      <c r="A12120">
        <f>HYPERLINK("https://www.philgeps.gov.ph/GEPSNONPILOT/Tender/SplashBidNoticeAbstractUI.aspx?menuIndex=3&amp;refID=7139635&amp;Result=3","7139635")</f>
        <v>0</v>
      </c>
      <c r="B12120" t="s">
        <v>927</v>
      </c>
      <c r="C12120" t="s">
        <v>15308</v>
      </c>
      <c r="D12120" t="s">
        <v>19031</v>
      </c>
      <c r="E12120" t="s">
        <v>29473</v>
      </c>
      <c r="F12120" t="s">
        <v>32831</v>
      </c>
      <c r="G12120" t="s">
        <v>32839</v>
      </c>
      <c r="H12120" t="s">
        <v>32848</v>
      </c>
      <c r="I12120" t="s">
        <v>32874</v>
      </c>
      <c r="J12120" t="s">
        <v>32985</v>
      </c>
      <c r="K12120" t="s">
        <v>42730</v>
      </c>
      <c r="M12120" t="s">
        <v>43968</v>
      </c>
      <c r="N12120" t="s">
        <v>47424</v>
      </c>
      <c r="O12120" t="s">
        <v>47425</v>
      </c>
      <c r="Q12120">
        <v>8</v>
      </c>
      <c r="R12120" t="s">
        <v>47439</v>
      </c>
      <c r="S12120" t="s">
        <v>47886</v>
      </c>
      <c r="T12120" t="s">
        <v>49196</v>
      </c>
      <c r="U12120" t="s">
        <v>59619</v>
      </c>
      <c r="W12120" t="s">
        <v>43968</v>
      </c>
      <c r="X12120" t="s">
        <v>47440</v>
      </c>
    </row>
    <row r="12121" spans="1:24">
      <c r="A12121">
        <f>HYPERLINK("https://www.philgeps.gov.ph/GEPSNONPILOT/Tender/SplashBidNoticeAbstractUI.aspx?menuIndex=3&amp;refID=7139800&amp;Result=3","7139800")</f>
        <v>0</v>
      </c>
      <c r="B12121" t="s">
        <v>2576</v>
      </c>
      <c r="C12121" t="s">
        <v>7481</v>
      </c>
      <c r="D12121" t="s">
        <v>19093</v>
      </c>
      <c r="E12121" t="s">
        <v>29474</v>
      </c>
      <c r="F12121" t="s">
        <v>32831</v>
      </c>
      <c r="G12121" t="s">
        <v>32841</v>
      </c>
      <c r="H12121" t="s">
        <v>32848</v>
      </c>
      <c r="I12121" t="s">
        <v>7416</v>
      </c>
      <c r="J12121" t="s">
        <v>40403</v>
      </c>
      <c r="K12121" t="s">
        <v>42727</v>
      </c>
      <c r="M12121" t="s">
        <v>45793</v>
      </c>
      <c r="N12121" t="s">
        <v>47424</v>
      </c>
      <c r="O12121" t="s">
        <v>47425</v>
      </c>
      <c r="P12121">
        <v>0</v>
      </c>
      <c r="Q12121">
        <v>1</v>
      </c>
      <c r="R12121" t="s">
        <v>47439</v>
      </c>
      <c r="S12121" t="s">
        <v>47860</v>
      </c>
      <c r="T12121" t="s">
        <v>49069</v>
      </c>
      <c r="U12121" t="s">
        <v>59620</v>
      </c>
      <c r="W12121" t="s">
        <v>45793</v>
      </c>
      <c r="X12121" t="s">
        <v>47440</v>
      </c>
    </row>
    <row r="12122" spans="1:24">
      <c r="A12122">
        <f>HYPERLINK("https://www.philgeps.gov.ph/GEPSNONPILOT/Tender/SplashBidNoticeAbstractUI.aspx?menuIndex=3&amp;refID=7139626&amp;Result=3","7139626")</f>
        <v>0</v>
      </c>
      <c r="B12122" t="s">
        <v>1864</v>
      </c>
      <c r="C12122" t="s">
        <v>4067</v>
      </c>
      <c r="D12122" t="s">
        <v>19045</v>
      </c>
      <c r="E12122" t="s">
        <v>29475</v>
      </c>
      <c r="F12122" t="s">
        <v>32831</v>
      </c>
      <c r="G12122" t="s">
        <v>32839</v>
      </c>
      <c r="H12122" t="s">
        <v>32848</v>
      </c>
      <c r="I12122" t="s">
        <v>9577</v>
      </c>
      <c r="J12122" t="s">
        <v>40404</v>
      </c>
      <c r="K12122" t="s">
        <v>42731</v>
      </c>
      <c r="M12122" t="s">
        <v>45006</v>
      </c>
      <c r="N12122" t="s">
        <v>47424</v>
      </c>
      <c r="O12122" t="s">
        <v>47425</v>
      </c>
      <c r="Q12122">
        <v>5</v>
      </c>
      <c r="R12122" t="s">
        <v>47439</v>
      </c>
      <c r="S12122" t="s">
        <v>47887</v>
      </c>
      <c r="T12122" t="s">
        <v>49059</v>
      </c>
      <c r="U12122" t="s">
        <v>59621</v>
      </c>
      <c r="W12122" t="s">
        <v>45006</v>
      </c>
      <c r="X12122" t="s">
        <v>47440</v>
      </c>
    </row>
    <row r="12123" spans="1:24">
      <c r="A12123">
        <f>HYPERLINK("https://www.philgeps.gov.ph/GEPSNONPILOT/Tender/SplashBidNoticeAbstractUI.aspx?menuIndex=3&amp;refID=7139775&amp;Result=3","7139775")</f>
        <v>0</v>
      </c>
      <c r="B12123" t="s">
        <v>3522</v>
      </c>
      <c r="C12123" t="s">
        <v>15309</v>
      </c>
      <c r="D12123" t="s">
        <v>19057</v>
      </c>
      <c r="E12123" t="s">
        <v>29476</v>
      </c>
      <c r="F12123" t="s">
        <v>32831</v>
      </c>
      <c r="G12123" t="s">
        <v>32839</v>
      </c>
      <c r="H12123" t="s">
        <v>32849</v>
      </c>
      <c r="I12123" t="s">
        <v>4177</v>
      </c>
      <c r="J12123" t="s">
        <v>35538</v>
      </c>
      <c r="K12123" t="s">
        <v>42915</v>
      </c>
      <c r="M12123" t="s">
        <v>46873</v>
      </c>
      <c r="N12123" t="s">
        <v>47424</v>
      </c>
      <c r="O12123" t="s">
        <v>47425</v>
      </c>
      <c r="P12123">
        <v>0</v>
      </c>
      <c r="Q12123">
        <v>10</v>
      </c>
      <c r="R12123" t="s">
        <v>47439</v>
      </c>
      <c r="S12123" t="s">
        <v>47860</v>
      </c>
      <c r="T12123" t="s">
        <v>49069</v>
      </c>
      <c r="U12123" t="s">
        <v>59622</v>
      </c>
      <c r="W12123" t="s">
        <v>46873</v>
      </c>
      <c r="X12123" t="s">
        <v>47440</v>
      </c>
    </row>
    <row r="12124" spans="1:24">
      <c r="A12124">
        <f>HYPERLINK("https://www.philgeps.gov.ph/GEPSNONPILOT/Tender/SplashBidNoticeAbstractUI.aspx?menuIndex=3&amp;refID=7139782&amp;Result=3","7139782")</f>
        <v>0</v>
      </c>
      <c r="B12124" t="s">
        <v>1597</v>
      </c>
      <c r="C12124" t="s">
        <v>15310</v>
      </c>
      <c r="D12124" t="s">
        <v>19031</v>
      </c>
      <c r="E12124" t="s">
        <v>29477</v>
      </c>
      <c r="F12124" t="s">
        <v>32831</v>
      </c>
      <c r="G12124" t="s">
        <v>32838</v>
      </c>
      <c r="H12124" t="s">
        <v>32848</v>
      </c>
      <c r="I12124" t="s">
        <v>32867</v>
      </c>
      <c r="J12124" t="s">
        <v>40405</v>
      </c>
      <c r="K12124" t="s">
        <v>42727</v>
      </c>
      <c r="M12124" t="s">
        <v>44981</v>
      </c>
      <c r="N12124" t="s">
        <v>47424</v>
      </c>
      <c r="O12124" t="s">
        <v>47425</v>
      </c>
      <c r="P12124">
        <v>0</v>
      </c>
      <c r="Q12124">
        <v>0</v>
      </c>
      <c r="R12124" t="s">
        <v>47439</v>
      </c>
      <c r="S12124" t="s">
        <v>47860</v>
      </c>
      <c r="T12124" t="s">
        <v>49111</v>
      </c>
      <c r="U12124" t="s">
        <v>59618</v>
      </c>
      <c r="V12124" t="s">
        <v>63051</v>
      </c>
      <c r="W12124" t="s">
        <v>44981</v>
      </c>
      <c r="X12124" t="s">
        <v>47440</v>
      </c>
    </row>
    <row r="12125" spans="1:24">
      <c r="A12125">
        <f>HYPERLINK("https://www.philgeps.gov.ph/GEPSNONPILOT/Tender/SplashBidNoticeAbstractUI.aspx?menuIndex=3&amp;refID=7139740&amp;Result=3","7139740")</f>
        <v>0</v>
      </c>
      <c r="B12125" t="s">
        <v>180</v>
      </c>
      <c r="C12125" t="s">
        <v>15311</v>
      </c>
      <c r="D12125" t="s">
        <v>19021</v>
      </c>
      <c r="E12125" t="s">
        <v>29478</v>
      </c>
      <c r="F12125" t="s">
        <v>32831</v>
      </c>
      <c r="G12125" t="s">
        <v>32839</v>
      </c>
      <c r="H12125" t="s">
        <v>32849</v>
      </c>
      <c r="I12125" t="s">
        <v>4177</v>
      </c>
      <c r="J12125" t="s">
        <v>40406</v>
      </c>
      <c r="K12125" t="s">
        <v>42732</v>
      </c>
      <c r="M12125" t="s">
        <v>43178</v>
      </c>
      <c r="N12125" t="s">
        <v>47424</v>
      </c>
      <c r="O12125" t="s">
        <v>47425</v>
      </c>
      <c r="P12125">
        <v>0</v>
      </c>
      <c r="Q12125">
        <v>2</v>
      </c>
      <c r="R12125" t="s">
        <v>47439</v>
      </c>
      <c r="S12125" t="s">
        <v>47860</v>
      </c>
      <c r="T12125" t="s">
        <v>49059</v>
      </c>
      <c r="U12125" t="s">
        <v>59623</v>
      </c>
      <c r="W12125" t="s">
        <v>43178</v>
      </c>
      <c r="X12125" t="s">
        <v>47440</v>
      </c>
    </row>
    <row r="12126" spans="1:24">
      <c r="A12126">
        <f>HYPERLINK("https://www.philgeps.gov.ph/GEPSNONPILOT/Tender/SplashBidNoticeAbstractUI.aspx?menuIndex=3&amp;refID=7139668&amp;Result=3","7139668")</f>
        <v>0</v>
      </c>
      <c r="B12126" t="s">
        <v>1597</v>
      </c>
      <c r="C12126" t="s">
        <v>15312</v>
      </c>
      <c r="D12126" t="s">
        <v>19031</v>
      </c>
      <c r="E12126" t="s">
        <v>29479</v>
      </c>
      <c r="F12126" t="s">
        <v>32831</v>
      </c>
      <c r="G12126" t="s">
        <v>32838</v>
      </c>
      <c r="H12126" t="s">
        <v>32848</v>
      </c>
      <c r="I12126" t="s">
        <v>32864</v>
      </c>
      <c r="J12126" t="s">
        <v>33364</v>
      </c>
      <c r="K12126" t="s">
        <v>42731</v>
      </c>
      <c r="M12126" t="s">
        <v>44981</v>
      </c>
      <c r="N12126" t="s">
        <v>47424</v>
      </c>
      <c r="O12126" t="s">
        <v>47425</v>
      </c>
      <c r="P12126">
        <v>0</v>
      </c>
      <c r="Q12126">
        <v>2</v>
      </c>
      <c r="R12126" t="s">
        <v>47439</v>
      </c>
      <c r="S12126" t="s">
        <v>47860</v>
      </c>
      <c r="T12126" t="s">
        <v>49111</v>
      </c>
      <c r="U12126" t="s">
        <v>59618</v>
      </c>
      <c r="V12126" t="s">
        <v>63051</v>
      </c>
      <c r="W12126" t="s">
        <v>44981</v>
      </c>
      <c r="X12126" t="s">
        <v>47440</v>
      </c>
    </row>
    <row r="12127" spans="1:24">
      <c r="A12127">
        <f>HYPERLINK("https://www.philgeps.gov.ph/GEPSNONPILOT/Tender/SplashBidNoticeAbstractUI.aspx?menuIndex=3&amp;refID=7139752&amp;Result=3","7139752")</f>
        <v>0</v>
      </c>
      <c r="B12127" t="s">
        <v>3522</v>
      </c>
      <c r="C12127" t="s">
        <v>15313</v>
      </c>
      <c r="D12127" t="s">
        <v>19057</v>
      </c>
      <c r="E12127" t="s">
        <v>29480</v>
      </c>
      <c r="F12127" t="s">
        <v>32831</v>
      </c>
      <c r="G12127" t="s">
        <v>32839</v>
      </c>
      <c r="H12127" t="s">
        <v>32849</v>
      </c>
      <c r="I12127" t="s">
        <v>4177</v>
      </c>
      <c r="J12127" t="s">
        <v>35331</v>
      </c>
      <c r="K12127" t="s">
        <v>42915</v>
      </c>
      <c r="M12127" t="s">
        <v>46873</v>
      </c>
      <c r="N12127" t="s">
        <v>47424</v>
      </c>
      <c r="O12127" t="s">
        <v>47425</v>
      </c>
      <c r="P12127">
        <v>0</v>
      </c>
      <c r="Q12127">
        <v>9</v>
      </c>
      <c r="R12127" t="s">
        <v>47439</v>
      </c>
      <c r="S12127" t="s">
        <v>47860</v>
      </c>
      <c r="T12127" t="s">
        <v>49069</v>
      </c>
      <c r="U12127" t="s">
        <v>59624</v>
      </c>
      <c r="W12127" t="s">
        <v>46873</v>
      </c>
      <c r="X12127" t="s">
        <v>47440</v>
      </c>
    </row>
    <row r="12128" spans="1:24">
      <c r="A12128">
        <f>HYPERLINK("https://www.philgeps.gov.ph/GEPSNONPILOT/Tender/SplashBidNoticeAbstractUI.aspx?menuIndex=3&amp;refID=7139726&amp;Result=3","7139726")</f>
        <v>0</v>
      </c>
      <c r="B12128" t="s">
        <v>2435</v>
      </c>
      <c r="C12128" t="s">
        <v>15314</v>
      </c>
      <c r="D12128" t="s">
        <v>19083</v>
      </c>
      <c r="E12128" t="s">
        <v>29481</v>
      </c>
      <c r="F12128" t="s">
        <v>32831</v>
      </c>
      <c r="G12128" t="s">
        <v>32839</v>
      </c>
      <c r="H12128" t="s">
        <v>32849</v>
      </c>
      <c r="I12128" t="s">
        <v>4177</v>
      </c>
      <c r="J12128" t="s">
        <v>40407</v>
      </c>
      <c r="K12128" t="s">
        <v>42800</v>
      </c>
      <c r="M12128" t="s">
        <v>45632</v>
      </c>
      <c r="N12128" t="s">
        <v>47424</v>
      </c>
      <c r="O12128" t="s">
        <v>47425</v>
      </c>
      <c r="P12128">
        <v>0</v>
      </c>
      <c r="Q12128">
        <v>1</v>
      </c>
      <c r="R12128" t="s">
        <v>47439</v>
      </c>
      <c r="S12128" t="s">
        <v>47860</v>
      </c>
      <c r="T12128" t="s">
        <v>49059</v>
      </c>
      <c r="U12128" t="s">
        <v>59625</v>
      </c>
      <c r="W12128" t="s">
        <v>45632</v>
      </c>
      <c r="X12128" t="s">
        <v>47440</v>
      </c>
    </row>
    <row r="12129" spans="1:24">
      <c r="A12129">
        <f>HYPERLINK("https://www.philgeps.gov.ph/GEPSNONPILOT/Tender/SplashBidNoticeAbstractUI.aspx?menuIndex=3&amp;refID=7139762&amp;Result=3","7139762")</f>
        <v>0</v>
      </c>
      <c r="B12129" t="s">
        <v>3312</v>
      </c>
      <c r="C12129" t="s">
        <v>15315</v>
      </c>
      <c r="D12129" t="s">
        <v>19030</v>
      </c>
      <c r="E12129" t="s">
        <v>29482</v>
      </c>
      <c r="F12129" t="s">
        <v>32831</v>
      </c>
      <c r="G12129" t="s">
        <v>32839</v>
      </c>
      <c r="H12129" t="s">
        <v>32848</v>
      </c>
      <c r="I12129" t="s">
        <v>4558</v>
      </c>
      <c r="J12129" t="s">
        <v>40408</v>
      </c>
      <c r="K12129" t="s">
        <v>42731</v>
      </c>
      <c r="M12129" t="s">
        <v>46634</v>
      </c>
      <c r="N12129" t="s">
        <v>47424</v>
      </c>
      <c r="O12129" t="s">
        <v>47425</v>
      </c>
      <c r="P12129">
        <v>0</v>
      </c>
      <c r="Q12129">
        <v>13</v>
      </c>
      <c r="R12129" t="s">
        <v>47439</v>
      </c>
      <c r="S12129" t="s">
        <v>47860</v>
      </c>
      <c r="T12129" t="s">
        <v>49196</v>
      </c>
      <c r="U12129" t="s">
        <v>59626</v>
      </c>
      <c r="V12129" t="s">
        <v>63963</v>
      </c>
      <c r="W12129" t="s">
        <v>46634</v>
      </c>
      <c r="X12129" t="s">
        <v>47440</v>
      </c>
    </row>
    <row r="12130" spans="1:24">
      <c r="A12130">
        <f>HYPERLINK("https://www.philgeps.gov.ph/GEPSNONPILOT/Tender/SplashBidNoticeAbstractUI.aspx?menuIndex=3&amp;refID=7139795&amp;Result=3","7139795")</f>
        <v>0</v>
      </c>
      <c r="B12130" t="s">
        <v>1597</v>
      </c>
      <c r="C12130" t="s">
        <v>15316</v>
      </c>
      <c r="D12130" t="s">
        <v>19031</v>
      </c>
      <c r="E12130" t="s">
        <v>29483</v>
      </c>
      <c r="F12130" t="s">
        <v>32831</v>
      </c>
      <c r="G12130" t="s">
        <v>32838</v>
      </c>
      <c r="H12130" t="s">
        <v>32849</v>
      </c>
      <c r="I12130" t="s">
        <v>32919</v>
      </c>
      <c r="J12130" t="s">
        <v>40409</v>
      </c>
      <c r="K12130" t="s">
        <v>42743</v>
      </c>
      <c r="M12130" t="s">
        <v>44981</v>
      </c>
      <c r="N12130" t="s">
        <v>47424</v>
      </c>
      <c r="O12130" t="s">
        <v>47425</v>
      </c>
      <c r="P12130">
        <v>0</v>
      </c>
      <c r="Q12130">
        <v>0</v>
      </c>
      <c r="R12130" t="s">
        <v>47439</v>
      </c>
      <c r="S12130" t="s">
        <v>47860</v>
      </c>
      <c r="T12130" t="s">
        <v>49111</v>
      </c>
      <c r="U12130" t="s">
        <v>59627</v>
      </c>
      <c r="V12130" t="s">
        <v>63051</v>
      </c>
      <c r="W12130" t="s">
        <v>44981</v>
      </c>
      <c r="X12130" t="s">
        <v>47440</v>
      </c>
    </row>
    <row r="12131" spans="1:24">
      <c r="A12131">
        <f>HYPERLINK("https://www.philgeps.gov.ph/GEPSNONPILOT/Tender/SplashBidNoticeAbstractUI.aspx?menuIndex=3&amp;refID=7139706&amp;Result=3","7139706")</f>
        <v>0</v>
      </c>
      <c r="B12131" t="s">
        <v>167</v>
      </c>
      <c r="C12131" t="s">
        <v>15317</v>
      </c>
      <c r="D12131" t="s">
        <v>19069</v>
      </c>
      <c r="E12131" t="s">
        <v>29484</v>
      </c>
      <c r="F12131" t="s">
        <v>32831</v>
      </c>
      <c r="G12131" t="s">
        <v>32839</v>
      </c>
      <c r="H12131" t="s">
        <v>32848</v>
      </c>
      <c r="I12131" t="s">
        <v>4558</v>
      </c>
      <c r="J12131" t="s">
        <v>40410</v>
      </c>
      <c r="K12131" t="s">
        <v>42730</v>
      </c>
      <c r="M12131" t="s">
        <v>43164</v>
      </c>
      <c r="N12131" t="s">
        <v>47424</v>
      </c>
      <c r="O12131" t="s">
        <v>47425</v>
      </c>
      <c r="P12131">
        <v>0</v>
      </c>
      <c r="Q12131">
        <v>4</v>
      </c>
      <c r="R12131" t="s">
        <v>47439</v>
      </c>
      <c r="S12131" t="s">
        <v>47860</v>
      </c>
      <c r="T12131" t="s">
        <v>49080</v>
      </c>
      <c r="U12131" t="s">
        <v>59628</v>
      </c>
      <c r="W12131" t="s">
        <v>43164</v>
      </c>
      <c r="X12131" t="s">
        <v>47440</v>
      </c>
    </row>
    <row r="12132" spans="1:24">
      <c r="A12132">
        <f>HYPERLINK("https://www.philgeps.gov.ph/GEPSNONPILOT/Tender/SplashBidNoticeAbstractUI.aspx?menuIndex=3&amp;refID=7139709&amp;Result=3","7139709")</f>
        <v>0</v>
      </c>
      <c r="B12132" t="s">
        <v>180</v>
      </c>
      <c r="C12132" t="s">
        <v>15318</v>
      </c>
      <c r="D12132" t="s">
        <v>19021</v>
      </c>
      <c r="E12132" t="s">
        <v>29485</v>
      </c>
      <c r="F12132" t="s">
        <v>32831</v>
      </c>
      <c r="G12132" t="s">
        <v>32839</v>
      </c>
      <c r="H12132" t="s">
        <v>32849</v>
      </c>
      <c r="I12132" t="s">
        <v>4177</v>
      </c>
      <c r="J12132" t="s">
        <v>40411</v>
      </c>
      <c r="K12132" t="s">
        <v>42732</v>
      </c>
      <c r="M12132" t="s">
        <v>43178</v>
      </c>
      <c r="N12132" t="s">
        <v>47424</v>
      </c>
      <c r="O12132" t="s">
        <v>47425</v>
      </c>
      <c r="P12132">
        <v>0</v>
      </c>
      <c r="Q12132">
        <v>1</v>
      </c>
      <c r="R12132" t="s">
        <v>47439</v>
      </c>
      <c r="S12132" t="s">
        <v>47860</v>
      </c>
      <c r="T12132" t="s">
        <v>49059</v>
      </c>
      <c r="U12132" t="s">
        <v>59623</v>
      </c>
      <c r="W12132" t="s">
        <v>43178</v>
      </c>
      <c r="X12132" t="s">
        <v>47440</v>
      </c>
    </row>
    <row r="12133" spans="1:24">
      <c r="A12133">
        <f>HYPERLINK("https://www.philgeps.gov.ph/GEPSNONPILOT/Tender/SplashBidNoticeAbstractUI.aspx?menuIndex=3&amp;refID=7139721&amp;Result=3","7139721")</f>
        <v>0</v>
      </c>
      <c r="B12133" t="s">
        <v>1151</v>
      </c>
      <c r="C12133" t="s">
        <v>15319</v>
      </c>
      <c r="D12133" t="s">
        <v>19091</v>
      </c>
      <c r="E12133" t="s">
        <v>29486</v>
      </c>
      <c r="F12133" t="s">
        <v>32831</v>
      </c>
      <c r="G12133" t="s">
        <v>32839</v>
      </c>
      <c r="H12133" t="s">
        <v>32848</v>
      </c>
      <c r="I12133" t="s">
        <v>4177</v>
      </c>
      <c r="J12133" t="s">
        <v>40412</v>
      </c>
      <c r="K12133" t="s">
        <v>42760</v>
      </c>
      <c r="M12133" t="s">
        <v>44215</v>
      </c>
      <c r="N12133" t="s">
        <v>47424</v>
      </c>
      <c r="O12133" t="s">
        <v>47425</v>
      </c>
      <c r="P12133">
        <v>0</v>
      </c>
      <c r="Q12133">
        <v>0</v>
      </c>
      <c r="R12133" t="s">
        <v>47439</v>
      </c>
      <c r="S12133" t="s">
        <v>47860</v>
      </c>
      <c r="T12133" t="s">
        <v>49302</v>
      </c>
      <c r="U12133" t="s">
        <v>59629</v>
      </c>
      <c r="W12133" t="s">
        <v>44215</v>
      </c>
      <c r="X12133" t="s">
        <v>47440</v>
      </c>
    </row>
    <row r="12134" spans="1:24">
      <c r="A12134">
        <f>HYPERLINK("https://www.philgeps.gov.ph/GEPSNONPILOT/Tender/SplashBidNoticeAbstractUI.aspx?menuIndex=3&amp;refID=7139386&amp;Result=3","7139386")</f>
        <v>0</v>
      </c>
      <c r="B12134" t="s">
        <v>3504</v>
      </c>
      <c r="C12134" t="s">
        <v>15320</v>
      </c>
      <c r="D12134" t="s">
        <v>19074</v>
      </c>
      <c r="E12134" t="s">
        <v>27808</v>
      </c>
      <c r="F12134" t="s">
        <v>32831</v>
      </c>
      <c r="G12134" t="s">
        <v>32839</v>
      </c>
      <c r="H12134" t="s">
        <v>32849</v>
      </c>
      <c r="I12134" t="s">
        <v>4177</v>
      </c>
      <c r="J12134" t="s">
        <v>40413</v>
      </c>
      <c r="K12134" t="s">
        <v>42728</v>
      </c>
      <c r="M12134" t="s">
        <v>46853</v>
      </c>
      <c r="N12134" t="s">
        <v>47424</v>
      </c>
      <c r="O12134" t="s">
        <v>47425</v>
      </c>
      <c r="P12134">
        <v>0</v>
      </c>
      <c r="Q12134">
        <v>0</v>
      </c>
      <c r="R12134" t="s">
        <v>47439</v>
      </c>
      <c r="S12134" t="s">
        <v>47860</v>
      </c>
      <c r="T12134" t="s">
        <v>49059</v>
      </c>
      <c r="U12134" t="s">
        <v>59630</v>
      </c>
      <c r="V12134" t="s">
        <v>62754</v>
      </c>
      <c r="W12134" t="s">
        <v>46853</v>
      </c>
      <c r="X12134" t="s">
        <v>47440</v>
      </c>
    </row>
    <row r="12135" spans="1:24">
      <c r="A12135">
        <f>HYPERLINK("https://www.philgeps.gov.ph/GEPSNONPILOT/Tender/SplashBidNoticeAbstractUI.aspx?menuIndex=3&amp;refID=7139693&amp;Result=3","7139693")</f>
        <v>0</v>
      </c>
      <c r="B12135" t="s">
        <v>3301</v>
      </c>
      <c r="C12135" t="s">
        <v>15321</v>
      </c>
      <c r="D12135" t="s">
        <v>19041</v>
      </c>
      <c r="E12135" t="s">
        <v>29487</v>
      </c>
      <c r="F12135" t="s">
        <v>32831</v>
      </c>
      <c r="G12135" t="s">
        <v>32839</v>
      </c>
      <c r="H12135" t="s">
        <v>32848</v>
      </c>
      <c r="I12135" t="s">
        <v>7751</v>
      </c>
      <c r="J12135" t="s">
        <v>38975</v>
      </c>
      <c r="K12135" t="s">
        <v>42732</v>
      </c>
      <c r="M12135" t="s">
        <v>46622</v>
      </c>
      <c r="N12135" t="s">
        <v>47424</v>
      </c>
      <c r="O12135" t="s">
        <v>47425</v>
      </c>
      <c r="P12135">
        <v>0</v>
      </c>
      <c r="Q12135">
        <v>2</v>
      </c>
      <c r="R12135" t="s">
        <v>47439</v>
      </c>
      <c r="S12135" t="s">
        <v>47860</v>
      </c>
      <c r="T12135" t="s">
        <v>49108</v>
      </c>
      <c r="U12135" t="s">
        <v>59631</v>
      </c>
      <c r="V12135" t="s">
        <v>63964</v>
      </c>
      <c r="W12135" t="s">
        <v>46622</v>
      </c>
      <c r="X12135" t="s">
        <v>47440</v>
      </c>
    </row>
    <row r="12136" spans="1:24">
      <c r="A12136">
        <f>HYPERLINK("https://www.philgeps.gov.ph/GEPSNONPILOT/Tender/SplashBidNoticeAbstractUI.aspx?menuIndex=3&amp;refID=7139692&amp;Result=3","7139692")</f>
        <v>0</v>
      </c>
      <c r="B12136" t="s">
        <v>927</v>
      </c>
      <c r="C12136" t="s">
        <v>15322</v>
      </c>
      <c r="D12136" t="s">
        <v>19031</v>
      </c>
      <c r="E12136" t="s">
        <v>29488</v>
      </c>
      <c r="F12136" t="s">
        <v>32831</v>
      </c>
      <c r="G12136" t="s">
        <v>32839</v>
      </c>
      <c r="H12136" t="s">
        <v>32848</v>
      </c>
      <c r="I12136" t="s">
        <v>32860</v>
      </c>
      <c r="J12136" t="s">
        <v>40414</v>
      </c>
      <c r="K12136" t="s">
        <v>42729</v>
      </c>
      <c r="M12136" t="s">
        <v>43968</v>
      </c>
      <c r="N12136" t="s">
        <v>47424</v>
      </c>
      <c r="O12136" t="s">
        <v>47425</v>
      </c>
      <c r="P12136">
        <v>0</v>
      </c>
      <c r="Q12136">
        <v>6</v>
      </c>
      <c r="R12136" t="s">
        <v>47439</v>
      </c>
      <c r="S12136" t="s">
        <v>47860</v>
      </c>
      <c r="T12136" t="s">
        <v>49579</v>
      </c>
      <c r="U12136" t="s">
        <v>59632</v>
      </c>
      <c r="W12136" t="s">
        <v>43968</v>
      </c>
      <c r="X12136" t="s">
        <v>47440</v>
      </c>
    </row>
    <row r="12137" spans="1:24">
      <c r="A12137">
        <f>HYPERLINK("https://www.philgeps.gov.ph/GEPSNONPILOT/Tender/SplashBidNoticeAbstractUI.aspx?menuIndex=3&amp;refID=7139677&amp;Result=3","7139677")</f>
        <v>0</v>
      </c>
      <c r="B12137" t="s">
        <v>3523</v>
      </c>
      <c r="C12137" t="s">
        <v>15323</v>
      </c>
      <c r="D12137" t="s">
        <v>19083</v>
      </c>
      <c r="E12137" t="s">
        <v>29489</v>
      </c>
      <c r="F12137" t="s">
        <v>32831</v>
      </c>
      <c r="G12137" t="s">
        <v>32839</v>
      </c>
      <c r="H12137" t="s">
        <v>32848</v>
      </c>
      <c r="I12137" t="s">
        <v>7751</v>
      </c>
      <c r="J12137" t="s">
        <v>33692</v>
      </c>
      <c r="K12137" t="s">
        <v>42731</v>
      </c>
      <c r="M12137" t="s">
        <v>46874</v>
      </c>
      <c r="N12137" t="s">
        <v>47424</v>
      </c>
      <c r="O12137" t="s">
        <v>47425</v>
      </c>
      <c r="P12137">
        <v>0</v>
      </c>
      <c r="Q12137">
        <v>1</v>
      </c>
      <c r="R12137" t="s">
        <v>47439</v>
      </c>
      <c r="S12137" t="s">
        <v>47860</v>
      </c>
      <c r="T12137" t="s">
        <v>49059</v>
      </c>
      <c r="U12137" t="s">
        <v>59633</v>
      </c>
      <c r="W12137" t="s">
        <v>46874</v>
      </c>
      <c r="X12137" t="s">
        <v>47440</v>
      </c>
    </row>
    <row r="12138" spans="1:24">
      <c r="A12138">
        <f>HYPERLINK("https://www.philgeps.gov.ph/GEPSNONPILOT/Tender/SplashBidNoticeAbstractUI.aspx?menuIndex=3&amp;refID=7139611&amp;Result=3","7139611")</f>
        <v>0</v>
      </c>
      <c r="B12138" t="s">
        <v>1179</v>
      </c>
      <c r="C12138" t="s">
        <v>15324</v>
      </c>
      <c r="D12138" t="s">
        <v>19081</v>
      </c>
      <c r="E12138" t="s">
        <v>29490</v>
      </c>
      <c r="F12138" t="s">
        <v>32831</v>
      </c>
      <c r="G12138" t="s">
        <v>32839</v>
      </c>
      <c r="H12138" t="s">
        <v>32849</v>
      </c>
      <c r="I12138" t="s">
        <v>4177</v>
      </c>
      <c r="J12138" t="s">
        <v>33257</v>
      </c>
      <c r="K12138" t="s">
        <v>42729</v>
      </c>
      <c r="M12138" t="s">
        <v>44245</v>
      </c>
      <c r="N12138" t="s">
        <v>47424</v>
      </c>
      <c r="O12138" t="s">
        <v>47425</v>
      </c>
      <c r="P12138">
        <v>0</v>
      </c>
      <c r="Q12138">
        <v>3</v>
      </c>
      <c r="R12138" t="s">
        <v>47439</v>
      </c>
      <c r="S12138" t="s">
        <v>47860</v>
      </c>
      <c r="T12138" t="s">
        <v>49070</v>
      </c>
      <c r="U12138" t="s">
        <v>59634</v>
      </c>
      <c r="W12138" t="s">
        <v>44245</v>
      </c>
      <c r="X12138" t="s">
        <v>47440</v>
      </c>
    </row>
    <row r="12139" spans="1:24">
      <c r="A12139">
        <f>HYPERLINK("https://www.philgeps.gov.ph/GEPSNONPILOT/Tender/SplashBidNoticeAbstractUI.aspx?menuIndex=3&amp;refID=7139722&amp;Result=3","7139722")</f>
        <v>0</v>
      </c>
      <c r="B12139" t="s">
        <v>3524</v>
      </c>
      <c r="C12139" t="s">
        <v>15325</v>
      </c>
      <c r="D12139" t="s">
        <v>19027</v>
      </c>
      <c r="E12139" t="s">
        <v>29491</v>
      </c>
      <c r="F12139" t="s">
        <v>32831</v>
      </c>
      <c r="G12139" t="s">
        <v>32839</v>
      </c>
      <c r="H12139" t="s">
        <v>32848</v>
      </c>
      <c r="I12139" t="s">
        <v>32907</v>
      </c>
      <c r="J12139" t="s">
        <v>33775</v>
      </c>
      <c r="K12139" t="s">
        <v>42759</v>
      </c>
      <c r="M12139" t="s">
        <v>46875</v>
      </c>
      <c r="N12139" t="s">
        <v>47424</v>
      </c>
      <c r="O12139" t="s">
        <v>47425</v>
      </c>
      <c r="P12139">
        <v>0</v>
      </c>
      <c r="Q12139">
        <v>0</v>
      </c>
      <c r="R12139" t="s">
        <v>47439</v>
      </c>
      <c r="S12139" t="s">
        <v>47860</v>
      </c>
      <c r="T12139" t="s">
        <v>49109</v>
      </c>
      <c r="U12139" t="s">
        <v>59635</v>
      </c>
      <c r="W12139" t="s">
        <v>46875</v>
      </c>
      <c r="X12139" t="s">
        <v>47440</v>
      </c>
    </row>
    <row r="12140" spans="1:24">
      <c r="A12140">
        <f>HYPERLINK("https://www.philgeps.gov.ph/GEPSNONPILOT/Tender/SplashBidNoticeAbstractUI.aspx?menuIndex=3&amp;refID=7139609&amp;Result=3","7139609")</f>
        <v>0</v>
      </c>
      <c r="B12140" t="s">
        <v>3063</v>
      </c>
      <c r="C12140" t="s">
        <v>15326</v>
      </c>
      <c r="D12140" t="s">
        <v>19062</v>
      </c>
      <c r="E12140" t="s">
        <v>29492</v>
      </c>
      <c r="F12140" t="s">
        <v>32833</v>
      </c>
      <c r="G12140" t="s">
        <v>32839</v>
      </c>
      <c r="H12140" t="s">
        <v>32848</v>
      </c>
      <c r="I12140" t="s">
        <v>32965</v>
      </c>
      <c r="J12140" t="s">
        <v>32978</v>
      </c>
      <c r="K12140" t="s">
        <v>42731</v>
      </c>
      <c r="M12140" t="s">
        <v>46338</v>
      </c>
      <c r="N12140" t="s">
        <v>47424</v>
      </c>
      <c r="O12140" t="s">
        <v>47425</v>
      </c>
      <c r="P12140">
        <v>0</v>
      </c>
      <c r="Q12140">
        <v>3</v>
      </c>
      <c r="R12140" t="s">
        <v>47439</v>
      </c>
      <c r="S12140" t="s">
        <v>47860</v>
      </c>
      <c r="T12140" t="s">
        <v>49069</v>
      </c>
      <c r="U12140" t="s">
        <v>59636</v>
      </c>
      <c r="W12140" t="s">
        <v>46338</v>
      </c>
      <c r="X12140" t="s">
        <v>47440</v>
      </c>
    </row>
    <row r="12141" spans="1:24">
      <c r="A12141">
        <f>HYPERLINK("https://www.philgeps.gov.ph/GEPSNONPILOT/Tender/SplashBidNoticeAbstractUI.aspx?menuIndex=3&amp;refID=7139696&amp;Result=3","7139696")</f>
        <v>0</v>
      </c>
      <c r="B12141" t="s">
        <v>3525</v>
      </c>
      <c r="C12141" t="s">
        <v>15327</v>
      </c>
      <c r="D12141" t="s">
        <v>19077</v>
      </c>
      <c r="E12141" t="s">
        <v>29493</v>
      </c>
      <c r="F12141" t="s">
        <v>32831</v>
      </c>
      <c r="G12141" t="s">
        <v>32839</v>
      </c>
      <c r="H12141" t="s">
        <v>32848</v>
      </c>
      <c r="I12141" t="s">
        <v>4487</v>
      </c>
      <c r="J12141" t="s">
        <v>40415</v>
      </c>
      <c r="K12141" t="s">
        <v>42747</v>
      </c>
      <c r="M12141" t="s">
        <v>46876</v>
      </c>
      <c r="N12141" t="s">
        <v>47424</v>
      </c>
      <c r="O12141" t="s">
        <v>47425</v>
      </c>
      <c r="Q12141">
        <v>15</v>
      </c>
      <c r="R12141" t="s">
        <v>47439</v>
      </c>
      <c r="S12141" t="s">
        <v>47888</v>
      </c>
      <c r="T12141" t="s">
        <v>49059</v>
      </c>
      <c r="U12141" t="s">
        <v>59637</v>
      </c>
      <c r="W12141" t="s">
        <v>46876</v>
      </c>
      <c r="X12141" t="s">
        <v>47440</v>
      </c>
    </row>
    <row r="12142" spans="1:24">
      <c r="A12142">
        <f>HYPERLINK("https://www.philgeps.gov.ph/GEPSNONPILOT/Tender/SplashBidNoticeAbstractUI.aspx?menuIndex=3&amp;refID=7139685&amp;Result=3","7139685")</f>
        <v>0</v>
      </c>
      <c r="B12142" t="s">
        <v>1597</v>
      </c>
      <c r="C12142" t="s">
        <v>15328</v>
      </c>
      <c r="D12142" t="s">
        <v>19031</v>
      </c>
      <c r="E12142" t="s">
        <v>29494</v>
      </c>
      <c r="F12142" t="s">
        <v>32831</v>
      </c>
      <c r="G12142" t="s">
        <v>32838</v>
      </c>
      <c r="H12142" t="s">
        <v>32848</v>
      </c>
      <c r="I12142" t="s">
        <v>8781</v>
      </c>
      <c r="J12142" t="s">
        <v>40416</v>
      </c>
      <c r="K12142" t="s">
        <v>42731</v>
      </c>
      <c r="M12142" t="s">
        <v>44981</v>
      </c>
      <c r="N12142" t="s">
        <v>47424</v>
      </c>
      <c r="O12142" t="s">
        <v>47425</v>
      </c>
      <c r="P12142">
        <v>0</v>
      </c>
      <c r="Q12142">
        <v>0</v>
      </c>
      <c r="R12142" t="s">
        <v>47439</v>
      </c>
      <c r="S12142" t="s">
        <v>47860</v>
      </c>
      <c r="T12142" t="s">
        <v>49111</v>
      </c>
      <c r="U12142" t="s">
        <v>59618</v>
      </c>
      <c r="V12142" t="s">
        <v>63051</v>
      </c>
      <c r="W12142" t="s">
        <v>44981</v>
      </c>
      <c r="X12142" t="s">
        <v>47440</v>
      </c>
    </row>
    <row r="12143" spans="1:24">
      <c r="A12143">
        <f>HYPERLINK("https://www.philgeps.gov.ph/GEPSNONPILOT/Tender/SplashBidNoticeAbstractUI.aspx?menuIndex=3&amp;refID=7139954&amp;Result=3","7139954")</f>
        <v>0</v>
      </c>
      <c r="B12143" t="s">
        <v>3526</v>
      </c>
      <c r="C12143" t="s">
        <v>15329</v>
      </c>
      <c r="D12143" t="s">
        <v>19095</v>
      </c>
      <c r="E12143" t="s">
        <v>29495</v>
      </c>
      <c r="F12143" t="s">
        <v>32831</v>
      </c>
      <c r="G12143" t="s">
        <v>32839</v>
      </c>
      <c r="H12143" t="s">
        <v>32848</v>
      </c>
      <c r="I12143" t="s">
        <v>32870</v>
      </c>
      <c r="J12143" t="s">
        <v>36892</v>
      </c>
      <c r="K12143" t="s">
        <v>42726</v>
      </c>
      <c r="M12143" t="s">
        <v>46877</v>
      </c>
      <c r="N12143" t="s">
        <v>47424</v>
      </c>
      <c r="O12143" t="s">
        <v>47425</v>
      </c>
      <c r="P12143">
        <v>0</v>
      </c>
      <c r="Q12143">
        <v>0</v>
      </c>
      <c r="R12143" t="s">
        <v>47439</v>
      </c>
      <c r="S12143" t="s">
        <v>47860</v>
      </c>
      <c r="T12143" t="s">
        <v>49239</v>
      </c>
      <c r="U12143" t="s">
        <v>59638</v>
      </c>
      <c r="V12143" t="s">
        <v>63965</v>
      </c>
      <c r="W12143" t="s">
        <v>46877</v>
      </c>
      <c r="X12143" t="s">
        <v>47440</v>
      </c>
    </row>
    <row r="12144" spans="1:24">
      <c r="A12144">
        <f>HYPERLINK("https://www.philgeps.gov.ph/GEPSNONPILOT/Tender/SplashBidNoticeAbstractUI.aspx?menuIndex=3&amp;refID=7139935&amp;Result=3","7139935")</f>
        <v>0</v>
      </c>
      <c r="B12144" t="s">
        <v>3526</v>
      </c>
      <c r="C12144" t="s">
        <v>15330</v>
      </c>
      <c r="D12144" t="s">
        <v>19095</v>
      </c>
      <c r="E12144" t="s">
        <v>29496</v>
      </c>
      <c r="F12144" t="s">
        <v>32831</v>
      </c>
      <c r="G12144" t="s">
        <v>32839</v>
      </c>
      <c r="H12144" t="s">
        <v>32848</v>
      </c>
      <c r="I12144" t="s">
        <v>32870</v>
      </c>
      <c r="J12144" t="s">
        <v>33140</v>
      </c>
      <c r="K12144" t="s">
        <v>42726</v>
      </c>
      <c r="M12144" t="s">
        <v>46877</v>
      </c>
      <c r="N12144" t="s">
        <v>47424</v>
      </c>
      <c r="O12144" t="s">
        <v>47425</v>
      </c>
      <c r="P12144">
        <v>0</v>
      </c>
      <c r="Q12144">
        <v>0</v>
      </c>
      <c r="R12144" t="s">
        <v>47439</v>
      </c>
      <c r="S12144" t="s">
        <v>47860</v>
      </c>
      <c r="T12144" t="s">
        <v>49239</v>
      </c>
      <c r="U12144" t="s">
        <v>59638</v>
      </c>
      <c r="V12144" t="s">
        <v>63966</v>
      </c>
      <c r="W12144" t="s">
        <v>46877</v>
      </c>
      <c r="X12144" t="s">
        <v>47440</v>
      </c>
    </row>
    <row r="12145" spans="1:24">
      <c r="A12145">
        <f>HYPERLINK("https://www.philgeps.gov.ph/GEPSNONPILOT/Tender/SplashBidNoticeAbstractUI.aspx?menuIndex=3&amp;refID=7139921&amp;Result=3","7139921")</f>
        <v>0</v>
      </c>
      <c r="B12145" t="s">
        <v>3527</v>
      </c>
      <c r="C12145" t="s">
        <v>15331</v>
      </c>
      <c r="D12145" t="s">
        <v>19091</v>
      </c>
      <c r="E12145" t="s">
        <v>29497</v>
      </c>
      <c r="F12145" t="s">
        <v>32831</v>
      </c>
      <c r="G12145" t="s">
        <v>32839</v>
      </c>
      <c r="H12145" t="s">
        <v>32848</v>
      </c>
      <c r="I12145" t="s">
        <v>32870</v>
      </c>
      <c r="J12145" t="s">
        <v>40417</v>
      </c>
      <c r="K12145" t="s">
        <v>42763</v>
      </c>
      <c r="M12145" t="s">
        <v>46878</v>
      </c>
      <c r="N12145" t="s">
        <v>47424</v>
      </c>
      <c r="O12145" t="s">
        <v>47425</v>
      </c>
      <c r="P12145">
        <v>0</v>
      </c>
      <c r="Q12145">
        <v>1</v>
      </c>
      <c r="R12145" t="s">
        <v>47439</v>
      </c>
      <c r="S12145" t="s">
        <v>47860</v>
      </c>
      <c r="T12145" t="s">
        <v>49080</v>
      </c>
      <c r="U12145" t="s">
        <v>59639</v>
      </c>
      <c r="W12145" t="s">
        <v>46878</v>
      </c>
      <c r="X12145" t="s">
        <v>47440</v>
      </c>
    </row>
    <row r="12146" spans="1:24">
      <c r="A12146">
        <f>HYPERLINK("https://www.philgeps.gov.ph/GEPSNONPILOT/Tender/SplashBidNoticeAbstractUI.aspx?menuIndex=3&amp;refID=7139956&amp;Result=3","7139956")</f>
        <v>0</v>
      </c>
      <c r="B12146" t="s">
        <v>58</v>
      </c>
      <c r="C12146" t="s">
        <v>15332</v>
      </c>
      <c r="D12146" t="s">
        <v>19041</v>
      </c>
      <c r="E12146" t="s">
        <v>22722</v>
      </c>
      <c r="F12146" t="s">
        <v>32831</v>
      </c>
      <c r="G12146" t="s">
        <v>32839</v>
      </c>
      <c r="H12146" t="s">
        <v>32849</v>
      </c>
      <c r="I12146" t="s">
        <v>4177</v>
      </c>
      <c r="J12146" t="s">
        <v>40418</v>
      </c>
      <c r="K12146" t="s">
        <v>42769</v>
      </c>
      <c r="M12146" t="s">
        <v>43055</v>
      </c>
      <c r="N12146" t="s">
        <v>47424</v>
      </c>
      <c r="O12146" t="s">
        <v>47425</v>
      </c>
      <c r="P12146">
        <v>0</v>
      </c>
      <c r="Q12146">
        <v>0</v>
      </c>
      <c r="R12146" t="s">
        <v>47439</v>
      </c>
      <c r="S12146" t="s">
        <v>47860</v>
      </c>
      <c r="T12146" t="s">
        <v>49068</v>
      </c>
      <c r="U12146" t="s">
        <v>59640</v>
      </c>
      <c r="W12146" t="s">
        <v>43055</v>
      </c>
      <c r="X12146" t="s">
        <v>47440</v>
      </c>
    </row>
    <row r="12147" spans="1:24">
      <c r="A12147">
        <f>HYPERLINK("https://www.philgeps.gov.ph/GEPSNONPILOT/Tender/SplashBidNoticeAbstractUI.aspx?menuIndex=3&amp;refID=7139918&amp;Result=3","7139918")</f>
        <v>0</v>
      </c>
      <c r="B12147" t="s">
        <v>3528</v>
      </c>
      <c r="C12147" t="s">
        <v>15333</v>
      </c>
      <c r="D12147" t="s">
        <v>19038</v>
      </c>
      <c r="E12147" t="s">
        <v>19144</v>
      </c>
      <c r="F12147" t="s">
        <v>32831</v>
      </c>
      <c r="G12147" t="s">
        <v>32839</v>
      </c>
      <c r="H12147" t="s">
        <v>32848</v>
      </c>
      <c r="I12147" t="s">
        <v>7416</v>
      </c>
      <c r="J12147" t="s">
        <v>40419</v>
      </c>
      <c r="K12147" t="s">
        <v>42727</v>
      </c>
      <c r="M12147" t="s">
        <v>46879</v>
      </c>
      <c r="N12147" t="s">
        <v>47424</v>
      </c>
      <c r="O12147" t="s">
        <v>47425</v>
      </c>
      <c r="P12147">
        <v>0</v>
      </c>
      <c r="Q12147">
        <v>1</v>
      </c>
      <c r="R12147" t="s">
        <v>47439</v>
      </c>
      <c r="S12147" t="s">
        <v>47860</v>
      </c>
      <c r="T12147" t="s">
        <v>49105</v>
      </c>
      <c r="U12147" t="s">
        <v>50361</v>
      </c>
      <c r="W12147" t="s">
        <v>46879</v>
      </c>
      <c r="X12147" t="s">
        <v>47440</v>
      </c>
    </row>
    <row r="12148" spans="1:24">
      <c r="A12148">
        <f>HYPERLINK("https://www.philgeps.gov.ph/GEPSNONPILOT/Tender/SplashBidNoticeAbstractUI.aspx?menuIndex=3&amp;refID=7139889&amp;Result=3","7139889")</f>
        <v>0</v>
      </c>
      <c r="B12148" t="s">
        <v>3335</v>
      </c>
      <c r="C12148" t="s">
        <v>15334</v>
      </c>
      <c r="D12148" t="s">
        <v>19038</v>
      </c>
      <c r="E12148" t="s">
        <v>27918</v>
      </c>
      <c r="F12148" t="s">
        <v>32831</v>
      </c>
      <c r="G12148" t="s">
        <v>32838</v>
      </c>
      <c r="H12148" t="s">
        <v>32848</v>
      </c>
      <c r="I12148" t="s">
        <v>7416</v>
      </c>
      <c r="J12148" t="s">
        <v>40420</v>
      </c>
      <c r="K12148" t="s">
        <v>42726</v>
      </c>
      <c r="M12148" t="s">
        <v>46658</v>
      </c>
      <c r="N12148" t="s">
        <v>47424</v>
      </c>
      <c r="O12148" t="s">
        <v>47425</v>
      </c>
      <c r="P12148">
        <v>0</v>
      </c>
      <c r="Q12148">
        <v>2</v>
      </c>
      <c r="R12148" t="s">
        <v>47439</v>
      </c>
      <c r="S12148" t="s">
        <v>47860</v>
      </c>
      <c r="T12148" t="s">
        <v>49131</v>
      </c>
      <c r="U12148" t="s">
        <v>59641</v>
      </c>
      <c r="W12148" t="s">
        <v>46658</v>
      </c>
      <c r="X12148" t="s">
        <v>47440</v>
      </c>
    </row>
    <row r="12149" spans="1:24">
      <c r="A12149">
        <f>HYPERLINK("https://www.philgeps.gov.ph/GEPSNONPILOT/Tender/SplashBidNoticeAbstractUI.aspx?menuIndex=3&amp;refID=7139883&amp;Result=3","7139883")</f>
        <v>0</v>
      </c>
      <c r="B12149" t="s">
        <v>1418</v>
      </c>
      <c r="C12149" t="s">
        <v>15335</v>
      </c>
      <c r="D12149" t="s">
        <v>19034</v>
      </c>
      <c r="E12149" t="s">
        <v>29498</v>
      </c>
      <c r="F12149" t="s">
        <v>32831</v>
      </c>
      <c r="G12149" t="s">
        <v>32839</v>
      </c>
      <c r="H12149" t="s">
        <v>32848</v>
      </c>
      <c r="I12149" t="s">
        <v>32872</v>
      </c>
      <c r="J12149" t="s">
        <v>40421</v>
      </c>
      <c r="K12149" t="s">
        <v>42729</v>
      </c>
      <c r="M12149" t="s">
        <v>44506</v>
      </c>
      <c r="N12149" t="s">
        <v>47424</v>
      </c>
      <c r="O12149" t="s">
        <v>47425</v>
      </c>
      <c r="P12149">
        <v>0</v>
      </c>
      <c r="Q12149">
        <v>0</v>
      </c>
      <c r="R12149" t="s">
        <v>47439</v>
      </c>
      <c r="S12149" t="s">
        <v>47860</v>
      </c>
      <c r="T12149" t="s">
        <v>49142</v>
      </c>
      <c r="U12149" t="s">
        <v>59642</v>
      </c>
      <c r="W12149" t="s">
        <v>44506</v>
      </c>
      <c r="X12149" t="s">
        <v>47440</v>
      </c>
    </row>
    <row r="12150" spans="1:24">
      <c r="A12150">
        <f>HYPERLINK("https://www.philgeps.gov.ph/GEPSNONPILOT/Tender/SplashBidNoticeAbstractUI.aspx?menuIndex=3&amp;refID=7139725&amp;Result=3","7139725")</f>
        <v>0</v>
      </c>
      <c r="B12150" t="s">
        <v>1597</v>
      </c>
      <c r="C12150" t="s">
        <v>15336</v>
      </c>
      <c r="D12150" t="s">
        <v>19031</v>
      </c>
      <c r="E12150" t="s">
        <v>29499</v>
      </c>
      <c r="F12150" t="s">
        <v>32831</v>
      </c>
      <c r="G12150" t="s">
        <v>32838</v>
      </c>
      <c r="H12150" t="s">
        <v>32849</v>
      </c>
      <c r="I12150" t="s">
        <v>4177</v>
      </c>
      <c r="J12150" t="s">
        <v>40422</v>
      </c>
      <c r="K12150" t="s">
        <v>42730</v>
      </c>
      <c r="M12150" t="s">
        <v>44981</v>
      </c>
      <c r="N12150" t="s">
        <v>47424</v>
      </c>
      <c r="O12150" t="s">
        <v>47425</v>
      </c>
      <c r="P12150">
        <v>0</v>
      </c>
      <c r="Q12150">
        <v>2</v>
      </c>
      <c r="R12150" t="s">
        <v>47439</v>
      </c>
      <c r="S12150" t="s">
        <v>47860</v>
      </c>
      <c r="T12150" t="s">
        <v>49111</v>
      </c>
      <c r="U12150" t="s">
        <v>59643</v>
      </c>
      <c r="V12150" t="s">
        <v>63051</v>
      </c>
      <c r="W12150" t="s">
        <v>44981</v>
      </c>
      <c r="X12150" t="s">
        <v>47440</v>
      </c>
    </row>
    <row r="12151" spans="1:24">
      <c r="A12151">
        <f>HYPERLINK("https://www.philgeps.gov.ph/GEPSNONPILOT/Tender/SplashBidNoticeAbstractUI.aspx?menuIndex=3&amp;refID=7139675&amp;Result=3","7139675")</f>
        <v>0</v>
      </c>
      <c r="B12151" t="s">
        <v>1864</v>
      </c>
      <c r="C12151" t="s">
        <v>4067</v>
      </c>
      <c r="D12151" t="s">
        <v>19045</v>
      </c>
      <c r="E12151" t="s">
        <v>29500</v>
      </c>
      <c r="F12151" t="s">
        <v>32831</v>
      </c>
      <c r="G12151" t="s">
        <v>32839</v>
      </c>
      <c r="H12151" t="s">
        <v>32848</v>
      </c>
      <c r="I12151" t="s">
        <v>9577</v>
      </c>
      <c r="J12151" t="s">
        <v>33133</v>
      </c>
      <c r="K12151" t="s">
        <v>42731</v>
      </c>
      <c r="M12151" t="s">
        <v>45006</v>
      </c>
      <c r="N12151" t="s">
        <v>47424</v>
      </c>
      <c r="O12151" t="s">
        <v>47425</v>
      </c>
      <c r="Q12151">
        <v>2</v>
      </c>
      <c r="R12151" t="s">
        <v>47439</v>
      </c>
      <c r="S12151" t="s">
        <v>47889</v>
      </c>
      <c r="T12151" t="s">
        <v>49059</v>
      </c>
      <c r="U12151" t="s">
        <v>59644</v>
      </c>
      <c r="W12151" t="s">
        <v>45006</v>
      </c>
      <c r="X12151" t="s">
        <v>47440</v>
      </c>
    </row>
    <row r="12152" spans="1:24">
      <c r="A12152">
        <f>HYPERLINK("https://www.philgeps.gov.ph/GEPSNONPILOT/Tender/SplashBidNoticeAbstractUI.aspx?menuIndex=3&amp;refID=7139847&amp;Result=3","7139847")</f>
        <v>0</v>
      </c>
      <c r="B12152" t="s">
        <v>3529</v>
      </c>
      <c r="C12152" t="s">
        <v>15337</v>
      </c>
      <c r="D12152" t="s">
        <v>19089</v>
      </c>
      <c r="E12152" t="s">
        <v>29501</v>
      </c>
      <c r="F12152" t="s">
        <v>32831</v>
      </c>
      <c r="G12152" t="s">
        <v>32839</v>
      </c>
      <c r="H12152" t="s">
        <v>32848</v>
      </c>
      <c r="I12152" t="s">
        <v>4303</v>
      </c>
      <c r="J12152" t="s">
        <v>40423</v>
      </c>
      <c r="K12152" t="s">
        <v>42732</v>
      </c>
      <c r="M12152" t="s">
        <v>46880</v>
      </c>
      <c r="N12152" t="s">
        <v>47424</v>
      </c>
      <c r="O12152" t="s">
        <v>47425</v>
      </c>
      <c r="P12152">
        <v>0</v>
      </c>
      <c r="Q12152">
        <v>0</v>
      </c>
      <c r="R12152" t="s">
        <v>47439</v>
      </c>
      <c r="S12152" t="s">
        <v>47860</v>
      </c>
      <c r="T12152" t="s">
        <v>49080</v>
      </c>
      <c r="U12152" t="s">
        <v>59645</v>
      </c>
      <c r="W12152" t="s">
        <v>46880</v>
      </c>
      <c r="X12152" t="s">
        <v>47440</v>
      </c>
    </row>
    <row r="12153" spans="1:24">
      <c r="A12153">
        <f>HYPERLINK("https://www.philgeps.gov.ph/GEPSNONPILOT/Tender/SplashBidNoticeAbstractUI.aspx?menuIndex=3&amp;refID=7139833&amp;Result=3","7139833")</f>
        <v>0</v>
      </c>
      <c r="B12153" t="s">
        <v>1704</v>
      </c>
      <c r="C12153" t="s">
        <v>15338</v>
      </c>
      <c r="D12153" t="s">
        <v>19084</v>
      </c>
      <c r="E12153" t="s">
        <v>29502</v>
      </c>
      <c r="F12153" t="s">
        <v>32831</v>
      </c>
      <c r="G12153" t="s">
        <v>32839</v>
      </c>
      <c r="H12153" t="s">
        <v>32849</v>
      </c>
      <c r="I12153" t="s">
        <v>4177</v>
      </c>
      <c r="J12153" t="s">
        <v>40424</v>
      </c>
      <c r="K12153" t="s">
        <v>42773</v>
      </c>
      <c r="M12153" t="s">
        <v>44826</v>
      </c>
      <c r="N12153" t="s">
        <v>47424</v>
      </c>
      <c r="O12153" t="s">
        <v>47425</v>
      </c>
      <c r="P12153">
        <v>0</v>
      </c>
      <c r="Q12153">
        <v>1</v>
      </c>
      <c r="R12153" t="s">
        <v>47439</v>
      </c>
      <c r="S12153" t="s">
        <v>47860</v>
      </c>
      <c r="T12153" t="s">
        <v>49612</v>
      </c>
      <c r="U12153" t="s">
        <v>59646</v>
      </c>
      <c r="V12153" t="s">
        <v>63739</v>
      </c>
      <c r="W12153" t="s">
        <v>44826</v>
      </c>
      <c r="X12153" t="s">
        <v>47440</v>
      </c>
    </row>
    <row r="12154" spans="1:24">
      <c r="A12154">
        <f>HYPERLINK("https://www.philgeps.gov.ph/GEPSNONPILOT/Tender/SplashBidNoticeAbstractUI.aspx?menuIndex=3&amp;refID=7139827&amp;Result=3","7139827")</f>
        <v>0</v>
      </c>
      <c r="B12154" t="s">
        <v>3191</v>
      </c>
      <c r="C12154" t="s">
        <v>15339</v>
      </c>
      <c r="D12154" t="s">
        <v>19049</v>
      </c>
      <c r="E12154" t="s">
        <v>28041</v>
      </c>
      <c r="F12154" t="s">
        <v>32833</v>
      </c>
      <c r="G12154" t="s">
        <v>32839</v>
      </c>
      <c r="H12154" t="s">
        <v>32848</v>
      </c>
      <c r="I12154" t="s">
        <v>32868</v>
      </c>
      <c r="J12154" t="s">
        <v>40425</v>
      </c>
      <c r="K12154" t="s">
        <v>42732</v>
      </c>
      <c r="M12154" t="s">
        <v>46501</v>
      </c>
      <c r="N12154" t="s">
        <v>47424</v>
      </c>
      <c r="O12154" t="s">
        <v>47425</v>
      </c>
      <c r="Q12154">
        <v>12</v>
      </c>
      <c r="R12154" t="s">
        <v>47439</v>
      </c>
      <c r="S12154" t="s">
        <v>47890</v>
      </c>
      <c r="T12154" t="s">
        <v>49091</v>
      </c>
      <c r="U12154" t="s">
        <v>59647</v>
      </c>
      <c r="W12154" t="s">
        <v>46501</v>
      </c>
      <c r="X12154" t="s">
        <v>47440</v>
      </c>
    </row>
    <row r="12155" spans="1:24">
      <c r="A12155">
        <f>HYPERLINK("https://www.philgeps.gov.ph/GEPSNONPILOT/Tender/SplashBidNoticeAbstractUI.aspx?menuIndex=3&amp;refID=7139825&amp;Result=3","7139825")</f>
        <v>0</v>
      </c>
      <c r="B12155" t="s">
        <v>3530</v>
      </c>
      <c r="C12155" t="s">
        <v>15340</v>
      </c>
      <c r="D12155" t="s">
        <v>19101</v>
      </c>
      <c r="E12155" t="s">
        <v>29503</v>
      </c>
      <c r="F12155" t="s">
        <v>32831</v>
      </c>
      <c r="G12155" t="s">
        <v>32839</v>
      </c>
      <c r="H12155" t="s">
        <v>32848</v>
      </c>
      <c r="I12155" t="s">
        <v>4487</v>
      </c>
      <c r="J12155" t="s">
        <v>33241</v>
      </c>
      <c r="K12155" t="s">
        <v>42731</v>
      </c>
      <c r="M12155" t="s">
        <v>46881</v>
      </c>
      <c r="N12155" t="s">
        <v>47424</v>
      </c>
      <c r="O12155" t="s">
        <v>47425</v>
      </c>
      <c r="P12155">
        <v>0</v>
      </c>
      <c r="Q12155">
        <v>4</v>
      </c>
      <c r="R12155" t="s">
        <v>47439</v>
      </c>
      <c r="S12155" t="s">
        <v>47860</v>
      </c>
      <c r="T12155" t="s">
        <v>49092</v>
      </c>
      <c r="U12155" t="s">
        <v>59648</v>
      </c>
      <c r="V12155" t="s">
        <v>63967</v>
      </c>
      <c r="W12155" t="s">
        <v>46881</v>
      </c>
      <c r="X12155" t="s">
        <v>47440</v>
      </c>
    </row>
    <row r="12156" spans="1:24">
      <c r="A12156">
        <f>HYPERLINK("https://www.philgeps.gov.ph/GEPSNONPILOT/Tender/SplashBidNoticeAbstractUI.aspx?menuIndex=3&amp;refID=7139818&amp;Result=3","7139818")</f>
        <v>0</v>
      </c>
      <c r="B12156" t="s">
        <v>3528</v>
      </c>
      <c r="C12156" t="s">
        <v>15341</v>
      </c>
      <c r="D12156" t="s">
        <v>19038</v>
      </c>
      <c r="E12156" t="s">
        <v>19219</v>
      </c>
      <c r="F12156" t="s">
        <v>32831</v>
      </c>
      <c r="G12156" t="s">
        <v>32839</v>
      </c>
      <c r="H12156" t="s">
        <v>32848</v>
      </c>
      <c r="I12156" t="s">
        <v>32855</v>
      </c>
      <c r="J12156" t="s">
        <v>40426</v>
      </c>
      <c r="K12156" t="s">
        <v>42727</v>
      </c>
      <c r="M12156" t="s">
        <v>46879</v>
      </c>
      <c r="N12156" t="s">
        <v>47424</v>
      </c>
      <c r="O12156" t="s">
        <v>47425</v>
      </c>
      <c r="P12156">
        <v>0</v>
      </c>
      <c r="Q12156">
        <v>1</v>
      </c>
      <c r="R12156" t="s">
        <v>47439</v>
      </c>
      <c r="S12156" t="s">
        <v>47860</v>
      </c>
      <c r="T12156" t="s">
        <v>49105</v>
      </c>
      <c r="U12156" t="s">
        <v>59649</v>
      </c>
      <c r="W12156" t="s">
        <v>46879</v>
      </c>
      <c r="X12156" t="s">
        <v>47440</v>
      </c>
    </row>
    <row r="12157" spans="1:24">
      <c r="A12157">
        <f>HYPERLINK("https://www.philgeps.gov.ph/GEPSNONPILOT/Tender/SplashBidNoticeAbstractUI.aspx?menuIndex=3&amp;refID=7139612&amp;Result=3","7139612")</f>
        <v>0</v>
      </c>
      <c r="B12157" t="s">
        <v>1151</v>
      </c>
      <c r="C12157" t="s">
        <v>15342</v>
      </c>
      <c r="D12157" t="s">
        <v>19091</v>
      </c>
      <c r="E12157" t="s">
        <v>29504</v>
      </c>
      <c r="F12157" t="s">
        <v>32831</v>
      </c>
      <c r="G12157" t="s">
        <v>32839</v>
      </c>
      <c r="H12157" t="s">
        <v>32849</v>
      </c>
      <c r="I12157" t="s">
        <v>4177</v>
      </c>
      <c r="J12157" t="s">
        <v>40427</v>
      </c>
      <c r="K12157" t="s">
        <v>42790</v>
      </c>
      <c r="M12157" t="s">
        <v>44215</v>
      </c>
      <c r="N12157" t="s">
        <v>47424</v>
      </c>
      <c r="O12157" t="s">
        <v>47425</v>
      </c>
      <c r="P12157">
        <v>0</v>
      </c>
      <c r="Q12157">
        <v>0</v>
      </c>
      <c r="R12157" t="s">
        <v>47439</v>
      </c>
      <c r="S12157" t="s">
        <v>47860</v>
      </c>
      <c r="T12157" t="s">
        <v>49109</v>
      </c>
      <c r="U12157" t="s">
        <v>59650</v>
      </c>
      <c r="W12157" t="s">
        <v>44215</v>
      </c>
      <c r="X12157" t="s">
        <v>47440</v>
      </c>
    </row>
    <row r="12158" spans="1:24">
      <c r="A12158">
        <f>HYPERLINK("https://www.philgeps.gov.ph/GEPSNONPILOT/Tender/SplashBidNoticeAbstractUI.aspx?menuIndex=3&amp;refID=7139879&amp;Result=3","7139879")</f>
        <v>0</v>
      </c>
      <c r="B12158" t="s">
        <v>1925</v>
      </c>
      <c r="C12158" t="s">
        <v>15343</v>
      </c>
      <c r="D12158" t="s">
        <v>19088</v>
      </c>
      <c r="E12158" t="s">
        <v>29505</v>
      </c>
      <c r="F12158" t="s">
        <v>32831</v>
      </c>
      <c r="G12158" t="s">
        <v>32839</v>
      </c>
      <c r="H12158" t="s">
        <v>32848</v>
      </c>
      <c r="I12158" t="s">
        <v>7751</v>
      </c>
      <c r="J12158" t="s">
        <v>33257</v>
      </c>
      <c r="K12158" t="s">
        <v>42730</v>
      </c>
      <c r="M12158" t="s">
        <v>45078</v>
      </c>
      <c r="N12158" t="s">
        <v>47424</v>
      </c>
      <c r="O12158" t="s">
        <v>47425</v>
      </c>
      <c r="P12158">
        <v>0</v>
      </c>
      <c r="Q12158">
        <v>6</v>
      </c>
      <c r="R12158" t="s">
        <v>47439</v>
      </c>
      <c r="S12158" t="s">
        <v>47860</v>
      </c>
      <c r="T12158" t="s">
        <v>49059</v>
      </c>
      <c r="U12158" t="s">
        <v>53942</v>
      </c>
      <c r="W12158" t="s">
        <v>45078</v>
      </c>
      <c r="X12158" t="s">
        <v>47440</v>
      </c>
    </row>
    <row r="12159" spans="1:24">
      <c r="A12159">
        <f>HYPERLINK("https://www.philgeps.gov.ph/GEPSNONPILOT/Tender/SplashBidNoticeAbstractUI.aspx?menuIndex=3&amp;refID=7139812&amp;Result=3","7139812")</f>
        <v>0</v>
      </c>
      <c r="B12159" t="s">
        <v>3301</v>
      </c>
      <c r="C12159" t="s">
        <v>15344</v>
      </c>
      <c r="D12159" t="s">
        <v>19041</v>
      </c>
      <c r="E12159" t="s">
        <v>29506</v>
      </c>
      <c r="F12159" t="s">
        <v>32831</v>
      </c>
      <c r="G12159" t="s">
        <v>32839</v>
      </c>
      <c r="H12159" t="s">
        <v>32848</v>
      </c>
      <c r="I12159" t="s">
        <v>4471</v>
      </c>
      <c r="J12159" t="s">
        <v>33430</v>
      </c>
      <c r="K12159" t="s">
        <v>42732</v>
      </c>
      <c r="M12159" t="s">
        <v>46622</v>
      </c>
      <c r="N12159" t="s">
        <v>47424</v>
      </c>
      <c r="O12159" t="s">
        <v>47425</v>
      </c>
      <c r="P12159">
        <v>0</v>
      </c>
      <c r="Q12159">
        <v>0</v>
      </c>
      <c r="R12159" t="s">
        <v>47439</v>
      </c>
      <c r="S12159" t="s">
        <v>47860</v>
      </c>
      <c r="T12159" t="s">
        <v>49108</v>
      </c>
      <c r="U12159" t="s">
        <v>59651</v>
      </c>
      <c r="V12159" t="s">
        <v>63968</v>
      </c>
      <c r="W12159" t="s">
        <v>46622</v>
      </c>
      <c r="X12159" t="s">
        <v>47440</v>
      </c>
    </row>
    <row r="12160" spans="1:24">
      <c r="A12160">
        <f>HYPERLINK("https://www.philgeps.gov.ph/GEPSNONPILOT/Tender/SplashBidNoticeAbstractUI.aspx?menuIndex=3&amp;refID=7139802&amp;Result=3","7139802")</f>
        <v>0</v>
      </c>
      <c r="B12160" t="s">
        <v>3063</v>
      </c>
      <c r="C12160" t="s">
        <v>15345</v>
      </c>
      <c r="D12160" t="s">
        <v>19062</v>
      </c>
      <c r="E12160" t="s">
        <v>29507</v>
      </c>
      <c r="F12160" t="s">
        <v>32833</v>
      </c>
      <c r="G12160" t="s">
        <v>32839</v>
      </c>
      <c r="H12160" t="s">
        <v>32848</v>
      </c>
      <c r="I12160" t="s">
        <v>7416</v>
      </c>
      <c r="J12160" t="s">
        <v>40428</v>
      </c>
      <c r="K12160" t="s">
        <v>42731</v>
      </c>
      <c r="M12160" t="s">
        <v>46338</v>
      </c>
      <c r="N12160" t="s">
        <v>47424</v>
      </c>
      <c r="O12160" t="s">
        <v>47425</v>
      </c>
      <c r="P12160">
        <v>0</v>
      </c>
      <c r="Q12160">
        <v>1</v>
      </c>
      <c r="R12160" t="s">
        <v>47439</v>
      </c>
      <c r="S12160" t="s">
        <v>47860</v>
      </c>
      <c r="T12160" t="s">
        <v>49063</v>
      </c>
      <c r="U12160" t="s">
        <v>59652</v>
      </c>
      <c r="W12160" t="s">
        <v>46338</v>
      </c>
      <c r="X12160" t="s">
        <v>47440</v>
      </c>
    </row>
    <row r="12161" spans="1:24">
      <c r="A12161">
        <f>HYPERLINK("https://www.philgeps.gov.ph/GEPSNONPILOT/Tender/SplashBidNoticeAbstractUI.aspx?menuIndex=3&amp;refID=7139811&amp;Result=3","7139811")</f>
        <v>0</v>
      </c>
      <c r="B12161" t="s">
        <v>815</v>
      </c>
      <c r="C12161" t="s">
        <v>12121</v>
      </c>
      <c r="D12161" t="s">
        <v>19033</v>
      </c>
      <c r="E12161" t="s">
        <v>29508</v>
      </c>
      <c r="F12161" t="s">
        <v>32831</v>
      </c>
      <c r="G12161" t="s">
        <v>32839</v>
      </c>
      <c r="H12161" t="s">
        <v>32848</v>
      </c>
      <c r="I12161" t="s">
        <v>32902</v>
      </c>
      <c r="J12161" t="s">
        <v>40429</v>
      </c>
      <c r="K12161" t="s">
        <v>42730</v>
      </c>
      <c r="M12161" t="s">
        <v>43846</v>
      </c>
      <c r="N12161" t="s">
        <v>47424</v>
      </c>
      <c r="O12161" t="s">
        <v>47425</v>
      </c>
      <c r="P12161">
        <v>0</v>
      </c>
      <c r="Q12161">
        <v>14</v>
      </c>
      <c r="R12161" t="s">
        <v>47439</v>
      </c>
      <c r="S12161" t="s">
        <v>47860</v>
      </c>
      <c r="T12161" t="s">
        <v>49069</v>
      </c>
      <c r="U12161" t="s">
        <v>59653</v>
      </c>
      <c r="W12161" t="s">
        <v>43846</v>
      </c>
      <c r="X12161" t="s">
        <v>47440</v>
      </c>
    </row>
    <row r="12162" spans="1:24">
      <c r="A12162">
        <f>HYPERLINK("https://www.philgeps.gov.ph/GEPSNONPILOT/Tender/SplashBidNoticeAbstractUI.aspx?menuIndex=3&amp;refID=7140107&amp;Result=3","7140107")</f>
        <v>0</v>
      </c>
      <c r="B12162" t="s">
        <v>231</v>
      </c>
      <c r="C12162" t="s">
        <v>15346</v>
      </c>
      <c r="D12162" t="s">
        <v>19039</v>
      </c>
      <c r="E12162" t="s">
        <v>29509</v>
      </c>
      <c r="F12162" t="s">
        <v>32831</v>
      </c>
      <c r="G12162" t="s">
        <v>32839</v>
      </c>
      <c r="H12162" t="s">
        <v>32848</v>
      </c>
      <c r="I12162" t="s">
        <v>9577</v>
      </c>
      <c r="J12162" t="s">
        <v>40430</v>
      </c>
      <c r="K12162" t="s">
        <v>42730</v>
      </c>
      <c r="M12162" t="s">
        <v>43230</v>
      </c>
      <c r="N12162" t="s">
        <v>47424</v>
      </c>
      <c r="O12162" t="s">
        <v>47425</v>
      </c>
      <c r="P12162">
        <v>0</v>
      </c>
      <c r="Q12162">
        <v>0</v>
      </c>
      <c r="R12162" t="s">
        <v>47439</v>
      </c>
      <c r="S12162" t="s">
        <v>47860</v>
      </c>
      <c r="T12162" t="s">
        <v>49080</v>
      </c>
      <c r="U12162" t="s">
        <v>59654</v>
      </c>
      <c r="W12162" t="s">
        <v>43230</v>
      </c>
      <c r="X12162" t="s">
        <v>47440</v>
      </c>
    </row>
    <row r="12163" spans="1:24">
      <c r="A12163">
        <f>HYPERLINK("https://www.philgeps.gov.ph/GEPSNONPILOT/Tender/SplashBidNoticeAbstractUI.aspx?menuIndex=3&amp;refID=7139841&amp;Result=3","7139841")</f>
        <v>0</v>
      </c>
      <c r="B12163" t="s">
        <v>3173</v>
      </c>
      <c r="C12163" t="s">
        <v>15347</v>
      </c>
      <c r="D12163" t="s">
        <v>19068</v>
      </c>
      <c r="E12163" t="s">
        <v>29510</v>
      </c>
      <c r="F12163" t="s">
        <v>32831</v>
      </c>
      <c r="G12163" t="s">
        <v>32839</v>
      </c>
      <c r="H12163" t="s">
        <v>32849</v>
      </c>
      <c r="I12163" t="s">
        <v>4177</v>
      </c>
      <c r="J12163" t="s">
        <v>40431</v>
      </c>
      <c r="K12163" t="s">
        <v>42757</v>
      </c>
      <c r="M12163" t="s">
        <v>46480</v>
      </c>
      <c r="N12163" t="s">
        <v>47424</v>
      </c>
      <c r="O12163" t="s">
        <v>47425</v>
      </c>
      <c r="P12163">
        <v>0</v>
      </c>
      <c r="Q12163">
        <v>0</v>
      </c>
      <c r="R12163" t="s">
        <v>47439</v>
      </c>
      <c r="S12163" t="s">
        <v>47860</v>
      </c>
      <c r="T12163" t="s">
        <v>49059</v>
      </c>
      <c r="U12163" t="s">
        <v>59655</v>
      </c>
      <c r="V12163" t="s">
        <v>63969</v>
      </c>
      <c r="W12163" t="s">
        <v>46480</v>
      </c>
      <c r="X12163" t="s">
        <v>47440</v>
      </c>
    </row>
    <row r="12164" spans="1:24">
      <c r="A12164">
        <f>HYPERLINK("https://www.philgeps.gov.ph/GEPSNONPILOT/Tender/SplashBidNoticeAbstractUI.aspx?menuIndex=3&amp;refID=7139909&amp;Result=3","7139909")</f>
        <v>0</v>
      </c>
      <c r="B12164" t="s">
        <v>3108</v>
      </c>
      <c r="C12164" t="s">
        <v>15348</v>
      </c>
      <c r="D12164" t="s">
        <v>19060</v>
      </c>
      <c r="E12164" t="s">
        <v>29511</v>
      </c>
      <c r="F12164" t="s">
        <v>32833</v>
      </c>
      <c r="G12164" t="s">
        <v>32839</v>
      </c>
      <c r="H12164" t="s">
        <v>32848</v>
      </c>
      <c r="I12164" t="s">
        <v>32935</v>
      </c>
      <c r="J12164" t="s">
        <v>38546</v>
      </c>
      <c r="K12164" t="s">
        <v>42730</v>
      </c>
      <c r="M12164" t="s">
        <v>46395</v>
      </c>
      <c r="N12164" t="s">
        <v>47424</v>
      </c>
      <c r="O12164" t="s">
        <v>47425</v>
      </c>
      <c r="Q12164">
        <v>1</v>
      </c>
      <c r="R12164" t="s">
        <v>47439</v>
      </c>
      <c r="S12164" t="s">
        <v>47891</v>
      </c>
      <c r="T12164" t="s">
        <v>49120</v>
      </c>
      <c r="U12164" t="s">
        <v>59656</v>
      </c>
      <c r="W12164" t="s">
        <v>46395</v>
      </c>
      <c r="X12164" t="s">
        <v>47440</v>
      </c>
    </row>
    <row r="12165" spans="1:24">
      <c r="A12165">
        <f>HYPERLINK("https://www.philgeps.gov.ph/GEPSNONPILOT/Tender/SplashBidNoticeAbstractUI.aspx?menuIndex=3&amp;refID=7139824&amp;Result=3","7139824")</f>
        <v>0</v>
      </c>
      <c r="B12165" t="s">
        <v>3529</v>
      </c>
      <c r="C12165" t="s">
        <v>15349</v>
      </c>
      <c r="D12165" t="s">
        <v>19089</v>
      </c>
      <c r="E12165" t="s">
        <v>29512</v>
      </c>
      <c r="F12165" t="s">
        <v>32831</v>
      </c>
      <c r="G12165" t="s">
        <v>32839</v>
      </c>
      <c r="H12165" t="s">
        <v>32848</v>
      </c>
      <c r="I12165" t="s">
        <v>4303</v>
      </c>
      <c r="J12165" t="s">
        <v>40432</v>
      </c>
      <c r="K12165" t="s">
        <v>42732</v>
      </c>
      <c r="M12165" t="s">
        <v>46880</v>
      </c>
      <c r="N12165" t="s">
        <v>47424</v>
      </c>
      <c r="O12165" t="s">
        <v>47425</v>
      </c>
      <c r="P12165">
        <v>0</v>
      </c>
      <c r="Q12165">
        <v>0</v>
      </c>
      <c r="R12165" t="s">
        <v>47439</v>
      </c>
      <c r="S12165" t="s">
        <v>47860</v>
      </c>
      <c r="T12165" t="s">
        <v>49080</v>
      </c>
      <c r="U12165" t="s">
        <v>59657</v>
      </c>
      <c r="W12165" t="s">
        <v>46880</v>
      </c>
      <c r="X12165" t="s">
        <v>47440</v>
      </c>
    </row>
    <row r="12166" spans="1:24">
      <c r="A12166">
        <f>HYPERLINK("https://www.philgeps.gov.ph/GEPSNONPILOT/Tender/SplashBidNoticeAbstractUI.aspx?menuIndex=3&amp;refID=7140105&amp;Result=3","7140105")</f>
        <v>0</v>
      </c>
      <c r="B12166" t="s">
        <v>3531</v>
      </c>
      <c r="C12166" t="s">
        <v>15350</v>
      </c>
      <c r="D12166" t="s">
        <v>19074</v>
      </c>
      <c r="E12166" t="s">
        <v>19984</v>
      </c>
      <c r="F12166" t="s">
        <v>32831</v>
      </c>
      <c r="G12166" t="s">
        <v>32839</v>
      </c>
      <c r="H12166" t="s">
        <v>32849</v>
      </c>
      <c r="I12166" t="s">
        <v>4177</v>
      </c>
      <c r="J12166" t="s">
        <v>40433</v>
      </c>
      <c r="K12166" t="s">
        <v>42770</v>
      </c>
      <c r="M12166" t="s">
        <v>46882</v>
      </c>
      <c r="N12166" t="s">
        <v>47424</v>
      </c>
      <c r="O12166" t="s">
        <v>47425</v>
      </c>
      <c r="P12166">
        <v>0</v>
      </c>
      <c r="Q12166">
        <v>0</v>
      </c>
      <c r="R12166" t="s">
        <v>47439</v>
      </c>
      <c r="S12166" t="s">
        <v>47860</v>
      </c>
      <c r="T12166" t="s">
        <v>49073</v>
      </c>
      <c r="U12166" t="s">
        <v>59658</v>
      </c>
      <c r="W12166" t="s">
        <v>46882</v>
      </c>
      <c r="X12166" t="s">
        <v>47440</v>
      </c>
    </row>
    <row r="12167" spans="1:24">
      <c r="A12167">
        <f>HYPERLINK("https://www.philgeps.gov.ph/GEPSNONPILOT/Tender/SplashBidNoticeAbstractUI.aspx?menuIndex=3&amp;refID=7140109&amp;Result=3","7140109")</f>
        <v>0</v>
      </c>
      <c r="B12167" t="s">
        <v>3532</v>
      </c>
      <c r="C12167" t="s">
        <v>10643</v>
      </c>
      <c r="D12167" t="s">
        <v>19027</v>
      </c>
      <c r="E12167" t="s">
        <v>24464</v>
      </c>
      <c r="F12167" t="s">
        <v>32831</v>
      </c>
      <c r="G12167" t="s">
        <v>32839</v>
      </c>
      <c r="H12167" t="s">
        <v>32848</v>
      </c>
      <c r="I12167" t="s">
        <v>10643</v>
      </c>
      <c r="J12167" t="s">
        <v>40434</v>
      </c>
      <c r="K12167" t="s">
        <v>42759</v>
      </c>
      <c r="M12167" t="s">
        <v>46883</v>
      </c>
      <c r="N12167" t="s">
        <v>47424</v>
      </c>
      <c r="O12167" t="s">
        <v>47425</v>
      </c>
      <c r="P12167">
        <v>0</v>
      </c>
      <c r="Q12167">
        <v>4</v>
      </c>
      <c r="R12167" t="s">
        <v>47439</v>
      </c>
      <c r="S12167" t="s">
        <v>47860</v>
      </c>
      <c r="T12167" t="s">
        <v>49109</v>
      </c>
      <c r="U12167" t="s">
        <v>59659</v>
      </c>
      <c r="W12167" t="s">
        <v>46883</v>
      </c>
      <c r="X12167" t="s">
        <v>47440</v>
      </c>
    </row>
    <row r="12168" spans="1:24">
      <c r="A12168">
        <f>HYPERLINK("https://www.philgeps.gov.ph/GEPSNONPILOT/Tender/SplashBidNoticeAbstractUI.aspx?menuIndex=3&amp;refID=7140099&amp;Result=3","7140099")</f>
        <v>0</v>
      </c>
      <c r="B12168" t="s">
        <v>67</v>
      </c>
      <c r="C12168" t="s">
        <v>15351</v>
      </c>
      <c r="D12168" t="s">
        <v>19079</v>
      </c>
      <c r="E12168" t="s">
        <v>29513</v>
      </c>
      <c r="F12168" t="s">
        <v>32831</v>
      </c>
      <c r="G12168" t="s">
        <v>32839</v>
      </c>
      <c r="H12168" t="s">
        <v>32848</v>
      </c>
      <c r="I12168" t="s">
        <v>4471</v>
      </c>
      <c r="J12168" t="s">
        <v>33445</v>
      </c>
      <c r="K12168" t="s">
        <v>42729</v>
      </c>
      <c r="M12168" t="s">
        <v>43749</v>
      </c>
      <c r="N12168" t="s">
        <v>47424</v>
      </c>
      <c r="O12168" t="s">
        <v>47425</v>
      </c>
      <c r="P12168">
        <v>0</v>
      </c>
      <c r="Q12168">
        <v>4</v>
      </c>
      <c r="R12168" t="s">
        <v>47439</v>
      </c>
      <c r="S12168" t="s">
        <v>47860</v>
      </c>
      <c r="T12168" t="s">
        <v>49415</v>
      </c>
      <c r="U12168" t="s">
        <v>51013</v>
      </c>
      <c r="W12168" t="s">
        <v>64446</v>
      </c>
      <c r="X12168" t="s">
        <v>47440</v>
      </c>
    </row>
    <row r="12169" spans="1:24">
      <c r="A12169">
        <f>HYPERLINK("https://www.philgeps.gov.ph/GEPSNONPILOT/Tender/SplashBidNoticeAbstractUI.aspx?menuIndex=3&amp;refID=7140096&amp;Result=3","7140096")</f>
        <v>0</v>
      </c>
      <c r="B12169" t="s">
        <v>2405</v>
      </c>
      <c r="C12169" t="s">
        <v>15352</v>
      </c>
      <c r="D12169" t="s">
        <v>19039</v>
      </c>
      <c r="E12169" t="s">
        <v>29514</v>
      </c>
      <c r="F12169" t="s">
        <v>32831</v>
      </c>
      <c r="G12169" t="s">
        <v>32839</v>
      </c>
      <c r="H12169" t="s">
        <v>32849</v>
      </c>
      <c r="I12169" t="s">
        <v>32852</v>
      </c>
      <c r="J12169" t="s">
        <v>40435</v>
      </c>
      <c r="K12169" t="s">
        <v>42731</v>
      </c>
      <c r="M12169" t="s">
        <v>45599</v>
      </c>
      <c r="N12169" t="s">
        <v>47424</v>
      </c>
      <c r="O12169" t="s">
        <v>47425</v>
      </c>
      <c r="P12169">
        <v>0</v>
      </c>
      <c r="Q12169">
        <v>1</v>
      </c>
      <c r="R12169" t="s">
        <v>47439</v>
      </c>
      <c r="S12169" t="s">
        <v>47860</v>
      </c>
      <c r="T12169" t="s">
        <v>49105</v>
      </c>
      <c r="U12169" t="s">
        <v>59660</v>
      </c>
      <c r="W12169" t="s">
        <v>45599</v>
      </c>
      <c r="X12169" t="s">
        <v>47440</v>
      </c>
    </row>
    <row r="12170" spans="1:24">
      <c r="A12170">
        <f>HYPERLINK("https://www.philgeps.gov.ph/GEPSNONPILOT/Tender/SplashBidNoticeAbstractUI.aspx?menuIndex=3&amp;refID=7140037&amp;Result=3","7140037")</f>
        <v>0</v>
      </c>
      <c r="B12170" t="s">
        <v>3063</v>
      </c>
      <c r="C12170" t="s">
        <v>15353</v>
      </c>
      <c r="D12170" t="s">
        <v>19062</v>
      </c>
      <c r="E12170" t="s">
        <v>29515</v>
      </c>
      <c r="F12170" t="s">
        <v>32833</v>
      </c>
      <c r="G12170" t="s">
        <v>32839</v>
      </c>
      <c r="H12170" t="s">
        <v>32849</v>
      </c>
      <c r="I12170" t="s">
        <v>4177</v>
      </c>
      <c r="J12170" t="s">
        <v>40436</v>
      </c>
      <c r="K12170" t="s">
        <v>42830</v>
      </c>
      <c r="M12170" t="s">
        <v>46338</v>
      </c>
      <c r="N12170" t="s">
        <v>47424</v>
      </c>
      <c r="O12170" t="s">
        <v>47425</v>
      </c>
      <c r="P12170">
        <v>0</v>
      </c>
      <c r="Q12170">
        <v>1</v>
      </c>
      <c r="R12170" t="s">
        <v>47439</v>
      </c>
      <c r="S12170" t="s">
        <v>47860</v>
      </c>
      <c r="T12170" t="s">
        <v>49063</v>
      </c>
      <c r="U12170" t="s">
        <v>59661</v>
      </c>
      <c r="W12170" t="s">
        <v>46338</v>
      </c>
      <c r="X12170" t="s">
        <v>47440</v>
      </c>
    </row>
    <row r="12171" spans="1:24">
      <c r="A12171">
        <f>HYPERLINK("https://www.philgeps.gov.ph/GEPSNONPILOT/Tender/SplashBidNoticeAbstractUI.aspx?menuIndex=3&amp;refID=7140077&amp;Result=3","7140077")</f>
        <v>0</v>
      </c>
      <c r="B12171" t="s">
        <v>2232</v>
      </c>
      <c r="C12171" t="s">
        <v>15354</v>
      </c>
      <c r="D12171" t="s">
        <v>19062</v>
      </c>
      <c r="E12171" t="s">
        <v>29516</v>
      </c>
      <c r="F12171" t="s">
        <v>32831</v>
      </c>
      <c r="G12171" t="s">
        <v>32839</v>
      </c>
      <c r="H12171" t="s">
        <v>32849</v>
      </c>
      <c r="I12171" t="s">
        <v>4177</v>
      </c>
      <c r="J12171" t="s">
        <v>40239</v>
      </c>
      <c r="K12171" t="s">
        <v>42822</v>
      </c>
      <c r="M12171" t="s">
        <v>45413</v>
      </c>
      <c r="N12171" t="s">
        <v>47424</v>
      </c>
      <c r="O12171" t="s">
        <v>47425</v>
      </c>
      <c r="P12171">
        <v>0</v>
      </c>
      <c r="Q12171">
        <v>1</v>
      </c>
      <c r="R12171" t="s">
        <v>47439</v>
      </c>
      <c r="S12171" t="s">
        <v>47860</v>
      </c>
      <c r="T12171" t="s">
        <v>49073</v>
      </c>
      <c r="U12171" t="s">
        <v>59662</v>
      </c>
      <c r="W12171" t="s">
        <v>45413</v>
      </c>
      <c r="X12171" t="s">
        <v>47440</v>
      </c>
    </row>
    <row r="12172" spans="1:24">
      <c r="A12172">
        <f>HYPERLINK("https://www.philgeps.gov.ph/GEPSNONPILOT/Tender/SplashBidNoticeAbstractUI.aspx?menuIndex=3&amp;refID=7140022&amp;Result=3","7140022")</f>
        <v>0</v>
      </c>
      <c r="B12172" t="s">
        <v>815</v>
      </c>
      <c r="C12172" t="s">
        <v>15355</v>
      </c>
      <c r="D12172" t="s">
        <v>19033</v>
      </c>
      <c r="E12172" t="s">
        <v>29517</v>
      </c>
      <c r="F12172" t="s">
        <v>32831</v>
      </c>
      <c r="G12172" t="s">
        <v>32839</v>
      </c>
      <c r="H12172" t="s">
        <v>32848</v>
      </c>
      <c r="I12172" t="s">
        <v>7751</v>
      </c>
      <c r="J12172" t="s">
        <v>34860</v>
      </c>
      <c r="K12172" t="s">
        <v>42729</v>
      </c>
      <c r="M12172" t="s">
        <v>43846</v>
      </c>
      <c r="N12172" t="s">
        <v>47424</v>
      </c>
      <c r="O12172" t="s">
        <v>47425</v>
      </c>
      <c r="P12172">
        <v>0</v>
      </c>
      <c r="Q12172">
        <v>10</v>
      </c>
      <c r="R12172" t="s">
        <v>47439</v>
      </c>
      <c r="S12172" t="s">
        <v>47860</v>
      </c>
      <c r="T12172" t="s">
        <v>49080</v>
      </c>
      <c r="U12172" t="s">
        <v>59663</v>
      </c>
      <c r="W12172" t="s">
        <v>43846</v>
      </c>
      <c r="X12172" t="s">
        <v>47440</v>
      </c>
    </row>
    <row r="12173" spans="1:24">
      <c r="A12173">
        <f>HYPERLINK("https://www.philgeps.gov.ph/GEPSNONPILOT/Tender/SplashBidNoticeAbstractUI.aspx?menuIndex=3&amp;refID=7140006&amp;Result=3","7140006")</f>
        <v>0</v>
      </c>
      <c r="B12173" t="s">
        <v>49</v>
      </c>
      <c r="C12173" t="s">
        <v>15356</v>
      </c>
      <c r="D12173" t="s">
        <v>19037</v>
      </c>
      <c r="E12173" t="s">
        <v>29518</v>
      </c>
      <c r="F12173" t="s">
        <v>32831</v>
      </c>
      <c r="G12173" t="s">
        <v>32839</v>
      </c>
      <c r="H12173" t="s">
        <v>32848</v>
      </c>
      <c r="I12173" t="s">
        <v>7416</v>
      </c>
      <c r="J12173" t="s">
        <v>40437</v>
      </c>
      <c r="K12173" t="s">
        <v>42750</v>
      </c>
      <c r="M12173" t="s">
        <v>45033</v>
      </c>
      <c r="N12173" t="s">
        <v>47424</v>
      </c>
      <c r="O12173" t="s">
        <v>47425</v>
      </c>
      <c r="Q12173">
        <v>1</v>
      </c>
      <c r="R12173" t="s">
        <v>47439</v>
      </c>
      <c r="S12173" t="s">
        <v>47892</v>
      </c>
      <c r="T12173" t="s">
        <v>49166</v>
      </c>
      <c r="U12173" t="s">
        <v>59664</v>
      </c>
      <c r="V12173" t="s">
        <v>62833</v>
      </c>
      <c r="W12173" t="s">
        <v>45033</v>
      </c>
      <c r="X12173" t="s">
        <v>47440</v>
      </c>
    </row>
    <row r="12174" spans="1:24">
      <c r="A12174">
        <f>HYPERLINK("https://www.philgeps.gov.ph/GEPSNONPILOT/Tender/SplashBidNoticeAbstractUI.aspx?menuIndex=3&amp;refID=7140067&amp;Result=3","7140067")</f>
        <v>0</v>
      </c>
      <c r="B12174" t="s">
        <v>67</v>
      </c>
      <c r="C12174" t="s">
        <v>15357</v>
      </c>
      <c r="D12174" t="s">
        <v>19079</v>
      </c>
      <c r="E12174" t="s">
        <v>29519</v>
      </c>
      <c r="F12174" t="s">
        <v>32831</v>
      </c>
      <c r="G12174" t="s">
        <v>32839</v>
      </c>
      <c r="H12174" t="s">
        <v>32848</v>
      </c>
      <c r="I12174" t="s">
        <v>32947</v>
      </c>
      <c r="J12174" t="s">
        <v>40438</v>
      </c>
      <c r="K12174" t="s">
        <v>42730</v>
      </c>
      <c r="M12174" t="s">
        <v>43749</v>
      </c>
      <c r="N12174" t="s">
        <v>47424</v>
      </c>
      <c r="O12174" t="s">
        <v>47425</v>
      </c>
      <c r="P12174">
        <v>0</v>
      </c>
      <c r="Q12174">
        <v>3</v>
      </c>
      <c r="R12174" t="s">
        <v>47439</v>
      </c>
      <c r="S12174" t="s">
        <v>47860</v>
      </c>
      <c r="T12174" t="s">
        <v>49415</v>
      </c>
      <c r="U12174" t="s">
        <v>51013</v>
      </c>
      <c r="W12174" t="s">
        <v>64446</v>
      </c>
      <c r="X12174" t="s">
        <v>47440</v>
      </c>
    </row>
    <row r="12175" spans="1:24">
      <c r="A12175">
        <f>HYPERLINK("https://www.philgeps.gov.ph/GEPSNONPILOT/Tender/SplashBidNoticeAbstractUI.aspx?menuIndex=3&amp;refID=7140003&amp;Result=3","7140003")</f>
        <v>0</v>
      </c>
      <c r="B12175" t="s">
        <v>1434</v>
      </c>
      <c r="C12175" t="s">
        <v>15358</v>
      </c>
      <c r="D12175" t="s">
        <v>19021</v>
      </c>
      <c r="E12175" t="s">
        <v>29520</v>
      </c>
      <c r="F12175" t="s">
        <v>32831</v>
      </c>
      <c r="G12175" t="s">
        <v>32839</v>
      </c>
      <c r="H12175" t="s">
        <v>32848</v>
      </c>
      <c r="I12175" t="s">
        <v>32857</v>
      </c>
      <c r="J12175" t="s">
        <v>33257</v>
      </c>
      <c r="K12175" t="s">
        <v>42730</v>
      </c>
      <c r="M12175" t="s">
        <v>44524</v>
      </c>
      <c r="N12175" t="s">
        <v>47424</v>
      </c>
      <c r="O12175" t="s">
        <v>47425</v>
      </c>
      <c r="P12175">
        <v>0</v>
      </c>
      <c r="Q12175">
        <v>12</v>
      </c>
      <c r="R12175" t="s">
        <v>47439</v>
      </c>
      <c r="S12175" t="s">
        <v>47860</v>
      </c>
      <c r="T12175" t="s">
        <v>49221</v>
      </c>
      <c r="U12175" t="s">
        <v>59665</v>
      </c>
      <c r="W12175" t="s">
        <v>44524</v>
      </c>
      <c r="X12175" t="s">
        <v>47440</v>
      </c>
    </row>
    <row r="12176" spans="1:24">
      <c r="A12176">
        <f>HYPERLINK("https://www.philgeps.gov.ph/GEPSNONPILOT/Tender/SplashBidNoticeAbstractUI.aspx?menuIndex=3&amp;refID=7140023&amp;Result=3","7140023")</f>
        <v>0</v>
      </c>
      <c r="B12176" t="s">
        <v>231</v>
      </c>
      <c r="C12176" t="s">
        <v>15359</v>
      </c>
      <c r="D12176" t="s">
        <v>19039</v>
      </c>
      <c r="E12176" t="s">
        <v>29521</v>
      </c>
      <c r="F12176" t="s">
        <v>32831</v>
      </c>
      <c r="G12176" t="s">
        <v>32839</v>
      </c>
      <c r="H12176" t="s">
        <v>32848</v>
      </c>
      <c r="I12176" t="s">
        <v>4340</v>
      </c>
      <c r="J12176" t="s">
        <v>40439</v>
      </c>
      <c r="K12176" t="s">
        <v>42730</v>
      </c>
      <c r="M12176" t="s">
        <v>43230</v>
      </c>
      <c r="N12176" t="s">
        <v>47424</v>
      </c>
      <c r="O12176" t="s">
        <v>47425</v>
      </c>
      <c r="Q12176">
        <v>3</v>
      </c>
      <c r="R12176" t="s">
        <v>47439</v>
      </c>
      <c r="S12176" t="s">
        <v>47893</v>
      </c>
      <c r="T12176" t="s">
        <v>49080</v>
      </c>
      <c r="U12176" t="s">
        <v>59666</v>
      </c>
      <c r="W12176" t="s">
        <v>43230</v>
      </c>
      <c r="X12176" t="s">
        <v>47440</v>
      </c>
    </row>
    <row r="12177" spans="1:24">
      <c r="A12177">
        <f>HYPERLINK("https://www.philgeps.gov.ph/GEPSNONPILOT/Tender/SplashBidNoticeAbstractUI.aspx?menuIndex=3&amp;refID=7140045&amp;Result=3","7140045")</f>
        <v>0</v>
      </c>
      <c r="B12177" t="s">
        <v>2316</v>
      </c>
      <c r="C12177" t="s">
        <v>15360</v>
      </c>
      <c r="D12177" t="s">
        <v>19049</v>
      </c>
      <c r="E12177" t="s">
        <v>29522</v>
      </c>
      <c r="F12177" t="s">
        <v>32831</v>
      </c>
      <c r="G12177" t="s">
        <v>32839</v>
      </c>
      <c r="H12177" t="s">
        <v>32848</v>
      </c>
      <c r="I12177" t="s">
        <v>7751</v>
      </c>
      <c r="J12177" t="s">
        <v>33072</v>
      </c>
      <c r="K12177" t="s">
        <v>42730</v>
      </c>
      <c r="M12177" t="s">
        <v>45501</v>
      </c>
      <c r="N12177" t="s">
        <v>47424</v>
      </c>
      <c r="O12177" t="s">
        <v>47425</v>
      </c>
      <c r="P12177">
        <v>0</v>
      </c>
      <c r="Q12177">
        <v>1</v>
      </c>
      <c r="R12177" t="s">
        <v>47439</v>
      </c>
      <c r="S12177" t="s">
        <v>47860</v>
      </c>
      <c r="T12177" t="s">
        <v>49069</v>
      </c>
      <c r="U12177" t="s">
        <v>59667</v>
      </c>
      <c r="W12177" t="s">
        <v>45501</v>
      </c>
      <c r="X12177" t="s">
        <v>47440</v>
      </c>
    </row>
    <row r="12178" spans="1:24">
      <c r="A12178">
        <f>HYPERLINK("https://www.philgeps.gov.ph/GEPSNONPILOT/Tender/SplashBidNoticeAbstractUI.aspx?menuIndex=3&amp;refID=7140292&amp;Result=3","7140292")</f>
        <v>0</v>
      </c>
      <c r="B12178" t="s">
        <v>67</v>
      </c>
      <c r="C12178" t="s">
        <v>15361</v>
      </c>
      <c r="D12178" t="s">
        <v>19079</v>
      </c>
      <c r="E12178" t="s">
        <v>29523</v>
      </c>
      <c r="F12178" t="s">
        <v>32831</v>
      </c>
      <c r="G12178" t="s">
        <v>32839</v>
      </c>
      <c r="H12178" t="s">
        <v>32848</v>
      </c>
      <c r="I12178" t="s">
        <v>4471</v>
      </c>
      <c r="J12178" t="s">
        <v>40440</v>
      </c>
      <c r="K12178" t="s">
        <v>42747</v>
      </c>
      <c r="M12178" t="s">
        <v>43749</v>
      </c>
      <c r="N12178" t="s">
        <v>47424</v>
      </c>
      <c r="O12178" t="s">
        <v>47425</v>
      </c>
      <c r="P12178">
        <v>0</v>
      </c>
      <c r="Q12178">
        <v>2</v>
      </c>
      <c r="R12178" t="s">
        <v>47439</v>
      </c>
      <c r="S12178" t="s">
        <v>47860</v>
      </c>
      <c r="T12178" t="s">
        <v>49415</v>
      </c>
      <c r="U12178" t="s">
        <v>51013</v>
      </c>
      <c r="W12178" t="s">
        <v>64446</v>
      </c>
      <c r="X12178" t="s">
        <v>47440</v>
      </c>
    </row>
    <row r="12179" spans="1:24">
      <c r="A12179">
        <f>HYPERLINK("https://www.philgeps.gov.ph/GEPSNONPILOT/Tender/SplashBidNoticeAbstractUI.aspx?menuIndex=3&amp;refID=7140274&amp;Result=3","7140274")</f>
        <v>0</v>
      </c>
      <c r="B12179" t="s">
        <v>2342</v>
      </c>
      <c r="C12179" t="s">
        <v>15362</v>
      </c>
      <c r="D12179" t="s">
        <v>19044</v>
      </c>
      <c r="E12179" t="s">
        <v>26140</v>
      </c>
      <c r="F12179" t="s">
        <v>32831</v>
      </c>
      <c r="G12179" t="s">
        <v>32839</v>
      </c>
      <c r="H12179" t="s">
        <v>32848</v>
      </c>
      <c r="I12179" t="s">
        <v>7416</v>
      </c>
      <c r="J12179" t="s">
        <v>38660</v>
      </c>
      <c r="K12179" t="s">
        <v>42727</v>
      </c>
      <c r="M12179" t="s">
        <v>45529</v>
      </c>
      <c r="N12179" t="s">
        <v>47424</v>
      </c>
      <c r="O12179" t="s">
        <v>47425</v>
      </c>
      <c r="P12179">
        <v>0</v>
      </c>
      <c r="Q12179">
        <v>0</v>
      </c>
      <c r="R12179" t="s">
        <v>47439</v>
      </c>
      <c r="S12179" t="s">
        <v>47860</v>
      </c>
      <c r="T12179" t="s">
        <v>49214</v>
      </c>
      <c r="U12179" t="s">
        <v>59668</v>
      </c>
      <c r="W12179" t="s">
        <v>45529</v>
      </c>
      <c r="X12179" t="s">
        <v>47440</v>
      </c>
    </row>
    <row r="12180" spans="1:24">
      <c r="A12180">
        <f>HYPERLINK("https://www.philgeps.gov.ph/GEPSNONPILOT/Tender/SplashBidNoticeAbstractUI.aspx?menuIndex=3&amp;refID=7140018&amp;Result=3","7140018")</f>
        <v>0</v>
      </c>
      <c r="B12180" t="s">
        <v>49</v>
      </c>
      <c r="C12180" t="s">
        <v>15363</v>
      </c>
      <c r="D12180" t="s">
        <v>19037</v>
      </c>
      <c r="E12180" t="s">
        <v>29524</v>
      </c>
      <c r="F12180" t="s">
        <v>32831</v>
      </c>
      <c r="G12180" t="s">
        <v>32839</v>
      </c>
      <c r="H12180" t="s">
        <v>32848</v>
      </c>
      <c r="I12180" t="s">
        <v>32896</v>
      </c>
      <c r="J12180" t="s">
        <v>40441</v>
      </c>
      <c r="K12180" t="s">
        <v>42750</v>
      </c>
      <c r="M12180" t="s">
        <v>45033</v>
      </c>
      <c r="N12180" t="s">
        <v>47424</v>
      </c>
      <c r="O12180" t="s">
        <v>47425</v>
      </c>
      <c r="Q12180">
        <v>3</v>
      </c>
      <c r="R12180" t="s">
        <v>47439</v>
      </c>
      <c r="S12180" t="s">
        <v>47894</v>
      </c>
      <c r="T12180" t="s">
        <v>49063</v>
      </c>
      <c r="U12180" t="s">
        <v>59669</v>
      </c>
      <c r="V12180" t="s">
        <v>62833</v>
      </c>
      <c r="W12180" t="s">
        <v>45033</v>
      </c>
      <c r="X12180" t="s">
        <v>47440</v>
      </c>
    </row>
    <row r="12181" spans="1:24">
      <c r="A12181">
        <f>HYPERLINK("https://www.philgeps.gov.ph/GEPSNONPILOT/Tender/SplashBidNoticeAbstractUI.aspx?menuIndex=3&amp;refID=7140304&amp;Result=3","7140304")</f>
        <v>0</v>
      </c>
      <c r="B12181" t="s">
        <v>49</v>
      </c>
      <c r="C12181" t="s">
        <v>15364</v>
      </c>
      <c r="D12181" t="s">
        <v>19037</v>
      </c>
      <c r="E12181" t="s">
        <v>29525</v>
      </c>
      <c r="F12181" t="s">
        <v>32831</v>
      </c>
      <c r="G12181" t="s">
        <v>32839</v>
      </c>
      <c r="H12181" t="s">
        <v>32848</v>
      </c>
      <c r="I12181" t="s">
        <v>32862</v>
      </c>
      <c r="J12181" t="s">
        <v>40442</v>
      </c>
      <c r="K12181" t="s">
        <v>42750</v>
      </c>
      <c r="M12181" t="s">
        <v>46884</v>
      </c>
      <c r="N12181" t="s">
        <v>47424</v>
      </c>
      <c r="O12181" t="s">
        <v>47425</v>
      </c>
      <c r="Q12181">
        <v>0</v>
      </c>
      <c r="R12181" t="s">
        <v>47439</v>
      </c>
      <c r="S12181" t="s">
        <v>47895</v>
      </c>
      <c r="T12181" t="s">
        <v>49166</v>
      </c>
      <c r="U12181" t="s">
        <v>59670</v>
      </c>
      <c r="V12181" t="s">
        <v>62833</v>
      </c>
      <c r="W12181" t="s">
        <v>46884</v>
      </c>
      <c r="X12181" t="s">
        <v>47440</v>
      </c>
    </row>
    <row r="12182" spans="1:24">
      <c r="A12182">
        <f>HYPERLINK("https://www.philgeps.gov.ph/GEPSNONPILOT/Tender/SplashBidNoticeAbstractUI.aspx?menuIndex=3&amp;refID=7139737&amp;Result=3","7139737")</f>
        <v>0</v>
      </c>
      <c r="B12182" t="s">
        <v>3300</v>
      </c>
      <c r="C12182" t="s">
        <v>15365</v>
      </c>
      <c r="D12182" t="s">
        <v>19017</v>
      </c>
      <c r="E12182" t="s">
        <v>29526</v>
      </c>
      <c r="F12182" t="s">
        <v>32831</v>
      </c>
      <c r="G12182" t="s">
        <v>32839</v>
      </c>
      <c r="H12182" t="s">
        <v>32850</v>
      </c>
      <c r="I12182" t="s">
        <v>10805</v>
      </c>
      <c r="J12182" t="s">
        <v>40443</v>
      </c>
      <c r="K12182" t="s">
        <v>42750</v>
      </c>
      <c r="M12182" t="s">
        <v>46621</v>
      </c>
      <c r="N12182" t="s">
        <v>47424</v>
      </c>
      <c r="O12182" t="s">
        <v>47425</v>
      </c>
      <c r="Q12182">
        <v>12</v>
      </c>
      <c r="R12182" t="s">
        <v>47439</v>
      </c>
      <c r="S12182" t="s">
        <v>47896</v>
      </c>
      <c r="T12182" t="s">
        <v>49427</v>
      </c>
      <c r="U12182" t="s">
        <v>59671</v>
      </c>
      <c r="W12182" t="s">
        <v>46621</v>
      </c>
      <c r="X12182" t="s">
        <v>47440</v>
      </c>
    </row>
    <row r="12183" spans="1:24">
      <c r="A12183">
        <f>HYPERLINK("https://www.philgeps.gov.ph/GEPSNONPILOT/Tender/SplashBidNoticeAbstractUI.aspx?menuIndex=3&amp;refID=7140291&amp;Result=3","7140291")</f>
        <v>0</v>
      </c>
      <c r="B12183" t="s">
        <v>2748</v>
      </c>
      <c r="C12183" t="s">
        <v>15366</v>
      </c>
      <c r="D12183" t="s">
        <v>19078</v>
      </c>
      <c r="E12183" t="s">
        <v>29527</v>
      </c>
      <c r="F12183" t="s">
        <v>32831</v>
      </c>
      <c r="G12183" t="s">
        <v>32839</v>
      </c>
      <c r="H12183" t="s">
        <v>32849</v>
      </c>
      <c r="I12183" t="s">
        <v>4177</v>
      </c>
      <c r="J12183" t="s">
        <v>35499</v>
      </c>
      <c r="K12183" t="s">
        <v>42727</v>
      </c>
      <c r="M12183" t="s">
        <v>45977</v>
      </c>
      <c r="N12183" t="s">
        <v>47424</v>
      </c>
      <c r="O12183" t="s">
        <v>47425</v>
      </c>
      <c r="P12183">
        <v>0</v>
      </c>
      <c r="Q12183">
        <v>0</v>
      </c>
      <c r="R12183" t="s">
        <v>47439</v>
      </c>
      <c r="S12183" t="s">
        <v>47860</v>
      </c>
      <c r="T12183" t="s">
        <v>49105</v>
      </c>
      <c r="U12183" t="s">
        <v>59672</v>
      </c>
      <c r="W12183" t="s">
        <v>45977</v>
      </c>
      <c r="X12183" t="s">
        <v>47440</v>
      </c>
    </row>
    <row r="12184" spans="1:24">
      <c r="A12184">
        <f>HYPERLINK("https://www.philgeps.gov.ph/GEPSNONPILOT/Tender/SplashBidNoticeAbstractUI.aspx?menuIndex=3&amp;refID=7139986&amp;Result=3","7139986")</f>
        <v>0</v>
      </c>
      <c r="B12184" t="s">
        <v>3533</v>
      </c>
      <c r="C12184" t="s">
        <v>15367</v>
      </c>
      <c r="D12184" t="s">
        <v>19037</v>
      </c>
      <c r="E12184" t="s">
        <v>29528</v>
      </c>
      <c r="F12184" t="s">
        <v>32833</v>
      </c>
      <c r="G12184" t="s">
        <v>32839</v>
      </c>
      <c r="H12184" t="s">
        <v>32848</v>
      </c>
      <c r="I12184" t="s">
        <v>7416</v>
      </c>
      <c r="J12184" t="s">
        <v>40444</v>
      </c>
      <c r="K12184" t="s">
        <v>42745</v>
      </c>
      <c r="M12184" t="s">
        <v>46885</v>
      </c>
      <c r="N12184" t="s">
        <v>47424</v>
      </c>
      <c r="O12184" t="s">
        <v>47425</v>
      </c>
      <c r="P12184">
        <v>0</v>
      </c>
      <c r="Q12184">
        <v>1</v>
      </c>
      <c r="R12184" t="s">
        <v>47439</v>
      </c>
      <c r="S12184" t="s">
        <v>47860</v>
      </c>
      <c r="T12184" t="s">
        <v>49196</v>
      </c>
      <c r="U12184" t="s">
        <v>50272</v>
      </c>
      <c r="V12184" t="s">
        <v>63970</v>
      </c>
      <c r="W12184" t="s">
        <v>46885</v>
      </c>
      <c r="X12184" t="s">
        <v>47440</v>
      </c>
    </row>
    <row r="12185" spans="1:24">
      <c r="A12185">
        <f>HYPERLINK("https://www.philgeps.gov.ph/GEPSNONPILOT/Tender/SplashBidNoticeAbstractUI.aspx?menuIndex=3&amp;refID=7140257&amp;Result=3","7140257")</f>
        <v>0</v>
      </c>
      <c r="B12185" t="s">
        <v>3534</v>
      </c>
      <c r="C12185" t="s">
        <v>15368</v>
      </c>
      <c r="D12185" t="s">
        <v>19025</v>
      </c>
      <c r="E12185" t="s">
        <v>19130</v>
      </c>
      <c r="F12185" t="s">
        <v>32832</v>
      </c>
      <c r="G12185" t="s">
        <v>32839</v>
      </c>
      <c r="H12185" t="s">
        <v>32848</v>
      </c>
      <c r="I12185" t="s">
        <v>7416</v>
      </c>
      <c r="J12185" t="s">
        <v>40445</v>
      </c>
      <c r="K12185" t="s">
        <v>42732</v>
      </c>
      <c r="M12185" t="s">
        <v>46886</v>
      </c>
      <c r="N12185" t="s">
        <v>47424</v>
      </c>
      <c r="O12185" t="s">
        <v>47425</v>
      </c>
      <c r="P12185">
        <v>0</v>
      </c>
      <c r="Q12185">
        <v>1</v>
      </c>
      <c r="R12185" t="s">
        <v>47439</v>
      </c>
      <c r="S12185" t="s">
        <v>47860</v>
      </c>
      <c r="T12185" t="s">
        <v>49200</v>
      </c>
      <c r="U12185" t="s">
        <v>59673</v>
      </c>
      <c r="W12185" t="s">
        <v>46886</v>
      </c>
      <c r="X12185" t="s">
        <v>47440</v>
      </c>
    </row>
    <row r="12186" spans="1:24">
      <c r="A12186">
        <f>HYPERLINK("https://www.philgeps.gov.ph/GEPSNONPILOT/Tender/SplashBidNoticeAbstractUI.aspx?menuIndex=3&amp;refID=7140222&amp;Result=3","7140222")</f>
        <v>0</v>
      </c>
      <c r="B12186" t="s">
        <v>67</v>
      </c>
      <c r="C12186" t="s">
        <v>15369</v>
      </c>
      <c r="D12186" t="s">
        <v>19079</v>
      </c>
      <c r="E12186" t="s">
        <v>29529</v>
      </c>
      <c r="F12186" t="s">
        <v>32831</v>
      </c>
      <c r="G12186" t="s">
        <v>32839</v>
      </c>
      <c r="H12186" t="s">
        <v>32848</v>
      </c>
      <c r="I12186" t="s">
        <v>4471</v>
      </c>
      <c r="J12186" t="s">
        <v>32978</v>
      </c>
      <c r="K12186" t="s">
        <v>42729</v>
      </c>
      <c r="M12186" t="s">
        <v>43749</v>
      </c>
      <c r="N12186" t="s">
        <v>47424</v>
      </c>
      <c r="O12186" t="s">
        <v>47425</v>
      </c>
      <c r="P12186">
        <v>0</v>
      </c>
      <c r="Q12186">
        <v>1</v>
      </c>
      <c r="R12186" t="s">
        <v>47439</v>
      </c>
      <c r="S12186" t="s">
        <v>47860</v>
      </c>
      <c r="T12186" t="s">
        <v>49415</v>
      </c>
      <c r="U12186" t="s">
        <v>51013</v>
      </c>
      <c r="W12186" t="s">
        <v>64446</v>
      </c>
      <c r="X12186" t="s">
        <v>47440</v>
      </c>
    </row>
    <row r="12187" spans="1:24">
      <c r="A12187">
        <f>HYPERLINK("https://www.philgeps.gov.ph/GEPSNONPILOT/Tender/SplashBidNoticeAbstractUI.aspx?menuIndex=3&amp;refID=7140190&amp;Result=3","7140190")</f>
        <v>0</v>
      </c>
      <c r="B12187" t="s">
        <v>1879</v>
      </c>
      <c r="C12187" t="s">
        <v>15370</v>
      </c>
      <c r="D12187" t="s">
        <v>19021</v>
      </c>
      <c r="E12187" t="s">
        <v>29530</v>
      </c>
      <c r="F12187" t="s">
        <v>32831</v>
      </c>
      <c r="G12187" t="s">
        <v>32839</v>
      </c>
      <c r="H12187" t="s">
        <v>32849</v>
      </c>
      <c r="I12187" t="s">
        <v>4177</v>
      </c>
      <c r="J12187" t="s">
        <v>40446</v>
      </c>
      <c r="K12187" t="s">
        <v>42770</v>
      </c>
      <c r="L12187" t="s">
        <v>1879</v>
      </c>
      <c r="M12187" t="s">
        <v>45023</v>
      </c>
      <c r="N12187" t="s">
        <v>47424</v>
      </c>
      <c r="O12187" t="s">
        <v>47425</v>
      </c>
      <c r="P12187">
        <v>0</v>
      </c>
      <c r="Q12187">
        <v>30</v>
      </c>
      <c r="R12187" t="s">
        <v>47439</v>
      </c>
      <c r="S12187" t="s">
        <v>47860</v>
      </c>
      <c r="T12187" t="s">
        <v>49073</v>
      </c>
      <c r="U12187" t="s">
        <v>53768</v>
      </c>
      <c r="V12187" t="s">
        <v>63971</v>
      </c>
      <c r="W12187" t="s">
        <v>45023</v>
      </c>
      <c r="X12187" t="s">
        <v>47440</v>
      </c>
    </row>
    <row r="12188" spans="1:24">
      <c r="A12188">
        <f>HYPERLINK("https://www.philgeps.gov.ph/GEPSNONPILOT/Tender/SplashBidNoticeAbstractUI.aspx?menuIndex=3&amp;refID=7140206&amp;Result=3","7140206")</f>
        <v>0</v>
      </c>
      <c r="B12188" t="s">
        <v>2232</v>
      </c>
      <c r="C12188" t="s">
        <v>15371</v>
      </c>
      <c r="D12188" t="s">
        <v>19062</v>
      </c>
      <c r="E12188" t="s">
        <v>29531</v>
      </c>
      <c r="F12188" t="s">
        <v>32831</v>
      </c>
      <c r="G12188" t="s">
        <v>32839</v>
      </c>
      <c r="H12188" t="s">
        <v>32849</v>
      </c>
      <c r="I12188" t="s">
        <v>4177</v>
      </c>
      <c r="J12188" t="s">
        <v>39848</v>
      </c>
      <c r="K12188" t="s">
        <v>42780</v>
      </c>
      <c r="M12188" t="s">
        <v>45413</v>
      </c>
      <c r="N12188" t="s">
        <v>47424</v>
      </c>
      <c r="O12188" t="s">
        <v>47425</v>
      </c>
      <c r="P12188">
        <v>0</v>
      </c>
      <c r="Q12188">
        <v>0</v>
      </c>
      <c r="R12188" t="s">
        <v>47439</v>
      </c>
      <c r="S12188" t="s">
        <v>47860</v>
      </c>
      <c r="T12188" t="s">
        <v>49073</v>
      </c>
      <c r="U12188" t="s">
        <v>59674</v>
      </c>
      <c r="W12188" t="s">
        <v>45413</v>
      </c>
      <c r="X12188" t="s">
        <v>47440</v>
      </c>
    </row>
    <row r="12189" spans="1:24">
      <c r="A12189">
        <f>HYPERLINK("https://www.philgeps.gov.ph/GEPSNONPILOT/Tender/SplashBidNoticeAbstractUI.aspx?menuIndex=3&amp;refID=7140008&amp;Result=3","7140008")</f>
        <v>0</v>
      </c>
      <c r="B12189" t="s">
        <v>1515</v>
      </c>
      <c r="C12189" t="s">
        <v>15372</v>
      </c>
      <c r="D12189" t="s">
        <v>19077</v>
      </c>
      <c r="E12189" t="s">
        <v>29532</v>
      </c>
      <c r="F12189" t="s">
        <v>32831</v>
      </c>
      <c r="G12189" t="s">
        <v>32839</v>
      </c>
      <c r="H12189" t="s">
        <v>32848</v>
      </c>
      <c r="I12189" t="s">
        <v>32858</v>
      </c>
      <c r="J12189" t="s">
        <v>40447</v>
      </c>
      <c r="K12189" t="s">
        <v>42729</v>
      </c>
      <c r="M12189" t="s">
        <v>44616</v>
      </c>
      <c r="N12189" t="s">
        <v>47424</v>
      </c>
      <c r="O12189" t="s">
        <v>47425</v>
      </c>
      <c r="P12189">
        <v>0</v>
      </c>
      <c r="Q12189">
        <v>1</v>
      </c>
      <c r="R12189" t="s">
        <v>47439</v>
      </c>
      <c r="S12189" t="s">
        <v>47860</v>
      </c>
      <c r="T12189" t="s">
        <v>49159</v>
      </c>
      <c r="U12189" t="s">
        <v>59675</v>
      </c>
      <c r="W12189" t="s">
        <v>44616</v>
      </c>
      <c r="X12189" t="s">
        <v>47440</v>
      </c>
    </row>
    <row r="12190" spans="1:24">
      <c r="A12190">
        <f>HYPERLINK("https://www.philgeps.gov.ph/GEPSNONPILOT/Tender/SplashBidNoticeAbstractUI.aspx?menuIndex=3&amp;refID=7140434&amp;Result=3","7140434")</f>
        <v>0</v>
      </c>
      <c r="B12190" t="s">
        <v>3535</v>
      </c>
      <c r="C12190" t="s">
        <v>15373</v>
      </c>
      <c r="E12190" t="s">
        <v>19219</v>
      </c>
      <c r="F12190" t="s">
        <v>32831</v>
      </c>
      <c r="G12190" t="s">
        <v>32839</v>
      </c>
      <c r="H12190" t="s">
        <v>32848</v>
      </c>
      <c r="I12190" t="s">
        <v>7416</v>
      </c>
      <c r="J12190" t="s">
        <v>40448</v>
      </c>
      <c r="K12190" t="s">
        <v>42727</v>
      </c>
      <c r="M12190" t="s">
        <v>46887</v>
      </c>
      <c r="N12190" t="s">
        <v>47424</v>
      </c>
      <c r="O12190" t="s">
        <v>47425</v>
      </c>
      <c r="P12190">
        <v>0</v>
      </c>
      <c r="Q12190">
        <v>0</v>
      </c>
      <c r="R12190" t="s">
        <v>47439</v>
      </c>
      <c r="S12190" t="s">
        <v>47860</v>
      </c>
      <c r="T12190" t="s">
        <v>49063</v>
      </c>
      <c r="U12190" t="s">
        <v>59676</v>
      </c>
      <c r="W12190" t="s">
        <v>46887</v>
      </c>
      <c r="X12190" t="s">
        <v>47440</v>
      </c>
    </row>
    <row r="12191" spans="1:24">
      <c r="A12191">
        <f>HYPERLINK("https://www.philgeps.gov.ph/GEPSNONPILOT/Tender/SplashBidNoticeAbstractUI.aspx?menuIndex=3&amp;refID=7140431&amp;Result=3","7140431")</f>
        <v>0</v>
      </c>
      <c r="B12191" t="s">
        <v>3536</v>
      </c>
      <c r="C12191" t="s">
        <v>15374</v>
      </c>
      <c r="D12191" t="s">
        <v>19045</v>
      </c>
      <c r="E12191" t="s">
        <v>29533</v>
      </c>
      <c r="F12191" t="s">
        <v>32831</v>
      </c>
      <c r="G12191" t="s">
        <v>32839</v>
      </c>
      <c r="H12191" t="s">
        <v>32848</v>
      </c>
      <c r="I12191" t="s">
        <v>32902</v>
      </c>
      <c r="J12191" t="s">
        <v>40449</v>
      </c>
      <c r="K12191" t="s">
        <v>42732</v>
      </c>
      <c r="M12191" t="s">
        <v>46888</v>
      </c>
      <c r="N12191" t="s">
        <v>47424</v>
      </c>
      <c r="O12191" t="s">
        <v>47425</v>
      </c>
      <c r="Q12191">
        <v>23</v>
      </c>
      <c r="R12191" t="s">
        <v>47439</v>
      </c>
      <c r="S12191" t="s">
        <v>47897</v>
      </c>
      <c r="T12191" t="s">
        <v>49060</v>
      </c>
      <c r="U12191" t="s">
        <v>59677</v>
      </c>
      <c r="W12191" t="s">
        <v>46888</v>
      </c>
      <c r="X12191" t="s">
        <v>47440</v>
      </c>
    </row>
    <row r="12192" spans="1:24">
      <c r="A12192">
        <f>HYPERLINK("https://www.philgeps.gov.ph/GEPSNONPILOT/Tender/SplashBidNoticeAbstractUI.aspx?menuIndex=3&amp;refID=7140423&amp;Result=3","7140423")</f>
        <v>0</v>
      </c>
      <c r="B12192" t="s">
        <v>3537</v>
      </c>
      <c r="C12192" t="s">
        <v>15375</v>
      </c>
      <c r="D12192" t="s">
        <v>19037</v>
      </c>
      <c r="E12192" t="s">
        <v>29534</v>
      </c>
      <c r="F12192" t="s">
        <v>32831</v>
      </c>
      <c r="G12192" t="s">
        <v>32839</v>
      </c>
      <c r="H12192" t="s">
        <v>32848</v>
      </c>
      <c r="I12192" t="s">
        <v>7416</v>
      </c>
      <c r="J12192" t="s">
        <v>40450</v>
      </c>
      <c r="K12192" t="s">
        <v>42726</v>
      </c>
      <c r="M12192" t="s">
        <v>46889</v>
      </c>
      <c r="N12192" t="s">
        <v>47424</v>
      </c>
      <c r="O12192" t="s">
        <v>47425</v>
      </c>
      <c r="P12192">
        <v>0</v>
      </c>
      <c r="Q12192">
        <v>0</v>
      </c>
      <c r="R12192" t="s">
        <v>47439</v>
      </c>
      <c r="S12192" t="s">
        <v>47860</v>
      </c>
      <c r="T12192" t="s">
        <v>49218</v>
      </c>
      <c r="U12192" t="s">
        <v>59678</v>
      </c>
      <c r="V12192" t="s">
        <v>63972</v>
      </c>
      <c r="W12192" t="s">
        <v>46889</v>
      </c>
      <c r="X12192" t="s">
        <v>47440</v>
      </c>
    </row>
    <row r="12193" spans="1:24">
      <c r="A12193">
        <f>HYPERLINK("https://www.philgeps.gov.ph/GEPSNONPILOT/Tender/SplashBidNoticeAbstractUI.aspx?menuIndex=3&amp;refID=7140427&amp;Result=3","7140427")</f>
        <v>0</v>
      </c>
      <c r="B12193" t="s">
        <v>217</v>
      </c>
      <c r="C12193" t="s">
        <v>15376</v>
      </c>
      <c r="D12193" t="s">
        <v>19037</v>
      </c>
      <c r="E12193" t="s">
        <v>29535</v>
      </c>
      <c r="F12193" t="s">
        <v>32831</v>
      </c>
      <c r="G12193" t="s">
        <v>32839</v>
      </c>
      <c r="H12193" t="s">
        <v>32848</v>
      </c>
      <c r="I12193" t="s">
        <v>7416</v>
      </c>
      <c r="J12193" t="s">
        <v>40451</v>
      </c>
      <c r="K12193" t="s">
        <v>42730</v>
      </c>
      <c r="M12193" t="s">
        <v>46890</v>
      </c>
      <c r="N12193" t="s">
        <v>47424</v>
      </c>
      <c r="O12193" t="s">
        <v>47425</v>
      </c>
      <c r="Q12193">
        <v>1</v>
      </c>
      <c r="R12193" t="s">
        <v>47439</v>
      </c>
      <c r="S12193" t="s">
        <v>47898</v>
      </c>
      <c r="T12193" t="s">
        <v>49149</v>
      </c>
      <c r="U12193" t="s">
        <v>59679</v>
      </c>
      <c r="W12193" t="s">
        <v>43392</v>
      </c>
      <c r="X12193" t="s">
        <v>47440</v>
      </c>
    </row>
    <row r="12194" spans="1:24">
      <c r="A12194">
        <f>HYPERLINK("https://www.philgeps.gov.ph/GEPSNONPILOT/Tender/SplashBidNoticeAbstractUI.aspx?menuIndex=3&amp;refID=7140262&amp;Result=3","7140262")</f>
        <v>0</v>
      </c>
      <c r="B12194" t="s">
        <v>49</v>
      </c>
      <c r="C12194" t="s">
        <v>15377</v>
      </c>
      <c r="D12194" t="s">
        <v>19037</v>
      </c>
      <c r="E12194" t="s">
        <v>29536</v>
      </c>
      <c r="F12194" t="s">
        <v>32831</v>
      </c>
      <c r="G12194" t="s">
        <v>32839</v>
      </c>
      <c r="H12194" t="s">
        <v>32848</v>
      </c>
      <c r="I12194" t="s">
        <v>32862</v>
      </c>
      <c r="J12194" t="s">
        <v>40452</v>
      </c>
      <c r="K12194" t="s">
        <v>42750</v>
      </c>
      <c r="M12194" t="s">
        <v>46884</v>
      </c>
      <c r="N12194" t="s">
        <v>47424</v>
      </c>
      <c r="O12194" t="s">
        <v>47425</v>
      </c>
      <c r="Q12194">
        <v>2</v>
      </c>
      <c r="R12194" t="s">
        <v>47439</v>
      </c>
      <c r="S12194" t="s">
        <v>47899</v>
      </c>
      <c r="T12194" t="s">
        <v>49166</v>
      </c>
      <c r="U12194" t="s">
        <v>59680</v>
      </c>
      <c r="V12194" t="s">
        <v>62833</v>
      </c>
      <c r="W12194" t="s">
        <v>46884</v>
      </c>
      <c r="X12194" t="s">
        <v>47440</v>
      </c>
    </row>
    <row r="12195" spans="1:24">
      <c r="A12195">
        <f>HYPERLINK("https://www.philgeps.gov.ph/GEPSNONPILOT/Tender/SplashBidNoticeAbstractUI.aspx?menuIndex=3&amp;refID=7140420&amp;Result=3","7140420")</f>
        <v>0</v>
      </c>
      <c r="B12195" t="s">
        <v>1088</v>
      </c>
      <c r="C12195" t="s">
        <v>15378</v>
      </c>
      <c r="D12195" t="s">
        <v>19028</v>
      </c>
      <c r="E12195" t="s">
        <v>29537</v>
      </c>
      <c r="F12195" t="s">
        <v>32831</v>
      </c>
      <c r="G12195" t="s">
        <v>32839</v>
      </c>
      <c r="H12195" t="s">
        <v>32849</v>
      </c>
      <c r="I12195" t="s">
        <v>4177</v>
      </c>
      <c r="J12195" t="s">
        <v>35331</v>
      </c>
      <c r="K12195" t="s">
        <v>42796</v>
      </c>
      <c r="M12195" t="s">
        <v>44147</v>
      </c>
      <c r="N12195" t="s">
        <v>47424</v>
      </c>
      <c r="O12195" t="s">
        <v>47425</v>
      </c>
      <c r="P12195">
        <v>0</v>
      </c>
      <c r="Q12195">
        <v>0</v>
      </c>
      <c r="R12195" t="s">
        <v>47439</v>
      </c>
      <c r="S12195" t="s">
        <v>47860</v>
      </c>
      <c r="T12195" t="s">
        <v>49059</v>
      </c>
      <c r="U12195" t="s">
        <v>59681</v>
      </c>
      <c r="V12195" t="s">
        <v>63863</v>
      </c>
      <c r="W12195" t="s">
        <v>44147</v>
      </c>
      <c r="X12195" t="s">
        <v>47440</v>
      </c>
    </row>
    <row r="12196" spans="1:24">
      <c r="A12196">
        <f>HYPERLINK("https://www.philgeps.gov.ph/GEPSNONPILOT/Tender/SplashBidNoticeAbstractUI.aspx?menuIndex=3&amp;refID=7140265&amp;Result=3","7140265")</f>
        <v>0</v>
      </c>
      <c r="B12196" t="s">
        <v>160</v>
      </c>
      <c r="C12196" t="s">
        <v>15379</v>
      </c>
      <c r="D12196" t="s">
        <v>19088</v>
      </c>
      <c r="E12196" t="s">
        <v>29538</v>
      </c>
      <c r="F12196" t="s">
        <v>32831</v>
      </c>
      <c r="G12196" t="s">
        <v>32839</v>
      </c>
      <c r="H12196" t="s">
        <v>32848</v>
      </c>
      <c r="I12196" t="s">
        <v>4471</v>
      </c>
      <c r="J12196" t="s">
        <v>40453</v>
      </c>
      <c r="K12196" t="s">
        <v>42729</v>
      </c>
      <c r="M12196" t="s">
        <v>45098</v>
      </c>
      <c r="N12196" t="s">
        <v>47424</v>
      </c>
      <c r="O12196" t="s">
        <v>47425</v>
      </c>
      <c r="P12196">
        <v>0</v>
      </c>
      <c r="Q12196">
        <v>8</v>
      </c>
      <c r="R12196" t="s">
        <v>47439</v>
      </c>
      <c r="S12196" t="s">
        <v>47860</v>
      </c>
      <c r="T12196" t="s">
        <v>49175</v>
      </c>
      <c r="U12196" t="s">
        <v>58667</v>
      </c>
      <c r="W12196" t="s">
        <v>45098</v>
      </c>
      <c r="X12196" t="s">
        <v>47440</v>
      </c>
    </row>
    <row r="12197" spans="1:24">
      <c r="A12197">
        <f>HYPERLINK("https://www.philgeps.gov.ph/GEPSNONPILOT/Tender/SplashBidNoticeAbstractUI.aspx?menuIndex=3&amp;refID=7140378&amp;Result=3","7140378")</f>
        <v>0</v>
      </c>
      <c r="B12197" t="s">
        <v>1351</v>
      </c>
      <c r="C12197" t="s">
        <v>15380</v>
      </c>
      <c r="D12197" t="s">
        <v>19080</v>
      </c>
      <c r="E12197" t="s">
        <v>29539</v>
      </c>
      <c r="F12197" t="s">
        <v>32831</v>
      </c>
      <c r="G12197" t="s">
        <v>32839</v>
      </c>
      <c r="H12197" t="s">
        <v>32848</v>
      </c>
      <c r="I12197" t="s">
        <v>32925</v>
      </c>
      <c r="J12197" t="s">
        <v>40454</v>
      </c>
      <c r="K12197" t="s">
        <v>42730</v>
      </c>
      <c r="M12197" t="s">
        <v>44425</v>
      </c>
      <c r="N12197" t="s">
        <v>47424</v>
      </c>
      <c r="O12197" t="s">
        <v>47425</v>
      </c>
      <c r="P12197">
        <v>0</v>
      </c>
      <c r="Q12197">
        <v>7</v>
      </c>
      <c r="R12197" t="s">
        <v>47439</v>
      </c>
      <c r="S12197" t="s">
        <v>47860</v>
      </c>
      <c r="T12197" t="s">
        <v>49073</v>
      </c>
      <c r="U12197" t="s">
        <v>59682</v>
      </c>
      <c r="V12197" t="s">
        <v>63446</v>
      </c>
      <c r="W12197" t="s">
        <v>44425</v>
      </c>
      <c r="X12197" t="s">
        <v>47440</v>
      </c>
    </row>
    <row r="12198" spans="1:24">
      <c r="A12198">
        <f>HYPERLINK("https://www.philgeps.gov.ph/GEPSNONPILOT/Tender/SplashBidNoticeAbstractUI.aspx?menuIndex=3&amp;refID=7140369&amp;Result=3","7140369")</f>
        <v>0</v>
      </c>
      <c r="B12198" t="s">
        <v>67</v>
      </c>
      <c r="C12198" t="s">
        <v>15381</v>
      </c>
      <c r="D12198" t="s">
        <v>19079</v>
      </c>
      <c r="E12198" t="s">
        <v>29540</v>
      </c>
      <c r="F12198" t="s">
        <v>32831</v>
      </c>
      <c r="G12198" t="s">
        <v>32842</v>
      </c>
      <c r="H12198" t="s">
        <v>32848</v>
      </c>
      <c r="I12198" t="s">
        <v>4471</v>
      </c>
      <c r="J12198" t="s">
        <v>33044</v>
      </c>
      <c r="K12198" t="s">
        <v>42730</v>
      </c>
      <c r="M12198" t="s">
        <v>44461</v>
      </c>
      <c r="N12198" t="s">
        <v>47424</v>
      </c>
      <c r="O12198" t="s">
        <v>47425</v>
      </c>
      <c r="Q12198">
        <v>2</v>
      </c>
      <c r="R12198" t="s">
        <v>47439</v>
      </c>
      <c r="S12198" t="s">
        <v>47900</v>
      </c>
      <c r="T12198" t="s">
        <v>49166</v>
      </c>
      <c r="U12198" t="s">
        <v>59683</v>
      </c>
      <c r="W12198" t="s">
        <v>44461</v>
      </c>
      <c r="X12198" t="s">
        <v>47440</v>
      </c>
    </row>
    <row r="12199" spans="1:24">
      <c r="A12199">
        <f>HYPERLINK("https://www.philgeps.gov.ph/GEPSNONPILOT/Tender/SplashBidNoticeAbstractUI.aspx?menuIndex=3&amp;refID=7140387&amp;Result=3","7140387")</f>
        <v>0</v>
      </c>
      <c r="B12199" t="s">
        <v>67</v>
      </c>
      <c r="C12199" t="s">
        <v>15382</v>
      </c>
      <c r="D12199" t="s">
        <v>19079</v>
      </c>
      <c r="E12199" t="s">
        <v>29541</v>
      </c>
      <c r="F12199" t="s">
        <v>32831</v>
      </c>
      <c r="G12199" t="s">
        <v>32839</v>
      </c>
      <c r="H12199" t="s">
        <v>32850</v>
      </c>
      <c r="I12199" t="s">
        <v>32945</v>
      </c>
      <c r="J12199" t="s">
        <v>40455</v>
      </c>
      <c r="K12199" t="s">
        <v>42730</v>
      </c>
      <c r="M12199" t="s">
        <v>43749</v>
      </c>
      <c r="N12199" t="s">
        <v>47424</v>
      </c>
      <c r="O12199" t="s">
        <v>47425</v>
      </c>
      <c r="P12199">
        <v>0</v>
      </c>
      <c r="Q12199">
        <v>4</v>
      </c>
      <c r="R12199" t="s">
        <v>47439</v>
      </c>
      <c r="S12199" t="s">
        <v>47860</v>
      </c>
      <c r="T12199" t="s">
        <v>49415</v>
      </c>
      <c r="U12199" t="s">
        <v>51013</v>
      </c>
      <c r="W12199" t="s">
        <v>64446</v>
      </c>
      <c r="X12199" t="s">
        <v>47440</v>
      </c>
    </row>
    <row r="12200" spans="1:24">
      <c r="A12200">
        <f>HYPERLINK("https://www.philgeps.gov.ph/GEPSNONPILOT/Tender/SplashBidNoticeAbstractUI.aspx?menuIndex=3&amp;refID=7140597&amp;Result=3","7140597")</f>
        <v>0</v>
      </c>
      <c r="B12200" t="s">
        <v>709</v>
      </c>
      <c r="C12200" t="s">
        <v>15383</v>
      </c>
      <c r="D12200" t="s">
        <v>19037</v>
      </c>
      <c r="E12200" t="s">
        <v>29542</v>
      </c>
      <c r="F12200" t="s">
        <v>32831</v>
      </c>
      <c r="G12200" t="s">
        <v>32839</v>
      </c>
      <c r="H12200" t="s">
        <v>32848</v>
      </c>
      <c r="I12200" t="s">
        <v>4558</v>
      </c>
      <c r="J12200" t="s">
        <v>40456</v>
      </c>
      <c r="K12200" t="s">
        <v>42745</v>
      </c>
      <c r="M12200" t="s">
        <v>44979</v>
      </c>
      <c r="N12200" t="s">
        <v>47424</v>
      </c>
      <c r="O12200" t="s">
        <v>47425</v>
      </c>
      <c r="P12200">
        <v>0</v>
      </c>
      <c r="Q12200">
        <v>10</v>
      </c>
      <c r="R12200" t="s">
        <v>47439</v>
      </c>
      <c r="S12200" t="s">
        <v>47860</v>
      </c>
      <c r="T12200" t="s">
        <v>49172</v>
      </c>
      <c r="U12200" t="s">
        <v>59684</v>
      </c>
      <c r="V12200" t="s">
        <v>63973</v>
      </c>
      <c r="W12200" t="s">
        <v>44979</v>
      </c>
      <c r="X12200" t="s">
        <v>47440</v>
      </c>
    </row>
    <row r="12201" spans="1:24">
      <c r="A12201">
        <f>HYPERLINK("https://www.philgeps.gov.ph/GEPSNONPILOT/Tender/SplashBidNoticeAbstractUI.aspx?menuIndex=3&amp;refID=7140405&amp;Result=3","7140405")</f>
        <v>0</v>
      </c>
      <c r="B12201" t="s">
        <v>709</v>
      </c>
      <c r="C12201" t="s">
        <v>15384</v>
      </c>
      <c r="D12201" t="s">
        <v>19037</v>
      </c>
      <c r="E12201" t="s">
        <v>29543</v>
      </c>
      <c r="F12201" t="s">
        <v>32831</v>
      </c>
      <c r="G12201" t="s">
        <v>32839</v>
      </c>
      <c r="H12201" t="s">
        <v>32848</v>
      </c>
      <c r="I12201" t="s">
        <v>32894</v>
      </c>
      <c r="J12201" t="s">
        <v>40457</v>
      </c>
      <c r="K12201" t="s">
        <v>42730</v>
      </c>
      <c r="M12201" t="s">
        <v>44979</v>
      </c>
      <c r="N12201" t="s">
        <v>47424</v>
      </c>
      <c r="O12201" t="s">
        <v>47425</v>
      </c>
      <c r="P12201">
        <v>0</v>
      </c>
      <c r="Q12201">
        <v>12</v>
      </c>
      <c r="R12201" t="s">
        <v>47439</v>
      </c>
      <c r="S12201" t="s">
        <v>47860</v>
      </c>
      <c r="T12201" t="s">
        <v>49172</v>
      </c>
      <c r="U12201" t="s">
        <v>59685</v>
      </c>
      <c r="V12201" t="s">
        <v>63974</v>
      </c>
      <c r="W12201" t="s">
        <v>44979</v>
      </c>
      <c r="X12201" t="s">
        <v>47440</v>
      </c>
    </row>
    <row r="12202" spans="1:24">
      <c r="A12202">
        <f>HYPERLINK("https://www.philgeps.gov.ph/GEPSNONPILOT/Tender/SplashBidNoticeAbstractUI.aspx?menuIndex=3&amp;refID=7140586&amp;Result=3","7140586")</f>
        <v>0</v>
      </c>
      <c r="B12202" t="s">
        <v>924</v>
      </c>
      <c r="C12202" t="s">
        <v>15385</v>
      </c>
      <c r="D12202" t="s">
        <v>19059</v>
      </c>
      <c r="E12202" t="s">
        <v>29544</v>
      </c>
      <c r="F12202" t="s">
        <v>32831</v>
      </c>
      <c r="G12202" t="s">
        <v>32839</v>
      </c>
      <c r="H12202" t="s">
        <v>32848</v>
      </c>
      <c r="I12202" t="s">
        <v>7751</v>
      </c>
      <c r="J12202" t="s">
        <v>33794</v>
      </c>
      <c r="K12202" t="s">
        <v>42730</v>
      </c>
      <c r="M12202" t="s">
        <v>43965</v>
      </c>
      <c r="N12202" t="s">
        <v>47424</v>
      </c>
      <c r="O12202" t="s">
        <v>47425</v>
      </c>
      <c r="P12202">
        <v>0</v>
      </c>
      <c r="Q12202">
        <v>2</v>
      </c>
      <c r="R12202" t="s">
        <v>47439</v>
      </c>
      <c r="S12202" t="s">
        <v>47860</v>
      </c>
      <c r="T12202" t="s">
        <v>49196</v>
      </c>
      <c r="U12202" t="s">
        <v>59686</v>
      </c>
      <c r="V12202" t="s">
        <v>63975</v>
      </c>
      <c r="W12202" t="s">
        <v>43965</v>
      </c>
      <c r="X12202" t="s">
        <v>47440</v>
      </c>
    </row>
    <row r="12203" spans="1:24">
      <c r="A12203">
        <f>HYPERLINK("https://www.philgeps.gov.ph/GEPSNONPILOT/Tender/SplashBidNoticeAbstractUI.aspx?menuIndex=3&amp;refID=7140435&amp;Result=3","7140435")</f>
        <v>0</v>
      </c>
      <c r="B12203" t="s">
        <v>1953</v>
      </c>
      <c r="C12203" t="s">
        <v>15386</v>
      </c>
      <c r="E12203" t="s">
        <v>29545</v>
      </c>
      <c r="F12203" t="s">
        <v>32831</v>
      </c>
      <c r="G12203" t="s">
        <v>32839</v>
      </c>
      <c r="H12203" t="s">
        <v>32848</v>
      </c>
      <c r="I12203" t="s">
        <v>32876</v>
      </c>
      <c r="J12203" t="s">
        <v>40458</v>
      </c>
      <c r="K12203" t="s">
        <v>42763</v>
      </c>
      <c r="M12203" t="s">
        <v>45110</v>
      </c>
      <c r="N12203" t="s">
        <v>47424</v>
      </c>
      <c r="O12203" t="s">
        <v>47425</v>
      </c>
      <c r="Q12203">
        <v>7</v>
      </c>
      <c r="R12203" t="s">
        <v>47439</v>
      </c>
      <c r="S12203" t="s">
        <v>47901</v>
      </c>
      <c r="T12203" t="s">
        <v>49192</v>
      </c>
      <c r="U12203" t="s">
        <v>54040</v>
      </c>
      <c r="W12203" t="s">
        <v>45110</v>
      </c>
      <c r="X12203" t="s">
        <v>47440</v>
      </c>
    </row>
    <row r="12204" spans="1:24">
      <c r="A12204">
        <f>HYPERLINK("https://www.philgeps.gov.ph/GEPSNONPILOT/Tender/SplashBidNoticeAbstractUI.aspx?menuIndex=3&amp;refID=7140584&amp;Result=3","7140584")</f>
        <v>0</v>
      </c>
      <c r="B12204" t="s">
        <v>3538</v>
      </c>
      <c r="C12204" t="s">
        <v>15387</v>
      </c>
      <c r="D12204" t="s">
        <v>19042</v>
      </c>
      <c r="E12204" t="s">
        <v>23170</v>
      </c>
      <c r="F12204" t="s">
        <v>32832</v>
      </c>
      <c r="G12204" t="s">
        <v>32839</v>
      </c>
      <c r="H12204" t="s">
        <v>32848</v>
      </c>
      <c r="I12204" t="s">
        <v>7416</v>
      </c>
      <c r="J12204" t="s">
        <v>40459</v>
      </c>
      <c r="K12204" t="s">
        <v>42726</v>
      </c>
      <c r="M12204" t="s">
        <v>46891</v>
      </c>
      <c r="N12204" t="s">
        <v>47424</v>
      </c>
      <c r="O12204" t="s">
        <v>47425</v>
      </c>
      <c r="P12204">
        <v>0</v>
      </c>
      <c r="Q12204">
        <v>0</v>
      </c>
      <c r="R12204" t="s">
        <v>47439</v>
      </c>
      <c r="S12204" t="s">
        <v>47860</v>
      </c>
      <c r="T12204" t="s">
        <v>49124</v>
      </c>
      <c r="U12204" t="s">
        <v>59687</v>
      </c>
      <c r="W12204" t="s">
        <v>46891</v>
      </c>
      <c r="X12204" t="s">
        <v>47440</v>
      </c>
    </row>
    <row r="12205" spans="1:24">
      <c r="A12205">
        <f>HYPERLINK("https://www.philgeps.gov.ph/GEPSNONPILOT/Tender/SplashBidNoticeAbstractUI.aspx?menuIndex=3&amp;refID=7140228&amp;Result=3","7140228")</f>
        <v>0</v>
      </c>
      <c r="B12205" t="s">
        <v>2356</v>
      </c>
      <c r="C12205" t="s">
        <v>15388</v>
      </c>
      <c r="D12205" t="s">
        <v>19017</v>
      </c>
      <c r="E12205" t="s">
        <v>29546</v>
      </c>
      <c r="F12205" t="s">
        <v>32831</v>
      </c>
      <c r="G12205" t="s">
        <v>32845</v>
      </c>
      <c r="H12205" t="s">
        <v>32848</v>
      </c>
      <c r="I12205" t="s">
        <v>4303</v>
      </c>
      <c r="J12205" t="s">
        <v>40460</v>
      </c>
      <c r="K12205" t="s">
        <v>42730</v>
      </c>
      <c r="M12205" t="s">
        <v>45545</v>
      </c>
      <c r="N12205" t="s">
        <v>47424</v>
      </c>
      <c r="O12205" t="s">
        <v>47425</v>
      </c>
      <c r="Q12205">
        <v>5</v>
      </c>
      <c r="R12205" t="s">
        <v>47439</v>
      </c>
      <c r="S12205" t="s">
        <v>47902</v>
      </c>
      <c r="T12205" t="s">
        <v>49142</v>
      </c>
      <c r="U12205" t="s">
        <v>59518</v>
      </c>
      <c r="W12205" t="s">
        <v>45545</v>
      </c>
      <c r="X12205" t="s">
        <v>47440</v>
      </c>
    </row>
    <row r="12206" spans="1:24">
      <c r="A12206">
        <f>HYPERLINK("https://www.philgeps.gov.ph/GEPSNONPILOT/Tender/SplashBidNoticeAbstractUI.aspx?menuIndex=3&amp;refID=7140596&amp;Result=3","7140596")</f>
        <v>0</v>
      </c>
      <c r="B12206" t="s">
        <v>1740</v>
      </c>
      <c r="C12206" t="s">
        <v>15389</v>
      </c>
      <c r="D12206" t="s">
        <v>19068</v>
      </c>
      <c r="E12206" t="s">
        <v>29547</v>
      </c>
      <c r="F12206" t="s">
        <v>32831</v>
      </c>
      <c r="G12206" t="s">
        <v>32839</v>
      </c>
      <c r="H12206" t="s">
        <v>32848</v>
      </c>
      <c r="I12206" t="s">
        <v>4776</v>
      </c>
      <c r="J12206" t="s">
        <v>34741</v>
      </c>
      <c r="K12206" t="s">
        <v>42727</v>
      </c>
      <c r="M12206" t="s">
        <v>44863</v>
      </c>
      <c r="N12206" t="s">
        <v>47424</v>
      </c>
      <c r="O12206" t="s">
        <v>47425</v>
      </c>
      <c r="P12206">
        <v>0</v>
      </c>
      <c r="Q12206">
        <v>0</v>
      </c>
      <c r="R12206" t="s">
        <v>47439</v>
      </c>
      <c r="S12206" t="s">
        <v>47860</v>
      </c>
      <c r="T12206" t="s">
        <v>49057</v>
      </c>
      <c r="U12206" t="s">
        <v>59688</v>
      </c>
      <c r="W12206" t="s">
        <v>44863</v>
      </c>
      <c r="X12206" t="s">
        <v>47440</v>
      </c>
    </row>
    <row r="12207" spans="1:24">
      <c r="A12207">
        <f>HYPERLINK("https://www.philgeps.gov.ph/GEPSNONPILOT/Tender/SplashBidNoticeAbstractUI.aspx?menuIndex=3&amp;refID=7140559&amp;Result=3","7140559")</f>
        <v>0</v>
      </c>
      <c r="B12207" t="s">
        <v>3539</v>
      </c>
      <c r="C12207" t="s">
        <v>15390</v>
      </c>
      <c r="D12207" t="s">
        <v>19022</v>
      </c>
      <c r="E12207" t="s">
        <v>29548</v>
      </c>
      <c r="F12207" t="s">
        <v>32831</v>
      </c>
      <c r="G12207" t="s">
        <v>32839</v>
      </c>
      <c r="H12207" t="s">
        <v>32848</v>
      </c>
      <c r="I12207" t="s">
        <v>32921</v>
      </c>
      <c r="J12207" t="s">
        <v>36645</v>
      </c>
      <c r="K12207" t="s">
        <v>42726</v>
      </c>
      <c r="M12207" t="s">
        <v>46892</v>
      </c>
      <c r="N12207" t="s">
        <v>47424</v>
      </c>
      <c r="O12207" t="s">
        <v>47425</v>
      </c>
      <c r="P12207">
        <v>0</v>
      </c>
      <c r="Q12207">
        <v>2</v>
      </c>
      <c r="R12207" t="s">
        <v>47439</v>
      </c>
      <c r="S12207" t="s">
        <v>47860</v>
      </c>
      <c r="T12207" t="s">
        <v>49218</v>
      </c>
      <c r="U12207" t="s">
        <v>59689</v>
      </c>
      <c r="W12207" t="s">
        <v>46892</v>
      </c>
      <c r="X12207" t="s">
        <v>47440</v>
      </c>
    </row>
    <row r="12208" spans="1:24">
      <c r="A12208">
        <f>HYPERLINK("https://www.philgeps.gov.ph/GEPSNONPILOT/Tender/SplashBidNoticeAbstractUI.aspx?menuIndex=3&amp;refID=7140549&amp;Result=3","7140549")</f>
        <v>0</v>
      </c>
      <c r="B12208" t="s">
        <v>3540</v>
      </c>
      <c r="C12208" t="s">
        <v>15391</v>
      </c>
      <c r="D12208" t="s">
        <v>19062</v>
      </c>
      <c r="E12208" t="s">
        <v>29549</v>
      </c>
      <c r="F12208" t="s">
        <v>32831</v>
      </c>
      <c r="G12208" t="s">
        <v>32839</v>
      </c>
      <c r="H12208" t="s">
        <v>32848</v>
      </c>
      <c r="I12208" t="s">
        <v>7416</v>
      </c>
      <c r="J12208" t="s">
        <v>40461</v>
      </c>
      <c r="K12208" t="s">
        <v>42727</v>
      </c>
      <c r="M12208" t="s">
        <v>46893</v>
      </c>
      <c r="N12208" t="s">
        <v>47424</v>
      </c>
      <c r="O12208" t="s">
        <v>47425</v>
      </c>
      <c r="P12208">
        <v>0</v>
      </c>
      <c r="Q12208">
        <v>0</v>
      </c>
      <c r="R12208" t="s">
        <v>47439</v>
      </c>
      <c r="S12208" t="s">
        <v>47860</v>
      </c>
      <c r="T12208" t="s">
        <v>49068</v>
      </c>
      <c r="U12208" t="s">
        <v>59690</v>
      </c>
      <c r="V12208" t="s">
        <v>63976</v>
      </c>
      <c r="W12208" t="s">
        <v>46893</v>
      </c>
      <c r="X12208" t="s">
        <v>47440</v>
      </c>
    </row>
    <row r="12209" spans="1:24">
      <c r="A12209">
        <f>HYPERLINK("https://www.philgeps.gov.ph/GEPSNONPILOT/Tender/SplashBidNoticeAbstractUI.aspx?menuIndex=3&amp;refID=7140261&amp;Result=3","7140261")</f>
        <v>0</v>
      </c>
      <c r="B12209" t="s">
        <v>3312</v>
      </c>
      <c r="C12209" t="s">
        <v>15392</v>
      </c>
      <c r="D12209" t="s">
        <v>19030</v>
      </c>
      <c r="E12209" t="s">
        <v>29550</v>
      </c>
      <c r="F12209" t="s">
        <v>32831</v>
      </c>
      <c r="G12209" t="s">
        <v>32839</v>
      </c>
      <c r="H12209" t="s">
        <v>32848</v>
      </c>
      <c r="I12209" t="s">
        <v>4776</v>
      </c>
      <c r="J12209" t="s">
        <v>36132</v>
      </c>
      <c r="K12209" t="s">
        <v>42731</v>
      </c>
      <c r="M12209" t="s">
        <v>46634</v>
      </c>
      <c r="N12209" t="s">
        <v>47424</v>
      </c>
      <c r="O12209" t="s">
        <v>47425</v>
      </c>
      <c r="P12209">
        <v>0</v>
      </c>
      <c r="Q12209">
        <v>8</v>
      </c>
      <c r="R12209" t="s">
        <v>47439</v>
      </c>
      <c r="S12209" t="s">
        <v>47860</v>
      </c>
      <c r="T12209" t="s">
        <v>49057</v>
      </c>
      <c r="U12209" t="s">
        <v>59691</v>
      </c>
      <c r="V12209" t="s">
        <v>63977</v>
      </c>
      <c r="W12209" t="s">
        <v>46634</v>
      </c>
      <c r="X12209" t="s">
        <v>47440</v>
      </c>
    </row>
    <row r="12210" spans="1:24">
      <c r="A12210">
        <f>HYPERLINK("https://www.philgeps.gov.ph/GEPSNONPILOT/Tender/SplashBidNoticeAbstractUI.aspx?menuIndex=3&amp;refID=7140401&amp;Result=3","7140401")</f>
        <v>0</v>
      </c>
      <c r="B12210" t="s">
        <v>2391</v>
      </c>
      <c r="C12210" t="s">
        <v>15393</v>
      </c>
      <c r="D12210" t="s">
        <v>19077</v>
      </c>
      <c r="E12210" t="s">
        <v>29551</v>
      </c>
      <c r="F12210" t="s">
        <v>32831</v>
      </c>
      <c r="G12210" t="s">
        <v>32839</v>
      </c>
      <c r="H12210" t="s">
        <v>32848</v>
      </c>
      <c r="I12210" t="s">
        <v>32902</v>
      </c>
      <c r="J12210" t="s">
        <v>33118</v>
      </c>
      <c r="K12210" t="s">
        <v>42731</v>
      </c>
      <c r="M12210" t="s">
        <v>45582</v>
      </c>
      <c r="N12210" t="s">
        <v>47424</v>
      </c>
      <c r="O12210" t="s">
        <v>47425</v>
      </c>
      <c r="P12210">
        <v>0</v>
      </c>
      <c r="Q12210">
        <v>4</v>
      </c>
      <c r="R12210" t="s">
        <v>47439</v>
      </c>
      <c r="S12210" t="s">
        <v>47860</v>
      </c>
      <c r="T12210" t="s">
        <v>49169</v>
      </c>
      <c r="U12210" t="s">
        <v>59692</v>
      </c>
      <c r="W12210" t="s">
        <v>45582</v>
      </c>
      <c r="X12210" t="s">
        <v>47440</v>
      </c>
    </row>
    <row r="12211" spans="1:24">
      <c r="A12211">
        <f>HYPERLINK("https://www.philgeps.gov.ph/GEPSNONPILOT/Tender/SplashBidNoticeAbstractUI.aspx?menuIndex=3&amp;refID=7140517&amp;Result=3","7140517")</f>
        <v>0</v>
      </c>
      <c r="B12211" t="s">
        <v>3541</v>
      </c>
      <c r="C12211" t="s">
        <v>15394</v>
      </c>
      <c r="D12211" t="s">
        <v>19052</v>
      </c>
      <c r="E12211" t="s">
        <v>29552</v>
      </c>
      <c r="F12211" t="s">
        <v>32831</v>
      </c>
      <c r="G12211" t="s">
        <v>32839</v>
      </c>
      <c r="H12211" t="s">
        <v>32848</v>
      </c>
      <c r="I12211" t="s">
        <v>7751</v>
      </c>
      <c r="J12211" t="s">
        <v>33794</v>
      </c>
      <c r="K12211" t="s">
        <v>42730</v>
      </c>
      <c r="M12211" t="s">
        <v>46894</v>
      </c>
      <c r="N12211" t="s">
        <v>47424</v>
      </c>
      <c r="O12211" t="s">
        <v>47425</v>
      </c>
      <c r="P12211">
        <v>0</v>
      </c>
      <c r="Q12211">
        <v>4</v>
      </c>
      <c r="R12211" t="s">
        <v>47439</v>
      </c>
      <c r="S12211" t="s">
        <v>47860</v>
      </c>
      <c r="T12211" t="s">
        <v>49275</v>
      </c>
      <c r="U12211" t="s">
        <v>59693</v>
      </c>
      <c r="W12211" t="s">
        <v>46894</v>
      </c>
      <c r="X12211" t="s">
        <v>47440</v>
      </c>
    </row>
    <row r="12212" spans="1:24">
      <c r="A12212">
        <f>HYPERLINK("https://www.philgeps.gov.ph/GEPSNONPILOT/Tender/SplashBidNoticeAbstractUI.aspx?menuIndex=3&amp;refID=7140511&amp;Result=3","7140511")</f>
        <v>0</v>
      </c>
      <c r="B12212" t="s">
        <v>3542</v>
      </c>
      <c r="C12212" t="s">
        <v>15395</v>
      </c>
      <c r="D12212" t="s">
        <v>19104</v>
      </c>
      <c r="E12212" t="s">
        <v>29553</v>
      </c>
      <c r="F12212" t="s">
        <v>32831</v>
      </c>
      <c r="G12212" t="s">
        <v>32839</v>
      </c>
      <c r="H12212" t="s">
        <v>32849</v>
      </c>
      <c r="I12212" t="s">
        <v>32931</v>
      </c>
      <c r="J12212" t="s">
        <v>40462</v>
      </c>
      <c r="K12212" t="s">
        <v>42730</v>
      </c>
      <c r="M12212" t="s">
        <v>46895</v>
      </c>
      <c r="N12212" t="s">
        <v>47424</v>
      </c>
      <c r="O12212" t="s">
        <v>47425</v>
      </c>
      <c r="P12212">
        <v>0</v>
      </c>
      <c r="Q12212">
        <v>5</v>
      </c>
      <c r="R12212" t="s">
        <v>47439</v>
      </c>
      <c r="S12212" t="s">
        <v>47860</v>
      </c>
      <c r="T12212" t="s">
        <v>49066</v>
      </c>
      <c r="U12212" t="s">
        <v>59694</v>
      </c>
      <c r="W12212" t="s">
        <v>46895</v>
      </c>
      <c r="X12212" t="s">
        <v>47440</v>
      </c>
    </row>
    <row r="12213" spans="1:24">
      <c r="A12213">
        <f>HYPERLINK("https://www.philgeps.gov.ph/GEPSNONPILOT/Tender/SplashBidNoticeAbstractUI.aspx?menuIndex=3&amp;refID=7140525&amp;Result=3","7140525")</f>
        <v>0</v>
      </c>
      <c r="B12213" t="s">
        <v>1207</v>
      </c>
      <c r="C12213" t="s">
        <v>15396</v>
      </c>
      <c r="D12213" t="s">
        <v>19049</v>
      </c>
      <c r="E12213" t="s">
        <v>29554</v>
      </c>
      <c r="F12213" t="s">
        <v>32833</v>
      </c>
      <c r="G12213" t="s">
        <v>32839</v>
      </c>
      <c r="H12213" t="s">
        <v>32848</v>
      </c>
      <c r="I12213" t="s">
        <v>32856</v>
      </c>
      <c r="J12213" t="s">
        <v>35198</v>
      </c>
      <c r="K12213" t="s">
        <v>42747</v>
      </c>
      <c r="M12213" t="s">
        <v>44274</v>
      </c>
      <c r="N12213" t="s">
        <v>47424</v>
      </c>
      <c r="O12213" t="s">
        <v>47425</v>
      </c>
      <c r="P12213">
        <v>0</v>
      </c>
      <c r="Q12213">
        <v>0</v>
      </c>
      <c r="R12213" t="s">
        <v>47439</v>
      </c>
      <c r="S12213" t="s">
        <v>47860</v>
      </c>
      <c r="T12213" t="s">
        <v>49251</v>
      </c>
      <c r="U12213" t="s">
        <v>59695</v>
      </c>
      <c r="W12213" t="s">
        <v>44274</v>
      </c>
      <c r="X12213" t="s">
        <v>47440</v>
      </c>
    </row>
    <row r="12214" spans="1:24">
      <c r="A12214">
        <f>HYPERLINK("https://www.philgeps.gov.ph/GEPSNONPILOT/Tender/SplashBidNoticeAbstractUI.aspx?menuIndex=3&amp;refID=7140466&amp;Result=3","7140466")</f>
        <v>0</v>
      </c>
      <c r="B12214" t="s">
        <v>709</v>
      </c>
      <c r="C12214" t="s">
        <v>15397</v>
      </c>
      <c r="D12214" t="s">
        <v>19037</v>
      </c>
      <c r="E12214" t="s">
        <v>29555</v>
      </c>
      <c r="F12214" t="s">
        <v>32831</v>
      </c>
      <c r="G12214" t="s">
        <v>32839</v>
      </c>
      <c r="H12214" t="s">
        <v>32848</v>
      </c>
      <c r="I12214" t="s">
        <v>32874</v>
      </c>
      <c r="J12214" t="s">
        <v>40463</v>
      </c>
      <c r="K12214" t="s">
        <v>42730</v>
      </c>
      <c r="M12214" t="s">
        <v>44979</v>
      </c>
      <c r="N12214" t="s">
        <v>47424</v>
      </c>
      <c r="O12214" t="s">
        <v>47425</v>
      </c>
      <c r="P12214">
        <v>0</v>
      </c>
      <c r="Q12214">
        <v>10</v>
      </c>
      <c r="R12214" t="s">
        <v>47439</v>
      </c>
      <c r="S12214" t="s">
        <v>47860</v>
      </c>
      <c r="T12214" t="s">
        <v>49172</v>
      </c>
      <c r="U12214" t="s">
        <v>59696</v>
      </c>
      <c r="V12214" t="s">
        <v>63978</v>
      </c>
      <c r="W12214" t="s">
        <v>44979</v>
      </c>
      <c r="X12214" t="s">
        <v>47440</v>
      </c>
    </row>
    <row r="12215" spans="1:24">
      <c r="A12215">
        <f>HYPERLINK("https://www.philgeps.gov.ph/GEPSNONPILOT/Tender/SplashBidNoticeAbstractUI.aspx?menuIndex=3&amp;refID=7140487&amp;Result=3","7140487")</f>
        <v>0</v>
      </c>
      <c r="B12215" t="s">
        <v>3543</v>
      </c>
      <c r="C12215" t="s">
        <v>15398</v>
      </c>
      <c r="D12215" t="s">
        <v>19024</v>
      </c>
      <c r="E12215" t="s">
        <v>29556</v>
      </c>
      <c r="F12215" t="s">
        <v>32831</v>
      </c>
      <c r="G12215" t="s">
        <v>32839</v>
      </c>
      <c r="H12215" t="s">
        <v>32849</v>
      </c>
      <c r="I12215" t="s">
        <v>4177</v>
      </c>
      <c r="J12215" t="s">
        <v>32979</v>
      </c>
      <c r="K12215" t="s">
        <v>42729</v>
      </c>
      <c r="M12215" t="s">
        <v>46896</v>
      </c>
      <c r="N12215" t="s">
        <v>47424</v>
      </c>
      <c r="O12215" t="s">
        <v>47425</v>
      </c>
      <c r="Q12215">
        <v>1</v>
      </c>
      <c r="R12215" t="s">
        <v>47439</v>
      </c>
      <c r="S12215" t="s">
        <v>47903</v>
      </c>
      <c r="T12215" t="s">
        <v>49239</v>
      </c>
      <c r="U12215" t="s">
        <v>59697</v>
      </c>
      <c r="V12215" t="s">
        <v>63979</v>
      </c>
      <c r="W12215" t="s">
        <v>46896</v>
      </c>
      <c r="X12215" t="s">
        <v>47440</v>
      </c>
    </row>
    <row r="12216" spans="1:24">
      <c r="A12216">
        <f>HYPERLINK("https://www.philgeps.gov.ph/GEPSNONPILOT/Tender/SplashBidNoticeAbstractUI.aspx?menuIndex=3&amp;refID=7140564&amp;Result=3","7140564")</f>
        <v>0</v>
      </c>
      <c r="B12216" t="s">
        <v>709</v>
      </c>
      <c r="C12216" t="s">
        <v>15399</v>
      </c>
      <c r="D12216" t="s">
        <v>19037</v>
      </c>
      <c r="E12216" t="s">
        <v>29557</v>
      </c>
      <c r="F12216" t="s">
        <v>32831</v>
      </c>
      <c r="G12216" t="s">
        <v>32839</v>
      </c>
      <c r="H12216" t="s">
        <v>32848</v>
      </c>
      <c r="I12216" t="s">
        <v>32857</v>
      </c>
      <c r="J12216" t="s">
        <v>40464</v>
      </c>
      <c r="K12216" t="s">
        <v>42730</v>
      </c>
      <c r="M12216" t="s">
        <v>44979</v>
      </c>
      <c r="N12216" t="s">
        <v>47424</v>
      </c>
      <c r="O12216" t="s">
        <v>47425</v>
      </c>
      <c r="P12216">
        <v>0</v>
      </c>
      <c r="Q12216">
        <v>13</v>
      </c>
      <c r="R12216" t="s">
        <v>47439</v>
      </c>
      <c r="S12216" t="s">
        <v>47860</v>
      </c>
      <c r="T12216" t="s">
        <v>49172</v>
      </c>
      <c r="U12216" t="s">
        <v>59698</v>
      </c>
      <c r="V12216" t="s">
        <v>63980</v>
      </c>
      <c r="W12216" t="s">
        <v>44979</v>
      </c>
      <c r="X12216" t="s">
        <v>47440</v>
      </c>
    </row>
    <row r="12217" spans="1:24">
      <c r="A12217">
        <f>HYPERLINK("https://www.philgeps.gov.ph/GEPSNONPILOT/Tender/SplashBidNoticeAbstractUI.aspx?menuIndex=3&amp;refID=7140459&amp;Result=3","7140459")</f>
        <v>0</v>
      </c>
      <c r="B12217" t="s">
        <v>1353</v>
      </c>
      <c r="C12217" t="s">
        <v>15400</v>
      </c>
      <c r="D12217" t="s">
        <v>19042</v>
      </c>
      <c r="E12217" t="s">
        <v>29558</v>
      </c>
      <c r="F12217" t="s">
        <v>32831</v>
      </c>
      <c r="G12217" t="s">
        <v>32841</v>
      </c>
      <c r="H12217" t="s">
        <v>32849</v>
      </c>
      <c r="I12217" t="s">
        <v>4177</v>
      </c>
      <c r="J12217" t="s">
        <v>40465</v>
      </c>
      <c r="K12217" t="s">
        <v>42780</v>
      </c>
      <c r="M12217" t="s">
        <v>46897</v>
      </c>
      <c r="N12217" t="s">
        <v>47424</v>
      </c>
      <c r="O12217" t="s">
        <v>47425</v>
      </c>
      <c r="P12217">
        <v>0</v>
      </c>
      <c r="Q12217">
        <v>1</v>
      </c>
      <c r="R12217" t="s">
        <v>47439</v>
      </c>
      <c r="S12217" t="s">
        <v>47860</v>
      </c>
      <c r="T12217" t="s">
        <v>49069</v>
      </c>
      <c r="U12217" t="s">
        <v>59699</v>
      </c>
      <c r="V12217" t="s">
        <v>63981</v>
      </c>
      <c r="W12217" t="s">
        <v>46897</v>
      </c>
      <c r="X12217" t="s">
        <v>47440</v>
      </c>
    </row>
    <row r="12218" spans="1:24">
      <c r="A12218">
        <f>HYPERLINK("https://www.philgeps.gov.ph/GEPSNONPILOT/Tender/SplashBidNoticeAbstractUI.aspx?menuIndex=3&amp;refID=7140461&amp;Result=3","7140461")</f>
        <v>0</v>
      </c>
      <c r="B12218" t="s">
        <v>3491</v>
      </c>
      <c r="C12218" t="s">
        <v>15401</v>
      </c>
      <c r="E12218" t="s">
        <v>29559</v>
      </c>
      <c r="F12218" t="s">
        <v>32831</v>
      </c>
      <c r="G12218" t="s">
        <v>32839</v>
      </c>
      <c r="H12218" t="s">
        <v>32849</v>
      </c>
      <c r="I12218" t="s">
        <v>4177</v>
      </c>
      <c r="J12218" t="s">
        <v>33032</v>
      </c>
      <c r="K12218" t="s">
        <v>42732</v>
      </c>
      <c r="M12218" t="s">
        <v>46840</v>
      </c>
      <c r="N12218" t="s">
        <v>47424</v>
      </c>
      <c r="O12218" t="s">
        <v>47425</v>
      </c>
      <c r="P12218">
        <v>0</v>
      </c>
      <c r="Q12218">
        <v>1</v>
      </c>
      <c r="R12218" t="s">
        <v>47439</v>
      </c>
      <c r="S12218" t="s">
        <v>47860</v>
      </c>
      <c r="T12218" t="s">
        <v>49070</v>
      </c>
      <c r="U12218" t="s">
        <v>59700</v>
      </c>
      <c r="W12218" t="s">
        <v>46840</v>
      </c>
      <c r="X12218" t="s">
        <v>47440</v>
      </c>
    </row>
    <row r="12219" spans="1:24">
      <c r="A12219">
        <f>HYPERLINK("https://www.philgeps.gov.ph/GEPSNONPILOT/Tender/SplashBidNoticeAbstractUI.aspx?menuIndex=3&amp;refID=7139912&amp;Result=3","7139912")</f>
        <v>0</v>
      </c>
      <c r="B12219" t="s">
        <v>180</v>
      </c>
      <c r="C12219" t="s">
        <v>15402</v>
      </c>
      <c r="D12219" t="s">
        <v>19021</v>
      </c>
      <c r="E12219" t="s">
        <v>29560</v>
      </c>
      <c r="F12219" t="s">
        <v>32831</v>
      </c>
      <c r="G12219" t="s">
        <v>32839</v>
      </c>
      <c r="H12219" t="s">
        <v>32848</v>
      </c>
      <c r="I12219" t="s">
        <v>4558</v>
      </c>
      <c r="J12219" t="s">
        <v>40466</v>
      </c>
      <c r="K12219" t="s">
        <v>42732</v>
      </c>
      <c r="M12219" t="s">
        <v>43178</v>
      </c>
      <c r="N12219" t="s">
        <v>47424</v>
      </c>
      <c r="O12219" t="s">
        <v>47425</v>
      </c>
      <c r="P12219">
        <v>0</v>
      </c>
      <c r="Q12219">
        <v>1</v>
      </c>
      <c r="R12219" t="s">
        <v>47439</v>
      </c>
      <c r="S12219" t="s">
        <v>47860</v>
      </c>
      <c r="T12219" t="s">
        <v>49059</v>
      </c>
      <c r="U12219" t="s">
        <v>59701</v>
      </c>
      <c r="W12219" t="s">
        <v>43178</v>
      </c>
      <c r="X12219" t="s">
        <v>47440</v>
      </c>
    </row>
    <row r="12220" spans="1:24">
      <c r="A12220">
        <f>HYPERLINK("https://www.philgeps.gov.ph/GEPSNONPILOT/Tender/SplashBidNoticeAbstractUI.aspx?menuIndex=3&amp;refID=7140745&amp;Result=3","7140745")</f>
        <v>0</v>
      </c>
      <c r="B12220" t="s">
        <v>147</v>
      </c>
      <c r="C12220" t="s">
        <v>15403</v>
      </c>
      <c r="D12220" t="s">
        <v>19067</v>
      </c>
      <c r="E12220" t="s">
        <v>29561</v>
      </c>
      <c r="F12220" t="s">
        <v>32831</v>
      </c>
      <c r="G12220" t="s">
        <v>32839</v>
      </c>
      <c r="H12220" t="s">
        <v>32848</v>
      </c>
      <c r="I12220" t="s">
        <v>4776</v>
      </c>
      <c r="J12220" t="s">
        <v>33307</v>
      </c>
      <c r="K12220" t="s">
        <v>42730</v>
      </c>
      <c r="M12220" t="s">
        <v>43144</v>
      </c>
      <c r="N12220" t="s">
        <v>47424</v>
      </c>
      <c r="O12220" t="s">
        <v>47425</v>
      </c>
      <c r="P12220">
        <v>0</v>
      </c>
      <c r="Q12220">
        <v>2</v>
      </c>
      <c r="R12220" t="s">
        <v>47439</v>
      </c>
      <c r="S12220" t="s">
        <v>47860</v>
      </c>
      <c r="T12220" t="s">
        <v>49237</v>
      </c>
      <c r="U12220" t="s">
        <v>59702</v>
      </c>
      <c r="W12220" t="s">
        <v>43144</v>
      </c>
      <c r="X12220" t="s">
        <v>47440</v>
      </c>
    </row>
    <row r="12221" spans="1:24">
      <c r="A12221">
        <f>HYPERLINK("https://www.philgeps.gov.ph/GEPSNONPILOT/Tender/SplashBidNoticeAbstractUI.aspx?menuIndex=3&amp;refID=7140727&amp;Result=3","7140727")</f>
        <v>0</v>
      </c>
      <c r="B12221" t="s">
        <v>924</v>
      </c>
      <c r="C12221" t="s">
        <v>15404</v>
      </c>
      <c r="D12221" t="s">
        <v>19059</v>
      </c>
      <c r="E12221" t="s">
        <v>29562</v>
      </c>
      <c r="F12221" t="s">
        <v>32831</v>
      </c>
      <c r="G12221" t="s">
        <v>32839</v>
      </c>
      <c r="H12221" t="s">
        <v>32848</v>
      </c>
      <c r="I12221" t="s">
        <v>32903</v>
      </c>
      <c r="J12221" t="s">
        <v>33078</v>
      </c>
      <c r="K12221" t="s">
        <v>42730</v>
      </c>
      <c r="M12221" t="s">
        <v>43965</v>
      </c>
      <c r="N12221" t="s">
        <v>47424</v>
      </c>
      <c r="O12221" t="s">
        <v>47425</v>
      </c>
      <c r="P12221">
        <v>0</v>
      </c>
      <c r="Q12221">
        <v>5</v>
      </c>
      <c r="R12221" t="s">
        <v>47439</v>
      </c>
      <c r="S12221" t="s">
        <v>47860</v>
      </c>
      <c r="T12221" t="s">
        <v>49214</v>
      </c>
      <c r="U12221" t="s">
        <v>59703</v>
      </c>
      <c r="V12221" t="s">
        <v>63982</v>
      </c>
      <c r="W12221" t="s">
        <v>43965</v>
      </c>
      <c r="X12221" t="s">
        <v>47440</v>
      </c>
    </row>
    <row r="12222" spans="1:24">
      <c r="A12222">
        <f>HYPERLINK("https://www.philgeps.gov.ph/GEPSNONPILOT/Tender/SplashBidNoticeAbstractUI.aspx?menuIndex=3&amp;refID=7140748&amp;Result=3","7140748")</f>
        <v>0</v>
      </c>
      <c r="B12222" t="s">
        <v>3544</v>
      </c>
      <c r="C12222" t="s">
        <v>15405</v>
      </c>
      <c r="D12222" t="s">
        <v>19077</v>
      </c>
      <c r="E12222" t="s">
        <v>29563</v>
      </c>
      <c r="F12222" t="s">
        <v>32831</v>
      </c>
      <c r="G12222" t="s">
        <v>32839</v>
      </c>
      <c r="H12222" t="s">
        <v>32849</v>
      </c>
      <c r="I12222" t="s">
        <v>4177</v>
      </c>
      <c r="J12222" t="s">
        <v>40467</v>
      </c>
      <c r="K12222" t="s">
        <v>42773</v>
      </c>
      <c r="M12222" t="s">
        <v>46898</v>
      </c>
      <c r="N12222" t="s">
        <v>47424</v>
      </c>
      <c r="O12222" t="s">
        <v>47425</v>
      </c>
      <c r="P12222">
        <v>0</v>
      </c>
      <c r="Q12222">
        <v>0</v>
      </c>
      <c r="R12222" t="s">
        <v>47439</v>
      </c>
      <c r="S12222" t="s">
        <v>47860</v>
      </c>
      <c r="T12222" t="s">
        <v>49059</v>
      </c>
      <c r="U12222" t="s">
        <v>59704</v>
      </c>
      <c r="W12222" t="s">
        <v>46898</v>
      </c>
      <c r="X12222" t="s">
        <v>47440</v>
      </c>
    </row>
    <row r="12223" spans="1:24">
      <c r="A12223">
        <f>HYPERLINK("https://www.philgeps.gov.ph/GEPSNONPILOT/Tender/SplashBidNoticeAbstractUI.aspx?menuIndex=3&amp;refID=7140712&amp;Result=3","7140712")</f>
        <v>0</v>
      </c>
      <c r="B12223" t="s">
        <v>2831</v>
      </c>
      <c r="C12223" t="s">
        <v>15406</v>
      </c>
      <c r="D12223" t="s">
        <v>19077</v>
      </c>
      <c r="E12223" t="s">
        <v>29564</v>
      </c>
      <c r="F12223" t="s">
        <v>32831</v>
      </c>
      <c r="G12223" t="s">
        <v>32839</v>
      </c>
      <c r="H12223" t="s">
        <v>32848</v>
      </c>
      <c r="I12223" t="s">
        <v>32855</v>
      </c>
      <c r="J12223" t="s">
        <v>33553</v>
      </c>
      <c r="K12223" t="s">
        <v>42763</v>
      </c>
      <c r="M12223" t="s">
        <v>46063</v>
      </c>
      <c r="N12223" t="s">
        <v>47424</v>
      </c>
      <c r="O12223" t="s">
        <v>47425</v>
      </c>
      <c r="P12223">
        <v>0</v>
      </c>
      <c r="Q12223">
        <v>4</v>
      </c>
      <c r="R12223" t="s">
        <v>47439</v>
      </c>
      <c r="S12223" t="s">
        <v>47860</v>
      </c>
      <c r="T12223" t="s">
        <v>49172</v>
      </c>
      <c r="U12223" t="s">
        <v>59705</v>
      </c>
      <c r="W12223" t="s">
        <v>46063</v>
      </c>
      <c r="X12223" t="s">
        <v>47440</v>
      </c>
    </row>
    <row r="12224" spans="1:24">
      <c r="A12224">
        <f>HYPERLINK("https://www.philgeps.gov.ph/GEPSNONPILOT/Tender/SplashBidNoticeAbstractUI.aspx?menuIndex=3&amp;refID=7140744&amp;Result=3","7140744")</f>
        <v>0</v>
      </c>
      <c r="B12224" t="s">
        <v>2831</v>
      </c>
      <c r="C12224" t="s">
        <v>15407</v>
      </c>
      <c r="D12224" t="s">
        <v>19077</v>
      </c>
      <c r="E12224" t="s">
        <v>29565</v>
      </c>
      <c r="F12224" t="s">
        <v>32831</v>
      </c>
      <c r="G12224" t="s">
        <v>32839</v>
      </c>
      <c r="H12224" t="s">
        <v>32848</v>
      </c>
      <c r="I12224" t="s">
        <v>32932</v>
      </c>
      <c r="J12224" t="s">
        <v>40468</v>
      </c>
      <c r="K12224" t="s">
        <v>42730</v>
      </c>
      <c r="M12224" t="s">
        <v>46063</v>
      </c>
      <c r="N12224" t="s">
        <v>47424</v>
      </c>
      <c r="O12224" t="s">
        <v>47425</v>
      </c>
      <c r="P12224">
        <v>0</v>
      </c>
      <c r="Q12224">
        <v>3</v>
      </c>
      <c r="R12224" t="s">
        <v>47439</v>
      </c>
      <c r="S12224" t="s">
        <v>47860</v>
      </c>
      <c r="T12224" t="s">
        <v>49172</v>
      </c>
      <c r="U12224" t="s">
        <v>59706</v>
      </c>
      <c r="W12224" t="s">
        <v>46063</v>
      </c>
      <c r="X12224" t="s">
        <v>47440</v>
      </c>
    </row>
    <row r="12225" spans="1:24">
      <c r="A12225">
        <f>HYPERLINK("https://www.philgeps.gov.ph/GEPSNONPILOT/Tender/SplashBidNoticeAbstractUI.aspx?menuIndex=3&amp;refID=7140706&amp;Result=3","7140706")</f>
        <v>0</v>
      </c>
      <c r="B12225" t="s">
        <v>1367</v>
      </c>
      <c r="C12225" t="s">
        <v>15408</v>
      </c>
      <c r="D12225" t="s">
        <v>19088</v>
      </c>
      <c r="E12225" t="s">
        <v>29566</v>
      </c>
      <c r="F12225" t="s">
        <v>32831</v>
      </c>
      <c r="G12225" t="s">
        <v>32839</v>
      </c>
      <c r="H12225" t="s">
        <v>32849</v>
      </c>
      <c r="I12225" t="s">
        <v>4177</v>
      </c>
      <c r="J12225" t="s">
        <v>40469</v>
      </c>
      <c r="K12225" t="s">
        <v>42729</v>
      </c>
      <c r="M12225" t="s">
        <v>46899</v>
      </c>
      <c r="N12225" t="s">
        <v>47424</v>
      </c>
      <c r="O12225" t="s">
        <v>47425</v>
      </c>
      <c r="Q12225">
        <v>7</v>
      </c>
      <c r="R12225" t="s">
        <v>47439</v>
      </c>
      <c r="S12225" t="s">
        <v>47904</v>
      </c>
      <c r="T12225" t="s">
        <v>49059</v>
      </c>
      <c r="U12225" t="s">
        <v>59707</v>
      </c>
      <c r="W12225" t="s">
        <v>46899</v>
      </c>
      <c r="X12225" t="s">
        <v>47440</v>
      </c>
    </row>
    <row r="12226" spans="1:24">
      <c r="A12226">
        <f>HYPERLINK("https://www.philgeps.gov.ph/GEPSNONPILOT/Tender/SplashBidNoticeAbstractUI.aspx?menuIndex=3&amp;refID=7140720&amp;Result=3","7140720")</f>
        <v>0</v>
      </c>
      <c r="B12226" t="s">
        <v>1414</v>
      </c>
      <c r="C12226" t="s">
        <v>15409</v>
      </c>
      <c r="D12226" t="s">
        <v>19030</v>
      </c>
      <c r="E12226" t="s">
        <v>29567</v>
      </c>
      <c r="F12226" t="s">
        <v>32831</v>
      </c>
      <c r="G12226" t="s">
        <v>32839</v>
      </c>
      <c r="H12226" t="s">
        <v>32849</v>
      </c>
      <c r="I12226" t="s">
        <v>4177</v>
      </c>
      <c r="J12226" t="s">
        <v>40470</v>
      </c>
      <c r="K12226" t="s">
        <v>42757</v>
      </c>
      <c r="M12226" t="s">
        <v>44502</v>
      </c>
      <c r="N12226" t="s">
        <v>47424</v>
      </c>
      <c r="O12226" t="s">
        <v>47425</v>
      </c>
      <c r="P12226">
        <v>0</v>
      </c>
      <c r="Q12226">
        <v>1</v>
      </c>
      <c r="R12226" t="s">
        <v>47439</v>
      </c>
      <c r="S12226" t="s">
        <v>47860</v>
      </c>
      <c r="T12226" t="s">
        <v>49109</v>
      </c>
      <c r="U12226" t="s">
        <v>59708</v>
      </c>
      <c r="W12226" t="s">
        <v>44502</v>
      </c>
      <c r="X12226" t="s">
        <v>47440</v>
      </c>
    </row>
    <row r="12227" spans="1:24">
      <c r="A12227">
        <f>HYPERLINK("https://www.philgeps.gov.ph/GEPSNONPILOT/Tender/SplashBidNoticeAbstractUI.aspx?menuIndex=3&amp;refID=7140701&amp;Result=3","7140701")</f>
        <v>0</v>
      </c>
      <c r="B12227" t="s">
        <v>1389</v>
      </c>
      <c r="C12227" t="s">
        <v>15410</v>
      </c>
      <c r="D12227" t="s">
        <v>19052</v>
      </c>
      <c r="E12227" t="s">
        <v>29568</v>
      </c>
      <c r="F12227" t="s">
        <v>32831</v>
      </c>
      <c r="G12227" t="s">
        <v>32839</v>
      </c>
      <c r="H12227" t="s">
        <v>32849</v>
      </c>
      <c r="I12227" t="s">
        <v>4177</v>
      </c>
      <c r="J12227" t="s">
        <v>35708</v>
      </c>
      <c r="K12227" t="s">
        <v>42770</v>
      </c>
      <c r="M12227" t="s">
        <v>44474</v>
      </c>
      <c r="N12227" t="s">
        <v>47424</v>
      </c>
      <c r="O12227" t="s">
        <v>47425</v>
      </c>
      <c r="P12227">
        <v>0</v>
      </c>
      <c r="Q12227">
        <v>0</v>
      </c>
      <c r="R12227" t="s">
        <v>47439</v>
      </c>
      <c r="S12227" t="s">
        <v>47860</v>
      </c>
      <c r="T12227" t="s">
        <v>49080</v>
      </c>
      <c r="U12227" t="s">
        <v>59709</v>
      </c>
      <c r="W12227" t="s">
        <v>44474</v>
      </c>
      <c r="X12227" t="s">
        <v>47440</v>
      </c>
    </row>
    <row r="12228" spans="1:24">
      <c r="A12228">
        <f>HYPERLINK("https://www.philgeps.gov.ph/GEPSNONPILOT/Tender/SplashBidNoticeAbstractUI.aspx?menuIndex=3&amp;refID=7140501&amp;Result=3","7140501")</f>
        <v>0</v>
      </c>
      <c r="B12228" t="s">
        <v>709</v>
      </c>
      <c r="C12228" t="s">
        <v>15411</v>
      </c>
      <c r="D12228" t="s">
        <v>19037</v>
      </c>
      <c r="E12228" t="s">
        <v>29569</v>
      </c>
      <c r="F12228" t="s">
        <v>32831</v>
      </c>
      <c r="G12228" t="s">
        <v>32839</v>
      </c>
      <c r="H12228" t="s">
        <v>32848</v>
      </c>
      <c r="I12228" t="s">
        <v>32874</v>
      </c>
      <c r="J12228" t="s">
        <v>33087</v>
      </c>
      <c r="K12228" t="s">
        <v>42730</v>
      </c>
      <c r="M12228" t="s">
        <v>44979</v>
      </c>
      <c r="N12228" t="s">
        <v>47424</v>
      </c>
      <c r="O12228" t="s">
        <v>47425</v>
      </c>
      <c r="P12228">
        <v>0</v>
      </c>
      <c r="Q12228">
        <v>7</v>
      </c>
      <c r="R12228" t="s">
        <v>47439</v>
      </c>
      <c r="S12228" t="s">
        <v>47860</v>
      </c>
      <c r="T12228" t="s">
        <v>49172</v>
      </c>
      <c r="U12228" t="s">
        <v>59710</v>
      </c>
      <c r="V12228" t="s">
        <v>63983</v>
      </c>
      <c r="W12228" t="s">
        <v>44979</v>
      </c>
      <c r="X12228" t="s">
        <v>47440</v>
      </c>
    </row>
    <row r="12229" spans="1:24">
      <c r="A12229">
        <f>HYPERLINK("https://www.philgeps.gov.ph/GEPSNONPILOT/Tender/SplashBidNoticeAbstractUI.aspx?menuIndex=3&amp;refID=7140714&amp;Result=3","7140714")</f>
        <v>0</v>
      </c>
      <c r="B12229" t="s">
        <v>49</v>
      </c>
      <c r="C12229" t="s">
        <v>15412</v>
      </c>
      <c r="D12229" t="s">
        <v>19037</v>
      </c>
      <c r="E12229" t="s">
        <v>29570</v>
      </c>
      <c r="F12229" t="s">
        <v>32831</v>
      </c>
      <c r="G12229" t="s">
        <v>32839</v>
      </c>
      <c r="H12229" t="s">
        <v>32848</v>
      </c>
      <c r="I12229" t="s">
        <v>5667</v>
      </c>
      <c r="J12229" t="s">
        <v>40471</v>
      </c>
      <c r="K12229" t="s">
        <v>42750</v>
      </c>
      <c r="M12229" t="s">
        <v>43046</v>
      </c>
      <c r="N12229" t="s">
        <v>47424</v>
      </c>
      <c r="O12229" t="s">
        <v>47425</v>
      </c>
      <c r="Q12229">
        <v>7</v>
      </c>
      <c r="R12229" t="s">
        <v>47439</v>
      </c>
      <c r="S12229" t="s">
        <v>47905</v>
      </c>
      <c r="T12229" t="s">
        <v>49063</v>
      </c>
      <c r="U12229" t="s">
        <v>59711</v>
      </c>
      <c r="V12229" t="s">
        <v>62833</v>
      </c>
      <c r="W12229" t="s">
        <v>43046</v>
      </c>
      <c r="X12229" t="s">
        <v>47440</v>
      </c>
    </row>
    <row r="12230" spans="1:24">
      <c r="A12230">
        <f>HYPERLINK("https://www.philgeps.gov.ph/GEPSNONPILOT/Tender/SplashBidNoticeAbstractUI.aspx?menuIndex=3&amp;refID=7140694&amp;Result=3","7140694")</f>
        <v>0</v>
      </c>
      <c r="B12230" t="s">
        <v>1414</v>
      </c>
      <c r="C12230" t="s">
        <v>15413</v>
      </c>
      <c r="D12230" t="s">
        <v>19030</v>
      </c>
      <c r="E12230" t="s">
        <v>29567</v>
      </c>
      <c r="F12230" t="s">
        <v>32831</v>
      </c>
      <c r="G12230" t="s">
        <v>32839</v>
      </c>
      <c r="H12230" t="s">
        <v>32849</v>
      </c>
      <c r="I12230" t="s">
        <v>4177</v>
      </c>
      <c r="J12230" t="s">
        <v>40472</v>
      </c>
      <c r="K12230" t="s">
        <v>42763</v>
      </c>
      <c r="M12230" t="s">
        <v>44502</v>
      </c>
      <c r="N12230" t="s">
        <v>47424</v>
      </c>
      <c r="O12230" t="s">
        <v>47425</v>
      </c>
      <c r="P12230">
        <v>0</v>
      </c>
      <c r="Q12230">
        <v>1</v>
      </c>
      <c r="R12230" t="s">
        <v>47439</v>
      </c>
      <c r="S12230" t="s">
        <v>47860</v>
      </c>
      <c r="T12230" t="s">
        <v>49105</v>
      </c>
      <c r="U12230" t="s">
        <v>59708</v>
      </c>
      <c r="W12230" t="s">
        <v>44502</v>
      </c>
      <c r="X12230" t="s">
        <v>47440</v>
      </c>
    </row>
    <row r="12231" spans="1:24">
      <c r="A12231">
        <f>HYPERLINK("https://www.philgeps.gov.ph/GEPSNONPILOT/Tender/SplashBidNoticeAbstractUI.aspx?menuIndex=3&amp;refID=7140691&amp;Result=3","7140691")</f>
        <v>0</v>
      </c>
      <c r="B12231" t="s">
        <v>2831</v>
      </c>
      <c r="C12231" t="s">
        <v>15414</v>
      </c>
      <c r="D12231" t="s">
        <v>19077</v>
      </c>
      <c r="E12231" t="s">
        <v>29571</v>
      </c>
      <c r="F12231" t="s">
        <v>32831</v>
      </c>
      <c r="G12231" t="s">
        <v>32839</v>
      </c>
      <c r="H12231" t="s">
        <v>32848</v>
      </c>
      <c r="I12231" t="s">
        <v>32855</v>
      </c>
      <c r="J12231" t="s">
        <v>40473</v>
      </c>
      <c r="K12231" t="s">
        <v>42730</v>
      </c>
      <c r="M12231" t="s">
        <v>46063</v>
      </c>
      <c r="N12231" t="s">
        <v>47424</v>
      </c>
      <c r="O12231" t="s">
        <v>47425</v>
      </c>
      <c r="P12231">
        <v>0</v>
      </c>
      <c r="Q12231">
        <v>4</v>
      </c>
      <c r="R12231" t="s">
        <v>47439</v>
      </c>
      <c r="S12231" t="s">
        <v>47860</v>
      </c>
      <c r="T12231" t="s">
        <v>49172</v>
      </c>
      <c r="U12231" t="s">
        <v>59712</v>
      </c>
      <c r="W12231" t="s">
        <v>46063</v>
      </c>
      <c r="X12231" t="s">
        <v>47440</v>
      </c>
    </row>
    <row r="12232" spans="1:24">
      <c r="A12232">
        <f>HYPERLINK("https://www.philgeps.gov.ph/GEPSNONPILOT/Tender/SplashBidNoticeAbstractUI.aspx?menuIndex=3&amp;refID=7140853&amp;Result=3","7140853")</f>
        <v>0</v>
      </c>
      <c r="B12232" t="s">
        <v>67</v>
      </c>
      <c r="C12232" t="s">
        <v>15415</v>
      </c>
      <c r="D12232" t="s">
        <v>19079</v>
      </c>
      <c r="E12232" t="s">
        <v>29572</v>
      </c>
      <c r="F12232" t="s">
        <v>32831</v>
      </c>
      <c r="G12232" t="s">
        <v>32838</v>
      </c>
      <c r="H12232" t="s">
        <v>32848</v>
      </c>
      <c r="I12232" t="s">
        <v>32863</v>
      </c>
      <c r="J12232" t="s">
        <v>33044</v>
      </c>
      <c r="K12232" t="s">
        <v>42742</v>
      </c>
      <c r="M12232" t="s">
        <v>44461</v>
      </c>
      <c r="N12232" t="s">
        <v>47424</v>
      </c>
      <c r="O12232" t="s">
        <v>47425</v>
      </c>
      <c r="Q12232">
        <v>1</v>
      </c>
      <c r="R12232" t="s">
        <v>47439</v>
      </c>
      <c r="S12232" t="s">
        <v>47906</v>
      </c>
      <c r="T12232" t="s">
        <v>49166</v>
      </c>
      <c r="U12232" t="s">
        <v>59713</v>
      </c>
      <c r="W12232" t="s">
        <v>44461</v>
      </c>
      <c r="X12232" t="s">
        <v>47440</v>
      </c>
    </row>
    <row r="12233" spans="1:24">
      <c r="A12233">
        <f>HYPERLINK("https://www.philgeps.gov.ph/GEPSNONPILOT/Tender/SplashBidNoticeAbstractUI.aspx?menuIndex=3&amp;refID=7140848&amp;Result=3","7140848")</f>
        <v>0</v>
      </c>
      <c r="B12233" t="s">
        <v>3545</v>
      </c>
      <c r="C12233" t="s">
        <v>15416</v>
      </c>
      <c r="D12233" t="s">
        <v>19074</v>
      </c>
      <c r="E12233" t="s">
        <v>29573</v>
      </c>
      <c r="F12233" t="s">
        <v>32831</v>
      </c>
      <c r="G12233" t="s">
        <v>32839</v>
      </c>
      <c r="H12233" t="s">
        <v>32849</v>
      </c>
      <c r="I12233" t="s">
        <v>4177</v>
      </c>
      <c r="J12233" t="s">
        <v>40474</v>
      </c>
      <c r="K12233" t="s">
        <v>42958</v>
      </c>
      <c r="M12233" t="s">
        <v>46900</v>
      </c>
      <c r="N12233" t="s">
        <v>47424</v>
      </c>
      <c r="O12233" t="s">
        <v>47425</v>
      </c>
      <c r="P12233">
        <v>0</v>
      </c>
      <c r="Q12233">
        <v>0</v>
      </c>
      <c r="R12233" t="s">
        <v>47439</v>
      </c>
      <c r="S12233" t="s">
        <v>47860</v>
      </c>
      <c r="T12233" t="s">
        <v>49080</v>
      </c>
      <c r="U12233" t="s">
        <v>59714</v>
      </c>
      <c r="W12233" t="s">
        <v>46900</v>
      </c>
      <c r="X12233" t="s">
        <v>47440</v>
      </c>
    </row>
    <row r="12234" spans="1:24">
      <c r="A12234">
        <f>HYPERLINK("https://www.philgeps.gov.ph/GEPSNONPILOT/Tender/SplashBidNoticeAbstractUI.aspx?menuIndex=3&amp;refID=7140832&amp;Result=3","7140832")</f>
        <v>0</v>
      </c>
      <c r="B12234" t="s">
        <v>1770</v>
      </c>
      <c r="C12234" t="s">
        <v>15417</v>
      </c>
      <c r="D12234" t="s">
        <v>19058</v>
      </c>
      <c r="E12234" t="s">
        <v>29574</v>
      </c>
      <c r="F12234" t="s">
        <v>32831</v>
      </c>
      <c r="G12234" t="s">
        <v>32839</v>
      </c>
      <c r="H12234" t="s">
        <v>32848</v>
      </c>
      <c r="I12234" t="s">
        <v>32855</v>
      </c>
      <c r="J12234" t="s">
        <v>40475</v>
      </c>
      <c r="K12234" t="s">
        <v>42750</v>
      </c>
      <c r="M12234" t="s">
        <v>44895</v>
      </c>
      <c r="N12234" t="s">
        <v>47424</v>
      </c>
      <c r="O12234" t="s">
        <v>47425</v>
      </c>
      <c r="P12234">
        <v>0</v>
      </c>
      <c r="Q12234">
        <v>0</v>
      </c>
      <c r="R12234" t="s">
        <v>47439</v>
      </c>
      <c r="S12234" t="s">
        <v>47860</v>
      </c>
      <c r="T12234" t="s">
        <v>49237</v>
      </c>
      <c r="U12234" t="s">
        <v>59715</v>
      </c>
      <c r="W12234" t="s">
        <v>44895</v>
      </c>
      <c r="X12234" t="s">
        <v>47440</v>
      </c>
    </row>
    <row r="12235" spans="1:24">
      <c r="A12235">
        <f>HYPERLINK("https://www.philgeps.gov.ph/GEPSNONPILOT/Tender/SplashBidNoticeAbstractUI.aspx?menuIndex=3&amp;refID=7140552&amp;Result=3","7140552")</f>
        <v>0</v>
      </c>
      <c r="B12235" t="s">
        <v>3546</v>
      </c>
      <c r="C12235" t="s">
        <v>15418</v>
      </c>
      <c r="D12235" t="s">
        <v>19077</v>
      </c>
      <c r="E12235" t="s">
        <v>29575</v>
      </c>
      <c r="F12235" t="s">
        <v>32831</v>
      </c>
      <c r="G12235" t="s">
        <v>32839</v>
      </c>
      <c r="H12235" t="s">
        <v>32848</v>
      </c>
      <c r="I12235" t="s">
        <v>32852</v>
      </c>
      <c r="J12235" t="s">
        <v>32980</v>
      </c>
      <c r="K12235" t="s">
        <v>42732</v>
      </c>
      <c r="M12235" t="s">
        <v>46901</v>
      </c>
      <c r="N12235" t="s">
        <v>47424</v>
      </c>
      <c r="O12235" t="s">
        <v>47425</v>
      </c>
      <c r="P12235">
        <v>0</v>
      </c>
      <c r="Q12235">
        <v>2</v>
      </c>
      <c r="R12235" t="s">
        <v>47439</v>
      </c>
      <c r="S12235" t="s">
        <v>47860</v>
      </c>
      <c r="T12235" t="s">
        <v>49066</v>
      </c>
      <c r="U12235" t="s">
        <v>59716</v>
      </c>
      <c r="W12235" t="s">
        <v>46901</v>
      </c>
      <c r="X12235" t="s">
        <v>47440</v>
      </c>
    </row>
    <row r="12236" spans="1:24">
      <c r="A12236">
        <f>HYPERLINK("https://www.philgeps.gov.ph/GEPSNONPILOT/Tender/SplashBidNoticeAbstractUI.aspx?menuIndex=3&amp;refID=7140826&amp;Result=3","7140826")</f>
        <v>0</v>
      </c>
      <c r="B12236" t="s">
        <v>2161</v>
      </c>
      <c r="C12236" t="s">
        <v>15419</v>
      </c>
      <c r="D12236" t="s">
        <v>19082</v>
      </c>
      <c r="E12236" t="s">
        <v>29576</v>
      </c>
      <c r="F12236" t="s">
        <v>32831</v>
      </c>
      <c r="G12236" t="s">
        <v>32840</v>
      </c>
      <c r="H12236" t="s">
        <v>32848</v>
      </c>
      <c r="I12236" t="s">
        <v>4438</v>
      </c>
      <c r="J12236" t="s">
        <v>36598</v>
      </c>
      <c r="K12236" t="s">
        <v>42742</v>
      </c>
      <c r="M12236" t="s">
        <v>45340</v>
      </c>
      <c r="N12236" t="s">
        <v>47424</v>
      </c>
      <c r="O12236" t="s">
        <v>47425</v>
      </c>
      <c r="P12236">
        <v>0</v>
      </c>
      <c r="Q12236">
        <v>0</v>
      </c>
      <c r="R12236" t="s">
        <v>47439</v>
      </c>
      <c r="S12236" t="s">
        <v>47860</v>
      </c>
      <c r="T12236" t="s">
        <v>49100</v>
      </c>
      <c r="U12236" t="s">
        <v>59717</v>
      </c>
      <c r="W12236" t="s">
        <v>45340</v>
      </c>
      <c r="X12236" t="s">
        <v>47440</v>
      </c>
    </row>
    <row r="12237" spans="1:24">
      <c r="A12237">
        <f>HYPERLINK("https://www.philgeps.gov.ph/GEPSNONPILOT/Tender/SplashBidNoticeAbstractUI.aspx?menuIndex=3&amp;refID=7140819&amp;Result=3","7140819")</f>
        <v>0</v>
      </c>
      <c r="B12237" t="s">
        <v>1429</v>
      </c>
      <c r="C12237" t="s">
        <v>15420</v>
      </c>
      <c r="D12237" t="s">
        <v>19045</v>
      </c>
      <c r="E12237" t="s">
        <v>29577</v>
      </c>
      <c r="F12237" t="s">
        <v>32831</v>
      </c>
      <c r="G12237" t="s">
        <v>32839</v>
      </c>
      <c r="H12237" t="s">
        <v>32849</v>
      </c>
      <c r="I12237" t="s">
        <v>4177</v>
      </c>
      <c r="J12237" t="s">
        <v>40476</v>
      </c>
      <c r="K12237" t="s">
        <v>42747</v>
      </c>
      <c r="M12237" t="s">
        <v>44518</v>
      </c>
      <c r="N12237" t="s">
        <v>47424</v>
      </c>
      <c r="O12237" t="s">
        <v>47425</v>
      </c>
      <c r="P12237">
        <v>0</v>
      </c>
      <c r="Q12237">
        <v>0</v>
      </c>
      <c r="R12237" t="s">
        <v>47439</v>
      </c>
      <c r="S12237" t="s">
        <v>47860</v>
      </c>
      <c r="T12237" t="s">
        <v>49073</v>
      </c>
      <c r="U12237" t="s">
        <v>59718</v>
      </c>
      <c r="V12237" t="s">
        <v>63984</v>
      </c>
      <c r="W12237" t="s">
        <v>64469</v>
      </c>
      <c r="X12237" t="s">
        <v>47440</v>
      </c>
    </row>
    <row r="12238" spans="1:24">
      <c r="A12238">
        <f>HYPERLINK("https://www.philgeps.gov.ph/GEPSNONPILOT/Tender/SplashBidNoticeAbstractUI.aspx?menuIndex=3&amp;refID=7140704&amp;Result=3","7140704")</f>
        <v>0</v>
      </c>
      <c r="B12238" t="s">
        <v>3545</v>
      </c>
      <c r="C12238" t="s">
        <v>15421</v>
      </c>
      <c r="D12238" t="s">
        <v>19074</v>
      </c>
      <c r="E12238" t="s">
        <v>29578</v>
      </c>
      <c r="F12238" t="s">
        <v>32831</v>
      </c>
      <c r="G12238" t="s">
        <v>32839</v>
      </c>
      <c r="H12238" t="s">
        <v>32849</v>
      </c>
      <c r="I12238" t="s">
        <v>4177</v>
      </c>
      <c r="J12238" t="s">
        <v>40477</v>
      </c>
      <c r="K12238" t="s">
        <v>42927</v>
      </c>
      <c r="M12238" t="s">
        <v>46900</v>
      </c>
      <c r="N12238" t="s">
        <v>47424</v>
      </c>
      <c r="O12238" t="s">
        <v>47425</v>
      </c>
      <c r="P12238">
        <v>0</v>
      </c>
      <c r="Q12238">
        <v>0</v>
      </c>
      <c r="R12238" t="s">
        <v>47439</v>
      </c>
      <c r="S12238" t="s">
        <v>47860</v>
      </c>
      <c r="T12238" t="s">
        <v>49080</v>
      </c>
      <c r="U12238" t="s">
        <v>59719</v>
      </c>
      <c r="W12238" t="s">
        <v>46900</v>
      </c>
      <c r="X12238" t="s">
        <v>47440</v>
      </c>
    </row>
    <row r="12239" spans="1:24">
      <c r="A12239">
        <f>HYPERLINK("https://www.philgeps.gov.ph/GEPSNONPILOT/Tender/SplashBidNoticeAbstractUI.aspx?menuIndex=3&amp;refID=7140818&amp;Result=3","7140818")</f>
        <v>0</v>
      </c>
      <c r="B12239" t="s">
        <v>3547</v>
      </c>
      <c r="C12239" t="s">
        <v>15422</v>
      </c>
      <c r="D12239" t="s">
        <v>19058</v>
      </c>
      <c r="E12239" t="s">
        <v>29579</v>
      </c>
      <c r="F12239" t="s">
        <v>32831</v>
      </c>
      <c r="G12239" t="s">
        <v>32839</v>
      </c>
      <c r="H12239" t="s">
        <v>32849</v>
      </c>
      <c r="I12239" t="s">
        <v>4177</v>
      </c>
      <c r="J12239" t="s">
        <v>33111</v>
      </c>
      <c r="K12239" t="s">
        <v>42770</v>
      </c>
      <c r="M12239" t="s">
        <v>46902</v>
      </c>
      <c r="N12239" t="s">
        <v>47424</v>
      </c>
      <c r="O12239" t="s">
        <v>47425</v>
      </c>
      <c r="P12239">
        <v>0</v>
      </c>
      <c r="Q12239">
        <v>0</v>
      </c>
      <c r="R12239" t="s">
        <v>47439</v>
      </c>
      <c r="S12239" t="s">
        <v>47860</v>
      </c>
      <c r="T12239" t="s">
        <v>49069</v>
      </c>
      <c r="U12239" t="s">
        <v>59720</v>
      </c>
      <c r="W12239" t="s">
        <v>46902</v>
      </c>
      <c r="X12239" t="s">
        <v>47440</v>
      </c>
    </row>
    <row r="12240" spans="1:24">
      <c r="A12240">
        <f>HYPERLINK("https://www.philgeps.gov.ph/GEPSNONPILOT/Tender/SplashBidNoticeAbstractUI.aspx?menuIndex=3&amp;refID=7140812&amp;Result=3","7140812")</f>
        <v>0</v>
      </c>
      <c r="B12240" t="s">
        <v>3548</v>
      </c>
      <c r="C12240" t="s">
        <v>15423</v>
      </c>
      <c r="D12240" t="s">
        <v>19077</v>
      </c>
      <c r="E12240" t="s">
        <v>27134</v>
      </c>
      <c r="F12240" t="s">
        <v>32831</v>
      </c>
      <c r="G12240" t="s">
        <v>32839</v>
      </c>
      <c r="H12240" t="s">
        <v>32849</v>
      </c>
      <c r="I12240" t="s">
        <v>4177</v>
      </c>
      <c r="J12240" t="s">
        <v>40478</v>
      </c>
      <c r="K12240" t="s">
        <v>42730</v>
      </c>
      <c r="M12240" t="s">
        <v>46903</v>
      </c>
      <c r="N12240" t="s">
        <v>47424</v>
      </c>
      <c r="O12240" t="s">
        <v>47425</v>
      </c>
      <c r="P12240">
        <v>0</v>
      </c>
      <c r="Q12240">
        <v>0</v>
      </c>
      <c r="R12240" t="s">
        <v>47439</v>
      </c>
      <c r="S12240" t="s">
        <v>47860</v>
      </c>
      <c r="T12240" t="s">
        <v>49151</v>
      </c>
      <c r="U12240" t="s">
        <v>59721</v>
      </c>
      <c r="W12240" t="s">
        <v>46903</v>
      </c>
      <c r="X12240" t="s">
        <v>47440</v>
      </c>
    </row>
    <row r="12241" spans="1:24">
      <c r="A12241">
        <f>HYPERLINK("https://www.philgeps.gov.ph/GEPSNONPILOT/Tender/SplashBidNoticeAbstractUI.aspx?menuIndex=3&amp;refID=7140817&amp;Result=3","7140817")</f>
        <v>0</v>
      </c>
      <c r="B12241" t="s">
        <v>1518</v>
      </c>
      <c r="C12241" t="s">
        <v>15424</v>
      </c>
      <c r="D12241" t="s">
        <v>19032</v>
      </c>
      <c r="E12241" t="s">
        <v>29580</v>
      </c>
      <c r="F12241" t="s">
        <v>32831</v>
      </c>
      <c r="G12241" t="s">
        <v>32839</v>
      </c>
      <c r="H12241" t="s">
        <v>32849</v>
      </c>
      <c r="I12241" t="s">
        <v>4177</v>
      </c>
      <c r="J12241" t="s">
        <v>39848</v>
      </c>
      <c r="K12241" t="s">
        <v>42871</v>
      </c>
      <c r="M12241" t="s">
        <v>46379</v>
      </c>
      <c r="N12241" t="s">
        <v>47424</v>
      </c>
      <c r="O12241" t="s">
        <v>47425</v>
      </c>
      <c r="P12241">
        <v>0</v>
      </c>
      <c r="Q12241">
        <v>0</v>
      </c>
      <c r="R12241" t="s">
        <v>47439</v>
      </c>
      <c r="S12241" t="s">
        <v>47860</v>
      </c>
      <c r="T12241" t="s">
        <v>49059</v>
      </c>
      <c r="U12241" t="s">
        <v>55076</v>
      </c>
      <c r="W12241" t="s">
        <v>46379</v>
      </c>
      <c r="X12241" t="s">
        <v>47440</v>
      </c>
    </row>
    <row r="12242" spans="1:24">
      <c r="A12242">
        <f>HYPERLINK("https://www.philgeps.gov.ph/GEPSNONPILOT/Tender/SplashBidNoticeAbstractUI.aspx?menuIndex=3&amp;refID=7140810&amp;Result=3","7140810")</f>
        <v>0</v>
      </c>
      <c r="B12242" t="s">
        <v>3545</v>
      </c>
      <c r="C12242" t="s">
        <v>15425</v>
      </c>
      <c r="D12242" t="s">
        <v>19074</v>
      </c>
      <c r="E12242" t="s">
        <v>29581</v>
      </c>
      <c r="F12242" t="s">
        <v>32831</v>
      </c>
      <c r="G12242" t="s">
        <v>32839</v>
      </c>
      <c r="H12242" t="s">
        <v>32849</v>
      </c>
      <c r="I12242" t="s">
        <v>4177</v>
      </c>
      <c r="J12242" t="s">
        <v>40479</v>
      </c>
      <c r="K12242" t="s">
        <v>42854</v>
      </c>
      <c r="M12242" t="s">
        <v>46900</v>
      </c>
      <c r="N12242" t="s">
        <v>47424</v>
      </c>
      <c r="O12242" t="s">
        <v>47425</v>
      </c>
      <c r="P12242">
        <v>0</v>
      </c>
      <c r="Q12242">
        <v>0</v>
      </c>
      <c r="R12242" t="s">
        <v>47439</v>
      </c>
      <c r="S12242" t="s">
        <v>47860</v>
      </c>
      <c r="T12242" t="s">
        <v>49080</v>
      </c>
      <c r="U12242" t="s">
        <v>59722</v>
      </c>
      <c r="W12242" t="s">
        <v>46900</v>
      </c>
      <c r="X12242" t="s">
        <v>47440</v>
      </c>
    </row>
    <row r="12243" spans="1:24">
      <c r="A12243">
        <f>HYPERLINK("https://www.philgeps.gov.ph/GEPSNONPILOT/Tender/SplashBidNoticeAbstractUI.aspx?menuIndex=3&amp;refID=7140815&amp;Result=3","7140815")</f>
        <v>0</v>
      </c>
      <c r="B12243" t="s">
        <v>1740</v>
      </c>
      <c r="C12243" t="s">
        <v>15426</v>
      </c>
      <c r="D12243" t="s">
        <v>19068</v>
      </c>
      <c r="E12243" t="s">
        <v>29582</v>
      </c>
      <c r="F12243" t="s">
        <v>32831</v>
      </c>
      <c r="G12243" t="s">
        <v>32839</v>
      </c>
      <c r="H12243" t="s">
        <v>32848</v>
      </c>
      <c r="I12243" t="s">
        <v>4776</v>
      </c>
      <c r="J12243" t="s">
        <v>33162</v>
      </c>
      <c r="K12243" t="s">
        <v>42727</v>
      </c>
      <c r="M12243" t="s">
        <v>44863</v>
      </c>
      <c r="N12243" t="s">
        <v>47424</v>
      </c>
      <c r="O12243" t="s">
        <v>47425</v>
      </c>
      <c r="P12243">
        <v>0</v>
      </c>
      <c r="Q12243">
        <v>1</v>
      </c>
      <c r="R12243" t="s">
        <v>47439</v>
      </c>
      <c r="S12243" t="s">
        <v>47860</v>
      </c>
      <c r="T12243" t="s">
        <v>49057</v>
      </c>
      <c r="U12243" t="s">
        <v>59723</v>
      </c>
      <c r="W12243" t="s">
        <v>44863</v>
      </c>
      <c r="X12243" t="s">
        <v>47440</v>
      </c>
    </row>
    <row r="12244" spans="1:24">
      <c r="A12244">
        <f>HYPERLINK("https://www.philgeps.gov.ph/GEPSNONPILOT/Tender/SplashBidNoticeAbstractUI.aspx?menuIndex=3&amp;refID=7140846&amp;Result=3","7140846")</f>
        <v>0</v>
      </c>
      <c r="B12244" t="s">
        <v>3549</v>
      </c>
      <c r="C12244" t="s">
        <v>15427</v>
      </c>
      <c r="D12244" t="s">
        <v>19018</v>
      </c>
      <c r="E12244" t="s">
        <v>21690</v>
      </c>
      <c r="F12244" t="s">
        <v>32831</v>
      </c>
      <c r="G12244" t="s">
        <v>32839</v>
      </c>
      <c r="H12244" t="s">
        <v>32849</v>
      </c>
      <c r="I12244" t="s">
        <v>4177</v>
      </c>
      <c r="J12244" t="s">
        <v>33016</v>
      </c>
      <c r="K12244" t="s">
        <v>42730</v>
      </c>
      <c r="M12244" t="s">
        <v>46904</v>
      </c>
      <c r="N12244" t="s">
        <v>47424</v>
      </c>
      <c r="O12244" t="s">
        <v>47425</v>
      </c>
      <c r="P12244">
        <v>0</v>
      </c>
      <c r="Q12244">
        <v>1</v>
      </c>
      <c r="R12244" t="s">
        <v>47439</v>
      </c>
      <c r="S12244" t="s">
        <v>47860</v>
      </c>
      <c r="T12244" t="s">
        <v>49057</v>
      </c>
      <c r="U12244" t="s">
        <v>59724</v>
      </c>
      <c r="W12244" t="s">
        <v>46904</v>
      </c>
      <c r="X12244" t="s">
        <v>47440</v>
      </c>
    </row>
    <row r="12245" spans="1:24">
      <c r="A12245">
        <f>HYPERLINK("https://www.philgeps.gov.ph/GEPSNONPILOT/Tender/SplashBidNoticeAbstractUI.aspx?menuIndex=3&amp;refID=7140692&amp;Result=3","7140692")</f>
        <v>0</v>
      </c>
      <c r="B12245" t="s">
        <v>1740</v>
      </c>
      <c r="C12245" t="s">
        <v>15428</v>
      </c>
      <c r="D12245" t="s">
        <v>19068</v>
      </c>
      <c r="E12245" t="s">
        <v>29583</v>
      </c>
      <c r="F12245" t="s">
        <v>32831</v>
      </c>
      <c r="G12245" t="s">
        <v>32839</v>
      </c>
      <c r="H12245" t="s">
        <v>32848</v>
      </c>
      <c r="I12245" t="s">
        <v>4776</v>
      </c>
      <c r="J12245" t="s">
        <v>33519</v>
      </c>
      <c r="K12245" t="s">
        <v>42727</v>
      </c>
      <c r="M12245" t="s">
        <v>44863</v>
      </c>
      <c r="N12245" t="s">
        <v>47424</v>
      </c>
      <c r="O12245" t="s">
        <v>47425</v>
      </c>
      <c r="P12245">
        <v>0</v>
      </c>
      <c r="Q12245">
        <v>0</v>
      </c>
      <c r="R12245" t="s">
        <v>47439</v>
      </c>
      <c r="S12245" t="s">
        <v>47860</v>
      </c>
      <c r="T12245" t="s">
        <v>49057</v>
      </c>
      <c r="U12245" t="s">
        <v>59725</v>
      </c>
      <c r="W12245" t="s">
        <v>44863</v>
      </c>
      <c r="X12245" t="s">
        <v>47440</v>
      </c>
    </row>
    <row r="12246" spans="1:24">
      <c r="A12246">
        <f>HYPERLINK("https://www.philgeps.gov.ph/GEPSNONPILOT/Tender/SplashBidNoticeAbstractUI.aspx?menuIndex=3&amp;refID=7140970&amp;Result=3","7140970")</f>
        <v>0</v>
      </c>
      <c r="B12246" t="s">
        <v>1682</v>
      </c>
      <c r="C12246" t="s">
        <v>15429</v>
      </c>
      <c r="D12246" t="s">
        <v>19035</v>
      </c>
      <c r="E12246" t="s">
        <v>29584</v>
      </c>
      <c r="F12246" t="s">
        <v>32831</v>
      </c>
      <c r="G12246" t="s">
        <v>32839</v>
      </c>
      <c r="H12246" t="s">
        <v>32848</v>
      </c>
      <c r="I12246" t="s">
        <v>32894</v>
      </c>
      <c r="J12246" t="s">
        <v>40480</v>
      </c>
      <c r="K12246" t="s">
        <v>42749</v>
      </c>
      <c r="M12246" t="s">
        <v>44801</v>
      </c>
      <c r="N12246" t="s">
        <v>47424</v>
      </c>
      <c r="O12246" t="s">
        <v>47425</v>
      </c>
      <c r="Q12246">
        <v>2</v>
      </c>
      <c r="R12246" t="s">
        <v>47439</v>
      </c>
      <c r="S12246" t="s">
        <v>47907</v>
      </c>
      <c r="T12246" t="s">
        <v>49066</v>
      </c>
      <c r="U12246" t="s">
        <v>52512</v>
      </c>
      <c r="V12246" t="s">
        <v>63985</v>
      </c>
      <c r="W12246" t="s">
        <v>44801</v>
      </c>
      <c r="X12246" t="s">
        <v>47440</v>
      </c>
    </row>
    <row r="12247" spans="1:24">
      <c r="A12247">
        <f>HYPERLINK("https://www.philgeps.gov.ph/GEPSNONPILOT/Tender/SplashBidNoticeAbstractUI.aspx?menuIndex=3&amp;refID=7140941&amp;Result=3","7140941")</f>
        <v>0</v>
      </c>
      <c r="B12247" t="s">
        <v>3547</v>
      </c>
      <c r="C12247" t="s">
        <v>15430</v>
      </c>
      <c r="D12247" t="s">
        <v>19058</v>
      </c>
      <c r="E12247" t="s">
        <v>29585</v>
      </c>
      <c r="F12247" t="s">
        <v>32831</v>
      </c>
      <c r="G12247" t="s">
        <v>32839</v>
      </c>
      <c r="H12247" t="s">
        <v>32849</v>
      </c>
      <c r="I12247" t="s">
        <v>4177</v>
      </c>
      <c r="J12247" t="s">
        <v>33241</v>
      </c>
      <c r="K12247" t="s">
        <v>42763</v>
      </c>
      <c r="M12247" t="s">
        <v>46902</v>
      </c>
      <c r="N12247" t="s">
        <v>47424</v>
      </c>
      <c r="O12247" t="s">
        <v>47425</v>
      </c>
      <c r="P12247">
        <v>0</v>
      </c>
      <c r="Q12247">
        <v>0</v>
      </c>
      <c r="R12247" t="s">
        <v>47439</v>
      </c>
      <c r="S12247" t="s">
        <v>47860</v>
      </c>
      <c r="T12247" t="s">
        <v>49069</v>
      </c>
      <c r="U12247" t="s">
        <v>59726</v>
      </c>
      <c r="W12247" t="s">
        <v>46902</v>
      </c>
      <c r="X12247" t="s">
        <v>47440</v>
      </c>
    </row>
    <row r="12248" spans="1:24">
      <c r="A12248">
        <f>HYPERLINK("https://www.philgeps.gov.ph/GEPSNONPILOT/Tender/SplashBidNoticeAbstractUI.aspx?menuIndex=3&amp;refID=7140958&amp;Result=3","7140958")</f>
        <v>0</v>
      </c>
      <c r="B12248" t="s">
        <v>3547</v>
      </c>
      <c r="C12248" t="s">
        <v>15431</v>
      </c>
      <c r="D12248" t="s">
        <v>19058</v>
      </c>
      <c r="E12248" t="s">
        <v>29586</v>
      </c>
      <c r="F12248" t="s">
        <v>32831</v>
      </c>
      <c r="G12248" t="s">
        <v>32839</v>
      </c>
      <c r="H12248" t="s">
        <v>32849</v>
      </c>
      <c r="I12248" t="s">
        <v>4177</v>
      </c>
      <c r="J12248" t="s">
        <v>33257</v>
      </c>
      <c r="K12248" t="s">
        <v>42770</v>
      </c>
      <c r="M12248" t="s">
        <v>46902</v>
      </c>
      <c r="N12248" t="s">
        <v>47424</v>
      </c>
      <c r="O12248" t="s">
        <v>47425</v>
      </c>
      <c r="P12248">
        <v>0</v>
      </c>
      <c r="Q12248">
        <v>1</v>
      </c>
      <c r="R12248" t="s">
        <v>47439</v>
      </c>
      <c r="S12248" t="s">
        <v>47860</v>
      </c>
      <c r="T12248" t="s">
        <v>49069</v>
      </c>
      <c r="U12248" t="s">
        <v>59727</v>
      </c>
      <c r="W12248" t="s">
        <v>46902</v>
      </c>
      <c r="X12248" t="s">
        <v>47440</v>
      </c>
    </row>
    <row r="12249" spans="1:24">
      <c r="A12249">
        <f>HYPERLINK("https://www.philgeps.gov.ph/GEPSNONPILOT/Tender/SplashBidNoticeAbstractUI.aspx?menuIndex=3&amp;refID=7140924&amp;Result=3","7140924")</f>
        <v>0</v>
      </c>
      <c r="B12249" t="s">
        <v>1414</v>
      </c>
      <c r="C12249" t="s">
        <v>15432</v>
      </c>
      <c r="D12249" t="s">
        <v>19030</v>
      </c>
      <c r="E12249" t="s">
        <v>29567</v>
      </c>
      <c r="F12249" t="s">
        <v>32831</v>
      </c>
      <c r="G12249" t="s">
        <v>32839</v>
      </c>
      <c r="H12249" t="s">
        <v>32849</v>
      </c>
      <c r="I12249" t="s">
        <v>4177</v>
      </c>
      <c r="J12249" t="s">
        <v>40481</v>
      </c>
      <c r="K12249" t="s">
        <v>42763</v>
      </c>
      <c r="M12249" t="s">
        <v>44502</v>
      </c>
      <c r="N12249" t="s">
        <v>47424</v>
      </c>
      <c r="O12249" t="s">
        <v>47425</v>
      </c>
      <c r="P12249">
        <v>0</v>
      </c>
      <c r="Q12249">
        <v>1</v>
      </c>
      <c r="R12249" t="s">
        <v>47439</v>
      </c>
      <c r="S12249" t="s">
        <v>47860</v>
      </c>
      <c r="T12249" t="s">
        <v>49109</v>
      </c>
      <c r="U12249" t="s">
        <v>59708</v>
      </c>
      <c r="W12249" t="s">
        <v>44502</v>
      </c>
      <c r="X12249" t="s">
        <v>47440</v>
      </c>
    </row>
    <row r="12250" spans="1:24">
      <c r="A12250">
        <f>HYPERLINK("https://www.philgeps.gov.ph/GEPSNONPILOT/Tender/SplashBidNoticeAbstractUI.aspx?menuIndex=3&amp;refID=7140918&amp;Result=3","7140918")</f>
        <v>0</v>
      </c>
      <c r="B12250" t="s">
        <v>3544</v>
      </c>
      <c r="C12250" t="s">
        <v>15433</v>
      </c>
      <c r="D12250" t="s">
        <v>19077</v>
      </c>
      <c r="E12250" t="s">
        <v>29587</v>
      </c>
      <c r="F12250" t="s">
        <v>32831</v>
      </c>
      <c r="G12250" t="s">
        <v>32839</v>
      </c>
      <c r="H12250" t="s">
        <v>32849</v>
      </c>
      <c r="I12250" t="s">
        <v>4177</v>
      </c>
      <c r="J12250" t="s">
        <v>40482</v>
      </c>
      <c r="K12250" t="s">
        <v>42746</v>
      </c>
      <c r="M12250" t="s">
        <v>46898</v>
      </c>
      <c r="N12250" t="s">
        <v>47424</v>
      </c>
      <c r="O12250" t="s">
        <v>47425</v>
      </c>
      <c r="P12250">
        <v>0</v>
      </c>
      <c r="Q12250">
        <v>0</v>
      </c>
      <c r="R12250" t="s">
        <v>47439</v>
      </c>
      <c r="S12250" t="s">
        <v>47860</v>
      </c>
      <c r="T12250" t="s">
        <v>49059</v>
      </c>
      <c r="U12250" t="s">
        <v>59728</v>
      </c>
      <c r="W12250" t="s">
        <v>46898</v>
      </c>
      <c r="X12250" t="s">
        <v>47440</v>
      </c>
    </row>
    <row r="12251" spans="1:24">
      <c r="A12251">
        <f>HYPERLINK("https://www.philgeps.gov.ph/GEPSNONPILOT/Tender/SplashBidNoticeAbstractUI.aspx?menuIndex=3&amp;refID=7140916&amp;Result=3","7140916")</f>
        <v>0</v>
      </c>
      <c r="B12251" t="s">
        <v>3550</v>
      </c>
      <c r="C12251" t="s">
        <v>15434</v>
      </c>
      <c r="D12251" t="s">
        <v>19045</v>
      </c>
      <c r="E12251" t="s">
        <v>19144</v>
      </c>
      <c r="F12251" t="s">
        <v>32831</v>
      </c>
      <c r="G12251" t="s">
        <v>32840</v>
      </c>
      <c r="H12251" t="s">
        <v>32848</v>
      </c>
      <c r="I12251" t="s">
        <v>4471</v>
      </c>
      <c r="J12251" t="s">
        <v>40483</v>
      </c>
      <c r="K12251" t="s">
        <v>42727</v>
      </c>
      <c r="M12251" t="s">
        <v>46905</v>
      </c>
      <c r="N12251" t="s">
        <v>47424</v>
      </c>
      <c r="O12251" t="s">
        <v>47425</v>
      </c>
      <c r="P12251">
        <v>0</v>
      </c>
      <c r="Q12251">
        <v>0</v>
      </c>
      <c r="R12251" t="s">
        <v>47439</v>
      </c>
      <c r="S12251" t="s">
        <v>47860</v>
      </c>
      <c r="T12251" t="s">
        <v>49105</v>
      </c>
      <c r="U12251" t="s">
        <v>59729</v>
      </c>
      <c r="W12251" t="s">
        <v>46905</v>
      </c>
      <c r="X12251" t="s">
        <v>47440</v>
      </c>
    </row>
    <row r="12252" spans="1:24">
      <c r="A12252">
        <f>HYPERLINK("https://www.philgeps.gov.ph/GEPSNONPILOT/Tender/SplashBidNoticeAbstractUI.aspx?menuIndex=3&amp;refID=7140973&amp;Result=3","7140973")</f>
        <v>0</v>
      </c>
      <c r="B12252" t="s">
        <v>145</v>
      </c>
      <c r="C12252" t="s">
        <v>15435</v>
      </c>
      <c r="D12252" t="s">
        <v>19048</v>
      </c>
      <c r="E12252" t="s">
        <v>29588</v>
      </c>
      <c r="F12252" t="s">
        <v>32831</v>
      </c>
      <c r="G12252" t="s">
        <v>32839</v>
      </c>
      <c r="H12252" t="s">
        <v>32848</v>
      </c>
      <c r="I12252" t="s">
        <v>32858</v>
      </c>
      <c r="J12252" t="s">
        <v>33257</v>
      </c>
      <c r="K12252" t="s">
        <v>42731</v>
      </c>
      <c r="L12252" t="s">
        <v>145</v>
      </c>
      <c r="M12252" t="s">
        <v>43142</v>
      </c>
      <c r="N12252" t="s">
        <v>47424</v>
      </c>
      <c r="O12252" t="s">
        <v>47425</v>
      </c>
      <c r="Q12252">
        <v>5</v>
      </c>
      <c r="R12252" t="s">
        <v>47439</v>
      </c>
      <c r="S12252" t="s">
        <v>47908</v>
      </c>
      <c r="T12252" t="s">
        <v>49172</v>
      </c>
      <c r="U12252" t="s">
        <v>59730</v>
      </c>
      <c r="V12252" t="s">
        <v>62648</v>
      </c>
      <c r="W12252" t="s">
        <v>43142</v>
      </c>
      <c r="X12252" t="s">
        <v>47440</v>
      </c>
    </row>
    <row r="12253" spans="1:24">
      <c r="A12253">
        <f>HYPERLINK("https://www.philgeps.gov.ph/GEPSNONPILOT/Tender/SplashBidNoticeAbstractUI.aspx?menuIndex=3&amp;refID=7140902&amp;Result=3","7140902")</f>
        <v>0</v>
      </c>
      <c r="B12253" t="s">
        <v>2356</v>
      </c>
      <c r="C12253" t="s">
        <v>15436</v>
      </c>
      <c r="D12253" t="s">
        <v>19017</v>
      </c>
      <c r="E12253" t="s">
        <v>29589</v>
      </c>
      <c r="F12253" t="s">
        <v>32831</v>
      </c>
      <c r="G12253" t="s">
        <v>32845</v>
      </c>
      <c r="H12253" t="s">
        <v>32848</v>
      </c>
      <c r="I12253" t="s">
        <v>4471</v>
      </c>
      <c r="J12253" t="s">
        <v>40484</v>
      </c>
      <c r="K12253" t="s">
        <v>42730</v>
      </c>
      <c r="M12253" t="s">
        <v>45545</v>
      </c>
      <c r="N12253" t="s">
        <v>47424</v>
      </c>
      <c r="O12253" t="s">
        <v>47425</v>
      </c>
      <c r="P12253">
        <v>0</v>
      </c>
      <c r="Q12253">
        <v>11</v>
      </c>
      <c r="R12253" t="s">
        <v>47439</v>
      </c>
      <c r="S12253" t="s">
        <v>47860</v>
      </c>
      <c r="T12253" t="s">
        <v>49160</v>
      </c>
      <c r="U12253" t="s">
        <v>59518</v>
      </c>
      <c r="W12253" t="s">
        <v>45545</v>
      </c>
      <c r="X12253" t="s">
        <v>47440</v>
      </c>
    </row>
    <row r="12254" spans="1:24">
      <c r="A12254">
        <f>HYPERLINK("https://www.philgeps.gov.ph/GEPSNONPILOT/Tender/SplashBidNoticeAbstractUI.aspx?menuIndex=3&amp;refID=7140944&amp;Result=3","7140944")</f>
        <v>0</v>
      </c>
      <c r="B12254" t="s">
        <v>145</v>
      </c>
      <c r="C12254" t="s">
        <v>15437</v>
      </c>
      <c r="D12254" t="s">
        <v>19048</v>
      </c>
      <c r="E12254" t="s">
        <v>29590</v>
      </c>
      <c r="F12254" t="s">
        <v>32831</v>
      </c>
      <c r="G12254" t="s">
        <v>32839</v>
      </c>
      <c r="H12254" t="s">
        <v>32848</v>
      </c>
      <c r="I12254" t="s">
        <v>4558</v>
      </c>
      <c r="J12254" t="s">
        <v>40485</v>
      </c>
      <c r="K12254" t="s">
        <v>42731</v>
      </c>
      <c r="L12254" t="s">
        <v>145</v>
      </c>
      <c r="M12254" t="s">
        <v>43142</v>
      </c>
      <c r="N12254" t="s">
        <v>47424</v>
      </c>
      <c r="O12254" t="s">
        <v>47425</v>
      </c>
      <c r="P12254">
        <v>0</v>
      </c>
      <c r="Q12254">
        <v>9</v>
      </c>
      <c r="R12254" t="s">
        <v>47439</v>
      </c>
      <c r="S12254" t="s">
        <v>47860</v>
      </c>
      <c r="T12254" t="s">
        <v>49172</v>
      </c>
      <c r="U12254" t="s">
        <v>59730</v>
      </c>
      <c r="V12254" t="s">
        <v>62648</v>
      </c>
      <c r="W12254" t="s">
        <v>43142</v>
      </c>
      <c r="X12254" t="s">
        <v>47440</v>
      </c>
    </row>
    <row r="12255" spans="1:24">
      <c r="A12255">
        <f>HYPERLINK("https://www.philgeps.gov.ph/GEPSNONPILOT/Tender/SplashBidNoticeAbstractUI.aspx?menuIndex=3&amp;refID=7140969&amp;Result=3","7140969")</f>
        <v>0</v>
      </c>
      <c r="B12255" t="s">
        <v>222</v>
      </c>
      <c r="C12255" t="s">
        <v>15438</v>
      </c>
      <c r="D12255" t="s">
        <v>19070</v>
      </c>
      <c r="E12255" t="s">
        <v>29591</v>
      </c>
      <c r="F12255" t="s">
        <v>32831</v>
      </c>
      <c r="G12255" t="s">
        <v>32839</v>
      </c>
      <c r="H12255" t="s">
        <v>32849</v>
      </c>
      <c r="I12255" t="s">
        <v>4177</v>
      </c>
      <c r="J12255" t="s">
        <v>40486</v>
      </c>
      <c r="K12255" t="s">
        <v>42732</v>
      </c>
      <c r="M12255" t="s">
        <v>43220</v>
      </c>
      <c r="N12255" t="s">
        <v>47424</v>
      </c>
      <c r="O12255" t="s">
        <v>47425</v>
      </c>
      <c r="P12255">
        <v>0</v>
      </c>
      <c r="Q12255">
        <v>0</v>
      </c>
      <c r="R12255" t="s">
        <v>47439</v>
      </c>
      <c r="S12255" t="s">
        <v>47860</v>
      </c>
      <c r="T12255" t="s">
        <v>49120</v>
      </c>
      <c r="U12255" t="s">
        <v>59731</v>
      </c>
      <c r="W12255" t="s">
        <v>43220</v>
      </c>
      <c r="X12255" t="s">
        <v>47440</v>
      </c>
    </row>
    <row r="12256" spans="1:24">
      <c r="A12256">
        <f>HYPERLINK("https://www.philgeps.gov.ph/GEPSNONPILOT/Tender/SplashBidNoticeAbstractUI.aspx?menuIndex=3&amp;refID=7140898&amp;Result=3","7140898")</f>
        <v>0</v>
      </c>
      <c r="B12256" t="s">
        <v>3538</v>
      </c>
      <c r="C12256" t="s">
        <v>15439</v>
      </c>
      <c r="D12256" t="s">
        <v>19040</v>
      </c>
      <c r="E12256" t="s">
        <v>24144</v>
      </c>
      <c r="F12256" t="s">
        <v>32831</v>
      </c>
      <c r="G12256" t="s">
        <v>32839</v>
      </c>
      <c r="H12256" t="s">
        <v>32848</v>
      </c>
      <c r="I12256" t="s">
        <v>11727</v>
      </c>
      <c r="J12256" t="s">
        <v>40487</v>
      </c>
      <c r="K12256" t="s">
        <v>42736</v>
      </c>
      <c r="M12256" t="s">
        <v>46891</v>
      </c>
      <c r="N12256" t="s">
        <v>47424</v>
      </c>
      <c r="O12256" t="s">
        <v>47425</v>
      </c>
      <c r="P12256">
        <v>0</v>
      </c>
      <c r="Q12256">
        <v>0</v>
      </c>
      <c r="R12256" t="s">
        <v>47439</v>
      </c>
      <c r="S12256" t="s">
        <v>47860</v>
      </c>
      <c r="T12256" t="s">
        <v>49124</v>
      </c>
      <c r="U12256" t="s">
        <v>59732</v>
      </c>
      <c r="W12256" t="s">
        <v>46891</v>
      </c>
      <c r="X12256" t="s">
        <v>47440</v>
      </c>
    </row>
    <row r="12257" spans="1:24">
      <c r="A12257">
        <f>HYPERLINK("https://www.philgeps.gov.ph/GEPSNONPILOT/Tender/SplashBidNoticeAbstractUI.aspx?menuIndex=3&amp;refID=7141052&amp;Result=3","7141052")</f>
        <v>0</v>
      </c>
      <c r="B12257" t="s">
        <v>2566</v>
      </c>
      <c r="C12257" t="s">
        <v>15440</v>
      </c>
      <c r="D12257" t="s">
        <v>19088</v>
      </c>
      <c r="E12257" t="s">
        <v>29592</v>
      </c>
      <c r="F12257" t="s">
        <v>32831</v>
      </c>
      <c r="G12257" t="s">
        <v>32839</v>
      </c>
      <c r="H12257" t="s">
        <v>32848</v>
      </c>
      <c r="I12257" t="s">
        <v>4558</v>
      </c>
      <c r="J12257" t="s">
        <v>40488</v>
      </c>
      <c r="K12257" t="s">
        <v>42763</v>
      </c>
      <c r="M12257" t="s">
        <v>45782</v>
      </c>
      <c r="N12257" t="s">
        <v>47424</v>
      </c>
      <c r="O12257" t="s">
        <v>47425</v>
      </c>
      <c r="P12257">
        <v>0</v>
      </c>
      <c r="Q12257">
        <v>11</v>
      </c>
      <c r="R12257" t="s">
        <v>47439</v>
      </c>
      <c r="S12257" t="s">
        <v>47860</v>
      </c>
      <c r="T12257" t="s">
        <v>49073</v>
      </c>
      <c r="U12257" t="s">
        <v>59733</v>
      </c>
      <c r="W12257" t="s">
        <v>45782</v>
      </c>
      <c r="X12257" t="s">
        <v>47440</v>
      </c>
    </row>
    <row r="12258" spans="1:24">
      <c r="A12258">
        <f>HYPERLINK("https://www.philgeps.gov.ph/GEPSNONPILOT/Tender/SplashBidNoticeAbstractUI.aspx?menuIndex=3&amp;refID=7140904&amp;Result=3","7140904")</f>
        <v>0</v>
      </c>
      <c r="B12258" t="s">
        <v>67</v>
      </c>
      <c r="C12258" t="s">
        <v>15441</v>
      </c>
      <c r="D12258" t="s">
        <v>19079</v>
      </c>
      <c r="E12258" t="s">
        <v>29593</v>
      </c>
      <c r="F12258" t="s">
        <v>32831</v>
      </c>
      <c r="G12258" t="s">
        <v>32838</v>
      </c>
      <c r="H12258" t="s">
        <v>32848</v>
      </c>
      <c r="I12258" t="s">
        <v>32863</v>
      </c>
      <c r="J12258" t="s">
        <v>34100</v>
      </c>
      <c r="K12258" t="s">
        <v>42727</v>
      </c>
      <c r="M12258" t="s">
        <v>44461</v>
      </c>
      <c r="N12258" t="s">
        <v>47424</v>
      </c>
      <c r="O12258" t="s">
        <v>47425</v>
      </c>
      <c r="Q12258">
        <v>0</v>
      </c>
      <c r="R12258" t="s">
        <v>47439</v>
      </c>
      <c r="S12258" t="s">
        <v>47781</v>
      </c>
      <c r="T12258" t="s">
        <v>49166</v>
      </c>
      <c r="U12258" t="s">
        <v>59734</v>
      </c>
      <c r="W12258" t="s">
        <v>44461</v>
      </c>
      <c r="X12258" t="s">
        <v>47440</v>
      </c>
    </row>
    <row r="12259" spans="1:24">
      <c r="A12259">
        <f>HYPERLINK("https://www.philgeps.gov.ph/GEPSNONPILOT/Tender/SplashBidNoticeAbstractUI.aspx?menuIndex=3&amp;refID=7140857&amp;Result=3","7140857")</f>
        <v>0</v>
      </c>
      <c r="B12259" t="s">
        <v>3547</v>
      </c>
      <c r="C12259" t="s">
        <v>15442</v>
      </c>
      <c r="D12259" t="s">
        <v>19058</v>
      </c>
      <c r="E12259" t="s">
        <v>29594</v>
      </c>
      <c r="F12259" t="s">
        <v>32831</v>
      </c>
      <c r="G12259" t="s">
        <v>32839</v>
      </c>
      <c r="H12259" t="s">
        <v>32849</v>
      </c>
      <c r="I12259" t="s">
        <v>4177</v>
      </c>
      <c r="J12259" t="s">
        <v>40489</v>
      </c>
      <c r="K12259" t="s">
        <v>42727</v>
      </c>
      <c r="M12259" t="s">
        <v>46902</v>
      </c>
      <c r="N12259" t="s">
        <v>47424</v>
      </c>
      <c r="O12259" t="s">
        <v>47425</v>
      </c>
      <c r="P12259">
        <v>0</v>
      </c>
      <c r="Q12259">
        <v>0</v>
      </c>
      <c r="R12259" t="s">
        <v>47439</v>
      </c>
      <c r="S12259" t="s">
        <v>47860</v>
      </c>
      <c r="T12259" t="s">
        <v>49069</v>
      </c>
      <c r="U12259" t="s">
        <v>59735</v>
      </c>
      <c r="W12259" t="s">
        <v>46902</v>
      </c>
      <c r="X12259" t="s">
        <v>47440</v>
      </c>
    </row>
    <row r="12260" spans="1:24">
      <c r="A12260">
        <f>HYPERLINK("https://www.philgeps.gov.ph/GEPSNONPILOT/Tender/SplashBidNoticeAbstractUI.aspx?menuIndex=3&amp;refID=7140900&amp;Result=3","7140900")</f>
        <v>0</v>
      </c>
      <c r="B12260" t="s">
        <v>1414</v>
      </c>
      <c r="C12260" t="s">
        <v>15443</v>
      </c>
      <c r="D12260" t="s">
        <v>19030</v>
      </c>
      <c r="E12260" t="s">
        <v>29567</v>
      </c>
      <c r="F12260" t="s">
        <v>32831</v>
      </c>
      <c r="G12260" t="s">
        <v>32839</v>
      </c>
      <c r="H12260" t="s">
        <v>32849</v>
      </c>
      <c r="I12260" t="s">
        <v>4177</v>
      </c>
      <c r="J12260" t="s">
        <v>40490</v>
      </c>
      <c r="K12260" t="s">
        <v>42763</v>
      </c>
      <c r="M12260" t="s">
        <v>44502</v>
      </c>
      <c r="N12260" t="s">
        <v>47424</v>
      </c>
      <c r="O12260" t="s">
        <v>47425</v>
      </c>
      <c r="P12260">
        <v>0</v>
      </c>
      <c r="Q12260">
        <v>0</v>
      </c>
      <c r="R12260" t="s">
        <v>47439</v>
      </c>
      <c r="S12260" t="s">
        <v>47860</v>
      </c>
      <c r="T12260" t="s">
        <v>49109</v>
      </c>
      <c r="U12260" t="s">
        <v>59708</v>
      </c>
      <c r="W12260" t="s">
        <v>44502</v>
      </c>
      <c r="X12260" t="s">
        <v>47440</v>
      </c>
    </row>
    <row r="12261" spans="1:24">
      <c r="A12261">
        <f>HYPERLINK("https://www.philgeps.gov.ph/GEPSNONPILOT/Tender/SplashBidNoticeAbstractUI.aspx?menuIndex=3&amp;refID=7141051&amp;Result=3","7141051")</f>
        <v>0</v>
      </c>
      <c r="B12261" t="s">
        <v>1414</v>
      </c>
      <c r="C12261" t="s">
        <v>15444</v>
      </c>
      <c r="D12261" t="s">
        <v>19030</v>
      </c>
      <c r="E12261" t="s">
        <v>29567</v>
      </c>
      <c r="F12261" t="s">
        <v>32831</v>
      </c>
      <c r="G12261" t="s">
        <v>32839</v>
      </c>
      <c r="H12261" t="s">
        <v>32849</v>
      </c>
      <c r="I12261" t="s">
        <v>4177</v>
      </c>
      <c r="J12261" t="s">
        <v>40491</v>
      </c>
      <c r="K12261" t="s">
        <v>42763</v>
      </c>
      <c r="M12261" t="s">
        <v>44502</v>
      </c>
      <c r="N12261" t="s">
        <v>47424</v>
      </c>
      <c r="O12261" t="s">
        <v>47425</v>
      </c>
      <c r="P12261">
        <v>0</v>
      </c>
      <c r="Q12261">
        <v>0</v>
      </c>
      <c r="R12261" t="s">
        <v>47439</v>
      </c>
      <c r="S12261" t="s">
        <v>47860</v>
      </c>
      <c r="T12261" t="s">
        <v>49109</v>
      </c>
      <c r="U12261" t="s">
        <v>59708</v>
      </c>
      <c r="W12261" t="s">
        <v>44502</v>
      </c>
      <c r="X12261" t="s">
        <v>47440</v>
      </c>
    </row>
    <row r="12262" spans="1:24">
      <c r="A12262">
        <f>HYPERLINK("https://www.philgeps.gov.ph/GEPSNONPILOT/Tender/SplashBidNoticeAbstractUI.aspx?menuIndex=3&amp;refID=7141050&amp;Result=3","7141050")</f>
        <v>0</v>
      </c>
      <c r="B12262" t="s">
        <v>287</v>
      </c>
      <c r="C12262" t="s">
        <v>15445</v>
      </c>
      <c r="D12262" t="s">
        <v>19070</v>
      </c>
      <c r="E12262" t="s">
        <v>29595</v>
      </c>
      <c r="F12262" t="s">
        <v>32831</v>
      </c>
      <c r="G12262" t="s">
        <v>32839</v>
      </c>
      <c r="H12262" t="s">
        <v>32849</v>
      </c>
      <c r="I12262" t="s">
        <v>32852</v>
      </c>
      <c r="J12262" t="s">
        <v>32978</v>
      </c>
      <c r="K12262" t="s">
        <v>42732</v>
      </c>
      <c r="M12262" t="s">
        <v>43286</v>
      </c>
      <c r="N12262" t="s">
        <v>47424</v>
      </c>
      <c r="O12262" t="s">
        <v>47425</v>
      </c>
      <c r="P12262">
        <v>0</v>
      </c>
      <c r="Q12262">
        <v>2</v>
      </c>
      <c r="R12262" t="s">
        <v>47439</v>
      </c>
      <c r="S12262" t="s">
        <v>47860</v>
      </c>
      <c r="T12262" t="s">
        <v>49105</v>
      </c>
      <c r="U12262" t="s">
        <v>59736</v>
      </c>
      <c r="V12262" t="s">
        <v>63986</v>
      </c>
      <c r="W12262" t="s">
        <v>43286</v>
      </c>
      <c r="X12262" t="s">
        <v>47440</v>
      </c>
    </row>
    <row r="12263" spans="1:24">
      <c r="A12263">
        <f>HYPERLINK("https://www.philgeps.gov.ph/GEPSNONPILOT/Tender/SplashBidNoticeAbstractUI.aspx?menuIndex=3&amp;refID=7141040&amp;Result=3","7141040")</f>
        <v>0</v>
      </c>
      <c r="B12263" t="s">
        <v>3437</v>
      </c>
      <c r="C12263" t="s">
        <v>15446</v>
      </c>
      <c r="D12263" t="s">
        <v>19085</v>
      </c>
      <c r="E12263" t="s">
        <v>29596</v>
      </c>
      <c r="F12263" t="s">
        <v>32831</v>
      </c>
      <c r="G12263" t="s">
        <v>32839</v>
      </c>
      <c r="H12263" t="s">
        <v>32848</v>
      </c>
      <c r="I12263" t="s">
        <v>7819</v>
      </c>
      <c r="J12263" t="s">
        <v>40492</v>
      </c>
      <c r="K12263" t="s">
        <v>42747</v>
      </c>
      <c r="M12263" t="s">
        <v>46773</v>
      </c>
      <c r="N12263" t="s">
        <v>47424</v>
      </c>
      <c r="O12263" t="s">
        <v>47425</v>
      </c>
      <c r="P12263">
        <v>0</v>
      </c>
      <c r="Q12263">
        <v>5</v>
      </c>
      <c r="R12263" t="s">
        <v>47439</v>
      </c>
      <c r="S12263" t="s">
        <v>47860</v>
      </c>
      <c r="T12263" t="s">
        <v>49069</v>
      </c>
      <c r="U12263" t="s">
        <v>59737</v>
      </c>
      <c r="W12263" t="s">
        <v>46773</v>
      </c>
      <c r="X12263" t="s">
        <v>47440</v>
      </c>
    </row>
    <row r="12264" spans="1:24">
      <c r="A12264">
        <f>HYPERLINK("https://www.philgeps.gov.ph/GEPSNONPILOT/Tender/SplashBidNoticeAbstractUI.aspx?menuIndex=3&amp;refID=7141044&amp;Result=3","7141044")</f>
        <v>0</v>
      </c>
      <c r="B12264" t="s">
        <v>895</v>
      </c>
      <c r="C12264" t="s">
        <v>15447</v>
      </c>
      <c r="D12264" t="s">
        <v>19036</v>
      </c>
      <c r="E12264" t="s">
        <v>29597</v>
      </c>
      <c r="F12264" t="s">
        <v>32831</v>
      </c>
      <c r="G12264" t="s">
        <v>32839</v>
      </c>
      <c r="H12264" t="s">
        <v>32848</v>
      </c>
      <c r="I12264" t="s">
        <v>7751</v>
      </c>
      <c r="J12264" t="s">
        <v>33561</v>
      </c>
      <c r="K12264" t="s">
        <v>42730</v>
      </c>
      <c r="M12264" t="s">
        <v>44963</v>
      </c>
      <c r="N12264" t="s">
        <v>47424</v>
      </c>
      <c r="O12264" t="s">
        <v>47425</v>
      </c>
      <c r="P12264">
        <v>0</v>
      </c>
      <c r="Q12264">
        <v>3</v>
      </c>
      <c r="R12264" t="s">
        <v>47439</v>
      </c>
      <c r="S12264" t="s">
        <v>47860</v>
      </c>
      <c r="T12264" t="s">
        <v>49092</v>
      </c>
      <c r="U12264" t="s">
        <v>59738</v>
      </c>
      <c r="W12264" t="s">
        <v>44963</v>
      </c>
      <c r="X12264" t="s">
        <v>47440</v>
      </c>
    </row>
    <row r="12265" spans="1:24">
      <c r="A12265">
        <f>HYPERLINK("https://www.philgeps.gov.ph/GEPSNONPILOT/Tender/SplashBidNoticeAbstractUI.aspx?menuIndex=3&amp;refID=7141027&amp;Result=3","7141027")</f>
        <v>0</v>
      </c>
      <c r="B12265" t="s">
        <v>3112</v>
      </c>
      <c r="C12265" t="s">
        <v>15448</v>
      </c>
      <c r="E12265" t="s">
        <v>29598</v>
      </c>
      <c r="F12265" t="s">
        <v>32831</v>
      </c>
      <c r="G12265" t="s">
        <v>32839</v>
      </c>
      <c r="H12265" t="s">
        <v>32849</v>
      </c>
      <c r="I12265" t="s">
        <v>4177</v>
      </c>
      <c r="J12265" t="s">
        <v>40493</v>
      </c>
      <c r="K12265" t="s">
        <v>42732</v>
      </c>
      <c r="M12265" t="s">
        <v>46400</v>
      </c>
      <c r="N12265" t="s">
        <v>47424</v>
      </c>
      <c r="O12265" t="s">
        <v>47425</v>
      </c>
      <c r="P12265">
        <v>0</v>
      </c>
      <c r="Q12265">
        <v>14</v>
      </c>
      <c r="R12265" t="s">
        <v>47439</v>
      </c>
      <c r="S12265" t="s">
        <v>47860</v>
      </c>
      <c r="T12265" t="s">
        <v>49091</v>
      </c>
      <c r="U12265" t="s">
        <v>59739</v>
      </c>
      <c r="W12265" t="s">
        <v>64535</v>
      </c>
      <c r="X12265" t="s">
        <v>47440</v>
      </c>
    </row>
    <row r="12266" spans="1:24">
      <c r="A12266">
        <f>HYPERLINK("https://www.philgeps.gov.ph/GEPSNONPILOT/Tender/SplashBidNoticeAbstractUI.aspx?menuIndex=3&amp;refID=7141024&amp;Result=3","7141024")</f>
        <v>0</v>
      </c>
      <c r="B12266" t="s">
        <v>1414</v>
      </c>
      <c r="C12266" t="s">
        <v>15449</v>
      </c>
      <c r="D12266" t="s">
        <v>19030</v>
      </c>
      <c r="E12266" t="s">
        <v>29567</v>
      </c>
      <c r="F12266" t="s">
        <v>32831</v>
      </c>
      <c r="G12266" t="s">
        <v>32839</v>
      </c>
      <c r="H12266" t="s">
        <v>32849</v>
      </c>
      <c r="I12266" t="s">
        <v>4177</v>
      </c>
      <c r="J12266" t="s">
        <v>40494</v>
      </c>
      <c r="K12266" t="s">
        <v>42763</v>
      </c>
      <c r="M12266" t="s">
        <v>44502</v>
      </c>
      <c r="N12266" t="s">
        <v>47424</v>
      </c>
      <c r="O12266" t="s">
        <v>47425</v>
      </c>
      <c r="P12266">
        <v>0</v>
      </c>
      <c r="Q12266">
        <v>2</v>
      </c>
      <c r="R12266" t="s">
        <v>47439</v>
      </c>
      <c r="S12266" t="s">
        <v>47860</v>
      </c>
      <c r="T12266" t="s">
        <v>49091</v>
      </c>
      <c r="U12266" t="s">
        <v>59708</v>
      </c>
      <c r="W12266" t="s">
        <v>44502</v>
      </c>
      <c r="X12266" t="s">
        <v>47440</v>
      </c>
    </row>
    <row r="12267" spans="1:24">
      <c r="A12267">
        <f>HYPERLINK("https://www.philgeps.gov.ph/GEPSNONPILOT/Tender/SplashBidNoticeAbstractUI.aspx?menuIndex=3&amp;refID=7141020&amp;Result=3","7141020")</f>
        <v>0</v>
      </c>
      <c r="B12267" t="s">
        <v>3547</v>
      </c>
      <c r="C12267" t="s">
        <v>15450</v>
      </c>
      <c r="D12267" t="s">
        <v>19058</v>
      </c>
      <c r="E12267" t="s">
        <v>29599</v>
      </c>
      <c r="F12267" t="s">
        <v>32831</v>
      </c>
      <c r="G12267" t="s">
        <v>32839</v>
      </c>
      <c r="H12267" t="s">
        <v>32849</v>
      </c>
      <c r="I12267" t="s">
        <v>4177</v>
      </c>
      <c r="J12267" t="s">
        <v>33490</v>
      </c>
      <c r="K12267" t="s">
        <v>42763</v>
      </c>
      <c r="M12267" t="s">
        <v>46902</v>
      </c>
      <c r="N12267" t="s">
        <v>47424</v>
      </c>
      <c r="O12267" t="s">
        <v>47425</v>
      </c>
      <c r="P12267">
        <v>0</v>
      </c>
      <c r="Q12267">
        <v>0</v>
      </c>
      <c r="R12267" t="s">
        <v>47439</v>
      </c>
      <c r="S12267" t="s">
        <v>47860</v>
      </c>
      <c r="T12267" t="s">
        <v>49069</v>
      </c>
      <c r="U12267" t="s">
        <v>59740</v>
      </c>
      <c r="W12267" t="s">
        <v>46902</v>
      </c>
      <c r="X12267" t="s">
        <v>47440</v>
      </c>
    </row>
    <row r="12268" spans="1:24">
      <c r="A12268">
        <f>HYPERLINK("https://www.philgeps.gov.ph/GEPSNONPILOT/Tender/SplashBidNoticeAbstractUI.aspx?menuIndex=3&amp;refID=7141011&amp;Result=3","7141011")</f>
        <v>0</v>
      </c>
      <c r="B12268" t="s">
        <v>1740</v>
      </c>
      <c r="C12268" t="s">
        <v>15451</v>
      </c>
      <c r="D12268" t="s">
        <v>19068</v>
      </c>
      <c r="E12268" t="s">
        <v>29600</v>
      </c>
      <c r="F12268" t="s">
        <v>32831</v>
      </c>
      <c r="G12268" t="s">
        <v>32839</v>
      </c>
      <c r="H12268" t="s">
        <v>32848</v>
      </c>
      <c r="I12268" t="s">
        <v>10805</v>
      </c>
      <c r="J12268" t="s">
        <v>40495</v>
      </c>
      <c r="K12268" t="s">
        <v>42727</v>
      </c>
      <c r="M12268" t="s">
        <v>44863</v>
      </c>
      <c r="N12268" t="s">
        <v>47424</v>
      </c>
      <c r="O12268" t="s">
        <v>47425</v>
      </c>
      <c r="P12268">
        <v>0</v>
      </c>
      <c r="Q12268">
        <v>0</v>
      </c>
      <c r="R12268" t="s">
        <v>47439</v>
      </c>
      <c r="S12268" t="s">
        <v>47860</v>
      </c>
      <c r="T12268" t="s">
        <v>49057</v>
      </c>
      <c r="U12268" t="s">
        <v>59741</v>
      </c>
      <c r="W12268" t="s">
        <v>44863</v>
      </c>
      <c r="X12268" t="s">
        <v>47440</v>
      </c>
    </row>
    <row r="12269" spans="1:24">
      <c r="A12269">
        <f>HYPERLINK("https://www.philgeps.gov.ph/GEPSNONPILOT/Tender/SplashBidNoticeAbstractUI.aspx?menuIndex=3&amp;refID=7141001&amp;Result=3","7141001")</f>
        <v>0</v>
      </c>
      <c r="B12269" t="s">
        <v>3551</v>
      </c>
      <c r="C12269" t="s">
        <v>15452</v>
      </c>
      <c r="E12269" t="s">
        <v>29601</v>
      </c>
      <c r="F12269" t="s">
        <v>32831</v>
      </c>
      <c r="G12269" t="s">
        <v>32839</v>
      </c>
      <c r="H12269" t="s">
        <v>32848</v>
      </c>
      <c r="I12269" t="s">
        <v>32859</v>
      </c>
      <c r="J12269" t="s">
        <v>33118</v>
      </c>
      <c r="K12269" t="s">
        <v>42732</v>
      </c>
      <c r="M12269" t="s">
        <v>46906</v>
      </c>
      <c r="N12269" t="s">
        <v>47424</v>
      </c>
      <c r="O12269" t="s">
        <v>47425</v>
      </c>
      <c r="P12269">
        <v>0</v>
      </c>
      <c r="Q12269">
        <v>7</v>
      </c>
      <c r="R12269" t="s">
        <v>47439</v>
      </c>
      <c r="S12269" t="s">
        <v>47860</v>
      </c>
      <c r="T12269" t="s">
        <v>49196</v>
      </c>
      <c r="U12269" t="s">
        <v>59742</v>
      </c>
      <c r="W12269" t="s">
        <v>46906</v>
      </c>
      <c r="X12269" t="s">
        <v>47440</v>
      </c>
    </row>
    <row r="12270" spans="1:24">
      <c r="A12270">
        <f>HYPERLINK("https://www.philgeps.gov.ph/GEPSNONPILOT/Tender/SplashBidNoticeAbstractUI.aspx?menuIndex=3&amp;refID=7140996&amp;Result=3","7140996")</f>
        <v>0</v>
      </c>
      <c r="B12270" t="s">
        <v>2516</v>
      </c>
      <c r="C12270" t="s">
        <v>15453</v>
      </c>
      <c r="D12270" t="s">
        <v>19044</v>
      </c>
      <c r="E12270" t="s">
        <v>29602</v>
      </c>
      <c r="F12270" t="s">
        <v>32831</v>
      </c>
      <c r="G12270" t="s">
        <v>32839</v>
      </c>
      <c r="H12270" t="s">
        <v>32848</v>
      </c>
      <c r="I12270" t="s">
        <v>4438</v>
      </c>
      <c r="J12270" t="s">
        <v>40496</v>
      </c>
      <c r="K12270" t="s">
        <v>42732</v>
      </c>
      <c r="M12270" t="s">
        <v>45723</v>
      </c>
      <c r="N12270" t="s">
        <v>47424</v>
      </c>
      <c r="O12270" t="s">
        <v>47425</v>
      </c>
      <c r="Q12270">
        <v>6</v>
      </c>
      <c r="R12270" t="s">
        <v>47439</v>
      </c>
      <c r="S12270" t="s">
        <v>47909</v>
      </c>
      <c r="T12270" t="s">
        <v>49172</v>
      </c>
      <c r="U12270" t="s">
        <v>59743</v>
      </c>
      <c r="W12270" t="s">
        <v>45723</v>
      </c>
      <c r="X12270" t="s">
        <v>47440</v>
      </c>
    </row>
    <row r="12271" spans="1:24">
      <c r="A12271">
        <f>HYPERLINK("https://www.philgeps.gov.ph/GEPSNONPILOT/Tender/SplashBidNoticeAbstractUI.aspx?menuIndex=3&amp;refID=7140992&amp;Result=3","7140992")</f>
        <v>0</v>
      </c>
      <c r="B12271" t="s">
        <v>3547</v>
      </c>
      <c r="C12271" t="s">
        <v>15454</v>
      </c>
      <c r="D12271" t="s">
        <v>19058</v>
      </c>
      <c r="E12271" t="s">
        <v>29603</v>
      </c>
      <c r="F12271" t="s">
        <v>32831</v>
      </c>
      <c r="G12271" t="s">
        <v>32839</v>
      </c>
      <c r="H12271" t="s">
        <v>32849</v>
      </c>
      <c r="I12271" t="s">
        <v>4177</v>
      </c>
      <c r="J12271" t="s">
        <v>33111</v>
      </c>
      <c r="K12271" t="s">
        <v>42770</v>
      </c>
      <c r="M12271" t="s">
        <v>46902</v>
      </c>
      <c r="N12271" t="s">
        <v>47424</v>
      </c>
      <c r="O12271" t="s">
        <v>47425</v>
      </c>
      <c r="P12271">
        <v>0</v>
      </c>
      <c r="Q12271">
        <v>1</v>
      </c>
      <c r="R12271" t="s">
        <v>47439</v>
      </c>
      <c r="S12271" t="s">
        <v>47860</v>
      </c>
      <c r="T12271" t="s">
        <v>49069</v>
      </c>
      <c r="U12271" t="s">
        <v>59744</v>
      </c>
      <c r="W12271" t="s">
        <v>46902</v>
      </c>
      <c r="X12271" t="s">
        <v>47440</v>
      </c>
    </row>
    <row r="12272" spans="1:24">
      <c r="A12272">
        <f>HYPERLINK("https://www.philgeps.gov.ph/GEPSNONPILOT/Tender/SplashBidNoticeAbstractUI.aspx?menuIndex=3&amp;refID=7140987&amp;Result=3","7140987")</f>
        <v>0</v>
      </c>
      <c r="B12272" t="s">
        <v>3552</v>
      </c>
      <c r="C12272" t="s">
        <v>15455</v>
      </c>
      <c r="D12272" t="s">
        <v>19048</v>
      </c>
      <c r="E12272" t="s">
        <v>29604</v>
      </c>
      <c r="F12272" t="s">
        <v>32831</v>
      </c>
      <c r="G12272" t="s">
        <v>32839</v>
      </c>
      <c r="H12272" t="s">
        <v>32848</v>
      </c>
      <c r="I12272" t="s">
        <v>32921</v>
      </c>
      <c r="J12272" t="s">
        <v>40497</v>
      </c>
      <c r="K12272" t="s">
        <v>42727</v>
      </c>
      <c r="M12272" t="s">
        <v>46907</v>
      </c>
      <c r="N12272" t="s">
        <v>47424</v>
      </c>
      <c r="O12272" t="s">
        <v>47425</v>
      </c>
      <c r="Q12272">
        <v>0</v>
      </c>
      <c r="R12272" t="s">
        <v>47439</v>
      </c>
      <c r="S12272" t="s">
        <v>47910</v>
      </c>
      <c r="T12272" t="s">
        <v>49070</v>
      </c>
      <c r="U12272" t="s">
        <v>59745</v>
      </c>
      <c r="V12272" t="s">
        <v>63987</v>
      </c>
      <c r="W12272" t="s">
        <v>64548</v>
      </c>
      <c r="X12272" t="s">
        <v>47440</v>
      </c>
    </row>
    <row r="12273" spans="1:24">
      <c r="A12273">
        <f>HYPERLINK("https://www.philgeps.gov.ph/GEPSNONPILOT/Tender/SplashBidNoticeAbstractUI.aspx?menuIndex=3&amp;refID=7140858&amp;Result=3","7140858")</f>
        <v>0</v>
      </c>
      <c r="B12273" t="s">
        <v>3544</v>
      </c>
      <c r="C12273" t="s">
        <v>15456</v>
      </c>
      <c r="D12273" t="s">
        <v>19077</v>
      </c>
      <c r="E12273" t="s">
        <v>29605</v>
      </c>
      <c r="F12273" t="s">
        <v>32831</v>
      </c>
      <c r="G12273" t="s">
        <v>32839</v>
      </c>
      <c r="H12273" t="s">
        <v>32849</v>
      </c>
      <c r="I12273" t="s">
        <v>4177</v>
      </c>
      <c r="J12273" t="s">
        <v>40498</v>
      </c>
      <c r="K12273" t="s">
        <v>42790</v>
      </c>
      <c r="M12273" t="s">
        <v>46898</v>
      </c>
      <c r="N12273" t="s">
        <v>47424</v>
      </c>
      <c r="O12273" t="s">
        <v>47425</v>
      </c>
      <c r="P12273">
        <v>0</v>
      </c>
      <c r="Q12273">
        <v>1</v>
      </c>
      <c r="R12273" t="s">
        <v>47439</v>
      </c>
      <c r="S12273" t="s">
        <v>47860</v>
      </c>
      <c r="T12273" t="s">
        <v>49059</v>
      </c>
      <c r="U12273" t="s">
        <v>59728</v>
      </c>
      <c r="W12273" t="s">
        <v>46898</v>
      </c>
      <c r="X12273" t="s">
        <v>47440</v>
      </c>
    </row>
    <row r="12274" spans="1:24">
      <c r="A12274">
        <f>HYPERLINK("https://www.philgeps.gov.ph/GEPSNONPILOT/Tender/SplashBidNoticeAbstractUI.aspx?menuIndex=3&amp;refID=7140994&amp;Result=3","7140994")</f>
        <v>0</v>
      </c>
      <c r="B12274" t="s">
        <v>1414</v>
      </c>
      <c r="C12274" t="s">
        <v>15457</v>
      </c>
      <c r="D12274" t="s">
        <v>19030</v>
      </c>
      <c r="E12274" t="s">
        <v>29567</v>
      </c>
      <c r="F12274" t="s">
        <v>32831</v>
      </c>
      <c r="G12274" t="s">
        <v>32839</v>
      </c>
      <c r="H12274" t="s">
        <v>32849</v>
      </c>
      <c r="I12274" t="s">
        <v>4177</v>
      </c>
      <c r="J12274" t="s">
        <v>40499</v>
      </c>
      <c r="K12274" t="s">
        <v>42763</v>
      </c>
      <c r="M12274" t="s">
        <v>44502</v>
      </c>
      <c r="N12274" t="s">
        <v>47424</v>
      </c>
      <c r="O12274" t="s">
        <v>47425</v>
      </c>
      <c r="P12274">
        <v>0</v>
      </c>
      <c r="Q12274">
        <v>0</v>
      </c>
      <c r="R12274" t="s">
        <v>47439</v>
      </c>
      <c r="S12274" t="s">
        <v>47860</v>
      </c>
      <c r="T12274" t="s">
        <v>49109</v>
      </c>
      <c r="U12274" t="s">
        <v>59708</v>
      </c>
      <c r="W12274" t="s">
        <v>44502</v>
      </c>
      <c r="X12274" t="s">
        <v>47440</v>
      </c>
    </row>
    <row r="12275" spans="1:24">
      <c r="A12275">
        <f>HYPERLINK("https://www.philgeps.gov.ph/GEPSNONPILOT/Tender/SplashBidNoticeAbstractUI.aspx?menuIndex=3&amp;refID=7141006&amp;Result=3","7141006")</f>
        <v>0</v>
      </c>
      <c r="B12275" t="s">
        <v>3553</v>
      </c>
      <c r="C12275" t="s">
        <v>15458</v>
      </c>
      <c r="E12275" t="s">
        <v>29606</v>
      </c>
      <c r="F12275" t="s">
        <v>32831</v>
      </c>
      <c r="G12275" t="s">
        <v>32839</v>
      </c>
      <c r="H12275" t="s">
        <v>32848</v>
      </c>
      <c r="I12275" t="s">
        <v>32860</v>
      </c>
      <c r="J12275" t="s">
        <v>34497</v>
      </c>
      <c r="K12275" t="s">
        <v>42732</v>
      </c>
      <c r="M12275" t="s">
        <v>46908</v>
      </c>
      <c r="N12275" t="s">
        <v>47424</v>
      </c>
      <c r="O12275" t="s">
        <v>47425</v>
      </c>
      <c r="P12275">
        <v>0</v>
      </c>
      <c r="Q12275">
        <v>1</v>
      </c>
      <c r="R12275" t="s">
        <v>47439</v>
      </c>
      <c r="S12275" t="s">
        <v>47860</v>
      </c>
      <c r="T12275" t="s">
        <v>49109</v>
      </c>
      <c r="U12275" t="s">
        <v>59746</v>
      </c>
      <c r="W12275" t="s">
        <v>46908</v>
      </c>
      <c r="X12275" t="s">
        <v>47440</v>
      </c>
    </row>
    <row r="12276" spans="1:24">
      <c r="A12276">
        <f>HYPERLINK("https://www.philgeps.gov.ph/GEPSNONPILOT/Tender/SplashBidNoticeAbstractUI.aspx?menuIndex=3&amp;refID=7141081&amp;Result=3","7141081")</f>
        <v>0</v>
      </c>
      <c r="B12276" t="s">
        <v>3552</v>
      </c>
      <c r="C12276" t="s">
        <v>15459</v>
      </c>
      <c r="D12276" t="s">
        <v>19048</v>
      </c>
      <c r="E12276" t="s">
        <v>29607</v>
      </c>
      <c r="F12276" t="s">
        <v>32831</v>
      </c>
      <c r="G12276" t="s">
        <v>32839</v>
      </c>
      <c r="H12276" t="s">
        <v>32848</v>
      </c>
      <c r="I12276" t="s">
        <v>5667</v>
      </c>
      <c r="J12276" t="s">
        <v>40500</v>
      </c>
      <c r="K12276" t="s">
        <v>42727</v>
      </c>
      <c r="M12276" t="s">
        <v>46907</v>
      </c>
      <c r="N12276" t="s">
        <v>47424</v>
      </c>
      <c r="O12276" t="s">
        <v>47425</v>
      </c>
      <c r="Q12276">
        <v>4</v>
      </c>
      <c r="R12276" t="s">
        <v>47439</v>
      </c>
      <c r="S12276" t="s">
        <v>47911</v>
      </c>
      <c r="T12276" t="s">
        <v>49613</v>
      </c>
      <c r="U12276" t="s">
        <v>59747</v>
      </c>
      <c r="V12276" t="s">
        <v>62714</v>
      </c>
      <c r="W12276" t="s">
        <v>64548</v>
      </c>
      <c r="X12276" t="s">
        <v>47440</v>
      </c>
    </row>
    <row r="12277" spans="1:24">
      <c r="A12277">
        <f>HYPERLINK("https://www.philgeps.gov.ph/GEPSNONPILOT/Tender/SplashBidNoticeAbstractUI.aspx?menuIndex=3&amp;refID=7141130&amp;Result=3","7141130")</f>
        <v>0</v>
      </c>
      <c r="B12277" t="s">
        <v>1740</v>
      </c>
      <c r="C12277" t="s">
        <v>15460</v>
      </c>
      <c r="D12277" t="s">
        <v>19068</v>
      </c>
      <c r="E12277" t="s">
        <v>29608</v>
      </c>
      <c r="F12277" t="s">
        <v>32831</v>
      </c>
      <c r="G12277" t="s">
        <v>32839</v>
      </c>
      <c r="H12277" t="s">
        <v>32848</v>
      </c>
      <c r="I12277" t="s">
        <v>4776</v>
      </c>
      <c r="J12277" t="s">
        <v>34940</v>
      </c>
      <c r="K12277" t="s">
        <v>42727</v>
      </c>
      <c r="M12277" t="s">
        <v>44863</v>
      </c>
      <c r="N12277" t="s">
        <v>47424</v>
      </c>
      <c r="O12277" t="s">
        <v>47425</v>
      </c>
      <c r="P12277">
        <v>0</v>
      </c>
      <c r="Q12277">
        <v>0</v>
      </c>
      <c r="R12277" t="s">
        <v>47439</v>
      </c>
      <c r="S12277" t="s">
        <v>47860</v>
      </c>
      <c r="T12277" t="s">
        <v>49057</v>
      </c>
      <c r="U12277" t="s">
        <v>59748</v>
      </c>
      <c r="W12277" t="s">
        <v>44863</v>
      </c>
      <c r="X12277" t="s">
        <v>47440</v>
      </c>
    </row>
    <row r="12278" spans="1:24">
      <c r="A12278">
        <f>HYPERLINK("https://www.philgeps.gov.ph/GEPSNONPILOT/Tender/SplashBidNoticeAbstractUI.aspx?menuIndex=3&amp;refID=7141037&amp;Result=3","7141037")</f>
        <v>0</v>
      </c>
      <c r="B12278" t="s">
        <v>2866</v>
      </c>
      <c r="C12278" t="s">
        <v>15461</v>
      </c>
      <c r="D12278" t="s">
        <v>19059</v>
      </c>
      <c r="E12278" t="s">
        <v>29609</v>
      </c>
      <c r="F12278" t="s">
        <v>32831</v>
      </c>
      <c r="G12278" t="s">
        <v>32839</v>
      </c>
      <c r="H12278" t="s">
        <v>32848</v>
      </c>
      <c r="I12278" t="s">
        <v>32859</v>
      </c>
      <c r="J12278" t="s">
        <v>40501</v>
      </c>
      <c r="K12278" t="s">
        <v>42730</v>
      </c>
      <c r="M12278" t="s">
        <v>46344</v>
      </c>
      <c r="N12278" t="s">
        <v>47424</v>
      </c>
      <c r="O12278" t="s">
        <v>47425</v>
      </c>
      <c r="P12278">
        <v>0</v>
      </c>
      <c r="Q12278">
        <v>8</v>
      </c>
      <c r="R12278" t="s">
        <v>47439</v>
      </c>
      <c r="S12278" t="s">
        <v>47860</v>
      </c>
      <c r="T12278" t="s">
        <v>49066</v>
      </c>
      <c r="U12278" t="s">
        <v>57686</v>
      </c>
      <c r="W12278" t="s">
        <v>64532</v>
      </c>
      <c r="X12278" t="s">
        <v>47440</v>
      </c>
    </row>
    <row r="12279" spans="1:24">
      <c r="A12279">
        <f>HYPERLINK("https://www.philgeps.gov.ph/GEPSNONPILOT/Tender/SplashBidNoticeAbstractUI.aspx?menuIndex=3&amp;refID=7141121&amp;Result=3","7141121")</f>
        <v>0</v>
      </c>
      <c r="B12279" t="s">
        <v>3554</v>
      </c>
      <c r="C12279" t="s">
        <v>15462</v>
      </c>
      <c r="D12279" t="s">
        <v>19037</v>
      </c>
      <c r="E12279" t="s">
        <v>20926</v>
      </c>
      <c r="F12279" t="s">
        <v>32831</v>
      </c>
      <c r="G12279" t="s">
        <v>32839</v>
      </c>
      <c r="H12279" t="s">
        <v>32849</v>
      </c>
      <c r="I12279" t="s">
        <v>4177</v>
      </c>
      <c r="J12279" t="s">
        <v>32978</v>
      </c>
      <c r="K12279" t="s">
        <v>42732</v>
      </c>
      <c r="M12279" t="s">
        <v>46909</v>
      </c>
      <c r="N12279" t="s">
        <v>47424</v>
      </c>
      <c r="O12279" t="s">
        <v>47425</v>
      </c>
      <c r="P12279">
        <v>0</v>
      </c>
      <c r="Q12279">
        <v>0</v>
      </c>
      <c r="R12279" t="s">
        <v>47439</v>
      </c>
      <c r="S12279" t="s">
        <v>47860</v>
      </c>
      <c r="T12279" t="s">
        <v>49239</v>
      </c>
      <c r="U12279" t="s">
        <v>59749</v>
      </c>
      <c r="W12279" t="s">
        <v>46909</v>
      </c>
      <c r="X12279" t="s">
        <v>47440</v>
      </c>
    </row>
    <row r="12280" spans="1:24">
      <c r="A12280">
        <f>HYPERLINK("https://www.philgeps.gov.ph/GEPSNONPILOT/Tender/SplashBidNoticeAbstractUI.aspx?menuIndex=3&amp;refID=7141103&amp;Result=3","7141103")</f>
        <v>0</v>
      </c>
      <c r="B12280" t="s">
        <v>3551</v>
      </c>
      <c r="C12280" t="s">
        <v>15463</v>
      </c>
      <c r="E12280" t="s">
        <v>29610</v>
      </c>
      <c r="F12280" t="s">
        <v>32831</v>
      </c>
      <c r="G12280" t="s">
        <v>32839</v>
      </c>
      <c r="H12280" t="s">
        <v>32849</v>
      </c>
      <c r="I12280" t="s">
        <v>4177</v>
      </c>
      <c r="J12280" t="s">
        <v>40502</v>
      </c>
      <c r="K12280" t="s">
        <v>42732</v>
      </c>
      <c r="M12280" t="s">
        <v>46906</v>
      </c>
      <c r="N12280" t="s">
        <v>47424</v>
      </c>
      <c r="O12280" t="s">
        <v>47425</v>
      </c>
      <c r="P12280">
        <v>0</v>
      </c>
      <c r="Q12280">
        <v>0</v>
      </c>
      <c r="R12280" t="s">
        <v>47439</v>
      </c>
      <c r="S12280" t="s">
        <v>47860</v>
      </c>
      <c r="T12280" t="s">
        <v>49196</v>
      </c>
      <c r="U12280" t="s">
        <v>59750</v>
      </c>
      <c r="W12280" t="s">
        <v>46906</v>
      </c>
      <c r="X12280" t="s">
        <v>47440</v>
      </c>
    </row>
    <row r="12281" spans="1:24">
      <c r="A12281">
        <f>HYPERLINK("https://www.philgeps.gov.ph/GEPSNONPILOT/Tender/SplashBidNoticeAbstractUI.aspx?menuIndex=3&amp;refID=7141099&amp;Result=3","7141099")</f>
        <v>0</v>
      </c>
      <c r="B12281" t="s">
        <v>895</v>
      </c>
      <c r="C12281" t="s">
        <v>15464</v>
      </c>
      <c r="D12281" t="s">
        <v>19036</v>
      </c>
      <c r="E12281" t="s">
        <v>29611</v>
      </c>
      <c r="F12281" t="s">
        <v>32831</v>
      </c>
      <c r="G12281" t="s">
        <v>32839</v>
      </c>
      <c r="H12281" t="s">
        <v>32848</v>
      </c>
      <c r="I12281" t="s">
        <v>7751</v>
      </c>
      <c r="J12281" t="s">
        <v>33083</v>
      </c>
      <c r="K12281" t="s">
        <v>42730</v>
      </c>
      <c r="M12281" t="s">
        <v>44963</v>
      </c>
      <c r="N12281" t="s">
        <v>47424</v>
      </c>
      <c r="O12281" t="s">
        <v>47425</v>
      </c>
      <c r="P12281">
        <v>0</v>
      </c>
      <c r="Q12281">
        <v>4</v>
      </c>
      <c r="R12281" t="s">
        <v>47439</v>
      </c>
      <c r="S12281" t="s">
        <v>47860</v>
      </c>
      <c r="T12281" t="s">
        <v>49092</v>
      </c>
      <c r="U12281" t="s">
        <v>59738</v>
      </c>
      <c r="W12281" t="s">
        <v>44963</v>
      </c>
      <c r="X12281" t="s">
        <v>47440</v>
      </c>
    </row>
    <row r="12282" spans="1:24">
      <c r="A12282">
        <f>HYPERLINK("https://www.philgeps.gov.ph/GEPSNONPILOT/Tender/SplashBidNoticeAbstractUI.aspx?menuIndex=3&amp;refID=7141124&amp;Result=3","7141124")</f>
        <v>0</v>
      </c>
      <c r="B12282" t="s">
        <v>2351</v>
      </c>
      <c r="C12282" t="s">
        <v>15465</v>
      </c>
      <c r="D12282" t="s">
        <v>19022</v>
      </c>
      <c r="E12282" t="s">
        <v>29612</v>
      </c>
      <c r="F12282" t="s">
        <v>32831</v>
      </c>
      <c r="G12282" t="s">
        <v>32839</v>
      </c>
      <c r="H12282" t="s">
        <v>32848</v>
      </c>
      <c r="I12282" t="s">
        <v>32897</v>
      </c>
      <c r="J12282" t="s">
        <v>40503</v>
      </c>
      <c r="K12282" t="s">
        <v>42732</v>
      </c>
      <c r="L12282" t="s">
        <v>2351</v>
      </c>
      <c r="M12282" t="s">
        <v>45540</v>
      </c>
      <c r="N12282" t="s">
        <v>47424</v>
      </c>
      <c r="O12282" t="s">
        <v>47425</v>
      </c>
      <c r="P12282">
        <v>0</v>
      </c>
      <c r="Q12282">
        <v>4</v>
      </c>
      <c r="R12282" t="s">
        <v>47439</v>
      </c>
      <c r="S12282" t="s">
        <v>47860</v>
      </c>
      <c r="T12282" t="s">
        <v>49069</v>
      </c>
      <c r="U12282" t="s">
        <v>55228</v>
      </c>
      <c r="W12282" t="s">
        <v>45540</v>
      </c>
      <c r="X12282" t="s">
        <v>47440</v>
      </c>
    </row>
    <row r="12283" spans="1:24">
      <c r="A12283">
        <f>HYPERLINK("https://www.philgeps.gov.ph/GEPSNONPILOT/Tender/SplashBidNoticeAbstractUI.aspx?menuIndex=3&amp;refID=7141123&amp;Result=3","7141123")</f>
        <v>0</v>
      </c>
      <c r="B12283" t="s">
        <v>1682</v>
      </c>
      <c r="C12283" t="s">
        <v>15466</v>
      </c>
      <c r="D12283" t="s">
        <v>19035</v>
      </c>
      <c r="E12283" t="s">
        <v>29613</v>
      </c>
      <c r="F12283" t="s">
        <v>32831</v>
      </c>
      <c r="G12283" t="s">
        <v>32839</v>
      </c>
      <c r="H12283" t="s">
        <v>32848</v>
      </c>
      <c r="I12283" t="s">
        <v>4776</v>
      </c>
      <c r="J12283" t="s">
        <v>40504</v>
      </c>
      <c r="K12283" t="s">
        <v>42748</v>
      </c>
      <c r="M12283" t="s">
        <v>44801</v>
      </c>
      <c r="N12283" t="s">
        <v>47424</v>
      </c>
      <c r="O12283" t="s">
        <v>47425</v>
      </c>
      <c r="Q12283">
        <v>5</v>
      </c>
      <c r="R12283" t="s">
        <v>47439</v>
      </c>
      <c r="S12283" t="s">
        <v>47912</v>
      </c>
      <c r="T12283" t="s">
        <v>49064</v>
      </c>
      <c r="U12283" t="s">
        <v>59751</v>
      </c>
      <c r="V12283" t="s">
        <v>63988</v>
      </c>
      <c r="W12283" t="s">
        <v>44801</v>
      </c>
      <c r="X12283" t="s">
        <v>47440</v>
      </c>
    </row>
    <row r="12284" spans="1:24">
      <c r="A12284">
        <f>HYPERLINK("https://www.philgeps.gov.ph/GEPSNONPILOT/Tender/SplashBidNoticeAbstractUI.aspx?menuIndex=3&amp;refID=7141090&amp;Result=3","7141090")</f>
        <v>0</v>
      </c>
      <c r="B12284" t="s">
        <v>3555</v>
      </c>
      <c r="C12284" t="s">
        <v>15467</v>
      </c>
      <c r="D12284" t="s">
        <v>19079</v>
      </c>
      <c r="E12284" t="s">
        <v>29614</v>
      </c>
      <c r="F12284" t="s">
        <v>32831</v>
      </c>
      <c r="G12284" t="s">
        <v>32839</v>
      </c>
      <c r="H12284" t="s">
        <v>32849</v>
      </c>
      <c r="I12284" t="s">
        <v>4177</v>
      </c>
      <c r="J12284" t="s">
        <v>40505</v>
      </c>
      <c r="K12284" t="s">
        <v>42780</v>
      </c>
      <c r="M12284" t="s">
        <v>46910</v>
      </c>
      <c r="N12284" t="s">
        <v>47424</v>
      </c>
      <c r="O12284" t="s">
        <v>47425</v>
      </c>
      <c r="P12284">
        <v>0</v>
      </c>
      <c r="Q12284">
        <v>0</v>
      </c>
      <c r="R12284" t="s">
        <v>47439</v>
      </c>
      <c r="S12284" t="s">
        <v>47860</v>
      </c>
      <c r="T12284" t="s">
        <v>49159</v>
      </c>
      <c r="U12284" t="s">
        <v>59752</v>
      </c>
      <c r="W12284" t="s">
        <v>46910</v>
      </c>
      <c r="X12284" t="s">
        <v>47440</v>
      </c>
    </row>
    <row r="12285" spans="1:24">
      <c r="A12285">
        <f>HYPERLINK("https://www.philgeps.gov.ph/GEPSNONPILOT/Tender/SplashBidNoticeAbstractUI.aspx?menuIndex=3&amp;refID=7141092&amp;Result=3","7141092")</f>
        <v>0</v>
      </c>
      <c r="B12285" t="s">
        <v>3547</v>
      </c>
      <c r="C12285" t="s">
        <v>15468</v>
      </c>
      <c r="D12285" t="s">
        <v>19058</v>
      </c>
      <c r="E12285" t="s">
        <v>29615</v>
      </c>
      <c r="F12285" t="s">
        <v>32831</v>
      </c>
      <c r="G12285" t="s">
        <v>32839</v>
      </c>
      <c r="H12285" t="s">
        <v>32849</v>
      </c>
      <c r="I12285" t="s">
        <v>4177</v>
      </c>
      <c r="J12285" t="s">
        <v>40506</v>
      </c>
      <c r="K12285" t="s">
        <v>42757</v>
      </c>
      <c r="M12285" t="s">
        <v>46902</v>
      </c>
      <c r="N12285" t="s">
        <v>47424</v>
      </c>
      <c r="O12285" t="s">
        <v>47425</v>
      </c>
      <c r="P12285">
        <v>0</v>
      </c>
      <c r="Q12285">
        <v>0</v>
      </c>
      <c r="R12285" t="s">
        <v>47439</v>
      </c>
      <c r="S12285" t="s">
        <v>47860</v>
      </c>
      <c r="T12285" t="s">
        <v>49069</v>
      </c>
      <c r="U12285" t="s">
        <v>59753</v>
      </c>
      <c r="W12285" t="s">
        <v>46902</v>
      </c>
      <c r="X12285" t="s">
        <v>47440</v>
      </c>
    </row>
    <row r="12286" spans="1:24">
      <c r="A12286">
        <f>HYPERLINK("https://www.philgeps.gov.ph/GEPSNONPILOT/Tender/SplashBidNoticeAbstractUI.aspx?menuIndex=3&amp;refID=7141082&amp;Result=3","7141082")</f>
        <v>0</v>
      </c>
      <c r="B12286" t="s">
        <v>3553</v>
      </c>
      <c r="C12286" t="s">
        <v>15469</v>
      </c>
      <c r="E12286" t="s">
        <v>29616</v>
      </c>
      <c r="F12286" t="s">
        <v>32831</v>
      </c>
      <c r="G12286" t="s">
        <v>32839</v>
      </c>
      <c r="H12286" t="s">
        <v>32848</v>
      </c>
      <c r="I12286" t="s">
        <v>32857</v>
      </c>
      <c r="J12286" t="s">
        <v>40507</v>
      </c>
      <c r="K12286" t="s">
        <v>42732</v>
      </c>
      <c r="M12286" t="s">
        <v>46908</v>
      </c>
      <c r="N12286" t="s">
        <v>47424</v>
      </c>
      <c r="O12286" t="s">
        <v>47425</v>
      </c>
      <c r="P12286">
        <v>0</v>
      </c>
      <c r="Q12286">
        <v>2</v>
      </c>
      <c r="R12286" t="s">
        <v>47439</v>
      </c>
      <c r="S12286" t="s">
        <v>47860</v>
      </c>
      <c r="T12286" t="s">
        <v>49109</v>
      </c>
      <c r="U12286" t="s">
        <v>59754</v>
      </c>
      <c r="W12286" t="s">
        <v>46908</v>
      </c>
      <c r="X12286" t="s">
        <v>47440</v>
      </c>
    </row>
    <row r="12287" spans="1:24">
      <c r="A12287">
        <f>HYPERLINK("https://www.philgeps.gov.ph/GEPSNONPILOT/Tender/SplashBidNoticeAbstractUI.aspx?menuIndex=3&amp;refID=7141080&amp;Result=3","7141080")</f>
        <v>0</v>
      </c>
      <c r="B12287" t="s">
        <v>1463</v>
      </c>
      <c r="C12287" t="s">
        <v>15470</v>
      </c>
      <c r="D12287" t="s">
        <v>19066</v>
      </c>
      <c r="E12287" t="s">
        <v>29617</v>
      </c>
      <c r="F12287" t="s">
        <v>32831</v>
      </c>
      <c r="G12287" t="s">
        <v>32839</v>
      </c>
      <c r="H12287" t="s">
        <v>32848</v>
      </c>
      <c r="I12287" t="s">
        <v>32870</v>
      </c>
      <c r="J12287" t="s">
        <v>33118</v>
      </c>
      <c r="K12287" t="s">
        <v>42730</v>
      </c>
      <c r="M12287" t="s">
        <v>44555</v>
      </c>
      <c r="N12287" t="s">
        <v>47424</v>
      </c>
      <c r="O12287" t="s">
        <v>47425</v>
      </c>
      <c r="P12287">
        <v>0</v>
      </c>
      <c r="Q12287">
        <v>1</v>
      </c>
      <c r="R12287" t="s">
        <v>47439</v>
      </c>
      <c r="S12287" t="s">
        <v>47860</v>
      </c>
      <c r="T12287" t="s">
        <v>49059</v>
      </c>
      <c r="U12287" t="s">
        <v>59755</v>
      </c>
      <c r="W12287" t="s">
        <v>44555</v>
      </c>
      <c r="X12287" t="s">
        <v>47440</v>
      </c>
    </row>
    <row r="12288" spans="1:24">
      <c r="A12288">
        <f>HYPERLINK("https://www.philgeps.gov.ph/GEPSNONPILOT/Tender/SplashBidNoticeAbstractUI.aspx?menuIndex=3&amp;refID=7141074&amp;Result=3","7141074")</f>
        <v>0</v>
      </c>
      <c r="B12288" t="s">
        <v>3555</v>
      </c>
      <c r="C12288" t="s">
        <v>15471</v>
      </c>
      <c r="D12288" t="s">
        <v>19079</v>
      </c>
      <c r="E12288" t="s">
        <v>29618</v>
      </c>
      <c r="F12288" t="s">
        <v>32831</v>
      </c>
      <c r="G12288" t="s">
        <v>32839</v>
      </c>
      <c r="H12288" t="s">
        <v>32848</v>
      </c>
      <c r="I12288" t="s">
        <v>7819</v>
      </c>
      <c r="J12288" t="s">
        <v>33257</v>
      </c>
      <c r="K12288" t="s">
        <v>42730</v>
      </c>
      <c r="M12288" t="s">
        <v>46910</v>
      </c>
      <c r="N12288" t="s">
        <v>47424</v>
      </c>
      <c r="O12288" t="s">
        <v>47425</v>
      </c>
      <c r="P12288">
        <v>0</v>
      </c>
      <c r="Q12288">
        <v>1</v>
      </c>
      <c r="R12288" t="s">
        <v>47439</v>
      </c>
      <c r="S12288" t="s">
        <v>47860</v>
      </c>
      <c r="T12288" t="s">
        <v>49159</v>
      </c>
      <c r="U12288" t="s">
        <v>59756</v>
      </c>
      <c r="W12288" t="s">
        <v>46910</v>
      </c>
      <c r="X12288" t="s">
        <v>47440</v>
      </c>
    </row>
    <row r="12289" spans="1:24">
      <c r="A12289">
        <f>HYPERLINK("https://www.philgeps.gov.ph/GEPSNONPILOT/Tender/SplashBidNoticeAbstractUI.aspx?menuIndex=3&amp;refID=7141084&amp;Result=3","7141084")</f>
        <v>0</v>
      </c>
      <c r="B12289" t="s">
        <v>3530</v>
      </c>
      <c r="C12289" t="s">
        <v>15472</v>
      </c>
      <c r="D12289" t="s">
        <v>19101</v>
      </c>
      <c r="E12289" t="s">
        <v>29619</v>
      </c>
      <c r="F12289" t="s">
        <v>32831</v>
      </c>
      <c r="G12289" t="s">
        <v>32839</v>
      </c>
      <c r="H12289" t="s">
        <v>32849</v>
      </c>
      <c r="I12289" t="s">
        <v>4177</v>
      </c>
      <c r="J12289" t="s">
        <v>38902</v>
      </c>
      <c r="K12289" t="s">
        <v>42757</v>
      </c>
      <c r="M12289" t="s">
        <v>46881</v>
      </c>
      <c r="N12289" t="s">
        <v>47424</v>
      </c>
      <c r="O12289" t="s">
        <v>47425</v>
      </c>
      <c r="P12289">
        <v>0</v>
      </c>
      <c r="Q12289">
        <v>1</v>
      </c>
      <c r="R12289" t="s">
        <v>47439</v>
      </c>
      <c r="S12289" t="s">
        <v>47860</v>
      </c>
      <c r="T12289" t="s">
        <v>49092</v>
      </c>
      <c r="U12289" t="s">
        <v>59648</v>
      </c>
      <c r="V12289" t="s">
        <v>63989</v>
      </c>
      <c r="W12289" t="s">
        <v>46881</v>
      </c>
      <c r="X12289" t="s">
        <v>47440</v>
      </c>
    </row>
    <row r="12290" spans="1:24">
      <c r="A12290">
        <f>HYPERLINK("https://www.philgeps.gov.ph/GEPSNONPILOT/Tender/SplashBidNoticeAbstractUI.aspx?menuIndex=3&amp;refID=7141077&amp;Result=3","7141077")</f>
        <v>0</v>
      </c>
      <c r="B12290" t="s">
        <v>3551</v>
      </c>
      <c r="C12290" t="s">
        <v>15473</v>
      </c>
      <c r="E12290" t="s">
        <v>29620</v>
      </c>
      <c r="F12290" t="s">
        <v>32831</v>
      </c>
      <c r="G12290" t="s">
        <v>32839</v>
      </c>
      <c r="H12290" t="s">
        <v>32849</v>
      </c>
      <c r="I12290" t="s">
        <v>4177</v>
      </c>
      <c r="J12290" t="s">
        <v>40508</v>
      </c>
      <c r="K12290" t="s">
        <v>42732</v>
      </c>
      <c r="M12290" t="s">
        <v>46906</v>
      </c>
      <c r="N12290" t="s">
        <v>47424</v>
      </c>
      <c r="O12290" t="s">
        <v>47425</v>
      </c>
      <c r="P12290">
        <v>0</v>
      </c>
      <c r="Q12290">
        <v>0</v>
      </c>
      <c r="R12290" t="s">
        <v>47439</v>
      </c>
      <c r="S12290" t="s">
        <v>47860</v>
      </c>
      <c r="T12290" t="s">
        <v>49196</v>
      </c>
      <c r="U12290" t="s">
        <v>59757</v>
      </c>
      <c r="W12290" t="s">
        <v>46906</v>
      </c>
      <c r="X12290" t="s">
        <v>47440</v>
      </c>
    </row>
    <row r="12291" spans="1:24">
      <c r="A12291">
        <f>HYPERLINK("https://www.philgeps.gov.ph/GEPSNONPILOT/Tender/SplashBidNoticeAbstractUI.aspx?menuIndex=3&amp;refID=7141067&amp;Result=3","7141067")</f>
        <v>0</v>
      </c>
      <c r="B12291" t="s">
        <v>3547</v>
      </c>
      <c r="C12291" t="s">
        <v>15474</v>
      </c>
      <c r="D12291" t="s">
        <v>19058</v>
      </c>
      <c r="E12291" t="s">
        <v>29621</v>
      </c>
      <c r="F12291" t="s">
        <v>32831</v>
      </c>
      <c r="G12291" t="s">
        <v>32839</v>
      </c>
      <c r="H12291" t="s">
        <v>32849</v>
      </c>
      <c r="I12291" t="s">
        <v>4177</v>
      </c>
      <c r="J12291" t="s">
        <v>33083</v>
      </c>
      <c r="K12291" t="s">
        <v>42770</v>
      </c>
      <c r="M12291" t="s">
        <v>46902</v>
      </c>
      <c r="N12291" t="s">
        <v>47424</v>
      </c>
      <c r="O12291" t="s">
        <v>47425</v>
      </c>
      <c r="P12291">
        <v>0</v>
      </c>
      <c r="Q12291">
        <v>0</v>
      </c>
      <c r="R12291" t="s">
        <v>47439</v>
      </c>
      <c r="S12291" t="s">
        <v>47860</v>
      </c>
      <c r="T12291" t="s">
        <v>49069</v>
      </c>
      <c r="U12291" t="s">
        <v>59758</v>
      </c>
      <c r="W12291" t="s">
        <v>46902</v>
      </c>
      <c r="X12291" t="s">
        <v>47440</v>
      </c>
    </row>
    <row r="12292" spans="1:24">
      <c r="A12292">
        <f>HYPERLINK("https://www.philgeps.gov.ph/GEPSNONPILOT/Tender/SplashBidNoticeAbstractUI.aspx?menuIndex=3&amp;refID=7141064&amp;Result=3","7141064")</f>
        <v>0</v>
      </c>
      <c r="B12292" t="s">
        <v>3074</v>
      </c>
      <c r="C12292" t="s">
        <v>15475</v>
      </c>
      <c r="D12292" t="s">
        <v>19022</v>
      </c>
      <c r="E12292" t="s">
        <v>29622</v>
      </c>
      <c r="F12292" t="s">
        <v>32831</v>
      </c>
      <c r="G12292" t="s">
        <v>32839</v>
      </c>
      <c r="H12292" t="s">
        <v>32848</v>
      </c>
      <c r="I12292" t="s">
        <v>4776</v>
      </c>
      <c r="J12292" t="s">
        <v>40509</v>
      </c>
      <c r="K12292" t="s">
        <v>42746</v>
      </c>
      <c r="M12292" t="s">
        <v>46353</v>
      </c>
      <c r="N12292" t="s">
        <v>47424</v>
      </c>
      <c r="O12292" t="s">
        <v>47425</v>
      </c>
      <c r="P12292">
        <v>0</v>
      </c>
      <c r="Q12292">
        <v>12</v>
      </c>
      <c r="R12292" t="s">
        <v>47439</v>
      </c>
      <c r="S12292" t="s">
        <v>47860</v>
      </c>
      <c r="T12292" t="s">
        <v>49464</v>
      </c>
      <c r="U12292" t="s">
        <v>59759</v>
      </c>
      <c r="W12292" t="s">
        <v>46353</v>
      </c>
      <c r="X12292" t="s">
        <v>47440</v>
      </c>
    </row>
    <row r="12293" spans="1:24">
      <c r="A12293">
        <f>HYPERLINK("https://www.philgeps.gov.ph/GEPSNONPILOT/Tender/SplashBidNoticeAbstractUI.aspx?menuIndex=3&amp;refID=7140977&amp;Result=3","7140977")</f>
        <v>0</v>
      </c>
      <c r="B12293" t="s">
        <v>1414</v>
      </c>
      <c r="C12293" t="s">
        <v>15476</v>
      </c>
      <c r="D12293" t="s">
        <v>19030</v>
      </c>
      <c r="E12293" t="s">
        <v>29623</v>
      </c>
      <c r="F12293" t="s">
        <v>32831</v>
      </c>
      <c r="G12293" t="s">
        <v>32839</v>
      </c>
      <c r="H12293" t="s">
        <v>32849</v>
      </c>
      <c r="I12293" t="s">
        <v>4177</v>
      </c>
      <c r="J12293" t="s">
        <v>40510</v>
      </c>
      <c r="K12293" t="s">
        <v>42757</v>
      </c>
      <c r="M12293" t="s">
        <v>44502</v>
      </c>
      <c r="N12293" t="s">
        <v>47424</v>
      </c>
      <c r="O12293" t="s">
        <v>47425</v>
      </c>
      <c r="P12293">
        <v>0</v>
      </c>
      <c r="Q12293">
        <v>1</v>
      </c>
      <c r="R12293" t="s">
        <v>47439</v>
      </c>
      <c r="S12293" t="s">
        <v>47860</v>
      </c>
      <c r="T12293" t="s">
        <v>49109</v>
      </c>
      <c r="U12293" t="s">
        <v>59708</v>
      </c>
      <c r="W12293" t="s">
        <v>44502</v>
      </c>
      <c r="X12293" t="s">
        <v>47440</v>
      </c>
    </row>
    <row r="12294" spans="1:24">
      <c r="A12294">
        <f>HYPERLINK("https://www.philgeps.gov.ph/GEPSNONPILOT/Tender/SplashBidNoticeAbstractUI.aspx?menuIndex=3&amp;refID=7141056&amp;Result=3","7141056")</f>
        <v>0</v>
      </c>
      <c r="B12294" t="s">
        <v>1753</v>
      </c>
      <c r="C12294" t="s">
        <v>15477</v>
      </c>
      <c r="D12294" t="s">
        <v>19104</v>
      </c>
      <c r="E12294" t="s">
        <v>29624</v>
      </c>
      <c r="F12294" t="s">
        <v>32831</v>
      </c>
      <c r="G12294" t="s">
        <v>32839</v>
      </c>
      <c r="H12294" t="s">
        <v>32849</v>
      </c>
      <c r="I12294" t="s">
        <v>4177</v>
      </c>
      <c r="J12294" t="s">
        <v>40511</v>
      </c>
      <c r="K12294" t="s">
        <v>42729</v>
      </c>
      <c r="M12294" t="s">
        <v>44877</v>
      </c>
      <c r="N12294" t="s">
        <v>47424</v>
      </c>
      <c r="O12294" t="s">
        <v>47425</v>
      </c>
      <c r="P12294">
        <v>0</v>
      </c>
      <c r="Q12294">
        <v>1</v>
      </c>
      <c r="R12294" t="s">
        <v>47439</v>
      </c>
      <c r="S12294" t="s">
        <v>47860</v>
      </c>
      <c r="T12294" t="s">
        <v>49069</v>
      </c>
      <c r="U12294" t="s">
        <v>59760</v>
      </c>
      <c r="W12294" t="s">
        <v>44877</v>
      </c>
      <c r="X12294" t="s">
        <v>47440</v>
      </c>
    </row>
    <row r="12295" spans="1:24">
      <c r="A12295">
        <f>HYPERLINK("https://www.philgeps.gov.ph/GEPSNONPILOT/Tender/SplashBidNoticeAbstractUI.aspx?menuIndex=3&amp;refID=7140976&amp;Result=3","7140976")</f>
        <v>0</v>
      </c>
      <c r="B12295" t="s">
        <v>3087</v>
      </c>
      <c r="C12295" t="s">
        <v>15478</v>
      </c>
      <c r="D12295" t="s">
        <v>19094</v>
      </c>
      <c r="E12295" t="s">
        <v>29625</v>
      </c>
      <c r="F12295" t="s">
        <v>32831</v>
      </c>
      <c r="G12295" t="s">
        <v>32839</v>
      </c>
      <c r="H12295" t="s">
        <v>32848</v>
      </c>
      <c r="I12295" t="s">
        <v>10805</v>
      </c>
      <c r="J12295" t="s">
        <v>40512</v>
      </c>
      <c r="K12295" t="s">
        <v>42730</v>
      </c>
      <c r="M12295" t="s">
        <v>46368</v>
      </c>
      <c r="N12295" t="s">
        <v>47424</v>
      </c>
      <c r="O12295" t="s">
        <v>47425</v>
      </c>
      <c r="P12295">
        <v>0</v>
      </c>
      <c r="Q12295">
        <v>3</v>
      </c>
      <c r="R12295" t="s">
        <v>47439</v>
      </c>
      <c r="S12295" t="s">
        <v>47860</v>
      </c>
      <c r="T12295" t="s">
        <v>49614</v>
      </c>
      <c r="U12295" t="s">
        <v>59761</v>
      </c>
      <c r="W12295" t="s">
        <v>46368</v>
      </c>
      <c r="X12295" t="s">
        <v>47440</v>
      </c>
    </row>
    <row r="12296" spans="1:24">
      <c r="A12296">
        <f>HYPERLINK("https://www.philgeps.gov.ph/GEPSNONPILOT/Tender/SplashBidNoticeAbstractUI.aspx?menuIndex=3&amp;refID=7140888&amp;Result=3","7140888")</f>
        <v>0</v>
      </c>
      <c r="B12296" t="s">
        <v>2516</v>
      </c>
      <c r="C12296" t="s">
        <v>15479</v>
      </c>
      <c r="D12296" t="s">
        <v>19044</v>
      </c>
      <c r="E12296" t="s">
        <v>29626</v>
      </c>
      <c r="F12296" t="s">
        <v>32831</v>
      </c>
      <c r="G12296" t="s">
        <v>32839</v>
      </c>
      <c r="H12296" t="s">
        <v>32848</v>
      </c>
      <c r="I12296" t="s">
        <v>32858</v>
      </c>
      <c r="J12296" t="s">
        <v>40513</v>
      </c>
      <c r="K12296" t="s">
        <v>42732</v>
      </c>
      <c r="M12296" t="s">
        <v>45723</v>
      </c>
      <c r="N12296" t="s">
        <v>47424</v>
      </c>
      <c r="O12296" t="s">
        <v>47425</v>
      </c>
      <c r="Q12296">
        <v>6</v>
      </c>
      <c r="R12296" t="s">
        <v>47439</v>
      </c>
      <c r="S12296" t="s">
        <v>47913</v>
      </c>
      <c r="T12296" t="s">
        <v>49172</v>
      </c>
      <c r="U12296" t="s">
        <v>59762</v>
      </c>
      <c r="W12296" t="s">
        <v>45723</v>
      </c>
      <c r="X12296" t="s">
        <v>47440</v>
      </c>
    </row>
    <row r="12297" spans="1:24">
      <c r="A12297">
        <f>HYPERLINK("https://www.philgeps.gov.ph/GEPSNONPILOT/Tender/SplashBidNoticeAbstractUI.aspx?menuIndex=3&amp;refID=7141061&amp;Result=3","7141061")</f>
        <v>0</v>
      </c>
      <c r="B12297" t="s">
        <v>1740</v>
      </c>
      <c r="C12297" t="s">
        <v>15480</v>
      </c>
      <c r="D12297" t="s">
        <v>19068</v>
      </c>
      <c r="E12297" t="s">
        <v>29627</v>
      </c>
      <c r="F12297" t="s">
        <v>32831</v>
      </c>
      <c r="G12297" t="s">
        <v>32839</v>
      </c>
      <c r="H12297" t="s">
        <v>32848</v>
      </c>
      <c r="I12297" t="s">
        <v>32867</v>
      </c>
      <c r="J12297" t="s">
        <v>34807</v>
      </c>
      <c r="K12297" t="s">
        <v>42727</v>
      </c>
      <c r="M12297" t="s">
        <v>44863</v>
      </c>
      <c r="N12297" t="s">
        <v>47424</v>
      </c>
      <c r="O12297" t="s">
        <v>47425</v>
      </c>
      <c r="P12297">
        <v>0</v>
      </c>
      <c r="Q12297">
        <v>0</v>
      </c>
      <c r="R12297" t="s">
        <v>47439</v>
      </c>
      <c r="S12297" t="s">
        <v>47860</v>
      </c>
      <c r="T12297" t="s">
        <v>49057</v>
      </c>
      <c r="U12297" t="s">
        <v>59763</v>
      </c>
      <c r="W12297" t="s">
        <v>44863</v>
      </c>
      <c r="X12297" t="s">
        <v>47440</v>
      </c>
    </row>
    <row r="12298" spans="1:24">
      <c r="A12298">
        <f>HYPERLINK("https://www.philgeps.gov.ph/GEPSNONPILOT/Tender/SplashBidNoticeAbstractUI.aspx?menuIndex=3&amp;refID=7140887&amp;Result=3","7140887")</f>
        <v>0</v>
      </c>
      <c r="B12298" t="s">
        <v>1740</v>
      </c>
      <c r="C12298" t="s">
        <v>15481</v>
      </c>
      <c r="D12298" t="s">
        <v>19068</v>
      </c>
      <c r="E12298" t="s">
        <v>29628</v>
      </c>
      <c r="F12298" t="s">
        <v>32831</v>
      </c>
      <c r="G12298" t="s">
        <v>32839</v>
      </c>
      <c r="H12298" t="s">
        <v>32848</v>
      </c>
      <c r="I12298" t="s">
        <v>4776</v>
      </c>
      <c r="J12298" t="s">
        <v>40514</v>
      </c>
      <c r="K12298" t="s">
        <v>42727</v>
      </c>
      <c r="M12298" t="s">
        <v>44863</v>
      </c>
      <c r="N12298" t="s">
        <v>47424</v>
      </c>
      <c r="O12298" t="s">
        <v>47425</v>
      </c>
      <c r="P12298">
        <v>0</v>
      </c>
      <c r="Q12298">
        <v>0</v>
      </c>
      <c r="R12298" t="s">
        <v>47439</v>
      </c>
      <c r="S12298" t="s">
        <v>47860</v>
      </c>
      <c r="T12298" t="s">
        <v>49057</v>
      </c>
      <c r="U12298" t="s">
        <v>59764</v>
      </c>
      <c r="W12298" t="s">
        <v>44863</v>
      </c>
      <c r="X12298" t="s">
        <v>47440</v>
      </c>
    </row>
    <row r="12299" spans="1:24">
      <c r="A12299">
        <f>HYPERLINK("https://www.philgeps.gov.ph/GEPSNONPILOT/Tender/SplashBidNoticeAbstractUI.aspx?menuIndex=3&amp;refID=7140886&amp;Result=3","7140886")</f>
        <v>0</v>
      </c>
      <c r="B12299" t="s">
        <v>67</v>
      </c>
      <c r="C12299" t="s">
        <v>15482</v>
      </c>
      <c r="D12299" t="s">
        <v>19079</v>
      </c>
      <c r="E12299" t="s">
        <v>29629</v>
      </c>
      <c r="F12299" t="s">
        <v>32831</v>
      </c>
      <c r="G12299" t="s">
        <v>32838</v>
      </c>
      <c r="H12299" t="s">
        <v>32848</v>
      </c>
      <c r="I12299" t="s">
        <v>32863</v>
      </c>
      <c r="J12299" t="s">
        <v>32980</v>
      </c>
      <c r="K12299" t="s">
        <v>42745</v>
      </c>
      <c r="M12299" t="s">
        <v>44461</v>
      </c>
      <c r="N12299" t="s">
        <v>47424</v>
      </c>
      <c r="O12299" t="s">
        <v>47425</v>
      </c>
      <c r="Q12299">
        <v>0</v>
      </c>
      <c r="R12299" t="s">
        <v>47439</v>
      </c>
      <c r="S12299" t="s">
        <v>47781</v>
      </c>
      <c r="T12299" t="s">
        <v>49166</v>
      </c>
      <c r="U12299" t="s">
        <v>59734</v>
      </c>
      <c r="W12299" t="s">
        <v>44461</v>
      </c>
      <c r="X12299" t="s">
        <v>47440</v>
      </c>
    </row>
    <row r="12300" spans="1:24">
      <c r="A12300">
        <f>HYPERLINK("https://www.philgeps.gov.ph/GEPSNONPILOT/Tender/SplashBidNoticeAbstractUI.aspx?menuIndex=3&amp;refID=7140883&amp;Result=3","7140883")</f>
        <v>0</v>
      </c>
      <c r="B12300" t="s">
        <v>189</v>
      </c>
      <c r="C12300" t="s">
        <v>15483</v>
      </c>
      <c r="D12300" t="s">
        <v>19038</v>
      </c>
      <c r="E12300" t="s">
        <v>29630</v>
      </c>
      <c r="F12300" t="s">
        <v>32831</v>
      </c>
      <c r="G12300" t="s">
        <v>32839</v>
      </c>
      <c r="H12300" t="s">
        <v>32848</v>
      </c>
      <c r="I12300" t="s">
        <v>32852</v>
      </c>
      <c r="J12300" t="s">
        <v>40515</v>
      </c>
      <c r="K12300" t="s">
        <v>42726</v>
      </c>
      <c r="M12300" t="s">
        <v>43187</v>
      </c>
      <c r="N12300" t="s">
        <v>47424</v>
      </c>
      <c r="O12300" t="s">
        <v>47425</v>
      </c>
      <c r="P12300">
        <v>0</v>
      </c>
      <c r="Q12300">
        <v>2</v>
      </c>
      <c r="R12300" t="s">
        <v>47439</v>
      </c>
      <c r="S12300" t="s">
        <v>47860</v>
      </c>
      <c r="T12300" t="s">
        <v>49114</v>
      </c>
      <c r="U12300" t="s">
        <v>49974</v>
      </c>
      <c r="V12300" t="s">
        <v>63990</v>
      </c>
      <c r="W12300" t="s">
        <v>43187</v>
      </c>
      <c r="X12300" t="s">
        <v>47440</v>
      </c>
    </row>
    <row r="12301" spans="1:24">
      <c r="A12301">
        <f>HYPERLINK("https://www.philgeps.gov.ph/GEPSNONPILOT/Tender/SplashBidNoticeAbstractUI.aspx?menuIndex=3&amp;refID=7141242&amp;Result=3","7141242")</f>
        <v>0</v>
      </c>
      <c r="B12301" t="s">
        <v>1753</v>
      </c>
      <c r="C12301" t="s">
        <v>15484</v>
      </c>
      <c r="D12301" t="s">
        <v>19104</v>
      </c>
      <c r="E12301" t="s">
        <v>29631</v>
      </c>
      <c r="F12301" t="s">
        <v>32831</v>
      </c>
      <c r="G12301" t="s">
        <v>32839</v>
      </c>
      <c r="H12301" t="s">
        <v>32849</v>
      </c>
      <c r="I12301" t="s">
        <v>4177</v>
      </c>
      <c r="J12301" t="s">
        <v>40516</v>
      </c>
      <c r="K12301" t="s">
        <v>42959</v>
      </c>
      <c r="M12301" t="s">
        <v>44877</v>
      </c>
      <c r="N12301" t="s">
        <v>47424</v>
      </c>
      <c r="O12301" t="s">
        <v>47425</v>
      </c>
      <c r="P12301">
        <v>0</v>
      </c>
      <c r="Q12301">
        <v>1</v>
      </c>
      <c r="R12301" t="s">
        <v>47439</v>
      </c>
      <c r="S12301" t="s">
        <v>47860</v>
      </c>
      <c r="T12301" t="s">
        <v>49069</v>
      </c>
      <c r="U12301" t="s">
        <v>59765</v>
      </c>
      <c r="W12301" t="s">
        <v>44877</v>
      </c>
      <c r="X12301" t="s">
        <v>47440</v>
      </c>
    </row>
    <row r="12302" spans="1:24">
      <c r="A12302">
        <f>HYPERLINK("https://www.philgeps.gov.ph/GEPSNONPILOT/Tender/SplashBidNoticeAbstractUI.aspx?menuIndex=3&amp;refID=7141066&amp;Result=3","7141066")</f>
        <v>0</v>
      </c>
      <c r="B12302" t="s">
        <v>2516</v>
      </c>
      <c r="C12302" t="s">
        <v>15485</v>
      </c>
      <c r="D12302" t="s">
        <v>19044</v>
      </c>
      <c r="E12302" t="s">
        <v>29632</v>
      </c>
      <c r="F12302" t="s">
        <v>32831</v>
      </c>
      <c r="G12302" t="s">
        <v>32839</v>
      </c>
      <c r="H12302" t="s">
        <v>32848</v>
      </c>
      <c r="I12302" t="s">
        <v>32857</v>
      </c>
      <c r="J12302" t="s">
        <v>40517</v>
      </c>
      <c r="K12302" t="s">
        <v>42732</v>
      </c>
      <c r="M12302" t="s">
        <v>45723</v>
      </c>
      <c r="N12302" t="s">
        <v>47424</v>
      </c>
      <c r="O12302" t="s">
        <v>47425</v>
      </c>
      <c r="Q12302">
        <v>13</v>
      </c>
      <c r="R12302" t="s">
        <v>47439</v>
      </c>
      <c r="S12302" t="s">
        <v>47914</v>
      </c>
      <c r="T12302" t="s">
        <v>49172</v>
      </c>
      <c r="U12302" t="s">
        <v>59766</v>
      </c>
      <c r="W12302" t="s">
        <v>45723</v>
      </c>
      <c r="X12302" t="s">
        <v>47440</v>
      </c>
    </row>
    <row r="12303" spans="1:24">
      <c r="A12303">
        <f>HYPERLINK("https://www.philgeps.gov.ph/GEPSNONPILOT/Tender/SplashBidNoticeAbstractUI.aspx?menuIndex=3&amp;refID=7141228&amp;Result=3","7141228")</f>
        <v>0</v>
      </c>
      <c r="B12303" t="s">
        <v>2261</v>
      </c>
      <c r="C12303" t="s">
        <v>15486</v>
      </c>
      <c r="D12303" t="s">
        <v>19038</v>
      </c>
      <c r="E12303" t="s">
        <v>24192</v>
      </c>
      <c r="F12303" t="s">
        <v>32831</v>
      </c>
      <c r="G12303" t="s">
        <v>32839</v>
      </c>
      <c r="H12303" t="s">
        <v>32848</v>
      </c>
      <c r="I12303" t="s">
        <v>7751</v>
      </c>
      <c r="J12303" t="s">
        <v>40518</v>
      </c>
      <c r="K12303" t="s">
        <v>42729</v>
      </c>
      <c r="L12303" t="s">
        <v>2261</v>
      </c>
      <c r="M12303" t="s">
        <v>45445</v>
      </c>
      <c r="N12303" t="s">
        <v>47424</v>
      </c>
      <c r="O12303" t="s">
        <v>47425</v>
      </c>
      <c r="P12303">
        <v>0</v>
      </c>
      <c r="Q12303">
        <v>2</v>
      </c>
      <c r="R12303" t="s">
        <v>47439</v>
      </c>
      <c r="S12303" t="s">
        <v>47860</v>
      </c>
      <c r="T12303" t="s">
        <v>49073</v>
      </c>
      <c r="U12303" t="s">
        <v>59343</v>
      </c>
      <c r="W12303" t="s">
        <v>45445</v>
      </c>
      <c r="X12303" t="s">
        <v>47440</v>
      </c>
    </row>
    <row r="12304" spans="1:24">
      <c r="A12304">
        <f>HYPERLINK("https://www.philgeps.gov.ph/GEPSNONPILOT/Tender/SplashBidNoticeAbstractUI.aspx?menuIndex=3&amp;refID=7140568&amp;Result=3","7140568")</f>
        <v>0</v>
      </c>
      <c r="B12304" t="s">
        <v>2356</v>
      </c>
      <c r="C12304" t="s">
        <v>15487</v>
      </c>
      <c r="D12304" t="s">
        <v>19017</v>
      </c>
      <c r="E12304" t="s">
        <v>29633</v>
      </c>
      <c r="F12304" t="s">
        <v>32831</v>
      </c>
      <c r="G12304" t="s">
        <v>32845</v>
      </c>
      <c r="H12304" t="s">
        <v>32848</v>
      </c>
      <c r="I12304" t="s">
        <v>4776</v>
      </c>
      <c r="J12304" t="s">
        <v>33066</v>
      </c>
      <c r="K12304" t="s">
        <v>42747</v>
      </c>
      <c r="M12304" t="s">
        <v>45545</v>
      </c>
      <c r="N12304" t="s">
        <v>47424</v>
      </c>
      <c r="O12304" t="s">
        <v>47425</v>
      </c>
      <c r="P12304">
        <v>0</v>
      </c>
      <c r="Q12304">
        <v>9</v>
      </c>
      <c r="R12304" t="s">
        <v>47439</v>
      </c>
      <c r="S12304" t="s">
        <v>47860</v>
      </c>
      <c r="T12304" t="s">
        <v>49236</v>
      </c>
      <c r="U12304" t="s">
        <v>59518</v>
      </c>
      <c r="W12304" t="s">
        <v>45545</v>
      </c>
      <c r="X12304" t="s">
        <v>47440</v>
      </c>
    </row>
    <row r="12305" spans="1:24">
      <c r="A12305">
        <f>HYPERLINK("https://www.philgeps.gov.ph/GEPSNONPILOT/Tender/SplashBidNoticeAbstractUI.aspx?menuIndex=3&amp;refID=7141227&amp;Result=3","7141227")</f>
        <v>0</v>
      </c>
      <c r="B12305" t="s">
        <v>3556</v>
      </c>
      <c r="C12305" t="s">
        <v>15488</v>
      </c>
      <c r="D12305" t="s">
        <v>19037</v>
      </c>
      <c r="E12305" t="s">
        <v>29503</v>
      </c>
      <c r="F12305" t="s">
        <v>32832</v>
      </c>
      <c r="G12305" t="s">
        <v>32839</v>
      </c>
      <c r="H12305" t="s">
        <v>32849</v>
      </c>
      <c r="I12305" t="s">
        <v>32852</v>
      </c>
      <c r="J12305" t="s">
        <v>33338</v>
      </c>
      <c r="K12305" t="s">
        <v>42732</v>
      </c>
      <c r="M12305" t="s">
        <v>46911</v>
      </c>
      <c r="N12305" t="s">
        <v>47424</v>
      </c>
      <c r="O12305" t="s">
        <v>47425</v>
      </c>
      <c r="P12305">
        <v>0</v>
      </c>
      <c r="Q12305">
        <v>0</v>
      </c>
      <c r="R12305" t="s">
        <v>47439</v>
      </c>
      <c r="S12305" t="s">
        <v>47860</v>
      </c>
      <c r="T12305" t="s">
        <v>49059</v>
      </c>
      <c r="U12305" t="s">
        <v>59767</v>
      </c>
      <c r="V12305" t="s">
        <v>63991</v>
      </c>
      <c r="W12305" t="s">
        <v>46911</v>
      </c>
      <c r="X12305" t="s">
        <v>47440</v>
      </c>
    </row>
    <row r="12306" spans="1:24">
      <c r="A12306">
        <f>HYPERLINK("https://www.philgeps.gov.ph/GEPSNONPILOT/Tender/SplashBidNoticeAbstractUI.aspx?menuIndex=3&amp;refID=7141236&amp;Result=3","7141236")</f>
        <v>0</v>
      </c>
      <c r="B12306" t="s">
        <v>823</v>
      </c>
      <c r="C12306" t="s">
        <v>15489</v>
      </c>
      <c r="D12306" t="s">
        <v>19062</v>
      </c>
      <c r="E12306" t="s">
        <v>20847</v>
      </c>
      <c r="F12306" t="s">
        <v>32831</v>
      </c>
      <c r="G12306" t="s">
        <v>32839</v>
      </c>
      <c r="H12306" t="s">
        <v>32848</v>
      </c>
      <c r="I12306" t="s">
        <v>32859</v>
      </c>
      <c r="J12306" t="s">
        <v>36171</v>
      </c>
      <c r="K12306" t="s">
        <v>42727</v>
      </c>
      <c r="M12306" t="s">
        <v>46629</v>
      </c>
      <c r="N12306" t="s">
        <v>47424</v>
      </c>
      <c r="O12306" t="s">
        <v>47425</v>
      </c>
      <c r="P12306">
        <v>0</v>
      </c>
      <c r="Q12306">
        <v>2</v>
      </c>
      <c r="R12306" t="s">
        <v>47439</v>
      </c>
      <c r="S12306" t="s">
        <v>47860</v>
      </c>
      <c r="T12306" t="s">
        <v>49328</v>
      </c>
      <c r="U12306" t="s">
        <v>59768</v>
      </c>
      <c r="W12306" t="s">
        <v>46629</v>
      </c>
      <c r="X12306" t="s">
        <v>47440</v>
      </c>
    </row>
    <row r="12307" spans="1:24">
      <c r="A12307">
        <f>HYPERLINK("https://www.philgeps.gov.ph/GEPSNONPILOT/Tender/SplashBidNoticeAbstractUI.aspx?menuIndex=3&amp;refID=7141206&amp;Result=3","7141206")</f>
        <v>0</v>
      </c>
      <c r="B12307" t="s">
        <v>3551</v>
      </c>
      <c r="C12307" t="s">
        <v>15490</v>
      </c>
      <c r="E12307" t="s">
        <v>29634</v>
      </c>
      <c r="F12307" t="s">
        <v>32831</v>
      </c>
      <c r="G12307" t="s">
        <v>32839</v>
      </c>
      <c r="H12307" t="s">
        <v>32849</v>
      </c>
      <c r="I12307" t="s">
        <v>4177</v>
      </c>
      <c r="J12307" t="s">
        <v>40519</v>
      </c>
      <c r="K12307" t="s">
        <v>42732</v>
      </c>
      <c r="M12307" t="s">
        <v>46906</v>
      </c>
      <c r="N12307" t="s">
        <v>47424</v>
      </c>
      <c r="O12307" t="s">
        <v>47425</v>
      </c>
      <c r="P12307">
        <v>0</v>
      </c>
      <c r="Q12307">
        <v>0</v>
      </c>
      <c r="R12307" t="s">
        <v>47439</v>
      </c>
      <c r="S12307" t="s">
        <v>47860</v>
      </c>
      <c r="T12307" t="s">
        <v>49196</v>
      </c>
      <c r="U12307" t="s">
        <v>59769</v>
      </c>
      <c r="W12307" t="s">
        <v>46906</v>
      </c>
      <c r="X12307" t="s">
        <v>47440</v>
      </c>
    </row>
    <row r="12308" spans="1:24">
      <c r="A12308">
        <f>HYPERLINK("https://www.philgeps.gov.ph/GEPSNONPILOT/Tender/SplashBidNoticeAbstractUI.aspx?menuIndex=3&amp;refID=7141202&amp;Result=3","7141202")</f>
        <v>0</v>
      </c>
      <c r="B12308" t="s">
        <v>1740</v>
      </c>
      <c r="C12308" t="s">
        <v>15491</v>
      </c>
      <c r="D12308" t="s">
        <v>19068</v>
      </c>
      <c r="E12308" t="s">
        <v>29635</v>
      </c>
      <c r="F12308" t="s">
        <v>32831</v>
      </c>
      <c r="G12308" t="s">
        <v>32839</v>
      </c>
      <c r="H12308" t="s">
        <v>32848</v>
      </c>
      <c r="I12308" t="s">
        <v>4776</v>
      </c>
      <c r="J12308" t="s">
        <v>32976</v>
      </c>
      <c r="K12308" t="s">
        <v>42727</v>
      </c>
      <c r="M12308" t="s">
        <v>44863</v>
      </c>
      <c r="N12308" t="s">
        <v>47424</v>
      </c>
      <c r="O12308" t="s">
        <v>47425</v>
      </c>
      <c r="P12308">
        <v>0</v>
      </c>
      <c r="Q12308">
        <v>0</v>
      </c>
      <c r="R12308" t="s">
        <v>47439</v>
      </c>
      <c r="S12308" t="s">
        <v>47860</v>
      </c>
      <c r="T12308" t="s">
        <v>49057</v>
      </c>
      <c r="U12308" t="s">
        <v>59770</v>
      </c>
      <c r="W12308" t="s">
        <v>44863</v>
      </c>
      <c r="X12308" t="s">
        <v>47440</v>
      </c>
    </row>
    <row r="12309" spans="1:24">
      <c r="A12309">
        <f>HYPERLINK("https://www.philgeps.gov.ph/GEPSNONPILOT/Tender/SplashBidNoticeAbstractUI.aspx?menuIndex=3&amp;refID=7141091&amp;Result=3","7141091")</f>
        <v>0</v>
      </c>
      <c r="B12309" t="s">
        <v>2866</v>
      </c>
      <c r="C12309" t="s">
        <v>15492</v>
      </c>
      <c r="D12309" t="s">
        <v>19059</v>
      </c>
      <c r="E12309" t="s">
        <v>29636</v>
      </c>
      <c r="F12309" t="s">
        <v>32831</v>
      </c>
      <c r="G12309" t="s">
        <v>32839</v>
      </c>
      <c r="H12309" t="s">
        <v>32848</v>
      </c>
      <c r="I12309" t="s">
        <v>32874</v>
      </c>
      <c r="J12309" t="s">
        <v>40520</v>
      </c>
      <c r="K12309" t="s">
        <v>42730</v>
      </c>
      <c r="M12309" t="s">
        <v>46344</v>
      </c>
      <c r="N12309" t="s">
        <v>47424</v>
      </c>
      <c r="O12309" t="s">
        <v>47425</v>
      </c>
      <c r="P12309">
        <v>0</v>
      </c>
      <c r="Q12309">
        <v>7</v>
      </c>
      <c r="R12309" t="s">
        <v>47439</v>
      </c>
      <c r="S12309" t="s">
        <v>47860</v>
      </c>
      <c r="T12309" t="s">
        <v>49066</v>
      </c>
      <c r="U12309" t="s">
        <v>57686</v>
      </c>
      <c r="W12309" t="s">
        <v>64532</v>
      </c>
      <c r="X12309" t="s">
        <v>47440</v>
      </c>
    </row>
    <row r="12310" spans="1:24">
      <c r="A12310">
        <f>HYPERLINK("https://www.philgeps.gov.ph/GEPSNONPILOT/Tender/SplashBidNoticeAbstractUI.aspx?menuIndex=3&amp;refID=7141194&amp;Result=3","7141194")</f>
        <v>0</v>
      </c>
      <c r="B12310" t="s">
        <v>1753</v>
      </c>
      <c r="C12310" t="s">
        <v>15493</v>
      </c>
      <c r="D12310" t="s">
        <v>19104</v>
      </c>
      <c r="E12310" t="s">
        <v>29637</v>
      </c>
      <c r="F12310" t="s">
        <v>32831</v>
      </c>
      <c r="G12310" t="s">
        <v>32839</v>
      </c>
      <c r="H12310" t="s">
        <v>32849</v>
      </c>
      <c r="I12310" t="s">
        <v>4177</v>
      </c>
      <c r="J12310" t="s">
        <v>40521</v>
      </c>
      <c r="K12310" t="s">
        <v>42960</v>
      </c>
      <c r="M12310" t="s">
        <v>44877</v>
      </c>
      <c r="N12310" t="s">
        <v>47424</v>
      </c>
      <c r="O12310" t="s">
        <v>47425</v>
      </c>
      <c r="P12310">
        <v>0</v>
      </c>
      <c r="Q12310">
        <v>0</v>
      </c>
      <c r="R12310" t="s">
        <v>47439</v>
      </c>
      <c r="S12310" t="s">
        <v>47860</v>
      </c>
      <c r="T12310" t="s">
        <v>49060</v>
      </c>
      <c r="U12310" t="s">
        <v>59771</v>
      </c>
      <c r="W12310" t="s">
        <v>44877</v>
      </c>
      <c r="X12310" t="s">
        <v>47440</v>
      </c>
    </row>
    <row r="12311" spans="1:24">
      <c r="A12311">
        <f>HYPERLINK("https://www.philgeps.gov.ph/GEPSNONPILOT/Tender/SplashBidNoticeAbstractUI.aspx?menuIndex=3&amp;refID=7141189&amp;Result=3","7141189")</f>
        <v>0</v>
      </c>
      <c r="B12311" t="s">
        <v>3557</v>
      </c>
      <c r="C12311" t="s">
        <v>15494</v>
      </c>
      <c r="D12311" t="s">
        <v>19045</v>
      </c>
      <c r="E12311" t="s">
        <v>29638</v>
      </c>
      <c r="F12311" t="s">
        <v>32831</v>
      </c>
      <c r="G12311" t="s">
        <v>32839</v>
      </c>
      <c r="H12311" t="s">
        <v>32849</v>
      </c>
      <c r="I12311" t="s">
        <v>4177</v>
      </c>
      <c r="J12311" t="s">
        <v>32985</v>
      </c>
      <c r="K12311" t="s">
        <v>42750</v>
      </c>
      <c r="M12311" t="s">
        <v>46912</v>
      </c>
      <c r="N12311" t="s">
        <v>47424</v>
      </c>
      <c r="O12311" t="s">
        <v>47425</v>
      </c>
      <c r="P12311">
        <v>0</v>
      </c>
      <c r="Q12311">
        <v>1</v>
      </c>
      <c r="R12311" t="s">
        <v>47439</v>
      </c>
      <c r="S12311" t="s">
        <v>47860</v>
      </c>
      <c r="T12311" t="s">
        <v>49069</v>
      </c>
      <c r="U12311" t="s">
        <v>59772</v>
      </c>
      <c r="V12311" t="s">
        <v>62846</v>
      </c>
      <c r="W12311" t="s">
        <v>46912</v>
      </c>
      <c r="X12311" t="s">
        <v>47440</v>
      </c>
    </row>
    <row r="12312" spans="1:24">
      <c r="A12312">
        <f>HYPERLINK("https://www.philgeps.gov.ph/GEPSNONPILOT/Tender/SplashBidNoticeAbstractUI.aspx?menuIndex=3&amp;refID=7141046&amp;Result=3","7141046")</f>
        <v>0</v>
      </c>
      <c r="B12312" t="s">
        <v>3551</v>
      </c>
      <c r="C12312" t="s">
        <v>15495</v>
      </c>
      <c r="E12312" t="s">
        <v>29639</v>
      </c>
      <c r="F12312" t="s">
        <v>32831</v>
      </c>
      <c r="G12312" t="s">
        <v>32839</v>
      </c>
      <c r="H12312" t="s">
        <v>32849</v>
      </c>
      <c r="I12312" t="s">
        <v>4177</v>
      </c>
      <c r="J12312" t="s">
        <v>40522</v>
      </c>
      <c r="K12312" t="s">
        <v>42732</v>
      </c>
      <c r="M12312" t="s">
        <v>46906</v>
      </c>
      <c r="N12312" t="s">
        <v>47424</v>
      </c>
      <c r="O12312" t="s">
        <v>47425</v>
      </c>
      <c r="P12312">
        <v>0</v>
      </c>
      <c r="Q12312">
        <v>0</v>
      </c>
      <c r="R12312" t="s">
        <v>47439</v>
      </c>
      <c r="S12312" t="s">
        <v>47860</v>
      </c>
      <c r="T12312" t="s">
        <v>49196</v>
      </c>
      <c r="U12312" t="s">
        <v>59773</v>
      </c>
      <c r="W12312" t="s">
        <v>46906</v>
      </c>
      <c r="X12312" t="s">
        <v>47440</v>
      </c>
    </row>
    <row r="12313" spans="1:24">
      <c r="A12313">
        <f>HYPERLINK("https://www.philgeps.gov.ph/GEPSNONPILOT/Tender/SplashBidNoticeAbstractUI.aspx?menuIndex=3&amp;refID=7141173&amp;Result=3","7141173")</f>
        <v>0</v>
      </c>
      <c r="B12313" t="s">
        <v>3551</v>
      </c>
      <c r="C12313" t="s">
        <v>15496</v>
      </c>
      <c r="E12313" t="s">
        <v>29640</v>
      </c>
      <c r="F12313" t="s">
        <v>32831</v>
      </c>
      <c r="G12313" t="s">
        <v>32839</v>
      </c>
      <c r="H12313" t="s">
        <v>32849</v>
      </c>
      <c r="I12313" t="s">
        <v>4177</v>
      </c>
      <c r="J12313" t="s">
        <v>40523</v>
      </c>
      <c r="K12313" t="s">
        <v>42732</v>
      </c>
      <c r="M12313" t="s">
        <v>46906</v>
      </c>
      <c r="N12313" t="s">
        <v>47424</v>
      </c>
      <c r="O12313" t="s">
        <v>47425</v>
      </c>
      <c r="P12313">
        <v>0</v>
      </c>
      <c r="Q12313">
        <v>0</v>
      </c>
      <c r="R12313" t="s">
        <v>47439</v>
      </c>
      <c r="S12313" t="s">
        <v>47860</v>
      </c>
      <c r="T12313" t="s">
        <v>49196</v>
      </c>
      <c r="U12313" t="s">
        <v>59774</v>
      </c>
      <c r="W12313" t="s">
        <v>46906</v>
      </c>
      <c r="X12313" t="s">
        <v>47440</v>
      </c>
    </row>
    <row r="12314" spans="1:24">
      <c r="A12314">
        <f>HYPERLINK("https://www.philgeps.gov.ph/GEPSNONPILOT/Tender/SplashBidNoticeAbstractUI.aspx?menuIndex=3&amp;refID=7141193&amp;Result=3","7141193")</f>
        <v>0</v>
      </c>
      <c r="B12314" t="s">
        <v>2738</v>
      </c>
      <c r="C12314" t="s">
        <v>15497</v>
      </c>
      <c r="D12314" t="s">
        <v>19078</v>
      </c>
      <c r="E12314" t="s">
        <v>29641</v>
      </c>
      <c r="F12314" t="s">
        <v>32831</v>
      </c>
      <c r="G12314" t="s">
        <v>32839</v>
      </c>
      <c r="H12314" t="s">
        <v>32848</v>
      </c>
      <c r="I12314" t="s">
        <v>7751</v>
      </c>
      <c r="J12314" t="s">
        <v>33297</v>
      </c>
      <c r="K12314" t="s">
        <v>42730</v>
      </c>
      <c r="M12314" t="s">
        <v>45966</v>
      </c>
      <c r="N12314" t="s">
        <v>47424</v>
      </c>
      <c r="O12314" t="s">
        <v>47425</v>
      </c>
      <c r="P12314">
        <v>0</v>
      </c>
      <c r="Q12314">
        <v>8</v>
      </c>
      <c r="R12314" t="s">
        <v>47439</v>
      </c>
      <c r="S12314" t="s">
        <v>47860</v>
      </c>
      <c r="T12314" t="s">
        <v>49066</v>
      </c>
      <c r="U12314" t="s">
        <v>59775</v>
      </c>
      <c r="W12314" t="s">
        <v>45966</v>
      </c>
      <c r="X12314" t="s">
        <v>47440</v>
      </c>
    </row>
    <row r="12315" spans="1:24">
      <c r="A12315">
        <f>HYPERLINK("https://www.philgeps.gov.ph/GEPSNONPILOT/Tender/SplashBidNoticeAbstractUI.aspx?menuIndex=3&amp;refID=7141157&amp;Result=3","7141157")</f>
        <v>0</v>
      </c>
      <c r="B12315" t="s">
        <v>2356</v>
      </c>
      <c r="C12315" t="s">
        <v>15498</v>
      </c>
      <c r="D12315" t="s">
        <v>19017</v>
      </c>
      <c r="E12315" t="s">
        <v>29642</v>
      </c>
      <c r="F12315" t="s">
        <v>32831</v>
      </c>
      <c r="G12315" t="s">
        <v>32845</v>
      </c>
      <c r="H12315" t="s">
        <v>32848</v>
      </c>
      <c r="I12315" t="s">
        <v>4776</v>
      </c>
      <c r="J12315" t="s">
        <v>36123</v>
      </c>
      <c r="K12315" t="s">
        <v>42747</v>
      </c>
      <c r="M12315" t="s">
        <v>45545</v>
      </c>
      <c r="N12315" t="s">
        <v>47424</v>
      </c>
      <c r="O12315" t="s">
        <v>47425</v>
      </c>
      <c r="P12315">
        <v>0</v>
      </c>
      <c r="Q12315">
        <v>4</v>
      </c>
      <c r="R12315" t="s">
        <v>47439</v>
      </c>
      <c r="S12315" t="s">
        <v>47860</v>
      </c>
      <c r="T12315" t="s">
        <v>49181</v>
      </c>
      <c r="U12315" t="s">
        <v>59518</v>
      </c>
      <c r="W12315" t="s">
        <v>45545</v>
      </c>
      <c r="X12315" t="s">
        <v>47440</v>
      </c>
    </row>
    <row r="12316" spans="1:24">
      <c r="A12316">
        <f>HYPERLINK("https://www.philgeps.gov.ph/GEPSNONPILOT/Tender/SplashBidNoticeAbstractUI.aspx?menuIndex=3&amp;refID=7141155&amp;Result=3","7141155")</f>
        <v>0</v>
      </c>
      <c r="B12316" t="s">
        <v>672</v>
      </c>
      <c r="C12316" t="s">
        <v>15499</v>
      </c>
      <c r="D12316" t="s">
        <v>19085</v>
      </c>
      <c r="E12316" t="s">
        <v>29643</v>
      </c>
      <c r="F12316" t="s">
        <v>32831</v>
      </c>
      <c r="G12316" t="s">
        <v>32845</v>
      </c>
      <c r="H12316" t="s">
        <v>32848</v>
      </c>
      <c r="I12316" t="s">
        <v>32875</v>
      </c>
      <c r="J12316" t="s">
        <v>40524</v>
      </c>
      <c r="K12316" t="s">
        <v>42726</v>
      </c>
      <c r="M12316" t="s">
        <v>43691</v>
      </c>
      <c r="N12316" t="s">
        <v>47424</v>
      </c>
      <c r="O12316" t="s">
        <v>47425</v>
      </c>
      <c r="P12316">
        <v>0</v>
      </c>
      <c r="Q12316">
        <v>2</v>
      </c>
      <c r="R12316" t="s">
        <v>47439</v>
      </c>
      <c r="S12316" t="s">
        <v>47860</v>
      </c>
      <c r="T12316" t="s">
        <v>49057</v>
      </c>
      <c r="U12316" t="s">
        <v>59776</v>
      </c>
      <c r="V12316" t="s">
        <v>63992</v>
      </c>
      <c r="W12316" t="s">
        <v>43691</v>
      </c>
      <c r="X12316" t="s">
        <v>47440</v>
      </c>
    </row>
    <row r="12317" spans="1:24">
      <c r="A12317">
        <f>HYPERLINK("https://www.philgeps.gov.ph/GEPSNONPILOT/Tender/SplashBidNoticeAbstractUI.aspx?menuIndex=3&amp;refID=7141152&amp;Result=3","7141152")</f>
        <v>0</v>
      </c>
      <c r="B12317" t="s">
        <v>2925</v>
      </c>
      <c r="C12317" t="s">
        <v>15500</v>
      </c>
      <c r="D12317" t="s">
        <v>19057</v>
      </c>
      <c r="E12317" t="s">
        <v>21012</v>
      </c>
      <c r="F12317" t="s">
        <v>32831</v>
      </c>
      <c r="G12317" t="s">
        <v>32843</v>
      </c>
      <c r="H12317" t="s">
        <v>32848</v>
      </c>
      <c r="I12317" t="s">
        <v>32856</v>
      </c>
      <c r="J12317" t="s">
        <v>33077</v>
      </c>
      <c r="K12317" t="s">
        <v>42748</v>
      </c>
      <c r="M12317" t="s">
        <v>46178</v>
      </c>
      <c r="N12317" t="s">
        <v>47424</v>
      </c>
      <c r="O12317" t="s">
        <v>47425</v>
      </c>
      <c r="P12317">
        <v>0</v>
      </c>
      <c r="Q12317">
        <v>1</v>
      </c>
      <c r="R12317" t="s">
        <v>47439</v>
      </c>
      <c r="S12317" t="s">
        <v>47860</v>
      </c>
      <c r="T12317" t="s">
        <v>49123</v>
      </c>
      <c r="U12317" t="s">
        <v>59777</v>
      </c>
      <c r="W12317" t="s">
        <v>46178</v>
      </c>
      <c r="X12317" t="s">
        <v>47440</v>
      </c>
    </row>
    <row r="12318" spans="1:24">
      <c r="A12318">
        <f>HYPERLINK("https://www.philgeps.gov.ph/GEPSNONPILOT/Tender/SplashBidNoticeAbstractUI.aspx?menuIndex=3&amp;refID=7141151&amp;Result=3","7141151")</f>
        <v>0</v>
      </c>
      <c r="B12318" t="s">
        <v>1724</v>
      </c>
      <c r="C12318" t="s">
        <v>14403</v>
      </c>
      <c r="D12318" t="s">
        <v>19069</v>
      </c>
      <c r="E12318" t="s">
        <v>22107</v>
      </c>
      <c r="F12318" t="s">
        <v>32831</v>
      </c>
      <c r="G12318" t="s">
        <v>32839</v>
      </c>
      <c r="H12318" t="s">
        <v>32848</v>
      </c>
      <c r="I12318" t="s">
        <v>32857</v>
      </c>
      <c r="J12318" t="s">
        <v>40525</v>
      </c>
      <c r="K12318" t="s">
        <v>42730</v>
      </c>
      <c r="M12318" t="s">
        <v>44847</v>
      </c>
      <c r="N12318" t="s">
        <v>47424</v>
      </c>
      <c r="O12318" t="s">
        <v>47425</v>
      </c>
      <c r="P12318">
        <v>0</v>
      </c>
      <c r="Q12318">
        <v>1</v>
      </c>
      <c r="R12318" t="s">
        <v>47439</v>
      </c>
      <c r="S12318" t="s">
        <v>47860</v>
      </c>
      <c r="T12318" t="s">
        <v>49482</v>
      </c>
      <c r="U12318" t="s">
        <v>59778</v>
      </c>
      <c r="W12318" t="s">
        <v>44847</v>
      </c>
      <c r="X12318" t="s">
        <v>47440</v>
      </c>
    </row>
    <row r="12319" spans="1:24">
      <c r="A12319">
        <f>HYPERLINK("https://www.philgeps.gov.ph/GEPSNONPILOT/Tender/SplashBidNoticeAbstractUI.aspx?menuIndex=3&amp;refID=7141147&amp;Result=3","7141147")</f>
        <v>0</v>
      </c>
      <c r="B12319" t="s">
        <v>3558</v>
      </c>
      <c r="C12319" t="s">
        <v>15501</v>
      </c>
      <c r="D12319" t="s">
        <v>19052</v>
      </c>
      <c r="E12319" t="s">
        <v>22446</v>
      </c>
      <c r="F12319" t="s">
        <v>32831</v>
      </c>
      <c r="G12319" t="s">
        <v>32839</v>
      </c>
      <c r="H12319" t="s">
        <v>32848</v>
      </c>
      <c r="I12319" t="s">
        <v>7416</v>
      </c>
      <c r="J12319" t="s">
        <v>40526</v>
      </c>
      <c r="K12319" t="s">
        <v>42732</v>
      </c>
      <c r="M12319" t="s">
        <v>46913</v>
      </c>
      <c r="N12319" t="s">
        <v>47424</v>
      </c>
      <c r="O12319" t="s">
        <v>47425</v>
      </c>
      <c r="P12319">
        <v>0</v>
      </c>
      <c r="Q12319">
        <v>1</v>
      </c>
      <c r="R12319" t="s">
        <v>47439</v>
      </c>
      <c r="S12319" t="s">
        <v>47860</v>
      </c>
      <c r="T12319" t="s">
        <v>49151</v>
      </c>
      <c r="U12319" t="s">
        <v>59779</v>
      </c>
      <c r="W12319" t="s">
        <v>46913</v>
      </c>
      <c r="X12319" t="s">
        <v>47440</v>
      </c>
    </row>
    <row r="12320" spans="1:24">
      <c r="A12320">
        <f>HYPERLINK("https://www.philgeps.gov.ph/GEPSNONPILOT/Tender/SplashBidNoticeAbstractUI.aspx?menuIndex=3&amp;refID=7141140&amp;Result=3","7141140")</f>
        <v>0</v>
      </c>
      <c r="B12320" t="s">
        <v>3551</v>
      </c>
      <c r="C12320" t="s">
        <v>15502</v>
      </c>
      <c r="E12320" t="s">
        <v>29644</v>
      </c>
      <c r="F12320" t="s">
        <v>32831</v>
      </c>
      <c r="G12320" t="s">
        <v>32839</v>
      </c>
      <c r="H12320" t="s">
        <v>32849</v>
      </c>
      <c r="I12320" t="s">
        <v>4177</v>
      </c>
      <c r="J12320" t="s">
        <v>40527</v>
      </c>
      <c r="K12320" t="s">
        <v>42732</v>
      </c>
      <c r="M12320" t="s">
        <v>46906</v>
      </c>
      <c r="N12320" t="s">
        <v>47424</v>
      </c>
      <c r="O12320" t="s">
        <v>47425</v>
      </c>
      <c r="P12320">
        <v>0</v>
      </c>
      <c r="Q12320">
        <v>0</v>
      </c>
      <c r="R12320" t="s">
        <v>47439</v>
      </c>
      <c r="S12320" t="s">
        <v>47860</v>
      </c>
      <c r="T12320" t="s">
        <v>49196</v>
      </c>
      <c r="U12320" t="s">
        <v>59780</v>
      </c>
      <c r="W12320" t="s">
        <v>46906</v>
      </c>
      <c r="X12320" t="s">
        <v>47440</v>
      </c>
    </row>
    <row r="12321" spans="1:24">
      <c r="A12321">
        <f>HYPERLINK("https://www.philgeps.gov.ph/GEPSNONPILOT/Tender/SplashBidNoticeAbstractUI.aspx?menuIndex=3&amp;refID=7140882&amp;Result=3","7140882")</f>
        <v>0</v>
      </c>
      <c r="B12321" t="s">
        <v>3547</v>
      </c>
      <c r="C12321" t="s">
        <v>15503</v>
      </c>
      <c r="D12321" t="s">
        <v>19058</v>
      </c>
      <c r="E12321" t="s">
        <v>29645</v>
      </c>
      <c r="F12321" t="s">
        <v>32831</v>
      </c>
      <c r="G12321" t="s">
        <v>32839</v>
      </c>
      <c r="H12321" t="s">
        <v>32849</v>
      </c>
      <c r="I12321" t="s">
        <v>4177</v>
      </c>
      <c r="J12321" t="s">
        <v>40528</v>
      </c>
      <c r="K12321" t="s">
        <v>42729</v>
      </c>
      <c r="M12321" t="s">
        <v>46902</v>
      </c>
      <c r="N12321" t="s">
        <v>47424</v>
      </c>
      <c r="O12321" t="s">
        <v>47425</v>
      </c>
      <c r="P12321">
        <v>0</v>
      </c>
      <c r="Q12321">
        <v>0</v>
      </c>
      <c r="R12321" t="s">
        <v>47439</v>
      </c>
      <c r="S12321" t="s">
        <v>47860</v>
      </c>
      <c r="T12321" t="s">
        <v>49069</v>
      </c>
      <c r="U12321" t="s">
        <v>59781</v>
      </c>
      <c r="W12321" t="s">
        <v>46902</v>
      </c>
      <c r="X12321" t="s">
        <v>47440</v>
      </c>
    </row>
    <row r="12322" spans="1:24">
      <c r="A12322">
        <f>HYPERLINK("https://www.philgeps.gov.ph/GEPSNONPILOT/Tender/SplashBidNoticeAbstractUI.aspx?menuIndex=3&amp;refID=7140873&amp;Result=3","7140873")</f>
        <v>0</v>
      </c>
      <c r="B12322" t="s">
        <v>67</v>
      </c>
      <c r="C12322" t="s">
        <v>15504</v>
      </c>
      <c r="D12322" t="s">
        <v>19079</v>
      </c>
      <c r="E12322" t="s">
        <v>29646</v>
      </c>
      <c r="F12322" t="s">
        <v>32831</v>
      </c>
      <c r="G12322" t="s">
        <v>32838</v>
      </c>
      <c r="H12322" t="s">
        <v>32848</v>
      </c>
      <c r="I12322" t="s">
        <v>32863</v>
      </c>
      <c r="J12322" t="s">
        <v>40529</v>
      </c>
      <c r="K12322" t="s">
        <v>42756</v>
      </c>
      <c r="M12322" t="s">
        <v>44461</v>
      </c>
      <c r="N12322" t="s">
        <v>47424</v>
      </c>
      <c r="O12322" t="s">
        <v>47425</v>
      </c>
      <c r="Q12322">
        <v>0</v>
      </c>
      <c r="R12322" t="s">
        <v>47439</v>
      </c>
      <c r="S12322" t="s">
        <v>47906</v>
      </c>
      <c r="T12322" t="s">
        <v>49166</v>
      </c>
      <c r="U12322" t="s">
        <v>59782</v>
      </c>
      <c r="W12322" t="s">
        <v>44461</v>
      </c>
      <c r="X12322" t="s">
        <v>47440</v>
      </c>
    </row>
    <row r="12323" spans="1:24">
      <c r="A12323">
        <f>HYPERLINK("https://www.philgeps.gov.ph/GEPSNONPILOT/Tender/SplashBidNoticeAbstractUI.aspx?menuIndex=3&amp;refID=7141133&amp;Result=3","7141133")</f>
        <v>0</v>
      </c>
      <c r="B12323" t="s">
        <v>3544</v>
      </c>
      <c r="C12323" t="s">
        <v>15505</v>
      </c>
      <c r="D12323" t="s">
        <v>19077</v>
      </c>
      <c r="E12323" t="s">
        <v>29647</v>
      </c>
      <c r="F12323" t="s">
        <v>32831</v>
      </c>
      <c r="G12323" t="s">
        <v>32839</v>
      </c>
      <c r="H12323" t="s">
        <v>32849</v>
      </c>
      <c r="I12323" t="s">
        <v>4177</v>
      </c>
      <c r="J12323" t="s">
        <v>40530</v>
      </c>
      <c r="K12323" t="s">
        <v>42740</v>
      </c>
      <c r="M12323" t="s">
        <v>46898</v>
      </c>
      <c r="N12323" t="s">
        <v>47424</v>
      </c>
      <c r="O12323" t="s">
        <v>47425</v>
      </c>
      <c r="P12323">
        <v>0</v>
      </c>
      <c r="Q12323">
        <v>0</v>
      </c>
      <c r="R12323" t="s">
        <v>47439</v>
      </c>
      <c r="S12323" t="s">
        <v>47860</v>
      </c>
      <c r="T12323" t="s">
        <v>49059</v>
      </c>
      <c r="U12323" t="s">
        <v>59728</v>
      </c>
      <c r="W12323" t="s">
        <v>46898</v>
      </c>
      <c r="X12323" t="s">
        <v>47440</v>
      </c>
    </row>
    <row r="12324" spans="1:24">
      <c r="A12324">
        <f>HYPERLINK("https://www.philgeps.gov.ph/GEPSNONPILOT/Tender/SplashBidNoticeAbstractUI.aspx?menuIndex=3&amp;refID=7140806&amp;Result=3","7140806")</f>
        <v>0</v>
      </c>
      <c r="B12324" t="s">
        <v>3544</v>
      </c>
      <c r="C12324" t="s">
        <v>15506</v>
      </c>
      <c r="D12324" t="s">
        <v>19077</v>
      </c>
      <c r="E12324" t="s">
        <v>29648</v>
      </c>
      <c r="F12324" t="s">
        <v>32831</v>
      </c>
      <c r="G12324" t="s">
        <v>32839</v>
      </c>
      <c r="H12324" t="s">
        <v>32849</v>
      </c>
      <c r="I12324" t="s">
        <v>32852</v>
      </c>
      <c r="J12324" t="s">
        <v>33257</v>
      </c>
      <c r="K12324" t="s">
        <v>42794</v>
      </c>
      <c r="M12324" t="s">
        <v>46898</v>
      </c>
      <c r="N12324" t="s">
        <v>47424</v>
      </c>
      <c r="O12324" t="s">
        <v>47425</v>
      </c>
      <c r="P12324">
        <v>0</v>
      </c>
      <c r="Q12324">
        <v>1</v>
      </c>
      <c r="R12324" t="s">
        <v>47439</v>
      </c>
      <c r="S12324" t="s">
        <v>47860</v>
      </c>
      <c r="T12324" t="s">
        <v>49059</v>
      </c>
      <c r="U12324" t="s">
        <v>59783</v>
      </c>
      <c r="W12324" t="s">
        <v>46898</v>
      </c>
      <c r="X12324" t="s">
        <v>47440</v>
      </c>
    </row>
    <row r="12325" spans="1:24">
      <c r="A12325">
        <f>HYPERLINK("https://www.philgeps.gov.ph/GEPSNONPILOT/Tender/SplashBidNoticeAbstractUI.aspx?menuIndex=3&amp;refID=7140801&amp;Result=3","7140801")</f>
        <v>0</v>
      </c>
      <c r="B12325" t="s">
        <v>1389</v>
      </c>
      <c r="C12325" t="s">
        <v>15507</v>
      </c>
      <c r="D12325" t="s">
        <v>19052</v>
      </c>
      <c r="E12325" t="s">
        <v>29649</v>
      </c>
      <c r="F12325" t="s">
        <v>32831</v>
      </c>
      <c r="G12325" t="s">
        <v>32839</v>
      </c>
      <c r="H12325" t="s">
        <v>32849</v>
      </c>
      <c r="I12325" t="s">
        <v>4177</v>
      </c>
      <c r="J12325" t="s">
        <v>40531</v>
      </c>
      <c r="K12325" t="s">
        <v>42770</v>
      </c>
      <c r="M12325" t="s">
        <v>44474</v>
      </c>
      <c r="N12325" t="s">
        <v>47424</v>
      </c>
      <c r="O12325" t="s">
        <v>47425</v>
      </c>
      <c r="P12325">
        <v>0</v>
      </c>
      <c r="Q12325">
        <v>0</v>
      </c>
      <c r="R12325" t="s">
        <v>47439</v>
      </c>
      <c r="S12325" t="s">
        <v>47860</v>
      </c>
      <c r="T12325" t="s">
        <v>49218</v>
      </c>
      <c r="U12325" t="s">
        <v>59784</v>
      </c>
      <c r="W12325" t="s">
        <v>44474</v>
      </c>
      <c r="X12325" t="s">
        <v>47440</v>
      </c>
    </row>
    <row r="12326" spans="1:24">
      <c r="A12326">
        <f>HYPERLINK("https://www.philgeps.gov.ph/GEPSNONPILOT/Tender/SplashBidNoticeAbstractUI.aspx?menuIndex=3&amp;refID=7140771&amp;Result=3","7140771")</f>
        <v>0</v>
      </c>
      <c r="B12326" t="s">
        <v>2516</v>
      </c>
      <c r="C12326" t="s">
        <v>15508</v>
      </c>
      <c r="D12326" t="s">
        <v>19044</v>
      </c>
      <c r="E12326" t="s">
        <v>29650</v>
      </c>
      <c r="F12326" t="s">
        <v>32831</v>
      </c>
      <c r="G12326" t="s">
        <v>32839</v>
      </c>
      <c r="H12326" t="s">
        <v>32848</v>
      </c>
      <c r="I12326" t="s">
        <v>4303</v>
      </c>
      <c r="J12326" t="s">
        <v>40532</v>
      </c>
      <c r="K12326" t="s">
        <v>42732</v>
      </c>
      <c r="M12326" t="s">
        <v>45723</v>
      </c>
      <c r="N12326" t="s">
        <v>47424</v>
      </c>
      <c r="O12326" t="s">
        <v>47425</v>
      </c>
      <c r="P12326">
        <v>0</v>
      </c>
      <c r="Q12326">
        <v>2</v>
      </c>
      <c r="R12326" t="s">
        <v>47439</v>
      </c>
      <c r="S12326" t="s">
        <v>47860</v>
      </c>
      <c r="T12326" t="s">
        <v>49172</v>
      </c>
      <c r="U12326" t="s">
        <v>59785</v>
      </c>
      <c r="W12326" t="s">
        <v>45723</v>
      </c>
      <c r="X12326" t="s">
        <v>47440</v>
      </c>
    </row>
    <row r="12327" spans="1:24">
      <c r="A12327">
        <f>HYPERLINK("https://www.philgeps.gov.ph/GEPSNONPILOT/Tender/SplashBidNoticeAbstractUI.aspx?menuIndex=3&amp;refID=7140770&amp;Result=3","7140770")</f>
        <v>0</v>
      </c>
      <c r="B12327" t="s">
        <v>3545</v>
      </c>
      <c r="C12327" t="s">
        <v>15509</v>
      </c>
      <c r="D12327" t="s">
        <v>19074</v>
      </c>
      <c r="E12327" t="s">
        <v>29651</v>
      </c>
      <c r="F12327" t="s">
        <v>32831</v>
      </c>
      <c r="G12327" t="s">
        <v>32839</v>
      </c>
      <c r="H12327" t="s">
        <v>32849</v>
      </c>
      <c r="I12327" t="s">
        <v>4177</v>
      </c>
      <c r="J12327" t="s">
        <v>40533</v>
      </c>
      <c r="K12327" t="s">
        <v>42925</v>
      </c>
      <c r="M12327" t="s">
        <v>46900</v>
      </c>
      <c r="N12327" t="s">
        <v>47424</v>
      </c>
      <c r="O12327" t="s">
        <v>47425</v>
      </c>
      <c r="P12327">
        <v>0</v>
      </c>
      <c r="Q12327">
        <v>0</v>
      </c>
      <c r="R12327" t="s">
        <v>47439</v>
      </c>
      <c r="S12327" t="s">
        <v>47860</v>
      </c>
      <c r="T12327" t="s">
        <v>49080</v>
      </c>
      <c r="U12327" t="s">
        <v>59786</v>
      </c>
      <c r="W12327" t="s">
        <v>46900</v>
      </c>
      <c r="X12327" t="s">
        <v>47440</v>
      </c>
    </row>
    <row r="12328" spans="1:24">
      <c r="A12328">
        <f>HYPERLINK("https://www.philgeps.gov.ph/GEPSNONPILOT/Tender/SplashBidNoticeAbstractUI.aspx?menuIndex=3&amp;refID=7140764&amp;Result=3","7140764")</f>
        <v>0</v>
      </c>
      <c r="B12328" t="s">
        <v>2831</v>
      </c>
      <c r="C12328" t="s">
        <v>15510</v>
      </c>
      <c r="D12328" t="s">
        <v>19077</v>
      </c>
      <c r="E12328" t="s">
        <v>29652</v>
      </c>
      <c r="F12328" t="s">
        <v>32831</v>
      </c>
      <c r="G12328" t="s">
        <v>32839</v>
      </c>
      <c r="H12328" t="s">
        <v>32848</v>
      </c>
      <c r="I12328" t="s">
        <v>32932</v>
      </c>
      <c r="J12328" t="s">
        <v>36708</v>
      </c>
      <c r="K12328" t="s">
        <v>42747</v>
      </c>
      <c r="M12328" t="s">
        <v>46063</v>
      </c>
      <c r="N12328" t="s">
        <v>47424</v>
      </c>
      <c r="O12328" t="s">
        <v>47425</v>
      </c>
      <c r="P12328">
        <v>0</v>
      </c>
      <c r="Q12328">
        <v>5</v>
      </c>
      <c r="R12328" t="s">
        <v>47439</v>
      </c>
      <c r="S12328" t="s">
        <v>47860</v>
      </c>
      <c r="T12328" t="s">
        <v>49152</v>
      </c>
      <c r="U12328" t="s">
        <v>59787</v>
      </c>
      <c r="W12328" t="s">
        <v>46063</v>
      </c>
      <c r="X12328" t="s">
        <v>47440</v>
      </c>
    </row>
    <row r="12329" spans="1:24">
      <c r="A12329">
        <f>HYPERLINK("https://www.philgeps.gov.ph/GEPSNONPILOT/Tender/SplashBidNoticeAbstractUI.aspx?menuIndex=3&amp;refID=7140761&amp;Result=3","7140761")</f>
        <v>0</v>
      </c>
      <c r="B12329" t="s">
        <v>1740</v>
      </c>
      <c r="C12329" t="s">
        <v>15511</v>
      </c>
      <c r="D12329" t="s">
        <v>19068</v>
      </c>
      <c r="E12329" t="s">
        <v>29653</v>
      </c>
      <c r="F12329" t="s">
        <v>32831</v>
      </c>
      <c r="G12329" t="s">
        <v>32839</v>
      </c>
      <c r="H12329" t="s">
        <v>32848</v>
      </c>
      <c r="I12329" t="s">
        <v>4776</v>
      </c>
      <c r="J12329" t="s">
        <v>40534</v>
      </c>
      <c r="K12329" t="s">
        <v>42727</v>
      </c>
      <c r="M12329" t="s">
        <v>44863</v>
      </c>
      <c r="N12329" t="s">
        <v>47424</v>
      </c>
      <c r="O12329" t="s">
        <v>47425</v>
      </c>
      <c r="P12329">
        <v>0</v>
      </c>
      <c r="Q12329">
        <v>0</v>
      </c>
      <c r="R12329" t="s">
        <v>47439</v>
      </c>
      <c r="S12329" t="s">
        <v>47860</v>
      </c>
      <c r="T12329" t="s">
        <v>49057</v>
      </c>
      <c r="U12329" t="s">
        <v>59788</v>
      </c>
      <c r="W12329" t="s">
        <v>44863</v>
      </c>
      <c r="X12329" t="s">
        <v>47440</v>
      </c>
    </row>
    <row r="12330" spans="1:24">
      <c r="A12330">
        <f>HYPERLINK("https://www.philgeps.gov.ph/GEPSNONPILOT/Tender/SplashBidNoticeAbstractUI.aspx?menuIndex=3&amp;refID=7140681&amp;Result=3","7140681")</f>
        <v>0</v>
      </c>
      <c r="B12330" t="s">
        <v>709</v>
      </c>
      <c r="C12330" t="s">
        <v>15512</v>
      </c>
      <c r="D12330" t="s">
        <v>19037</v>
      </c>
      <c r="E12330" t="s">
        <v>29654</v>
      </c>
      <c r="F12330" t="s">
        <v>32831</v>
      </c>
      <c r="G12330" t="s">
        <v>32839</v>
      </c>
      <c r="H12330" t="s">
        <v>32848</v>
      </c>
      <c r="I12330" t="s">
        <v>32857</v>
      </c>
      <c r="J12330" t="s">
        <v>40535</v>
      </c>
      <c r="K12330" t="s">
        <v>42730</v>
      </c>
      <c r="M12330" t="s">
        <v>44979</v>
      </c>
      <c r="N12330" t="s">
        <v>47424</v>
      </c>
      <c r="O12330" t="s">
        <v>47425</v>
      </c>
      <c r="P12330">
        <v>0</v>
      </c>
      <c r="Q12330">
        <v>5</v>
      </c>
      <c r="R12330" t="s">
        <v>47439</v>
      </c>
      <c r="S12330" t="s">
        <v>47860</v>
      </c>
      <c r="T12330" t="s">
        <v>49172</v>
      </c>
      <c r="U12330" t="s">
        <v>59789</v>
      </c>
      <c r="V12330" t="s">
        <v>63993</v>
      </c>
      <c r="W12330" t="s">
        <v>44979</v>
      </c>
      <c r="X12330" t="s">
        <v>47440</v>
      </c>
    </row>
    <row r="12331" spans="1:24">
      <c r="A12331">
        <f>HYPERLINK("https://www.philgeps.gov.ph/GEPSNONPILOT/Tender/SplashBidNoticeAbstractUI.aspx?menuIndex=3&amp;refID=7140749&amp;Result=3","7140749")</f>
        <v>0</v>
      </c>
      <c r="B12331" t="s">
        <v>1414</v>
      </c>
      <c r="C12331" t="s">
        <v>15513</v>
      </c>
      <c r="D12331" t="s">
        <v>19030</v>
      </c>
      <c r="E12331" t="s">
        <v>29567</v>
      </c>
      <c r="F12331" t="s">
        <v>32831</v>
      </c>
      <c r="G12331" t="s">
        <v>32839</v>
      </c>
      <c r="H12331" t="s">
        <v>32849</v>
      </c>
      <c r="I12331" t="s">
        <v>4177</v>
      </c>
      <c r="J12331" t="s">
        <v>40536</v>
      </c>
      <c r="K12331" t="s">
        <v>42770</v>
      </c>
      <c r="M12331" t="s">
        <v>44502</v>
      </c>
      <c r="N12331" t="s">
        <v>47424</v>
      </c>
      <c r="O12331" t="s">
        <v>47425</v>
      </c>
      <c r="P12331">
        <v>0</v>
      </c>
      <c r="Q12331">
        <v>1</v>
      </c>
      <c r="R12331" t="s">
        <v>47439</v>
      </c>
      <c r="S12331" t="s">
        <v>47860</v>
      </c>
      <c r="T12331" t="s">
        <v>49109</v>
      </c>
      <c r="U12331" t="s">
        <v>59708</v>
      </c>
      <c r="W12331" t="s">
        <v>44502</v>
      </c>
      <c r="X12331" t="s">
        <v>47440</v>
      </c>
    </row>
    <row r="12332" spans="1:24">
      <c r="A12332">
        <f>HYPERLINK("https://www.philgeps.gov.ph/GEPSNONPILOT/Tender/SplashBidNoticeAbstractUI.aspx?menuIndex=3&amp;refID=7141223&amp;Result=3","7141223")</f>
        <v>0</v>
      </c>
      <c r="B12332" t="s">
        <v>2738</v>
      </c>
      <c r="C12332" t="s">
        <v>15514</v>
      </c>
      <c r="D12332" t="s">
        <v>19078</v>
      </c>
      <c r="E12332" t="s">
        <v>29655</v>
      </c>
      <c r="F12332" t="s">
        <v>32831</v>
      </c>
      <c r="G12332" t="s">
        <v>32839</v>
      </c>
      <c r="H12332" t="s">
        <v>32848</v>
      </c>
      <c r="I12332" t="s">
        <v>8577</v>
      </c>
      <c r="J12332" t="s">
        <v>40537</v>
      </c>
      <c r="K12332" t="s">
        <v>42730</v>
      </c>
      <c r="M12332" t="s">
        <v>45966</v>
      </c>
      <c r="N12332" t="s">
        <v>47424</v>
      </c>
      <c r="O12332" t="s">
        <v>47425</v>
      </c>
      <c r="P12332">
        <v>0</v>
      </c>
      <c r="Q12332">
        <v>0</v>
      </c>
      <c r="R12332" t="s">
        <v>47439</v>
      </c>
      <c r="S12332" t="s">
        <v>47860</v>
      </c>
      <c r="T12332" t="s">
        <v>49066</v>
      </c>
      <c r="U12332" t="s">
        <v>59775</v>
      </c>
      <c r="W12332" t="s">
        <v>45966</v>
      </c>
      <c r="X12332" t="s">
        <v>47440</v>
      </c>
    </row>
    <row r="12333" spans="1:24">
      <c r="A12333">
        <f>HYPERLINK("https://www.philgeps.gov.ph/GEPSNONPILOT/Tender/SplashBidNoticeAbstractUI.aspx?menuIndex=3&amp;refID=7140625&amp;Result=3","7140625")</f>
        <v>0</v>
      </c>
      <c r="B12333" t="s">
        <v>3303</v>
      </c>
      <c r="C12333" t="s">
        <v>15515</v>
      </c>
      <c r="D12333" t="s">
        <v>19038</v>
      </c>
      <c r="E12333" t="s">
        <v>29656</v>
      </c>
      <c r="F12333" t="s">
        <v>32831</v>
      </c>
      <c r="G12333" t="s">
        <v>32839</v>
      </c>
      <c r="H12333" t="s">
        <v>32849</v>
      </c>
      <c r="I12333" t="s">
        <v>4177</v>
      </c>
      <c r="J12333" t="s">
        <v>40538</v>
      </c>
      <c r="K12333" t="s">
        <v>42780</v>
      </c>
      <c r="M12333" t="s">
        <v>46624</v>
      </c>
      <c r="N12333" t="s">
        <v>47424</v>
      </c>
      <c r="O12333" t="s">
        <v>47425</v>
      </c>
      <c r="P12333">
        <v>0</v>
      </c>
      <c r="Q12333">
        <v>1</v>
      </c>
      <c r="R12333" t="s">
        <v>47439</v>
      </c>
      <c r="S12333" t="s">
        <v>47860</v>
      </c>
      <c r="T12333" t="s">
        <v>49059</v>
      </c>
      <c r="U12333" t="s">
        <v>59790</v>
      </c>
      <c r="W12333" t="s">
        <v>46624</v>
      </c>
      <c r="X12333" t="s">
        <v>47440</v>
      </c>
    </row>
    <row r="12334" spans="1:24">
      <c r="A12334">
        <f>HYPERLINK("https://www.philgeps.gov.ph/GEPSNONPILOT/Tender/SplashBidNoticeAbstractUI.aspx?menuIndex=3&amp;refID=7140619&amp;Result=3","7140619")</f>
        <v>0</v>
      </c>
      <c r="B12334" t="s">
        <v>1414</v>
      </c>
      <c r="C12334" t="s">
        <v>15516</v>
      </c>
      <c r="D12334" t="s">
        <v>19030</v>
      </c>
      <c r="E12334" t="s">
        <v>29567</v>
      </c>
      <c r="F12334" t="s">
        <v>32831</v>
      </c>
      <c r="G12334" t="s">
        <v>32839</v>
      </c>
      <c r="H12334" t="s">
        <v>32849</v>
      </c>
      <c r="I12334" t="s">
        <v>4177</v>
      </c>
      <c r="J12334" t="s">
        <v>40539</v>
      </c>
      <c r="K12334" t="s">
        <v>42747</v>
      </c>
      <c r="M12334" t="s">
        <v>44502</v>
      </c>
      <c r="N12334" t="s">
        <v>47424</v>
      </c>
      <c r="O12334" t="s">
        <v>47425</v>
      </c>
      <c r="P12334">
        <v>0</v>
      </c>
      <c r="Q12334">
        <v>0</v>
      </c>
      <c r="R12334" t="s">
        <v>47439</v>
      </c>
      <c r="S12334" t="s">
        <v>47860</v>
      </c>
      <c r="T12334" t="s">
        <v>49091</v>
      </c>
      <c r="U12334" t="s">
        <v>59708</v>
      </c>
      <c r="W12334" t="s">
        <v>44502</v>
      </c>
      <c r="X12334" t="s">
        <v>47440</v>
      </c>
    </row>
    <row r="12335" spans="1:24">
      <c r="A12335">
        <f>HYPERLINK("https://www.philgeps.gov.ph/GEPSNONPILOT/Tender/SplashBidNoticeAbstractUI.aspx?menuIndex=3&amp;refID=7140636&amp;Result=3","7140636")</f>
        <v>0</v>
      </c>
      <c r="B12335" t="s">
        <v>709</v>
      </c>
      <c r="C12335" t="s">
        <v>15517</v>
      </c>
      <c r="D12335" t="s">
        <v>19037</v>
      </c>
      <c r="E12335" t="s">
        <v>29657</v>
      </c>
      <c r="F12335" t="s">
        <v>32831</v>
      </c>
      <c r="G12335" t="s">
        <v>32839</v>
      </c>
      <c r="H12335" t="s">
        <v>32848</v>
      </c>
      <c r="I12335" t="s">
        <v>32874</v>
      </c>
      <c r="J12335" t="s">
        <v>40540</v>
      </c>
      <c r="K12335" t="s">
        <v>42730</v>
      </c>
      <c r="M12335" t="s">
        <v>44979</v>
      </c>
      <c r="N12335" t="s">
        <v>47424</v>
      </c>
      <c r="O12335" t="s">
        <v>47425</v>
      </c>
      <c r="P12335">
        <v>0</v>
      </c>
      <c r="Q12335">
        <v>6</v>
      </c>
      <c r="R12335" t="s">
        <v>47439</v>
      </c>
      <c r="S12335" t="s">
        <v>47860</v>
      </c>
      <c r="T12335" t="s">
        <v>49172</v>
      </c>
      <c r="U12335" t="s">
        <v>59791</v>
      </c>
      <c r="V12335" t="s">
        <v>63994</v>
      </c>
      <c r="W12335" t="s">
        <v>44979</v>
      </c>
      <c r="X12335" t="s">
        <v>47440</v>
      </c>
    </row>
    <row r="12336" spans="1:24">
      <c r="A12336">
        <f>HYPERLINK("https://www.philgeps.gov.ph/GEPSNONPILOT/Tender/SplashBidNoticeAbstractUI.aspx?menuIndex=3&amp;refID=7140607&amp;Result=3","7140607")</f>
        <v>0</v>
      </c>
      <c r="B12336" t="s">
        <v>1717</v>
      </c>
      <c r="C12336" t="s">
        <v>15518</v>
      </c>
      <c r="D12336" t="s">
        <v>19042</v>
      </c>
      <c r="E12336" t="s">
        <v>29658</v>
      </c>
      <c r="F12336" t="s">
        <v>32831</v>
      </c>
      <c r="G12336" t="s">
        <v>32839</v>
      </c>
      <c r="H12336" t="s">
        <v>32849</v>
      </c>
      <c r="I12336" t="s">
        <v>4177</v>
      </c>
      <c r="J12336" t="s">
        <v>40541</v>
      </c>
      <c r="K12336" t="s">
        <v>42928</v>
      </c>
      <c r="M12336" t="s">
        <v>44839</v>
      </c>
      <c r="N12336" t="s">
        <v>47424</v>
      </c>
      <c r="O12336" t="s">
        <v>47425</v>
      </c>
      <c r="P12336">
        <v>0</v>
      </c>
      <c r="Q12336">
        <v>1</v>
      </c>
      <c r="R12336" t="s">
        <v>47439</v>
      </c>
      <c r="S12336" t="s">
        <v>47860</v>
      </c>
      <c r="T12336" t="s">
        <v>49066</v>
      </c>
      <c r="U12336" t="s">
        <v>59792</v>
      </c>
      <c r="W12336" t="s">
        <v>44839</v>
      </c>
      <c r="X12336" t="s">
        <v>47440</v>
      </c>
    </row>
    <row r="12337" spans="1:24">
      <c r="A12337">
        <f>HYPERLINK("https://www.philgeps.gov.ph/GEPSNONPILOT/Tender/SplashBidNoticeAbstractUI.aspx?menuIndex=3&amp;refID=7140452&amp;Result=3","7140452")</f>
        <v>0</v>
      </c>
      <c r="B12337" t="s">
        <v>3006</v>
      </c>
      <c r="C12337" t="s">
        <v>15519</v>
      </c>
      <c r="D12337" t="s">
        <v>19056</v>
      </c>
      <c r="E12337" t="s">
        <v>22452</v>
      </c>
      <c r="F12337" t="s">
        <v>32831</v>
      </c>
      <c r="G12337" t="s">
        <v>32839</v>
      </c>
      <c r="H12337" t="s">
        <v>32848</v>
      </c>
      <c r="I12337" t="s">
        <v>32853</v>
      </c>
      <c r="J12337" t="s">
        <v>40542</v>
      </c>
      <c r="K12337" t="s">
        <v>42732</v>
      </c>
      <c r="M12337" t="s">
        <v>46274</v>
      </c>
      <c r="N12337" t="s">
        <v>47424</v>
      </c>
      <c r="O12337" t="s">
        <v>47425</v>
      </c>
      <c r="P12337">
        <v>0</v>
      </c>
      <c r="Q12337">
        <v>0</v>
      </c>
      <c r="R12337" t="s">
        <v>47439</v>
      </c>
      <c r="S12337" t="s">
        <v>47860</v>
      </c>
      <c r="T12337" t="s">
        <v>49106</v>
      </c>
      <c r="U12337" t="s">
        <v>59793</v>
      </c>
      <c r="W12337" t="s">
        <v>46274</v>
      </c>
      <c r="X12337" t="s">
        <v>47440</v>
      </c>
    </row>
    <row r="12338" spans="1:24">
      <c r="A12338">
        <f>HYPERLINK("https://www.philgeps.gov.ph/GEPSNONPILOT/Tender/SplashBidNoticeAbstractUI.aspx?menuIndex=3&amp;refID=7140680&amp;Result=3","7140680")</f>
        <v>0</v>
      </c>
      <c r="B12338" t="s">
        <v>3057</v>
      </c>
      <c r="C12338" t="s">
        <v>15520</v>
      </c>
      <c r="D12338" t="s">
        <v>19054</v>
      </c>
      <c r="E12338" t="s">
        <v>29659</v>
      </c>
      <c r="F12338" t="s">
        <v>32831</v>
      </c>
      <c r="G12338" t="s">
        <v>32839</v>
      </c>
      <c r="H12338" t="s">
        <v>32848</v>
      </c>
      <c r="I12338" t="s">
        <v>7751</v>
      </c>
      <c r="J12338" t="s">
        <v>37416</v>
      </c>
      <c r="K12338" t="s">
        <v>42731</v>
      </c>
      <c r="M12338" t="s">
        <v>46330</v>
      </c>
      <c r="N12338" t="s">
        <v>47424</v>
      </c>
      <c r="O12338" t="s">
        <v>47425</v>
      </c>
      <c r="P12338">
        <v>0</v>
      </c>
      <c r="Q12338">
        <v>5</v>
      </c>
      <c r="R12338" t="s">
        <v>47439</v>
      </c>
      <c r="S12338" t="s">
        <v>47860</v>
      </c>
      <c r="T12338" t="s">
        <v>49427</v>
      </c>
      <c r="U12338" t="s">
        <v>59794</v>
      </c>
      <c r="W12338" t="s">
        <v>46330</v>
      </c>
      <c r="X12338" t="s">
        <v>47440</v>
      </c>
    </row>
    <row r="12339" spans="1:24">
      <c r="A12339">
        <f>HYPERLINK("https://www.philgeps.gov.ph/GEPSNONPILOT/Tender/SplashBidNoticeAbstractUI.aspx?menuIndex=3&amp;refID=7140437&amp;Result=3","7140437")</f>
        <v>0</v>
      </c>
      <c r="B12339" t="s">
        <v>3540</v>
      </c>
      <c r="C12339" t="s">
        <v>15391</v>
      </c>
      <c r="D12339" t="s">
        <v>19062</v>
      </c>
      <c r="E12339" t="s">
        <v>29660</v>
      </c>
      <c r="F12339" t="s">
        <v>32831</v>
      </c>
      <c r="G12339" t="s">
        <v>32839</v>
      </c>
      <c r="H12339" t="s">
        <v>32848</v>
      </c>
      <c r="I12339" t="s">
        <v>7416</v>
      </c>
      <c r="J12339" t="s">
        <v>40543</v>
      </c>
      <c r="K12339" t="s">
        <v>42727</v>
      </c>
      <c r="M12339" t="s">
        <v>46893</v>
      </c>
      <c r="N12339" t="s">
        <v>47424</v>
      </c>
      <c r="O12339" t="s">
        <v>47425</v>
      </c>
      <c r="P12339">
        <v>0</v>
      </c>
      <c r="Q12339">
        <v>1</v>
      </c>
      <c r="R12339" t="s">
        <v>47439</v>
      </c>
      <c r="S12339" t="s">
        <v>47860</v>
      </c>
      <c r="T12339" t="s">
        <v>49068</v>
      </c>
      <c r="U12339" t="s">
        <v>59690</v>
      </c>
      <c r="V12339" t="s">
        <v>63976</v>
      </c>
      <c r="W12339" t="s">
        <v>46893</v>
      </c>
      <c r="X12339" t="s">
        <v>47440</v>
      </c>
    </row>
    <row r="12340" spans="1:24">
      <c r="A12340">
        <f>HYPERLINK("https://www.philgeps.gov.ph/GEPSNONPILOT/Tender/SplashBidNoticeAbstractUI.aspx?menuIndex=3&amp;refID=7140364&amp;Result=3","7140364")</f>
        <v>0</v>
      </c>
      <c r="B12340" t="s">
        <v>3559</v>
      </c>
      <c r="C12340" t="s">
        <v>15521</v>
      </c>
      <c r="D12340" t="s">
        <v>19057</v>
      </c>
      <c r="E12340" t="s">
        <v>29661</v>
      </c>
      <c r="F12340" t="s">
        <v>32831</v>
      </c>
      <c r="G12340" t="s">
        <v>32839</v>
      </c>
      <c r="H12340" t="s">
        <v>32848</v>
      </c>
      <c r="I12340" t="s">
        <v>7416</v>
      </c>
      <c r="J12340" t="s">
        <v>33626</v>
      </c>
      <c r="K12340" t="s">
        <v>42727</v>
      </c>
      <c r="M12340" t="s">
        <v>46914</v>
      </c>
      <c r="N12340" t="s">
        <v>47424</v>
      </c>
      <c r="O12340" t="s">
        <v>47425</v>
      </c>
      <c r="P12340">
        <v>0</v>
      </c>
      <c r="Q12340">
        <v>0</v>
      </c>
      <c r="R12340" t="s">
        <v>47439</v>
      </c>
      <c r="S12340" t="s">
        <v>47860</v>
      </c>
      <c r="T12340" t="s">
        <v>49119</v>
      </c>
      <c r="U12340" t="s">
        <v>59795</v>
      </c>
      <c r="W12340" t="s">
        <v>46914</v>
      </c>
      <c r="X12340" t="s">
        <v>47440</v>
      </c>
    </row>
    <row r="12341" spans="1:24">
      <c r="A12341">
        <f>HYPERLINK("https://www.philgeps.gov.ph/GEPSNONPILOT/Tender/SplashBidNoticeAbstractUI.aspx?menuIndex=3&amp;refID=7140356&amp;Result=3","7140356")</f>
        <v>0</v>
      </c>
      <c r="B12341" t="s">
        <v>3560</v>
      </c>
      <c r="C12341" t="s">
        <v>15522</v>
      </c>
      <c r="D12341" t="s">
        <v>19018</v>
      </c>
      <c r="E12341" t="s">
        <v>29662</v>
      </c>
      <c r="F12341" t="s">
        <v>32831</v>
      </c>
      <c r="G12341" t="s">
        <v>32839</v>
      </c>
      <c r="H12341" t="s">
        <v>32849</v>
      </c>
      <c r="I12341" t="s">
        <v>4177</v>
      </c>
      <c r="J12341" t="s">
        <v>34921</v>
      </c>
      <c r="K12341" t="s">
        <v>42761</v>
      </c>
      <c r="M12341" t="s">
        <v>46915</v>
      </c>
      <c r="N12341" t="s">
        <v>47424</v>
      </c>
      <c r="O12341" t="s">
        <v>47425</v>
      </c>
      <c r="P12341">
        <v>0</v>
      </c>
      <c r="Q12341">
        <v>2</v>
      </c>
      <c r="R12341" t="s">
        <v>47439</v>
      </c>
      <c r="S12341" t="s">
        <v>47860</v>
      </c>
      <c r="T12341" t="s">
        <v>49063</v>
      </c>
      <c r="U12341" t="s">
        <v>59796</v>
      </c>
      <c r="W12341" t="s">
        <v>46915</v>
      </c>
      <c r="X12341" t="s">
        <v>47440</v>
      </c>
    </row>
    <row r="12342" spans="1:24">
      <c r="A12342">
        <f>HYPERLINK("https://www.philgeps.gov.ph/GEPSNONPILOT/Tender/SplashBidNoticeAbstractUI.aspx?menuIndex=3&amp;refID=7141182&amp;Result=3","7141182")</f>
        <v>0</v>
      </c>
      <c r="B12342" t="s">
        <v>2261</v>
      </c>
      <c r="C12342" t="s">
        <v>15523</v>
      </c>
      <c r="D12342" t="s">
        <v>19038</v>
      </c>
      <c r="E12342" t="s">
        <v>24158</v>
      </c>
      <c r="F12342" t="s">
        <v>32831</v>
      </c>
      <c r="G12342" t="s">
        <v>32839</v>
      </c>
      <c r="H12342" t="s">
        <v>32848</v>
      </c>
      <c r="I12342" t="s">
        <v>7751</v>
      </c>
      <c r="J12342" t="s">
        <v>40544</v>
      </c>
      <c r="K12342" t="s">
        <v>42729</v>
      </c>
      <c r="L12342" t="s">
        <v>2261</v>
      </c>
      <c r="M12342" t="s">
        <v>45445</v>
      </c>
      <c r="N12342" t="s">
        <v>47424</v>
      </c>
      <c r="O12342" t="s">
        <v>47425</v>
      </c>
      <c r="P12342">
        <v>0</v>
      </c>
      <c r="Q12342">
        <v>3</v>
      </c>
      <c r="R12342" t="s">
        <v>47439</v>
      </c>
      <c r="S12342" t="s">
        <v>47860</v>
      </c>
      <c r="T12342" t="s">
        <v>49073</v>
      </c>
      <c r="U12342" t="s">
        <v>59343</v>
      </c>
      <c r="W12342" t="s">
        <v>45445</v>
      </c>
      <c r="X12342" t="s">
        <v>47440</v>
      </c>
    </row>
    <row r="12343" spans="1:24">
      <c r="A12343">
        <f>HYPERLINK("https://www.philgeps.gov.ph/GEPSNONPILOT/Tender/SplashBidNoticeAbstractUI.aspx?menuIndex=3&amp;refID=7140355&amp;Result=3","7140355")</f>
        <v>0</v>
      </c>
      <c r="B12343" t="s">
        <v>709</v>
      </c>
      <c r="C12343" t="s">
        <v>15524</v>
      </c>
      <c r="D12343" t="s">
        <v>19037</v>
      </c>
      <c r="E12343" t="s">
        <v>29663</v>
      </c>
      <c r="F12343" t="s">
        <v>32831</v>
      </c>
      <c r="G12343" t="s">
        <v>32839</v>
      </c>
      <c r="H12343" t="s">
        <v>32848</v>
      </c>
      <c r="I12343" t="s">
        <v>32857</v>
      </c>
      <c r="J12343" t="s">
        <v>32978</v>
      </c>
      <c r="K12343" t="s">
        <v>42727</v>
      </c>
      <c r="M12343" t="s">
        <v>44979</v>
      </c>
      <c r="N12343" t="s">
        <v>47424</v>
      </c>
      <c r="O12343" t="s">
        <v>47425</v>
      </c>
      <c r="P12343">
        <v>0</v>
      </c>
      <c r="Q12343">
        <v>3</v>
      </c>
      <c r="R12343" t="s">
        <v>47439</v>
      </c>
      <c r="S12343" t="s">
        <v>47860</v>
      </c>
      <c r="T12343" t="s">
        <v>49172</v>
      </c>
      <c r="U12343" t="s">
        <v>59797</v>
      </c>
      <c r="V12343" t="s">
        <v>63995</v>
      </c>
      <c r="W12343" t="s">
        <v>44979</v>
      </c>
      <c r="X12343" t="s">
        <v>47440</v>
      </c>
    </row>
    <row r="12344" spans="1:24">
      <c r="A12344">
        <f>HYPERLINK("https://www.philgeps.gov.ph/GEPSNONPILOT/Tender/SplashBidNoticeAbstractUI.aspx?menuIndex=3&amp;refID=7140349&amp;Result=3","7140349")</f>
        <v>0</v>
      </c>
      <c r="B12344" t="s">
        <v>160</v>
      </c>
      <c r="C12344" t="s">
        <v>15525</v>
      </c>
      <c r="D12344" t="s">
        <v>19055</v>
      </c>
      <c r="E12344" t="s">
        <v>29664</v>
      </c>
      <c r="F12344" t="s">
        <v>32831</v>
      </c>
      <c r="G12344" t="s">
        <v>32839</v>
      </c>
      <c r="H12344" t="s">
        <v>32848</v>
      </c>
      <c r="I12344" t="s">
        <v>4438</v>
      </c>
      <c r="J12344" t="s">
        <v>33118</v>
      </c>
      <c r="K12344" t="s">
        <v>42729</v>
      </c>
      <c r="M12344" t="s">
        <v>45098</v>
      </c>
      <c r="N12344" t="s">
        <v>47424</v>
      </c>
      <c r="O12344" t="s">
        <v>47425</v>
      </c>
      <c r="P12344">
        <v>0</v>
      </c>
      <c r="Q12344">
        <v>14</v>
      </c>
      <c r="R12344" t="s">
        <v>47439</v>
      </c>
      <c r="S12344" t="s">
        <v>47860</v>
      </c>
      <c r="T12344" t="s">
        <v>49175</v>
      </c>
      <c r="U12344" t="s">
        <v>58667</v>
      </c>
      <c r="W12344" t="s">
        <v>45098</v>
      </c>
      <c r="X12344" t="s">
        <v>47440</v>
      </c>
    </row>
    <row r="12345" spans="1:24">
      <c r="A12345">
        <f>HYPERLINK("https://www.philgeps.gov.ph/GEPSNONPILOT/Tender/SplashBidNoticeAbstractUI.aspx?menuIndex=3&amp;refID=7140327&amp;Result=3","7140327")</f>
        <v>0</v>
      </c>
      <c r="B12345" t="s">
        <v>3303</v>
      </c>
      <c r="C12345" t="s">
        <v>15526</v>
      </c>
      <c r="E12345" t="s">
        <v>29656</v>
      </c>
      <c r="F12345" t="s">
        <v>32831</v>
      </c>
      <c r="G12345" t="s">
        <v>32839</v>
      </c>
      <c r="H12345" t="s">
        <v>32849</v>
      </c>
      <c r="I12345" t="s">
        <v>4177</v>
      </c>
      <c r="J12345" t="s">
        <v>40538</v>
      </c>
      <c r="K12345" t="s">
        <v>42813</v>
      </c>
      <c r="N12345" t="s">
        <v>47424</v>
      </c>
      <c r="O12345" t="s">
        <v>47425</v>
      </c>
      <c r="P12345">
        <v>0</v>
      </c>
      <c r="Q12345">
        <v>1</v>
      </c>
      <c r="R12345" t="s">
        <v>47439</v>
      </c>
      <c r="S12345" t="s">
        <v>47860</v>
      </c>
      <c r="T12345" t="s">
        <v>49059</v>
      </c>
      <c r="U12345" t="s">
        <v>59798</v>
      </c>
      <c r="W12345" t="s">
        <v>46624</v>
      </c>
      <c r="X12345" t="s">
        <v>47440</v>
      </c>
    </row>
    <row r="12346" spans="1:24">
      <c r="A12346">
        <f>HYPERLINK("https://www.philgeps.gov.ph/GEPSNONPILOT/Tender/SplashBidNoticeAbstractUI.aspx?menuIndex=3&amp;refID=7140323&amp;Result=3","7140323")</f>
        <v>0</v>
      </c>
      <c r="B12346" t="s">
        <v>2419</v>
      </c>
      <c r="C12346" t="s">
        <v>15527</v>
      </c>
      <c r="D12346" t="s">
        <v>19023</v>
      </c>
      <c r="E12346" t="s">
        <v>29665</v>
      </c>
      <c r="F12346" t="s">
        <v>32831</v>
      </c>
      <c r="G12346" t="s">
        <v>32838</v>
      </c>
      <c r="H12346" t="s">
        <v>32848</v>
      </c>
      <c r="I12346" t="s">
        <v>7416</v>
      </c>
      <c r="J12346" t="s">
        <v>40545</v>
      </c>
      <c r="K12346" t="s">
        <v>42732</v>
      </c>
      <c r="M12346" t="s">
        <v>45614</v>
      </c>
      <c r="N12346" t="s">
        <v>47424</v>
      </c>
      <c r="O12346" t="s">
        <v>47425</v>
      </c>
      <c r="P12346">
        <v>0</v>
      </c>
      <c r="Q12346">
        <v>2</v>
      </c>
      <c r="R12346" t="s">
        <v>47439</v>
      </c>
      <c r="S12346" t="s">
        <v>47860</v>
      </c>
      <c r="T12346" t="s">
        <v>49215</v>
      </c>
      <c r="U12346" t="s">
        <v>59799</v>
      </c>
      <c r="W12346" t="s">
        <v>45614</v>
      </c>
      <c r="X12346" t="s">
        <v>47440</v>
      </c>
    </row>
    <row r="12347" spans="1:24">
      <c r="A12347">
        <f>HYPERLINK("https://www.philgeps.gov.ph/GEPSNONPILOT/Tender/SplashBidNoticeAbstractUI.aspx?menuIndex=3&amp;refID=7141213&amp;Result=3","7141213")</f>
        <v>0</v>
      </c>
      <c r="B12347" t="s">
        <v>2516</v>
      </c>
      <c r="C12347" t="s">
        <v>15528</v>
      </c>
      <c r="D12347" t="s">
        <v>19044</v>
      </c>
      <c r="E12347" t="s">
        <v>29666</v>
      </c>
      <c r="F12347" t="s">
        <v>32831</v>
      </c>
      <c r="G12347" t="s">
        <v>32839</v>
      </c>
      <c r="H12347" t="s">
        <v>32848</v>
      </c>
      <c r="I12347" t="s">
        <v>32870</v>
      </c>
      <c r="J12347" t="s">
        <v>40546</v>
      </c>
      <c r="K12347" t="s">
        <v>42732</v>
      </c>
      <c r="M12347" t="s">
        <v>45723</v>
      </c>
      <c r="N12347" t="s">
        <v>47424</v>
      </c>
      <c r="O12347" t="s">
        <v>47425</v>
      </c>
      <c r="P12347">
        <v>0</v>
      </c>
      <c r="Q12347">
        <v>1</v>
      </c>
      <c r="R12347" t="s">
        <v>47439</v>
      </c>
      <c r="S12347" t="s">
        <v>47860</v>
      </c>
      <c r="T12347" t="s">
        <v>49172</v>
      </c>
      <c r="U12347" t="s">
        <v>59800</v>
      </c>
      <c r="W12347" t="s">
        <v>45723</v>
      </c>
      <c r="X12347" t="s">
        <v>47440</v>
      </c>
    </row>
    <row r="12348" spans="1:24">
      <c r="A12348">
        <f>HYPERLINK("https://www.philgeps.gov.ph/GEPSNONPILOT/Tender/SplashBidNoticeAbstractUI.aspx?menuIndex=3&amp;refID=7140438&amp;Result=3","7140438")</f>
        <v>0</v>
      </c>
      <c r="B12348" t="s">
        <v>709</v>
      </c>
      <c r="C12348" t="s">
        <v>15529</v>
      </c>
      <c r="D12348" t="s">
        <v>19037</v>
      </c>
      <c r="E12348" t="s">
        <v>29667</v>
      </c>
      <c r="F12348" t="s">
        <v>32831</v>
      </c>
      <c r="G12348" t="s">
        <v>32839</v>
      </c>
      <c r="H12348" t="s">
        <v>32848</v>
      </c>
      <c r="I12348" t="s">
        <v>32857</v>
      </c>
      <c r="J12348" t="s">
        <v>40547</v>
      </c>
      <c r="K12348" t="s">
        <v>42727</v>
      </c>
      <c r="M12348" t="s">
        <v>44979</v>
      </c>
      <c r="N12348" t="s">
        <v>47424</v>
      </c>
      <c r="O12348" t="s">
        <v>47425</v>
      </c>
      <c r="P12348">
        <v>0</v>
      </c>
      <c r="Q12348">
        <v>14</v>
      </c>
      <c r="R12348" t="s">
        <v>47439</v>
      </c>
      <c r="S12348" t="s">
        <v>47860</v>
      </c>
      <c r="T12348" t="s">
        <v>49172</v>
      </c>
      <c r="U12348" t="s">
        <v>59801</v>
      </c>
      <c r="V12348" t="s">
        <v>63996</v>
      </c>
      <c r="W12348" t="s">
        <v>44979</v>
      </c>
      <c r="X12348" t="s">
        <v>47440</v>
      </c>
    </row>
    <row r="12349" spans="1:24">
      <c r="A12349">
        <f>HYPERLINK("https://www.philgeps.gov.ph/GEPSNONPILOT/Tender/SplashBidNoticeAbstractUI.aspx?menuIndex=3&amp;refID=7140320&amp;Result=3","7140320")</f>
        <v>0</v>
      </c>
      <c r="B12349" t="s">
        <v>2240</v>
      </c>
      <c r="C12349" t="s">
        <v>15530</v>
      </c>
      <c r="D12349" t="s">
        <v>19071</v>
      </c>
      <c r="E12349" t="s">
        <v>29668</v>
      </c>
      <c r="F12349" t="s">
        <v>32831</v>
      </c>
      <c r="G12349" t="s">
        <v>32839</v>
      </c>
      <c r="H12349" t="s">
        <v>14069</v>
      </c>
      <c r="I12349" t="s">
        <v>14069</v>
      </c>
      <c r="J12349" t="s">
        <v>33794</v>
      </c>
      <c r="K12349" t="s">
        <v>42732</v>
      </c>
      <c r="M12349" t="s">
        <v>45421</v>
      </c>
      <c r="N12349" t="s">
        <v>47424</v>
      </c>
      <c r="O12349" t="s">
        <v>47425</v>
      </c>
      <c r="P12349">
        <v>0</v>
      </c>
      <c r="Q12349">
        <v>4</v>
      </c>
      <c r="R12349" t="s">
        <v>47439</v>
      </c>
      <c r="S12349" t="s">
        <v>47860</v>
      </c>
      <c r="T12349" t="s">
        <v>49490</v>
      </c>
      <c r="U12349" t="s">
        <v>59802</v>
      </c>
      <c r="W12349" t="s">
        <v>45421</v>
      </c>
      <c r="X12349" t="s">
        <v>47440</v>
      </c>
    </row>
    <row r="12350" spans="1:24">
      <c r="A12350">
        <f>HYPERLINK("https://www.philgeps.gov.ph/GEPSNONPILOT/Tender/SplashBidNoticeAbstractUI.aspx?menuIndex=3&amp;refID=7140314&amp;Result=3","7140314")</f>
        <v>0</v>
      </c>
      <c r="B12350" t="s">
        <v>2748</v>
      </c>
      <c r="C12350" t="s">
        <v>15531</v>
      </c>
      <c r="D12350" t="s">
        <v>19078</v>
      </c>
      <c r="E12350" t="s">
        <v>29669</v>
      </c>
      <c r="F12350" t="s">
        <v>32831</v>
      </c>
      <c r="G12350" t="s">
        <v>32839</v>
      </c>
      <c r="H12350" t="s">
        <v>32849</v>
      </c>
      <c r="I12350" t="s">
        <v>4177</v>
      </c>
      <c r="J12350" t="s">
        <v>32985</v>
      </c>
      <c r="K12350" t="s">
        <v>42727</v>
      </c>
      <c r="M12350" t="s">
        <v>45977</v>
      </c>
      <c r="N12350" t="s">
        <v>47424</v>
      </c>
      <c r="O12350" t="s">
        <v>47425</v>
      </c>
      <c r="P12350">
        <v>0</v>
      </c>
      <c r="Q12350">
        <v>0</v>
      </c>
      <c r="R12350" t="s">
        <v>47439</v>
      </c>
      <c r="S12350" t="s">
        <v>47860</v>
      </c>
      <c r="T12350" t="s">
        <v>49073</v>
      </c>
      <c r="U12350" t="s">
        <v>56495</v>
      </c>
      <c r="W12350" t="s">
        <v>45977</v>
      </c>
      <c r="X12350" t="s">
        <v>47440</v>
      </c>
    </row>
    <row r="12351" spans="1:24">
      <c r="A12351">
        <f>HYPERLINK("https://www.philgeps.gov.ph/GEPSNONPILOT/Tender/SplashBidNoticeAbstractUI.aspx?menuIndex=3&amp;refID=7140182&amp;Result=3","7140182")</f>
        <v>0</v>
      </c>
      <c r="B12351" t="s">
        <v>2232</v>
      </c>
      <c r="C12351" t="s">
        <v>15532</v>
      </c>
      <c r="D12351" t="s">
        <v>19062</v>
      </c>
      <c r="E12351" t="s">
        <v>29670</v>
      </c>
      <c r="F12351" t="s">
        <v>32831</v>
      </c>
      <c r="G12351" t="s">
        <v>32839</v>
      </c>
      <c r="H12351" t="s">
        <v>32849</v>
      </c>
      <c r="I12351" t="s">
        <v>4177</v>
      </c>
      <c r="J12351" t="s">
        <v>39848</v>
      </c>
      <c r="K12351" t="s">
        <v>42780</v>
      </c>
      <c r="M12351" t="s">
        <v>45413</v>
      </c>
      <c r="N12351" t="s">
        <v>47424</v>
      </c>
      <c r="O12351" t="s">
        <v>47425</v>
      </c>
      <c r="P12351">
        <v>0</v>
      </c>
      <c r="Q12351">
        <v>0</v>
      </c>
      <c r="R12351" t="s">
        <v>47439</v>
      </c>
      <c r="S12351" t="s">
        <v>47860</v>
      </c>
      <c r="T12351" t="s">
        <v>49073</v>
      </c>
      <c r="U12351" t="s">
        <v>59674</v>
      </c>
      <c r="W12351" t="s">
        <v>45413</v>
      </c>
      <c r="X12351" t="s">
        <v>47440</v>
      </c>
    </row>
    <row r="12352" spans="1:24">
      <c r="A12352">
        <f>HYPERLINK("https://www.philgeps.gov.ph/GEPSNONPILOT/Tender/SplashBidNoticeAbstractUI.aspx?menuIndex=3&amp;refID=7140175&amp;Result=3","7140175")</f>
        <v>0</v>
      </c>
      <c r="B12352" t="s">
        <v>67</v>
      </c>
      <c r="C12352" t="s">
        <v>15533</v>
      </c>
      <c r="D12352" t="s">
        <v>19079</v>
      </c>
      <c r="E12352" t="s">
        <v>29671</v>
      </c>
      <c r="F12352" t="s">
        <v>32831</v>
      </c>
      <c r="G12352" t="s">
        <v>32839</v>
      </c>
      <c r="H12352" t="s">
        <v>32850</v>
      </c>
      <c r="I12352" t="s">
        <v>4471</v>
      </c>
      <c r="J12352" t="s">
        <v>40548</v>
      </c>
      <c r="K12352" t="s">
        <v>42773</v>
      </c>
      <c r="M12352" t="s">
        <v>43749</v>
      </c>
      <c r="N12352" t="s">
        <v>47424</v>
      </c>
      <c r="O12352" t="s">
        <v>47425</v>
      </c>
      <c r="P12352">
        <v>0</v>
      </c>
      <c r="Q12352">
        <v>4</v>
      </c>
      <c r="R12352" t="s">
        <v>47439</v>
      </c>
      <c r="S12352" t="s">
        <v>47860</v>
      </c>
      <c r="T12352" t="s">
        <v>49415</v>
      </c>
      <c r="U12352" t="s">
        <v>59803</v>
      </c>
      <c r="W12352" t="s">
        <v>64446</v>
      </c>
      <c r="X12352" t="s">
        <v>47440</v>
      </c>
    </row>
    <row r="12353" spans="1:24">
      <c r="A12353">
        <f>HYPERLINK("https://www.philgeps.gov.ph/GEPSNONPILOT/Tender/SplashBidNoticeAbstractUI.aspx?menuIndex=3&amp;refID=7140185&amp;Result=3","7140185")</f>
        <v>0</v>
      </c>
      <c r="B12353" t="s">
        <v>160</v>
      </c>
      <c r="C12353" t="s">
        <v>15534</v>
      </c>
      <c r="D12353" t="s">
        <v>19057</v>
      </c>
      <c r="E12353" t="s">
        <v>29672</v>
      </c>
      <c r="F12353" t="s">
        <v>32831</v>
      </c>
      <c r="G12353" t="s">
        <v>32839</v>
      </c>
      <c r="H12353" t="s">
        <v>32848</v>
      </c>
      <c r="I12353" t="s">
        <v>32852</v>
      </c>
      <c r="J12353" t="s">
        <v>40549</v>
      </c>
      <c r="K12353" t="s">
        <v>42730</v>
      </c>
      <c r="M12353" t="s">
        <v>45098</v>
      </c>
      <c r="N12353" t="s">
        <v>47424</v>
      </c>
      <c r="O12353" t="s">
        <v>47425</v>
      </c>
      <c r="P12353">
        <v>0</v>
      </c>
      <c r="Q12353">
        <v>16</v>
      </c>
      <c r="R12353" t="s">
        <v>47439</v>
      </c>
      <c r="S12353" t="s">
        <v>47860</v>
      </c>
      <c r="T12353" t="s">
        <v>49175</v>
      </c>
      <c r="U12353" t="s">
        <v>58667</v>
      </c>
      <c r="W12353" t="s">
        <v>45098</v>
      </c>
      <c r="X12353" t="s">
        <v>47440</v>
      </c>
    </row>
    <row r="12354" spans="1:24">
      <c r="A12354">
        <f>HYPERLINK("https://www.philgeps.gov.ph/GEPSNONPILOT/Tender/SplashBidNoticeAbstractUI.aspx?menuIndex=3&amp;refID=7140146&amp;Result=3","7140146")</f>
        <v>0</v>
      </c>
      <c r="B12354" t="s">
        <v>2455</v>
      </c>
      <c r="C12354" t="s">
        <v>15535</v>
      </c>
      <c r="E12354" t="s">
        <v>29673</v>
      </c>
      <c r="F12354" t="s">
        <v>32831</v>
      </c>
      <c r="G12354" t="s">
        <v>32839</v>
      </c>
      <c r="H12354" t="s">
        <v>32848</v>
      </c>
      <c r="I12354" t="s">
        <v>7416</v>
      </c>
      <c r="J12354" t="s">
        <v>40550</v>
      </c>
      <c r="K12354" t="s">
        <v>42730</v>
      </c>
      <c r="M12354" t="s">
        <v>46916</v>
      </c>
      <c r="N12354" t="s">
        <v>47424</v>
      </c>
      <c r="O12354" t="s">
        <v>47425</v>
      </c>
      <c r="P12354">
        <v>0</v>
      </c>
      <c r="Q12354">
        <v>3</v>
      </c>
      <c r="R12354" t="s">
        <v>47439</v>
      </c>
      <c r="S12354" t="s">
        <v>47860</v>
      </c>
      <c r="T12354" t="s">
        <v>49059</v>
      </c>
      <c r="U12354" t="s">
        <v>51143</v>
      </c>
      <c r="W12354" t="s">
        <v>46916</v>
      </c>
      <c r="X12354" t="s">
        <v>47440</v>
      </c>
    </row>
    <row r="12355" spans="1:24">
      <c r="A12355">
        <f>HYPERLINK("https://www.philgeps.gov.ph/GEPSNONPILOT/Tender/SplashBidNoticeAbstractUI.aspx?menuIndex=3&amp;refID=7140321&amp;Result=3","7140321")</f>
        <v>0</v>
      </c>
      <c r="B12355" t="s">
        <v>1879</v>
      </c>
      <c r="C12355" t="s">
        <v>15536</v>
      </c>
      <c r="D12355" t="s">
        <v>19021</v>
      </c>
      <c r="E12355" t="s">
        <v>29674</v>
      </c>
      <c r="F12355" t="s">
        <v>32831</v>
      </c>
      <c r="G12355" t="s">
        <v>32839</v>
      </c>
      <c r="H12355" t="s">
        <v>32849</v>
      </c>
      <c r="I12355" t="s">
        <v>4177</v>
      </c>
      <c r="J12355" t="s">
        <v>40551</v>
      </c>
      <c r="K12355" t="s">
        <v>42757</v>
      </c>
      <c r="L12355" t="s">
        <v>1879</v>
      </c>
      <c r="M12355" t="s">
        <v>45023</v>
      </c>
      <c r="N12355" t="s">
        <v>47424</v>
      </c>
      <c r="O12355" t="s">
        <v>47425</v>
      </c>
      <c r="P12355">
        <v>0</v>
      </c>
      <c r="Q12355">
        <v>34</v>
      </c>
      <c r="R12355" t="s">
        <v>47439</v>
      </c>
      <c r="S12355" t="s">
        <v>47860</v>
      </c>
      <c r="T12355" t="s">
        <v>49073</v>
      </c>
      <c r="U12355" t="s">
        <v>53768</v>
      </c>
      <c r="V12355" t="s">
        <v>63997</v>
      </c>
      <c r="W12355" t="s">
        <v>45023</v>
      </c>
      <c r="X12355" t="s">
        <v>47440</v>
      </c>
    </row>
    <row r="12356" spans="1:24">
      <c r="A12356">
        <f>HYPERLINK("https://www.philgeps.gov.ph/GEPSNONPILOT/Tender/SplashBidNoticeAbstractUI.aspx?menuIndex=3&amp;refID=7140127&amp;Result=3","7140127")</f>
        <v>0</v>
      </c>
      <c r="B12356" t="s">
        <v>2232</v>
      </c>
      <c r="C12356" t="s">
        <v>15537</v>
      </c>
      <c r="D12356" t="s">
        <v>19062</v>
      </c>
      <c r="E12356" t="s">
        <v>29675</v>
      </c>
      <c r="F12356" t="s">
        <v>32831</v>
      </c>
      <c r="G12356" t="s">
        <v>32839</v>
      </c>
      <c r="H12356" t="s">
        <v>32849</v>
      </c>
      <c r="I12356" t="s">
        <v>4177</v>
      </c>
      <c r="J12356" t="s">
        <v>35538</v>
      </c>
      <c r="K12356" t="s">
        <v>42853</v>
      </c>
      <c r="M12356" t="s">
        <v>45413</v>
      </c>
      <c r="N12356" t="s">
        <v>47424</v>
      </c>
      <c r="O12356" t="s">
        <v>47425</v>
      </c>
      <c r="P12356">
        <v>0</v>
      </c>
      <c r="Q12356">
        <v>1</v>
      </c>
      <c r="R12356" t="s">
        <v>47439</v>
      </c>
      <c r="S12356" t="s">
        <v>47860</v>
      </c>
      <c r="T12356" t="s">
        <v>49073</v>
      </c>
      <c r="U12356" t="s">
        <v>59674</v>
      </c>
      <c r="W12356" t="s">
        <v>45413</v>
      </c>
      <c r="X12356" t="s">
        <v>47440</v>
      </c>
    </row>
    <row r="12357" spans="1:24">
      <c r="A12357">
        <f>HYPERLINK("https://www.philgeps.gov.ph/GEPSNONPILOT/Tender/SplashBidNoticeAbstractUI.aspx?menuIndex=3&amp;refID=7140136&amp;Result=3","7140136")</f>
        <v>0</v>
      </c>
      <c r="B12357" t="s">
        <v>67</v>
      </c>
      <c r="C12357" t="s">
        <v>15538</v>
      </c>
      <c r="D12357" t="s">
        <v>19079</v>
      </c>
      <c r="E12357" t="s">
        <v>29676</v>
      </c>
      <c r="F12357" t="s">
        <v>32831</v>
      </c>
      <c r="G12357" t="s">
        <v>32839</v>
      </c>
      <c r="H12357" t="s">
        <v>32850</v>
      </c>
      <c r="I12357" t="s">
        <v>4471</v>
      </c>
      <c r="J12357" t="s">
        <v>40552</v>
      </c>
      <c r="K12357" t="s">
        <v>42729</v>
      </c>
      <c r="M12357" t="s">
        <v>43749</v>
      </c>
      <c r="N12357" t="s">
        <v>47424</v>
      </c>
      <c r="O12357" t="s">
        <v>47425</v>
      </c>
      <c r="P12357">
        <v>0</v>
      </c>
      <c r="Q12357">
        <v>3</v>
      </c>
      <c r="R12357" t="s">
        <v>47439</v>
      </c>
      <c r="S12357" t="s">
        <v>47860</v>
      </c>
      <c r="T12357" t="s">
        <v>49415</v>
      </c>
      <c r="U12357" t="s">
        <v>51013</v>
      </c>
      <c r="W12357" t="s">
        <v>64446</v>
      </c>
      <c r="X12357" t="s">
        <v>47440</v>
      </c>
    </row>
    <row r="12358" spans="1:24">
      <c r="A12358">
        <f>HYPERLINK("https://www.philgeps.gov.ph/GEPSNONPILOT/Tender/SplashBidNoticeAbstractUI.aspx?menuIndex=3&amp;refID=7140611&amp;Result=3","7140611")</f>
        <v>0</v>
      </c>
      <c r="B12358" t="s">
        <v>924</v>
      </c>
      <c r="C12358" t="s">
        <v>15539</v>
      </c>
      <c r="D12358" t="s">
        <v>19059</v>
      </c>
      <c r="E12358" t="s">
        <v>29677</v>
      </c>
      <c r="F12358" t="s">
        <v>32831</v>
      </c>
      <c r="G12358" t="s">
        <v>32839</v>
      </c>
      <c r="H12358" t="s">
        <v>32848</v>
      </c>
      <c r="I12358" t="s">
        <v>7751</v>
      </c>
      <c r="J12358" t="s">
        <v>33055</v>
      </c>
      <c r="K12358" t="s">
        <v>42730</v>
      </c>
      <c r="M12358" t="s">
        <v>43965</v>
      </c>
      <c r="N12358" t="s">
        <v>47424</v>
      </c>
      <c r="O12358" t="s">
        <v>47425</v>
      </c>
      <c r="P12358">
        <v>0</v>
      </c>
      <c r="Q12358">
        <v>2</v>
      </c>
      <c r="R12358" t="s">
        <v>47439</v>
      </c>
      <c r="S12358" t="s">
        <v>47860</v>
      </c>
      <c r="T12358" t="s">
        <v>49196</v>
      </c>
      <c r="U12358" t="s">
        <v>59804</v>
      </c>
      <c r="V12358" t="s">
        <v>63998</v>
      </c>
      <c r="W12358" t="s">
        <v>43965</v>
      </c>
      <c r="X12358" t="s">
        <v>47440</v>
      </c>
    </row>
    <row r="12359" spans="1:24">
      <c r="A12359">
        <f>HYPERLINK("https://www.philgeps.gov.ph/GEPSNONPILOT/Tender/SplashBidNoticeAbstractUI.aspx?menuIndex=3&amp;refID=7139967&amp;Result=3","7139967")</f>
        <v>0</v>
      </c>
      <c r="B12359" t="s">
        <v>3561</v>
      </c>
      <c r="C12359" t="s">
        <v>15540</v>
      </c>
      <c r="D12359" t="s">
        <v>19088</v>
      </c>
      <c r="E12359" t="s">
        <v>29678</v>
      </c>
      <c r="F12359" t="s">
        <v>32831</v>
      </c>
      <c r="G12359" t="s">
        <v>32839</v>
      </c>
      <c r="H12359" t="s">
        <v>32848</v>
      </c>
      <c r="I12359" t="s">
        <v>7751</v>
      </c>
      <c r="J12359" t="s">
        <v>40553</v>
      </c>
      <c r="K12359" t="s">
        <v>42730</v>
      </c>
      <c r="M12359" t="s">
        <v>46917</v>
      </c>
      <c r="N12359" t="s">
        <v>47424</v>
      </c>
      <c r="O12359" t="s">
        <v>47425</v>
      </c>
      <c r="P12359">
        <v>0</v>
      </c>
      <c r="Q12359">
        <v>6</v>
      </c>
      <c r="R12359" t="s">
        <v>47439</v>
      </c>
      <c r="S12359" t="s">
        <v>47860</v>
      </c>
      <c r="T12359" t="s">
        <v>49159</v>
      </c>
      <c r="U12359" t="s">
        <v>50323</v>
      </c>
      <c r="W12359" t="s">
        <v>46917</v>
      </c>
      <c r="X12359" t="s">
        <v>47440</v>
      </c>
    </row>
    <row r="12360" spans="1:24">
      <c r="A12360">
        <f>HYPERLINK("https://www.philgeps.gov.ph/GEPSNONPILOT/Tender/SplashBidNoticeAbstractUI.aspx?menuIndex=3&amp;refID=7139963&amp;Result=3","7139963")</f>
        <v>0</v>
      </c>
      <c r="B12360" t="s">
        <v>3562</v>
      </c>
      <c r="C12360" t="s">
        <v>15541</v>
      </c>
      <c r="D12360" t="s">
        <v>19069</v>
      </c>
      <c r="E12360" t="s">
        <v>29679</v>
      </c>
      <c r="F12360" t="s">
        <v>32831</v>
      </c>
      <c r="G12360" t="s">
        <v>32839</v>
      </c>
      <c r="H12360" t="s">
        <v>32849</v>
      </c>
      <c r="I12360" t="s">
        <v>32855</v>
      </c>
      <c r="J12360" t="s">
        <v>33044</v>
      </c>
      <c r="K12360" t="s">
        <v>42811</v>
      </c>
      <c r="M12360" t="s">
        <v>46918</v>
      </c>
      <c r="N12360" t="s">
        <v>47424</v>
      </c>
      <c r="O12360" t="s">
        <v>47425</v>
      </c>
      <c r="P12360">
        <v>0</v>
      </c>
      <c r="Q12360">
        <v>0</v>
      </c>
      <c r="R12360" t="s">
        <v>47439</v>
      </c>
      <c r="S12360" t="s">
        <v>47860</v>
      </c>
      <c r="T12360" t="s">
        <v>49237</v>
      </c>
      <c r="U12360" t="s">
        <v>59805</v>
      </c>
      <c r="W12360" t="s">
        <v>46918</v>
      </c>
      <c r="X12360" t="s">
        <v>47440</v>
      </c>
    </row>
    <row r="12361" spans="1:24">
      <c r="A12361">
        <f>HYPERLINK("https://www.philgeps.gov.ph/GEPSNONPILOT/Tender/SplashBidNoticeAbstractUI.aspx?menuIndex=3&amp;refID=7140111&amp;Result=3","7140111")</f>
        <v>0</v>
      </c>
      <c r="B12361" t="s">
        <v>2232</v>
      </c>
      <c r="C12361" t="s">
        <v>15542</v>
      </c>
      <c r="D12361" t="s">
        <v>19062</v>
      </c>
      <c r="E12361" t="s">
        <v>29680</v>
      </c>
      <c r="F12361" t="s">
        <v>32831</v>
      </c>
      <c r="G12361" t="s">
        <v>32839</v>
      </c>
      <c r="H12361" t="s">
        <v>32849</v>
      </c>
      <c r="I12361" t="s">
        <v>4177</v>
      </c>
      <c r="J12361" t="s">
        <v>40554</v>
      </c>
      <c r="K12361" t="s">
        <v>42868</v>
      </c>
      <c r="M12361" t="s">
        <v>45413</v>
      </c>
      <c r="N12361" t="s">
        <v>47424</v>
      </c>
      <c r="O12361" t="s">
        <v>47425</v>
      </c>
      <c r="P12361">
        <v>0</v>
      </c>
      <c r="Q12361">
        <v>2</v>
      </c>
      <c r="R12361" t="s">
        <v>47439</v>
      </c>
      <c r="S12361" t="s">
        <v>47860</v>
      </c>
      <c r="T12361" t="s">
        <v>49073</v>
      </c>
      <c r="U12361" t="s">
        <v>59674</v>
      </c>
      <c r="W12361" t="s">
        <v>45413</v>
      </c>
      <c r="X12361" t="s">
        <v>47440</v>
      </c>
    </row>
    <row r="12362" spans="1:24">
      <c r="A12362">
        <f>HYPERLINK("https://www.philgeps.gov.ph/GEPSNONPILOT/Tender/SplashBidNoticeAbstractUI.aspx?menuIndex=3&amp;refID=7139572&amp;Result=3","7139572")</f>
        <v>0</v>
      </c>
      <c r="B12362" t="s">
        <v>3520</v>
      </c>
      <c r="C12362" t="s">
        <v>15543</v>
      </c>
      <c r="D12362" t="s">
        <v>19017</v>
      </c>
      <c r="E12362" t="s">
        <v>29681</v>
      </c>
      <c r="F12362" t="s">
        <v>32831</v>
      </c>
      <c r="G12362" t="s">
        <v>32839</v>
      </c>
      <c r="H12362" t="s">
        <v>32848</v>
      </c>
      <c r="I12362" t="s">
        <v>32867</v>
      </c>
      <c r="J12362" t="s">
        <v>40555</v>
      </c>
      <c r="K12362" t="s">
        <v>42747</v>
      </c>
      <c r="M12362" t="s">
        <v>46871</v>
      </c>
      <c r="N12362" t="s">
        <v>47424</v>
      </c>
      <c r="O12362" t="s">
        <v>47425</v>
      </c>
      <c r="P12362">
        <v>0</v>
      </c>
      <c r="Q12362">
        <v>23</v>
      </c>
      <c r="R12362" t="s">
        <v>47439</v>
      </c>
      <c r="S12362" t="s">
        <v>47860</v>
      </c>
      <c r="T12362" t="s">
        <v>49151</v>
      </c>
      <c r="U12362" t="s">
        <v>59610</v>
      </c>
      <c r="W12362" t="s">
        <v>46871</v>
      </c>
      <c r="X12362" t="s">
        <v>47440</v>
      </c>
    </row>
    <row r="12363" spans="1:24">
      <c r="A12363">
        <f>HYPERLINK("https://www.philgeps.gov.ph/GEPSNONPILOT/Tender/SplashBidNoticeAbstractUI.aspx?menuIndex=3&amp;refID=7139559&amp;Result=3","7139559")</f>
        <v>0</v>
      </c>
      <c r="B12363" t="s">
        <v>1179</v>
      </c>
      <c r="C12363" t="s">
        <v>15544</v>
      </c>
      <c r="D12363" t="s">
        <v>19081</v>
      </c>
      <c r="E12363" t="s">
        <v>29682</v>
      </c>
      <c r="F12363" t="s">
        <v>32831</v>
      </c>
      <c r="G12363" t="s">
        <v>32839</v>
      </c>
      <c r="H12363" t="s">
        <v>32849</v>
      </c>
      <c r="I12363" t="s">
        <v>4177</v>
      </c>
      <c r="J12363" t="s">
        <v>33257</v>
      </c>
      <c r="K12363" t="s">
        <v>42729</v>
      </c>
      <c r="M12363" t="s">
        <v>44245</v>
      </c>
      <c r="N12363" t="s">
        <v>47424</v>
      </c>
      <c r="O12363" t="s">
        <v>47425</v>
      </c>
      <c r="P12363">
        <v>0</v>
      </c>
      <c r="Q12363">
        <v>2</v>
      </c>
      <c r="R12363" t="s">
        <v>47439</v>
      </c>
      <c r="S12363" t="s">
        <v>47860</v>
      </c>
      <c r="T12363" t="s">
        <v>49105</v>
      </c>
      <c r="U12363" t="s">
        <v>59806</v>
      </c>
      <c r="W12363" t="s">
        <v>44245</v>
      </c>
      <c r="X12363" t="s">
        <v>47440</v>
      </c>
    </row>
    <row r="12364" spans="1:24">
      <c r="A12364">
        <f>HYPERLINK("https://www.philgeps.gov.ph/GEPSNONPILOT/Tender/SplashBidNoticeAbstractUI.aspx?menuIndex=3&amp;refID=7139975&amp;Result=3","7139975")</f>
        <v>0</v>
      </c>
      <c r="B12364" t="s">
        <v>2805</v>
      </c>
      <c r="C12364" t="s">
        <v>15545</v>
      </c>
      <c r="D12364" t="s">
        <v>19080</v>
      </c>
      <c r="E12364" t="s">
        <v>29683</v>
      </c>
      <c r="F12364" t="s">
        <v>32831</v>
      </c>
      <c r="G12364" t="s">
        <v>32839</v>
      </c>
      <c r="H12364" t="s">
        <v>32848</v>
      </c>
      <c r="I12364" t="s">
        <v>7416</v>
      </c>
      <c r="J12364" t="s">
        <v>40556</v>
      </c>
      <c r="K12364" t="s">
        <v>42730</v>
      </c>
      <c r="M12364" t="s">
        <v>46035</v>
      </c>
      <c r="N12364" t="s">
        <v>47424</v>
      </c>
      <c r="O12364" t="s">
        <v>47425</v>
      </c>
      <c r="P12364">
        <v>0</v>
      </c>
      <c r="Q12364">
        <v>0</v>
      </c>
      <c r="R12364" t="s">
        <v>47439</v>
      </c>
      <c r="S12364" t="s">
        <v>47860</v>
      </c>
      <c r="T12364" t="s">
        <v>49162</v>
      </c>
      <c r="U12364" t="s">
        <v>59807</v>
      </c>
      <c r="V12364" t="s">
        <v>63570</v>
      </c>
      <c r="W12364" t="s">
        <v>46035</v>
      </c>
      <c r="X12364" t="s">
        <v>47440</v>
      </c>
    </row>
    <row r="12365" spans="1:24">
      <c r="A12365">
        <f>HYPERLINK("https://www.philgeps.gov.ph/GEPSNONPILOT/Tender/SplashBidNoticeAbstractUI.aspx?menuIndex=3&amp;refID=7139556&amp;Result=3","7139556")</f>
        <v>0</v>
      </c>
      <c r="B12365" t="s">
        <v>2340</v>
      </c>
      <c r="C12365" t="s">
        <v>15546</v>
      </c>
      <c r="D12365" t="s">
        <v>19054</v>
      </c>
      <c r="E12365" t="s">
        <v>29684</v>
      </c>
      <c r="F12365" t="s">
        <v>32833</v>
      </c>
      <c r="G12365" t="s">
        <v>32839</v>
      </c>
      <c r="H12365" t="s">
        <v>32849</v>
      </c>
      <c r="I12365" t="s">
        <v>4177</v>
      </c>
      <c r="J12365" t="s">
        <v>33111</v>
      </c>
      <c r="K12365" t="s">
        <v>42757</v>
      </c>
      <c r="M12365" t="s">
        <v>45527</v>
      </c>
      <c r="N12365" t="s">
        <v>47424</v>
      </c>
      <c r="O12365" t="s">
        <v>47425</v>
      </c>
      <c r="P12365">
        <v>0</v>
      </c>
      <c r="Q12365">
        <v>3</v>
      </c>
      <c r="R12365" t="s">
        <v>47439</v>
      </c>
      <c r="S12365" t="s">
        <v>47860</v>
      </c>
      <c r="T12365" t="s">
        <v>49231</v>
      </c>
      <c r="U12365" t="s">
        <v>59808</v>
      </c>
      <c r="V12365" t="s">
        <v>63999</v>
      </c>
      <c r="W12365" t="s">
        <v>45527</v>
      </c>
      <c r="X12365" t="s">
        <v>47440</v>
      </c>
    </row>
    <row r="12366" spans="1:24">
      <c r="A12366">
        <f>HYPERLINK("https://www.philgeps.gov.ph/GEPSNONPILOT/Tender/SplashBidNoticeAbstractUI.aspx?menuIndex=3&amp;refID=7139342&amp;Result=3","7139342")</f>
        <v>0</v>
      </c>
      <c r="B12366" t="s">
        <v>3563</v>
      </c>
      <c r="C12366" t="s">
        <v>15547</v>
      </c>
      <c r="D12366" t="s">
        <v>19025</v>
      </c>
      <c r="E12366" t="s">
        <v>20163</v>
      </c>
      <c r="F12366" t="s">
        <v>32831</v>
      </c>
      <c r="G12366" t="s">
        <v>32839</v>
      </c>
      <c r="H12366" t="s">
        <v>32849</v>
      </c>
      <c r="I12366" t="s">
        <v>4177</v>
      </c>
      <c r="J12366" t="s">
        <v>40557</v>
      </c>
      <c r="K12366" t="s">
        <v>42732</v>
      </c>
      <c r="M12366" t="s">
        <v>46919</v>
      </c>
      <c r="N12366" t="s">
        <v>47424</v>
      </c>
      <c r="O12366" t="s">
        <v>47425</v>
      </c>
      <c r="P12366">
        <v>0</v>
      </c>
      <c r="Q12366">
        <v>0</v>
      </c>
      <c r="R12366" t="s">
        <v>47439</v>
      </c>
      <c r="S12366" t="s">
        <v>47860</v>
      </c>
      <c r="T12366" t="s">
        <v>49116</v>
      </c>
      <c r="U12366" t="s">
        <v>59809</v>
      </c>
      <c r="W12366" t="s">
        <v>46919</v>
      </c>
      <c r="X12366" t="s">
        <v>47440</v>
      </c>
    </row>
    <row r="12367" spans="1:24">
      <c r="A12367">
        <f>HYPERLINK("https://www.philgeps.gov.ph/GEPSNONPILOT/Tender/SplashBidNoticeAbstractUI.aspx?menuIndex=3&amp;refID=7139959&amp;Result=3","7139959")</f>
        <v>0</v>
      </c>
      <c r="B12367" t="s">
        <v>3564</v>
      </c>
      <c r="C12367" t="s">
        <v>15548</v>
      </c>
      <c r="D12367" t="s">
        <v>19038</v>
      </c>
      <c r="E12367" t="s">
        <v>29685</v>
      </c>
      <c r="F12367" t="s">
        <v>32831</v>
      </c>
      <c r="G12367" t="s">
        <v>32839</v>
      </c>
      <c r="H12367" t="s">
        <v>32848</v>
      </c>
      <c r="I12367" t="s">
        <v>7416</v>
      </c>
      <c r="J12367" t="s">
        <v>40558</v>
      </c>
      <c r="K12367" t="s">
        <v>42726</v>
      </c>
      <c r="M12367" t="s">
        <v>46920</v>
      </c>
      <c r="N12367" t="s">
        <v>47424</v>
      </c>
      <c r="O12367" t="s">
        <v>47425</v>
      </c>
      <c r="P12367">
        <v>0</v>
      </c>
      <c r="Q12367">
        <v>0</v>
      </c>
      <c r="R12367" t="s">
        <v>47439</v>
      </c>
      <c r="S12367" t="s">
        <v>47860</v>
      </c>
      <c r="T12367" t="s">
        <v>49069</v>
      </c>
      <c r="U12367" t="s">
        <v>59810</v>
      </c>
      <c r="V12367" t="s">
        <v>64000</v>
      </c>
      <c r="W12367" t="s">
        <v>46920</v>
      </c>
      <c r="X12367" t="s">
        <v>47440</v>
      </c>
    </row>
    <row r="12368" spans="1:24">
      <c r="A12368">
        <f>HYPERLINK("https://www.philgeps.gov.ph/GEPSNONPILOT/Tender/SplashBidNoticeAbstractUI.aspx?menuIndex=3&amp;refID=7140152&amp;Result=3","7140152")</f>
        <v>0</v>
      </c>
      <c r="B12368" t="s">
        <v>2232</v>
      </c>
      <c r="C12368" t="s">
        <v>15549</v>
      </c>
      <c r="D12368" t="s">
        <v>19062</v>
      </c>
      <c r="E12368" t="s">
        <v>29686</v>
      </c>
      <c r="F12368" t="s">
        <v>32831</v>
      </c>
      <c r="G12368" t="s">
        <v>32839</v>
      </c>
      <c r="H12368" t="s">
        <v>32849</v>
      </c>
      <c r="I12368" t="s">
        <v>4177</v>
      </c>
      <c r="J12368" t="s">
        <v>35331</v>
      </c>
      <c r="K12368" t="s">
        <v>42812</v>
      </c>
      <c r="M12368" t="s">
        <v>45413</v>
      </c>
      <c r="N12368" t="s">
        <v>47424</v>
      </c>
      <c r="O12368" t="s">
        <v>47425</v>
      </c>
      <c r="P12368">
        <v>0</v>
      </c>
      <c r="Q12368">
        <v>0</v>
      </c>
      <c r="R12368" t="s">
        <v>47439</v>
      </c>
      <c r="S12368" t="s">
        <v>47860</v>
      </c>
      <c r="T12368" t="s">
        <v>49073</v>
      </c>
      <c r="U12368" t="s">
        <v>59674</v>
      </c>
      <c r="W12368" t="s">
        <v>45413</v>
      </c>
      <c r="X12368" t="s">
        <v>47440</v>
      </c>
    </row>
    <row r="12369" spans="1:24">
      <c r="A12369">
        <f>HYPERLINK("https://www.philgeps.gov.ph/GEPSNONPILOT/Tender/SplashBidNoticeAbstractUI.aspx?menuIndex=3&amp;refID=7139187&amp;Result=3","7139187")</f>
        <v>0</v>
      </c>
      <c r="B12369" t="s">
        <v>3542</v>
      </c>
      <c r="C12369" t="s">
        <v>15550</v>
      </c>
      <c r="D12369" t="s">
        <v>19104</v>
      </c>
      <c r="E12369" t="s">
        <v>29687</v>
      </c>
      <c r="F12369" t="s">
        <v>32831</v>
      </c>
      <c r="G12369" t="s">
        <v>32839</v>
      </c>
      <c r="H12369" t="s">
        <v>32848</v>
      </c>
      <c r="I12369" t="s">
        <v>4435</v>
      </c>
      <c r="J12369" t="s">
        <v>40559</v>
      </c>
      <c r="K12369" t="s">
        <v>42730</v>
      </c>
      <c r="M12369" t="s">
        <v>46895</v>
      </c>
      <c r="N12369" t="s">
        <v>47424</v>
      </c>
      <c r="O12369" t="s">
        <v>47425</v>
      </c>
      <c r="P12369">
        <v>0</v>
      </c>
      <c r="Q12369">
        <v>5</v>
      </c>
      <c r="R12369" t="s">
        <v>47439</v>
      </c>
      <c r="S12369" t="s">
        <v>47860</v>
      </c>
      <c r="T12369" t="s">
        <v>49173</v>
      </c>
      <c r="U12369" t="s">
        <v>59811</v>
      </c>
      <c r="W12369" t="s">
        <v>46895</v>
      </c>
      <c r="X12369" t="s">
        <v>47440</v>
      </c>
    </row>
    <row r="12370" spans="1:24">
      <c r="A12370">
        <f>HYPERLINK("https://www.philgeps.gov.ph/GEPSNONPILOT/Tender/SplashBidNoticeAbstractUI.aspx?menuIndex=3&amp;refID=7139186&amp;Result=3","7139186")</f>
        <v>0</v>
      </c>
      <c r="B12370" t="s">
        <v>1881</v>
      </c>
      <c r="C12370" t="s">
        <v>15551</v>
      </c>
      <c r="D12370" t="s">
        <v>19030</v>
      </c>
      <c r="E12370" t="s">
        <v>29688</v>
      </c>
      <c r="F12370" t="s">
        <v>32831</v>
      </c>
      <c r="G12370" t="s">
        <v>32839</v>
      </c>
      <c r="H12370" t="s">
        <v>32850</v>
      </c>
      <c r="I12370" t="s">
        <v>32863</v>
      </c>
      <c r="J12370" t="s">
        <v>40560</v>
      </c>
      <c r="K12370" t="s">
        <v>42883</v>
      </c>
      <c r="M12370" t="s">
        <v>46356</v>
      </c>
      <c r="N12370" t="s">
        <v>47424</v>
      </c>
      <c r="O12370" t="s">
        <v>47425</v>
      </c>
      <c r="P12370">
        <v>0</v>
      </c>
      <c r="Q12370">
        <v>3</v>
      </c>
      <c r="R12370" t="s">
        <v>47439</v>
      </c>
      <c r="S12370" t="s">
        <v>47860</v>
      </c>
      <c r="T12370" t="s">
        <v>49080</v>
      </c>
      <c r="U12370" t="s">
        <v>59812</v>
      </c>
      <c r="W12370" t="s">
        <v>46356</v>
      </c>
      <c r="X12370" t="s">
        <v>47440</v>
      </c>
    </row>
    <row r="12371" spans="1:24">
      <c r="A12371">
        <f>HYPERLINK("https://www.philgeps.gov.ph/GEPSNONPILOT/Tender/SplashBidNoticeAbstractUI.aspx?menuIndex=3&amp;refID=7139329&amp;Result=3","7139329")</f>
        <v>0</v>
      </c>
      <c r="B12371" t="s">
        <v>3542</v>
      </c>
      <c r="C12371" t="s">
        <v>15552</v>
      </c>
      <c r="D12371" t="s">
        <v>19104</v>
      </c>
      <c r="E12371" t="s">
        <v>29689</v>
      </c>
      <c r="F12371" t="s">
        <v>32831</v>
      </c>
      <c r="G12371" t="s">
        <v>32839</v>
      </c>
      <c r="H12371" t="s">
        <v>32848</v>
      </c>
      <c r="I12371" t="s">
        <v>32883</v>
      </c>
      <c r="J12371" t="s">
        <v>40561</v>
      </c>
      <c r="K12371" t="s">
        <v>42730</v>
      </c>
      <c r="M12371" t="s">
        <v>46895</v>
      </c>
      <c r="N12371" t="s">
        <v>47424</v>
      </c>
      <c r="O12371" t="s">
        <v>47425</v>
      </c>
      <c r="P12371">
        <v>0</v>
      </c>
      <c r="Q12371">
        <v>3</v>
      </c>
      <c r="R12371" t="s">
        <v>47439</v>
      </c>
      <c r="S12371" t="s">
        <v>47860</v>
      </c>
      <c r="T12371" t="s">
        <v>49173</v>
      </c>
      <c r="U12371" t="s">
        <v>59813</v>
      </c>
      <c r="W12371" t="s">
        <v>46895</v>
      </c>
      <c r="X12371" t="s">
        <v>47440</v>
      </c>
    </row>
    <row r="12372" spans="1:24">
      <c r="A12372">
        <f>HYPERLINK("https://www.philgeps.gov.ph/GEPSNONPILOT/Tender/SplashBidNoticeAbstractUI.aspx?menuIndex=3&amp;refID=7139557&amp;Result=3","7139557")</f>
        <v>0</v>
      </c>
      <c r="B12372" t="s">
        <v>1770</v>
      </c>
      <c r="C12372" t="s">
        <v>15553</v>
      </c>
      <c r="D12372" t="s">
        <v>19058</v>
      </c>
      <c r="E12372" t="s">
        <v>29690</v>
      </c>
      <c r="F12372" t="s">
        <v>32831</v>
      </c>
      <c r="G12372" t="s">
        <v>32840</v>
      </c>
      <c r="H12372" t="s">
        <v>32848</v>
      </c>
      <c r="I12372" t="s">
        <v>10888</v>
      </c>
      <c r="J12372" t="s">
        <v>32980</v>
      </c>
      <c r="K12372" t="s">
        <v>42750</v>
      </c>
      <c r="M12372" t="s">
        <v>44895</v>
      </c>
      <c r="N12372" t="s">
        <v>47424</v>
      </c>
      <c r="O12372" t="s">
        <v>47425</v>
      </c>
      <c r="P12372">
        <v>0</v>
      </c>
      <c r="Q12372">
        <v>1</v>
      </c>
      <c r="R12372" t="s">
        <v>47439</v>
      </c>
      <c r="S12372" t="s">
        <v>47860</v>
      </c>
      <c r="T12372" t="s">
        <v>49237</v>
      </c>
      <c r="U12372" t="s">
        <v>59814</v>
      </c>
      <c r="W12372" t="s">
        <v>44895</v>
      </c>
      <c r="X12372" t="s">
        <v>47440</v>
      </c>
    </row>
    <row r="12373" spans="1:24">
      <c r="A12373">
        <f>HYPERLINK("https://www.philgeps.gov.ph/GEPSNONPILOT/Tender/SplashBidNoticeAbstractUI.aspx?menuIndex=3&amp;refID=7139150&amp;Result=3","7139150")</f>
        <v>0</v>
      </c>
      <c r="B12373" t="s">
        <v>3505</v>
      </c>
      <c r="C12373" t="s">
        <v>15554</v>
      </c>
      <c r="D12373" t="s">
        <v>19054</v>
      </c>
      <c r="E12373" t="s">
        <v>29691</v>
      </c>
      <c r="F12373" t="s">
        <v>32831</v>
      </c>
      <c r="G12373" t="s">
        <v>32839</v>
      </c>
      <c r="H12373" t="s">
        <v>32849</v>
      </c>
      <c r="I12373" t="s">
        <v>4177</v>
      </c>
      <c r="J12373" t="s">
        <v>40562</v>
      </c>
      <c r="K12373" t="s">
        <v>42729</v>
      </c>
      <c r="M12373" t="s">
        <v>46854</v>
      </c>
      <c r="N12373" t="s">
        <v>47424</v>
      </c>
      <c r="O12373" t="s">
        <v>47425</v>
      </c>
      <c r="P12373">
        <v>0</v>
      </c>
      <c r="Q12373">
        <v>1</v>
      </c>
      <c r="R12373" t="s">
        <v>47439</v>
      </c>
      <c r="S12373" t="s">
        <v>47860</v>
      </c>
      <c r="T12373" t="s">
        <v>49237</v>
      </c>
      <c r="U12373" t="s">
        <v>59815</v>
      </c>
      <c r="W12373" t="s">
        <v>46854</v>
      </c>
      <c r="X12373" t="s">
        <v>47440</v>
      </c>
    </row>
    <row r="12374" spans="1:24">
      <c r="A12374">
        <f>HYPERLINK("https://www.philgeps.gov.ph/GEPSNONPILOT/Tender/SplashBidNoticeAbstractUI.aspx?menuIndex=3&amp;refID=7139338&amp;Result=3","7139338")</f>
        <v>0</v>
      </c>
      <c r="B12374" t="s">
        <v>589</v>
      </c>
      <c r="C12374" t="s">
        <v>15555</v>
      </c>
      <c r="D12374" t="s">
        <v>19069</v>
      </c>
      <c r="E12374" t="s">
        <v>29692</v>
      </c>
      <c r="F12374" t="s">
        <v>32831</v>
      </c>
      <c r="G12374" t="s">
        <v>32839</v>
      </c>
      <c r="H12374" t="s">
        <v>32849</v>
      </c>
      <c r="I12374" t="s">
        <v>4177</v>
      </c>
      <c r="J12374" t="s">
        <v>33257</v>
      </c>
      <c r="K12374" t="s">
        <v>42811</v>
      </c>
      <c r="M12374" t="s">
        <v>43601</v>
      </c>
      <c r="N12374" t="s">
        <v>47424</v>
      </c>
      <c r="O12374" t="s">
        <v>47425</v>
      </c>
      <c r="P12374">
        <v>0</v>
      </c>
      <c r="Q12374">
        <v>5</v>
      </c>
      <c r="R12374" t="s">
        <v>47439</v>
      </c>
      <c r="S12374" t="s">
        <v>47860</v>
      </c>
      <c r="T12374" t="s">
        <v>49244</v>
      </c>
      <c r="U12374" t="s">
        <v>59816</v>
      </c>
      <c r="W12374" t="s">
        <v>43601</v>
      </c>
      <c r="X12374" t="s">
        <v>47440</v>
      </c>
    </row>
    <row r="12375" spans="1:24">
      <c r="A12375">
        <f>HYPERLINK("https://www.philgeps.gov.ph/GEPSNONPILOT/Tender/SplashBidNoticeAbstractUI.aspx?menuIndex=3&amp;refID=7139134&amp;Result=3","7139134")</f>
        <v>0</v>
      </c>
      <c r="B12375" t="s">
        <v>3565</v>
      </c>
      <c r="C12375" t="s">
        <v>15556</v>
      </c>
      <c r="D12375" t="s">
        <v>19024</v>
      </c>
      <c r="E12375" t="s">
        <v>23539</v>
      </c>
      <c r="F12375" t="s">
        <v>32831</v>
      </c>
      <c r="G12375" t="s">
        <v>32839</v>
      </c>
      <c r="H12375" t="s">
        <v>32849</v>
      </c>
      <c r="I12375" t="s">
        <v>4177</v>
      </c>
      <c r="J12375" t="s">
        <v>33044</v>
      </c>
      <c r="K12375" t="s">
        <v>42727</v>
      </c>
      <c r="M12375" t="s">
        <v>46921</v>
      </c>
      <c r="N12375" t="s">
        <v>47424</v>
      </c>
      <c r="O12375" t="s">
        <v>47425</v>
      </c>
      <c r="P12375">
        <v>0</v>
      </c>
      <c r="Q12375">
        <v>0</v>
      </c>
      <c r="R12375" t="s">
        <v>47439</v>
      </c>
      <c r="S12375" t="s">
        <v>47860</v>
      </c>
      <c r="T12375" t="s">
        <v>49060</v>
      </c>
      <c r="U12375" t="s">
        <v>59817</v>
      </c>
      <c r="W12375" t="s">
        <v>46921</v>
      </c>
      <c r="X12375" t="s">
        <v>47440</v>
      </c>
    </row>
    <row r="12376" spans="1:24">
      <c r="A12376">
        <f>HYPERLINK("https://www.philgeps.gov.ph/GEPSNONPILOT/Tender/SplashBidNoticeAbstractUI.aspx?menuIndex=3&amp;refID=7139569&amp;Result=3","7139569")</f>
        <v>0</v>
      </c>
      <c r="B12376" t="s">
        <v>3504</v>
      </c>
      <c r="C12376" t="s">
        <v>15557</v>
      </c>
      <c r="D12376" t="s">
        <v>19074</v>
      </c>
      <c r="E12376" t="s">
        <v>26066</v>
      </c>
      <c r="F12376" t="s">
        <v>32831</v>
      </c>
      <c r="G12376" t="s">
        <v>32839</v>
      </c>
      <c r="H12376" t="s">
        <v>32849</v>
      </c>
      <c r="I12376" t="s">
        <v>4177</v>
      </c>
      <c r="J12376" t="s">
        <v>33032</v>
      </c>
      <c r="K12376" t="s">
        <v>42770</v>
      </c>
      <c r="M12376" t="s">
        <v>46853</v>
      </c>
      <c r="N12376" t="s">
        <v>47424</v>
      </c>
      <c r="O12376" t="s">
        <v>47425</v>
      </c>
      <c r="P12376">
        <v>0</v>
      </c>
      <c r="Q12376">
        <v>0</v>
      </c>
      <c r="R12376" t="s">
        <v>47439</v>
      </c>
      <c r="S12376" t="s">
        <v>47860</v>
      </c>
      <c r="T12376" t="s">
        <v>49059</v>
      </c>
      <c r="U12376" t="s">
        <v>59818</v>
      </c>
      <c r="V12376" t="s">
        <v>62754</v>
      </c>
      <c r="W12376" t="s">
        <v>46853</v>
      </c>
      <c r="X12376" t="s">
        <v>47440</v>
      </c>
    </row>
    <row r="12377" spans="1:24">
      <c r="A12377">
        <f>HYPERLINK("https://www.philgeps.gov.ph/GEPSNONPILOT/Tender/SplashBidNoticeAbstractUI.aspx?menuIndex=3&amp;refID=7139162&amp;Result=3","7139162")</f>
        <v>0</v>
      </c>
      <c r="B12377" t="s">
        <v>3515</v>
      </c>
      <c r="C12377" t="s">
        <v>15558</v>
      </c>
      <c r="D12377" t="s">
        <v>19031</v>
      </c>
      <c r="E12377" t="s">
        <v>29693</v>
      </c>
      <c r="F12377" t="s">
        <v>32831</v>
      </c>
      <c r="G12377" t="s">
        <v>32839</v>
      </c>
      <c r="H12377" t="s">
        <v>32850</v>
      </c>
      <c r="I12377" t="s">
        <v>32911</v>
      </c>
      <c r="J12377" t="s">
        <v>35380</v>
      </c>
      <c r="K12377" t="s">
        <v>42730</v>
      </c>
      <c r="M12377" t="s">
        <v>46866</v>
      </c>
      <c r="N12377" t="s">
        <v>47424</v>
      </c>
      <c r="O12377" t="s">
        <v>47425</v>
      </c>
      <c r="P12377">
        <v>0</v>
      </c>
      <c r="Q12377">
        <v>1</v>
      </c>
      <c r="R12377" t="s">
        <v>47439</v>
      </c>
      <c r="S12377" t="s">
        <v>47860</v>
      </c>
      <c r="T12377" t="s">
        <v>49070</v>
      </c>
      <c r="U12377" t="s">
        <v>59590</v>
      </c>
      <c r="V12377" t="s">
        <v>63958</v>
      </c>
      <c r="W12377" t="s">
        <v>64547</v>
      </c>
      <c r="X12377" t="s">
        <v>47440</v>
      </c>
    </row>
    <row r="12378" spans="1:24">
      <c r="A12378">
        <f>HYPERLINK("https://www.philgeps.gov.ph/GEPSNONPILOT/Tender/SplashBidNoticeAbstractUI.aspx?menuIndex=3&amp;refID=7137916&amp;Result=3","7137916")</f>
        <v>0</v>
      </c>
      <c r="B12378" t="s">
        <v>1118</v>
      </c>
      <c r="C12378" t="s">
        <v>5685</v>
      </c>
      <c r="D12378" t="s">
        <v>19060</v>
      </c>
      <c r="E12378" t="s">
        <v>29694</v>
      </c>
      <c r="F12378" t="s">
        <v>32831</v>
      </c>
      <c r="G12378" t="s">
        <v>32839</v>
      </c>
      <c r="H12378" t="s">
        <v>32848</v>
      </c>
      <c r="I12378" t="s">
        <v>4438</v>
      </c>
      <c r="J12378" t="s">
        <v>40563</v>
      </c>
      <c r="K12378" t="s">
        <v>42726</v>
      </c>
      <c r="M12378" t="s">
        <v>45853</v>
      </c>
      <c r="N12378" t="s">
        <v>47424</v>
      </c>
      <c r="O12378" t="s">
        <v>47425</v>
      </c>
      <c r="Q12378">
        <v>1</v>
      </c>
      <c r="R12378" t="s">
        <v>47439</v>
      </c>
      <c r="S12378" t="s">
        <v>47915</v>
      </c>
      <c r="T12378" t="s">
        <v>49321</v>
      </c>
      <c r="U12378" t="s">
        <v>57532</v>
      </c>
      <c r="V12378" t="s">
        <v>64001</v>
      </c>
      <c r="W12378" t="s">
        <v>45853</v>
      </c>
      <c r="X12378" t="s">
        <v>47441</v>
      </c>
    </row>
    <row r="12379" spans="1:24">
      <c r="A12379">
        <f>HYPERLINK("https://www.philgeps.gov.ph/GEPSNONPILOT/Tender/SplashBidNoticeAbstractUI.aspx?menuIndex=3&amp;refID=7137854&amp;Result=3","7137854")</f>
        <v>0</v>
      </c>
      <c r="B12379" t="s">
        <v>1541</v>
      </c>
      <c r="C12379" t="s">
        <v>15559</v>
      </c>
      <c r="D12379" t="s">
        <v>19019</v>
      </c>
      <c r="E12379" t="s">
        <v>29695</v>
      </c>
      <c r="F12379" t="s">
        <v>32831</v>
      </c>
      <c r="G12379" t="s">
        <v>32839</v>
      </c>
      <c r="H12379" t="s">
        <v>32848</v>
      </c>
      <c r="I12379" t="s">
        <v>32858</v>
      </c>
      <c r="J12379" t="s">
        <v>40564</v>
      </c>
      <c r="K12379" t="s">
        <v>42730</v>
      </c>
      <c r="M12379" t="s">
        <v>44645</v>
      </c>
      <c r="N12379" t="s">
        <v>47424</v>
      </c>
      <c r="O12379" t="s">
        <v>47425</v>
      </c>
      <c r="P12379">
        <v>0</v>
      </c>
      <c r="Q12379">
        <v>8</v>
      </c>
      <c r="R12379" t="s">
        <v>47439</v>
      </c>
      <c r="S12379" t="s">
        <v>47860</v>
      </c>
      <c r="T12379" t="s">
        <v>49196</v>
      </c>
      <c r="U12379" t="s">
        <v>59819</v>
      </c>
      <c r="V12379" t="s">
        <v>64002</v>
      </c>
      <c r="W12379" t="s">
        <v>44645</v>
      </c>
      <c r="X12379" t="s">
        <v>47441</v>
      </c>
    </row>
    <row r="12380" spans="1:24">
      <c r="A12380">
        <f>HYPERLINK("https://www.philgeps.gov.ph/GEPSNONPILOT/Tender/SplashBidNoticeAbstractUI.aspx?menuIndex=3&amp;refID=7139145&amp;Result=3","7139145")</f>
        <v>0</v>
      </c>
      <c r="B12380" t="s">
        <v>1666</v>
      </c>
      <c r="C12380" t="s">
        <v>15560</v>
      </c>
      <c r="D12380" t="s">
        <v>19067</v>
      </c>
      <c r="E12380" t="s">
        <v>29696</v>
      </c>
      <c r="F12380" t="s">
        <v>32831</v>
      </c>
      <c r="G12380" t="s">
        <v>32839</v>
      </c>
      <c r="H12380" t="s">
        <v>32848</v>
      </c>
      <c r="I12380" t="s">
        <v>7416</v>
      </c>
      <c r="J12380" t="s">
        <v>40565</v>
      </c>
      <c r="K12380" t="s">
        <v>42763</v>
      </c>
      <c r="M12380" t="s">
        <v>44783</v>
      </c>
      <c r="N12380" t="s">
        <v>47424</v>
      </c>
      <c r="O12380" t="s">
        <v>47425</v>
      </c>
      <c r="Q12380">
        <v>1</v>
      </c>
      <c r="R12380" t="s">
        <v>47439</v>
      </c>
      <c r="S12380" t="s">
        <v>47916</v>
      </c>
      <c r="T12380" t="s">
        <v>49105</v>
      </c>
      <c r="U12380" t="s">
        <v>59820</v>
      </c>
      <c r="W12380" t="s">
        <v>44783</v>
      </c>
      <c r="X12380" t="s">
        <v>47440</v>
      </c>
    </row>
    <row r="12381" spans="1:24">
      <c r="A12381">
        <f>HYPERLINK("https://www.philgeps.gov.ph/GEPSNONPILOT/Tender/SplashBidNoticeAbstractUI.aspx?menuIndex=3&amp;refID=7139183&amp;Result=3","7139183")</f>
        <v>0</v>
      </c>
      <c r="B12381" t="s">
        <v>1135</v>
      </c>
      <c r="C12381" t="s">
        <v>15561</v>
      </c>
      <c r="D12381" t="s">
        <v>19064</v>
      </c>
      <c r="E12381" t="s">
        <v>29008</v>
      </c>
      <c r="F12381" t="s">
        <v>32831</v>
      </c>
      <c r="G12381" t="s">
        <v>32838</v>
      </c>
      <c r="H12381" t="s">
        <v>32848</v>
      </c>
      <c r="I12381" t="s">
        <v>11484</v>
      </c>
      <c r="J12381" t="s">
        <v>34782</v>
      </c>
      <c r="K12381" t="s">
        <v>42726</v>
      </c>
      <c r="M12381" t="s">
        <v>44197</v>
      </c>
      <c r="N12381" t="s">
        <v>47424</v>
      </c>
      <c r="O12381" t="s">
        <v>47425</v>
      </c>
      <c r="P12381">
        <v>0</v>
      </c>
      <c r="Q12381">
        <v>1</v>
      </c>
      <c r="R12381" t="s">
        <v>47439</v>
      </c>
      <c r="S12381" t="s">
        <v>47860</v>
      </c>
      <c r="T12381" t="s">
        <v>49175</v>
      </c>
      <c r="U12381" t="s">
        <v>59581</v>
      </c>
      <c r="W12381" t="s">
        <v>44197</v>
      </c>
      <c r="X12381" t="s">
        <v>47440</v>
      </c>
    </row>
    <row r="12382" spans="1:24">
      <c r="A12382">
        <f>HYPERLINK("https://www.philgeps.gov.ph/GEPSNONPILOT/Tender/SplashBidNoticeAbstractUI.aspx?menuIndex=3&amp;refID=7134257&amp;Result=3","7134257")</f>
        <v>0</v>
      </c>
      <c r="B12382" t="s">
        <v>39</v>
      </c>
      <c r="C12382" t="s">
        <v>15562</v>
      </c>
      <c r="D12382" t="s">
        <v>19029</v>
      </c>
      <c r="E12382" t="s">
        <v>29697</v>
      </c>
      <c r="F12382" t="s">
        <v>32831</v>
      </c>
      <c r="G12382" t="s">
        <v>32839</v>
      </c>
      <c r="H12382" t="s">
        <v>32849</v>
      </c>
      <c r="I12382" t="s">
        <v>4177</v>
      </c>
      <c r="J12382" t="s">
        <v>40566</v>
      </c>
      <c r="K12382" t="s">
        <v>42773</v>
      </c>
      <c r="M12382" t="s">
        <v>43036</v>
      </c>
      <c r="N12382" t="s">
        <v>47424</v>
      </c>
      <c r="O12382" t="s">
        <v>47425</v>
      </c>
      <c r="P12382">
        <v>0</v>
      </c>
      <c r="Q12382">
        <v>0</v>
      </c>
      <c r="R12382" t="s">
        <v>47439</v>
      </c>
      <c r="S12382" t="s">
        <v>47860</v>
      </c>
      <c r="T12382" t="s">
        <v>49159</v>
      </c>
      <c r="U12382" t="s">
        <v>59821</v>
      </c>
      <c r="W12382" t="s">
        <v>43036</v>
      </c>
      <c r="X12382" t="s">
        <v>47444</v>
      </c>
    </row>
    <row r="12383" spans="1:24">
      <c r="A12383">
        <f>HYPERLINK("https://www.philgeps.gov.ph/GEPSNONPILOT/Tender/SplashBidNoticeAbstractUI.aspx?menuIndex=3&amp;refID=7139125&amp;Result=3","7139125")</f>
        <v>0</v>
      </c>
      <c r="B12383" t="s">
        <v>3566</v>
      </c>
      <c r="C12383" t="s">
        <v>15563</v>
      </c>
      <c r="D12383" t="s">
        <v>19059</v>
      </c>
      <c r="E12383" t="s">
        <v>29698</v>
      </c>
      <c r="F12383" t="s">
        <v>32831</v>
      </c>
      <c r="G12383" t="s">
        <v>32839</v>
      </c>
      <c r="H12383" t="s">
        <v>32849</v>
      </c>
      <c r="I12383" t="s">
        <v>4177</v>
      </c>
      <c r="J12383" t="s">
        <v>40567</v>
      </c>
      <c r="K12383" t="s">
        <v>42812</v>
      </c>
      <c r="M12383" t="s">
        <v>46922</v>
      </c>
      <c r="N12383" t="s">
        <v>47424</v>
      </c>
      <c r="O12383" t="s">
        <v>47425</v>
      </c>
      <c r="Q12383">
        <v>17</v>
      </c>
      <c r="R12383" t="s">
        <v>47439</v>
      </c>
      <c r="S12383" t="s">
        <v>47917</v>
      </c>
      <c r="T12383" t="s">
        <v>49073</v>
      </c>
      <c r="U12383" t="s">
        <v>59822</v>
      </c>
      <c r="W12383" t="s">
        <v>46922</v>
      </c>
      <c r="X12383" t="s">
        <v>47440</v>
      </c>
    </row>
    <row r="12384" spans="1:24">
      <c r="A12384">
        <f>HYPERLINK("https://www.philgeps.gov.ph/GEPSNONPILOT/Tender/SplashBidNoticeAbstractUI.aspx?menuIndex=3&amp;refID=7137776&amp;Result=3","7137776")</f>
        <v>0</v>
      </c>
      <c r="B12384" t="s">
        <v>1011</v>
      </c>
      <c r="C12384" t="s">
        <v>15564</v>
      </c>
      <c r="D12384" t="s">
        <v>19017</v>
      </c>
      <c r="E12384" t="s">
        <v>29699</v>
      </c>
      <c r="F12384" t="s">
        <v>32831</v>
      </c>
      <c r="G12384" t="s">
        <v>32838</v>
      </c>
      <c r="H12384" t="s">
        <v>32848</v>
      </c>
      <c r="I12384" t="s">
        <v>4487</v>
      </c>
      <c r="J12384" t="s">
        <v>32985</v>
      </c>
      <c r="K12384" t="s">
        <v>42730</v>
      </c>
      <c r="M12384" t="s">
        <v>44060</v>
      </c>
      <c r="N12384" t="s">
        <v>47424</v>
      </c>
      <c r="O12384" t="s">
        <v>47425</v>
      </c>
      <c r="P12384">
        <v>0</v>
      </c>
      <c r="Q12384">
        <v>4</v>
      </c>
      <c r="R12384" t="s">
        <v>47439</v>
      </c>
      <c r="S12384" t="s">
        <v>47860</v>
      </c>
      <c r="T12384" t="s">
        <v>49111</v>
      </c>
      <c r="U12384" t="s">
        <v>59823</v>
      </c>
      <c r="W12384" t="s">
        <v>44060</v>
      </c>
      <c r="X12384" t="s">
        <v>47441</v>
      </c>
    </row>
    <row r="12385" spans="1:24">
      <c r="A12385">
        <f>HYPERLINK("https://www.philgeps.gov.ph/GEPSNONPILOT/Tender/SplashBidNoticeAbstractUI.aspx?menuIndex=3&amp;refID=7134226&amp;Result=3","7134226")</f>
        <v>0</v>
      </c>
      <c r="B12385" t="s">
        <v>39</v>
      </c>
      <c r="C12385" t="s">
        <v>15565</v>
      </c>
      <c r="D12385" t="s">
        <v>19029</v>
      </c>
      <c r="E12385" t="s">
        <v>29700</v>
      </c>
      <c r="F12385" t="s">
        <v>32831</v>
      </c>
      <c r="G12385" t="s">
        <v>32839</v>
      </c>
      <c r="H12385" t="s">
        <v>32849</v>
      </c>
      <c r="I12385" t="s">
        <v>4177</v>
      </c>
      <c r="J12385" t="s">
        <v>33017</v>
      </c>
      <c r="K12385" t="s">
        <v>42763</v>
      </c>
      <c r="M12385" t="s">
        <v>43036</v>
      </c>
      <c r="N12385" t="s">
        <v>47424</v>
      </c>
      <c r="O12385" t="s">
        <v>47425</v>
      </c>
      <c r="P12385">
        <v>0</v>
      </c>
      <c r="Q12385">
        <v>0</v>
      </c>
      <c r="R12385" t="s">
        <v>47439</v>
      </c>
      <c r="S12385" t="s">
        <v>47860</v>
      </c>
      <c r="T12385" t="s">
        <v>49159</v>
      </c>
      <c r="U12385" t="s">
        <v>59824</v>
      </c>
      <c r="W12385" t="s">
        <v>43036</v>
      </c>
      <c r="X12385" t="s">
        <v>47444</v>
      </c>
    </row>
    <row r="12386" spans="1:24">
      <c r="A12386">
        <f>HYPERLINK("https://www.philgeps.gov.ph/GEPSNONPILOT/Tender/SplashBidNoticeAbstractUI.aspx?menuIndex=3&amp;refID=7134489&amp;Result=3","7134489")</f>
        <v>0</v>
      </c>
      <c r="B12386" t="s">
        <v>1552</v>
      </c>
      <c r="C12386" t="s">
        <v>15566</v>
      </c>
      <c r="D12386" t="s">
        <v>19074</v>
      </c>
      <c r="E12386" t="s">
        <v>29701</v>
      </c>
      <c r="F12386" t="s">
        <v>32831</v>
      </c>
      <c r="G12386" t="s">
        <v>32839</v>
      </c>
      <c r="H12386" t="s">
        <v>32848</v>
      </c>
      <c r="I12386" t="s">
        <v>10805</v>
      </c>
      <c r="J12386" t="s">
        <v>33484</v>
      </c>
      <c r="K12386" t="s">
        <v>42730</v>
      </c>
      <c r="M12386" t="s">
        <v>44659</v>
      </c>
      <c r="N12386" t="s">
        <v>47424</v>
      </c>
      <c r="O12386" t="s">
        <v>47425</v>
      </c>
      <c r="P12386">
        <v>0</v>
      </c>
      <c r="Q12386">
        <v>2</v>
      </c>
      <c r="R12386" t="s">
        <v>47439</v>
      </c>
      <c r="S12386" t="s">
        <v>47860</v>
      </c>
      <c r="T12386" t="s">
        <v>49069</v>
      </c>
      <c r="U12386" t="s">
        <v>59825</v>
      </c>
      <c r="V12386" t="s">
        <v>64003</v>
      </c>
      <c r="W12386" t="s">
        <v>44659</v>
      </c>
      <c r="X12386" t="s">
        <v>47444</v>
      </c>
    </row>
    <row r="12387" spans="1:24">
      <c r="A12387">
        <f>HYPERLINK("https://www.philgeps.gov.ph/GEPSNONPILOT/Tender/SplashBidNoticeAbstractUI.aspx?menuIndex=3&amp;refID=7134049&amp;Result=3","7134049")</f>
        <v>0</v>
      </c>
      <c r="B12387" t="s">
        <v>39</v>
      </c>
      <c r="C12387" t="s">
        <v>15567</v>
      </c>
      <c r="D12387" t="s">
        <v>19029</v>
      </c>
      <c r="E12387" t="s">
        <v>29702</v>
      </c>
      <c r="F12387" t="s">
        <v>32831</v>
      </c>
      <c r="G12387" t="s">
        <v>32839</v>
      </c>
      <c r="H12387" t="s">
        <v>32849</v>
      </c>
      <c r="I12387" t="s">
        <v>4177</v>
      </c>
      <c r="J12387" t="s">
        <v>40568</v>
      </c>
      <c r="K12387" t="s">
        <v>42781</v>
      </c>
      <c r="M12387" t="s">
        <v>43036</v>
      </c>
      <c r="N12387" t="s">
        <v>47424</v>
      </c>
      <c r="O12387" t="s">
        <v>47425</v>
      </c>
      <c r="P12387">
        <v>0</v>
      </c>
      <c r="Q12387">
        <v>1</v>
      </c>
      <c r="R12387" t="s">
        <v>47439</v>
      </c>
      <c r="S12387" t="s">
        <v>47860</v>
      </c>
      <c r="T12387" t="s">
        <v>49069</v>
      </c>
      <c r="U12387" t="s">
        <v>59826</v>
      </c>
      <c r="W12387" t="s">
        <v>43036</v>
      </c>
      <c r="X12387" t="s">
        <v>47444</v>
      </c>
    </row>
    <row r="12388" spans="1:24">
      <c r="A12388">
        <f>HYPERLINK("https://www.philgeps.gov.ph/GEPSNONPILOT/Tender/SplashBidNoticeAbstractUI.aspx?menuIndex=3&amp;refID=7134302&amp;Result=3","7134302")</f>
        <v>0</v>
      </c>
      <c r="B12388" t="s">
        <v>39</v>
      </c>
      <c r="C12388" t="s">
        <v>15568</v>
      </c>
      <c r="D12388" t="s">
        <v>19029</v>
      </c>
      <c r="E12388" t="s">
        <v>29703</v>
      </c>
      <c r="F12388" t="s">
        <v>32831</v>
      </c>
      <c r="G12388" t="s">
        <v>32839</v>
      </c>
      <c r="H12388" t="s">
        <v>32849</v>
      </c>
      <c r="I12388" t="s">
        <v>4177</v>
      </c>
      <c r="J12388" t="s">
        <v>33018</v>
      </c>
      <c r="K12388" t="s">
        <v>42745</v>
      </c>
      <c r="M12388" t="s">
        <v>43036</v>
      </c>
      <c r="N12388" t="s">
        <v>47424</v>
      </c>
      <c r="O12388" t="s">
        <v>47425</v>
      </c>
      <c r="P12388">
        <v>0</v>
      </c>
      <c r="Q12388">
        <v>0</v>
      </c>
      <c r="R12388" t="s">
        <v>47439</v>
      </c>
      <c r="S12388" t="s">
        <v>47860</v>
      </c>
      <c r="T12388" t="s">
        <v>49159</v>
      </c>
      <c r="U12388" t="s">
        <v>59827</v>
      </c>
      <c r="W12388" t="s">
        <v>43036</v>
      </c>
      <c r="X12388" t="s">
        <v>47444</v>
      </c>
    </row>
    <row r="12389" spans="1:24">
      <c r="A12389">
        <f>HYPERLINK("https://www.philgeps.gov.ph/GEPSNONPILOT/Tender/SplashBidNoticeAbstractUI.aspx?menuIndex=3&amp;refID=7140884&amp;Result=3","7140884")</f>
        <v>0</v>
      </c>
      <c r="B12389" t="s">
        <v>3550</v>
      </c>
      <c r="C12389" t="s">
        <v>15569</v>
      </c>
      <c r="D12389" t="s">
        <v>19045</v>
      </c>
      <c r="E12389" t="s">
        <v>19219</v>
      </c>
      <c r="F12389" t="s">
        <v>32831</v>
      </c>
      <c r="G12389" t="s">
        <v>32840</v>
      </c>
      <c r="H12389" t="s">
        <v>32848</v>
      </c>
      <c r="I12389" t="s">
        <v>7416</v>
      </c>
      <c r="J12389" t="s">
        <v>40569</v>
      </c>
      <c r="K12389" t="s">
        <v>42727</v>
      </c>
      <c r="M12389" t="s">
        <v>46905</v>
      </c>
      <c r="N12389" t="s">
        <v>47424</v>
      </c>
      <c r="O12389" t="s">
        <v>47425</v>
      </c>
      <c r="P12389">
        <v>0</v>
      </c>
      <c r="Q12389">
        <v>0</v>
      </c>
      <c r="R12389" t="s">
        <v>47439</v>
      </c>
      <c r="S12389" t="s">
        <v>47860</v>
      </c>
      <c r="T12389" t="s">
        <v>49105</v>
      </c>
      <c r="U12389" t="s">
        <v>59828</v>
      </c>
      <c r="W12389" t="s">
        <v>46905</v>
      </c>
      <c r="X12389" t="s">
        <v>47440</v>
      </c>
    </row>
    <row r="12390" spans="1:24">
      <c r="A12390">
        <f>HYPERLINK("https://www.philgeps.gov.ph/GEPSNONPILOT/Tender/SplashBidNoticeAbstractUI.aspx?menuIndex=3&amp;refID=7134096&amp;Result=3","7134096")</f>
        <v>0</v>
      </c>
      <c r="B12390" t="s">
        <v>39</v>
      </c>
      <c r="C12390" t="s">
        <v>15570</v>
      </c>
      <c r="D12390" t="s">
        <v>19029</v>
      </c>
      <c r="E12390" t="s">
        <v>29704</v>
      </c>
      <c r="F12390" t="s">
        <v>32831</v>
      </c>
      <c r="G12390" t="s">
        <v>32839</v>
      </c>
      <c r="H12390" t="s">
        <v>32849</v>
      </c>
      <c r="I12390" t="s">
        <v>4177</v>
      </c>
      <c r="J12390" t="s">
        <v>40570</v>
      </c>
      <c r="K12390" t="s">
        <v>42757</v>
      </c>
      <c r="M12390" t="s">
        <v>43036</v>
      </c>
      <c r="N12390" t="s">
        <v>47424</v>
      </c>
      <c r="O12390" t="s">
        <v>47425</v>
      </c>
      <c r="P12390">
        <v>0</v>
      </c>
      <c r="Q12390">
        <v>0</v>
      </c>
      <c r="R12390" t="s">
        <v>47439</v>
      </c>
      <c r="S12390" t="s">
        <v>47860</v>
      </c>
      <c r="T12390" t="s">
        <v>49069</v>
      </c>
      <c r="U12390" t="s">
        <v>59829</v>
      </c>
      <c r="W12390" t="s">
        <v>43036</v>
      </c>
      <c r="X12390" t="s">
        <v>47444</v>
      </c>
    </row>
    <row r="12391" spans="1:24">
      <c r="A12391">
        <f>HYPERLINK("https://www.philgeps.gov.ph/GEPSNONPILOT/Tender/SplashBidNoticeAbstractUI.aspx?menuIndex=3&amp;refID=7106407&amp;Result=3","7106407")</f>
        <v>0</v>
      </c>
      <c r="B12391" t="s">
        <v>2061</v>
      </c>
      <c r="C12391" t="s">
        <v>15571</v>
      </c>
      <c r="D12391" t="s">
        <v>19045</v>
      </c>
      <c r="E12391" t="s">
        <v>29705</v>
      </c>
      <c r="F12391" t="s">
        <v>32831</v>
      </c>
      <c r="G12391" t="s">
        <v>32839</v>
      </c>
      <c r="H12391" t="s">
        <v>32848</v>
      </c>
      <c r="I12391" t="s">
        <v>7416</v>
      </c>
      <c r="J12391" t="s">
        <v>40571</v>
      </c>
      <c r="K12391" t="s">
        <v>42727</v>
      </c>
      <c r="M12391" t="s">
        <v>45231</v>
      </c>
      <c r="N12391" t="s">
        <v>47424</v>
      </c>
      <c r="O12391" t="s">
        <v>47425</v>
      </c>
      <c r="P12391">
        <v>0</v>
      </c>
      <c r="Q12391">
        <v>2</v>
      </c>
      <c r="R12391" t="s">
        <v>47439</v>
      </c>
      <c r="S12391" t="s">
        <v>47860</v>
      </c>
      <c r="T12391" t="s">
        <v>49609</v>
      </c>
      <c r="U12391" t="s">
        <v>54427</v>
      </c>
      <c r="V12391" t="s">
        <v>64004</v>
      </c>
      <c r="W12391" t="s">
        <v>45231</v>
      </c>
      <c r="X12391" t="s">
        <v>47456</v>
      </c>
    </row>
    <row r="12392" spans="1:24">
      <c r="A12392">
        <f>HYPERLINK("https://www.philgeps.gov.ph/GEPSNONPILOT/Tender/SplashBidNoticeAbstractUI.aspx?menuIndex=3&amp;refID=7118062-2&amp;Result=3","7118062-2")</f>
        <v>0</v>
      </c>
      <c r="B12392" t="s">
        <v>2038</v>
      </c>
      <c r="C12392" t="s">
        <v>15572</v>
      </c>
      <c r="D12392" t="s">
        <v>19037</v>
      </c>
      <c r="E12392" t="s">
        <v>29706</v>
      </c>
      <c r="F12392" t="s">
        <v>32831</v>
      </c>
      <c r="G12392" t="s">
        <v>32839</v>
      </c>
      <c r="H12392" t="s">
        <v>14069</v>
      </c>
      <c r="I12392" t="s">
        <v>14069</v>
      </c>
      <c r="J12392" t="s">
        <v>40572</v>
      </c>
      <c r="K12392" t="s">
        <v>42747</v>
      </c>
      <c r="M12392" t="s">
        <v>46923</v>
      </c>
      <c r="N12392" t="s">
        <v>47424</v>
      </c>
      <c r="O12392" t="s">
        <v>47425</v>
      </c>
      <c r="Q12392">
        <v>0</v>
      </c>
      <c r="R12392" t="s">
        <v>47439</v>
      </c>
      <c r="S12392" t="s">
        <v>47918</v>
      </c>
      <c r="T12392" t="s">
        <v>49192</v>
      </c>
      <c r="U12392" t="s">
        <v>59830</v>
      </c>
      <c r="V12392" t="s">
        <v>64005</v>
      </c>
      <c r="W12392" t="s">
        <v>46923</v>
      </c>
      <c r="X12392" t="s">
        <v>47440</v>
      </c>
    </row>
    <row r="12393" spans="1:24">
      <c r="A12393">
        <f>HYPERLINK("https://www.philgeps.gov.ph/GEPSNONPILOT/Tender/SplashBidNoticeAbstractUI.aspx?menuIndex=3&amp;refID=7141049&amp;Result=3","7141049")</f>
        <v>0</v>
      </c>
      <c r="B12393" t="s">
        <v>3544</v>
      </c>
      <c r="C12393" t="s">
        <v>15573</v>
      </c>
      <c r="D12393" t="s">
        <v>19077</v>
      </c>
      <c r="E12393" t="s">
        <v>29707</v>
      </c>
      <c r="F12393" t="s">
        <v>32831</v>
      </c>
      <c r="G12393" t="s">
        <v>32839</v>
      </c>
      <c r="H12393" t="s">
        <v>32849</v>
      </c>
      <c r="I12393" t="s">
        <v>4177</v>
      </c>
      <c r="J12393" t="s">
        <v>40573</v>
      </c>
      <c r="K12393" t="s">
        <v>42744</v>
      </c>
      <c r="M12393" t="s">
        <v>46898</v>
      </c>
      <c r="N12393" t="s">
        <v>47424</v>
      </c>
      <c r="O12393" t="s">
        <v>47425</v>
      </c>
      <c r="P12393">
        <v>0</v>
      </c>
      <c r="Q12393">
        <v>0</v>
      </c>
      <c r="R12393" t="s">
        <v>47439</v>
      </c>
      <c r="S12393" t="s">
        <v>47860</v>
      </c>
      <c r="T12393" t="s">
        <v>49059</v>
      </c>
      <c r="U12393" t="s">
        <v>59831</v>
      </c>
      <c r="W12393" t="s">
        <v>46898</v>
      </c>
      <c r="X12393" t="s">
        <v>47440</v>
      </c>
    </row>
    <row r="12394" spans="1:24">
      <c r="A12394">
        <f>HYPERLINK("https://www.philgeps.gov.ph/GEPSNONPILOT/Tender/SplashBidNoticeAbstractUI.aspx?menuIndex=3&amp;refID=7133798&amp;Result=3","7133798")</f>
        <v>0</v>
      </c>
      <c r="B12394" t="s">
        <v>99</v>
      </c>
      <c r="C12394" t="s">
        <v>15574</v>
      </c>
      <c r="D12394" t="s">
        <v>19054</v>
      </c>
      <c r="E12394" t="s">
        <v>29708</v>
      </c>
      <c r="F12394" t="s">
        <v>32831</v>
      </c>
      <c r="G12394" t="s">
        <v>32839</v>
      </c>
      <c r="H12394" t="s">
        <v>32848</v>
      </c>
      <c r="I12394" t="s">
        <v>32870</v>
      </c>
      <c r="J12394" t="s">
        <v>33066</v>
      </c>
      <c r="K12394" t="s">
        <v>42730</v>
      </c>
      <c r="M12394" t="s">
        <v>43096</v>
      </c>
      <c r="N12394" t="s">
        <v>47424</v>
      </c>
      <c r="O12394" t="s">
        <v>47425</v>
      </c>
      <c r="P12394">
        <v>0</v>
      </c>
      <c r="Q12394">
        <v>0</v>
      </c>
      <c r="R12394" t="s">
        <v>47439</v>
      </c>
      <c r="S12394" t="s">
        <v>47860</v>
      </c>
      <c r="T12394" t="s">
        <v>49069</v>
      </c>
      <c r="U12394" t="s">
        <v>56583</v>
      </c>
      <c r="V12394" t="s">
        <v>62643</v>
      </c>
      <c r="W12394" t="s">
        <v>43096</v>
      </c>
      <c r="X12394" t="s">
        <v>47444</v>
      </c>
    </row>
    <row r="12395" spans="1:24">
      <c r="A12395">
        <f>HYPERLINK("https://www.philgeps.gov.ph/GEPSNONPILOT/Tender/SplashBidNoticeAbstractUI.aspx?menuIndex=3&amp;refID=7145030&amp;Result=3","7145030")</f>
        <v>0</v>
      </c>
      <c r="B12395" t="s">
        <v>3483</v>
      </c>
      <c r="C12395" t="s">
        <v>15575</v>
      </c>
      <c r="D12395" t="s">
        <v>19088</v>
      </c>
      <c r="E12395" t="s">
        <v>29709</v>
      </c>
      <c r="F12395" t="s">
        <v>32831</v>
      </c>
      <c r="G12395" t="s">
        <v>32839</v>
      </c>
      <c r="H12395" t="s">
        <v>32848</v>
      </c>
      <c r="I12395" t="s">
        <v>5667</v>
      </c>
      <c r="J12395" t="s">
        <v>40574</v>
      </c>
      <c r="K12395" t="s">
        <v>42775</v>
      </c>
      <c r="M12395" t="s">
        <v>46829</v>
      </c>
      <c r="N12395" t="s">
        <v>47424</v>
      </c>
      <c r="O12395" t="s">
        <v>47425</v>
      </c>
      <c r="Q12395">
        <v>4</v>
      </c>
      <c r="R12395" t="s">
        <v>47438</v>
      </c>
      <c r="S12395" t="s">
        <v>47919</v>
      </c>
      <c r="T12395" t="s">
        <v>49310</v>
      </c>
      <c r="U12395" t="s">
        <v>59488</v>
      </c>
      <c r="W12395" t="s">
        <v>46829</v>
      </c>
      <c r="X12395" t="s">
        <v>47439</v>
      </c>
    </row>
    <row r="12396" spans="1:24">
      <c r="A12396">
        <f>HYPERLINK("https://www.philgeps.gov.ph/GEPSNONPILOT/Tender/SplashBidNoticeAbstractUI.aspx?menuIndex=3&amp;refID=7145063&amp;Result=3","7145063")</f>
        <v>0</v>
      </c>
      <c r="B12396" t="s">
        <v>1268</v>
      </c>
      <c r="C12396" t="s">
        <v>15576</v>
      </c>
      <c r="E12396" t="s">
        <v>29710</v>
      </c>
      <c r="F12396" t="s">
        <v>32831</v>
      </c>
      <c r="G12396" t="s">
        <v>32839</v>
      </c>
      <c r="H12396" t="s">
        <v>32848</v>
      </c>
      <c r="I12396" t="s">
        <v>9577</v>
      </c>
      <c r="J12396" t="s">
        <v>40575</v>
      </c>
      <c r="K12396" t="s">
        <v>42730</v>
      </c>
      <c r="M12396" t="s">
        <v>44338</v>
      </c>
      <c r="N12396" t="s">
        <v>47424</v>
      </c>
      <c r="O12396" t="s">
        <v>47425</v>
      </c>
      <c r="P12396">
        <v>0</v>
      </c>
      <c r="Q12396">
        <v>0</v>
      </c>
      <c r="R12396" t="s">
        <v>47438</v>
      </c>
      <c r="S12396" t="s">
        <v>47793</v>
      </c>
      <c r="T12396" t="s">
        <v>49288</v>
      </c>
      <c r="U12396" t="s">
        <v>59832</v>
      </c>
      <c r="W12396" t="s">
        <v>44338</v>
      </c>
      <c r="X12396" t="s">
        <v>47439</v>
      </c>
    </row>
    <row r="12397" spans="1:24">
      <c r="A12397">
        <f>HYPERLINK("https://www.philgeps.gov.ph/GEPSNONPILOT/Tender/SplashBidNoticeAbstractUI.aspx?menuIndex=3&amp;refID=7141299&amp;Result=3","7141299")</f>
        <v>0</v>
      </c>
      <c r="B12397" t="s">
        <v>1753</v>
      </c>
      <c r="C12397" t="s">
        <v>15577</v>
      </c>
      <c r="D12397" t="s">
        <v>19104</v>
      </c>
      <c r="E12397" t="s">
        <v>29711</v>
      </c>
      <c r="F12397" t="s">
        <v>32831</v>
      </c>
      <c r="G12397" t="s">
        <v>32839</v>
      </c>
      <c r="H12397" t="s">
        <v>32849</v>
      </c>
      <c r="I12397" t="s">
        <v>4177</v>
      </c>
      <c r="J12397" t="s">
        <v>40576</v>
      </c>
      <c r="K12397" t="s">
        <v>42746</v>
      </c>
      <c r="M12397" t="s">
        <v>44877</v>
      </c>
      <c r="N12397" t="s">
        <v>47424</v>
      </c>
      <c r="O12397" t="s">
        <v>47425</v>
      </c>
      <c r="P12397">
        <v>0</v>
      </c>
      <c r="Q12397">
        <v>3</v>
      </c>
      <c r="R12397" t="s">
        <v>47439</v>
      </c>
      <c r="S12397" t="s">
        <v>47860</v>
      </c>
      <c r="T12397" t="s">
        <v>49069</v>
      </c>
      <c r="U12397" t="s">
        <v>59833</v>
      </c>
      <c r="W12397" t="s">
        <v>44877</v>
      </c>
      <c r="X12397" t="s">
        <v>47440</v>
      </c>
    </row>
    <row r="12398" spans="1:24">
      <c r="A12398">
        <f>HYPERLINK("https://www.philgeps.gov.ph/GEPSNONPILOT/Tender/SplashBidNoticeAbstractUI.aspx?menuIndex=3&amp;refID=7123296&amp;Result=3","7123296")</f>
        <v>0</v>
      </c>
      <c r="B12398" t="s">
        <v>58</v>
      </c>
      <c r="C12398" t="s">
        <v>15578</v>
      </c>
      <c r="D12398" t="s">
        <v>19041</v>
      </c>
      <c r="E12398" t="s">
        <v>20017</v>
      </c>
      <c r="F12398" t="s">
        <v>32831</v>
      </c>
      <c r="G12398" t="s">
        <v>32839</v>
      </c>
      <c r="H12398" t="s">
        <v>32849</v>
      </c>
      <c r="I12398" t="s">
        <v>4177</v>
      </c>
      <c r="J12398" t="s">
        <v>40577</v>
      </c>
      <c r="K12398" t="s">
        <v>42932</v>
      </c>
      <c r="M12398" t="s">
        <v>43055</v>
      </c>
      <c r="N12398" t="s">
        <v>47424</v>
      </c>
      <c r="O12398" t="s">
        <v>47425</v>
      </c>
      <c r="P12398">
        <v>0</v>
      </c>
      <c r="Q12398">
        <v>0</v>
      </c>
      <c r="R12398" t="s">
        <v>47439</v>
      </c>
      <c r="S12398" t="s">
        <v>47860</v>
      </c>
      <c r="T12398" t="s">
        <v>49068</v>
      </c>
      <c r="U12398" t="s">
        <v>59834</v>
      </c>
      <c r="W12398" t="s">
        <v>43055</v>
      </c>
      <c r="X12398" t="s">
        <v>47447</v>
      </c>
    </row>
    <row r="12399" spans="1:24">
      <c r="A12399">
        <f>HYPERLINK("https://www.philgeps.gov.ph/GEPSNONPILOT/Tender/SplashBidNoticeAbstractUI.aspx?menuIndex=3&amp;refID=7145042&amp;Result=3","7145042")</f>
        <v>0</v>
      </c>
      <c r="B12399" t="s">
        <v>775</v>
      </c>
      <c r="C12399" t="s">
        <v>15579</v>
      </c>
      <c r="D12399" t="s">
        <v>19030</v>
      </c>
      <c r="E12399" t="s">
        <v>29712</v>
      </c>
      <c r="F12399" t="s">
        <v>32831</v>
      </c>
      <c r="G12399" t="s">
        <v>32839</v>
      </c>
      <c r="H12399" t="s">
        <v>32848</v>
      </c>
      <c r="I12399" t="s">
        <v>32898</v>
      </c>
      <c r="J12399" t="s">
        <v>40578</v>
      </c>
      <c r="K12399" t="s">
        <v>42730</v>
      </c>
      <c r="M12399" t="s">
        <v>43804</v>
      </c>
      <c r="N12399" t="s">
        <v>47424</v>
      </c>
      <c r="O12399" t="s">
        <v>47425</v>
      </c>
      <c r="P12399">
        <v>0</v>
      </c>
      <c r="Q12399">
        <v>3</v>
      </c>
      <c r="R12399" t="s">
        <v>47438</v>
      </c>
      <c r="S12399" t="s">
        <v>47793</v>
      </c>
      <c r="T12399" t="s">
        <v>49066</v>
      </c>
      <c r="U12399" t="s">
        <v>59835</v>
      </c>
      <c r="W12399" t="s">
        <v>43804</v>
      </c>
      <c r="X12399" t="s">
        <v>47439</v>
      </c>
    </row>
    <row r="12400" spans="1:24">
      <c r="A12400">
        <f>HYPERLINK("https://www.philgeps.gov.ph/GEPSNONPILOT/Tender/SplashBidNoticeAbstractUI.aspx?menuIndex=3&amp;refID=7141292&amp;Result=3","7141292")</f>
        <v>0</v>
      </c>
      <c r="B12400" t="s">
        <v>2738</v>
      </c>
      <c r="C12400" t="s">
        <v>15580</v>
      </c>
      <c r="D12400" t="s">
        <v>19078</v>
      </c>
      <c r="E12400" t="s">
        <v>29713</v>
      </c>
      <c r="F12400" t="s">
        <v>32831</v>
      </c>
      <c r="G12400" t="s">
        <v>32839</v>
      </c>
      <c r="H12400" t="s">
        <v>32848</v>
      </c>
      <c r="I12400" t="s">
        <v>10805</v>
      </c>
      <c r="J12400" t="s">
        <v>34070</v>
      </c>
      <c r="K12400" t="s">
        <v>42727</v>
      </c>
      <c r="M12400" t="s">
        <v>45966</v>
      </c>
      <c r="N12400" t="s">
        <v>47424</v>
      </c>
      <c r="O12400" t="s">
        <v>47425</v>
      </c>
      <c r="P12400">
        <v>0</v>
      </c>
      <c r="Q12400">
        <v>0</v>
      </c>
      <c r="R12400" t="s">
        <v>47439</v>
      </c>
      <c r="S12400" t="s">
        <v>47860</v>
      </c>
      <c r="T12400" t="s">
        <v>49066</v>
      </c>
      <c r="U12400" t="s">
        <v>59775</v>
      </c>
      <c r="W12400" t="s">
        <v>45966</v>
      </c>
      <c r="X12400" t="s">
        <v>47440</v>
      </c>
    </row>
    <row r="12401" spans="1:24">
      <c r="A12401">
        <f>HYPERLINK("https://www.philgeps.gov.ph/GEPSNONPILOT/Tender/SplashBidNoticeAbstractUI.aspx?menuIndex=3&amp;refID=7106502&amp;Result=3","7106502")</f>
        <v>0</v>
      </c>
      <c r="B12401" t="s">
        <v>2061</v>
      </c>
      <c r="C12401" t="s">
        <v>15581</v>
      </c>
      <c r="D12401" t="s">
        <v>19045</v>
      </c>
      <c r="E12401" t="s">
        <v>29714</v>
      </c>
      <c r="F12401" t="s">
        <v>32831</v>
      </c>
      <c r="G12401" t="s">
        <v>32839</v>
      </c>
      <c r="H12401" t="s">
        <v>32849</v>
      </c>
      <c r="I12401" t="s">
        <v>4177</v>
      </c>
      <c r="J12401" t="s">
        <v>40579</v>
      </c>
      <c r="K12401" t="s">
        <v>42757</v>
      </c>
      <c r="M12401" t="s">
        <v>45231</v>
      </c>
      <c r="N12401" t="s">
        <v>47424</v>
      </c>
      <c r="O12401" t="s">
        <v>47425</v>
      </c>
      <c r="P12401">
        <v>0</v>
      </c>
      <c r="Q12401">
        <v>4</v>
      </c>
      <c r="R12401" t="s">
        <v>47439</v>
      </c>
      <c r="S12401" t="s">
        <v>47860</v>
      </c>
      <c r="T12401" t="s">
        <v>49609</v>
      </c>
      <c r="U12401" t="s">
        <v>54427</v>
      </c>
      <c r="V12401" t="s">
        <v>64006</v>
      </c>
      <c r="W12401" t="s">
        <v>45231</v>
      </c>
      <c r="X12401" t="s">
        <v>47456</v>
      </c>
    </row>
    <row r="12402" spans="1:24">
      <c r="A12402">
        <f>HYPERLINK("https://www.philgeps.gov.ph/GEPSNONPILOT/Tender/SplashBidNoticeAbstractUI.aspx?menuIndex=3&amp;refID=7141294&amp;Result=3","7141294")</f>
        <v>0</v>
      </c>
      <c r="B12402" t="s">
        <v>272</v>
      </c>
      <c r="C12402" t="s">
        <v>15582</v>
      </c>
      <c r="D12402" t="s">
        <v>19077</v>
      </c>
      <c r="E12402" t="s">
        <v>29715</v>
      </c>
      <c r="F12402" t="s">
        <v>32831</v>
      </c>
      <c r="G12402" t="s">
        <v>32839</v>
      </c>
      <c r="H12402" t="s">
        <v>32848</v>
      </c>
      <c r="I12402" t="s">
        <v>7751</v>
      </c>
      <c r="J12402" t="s">
        <v>34921</v>
      </c>
      <c r="K12402" t="s">
        <v>42732</v>
      </c>
      <c r="M12402" t="s">
        <v>46188</v>
      </c>
      <c r="N12402" t="s">
        <v>47424</v>
      </c>
      <c r="O12402" t="s">
        <v>47425</v>
      </c>
      <c r="Q12402">
        <v>5</v>
      </c>
      <c r="R12402" t="s">
        <v>47439</v>
      </c>
      <c r="S12402" t="s">
        <v>47920</v>
      </c>
      <c r="T12402" t="s">
        <v>49221</v>
      </c>
      <c r="U12402" t="s">
        <v>59836</v>
      </c>
      <c r="V12402" t="s">
        <v>63623</v>
      </c>
      <c r="W12402" t="s">
        <v>46188</v>
      </c>
      <c r="X12402" t="s">
        <v>47440</v>
      </c>
    </row>
    <row r="12403" spans="1:24">
      <c r="A12403">
        <f>HYPERLINK("https://www.philgeps.gov.ph/GEPSNONPILOT/Tender/SplashBidNoticeAbstractUI.aspx?menuIndex=3&amp;refID=7141320&amp;Result=3","7141320")</f>
        <v>0</v>
      </c>
      <c r="B12403" t="s">
        <v>823</v>
      </c>
      <c r="C12403" t="s">
        <v>15583</v>
      </c>
      <c r="D12403" t="s">
        <v>19062</v>
      </c>
      <c r="E12403" t="s">
        <v>20052</v>
      </c>
      <c r="F12403" t="s">
        <v>32831</v>
      </c>
      <c r="G12403" t="s">
        <v>32839</v>
      </c>
      <c r="H12403" t="s">
        <v>32848</v>
      </c>
      <c r="I12403" t="s">
        <v>32883</v>
      </c>
      <c r="J12403" t="s">
        <v>40580</v>
      </c>
      <c r="K12403" t="s">
        <v>42747</v>
      </c>
      <c r="M12403" t="s">
        <v>46629</v>
      </c>
      <c r="N12403" t="s">
        <v>47424</v>
      </c>
      <c r="O12403" t="s">
        <v>47425</v>
      </c>
      <c r="Q12403">
        <v>23</v>
      </c>
      <c r="R12403" t="s">
        <v>47439</v>
      </c>
      <c r="S12403" t="s">
        <v>47921</v>
      </c>
      <c r="T12403" t="s">
        <v>49087</v>
      </c>
      <c r="U12403" t="s">
        <v>59837</v>
      </c>
      <c r="W12403" t="s">
        <v>46629</v>
      </c>
      <c r="X12403" t="s">
        <v>47440</v>
      </c>
    </row>
    <row r="12404" spans="1:24">
      <c r="A12404">
        <f>HYPERLINK("https://www.philgeps.gov.ph/GEPSNONPILOT/Tender/SplashBidNoticeAbstractUI.aspx?menuIndex=3&amp;refID=7141311&amp;Result=3","7141311")</f>
        <v>0</v>
      </c>
      <c r="B12404" t="s">
        <v>272</v>
      </c>
      <c r="C12404" t="s">
        <v>15584</v>
      </c>
      <c r="D12404" t="s">
        <v>19077</v>
      </c>
      <c r="E12404" t="s">
        <v>29716</v>
      </c>
      <c r="F12404" t="s">
        <v>32831</v>
      </c>
      <c r="G12404" t="s">
        <v>32839</v>
      </c>
      <c r="H12404" t="s">
        <v>32848</v>
      </c>
      <c r="I12404" t="s">
        <v>32860</v>
      </c>
      <c r="J12404" t="s">
        <v>40581</v>
      </c>
      <c r="K12404" t="s">
        <v>42732</v>
      </c>
      <c r="M12404" t="s">
        <v>46188</v>
      </c>
      <c r="N12404" t="s">
        <v>47424</v>
      </c>
      <c r="O12404" t="s">
        <v>47425</v>
      </c>
      <c r="Q12404">
        <v>14</v>
      </c>
      <c r="R12404" t="s">
        <v>47439</v>
      </c>
      <c r="S12404" t="s">
        <v>47922</v>
      </c>
      <c r="T12404" t="s">
        <v>49221</v>
      </c>
      <c r="U12404" t="s">
        <v>59838</v>
      </c>
      <c r="V12404" t="s">
        <v>63623</v>
      </c>
      <c r="W12404" t="s">
        <v>46188</v>
      </c>
      <c r="X12404" t="s">
        <v>47440</v>
      </c>
    </row>
    <row r="12405" spans="1:24">
      <c r="A12405">
        <f>HYPERLINK("https://www.philgeps.gov.ph/GEPSNONPILOT/Tender/SplashBidNoticeAbstractUI.aspx?menuIndex=3&amp;refID=7141245&amp;Result=3","7141245")</f>
        <v>0</v>
      </c>
      <c r="B12405" t="s">
        <v>3567</v>
      </c>
      <c r="C12405" t="s">
        <v>15585</v>
      </c>
      <c r="D12405" t="s">
        <v>19044</v>
      </c>
      <c r="E12405" t="s">
        <v>29717</v>
      </c>
      <c r="F12405" t="s">
        <v>32831</v>
      </c>
      <c r="G12405" t="s">
        <v>32839</v>
      </c>
      <c r="H12405" t="s">
        <v>32849</v>
      </c>
      <c r="I12405" t="s">
        <v>4177</v>
      </c>
      <c r="J12405" t="s">
        <v>33044</v>
      </c>
      <c r="K12405" t="s">
        <v>42729</v>
      </c>
      <c r="L12405" t="s">
        <v>3567</v>
      </c>
      <c r="M12405" t="s">
        <v>46924</v>
      </c>
      <c r="N12405" t="s">
        <v>47424</v>
      </c>
      <c r="O12405" t="s">
        <v>47425</v>
      </c>
      <c r="P12405">
        <v>0</v>
      </c>
      <c r="Q12405">
        <v>1</v>
      </c>
      <c r="R12405" t="s">
        <v>47439</v>
      </c>
      <c r="S12405" t="s">
        <v>47860</v>
      </c>
      <c r="T12405" t="s">
        <v>49159</v>
      </c>
      <c r="U12405" t="s">
        <v>59839</v>
      </c>
      <c r="W12405" t="s">
        <v>46924</v>
      </c>
      <c r="X12405" t="s">
        <v>47440</v>
      </c>
    </row>
    <row r="12406" spans="1:24">
      <c r="A12406">
        <f>HYPERLINK("https://www.philgeps.gov.ph/GEPSNONPILOT/Tender/SplashBidNoticeAbstractUI.aspx?menuIndex=3&amp;refID=7141310&amp;Result=3","7141310")</f>
        <v>0</v>
      </c>
      <c r="B12406" t="s">
        <v>67</v>
      </c>
      <c r="C12406" t="s">
        <v>15586</v>
      </c>
      <c r="D12406" t="s">
        <v>19079</v>
      </c>
      <c r="E12406" t="s">
        <v>29718</v>
      </c>
      <c r="F12406" t="s">
        <v>32831</v>
      </c>
      <c r="G12406" t="s">
        <v>32842</v>
      </c>
      <c r="H12406" t="s">
        <v>32848</v>
      </c>
      <c r="I12406" t="s">
        <v>4438</v>
      </c>
      <c r="J12406" t="s">
        <v>40582</v>
      </c>
      <c r="K12406" t="s">
        <v>42730</v>
      </c>
      <c r="M12406" t="s">
        <v>44461</v>
      </c>
      <c r="N12406" t="s">
        <v>47424</v>
      </c>
      <c r="O12406" t="s">
        <v>47425</v>
      </c>
      <c r="Q12406">
        <v>4</v>
      </c>
      <c r="R12406" t="s">
        <v>47439</v>
      </c>
      <c r="S12406" t="s">
        <v>47923</v>
      </c>
      <c r="T12406" t="s">
        <v>49166</v>
      </c>
      <c r="U12406" t="s">
        <v>59840</v>
      </c>
      <c r="W12406" t="s">
        <v>44461</v>
      </c>
      <c r="X12406" t="s">
        <v>47440</v>
      </c>
    </row>
    <row r="12407" spans="1:24">
      <c r="A12407">
        <f>HYPERLINK("https://www.philgeps.gov.ph/GEPSNONPILOT/Tender/SplashBidNoticeAbstractUI.aspx?menuIndex=3&amp;refID=7145057&amp;Result=3","7145057")</f>
        <v>0</v>
      </c>
      <c r="B12407" t="s">
        <v>1287</v>
      </c>
      <c r="C12407" t="s">
        <v>15587</v>
      </c>
      <c r="D12407" t="s">
        <v>19017</v>
      </c>
      <c r="E12407" t="s">
        <v>29719</v>
      </c>
      <c r="F12407" t="s">
        <v>32831</v>
      </c>
      <c r="G12407" t="s">
        <v>32840</v>
      </c>
      <c r="H12407" t="s">
        <v>32848</v>
      </c>
      <c r="I12407" t="s">
        <v>10805</v>
      </c>
      <c r="J12407" t="s">
        <v>40583</v>
      </c>
      <c r="K12407" t="s">
        <v>42732</v>
      </c>
      <c r="M12407" t="s">
        <v>44357</v>
      </c>
      <c r="N12407" t="s">
        <v>47424</v>
      </c>
      <c r="O12407" t="s">
        <v>47425</v>
      </c>
      <c r="Q12407">
        <v>12</v>
      </c>
      <c r="R12407" t="s">
        <v>47438</v>
      </c>
      <c r="S12407" t="s">
        <v>47924</v>
      </c>
      <c r="T12407" t="s">
        <v>49177</v>
      </c>
      <c r="U12407" t="s">
        <v>59841</v>
      </c>
      <c r="W12407" t="s">
        <v>44357</v>
      </c>
      <c r="X12407" t="s">
        <v>47439</v>
      </c>
    </row>
    <row r="12408" spans="1:24">
      <c r="A12408">
        <f>HYPERLINK("https://www.philgeps.gov.ph/GEPSNONPILOT/Tender/SplashBidNoticeAbstractUI.aspx?menuIndex=3&amp;refID=7141308&amp;Result=3","7141308")</f>
        <v>0</v>
      </c>
      <c r="B12408" t="s">
        <v>189</v>
      </c>
      <c r="C12408" t="s">
        <v>15588</v>
      </c>
      <c r="D12408" t="s">
        <v>19038</v>
      </c>
      <c r="E12408" t="s">
        <v>29720</v>
      </c>
      <c r="F12408" t="s">
        <v>32831</v>
      </c>
      <c r="G12408" t="s">
        <v>32839</v>
      </c>
      <c r="H12408" t="s">
        <v>32848</v>
      </c>
      <c r="I12408" t="s">
        <v>7437</v>
      </c>
      <c r="J12408" t="s">
        <v>33041</v>
      </c>
      <c r="K12408" t="s">
        <v>42726</v>
      </c>
      <c r="M12408" t="s">
        <v>43187</v>
      </c>
      <c r="N12408" t="s">
        <v>47424</v>
      </c>
      <c r="O12408" t="s">
        <v>47425</v>
      </c>
      <c r="P12408">
        <v>0</v>
      </c>
      <c r="Q12408">
        <v>1</v>
      </c>
      <c r="R12408" t="s">
        <v>47439</v>
      </c>
      <c r="S12408" t="s">
        <v>47860</v>
      </c>
      <c r="T12408" t="s">
        <v>49114</v>
      </c>
      <c r="U12408" t="s">
        <v>49974</v>
      </c>
      <c r="V12408" t="s">
        <v>64007</v>
      </c>
      <c r="W12408" t="s">
        <v>43187</v>
      </c>
      <c r="X12408" t="s">
        <v>47440</v>
      </c>
    </row>
    <row r="12409" spans="1:24">
      <c r="A12409">
        <f>HYPERLINK("https://www.philgeps.gov.ph/GEPSNONPILOT/Tender/SplashBidNoticeAbstractUI.aspx?menuIndex=3&amp;refID=7141277&amp;Result=3","7141277")</f>
        <v>0</v>
      </c>
      <c r="B12409" t="s">
        <v>1753</v>
      </c>
      <c r="C12409" t="s">
        <v>15589</v>
      </c>
      <c r="D12409" t="s">
        <v>19104</v>
      </c>
      <c r="E12409" t="s">
        <v>29721</v>
      </c>
      <c r="F12409" t="s">
        <v>32831</v>
      </c>
      <c r="G12409" t="s">
        <v>32839</v>
      </c>
      <c r="H12409" t="s">
        <v>32849</v>
      </c>
      <c r="I12409" t="s">
        <v>4177</v>
      </c>
      <c r="J12409" t="s">
        <v>40584</v>
      </c>
      <c r="K12409" t="s">
        <v>42960</v>
      </c>
      <c r="M12409" t="s">
        <v>44877</v>
      </c>
      <c r="N12409" t="s">
        <v>47424</v>
      </c>
      <c r="O12409" t="s">
        <v>47425</v>
      </c>
      <c r="P12409">
        <v>0</v>
      </c>
      <c r="Q12409">
        <v>0</v>
      </c>
      <c r="R12409" t="s">
        <v>47439</v>
      </c>
      <c r="S12409" t="s">
        <v>47860</v>
      </c>
      <c r="T12409" t="s">
        <v>49069</v>
      </c>
      <c r="U12409" t="s">
        <v>59842</v>
      </c>
      <c r="W12409" t="s">
        <v>44877</v>
      </c>
      <c r="X12409" t="s">
        <v>47440</v>
      </c>
    </row>
    <row r="12410" spans="1:24">
      <c r="A12410">
        <f>HYPERLINK("https://www.philgeps.gov.ph/GEPSNONPILOT/Tender/SplashBidNoticeAbstractUI.aspx?menuIndex=3&amp;refID=7141289&amp;Result=3","7141289")</f>
        <v>0</v>
      </c>
      <c r="B12410" t="s">
        <v>3568</v>
      </c>
      <c r="C12410" t="s">
        <v>15590</v>
      </c>
      <c r="D12410" t="s">
        <v>19052</v>
      </c>
      <c r="E12410" t="s">
        <v>29505</v>
      </c>
      <c r="F12410" t="s">
        <v>32831</v>
      </c>
      <c r="G12410" t="s">
        <v>32839</v>
      </c>
      <c r="H12410" t="s">
        <v>32848</v>
      </c>
      <c r="I12410" t="s">
        <v>7416</v>
      </c>
      <c r="J12410" t="s">
        <v>40585</v>
      </c>
      <c r="K12410" t="s">
        <v>42732</v>
      </c>
      <c r="M12410" t="s">
        <v>46925</v>
      </c>
      <c r="N12410" t="s">
        <v>47424</v>
      </c>
      <c r="O12410" t="s">
        <v>47425</v>
      </c>
      <c r="P12410">
        <v>0</v>
      </c>
      <c r="Q12410">
        <v>2</v>
      </c>
      <c r="R12410" t="s">
        <v>47439</v>
      </c>
      <c r="S12410" t="s">
        <v>47860</v>
      </c>
      <c r="T12410" t="s">
        <v>49080</v>
      </c>
      <c r="U12410" t="s">
        <v>59843</v>
      </c>
      <c r="W12410" t="s">
        <v>46925</v>
      </c>
      <c r="X12410" t="s">
        <v>47440</v>
      </c>
    </row>
    <row r="12411" spans="1:24">
      <c r="A12411">
        <f>HYPERLINK("https://www.philgeps.gov.ph/GEPSNONPILOT/Tender/SplashBidNoticeAbstractUI.aspx?menuIndex=3&amp;refID=7141319&amp;Result=3","7141319")</f>
        <v>0</v>
      </c>
      <c r="B12411" t="s">
        <v>2516</v>
      </c>
      <c r="C12411" t="s">
        <v>15591</v>
      </c>
      <c r="D12411" t="s">
        <v>19044</v>
      </c>
      <c r="E12411" t="s">
        <v>29722</v>
      </c>
      <c r="F12411" t="s">
        <v>32831</v>
      </c>
      <c r="G12411" t="s">
        <v>32839</v>
      </c>
      <c r="H12411" t="s">
        <v>32849</v>
      </c>
      <c r="I12411" t="s">
        <v>4177</v>
      </c>
      <c r="J12411" t="s">
        <v>40586</v>
      </c>
      <c r="K12411" t="s">
        <v>42732</v>
      </c>
      <c r="M12411" t="s">
        <v>45723</v>
      </c>
      <c r="N12411" t="s">
        <v>47424</v>
      </c>
      <c r="O12411" t="s">
        <v>47425</v>
      </c>
      <c r="P12411">
        <v>0</v>
      </c>
      <c r="Q12411">
        <v>0</v>
      </c>
      <c r="R12411" t="s">
        <v>47439</v>
      </c>
      <c r="S12411" t="s">
        <v>47860</v>
      </c>
      <c r="T12411" t="s">
        <v>49172</v>
      </c>
      <c r="U12411" t="s">
        <v>59844</v>
      </c>
      <c r="W12411" t="s">
        <v>45723</v>
      </c>
      <c r="X12411" t="s">
        <v>47440</v>
      </c>
    </row>
    <row r="12412" spans="1:24">
      <c r="A12412">
        <f>HYPERLINK("https://www.philgeps.gov.ph/GEPSNONPILOT/Tender/SplashBidNoticeAbstractUI.aspx?menuIndex=3&amp;refID=7141274&amp;Result=3","7141274")</f>
        <v>0</v>
      </c>
      <c r="B12412" t="s">
        <v>49</v>
      </c>
      <c r="C12412" t="s">
        <v>15592</v>
      </c>
      <c r="D12412" t="s">
        <v>19037</v>
      </c>
      <c r="E12412" t="s">
        <v>29723</v>
      </c>
      <c r="F12412" t="s">
        <v>32831</v>
      </c>
      <c r="G12412" t="s">
        <v>32839</v>
      </c>
      <c r="H12412" t="s">
        <v>32848</v>
      </c>
      <c r="I12412" t="s">
        <v>10805</v>
      </c>
      <c r="J12412" t="s">
        <v>36264</v>
      </c>
      <c r="K12412" t="s">
        <v>42750</v>
      </c>
      <c r="M12412" t="s">
        <v>45033</v>
      </c>
      <c r="N12412" t="s">
        <v>47424</v>
      </c>
      <c r="O12412" t="s">
        <v>47425</v>
      </c>
      <c r="Q12412">
        <v>0</v>
      </c>
      <c r="R12412" t="s">
        <v>47439</v>
      </c>
      <c r="S12412" t="s">
        <v>47925</v>
      </c>
      <c r="T12412" t="s">
        <v>49063</v>
      </c>
      <c r="U12412" t="s">
        <v>59845</v>
      </c>
      <c r="V12412" t="s">
        <v>62833</v>
      </c>
      <c r="W12412" t="s">
        <v>45033</v>
      </c>
      <c r="X12412" t="s">
        <v>47440</v>
      </c>
    </row>
    <row r="12413" spans="1:24">
      <c r="A12413">
        <f>HYPERLINK("https://www.philgeps.gov.ph/GEPSNONPILOT/Tender/SplashBidNoticeAbstractUI.aspx?menuIndex=3&amp;refID=7141251&amp;Result=3","7141251")</f>
        <v>0</v>
      </c>
      <c r="B12413" t="s">
        <v>3569</v>
      </c>
      <c r="C12413" t="s">
        <v>15593</v>
      </c>
      <c r="D12413" t="s">
        <v>19037</v>
      </c>
      <c r="E12413" t="s">
        <v>29724</v>
      </c>
      <c r="F12413" t="s">
        <v>32831</v>
      </c>
      <c r="G12413" t="s">
        <v>32839</v>
      </c>
      <c r="H12413" t="s">
        <v>32848</v>
      </c>
      <c r="I12413" t="s">
        <v>10805</v>
      </c>
      <c r="J12413" t="s">
        <v>40587</v>
      </c>
      <c r="K12413" t="s">
        <v>42730</v>
      </c>
      <c r="M12413" t="s">
        <v>46926</v>
      </c>
      <c r="N12413" t="s">
        <v>47424</v>
      </c>
      <c r="O12413" t="s">
        <v>47425</v>
      </c>
      <c r="P12413">
        <v>0</v>
      </c>
      <c r="Q12413">
        <v>11</v>
      </c>
      <c r="R12413" t="s">
        <v>47439</v>
      </c>
      <c r="S12413" t="s">
        <v>47860</v>
      </c>
      <c r="T12413" t="s">
        <v>49087</v>
      </c>
      <c r="U12413" t="s">
        <v>59846</v>
      </c>
      <c r="W12413" t="s">
        <v>46926</v>
      </c>
      <c r="X12413" t="s">
        <v>47440</v>
      </c>
    </row>
    <row r="12414" spans="1:24">
      <c r="A12414">
        <f>HYPERLINK("https://www.philgeps.gov.ph/GEPSNONPILOT/Tender/SplashBidNoticeAbstractUI.aspx?menuIndex=3&amp;refID=7141301&amp;Result=3","7141301")</f>
        <v>0</v>
      </c>
      <c r="B12414" t="s">
        <v>3570</v>
      </c>
      <c r="C12414" t="s">
        <v>15594</v>
      </c>
      <c r="D12414" t="s">
        <v>19037</v>
      </c>
      <c r="E12414" t="s">
        <v>29725</v>
      </c>
      <c r="F12414" t="s">
        <v>32831</v>
      </c>
      <c r="G12414" t="s">
        <v>32839</v>
      </c>
      <c r="H12414" t="s">
        <v>32848</v>
      </c>
      <c r="I12414" t="s">
        <v>4776</v>
      </c>
      <c r="J12414" t="s">
        <v>40588</v>
      </c>
      <c r="K12414" t="s">
        <v>42747</v>
      </c>
      <c r="M12414" t="s">
        <v>46927</v>
      </c>
      <c r="N12414" t="s">
        <v>47424</v>
      </c>
      <c r="O12414" t="s">
        <v>47425</v>
      </c>
      <c r="P12414">
        <v>0</v>
      </c>
      <c r="Q12414">
        <v>3</v>
      </c>
      <c r="R12414" t="s">
        <v>47439</v>
      </c>
      <c r="S12414" t="s">
        <v>47860</v>
      </c>
      <c r="T12414" t="s">
        <v>49105</v>
      </c>
      <c r="U12414" t="s">
        <v>59847</v>
      </c>
      <c r="W12414" t="s">
        <v>46927</v>
      </c>
      <c r="X12414" t="s">
        <v>47440</v>
      </c>
    </row>
    <row r="12415" spans="1:24">
      <c r="A12415">
        <f>HYPERLINK("https://www.philgeps.gov.ph/GEPSNONPILOT/Tender/SplashBidNoticeAbstractUI.aspx?menuIndex=3&amp;refID=7134000&amp;Result=3","7134000")</f>
        <v>0</v>
      </c>
      <c r="B12415" t="s">
        <v>39</v>
      </c>
      <c r="C12415" t="s">
        <v>15595</v>
      </c>
      <c r="D12415" t="s">
        <v>19029</v>
      </c>
      <c r="E12415" t="s">
        <v>29726</v>
      </c>
      <c r="F12415" t="s">
        <v>32831</v>
      </c>
      <c r="G12415" t="s">
        <v>32839</v>
      </c>
      <c r="H12415" t="s">
        <v>32848</v>
      </c>
      <c r="I12415" t="s">
        <v>7751</v>
      </c>
      <c r="J12415" t="s">
        <v>33044</v>
      </c>
      <c r="K12415" t="s">
        <v>42727</v>
      </c>
      <c r="M12415" t="s">
        <v>43036</v>
      </c>
      <c r="N12415" t="s">
        <v>47424</v>
      </c>
      <c r="O12415" t="s">
        <v>47425</v>
      </c>
      <c r="P12415">
        <v>0</v>
      </c>
      <c r="Q12415">
        <v>1</v>
      </c>
      <c r="R12415" t="s">
        <v>47439</v>
      </c>
      <c r="S12415" t="s">
        <v>47860</v>
      </c>
      <c r="T12415" t="s">
        <v>49069</v>
      </c>
      <c r="U12415" t="s">
        <v>59848</v>
      </c>
      <c r="W12415" t="s">
        <v>43036</v>
      </c>
      <c r="X12415" t="s">
        <v>47444</v>
      </c>
    </row>
    <row r="12416" spans="1:24">
      <c r="A12416">
        <f>HYPERLINK("https://www.philgeps.gov.ph/GEPSNONPILOT/Tender/SplashBidNoticeAbstractUI.aspx?menuIndex=3&amp;refID=7141250&amp;Result=3","7141250")</f>
        <v>0</v>
      </c>
      <c r="B12416" t="s">
        <v>3437</v>
      </c>
      <c r="C12416" t="s">
        <v>15596</v>
      </c>
      <c r="D12416" t="s">
        <v>19085</v>
      </c>
      <c r="E12416" t="s">
        <v>29727</v>
      </c>
      <c r="F12416" t="s">
        <v>32831</v>
      </c>
      <c r="G12416" t="s">
        <v>32839</v>
      </c>
      <c r="H12416" t="s">
        <v>32848</v>
      </c>
      <c r="I12416" t="s">
        <v>32852</v>
      </c>
      <c r="J12416" t="s">
        <v>34155</v>
      </c>
      <c r="K12416" t="s">
        <v>42727</v>
      </c>
      <c r="M12416" t="s">
        <v>46773</v>
      </c>
      <c r="N12416" t="s">
        <v>47424</v>
      </c>
      <c r="O12416" t="s">
        <v>47425</v>
      </c>
      <c r="P12416">
        <v>0</v>
      </c>
      <c r="Q12416">
        <v>5</v>
      </c>
      <c r="R12416" t="s">
        <v>47439</v>
      </c>
      <c r="S12416" t="s">
        <v>47860</v>
      </c>
      <c r="T12416" t="s">
        <v>49069</v>
      </c>
      <c r="U12416" t="s">
        <v>59849</v>
      </c>
      <c r="W12416" t="s">
        <v>46773</v>
      </c>
      <c r="X12416" t="s">
        <v>47440</v>
      </c>
    </row>
    <row r="12417" spans="1:24">
      <c r="A12417">
        <f>HYPERLINK("https://www.philgeps.gov.ph/GEPSNONPILOT/Tender/SplashBidNoticeAbstractUI.aspx?menuIndex=3&amp;refID=7141345&amp;Result=3","7141345")</f>
        <v>0</v>
      </c>
      <c r="B12417" t="s">
        <v>272</v>
      </c>
      <c r="C12417" t="s">
        <v>15597</v>
      </c>
      <c r="D12417" t="s">
        <v>19077</v>
      </c>
      <c r="E12417" t="s">
        <v>29728</v>
      </c>
      <c r="F12417" t="s">
        <v>32831</v>
      </c>
      <c r="G12417" t="s">
        <v>32839</v>
      </c>
      <c r="H12417" t="s">
        <v>32848</v>
      </c>
      <c r="I12417" t="s">
        <v>32931</v>
      </c>
      <c r="J12417" t="s">
        <v>40589</v>
      </c>
      <c r="K12417" t="s">
        <v>42732</v>
      </c>
      <c r="M12417" t="s">
        <v>46188</v>
      </c>
      <c r="N12417" t="s">
        <v>47424</v>
      </c>
      <c r="O12417" t="s">
        <v>47425</v>
      </c>
      <c r="Q12417">
        <v>13</v>
      </c>
      <c r="R12417" t="s">
        <v>47439</v>
      </c>
      <c r="S12417" t="s">
        <v>47926</v>
      </c>
      <c r="T12417" t="s">
        <v>49221</v>
      </c>
      <c r="U12417" t="s">
        <v>59850</v>
      </c>
      <c r="V12417" t="s">
        <v>63623</v>
      </c>
      <c r="W12417" t="s">
        <v>46188</v>
      </c>
      <c r="X12417" t="s">
        <v>47440</v>
      </c>
    </row>
    <row r="12418" spans="1:24">
      <c r="A12418">
        <f>HYPERLINK("https://www.philgeps.gov.ph/GEPSNONPILOT/Tender/SplashBidNoticeAbstractUI.aspx?menuIndex=3&amp;refID=7141270&amp;Result=3","7141270")</f>
        <v>0</v>
      </c>
      <c r="B12418" t="s">
        <v>272</v>
      </c>
      <c r="C12418" t="s">
        <v>15598</v>
      </c>
      <c r="D12418" t="s">
        <v>19077</v>
      </c>
      <c r="E12418" t="s">
        <v>29729</v>
      </c>
      <c r="F12418" t="s">
        <v>32831</v>
      </c>
      <c r="G12418" t="s">
        <v>32839</v>
      </c>
      <c r="H12418" t="s">
        <v>32848</v>
      </c>
      <c r="I12418" t="s">
        <v>32862</v>
      </c>
      <c r="J12418" t="s">
        <v>40590</v>
      </c>
      <c r="K12418" t="s">
        <v>42732</v>
      </c>
      <c r="M12418" t="s">
        <v>46188</v>
      </c>
      <c r="N12418" t="s">
        <v>47424</v>
      </c>
      <c r="O12418" t="s">
        <v>47425</v>
      </c>
      <c r="Q12418">
        <v>9</v>
      </c>
      <c r="R12418" t="s">
        <v>47439</v>
      </c>
      <c r="S12418" t="s">
        <v>47927</v>
      </c>
      <c r="T12418" t="s">
        <v>49111</v>
      </c>
      <c r="U12418" t="s">
        <v>59851</v>
      </c>
      <c r="V12418" t="s">
        <v>63623</v>
      </c>
      <c r="W12418" t="s">
        <v>46188</v>
      </c>
      <c r="X12418" t="s">
        <v>47440</v>
      </c>
    </row>
    <row r="12419" spans="1:24">
      <c r="A12419">
        <f>HYPERLINK("https://www.philgeps.gov.ph/GEPSNONPILOT/Tender/SplashBidNoticeAbstractUI.aspx?menuIndex=3&amp;refID=7141265&amp;Result=3","7141265")</f>
        <v>0</v>
      </c>
      <c r="B12419" t="s">
        <v>536</v>
      </c>
      <c r="C12419" t="s">
        <v>15599</v>
      </c>
      <c r="D12419" t="s">
        <v>19030</v>
      </c>
      <c r="E12419" t="s">
        <v>29730</v>
      </c>
      <c r="F12419" t="s">
        <v>32831</v>
      </c>
      <c r="G12419" t="s">
        <v>32839</v>
      </c>
      <c r="H12419" t="s">
        <v>32848</v>
      </c>
      <c r="I12419" t="s">
        <v>4776</v>
      </c>
      <c r="J12419" t="s">
        <v>40591</v>
      </c>
      <c r="K12419" t="s">
        <v>42727</v>
      </c>
      <c r="M12419" t="s">
        <v>43542</v>
      </c>
      <c r="N12419" t="s">
        <v>47424</v>
      </c>
      <c r="O12419" t="s">
        <v>47425</v>
      </c>
      <c r="P12419">
        <v>0</v>
      </c>
      <c r="Q12419">
        <v>16</v>
      </c>
      <c r="R12419" t="s">
        <v>47439</v>
      </c>
      <c r="S12419" t="s">
        <v>47860</v>
      </c>
      <c r="T12419" t="s">
        <v>49080</v>
      </c>
      <c r="U12419" t="s">
        <v>59852</v>
      </c>
      <c r="V12419" t="s">
        <v>63291</v>
      </c>
      <c r="W12419" t="s">
        <v>43542</v>
      </c>
      <c r="X12419" t="s">
        <v>47440</v>
      </c>
    </row>
    <row r="12420" spans="1:24">
      <c r="A12420">
        <f>HYPERLINK("https://www.philgeps.gov.ph/GEPSNONPILOT/Tender/SplashBidNoticeAbstractUI.aspx?menuIndex=3&amp;refID=7141468&amp;Result=3","7141468")</f>
        <v>0</v>
      </c>
      <c r="B12420" t="s">
        <v>1032</v>
      </c>
      <c r="C12420" t="s">
        <v>15600</v>
      </c>
      <c r="D12420" t="s">
        <v>19036</v>
      </c>
      <c r="E12420" t="s">
        <v>29731</v>
      </c>
      <c r="F12420" t="s">
        <v>32831</v>
      </c>
      <c r="G12420" t="s">
        <v>32839</v>
      </c>
      <c r="H12420" t="s">
        <v>32848</v>
      </c>
      <c r="I12420" t="s">
        <v>6526</v>
      </c>
      <c r="J12420" t="s">
        <v>40592</v>
      </c>
      <c r="K12420" t="s">
        <v>42745</v>
      </c>
      <c r="M12420" t="s">
        <v>44086</v>
      </c>
      <c r="N12420" t="s">
        <v>47424</v>
      </c>
      <c r="O12420" t="s">
        <v>47425</v>
      </c>
      <c r="P12420">
        <v>0</v>
      </c>
      <c r="Q12420">
        <v>0</v>
      </c>
      <c r="R12420" t="s">
        <v>47439</v>
      </c>
      <c r="S12420" t="s">
        <v>47860</v>
      </c>
      <c r="T12420" t="s">
        <v>49288</v>
      </c>
      <c r="U12420" t="s">
        <v>59853</v>
      </c>
      <c r="V12420" t="s">
        <v>63786</v>
      </c>
      <c r="W12420" t="s">
        <v>44086</v>
      </c>
      <c r="X12420" t="s">
        <v>47440</v>
      </c>
    </row>
    <row r="12421" spans="1:24">
      <c r="A12421">
        <f>HYPERLINK("https://www.philgeps.gov.ph/GEPSNONPILOT/Tender/SplashBidNoticeAbstractUI.aspx?menuIndex=3&amp;refID=7141275&amp;Result=3","7141275")</f>
        <v>0</v>
      </c>
      <c r="B12421" t="s">
        <v>1740</v>
      </c>
      <c r="C12421" t="s">
        <v>15601</v>
      </c>
      <c r="D12421" t="s">
        <v>19068</v>
      </c>
      <c r="E12421" t="s">
        <v>29732</v>
      </c>
      <c r="F12421" t="s">
        <v>32831</v>
      </c>
      <c r="G12421" t="s">
        <v>32839</v>
      </c>
      <c r="H12421" t="s">
        <v>32848</v>
      </c>
      <c r="I12421" t="s">
        <v>7416</v>
      </c>
      <c r="J12421" t="s">
        <v>33923</v>
      </c>
      <c r="K12421" t="s">
        <v>42727</v>
      </c>
      <c r="M12421" t="s">
        <v>44863</v>
      </c>
      <c r="N12421" t="s">
        <v>47424</v>
      </c>
      <c r="O12421" t="s">
        <v>47425</v>
      </c>
      <c r="P12421">
        <v>0</v>
      </c>
      <c r="Q12421">
        <v>0</v>
      </c>
      <c r="R12421" t="s">
        <v>47439</v>
      </c>
      <c r="S12421" t="s">
        <v>47860</v>
      </c>
      <c r="T12421" t="s">
        <v>49057</v>
      </c>
      <c r="U12421" t="s">
        <v>59854</v>
      </c>
      <c r="W12421" t="s">
        <v>44863</v>
      </c>
      <c r="X12421" t="s">
        <v>47440</v>
      </c>
    </row>
    <row r="12422" spans="1:24">
      <c r="A12422">
        <f>HYPERLINK("https://www.philgeps.gov.ph/GEPSNONPILOT/Tender/SplashBidNoticeAbstractUI.aspx?menuIndex=3&amp;refID=7141463&amp;Result=3","7141463")</f>
        <v>0</v>
      </c>
      <c r="B12422" t="s">
        <v>895</v>
      </c>
      <c r="C12422" t="s">
        <v>15602</v>
      </c>
      <c r="D12422" t="s">
        <v>19036</v>
      </c>
      <c r="E12422" t="s">
        <v>29733</v>
      </c>
      <c r="F12422" t="s">
        <v>32831</v>
      </c>
      <c r="G12422" t="s">
        <v>32839</v>
      </c>
      <c r="H12422" t="s">
        <v>32848</v>
      </c>
      <c r="I12422" t="s">
        <v>32901</v>
      </c>
      <c r="J12422" t="s">
        <v>32983</v>
      </c>
      <c r="K12422" t="s">
        <v>42727</v>
      </c>
      <c r="M12422" t="s">
        <v>44825</v>
      </c>
      <c r="N12422" t="s">
        <v>47424</v>
      </c>
      <c r="O12422" t="s">
        <v>47425</v>
      </c>
      <c r="P12422">
        <v>0</v>
      </c>
      <c r="Q12422">
        <v>2</v>
      </c>
      <c r="R12422" t="s">
        <v>47439</v>
      </c>
      <c r="S12422" t="s">
        <v>47860</v>
      </c>
      <c r="T12422" t="s">
        <v>49092</v>
      </c>
      <c r="U12422" t="s">
        <v>59855</v>
      </c>
      <c r="V12422" t="s">
        <v>62833</v>
      </c>
      <c r="W12422" t="s">
        <v>44825</v>
      </c>
      <c r="X12422" t="s">
        <v>47440</v>
      </c>
    </row>
    <row r="12423" spans="1:24">
      <c r="A12423">
        <f>HYPERLINK("https://www.philgeps.gov.ph/GEPSNONPILOT/Tender/SplashBidNoticeAbstractUI.aspx?menuIndex=3&amp;refID=7141331&amp;Result=3","7141331")</f>
        <v>0</v>
      </c>
      <c r="B12423" t="s">
        <v>272</v>
      </c>
      <c r="C12423" t="s">
        <v>15603</v>
      </c>
      <c r="D12423" t="s">
        <v>19077</v>
      </c>
      <c r="E12423" t="s">
        <v>29734</v>
      </c>
      <c r="F12423" t="s">
        <v>32831</v>
      </c>
      <c r="G12423" t="s">
        <v>32839</v>
      </c>
      <c r="H12423" t="s">
        <v>32848</v>
      </c>
      <c r="I12423" t="s">
        <v>7416</v>
      </c>
      <c r="J12423" t="s">
        <v>40593</v>
      </c>
      <c r="K12423" t="s">
        <v>42732</v>
      </c>
      <c r="M12423" t="s">
        <v>46188</v>
      </c>
      <c r="N12423" t="s">
        <v>47424</v>
      </c>
      <c r="O12423" t="s">
        <v>47425</v>
      </c>
      <c r="Q12423">
        <v>9</v>
      </c>
      <c r="R12423" t="s">
        <v>47439</v>
      </c>
      <c r="S12423" t="s">
        <v>47928</v>
      </c>
      <c r="T12423" t="s">
        <v>49221</v>
      </c>
      <c r="U12423" t="s">
        <v>59856</v>
      </c>
      <c r="V12423" t="s">
        <v>63623</v>
      </c>
      <c r="W12423" t="s">
        <v>46188</v>
      </c>
      <c r="X12423" t="s">
        <v>47440</v>
      </c>
    </row>
    <row r="12424" spans="1:24">
      <c r="A12424">
        <f>HYPERLINK("https://www.philgeps.gov.ph/GEPSNONPILOT/Tender/SplashBidNoticeAbstractUI.aspx?menuIndex=3&amp;refID=7141453&amp;Result=3","7141453")</f>
        <v>0</v>
      </c>
      <c r="B12424" t="s">
        <v>1724</v>
      </c>
      <c r="C12424" t="s">
        <v>15604</v>
      </c>
      <c r="D12424" t="s">
        <v>19069</v>
      </c>
      <c r="E12424" t="s">
        <v>29735</v>
      </c>
      <c r="F12424" t="s">
        <v>32831</v>
      </c>
      <c r="G12424" t="s">
        <v>32839</v>
      </c>
      <c r="H12424" t="s">
        <v>32848</v>
      </c>
      <c r="I12424" t="s">
        <v>32853</v>
      </c>
      <c r="J12424" t="s">
        <v>40594</v>
      </c>
      <c r="K12424" t="s">
        <v>42747</v>
      </c>
      <c r="M12424" t="s">
        <v>44847</v>
      </c>
      <c r="N12424" t="s">
        <v>47424</v>
      </c>
      <c r="O12424" t="s">
        <v>47425</v>
      </c>
      <c r="P12424">
        <v>0</v>
      </c>
      <c r="Q12424">
        <v>0</v>
      </c>
      <c r="R12424" t="s">
        <v>47439</v>
      </c>
      <c r="S12424" t="s">
        <v>47860</v>
      </c>
      <c r="T12424" t="s">
        <v>49097</v>
      </c>
      <c r="U12424" t="s">
        <v>59857</v>
      </c>
      <c r="W12424" t="s">
        <v>44847</v>
      </c>
      <c r="X12424" t="s">
        <v>47440</v>
      </c>
    </row>
    <row r="12425" spans="1:24">
      <c r="A12425">
        <f>HYPERLINK("https://www.philgeps.gov.ph/GEPSNONPILOT/Tender/SplashBidNoticeAbstractUI.aspx?menuIndex=3&amp;refID=7141447&amp;Result=3","7141447")</f>
        <v>0</v>
      </c>
      <c r="B12425" t="s">
        <v>2363</v>
      </c>
      <c r="C12425" t="s">
        <v>15605</v>
      </c>
      <c r="E12425" t="s">
        <v>29736</v>
      </c>
      <c r="F12425" t="s">
        <v>32831</v>
      </c>
      <c r="G12425" t="s">
        <v>32839</v>
      </c>
      <c r="H12425" t="s">
        <v>32848</v>
      </c>
      <c r="I12425" t="s">
        <v>32911</v>
      </c>
      <c r="J12425" t="s">
        <v>40595</v>
      </c>
      <c r="K12425" t="s">
        <v>42732</v>
      </c>
      <c r="M12425" t="s">
        <v>45975</v>
      </c>
      <c r="N12425" t="s">
        <v>47424</v>
      </c>
      <c r="O12425" t="s">
        <v>47425</v>
      </c>
      <c r="Q12425">
        <v>4</v>
      </c>
      <c r="R12425" t="s">
        <v>47439</v>
      </c>
      <c r="S12425" t="s">
        <v>47929</v>
      </c>
      <c r="T12425" t="s">
        <v>49335</v>
      </c>
      <c r="U12425" t="s">
        <v>59858</v>
      </c>
      <c r="W12425" t="s">
        <v>45975</v>
      </c>
      <c r="X12425" t="s">
        <v>47440</v>
      </c>
    </row>
    <row r="12426" spans="1:24">
      <c r="A12426">
        <f>HYPERLINK("https://www.philgeps.gov.ph/GEPSNONPILOT/Tender/SplashBidNoticeAbstractUI.aspx?menuIndex=3&amp;refID=7141428&amp;Result=3","7141428")</f>
        <v>0</v>
      </c>
      <c r="B12426" t="s">
        <v>49</v>
      </c>
      <c r="C12426" t="s">
        <v>15606</v>
      </c>
      <c r="D12426" t="s">
        <v>19037</v>
      </c>
      <c r="E12426" t="s">
        <v>29737</v>
      </c>
      <c r="F12426" t="s">
        <v>32831</v>
      </c>
      <c r="G12426" t="s">
        <v>32839</v>
      </c>
      <c r="H12426" t="s">
        <v>32848</v>
      </c>
      <c r="I12426" t="s">
        <v>4776</v>
      </c>
      <c r="J12426" t="s">
        <v>40596</v>
      </c>
      <c r="K12426" t="s">
        <v>42750</v>
      </c>
      <c r="M12426" t="s">
        <v>45033</v>
      </c>
      <c r="N12426" t="s">
        <v>47424</v>
      </c>
      <c r="O12426" t="s">
        <v>47425</v>
      </c>
      <c r="P12426">
        <v>0</v>
      </c>
      <c r="Q12426">
        <v>0</v>
      </c>
      <c r="R12426" t="s">
        <v>47439</v>
      </c>
      <c r="S12426" t="s">
        <v>47860</v>
      </c>
      <c r="T12426" t="s">
        <v>49063</v>
      </c>
      <c r="U12426" t="s">
        <v>59859</v>
      </c>
      <c r="V12426" t="s">
        <v>63496</v>
      </c>
      <c r="W12426" t="s">
        <v>45033</v>
      </c>
      <c r="X12426" t="s">
        <v>47440</v>
      </c>
    </row>
    <row r="12427" spans="1:24">
      <c r="A12427">
        <f>HYPERLINK("https://www.philgeps.gov.ph/GEPSNONPILOT/Tender/SplashBidNoticeAbstractUI.aspx?menuIndex=3&amp;refID=7141282&amp;Result=3","7141282")</f>
        <v>0</v>
      </c>
      <c r="B12427" t="s">
        <v>823</v>
      </c>
      <c r="C12427" t="s">
        <v>15607</v>
      </c>
      <c r="D12427" t="s">
        <v>19062</v>
      </c>
      <c r="E12427" t="s">
        <v>29738</v>
      </c>
      <c r="F12427" t="s">
        <v>32831</v>
      </c>
      <c r="G12427" t="s">
        <v>32839</v>
      </c>
      <c r="H12427" t="s">
        <v>32848</v>
      </c>
      <c r="I12427" t="s">
        <v>32934</v>
      </c>
      <c r="J12427" t="s">
        <v>33867</v>
      </c>
      <c r="K12427" t="s">
        <v>42727</v>
      </c>
      <c r="M12427" t="s">
        <v>46629</v>
      </c>
      <c r="N12427" t="s">
        <v>47424</v>
      </c>
      <c r="O12427" t="s">
        <v>47425</v>
      </c>
      <c r="P12427">
        <v>0</v>
      </c>
      <c r="Q12427">
        <v>4</v>
      </c>
      <c r="R12427" t="s">
        <v>47439</v>
      </c>
      <c r="S12427" t="s">
        <v>47860</v>
      </c>
      <c r="T12427" t="s">
        <v>49328</v>
      </c>
      <c r="U12427" t="s">
        <v>59860</v>
      </c>
      <c r="W12427" t="s">
        <v>46629</v>
      </c>
      <c r="X12427" t="s">
        <v>47440</v>
      </c>
    </row>
    <row r="12428" spans="1:24">
      <c r="A12428">
        <f>HYPERLINK("https://www.philgeps.gov.ph/GEPSNONPILOT/Tender/SplashBidNoticeAbstractUI.aspx?menuIndex=3&amp;refID=7141403&amp;Result=3","7141403")</f>
        <v>0</v>
      </c>
      <c r="B12428" t="s">
        <v>1993</v>
      </c>
      <c r="C12428" t="s">
        <v>15608</v>
      </c>
      <c r="D12428" t="s">
        <v>19054</v>
      </c>
      <c r="E12428" t="s">
        <v>29739</v>
      </c>
      <c r="F12428" t="s">
        <v>32831</v>
      </c>
      <c r="G12428" t="s">
        <v>32839</v>
      </c>
      <c r="H12428" t="s">
        <v>32849</v>
      </c>
      <c r="I12428" t="s">
        <v>4177</v>
      </c>
      <c r="J12428" t="s">
        <v>33016</v>
      </c>
      <c r="K12428" t="s">
        <v>42763</v>
      </c>
      <c r="M12428" t="s">
        <v>45159</v>
      </c>
      <c r="N12428" t="s">
        <v>47424</v>
      </c>
      <c r="O12428" t="s">
        <v>47425</v>
      </c>
      <c r="P12428">
        <v>0</v>
      </c>
      <c r="Q12428">
        <v>0</v>
      </c>
      <c r="R12428" t="s">
        <v>47439</v>
      </c>
      <c r="S12428" t="s">
        <v>47860</v>
      </c>
      <c r="T12428" t="s">
        <v>49069</v>
      </c>
      <c r="U12428" t="s">
        <v>59861</v>
      </c>
      <c r="W12428" t="s">
        <v>45159</v>
      </c>
      <c r="X12428" t="s">
        <v>47440</v>
      </c>
    </row>
    <row r="12429" spans="1:24">
      <c r="A12429">
        <f>HYPERLINK("https://www.philgeps.gov.ph/GEPSNONPILOT/Tender/SplashBidNoticeAbstractUI.aspx?menuIndex=3&amp;refID=7141458&amp;Result=3","7141458")</f>
        <v>0</v>
      </c>
      <c r="B12429" t="s">
        <v>273</v>
      </c>
      <c r="C12429" t="s">
        <v>15609</v>
      </c>
      <c r="D12429" t="s">
        <v>19060</v>
      </c>
      <c r="E12429" t="s">
        <v>29740</v>
      </c>
      <c r="F12429" t="s">
        <v>32831</v>
      </c>
      <c r="G12429" t="s">
        <v>32839</v>
      </c>
      <c r="H12429" t="s">
        <v>32848</v>
      </c>
      <c r="I12429" t="s">
        <v>7751</v>
      </c>
      <c r="J12429" t="s">
        <v>33553</v>
      </c>
      <c r="K12429" t="s">
        <v>42831</v>
      </c>
      <c r="M12429" t="s">
        <v>46864</v>
      </c>
      <c r="N12429" t="s">
        <v>47424</v>
      </c>
      <c r="O12429" t="s">
        <v>47425</v>
      </c>
      <c r="P12429">
        <v>0</v>
      </c>
      <c r="Q12429">
        <v>3</v>
      </c>
      <c r="R12429" t="s">
        <v>47439</v>
      </c>
      <c r="S12429" t="s">
        <v>47860</v>
      </c>
      <c r="T12429" t="s">
        <v>49063</v>
      </c>
      <c r="U12429" t="s">
        <v>59862</v>
      </c>
      <c r="V12429" t="s">
        <v>62674</v>
      </c>
      <c r="W12429" t="s">
        <v>46864</v>
      </c>
      <c r="X12429" t="s">
        <v>47440</v>
      </c>
    </row>
    <row r="12430" spans="1:24">
      <c r="A12430">
        <f>HYPERLINK("https://www.philgeps.gov.ph/GEPSNONPILOT/Tender/SplashBidNoticeAbstractUI.aspx?menuIndex=3&amp;refID=7141435&amp;Result=3","7141435")</f>
        <v>0</v>
      </c>
      <c r="B12430" t="s">
        <v>2848</v>
      </c>
      <c r="C12430" t="s">
        <v>15610</v>
      </c>
      <c r="D12430" t="s">
        <v>19044</v>
      </c>
      <c r="E12430" t="s">
        <v>15610</v>
      </c>
      <c r="F12430" t="s">
        <v>32831</v>
      </c>
      <c r="G12430" t="s">
        <v>32839</v>
      </c>
      <c r="H12430" t="s">
        <v>32848</v>
      </c>
      <c r="I12430" t="s">
        <v>4558</v>
      </c>
      <c r="J12430" t="s">
        <v>40597</v>
      </c>
      <c r="K12430" t="s">
        <v>42732</v>
      </c>
      <c r="M12430" t="s">
        <v>46081</v>
      </c>
      <c r="N12430" t="s">
        <v>47424</v>
      </c>
      <c r="O12430" t="s">
        <v>47425</v>
      </c>
      <c r="Q12430">
        <v>5</v>
      </c>
      <c r="R12430" t="s">
        <v>47439</v>
      </c>
      <c r="S12430" t="s">
        <v>47930</v>
      </c>
      <c r="T12430" t="s">
        <v>49069</v>
      </c>
      <c r="U12430" t="s">
        <v>59863</v>
      </c>
      <c r="V12430" t="s">
        <v>63582</v>
      </c>
      <c r="W12430" t="s">
        <v>46081</v>
      </c>
      <c r="X12430" t="s">
        <v>47440</v>
      </c>
    </row>
    <row r="12431" spans="1:24">
      <c r="A12431">
        <f>HYPERLINK("https://www.philgeps.gov.ph/GEPSNONPILOT/Tender/SplashBidNoticeAbstractUI.aspx?menuIndex=3&amp;refID=7141430&amp;Result=3","7141430")</f>
        <v>0</v>
      </c>
      <c r="B12431" t="s">
        <v>2363</v>
      </c>
      <c r="C12431" t="s">
        <v>15611</v>
      </c>
      <c r="E12431" t="s">
        <v>29741</v>
      </c>
      <c r="F12431" t="s">
        <v>32831</v>
      </c>
      <c r="G12431" t="s">
        <v>32839</v>
      </c>
      <c r="H12431" t="s">
        <v>32848</v>
      </c>
      <c r="I12431" t="s">
        <v>32894</v>
      </c>
      <c r="J12431" t="s">
        <v>40598</v>
      </c>
      <c r="K12431" t="s">
        <v>42732</v>
      </c>
      <c r="M12431" t="s">
        <v>45975</v>
      </c>
      <c r="N12431" t="s">
        <v>47424</v>
      </c>
      <c r="O12431" t="s">
        <v>47425</v>
      </c>
      <c r="Q12431">
        <v>12</v>
      </c>
      <c r="R12431" t="s">
        <v>47439</v>
      </c>
      <c r="S12431" t="s">
        <v>47931</v>
      </c>
      <c r="T12431" t="s">
        <v>49364</v>
      </c>
      <c r="U12431" t="s">
        <v>59864</v>
      </c>
      <c r="W12431" t="s">
        <v>45975</v>
      </c>
      <c r="X12431" t="s">
        <v>47440</v>
      </c>
    </row>
    <row r="12432" spans="1:24">
      <c r="A12432">
        <f>HYPERLINK("https://www.philgeps.gov.ph/GEPSNONPILOT/Tender/SplashBidNoticeAbstractUI.aspx?menuIndex=3&amp;refID=7141446&amp;Result=3","7141446")</f>
        <v>0</v>
      </c>
      <c r="B12432" t="s">
        <v>3571</v>
      </c>
      <c r="C12432" t="s">
        <v>15612</v>
      </c>
      <c r="D12432" t="s">
        <v>19057</v>
      </c>
      <c r="E12432" t="s">
        <v>29742</v>
      </c>
      <c r="F12432" t="s">
        <v>32831</v>
      </c>
      <c r="G12432" t="s">
        <v>32839</v>
      </c>
      <c r="H12432" t="s">
        <v>32849</v>
      </c>
      <c r="I12432" t="s">
        <v>4177</v>
      </c>
      <c r="J12432" t="s">
        <v>33111</v>
      </c>
      <c r="K12432" t="s">
        <v>42729</v>
      </c>
      <c r="M12432" t="s">
        <v>46928</v>
      </c>
      <c r="N12432" t="s">
        <v>47424</v>
      </c>
      <c r="O12432" t="s">
        <v>47425</v>
      </c>
      <c r="P12432">
        <v>0</v>
      </c>
      <c r="Q12432">
        <v>0</v>
      </c>
      <c r="R12432" t="s">
        <v>47439</v>
      </c>
      <c r="S12432" t="s">
        <v>47860</v>
      </c>
      <c r="T12432" t="s">
        <v>49141</v>
      </c>
      <c r="U12432" t="s">
        <v>59865</v>
      </c>
      <c r="W12432" t="s">
        <v>46928</v>
      </c>
      <c r="X12432" t="s">
        <v>47440</v>
      </c>
    </row>
    <row r="12433" spans="1:24">
      <c r="A12433">
        <f>HYPERLINK("https://www.philgeps.gov.ph/GEPSNONPILOT/Tender/SplashBidNoticeAbstractUI.aspx?menuIndex=3&amp;refID=7141402&amp;Result=3","7141402")</f>
        <v>0</v>
      </c>
      <c r="B12433" t="s">
        <v>1724</v>
      </c>
      <c r="C12433" t="s">
        <v>15613</v>
      </c>
      <c r="D12433" t="s">
        <v>19069</v>
      </c>
      <c r="E12433" t="s">
        <v>29743</v>
      </c>
      <c r="F12433" t="s">
        <v>32831</v>
      </c>
      <c r="G12433" t="s">
        <v>32839</v>
      </c>
      <c r="H12433" t="s">
        <v>32848</v>
      </c>
      <c r="I12433" t="s">
        <v>32861</v>
      </c>
      <c r="J12433" t="s">
        <v>40599</v>
      </c>
      <c r="K12433" t="s">
        <v>42730</v>
      </c>
      <c r="M12433" t="s">
        <v>44847</v>
      </c>
      <c r="N12433" t="s">
        <v>47424</v>
      </c>
      <c r="O12433" t="s">
        <v>47425</v>
      </c>
      <c r="P12433">
        <v>0</v>
      </c>
      <c r="Q12433">
        <v>10</v>
      </c>
      <c r="R12433" t="s">
        <v>47439</v>
      </c>
      <c r="S12433" t="s">
        <v>47860</v>
      </c>
      <c r="T12433" t="s">
        <v>49099</v>
      </c>
      <c r="U12433" t="s">
        <v>59866</v>
      </c>
      <c r="W12433" t="s">
        <v>44847</v>
      </c>
      <c r="X12433" t="s">
        <v>47440</v>
      </c>
    </row>
    <row r="12434" spans="1:24">
      <c r="A12434">
        <f>HYPERLINK("https://www.philgeps.gov.ph/GEPSNONPILOT/Tender/SplashBidNoticeAbstractUI.aspx?menuIndex=3&amp;refID=7141362&amp;Result=3","7141362")</f>
        <v>0</v>
      </c>
      <c r="B12434" t="s">
        <v>1253</v>
      </c>
      <c r="C12434" t="s">
        <v>15614</v>
      </c>
      <c r="D12434" t="s">
        <v>19020</v>
      </c>
      <c r="E12434" t="s">
        <v>29744</v>
      </c>
      <c r="F12434" t="s">
        <v>32831</v>
      </c>
      <c r="G12434" t="s">
        <v>32839</v>
      </c>
      <c r="H12434" t="s">
        <v>32849</v>
      </c>
      <c r="I12434" t="s">
        <v>4177</v>
      </c>
      <c r="J12434" t="s">
        <v>40600</v>
      </c>
      <c r="K12434" t="s">
        <v>42729</v>
      </c>
      <c r="M12434" t="s">
        <v>46929</v>
      </c>
      <c r="N12434" t="s">
        <v>47424</v>
      </c>
      <c r="O12434" t="s">
        <v>47425</v>
      </c>
      <c r="P12434">
        <v>0</v>
      </c>
      <c r="Q12434">
        <v>0</v>
      </c>
      <c r="R12434" t="s">
        <v>47439</v>
      </c>
      <c r="S12434" t="s">
        <v>47860</v>
      </c>
      <c r="T12434" t="s">
        <v>49196</v>
      </c>
      <c r="U12434" t="s">
        <v>59867</v>
      </c>
      <c r="V12434" t="s">
        <v>64008</v>
      </c>
      <c r="W12434" t="s">
        <v>44323</v>
      </c>
      <c r="X12434" t="s">
        <v>47440</v>
      </c>
    </row>
    <row r="12435" spans="1:24">
      <c r="A12435">
        <f>HYPERLINK("https://www.philgeps.gov.ph/GEPSNONPILOT/Tender/SplashBidNoticeAbstractUI.aspx?menuIndex=3&amp;refID=7141375&amp;Result=3","7141375")</f>
        <v>0</v>
      </c>
      <c r="B12435" t="s">
        <v>287</v>
      </c>
      <c r="C12435" t="s">
        <v>15615</v>
      </c>
      <c r="D12435" t="s">
        <v>19070</v>
      </c>
      <c r="E12435" t="s">
        <v>29745</v>
      </c>
      <c r="F12435" t="s">
        <v>32831</v>
      </c>
      <c r="G12435" t="s">
        <v>32839</v>
      </c>
      <c r="H12435" t="s">
        <v>32849</v>
      </c>
      <c r="I12435" t="s">
        <v>32852</v>
      </c>
      <c r="J12435" t="s">
        <v>33241</v>
      </c>
      <c r="K12435" t="s">
        <v>42732</v>
      </c>
      <c r="M12435" t="s">
        <v>43286</v>
      </c>
      <c r="N12435" t="s">
        <v>47424</v>
      </c>
      <c r="O12435" t="s">
        <v>47425</v>
      </c>
      <c r="P12435">
        <v>0</v>
      </c>
      <c r="Q12435">
        <v>1</v>
      </c>
      <c r="R12435" t="s">
        <v>47439</v>
      </c>
      <c r="S12435" t="s">
        <v>47860</v>
      </c>
      <c r="T12435" t="s">
        <v>49105</v>
      </c>
      <c r="U12435" t="s">
        <v>59736</v>
      </c>
      <c r="V12435" t="s">
        <v>63986</v>
      </c>
      <c r="W12435" t="s">
        <v>43286</v>
      </c>
      <c r="X12435" t="s">
        <v>47440</v>
      </c>
    </row>
    <row r="12436" spans="1:24">
      <c r="A12436">
        <f>HYPERLINK("https://www.philgeps.gov.ph/GEPSNONPILOT/Tender/SplashBidNoticeAbstractUI.aspx?menuIndex=3&amp;refID=7141475&amp;Result=3","7141475")</f>
        <v>0</v>
      </c>
      <c r="B12436" t="s">
        <v>832</v>
      </c>
      <c r="C12436" t="s">
        <v>15616</v>
      </c>
      <c r="D12436" t="s">
        <v>19101</v>
      </c>
      <c r="E12436" t="s">
        <v>29746</v>
      </c>
      <c r="F12436" t="s">
        <v>32831</v>
      </c>
      <c r="G12436" t="s">
        <v>32839</v>
      </c>
      <c r="H12436" t="s">
        <v>32848</v>
      </c>
      <c r="I12436" t="s">
        <v>32925</v>
      </c>
      <c r="J12436" t="s">
        <v>40601</v>
      </c>
      <c r="K12436" t="s">
        <v>42763</v>
      </c>
      <c r="M12436" t="s">
        <v>44445</v>
      </c>
      <c r="N12436" t="s">
        <v>47424</v>
      </c>
      <c r="O12436" t="s">
        <v>47425</v>
      </c>
      <c r="Q12436">
        <v>6</v>
      </c>
      <c r="R12436" t="s">
        <v>47439</v>
      </c>
      <c r="S12436" t="s">
        <v>47932</v>
      </c>
      <c r="T12436" t="s">
        <v>49087</v>
      </c>
      <c r="U12436" t="s">
        <v>59868</v>
      </c>
      <c r="V12436" t="s">
        <v>63231</v>
      </c>
      <c r="W12436" t="s">
        <v>44445</v>
      </c>
      <c r="X12436" t="s">
        <v>47440</v>
      </c>
    </row>
    <row r="12437" spans="1:24">
      <c r="A12437">
        <f>HYPERLINK("https://www.philgeps.gov.ph/GEPSNONPILOT/Tender/SplashBidNoticeAbstractUI.aspx?menuIndex=3&amp;refID=7141554&amp;Result=3","7141554")</f>
        <v>0</v>
      </c>
      <c r="B12437" t="s">
        <v>3219</v>
      </c>
      <c r="C12437" t="s">
        <v>15617</v>
      </c>
      <c r="D12437" t="s">
        <v>19033</v>
      </c>
      <c r="E12437" t="s">
        <v>29747</v>
      </c>
      <c r="F12437" t="s">
        <v>32831</v>
      </c>
      <c r="G12437" t="s">
        <v>32839</v>
      </c>
      <c r="H12437" t="s">
        <v>32849</v>
      </c>
      <c r="I12437" t="s">
        <v>4177</v>
      </c>
      <c r="J12437" t="s">
        <v>40602</v>
      </c>
      <c r="K12437" t="s">
        <v>42732</v>
      </c>
      <c r="M12437" t="s">
        <v>46532</v>
      </c>
      <c r="N12437" t="s">
        <v>47424</v>
      </c>
      <c r="O12437" t="s">
        <v>47425</v>
      </c>
      <c r="P12437">
        <v>0</v>
      </c>
      <c r="Q12437">
        <v>16</v>
      </c>
      <c r="R12437" t="s">
        <v>47439</v>
      </c>
      <c r="S12437" t="s">
        <v>47860</v>
      </c>
      <c r="T12437" t="s">
        <v>49196</v>
      </c>
      <c r="U12437" t="s">
        <v>59869</v>
      </c>
      <c r="W12437" t="s">
        <v>46532</v>
      </c>
      <c r="X12437" t="s">
        <v>47440</v>
      </c>
    </row>
    <row r="12438" spans="1:24">
      <c r="A12438">
        <f>HYPERLINK("https://www.philgeps.gov.ph/GEPSNONPILOT/Tender/SplashBidNoticeAbstractUI.aspx?menuIndex=3&amp;refID=7141398&amp;Result=3","7141398")</f>
        <v>0</v>
      </c>
      <c r="B12438" t="s">
        <v>3572</v>
      </c>
      <c r="C12438" t="s">
        <v>15618</v>
      </c>
      <c r="D12438" t="s">
        <v>19052</v>
      </c>
      <c r="E12438" t="s">
        <v>29505</v>
      </c>
      <c r="F12438" t="s">
        <v>32831</v>
      </c>
      <c r="G12438" t="s">
        <v>32839</v>
      </c>
      <c r="H12438" t="s">
        <v>32848</v>
      </c>
      <c r="I12438" t="s">
        <v>4303</v>
      </c>
      <c r="J12438" t="s">
        <v>40603</v>
      </c>
      <c r="K12438" t="s">
        <v>42732</v>
      </c>
      <c r="M12438" t="s">
        <v>46930</v>
      </c>
      <c r="N12438" t="s">
        <v>47424</v>
      </c>
      <c r="O12438" t="s">
        <v>47425</v>
      </c>
      <c r="P12438">
        <v>0</v>
      </c>
      <c r="Q12438">
        <v>2</v>
      </c>
      <c r="R12438" t="s">
        <v>47439</v>
      </c>
      <c r="S12438" t="s">
        <v>47860</v>
      </c>
      <c r="T12438" t="s">
        <v>49080</v>
      </c>
      <c r="U12438" t="s">
        <v>59870</v>
      </c>
      <c r="W12438" t="s">
        <v>46930</v>
      </c>
      <c r="X12438" t="s">
        <v>47440</v>
      </c>
    </row>
    <row r="12439" spans="1:24">
      <c r="A12439">
        <f>HYPERLINK("https://www.philgeps.gov.ph/GEPSNONPILOT/Tender/SplashBidNoticeAbstractUI.aspx?menuIndex=3&amp;refID=7141549&amp;Result=3","7141549")</f>
        <v>0</v>
      </c>
      <c r="B12439" t="s">
        <v>3573</v>
      </c>
      <c r="C12439" t="s">
        <v>15619</v>
      </c>
      <c r="D12439" t="s">
        <v>19054</v>
      </c>
      <c r="E12439" t="s">
        <v>29748</v>
      </c>
      <c r="F12439" t="s">
        <v>32831</v>
      </c>
      <c r="G12439" t="s">
        <v>32839</v>
      </c>
      <c r="H12439" t="s">
        <v>32848</v>
      </c>
      <c r="I12439" t="s">
        <v>32883</v>
      </c>
      <c r="J12439" t="s">
        <v>36189</v>
      </c>
      <c r="K12439" t="s">
        <v>42732</v>
      </c>
      <c r="M12439" t="s">
        <v>46931</v>
      </c>
      <c r="N12439" t="s">
        <v>47424</v>
      </c>
      <c r="O12439" t="s">
        <v>47425</v>
      </c>
      <c r="P12439">
        <v>0</v>
      </c>
      <c r="Q12439">
        <v>11</v>
      </c>
      <c r="R12439" t="s">
        <v>47439</v>
      </c>
      <c r="S12439" t="s">
        <v>47860</v>
      </c>
      <c r="T12439" t="s">
        <v>49089</v>
      </c>
      <c r="U12439" t="s">
        <v>59871</v>
      </c>
      <c r="W12439" t="s">
        <v>46931</v>
      </c>
      <c r="X12439" t="s">
        <v>47440</v>
      </c>
    </row>
    <row r="12440" spans="1:24">
      <c r="A12440">
        <f>HYPERLINK("https://www.philgeps.gov.ph/GEPSNONPILOT/Tender/SplashBidNoticeAbstractUI.aspx?menuIndex=3&amp;refID=7141360&amp;Result=3","7141360")</f>
        <v>0</v>
      </c>
      <c r="B12440" t="s">
        <v>3574</v>
      </c>
      <c r="C12440" t="s">
        <v>15620</v>
      </c>
      <c r="E12440" t="s">
        <v>29749</v>
      </c>
      <c r="F12440" t="s">
        <v>32831</v>
      </c>
      <c r="G12440" t="s">
        <v>32838</v>
      </c>
      <c r="H12440" t="s">
        <v>32850</v>
      </c>
      <c r="I12440" t="s">
        <v>32958</v>
      </c>
      <c r="J12440" t="s">
        <v>40604</v>
      </c>
      <c r="K12440" t="s">
        <v>42745</v>
      </c>
      <c r="M12440" t="s">
        <v>46932</v>
      </c>
      <c r="N12440" t="s">
        <v>47424</v>
      </c>
      <c r="O12440" t="s">
        <v>47425</v>
      </c>
      <c r="Q12440">
        <v>2</v>
      </c>
      <c r="R12440" t="s">
        <v>47439</v>
      </c>
      <c r="S12440" t="s">
        <v>47933</v>
      </c>
      <c r="T12440" t="s">
        <v>49162</v>
      </c>
      <c r="U12440" t="s">
        <v>59872</v>
      </c>
      <c r="W12440" t="s">
        <v>46932</v>
      </c>
      <c r="X12440" t="s">
        <v>47440</v>
      </c>
    </row>
    <row r="12441" spans="1:24">
      <c r="A12441">
        <f>HYPERLINK("https://www.philgeps.gov.ph/GEPSNONPILOT/Tender/SplashBidNoticeAbstractUI.aspx?menuIndex=3&amp;refID=7141433&amp;Result=3","7141433")</f>
        <v>0</v>
      </c>
      <c r="B12441" t="s">
        <v>895</v>
      </c>
      <c r="C12441" t="s">
        <v>15621</v>
      </c>
      <c r="D12441" t="s">
        <v>19036</v>
      </c>
      <c r="E12441" t="s">
        <v>29750</v>
      </c>
      <c r="F12441" t="s">
        <v>32831</v>
      </c>
      <c r="G12441" t="s">
        <v>32839</v>
      </c>
      <c r="H12441" t="s">
        <v>32848</v>
      </c>
      <c r="I12441" t="s">
        <v>32853</v>
      </c>
      <c r="J12441" t="s">
        <v>40605</v>
      </c>
      <c r="K12441" t="s">
        <v>42727</v>
      </c>
      <c r="M12441" t="s">
        <v>44825</v>
      </c>
      <c r="N12441" t="s">
        <v>47424</v>
      </c>
      <c r="O12441" t="s">
        <v>47425</v>
      </c>
      <c r="P12441">
        <v>0</v>
      </c>
      <c r="Q12441">
        <v>2</v>
      </c>
      <c r="R12441" t="s">
        <v>47439</v>
      </c>
      <c r="S12441" t="s">
        <v>47860</v>
      </c>
      <c r="T12441" t="s">
        <v>49092</v>
      </c>
      <c r="U12441" t="s">
        <v>59873</v>
      </c>
      <c r="V12441" t="s">
        <v>62833</v>
      </c>
      <c r="W12441" t="s">
        <v>44825</v>
      </c>
      <c r="X12441" t="s">
        <v>47440</v>
      </c>
    </row>
    <row r="12442" spans="1:24">
      <c r="A12442">
        <f>HYPERLINK("https://www.philgeps.gov.ph/GEPSNONPILOT/Tender/SplashBidNoticeAbstractUI.aspx?menuIndex=3&amp;refID=7141381&amp;Result=3","7141381")</f>
        <v>0</v>
      </c>
      <c r="B12442" t="s">
        <v>272</v>
      </c>
      <c r="C12442" t="s">
        <v>15622</v>
      </c>
      <c r="D12442" t="s">
        <v>19077</v>
      </c>
      <c r="E12442" t="s">
        <v>29751</v>
      </c>
      <c r="F12442" t="s">
        <v>32831</v>
      </c>
      <c r="G12442" t="s">
        <v>32839</v>
      </c>
      <c r="H12442" t="s">
        <v>32848</v>
      </c>
      <c r="I12442" t="s">
        <v>32862</v>
      </c>
      <c r="J12442" t="s">
        <v>40606</v>
      </c>
      <c r="K12442" t="s">
        <v>42732</v>
      </c>
      <c r="M12442" t="s">
        <v>46188</v>
      </c>
      <c r="N12442" t="s">
        <v>47424</v>
      </c>
      <c r="O12442" t="s">
        <v>47425</v>
      </c>
      <c r="Q12442">
        <v>9</v>
      </c>
      <c r="R12442" t="s">
        <v>47439</v>
      </c>
      <c r="S12442" t="s">
        <v>47934</v>
      </c>
      <c r="T12442" t="s">
        <v>49221</v>
      </c>
      <c r="U12442" t="s">
        <v>59874</v>
      </c>
      <c r="V12442" t="s">
        <v>63623</v>
      </c>
      <c r="W12442" t="s">
        <v>46188</v>
      </c>
      <c r="X12442" t="s">
        <v>47440</v>
      </c>
    </row>
    <row r="12443" spans="1:24">
      <c r="A12443">
        <f>HYPERLINK("https://www.philgeps.gov.ph/GEPSNONPILOT/Tender/SplashBidNoticeAbstractUI.aspx?menuIndex=3&amp;refID=7141541&amp;Result=3","7141541")</f>
        <v>0</v>
      </c>
      <c r="B12443" t="s">
        <v>49</v>
      </c>
      <c r="C12443" t="s">
        <v>15623</v>
      </c>
      <c r="D12443" t="s">
        <v>19037</v>
      </c>
      <c r="E12443" t="s">
        <v>29752</v>
      </c>
      <c r="F12443" t="s">
        <v>32831</v>
      </c>
      <c r="G12443" t="s">
        <v>32839</v>
      </c>
      <c r="H12443" t="s">
        <v>32848</v>
      </c>
      <c r="I12443" t="s">
        <v>32857</v>
      </c>
      <c r="J12443" t="s">
        <v>40607</v>
      </c>
      <c r="K12443" t="s">
        <v>42750</v>
      </c>
      <c r="M12443" t="s">
        <v>45033</v>
      </c>
      <c r="N12443" t="s">
        <v>47424</v>
      </c>
      <c r="O12443" t="s">
        <v>47425</v>
      </c>
      <c r="P12443">
        <v>0</v>
      </c>
      <c r="Q12443">
        <v>6</v>
      </c>
      <c r="R12443" t="s">
        <v>47439</v>
      </c>
      <c r="S12443" t="s">
        <v>47860</v>
      </c>
      <c r="T12443" t="s">
        <v>49063</v>
      </c>
      <c r="U12443" t="s">
        <v>59875</v>
      </c>
      <c r="V12443" t="s">
        <v>63496</v>
      </c>
      <c r="W12443" t="s">
        <v>45033</v>
      </c>
      <c r="X12443" t="s">
        <v>47440</v>
      </c>
    </row>
    <row r="12444" spans="1:24">
      <c r="A12444">
        <f>HYPERLINK("https://www.philgeps.gov.ph/GEPSNONPILOT/Tender/SplashBidNoticeAbstractUI.aspx?menuIndex=3&amp;refID=7141514&amp;Result=3","7141514")</f>
        <v>0</v>
      </c>
      <c r="B12444" t="s">
        <v>2832</v>
      </c>
      <c r="C12444" t="s">
        <v>15624</v>
      </c>
      <c r="D12444" t="s">
        <v>19040</v>
      </c>
      <c r="E12444" t="s">
        <v>29753</v>
      </c>
      <c r="F12444" t="s">
        <v>32831</v>
      </c>
      <c r="G12444" t="s">
        <v>32839</v>
      </c>
      <c r="H12444" t="s">
        <v>32850</v>
      </c>
      <c r="I12444" t="s">
        <v>7751</v>
      </c>
      <c r="J12444" t="s">
        <v>33032</v>
      </c>
      <c r="K12444" t="s">
        <v>42730</v>
      </c>
      <c r="M12444" t="s">
        <v>46064</v>
      </c>
      <c r="N12444" t="s">
        <v>47424</v>
      </c>
      <c r="O12444" t="s">
        <v>47425</v>
      </c>
      <c r="P12444">
        <v>0</v>
      </c>
      <c r="Q12444">
        <v>3</v>
      </c>
      <c r="R12444" t="s">
        <v>47439</v>
      </c>
      <c r="S12444" t="s">
        <v>47860</v>
      </c>
      <c r="T12444" t="s">
        <v>49288</v>
      </c>
      <c r="U12444" t="s">
        <v>59876</v>
      </c>
      <c r="V12444" t="s">
        <v>64009</v>
      </c>
      <c r="W12444" t="s">
        <v>46064</v>
      </c>
      <c r="X12444" t="s">
        <v>47440</v>
      </c>
    </row>
    <row r="12445" spans="1:24">
      <c r="A12445">
        <f>HYPERLINK("https://www.philgeps.gov.ph/GEPSNONPILOT/Tender/SplashBidNoticeAbstractUI.aspx?menuIndex=3&amp;refID=7141389&amp;Result=3","7141389")</f>
        <v>0</v>
      </c>
      <c r="B12445" t="s">
        <v>2363</v>
      </c>
      <c r="C12445" t="s">
        <v>15625</v>
      </c>
      <c r="E12445" t="s">
        <v>29754</v>
      </c>
      <c r="F12445" t="s">
        <v>32831</v>
      </c>
      <c r="G12445" t="s">
        <v>32839</v>
      </c>
      <c r="H12445" t="s">
        <v>32848</v>
      </c>
      <c r="I12445" t="s">
        <v>10805</v>
      </c>
      <c r="J12445" t="s">
        <v>40608</v>
      </c>
      <c r="K12445" t="s">
        <v>42732</v>
      </c>
      <c r="M12445" t="s">
        <v>45975</v>
      </c>
      <c r="N12445" t="s">
        <v>47424</v>
      </c>
      <c r="O12445" t="s">
        <v>47425</v>
      </c>
      <c r="Q12445">
        <v>12</v>
      </c>
      <c r="R12445" t="s">
        <v>47439</v>
      </c>
      <c r="S12445" t="s">
        <v>47935</v>
      </c>
      <c r="T12445" t="s">
        <v>49615</v>
      </c>
      <c r="U12445" t="s">
        <v>59877</v>
      </c>
      <c r="W12445" t="s">
        <v>45975</v>
      </c>
      <c r="X12445" t="s">
        <v>47440</v>
      </c>
    </row>
    <row r="12446" spans="1:24">
      <c r="A12446">
        <f>HYPERLINK("https://www.philgeps.gov.ph/GEPSNONPILOT/Tender/SplashBidNoticeAbstractUI.aspx?menuIndex=3&amp;refID=7141579&amp;Result=3","7141579")</f>
        <v>0</v>
      </c>
      <c r="B12446" t="s">
        <v>2848</v>
      </c>
      <c r="C12446" t="s">
        <v>15626</v>
      </c>
      <c r="D12446" t="s">
        <v>19044</v>
      </c>
      <c r="E12446" t="s">
        <v>29755</v>
      </c>
      <c r="F12446" t="s">
        <v>32831</v>
      </c>
      <c r="G12446" t="s">
        <v>32839</v>
      </c>
      <c r="H12446" t="s">
        <v>32848</v>
      </c>
      <c r="I12446" t="s">
        <v>32857</v>
      </c>
      <c r="J12446" t="s">
        <v>40609</v>
      </c>
      <c r="K12446" t="s">
        <v>42732</v>
      </c>
      <c r="M12446" t="s">
        <v>46081</v>
      </c>
      <c r="N12446" t="s">
        <v>47424</v>
      </c>
      <c r="O12446" t="s">
        <v>47425</v>
      </c>
      <c r="Q12446">
        <v>6</v>
      </c>
      <c r="R12446" t="s">
        <v>47439</v>
      </c>
      <c r="S12446" t="s">
        <v>47936</v>
      </c>
      <c r="T12446" t="s">
        <v>49069</v>
      </c>
      <c r="U12446" t="s">
        <v>59863</v>
      </c>
      <c r="V12446" t="s">
        <v>63582</v>
      </c>
      <c r="W12446" t="s">
        <v>46081</v>
      </c>
      <c r="X12446" t="s">
        <v>47440</v>
      </c>
    </row>
    <row r="12447" spans="1:24">
      <c r="A12447">
        <f>HYPERLINK("https://www.philgeps.gov.ph/GEPSNONPILOT/Tender/SplashBidNoticeAbstractUI.aspx?menuIndex=3&amp;refID=7141528&amp;Result=3","7141528")</f>
        <v>0</v>
      </c>
      <c r="B12447" t="s">
        <v>3219</v>
      </c>
      <c r="C12447" t="s">
        <v>15627</v>
      </c>
      <c r="D12447" t="s">
        <v>19033</v>
      </c>
      <c r="E12447" t="s">
        <v>29756</v>
      </c>
      <c r="F12447" t="s">
        <v>32831</v>
      </c>
      <c r="G12447" t="s">
        <v>32839</v>
      </c>
      <c r="H12447" t="s">
        <v>32849</v>
      </c>
      <c r="I12447" t="s">
        <v>4177</v>
      </c>
      <c r="J12447" t="s">
        <v>34926</v>
      </c>
      <c r="K12447" t="s">
        <v>42732</v>
      </c>
      <c r="M12447" t="s">
        <v>46532</v>
      </c>
      <c r="N12447" t="s">
        <v>47424</v>
      </c>
      <c r="O12447" t="s">
        <v>47425</v>
      </c>
      <c r="P12447">
        <v>0</v>
      </c>
      <c r="Q12447">
        <v>20</v>
      </c>
      <c r="R12447" t="s">
        <v>47439</v>
      </c>
      <c r="S12447" t="s">
        <v>47860</v>
      </c>
      <c r="T12447" t="s">
        <v>49196</v>
      </c>
      <c r="U12447" t="s">
        <v>59878</v>
      </c>
      <c r="W12447" t="s">
        <v>46532</v>
      </c>
      <c r="X12447" t="s">
        <v>47440</v>
      </c>
    </row>
    <row r="12448" spans="1:24">
      <c r="A12448">
        <f>HYPERLINK("https://www.philgeps.gov.ph/GEPSNONPILOT/Tender/SplashBidNoticeAbstractUI.aspx?menuIndex=3&amp;refID=7141536&amp;Result=3","7141536")</f>
        <v>0</v>
      </c>
      <c r="B12448" t="s">
        <v>832</v>
      </c>
      <c r="C12448" t="s">
        <v>15628</v>
      </c>
      <c r="D12448" t="s">
        <v>19101</v>
      </c>
      <c r="E12448" t="s">
        <v>29757</v>
      </c>
      <c r="F12448" t="s">
        <v>32831</v>
      </c>
      <c r="G12448" t="s">
        <v>32839</v>
      </c>
      <c r="H12448" t="s">
        <v>32848</v>
      </c>
      <c r="I12448" t="s">
        <v>32925</v>
      </c>
      <c r="J12448" t="s">
        <v>40610</v>
      </c>
      <c r="K12448" t="s">
        <v>42729</v>
      </c>
      <c r="M12448" t="s">
        <v>44445</v>
      </c>
      <c r="N12448" t="s">
        <v>47424</v>
      </c>
      <c r="O12448" t="s">
        <v>47425</v>
      </c>
      <c r="Q12448">
        <v>7</v>
      </c>
      <c r="R12448" t="s">
        <v>47439</v>
      </c>
      <c r="S12448" t="s">
        <v>47937</v>
      </c>
      <c r="T12448" t="s">
        <v>49087</v>
      </c>
      <c r="U12448" t="s">
        <v>59868</v>
      </c>
      <c r="V12448" t="s">
        <v>63231</v>
      </c>
      <c r="W12448" t="s">
        <v>44445</v>
      </c>
      <c r="X12448" t="s">
        <v>47440</v>
      </c>
    </row>
    <row r="12449" spans="1:24">
      <c r="A12449">
        <f>HYPERLINK("https://www.philgeps.gov.ph/GEPSNONPILOT/Tender/SplashBidNoticeAbstractUI.aspx?menuIndex=3&amp;refID=7141559&amp;Result=3","7141559")</f>
        <v>0</v>
      </c>
      <c r="B12449" t="s">
        <v>3437</v>
      </c>
      <c r="C12449" t="s">
        <v>15629</v>
      </c>
      <c r="D12449" t="s">
        <v>19085</v>
      </c>
      <c r="E12449" t="s">
        <v>29758</v>
      </c>
      <c r="F12449" t="s">
        <v>32831</v>
      </c>
      <c r="G12449" t="s">
        <v>32839</v>
      </c>
      <c r="H12449" t="s">
        <v>32848</v>
      </c>
      <c r="I12449" t="s">
        <v>32854</v>
      </c>
      <c r="J12449" t="s">
        <v>33078</v>
      </c>
      <c r="K12449" t="s">
        <v>42763</v>
      </c>
      <c r="M12449" t="s">
        <v>46773</v>
      </c>
      <c r="N12449" t="s">
        <v>47424</v>
      </c>
      <c r="O12449" t="s">
        <v>47425</v>
      </c>
      <c r="P12449">
        <v>0</v>
      </c>
      <c r="Q12449">
        <v>3</v>
      </c>
      <c r="R12449" t="s">
        <v>47439</v>
      </c>
      <c r="S12449" t="s">
        <v>47860</v>
      </c>
      <c r="T12449" t="s">
        <v>49069</v>
      </c>
      <c r="U12449" t="s">
        <v>59879</v>
      </c>
      <c r="W12449" t="s">
        <v>46773</v>
      </c>
      <c r="X12449" t="s">
        <v>47440</v>
      </c>
    </row>
    <row r="12450" spans="1:24">
      <c r="A12450">
        <f>HYPERLINK("https://www.philgeps.gov.ph/GEPSNONPILOT/Tender/SplashBidNoticeAbstractUI.aspx?menuIndex=3&amp;refID=7141537&amp;Result=3","7141537")</f>
        <v>0</v>
      </c>
      <c r="B12450" t="s">
        <v>1724</v>
      </c>
      <c r="C12450" t="s">
        <v>15630</v>
      </c>
      <c r="D12450" t="s">
        <v>19069</v>
      </c>
      <c r="E12450" t="s">
        <v>29759</v>
      </c>
      <c r="F12450" t="s">
        <v>32831</v>
      </c>
      <c r="G12450" t="s">
        <v>32839</v>
      </c>
      <c r="H12450" t="s">
        <v>32848</v>
      </c>
      <c r="I12450" t="s">
        <v>32932</v>
      </c>
      <c r="J12450" t="s">
        <v>40611</v>
      </c>
      <c r="K12450" t="s">
        <v>42730</v>
      </c>
      <c r="M12450" t="s">
        <v>44847</v>
      </c>
      <c r="N12450" t="s">
        <v>47424</v>
      </c>
      <c r="O12450" t="s">
        <v>47425</v>
      </c>
      <c r="P12450">
        <v>0</v>
      </c>
      <c r="Q12450">
        <v>1</v>
      </c>
      <c r="R12450" t="s">
        <v>47439</v>
      </c>
      <c r="S12450" t="s">
        <v>47860</v>
      </c>
      <c r="T12450" t="s">
        <v>49362</v>
      </c>
      <c r="U12450" t="s">
        <v>59880</v>
      </c>
      <c r="W12450" t="s">
        <v>44847</v>
      </c>
      <c r="X12450" t="s">
        <v>47440</v>
      </c>
    </row>
    <row r="12451" spans="1:24">
      <c r="A12451">
        <f>HYPERLINK("https://www.philgeps.gov.ph/GEPSNONPILOT/Tender/SplashBidNoticeAbstractUI.aspx?menuIndex=3&amp;refID=7141555&amp;Result=3","7141555")</f>
        <v>0</v>
      </c>
      <c r="B12451" t="s">
        <v>1724</v>
      </c>
      <c r="C12451" t="s">
        <v>15631</v>
      </c>
      <c r="D12451" t="s">
        <v>19069</v>
      </c>
      <c r="E12451" t="s">
        <v>29760</v>
      </c>
      <c r="F12451" t="s">
        <v>32831</v>
      </c>
      <c r="G12451" t="s">
        <v>32839</v>
      </c>
      <c r="H12451" t="s">
        <v>32849</v>
      </c>
      <c r="I12451" t="s">
        <v>4177</v>
      </c>
      <c r="J12451" t="s">
        <v>33241</v>
      </c>
      <c r="K12451" t="s">
        <v>42747</v>
      </c>
      <c r="M12451" t="s">
        <v>44847</v>
      </c>
      <c r="N12451" t="s">
        <v>47424</v>
      </c>
      <c r="O12451" t="s">
        <v>47425</v>
      </c>
      <c r="P12451">
        <v>0</v>
      </c>
      <c r="Q12451">
        <v>0</v>
      </c>
      <c r="R12451" t="s">
        <v>47439</v>
      </c>
      <c r="S12451" t="s">
        <v>47860</v>
      </c>
      <c r="T12451" t="s">
        <v>49449</v>
      </c>
      <c r="U12451" t="s">
        <v>59881</v>
      </c>
      <c r="W12451" t="s">
        <v>44847</v>
      </c>
      <c r="X12451" t="s">
        <v>47440</v>
      </c>
    </row>
    <row r="12452" spans="1:24">
      <c r="A12452">
        <f>HYPERLINK("https://www.philgeps.gov.ph/GEPSNONPILOT/Tender/SplashBidNoticeAbstractUI.aspx?menuIndex=3&amp;refID=7141506&amp;Result=3","7141506")</f>
        <v>0</v>
      </c>
      <c r="B12452" t="s">
        <v>1429</v>
      </c>
      <c r="C12452" t="s">
        <v>15632</v>
      </c>
      <c r="D12452" t="s">
        <v>19045</v>
      </c>
      <c r="E12452" t="s">
        <v>29761</v>
      </c>
      <c r="F12452" t="s">
        <v>32831</v>
      </c>
      <c r="G12452" t="s">
        <v>32839</v>
      </c>
      <c r="H12452" t="s">
        <v>32849</v>
      </c>
      <c r="I12452" t="s">
        <v>4177</v>
      </c>
      <c r="J12452" t="s">
        <v>40612</v>
      </c>
      <c r="K12452" t="s">
        <v>42730</v>
      </c>
      <c r="M12452" t="s">
        <v>44518</v>
      </c>
      <c r="N12452" t="s">
        <v>47424</v>
      </c>
      <c r="O12452" t="s">
        <v>47425</v>
      </c>
      <c r="P12452">
        <v>0</v>
      </c>
      <c r="Q12452">
        <v>0</v>
      </c>
      <c r="R12452" t="s">
        <v>47439</v>
      </c>
      <c r="S12452" t="s">
        <v>47860</v>
      </c>
      <c r="T12452" t="s">
        <v>49073</v>
      </c>
      <c r="U12452" t="s">
        <v>59882</v>
      </c>
      <c r="V12452" t="s">
        <v>64010</v>
      </c>
      <c r="W12452" t="s">
        <v>64469</v>
      </c>
      <c r="X12452" t="s">
        <v>47440</v>
      </c>
    </row>
    <row r="12453" spans="1:24">
      <c r="A12453">
        <f>HYPERLINK("https://www.philgeps.gov.ph/GEPSNONPILOT/Tender/SplashBidNoticeAbstractUI.aspx?menuIndex=3&amp;refID=7141495&amp;Result=3","7141495")</f>
        <v>0</v>
      </c>
      <c r="B12453" t="s">
        <v>2895</v>
      </c>
      <c r="C12453" t="s">
        <v>15633</v>
      </c>
      <c r="D12453" t="s">
        <v>19017</v>
      </c>
      <c r="E12453" t="s">
        <v>29762</v>
      </c>
      <c r="F12453" t="s">
        <v>32831</v>
      </c>
      <c r="G12453" t="s">
        <v>32839</v>
      </c>
      <c r="H12453" t="s">
        <v>32848</v>
      </c>
      <c r="I12453" t="s">
        <v>32863</v>
      </c>
      <c r="J12453" t="s">
        <v>40613</v>
      </c>
      <c r="K12453" t="s">
        <v>42732</v>
      </c>
      <c r="M12453" t="s">
        <v>46933</v>
      </c>
      <c r="N12453" t="s">
        <v>47424</v>
      </c>
      <c r="O12453" t="s">
        <v>47425</v>
      </c>
      <c r="Q12453">
        <v>4</v>
      </c>
      <c r="R12453" t="s">
        <v>47439</v>
      </c>
      <c r="S12453" t="s">
        <v>47938</v>
      </c>
      <c r="T12453" t="s">
        <v>49616</v>
      </c>
      <c r="U12453" t="s">
        <v>59883</v>
      </c>
      <c r="V12453" t="s">
        <v>64011</v>
      </c>
      <c r="W12453" t="s">
        <v>46933</v>
      </c>
      <c r="X12453" t="s">
        <v>47440</v>
      </c>
    </row>
    <row r="12454" spans="1:24">
      <c r="A12454">
        <f>HYPERLINK("https://www.philgeps.gov.ph/GEPSNONPILOT/Tender/SplashBidNoticeAbstractUI.aspx?menuIndex=3&amp;refID=7141511&amp;Result=3","7141511")</f>
        <v>0</v>
      </c>
      <c r="B12454" t="s">
        <v>1724</v>
      </c>
      <c r="C12454" t="s">
        <v>15630</v>
      </c>
      <c r="D12454" t="s">
        <v>19069</v>
      </c>
      <c r="E12454" t="s">
        <v>29763</v>
      </c>
      <c r="F12454" t="s">
        <v>32831</v>
      </c>
      <c r="G12454" t="s">
        <v>32839</v>
      </c>
      <c r="H12454" t="s">
        <v>32848</v>
      </c>
      <c r="I12454" t="s">
        <v>32932</v>
      </c>
      <c r="J12454" t="s">
        <v>40614</v>
      </c>
      <c r="K12454" t="s">
        <v>42730</v>
      </c>
      <c r="M12454" t="s">
        <v>44847</v>
      </c>
      <c r="N12454" t="s">
        <v>47424</v>
      </c>
      <c r="O12454" t="s">
        <v>47425</v>
      </c>
      <c r="P12454">
        <v>0</v>
      </c>
      <c r="Q12454">
        <v>2</v>
      </c>
      <c r="R12454" t="s">
        <v>47439</v>
      </c>
      <c r="S12454" t="s">
        <v>47860</v>
      </c>
      <c r="T12454" t="s">
        <v>49617</v>
      </c>
      <c r="U12454" t="s">
        <v>59884</v>
      </c>
      <c r="W12454" t="s">
        <v>44847</v>
      </c>
      <c r="X12454" t="s">
        <v>47440</v>
      </c>
    </row>
    <row r="12455" spans="1:24">
      <c r="A12455">
        <f>HYPERLINK("https://www.philgeps.gov.ph/GEPSNONPILOT/Tender/SplashBidNoticeAbstractUI.aspx?menuIndex=3&amp;refID=7141494&amp;Result=3","7141494")</f>
        <v>0</v>
      </c>
      <c r="B12455" t="s">
        <v>3074</v>
      </c>
      <c r="C12455" t="s">
        <v>15634</v>
      </c>
      <c r="D12455" t="s">
        <v>19022</v>
      </c>
      <c r="E12455" t="s">
        <v>29764</v>
      </c>
      <c r="F12455" t="s">
        <v>32831</v>
      </c>
      <c r="G12455" t="s">
        <v>32839</v>
      </c>
      <c r="H12455" t="s">
        <v>32848</v>
      </c>
      <c r="I12455" t="s">
        <v>4776</v>
      </c>
      <c r="J12455" t="s">
        <v>34755</v>
      </c>
      <c r="K12455" t="s">
        <v>42746</v>
      </c>
      <c r="M12455" t="s">
        <v>46353</v>
      </c>
      <c r="N12455" t="s">
        <v>47424</v>
      </c>
      <c r="O12455" t="s">
        <v>47425</v>
      </c>
      <c r="P12455">
        <v>0</v>
      </c>
      <c r="Q12455">
        <v>9</v>
      </c>
      <c r="R12455" t="s">
        <v>47439</v>
      </c>
      <c r="S12455" t="s">
        <v>47860</v>
      </c>
      <c r="T12455" t="s">
        <v>49464</v>
      </c>
      <c r="U12455" t="s">
        <v>59885</v>
      </c>
      <c r="W12455" t="s">
        <v>46353</v>
      </c>
      <c r="X12455" t="s">
        <v>47440</v>
      </c>
    </row>
    <row r="12456" spans="1:24">
      <c r="A12456">
        <f>HYPERLINK("https://www.philgeps.gov.ph/GEPSNONPILOT/Tender/SplashBidNoticeAbstractUI.aspx?menuIndex=3&amp;refID=7141572&amp;Result=3","7141572")</f>
        <v>0</v>
      </c>
      <c r="B12456" t="s">
        <v>832</v>
      </c>
      <c r="C12456" t="s">
        <v>15635</v>
      </c>
      <c r="D12456" t="s">
        <v>19101</v>
      </c>
      <c r="E12456" t="s">
        <v>29765</v>
      </c>
      <c r="F12456" t="s">
        <v>32831</v>
      </c>
      <c r="G12456" t="s">
        <v>32839</v>
      </c>
      <c r="H12456" t="s">
        <v>32848</v>
      </c>
      <c r="I12456" t="s">
        <v>32925</v>
      </c>
      <c r="J12456" t="s">
        <v>40615</v>
      </c>
      <c r="K12456" t="s">
        <v>42763</v>
      </c>
      <c r="M12456" t="s">
        <v>44445</v>
      </c>
      <c r="N12456" t="s">
        <v>47424</v>
      </c>
      <c r="O12456" t="s">
        <v>47425</v>
      </c>
      <c r="Q12456">
        <v>8</v>
      </c>
      <c r="R12456" t="s">
        <v>47439</v>
      </c>
      <c r="S12456" t="s">
        <v>47939</v>
      </c>
      <c r="T12456" t="s">
        <v>49087</v>
      </c>
      <c r="U12456" t="s">
        <v>59868</v>
      </c>
      <c r="V12456" t="s">
        <v>63231</v>
      </c>
      <c r="W12456" t="s">
        <v>44445</v>
      </c>
      <c r="X12456" t="s">
        <v>47440</v>
      </c>
    </row>
    <row r="12457" spans="1:24">
      <c r="A12457">
        <f>HYPERLINK("https://www.philgeps.gov.ph/GEPSNONPILOT/Tender/SplashBidNoticeAbstractUI.aspx?menuIndex=3&amp;refID=7141485&amp;Result=3","7141485")</f>
        <v>0</v>
      </c>
      <c r="B12457" t="s">
        <v>895</v>
      </c>
      <c r="C12457" t="s">
        <v>15636</v>
      </c>
      <c r="D12457" t="s">
        <v>19036</v>
      </c>
      <c r="E12457" t="s">
        <v>29766</v>
      </c>
      <c r="F12457" t="s">
        <v>32831</v>
      </c>
      <c r="G12457" t="s">
        <v>32839</v>
      </c>
      <c r="H12457" t="s">
        <v>32848</v>
      </c>
      <c r="I12457" t="s">
        <v>4776</v>
      </c>
      <c r="J12457" t="s">
        <v>32983</v>
      </c>
      <c r="K12457" t="s">
        <v>42727</v>
      </c>
      <c r="M12457" t="s">
        <v>44825</v>
      </c>
      <c r="N12457" t="s">
        <v>47424</v>
      </c>
      <c r="O12457" t="s">
        <v>47425</v>
      </c>
      <c r="P12457">
        <v>0</v>
      </c>
      <c r="Q12457">
        <v>4</v>
      </c>
      <c r="R12457" t="s">
        <v>47439</v>
      </c>
      <c r="S12457" t="s">
        <v>47860</v>
      </c>
      <c r="T12457" t="s">
        <v>49092</v>
      </c>
      <c r="U12457" t="s">
        <v>59886</v>
      </c>
      <c r="V12457" t="s">
        <v>62833</v>
      </c>
      <c r="W12457" t="s">
        <v>44825</v>
      </c>
      <c r="X12457" t="s">
        <v>47440</v>
      </c>
    </row>
    <row r="12458" spans="1:24">
      <c r="A12458">
        <f>HYPERLINK("https://www.philgeps.gov.ph/GEPSNONPILOT/Tender/SplashBidNoticeAbstractUI.aspx?menuIndex=3&amp;refID=7141423&amp;Result=3","7141423")</f>
        <v>0</v>
      </c>
      <c r="B12458" t="s">
        <v>3575</v>
      </c>
      <c r="C12458" t="s">
        <v>15637</v>
      </c>
      <c r="D12458" t="s">
        <v>19047</v>
      </c>
      <c r="E12458" t="s">
        <v>29767</v>
      </c>
      <c r="F12458" t="s">
        <v>32831</v>
      </c>
      <c r="G12458" t="s">
        <v>32839</v>
      </c>
      <c r="H12458" t="s">
        <v>32849</v>
      </c>
      <c r="I12458" t="s">
        <v>4177</v>
      </c>
      <c r="J12458" t="s">
        <v>40616</v>
      </c>
      <c r="K12458" t="s">
        <v>42829</v>
      </c>
      <c r="M12458" t="s">
        <v>46934</v>
      </c>
      <c r="N12458" t="s">
        <v>47424</v>
      </c>
      <c r="O12458" t="s">
        <v>47425</v>
      </c>
      <c r="P12458">
        <v>0</v>
      </c>
      <c r="Q12458">
        <v>1</v>
      </c>
      <c r="R12458" t="s">
        <v>47439</v>
      </c>
      <c r="S12458" t="s">
        <v>47860</v>
      </c>
      <c r="T12458" t="s">
        <v>49080</v>
      </c>
      <c r="U12458" t="s">
        <v>59887</v>
      </c>
      <c r="W12458" t="s">
        <v>46934</v>
      </c>
      <c r="X12458" t="s">
        <v>47440</v>
      </c>
    </row>
    <row r="12459" spans="1:24">
      <c r="A12459">
        <f>HYPERLINK("https://www.philgeps.gov.ph/GEPSNONPILOT/Tender/SplashBidNoticeAbstractUI.aspx?menuIndex=3&amp;refID=7141638&amp;Result=3","7141638")</f>
        <v>0</v>
      </c>
      <c r="B12459" t="s">
        <v>2848</v>
      </c>
      <c r="C12459" t="s">
        <v>15638</v>
      </c>
      <c r="D12459" t="s">
        <v>19044</v>
      </c>
      <c r="E12459" t="s">
        <v>15638</v>
      </c>
      <c r="F12459" t="s">
        <v>32831</v>
      </c>
      <c r="G12459" t="s">
        <v>32839</v>
      </c>
      <c r="H12459" t="s">
        <v>32848</v>
      </c>
      <c r="I12459" t="s">
        <v>4438</v>
      </c>
      <c r="J12459" t="s">
        <v>40617</v>
      </c>
      <c r="K12459" t="s">
        <v>42732</v>
      </c>
      <c r="M12459" t="s">
        <v>46081</v>
      </c>
      <c r="N12459" t="s">
        <v>47424</v>
      </c>
      <c r="O12459" t="s">
        <v>47425</v>
      </c>
      <c r="Q12459">
        <v>2</v>
      </c>
      <c r="R12459" t="s">
        <v>47439</v>
      </c>
      <c r="S12459" t="s">
        <v>47940</v>
      </c>
      <c r="T12459" t="s">
        <v>49069</v>
      </c>
      <c r="U12459" t="s">
        <v>59863</v>
      </c>
      <c r="V12459" t="s">
        <v>63582</v>
      </c>
      <c r="W12459" t="s">
        <v>46081</v>
      </c>
      <c r="X12459" t="s">
        <v>47440</v>
      </c>
    </row>
    <row r="12460" spans="1:24">
      <c r="A12460">
        <f>HYPERLINK("https://www.philgeps.gov.ph/GEPSNONPILOT/Tender/SplashBidNoticeAbstractUI.aspx?menuIndex=3&amp;refID=7141633&amp;Result=3","7141633")</f>
        <v>0</v>
      </c>
      <c r="B12460" t="s">
        <v>3437</v>
      </c>
      <c r="C12460" t="s">
        <v>15639</v>
      </c>
      <c r="D12460" t="s">
        <v>19085</v>
      </c>
      <c r="E12460" t="s">
        <v>29768</v>
      </c>
      <c r="F12460" t="s">
        <v>32831</v>
      </c>
      <c r="G12460" t="s">
        <v>32839</v>
      </c>
      <c r="H12460" t="s">
        <v>32849</v>
      </c>
      <c r="I12460" t="s">
        <v>4177</v>
      </c>
      <c r="J12460" t="s">
        <v>33083</v>
      </c>
      <c r="K12460" t="s">
        <v>42787</v>
      </c>
      <c r="M12460" t="s">
        <v>46773</v>
      </c>
      <c r="N12460" t="s">
        <v>47424</v>
      </c>
      <c r="O12460" t="s">
        <v>47425</v>
      </c>
      <c r="P12460">
        <v>0</v>
      </c>
      <c r="Q12460">
        <v>0</v>
      </c>
      <c r="R12460" t="s">
        <v>47439</v>
      </c>
      <c r="S12460" t="s">
        <v>47860</v>
      </c>
      <c r="T12460" t="s">
        <v>49069</v>
      </c>
      <c r="U12460" t="s">
        <v>59888</v>
      </c>
      <c r="W12460" t="s">
        <v>46773</v>
      </c>
      <c r="X12460" t="s">
        <v>47440</v>
      </c>
    </row>
    <row r="12461" spans="1:24">
      <c r="A12461">
        <f>HYPERLINK("https://www.philgeps.gov.ph/GEPSNONPILOT/Tender/SplashBidNoticeAbstractUI.aspx?menuIndex=3&amp;refID=7141629&amp;Result=3","7141629")</f>
        <v>0</v>
      </c>
      <c r="B12461" t="s">
        <v>107</v>
      </c>
      <c r="C12461" t="s">
        <v>15640</v>
      </c>
      <c r="D12461" t="s">
        <v>19034</v>
      </c>
      <c r="E12461" t="s">
        <v>29769</v>
      </c>
      <c r="F12461" t="s">
        <v>32831</v>
      </c>
      <c r="G12461" t="s">
        <v>32839</v>
      </c>
      <c r="H12461" t="s">
        <v>32848</v>
      </c>
      <c r="I12461" t="s">
        <v>4776</v>
      </c>
      <c r="J12461" t="s">
        <v>40618</v>
      </c>
      <c r="K12461" t="s">
        <v>42730</v>
      </c>
      <c r="M12461" t="s">
        <v>43104</v>
      </c>
      <c r="N12461" t="s">
        <v>47424</v>
      </c>
      <c r="O12461" t="s">
        <v>47425</v>
      </c>
      <c r="P12461">
        <v>0</v>
      </c>
      <c r="Q12461">
        <v>4</v>
      </c>
      <c r="R12461" t="s">
        <v>47439</v>
      </c>
      <c r="S12461" t="s">
        <v>47860</v>
      </c>
      <c r="T12461" t="s">
        <v>49160</v>
      </c>
      <c r="U12461" t="s">
        <v>59889</v>
      </c>
      <c r="W12461" t="s">
        <v>43104</v>
      </c>
      <c r="X12461" t="s">
        <v>47440</v>
      </c>
    </row>
    <row r="12462" spans="1:24">
      <c r="A12462">
        <f>HYPERLINK("https://www.philgeps.gov.ph/GEPSNONPILOT/Tender/SplashBidNoticeAbstractUI.aspx?menuIndex=3&amp;refID=7141619&amp;Result=3","7141619")</f>
        <v>0</v>
      </c>
      <c r="B12462" t="s">
        <v>3437</v>
      </c>
      <c r="C12462" t="s">
        <v>15641</v>
      </c>
      <c r="D12462" t="s">
        <v>19085</v>
      </c>
      <c r="E12462" t="s">
        <v>29770</v>
      </c>
      <c r="F12462" t="s">
        <v>32831</v>
      </c>
      <c r="G12462" t="s">
        <v>32839</v>
      </c>
      <c r="H12462" t="s">
        <v>32849</v>
      </c>
      <c r="I12462" t="s">
        <v>4177</v>
      </c>
      <c r="J12462" t="s">
        <v>36730</v>
      </c>
      <c r="K12462" t="s">
        <v>42846</v>
      </c>
      <c r="M12462" t="s">
        <v>46773</v>
      </c>
      <c r="N12462" t="s">
        <v>47424</v>
      </c>
      <c r="O12462" t="s">
        <v>47425</v>
      </c>
      <c r="P12462">
        <v>0</v>
      </c>
      <c r="Q12462">
        <v>0</v>
      </c>
      <c r="R12462" t="s">
        <v>47439</v>
      </c>
      <c r="S12462" t="s">
        <v>47860</v>
      </c>
      <c r="T12462" t="s">
        <v>49069</v>
      </c>
      <c r="U12462" t="s">
        <v>59890</v>
      </c>
      <c r="W12462" t="s">
        <v>46773</v>
      </c>
      <c r="X12462" t="s">
        <v>47440</v>
      </c>
    </row>
    <row r="12463" spans="1:24">
      <c r="A12463">
        <f>HYPERLINK("https://www.philgeps.gov.ph/GEPSNONPILOT/Tender/SplashBidNoticeAbstractUI.aspx?menuIndex=3&amp;refID=7141617&amp;Result=3","7141617")</f>
        <v>0</v>
      </c>
      <c r="B12463" t="s">
        <v>107</v>
      </c>
      <c r="C12463" t="s">
        <v>15642</v>
      </c>
      <c r="D12463" t="s">
        <v>19034</v>
      </c>
      <c r="E12463" t="s">
        <v>29771</v>
      </c>
      <c r="F12463" t="s">
        <v>32831</v>
      </c>
      <c r="G12463" t="s">
        <v>32839</v>
      </c>
      <c r="H12463" t="s">
        <v>32848</v>
      </c>
      <c r="I12463" t="s">
        <v>32856</v>
      </c>
      <c r="J12463" t="s">
        <v>40619</v>
      </c>
      <c r="K12463" t="s">
        <v>42730</v>
      </c>
      <c r="M12463" t="s">
        <v>43104</v>
      </c>
      <c r="N12463" t="s">
        <v>47424</v>
      </c>
      <c r="O12463" t="s">
        <v>47425</v>
      </c>
      <c r="P12463">
        <v>0</v>
      </c>
      <c r="Q12463">
        <v>1</v>
      </c>
      <c r="R12463" t="s">
        <v>47439</v>
      </c>
      <c r="S12463" t="s">
        <v>47860</v>
      </c>
      <c r="T12463" t="s">
        <v>49283</v>
      </c>
      <c r="U12463" t="s">
        <v>59891</v>
      </c>
      <c r="W12463" t="s">
        <v>43104</v>
      </c>
      <c r="X12463" t="s">
        <v>47440</v>
      </c>
    </row>
    <row r="12464" spans="1:24">
      <c r="A12464">
        <f>HYPERLINK("https://www.philgeps.gov.ph/GEPSNONPILOT/Tender/SplashBidNoticeAbstractUI.aspx?menuIndex=3&amp;refID=7141615&amp;Result=3","7141615")</f>
        <v>0</v>
      </c>
      <c r="B12464" t="s">
        <v>2848</v>
      </c>
      <c r="C12464" t="s">
        <v>15643</v>
      </c>
      <c r="D12464" t="s">
        <v>19044</v>
      </c>
      <c r="E12464" t="s">
        <v>15643</v>
      </c>
      <c r="F12464" t="s">
        <v>32831</v>
      </c>
      <c r="G12464" t="s">
        <v>32839</v>
      </c>
      <c r="H12464" t="s">
        <v>32848</v>
      </c>
      <c r="I12464" t="s">
        <v>32894</v>
      </c>
      <c r="J12464" t="s">
        <v>40620</v>
      </c>
      <c r="K12464" t="s">
        <v>42732</v>
      </c>
      <c r="M12464" t="s">
        <v>46081</v>
      </c>
      <c r="N12464" t="s">
        <v>47424</v>
      </c>
      <c r="O12464" t="s">
        <v>47425</v>
      </c>
      <c r="Q12464">
        <v>2</v>
      </c>
      <c r="R12464" t="s">
        <v>47439</v>
      </c>
      <c r="S12464" t="s">
        <v>47941</v>
      </c>
      <c r="T12464" t="s">
        <v>49069</v>
      </c>
      <c r="U12464" t="s">
        <v>59863</v>
      </c>
      <c r="V12464" t="s">
        <v>63582</v>
      </c>
      <c r="W12464" t="s">
        <v>46081</v>
      </c>
      <c r="X12464" t="s">
        <v>47440</v>
      </c>
    </row>
    <row r="12465" spans="1:24">
      <c r="A12465">
        <f>HYPERLINK("https://www.philgeps.gov.ph/GEPSNONPILOT/Tender/SplashBidNoticeAbstractUI.aspx?menuIndex=3&amp;refID=7141481&amp;Result=3","7141481")</f>
        <v>0</v>
      </c>
      <c r="B12465" t="s">
        <v>3491</v>
      </c>
      <c r="C12465" t="s">
        <v>15644</v>
      </c>
      <c r="E12465" t="s">
        <v>29772</v>
      </c>
      <c r="F12465" t="s">
        <v>32831</v>
      </c>
      <c r="G12465" t="s">
        <v>32839</v>
      </c>
      <c r="H12465" t="s">
        <v>32848</v>
      </c>
      <c r="I12465" t="s">
        <v>7416</v>
      </c>
      <c r="J12465" t="s">
        <v>33401</v>
      </c>
      <c r="K12465" t="s">
        <v>42729</v>
      </c>
      <c r="M12465" t="s">
        <v>46840</v>
      </c>
      <c r="N12465" t="s">
        <v>47424</v>
      </c>
      <c r="O12465" t="s">
        <v>47425</v>
      </c>
      <c r="P12465">
        <v>0</v>
      </c>
      <c r="Q12465">
        <v>0</v>
      </c>
      <c r="R12465" t="s">
        <v>47439</v>
      </c>
      <c r="S12465" t="s">
        <v>47860</v>
      </c>
      <c r="T12465" t="s">
        <v>49070</v>
      </c>
      <c r="U12465" t="s">
        <v>59892</v>
      </c>
      <c r="W12465" t="s">
        <v>46840</v>
      </c>
      <c r="X12465" t="s">
        <v>47440</v>
      </c>
    </row>
    <row r="12466" spans="1:24">
      <c r="A12466">
        <f>HYPERLINK("https://www.philgeps.gov.ph/GEPSNONPILOT/Tender/SplashBidNoticeAbstractUI.aspx?menuIndex=3&amp;refID=7141582&amp;Result=3","7141582")</f>
        <v>0</v>
      </c>
      <c r="B12466" t="s">
        <v>832</v>
      </c>
      <c r="C12466" t="s">
        <v>15645</v>
      </c>
      <c r="D12466" t="s">
        <v>19101</v>
      </c>
      <c r="E12466" t="s">
        <v>29773</v>
      </c>
      <c r="F12466" t="s">
        <v>32831</v>
      </c>
      <c r="G12466" t="s">
        <v>32839</v>
      </c>
      <c r="H12466" t="s">
        <v>32848</v>
      </c>
      <c r="I12466" t="s">
        <v>32925</v>
      </c>
      <c r="J12466" t="s">
        <v>40621</v>
      </c>
      <c r="K12466" t="s">
        <v>42729</v>
      </c>
      <c r="M12466" t="s">
        <v>44445</v>
      </c>
      <c r="N12466" t="s">
        <v>47424</v>
      </c>
      <c r="O12466" t="s">
        <v>47425</v>
      </c>
      <c r="Q12466">
        <v>8</v>
      </c>
      <c r="R12466" t="s">
        <v>47439</v>
      </c>
      <c r="S12466" t="s">
        <v>47942</v>
      </c>
      <c r="T12466" t="s">
        <v>49097</v>
      </c>
      <c r="U12466" t="s">
        <v>59868</v>
      </c>
      <c r="V12466" t="s">
        <v>63231</v>
      </c>
      <c r="W12466" t="s">
        <v>44445</v>
      </c>
      <c r="X12466" t="s">
        <v>47440</v>
      </c>
    </row>
    <row r="12467" spans="1:24">
      <c r="A12467">
        <f>HYPERLINK("https://www.philgeps.gov.ph/GEPSNONPILOT/Tender/SplashBidNoticeAbstractUI.aspx?menuIndex=3&amp;refID=7141599&amp;Result=3","7141599")</f>
        <v>0</v>
      </c>
      <c r="B12467" t="s">
        <v>832</v>
      </c>
      <c r="C12467" t="s">
        <v>15646</v>
      </c>
      <c r="D12467" t="s">
        <v>19101</v>
      </c>
      <c r="E12467" t="s">
        <v>29774</v>
      </c>
      <c r="F12467" t="s">
        <v>32831</v>
      </c>
      <c r="G12467" t="s">
        <v>32839</v>
      </c>
      <c r="H12467" t="s">
        <v>32848</v>
      </c>
      <c r="I12467" t="s">
        <v>32925</v>
      </c>
      <c r="J12467" t="s">
        <v>40622</v>
      </c>
      <c r="K12467" t="s">
        <v>42729</v>
      </c>
      <c r="M12467" t="s">
        <v>44445</v>
      </c>
      <c r="N12467" t="s">
        <v>47424</v>
      </c>
      <c r="O12467" t="s">
        <v>47425</v>
      </c>
      <c r="Q12467">
        <v>5</v>
      </c>
      <c r="R12467" t="s">
        <v>47439</v>
      </c>
      <c r="S12467" t="s">
        <v>47943</v>
      </c>
      <c r="T12467" t="s">
        <v>49097</v>
      </c>
      <c r="U12467" t="s">
        <v>59868</v>
      </c>
      <c r="V12467" t="s">
        <v>63231</v>
      </c>
      <c r="W12467" t="s">
        <v>44445</v>
      </c>
      <c r="X12467" t="s">
        <v>47440</v>
      </c>
    </row>
    <row r="12468" spans="1:24">
      <c r="A12468">
        <f>HYPERLINK("https://www.philgeps.gov.ph/GEPSNONPILOT/Tender/SplashBidNoticeAbstractUI.aspx?menuIndex=3&amp;refID=7141701&amp;Result=3","7141701")</f>
        <v>0</v>
      </c>
      <c r="B12468" t="s">
        <v>911</v>
      </c>
      <c r="C12468" t="s">
        <v>15647</v>
      </c>
      <c r="D12468" t="s">
        <v>19049</v>
      </c>
      <c r="E12468" t="s">
        <v>29775</v>
      </c>
      <c r="F12468" t="s">
        <v>32831</v>
      </c>
      <c r="G12468" t="s">
        <v>32839</v>
      </c>
      <c r="H12468" t="s">
        <v>32848</v>
      </c>
      <c r="I12468" t="s">
        <v>32860</v>
      </c>
      <c r="J12468" t="s">
        <v>40623</v>
      </c>
      <c r="K12468" t="s">
        <v>42730</v>
      </c>
      <c r="M12468" t="s">
        <v>43951</v>
      </c>
      <c r="N12468" t="s">
        <v>47424</v>
      </c>
      <c r="O12468" t="s">
        <v>47425</v>
      </c>
      <c r="P12468">
        <v>0</v>
      </c>
      <c r="Q12468">
        <v>2</v>
      </c>
      <c r="R12468" t="s">
        <v>47439</v>
      </c>
      <c r="S12468" t="s">
        <v>47860</v>
      </c>
      <c r="T12468" t="s">
        <v>49069</v>
      </c>
      <c r="U12468" t="s">
        <v>52589</v>
      </c>
      <c r="W12468" t="s">
        <v>43951</v>
      </c>
      <c r="X12468" t="s">
        <v>47440</v>
      </c>
    </row>
    <row r="12469" spans="1:24">
      <c r="A12469">
        <f>HYPERLINK("https://www.philgeps.gov.ph/GEPSNONPILOT/Tender/SplashBidNoticeAbstractUI.aspx?menuIndex=3&amp;refID=7141668&amp;Result=3","7141668")</f>
        <v>0</v>
      </c>
      <c r="B12469" t="s">
        <v>3437</v>
      </c>
      <c r="C12469" t="s">
        <v>15648</v>
      </c>
      <c r="D12469" t="s">
        <v>19085</v>
      </c>
      <c r="E12469" t="s">
        <v>29776</v>
      </c>
      <c r="F12469" t="s">
        <v>32831</v>
      </c>
      <c r="G12469" t="s">
        <v>32839</v>
      </c>
      <c r="H12469" t="s">
        <v>32849</v>
      </c>
      <c r="I12469" t="s">
        <v>4177</v>
      </c>
      <c r="J12469" t="s">
        <v>38546</v>
      </c>
      <c r="K12469" t="s">
        <v>42747</v>
      </c>
      <c r="M12469" t="s">
        <v>46773</v>
      </c>
      <c r="N12469" t="s">
        <v>47424</v>
      </c>
      <c r="O12469" t="s">
        <v>47425</v>
      </c>
      <c r="P12469">
        <v>0</v>
      </c>
      <c r="Q12469">
        <v>0</v>
      </c>
      <c r="R12469" t="s">
        <v>47439</v>
      </c>
      <c r="S12469" t="s">
        <v>47860</v>
      </c>
      <c r="T12469" t="s">
        <v>49069</v>
      </c>
      <c r="U12469" t="s">
        <v>59893</v>
      </c>
      <c r="W12469" t="s">
        <v>46773</v>
      </c>
      <c r="X12469" t="s">
        <v>47440</v>
      </c>
    </row>
    <row r="12470" spans="1:24">
      <c r="A12470">
        <f>HYPERLINK("https://www.philgeps.gov.ph/GEPSNONPILOT/Tender/SplashBidNoticeAbstractUI.aspx?menuIndex=3&amp;refID=7141643&amp;Result=3","7141643")</f>
        <v>0</v>
      </c>
      <c r="B12470" t="s">
        <v>3437</v>
      </c>
      <c r="C12470" t="s">
        <v>15649</v>
      </c>
      <c r="D12470" t="s">
        <v>19085</v>
      </c>
      <c r="E12470" t="s">
        <v>29777</v>
      </c>
      <c r="F12470" t="s">
        <v>32831</v>
      </c>
      <c r="G12470" t="s">
        <v>32839</v>
      </c>
      <c r="H12470" t="s">
        <v>32849</v>
      </c>
      <c r="I12470" t="s">
        <v>4177</v>
      </c>
      <c r="J12470" t="s">
        <v>40139</v>
      </c>
      <c r="K12470" t="s">
        <v>42737</v>
      </c>
      <c r="M12470" t="s">
        <v>46773</v>
      </c>
      <c r="N12470" t="s">
        <v>47424</v>
      </c>
      <c r="O12470" t="s">
        <v>47425</v>
      </c>
      <c r="P12470">
        <v>0</v>
      </c>
      <c r="Q12470">
        <v>0</v>
      </c>
      <c r="R12470" t="s">
        <v>47439</v>
      </c>
      <c r="S12470" t="s">
        <v>47860</v>
      </c>
      <c r="T12470" t="s">
        <v>49069</v>
      </c>
      <c r="U12470" t="s">
        <v>59894</v>
      </c>
      <c r="W12470" t="s">
        <v>46773</v>
      </c>
      <c r="X12470" t="s">
        <v>47440</v>
      </c>
    </row>
    <row r="12471" spans="1:24">
      <c r="A12471">
        <f>HYPERLINK("https://www.philgeps.gov.ph/GEPSNONPILOT/Tender/SplashBidNoticeAbstractUI.aspx?menuIndex=3&amp;refID=7141659&amp;Result=3","7141659")</f>
        <v>0</v>
      </c>
      <c r="B12471" t="s">
        <v>3437</v>
      </c>
      <c r="C12471" t="s">
        <v>15650</v>
      </c>
      <c r="D12471" t="s">
        <v>19085</v>
      </c>
      <c r="E12471" t="s">
        <v>29778</v>
      </c>
      <c r="F12471" t="s">
        <v>32831</v>
      </c>
      <c r="G12471" t="s">
        <v>32839</v>
      </c>
      <c r="H12471" t="s">
        <v>32849</v>
      </c>
      <c r="I12471" t="s">
        <v>4177</v>
      </c>
      <c r="J12471" t="s">
        <v>40624</v>
      </c>
      <c r="K12471" t="s">
        <v>42763</v>
      </c>
      <c r="M12471" t="s">
        <v>46773</v>
      </c>
      <c r="N12471" t="s">
        <v>47424</v>
      </c>
      <c r="O12471" t="s">
        <v>47425</v>
      </c>
      <c r="P12471">
        <v>0</v>
      </c>
      <c r="Q12471">
        <v>0</v>
      </c>
      <c r="R12471" t="s">
        <v>47439</v>
      </c>
      <c r="S12471" t="s">
        <v>47860</v>
      </c>
      <c r="T12471" t="s">
        <v>49069</v>
      </c>
      <c r="U12471" t="s">
        <v>59895</v>
      </c>
      <c r="W12471" t="s">
        <v>46773</v>
      </c>
      <c r="X12471" t="s">
        <v>47440</v>
      </c>
    </row>
    <row r="12472" spans="1:24">
      <c r="A12472">
        <f>HYPERLINK("https://www.philgeps.gov.ph/GEPSNONPILOT/Tender/SplashBidNoticeAbstractUI.aspx?menuIndex=3&amp;refID=7141654&amp;Result=3","7141654")</f>
        <v>0</v>
      </c>
      <c r="B12472" t="s">
        <v>287</v>
      </c>
      <c r="C12472" t="s">
        <v>15651</v>
      </c>
      <c r="D12472" t="s">
        <v>19070</v>
      </c>
      <c r="E12472" t="s">
        <v>29779</v>
      </c>
      <c r="F12472" t="s">
        <v>32831</v>
      </c>
      <c r="G12472" t="s">
        <v>32839</v>
      </c>
      <c r="H12472" t="s">
        <v>32849</v>
      </c>
      <c r="I12472" t="s">
        <v>32852</v>
      </c>
      <c r="J12472" t="s">
        <v>32978</v>
      </c>
      <c r="K12472" t="s">
        <v>42732</v>
      </c>
      <c r="M12472" t="s">
        <v>43286</v>
      </c>
      <c r="N12472" t="s">
        <v>47424</v>
      </c>
      <c r="O12472" t="s">
        <v>47425</v>
      </c>
      <c r="P12472">
        <v>0</v>
      </c>
      <c r="Q12472">
        <v>1</v>
      </c>
      <c r="R12472" t="s">
        <v>47439</v>
      </c>
      <c r="S12472" t="s">
        <v>47860</v>
      </c>
      <c r="T12472" t="s">
        <v>49105</v>
      </c>
      <c r="U12472" t="s">
        <v>59896</v>
      </c>
      <c r="V12472" t="s">
        <v>63986</v>
      </c>
      <c r="W12472" t="s">
        <v>43286</v>
      </c>
      <c r="X12472" t="s">
        <v>47440</v>
      </c>
    </row>
    <row r="12473" spans="1:24">
      <c r="A12473">
        <f>HYPERLINK("https://www.philgeps.gov.ph/GEPSNONPILOT/Tender/SplashBidNoticeAbstractUI.aspx?menuIndex=3&amp;refID=7141593&amp;Result=3","7141593")</f>
        <v>0</v>
      </c>
      <c r="B12473" t="s">
        <v>107</v>
      </c>
      <c r="C12473" t="s">
        <v>15652</v>
      </c>
      <c r="D12473" t="s">
        <v>19034</v>
      </c>
      <c r="E12473" t="s">
        <v>29780</v>
      </c>
      <c r="F12473" t="s">
        <v>32831</v>
      </c>
      <c r="G12473" t="s">
        <v>32839</v>
      </c>
      <c r="H12473" t="s">
        <v>32848</v>
      </c>
      <c r="I12473" t="s">
        <v>4776</v>
      </c>
      <c r="J12473" t="s">
        <v>34347</v>
      </c>
      <c r="K12473" t="s">
        <v>42730</v>
      </c>
      <c r="M12473" t="s">
        <v>43104</v>
      </c>
      <c r="N12473" t="s">
        <v>47424</v>
      </c>
      <c r="O12473" t="s">
        <v>47425</v>
      </c>
      <c r="P12473">
        <v>0</v>
      </c>
      <c r="Q12473">
        <v>1</v>
      </c>
      <c r="R12473" t="s">
        <v>47439</v>
      </c>
      <c r="S12473" t="s">
        <v>47860</v>
      </c>
      <c r="T12473" t="s">
        <v>49470</v>
      </c>
      <c r="U12473" t="s">
        <v>59897</v>
      </c>
      <c r="W12473" t="s">
        <v>43104</v>
      </c>
      <c r="X12473" t="s">
        <v>47440</v>
      </c>
    </row>
    <row r="12474" spans="1:24">
      <c r="A12474">
        <f>HYPERLINK("https://www.philgeps.gov.ph/GEPSNONPILOT/Tender/SplashBidNoticeAbstractUI.aspx?menuIndex=3&amp;refID=7141591&amp;Result=3","7141591")</f>
        <v>0</v>
      </c>
      <c r="B12474" t="s">
        <v>3576</v>
      </c>
      <c r="C12474" t="s">
        <v>15653</v>
      </c>
      <c r="D12474" t="s">
        <v>19057</v>
      </c>
      <c r="E12474" t="s">
        <v>22097</v>
      </c>
      <c r="F12474" t="s">
        <v>32831</v>
      </c>
      <c r="G12474" t="s">
        <v>32839</v>
      </c>
      <c r="H12474" t="s">
        <v>32849</v>
      </c>
      <c r="I12474" t="s">
        <v>4177</v>
      </c>
      <c r="J12474" t="s">
        <v>40625</v>
      </c>
      <c r="K12474" t="s">
        <v>42729</v>
      </c>
      <c r="M12474" t="s">
        <v>46935</v>
      </c>
      <c r="N12474" t="s">
        <v>47424</v>
      </c>
      <c r="O12474" t="s">
        <v>47425</v>
      </c>
      <c r="P12474">
        <v>0</v>
      </c>
      <c r="Q12474">
        <v>0</v>
      </c>
      <c r="R12474" t="s">
        <v>47439</v>
      </c>
      <c r="S12474" t="s">
        <v>47860</v>
      </c>
      <c r="T12474" t="s">
        <v>49141</v>
      </c>
      <c r="U12474" t="s">
        <v>59898</v>
      </c>
      <c r="W12474" t="s">
        <v>46935</v>
      </c>
      <c r="X12474" t="s">
        <v>47440</v>
      </c>
    </row>
    <row r="12475" spans="1:24">
      <c r="A12475">
        <f>HYPERLINK("https://www.philgeps.gov.ph/GEPSNONPILOT/Tender/SplashBidNoticeAbstractUI.aspx?menuIndex=3&amp;refID=7141723&amp;Result=3","7141723")</f>
        <v>0</v>
      </c>
      <c r="B12475" t="s">
        <v>1003</v>
      </c>
      <c r="C12475" t="s">
        <v>15654</v>
      </c>
      <c r="D12475" t="s">
        <v>19060</v>
      </c>
      <c r="E12475" t="s">
        <v>29781</v>
      </c>
      <c r="F12475" t="s">
        <v>32831</v>
      </c>
      <c r="G12475" t="s">
        <v>32838</v>
      </c>
      <c r="H12475" t="s">
        <v>32848</v>
      </c>
      <c r="I12475" t="s">
        <v>5379</v>
      </c>
      <c r="J12475" t="s">
        <v>39249</v>
      </c>
      <c r="K12475" t="s">
        <v>42749</v>
      </c>
      <c r="L12475" t="s">
        <v>1003</v>
      </c>
      <c r="M12475" t="s">
        <v>44052</v>
      </c>
      <c r="N12475" t="s">
        <v>47424</v>
      </c>
      <c r="O12475" t="s">
        <v>47425</v>
      </c>
      <c r="P12475">
        <v>0</v>
      </c>
      <c r="Q12475">
        <v>0</v>
      </c>
      <c r="R12475" t="s">
        <v>47439</v>
      </c>
      <c r="S12475" t="s">
        <v>47860</v>
      </c>
      <c r="T12475" t="s">
        <v>49163</v>
      </c>
      <c r="U12475" t="s">
        <v>59899</v>
      </c>
      <c r="W12475" t="s">
        <v>44052</v>
      </c>
      <c r="X12475" t="s">
        <v>47440</v>
      </c>
    </row>
    <row r="12476" spans="1:24">
      <c r="A12476">
        <f>HYPERLINK("https://www.philgeps.gov.ph/GEPSNONPILOT/Tender/SplashBidNoticeAbstractUI.aspx?menuIndex=3&amp;refID=7141695&amp;Result=3","7141695")</f>
        <v>0</v>
      </c>
      <c r="B12476" t="s">
        <v>1003</v>
      </c>
      <c r="C12476" t="s">
        <v>15655</v>
      </c>
      <c r="D12476" t="s">
        <v>19060</v>
      </c>
      <c r="E12476" t="s">
        <v>29782</v>
      </c>
      <c r="F12476" t="s">
        <v>32831</v>
      </c>
      <c r="G12476" t="s">
        <v>32838</v>
      </c>
      <c r="H12476" t="s">
        <v>32848</v>
      </c>
      <c r="I12476" t="s">
        <v>5379</v>
      </c>
      <c r="J12476" t="s">
        <v>40626</v>
      </c>
      <c r="K12476" t="s">
        <v>42749</v>
      </c>
      <c r="L12476" t="s">
        <v>1003</v>
      </c>
      <c r="M12476" t="s">
        <v>44052</v>
      </c>
      <c r="N12476" t="s">
        <v>47424</v>
      </c>
      <c r="O12476" t="s">
        <v>47425</v>
      </c>
      <c r="P12476">
        <v>0</v>
      </c>
      <c r="Q12476">
        <v>0</v>
      </c>
      <c r="R12476" t="s">
        <v>47439</v>
      </c>
      <c r="S12476" t="s">
        <v>47860</v>
      </c>
      <c r="T12476" t="s">
        <v>49163</v>
      </c>
      <c r="U12476" t="s">
        <v>59900</v>
      </c>
      <c r="W12476" t="s">
        <v>44052</v>
      </c>
      <c r="X12476" t="s">
        <v>47440</v>
      </c>
    </row>
    <row r="12477" spans="1:24">
      <c r="A12477">
        <f>HYPERLINK("https://www.philgeps.gov.ph/GEPSNONPILOT/Tender/SplashBidNoticeAbstractUI.aspx?menuIndex=3&amp;refID=7141625&amp;Result=3","7141625")</f>
        <v>0</v>
      </c>
      <c r="B12477" t="s">
        <v>1850</v>
      </c>
      <c r="C12477" t="s">
        <v>15656</v>
      </c>
      <c r="D12477" t="s">
        <v>19020</v>
      </c>
      <c r="E12477" t="s">
        <v>29783</v>
      </c>
      <c r="F12477" t="s">
        <v>32831</v>
      </c>
      <c r="G12477" t="s">
        <v>32839</v>
      </c>
      <c r="H12477" t="s">
        <v>32848</v>
      </c>
      <c r="I12477" t="s">
        <v>9577</v>
      </c>
      <c r="J12477" t="s">
        <v>40627</v>
      </c>
      <c r="K12477" t="s">
        <v>42727</v>
      </c>
      <c r="M12477" t="s">
        <v>44988</v>
      </c>
      <c r="N12477" t="s">
        <v>47424</v>
      </c>
      <c r="O12477" t="s">
        <v>47425</v>
      </c>
      <c r="P12477">
        <v>0</v>
      </c>
      <c r="Q12477">
        <v>5</v>
      </c>
      <c r="R12477" t="s">
        <v>47439</v>
      </c>
      <c r="S12477" t="s">
        <v>47860</v>
      </c>
      <c r="T12477" t="s">
        <v>49105</v>
      </c>
      <c r="U12477" t="s">
        <v>59901</v>
      </c>
      <c r="W12477" t="s">
        <v>44988</v>
      </c>
      <c r="X12477" t="s">
        <v>47440</v>
      </c>
    </row>
    <row r="12478" spans="1:24">
      <c r="A12478">
        <f>HYPERLINK("https://www.philgeps.gov.ph/GEPSNONPILOT/Tender/SplashBidNoticeAbstractUI.aspx?menuIndex=3&amp;refID=7141781&amp;Result=3","7141781")</f>
        <v>0</v>
      </c>
      <c r="B12478" t="s">
        <v>3577</v>
      </c>
      <c r="C12478" t="s">
        <v>15657</v>
      </c>
      <c r="E12478" t="s">
        <v>29784</v>
      </c>
      <c r="F12478" t="s">
        <v>32831</v>
      </c>
      <c r="G12478" t="s">
        <v>32839</v>
      </c>
      <c r="H12478" t="s">
        <v>32848</v>
      </c>
      <c r="I12478" t="s">
        <v>7751</v>
      </c>
      <c r="J12478" t="s">
        <v>33083</v>
      </c>
      <c r="K12478" t="s">
        <v>42732</v>
      </c>
      <c r="M12478" t="s">
        <v>46936</v>
      </c>
      <c r="N12478" t="s">
        <v>47424</v>
      </c>
      <c r="O12478" t="s">
        <v>47425</v>
      </c>
      <c r="P12478">
        <v>0</v>
      </c>
      <c r="Q12478">
        <v>4</v>
      </c>
      <c r="R12478" t="s">
        <v>47439</v>
      </c>
      <c r="S12478" t="s">
        <v>47860</v>
      </c>
      <c r="T12478" t="s">
        <v>49159</v>
      </c>
      <c r="U12478" t="s">
        <v>59902</v>
      </c>
      <c r="W12478" t="s">
        <v>46936</v>
      </c>
      <c r="X12478" t="s">
        <v>47440</v>
      </c>
    </row>
    <row r="12479" spans="1:24">
      <c r="A12479">
        <f>HYPERLINK("https://www.philgeps.gov.ph/GEPSNONPILOT/Tender/SplashBidNoticeAbstractUI.aspx?menuIndex=3&amp;refID=7141780&amp;Result=3","7141780")</f>
        <v>0</v>
      </c>
      <c r="B12479" t="s">
        <v>1003</v>
      </c>
      <c r="C12479" t="s">
        <v>15658</v>
      </c>
      <c r="D12479" t="s">
        <v>19060</v>
      </c>
      <c r="E12479" t="s">
        <v>29785</v>
      </c>
      <c r="F12479" t="s">
        <v>32831</v>
      </c>
      <c r="G12479" t="s">
        <v>32838</v>
      </c>
      <c r="H12479" t="s">
        <v>32848</v>
      </c>
      <c r="I12479" t="s">
        <v>5379</v>
      </c>
      <c r="J12479" t="s">
        <v>40628</v>
      </c>
      <c r="K12479" t="s">
        <v>42749</v>
      </c>
      <c r="L12479" t="s">
        <v>1003</v>
      </c>
      <c r="M12479" t="s">
        <v>44052</v>
      </c>
      <c r="N12479" t="s">
        <v>47424</v>
      </c>
      <c r="O12479" t="s">
        <v>47425</v>
      </c>
      <c r="P12479">
        <v>0</v>
      </c>
      <c r="Q12479">
        <v>0</v>
      </c>
      <c r="R12479" t="s">
        <v>47439</v>
      </c>
      <c r="S12479" t="s">
        <v>47860</v>
      </c>
      <c r="T12479" t="s">
        <v>49169</v>
      </c>
      <c r="U12479" t="s">
        <v>59903</v>
      </c>
      <c r="W12479" t="s">
        <v>44052</v>
      </c>
      <c r="X12479" t="s">
        <v>47440</v>
      </c>
    </row>
    <row r="12480" spans="1:24">
      <c r="A12480">
        <f>HYPERLINK("https://www.philgeps.gov.ph/GEPSNONPILOT/Tender/SplashBidNoticeAbstractUI.aspx?menuIndex=3&amp;refID=7141598&amp;Result=3","7141598")</f>
        <v>0</v>
      </c>
      <c r="B12480" t="s">
        <v>3219</v>
      </c>
      <c r="C12480" t="s">
        <v>15659</v>
      </c>
      <c r="D12480" t="s">
        <v>19052</v>
      </c>
      <c r="E12480" t="s">
        <v>29786</v>
      </c>
      <c r="F12480" t="s">
        <v>32831</v>
      </c>
      <c r="G12480" t="s">
        <v>32839</v>
      </c>
      <c r="H12480" t="s">
        <v>32848</v>
      </c>
      <c r="I12480" t="s">
        <v>32959</v>
      </c>
      <c r="J12480" t="s">
        <v>33528</v>
      </c>
      <c r="K12480" t="s">
        <v>42732</v>
      </c>
      <c r="M12480" t="s">
        <v>46532</v>
      </c>
      <c r="N12480" t="s">
        <v>47424</v>
      </c>
      <c r="O12480" t="s">
        <v>47425</v>
      </c>
      <c r="P12480">
        <v>0</v>
      </c>
      <c r="Q12480">
        <v>7</v>
      </c>
      <c r="R12480" t="s">
        <v>47439</v>
      </c>
      <c r="S12480" t="s">
        <v>47860</v>
      </c>
      <c r="T12480" t="s">
        <v>49057</v>
      </c>
      <c r="U12480" t="s">
        <v>59904</v>
      </c>
      <c r="W12480" t="s">
        <v>46532</v>
      </c>
      <c r="X12480" t="s">
        <v>47440</v>
      </c>
    </row>
    <row r="12481" spans="1:24">
      <c r="A12481">
        <f>HYPERLINK("https://www.philgeps.gov.ph/GEPSNONPILOT/Tender/SplashBidNoticeAbstractUI.aspx?menuIndex=3&amp;refID=7141774&amp;Result=3","7141774")</f>
        <v>0</v>
      </c>
      <c r="B12481" t="s">
        <v>1003</v>
      </c>
      <c r="C12481" t="s">
        <v>15660</v>
      </c>
      <c r="D12481" t="s">
        <v>19060</v>
      </c>
      <c r="E12481" t="s">
        <v>29787</v>
      </c>
      <c r="F12481" t="s">
        <v>32831</v>
      </c>
      <c r="G12481" t="s">
        <v>32838</v>
      </c>
      <c r="H12481" t="s">
        <v>32848</v>
      </c>
      <c r="I12481" t="s">
        <v>5379</v>
      </c>
      <c r="J12481" t="s">
        <v>34779</v>
      </c>
      <c r="K12481" t="s">
        <v>42749</v>
      </c>
      <c r="L12481" t="s">
        <v>1003</v>
      </c>
      <c r="M12481" t="s">
        <v>44052</v>
      </c>
      <c r="N12481" t="s">
        <v>47424</v>
      </c>
      <c r="O12481" t="s">
        <v>47425</v>
      </c>
      <c r="P12481">
        <v>0</v>
      </c>
      <c r="Q12481">
        <v>0</v>
      </c>
      <c r="R12481" t="s">
        <v>47439</v>
      </c>
      <c r="S12481" t="s">
        <v>47860</v>
      </c>
      <c r="T12481" t="s">
        <v>49169</v>
      </c>
      <c r="U12481" t="s">
        <v>59905</v>
      </c>
      <c r="W12481" t="s">
        <v>44052</v>
      </c>
      <c r="X12481" t="s">
        <v>47440</v>
      </c>
    </row>
    <row r="12482" spans="1:24">
      <c r="A12482">
        <f>HYPERLINK("https://www.philgeps.gov.ph/GEPSNONPILOT/Tender/SplashBidNoticeAbstractUI.aspx?menuIndex=3&amp;refID=7141771&amp;Result=3","7141771")</f>
        <v>0</v>
      </c>
      <c r="B12482" t="s">
        <v>1003</v>
      </c>
      <c r="C12482" t="s">
        <v>15661</v>
      </c>
      <c r="D12482" t="s">
        <v>19060</v>
      </c>
      <c r="E12482" t="s">
        <v>29788</v>
      </c>
      <c r="F12482" t="s">
        <v>32831</v>
      </c>
      <c r="G12482" t="s">
        <v>32838</v>
      </c>
      <c r="H12482" t="s">
        <v>32848</v>
      </c>
      <c r="I12482" t="s">
        <v>5379</v>
      </c>
      <c r="J12482" t="s">
        <v>40629</v>
      </c>
      <c r="K12482" t="s">
        <v>42749</v>
      </c>
      <c r="L12482" t="s">
        <v>1003</v>
      </c>
      <c r="M12482" t="s">
        <v>44052</v>
      </c>
      <c r="N12482" t="s">
        <v>47424</v>
      </c>
      <c r="O12482" t="s">
        <v>47425</v>
      </c>
      <c r="P12482">
        <v>0</v>
      </c>
      <c r="Q12482">
        <v>0</v>
      </c>
      <c r="R12482" t="s">
        <v>47439</v>
      </c>
      <c r="S12482" t="s">
        <v>47860</v>
      </c>
      <c r="T12482" t="s">
        <v>49169</v>
      </c>
      <c r="U12482" t="s">
        <v>59906</v>
      </c>
      <c r="W12482" t="s">
        <v>44052</v>
      </c>
      <c r="X12482" t="s">
        <v>47440</v>
      </c>
    </row>
    <row r="12483" spans="1:24">
      <c r="A12483">
        <f>HYPERLINK("https://www.philgeps.gov.ph/GEPSNONPILOT/Tender/SplashBidNoticeAbstractUI.aspx?menuIndex=3&amp;refID=7141763&amp;Result=3","7141763")</f>
        <v>0</v>
      </c>
      <c r="B12483" t="s">
        <v>3426</v>
      </c>
      <c r="C12483" t="s">
        <v>15662</v>
      </c>
      <c r="D12483" t="s">
        <v>19081</v>
      </c>
      <c r="E12483" t="s">
        <v>29789</v>
      </c>
      <c r="F12483" t="s">
        <v>32831</v>
      </c>
      <c r="G12483" t="s">
        <v>32839</v>
      </c>
      <c r="H12483" t="s">
        <v>32848</v>
      </c>
      <c r="I12483" t="s">
        <v>8781</v>
      </c>
      <c r="J12483" t="s">
        <v>32978</v>
      </c>
      <c r="K12483" t="s">
        <v>42730</v>
      </c>
      <c r="M12483" t="s">
        <v>46761</v>
      </c>
      <c r="N12483" t="s">
        <v>47424</v>
      </c>
      <c r="O12483" t="s">
        <v>47425</v>
      </c>
      <c r="P12483">
        <v>0</v>
      </c>
      <c r="Q12483">
        <v>1</v>
      </c>
      <c r="R12483" t="s">
        <v>47439</v>
      </c>
      <c r="S12483" t="s">
        <v>47860</v>
      </c>
      <c r="T12483" t="s">
        <v>49196</v>
      </c>
      <c r="U12483" t="s">
        <v>59907</v>
      </c>
      <c r="W12483" t="s">
        <v>46761</v>
      </c>
      <c r="X12483" t="s">
        <v>47440</v>
      </c>
    </row>
    <row r="12484" spans="1:24">
      <c r="A12484">
        <f>HYPERLINK("https://www.philgeps.gov.ph/GEPSNONPILOT/Tender/SplashBidNoticeAbstractUI.aspx?menuIndex=3&amp;refID=7141762&amp;Result=3","7141762")</f>
        <v>0</v>
      </c>
      <c r="B12484" t="s">
        <v>1003</v>
      </c>
      <c r="C12484" t="s">
        <v>15663</v>
      </c>
      <c r="D12484" t="s">
        <v>19060</v>
      </c>
      <c r="E12484" t="s">
        <v>29790</v>
      </c>
      <c r="F12484" t="s">
        <v>32831</v>
      </c>
      <c r="G12484" t="s">
        <v>32838</v>
      </c>
      <c r="H12484" t="s">
        <v>32848</v>
      </c>
      <c r="I12484" t="s">
        <v>5379</v>
      </c>
      <c r="J12484" t="s">
        <v>40630</v>
      </c>
      <c r="K12484" t="s">
        <v>42749</v>
      </c>
      <c r="L12484" t="s">
        <v>1003</v>
      </c>
      <c r="M12484" t="s">
        <v>44052</v>
      </c>
      <c r="N12484" t="s">
        <v>47424</v>
      </c>
      <c r="O12484" t="s">
        <v>47425</v>
      </c>
      <c r="P12484">
        <v>0</v>
      </c>
      <c r="Q12484">
        <v>0</v>
      </c>
      <c r="R12484" t="s">
        <v>47439</v>
      </c>
      <c r="S12484" t="s">
        <v>47860</v>
      </c>
      <c r="T12484" t="s">
        <v>49169</v>
      </c>
      <c r="U12484" t="s">
        <v>59908</v>
      </c>
      <c r="W12484" t="s">
        <v>44052</v>
      </c>
      <c r="X12484" t="s">
        <v>47440</v>
      </c>
    </row>
    <row r="12485" spans="1:24">
      <c r="A12485">
        <f>HYPERLINK("https://www.philgeps.gov.ph/GEPSNONPILOT/Tender/SplashBidNoticeAbstractUI.aspx?menuIndex=3&amp;refID=7141751&amp;Result=3","7141751")</f>
        <v>0</v>
      </c>
      <c r="B12485" t="s">
        <v>1003</v>
      </c>
      <c r="C12485" t="s">
        <v>15664</v>
      </c>
      <c r="D12485" t="s">
        <v>19060</v>
      </c>
      <c r="E12485" t="s">
        <v>29154</v>
      </c>
      <c r="F12485" t="s">
        <v>32831</v>
      </c>
      <c r="G12485" t="s">
        <v>32838</v>
      </c>
      <c r="H12485" t="s">
        <v>32848</v>
      </c>
      <c r="I12485" t="s">
        <v>5379</v>
      </c>
      <c r="J12485" t="s">
        <v>36884</v>
      </c>
      <c r="K12485" t="s">
        <v>42749</v>
      </c>
      <c r="L12485" t="s">
        <v>1003</v>
      </c>
      <c r="M12485" t="s">
        <v>44052</v>
      </c>
      <c r="N12485" t="s">
        <v>47424</v>
      </c>
      <c r="O12485" t="s">
        <v>47425</v>
      </c>
      <c r="P12485">
        <v>0</v>
      </c>
      <c r="Q12485">
        <v>0</v>
      </c>
      <c r="R12485" t="s">
        <v>47439</v>
      </c>
      <c r="S12485" t="s">
        <v>47860</v>
      </c>
      <c r="T12485" t="s">
        <v>49169</v>
      </c>
      <c r="U12485" t="s">
        <v>59909</v>
      </c>
      <c r="W12485" t="s">
        <v>44052</v>
      </c>
      <c r="X12485" t="s">
        <v>47440</v>
      </c>
    </row>
    <row r="12486" spans="1:24">
      <c r="A12486">
        <f>HYPERLINK("https://www.philgeps.gov.ph/GEPSNONPILOT/Tender/SplashBidNoticeAbstractUI.aspx?menuIndex=3&amp;refID=7141783&amp;Result=3","7141783")</f>
        <v>0</v>
      </c>
      <c r="B12486" t="s">
        <v>1003</v>
      </c>
      <c r="C12486" t="s">
        <v>15665</v>
      </c>
      <c r="D12486" t="s">
        <v>19060</v>
      </c>
      <c r="E12486" t="s">
        <v>29791</v>
      </c>
      <c r="F12486" t="s">
        <v>32831</v>
      </c>
      <c r="G12486" t="s">
        <v>32838</v>
      </c>
      <c r="H12486" t="s">
        <v>32848</v>
      </c>
      <c r="I12486" t="s">
        <v>5379</v>
      </c>
      <c r="J12486" t="s">
        <v>40630</v>
      </c>
      <c r="K12486" t="s">
        <v>42749</v>
      </c>
      <c r="L12486" t="s">
        <v>1003</v>
      </c>
      <c r="M12486" t="s">
        <v>44052</v>
      </c>
      <c r="N12486" t="s">
        <v>47424</v>
      </c>
      <c r="O12486" t="s">
        <v>47425</v>
      </c>
      <c r="P12486">
        <v>0</v>
      </c>
      <c r="Q12486">
        <v>0</v>
      </c>
      <c r="R12486" t="s">
        <v>47439</v>
      </c>
      <c r="S12486" t="s">
        <v>47860</v>
      </c>
      <c r="T12486" t="s">
        <v>49169</v>
      </c>
      <c r="U12486" t="s">
        <v>59910</v>
      </c>
      <c r="W12486" t="s">
        <v>44052</v>
      </c>
      <c r="X12486" t="s">
        <v>47440</v>
      </c>
    </row>
    <row r="12487" spans="1:24">
      <c r="A12487">
        <f>HYPERLINK("https://www.philgeps.gov.ph/GEPSNONPILOT/Tender/SplashBidNoticeAbstractUI.aspx?menuIndex=3&amp;refID=7141652&amp;Result=3","7141652")</f>
        <v>0</v>
      </c>
      <c r="B12487" t="s">
        <v>911</v>
      </c>
      <c r="C12487" t="s">
        <v>15666</v>
      </c>
      <c r="D12487" t="s">
        <v>19049</v>
      </c>
      <c r="E12487" t="s">
        <v>29792</v>
      </c>
      <c r="F12487" t="s">
        <v>32831</v>
      </c>
      <c r="G12487" t="s">
        <v>32839</v>
      </c>
      <c r="H12487" t="s">
        <v>32848</v>
      </c>
      <c r="I12487" t="s">
        <v>32874</v>
      </c>
      <c r="J12487" t="s">
        <v>40631</v>
      </c>
      <c r="K12487" t="s">
        <v>42730</v>
      </c>
      <c r="M12487" t="s">
        <v>43951</v>
      </c>
      <c r="N12487" t="s">
        <v>47424</v>
      </c>
      <c r="O12487" t="s">
        <v>47425</v>
      </c>
      <c r="P12487">
        <v>0</v>
      </c>
      <c r="Q12487">
        <v>25</v>
      </c>
      <c r="R12487" t="s">
        <v>47439</v>
      </c>
      <c r="S12487" t="s">
        <v>47860</v>
      </c>
      <c r="T12487" t="s">
        <v>49069</v>
      </c>
      <c r="U12487" t="s">
        <v>52589</v>
      </c>
      <c r="W12487" t="s">
        <v>43951</v>
      </c>
      <c r="X12487" t="s">
        <v>47440</v>
      </c>
    </row>
    <row r="12488" spans="1:24">
      <c r="A12488">
        <f>HYPERLINK("https://www.philgeps.gov.ph/GEPSNONPILOT/Tender/SplashBidNoticeAbstractUI.aspx?menuIndex=3&amp;refID=7141784&amp;Result=3","7141784")</f>
        <v>0</v>
      </c>
      <c r="B12488" t="s">
        <v>3494</v>
      </c>
      <c r="C12488" t="s">
        <v>15667</v>
      </c>
      <c r="D12488" t="s">
        <v>19091</v>
      </c>
      <c r="E12488" t="s">
        <v>29793</v>
      </c>
      <c r="F12488" t="s">
        <v>32831</v>
      </c>
      <c r="G12488" t="s">
        <v>32839</v>
      </c>
      <c r="H12488" t="s">
        <v>32849</v>
      </c>
      <c r="I12488" t="s">
        <v>4177</v>
      </c>
      <c r="J12488" t="s">
        <v>33257</v>
      </c>
      <c r="K12488" t="s">
        <v>42743</v>
      </c>
      <c r="M12488" t="s">
        <v>46843</v>
      </c>
      <c r="N12488" t="s">
        <v>47424</v>
      </c>
      <c r="O12488" t="s">
        <v>47425</v>
      </c>
      <c r="P12488">
        <v>0</v>
      </c>
      <c r="Q12488">
        <v>3</v>
      </c>
      <c r="R12488" t="s">
        <v>47439</v>
      </c>
      <c r="S12488" t="s">
        <v>47860</v>
      </c>
      <c r="T12488" t="s">
        <v>49059</v>
      </c>
      <c r="U12488" t="s">
        <v>59911</v>
      </c>
      <c r="W12488" t="s">
        <v>46843</v>
      </c>
      <c r="X12488" t="s">
        <v>47440</v>
      </c>
    </row>
    <row r="12489" spans="1:24">
      <c r="A12489">
        <f>HYPERLINK("https://www.philgeps.gov.ph/GEPSNONPILOT/Tender/SplashBidNoticeAbstractUI.aspx?menuIndex=3&amp;refID=7141758&amp;Result=3","7141758")</f>
        <v>0</v>
      </c>
      <c r="B12489" t="s">
        <v>3447</v>
      </c>
      <c r="C12489" t="s">
        <v>15668</v>
      </c>
      <c r="D12489" t="s">
        <v>19065</v>
      </c>
      <c r="E12489" t="s">
        <v>29794</v>
      </c>
      <c r="F12489" t="s">
        <v>32831</v>
      </c>
      <c r="G12489" t="s">
        <v>32839</v>
      </c>
      <c r="H12489" t="s">
        <v>32849</v>
      </c>
      <c r="I12489" t="s">
        <v>4177</v>
      </c>
      <c r="J12489" t="s">
        <v>40632</v>
      </c>
      <c r="K12489" t="s">
        <v>42729</v>
      </c>
      <c r="M12489" t="s">
        <v>46937</v>
      </c>
      <c r="N12489" t="s">
        <v>47424</v>
      </c>
      <c r="O12489" t="s">
        <v>47425</v>
      </c>
      <c r="P12489">
        <v>0</v>
      </c>
      <c r="Q12489">
        <v>6</v>
      </c>
      <c r="R12489" t="s">
        <v>47439</v>
      </c>
      <c r="S12489" t="s">
        <v>47860</v>
      </c>
      <c r="T12489" t="s">
        <v>49245</v>
      </c>
      <c r="U12489" t="s">
        <v>59912</v>
      </c>
      <c r="W12489" t="s">
        <v>64549</v>
      </c>
      <c r="X12489" t="s">
        <v>47440</v>
      </c>
    </row>
    <row r="12490" spans="1:24">
      <c r="A12490">
        <f>HYPERLINK("https://www.philgeps.gov.ph/GEPSNONPILOT/Tender/SplashBidNoticeAbstractUI.aspx?menuIndex=3&amp;refID=7141750&amp;Result=3","7141750")</f>
        <v>0</v>
      </c>
      <c r="B12490" t="s">
        <v>996</v>
      </c>
      <c r="C12490" t="s">
        <v>15669</v>
      </c>
      <c r="E12490" t="s">
        <v>29795</v>
      </c>
      <c r="F12490" t="s">
        <v>32831</v>
      </c>
      <c r="G12490" t="s">
        <v>32839</v>
      </c>
      <c r="H12490" t="s">
        <v>32848</v>
      </c>
      <c r="I12490" t="s">
        <v>32869</v>
      </c>
      <c r="J12490" t="s">
        <v>35553</v>
      </c>
      <c r="K12490" t="s">
        <v>42732</v>
      </c>
      <c r="M12490" t="s">
        <v>44045</v>
      </c>
      <c r="N12490" t="s">
        <v>47424</v>
      </c>
      <c r="O12490" t="s">
        <v>47425</v>
      </c>
      <c r="P12490">
        <v>0</v>
      </c>
      <c r="Q12490">
        <v>13</v>
      </c>
      <c r="R12490" t="s">
        <v>47439</v>
      </c>
      <c r="S12490" t="s">
        <v>47860</v>
      </c>
      <c r="T12490" t="s">
        <v>49080</v>
      </c>
      <c r="U12490" t="s">
        <v>59913</v>
      </c>
      <c r="V12490" t="s">
        <v>64012</v>
      </c>
      <c r="W12490" t="s">
        <v>44045</v>
      </c>
      <c r="X12490" t="s">
        <v>47440</v>
      </c>
    </row>
    <row r="12491" spans="1:24">
      <c r="A12491">
        <f>HYPERLINK("https://www.philgeps.gov.ph/GEPSNONPILOT/Tender/SplashBidNoticeAbstractUI.aspx?menuIndex=3&amp;refID=7141902&amp;Result=3","7141902")</f>
        <v>0</v>
      </c>
      <c r="B12491" t="s">
        <v>287</v>
      </c>
      <c r="C12491" t="s">
        <v>15670</v>
      </c>
      <c r="D12491" t="s">
        <v>19070</v>
      </c>
      <c r="E12491" t="s">
        <v>29796</v>
      </c>
      <c r="F12491" t="s">
        <v>32831</v>
      </c>
      <c r="G12491" t="s">
        <v>32839</v>
      </c>
      <c r="H12491" t="s">
        <v>32849</v>
      </c>
      <c r="I12491" t="s">
        <v>4177</v>
      </c>
      <c r="J12491" t="s">
        <v>32978</v>
      </c>
      <c r="K12491" t="s">
        <v>42732</v>
      </c>
      <c r="M12491" t="s">
        <v>43286</v>
      </c>
      <c r="N12491" t="s">
        <v>47424</v>
      </c>
      <c r="O12491" t="s">
        <v>47425</v>
      </c>
      <c r="P12491">
        <v>0</v>
      </c>
      <c r="Q12491">
        <v>0</v>
      </c>
      <c r="R12491" t="s">
        <v>47439</v>
      </c>
      <c r="S12491" t="s">
        <v>47860</v>
      </c>
      <c r="T12491" t="s">
        <v>49105</v>
      </c>
      <c r="U12491" t="s">
        <v>59914</v>
      </c>
      <c r="V12491" t="s">
        <v>63986</v>
      </c>
      <c r="W12491" t="s">
        <v>43286</v>
      </c>
      <c r="X12491" t="s">
        <v>47440</v>
      </c>
    </row>
    <row r="12492" spans="1:24">
      <c r="A12492">
        <f>HYPERLINK("https://www.philgeps.gov.ph/GEPSNONPILOT/Tender/SplashBidNoticeAbstractUI.aspx?menuIndex=3&amp;refID=7141896&amp;Result=3","7141896")</f>
        <v>0</v>
      </c>
      <c r="B12492" t="s">
        <v>287</v>
      </c>
      <c r="C12492" t="s">
        <v>15671</v>
      </c>
      <c r="D12492" t="s">
        <v>19070</v>
      </c>
      <c r="E12492" t="s">
        <v>29797</v>
      </c>
      <c r="F12492" t="s">
        <v>32831</v>
      </c>
      <c r="G12492" t="s">
        <v>32839</v>
      </c>
      <c r="H12492" t="s">
        <v>32849</v>
      </c>
      <c r="I12492" t="s">
        <v>4177</v>
      </c>
      <c r="J12492" t="s">
        <v>33046</v>
      </c>
      <c r="K12492" t="s">
        <v>42732</v>
      </c>
      <c r="M12492" t="s">
        <v>43286</v>
      </c>
      <c r="N12492" t="s">
        <v>47424</v>
      </c>
      <c r="O12492" t="s">
        <v>47425</v>
      </c>
      <c r="P12492">
        <v>0</v>
      </c>
      <c r="Q12492">
        <v>0</v>
      </c>
      <c r="R12492" t="s">
        <v>47439</v>
      </c>
      <c r="S12492" t="s">
        <v>47860</v>
      </c>
      <c r="T12492" t="s">
        <v>49105</v>
      </c>
      <c r="U12492" t="s">
        <v>59915</v>
      </c>
      <c r="V12492" t="s">
        <v>63986</v>
      </c>
      <c r="W12492" t="s">
        <v>43286</v>
      </c>
      <c r="X12492" t="s">
        <v>47440</v>
      </c>
    </row>
    <row r="12493" spans="1:24">
      <c r="A12493">
        <f>HYPERLINK("https://www.philgeps.gov.ph/GEPSNONPILOT/Tender/SplashBidNoticeAbstractUI.aspx?menuIndex=3&amp;refID=7141900&amp;Result=3","7141900")</f>
        <v>0</v>
      </c>
      <c r="B12493" t="s">
        <v>410</v>
      </c>
      <c r="C12493" t="s">
        <v>15672</v>
      </c>
      <c r="D12493" t="s">
        <v>19031</v>
      </c>
      <c r="E12493" t="s">
        <v>29798</v>
      </c>
      <c r="F12493" t="s">
        <v>32831</v>
      </c>
      <c r="G12493" t="s">
        <v>32839</v>
      </c>
      <c r="H12493" t="s">
        <v>32848</v>
      </c>
      <c r="I12493" t="s">
        <v>6526</v>
      </c>
      <c r="J12493" t="s">
        <v>40633</v>
      </c>
      <c r="K12493" t="s">
        <v>42730</v>
      </c>
      <c r="M12493" t="s">
        <v>43415</v>
      </c>
      <c r="N12493" t="s">
        <v>47424</v>
      </c>
      <c r="O12493" t="s">
        <v>47425</v>
      </c>
      <c r="P12493">
        <v>0</v>
      </c>
      <c r="Q12493">
        <v>0</v>
      </c>
      <c r="R12493" t="s">
        <v>47439</v>
      </c>
      <c r="S12493" t="s">
        <v>47860</v>
      </c>
      <c r="T12493" t="s">
        <v>49080</v>
      </c>
      <c r="U12493" t="s">
        <v>59916</v>
      </c>
      <c r="V12493" t="s">
        <v>64013</v>
      </c>
      <c r="W12493" t="s">
        <v>43415</v>
      </c>
      <c r="X12493" t="s">
        <v>47440</v>
      </c>
    </row>
    <row r="12494" spans="1:24">
      <c r="A12494">
        <f>HYPERLINK("https://www.philgeps.gov.ph/GEPSNONPILOT/Tender/SplashBidNoticeAbstractUI.aspx?menuIndex=3&amp;refID=7141875&amp;Result=3","7141875")</f>
        <v>0</v>
      </c>
      <c r="B12494" t="s">
        <v>3578</v>
      </c>
      <c r="C12494" t="s">
        <v>15673</v>
      </c>
      <c r="D12494" t="s">
        <v>19033</v>
      </c>
      <c r="E12494" t="s">
        <v>29799</v>
      </c>
      <c r="F12494" t="s">
        <v>32833</v>
      </c>
      <c r="G12494" t="s">
        <v>32839</v>
      </c>
      <c r="H12494" t="s">
        <v>32848</v>
      </c>
      <c r="I12494" t="s">
        <v>7416</v>
      </c>
      <c r="J12494" t="s">
        <v>33011</v>
      </c>
      <c r="K12494" t="s">
        <v>42726</v>
      </c>
      <c r="M12494" t="s">
        <v>46938</v>
      </c>
      <c r="N12494" t="s">
        <v>47424</v>
      </c>
      <c r="O12494" t="s">
        <v>47425</v>
      </c>
      <c r="P12494">
        <v>0</v>
      </c>
      <c r="Q12494">
        <v>0</v>
      </c>
      <c r="R12494" t="s">
        <v>47439</v>
      </c>
      <c r="S12494" t="s">
        <v>47860</v>
      </c>
      <c r="T12494" t="s">
        <v>49198</v>
      </c>
      <c r="U12494" t="s">
        <v>59917</v>
      </c>
      <c r="W12494" t="s">
        <v>46938</v>
      </c>
      <c r="X12494" t="s">
        <v>47440</v>
      </c>
    </row>
    <row r="12495" spans="1:24">
      <c r="A12495">
        <f>HYPERLINK("https://www.philgeps.gov.ph/GEPSNONPILOT/Tender/SplashBidNoticeAbstractUI.aspx?menuIndex=3&amp;refID=7141861&amp;Result=3","7141861")</f>
        <v>0</v>
      </c>
      <c r="B12495" t="s">
        <v>2144</v>
      </c>
      <c r="C12495" t="s">
        <v>15674</v>
      </c>
      <c r="D12495" t="s">
        <v>19041</v>
      </c>
      <c r="E12495" t="s">
        <v>29800</v>
      </c>
      <c r="F12495" t="s">
        <v>32831</v>
      </c>
      <c r="G12495" t="s">
        <v>32845</v>
      </c>
      <c r="H12495" t="s">
        <v>32849</v>
      </c>
      <c r="I12495" t="s">
        <v>4177</v>
      </c>
      <c r="J12495" t="s">
        <v>40634</v>
      </c>
      <c r="K12495" t="s">
        <v>42780</v>
      </c>
      <c r="M12495" t="s">
        <v>46837</v>
      </c>
      <c r="N12495" t="s">
        <v>47424</v>
      </c>
      <c r="O12495" t="s">
        <v>47425</v>
      </c>
      <c r="P12495">
        <v>0</v>
      </c>
      <c r="Q12495">
        <v>0</v>
      </c>
      <c r="R12495" t="s">
        <v>47439</v>
      </c>
      <c r="S12495" t="s">
        <v>47860</v>
      </c>
      <c r="T12495" t="s">
        <v>49080</v>
      </c>
      <c r="U12495" t="s">
        <v>59509</v>
      </c>
      <c r="V12495" t="s">
        <v>64014</v>
      </c>
      <c r="W12495" t="s">
        <v>64546</v>
      </c>
      <c r="X12495" t="s">
        <v>47440</v>
      </c>
    </row>
    <row r="12496" spans="1:24">
      <c r="A12496">
        <f>HYPERLINK("https://www.philgeps.gov.ph/GEPSNONPILOT/Tender/SplashBidNoticeAbstractUI.aspx?menuIndex=3&amp;refID=7141872&amp;Result=3","7141872")</f>
        <v>0</v>
      </c>
      <c r="B12496" t="s">
        <v>287</v>
      </c>
      <c r="C12496" t="s">
        <v>15675</v>
      </c>
      <c r="D12496" t="s">
        <v>19070</v>
      </c>
      <c r="E12496" t="s">
        <v>29801</v>
      </c>
      <c r="F12496" t="s">
        <v>32831</v>
      </c>
      <c r="G12496" t="s">
        <v>32839</v>
      </c>
      <c r="H12496" t="s">
        <v>32849</v>
      </c>
      <c r="I12496" t="s">
        <v>4177</v>
      </c>
      <c r="J12496" t="s">
        <v>33561</v>
      </c>
      <c r="K12496" t="s">
        <v>42732</v>
      </c>
      <c r="M12496" t="s">
        <v>43286</v>
      </c>
      <c r="N12496" t="s">
        <v>47424</v>
      </c>
      <c r="O12496" t="s">
        <v>47425</v>
      </c>
      <c r="P12496">
        <v>0</v>
      </c>
      <c r="Q12496">
        <v>0</v>
      </c>
      <c r="R12496" t="s">
        <v>47439</v>
      </c>
      <c r="S12496" t="s">
        <v>47860</v>
      </c>
      <c r="T12496" t="s">
        <v>49105</v>
      </c>
      <c r="U12496" t="s">
        <v>59918</v>
      </c>
      <c r="V12496" t="s">
        <v>63986</v>
      </c>
      <c r="W12496" t="s">
        <v>43286</v>
      </c>
      <c r="X12496" t="s">
        <v>47440</v>
      </c>
    </row>
    <row r="12497" spans="1:24">
      <c r="A12497">
        <f>HYPERLINK("https://www.philgeps.gov.ph/GEPSNONPILOT/Tender/SplashBidNoticeAbstractUI.aspx?menuIndex=3&amp;refID=7141745&amp;Result=3","7141745")</f>
        <v>0</v>
      </c>
      <c r="B12497" t="s">
        <v>3579</v>
      </c>
      <c r="C12497" t="s">
        <v>15676</v>
      </c>
      <c r="D12497" t="s">
        <v>19037</v>
      </c>
      <c r="E12497" t="s">
        <v>29802</v>
      </c>
      <c r="F12497" t="s">
        <v>32831</v>
      </c>
      <c r="G12497" t="s">
        <v>32839</v>
      </c>
      <c r="H12497" t="s">
        <v>32848</v>
      </c>
      <c r="I12497" t="s">
        <v>32912</v>
      </c>
      <c r="J12497" t="s">
        <v>33118</v>
      </c>
      <c r="K12497" t="s">
        <v>42730</v>
      </c>
      <c r="M12497" t="s">
        <v>46939</v>
      </c>
      <c r="N12497" t="s">
        <v>47424</v>
      </c>
      <c r="O12497" t="s">
        <v>47425</v>
      </c>
      <c r="P12497">
        <v>0</v>
      </c>
      <c r="Q12497">
        <v>2</v>
      </c>
      <c r="R12497" t="s">
        <v>47439</v>
      </c>
      <c r="S12497" t="s">
        <v>47860</v>
      </c>
      <c r="T12497" t="s">
        <v>49618</v>
      </c>
      <c r="U12497" t="s">
        <v>59919</v>
      </c>
      <c r="W12497" t="s">
        <v>46939</v>
      </c>
      <c r="X12497" t="s">
        <v>47440</v>
      </c>
    </row>
    <row r="12498" spans="1:24">
      <c r="A12498">
        <f>HYPERLINK("https://www.philgeps.gov.ph/GEPSNONPILOT/Tender/SplashBidNoticeAbstractUI.aspx?menuIndex=3&amp;refID=7141838&amp;Result=3","7141838")</f>
        <v>0</v>
      </c>
      <c r="B12498" t="s">
        <v>287</v>
      </c>
      <c r="C12498" t="s">
        <v>15677</v>
      </c>
      <c r="D12498" t="s">
        <v>19070</v>
      </c>
      <c r="E12498" t="s">
        <v>29803</v>
      </c>
      <c r="F12498" t="s">
        <v>32831</v>
      </c>
      <c r="G12498" t="s">
        <v>32839</v>
      </c>
      <c r="H12498" t="s">
        <v>32849</v>
      </c>
      <c r="I12498" t="s">
        <v>4177</v>
      </c>
      <c r="J12498" t="s">
        <v>33046</v>
      </c>
      <c r="K12498" t="s">
        <v>42732</v>
      </c>
      <c r="M12498" t="s">
        <v>43286</v>
      </c>
      <c r="N12498" t="s">
        <v>47424</v>
      </c>
      <c r="O12498" t="s">
        <v>47425</v>
      </c>
      <c r="P12498">
        <v>0</v>
      </c>
      <c r="Q12498">
        <v>0</v>
      </c>
      <c r="R12498" t="s">
        <v>47439</v>
      </c>
      <c r="S12498" t="s">
        <v>47860</v>
      </c>
      <c r="T12498" t="s">
        <v>49105</v>
      </c>
      <c r="U12498" t="s">
        <v>59920</v>
      </c>
      <c r="V12498" t="s">
        <v>63986</v>
      </c>
      <c r="W12498" t="s">
        <v>43286</v>
      </c>
      <c r="X12498" t="s">
        <v>47440</v>
      </c>
    </row>
    <row r="12499" spans="1:24">
      <c r="A12499">
        <f>HYPERLINK("https://www.philgeps.gov.ph/GEPSNONPILOT/Tender/SplashBidNoticeAbstractUI.aspx?menuIndex=3&amp;refID=7141834&amp;Result=3","7141834")</f>
        <v>0</v>
      </c>
      <c r="B12499" t="s">
        <v>3398</v>
      </c>
      <c r="C12499" t="s">
        <v>15678</v>
      </c>
      <c r="D12499" t="s">
        <v>19017</v>
      </c>
      <c r="E12499" t="s">
        <v>29147</v>
      </c>
      <c r="F12499" t="s">
        <v>32831</v>
      </c>
      <c r="G12499" t="s">
        <v>32839</v>
      </c>
      <c r="H12499" t="s">
        <v>32848</v>
      </c>
      <c r="I12499" t="s">
        <v>32863</v>
      </c>
      <c r="J12499" t="s">
        <v>37935</v>
      </c>
      <c r="K12499" t="s">
        <v>42732</v>
      </c>
      <c r="M12499" t="s">
        <v>46730</v>
      </c>
      <c r="N12499" t="s">
        <v>47424</v>
      </c>
      <c r="O12499" t="s">
        <v>47425</v>
      </c>
      <c r="P12499">
        <v>0</v>
      </c>
      <c r="Q12499">
        <v>4</v>
      </c>
      <c r="R12499" t="s">
        <v>47439</v>
      </c>
      <c r="S12499" t="s">
        <v>47860</v>
      </c>
      <c r="T12499" t="s">
        <v>49059</v>
      </c>
      <c r="U12499" t="s">
        <v>59921</v>
      </c>
      <c r="V12499" t="s">
        <v>64015</v>
      </c>
      <c r="W12499" t="s">
        <v>46730</v>
      </c>
      <c r="X12499" t="s">
        <v>47440</v>
      </c>
    </row>
    <row r="12500" spans="1:24">
      <c r="A12500">
        <f>HYPERLINK("https://www.philgeps.gov.ph/GEPSNONPILOT/Tender/SplashBidNoticeAbstractUI.aspx?menuIndex=3&amp;refID=7141828&amp;Result=3","7141828")</f>
        <v>0</v>
      </c>
      <c r="B12500" t="s">
        <v>287</v>
      </c>
      <c r="C12500" t="s">
        <v>15679</v>
      </c>
      <c r="D12500" t="s">
        <v>19070</v>
      </c>
      <c r="E12500" t="s">
        <v>29804</v>
      </c>
      <c r="F12500" t="s">
        <v>32831</v>
      </c>
      <c r="G12500" t="s">
        <v>32839</v>
      </c>
      <c r="H12500" t="s">
        <v>32849</v>
      </c>
      <c r="I12500" t="s">
        <v>32852</v>
      </c>
      <c r="J12500" t="s">
        <v>32978</v>
      </c>
      <c r="K12500" t="s">
        <v>42732</v>
      </c>
      <c r="M12500" t="s">
        <v>43286</v>
      </c>
      <c r="N12500" t="s">
        <v>47424</v>
      </c>
      <c r="O12500" t="s">
        <v>47425</v>
      </c>
      <c r="P12500">
        <v>0</v>
      </c>
      <c r="Q12500">
        <v>1</v>
      </c>
      <c r="R12500" t="s">
        <v>47439</v>
      </c>
      <c r="S12500" t="s">
        <v>47860</v>
      </c>
      <c r="T12500" t="s">
        <v>49105</v>
      </c>
      <c r="U12500" t="s">
        <v>59736</v>
      </c>
      <c r="V12500" t="s">
        <v>63986</v>
      </c>
      <c r="W12500" t="s">
        <v>43286</v>
      </c>
      <c r="X12500" t="s">
        <v>47440</v>
      </c>
    </row>
    <row r="12501" spans="1:24">
      <c r="A12501">
        <f>HYPERLINK("https://www.philgeps.gov.ph/GEPSNONPILOT/Tender/SplashBidNoticeAbstractUI.aspx?menuIndex=3&amp;refID=7141893&amp;Result=3","7141893")</f>
        <v>0</v>
      </c>
      <c r="B12501" t="s">
        <v>3580</v>
      </c>
      <c r="C12501" t="s">
        <v>15680</v>
      </c>
      <c r="D12501" t="s">
        <v>19053</v>
      </c>
      <c r="E12501" t="s">
        <v>29805</v>
      </c>
      <c r="F12501" t="s">
        <v>32831</v>
      </c>
      <c r="G12501" t="s">
        <v>32839</v>
      </c>
      <c r="H12501" t="s">
        <v>32849</v>
      </c>
      <c r="I12501" t="s">
        <v>4177</v>
      </c>
      <c r="J12501" t="s">
        <v>36730</v>
      </c>
      <c r="K12501" t="s">
        <v>42734</v>
      </c>
      <c r="M12501" t="s">
        <v>46940</v>
      </c>
      <c r="N12501" t="s">
        <v>47424</v>
      </c>
      <c r="O12501" t="s">
        <v>47425</v>
      </c>
      <c r="P12501">
        <v>0</v>
      </c>
      <c r="Q12501">
        <v>1</v>
      </c>
      <c r="R12501" t="s">
        <v>47439</v>
      </c>
      <c r="S12501" t="s">
        <v>47860</v>
      </c>
      <c r="T12501" t="s">
        <v>49069</v>
      </c>
      <c r="U12501" t="s">
        <v>59922</v>
      </c>
      <c r="W12501" t="s">
        <v>46940</v>
      </c>
      <c r="X12501" t="s">
        <v>47440</v>
      </c>
    </row>
    <row r="12502" spans="1:24">
      <c r="A12502">
        <f>HYPERLINK("https://www.philgeps.gov.ph/GEPSNONPILOT/Tender/SplashBidNoticeAbstractUI.aspx?menuIndex=3&amp;refID=7141818&amp;Result=3","7141818")</f>
        <v>0</v>
      </c>
      <c r="B12502" t="s">
        <v>1156</v>
      </c>
      <c r="C12502" t="s">
        <v>15681</v>
      </c>
      <c r="D12502" t="s">
        <v>19017</v>
      </c>
      <c r="E12502" t="s">
        <v>29806</v>
      </c>
      <c r="F12502" t="s">
        <v>32831</v>
      </c>
      <c r="G12502" t="s">
        <v>32839</v>
      </c>
      <c r="H12502" t="s">
        <v>32848</v>
      </c>
      <c r="I12502" t="s">
        <v>32876</v>
      </c>
      <c r="J12502" t="s">
        <v>40635</v>
      </c>
      <c r="K12502" t="s">
        <v>42730</v>
      </c>
      <c r="M12502" t="s">
        <v>46941</v>
      </c>
      <c r="N12502" t="s">
        <v>47424</v>
      </c>
      <c r="O12502" t="s">
        <v>47425</v>
      </c>
      <c r="P12502">
        <v>0</v>
      </c>
      <c r="Q12502">
        <v>16</v>
      </c>
      <c r="R12502" t="s">
        <v>47439</v>
      </c>
      <c r="S12502" t="s">
        <v>47860</v>
      </c>
      <c r="T12502" t="s">
        <v>49080</v>
      </c>
      <c r="U12502" t="s">
        <v>59923</v>
      </c>
      <c r="W12502" t="s">
        <v>46941</v>
      </c>
      <c r="X12502" t="s">
        <v>47440</v>
      </c>
    </row>
    <row r="12503" spans="1:24">
      <c r="A12503">
        <f>HYPERLINK("https://www.philgeps.gov.ph/GEPSNONPILOT/Tender/SplashBidNoticeAbstractUI.aspx?menuIndex=3&amp;refID=7141691&amp;Result=3","7141691")</f>
        <v>0</v>
      </c>
      <c r="B12503" t="s">
        <v>3437</v>
      </c>
      <c r="C12503" t="s">
        <v>15682</v>
      </c>
      <c r="D12503" t="s">
        <v>19085</v>
      </c>
      <c r="E12503" t="s">
        <v>29807</v>
      </c>
      <c r="F12503" t="s">
        <v>32831</v>
      </c>
      <c r="G12503" t="s">
        <v>32839</v>
      </c>
      <c r="H12503" t="s">
        <v>32849</v>
      </c>
      <c r="I12503" t="s">
        <v>4177</v>
      </c>
      <c r="J12503" t="s">
        <v>32978</v>
      </c>
      <c r="K12503" t="s">
        <v>42797</v>
      </c>
      <c r="M12503" t="s">
        <v>46773</v>
      </c>
      <c r="N12503" t="s">
        <v>47424</v>
      </c>
      <c r="O12503" t="s">
        <v>47425</v>
      </c>
      <c r="P12503">
        <v>0</v>
      </c>
      <c r="Q12503">
        <v>0</v>
      </c>
      <c r="R12503" t="s">
        <v>47439</v>
      </c>
      <c r="S12503" t="s">
        <v>47860</v>
      </c>
      <c r="T12503" t="s">
        <v>49069</v>
      </c>
      <c r="U12503" t="s">
        <v>59924</v>
      </c>
      <c r="W12503" t="s">
        <v>46773</v>
      </c>
      <c r="X12503" t="s">
        <v>47440</v>
      </c>
    </row>
    <row r="12504" spans="1:24">
      <c r="A12504">
        <f>HYPERLINK("https://www.philgeps.gov.ph/GEPSNONPILOT/Tender/SplashBidNoticeAbstractUI.aspx?menuIndex=3&amp;refID=7141987&amp;Result=3","7141987")</f>
        <v>0</v>
      </c>
      <c r="B12504" t="s">
        <v>3581</v>
      </c>
      <c r="C12504" t="s">
        <v>15683</v>
      </c>
      <c r="D12504" t="s">
        <v>19054</v>
      </c>
      <c r="E12504" t="s">
        <v>29808</v>
      </c>
      <c r="F12504" t="s">
        <v>32831</v>
      </c>
      <c r="G12504" t="s">
        <v>32839</v>
      </c>
      <c r="H12504" t="s">
        <v>32848</v>
      </c>
      <c r="I12504" t="s">
        <v>4222</v>
      </c>
      <c r="J12504" t="s">
        <v>40636</v>
      </c>
      <c r="K12504" t="s">
        <v>42726</v>
      </c>
      <c r="M12504" t="s">
        <v>46942</v>
      </c>
      <c r="N12504" t="s">
        <v>47424</v>
      </c>
      <c r="O12504" t="s">
        <v>47425</v>
      </c>
      <c r="P12504">
        <v>0</v>
      </c>
      <c r="Q12504">
        <v>0</v>
      </c>
      <c r="R12504" t="s">
        <v>47439</v>
      </c>
      <c r="S12504" t="s">
        <v>47860</v>
      </c>
      <c r="T12504" t="s">
        <v>49111</v>
      </c>
      <c r="U12504" t="s">
        <v>59925</v>
      </c>
      <c r="W12504" t="s">
        <v>46942</v>
      </c>
      <c r="X12504" t="s">
        <v>47440</v>
      </c>
    </row>
    <row r="12505" spans="1:24">
      <c r="A12505">
        <f>HYPERLINK("https://www.philgeps.gov.ph/GEPSNONPILOT/Tender/SplashBidNoticeAbstractUI.aspx?menuIndex=3&amp;refID=7141974&amp;Result=3","7141974")</f>
        <v>0</v>
      </c>
      <c r="B12505" t="s">
        <v>1522</v>
      </c>
      <c r="C12505" t="s">
        <v>15684</v>
      </c>
      <c r="D12505" t="s">
        <v>19084</v>
      </c>
      <c r="E12505" t="s">
        <v>29809</v>
      </c>
      <c r="F12505" t="s">
        <v>32831</v>
      </c>
      <c r="G12505" t="s">
        <v>32839</v>
      </c>
      <c r="H12505" t="s">
        <v>32849</v>
      </c>
      <c r="I12505" t="s">
        <v>4177</v>
      </c>
      <c r="J12505" t="s">
        <v>38388</v>
      </c>
      <c r="K12505" t="s">
        <v>42763</v>
      </c>
      <c r="L12505" t="s">
        <v>1522</v>
      </c>
      <c r="M12505" t="s">
        <v>44623</v>
      </c>
      <c r="N12505" t="s">
        <v>47424</v>
      </c>
      <c r="O12505" t="s">
        <v>47425</v>
      </c>
      <c r="P12505">
        <v>0</v>
      </c>
      <c r="Q12505">
        <v>2</v>
      </c>
      <c r="R12505" t="s">
        <v>47439</v>
      </c>
      <c r="S12505" t="s">
        <v>47860</v>
      </c>
      <c r="T12505" t="s">
        <v>49069</v>
      </c>
      <c r="U12505" t="s">
        <v>59926</v>
      </c>
      <c r="W12505" t="s">
        <v>44623</v>
      </c>
      <c r="X12505" t="s">
        <v>47440</v>
      </c>
    </row>
    <row r="12506" spans="1:24">
      <c r="A12506">
        <f>HYPERLINK("https://www.philgeps.gov.ph/GEPSNONPILOT/Tender/SplashBidNoticeAbstractUI.aspx?menuIndex=3&amp;refID=7141848&amp;Result=3","7141848")</f>
        <v>0</v>
      </c>
      <c r="B12506" t="s">
        <v>3582</v>
      </c>
      <c r="C12506" t="s">
        <v>15685</v>
      </c>
      <c r="D12506" t="s">
        <v>19040</v>
      </c>
      <c r="E12506" t="s">
        <v>19865</v>
      </c>
      <c r="F12506" t="s">
        <v>32831</v>
      </c>
      <c r="G12506" t="s">
        <v>32839</v>
      </c>
      <c r="H12506" t="s">
        <v>32848</v>
      </c>
      <c r="I12506" t="s">
        <v>7416</v>
      </c>
      <c r="J12506" t="s">
        <v>40637</v>
      </c>
      <c r="K12506" t="s">
        <v>42731</v>
      </c>
      <c r="M12506" t="s">
        <v>46943</v>
      </c>
      <c r="N12506" t="s">
        <v>47424</v>
      </c>
      <c r="O12506" t="s">
        <v>47425</v>
      </c>
      <c r="P12506">
        <v>0</v>
      </c>
      <c r="Q12506">
        <v>1</v>
      </c>
      <c r="R12506" t="s">
        <v>47439</v>
      </c>
      <c r="S12506" t="s">
        <v>47860</v>
      </c>
      <c r="T12506" t="s">
        <v>49056</v>
      </c>
      <c r="U12506" t="s">
        <v>59927</v>
      </c>
      <c r="W12506" t="s">
        <v>46943</v>
      </c>
      <c r="X12506" t="s">
        <v>47440</v>
      </c>
    </row>
    <row r="12507" spans="1:24">
      <c r="A12507">
        <f>HYPERLINK("https://www.philgeps.gov.ph/GEPSNONPILOT/Tender/SplashBidNoticeAbstractUI.aspx?menuIndex=3&amp;refID=7141878&amp;Result=3","7141878")</f>
        <v>0</v>
      </c>
      <c r="B12507" t="s">
        <v>1740</v>
      </c>
      <c r="C12507" t="s">
        <v>15686</v>
      </c>
      <c r="D12507" t="s">
        <v>19068</v>
      </c>
      <c r="E12507" t="s">
        <v>29470</v>
      </c>
      <c r="F12507" t="s">
        <v>32831</v>
      </c>
      <c r="G12507" t="s">
        <v>32839</v>
      </c>
      <c r="H12507" t="s">
        <v>32849</v>
      </c>
      <c r="I12507" t="s">
        <v>4177</v>
      </c>
      <c r="J12507" t="s">
        <v>33707</v>
      </c>
      <c r="K12507" t="s">
        <v>42961</v>
      </c>
      <c r="M12507" t="s">
        <v>44863</v>
      </c>
      <c r="N12507" t="s">
        <v>47424</v>
      </c>
      <c r="O12507" t="s">
        <v>47425</v>
      </c>
      <c r="P12507">
        <v>0</v>
      </c>
      <c r="Q12507">
        <v>2</v>
      </c>
      <c r="R12507" t="s">
        <v>47439</v>
      </c>
      <c r="S12507" t="s">
        <v>47860</v>
      </c>
      <c r="T12507" t="s">
        <v>49057</v>
      </c>
      <c r="U12507" t="s">
        <v>59928</v>
      </c>
      <c r="W12507" t="s">
        <v>44863</v>
      </c>
      <c r="X12507" t="s">
        <v>47440</v>
      </c>
    </row>
    <row r="12508" spans="1:24">
      <c r="A12508">
        <f>HYPERLINK("https://www.philgeps.gov.ph/GEPSNONPILOT/Tender/SplashBidNoticeAbstractUI.aspx?menuIndex=3&amp;refID=7141969&amp;Result=3","7141969")</f>
        <v>0</v>
      </c>
      <c r="B12508" t="s">
        <v>3398</v>
      </c>
      <c r="C12508" t="s">
        <v>15687</v>
      </c>
      <c r="E12508" t="s">
        <v>29149</v>
      </c>
      <c r="F12508" t="s">
        <v>32831</v>
      </c>
      <c r="G12508" t="s">
        <v>32839</v>
      </c>
      <c r="H12508" t="s">
        <v>32848</v>
      </c>
      <c r="I12508" t="s">
        <v>32863</v>
      </c>
      <c r="J12508" t="s">
        <v>33528</v>
      </c>
      <c r="K12508" t="s">
        <v>42732</v>
      </c>
      <c r="M12508" t="s">
        <v>46730</v>
      </c>
      <c r="N12508" t="s">
        <v>47424</v>
      </c>
      <c r="O12508" t="s">
        <v>47425</v>
      </c>
      <c r="P12508">
        <v>0</v>
      </c>
      <c r="Q12508">
        <v>3</v>
      </c>
      <c r="R12508" t="s">
        <v>47439</v>
      </c>
      <c r="S12508" t="s">
        <v>47860</v>
      </c>
      <c r="T12508" t="s">
        <v>49551</v>
      </c>
      <c r="U12508" t="s">
        <v>59929</v>
      </c>
      <c r="V12508" t="s">
        <v>63892</v>
      </c>
      <c r="W12508" t="s">
        <v>46730</v>
      </c>
      <c r="X12508" t="s">
        <v>47440</v>
      </c>
    </row>
    <row r="12509" spans="1:24">
      <c r="A12509">
        <f>HYPERLINK("https://www.philgeps.gov.ph/GEPSNONPILOT/Tender/SplashBidNoticeAbstractUI.aspx?menuIndex=3&amp;refID=7141820&amp;Result=3","7141820")</f>
        <v>0</v>
      </c>
      <c r="B12509" t="s">
        <v>287</v>
      </c>
      <c r="C12509" t="s">
        <v>15688</v>
      </c>
      <c r="D12509" t="s">
        <v>19070</v>
      </c>
      <c r="E12509" t="s">
        <v>29810</v>
      </c>
      <c r="F12509" t="s">
        <v>32831</v>
      </c>
      <c r="G12509" t="s">
        <v>32839</v>
      </c>
      <c r="H12509" t="s">
        <v>32849</v>
      </c>
      <c r="I12509" t="s">
        <v>32852</v>
      </c>
      <c r="J12509" t="s">
        <v>32978</v>
      </c>
      <c r="K12509" t="s">
        <v>42732</v>
      </c>
      <c r="M12509" t="s">
        <v>43286</v>
      </c>
      <c r="N12509" t="s">
        <v>47424</v>
      </c>
      <c r="O12509" t="s">
        <v>47425</v>
      </c>
      <c r="P12509">
        <v>0</v>
      </c>
      <c r="Q12509">
        <v>1</v>
      </c>
      <c r="R12509" t="s">
        <v>47439</v>
      </c>
      <c r="S12509" t="s">
        <v>47860</v>
      </c>
      <c r="T12509" t="s">
        <v>49105</v>
      </c>
      <c r="U12509" t="s">
        <v>59736</v>
      </c>
      <c r="V12509" t="s">
        <v>63986</v>
      </c>
      <c r="W12509" t="s">
        <v>43286</v>
      </c>
      <c r="X12509" t="s">
        <v>47440</v>
      </c>
    </row>
    <row r="12510" spans="1:24">
      <c r="A12510">
        <f>HYPERLINK("https://www.philgeps.gov.ph/GEPSNONPILOT/Tender/SplashBidNoticeAbstractUI.aspx?menuIndex=3&amp;refID=7141965&amp;Result=3","7141965")</f>
        <v>0</v>
      </c>
      <c r="B12510" t="s">
        <v>1522</v>
      </c>
      <c r="C12510" t="s">
        <v>15689</v>
      </c>
      <c r="D12510" t="s">
        <v>19084</v>
      </c>
      <c r="E12510" t="s">
        <v>29811</v>
      </c>
      <c r="F12510" t="s">
        <v>32831</v>
      </c>
      <c r="G12510" t="s">
        <v>32839</v>
      </c>
      <c r="H12510" t="s">
        <v>32849</v>
      </c>
      <c r="I12510" t="s">
        <v>4177</v>
      </c>
      <c r="J12510" t="s">
        <v>40638</v>
      </c>
      <c r="K12510" t="s">
        <v>42882</v>
      </c>
      <c r="L12510" t="s">
        <v>1522</v>
      </c>
      <c r="M12510" t="s">
        <v>44623</v>
      </c>
      <c r="N12510" t="s">
        <v>47424</v>
      </c>
      <c r="O12510" t="s">
        <v>47425</v>
      </c>
      <c r="P12510">
        <v>0</v>
      </c>
      <c r="Q12510">
        <v>3</v>
      </c>
      <c r="R12510" t="s">
        <v>47439</v>
      </c>
      <c r="S12510" t="s">
        <v>47860</v>
      </c>
      <c r="T12510" t="s">
        <v>49069</v>
      </c>
      <c r="U12510" t="s">
        <v>59930</v>
      </c>
      <c r="W12510" t="s">
        <v>44623</v>
      </c>
      <c r="X12510" t="s">
        <v>47440</v>
      </c>
    </row>
    <row r="12511" spans="1:24">
      <c r="A12511">
        <f>HYPERLINK("https://www.philgeps.gov.ph/GEPSNONPILOT/Tender/SplashBidNoticeAbstractUI.aspx?menuIndex=3&amp;refID=7141944&amp;Result=3","7141944")</f>
        <v>0</v>
      </c>
      <c r="B12511" t="s">
        <v>287</v>
      </c>
      <c r="C12511" t="s">
        <v>15690</v>
      </c>
      <c r="D12511" t="s">
        <v>19070</v>
      </c>
      <c r="E12511" t="s">
        <v>29812</v>
      </c>
      <c r="F12511" t="s">
        <v>32831</v>
      </c>
      <c r="G12511" t="s">
        <v>32839</v>
      </c>
      <c r="H12511" t="s">
        <v>32849</v>
      </c>
      <c r="I12511" t="s">
        <v>4177</v>
      </c>
      <c r="J12511" t="s">
        <v>33528</v>
      </c>
      <c r="K12511" t="s">
        <v>42732</v>
      </c>
      <c r="M12511" t="s">
        <v>43286</v>
      </c>
      <c r="N12511" t="s">
        <v>47424</v>
      </c>
      <c r="O12511" t="s">
        <v>47425</v>
      </c>
      <c r="P12511">
        <v>0</v>
      </c>
      <c r="Q12511">
        <v>1</v>
      </c>
      <c r="R12511" t="s">
        <v>47439</v>
      </c>
      <c r="S12511" t="s">
        <v>47860</v>
      </c>
      <c r="T12511" t="s">
        <v>49105</v>
      </c>
      <c r="U12511" t="s">
        <v>59931</v>
      </c>
      <c r="V12511" t="s">
        <v>63986</v>
      </c>
      <c r="W12511" t="s">
        <v>43286</v>
      </c>
      <c r="X12511" t="s">
        <v>47440</v>
      </c>
    </row>
    <row r="12512" spans="1:24">
      <c r="A12512">
        <f>HYPERLINK("https://www.philgeps.gov.ph/GEPSNONPILOT/Tender/SplashBidNoticeAbstractUI.aspx?menuIndex=3&amp;refID=7141960&amp;Result=3","7141960")</f>
        <v>0</v>
      </c>
      <c r="B12512" t="s">
        <v>1740</v>
      </c>
      <c r="C12512" t="s">
        <v>15691</v>
      </c>
      <c r="D12512" t="s">
        <v>19068</v>
      </c>
      <c r="E12512" t="s">
        <v>29813</v>
      </c>
      <c r="F12512" t="s">
        <v>32831</v>
      </c>
      <c r="G12512" t="s">
        <v>32839</v>
      </c>
      <c r="H12512" t="s">
        <v>32849</v>
      </c>
      <c r="I12512" t="s">
        <v>4177</v>
      </c>
      <c r="J12512" t="s">
        <v>35708</v>
      </c>
      <c r="K12512" t="s">
        <v>42927</v>
      </c>
      <c r="M12512" t="s">
        <v>44863</v>
      </c>
      <c r="N12512" t="s">
        <v>47424</v>
      </c>
      <c r="O12512" t="s">
        <v>47425</v>
      </c>
      <c r="P12512">
        <v>0</v>
      </c>
      <c r="Q12512">
        <v>1</v>
      </c>
      <c r="R12512" t="s">
        <v>47439</v>
      </c>
      <c r="S12512" t="s">
        <v>47860</v>
      </c>
      <c r="T12512" t="s">
        <v>49057</v>
      </c>
      <c r="U12512" t="s">
        <v>59932</v>
      </c>
      <c r="W12512" t="s">
        <v>44863</v>
      </c>
      <c r="X12512" t="s">
        <v>47440</v>
      </c>
    </row>
    <row r="12513" spans="1:24">
      <c r="A12513">
        <f>HYPERLINK("https://www.philgeps.gov.ph/GEPSNONPILOT/Tender/SplashBidNoticeAbstractUI.aspx?menuIndex=3&amp;refID=7141939&amp;Result=3","7141939")</f>
        <v>0</v>
      </c>
      <c r="B12513" t="s">
        <v>858</v>
      </c>
      <c r="C12513" t="s">
        <v>15692</v>
      </c>
      <c r="D12513" t="s">
        <v>19017</v>
      </c>
      <c r="E12513" t="s">
        <v>29814</v>
      </c>
      <c r="F12513" t="s">
        <v>32831</v>
      </c>
      <c r="G12513" t="s">
        <v>32839</v>
      </c>
      <c r="H12513" t="s">
        <v>32849</v>
      </c>
      <c r="I12513" t="s">
        <v>4177</v>
      </c>
      <c r="J12513" t="s">
        <v>40639</v>
      </c>
      <c r="K12513" t="s">
        <v>42757</v>
      </c>
      <c r="M12513" t="s">
        <v>46944</v>
      </c>
      <c r="N12513" t="s">
        <v>47424</v>
      </c>
      <c r="O12513" t="s">
        <v>47425</v>
      </c>
      <c r="Q12513">
        <v>35</v>
      </c>
      <c r="R12513" t="s">
        <v>47439</v>
      </c>
      <c r="S12513" t="s">
        <v>47944</v>
      </c>
      <c r="T12513" t="s">
        <v>49069</v>
      </c>
      <c r="U12513" t="s">
        <v>59933</v>
      </c>
      <c r="W12513" t="s">
        <v>46944</v>
      </c>
      <c r="X12513" t="s">
        <v>47440</v>
      </c>
    </row>
    <row r="12514" spans="1:24">
      <c r="A12514">
        <f>HYPERLINK("https://www.philgeps.gov.ph/GEPSNONPILOT/Tender/SplashBidNoticeAbstractUI.aspx?menuIndex=3&amp;refID=7141938&amp;Result=3","7141938")</f>
        <v>0</v>
      </c>
      <c r="B12514" t="s">
        <v>832</v>
      </c>
      <c r="C12514" t="s">
        <v>15693</v>
      </c>
      <c r="D12514" t="s">
        <v>19101</v>
      </c>
      <c r="E12514" t="s">
        <v>29815</v>
      </c>
      <c r="F12514" t="s">
        <v>32831</v>
      </c>
      <c r="G12514" t="s">
        <v>32839</v>
      </c>
      <c r="H12514" t="s">
        <v>32848</v>
      </c>
      <c r="I12514" t="s">
        <v>32925</v>
      </c>
      <c r="J12514" t="s">
        <v>40640</v>
      </c>
      <c r="K12514" t="s">
        <v>42729</v>
      </c>
      <c r="M12514" t="s">
        <v>44445</v>
      </c>
      <c r="N12514" t="s">
        <v>47424</v>
      </c>
      <c r="O12514" t="s">
        <v>47425</v>
      </c>
      <c r="Q12514">
        <v>9</v>
      </c>
      <c r="R12514" t="s">
        <v>47439</v>
      </c>
      <c r="S12514" t="s">
        <v>47945</v>
      </c>
      <c r="T12514" t="s">
        <v>49087</v>
      </c>
      <c r="U12514" t="s">
        <v>59934</v>
      </c>
      <c r="V12514" t="s">
        <v>64016</v>
      </c>
      <c r="W12514" t="s">
        <v>44445</v>
      </c>
      <c r="X12514" t="s">
        <v>47440</v>
      </c>
    </row>
    <row r="12515" spans="1:24">
      <c r="A12515">
        <f>HYPERLINK("https://www.philgeps.gov.ph/GEPSNONPILOT/Tender/SplashBidNoticeAbstractUI.aspx?menuIndex=3&amp;refID=7141958&amp;Result=3","7141958")</f>
        <v>0</v>
      </c>
      <c r="B12515" t="s">
        <v>499</v>
      </c>
      <c r="C12515" t="s">
        <v>15694</v>
      </c>
      <c r="D12515" t="s">
        <v>19043</v>
      </c>
      <c r="E12515" t="s">
        <v>29816</v>
      </c>
      <c r="F12515" t="s">
        <v>32831</v>
      </c>
      <c r="G12515" t="s">
        <v>32839</v>
      </c>
      <c r="H12515" t="s">
        <v>32848</v>
      </c>
      <c r="I12515" t="s">
        <v>4776</v>
      </c>
      <c r="J12515" t="s">
        <v>34203</v>
      </c>
      <c r="K12515" t="s">
        <v>42727</v>
      </c>
      <c r="M12515" t="s">
        <v>43504</v>
      </c>
      <c r="N12515" t="s">
        <v>47424</v>
      </c>
      <c r="O12515" t="s">
        <v>47425</v>
      </c>
      <c r="Q12515">
        <v>7</v>
      </c>
      <c r="R12515" t="s">
        <v>47439</v>
      </c>
      <c r="S12515" t="s">
        <v>47946</v>
      </c>
      <c r="T12515" t="s">
        <v>49066</v>
      </c>
      <c r="U12515" t="s">
        <v>59935</v>
      </c>
      <c r="W12515" t="s">
        <v>43504</v>
      </c>
      <c r="X12515" t="s">
        <v>47440</v>
      </c>
    </row>
    <row r="12516" spans="1:24">
      <c r="A12516">
        <f>HYPERLINK("https://www.philgeps.gov.ph/GEPSNONPILOT/Tender/SplashBidNoticeAbstractUI.aspx?menuIndex=3&amp;refID=7141932&amp;Result=3","7141932")</f>
        <v>0</v>
      </c>
      <c r="B12516" t="s">
        <v>287</v>
      </c>
      <c r="C12516" t="s">
        <v>15695</v>
      </c>
      <c r="D12516" t="s">
        <v>19070</v>
      </c>
      <c r="E12516" t="s">
        <v>29817</v>
      </c>
      <c r="F12516" t="s">
        <v>32831</v>
      </c>
      <c r="G12516" t="s">
        <v>32839</v>
      </c>
      <c r="H12516" t="s">
        <v>32849</v>
      </c>
      <c r="I12516" t="s">
        <v>4177</v>
      </c>
      <c r="J12516" t="s">
        <v>33118</v>
      </c>
      <c r="K12516" t="s">
        <v>42732</v>
      </c>
      <c r="M12516" t="s">
        <v>43286</v>
      </c>
      <c r="N12516" t="s">
        <v>47424</v>
      </c>
      <c r="O12516" t="s">
        <v>47425</v>
      </c>
      <c r="P12516">
        <v>0</v>
      </c>
      <c r="Q12516">
        <v>1</v>
      </c>
      <c r="R12516" t="s">
        <v>47439</v>
      </c>
      <c r="S12516" t="s">
        <v>47860</v>
      </c>
      <c r="T12516" t="s">
        <v>49105</v>
      </c>
      <c r="U12516" t="s">
        <v>59936</v>
      </c>
      <c r="V12516" t="s">
        <v>63986</v>
      </c>
      <c r="W12516" t="s">
        <v>43286</v>
      </c>
      <c r="X12516" t="s">
        <v>47440</v>
      </c>
    </row>
    <row r="12517" spans="1:24">
      <c r="A12517">
        <f>HYPERLINK("https://www.philgeps.gov.ph/GEPSNONPILOT/Tender/SplashBidNoticeAbstractUI.aspx?menuIndex=3&amp;refID=7141930&amp;Result=3","7141930")</f>
        <v>0</v>
      </c>
      <c r="B12517" t="s">
        <v>858</v>
      </c>
      <c r="C12517" t="s">
        <v>15696</v>
      </c>
      <c r="D12517" t="s">
        <v>19017</v>
      </c>
      <c r="E12517" t="s">
        <v>29818</v>
      </c>
      <c r="F12517" t="s">
        <v>32831</v>
      </c>
      <c r="G12517" t="s">
        <v>32839</v>
      </c>
      <c r="H12517" t="s">
        <v>32849</v>
      </c>
      <c r="I12517" t="s">
        <v>4177</v>
      </c>
      <c r="J12517" t="s">
        <v>40641</v>
      </c>
      <c r="K12517" t="s">
        <v>42770</v>
      </c>
      <c r="M12517" t="s">
        <v>46944</v>
      </c>
      <c r="N12517" t="s">
        <v>47424</v>
      </c>
      <c r="O12517" t="s">
        <v>47425</v>
      </c>
      <c r="Q12517">
        <v>35</v>
      </c>
      <c r="R12517" t="s">
        <v>47439</v>
      </c>
      <c r="S12517" t="s">
        <v>47947</v>
      </c>
      <c r="T12517" t="s">
        <v>49069</v>
      </c>
      <c r="U12517" t="s">
        <v>59937</v>
      </c>
      <c r="W12517" t="s">
        <v>46944</v>
      </c>
      <c r="X12517" t="s">
        <v>47440</v>
      </c>
    </row>
    <row r="12518" spans="1:24">
      <c r="A12518">
        <f>HYPERLINK("https://www.philgeps.gov.ph/GEPSNONPILOT/Tender/SplashBidNoticeAbstractUI.aspx?menuIndex=3&amp;refID=7141921&amp;Result=3","7141921")</f>
        <v>0</v>
      </c>
      <c r="B12518" t="s">
        <v>832</v>
      </c>
      <c r="C12518" t="s">
        <v>15697</v>
      </c>
      <c r="D12518" t="s">
        <v>19101</v>
      </c>
      <c r="E12518" t="s">
        <v>29819</v>
      </c>
      <c r="F12518" t="s">
        <v>32831</v>
      </c>
      <c r="G12518" t="s">
        <v>32839</v>
      </c>
      <c r="H12518" t="s">
        <v>32848</v>
      </c>
      <c r="I12518" t="s">
        <v>32925</v>
      </c>
      <c r="J12518" t="s">
        <v>33108</v>
      </c>
      <c r="K12518" t="s">
        <v>42729</v>
      </c>
      <c r="M12518" t="s">
        <v>44445</v>
      </c>
      <c r="N12518" t="s">
        <v>47424</v>
      </c>
      <c r="O12518" t="s">
        <v>47425</v>
      </c>
      <c r="Q12518">
        <v>11</v>
      </c>
      <c r="R12518" t="s">
        <v>47439</v>
      </c>
      <c r="S12518" t="s">
        <v>47948</v>
      </c>
      <c r="T12518" t="s">
        <v>49087</v>
      </c>
      <c r="U12518" t="s">
        <v>59934</v>
      </c>
      <c r="V12518" t="s">
        <v>64017</v>
      </c>
      <c r="W12518" t="s">
        <v>44445</v>
      </c>
      <c r="X12518" t="s">
        <v>47440</v>
      </c>
    </row>
    <row r="12519" spans="1:24">
      <c r="A12519">
        <f>HYPERLINK("https://www.philgeps.gov.ph/GEPSNONPILOT/Tender/SplashBidNoticeAbstractUI.aspx?menuIndex=3&amp;refID=7141935&amp;Result=3","7141935")</f>
        <v>0</v>
      </c>
      <c r="B12519" t="s">
        <v>858</v>
      </c>
      <c r="C12519" t="s">
        <v>15698</v>
      </c>
      <c r="D12519" t="s">
        <v>19017</v>
      </c>
      <c r="E12519" t="s">
        <v>29820</v>
      </c>
      <c r="F12519" t="s">
        <v>32831</v>
      </c>
      <c r="G12519" t="s">
        <v>32839</v>
      </c>
      <c r="H12519" t="s">
        <v>32849</v>
      </c>
      <c r="I12519" t="s">
        <v>4177</v>
      </c>
      <c r="J12519" t="s">
        <v>40642</v>
      </c>
      <c r="K12519" t="s">
        <v>42770</v>
      </c>
      <c r="M12519" t="s">
        <v>46944</v>
      </c>
      <c r="N12519" t="s">
        <v>47424</v>
      </c>
      <c r="O12519" t="s">
        <v>47425</v>
      </c>
      <c r="Q12519">
        <v>40</v>
      </c>
      <c r="R12519" t="s">
        <v>47439</v>
      </c>
      <c r="S12519" t="s">
        <v>47949</v>
      </c>
      <c r="T12519" t="s">
        <v>49069</v>
      </c>
      <c r="U12519" t="s">
        <v>59937</v>
      </c>
      <c r="W12519" t="s">
        <v>46944</v>
      </c>
      <c r="X12519" t="s">
        <v>47440</v>
      </c>
    </row>
    <row r="12520" spans="1:24">
      <c r="A12520">
        <f>HYPERLINK("https://www.philgeps.gov.ph/GEPSNONPILOT/Tender/SplashBidNoticeAbstractUI.aspx?menuIndex=3&amp;refID=7141920&amp;Result=3","7141920")</f>
        <v>0</v>
      </c>
      <c r="B12520" t="s">
        <v>858</v>
      </c>
      <c r="C12520" t="s">
        <v>15699</v>
      </c>
      <c r="D12520" t="s">
        <v>19017</v>
      </c>
      <c r="E12520" t="s">
        <v>29821</v>
      </c>
      <c r="F12520" t="s">
        <v>32831</v>
      </c>
      <c r="G12520" t="s">
        <v>32839</v>
      </c>
      <c r="H12520" t="s">
        <v>32849</v>
      </c>
      <c r="I12520" t="s">
        <v>4177</v>
      </c>
      <c r="J12520" t="s">
        <v>40643</v>
      </c>
      <c r="K12520" t="s">
        <v>42770</v>
      </c>
      <c r="M12520" t="s">
        <v>46944</v>
      </c>
      <c r="N12520" t="s">
        <v>47424</v>
      </c>
      <c r="O12520" t="s">
        <v>47425</v>
      </c>
      <c r="Q12520">
        <v>37</v>
      </c>
      <c r="R12520" t="s">
        <v>47439</v>
      </c>
      <c r="S12520" t="s">
        <v>47950</v>
      </c>
      <c r="T12520" t="s">
        <v>49069</v>
      </c>
      <c r="U12520" t="s">
        <v>59937</v>
      </c>
      <c r="W12520" t="s">
        <v>46944</v>
      </c>
      <c r="X12520" t="s">
        <v>47440</v>
      </c>
    </row>
    <row r="12521" spans="1:24">
      <c r="A12521">
        <f>HYPERLINK("https://www.philgeps.gov.ph/GEPSNONPILOT/Tender/SplashBidNoticeAbstractUI.aspx?menuIndex=3&amp;refID=7141917&amp;Result=3","7141917")</f>
        <v>0</v>
      </c>
      <c r="B12521" t="s">
        <v>287</v>
      </c>
      <c r="C12521" t="s">
        <v>15700</v>
      </c>
      <c r="D12521" t="s">
        <v>19070</v>
      </c>
      <c r="E12521" t="s">
        <v>29822</v>
      </c>
      <c r="F12521" t="s">
        <v>32831</v>
      </c>
      <c r="G12521" t="s">
        <v>32839</v>
      </c>
      <c r="H12521" t="s">
        <v>32849</v>
      </c>
      <c r="I12521" t="s">
        <v>4177</v>
      </c>
      <c r="J12521" t="s">
        <v>33118</v>
      </c>
      <c r="K12521" t="s">
        <v>42732</v>
      </c>
      <c r="M12521" t="s">
        <v>43286</v>
      </c>
      <c r="N12521" t="s">
        <v>47424</v>
      </c>
      <c r="O12521" t="s">
        <v>47425</v>
      </c>
      <c r="P12521">
        <v>0</v>
      </c>
      <c r="Q12521">
        <v>1</v>
      </c>
      <c r="R12521" t="s">
        <v>47439</v>
      </c>
      <c r="S12521" t="s">
        <v>47860</v>
      </c>
      <c r="T12521" t="s">
        <v>49105</v>
      </c>
      <c r="U12521" t="s">
        <v>59938</v>
      </c>
      <c r="V12521" t="s">
        <v>63986</v>
      </c>
      <c r="W12521" t="s">
        <v>43286</v>
      </c>
      <c r="X12521" t="s">
        <v>47440</v>
      </c>
    </row>
    <row r="12522" spans="1:24">
      <c r="A12522">
        <f>HYPERLINK("https://www.philgeps.gov.ph/GEPSNONPILOT/Tender/SplashBidNoticeAbstractUI.aspx?menuIndex=3&amp;refID=7141571&amp;Result=3","7141571")</f>
        <v>0</v>
      </c>
      <c r="B12522" t="s">
        <v>107</v>
      </c>
      <c r="C12522" t="s">
        <v>15701</v>
      </c>
      <c r="D12522" t="s">
        <v>19034</v>
      </c>
      <c r="E12522" t="s">
        <v>29823</v>
      </c>
      <c r="F12522" t="s">
        <v>32831</v>
      </c>
      <c r="G12522" t="s">
        <v>32839</v>
      </c>
      <c r="H12522" t="s">
        <v>32848</v>
      </c>
      <c r="I12522" t="s">
        <v>8781</v>
      </c>
      <c r="J12522" t="s">
        <v>40644</v>
      </c>
      <c r="K12522" t="s">
        <v>42730</v>
      </c>
      <c r="M12522" t="s">
        <v>43104</v>
      </c>
      <c r="N12522" t="s">
        <v>47424</v>
      </c>
      <c r="O12522" t="s">
        <v>47425</v>
      </c>
      <c r="P12522">
        <v>0</v>
      </c>
      <c r="Q12522">
        <v>0</v>
      </c>
      <c r="R12522" t="s">
        <v>47439</v>
      </c>
      <c r="S12522" t="s">
        <v>47860</v>
      </c>
      <c r="T12522" t="s">
        <v>49619</v>
      </c>
      <c r="U12522" t="s">
        <v>59939</v>
      </c>
      <c r="W12522" t="s">
        <v>43104</v>
      </c>
      <c r="X12522" t="s">
        <v>47440</v>
      </c>
    </row>
    <row r="12523" spans="1:24">
      <c r="A12523">
        <f>HYPERLINK("https://www.philgeps.gov.ph/GEPSNONPILOT/Tender/SplashBidNoticeAbstractUI.aspx?menuIndex=3&amp;refID=7141799&amp;Result=3","7141799")</f>
        <v>0</v>
      </c>
      <c r="B12523" t="s">
        <v>3447</v>
      </c>
      <c r="C12523" t="s">
        <v>15702</v>
      </c>
      <c r="D12523" t="s">
        <v>19065</v>
      </c>
      <c r="E12523" t="s">
        <v>29824</v>
      </c>
      <c r="F12523" t="s">
        <v>32831</v>
      </c>
      <c r="G12523" t="s">
        <v>32839</v>
      </c>
      <c r="H12523" t="s">
        <v>32849</v>
      </c>
      <c r="I12523" t="s">
        <v>4177</v>
      </c>
      <c r="J12523" t="s">
        <v>40645</v>
      </c>
      <c r="K12523" t="s">
        <v>42757</v>
      </c>
      <c r="M12523" t="s">
        <v>46937</v>
      </c>
      <c r="N12523" t="s">
        <v>47424</v>
      </c>
      <c r="O12523" t="s">
        <v>47425</v>
      </c>
      <c r="P12523">
        <v>0</v>
      </c>
      <c r="Q12523">
        <v>7</v>
      </c>
      <c r="R12523" t="s">
        <v>47439</v>
      </c>
      <c r="S12523" t="s">
        <v>47860</v>
      </c>
      <c r="T12523" t="s">
        <v>49245</v>
      </c>
      <c r="U12523" t="s">
        <v>59940</v>
      </c>
      <c r="W12523" t="s">
        <v>64549</v>
      </c>
      <c r="X12523" t="s">
        <v>47440</v>
      </c>
    </row>
    <row r="12524" spans="1:24">
      <c r="A12524">
        <f>HYPERLINK("https://www.philgeps.gov.ph/GEPSNONPILOT/Tender/SplashBidNoticeAbstractUI.aspx?menuIndex=3&amp;refID=7141907&amp;Result=3","7141907")</f>
        <v>0</v>
      </c>
      <c r="B12524" t="s">
        <v>858</v>
      </c>
      <c r="C12524" t="s">
        <v>15703</v>
      </c>
      <c r="D12524" t="s">
        <v>19017</v>
      </c>
      <c r="E12524" t="s">
        <v>29825</v>
      </c>
      <c r="F12524" t="s">
        <v>32831</v>
      </c>
      <c r="G12524" t="s">
        <v>32839</v>
      </c>
      <c r="H12524" t="s">
        <v>32849</v>
      </c>
      <c r="I12524" t="s">
        <v>4177</v>
      </c>
      <c r="J12524" t="s">
        <v>40646</v>
      </c>
      <c r="K12524" t="s">
        <v>42763</v>
      </c>
      <c r="M12524" t="s">
        <v>46944</v>
      </c>
      <c r="N12524" t="s">
        <v>47424</v>
      </c>
      <c r="O12524" t="s">
        <v>47425</v>
      </c>
      <c r="Q12524">
        <v>40</v>
      </c>
      <c r="R12524" t="s">
        <v>47439</v>
      </c>
      <c r="S12524" t="s">
        <v>47951</v>
      </c>
      <c r="T12524" t="s">
        <v>49069</v>
      </c>
      <c r="U12524" t="s">
        <v>59941</v>
      </c>
      <c r="W12524" t="s">
        <v>46944</v>
      </c>
      <c r="X12524" t="s">
        <v>47440</v>
      </c>
    </row>
    <row r="12525" spans="1:24">
      <c r="A12525">
        <f>HYPERLINK("https://www.philgeps.gov.ph/GEPSNONPILOT/Tender/SplashBidNoticeAbstractUI.aspx?menuIndex=3&amp;refID=7141794&amp;Result=3","7141794")</f>
        <v>0</v>
      </c>
      <c r="B12525" t="s">
        <v>858</v>
      </c>
      <c r="C12525" t="s">
        <v>15704</v>
      </c>
      <c r="D12525" t="s">
        <v>19017</v>
      </c>
      <c r="E12525" t="s">
        <v>29826</v>
      </c>
      <c r="F12525" t="s">
        <v>32831</v>
      </c>
      <c r="G12525" t="s">
        <v>32839</v>
      </c>
      <c r="H12525" t="s">
        <v>32849</v>
      </c>
      <c r="I12525" t="s">
        <v>4177</v>
      </c>
      <c r="J12525" t="s">
        <v>40647</v>
      </c>
      <c r="K12525" t="s">
        <v>42747</v>
      </c>
      <c r="M12525" t="s">
        <v>46944</v>
      </c>
      <c r="N12525" t="s">
        <v>47424</v>
      </c>
      <c r="O12525" t="s">
        <v>47425</v>
      </c>
      <c r="Q12525">
        <v>35</v>
      </c>
      <c r="R12525" t="s">
        <v>47439</v>
      </c>
      <c r="S12525" t="s">
        <v>47952</v>
      </c>
      <c r="T12525" t="s">
        <v>49069</v>
      </c>
      <c r="U12525" t="s">
        <v>59941</v>
      </c>
      <c r="W12525" t="s">
        <v>46944</v>
      </c>
      <c r="X12525" t="s">
        <v>47440</v>
      </c>
    </row>
    <row r="12526" spans="1:24">
      <c r="A12526">
        <f>HYPERLINK("https://www.philgeps.gov.ph/GEPSNONPILOT/Tender/SplashBidNoticeAbstractUI.aspx?menuIndex=3&amp;refID=7141793&amp;Result=3","7141793")</f>
        <v>0</v>
      </c>
      <c r="B12526" t="s">
        <v>1014</v>
      </c>
      <c r="C12526" t="s">
        <v>15705</v>
      </c>
      <c r="D12526" t="s">
        <v>19100</v>
      </c>
      <c r="E12526" t="s">
        <v>29827</v>
      </c>
      <c r="F12526" t="s">
        <v>32831</v>
      </c>
      <c r="G12526" t="s">
        <v>32839</v>
      </c>
      <c r="H12526" t="s">
        <v>32849</v>
      </c>
      <c r="I12526" t="s">
        <v>4177</v>
      </c>
      <c r="J12526" t="s">
        <v>40648</v>
      </c>
      <c r="K12526" t="s">
        <v>42770</v>
      </c>
      <c r="M12526" t="s">
        <v>44063</v>
      </c>
      <c r="N12526" t="s">
        <v>47424</v>
      </c>
      <c r="O12526" t="s">
        <v>47425</v>
      </c>
      <c r="P12526">
        <v>0</v>
      </c>
      <c r="Q12526">
        <v>0</v>
      </c>
      <c r="R12526" t="s">
        <v>47439</v>
      </c>
      <c r="S12526" t="s">
        <v>47860</v>
      </c>
      <c r="T12526" t="s">
        <v>49073</v>
      </c>
      <c r="U12526" t="s">
        <v>59942</v>
      </c>
      <c r="W12526" t="s">
        <v>44063</v>
      </c>
      <c r="X12526" t="s">
        <v>47440</v>
      </c>
    </row>
    <row r="12527" spans="1:24">
      <c r="A12527">
        <f>HYPERLINK("https://www.philgeps.gov.ph/GEPSNONPILOT/Tender/SplashBidNoticeAbstractUI.aspx?menuIndex=3&amp;refID=7141787&amp;Result=3","7141787")</f>
        <v>0</v>
      </c>
      <c r="B12527" t="s">
        <v>1740</v>
      </c>
      <c r="C12527" t="s">
        <v>15706</v>
      </c>
      <c r="D12527" t="s">
        <v>19068</v>
      </c>
      <c r="E12527" t="s">
        <v>29828</v>
      </c>
      <c r="F12527" t="s">
        <v>32831</v>
      </c>
      <c r="G12527" t="s">
        <v>32839</v>
      </c>
      <c r="H12527" t="s">
        <v>32849</v>
      </c>
      <c r="I12527" t="s">
        <v>4177</v>
      </c>
      <c r="J12527" t="s">
        <v>32978</v>
      </c>
      <c r="K12527" t="s">
        <v>42743</v>
      </c>
      <c r="M12527" t="s">
        <v>44863</v>
      </c>
      <c r="N12527" t="s">
        <v>47424</v>
      </c>
      <c r="O12527" t="s">
        <v>47425</v>
      </c>
      <c r="Q12527">
        <v>0</v>
      </c>
      <c r="R12527" t="s">
        <v>47439</v>
      </c>
      <c r="S12527" t="s">
        <v>47953</v>
      </c>
      <c r="T12527" t="s">
        <v>49057</v>
      </c>
      <c r="U12527" t="s">
        <v>59943</v>
      </c>
      <c r="W12527" t="s">
        <v>44863</v>
      </c>
      <c r="X12527" t="s">
        <v>47440</v>
      </c>
    </row>
    <row r="12528" spans="1:24">
      <c r="A12528">
        <f>HYPERLINK("https://www.philgeps.gov.ph/GEPSNONPILOT/Tender/SplashBidNoticeAbstractUI.aspx?menuIndex=3&amp;refID=7141786&amp;Result=3","7141786")</f>
        <v>0</v>
      </c>
      <c r="B12528" t="s">
        <v>1320</v>
      </c>
      <c r="C12528" t="s">
        <v>15707</v>
      </c>
      <c r="D12528" t="s">
        <v>19085</v>
      </c>
      <c r="E12528" t="s">
        <v>29829</v>
      </c>
      <c r="F12528" t="s">
        <v>32831</v>
      </c>
      <c r="G12528" t="s">
        <v>32839</v>
      </c>
      <c r="H12528" t="s">
        <v>32849</v>
      </c>
      <c r="I12528" t="s">
        <v>4177</v>
      </c>
      <c r="J12528" t="s">
        <v>40649</v>
      </c>
      <c r="K12528" t="s">
        <v>42945</v>
      </c>
      <c r="M12528" t="s">
        <v>44391</v>
      </c>
      <c r="N12528" t="s">
        <v>47424</v>
      </c>
      <c r="O12528" t="s">
        <v>47425</v>
      </c>
      <c r="P12528">
        <v>0</v>
      </c>
      <c r="Q12528">
        <v>4</v>
      </c>
      <c r="R12528" t="s">
        <v>47439</v>
      </c>
      <c r="S12528" t="s">
        <v>47860</v>
      </c>
      <c r="T12528" t="s">
        <v>49080</v>
      </c>
      <c r="U12528" t="s">
        <v>59944</v>
      </c>
      <c r="V12528" t="s">
        <v>64018</v>
      </c>
      <c r="W12528" t="s">
        <v>44391</v>
      </c>
      <c r="X12528" t="s">
        <v>47440</v>
      </c>
    </row>
    <row r="12529" spans="1:24">
      <c r="A12529">
        <f>HYPERLINK("https://www.philgeps.gov.ph/GEPSNONPILOT/Tender/SplashBidNoticeAbstractUI.aspx?menuIndex=3&amp;refID=7141742&amp;Result=3","7141742")</f>
        <v>0</v>
      </c>
      <c r="B12529" t="s">
        <v>1540</v>
      </c>
      <c r="C12529" t="s">
        <v>15708</v>
      </c>
      <c r="D12529" t="s">
        <v>19017</v>
      </c>
      <c r="E12529" t="s">
        <v>29830</v>
      </c>
      <c r="F12529" t="s">
        <v>32831</v>
      </c>
      <c r="G12529" t="s">
        <v>32839</v>
      </c>
      <c r="H12529" t="s">
        <v>14069</v>
      </c>
      <c r="I12529" t="s">
        <v>14069</v>
      </c>
      <c r="J12529" t="s">
        <v>33032</v>
      </c>
      <c r="K12529" t="s">
        <v>42774</v>
      </c>
      <c r="M12529" t="s">
        <v>46945</v>
      </c>
      <c r="N12529" t="s">
        <v>47424</v>
      </c>
      <c r="O12529" t="s">
        <v>47425</v>
      </c>
      <c r="Q12529">
        <v>5</v>
      </c>
      <c r="R12529" t="s">
        <v>47439</v>
      </c>
      <c r="S12529" t="s">
        <v>47954</v>
      </c>
      <c r="T12529" t="s">
        <v>49620</v>
      </c>
      <c r="U12529" t="s">
        <v>59945</v>
      </c>
      <c r="W12529" t="s">
        <v>46945</v>
      </c>
      <c r="X12529" t="s">
        <v>47440</v>
      </c>
    </row>
    <row r="12530" spans="1:24">
      <c r="A12530">
        <f>HYPERLINK("https://www.philgeps.gov.ph/GEPSNONPILOT/Tender/SplashBidNoticeAbstractUI.aspx?menuIndex=3&amp;refID=7141741&amp;Result=3","7141741")</f>
        <v>0</v>
      </c>
      <c r="B12530" t="s">
        <v>1003</v>
      </c>
      <c r="C12530" t="s">
        <v>15709</v>
      </c>
      <c r="D12530" t="s">
        <v>19060</v>
      </c>
      <c r="E12530" t="s">
        <v>29831</v>
      </c>
      <c r="F12530" t="s">
        <v>32831</v>
      </c>
      <c r="G12530" t="s">
        <v>32838</v>
      </c>
      <c r="H12530" t="s">
        <v>32848</v>
      </c>
      <c r="I12530" t="s">
        <v>5379</v>
      </c>
      <c r="J12530" t="s">
        <v>40650</v>
      </c>
      <c r="K12530" t="s">
        <v>42749</v>
      </c>
      <c r="L12530" t="s">
        <v>1003</v>
      </c>
      <c r="M12530" t="s">
        <v>44052</v>
      </c>
      <c r="N12530" t="s">
        <v>47424</v>
      </c>
      <c r="O12530" t="s">
        <v>47425</v>
      </c>
      <c r="P12530">
        <v>0</v>
      </c>
      <c r="Q12530">
        <v>0</v>
      </c>
      <c r="R12530" t="s">
        <v>47439</v>
      </c>
      <c r="S12530" t="s">
        <v>47860</v>
      </c>
      <c r="T12530" t="s">
        <v>49169</v>
      </c>
      <c r="U12530" t="s">
        <v>59946</v>
      </c>
      <c r="W12530" t="s">
        <v>44052</v>
      </c>
      <c r="X12530" t="s">
        <v>47440</v>
      </c>
    </row>
    <row r="12531" spans="1:24">
      <c r="A12531">
        <f>HYPERLINK("https://www.philgeps.gov.ph/GEPSNONPILOT/Tender/SplashBidNoticeAbstractUI.aspx?menuIndex=3&amp;refID=7141926&amp;Result=3","7141926")</f>
        <v>0</v>
      </c>
      <c r="B12531" t="s">
        <v>1740</v>
      </c>
      <c r="C12531" t="s">
        <v>15710</v>
      </c>
      <c r="D12531" t="s">
        <v>19068</v>
      </c>
      <c r="E12531" t="s">
        <v>29832</v>
      </c>
      <c r="F12531" t="s">
        <v>32831</v>
      </c>
      <c r="G12531" t="s">
        <v>32839</v>
      </c>
      <c r="H12531" t="s">
        <v>32849</v>
      </c>
      <c r="I12531" t="s">
        <v>4177</v>
      </c>
      <c r="J12531" t="s">
        <v>33707</v>
      </c>
      <c r="K12531" t="s">
        <v>42751</v>
      </c>
      <c r="M12531" t="s">
        <v>44863</v>
      </c>
      <c r="N12531" t="s">
        <v>47424</v>
      </c>
      <c r="O12531" t="s">
        <v>47425</v>
      </c>
      <c r="Q12531">
        <v>0</v>
      </c>
      <c r="R12531" t="s">
        <v>47439</v>
      </c>
      <c r="S12531" t="s">
        <v>47955</v>
      </c>
      <c r="T12531" t="s">
        <v>49057</v>
      </c>
      <c r="U12531" t="s">
        <v>59947</v>
      </c>
      <c r="W12531" t="s">
        <v>44863</v>
      </c>
      <c r="X12531" t="s">
        <v>47440</v>
      </c>
    </row>
    <row r="12532" spans="1:24">
      <c r="A12532">
        <f>HYPERLINK("https://www.philgeps.gov.ph/GEPSNONPILOT/Tender/SplashBidNoticeAbstractUI.aspx?menuIndex=3&amp;refID=7141733&amp;Result=3","7141733")</f>
        <v>0</v>
      </c>
      <c r="B12532" t="s">
        <v>1003</v>
      </c>
      <c r="C12532" t="s">
        <v>15711</v>
      </c>
      <c r="D12532" t="s">
        <v>19060</v>
      </c>
      <c r="E12532" t="s">
        <v>29833</v>
      </c>
      <c r="F12532" t="s">
        <v>32831</v>
      </c>
      <c r="G12532" t="s">
        <v>32838</v>
      </c>
      <c r="H12532" t="s">
        <v>32848</v>
      </c>
      <c r="I12532" t="s">
        <v>5379</v>
      </c>
      <c r="J12532" t="s">
        <v>40651</v>
      </c>
      <c r="K12532" t="s">
        <v>42798</v>
      </c>
      <c r="L12532" t="s">
        <v>1003</v>
      </c>
      <c r="M12532" t="s">
        <v>44052</v>
      </c>
      <c r="N12532" t="s">
        <v>47424</v>
      </c>
      <c r="O12532" t="s">
        <v>47425</v>
      </c>
      <c r="P12532">
        <v>0</v>
      </c>
      <c r="Q12532">
        <v>0</v>
      </c>
      <c r="R12532" t="s">
        <v>47439</v>
      </c>
      <c r="S12532" t="s">
        <v>47860</v>
      </c>
      <c r="T12532" t="s">
        <v>49163</v>
      </c>
      <c r="U12532" t="s">
        <v>59948</v>
      </c>
      <c r="W12532" t="s">
        <v>44052</v>
      </c>
      <c r="X12532" t="s">
        <v>47440</v>
      </c>
    </row>
    <row r="12533" spans="1:24">
      <c r="A12533">
        <f>HYPERLINK("https://www.philgeps.gov.ph/GEPSNONPILOT/Tender/SplashBidNoticeAbstractUI.aspx?menuIndex=3&amp;refID=7141551&amp;Result=3","7141551")</f>
        <v>0</v>
      </c>
      <c r="B12533" t="s">
        <v>832</v>
      </c>
      <c r="C12533" t="s">
        <v>15712</v>
      </c>
      <c r="D12533" t="s">
        <v>19101</v>
      </c>
      <c r="E12533" t="s">
        <v>29834</v>
      </c>
      <c r="F12533" t="s">
        <v>32831</v>
      </c>
      <c r="G12533" t="s">
        <v>32839</v>
      </c>
      <c r="H12533" t="s">
        <v>32848</v>
      </c>
      <c r="I12533" t="s">
        <v>32925</v>
      </c>
      <c r="J12533" t="s">
        <v>40652</v>
      </c>
      <c r="K12533" t="s">
        <v>42763</v>
      </c>
      <c r="M12533" t="s">
        <v>44445</v>
      </c>
      <c r="N12533" t="s">
        <v>47424</v>
      </c>
      <c r="O12533" t="s">
        <v>47425</v>
      </c>
      <c r="Q12533">
        <v>5</v>
      </c>
      <c r="R12533" t="s">
        <v>47439</v>
      </c>
      <c r="S12533" t="s">
        <v>47956</v>
      </c>
      <c r="T12533" t="s">
        <v>49087</v>
      </c>
      <c r="U12533" t="s">
        <v>59868</v>
      </c>
      <c r="V12533" t="s">
        <v>63231</v>
      </c>
      <c r="W12533" t="s">
        <v>44445</v>
      </c>
      <c r="X12533" t="s">
        <v>47440</v>
      </c>
    </row>
    <row r="12534" spans="1:24">
      <c r="A12534">
        <f>HYPERLINK("https://www.philgeps.gov.ph/GEPSNONPILOT/Tender/SplashBidNoticeAbstractUI.aspx?menuIndex=3&amp;refID=7141709&amp;Result=3","7141709")</f>
        <v>0</v>
      </c>
      <c r="B12534" t="s">
        <v>3583</v>
      </c>
      <c r="C12534" t="s">
        <v>15713</v>
      </c>
      <c r="D12534" t="s">
        <v>19057</v>
      </c>
      <c r="E12534" t="s">
        <v>29835</v>
      </c>
      <c r="F12534" t="s">
        <v>32831</v>
      </c>
      <c r="G12534" t="s">
        <v>32839</v>
      </c>
      <c r="H12534" t="s">
        <v>32849</v>
      </c>
      <c r="I12534" t="s">
        <v>4177</v>
      </c>
      <c r="J12534" t="s">
        <v>40653</v>
      </c>
      <c r="K12534" t="s">
        <v>42730</v>
      </c>
      <c r="M12534" t="s">
        <v>46946</v>
      </c>
      <c r="N12534" t="s">
        <v>47424</v>
      </c>
      <c r="O12534" t="s">
        <v>47425</v>
      </c>
      <c r="Q12534">
        <v>0</v>
      </c>
      <c r="R12534" t="s">
        <v>47439</v>
      </c>
      <c r="S12534" t="s">
        <v>47957</v>
      </c>
      <c r="T12534" t="s">
        <v>49141</v>
      </c>
      <c r="U12534" t="s">
        <v>59949</v>
      </c>
      <c r="W12534" t="s">
        <v>46946</v>
      </c>
      <c r="X12534" t="s">
        <v>47440</v>
      </c>
    </row>
    <row r="12535" spans="1:24">
      <c r="A12535">
        <f>HYPERLINK("https://www.philgeps.gov.ph/GEPSNONPILOT/Tender/SplashBidNoticeAbstractUI.aspx?menuIndex=3&amp;refID=7141725&amp;Result=3","7141725")</f>
        <v>0</v>
      </c>
      <c r="B12535" t="s">
        <v>1850</v>
      </c>
      <c r="C12535" t="s">
        <v>15714</v>
      </c>
      <c r="D12535" t="s">
        <v>19020</v>
      </c>
      <c r="E12535" t="s">
        <v>29836</v>
      </c>
      <c r="F12535" t="s">
        <v>32831</v>
      </c>
      <c r="G12535" t="s">
        <v>32839</v>
      </c>
      <c r="H12535" t="s">
        <v>32848</v>
      </c>
      <c r="I12535" t="s">
        <v>32857</v>
      </c>
      <c r="J12535" t="s">
        <v>33072</v>
      </c>
      <c r="K12535" t="s">
        <v>42727</v>
      </c>
      <c r="M12535" t="s">
        <v>44988</v>
      </c>
      <c r="N12535" t="s">
        <v>47424</v>
      </c>
      <c r="O12535" t="s">
        <v>47425</v>
      </c>
      <c r="P12535">
        <v>0</v>
      </c>
      <c r="Q12535">
        <v>7</v>
      </c>
      <c r="R12535" t="s">
        <v>47439</v>
      </c>
      <c r="S12535" t="s">
        <v>47860</v>
      </c>
      <c r="T12535" t="s">
        <v>49105</v>
      </c>
      <c r="U12535" t="s">
        <v>59950</v>
      </c>
      <c r="W12535" t="s">
        <v>44988</v>
      </c>
      <c r="X12535" t="s">
        <v>47440</v>
      </c>
    </row>
    <row r="12536" spans="1:24">
      <c r="A12536">
        <f>HYPERLINK("https://www.philgeps.gov.ph/GEPSNONPILOT/Tender/SplashBidNoticeAbstractUI.aspx?menuIndex=3&amp;refID=7141704&amp;Result=3","7141704")</f>
        <v>0</v>
      </c>
      <c r="B12536" t="s">
        <v>1003</v>
      </c>
      <c r="C12536" t="s">
        <v>15715</v>
      </c>
      <c r="D12536" t="s">
        <v>19060</v>
      </c>
      <c r="E12536" t="s">
        <v>29837</v>
      </c>
      <c r="F12536" t="s">
        <v>32831</v>
      </c>
      <c r="G12536" t="s">
        <v>32838</v>
      </c>
      <c r="H12536" t="s">
        <v>32848</v>
      </c>
      <c r="I12536" t="s">
        <v>5379</v>
      </c>
      <c r="J12536" t="s">
        <v>37262</v>
      </c>
      <c r="K12536" t="s">
        <v>42794</v>
      </c>
      <c r="L12536" t="s">
        <v>1003</v>
      </c>
      <c r="M12536" t="s">
        <v>44052</v>
      </c>
      <c r="N12536" t="s">
        <v>47424</v>
      </c>
      <c r="O12536" t="s">
        <v>47425</v>
      </c>
      <c r="P12536">
        <v>0</v>
      </c>
      <c r="Q12536">
        <v>0</v>
      </c>
      <c r="R12536" t="s">
        <v>47439</v>
      </c>
      <c r="S12536" t="s">
        <v>47860</v>
      </c>
      <c r="T12536" t="s">
        <v>49163</v>
      </c>
      <c r="U12536" t="s">
        <v>59951</v>
      </c>
      <c r="W12536" t="s">
        <v>44052</v>
      </c>
      <c r="X12536" t="s">
        <v>47440</v>
      </c>
    </row>
    <row r="12537" spans="1:24">
      <c r="A12537">
        <f>HYPERLINK("https://www.philgeps.gov.ph/GEPSNONPILOT/Tender/SplashBidNoticeAbstractUI.aspx?menuIndex=3&amp;refID=7141732&amp;Result=3","7141732")</f>
        <v>0</v>
      </c>
      <c r="B12537" t="s">
        <v>3426</v>
      </c>
      <c r="C12537" t="s">
        <v>15716</v>
      </c>
      <c r="D12537" t="s">
        <v>19081</v>
      </c>
      <c r="E12537" t="s">
        <v>29789</v>
      </c>
      <c r="F12537" t="s">
        <v>32831</v>
      </c>
      <c r="G12537" t="s">
        <v>32839</v>
      </c>
      <c r="H12537" t="s">
        <v>32849</v>
      </c>
      <c r="I12537" t="s">
        <v>4177</v>
      </c>
      <c r="J12537" t="s">
        <v>40654</v>
      </c>
      <c r="K12537" t="s">
        <v>42808</v>
      </c>
      <c r="M12537" t="s">
        <v>46761</v>
      </c>
      <c r="N12537" t="s">
        <v>47424</v>
      </c>
      <c r="O12537" t="s">
        <v>47425</v>
      </c>
      <c r="P12537">
        <v>0</v>
      </c>
      <c r="Q12537">
        <v>1</v>
      </c>
      <c r="R12537" t="s">
        <v>47439</v>
      </c>
      <c r="S12537" t="s">
        <v>47860</v>
      </c>
      <c r="T12537" t="s">
        <v>49196</v>
      </c>
      <c r="U12537" t="s">
        <v>59952</v>
      </c>
      <c r="W12537" t="s">
        <v>46761</v>
      </c>
      <c r="X12537" t="s">
        <v>47440</v>
      </c>
    </row>
    <row r="12538" spans="1:24">
      <c r="A12538">
        <f>HYPERLINK("https://www.philgeps.gov.ph/GEPSNONPILOT/Tender/SplashBidNoticeAbstractUI.aspx?menuIndex=3&amp;refID=7141734&amp;Result=3","7141734")</f>
        <v>0</v>
      </c>
      <c r="B12538" t="s">
        <v>689</v>
      </c>
      <c r="C12538" t="s">
        <v>15717</v>
      </c>
      <c r="E12538" t="s">
        <v>29838</v>
      </c>
      <c r="F12538" t="s">
        <v>32831</v>
      </c>
      <c r="G12538" t="s">
        <v>32839</v>
      </c>
      <c r="H12538" t="s">
        <v>32848</v>
      </c>
      <c r="I12538" t="s">
        <v>4487</v>
      </c>
      <c r="J12538" t="s">
        <v>40655</v>
      </c>
      <c r="K12538" t="s">
        <v>42732</v>
      </c>
      <c r="M12538" t="s">
        <v>45151</v>
      </c>
      <c r="N12538" t="s">
        <v>47424</v>
      </c>
      <c r="O12538" t="s">
        <v>47425</v>
      </c>
      <c r="Q12538">
        <v>11</v>
      </c>
      <c r="R12538" t="s">
        <v>47439</v>
      </c>
      <c r="S12538" t="s">
        <v>47958</v>
      </c>
      <c r="T12538" t="s">
        <v>49196</v>
      </c>
      <c r="U12538" t="s">
        <v>59953</v>
      </c>
      <c r="V12538" t="s">
        <v>64019</v>
      </c>
      <c r="W12538" t="s">
        <v>45151</v>
      </c>
      <c r="X12538" t="s">
        <v>47440</v>
      </c>
    </row>
    <row r="12539" spans="1:24">
      <c r="A12539">
        <f>HYPERLINK("https://www.philgeps.gov.ph/GEPSNONPILOT/Tender/SplashBidNoticeAbstractUI.aspx?menuIndex=3&amp;refID=7141908&amp;Result=3","7141908")</f>
        <v>0</v>
      </c>
      <c r="B12539" t="s">
        <v>410</v>
      </c>
      <c r="C12539" t="s">
        <v>15718</v>
      </c>
      <c r="D12539" t="s">
        <v>19031</v>
      </c>
      <c r="E12539" t="s">
        <v>29839</v>
      </c>
      <c r="F12539" t="s">
        <v>32831</v>
      </c>
      <c r="G12539" t="s">
        <v>32839</v>
      </c>
      <c r="H12539" t="s">
        <v>32848</v>
      </c>
      <c r="I12539" t="s">
        <v>6526</v>
      </c>
      <c r="J12539" t="s">
        <v>40656</v>
      </c>
      <c r="K12539" t="s">
        <v>42730</v>
      </c>
      <c r="M12539" t="s">
        <v>43415</v>
      </c>
      <c r="N12539" t="s">
        <v>47424</v>
      </c>
      <c r="O12539" t="s">
        <v>47425</v>
      </c>
      <c r="P12539">
        <v>0</v>
      </c>
      <c r="Q12539">
        <v>0</v>
      </c>
      <c r="R12539" t="s">
        <v>47439</v>
      </c>
      <c r="S12539" t="s">
        <v>47860</v>
      </c>
      <c r="T12539" t="s">
        <v>49080</v>
      </c>
      <c r="U12539" t="s">
        <v>59954</v>
      </c>
      <c r="V12539" t="s">
        <v>64020</v>
      </c>
      <c r="W12539" t="s">
        <v>43415</v>
      </c>
      <c r="X12539" t="s">
        <v>47440</v>
      </c>
    </row>
    <row r="12540" spans="1:24">
      <c r="A12540">
        <f>HYPERLINK("https://www.philgeps.gov.ph/GEPSNONPILOT/Tender/SplashBidNoticeAbstractUI.aspx?menuIndex=3&amp;refID=7141941&amp;Result=3","7141941")</f>
        <v>0</v>
      </c>
      <c r="B12540" t="s">
        <v>1740</v>
      </c>
      <c r="C12540" t="s">
        <v>15719</v>
      </c>
      <c r="D12540" t="s">
        <v>19068</v>
      </c>
      <c r="E12540" t="s">
        <v>29840</v>
      </c>
      <c r="F12540" t="s">
        <v>32831</v>
      </c>
      <c r="G12540" t="s">
        <v>32839</v>
      </c>
      <c r="H12540" t="s">
        <v>32849</v>
      </c>
      <c r="I12540" t="s">
        <v>4177</v>
      </c>
      <c r="J12540" t="s">
        <v>33016</v>
      </c>
      <c r="K12540" t="s">
        <v>42882</v>
      </c>
      <c r="M12540" t="s">
        <v>44863</v>
      </c>
      <c r="N12540" t="s">
        <v>47424</v>
      </c>
      <c r="O12540" t="s">
        <v>47425</v>
      </c>
      <c r="P12540">
        <v>0</v>
      </c>
      <c r="Q12540">
        <v>0</v>
      </c>
      <c r="R12540" t="s">
        <v>47439</v>
      </c>
      <c r="S12540" t="s">
        <v>47860</v>
      </c>
      <c r="T12540" t="s">
        <v>49057</v>
      </c>
      <c r="U12540" t="s">
        <v>59955</v>
      </c>
      <c r="W12540" t="s">
        <v>44863</v>
      </c>
      <c r="X12540" t="s">
        <v>47440</v>
      </c>
    </row>
    <row r="12541" spans="1:24">
      <c r="A12541">
        <f>HYPERLINK("https://www.philgeps.gov.ph/GEPSNONPILOT/Tender/SplashBidNoticeAbstractUI.aspx?menuIndex=3&amp;refID=7141982&amp;Result=3","7141982")</f>
        <v>0</v>
      </c>
      <c r="B12541" t="s">
        <v>3584</v>
      </c>
      <c r="C12541" t="s">
        <v>15720</v>
      </c>
      <c r="D12541" t="s">
        <v>19077</v>
      </c>
      <c r="E12541" t="s">
        <v>19203</v>
      </c>
      <c r="F12541" t="s">
        <v>32833</v>
      </c>
      <c r="G12541" t="s">
        <v>32839</v>
      </c>
      <c r="H12541" t="s">
        <v>32850</v>
      </c>
      <c r="I12541" t="s">
        <v>7751</v>
      </c>
      <c r="J12541" t="s">
        <v>33044</v>
      </c>
      <c r="K12541" t="s">
        <v>42730</v>
      </c>
      <c r="M12541" t="s">
        <v>46947</v>
      </c>
      <c r="N12541" t="s">
        <v>47424</v>
      </c>
      <c r="O12541" t="s">
        <v>47425</v>
      </c>
      <c r="P12541">
        <v>0</v>
      </c>
      <c r="Q12541">
        <v>0</v>
      </c>
      <c r="R12541" t="s">
        <v>47439</v>
      </c>
      <c r="S12541" t="s">
        <v>47860</v>
      </c>
      <c r="T12541" t="s">
        <v>49149</v>
      </c>
      <c r="U12541" t="s">
        <v>59956</v>
      </c>
      <c r="V12541" t="s">
        <v>64021</v>
      </c>
      <c r="W12541" t="s">
        <v>46947</v>
      </c>
      <c r="X12541" t="s">
        <v>47440</v>
      </c>
    </row>
    <row r="12542" spans="1:24">
      <c r="A12542">
        <f>HYPERLINK("https://www.philgeps.gov.ph/GEPSNONPILOT/Tender/SplashBidNoticeAbstractUI.aspx?menuIndex=3&amp;refID=7141990&amp;Result=3","7141990")</f>
        <v>0</v>
      </c>
      <c r="B12542" t="s">
        <v>499</v>
      </c>
      <c r="C12542" t="s">
        <v>15721</v>
      </c>
      <c r="D12542" t="s">
        <v>19043</v>
      </c>
      <c r="E12542" t="s">
        <v>29841</v>
      </c>
      <c r="F12542" t="s">
        <v>32831</v>
      </c>
      <c r="G12542" t="s">
        <v>32839</v>
      </c>
      <c r="H12542" t="s">
        <v>32848</v>
      </c>
      <c r="I12542" t="s">
        <v>32911</v>
      </c>
      <c r="J12542" t="s">
        <v>33376</v>
      </c>
      <c r="K12542" t="s">
        <v>42742</v>
      </c>
      <c r="M12542" t="s">
        <v>43504</v>
      </c>
      <c r="N12542" t="s">
        <v>47424</v>
      </c>
      <c r="O12542" t="s">
        <v>47425</v>
      </c>
      <c r="Q12542">
        <v>1</v>
      </c>
      <c r="R12542" t="s">
        <v>47439</v>
      </c>
      <c r="S12542" t="s">
        <v>47959</v>
      </c>
      <c r="T12542" t="s">
        <v>49066</v>
      </c>
      <c r="U12542" t="s">
        <v>59957</v>
      </c>
      <c r="W12542" t="s">
        <v>43504</v>
      </c>
      <c r="X12542" t="s">
        <v>47440</v>
      </c>
    </row>
    <row r="12543" spans="1:24">
      <c r="A12543">
        <f>HYPERLINK("https://www.philgeps.gov.ph/GEPSNONPILOT/Tender/SplashBidNoticeAbstractUI.aspx?menuIndex=3&amp;refID=7142004&amp;Result=3","7142004")</f>
        <v>0</v>
      </c>
      <c r="B12543" t="s">
        <v>468</v>
      </c>
      <c r="C12543" t="s">
        <v>15722</v>
      </c>
      <c r="D12543" t="s">
        <v>19031</v>
      </c>
      <c r="E12543" t="s">
        <v>29842</v>
      </c>
      <c r="F12543" t="s">
        <v>32831</v>
      </c>
      <c r="G12543" t="s">
        <v>32839</v>
      </c>
      <c r="H12543" t="s">
        <v>32848</v>
      </c>
      <c r="I12543" t="s">
        <v>32887</v>
      </c>
      <c r="J12543" t="s">
        <v>33257</v>
      </c>
      <c r="K12543" t="s">
        <v>42727</v>
      </c>
      <c r="M12543" t="s">
        <v>43473</v>
      </c>
      <c r="N12543" t="s">
        <v>47424</v>
      </c>
      <c r="O12543" t="s">
        <v>47425</v>
      </c>
      <c r="P12543">
        <v>0</v>
      </c>
      <c r="Q12543">
        <v>3</v>
      </c>
      <c r="R12543" t="s">
        <v>47439</v>
      </c>
      <c r="S12543" t="s">
        <v>47860</v>
      </c>
      <c r="T12543" t="s">
        <v>49063</v>
      </c>
      <c r="U12543" t="s">
        <v>59958</v>
      </c>
      <c r="W12543" t="s">
        <v>64440</v>
      </c>
      <c r="X12543" t="s">
        <v>47440</v>
      </c>
    </row>
    <row r="12544" spans="1:24">
      <c r="A12544">
        <f>HYPERLINK("https://www.philgeps.gov.ph/GEPSNONPILOT/Tender/SplashBidNoticeAbstractUI.aspx?menuIndex=3&amp;refID=7142011&amp;Result=3","7142011")</f>
        <v>0</v>
      </c>
      <c r="B12544" t="s">
        <v>468</v>
      </c>
      <c r="C12544" t="s">
        <v>15723</v>
      </c>
      <c r="D12544" t="s">
        <v>19031</v>
      </c>
      <c r="E12544" t="s">
        <v>29843</v>
      </c>
      <c r="F12544" t="s">
        <v>32831</v>
      </c>
      <c r="G12544" t="s">
        <v>32839</v>
      </c>
      <c r="H12544" t="s">
        <v>32848</v>
      </c>
      <c r="I12544" t="s">
        <v>32890</v>
      </c>
      <c r="J12544" t="s">
        <v>40657</v>
      </c>
      <c r="K12544" t="s">
        <v>42727</v>
      </c>
      <c r="M12544" t="s">
        <v>43473</v>
      </c>
      <c r="N12544" t="s">
        <v>47424</v>
      </c>
      <c r="O12544" t="s">
        <v>47425</v>
      </c>
      <c r="P12544">
        <v>0</v>
      </c>
      <c r="Q12544">
        <v>0</v>
      </c>
      <c r="R12544" t="s">
        <v>47439</v>
      </c>
      <c r="S12544" t="s">
        <v>47860</v>
      </c>
      <c r="T12544" t="s">
        <v>49063</v>
      </c>
      <c r="U12544" t="s">
        <v>59959</v>
      </c>
      <c r="W12544" t="s">
        <v>64440</v>
      </c>
      <c r="X12544" t="s">
        <v>47440</v>
      </c>
    </row>
    <row r="12545" spans="1:24">
      <c r="A12545">
        <f>HYPERLINK("https://www.philgeps.gov.ph/GEPSNONPILOT/Tender/SplashBidNoticeAbstractUI.aspx?menuIndex=3&amp;refID=7142002&amp;Result=3","7142002")</f>
        <v>0</v>
      </c>
      <c r="B12545" t="s">
        <v>3581</v>
      </c>
      <c r="C12545" t="s">
        <v>15724</v>
      </c>
      <c r="D12545" t="s">
        <v>19054</v>
      </c>
      <c r="E12545" t="s">
        <v>29844</v>
      </c>
      <c r="F12545" t="s">
        <v>32831</v>
      </c>
      <c r="G12545" t="s">
        <v>32839</v>
      </c>
      <c r="H12545" t="s">
        <v>32848</v>
      </c>
      <c r="I12545" t="s">
        <v>8577</v>
      </c>
      <c r="J12545" t="s">
        <v>33644</v>
      </c>
      <c r="K12545" t="s">
        <v>42730</v>
      </c>
      <c r="M12545" t="s">
        <v>46942</v>
      </c>
      <c r="N12545" t="s">
        <v>47424</v>
      </c>
      <c r="O12545" t="s">
        <v>47425</v>
      </c>
      <c r="P12545">
        <v>0</v>
      </c>
      <c r="Q12545">
        <v>1</v>
      </c>
      <c r="R12545" t="s">
        <v>47439</v>
      </c>
      <c r="S12545" t="s">
        <v>47860</v>
      </c>
      <c r="T12545" t="s">
        <v>49111</v>
      </c>
      <c r="U12545" t="s">
        <v>59960</v>
      </c>
      <c r="W12545" t="s">
        <v>46942</v>
      </c>
      <c r="X12545" t="s">
        <v>47440</v>
      </c>
    </row>
    <row r="12546" spans="1:24">
      <c r="A12546">
        <f>HYPERLINK("https://www.philgeps.gov.ph/GEPSNONPILOT/Tender/SplashBidNoticeAbstractUI.aspx?menuIndex=3&amp;refID=7142001&amp;Result=3","7142001")</f>
        <v>0</v>
      </c>
      <c r="B12546" t="s">
        <v>468</v>
      </c>
      <c r="C12546" t="s">
        <v>15725</v>
      </c>
      <c r="D12546" t="s">
        <v>19031</v>
      </c>
      <c r="E12546" t="s">
        <v>29845</v>
      </c>
      <c r="F12546" t="s">
        <v>32831</v>
      </c>
      <c r="G12546" t="s">
        <v>32839</v>
      </c>
      <c r="H12546" t="s">
        <v>32848</v>
      </c>
      <c r="I12546" t="s">
        <v>32859</v>
      </c>
      <c r="J12546" t="s">
        <v>40658</v>
      </c>
      <c r="K12546" t="s">
        <v>42727</v>
      </c>
      <c r="M12546" t="s">
        <v>43473</v>
      </c>
      <c r="N12546" t="s">
        <v>47424</v>
      </c>
      <c r="O12546" t="s">
        <v>47425</v>
      </c>
      <c r="P12546">
        <v>0</v>
      </c>
      <c r="Q12546">
        <v>2</v>
      </c>
      <c r="R12546" t="s">
        <v>47439</v>
      </c>
      <c r="S12546" t="s">
        <v>47860</v>
      </c>
      <c r="T12546" t="s">
        <v>49063</v>
      </c>
      <c r="U12546" t="s">
        <v>59961</v>
      </c>
      <c r="W12546" t="s">
        <v>64440</v>
      </c>
      <c r="X12546" t="s">
        <v>47440</v>
      </c>
    </row>
    <row r="12547" spans="1:24">
      <c r="A12547">
        <f>HYPERLINK("https://www.philgeps.gov.ph/GEPSNONPILOT/Tender/SplashBidNoticeAbstractUI.aspx?menuIndex=3&amp;refID=7142000&amp;Result=3","7142000")</f>
        <v>0</v>
      </c>
      <c r="B12547" t="s">
        <v>1522</v>
      </c>
      <c r="C12547" t="s">
        <v>15726</v>
      </c>
      <c r="D12547" t="s">
        <v>19084</v>
      </c>
      <c r="E12547" t="s">
        <v>29846</v>
      </c>
      <c r="F12547" t="s">
        <v>32831</v>
      </c>
      <c r="G12547" t="s">
        <v>32839</v>
      </c>
      <c r="H12547" t="s">
        <v>32849</v>
      </c>
      <c r="I12547" t="s">
        <v>4177</v>
      </c>
      <c r="J12547" t="s">
        <v>38388</v>
      </c>
      <c r="K12547" t="s">
        <v>42914</v>
      </c>
      <c r="L12547" t="s">
        <v>1522</v>
      </c>
      <c r="M12547" t="s">
        <v>44623</v>
      </c>
      <c r="N12547" t="s">
        <v>47424</v>
      </c>
      <c r="O12547" t="s">
        <v>47425</v>
      </c>
      <c r="P12547">
        <v>0</v>
      </c>
      <c r="Q12547">
        <v>3</v>
      </c>
      <c r="R12547" t="s">
        <v>47439</v>
      </c>
      <c r="S12547" t="s">
        <v>47860</v>
      </c>
      <c r="T12547" t="s">
        <v>49069</v>
      </c>
      <c r="U12547" t="s">
        <v>59962</v>
      </c>
      <c r="W12547" t="s">
        <v>44623</v>
      </c>
      <c r="X12547" t="s">
        <v>47440</v>
      </c>
    </row>
    <row r="12548" spans="1:24">
      <c r="A12548">
        <f>HYPERLINK("https://www.philgeps.gov.ph/GEPSNONPILOT/Tender/SplashBidNoticeAbstractUI.aspx?menuIndex=3&amp;refID=7141996&amp;Result=3","7141996")</f>
        <v>0</v>
      </c>
      <c r="B12548" t="s">
        <v>3585</v>
      </c>
      <c r="C12548" t="s">
        <v>15727</v>
      </c>
      <c r="D12548" t="s">
        <v>19045</v>
      </c>
      <c r="E12548" t="s">
        <v>29847</v>
      </c>
      <c r="F12548" t="s">
        <v>32831</v>
      </c>
      <c r="G12548" t="s">
        <v>32839</v>
      </c>
      <c r="H12548" t="s">
        <v>32849</v>
      </c>
      <c r="I12548" t="s">
        <v>4177</v>
      </c>
      <c r="J12548" t="s">
        <v>40659</v>
      </c>
      <c r="K12548" t="s">
        <v>42730</v>
      </c>
      <c r="M12548" t="s">
        <v>46948</v>
      </c>
      <c r="N12548" t="s">
        <v>47424</v>
      </c>
      <c r="O12548" t="s">
        <v>47425</v>
      </c>
      <c r="P12548">
        <v>0</v>
      </c>
      <c r="Q12548">
        <v>1</v>
      </c>
      <c r="R12548" t="s">
        <v>47439</v>
      </c>
      <c r="S12548" t="s">
        <v>47860</v>
      </c>
      <c r="T12548" t="s">
        <v>49162</v>
      </c>
      <c r="U12548" t="s">
        <v>59963</v>
      </c>
      <c r="W12548" t="s">
        <v>46948</v>
      </c>
      <c r="X12548" t="s">
        <v>47440</v>
      </c>
    </row>
    <row r="12549" spans="1:24">
      <c r="A12549">
        <f>HYPERLINK("https://www.philgeps.gov.ph/GEPSNONPILOT/Tender/SplashBidNoticeAbstractUI.aspx?menuIndex=3&amp;refID=7142049&amp;Result=3","7142049")</f>
        <v>0</v>
      </c>
      <c r="B12549" t="s">
        <v>2228</v>
      </c>
      <c r="C12549" t="s">
        <v>15728</v>
      </c>
      <c r="D12549" t="s">
        <v>19017</v>
      </c>
      <c r="E12549" t="s">
        <v>29848</v>
      </c>
      <c r="F12549" t="s">
        <v>32831</v>
      </c>
      <c r="G12549" t="s">
        <v>32839</v>
      </c>
      <c r="H12549" t="s">
        <v>32848</v>
      </c>
      <c r="I12549" t="s">
        <v>10805</v>
      </c>
      <c r="J12549" t="s">
        <v>33046</v>
      </c>
      <c r="K12549" t="s">
        <v>42730</v>
      </c>
      <c r="M12549" t="s">
        <v>45408</v>
      </c>
      <c r="N12549" t="s">
        <v>47424</v>
      </c>
      <c r="O12549" t="s">
        <v>47425</v>
      </c>
      <c r="P12549">
        <v>0</v>
      </c>
      <c r="Q12549">
        <v>17</v>
      </c>
      <c r="R12549" t="s">
        <v>47439</v>
      </c>
      <c r="S12549" t="s">
        <v>47860</v>
      </c>
      <c r="T12549" t="s">
        <v>49172</v>
      </c>
      <c r="U12549" t="s">
        <v>54876</v>
      </c>
      <c r="V12549" t="s">
        <v>64022</v>
      </c>
      <c r="W12549" t="s">
        <v>45408</v>
      </c>
      <c r="X12549" t="s">
        <v>47440</v>
      </c>
    </row>
    <row r="12550" spans="1:24">
      <c r="A12550">
        <f>HYPERLINK("https://www.philgeps.gov.ph/GEPSNONPILOT/Tender/SplashBidNoticeAbstractUI.aspx?menuIndex=3&amp;refID=7142009&amp;Result=3","7142009")</f>
        <v>0</v>
      </c>
      <c r="B12550" t="s">
        <v>499</v>
      </c>
      <c r="C12550" t="s">
        <v>15729</v>
      </c>
      <c r="D12550" t="s">
        <v>19043</v>
      </c>
      <c r="E12550" t="s">
        <v>29849</v>
      </c>
      <c r="F12550" t="s">
        <v>32831</v>
      </c>
      <c r="G12550" t="s">
        <v>32839</v>
      </c>
      <c r="H12550" t="s">
        <v>32850</v>
      </c>
      <c r="I12550" t="s">
        <v>32908</v>
      </c>
      <c r="J12550" t="s">
        <v>33044</v>
      </c>
      <c r="K12550" t="s">
        <v>42747</v>
      </c>
      <c r="M12550" t="s">
        <v>43504</v>
      </c>
      <c r="N12550" t="s">
        <v>47424</v>
      </c>
      <c r="O12550" t="s">
        <v>47425</v>
      </c>
      <c r="P12550">
        <v>0</v>
      </c>
      <c r="Q12550">
        <v>2</v>
      </c>
      <c r="R12550" t="s">
        <v>47439</v>
      </c>
      <c r="S12550" t="s">
        <v>47860</v>
      </c>
      <c r="T12550" t="s">
        <v>49066</v>
      </c>
      <c r="U12550" t="s">
        <v>59964</v>
      </c>
      <c r="W12550" t="s">
        <v>43504</v>
      </c>
      <c r="X12550" t="s">
        <v>47440</v>
      </c>
    </row>
    <row r="12551" spans="1:24">
      <c r="A12551">
        <f>HYPERLINK("https://www.philgeps.gov.ph/GEPSNONPILOT/Tender/SplashBidNoticeAbstractUI.aspx?menuIndex=3&amp;refID=7142045&amp;Result=3","7142045")</f>
        <v>0</v>
      </c>
      <c r="B12551" t="s">
        <v>3581</v>
      </c>
      <c r="C12551" t="s">
        <v>15730</v>
      </c>
      <c r="D12551" t="s">
        <v>19054</v>
      </c>
      <c r="E12551" t="s">
        <v>29850</v>
      </c>
      <c r="F12551" t="s">
        <v>32831</v>
      </c>
      <c r="G12551" t="s">
        <v>32839</v>
      </c>
      <c r="H12551" t="s">
        <v>32848</v>
      </c>
      <c r="I12551" t="s">
        <v>6526</v>
      </c>
      <c r="J12551" t="s">
        <v>40660</v>
      </c>
      <c r="K12551" t="s">
        <v>42742</v>
      </c>
      <c r="M12551" t="s">
        <v>46942</v>
      </c>
      <c r="N12551" t="s">
        <v>47424</v>
      </c>
      <c r="O12551" t="s">
        <v>47425</v>
      </c>
      <c r="P12551">
        <v>0</v>
      </c>
      <c r="Q12551">
        <v>0</v>
      </c>
      <c r="R12551" t="s">
        <v>47439</v>
      </c>
      <c r="S12551" t="s">
        <v>47860</v>
      </c>
      <c r="T12551" t="s">
        <v>49111</v>
      </c>
      <c r="U12551" t="s">
        <v>59965</v>
      </c>
      <c r="W12551" t="s">
        <v>46942</v>
      </c>
      <c r="X12551" t="s">
        <v>47440</v>
      </c>
    </row>
    <row r="12552" spans="1:24">
      <c r="A12552">
        <f>HYPERLINK("https://www.philgeps.gov.ph/GEPSNONPILOT/Tender/SplashBidNoticeAbstractUI.aspx?menuIndex=3&amp;refID=7142006&amp;Result=3","7142006")</f>
        <v>0</v>
      </c>
      <c r="B12552" t="s">
        <v>468</v>
      </c>
      <c r="C12552" t="s">
        <v>15731</v>
      </c>
      <c r="D12552" t="s">
        <v>19031</v>
      </c>
      <c r="E12552" t="s">
        <v>29851</v>
      </c>
      <c r="F12552" t="s">
        <v>32831</v>
      </c>
      <c r="G12552" t="s">
        <v>32839</v>
      </c>
      <c r="H12552" t="s">
        <v>32848</v>
      </c>
      <c r="I12552" t="s">
        <v>32870</v>
      </c>
      <c r="J12552" t="s">
        <v>40661</v>
      </c>
      <c r="K12552" t="s">
        <v>42763</v>
      </c>
      <c r="M12552" t="s">
        <v>43473</v>
      </c>
      <c r="N12552" t="s">
        <v>47424</v>
      </c>
      <c r="O12552" t="s">
        <v>47425</v>
      </c>
      <c r="P12552">
        <v>0</v>
      </c>
      <c r="Q12552">
        <v>0</v>
      </c>
      <c r="R12552" t="s">
        <v>47439</v>
      </c>
      <c r="S12552" t="s">
        <v>47860</v>
      </c>
      <c r="T12552" t="s">
        <v>49063</v>
      </c>
      <c r="U12552" t="s">
        <v>59966</v>
      </c>
      <c r="W12552" t="s">
        <v>64440</v>
      </c>
      <c r="X12552" t="s">
        <v>47440</v>
      </c>
    </row>
    <row r="12553" spans="1:24">
      <c r="A12553">
        <f>HYPERLINK("https://www.philgeps.gov.ph/GEPSNONPILOT/Tender/SplashBidNoticeAbstractUI.aspx?menuIndex=3&amp;refID=7142036&amp;Result=3","7142036")</f>
        <v>0</v>
      </c>
      <c r="B12553" t="s">
        <v>1340</v>
      </c>
      <c r="C12553" t="s">
        <v>15732</v>
      </c>
      <c r="D12553" t="s">
        <v>19027</v>
      </c>
      <c r="E12553" t="s">
        <v>29852</v>
      </c>
      <c r="F12553" t="s">
        <v>32831</v>
      </c>
      <c r="G12553" t="s">
        <v>32839</v>
      </c>
      <c r="H12553" t="s">
        <v>32849</v>
      </c>
      <c r="I12553" t="s">
        <v>4177</v>
      </c>
      <c r="J12553" t="s">
        <v>40662</v>
      </c>
      <c r="K12553" t="s">
        <v>42770</v>
      </c>
      <c r="M12553" t="s">
        <v>44413</v>
      </c>
      <c r="N12553" t="s">
        <v>47424</v>
      </c>
      <c r="O12553" t="s">
        <v>47425</v>
      </c>
      <c r="P12553">
        <v>0</v>
      </c>
      <c r="Q12553">
        <v>2</v>
      </c>
      <c r="R12553" t="s">
        <v>47439</v>
      </c>
      <c r="S12553" t="s">
        <v>47860</v>
      </c>
      <c r="T12553" t="s">
        <v>49196</v>
      </c>
      <c r="U12553" t="s">
        <v>59967</v>
      </c>
      <c r="V12553" t="s">
        <v>64023</v>
      </c>
      <c r="W12553" t="s">
        <v>44413</v>
      </c>
      <c r="X12553" t="s">
        <v>47440</v>
      </c>
    </row>
    <row r="12554" spans="1:24">
      <c r="A12554">
        <f>HYPERLINK("https://www.philgeps.gov.ph/GEPSNONPILOT/Tender/SplashBidNoticeAbstractUI.aspx?menuIndex=3&amp;refID=7142007&amp;Result=3","7142007")</f>
        <v>0</v>
      </c>
      <c r="B12554" t="s">
        <v>3314</v>
      </c>
      <c r="C12554" t="s">
        <v>15733</v>
      </c>
      <c r="D12554" t="s">
        <v>19017</v>
      </c>
      <c r="E12554" t="s">
        <v>29853</v>
      </c>
      <c r="F12554" t="s">
        <v>32831</v>
      </c>
      <c r="G12554" t="s">
        <v>32839</v>
      </c>
      <c r="H12554" t="s">
        <v>32848</v>
      </c>
      <c r="I12554" t="s">
        <v>32857</v>
      </c>
      <c r="J12554" t="s">
        <v>40663</v>
      </c>
      <c r="K12554" t="s">
        <v>42732</v>
      </c>
      <c r="M12554" t="s">
        <v>46949</v>
      </c>
      <c r="N12554" t="s">
        <v>47424</v>
      </c>
      <c r="O12554" t="s">
        <v>47425</v>
      </c>
      <c r="Q12554">
        <v>58</v>
      </c>
      <c r="R12554" t="s">
        <v>47439</v>
      </c>
      <c r="S12554" t="s">
        <v>47960</v>
      </c>
      <c r="T12554" t="s">
        <v>49078</v>
      </c>
      <c r="U12554" t="s">
        <v>59968</v>
      </c>
      <c r="W12554" t="s">
        <v>46949</v>
      </c>
      <c r="X12554" t="s">
        <v>47440</v>
      </c>
    </row>
    <row r="12555" spans="1:24">
      <c r="A12555">
        <f>HYPERLINK("https://www.philgeps.gov.ph/GEPSNONPILOT/Tender/SplashBidNoticeAbstractUI.aspx?menuIndex=3&amp;refID=7142043&amp;Result=3","7142043")</f>
        <v>0</v>
      </c>
      <c r="B12555" t="s">
        <v>499</v>
      </c>
      <c r="C12555" t="s">
        <v>15734</v>
      </c>
      <c r="D12555" t="s">
        <v>19043</v>
      </c>
      <c r="E12555" t="s">
        <v>29854</v>
      </c>
      <c r="F12555" t="s">
        <v>32831</v>
      </c>
      <c r="G12555" t="s">
        <v>32839</v>
      </c>
      <c r="H12555" t="s">
        <v>32850</v>
      </c>
      <c r="I12555" t="s">
        <v>32911</v>
      </c>
      <c r="J12555" t="s">
        <v>40664</v>
      </c>
      <c r="K12555" t="s">
        <v>42747</v>
      </c>
      <c r="M12555" t="s">
        <v>43504</v>
      </c>
      <c r="N12555" t="s">
        <v>47424</v>
      </c>
      <c r="O12555" t="s">
        <v>47425</v>
      </c>
      <c r="P12555">
        <v>0</v>
      </c>
      <c r="Q12555">
        <v>1</v>
      </c>
      <c r="R12555" t="s">
        <v>47439</v>
      </c>
      <c r="S12555" t="s">
        <v>47860</v>
      </c>
      <c r="T12555" t="s">
        <v>49066</v>
      </c>
      <c r="U12555" t="s">
        <v>59969</v>
      </c>
      <c r="W12555" t="s">
        <v>43504</v>
      </c>
      <c r="X12555" t="s">
        <v>47440</v>
      </c>
    </row>
    <row r="12556" spans="1:24">
      <c r="A12556">
        <f>HYPERLINK("https://www.philgeps.gov.ph/GEPSNONPILOT/Tender/SplashBidNoticeAbstractUI.aspx?menuIndex=3&amp;refID=7142057&amp;Result=3","7142057")</f>
        <v>0</v>
      </c>
      <c r="B12556" t="s">
        <v>563</v>
      </c>
      <c r="C12556" t="s">
        <v>15735</v>
      </c>
      <c r="D12556" t="s">
        <v>19060</v>
      </c>
      <c r="E12556" t="s">
        <v>29855</v>
      </c>
      <c r="F12556" t="s">
        <v>32831</v>
      </c>
      <c r="G12556" t="s">
        <v>32839</v>
      </c>
      <c r="H12556" t="s">
        <v>32848</v>
      </c>
      <c r="I12556" t="s">
        <v>7416</v>
      </c>
      <c r="J12556" t="s">
        <v>40665</v>
      </c>
      <c r="K12556" t="s">
        <v>42730</v>
      </c>
      <c r="M12556" t="s">
        <v>46198</v>
      </c>
      <c r="N12556" t="s">
        <v>47424</v>
      </c>
      <c r="O12556" t="s">
        <v>47425</v>
      </c>
      <c r="P12556">
        <v>0</v>
      </c>
      <c r="Q12556">
        <v>0</v>
      </c>
      <c r="R12556" t="s">
        <v>47439</v>
      </c>
      <c r="S12556" t="s">
        <v>47860</v>
      </c>
      <c r="T12556" t="s">
        <v>49159</v>
      </c>
      <c r="U12556" t="s">
        <v>59970</v>
      </c>
      <c r="W12556" t="s">
        <v>64528</v>
      </c>
      <c r="X12556" t="s">
        <v>47440</v>
      </c>
    </row>
    <row r="12557" spans="1:24">
      <c r="A12557">
        <f>HYPERLINK("https://www.philgeps.gov.ph/GEPSNONPILOT/Tender/SplashBidNoticeAbstractUI.aspx?menuIndex=3&amp;refID=7142042&amp;Result=3","7142042")</f>
        <v>0</v>
      </c>
      <c r="B12557" t="s">
        <v>3314</v>
      </c>
      <c r="C12557" t="s">
        <v>15736</v>
      </c>
      <c r="D12557" t="s">
        <v>19017</v>
      </c>
      <c r="E12557" t="s">
        <v>29856</v>
      </c>
      <c r="F12557" t="s">
        <v>32831</v>
      </c>
      <c r="G12557" t="s">
        <v>32841</v>
      </c>
      <c r="H12557" t="s">
        <v>32848</v>
      </c>
      <c r="I12557" t="s">
        <v>4558</v>
      </c>
      <c r="J12557" t="s">
        <v>40666</v>
      </c>
      <c r="K12557" t="s">
        <v>42732</v>
      </c>
      <c r="M12557" t="s">
        <v>46949</v>
      </c>
      <c r="N12557" t="s">
        <v>47424</v>
      </c>
      <c r="O12557" t="s">
        <v>47425</v>
      </c>
      <c r="Q12557">
        <v>35</v>
      </c>
      <c r="R12557" t="s">
        <v>47439</v>
      </c>
      <c r="S12557" t="s">
        <v>47961</v>
      </c>
      <c r="T12557" t="s">
        <v>49078</v>
      </c>
      <c r="U12557" t="s">
        <v>59968</v>
      </c>
      <c r="W12557" t="s">
        <v>46949</v>
      </c>
      <c r="X12557" t="s">
        <v>47440</v>
      </c>
    </row>
    <row r="12558" spans="1:24">
      <c r="A12558">
        <f>HYPERLINK("https://www.philgeps.gov.ph/GEPSNONPILOT/Tender/SplashBidNoticeAbstractUI.aspx?menuIndex=3&amp;refID=7126221&amp;Result=3","7126221")</f>
        <v>0</v>
      </c>
      <c r="B12558" t="s">
        <v>2005</v>
      </c>
      <c r="C12558" t="s">
        <v>15737</v>
      </c>
      <c r="D12558" t="s">
        <v>19052</v>
      </c>
      <c r="E12558" t="s">
        <v>29857</v>
      </c>
      <c r="F12558" t="s">
        <v>32831</v>
      </c>
      <c r="G12558" t="s">
        <v>32839</v>
      </c>
      <c r="H12558" t="s">
        <v>32848</v>
      </c>
      <c r="I12558" t="s">
        <v>4487</v>
      </c>
      <c r="J12558" t="s">
        <v>40667</v>
      </c>
      <c r="K12558" t="s">
        <v>42729</v>
      </c>
      <c r="M12558" t="s">
        <v>45843</v>
      </c>
      <c r="N12558" t="s">
        <v>47424</v>
      </c>
      <c r="O12558" t="s">
        <v>47425</v>
      </c>
      <c r="Q12558">
        <v>17</v>
      </c>
      <c r="R12558" t="s">
        <v>47440</v>
      </c>
      <c r="S12558" t="s">
        <v>47962</v>
      </c>
      <c r="T12558" t="s">
        <v>49059</v>
      </c>
      <c r="U12558" t="s">
        <v>59971</v>
      </c>
      <c r="V12558" t="s">
        <v>64024</v>
      </c>
      <c r="W12558" t="s">
        <v>45843</v>
      </c>
      <c r="X12558" t="s">
        <v>47447</v>
      </c>
    </row>
    <row r="12559" spans="1:24">
      <c r="A12559">
        <f>HYPERLINK("https://www.philgeps.gov.ph/GEPSNONPILOT/Tender/SplashBidNoticeAbstractUI.aspx?menuIndex=3&amp;refID=7062644-2&amp;Result=3","7062644-2")</f>
        <v>0</v>
      </c>
      <c r="B12559" t="s">
        <v>2237</v>
      </c>
      <c r="C12559" t="s">
        <v>15738</v>
      </c>
      <c r="D12559" t="s">
        <v>19017</v>
      </c>
      <c r="E12559" t="s">
        <v>29858</v>
      </c>
      <c r="F12559" t="s">
        <v>32831</v>
      </c>
      <c r="G12559" t="s">
        <v>32839</v>
      </c>
      <c r="H12559" t="s">
        <v>14069</v>
      </c>
      <c r="I12559" t="s">
        <v>14069</v>
      </c>
      <c r="J12559" t="s">
        <v>40668</v>
      </c>
      <c r="K12559" t="s">
        <v>42786</v>
      </c>
      <c r="M12559" t="s">
        <v>45418</v>
      </c>
      <c r="N12559" t="s">
        <v>47424</v>
      </c>
      <c r="O12559" t="s">
        <v>47425</v>
      </c>
      <c r="P12559">
        <v>0</v>
      </c>
      <c r="Q12559">
        <v>1</v>
      </c>
      <c r="R12559" t="s">
        <v>47440</v>
      </c>
      <c r="S12559" t="s">
        <v>47963</v>
      </c>
      <c r="T12559" t="s">
        <v>49133</v>
      </c>
      <c r="U12559" t="s">
        <v>59972</v>
      </c>
      <c r="W12559" t="s">
        <v>45418</v>
      </c>
      <c r="X12559" t="s">
        <v>47441</v>
      </c>
    </row>
    <row r="12560" spans="1:24">
      <c r="A12560">
        <f>HYPERLINK("https://www.philgeps.gov.ph/GEPSNONPILOT/Tender/SplashBidNoticeAbstractUI.aspx?menuIndex=3&amp;refID=7126871&amp;Result=3","7126871")</f>
        <v>0</v>
      </c>
      <c r="B12560" t="s">
        <v>1568</v>
      </c>
      <c r="C12560" t="s">
        <v>15739</v>
      </c>
      <c r="E12560" t="s">
        <v>29859</v>
      </c>
      <c r="F12560" t="s">
        <v>32831</v>
      </c>
      <c r="G12560" t="s">
        <v>32839</v>
      </c>
      <c r="H12560" t="s">
        <v>32848</v>
      </c>
      <c r="I12560" t="s">
        <v>7416</v>
      </c>
      <c r="J12560" t="s">
        <v>40669</v>
      </c>
      <c r="K12560" t="s">
        <v>42732</v>
      </c>
      <c r="M12560" t="s">
        <v>44677</v>
      </c>
      <c r="N12560" t="s">
        <v>47424</v>
      </c>
      <c r="O12560" t="s">
        <v>47425</v>
      </c>
      <c r="P12560">
        <v>0</v>
      </c>
      <c r="Q12560">
        <v>4</v>
      </c>
      <c r="R12560" t="s">
        <v>47440</v>
      </c>
      <c r="S12560" t="s">
        <v>47963</v>
      </c>
      <c r="T12560" t="s">
        <v>49069</v>
      </c>
      <c r="U12560" t="s">
        <v>59973</v>
      </c>
      <c r="W12560" t="s">
        <v>44677</v>
      </c>
      <c r="X12560" t="s">
        <v>47446</v>
      </c>
    </row>
    <row r="12561" spans="1:24">
      <c r="A12561">
        <f>HYPERLINK("https://www.philgeps.gov.ph/GEPSNONPILOT/Tender/SplashBidNoticeAbstractUI.aspx?menuIndex=3&amp;refID=7142076&amp;Result=3","7142076")</f>
        <v>0</v>
      </c>
      <c r="B12561" t="s">
        <v>563</v>
      </c>
      <c r="C12561" t="s">
        <v>15740</v>
      </c>
      <c r="D12561" t="s">
        <v>19060</v>
      </c>
      <c r="E12561" t="s">
        <v>29860</v>
      </c>
      <c r="F12561" t="s">
        <v>32831</v>
      </c>
      <c r="G12561" t="s">
        <v>32839</v>
      </c>
      <c r="H12561" t="s">
        <v>32848</v>
      </c>
      <c r="I12561" t="s">
        <v>7416</v>
      </c>
      <c r="J12561" t="s">
        <v>40670</v>
      </c>
      <c r="K12561" t="s">
        <v>42730</v>
      </c>
      <c r="M12561" t="s">
        <v>46198</v>
      </c>
      <c r="N12561" t="s">
        <v>47424</v>
      </c>
      <c r="O12561" t="s">
        <v>47425</v>
      </c>
      <c r="P12561">
        <v>0</v>
      </c>
      <c r="Q12561">
        <v>0</v>
      </c>
      <c r="R12561" t="s">
        <v>47439</v>
      </c>
      <c r="S12561" t="s">
        <v>47860</v>
      </c>
      <c r="T12561" t="s">
        <v>49159</v>
      </c>
      <c r="U12561" t="s">
        <v>59970</v>
      </c>
      <c r="W12561" t="s">
        <v>64528</v>
      </c>
      <c r="X12561" t="s">
        <v>47440</v>
      </c>
    </row>
    <row r="12562" spans="1:24">
      <c r="A12562">
        <f>HYPERLINK("https://www.philgeps.gov.ph/GEPSNONPILOT/Tender/SplashBidNoticeAbstractUI.aspx?menuIndex=3&amp;refID=7142024&amp;Result=3","7142024")</f>
        <v>0</v>
      </c>
      <c r="B12562" t="s">
        <v>808</v>
      </c>
      <c r="C12562" t="s">
        <v>15741</v>
      </c>
      <c r="D12562" t="s">
        <v>19017</v>
      </c>
      <c r="E12562" t="s">
        <v>29861</v>
      </c>
      <c r="F12562" t="s">
        <v>32831</v>
      </c>
      <c r="G12562" t="s">
        <v>32839</v>
      </c>
      <c r="H12562" t="s">
        <v>32848</v>
      </c>
      <c r="I12562" t="s">
        <v>4487</v>
      </c>
      <c r="J12562" t="s">
        <v>40671</v>
      </c>
      <c r="K12562" t="s">
        <v>42763</v>
      </c>
      <c r="M12562" t="s">
        <v>43839</v>
      </c>
      <c r="N12562" t="s">
        <v>47424</v>
      </c>
      <c r="O12562" t="s">
        <v>47425</v>
      </c>
      <c r="Q12562">
        <v>21</v>
      </c>
      <c r="R12562" t="s">
        <v>47439</v>
      </c>
      <c r="S12562" t="s">
        <v>47964</v>
      </c>
      <c r="T12562" t="s">
        <v>49097</v>
      </c>
      <c r="U12562" t="s">
        <v>59974</v>
      </c>
      <c r="V12562" t="s">
        <v>64025</v>
      </c>
      <c r="W12562" t="s">
        <v>43839</v>
      </c>
      <c r="X12562" t="s">
        <v>47440</v>
      </c>
    </row>
    <row r="12563" spans="1:24">
      <c r="A12563">
        <f>HYPERLINK("https://www.philgeps.gov.ph/GEPSNONPILOT/Tender/SplashBidNoticeAbstractUI.aspx?menuIndex=3&amp;refID=7115728-2&amp;Result=3","7115728-2")</f>
        <v>0</v>
      </c>
      <c r="B12563" t="s">
        <v>2000</v>
      </c>
      <c r="C12563" t="s">
        <v>15742</v>
      </c>
      <c r="D12563" t="s">
        <v>19081</v>
      </c>
      <c r="E12563" t="s">
        <v>29862</v>
      </c>
      <c r="F12563" t="s">
        <v>32831</v>
      </c>
      <c r="G12563" t="s">
        <v>32839</v>
      </c>
      <c r="H12563" t="s">
        <v>14069</v>
      </c>
      <c r="I12563" t="s">
        <v>14069</v>
      </c>
      <c r="J12563" t="s">
        <v>40672</v>
      </c>
      <c r="K12563" t="s">
        <v>42730</v>
      </c>
      <c r="M12563" t="s">
        <v>45167</v>
      </c>
      <c r="N12563" t="s">
        <v>47424</v>
      </c>
      <c r="O12563" t="s">
        <v>47425</v>
      </c>
      <c r="P12563">
        <v>0</v>
      </c>
      <c r="Q12563">
        <v>0</v>
      </c>
      <c r="R12563" t="s">
        <v>47440</v>
      </c>
      <c r="S12563" t="s">
        <v>47963</v>
      </c>
      <c r="T12563" t="s">
        <v>49073</v>
      </c>
      <c r="U12563" t="s">
        <v>59975</v>
      </c>
      <c r="W12563" t="s">
        <v>45167</v>
      </c>
      <c r="X12563" t="s">
        <v>47441</v>
      </c>
    </row>
    <row r="12564" spans="1:24">
      <c r="A12564">
        <f>HYPERLINK("https://www.philgeps.gov.ph/GEPSNONPILOT/Tender/SplashBidNoticeAbstractUI.aspx?menuIndex=3&amp;refID=7128779&amp;Result=3","7128779")</f>
        <v>0</v>
      </c>
      <c r="B12564" t="s">
        <v>3586</v>
      </c>
      <c r="C12564" t="s">
        <v>15743</v>
      </c>
      <c r="D12564" t="s">
        <v>19094</v>
      </c>
      <c r="E12564" t="s">
        <v>29863</v>
      </c>
      <c r="F12564" t="s">
        <v>32831</v>
      </c>
      <c r="G12564" t="s">
        <v>32839</v>
      </c>
      <c r="H12564" t="s">
        <v>32848</v>
      </c>
      <c r="I12564" t="s">
        <v>4487</v>
      </c>
      <c r="J12564" t="s">
        <v>40673</v>
      </c>
      <c r="K12564" t="s">
        <v>42727</v>
      </c>
      <c r="M12564" t="s">
        <v>46950</v>
      </c>
      <c r="N12564" t="s">
        <v>47424</v>
      </c>
      <c r="O12564" t="s">
        <v>47425</v>
      </c>
      <c r="P12564">
        <v>0</v>
      </c>
      <c r="Q12564">
        <v>2</v>
      </c>
      <c r="R12564" t="s">
        <v>47440</v>
      </c>
      <c r="S12564" t="s">
        <v>47963</v>
      </c>
      <c r="T12564" t="s">
        <v>49070</v>
      </c>
      <c r="U12564" t="s">
        <v>59976</v>
      </c>
      <c r="W12564" t="s">
        <v>46950</v>
      </c>
      <c r="X12564" t="s">
        <v>47446</v>
      </c>
    </row>
    <row r="12565" spans="1:24">
      <c r="A12565">
        <f>HYPERLINK("https://www.philgeps.gov.ph/GEPSNONPILOT/Tender/SplashBidNoticeAbstractUI.aspx?menuIndex=3&amp;refID=7127223&amp;Result=3","7127223")</f>
        <v>0</v>
      </c>
      <c r="B12565" t="s">
        <v>150</v>
      </c>
      <c r="C12565" t="s">
        <v>15744</v>
      </c>
      <c r="D12565" t="s">
        <v>19025</v>
      </c>
      <c r="E12565" t="s">
        <v>29864</v>
      </c>
      <c r="F12565" t="s">
        <v>32831</v>
      </c>
      <c r="G12565" t="s">
        <v>32839</v>
      </c>
      <c r="H12565" t="s">
        <v>32849</v>
      </c>
      <c r="I12565" t="s">
        <v>4177</v>
      </c>
      <c r="J12565" t="s">
        <v>40674</v>
      </c>
      <c r="K12565" t="s">
        <v>42745</v>
      </c>
      <c r="M12565" t="s">
        <v>43147</v>
      </c>
      <c r="N12565" t="s">
        <v>47424</v>
      </c>
      <c r="O12565" t="s">
        <v>47425</v>
      </c>
      <c r="P12565">
        <v>0</v>
      </c>
      <c r="Q12565">
        <v>0</v>
      </c>
      <c r="R12565" t="s">
        <v>47440</v>
      </c>
      <c r="S12565" t="s">
        <v>47963</v>
      </c>
      <c r="T12565" t="s">
        <v>49073</v>
      </c>
      <c r="U12565" t="s">
        <v>59977</v>
      </c>
      <c r="W12565" t="s">
        <v>43147</v>
      </c>
      <c r="X12565" t="s">
        <v>47446</v>
      </c>
    </row>
    <row r="12566" spans="1:24">
      <c r="A12566">
        <f>HYPERLINK("https://www.philgeps.gov.ph/GEPSNONPILOT/Tender/SplashBidNoticeAbstractUI.aspx?menuIndex=3&amp;refID=7128357&amp;Result=3","7128357")</f>
        <v>0</v>
      </c>
      <c r="B12566" t="s">
        <v>3587</v>
      </c>
      <c r="C12566" t="s">
        <v>15745</v>
      </c>
      <c r="D12566" t="s">
        <v>19055</v>
      </c>
      <c r="E12566" t="s">
        <v>29865</v>
      </c>
      <c r="F12566" t="s">
        <v>32831</v>
      </c>
      <c r="G12566" t="s">
        <v>32839</v>
      </c>
      <c r="H12566" t="s">
        <v>32848</v>
      </c>
      <c r="I12566" t="s">
        <v>7751</v>
      </c>
      <c r="J12566" t="s">
        <v>40675</v>
      </c>
      <c r="K12566" t="s">
        <v>42747</v>
      </c>
      <c r="M12566" t="s">
        <v>46951</v>
      </c>
      <c r="N12566" t="s">
        <v>47424</v>
      </c>
      <c r="O12566" t="s">
        <v>47425</v>
      </c>
      <c r="P12566">
        <v>0</v>
      </c>
      <c r="Q12566">
        <v>4</v>
      </c>
      <c r="R12566" t="s">
        <v>47440</v>
      </c>
      <c r="S12566" t="s">
        <v>47963</v>
      </c>
      <c r="T12566" t="s">
        <v>49080</v>
      </c>
      <c r="U12566" t="s">
        <v>59978</v>
      </c>
      <c r="W12566" t="s">
        <v>46951</v>
      </c>
      <c r="X12566" t="s">
        <v>47446</v>
      </c>
    </row>
    <row r="12567" spans="1:24">
      <c r="A12567">
        <f>HYPERLINK("https://www.philgeps.gov.ph/GEPSNONPILOT/Tender/SplashBidNoticeAbstractUI.aspx?menuIndex=3&amp;refID=7128508&amp;Result=3","7128508")</f>
        <v>0</v>
      </c>
      <c r="B12567" t="s">
        <v>3587</v>
      </c>
      <c r="C12567" t="s">
        <v>15746</v>
      </c>
      <c r="D12567" t="s">
        <v>19055</v>
      </c>
      <c r="E12567" t="s">
        <v>29866</v>
      </c>
      <c r="F12567" t="s">
        <v>32831</v>
      </c>
      <c r="G12567" t="s">
        <v>32839</v>
      </c>
      <c r="H12567" t="s">
        <v>32848</v>
      </c>
      <c r="I12567" t="s">
        <v>32874</v>
      </c>
      <c r="J12567" t="s">
        <v>40676</v>
      </c>
      <c r="K12567" t="s">
        <v>42730</v>
      </c>
      <c r="M12567" t="s">
        <v>46951</v>
      </c>
      <c r="N12567" t="s">
        <v>47424</v>
      </c>
      <c r="O12567" t="s">
        <v>47425</v>
      </c>
      <c r="P12567">
        <v>0</v>
      </c>
      <c r="Q12567">
        <v>2</v>
      </c>
      <c r="R12567" t="s">
        <v>47440</v>
      </c>
      <c r="S12567" t="s">
        <v>47963</v>
      </c>
      <c r="T12567" t="s">
        <v>49080</v>
      </c>
      <c r="U12567" t="s">
        <v>59979</v>
      </c>
      <c r="W12567" t="s">
        <v>46951</v>
      </c>
      <c r="X12567" t="s">
        <v>47446</v>
      </c>
    </row>
    <row r="12568" spans="1:24">
      <c r="A12568">
        <f>HYPERLINK("https://www.philgeps.gov.ph/GEPSNONPILOT/Tender/SplashBidNoticeAbstractUI.aspx?menuIndex=3&amp;refID=7127040&amp;Result=3","7127040")</f>
        <v>0</v>
      </c>
      <c r="B12568" t="s">
        <v>49</v>
      </c>
      <c r="C12568" t="s">
        <v>15747</v>
      </c>
      <c r="D12568" t="s">
        <v>19037</v>
      </c>
      <c r="E12568" t="s">
        <v>29867</v>
      </c>
      <c r="F12568" t="s">
        <v>32831</v>
      </c>
      <c r="G12568" t="s">
        <v>32839</v>
      </c>
      <c r="H12568" t="s">
        <v>32848</v>
      </c>
      <c r="I12568" t="s">
        <v>32870</v>
      </c>
      <c r="J12568" t="s">
        <v>40677</v>
      </c>
      <c r="K12568" t="s">
        <v>42750</v>
      </c>
      <c r="M12568" t="s">
        <v>46884</v>
      </c>
      <c r="N12568" t="s">
        <v>47424</v>
      </c>
      <c r="O12568" t="s">
        <v>47425</v>
      </c>
      <c r="Q12568">
        <v>0</v>
      </c>
      <c r="R12568" t="s">
        <v>47440</v>
      </c>
      <c r="S12568" t="s">
        <v>47965</v>
      </c>
      <c r="T12568" t="s">
        <v>49166</v>
      </c>
      <c r="U12568" t="s">
        <v>59980</v>
      </c>
      <c r="V12568" t="s">
        <v>62833</v>
      </c>
      <c r="W12568" t="s">
        <v>46884</v>
      </c>
      <c r="X12568" t="s">
        <v>47446</v>
      </c>
    </row>
    <row r="12569" spans="1:24">
      <c r="A12569">
        <f>HYPERLINK("https://www.philgeps.gov.ph/GEPSNONPILOT/Tender/SplashBidNoticeAbstractUI.aspx?menuIndex=3&amp;refID=7142073&amp;Result=3","7142073")</f>
        <v>0</v>
      </c>
      <c r="B12569" t="s">
        <v>3396</v>
      </c>
      <c r="C12569" t="s">
        <v>15748</v>
      </c>
      <c r="D12569" t="s">
        <v>19097</v>
      </c>
      <c r="E12569" t="s">
        <v>21330</v>
      </c>
      <c r="F12569" t="s">
        <v>32831</v>
      </c>
      <c r="G12569" t="s">
        <v>32839</v>
      </c>
      <c r="H12569" t="s">
        <v>32849</v>
      </c>
      <c r="I12569" t="s">
        <v>4177</v>
      </c>
      <c r="J12569" t="s">
        <v>33528</v>
      </c>
      <c r="K12569" t="s">
        <v>42780</v>
      </c>
      <c r="M12569" t="s">
        <v>46728</v>
      </c>
      <c r="N12569" t="s">
        <v>47424</v>
      </c>
      <c r="O12569" t="s">
        <v>47425</v>
      </c>
      <c r="P12569">
        <v>0</v>
      </c>
      <c r="Q12569">
        <v>3</v>
      </c>
      <c r="R12569" t="s">
        <v>47439</v>
      </c>
      <c r="S12569" t="s">
        <v>47860</v>
      </c>
      <c r="T12569" t="s">
        <v>49066</v>
      </c>
      <c r="U12569" t="s">
        <v>59981</v>
      </c>
      <c r="W12569" t="s">
        <v>46728</v>
      </c>
      <c r="X12569" t="s">
        <v>47440</v>
      </c>
    </row>
    <row r="12570" spans="1:24">
      <c r="A12570">
        <f>HYPERLINK("https://www.philgeps.gov.ph/GEPSNONPILOT/Tender/SplashBidNoticeAbstractUI.aspx?menuIndex=3&amp;refID=7142071&amp;Result=3","7142071")</f>
        <v>0</v>
      </c>
      <c r="B12570" t="s">
        <v>563</v>
      </c>
      <c r="C12570" t="s">
        <v>15749</v>
      </c>
      <c r="D12570" t="s">
        <v>19060</v>
      </c>
      <c r="E12570" t="s">
        <v>29868</v>
      </c>
      <c r="F12570" t="s">
        <v>32831</v>
      </c>
      <c r="G12570" t="s">
        <v>32839</v>
      </c>
      <c r="H12570" t="s">
        <v>32848</v>
      </c>
      <c r="I12570" t="s">
        <v>7416</v>
      </c>
      <c r="J12570" t="s">
        <v>40678</v>
      </c>
      <c r="K12570" t="s">
        <v>42730</v>
      </c>
      <c r="M12570" t="s">
        <v>46198</v>
      </c>
      <c r="N12570" t="s">
        <v>47424</v>
      </c>
      <c r="O12570" t="s">
        <v>47425</v>
      </c>
      <c r="P12570">
        <v>0</v>
      </c>
      <c r="Q12570">
        <v>1</v>
      </c>
      <c r="R12570" t="s">
        <v>47439</v>
      </c>
      <c r="S12570" t="s">
        <v>47860</v>
      </c>
      <c r="T12570" t="s">
        <v>49159</v>
      </c>
      <c r="U12570" t="s">
        <v>59970</v>
      </c>
      <c r="W12570" t="s">
        <v>64528</v>
      </c>
      <c r="X12570" t="s">
        <v>47440</v>
      </c>
    </row>
    <row r="12571" spans="1:24">
      <c r="A12571">
        <f>HYPERLINK("https://www.philgeps.gov.ph/GEPSNONPILOT/Tender/SplashBidNoticeAbstractUI.aspx?menuIndex=3&amp;refID=7142031&amp;Result=3","7142031")</f>
        <v>0</v>
      </c>
      <c r="B12571" t="s">
        <v>3581</v>
      </c>
      <c r="C12571" t="s">
        <v>15750</v>
      </c>
      <c r="D12571" t="s">
        <v>19054</v>
      </c>
      <c r="E12571" t="s">
        <v>29869</v>
      </c>
      <c r="F12571" t="s">
        <v>32831</v>
      </c>
      <c r="G12571" t="s">
        <v>32839</v>
      </c>
      <c r="H12571" t="s">
        <v>32848</v>
      </c>
      <c r="I12571" t="s">
        <v>6526</v>
      </c>
      <c r="J12571" t="s">
        <v>34348</v>
      </c>
      <c r="K12571" t="s">
        <v>42745</v>
      </c>
      <c r="M12571" t="s">
        <v>46942</v>
      </c>
      <c r="N12571" t="s">
        <v>47424</v>
      </c>
      <c r="O12571" t="s">
        <v>47425</v>
      </c>
      <c r="P12571">
        <v>0</v>
      </c>
      <c r="Q12571">
        <v>0</v>
      </c>
      <c r="R12571" t="s">
        <v>47439</v>
      </c>
      <c r="S12571" t="s">
        <v>47860</v>
      </c>
      <c r="T12571" t="s">
        <v>49111</v>
      </c>
      <c r="U12571" t="s">
        <v>59982</v>
      </c>
      <c r="W12571" t="s">
        <v>46942</v>
      </c>
      <c r="X12571" t="s">
        <v>47440</v>
      </c>
    </row>
    <row r="12572" spans="1:24">
      <c r="A12572">
        <f>HYPERLINK("https://www.philgeps.gov.ph/GEPSNONPILOT/Tender/SplashBidNoticeAbstractUI.aspx?menuIndex=3&amp;refID=7142068&amp;Result=3","7142068")</f>
        <v>0</v>
      </c>
      <c r="B12572" t="s">
        <v>563</v>
      </c>
      <c r="C12572" t="s">
        <v>15751</v>
      </c>
      <c r="D12572" t="s">
        <v>19060</v>
      </c>
      <c r="E12572" t="s">
        <v>29870</v>
      </c>
      <c r="F12572" t="s">
        <v>32831</v>
      </c>
      <c r="G12572" t="s">
        <v>32839</v>
      </c>
      <c r="H12572" t="s">
        <v>32848</v>
      </c>
      <c r="I12572" t="s">
        <v>7416</v>
      </c>
      <c r="J12572" t="s">
        <v>40679</v>
      </c>
      <c r="K12572" t="s">
        <v>42730</v>
      </c>
      <c r="M12572" t="s">
        <v>46198</v>
      </c>
      <c r="N12572" t="s">
        <v>47424</v>
      </c>
      <c r="O12572" t="s">
        <v>47425</v>
      </c>
      <c r="P12572">
        <v>0</v>
      </c>
      <c r="Q12572">
        <v>0</v>
      </c>
      <c r="R12572" t="s">
        <v>47439</v>
      </c>
      <c r="S12572" t="s">
        <v>47860</v>
      </c>
      <c r="T12572" t="s">
        <v>49159</v>
      </c>
      <c r="U12572" t="s">
        <v>59970</v>
      </c>
      <c r="W12572" t="s">
        <v>64528</v>
      </c>
      <c r="X12572" t="s">
        <v>47440</v>
      </c>
    </row>
    <row r="12573" spans="1:24">
      <c r="A12573">
        <f>HYPERLINK("https://www.philgeps.gov.ph/GEPSNONPILOT/Tender/SplashBidNoticeAbstractUI.aspx?menuIndex=3&amp;refID=7128801&amp;Result=3","7128801")</f>
        <v>0</v>
      </c>
      <c r="B12573" t="s">
        <v>3587</v>
      </c>
      <c r="C12573" t="s">
        <v>15752</v>
      </c>
      <c r="D12573" t="s">
        <v>19055</v>
      </c>
      <c r="E12573" t="s">
        <v>29871</v>
      </c>
      <c r="F12573" t="s">
        <v>32831</v>
      </c>
      <c r="G12573" t="s">
        <v>32839</v>
      </c>
      <c r="H12573" t="s">
        <v>32848</v>
      </c>
      <c r="I12573" t="s">
        <v>7751</v>
      </c>
      <c r="J12573" t="s">
        <v>35708</v>
      </c>
      <c r="K12573" t="s">
        <v>42747</v>
      </c>
      <c r="M12573" t="s">
        <v>46951</v>
      </c>
      <c r="N12573" t="s">
        <v>47424</v>
      </c>
      <c r="O12573" t="s">
        <v>47425</v>
      </c>
      <c r="P12573">
        <v>0</v>
      </c>
      <c r="Q12573">
        <v>7</v>
      </c>
      <c r="R12573" t="s">
        <v>47440</v>
      </c>
      <c r="S12573" t="s">
        <v>47963</v>
      </c>
      <c r="T12573" t="s">
        <v>49080</v>
      </c>
      <c r="U12573" t="s">
        <v>59983</v>
      </c>
      <c r="W12573" t="s">
        <v>46951</v>
      </c>
      <c r="X12573" t="s">
        <v>47446</v>
      </c>
    </row>
    <row r="12574" spans="1:24">
      <c r="A12574">
        <f>HYPERLINK("https://www.philgeps.gov.ph/GEPSNONPILOT/Tender/SplashBidNoticeAbstractUI.aspx?menuIndex=3&amp;refID=7127132&amp;Result=3","7127132")</f>
        <v>0</v>
      </c>
      <c r="B12574" t="s">
        <v>150</v>
      </c>
      <c r="C12574" t="s">
        <v>15753</v>
      </c>
      <c r="D12574" t="s">
        <v>19025</v>
      </c>
      <c r="E12574" t="s">
        <v>29872</v>
      </c>
      <c r="F12574" t="s">
        <v>32831</v>
      </c>
      <c r="G12574" t="s">
        <v>32839</v>
      </c>
      <c r="H12574" t="s">
        <v>32849</v>
      </c>
      <c r="I12574" t="s">
        <v>4177</v>
      </c>
      <c r="J12574" t="s">
        <v>40680</v>
      </c>
      <c r="K12574" t="s">
        <v>42757</v>
      </c>
      <c r="M12574" t="s">
        <v>43147</v>
      </c>
      <c r="N12574" t="s">
        <v>47424</v>
      </c>
      <c r="O12574" t="s">
        <v>47425</v>
      </c>
      <c r="P12574">
        <v>0</v>
      </c>
      <c r="Q12574">
        <v>1</v>
      </c>
      <c r="R12574" t="s">
        <v>47440</v>
      </c>
      <c r="S12574" t="s">
        <v>47963</v>
      </c>
      <c r="T12574" t="s">
        <v>49091</v>
      </c>
      <c r="U12574" t="s">
        <v>59984</v>
      </c>
      <c r="W12574" t="s">
        <v>43147</v>
      </c>
      <c r="X12574" t="s">
        <v>47446</v>
      </c>
    </row>
    <row r="12575" spans="1:24">
      <c r="A12575">
        <f>HYPERLINK("https://www.philgeps.gov.ph/GEPSNONPILOT/Tender/SplashBidNoticeAbstractUI.aspx?menuIndex=3&amp;refID=7131685&amp;Result=3","7131685")</f>
        <v>0</v>
      </c>
      <c r="B12575" t="s">
        <v>3537</v>
      </c>
      <c r="C12575" t="s">
        <v>15754</v>
      </c>
      <c r="D12575" t="s">
        <v>19037</v>
      </c>
      <c r="E12575" t="s">
        <v>29873</v>
      </c>
      <c r="F12575" t="s">
        <v>32831</v>
      </c>
      <c r="G12575" t="s">
        <v>32839</v>
      </c>
      <c r="H12575" t="s">
        <v>32848</v>
      </c>
      <c r="I12575" t="s">
        <v>4776</v>
      </c>
      <c r="J12575" t="s">
        <v>34203</v>
      </c>
      <c r="K12575" t="s">
        <v>42759</v>
      </c>
      <c r="M12575" t="s">
        <v>46889</v>
      </c>
      <c r="N12575" t="s">
        <v>47424</v>
      </c>
      <c r="O12575" t="s">
        <v>47425</v>
      </c>
      <c r="P12575">
        <v>0</v>
      </c>
      <c r="Q12575">
        <v>0</v>
      </c>
      <c r="R12575" t="s">
        <v>47440</v>
      </c>
      <c r="S12575" t="s">
        <v>47963</v>
      </c>
      <c r="T12575" t="s">
        <v>49148</v>
      </c>
      <c r="U12575" t="s">
        <v>59985</v>
      </c>
      <c r="V12575" t="s">
        <v>64026</v>
      </c>
      <c r="W12575" t="s">
        <v>46889</v>
      </c>
      <c r="X12575" t="s">
        <v>47445</v>
      </c>
    </row>
    <row r="12576" spans="1:24">
      <c r="A12576">
        <f>HYPERLINK("https://www.philgeps.gov.ph/GEPSNONPILOT/Tender/SplashBidNoticeAbstractUI.aspx?menuIndex=3&amp;refID=7142066&amp;Result=3","7142066")</f>
        <v>0</v>
      </c>
      <c r="B12576" t="s">
        <v>563</v>
      </c>
      <c r="C12576" t="s">
        <v>15755</v>
      </c>
      <c r="D12576" t="s">
        <v>19060</v>
      </c>
      <c r="E12576" t="s">
        <v>29874</v>
      </c>
      <c r="F12576" t="s">
        <v>32831</v>
      </c>
      <c r="G12576" t="s">
        <v>32839</v>
      </c>
      <c r="H12576" t="s">
        <v>32848</v>
      </c>
      <c r="I12576" t="s">
        <v>7416</v>
      </c>
      <c r="J12576" t="s">
        <v>40681</v>
      </c>
      <c r="K12576" t="s">
        <v>42730</v>
      </c>
      <c r="M12576" t="s">
        <v>46198</v>
      </c>
      <c r="N12576" t="s">
        <v>47424</v>
      </c>
      <c r="O12576" t="s">
        <v>47425</v>
      </c>
      <c r="P12576">
        <v>0</v>
      </c>
      <c r="Q12576">
        <v>0</v>
      </c>
      <c r="R12576" t="s">
        <v>47439</v>
      </c>
      <c r="S12576" t="s">
        <v>47860</v>
      </c>
      <c r="T12576" t="s">
        <v>49159</v>
      </c>
      <c r="U12576" t="s">
        <v>59970</v>
      </c>
      <c r="W12576" t="s">
        <v>64528</v>
      </c>
      <c r="X12576" t="s">
        <v>47440</v>
      </c>
    </row>
    <row r="12577" spans="1:24">
      <c r="A12577">
        <f>HYPERLINK("https://www.philgeps.gov.ph/GEPSNONPILOT/Tender/SplashBidNoticeAbstractUI.aspx?menuIndex=3&amp;refID=7130513&amp;Result=3","7130513")</f>
        <v>0</v>
      </c>
      <c r="B12577" t="s">
        <v>342</v>
      </c>
      <c r="C12577" t="s">
        <v>15756</v>
      </c>
      <c r="D12577" t="s">
        <v>19047</v>
      </c>
      <c r="E12577" t="s">
        <v>29875</v>
      </c>
      <c r="F12577" t="s">
        <v>32831</v>
      </c>
      <c r="G12577" t="s">
        <v>32839</v>
      </c>
      <c r="H12577" t="s">
        <v>32848</v>
      </c>
      <c r="I12577" t="s">
        <v>4558</v>
      </c>
      <c r="J12577" t="s">
        <v>40682</v>
      </c>
      <c r="K12577" t="s">
        <v>42731</v>
      </c>
      <c r="M12577" t="s">
        <v>43345</v>
      </c>
      <c r="N12577" t="s">
        <v>47424</v>
      </c>
      <c r="O12577" t="s">
        <v>47425</v>
      </c>
      <c r="P12577">
        <v>0</v>
      </c>
      <c r="Q12577">
        <v>4</v>
      </c>
      <c r="R12577" t="s">
        <v>47440</v>
      </c>
      <c r="S12577" t="s">
        <v>47963</v>
      </c>
      <c r="T12577" t="s">
        <v>49196</v>
      </c>
      <c r="U12577" t="s">
        <v>59986</v>
      </c>
      <c r="W12577" t="s">
        <v>64530</v>
      </c>
      <c r="X12577" t="s">
        <v>47445</v>
      </c>
    </row>
    <row r="12578" spans="1:24">
      <c r="A12578">
        <f>HYPERLINK("https://www.philgeps.gov.ph/GEPSNONPILOT/Tender/SplashBidNoticeAbstractUI.aspx?menuIndex=3&amp;refID=7130439&amp;Result=3","7130439")</f>
        <v>0</v>
      </c>
      <c r="B12578" t="s">
        <v>342</v>
      </c>
      <c r="C12578" t="s">
        <v>15757</v>
      </c>
      <c r="D12578" t="s">
        <v>19047</v>
      </c>
      <c r="E12578" t="s">
        <v>29876</v>
      </c>
      <c r="F12578" t="s">
        <v>32831</v>
      </c>
      <c r="G12578" t="s">
        <v>32839</v>
      </c>
      <c r="H12578" t="s">
        <v>32848</v>
      </c>
      <c r="I12578" t="s">
        <v>7751</v>
      </c>
      <c r="J12578" t="s">
        <v>40683</v>
      </c>
      <c r="K12578" t="s">
        <v>42729</v>
      </c>
      <c r="M12578" t="s">
        <v>43345</v>
      </c>
      <c r="N12578" t="s">
        <v>47424</v>
      </c>
      <c r="O12578" t="s">
        <v>47425</v>
      </c>
      <c r="P12578">
        <v>0</v>
      </c>
      <c r="Q12578">
        <v>9</v>
      </c>
      <c r="R12578" t="s">
        <v>47440</v>
      </c>
      <c r="S12578" t="s">
        <v>47963</v>
      </c>
      <c r="T12578" t="s">
        <v>49196</v>
      </c>
      <c r="U12578" t="s">
        <v>59987</v>
      </c>
      <c r="W12578" t="s">
        <v>64530</v>
      </c>
      <c r="X12578" t="s">
        <v>47445</v>
      </c>
    </row>
    <row r="12579" spans="1:24">
      <c r="A12579">
        <f>HYPERLINK("https://www.philgeps.gov.ph/GEPSNONPILOT/Tender/SplashBidNoticeAbstractUI.aspx?menuIndex=3&amp;refID=7130583&amp;Result=3","7130583")</f>
        <v>0</v>
      </c>
      <c r="B12579" t="s">
        <v>3588</v>
      </c>
      <c r="C12579" t="s">
        <v>15758</v>
      </c>
      <c r="D12579" t="s">
        <v>19038</v>
      </c>
      <c r="E12579" t="s">
        <v>29877</v>
      </c>
      <c r="F12579" t="s">
        <v>32831</v>
      </c>
      <c r="G12579" t="s">
        <v>32839</v>
      </c>
      <c r="H12579" t="s">
        <v>32848</v>
      </c>
      <c r="I12579" t="s">
        <v>7751</v>
      </c>
      <c r="J12579" t="s">
        <v>33024</v>
      </c>
      <c r="K12579" t="s">
        <v>42729</v>
      </c>
      <c r="M12579" t="s">
        <v>46952</v>
      </c>
      <c r="N12579" t="s">
        <v>47424</v>
      </c>
      <c r="O12579" t="s">
        <v>47425</v>
      </c>
      <c r="P12579">
        <v>0</v>
      </c>
      <c r="Q12579">
        <v>3</v>
      </c>
      <c r="R12579" t="s">
        <v>47440</v>
      </c>
      <c r="S12579" t="s">
        <v>47963</v>
      </c>
      <c r="T12579" t="s">
        <v>49175</v>
      </c>
      <c r="U12579" t="s">
        <v>59988</v>
      </c>
      <c r="W12579" t="s">
        <v>46952</v>
      </c>
      <c r="X12579" t="s">
        <v>47445</v>
      </c>
    </row>
    <row r="12580" spans="1:24">
      <c r="A12580">
        <f>HYPERLINK("https://www.philgeps.gov.ph/GEPSNONPILOT/Tender/SplashBidNoticeAbstractUI.aspx?menuIndex=3&amp;refID=7130342&amp;Result=3","7130342")</f>
        <v>0</v>
      </c>
      <c r="B12580" t="s">
        <v>1170</v>
      </c>
      <c r="C12580" t="s">
        <v>15759</v>
      </c>
      <c r="D12580" t="s">
        <v>19095</v>
      </c>
      <c r="E12580" t="s">
        <v>29878</v>
      </c>
      <c r="F12580" t="s">
        <v>32831</v>
      </c>
      <c r="G12580" t="s">
        <v>32839</v>
      </c>
      <c r="H12580" t="s">
        <v>32848</v>
      </c>
      <c r="I12580" t="s">
        <v>4558</v>
      </c>
      <c r="J12580" t="s">
        <v>33087</v>
      </c>
      <c r="K12580" t="s">
        <v>42732</v>
      </c>
      <c r="M12580" t="s">
        <v>44236</v>
      </c>
      <c r="N12580" t="s">
        <v>47424</v>
      </c>
      <c r="O12580" t="s">
        <v>47425</v>
      </c>
      <c r="P12580">
        <v>0</v>
      </c>
      <c r="Q12580">
        <v>2</v>
      </c>
      <c r="R12580" t="s">
        <v>47440</v>
      </c>
      <c r="S12580" t="s">
        <v>47963</v>
      </c>
      <c r="T12580" t="s">
        <v>49066</v>
      </c>
      <c r="U12580" t="s">
        <v>59989</v>
      </c>
      <c r="V12580" t="s">
        <v>64027</v>
      </c>
      <c r="W12580" t="s">
        <v>44236</v>
      </c>
      <c r="X12580" t="s">
        <v>47445</v>
      </c>
    </row>
    <row r="12581" spans="1:24">
      <c r="A12581">
        <f>HYPERLINK("https://www.philgeps.gov.ph/GEPSNONPILOT/Tender/SplashBidNoticeAbstractUI.aspx?menuIndex=3&amp;refID=7130542&amp;Result=3","7130542")</f>
        <v>0</v>
      </c>
      <c r="B12581" t="s">
        <v>342</v>
      </c>
      <c r="C12581" t="s">
        <v>15760</v>
      </c>
      <c r="D12581" t="s">
        <v>19047</v>
      </c>
      <c r="E12581" t="s">
        <v>29879</v>
      </c>
      <c r="F12581" t="s">
        <v>32831</v>
      </c>
      <c r="G12581" t="s">
        <v>32839</v>
      </c>
      <c r="H12581" t="s">
        <v>32848</v>
      </c>
      <c r="I12581" t="s">
        <v>32856</v>
      </c>
      <c r="J12581" t="s">
        <v>40684</v>
      </c>
      <c r="K12581" t="s">
        <v>42731</v>
      </c>
      <c r="M12581" t="s">
        <v>43345</v>
      </c>
      <c r="N12581" t="s">
        <v>47424</v>
      </c>
      <c r="O12581" t="s">
        <v>47425</v>
      </c>
      <c r="P12581">
        <v>0</v>
      </c>
      <c r="Q12581">
        <v>11</v>
      </c>
      <c r="R12581" t="s">
        <v>47440</v>
      </c>
      <c r="S12581" t="s">
        <v>47963</v>
      </c>
      <c r="T12581" t="s">
        <v>49196</v>
      </c>
      <c r="U12581" t="s">
        <v>59990</v>
      </c>
      <c r="W12581" t="s">
        <v>64530</v>
      </c>
      <c r="X12581" t="s">
        <v>47445</v>
      </c>
    </row>
    <row r="12582" spans="1:24">
      <c r="A12582">
        <f>HYPERLINK("https://www.philgeps.gov.ph/GEPSNONPILOT/Tender/SplashBidNoticeAbstractUI.aspx?menuIndex=3&amp;refID=7130096&amp;Result=3","7130096")</f>
        <v>0</v>
      </c>
      <c r="B12582" t="s">
        <v>248</v>
      </c>
      <c r="C12582" t="s">
        <v>15761</v>
      </c>
      <c r="D12582" t="s">
        <v>19038</v>
      </c>
      <c r="E12582" t="s">
        <v>29880</v>
      </c>
      <c r="F12582" t="s">
        <v>32831</v>
      </c>
      <c r="G12582" t="s">
        <v>32839</v>
      </c>
      <c r="H12582" t="s">
        <v>32849</v>
      </c>
      <c r="I12582" t="s">
        <v>4177</v>
      </c>
      <c r="J12582" t="s">
        <v>40685</v>
      </c>
      <c r="K12582" t="s">
        <v>42747</v>
      </c>
      <c r="M12582" t="s">
        <v>43247</v>
      </c>
      <c r="N12582" t="s">
        <v>47424</v>
      </c>
      <c r="O12582" t="s">
        <v>47425</v>
      </c>
      <c r="P12582">
        <v>0</v>
      </c>
      <c r="Q12582">
        <v>0</v>
      </c>
      <c r="R12582" t="s">
        <v>47440</v>
      </c>
      <c r="S12582" t="s">
        <v>47963</v>
      </c>
      <c r="T12582" t="s">
        <v>49105</v>
      </c>
      <c r="U12582" t="s">
        <v>59991</v>
      </c>
      <c r="W12582" t="s">
        <v>64434</v>
      </c>
      <c r="X12582" t="s">
        <v>47445</v>
      </c>
    </row>
    <row r="12583" spans="1:24">
      <c r="A12583">
        <f>HYPERLINK("https://www.philgeps.gov.ph/GEPSNONPILOT/Tender/SplashBidNoticeAbstractUI.aspx?menuIndex=3&amp;refID=7129864&amp;Result=3","7129864")</f>
        <v>0</v>
      </c>
      <c r="B12583" t="s">
        <v>3587</v>
      </c>
      <c r="C12583" t="s">
        <v>15762</v>
      </c>
      <c r="D12583" t="s">
        <v>19055</v>
      </c>
      <c r="E12583" t="s">
        <v>29881</v>
      </c>
      <c r="F12583" t="s">
        <v>32831</v>
      </c>
      <c r="G12583" t="s">
        <v>32839</v>
      </c>
      <c r="H12583" t="s">
        <v>32849</v>
      </c>
      <c r="I12583" t="s">
        <v>4177</v>
      </c>
      <c r="J12583" t="s">
        <v>40686</v>
      </c>
      <c r="K12583" t="s">
        <v>42764</v>
      </c>
      <c r="M12583" t="s">
        <v>46951</v>
      </c>
      <c r="N12583" t="s">
        <v>47424</v>
      </c>
      <c r="O12583" t="s">
        <v>47425</v>
      </c>
      <c r="P12583">
        <v>0</v>
      </c>
      <c r="Q12583">
        <v>1</v>
      </c>
      <c r="R12583" t="s">
        <v>47440</v>
      </c>
      <c r="S12583" t="s">
        <v>47963</v>
      </c>
      <c r="T12583" t="s">
        <v>49080</v>
      </c>
      <c r="U12583" t="s">
        <v>59992</v>
      </c>
      <c r="W12583" t="s">
        <v>46951</v>
      </c>
      <c r="X12583" t="s">
        <v>47445</v>
      </c>
    </row>
    <row r="12584" spans="1:24">
      <c r="A12584">
        <f>HYPERLINK("https://www.philgeps.gov.ph/GEPSNONPILOT/Tender/SplashBidNoticeAbstractUI.aspx?menuIndex=3&amp;refID=7129847&amp;Result=3","7129847")</f>
        <v>0</v>
      </c>
      <c r="B12584" t="s">
        <v>3587</v>
      </c>
      <c r="C12584" t="s">
        <v>15763</v>
      </c>
      <c r="D12584" t="s">
        <v>19055</v>
      </c>
      <c r="E12584" t="s">
        <v>29882</v>
      </c>
      <c r="F12584" t="s">
        <v>32831</v>
      </c>
      <c r="G12584" t="s">
        <v>32839</v>
      </c>
      <c r="H12584" t="s">
        <v>32849</v>
      </c>
      <c r="I12584" t="s">
        <v>4177</v>
      </c>
      <c r="J12584" t="s">
        <v>40687</v>
      </c>
      <c r="K12584" t="s">
        <v>42771</v>
      </c>
      <c r="M12584" t="s">
        <v>46951</v>
      </c>
      <c r="N12584" t="s">
        <v>47424</v>
      </c>
      <c r="O12584" t="s">
        <v>47425</v>
      </c>
      <c r="P12584">
        <v>0</v>
      </c>
      <c r="Q12584">
        <v>0</v>
      </c>
      <c r="R12584" t="s">
        <v>47440</v>
      </c>
      <c r="S12584" t="s">
        <v>47963</v>
      </c>
      <c r="T12584" t="s">
        <v>49080</v>
      </c>
      <c r="U12584" t="s">
        <v>59993</v>
      </c>
      <c r="W12584" t="s">
        <v>46951</v>
      </c>
      <c r="X12584" t="s">
        <v>47445</v>
      </c>
    </row>
    <row r="12585" spans="1:24">
      <c r="A12585">
        <f>HYPERLINK("https://www.philgeps.gov.ph/GEPSNONPILOT/Tender/SplashBidNoticeAbstractUI.aspx?menuIndex=3&amp;refID=7130406&amp;Result=3","7130406")</f>
        <v>0</v>
      </c>
      <c r="B12585" t="s">
        <v>342</v>
      </c>
      <c r="C12585" t="s">
        <v>15764</v>
      </c>
      <c r="D12585" t="s">
        <v>19047</v>
      </c>
      <c r="E12585" t="s">
        <v>29883</v>
      </c>
      <c r="F12585" t="s">
        <v>32831</v>
      </c>
      <c r="G12585" t="s">
        <v>32839</v>
      </c>
      <c r="H12585" t="s">
        <v>32848</v>
      </c>
      <c r="I12585" t="s">
        <v>4558</v>
      </c>
      <c r="J12585" t="s">
        <v>40688</v>
      </c>
      <c r="K12585" t="s">
        <v>42731</v>
      </c>
      <c r="M12585" t="s">
        <v>43345</v>
      </c>
      <c r="N12585" t="s">
        <v>47424</v>
      </c>
      <c r="O12585" t="s">
        <v>47425</v>
      </c>
      <c r="P12585">
        <v>0</v>
      </c>
      <c r="Q12585">
        <v>10</v>
      </c>
      <c r="R12585" t="s">
        <v>47440</v>
      </c>
      <c r="S12585" t="s">
        <v>47963</v>
      </c>
      <c r="T12585" t="s">
        <v>49196</v>
      </c>
      <c r="U12585" t="s">
        <v>59994</v>
      </c>
      <c r="W12585" t="s">
        <v>64530</v>
      </c>
      <c r="X12585" t="s">
        <v>47445</v>
      </c>
    </row>
    <row r="12586" spans="1:24">
      <c r="A12586">
        <f>HYPERLINK("https://www.philgeps.gov.ph/GEPSNONPILOT/Tender/SplashBidNoticeAbstractUI.aspx?menuIndex=3&amp;refID=7134571&amp;Result=3","7134571")</f>
        <v>0</v>
      </c>
      <c r="B12586" t="s">
        <v>3567</v>
      </c>
      <c r="C12586" t="s">
        <v>15765</v>
      </c>
      <c r="D12586" t="s">
        <v>19044</v>
      </c>
      <c r="E12586" t="s">
        <v>26290</v>
      </c>
      <c r="F12586" t="s">
        <v>32831</v>
      </c>
      <c r="G12586" t="s">
        <v>32839</v>
      </c>
      <c r="H12586" t="s">
        <v>32848</v>
      </c>
      <c r="I12586" t="s">
        <v>32862</v>
      </c>
      <c r="J12586" t="s">
        <v>33087</v>
      </c>
      <c r="K12586" t="s">
        <v>42730</v>
      </c>
      <c r="L12586" t="s">
        <v>3567</v>
      </c>
      <c r="M12586" t="s">
        <v>46924</v>
      </c>
      <c r="N12586" t="s">
        <v>47424</v>
      </c>
      <c r="O12586" t="s">
        <v>47425</v>
      </c>
      <c r="Q12586">
        <v>3</v>
      </c>
      <c r="R12586" t="s">
        <v>47440</v>
      </c>
      <c r="S12586" t="s">
        <v>47966</v>
      </c>
      <c r="T12586" t="s">
        <v>49070</v>
      </c>
      <c r="U12586" t="s">
        <v>59995</v>
      </c>
      <c r="W12586" t="s">
        <v>46924</v>
      </c>
      <c r="X12586" t="s">
        <v>47444</v>
      </c>
    </row>
    <row r="12587" spans="1:24">
      <c r="A12587">
        <f>HYPERLINK("https://www.philgeps.gov.ph/GEPSNONPILOT/Tender/SplashBidNoticeAbstractUI.aspx?menuIndex=3&amp;refID=7134562&amp;Result=3","7134562")</f>
        <v>0</v>
      </c>
      <c r="B12587" t="s">
        <v>72</v>
      </c>
      <c r="C12587" t="s">
        <v>15766</v>
      </c>
      <c r="D12587" t="s">
        <v>19027</v>
      </c>
      <c r="E12587" t="s">
        <v>29884</v>
      </c>
      <c r="F12587" t="s">
        <v>32831</v>
      </c>
      <c r="G12587" t="s">
        <v>32839</v>
      </c>
      <c r="H12587" t="s">
        <v>32848</v>
      </c>
      <c r="I12587" t="s">
        <v>32896</v>
      </c>
      <c r="J12587" t="s">
        <v>33118</v>
      </c>
      <c r="K12587" t="s">
        <v>42745</v>
      </c>
      <c r="M12587" t="s">
        <v>43069</v>
      </c>
      <c r="N12587" t="s">
        <v>47424</v>
      </c>
      <c r="O12587" t="s">
        <v>47425</v>
      </c>
      <c r="P12587">
        <v>0</v>
      </c>
      <c r="Q12587">
        <v>4</v>
      </c>
      <c r="R12587" t="s">
        <v>47440</v>
      </c>
      <c r="S12587" t="s">
        <v>47963</v>
      </c>
      <c r="T12587" t="s">
        <v>49087</v>
      </c>
      <c r="U12587" t="s">
        <v>49763</v>
      </c>
      <c r="W12587" t="s">
        <v>64429</v>
      </c>
      <c r="X12587" t="s">
        <v>47444</v>
      </c>
    </row>
    <row r="12588" spans="1:24">
      <c r="A12588">
        <f>HYPERLINK("https://www.philgeps.gov.ph/GEPSNONPILOT/Tender/SplashBidNoticeAbstractUI.aspx?menuIndex=3&amp;refID=7129922&amp;Result=3","7129922")</f>
        <v>0</v>
      </c>
      <c r="B12588" t="s">
        <v>3587</v>
      </c>
      <c r="C12588" t="s">
        <v>15767</v>
      </c>
      <c r="D12588" t="s">
        <v>19055</v>
      </c>
      <c r="E12588" t="s">
        <v>29885</v>
      </c>
      <c r="F12588" t="s">
        <v>32831</v>
      </c>
      <c r="G12588" t="s">
        <v>32839</v>
      </c>
      <c r="H12588" t="s">
        <v>32849</v>
      </c>
      <c r="I12588" t="s">
        <v>4177</v>
      </c>
      <c r="J12588" t="s">
        <v>40689</v>
      </c>
      <c r="K12588" t="s">
        <v>42764</v>
      </c>
      <c r="M12588" t="s">
        <v>46951</v>
      </c>
      <c r="N12588" t="s">
        <v>47424</v>
      </c>
      <c r="O12588" t="s">
        <v>47425</v>
      </c>
      <c r="P12588">
        <v>0</v>
      </c>
      <c r="Q12588">
        <v>2</v>
      </c>
      <c r="R12588" t="s">
        <v>47440</v>
      </c>
      <c r="S12588" t="s">
        <v>47963</v>
      </c>
      <c r="T12588" t="s">
        <v>49080</v>
      </c>
      <c r="U12588" t="s">
        <v>59992</v>
      </c>
      <c r="W12588" t="s">
        <v>46951</v>
      </c>
      <c r="X12588" t="s">
        <v>47445</v>
      </c>
    </row>
    <row r="12589" spans="1:24">
      <c r="A12589">
        <f>HYPERLINK("https://www.philgeps.gov.ph/GEPSNONPILOT/Tender/SplashBidNoticeAbstractUI.aspx?menuIndex=3&amp;refID=7134434&amp;Result=3","7134434")</f>
        <v>0</v>
      </c>
      <c r="B12589" t="s">
        <v>221</v>
      </c>
      <c r="C12589" t="s">
        <v>15768</v>
      </c>
      <c r="D12589" t="s">
        <v>19022</v>
      </c>
      <c r="E12589" t="s">
        <v>29886</v>
      </c>
      <c r="F12589" t="s">
        <v>32831</v>
      </c>
      <c r="G12589" t="s">
        <v>32845</v>
      </c>
      <c r="H12589" t="s">
        <v>32849</v>
      </c>
      <c r="I12589" t="s">
        <v>4177</v>
      </c>
      <c r="J12589" t="s">
        <v>40690</v>
      </c>
      <c r="K12589" t="s">
        <v>42732</v>
      </c>
      <c r="L12589" t="s">
        <v>221</v>
      </c>
      <c r="M12589" t="s">
        <v>46263</v>
      </c>
      <c r="N12589" t="s">
        <v>47424</v>
      </c>
      <c r="O12589" t="s">
        <v>47425</v>
      </c>
      <c r="P12589">
        <v>0</v>
      </c>
      <c r="Q12589">
        <v>6</v>
      </c>
      <c r="R12589" t="s">
        <v>47440</v>
      </c>
      <c r="S12589" t="s">
        <v>47963</v>
      </c>
      <c r="T12589" t="s">
        <v>49066</v>
      </c>
      <c r="U12589" t="s">
        <v>59996</v>
      </c>
      <c r="W12589" t="s">
        <v>46263</v>
      </c>
      <c r="X12589" t="s">
        <v>47444</v>
      </c>
    </row>
    <row r="12590" spans="1:24">
      <c r="A12590">
        <f>HYPERLINK("https://www.philgeps.gov.ph/GEPSNONPILOT/Tender/SplashBidNoticeAbstractUI.aspx?menuIndex=3&amp;refID=7142019&amp;Result=3","7142019")</f>
        <v>0</v>
      </c>
      <c r="B12590" t="s">
        <v>3581</v>
      </c>
      <c r="C12590" t="s">
        <v>15769</v>
      </c>
      <c r="D12590" t="s">
        <v>19054</v>
      </c>
      <c r="E12590" t="s">
        <v>29887</v>
      </c>
      <c r="F12590" t="s">
        <v>32831</v>
      </c>
      <c r="G12590" t="s">
        <v>32839</v>
      </c>
      <c r="H12590" t="s">
        <v>32848</v>
      </c>
      <c r="I12590" t="s">
        <v>32969</v>
      </c>
      <c r="J12590" t="s">
        <v>33428</v>
      </c>
      <c r="K12590" t="s">
        <v>42730</v>
      </c>
      <c r="M12590" t="s">
        <v>46942</v>
      </c>
      <c r="N12590" t="s">
        <v>47424</v>
      </c>
      <c r="O12590" t="s">
        <v>47425</v>
      </c>
      <c r="P12590">
        <v>0</v>
      </c>
      <c r="Q12590">
        <v>2</v>
      </c>
      <c r="R12590" t="s">
        <v>47439</v>
      </c>
      <c r="S12590" t="s">
        <v>47860</v>
      </c>
      <c r="T12590" t="s">
        <v>49111</v>
      </c>
      <c r="U12590" t="s">
        <v>59997</v>
      </c>
      <c r="W12590" t="s">
        <v>46942</v>
      </c>
      <c r="X12590" t="s">
        <v>47440</v>
      </c>
    </row>
    <row r="12591" spans="1:24">
      <c r="A12591">
        <f>HYPERLINK("https://www.philgeps.gov.ph/GEPSNONPILOT/Tender/SplashBidNoticeAbstractUI.aspx?menuIndex=3&amp;refID=7134428&amp;Result=3","7134428")</f>
        <v>0</v>
      </c>
      <c r="B12591" t="s">
        <v>3589</v>
      </c>
      <c r="C12591" t="s">
        <v>15770</v>
      </c>
      <c r="D12591" t="s">
        <v>19035</v>
      </c>
      <c r="E12591" t="s">
        <v>29888</v>
      </c>
      <c r="F12591" t="s">
        <v>32831</v>
      </c>
      <c r="G12591" t="s">
        <v>32839</v>
      </c>
      <c r="H12591" t="s">
        <v>32848</v>
      </c>
      <c r="I12591" t="s">
        <v>5667</v>
      </c>
      <c r="J12591" t="s">
        <v>40691</v>
      </c>
      <c r="K12591" t="s">
        <v>42775</v>
      </c>
      <c r="M12591" t="s">
        <v>46953</v>
      </c>
      <c r="N12591" t="s">
        <v>47424</v>
      </c>
      <c r="O12591" t="s">
        <v>47425</v>
      </c>
      <c r="Q12591">
        <v>2</v>
      </c>
      <c r="R12591" t="s">
        <v>47440</v>
      </c>
      <c r="S12591" t="s">
        <v>47612</v>
      </c>
      <c r="T12591" t="s">
        <v>49073</v>
      </c>
      <c r="U12591" t="s">
        <v>59998</v>
      </c>
      <c r="V12591" t="s">
        <v>64028</v>
      </c>
      <c r="W12591" t="s">
        <v>46953</v>
      </c>
      <c r="X12591" t="s">
        <v>47444</v>
      </c>
    </row>
    <row r="12592" spans="1:24">
      <c r="A12592">
        <f>HYPERLINK("https://www.philgeps.gov.ph/GEPSNONPILOT/Tender/SplashBidNoticeAbstractUI.aspx?menuIndex=3&amp;refID=7134368&amp;Result=3","7134368")</f>
        <v>0</v>
      </c>
      <c r="B12592" t="s">
        <v>1654</v>
      </c>
      <c r="C12592" t="s">
        <v>15771</v>
      </c>
      <c r="D12592" t="s">
        <v>19058</v>
      </c>
      <c r="E12592" t="s">
        <v>29889</v>
      </c>
      <c r="F12592" t="s">
        <v>32831</v>
      </c>
      <c r="G12592" t="s">
        <v>32839</v>
      </c>
      <c r="H12592" t="s">
        <v>32849</v>
      </c>
      <c r="I12592" t="s">
        <v>4177</v>
      </c>
      <c r="J12592" t="s">
        <v>40692</v>
      </c>
      <c r="K12592" t="s">
        <v>42728</v>
      </c>
      <c r="M12592" t="s">
        <v>44771</v>
      </c>
      <c r="N12592" t="s">
        <v>47424</v>
      </c>
      <c r="O12592" t="s">
        <v>47425</v>
      </c>
      <c r="Q12592">
        <v>0</v>
      </c>
      <c r="R12592" t="s">
        <v>47440</v>
      </c>
      <c r="S12592" t="s">
        <v>47967</v>
      </c>
      <c r="T12592" t="s">
        <v>49059</v>
      </c>
      <c r="U12592" t="s">
        <v>59999</v>
      </c>
      <c r="W12592" t="s">
        <v>44771</v>
      </c>
      <c r="X12592" t="s">
        <v>47444</v>
      </c>
    </row>
    <row r="12593" spans="1:24">
      <c r="A12593">
        <f>HYPERLINK("https://www.philgeps.gov.ph/GEPSNONPILOT/Tender/SplashBidNoticeAbstractUI.aspx?menuIndex=3&amp;refID=7131478&amp;Result=3","7131478")</f>
        <v>0</v>
      </c>
      <c r="B12593" t="s">
        <v>1684</v>
      </c>
      <c r="C12593" t="s">
        <v>15772</v>
      </c>
      <c r="D12593" t="s">
        <v>19022</v>
      </c>
      <c r="E12593" t="s">
        <v>29890</v>
      </c>
      <c r="F12593" t="s">
        <v>32831</v>
      </c>
      <c r="G12593" t="s">
        <v>32839</v>
      </c>
      <c r="H12593" t="s">
        <v>32848</v>
      </c>
      <c r="I12593" t="s">
        <v>32855</v>
      </c>
      <c r="J12593" t="s">
        <v>40693</v>
      </c>
      <c r="K12593" t="s">
        <v>42730</v>
      </c>
      <c r="M12593" t="s">
        <v>46714</v>
      </c>
      <c r="N12593" t="s">
        <v>47424</v>
      </c>
      <c r="O12593" t="s">
        <v>47425</v>
      </c>
      <c r="Q12593">
        <v>7</v>
      </c>
      <c r="R12593" t="s">
        <v>47440</v>
      </c>
      <c r="S12593" t="s">
        <v>47968</v>
      </c>
      <c r="T12593" t="s">
        <v>49122</v>
      </c>
      <c r="U12593" t="s">
        <v>60000</v>
      </c>
      <c r="W12593" t="s">
        <v>46714</v>
      </c>
      <c r="X12593" t="s">
        <v>47445</v>
      </c>
    </row>
    <row r="12594" spans="1:24">
      <c r="A12594">
        <f>HYPERLINK("https://www.philgeps.gov.ph/GEPSNONPILOT/Tender/SplashBidNoticeAbstractUI.aspx?menuIndex=3&amp;refID=7134338&amp;Result=3","7134338")</f>
        <v>0</v>
      </c>
      <c r="B12594" t="s">
        <v>1654</v>
      </c>
      <c r="C12594" t="s">
        <v>15773</v>
      </c>
      <c r="D12594" t="s">
        <v>19058</v>
      </c>
      <c r="E12594" t="s">
        <v>29891</v>
      </c>
      <c r="F12594" t="s">
        <v>32831</v>
      </c>
      <c r="G12594" t="s">
        <v>32839</v>
      </c>
      <c r="H12594" t="s">
        <v>32849</v>
      </c>
      <c r="I12594" t="s">
        <v>4177</v>
      </c>
      <c r="J12594" t="s">
        <v>40694</v>
      </c>
      <c r="K12594" t="s">
        <v>42763</v>
      </c>
      <c r="M12594" t="s">
        <v>44771</v>
      </c>
      <c r="N12594" t="s">
        <v>47424</v>
      </c>
      <c r="O12594" t="s">
        <v>47425</v>
      </c>
      <c r="Q12594">
        <v>0</v>
      </c>
      <c r="R12594" t="s">
        <v>47440</v>
      </c>
      <c r="S12594" t="s">
        <v>47969</v>
      </c>
      <c r="T12594" t="s">
        <v>49059</v>
      </c>
      <c r="U12594" t="s">
        <v>60001</v>
      </c>
      <c r="W12594" t="s">
        <v>44771</v>
      </c>
      <c r="X12594" t="s">
        <v>47444</v>
      </c>
    </row>
    <row r="12595" spans="1:24">
      <c r="A12595">
        <f>HYPERLINK("https://www.philgeps.gov.ph/GEPSNONPILOT/Tender/SplashBidNoticeAbstractUI.aspx?menuIndex=3&amp;refID=7133900&amp;Result=3","7133900")</f>
        <v>0</v>
      </c>
      <c r="B12595" t="s">
        <v>1291</v>
      </c>
      <c r="C12595" t="s">
        <v>15774</v>
      </c>
      <c r="D12595" t="s">
        <v>19023</v>
      </c>
      <c r="E12595" t="s">
        <v>29892</v>
      </c>
      <c r="F12595" t="s">
        <v>32831</v>
      </c>
      <c r="G12595" t="s">
        <v>32839</v>
      </c>
      <c r="H12595" t="s">
        <v>32849</v>
      </c>
      <c r="I12595" t="s">
        <v>4177</v>
      </c>
      <c r="J12595" t="s">
        <v>40695</v>
      </c>
      <c r="K12595" t="s">
        <v>42821</v>
      </c>
      <c r="M12595" t="s">
        <v>44361</v>
      </c>
      <c r="N12595" t="s">
        <v>47424</v>
      </c>
      <c r="O12595" t="s">
        <v>47425</v>
      </c>
      <c r="P12595">
        <v>0</v>
      </c>
      <c r="Q12595">
        <v>5</v>
      </c>
      <c r="R12595" t="s">
        <v>47440</v>
      </c>
      <c r="S12595" t="s">
        <v>47963</v>
      </c>
      <c r="T12595" t="s">
        <v>49059</v>
      </c>
      <c r="U12595" t="s">
        <v>60002</v>
      </c>
      <c r="W12595" t="s">
        <v>44361</v>
      </c>
      <c r="X12595" t="s">
        <v>47444</v>
      </c>
    </row>
    <row r="12596" spans="1:24">
      <c r="A12596">
        <f>HYPERLINK("https://www.philgeps.gov.ph/GEPSNONPILOT/Tender/SplashBidNoticeAbstractUI.aspx?menuIndex=3&amp;refID=7134469&amp;Result=3","7134469")</f>
        <v>0</v>
      </c>
      <c r="B12596" t="s">
        <v>72</v>
      </c>
      <c r="C12596" t="s">
        <v>15775</v>
      </c>
      <c r="D12596" t="s">
        <v>19027</v>
      </c>
      <c r="E12596" t="s">
        <v>29893</v>
      </c>
      <c r="F12596" t="s">
        <v>32831</v>
      </c>
      <c r="G12596" t="s">
        <v>32839</v>
      </c>
      <c r="H12596" t="s">
        <v>32848</v>
      </c>
      <c r="I12596" t="s">
        <v>32883</v>
      </c>
      <c r="J12596" t="s">
        <v>33016</v>
      </c>
      <c r="K12596" t="s">
        <v>42745</v>
      </c>
      <c r="M12596" t="s">
        <v>43069</v>
      </c>
      <c r="N12596" t="s">
        <v>47424</v>
      </c>
      <c r="O12596" t="s">
        <v>47425</v>
      </c>
      <c r="P12596">
        <v>0</v>
      </c>
      <c r="Q12596">
        <v>5</v>
      </c>
      <c r="R12596" t="s">
        <v>47440</v>
      </c>
      <c r="S12596" t="s">
        <v>47963</v>
      </c>
      <c r="T12596" t="s">
        <v>49087</v>
      </c>
      <c r="U12596" t="s">
        <v>49763</v>
      </c>
      <c r="W12596" t="s">
        <v>64429</v>
      </c>
      <c r="X12596" t="s">
        <v>47444</v>
      </c>
    </row>
    <row r="12597" spans="1:24">
      <c r="A12597">
        <f>HYPERLINK("https://www.philgeps.gov.ph/GEPSNONPILOT/Tender/SplashBidNoticeAbstractUI.aspx?menuIndex=3&amp;refID=7142008&amp;Result=3","7142008")</f>
        <v>0</v>
      </c>
      <c r="B12597" t="s">
        <v>468</v>
      </c>
      <c r="C12597" t="s">
        <v>15776</v>
      </c>
      <c r="D12597" t="s">
        <v>19031</v>
      </c>
      <c r="E12597" t="s">
        <v>29894</v>
      </c>
      <c r="F12597" t="s">
        <v>32831</v>
      </c>
      <c r="G12597" t="s">
        <v>32839</v>
      </c>
      <c r="H12597" t="s">
        <v>32848</v>
      </c>
      <c r="I12597" t="s">
        <v>32893</v>
      </c>
      <c r="J12597" t="s">
        <v>40696</v>
      </c>
      <c r="K12597" t="s">
        <v>42730</v>
      </c>
      <c r="M12597" t="s">
        <v>43473</v>
      </c>
      <c r="N12597" t="s">
        <v>47424</v>
      </c>
      <c r="O12597" t="s">
        <v>47425</v>
      </c>
      <c r="P12597">
        <v>0</v>
      </c>
      <c r="Q12597">
        <v>2</v>
      </c>
      <c r="R12597" t="s">
        <v>47439</v>
      </c>
      <c r="S12597" t="s">
        <v>47860</v>
      </c>
      <c r="T12597" t="s">
        <v>49063</v>
      </c>
      <c r="U12597" t="s">
        <v>60003</v>
      </c>
      <c r="W12597" t="s">
        <v>64440</v>
      </c>
      <c r="X12597" t="s">
        <v>47440</v>
      </c>
    </row>
    <row r="12598" spans="1:24">
      <c r="A12598">
        <f>HYPERLINK("https://www.philgeps.gov.ph/GEPSNONPILOT/Tender/SplashBidNoticeAbstractUI.aspx?menuIndex=3&amp;refID=7133870&amp;Result=3","7133870")</f>
        <v>0</v>
      </c>
      <c r="B12598" t="s">
        <v>2059</v>
      </c>
      <c r="C12598" t="s">
        <v>15777</v>
      </c>
      <c r="D12598" t="s">
        <v>19057</v>
      </c>
      <c r="E12598" t="s">
        <v>29895</v>
      </c>
      <c r="F12598" t="s">
        <v>32831</v>
      </c>
      <c r="G12598" t="s">
        <v>32839</v>
      </c>
      <c r="H12598" t="s">
        <v>32848</v>
      </c>
      <c r="I12598" t="s">
        <v>4558</v>
      </c>
      <c r="J12598" t="s">
        <v>40697</v>
      </c>
      <c r="K12598" t="s">
        <v>42732</v>
      </c>
      <c r="M12598" t="s">
        <v>46126</v>
      </c>
      <c r="N12598" t="s">
        <v>47424</v>
      </c>
      <c r="O12598" t="s">
        <v>47425</v>
      </c>
      <c r="P12598">
        <v>0</v>
      </c>
      <c r="Q12598">
        <v>17</v>
      </c>
      <c r="R12598" t="s">
        <v>47440</v>
      </c>
      <c r="S12598" t="s">
        <v>47963</v>
      </c>
      <c r="T12598" t="s">
        <v>49373</v>
      </c>
      <c r="U12598" t="s">
        <v>60004</v>
      </c>
      <c r="W12598" t="s">
        <v>45229</v>
      </c>
      <c r="X12598" t="s">
        <v>47444</v>
      </c>
    </row>
    <row r="12599" spans="1:24">
      <c r="A12599">
        <f>HYPERLINK("https://www.philgeps.gov.ph/GEPSNONPILOT/Tender/SplashBidNoticeAbstractUI.aspx?menuIndex=3&amp;refID=7133487&amp;Result=3","7133487")</f>
        <v>0</v>
      </c>
      <c r="B12599" t="s">
        <v>82</v>
      </c>
      <c r="C12599" t="s">
        <v>15778</v>
      </c>
      <c r="E12599" t="s">
        <v>29896</v>
      </c>
      <c r="F12599" t="s">
        <v>32831</v>
      </c>
      <c r="G12599" t="s">
        <v>32839</v>
      </c>
      <c r="H12599" t="s">
        <v>32848</v>
      </c>
      <c r="I12599" t="s">
        <v>32874</v>
      </c>
      <c r="J12599" t="s">
        <v>40698</v>
      </c>
      <c r="K12599" t="s">
        <v>42729</v>
      </c>
      <c r="M12599" t="s">
        <v>43079</v>
      </c>
      <c r="N12599" t="s">
        <v>47424</v>
      </c>
      <c r="O12599" t="s">
        <v>47425</v>
      </c>
      <c r="Q12599">
        <v>58</v>
      </c>
      <c r="R12599" t="s">
        <v>47440</v>
      </c>
      <c r="S12599" t="s">
        <v>47970</v>
      </c>
      <c r="T12599" t="s">
        <v>49059</v>
      </c>
      <c r="U12599" t="s">
        <v>60005</v>
      </c>
      <c r="W12599" t="s">
        <v>43079</v>
      </c>
      <c r="X12599" t="s">
        <v>47444</v>
      </c>
    </row>
    <row r="12600" spans="1:24">
      <c r="A12600">
        <f>HYPERLINK("https://www.philgeps.gov.ph/GEPSNONPILOT/Tender/SplashBidNoticeAbstractUI.aspx?menuIndex=3&amp;refID=7134285&amp;Result=3","7134285")</f>
        <v>0</v>
      </c>
      <c r="B12600" t="s">
        <v>1654</v>
      </c>
      <c r="C12600" t="s">
        <v>15779</v>
      </c>
      <c r="D12600" t="s">
        <v>19058</v>
      </c>
      <c r="E12600" t="s">
        <v>29897</v>
      </c>
      <c r="F12600" t="s">
        <v>32831</v>
      </c>
      <c r="G12600" t="s">
        <v>32839</v>
      </c>
      <c r="H12600" t="s">
        <v>32848</v>
      </c>
      <c r="I12600" t="s">
        <v>32860</v>
      </c>
      <c r="J12600" t="s">
        <v>40699</v>
      </c>
      <c r="K12600" t="s">
        <v>42730</v>
      </c>
      <c r="M12600" t="s">
        <v>44771</v>
      </c>
      <c r="N12600" t="s">
        <v>47424</v>
      </c>
      <c r="O12600" t="s">
        <v>47425</v>
      </c>
      <c r="P12600">
        <v>0</v>
      </c>
      <c r="Q12600">
        <v>0</v>
      </c>
      <c r="R12600" t="s">
        <v>47440</v>
      </c>
      <c r="S12600" t="s">
        <v>47963</v>
      </c>
      <c r="T12600" t="s">
        <v>49059</v>
      </c>
      <c r="U12600" t="s">
        <v>60006</v>
      </c>
      <c r="W12600" t="s">
        <v>44771</v>
      </c>
      <c r="X12600" t="s">
        <v>47444</v>
      </c>
    </row>
    <row r="12601" spans="1:24">
      <c r="A12601">
        <f>HYPERLINK("https://www.philgeps.gov.ph/GEPSNONPILOT/Tender/SplashBidNoticeAbstractUI.aspx?menuIndex=3&amp;refID=7134180&amp;Result=3","7134180")</f>
        <v>0</v>
      </c>
      <c r="B12601" t="s">
        <v>3586</v>
      </c>
      <c r="C12601" t="s">
        <v>15780</v>
      </c>
      <c r="D12601" t="s">
        <v>19094</v>
      </c>
      <c r="E12601" t="s">
        <v>29898</v>
      </c>
      <c r="F12601" t="s">
        <v>32831</v>
      </c>
      <c r="G12601" t="s">
        <v>32839</v>
      </c>
      <c r="H12601" t="s">
        <v>32849</v>
      </c>
      <c r="I12601" t="s">
        <v>4177</v>
      </c>
      <c r="J12601" t="s">
        <v>33024</v>
      </c>
      <c r="K12601" t="s">
        <v>42962</v>
      </c>
      <c r="M12601" t="s">
        <v>46950</v>
      </c>
      <c r="N12601" t="s">
        <v>47424</v>
      </c>
      <c r="O12601" t="s">
        <v>47425</v>
      </c>
      <c r="P12601">
        <v>0</v>
      </c>
      <c r="Q12601">
        <v>1</v>
      </c>
      <c r="R12601" t="s">
        <v>47440</v>
      </c>
      <c r="S12601" t="s">
        <v>47963</v>
      </c>
      <c r="T12601" t="s">
        <v>49070</v>
      </c>
      <c r="U12601" t="s">
        <v>60007</v>
      </c>
      <c r="W12601" t="s">
        <v>46950</v>
      </c>
      <c r="X12601" t="s">
        <v>47444</v>
      </c>
    </row>
    <row r="12602" spans="1:24">
      <c r="A12602">
        <f>HYPERLINK("https://www.philgeps.gov.ph/GEPSNONPILOT/Tender/SplashBidNoticeAbstractUI.aspx?menuIndex=3&amp;refID=7135521&amp;Result=3","7135521")</f>
        <v>0</v>
      </c>
      <c r="B12602" t="s">
        <v>33</v>
      </c>
      <c r="C12602" t="s">
        <v>15781</v>
      </c>
      <c r="D12602" t="s">
        <v>19024</v>
      </c>
      <c r="E12602" t="s">
        <v>29899</v>
      </c>
      <c r="F12602" t="s">
        <v>32831</v>
      </c>
      <c r="G12602" t="s">
        <v>32839</v>
      </c>
      <c r="H12602" t="s">
        <v>32848</v>
      </c>
      <c r="I12602" t="s">
        <v>5379</v>
      </c>
      <c r="J12602" t="s">
        <v>40700</v>
      </c>
      <c r="K12602" t="s">
        <v>42730</v>
      </c>
      <c r="M12602" t="s">
        <v>43030</v>
      </c>
      <c r="N12602" t="s">
        <v>47424</v>
      </c>
      <c r="O12602" t="s">
        <v>47425</v>
      </c>
      <c r="P12602">
        <v>0</v>
      </c>
      <c r="Q12602">
        <v>0</v>
      </c>
      <c r="R12602" t="s">
        <v>47440</v>
      </c>
      <c r="S12602" t="s">
        <v>47963</v>
      </c>
      <c r="T12602" t="s">
        <v>49080</v>
      </c>
      <c r="U12602" t="s">
        <v>60008</v>
      </c>
      <c r="W12602" t="s">
        <v>43030</v>
      </c>
      <c r="X12602" t="s">
        <v>47443</v>
      </c>
    </row>
    <row r="12603" spans="1:24">
      <c r="A12603">
        <f>HYPERLINK("https://www.philgeps.gov.ph/GEPSNONPILOT/Tender/SplashBidNoticeAbstractUI.aspx?menuIndex=3&amp;refID=7134336&amp;Result=3","7134336")</f>
        <v>0</v>
      </c>
      <c r="B12603" t="s">
        <v>1823</v>
      </c>
      <c r="C12603" t="s">
        <v>15782</v>
      </c>
      <c r="D12603" t="s">
        <v>19100</v>
      </c>
      <c r="E12603" t="s">
        <v>29900</v>
      </c>
      <c r="F12603" t="s">
        <v>32831</v>
      </c>
      <c r="G12603" t="s">
        <v>32839</v>
      </c>
      <c r="H12603" t="s">
        <v>32848</v>
      </c>
      <c r="I12603" t="s">
        <v>7416</v>
      </c>
      <c r="J12603" t="s">
        <v>40701</v>
      </c>
      <c r="K12603" t="s">
        <v>42732</v>
      </c>
      <c r="M12603" t="s">
        <v>46219</v>
      </c>
      <c r="N12603" t="s">
        <v>47424</v>
      </c>
      <c r="O12603" t="s">
        <v>47425</v>
      </c>
      <c r="P12603">
        <v>0</v>
      </c>
      <c r="Q12603">
        <v>0</v>
      </c>
      <c r="R12603" t="s">
        <v>47440</v>
      </c>
      <c r="S12603" t="s">
        <v>47963</v>
      </c>
      <c r="T12603" t="s">
        <v>49122</v>
      </c>
      <c r="U12603" t="s">
        <v>57288</v>
      </c>
      <c r="W12603" t="s">
        <v>64529</v>
      </c>
      <c r="X12603" t="s">
        <v>47444</v>
      </c>
    </row>
    <row r="12604" spans="1:24">
      <c r="A12604">
        <f>HYPERLINK("https://www.philgeps.gov.ph/GEPSNONPILOT/Tender/SplashBidNoticeAbstractUI.aspx?menuIndex=3&amp;refID=7135543&amp;Result=3","7135543")</f>
        <v>0</v>
      </c>
      <c r="B12604" t="s">
        <v>33</v>
      </c>
      <c r="C12604" t="s">
        <v>15783</v>
      </c>
      <c r="D12604" t="s">
        <v>19024</v>
      </c>
      <c r="E12604" t="s">
        <v>29901</v>
      </c>
      <c r="F12604" t="s">
        <v>32831</v>
      </c>
      <c r="G12604" t="s">
        <v>32839</v>
      </c>
      <c r="H12604" t="s">
        <v>32848</v>
      </c>
      <c r="I12604" t="s">
        <v>32862</v>
      </c>
      <c r="J12604" t="s">
        <v>40702</v>
      </c>
      <c r="K12604" t="s">
        <v>42730</v>
      </c>
      <c r="M12604" t="s">
        <v>43030</v>
      </c>
      <c r="N12604" t="s">
        <v>47424</v>
      </c>
      <c r="O12604" t="s">
        <v>47425</v>
      </c>
      <c r="P12604">
        <v>0</v>
      </c>
      <c r="Q12604">
        <v>0</v>
      </c>
      <c r="R12604" t="s">
        <v>47440</v>
      </c>
      <c r="S12604" t="s">
        <v>47963</v>
      </c>
      <c r="T12604" t="s">
        <v>49080</v>
      </c>
      <c r="U12604" t="s">
        <v>60009</v>
      </c>
      <c r="W12604" t="s">
        <v>43030</v>
      </c>
      <c r="X12604" t="s">
        <v>47443</v>
      </c>
    </row>
    <row r="12605" spans="1:24">
      <c r="A12605">
        <f>HYPERLINK("https://www.philgeps.gov.ph/GEPSNONPILOT/Tender/SplashBidNoticeAbstractUI.aspx?menuIndex=3&amp;refID=7134305&amp;Result=3","7134305")</f>
        <v>0</v>
      </c>
      <c r="B12605" t="s">
        <v>2884</v>
      </c>
      <c r="C12605" t="s">
        <v>15784</v>
      </c>
      <c r="D12605" t="s">
        <v>19018</v>
      </c>
      <c r="E12605" t="s">
        <v>19130</v>
      </c>
      <c r="F12605" t="s">
        <v>32831</v>
      </c>
      <c r="G12605" t="s">
        <v>32839</v>
      </c>
      <c r="H12605" t="s">
        <v>32848</v>
      </c>
      <c r="I12605" t="s">
        <v>32859</v>
      </c>
      <c r="J12605" t="s">
        <v>33032</v>
      </c>
      <c r="K12605" t="s">
        <v>42748</v>
      </c>
      <c r="M12605" t="s">
        <v>46123</v>
      </c>
      <c r="N12605" t="s">
        <v>47424</v>
      </c>
      <c r="O12605" t="s">
        <v>47425</v>
      </c>
      <c r="Q12605">
        <v>6</v>
      </c>
      <c r="R12605" t="s">
        <v>47440</v>
      </c>
      <c r="S12605" t="s">
        <v>47971</v>
      </c>
      <c r="T12605" t="s">
        <v>49621</v>
      </c>
      <c r="U12605" t="s">
        <v>60010</v>
      </c>
      <c r="W12605" t="s">
        <v>46123</v>
      </c>
      <c r="X12605" t="s">
        <v>47444</v>
      </c>
    </row>
    <row r="12606" spans="1:24">
      <c r="A12606">
        <f>HYPERLINK("https://www.philgeps.gov.ph/GEPSNONPILOT/Tender/SplashBidNoticeAbstractUI.aspx?menuIndex=3&amp;refID=7133509&amp;Result=3","7133509")</f>
        <v>0</v>
      </c>
      <c r="B12606" t="s">
        <v>3590</v>
      </c>
      <c r="C12606" t="s">
        <v>15785</v>
      </c>
      <c r="D12606" t="s">
        <v>19056</v>
      </c>
      <c r="E12606" t="s">
        <v>20779</v>
      </c>
      <c r="F12606" t="s">
        <v>32831</v>
      </c>
      <c r="G12606" t="s">
        <v>32839</v>
      </c>
      <c r="H12606" t="s">
        <v>32849</v>
      </c>
      <c r="I12606" t="s">
        <v>4177</v>
      </c>
      <c r="J12606" t="s">
        <v>40703</v>
      </c>
      <c r="K12606" t="s">
        <v>42763</v>
      </c>
      <c r="M12606" t="s">
        <v>46954</v>
      </c>
      <c r="N12606" t="s">
        <v>47424</v>
      </c>
      <c r="O12606" t="s">
        <v>47425</v>
      </c>
      <c r="P12606">
        <v>0</v>
      </c>
      <c r="Q12606">
        <v>0</v>
      </c>
      <c r="R12606" t="s">
        <v>47440</v>
      </c>
      <c r="S12606" t="s">
        <v>47963</v>
      </c>
      <c r="T12606" t="s">
        <v>49105</v>
      </c>
      <c r="U12606" t="s">
        <v>60011</v>
      </c>
      <c r="W12606" t="s">
        <v>46954</v>
      </c>
      <c r="X12606" t="s">
        <v>47444</v>
      </c>
    </row>
    <row r="12607" spans="1:24">
      <c r="A12607">
        <f>HYPERLINK("https://www.philgeps.gov.ph/GEPSNONPILOT/Tender/SplashBidNoticeAbstractUI.aspx?menuIndex=3&amp;refID=7135516&amp;Result=3","7135516")</f>
        <v>0</v>
      </c>
      <c r="B12607" t="s">
        <v>33</v>
      </c>
      <c r="C12607" t="s">
        <v>15786</v>
      </c>
      <c r="D12607" t="s">
        <v>19024</v>
      </c>
      <c r="E12607" t="s">
        <v>29902</v>
      </c>
      <c r="F12607" t="s">
        <v>32831</v>
      </c>
      <c r="G12607" t="s">
        <v>32839</v>
      </c>
      <c r="H12607" t="s">
        <v>32848</v>
      </c>
      <c r="I12607" t="s">
        <v>4438</v>
      </c>
      <c r="J12607" t="s">
        <v>33385</v>
      </c>
      <c r="K12607" t="s">
        <v>42730</v>
      </c>
      <c r="M12607" t="s">
        <v>43030</v>
      </c>
      <c r="N12607" t="s">
        <v>47424</v>
      </c>
      <c r="O12607" t="s">
        <v>47425</v>
      </c>
      <c r="P12607">
        <v>0</v>
      </c>
      <c r="Q12607">
        <v>0</v>
      </c>
      <c r="R12607" t="s">
        <v>47440</v>
      </c>
      <c r="S12607" t="s">
        <v>47963</v>
      </c>
      <c r="T12607" t="s">
        <v>49080</v>
      </c>
      <c r="U12607" t="s">
        <v>60012</v>
      </c>
      <c r="W12607" t="s">
        <v>43030</v>
      </c>
      <c r="X12607" t="s">
        <v>47443</v>
      </c>
    </row>
    <row r="12608" spans="1:24">
      <c r="A12608">
        <f>HYPERLINK("https://www.philgeps.gov.ph/GEPSNONPILOT/Tender/SplashBidNoticeAbstractUI.aspx?menuIndex=3&amp;refID=7135215&amp;Result=3","7135215")</f>
        <v>0</v>
      </c>
      <c r="B12608" t="s">
        <v>3591</v>
      </c>
      <c r="C12608" t="s">
        <v>15787</v>
      </c>
      <c r="D12608" t="s">
        <v>19020</v>
      </c>
      <c r="E12608" t="s">
        <v>29903</v>
      </c>
      <c r="F12608" t="s">
        <v>32831</v>
      </c>
      <c r="G12608" t="s">
        <v>32839</v>
      </c>
      <c r="H12608" t="s">
        <v>32848</v>
      </c>
      <c r="I12608" t="s">
        <v>11727</v>
      </c>
      <c r="J12608" t="s">
        <v>33111</v>
      </c>
      <c r="K12608" t="s">
        <v>42727</v>
      </c>
      <c r="M12608" t="s">
        <v>46955</v>
      </c>
      <c r="N12608" t="s">
        <v>47424</v>
      </c>
      <c r="O12608" t="s">
        <v>47425</v>
      </c>
      <c r="P12608">
        <v>0</v>
      </c>
      <c r="Q12608">
        <v>4</v>
      </c>
      <c r="R12608" t="s">
        <v>47440</v>
      </c>
      <c r="S12608" t="s">
        <v>47963</v>
      </c>
      <c r="T12608" t="s">
        <v>49092</v>
      </c>
      <c r="U12608" t="s">
        <v>60013</v>
      </c>
      <c r="W12608" t="s">
        <v>46955</v>
      </c>
      <c r="X12608" t="s">
        <v>47444</v>
      </c>
    </row>
    <row r="12609" spans="1:24">
      <c r="A12609">
        <f>HYPERLINK("https://www.philgeps.gov.ph/GEPSNONPILOT/Tender/SplashBidNoticeAbstractUI.aspx?menuIndex=3&amp;refID=7135400&amp;Result=3","7135400")</f>
        <v>0</v>
      </c>
      <c r="B12609" t="s">
        <v>33</v>
      </c>
      <c r="C12609" t="s">
        <v>15788</v>
      </c>
      <c r="D12609" t="s">
        <v>19024</v>
      </c>
      <c r="E12609" t="s">
        <v>29902</v>
      </c>
      <c r="F12609" t="s">
        <v>32831</v>
      </c>
      <c r="G12609" t="s">
        <v>32839</v>
      </c>
      <c r="H12609" t="s">
        <v>32848</v>
      </c>
      <c r="I12609" t="s">
        <v>9577</v>
      </c>
      <c r="J12609" t="s">
        <v>40704</v>
      </c>
      <c r="K12609" t="s">
        <v>42730</v>
      </c>
      <c r="M12609" t="s">
        <v>43030</v>
      </c>
      <c r="N12609" t="s">
        <v>47424</v>
      </c>
      <c r="O12609" t="s">
        <v>47425</v>
      </c>
      <c r="P12609">
        <v>0</v>
      </c>
      <c r="Q12609">
        <v>2</v>
      </c>
      <c r="R12609" t="s">
        <v>47440</v>
      </c>
      <c r="S12609" t="s">
        <v>47963</v>
      </c>
      <c r="T12609" t="s">
        <v>49080</v>
      </c>
      <c r="U12609" t="s">
        <v>60012</v>
      </c>
      <c r="W12609" t="s">
        <v>43030</v>
      </c>
      <c r="X12609" t="s">
        <v>47443</v>
      </c>
    </row>
    <row r="12610" spans="1:24">
      <c r="A12610">
        <f>HYPERLINK("https://www.philgeps.gov.ph/GEPSNONPILOT/Tender/SplashBidNoticeAbstractUI.aspx?menuIndex=3&amp;refID=7135176&amp;Result=3","7135176")</f>
        <v>0</v>
      </c>
      <c r="B12610" t="s">
        <v>3592</v>
      </c>
      <c r="C12610" t="s">
        <v>15789</v>
      </c>
      <c r="D12610" t="s">
        <v>19017</v>
      </c>
      <c r="E12610" t="s">
        <v>29904</v>
      </c>
      <c r="F12610" t="s">
        <v>32831</v>
      </c>
      <c r="G12610" t="s">
        <v>32839</v>
      </c>
      <c r="H12610" t="s">
        <v>32848</v>
      </c>
      <c r="I12610" t="s">
        <v>32926</v>
      </c>
      <c r="J12610" t="s">
        <v>34578</v>
      </c>
      <c r="K12610" t="s">
        <v>42870</v>
      </c>
      <c r="M12610" t="s">
        <v>46956</v>
      </c>
      <c r="N12610" t="s">
        <v>47424</v>
      </c>
      <c r="O12610" t="s">
        <v>47425</v>
      </c>
      <c r="P12610">
        <v>0</v>
      </c>
      <c r="Q12610">
        <v>0</v>
      </c>
      <c r="R12610" t="s">
        <v>47440</v>
      </c>
      <c r="S12610" t="s">
        <v>47963</v>
      </c>
      <c r="T12610" t="s">
        <v>49256</v>
      </c>
      <c r="U12610" t="s">
        <v>60014</v>
      </c>
      <c r="V12610" t="s">
        <v>64029</v>
      </c>
      <c r="W12610" t="s">
        <v>46956</v>
      </c>
      <c r="X12610" t="s">
        <v>47444</v>
      </c>
    </row>
    <row r="12611" spans="1:24">
      <c r="A12611">
        <f>HYPERLINK("https://www.philgeps.gov.ph/GEPSNONPILOT/Tender/SplashBidNoticeAbstractUI.aspx?menuIndex=3&amp;refID=7135509&amp;Result=3","7135509")</f>
        <v>0</v>
      </c>
      <c r="B12611" t="s">
        <v>3586</v>
      </c>
      <c r="C12611" t="s">
        <v>15790</v>
      </c>
      <c r="D12611" t="s">
        <v>19094</v>
      </c>
      <c r="E12611" t="s">
        <v>29905</v>
      </c>
      <c r="F12611" t="s">
        <v>32831</v>
      </c>
      <c r="G12611" t="s">
        <v>32839</v>
      </c>
      <c r="H12611" t="s">
        <v>32849</v>
      </c>
      <c r="I12611" t="s">
        <v>4177</v>
      </c>
      <c r="J12611" t="s">
        <v>33528</v>
      </c>
      <c r="K12611" t="s">
        <v>42963</v>
      </c>
      <c r="M12611" t="s">
        <v>46950</v>
      </c>
      <c r="N12611" t="s">
        <v>47424</v>
      </c>
      <c r="O12611" t="s">
        <v>47425</v>
      </c>
      <c r="P12611">
        <v>0</v>
      </c>
      <c r="Q12611">
        <v>2</v>
      </c>
      <c r="R12611" t="s">
        <v>47440</v>
      </c>
      <c r="S12611" t="s">
        <v>47963</v>
      </c>
      <c r="T12611" t="s">
        <v>49070</v>
      </c>
      <c r="U12611" t="s">
        <v>60015</v>
      </c>
      <c r="W12611" t="s">
        <v>46950</v>
      </c>
      <c r="X12611" t="s">
        <v>47443</v>
      </c>
    </row>
    <row r="12612" spans="1:24">
      <c r="A12612">
        <f>HYPERLINK("https://www.philgeps.gov.ph/GEPSNONPILOT/Tender/SplashBidNoticeAbstractUI.aspx?menuIndex=3&amp;refID=7135089&amp;Result=3","7135089")</f>
        <v>0</v>
      </c>
      <c r="B12612" t="s">
        <v>3593</v>
      </c>
      <c r="C12612" t="s">
        <v>15791</v>
      </c>
      <c r="D12612" t="s">
        <v>19056</v>
      </c>
      <c r="E12612" t="s">
        <v>29906</v>
      </c>
      <c r="F12612" t="s">
        <v>32831</v>
      </c>
      <c r="G12612" t="s">
        <v>32839</v>
      </c>
      <c r="H12612" t="s">
        <v>32849</v>
      </c>
      <c r="I12612" t="s">
        <v>4177</v>
      </c>
      <c r="J12612" t="s">
        <v>32978</v>
      </c>
      <c r="K12612" t="s">
        <v>42803</v>
      </c>
      <c r="M12612" t="s">
        <v>46957</v>
      </c>
      <c r="N12612" t="s">
        <v>47424</v>
      </c>
      <c r="O12612" t="s">
        <v>47425</v>
      </c>
      <c r="Q12612">
        <v>0</v>
      </c>
      <c r="R12612" t="s">
        <v>47440</v>
      </c>
      <c r="S12612" t="s">
        <v>47972</v>
      </c>
      <c r="T12612" t="s">
        <v>49105</v>
      </c>
      <c r="U12612" t="s">
        <v>60016</v>
      </c>
      <c r="W12612" t="s">
        <v>46957</v>
      </c>
      <c r="X12612" t="s">
        <v>47444</v>
      </c>
    </row>
    <row r="12613" spans="1:24">
      <c r="A12613">
        <f>HYPERLINK("https://www.philgeps.gov.ph/GEPSNONPILOT/Tender/SplashBidNoticeAbstractUI.aspx?menuIndex=3&amp;refID=7135071&amp;Result=3","7135071")</f>
        <v>0</v>
      </c>
      <c r="B12613" t="s">
        <v>3593</v>
      </c>
      <c r="C12613" t="s">
        <v>15792</v>
      </c>
      <c r="D12613" t="s">
        <v>19056</v>
      </c>
      <c r="E12613" t="s">
        <v>29907</v>
      </c>
      <c r="F12613" t="s">
        <v>32831</v>
      </c>
      <c r="G12613" t="s">
        <v>32839</v>
      </c>
      <c r="H12613" t="s">
        <v>32849</v>
      </c>
      <c r="I12613" t="s">
        <v>4177</v>
      </c>
      <c r="J12613" t="s">
        <v>33561</v>
      </c>
      <c r="K12613" t="s">
        <v>42803</v>
      </c>
      <c r="M12613" t="s">
        <v>46957</v>
      </c>
      <c r="N12613" t="s">
        <v>47424</v>
      </c>
      <c r="O12613" t="s">
        <v>47425</v>
      </c>
      <c r="P12613">
        <v>0</v>
      </c>
      <c r="Q12613">
        <v>1</v>
      </c>
      <c r="R12613" t="s">
        <v>47440</v>
      </c>
      <c r="S12613" t="s">
        <v>47963</v>
      </c>
      <c r="T12613" t="s">
        <v>49105</v>
      </c>
      <c r="U12613" t="s">
        <v>60017</v>
      </c>
      <c r="W12613" t="s">
        <v>46957</v>
      </c>
      <c r="X12613" t="s">
        <v>47444</v>
      </c>
    </row>
    <row r="12614" spans="1:24">
      <c r="A12614">
        <f>HYPERLINK("https://www.philgeps.gov.ph/GEPSNONPILOT/Tender/SplashBidNoticeAbstractUI.aspx?menuIndex=3&amp;refID=7135097&amp;Result=3","7135097")</f>
        <v>0</v>
      </c>
      <c r="B12614" t="s">
        <v>3593</v>
      </c>
      <c r="C12614" t="s">
        <v>15793</v>
      </c>
      <c r="D12614" t="s">
        <v>19056</v>
      </c>
      <c r="E12614" t="s">
        <v>29908</v>
      </c>
      <c r="F12614" t="s">
        <v>32831</v>
      </c>
      <c r="G12614" t="s">
        <v>32839</v>
      </c>
      <c r="H12614" t="s">
        <v>32849</v>
      </c>
      <c r="I12614" t="s">
        <v>4177</v>
      </c>
      <c r="J12614" t="s">
        <v>32978</v>
      </c>
      <c r="K12614" t="s">
        <v>42737</v>
      </c>
      <c r="M12614" t="s">
        <v>46957</v>
      </c>
      <c r="N12614" t="s">
        <v>47424</v>
      </c>
      <c r="O12614" t="s">
        <v>47425</v>
      </c>
      <c r="Q12614">
        <v>0</v>
      </c>
      <c r="R12614" t="s">
        <v>47440</v>
      </c>
      <c r="S12614" t="s">
        <v>47973</v>
      </c>
      <c r="T12614" t="s">
        <v>49105</v>
      </c>
      <c r="U12614" t="s">
        <v>60018</v>
      </c>
      <c r="W12614" t="s">
        <v>46957</v>
      </c>
      <c r="X12614" t="s">
        <v>47444</v>
      </c>
    </row>
    <row r="12615" spans="1:24">
      <c r="A12615">
        <f>HYPERLINK("https://www.philgeps.gov.ph/GEPSNONPILOT/Tender/SplashBidNoticeAbstractUI.aspx?menuIndex=3&amp;refID=7135522&amp;Result=3","7135522")</f>
        <v>0</v>
      </c>
      <c r="B12615" t="s">
        <v>1629</v>
      </c>
      <c r="C12615" t="s">
        <v>15794</v>
      </c>
      <c r="D12615" t="s">
        <v>19021</v>
      </c>
      <c r="E12615" t="s">
        <v>29909</v>
      </c>
      <c r="F12615" t="s">
        <v>32831</v>
      </c>
      <c r="G12615" t="s">
        <v>32839</v>
      </c>
      <c r="H12615" t="s">
        <v>32848</v>
      </c>
      <c r="I12615" t="s">
        <v>32857</v>
      </c>
      <c r="J12615" t="s">
        <v>40705</v>
      </c>
      <c r="K12615" t="s">
        <v>42732</v>
      </c>
      <c r="M12615" t="s">
        <v>44745</v>
      </c>
      <c r="N12615" t="s">
        <v>47424</v>
      </c>
      <c r="O12615" t="s">
        <v>47425</v>
      </c>
      <c r="P12615">
        <v>0</v>
      </c>
      <c r="Q12615">
        <v>14</v>
      </c>
      <c r="R12615" t="s">
        <v>47440</v>
      </c>
      <c r="S12615" t="s">
        <v>47963</v>
      </c>
      <c r="T12615" t="s">
        <v>49171</v>
      </c>
      <c r="U12615" t="s">
        <v>60019</v>
      </c>
      <c r="V12615" t="s">
        <v>64030</v>
      </c>
      <c r="W12615" t="s">
        <v>44745</v>
      </c>
      <c r="X12615" t="s">
        <v>47443</v>
      </c>
    </row>
    <row r="12616" spans="1:24">
      <c r="A12616">
        <f>HYPERLINK("https://www.philgeps.gov.ph/GEPSNONPILOT/Tender/SplashBidNoticeAbstractUI.aspx?menuIndex=3&amp;refID=7135083&amp;Result=3","7135083")</f>
        <v>0</v>
      </c>
      <c r="B12616" t="s">
        <v>3593</v>
      </c>
      <c r="C12616" t="s">
        <v>15795</v>
      </c>
      <c r="D12616" t="s">
        <v>19056</v>
      </c>
      <c r="E12616" t="s">
        <v>29910</v>
      </c>
      <c r="F12616" t="s">
        <v>32831</v>
      </c>
      <c r="G12616" t="s">
        <v>32839</v>
      </c>
      <c r="H12616" t="s">
        <v>32849</v>
      </c>
      <c r="I12616" t="s">
        <v>4177</v>
      </c>
      <c r="J12616" t="s">
        <v>33118</v>
      </c>
      <c r="K12616" t="s">
        <v>42727</v>
      </c>
      <c r="M12616" t="s">
        <v>46957</v>
      </c>
      <c r="N12616" t="s">
        <v>47424</v>
      </c>
      <c r="O12616" t="s">
        <v>47425</v>
      </c>
      <c r="P12616">
        <v>0</v>
      </c>
      <c r="Q12616">
        <v>1</v>
      </c>
      <c r="R12616" t="s">
        <v>47440</v>
      </c>
      <c r="S12616" t="s">
        <v>47963</v>
      </c>
      <c r="T12616" t="s">
        <v>49105</v>
      </c>
      <c r="U12616" t="s">
        <v>60020</v>
      </c>
      <c r="W12616" t="s">
        <v>46957</v>
      </c>
      <c r="X12616" t="s">
        <v>47444</v>
      </c>
    </row>
    <row r="12617" spans="1:24">
      <c r="A12617">
        <f>HYPERLINK("https://www.philgeps.gov.ph/GEPSNONPILOT/Tender/SplashBidNoticeAbstractUI.aspx?menuIndex=3&amp;refID=7135060&amp;Result=3","7135060")</f>
        <v>0</v>
      </c>
      <c r="B12617" t="s">
        <v>3586</v>
      </c>
      <c r="C12617" t="s">
        <v>15796</v>
      </c>
      <c r="D12617" t="s">
        <v>19094</v>
      </c>
      <c r="E12617" t="s">
        <v>29911</v>
      </c>
      <c r="F12617" t="s">
        <v>32831</v>
      </c>
      <c r="G12617" t="s">
        <v>32839</v>
      </c>
      <c r="H12617" t="s">
        <v>32849</v>
      </c>
      <c r="I12617" t="s">
        <v>4177</v>
      </c>
      <c r="J12617" t="s">
        <v>33118</v>
      </c>
      <c r="K12617" t="s">
        <v>42868</v>
      </c>
      <c r="M12617" t="s">
        <v>46950</v>
      </c>
      <c r="N12617" t="s">
        <v>47424</v>
      </c>
      <c r="O12617" t="s">
        <v>47425</v>
      </c>
      <c r="P12617">
        <v>0</v>
      </c>
      <c r="Q12617">
        <v>1</v>
      </c>
      <c r="R12617" t="s">
        <v>47440</v>
      </c>
      <c r="S12617" t="s">
        <v>47963</v>
      </c>
      <c r="T12617" t="s">
        <v>49070</v>
      </c>
      <c r="U12617" t="s">
        <v>60021</v>
      </c>
      <c r="W12617" t="s">
        <v>46950</v>
      </c>
      <c r="X12617" t="s">
        <v>47444</v>
      </c>
    </row>
    <row r="12618" spans="1:24">
      <c r="A12618">
        <f>HYPERLINK("https://www.philgeps.gov.ph/GEPSNONPILOT/Tender/SplashBidNoticeAbstractUI.aspx?menuIndex=3&amp;refID=7135883&amp;Result=3","7135883")</f>
        <v>0</v>
      </c>
      <c r="B12618" t="s">
        <v>3594</v>
      </c>
      <c r="C12618" t="s">
        <v>15797</v>
      </c>
      <c r="D12618" t="s">
        <v>19086</v>
      </c>
      <c r="E12618" t="s">
        <v>20384</v>
      </c>
      <c r="F12618" t="s">
        <v>32831</v>
      </c>
      <c r="G12618" t="s">
        <v>32839</v>
      </c>
      <c r="H12618" t="s">
        <v>32848</v>
      </c>
      <c r="I12618" t="s">
        <v>7751</v>
      </c>
      <c r="J12618" t="s">
        <v>33794</v>
      </c>
      <c r="K12618" t="s">
        <v>42730</v>
      </c>
      <c r="M12618" t="s">
        <v>46958</v>
      </c>
      <c r="N12618" t="s">
        <v>47424</v>
      </c>
      <c r="O12618" t="s">
        <v>47425</v>
      </c>
      <c r="P12618">
        <v>0</v>
      </c>
      <c r="Q12618">
        <v>2</v>
      </c>
      <c r="R12618" t="s">
        <v>47440</v>
      </c>
      <c r="S12618" t="s">
        <v>47963</v>
      </c>
      <c r="T12618" t="s">
        <v>49373</v>
      </c>
      <c r="U12618" t="s">
        <v>60022</v>
      </c>
      <c r="W12618" t="s">
        <v>46958</v>
      </c>
      <c r="X12618" t="s">
        <v>47442</v>
      </c>
    </row>
    <row r="12619" spans="1:24">
      <c r="A12619">
        <f>HYPERLINK("https://www.philgeps.gov.ph/GEPSNONPILOT/Tender/SplashBidNoticeAbstractUI.aspx?menuIndex=3&amp;refID=7135990&amp;Result=3","7135990")</f>
        <v>0</v>
      </c>
      <c r="B12619" t="s">
        <v>33</v>
      </c>
      <c r="C12619" t="s">
        <v>15798</v>
      </c>
      <c r="D12619" t="s">
        <v>19024</v>
      </c>
      <c r="E12619" t="s">
        <v>29912</v>
      </c>
      <c r="F12619" t="s">
        <v>32831</v>
      </c>
      <c r="G12619" t="s">
        <v>32839</v>
      </c>
      <c r="H12619" t="s">
        <v>32849</v>
      </c>
      <c r="I12619" t="s">
        <v>4177</v>
      </c>
      <c r="J12619" t="s">
        <v>40706</v>
      </c>
      <c r="K12619" t="s">
        <v>42763</v>
      </c>
      <c r="M12619" t="s">
        <v>43030</v>
      </c>
      <c r="N12619" t="s">
        <v>47424</v>
      </c>
      <c r="O12619" t="s">
        <v>47425</v>
      </c>
      <c r="P12619">
        <v>0</v>
      </c>
      <c r="Q12619">
        <v>1</v>
      </c>
      <c r="R12619" t="s">
        <v>47440</v>
      </c>
      <c r="S12619" t="s">
        <v>47963</v>
      </c>
      <c r="T12619" t="s">
        <v>49080</v>
      </c>
      <c r="U12619" t="s">
        <v>60023</v>
      </c>
      <c r="W12619" t="s">
        <v>43030</v>
      </c>
      <c r="X12619" t="s">
        <v>47442</v>
      </c>
    </row>
    <row r="12620" spans="1:24">
      <c r="A12620">
        <f>HYPERLINK("https://www.philgeps.gov.ph/GEPSNONPILOT/Tender/SplashBidNoticeAbstractUI.aspx?menuIndex=3&amp;refID=7135550&amp;Result=3","7135550")</f>
        <v>0</v>
      </c>
      <c r="B12620" t="s">
        <v>33</v>
      </c>
      <c r="C12620" t="s">
        <v>15799</v>
      </c>
      <c r="D12620" t="s">
        <v>19024</v>
      </c>
      <c r="E12620" t="s">
        <v>29901</v>
      </c>
      <c r="F12620" t="s">
        <v>32831</v>
      </c>
      <c r="G12620" t="s">
        <v>32839</v>
      </c>
      <c r="H12620" t="s">
        <v>32848</v>
      </c>
      <c r="I12620" t="s">
        <v>32862</v>
      </c>
      <c r="J12620" t="s">
        <v>40707</v>
      </c>
      <c r="K12620" t="s">
        <v>42730</v>
      </c>
      <c r="M12620" t="s">
        <v>43030</v>
      </c>
      <c r="N12620" t="s">
        <v>47424</v>
      </c>
      <c r="O12620" t="s">
        <v>47425</v>
      </c>
      <c r="P12620">
        <v>0</v>
      </c>
      <c r="Q12620">
        <v>0</v>
      </c>
      <c r="R12620" t="s">
        <v>47440</v>
      </c>
      <c r="S12620" t="s">
        <v>47963</v>
      </c>
      <c r="T12620" t="s">
        <v>49080</v>
      </c>
      <c r="U12620" t="s">
        <v>60009</v>
      </c>
      <c r="W12620" t="s">
        <v>43030</v>
      </c>
      <c r="X12620" t="s">
        <v>47443</v>
      </c>
    </row>
    <row r="12621" spans="1:24">
      <c r="A12621">
        <f>HYPERLINK("https://www.philgeps.gov.ph/GEPSNONPILOT/Tender/SplashBidNoticeAbstractUI.aspx?menuIndex=3&amp;refID=7135524&amp;Result=3","7135524")</f>
        <v>0</v>
      </c>
      <c r="B12621" t="s">
        <v>33</v>
      </c>
      <c r="C12621" t="s">
        <v>15800</v>
      </c>
      <c r="D12621" t="s">
        <v>19024</v>
      </c>
      <c r="E12621" t="s">
        <v>29899</v>
      </c>
      <c r="F12621" t="s">
        <v>32831</v>
      </c>
      <c r="G12621" t="s">
        <v>32839</v>
      </c>
      <c r="H12621" t="s">
        <v>32848</v>
      </c>
      <c r="I12621" t="s">
        <v>7878</v>
      </c>
      <c r="J12621" t="s">
        <v>33366</v>
      </c>
      <c r="K12621" t="s">
        <v>42730</v>
      </c>
      <c r="M12621" t="s">
        <v>43030</v>
      </c>
      <c r="N12621" t="s">
        <v>47424</v>
      </c>
      <c r="O12621" t="s">
        <v>47425</v>
      </c>
      <c r="P12621">
        <v>0</v>
      </c>
      <c r="Q12621">
        <v>0</v>
      </c>
      <c r="R12621" t="s">
        <v>47440</v>
      </c>
      <c r="S12621" t="s">
        <v>47963</v>
      </c>
      <c r="T12621" t="s">
        <v>49080</v>
      </c>
      <c r="U12621" t="s">
        <v>60008</v>
      </c>
      <c r="W12621" t="s">
        <v>43030</v>
      </c>
      <c r="X12621" t="s">
        <v>47443</v>
      </c>
    </row>
    <row r="12622" spans="1:24">
      <c r="A12622">
        <f>HYPERLINK("https://www.philgeps.gov.ph/GEPSNONPILOT/Tender/SplashBidNoticeAbstractUI.aspx?menuIndex=3&amp;refID=7135631&amp;Result=3","7135631")</f>
        <v>0</v>
      </c>
      <c r="B12622" t="s">
        <v>33</v>
      </c>
      <c r="C12622" t="s">
        <v>15801</v>
      </c>
      <c r="D12622" t="s">
        <v>19024</v>
      </c>
      <c r="E12622" t="s">
        <v>29913</v>
      </c>
      <c r="F12622" t="s">
        <v>32831</v>
      </c>
      <c r="G12622" t="s">
        <v>32839</v>
      </c>
      <c r="H12622" t="s">
        <v>32848</v>
      </c>
      <c r="I12622" t="s">
        <v>6526</v>
      </c>
      <c r="J12622" t="s">
        <v>40708</v>
      </c>
      <c r="K12622" t="s">
        <v>42730</v>
      </c>
      <c r="M12622" t="s">
        <v>43030</v>
      </c>
      <c r="N12622" t="s">
        <v>47424</v>
      </c>
      <c r="O12622" t="s">
        <v>47425</v>
      </c>
      <c r="P12622">
        <v>0</v>
      </c>
      <c r="Q12622">
        <v>0</v>
      </c>
      <c r="R12622" t="s">
        <v>47440</v>
      </c>
      <c r="S12622" t="s">
        <v>47963</v>
      </c>
      <c r="T12622" t="s">
        <v>49080</v>
      </c>
      <c r="U12622" t="s">
        <v>60024</v>
      </c>
      <c r="W12622" t="s">
        <v>43030</v>
      </c>
      <c r="X12622" t="s">
        <v>47443</v>
      </c>
    </row>
    <row r="12623" spans="1:24">
      <c r="A12623">
        <f>HYPERLINK("https://www.philgeps.gov.ph/GEPSNONPILOT/Tender/SplashBidNoticeAbstractUI.aspx?menuIndex=3&amp;refID=7135626&amp;Result=3","7135626")</f>
        <v>0</v>
      </c>
      <c r="B12623" t="s">
        <v>33</v>
      </c>
      <c r="C12623" t="s">
        <v>15802</v>
      </c>
      <c r="D12623" t="s">
        <v>19024</v>
      </c>
      <c r="E12623" t="s">
        <v>29914</v>
      </c>
      <c r="F12623" t="s">
        <v>32831</v>
      </c>
      <c r="G12623" t="s">
        <v>32839</v>
      </c>
      <c r="H12623" t="s">
        <v>32848</v>
      </c>
      <c r="I12623" t="s">
        <v>32870</v>
      </c>
      <c r="J12623" t="s">
        <v>40709</v>
      </c>
      <c r="K12623" t="s">
        <v>42730</v>
      </c>
      <c r="M12623" t="s">
        <v>43030</v>
      </c>
      <c r="N12623" t="s">
        <v>47424</v>
      </c>
      <c r="O12623" t="s">
        <v>47425</v>
      </c>
      <c r="P12623">
        <v>0</v>
      </c>
      <c r="Q12623">
        <v>0</v>
      </c>
      <c r="R12623" t="s">
        <v>47440</v>
      </c>
      <c r="S12623" t="s">
        <v>47963</v>
      </c>
      <c r="T12623" t="s">
        <v>49080</v>
      </c>
      <c r="U12623" t="s">
        <v>60025</v>
      </c>
      <c r="W12623" t="s">
        <v>43030</v>
      </c>
      <c r="X12623" t="s">
        <v>47443</v>
      </c>
    </row>
    <row r="12624" spans="1:24">
      <c r="A12624">
        <f>HYPERLINK("https://www.philgeps.gov.ph/GEPSNONPILOT/Tender/SplashBidNoticeAbstractUI.aspx?menuIndex=3&amp;refID=7135841&amp;Result=3","7135841")</f>
        <v>0</v>
      </c>
      <c r="B12624" t="s">
        <v>1612</v>
      </c>
      <c r="C12624" t="s">
        <v>15803</v>
      </c>
      <c r="D12624" t="s">
        <v>19049</v>
      </c>
      <c r="E12624" t="s">
        <v>29915</v>
      </c>
      <c r="F12624" t="s">
        <v>32831</v>
      </c>
      <c r="G12624" t="s">
        <v>32839</v>
      </c>
      <c r="H12624" t="s">
        <v>32848</v>
      </c>
      <c r="I12624" t="s">
        <v>32857</v>
      </c>
      <c r="J12624" t="s">
        <v>40710</v>
      </c>
      <c r="K12624" t="s">
        <v>42727</v>
      </c>
      <c r="M12624" t="s">
        <v>44728</v>
      </c>
      <c r="N12624" t="s">
        <v>47424</v>
      </c>
      <c r="O12624" t="s">
        <v>47425</v>
      </c>
      <c r="Q12624">
        <v>1</v>
      </c>
      <c r="R12624" t="s">
        <v>47440</v>
      </c>
      <c r="S12624" t="s">
        <v>47974</v>
      </c>
      <c r="T12624" t="s">
        <v>49171</v>
      </c>
      <c r="U12624" t="s">
        <v>60026</v>
      </c>
      <c r="V12624" t="s">
        <v>64031</v>
      </c>
      <c r="W12624" t="s">
        <v>44728</v>
      </c>
      <c r="X12624" t="s">
        <v>47442</v>
      </c>
    </row>
    <row r="12625" spans="1:24">
      <c r="A12625">
        <f>HYPERLINK("https://www.philgeps.gov.ph/GEPSNONPILOT/Tender/SplashBidNoticeAbstractUI.aspx?menuIndex=3&amp;refID=7135623&amp;Result=3","7135623")</f>
        <v>0</v>
      </c>
      <c r="B12625" t="s">
        <v>33</v>
      </c>
      <c r="C12625" t="s">
        <v>15804</v>
      </c>
      <c r="D12625" t="s">
        <v>19024</v>
      </c>
      <c r="E12625" t="s">
        <v>29916</v>
      </c>
      <c r="F12625" t="s">
        <v>32831</v>
      </c>
      <c r="G12625" t="s">
        <v>32839</v>
      </c>
      <c r="H12625" t="s">
        <v>32848</v>
      </c>
      <c r="I12625" t="s">
        <v>7751</v>
      </c>
      <c r="J12625" t="s">
        <v>40711</v>
      </c>
      <c r="K12625" t="s">
        <v>42730</v>
      </c>
      <c r="M12625" t="s">
        <v>43030</v>
      </c>
      <c r="N12625" t="s">
        <v>47424</v>
      </c>
      <c r="O12625" t="s">
        <v>47425</v>
      </c>
      <c r="P12625">
        <v>0</v>
      </c>
      <c r="Q12625">
        <v>0</v>
      </c>
      <c r="R12625" t="s">
        <v>47440</v>
      </c>
      <c r="S12625" t="s">
        <v>47963</v>
      </c>
      <c r="T12625" t="s">
        <v>49080</v>
      </c>
      <c r="U12625" t="s">
        <v>60027</v>
      </c>
      <c r="W12625" t="s">
        <v>43030</v>
      </c>
      <c r="X12625" t="s">
        <v>47443</v>
      </c>
    </row>
    <row r="12626" spans="1:24">
      <c r="A12626">
        <f>HYPERLINK("https://www.philgeps.gov.ph/GEPSNONPILOT/Tender/SplashBidNoticeAbstractUI.aspx?menuIndex=3&amp;refID=7135844&amp;Result=3","7135844")</f>
        <v>0</v>
      </c>
      <c r="B12626" t="s">
        <v>1612</v>
      </c>
      <c r="C12626" t="s">
        <v>15805</v>
      </c>
      <c r="D12626" t="s">
        <v>19049</v>
      </c>
      <c r="E12626" t="s">
        <v>29917</v>
      </c>
      <c r="F12626" t="s">
        <v>32831</v>
      </c>
      <c r="G12626" t="s">
        <v>32839</v>
      </c>
      <c r="H12626" t="s">
        <v>32848</v>
      </c>
      <c r="I12626" t="s">
        <v>4438</v>
      </c>
      <c r="J12626" t="s">
        <v>32985</v>
      </c>
      <c r="K12626" t="s">
        <v>42727</v>
      </c>
      <c r="M12626" t="s">
        <v>44728</v>
      </c>
      <c r="N12626" t="s">
        <v>47424</v>
      </c>
      <c r="O12626" t="s">
        <v>47425</v>
      </c>
      <c r="Q12626">
        <v>4</v>
      </c>
      <c r="R12626" t="s">
        <v>47440</v>
      </c>
      <c r="S12626" t="s">
        <v>47975</v>
      </c>
      <c r="T12626" t="s">
        <v>49171</v>
      </c>
      <c r="U12626" t="s">
        <v>60028</v>
      </c>
      <c r="V12626" t="s">
        <v>64032</v>
      </c>
      <c r="W12626" t="s">
        <v>44728</v>
      </c>
      <c r="X12626" t="s">
        <v>47442</v>
      </c>
    </row>
    <row r="12627" spans="1:24">
      <c r="A12627">
        <f>HYPERLINK("https://www.philgeps.gov.ph/GEPSNONPILOT/Tender/SplashBidNoticeAbstractUI.aspx?menuIndex=3&amp;refID=7135617&amp;Result=3","7135617")</f>
        <v>0</v>
      </c>
      <c r="B12627" t="s">
        <v>33</v>
      </c>
      <c r="C12627" t="s">
        <v>15806</v>
      </c>
      <c r="D12627" t="s">
        <v>19024</v>
      </c>
      <c r="E12627" t="s">
        <v>29918</v>
      </c>
      <c r="F12627" t="s">
        <v>32831</v>
      </c>
      <c r="G12627" t="s">
        <v>32839</v>
      </c>
      <c r="H12627" t="s">
        <v>32848</v>
      </c>
      <c r="I12627" t="s">
        <v>32870</v>
      </c>
      <c r="J12627" t="s">
        <v>33315</v>
      </c>
      <c r="K12627" t="s">
        <v>42730</v>
      </c>
      <c r="M12627" t="s">
        <v>43030</v>
      </c>
      <c r="N12627" t="s">
        <v>47424</v>
      </c>
      <c r="O12627" t="s">
        <v>47425</v>
      </c>
      <c r="P12627">
        <v>0</v>
      </c>
      <c r="Q12627">
        <v>0</v>
      </c>
      <c r="R12627" t="s">
        <v>47440</v>
      </c>
      <c r="S12627" t="s">
        <v>47963</v>
      </c>
      <c r="T12627" t="s">
        <v>49080</v>
      </c>
      <c r="U12627" t="s">
        <v>60029</v>
      </c>
      <c r="W12627" t="s">
        <v>43030</v>
      </c>
      <c r="X12627" t="s">
        <v>47443</v>
      </c>
    </row>
    <row r="12628" spans="1:24">
      <c r="A12628">
        <f>HYPERLINK("https://www.philgeps.gov.ph/GEPSNONPILOT/Tender/SplashBidNoticeAbstractUI.aspx?menuIndex=3&amp;refID=7135613&amp;Result=3","7135613")</f>
        <v>0</v>
      </c>
      <c r="B12628" t="s">
        <v>33</v>
      </c>
      <c r="C12628" t="s">
        <v>15807</v>
      </c>
      <c r="D12628" t="s">
        <v>19024</v>
      </c>
      <c r="E12628" t="s">
        <v>29919</v>
      </c>
      <c r="F12628" t="s">
        <v>32831</v>
      </c>
      <c r="G12628" t="s">
        <v>32839</v>
      </c>
      <c r="H12628" t="s">
        <v>32848</v>
      </c>
      <c r="I12628" t="s">
        <v>9577</v>
      </c>
      <c r="J12628" t="s">
        <v>40712</v>
      </c>
      <c r="K12628" t="s">
        <v>42730</v>
      </c>
      <c r="M12628" t="s">
        <v>43030</v>
      </c>
      <c r="N12628" t="s">
        <v>47424</v>
      </c>
      <c r="O12628" t="s">
        <v>47425</v>
      </c>
      <c r="P12628">
        <v>0</v>
      </c>
      <c r="Q12628">
        <v>3</v>
      </c>
      <c r="R12628" t="s">
        <v>47440</v>
      </c>
      <c r="S12628" t="s">
        <v>47963</v>
      </c>
      <c r="T12628" t="s">
        <v>49080</v>
      </c>
      <c r="U12628" t="s">
        <v>60030</v>
      </c>
      <c r="W12628" t="s">
        <v>43030</v>
      </c>
      <c r="X12628" t="s">
        <v>47443</v>
      </c>
    </row>
    <row r="12629" spans="1:24">
      <c r="A12629">
        <f>HYPERLINK("https://www.philgeps.gov.ph/GEPSNONPILOT/Tender/SplashBidNoticeAbstractUI.aspx?menuIndex=3&amp;refID=7135995&amp;Result=3","7135995")</f>
        <v>0</v>
      </c>
      <c r="B12629" t="s">
        <v>33</v>
      </c>
      <c r="C12629" t="s">
        <v>15808</v>
      </c>
      <c r="D12629" t="s">
        <v>19024</v>
      </c>
      <c r="E12629" t="s">
        <v>29920</v>
      </c>
      <c r="F12629" t="s">
        <v>32831</v>
      </c>
      <c r="G12629" t="s">
        <v>32839</v>
      </c>
      <c r="H12629" t="s">
        <v>32849</v>
      </c>
      <c r="I12629" t="s">
        <v>4177</v>
      </c>
      <c r="J12629" t="s">
        <v>40713</v>
      </c>
      <c r="K12629" t="s">
        <v>42770</v>
      </c>
      <c r="M12629" t="s">
        <v>43030</v>
      </c>
      <c r="N12629" t="s">
        <v>47424</v>
      </c>
      <c r="O12629" t="s">
        <v>47425</v>
      </c>
      <c r="P12629">
        <v>0</v>
      </c>
      <c r="Q12629">
        <v>0</v>
      </c>
      <c r="R12629" t="s">
        <v>47440</v>
      </c>
      <c r="S12629" t="s">
        <v>47963</v>
      </c>
      <c r="T12629" t="s">
        <v>49080</v>
      </c>
      <c r="U12629" t="s">
        <v>60031</v>
      </c>
      <c r="W12629" t="s">
        <v>43030</v>
      </c>
      <c r="X12629" t="s">
        <v>47442</v>
      </c>
    </row>
    <row r="12630" spans="1:24">
      <c r="A12630">
        <f>HYPERLINK("https://www.philgeps.gov.ph/GEPSNONPILOT/Tender/SplashBidNoticeAbstractUI.aspx?menuIndex=3&amp;refID=7136157&amp;Result=3","7136157")</f>
        <v>0</v>
      </c>
      <c r="B12630" t="s">
        <v>2435</v>
      </c>
      <c r="C12630" t="s">
        <v>15809</v>
      </c>
      <c r="D12630" t="s">
        <v>19083</v>
      </c>
      <c r="E12630" t="s">
        <v>29921</v>
      </c>
      <c r="F12630" t="s">
        <v>32831</v>
      </c>
      <c r="G12630" t="s">
        <v>32839</v>
      </c>
      <c r="H12630" t="s">
        <v>32849</v>
      </c>
      <c r="I12630" t="s">
        <v>4177</v>
      </c>
      <c r="J12630" t="s">
        <v>40714</v>
      </c>
      <c r="K12630" t="s">
        <v>42770</v>
      </c>
      <c r="M12630" t="s">
        <v>45632</v>
      </c>
      <c r="N12630" t="s">
        <v>47424</v>
      </c>
      <c r="O12630" t="s">
        <v>47425</v>
      </c>
      <c r="P12630">
        <v>0</v>
      </c>
      <c r="Q12630">
        <v>0</v>
      </c>
      <c r="R12630" t="s">
        <v>47440</v>
      </c>
      <c r="S12630" t="s">
        <v>47963</v>
      </c>
      <c r="T12630" t="s">
        <v>49066</v>
      </c>
      <c r="U12630" t="s">
        <v>60032</v>
      </c>
      <c r="W12630" t="s">
        <v>45632</v>
      </c>
      <c r="X12630" t="s">
        <v>47441</v>
      </c>
    </row>
    <row r="12631" spans="1:24">
      <c r="A12631">
        <f>HYPERLINK("https://www.philgeps.gov.ph/GEPSNONPILOT/Tender/SplashBidNoticeAbstractUI.aspx?menuIndex=3&amp;refID=7136143&amp;Result=3","7136143")</f>
        <v>0</v>
      </c>
      <c r="B12631" t="s">
        <v>1661</v>
      </c>
      <c r="C12631" t="s">
        <v>15810</v>
      </c>
      <c r="D12631" t="s">
        <v>19063</v>
      </c>
      <c r="E12631" t="s">
        <v>29922</v>
      </c>
      <c r="F12631" t="s">
        <v>32831</v>
      </c>
      <c r="G12631" t="s">
        <v>32839</v>
      </c>
      <c r="H12631" t="s">
        <v>32848</v>
      </c>
      <c r="I12631" t="s">
        <v>4438</v>
      </c>
      <c r="J12631" t="s">
        <v>40715</v>
      </c>
      <c r="K12631" t="s">
        <v>42729</v>
      </c>
      <c r="M12631" t="s">
        <v>44778</v>
      </c>
      <c r="N12631" t="s">
        <v>47424</v>
      </c>
      <c r="O12631" t="s">
        <v>47425</v>
      </c>
      <c r="P12631">
        <v>0</v>
      </c>
      <c r="Q12631">
        <v>4</v>
      </c>
      <c r="R12631" t="s">
        <v>47440</v>
      </c>
      <c r="S12631" t="s">
        <v>47963</v>
      </c>
      <c r="T12631" t="s">
        <v>49073</v>
      </c>
      <c r="U12631" t="s">
        <v>60033</v>
      </c>
      <c r="W12631" t="s">
        <v>44778</v>
      </c>
      <c r="X12631" t="s">
        <v>47441</v>
      </c>
    </row>
    <row r="12632" spans="1:24">
      <c r="A12632">
        <f>HYPERLINK("https://www.philgeps.gov.ph/GEPSNONPILOT/Tender/SplashBidNoticeAbstractUI.aspx?menuIndex=3&amp;refID=7135823&amp;Result=3","7135823")</f>
        <v>0</v>
      </c>
      <c r="B12632" t="s">
        <v>1612</v>
      </c>
      <c r="C12632" t="s">
        <v>15811</v>
      </c>
      <c r="D12632" t="s">
        <v>19049</v>
      </c>
      <c r="E12632" t="s">
        <v>29923</v>
      </c>
      <c r="F12632" t="s">
        <v>32831</v>
      </c>
      <c r="G12632" t="s">
        <v>32839</v>
      </c>
      <c r="H12632" t="s">
        <v>32848</v>
      </c>
      <c r="I12632" t="s">
        <v>32868</v>
      </c>
      <c r="J12632" t="s">
        <v>33257</v>
      </c>
      <c r="K12632" t="s">
        <v>42727</v>
      </c>
      <c r="M12632" t="s">
        <v>44728</v>
      </c>
      <c r="N12632" t="s">
        <v>47424</v>
      </c>
      <c r="O12632" t="s">
        <v>47425</v>
      </c>
      <c r="Q12632">
        <v>5</v>
      </c>
      <c r="R12632" t="s">
        <v>47440</v>
      </c>
      <c r="S12632" t="s">
        <v>47976</v>
      </c>
      <c r="T12632" t="s">
        <v>49171</v>
      </c>
      <c r="U12632" t="s">
        <v>60034</v>
      </c>
      <c r="V12632" t="s">
        <v>64033</v>
      </c>
      <c r="W12632" t="s">
        <v>44728</v>
      </c>
      <c r="X12632" t="s">
        <v>47442</v>
      </c>
    </row>
    <row r="12633" spans="1:24">
      <c r="A12633">
        <f>HYPERLINK("https://www.philgeps.gov.ph/GEPSNONPILOT/Tender/SplashBidNoticeAbstractUI.aspx?menuIndex=3&amp;refID=7136141&amp;Result=3","7136141")</f>
        <v>0</v>
      </c>
      <c r="B12633" t="s">
        <v>33</v>
      </c>
      <c r="C12633" t="s">
        <v>15812</v>
      </c>
      <c r="D12633" t="s">
        <v>19024</v>
      </c>
      <c r="E12633" t="s">
        <v>29924</v>
      </c>
      <c r="F12633" t="s">
        <v>32831</v>
      </c>
      <c r="G12633" t="s">
        <v>32839</v>
      </c>
      <c r="H12633" t="s">
        <v>32848</v>
      </c>
      <c r="I12633" t="s">
        <v>4776</v>
      </c>
      <c r="J12633" t="s">
        <v>40716</v>
      </c>
      <c r="K12633" t="s">
        <v>42730</v>
      </c>
      <c r="M12633" t="s">
        <v>43030</v>
      </c>
      <c r="N12633" t="s">
        <v>47424</v>
      </c>
      <c r="O12633" t="s">
        <v>47425</v>
      </c>
      <c r="P12633">
        <v>0</v>
      </c>
      <c r="Q12633">
        <v>4</v>
      </c>
      <c r="R12633" t="s">
        <v>47440</v>
      </c>
      <c r="S12633" t="s">
        <v>47963</v>
      </c>
      <c r="T12633" t="s">
        <v>49080</v>
      </c>
      <c r="U12633" t="s">
        <v>60035</v>
      </c>
      <c r="W12633" t="s">
        <v>43030</v>
      </c>
      <c r="X12633" t="s">
        <v>47441</v>
      </c>
    </row>
    <row r="12634" spans="1:24">
      <c r="A12634">
        <f>HYPERLINK("https://www.philgeps.gov.ph/GEPSNONPILOT/Tender/SplashBidNoticeAbstractUI.aspx?menuIndex=3&amp;refID=7136123&amp;Result=3","7136123")</f>
        <v>0</v>
      </c>
      <c r="B12634" t="s">
        <v>33</v>
      </c>
      <c r="C12634" t="s">
        <v>15813</v>
      </c>
      <c r="D12634" t="s">
        <v>19024</v>
      </c>
      <c r="E12634" t="s">
        <v>29925</v>
      </c>
      <c r="F12634" t="s">
        <v>32831</v>
      </c>
      <c r="G12634" t="s">
        <v>32839</v>
      </c>
      <c r="H12634" t="s">
        <v>32848</v>
      </c>
      <c r="I12634" t="s">
        <v>7751</v>
      </c>
      <c r="J12634" t="s">
        <v>33108</v>
      </c>
      <c r="K12634" t="s">
        <v>42730</v>
      </c>
      <c r="M12634" t="s">
        <v>43030</v>
      </c>
      <c r="N12634" t="s">
        <v>47424</v>
      </c>
      <c r="O12634" t="s">
        <v>47425</v>
      </c>
      <c r="Q12634">
        <v>4</v>
      </c>
      <c r="R12634" t="s">
        <v>47440</v>
      </c>
      <c r="S12634" t="s">
        <v>47977</v>
      </c>
      <c r="T12634" t="s">
        <v>49080</v>
      </c>
      <c r="U12634" t="s">
        <v>60036</v>
      </c>
      <c r="W12634" t="s">
        <v>43030</v>
      </c>
      <c r="X12634" t="s">
        <v>47441</v>
      </c>
    </row>
    <row r="12635" spans="1:24">
      <c r="A12635">
        <f>HYPERLINK("https://www.philgeps.gov.ph/GEPSNONPILOT/Tender/SplashBidNoticeAbstractUI.aspx?menuIndex=3&amp;refID=7136139&amp;Result=3","7136139")</f>
        <v>0</v>
      </c>
      <c r="B12635" t="s">
        <v>3595</v>
      </c>
      <c r="C12635" t="s">
        <v>15814</v>
      </c>
      <c r="D12635" t="s">
        <v>19064</v>
      </c>
      <c r="E12635" t="s">
        <v>29926</v>
      </c>
      <c r="F12635" t="s">
        <v>32831</v>
      </c>
      <c r="G12635" t="s">
        <v>32839</v>
      </c>
      <c r="H12635" t="s">
        <v>14069</v>
      </c>
      <c r="I12635" t="s">
        <v>14069</v>
      </c>
      <c r="J12635" t="s">
        <v>33279</v>
      </c>
      <c r="K12635" t="s">
        <v>42727</v>
      </c>
      <c r="M12635" t="s">
        <v>46959</v>
      </c>
      <c r="N12635" t="s">
        <v>47424</v>
      </c>
      <c r="O12635" t="s">
        <v>47425</v>
      </c>
      <c r="P12635">
        <v>0</v>
      </c>
      <c r="Q12635">
        <v>0</v>
      </c>
      <c r="R12635" t="s">
        <v>47440</v>
      </c>
      <c r="S12635" t="s">
        <v>47963</v>
      </c>
      <c r="T12635" t="s">
        <v>49106</v>
      </c>
      <c r="U12635" t="s">
        <v>60037</v>
      </c>
      <c r="W12635" t="s">
        <v>46959</v>
      </c>
      <c r="X12635" t="s">
        <v>47441</v>
      </c>
    </row>
    <row r="12636" spans="1:24">
      <c r="A12636">
        <f>HYPERLINK("https://www.philgeps.gov.ph/GEPSNONPILOT/Tender/SplashBidNoticeAbstractUI.aspx?menuIndex=3&amp;refID=7136117&amp;Result=3","7136117")</f>
        <v>0</v>
      </c>
      <c r="B12636" t="s">
        <v>2619</v>
      </c>
      <c r="C12636" t="s">
        <v>15815</v>
      </c>
      <c r="D12636" t="s">
        <v>19019</v>
      </c>
      <c r="E12636" t="s">
        <v>29927</v>
      </c>
      <c r="F12636" t="s">
        <v>32831</v>
      </c>
      <c r="G12636" t="s">
        <v>32839</v>
      </c>
      <c r="H12636" t="s">
        <v>32849</v>
      </c>
      <c r="I12636" t="s">
        <v>4177</v>
      </c>
      <c r="J12636" t="s">
        <v>40717</v>
      </c>
      <c r="K12636" t="s">
        <v>42862</v>
      </c>
      <c r="M12636" t="s">
        <v>45838</v>
      </c>
      <c r="N12636" t="s">
        <v>47424</v>
      </c>
      <c r="O12636" t="s">
        <v>47425</v>
      </c>
      <c r="Q12636">
        <v>10</v>
      </c>
      <c r="R12636" t="s">
        <v>47440</v>
      </c>
      <c r="S12636" t="s">
        <v>47978</v>
      </c>
      <c r="T12636" t="s">
        <v>49196</v>
      </c>
      <c r="U12636" t="s">
        <v>60038</v>
      </c>
      <c r="W12636" t="s">
        <v>45838</v>
      </c>
      <c r="X12636" t="s">
        <v>47441</v>
      </c>
    </row>
    <row r="12637" spans="1:24">
      <c r="A12637">
        <f>HYPERLINK("https://www.philgeps.gov.ph/GEPSNONPILOT/Tender/SplashBidNoticeAbstractUI.aspx?menuIndex=3&amp;refID=7136150&amp;Result=3","7136150")</f>
        <v>0</v>
      </c>
      <c r="B12637" t="s">
        <v>33</v>
      </c>
      <c r="C12637" t="s">
        <v>15816</v>
      </c>
      <c r="D12637" t="s">
        <v>19024</v>
      </c>
      <c r="E12637" t="s">
        <v>29924</v>
      </c>
      <c r="F12637" t="s">
        <v>32831</v>
      </c>
      <c r="G12637" t="s">
        <v>32839</v>
      </c>
      <c r="H12637" t="s">
        <v>32848</v>
      </c>
      <c r="I12637" t="s">
        <v>4487</v>
      </c>
      <c r="J12637" t="s">
        <v>40156</v>
      </c>
      <c r="K12637" t="s">
        <v>42729</v>
      </c>
      <c r="M12637" t="s">
        <v>43030</v>
      </c>
      <c r="N12637" t="s">
        <v>47424</v>
      </c>
      <c r="O12637" t="s">
        <v>47425</v>
      </c>
      <c r="P12637">
        <v>0</v>
      </c>
      <c r="Q12637">
        <v>2</v>
      </c>
      <c r="R12637" t="s">
        <v>47440</v>
      </c>
      <c r="S12637" t="s">
        <v>47963</v>
      </c>
      <c r="T12637" t="s">
        <v>49080</v>
      </c>
      <c r="U12637" t="s">
        <v>60035</v>
      </c>
      <c r="W12637" t="s">
        <v>43030</v>
      </c>
      <c r="X12637" t="s">
        <v>47441</v>
      </c>
    </row>
    <row r="12638" spans="1:24">
      <c r="A12638">
        <f>HYPERLINK("https://www.philgeps.gov.ph/GEPSNONPILOT/Tender/SplashBidNoticeAbstractUI.aspx?menuIndex=3&amp;refID=7136113&amp;Result=3","7136113")</f>
        <v>0</v>
      </c>
      <c r="B12638" t="s">
        <v>2619</v>
      </c>
      <c r="C12638" t="s">
        <v>15817</v>
      </c>
      <c r="D12638" t="s">
        <v>19019</v>
      </c>
      <c r="E12638" t="s">
        <v>29928</v>
      </c>
      <c r="F12638" t="s">
        <v>32831</v>
      </c>
      <c r="G12638" t="s">
        <v>32839</v>
      </c>
      <c r="H12638" t="s">
        <v>32849</v>
      </c>
      <c r="I12638" t="s">
        <v>4177</v>
      </c>
      <c r="J12638" t="s">
        <v>39982</v>
      </c>
      <c r="K12638" t="s">
        <v>42862</v>
      </c>
      <c r="M12638" t="s">
        <v>45838</v>
      </c>
      <c r="N12638" t="s">
        <v>47424</v>
      </c>
      <c r="O12638" t="s">
        <v>47425</v>
      </c>
      <c r="Q12638">
        <v>14</v>
      </c>
      <c r="R12638" t="s">
        <v>47440</v>
      </c>
      <c r="S12638" t="s">
        <v>47735</v>
      </c>
      <c r="T12638" t="s">
        <v>49196</v>
      </c>
      <c r="U12638" t="s">
        <v>60039</v>
      </c>
      <c r="W12638" t="s">
        <v>45838</v>
      </c>
      <c r="X12638" t="s">
        <v>47441</v>
      </c>
    </row>
    <row r="12639" spans="1:24">
      <c r="A12639">
        <f>HYPERLINK("https://www.philgeps.gov.ph/GEPSNONPILOT/Tender/SplashBidNoticeAbstractUI.aspx?menuIndex=3&amp;refID=7136108&amp;Result=3","7136108")</f>
        <v>0</v>
      </c>
      <c r="B12639" t="s">
        <v>3596</v>
      </c>
      <c r="C12639" t="s">
        <v>15818</v>
      </c>
      <c r="D12639" t="s">
        <v>19064</v>
      </c>
      <c r="E12639" t="s">
        <v>29929</v>
      </c>
      <c r="F12639" t="s">
        <v>32834</v>
      </c>
      <c r="G12639" t="s">
        <v>32839</v>
      </c>
      <c r="H12639" t="s">
        <v>32849</v>
      </c>
      <c r="I12639" t="s">
        <v>4177</v>
      </c>
      <c r="J12639" t="s">
        <v>35553</v>
      </c>
      <c r="K12639" t="s">
        <v>42764</v>
      </c>
      <c r="M12639" t="s">
        <v>46960</v>
      </c>
      <c r="N12639" t="s">
        <v>47424</v>
      </c>
      <c r="O12639" t="s">
        <v>47425</v>
      </c>
      <c r="P12639">
        <v>0</v>
      </c>
      <c r="Q12639">
        <v>6</v>
      </c>
      <c r="R12639" t="s">
        <v>47440</v>
      </c>
      <c r="S12639" t="s">
        <v>47963</v>
      </c>
      <c r="T12639" t="s">
        <v>49159</v>
      </c>
      <c r="U12639" t="s">
        <v>60040</v>
      </c>
      <c r="W12639" t="s">
        <v>46960</v>
      </c>
      <c r="X12639" t="s">
        <v>47441</v>
      </c>
    </row>
    <row r="12640" spans="1:24">
      <c r="A12640">
        <f>HYPERLINK("https://www.philgeps.gov.ph/GEPSNONPILOT/Tender/SplashBidNoticeAbstractUI.aspx?menuIndex=3&amp;refID=7136105&amp;Result=3","7136105")</f>
        <v>0</v>
      </c>
      <c r="B12640" t="s">
        <v>33</v>
      </c>
      <c r="C12640" t="s">
        <v>15819</v>
      </c>
      <c r="D12640" t="s">
        <v>19024</v>
      </c>
      <c r="E12640" t="s">
        <v>29930</v>
      </c>
      <c r="F12640" t="s">
        <v>32831</v>
      </c>
      <c r="G12640" t="s">
        <v>32839</v>
      </c>
      <c r="H12640" t="s">
        <v>14069</v>
      </c>
      <c r="I12640" t="s">
        <v>14069</v>
      </c>
      <c r="J12640" t="s">
        <v>40008</v>
      </c>
      <c r="K12640" t="s">
        <v>42730</v>
      </c>
      <c r="M12640" t="s">
        <v>43030</v>
      </c>
      <c r="N12640" t="s">
        <v>47424</v>
      </c>
      <c r="O12640" t="s">
        <v>47425</v>
      </c>
      <c r="P12640">
        <v>0</v>
      </c>
      <c r="Q12640">
        <v>5</v>
      </c>
      <c r="R12640" t="s">
        <v>47440</v>
      </c>
      <c r="S12640" t="s">
        <v>47963</v>
      </c>
      <c r="T12640" t="s">
        <v>49080</v>
      </c>
      <c r="U12640" t="s">
        <v>60041</v>
      </c>
      <c r="W12640" t="s">
        <v>43030</v>
      </c>
      <c r="X12640" t="s">
        <v>47441</v>
      </c>
    </row>
    <row r="12641" spans="1:24">
      <c r="A12641">
        <f>HYPERLINK("https://www.philgeps.gov.ph/GEPSNONPILOT/Tender/SplashBidNoticeAbstractUI.aspx?menuIndex=3&amp;refID=7136097&amp;Result=3","7136097")</f>
        <v>0</v>
      </c>
      <c r="B12641" t="s">
        <v>3597</v>
      </c>
      <c r="C12641" t="s">
        <v>15820</v>
      </c>
      <c r="D12641" t="s">
        <v>19017</v>
      </c>
      <c r="E12641" t="s">
        <v>29931</v>
      </c>
      <c r="F12641" t="s">
        <v>32831</v>
      </c>
      <c r="G12641" t="s">
        <v>32839</v>
      </c>
      <c r="H12641" t="s">
        <v>32848</v>
      </c>
      <c r="I12641" t="s">
        <v>10805</v>
      </c>
      <c r="J12641" t="s">
        <v>36189</v>
      </c>
      <c r="K12641" t="s">
        <v>42730</v>
      </c>
      <c r="M12641" t="s">
        <v>46961</v>
      </c>
      <c r="N12641" t="s">
        <v>47424</v>
      </c>
      <c r="O12641" t="s">
        <v>47425</v>
      </c>
      <c r="Q12641">
        <v>8</v>
      </c>
      <c r="R12641" t="s">
        <v>47440</v>
      </c>
      <c r="S12641" t="s">
        <v>47979</v>
      </c>
      <c r="T12641" t="s">
        <v>49221</v>
      </c>
      <c r="U12641" t="s">
        <v>60042</v>
      </c>
      <c r="W12641" t="s">
        <v>46961</v>
      </c>
      <c r="X12641" t="s">
        <v>47441</v>
      </c>
    </row>
    <row r="12642" spans="1:24">
      <c r="A12642">
        <f>HYPERLINK("https://www.philgeps.gov.ph/GEPSNONPILOT/Tender/SplashBidNoticeAbstractUI.aspx?menuIndex=3&amp;refID=7136119&amp;Result=3","7136119")</f>
        <v>0</v>
      </c>
      <c r="B12642" t="s">
        <v>1177</v>
      </c>
      <c r="C12642" t="s">
        <v>15821</v>
      </c>
      <c r="E12642" t="s">
        <v>20141</v>
      </c>
      <c r="F12642" t="s">
        <v>32831</v>
      </c>
      <c r="G12642" t="s">
        <v>32839</v>
      </c>
      <c r="H12642" t="s">
        <v>32849</v>
      </c>
      <c r="I12642" t="s">
        <v>4177</v>
      </c>
      <c r="J12642" t="s">
        <v>40146</v>
      </c>
      <c r="K12642" t="s">
        <v>42885</v>
      </c>
      <c r="M12642" t="s">
        <v>44243</v>
      </c>
      <c r="N12642" t="s">
        <v>47424</v>
      </c>
      <c r="O12642" t="s">
        <v>47425</v>
      </c>
      <c r="P12642">
        <v>0</v>
      </c>
      <c r="Q12642">
        <v>26</v>
      </c>
      <c r="R12642" t="s">
        <v>47440</v>
      </c>
      <c r="S12642" t="s">
        <v>47963</v>
      </c>
      <c r="T12642" t="s">
        <v>49073</v>
      </c>
      <c r="U12642" t="s">
        <v>60043</v>
      </c>
      <c r="W12642" t="s">
        <v>44243</v>
      </c>
      <c r="X12642" t="s">
        <v>47441</v>
      </c>
    </row>
    <row r="12643" spans="1:24">
      <c r="A12643">
        <f>HYPERLINK("https://www.philgeps.gov.ph/GEPSNONPILOT/Tender/SplashBidNoticeAbstractUI.aspx?menuIndex=3&amp;refID=7136100&amp;Result=3","7136100")</f>
        <v>0</v>
      </c>
      <c r="B12643" t="s">
        <v>2619</v>
      </c>
      <c r="C12643" t="s">
        <v>15822</v>
      </c>
      <c r="D12643" t="s">
        <v>19019</v>
      </c>
      <c r="E12643" t="s">
        <v>29932</v>
      </c>
      <c r="F12643" t="s">
        <v>32831</v>
      </c>
      <c r="G12643" t="s">
        <v>32839</v>
      </c>
      <c r="H12643" t="s">
        <v>32849</v>
      </c>
      <c r="I12643" t="s">
        <v>4177</v>
      </c>
      <c r="J12643" t="s">
        <v>40718</v>
      </c>
      <c r="K12643" t="s">
        <v>42892</v>
      </c>
      <c r="M12643" t="s">
        <v>45838</v>
      </c>
      <c r="N12643" t="s">
        <v>47424</v>
      </c>
      <c r="O12643" t="s">
        <v>47425</v>
      </c>
      <c r="Q12643">
        <v>9</v>
      </c>
      <c r="R12643" t="s">
        <v>47440</v>
      </c>
      <c r="S12643" t="s">
        <v>47980</v>
      </c>
      <c r="T12643" t="s">
        <v>49196</v>
      </c>
      <c r="U12643" t="s">
        <v>60044</v>
      </c>
      <c r="W12643" t="s">
        <v>45838</v>
      </c>
      <c r="X12643" t="s">
        <v>47441</v>
      </c>
    </row>
    <row r="12644" spans="1:24">
      <c r="A12644">
        <f>HYPERLINK("https://www.philgeps.gov.ph/GEPSNONPILOT/Tender/SplashBidNoticeAbstractUI.aspx?menuIndex=3&amp;refID=7136089&amp;Result=3","7136089")</f>
        <v>0</v>
      </c>
      <c r="B12644" t="s">
        <v>3598</v>
      </c>
      <c r="C12644" t="s">
        <v>15823</v>
      </c>
      <c r="D12644" t="s">
        <v>19077</v>
      </c>
      <c r="E12644" t="s">
        <v>29933</v>
      </c>
      <c r="F12644" t="s">
        <v>32831</v>
      </c>
      <c r="G12644" t="s">
        <v>32839</v>
      </c>
      <c r="H12644" t="s">
        <v>32848</v>
      </c>
      <c r="I12644" t="s">
        <v>32870</v>
      </c>
      <c r="J12644" t="s">
        <v>40719</v>
      </c>
      <c r="K12644" t="s">
        <v>42731</v>
      </c>
      <c r="M12644" t="s">
        <v>46962</v>
      </c>
      <c r="N12644" t="s">
        <v>47424</v>
      </c>
      <c r="O12644" t="s">
        <v>47425</v>
      </c>
      <c r="P12644">
        <v>0</v>
      </c>
      <c r="Q12644">
        <v>0</v>
      </c>
      <c r="R12644" t="s">
        <v>47440</v>
      </c>
      <c r="S12644" t="s">
        <v>47963</v>
      </c>
      <c r="T12644" t="s">
        <v>49175</v>
      </c>
      <c r="U12644" t="s">
        <v>60045</v>
      </c>
      <c r="W12644" t="s">
        <v>46962</v>
      </c>
      <c r="X12644" t="s">
        <v>47441</v>
      </c>
    </row>
    <row r="12645" spans="1:24">
      <c r="A12645">
        <f>HYPERLINK("https://www.philgeps.gov.ph/GEPSNONPILOT/Tender/SplashBidNoticeAbstractUI.aspx?menuIndex=3&amp;refID=7136074&amp;Result=3","7136074")</f>
        <v>0</v>
      </c>
      <c r="B12645" t="s">
        <v>3599</v>
      </c>
      <c r="C12645" t="s">
        <v>15824</v>
      </c>
      <c r="E12645" t="s">
        <v>20384</v>
      </c>
      <c r="F12645" t="s">
        <v>32831</v>
      </c>
      <c r="G12645" t="s">
        <v>32839</v>
      </c>
      <c r="H12645" t="s">
        <v>32848</v>
      </c>
      <c r="I12645" t="s">
        <v>4177</v>
      </c>
      <c r="J12645" t="s">
        <v>40720</v>
      </c>
      <c r="K12645" t="s">
        <v>42732</v>
      </c>
      <c r="M12645" t="s">
        <v>46963</v>
      </c>
      <c r="N12645" t="s">
        <v>47424</v>
      </c>
      <c r="O12645" t="s">
        <v>47425</v>
      </c>
      <c r="P12645">
        <v>0</v>
      </c>
      <c r="Q12645">
        <v>1</v>
      </c>
      <c r="R12645" t="s">
        <v>47440</v>
      </c>
      <c r="S12645" t="s">
        <v>47963</v>
      </c>
      <c r="T12645" t="s">
        <v>49073</v>
      </c>
      <c r="U12645" t="s">
        <v>53690</v>
      </c>
      <c r="V12645" t="s">
        <v>64034</v>
      </c>
      <c r="W12645" t="s">
        <v>46963</v>
      </c>
      <c r="X12645" t="s">
        <v>47441</v>
      </c>
    </row>
    <row r="12646" spans="1:24">
      <c r="A12646">
        <f>HYPERLINK("https://www.philgeps.gov.ph/GEPSNONPILOT/Tender/SplashBidNoticeAbstractUI.aspx?menuIndex=3&amp;refID=7135528&amp;Result=3","7135528")</f>
        <v>0</v>
      </c>
      <c r="B12646" t="s">
        <v>1629</v>
      </c>
      <c r="C12646" t="s">
        <v>15825</v>
      </c>
      <c r="D12646" t="s">
        <v>19021</v>
      </c>
      <c r="E12646" t="s">
        <v>29934</v>
      </c>
      <c r="F12646" t="s">
        <v>32831</v>
      </c>
      <c r="G12646" t="s">
        <v>32839</v>
      </c>
      <c r="H12646" t="s">
        <v>32848</v>
      </c>
      <c r="I12646" t="s">
        <v>32871</v>
      </c>
      <c r="J12646" t="s">
        <v>40721</v>
      </c>
      <c r="K12646" t="s">
        <v>42732</v>
      </c>
      <c r="M12646" t="s">
        <v>44745</v>
      </c>
      <c r="N12646" t="s">
        <v>47424</v>
      </c>
      <c r="O12646" t="s">
        <v>47425</v>
      </c>
      <c r="Q12646">
        <v>38</v>
      </c>
      <c r="R12646" t="s">
        <v>47440</v>
      </c>
      <c r="S12646" t="s">
        <v>47936</v>
      </c>
      <c r="T12646" t="s">
        <v>49148</v>
      </c>
      <c r="U12646" t="s">
        <v>60046</v>
      </c>
      <c r="V12646" t="s">
        <v>64035</v>
      </c>
      <c r="W12646" t="s">
        <v>44745</v>
      </c>
      <c r="X12646" t="s">
        <v>47443</v>
      </c>
    </row>
    <row r="12647" spans="1:24">
      <c r="A12647">
        <f>HYPERLINK("https://www.philgeps.gov.ph/GEPSNONPILOT/Tender/SplashBidNoticeAbstractUI.aspx?menuIndex=3&amp;refID=7136049&amp;Result=3","7136049")</f>
        <v>0</v>
      </c>
      <c r="B12647" t="s">
        <v>3600</v>
      </c>
      <c r="C12647" t="s">
        <v>15826</v>
      </c>
      <c r="D12647" t="s">
        <v>19043</v>
      </c>
      <c r="E12647" t="s">
        <v>29935</v>
      </c>
      <c r="F12647" t="s">
        <v>32831</v>
      </c>
      <c r="G12647" t="s">
        <v>32839</v>
      </c>
      <c r="H12647" t="s">
        <v>32849</v>
      </c>
      <c r="I12647" t="s">
        <v>4177</v>
      </c>
      <c r="J12647" t="s">
        <v>40722</v>
      </c>
      <c r="K12647" t="s">
        <v>42780</v>
      </c>
      <c r="M12647" t="s">
        <v>46964</v>
      </c>
      <c r="N12647" t="s">
        <v>47424</v>
      </c>
      <c r="O12647" t="s">
        <v>47425</v>
      </c>
      <c r="Q12647">
        <v>5</v>
      </c>
      <c r="R12647" t="s">
        <v>47440</v>
      </c>
      <c r="S12647" t="s">
        <v>47981</v>
      </c>
      <c r="T12647" t="s">
        <v>49070</v>
      </c>
      <c r="U12647" t="s">
        <v>60047</v>
      </c>
      <c r="W12647" t="s">
        <v>46964</v>
      </c>
      <c r="X12647" t="s">
        <v>47442</v>
      </c>
    </row>
    <row r="12648" spans="1:24">
      <c r="A12648">
        <f>HYPERLINK("https://www.philgeps.gov.ph/GEPSNONPILOT/Tender/SplashBidNoticeAbstractUI.aspx?menuIndex=3&amp;refID=7136028&amp;Result=3","7136028")</f>
        <v>0</v>
      </c>
      <c r="B12648" t="s">
        <v>3600</v>
      </c>
      <c r="C12648" t="s">
        <v>15827</v>
      </c>
      <c r="D12648" t="s">
        <v>19023</v>
      </c>
      <c r="E12648" t="s">
        <v>29936</v>
      </c>
      <c r="F12648" t="s">
        <v>32831</v>
      </c>
      <c r="G12648" t="s">
        <v>32839</v>
      </c>
      <c r="H12648" t="s">
        <v>32849</v>
      </c>
      <c r="I12648" t="s">
        <v>4177</v>
      </c>
      <c r="J12648" t="s">
        <v>40723</v>
      </c>
      <c r="K12648" t="s">
        <v>42936</v>
      </c>
      <c r="M12648" t="s">
        <v>46964</v>
      </c>
      <c r="N12648" t="s">
        <v>47424</v>
      </c>
      <c r="O12648" t="s">
        <v>47425</v>
      </c>
      <c r="Q12648">
        <v>10</v>
      </c>
      <c r="R12648" t="s">
        <v>47440</v>
      </c>
      <c r="S12648" t="s">
        <v>47982</v>
      </c>
      <c r="T12648" t="s">
        <v>49070</v>
      </c>
      <c r="U12648" t="s">
        <v>60047</v>
      </c>
      <c r="W12648" t="s">
        <v>46964</v>
      </c>
      <c r="X12648" t="s">
        <v>47442</v>
      </c>
    </row>
    <row r="12649" spans="1:24">
      <c r="A12649">
        <f>HYPERLINK("https://www.philgeps.gov.ph/GEPSNONPILOT/Tender/SplashBidNoticeAbstractUI.aspx?menuIndex=3&amp;refID=7135609&amp;Result=3","7135609")</f>
        <v>0</v>
      </c>
      <c r="B12649" t="s">
        <v>33</v>
      </c>
      <c r="C12649" t="s">
        <v>15828</v>
      </c>
      <c r="D12649" t="s">
        <v>19024</v>
      </c>
      <c r="E12649" t="s">
        <v>29937</v>
      </c>
      <c r="F12649" t="s">
        <v>32831</v>
      </c>
      <c r="G12649" t="s">
        <v>32839</v>
      </c>
      <c r="H12649" t="s">
        <v>32848</v>
      </c>
      <c r="I12649" t="s">
        <v>9577</v>
      </c>
      <c r="J12649" t="s">
        <v>40724</v>
      </c>
      <c r="K12649" t="s">
        <v>42730</v>
      </c>
      <c r="M12649" t="s">
        <v>43030</v>
      </c>
      <c r="N12649" t="s">
        <v>47424</v>
      </c>
      <c r="O12649" t="s">
        <v>47425</v>
      </c>
      <c r="P12649">
        <v>0</v>
      </c>
      <c r="Q12649">
        <v>3</v>
      </c>
      <c r="R12649" t="s">
        <v>47440</v>
      </c>
      <c r="S12649" t="s">
        <v>47963</v>
      </c>
      <c r="T12649" t="s">
        <v>49080</v>
      </c>
      <c r="U12649" t="s">
        <v>60048</v>
      </c>
      <c r="W12649" t="s">
        <v>43030</v>
      </c>
      <c r="X12649" t="s">
        <v>47443</v>
      </c>
    </row>
    <row r="12650" spans="1:24">
      <c r="A12650">
        <f>HYPERLINK("https://www.philgeps.gov.ph/GEPSNONPILOT/Tender/SplashBidNoticeAbstractUI.aspx?menuIndex=3&amp;refID=7136037&amp;Result=3","7136037")</f>
        <v>0</v>
      </c>
      <c r="B12650" t="s">
        <v>3601</v>
      </c>
      <c r="C12650" t="s">
        <v>15829</v>
      </c>
      <c r="D12650" t="s">
        <v>19061</v>
      </c>
      <c r="E12650" t="s">
        <v>29938</v>
      </c>
      <c r="F12650" t="s">
        <v>32831</v>
      </c>
      <c r="G12650" t="s">
        <v>32839</v>
      </c>
      <c r="H12650" t="s">
        <v>32848</v>
      </c>
      <c r="I12650" t="s">
        <v>32852</v>
      </c>
      <c r="J12650" t="s">
        <v>33007</v>
      </c>
      <c r="K12650" t="s">
        <v>42748</v>
      </c>
      <c r="M12650" t="s">
        <v>46965</v>
      </c>
      <c r="N12650" t="s">
        <v>47424</v>
      </c>
      <c r="O12650" t="s">
        <v>47425</v>
      </c>
      <c r="P12650">
        <v>0</v>
      </c>
      <c r="Q12650">
        <v>0</v>
      </c>
      <c r="R12650" t="s">
        <v>47440</v>
      </c>
      <c r="S12650" t="s">
        <v>47963</v>
      </c>
      <c r="T12650" t="s">
        <v>49063</v>
      </c>
      <c r="U12650" t="s">
        <v>60049</v>
      </c>
      <c r="W12650" t="s">
        <v>46965</v>
      </c>
      <c r="X12650" t="s">
        <v>47442</v>
      </c>
    </row>
    <row r="12651" spans="1:24">
      <c r="A12651">
        <f>HYPERLINK("https://www.philgeps.gov.ph/GEPSNONPILOT/Tender/SplashBidNoticeAbstractUI.aspx?menuIndex=3&amp;refID=7136035&amp;Result=3","7136035")</f>
        <v>0</v>
      </c>
      <c r="B12651" t="s">
        <v>3601</v>
      </c>
      <c r="C12651" t="s">
        <v>15830</v>
      </c>
      <c r="D12651" t="s">
        <v>19061</v>
      </c>
      <c r="E12651" t="s">
        <v>29939</v>
      </c>
      <c r="F12651" t="s">
        <v>32831</v>
      </c>
      <c r="G12651" t="s">
        <v>32839</v>
      </c>
      <c r="H12651" t="s">
        <v>32848</v>
      </c>
      <c r="I12651" t="s">
        <v>4303</v>
      </c>
      <c r="J12651" t="s">
        <v>40725</v>
      </c>
      <c r="K12651" t="s">
        <v>42748</v>
      </c>
      <c r="M12651" t="s">
        <v>46965</v>
      </c>
      <c r="N12651" t="s">
        <v>47424</v>
      </c>
      <c r="O12651" t="s">
        <v>47425</v>
      </c>
      <c r="P12651">
        <v>0</v>
      </c>
      <c r="Q12651">
        <v>0</v>
      </c>
      <c r="R12651" t="s">
        <v>47440</v>
      </c>
      <c r="S12651" t="s">
        <v>47963</v>
      </c>
      <c r="T12651" t="s">
        <v>49063</v>
      </c>
      <c r="U12651" t="s">
        <v>60050</v>
      </c>
      <c r="W12651" t="s">
        <v>46965</v>
      </c>
      <c r="X12651" t="s">
        <v>47442</v>
      </c>
    </row>
    <row r="12652" spans="1:24">
      <c r="A12652">
        <f>HYPERLINK("https://www.philgeps.gov.ph/GEPSNONPILOT/Tender/SplashBidNoticeAbstractUI.aspx?menuIndex=3&amp;refID=7135586&amp;Result=3","7135586")</f>
        <v>0</v>
      </c>
      <c r="B12652" t="s">
        <v>33</v>
      </c>
      <c r="C12652" t="s">
        <v>15831</v>
      </c>
      <c r="D12652" t="s">
        <v>19024</v>
      </c>
      <c r="E12652" t="s">
        <v>29940</v>
      </c>
      <c r="F12652" t="s">
        <v>32831</v>
      </c>
      <c r="G12652" t="s">
        <v>32839</v>
      </c>
      <c r="H12652" t="s">
        <v>32848</v>
      </c>
      <c r="I12652" t="s">
        <v>4776</v>
      </c>
      <c r="J12652" t="s">
        <v>32983</v>
      </c>
      <c r="K12652" t="s">
        <v>42730</v>
      </c>
      <c r="M12652" t="s">
        <v>43030</v>
      </c>
      <c r="N12652" t="s">
        <v>47424</v>
      </c>
      <c r="O12652" t="s">
        <v>47425</v>
      </c>
      <c r="P12652">
        <v>0</v>
      </c>
      <c r="Q12652">
        <v>11</v>
      </c>
      <c r="R12652" t="s">
        <v>47440</v>
      </c>
      <c r="S12652" t="s">
        <v>47963</v>
      </c>
      <c r="T12652" t="s">
        <v>49080</v>
      </c>
      <c r="U12652" t="s">
        <v>60051</v>
      </c>
      <c r="W12652" t="s">
        <v>43030</v>
      </c>
      <c r="X12652" t="s">
        <v>47443</v>
      </c>
    </row>
    <row r="12653" spans="1:24">
      <c r="A12653">
        <f>HYPERLINK("https://www.philgeps.gov.ph/GEPSNONPILOT/Tender/SplashBidNoticeAbstractUI.aspx?menuIndex=3&amp;refID=7135571&amp;Result=3","7135571")</f>
        <v>0</v>
      </c>
      <c r="B12653" t="s">
        <v>33</v>
      </c>
      <c r="C12653" t="s">
        <v>15832</v>
      </c>
      <c r="D12653" t="s">
        <v>19024</v>
      </c>
      <c r="E12653" t="s">
        <v>29941</v>
      </c>
      <c r="F12653" t="s">
        <v>32831</v>
      </c>
      <c r="G12653" t="s">
        <v>32839</v>
      </c>
      <c r="H12653" t="s">
        <v>32848</v>
      </c>
      <c r="I12653" t="s">
        <v>4487</v>
      </c>
      <c r="J12653" t="s">
        <v>33771</v>
      </c>
      <c r="K12653" t="s">
        <v>42730</v>
      </c>
      <c r="M12653" t="s">
        <v>43030</v>
      </c>
      <c r="N12653" t="s">
        <v>47424</v>
      </c>
      <c r="O12653" t="s">
        <v>47425</v>
      </c>
      <c r="P12653">
        <v>0</v>
      </c>
      <c r="Q12653">
        <v>0</v>
      </c>
      <c r="R12653" t="s">
        <v>47440</v>
      </c>
      <c r="S12653" t="s">
        <v>47963</v>
      </c>
      <c r="T12653" t="s">
        <v>49080</v>
      </c>
      <c r="U12653" t="s">
        <v>60052</v>
      </c>
      <c r="W12653" t="s">
        <v>43030</v>
      </c>
      <c r="X12653" t="s">
        <v>47443</v>
      </c>
    </row>
    <row r="12654" spans="1:24">
      <c r="A12654">
        <f>HYPERLINK("https://www.philgeps.gov.ph/GEPSNONPILOT/Tender/SplashBidNoticeAbstractUI.aspx?menuIndex=3&amp;refID=7135563&amp;Result=3","7135563")</f>
        <v>0</v>
      </c>
      <c r="B12654" t="s">
        <v>33</v>
      </c>
      <c r="C12654" t="s">
        <v>15833</v>
      </c>
      <c r="D12654" t="s">
        <v>19024</v>
      </c>
      <c r="E12654" t="s">
        <v>29941</v>
      </c>
      <c r="F12654" t="s">
        <v>32831</v>
      </c>
      <c r="G12654" t="s">
        <v>32839</v>
      </c>
      <c r="H12654" t="s">
        <v>32848</v>
      </c>
      <c r="I12654" t="s">
        <v>32856</v>
      </c>
      <c r="J12654" t="s">
        <v>33402</v>
      </c>
      <c r="K12654" t="s">
        <v>42730</v>
      </c>
      <c r="M12654" t="s">
        <v>43030</v>
      </c>
      <c r="N12654" t="s">
        <v>47424</v>
      </c>
      <c r="O12654" t="s">
        <v>47425</v>
      </c>
      <c r="P12654">
        <v>0</v>
      </c>
      <c r="Q12654">
        <v>2</v>
      </c>
      <c r="R12654" t="s">
        <v>47440</v>
      </c>
      <c r="S12654" t="s">
        <v>47963</v>
      </c>
      <c r="T12654" t="s">
        <v>49080</v>
      </c>
      <c r="U12654" t="s">
        <v>60052</v>
      </c>
      <c r="W12654" t="s">
        <v>43030</v>
      </c>
      <c r="X12654" t="s">
        <v>47443</v>
      </c>
    </row>
    <row r="12655" spans="1:24">
      <c r="A12655">
        <f>HYPERLINK("https://www.philgeps.gov.ph/GEPSNONPILOT/Tender/SplashBidNoticeAbstractUI.aspx?menuIndex=3&amp;refID=7142013&amp;Result=3","7142013")</f>
        <v>0</v>
      </c>
      <c r="B12655" t="s">
        <v>468</v>
      </c>
      <c r="C12655" t="s">
        <v>15834</v>
      </c>
      <c r="D12655" t="s">
        <v>19031</v>
      </c>
      <c r="E12655" t="s">
        <v>29942</v>
      </c>
      <c r="F12655" t="s">
        <v>32831</v>
      </c>
      <c r="G12655" t="s">
        <v>32839</v>
      </c>
      <c r="H12655" t="s">
        <v>32848</v>
      </c>
      <c r="I12655" t="s">
        <v>32890</v>
      </c>
      <c r="J12655" t="s">
        <v>33118</v>
      </c>
      <c r="K12655" t="s">
        <v>42727</v>
      </c>
      <c r="M12655" t="s">
        <v>43473</v>
      </c>
      <c r="N12655" t="s">
        <v>47424</v>
      </c>
      <c r="O12655" t="s">
        <v>47425</v>
      </c>
      <c r="P12655">
        <v>0</v>
      </c>
      <c r="Q12655">
        <v>4</v>
      </c>
      <c r="R12655" t="s">
        <v>47439</v>
      </c>
      <c r="S12655" t="s">
        <v>47860</v>
      </c>
      <c r="T12655" t="s">
        <v>49063</v>
      </c>
      <c r="U12655" t="s">
        <v>60053</v>
      </c>
      <c r="W12655" t="s">
        <v>64440</v>
      </c>
      <c r="X12655" t="s">
        <v>47440</v>
      </c>
    </row>
    <row r="12656" spans="1:24">
      <c r="A12656">
        <f>HYPERLINK("https://www.philgeps.gov.ph/GEPSNONPILOT/Tender/SplashBidNoticeAbstractUI.aspx?menuIndex=3&amp;refID=7134998&amp;Result=3","7134998")</f>
        <v>0</v>
      </c>
      <c r="B12656" t="s">
        <v>3586</v>
      </c>
      <c r="C12656" t="s">
        <v>15835</v>
      </c>
      <c r="D12656" t="s">
        <v>19094</v>
      </c>
      <c r="E12656" t="s">
        <v>29943</v>
      </c>
      <c r="F12656" t="s">
        <v>32831</v>
      </c>
      <c r="G12656" t="s">
        <v>32839</v>
      </c>
      <c r="H12656" t="s">
        <v>32848</v>
      </c>
      <c r="I12656" t="s">
        <v>7416</v>
      </c>
      <c r="J12656" t="s">
        <v>40726</v>
      </c>
      <c r="K12656" t="s">
        <v>42727</v>
      </c>
      <c r="M12656" t="s">
        <v>46950</v>
      </c>
      <c r="N12656" t="s">
        <v>47424</v>
      </c>
      <c r="O12656" t="s">
        <v>47425</v>
      </c>
      <c r="P12656">
        <v>0</v>
      </c>
      <c r="Q12656">
        <v>1</v>
      </c>
      <c r="R12656" t="s">
        <v>47440</v>
      </c>
      <c r="S12656" t="s">
        <v>47963</v>
      </c>
      <c r="T12656" t="s">
        <v>49070</v>
      </c>
      <c r="U12656" t="s">
        <v>60054</v>
      </c>
      <c r="W12656" t="s">
        <v>46950</v>
      </c>
      <c r="X12656" t="s">
        <v>47444</v>
      </c>
    </row>
    <row r="12657" spans="1:24">
      <c r="A12657">
        <f>HYPERLINK("https://www.philgeps.gov.ph/GEPSNONPILOT/Tender/SplashBidNoticeAbstractUI.aspx?menuIndex=3&amp;refID=7135599&amp;Result=3","7135599")</f>
        <v>0</v>
      </c>
      <c r="B12657" t="s">
        <v>33</v>
      </c>
      <c r="C12657" t="s">
        <v>15836</v>
      </c>
      <c r="D12657" t="s">
        <v>19024</v>
      </c>
      <c r="E12657" t="s">
        <v>29944</v>
      </c>
      <c r="F12657" t="s">
        <v>32831</v>
      </c>
      <c r="G12657" t="s">
        <v>32839</v>
      </c>
      <c r="H12657" t="s">
        <v>32848</v>
      </c>
      <c r="I12657" t="s">
        <v>9577</v>
      </c>
      <c r="J12657" t="s">
        <v>40727</v>
      </c>
      <c r="K12657" t="s">
        <v>42730</v>
      </c>
      <c r="M12657" t="s">
        <v>43030</v>
      </c>
      <c r="N12657" t="s">
        <v>47424</v>
      </c>
      <c r="O12657" t="s">
        <v>47425</v>
      </c>
      <c r="P12657">
        <v>0</v>
      </c>
      <c r="Q12657">
        <v>1</v>
      </c>
      <c r="R12657" t="s">
        <v>47440</v>
      </c>
      <c r="S12657" t="s">
        <v>47963</v>
      </c>
      <c r="T12657" t="s">
        <v>49080</v>
      </c>
      <c r="U12657" t="s">
        <v>60055</v>
      </c>
      <c r="W12657" t="s">
        <v>43030</v>
      </c>
      <c r="X12657" t="s">
        <v>47443</v>
      </c>
    </row>
    <row r="12658" spans="1:24">
      <c r="A12658">
        <f>HYPERLINK("https://www.philgeps.gov.ph/GEPSNONPILOT/Tender/SplashBidNoticeAbstractUI.aspx?menuIndex=3&amp;refID=7135569&amp;Result=3","7135569")</f>
        <v>0</v>
      </c>
      <c r="B12658" t="s">
        <v>33</v>
      </c>
      <c r="C12658" t="s">
        <v>15837</v>
      </c>
      <c r="D12658" t="s">
        <v>19024</v>
      </c>
      <c r="E12658" t="s">
        <v>29941</v>
      </c>
      <c r="F12658" t="s">
        <v>32831</v>
      </c>
      <c r="G12658" t="s">
        <v>32839</v>
      </c>
      <c r="H12658" t="s">
        <v>32848</v>
      </c>
      <c r="I12658" t="s">
        <v>32923</v>
      </c>
      <c r="J12658" t="s">
        <v>33040</v>
      </c>
      <c r="K12658" t="s">
        <v>42730</v>
      </c>
      <c r="M12658" t="s">
        <v>43030</v>
      </c>
      <c r="N12658" t="s">
        <v>47424</v>
      </c>
      <c r="O12658" t="s">
        <v>47425</v>
      </c>
      <c r="P12658">
        <v>0</v>
      </c>
      <c r="Q12658">
        <v>1</v>
      </c>
      <c r="R12658" t="s">
        <v>47440</v>
      </c>
      <c r="S12658" t="s">
        <v>47963</v>
      </c>
      <c r="T12658" t="s">
        <v>49080</v>
      </c>
      <c r="U12658" t="s">
        <v>60052</v>
      </c>
      <c r="W12658" t="s">
        <v>43030</v>
      </c>
      <c r="X12658" t="s">
        <v>47443</v>
      </c>
    </row>
    <row r="12659" spans="1:24">
      <c r="A12659">
        <f>HYPERLINK("https://www.philgeps.gov.ph/GEPSNONPILOT/Tender/SplashBidNoticeAbstractUI.aspx?menuIndex=3&amp;refID=7135556&amp;Result=3","7135556")</f>
        <v>0</v>
      </c>
      <c r="B12659" t="s">
        <v>33</v>
      </c>
      <c r="C12659" t="s">
        <v>15838</v>
      </c>
      <c r="D12659" t="s">
        <v>19024</v>
      </c>
      <c r="E12659" t="s">
        <v>29901</v>
      </c>
      <c r="F12659" t="s">
        <v>32831</v>
      </c>
      <c r="G12659" t="s">
        <v>32839</v>
      </c>
      <c r="H12659" t="s">
        <v>32848</v>
      </c>
      <c r="I12659" t="s">
        <v>32862</v>
      </c>
      <c r="J12659" t="s">
        <v>33372</v>
      </c>
      <c r="K12659" t="s">
        <v>42730</v>
      </c>
      <c r="M12659" t="s">
        <v>43030</v>
      </c>
      <c r="N12659" t="s">
        <v>47424</v>
      </c>
      <c r="O12659" t="s">
        <v>47425</v>
      </c>
      <c r="P12659">
        <v>0</v>
      </c>
      <c r="Q12659">
        <v>0</v>
      </c>
      <c r="R12659" t="s">
        <v>47440</v>
      </c>
      <c r="S12659" t="s">
        <v>47963</v>
      </c>
      <c r="T12659" t="s">
        <v>49080</v>
      </c>
      <c r="U12659" t="s">
        <v>60009</v>
      </c>
      <c r="W12659" t="s">
        <v>43030</v>
      </c>
      <c r="X12659" t="s">
        <v>47443</v>
      </c>
    </row>
    <row r="12660" spans="1:24">
      <c r="A12660">
        <f>HYPERLINK("https://www.philgeps.gov.ph/GEPSNONPILOT/Tender/SplashBidNoticeAbstractUI.aspx?menuIndex=3&amp;refID=7134842&amp;Result=3","7134842")</f>
        <v>0</v>
      </c>
      <c r="B12660" t="s">
        <v>3567</v>
      </c>
      <c r="C12660" t="s">
        <v>15839</v>
      </c>
      <c r="D12660" t="s">
        <v>19044</v>
      </c>
      <c r="E12660" t="s">
        <v>23211</v>
      </c>
      <c r="F12660" t="s">
        <v>32831</v>
      </c>
      <c r="G12660" t="s">
        <v>32839</v>
      </c>
      <c r="H12660" t="s">
        <v>32848</v>
      </c>
      <c r="I12660" t="s">
        <v>4776</v>
      </c>
      <c r="J12660" t="s">
        <v>36348</v>
      </c>
      <c r="K12660" t="s">
        <v>42730</v>
      </c>
      <c r="L12660" t="s">
        <v>3567</v>
      </c>
      <c r="M12660" t="s">
        <v>46924</v>
      </c>
      <c r="N12660" t="s">
        <v>47424</v>
      </c>
      <c r="O12660" t="s">
        <v>47425</v>
      </c>
      <c r="Q12660">
        <v>10</v>
      </c>
      <c r="R12660" t="s">
        <v>47440</v>
      </c>
      <c r="S12660" t="s">
        <v>47983</v>
      </c>
      <c r="T12660" t="s">
        <v>49070</v>
      </c>
      <c r="U12660" t="s">
        <v>60056</v>
      </c>
      <c r="W12660" t="s">
        <v>46924</v>
      </c>
      <c r="X12660" t="s">
        <v>47444</v>
      </c>
    </row>
    <row r="12661" spans="1:24">
      <c r="A12661">
        <f>HYPERLINK("https://www.philgeps.gov.ph/GEPSNONPILOT/Tender/SplashBidNoticeAbstractUI.aspx?menuIndex=3&amp;refID=7133391&amp;Result=3","7133391")</f>
        <v>0</v>
      </c>
      <c r="B12661" t="s">
        <v>485</v>
      </c>
      <c r="C12661" t="s">
        <v>15840</v>
      </c>
      <c r="D12661" t="s">
        <v>19032</v>
      </c>
      <c r="E12661" t="s">
        <v>24654</v>
      </c>
      <c r="F12661" t="s">
        <v>32831</v>
      </c>
      <c r="G12661" t="s">
        <v>32839</v>
      </c>
      <c r="H12661" t="s">
        <v>32848</v>
      </c>
      <c r="I12661" t="s">
        <v>4558</v>
      </c>
      <c r="J12661" t="s">
        <v>40728</v>
      </c>
      <c r="K12661" t="s">
        <v>42738</v>
      </c>
      <c r="M12661" t="s">
        <v>43490</v>
      </c>
      <c r="N12661" t="s">
        <v>47424</v>
      </c>
      <c r="O12661" t="s">
        <v>47425</v>
      </c>
      <c r="P12661">
        <v>0</v>
      </c>
      <c r="Q12661">
        <v>5</v>
      </c>
      <c r="R12661" t="s">
        <v>47440</v>
      </c>
      <c r="S12661" t="s">
        <v>47963</v>
      </c>
      <c r="T12661" t="s">
        <v>49622</v>
      </c>
      <c r="U12661" t="s">
        <v>60057</v>
      </c>
      <c r="V12661" t="s">
        <v>64036</v>
      </c>
      <c r="W12661" t="s">
        <v>43490</v>
      </c>
      <c r="X12661" t="s">
        <v>47444</v>
      </c>
    </row>
    <row r="12662" spans="1:24">
      <c r="A12662">
        <f>HYPERLINK("https://www.philgeps.gov.ph/GEPSNONPILOT/Tender/SplashBidNoticeAbstractUI.aspx?menuIndex=3&amp;refID=7136267&amp;Result=3","7136267")</f>
        <v>0</v>
      </c>
      <c r="B12662" t="s">
        <v>2675</v>
      </c>
      <c r="C12662" t="s">
        <v>15841</v>
      </c>
      <c r="D12662" t="s">
        <v>19058</v>
      </c>
      <c r="E12662" t="s">
        <v>29945</v>
      </c>
      <c r="F12662" t="s">
        <v>32833</v>
      </c>
      <c r="G12662" t="s">
        <v>32839</v>
      </c>
      <c r="H12662" t="s">
        <v>32849</v>
      </c>
      <c r="I12662" t="s">
        <v>4177</v>
      </c>
      <c r="J12662" t="s">
        <v>33257</v>
      </c>
      <c r="K12662" t="s">
        <v>42756</v>
      </c>
      <c r="M12662" t="s">
        <v>45898</v>
      </c>
      <c r="N12662" t="s">
        <v>47424</v>
      </c>
      <c r="O12662" t="s">
        <v>47425</v>
      </c>
      <c r="P12662">
        <v>0</v>
      </c>
      <c r="Q12662">
        <v>0</v>
      </c>
      <c r="R12662" t="s">
        <v>47440</v>
      </c>
      <c r="S12662" t="s">
        <v>47963</v>
      </c>
      <c r="T12662" t="s">
        <v>49243</v>
      </c>
      <c r="U12662" t="s">
        <v>60058</v>
      </c>
      <c r="W12662" t="s">
        <v>45898</v>
      </c>
      <c r="X12662" t="s">
        <v>47441</v>
      </c>
    </row>
    <row r="12663" spans="1:24">
      <c r="A12663">
        <f>HYPERLINK("https://www.philgeps.gov.ph/GEPSNONPILOT/Tender/SplashBidNoticeAbstractUI.aspx?menuIndex=3&amp;refID=7136264&amp;Result=3","7136264")</f>
        <v>0</v>
      </c>
      <c r="B12663" t="s">
        <v>3602</v>
      </c>
      <c r="C12663" t="s">
        <v>15842</v>
      </c>
      <c r="D12663" t="s">
        <v>19027</v>
      </c>
      <c r="E12663" t="s">
        <v>29946</v>
      </c>
      <c r="F12663" t="s">
        <v>32831</v>
      </c>
      <c r="G12663" t="s">
        <v>32839</v>
      </c>
      <c r="H12663" t="s">
        <v>32848</v>
      </c>
      <c r="I12663" t="s">
        <v>7416</v>
      </c>
      <c r="J12663" t="s">
        <v>40729</v>
      </c>
      <c r="K12663" t="s">
        <v>42727</v>
      </c>
      <c r="M12663" t="s">
        <v>46966</v>
      </c>
      <c r="N12663" t="s">
        <v>47424</v>
      </c>
      <c r="O12663" t="s">
        <v>47425</v>
      </c>
      <c r="P12663">
        <v>0</v>
      </c>
      <c r="Q12663">
        <v>0</v>
      </c>
      <c r="R12663" t="s">
        <v>47440</v>
      </c>
      <c r="S12663" t="s">
        <v>47963</v>
      </c>
      <c r="T12663" t="s">
        <v>49066</v>
      </c>
      <c r="U12663" t="s">
        <v>60059</v>
      </c>
      <c r="W12663" t="s">
        <v>46966</v>
      </c>
      <c r="X12663" t="s">
        <v>47441</v>
      </c>
    </row>
    <row r="12664" spans="1:24">
      <c r="A12664">
        <f>HYPERLINK("https://www.philgeps.gov.ph/GEPSNONPILOT/Tender/SplashBidNoticeAbstractUI.aspx?menuIndex=3&amp;refID=7136260&amp;Result=3","7136260")</f>
        <v>0</v>
      </c>
      <c r="B12664" t="s">
        <v>3330</v>
      </c>
      <c r="C12664" t="s">
        <v>15843</v>
      </c>
      <c r="D12664" t="s">
        <v>19052</v>
      </c>
      <c r="E12664" t="s">
        <v>29947</v>
      </c>
      <c r="F12664" t="s">
        <v>32831</v>
      </c>
      <c r="G12664" t="s">
        <v>32839</v>
      </c>
      <c r="H12664" t="s">
        <v>32848</v>
      </c>
      <c r="I12664" t="s">
        <v>7751</v>
      </c>
      <c r="J12664" t="s">
        <v>40730</v>
      </c>
      <c r="K12664" t="s">
        <v>42727</v>
      </c>
      <c r="M12664" t="s">
        <v>46653</v>
      </c>
      <c r="N12664" t="s">
        <v>47424</v>
      </c>
      <c r="O12664" t="s">
        <v>47425</v>
      </c>
      <c r="P12664">
        <v>0</v>
      </c>
      <c r="Q12664">
        <v>3</v>
      </c>
      <c r="R12664" t="s">
        <v>47440</v>
      </c>
      <c r="S12664" t="s">
        <v>47963</v>
      </c>
      <c r="T12664" t="s">
        <v>49105</v>
      </c>
      <c r="U12664" t="s">
        <v>60060</v>
      </c>
      <c r="W12664" t="s">
        <v>46653</v>
      </c>
      <c r="X12664" t="s">
        <v>47441</v>
      </c>
    </row>
    <row r="12665" spans="1:24">
      <c r="A12665">
        <f>HYPERLINK("https://www.philgeps.gov.ph/GEPSNONPILOT/Tender/SplashBidNoticeAbstractUI.aspx?menuIndex=3&amp;refID=7136259&amp;Result=3","7136259")</f>
        <v>0</v>
      </c>
      <c r="B12665" t="s">
        <v>3603</v>
      </c>
      <c r="C12665" t="s">
        <v>11792</v>
      </c>
      <c r="D12665" t="s">
        <v>19025</v>
      </c>
      <c r="E12665" t="s">
        <v>19203</v>
      </c>
      <c r="F12665" t="s">
        <v>32832</v>
      </c>
      <c r="G12665" t="s">
        <v>32839</v>
      </c>
      <c r="H12665" t="s">
        <v>32848</v>
      </c>
      <c r="I12665" t="s">
        <v>7416</v>
      </c>
      <c r="J12665" t="s">
        <v>40731</v>
      </c>
      <c r="K12665" t="s">
        <v>42732</v>
      </c>
      <c r="M12665" t="s">
        <v>46967</v>
      </c>
      <c r="N12665" t="s">
        <v>47424</v>
      </c>
      <c r="O12665" t="s">
        <v>47425</v>
      </c>
      <c r="P12665">
        <v>0</v>
      </c>
      <c r="Q12665">
        <v>0</v>
      </c>
      <c r="R12665" t="s">
        <v>47440</v>
      </c>
      <c r="S12665" t="s">
        <v>47963</v>
      </c>
      <c r="T12665" t="s">
        <v>49345</v>
      </c>
      <c r="U12665" t="s">
        <v>60061</v>
      </c>
      <c r="W12665" t="s">
        <v>46967</v>
      </c>
      <c r="X12665" t="s">
        <v>47441</v>
      </c>
    </row>
    <row r="12666" spans="1:24">
      <c r="A12666">
        <f>HYPERLINK("https://www.philgeps.gov.ph/GEPSNONPILOT/Tender/SplashBidNoticeAbstractUI.aspx?menuIndex=3&amp;refID=7133445&amp;Result=3","7133445")</f>
        <v>0</v>
      </c>
      <c r="B12666" t="s">
        <v>485</v>
      </c>
      <c r="C12666" t="s">
        <v>15844</v>
      </c>
      <c r="D12666" t="s">
        <v>19032</v>
      </c>
      <c r="E12666" t="s">
        <v>29948</v>
      </c>
      <c r="F12666" t="s">
        <v>32831</v>
      </c>
      <c r="G12666" t="s">
        <v>32839</v>
      </c>
      <c r="H12666" t="s">
        <v>32848</v>
      </c>
      <c r="I12666" t="s">
        <v>32874</v>
      </c>
      <c r="J12666" t="s">
        <v>33207</v>
      </c>
      <c r="K12666" t="s">
        <v>42738</v>
      </c>
      <c r="M12666" t="s">
        <v>43490</v>
      </c>
      <c r="N12666" t="s">
        <v>47424</v>
      </c>
      <c r="O12666" t="s">
        <v>47425</v>
      </c>
      <c r="P12666">
        <v>0</v>
      </c>
      <c r="Q12666">
        <v>4</v>
      </c>
      <c r="R12666" t="s">
        <v>47440</v>
      </c>
      <c r="S12666" t="s">
        <v>47963</v>
      </c>
      <c r="T12666" t="s">
        <v>49568</v>
      </c>
      <c r="U12666" t="s">
        <v>60062</v>
      </c>
      <c r="V12666" t="s">
        <v>64037</v>
      </c>
      <c r="W12666" t="s">
        <v>43490</v>
      </c>
      <c r="X12666" t="s">
        <v>47444</v>
      </c>
    </row>
    <row r="12667" spans="1:24">
      <c r="A12667">
        <f>HYPERLINK("https://www.philgeps.gov.ph/GEPSNONPILOT/Tender/SplashBidNoticeAbstractUI.aspx?menuIndex=3&amp;refID=7136258&amp;Result=3","7136258")</f>
        <v>0</v>
      </c>
      <c r="B12667" t="s">
        <v>2430</v>
      </c>
      <c r="C12667" t="s">
        <v>15845</v>
      </c>
      <c r="D12667" t="s">
        <v>19049</v>
      </c>
      <c r="E12667" t="s">
        <v>29949</v>
      </c>
      <c r="F12667" t="s">
        <v>32831</v>
      </c>
      <c r="G12667" t="s">
        <v>32839</v>
      </c>
      <c r="H12667" t="s">
        <v>32849</v>
      </c>
      <c r="I12667" t="s">
        <v>4177</v>
      </c>
      <c r="J12667" t="s">
        <v>35331</v>
      </c>
      <c r="K12667" t="s">
        <v>42960</v>
      </c>
      <c r="M12667" t="s">
        <v>46968</v>
      </c>
      <c r="N12667" t="s">
        <v>47424</v>
      </c>
      <c r="O12667" t="s">
        <v>47425</v>
      </c>
      <c r="P12667">
        <v>0</v>
      </c>
      <c r="Q12667">
        <v>7</v>
      </c>
      <c r="R12667" t="s">
        <v>47440</v>
      </c>
      <c r="S12667" t="s">
        <v>47963</v>
      </c>
      <c r="T12667" t="s">
        <v>49073</v>
      </c>
      <c r="U12667" t="s">
        <v>60063</v>
      </c>
      <c r="W12667" t="s">
        <v>46968</v>
      </c>
      <c r="X12667" t="s">
        <v>47441</v>
      </c>
    </row>
    <row r="12668" spans="1:24">
      <c r="A12668">
        <f>HYPERLINK("https://www.philgeps.gov.ph/GEPSNONPILOT/Tender/SplashBidNoticeAbstractUI.aspx?menuIndex=3&amp;refID=7134631&amp;Result=3","7134631")</f>
        <v>0</v>
      </c>
      <c r="B12668" t="s">
        <v>3567</v>
      </c>
      <c r="C12668" t="s">
        <v>15846</v>
      </c>
      <c r="D12668" t="s">
        <v>19044</v>
      </c>
      <c r="E12668" t="s">
        <v>23155</v>
      </c>
      <c r="F12668" t="s">
        <v>32831</v>
      </c>
      <c r="G12668" t="s">
        <v>32839</v>
      </c>
      <c r="H12668" t="s">
        <v>32849</v>
      </c>
      <c r="I12668" t="s">
        <v>4177</v>
      </c>
      <c r="J12668" t="s">
        <v>33118</v>
      </c>
      <c r="K12668" t="s">
        <v>42763</v>
      </c>
      <c r="L12668" t="s">
        <v>3567</v>
      </c>
      <c r="M12668" t="s">
        <v>46924</v>
      </c>
      <c r="N12668" t="s">
        <v>47424</v>
      </c>
      <c r="O12668" t="s">
        <v>47425</v>
      </c>
      <c r="Q12668">
        <v>1</v>
      </c>
      <c r="R12668" t="s">
        <v>47440</v>
      </c>
      <c r="S12668" t="s">
        <v>47984</v>
      </c>
      <c r="T12668" t="s">
        <v>49070</v>
      </c>
      <c r="U12668" t="s">
        <v>60064</v>
      </c>
      <c r="W12668" t="s">
        <v>46924</v>
      </c>
      <c r="X12668" t="s">
        <v>47444</v>
      </c>
    </row>
    <row r="12669" spans="1:24">
      <c r="A12669">
        <f>HYPERLINK("https://www.philgeps.gov.ph/GEPSNONPILOT/Tender/SplashBidNoticeAbstractUI.aspx?menuIndex=3&amp;refID=7136212&amp;Result=3","7136212")</f>
        <v>0</v>
      </c>
      <c r="B12669" t="s">
        <v>1753</v>
      </c>
      <c r="C12669" t="s">
        <v>15847</v>
      </c>
      <c r="D12669" t="s">
        <v>19104</v>
      </c>
      <c r="E12669" t="s">
        <v>29950</v>
      </c>
      <c r="F12669" t="s">
        <v>32831</v>
      </c>
      <c r="G12669" t="s">
        <v>32839</v>
      </c>
      <c r="H12669" t="s">
        <v>32848</v>
      </c>
      <c r="I12669" t="s">
        <v>32857</v>
      </c>
      <c r="J12669" t="s">
        <v>40732</v>
      </c>
      <c r="K12669" t="s">
        <v>42727</v>
      </c>
      <c r="M12669" t="s">
        <v>44877</v>
      </c>
      <c r="N12669" t="s">
        <v>47424</v>
      </c>
      <c r="O12669" t="s">
        <v>47425</v>
      </c>
      <c r="P12669">
        <v>0</v>
      </c>
      <c r="Q12669">
        <v>13</v>
      </c>
      <c r="R12669" t="s">
        <v>47440</v>
      </c>
      <c r="S12669" t="s">
        <v>47963</v>
      </c>
      <c r="T12669" t="s">
        <v>49069</v>
      </c>
      <c r="U12669" t="s">
        <v>60065</v>
      </c>
      <c r="W12669" t="s">
        <v>44877</v>
      </c>
      <c r="X12669" t="s">
        <v>47441</v>
      </c>
    </row>
    <row r="12670" spans="1:24">
      <c r="A12670">
        <f>HYPERLINK("https://www.philgeps.gov.ph/GEPSNONPILOT/Tender/SplashBidNoticeAbstractUI.aspx?menuIndex=3&amp;refID=7136230&amp;Result=3","7136230")</f>
        <v>0</v>
      </c>
      <c r="B12670" t="s">
        <v>1753</v>
      </c>
      <c r="C12670" t="s">
        <v>15848</v>
      </c>
      <c r="D12670" t="s">
        <v>19104</v>
      </c>
      <c r="E12670" t="s">
        <v>29951</v>
      </c>
      <c r="F12670" t="s">
        <v>32831</v>
      </c>
      <c r="G12670" t="s">
        <v>32839</v>
      </c>
      <c r="H12670" t="s">
        <v>32848</v>
      </c>
      <c r="I12670" t="s">
        <v>7751</v>
      </c>
      <c r="J12670" t="s">
        <v>33024</v>
      </c>
      <c r="K12670" t="s">
        <v>42727</v>
      </c>
      <c r="M12670" t="s">
        <v>44877</v>
      </c>
      <c r="N12670" t="s">
        <v>47424</v>
      </c>
      <c r="O12670" t="s">
        <v>47425</v>
      </c>
      <c r="P12670">
        <v>0</v>
      </c>
      <c r="Q12670">
        <v>4</v>
      </c>
      <c r="R12670" t="s">
        <v>47440</v>
      </c>
      <c r="S12670" t="s">
        <v>47963</v>
      </c>
      <c r="T12670" t="s">
        <v>49069</v>
      </c>
      <c r="U12670" t="s">
        <v>60066</v>
      </c>
      <c r="W12670" t="s">
        <v>44877</v>
      </c>
      <c r="X12670" t="s">
        <v>47441</v>
      </c>
    </row>
    <row r="12671" spans="1:24">
      <c r="A12671">
        <f>HYPERLINK("https://www.philgeps.gov.ph/GEPSNONPILOT/Tender/SplashBidNoticeAbstractUI.aspx?menuIndex=3&amp;refID=7136200&amp;Result=3","7136200")</f>
        <v>0</v>
      </c>
      <c r="B12671" t="s">
        <v>1753</v>
      </c>
      <c r="C12671" t="s">
        <v>15849</v>
      </c>
      <c r="D12671" t="s">
        <v>19104</v>
      </c>
      <c r="E12671" t="s">
        <v>29952</v>
      </c>
      <c r="F12671" t="s">
        <v>32831</v>
      </c>
      <c r="G12671" t="s">
        <v>32839</v>
      </c>
      <c r="H12671" t="s">
        <v>32848</v>
      </c>
      <c r="I12671" t="s">
        <v>10805</v>
      </c>
      <c r="J12671" t="s">
        <v>40733</v>
      </c>
      <c r="K12671" t="s">
        <v>42727</v>
      </c>
      <c r="M12671" t="s">
        <v>44877</v>
      </c>
      <c r="N12671" t="s">
        <v>47424</v>
      </c>
      <c r="O12671" t="s">
        <v>47425</v>
      </c>
      <c r="P12671">
        <v>0</v>
      </c>
      <c r="Q12671">
        <v>1</v>
      </c>
      <c r="R12671" t="s">
        <v>47440</v>
      </c>
      <c r="S12671" t="s">
        <v>47963</v>
      </c>
      <c r="T12671" t="s">
        <v>49069</v>
      </c>
      <c r="U12671" t="s">
        <v>60067</v>
      </c>
      <c r="W12671" t="s">
        <v>44877</v>
      </c>
      <c r="X12671" t="s">
        <v>47441</v>
      </c>
    </row>
    <row r="12672" spans="1:24">
      <c r="A12672">
        <f>HYPERLINK("https://www.philgeps.gov.ph/GEPSNONPILOT/Tender/SplashBidNoticeAbstractUI.aspx?menuIndex=3&amp;refID=7136197&amp;Result=3","7136197")</f>
        <v>0</v>
      </c>
      <c r="B12672" t="s">
        <v>2280</v>
      </c>
      <c r="C12672" t="s">
        <v>15850</v>
      </c>
      <c r="D12672" t="s">
        <v>19017</v>
      </c>
      <c r="E12672" t="s">
        <v>29953</v>
      </c>
      <c r="F12672" t="s">
        <v>32831</v>
      </c>
      <c r="G12672" t="s">
        <v>32839</v>
      </c>
      <c r="H12672" t="s">
        <v>32848</v>
      </c>
      <c r="I12672" t="s">
        <v>4438</v>
      </c>
      <c r="J12672" t="s">
        <v>40734</v>
      </c>
      <c r="K12672" t="s">
        <v>42727</v>
      </c>
      <c r="M12672" t="s">
        <v>45464</v>
      </c>
      <c r="N12672" t="s">
        <v>47424</v>
      </c>
      <c r="O12672" t="s">
        <v>47425</v>
      </c>
      <c r="P12672">
        <v>0</v>
      </c>
      <c r="Q12672">
        <v>7</v>
      </c>
      <c r="R12672" t="s">
        <v>47440</v>
      </c>
      <c r="S12672" t="s">
        <v>47963</v>
      </c>
      <c r="T12672" t="s">
        <v>49066</v>
      </c>
      <c r="U12672" t="s">
        <v>60068</v>
      </c>
      <c r="W12672" t="s">
        <v>45464</v>
      </c>
      <c r="X12672" t="s">
        <v>47441</v>
      </c>
    </row>
    <row r="12673" spans="1:24">
      <c r="A12673">
        <f>HYPERLINK("https://www.philgeps.gov.ph/GEPSNONPILOT/Tender/SplashBidNoticeAbstractUI.aspx?menuIndex=3&amp;refID=7136188&amp;Result=3","7136188")</f>
        <v>0</v>
      </c>
      <c r="B12673" t="s">
        <v>33</v>
      </c>
      <c r="C12673" t="s">
        <v>15851</v>
      </c>
      <c r="D12673" t="s">
        <v>19024</v>
      </c>
      <c r="E12673" t="s">
        <v>29954</v>
      </c>
      <c r="F12673" t="s">
        <v>32831</v>
      </c>
      <c r="G12673" t="s">
        <v>32839</v>
      </c>
      <c r="H12673" t="s">
        <v>32848</v>
      </c>
      <c r="I12673" t="s">
        <v>7416</v>
      </c>
      <c r="J12673" t="s">
        <v>35082</v>
      </c>
      <c r="K12673" t="s">
        <v>42730</v>
      </c>
      <c r="M12673" t="s">
        <v>43030</v>
      </c>
      <c r="N12673" t="s">
        <v>47424</v>
      </c>
      <c r="O12673" t="s">
        <v>47425</v>
      </c>
      <c r="P12673">
        <v>0</v>
      </c>
      <c r="Q12673">
        <v>0</v>
      </c>
      <c r="R12673" t="s">
        <v>47440</v>
      </c>
      <c r="S12673" t="s">
        <v>47963</v>
      </c>
      <c r="T12673" t="s">
        <v>49080</v>
      </c>
      <c r="U12673" t="s">
        <v>60069</v>
      </c>
      <c r="W12673" t="s">
        <v>43030</v>
      </c>
      <c r="X12673" t="s">
        <v>47441</v>
      </c>
    </row>
    <row r="12674" spans="1:24">
      <c r="A12674">
        <f>HYPERLINK("https://www.philgeps.gov.ph/GEPSNONPILOT/Tender/SplashBidNoticeAbstractUI.aspx?menuIndex=3&amp;refID=7136185&amp;Result=3","7136185")</f>
        <v>0</v>
      </c>
      <c r="B12674" t="s">
        <v>3602</v>
      </c>
      <c r="C12674" t="s">
        <v>15852</v>
      </c>
      <c r="D12674" t="s">
        <v>19027</v>
      </c>
      <c r="E12674" t="s">
        <v>23539</v>
      </c>
      <c r="F12674" t="s">
        <v>32831</v>
      </c>
      <c r="G12674" t="s">
        <v>32839</v>
      </c>
      <c r="H12674" t="s">
        <v>32848</v>
      </c>
      <c r="I12674" t="s">
        <v>32857</v>
      </c>
      <c r="J12674" t="s">
        <v>40735</v>
      </c>
      <c r="K12674" t="s">
        <v>42748</v>
      </c>
      <c r="M12674" t="s">
        <v>46966</v>
      </c>
      <c r="N12674" t="s">
        <v>47424</v>
      </c>
      <c r="O12674" t="s">
        <v>47425</v>
      </c>
      <c r="P12674">
        <v>0</v>
      </c>
      <c r="Q12674">
        <v>9</v>
      </c>
      <c r="R12674" t="s">
        <v>47440</v>
      </c>
      <c r="S12674" t="s">
        <v>47963</v>
      </c>
      <c r="T12674" t="s">
        <v>49066</v>
      </c>
      <c r="U12674" t="s">
        <v>60070</v>
      </c>
      <c r="W12674" t="s">
        <v>46966</v>
      </c>
      <c r="X12674" t="s">
        <v>47441</v>
      </c>
    </row>
    <row r="12675" spans="1:24">
      <c r="A12675">
        <f>HYPERLINK("https://www.philgeps.gov.ph/GEPSNONPILOT/Tender/SplashBidNoticeAbstractUI.aspx?menuIndex=3&amp;refID=7136184&amp;Result=3","7136184")</f>
        <v>0</v>
      </c>
      <c r="B12675" t="s">
        <v>3604</v>
      </c>
      <c r="C12675" t="s">
        <v>15853</v>
      </c>
      <c r="D12675" t="s">
        <v>19021</v>
      </c>
      <c r="E12675" t="s">
        <v>29955</v>
      </c>
      <c r="F12675" t="s">
        <v>32831</v>
      </c>
      <c r="G12675" t="s">
        <v>32839</v>
      </c>
      <c r="H12675" t="s">
        <v>32848</v>
      </c>
      <c r="I12675" t="s">
        <v>32870</v>
      </c>
      <c r="J12675" t="s">
        <v>40736</v>
      </c>
      <c r="K12675" t="s">
        <v>42780</v>
      </c>
      <c r="M12675" t="s">
        <v>46969</v>
      </c>
      <c r="N12675" t="s">
        <v>47424</v>
      </c>
      <c r="O12675" t="s">
        <v>47425</v>
      </c>
      <c r="P12675">
        <v>0</v>
      </c>
      <c r="Q12675">
        <v>1</v>
      </c>
      <c r="R12675" t="s">
        <v>47440</v>
      </c>
      <c r="S12675" t="s">
        <v>47963</v>
      </c>
      <c r="T12675" t="s">
        <v>49237</v>
      </c>
      <c r="U12675" t="s">
        <v>60071</v>
      </c>
      <c r="W12675" t="s">
        <v>46969</v>
      </c>
      <c r="X12675" t="s">
        <v>47441</v>
      </c>
    </row>
    <row r="12676" spans="1:24">
      <c r="A12676">
        <f>HYPERLINK("https://www.philgeps.gov.ph/GEPSNONPILOT/Tender/SplashBidNoticeAbstractUI.aspx?menuIndex=3&amp;refID=7136176&amp;Result=3","7136176")</f>
        <v>0</v>
      </c>
      <c r="B12676" t="s">
        <v>3604</v>
      </c>
      <c r="C12676" t="s">
        <v>15854</v>
      </c>
      <c r="D12676" t="s">
        <v>19021</v>
      </c>
      <c r="E12676" t="s">
        <v>29956</v>
      </c>
      <c r="F12676" t="s">
        <v>32831</v>
      </c>
      <c r="G12676" t="s">
        <v>32839</v>
      </c>
      <c r="H12676" t="s">
        <v>32848</v>
      </c>
      <c r="I12676" t="s">
        <v>7416</v>
      </c>
      <c r="J12676" t="s">
        <v>40737</v>
      </c>
      <c r="K12676" t="s">
        <v>42730</v>
      </c>
      <c r="M12676" t="s">
        <v>46969</v>
      </c>
      <c r="N12676" t="s">
        <v>47424</v>
      </c>
      <c r="O12676" t="s">
        <v>47425</v>
      </c>
      <c r="P12676">
        <v>0</v>
      </c>
      <c r="Q12676">
        <v>4</v>
      </c>
      <c r="R12676" t="s">
        <v>47440</v>
      </c>
      <c r="S12676" t="s">
        <v>47963</v>
      </c>
      <c r="T12676" t="s">
        <v>49237</v>
      </c>
      <c r="U12676" t="s">
        <v>60071</v>
      </c>
      <c r="W12676" t="s">
        <v>46969</v>
      </c>
      <c r="X12676" t="s">
        <v>47441</v>
      </c>
    </row>
    <row r="12677" spans="1:24">
      <c r="A12677">
        <f>HYPERLINK("https://www.philgeps.gov.ph/GEPSNONPILOT/Tender/SplashBidNoticeAbstractUI.aspx?menuIndex=3&amp;refID=7136173&amp;Result=3","7136173")</f>
        <v>0</v>
      </c>
      <c r="B12677" t="s">
        <v>3602</v>
      </c>
      <c r="C12677" t="s">
        <v>15855</v>
      </c>
      <c r="D12677" t="s">
        <v>19027</v>
      </c>
      <c r="E12677" t="s">
        <v>29505</v>
      </c>
      <c r="F12677" t="s">
        <v>32831</v>
      </c>
      <c r="G12677" t="s">
        <v>32839</v>
      </c>
      <c r="H12677" t="s">
        <v>32848</v>
      </c>
      <c r="I12677" t="s">
        <v>32870</v>
      </c>
      <c r="J12677" t="s">
        <v>40738</v>
      </c>
      <c r="K12677" t="s">
        <v>42730</v>
      </c>
      <c r="M12677" t="s">
        <v>46966</v>
      </c>
      <c r="N12677" t="s">
        <v>47424</v>
      </c>
      <c r="O12677" t="s">
        <v>47425</v>
      </c>
      <c r="P12677">
        <v>0</v>
      </c>
      <c r="Q12677">
        <v>0</v>
      </c>
      <c r="R12677" t="s">
        <v>47440</v>
      </c>
      <c r="S12677" t="s">
        <v>47963</v>
      </c>
      <c r="T12677" t="s">
        <v>49066</v>
      </c>
      <c r="U12677" t="s">
        <v>60072</v>
      </c>
      <c r="W12677" t="s">
        <v>46966</v>
      </c>
      <c r="X12677" t="s">
        <v>47441</v>
      </c>
    </row>
    <row r="12678" spans="1:24">
      <c r="A12678">
        <f>HYPERLINK("https://www.philgeps.gov.ph/GEPSNONPILOT/Tender/SplashBidNoticeAbstractUI.aspx?menuIndex=3&amp;refID=7135582&amp;Result=3","7135582")</f>
        <v>0</v>
      </c>
      <c r="B12678" t="s">
        <v>33</v>
      </c>
      <c r="C12678" t="s">
        <v>15856</v>
      </c>
      <c r="D12678" t="s">
        <v>19024</v>
      </c>
      <c r="E12678" t="s">
        <v>29957</v>
      </c>
      <c r="F12678" t="s">
        <v>32831</v>
      </c>
      <c r="G12678" t="s">
        <v>32839</v>
      </c>
      <c r="H12678" t="s">
        <v>32848</v>
      </c>
      <c r="I12678" t="s">
        <v>7751</v>
      </c>
      <c r="J12678" t="s">
        <v>33106</v>
      </c>
      <c r="K12678" t="s">
        <v>42730</v>
      </c>
      <c r="M12678" t="s">
        <v>43030</v>
      </c>
      <c r="N12678" t="s">
        <v>47424</v>
      </c>
      <c r="O12678" t="s">
        <v>47425</v>
      </c>
      <c r="P12678">
        <v>0</v>
      </c>
      <c r="Q12678">
        <v>6</v>
      </c>
      <c r="R12678" t="s">
        <v>47440</v>
      </c>
      <c r="S12678" t="s">
        <v>47963</v>
      </c>
      <c r="T12678" t="s">
        <v>49080</v>
      </c>
      <c r="U12678" t="s">
        <v>60073</v>
      </c>
      <c r="W12678" t="s">
        <v>43030</v>
      </c>
      <c r="X12678" t="s">
        <v>47443</v>
      </c>
    </row>
    <row r="12679" spans="1:24">
      <c r="A12679">
        <f>HYPERLINK("https://www.philgeps.gov.ph/GEPSNONPILOT/Tender/SplashBidNoticeAbstractUI.aspx?menuIndex=3&amp;refID=7136457&amp;Result=3","7136457")</f>
        <v>0</v>
      </c>
      <c r="B12679" t="s">
        <v>3598</v>
      </c>
      <c r="C12679" t="s">
        <v>15857</v>
      </c>
      <c r="D12679" t="s">
        <v>19077</v>
      </c>
      <c r="E12679" t="s">
        <v>29958</v>
      </c>
      <c r="F12679" t="s">
        <v>32831</v>
      </c>
      <c r="G12679" t="s">
        <v>32839</v>
      </c>
      <c r="H12679" t="s">
        <v>32848</v>
      </c>
      <c r="I12679" t="s">
        <v>32886</v>
      </c>
      <c r="J12679" t="s">
        <v>40739</v>
      </c>
      <c r="K12679" t="s">
        <v>42730</v>
      </c>
      <c r="M12679" t="s">
        <v>46962</v>
      </c>
      <c r="N12679" t="s">
        <v>47424</v>
      </c>
      <c r="O12679" t="s">
        <v>47425</v>
      </c>
      <c r="P12679">
        <v>0</v>
      </c>
      <c r="Q12679">
        <v>2</v>
      </c>
      <c r="R12679" t="s">
        <v>47440</v>
      </c>
      <c r="S12679" t="s">
        <v>47963</v>
      </c>
      <c r="T12679" t="s">
        <v>49175</v>
      </c>
      <c r="U12679" t="s">
        <v>60074</v>
      </c>
      <c r="W12679" t="s">
        <v>46962</v>
      </c>
      <c r="X12679" t="s">
        <v>47441</v>
      </c>
    </row>
    <row r="12680" spans="1:24">
      <c r="A12680">
        <f>HYPERLINK("https://www.philgeps.gov.ph/GEPSNONPILOT/Tender/SplashBidNoticeAbstractUI.aspx?menuIndex=3&amp;refID=7136451&amp;Result=3","7136451")</f>
        <v>0</v>
      </c>
      <c r="B12680" t="s">
        <v>2280</v>
      </c>
      <c r="C12680" t="s">
        <v>15858</v>
      </c>
      <c r="D12680" t="s">
        <v>19017</v>
      </c>
      <c r="E12680" t="s">
        <v>29959</v>
      </c>
      <c r="F12680" t="s">
        <v>32831</v>
      </c>
      <c r="G12680" t="s">
        <v>32839</v>
      </c>
      <c r="H12680" t="s">
        <v>32849</v>
      </c>
      <c r="I12680" t="s">
        <v>4177</v>
      </c>
      <c r="J12680" t="s">
        <v>40740</v>
      </c>
      <c r="K12680" t="s">
        <v>42747</v>
      </c>
      <c r="M12680" t="s">
        <v>45464</v>
      </c>
      <c r="N12680" t="s">
        <v>47424</v>
      </c>
      <c r="O12680" t="s">
        <v>47425</v>
      </c>
      <c r="P12680">
        <v>0</v>
      </c>
      <c r="Q12680">
        <v>0</v>
      </c>
      <c r="R12680" t="s">
        <v>47440</v>
      </c>
      <c r="S12680" t="s">
        <v>47963</v>
      </c>
      <c r="T12680" t="s">
        <v>49066</v>
      </c>
      <c r="U12680" t="s">
        <v>60075</v>
      </c>
      <c r="W12680" t="s">
        <v>45464</v>
      </c>
      <c r="X12680" t="s">
        <v>47441</v>
      </c>
    </row>
    <row r="12681" spans="1:24">
      <c r="A12681">
        <f>HYPERLINK("https://www.philgeps.gov.ph/GEPSNONPILOT/Tender/SplashBidNoticeAbstractUI.aspx?menuIndex=3&amp;refID=7136435&amp;Result=3","7136435")</f>
        <v>0</v>
      </c>
      <c r="B12681" t="s">
        <v>231</v>
      </c>
      <c r="C12681" t="s">
        <v>15859</v>
      </c>
      <c r="D12681" t="s">
        <v>19039</v>
      </c>
      <c r="E12681" t="s">
        <v>29960</v>
      </c>
      <c r="F12681" t="s">
        <v>32831</v>
      </c>
      <c r="G12681" t="s">
        <v>32839</v>
      </c>
      <c r="H12681" t="s">
        <v>32849</v>
      </c>
      <c r="I12681" t="s">
        <v>4177</v>
      </c>
      <c r="J12681" t="s">
        <v>33066</v>
      </c>
      <c r="K12681" t="s">
        <v>42780</v>
      </c>
      <c r="M12681" t="s">
        <v>46970</v>
      </c>
      <c r="N12681" t="s">
        <v>47424</v>
      </c>
      <c r="O12681" t="s">
        <v>47425</v>
      </c>
      <c r="P12681">
        <v>0</v>
      </c>
      <c r="Q12681">
        <v>4</v>
      </c>
      <c r="R12681" t="s">
        <v>47440</v>
      </c>
      <c r="S12681" t="s">
        <v>47963</v>
      </c>
      <c r="T12681" t="s">
        <v>49066</v>
      </c>
      <c r="U12681" t="s">
        <v>60076</v>
      </c>
      <c r="W12681" t="s">
        <v>46971</v>
      </c>
      <c r="X12681" t="s">
        <v>47441</v>
      </c>
    </row>
    <row r="12682" spans="1:24">
      <c r="A12682">
        <f>HYPERLINK("https://www.philgeps.gov.ph/GEPSNONPILOT/Tender/SplashBidNoticeAbstractUI.aspx?menuIndex=3&amp;refID=7135603&amp;Result=3","7135603")</f>
        <v>0</v>
      </c>
      <c r="B12682" t="s">
        <v>33</v>
      </c>
      <c r="C12682" t="s">
        <v>15860</v>
      </c>
      <c r="D12682" t="s">
        <v>19024</v>
      </c>
      <c r="E12682" t="s">
        <v>29961</v>
      </c>
      <c r="F12682" t="s">
        <v>32831</v>
      </c>
      <c r="G12682" t="s">
        <v>32839</v>
      </c>
      <c r="H12682" t="s">
        <v>32848</v>
      </c>
      <c r="I12682" t="s">
        <v>6526</v>
      </c>
      <c r="J12682" t="s">
        <v>33223</v>
      </c>
      <c r="K12682" t="s">
        <v>42730</v>
      </c>
      <c r="M12682" t="s">
        <v>43030</v>
      </c>
      <c r="N12682" t="s">
        <v>47424</v>
      </c>
      <c r="O12682" t="s">
        <v>47425</v>
      </c>
      <c r="P12682">
        <v>0</v>
      </c>
      <c r="Q12682">
        <v>0</v>
      </c>
      <c r="R12682" t="s">
        <v>47440</v>
      </c>
      <c r="S12682" t="s">
        <v>47963</v>
      </c>
      <c r="T12682" t="s">
        <v>49080</v>
      </c>
      <c r="U12682" t="s">
        <v>60077</v>
      </c>
      <c r="W12682" t="s">
        <v>43030</v>
      </c>
      <c r="X12682" t="s">
        <v>47443</v>
      </c>
    </row>
    <row r="12683" spans="1:24">
      <c r="A12683">
        <f>HYPERLINK("https://www.philgeps.gov.ph/GEPSNONPILOT/Tender/SplashBidNoticeAbstractUI.aspx?menuIndex=3&amp;refID=7136257&amp;Result=3","7136257")</f>
        <v>0</v>
      </c>
      <c r="B12683" t="s">
        <v>1649</v>
      </c>
      <c r="C12683" t="s">
        <v>15861</v>
      </c>
      <c r="D12683" t="s">
        <v>19018</v>
      </c>
      <c r="E12683" t="s">
        <v>29962</v>
      </c>
      <c r="F12683" t="s">
        <v>32831</v>
      </c>
      <c r="G12683" t="s">
        <v>32838</v>
      </c>
      <c r="H12683" t="s">
        <v>32848</v>
      </c>
      <c r="I12683" t="s">
        <v>4303</v>
      </c>
      <c r="J12683" t="s">
        <v>40741</v>
      </c>
      <c r="K12683" t="s">
        <v>42732</v>
      </c>
      <c r="M12683" t="s">
        <v>46118</v>
      </c>
      <c r="N12683" t="s">
        <v>47424</v>
      </c>
      <c r="O12683" t="s">
        <v>47425</v>
      </c>
      <c r="P12683">
        <v>0</v>
      </c>
      <c r="Q12683">
        <v>0</v>
      </c>
      <c r="R12683" t="s">
        <v>47440</v>
      </c>
      <c r="S12683" t="s">
        <v>47963</v>
      </c>
      <c r="T12683" t="s">
        <v>49212</v>
      </c>
      <c r="U12683" t="s">
        <v>60078</v>
      </c>
      <c r="W12683" t="s">
        <v>46118</v>
      </c>
      <c r="X12683" t="s">
        <v>47441</v>
      </c>
    </row>
    <row r="12684" spans="1:24">
      <c r="A12684">
        <f>HYPERLINK("https://www.philgeps.gov.ph/GEPSNONPILOT/Tender/SplashBidNoticeAbstractUI.aspx?menuIndex=3&amp;refID=7136401&amp;Result=3","7136401")</f>
        <v>0</v>
      </c>
      <c r="B12684" t="s">
        <v>3567</v>
      </c>
      <c r="C12684" t="s">
        <v>15862</v>
      </c>
      <c r="D12684" t="s">
        <v>19044</v>
      </c>
      <c r="E12684" t="s">
        <v>22301</v>
      </c>
      <c r="F12684" t="s">
        <v>32831</v>
      </c>
      <c r="G12684" t="s">
        <v>32839</v>
      </c>
      <c r="H12684" t="s">
        <v>32849</v>
      </c>
      <c r="I12684" t="s">
        <v>4177</v>
      </c>
      <c r="J12684" t="s">
        <v>33111</v>
      </c>
      <c r="K12684" t="s">
        <v>42780</v>
      </c>
      <c r="L12684" t="s">
        <v>3567</v>
      </c>
      <c r="M12684" t="s">
        <v>46924</v>
      </c>
      <c r="N12684" t="s">
        <v>47424</v>
      </c>
      <c r="O12684" t="s">
        <v>47425</v>
      </c>
      <c r="Q12684">
        <v>1</v>
      </c>
      <c r="R12684" t="s">
        <v>47440</v>
      </c>
      <c r="S12684" t="s">
        <v>47985</v>
      </c>
      <c r="T12684" t="s">
        <v>49070</v>
      </c>
      <c r="U12684" t="s">
        <v>60079</v>
      </c>
      <c r="W12684" t="s">
        <v>46924</v>
      </c>
      <c r="X12684" t="s">
        <v>47441</v>
      </c>
    </row>
    <row r="12685" spans="1:24">
      <c r="A12685">
        <f>HYPERLINK("https://www.philgeps.gov.ph/GEPSNONPILOT/Tender/SplashBidNoticeAbstractUI.aspx?menuIndex=3&amp;refID=7136356&amp;Result=3","7136356")</f>
        <v>0</v>
      </c>
      <c r="B12685" t="s">
        <v>231</v>
      </c>
      <c r="C12685" t="s">
        <v>15863</v>
      </c>
      <c r="D12685" t="s">
        <v>19039</v>
      </c>
      <c r="E12685" t="s">
        <v>29963</v>
      </c>
      <c r="F12685" t="s">
        <v>32831</v>
      </c>
      <c r="G12685" t="s">
        <v>32839</v>
      </c>
      <c r="H12685" t="s">
        <v>32849</v>
      </c>
      <c r="I12685" t="s">
        <v>4177</v>
      </c>
      <c r="J12685" t="s">
        <v>40742</v>
      </c>
      <c r="K12685" t="s">
        <v>42768</v>
      </c>
      <c r="M12685" t="s">
        <v>46971</v>
      </c>
      <c r="N12685" t="s">
        <v>47424</v>
      </c>
      <c r="O12685" t="s">
        <v>47425</v>
      </c>
      <c r="P12685">
        <v>0</v>
      </c>
      <c r="Q12685">
        <v>0</v>
      </c>
      <c r="R12685" t="s">
        <v>47440</v>
      </c>
      <c r="S12685" t="s">
        <v>47963</v>
      </c>
      <c r="T12685" t="s">
        <v>49066</v>
      </c>
      <c r="U12685" t="s">
        <v>60080</v>
      </c>
      <c r="W12685" t="s">
        <v>46971</v>
      </c>
      <c r="X12685" t="s">
        <v>47441</v>
      </c>
    </row>
    <row r="12686" spans="1:24">
      <c r="A12686">
        <f>HYPERLINK("https://www.philgeps.gov.ph/GEPSNONPILOT/Tender/SplashBidNoticeAbstractUI.aspx?menuIndex=3&amp;refID=7136334&amp;Result=3","7136334")</f>
        <v>0</v>
      </c>
      <c r="B12686" t="s">
        <v>832</v>
      </c>
      <c r="C12686" t="s">
        <v>15864</v>
      </c>
      <c r="D12686" t="s">
        <v>19017</v>
      </c>
      <c r="E12686" t="s">
        <v>29964</v>
      </c>
      <c r="F12686" t="s">
        <v>32831</v>
      </c>
      <c r="G12686" t="s">
        <v>32842</v>
      </c>
      <c r="H12686" t="s">
        <v>32848</v>
      </c>
      <c r="I12686" t="s">
        <v>4438</v>
      </c>
      <c r="J12686" t="s">
        <v>40743</v>
      </c>
      <c r="K12686" t="s">
        <v>42727</v>
      </c>
      <c r="M12686" t="s">
        <v>43864</v>
      </c>
      <c r="N12686" t="s">
        <v>47424</v>
      </c>
      <c r="O12686" t="s">
        <v>47425</v>
      </c>
      <c r="Q12686">
        <v>6</v>
      </c>
      <c r="R12686" t="s">
        <v>47440</v>
      </c>
      <c r="S12686" t="s">
        <v>47986</v>
      </c>
      <c r="T12686" t="s">
        <v>49162</v>
      </c>
      <c r="U12686" t="s">
        <v>51215</v>
      </c>
      <c r="V12686" t="s">
        <v>62822</v>
      </c>
      <c r="W12686" t="s">
        <v>43864</v>
      </c>
      <c r="X12686" t="s">
        <v>47441</v>
      </c>
    </row>
    <row r="12687" spans="1:24">
      <c r="A12687">
        <f>HYPERLINK("https://www.philgeps.gov.ph/GEPSNONPILOT/Tender/SplashBidNoticeAbstractUI.aspx?menuIndex=3&amp;refID=7136417&amp;Result=3","7136417")</f>
        <v>0</v>
      </c>
      <c r="B12687" t="s">
        <v>513</v>
      </c>
      <c r="C12687" t="s">
        <v>15865</v>
      </c>
      <c r="D12687" t="s">
        <v>19018</v>
      </c>
      <c r="E12687" t="s">
        <v>29965</v>
      </c>
      <c r="F12687" t="s">
        <v>32831</v>
      </c>
      <c r="G12687" t="s">
        <v>32839</v>
      </c>
      <c r="H12687" t="s">
        <v>32848</v>
      </c>
      <c r="I12687" t="s">
        <v>4438</v>
      </c>
      <c r="J12687" t="s">
        <v>40744</v>
      </c>
      <c r="K12687" t="s">
        <v>42726</v>
      </c>
      <c r="M12687" t="s">
        <v>43518</v>
      </c>
      <c r="N12687" t="s">
        <v>47424</v>
      </c>
      <c r="O12687" t="s">
        <v>47425</v>
      </c>
      <c r="P12687">
        <v>0</v>
      </c>
      <c r="Q12687">
        <v>3</v>
      </c>
      <c r="R12687" t="s">
        <v>47440</v>
      </c>
      <c r="S12687" t="s">
        <v>47963</v>
      </c>
      <c r="T12687" t="s">
        <v>49196</v>
      </c>
      <c r="U12687" t="s">
        <v>60081</v>
      </c>
      <c r="W12687" t="s">
        <v>64441</v>
      </c>
      <c r="X12687" t="s">
        <v>47441</v>
      </c>
    </row>
    <row r="12688" spans="1:24">
      <c r="A12688">
        <f>HYPERLINK("https://www.philgeps.gov.ph/GEPSNONPILOT/Tender/SplashBidNoticeAbstractUI.aspx?menuIndex=3&amp;refID=7136325&amp;Result=3","7136325")</f>
        <v>0</v>
      </c>
      <c r="B12688" t="s">
        <v>1775</v>
      </c>
      <c r="C12688" t="s">
        <v>15866</v>
      </c>
      <c r="D12688" t="s">
        <v>19045</v>
      </c>
      <c r="E12688" t="s">
        <v>29966</v>
      </c>
      <c r="F12688" t="s">
        <v>32831</v>
      </c>
      <c r="G12688" t="s">
        <v>32839</v>
      </c>
      <c r="H12688" t="s">
        <v>32848</v>
      </c>
      <c r="I12688" t="s">
        <v>32908</v>
      </c>
      <c r="J12688" t="s">
        <v>36730</v>
      </c>
      <c r="K12688" t="s">
        <v>42730</v>
      </c>
      <c r="M12688" t="s">
        <v>44900</v>
      </c>
      <c r="N12688" t="s">
        <v>47424</v>
      </c>
      <c r="O12688" t="s">
        <v>47425</v>
      </c>
      <c r="P12688">
        <v>0</v>
      </c>
      <c r="Q12688">
        <v>4</v>
      </c>
      <c r="R12688" t="s">
        <v>47440</v>
      </c>
      <c r="S12688" t="s">
        <v>47963</v>
      </c>
      <c r="T12688" t="s">
        <v>49068</v>
      </c>
      <c r="U12688" t="s">
        <v>60082</v>
      </c>
      <c r="V12688" t="s">
        <v>63123</v>
      </c>
      <c r="W12688" t="s">
        <v>64486</v>
      </c>
      <c r="X12688" t="s">
        <v>47441</v>
      </c>
    </row>
    <row r="12689" spans="1:24">
      <c r="A12689">
        <f>HYPERLINK("https://www.philgeps.gov.ph/GEPSNONPILOT/Tender/SplashBidNoticeAbstractUI.aspx?menuIndex=3&amp;refID=7136347&amp;Result=3","7136347")</f>
        <v>0</v>
      </c>
      <c r="B12689" t="s">
        <v>832</v>
      </c>
      <c r="C12689" t="s">
        <v>15867</v>
      </c>
      <c r="D12689" t="s">
        <v>19017</v>
      </c>
      <c r="E12689" t="s">
        <v>29967</v>
      </c>
      <c r="F12689" t="s">
        <v>32831</v>
      </c>
      <c r="G12689" t="s">
        <v>32842</v>
      </c>
      <c r="H12689" t="s">
        <v>32848</v>
      </c>
      <c r="I12689" t="s">
        <v>4438</v>
      </c>
      <c r="J12689" t="s">
        <v>33989</v>
      </c>
      <c r="K12689" t="s">
        <v>42727</v>
      </c>
      <c r="M12689" t="s">
        <v>43864</v>
      </c>
      <c r="N12689" t="s">
        <v>47424</v>
      </c>
      <c r="O12689" t="s">
        <v>47425</v>
      </c>
      <c r="Q12689">
        <v>0</v>
      </c>
      <c r="R12689" t="s">
        <v>47440</v>
      </c>
      <c r="S12689" t="s">
        <v>47987</v>
      </c>
      <c r="T12689" t="s">
        <v>49162</v>
      </c>
      <c r="U12689" t="s">
        <v>51215</v>
      </c>
      <c r="V12689" t="s">
        <v>62822</v>
      </c>
      <c r="W12689" t="s">
        <v>43864</v>
      </c>
      <c r="X12689" t="s">
        <v>47441</v>
      </c>
    </row>
    <row r="12690" spans="1:24">
      <c r="A12690">
        <f>HYPERLINK("https://www.philgeps.gov.ph/GEPSNONPILOT/Tender/SplashBidNoticeAbstractUI.aspx?menuIndex=3&amp;refID=7136310&amp;Result=3","7136310")</f>
        <v>0</v>
      </c>
      <c r="B12690" t="s">
        <v>3605</v>
      </c>
      <c r="C12690" t="s">
        <v>15868</v>
      </c>
      <c r="D12690" t="s">
        <v>19061</v>
      </c>
      <c r="E12690" t="s">
        <v>22443</v>
      </c>
      <c r="F12690" t="s">
        <v>32832</v>
      </c>
      <c r="G12690" t="s">
        <v>32839</v>
      </c>
      <c r="H12690" t="s">
        <v>32848</v>
      </c>
      <c r="I12690" t="s">
        <v>7416</v>
      </c>
      <c r="J12690" t="s">
        <v>33072</v>
      </c>
      <c r="K12690" t="s">
        <v>42727</v>
      </c>
      <c r="L12690" t="s">
        <v>3605</v>
      </c>
      <c r="M12690" t="s">
        <v>46972</v>
      </c>
      <c r="N12690" t="s">
        <v>47424</v>
      </c>
      <c r="O12690" t="s">
        <v>47425</v>
      </c>
      <c r="P12690">
        <v>0</v>
      </c>
      <c r="Q12690">
        <v>0</v>
      </c>
      <c r="R12690" t="s">
        <v>47440</v>
      </c>
      <c r="S12690" t="s">
        <v>47963</v>
      </c>
      <c r="T12690" t="s">
        <v>49111</v>
      </c>
      <c r="U12690" t="s">
        <v>60083</v>
      </c>
      <c r="W12690" t="s">
        <v>46972</v>
      </c>
      <c r="X12690" t="s">
        <v>47441</v>
      </c>
    </row>
    <row r="12691" spans="1:24">
      <c r="A12691">
        <f>HYPERLINK("https://www.philgeps.gov.ph/GEPSNONPILOT/Tender/SplashBidNoticeAbstractUI.aspx?menuIndex=3&amp;refID=7136316&amp;Result=3","7136316")</f>
        <v>0</v>
      </c>
      <c r="B12691" t="s">
        <v>1118</v>
      </c>
      <c r="C12691" t="s">
        <v>15869</v>
      </c>
      <c r="D12691" t="s">
        <v>19060</v>
      </c>
      <c r="E12691" t="s">
        <v>29968</v>
      </c>
      <c r="F12691" t="s">
        <v>32831</v>
      </c>
      <c r="G12691" t="s">
        <v>32839</v>
      </c>
      <c r="H12691" t="s">
        <v>32849</v>
      </c>
      <c r="I12691" t="s">
        <v>4177</v>
      </c>
      <c r="J12691" t="s">
        <v>40745</v>
      </c>
      <c r="K12691" t="s">
        <v>42770</v>
      </c>
      <c r="M12691" t="s">
        <v>45853</v>
      </c>
      <c r="N12691" t="s">
        <v>47424</v>
      </c>
      <c r="O12691" t="s">
        <v>47425</v>
      </c>
      <c r="P12691">
        <v>0</v>
      </c>
      <c r="Q12691">
        <v>2</v>
      </c>
      <c r="R12691" t="s">
        <v>47440</v>
      </c>
      <c r="S12691" t="s">
        <v>47963</v>
      </c>
      <c r="T12691" t="s">
        <v>49057</v>
      </c>
      <c r="U12691" t="s">
        <v>60084</v>
      </c>
      <c r="W12691" t="s">
        <v>45853</v>
      </c>
      <c r="X12691" t="s">
        <v>47441</v>
      </c>
    </row>
    <row r="12692" spans="1:24">
      <c r="A12692">
        <f>HYPERLINK("https://www.philgeps.gov.ph/GEPSNONPILOT/Tender/SplashBidNoticeAbstractUI.aspx?menuIndex=3&amp;refID=7136322&amp;Result=3","7136322")</f>
        <v>0</v>
      </c>
      <c r="B12692" t="s">
        <v>832</v>
      </c>
      <c r="C12692" t="s">
        <v>15870</v>
      </c>
      <c r="D12692" t="s">
        <v>19017</v>
      </c>
      <c r="E12692" t="s">
        <v>29969</v>
      </c>
      <c r="F12692" t="s">
        <v>32831</v>
      </c>
      <c r="G12692" t="s">
        <v>32842</v>
      </c>
      <c r="H12692" t="s">
        <v>32848</v>
      </c>
      <c r="I12692" t="s">
        <v>4776</v>
      </c>
      <c r="J12692" t="s">
        <v>33162</v>
      </c>
      <c r="K12692" t="s">
        <v>42745</v>
      </c>
      <c r="M12692" t="s">
        <v>43864</v>
      </c>
      <c r="N12692" t="s">
        <v>47424</v>
      </c>
      <c r="O12692" t="s">
        <v>47425</v>
      </c>
      <c r="Q12692">
        <v>14</v>
      </c>
      <c r="R12692" t="s">
        <v>47440</v>
      </c>
      <c r="S12692" t="s">
        <v>47988</v>
      </c>
      <c r="T12692" t="s">
        <v>49127</v>
      </c>
      <c r="U12692" t="s">
        <v>51215</v>
      </c>
      <c r="V12692" t="s">
        <v>62842</v>
      </c>
      <c r="W12692" t="s">
        <v>43864</v>
      </c>
      <c r="X12692" t="s">
        <v>47441</v>
      </c>
    </row>
    <row r="12693" spans="1:24">
      <c r="A12693">
        <f>HYPERLINK("https://www.philgeps.gov.ph/GEPSNONPILOT/Tender/SplashBidNoticeAbstractUI.aspx?menuIndex=3&amp;refID=7136412&amp;Result=3","7136412")</f>
        <v>0</v>
      </c>
      <c r="B12693" t="s">
        <v>3606</v>
      </c>
      <c r="C12693" t="s">
        <v>7813</v>
      </c>
      <c r="D12693" t="s">
        <v>19037</v>
      </c>
      <c r="E12693" t="s">
        <v>29970</v>
      </c>
      <c r="F12693" t="s">
        <v>32831</v>
      </c>
      <c r="G12693" t="s">
        <v>32839</v>
      </c>
      <c r="H12693" t="s">
        <v>32848</v>
      </c>
      <c r="I12693" t="s">
        <v>7751</v>
      </c>
      <c r="J12693" t="s">
        <v>33561</v>
      </c>
      <c r="K12693" t="s">
        <v>42747</v>
      </c>
      <c r="M12693" t="s">
        <v>46973</v>
      </c>
      <c r="N12693" t="s">
        <v>47424</v>
      </c>
      <c r="O12693" t="s">
        <v>47425</v>
      </c>
      <c r="P12693">
        <v>0</v>
      </c>
      <c r="Q12693">
        <v>4</v>
      </c>
      <c r="R12693" t="s">
        <v>47440</v>
      </c>
      <c r="S12693" t="s">
        <v>47963</v>
      </c>
      <c r="T12693" t="s">
        <v>49068</v>
      </c>
      <c r="U12693" t="s">
        <v>60085</v>
      </c>
      <c r="W12693" t="s">
        <v>46973</v>
      </c>
      <c r="X12693" t="s">
        <v>47441</v>
      </c>
    </row>
    <row r="12694" spans="1:24">
      <c r="A12694">
        <f>HYPERLINK("https://www.philgeps.gov.ph/GEPSNONPILOT/Tender/SplashBidNoticeAbstractUI.aspx?menuIndex=3&amp;refID=7135848&amp;Result=3","7135848")</f>
        <v>0</v>
      </c>
      <c r="B12694" t="s">
        <v>2148</v>
      </c>
      <c r="C12694" t="s">
        <v>15871</v>
      </c>
      <c r="D12694" t="s">
        <v>19038</v>
      </c>
      <c r="E12694" t="s">
        <v>29971</v>
      </c>
      <c r="F12694" t="s">
        <v>32831</v>
      </c>
      <c r="G12694" t="s">
        <v>32839</v>
      </c>
      <c r="H12694" t="s">
        <v>32849</v>
      </c>
      <c r="I12694" t="s">
        <v>4177</v>
      </c>
      <c r="J12694" t="s">
        <v>33111</v>
      </c>
      <c r="K12694" t="s">
        <v>42764</v>
      </c>
      <c r="M12694" t="s">
        <v>45328</v>
      </c>
      <c r="N12694" t="s">
        <v>47424</v>
      </c>
      <c r="O12694" t="s">
        <v>47425</v>
      </c>
      <c r="P12694">
        <v>0</v>
      </c>
      <c r="Q12694">
        <v>2</v>
      </c>
      <c r="R12694" t="s">
        <v>47440</v>
      </c>
      <c r="S12694" t="s">
        <v>47963</v>
      </c>
      <c r="T12694" t="s">
        <v>49551</v>
      </c>
      <c r="U12694" t="s">
        <v>60086</v>
      </c>
      <c r="W12694" t="s">
        <v>45328</v>
      </c>
      <c r="X12694" t="s">
        <v>47442</v>
      </c>
    </row>
    <row r="12695" spans="1:24">
      <c r="A12695">
        <f>HYPERLINK("https://www.philgeps.gov.ph/GEPSNONPILOT/Tender/SplashBidNoticeAbstractUI.aspx?menuIndex=3&amp;refID=7136585&amp;Result=3","7136585")</f>
        <v>0</v>
      </c>
      <c r="B12695" t="s">
        <v>231</v>
      </c>
      <c r="C12695" t="s">
        <v>15872</v>
      </c>
      <c r="D12695" t="s">
        <v>19039</v>
      </c>
      <c r="E12695" t="s">
        <v>29972</v>
      </c>
      <c r="F12695" t="s">
        <v>32831</v>
      </c>
      <c r="G12695" t="s">
        <v>32839</v>
      </c>
      <c r="H12695" t="s">
        <v>32849</v>
      </c>
      <c r="I12695" t="s">
        <v>4177</v>
      </c>
      <c r="J12695" t="s">
        <v>40746</v>
      </c>
      <c r="K12695" t="s">
        <v>42780</v>
      </c>
      <c r="M12695" t="s">
        <v>46970</v>
      </c>
      <c r="N12695" t="s">
        <v>47424</v>
      </c>
      <c r="O12695" t="s">
        <v>47425</v>
      </c>
      <c r="P12695">
        <v>0</v>
      </c>
      <c r="Q12695">
        <v>2</v>
      </c>
      <c r="R12695" t="s">
        <v>47440</v>
      </c>
      <c r="S12695" t="s">
        <v>47963</v>
      </c>
      <c r="T12695" t="s">
        <v>49066</v>
      </c>
      <c r="U12695" t="s">
        <v>60087</v>
      </c>
      <c r="W12695" t="s">
        <v>46971</v>
      </c>
      <c r="X12695" t="s">
        <v>47441</v>
      </c>
    </row>
    <row r="12696" spans="1:24">
      <c r="A12696">
        <f>HYPERLINK("https://www.philgeps.gov.ph/GEPSNONPILOT/Tender/SplashBidNoticeAbstractUI.aspx?menuIndex=3&amp;refID=7135063&amp;Result=3","7135063")</f>
        <v>0</v>
      </c>
      <c r="B12696" t="s">
        <v>3593</v>
      </c>
      <c r="C12696" t="s">
        <v>15873</v>
      </c>
      <c r="D12696" t="s">
        <v>19056</v>
      </c>
      <c r="E12696" t="s">
        <v>29973</v>
      </c>
      <c r="F12696" t="s">
        <v>32831</v>
      </c>
      <c r="G12696" t="s">
        <v>32839</v>
      </c>
      <c r="H12696" t="s">
        <v>32848</v>
      </c>
      <c r="I12696" t="s">
        <v>4435</v>
      </c>
      <c r="J12696" t="s">
        <v>40747</v>
      </c>
      <c r="K12696" t="s">
        <v>42730</v>
      </c>
      <c r="M12696" t="s">
        <v>46957</v>
      </c>
      <c r="N12696" t="s">
        <v>47424</v>
      </c>
      <c r="O12696" t="s">
        <v>47425</v>
      </c>
      <c r="P12696">
        <v>0</v>
      </c>
      <c r="Q12696">
        <v>4</v>
      </c>
      <c r="R12696" t="s">
        <v>47440</v>
      </c>
      <c r="S12696" t="s">
        <v>47963</v>
      </c>
      <c r="T12696" t="s">
        <v>49105</v>
      </c>
      <c r="U12696" t="s">
        <v>60088</v>
      </c>
      <c r="W12696" t="s">
        <v>46957</v>
      </c>
      <c r="X12696" t="s">
        <v>47444</v>
      </c>
    </row>
    <row r="12697" spans="1:24">
      <c r="A12697">
        <f>HYPERLINK("https://www.philgeps.gov.ph/GEPSNONPILOT/Tender/SplashBidNoticeAbstractUI.aspx?menuIndex=3&amp;refID=7136572&amp;Result=3","7136572")</f>
        <v>0</v>
      </c>
      <c r="B12697" t="s">
        <v>2026</v>
      </c>
      <c r="C12697" t="s">
        <v>15874</v>
      </c>
      <c r="D12697" t="s">
        <v>19019</v>
      </c>
      <c r="E12697" t="s">
        <v>29974</v>
      </c>
      <c r="F12697" t="s">
        <v>32831</v>
      </c>
      <c r="G12697" t="s">
        <v>32839</v>
      </c>
      <c r="H12697" t="s">
        <v>32848</v>
      </c>
      <c r="I12697" t="s">
        <v>32961</v>
      </c>
      <c r="J12697" t="s">
        <v>36254</v>
      </c>
      <c r="K12697" t="s">
        <v>42732</v>
      </c>
      <c r="M12697" t="s">
        <v>45194</v>
      </c>
      <c r="N12697" t="s">
        <v>47424</v>
      </c>
      <c r="O12697" t="s">
        <v>47425</v>
      </c>
      <c r="P12697">
        <v>0</v>
      </c>
      <c r="Q12697">
        <v>6</v>
      </c>
      <c r="R12697" t="s">
        <v>47440</v>
      </c>
      <c r="S12697" t="s">
        <v>47963</v>
      </c>
      <c r="T12697" t="s">
        <v>49142</v>
      </c>
      <c r="U12697" t="s">
        <v>60089</v>
      </c>
      <c r="W12697" t="s">
        <v>45194</v>
      </c>
      <c r="X12697" t="s">
        <v>47441</v>
      </c>
    </row>
    <row r="12698" spans="1:24">
      <c r="A12698">
        <f>HYPERLINK("https://www.philgeps.gov.ph/GEPSNONPILOT/Tender/SplashBidNoticeAbstractUI.aspx?menuIndex=3&amp;refID=7136248&amp;Result=3","7136248")</f>
        <v>0</v>
      </c>
      <c r="B12698" t="s">
        <v>2430</v>
      </c>
      <c r="C12698" t="s">
        <v>15875</v>
      </c>
      <c r="D12698" t="s">
        <v>19049</v>
      </c>
      <c r="E12698" t="s">
        <v>29975</v>
      </c>
      <c r="F12698" t="s">
        <v>32831</v>
      </c>
      <c r="G12698" t="s">
        <v>32839</v>
      </c>
      <c r="H12698" t="s">
        <v>32849</v>
      </c>
      <c r="I12698" t="s">
        <v>4177</v>
      </c>
      <c r="J12698" t="s">
        <v>35331</v>
      </c>
      <c r="K12698" t="s">
        <v>42960</v>
      </c>
      <c r="M12698" t="s">
        <v>46968</v>
      </c>
      <c r="N12698" t="s">
        <v>47424</v>
      </c>
      <c r="O12698" t="s">
        <v>47425</v>
      </c>
      <c r="P12698">
        <v>0</v>
      </c>
      <c r="Q12698">
        <v>6</v>
      </c>
      <c r="R12698" t="s">
        <v>47440</v>
      </c>
      <c r="S12698" t="s">
        <v>47963</v>
      </c>
      <c r="T12698" t="s">
        <v>49073</v>
      </c>
      <c r="U12698" t="s">
        <v>60090</v>
      </c>
      <c r="W12698" t="s">
        <v>46968</v>
      </c>
      <c r="X12698" t="s">
        <v>47441</v>
      </c>
    </row>
    <row r="12699" spans="1:24">
      <c r="A12699">
        <f>HYPERLINK("https://www.philgeps.gov.ph/GEPSNONPILOT/Tender/SplashBidNoticeAbstractUI.aspx?menuIndex=3&amp;refID=7136559&amp;Result=3","7136559")</f>
        <v>0</v>
      </c>
      <c r="B12699" t="s">
        <v>3607</v>
      </c>
      <c r="C12699" t="s">
        <v>15876</v>
      </c>
      <c r="D12699" t="s">
        <v>19079</v>
      </c>
      <c r="E12699" t="s">
        <v>29976</v>
      </c>
      <c r="F12699" t="s">
        <v>32831</v>
      </c>
      <c r="G12699" t="s">
        <v>32839</v>
      </c>
      <c r="H12699" t="s">
        <v>32849</v>
      </c>
      <c r="I12699" t="s">
        <v>32969</v>
      </c>
      <c r="J12699" t="s">
        <v>40748</v>
      </c>
      <c r="K12699" t="s">
        <v>42749</v>
      </c>
      <c r="M12699" t="s">
        <v>46974</v>
      </c>
      <c r="N12699" t="s">
        <v>47424</v>
      </c>
      <c r="O12699" t="s">
        <v>47425</v>
      </c>
      <c r="P12699">
        <v>0</v>
      </c>
      <c r="Q12699">
        <v>0</v>
      </c>
      <c r="R12699" t="s">
        <v>47440</v>
      </c>
      <c r="S12699" t="s">
        <v>47963</v>
      </c>
      <c r="T12699" t="s">
        <v>49070</v>
      </c>
      <c r="U12699" t="s">
        <v>60091</v>
      </c>
      <c r="W12699" t="s">
        <v>46974</v>
      </c>
      <c r="X12699" t="s">
        <v>47441</v>
      </c>
    </row>
    <row r="12700" spans="1:24">
      <c r="A12700">
        <f>HYPERLINK("https://www.philgeps.gov.ph/GEPSNONPILOT/Tender/SplashBidNoticeAbstractUI.aspx?menuIndex=3&amp;refID=7136526&amp;Result=3","7136526")</f>
        <v>0</v>
      </c>
      <c r="B12700" t="s">
        <v>1857</v>
      </c>
      <c r="C12700" t="s">
        <v>15877</v>
      </c>
      <c r="E12700" t="s">
        <v>29977</v>
      </c>
      <c r="F12700" t="s">
        <v>32831</v>
      </c>
      <c r="G12700" t="s">
        <v>32839</v>
      </c>
      <c r="H12700" t="s">
        <v>32849</v>
      </c>
      <c r="I12700" t="s">
        <v>4177</v>
      </c>
      <c r="J12700" t="s">
        <v>33032</v>
      </c>
      <c r="K12700" t="s">
        <v>42747</v>
      </c>
      <c r="M12700" t="s">
        <v>44996</v>
      </c>
      <c r="N12700" t="s">
        <v>47424</v>
      </c>
      <c r="O12700" t="s">
        <v>47425</v>
      </c>
      <c r="P12700">
        <v>0</v>
      </c>
      <c r="Q12700">
        <v>0</v>
      </c>
      <c r="R12700" t="s">
        <v>47440</v>
      </c>
      <c r="S12700" t="s">
        <v>47963</v>
      </c>
      <c r="T12700" t="s">
        <v>49073</v>
      </c>
      <c r="U12700" t="s">
        <v>60092</v>
      </c>
      <c r="W12700" t="s">
        <v>44996</v>
      </c>
      <c r="X12700" t="s">
        <v>47441</v>
      </c>
    </row>
    <row r="12701" spans="1:24">
      <c r="A12701">
        <f>HYPERLINK("https://www.philgeps.gov.ph/GEPSNONPILOT/Tender/SplashBidNoticeAbstractUI.aspx?menuIndex=3&amp;refID=7136525&amp;Result=3","7136525")</f>
        <v>0</v>
      </c>
      <c r="B12701" t="s">
        <v>1837</v>
      </c>
      <c r="C12701" t="s">
        <v>15878</v>
      </c>
      <c r="D12701" t="s">
        <v>19087</v>
      </c>
      <c r="E12701" t="s">
        <v>29978</v>
      </c>
      <c r="F12701" t="s">
        <v>32831</v>
      </c>
      <c r="G12701" t="s">
        <v>32839</v>
      </c>
      <c r="H12701" t="s">
        <v>32848</v>
      </c>
      <c r="I12701" t="s">
        <v>4177</v>
      </c>
      <c r="J12701" t="s">
        <v>40749</v>
      </c>
      <c r="K12701" t="s">
        <v>42730</v>
      </c>
      <c r="M12701" t="s">
        <v>44971</v>
      </c>
      <c r="N12701" t="s">
        <v>47424</v>
      </c>
      <c r="O12701" t="s">
        <v>47425</v>
      </c>
      <c r="Q12701">
        <v>1</v>
      </c>
      <c r="R12701" t="s">
        <v>47440</v>
      </c>
      <c r="S12701" t="s">
        <v>47989</v>
      </c>
      <c r="T12701" t="s">
        <v>49066</v>
      </c>
      <c r="U12701" t="s">
        <v>60093</v>
      </c>
      <c r="V12701" t="s">
        <v>64038</v>
      </c>
      <c r="W12701" t="s">
        <v>44971</v>
      </c>
      <c r="X12701" t="s">
        <v>47441</v>
      </c>
    </row>
    <row r="12702" spans="1:24">
      <c r="A12702">
        <f>HYPERLINK("https://www.philgeps.gov.ph/GEPSNONPILOT/Tender/SplashBidNoticeAbstractUI.aspx?menuIndex=3&amp;refID=7136561&amp;Result=3","7136561")</f>
        <v>0</v>
      </c>
      <c r="B12702" t="s">
        <v>109</v>
      </c>
      <c r="C12702" t="s">
        <v>15879</v>
      </c>
      <c r="D12702" t="s">
        <v>19048</v>
      </c>
      <c r="E12702" t="s">
        <v>29979</v>
      </c>
      <c r="F12702" t="s">
        <v>32831</v>
      </c>
      <c r="G12702" t="s">
        <v>32839</v>
      </c>
      <c r="H12702" t="s">
        <v>32848</v>
      </c>
      <c r="I12702" t="s">
        <v>10805</v>
      </c>
      <c r="J12702" t="s">
        <v>40750</v>
      </c>
      <c r="K12702" t="s">
        <v>42763</v>
      </c>
      <c r="M12702" t="s">
        <v>43106</v>
      </c>
      <c r="N12702" t="s">
        <v>47424</v>
      </c>
      <c r="O12702" t="s">
        <v>47425</v>
      </c>
      <c r="Q12702">
        <v>15</v>
      </c>
      <c r="R12702" t="s">
        <v>47440</v>
      </c>
      <c r="S12702" t="s">
        <v>47990</v>
      </c>
      <c r="T12702" t="s">
        <v>49070</v>
      </c>
      <c r="U12702" t="s">
        <v>60094</v>
      </c>
      <c r="W12702" t="s">
        <v>43106</v>
      </c>
      <c r="X12702" t="s">
        <v>47441</v>
      </c>
    </row>
    <row r="12703" spans="1:24">
      <c r="A12703">
        <f>HYPERLINK("https://www.philgeps.gov.ph/GEPSNONPILOT/Tender/SplashBidNoticeAbstractUI.aspx?menuIndex=3&amp;refID=7136600&amp;Result=3","7136600")</f>
        <v>0</v>
      </c>
      <c r="B12703" t="s">
        <v>581</v>
      </c>
      <c r="C12703" t="s">
        <v>15880</v>
      </c>
      <c r="E12703" t="s">
        <v>29980</v>
      </c>
      <c r="F12703" t="s">
        <v>32831</v>
      </c>
      <c r="G12703" t="s">
        <v>32839</v>
      </c>
      <c r="H12703" t="s">
        <v>32849</v>
      </c>
      <c r="I12703" t="s">
        <v>4177</v>
      </c>
      <c r="J12703" t="s">
        <v>40751</v>
      </c>
      <c r="K12703" t="s">
        <v>42764</v>
      </c>
      <c r="M12703" t="s">
        <v>43986</v>
      </c>
      <c r="N12703" t="s">
        <v>47424</v>
      </c>
      <c r="O12703" t="s">
        <v>47425</v>
      </c>
      <c r="P12703">
        <v>0</v>
      </c>
      <c r="Q12703">
        <v>0</v>
      </c>
      <c r="R12703" t="s">
        <v>47440</v>
      </c>
      <c r="S12703" t="s">
        <v>47963</v>
      </c>
      <c r="T12703" t="s">
        <v>49169</v>
      </c>
      <c r="U12703" t="s">
        <v>60095</v>
      </c>
      <c r="W12703" t="s">
        <v>43986</v>
      </c>
      <c r="X12703" t="s">
        <v>47441</v>
      </c>
    </row>
    <row r="12704" spans="1:24">
      <c r="A12704">
        <f>HYPERLINK("https://www.philgeps.gov.ph/GEPSNONPILOT/Tender/SplashBidNoticeAbstractUI.aspx?menuIndex=3&amp;refID=7136568&amp;Result=3","7136568")</f>
        <v>0</v>
      </c>
      <c r="B12704" t="s">
        <v>2470</v>
      </c>
      <c r="C12704" t="s">
        <v>15881</v>
      </c>
      <c r="D12704" t="s">
        <v>19074</v>
      </c>
      <c r="E12704" t="s">
        <v>29981</v>
      </c>
      <c r="F12704" t="s">
        <v>32831</v>
      </c>
      <c r="G12704" t="s">
        <v>32839</v>
      </c>
      <c r="H12704" t="s">
        <v>32848</v>
      </c>
      <c r="I12704" t="s">
        <v>7751</v>
      </c>
      <c r="J12704" t="s">
        <v>36606</v>
      </c>
      <c r="K12704" t="s">
        <v>42732</v>
      </c>
      <c r="M12704" t="s">
        <v>45669</v>
      </c>
      <c r="N12704" t="s">
        <v>47424</v>
      </c>
      <c r="O12704" t="s">
        <v>47425</v>
      </c>
      <c r="P12704">
        <v>0</v>
      </c>
      <c r="Q12704">
        <v>7</v>
      </c>
      <c r="R12704" t="s">
        <v>47440</v>
      </c>
      <c r="S12704" t="s">
        <v>47963</v>
      </c>
      <c r="T12704" t="s">
        <v>49210</v>
      </c>
      <c r="U12704" t="s">
        <v>60096</v>
      </c>
      <c r="W12704" t="s">
        <v>45669</v>
      </c>
      <c r="X12704" t="s">
        <v>47441</v>
      </c>
    </row>
    <row r="12705" spans="1:24">
      <c r="A12705">
        <f>HYPERLINK("https://www.philgeps.gov.ph/GEPSNONPILOT/Tender/SplashBidNoticeAbstractUI.aspx?menuIndex=3&amp;refID=7136503&amp;Result=3","7136503")</f>
        <v>0</v>
      </c>
      <c r="B12705" t="s">
        <v>868</v>
      </c>
      <c r="C12705" t="s">
        <v>15882</v>
      </c>
      <c r="D12705" t="s">
        <v>19073</v>
      </c>
      <c r="E12705" t="s">
        <v>21910</v>
      </c>
      <c r="F12705" t="s">
        <v>32831</v>
      </c>
      <c r="G12705" t="s">
        <v>32840</v>
      </c>
      <c r="H12705" t="s">
        <v>32848</v>
      </c>
      <c r="I12705" t="s">
        <v>4435</v>
      </c>
      <c r="J12705" t="s">
        <v>33090</v>
      </c>
      <c r="K12705" t="s">
        <v>42727</v>
      </c>
      <c r="M12705" t="s">
        <v>46975</v>
      </c>
      <c r="N12705" t="s">
        <v>47424</v>
      </c>
      <c r="O12705" t="s">
        <v>47425</v>
      </c>
      <c r="P12705">
        <v>0</v>
      </c>
      <c r="Q12705">
        <v>2</v>
      </c>
      <c r="R12705" t="s">
        <v>47440</v>
      </c>
      <c r="S12705" t="s">
        <v>47963</v>
      </c>
      <c r="T12705" t="s">
        <v>49104</v>
      </c>
      <c r="U12705" t="s">
        <v>60097</v>
      </c>
      <c r="W12705" t="s">
        <v>46975</v>
      </c>
      <c r="X12705" t="s">
        <v>47441</v>
      </c>
    </row>
    <row r="12706" spans="1:24">
      <c r="A12706">
        <f>HYPERLINK("https://www.philgeps.gov.ph/GEPSNONPILOT/Tender/SplashBidNoticeAbstractUI.aspx?menuIndex=3&amp;refID=7136492&amp;Result=3","7136492")</f>
        <v>0</v>
      </c>
      <c r="B12706" t="s">
        <v>3598</v>
      </c>
      <c r="C12706" t="s">
        <v>15883</v>
      </c>
      <c r="D12706" t="s">
        <v>19077</v>
      </c>
      <c r="E12706" t="s">
        <v>29982</v>
      </c>
      <c r="F12706" t="s">
        <v>32831</v>
      </c>
      <c r="G12706" t="s">
        <v>32839</v>
      </c>
      <c r="H12706" t="s">
        <v>32848</v>
      </c>
      <c r="I12706" t="s">
        <v>4776</v>
      </c>
      <c r="J12706" t="s">
        <v>40752</v>
      </c>
      <c r="K12706" t="s">
        <v>42731</v>
      </c>
      <c r="M12706" t="s">
        <v>46962</v>
      </c>
      <c r="N12706" t="s">
        <v>47424</v>
      </c>
      <c r="O12706" t="s">
        <v>47425</v>
      </c>
      <c r="P12706">
        <v>0</v>
      </c>
      <c r="Q12706">
        <v>11</v>
      </c>
      <c r="R12706" t="s">
        <v>47440</v>
      </c>
      <c r="S12706" t="s">
        <v>47963</v>
      </c>
      <c r="T12706" t="s">
        <v>49175</v>
      </c>
      <c r="U12706" t="s">
        <v>60098</v>
      </c>
      <c r="W12706" t="s">
        <v>46962</v>
      </c>
      <c r="X12706" t="s">
        <v>47441</v>
      </c>
    </row>
    <row r="12707" spans="1:24">
      <c r="A12707">
        <f>HYPERLINK("https://www.philgeps.gov.ph/GEPSNONPILOT/Tender/SplashBidNoticeAbstractUI.aspx?menuIndex=3&amp;refID=7136716&amp;Result=3","7136716")</f>
        <v>0</v>
      </c>
      <c r="B12707" t="s">
        <v>668</v>
      </c>
      <c r="C12707" t="s">
        <v>15884</v>
      </c>
      <c r="D12707" t="s">
        <v>19034</v>
      </c>
      <c r="E12707" t="s">
        <v>29983</v>
      </c>
      <c r="F12707" t="s">
        <v>32831</v>
      </c>
      <c r="G12707" t="s">
        <v>32839</v>
      </c>
      <c r="H12707" t="s">
        <v>32848</v>
      </c>
      <c r="I12707" t="s">
        <v>4177</v>
      </c>
      <c r="J12707" t="s">
        <v>40753</v>
      </c>
      <c r="K12707" t="s">
        <v>42883</v>
      </c>
      <c r="M12707" t="s">
        <v>43687</v>
      </c>
      <c r="N12707" t="s">
        <v>47424</v>
      </c>
      <c r="O12707" t="s">
        <v>47425</v>
      </c>
      <c r="Q12707">
        <v>0</v>
      </c>
      <c r="R12707" t="s">
        <v>47440</v>
      </c>
      <c r="S12707" t="s">
        <v>47991</v>
      </c>
      <c r="T12707" t="s">
        <v>49427</v>
      </c>
      <c r="U12707" t="s">
        <v>60099</v>
      </c>
      <c r="W12707" t="s">
        <v>43687</v>
      </c>
      <c r="X12707" t="s">
        <v>47441</v>
      </c>
    </row>
    <row r="12708" spans="1:24">
      <c r="A12708">
        <f>HYPERLINK("https://www.philgeps.gov.ph/GEPSNONPILOT/Tender/SplashBidNoticeAbstractUI.aspx?menuIndex=3&amp;refID=7136504&amp;Result=3","7136504")</f>
        <v>0</v>
      </c>
      <c r="B12708" t="s">
        <v>581</v>
      </c>
      <c r="C12708" t="s">
        <v>15885</v>
      </c>
      <c r="E12708" t="s">
        <v>29984</v>
      </c>
      <c r="F12708" t="s">
        <v>32831</v>
      </c>
      <c r="G12708" t="s">
        <v>32839</v>
      </c>
      <c r="H12708" t="s">
        <v>32849</v>
      </c>
      <c r="I12708" t="s">
        <v>4177</v>
      </c>
      <c r="J12708" t="s">
        <v>40754</v>
      </c>
      <c r="K12708" t="s">
        <v>42757</v>
      </c>
      <c r="M12708" t="s">
        <v>43986</v>
      </c>
      <c r="N12708" t="s">
        <v>47424</v>
      </c>
      <c r="O12708" t="s">
        <v>47425</v>
      </c>
      <c r="P12708">
        <v>0</v>
      </c>
      <c r="Q12708">
        <v>2</v>
      </c>
      <c r="R12708" t="s">
        <v>47440</v>
      </c>
      <c r="S12708" t="s">
        <v>47963</v>
      </c>
      <c r="T12708" t="s">
        <v>49169</v>
      </c>
      <c r="U12708" t="s">
        <v>60100</v>
      </c>
      <c r="W12708" t="s">
        <v>43986</v>
      </c>
      <c r="X12708" t="s">
        <v>47441</v>
      </c>
    </row>
    <row r="12709" spans="1:24">
      <c r="A12709">
        <f>HYPERLINK("https://www.philgeps.gov.ph/GEPSNONPILOT/Tender/SplashBidNoticeAbstractUI.aspx?menuIndex=3&amp;refID=7136594&amp;Result=3","7136594")</f>
        <v>0</v>
      </c>
      <c r="B12709" t="s">
        <v>3608</v>
      </c>
      <c r="C12709" t="s">
        <v>15886</v>
      </c>
      <c r="D12709" t="s">
        <v>19080</v>
      </c>
      <c r="E12709" t="s">
        <v>29985</v>
      </c>
      <c r="F12709" t="s">
        <v>32831</v>
      </c>
      <c r="G12709" t="s">
        <v>32839</v>
      </c>
      <c r="H12709" t="s">
        <v>32848</v>
      </c>
      <c r="I12709" t="s">
        <v>32859</v>
      </c>
      <c r="J12709" t="s">
        <v>40755</v>
      </c>
      <c r="K12709" t="s">
        <v>42727</v>
      </c>
      <c r="M12709" t="s">
        <v>46976</v>
      </c>
      <c r="N12709" t="s">
        <v>47424</v>
      </c>
      <c r="O12709" t="s">
        <v>47425</v>
      </c>
      <c r="P12709">
        <v>0</v>
      </c>
      <c r="Q12709">
        <v>3</v>
      </c>
      <c r="R12709" t="s">
        <v>47440</v>
      </c>
      <c r="S12709" t="s">
        <v>47963</v>
      </c>
      <c r="T12709" t="s">
        <v>49073</v>
      </c>
      <c r="U12709" t="s">
        <v>60101</v>
      </c>
      <c r="W12709" t="s">
        <v>46976</v>
      </c>
      <c r="X12709" t="s">
        <v>47441</v>
      </c>
    </row>
    <row r="12710" spans="1:24">
      <c r="A12710">
        <f>HYPERLINK("https://www.philgeps.gov.ph/GEPSNONPILOT/Tender/SplashBidNoticeAbstractUI.aspx?menuIndex=3&amp;refID=7136700&amp;Result=3","7136700")</f>
        <v>0</v>
      </c>
      <c r="B12710" t="s">
        <v>3609</v>
      </c>
      <c r="C12710" t="s">
        <v>15887</v>
      </c>
      <c r="D12710" t="s">
        <v>19084</v>
      </c>
      <c r="E12710" t="s">
        <v>29986</v>
      </c>
      <c r="F12710" t="s">
        <v>32831</v>
      </c>
      <c r="G12710" t="s">
        <v>32839</v>
      </c>
      <c r="H12710" t="s">
        <v>32849</v>
      </c>
      <c r="I12710" t="s">
        <v>4177</v>
      </c>
      <c r="J12710" t="s">
        <v>40756</v>
      </c>
      <c r="K12710" t="s">
        <v>42763</v>
      </c>
      <c r="M12710" t="s">
        <v>46977</v>
      </c>
      <c r="N12710" t="s">
        <v>47424</v>
      </c>
      <c r="O12710" t="s">
        <v>47425</v>
      </c>
      <c r="Q12710">
        <v>7</v>
      </c>
      <c r="R12710" t="s">
        <v>47440</v>
      </c>
      <c r="S12710" t="s">
        <v>47992</v>
      </c>
      <c r="T12710" t="s">
        <v>49105</v>
      </c>
      <c r="U12710" t="s">
        <v>60102</v>
      </c>
      <c r="W12710" t="s">
        <v>46977</v>
      </c>
      <c r="X12710" t="s">
        <v>47441</v>
      </c>
    </row>
    <row r="12711" spans="1:24">
      <c r="A12711">
        <f>HYPERLINK("https://www.philgeps.gov.ph/GEPSNONPILOT/Tender/SplashBidNoticeAbstractUI.aspx?menuIndex=3&amp;refID=7136692&amp;Result=3","7136692")</f>
        <v>0</v>
      </c>
      <c r="B12711" t="s">
        <v>924</v>
      </c>
      <c r="C12711" t="s">
        <v>15888</v>
      </c>
      <c r="D12711" t="s">
        <v>19059</v>
      </c>
      <c r="E12711" t="s">
        <v>29987</v>
      </c>
      <c r="F12711" t="s">
        <v>32831</v>
      </c>
      <c r="G12711" t="s">
        <v>32839</v>
      </c>
      <c r="H12711" t="s">
        <v>32848</v>
      </c>
      <c r="I12711" t="s">
        <v>4438</v>
      </c>
      <c r="J12711" t="s">
        <v>33039</v>
      </c>
      <c r="K12711" t="s">
        <v>42730</v>
      </c>
      <c r="M12711" t="s">
        <v>43965</v>
      </c>
      <c r="N12711" t="s">
        <v>47424</v>
      </c>
      <c r="O12711" t="s">
        <v>47425</v>
      </c>
      <c r="P12711">
        <v>0</v>
      </c>
      <c r="Q12711">
        <v>5</v>
      </c>
      <c r="R12711" t="s">
        <v>47440</v>
      </c>
      <c r="S12711" t="s">
        <v>47963</v>
      </c>
      <c r="T12711" t="s">
        <v>49214</v>
      </c>
      <c r="U12711" t="s">
        <v>60103</v>
      </c>
      <c r="V12711" t="s">
        <v>64039</v>
      </c>
      <c r="W12711" t="s">
        <v>43965</v>
      </c>
      <c r="X12711" t="s">
        <v>47441</v>
      </c>
    </row>
    <row r="12712" spans="1:24">
      <c r="A12712">
        <f>HYPERLINK("https://www.philgeps.gov.ph/GEPSNONPILOT/Tender/SplashBidNoticeAbstractUI.aspx?menuIndex=3&amp;refID=7136690&amp;Result=3","7136690")</f>
        <v>0</v>
      </c>
      <c r="B12712" t="s">
        <v>581</v>
      </c>
      <c r="C12712" t="s">
        <v>15889</v>
      </c>
      <c r="E12712" t="s">
        <v>29988</v>
      </c>
      <c r="F12712" t="s">
        <v>32831</v>
      </c>
      <c r="G12712" t="s">
        <v>32839</v>
      </c>
      <c r="H12712" t="s">
        <v>32849</v>
      </c>
      <c r="I12712" t="s">
        <v>4177</v>
      </c>
      <c r="J12712" t="s">
        <v>40757</v>
      </c>
      <c r="K12712" t="s">
        <v>42891</v>
      </c>
      <c r="M12712" t="s">
        <v>43986</v>
      </c>
      <c r="N12712" t="s">
        <v>47424</v>
      </c>
      <c r="O12712" t="s">
        <v>47425</v>
      </c>
      <c r="Q12712">
        <v>0</v>
      </c>
      <c r="R12712" t="s">
        <v>47440</v>
      </c>
      <c r="S12712" t="s">
        <v>47993</v>
      </c>
      <c r="T12712" t="s">
        <v>49169</v>
      </c>
      <c r="U12712" t="s">
        <v>60104</v>
      </c>
      <c r="W12712" t="s">
        <v>43986</v>
      </c>
      <c r="X12712" t="s">
        <v>47441</v>
      </c>
    </row>
    <row r="12713" spans="1:24">
      <c r="A12713">
        <f>HYPERLINK("https://www.philgeps.gov.ph/GEPSNONPILOT/Tender/SplashBidNoticeAbstractUI.aspx?menuIndex=3&amp;refID=7136678&amp;Result=3","7136678")</f>
        <v>0</v>
      </c>
      <c r="B12713" t="s">
        <v>581</v>
      </c>
      <c r="C12713" t="s">
        <v>15890</v>
      </c>
      <c r="E12713" t="s">
        <v>29989</v>
      </c>
      <c r="F12713" t="s">
        <v>32831</v>
      </c>
      <c r="G12713" t="s">
        <v>32839</v>
      </c>
      <c r="H12713" t="s">
        <v>32849</v>
      </c>
      <c r="I12713" t="s">
        <v>4177</v>
      </c>
      <c r="J12713" t="s">
        <v>40758</v>
      </c>
      <c r="K12713" t="s">
        <v>42757</v>
      </c>
      <c r="M12713" t="s">
        <v>43986</v>
      </c>
      <c r="N12713" t="s">
        <v>47424</v>
      </c>
      <c r="O12713" t="s">
        <v>47425</v>
      </c>
      <c r="P12713">
        <v>0</v>
      </c>
      <c r="Q12713">
        <v>1</v>
      </c>
      <c r="R12713" t="s">
        <v>47440</v>
      </c>
      <c r="S12713" t="s">
        <v>47963</v>
      </c>
      <c r="T12713" t="s">
        <v>49169</v>
      </c>
      <c r="U12713" t="s">
        <v>60105</v>
      </c>
      <c r="W12713" t="s">
        <v>43986</v>
      </c>
      <c r="X12713" t="s">
        <v>47441</v>
      </c>
    </row>
    <row r="12714" spans="1:24">
      <c r="A12714">
        <f>HYPERLINK("https://www.philgeps.gov.ph/GEPSNONPILOT/Tender/SplashBidNoticeAbstractUI.aspx?menuIndex=3&amp;refID=7136676&amp;Result=3","7136676")</f>
        <v>0</v>
      </c>
      <c r="B12714" t="s">
        <v>114</v>
      </c>
      <c r="C12714" t="s">
        <v>15891</v>
      </c>
      <c r="D12714" t="s">
        <v>19050</v>
      </c>
      <c r="E12714" t="s">
        <v>29990</v>
      </c>
      <c r="F12714" t="s">
        <v>32831</v>
      </c>
      <c r="G12714" t="s">
        <v>32839</v>
      </c>
      <c r="H12714" t="s">
        <v>32848</v>
      </c>
      <c r="I12714" t="s">
        <v>32874</v>
      </c>
      <c r="J12714" t="s">
        <v>33239</v>
      </c>
      <c r="K12714" t="s">
        <v>42745</v>
      </c>
      <c r="L12714" t="s">
        <v>114</v>
      </c>
      <c r="M12714" t="s">
        <v>43111</v>
      </c>
      <c r="N12714" t="s">
        <v>47424</v>
      </c>
      <c r="O12714" t="s">
        <v>47425</v>
      </c>
      <c r="P12714">
        <v>0</v>
      </c>
      <c r="Q12714">
        <v>30</v>
      </c>
      <c r="R12714" t="s">
        <v>47440</v>
      </c>
      <c r="S12714" t="s">
        <v>47963</v>
      </c>
      <c r="T12714" t="s">
        <v>49120</v>
      </c>
      <c r="U12714" t="s">
        <v>60106</v>
      </c>
      <c r="W12714" t="s">
        <v>43111</v>
      </c>
      <c r="X12714" t="s">
        <v>47441</v>
      </c>
    </row>
    <row r="12715" spans="1:24">
      <c r="A12715">
        <f>HYPERLINK("https://www.philgeps.gov.ph/GEPSNONPILOT/Tender/SplashBidNoticeAbstractUI.aspx?menuIndex=3&amp;refID=7136493&amp;Result=3","7136493")</f>
        <v>0</v>
      </c>
      <c r="B12715" t="s">
        <v>1614</v>
      </c>
      <c r="C12715" t="s">
        <v>15892</v>
      </c>
      <c r="D12715" t="s">
        <v>19064</v>
      </c>
      <c r="E12715" t="s">
        <v>29991</v>
      </c>
      <c r="F12715" t="s">
        <v>32831</v>
      </c>
      <c r="G12715" t="s">
        <v>32839</v>
      </c>
      <c r="H12715" t="s">
        <v>32849</v>
      </c>
      <c r="I12715" t="s">
        <v>4177</v>
      </c>
      <c r="J12715" t="s">
        <v>40759</v>
      </c>
      <c r="K12715" t="s">
        <v>42766</v>
      </c>
      <c r="M12715" t="s">
        <v>45781</v>
      </c>
      <c r="N12715" t="s">
        <v>47424</v>
      </c>
      <c r="O12715" t="s">
        <v>47425</v>
      </c>
      <c r="P12715">
        <v>0</v>
      </c>
      <c r="Q12715">
        <v>19</v>
      </c>
      <c r="R12715" t="s">
        <v>47440</v>
      </c>
      <c r="S12715" t="s">
        <v>47963</v>
      </c>
      <c r="T12715" t="s">
        <v>49073</v>
      </c>
      <c r="U12715" t="s">
        <v>60107</v>
      </c>
      <c r="W12715" t="s">
        <v>64478</v>
      </c>
      <c r="X12715" t="s">
        <v>47441</v>
      </c>
    </row>
    <row r="12716" spans="1:24">
      <c r="A12716">
        <f>HYPERLINK("https://www.philgeps.gov.ph/GEPSNONPILOT/Tender/SplashBidNoticeAbstractUI.aspx?menuIndex=3&amp;refID=7136666&amp;Result=3","7136666")</f>
        <v>0</v>
      </c>
      <c r="B12716" t="s">
        <v>581</v>
      </c>
      <c r="C12716" t="s">
        <v>15893</v>
      </c>
      <c r="E12716" t="s">
        <v>29992</v>
      </c>
      <c r="F12716" t="s">
        <v>32831</v>
      </c>
      <c r="G12716" t="s">
        <v>32839</v>
      </c>
      <c r="H12716" t="s">
        <v>32849</v>
      </c>
      <c r="I12716" t="s">
        <v>4177</v>
      </c>
      <c r="J12716" t="s">
        <v>40760</v>
      </c>
      <c r="K12716" t="s">
        <v>42770</v>
      </c>
      <c r="M12716" t="s">
        <v>43986</v>
      </c>
      <c r="N12716" t="s">
        <v>47424</v>
      </c>
      <c r="O12716" t="s">
        <v>47425</v>
      </c>
      <c r="P12716">
        <v>0</v>
      </c>
      <c r="Q12716">
        <v>1</v>
      </c>
      <c r="R12716" t="s">
        <v>47440</v>
      </c>
      <c r="S12716" t="s">
        <v>47963</v>
      </c>
      <c r="T12716" t="s">
        <v>49169</v>
      </c>
      <c r="U12716" t="s">
        <v>60108</v>
      </c>
      <c r="W12716" t="s">
        <v>43986</v>
      </c>
      <c r="X12716" t="s">
        <v>47441</v>
      </c>
    </row>
    <row r="12717" spans="1:24">
      <c r="A12717">
        <f>HYPERLINK("https://www.philgeps.gov.ph/GEPSNONPILOT/Tender/SplashBidNoticeAbstractUI.aspx?menuIndex=3&amp;refID=7136506&amp;Result=3","7136506")</f>
        <v>0</v>
      </c>
      <c r="B12717" t="s">
        <v>2280</v>
      </c>
      <c r="C12717" t="s">
        <v>15894</v>
      </c>
      <c r="D12717" t="s">
        <v>19017</v>
      </c>
      <c r="E12717" t="s">
        <v>29993</v>
      </c>
      <c r="F12717" t="s">
        <v>32831</v>
      </c>
      <c r="G12717" t="s">
        <v>32839</v>
      </c>
      <c r="H12717" t="s">
        <v>32849</v>
      </c>
      <c r="I12717" t="s">
        <v>4177</v>
      </c>
      <c r="J12717" t="s">
        <v>40761</v>
      </c>
      <c r="K12717" t="s">
        <v>42747</v>
      </c>
      <c r="M12717" t="s">
        <v>45464</v>
      </c>
      <c r="N12717" t="s">
        <v>47424</v>
      </c>
      <c r="O12717" t="s">
        <v>47425</v>
      </c>
      <c r="P12717">
        <v>0</v>
      </c>
      <c r="Q12717">
        <v>0</v>
      </c>
      <c r="R12717" t="s">
        <v>47440</v>
      </c>
      <c r="S12717" t="s">
        <v>47963</v>
      </c>
      <c r="T12717" t="s">
        <v>49066</v>
      </c>
      <c r="U12717" t="s">
        <v>60075</v>
      </c>
      <c r="W12717" t="s">
        <v>45464</v>
      </c>
      <c r="X12717" t="s">
        <v>47441</v>
      </c>
    </row>
    <row r="12718" spans="1:24">
      <c r="A12718">
        <f>HYPERLINK("https://www.philgeps.gov.ph/GEPSNONPILOT/Tender/SplashBidNoticeAbstractUI.aspx?menuIndex=3&amp;refID=7136659&amp;Result=3","7136659")</f>
        <v>0</v>
      </c>
      <c r="B12718" t="s">
        <v>3610</v>
      </c>
      <c r="C12718" t="s">
        <v>15895</v>
      </c>
      <c r="D12718" t="s">
        <v>19026</v>
      </c>
      <c r="E12718" t="s">
        <v>29994</v>
      </c>
      <c r="F12718" t="s">
        <v>32831</v>
      </c>
      <c r="G12718" t="s">
        <v>32839</v>
      </c>
      <c r="H12718" t="s">
        <v>32848</v>
      </c>
      <c r="I12718" t="s">
        <v>4776</v>
      </c>
      <c r="J12718" t="s">
        <v>40762</v>
      </c>
      <c r="K12718" t="s">
        <v>42730</v>
      </c>
      <c r="M12718" t="s">
        <v>46978</v>
      </c>
      <c r="N12718" t="s">
        <v>47424</v>
      </c>
      <c r="O12718" t="s">
        <v>47425</v>
      </c>
      <c r="P12718">
        <v>0</v>
      </c>
      <c r="Q12718">
        <v>7</v>
      </c>
      <c r="R12718" t="s">
        <v>47440</v>
      </c>
      <c r="S12718" t="s">
        <v>47963</v>
      </c>
      <c r="T12718" t="s">
        <v>49080</v>
      </c>
      <c r="U12718" t="s">
        <v>60109</v>
      </c>
      <c r="V12718" t="s">
        <v>64040</v>
      </c>
      <c r="W12718" t="s">
        <v>46978</v>
      </c>
      <c r="X12718" t="s">
        <v>47441</v>
      </c>
    </row>
    <row r="12719" spans="1:24">
      <c r="A12719">
        <f>HYPERLINK("https://www.philgeps.gov.ph/GEPSNONPILOT/Tender/SplashBidNoticeAbstractUI.aspx?menuIndex=3&amp;refID=7136574&amp;Result=3","7136574")</f>
        <v>0</v>
      </c>
      <c r="B12719" t="s">
        <v>3607</v>
      </c>
      <c r="C12719" t="s">
        <v>15896</v>
      </c>
      <c r="D12719" t="s">
        <v>19079</v>
      </c>
      <c r="E12719" t="s">
        <v>29995</v>
      </c>
      <c r="F12719" t="s">
        <v>32831</v>
      </c>
      <c r="G12719" t="s">
        <v>32839</v>
      </c>
      <c r="H12719" t="s">
        <v>32849</v>
      </c>
      <c r="I12719" t="s">
        <v>4177</v>
      </c>
      <c r="J12719" t="s">
        <v>40763</v>
      </c>
      <c r="K12719" t="s">
        <v>42729</v>
      </c>
      <c r="M12719" t="s">
        <v>46974</v>
      </c>
      <c r="N12719" t="s">
        <v>47424</v>
      </c>
      <c r="O12719" t="s">
        <v>47425</v>
      </c>
      <c r="P12719">
        <v>0</v>
      </c>
      <c r="Q12719">
        <v>0</v>
      </c>
      <c r="R12719" t="s">
        <v>47440</v>
      </c>
      <c r="S12719" t="s">
        <v>47963</v>
      </c>
      <c r="T12719" t="s">
        <v>49070</v>
      </c>
      <c r="U12719" t="s">
        <v>60110</v>
      </c>
      <c r="W12719" t="s">
        <v>46974</v>
      </c>
      <c r="X12719" t="s">
        <v>47441</v>
      </c>
    </row>
    <row r="12720" spans="1:24">
      <c r="A12720">
        <f>HYPERLINK("https://www.philgeps.gov.ph/GEPSNONPILOT/Tender/SplashBidNoticeAbstractUI.aspx?menuIndex=3&amp;refID=7136645&amp;Result=3","7136645")</f>
        <v>0</v>
      </c>
      <c r="B12720" t="s">
        <v>3609</v>
      </c>
      <c r="C12720" t="s">
        <v>15897</v>
      </c>
      <c r="D12720" t="s">
        <v>19084</v>
      </c>
      <c r="E12720" t="s">
        <v>29986</v>
      </c>
      <c r="F12720" t="s">
        <v>32831</v>
      </c>
      <c r="G12720" t="s">
        <v>32839</v>
      </c>
      <c r="H12720" t="s">
        <v>32849</v>
      </c>
      <c r="I12720" t="s">
        <v>4177</v>
      </c>
      <c r="J12720" t="s">
        <v>40764</v>
      </c>
      <c r="K12720" t="s">
        <v>42763</v>
      </c>
      <c r="M12720" t="s">
        <v>46977</v>
      </c>
      <c r="N12720" t="s">
        <v>47424</v>
      </c>
      <c r="O12720" t="s">
        <v>47425</v>
      </c>
      <c r="Q12720">
        <v>9</v>
      </c>
      <c r="R12720" t="s">
        <v>47440</v>
      </c>
      <c r="S12720" t="s">
        <v>47994</v>
      </c>
      <c r="T12720" t="s">
        <v>49105</v>
      </c>
      <c r="U12720" t="s">
        <v>60102</v>
      </c>
      <c r="W12720" t="s">
        <v>46977</v>
      </c>
      <c r="X12720" t="s">
        <v>47441</v>
      </c>
    </row>
    <row r="12721" spans="1:24">
      <c r="A12721">
        <f>HYPERLINK("https://www.philgeps.gov.ph/GEPSNONPILOT/Tender/SplashBidNoticeAbstractUI.aspx?menuIndex=3&amp;refID=7136713&amp;Result=3","7136713")</f>
        <v>0</v>
      </c>
      <c r="B12721" t="s">
        <v>1614</v>
      </c>
      <c r="C12721" t="s">
        <v>15898</v>
      </c>
      <c r="D12721" t="s">
        <v>19064</v>
      </c>
      <c r="E12721" t="s">
        <v>29996</v>
      </c>
      <c r="F12721" t="s">
        <v>32831</v>
      </c>
      <c r="G12721" t="s">
        <v>32839</v>
      </c>
      <c r="H12721" t="s">
        <v>32849</v>
      </c>
      <c r="I12721" t="s">
        <v>4177</v>
      </c>
      <c r="J12721" t="s">
        <v>40765</v>
      </c>
      <c r="K12721" t="s">
        <v>42964</v>
      </c>
      <c r="M12721" t="s">
        <v>45781</v>
      </c>
      <c r="N12721" t="s">
        <v>47424</v>
      </c>
      <c r="O12721" t="s">
        <v>47425</v>
      </c>
      <c r="P12721">
        <v>0</v>
      </c>
      <c r="Q12721">
        <v>16</v>
      </c>
      <c r="R12721" t="s">
        <v>47440</v>
      </c>
      <c r="S12721" t="s">
        <v>47963</v>
      </c>
      <c r="T12721" t="s">
        <v>49073</v>
      </c>
      <c r="U12721" t="s">
        <v>60111</v>
      </c>
      <c r="W12721" t="s">
        <v>64478</v>
      </c>
      <c r="X12721" t="s">
        <v>47441</v>
      </c>
    </row>
    <row r="12722" spans="1:24">
      <c r="A12722">
        <f>HYPERLINK("https://www.philgeps.gov.ph/GEPSNONPILOT/Tender/SplashBidNoticeAbstractUI.aspx?menuIndex=3&amp;refID=7136652&amp;Result=3","7136652")</f>
        <v>0</v>
      </c>
      <c r="B12722" t="s">
        <v>581</v>
      </c>
      <c r="C12722" t="s">
        <v>15899</v>
      </c>
      <c r="E12722" t="s">
        <v>29997</v>
      </c>
      <c r="F12722" t="s">
        <v>32831</v>
      </c>
      <c r="G12722" t="s">
        <v>32839</v>
      </c>
      <c r="H12722" t="s">
        <v>32849</v>
      </c>
      <c r="I12722" t="s">
        <v>4177</v>
      </c>
      <c r="J12722" t="s">
        <v>40766</v>
      </c>
      <c r="K12722" t="s">
        <v>42729</v>
      </c>
      <c r="M12722" t="s">
        <v>43986</v>
      </c>
      <c r="N12722" t="s">
        <v>47424</v>
      </c>
      <c r="O12722" t="s">
        <v>47425</v>
      </c>
      <c r="P12722">
        <v>0</v>
      </c>
      <c r="Q12722">
        <v>0</v>
      </c>
      <c r="R12722" t="s">
        <v>47440</v>
      </c>
      <c r="S12722" t="s">
        <v>47963</v>
      </c>
      <c r="T12722" t="s">
        <v>49169</v>
      </c>
      <c r="U12722" t="s">
        <v>60112</v>
      </c>
      <c r="W12722" t="s">
        <v>43986</v>
      </c>
      <c r="X12722" t="s">
        <v>47441</v>
      </c>
    </row>
    <row r="12723" spans="1:24">
      <c r="A12723">
        <f>HYPERLINK("https://www.philgeps.gov.ph/GEPSNONPILOT/Tender/SplashBidNoticeAbstractUI.aspx?menuIndex=3&amp;refID=7136642&amp;Result=3","7136642")</f>
        <v>0</v>
      </c>
      <c r="B12723" t="s">
        <v>3611</v>
      </c>
      <c r="C12723" t="s">
        <v>15900</v>
      </c>
      <c r="D12723" t="s">
        <v>19030</v>
      </c>
      <c r="E12723" t="s">
        <v>20769</v>
      </c>
      <c r="F12723" t="s">
        <v>32833</v>
      </c>
      <c r="G12723" t="s">
        <v>32840</v>
      </c>
      <c r="H12723" t="s">
        <v>32848</v>
      </c>
      <c r="I12723" t="s">
        <v>7751</v>
      </c>
      <c r="J12723" t="s">
        <v>33024</v>
      </c>
      <c r="K12723" t="s">
        <v>42732</v>
      </c>
      <c r="M12723" t="s">
        <v>46979</v>
      </c>
      <c r="N12723" t="s">
        <v>47424</v>
      </c>
      <c r="O12723" t="s">
        <v>47425</v>
      </c>
      <c r="P12723">
        <v>0</v>
      </c>
      <c r="Q12723">
        <v>3</v>
      </c>
      <c r="R12723" t="s">
        <v>47440</v>
      </c>
      <c r="S12723" t="s">
        <v>47963</v>
      </c>
      <c r="T12723" t="s">
        <v>49216</v>
      </c>
      <c r="U12723" t="s">
        <v>60113</v>
      </c>
      <c r="W12723" t="s">
        <v>46979</v>
      </c>
      <c r="X12723" t="s">
        <v>47441</v>
      </c>
    </row>
    <row r="12724" spans="1:24">
      <c r="A12724">
        <f>HYPERLINK("https://www.philgeps.gov.ph/GEPSNONPILOT/Tender/SplashBidNoticeAbstractUI.aspx?menuIndex=3&amp;refID=7136640&amp;Result=3","7136640")</f>
        <v>0</v>
      </c>
      <c r="B12724" t="s">
        <v>1233</v>
      </c>
      <c r="C12724" t="s">
        <v>15901</v>
      </c>
      <c r="D12724" t="s">
        <v>19036</v>
      </c>
      <c r="E12724" t="s">
        <v>29998</v>
      </c>
      <c r="F12724" t="s">
        <v>32831</v>
      </c>
      <c r="G12724" t="s">
        <v>32839</v>
      </c>
      <c r="H12724" t="s">
        <v>32848</v>
      </c>
      <c r="I12724" t="s">
        <v>32867</v>
      </c>
      <c r="J12724" t="s">
        <v>37983</v>
      </c>
      <c r="K12724" t="s">
        <v>42791</v>
      </c>
      <c r="M12724" t="s">
        <v>44302</v>
      </c>
      <c r="N12724" t="s">
        <v>47424</v>
      </c>
      <c r="O12724" t="s">
        <v>47425</v>
      </c>
      <c r="P12724">
        <v>0</v>
      </c>
      <c r="Q12724">
        <v>4</v>
      </c>
      <c r="R12724" t="s">
        <v>47440</v>
      </c>
      <c r="S12724" t="s">
        <v>47963</v>
      </c>
      <c r="T12724" t="s">
        <v>49069</v>
      </c>
      <c r="U12724" t="s">
        <v>60114</v>
      </c>
      <c r="W12724" t="s">
        <v>44302</v>
      </c>
      <c r="X12724" t="s">
        <v>47441</v>
      </c>
    </row>
    <row r="12725" spans="1:24">
      <c r="A12725">
        <f>HYPERLINK("https://www.philgeps.gov.ph/GEPSNONPILOT/Tender/SplashBidNoticeAbstractUI.aspx?menuIndex=3&amp;refID=7136631&amp;Result=3","7136631")</f>
        <v>0</v>
      </c>
      <c r="B12725" t="s">
        <v>581</v>
      </c>
      <c r="C12725" t="s">
        <v>15902</v>
      </c>
      <c r="E12725" t="s">
        <v>29999</v>
      </c>
      <c r="F12725" t="s">
        <v>32831</v>
      </c>
      <c r="G12725" t="s">
        <v>32839</v>
      </c>
      <c r="H12725" t="s">
        <v>32849</v>
      </c>
      <c r="I12725" t="s">
        <v>4177</v>
      </c>
      <c r="J12725" t="s">
        <v>40767</v>
      </c>
      <c r="K12725" t="s">
        <v>42792</v>
      </c>
      <c r="M12725" t="s">
        <v>43986</v>
      </c>
      <c r="N12725" t="s">
        <v>47424</v>
      </c>
      <c r="O12725" t="s">
        <v>47425</v>
      </c>
      <c r="P12725">
        <v>0</v>
      </c>
      <c r="Q12725">
        <v>0</v>
      </c>
      <c r="R12725" t="s">
        <v>47440</v>
      </c>
      <c r="S12725" t="s">
        <v>47963</v>
      </c>
      <c r="T12725" t="s">
        <v>49169</v>
      </c>
      <c r="U12725" t="s">
        <v>60115</v>
      </c>
      <c r="W12725" t="s">
        <v>43986</v>
      </c>
      <c r="X12725" t="s">
        <v>47441</v>
      </c>
    </row>
    <row r="12726" spans="1:24">
      <c r="A12726">
        <f>HYPERLINK("https://www.philgeps.gov.ph/GEPSNONPILOT/Tender/SplashBidNoticeAbstractUI.aspx?menuIndex=3&amp;refID=7136672&amp;Result=3","7136672")</f>
        <v>0</v>
      </c>
      <c r="B12726" t="s">
        <v>1233</v>
      </c>
      <c r="C12726" t="s">
        <v>15903</v>
      </c>
      <c r="D12726" t="s">
        <v>19036</v>
      </c>
      <c r="E12726" t="s">
        <v>30000</v>
      </c>
      <c r="F12726" t="s">
        <v>32831</v>
      </c>
      <c r="G12726" t="s">
        <v>32839</v>
      </c>
      <c r="H12726" t="s">
        <v>32849</v>
      </c>
      <c r="I12726" t="s">
        <v>4177</v>
      </c>
      <c r="J12726" t="s">
        <v>40768</v>
      </c>
      <c r="K12726" t="s">
        <v>42812</v>
      </c>
      <c r="M12726" t="s">
        <v>44302</v>
      </c>
      <c r="N12726" t="s">
        <v>47424</v>
      </c>
      <c r="O12726" t="s">
        <v>47425</v>
      </c>
      <c r="P12726">
        <v>0</v>
      </c>
      <c r="Q12726">
        <v>0</v>
      </c>
      <c r="R12726" t="s">
        <v>47440</v>
      </c>
      <c r="S12726" t="s">
        <v>47963</v>
      </c>
      <c r="T12726" t="s">
        <v>49069</v>
      </c>
      <c r="U12726" t="s">
        <v>60116</v>
      </c>
      <c r="W12726" t="s">
        <v>44302</v>
      </c>
      <c r="X12726" t="s">
        <v>47441</v>
      </c>
    </row>
    <row r="12727" spans="1:24">
      <c r="A12727">
        <f>HYPERLINK("https://www.philgeps.gov.ph/GEPSNONPILOT/Tender/SplashBidNoticeAbstractUI.aspx?menuIndex=3&amp;refID=7136377&amp;Result=3","7136377")</f>
        <v>0</v>
      </c>
      <c r="B12727" t="s">
        <v>3612</v>
      </c>
      <c r="C12727" t="s">
        <v>15904</v>
      </c>
      <c r="D12727" t="s">
        <v>19049</v>
      </c>
      <c r="E12727" t="s">
        <v>30001</v>
      </c>
      <c r="F12727" t="s">
        <v>32831</v>
      </c>
      <c r="G12727" t="s">
        <v>32839</v>
      </c>
      <c r="H12727" t="s">
        <v>32848</v>
      </c>
      <c r="I12727" t="s">
        <v>7751</v>
      </c>
      <c r="J12727" t="s">
        <v>36873</v>
      </c>
      <c r="K12727" t="s">
        <v>42729</v>
      </c>
      <c r="M12727" t="s">
        <v>46980</v>
      </c>
      <c r="N12727" t="s">
        <v>47424</v>
      </c>
      <c r="O12727" t="s">
        <v>47425</v>
      </c>
      <c r="Q12727">
        <v>5</v>
      </c>
      <c r="R12727" t="s">
        <v>47440</v>
      </c>
      <c r="S12727" t="s">
        <v>47995</v>
      </c>
      <c r="T12727" t="s">
        <v>49073</v>
      </c>
      <c r="U12727" t="s">
        <v>50931</v>
      </c>
      <c r="V12727" t="s">
        <v>64041</v>
      </c>
      <c r="W12727" t="s">
        <v>46980</v>
      </c>
      <c r="X12727" t="s">
        <v>47441</v>
      </c>
    </row>
    <row r="12728" spans="1:24">
      <c r="A12728">
        <f>HYPERLINK("https://www.philgeps.gov.ph/GEPSNONPILOT/Tender/SplashBidNoticeAbstractUI.aspx?menuIndex=3&amp;refID=7136491&amp;Result=3","7136491")</f>
        <v>0</v>
      </c>
      <c r="B12728" t="s">
        <v>1857</v>
      </c>
      <c r="C12728" t="s">
        <v>15905</v>
      </c>
      <c r="E12728" t="s">
        <v>30002</v>
      </c>
      <c r="F12728" t="s">
        <v>32831</v>
      </c>
      <c r="G12728" t="s">
        <v>32839</v>
      </c>
      <c r="H12728" t="s">
        <v>32849</v>
      </c>
      <c r="I12728" t="s">
        <v>4177</v>
      </c>
      <c r="J12728" t="s">
        <v>33118</v>
      </c>
      <c r="K12728" t="s">
        <v>42729</v>
      </c>
      <c r="M12728" t="s">
        <v>44996</v>
      </c>
      <c r="N12728" t="s">
        <v>47424</v>
      </c>
      <c r="O12728" t="s">
        <v>47425</v>
      </c>
      <c r="P12728">
        <v>0</v>
      </c>
      <c r="Q12728">
        <v>0</v>
      </c>
      <c r="R12728" t="s">
        <v>47440</v>
      </c>
      <c r="S12728" t="s">
        <v>47963</v>
      </c>
      <c r="T12728" t="s">
        <v>49073</v>
      </c>
      <c r="U12728" t="s">
        <v>60117</v>
      </c>
      <c r="W12728" t="s">
        <v>44996</v>
      </c>
      <c r="X12728" t="s">
        <v>47441</v>
      </c>
    </row>
    <row r="12729" spans="1:24">
      <c r="A12729">
        <f>HYPERLINK("https://www.philgeps.gov.ph/GEPSNONPILOT/Tender/SplashBidNoticeAbstractUI.aspx?menuIndex=3&amp;refID=7136648&amp;Result=3","7136648")</f>
        <v>0</v>
      </c>
      <c r="B12729" t="s">
        <v>2777</v>
      </c>
      <c r="C12729" t="s">
        <v>15906</v>
      </c>
      <c r="D12729" t="s">
        <v>19022</v>
      </c>
      <c r="E12729" t="s">
        <v>30003</v>
      </c>
      <c r="F12729" t="s">
        <v>32831</v>
      </c>
      <c r="G12729" t="s">
        <v>32839</v>
      </c>
      <c r="H12729" t="s">
        <v>32848</v>
      </c>
      <c r="I12729" t="s">
        <v>32870</v>
      </c>
      <c r="J12729" t="s">
        <v>40769</v>
      </c>
      <c r="K12729" t="s">
        <v>42727</v>
      </c>
      <c r="M12729" t="s">
        <v>46008</v>
      </c>
      <c r="N12729" t="s">
        <v>47424</v>
      </c>
      <c r="O12729" t="s">
        <v>47425</v>
      </c>
      <c r="P12729">
        <v>0</v>
      </c>
      <c r="Q12729">
        <v>2</v>
      </c>
      <c r="R12729" t="s">
        <v>47440</v>
      </c>
      <c r="S12729" t="s">
        <v>47963</v>
      </c>
      <c r="T12729" t="s">
        <v>49080</v>
      </c>
      <c r="U12729" t="s">
        <v>60118</v>
      </c>
      <c r="W12729" t="s">
        <v>46008</v>
      </c>
      <c r="X12729" t="s">
        <v>47441</v>
      </c>
    </row>
    <row r="12730" spans="1:24">
      <c r="A12730">
        <f>HYPERLINK("https://www.philgeps.gov.ph/GEPSNONPILOT/Tender/SplashBidNoticeAbstractUI.aspx?menuIndex=3&amp;refID=7136630&amp;Result=3","7136630")</f>
        <v>0</v>
      </c>
      <c r="B12730" t="s">
        <v>231</v>
      </c>
      <c r="C12730" t="s">
        <v>15907</v>
      </c>
      <c r="D12730" t="s">
        <v>19039</v>
      </c>
      <c r="E12730" t="s">
        <v>30004</v>
      </c>
      <c r="F12730" t="s">
        <v>32831</v>
      </c>
      <c r="G12730" t="s">
        <v>32839</v>
      </c>
      <c r="H12730" t="s">
        <v>32849</v>
      </c>
      <c r="I12730" t="s">
        <v>4177</v>
      </c>
      <c r="J12730" t="s">
        <v>33032</v>
      </c>
      <c r="K12730" t="s">
        <v>42780</v>
      </c>
      <c r="M12730" t="s">
        <v>46970</v>
      </c>
      <c r="N12730" t="s">
        <v>47424</v>
      </c>
      <c r="O12730" t="s">
        <v>47425</v>
      </c>
      <c r="P12730">
        <v>0</v>
      </c>
      <c r="Q12730">
        <v>1</v>
      </c>
      <c r="R12730" t="s">
        <v>47440</v>
      </c>
      <c r="S12730" t="s">
        <v>47963</v>
      </c>
      <c r="T12730" t="s">
        <v>49066</v>
      </c>
      <c r="U12730" t="s">
        <v>60119</v>
      </c>
      <c r="W12730" t="s">
        <v>46971</v>
      </c>
      <c r="X12730" t="s">
        <v>47441</v>
      </c>
    </row>
    <row r="12731" spans="1:24">
      <c r="A12731">
        <f>HYPERLINK("https://www.philgeps.gov.ph/GEPSNONPILOT/Tender/SplashBidNoticeAbstractUI.aspx?menuIndex=3&amp;refID=7136955&amp;Result=3","7136955")</f>
        <v>0</v>
      </c>
      <c r="B12731" t="s">
        <v>1881</v>
      </c>
      <c r="C12731" t="s">
        <v>15908</v>
      </c>
      <c r="D12731" t="s">
        <v>19030</v>
      </c>
      <c r="E12731" t="s">
        <v>30005</v>
      </c>
      <c r="F12731" t="s">
        <v>32831</v>
      </c>
      <c r="G12731" t="s">
        <v>32839</v>
      </c>
      <c r="H12731" t="s">
        <v>32849</v>
      </c>
      <c r="I12731" t="s">
        <v>4177</v>
      </c>
      <c r="J12731" t="s">
        <v>40770</v>
      </c>
      <c r="K12731" t="s">
        <v>42757</v>
      </c>
      <c r="M12731" t="s">
        <v>46356</v>
      </c>
      <c r="N12731" t="s">
        <v>47424</v>
      </c>
      <c r="O12731" t="s">
        <v>47425</v>
      </c>
      <c r="P12731">
        <v>0</v>
      </c>
      <c r="Q12731">
        <v>15</v>
      </c>
      <c r="R12731" t="s">
        <v>47440</v>
      </c>
      <c r="S12731" t="s">
        <v>47963</v>
      </c>
      <c r="T12731" t="s">
        <v>49567</v>
      </c>
      <c r="U12731" t="s">
        <v>60120</v>
      </c>
      <c r="W12731" t="s">
        <v>46356</v>
      </c>
      <c r="X12731" t="s">
        <v>47441</v>
      </c>
    </row>
    <row r="12732" spans="1:24">
      <c r="A12732">
        <f>HYPERLINK("https://www.philgeps.gov.ph/GEPSNONPILOT/Tender/SplashBidNoticeAbstractUI.aspx?menuIndex=3&amp;refID=7136610&amp;Result=3","7136610")</f>
        <v>0</v>
      </c>
      <c r="B12732" t="s">
        <v>581</v>
      </c>
      <c r="C12732" t="s">
        <v>15909</v>
      </c>
      <c r="E12732" t="s">
        <v>30006</v>
      </c>
      <c r="F12732" t="s">
        <v>32831</v>
      </c>
      <c r="G12732" t="s">
        <v>32839</v>
      </c>
      <c r="H12732" t="s">
        <v>32849</v>
      </c>
      <c r="I12732" t="s">
        <v>4177</v>
      </c>
      <c r="J12732" t="s">
        <v>40771</v>
      </c>
      <c r="K12732" t="s">
        <v>42833</v>
      </c>
      <c r="M12732" t="s">
        <v>43986</v>
      </c>
      <c r="N12732" t="s">
        <v>47424</v>
      </c>
      <c r="O12732" t="s">
        <v>47425</v>
      </c>
      <c r="P12732">
        <v>0</v>
      </c>
      <c r="Q12732">
        <v>0</v>
      </c>
      <c r="R12732" t="s">
        <v>47440</v>
      </c>
      <c r="S12732" t="s">
        <v>47963</v>
      </c>
      <c r="T12732" t="s">
        <v>49169</v>
      </c>
      <c r="U12732" t="s">
        <v>60121</v>
      </c>
      <c r="W12732" t="s">
        <v>43986</v>
      </c>
      <c r="X12732" t="s">
        <v>47441</v>
      </c>
    </row>
    <row r="12733" spans="1:24">
      <c r="A12733">
        <f>HYPERLINK("https://www.philgeps.gov.ph/GEPSNONPILOT/Tender/SplashBidNoticeAbstractUI.aspx?menuIndex=3&amp;refID=7136931&amp;Result=3","7136931")</f>
        <v>0</v>
      </c>
      <c r="B12733" t="s">
        <v>1672</v>
      </c>
      <c r="C12733" t="s">
        <v>15910</v>
      </c>
      <c r="D12733" t="s">
        <v>19104</v>
      </c>
      <c r="E12733" t="s">
        <v>30007</v>
      </c>
      <c r="F12733" t="s">
        <v>32831</v>
      </c>
      <c r="G12733" t="s">
        <v>32839</v>
      </c>
      <c r="H12733" t="s">
        <v>32848</v>
      </c>
      <c r="I12733" t="s">
        <v>4438</v>
      </c>
      <c r="J12733" t="s">
        <v>33257</v>
      </c>
      <c r="K12733" t="s">
        <v>42730</v>
      </c>
      <c r="M12733" t="s">
        <v>44790</v>
      </c>
      <c r="N12733" t="s">
        <v>47424</v>
      </c>
      <c r="O12733" t="s">
        <v>47425</v>
      </c>
      <c r="P12733">
        <v>0</v>
      </c>
      <c r="Q12733">
        <v>3</v>
      </c>
      <c r="R12733" t="s">
        <v>47440</v>
      </c>
      <c r="S12733" t="s">
        <v>47963</v>
      </c>
      <c r="T12733" t="s">
        <v>49338</v>
      </c>
      <c r="U12733" t="s">
        <v>53166</v>
      </c>
      <c r="W12733" t="s">
        <v>44790</v>
      </c>
      <c r="X12733" t="s">
        <v>47441</v>
      </c>
    </row>
    <row r="12734" spans="1:24">
      <c r="A12734">
        <f>HYPERLINK("https://www.philgeps.gov.ph/GEPSNONPILOT/Tender/SplashBidNoticeAbstractUI.aspx?menuIndex=3&amp;refID=7136906&amp;Result=3","7136906")</f>
        <v>0</v>
      </c>
      <c r="B12734" t="s">
        <v>114</v>
      </c>
      <c r="C12734" t="s">
        <v>15911</v>
      </c>
      <c r="D12734" t="s">
        <v>19050</v>
      </c>
      <c r="E12734" t="s">
        <v>30008</v>
      </c>
      <c r="F12734" t="s">
        <v>32831</v>
      </c>
      <c r="G12734" t="s">
        <v>32839</v>
      </c>
      <c r="H12734" t="s">
        <v>32848</v>
      </c>
      <c r="I12734" t="s">
        <v>32867</v>
      </c>
      <c r="J12734" t="s">
        <v>40772</v>
      </c>
      <c r="K12734" t="s">
        <v>42728</v>
      </c>
      <c r="L12734" t="s">
        <v>114</v>
      </c>
      <c r="M12734" t="s">
        <v>43111</v>
      </c>
      <c r="N12734" t="s">
        <v>47424</v>
      </c>
      <c r="O12734" t="s">
        <v>47425</v>
      </c>
      <c r="Q12734">
        <v>15</v>
      </c>
      <c r="R12734" t="s">
        <v>47440</v>
      </c>
      <c r="S12734" t="s">
        <v>47996</v>
      </c>
      <c r="T12734" t="s">
        <v>49120</v>
      </c>
      <c r="U12734" t="s">
        <v>60122</v>
      </c>
      <c r="W12734" t="s">
        <v>43111</v>
      </c>
      <c r="X12734" t="s">
        <v>47441</v>
      </c>
    </row>
    <row r="12735" spans="1:24">
      <c r="A12735">
        <f>HYPERLINK("https://www.philgeps.gov.ph/GEPSNONPILOT/Tender/SplashBidNoticeAbstractUI.aspx?menuIndex=3&amp;refID=7136884&amp;Result=3","7136884")</f>
        <v>0</v>
      </c>
      <c r="B12735" t="s">
        <v>2342</v>
      </c>
      <c r="C12735" t="s">
        <v>15912</v>
      </c>
      <c r="D12735" t="s">
        <v>19044</v>
      </c>
      <c r="E12735" t="s">
        <v>26703</v>
      </c>
      <c r="F12735" t="s">
        <v>32831</v>
      </c>
      <c r="G12735" t="s">
        <v>32839</v>
      </c>
      <c r="H12735" t="s">
        <v>32848</v>
      </c>
      <c r="I12735" t="s">
        <v>7416</v>
      </c>
      <c r="J12735" t="s">
        <v>40773</v>
      </c>
      <c r="K12735" t="s">
        <v>42727</v>
      </c>
      <c r="M12735" t="s">
        <v>45529</v>
      </c>
      <c r="N12735" t="s">
        <v>47424</v>
      </c>
      <c r="O12735" t="s">
        <v>47425</v>
      </c>
      <c r="P12735">
        <v>0</v>
      </c>
      <c r="Q12735">
        <v>0</v>
      </c>
      <c r="R12735" t="s">
        <v>47440</v>
      </c>
      <c r="S12735" t="s">
        <v>47963</v>
      </c>
      <c r="T12735" t="s">
        <v>49237</v>
      </c>
      <c r="U12735" t="s">
        <v>60123</v>
      </c>
      <c r="W12735" t="s">
        <v>45529</v>
      </c>
      <c r="X12735" t="s">
        <v>47441</v>
      </c>
    </row>
    <row r="12736" spans="1:24">
      <c r="A12736">
        <f>HYPERLINK("https://www.philgeps.gov.ph/GEPSNONPILOT/Tender/SplashBidNoticeAbstractUI.aspx?menuIndex=3&amp;refID=7136658&amp;Result=3","7136658")</f>
        <v>0</v>
      </c>
      <c r="B12736" t="s">
        <v>3113</v>
      </c>
      <c r="C12736" t="s">
        <v>15913</v>
      </c>
      <c r="D12736" t="s">
        <v>19068</v>
      </c>
      <c r="E12736" t="s">
        <v>22097</v>
      </c>
      <c r="F12736" t="s">
        <v>32831</v>
      </c>
      <c r="G12736" t="s">
        <v>32839</v>
      </c>
      <c r="H12736" t="s">
        <v>32848</v>
      </c>
      <c r="I12736" t="s">
        <v>32853</v>
      </c>
      <c r="J12736" t="s">
        <v>40774</v>
      </c>
      <c r="K12736" t="s">
        <v>42730</v>
      </c>
      <c r="L12736" t="s">
        <v>3113</v>
      </c>
      <c r="M12736" t="s">
        <v>46401</v>
      </c>
      <c r="N12736" t="s">
        <v>47424</v>
      </c>
      <c r="O12736" t="s">
        <v>47425</v>
      </c>
      <c r="P12736">
        <v>0</v>
      </c>
      <c r="Q12736">
        <v>1</v>
      </c>
      <c r="R12736" t="s">
        <v>47440</v>
      </c>
      <c r="S12736" t="s">
        <v>47963</v>
      </c>
      <c r="T12736" t="s">
        <v>49087</v>
      </c>
      <c r="U12736" t="s">
        <v>60124</v>
      </c>
      <c r="W12736" t="s">
        <v>46401</v>
      </c>
      <c r="X12736" t="s">
        <v>47441</v>
      </c>
    </row>
    <row r="12737" spans="1:24">
      <c r="A12737">
        <f>HYPERLINK("https://www.philgeps.gov.ph/GEPSNONPILOT/Tender/SplashBidNoticeAbstractUI.aspx?menuIndex=3&amp;refID=7136915&amp;Result=3","7136915")</f>
        <v>0</v>
      </c>
      <c r="B12737" t="s">
        <v>3613</v>
      </c>
      <c r="C12737" t="s">
        <v>15914</v>
      </c>
      <c r="D12737" t="s">
        <v>19067</v>
      </c>
      <c r="E12737" t="s">
        <v>30009</v>
      </c>
      <c r="F12737" t="s">
        <v>32831</v>
      </c>
      <c r="G12737" t="s">
        <v>32839</v>
      </c>
      <c r="H12737" t="s">
        <v>32848</v>
      </c>
      <c r="I12737" t="s">
        <v>7416</v>
      </c>
      <c r="J12737" t="s">
        <v>40775</v>
      </c>
      <c r="K12737" t="s">
        <v>42727</v>
      </c>
      <c r="M12737" t="s">
        <v>46981</v>
      </c>
      <c r="N12737" t="s">
        <v>47424</v>
      </c>
      <c r="O12737" t="s">
        <v>47425</v>
      </c>
      <c r="Q12737">
        <v>0</v>
      </c>
      <c r="R12737" t="s">
        <v>47440</v>
      </c>
      <c r="S12737" t="s">
        <v>47997</v>
      </c>
      <c r="T12737" t="s">
        <v>49129</v>
      </c>
      <c r="U12737" t="s">
        <v>60125</v>
      </c>
      <c r="W12737" t="s">
        <v>46981</v>
      </c>
      <c r="X12737" t="s">
        <v>47441</v>
      </c>
    </row>
    <row r="12738" spans="1:24">
      <c r="A12738">
        <f>HYPERLINK("https://www.philgeps.gov.ph/GEPSNONPILOT/Tender/SplashBidNoticeAbstractUI.aspx?menuIndex=3&amp;refID=7136880&amp;Result=3","7136880")</f>
        <v>0</v>
      </c>
      <c r="B12738" t="s">
        <v>114</v>
      </c>
      <c r="C12738" t="s">
        <v>15915</v>
      </c>
      <c r="D12738" t="s">
        <v>19050</v>
      </c>
      <c r="E12738" t="s">
        <v>30010</v>
      </c>
      <c r="F12738" t="s">
        <v>32831</v>
      </c>
      <c r="G12738" t="s">
        <v>32839</v>
      </c>
      <c r="H12738" t="s">
        <v>32848</v>
      </c>
      <c r="I12738" t="s">
        <v>32870</v>
      </c>
      <c r="J12738" t="s">
        <v>40776</v>
      </c>
      <c r="K12738" t="s">
        <v>42727</v>
      </c>
      <c r="L12738" t="s">
        <v>114</v>
      </c>
      <c r="M12738" t="s">
        <v>43111</v>
      </c>
      <c r="N12738" t="s">
        <v>47424</v>
      </c>
      <c r="O12738" t="s">
        <v>47425</v>
      </c>
      <c r="P12738">
        <v>0</v>
      </c>
      <c r="Q12738">
        <v>0</v>
      </c>
      <c r="R12738" t="s">
        <v>47440</v>
      </c>
      <c r="S12738" t="s">
        <v>47963</v>
      </c>
      <c r="T12738" t="s">
        <v>49120</v>
      </c>
      <c r="U12738" t="s">
        <v>60126</v>
      </c>
      <c r="W12738" t="s">
        <v>43111</v>
      </c>
      <c r="X12738" t="s">
        <v>47441</v>
      </c>
    </row>
    <row r="12739" spans="1:24">
      <c r="A12739">
        <f>HYPERLINK("https://www.philgeps.gov.ph/GEPSNONPILOT/Tender/SplashBidNoticeAbstractUI.aspx?menuIndex=3&amp;refID=7136877&amp;Result=3","7136877")</f>
        <v>0</v>
      </c>
      <c r="B12739" t="s">
        <v>3614</v>
      </c>
      <c r="C12739" t="s">
        <v>15916</v>
      </c>
      <c r="D12739" t="s">
        <v>19093</v>
      </c>
      <c r="E12739" t="s">
        <v>30011</v>
      </c>
      <c r="F12739" t="s">
        <v>32831</v>
      </c>
      <c r="G12739" t="s">
        <v>32839</v>
      </c>
      <c r="H12739" t="s">
        <v>32848</v>
      </c>
      <c r="I12739" t="s">
        <v>32853</v>
      </c>
      <c r="J12739" t="s">
        <v>40777</v>
      </c>
      <c r="K12739" t="s">
        <v>42730</v>
      </c>
      <c r="M12739" t="s">
        <v>46982</v>
      </c>
      <c r="N12739" t="s">
        <v>47424</v>
      </c>
      <c r="O12739" t="s">
        <v>47425</v>
      </c>
      <c r="P12739">
        <v>0</v>
      </c>
      <c r="Q12739">
        <v>2</v>
      </c>
      <c r="R12739" t="s">
        <v>47440</v>
      </c>
      <c r="S12739" t="s">
        <v>47963</v>
      </c>
      <c r="T12739" t="s">
        <v>49105</v>
      </c>
      <c r="U12739" t="s">
        <v>60127</v>
      </c>
      <c r="W12739" t="s">
        <v>46982</v>
      </c>
      <c r="X12739" t="s">
        <v>47441</v>
      </c>
    </row>
    <row r="12740" spans="1:24">
      <c r="A12740">
        <f>HYPERLINK("https://www.philgeps.gov.ph/GEPSNONPILOT/Tender/SplashBidNoticeAbstractUI.aspx?menuIndex=3&amp;refID=7136488&amp;Result=3","7136488")</f>
        <v>0</v>
      </c>
      <c r="B12740" t="s">
        <v>3417</v>
      </c>
      <c r="C12740" t="s">
        <v>13264</v>
      </c>
      <c r="D12740" t="s">
        <v>19092</v>
      </c>
      <c r="E12740" t="s">
        <v>30012</v>
      </c>
      <c r="F12740" t="s">
        <v>32831</v>
      </c>
      <c r="G12740" t="s">
        <v>32839</v>
      </c>
      <c r="H12740" t="s">
        <v>32848</v>
      </c>
      <c r="I12740" t="s">
        <v>32857</v>
      </c>
      <c r="J12740" t="s">
        <v>40778</v>
      </c>
      <c r="K12740" t="s">
        <v>42730</v>
      </c>
      <c r="M12740" t="s">
        <v>46752</v>
      </c>
      <c r="N12740" t="s">
        <v>47424</v>
      </c>
      <c r="O12740" t="s">
        <v>47425</v>
      </c>
      <c r="P12740">
        <v>0</v>
      </c>
      <c r="Q12740">
        <v>20</v>
      </c>
      <c r="R12740" t="s">
        <v>47440</v>
      </c>
      <c r="S12740" t="s">
        <v>47963</v>
      </c>
      <c r="T12740" t="s">
        <v>49063</v>
      </c>
      <c r="U12740" t="s">
        <v>60128</v>
      </c>
      <c r="W12740" t="s">
        <v>46752</v>
      </c>
      <c r="X12740" t="s">
        <v>47441</v>
      </c>
    </row>
    <row r="12741" spans="1:24">
      <c r="A12741">
        <f>HYPERLINK("https://www.philgeps.gov.ph/GEPSNONPILOT/Tender/SplashBidNoticeAbstractUI.aspx?menuIndex=3&amp;refID=7136869&amp;Result=3","7136869")</f>
        <v>0</v>
      </c>
      <c r="B12741" t="s">
        <v>999</v>
      </c>
      <c r="C12741" t="s">
        <v>15917</v>
      </c>
      <c r="D12741" t="s">
        <v>19017</v>
      </c>
      <c r="E12741" t="s">
        <v>30013</v>
      </c>
      <c r="F12741" t="s">
        <v>32831</v>
      </c>
      <c r="G12741" t="s">
        <v>32839</v>
      </c>
      <c r="H12741" t="s">
        <v>14069</v>
      </c>
      <c r="I12741" t="s">
        <v>14069</v>
      </c>
      <c r="J12741" t="s">
        <v>40779</v>
      </c>
      <c r="K12741" t="s">
        <v>42883</v>
      </c>
      <c r="M12741" t="s">
        <v>44908</v>
      </c>
      <c r="N12741" t="s">
        <v>47424</v>
      </c>
      <c r="O12741" t="s">
        <v>47425</v>
      </c>
      <c r="Q12741">
        <v>10</v>
      </c>
      <c r="R12741" t="s">
        <v>47440</v>
      </c>
      <c r="S12741" t="s">
        <v>47998</v>
      </c>
      <c r="T12741" t="s">
        <v>49288</v>
      </c>
      <c r="U12741" t="s">
        <v>60129</v>
      </c>
      <c r="W12741" t="s">
        <v>44908</v>
      </c>
      <c r="X12741" t="s">
        <v>47441</v>
      </c>
    </row>
    <row r="12742" spans="1:24">
      <c r="A12742">
        <f>HYPERLINK("https://www.philgeps.gov.ph/GEPSNONPILOT/Tender/SplashBidNoticeAbstractUI.aspx?menuIndex=3&amp;refID=7136894&amp;Result=3","7136894")</f>
        <v>0</v>
      </c>
      <c r="B12742" t="s">
        <v>2892</v>
      </c>
      <c r="C12742" t="s">
        <v>15918</v>
      </c>
      <c r="D12742" t="s">
        <v>19037</v>
      </c>
      <c r="E12742" t="s">
        <v>30014</v>
      </c>
      <c r="F12742" t="s">
        <v>32831</v>
      </c>
      <c r="G12742" t="s">
        <v>32839</v>
      </c>
      <c r="H12742" t="s">
        <v>32848</v>
      </c>
      <c r="I12742" t="s">
        <v>7416</v>
      </c>
      <c r="J12742" t="s">
        <v>39992</v>
      </c>
      <c r="K12742" t="s">
        <v>42730</v>
      </c>
      <c r="M12742" t="s">
        <v>46133</v>
      </c>
      <c r="N12742" t="s">
        <v>47424</v>
      </c>
      <c r="O12742" t="s">
        <v>47425</v>
      </c>
      <c r="P12742">
        <v>0</v>
      </c>
      <c r="Q12742">
        <v>7</v>
      </c>
      <c r="R12742" t="s">
        <v>47440</v>
      </c>
      <c r="S12742" t="s">
        <v>47963</v>
      </c>
      <c r="T12742" t="s">
        <v>49211</v>
      </c>
      <c r="U12742" t="s">
        <v>60130</v>
      </c>
      <c r="W12742" t="s">
        <v>46133</v>
      </c>
      <c r="X12742" t="s">
        <v>47441</v>
      </c>
    </row>
    <row r="12743" spans="1:24">
      <c r="A12743">
        <f>HYPERLINK("https://www.philgeps.gov.ph/GEPSNONPILOT/Tender/SplashBidNoticeAbstractUI.aspx?menuIndex=3&amp;refID=7136838&amp;Result=3","7136838")</f>
        <v>0</v>
      </c>
      <c r="B12743" t="s">
        <v>3615</v>
      </c>
      <c r="C12743" t="s">
        <v>15919</v>
      </c>
      <c r="D12743" t="s">
        <v>19037</v>
      </c>
      <c r="E12743" t="s">
        <v>30015</v>
      </c>
      <c r="F12743" t="s">
        <v>32831</v>
      </c>
      <c r="G12743" t="s">
        <v>32839</v>
      </c>
      <c r="H12743" t="s">
        <v>32848</v>
      </c>
      <c r="I12743" t="s">
        <v>7416</v>
      </c>
      <c r="J12743" t="s">
        <v>40780</v>
      </c>
      <c r="K12743" t="s">
        <v>42730</v>
      </c>
      <c r="M12743" t="s">
        <v>46983</v>
      </c>
      <c r="N12743" t="s">
        <v>47424</v>
      </c>
      <c r="O12743" t="s">
        <v>47425</v>
      </c>
      <c r="P12743">
        <v>0</v>
      </c>
      <c r="Q12743">
        <v>2</v>
      </c>
      <c r="R12743" t="s">
        <v>47440</v>
      </c>
      <c r="S12743" t="s">
        <v>47963</v>
      </c>
      <c r="T12743" t="s">
        <v>49193</v>
      </c>
      <c r="U12743" t="s">
        <v>60131</v>
      </c>
      <c r="V12743" t="s">
        <v>64042</v>
      </c>
      <c r="W12743" t="s">
        <v>46983</v>
      </c>
      <c r="X12743" t="s">
        <v>47441</v>
      </c>
    </row>
    <row r="12744" spans="1:24">
      <c r="A12744">
        <f>HYPERLINK("https://www.philgeps.gov.ph/GEPSNONPILOT/Tender/SplashBidNoticeAbstractUI.aspx?menuIndex=3&amp;refID=7136876&amp;Result=3","7136876")</f>
        <v>0</v>
      </c>
      <c r="B12744" t="s">
        <v>2892</v>
      </c>
      <c r="C12744" t="s">
        <v>15920</v>
      </c>
      <c r="D12744" t="s">
        <v>19037</v>
      </c>
      <c r="E12744" t="s">
        <v>27323</v>
      </c>
      <c r="F12744" t="s">
        <v>32831</v>
      </c>
      <c r="G12744" t="s">
        <v>32839</v>
      </c>
      <c r="H12744" t="s">
        <v>32848</v>
      </c>
      <c r="I12744" t="s">
        <v>7416</v>
      </c>
      <c r="J12744" t="s">
        <v>40781</v>
      </c>
      <c r="K12744" t="s">
        <v>42763</v>
      </c>
      <c r="M12744" t="s">
        <v>46133</v>
      </c>
      <c r="N12744" t="s">
        <v>47424</v>
      </c>
      <c r="O12744" t="s">
        <v>47425</v>
      </c>
      <c r="P12744">
        <v>0</v>
      </c>
      <c r="Q12744">
        <v>3</v>
      </c>
      <c r="R12744" t="s">
        <v>47440</v>
      </c>
      <c r="S12744" t="s">
        <v>47963</v>
      </c>
      <c r="T12744" t="s">
        <v>49211</v>
      </c>
      <c r="U12744" t="s">
        <v>60132</v>
      </c>
      <c r="W12744" t="s">
        <v>46133</v>
      </c>
      <c r="X12744" t="s">
        <v>47441</v>
      </c>
    </row>
    <row r="12745" spans="1:24">
      <c r="A12745">
        <f>HYPERLINK("https://www.philgeps.gov.ph/GEPSNONPILOT/Tender/SplashBidNoticeAbstractUI.aspx?menuIndex=3&amp;refID=7136854&amp;Result=3","7136854")</f>
        <v>0</v>
      </c>
      <c r="B12745" t="s">
        <v>234</v>
      </c>
      <c r="C12745" t="s">
        <v>15921</v>
      </c>
      <c r="D12745" t="s">
        <v>19045</v>
      </c>
      <c r="E12745" t="s">
        <v>19550</v>
      </c>
      <c r="F12745" t="s">
        <v>32831</v>
      </c>
      <c r="G12745" t="s">
        <v>32839</v>
      </c>
      <c r="H12745" t="s">
        <v>32848</v>
      </c>
      <c r="I12745" t="s">
        <v>7416</v>
      </c>
      <c r="J12745" t="s">
        <v>40782</v>
      </c>
      <c r="K12745" t="s">
        <v>42731</v>
      </c>
      <c r="M12745" t="s">
        <v>43233</v>
      </c>
      <c r="N12745" t="s">
        <v>47424</v>
      </c>
      <c r="O12745" t="s">
        <v>47425</v>
      </c>
      <c r="P12745">
        <v>0</v>
      </c>
      <c r="Q12745">
        <v>0</v>
      </c>
      <c r="R12745" t="s">
        <v>47440</v>
      </c>
      <c r="S12745" t="s">
        <v>47963</v>
      </c>
      <c r="T12745" t="s">
        <v>49323</v>
      </c>
      <c r="U12745" t="s">
        <v>51342</v>
      </c>
      <c r="W12745" t="s">
        <v>43233</v>
      </c>
      <c r="X12745" t="s">
        <v>47441</v>
      </c>
    </row>
    <row r="12746" spans="1:24">
      <c r="A12746">
        <f>HYPERLINK("https://www.philgeps.gov.ph/GEPSNONPILOT/Tender/SplashBidNoticeAbstractUI.aspx?menuIndex=3&amp;refID=7137070&amp;Result=3","7137070")</f>
        <v>0</v>
      </c>
      <c r="B12746" t="s">
        <v>3616</v>
      </c>
      <c r="C12746" t="s">
        <v>15922</v>
      </c>
      <c r="D12746" t="s">
        <v>19038</v>
      </c>
      <c r="E12746" t="s">
        <v>30016</v>
      </c>
      <c r="F12746" t="s">
        <v>32831</v>
      </c>
      <c r="G12746" t="s">
        <v>32839</v>
      </c>
      <c r="H12746" t="s">
        <v>32848</v>
      </c>
      <c r="I12746" t="s">
        <v>7416</v>
      </c>
      <c r="J12746" t="s">
        <v>40783</v>
      </c>
      <c r="K12746" t="s">
        <v>42726</v>
      </c>
      <c r="M12746" t="s">
        <v>46984</v>
      </c>
      <c r="N12746" t="s">
        <v>47424</v>
      </c>
      <c r="O12746" t="s">
        <v>47425</v>
      </c>
      <c r="P12746">
        <v>0</v>
      </c>
      <c r="Q12746">
        <v>0</v>
      </c>
      <c r="R12746" t="s">
        <v>47440</v>
      </c>
      <c r="S12746" t="s">
        <v>47963</v>
      </c>
      <c r="T12746" t="s">
        <v>49129</v>
      </c>
      <c r="U12746" t="s">
        <v>60133</v>
      </c>
      <c r="V12746" t="s">
        <v>64043</v>
      </c>
      <c r="W12746" t="s">
        <v>46984</v>
      </c>
      <c r="X12746" t="s">
        <v>47441</v>
      </c>
    </row>
    <row r="12747" spans="1:24">
      <c r="A12747">
        <f>HYPERLINK("https://www.philgeps.gov.ph/GEPSNONPILOT/Tender/SplashBidNoticeAbstractUI.aspx?menuIndex=3&amp;refID=7137067&amp;Result=3","7137067")</f>
        <v>0</v>
      </c>
      <c r="B12747" t="s">
        <v>1258</v>
      </c>
      <c r="C12747" t="s">
        <v>15923</v>
      </c>
      <c r="D12747" t="s">
        <v>19017</v>
      </c>
      <c r="E12747" t="s">
        <v>30017</v>
      </c>
      <c r="F12747" t="s">
        <v>32831</v>
      </c>
      <c r="G12747" t="s">
        <v>32839</v>
      </c>
      <c r="H12747" t="s">
        <v>32848</v>
      </c>
      <c r="I12747" t="s">
        <v>32856</v>
      </c>
      <c r="J12747" t="s">
        <v>34860</v>
      </c>
      <c r="K12747" t="s">
        <v>42729</v>
      </c>
      <c r="M12747" t="s">
        <v>44328</v>
      </c>
      <c r="N12747" t="s">
        <v>47424</v>
      </c>
      <c r="O12747" t="s">
        <v>47425</v>
      </c>
      <c r="Q12747">
        <v>13</v>
      </c>
      <c r="R12747" t="s">
        <v>47440</v>
      </c>
      <c r="S12747" t="s">
        <v>47999</v>
      </c>
      <c r="T12747" t="s">
        <v>49288</v>
      </c>
      <c r="U12747" t="s">
        <v>52157</v>
      </c>
      <c r="W12747" t="s">
        <v>44328</v>
      </c>
      <c r="X12747" t="s">
        <v>47441</v>
      </c>
    </row>
    <row r="12748" spans="1:24">
      <c r="A12748">
        <f>HYPERLINK("https://www.philgeps.gov.ph/GEPSNONPILOT/Tender/SplashBidNoticeAbstractUI.aspx?menuIndex=3&amp;refID=7137084&amp;Result=3","7137084")</f>
        <v>0</v>
      </c>
      <c r="B12748" t="s">
        <v>3060</v>
      </c>
      <c r="C12748" t="s">
        <v>15924</v>
      </c>
      <c r="D12748" t="s">
        <v>19034</v>
      </c>
      <c r="E12748" t="s">
        <v>30018</v>
      </c>
      <c r="F12748" t="s">
        <v>32831</v>
      </c>
      <c r="G12748" t="s">
        <v>32839</v>
      </c>
      <c r="H12748" t="s">
        <v>32848</v>
      </c>
      <c r="I12748" t="s">
        <v>4487</v>
      </c>
      <c r="J12748" t="s">
        <v>33241</v>
      </c>
      <c r="K12748" t="s">
        <v>42746</v>
      </c>
      <c r="M12748" t="s">
        <v>46335</v>
      </c>
      <c r="N12748" t="s">
        <v>47424</v>
      </c>
      <c r="O12748" t="s">
        <v>47425</v>
      </c>
      <c r="P12748">
        <v>0</v>
      </c>
      <c r="Q12748">
        <v>5</v>
      </c>
      <c r="R12748" t="s">
        <v>47440</v>
      </c>
      <c r="S12748" t="s">
        <v>47963</v>
      </c>
      <c r="T12748" t="s">
        <v>49427</v>
      </c>
      <c r="U12748" t="s">
        <v>60134</v>
      </c>
      <c r="V12748" t="s">
        <v>64044</v>
      </c>
      <c r="W12748" t="s">
        <v>46335</v>
      </c>
      <c r="X12748" t="s">
        <v>47441</v>
      </c>
    </row>
    <row r="12749" spans="1:24">
      <c r="A12749">
        <f>HYPERLINK("https://www.philgeps.gov.ph/GEPSNONPILOT/Tender/SplashBidNoticeAbstractUI.aspx?menuIndex=3&amp;refID=7137058&amp;Result=3","7137058")</f>
        <v>0</v>
      </c>
      <c r="B12749" t="s">
        <v>2342</v>
      </c>
      <c r="C12749" t="s">
        <v>15925</v>
      </c>
      <c r="D12749" t="s">
        <v>19044</v>
      </c>
      <c r="E12749" t="s">
        <v>26917</v>
      </c>
      <c r="F12749" t="s">
        <v>32831</v>
      </c>
      <c r="G12749" t="s">
        <v>32839</v>
      </c>
      <c r="H12749" t="s">
        <v>32848</v>
      </c>
      <c r="I12749" t="s">
        <v>10805</v>
      </c>
      <c r="J12749" t="s">
        <v>33162</v>
      </c>
      <c r="K12749" t="s">
        <v>42727</v>
      </c>
      <c r="M12749" t="s">
        <v>45529</v>
      </c>
      <c r="N12749" t="s">
        <v>47424</v>
      </c>
      <c r="O12749" t="s">
        <v>47425</v>
      </c>
      <c r="P12749">
        <v>0</v>
      </c>
      <c r="Q12749">
        <v>2</v>
      </c>
      <c r="R12749" t="s">
        <v>47440</v>
      </c>
      <c r="S12749" t="s">
        <v>47963</v>
      </c>
      <c r="T12749" t="s">
        <v>49237</v>
      </c>
      <c r="U12749" t="s">
        <v>55295</v>
      </c>
      <c r="W12749" t="s">
        <v>45529</v>
      </c>
      <c r="X12749" t="s">
        <v>47441</v>
      </c>
    </row>
    <row r="12750" spans="1:24">
      <c r="A12750">
        <f>HYPERLINK("https://www.philgeps.gov.ph/GEPSNONPILOT/Tender/SplashBidNoticeAbstractUI.aspx?menuIndex=3&amp;refID=7136879&amp;Result=3","7136879")</f>
        <v>0</v>
      </c>
      <c r="B12750" t="s">
        <v>3617</v>
      </c>
      <c r="C12750" t="s">
        <v>15926</v>
      </c>
      <c r="D12750" t="s">
        <v>19099</v>
      </c>
      <c r="E12750" t="s">
        <v>30019</v>
      </c>
      <c r="F12750" t="s">
        <v>32831</v>
      </c>
      <c r="G12750" t="s">
        <v>32839</v>
      </c>
      <c r="H12750" t="s">
        <v>32848</v>
      </c>
      <c r="I12750" t="s">
        <v>32883</v>
      </c>
      <c r="J12750" t="s">
        <v>40784</v>
      </c>
      <c r="K12750" t="s">
        <v>42729</v>
      </c>
      <c r="M12750" t="s">
        <v>46985</v>
      </c>
      <c r="N12750" t="s">
        <v>47424</v>
      </c>
      <c r="O12750" t="s">
        <v>47425</v>
      </c>
      <c r="P12750">
        <v>0</v>
      </c>
      <c r="Q12750">
        <v>4</v>
      </c>
      <c r="R12750" t="s">
        <v>47440</v>
      </c>
      <c r="S12750" t="s">
        <v>47963</v>
      </c>
      <c r="T12750" t="s">
        <v>49073</v>
      </c>
      <c r="U12750" t="s">
        <v>60135</v>
      </c>
      <c r="W12750" t="s">
        <v>46985</v>
      </c>
      <c r="X12750" t="s">
        <v>47441</v>
      </c>
    </row>
    <row r="12751" spans="1:24">
      <c r="A12751">
        <f>HYPERLINK("https://www.philgeps.gov.ph/GEPSNONPILOT/Tender/SplashBidNoticeAbstractUI.aspx?menuIndex=3&amp;refID=7137045&amp;Result=3","7137045")</f>
        <v>0</v>
      </c>
      <c r="B12751" t="s">
        <v>3618</v>
      </c>
      <c r="C12751" t="s">
        <v>15927</v>
      </c>
      <c r="D12751" t="s">
        <v>19045</v>
      </c>
      <c r="E12751" t="s">
        <v>20380</v>
      </c>
      <c r="F12751" t="s">
        <v>32831</v>
      </c>
      <c r="G12751" t="s">
        <v>32839</v>
      </c>
      <c r="H12751" t="s">
        <v>32848</v>
      </c>
      <c r="I12751" t="s">
        <v>32883</v>
      </c>
      <c r="J12751" t="s">
        <v>33083</v>
      </c>
      <c r="K12751" t="s">
        <v>42730</v>
      </c>
      <c r="M12751" t="s">
        <v>46986</v>
      </c>
      <c r="N12751" t="s">
        <v>47424</v>
      </c>
      <c r="O12751" t="s">
        <v>47425</v>
      </c>
      <c r="Q12751">
        <v>2</v>
      </c>
      <c r="R12751" t="s">
        <v>47440</v>
      </c>
      <c r="S12751" t="s">
        <v>48000</v>
      </c>
      <c r="T12751" t="s">
        <v>49096</v>
      </c>
      <c r="U12751" t="s">
        <v>60136</v>
      </c>
      <c r="W12751" t="s">
        <v>46986</v>
      </c>
      <c r="X12751" t="s">
        <v>47441</v>
      </c>
    </row>
    <row r="12752" spans="1:24">
      <c r="A12752">
        <f>HYPERLINK("https://www.philgeps.gov.ph/GEPSNONPILOT/Tender/SplashBidNoticeAbstractUI.aspx?menuIndex=3&amp;refID=7136490&amp;Result=3","7136490")</f>
        <v>0</v>
      </c>
      <c r="B12752" t="s">
        <v>1837</v>
      </c>
      <c r="C12752" t="s">
        <v>15928</v>
      </c>
      <c r="D12752" t="s">
        <v>19087</v>
      </c>
      <c r="E12752" t="s">
        <v>30020</v>
      </c>
      <c r="F12752" t="s">
        <v>32831</v>
      </c>
      <c r="G12752" t="s">
        <v>32839</v>
      </c>
      <c r="H12752" t="s">
        <v>32848</v>
      </c>
      <c r="I12752" t="s">
        <v>4177</v>
      </c>
      <c r="J12752" t="s">
        <v>40785</v>
      </c>
      <c r="K12752" t="s">
        <v>42727</v>
      </c>
      <c r="M12752" t="s">
        <v>44971</v>
      </c>
      <c r="N12752" t="s">
        <v>47424</v>
      </c>
      <c r="O12752" t="s">
        <v>47425</v>
      </c>
      <c r="P12752">
        <v>0</v>
      </c>
      <c r="Q12752">
        <v>0</v>
      </c>
      <c r="R12752" t="s">
        <v>47440</v>
      </c>
      <c r="S12752" t="s">
        <v>47963</v>
      </c>
      <c r="T12752" t="s">
        <v>49066</v>
      </c>
      <c r="U12752" t="s">
        <v>60137</v>
      </c>
      <c r="V12752" t="s">
        <v>64045</v>
      </c>
      <c r="W12752" t="s">
        <v>44971</v>
      </c>
      <c r="X12752" t="s">
        <v>47441</v>
      </c>
    </row>
    <row r="12753" spans="1:24">
      <c r="A12753">
        <f>HYPERLINK("https://www.philgeps.gov.ph/GEPSNONPILOT/Tender/SplashBidNoticeAbstractUI.aspx?menuIndex=3&amp;refID=7137032&amp;Result=3","7137032")</f>
        <v>0</v>
      </c>
      <c r="B12753" t="s">
        <v>1666</v>
      </c>
      <c r="C12753" t="s">
        <v>15929</v>
      </c>
      <c r="D12753" t="s">
        <v>19067</v>
      </c>
      <c r="E12753" t="s">
        <v>30021</v>
      </c>
      <c r="F12753" t="s">
        <v>32831</v>
      </c>
      <c r="G12753" t="s">
        <v>32839</v>
      </c>
      <c r="H12753" t="s">
        <v>32848</v>
      </c>
      <c r="I12753" t="s">
        <v>32860</v>
      </c>
      <c r="J12753" t="s">
        <v>40786</v>
      </c>
      <c r="K12753" t="s">
        <v>42730</v>
      </c>
      <c r="M12753" t="s">
        <v>44783</v>
      </c>
      <c r="N12753" t="s">
        <v>47424</v>
      </c>
      <c r="O12753" t="s">
        <v>47425</v>
      </c>
      <c r="P12753">
        <v>0</v>
      </c>
      <c r="Q12753">
        <v>2</v>
      </c>
      <c r="R12753" t="s">
        <v>47440</v>
      </c>
      <c r="S12753" t="s">
        <v>47963</v>
      </c>
      <c r="T12753" t="s">
        <v>49070</v>
      </c>
      <c r="U12753" t="s">
        <v>60138</v>
      </c>
      <c r="W12753" t="s">
        <v>44783</v>
      </c>
      <c r="X12753" t="s">
        <v>47441</v>
      </c>
    </row>
    <row r="12754" spans="1:24">
      <c r="A12754">
        <f>HYPERLINK("https://www.philgeps.gov.ph/GEPSNONPILOT/Tender/SplashBidNoticeAbstractUI.aspx?menuIndex=3&amp;refID=7137065&amp;Result=3","7137065")</f>
        <v>0</v>
      </c>
      <c r="B12754" t="s">
        <v>2474</v>
      </c>
      <c r="C12754" t="s">
        <v>15930</v>
      </c>
      <c r="D12754" t="s">
        <v>19017</v>
      </c>
      <c r="E12754" t="s">
        <v>25671</v>
      </c>
      <c r="F12754" t="s">
        <v>32831</v>
      </c>
      <c r="G12754" t="s">
        <v>32838</v>
      </c>
      <c r="H12754" t="s">
        <v>32848</v>
      </c>
      <c r="I12754" t="s">
        <v>32900</v>
      </c>
      <c r="J12754" t="s">
        <v>33017</v>
      </c>
      <c r="K12754" t="s">
        <v>42732</v>
      </c>
      <c r="M12754" t="s">
        <v>46987</v>
      </c>
      <c r="N12754" t="s">
        <v>47424</v>
      </c>
      <c r="O12754" t="s">
        <v>47425</v>
      </c>
      <c r="Q12754">
        <v>1</v>
      </c>
      <c r="R12754" t="s">
        <v>47440</v>
      </c>
      <c r="S12754" t="s">
        <v>48001</v>
      </c>
      <c r="T12754" t="s">
        <v>49107</v>
      </c>
      <c r="U12754" t="s">
        <v>60139</v>
      </c>
      <c r="V12754" t="s">
        <v>64046</v>
      </c>
      <c r="W12754" t="s">
        <v>46987</v>
      </c>
      <c r="X12754" t="s">
        <v>47441</v>
      </c>
    </row>
    <row r="12755" spans="1:24">
      <c r="A12755">
        <f>HYPERLINK("https://www.philgeps.gov.ph/GEPSNONPILOT/Tender/SplashBidNoticeAbstractUI.aspx?menuIndex=3&amp;refID=7137019&amp;Result=3","7137019")</f>
        <v>0</v>
      </c>
      <c r="B12755" t="s">
        <v>3619</v>
      </c>
      <c r="C12755" t="s">
        <v>15931</v>
      </c>
      <c r="D12755" t="s">
        <v>19017</v>
      </c>
      <c r="E12755" t="s">
        <v>30022</v>
      </c>
      <c r="F12755" t="s">
        <v>32831</v>
      </c>
      <c r="G12755" t="s">
        <v>32839</v>
      </c>
      <c r="H12755" t="s">
        <v>32848</v>
      </c>
      <c r="I12755" t="s">
        <v>32852</v>
      </c>
      <c r="J12755" t="s">
        <v>40009</v>
      </c>
      <c r="K12755" t="s">
        <v>42729</v>
      </c>
      <c r="M12755" t="s">
        <v>46988</v>
      </c>
      <c r="N12755" t="s">
        <v>47424</v>
      </c>
      <c r="O12755" t="s">
        <v>47425</v>
      </c>
      <c r="Q12755">
        <v>16</v>
      </c>
      <c r="R12755" t="s">
        <v>47440</v>
      </c>
      <c r="S12755" t="s">
        <v>48002</v>
      </c>
      <c r="T12755" t="s">
        <v>49105</v>
      </c>
      <c r="U12755" t="s">
        <v>60140</v>
      </c>
      <c r="W12755" t="s">
        <v>46988</v>
      </c>
      <c r="X12755" t="s">
        <v>47441</v>
      </c>
    </row>
    <row r="12756" spans="1:24">
      <c r="A12756">
        <f>HYPERLINK("https://www.philgeps.gov.ph/GEPSNONPILOT/Tender/SplashBidNoticeAbstractUI.aspx?menuIndex=3&amp;refID=7137011&amp;Result=3","7137011")</f>
        <v>0</v>
      </c>
      <c r="B12756" t="s">
        <v>3620</v>
      </c>
      <c r="C12756" t="s">
        <v>15932</v>
      </c>
      <c r="D12756" t="s">
        <v>19067</v>
      </c>
      <c r="E12756" t="s">
        <v>30023</v>
      </c>
      <c r="F12756" t="s">
        <v>32831</v>
      </c>
      <c r="G12756" t="s">
        <v>32839</v>
      </c>
      <c r="H12756" t="s">
        <v>32848</v>
      </c>
      <c r="I12756" t="s">
        <v>4438</v>
      </c>
      <c r="J12756" t="s">
        <v>33490</v>
      </c>
      <c r="K12756" t="s">
        <v>42731</v>
      </c>
      <c r="M12756" t="s">
        <v>46989</v>
      </c>
      <c r="N12756" t="s">
        <v>47424</v>
      </c>
      <c r="O12756" t="s">
        <v>47425</v>
      </c>
      <c r="P12756">
        <v>0</v>
      </c>
      <c r="Q12756">
        <v>2</v>
      </c>
      <c r="R12756" t="s">
        <v>47440</v>
      </c>
      <c r="S12756" t="s">
        <v>47963</v>
      </c>
      <c r="T12756" t="s">
        <v>49214</v>
      </c>
      <c r="U12756" t="s">
        <v>60141</v>
      </c>
      <c r="W12756" t="s">
        <v>46989</v>
      </c>
      <c r="X12756" t="s">
        <v>47441</v>
      </c>
    </row>
    <row r="12757" spans="1:24">
      <c r="A12757">
        <f>HYPERLINK("https://www.philgeps.gov.ph/GEPSNONPILOT/Tender/SplashBidNoticeAbstractUI.aspx?menuIndex=3&amp;refID=7137050&amp;Result=3","7137050")</f>
        <v>0</v>
      </c>
      <c r="B12757" t="s">
        <v>871</v>
      </c>
      <c r="C12757" t="s">
        <v>15933</v>
      </c>
      <c r="D12757" t="s">
        <v>19020</v>
      </c>
      <c r="E12757" t="s">
        <v>30024</v>
      </c>
      <c r="F12757" t="s">
        <v>32831</v>
      </c>
      <c r="G12757" t="s">
        <v>32839</v>
      </c>
      <c r="H12757" t="s">
        <v>32849</v>
      </c>
      <c r="I12757" t="s">
        <v>4177</v>
      </c>
      <c r="J12757" t="s">
        <v>37278</v>
      </c>
      <c r="K12757" t="s">
        <v>42920</v>
      </c>
      <c r="M12757" t="s">
        <v>43905</v>
      </c>
      <c r="N12757" t="s">
        <v>47424</v>
      </c>
      <c r="O12757" t="s">
        <v>47425</v>
      </c>
      <c r="P12757">
        <v>0</v>
      </c>
      <c r="Q12757">
        <v>1</v>
      </c>
      <c r="R12757" t="s">
        <v>47440</v>
      </c>
      <c r="S12757" t="s">
        <v>47963</v>
      </c>
      <c r="T12757" t="s">
        <v>49159</v>
      </c>
      <c r="U12757" t="s">
        <v>60142</v>
      </c>
      <c r="V12757" t="s">
        <v>63755</v>
      </c>
      <c r="W12757" t="s">
        <v>43905</v>
      </c>
      <c r="X12757" t="s">
        <v>47441</v>
      </c>
    </row>
    <row r="12758" spans="1:24">
      <c r="A12758">
        <f>HYPERLINK("https://www.philgeps.gov.ph/GEPSNONPILOT/Tender/SplashBidNoticeAbstractUI.aspx?menuIndex=3&amp;refID=7137036&amp;Result=3","7137036")</f>
        <v>0</v>
      </c>
      <c r="B12758" t="s">
        <v>3620</v>
      </c>
      <c r="C12758" t="s">
        <v>15934</v>
      </c>
      <c r="D12758" t="s">
        <v>19067</v>
      </c>
      <c r="E12758" t="s">
        <v>30025</v>
      </c>
      <c r="F12758" t="s">
        <v>32831</v>
      </c>
      <c r="G12758" t="s">
        <v>32839</v>
      </c>
      <c r="H12758" t="s">
        <v>32848</v>
      </c>
      <c r="I12758" t="s">
        <v>4438</v>
      </c>
      <c r="J12758" t="s">
        <v>33041</v>
      </c>
      <c r="K12758" t="s">
        <v>42731</v>
      </c>
      <c r="M12758" t="s">
        <v>46989</v>
      </c>
      <c r="N12758" t="s">
        <v>47424</v>
      </c>
      <c r="O12758" t="s">
        <v>47425</v>
      </c>
      <c r="P12758">
        <v>0</v>
      </c>
      <c r="Q12758">
        <v>0</v>
      </c>
      <c r="R12758" t="s">
        <v>47440</v>
      </c>
      <c r="S12758" t="s">
        <v>47963</v>
      </c>
      <c r="T12758" t="s">
        <v>49214</v>
      </c>
      <c r="U12758" t="s">
        <v>60143</v>
      </c>
      <c r="W12758" t="s">
        <v>46989</v>
      </c>
      <c r="X12758" t="s">
        <v>47441</v>
      </c>
    </row>
    <row r="12759" spans="1:24">
      <c r="A12759">
        <f>HYPERLINK("https://www.philgeps.gov.ph/GEPSNONPILOT/Tender/SplashBidNoticeAbstractUI.aspx?menuIndex=3&amp;refID=7137190&amp;Result=3","7137190")</f>
        <v>0</v>
      </c>
      <c r="B12759" t="s">
        <v>3060</v>
      </c>
      <c r="C12759" t="s">
        <v>15935</v>
      </c>
      <c r="D12759" t="s">
        <v>19034</v>
      </c>
      <c r="E12759" t="s">
        <v>30026</v>
      </c>
      <c r="F12759" t="s">
        <v>32831</v>
      </c>
      <c r="G12759" t="s">
        <v>32839</v>
      </c>
      <c r="H12759" t="s">
        <v>32848</v>
      </c>
      <c r="I12759" t="s">
        <v>32867</v>
      </c>
      <c r="J12759" t="s">
        <v>40787</v>
      </c>
      <c r="K12759" t="s">
        <v>42746</v>
      </c>
      <c r="M12759" t="s">
        <v>46335</v>
      </c>
      <c r="N12759" t="s">
        <v>47424</v>
      </c>
      <c r="O12759" t="s">
        <v>47425</v>
      </c>
      <c r="P12759">
        <v>0</v>
      </c>
      <c r="Q12759">
        <v>4</v>
      </c>
      <c r="R12759" t="s">
        <v>47440</v>
      </c>
      <c r="S12759" t="s">
        <v>47963</v>
      </c>
      <c r="T12759" t="s">
        <v>49427</v>
      </c>
      <c r="U12759" t="s">
        <v>60144</v>
      </c>
      <c r="V12759" t="s">
        <v>64047</v>
      </c>
      <c r="W12759" t="s">
        <v>46335</v>
      </c>
      <c r="X12759" t="s">
        <v>47441</v>
      </c>
    </row>
    <row r="12760" spans="1:24">
      <c r="A12760">
        <f>HYPERLINK("https://www.philgeps.gov.ph/GEPSNONPILOT/Tender/SplashBidNoticeAbstractUI.aspx?menuIndex=3&amp;refID=7137090&amp;Result=3","7137090")</f>
        <v>0</v>
      </c>
      <c r="B12760" t="s">
        <v>3609</v>
      </c>
      <c r="C12760" t="s">
        <v>15936</v>
      </c>
      <c r="D12760" t="s">
        <v>19084</v>
      </c>
      <c r="E12760" t="s">
        <v>29986</v>
      </c>
      <c r="F12760" t="s">
        <v>32831</v>
      </c>
      <c r="G12760" t="s">
        <v>32839</v>
      </c>
      <c r="H12760" t="s">
        <v>32849</v>
      </c>
      <c r="I12760" t="s">
        <v>4177</v>
      </c>
      <c r="J12760" t="s">
        <v>40788</v>
      </c>
      <c r="K12760" t="s">
        <v>42763</v>
      </c>
      <c r="M12760" t="s">
        <v>46977</v>
      </c>
      <c r="N12760" t="s">
        <v>47424</v>
      </c>
      <c r="O12760" t="s">
        <v>47425</v>
      </c>
      <c r="Q12760">
        <v>9</v>
      </c>
      <c r="R12760" t="s">
        <v>47440</v>
      </c>
      <c r="S12760" t="s">
        <v>48003</v>
      </c>
      <c r="T12760" t="s">
        <v>49105</v>
      </c>
      <c r="U12760" t="s">
        <v>60102</v>
      </c>
      <c r="W12760" t="s">
        <v>46977</v>
      </c>
      <c r="X12760" t="s">
        <v>47441</v>
      </c>
    </row>
    <row r="12761" spans="1:24">
      <c r="A12761">
        <f>HYPERLINK("https://www.philgeps.gov.ph/GEPSNONPILOT/Tender/SplashBidNoticeAbstractUI.aspx?menuIndex=3&amp;refID=7137222&amp;Result=3","7137222")</f>
        <v>0</v>
      </c>
      <c r="B12761" t="s">
        <v>2432</v>
      </c>
      <c r="C12761" t="s">
        <v>15937</v>
      </c>
      <c r="D12761" t="s">
        <v>19055</v>
      </c>
      <c r="E12761" t="s">
        <v>30027</v>
      </c>
      <c r="F12761" t="s">
        <v>32831</v>
      </c>
      <c r="G12761" t="s">
        <v>32839</v>
      </c>
      <c r="H12761" t="s">
        <v>32848</v>
      </c>
      <c r="I12761" t="s">
        <v>32890</v>
      </c>
      <c r="J12761" t="s">
        <v>40789</v>
      </c>
      <c r="K12761" t="s">
        <v>42747</v>
      </c>
      <c r="M12761" t="s">
        <v>45629</v>
      </c>
      <c r="N12761" t="s">
        <v>47424</v>
      </c>
      <c r="O12761" t="s">
        <v>47425</v>
      </c>
      <c r="P12761">
        <v>0</v>
      </c>
      <c r="Q12761">
        <v>0</v>
      </c>
      <c r="R12761" t="s">
        <v>47440</v>
      </c>
      <c r="S12761" t="s">
        <v>47963</v>
      </c>
      <c r="T12761" t="s">
        <v>49105</v>
      </c>
      <c r="U12761" t="s">
        <v>60145</v>
      </c>
      <c r="V12761" t="s">
        <v>63383</v>
      </c>
      <c r="W12761" t="s">
        <v>45629</v>
      </c>
      <c r="X12761" t="s">
        <v>47441</v>
      </c>
    </row>
    <row r="12762" spans="1:24">
      <c r="A12762">
        <f>HYPERLINK("https://www.philgeps.gov.ph/GEPSNONPILOT/Tender/SplashBidNoticeAbstractUI.aspx?menuIndex=3&amp;refID=7137020&amp;Result=3","7137020")</f>
        <v>0</v>
      </c>
      <c r="B12762" t="s">
        <v>3060</v>
      </c>
      <c r="C12762" t="s">
        <v>15938</v>
      </c>
      <c r="D12762" t="s">
        <v>19034</v>
      </c>
      <c r="E12762" t="s">
        <v>30028</v>
      </c>
      <c r="F12762" t="s">
        <v>32831</v>
      </c>
      <c r="G12762" t="s">
        <v>32839</v>
      </c>
      <c r="H12762" t="s">
        <v>32848</v>
      </c>
      <c r="I12762" t="s">
        <v>10805</v>
      </c>
      <c r="J12762" t="s">
        <v>39917</v>
      </c>
      <c r="K12762" t="s">
        <v>42746</v>
      </c>
      <c r="M12762" t="s">
        <v>46335</v>
      </c>
      <c r="N12762" t="s">
        <v>47424</v>
      </c>
      <c r="O12762" t="s">
        <v>47425</v>
      </c>
      <c r="Q12762">
        <v>0</v>
      </c>
      <c r="R12762" t="s">
        <v>47440</v>
      </c>
      <c r="S12762" t="s">
        <v>48004</v>
      </c>
      <c r="T12762" t="s">
        <v>49427</v>
      </c>
      <c r="U12762" t="s">
        <v>60146</v>
      </c>
      <c r="V12762" t="s">
        <v>64048</v>
      </c>
      <c r="W12762" t="s">
        <v>46335</v>
      </c>
      <c r="X12762" t="s">
        <v>47441</v>
      </c>
    </row>
    <row r="12763" spans="1:24">
      <c r="A12763">
        <f>HYPERLINK("https://www.philgeps.gov.ph/GEPSNONPILOT/Tender/SplashBidNoticeAbstractUI.aspx?menuIndex=3&amp;refID=7137224&amp;Result=3","7137224")</f>
        <v>0</v>
      </c>
      <c r="B12763" t="s">
        <v>3621</v>
      </c>
      <c r="C12763" t="s">
        <v>15939</v>
      </c>
      <c r="D12763" t="s">
        <v>19017</v>
      </c>
      <c r="E12763" t="s">
        <v>30029</v>
      </c>
      <c r="F12763" t="s">
        <v>32831</v>
      </c>
      <c r="G12763" t="s">
        <v>32838</v>
      </c>
      <c r="H12763" t="s">
        <v>32848</v>
      </c>
      <c r="I12763" t="s">
        <v>32852</v>
      </c>
      <c r="J12763" t="s">
        <v>40790</v>
      </c>
      <c r="K12763" t="s">
        <v>42726</v>
      </c>
      <c r="M12763" t="s">
        <v>46990</v>
      </c>
      <c r="N12763" t="s">
        <v>47424</v>
      </c>
      <c r="O12763" t="s">
        <v>47425</v>
      </c>
      <c r="Q12763">
        <v>8</v>
      </c>
      <c r="R12763" t="s">
        <v>47440</v>
      </c>
      <c r="S12763" t="s">
        <v>48005</v>
      </c>
      <c r="T12763" t="s">
        <v>49111</v>
      </c>
      <c r="U12763" t="s">
        <v>60147</v>
      </c>
      <c r="W12763" t="s">
        <v>46990</v>
      </c>
      <c r="X12763" t="s">
        <v>47441</v>
      </c>
    </row>
    <row r="12764" spans="1:24">
      <c r="A12764">
        <f>HYPERLINK("https://www.philgeps.gov.ph/GEPSNONPILOT/Tender/SplashBidNoticeAbstractUI.aspx?menuIndex=3&amp;refID=7136907&amp;Result=3","7136907")</f>
        <v>0</v>
      </c>
      <c r="B12764" t="s">
        <v>3622</v>
      </c>
      <c r="C12764" t="s">
        <v>15940</v>
      </c>
      <c r="D12764" t="s">
        <v>19023</v>
      </c>
      <c r="E12764" t="s">
        <v>30030</v>
      </c>
      <c r="F12764" t="s">
        <v>32831</v>
      </c>
      <c r="G12764" t="s">
        <v>32839</v>
      </c>
      <c r="H12764" t="s">
        <v>32849</v>
      </c>
      <c r="I12764" t="s">
        <v>4177</v>
      </c>
      <c r="J12764" t="s">
        <v>40791</v>
      </c>
      <c r="K12764" t="s">
        <v>42730</v>
      </c>
      <c r="M12764" t="s">
        <v>46991</v>
      </c>
      <c r="N12764" t="s">
        <v>47424</v>
      </c>
      <c r="O12764" t="s">
        <v>47425</v>
      </c>
      <c r="P12764">
        <v>0</v>
      </c>
      <c r="Q12764">
        <v>1</v>
      </c>
      <c r="R12764" t="s">
        <v>47440</v>
      </c>
      <c r="S12764" t="s">
        <v>47963</v>
      </c>
      <c r="T12764" t="s">
        <v>49171</v>
      </c>
      <c r="U12764" t="s">
        <v>60148</v>
      </c>
      <c r="W12764" t="s">
        <v>46991</v>
      </c>
      <c r="X12764" t="s">
        <v>47441</v>
      </c>
    </row>
    <row r="12765" spans="1:24">
      <c r="A12765">
        <f>HYPERLINK("https://www.philgeps.gov.ph/GEPSNONPILOT/Tender/SplashBidNoticeAbstractUI.aspx?menuIndex=3&amp;refID=7137217&amp;Result=3","7137217")</f>
        <v>0</v>
      </c>
      <c r="B12765" t="s">
        <v>1013</v>
      </c>
      <c r="C12765" t="s">
        <v>15941</v>
      </c>
      <c r="E12765" t="s">
        <v>30031</v>
      </c>
      <c r="F12765" t="s">
        <v>32831</v>
      </c>
      <c r="G12765" t="s">
        <v>32845</v>
      </c>
      <c r="H12765" t="s">
        <v>32848</v>
      </c>
      <c r="I12765" t="s">
        <v>4222</v>
      </c>
      <c r="J12765" t="s">
        <v>40792</v>
      </c>
      <c r="K12765" t="s">
        <v>42732</v>
      </c>
      <c r="M12765" t="s">
        <v>44062</v>
      </c>
      <c r="N12765" t="s">
        <v>47424</v>
      </c>
      <c r="O12765" t="s">
        <v>47425</v>
      </c>
      <c r="P12765">
        <v>0</v>
      </c>
      <c r="Q12765">
        <v>14</v>
      </c>
      <c r="R12765" t="s">
        <v>47440</v>
      </c>
      <c r="S12765" t="s">
        <v>47963</v>
      </c>
      <c r="T12765" t="s">
        <v>49096</v>
      </c>
      <c r="U12765" t="s">
        <v>60149</v>
      </c>
      <c r="W12765" t="s">
        <v>44062</v>
      </c>
      <c r="X12765" t="s">
        <v>47441</v>
      </c>
    </row>
    <row r="12766" spans="1:24">
      <c r="A12766">
        <f>HYPERLINK("https://www.philgeps.gov.ph/GEPSNONPILOT/Tender/SplashBidNoticeAbstractUI.aspx?menuIndex=3&amp;refID=7137080&amp;Result=3","7137080")</f>
        <v>0</v>
      </c>
      <c r="B12766" t="s">
        <v>3457</v>
      </c>
      <c r="C12766" t="s">
        <v>15942</v>
      </c>
      <c r="D12766" t="s">
        <v>19031</v>
      </c>
      <c r="E12766" t="s">
        <v>30032</v>
      </c>
      <c r="F12766" t="s">
        <v>32831</v>
      </c>
      <c r="G12766" t="s">
        <v>32839</v>
      </c>
      <c r="H12766" t="s">
        <v>32848</v>
      </c>
      <c r="I12766" t="s">
        <v>4435</v>
      </c>
      <c r="J12766" t="s">
        <v>33208</v>
      </c>
      <c r="K12766" t="s">
        <v>42726</v>
      </c>
      <c r="M12766" t="s">
        <v>46798</v>
      </c>
      <c r="N12766" t="s">
        <v>47424</v>
      </c>
      <c r="O12766" t="s">
        <v>47425</v>
      </c>
      <c r="P12766">
        <v>0</v>
      </c>
      <c r="Q12766">
        <v>5</v>
      </c>
      <c r="R12766" t="s">
        <v>47440</v>
      </c>
      <c r="S12766" t="s">
        <v>47963</v>
      </c>
      <c r="T12766" t="s">
        <v>49073</v>
      </c>
      <c r="U12766" t="s">
        <v>60150</v>
      </c>
      <c r="V12766" t="s">
        <v>64049</v>
      </c>
      <c r="W12766" t="s">
        <v>46798</v>
      </c>
      <c r="X12766" t="s">
        <v>47441</v>
      </c>
    </row>
    <row r="12767" spans="1:24">
      <c r="A12767">
        <f>HYPERLINK("https://www.philgeps.gov.ph/GEPSNONPILOT/Tender/SplashBidNoticeAbstractUI.aspx?menuIndex=3&amp;refID=7137200&amp;Result=3","7137200")</f>
        <v>0</v>
      </c>
      <c r="B12767" t="s">
        <v>581</v>
      </c>
      <c r="C12767" t="s">
        <v>15943</v>
      </c>
      <c r="E12767" t="s">
        <v>30033</v>
      </c>
      <c r="F12767" t="s">
        <v>32831</v>
      </c>
      <c r="G12767" t="s">
        <v>32839</v>
      </c>
      <c r="H12767" t="s">
        <v>32849</v>
      </c>
      <c r="I12767" t="s">
        <v>4177</v>
      </c>
      <c r="J12767" t="s">
        <v>40793</v>
      </c>
      <c r="K12767" t="s">
        <v>42766</v>
      </c>
      <c r="M12767" t="s">
        <v>43986</v>
      </c>
      <c r="N12767" t="s">
        <v>47424</v>
      </c>
      <c r="O12767" t="s">
        <v>47425</v>
      </c>
      <c r="P12767">
        <v>0</v>
      </c>
      <c r="Q12767">
        <v>1</v>
      </c>
      <c r="R12767" t="s">
        <v>47440</v>
      </c>
      <c r="S12767" t="s">
        <v>47963</v>
      </c>
      <c r="T12767" t="s">
        <v>49080</v>
      </c>
      <c r="U12767" t="s">
        <v>60151</v>
      </c>
      <c r="W12767" t="s">
        <v>43986</v>
      </c>
      <c r="X12767" t="s">
        <v>47441</v>
      </c>
    </row>
    <row r="12768" spans="1:24">
      <c r="A12768">
        <f>HYPERLINK("https://www.philgeps.gov.ph/GEPSNONPILOT/Tender/SplashBidNoticeAbstractUI.aspx?menuIndex=3&amp;refID=7137215&amp;Result=3","7137215")</f>
        <v>0</v>
      </c>
      <c r="B12768" t="s">
        <v>3609</v>
      </c>
      <c r="C12768" t="s">
        <v>15944</v>
      </c>
      <c r="D12768" t="s">
        <v>19084</v>
      </c>
      <c r="E12768" t="s">
        <v>29986</v>
      </c>
      <c r="F12768" t="s">
        <v>32831</v>
      </c>
      <c r="G12768" t="s">
        <v>32839</v>
      </c>
      <c r="H12768" t="s">
        <v>32849</v>
      </c>
      <c r="I12768" t="s">
        <v>4177</v>
      </c>
      <c r="J12768" t="s">
        <v>40794</v>
      </c>
      <c r="K12768" t="s">
        <v>42763</v>
      </c>
      <c r="M12768" t="s">
        <v>46977</v>
      </c>
      <c r="N12768" t="s">
        <v>47424</v>
      </c>
      <c r="O12768" t="s">
        <v>47425</v>
      </c>
      <c r="Q12768">
        <v>11</v>
      </c>
      <c r="R12768" t="s">
        <v>47440</v>
      </c>
      <c r="S12768" t="s">
        <v>48006</v>
      </c>
      <c r="T12768" t="s">
        <v>49105</v>
      </c>
      <c r="U12768" t="s">
        <v>60102</v>
      </c>
      <c r="W12768" t="s">
        <v>46977</v>
      </c>
      <c r="X12768" t="s">
        <v>47441</v>
      </c>
    </row>
    <row r="12769" spans="1:24">
      <c r="A12769">
        <f>HYPERLINK("https://www.philgeps.gov.ph/GEPSNONPILOT/Tender/SplashBidNoticeAbstractUI.aspx?menuIndex=3&amp;refID=7137172&amp;Result=3","7137172")</f>
        <v>0</v>
      </c>
      <c r="B12769" t="s">
        <v>1886</v>
      </c>
      <c r="C12769" t="s">
        <v>15945</v>
      </c>
      <c r="D12769" t="s">
        <v>19062</v>
      </c>
      <c r="E12769" t="s">
        <v>30034</v>
      </c>
      <c r="F12769" t="s">
        <v>32831</v>
      </c>
      <c r="G12769" t="s">
        <v>32839</v>
      </c>
      <c r="H12769" t="s">
        <v>32849</v>
      </c>
      <c r="I12769" t="s">
        <v>4177</v>
      </c>
      <c r="J12769" t="s">
        <v>40795</v>
      </c>
      <c r="K12769" t="s">
        <v>42770</v>
      </c>
      <c r="M12769" t="s">
        <v>45031</v>
      </c>
      <c r="N12769" t="s">
        <v>47424</v>
      </c>
      <c r="O12769" t="s">
        <v>47425</v>
      </c>
      <c r="P12769">
        <v>0</v>
      </c>
      <c r="Q12769">
        <v>1</v>
      </c>
      <c r="R12769" t="s">
        <v>47440</v>
      </c>
      <c r="S12769" t="s">
        <v>47963</v>
      </c>
      <c r="T12769" t="s">
        <v>49106</v>
      </c>
      <c r="U12769" t="s">
        <v>60152</v>
      </c>
      <c r="V12769" t="s">
        <v>64050</v>
      </c>
      <c r="W12769" t="s">
        <v>45031</v>
      </c>
      <c r="X12769" t="s">
        <v>47441</v>
      </c>
    </row>
    <row r="12770" spans="1:24">
      <c r="A12770">
        <f>HYPERLINK("https://www.philgeps.gov.ph/GEPSNONPILOT/Tender/SplashBidNoticeAbstractUI.aspx?menuIndex=3&amp;refID=7137156&amp;Result=3","7137156")</f>
        <v>0</v>
      </c>
      <c r="B12770" t="s">
        <v>3623</v>
      </c>
      <c r="C12770" t="s">
        <v>15946</v>
      </c>
      <c r="D12770" t="s">
        <v>19039</v>
      </c>
      <c r="E12770" t="s">
        <v>30035</v>
      </c>
      <c r="F12770" t="s">
        <v>32831</v>
      </c>
      <c r="G12770" t="s">
        <v>32839</v>
      </c>
      <c r="H12770" t="s">
        <v>32848</v>
      </c>
      <c r="I12770" t="s">
        <v>32859</v>
      </c>
      <c r="J12770" t="s">
        <v>40796</v>
      </c>
      <c r="K12770" t="s">
        <v>42730</v>
      </c>
      <c r="M12770" t="s">
        <v>46992</v>
      </c>
      <c r="N12770" t="s">
        <v>47424</v>
      </c>
      <c r="O12770" t="s">
        <v>47425</v>
      </c>
      <c r="P12770">
        <v>0</v>
      </c>
      <c r="Q12770">
        <v>0</v>
      </c>
      <c r="R12770" t="s">
        <v>47440</v>
      </c>
      <c r="S12770" t="s">
        <v>47963</v>
      </c>
      <c r="T12770" t="s">
        <v>49068</v>
      </c>
      <c r="U12770" t="s">
        <v>60153</v>
      </c>
      <c r="V12770" t="s">
        <v>62631</v>
      </c>
      <c r="W12770" t="s">
        <v>46992</v>
      </c>
      <c r="X12770" t="s">
        <v>47441</v>
      </c>
    </row>
    <row r="12771" spans="1:24">
      <c r="A12771">
        <f>HYPERLINK("https://www.philgeps.gov.ph/GEPSNONPILOT/Tender/SplashBidNoticeAbstractUI.aspx?menuIndex=3&amp;refID=7137151&amp;Result=3","7137151")</f>
        <v>0</v>
      </c>
      <c r="B12771" t="s">
        <v>95</v>
      </c>
      <c r="C12771" t="s">
        <v>15947</v>
      </c>
      <c r="D12771" t="s">
        <v>19032</v>
      </c>
      <c r="E12771" t="s">
        <v>30036</v>
      </c>
      <c r="F12771" t="s">
        <v>32831</v>
      </c>
      <c r="G12771" t="s">
        <v>32839</v>
      </c>
      <c r="H12771" t="s">
        <v>32849</v>
      </c>
      <c r="I12771" t="s">
        <v>4177</v>
      </c>
      <c r="J12771" t="s">
        <v>40797</v>
      </c>
      <c r="K12771" t="s">
        <v>42741</v>
      </c>
      <c r="M12771" t="s">
        <v>46393</v>
      </c>
      <c r="N12771" t="s">
        <v>47424</v>
      </c>
      <c r="O12771" t="s">
        <v>47425</v>
      </c>
      <c r="P12771">
        <v>0</v>
      </c>
      <c r="Q12771">
        <v>0</v>
      </c>
      <c r="R12771" t="s">
        <v>47440</v>
      </c>
      <c r="S12771" t="s">
        <v>47963</v>
      </c>
      <c r="T12771" t="s">
        <v>49063</v>
      </c>
      <c r="U12771" t="s">
        <v>60154</v>
      </c>
      <c r="W12771" t="s">
        <v>46393</v>
      </c>
      <c r="X12771" t="s">
        <v>47441</v>
      </c>
    </row>
    <row r="12772" spans="1:24">
      <c r="A12772">
        <f>HYPERLINK("https://www.philgeps.gov.ph/GEPSNONPILOT/Tender/SplashBidNoticeAbstractUI.aspx?menuIndex=3&amp;refID=7137105&amp;Result=3","7137105")</f>
        <v>0</v>
      </c>
      <c r="B12772" t="s">
        <v>3623</v>
      </c>
      <c r="C12772" t="s">
        <v>15948</v>
      </c>
      <c r="D12772" t="s">
        <v>19039</v>
      </c>
      <c r="E12772" t="s">
        <v>19979</v>
      </c>
      <c r="F12772" t="s">
        <v>32831</v>
      </c>
      <c r="G12772" t="s">
        <v>32839</v>
      </c>
      <c r="H12772" t="s">
        <v>32848</v>
      </c>
      <c r="I12772" t="s">
        <v>7416</v>
      </c>
      <c r="J12772" t="s">
        <v>40798</v>
      </c>
      <c r="K12772" t="s">
        <v>42730</v>
      </c>
      <c r="M12772" t="s">
        <v>46992</v>
      </c>
      <c r="N12772" t="s">
        <v>47424</v>
      </c>
      <c r="O12772" t="s">
        <v>47425</v>
      </c>
      <c r="P12772">
        <v>0</v>
      </c>
      <c r="Q12772">
        <v>0</v>
      </c>
      <c r="R12772" t="s">
        <v>47440</v>
      </c>
      <c r="S12772" t="s">
        <v>47963</v>
      </c>
      <c r="T12772" t="s">
        <v>49068</v>
      </c>
      <c r="U12772" t="s">
        <v>60155</v>
      </c>
      <c r="V12772" t="s">
        <v>62631</v>
      </c>
      <c r="W12772" t="s">
        <v>46992</v>
      </c>
      <c r="X12772" t="s">
        <v>47441</v>
      </c>
    </row>
    <row r="12773" spans="1:24">
      <c r="A12773">
        <f>HYPERLINK("https://www.philgeps.gov.ph/GEPSNONPILOT/Tender/SplashBidNoticeAbstractUI.aspx?menuIndex=3&amp;refID=7137184&amp;Result=3","7137184")</f>
        <v>0</v>
      </c>
      <c r="B12773" t="s">
        <v>95</v>
      </c>
      <c r="C12773" t="s">
        <v>15949</v>
      </c>
      <c r="D12773" t="s">
        <v>19032</v>
      </c>
      <c r="E12773" t="s">
        <v>30037</v>
      </c>
      <c r="F12773" t="s">
        <v>32831</v>
      </c>
      <c r="G12773" t="s">
        <v>32839</v>
      </c>
      <c r="H12773" t="s">
        <v>32849</v>
      </c>
      <c r="I12773" t="s">
        <v>4177</v>
      </c>
      <c r="J12773" t="s">
        <v>40799</v>
      </c>
      <c r="K12773" t="s">
        <v>42965</v>
      </c>
      <c r="M12773" t="s">
        <v>46393</v>
      </c>
      <c r="N12773" t="s">
        <v>47424</v>
      </c>
      <c r="O12773" t="s">
        <v>47425</v>
      </c>
      <c r="P12773">
        <v>0</v>
      </c>
      <c r="Q12773">
        <v>0</v>
      </c>
      <c r="R12773" t="s">
        <v>47440</v>
      </c>
      <c r="S12773" t="s">
        <v>47963</v>
      </c>
      <c r="T12773" t="s">
        <v>49063</v>
      </c>
      <c r="U12773" t="s">
        <v>60156</v>
      </c>
      <c r="W12773" t="s">
        <v>46393</v>
      </c>
      <c r="X12773" t="s">
        <v>47441</v>
      </c>
    </row>
    <row r="12774" spans="1:24">
      <c r="A12774">
        <f>HYPERLINK("https://www.philgeps.gov.ph/GEPSNONPILOT/Tender/SplashBidNoticeAbstractUI.aspx?menuIndex=3&amp;refID=7137152&amp;Result=3","7137152")</f>
        <v>0</v>
      </c>
      <c r="B12774" t="s">
        <v>3609</v>
      </c>
      <c r="C12774" t="s">
        <v>15950</v>
      </c>
      <c r="D12774" t="s">
        <v>19084</v>
      </c>
      <c r="E12774" t="s">
        <v>29986</v>
      </c>
      <c r="F12774" t="s">
        <v>32831</v>
      </c>
      <c r="G12774" t="s">
        <v>32839</v>
      </c>
      <c r="H12774" t="s">
        <v>32849</v>
      </c>
      <c r="I12774" t="s">
        <v>4177</v>
      </c>
      <c r="J12774" t="s">
        <v>40800</v>
      </c>
      <c r="K12774" t="s">
        <v>42763</v>
      </c>
      <c r="M12774" t="s">
        <v>46977</v>
      </c>
      <c r="N12774" t="s">
        <v>47424</v>
      </c>
      <c r="O12774" t="s">
        <v>47425</v>
      </c>
      <c r="Q12774">
        <v>6</v>
      </c>
      <c r="R12774" t="s">
        <v>47440</v>
      </c>
      <c r="S12774" t="s">
        <v>48007</v>
      </c>
      <c r="T12774" t="s">
        <v>49105</v>
      </c>
      <c r="U12774" t="s">
        <v>60102</v>
      </c>
      <c r="W12774" t="s">
        <v>46977</v>
      </c>
      <c r="X12774" t="s">
        <v>47441</v>
      </c>
    </row>
    <row r="12775" spans="1:24">
      <c r="A12775">
        <f>HYPERLINK("https://www.philgeps.gov.ph/GEPSNONPILOT/Tender/SplashBidNoticeAbstractUI.aspx?menuIndex=3&amp;refID=7137130&amp;Result=3","7137130")</f>
        <v>0</v>
      </c>
      <c r="B12775" t="s">
        <v>3457</v>
      </c>
      <c r="C12775" t="s">
        <v>6788</v>
      </c>
      <c r="D12775" t="s">
        <v>19031</v>
      </c>
      <c r="E12775" t="s">
        <v>30038</v>
      </c>
      <c r="F12775" t="s">
        <v>32831</v>
      </c>
      <c r="G12775" t="s">
        <v>32839</v>
      </c>
      <c r="H12775" t="s">
        <v>32848</v>
      </c>
      <c r="I12775" t="s">
        <v>32857</v>
      </c>
      <c r="J12775" t="s">
        <v>35531</v>
      </c>
      <c r="K12775" t="s">
        <v>42726</v>
      </c>
      <c r="M12775" t="s">
        <v>46798</v>
      </c>
      <c r="N12775" t="s">
        <v>47424</v>
      </c>
      <c r="O12775" t="s">
        <v>47425</v>
      </c>
      <c r="P12775">
        <v>0</v>
      </c>
      <c r="Q12775">
        <v>9</v>
      </c>
      <c r="R12775" t="s">
        <v>47440</v>
      </c>
      <c r="S12775" t="s">
        <v>47963</v>
      </c>
      <c r="T12775" t="s">
        <v>49073</v>
      </c>
      <c r="U12775" t="s">
        <v>60157</v>
      </c>
      <c r="V12775" t="s">
        <v>64051</v>
      </c>
      <c r="W12775" t="s">
        <v>46798</v>
      </c>
      <c r="X12775" t="s">
        <v>47441</v>
      </c>
    </row>
    <row r="12776" spans="1:24">
      <c r="A12776">
        <f>HYPERLINK("https://www.philgeps.gov.ph/GEPSNONPILOT/Tender/SplashBidNoticeAbstractUI.aspx?menuIndex=3&amp;refID=7137128&amp;Result=3","7137128")</f>
        <v>0</v>
      </c>
      <c r="B12776" t="s">
        <v>187</v>
      </c>
      <c r="C12776" t="s">
        <v>15951</v>
      </c>
      <c r="D12776" t="s">
        <v>19041</v>
      </c>
      <c r="E12776" t="s">
        <v>30039</v>
      </c>
      <c r="F12776" t="s">
        <v>32831</v>
      </c>
      <c r="G12776" t="s">
        <v>32839</v>
      </c>
      <c r="H12776" t="s">
        <v>32849</v>
      </c>
      <c r="I12776" t="s">
        <v>4177</v>
      </c>
      <c r="J12776" t="s">
        <v>40801</v>
      </c>
      <c r="K12776" t="s">
        <v>42757</v>
      </c>
      <c r="M12776" t="s">
        <v>44023</v>
      </c>
      <c r="N12776" t="s">
        <v>47424</v>
      </c>
      <c r="O12776" t="s">
        <v>47425</v>
      </c>
      <c r="P12776">
        <v>0</v>
      </c>
      <c r="Q12776">
        <v>0</v>
      </c>
      <c r="R12776" t="s">
        <v>47440</v>
      </c>
      <c r="S12776" t="s">
        <v>47963</v>
      </c>
      <c r="T12776" t="s">
        <v>49159</v>
      </c>
      <c r="U12776" t="s">
        <v>51560</v>
      </c>
      <c r="W12776" t="s">
        <v>44023</v>
      </c>
      <c r="X12776" t="s">
        <v>47441</v>
      </c>
    </row>
    <row r="12777" spans="1:24">
      <c r="A12777">
        <f>HYPERLINK("https://www.philgeps.gov.ph/GEPSNONPILOT/Tender/SplashBidNoticeAbstractUI.aspx?menuIndex=3&amp;refID=7137405&amp;Result=3","7137405")</f>
        <v>0</v>
      </c>
      <c r="B12777" t="s">
        <v>221</v>
      </c>
      <c r="C12777" t="s">
        <v>15952</v>
      </c>
      <c r="D12777" t="s">
        <v>19062</v>
      </c>
      <c r="E12777" t="s">
        <v>30040</v>
      </c>
      <c r="F12777" t="s">
        <v>32831</v>
      </c>
      <c r="G12777" t="s">
        <v>32845</v>
      </c>
      <c r="H12777" t="s">
        <v>32849</v>
      </c>
      <c r="I12777" t="s">
        <v>4177</v>
      </c>
      <c r="J12777" t="s">
        <v>40802</v>
      </c>
      <c r="K12777" t="s">
        <v>42732</v>
      </c>
      <c r="L12777" t="s">
        <v>221</v>
      </c>
      <c r="M12777" t="s">
        <v>46263</v>
      </c>
      <c r="N12777" t="s">
        <v>47424</v>
      </c>
      <c r="O12777" t="s">
        <v>47425</v>
      </c>
      <c r="Q12777">
        <v>4</v>
      </c>
      <c r="R12777" t="s">
        <v>47440</v>
      </c>
      <c r="S12777" t="s">
        <v>48008</v>
      </c>
      <c r="T12777" t="s">
        <v>49066</v>
      </c>
      <c r="U12777" t="s">
        <v>60158</v>
      </c>
      <c r="W12777" t="s">
        <v>46263</v>
      </c>
      <c r="X12777" t="s">
        <v>47441</v>
      </c>
    </row>
    <row r="12778" spans="1:24">
      <c r="A12778">
        <f>HYPERLINK("https://www.philgeps.gov.ph/GEPSNONPILOT/Tender/SplashBidNoticeAbstractUI.aspx?menuIndex=3&amp;refID=7137218&amp;Result=3","7137218")</f>
        <v>0</v>
      </c>
      <c r="B12778" t="s">
        <v>1747</v>
      </c>
      <c r="C12778" t="s">
        <v>15953</v>
      </c>
      <c r="D12778" t="s">
        <v>19058</v>
      </c>
      <c r="E12778" t="s">
        <v>30041</v>
      </c>
      <c r="F12778" t="s">
        <v>32831</v>
      </c>
      <c r="G12778" t="s">
        <v>32839</v>
      </c>
      <c r="H12778" t="s">
        <v>32848</v>
      </c>
      <c r="I12778" t="s">
        <v>4776</v>
      </c>
      <c r="J12778" t="s">
        <v>40803</v>
      </c>
      <c r="K12778" t="s">
        <v>42730</v>
      </c>
      <c r="M12778" t="s">
        <v>44870</v>
      </c>
      <c r="N12778" t="s">
        <v>47424</v>
      </c>
      <c r="O12778" t="s">
        <v>47425</v>
      </c>
      <c r="P12778">
        <v>0</v>
      </c>
      <c r="Q12778">
        <v>0</v>
      </c>
      <c r="R12778" t="s">
        <v>47440</v>
      </c>
      <c r="S12778" t="s">
        <v>47963</v>
      </c>
      <c r="T12778" t="s">
        <v>49080</v>
      </c>
      <c r="U12778" t="s">
        <v>60159</v>
      </c>
      <c r="W12778" t="s">
        <v>44870</v>
      </c>
      <c r="X12778" t="s">
        <v>47441</v>
      </c>
    </row>
    <row r="12779" spans="1:24">
      <c r="A12779">
        <f>HYPERLINK("https://www.philgeps.gov.ph/GEPSNONPILOT/Tender/SplashBidNoticeAbstractUI.aspx?menuIndex=3&amp;refID=7137380&amp;Result=3","7137380")</f>
        <v>0</v>
      </c>
      <c r="B12779" t="s">
        <v>3624</v>
      </c>
      <c r="C12779" t="s">
        <v>15954</v>
      </c>
      <c r="D12779" t="s">
        <v>19065</v>
      </c>
      <c r="E12779" t="s">
        <v>30042</v>
      </c>
      <c r="F12779" t="s">
        <v>32831</v>
      </c>
      <c r="G12779" t="s">
        <v>32839</v>
      </c>
      <c r="H12779" t="s">
        <v>32849</v>
      </c>
      <c r="I12779" t="s">
        <v>4177</v>
      </c>
      <c r="J12779" t="s">
        <v>36801</v>
      </c>
      <c r="K12779" t="s">
        <v>42757</v>
      </c>
      <c r="M12779" t="s">
        <v>46993</v>
      </c>
      <c r="N12779" t="s">
        <v>47424</v>
      </c>
      <c r="O12779" t="s">
        <v>47425</v>
      </c>
      <c r="Q12779">
        <v>12</v>
      </c>
      <c r="R12779" t="s">
        <v>47440</v>
      </c>
      <c r="S12779" t="s">
        <v>48009</v>
      </c>
      <c r="T12779" t="s">
        <v>49178</v>
      </c>
      <c r="U12779" t="s">
        <v>60160</v>
      </c>
      <c r="V12779" t="s">
        <v>64052</v>
      </c>
      <c r="W12779" t="s">
        <v>46993</v>
      </c>
      <c r="X12779" t="s">
        <v>47441</v>
      </c>
    </row>
    <row r="12780" spans="1:24">
      <c r="A12780">
        <f>HYPERLINK("https://www.philgeps.gov.ph/GEPSNONPILOT/Tender/SplashBidNoticeAbstractUI.aspx?menuIndex=3&amp;refID=7137367&amp;Result=3","7137367")</f>
        <v>0</v>
      </c>
      <c r="B12780" t="s">
        <v>1927</v>
      </c>
      <c r="C12780" t="s">
        <v>15955</v>
      </c>
      <c r="D12780" t="s">
        <v>19018</v>
      </c>
      <c r="E12780" t="s">
        <v>30043</v>
      </c>
      <c r="F12780" t="s">
        <v>32831</v>
      </c>
      <c r="G12780" t="s">
        <v>32839</v>
      </c>
      <c r="H12780" t="s">
        <v>32849</v>
      </c>
      <c r="I12780" t="s">
        <v>4177</v>
      </c>
      <c r="J12780" t="s">
        <v>33257</v>
      </c>
      <c r="K12780" t="s">
        <v>42732</v>
      </c>
      <c r="L12780" t="s">
        <v>1927</v>
      </c>
      <c r="M12780" t="s">
        <v>46156</v>
      </c>
      <c r="N12780" t="s">
        <v>47424</v>
      </c>
      <c r="O12780" t="s">
        <v>47425</v>
      </c>
      <c r="P12780">
        <v>0</v>
      </c>
      <c r="Q12780">
        <v>0</v>
      </c>
      <c r="R12780" t="s">
        <v>47440</v>
      </c>
      <c r="S12780" t="s">
        <v>47963</v>
      </c>
      <c r="T12780" t="s">
        <v>49080</v>
      </c>
      <c r="U12780" t="s">
        <v>60161</v>
      </c>
      <c r="V12780" t="s">
        <v>63616</v>
      </c>
      <c r="W12780" t="s">
        <v>46156</v>
      </c>
      <c r="X12780" t="s">
        <v>47441</v>
      </c>
    </row>
    <row r="12781" spans="1:24">
      <c r="A12781">
        <f>HYPERLINK("https://www.philgeps.gov.ph/GEPSNONPILOT/Tender/SplashBidNoticeAbstractUI.aspx?menuIndex=3&amp;refID=7137355&amp;Result=3","7137355")</f>
        <v>0</v>
      </c>
      <c r="B12781" t="s">
        <v>3519</v>
      </c>
      <c r="C12781" t="s">
        <v>15956</v>
      </c>
      <c r="D12781" t="s">
        <v>19045</v>
      </c>
      <c r="E12781" t="s">
        <v>15956</v>
      </c>
      <c r="F12781" t="s">
        <v>32831</v>
      </c>
      <c r="G12781" t="s">
        <v>32839</v>
      </c>
      <c r="H12781" t="s">
        <v>32848</v>
      </c>
      <c r="I12781" t="s">
        <v>32860</v>
      </c>
      <c r="J12781" t="s">
        <v>40804</v>
      </c>
      <c r="K12781" t="s">
        <v>42730</v>
      </c>
      <c r="L12781" t="s">
        <v>3519</v>
      </c>
      <c r="M12781" t="s">
        <v>46870</v>
      </c>
      <c r="N12781" t="s">
        <v>47424</v>
      </c>
      <c r="O12781" t="s">
        <v>47425</v>
      </c>
      <c r="P12781">
        <v>0</v>
      </c>
      <c r="Q12781">
        <v>11</v>
      </c>
      <c r="R12781" t="s">
        <v>47440</v>
      </c>
      <c r="S12781" t="s">
        <v>47963</v>
      </c>
      <c r="T12781" t="s">
        <v>49159</v>
      </c>
      <c r="U12781" t="s">
        <v>60162</v>
      </c>
      <c r="W12781" t="s">
        <v>46870</v>
      </c>
      <c r="X12781" t="s">
        <v>47441</v>
      </c>
    </row>
    <row r="12782" spans="1:24">
      <c r="A12782">
        <f>HYPERLINK("https://www.philgeps.gov.ph/GEPSNONPILOT/Tender/SplashBidNoticeAbstractUI.aspx?menuIndex=3&amp;refID=7136634&amp;Result=3","7136634")</f>
        <v>0</v>
      </c>
      <c r="B12782" t="s">
        <v>668</v>
      </c>
      <c r="C12782" t="s">
        <v>15957</v>
      </c>
      <c r="D12782" t="s">
        <v>19034</v>
      </c>
      <c r="E12782" t="s">
        <v>30044</v>
      </c>
      <c r="F12782" t="s">
        <v>32831</v>
      </c>
      <c r="G12782" t="s">
        <v>32839</v>
      </c>
      <c r="H12782" t="s">
        <v>32848</v>
      </c>
      <c r="I12782" t="s">
        <v>7416</v>
      </c>
      <c r="J12782" t="s">
        <v>40805</v>
      </c>
      <c r="K12782" t="s">
        <v>42883</v>
      </c>
      <c r="M12782" t="s">
        <v>43687</v>
      </c>
      <c r="N12782" t="s">
        <v>47424</v>
      </c>
      <c r="O12782" t="s">
        <v>47425</v>
      </c>
      <c r="Q12782">
        <v>0</v>
      </c>
      <c r="R12782" t="s">
        <v>47440</v>
      </c>
      <c r="S12782" t="s">
        <v>48010</v>
      </c>
      <c r="T12782" t="s">
        <v>49427</v>
      </c>
      <c r="U12782" t="s">
        <v>60163</v>
      </c>
      <c r="W12782" t="s">
        <v>43687</v>
      </c>
      <c r="X12782" t="s">
        <v>47441</v>
      </c>
    </row>
    <row r="12783" spans="1:24">
      <c r="A12783">
        <f>HYPERLINK("https://www.philgeps.gov.ph/GEPSNONPILOT/Tender/SplashBidNoticeAbstractUI.aspx?menuIndex=3&amp;refID=7137345&amp;Result=3","7137345")</f>
        <v>0</v>
      </c>
      <c r="B12783" t="s">
        <v>2342</v>
      </c>
      <c r="C12783" t="s">
        <v>15958</v>
      </c>
      <c r="D12783" t="s">
        <v>19044</v>
      </c>
      <c r="E12783" t="s">
        <v>26175</v>
      </c>
      <c r="F12783" t="s">
        <v>32831</v>
      </c>
      <c r="G12783" t="s">
        <v>32839</v>
      </c>
      <c r="H12783" t="s">
        <v>32849</v>
      </c>
      <c r="I12783" t="s">
        <v>4177</v>
      </c>
      <c r="J12783" t="s">
        <v>40806</v>
      </c>
      <c r="K12783" t="s">
        <v>42966</v>
      </c>
      <c r="M12783" t="s">
        <v>45529</v>
      </c>
      <c r="N12783" t="s">
        <v>47424</v>
      </c>
      <c r="O12783" t="s">
        <v>47425</v>
      </c>
      <c r="P12783">
        <v>0</v>
      </c>
      <c r="Q12783">
        <v>0</v>
      </c>
      <c r="R12783" t="s">
        <v>47440</v>
      </c>
      <c r="S12783" t="s">
        <v>47963</v>
      </c>
      <c r="T12783" t="s">
        <v>49237</v>
      </c>
      <c r="U12783" t="s">
        <v>60164</v>
      </c>
      <c r="W12783" t="s">
        <v>45529</v>
      </c>
      <c r="X12783" t="s">
        <v>47441</v>
      </c>
    </row>
    <row r="12784" spans="1:24">
      <c r="A12784">
        <f>HYPERLINK("https://www.philgeps.gov.ph/GEPSNONPILOT/Tender/SplashBidNoticeAbstractUI.aspx?menuIndex=3&amp;refID=7137339&amp;Result=3","7137339")</f>
        <v>0</v>
      </c>
      <c r="B12784" t="s">
        <v>3625</v>
      </c>
      <c r="C12784" t="s">
        <v>15959</v>
      </c>
      <c r="D12784" t="s">
        <v>19038</v>
      </c>
      <c r="E12784" t="s">
        <v>30045</v>
      </c>
      <c r="F12784" t="s">
        <v>32833</v>
      </c>
      <c r="G12784" t="s">
        <v>32839</v>
      </c>
      <c r="H12784" t="s">
        <v>32849</v>
      </c>
      <c r="I12784" t="s">
        <v>4177</v>
      </c>
      <c r="J12784" t="s">
        <v>33913</v>
      </c>
      <c r="K12784" t="s">
        <v>42798</v>
      </c>
      <c r="L12784" t="s">
        <v>3625</v>
      </c>
      <c r="M12784" t="s">
        <v>46994</v>
      </c>
      <c r="N12784" t="s">
        <v>47424</v>
      </c>
      <c r="O12784" t="s">
        <v>47425</v>
      </c>
      <c r="P12784">
        <v>0</v>
      </c>
      <c r="Q12784">
        <v>0</v>
      </c>
      <c r="R12784" t="s">
        <v>47440</v>
      </c>
      <c r="S12784" t="s">
        <v>47963</v>
      </c>
      <c r="T12784" t="s">
        <v>49073</v>
      </c>
      <c r="U12784" t="s">
        <v>60165</v>
      </c>
      <c r="W12784" t="s">
        <v>46994</v>
      </c>
      <c r="X12784" t="s">
        <v>47441</v>
      </c>
    </row>
    <row r="12785" spans="1:24">
      <c r="A12785">
        <f>HYPERLINK("https://www.philgeps.gov.ph/GEPSNONPILOT/Tender/SplashBidNoticeAbstractUI.aspx?menuIndex=3&amp;refID=7137363&amp;Result=3","7137363")</f>
        <v>0</v>
      </c>
      <c r="B12785" t="s">
        <v>221</v>
      </c>
      <c r="C12785" t="s">
        <v>15960</v>
      </c>
      <c r="D12785" t="s">
        <v>19022</v>
      </c>
      <c r="E12785" t="s">
        <v>30046</v>
      </c>
      <c r="F12785" t="s">
        <v>32831</v>
      </c>
      <c r="G12785" t="s">
        <v>32845</v>
      </c>
      <c r="H12785" t="s">
        <v>32849</v>
      </c>
      <c r="I12785" t="s">
        <v>4177</v>
      </c>
      <c r="J12785" t="s">
        <v>39854</v>
      </c>
      <c r="K12785" t="s">
        <v>42732</v>
      </c>
      <c r="L12785" t="s">
        <v>221</v>
      </c>
      <c r="M12785" t="s">
        <v>46263</v>
      </c>
      <c r="N12785" t="s">
        <v>47424</v>
      </c>
      <c r="O12785" t="s">
        <v>47425</v>
      </c>
      <c r="Q12785">
        <v>4</v>
      </c>
      <c r="R12785" t="s">
        <v>47440</v>
      </c>
      <c r="S12785" t="s">
        <v>48011</v>
      </c>
      <c r="T12785" t="s">
        <v>49066</v>
      </c>
      <c r="U12785" t="s">
        <v>60166</v>
      </c>
      <c r="W12785" t="s">
        <v>46263</v>
      </c>
      <c r="X12785" t="s">
        <v>47441</v>
      </c>
    </row>
    <row r="12786" spans="1:24">
      <c r="A12786">
        <f>HYPERLINK("https://www.philgeps.gov.ph/GEPSNONPILOT/Tender/SplashBidNoticeAbstractUI.aspx?menuIndex=3&amp;refID=7137413&amp;Result=3","7137413")</f>
        <v>0</v>
      </c>
      <c r="B12786" t="s">
        <v>3424</v>
      </c>
      <c r="C12786" t="s">
        <v>15961</v>
      </c>
      <c r="D12786" t="s">
        <v>19050</v>
      </c>
      <c r="E12786" t="s">
        <v>30047</v>
      </c>
      <c r="F12786" t="s">
        <v>32831</v>
      </c>
      <c r="G12786" t="s">
        <v>32839</v>
      </c>
      <c r="H12786" t="s">
        <v>32848</v>
      </c>
      <c r="I12786" t="s">
        <v>7751</v>
      </c>
      <c r="J12786" t="s">
        <v>40807</v>
      </c>
      <c r="K12786" t="s">
        <v>42730</v>
      </c>
      <c r="M12786" t="s">
        <v>46759</v>
      </c>
      <c r="N12786" t="s">
        <v>47424</v>
      </c>
      <c r="O12786" t="s">
        <v>47425</v>
      </c>
      <c r="P12786">
        <v>0</v>
      </c>
      <c r="Q12786">
        <v>1</v>
      </c>
      <c r="R12786" t="s">
        <v>47440</v>
      </c>
      <c r="S12786" t="s">
        <v>47963</v>
      </c>
      <c r="T12786" t="s">
        <v>49070</v>
      </c>
      <c r="U12786" t="s">
        <v>60167</v>
      </c>
      <c r="W12786" t="s">
        <v>46759</v>
      </c>
      <c r="X12786" t="s">
        <v>47441</v>
      </c>
    </row>
    <row r="12787" spans="1:24">
      <c r="A12787">
        <f>HYPERLINK("https://www.philgeps.gov.ph/GEPSNONPILOT/Tender/SplashBidNoticeAbstractUI.aspx?menuIndex=3&amp;refID=7137415&amp;Result=3","7137415")</f>
        <v>0</v>
      </c>
      <c r="B12787" t="s">
        <v>1490</v>
      </c>
      <c r="C12787" t="s">
        <v>15962</v>
      </c>
      <c r="D12787" t="s">
        <v>19042</v>
      </c>
      <c r="E12787" t="s">
        <v>19976</v>
      </c>
      <c r="F12787" t="s">
        <v>32831</v>
      </c>
      <c r="G12787" t="s">
        <v>32839</v>
      </c>
      <c r="H12787" t="s">
        <v>32849</v>
      </c>
      <c r="I12787" t="s">
        <v>4177</v>
      </c>
      <c r="J12787" t="s">
        <v>40808</v>
      </c>
      <c r="K12787" t="s">
        <v>42732</v>
      </c>
      <c r="M12787" t="s">
        <v>44586</v>
      </c>
      <c r="N12787" t="s">
        <v>47424</v>
      </c>
      <c r="O12787" t="s">
        <v>47425</v>
      </c>
      <c r="P12787">
        <v>0</v>
      </c>
      <c r="Q12787">
        <v>1</v>
      </c>
      <c r="R12787" t="s">
        <v>47440</v>
      </c>
      <c r="S12787" t="s">
        <v>47963</v>
      </c>
      <c r="T12787" t="s">
        <v>49080</v>
      </c>
      <c r="U12787" t="s">
        <v>60168</v>
      </c>
      <c r="W12787" t="s">
        <v>44586</v>
      </c>
      <c r="X12787" t="s">
        <v>47441</v>
      </c>
    </row>
    <row r="12788" spans="1:24">
      <c r="A12788">
        <f>HYPERLINK("https://www.philgeps.gov.ph/GEPSNONPILOT/Tender/SplashBidNoticeAbstractUI.aspx?menuIndex=3&amp;refID=7137360&amp;Result=3","7137360")</f>
        <v>0</v>
      </c>
      <c r="B12788" t="s">
        <v>2693</v>
      </c>
      <c r="C12788" t="s">
        <v>15963</v>
      </c>
      <c r="D12788" t="s">
        <v>19034</v>
      </c>
      <c r="E12788" t="s">
        <v>30048</v>
      </c>
      <c r="F12788" t="s">
        <v>32831</v>
      </c>
      <c r="G12788" t="s">
        <v>32839</v>
      </c>
      <c r="H12788" t="s">
        <v>32849</v>
      </c>
      <c r="I12788" t="s">
        <v>4177</v>
      </c>
      <c r="J12788" t="s">
        <v>38777</v>
      </c>
      <c r="K12788" t="s">
        <v>42836</v>
      </c>
      <c r="M12788" t="s">
        <v>45917</v>
      </c>
      <c r="N12788" t="s">
        <v>47424</v>
      </c>
      <c r="O12788" t="s">
        <v>47425</v>
      </c>
      <c r="Q12788">
        <v>1</v>
      </c>
      <c r="R12788" t="s">
        <v>47440</v>
      </c>
      <c r="S12788" t="s">
        <v>47908</v>
      </c>
      <c r="T12788" t="s">
        <v>49073</v>
      </c>
      <c r="U12788" t="s">
        <v>60169</v>
      </c>
      <c r="W12788" t="s">
        <v>45917</v>
      </c>
      <c r="X12788" t="s">
        <v>47441</v>
      </c>
    </row>
    <row r="12789" spans="1:24">
      <c r="A12789">
        <f>HYPERLINK("https://www.philgeps.gov.ph/GEPSNONPILOT/Tender/SplashBidNoticeAbstractUI.aspx?menuIndex=3&amp;refID=7137287&amp;Result=3","7137287")</f>
        <v>0</v>
      </c>
      <c r="B12789" t="s">
        <v>2693</v>
      </c>
      <c r="C12789" t="s">
        <v>15964</v>
      </c>
      <c r="D12789" t="s">
        <v>19034</v>
      </c>
      <c r="E12789" t="s">
        <v>30049</v>
      </c>
      <c r="F12789" t="s">
        <v>32831</v>
      </c>
      <c r="G12789" t="s">
        <v>32839</v>
      </c>
      <c r="H12789" t="s">
        <v>32849</v>
      </c>
      <c r="I12789" t="s">
        <v>4177</v>
      </c>
      <c r="J12789" t="s">
        <v>40809</v>
      </c>
      <c r="K12789" t="s">
        <v>42729</v>
      </c>
      <c r="M12789" t="s">
        <v>45917</v>
      </c>
      <c r="N12789" t="s">
        <v>47424</v>
      </c>
      <c r="O12789" t="s">
        <v>47425</v>
      </c>
      <c r="P12789">
        <v>0</v>
      </c>
      <c r="Q12789">
        <v>2</v>
      </c>
      <c r="R12789" t="s">
        <v>47440</v>
      </c>
      <c r="S12789" t="s">
        <v>47963</v>
      </c>
      <c r="T12789" t="s">
        <v>49073</v>
      </c>
      <c r="U12789" t="s">
        <v>60169</v>
      </c>
      <c r="W12789" t="s">
        <v>45917</v>
      </c>
      <c r="X12789" t="s">
        <v>47441</v>
      </c>
    </row>
    <row r="12790" spans="1:24">
      <c r="A12790">
        <f>HYPERLINK("https://www.philgeps.gov.ph/GEPSNONPILOT/Tender/SplashBidNoticeAbstractUI.aspx?menuIndex=3&amp;refID=7137147&amp;Result=3","7137147")</f>
        <v>0</v>
      </c>
      <c r="B12790" t="s">
        <v>3060</v>
      </c>
      <c r="C12790" t="s">
        <v>15965</v>
      </c>
      <c r="D12790" t="s">
        <v>19034</v>
      </c>
      <c r="E12790" t="s">
        <v>30050</v>
      </c>
      <c r="F12790" t="s">
        <v>32831</v>
      </c>
      <c r="G12790" t="s">
        <v>32839</v>
      </c>
      <c r="H12790" t="s">
        <v>32848</v>
      </c>
      <c r="I12790" t="s">
        <v>4435</v>
      </c>
      <c r="J12790" t="s">
        <v>33812</v>
      </c>
      <c r="K12790" t="s">
        <v>42746</v>
      </c>
      <c r="M12790" t="s">
        <v>46335</v>
      </c>
      <c r="N12790" t="s">
        <v>47424</v>
      </c>
      <c r="O12790" t="s">
        <v>47425</v>
      </c>
      <c r="P12790">
        <v>0</v>
      </c>
      <c r="Q12790">
        <v>1</v>
      </c>
      <c r="R12790" t="s">
        <v>47440</v>
      </c>
      <c r="S12790" t="s">
        <v>47963</v>
      </c>
      <c r="T12790" t="s">
        <v>49427</v>
      </c>
      <c r="U12790" t="s">
        <v>60170</v>
      </c>
      <c r="V12790" t="s">
        <v>64053</v>
      </c>
      <c r="W12790" t="s">
        <v>46335</v>
      </c>
      <c r="X12790" t="s">
        <v>47441</v>
      </c>
    </row>
    <row r="12791" spans="1:24">
      <c r="A12791">
        <f>HYPERLINK("https://www.philgeps.gov.ph/GEPSNONPILOT/Tender/SplashBidNoticeAbstractUI.aspx?menuIndex=3&amp;refID=7137272&amp;Result=3","7137272")</f>
        <v>0</v>
      </c>
      <c r="B12791" t="s">
        <v>1927</v>
      </c>
      <c r="C12791" t="s">
        <v>15966</v>
      </c>
      <c r="D12791" t="s">
        <v>19018</v>
      </c>
      <c r="E12791" t="s">
        <v>30051</v>
      </c>
      <c r="F12791" t="s">
        <v>32831</v>
      </c>
      <c r="G12791" t="s">
        <v>32839</v>
      </c>
      <c r="H12791" t="s">
        <v>32848</v>
      </c>
      <c r="I12791" t="s">
        <v>7416</v>
      </c>
      <c r="J12791" t="s">
        <v>40810</v>
      </c>
      <c r="K12791" t="s">
        <v>42732</v>
      </c>
      <c r="L12791" t="s">
        <v>1927</v>
      </c>
      <c r="M12791" t="s">
        <v>45080</v>
      </c>
      <c r="N12791" t="s">
        <v>47424</v>
      </c>
      <c r="O12791" t="s">
        <v>47425</v>
      </c>
      <c r="P12791">
        <v>0</v>
      </c>
      <c r="Q12791">
        <v>1</v>
      </c>
      <c r="R12791" t="s">
        <v>47440</v>
      </c>
      <c r="S12791" t="s">
        <v>47963</v>
      </c>
      <c r="T12791" t="s">
        <v>49080</v>
      </c>
      <c r="U12791" t="s">
        <v>60171</v>
      </c>
      <c r="W12791" t="s">
        <v>45080</v>
      </c>
      <c r="X12791" t="s">
        <v>47441</v>
      </c>
    </row>
    <row r="12792" spans="1:24">
      <c r="A12792">
        <f>HYPERLINK("https://www.philgeps.gov.ph/GEPSNONPILOT/Tender/SplashBidNoticeAbstractUI.aspx?menuIndex=3&amp;refID=7137268&amp;Result=3","7137268")</f>
        <v>0</v>
      </c>
      <c r="B12792" t="s">
        <v>2342</v>
      </c>
      <c r="C12792" t="s">
        <v>15967</v>
      </c>
      <c r="D12792" t="s">
        <v>19044</v>
      </c>
      <c r="E12792" t="s">
        <v>23685</v>
      </c>
      <c r="F12792" t="s">
        <v>32831</v>
      </c>
      <c r="G12792" t="s">
        <v>32839</v>
      </c>
      <c r="H12792" t="s">
        <v>32849</v>
      </c>
      <c r="I12792" t="s">
        <v>4177</v>
      </c>
      <c r="J12792" t="s">
        <v>40811</v>
      </c>
      <c r="K12792" t="s">
        <v>42930</v>
      </c>
      <c r="M12792" t="s">
        <v>45529</v>
      </c>
      <c r="N12792" t="s">
        <v>47424</v>
      </c>
      <c r="O12792" t="s">
        <v>47425</v>
      </c>
      <c r="P12792">
        <v>0</v>
      </c>
      <c r="Q12792">
        <v>0</v>
      </c>
      <c r="R12792" t="s">
        <v>47440</v>
      </c>
      <c r="S12792" t="s">
        <v>47963</v>
      </c>
      <c r="T12792" t="s">
        <v>49237</v>
      </c>
      <c r="U12792" t="s">
        <v>55196</v>
      </c>
      <c r="W12792" t="s">
        <v>45529</v>
      </c>
      <c r="X12792" t="s">
        <v>47441</v>
      </c>
    </row>
    <row r="12793" spans="1:24">
      <c r="A12793">
        <f>HYPERLINK("https://www.philgeps.gov.ph/GEPSNONPILOT/Tender/SplashBidNoticeAbstractUI.aspx?menuIndex=3&amp;refID=7137529&amp;Result=3","7137529")</f>
        <v>0</v>
      </c>
      <c r="B12793" t="s">
        <v>3626</v>
      </c>
      <c r="C12793" t="s">
        <v>15968</v>
      </c>
      <c r="D12793" t="s">
        <v>19037</v>
      </c>
      <c r="E12793" t="s">
        <v>30052</v>
      </c>
      <c r="F12793" t="s">
        <v>32831</v>
      </c>
      <c r="G12793" t="s">
        <v>32839</v>
      </c>
      <c r="H12793" t="s">
        <v>32848</v>
      </c>
      <c r="I12793" t="s">
        <v>10805</v>
      </c>
      <c r="J12793" t="s">
        <v>38633</v>
      </c>
      <c r="K12793" t="s">
        <v>42730</v>
      </c>
      <c r="M12793" t="s">
        <v>46995</v>
      </c>
      <c r="N12793" t="s">
        <v>47424</v>
      </c>
      <c r="O12793" t="s">
        <v>47425</v>
      </c>
      <c r="P12793">
        <v>0</v>
      </c>
      <c r="Q12793">
        <v>6</v>
      </c>
      <c r="R12793" t="s">
        <v>47440</v>
      </c>
      <c r="S12793" t="s">
        <v>47963</v>
      </c>
      <c r="T12793" t="s">
        <v>49073</v>
      </c>
      <c r="U12793" t="s">
        <v>60172</v>
      </c>
      <c r="W12793" t="s">
        <v>46995</v>
      </c>
      <c r="X12793" t="s">
        <v>47441</v>
      </c>
    </row>
    <row r="12794" spans="1:24">
      <c r="A12794">
        <f>HYPERLINK("https://www.philgeps.gov.ph/GEPSNONPILOT/Tender/SplashBidNoticeAbstractUI.aspx?menuIndex=3&amp;refID=7137507&amp;Result=3","7137507")</f>
        <v>0</v>
      </c>
      <c r="B12794" t="s">
        <v>3627</v>
      </c>
      <c r="C12794" t="s">
        <v>15969</v>
      </c>
      <c r="D12794" t="s">
        <v>19039</v>
      </c>
      <c r="E12794" t="s">
        <v>19219</v>
      </c>
      <c r="F12794" t="s">
        <v>32831</v>
      </c>
      <c r="G12794" t="s">
        <v>32839</v>
      </c>
      <c r="H12794" t="s">
        <v>32848</v>
      </c>
      <c r="I12794" t="s">
        <v>7416</v>
      </c>
      <c r="J12794" t="s">
        <v>40812</v>
      </c>
      <c r="K12794" t="s">
        <v>42727</v>
      </c>
      <c r="M12794" t="s">
        <v>46996</v>
      </c>
      <c r="N12794" t="s">
        <v>47424</v>
      </c>
      <c r="O12794" t="s">
        <v>47425</v>
      </c>
      <c r="P12794">
        <v>0</v>
      </c>
      <c r="Q12794">
        <v>0</v>
      </c>
      <c r="R12794" t="s">
        <v>47440</v>
      </c>
      <c r="S12794" t="s">
        <v>47963</v>
      </c>
      <c r="T12794" t="s">
        <v>49068</v>
      </c>
      <c r="U12794" t="s">
        <v>60173</v>
      </c>
      <c r="V12794" t="s">
        <v>62631</v>
      </c>
      <c r="W12794" t="s">
        <v>46996</v>
      </c>
      <c r="X12794" t="s">
        <v>47441</v>
      </c>
    </row>
    <row r="12795" spans="1:24">
      <c r="A12795">
        <f>HYPERLINK("https://www.philgeps.gov.ph/GEPSNONPILOT/Tender/SplashBidNoticeAbstractUI.aspx?menuIndex=3&amp;refID=7137521&amp;Result=3","7137521")</f>
        <v>0</v>
      </c>
      <c r="B12795" t="s">
        <v>1934</v>
      </c>
      <c r="C12795" t="s">
        <v>15970</v>
      </c>
      <c r="D12795" t="s">
        <v>19057</v>
      </c>
      <c r="E12795" t="s">
        <v>30053</v>
      </c>
      <c r="F12795" t="s">
        <v>32831</v>
      </c>
      <c r="G12795" t="s">
        <v>32839</v>
      </c>
      <c r="H12795" t="s">
        <v>32849</v>
      </c>
      <c r="I12795" t="s">
        <v>4177</v>
      </c>
      <c r="J12795" t="s">
        <v>33016</v>
      </c>
      <c r="K12795" t="s">
        <v>42729</v>
      </c>
      <c r="M12795" t="s">
        <v>45087</v>
      </c>
      <c r="N12795" t="s">
        <v>47424</v>
      </c>
      <c r="O12795" t="s">
        <v>47425</v>
      </c>
      <c r="P12795">
        <v>0</v>
      </c>
      <c r="Q12795">
        <v>0</v>
      </c>
      <c r="R12795" t="s">
        <v>47440</v>
      </c>
      <c r="S12795" t="s">
        <v>47963</v>
      </c>
      <c r="T12795" t="s">
        <v>49163</v>
      </c>
      <c r="U12795" t="s">
        <v>60174</v>
      </c>
      <c r="V12795" t="s">
        <v>53471</v>
      </c>
      <c r="W12795" t="s">
        <v>45087</v>
      </c>
      <c r="X12795" t="s">
        <v>47441</v>
      </c>
    </row>
    <row r="12796" spans="1:24">
      <c r="A12796">
        <f>HYPERLINK("https://www.philgeps.gov.ph/GEPSNONPILOT/Tender/SplashBidNoticeAbstractUI.aspx?menuIndex=3&amp;refID=7137498&amp;Result=3","7137498")</f>
        <v>0</v>
      </c>
      <c r="B12796" t="s">
        <v>2367</v>
      </c>
      <c r="C12796" t="s">
        <v>15971</v>
      </c>
      <c r="E12796" t="s">
        <v>30054</v>
      </c>
      <c r="F12796" t="s">
        <v>32831</v>
      </c>
      <c r="G12796" t="s">
        <v>32839</v>
      </c>
      <c r="H12796" t="s">
        <v>32849</v>
      </c>
      <c r="I12796" t="s">
        <v>4177</v>
      </c>
      <c r="J12796" t="s">
        <v>33032</v>
      </c>
      <c r="K12796" t="s">
        <v>42732</v>
      </c>
      <c r="M12796" t="s">
        <v>45557</v>
      </c>
      <c r="N12796" t="s">
        <v>47424</v>
      </c>
      <c r="O12796" t="s">
        <v>47425</v>
      </c>
      <c r="P12796">
        <v>0</v>
      </c>
      <c r="Q12796">
        <v>6</v>
      </c>
      <c r="R12796" t="s">
        <v>47440</v>
      </c>
      <c r="S12796" t="s">
        <v>47963</v>
      </c>
      <c r="T12796" t="s">
        <v>49068</v>
      </c>
      <c r="U12796" t="s">
        <v>60175</v>
      </c>
      <c r="W12796" t="s">
        <v>45557</v>
      </c>
      <c r="X12796" t="s">
        <v>47441</v>
      </c>
    </row>
    <row r="12797" spans="1:24">
      <c r="A12797">
        <f>HYPERLINK("https://www.philgeps.gov.ph/GEPSNONPILOT/Tender/SplashBidNoticeAbstractUI.aspx?menuIndex=3&amp;refID=7137496&amp;Result=3","7137496")</f>
        <v>0</v>
      </c>
      <c r="B12797" t="s">
        <v>2922</v>
      </c>
      <c r="C12797" t="s">
        <v>9213</v>
      </c>
      <c r="E12797" t="s">
        <v>30055</v>
      </c>
      <c r="F12797" t="s">
        <v>32831</v>
      </c>
      <c r="G12797" t="s">
        <v>32839</v>
      </c>
      <c r="H12797" t="s">
        <v>32848</v>
      </c>
      <c r="I12797" t="s">
        <v>4438</v>
      </c>
      <c r="J12797" t="s">
        <v>33508</v>
      </c>
      <c r="K12797" t="s">
        <v>42732</v>
      </c>
      <c r="M12797" t="s">
        <v>46175</v>
      </c>
      <c r="N12797" t="s">
        <v>47424</v>
      </c>
      <c r="O12797" t="s">
        <v>47425</v>
      </c>
      <c r="P12797">
        <v>0</v>
      </c>
      <c r="Q12797">
        <v>1</v>
      </c>
      <c r="R12797" t="s">
        <v>47440</v>
      </c>
      <c r="S12797" t="s">
        <v>47963</v>
      </c>
      <c r="T12797" t="s">
        <v>49104</v>
      </c>
      <c r="U12797" t="s">
        <v>60176</v>
      </c>
      <c r="W12797" t="s">
        <v>46175</v>
      </c>
      <c r="X12797" t="s">
        <v>47441</v>
      </c>
    </row>
    <row r="12798" spans="1:24">
      <c r="A12798">
        <f>HYPERLINK("https://www.philgeps.gov.ph/GEPSNONPILOT/Tender/SplashBidNoticeAbstractUI.aspx?menuIndex=3&amp;refID=7137493&amp;Result=3","7137493")</f>
        <v>0</v>
      </c>
      <c r="B12798" t="s">
        <v>1934</v>
      </c>
      <c r="C12798" t="s">
        <v>15972</v>
      </c>
      <c r="D12798" t="s">
        <v>19057</v>
      </c>
      <c r="E12798" t="s">
        <v>23562</v>
      </c>
      <c r="F12798" t="s">
        <v>32831</v>
      </c>
      <c r="G12798" t="s">
        <v>32839</v>
      </c>
      <c r="H12798" t="s">
        <v>32849</v>
      </c>
      <c r="I12798" t="s">
        <v>4177</v>
      </c>
      <c r="J12798" t="s">
        <v>36338</v>
      </c>
      <c r="K12798" t="s">
        <v>42761</v>
      </c>
      <c r="M12798" t="s">
        <v>45087</v>
      </c>
      <c r="N12798" t="s">
        <v>47424</v>
      </c>
      <c r="O12798" t="s">
        <v>47425</v>
      </c>
      <c r="Q12798">
        <v>0</v>
      </c>
      <c r="R12798" t="s">
        <v>47440</v>
      </c>
      <c r="S12798" t="s">
        <v>48012</v>
      </c>
      <c r="T12798" t="s">
        <v>49163</v>
      </c>
      <c r="U12798" t="s">
        <v>60177</v>
      </c>
      <c r="V12798" t="s">
        <v>53471</v>
      </c>
      <c r="W12798" t="s">
        <v>45087</v>
      </c>
      <c r="X12798" t="s">
        <v>47441</v>
      </c>
    </row>
    <row r="12799" spans="1:24">
      <c r="A12799">
        <f>HYPERLINK("https://www.philgeps.gov.ph/GEPSNONPILOT/Tender/SplashBidNoticeAbstractUI.aspx?menuIndex=3&amp;refID=7137342&amp;Result=3","7137342")</f>
        <v>0</v>
      </c>
      <c r="B12799" t="s">
        <v>1927</v>
      </c>
      <c r="C12799" t="s">
        <v>15973</v>
      </c>
      <c r="D12799" t="s">
        <v>19018</v>
      </c>
      <c r="E12799" t="s">
        <v>30056</v>
      </c>
      <c r="F12799" t="s">
        <v>32831</v>
      </c>
      <c r="G12799" t="s">
        <v>32839</v>
      </c>
      <c r="H12799" t="s">
        <v>32849</v>
      </c>
      <c r="I12799" t="s">
        <v>4177</v>
      </c>
      <c r="J12799" t="s">
        <v>33118</v>
      </c>
      <c r="K12799" t="s">
        <v>42732</v>
      </c>
      <c r="L12799" t="s">
        <v>1927</v>
      </c>
      <c r="M12799" t="s">
        <v>46156</v>
      </c>
      <c r="N12799" t="s">
        <v>47424</v>
      </c>
      <c r="O12799" t="s">
        <v>47425</v>
      </c>
      <c r="P12799">
        <v>0</v>
      </c>
      <c r="Q12799">
        <v>0</v>
      </c>
      <c r="R12799" t="s">
        <v>47440</v>
      </c>
      <c r="S12799" t="s">
        <v>47963</v>
      </c>
      <c r="T12799" t="s">
        <v>49080</v>
      </c>
      <c r="U12799" t="s">
        <v>60161</v>
      </c>
      <c r="V12799" t="s">
        <v>63616</v>
      </c>
      <c r="W12799" t="s">
        <v>46156</v>
      </c>
      <c r="X12799" t="s">
        <v>47441</v>
      </c>
    </row>
    <row r="12800" spans="1:24">
      <c r="A12800">
        <f>HYPERLINK("https://www.philgeps.gov.ph/GEPSNONPILOT/Tender/SplashBidNoticeAbstractUI.aspx?menuIndex=3&amp;refID=7137511&amp;Result=3","7137511")</f>
        <v>0</v>
      </c>
      <c r="B12800" t="s">
        <v>1953</v>
      </c>
      <c r="C12800" t="s">
        <v>15974</v>
      </c>
      <c r="E12800" t="s">
        <v>30057</v>
      </c>
      <c r="F12800" t="s">
        <v>32831</v>
      </c>
      <c r="G12800" t="s">
        <v>32839</v>
      </c>
      <c r="H12800" t="s">
        <v>32849</v>
      </c>
      <c r="I12800" t="s">
        <v>4177</v>
      </c>
      <c r="J12800" t="s">
        <v>40813</v>
      </c>
      <c r="K12800" t="s">
        <v>42862</v>
      </c>
      <c r="M12800" t="s">
        <v>46997</v>
      </c>
      <c r="N12800" t="s">
        <v>47424</v>
      </c>
      <c r="O12800" t="s">
        <v>47425</v>
      </c>
      <c r="Q12800">
        <v>8</v>
      </c>
      <c r="R12800" t="s">
        <v>47440</v>
      </c>
      <c r="S12800" t="s">
        <v>48013</v>
      </c>
      <c r="T12800" t="s">
        <v>49196</v>
      </c>
      <c r="U12800" t="s">
        <v>60178</v>
      </c>
      <c r="W12800" t="s">
        <v>46997</v>
      </c>
      <c r="X12800" t="s">
        <v>47441</v>
      </c>
    </row>
    <row r="12801" spans="1:24">
      <c r="A12801">
        <f>HYPERLINK("https://www.philgeps.gov.ph/GEPSNONPILOT/Tender/SplashBidNoticeAbstractUI.aspx?menuIndex=3&amp;refID=7137291&amp;Result=3","7137291")</f>
        <v>0</v>
      </c>
      <c r="B12801" t="s">
        <v>3609</v>
      </c>
      <c r="C12801" t="s">
        <v>15975</v>
      </c>
      <c r="D12801" t="s">
        <v>19084</v>
      </c>
      <c r="E12801" t="s">
        <v>29986</v>
      </c>
      <c r="F12801" t="s">
        <v>32831</v>
      </c>
      <c r="G12801" t="s">
        <v>32839</v>
      </c>
      <c r="H12801" t="s">
        <v>32849</v>
      </c>
      <c r="I12801" t="s">
        <v>4177</v>
      </c>
      <c r="J12801" t="s">
        <v>40814</v>
      </c>
      <c r="K12801" t="s">
        <v>42763</v>
      </c>
      <c r="M12801" t="s">
        <v>46977</v>
      </c>
      <c r="N12801" t="s">
        <v>47424</v>
      </c>
      <c r="O12801" t="s">
        <v>47425</v>
      </c>
      <c r="Q12801">
        <v>7</v>
      </c>
      <c r="R12801" t="s">
        <v>47440</v>
      </c>
      <c r="S12801" t="s">
        <v>48006</v>
      </c>
      <c r="T12801" t="s">
        <v>49105</v>
      </c>
      <c r="U12801" t="s">
        <v>60102</v>
      </c>
      <c r="W12801" t="s">
        <v>46977</v>
      </c>
      <c r="X12801" t="s">
        <v>47441</v>
      </c>
    </row>
    <row r="12802" spans="1:24">
      <c r="A12802">
        <f>HYPERLINK("https://www.philgeps.gov.ph/GEPSNONPILOT/Tender/SplashBidNoticeAbstractUI.aspx?menuIndex=3&amp;refID=7137456&amp;Result=3","7137456")</f>
        <v>0</v>
      </c>
      <c r="B12802" t="s">
        <v>3565</v>
      </c>
      <c r="C12802" t="s">
        <v>15976</v>
      </c>
      <c r="D12802" t="s">
        <v>19024</v>
      </c>
      <c r="E12802" t="s">
        <v>29505</v>
      </c>
      <c r="F12802" t="s">
        <v>32831</v>
      </c>
      <c r="G12802" t="s">
        <v>32839</v>
      </c>
      <c r="H12802" t="s">
        <v>32849</v>
      </c>
      <c r="I12802" t="s">
        <v>4177</v>
      </c>
      <c r="J12802" t="s">
        <v>40815</v>
      </c>
      <c r="K12802" t="s">
        <v>42967</v>
      </c>
      <c r="M12802" t="s">
        <v>46921</v>
      </c>
      <c r="N12802" t="s">
        <v>47424</v>
      </c>
      <c r="O12802" t="s">
        <v>47425</v>
      </c>
      <c r="P12802">
        <v>0</v>
      </c>
      <c r="Q12802">
        <v>1</v>
      </c>
      <c r="R12802" t="s">
        <v>47440</v>
      </c>
      <c r="S12802" t="s">
        <v>47963</v>
      </c>
      <c r="T12802" t="s">
        <v>49109</v>
      </c>
      <c r="U12802" t="s">
        <v>60179</v>
      </c>
      <c r="W12802" t="s">
        <v>46921</v>
      </c>
      <c r="X12802" t="s">
        <v>47441</v>
      </c>
    </row>
    <row r="12803" spans="1:24">
      <c r="A12803">
        <f>HYPERLINK("https://www.philgeps.gov.ph/GEPSNONPILOT/Tender/SplashBidNoticeAbstractUI.aspx?menuIndex=3&amp;refID=7137478&amp;Result=3","7137478")</f>
        <v>0</v>
      </c>
      <c r="B12803" t="s">
        <v>2338</v>
      </c>
      <c r="C12803" t="s">
        <v>15977</v>
      </c>
      <c r="D12803" t="s">
        <v>19049</v>
      </c>
      <c r="E12803" t="s">
        <v>30058</v>
      </c>
      <c r="F12803" t="s">
        <v>32831</v>
      </c>
      <c r="G12803" t="s">
        <v>32839</v>
      </c>
      <c r="H12803" t="s">
        <v>32849</v>
      </c>
      <c r="I12803" t="s">
        <v>4177</v>
      </c>
      <c r="J12803" t="s">
        <v>40816</v>
      </c>
      <c r="K12803" t="s">
        <v>42729</v>
      </c>
      <c r="M12803" t="s">
        <v>45525</v>
      </c>
      <c r="N12803" t="s">
        <v>47424</v>
      </c>
      <c r="O12803" t="s">
        <v>47425</v>
      </c>
      <c r="P12803">
        <v>0</v>
      </c>
      <c r="Q12803">
        <v>2</v>
      </c>
      <c r="R12803" t="s">
        <v>47440</v>
      </c>
      <c r="S12803" t="s">
        <v>47963</v>
      </c>
      <c r="T12803" t="s">
        <v>49109</v>
      </c>
      <c r="U12803" t="s">
        <v>55192</v>
      </c>
      <c r="V12803" t="s">
        <v>63352</v>
      </c>
      <c r="W12803" t="s">
        <v>45525</v>
      </c>
      <c r="X12803" t="s">
        <v>47441</v>
      </c>
    </row>
    <row r="12804" spans="1:24">
      <c r="A12804">
        <f>HYPERLINK("https://www.philgeps.gov.ph/GEPSNONPILOT/Tender/SplashBidNoticeAbstractUI.aspx?menuIndex=3&amp;refID=7137605&amp;Result=3","7137605")</f>
        <v>0</v>
      </c>
      <c r="B12804" t="s">
        <v>3626</v>
      </c>
      <c r="C12804" t="s">
        <v>15978</v>
      </c>
      <c r="D12804" t="s">
        <v>19037</v>
      </c>
      <c r="E12804" t="s">
        <v>30059</v>
      </c>
      <c r="F12804" t="s">
        <v>32831</v>
      </c>
      <c r="G12804" t="s">
        <v>32839</v>
      </c>
      <c r="H12804" t="s">
        <v>32848</v>
      </c>
      <c r="I12804" t="s">
        <v>9577</v>
      </c>
      <c r="J12804" t="s">
        <v>40817</v>
      </c>
      <c r="K12804" t="s">
        <v>42730</v>
      </c>
      <c r="M12804" t="s">
        <v>46995</v>
      </c>
      <c r="N12804" t="s">
        <v>47424</v>
      </c>
      <c r="O12804" t="s">
        <v>47425</v>
      </c>
      <c r="P12804">
        <v>0</v>
      </c>
      <c r="Q12804">
        <v>7</v>
      </c>
      <c r="R12804" t="s">
        <v>47440</v>
      </c>
      <c r="S12804" t="s">
        <v>47963</v>
      </c>
      <c r="T12804" t="s">
        <v>49066</v>
      </c>
      <c r="U12804" t="s">
        <v>60180</v>
      </c>
      <c r="W12804" t="s">
        <v>46995</v>
      </c>
      <c r="X12804" t="s">
        <v>47441</v>
      </c>
    </row>
    <row r="12805" spans="1:24">
      <c r="A12805">
        <f>HYPERLINK("https://www.philgeps.gov.ph/GEPSNONPILOT/Tender/SplashBidNoticeAbstractUI.aspx?menuIndex=3&amp;refID=7137602&amp;Result=3","7137602")</f>
        <v>0</v>
      </c>
      <c r="B12805" t="s">
        <v>3609</v>
      </c>
      <c r="C12805" t="s">
        <v>15979</v>
      </c>
      <c r="D12805" t="s">
        <v>19084</v>
      </c>
      <c r="E12805" t="s">
        <v>29986</v>
      </c>
      <c r="F12805" t="s">
        <v>32831</v>
      </c>
      <c r="G12805" t="s">
        <v>32839</v>
      </c>
      <c r="H12805" t="s">
        <v>32848</v>
      </c>
      <c r="I12805" t="s">
        <v>4177</v>
      </c>
      <c r="J12805" t="s">
        <v>40818</v>
      </c>
      <c r="K12805" t="s">
        <v>42763</v>
      </c>
      <c r="M12805" t="s">
        <v>46977</v>
      </c>
      <c r="N12805" t="s">
        <v>47424</v>
      </c>
      <c r="O12805" t="s">
        <v>47425</v>
      </c>
      <c r="Q12805">
        <v>7</v>
      </c>
      <c r="R12805" t="s">
        <v>47440</v>
      </c>
      <c r="S12805" t="s">
        <v>48014</v>
      </c>
      <c r="T12805" t="s">
        <v>49105</v>
      </c>
      <c r="U12805" t="s">
        <v>60102</v>
      </c>
      <c r="W12805" t="s">
        <v>46977</v>
      </c>
      <c r="X12805" t="s">
        <v>47441</v>
      </c>
    </row>
    <row r="12806" spans="1:24">
      <c r="A12806">
        <f>HYPERLINK("https://www.philgeps.gov.ph/GEPSNONPILOT/Tender/SplashBidNoticeAbstractUI.aspx?menuIndex=3&amp;refID=7137590&amp;Result=3","7137590")</f>
        <v>0</v>
      </c>
      <c r="B12806" t="s">
        <v>1934</v>
      </c>
      <c r="C12806" t="s">
        <v>15980</v>
      </c>
      <c r="D12806" t="s">
        <v>19057</v>
      </c>
      <c r="E12806" t="s">
        <v>30060</v>
      </c>
      <c r="F12806" t="s">
        <v>32831</v>
      </c>
      <c r="G12806" t="s">
        <v>32839</v>
      </c>
      <c r="H12806" t="s">
        <v>32849</v>
      </c>
      <c r="I12806" t="s">
        <v>4177</v>
      </c>
      <c r="J12806" t="s">
        <v>33016</v>
      </c>
      <c r="K12806" t="s">
        <v>42729</v>
      </c>
      <c r="M12806" t="s">
        <v>45087</v>
      </c>
      <c r="N12806" t="s">
        <v>47424</v>
      </c>
      <c r="O12806" t="s">
        <v>47425</v>
      </c>
      <c r="P12806">
        <v>0</v>
      </c>
      <c r="Q12806">
        <v>0</v>
      </c>
      <c r="R12806" t="s">
        <v>47440</v>
      </c>
      <c r="S12806" t="s">
        <v>47963</v>
      </c>
      <c r="T12806" t="s">
        <v>49163</v>
      </c>
      <c r="U12806" t="s">
        <v>60174</v>
      </c>
      <c r="V12806" t="s">
        <v>53471</v>
      </c>
      <c r="W12806" t="s">
        <v>45087</v>
      </c>
      <c r="X12806" t="s">
        <v>47441</v>
      </c>
    </row>
    <row r="12807" spans="1:24">
      <c r="A12807">
        <f>HYPERLINK("https://www.philgeps.gov.ph/GEPSNONPILOT/Tender/SplashBidNoticeAbstractUI.aspx?menuIndex=3&amp;refID=7137603&amp;Result=3","7137603")</f>
        <v>0</v>
      </c>
      <c r="B12807" t="s">
        <v>152</v>
      </c>
      <c r="C12807" t="s">
        <v>15981</v>
      </c>
      <c r="D12807" t="s">
        <v>19068</v>
      </c>
      <c r="E12807" t="s">
        <v>30061</v>
      </c>
      <c r="F12807" t="s">
        <v>32831</v>
      </c>
      <c r="G12807" t="s">
        <v>32839</v>
      </c>
      <c r="H12807" t="s">
        <v>32848</v>
      </c>
      <c r="I12807" t="s">
        <v>4487</v>
      </c>
      <c r="J12807" t="s">
        <v>36871</v>
      </c>
      <c r="K12807" t="s">
        <v>42729</v>
      </c>
      <c r="M12807" t="s">
        <v>43149</v>
      </c>
      <c r="N12807" t="s">
        <v>47424</v>
      </c>
      <c r="O12807" t="s">
        <v>47425</v>
      </c>
      <c r="P12807">
        <v>0</v>
      </c>
      <c r="Q12807">
        <v>7</v>
      </c>
      <c r="R12807" t="s">
        <v>47440</v>
      </c>
      <c r="S12807" t="s">
        <v>47963</v>
      </c>
      <c r="T12807" t="s">
        <v>49066</v>
      </c>
      <c r="U12807" t="s">
        <v>60181</v>
      </c>
      <c r="W12807" t="s">
        <v>43149</v>
      </c>
      <c r="X12807" t="s">
        <v>47441</v>
      </c>
    </row>
    <row r="12808" spans="1:24">
      <c r="A12808">
        <f>HYPERLINK("https://www.philgeps.gov.ph/GEPSNONPILOT/Tender/SplashBidNoticeAbstractUI.aspx?menuIndex=3&amp;refID=7137582&amp;Result=3","7137582")</f>
        <v>0</v>
      </c>
      <c r="B12808" t="s">
        <v>187</v>
      </c>
      <c r="C12808" t="s">
        <v>15982</v>
      </c>
      <c r="D12808" t="s">
        <v>19041</v>
      </c>
      <c r="E12808" t="s">
        <v>30062</v>
      </c>
      <c r="F12808" t="s">
        <v>32831</v>
      </c>
      <c r="G12808" t="s">
        <v>32839</v>
      </c>
      <c r="H12808" t="s">
        <v>32849</v>
      </c>
      <c r="I12808" t="s">
        <v>4177</v>
      </c>
      <c r="J12808" t="s">
        <v>40819</v>
      </c>
      <c r="K12808" t="s">
        <v>42729</v>
      </c>
      <c r="M12808" t="s">
        <v>44023</v>
      </c>
      <c r="N12808" t="s">
        <v>47424</v>
      </c>
      <c r="O12808" t="s">
        <v>47425</v>
      </c>
      <c r="P12808">
        <v>0</v>
      </c>
      <c r="Q12808">
        <v>0</v>
      </c>
      <c r="R12808" t="s">
        <v>47440</v>
      </c>
      <c r="S12808" t="s">
        <v>47963</v>
      </c>
      <c r="T12808" t="s">
        <v>49159</v>
      </c>
      <c r="U12808" t="s">
        <v>51560</v>
      </c>
      <c r="W12808" t="s">
        <v>44023</v>
      </c>
      <c r="X12808" t="s">
        <v>47441</v>
      </c>
    </row>
    <row r="12809" spans="1:24">
      <c r="A12809">
        <f>HYPERLINK("https://www.philgeps.gov.ph/GEPSNONPILOT/Tender/SplashBidNoticeAbstractUI.aspx?menuIndex=3&amp;refID=7137584&amp;Result=3","7137584")</f>
        <v>0</v>
      </c>
      <c r="B12809" t="s">
        <v>231</v>
      </c>
      <c r="C12809" t="s">
        <v>15983</v>
      </c>
      <c r="D12809" t="s">
        <v>19039</v>
      </c>
      <c r="E12809" t="s">
        <v>30063</v>
      </c>
      <c r="F12809" t="s">
        <v>32831</v>
      </c>
      <c r="G12809" t="s">
        <v>32839</v>
      </c>
      <c r="H12809" t="s">
        <v>32849</v>
      </c>
      <c r="I12809" t="s">
        <v>4177</v>
      </c>
      <c r="J12809" t="s">
        <v>40820</v>
      </c>
      <c r="K12809" t="s">
        <v>42764</v>
      </c>
      <c r="M12809" t="s">
        <v>46970</v>
      </c>
      <c r="N12809" t="s">
        <v>47424</v>
      </c>
      <c r="O12809" t="s">
        <v>47425</v>
      </c>
      <c r="P12809">
        <v>0</v>
      </c>
      <c r="Q12809">
        <v>2</v>
      </c>
      <c r="R12809" t="s">
        <v>47440</v>
      </c>
      <c r="S12809" t="s">
        <v>47963</v>
      </c>
      <c r="T12809" t="s">
        <v>49066</v>
      </c>
      <c r="U12809" t="s">
        <v>60182</v>
      </c>
      <c r="W12809" t="s">
        <v>46971</v>
      </c>
      <c r="X12809" t="s">
        <v>47441</v>
      </c>
    </row>
    <row r="12810" spans="1:24">
      <c r="A12810">
        <f>HYPERLINK("https://www.philgeps.gov.ph/GEPSNONPILOT/Tender/SplashBidNoticeAbstractUI.aspx?menuIndex=3&amp;refID=7137467&amp;Result=3","7137467")</f>
        <v>0</v>
      </c>
      <c r="B12810" t="s">
        <v>1927</v>
      </c>
      <c r="C12810" t="s">
        <v>15984</v>
      </c>
      <c r="D12810" t="s">
        <v>19018</v>
      </c>
      <c r="E12810" t="s">
        <v>30064</v>
      </c>
      <c r="F12810" t="s">
        <v>32831</v>
      </c>
      <c r="G12810" t="s">
        <v>32839</v>
      </c>
      <c r="H12810" t="s">
        <v>32849</v>
      </c>
      <c r="I12810" t="s">
        <v>4177</v>
      </c>
      <c r="J12810" t="s">
        <v>40821</v>
      </c>
      <c r="K12810" t="s">
        <v>42732</v>
      </c>
      <c r="L12810" t="s">
        <v>1927</v>
      </c>
      <c r="M12810" t="s">
        <v>46156</v>
      </c>
      <c r="N12810" t="s">
        <v>47424</v>
      </c>
      <c r="O12810" t="s">
        <v>47425</v>
      </c>
      <c r="P12810">
        <v>0</v>
      </c>
      <c r="Q12810">
        <v>0</v>
      </c>
      <c r="R12810" t="s">
        <v>47440</v>
      </c>
      <c r="S12810" t="s">
        <v>47963</v>
      </c>
      <c r="T12810" t="s">
        <v>49080</v>
      </c>
      <c r="U12810" t="s">
        <v>60161</v>
      </c>
      <c r="V12810" t="s">
        <v>63616</v>
      </c>
      <c r="W12810" t="s">
        <v>46156</v>
      </c>
      <c r="X12810" t="s">
        <v>47441</v>
      </c>
    </row>
    <row r="12811" spans="1:24">
      <c r="A12811">
        <f>HYPERLINK("https://www.philgeps.gov.ph/GEPSNONPILOT/Tender/SplashBidNoticeAbstractUI.aspx?menuIndex=3&amp;refID=7137576&amp;Result=3","7137576")</f>
        <v>0</v>
      </c>
      <c r="B12811" t="s">
        <v>2766</v>
      </c>
      <c r="C12811" t="s">
        <v>15985</v>
      </c>
      <c r="D12811" t="s">
        <v>19034</v>
      </c>
      <c r="E12811" t="s">
        <v>30065</v>
      </c>
      <c r="F12811" t="s">
        <v>32831</v>
      </c>
      <c r="G12811" t="s">
        <v>32839</v>
      </c>
      <c r="H12811" t="s">
        <v>32849</v>
      </c>
      <c r="I12811" t="s">
        <v>4177</v>
      </c>
      <c r="J12811" t="s">
        <v>40822</v>
      </c>
      <c r="K12811" t="s">
        <v>42732</v>
      </c>
      <c r="M12811" t="s">
        <v>45996</v>
      </c>
      <c r="N12811" t="s">
        <v>47424</v>
      </c>
      <c r="O12811" t="s">
        <v>47425</v>
      </c>
      <c r="P12811">
        <v>0</v>
      </c>
      <c r="Q12811">
        <v>0</v>
      </c>
      <c r="R12811" t="s">
        <v>47440</v>
      </c>
      <c r="S12811" t="s">
        <v>47963</v>
      </c>
      <c r="T12811" t="s">
        <v>49091</v>
      </c>
      <c r="U12811" t="s">
        <v>60183</v>
      </c>
      <c r="W12811" t="s">
        <v>45996</v>
      </c>
      <c r="X12811" t="s">
        <v>47441</v>
      </c>
    </row>
    <row r="12812" spans="1:24">
      <c r="A12812">
        <f>HYPERLINK("https://www.philgeps.gov.ph/GEPSNONPILOT/Tender/SplashBidNoticeAbstractUI.aspx?menuIndex=3&amp;refID=7137578&amp;Result=3","7137578")</f>
        <v>0</v>
      </c>
      <c r="B12812" t="s">
        <v>3628</v>
      </c>
      <c r="C12812" t="s">
        <v>4226</v>
      </c>
      <c r="D12812" t="s">
        <v>19082</v>
      </c>
      <c r="E12812" t="s">
        <v>30066</v>
      </c>
      <c r="F12812" t="s">
        <v>32831</v>
      </c>
      <c r="G12812" t="s">
        <v>32839</v>
      </c>
      <c r="H12812" t="s">
        <v>32848</v>
      </c>
      <c r="I12812" t="s">
        <v>9577</v>
      </c>
      <c r="J12812" t="s">
        <v>40823</v>
      </c>
      <c r="K12812" t="s">
        <v>42731</v>
      </c>
      <c r="M12812" t="s">
        <v>46998</v>
      </c>
      <c r="N12812" t="s">
        <v>47424</v>
      </c>
      <c r="O12812" t="s">
        <v>47425</v>
      </c>
      <c r="P12812">
        <v>0</v>
      </c>
      <c r="Q12812">
        <v>1</v>
      </c>
      <c r="R12812" t="s">
        <v>47440</v>
      </c>
      <c r="S12812" t="s">
        <v>47963</v>
      </c>
      <c r="T12812" t="s">
        <v>49073</v>
      </c>
      <c r="U12812" t="s">
        <v>60184</v>
      </c>
      <c r="W12812" t="s">
        <v>46998</v>
      </c>
      <c r="X12812" t="s">
        <v>47441</v>
      </c>
    </row>
    <row r="12813" spans="1:24">
      <c r="A12813">
        <f>HYPERLINK("https://www.philgeps.gov.ph/GEPSNONPILOT/Tender/SplashBidNoticeAbstractUI.aspx?menuIndex=3&amp;refID=7137574&amp;Result=3","7137574")</f>
        <v>0</v>
      </c>
      <c r="B12813" t="s">
        <v>1953</v>
      </c>
      <c r="C12813" t="s">
        <v>15986</v>
      </c>
      <c r="E12813" t="s">
        <v>30067</v>
      </c>
      <c r="F12813" t="s">
        <v>32831</v>
      </c>
      <c r="G12813" t="s">
        <v>32839</v>
      </c>
      <c r="H12813" t="s">
        <v>32849</v>
      </c>
      <c r="I12813" t="s">
        <v>4177</v>
      </c>
      <c r="J12813" t="s">
        <v>40813</v>
      </c>
      <c r="K12813" t="s">
        <v>42862</v>
      </c>
      <c r="M12813" t="s">
        <v>46997</v>
      </c>
      <c r="N12813" t="s">
        <v>47424</v>
      </c>
      <c r="O12813" t="s">
        <v>47425</v>
      </c>
      <c r="Q12813">
        <v>10</v>
      </c>
      <c r="R12813" t="s">
        <v>47440</v>
      </c>
      <c r="S12813" t="s">
        <v>47558</v>
      </c>
      <c r="T12813" t="s">
        <v>49106</v>
      </c>
      <c r="U12813" t="s">
        <v>60185</v>
      </c>
      <c r="W12813" t="s">
        <v>46997</v>
      </c>
      <c r="X12813" t="s">
        <v>47441</v>
      </c>
    </row>
    <row r="12814" spans="1:24">
      <c r="A12814">
        <f>HYPERLINK("https://www.philgeps.gov.ph/GEPSNONPILOT/Tender/SplashBidNoticeAbstractUI.aspx?menuIndex=3&amp;refID=7137573&amp;Result=3","7137573")</f>
        <v>0</v>
      </c>
      <c r="B12814" t="s">
        <v>221</v>
      </c>
      <c r="C12814" t="s">
        <v>15987</v>
      </c>
      <c r="D12814" t="s">
        <v>19022</v>
      </c>
      <c r="E12814" t="s">
        <v>30068</v>
      </c>
      <c r="F12814" t="s">
        <v>32831</v>
      </c>
      <c r="G12814" t="s">
        <v>32845</v>
      </c>
      <c r="H12814" t="s">
        <v>14069</v>
      </c>
      <c r="I12814" t="s">
        <v>14069</v>
      </c>
      <c r="J12814" t="s">
        <v>40824</v>
      </c>
      <c r="K12814" t="s">
        <v>42732</v>
      </c>
      <c r="L12814" t="s">
        <v>221</v>
      </c>
      <c r="M12814" t="s">
        <v>46263</v>
      </c>
      <c r="N12814" t="s">
        <v>47424</v>
      </c>
      <c r="O12814" t="s">
        <v>47425</v>
      </c>
      <c r="Q12814">
        <v>5</v>
      </c>
      <c r="R12814" t="s">
        <v>47440</v>
      </c>
      <c r="S12814" t="s">
        <v>48015</v>
      </c>
      <c r="T12814" t="s">
        <v>49078</v>
      </c>
      <c r="U12814" t="s">
        <v>60186</v>
      </c>
      <c r="W12814" t="s">
        <v>46263</v>
      </c>
      <c r="X12814" t="s">
        <v>47441</v>
      </c>
    </row>
    <row r="12815" spans="1:24">
      <c r="A12815">
        <f>HYPERLINK("https://www.philgeps.gov.ph/GEPSNONPILOT/Tender/SplashBidNoticeAbstractUI.aspx?menuIndex=3&amp;refID=7137575&amp;Result=3","7137575")</f>
        <v>0</v>
      </c>
      <c r="B12815" t="s">
        <v>3629</v>
      </c>
      <c r="C12815" t="s">
        <v>15988</v>
      </c>
      <c r="D12815" t="s">
        <v>19077</v>
      </c>
      <c r="E12815" t="s">
        <v>30069</v>
      </c>
      <c r="F12815" t="s">
        <v>32831</v>
      </c>
      <c r="G12815" t="s">
        <v>32839</v>
      </c>
      <c r="H12815" t="s">
        <v>32848</v>
      </c>
      <c r="I12815" t="s">
        <v>32928</v>
      </c>
      <c r="J12815" t="s">
        <v>35708</v>
      </c>
      <c r="K12815" t="s">
        <v>42726</v>
      </c>
      <c r="M12815" t="s">
        <v>46999</v>
      </c>
      <c r="N12815" t="s">
        <v>47424</v>
      </c>
      <c r="O12815" t="s">
        <v>47425</v>
      </c>
      <c r="Q12815">
        <v>11</v>
      </c>
      <c r="R12815" t="s">
        <v>47440</v>
      </c>
      <c r="S12815" t="s">
        <v>48016</v>
      </c>
      <c r="T12815" t="s">
        <v>49091</v>
      </c>
      <c r="U12815" t="s">
        <v>60187</v>
      </c>
      <c r="V12815" t="s">
        <v>64054</v>
      </c>
      <c r="W12815" t="s">
        <v>46999</v>
      </c>
      <c r="X12815" t="s">
        <v>47441</v>
      </c>
    </row>
    <row r="12816" spans="1:24">
      <c r="A12816">
        <f>HYPERLINK("https://www.philgeps.gov.ph/GEPSNONPILOT/Tender/SplashBidNoticeAbstractUI.aspx?menuIndex=3&amp;refID=7137558&amp;Result=3","7137558")</f>
        <v>0</v>
      </c>
      <c r="B12816" t="s">
        <v>787</v>
      </c>
      <c r="C12816" t="s">
        <v>15989</v>
      </c>
      <c r="D12816" t="s">
        <v>19045</v>
      </c>
      <c r="E12816" t="s">
        <v>19987</v>
      </c>
      <c r="F12816" t="s">
        <v>32831</v>
      </c>
      <c r="G12816" t="s">
        <v>32839</v>
      </c>
      <c r="H12816" t="s">
        <v>32849</v>
      </c>
      <c r="I12816" t="s">
        <v>4177</v>
      </c>
      <c r="J12816" t="s">
        <v>40825</v>
      </c>
      <c r="K12816" t="s">
        <v>42744</v>
      </c>
      <c r="M12816" t="s">
        <v>43816</v>
      </c>
      <c r="N12816" t="s">
        <v>47424</v>
      </c>
      <c r="O12816" t="s">
        <v>47425</v>
      </c>
      <c r="P12816">
        <v>0</v>
      </c>
      <c r="Q12816">
        <v>0</v>
      </c>
      <c r="R12816" t="s">
        <v>47440</v>
      </c>
      <c r="S12816" t="s">
        <v>47963</v>
      </c>
      <c r="T12816" t="s">
        <v>49105</v>
      </c>
      <c r="U12816" t="s">
        <v>60188</v>
      </c>
      <c r="W12816" t="s">
        <v>43816</v>
      </c>
      <c r="X12816" t="s">
        <v>47441</v>
      </c>
    </row>
    <row r="12817" spans="1:24">
      <c r="A12817">
        <f>HYPERLINK("https://www.philgeps.gov.ph/GEPSNONPILOT/Tender/SplashBidNoticeAbstractUI.aspx?menuIndex=3&amp;refID=7137470&amp;Result=3","7137470")</f>
        <v>0</v>
      </c>
      <c r="B12817" t="s">
        <v>187</v>
      </c>
      <c r="C12817" t="s">
        <v>15990</v>
      </c>
      <c r="D12817" t="s">
        <v>19041</v>
      </c>
      <c r="E12817" t="s">
        <v>30070</v>
      </c>
      <c r="F12817" t="s">
        <v>32831</v>
      </c>
      <c r="G12817" t="s">
        <v>32839</v>
      </c>
      <c r="H12817" t="s">
        <v>32849</v>
      </c>
      <c r="I12817" t="s">
        <v>4177</v>
      </c>
      <c r="J12817" t="s">
        <v>40826</v>
      </c>
      <c r="K12817" t="s">
        <v>42872</v>
      </c>
      <c r="M12817" t="s">
        <v>44023</v>
      </c>
      <c r="N12817" t="s">
        <v>47424</v>
      </c>
      <c r="O12817" t="s">
        <v>47425</v>
      </c>
      <c r="P12817">
        <v>0</v>
      </c>
      <c r="Q12817">
        <v>0</v>
      </c>
      <c r="R12817" t="s">
        <v>47440</v>
      </c>
      <c r="S12817" t="s">
        <v>47963</v>
      </c>
      <c r="T12817" t="s">
        <v>49159</v>
      </c>
      <c r="U12817" t="s">
        <v>51560</v>
      </c>
      <c r="W12817" t="s">
        <v>44023</v>
      </c>
      <c r="X12817" t="s">
        <v>47441</v>
      </c>
    </row>
    <row r="12818" spans="1:24">
      <c r="A12818">
        <f>HYPERLINK("https://www.philgeps.gov.ph/GEPSNONPILOT/Tender/SplashBidNoticeAbstractUI.aspx?menuIndex=3&amp;refID=7137724&amp;Result=3","7137724")</f>
        <v>0</v>
      </c>
      <c r="B12818" t="s">
        <v>1877</v>
      </c>
      <c r="C12818" t="s">
        <v>15991</v>
      </c>
      <c r="D12818" t="s">
        <v>19043</v>
      </c>
      <c r="E12818" t="s">
        <v>30071</v>
      </c>
      <c r="F12818" t="s">
        <v>32831</v>
      </c>
      <c r="G12818" t="s">
        <v>32839</v>
      </c>
      <c r="H12818" t="s">
        <v>32848</v>
      </c>
      <c r="I12818" t="s">
        <v>32874</v>
      </c>
      <c r="J12818" t="s">
        <v>40827</v>
      </c>
      <c r="K12818" t="s">
        <v>42745</v>
      </c>
      <c r="M12818" t="s">
        <v>45021</v>
      </c>
      <c r="N12818" t="s">
        <v>47424</v>
      </c>
      <c r="O12818" t="s">
        <v>47425</v>
      </c>
      <c r="P12818">
        <v>0</v>
      </c>
      <c r="Q12818">
        <v>4</v>
      </c>
      <c r="R12818" t="s">
        <v>47440</v>
      </c>
      <c r="S12818" t="s">
        <v>47963</v>
      </c>
      <c r="T12818" t="s">
        <v>49160</v>
      </c>
      <c r="U12818" t="s">
        <v>60189</v>
      </c>
      <c r="V12818" t="s">
        <v>62833</v>
      </c>
      <c r="W12818" t="s">
        <v>45021</v>
      </c>
      <c r="X12818" t="s">
        <v>47441</v>
      </c>
    </row>
    <row r="12819" spans="1:24">
      <c r="A12819">
        <f>HYPERLINK("https://www.philgeps.gov.ph/GEPSNONPILOT/Tender/SplashBidNoticeAbstractUI.aspx?menuIndex=3&amp;refID=7137700&amp;Result=3","7137700")</f>
        <v>0</v>
      </c>
      <c r="B12819" t="s">
        <v>711</v>
      </c>
      <c r="C12819" t="s">
        <v>15992</v>
      </c>
      <c r="D12819" t="s">
        <v>19060</v>
      </c>
      <c r="E12819" t="s">
        <v>30072</v>
      </c>
      <c r="F12819" t="s">
        <v>32831</v>
      </c>
      <c r="G12819" t="s">
        <v>32839</v>
      </c>
      <c r="H12819" t="s">
        <v>32849</v>
      </c>
      <c r="I12819" t="s">
        <v>4177</v>
      </c>
      <c r="J12819" t="s">
        <v>33032</v>
      </c>
      <c r="K12819" t="s">
        <v>42836</v>
      </c>
      <c r="M12819" t="s">
        <v>43731</v>
      </c>
      <c r="N12819" t="s">
        <v>47424</v>
      </c>
      <c r="O12819" t="s">
        <v>47425</v>
      </c>
      <c r="P12819">
        <v>0</v>
      </c>
      <c r="Q12819">
        <v>3</v>
      </c>
      <c r="R12819" t="s">
        <v>47440</v>
      </c>
      <c r="S12819" t="s">
        <v>47963</v>
      </c>
      <c r="T12819" t="s">
        <v>49105</v>
      </c>
      <c r="U12819" t="s">
        <v>60190</v>
      </c>
      <c r="W12819" t="s">
        <v>43731</v>
      </c>
      <c r="X12819" t="s">
        <v>47441</v>
      </c>
    </row>
    <row r="12820" spans="1:24">
      <c r="A12820">
        <f>HYPERLINK("https://www.philgeps.gov.ph/GEPSNONPILOT/Tender/SplashBidNoticeAbstractUI.aspx?menuIndex=3&amp;refID=7137562&amp;Result=3","7137562")</f>
        <v>0</v>
      </c>
      <c r="B12820" t="s">
        <v>1953</v>
      </c>
      <c r="C12820" t="s">
        <v>15993</v>
      </c>
      <c r="E12820" t="s">
        <v>30073</v>
      </c>
      <c r="F12820" t="s">
        <v>32831</v>
      </c>
      <c r="G12820" t="s">
        <v>32839</v>
      </c>
      <c r="H12820" t="s">
        <v>32849</v>
      </c>
      <c r="I12820" t="s">
        <v>4177</v>
      </c>
      <c r="J12820" t="s">
        <v>40813</v>
      </c>
      <c r="K12820" t="s">
        <v>42862</v>
      </c>
      <c r="M12820" t="s">
        <v>46997</v>
      </c>
      <c r="N12820" t="s">
        <v>47424</v>
      </c>
      <c r="O12820" t="s">
        <v>47425</v>
      </c>
      <c r="Q12820">
        <v>9</v>
      </c>
      <c r="R12820" t="s">
        <v>47440</v>
      </c>
      <c r="S12820" t="s">
        <v>48017</v>
      </c>
      <c r="T12820" t="s">
        <v>49106</v>
      </c>
      <c r="U12820" t="s">
        <v>60191</v>
      </c>
      <c r="W12820" t="s">
        <v>46997</v>
      </c>
      <c r="X12820" t="s">
        <v>47441</v>
      </c>
    </row>
    <row r="12821" spans="1:24">
      <c r="A12821">
        <f>HYPERLINK("https://www.philgeps.gov.ph/GEPSNONPILOT/Tender/SplashBidNoticeAbstractUI.aspx?menuIndex=3&amp;refID=7137689&amp;Result=3","7137689")</f>
        <v>0</v>
      </c>
      <c r="B12821" t="s">
        <v>1447</v>
      </c>
      <c r="C12821" t="s">
        <v>15994</v>
      </c>
      <c r="D12821" t="s">
        <v>19057</v>
      </c>
      <c r="E12821" t="s">
        <v>30074</v>
      </c>
      <c r="F12821" t="s">
        <v>32831</v>
      </c>
      <c r="G12821" t="s">
        <v>32839</v>
      </c>
      <c r="H12821" t="s">
        <v>32848</v>
      </c>
      <c r="I12821" t="s">
        <v>4340</v>
      </c>
      <c r="J12821" t="s">
        <v>40828</v>
      </c>
      <c r="K12821" t="s">
        <v>42726</v>
      </c>
      <c r="M12821" t="s">
        <v>44539</v>
      </c>
      <c r="N12821" t="s">
        <v>47424</v>
      </c>
      <c r="O12821" t="s">
        <v>47425</v>
      </c>
      <c r="P12821">
        <v>0</v>
      </c>
      <c r="Q12821">
        <v>9</v>
      </c>
      <c r="R12821" t="s">
        <v>47440</v>
      </c>
      <c r="S12821" t="s">
        <v>47963</v>
      </c>
      <c r="T12821" t="s">
        <v>49091</v>
      </c>
      <c r="U12821" t="s">
        <v>60192</v>
      </c>
      <c r="V12821" t="s">
        <v>63002</v>
      </c>
      <c r="W12821" t="s">
        <v>44539</v>
      </c>
      <c r="X12821" t="s">
        <v>47441</v>
      </c>
    </row>
    <row r="12822" spans="1:24">
      <c r="A12822">
        <f>HYPERLINK("https://www.philgeps.gov.ph/GEPSNONPILOT/Tender/SplashBidNoticeAbstractUI.aspx?menuIndex=3&amp;refID=7137486&amp;Result=3","7137486")</f>
        <v>0</v>
      </c>
      <c r="B12822" t="s">
        <v>3609</v>
      </c>
      <c r="C12822" t="s">
        <v>15995</v>
      </c>
      <c r="D12822" t="s">
        <v>19084</v>
      </c>
      <c r="E12822" t="s">
        <v>29986</v>
      </c>
      <c r="F12822" t="s">
        <v>32831</v>
      </c>
      <c r="G12822" t="s">
        <v>32839</v>
      </c>
      <c r="H12822" t="s">
        <v>32849</v>
      </c>
      <c r="I12822" t="s">
        <v>4177</v>
      </c>
      <c r="J12822" t="s">
        <v>40829</v>
      </c>
      <c r="K12822" t="s">
        <v>42763</v>
      </c>
      <c r="M12822" t="s">
        <v>46977</v>
      </c>
      <c r="N12822" t="s">
        <v>47424</v>
      </c>
      <c r="O12822" t="s">
        <v>47425</v>
      </c>
      <c r="Q12822">
        <v>6</v>
      </c>
      <c r="R12822" t="s">
        <v>47440</v>
      </c>
      <c r="S12822" t="s">
        <v>48018</v>
      </c>
      <c r="T12822" t="s">
        <v>49105</v>
      </c>
      <c r="U12822" t="s">
        <v>60102</v>
      </c>
      <c r="W12822" t="s">
        <v>46977</v>
      </c>
      <c r="X12822" t="s">
        <v>47441</v>
      </c>
    </row>
    <row r="12823" spans="1:24">
      <c r="A12823">
        <f>HYPERLINK("https://www.philgeps.gov.ph/GEPSNONPILOT/Tender/SplashBidNoticeAbstractUI.aspx?menuIndex=3&amp;refID=7137687&amp;Result=3","7137687")</f>
        <v>0</v>
      </c>
      <c r="B12823" t="s">
        <v>3110</v>
      </c>
      <c r="C12823" t="s">
        <v>15996</v>
      </c>
      <c r="D12823" t="s">
        <v>19017</v>
      </c>
      <c r="E12823" t="s">
        <v>30075</v>
      </c>
      <c r="F12823" t="s">
        <v>32831</v>
      </c>
      <c r="G12823" t="s">
        <v>32839</v>
      </c>
      <c r="H12823" t="s">
        <v>32848</v>
      </c>
      <c r="I12823" t="s">
        <v>32858</v>
      </c>
      <c r="J12823" t="s">
        <v>40830</v>
      </c>
      <c r="K12823" t="s">
        <v>42730</v>
      </c>
      <c r="M12823" t="s">
        <v>46397</v>
      </c>
      <c r="N12823" t="s">
        <v>47424</v>
      </c>
      <c r="O12823" t="s">
        <v>47425</v>
      </c>
      <c r="Q12823">
        <v>5</v>
      </c>
      <c r="R12823" t="s">
        <v>47440</v>
      </c>
      <c r="S12823" t="s">
        <v>48019</v>
      </c>
      <c r="T12823" t="s">
        <v>49159</v>
      </c>
      <c r="U12823" t="s">
        <v>57894</v>
      </c>
      <c r="W12823" t="s">
        <v>46397</v>
      </c>
      <c r="X12823" t="s">
        <v>47441</v>
      </c>
    </row>
    <row r="12824" spans="1:24">
      <c r="A12824">
        <f>HYPERLINK("https://www.philgeps.gov.ph/GEPSNONPILOT/Tender/SplashBidNoticeAbstractUI.aspx?menuIndex=3&amp;refID=7137680&amp;Result=3","7137680")</f>
        <v>0</v>
      </c>
      <c r="B12824" t="s">
        <v>2002</v>
      </c>
      <c r="C12824" t="s">
        <v>15997</v>
      </c>
      <c r="D12824" t="s">
        <v>19077</v>
      </c>
      <c r="E12824" t="s">
        <v>30076</v>
      </c>
      <c r="F12824" t="s">
        <v>32831</v>
      </c>
      <c r="G12824" t="s">
        <v>32839</v>
      </c>
      <c r="H12824" t="s">
        <v>32848</v>
      </c>
      <c r="I12824" t="s">
        <v>4558</v>
      </c>
      <c r="J12824" t="s">
        <v>40831</v>
      </c>
      <c r="K12824" t="s">
        <v>42727</v>
      </c>
      <c r="M12824" t="s">
        <v>45169</v>
      </c>
      <c r="N12824" t="s">
        <v>47424</v>
      </c>
      <c r="O12824" t="s">
        <v>47425</v>
      </c>
      <c r="P12824">
        <v>0</v>
      </c>
      <c r="Q12824">
        <v>6</v>
      </c>
      <c r="R12824" t="s">
        <v>47440</v>
      </c>
      <c r="S12824" t="s">
        <v>47963</v>
      </c>
      <c r="T12824" t="s">
        <v>49080</v>
      </c>
      <c r="U12824" t="s">
        <v>60193</v>
      </c>
      <c r="W12824" t="s">
        <v>45169</v>
      </c>
      <c r="X12824" t="s">
        <v>47441</v>
      </c>
    </row>
    <row r="12825" spans="1:24">
      <c r="A12825">
        <f>HYPERLINK("https://www.philgeps.gov.ph/GEPSNONPILOT/Tender/SplashBidNoticeAbstractUI.aspx?menuIndex=3&amp;refID=7137675&amp;Result=3","7137675")</f>
        <v>0</v>
      </c>
      <c r="B12825" t="s">
        <v>1934</v>
      </c>
      <c r="C12825" t="s">
        <v>15998</v>
      </c>
      <c r="D12825" t="s">
        <v>19057</v>
      </c>
      <c r="E12825" t="s">
        <v>30077</v>
      </c>
      <c r="F12825" t="s">
        <v>32831</v>
      </c>
      <c r="G12825" t="s">
        <v>32839</v>
      </c>
      <c r="H12825" t="s">
        <v>32849</v>
      </c>
      <c r="I12825" t="s">
        <v>4177</v>
      </c>
      <c r="J12825" t="s">
        <v>32978</v>
      </c>
      <c r="K12825" t="s">
        <v>42730</v>
      </c>
      <c r="M12825" t="s">
        <v>45087</v>
      </c>
      <c r="N12825" t="s">
        <v>47424</v>
      </c>
      <c r="O12825" t="s">
        <v>47425</v>
      </c>
      <c r="P12825">
        <v>0</v>
      </c>
      <c r="Q12825">
        <v>0</v>
      </c>
      <c r="R12825" t="s">
        <v>47440</v>
      </c>
      <c r="S12825" t="s">
        <v>47963</v>
      </c>
      <c r="T12825" t="s">
        <v>49163</v>
      </c>
      <c r="U12825" t="s">
        <v>60194</v>
      </c>
      <c r="V12825" t="s">
        <v>53471</v>
      </c>
      <c r="W12825" t="s">
        <v>45087</v>
      </c>
      <c r="X12825" t="s">
        <v>47441</v>
      </c>
    </row>
    <row r="12826" spans="1:24">
      <c r="A12826">
        <f>HYPERLINK("https://www.philgeps.gov.ph/GEPSNONPILOT/Tender/SplashBidNoticeAbstractUI.aspx?menuIndex=3&amp;refID=7137706&amp;Result=3","7137706")</f>
        <v>0</v>
      </c>
      <c r="B12826" t="s">
        <v>3630</v>
      </c>
      <c r="C12826" t="s">
        <v>15999</v>
      </c>
      <c r="D12826" t="s">
        <v>19047</v>
      </c>
      <c r="E12826" t="s">
        <v>30078</v>
      </c>
      <c r="F12826" t="s">
        <v>32831</v>
      </c>
      <c r="G12826" t="s">
        <v>32839</v>
      </c>
      <c r="H12826" t="s">
        <v>32848</v>
      </c>
      <c r="I12826" t="s">
        <v>10805</v>
      </c>
      <c r="J12826" t="s">
        <v>38005</v>
      </c>
      <c r="K12826" t="s">
        <v>42729</v>
      </c>
      <c r="M12826" t="s">
        <v>47000</v>
      </c>
      <c r="N12826" t="s">
        <v>47424</v>
      </c>
      <c r="O12826" t="s">
        <v>47425</v>
      </c>
      <c r="P12826">
        <v>0</v>
      </c>
      <c r="Q12826">
        <v>7</v>
      </c>
      <c r="R12826" t="s">
        <v>47440</v>
      </c>
      <c r="S12826" t="s">
        <v>47963</v>
      </c>
      <c r="T12826" t="s">
        <v>49169</v>
      </c>
      <c r="U12826" t="s">
        <v>60195</v>
      </c>
      <c r="V12826" t="s">
        <v>64055</v>
      </c>
      <c r="W12826" t="s">
        <v>47000</v>
      </c>
      <c r="X12826" t="s">
        <v>47441</v>
      </c>
    </row>
    <row r="12827" spans="1:24">
      <c r="A12827">
        <f>HYPERLINK("https://www.philgeps.gov.ph/GEPSNONPILOT/Tender/SplashBidNoticeAbstractUI.aspx?menuIndex=3&amp;refID=7137717&amp;Result=3","7137717")</f>
        <v>0</v>
      </c>
      <c r="B12827" t="s">
        <v>1295</v>
      </c>
      <c r="C12827" t="s">
        <v>16000</v>
      </c>
      <c r="D12827" t="s">
        <v>19054</v>
      </c>
      <c r="E12827" t="s">
        <v>30079</v>
      </c>
      <c r="F12827" t="s">
        <v>32831</v>
      </c>
      <c r="G12827" t="s">
        <v>32839</v>
      </c>
      <c r="H12827" t="s">
        <v>32848</v>
      </c>
      <c r="I12827" t="s">
        <v>4776</v>
      </c>
      <c r="J12827" t="s">
        <v>34915</v>
      </c>
      <c r="K12827" t="s">
        <v>42731</v>
      </c>
      <c r="M12827" t="s">
        <v>44365</v>
      </c>
      <c r="N12827" t="s">
        <v>47424</v>
      </c>
      <c r="O12827" t="s">
        <v>47425</v>
      </c>
      <c r="P12827">
        <v>0</v>
      </c>
      <c r="Q12827">
        <v>8</v>
      </c>
      <c r="R12827" t="s">
        <v>47440</v>
      </c>
      <c r="S12827" t="s">
        <v>47963</v>
      </c>
      <c r="T12827" t="s">
        <v>49066</v>
      </c>
      <c r="U12827" t="s">
        <v>52500</v>
      </c>
      <c r="W12827" t="s">
        <v>44365</v>
      </c>
      <c r="X12827" t="s">
        <v>47441</v>
      </c>
    </row>
    <row r="12828" spans="1:24">
      <c r="A12828">
        <f>HYPERLINK("https://www.philgeps.gov.ph/GEPSNONPILOT/Tender/SplashBidNoticeAbstractUI.aspx?menuIndex=3&amp;refID=7137661&amp;Result=3","7137661")</f>
        <v>0</v>
      </c>
      <c r="B12828" t="s">
        <v>2470</v>
      </c>
      <c r="C12828" t="s">
        <v>16001</v>
      </c>
      <c r="D12828" t="s">
        <v>19074</v>
      </c>
      <c r="E12828" t="s">
        <v>16001</v>
      </c>
      <c r="F12828" t="s">
        <v>32831</v>
      </c>
      <c r="G12828" t="s">
        <v>32839</v>
      </c>
      <c r="H12828" t="s">
        <v>32849</v>
      </c>
      <c r="I12828" t="s">
        <v>4177</v>
      </c>
      <c r="J12828" t="s">
        <v>33017</v>
      </c>
      <c r="K12828" t="s">
        <v>42770</v>
      </c>
      <c r="M12828" t="s">
        <v>45669</v>
      </c>
      <c r="N12828" t="s">
        <v>47424</v>
      </c>
      <c r="O12828" t="s">
        <v>47425</v>
      </c>
      <c r="P12828">
        <v>0</v>
      </c>
      <c r="Q12828">
        <v>0</v>
      </c>
      <c r="R12828" t="s">
        <v>47440</v>
      </c>
      <c r="S12828" t="s">
        <v>47963</v>
      </c>
      <c r="T12828" t="s">
        <v>49175</v>
      </c>
      <c r="U12828" t="s">
        <v>60196</v>
      </c>
      <c r="W12828" t="s">
        <v>45669</v>
      </c>
      <c r="X12828" t="s">
        <v>47441</v>
      </c>
    </row>
    <row r="12829" spans="1:24">
      <c r="A12829">
        <f>HYPERLINK("https://www.philgeps.gov.ph/GEPSNONPILOT/Tender/SplashBidNoticeAbstractUI.aspx?menuIndex=3&amp;refID=7137645&amp;Result=3","7137645")</f>
        <v>0</v>
      </c>
      <c r="B12829" t="s">
        <v>1934</v>
      </c>
      <c r="C12829" t="s">
        <v>16002</v>
      </c>
      <c r="D12829" t="s">
        <v>19057</v>
      </c>
      <c r="E12829" t="s">
        <v>30080</v>
      </c>
      <c r="F12829" t="s">
        <v>32831</v>
      </c>
      <c r="G12829" t="s">
        <v>32839</v>
      </c>
      <c r="H12829" t="s">
        <v>32849</v>
      </c>
      <c r="I12829" t="s">
        <v>4177</v>
      </c>
      <c r="J12829" t="s">
        <v>33083</v>
      </c>
      <c r="K12829" t="s">
        <v>42770</v>
      </c>
      <c r="M12829" t="s">
        <v>45087</v>
      </c>
      <c r="N12829" t="s">
        <v>47424</v>
      </c>
      <c r="O12829" t="s">
        <v>47425</v>
      </c>
      <c r="P12829">
        <v>0</v>
      </c>
      <c r="Q12829">
        <v>0</v>
      </c>
      <c r="R12829" t="s">
        <v>47440</v>
      </c>
      <c r="S12829" t="s">
        <v>47963</v>
      </c>
      <c r="T12829" t="s">
        <v>49163</v>
      </c>
      <c r="U12829" t="s">
        <v>60197</v>
      </c>
      <c r="V12829" t="s">
        <v>53471</v>
      </c>
      <c r="W12829" t="s">
        <v>45087</v>
      </c>
      <c r="X12829" t="s">
        <v>47441</v>
      </c>
    </row>
    <row r="12830" spans="1:24">
      <c r="A12830">
        <f>HYPERLINK("https://www.philgeps.gov.ph/GEPSNONPILOT/Tender/SplashBidNoticeAbstractUI.aspx?menuIndex=3&amp;refID=7137935&amp;Result=3","7137935")</f>
        <v>0</v>
      </c>
      <c r="B12830" t="s">
        <v>1118</v>
      </c>
      <c r="C12830" t="s">
        <v>15242</v>
      </c>
      <c r="D12830" t="s">
        <v>19060</v>
      </c>
      <c r="E12830" t="s">
        <v>30081</v>
      </c>
      <c r="F12830" t="s">
        <v>32831</v>
      </c>
      <c r="G12830" t="s">
        <v>32839</v>
      </c>
      <c r="H12830" t="s">
        <v>32848</v>
      </c>
      <c r="I12830" t="s">
        <v>7751</v>
      </c>
      <c r="J12830" t="s">
        <v>36606</v>
      </c>
      <c r="K12830" t="s">
        <v>42730</v>
      </c>
      <c r="M12830" t="s">
        <v>45853</v>
      </c>
      <c r="N12830" t="s">
        <v>47424</v>
      </c>
      <c r="O12830" t="s">
        <v>47425</v>
      </c>
      <c r="Q12830">
        <v>2</v>
      </c>
      <c r="R12830" t="s">
        <v>47440</v>
      </c>
      <c r="S12830" t="s">
        <v>48020</v>
      </c>
      <c r="T12830" t="s">
        <v>49338</v>
      </c>
      <c r="U12830" t="s">
        <v>57532</v>
      </c>
      <c r="V12830" t="s">
        <v>64056</v>
      </c>
      <c r="W12830" t="s">
        <v>45853</v>
      </c>
      <c r="X12830" t="s">
        <v>47441</v>
      </c>
    </row>
    <row r="12831" spans="1:24">
      <c r="A12831">
        <f>HYPERLINK("https://www.philgeps.gov.ph/GEPSNONPILOT/Tender/SplashBidNoticeAbstractUI.aspx?menuIndex=3&amp;refID=7137925&amp;Result=3","7137925")</f>
        <v>0</v>
      </c>
      <c r="B12831" t="s">
        <v>3631</v>
      </c>
      <c r="C12831" t="s">
        <v>16003</v>
      </c>
      <c r="D12831" t="s">
        <v>19027</v>
      </c>
      <c r="E12831" t="s">
        <v>30082</v>
      </c>
      <c r="F12831" t="s">
        <v>32831</v>
      </c>
      <c r="G12831" t="s">
        <v>32839</v>
      </c>
      <c r="H12831" t="s">
        <v>32848</v>
      </c>
      <c r="I12831" t="s">
        <v>9577</v>
      </c>
      <c r="J12831" t="s">
        <v>40832</v>
      </c>
      <c r="K12831" t="s">
        <v>42730</v>
      </c>
      <c r="M12831" t="s">
        <v>47001</v>
      </c>
      <c r="N12831" t="s">
        <v>47424</v>
      </c>
      <c r="O12831" t="s">
        <v>47425</v>
      </c>
      <c r="P12831">
        <v>0</v>
      </c>
      <c r="Q12831">
        <v>2</v>
      </c>
      <c r="R12831" t="s">
        <v>47440</v>
      </c>
      <c r="S12831" t="s">
        <v>47963</v>
      </c>
      <c r="T12831" t="s">
        <v>49066</v>
      </c>
      <c r="U12831" t="s">
        <v>60198</v>
      </c>
      <c r="W12831" t="s">
        <v>47001</v>
      </c>
      <c r="X12831" t="s">
        <v>47441</v>
      </c>
    </row>
    <row r="12832" spans="1:24">
      <c r="A12832">
        <f>HYPERLINK("https://www.philgeps.gov.ph/GEPSNONPILOT/Tender/SplashBidNoticeAbstractUI.aspx?menuIndex=3&amp;refID=7137911&amp;Result=3","7137911")</f>
        <v>0</v>
      </c>
      <c r="B12832" t="s">
        <v>3632</v>
      </c>
      <c r="C12832" t="s">
        <v>16004</v>
      </c>
      <c r="D12832" t="s">
        <v>19077</v>
      </c>
      <c r="E12832" t="s">
        <v>30083</v>
      </c>
      <c r="F12832" t="s">
        <v>32831</v>
      </c>
      <c r="G12832" t="s">
        <v>32845</v>
      </c>
      <c r="H12832" t="s">
        <v>32849</v>
      </c>
      <c r="I12832" t="s">
        <v>4177</v>
      </c>
      <c r="J12832" t="s">
        <v>40833</v>
      </c>
      <c r="K12832" t="s">
        <v>42728</v>
      </c>
      <c r="M12832" t="s">
        <v>47002</v>
      </c>
      <c r="N12832" t="s">
        <v>47424</v>
      </c>
      <c r="O12832" t="s">
        <v>47425</v>
      </c>
      <c r="P12832">
        <v>0</v>
      </c>
      <c r="Q12832">
        <v>0</v>
      </c>
      <c r="R12832" t="s">
        <v>47440</v>
      </c>
      <c r="S12832" t="s">
        <v>47963</v>
      </c>
      <c r="T12832" t="s">
        <v>49073</v>
      </c>
      <c r="U12832" t="s">
        <v>60199</v>
      </c>
      <c r="W12832" t="s">
        <v>47002</v>
      </c>
      <c r="X12832" t="s">
        <v>47441</v>
      </c>
    </row>
    <row r="12833" spans="1:24">
      <c r="A12833">
        <f>HYPERLINK("https://www.philgeps.gov.ph/GEPSNONPILOT/Tender/SplashBidNoticeAbstractUI.aspx?menuIndex=3&amp;refID=7137334&amp;Result=3","7137334")</f>
        <v>0</v>
      </c>
      <c r="B12833" t="s">
        <v>2693</v>
      </c>
      <c r="C12833" t="s">
        <v>16005</v>
      </c>
      <c r="D12833" t="s">
        <v>19034</v>
      </c>
      <c r="E12833" t="s">
        <v>30084</v>
      </c>
      <c r="F12833" t="s">
        <v>32831</v>
      </c>
      <c r="G12833" t="s">
        <v>32839</v>
      </c>
      <c r="H12833" t="s">
        <v>32849</v>
      </c>
      <c r="I12833" t="s">
        <v>4177</v>
      </c>
      <c r="J12833" t="s">
        <v>40834</v>
      </c>
      <c r="K12833" t="s">
        <v>42729</v>
      </c>
      <c r="M12833" t="s">
        <v>45917</v>
      </c>
      <c r="N12833" t="s">
        <v>47424</v>
      </c>
      <c r="O12833" t="s">
        <v>47425</v>
      </c>
      <c r="Q12833">
        <v>4</v>
      </c>
      <c r="R12833" t="s">
        <v>47440</v>
      </c>
      <c r="S12833" t="s">
        <v>48021</v>
      </c>
      <c r="T12833" t="s">
        <v>49073</v>
      </c>
      <c r="U12833" t="s">
        <v>60169</v>
      </c>
      <c r="W12833" t="s">
        <v>45917</v>
      </c>
      <c r="X12833" t="s">
        <v>47441</v>
      </c>
    </row>
    <row r="12834" spans="1:24">
      <c r="A12834">
        <f>HYPERLINK("https://www.philgeps.gov.ph/GEPSNONPILOT/Tender/SplashBidNoticeAbstractUI.aspx?menuIndex=3&amp;refID=7137891&amp;Result=3","7137891")</f>
        <v>0</v>
      </c>
      <c r="B12834" t="s">
        <v>3633</v>
      </c>
      <c r="C12834" t="s">
        <v>16006</v>
      </c>
      <c r="D12834" t="s">
        <v>19032</v>
      </c>
      <c r="E12834" t="s">
        <v>30085</v>
      </c>
      <c r="F12834" t="s">
        <v>32831</v>
      </c>
      <c r="G12834" t="s">
        <v>32839</v>
      </c>
      <c r="H12834" t="s">
        <v>32849</v>
      </c>
      <c r="I12834" t="s">
        <v>4177</v>
      </c>
      <c r="J12834" t="s">
        <v>40835</v>
      </c>
      <c r="K12834" t="s">
        <v>42794</v>
      </c>
      <c r="M12834" t="s">
        <v>47003</v>
      </c>
      <c r="N12834" t="s">
        <v>47424</v>
      </c>
      <c r="O12834" t="s">
        <v>47425</v>
      </c>
      <c r="P12834">
        <v>0</v>
      </c>
      <c r="Q12834">
        <v>0</v>
      </c>
      <c r="R12834" t="s">
        <v>47440</v>
      </c>
      <c r="S12834" t="s">
        <v>47963</v>
      </c>
      <c r="T12834" t="s">
        <v>49105</v>
      </c>
      <c r="U12834" t="s">
        <v>60200</v>
      </c>
      <c r="W12834" t="s">
        <v>47003</v>
      </c>
      <c r="X12834" t="s">
        <v>47441</v>
      </c>
    </row>
    <row r="12835" spans="1:24">
      <c r="A12835">
        <f>HYPERLINK("https://www.philgeps.gov.ph/GEPSNONPILOT/Tender/SplashBidNoticeAbstractUI.aspx?menuIndex=3&amp;refID=7137685&amp;Result=3","7137685")</f>
        <v>0</v>
      </c>
      <c r="B12835" t="s">
        <v>693</v>
      </c>
      <c r="C12835" t="s">
        <v>16007</v>
      </c>
      <c r="D12835" t="s">
        <v>19073</v>
      </c>
      <c r="E12835" t="s">
        <v>30086</v>
      </c>
      <c r="F12835" t="s">
        <v>32831</v>
      </c>
      <c r="G12835" t="s">
        <v>32839</v>
      </c>
      <c r="H12835" t="s">
        <v>32849</v>
      </c>
      <c r="I12835" t="s">
        <v>4177</v>
      </c>
      <c r="J12835" t="s">
        <v>34759</v>
      </c>
      <c r="K12835" t="s">
        <v>42830</v>
      </c>
      <c r="M12835" t="s">
        <v>44145</v>
      </c>
      <c r="N12835" t="s">
        <v>47424</v>
      </c>
      <c r="O12835" t="s">
        <v>47425</v>
      </c>
      <c r="P12835">
        <v>0</v>
      </c>
      <c r="Q12835">
        <v>1</v>
      </c>
      <c r="R12835" t="s">
        <v>47440</v>
      </c>
      <c r="S12835" t="s">
        <v>47963</v>
      </c>
      <c r="T12835" t="s">
        <v>49196</v>
      </c>
      <c r="U12835" t="s">
        <v>60201</v>
      </c>
      <c r="V12835" t="s">
        <v>64057</v>
      </c>
      <c r="W12835" t="s">
        <v>64457</v>
      </c>
      <c r="X12835" t="s">
        <v>47441</v>
      </c>
    </row>
    <row r="12836" spans="1:24">
      <c r="A12836">
        <f>HYPERLINK("https://www.philgeps.gov.ph/GEPSNONPILOT/Tender/SplashBidNoticeAbstractUI.aspx?menuIndex=3&amp;refID=7137559&amp;Result=3","7137559")</f>
        <v>0</v>
      </c>
      <c r="B12836" t="s">
        <v>1934</v>
      </c>
      <c r="C12836" t="s">
        <v>16008</v>
      </c>
      <c r="D12836" t="s">
        <v>19057</v>
      </c>
      <c r="E12836" t="s">
        <v>30087</v>
      </c>
      <c r="F12836" t="s">
        <v>32831</v>
      </c>
      <c r="G12836" t="s">
        <v>32839</v>
      </c>
      <c r="H12836" t="s">
        <v>32849</v>
      </c>
      <c r="I12836" t="s">
        <v>4177</v>
      </c>
      <c r="J12836" t="s">
        <v>33055</v>
      </c>
      <c r="K12836" t="s">
        <v>42729</v>
      </c>
      <c r="M12836" t="s">
        <v>45087</v>
      </c>
      <c r="N12836" t="s">
        <v>47424</v>
      </c>
      <c r="O12836" t="s">
        <v>47425</v>
      </c>
      <c r="P12836">
        <v>0</v>
      </c>
      <c r="Q12836">
        <v>0</v>
      </c>
      <c r="R12836" t="s">
        <v>47440</v>
      </c>
      <c r="S12836" t="s">
        <v>47963</v>
      </c>
      <c r="T12836" t="s">
        <v>49163</v>
      </c>
      <c r="U12836" t="s">
        <v>60174</v>
      </c>
      <c r="V12836" t="s">
        <v>53471</v>
      </c>
      <c r="W12836" t="s">
        <v>45087</v>
      </c>
      <c r="X12836" t="s">
        <v>47441</v>
      </c>
    </row>
    <row r="12837" spans="1:24">
      <c r="A12837">
        <f>HYPERLINK("https://www.philgeps.gov.ph/GEPSNONPILOT/Tender/SplashBidNoticeAbstractUI.aspx?menuIndex=3&amp;refID=7137648&amp;Result=3","7137648")</f>
        <v>0</v>
      </c>
      <c r="B12837" t="s">
        <v>3634</v>
      </c>
      <c r="C12837" t="s">
        <v>16009</v>
      </c>
      <c r="D12837" t="s">
        <v>19017</v>
      </c>
      <c r="E12837" t="s">
        <v>30088</v>
      </c>
      <c r="F12837" t="s">
        <v>32832</v>
      </c>
      <c r="G12837" t="s">
        <v>32839</v>
      </c>
      <c r="H12837" t="s">
        <v>32848</v>
      </c>
      <c r="I12837" t="s">
        <v>4438</v>
      </c>
      <c r="J12837" t="s">
        <v>32983</v>
      </c>
      <c r="K12837" t="s">
        <v>42726</v>
      </c>
      <c r="M12837" t="s">
        <v>47004</v>
      </c>
      <c r="N12837" t="s">
        <v>47424</v>
      </c>
      <c r="O12837" t="s">
        <v>47425</v>
      </c>
      <c r="P12837">
        <v>0</v>
      </c>
      <c r="Q12837">
        <v>2</v>
      </c>
      <c r="R12837" t="s">
        <v>47440</v>
      </c>
      <c r="S12837" t="s">
        <v>47963</v>
      </c>
      <c r="T12837" t="s">
        <v>49111</v>
      </c>
      <c r="U12837" t="s">
        <v>60202</v>
      </c>
      <c r="W12837" t="s">
        <v>47004</v>
      </c>
      <c r="X12837" t="s">
        <v>47441</v>
      </c>
    </row>
    <row r="12838" spans="1:24">
      <c r="A12838">
        <f>HYPERLINK("https://www.philgeps.gov.ph/GEPSNONPILOT/Tender/SplashBidNoticeAbstractUI.aspx?menuIndex=3&amp;refID=7137816&amp;Result=3","7137816")</f>
        <v>0</v>
      </c>
      <c r="B12838" t="s">
        <v>2756</v>
      </c>
      <c r="C12838" t="s">
        <v>16010</v>
      </c>
      <c r="D12838" t="s">
        <v>19077</v>
      </c>
      <c r="E12838" t="s">
        <v>30089</v>
      </c>
      <c r="F12838" t="s">
        <v>32831</v>
      </c>
      <c r="G12838" t="s">
        <v>32839</v>
      </c>
      <c r="H12838" t="s">
        <v>32849</v>
      </c>
      <c r="I12838" t="s">
        <v>4177</v>
      </c>
      <c r="J12838" t="s">
        <v>40836</v>
      </c>
      <c r="K12838" t="s">
        <v>42732</v>
      </c>
      <c r="M12838" t="s">
        <v>45985</v>
      </c>
      <c r="N12838" t="s">
        <v>47424</v>
      </c>
      <c r="O12838" t="s">
        <v>47425</v>
      </c>
      <c r="P12838">
        <v>0</v>
      </c>
      <c r="Q12838">
        <v>0</v>
      </c>
      <c r="R12838" t="s">
        <v>47440</v>
      </c>
      <c r="S12838" t="s">
        <v>47963</v>
      </c>
      <c r="T12838" t="s">
        <v>49057</v>
      </c>
      <c r="U12838" t="s">
        <v>60203</v>
      </c>
      <c r="W12838" t="s">
        <v>45985</v>
      </c>
      <c r="X12838" t="s">
        <v>47441</v>
      </c>
    </row>
    <row r="12839" spans="1:24">
      <c r="A12839">
        <f>HYPERLINK("https://www.philgeps.gov.ph/GEPSNONPILOT/Tender/SplashBidNoticeAbstractUI.aspx?menuIndex=3&amp;refID=7137863&amp;Result=3","7137863")</f>
        <v>0</v>
      </c>
      <c r="B12839" t="s">
        <v>3632</v>
      </c>
      <c r="C12839" t="s">
        <v>16011</v>
      </c>
      <c r="D12839" t="s">
        <v>19077</v>
      </c>
      <c r="E12839" t="s">
        <v>30090</v>
      </c>
      <c r="F12839" t="s">
        <v>32831</v>
      </c>
      <c r="G12839" t="s">
        <v>32845</v>
      </c>
      <c r="H12839" t="s">
        <v>32849</v>
      </c>
      <c r="I12839" t="s">
        <v>4177</v>
      </c>
      <c r="J12839" t="s">
        <v>40837</v>
      </c>
      <c r="K12839" t="s">
        <v>42770</v>
      </c>
      <c r="M12839" t="s">
        <v>47002</v>
      </c>
      <c r="N12839" t="s">
        <v>47424</v>
      </c>
      <c r="O12839" t="s">
        <v>47425</v>
      </c>
      <c r="P12839">
        <v>0</v>
      </c>
      <c r="Q12839">
        <v>1</v>
      </c>
      <c r="R12839" t="s">
        <v>47440</v>
      </c>
      <c r="S12839" t="s">
        <v>47963</v>
      </c>
      <c r="T12839" t="s">
        <v>49073</v>
      </c>
      <c r="U12839" t="s">
        <v>60204</v>
      </c>
      <c r="W12839" t="s">
        <v>47002</v>
      </c>
      <c r="X12839" t="s">
        <v>47441</v>
      </c>
    </row>
    <row r="12840" spans="1:24">
      <c r="A12840">
        <f>HYPERLINK("https://www.philgeps.gov.ph/GEPSNONPILOT/Tender/SplashBidNoticeAbstractUI.aspx?menuIndex=3&amp;refID=7137867&amp;Result=3","7137867")</f>
        <v>0</v>
      </c>
      <c r="B12840" t="s">
        <v>2438</v>
      </c>
      <c r="C12840" t="s">
        <v>6330</v>
      </c>
      <c r="D12840" t="s">
        <v>19045</v>
      </c>
      <c r="E12840" t="s">
        <v>19219</v>
      </c>
      <c r="F12840" t="s">
        <v>32831</v>
      </c>
      <c r="G12840" t="s">
        <v>32839</v>
      </c>
      <c r="H12840" t="s">
        <v>32849</v>
      </c>
      <c r="I12840" t="s">
        <v>4177</v>
      </c>
      <c r="J12840" t="s">
        <v>40838</v>
      </c>
      <c r="K12840" t="s">
        <v>42748</v>
      </c>
      <c r="M12840" t="s">
        <v>45635</v>
      </c>
      <c r="N12840" t="s">
        <v>47424</v>
      </c>
      <c r="O12840" t="s">
        <v>47425</v>
      </c>
      <c r="P12840">
        <v>0</v>
      </c>
      <c r="Q12840">
        <v>0</v>
      </c>
      <c r="R12840" t="s">
        <v>47440</v>
      </c>
      <c r="S12840" t="s">
        <v>47963</v>
      </c>
      <c r="T12840" t="s">
        <v>49251</v>
      </c>
      <c r="U12840" t="s">
        <v>60205</v>
      </c>
      <c r="W12840" t="s">
        <v>45635</v>
      </c>
      <c r="X12840" t="s">
        <v>47441</v>
      </c>
    </row>
    <row r="12841" spans="1:24">
      <c r="A12841">
        <f>HYPERLINK("https://www.philgeps.gov.ph/GEPSNONPILOT/Tender/SplashBidNoticeAbstractUI.aspx?menuIndex=3&amp;refID=7137830&amp;Result=3","7137830")</f>
        <v>0</v>
      </c>
      <c r="B12841" t="s">
        <v>2423</v>
      </c>
      <c r="C12841" t="s">
        <v>5218</v>
      </c>
      <c r="D12841" t="s">
        <v>19047</v>
      </c>
      <c r="E12841" t="s">
        <v>20202</v>
      </c>
      <c r="F12841" t="s">
        <v>32831</v>
      </c>
      <c r="G12841" t="s">
        <v>32839</v>
      </c>
      <c r="H12841" t="s">
        <v>32849</v>
      </c>
      <c r="I12841" t="s">
        <v>4177</v>
      </c>
      <c r="J12841" t="s">
        <v>40839</v>
      </c>
      <c r="K12841" t="s">
        <v>42747</v>
      </c>
      <c r="M12841" t="s">
        <v>45619</v>
      </c>
      <c r="N12841" t="s">
        <v>47424</v>
      </c>
      <c r="O12841" t="s">
        <v>47425</v>
      </c>
      <c r="P12841">
        <v>0</v>
      </c>
      <c r="Q12841">
        <v>1</v>
      </c>
      <c r="R12841" t="s">
        <v>47440</v>
      </c>
      <c r="S12841" t="s">
        <v>47963</v>
      </c>
      <c r="T12841" t="s">
        <v>49064</v>
      </c>
      <c r="U12841" t="s">
        <v>60206</v>
      </c>
      <c r="W12841" t="s">
        <v>45619</v>
      </c>
      <c r="X12841" t="s">
        <v>47441</v>
      </c>
    </row>
    <row r="12842" spans="1:24">
      <c r="A12842">
        <f>HYPERLINK("https://www.philgeps.gov.ph/GEPSNONPILOT/Tender/SplashBidNoticeAbstractUI.aspx?menuIndex=3&amp;refID=7137820&amp;Result=3","7137820")</f>
        <v>0</v>
      </c>
      <c r="B12842" t="s">
        <v>2678</v>
      </c>
      <c r="C12842" t="s">
        <v>16012</v>
      </c>
      <c r="D12842" t="s">
        <v>19041</v>
      </c>
      <c r="E12842" t="s">
        <v>30091</v>
      </c>
      <c r="F12842" t="s">
        <v>32831</v>
      </c>
      <c r="G12842" t="s">
        <v>32839</v>
      </c>
      <c r="H12842" t="s">
        <v>32849</v>
      </c>
      <c r="I12842" t="s">
        <v>4177</v>
      </c>
      <c r="J12842" t="s">
        <v>39848</v>
      </c>
      <c r="K12842" t="s">
        <v>42862</v>
      </c>
      <c r="M12842" t="s">
        <v>45901</v>
      </c>
      <c r="N12842" t="s">
        <v>47424</v>
      </c>
      <c r="O12842" t="s">
        <v>47425</v>
      </c>
      <c r="P12842">
        <v>0</v>
      </c>
      <c r="Q12842">
        <v>0</v>
      </c>
      <c r="R12842" t="s">
        <v>47440</v>
      </c>
      <c r="S12842" t="s">
        <v>47963</v>
      </c>
      <c r="T12842" t="s">
        <v>49080</v>
      </c>
      <c r="U12842" t="s">
        <v>60207</v>
      </c>
      <c r="V12842" t="s">
        <v>64058</v>
      </c>
      <c r="W12842" t="s">
        <v>45901</v>
      </c>
      <c r="X12842" t="s">
        <v>47441</v>
      </c>
    </row>
    <row r="12843" spans="1:24">
      <c r="A12843">
        <f>HYPERLINK("https://www.philgeps.gov.ph/GEPSNONPILOT/Tender/SplashBidNoticeAbstractUI.aspx?menuIndex=3&amp;refID=7138020&amp;Result=3","7138020")</f>
        <v>0</v>
      </c>
      <c r="B12843" t="s">
        <v>3635</v>
      </c>
      <c r="C12843" t="s">
        <v>7441</v>
      </c>
      <c r="D12843" t="s">
        <v>19045</v>
      </c>
      <c r="E12843" t="s">
        <v>30092</v>
      </c>
      <c r="F12843" t="s">
        <v>32831</v>
      </c>
      <c r="G12843" t="s">
        <v>32839</v>
      </c>
      <c r="H12843" t="s">
        <v>32849</v>
      </c>
      <c r="I12843" t="s">
        <v>4177</v>
      </c>
      <c r="J12843" t="s">
        <v>40840</v>
      </c>
      <c r="K12843" t="s">
        <v>42747</v>
      </c>
      <c r="M12843" t="s">
        <v>47005</v>
      </c>
      <c r="N12843" t="s">
        <v>47424</v>
      </c>
      <c r="O12843" t="s">
        <v>47425</v>
      </c>
      <c r="P12843">
        <v>0</v>
      </c>
      <c r="Q12843">
        <v>2</v>
      </c>
      <c r="R12843" t="s">
        <v>47440</v>
      </c>
      <c r="S12843" t="s">
        <v>47963</v>
      </c>
      <c r="T12843" t="s">
        <v>49066</v>
      </c>
      <c r="U12843" t="s">
        <v>60208</v>
      </c>
      <c r="V12843" t="s">
        <v>62846</v>
      </c>
      <c r="W12843" t="s">
        <v>47005</v>
      </c>
      <c r="X12843" t="s">
        <v>47441</v>
      </c>
    </row>
    <row r="12844" spans="1:24">
      <c r="A12844">
        <f>HYPERLINK("https://www.philgeps.gov.ph/GEPSNONPILOT/Tender/SplashBidNoticeAbstractUI.aspx?menuIndex=3&amp;refID=7137926&amp;Result=3","7137926")</f>
        <v>0</v>
      </c>
      <c r="B12844" t="s">
        <v>3636</v>
      </c>
      <c r="C12844" t="s">
        <v>16013</v>
      </c>
      <c r="D12844" t="s">
        <v>19056</v>
      </c>
      <c r="E12844" t="s">
        <v>30093</v>
      </c>
      <c r="F12844" t="s">
        <v>32831</v>
      </c>
      <c r="G12844" t="s">
        <v>32839</v>
      </c>
      <c r="H12844" t="s">
        <v>32848</v>
      </c>
      <c r="I12844" t="s">
        <v>32874</v>
      </c>
      <c r="J12844" t="s">
        <v>36855</v>
      </c>
      <c r="K12844" t="s">
        <v>42729</v>
      </c>
      <c r="M12844" t="s">
        <v>47006</v>
      </c>
      <c r="N12844" t="s">
        <v>47424</v>
      </c>
      <c r="O12844" t="s">
        <v>47425</v>
      </c>
      <c r="P12844">
        <v>0</v>
      </c>
      <c r="Q12844">
        <v>31</v>
      </c>
      <c r="R12844" t="s">
        <v>47440</v>
      </c>
      <c r="S12844" t="s">
        <v>47963</v>
      </c>
      <c r="T12844" t="s">
        <v>49108</v>
      </c>
      <c r="U12844" t="s">
        <v>60209</v>
      </c>
      <c r="W12844" t="s">
        <v>47006</v>
      </c>
      <c r="X12844" t="s">
        <v>47441</v>
      </c>
    </row>
    <row r="12845" spans="1:24">
      <c r="A12845">
        <f>HYPERLINK("https://www.philgeps.gov.ph/GEPSNONPILOT/Tender/SplashBidNoticeAbstractUI.aspx?menuIndex=3&amp;refID=7137986&amp;Result=3","7137986")</f>
        <v>0</v>
      </c>
      <c r="B12845" t="s">
        <v>3637</v>
      </c>
      <c r="C12845" t="s">
        <v>16014</v>
      </c>
      <c r="D12845" t="s">
        <v>19047</v>
      </c>
      <c r="E12845" t="s">
        <v>30094</v>
      </c>
      <c r="F12845" t="s">
        <v>32831</v>
      </c>
      <c r="G12845" t="s">
        <v>32839</v>
      </c>
      <c r="H12845" t="s">
        <v>14069</v>
      </c>
      <c r="I12845" t="s">
        <v>14069</v>
      </c>
      <c r="J12845" t="s">
        <v>38621</v>
      </c>
      <c r="K12845" t="s">
        <v>42877</v>
      </c>
      <c r="M12845" t="s">
        <v>47007</v>
      </c>
      <c r="N12845" t="s">
        <v>47424</v>
      </c>
      <c r="O12845" t="s">
        <v>47425</v>
      </c>
      <c r="P12845">
        <v>0</v>
      </c>
      <c r="Q12845">
        <v>4</v>
      </c>
      <c r="R12845" t="s">
        <v>47440</v>
      </c>
      <c r="S12845" t="s">
        <v>47963</v>
      </c>
      <c r="T12845" t="s">
        <v>49192</v>
      </c>
      <c r="U12845" t="s">
        <v>60210</v>
      </c>
      <c r="V12845" t="s">
        <v>64059</v>
      </c>
      <c r="W12845" t="s">
        <v>47007</v>
      </c>
      <c r="X12845" t="s">
        <v>47441</v>
      </c>
    </row>
    <row r="12846" spans="1:24">
      <c r="A12846">
        <f>HYPERLINK("https://www.philgeps.gov.ph/GEPSNONPILOT/Tender/SplashBidNoticeAbstractUI.aspx?menuIndex=3&amp;refID=7138013&amp;Result=3","7138013")</f>
        <v>0</v>
      </c>
      <c r="B12846" t="s">
        <v>3264</v>
      </c>
      <c r="C12846" t="s">
        <v>16015</v>
      </c>
      <c r="D12846" t="s">
        <v>19045</v>
      </c>
      <c r="E12846" t="s">
        <v>30095</v>
      </c>
      <c r="F12846" t="s">
        <v>32831</v>
      </c>
      <c r="G12846" t="s">
        <v>32841</v>
      </c>
      <c r="H12846" t="s">
        <v>32848</v>
      </c>
      <c r="I12846" t="s">
        <v>4776</v>
      </c>
      <c r="J12846" t="s">
        <v>40841</v>
      </c>
      <c r="K12846" t="s">
        <v>42729</v>
      </c>
      <c r="M12846" t="s">
        <v>46581</v>
      </c>
      <c r="N12846" t="s">
        <v>47424</v>
      </c>
      <c r="O12846" t="s">
        <v>47425</v>
      </c>
      <c r="P12846">
        <v>0</v>
      </c>
      <c r="Q12846">
        <v>3</v>
      </c>
      <c r="R12846" t="s">
        <v>47440</v>
      </c>
      <c r="S12846" t="s">
        <v>47963</v>
      </c>
      <c r="T12846" t="s">
        <v>49105</v>
      </c>
      <c r="U12846" t="s">
        <v>60211</v>
      </c>
      <c r="W12846" t="s">
        <v>46581</v>
      </c>
      <c r="X12846" t="s">
        <v>47441</v>
      </c>
    </row>
    <row r="12847" spans="1:24">
      <c r="A12847">
        <f>HYPERLINK("https://www.philgeps.gov.ph/GEPSNONPILOT/Tender/SplashBidNoticeAbstractUI.aspx?menuIndex=3&amp;refID=7138012&amp;Result=3","7138012")</f>
        <v>0</v>
      </c>
      <c r="B12847" t="s">
        <v>960</v>
      </c>
      <c r="C12847" t="s">
        <v>16016</v>
      </c>
      <c r="D12847" t="s">
        <v>19017</v>
      </c>
      <c r="E12847" t="s">
        <v>30096</v>
      </c>
      <c r="F12847" t="s">
        <v>32831</v>
      </c>
      <c r="G12847" t="s">
        <v>32839</v>
      </c>
      <c r="H12847" t="s">
        <v>32848</v>
      </c>
      <c r="I12847" t="s">
        <v>32863</v>
      </c>
      <c r="J12847" t="s">
        <v>40842</v>
      </c>
      <c r="K12847" t="s">
        <v>42763</v>
      </c>
      <c r="M12847" t="s">
        <v>44006</v>
      </c>
      <c r="N12847" t="s">
        <v>47424</v>
      </c>
      <c r="O12847" t="s">
        <v>47425</v>
      </c>
      <c r="P12847">
        <v>0</v>
      </c>
      <c r="Q12847">
        <v>1</v>
      </c>
      <c r="R12847" t="s">
        <v>47440</v>
      </c>
      <c r="S12847" t="s">
        <v>47963</v>
      </c>
      <c r="T12847" t="s">
        <v>49148</v>
      </c>
      <c r="U12847" t="s">
        <v>51492</v>
      </c>
      <c r="W12847" t="s">
        <v>44006</v>
      </c>
      <c r="X12847" t="s">
        <v>47441</v>
      </c>
    </row>
    <row r="12848" spans="1:24">
      <c r="A12848">
        <f>HYPERLINK("https://www.philgeps.gov.ph/GEPSNONPILOT/Tender/SplashBidNoticeAbstractUI.aspx?menuIndex=3&amp;refID=7137996&amp;Result=3","7137996")</f>
        <v>0</v>
      </c>
      <c r="B12848" t="s">
        <v>959</v>
      </c>
      <c r="C12848" t="s">
        <v>16017</v>
      </c>
      <c r="D12848" t="s">
        <v>19078</v>
      </c>
      <c r="E12848" t="s">
        <v>30097</v>
      </c>
      <c r="F12848" t="s">
        <v>32831</v>
      </c>
      <c r="G12848" t="s">
        <v>32839</v>
      </c>
      <c r="H12848" t="s">
        <v>32849</v>
      </c>
      <c r="I12848" t="s">
        <v>4177</v>
      </c>
      <c r="J12848" t="s">
        <v>40843</v>
      </c>
      <c r="K12848" t="s">
        <v>42788</v>
      </c>
      <c r="M12848" t="s">
        <v>44005</v>
      </c>
      <c r="N12848" t="s">
        <v>47424</v>
      </c>
      <c r="O12848" t="s">
        <v>47425</v>
      </c>
      <c r="P12848">
        <v>0</v>
      </c>
      <c r="Q12848">
        <v>2</v>
      </c>
      <c r="R12848" t="s">
        <v>47440</v>
      </c>
      <c r="S12848" t="s">
        <v>47963</v>
      </c>
      <c r="T12848" t="s">
        <v>49059</v>
      </c>
      <c r="U12848" t="s">
        <v>60212</v>
      </c>
      <c r="W12848" t="s">
        <v>44005</v>
      </c>
      <c r="X12848" t="s">
        <v>47441</v>
      </c>
    </row>
    <row r="12849" spans="1:24">
      <c r="A12849">
        <f>HYPERLINK("https://www.philgeps.gov.ph/GEPSNONPILOT/Tender/SplashBidNoticeAbstractUI.aspx?menuIndex=3&amp;refID=7137991&amp;Result=3","7137991")</f>
        <v>0</v>
      </c>
      <c r="B12849" t="s">
        <v>3636</v>
      </c>
      <c r="C12849" t="s">
        <v>16018</v>
      </c>
      <c r="D12849" t="s">
        <v>19056</v>
      </c>
      <c r="E12849" t="s">
        <v>30098</v>
      </c>
      <c r="F12849" t="s">
        <v>32831</v>
      </c>
      <c r="G12849" t="s">
        <v>32839</v>
      </c>
      <c r="H12849" t="s">
        <v>32848</v>
      </c>
      <c r="I12849" t="s">
        <v>32874</v>
      </c>
      <c r="J12849" t="s">
        <v>40844</v>
      </c>
      <c r="K12849" t="s">
        <v>42729</v>
      </c>
      <c r="M12849" t="s">
        <v>47006</v>
      </c>
      <c r="N12849" t="s">
        <v>47424</v>
      </c>
      <c r="O12849" t="s">
        <v>47425</v>
      </c>
      <c r="P12849">
        <v>0</v>
      </c>
      <c r="Q12849">
        <v>50</v>
      </c>
      <c r="R12849" t="s">
        <v>47440</v>
      </c>
      <c r="S12849" t="s">
        <v>47963</v>
      </c>
      <c r="T12849" t="s">
        <v>49108</v>
      </c>
      <c r="U12849" t="s">
        <v>60209</v>
      </c>
      <c r="W12849" t="s">
        <v>47006</v>
      </c>
      <c r="X12849" t="s">
        <v>47441</v>
      </c>
    </row>
    <row r="12850" spans="1:24">
      <c r="A12850">
        <f>HYPERLINK("https://www.philgeps.gov.ph/GEPSNONPILOT/Tender/SplashBidNoticeAbstractUI.aspx?menuIndex=3&amp;refID=7138018&amp;Result=3","7138018")</f>
        <v>0</v>
      </c>
      <c r="B12850" t="s">
        <v>832</v>
      </c>
      <c r="C12850" t="s">
        <v>16019</v>
      </c>
      <c r="D12850" t="s">
        <v>19101</v>
      </c>
      <c r="E12850" t="s">
        <v>30099</v>
      </c>
      <c r="F12850" t="s">
        <v>32831</v>
      </c>
      <c r="G12850" t="s">
        <v>32839</v>
      </c>
      <c r="H12850" t="s">
        <v>32848</v>
      </c>
      <c r="I12850" t="s">
        <v>32925</v>
      </c>
      <c r="J12850" t="s">
        <v>40845</v>
      </c>
      <c r="K12850" t="s">
        <v>42729</v>
      </c>
      <c r="M12850" t="s">
        <v>44445</v>
      </c>
      <c r="N12850" t="s">
        <v>47424</v>
      </c>
      <c r="O12850" t="s">
        <v>47425</v>
      </c>
      <c r="Q12850">
        <v>4</v>
      </c>
      <c r="R12850" t="s">
        <v>47440</v>
      </c>
      <c r="S12850" t="s">
        <v>47823</v>
      </c>
      <c r="T12850" t="s">
        <v>49171</v>
      </c>
      <c r="U12850" t="s">
        <v>60213</v>
      </c>
      <c r="V12850" t="s">
        <v>63231</v>
      </c>
      <c r="W12850" t="s">
        <v>44445</v>
      </c>
      <c r="X12850" t="s">
        <v>47441</v>
      </c>
    </row>
    <row r="12851" spans="1:24">
      <c r="A12851">
        <f>HYPERLINK("https://www.philgeps.gov.ph/GEPSNONPILOT/Tender/SplashBidNoticeAbstractUI.aspx?menuIndex=3&amp;refID=7137979&amp;Result=3","7137979")</f>
        <v>0</v>
      </c>
      <c r="B12851" t="s">
        <v>3130</v>
      </c>
      <c r="C12851" t="s">
        <v>16020</v>
      </c>
      <c r="D12851" t="s">
        <v>19037</v>
      </c>
      <c r="E12851" t="s">
        <v>30100</v>
      </c>
      <c r="F12851" t="s">
        <v>32837</v>
      </c>
      <c r="G12851" t="s">
        <v>32844</v>
      </c>
      <c r="H12851" t="s">
        <v>14069</v>
      </c>
      <c r="I12851" t="s">
        <v>14069</v>
      </c>
      <c r="J12851" t="s">
        <v>33090</v>
      </c>
      <c r="K12851" t="s">
        <v>42774</v>
      </c>
      <c r="M12851" t="s">
        <v>46425</v>
      </c>
      <c r="N12851" t="s">
        <v>47424</v>
      </c>
      <c r="O12851" t="s">
        <v>47425</v>
      </c>
      <c r="P12851">
        <v>0</v>
      </c>
      <c r="Q12851">
        <v>1</v>
      </c>
      <c r="R12851" t="s">
        <v>47440</v>
      </c>
      <c r="S12851" t="s">
        <v>47963</v>
      </c>
      <c r="T12851" t="s">
        <v>49163</v>
      </c>
      <c r="U12851" t="s">
        <v>60214</v>
      </c>
      <c r="W12851" t="s">
        <v>46425</v>
      </c>
      <c r="X12851" t="s">
        <v>47441</v>
      </c>
    </row>
    <row r="12852" spans="1:24">
      <c r="A12852">
        <f>HYPERLINK("https://www.philgeps.gov.ph/GEPSNONPILOT/Tender/SplashBidNoticeAbstractUI.aspx?menuIndex=3&amp;refID=7137398&amp;Result=3","7137398")</f>
        <v>0</v>
      </c>
      <c r="B12852" t="s">
        <v>1927</v>
      </c>
      <c r="C12852" t="s">
        <v>16021</v>
      </c>
      <c r="D12852" t="s">
        <v>19018</v>
      </c>
      <c r="E12852" t="s">
        <v>30101</v>
      </c>
      <c r="F12852" t="s">
        <v>32831</v>
      </c>
      <c r="G12852" t="s">
        <v>32839</v>
      </c>
      <c r="H12852" t="s">
        <v>32849</v>
      </c>
      <c r="I12852" t="s">
        <v>4177</v>
      </c>
      <c r="J12852" t="s">
        <v>33066</v>
      </c>
      <c r="K12852" t="s">
        <v>42732</v>
      </c>
      <c r="L12852" t="s">
        <v>1927</v>
      </c>
      <c r="M12852" t="s">
        <v>46156</v>
      </c>
      <c r="N12852" t="s">
        <v>47424</v>
      </c>
      <c r="O12852" t="s">
        <v>47425</v>
      </c>
      <c r="P12852">
        <v>0</v>
      </c>
      <c r="Q12852">
        <v>0</v>
      </c>
      <c r="R12852" t="s">
        <v>47440</v>
      </c>
      <c r="S12852" t="s">
        <v>47963</v>
      </c>
      <c r="T12852" t="s">
        <v>49080</v>
      </c>
      <c r="U12852" t="s">
        <v>60161</v>
      </c>
      <c r="V12852" t="s">
        <v>63616</v>
      </c>
      <c r="W12852" t="s">
        <v>46156</v>
      </c>
      <c r="X12852" t="s">
        <v>47441</v>
      </c>
    </row>
    <row r="12853" spans="1:24">
      <c r="A12853">
        <f>HYPERLINK("https://www.philgeps.gov.ph/GEPSNONPILOT/Tender/SplashBidNoticeAbstractUI.aspx?menuIndex=3&amp;refID=7137967&amp;Result=3","7137967")</f>
        <v>0</v>
      </c>
      <c r="B12853" t="s">
        <v>3631</v>
      </c>
      <c r="C12853" t="s">
        <v>16022</v>
      </c>
      <c r="D12853" t="s">
        <v>19027</v>
      </c>
      <c r="E12853" t="s">
        <v>30102</v>
      </c>
      <c r="F12853" t="s">
        <v>32831</v>
      </c>
      <c r="G12853" t="s">
        <v>32839</v>
      </c>
      <c r="H12853" t="s">
        <v>32848</v>
      </c>
      <c r="I12853" t="s">
        <v>9577</v>
      </c>
      <c r="J12853" t="s">
        <v>36207</v>
      </c>
      <c r="K12853" t="s">
        <v>42730</v>
      </c>
      <c r="M12853" t="s">
        <v>47001</v>
      </c>
      <c r="N12853" t="s">
        <v>47424</v>
      </c>
      <c r="O12853" t="s">
        <v>47425</v>
      </c>
      <c r="P12853">
        <v>0</v>
      </c>
      <c r="Q12853">
        <v>1</v>
      </c>
      <c r="R12853" t="s">
        <v>47440</v>
      </c>
      <c r="S12853" t="s">
        <v>47963</v>
      </c>
      <c r="T12853" t="s">
        <v>49066</v>
      </c>
      <c r="U12853" t="s">
        <v>60215</v>
      </c>
      <c r="W12853" t="s">
        <v>47001</v>
      </c>
      <c r="X12853" t="s">
        <v>47441</v>
      </c>
    </row>
    <row r="12854" spans="1:24">
      <c r="A12854">
        <f>HYPERLINK("https://www.philgeps.gov.ph/GEPSNONPILOT/Tender/SplashBidNoticeAbstractUI.aspx?menuIndex=3&amp;refID=7137990&amp;Result=3","7137990")</f>
        <v>0</v>
      </c>
      <c r="B12854" t="s">
        <v>832</v>
      </c>
      <c r="C12854" t="s">
        <v>16023</v>
      </c>
      <c r="D12854" t="s">
        <v>19101</v>
      </c>
      <c r="E12854" t="s">
        <v>30103</v>
      </c>
      <c r="F12854" t="s">
        <v>32831</v>
      </c>
      <c r="G12854" t="s">
        <v>32839</v>
      </c>
      <c r="H12854" t="s">
        <v>32848</v>
      </c>
      <c r="I12854" t="s">
        <v>32925</v>
      </c>
      <c r="J12854" t="s">
        <v>40846</v>
      </c>
      <c r="K12854" t="s">
        <v>42729</v>
      </c>
      <c r="M12854" t="s">
        <v>44445</v>
      </c>
      <c r="N12854" t="s">
        <v>47424</v>
      </c>
      <c r="O12854" t="s">
        <v>47425</v>
      </c>
      <c r="Q12854">
        <v>6</v>
      </c>
      <c r="R12854" t="s">
        <v>47440</v>
      </c>
      <c r="S12854" t="s">
        <v>48022</v>
      </c>
      <c r="T12854" t="s">
        <v>49171</v>
      </c>
      <c r="U12854" t="s">
        <v>60213</v>
      </c>
      <c r="V12854" t="s">
        <v>63231</v>
      </c>
      <c r="W12854" t="s">
        <v>44445</v>
      </c>
      <c r="X12854" t="s">
        <v>47441</v>
      </c>
    </row>
    <row r="12855" spans="1:24">
      <c r="A12855">
        <f>HYPERLINK("https://www.philgeps.gov.ph/GEPSNONPILOT/Tender/SplashBidNoticeAbstractUI.aspx?menuIndex=3&amp;refID=7137963&amp;Result=3","7137963")</f>
        <v>0</v>
      </c>
      <c r="B12855" t="s">
        <v>3636</v>
      </c>
      <c r="C12855" t="s">
        <v>16024</v>
      </c>
      <c r="D12855" t="s">
        <v>19056</v>
      </c>
      <c r="E12855" t="s">
        <v>30104</v>
      </c>
      <c r="F12855" t="s">
        <v>32831</v>
      </c>
      <c r="G12855" t="s">
        <v>32839</v>
      </c>
      <c r="H12855" t="s">
        <v>32848</v>
      </c>
      <c r="I12855" t="s">
        <v>32874</v>
      </c>
      <c r="J12855" t="s">
        <v>40847</v>
      </c>
      <c r="K12855" t="s">
        <v>42729</v>
      </c>
      <c r="M12855" t="s">
        <v>47006</v>
      </c>
      <c r="N12855" t="s">
        <v>47424</v>
      </c>
      <c r="O12855" t="s">
        <v>47425</v>
      </c>
      <c r="P12855">
        <v>0</v>
      </c>
      <c r="Q12855">
        <v>56</v>
      </c>
      <c r="R12855" t="s">
        <v>47440</v>
      </c>
      <c r="S12855" t="s">
        <v>47963</v>
      </c>
      <c r="T12855" t="s">
        <v>49108</v>
      </c>
      <c r="U12855" t="s">
        <v>60209</v>
      </c>
      <c r="W12855" t="s">
        <v>47006</v>
      </c>
      <c r="X12855" t="s">
        <v>47441</v>
      </c>
    </row>
    <row r="12856" spans="1:24">
      <c r="A12856">
        <f>HYPERLINK("https://www.philgeps.gov.ph/GEPSNONPILOT/Tender/SplashBidNoticeAbstractUI.aspx?menuIndex=3&amp;refID=7138137&amp;Result=3","7138137")</f>
        <v>0</v>
      </c>
      <c r="B12856" t="s">
        <v>3638</v>
      </c>
      <c r="C12856" t="s">
        <v>16025</v>
      </c>
      <c r="D12856" t="s">
        <v>19038</v>
      </c>
      <c r="E12856" t="s">
        <v>30105</v>
      </c>
      <c r="F12856" t="s">
        <v>32831</v>
      </c>
      <c r="G12856" t="s">
        <v>32840</v>
      </c>
      <c r="H12856" t="s">
        <v>32848</v>
      </c>
      <c r="I12856" t="s">
        <v>32862</v>
      </c>
      <c r="J12856" t="s">
        <v>40848</v>
      </c>
      <c r="K12856" t="s">
        <v>42726</v>
      </c>
      <c r="M12856" t="s">
        <v>47008</v>
      </c>
      <c r="N12856" t="s">
        <v>47424</v>
      </c>
      <c r="O12856" t="s">
        <v>47425</v>
      </c>
      <c r="P12856">
        <v>0</v>
      </c>
      <c r="Q12856">
        <v>2</v>
      </c>
      <c r="R12856" t="s">
        <v>47440</v>
      </c>
      <c r="S12856" t="s">
        <v>47963</v>
      </c>
      <c r="T12856" t="s">
        <v>49237</v>
      </c>
      <c r="U12856" t="s">
        <v>60216</v>
      </c>
      <c r="W12856" t="s">
        <v>47008</v>
      </c>
      <c r="X12856" t="s">
        <v>47441</v>
      </c>
    </row>
    <row r="12857" spans="1:24">
      <c r="A12857">
        <f>HYPERLINK("https://www.philgeps.gov.ph/GEPSNONPILOT/Tender/SplashBidNoticeAbstractUI.aspx?menuIndex=3&amp;refID=7137985&amp;Result=3","7137985")</f>
        <v>0</v>
      </c>
      <c r="B12857" t="s">
        <v>1270</v>
      </c>
      <c r="C12857" t="s">
        <v>16026</v>
      </c>
      <c r="D12857" t="s">
        <v>19104</v>
      </c>
      <c r="E12857" t="s">
        <v>30106</v>
      </c>
      <c r="F12857" t="s">
        <v>32831</v>
      </c>
      <c r="G12857" t="s">
        <v>32839</v>
      </c>
      <c r="H12857" t="s">
        <v>32848</v>
      </c>
      <c r="I12857" t="s">
        <v>32883</v>
      </c>
      <c r="J12857" t="s">
        <v>34466</v>
      </c>
      <c r="K12857" t="s">
        <v>42729</v>
      </c>
      <c r="M12857" t="s">
        <v>44340</v>
      </c>
      <c r="N12857" t="s">
        <v>47424</v>
      </c>
      <c r="O12857" t="s">
        <v>47425</v>
      </c>
      <c r="Q12857">
        <v>5</v>
      </c>
      <c r="R12857" t="s">
        <v>47440</v>
      </c>
      <c r="S12857" t="s">
        <v>47979</v>
      </c>
      <c r="T12857" t="s">
        <v>49122</v>
      </c>
      <c r="U12857" t="s">
        <v>60217</v>
      </c>
      <c r="W12857" t="s">
        <v>44340</v>
      </c>
      <c r="X12857" t="s">
        <v>47441</v>
      </c>
    </row>
    <row r="12858" spans="1:24">
      <c r="A12858">
        <f>HYPERLINK("https://www.philgeps.gov.ph/GEPSNONPILOT/Tender/SplashBidNoticeAbstractUI.aspx?menuIndex=3&amp;refID=7138130&amp;Result=3","7138130")</f>
        <v>0</v>
      </c>
      <c r="B12858" t="s">
        <v>1193</v>
      </c>
      <c r="C12858" t="s">
        <v>16027</v>
      </c>
      <c r="D12858" t="s">
        <v>19046</v>
      </c>
      <c r="E12858" t="s">
        <v>30107</v>
      </c>
      <c r="F12858" t="s">
        <v>32833</v>
      </c>
      <c r="G12858" t="s">
        <v>32839</v>
      </c>
      <c r="H12858" t="s">
        <v>32849</v>
      </c>
      <c r="I12858" t="s">
        <v>4177</v>
      </c>
      <c r="J12858" t="s">
        <v>33083</v>
      </c>
      <c r="K12858" t="s">
        <v>42763</v>
      </c>
      <c r="M12858" t="s">
        <v>44259</v>
      </c>
      <c r="N12858" t="s">
        <v>47424</v>
      </c>
      <c r="O12858" t="s">
        <v>47425</v>
      </c>
      <c r="P12858">
        <v>0</v>
      </c>
      <c r="Q12858">
        <v>0</v>
      </c>
      <c r="R12858" t="s">
        <v>47440</v>
      </c>
      <c r="S12858" t="s">
        <v>47963</v>
      </c>
      <c r="T12858" t="s">
        <v>49060</v>
      </c>
      <c r="U12858" t="s">
        <v>60218</v>
      </c>
      <c r="V12858" t="s">
        <v>63580</v>
      </c>
      <c r="W12858" t="s">
        <v>44259</v>
      </c>
      <c r="X12858" t="s">
        <v>47441</v>
      </c>
    </row>
    <row r="12859" spans="1:24">
      <c r="A12859">
        <f>HYPERLINK("https://www.philgeps.gov.ph/GEPSNONPILOT/Tender/SplashBidNoticeAbstractUI.aspx?menuIndex=3&amp;refID=7138120&amp;Result=3","7138120")</f>
        <v>0</v>
      </c>
      <c r="B12859" t="s">
        <v>3638</v>
      </c>
      <c r="C12859" t="s">
        <v>16028</v>
      </c>
      <c r="D12859" t="s">
        <v>19038</v>
      </c>
      <c r="E12859" t="s">
        <v>30108</v>
      </c>
      <c r="F12859" t="s">
        <v>32831</v>
      </c>
      <c r="G12859" t="s">
        <v>32840</v>
      </c>
      <c r="H12859" t="s">
        <v>32848</v>
      </c>
      <c r="I12859" t="s">
        <v>9577</v>
      </c>
      <c r="J12859" t="s">
        <v>34199</v>
      </c>
      <c r="K12859" t="s">
        <v>42726</v>
      </c>
      <c r="M12859" t="s">
        <v>47008</v>
      </c>
      <c r="N12859" t="s">
        <v>47424</v>
      </c>
      <c r="O12859" t="s">
        <v>47425</v>
      </c>
      <c r="P12859">
        <v>0</v>
      </c>
      <c r="Q12859">
        <v>8</v>
      </c>
      <c r="R12859" t="s">
        <v>47440</v>
      </c>
      <c r="S12859" t="s">
        <v>47963</v>
      </c>
      <c r="T12859" t="s">
        <v>49237</v>
      </c>
      <c r="U12859" t="s">
        <v>60219</v>
      </c>
      <c r="W12859" t="s">
        <v>47008</v>
      </c>
      <c r="X12859" t="s">
        <v>47441</v>
      </c>
    </row>
    <row r="12860" spans="1:24">
      <c r="A12860">
        <f>HYPERLINK("https://www.philgeps.gov.ph/GEPSNONPILOT/Tender/SplashBidNoticeAbstractUI.aspx?menuIndex=3&amp;refID=7138105&amp;Result=3","7138105")</f>
        <v>0</v>
      </c>
      <c r="B12860" t="s">
        <v>3638</v>
      </c>
      <c r="C12860" t="s">
        <v>16029</v>
      </c>
      <c r="D12860" t="s">
        <v>19038</v>
      </c>
      <c r="E12860" t="s">
        <v>30109</v>
      </c>
      <c r="F12860" t="s">
        <v>32831</v>
      </c>
      <c r="G12860" t="s">
        <v>32840</v>
      </c>
      <c r="H12860" t="s">
        <v>32848</v>
      </c>
      <c r="I12860" t="s">
        <v>7416</v>
      </c>
      <c r="J12860" t="s">
        <v>40849</v>
      </c>
      <c r="K12860" t="s">
        <v>42726</v>
      </c>
      <c r="M12860" t="s">
        <v>47008</v>
      </c>
      <c r="N12860" t="s">
        <v>47424</v>
      </c>
      <c r="O12860" t="s">
        <v>47425</v>
      </c>
      <c r="P12860">
        <v>0</v>
      </c>
      <c r="Q12860">
        <v>4</v>
      </c>
      <c r="R12860" t="s">
        <v>47440</v>
      </c>
      <c r="S12860" t="s">
        <v>47963</v>
      </c>
      <c r="T12860" t="s">
        <v>49237</v>
      </c>
      <c r="U12860" t="s">
        <v>60220</v>
      </c>
      <c r="W12860" t="s">
        <v>47008</v>
      </c>
      <c r="X12860" t="s">
        <v>47441</v>
      </c>
    </row>
    <row r="12861" spans="1:24">
      <c r="A12861">
        <f>HYPERLINK("https://www.philgeps.gov.ph/GEPSNONPILOT/Tender/SplashBidNoticeAbstractUI.aspx?menuIndex=3&amp;refID=7138129&amp;Result=3","7138129")</f>
        <v>0</v>
      </c>
      <c r="B12861" t="s">
        <v>2823</v>
      </c>
      <c r="C12861" t="s">
        <v>16030</v>
      </c>
      <c r="D12861" t="s">
        <v>19056</v>
      </c>
      <c r="E12861" t="s">
        <v>30110</v>
      </c>
      <c r="F12861" t="s">
        <v>32831</v>
      </c>
      <c r="G12861" t="s">
        <v>32839</v>
      </c>
      <c r="H12861" t="s">
        <v>32849</v>
      </c>
      <c r="I12861" t="s">
        <v>4177</v>
      </c>
      <c r="J12861" t="s">
        <v>35995</v>
      </c>
      <c r="K12861" t="s">
        <v>42735</v>
      </c>
      <c r="M12861" t="s">
        <v>46053</v>
      </c>
      <c r="N12861" t="s">
        <v>47424</v>
      </c>
      <c r="O12861" t="s">
        <v>47425</v>
      </c>
      <c r="P12861">
        <v>0</v>
      </c>
      <c r="Q12861">
        <v>5</v>
      </c>
      <c r="R12861" t="s">
        <v>47440</v>
      </c>
      <c r="S12861" t="s">
        <v>47963</v>
      </c>
      <c r="T12861" t="s">
        <v>49155</v>
      </c>
      <c r="U12861" t="s">
        <v>60221</v>
      </c>
      <c r="W12861" t="s">
        <v>46053</v>
      </c>
      <c r="X12861" t="s">
        <v>47441</v>
      </c>
    </row>
    <row r="12862" spans="1:24">
      <c r="A12862">
        <f>HYPERLINK("https://www.philgeps.gov.ph/GEPSNONPILOT/Tender/SplashBidNoticeAbstractUI.aspx?menuIndex=3&amp;refID=7138093&amp;Result=3","7138093")</f>
        <v>0</v>
      </c>
      <c r="B12862" t="s">
        <v>3638</v>
      </c>
      <c r="C12862" t="s">
        <v>16031</v>
      </c>
      <c r="D12862" t="s">
        <v>19038</v>
      </c>
      <c r="E12862" t="s">
        <v>30111</v>
      </c>
      <c r="F12862" t="s">
        <v>32831</v>
      </c>
      <c r="G12862" t="s">
        <v>32840</v>
      </c>
      <c r="H12862" t="s">
        <v>32848</v>
      </c>
      <c r="I12862" t="s">
        <v>7416</v>
      </c>
      <c r="J12862" t="s">
        <v>40850</v>
      </c>
      <c r="K12862" t="s">
        <v>42726</v>
      </c>
      <c r="M12862" t="s">
        <v>47008</v>
      </c>
      <c r="N12862" t="s">
        <v>47424</v>
      </c>
      <c r="O12862" t="s">
        <v>47425</v>
      </c>
      <c r="P12862">
        <v>0</v>
      </c>
      <c r="Q12862">
        <v>4</v>
      </c>
      <c r="R12862" t="s">
        <v>47440</v>
      </c>
      <c r="S12862" t="s">
        <v>47963</v>
      </c>
      <c r="T12862" t="s">
        <v>49237</v>
      </c>
      <c r="U12862" t="s">
        <v>60222</v>
      </c>
      <c r="W12862" t="s">
        <v>47008</v>
      </c>
      <c r="X12862" t="s">
        <v>47441</v>
      </c>
    </row>
    <row r="12863" spans="1:24">
      <c r="A12863">
        <f>HYPERLINK("https://www.philgeps.gov.ph/GEPSNONPILOT/Tender/SplashBidNoticeAbstractUI.aspx?menuIndex=3&amp;refID=7138090&amp;Result=3","7138090")</f>
        <v>0</v>
      </c>
      <c r="B12863" t="s">
        <v>3639</v>
      </c>
      <c r="C12863" t="s">
        <v>16032</v>
      </c>
      <c r="D12863" t="s">
        <v>19025</v>
      </c>
      <c r="E12863" t="s">
        <v>25682</v>
      </c>
      <c r="F12863" t="s">
        <v>32831</v>
      </c>
      <c r="G12863" t="s">
        <v>32839</v>
      </c>
      <c r="H12863" t="s">
        <v>32849</v>
      </c>
      <c r="I12863" t="s">
        <v>4177</v>
      </c>
      <c r="J12863" t="s">
        <v>40851</v>
      </c>
      <c r="K12863" t="s">
        <v>42732</v>
      </c>
      <c r="M12863" t="s">
        <v>47009</v>
      </c>
      <c r="N12863" t="s">
        <v>47424</v>
      </c>
      <c r="O12863" t="s">
        <v>47425</v>
      </c>
      <c r="P12863">
        <v>0</v>
      </c>
      <c r="Q12863">
        <v>0</v>
      </c>
      <c r="R12863" t="s">
        <v>47440</v>
      </c>
      <c r="S12863" t="s">
        <v>47963</v>
      </c>
      <c r="T12863" t="s">
        <v>49244</v>
      </c>
      <c r="U12863" t="s">
        <v>60223</v>
      </c>
      <c r="W12863" t="s">
        <v>47009</v>
      </c>
      <c r="X12863" t="s">
        <v>47441</v>
      </c>
    </row>
    <row r="12864" spans="1:24">
      <c r="A12864">
        <f>HYPERLINK("https://www.philgeps.gov.ph/GEPSNONPILOT/Tender/SplashBidNoticeAbstractUI.aspx?menuIndex=3&amp;refID=7138136&amp;Result=3","7138136")</f>
        <v>0</v>
      </c>
      <c r="B12864" t="s">
        <v>1777</v>
      </c>
      <c r="C12864" t="s">
        <v>16033</v>
      </c>
      <c r="D12864" t="s">
        <v>19074</v>
      </c>
      <c r="E12864" t="s">
        <v>30112</v>
      </c>
      <c r="F12864" t="s">
        <v>32831</v>
      </c>
      <c r="G12864" t="s">
        <v>32839</v>
      </c>
      <c r="H12864" t="s">
        <v>32848</v>
      </c>
      <c r="I12864" t="s">
        <v>4471</v>
      </c>
      <c r="J12864" t="s">
        <v>36189</v>
      </c>
      <c r="K12864" t="s">
        <v>42730</v>
      </c>
      <c r="M12864" t="s">
        <v>44902</v>
      </c>
      <c r="N12864" t="s">
        <v>47424</v>
      </c>
      <c r="O12864" t="s">
        <v>47425</v>
      </c>
      <c r="P12864">
        <v>0</v>
      </c>
      <c r="Q12864">
        <v>0</v>
      </c>
      <c r="R12864" t="s">
        <v>47440</v>
      </c>
      <c r="S12864" t="s">
        <v>47963</v>
      </c>
      <c r="T12864" t="s">
        <v>49066</v>
      </c>
      <c r="U12864" t="s">
        <v>60224</v>
      </c>
      <c r="W12864" t="s">
        <v>44902</v>
      </c>
      <c r="X12864" t="s">
        <v>47441</v>
      </c>
    </row>
    <row r="12865" spans="1:24">
      <c r="A12865">
        <f>HYPERLINK("https://www.philgeps.gov.ph/GEPSNONPILOT/Tender/SplashBidNoticeAbstractUI.aspx?menuIndex=3&amp;refID=7138087&amp;Result=3","7138087")</f>
        <v>0</v>
      </c>
      <c r="B12865" t="s">
        <v>3640</v>
      </c>
      <c r="C12865" t="s">
        <v>16034</v>
      </c>
      <c r="D12865" t="s">
        <v>19019</v>
      </c>
      <c r="E12865" t="s">
        <v>30113</v>
      </c>
      <c r="F12865" t="s">
        <v>32831</v>
      </c>
      <c r="G12865" t="s">
        <v>32839</v>
      </c>
      <c r="H12865" t="s">
        <v>32848</v>
      </c>
      <c r="I12865" t="s">
        <v>7751</v>
      </c>
      <c r="J12865" t="s">
        <v>33303</v>
      </c>
      <c r="K12865" t="s">
        <v>42745</v>
      </c>
      <c r="M12865" t="s">
        <v>47010</v>
      </c>
      <c r="N12865" t="s">
        <v>47424</v>
      </c>
      <c r="O12865" t="s">
        <v>47425</v>
      </c>
      <c r="Q12865">
        <v>0</v>
      </c>
      <c r="R12865" t="s">
        <v>47440</v>
      </c>
      <c r="S12865" t="s">
        <v>48023</v>
      </c>
      <c r="T12865" t="s">
        <v>49108</v>
      </c>
      <c r="U12865" t="s">
        <v>60225</v>
      </c>
      <c r="V12865" t="s">
        <v>64060</v>
      </c>
      <c r="W12865" t="s">
        <v>47010</v>
      </c>
      <c r="X12865" t="s">
        <v>47441</v>
      </c>
    </row>
    <row r="12866" spans="1:24">
      <c r="A12866">
        <f>HYPERLINK("https://www.philgeps.gov.ph/GEPSNONPILOT/Tender/SplashBidNoticeAbstractUI.aspx?menuIndex=3&amp;refID=7138091&amp;Result=3","7138091")</f>
        <v>0</v>
      </c>
      <c r="B12866" t="s">
        <v>2546</v>
      </c>
      <c r="C12866" t="s">
        <v>16035</v>
      </c>
      <c r="D12866" t="s">
        <v>19017</v>
      </c>
      <c r="E12866" t="s">
        <v>30114</v>
      </c>
      <c r="F12866" t="s">
        <v>32831</v>
      </c>
      <c r="G12866" t="s">
        <v>32839</v>
      </c>
      <c r="H12866" t="s">
        <v>32848</v>
      </c>
      <c r="I12866" t="s">
        <v>4487</v>
      </c>
      <c r="J12866" t="s">
        <v>40852</v>
      </c>
      <c r="K12866" t="s">
        <v>42732</v>
      </c>
      <c r="M12866" t="s">
        <v>45758</v>
      </c>
      <c r="N12866" t="s">
        <v>47424</v>
      </c>
      <c r="O12866" t="s">
        <v>47425</v>
      </c>
      <c r="Q12866">
        <v>26</v>
      </c>
      <c r="R12866" t="s">
        <v>47440</v>
      </c>
      <c r="S12866" t="s">
        <v>48024</v>
      </c>
      <c r="T12866" t="s">
        <v>49143</v>
      </c>
      <c r="U12866" t="s">
        <v>60226</v>
      </c>
      <c r="W12866" t="s">
        <v>45758</v>
      </c>
      <c r="X12866" t="s">
        <v>47441</v>
      </c>
    </row>
    <row r="12867" spans="1:24">
      <c r="A12867">
        <f>HYPERLINK("https://www.philgeps.gov.ph/GEPSNONPILOT/Tender/SplashBidNoticeAbstractUI.aspx?menuIndex=3&amp;refID=7138084&amp;Result=3","7138084")</f>
        <v>0</v>
      </c>
      <c r="B12867" t="s">
        <v>513</v>
      </c>
      <c r="C12867" t="s">
        <v>16036</v>
      </c>
      <c r="D12867" t="s">
        <v>19018</v>
      </c>
      <c r="E12867" t="s">
        <v>30115</v>
      </c>
      <c r="F12867" t="s">
        <v>32831</v>
      </c>
      <c r="G12867" t="s">
        <v>32839</v>
      </c>
      <c r="H12867" t="s">
        <v>32849</v>
      </c>
      <c r="I12867" t="s">
        <v>4177</v>
      </c>
      <c r="J12867" t="s">
        <v>40009</v>
      </c>
      <c r="K12867" t="s">
        <v>42747</v>
      </c>
      <c r="M12867" t="s">
        <v>47011</v>
      </c>
      <c r="N12867" t="s">
        <v>47424</v>
      </c>
      <c r="O12867" t="s">
        <v>47425</v>
      </c>
      <c r="P12867">
        <v>0</v>
      </c>
      <c r="Q12867">
        <v>1</v>
      </c>
      <c r="R12867" t="s">
        <v>47440</v>
      </c>
      <c r="S12867" t="s">
        <v>47963</v>
      </c>
      <c r="T12867" t="s">
        <v>49080</v>
      </c>
      <c r="U12867" t="s">
        <v>60227</v>
      </c>
      <c r="W12867" t="s">
        <v>47011</v>
      </c>
      <c r="X12867" t="s">
        <v>47441</v>
      </c>
    </row>
    <row r="12868" spans="1:24">
      <c r="A12868">
        <f>HYPERLINK("https://www.philgeps.gov.ph/GEPSNONPILOT/Tender/SplashBidNoticeAbstractUI.aspx?menuIndex=3&amp;refID=7137807&amp;Result=3","7137807")</f>
        <v>0</v>
      </c>
      <c r="B12868" t="s">
        <v>3641</v>
      </c>
      <c r="C12868" t="s">
        <v>16037</v>
      </c>
      <c r="D12868" t="s">
        <v>19045</v>
      </c>
      <c r="E12868" t="s">
        <v>30116</v>
      </c>
      <c r="F12868" t="s">
        <v>32831</v>
      </c>
      <c r="G12868" t="s">
        <v>32839</v>
      </c>
      <c r="H12868" t="s">
        <v>32849</v>
      </c>
      <c r="I12868" t="s">
        <v>4177</v>
      </c>
      <c r="J12868" t="s">
        <v>33017</v>
      </c>
      <c r="K12868" t="s">
        <v>42729</v>
      </c>
      <c r="M12868" t="s">
        <v>47012</v>
      </c>
      <c r="N12868" t="s">
        <v>47424</v>
      </c>
      <c r="O12868" t="s">
        <v>47425</v>
      </c>
      <c r="P12868">
        <v>0</v>
      </c>
      <c r="Q12868">
        <v>1</v>
      </c>
      <c r="R12868" t="s">
        <v>47440</v>
      </c>
      <c r="S12868" t="s">
        <v>47963</v>
      </c>
      <c r="T12868" t="s">
        <v>49105</v>
      </c>
      <c r="U12868" t="s">
        <v>60228</v>
      </c>
      <c r="V12868" t="s">
        <v>62846</v>
      </c>
      <c r="W12868" t="s">
        <v>47012</v>
      </c>
      <c r="X12868" t="s">
        <v>47441</v>
      </c>
    </row>
    <row r="12869" spans="1:24">
      <c r="A12869">
        <f>HYPERLINK("https://www.philgeps.gov.ph/GEPSNONPILOT/Tender/SplashBidNoticeAbstractUI.aspx?menuIndex=3&amp;refID=7138252&amp;Result=3","7138252")</f>
        <v>0</v>
      </c>
      <c r="B12869" t="s">
        <v>516</v>
      </c>
      <c r="C12869" t="s">
        <v>16038</v>
      </c>
      <c r="D12869" t="s">
        <v>19021</v>
      </c>
      <c r="E12869" t="s">
        <v>29055</v>
      </c>
      <c r="F12869" t="s">
        <v>32831</v>
      </c>
      <c r="G12869" t="s">
        <v>32839</v>
      </c>
      <c r="H12869" t="s">
        <v>32848</v>
      </c>
      <c r="I12869" t="s">
        <v>32883</v>
      </c>
      <c r="J12869" t="s">
        <v>40853</v>
      </c>
      <c r="K12869" t="s">
        <v>42758</v>
      </c>
      <c r="M12869" t="s">
        <v>43521</v>
      </c>
      <c r="N12869" t="s">
        <v>47424</v>
      </c>
      <c r="O12869" t="s">
        <v>47425</v>
      </c>
      <c r="P12869">
        <v>0</v>
      </c>
      <c r="Q12869">
        <v>3</v>
      </c>
      <c r="R12869" t="s">
        <v>47440</v>
      </c>
      <c r="S12869" t="s">
        <v>47963</v>
      </c>
      <c r="T12869" t="s">
        <v>49073</v>
      </c>
      <c r="U12869" t="s">
        <v>60229</v>
      </c>
      <c r="V12869" t="s">
        <v>64061</v>
      </c>
      <c r="W12869" t="s">
        <v>43521</v>
      </c>
      <c r="X12869" t="s">
        <v>47441</v>
      </c>
    </row>
    <row r="12870" spans="1:24">
      <c r="A12870">
        <f>HYPERLINK("https://www.philgeps.gov.ph/GEPSNONPILOT/Tender/SplashBidNoticeAbstractUI.aspx?menuIndex=3&amp;refID=7138247&amp;Result=3","7138247")</f>
        <v>0</v>
      </c>
      <c r="B12870" t="s">
        <v>2823</v>
      </c>
      <c r="C12870" t="s">
        <v>16039</v>
      </c>
      <c r="D12870" t="s">
        <v>19056</v>
      </c>
      <c r="E12870" t="s">
        <v>30117</v>
      </c>
      <c r="F12870" t="s">
        <v>32831</v>
      </c>
      <c r="G12870" t="s">
        <v>32839</v>
      </c>
      <c r="H12870" t="s">
        <v>32849</v>
      </c>
      <c r="I12870" t="s">
        <v>4177</v>
      </c>
      <c r="J12870" t="s">
        <v>38789</v>
      </c>
      <c r="K12870" t="s">
        <v>42735</v>
      </c>
      <c r="M12870" t="s">
        <v>46053</v>
      </c>
      <c r="N12870" t="s">
        <v>47424</v>
      </c>
      <c r="O12870" t="s">
        <v>47425</v>
      </c>
      <c r="P12870">
        <v>0</v>
      </c>
      <c r="Q12870">
        <v>4</v>
      </c>
      <c r="R12870" t="s">
        <v>47440</v>
      </c>
      <c r="S12870" t="s">
        <v>47963</v>
      </c>
      <c r="T12870" t="s">
        <v>49155</v>
      </c>
      <c r="U12870" t="s">
        <v>60230</v>
      </c>
      <c r="W12870" t="s">
        <v>46053</v>
      </c>
      <c r="X12870" t="s">
        <v>47441</v>
      </c>
    </row>
    <row r="12871" spans="1:24">
      <c r="A12871">
        <f>HYPERLINK("https://www.philgeps.gov.ph/GEPSNONPILOT/Tender/SplashBidNoticeAbstractUI.aspx?menuIndex=3&amp;refID=7138088&amp;Result=3","7138088")</f>
        <v>0</v>
      </c>
      <c r="B12871" t="s">
        <v>3130</v>
      </c>
      <c r="C12871" t="s">
        <v>16020</v>
      </c>
      <c r="D12871" t="s">
        <v>19037</v>
      </c>
      <c r="E12871" t="s">
        <v>30118</v>
      </c>
      <c r="F12871" t="s">
        <v>32837</v>
      </c>
      <c r="G12871" t="s">
        <v>32844</v>
      </c>
      <c r="H12871" t="s">
        <v>14069</v>
      </c>
      <c r="I12871" t="s">
        <v>14069</v>
      </c>
      <c r="J12871" t="s">
        <v>33031</v>
      </c>
      <c r="K12871" t="s">
        <v>42774</v>
      </c>
      <c r="M12871" t="s">
        <v>46425</v>
      </c>
      <c r="N12871" t="s">
        <v>47424</v>
      </c>
      <c r="O12871" t="s">
        <v>47425</v>
      </c>
      <c r="P12871">
        <v>0</v>
      </c>
      <c r="Q12871">
        <v>0</v>
      </c>
      <c r="R12871" t="s">
        <v>47440</v>
      </c>
      <c r="S12871" t="s">
        <v>47963</v>
      </c>
      <c r="T12871" t="s">
        <v>49163</v>
      </c>
      <c r="U12871" t="s">
        <v>60231</v>
      </c>
      <c r="W12871" t="s">
        <v>46425</v>
      </c>
      <c r="X12871" t="s">
        <v>47441</v>
      </c>
    </row>
    <row r="12872" spans="1:24">
      <c r="A12872">
        <f>HYPERLINK("https://www.philgeps.gov.ph/GEPSNONPILOT/Tender/SplashBidNoticeAbstractUI.aspx?menuIndex=3&amp;refID=7138249&amp;Result=3","7138249")</f>
        <v>0</v>
      </c>
      <c r="B12872" t="s">
        <v>909</v>
      </c>
      <c r="C12872" t="s">
        <v>16040</v>
      </c>
      <c r="E12872" t="s">
        <v>30119</v>
      </c>
      <c r="F12872" t="s">
        <v>32831</v>
      </c>
      <c r="G12872" t="s">
        <v>32839</v>
      </c>
      <c r="H12872" t="s">
        <v>32849</v>
      </c>
      <c r="I12872" t="s">
        <v>4177</v>
      </c>
      <c r="J12872" t="s">
        <v>32978</v>
      </c>
      <c r="K12872" t="s">
        <v>42764</v>
      </c>
      <c r="M12872" t="s">
        <v>43949</v>
      </c>
      <c r="N12872" t="s">
        <v>47424</v>
      </c>
      <c r="O12872" t="s">
        <v>47425</v>
      </c>
      <c r="P12872">
        <v>0</v>
      </c>
      <c r="Q12872">
        <v>0</v>
      </c>
      <c r="R12872" t="s">
        <v>47440</v>
      </c>
      <c r="S12872" t="s">
        <v>47963</v>
      </c>
      <c r="T12872" t="s">
        <v>49080</v>
      </c>
      <c r="U12872" t="s">
        <v>60232</v>
      </c>
      <c r="W12872" t="s">
        <v>43949</v>
      </c>
      <c r="X12872" t="s">
        <v>47441</v>
      </c>
    </row>
    <row r="12873" spans="1:24">
      <c r="A12873">
        <f>HYPERLINK("https://www.philgeps.gov.ph/GEPSNONPILOT/Tender/SplashBidNoticeAbstractUI.aspx?menuIndex=3&amp;refID=7138224&amp;Result=3","7138224")</f>
        <v>0</v>
      </c>
      <c r="B12873" t="s">
        <v>1866</v>
      </c>
      <c r="C12873" t="s">
        <v>16041</v>
      </c>
      <c r="D12873" t="s">
        <v>19022</v>
      </c>
      <c r="E12873" t="s">
        <v>30120</v>
      </c>
      <c r="F12873" t="s">
        <v>32831</v>
      </c>
      <c r="G12873" t="s">
        <v>32839</v>
      </c>
      <c r="H12873" t="s">
        <v>32849</v>
      </c>
      <c r="I12873" t="s">
        <v>4177</v>
      </c>
      <c r="J12873" t="s">
        <v>37878</v>
      </c>
      <c r="K12873" t="s">
        <v>42729</v>
      </c>
      <c r="M12873" t="s">
        <v>45009</v>
      </c>
      <c r="N12873" t="s">
        <v>47424</v>
      </c>
      <c r="O12873" t="s">
        <v>47425</v>
      </c>
      <c r="P12873">
        <v>0</v>
      </c>
      <c r="Q12873">
        <v>1</v>
      </c>
      <c r="R12873" t="s">
        <v>47440</v>
      </c>
      <c r="S12873" t="s">
        <v>47963</v>
      </c>
      <c r="T12873" t="s">
        <v>49070</v>
      </c>
      <c r="U12873" t="s">
        <v>60233</v>
      </c>
      <c r="V12873" t="s">
        <v>63065</v>
      </c>
      <c r="W12873" t="s">
        <v>45009</v>
      </c>
      <c r="X12873" t="s">
        <v>47441</v>
      </c>
    </row>
    <row r="12874" spans="1:24">
      <c r="A12874">
        <f>HYPERLINK("https://www.philgeps.gov.ph/GEPSNONPILOT/Tender/SplashBidNoticeAbstractUI.aspx?menuIndex=3&amp;refID=7137970&amp;Result=3","7137970")</f>
        <v>0</v>
      </c>
      <c r="B12874" t="s">
        <v>1736</v>
      </c>
      <c r="C12874" t="s">
        <v>16042</v>
      </c>
      <c r="D12874" t="s">
        <v>19054</v>
      </c>
      <c r="E12874" t="s">
        <v>30121</v>
      </c>
      <c r="F12874" t="s">
        <v>32831</v>
      </c>
      <c r="G12874" t="s">
        <v>32839</v>
      </c>
      <c r="H12874" t="s">
        <v>32849</v>
      </c>
      <c r="I12874" t="s">
        <v>4177</v>
      </c>
      <c r="J12874" t="s">
        <v>40854</v>
      </c>
      <c r="K12874" t="s">
        <v>42763</v>
      </c>
      <c r="L12874" t="s">
        <v>1736</v>
      </c>
      <c r="M12874" t="s">
        <v>44859</v>
      </c>
      <c r="N12874" t="s">
        <v>47424</v>
      </c>
      <c r="O12874" t="s">
        <v>47425</v>
      </c>
      <c r="P12874">
        <v>0</v>
      </c>
      <c r="Q12874">
        <v>0</v>
      </c>
      <c r="R12874" t="s">
        <v>47440</v>
      </c>
      <c r="S12874" t="s">
        <v>47963</v>
      </c>
      <c r="T12874" t="s">
        <v>49111</v>
      </c>
      <c r="U12874" t="s">
        <v>60234</v>
      </c>
      <c r="V12874" t="s">
        <v>63112</v>
      </c>
      <c r="W12874" t="s">
        <v>44859</v>
      </c>
      <c r="X12874" t="s">
        <v>47441</v>
      </c>
    </row>
    <row r="12875" spans="1:24">
      <c r="A12875">
        <f>HYPERLINK("https://www.philgeps.gov.ph/GEPSNONPILOT/Tender/SplashBidNoticeAbstractUI.aspx?menuIndex=3&amp;refID=7137993&amp;Result=3","7137993")</f>
        <v>0</v>
      </c>
      <c r="B12875" t="s">
        <v>711</v>
      </c>
      <c r="C12875" t="s">
        <v>16043</v>
      </c>
      <c r="D12875" t="s">
        <v>19060</v>
      </c>
      <c r="E12875" t="s">
        <v>29785</v>
      </c>
      <c r="F12875" t="s">
        <v>32831</v>
      </c>
      <c r="G12875" t="s">
        <v>32839</v>
      </c>
      <c r="H12875" t="s">
        <v>32848</v>
      </c>
      <c r="I12875" t="s">
        <v>32935</v>
      </c>
      <c r="J12875" t="s">
        <v>33083</v>
      </c>
      <c r="K12875" t="s">
        <v>42770</v>
      </c>
      <c r="M12875" t="s">
        <v>43731</v>
      </c>
      <c r="N12875" t="s">
        <v>47424</v>
      </c>
      <c r="O12875" t="s">
        <v>47425</v>
      </c>
      <c r="Q12875">
        <v>6</v>
      </c>
      <c r="R12875" t="s">
        <v>47440</v>
      </c>
      <c r="S12875" t="s">
        <v>48025</v>
      </c>
      <c r="T12875" t="s">
        <v>49105</v>
      </c>
      <c r="U12875" t="s">
        <v>60235</v>
      </c>
      <c r="W12875" t="s">
        <v>43731</v>
      </c>
      <c r="X12875" t="s">
        <v>47441</v>
      </c>
    </row>
    <row r="12876" spans="1:24">
      <c r="A12876">
        <f>HYPERLINK("https://www.philgeps.gov.ph/GEPSNONPILOT/Tender/SplashBidNoticeAbstractUI.aspx?menuIndex=3&amp;refID=7138221&amp;Result=3","7138221")</f>
        <v>0</v>
      </c>
      <c r="B12876" t="s">
        <v>2823</v>
      </c>
      <c r="C12876" t="s">
        <v>16044</v>
      </c>
      <c r="D12876" t="s">
        <v>19056</v>
      </c>
      <c r="E12876" t="s">
        <v>30122</v>
      </c>
      <c r="F12876" t="s">
        <v>32831</v>
      </c>
      <c r="G12876" t="s">
        <v>32839</v>
      </c>
      <c r="H12876" t="s">
        <v>32849</v>
      </c>
      <c r="I12876" t="s">
        <v>4177</v>
      </c>
      <c r="J12876" t="s">
        <v>34207</v>
      </c>
      <c r="K12876" t="s">
        <v>42736</v>
      </c>
      <c r="M12876" t="s">
        <v>46053</v>
      </c>
      <c r="N12876" t="s">
        <v>47424</v>
      </c>
      <c r="O12876" t="s">
        <v>47425</v>
      </c>
      <c r="P12876">
        <v>0</v>
      </c>
      <c r="Q12876">
        <v>4</v>
      </c>
      <c r="R12876" t="s">
        <v>47440</v>
      </c>
      <c r="S12876" t="s">
        <v>47963</v>
      </c>
      <c r="T12876" t="s">
        <v>49155</v>
      </c>
      <c r="U12876" t="s">
        <v>60236</v>
      </c>
      <c r="W12876" t="s">
        <v>46053</v>
      </c>
      <c r="X12876" t="s">
        <v>47441</v>
      </c>
    </row>
    <row r="12877" spans="1:24">
      <c r="A12877">
        <f>HYPERLINK("https://www.philgeps.gov.ph/GEPSNONPILOT/Tender/SplashBidNoticeAbstractUI.aspx?menuIndex=3&amp;refID=7138197&amp;Result=3","7138197")</f>
        <v>0</v>
      </c>
      <c r="B12877" t="s">
        <v>2823</v>
      </c>
      <c r="C12877" t="s">
        <v>16045</v>
      </c>
      <c r="D12877" t="s">
        <v>19056</v>
      </c>
      <c r="E12877" t="s">
        <v>30123</v>
      </c>
      <c r="F12877" t="s">
        <v>32831</v>
      </c>
      <c r="G12877" t="s">
        <v>32839</v>
      </c>
      <c r="H12877" t="s">
        <v>32849</v>
      </c>
      <c r="I12877" t="s">
        <v>4177</v>
      </c>
      <c r="J12877" t="s">
        <v>39751</v>
      </c>
      <c r="K12877" t="s">
        <v>42730</v>
      </c>
      <c r="M12877" t="s">
        <v>46053</v>
      </c>
      <c r="N12877" t="s">
        <v>47424</v>
      </c>
      <c r="O12877" t="s">
        <v>47425</v>
      </c>
      <c r="P12877">
        <v>0</v>
      </c>
      <c r="Q12877">
        <v>4</v>
      </c>
      <c r="R12877" t="s">
        <v>47440</v>
      </c>
      <c r="S12877" t="s">
        <v>47963</v>
      </c>
      <c r="T12877" t="s">
        <v>49155</v>
      </c>
      <c r="U12877" t="s">
        <v>60237</v>
      </c>
      <c r="W12877" t="s">
        <v>46053</v>
      </c>
      <c r="X12877" t="s">
        <v>47441</v>
      </c>
    </row>
    <row r="12878" spans="1:24">
      <c r="A12878">
        <f>HYPERLINK("https://www.philgeps.gov.ph/GEPSNONPILOT/Tender/SplashBidNoticeAbstractUI.aspx?menuIndex=3&amp;refID=7138019&amp;Result=3","7138019")</f>
        <v>0</v>
      </c>
      <c r="B12878" t="s">
        <v>1182</v>
      </c>
      <c r="C12878" t="s">
        <v>16046</v>
      </c>
      <c r="D12878" t="s">
        <v>19047</v>
      </c>
      <c r="E12878" t="s">
        <v>30124</v>
      </c>
      <c r="F12878" t="s">
        <v>32831</v>
      </c>
      <c r="G12878" t="s">
        <v>32839</v>
      </c>
      <c r="H12878" t="s">
        <v>32848</v>
      </c>
      <c r="I12878" t="s">
        <v>32861</v>
      </c>
      <c r="J12878" t="s">
        <v>36484</v>
      </c>
      <c r="K12878" t="s">
        <v>42763</v>
      </c>
      <c r="M12878" t="s">
        <v>44248</v>
      </c>
      <c r="N12878" t="s">
        <v>47424</v>
      </c>
      <c r="O12878" t="s">
        <v>47425</v>
      </c>
      <c r="P12878">
        <v>0</v>
      </c>
      <c r="Q12878">
        <v>9</v>
      </c>
      <c r="R12878" t="s">
        <v>47440</v>
      </c>
      <c r="S12878" t="s">
        <v>47963</v>
      </c>
      <c r="T12878" t="s">
        <v>49073</v>
      </c>
      <c r="U12878" t="s">
        <v>60238</v>
      </c>
      <c r="W12878" t="s">
        <v>64461</v>
      </c>
      <c r="X12878" t="s">
        <v>47441</v>
      </c>
    </row>
    <row r="12879" spans="1:24">
      <c r="A12879">
        <f>HYPERLINK("https://www.philgeps.gov.ph/GEPSNONPILOT/Tender/SplashBidNoticeAbstractUI.aspx?menuIndex=3&amp;refID=7138203&amp;Result=3","7138203")</f>
        <v>0</v>
      </c>
      <c r="B12879" t="s">
        <v>3640</v>
      </c>
      <c r="C12879" t="s">
        <v>16047</v>
      </c>
      <c r="D12879" t="s">
        <v>19019</v>
      </c>
      <c r="E12879" t="s">
        <v>30125</v>
      </c>
      <c r="F12879" t="s">
        <v>32831</v>
      </c>
      <c r="G12879" t="s">
        <v>32839</v>
      </c>
      <c r="H12879" t="s">
        <v>32848</v>
      </c>
      <c r="I12879" t="s">
        <v>32931</v>
      </c>
      <c r="J12879" t="s">
        <v>40855</v>
      </c>
      <c r="K12879" t="s">
        <v>42745</v>
      </c>
      <c r="M12879" t="s">
        <v>47010</v>
      </c>
      <c r="N12879" t="s">
        <v>47424</v>
      </c>
      <c r="O12879" t="s">
        <v>47425</v>
      </c>
      <c r="Q12879">
        <v>10</v>
      </c>
      <c r="R12879" t="s">
        <v>47440</v>
      </c>
      <c r="S12879" t="s">
        <v>48026</v>
      </c>
      <c r="T12879" t="s">
        <v>49108</v>
      </c>
      <c r="U12879" t="s">
        <v>60239</v>
      </c>
      <c r="V12879" t="s">
        <v>64062</v>
      </c>
      <c r="W12879" t="s">
        <v>47010</v>
      </c>
      <c r="X12879" t="s">
        <v>47441</v>
      </c>
    </row>
    <row r="12880" spans="1:24">
      <c r="A12880">
        <f>HYPERLINK("https://www.philgeps.gov.ph/GEPSNONPILOT/Tender/SplashBidNoticeAbstractUI.aspx?menuIndex=3&amp;refID=7137883&amp;Result=3","7137883")</f>
        <v>0</v>
      </c>
      <c r="B12880" t="s">
        <v>3631</v>
      </c>
      <c r="C12880" t="s">
        <v>16048</v>
      </c>
      <c r="D12880" t="s">
        <v>19027</v>
      </c>
      <c r="E12880" t="s">
        <v>30126</v>
      </c>
      <c r="F12880" t="s">
        <v>32831</v>
      </c>
      <c r="G12880" t="s">
        <v>32839</v>
      </c>
      <c r="H12880" t="s">
        <v>32848</v>
      </c>
      <c r="I12880" t="s">
        <v>9577</v>
      </c>
      <c r="J12880" t="s">
        <v>40856</v>
      </c>
      <c r="K12880" t="s">
        <v>42730</v>
      </c>
      <c r="M12880" t="s">
        <v>47001</v>
      </c>
      <c r="N12880" t="s">
        <v>47424</v>
      </c>
      <c r="O12880" t="s">
        <v>47425</v>
      </c>
      <c r="P12880">
        <v>0</v>
      </c>
      <c r="Q12880">
        <v>3</v>
      </c>
      <c r="R12880" t="s">
        <v>47440</v>
      </c>
      <c r="S12880" t="s">
        <v>47963</v>
      </c>
      <c r="T12880" t="s">
        <v>49066</v>
      </c>
      <c r="U12880" t="s">
        <v>60240</v>
      </c>
      <c r="W12880" t="s">
        <v>47001</v>
      </c>
      <c r="X12880" t="s">
        <v>47441</v>
      </c>
    </row>
    <row r="12881" spans="1:24">
      <c r="A12881">
        <f>HYPERLINK("https://www.philgeps.gov.ph/GEPSNONPILOT/Tender/SplashBidNoticeAbstractUI.aspx?menuIndex=3&amp;refID=7138185&amp;Result=3","7138185")</f>
        <v>0</v>
      </c>
      <c r="B12881" t="s">
        <v>1279</v>
      </c>
      <c r="C12881" t="s">
        <v>16049</v>
      </c>
      <c r="D12881" t="s">
        <v>19052</v>
      </c>
      <c r="E12881" t="s">
        <v>30127</v>
      </c>
      <c r="F12881" t="s">
        <v>32831</v>
      </c>
      <c r="G12881" t="s">
        <v>32839</v>
      </c>
      <c r="H12881" t="s">
        <v>32849</v>
      </c>
      <c r="I12881" t="s">
        <v>4177</v>
      </c>
      <c r="J12881" t="s">
        <v>40857</v>
      </c>
      <c r="K12881" t="s">
        <v>42729</v>
      </c>
      <c r="M12881" t="s">
        <v>44349</v>
      </c>
      <c r="N12881" t="s">
        <v>47424</v>
      </c>
      <c r="O12881" t="s">
        <v>47425</v>
      </c>
      <c r="P12881">
        <v>0</v>
      </c>
      <c r="Q12881">
        <v>0</v>
      </c>
      <c r="R12881" t="s">
        <v>47440</v>
      </c>
      <c r="S12881" t="s">
        <v>47963</v>
      </c>
      <c r="T12881" t="s">
        <v>49073</v>
      </c>
      <c r="U12881" t="s">
        <v>60241</v>
      </c>
      <c r="W12881" t="s">
        <v>64464</v>
      </c>
      <c r="X12881" t="s">
        <v>47441</v>
      </c>
    </row>
    <row r="12882" spans="1:24">
      <c r="A12882">
        <f>HYPERLINK("https://www.philgeps.gov.ph/GEPSNONPILOT/Tender/SplashBidNoticeAbstractUI.aspx?menuIndex=3&amp;refID=7138171&amp;Result=3","7138171")</f>
        <v>0</v>
      </c>
      <c r="B12882" t="s">
        <v>3642</v>
      </c>
      <c r="C12882" t="s">
        <v>16050</v>
      </c>
      <c r="D12882" t="s">
        <v>19100</v>
      </c>
      <c r="E12882" t="s">
        <v>24018</v>
      </c>
      <c r="F12882" t="s">
        <v>32831</v>
      </c>
      <c r="G12882" t="s">
        <v>32839</v>
      </c>
      <c r="H12882" t="s">
        <v>32848</v>
      </c>
      <c r="I12882" t="s">
        <v>7751</v>
      </c>
      <c r="J12882" t="s">
        <v>40392</v>
      </c>
      <c r="K12882" t="s">
        <v>42730</v>
      </c>
      <c r="M12882" t="s">
        <v>47013</v>
      </c>
      <c r="N12882" t="s">
        <v>47424</v>
      </c>
      <c r="O12882" t="s">
        <v>47425</v>
      </c>
      <c r="P12882">
        <v>0</v>
      </c>
      <c r="Q12882">
        <v>4</v>
      </c>
      <c r="R12882" t="s">
        <v>47440</v>
      </c>
      <c r="S12882" t="s">
        <v>47963</v>
      </c>
      <c r="T12882" t="s">
        <v>49245</v>
      </c>
      <c r="U12882" t="s">
        <v>60242</v>
      </c>
      <c r="W12882" t="s">
        <v>47013</v>
      </c>
      <c r="X12882" t="s">
        <v>47441</v>
      </c>
    </row>
    <row r="12883" spans="1:24">
      <c r="A12883">
        <f>HYPERLINK("https://www.philgeps.gov.ph/GEPSNONPILOT/Tender/SplashBidNoticeAbstractUI.aspx?menuIndex=3&amp;refID=7138218&amp;Result=3","7138218")</f>
        <v>0</v>
      </c>
      <c r="B12883" t="s">
        <v>2546</v>
      </c>
      <c r="C12883" t="s">
        <v>16051</v>
      </c>
      <c r="D12883" t="s">
        <v>19017</v>
      </c>
      <c r="E12883" t="s">
        <v>30128</v>
      </c>
      <c r="F12883" t="s">
        <v>32831</v>
      </c>
      <c r="G12883" t="s">
        <v>32839</v>
      </c>
      <c r="H12883" t="s">
        <v>32849</v>
      </c>
      <c r="I12883" t="s">
        <v>4177</v>
      </c>
      <c r="J12883" t="s">
        <v>40858</v>
      </c>
      <c r="K12883" t="s">
        <v>42732</v>
      </c>
      <c r="M12883" t="s">
        <v>45758</v>
      </c>
      <c r="N12883" t="s">
        <v>47424</v>
      </c>
      <c r="O12883" t="s">
        <v>47425</v>
      </c>
      <c r="P12883">
        <v>0</v>
      </c>
      <c r="Q12883">
        <v>2</v>
      </c>
      <c r="R12883" t="s">
        <v>47440</v>
      </c>
      <c r="S12883" t="s">
        <v>47963</v>
      </c>
      <c r="T12883" t="s">
        <v>49169</v>
      </c>
      <c r="U12883" t="s">
        <v>60243</v>
      </c>
      <c r="W12883" t="s">
        <v>45758</v>
      </c>
      <c r="X12883" t="s">
        <v>47441</v>
      </c>
    </row>
    <row r="12884" spans="1:24">
      <c r="A12884">
        <f>HYPERLINK("https://www.philgeps.gov.ph/GEPSNONPILOT/Tender/SplashBidNoticeAbstractUI.aspx?menuIndex=3&amp;refID=7138212&amp;Result=3","7138212")</f>
        <v>0</v>
      </c>
      <c r="B12884" t="s">
        <v>3637</v>
      </c>
      <c r="C12884" t="s">
        <v>16052</v>
      </c>
      <c r="D12884" t="s">
        <v>19047</v>
      </c>
      <c r="E12884" t="s">
        <v>30129</v>
      </c>
      <c r="F12884" t="s">
        <v>32831</v>
      </c>
      <c r="G12884" t="s">
        <v>32839</v>
      </c>
      <c r="H12884" t="s">
        <v>14069</v>
      </c>
      <c r="I12884" t="s">
        <v>4177</v>
      </c>
      <c r="J12884" t="s">
        <v>40859</v>
      </c>
      <c r="K12884" t="s">
        <v>42796</v>
      </c>
      <c r="M12884" t="s">
        <v>47007</v>
      </c>
      <c r="N12884" t="s">
        <v>47424</v>
      </c>
      <c r="O12884" t="s">
        <v>47425</v>
      </c>
      <c r="P12884">
        <v>0</v>
      </c>
      <c r="Q12884">
        <v>5</v>
      </c>
      <c r="R12884" t="s">
        <v>47440</v>
      </c>
      <c r="S12884" t="s">
        <v>47963</v>
      </c>
      <c r="T12884" t="s">
        <v>49192</v>
      </c>
      <c r="U12884" t="s">
        <v>60244</v>
      </c>
      <c r="V12884" t="s">
        <v>64059</v>
      </c>
      <c r="W12884" t="s">
        <v>47007</v>
      </c>
      <c r="X12884" t="s">
        <v>47441</v>
      </c>
    </row>
    <row r="12885" spans="1:24">
      <c r="A12885">
        <f>HYPERLINK("https://www.philgeps.gov.ph/GEPSNONPILOT/Tender/SplashBidNoticeAbstractUI.aspx?menuIndex=3&amp;refID=7138154&amp;Result=3","7138154")</f>
        <v>0</v>
      </c>
      <c r="B12885" t="s">
        <v>223</v>
      </c>
      <c r="C12885" t="s">
        <v>13809</v>
      </c>
      <c r="E12885" t="s">
        <v>30130</v>
      </c>
      <c r="F12885" t="s">
        <v>32831</v>
      </c>
      <c r="G12885" t="s">
        <v>32839</v>
      </c>
      <c r="H12885" t="s">
        <v>32848</v>
      </c>
      <c r="I12885" t="s">
        <v>32874</v>
      </c>
      <c r="J12885" t="s">
        <v>40860</v>
      </c>
      <c r="K12885" t="s">
        <v>42730</v>
      </c>
      <c r="M12885" t="s">
        <v>43221</v>
      </c>
      <c r="N12885" t="s">
        <v>47424</v>
      </c>
      <c r="O12885" t="s">
        <v>47425</v>
      </c>
      <c r="P12885">
        <v>0</v>
      </c>
      <c r="Q12885">
        <v>9</v>
      </c>
      <c r="R12885" t="s">
        <v>47440</v>
      </c>
      <c r="S12885" t="s">
        <v>47963</v>
      </c>
      <c r="T12885" t="s">
        <v>49066</v>
      </c>
      <c r="U12885" t="s">
        <v>60245</v>
      </c>
      <c r="W12885" t="s">
        <v>43221</v>
      </c>
      <c r="X12885" t="s">
        <v>47441</v>
      </c>
    </row>
    <row r="12886" spans="1:24">
      <c r="A12886">
        <f>HYPERLINK("https://www.philgeps.gov.ph/GEPSNONPILOT/Tender/SplashBidNoticeAbstractUI.aspx?menuIndex=3&amp;refID=7138149&amp;Result=3","7138149")</f>
        <v>0</v>
      </c>
      <c r="B12886" t="s">
        <v>3643</v>
      </c>
      <c r="C12886" t="s">
        <v>16053</v>
      </c>
      <c r="D12886" t="s">
        <v>19045</v>
      </c>
      <c r="E12886" t="s">
        <v>20384</v>
      </c>
      <c r="F12886" t="s">
        <v>32831</v>
      </c>
      <c r="G12886" t="s">
        <v>32839</v>
      </c>
      <c r="H12886" t="s">
        <v>32849</v>
      </c>
      <c r="I12886" t="s">
        <v>4177</v>
      </c>
      <c r="J12886" t="s">
        <v>40861</v>
      </c>
      <c r="K12886" t="s">
        <v>42730</v>
      </c>
      <c r="M12886" t="s">
        <v>47014</v>
      </c>
      <c r="N12886" t="s">
        <v>47424</v>
      </c>
      <c r="O12886" t="s">
        <v>47425</v>
      </c>
      <c r="P12886">
        <v>0</v>
      </c>
      <c r="Q12886">
        <v>2</v>
      </c>
      <c r="R12886" t="s">
        <v>47440</v>
      </c>
      <c r="S12886" t="s">
        <v>47963</v>
      </c>
      <c r="T12886" t="s">
        <v>49105</v>
      </c>
      <c r="U12886" t="s">
        <v>60246</v>
      </c>
      <c r="V12886" t="s">
        <v>64063</v>
      </c>
      <c r="W12886" t="s">
        <v>47014</v>
      </c>
      <c r="X12886" t="s">
        <v>47441</v>
      </c>
    </row>
    <row r="12887" spans="1:24">
      <c r="A12887">
        <f>HYPERLINK("https://www.philgeps.gov.ph/GEPSNONPILOT/Tender/SplashBidNoticeAbstractUI.aspx?menuIndex=3&amp;refID=7138246&amp;Result=3","7138246")</f>
        <v>0</v>
      </c>
      <c r="B12887" t="s">
        <v>3638</v>
      </c>
      <c r="C12887" t="s">
        <v>16054</v>
      </c>
      <c r="D12887" t="s">
        <v>19038</v>
      </c>
      <c r="E12887" t="s">
        <v>30131</v>
      </c>
      <c r="F12887" t="s">
        <v>32831</v>
      </c>
      <c r="G12887" t="s">
        <v>32840</v>
      </c>
      <c r="H12887" t="s">
        <v>32848</v>
      </c>
      <c r="I12887" t="s">
        <v>9577</v>
      </c>
      <c r="J12887" t="s">
        <v>38159</v>
      </c>
      <c r="K12887" t="s">
        <v>42726</v>
      </c>
      <c r="M12887" t="s">
        <v>47008</v>
      </c>
      <c r="N12887" t="s">
        <v>47424</v>
      </c>
      <c r="O12887" t="s">
        <v>47425</v>
      </c>
      <c r="P12887">
        <v>0</v>
      </c>
      <c r="Q12887">
        <v>2</v>
      </c>
      <c r="R12887" t="s">
        <v>47440</v>
      </c>
      <c r="S12887" t="s">
        <v>47963</v>
      </c>
      <c r="T12887" t="s">
        <v>49237</v>
      </c>
      <c r="U12887" t="s">
        <v>60247</v>
      </c>
      <c r="W12887" t="s">
        <v>47008</v>
      </c>
      <c r="X12887" t="s">
        <v>47441</v>
      </c>
    </row>
    <row r="12888" spans="1:24">
      <c r="A12888">
        <f>HYPERLINK("https://www.philgeps.gov.ph/GEPSNONPILOT/Tender/SplashBidNoticeAbstractUI.aspx?menuIndex=3&amp;refID=7138191&amp;Result=3","7138191")</f>
        <v>0</v>
      </c>
      <c r="B12888" t="s">
        <v>2546</v>
      </c>
      <c r="C12888" t="s">
        <v>16055</v>
      </c>
      <c r="D12888" t="s">
        <v>19017</v>
      </c>
      <c r="E12888" t="s">
        <v>30132</v>
      </c>
      <c r="F12888" t="s">
        <v>32831</v>
      </c>
      <c r="G12888" t="s">
        <v>32839</v>
      </c>
      <c r="H12888" t="s">
        <v>32849</v>
      </c>
      <c r="I12888" t="s">
        <v>4177</v>
      </c>
      <c r="J12888" t="s">
        <v>40862</v>
      </c>
      <c r="K12888" t="s">
        <v>42732</v>
      </c>
      <c r="M12888" t="s">
        <v>45758</v>
      </c>
      <c r="N12888" t="s">
        <v>47424</v>
      </c>
      <c r="O12888" t="s">
        <v>47425</v>
      </c>
      <c r="P12888">
        <v>0</v>
      </c>
      <c r="Q12888">
        <v>2</v>
      </c>
      <c r="R12888" t="s">
        <v>47440</v>
      </c>
      <c r="S12888" t="s">
        <v>47963</v>
      </c>
      <c r="T12888" t="s">
        <v>49169</v>
      </c>
      <c r="U12888" t="s">
        <v>60248</v>
      </c>
      <c r="W12888" t="s">
        <v>45758</v>
      </c>
      <c r="X12888" t="s">
        <v>47441</v>
      </c>
    </row>
    <row r="12889" spans="1:24">
      <c r="A12889">
        <f>HYPERLINK("https://www.philgeps.gov.ph/GEPSNONPILOT/Tender/SplashBidNoticeAbstractUI.aspx?menuIndex=3&amp;refID=7138184&amp;Result=3","7138184")</f>
        <v>0</v>
      </c>
      <c r="B12889" t="s">
        <v>2435</v>
      </c>
      <c r="C12889" t="s">
        <v>16056</v>
      </c>
      <c r="D12889" t="s">
        <v>19083</v>
      </c>
      <c r="E12889" t="s">
        <v>30133</v>
      </c>
      <c r="F12889" t="s">
        <v>32831</v>
      </c>
      <c r="G12889" t="s">
        <v>32839</v>
      </c>
      <c r="H12889" t="s">
        <v>32849</v>
      </c>
      <c r="I12889" t="s">
        <v>4177</v>
      </c>
      <c r="J12889" t="s">
        <v>34729</v>
      </c>
      <c r="K12889" t="s">
        <v>42913</v>
      </c>
      <c r="M12889" t="s">
        <v>45632</v>
      </c>
      <c r="N12889" t="s">
        <v>47424</v>
      </c>
      <c r="O12889" t="s">
        <v>47425</v>
      </c>
      <c r="P12889">
        <v>0</v>
      </c>
      <c r="Q12889">
        <v>1</v>
      </c>
      <c r="R12889" t="s">
        <v>47440</v>
      </c>
      <c r="S12889" t="s">
        <v>47963</v>
      </c>
      <c r="T12889" t="s">
        <v>49066</v>
      </c>
      <c r="U12889" t="s">
        <v>60249</v>
      </c>
      <c r="W12889" t="s">
        <v>45632</v>
      </c>
      <c r="X12889" t="s">
        <v>47441</v>
      </c>
    </row>
    <row r="12890" spans="1:24">
      <c r="A12890">
        <f>HYPERLINK("https://www.philgeps.gov.ph/GEPSNONPILOT/Tender/SplashBidNoticeAbstractUI.aspx?menuIndex=3&amp;refID=7138182&amp;Result=3","7138182")</f>
        <v>0</v>
      </c>
      <c r="B12890" t="s">
        <v>460</v>
      </c>
      <c r="C12890" t="s">
        <v>16057</v>
      </c>
      <c r="D12890" t="s">
        <v>19086</v>
      </c>
      <c r="E12890" t="s">
        <v>30134</v>
      </c>
      <c r="F12890" t="s">
        <v>32831</v>
      </c>
      <c r="G12890" t="s">
        <v>32839</v>
      </c>
      <c r="H12890" t="s">
        <v>32848</v>
      </c>
      <c r="I12890" t="s">
        <v>4303</v>
      </c>
      <c r="J12890" t="s">
        <v>40863</v>
      </c>
      <c r="K12890" t="s">
        <v>42732</v>
      </c>
      <c r="M12890" t="s">
        <v>43465</v>
      </c>
      <c r="N12890" t="s">
        <v>47424</v>
      </c>
      <c r="O12890" t="s">
        <v>47425</v>
      </c>
      <c r="P12890">
        <v>0</v>
      </c>
      <c r="Q12890">
        <v>1</v>
      </c>
      <c r="R12890" t="s">
        <v>47440</v>
      </c>
      <c r="S12890" t="s">
        <v>47963</v>
      </c>
      <c r="T12890" t="s">
        <v>49066</v>
      </c>
      <c r="U12890" t="s">
        <v>60250</v>
      </c>
      <c r="V12890" t="s">
        <v>64064</v>
      </c>
      <c r="W12890" t="s">
        <v>43465</v>
      </c>
      <c r="X12890" t="s">
        <v>47441</v>
      </c>
    </row>
    <row r="12891" spans="1:24">
      <c r="A12891">
        <f>HYPERLINK("https://www.philgeps.gov.ph/GEPSNONPILOT/Tender/SplashBidNoticeAbstractUI.aspx?menuIndex=3&amp;refID=7138145&amp;Result=3","7138145")</f>
        <v>0</v>
      </c>
      <c r="B12891" t="s">
        <v>2546</v>
      </c>
      <c r="C12891" t="s">
        <v>16058</v>
      </c>
      <c r="D12891" t="s">
        <v>19017</v>
      </c>
      <c r="E12891" t="s">
        <v>30135</v>
      </c>
      <c r="F12891" t="s">
        <v>32831</v>
      </c>
      <c r="G12891" t="s">
        <v>32839</v>
      </c>
      <c r="H12891" t="s">
        <v>32848</v>
      </c>
      <c r="I12891" t="s">
        <v>7416</v>
      </c>
      <c r="J12891" t="s">
        <v>40864</v>
      </c>
      <c r="K12891" t="s">
        <v>42732</v>
      </c>
      <c r="M12891" t="s">
        <v>45758</v>
      </c>
      <c r="N12891" t="s">
        <v>47424</v>
      </c>
      <c r="O12891" t="s">
        <v>47425</v>
      </c>
      <c r="P12891">
        <v>0</v>
      </c>
      <c r="Q12891">
        <v>1</v>
      </c>
      <c r="R12891" t="s">
        <v>47440</v>
      </c>
      <c r="S12891" t="s">
        <v>47963</v>
      </c>
      <c r="T12891" t="s">
        <v>49169</v>
      </c>
      <c r="U12891" t="s">
        <v>60251</v>
      </c>
      <c r="W12891" t="s">
        <v>45758</v>
      </c>
      <c r="X12891" t="s">
        <v>47441</v>
      </c>
    </row>
    <row r="12892" spans="1:24">
      <c r="A12892">
        <f>HYPERLINK("https://www.philgeps.gov.ph/GEPSNONPILOT/Tender/SplashBidNoticeAbstractUI.aspx?menuIndex=3&amp;refID=7138161&amp;Result=3","7138161")</f>
        <v>0</v>
      </c>
      <c r="B12892" t="s">
        <v>3638</v>
      </c>
      <c r="C12892" t="s">
        <v>16059</v>
      </c>
      <c r="D12892" t="s">
        <v>19038</v>
      </c>
      <c r="E12892" t="s">
        <v>30136</v>
      </c>
      <c r="F12892" t="s">
        <v>32831</v>
      </c>
      <c r="G12892" t="s">
        <v>32840</v>
      </c>
      <c r="H12892" t="s">
        <v>32848</v>
      </c>
      <c r="I12892" t="s">
        <v>32862</v>
      </c>
      <c r="J12892" t="s">
        <v>40865</v>
      </c>
      <c r="K12892" t="s">
        <v>42726</v>
      </c>
      <c r="M12892" t="s">
        <v>47008</v>
      </c>
      <c r="N12892" t="s">
        <v>47424</v>
      </c>
      <c r="O12892" t="s">
        <v>47425</v>
      </c>
      <c r="P12892">
        <v>0</v>
      </c>
      <c r="Q12892">
        <v>1</v>
      </c>
      <c r="R12892" t="s">
        <v>47440</v>
      </c>
      <c r="S12892" t="s">
        <v>47963</v>
      </c>
      <c r="T12892" t="s">
        <v>49237</v>
      </c>
      <c r="U12892" t="s">
        <v>60252</v>
      </c>
      <c r="W12892" t="s">
        <v>47008</v>
      </c>
      <c r="X12892" t="s">
        <v>47441</v>
      </c>
    </row>
    <row r="12893" spans="1:24">
      <c r="A12893">
        <f>HYPERLINK("https://www.philgeps.gov.ph/GEPSNONPILOT/Tender/SplashBidNoticeAbstractUI.aspx?menuIndex=3&amp;refID=7138348&amp;Result=3","7138348")</f>
        <v>0</v>
      </c>
      <c r="B12893" t="s">
        <v>3644</v>
      </c>
      <c r="C12893" t="s">
        <v>16060</v>
      </c>
      <c r="D12893" t="s">
        <v>19051</v>
      </c>
      <c r="E12893" t="s">
        <v>30137</v>
      </c>
      <c r="F12893" t="s">
        <v>32831</v>
      </c>
      <c r="G12893" t="s">
        <v>32839</v>
      </c>
      <c r="H12893" t="s">
        <v>32849</v>
      </c>
      <c r="I12893" t="s">
        <v>4177</v>
      </c>
      <c r="J12893" t="s">
        <v>40866</v>
      </c>
      <c r="K12893" t="s">
        <v>42761</v>
      </c>
      <c r="M12893" t="s">
        <v>47015</v>
      </c>
      <c r="N12893" t="s">
        <v>47424</v>
      </c>
      <c r="O12893" t="s">
        <v>47425</v>
      </c>
      <c r="P12893">
        <v>0</v>
      </c>
      <c r="Q12893">
        <v>1</v>
      </c>
      <c r="R12893" t="s">
        <v>47440</v>
      </c>
      <c r="S12893" t="s">
        <v>47963</v>
      </c>
      <c r="T12893" t="s">
        <v>49066</v>
      </c>
      <c r="U12893" t="s">
        <v>60253</v>
      </c>
      <c r="W12893" t="s">
        <v>47015</v>
      </c>
      <c r="X12893" t="s">
        <v>47441</v>
      </c>
    </row>
    <row r="12894" spans="1:24">
      <c r="A12894">
        <f>HYPERLINK("https://www.philgeps.gov.ph/GEPSNONPILOT/Tender/SplashBidNoticeAbstractUI.aspx?menuIndex=3&amp;refID=7138341&amp;Result=3","7138341")</f>
        <v>0</v>
      </c>
      <c r="B12894" t="s">
        <v>2823</v>
      </c>
      <c r="C12894" t="s">
        <v>16061</v>
      </c>
      <c r="D12894" t="s">
        <v>19056</v>
      </c>
      <c r="E12894" t="s">
        <v>30138</v>
      </c>
      <c r="F12894" t="s">
        <v>32831</v>
      </c>
      <c r="G12894" t="s">
        <v>32839</v>
      </c>
      <c r="H12894" t="s">
        <v>32849</v>
      </c>
      <c r="I12894" t="s">
        <v>4177</v>
      </c>
      <c r="J12894" t="s">
        <v>40867</v>
      </c>
      <c r="K12894" t="s">
        <v>42820</v>
      </c>
      <c r="M12894" t="s">
        <v>46053</v>
      </c>
      <c r="N12894" t="s">
        <v>47424</v>
      </c>
      <c r="O12894" t="s">
        <v>47425</v>
      </c>
      <c r="P12894">
        <v>0</v>
      </c>
      <c r="Q12894">
        <v>4</v>
      </c>
      <c r="R12894" t="s">
        <v>47440</v>
      </c>
      <c r="S12894" t="s">
        <v>47963</v>
      </c>
      <c r="T12894" t="s">
        <v>49155</v>
      </c>
      <c r="U12894" t="s">
        <v>60254</v>
      </c>
      <c r="W12894" t="s">
        <v>46053</v>
      </c>
      <c r="X12894" t="s">
        <v>47441</v>
      </c>
    </row>
    <row r="12895" spans="1:24">
      <c r="A12895">
        <f>HYPERLINK("https://www.philgeps.gov.ph/GEPSNONPILOT/Tender/SplashBidNoticeAbstractUI.aspx?menuIndex=3&amp;refID=7138350&amp;Result=3","7138350")</f>
        <v>0</v>
      </c>
      <c r="B12895" t="s">
        <v>2823</v>
      </c>
      <c r="C12895" t="s">
        <v>16062</v>
      </c>
      <c r="D12895" t="s">
        <v>19056</v>
      </c>
      <c r="E12895" t="s">
        <v>30139</v>
      </c>
      <c r="F12895" t="s">
        <v>32831</v>
      </c>
      <c r="G12895" t="s">
        <v>32839</v>
      </c>
      <c r="H12895" t="s">
        <v>32849</v>
      </c>
      <c r="I12895" t="s">
        <v>4177</v>
      </c>
      <c r="J12895" t="s">
        <v>40867</v>
      </c>
      <c r="K12895" t="s">
        <v>42820</v>
      </c>
      <c r="M12895" t="s">
        <v>46053</v>
      </c>
      <c r="N12895" t="s">
        <v>47424</v>
      </c>
      <c r="O12895" t="s">
        <v>47425</v>
      </c>
      <c r="P12895">
        <v>0</v>
      </c>
      <c r="Q12895">
        <v>5</v>
      </c>
      <c r="R12895" t="s">
        <v>47440</v>
      </c>
      <c r="S12895" t="s">
        <v>47963</v>
      </c>
      <c r="T12895" t="s">
        <v>49155</v>
      </c>
      <c r="U12895" t="s">
        <v>60255</v>
      </c>
      <c r="W12895" t="s">
        <v>46053</v>
      </c>
      <c r="X12895" t="s">
        <v>47441</v>
      </c>
    </row>
    <row r="12896" spans="1:24">
      <c r="A12896">
        <f>HYPERLINK("https://www.philgeps.gov.ph/GEPSNONPILOT/Tender/SplashBidNoticeAbstractUI.aspx?menuIndex=3&amp;refID=7138173&amp;Result=3","7138173")</f>
        <v>0</v>
      </c>
      <c r="B12896" t="s">
        <v>3645</v>
      </c>
      <c r="C12896" t="s">
        <v>16063</v>
      </c>
      <c r="D12896" t="s">
        <v>19017</v>
      </c>
      <c r="E12896" t="s">
        <v>30140</v>
      </c>
      <c r="F12896" t="s">
        <v>32832</v>
      </c>
      <c r="G12896" t="s">
        <v>32839</v>
      </c>
      <c r="H12896" t="s">
        <v>32848</v>
      </c>
      <c r="I12896" t="s">
        <v>4438</v>
      </c>
      <c r="J12896" t="s">
        <v>33338</v>
      </c>
      <c r="K12896" t="s">
        <v>42726</v>
      </c>
      <c r="M12896" t="s">
        <v>47016</v>
      </c>
      <c r="N12896" t="s">
        <v>47424</v>
      </c>
      <c r="O12896" t="s">
        <v>47425</v>
      </c>
      <c r="P12896">
        <v>0</v>
      </c>
      <c r="Q12896">
        <v>2</v>
      </c>
      <c r="R12896" t="s">
        <v>47440</v>
      </c>
      <c r="S12896" t="s">
        <v>47963</v>
      </c>
      <c r="T12896" t="s">
        <v>49237</v>
      </c>
      <c r="U12896" t="s">
        <v>60256</v>
      </c>
      <c r="W12896" t="s">
        <v>47016</v>
      </c>
      <c r="X12896" t="s">
        <v>47441</v>
      </c>
    </row>
    <row r="12897" spans="1:24">
      <c r="A12897">
        <f>HYPERLINK("https://www.philgeps.gov.ph/GEPSNONPILOT/Tender/SplashBidNoticeAbstractUI.aspx?menuIndex=3&amp;refID=7138324&amp;Result=3","7138324")</f>
        <v>0</v>
      </c>
      <c r="B12897" t="s">
        <v>1279</v>
      </c>
      <c r="C12897" t="s">
        <v>16064</v>
      </c>
      <c r="D12897" t="s">
        <v>19052</v>
      </c>
      <c r="E12897" t="s">
        <v>30141</v>
      </c>
      <c r="F12897" t="s">
        <v>32831</v>
      </c>
      <c r="G12897" t="s">
        <v>32839</v>
      </c>
      <c r="H12897" t="s">
        <v>32849</v>
      </c>
      <c r="I12897" t="s">
        <v>4177</v>
      </c>
      <c r="J12897" t="s">
        <v>33118</v>
      </c>
      <c r="K12897" t="s">
        <v>42747</v>
      </c>
      <c r="M12897" t="s">
        <v>44349</v>
      </c>
      <c r="N12897" t="s">
        <v>47424</v>
      </c>
      <c r="O12897" t="s">
        <v>47425</v>
      </c>
      <c r="P12897">
        <v>0</v>
      </c>
      <c r="Q12897">
        <v>0</v>
      </c>
      <c r="R12897" t="s">
        <v>47440</v>
      </c>
      <c r="S12897" t="s">
        <v>47963</v>
      </c>
      <c r="T12897" t="s">
        <v>49073</v>
      </c>
      <c r="U12897" t="s">
        <v>60257</v>
      </c>
      <c r="W12897" t="s">
        <v>64464</v>
      </c>
      <c r="X12897" t="s">
        <v>47441</v>
      </c>
    </row>
    <row r="12898" spans="1:24">
      <c r="A12898">
        <f>HYPERLINK("https://www.philgeps.gov.ph/GEPSNONPILOT/Tender/SplashBidNoticeAbstractUI.aspx?menuIndex=3&amp;refID=7138321&amp;Result=3","7138321")</f>
        <v>0</v>
      </c>
      <c r="B12898" t="s">
        <v>3644</v>
      </c>
      <c r="C12898" t="s">
        <v>16065</v>
      </c>
      <c r="D12898" t="s">
        <v>19051</v>
      </c>
      <c r="E12898" t="s">
        <v>30142</v>
      </c>
      <c r="F12898" t="s">
        <v>32831</v>
      </c>
      <c r="G12898" t="s">
        <v>32839</v>
      </c>
      <c r="H12898" t="s">
        <v>32848</v>
      </c>
      <c r="I12898" t="s">
        <v>4177</v>
      </c>
      <c r="J12898" t="s">
        <v>40868</v>
      </c>
      <c r="K12898" t="s">
        <v>42842</v>
      </c>
      <c r="M12898" t="s">
        <v>47015</v>
      </c>
      <c r="N12898" t="s">
        <v>47424</v>
      </c>
      <c r="O12898" t="s">
        <v>47425</v>
      </c>
      <c r="P12898">
        <v>0</v>
      </c>
      <c r="Q12898">
        <v>0</v>
      </c>
      <c r="R12898" t="s">
        <v>47440</v>
      </c>
      <c r="S12898" t="s">
        <v>47963</v>
      </c>
      <c r="T12898" t="s">
        <v>49066</v>
      </c>
      <c r="U12898" t="s">
        <v>60258</v>
      </c>
      <c r="W12898" t="s">
        <v>47015</v>
      </c>
      <c r="X12898" t="s">
        <v>47441</v>
      </c>
    </row>
    <row r="12899" spans="1:24">
      <c r="A12899">
        <f>HYPERLINK("https://www.philgeps.gov.ph/GEPSNONPILOT/Tender/SplashBidNoticeAbstractUI.aspx?menuIndex=3&amp;refID=7138313&amp;Result=3","7138313")</f>
        <v>0</v>
      </c>
      <c r="B12899" t="s">
        <v>2823</v>
      </c>
      <c r="C12899" t="s">
        <v>16066</v>
      </c>
      <c r="D12899" t="s">
        <v>19056</v>
      </c>
      <c r="E12899" t="s">
        <v>30143</v>
      </c>
      <c r="F12899" t="s">
        <v>32831</v>
      </c>
      <c r="G12899" t="s">
        <v>32839</v>
      </c>
      <c r="H12899" t="s">
        <v>32849</v>
      </c>
      <c r="I12899" t="s">
        <v>4177</v>
      </c>
      <c r="J12899" t="s">
        <v>40869</v>
      </c>
      <c r="K12899" t="s">
        <v>42790</v>
      </c>
      <c r="M12899" t="s">
        <v>46053</v>
      </c>
      <c r="N12899" t="s">
        <v>47424</v>
      </c>
      <c r="O12899" t="s">
        <v>47425</v>
      </c>
      <c r="P12899">
        <v>0</v>
      </c>
      <c r="Q12899">
        <v>5</v>
      </c>
      <c r="R12899" t="s">
        <v>47440</v>
      </c>
      <c r="S12899" t="s">
        <v>47963</v>
      </c>
      <c r="T12899" t="s">
        <v>49155</v>
      </c>
      <c r="U12899" t="s">
        <v>60259</v>
      </c>
      <c r="W12899" t="s">
        <v>46053</v>
      </c>
      <c r="X12899" t="s">
        <v>47441</v>
      </c>
    </row>
    <row r="12900" spans="1:24">
      <c r="A12900">
        <f>HYPERLINK("https://www.philgeps.gov.ph/GEPSNONPILOT/Tender/SplashBidNoticeAbstractUI.aspx?menuIndex=3&amp;refID=7138293&amp;Result=3","7138293")</f>
        <v>0</v>
      </c>
      <c r="B12900" t="s">
        <v>911</v>
      </c>
      <c r="C12900" t="s">
        <v>16067</v>
      </c>
      <c r="D12900" t="s">
        <v>19049</v>
      </c>
      <c r="E12900" t="s">
        <v>30144</v>
      </c>
      <c r="F12900" t="s">
        <v>32831</v>
      </c>
      <c r="G12900" t="s">
        <v>32839</v>
      </c>
      <c r="H12900" t="s">
        <v>32848</v>
      </c>
      <c r="I12900" t="s">
        <v>32870</v>
      </c>
      <c r="J12900" t="s">
        <v>36338</v>
      </c>
      <c r="K12900" t="s">
        <v>42727</v>
      </c>
      <c r="M12900" t="s">
        <v>43951</v>
      </c>
      <c r="N12900" t="s">
        <v>47424</v>
      </c>
      <c r="O12900" t="s">
        <v>47425</v>
      </c>
      <c r="P12900">
        <v>0</v>
      </c>
      <c r="Q12900">
        <v>0</v>
      </c>
      <c r="R12900" t="s">
        <v>47440</v>
      </c>
      <c r="S12900" t="s">
        <v>47963</v>
      </c>
      <c r="T12900" t="s">
        <v>49069</v>
      </c>
      <c r="U12900" t="s">
        <v>52589</v>
      </c>
      <c r="W12900" t="s">
        <v>43951</v>
      </c>
      <c r="X12900" t="s">
        <v>47441</v>
      </c>
    </row>
    <row r="12901" spans="1:24">
      <c r="A12901">
        <f>HYPERLINK("https://www.philgeps.gov.ph/GEPSNONPILOT/Tender/SplashBidNoticeAbstractUI.aspx?menuIndex=3&amp;refID=7138365&amp;Result=3","7138365")</f>
        <v>0</v>
      </c>
      <c r="B12901" t="s">
        <v>1013</v>
      </c>
      <c r="C12901" t="s">
        <v>16068</v>
      </c>
      <c r="E12901" t="s">
        <v>30145</v>
      </c>
      <c r="F12901" t="s">
        <v>32831</v>
      </c>
      <c r="G12901" t="s">
        <v>32845</v>
      </c>
      <c r="H12901" t="s">
        <v>32848</v>
      </c>
      <c r="I12901" t="s">
        <v>4222</v>
      </c>
      <c r="J12901" t="s">
        <v>40870</v>
      </c>
      <c r="K12901" t="s">
        <v>42732</v>
      </c>
      <c r="M12901" t="s">
        <v>44062</v>
      </c>
      <c r="N12901" t="s">
        <v>47424</v>
      </c>
      <c r="O12901" t="s">
        <v>47425</v>
      </c>
      <c r="P12901">
        <v>0</v>
      </c>
      <c r="Q12901">
        <v>7</v>
      </c>
      <c r="R12901" t="s">
        <v>47440</v>
      </c>
      <c r="S12901" t="s">
        <v>47963</v>
      </c>
      <c r="T12901" t="s">
        <v>49091</v>
      </c>
      <c r="U12901" t="s">
        <v>60260</v>
      </c>
      <c r="W12901" t="s">
        <v>44062</v>
      </c>
      <c r="X12901" t="s">
        <v>47441</v>
      </c>
    </row>
    <row r="12902" spans="1:24">
      <c r="A12902">
        <f>HYPERLINK("https://www.philgeps.gov.ph/GEPSNONPILOT/Tender/SplashBidNoticeAbstractUI.aspx?menuIndex=3&amp;refID=7138280&amp;Result=3","7138280")</f>
        <v>0</v>
      </c>
      <c r="B12902" t="s">
        <v>3644</v>
      </c>
      <c r="C12902" t="s">
        <v>16069</v>
      </c>
      <c r="D12902" t="s">
        <v>19051</v>
      </c>
      <c r="E12902" t="s">
        <v>30146</v>
      </c>
      <c r="F12902" t="s">
        <v>32831</v>
      </c>
      <c r="G12902" t="s">
        <v>32839</v>
      </c>
      <c r="H12902" t="s">
        <v>32849</v>
      </c>
      <c r="I12902" t="s">
        <v>4177</v>
      </c>
      <c r="J12902" t="s">
        <v>40871</v>
      </c>
      <c r="K12902" t="s">
        <v>42734</v>
      </c>
      <c r="M12902" t="s">
        <v>47015</v>
      </c>
      <c r="N12902" t="s">
        <v>47424</v>
      </c>
      <c r="O12902" t="s">
        <v>47425</v>
      </c>
      <c r="P12902">
        <v>0</v>
      </c>
      <c r="Q12902">
        <v>0</v>
      </c>
      <c r="R12902" t="s">
        <v>47440</v>
      </c>
      <c r="S12902" t="s">
        <v>47963</v>
      </c>
      <c r="T12902" t="s">
        <v>49066</v>
      </c>
      <c r="U12902" t="s">
        <v>60261</v>
      </c>
      <c r="W12902" t="s">
        <v>47015</v>
      </c>
      <c r="X12902" t="s">
        <v>47441</v>
      </c>
    </row>
    <row r="12903" spans="1:24">
      <c r="A12903">
        <f>HYPERLINK("https://www.philgeps.gov.ph/GEPSNONPILOT/Tender/SplashBidNoticeAbstractUI.aspx?menuIndex=3&amp;refID=7138305&amp;Result=3","7138305")</f>
        <v>0</v>
      </c>
      <c r="B12903" t="s">
        <v>3624</v>
      </c>
      <c r="C12903" t="s">
        <v>16070</v>
      </c>
      <c r="D12903" t="s">
        <v>19065</v>
      </c>
      <c r="E12903" t="s">
        <v>30147</v>
      </c>
      <c r="F12903" t="s">
        <v>32831</v>
      </c>
      <c r="G12903" t="s">
        <v>32839</v>
      </c>
      <c r="H12903" t="s">
        <v>32848</v>
      </c>
      <c r="I12903" t="s">
        <v>4438</v>
      </c>
      <c r="J12903" t="s">
        <v>40872</v>
      </c>
      <c r="K12903" t="s">
        <v>42757</v>
      </c>
      <c r="M12903" t="s">
        <v>46993</v>
      </c>
      <c r="N12903" t="s">
        <v>47424</v>
      </c>
      <c r="O12903" t="s">
        <v>47425</v>
      </c>
      <c r="Q12903">
        <v>15</v>
      </c>
      <c r="R12903" t="s">
        <v>47440</v>
      </c>
      <c r="S12903" t="s">
        <v>48027</v>
      </c>
      <c r="T12903" t="s">
        <v>49178</v>
      </c>
      <c r="U12903" t="s">
        <v>60262</v>
      </c>
      <c r="V12903" t="s">
        <v>64065</v>
      </c>
      <c r="W12903" t="s">
        <v>46993</v>
      </c>
      <c r="X12903" t="s">
        <v>47441</v>
      </c>
    </row>
    <row r="12904" spans="1:24">
      <c r="A12904">
        <f>HYPERLINK("https://www.philgeps.gov.ph/GEPSNONPILOT/Tender/SplashBidNoticeAbstractUI.aspx?menuIndex=3&amp;refID=7138289&amp;Result=3","7138289")</f>
        <v>0</v>
      </c>
      <c r="B12904" t="s">
        <v>223</v>
      </c>
      <c r="C12904" t="s">
        <v>16071</v>
      </c>
      <c r="E12904" t="s">
        <v>30148</v>
      </c>
      <c r="F12904" t="s">
        <v>32831</v>
      </c>
      <c r="G12904" t="s">
        <v>32839</v>
      </c>
      <c r="H12904" t="s">
        <v>32848</v>
      </c>
      <c r="I12904" t="s">
        <v>5379</v>
      </c>
      <c r="J12904" t="s">
        <v>40873</v>
      </c>
      <c r="K12904" t="s">
        <v>42836</v>
      </c>
      <c r="M12904" t="s">
        <v>43221</v>
      </c>
      <c r="N12904" t="s">
        <v>47424</v>
      </c>
      <c r="O12904" t="s">
        <v>47425</v>
      </c>
      <c r="P12904">
        <v>0</v>
      </c>
      <c r="Q12904">
        <v>1</v>
      </c>
      <c r="R12904" t="s">
        <v>47440</v>
      </c>
      <c r="S12904" t="s">
        <v>47963</v>
      </c>
      <c r="T12904" t="s">
        <v>49066</v>
      </c>
      <c r="U12904" t="s">
        <v>60245</v>
      </c>
      <c r="W12904" t="s">
        <v>43221</v>
      </c>
      <c r="X12904" t="s">
        <v>47441</v>
      </c>
    </row>
    <row r="12905" spans="1:24">
      <c r="A12905">
        <f>HYPERLINK("https://www.philgeps.gov.ph/GEPSNONPILOT/Tender/SplashBidNoticeAbstractUI.aspx?menuIndex=3&amp;refID=7138266&amp;Result=3","7138266")</f>
        <v>0</v>
      </c>
      <c r="B12905" t="s">
        <v>782</v>
      </c>
      <c r="C12905" t="s">
        <v>16072</v>
      </c>
      <c r="D12905" t="s">
        <v>19023</v>
      </c>
      <c r="E12905" t="s">
        <v>30149</v>
      </c>
      <c r="F12905" t="s">
        <v>32831</v>
      </c>
      <c r="G12905" t="s">
        <v>32839</v>
      </c>
      <c r="H12905" t="s">
        <v>32849</v>
      </c>
      <c r="I12905" t="s">
        <v>4177</v>
      </c>
      <c r="J12905" t="s">
        <v>40874</v>
      </c>
      <c r="K12905" t="s">
        <v>42780</v>
      </c>
      <c r="M12905" t="s">
        <v>43811</v>
      </c>
      <c r="N12905" t="s">
        <v>47424</v>
      </c>
      <c r="O12905" t="s">
        <v>47425</v>
      </c>
      <c r="P12905">
        <v>0</v>
      </c>
      <c r="Q12905">
        <v>0</v>
      </c>
      <c r="R12905" t="s">
        <v>47440</v>
      </c>
      <c r="S12905" t="s">
        <v>47963</v>
      </c>
      <c r="T12905" t="s">
        <v>49091</v>
      </c>
      <c r="U12905" t="s">
        <v>60263</v>
      </c>
      <c r="V12905" t="s">
        <v>64066</v>
      </c>
      <c r="W12905" t="s">
        <v>43811</v>
      </c>
      <c r="X12905" t="s">
        <v>47441</v>
      </c>
    </row>
    <row r="12906" spans="1:24">
      <c r="A12906">
        <f>HYPERLINK("https://www.philgeps.gov.ph/GEPSNONPILOT/Tender/SplashBidNoticeAbstractUI.aspx?menuIndex=3&amp;refID=7138364&amp;Result=3","7138364")</f>
        <v>0</v>
      </c>
      <c r="B12906" t="s">
        <v>2823</v>
      </c>
      <c r="C12906" t="s">
        <v>16073</v>
      </c>
      <c r="D12906" t="s">
        <v>19056</v>
      </c>
      <c r="E12906" t="s">
        <v>30150</v>
      </c>
      <c r="F12906" t="s">
        <v>32831</v>
      </c>
      <c r="G12906" t="s">
        <v>32839</v>
      </c>
      <c r="H12906" t="s">
        <v>32849</v>
      </c>
      <c r="I12906" t="s">
        <v>4177</v>
      </c>
      <c r="J12906" t="s">
        <v>33558</v>
      </c>
      <c r="K12906" t="s">
        <v>42736</v>
      </c>
      <c r="M12906" t="s">
        <v>46053</v>
      </c>
      <c r="N12906" t="s">
        <v>47424</v>
      </c>
      <c r="O12906" t="s">
        <v>47425</v>
      </c>
      <c r="P12906">
        <v>0</v>
      </c>
      <c r="Q12906">
        <v>4</v>
      </c>
      <c r="R12906" t="s">
        <v>47440</v>
      </c>
      <c r="S12906" t="s">
        <v>47963</v>
      </c>
      <c r="T12906" t="s">
        <v>49155</v>
      </c>
      <c r="U12906" t="s">
        <v>60264</v>
      </c>
      <c r="W12906" t="s">
        <v>46053</v>
      </c>
      <c r="X12906" t="s">
        <v>47441</v>
      </c>
    </row>
    <row r="12907" spans="1:24">
      <c r="A12907">
        <f>HYPERLINK("https://www.philgeps.gov.ph/GEPSNONPILOT/Tender/SplashBidNoticeAbstractUI.aspx?menuIndex=3&amp;refID=7138258&amp;Result=3","7138258")</f>
        <v>0</v>
      </c>
      <c r="B12907" t="s">
        <v>3638</v>
      </c>
      <c r="C12907" t="s">
        <v>16074</v>
      </c>
      <c r="D12907" t="s">
        <v>19038</v>
      </c>
      <c r="E12907" t="s">
        <v>30151</v>
      </c>
      <c r="F12907" t="s">
        <v>32831</v>
      </c>
      <c r="G12907" t="s">
        <v>32840</v>
      </c>
      <c r="H12907" t="s">
        <v>32848</v>
      </c>
      <c r="I12907" t="s">
        <v>9577</v>
      </c>
      <c r="J12907" t="s">
        <v>40875</v>
      </c>
      <c r="K12907" t="s">
        <v>42726</v>
      </c>
      <c r="M12907" t="s">
        <v>47008</v>
      </c>
      <c r="N12907" t="s">
        <v>47424</v>
      </c>
      <c r="O12907" t="s">
        <v>47425</v>
      </c>
      <c r="P12907">
        <v>0</v>
      </c>
      <c r="Q12907">
        <v>0</v>
      </c>
      <c r="R12907" t="s">
        <v>47440</v>
      </c>
      <c r="S12907" t="s">
        <v>47963</v>
      </c>
      <c r="T12907" t="s">
        <v>49237</v>
      </c>
      <c r="U12907" t="s">
        <v>60265</v>
      </c>
      <c r="W12907" t="s">
        <v>47008</v>
      </c>
      <c r="X12907" t="s">
        <v>47441</v>
      </c>
    </row>
    <row r="12908" spans="1:24">
      <c r="A12908">
        <f>HYPERLINK("https://www.philgeps.gov.ph/GEPSNONPILOT/Tender/SplashBidNoticeAbstractUI.aspx?menuIndex=3&amp;refID=7138078&amp;Result=3","7138078")</f>
        <v>0</v>
      </c>
      <c r="B12908" t="s">
        <v>3638</v>
      </c>
      <c r="C12908" t="s">
        <v>16075</v>
      </c>
      <c r="D12908" t="s">
        <v>19038</v>
      </c>
      <c r="E12908" t="s">
        <v>30152</v>
      </c>
      <c r="F12908" t="s">
        <v>32831</v>
      </c>
      <c r="G12908" t="s">
        <v>32840</v>
      </c>
      <c r="H12908" t="s">
        <v>32848</v>
      </c>
      <c r="I12908" t="s">
        <v>7416</v>
      </c>
      <c r="J12908" t="s">
        <v>34870</v>
      </c>
      <c r="K12908" t="s">
        <v>42726</v>
      </c>
      <c r="M12908" t="s">
        <v>47008</v>
      </c>
      <c r="N12908" t="s">
        <v>47424</v>
      </c>
      <c r="O12908" t="s">
        <v>47425</v>
      </c>
      <c r="P12908">
        <v>0</v>
      </c>
      <c r="Q12908">
        <v>6</v>
      </c>
      <c r="R12908" t="s">
        <v>47440</v>
      </c>
      <c r="S12908" t="s">
        <v>47963</v>
      </c>
      <c r="T12908" t="s">
        <v>49237</v>
      </c>
      <c r="U12908" t="s">
        <v>60266</v>
      </c>
      <c r="W12908" t="s">
        <v>47008</v>
      </c>
      <c r="X12908" t="s">
        <v>47441</v>
      </c>
    </row>
    <row r="12909" spans="1:24">
      <c r="A12909">
        <f>HYPERLINK("https://www.philgeps.gov.ph/GEPSNONPILOT/Tender/SplashBidNoticeAbstractUI.aspx?menuIndex=3&amp;refID=7138065&amp;Result=3","7138065")</f>
        <v>0</v>
      </c>
      <c r="B12909" t="s">
        <v>3637</v>
      </c>
      <c r="C12909" t="s">
        <v>16076</v>
      </c>
      <c r="D12909" t="s">
        <v>19047</v>
      </c>
      <c r="E12909" t="s">
        <v>30153</v>
      </c>
      <c r="F12909" t="s">
        <v>32831</v>
      </c>
      <c r="G12909" t="s">
        <v>32839</v>
      </c>
      <c r="H12909" t="s">
        <v>14069</v>
      </c>
      <c r="I12909" t="s">
        <v>14069</v>
      </c>
      <c r="J12909" t="s">
        <v>33969</v>
      </c>
      <c r="K12909" t="s">
        <v>42922</v>
      </c>
      <c r="M12909" t="s">
        <v>47007</v>
      </c>
      <c r="N12909" t="s">
        <v>47424</v>
      </c>
      <c r="O12909" t="s">
        <v>47425</v>
      </c>
      <c r="P12909">
        <v>0</v>
      </c>
      <c r="Q12909">
        <v>4</v>
      </c>
      <c r="R12909" t="s">
        <v>47440</v>
      </c>
      <c r="S12909" t="s">
        <v>47963</v>
      </c>
      <c r="T12909" t="s">
        <v>49192</v>
      </c>
      <c r="U12909" t="s">
        <v>60267</v>
      </c>
      <c r="V12909" t="s">
        <v>64059</v>
      </c>
      <c r="W12909" t="s">
        <v>47007</v>
      </c>
      <c r="X12909" t="s">
        <v>47441</v>
      </c>
    </row>
    <row r="12910" spans="1:24">
      <c r="A12910">
        <f>HYPERLINK("https://www.philgeps.gov.ph/GEPSNONPILOT/Tender/SplashBidNoticeAbstractUI.aspx?menuIndex=3&amp;refID=7138265&amp;Result=3","7138265")</f>
        <v>0</v>
      </c>
      <c r="B12910" t="s">
        <v>2823</v>
      </c>
      <c r="C12910" t="s">
        <v>16077</v>
      </c>
      <c r="D12910" t="s">
        <v>19056</v>
      </c>
      <c r="E12910" t="s">
        <v>30154</v>
      </c>
      <c r="F12910" t="s">
        <v>32831</v>
      </c>
      <c r="G12910" t="s">
        <v>32839</v>
      </c>
      <c r="H12910" t="s">
        <v>32849</v>
      </c>
      <c r="I12910" t="s">
        <v>4177</v>
      </c>
      <c r="J12910" t="s">
        <v>36871</v>
      </c>
      <c r="K12910" t="s">
        <v>42790</v>
      </c>
      <c r="M12910" t="s">
        <v>46053</v>
      </c>
      <c r="N12910" t="s">
        <v>47424</v>
      </c>
      <c r="O12910" t="s">
        <v>47425</v>
      </c>
      <c r="P12910">
        <v>0</v>
      </c>
      <c r="Q12910">
        <v>4</v>
      </c>
      <c r="R12910" t="s">
        <v>47440</v>
      </c>
      <c r="S12910" t="s">
        <v>47963</v>
      </c>
      <c r="T12910" t="s">
        <v>49155</v>
      </c>
      <c r="U12910" t="s">
        <v>60268</v>
      </c>
      <c r="W12910" t="s">
        <v>46053</v>
      </c>
      <c r="X12910" t="s">
        <v>47441</v>
      </c>
    </row>
    <row r="12911" spans="1:24">
      <c r="A12911">
        <f>HYPERLINK("https://www.philgeps.gov.ph/GEPSNONPILOT/Tender/SplashBidNoticeAbstractUI.aspx?menuIndex=3&amp;refID=7138269&amp;Result=3","7138269")</f>
        <v>0</v>
      </c>
      <c r="B12911" t="s">
        <v>713</v>
      </c>
      <c r="C12911" t="s">
        <v>16078</v>
      </c>
      <c r="D12911" t="s">
        <v>19023</v>
      </c>
      <c r="E12911" t="s">
        <v>30155</v>
      </c>
      <c r="F12911" t="s">
        <v>32831</v>
      </c>
      <c r="G12911" t="s">
        <v>32839</v>
      </c>
      <c r="H12911" t="s">
        <v>32848</v>
      </c>
      <c r="I12911" t="s">
        <v>4558</v>
      </c>
      <c r="J12911" t="s">
        <v>33072</v>
      </c>
      <c r="K12911" t="s">
        <v>42730</v>
      </c>
      <c r="M12911" t="s">
        <v>43733</v>
      </c>
      <c r="N12911" t="s">
        <v>47424</v>
      </c>
      <c r="O12911" t="s">
        <v>47425</v>
      </c>
      <c r="P12911">
        <v>0</v>
      </c>
      <c r="Q12911">
        <v>8</v>
      </c>
      <c r="R12911" t="s">
        <v>47440</v>
      </c>
      <c r="S12911" t="s">
        <v>47963</v>
      </c>
      <c r="T12911" t="s">
        <v>49089</v>
      </c>
      <c r="U12911" t="s">
        <v>60269</v>
      </c>
      <c r="W12911" t="s">
        <v>43733</v>
      </c>
      <c r="X12911" t="s">
        <v>47441</v>
      </c>
    </row>
    <row r="12912" spans="1:24">
      <c r="A12912">
        <f>HYPERLINK("https://www.philgeps.gov.ph/GEPSNONPILOT/Tender/SplashBidNoticeAbstractUI.aspx?menuIndex=3&amp;refID=7138037&amp;Result=3","7138037")</f>
        <v>0</v>
      </c>
      <c r="B12912" t="s">
        <v>832</v>
      </c>
      <c r="C12912" t="s">
        <v>16079</v>
      </c>
      <c r="D12912" t="s">
        <v>19101</v>
      </c>
      <c r="E12912" t="s">
        <v>30156</v>
      </c>
      <c r="F12912" t="s">
        <v>32831</v>
      </c>
      <c r="G12912" t="s">
        <v>32839</v>
      </c>
      <c r="H12912" t="s">
        <v>32848</v>
      </c>
      <c r="I12912" t="s">
        <v>32925</v>
      </c>
      <c r="J12912" t="s">
        <v>33236</v>
      </c>
      <c r="K12912" t="s">
        <v>42729</v>
      </c>
      <c r="M12912" t="s">
        <v>44445</v>
      </c>
      <c r="N12912" t="s">
        <v>47424</v>
      </c>
      <c r="O12912" t="s">
        <v>47425</v>
      </c>
      <c r="Q12912">
        <v>8</v>
      </c>
      <c r="R12912" t="s">
        <v>47440</v>
      </c>
      <c r="S12912" t="s">
        <v>48028</v>
      </c>
      <c r="T12912" t="s">
        <v>49097</v>
      </c>
      <c r="U12912" t="s">
        <v>60213</v>
      </c>
      <c r="V12912" t="s">
        <v>64067</v>
      </c>
      <c r="W12912" t="s">
        <v>44445</v>
      </c>
      <c r="X12912" t="s">
        <v>47441</v>
      </c>
    </row>
    <row r="12913" spans="1:24">
      <c r="A12913">
        <f>HYPERLINK("https://www.philgeps.gov.ph/GEPSNONPILOT/Tender/SplashBidNoticeAbstractUI.aspx?menuIndex=3&amp;refID=7138325&amp;Result=3","7138325")</f>
        <v>0</v>
      </c>
      <c r="B12913" t="s">
        <v>2487</v>
      </c>
      <c r="C12913" t="s">
        <v>16080</v>
      </c>
      <c r="D12913" t="s">
        <v>19071</v>
      </c>
      <c r="E12913" t="s">
        <v>30157</v>
      </c>
      <c r="F12913" t="s">
        <v>32831</v>
      </c>
      <c r="G12913" t="s">
        <v>32839</v>
      </c>
      <c r="H12913" t="s">
        <v>32849</v>
      </c>
      <c r="I12913" t="s">
        <v>4177</v>
      </c>
      <c r="J12913" t="s">
        <v>40876</v>
      </c>
      <c r="K12913" t="s">
        <v>42732</v>
      </c>
      <c r="M12913" t="s">
        <v>45690</v>
      </c>
      <c r="N12913" t="s">
        <v>47424</v>
      </c>
      <c r="O12913" t="s">
        <v>47425</v>
      </c>
      <c r="Q12913">
        <v>0</v>
      </c>
      <c r="R12913" t="s">
        <v>47440</v>
      </c>
      <c r="S12913" t="s">
        <v>48029</v>
      </c>
      <c r="T12913" t="s">
        <v>49073</v>
      </c>
      <c r="U12913" t="s">
        <v>60270</v>
      </c>
      <c r="W12913" t="s">
        <v>45690</v>
      </c>
      <c r="X12913" t="s">
        <v>47441</v>
      </c>
    </row>
    <row r="12914" spans="1:24">
      <c r="A12914">
        <f>HYPERLINK("https://www.philgeps.gov.ph/GEPSNONPILOT/Tender/SplashBidNoticeAbstractUI.aspx?menuIndex=3&amp;refID=7138267&amp;Result=3","7138267")</f>
        <v>0</v>
      </c>
      <c r="B12914" t="s">
        <v>1138</v>
      </c>
      <c r="C12914" t="s">
        <v>16081</v>
      </c>
      <c r="D12914" t="s">
        <v>19060</v>
      </c>
      <c r="E12914" t="s">
        <v>30158</v>
      </c>
      <c r="F12914" t="s">
        <v>32831</v>
      </c>
      <c r="G12914" t="s">
        <v>32839</v>
      </c>
      <c r="H12914" t="s">
        <v>32849</v>
      </c>
      <c r="I12914" t="s">
        <v>4177</v>
      </c>
      <c r="J12914" t="s">
        <v>33794</v>
      </c>
      <c r="K12914" t="s">
        <v>42788</v>
      </c>
      <c r="M12914" t="s">
        <v>44201</v>
      </c>
      <c r="N12914" t="s">
        <v>47424</v>
      </c>
      <c r="O12914" t="s">
        <v>47425</v>
      </c>
      <c r="P12914">
        <v>0</v>
      </c>
      <c r="Q12914">
        <v>1</v>
      </c>
      <c r="R12914" t="s">
        <v>47440</v>
      </c>
      <c r="S12914" t="s">
        <v>47963</v>
      </c>
      <c r="T12914" t="s">
        <v>49166</v>
      </c>
      <c r="U12914" t="s">
        <v>60271</v>
      </c>
      <c r="W12914" t="s">
        <v>44201</v>
      </c>
      <c r="X12914" t="s">
        <v>47441</v>
      </c>
    </row>
    <row r="12915" spans="1:24">
      <c r="A12915">
        <f>HYPERLINK("https://www.philgeps.gov.ph/GEPSNONPILOT/Tender/SplashBidNoticeAbstractUI.aspx?menuIndex=3&amp;refID=7138034&amp;Result=3","7138034")</f>
        <v>0</v>
      </c>
      <c r="B12915" t="s">
        <v>1983</v>
      </c>
      <c r="C12915" t="s">
        <v>16082</v>
      </c>
      <c r="E12915" t="s">
        <v>30159</v>
      </c>
      <c r="F12915" t="s">
        <v>32831</v>
      </c>
      <c r="G12915" t="s">
        <v>32839</v>
      </c>
      <c r="H12915" t="s">
        <v>32849</v>
      </c>
      <c r="I12915" t="s">
        <v>4177</v>
      </c>
      <c r="J12915" t="s">
        <v>40877</v>
      </c>
      <c r="K12915" t="s">
        <v>42732</v>
      </c>
      <c r="M12915" t="s">
        <v>45145</v>
      </c>
      <c r="N12915" t="s">
        <v>47424</v>
      </c>
      <c r="O12915" t="s">
        <v>47425</v>
      </c>
      <c r="P12915">
        <v>0</v>
      </c>
      <c r="Q12915">
        <v>13</v>
      </c>
      <c r="R12915" t="s">
        <v>47440</v>
      </c>
      <c r="S12915" t="s">
        <v>47963</v>
      </c>
      <c r="T12915" t="s">
        <v>49080</v>
      </c>
      <c r="U12915" t="s">
        <v>60272</v>
      </c>
      <c r="W12915" t="s">
        <v>64550</v>
      </c>
      <c r="X12915" t="s">
        <v>47441</v>
      </c>
    </row>
    <row r="12916" spans="1:24">
      <c r="A12916">
        <f>HYPERLINK("https://www.philgeps.gov.ph/GEPSNONPILOT/Tender/SplashBidNoticeAbstractUI.aspx?menuIndex=3&amp;refID=7137956&amp;Result=3","7137956")</f>
        <v>0</v>
      </c>
      <c r="B12916" t="s">
        <v>3632</v>
      </c>
      <c r="C12916" t="s">
        <v>16083</v>
      </c>
      <c r="D12916" t="s">
        <v>19077</v>
      </c>
      <c r="E12916" t="s">
        <v>30160</v>
      </c>
      <c r="F12916" t="s">
        <v>32831</v>
      </c>
      <c r="G12916" t="s">
        <v>32845</v>
      </c>
      <c r="H12916" t="s">
        <v>32849</v>
      </c>
      <c r="I12916" t="s">
        <v>4177</v>
      </c>
      <c r="J12916" t="s">
        <v>40878</v>
      </c>
      <c r="K12916" t="s">
        <v>42730</v>
      </c>
      <c r="M12916" t="s">
        <v>47002</v>
      </c>
      <c r="N12916" t="s">
        <v>47424</v>
      </c>
      <c r="O12916" t="s">
        <v>47425</v>
      </c>
      <c r="P12916">
        <v>0</v>
      </c>
      <c r="Q12916">
        <v>0</v>
      </c>
      <c r="R12916" t="s">
        <v>47440</v>
      </c>
      <c r="S12916" t="s">
        <v>47963</v>
      </c>
      <c r="T12916" t="s">
        <v>49073</v>
      </c>
      <c r="U12916" t="s">
        <v>60273</v>
      </c>
      <c r="W12916" t="s">
        <v>47002</v>
      </c>
      <c r="X12916" t="s">
        <v>47441</v>
      </c>
    </row>
    <row r="12917" spans="1:24">
      <c r="A12917">
        <f>HYPERLINK("https://www.philgeps.gov.ph/GEPSNONPILOT/Tender/SplashBidNoticeAbstractUI.aspx?menuIndex=3&amp;refID=7138055&amp;Result=3","7138055")</f>
        <v>0</v>
      </c>
      <c r="B12917" t="s">
        <v>2546</v>
      </c>
      <c r="C12917" t="s">
        <v>16084</v>
      </c>
      <c r="D12917" t="s">
        <v>19017</v>
      </c>
      <c r="E12917" t="s">
        <v>30161</v>
      </c>
      <c r="F12917" t="s">
        <v>32831</v>
      </c>
      <c r="G12917" t="s">
        <v>32839</v>
      </c>
      <c r="H12917" t="s">
        <v>32848</v>
      </c>
      <c r="I12917" t="s">
        <v>4776</v>
      </c>
      <c r="J12917" t="s">
        <v>40879</v>
      </c>
      <c r="K12917" t="s">
        <v>42732</v>
      </c>
      <c r="M12917" t="s">
        <v>45758</v>
      </c>
      <c r="N12917" t="s">
        <v>47424</v>
      </c>
      <c r="O12917" t="s">
        <v>47425</v>
      </c>
      <c r="P12917">
        <v>0</v>
      </c>
      <c r="Q12917">
        <v>18</v>
      </c>
      <c r="R12917" t="s">
        <v>47440</v>
      </c>
      <c r="S12917" t="s">
        <v>47963</v>
      </c>
      <c r="T12917" t="s">
        <v>49169</v>
      </c>
      <c r="U12917" t="s">
        <v>60274</v>
      </c>
      <c r="W12917" t="s">
        <v>45758</v>
      </c>
      <c r="X12917" t="s">
        <v>47441</v>
      </c>
    </row>
    <row r="12918" spans="1:24">
      <c r="A12918">
        <f>HYPERLINK("https://www.philgeps.gov.ph/GEPSNONPILOT/Tender/SplashBidNoticeAbstractUI.aspx?menuIndex=3&amp;refID=7138064&amp;Result=3","7138064")</f>
        <v>0</v>
      </c>
      <c r="B12918" t="s">
        <v>223</v>
      </c>
      <c r="C12918" t="s">
        <v>16085</v>
      </c>
      <c r="E12918" t="s">
        <v>30162</v>
      </c>
      <c r="F12918" t="s">
        <v>32831</v>
      </c>
      <c r="G12918" t="s">
        <v>32839</v>
      </c>
      <c r="H12918" t="s">
        <v>32848</v>
      </c>
      <c r="I12918" t="s">
        <v>32857</v>
      </c>
      <c r="J12918" t="s">
        <v>33257</v>
      </c>
      <c r="K12918" t="s">
        <v>42730</v>
      </c>
      <c r="M12918" t="s">
        <v>43221</v>
      </c>
      <c r="N12918" t="s">
        <v>47424</v>
      </c>
      <c r="O12918" t="s">
        <v>47425</v>
      </c>
      <c r="P12918">
        <v>0</v>
      </c>
      <c r="Q12918">
        <v>3</v>
      </c>
      <c r="R12918" t="s">
        <v>47440</v>
      </c>
      <c r="S12918" t="s">
        <v>47963</v>
      </c>
      <c r="T12918" t="s">
        <v>49066</v>
      </c>
      <c r="U12918" t="s">
        <v>60245</v>
      </c>
      <c r="W12918" t="s">
        <v>43221</v>
      </c>
      <c r="X12918" t="s">
        <v>47441</v>
      </c>
    </row>
    <row r="12919" spans="1:24">
      <c r="A12919">
        <f>HYPERLINK("https://www.philgeps.gov.ph/GEPSNONPILOT/Tender/SplashBidNoticeAbstractUI.aspx?menuIndex=3&amp;refID=7138032&amp;Result=3","7138032")</f>
        <v>0</v>
      </c>
      <c r="B12919" t="s">
        <v>911</v>
      </c>
      <c r="C12919" t="s">
        <v>16086</v>
      </c>
      <c r="D12919" t="s">
        <v>19049</v>
      </c>
      <c r="E12919" t="s">
        <v>30163</v>
      </c>
      <c r="F12919" t="s">
        <v>32831</v>
      </c>
      <c r="G12919" t="s">
        <v>32839</v>
      </c>
      <c r="H12919" t="s">
        <v>32848</v>
      </c>
      <c r="I12919" t="s">
        <v>7416</v>
      </c>
      <c r="J12919" t="s">
        <v>40880</v>
      </c>
      <c r="K12919" t="s">
        <v>42729</v>
      </c>
      <c r="M12919" t="s">
        <v>43951</v>
      </c>
      <c r="N12919" t="s">
        <v>47424</v>
      </c>
      <c r="O12919" t="s">
        <v>47425</v>
      </c>
      <c r="P12919">
        <v>0</v>
      </c>
      <c r="Q12919">
        <v>1</v>
      </c>
      <c r="R12919" t="s">
        <v>47440</v>
      </c>
      <c r="S12919" t="s">
        <v>47963</v>
      </c>
      <c r="T12919" t="s">
        <v>49069</v>
      </c>
      <c r="U12919" t="s">
        <v>52589</v>
      </c>
      <c r="W12919" t="s">
        <v>43951</v>
      </c>
      <c r="X12919" t="s">
        <v>47441</v>
      </c>
    </row>
    <row r="12920" spans="1:24">
      <c r="A12920">
        <f>HYPERLINK("https://www.philgeps.gov.ph/GEPSNONPILOT/Tender/SplashBidNoticeAbstractUI.aspx?menuIndex=3&amp;refID=7138027&amp;Result=3","7138027")</f>
        <v>0</v>
      </c>
      <c r="B12920" t="s">
        <v>3646</v>
      </c>
      <c r="C12920" t="s">
        <v>16087</v>
      </c>
      <c r="D12920" t="s">
        <v>19037</v>
      </c>
      <c r="E12920" t="s">
        <v>30164</v>
      </c>
      <c r="F12920" t="s">
        <v>32831</v>
      </c>
      <c r="G12920" t="s">
        <v>32839</v>
      </c>
      <c r="H12920" t="s">
        <v>32849</v>
      </c>
      <c r="I12920" t="s">
        <v>32855</v>
      </c>
      <c r="J12920" t="s">
        <v>33118</v>
      </c>
      <c r="K12920" t="s">
        <v>42729</v>
      </c>
      <c r="M12920" t="s">
        <v>47017</v>
      </c>
      <c r="N12920" t="s">
        <v>47424</v>
      </c>
      <c r="O12920" t="s">
        <v>47425</v>
      </c>
      <c r="P12920">
        <v>0</v>
      </c>
      <c r="Q12920">
        <v>0</v>
      </c>
      <c r="R12920" t="s">
        <v>47440</v>
      </c>
      <c r="S12920" t="s">
        <v>47963</v>
      </c>
      <c r="T12920" t="s">
        <v>49073</v>
      </c>
      <c r="U12920" t="s">
        <v>60275</v>
      </c>
      <c r="W12920" t="s">
        <v>47017</v>
      </c>
      <c r="X12920" t="s">
        <v>47441</v>
      </c>
    </row>
    <row r="12921" spans="1:24">
      <c r="A12921">
        <f>HYPERLINK("https://www.philgeps.gov.ph/GEPSNONPILOT/Tender/SplashBidNoticeAbstractUI.aspx?menuIndex=3&amp;refID=7137957&amp;Result=3","7137957")</f>
        <v>0</v>
      </c>
      <c r="B12921" t="s">
        <v>3619</v>
      </c>
      <c r="C12921" t="s">
        <v>16088</v>
      </c>
      <c r="D12921" t="s">
        <v>19047</v>
      </c>
      <c r="E12921" t="s">
        <v>30165</v>
      </c>
      <c r="F12921" t="s">
        <v>32831</v>
      </c>
      <c r="G12921" t="s">
        <v>32839</v>
      </c>
      <c r="H12921" t="s">
        <v>32848</v>
      </c>
      <c r="I12921" t="s">
        <v>32867</v>
      </c>
      <c r="J12921" t="s">
        <v>40881</v>
      </c>
      <c r="K12921" t="s">
        <v>42729</v>
      </c>
      <c r="M12921" t="s">
        <v>46988</v>
      </c>
      <c r="N12921" t="s">
        <v>47424</v>
      </c>
      <c r="O12921" t="s">
        <v>47425</v>
      </c>
      <c r="Q12921">
        <v>17</v>
      </c>
      <c r="R12921" t="s">
        <v>47440</v>
      </c>
      <c r="S12921" t="s">
        <v>48030</v>
      </c>
      <c r="T12921" t="s">
        <v>49105</v>
      </c>
      <c r="U12921" t="s">
        <v>60276</v>
      </c>
      <c r="W12921" t="s">
        <v>46988</v>
      </c>
      <c r="X12921" t="s">
        <v>47441</v>
      </c>
    </row>
    <row r="12922" spans="1:24">
      <c r="A12922">
        <f>HYPERLINK("https://www.philgeps.gov.ph/GEPSNONPILOT/Tender/SplashBidNoticeAbstractUI.aspx?menuIndex=3&amp;refID=7138456&amp;Result=3","7138456")</f>
        <v>0</v>
      </c>
      <c r="B12922" t="s">
        <v>3556</v>
      </c>
      <c r="C12922" t="s">
        <v>16089</v>
      </c>
      <c r="D12922" t="s">
        <v>19037</v>
      </c>
      <c r="E12922" t="s">
        <v>30166</v>
      </c>
      <c r="F12922" t="s">
        <v>32832</v>
      </c>
      <c r="G12922" t="s">
        <v>32839</v>
      </c>
      <c r="H12922" t="s">
        <v>32849</v>
      </c>
      <c r="I12922" t="s">
        <v>4177</v>
      </c>
      <c r="J12922" t="s">
        <v>40882</v>
      </c>
      <c r="K12922" t="s">
        <v>42732</v>
      </c>
      <c r="M12922" t="s">
        <v>46911</v>
      </c>
      <c r="N12922" t="s">
        <v>47424</v>
      </c>
      <c r="O12922" t="s">
        <v>47425</v>
      </c>
      <c r="P12922">
        <v>0</v>
      </c>
      <c r="Q12922">
        <v>0</v>
      </c>
      <c r="R12922" t="s">
        <v>47440</v>
      </c>
      <c r="S12922" t="s">
        <v>47963</v>
      </c>
      <c r="T12922" t="s">
        <v>49066</v>
      </c>
      <c r="U12922" t="s">
        <v>60277</v>
      </c>
      <c r="V12922" t="s">
        <v>63991</v>
      </c>
      <c r="W12922" t="s">
        <v>46911</v>
      </c>
      <c r="X12922" t="s">
        <v>47441</v>
      </c>
    </row>
    <row r="12923" spans="1:24">
      <c r="A12923">
        <f>HYPERLINK("https://www.philgeps.gov.ph/GEPSNONPILOT/Tender/SplashBidNoticeAbstractUI.aspx?menuIndex=3&amp;refID=7138455&amp;Result=3","7138455")</f>
        <v>0</v>
      </c>
      <c r="B12923" t="s">
        <v>2805</v>
      </c>
      <c r="C12923" t="s">
        <v>16090</v>
      </c>
      <c r="D12923" t="s">
        <v>19080</v>
      </c>
      <c r="E12923" t="s">
        <v>30167</v>
      </c>
      <c r="F12923" t="s">
        <v>32831</v>
      </c>
      <c r="G12923" t="s">
        <v>32839</v>
      </c>
      <c r="H12923" t="s">
        <v>32848</v>
      </c>
      <c r="I12923" t="s">
        <v>7416</v>
      </c>
      <c r="J12923" t="s">
        <v>40883</v>
      </c>
      <c r="K12923" t="s">
        <v>42730</v>
      </c>
      <c r="M12923" t="s">
        <v>46035</v>
      </c>
      <c r="N12923" t="s">
        <v>47424</v>
      </c>
      <c r="O12923" t="s">
        <v>47425</v>
      </c>
      <c r="P12923">
        <v>0</v>
      </c>
      <c r="Q12923">
        <v>0</v>
      </c>
      <c r="R12923" t="s">
        <v>47440</v>
      </c>
      <c r="S12923" t="s">
        <v>47963</v>
      </c>
      <c r="T12923" t="s">
        <v>49162</v>
      </c>
      <c r="U12923" t="s">
        <v>60278</v>
      </c>
      <c r="V12923" t="s">
        <v>64068</v>
      </c>
      <c r="W12923" t="s">
        <v>46035</v>
      </c>
      <c r="X12923" t="s">
        <v>47441</v>
      </c>
    </row>
    <row r="12924" spans="1:24">
      <c r="A12924">
        <f>HYPERLINK("https://www.philgeps.gov.ph/GEPSNONPILOT/Tender/SplashBidNoticeAbstractUI.aspx?menuIndex=3&amp;refID=7138272&amp;Result=3","7138272")</f>
        <v>0</v>
      </c>
      <c r="B12924" t="s">
        <v>1469</v>
      </c>
      <c r="C12924" t="s">
        <v>16091</v>
      </c>
      <c r="D12924" t="s">
        <v>19043</v>
      </c>
      <c r="E12924" t="s">
        <v>22097</v>
      </c>
      <c r="F12924" t="s">
        <v>32831</v>
      </c>
      <c r="G12924" t="s">
        <v>32839</v>
      </c>
      <c r="H12924" t="s">
        <v>32848</v>
      </c>
      <c r="I12924" t="s">
        <v>4177</v>
      </c>
      <c r="J12924" t="s">
        <v>33024</v>
      </c>
      <c r="K12924" t="s">
        <v>42763</v>
      </c>
      <c r="M12924" t="s">
        <v>44562</v>
      </c>
      <c r="N12924" t="s">
        <v>47424</v>
      </c>
      <c r="O12924" t="s">
        <v>47425</v>
      </c>
      <c r="P12924">
        <v>0</v>
      </c>
      <c r="Q12924">
        <v>1</v>
      </c>
      <c r="R12924" t="s">
        <v>47440</v>
      </c>
      <c r="S12924" t="s">
        <v>47963</v>
      </c>
      <c r="T12924" t="s">
        <v>49059</v>
      </c>
      <c r="U12924" t="s">
        <v>60279</v>
      </c>
      <c r="W12924" t="s">
        <v>44562</v>
      </c>
      <c r="X12924" t="s">
        <v>47441</v>
      </c>
    </row>
    <row r="12925" spans="1:24">
      <c r="A12925">
        <f>HYPERLINK("https://www.philgeps.gov.ph/GEPSNONPILOT/Tender/SplashBidNoticeAbstractUI.aspx?menuIndex=3&amp;refID=7138439&amp;Result=3","7138439")</f>
        <v>0</v>
      </c>
      <c r="B12925" t="s">
        <v>2784</v>
      </c>
      <c r="C12925" t="s">
        <v>16092</v>
      </c>
      <c r="D12925" t="s">
        <v>19079</v>
      </c>
      <c r="E12925" t="s">
        <v>30168</v>
      </c>
      <c r="F12925" t="s">
        <v>32831</v>
      </c>
      <c r="G12925" t="s">
        <v>32839</v>
      </c>
      <c r="H12925" t="s">
        <v>32848</v>
      </c>
      <c r="I12925" t="s">
        <v>32931</v>
      </c>
      <c r="J12925" t="s">
        <v>40884</v>
      </c>
      <c r="K12925" t="s">
        <v>42730</v>
      </c>
      <c r="M12925" t="s">
        <v>46014</v>
      </c>
      <c r="N12925" t="s">
        <v>47424</v>
      </c>
      <c r="O12925" t="s">
        <v>47425</v>
      </c>
      <c r="P12925">
        <v>0</v>
      </c>
      <c r="Q12925">
        <v>10</v>
      </c>
      <c r="R12925" t="s">
        <v>47440</v>
      </c>
      <c r="S12925" t="s">
        <v>47963</v>
      </c>
      <c r="T12925" t="s">
        <v>49070</v>
      </c>
      <c r="U12925" t="s">
        <v>60280</v>
      </c>
      <c r="W12925" t="s">
        <v>46014</v>
      </c>
      <c r="X12925" t="s">
        <v>47441</v>
      </c>
    </row>
    <row r="12926" spans="1:24">
      <c r="A12926">
        <f>HYPERLINK("https://www.philgeps.gov.ph/GEPSNONPILOT/Tender/SplashBidNoticeAbstractUI.aspx?menuIndex=3&amp;refID=7138402&amp;Result=3","7138402")</f>
        <v>0</v>
      </c>
      <c r="B12926" t="s">
        <v>3647</v>
      </c>
      <c r="C12926" t="s">
        <v>16093</v>
      </c>
      <c r="D12926" t="s">
        <v>19036</v>
      </c>
      <c r="E12926" t="s">
        <v>30169</v>
      </c>
      <c r="F12926" t="s">
        <v>32831</v>
      </c>
      <c r="G12926" t="s">
        <v>32839</v>
      </c>
      <c r="H12926" t="s">
        <v>32849</v>
      </c>
      <c r="I12926" t="s">
        <v>4177</v>
      </c>
      <c r="J12926" t="s">
        <v>40885</v>
      </c>
      <c r="K12926" t="s">
        <v>42770</v>
      </c>
      <c r="M12926" t="s">
        <v>47018</v>
      </c>
      <c r="N12926" t="s">
        <v>47424</v>
      </c>
      <c r="O12926" t="s">
        <v>47425</v>
      </c>
      <c r="Q12926">
        <v>0</v>
      </c>
      <c r="R12926" t="s">
        <v>47440</v>
      </c>
      <c r="S12926" t="s">
        <v>48031</v>
      </c>
      <c r="T12926" t="s">
        <v>49077</v>
      </c>
      <c r="U12926" t="s">
        <v>60281</v>
      </c>
      <c r="W12926" t="s">
        <v>47018</v>
      </c>
      <c r="X12926" t="s">
        <v>47441</v>
      </c>
    </row>
    <row r="12927" spans="1:24">
      <c r="A12927">
        <f>HYPERLINK("https://www.philgeps.gov.ph/GEPSNONPILOT/Tender/SplashBidNoticeAbstractUI.aspx?menuIndex=3&amp;refID=7138436&amp;Result=3","7138436")</f>
        <v>0</v>
      </c>
      <c r="B12927" t="s">
        <v>671</v>
      </c>
      <c r="C12927" t="s">
        <v>16094</v>
      </c>
      <c r="D12927" t="s">
        <v>19030</v>
      </c>
      <c r="E12927" t="s">
        <v>30170</v>
      </c>
      <c r="F12927" t="s">
        <v>32831</v>
      </c>
      <c r="G12927" t="s">
        <v>32839</v>
      </c>
      <c r="H12927" t="s">
        <v>32848</v>
      </c>
      <c r="I12927" t="s">
        <v>32861</v>
      </c>
      <c r="J12927" t="s">
        <v>40886</v>
      </c>
      <c r="K12927" t="s">
        <v>42730</v>
      </c>
      <c r="M12927" t="s">
        <v>44532</v>
      </c>
      <c r="N12927" t="s">
        <v>47424</v>
      </c>
      <c r="O12927" t="s">
        <v>47425</v>
      </c>
      <c r="Q12927">
        <v>15</v>
      </c>
      <c r="R12927" t="s">
        <v>47440</v>
      </c>
      <c r="S12927" t="s">
        <v>48032</v>
      </c>
      <c r="T12927" t="s">
        <v>49159</v>
      </c>
      <c r="U12927" t="s">
        <v>52028</v>
      </c>
      <c r="V12927" t="s">
        <v>62999</v>
      </c>
      <c r="W12927" t="s">
        <v>64462</v>
      </c>
      <c r="X12927" t="s">
        <v>47441</v>
      </c>
    </row>
    <row r="12928" spans="1:24">
      <c r="A12928">
        <f>HYPERLINK("https://www.philgeps.gov.ph/GEPSNONPILOT/Tender/SplashBidNoticeAbstractUI.aspx?menuIndex=3&amp;refID=7138400&amp;Result=3","7138400")</f>
        <v>0</v>
      </c>
      <c r="B12928" t="s">
        <v>3648</v>
      </c>
      <c r="C12928" t="s">
        <v>16095</v>
      </c>
      <c r="D12928" t="s">
        <v>19060</v>
      </c>
      <c r="E12928" t="s">
        <v>30171</v>
      </c>
      <c r="F12928" t="s">
        <v>32831</v>
      </c>
      <c r="G12928" t="s">
        <v>32839</v>
      </c>
      <c r="H12928" t="s">
        <v>32848</v>
      </c>
      <c r="I12928" t="s">
        <v>32861</v>
      </c>
      <c r="J12928" t="s">
        <v>40887</v>
      </c>
      <c r="K12928" t="s">
        <v>42770</v>
      </c>
      <c r="M12928" t="s">
        <v>47019</v>
      </c>
      <c r="N12928" t="s">
        <v>47424</v>
      </c>
      <c r="O12928" t="s">
        <v>47425</v>
      </c>
      <c r="P12928">
        <v>0</v>
      </c>
      <c r="Q12928">
        <v>44</v>
      </c>
      <c r="R12928" t="s">
        <v>47440</v>
      </c>
      <c r="S12928" t="s">
        <v>47963</v>
      </c>
      <c r="T12928" t="s">
        <v>49063</v>
      </c>
      <c r="U12928" t="s">
        <v>60282</v>
      </c>
      <c r="W12928" t="s">
        <v>47019</v>
      </c>
      <c r="X12928" t="s">
        <v>47441</v>
      </c>
    </row>
    <row r="12929" spans="1:24">
      <c r="A12929">
        <f>HYPERLINK("https://www.philgeps.gov.ph/GEPSNONPILOT/Tender/SplashBidNoticeAbstractUI.aspx?menuIndex=3&amp;refID=7138398&amp;Result=3","7138398")</f>
        <v>0</v>
      </c>
      <c r="B12929" t="s">
        <v>3461</v>
      </c>
      <c r="C12929" t="s">
        <v>16096</v>
      </c>
      <c r="D12929" t="s">
        <v>19045</v>
      </c>
      <c r="E12929" t="s">
        <v>30172</v>
      </c>
      <c r="F12929" t="s">
        <v>32833</v>
      </c>
      <c r="G12929" t="s">
        <v>32839</v>
      </c>
      <c r="H12929" t="s">
        <v>32849</v>
      </c>
      <c r="I12929" t="s">
        <v>4177</v>
      </c>
      <c r="J12929" t="s">
        <v>40888</v>
      </c>
      <c r="K12929" t="s">
        <v>42763</v>
      </c>
      <c r="M12929" t="s">
        <v>46803</v>
      </c>
      <c r="N12929" t="s">
        <v>47424</v>
      </c>
      <c r="O12929" t="s">
        <v>47425</v>
      </c>
      <c r="P12929">
        <v>0</v>
      </c>
      <c r="Q12929">
        <v>2</v>
      </c>
      <c r="R12929" t="s">
        <v>47440</v>
      </c>
      <c r="S12929" t="s">
        <v>47963</v>
      </c>
      <c r="T12929" t="s">
        <v>49073</v>
      </c>
      <c r="U12929" t="s">
        <v>60283</v>
      </c>
      <c r="V12929" t="s">
        <v>63928</v>
      </c>
      <c r="W12929" t="s">
        <v>46803</v>
      </c>
      <c r="X12929" t="s">
        <v>47441</v>
      </c>
    </row>
    <row r="12930" spans="1:24">
      <c r="A12930">
        <f>HYPERLINK("https://www.philgeps.gov.ph/GEPSNONPILOT/Tender/SplashBidNoticeAbstractUI.aspx?menuIndex=3&amp;refID=7138421&amp;Result=3","7138421")</f>
        <v>0</v>
      </c>
      <c r="B12930" t="s">
        <v>1270</v>
      </c>
      <c r="C12930" t="s">
        <v>16097</v>
      </c>
      <c r="D12930" t="s">
        <v>19104</v>
      </c>
      <c r="E12930" t="s">
        <v>30173</v>
      </c>
      <c r="F12930" t="s">
        <v>32831</v>
      </c>
      <c r="G12930" t="s">
        <v>32839</v>
      </c>
      <c r="H12930" t="s">
        <v>32849</v>
      </c>
      <c r="I12930" t="s">
        <v>4177</v>
      </c>
      <c r="J12930" t="s">
        <v>35202</v>
      </c>
      <c r="K12930" t="s">
        <v>42763</v>
      </c>
      <c r="L12930" t="s">
        <v>1270</v>
      </c>
      <c r="M12930" t="s">
        <v>44340</v>
      </c>
      <c r="N12930" t="s">
        <v>47424</v>
      </c>
      <c r="O12930" t="s">
        <v>47425</v>
      </c>
      <c r="Q12930">
        <v>0</v>
      </c>
      <c r="R12930" t="s">
        <v>47440</v>
      </c>
      <c r="S12930" t="s">
        <v>48033</v>
      </c>
      <c r="T12930" t="s">
        <v>49122</v>
      </c>
      <c r="U12930" t="s">
        <v>60284</v>
      </c>
      <c r="W12930" t="s">
        <v>44340</v>
      </c>
      <c r="X12930" t="s">
        <v>47441</v>
      </c>
    </row>
    <row r="12931" spans="1:24">
      <c r="A12931">
        <f>HYPERLINK("https://www.philgeps.gov.ph/GEPSNONPILOT/Tender/SplashBidNoticeAbstractUI.aspx?menuIndex=3&amp;refID=7138441&amp;Result=3","7138441")</f>
        <v>0</v>
      </c>
      <c r="B12931" t="s">
        <v>899</v>
      </c>
      <c r="C12931" t="s">
        <v>16098</v>
      </c>
      <c r="E12931" t="s">
        <v>30174</v>
      </c>
      <c r="F12931" t="s">
        <v>32831</v>
      </c>
      <c r="G12931" t="s">
        <v>32838</v>
      </c>
      <c r="H12931" t="s">
        <v>32848</v>
      </c>
      <c r="I12931" t="s">
        <v>32874</v>
      </c>
      <c r="J12931" t="s">
        <v>40889</v>
      </c>
      <c r="K12931" t="s">
        <v>42732</v>
      </c>
      <c r="M12931" t="s">
        <v>43935</v>
      </c>
      <c r="N12931" t="s">
        <v>47424</v>
      </c>
      <c r="O12931" t="s">
        <v>47425</v>
      </c>
      <c r="Q12931">
        <v>30</v>
      </c>
      <c r="R12931" t="s">
        <v>47440</v>
      </c>
      <c r="S12931" t="s">
        <v>48034</v>
      </c>
      <c r="T12931" t="s">
        <v>49107</v>
      </c>
      <c r="U12931" t="s">
        <v>51549</v>
      </c>
      <c r="W12931" t="s">
        <v>43935</v>
      </c>
      <c r="X12931" t="s">
        <v>47441</v>
      </c>
    </row>
    <row r="12932" spans="1:24">
      <c r="A12932">
        <f>HYPERLINK("https://www.philgeps.gov.ph/GEPSNONPILOT/Tender/SplashBidNoticeAbstractUI.aspx?menuIndex=3&amp;refID=7138394&amp;Result=3","7138394")</f>
        <v>0</v>
      </c>
      <c r="B12932" t="s">
        <v>3399</v>
      </c>
      <c r="C12932" t="s">
        <v>16099</v>
      </c>
      <c r="D12932" t="s">
        <v>19034</v>
      </c>
      <c r="E12932" t="s">
        <v>30175</v>
      </c>
      <c r="F12932" t="s">
        <v>32831</v>
      </c>
      <c r="G12932" t="s">
        <v>32839</v>
      </c>
      <c r="H12932" t="s">
        <v>32849</v>
      </c>
      <c r="I12932" t="s">
        <v>32911</v>
      </c>
      <c r="J12932" t="s">
        <v>40890</v>
      </c>
      <c r="K12932" t="s">
        <v>42729</v>
      </c>
      <c r="M12932" t="s">
        <v>46731</v>
      </c>
      <c r="N12932" t="s">
        <v>47424</v>
      </c>
      <c r="O12932" t="s">
        <v>47425</v>
      </c>
      <c r="P12932">
        <v>0</v>
      </c>
      <c r="Q12932">
        <v>3</v>
      </c>
      <c r="R12932" t="s">
        <v>47440</v>
      </c>
      <c r="S12932" t="s">
        <v>47963</v>
      </c>
      <c r="T12932" t="s">
        <v>49290</v>
      </c>
      <c r="U12932" t="s">
        <v>60285</v>
      </c>
      <c r="W12932" t="s">
        <v>46731</v>
      </c>
      <c r="X12932" t="s">
        <v>47441</v>
      </c>
    </row>
    <row r="12933" spans="1:24">
      <c r="A12933">
        <f>HYPERLINK("https://www.philgeps.gov.ph/GEPSNONPILOT/Tender/SplashBidNoticeAbstractUI.aspx?menuIndex=3&amp;refID=7138397&amp;Result=3","7138397")</f>
        <v>0</v>
      </c>
      <c r="B12933" t="s">
        <v>3649</v>
      </c>
      <c r="C12933" t="s">
        <v>16100</v>
      </c>
      <c r="D12933" t="s">
        <v>19028</v>
      </c>
      <c r="E12933" t="s">
        <v>30176</v>
      </c>
      <c r="F12933" t="s">
        <v>32831</v>
      </c>
      <c r="G12933" t="s">
        <v>32839</v>
      </c>
      <c r="H12933" t="s">
        <v>32849</v>
      </c>
      <c r="I12933" t="s">
        <v>4177</v>
      </c>
      <c r="J12933" t="s">
        <v>34733</v>
      </c>
      <c r="K12933" t="s">
        <v>42968</v>
      </c>
      <c r="M12933" t="s">
        <v>47020</v>
      </c>
      <c r="N12933" t="s">
        <v>47424</v>
      </c>
      <c r="O12933" t="s">
        <v>47425</v>
      </c>
      <c r="P12933">
        <v>0</v>
      </c>
      <c r="Q12933">
        <v>0</v>
      </c>
      <c r="R12933" t="s">
        <v>47440</v>
      </c>
      <c r="S12933" t="s">
        <v>47963</v>
      </c>
      <c r="T12933" t="s">
        <v>49151</v>
      </c>
      <c r="U12933" t="s">
        <v>60286</v>
      </c>
      <c r="V12933" t="s">
        <v>64069</v>
      </c>
      <c r="W12933" t="s">
        <v>47020</v>
      </c>
      <c r="X12933" t="s">
        <v>47441</v>
      </c>
    </row>
    <row r="12934" spans="1:24">
      <c r="A12934">
        <f>HYPERLINK("https://www.philgeps.gov.ph/GEPSNONPILOT/Tender/SplashBidNoticeAbstractUI.aspx?menuIndex=3&amp;refID=7138550&amp;Result=3","7138550")</f>
        <v>0</v>
      </c>
      <c r="B12934" t="s">
        <v>959</v>
      </c>
      <c r="C12934" t="s">
        <v>16101</v>
      </c>
      <c r="D12934" t="s">
        <v>19078</v>
      </c>
      <c r="E12934" t="s">
        <v>27761</v>
      </c>
      <c r="F12934" t="s">
        <v>32831</v>
      </c>
      <c r="G12934" t="s">
        <v>32839</v>
      </c>
      <c r="H12934" t="s">
        <v>32849</v>
      </c>
      <c r="I12934" t="s">
        <v>4177</v>
      </c>
      <c r="J12934" t="s">
        <v>40891</v>
      </c>
      <c r="K12934" t="s">
        <v>42731</v>
      </c>
      <c r="M12934" t="s">
        <v>44005</v>
      </c>
      <c r="N12934" t="s">
        <v>47424</v>
      </c>
      <c r="O12934" t="s">
        <v>47425</v>
      </c>
      <c r="P12934">
        <v>0</v>
      </c>
      <c r="Q12934">
        <v>1</v>
      </c>
      <c r="R12934" t="s">
        <v>47440</v>
      </c>
      <c r="S12934" t="s">
        <v>47963</v>
      </c>
      <c r="T12934" t="s">
        <v>49059</v>
      </c>
      <c r="U12934" t="s">
        <v>60287</v>
      </c>
      <c r="W12934" t="s">
        <v>44005</v>
      </c>
      <c r="X12934" t="s">
        <v>47441</v>
      </c>
    </row>
    <row r="12935" spans="1:24">
      <c r="A12935">
        <f>HYPERLINK("https://www.philgeps.gov.ph/GEPSNONPILOT/Tender/SplashBidNoticeAbstractUI.aspx?menuIndex=3&amp;refID=7138541&amp;Result=3","7138541")</f>
        <v>0</v>
      </c>
      <c r="B12935" t="s">
        <v>3650</v>
      </c>
      <c r="C12935" t="s">
        <v>16102</v>
      </c>
      <c r="E12935" t="s">
        <v>30177</v>
      </c>
      <c r="F12935" t="s">
        <v>32833</v>
      </c>
      <c r="G12935" t="s">
        <v>32839</v>
      </c>
      <c r="H12935" t="s">
        <v>32849</v>
      </c>
      <c r="I12935" t="s">
        <v>7416</v>
      </c>
      <c r="J12935" t="s">
        <v>33364</v>
      </c>
      <c r="K12935" t="s">
        <v>42732</v>
      </c>
      <c r="M12935" t="s">
        <v>47021</v>
      </c>
      <c r="N12935" t="s">
        <v>47424</v>
      </c>
      <c r="O12935" t="s">
        <v>47425</v>
      </c>
      <c r="P12935">
        <v>0</v>
      </c>
      <c r="Q12935">
        <v>0</v>
      </c>
      <c r="R12935" t="s">
        <v>47440</v>
      </c>
      <c r="S12935" t="s">
        <v>47963</v>
      </c>
      <c r="T12935" t="s">
        <v>49166</v>
      </c>
      <c r="U12935" t="s">
        <v>60288</v>
      </c>
      <c r="W12935" t="s">
        <v>47021</v>
      </c>
      <c r="X12935" t="s">
        <v>47441</v>
      </c>
    </row>
    <row r="12936" spans="1:24">
      <c r="A12936">
        <f>HYPERLINK("https://www.philgeps.gov.ph/GEPSNONPILOT/Tender/SplashBidNoticeAbstractUI.aspx?menuIndex=3&amp;refID=7138448&amp;Result=3","7138448")</f>
        <v>0</v>
      </c>
      <c r="B12936" t="s">
        <v>3461</v>
      </c>
      <c r="C12936" t="s">
        <v>16103</v>
      </c>
      <c r="D12936" t="s">
        <v>19045</v>
      </c>
      <c r="E12936" t="s">
        <v>30178</v>
      </c>
      <c r="F12936" t="s">
        <v>32833</v>
      </c>
      <c r="G12936" t="s">
        <v>32839</v>
      </c>
      <c r="H12936" t="s">
        <v>32849</v>
      </c>
      <c r="I12936" t="s">
        <v>4177</v>
      </c>
      <c r="J12936" t="s">
        <v>40892</v>
      </c>
      <c r="K12936" t="s">
        <v>42763</v>
      </c>
      <c r="M12936" t="s">
        <v>46803</v>
      </c>
      <c r="N12936" t="s">
        <v>47424</v>
      </c>
      <c r="O12936" t="s">
        <v>47425</v>
      </c>
      <c r="P12936">
        <v>0</v>
      </c>
      <c r="Q12936">
        <v>3</v>
      </c>
      <c r="R12936" t="s">
        <v>47440</v>
      </c>
      <c r="S12936" t="s">
        <v>47963</v>
      </c>
      <c r="T12936" t="s">
        <v>49073</v>
      </c>
      <c r="U12936" t="s">
        <v>60289</v>
      </c>
      <c r="V12936" t="s">
        <v>63928</v>
      </c>
      <c r="W12936" t="s">
        <v>46803</v>
      </c>
      <c r="X12936" t="s">
        <v>47441</v>
      </c>
    </row>
    <row r="12937" spans="1:24">
      <c r="A12937">
        <f>HYPERLINK("https://www.philgeps.gov.ph/GEPSNONPILOT/Tender/SplashBidNoticeAbstractUI.aspx?menuIndex=3&amp;refID=7138540&amp;Result=3","7138540")</f>
        <v>0</v>
      </c>
      <c r="B12937" t="s">
        <v>1636</v>
      </c>
      <c r="C12937" t="s">
        <v>16104</v>
      </c>
      <c r="D12937" t="s">
        <v>19081</v>
      </c>
      <c r="E12937" t="s">
        <v>27541</v>
      </c>
      <c r="F12937" t="s">
        <v>32831</v>
      </c>
      <c r="G12937" t="s">
        <v>32839</v>
      </c>
      <c r="H12937" t="s">
        <v>32848</v>
      </c>
      <c r="I12937" t="s">
        <v>32859</v>
      </c>
      <c r="J12937" t="s">
        <v>33401</v>
      </c>
      <c r="K12937" t="s">
        <v>42747</v>
      </c>
      <c r="M12937" t="s">
        <v>44752</v>
      </c>
      <c r="N12937" t="s">
        <v>47424</v>
      </c>
      <c r="O12937" t="s">
        <v>47425</v>
      </c>
      <c r="P12937">
        <v>0</v>
      </c>
      <c r="Q12937">
        <v>5</v>
      </c>
      <c r="R12937" t="s">
        <v>47440</v>
      </c>
      <c r="S12937" t="s">
        <v>47963</v>
      </c>
      <c r="T12937" t="s">
        <v>49373</v>
      </c>
      <c r="U12937" t="s">
        <v>60290</v>
      </c>
      <c r="W12937" t="s">
        <v>44752</v>
      </c>
      <c r="X12937" t="s">
        <v>47441</v>
      </c>
    </row>
    <row r="12938" spans="1:24">
      <c r="A12938">
        <f>HYPERLINK("https://www.philgeps.gov.ph/GEPSNONPILOT/Tender/SplashBidNoticeAbstractUI.aspx?menuIndex=3&amp;refID=7138425&amp;Result=3","7138425")</f>
        <v>0</v>
      </c>
      <c r="B12938" t="s">
        <v>3651</v>
      </c>
      <c r="C12938" t="s">
        <v>16105</v>
      </c>
      <c r="D12938" t="s">
        <v>19025</v>
      </c>
      <c r="E12938" t="s">
        <v>30179</v>
      </c>
      <c r="F12938" t="s">
        <v>32831</v>
      </c>
      <c r="G12938" t="s">
        <v>32839</v>
      </c>
      <c r="H12938" t="s">
        <v>32848</v>
      </c>
      <c r="I12938" t="s">
        <v>32859</v>
      </c>
      <c r="J12938" t="s">
        <v>40893</v>
      </c>
      <c r="K12938" t="s">
        <v>42730</v>
      </c>
      <c r="M12938" t="s">
        <v>47022</v>
      </c>
      <c r="N12938" t="s">
        <v>47424</v>
      </c>
      <c r="O12938" t="s">
        <v>47425</v>
      </c>
      <c r="P12938">
        <v>0</v>
      </c>
      <c r="Q12938">
        <v>1</v>
      </c>
      <c r="R12938" t="s">
        <v>47440</v>
      </c>
      <c r="S12938" t="s">
        <v>47963</v>
      </c>
      <c r="T12938" t="s">
        <v>49163</v>
      </c>
      <c r="U12938" t="s">
        <v>60291</v>
      </c>
      <c r="W12938" t="s">
        <v>47022</v>
      </c>
      <c r="X12938" t="s">
        <v>47441</v>
      </c>
    </row>
    <row r="12939" spans="1:24">
      <c r="A12939">
        <f>HYPERLINK("https://www.philgeps.gov.ph/GEPSNONPILOT/Tender/SplashBidNoticeAbstractUI.aspx?menuIndex=3&amp;refID=7138537&amp;Result=3","7138537")</f>
        <v>0</v>
      </c>
      <c r="B12939" t="s">
        <v>958</v>
      </c>
      <c r="C12939" t="s">
        <v>16106</v>
      </c>
      <c r="D12939" t="s">
        <v>19049</v>
      </c>
      <c r="E12939" t="s">
        <v>30180</v>
      </c>
      <c r="F12939" t="s">
        <v>32831</v>
      </c>
      <c r="G12939" t="s">
        <v>32840</v>
      </c>
      <c r="H12939" t="s">
        <v>32848</v>
      </c>
      <c r="I12939" t="s">
        <v>4222</v>
      </c>
      <c r="J12939" t="s">
        <v>40894</v>
      </c>
      <c r="K12939" t="s">
        <v>42732</v>
      </c>
      <c r="M12939" t="s">
        <v>44004</v>
      </c>
      <c r="N12939" t="s">
        <v>47424</v>
      </c>
      <c r="O12939" t="s">
        <v>47425</v>
      </c>
      <c r="Q12939">
        <v>0</v>
      </c>
      <c r="R12939" t="s">
        <v>47440</v>
      </c>
      <c r="S12939" t="s">
        <v>48035</v>
      </c>
      <c r="T12939" t="s">
        <v>49212</v>
      </c>
      <c r="U12939" t="s">
        <v>60292</v>
      </c>
      <c r="W12939" t="s">
        <v>44004</v>
      </c>
      <c r="X12939" t="s">
        <v>47441</v>
      </c>
    </row>
    <row r="12940" spans="1:24">
      <c r="A12940">
        <f>HYPERLINK("https://www.philgeps.gov.ph/GEPSNONPILOT/Tender/SplashBidNoticeAbstractUI.aspx?menuIndex=3&amp;refID=7138536&amp;Result=3","7138536")</f>
        <v>0</v>
      </c>
      <c r="B12940" t="s">
        <v>3652</v>
      </c>
      <c r="C12940" t="s">
        <v>16107</v>
      </c>
      <c r="D12940" t="s">
        <v>19086</v>
      </c>
      <c r="E12940" t="s">
        <v>26290</v>
      </c>
      <c r="F12940" t="s">
        <v>32831</v>
      </c>
      <c r="G12940" t="s">
        <v>32839</v>
      </c>
      <c r="H12940" t="s">
        <v>32849</v>
      </c>
      <c r="I12940" t="s">
        <v>4177</v>
      </c>
      <c r="J12940" t="s">
        <v>40895</v>
      </c>
      <c r="K12940" t="s">
        <v>42770</v>
      </c>
      <c r="M12940" t="s">
        <v>47023</v>
      </c>
      <c r="N12940" t="s">
        <v>47424</v>
      </c>
      <c r="O12940" t="s">
        <v>47425</v>
      </c>
      <c r="Q12940">
        <v>5</v>
      </c>
      <c r="R12940" t="s">
        <v>47440</v>
      </c>
      <c r="S12940" t="s">
        <v>48036</v>
      </c>
      <c r="T12940" t="s">
        <v>49080</v>
      </c>
      <c r="U12940" t="s">
        <v>60293</v>
      </c>
      <c r="W12940" t="s">
        <v>47023</v>
      </c>
      <c r="X12940" t="s">
        <v>47441</v>
      </c>
    </row>
    <row r="12941" spans="1:24">
      <c r="A12941">
        <f>HYPERLINK("https://www.philgeps.gov.ph/GEPSNONPILOT/Tender/SplashBidNoticeAbstractUI.aspx?menuIndex=3&amp;refID=7138526&amp;Result=3","7138526")</f>
        <v>0</v>
      </c>
      <c r="B12941" t="s">
        <v>911</v>
      </c>
      <c r="C12941" t="s">
        <v>16108</v>
      </c>
      <c r="D12941" t="s">
        <v>19049</v>
      </c>
      <c r="E12941" t="s">
        <v>30181</v>
      </c>
      <c r="F12941" t="s">
        <v>32831</v>
      </c>
      <c r="G12941" t="s">
        <v>32839</v>
      </c>
      <c r="H12941" t="s">
        <v>32848</v>
      </c>
      <c r="I12941" t="s">
        <v>5379</v>
      </c>
      <c r="J12941" t="s">
        <v>36189</v>
      </c>
      <c r="K12941" t="s">
        <v>42727</v>
      </c>
      <c r="M12941" t="s">
        <v>43951</v>
      </c>
      <c r="N12941" t="s">
        <v>47424</v>
      </c>
      <c r="O12941" t="s">
        <v>47425</v>
      </c>
      <c r="P12941">
        <v>0</v>
      </c>
      <c r="Q12941">
        <v>0</v>
      </c>
      <c r="R12941" t="s">
        <v>47440</v>
      </c>
      <c r="S12941" t="s">
        <v>47963</v>
      </c>
      <c r="T12941" t="s">
        <v>49069</v>
      </c>
      <c r="U12941" t="s">
        <v>52589</v>
      </c>
      <c r="W12941" t="s">
        <v>43951</v>
      </c>
      <c r="X12941" t="s">
        <v>47441</v>
      </c>
    </row>
    <row r="12942" spans="1:24">
      <c r="A12942">
        <f>HYPERLINK("https://www.philgeps.gov.ph/GEPSNONPILOT/Tender/SplashBidNoticeAbstractUI.aspx?menuIndex=3&amp;refID=7138514&amp;Result=3","7138514")</f>
        <v>0</v>
      </c>
      <c r="B12942" t="s">
        <v>959</v>
      </c>
      <c r="C12942" t="s">
        <v>16109</v>
      </c>
      <c r="D12942" t="s">
        <v>19078</v>
      </c>
      <c r="E12942" t="s">
        <v>21140</v>
      </c>
      <c r="F12942" t="s">
        <v>32831</v>
      </c>
      <c r="G12942" t="s">
        <v>32839</v>
      </c>
      <c r="H12942" t="s">
        <v>32849</v>
      </c>
      <c r="I12942" t="s">
        <v>4177</v>
      </c>
      <c r="J12942" t="s">
        <v>40896</v>
      </c>
      <c r="K12942" t="s">
        <v>42758</v>
      </c>
      <c r="M12942" t="s">
        <v>44005</v>
      </c>
      <c r="N12942" t="s">
        <v>47424</v>
      </c>
      <c r="O12942" t="s">
        <v>47425</v>
      </c>
      <c r="P12942">
        <v>0</v>
      </c>
      <c r="Q12942">
        <v>1</v>
      </c>
      <c r="R12942" t="s">
        <v>47440</v>
      </c>
      <c r="S12942" t="s">
        <v>47963</v>
      </c>
      <c r="T12942" t="s">
        <v>49059</v>
      </c>
      <c r="U12942" t="s">
        <v>60294</v>
      </c>
      <c r="W12942" t="s">
        <v>44005</v>
      </c>
      <c r="X12942" t="s">
        <v>47441</v>
      </c>
    </row>
    <row r="12943" spans="1:24">
      <c r="A12943">
        <f>HYPERLINK("https://www.philgeps.gov.ph/GEPSNONPILOT/Tender/SplashBidNoticeAbstractUI.aspx?menuIndex=3&amp;refID=7138372&amp;Result=3","7138372")</f>
        <v>0</v>
      </c>
      <c r="B12943" t="s">
        <v>1490</v>
      </c>
      <c r="C12943" t="s">
        <v>16110</v>
      </c>
      <c r="D12943" t="s">
        <v>19042</v>
      </c>
      <c r="E12943" t="s">
        <v>27541</v>
      </c>
      <c r="F12943" t="s">
        <v>32831</v>
      </c>
      <c r="G12943" t="s">
        <v>32839</v>
      </c>
      <c r="H12943" t="s">
        <v>32849</v>
      </c>
      <c r="I12943" t="s">
        <v>4177</v>
      </c>
      <c r="J12943" t="s">
        <v>40897</v>
      </c>
      <c r="K12943" t="s">
        <v>42732</v>
      </c>
      <c r="M12943" t="s">
        <v>44586</v>
      </c>
      <c r="N12943" t="s">
        <v>47424</v>
      </c>
      <c r="O12943" t="s">
        <v>47425</v>
      </c>
      <c r="P12943">
        <v>0</v>
      </c>
      <c r="Q12943">
        <v>2</v>
      </c>
      <c r="R12943" t="s">
        <v>47440</v>
      </c>
      <c r="S12943" t="s">
        <v>47963</v>
      </c>
      <c r="T12943" t="s">
        <v>49159</v>
      </c>
      <c r="U12943" t="s">
        <v>60168</v>
      </c>
      <c r="W12943" t="s">
        <v>44586</v>
      </c>
      <c r="X12943" t="s">
        <v>47441</v>
      </c>
    </row>
    <row r="12944" spans="1:24">
      <c r="A12944">
        <f>HYPERLINK("https://www.philgeps.gov.ph/GEPSNONPILOT/Tender/SplashBidNoticeAbstractUI.aspx?menuIndex=3&amp;refID=7138510&amp;Result=3","7138510")</f>
        <v>0</v>
      </c>
      <c r="B12944" t="s">
        <v>1490</v>
      </c>
      <c r="C12944" t="s">
        <v>16111</v>
      </c>
      <c r="D12944" t="s">
        <v>19042</v>
      </c>
      <c r="E12944" t="s">
        <v>22446</v>
      </c>
      <c r="F12944" t="s">
        <v>32831</v>
      </c>
      <c r="G12944" t="s">
        <v>32839</v>
      </c>
      <c r="H12944" t="s">
        <v>32849</v>
      </c>
      <c r="I12944" t="s">
        <v>4177</v>
      </c>
      <c r="J12944" t="s">
        <v>40898</v>
      </c>
      <c r="K12944" t="s">
        <v>42732</v>
      </c>
      <c r="M12944" t="s">
        <v>44586</v>
      </c>
      <c r="N12944" t="s">
        <v>47424</v>
      </c>
      <c r="O12944" t="s">
        <v>47425</v>
      </c>
      <c r="P12944">
        <v>0</v>
      </c>
      <c r="Q12944">
        <v>1</v>
      </c>
      <c r="R12944" t="s">
        <v>47440</v>
      </c>
      <c r="S12944" t="s">
        <v>47963</v>
      </c>
      <c r="T12944" t="s">
        <v>49070</v>
      </c>
      <c r="U12944" t="s">
        <v>60168</v>
      </c>
      <c r="W12944" t="s">
        <v>44586</v>
      </c>
      <c r="X12944" t="s">
        <v>47441</v>
      </c>
    </row>
    <row r="12945" spans="1:24">
      <c r="A12945">
        <f>HYPERLINK("https://www.philgeps.gov.ph/GEPSNONPILOT/Tender/SplashBidNoticeAbstractUI.aspx?menuIndex=3&amp;refID=7138511&amp;Result=3","7138511")</f>
        <v>0</v>
      </c>
      <c r="B12945" t="s">
        <v>3652</v>
      </c>
      <c r="C12945" t="s">
        <v>16112</v>
      </c>
      <c r="D12945" t="s">
        <v>19086</v>
      </c>
      <c r="E12945" t="s">
        <v>27649</v>
      </c>
      <c r="F12945" t="s">
        <v>32831</v>
      </c>
      <c r="G12945" t="s">
        <v>32839</v>
      </c>
      <c r="H12945" t="s">
        <v>32848</v>
      </c>
      <c r="I12945" t="s">
        <v>4776</v>
      </c>
      <c r="J12945" t="s">
        <v>40899</v>
      </c>
      <c r="K12945" t="s">
        <v>42730</v>
      </c>
      <c r="M12945" t="s">
        <v>47023</v>
      </c>
      <c r="N12945" t="s">
        <v>47424</v>
      </c>
      <c r="O12945" t="s">
        <v>47425</v>
      </c>
      <c r="Q12945">
        <v>7</v>
      </c>
      <c r="R12945" t="s">
        <v>47440</v>
      </c>
      <c r="S12945" t="s">
        <v>48037</v>
      </c>
      <c r="T12945" t="s">
        <v>49069</v>
      </c>
      <c r="U12945" t="s">
        <v>60295</v>
      </c>
      <c r="W12945" t="s">
        <v>47023</v>
      </c>
      <c r="X12945" t="s">
        <v>47441</v>
      </c>
    </row>
    <row r="12946" spans="1:24">
      <c r="A12946">
        <f>HYPERLINK("https://www.philgeps.gov.ph/GEPSNONPILOT/Tender/SplashBidNoticeAbstractUI.aspx?menuIndex=3&amp;refID=7138528&amp;Result=3","7138528")</f>
        <v>0</v>
      </c>
      <c r="B12946" t="s">
        <v>959</v>
      </c>
      <c r="C12946" t="s">
        <v>16113</v>
      </c>
      <c r="D12946" t="s">
        <v>19078</v>
      </c>
      <c r="E12946" t="s">
        <v>28991</v>
      </c>
      <c r="F12946" t="s">
        <v>32831</v>
      </c>
      <c r="G12946" t="s">
        <v>32839</v>
      </c>
      <c r="H12946" t="s">
        <v>32849</v>
      </c>
      <c r="I12946" t="s">
        <v>4177</v>
      </c>
      <c r="J12946" t="s">
        <v>40900</v>
      </c>
      <c r="K12946" t="s">
        <v>42756</v>
      </c>
      <c r="M12946" t="s">
        <v>44005</v>
      </c>
      <c r="N12946" t="s">
        <v>47424</v>
      </c>
      <c r="O12946" t="s">
        <v>47425</v>
      </c>
      <c r="P12946">
        <v>0</v>
      </c>
      <c r="Q12946">
        <v>2</v>
      </c>
      <c r="R12946" t="s">
        <v>47440</v>
      </c>
      <c r="S12946" t="s">
        <v>47963</v>
      </c>
      <c r="T12946" t="s">
        <v>49059</v>
      </c>
      <c r="U12946" t="s">
        <v>60296</v>
      </c>
      <c r="W12946" t="s">
        <v>44005</v>
      </c>
      <c r="X12946" t="s">
        <v>47441</v>
      </c>
    </row>
    <row r="12947" spans="1:24">
      <c r="A12947">
        <f>HYPERLINK("https://www.philgeps.gov.ph/GEPSNONPILOT/Tender/SplashBidNoticeAbstractUI.aspx?menuIndex=3&amp;refID=7138502&amp;Result=3","7138502")</f>
        <v>0</v>
      </c>
      <c r="B12947" t="s">
        <v>3087</v>
      </c>
      <c r="C12947" t="s">
        <v>16114</v>
      </c>
      <c r="D12947" t="s">
        <v>19094</v>
      </c>
      <c r="E12947" t="s">
        <v>30182</v>
      </c>
      <c r="F12947" t="s">
        <v>32831</v>
      </c>
      <c r="G12947" t="s">
        <v>32839</v>
      </c>
      <c r="H12947" t="s">
        <v>32849</v>
      </c>
      <c r="I12947" t="s">
        <v>4177</v>
      </c>
      <c r="J12947" t="s">
        <v>37878</v>
      </c>
      <c r="K12947" t="s">
        <v>42780</v>
      </c>
      <c r="M12947" t="s">
        <v>46368</v>
      </c>
      <c r="N12947" t="s">
        <v>47424</v>
      </c>
      <c r="O12947" t="s">
        <v>47425</v>
      </c>
      <c r="Q12947">
        <v>0</v>
      </c>
      <c r="R12947" t="s">
        <v>47440</v>
      </c>
      <c r="S12947" t="s">
        <v>48038</v>
      </c>
      <c r="T12947" t="s">
        <v>49623</v>
      </c>
      <c r="U12947" t="s">
        <v>60297</v>
      </c>
      <c r="W12947" t="s">
        <v>46368</v>
      </c>
      <c r="X12947" t="s">
        <v>47441</v>
      </c>
    </row>
    <row r="12948" spans="1:24">
      <c r="A12948">
        <f>HYPERLINK("https://www.philgeps.gov.ph/GEPSNONPILOT/Tender/SplashBidNoticeAbstractUI.aspx?menuIndex=3&amp;refID=7138493&amp;Result=3","7138493")</f>
        <v>0</v>
      </c>
      <c r="B12948" t="s">
        <v>959</v>
      </c>
      <c r="C12948" t="s">
        <v>16115</v>
      </c>
      <c r="D12948" t="s">
        <v>19078</v>
      </c>
      <c r="E12948" t="s">
        <v>29032</v>
      </c>
      <c r="F12948" t="s">
        <v>32831</v>
      </c>
      <c r="G12948" t="s">
        <v>32839</v>
      </c>
      <c r="H12948" t="s">
        <v>32849</v>
      </c>
      <c r="I12948" t="s">
        <v>4177</v>
      </c>
      <c r="J12948" t="s">
        <v>40901</v>
      </c>
      <c r="K12948" t="s">
        <v>42872</v>
      </c>
      <c r="M12948" t="s">
        <v>44005</v>
      </c>
      <c r="N12948" t="s">
        <v>47424</v>
      </c>
      <c r="O12948" t="s">
        <v>47425</v>
      </c>
      <c r="P12948">
        <v>0</v>
      </c>
      <c r="Q12948">
        <v>1</v>
      </c>
      <c r="R12948" t="s">
        <v>47440</v>
      </c>
      <c r="S12948" t="s">
        <v>47963</v>
      </c>
      <c r="T12948" t="s">
        <v>49059</v>
      </c>
      <c r="U12948" t="s">
        <v>60298</v>
      </c>
      <c r="W12948" t="s">
        <v>44005</v>
      </c>
      <c r="X12948" t="s">
        <v>47441</v>
      </c>
    </row>
    <row r="12949" spans="1:24">
      <c r="A12949">
        <f>HYPERLINK("https://www.philgeps.gov.ph/GEPSNONPILOT/Tender/SplashBidNoticeAbstractUI.aspx?menuIndex=3&amp;refID=7138395&amp;Result=3","7138395")</f>
        <v>0</v>
      </c>
      <c r="B12949" t="s">
        <v>2435</v>
      </c>
      <c r="C12949" t="s">
        <v>16116</v>
      </c>
      <c r="D12949" t="s">
        <v>19083</v>
      </c>
      <c r="E12949" t="s">
        <v>30183</v>
      </c>
      <c r="F12949" t="s">
        <v>32831</v>
      </c>
      <c r="G12949" t="s">
        <v>32839</v>
      </c>
      <c r="H12949" t="s">
        <v>32849</v>
      </c>
      <c r="I12949" t="s">
        <v>4177</v>
      </c>
      <c r="J12949" t="s">
        <v>39073</v>
      </c>
      <c r="K12949" t="s">
        <v>42969</v>
      </c>
      <c r="M12949" t="s">
        <v>45632</v>
      </c>
      <c r="N12949" t="s">
        <v>47424</v>
      </c>
      <c r="O12949" t="s">
        <v>47425</v>
      </c>
      <c r="P12949">
        <v>0</v>
      </c>
      <c r="Q12949">
        <v>2</v>
      </c>
      <c r="R12949" t="s">
        <v>47440</v>
      </c>
      <c r="S12949" t="s">
        <v>47963</v>
      </c>
      <c r="T12949" t="s">
        <v>49066</v>
      </c>
      <c r="U12949" t="s">
        <v>60299</v>
      </c>
      <c r="W12949" t="s">
        <v>45632</v>
      </c>
      <c r="X12949" t="s">
        <v>47441</v>
      </c>
    </row>
    <row r="12950" spans="1:24">
      <c r="A12950">
        <f>HYPERLINK("https://www.philgeps.gov.ph/GEPSNONPILOT/Tender/SplashBidNoticeAbstractUI.aspx?menuIndex=3&amp;refID=7138509&amp;Result=3","7138509")</f>
        <v>0</v>
      </c>
      <c r="B12950" t="s">
        <v>911</v>
      </c>
      <c r="C12950" t="s">
        <v>16117</v>
      </c>
      <c r="D12950" t="s">
        <v>19049</v>
      </c>
      <c r="E12950" t="s">
        <v>30184</v>
      </c>
      <c r="F12950" t="s">
        <v>32831</v>
      </c>
      <c r="G12950" t="s">
        <v>32839</v>
      </c>
      <c r="H12950" t="s">
        <v>32848</v>
      </c>
      <c r="I12950" t="s">
        <v>32852</v>
      </c>
      <c r="J12950" t="s">
        <v>34921</v>
      </c>
      <c r="K12950" t="s">
        <v>42729</v>
      </c>
      <c r="M12950" t="s">
        <v>43951</v>
      </c>
      <c r="N12950" t="s">
        <v>47424</v>
      </c>
      <c r="O12950" t="s">
        <v>47425</v>
      </c>
      <c r="P12950">
        <v>0</v>
      </c>
      <c r="Q12950">
        <v>3</v>
      </c>
      <c r="R12950" t="s">
        <v>47440</v>
      </c>
      <c r="S12950" t="s">
        <v>47963</v>
      </c>
      <c r="T12950" t="s">
        <v>49069</v>
      </c>
      <c r="U12950" t="s">
        <v>52589</v>
      </c>
      <c r="W12950" t="s">
        <v>43951</v>
      </c>
      <c r="X12950" t="s">
        <v>47441</v>
      </c>
    </row>
    <row r="12951" spans="1:24">
      <c r="A12951">
        <f>HYPERLINK("https://www.philgeps.gov.ph/GEPSNONPILOT/Tender/SplashBidNoticeAbstractUI.aspx?menuIndex=3&amp;refID=7138490&amp;Result=3","7138490")</f>
        <v>0</v>
      </c>
      <c r="B12951" t="s">
        <v>909</v>
      </c>
      <c r="C12951" t="s">
        <v>16118</v>
      </c>
      <c r="D12951" t="s">
        <v>19067</v>
      </c>
      <c r="E12951" t="s">
        <v>30185</v>
      </c>
      <c r="F12951" t="s">
        <v>32831</v>
      </c>
      <c r="G12951" t="s">
        <v>32839</v>
      </c>
      <c r="H12951" t="s">
        <v>32850</v>
      </c>
      <c r="I12951" t="s">
        <v>4487</v>
      </c>
      <c r="J12951" t="s">
        <v>33066</v>
      </c>
      <c r="K12951" t="s">
        <v>42729</v>
      </c>
      <c r="M12951" t="s">
        <v>43949</v>
      </c>
      <c r="N12951" t="s">
        <v>47424</v>
      </c>
      <c r="O12951" t="s">
        <v>47425</v>
      </c>
      <c r="Q12951">
        <v>3</v>
      </c>
      <c r="R12951" t="s">
        <v>47440</v>
      </c>
      <c r="S12951" t="s">
        <v>48039</v>
      </c>
      <c r="T12951" t="s">
        <v>49080</v>
      </c>
      <c r="U12951" t="s">
        <v>60300</v>
      </c>
      <c r="W12951" t="s">
        <v>43949</v>
      </c>
      <c r="X12951" t="s">
        <v>47441</v>
      </c>
    </row>
    <row r="12952" spans="1:24">
      <c r="A12952">
        <f>HYPERLINK("https://www.philgeps.gov.ph/GEPSNONPILOT/Tender/SplashBidNoticeAbstractUI.aspx?menuIndex=3&amp;refID=7138523&amp;Result=3","7138523")</f>
        <v>0</v>
      </c>
      <c r="B12952" t="s">
        <v>725</v>
      </c>
      <c r="C12952" t="s">
        <v>16119</v>
      </c>
      <c r="D12952" t="s">
        <v>19052</v>
      </c>
      <c r="E12952" t="s">
        <v>30186</v>
      </c>
      <c r="F12952" t="s">
        <v>32831</v>
      </c>
      <c r="G12952" t="s">
        <v>32839</v>
      </c>
      <c r="H12952" t="s">
        <v>32848</v>
      </c>
      <c r="I12952" t="s">
        <v>9577</v>
      </c>
      <c r="J12952" t="s">
        <v>33066</v>
      </c>
      <c r="K12952" t="s">
        <v>42727</v>
      </c>
      <c r="M12952" t="s">
        <v>43746</v>
      </c>
      <c r="N12952" t="s">
        <v>47424</v>
      </c>
      <c r="O12952" t="s">
        <v>47425</v>
      </c>
      <c r="P12952">
        <v>0</v>
      </c>
      <c r="Q12952">
        <v>2</v>
      </c>
      <c r="R12952" t="s">
        <v>47440</v>
      </c>
      <c r="S12952" t="s">
        <v>47963</v>
      </c>
      <c r="T12952" t="s">
        <v>49059</v>
      </c>
      <c r="U12952" t="s">
        <v>60301</v>
      </c>
      <c r="W12952" t="s">
        <v>43746</v>
      </c>
      <c r="X12952" t="s">
        <v>47441</v>
      </c>
    </row>
    <row r="12953" spans="1:24">
      <c r="A12953">
        <f>HYPERLINK("https://www.philgeps.gov.ph/GEPSNONPILOT/Tender/SplashBidNoticeAbstractUI.aspx?menuIndex=3&amp;refID=7138465&amp;Result=3","7138465")</f>
        <v>0</v>
      </c>
      <c r="B12953" t="s">
        <v>3399</v>
      </c>
      <c r="C12953" t="s">
        <v>16120</v>
      </c>
      <c r="D12953" t="s">
        <v>19034</v>
      </c>
      <c r="E12953" t="s">
        <v>30187</v>
      </c>
      <c r="F12953" t="s">
        <v>32831</v>
      </c>
      <c r="G12953" t="s">
        <v>32839</v>
      </c>
      <c r="H12953" t="s">
        <v>32848</v>
      </c>
      <c r="I12953" t="s">
        <v>32868</v>
      </c>
      <c r="J12953" t="s">
        <v>40902</v>
      </c>
      <c r="K12953" t="s">
        <v>42730</v>
      </c>
      <c r="M12953" t="s">
        <v>46731</v>
      </c>
      <c r="N12953" t="s">
        <v>47424</v>
      </c>
      <c r="O12953" t="s">
        <v>47425</v>
      </c>
      <c r="P12953">
        <v>0</v>
      </c>
      <c r="Q12953">
        <v>3</v>
      </c>
      <c r="R12953" t="s">
        <v>47440</v>
      </c>
      <c r="S12953" t="s">
        <v>47963</v>
      </c>
      <c r="T12953" t="s">
        <v>49624</v>
      </c>
      <c r="U12953" t="s">
        <v>60302</v>
      </c>
      <c r="W12953" t="s">
        <v>46731</v>
      </c>
      <c r="X12953" t="s">
        <v>47441</v>
      </c>
    </row>
    <row r="12954" spans="1:24">
      <c r="A12954">
        <f>HYPERLINK("https://www.philgeps.gov.ph/GEPSNONPILOT/Tender/SplashBidNoticeAbstractUI.aspx?menuIndex=3&amp;refID=7138390&amp;Result=3","7138390")</f>
        <v>0</v>
      </c>
      <c r="B12954" t="s">
        <v>3653</v>
      </c>
      <c r="C12954" t="s">
        <v>16121</v>
      </c>
      <c r="D12954" t="s">
        <v>19045</v>
      </c>
      <c r="E12954" t="s">
        <v>20384</v>
      </c>
      <c r="F12954" t="s">
        <v>32831</v>
      </c>
      <c r="G12954" t="s">
        <v>32839</v>
      </c>
      <c r="H12954" t="s">
        <v>32849</v>
      </c>
      <c r="I12954" t="s">
        <v>4177</v>
      </c>
      <c r="J12954" t="s">
        <v>33087</v>
      </c>
      <c r="K12954" t="s">
        <v>42730</v>
      </c>
      <c r="M12954" t="s">
        <v>47024</v>
      </c>
      <c r="N12954" t="s">
        <v>47424</v>
      </c>
      <c r="O12954" t="s">
        <v>47425</v>
      </c>
      <c r="P12954">
        <v>0</v>
      </c>
      <c r="Q12954">
        <v>0</v>
      </c>
      <c r="R12954" t="s">
        <v>47440</v>
      </c>
      <c r="S12954" t="s">
        <v>47963</v>
      </c>
      <c r="T12954" t="s">
        <v>49104</v>
      </c>
      <c r="U12954" t="s">
        <v>60303</v>
      </c>
      <c r="V12954" t="s">
        <v>64070</v>
      </c>
      <c r="W12954" t="s">
        <v>47024</v>
      </c>
      <c r="X12954" t="s">
        <v>47441</v>
      </c>
    </row>
    <row r="12955" spans="1:24">
      <c r="A12955">
        <f>HYPERLINK("https://www.philgeps.gov.ph/GEPSNONPILOT/Tender/SplashBidNoticeAbstractUI.aspx?menuIndex=3&amp;refID=7138385&amp;Result=3","7138385")</f>
        <v>0</v>
      </c>
      <c r="B12955" t="s">
        <v>909</v>
      </c>
      <c r="C12955" t="s">
        <v>16122</v>
      </c>
      <c r="D12955" t="s">
        <v>19067</v>
      </c>
      <c r="E12955" t="s">
        <v>30188</v>
      </c>
      <c r="F12955" t="s">
        <v>32831</v>
      </c>
      <c r="G12955" t="s">
        <v>32839</v>
      </c>
      <c r="H12955" t="s">
        <v>32850</v>
      </c>
      <c r="I12955" t="s">
        <v>4487</v>
      </c>
      <c r="J12955" t="s">
        <v>39336</v>
      </c>
      <c r="K12955" t="s">
        <v>42747</v>
      </c>
      <c r="M12955" t="s">
        <v>43949</v>
      </c>
      <c r="N12955" t="s">
        <v>47424</v>
      </c>
      <c r="O12955" t="s">
        <v>47425</v>
      </c>
      <c r="P12955">
        <v>0</v>
      </c>
      <c r="Q12955">
        <v>6</v>
      </c>
      <c r="R12955" t="s">
        <v>47440</v>
      </c>
      <c r="S12955" t="s">
        <v>47963</v>
      </c>
      <c r="T12955" t="s">
        <v>49080</v>
      </c>
      <c r="U12955" t="s">
        <v>60304</v>
      </c>
      <c r="W12955" t="s">
        <v>43949</v>
      </c>
      <c r="X12955" t="s">
        <v>47441</v>
      </c>
    </row>
    <row r="12956" spans="1:24">
      <c r="A12956">
        <f>HYPERLINK("https://www.philgeps.gov.ph/GEPSNONPILOT/Tender/SplashBidNoticeAbstractUI.aspx?menuIndex=3&amp;refID=7138489&amp;Result=3","7138489")</f>
        <v>0</v>
      </c>
      <c r="B12956" t="s">
        <v>3654</v>
      </c>
      <c r="C12956" t="s">
        <v>16123</v>
      </c>
      <c r="D12956" t="s">
        <v>19059</v>
      </c>
      <c r="E12956" t="s">
        <v>28780</v>
      </c>
      <c r="F12956" t="s">
        <v>32831</v>
      </c>
      <c r="G12956" t="s">
        <v>32839</v>
      </c>
      <c r="H12956" t="s">
        <v>32848</v>
      </c>
      <c r="I12956" t="s">
        <v>9577</v>
      </c>
      <c r="J12956" t="s">
        <v>40903</v>
      </c>
      <c r="K12956" t="s">
        <v>42727</v>
      </c>
      <c r="M12956" t="s">
        <v>47025</v>
      </c>
      <c r="N12956" t="s">
        <v>47424</v>
      </c>
      <c r="O12956" t="s">
        <v>47425</v>
      </c>
      <c r="Q12956">
        <v>10</v>
      </c>
      <c r="R12956" t="s">
        <v>47440</v>
      </c>
      <c r="S12956" t="s">
        <v>48040</v>
      </c>
      <c r="T12956" t="s">
        <v>49109</v>
      </c>
      <c r="U12956" t="s">
        <v>60305</v>
      </c>
      <c r="W12956" t="s">
        <v>47025</v>
      </c>
      <c r="X12956" t="s">
        <v>47441</v>
      </c>
    </row>
    <row r="12957" spans="1:24">
      <c r="A12957">
        <f>HYPERLINK("https://www.philgeps.gov.ph/GEPSNONPILOT/Tender/SplashBidNoticeAbstractUI.aspx?menuIndex=3&amp;refID=7138543&amp;Result=3","7138543")</f>
        <v>0</v>
      </c>
      <c r="B12957" t="s">
        <v>2680</v>
      </c>
      <c r="C12957" t="s">
        <v>16124</v>
      </c>
      <c r="D12957" t="s">
        <v>19065</v>
      </c>
      <c r="E12957" t="s">
        <v>30189</v>
      </c>
      <c r="F12957" t="s">
        <v>32831</v>
      </c>
      <c r="G12957" t="s">
        <v>32839</v>
      </c>
      <c r="H12957" t="s">
        <v>32849</v>
      </c>
      <c r="I12957" t="s">
        <v>4177</v>
      </c>
      <c r="J12957" t="s">
        <v>33066</v>
      </c>
      <c r="K12957" t="s">
        <v>42757</v>
      </c>
      <c r="M12957" t="s">
        <v>45903</v>
      </c>
      <c r="N12957" t="s">
        <v>47424</v>
      </c>
      <c r="O12957" t="s">
        <v>47425</v>
      </c>
      <c r="P12957">
        <v>0</v>
      </c>
      <c r="Q12957">
        <v>3</v>
      </c>
      <c r="R12957" t="s">
        <v>47440</v>
      </c>
      <c r="S12957" t="s">
        <v>47963</v>
      </c>
      <c r="T12957" t="s">
        <v>49096</v>
      </c>
      <c r="U12957" t="s">
        <v>60306</v>
      </c>
      <c r="W12957" t="s">
        <v>45903</v>
      </c>
      <c r="X12957" t="s">
        <v>47441</v>
      </c>
    </row>
    <row r="12958" spans="1:24">
      <c r="A12958">
        <f>HYPERLINK("https://www.philgeps.gov.ph/GEPSNONPILOT/Tender/SplashBidNoticeAbstractUI.aspx?menuIndex=3&amp;refID=7137953&amp;Result=3","7137953")</f>
        <v>0</v>
      </c>
      <c r="B12958" t="s">
        <v>3655</v>
      </c>
      <c r="C12958" t="s">
        <v>16125</v>
      </c>
      <c r="D12958" t="s">
        <v>19032</v>
      </c>
      <c r="E12958" t="s">
        <v>30190</v>
      </c>
      <c r="F12958" t="s">
        <v>32831</v>
      </c>
      <c r="G12958" t="s">
        <v>32839</v>
      </c>
      <c r="H12958" t="s">
        <v>32849</v>
      </c>
      <c r="I12958" t="s">
        <v>4177</v>
      </c>
      <c r="J12958" t="s">
        <v>40904</v>
      </c>
      <c r="K12958" t="s">
        <v>42727</v>
      </c>
      <c r="M12958" t="s">
        <v>47026</v>
      </c>
      <c r="N12958" t="s">
        <v>47424</v>
      </c>
      <c r="O12958" t="s">
        <v>47425</v>
      </c>
      <c r="P12958">
        <v>0</v>
      </c>
      <c r="Q12958">
        <v>0</v>
      </c>
      <c r="R12958" t="s">
        <v>47440</v>
      </c>
      <c r="S12958" t="s">
        <v>47963</v>
      </c>
      <c r="T12958" t="s">
        <v>49105</v>
      </c>
      <c r="U12958" t="s">
        <v>60307</v>
      </c>
      <c r="W12958" t="s">
        <v>47026</v>
      </c>
      <c r="X12958" t="s">
        <v>47441</v>
      </c>
    </row>
    <row r="12959" spans="1:24">
      <c r="A12959">
        <f>HYPERLINK("https://www.philgeps.gov.ph/GEPSNONPILOT/Tender/SplashBidNoticeAbstractUI.aspx?menuIndex=3&amp;refID=7137945&amp;Result=3","7137945")</f>
        <v>0</v>
      </c>
      <c r="B12959" t="s">
        <v>711</v>
      </c>
      <c r="C12959" t="s">
        <v>16043</v>
      </c>
      <c r="D12959" t="s">
        <v>19060</v>
      </c>
      <c r="E12959" t="s">
        <v>29791</v>
      </c>
      <c r="F12959" t="s">
        <v>32831</v>
      </c>
      <c r="G12959" t="s">
        <v>32839</v>
      </c>
      <c r="H12959" t="s">
        <v>32848</v>
      </c>
      <c r="I12959" t="s">
        <v>32935</v>
      </c>
      <c r="J12959" t="s">
        <v>33083</v>
      </c>
      <c r="K12959" t="s">
        <v>42770</v>
      </c>
      <c r="M12959" t="s">
        <v>43731</v>
      </c>
      <c r="N12959" t="s">
        <v>47424</v>
      </c>
      <c r="O12959" t="s">
        <v>47425</v>
      </c>
      <c r="Q12959">
        <v>6</v>
      </c>
      <c r="R12959" t="s">
        <v>47440</v>
      </c>
      <c r="S12959" t="s">
        <v>48041</v>
      </c>
      <c r="T12959" t="s">
        <v>49148</v>
      </c>
      <c r="U12959" t="s">
        <v>60308</v>
      </c>
      <c r="W12959" t="s">
        <v>43731</v>
      </c>
      <c r="X12959" t="s">
        <v>47441</v>
      </c>
    </row>
    <row r="12960" spans="1:24">
      <c r="A12960">
        <f>HYPERLINK("https://www.philgeps.gov.ph/GEPSNONPILOT/Tender/SplashBidNoticeAbstractUI.aspx?menuIndex=3&amp;refID=7138461&amp;Result=3","7138461")</f>
        <v>0</v>
      </c>
      <c r="B12960" t="s">
        <v>3653</v>
      </c>
      <c r="C12960" t="s">
        <v>16126</v>
      </c>
      <c r="D12960" t="s">
        <v>19045</v>
      </c>
      <c r="E12960" t="s">
        <v>29691</v>
      </c>
      <c r="F12960" t="s">
        <v>32831</v>
      </c>
      <c r="G12960" t="s">
        <v>32839</v>
      </c>
      <c r="H12960" t="s">
        <v>32849</v>
      </c>
      <c r="I12960" t="s">
        <v>4177</v>
      </c>
      <c r="J12960" t="s">
        <v>40905</v>
      </c>
      <c r="K12960" t="s">
        <v>42730</v>
      </c>
      <c r="M12960" t="s">
        <v>47024</v>
      </c>
      <c r="N12960" t="s">
        <v>47424</v>
      </c>
      <c r="O12960" t="s">
        <v>47425</v>
      </c>
      <c r="P12960">
        <v>0</v>
      </c>
      <c r="Q12960">
        <v>0</v>
      </c>
      <c r="R12960" t="s">
        <v>47440</v>
      </c>
      <c r="S12960" t="s">
        <v>47963</v>
      </c>
      <c r="T12960" t="s">
        <v>49104</v>
      </c>
      <c r="U12960" t="s">
        <v>60309</v>
      </c>
      <c r="V12960" t="s">
        <v>64071</v>
      </c>
      <c r="W12960" t="s">
        <v>47024</v>
      </c>
      <c r="X12960" t="s">
        <v>47441</v>
      </c>
    </row>
    <row r="12961" spans="1:24">
      <c r="A12961">
        <f>HYPERLINK("https://www.philgeps.gov.ph/GEPSNONPILOT/Tender/SplashBidNoticeAbstractUI.aspx?menuIndex=3&amp;refID=7137799&amp;Result=3","7137799")</f>
        <v>0</v>
      </c>
      <c r="B12961" t="s">
        <v>187</v>
      </c>
      <c r="C12961" t="s">
        <v>16127</v>
      </c>
      <c r="D12961" t="s">
        <v>19041</v>
      </c>
      <c r="E12961" t="s">
        <v>30191</v>
      </c>
      <c r="F12961" t="s">
        <v>32831</v>
      </c>
      <c r="G12961" t="s">
        <v>32839</v>
      </c>
      <c r="H12961" t="s">
        <v>32849</v>
      </c>
      <c r="I12961" t="s">
        <v>4177</v>
      </c>
      <c r="J12961" t="s">
        <v>40906</v>
      </c>
      <c r="K12961" t="s">
        <v>42787</v>
      </c>
      <c r="M12961" t="s">
        <v>44023</v>
      </c>
      <c r="N12961" t="s">
        <v>47424</v>
      </c>
      <c r="O12961" t="s">
        <v>47425</v>
      </c>
      <c r="P12961">
        <v>0</v>
      </c>
      <c r="Q12961">
        <v>0</v>
      </c>
      <c r="R12961" t="s">
        <v>47440</v>
      </c>
      <c r="S12961" t="s">
        <v>47963</v>
      </c>
      <c r="T12961" t="s">
        <v>49159</v>
      </c>
      <c r="U12961" t="s">
        <v>51595</v>
      </c>
      <c r="W12961" t="s">
        <v>44023</v>
      </c>
      <c r="X12961" t="s">
        <v>47441</v>
      </c>
    </row>
    <row r="12962" spans="1:24">
      <c r="A12962">
        <f>HYPERLINK("https://www.philgeps.gov.ph/GEPSNONPILOT/Tender/SplashBidNoticeAbstractUI.aspx?menuIndex=3&amp;refID=7137791&amp;Result=3","7137791")</f>
        <v>0</v>
      </c>
      <c r="B12962" t="s">
        <v>1118</v>
      </c>
      <c r="C12962" t="s">
        <v>16128</v>
      </c>
      <c r="D12962" t="s">
        <v>19060</v>
      </c>
      <c r="E12962" t="s">
        <v>30192</v>
      </c>
      <c r="F12962" t="s">
        <v>32831</v>
      </c>
      <c r="G12962" t="s">
        <v>32839</v>
      </c>
      <c r="H12962" t="s">
        <v>32848</v>
      </c>
      <c r="I12962" t="s">
        <v>7751</v>
      </c>
      <c r="J12962" t="s">
        <v>40907</v>
      </c>
      <c r="K12962" t="s">
        <v>42730</v>
      </c>
      <c r="M12962" t="s">
        <v>45853</v>
      </c>
      <c r="N12962" t="s">
        <v>47424</v>
      </c>
      <c r="O12962" t="s">
        <v>47425</v>
      </c>
      <c r="Q12962">
        <v>2</v>
      </c>
      <c r="R12962" t="s">
        <v>47440</v>
      </c>
      <c r="S12962" t="s">
        <v>48042</v>
      </c>
      <c r="T12962" t="s">
        <v>49338</v>
      </c>
      <c r="U12962" t="s">
        <v>57532</v>
      </c>
      <c r="V12962" t="s">
        <v>64072</v>
      </c>
      <c r="W12962" t="s">
        <v>45853</v>
      </c>
      <c r="X12962" t="s">
        <v>47441</v>
      </c>
    </row>
    <row r="12963" spans="1:24">
      <c r="A12963">
        <f>HYPERLINK("https://www.philgeps.gov.ph/GEPSNONPILOT/Tender/SplashBidNoticeAbstractUI.aspx?menuIndex=3&amp;refID=7138384&amp;Result=3","7138384")</f>
        <v>0</v>
      </c>
      <c r="B12963" t="s">
        <v>2823</v>
      </c>
      <c r="C12963" t="s">
        <v>16129</v>
      </c>
      <c r="D12963" t="s">
        <v>19056</v>
      </c>
      <c r="E12963" t="s">
        <v>30193</v>
      </c>
      <c r="F12963" t="s">
        <v>32831</v>
      </c>
      <c r="G12963" t="s">
        <v>32839</v>
      </c>
      <c r="H12963" t="s">
        <v>32849</v>
      </c>
      <c r="I12963" t="s">
        <v>4177</v>
      </c>
      <c r="J12963" t="s">
        <v>40867</v>
      </c>
      <c r="K12963" t="s">
        <v>42820</v>
      </c>
      <c r="M12963" t="s">
        <v>46053</v>
      </c>
      <c r="N12963" t="s">
        <v>47424</v>
      </c>
      <c r="O12963" t="s">
        <v>47425</v>
      </c>
      <c r="P12963">
        <v>0</v>
      </c>
      <c r="Q12963">
        <v>4</v>
      </c>
      <c r="R12963" t="s">
        <v>47440</v>
      </c>
      <c r="S12963" t="s">
        <v>47963</v>
      </c>
      <c r="T12963" t="s">
        <v>49155</v>
      </c>
      <c r="U12963" t="s">
        <v>60310</v>
      </c>
      <c r="W12963" t="s">
        <v>46053</v>
      </c>
      <c r="X12963" t="s">
        <v>47441</v>
      </c>
    </row>
    <row r="12964" spans="1:24">
      <c r="A12964">
        <f>HYPERLINK("https://www.philgeps.gov.ph/GEPSNONPILOT/Tender/SplashBidNoticeAbstractUI.aspx?menuIndex=3&amp;refID=7138374&amp;Result=3","7138374")</f>
        <v>0</v>
      </c>
      <c r="B12964" t="s">
        <v>2487</v>
      </c>
      <c r="C12964" t="s">
        <v>16130</v>
      </c>
      <c r="D12964" t="s">
        <v>19071</v>
      </c>
      <c r="E12964" t="s">
        <v>30194</v>
      </c>
      <c r="F12964" t="s">
        <v>32831</v>
      </c>
      <c r="G12964" t="s">
        <v>32839</v>
      </c>
      <c r="H12964" t="s">
        <v>32848</v>
      </c>
      <c r="I12964" t="s">
        <v>4438</v>
      </c>
      <c r="J12964" t="s">
        <v>32983</v>
      </c>
      <c r="K12964" t="s">
        <v>42732</v>
      </c>
      <c r="M12964" t="s">
        <v>45690</v>
      </c>
      <c r="N12964" t="s">
        <v>47424</v>
      </c>
      <c r="O12964" t="s">
        <v>47425</v>
      </c>
      <c r="Q12964">
        <v>0</v>
      </c>
      <c r="R12964" t="s">
        <v>47440</v>
      </c>
      <c r="S12964" t="s">
        <v>48043</v>
      </c>
      <c r="T12964" t="s">
        <v>49073</v>
      </c>
      <c r="U12964" t="s">
        <v>60311</v>
      </c>
      <c r="W12964" t="s">
        <v>45690</v>
      </c>
      <c r="X12964" t="s">
        <v>47441</v>
      </c>
    </row>
    <row r="12965" spans="1:24">
      <c r="A12965">
        <f>HYPERLINK("https://www.philgeps.gov.ph/GEPSNONPILOT/Tender/SplashBidNoticeAbstractUI.aspx?menuIndex=3&amp;refID=7137775&amp;Result=3","7137775")</f>
        <v>0</v>
      </c>
      <c r="B12965" t="s">
        <v>2002</v>
      </c>
      <c r="C12965" t="s">
        <v>16131</v>
      </c>
      <c r="D12965" t="s">
        <v>19077</v>
      </c>
      <c r="E12965" t="s">
        <v>30195</v>
      </c>
      <c r="F12965" t="s">
        <v>32831</v>
      </c>
      <c r="G12965" t="s">
        <v>32839</v>
      </c>
      <c r="H12965" t="s">
        <v>32848</v>
      </c>
      <c r="I12965" t="s">
        <v>32860</v>
      </c>
      <c r="J12965" t="s">
        <v>40908</v>
      </c>
      <c r="K12965" t="s">
        <v>42727</v>
      </c>
      <c r="M12965" t="s">
        <v>45169</v>
      </c>
      <c r="N12965" t="s">
        <v>47424</v>
      </c>
      <c r="O12965" t="s">
        <v>47425</v>
      </c>
      <c r="Q12965">
        <v>4</v>
      </c>
      <c r="R12965" t="s">
        <v>47440</v>
      </c>
      <c r="S12965" t="s">
        <v>48021</v>
      </c>
      <c r="T12965" t="s">
        <v>49080</v>
      </c>
      <c r="U12965" t="s">
        <v>60312</v>
      </c>
      <c r="W12965" t="s">
        <v>45169</v>
      </c>
      <c r="X12965" t="s">
        <v>47441</v>
      </c>
    </row>
    <row r="12966" spans="1:24">
      <c r="A12966">
        <f>HYPERLINK("https://www.philgeps.gov.ph/GEPSNONPILOT/Tender/SplashBidNoticeAbstractUI.aspx?menuIndex=3&amp;refID=7137946&amp;Result=3","7137946")</f>
        <v>0</v>
      </c>
      <c r="B12966" t="s">
        <v>223</v>
      </c>
      <c r="C12966" t="s">
        <v>16132</v>
      </c>
      <c r="E12966" t="s">
        <v>30196</v>
      </c>
      <c r="F12966" t="s">
        <v>32831</v>
      </c>
      <c r="G12966" t="s">
        <v>32839</v>
      </c>
      <c r="H12966" t="s">
        <v>32848</v>
      </c>
      <c r="I12966" t="s">
        <v>32857</v>
      </c>
      <c r="J12966" t="s">
        <v>40909</v>
      </c>
      <c r="K12966" t="s">
        <v>42727</v>
      </c>
      <c r="M12966" t="s">
        <v>43221</v>
      </c>
      <c r="N12966" t="s">
        <v>47424</v>
      </c>
      <c r="O12966" t="s">
        <v>47425</v>
      </c>
      <c r="P12966">
        <v>0</v>
      </c>
      <c r="Q12966">
        <v>2</v>
      </c>
      <c r="R12966" t="s">
        <v>47440</v>
      </c>
      <c r="S12966" t="s">
        <v>47963</v>
      </c>
      <c r="T12966" t="s">
        <v>49066</v>
      </c>
      <c r="U12966" t="s">
        <v>60313</v>
      </c>
      <c r="W12966" t="s">
        <v>43221</v>
      </c>
      <c r="X12966" t="s">
        <v>47441</v>
      </c>
    </row>
    <row r="12967" spans="1:24">
      <c r="A12967">
        <f>HYPERLINK("https://www.philgeps.gov.ph/GEPSNONPILOT/Tender/SplashBidNoticeAbstractUI.aspx?menuIndex=3&amp;refID=7138657&amp;Result=3","7138657")</f>
        <v>0</v>
      </c>
      <c r="B12967" t="s">
        <v>1915</v>
      </c>
      <c r="C12967" t="s">
        <v>16133</v>
      </c>
      <c r="D12967" t="s">
        <v>19030</v>
      </c>
      <c r="E12967" t="s">
        <v>30197</v>
      </c>
      <c r="F12967" t="s">
        <v>32831</v>
      </c>
      <c r="G12967" t="s">
        <v>32839</v>
      </c>
      <c r="H12967" t="s">
        <v>32849</v>
      </c>
      <c r="I12967" t="s">
        <v>4177</v>
      </c>
      <c r="J12967" t="s">
        <v>35331</v>
      </c>
      <c r="K12967" t="s">
        <v>42763</v>
      </c>
      <c r="M12967" t="s">
        <v>45067</v>
      </c>
      <c r="N12967" t="s">
        <v>47424</v>
      </c>
      <c r="O12967" t="s">
        <v>47425</v>
      </c>
      <c r="P12967">
        <v>0</v>
      </c>
      <c r="Q12967">
        <v>20</v>
      </c>
      <c r="R12967" t="s">
        <v>47440</v>
      </c>
      <c r="S12967" t="s">
        <v>47963</v>
      </c>
      <c r="T12967" t="s">
        <v>49080</v>
      </c>
      <c r="U12967" t="s">
        <v>60314</v>
      </c>
      <c r="W12967" t="s">
        <v>64492</v>
      </c>
      <c r="X12967" t="s">
        <v>47441</v>
      </c>
    </row>
    <row r="12968" spans="1:24">
      <c r="A12968">
        <f>HYPERLINK("https://www.philgeps.gov.ph/GEPSNONPILOT/Tender/SplashBidNoticeAbstractUI.aspx?menuIndex=3&amp;refID=7138378&amp;Result=3","7138378")</f>
        <v>0</v>
      </c>
      <c r="B12968" t="s">
        <v>911</v>
      </c>
      <c r="C12968" t="s">
        <v>16134</v>
      </c>
      <c r="D12968" t="s">
        <v>19049</v>
      </c>
      <c r="E12968" t="s">
        <v>30198</v>
      </c>
      <c r="F12968" t="s">
        <v>32831</v>
      </c>
      <c r="G12968" t="s">
        <v>32839</v>
      </c>
      <c r="H12968" t="s">
        <v>32848</v>
      </c>
      <c r="I12968" t="s">
        <v>7751</v>
      </c>
      <c r="J12968" t="s">
        <v>36864</v>
      </c>
      <c r="K12968" t="s">
        <v>42729</v>
      </c>
      <c r="M12968" t="s">
        <v>43951</v>
      </c>
      <c r="N12968" t="s">
        <v>47424</v>
      </c>
      <c r="O12968" t="s">
        <v>47425</v>
      </c>
      <c r="P12968">
        <v>0</v>
      </c>
      <c r="Q12968">
        <v>7</v>
      </c>
      <c r="R12968" t="s">
        <v>47440</v>
      </c>
      <c r="S12968" t="s">
        <v>47963</v>
      </c>
      <c r="T12968" t="s">
        <v>49069</v>
      </c>
      <c r="U12968" t="s">
        <v>52589</v>
      </c>
      <c r="W12968" t="s">
        <v>43951</v>
      </c>
      <c r="X12968" t="s">
        <v>47441</v>
      </c>
    </row>
    <row r="12969" spans="1:24">
      <c r="A12969">
        <f>HYPERLINK("https://www.philgeps.gov.ph/GEPSNONPILOT/Tender/SplashBidNoticeAbstractUI.aspx?menuIndex=3&amp;refID=7138652&amp;Result=3","7138652")</f>
        <v>0</v>
      </c>
      <c r="B12969" t="s">
        <v>1915</v>
      </c>
      <c r="C12969" t="s">
        <v>16135</v>
      </c>
      <c r="D12969" t="s">
        <v>19030</v>
      </c>
      <c r="E12969" t="s">
        <v>30199</v>
      </c>
      <c r="F12969" t="s">
        <v>32831</v>
      </c>
      <c r="G12969" t="s">
        <v>32839</v>
      </c>
      <c r="H12969" t="s">
        <v>32849</v>
      </c>
      <c r="I12969" t="s">
        <v>4177</v>
      </c>
      <c r="J12969" t="s">
        <v>40910</v>
      </c>
      <c r="K12969" t="s">
        <v>42763</v>
      </c>
      <c r="M12969" t="s">
        <v>45067</v>
      </c>
      <c r="N12969" t="s">
        <v>47424</v>
      </c>
      <c r="O12969" t="s">
        <v>47425</v>
      </c>
      <c r="P12969">
        <v>0</v>
      </c>
      <c r="Q12969">
        <v>21</v>
      </c>
      <c r="R12969" t="s">
        <v>47440</v>
      </c>
      <c r="S12969" t="s">
        <v>47963</v>
      </c>
      <c r="T12969" t="s">
        <v>49080</v>
      </c>
      <c r="U12969" t="s">
        <v>60314</v>
      </c>
      <c r="W12969" t="s">
        <v>64492</v>
      </c>
      <c r="X12969" t="s">
        <v>47441</v>
      </c>
    </row>
    <row r="12970" spans="1:24">
      <c r="A12970">
        <f>HYPERLINK("https://www.philgeps.gov.ph/GEPSNONPILOT/Tender/SplashBidNoticeAbstractUI.aspx?menuIndex=3&amp;refID=7138468&amp;Result=3","7138468")</f>
        <v>0</v>
      </c>
      <c r="B12970" t="s">
        <v>2142</v>
      </c>
      <c r="C12970" t="s">
        <v>16136</v>
      </c>
      <c r="D12970" t="s">
        <v>19048</v>
      </c>
      <c r="E12970" t="s">
        <v>26151</v>
      </c>
      <c r="F12970" t="s">
        <v>32831</v>
      </c>
      <c r="G12970" t="s">
        <v>32839</v>
      </c>
      <c r="H12970" t="s">
        <v>32849</v>
      </c>
      <c r="I12970" t="s">
        <v>4177</v>
      </c>
      <c r="J12970" t="s">
        <v>34447</v>
      </c>
      <c r="K12970" t="s">
        <v>42780</v>
      </c>
      <c r="M12970" t="s">
        <v>45320</v>
      </c>
      <c r="N12970" t="s">
        <v>47424</v>
      </c>
      <c r="O12970" t="s">
        <v>47425</v>
      </c>
      <c r="P12970">
        <v>0</v>
      </c>
      <c r="Q12970">
        <v>4</v>
      </c>
      <c r="R12970" t="s">
        <v>47440</v>
      </c>
      <c r="S12970" t="s">
        <v>47963</v>
      </c>
      <c r="T12970" t="s">
        <v>49123</v>
      </c>
      <c r="U12970" t="s">
        <v>60315</v>
      </c>
      <c r="W12970" t="s">
        <v>45320</v>
      </c>
      <c r="X12970" t="s">
        <v>47441</v>
      </c>
    </row>
    <row r="12971" spans="1:24">
      <c r="A12971">
        <f>HYPERLINK("https://www.philgeps.gov.ph/GEPSNONPILOT/Tender/SplashBidNoticeAbstractUI.aspx?menuIndex=3&amp;refID=7138659&amp;Result=3","7138659")</f>
        <v>0</v>
      </c>
      <c r="B12971" t="s">
        <v>3656</v>
      </c>
      <c r="C12971" t="s">
        <v>16137</v>
      </c>
      <c r="D12971" t="s">
        <v>19018</v>
      </c>
      <c r="E12971" t="s">
        <v>30200</v>
      </c>
      <c r="F12971" t="s">
        <v>32831</v>
      </c>
      <c r="G12971" t="s">
        <v>32839</v>
      </c>
      <c r="H12971" t="s">
        <v>32848</v>
      </c>
      <c r="I12971" t="s">
        <v>32886</v>
      </c>
      <c r="J12971" t="s">
        <v>33032</v>
      </c>
      <c r="K12971" t="s">
        <v>42728</v>
      </c>
      <c r="M12971" t="s">
        <v>47027</v>
      </c>
      <c r="N12971" t="s">
        <v>47424</v>
      </c>
      <c r="O12971" t="s">
        <v>47425</v>
      </c>
      <c r="P12971">
        <v>0</v>
      </c>
      <c r="Q12971">
        <v>10</v>
      </c>
      <c r="R12971" t="s">
        <v>47440</v>
      </c>
      <c r="S12971" t="s">
        <v>47963</v>
      </c>
      <c r="T12971" t="s">
        <v>49063</v>
      </c>
      <c r="U12971" t="s">
        <v>60316</v>
      </c>
      <c r="W12971" t="s">
        <v>47027</v>
      </c>
      <c r="X12971" t="s">
        <v>47441</v>
      </c>
    </row>
    <row r="12972" spans="1:24">
      <c r="A12972">
        <f>HYPERLINK("https://www.philgeps.gov.ph/GEPSNONPILOT/Tender/SplashBidNoticeAbstractUI.aspx?menuIndex=3&amp;refID=7138645&amp;Result=3","7138645")</f>
        <v>0</v>
      </c>
      <c r="B12972" t="s">
        <v>3657</v>
      </c>
      <c r="C12972" t="s">
        <v>16138</v>
      </c>
      <c r="D12972" t="s">
        <v>19050</v>
      </c>
      <c r="E12972" t="s">
        <v>30201</v>
      </c>
      <c r="F12972" t="s">
        <v>32831</v>
      </c>
      <c r="G12972" t="s">
        <v>32839</v>
      </c>
      <c r="H12972" t="s">
        <v>32849</v>
      </c>
      <c r="I12972" t="s">
        <v>4177</v>
      </c>
      <c r="J12972" t="s">
        <v>40911</v>
      </c>
      <c r="K12972" t="s">
        <v>42970</v>
      </c>
      <c r="M12972" t="s">
        <v>47028</v>
      </c>
      <c r="N12972" t="s">
        <v>47424</v>
      </c>
      <c r="O12972" t="s">
        <v>47425</v>
      </c>
      <c r="P12972">
        <v>0</v>
      </c>
      <c r="Q12972">
        <v>5</v>
      </c>
      <c r="R12972" t="s">
        <v>47440</v>
      </c>
      <c r="S12972" t="s">
        <v>47963</v>
      </c>
      <c r="T12972" t="s">
        <v>49236</v>
      </c>
      <c r="U12972" t="s">
        <v>60317</v>
      </c>
      <c r="V12972" t="s">
        <v>64073</v>
      </c>
      <c r="W12972" t="s">
        <v>47028</v>
      </c>
      <c r="X12972" t="s">
        <v>47441</v>
      </c>
    </row>
    <row r="12973" spans="1:24">
      <c r="A12973">
        <f>HYPERLINK("https://www.philgeps.gov.ph/GEPSNONPILOT/Tender/SplashBidNoticeAbstractUI.aspx?menuIndex=3&amp;refID=7138643&amp;Result=3","7138643")</f>
        <v>0</v>
      </c>
      <c r="B12973" t="s">
        <v>3658</v>
      </c>
      <c r="C12973" t="s">
        <v>16139</v>
      </c>
      <c r="D12973" t="s">
        <v>19091</v>
      </c>
      <c r="E12973" t="s">
        <v>30202</v>
      </c>
      <c r="F12973" t="s">
        <v>32831</v>
      </c>
      <c r="G12973" t="s">
        <v>32839</v>
      </c>
      <c r="H12973" t="s">
        <v>32848</v>
      </c>
      <c r="I12973" t="s">
        <v>32935</v>
      </c>
      <c r="J12973" t="s">
        <v>32978</v>
      </c>
      <c r="K12973" t="s">
        <v>42763</v>
      </c>
      <c r="M12973" t="s">
        <v>47029</v>
      </c>
      <c r="N12973" t="s">
        <v>47424</v>
      </c>
      <c r="O12973" t="s">
        <v>47425</v>
      </c>
      <c r="P12973">
        <v>0</v>
      </c>
      <c r="Q12973">
        <v>3</v>
      </c>
      <c r="R12973" t="s">
        <v>47440</v>
      </c>
      <c r="S12973" t="s">
        <v>47963</v>
      </c>
      <c r="T12973" t="s">
        <v>49105</v>
      </c>
      <c r="U12973" t="s">
        <v>60318</v>
      </c>
      <c r="W12973" t="s">
        <v>47029</v>
      </c>
      <c r="X12973" t="s">
        <v>47441</v>
      </c>
    </row>
    <row r="12974" spans="1:24">
      <c r="A12974">
        <f>HYPERLINK("https://www.philgeps.gov.ph/GEPSNONPILOT/Tender/SplashBidNoticeAbstractUI.aspx?menuIndex=3&amp;refID=7138640&amp;Result=3","7138640")</f>
        <v>0</v>
      </c>
      <c r="B12974" t="s">
        <v>1915</v>
      </c>
      <c r="C12974" t="s">
        <v>16140</v>
      </c>
      <c r="D12974" t="s">
        <v>19030</v>
      </c>
      <c r="E12974" t="s">
        <v>30203</v>
      </c>
      <c r="F12974" t="s">
        <v>32831</v>
      </c>
      <c r="G12974" t="s">
        <v>32839</v>
      </c>
      <c r="H12974" t="s">
        <v>32849</v>
      </c>
      <c r="I12974" t="s">
        <v>4177</v>
      </c>
      <c r="J12974" t="s">
        <v>40239</v>
      </c>
      <c r="K12974" t="s">
        <v>42747</v>
      </c>
      <c r="M12974" t="s">
        <v>45067</v>
      </c>
      <c r="N12974" t="s">
        <v>47424</v>
      </c>
      <c r="O12974" t="s">
        <v>47425</v>
      </c>
      <c r="P12974">
        <v>0</v>
      </c>
      <c r="Q12974">
        <v>8</v>
      </c>
      <c r="R12974" t="s">
        <v>47440</v>
      </c>
      <c r="S12974" t="s">
        <v>47963</v>
      </c>
      <c r="T12974" t="s">
        <v>49080</v>
      </c>
      <c r="U12974" t="s">
        <v>60314</v>
      </c>
      <c r="W12974" t="s">
        <v>64492</v>
      </c>
      <c r="X12974" t="s">
        <v>47441</v>
      </c>
    </row>
    <row r="12975" spans="1:24">
      <c r="A12975">
        <f>HYPERLINK("https://www.philgeps.gov.ph/GEPSNONPILOT/Tender/SplashBidNoticeAbstractUI.aspx?menuIndex=3&amp;refID=7138619&amp;Result=3","7138619")</f>
        <v>0</v>
      </c>
      <c r="B12975" t="s">
        <v>1204</v>
      </c>
      <c r="C12975" t="s">
        <v>16141</v>
      </c>
      <c r="D12975" t="s">
        <v>19023</v>
      </c>
      <c r="E12975" t="s">
        <v>30204</v>
      </c>
      <c r="F12975" t="s">
        <v>32831</v>
      </c>
      <c r="G12975" t="s">
        <v>32839</v>
      </c>
      <c r="H12975" t="s">
        <v>32848</v>
      </c>
      <c r="I12975" t="s">
        <v>32857</v>
      </c>
      <c r="J12975" t="s">
        <v>40912</v>
      </c>
      <c r="K12975" t="s">
        <v>42732</v>
      </c>
      <c r="M12975" t="s">
        <v>47030</v>
      </c>
      <c r="N12975" t="s">
        <v>47424</v>
      </c>
      <c r="O12975" t="s">
        <v>47425</v>
      </c>
      <c r="Q12975">
        <v>19</v>
      </c>
      <c r="R12975" t="s">
        <v>47440</v>
      </c>
      <c r="S12975" t="s">
        <v>48044</v>
      </c>
      <c r="T12975" t="s">
        <v>49073</v>
      </c>
      <c r="U12975" t="s">
        <v>60319</v>
      </c>
      <c r="W12975" t="s">
        <v>47030</v>
      </c>
      <c r="X12975" t="s">
        <v>47441</v>
      </c>
    </row>
    <row r="12976" spans="1:24">
      <c r="A12976">
        <f>HYPERLINK("https://www.philgeps.gov.ph/GEPSNONPILOT/Tender/SplashBidNoticeAbstractUI.aspx?menuIndex=3&amp;refID=7138608&amp;Result=3","7138608")</f>
        <v>0</v>
      </c>
      <c r="B12976" t="s">
        <v>324</v>
      </c>
      <c r="C12976" t="s">
        <v>16142</v>
      </c>
      <c r="D12976" t="s">
        <v>19049</v>
      </c>
      <c r="E12976" t="s">
        <v>30205</v>
      </c>
      <c r="F12976" t="s">
        <v>32831</v>
      </c>
      <c r="G12976" t="s">
        <v>32839</v>
      </c>
      <c r="H12976" t="s">
        <v>32848</v>
      </c>
      <c r="I12976" t="s">
        <v>8781</v>
      </c>
      <c r="J12976" t="s">
        <v>40913</v>
      </c>
      <c r="K12976" t="s">
        <v>42747</v>
      </c>
      <c r="M12976" t="s">
        <v>43327</v>
      </c>
      <c r="N12976" t="s">
        <v>47424</v>
      </c>
      <c r="O12976" t="s">
        <v>47425</v>
      </c>
      <c r="Q12976">
        <v>1</v>
      </c>
      <c r="R12976" t="s">
        <v>47440</v>
      </c>
      <c r="S12976" t="s">
        <v>48045</v>
      </c>
      <c r="T12976" t="s">
        <v>49171</v>
      </c>
      <c r="U12976" t="s">
        <v>60320</v>
      </c>
      <c r="W12976" t="s">
        <v>43327</v>
      </c>
      <c r="X12976" t="s">
        <v>47441</v>
      </c>
    </row>
    <row r="12977" spans="1:24">
      <c r="A12977">
        <f>HYPERLINK("https://www.philgeps.gov.ph/GEPSNONPILOT/Tender/SplashBidNoticeAbstractUI.aspx?menuIndex=3&amp;refID=7138589&amp;Result=3","7138589")</f>
        <v>0</v>
      </c>
      <c r="B12977" t="s">
        <v>959</v>
      </c>
      <c r="C12977" t="s">
        <v>16143</v>
      </c>
      <c r="D12977" t="s">
        <v>19078</v>
      </c>
      <c r="E12977" t="s">
        <v>22922</v>
      </c>
      <c r="F12977" t="s">
        <v>32831</v>
      </c>
      <c r="G12977" t="s">
        <v>32839</v>
      </c>
      <c r="H12977" t="s">
        <v>32849</v>
      </c>
      <c r="I12977" t="s">
        <v>4177</v>
      </c>
      <c r="J12977" t="s">
        <v>40914</v>
      </c>
      <c r="K12977" t="s">
        <v>42798</v>
      </c>
      <c r="M12977" t="s">
        <v>44005</v>
      </c>
      <c r="N12977" t="s">
        <v>47424</v>
      </c>
      <c r="O12977" t="s">
        <v>47425</v>
      </c>
      <c r="P12977">
        <v>0</v>
      </c>
      <c r="Q12977">
        <v>1</v>
      </c>
      <c r="R12977" t="s">
        <v>47440</v>
      </c>
      <c r="S12977" t="s">
        <v>47963</v>
      </c>
      <c r="T12977" t="s">
        <v>49059</v>
      </c>
      <c r="U12977" t="s">
        <v>60321</v>
      </c>
      <c r="W12977" t="s">
        <v>44005</v>
      </c>
      <c r="X12977" t="s">
        <v>47441</v>
      </c>
    </row>
    <row r="12978" spans="1:24">
      <c r="A12978">
        <f>HYPERLINK("https://www.philgeps.gov.ph/GEPSNONPILOT/Tender/SplashBidNoticeAbstractUI.aspx?menuIndex=3&amp;refID=7138582&amp;Result=3","7138582")</f>
        <v>0</v>
      </c>
      <c r="B12978" t="s">
        <v>871</v>
      </c>
      <c r="C12978" t="s">
        <v>16144</v>
      </c>
      <c r="D12978" t="s">
        <v>19020</v>
      </c>
      <c r="E12978" t="s">
        <v>30206</v>
      </c>
      <c r="F12978" t="s">
        <v>32831</v>
      </c>
      <c r="G12978" t="s">
        <v>32839</v>
      </c>
      <c r="H12978" t="s">
        <v>32849</v>
      </c>
      <c r="I12978" t="s">
        <v>4177</v>
      </c>
      <c r="J12978" t="s">
        <v>33083</v>
      </c>
      <c r="K12978" t="s">
        <v>42840</v>
      </c>
      <c r="M12978" t="s">
        <v>43905</v>
      </c>
      <c r="N12978" t="s">
        <v>47424</v>
      </c>
      <c r="O12978" t="s">
        <v>47425</v>
      </c>
      <c r="P12978">
        <v>0</v>
      </c>
      <c r="Q12978">
        <v>1</v>
      </c>
      <c r="R12978" t="s">
        <v>47440</v>
      </c>
      <c r="S12978" t="s">
        <v>47963</v>
      </c>
      <c r="T12978" t="s">
        <v>49159</v>
      </c>
      <c r="U12978" t="s">
        <v>60322</v>
      </c>
      <c r="V12978" t="s">
        <v>63755</v>
      </c>
      <c r="W12978" t="s">
        <v>43905</v>
      </c>
      <c r="X12978" t="s">
        <v>47441</v>
      </c>
    </row>
    <row r="12979" spans="1:24">
      <c r="A12979">
        <f>HYPERLINK("https://www.philgeps.gov.ph/GEPSNONPILOT/Tender/SplashBidNoticeAbstractUI.aspx?menuIndex=3&amp;refID=7138647&amp;Result=3","7138647")</f>
        <v>0</v>
      </c>
      <c r="B12979" t="s">
        <v>324</v>
      </c>
      <c r="C12979" t="s">
        <v>16145</v>
      </c>
      <c r="D12979" t="s">
        <v>19049</v>
      </c>
      <c r="E12979" t="s">
        <v>30207</v>
      </c>
      <c r="F12979" t="s">
        <v>32831</v>
      </c>
      <c r="G12979" t="s">
        <v>32839</v>
      </c>
      <c r="H12979" t="s">
        <v>32848</v>
      </c>
      <c r="I12979" t="s">
        <v>32890</v>
      </c>
      <c r="J12979" t="s">
        <v>40915</v>
      </c>
      <c r="K12979" t="s">
        <v>42747</v>
      </c>
      <c r="M12979" t="s">
        <v>43327</v>
      </c>
      <c r="N12979" t="s">
        <v>47424</v>
      </c>
      <c r="O12979" t="s">
        <v>47425</v>
      </c>
      <c r="Q12979">
        <v>4</v>
      </c>
      <c r="R12979" t="s">
        <v>47440</v>
      </c>
      <c r="S12979" t="s">
        <v>48046</v>
      </c>
      <c r="T12979" t="s">
        <v>49091</v>
      </c>
      <c r="U12979" t="s">
        <v>60323</v>
      </c>
      <c r="W12979" t="s">
        <v>43327</v>
      </c>
      <c r="X12979" t="s">
        <v>47441</v>
      </c>
    </row>
    <row r="12980" spans="1:24">
      <c r="A12980">
        <f>HYPERLINK("https://www.philgeps.gov.ph/GEPSNONPILOT/Tender/SplashBidNoticeAbstractUI.aspx?menuIndex=3&amp;refID=7138590&amp;Result=3","7138590")</f>
        <v>0</v>
      </c>
      <c r="B12980" t="s">
        <v>2435</v>
      </c>
      <c r="C12980" t="s">
        <v>16146</v>
      </c>
      <c r="D12980" t="s">
        <v>19083</v>
      </c>
      <c r="E12980" t="s">
        <v>30208</v>
      </c>
      <c r="F12980" t="s">
        <v>32831</v>
      </c>
      <c r="G12980" t="s">
        <v>32839</v>
      </c>
      <c r="H12980" t="s">
        <v>32849</v>
      </c>
      <c r="I12980" t="s">
        <v>4177</v>
      </c>
      <c r="J12980" t="s">
        <v>40916</v>
      </c>
      <c r="K12980" t="s">
        <v>42928</v>
      </c>
      <c r="M12980" t="s">
        <v>45632</v>
      </c>
      <c r="N12980" t="s">
        <v>47424</v>
      </c>
      <c r="O12980" t="s">
        <v>47425</v>
      </c>
      <c r="P12980">
        <v>0</v>
      </c>
      <c r="Q12980">
        <v>1</v>
      </c>
      <c r="R12980" t="s">
        <v>47440</v>
      </c>
      <c r="S12980" t="s">
        <v>47963</v>
      </c>
      <c r="T12980" t="s">
        <v>49066</v>
      </c>
      <c r="U12980" t="s">
        <v>60324</v>
      </c>
      <c r="W12980" t="s">
        <v>45632</v>
      </c>
      <c r="X12980" t="s">
        <v>47441</v>
      </c>
    </row>
    <row r="12981" spans="1:24">
      <c r="A12981">
        <f>HYPERLINK("https://www.philgeps.gov.ph/GEPSNONPILOT/Tender/SplashBidNoticeAbstractUI.aspx?menuIndex=3&amp;refID=7138580&amp;Result=3","7138580")</f>
        <v>0</v>
      </c>
      <c r="B12981" t="s">
        <v>959</v>
      </c>
      <c r="C12981" t="s">
        <v>16147</v>
      </c>
      <c r="D12981" t="s">
        <v>19078</v>
      </c>
      <c r="E12981" t="s">
        <v>24077</v>
      </c>
      <c r="F12981" t="s">
        <v>32831</v>
      </c>
      <c r="G12981" t="s">
        <v>32839</v>
      </c>
      <c r="H12981" t="s">
        <v>32849</v>
      </c>
      <c r="I12981" t="s">
        <v>4177</v>
      </c>
      <c r="J12981" t="s">
        <v>40917</v>
      </c>
      <c r="K12981" t="s">
        <v>42824</v>
      </c>
      <c r="M12981" t="s">
        <v>44005</v>
      </c>
      <c r="N12981" t="s">
        <v>47424</v>
      </c>
      <c r="O12981" t="s">
        <v>47425</v>
      </c>
      <c r="P12981">
        <v>0</v>
      </c>
      <c r="Q12981">
        <v>1</v>
      </c>
      <c r="R12981" t="s">
        <v>47440</v>
      </c>
      <c r="S12981" t="s">
        <v>47963</v>
      </c>
      <c r="T12981" t="s">
        <v>49059</v>
      </c>
      <c r="U12981" t="s">
        <v>60325</v>
      </c>
      <c r="W12981" t="s">
        <v>44005</v>
      </c>
      <c r="X12981" t="s">
        <v>47441</v>
      </c>
    </row>
    <row r="12982" spans="1:24">
      <c r="A12982">
        <f>HYPERLINK("https://www.philgeps.gov.ph/GEPSNONPILOT/Tender/SplashBidNoticeAbstractUI.aspx?menuIndex=3&amp;refID=7138642&amp;Result=3","7138642")</f>
        <v>0</v>
      </c>
      <c r="B12982" t="s">
        <v>1915</v>
      </c>
      <c r="C12982" t="s">
        <v>16148</v>
      </c>
      <c r="D12982" t="s">
        <v>19030</v>
      </c>
      <c r="E12982" t="s">
        <v>30209</v>
      </c>
      <c r="F12982" t="s">
        <v>32831</v>
      </c>
      <c r="G12982" t="s">
        <v>32839</v>
      </c>
      <c r="H12982" t="s">
        <v>32849</v>
      </c>
      <c r="I12982" t="s">
        <v>4177</v>
      </c>
      <c r="J12982" t="s">
        <v>37878</v>
      </c>
      <c r="K12982" t="s">
        <v>42730</v>
      </c>
      <c r="M12982" t="s">
        <v>45067</v>
      </c>
      <c r="N12982" t="s">
        <v>47424</v>
      </c>
      <c r="O12982" t="s">
        <v>47425</v>
      </c>
      <c r="P12982">
        <v>0</v>
      </c>
      <c r="Q12982">
        <v>7</v>
      </c>
      <c r="R12982" t="s">
        <v>47440</v>
      </c>
      <c r="S12982" t="s">
        <v>47963</v>
      </c>
      <c r="T12982" t="s">
        <v>49080</v>
      </c>
      <c r="U12982" t="s">
        <v>60314</v>
      </c>
      <c r="W12982" t="s">
        <v>64492</v>
      </c>
      <c r="X12982" t="s">
        <v>47441</v>
      </c>
    </row>
    <row r="12983" spans="1:24">
      <c r="A12983">
        <f>HYPERLINK("https://www.philgeps.gov.ph/GEPSNONPILOT/Tender/SplashBidNoticeAbstractUI.aspx?menuIndex=3&amp;refID=7138577&amp;Result=3","7138577")</f>
        <v>0</v>
      </c>
      <c r="B12983" t="s">
        <v>639</v>
      </c>
      <c r="C12983" t="s">
        <v>16149</v>
      </c>
      <c r="D12983" t="s">
        <v>19017</v>
      </c>
      <c r="E12983" t="s">
        <v>30210</v>
      </c>
      <c r="F12983" t="s">
        <v>32831</v>
      </c>
      <c r="G12983" t="s">
        <v>32839</v>
      </c>
      <c r="H12983" t="s">
        <v>32848</v>
      </c>
      <c r="I12983" t="s">
        <v>4487</v>
      </c>
      <c r="J12983" t="s">
        <v>40918</v>
      </c>
      <c r="K12983" t="s">
        <v>42905</v>
      </c>
      <c r="M12983" t="s">
        <v>46723</v>
      </c>
      <c r="N12983" t="s">
        <v>47424</v>
      </c>
      <c r="O12983" t="s">
        <v>47425</v>
      </c>
      <c r="P12983">
        <v>0</v>
      </c>
      <c r="Q12983">
        <v>22</v>
      </c>
      <c r="R12983" t="s">
        <v>47440</v>
      </c>
      <c r="S12983" t="s">
        <v>47963</v>
      </c>
      <c r="T12983" t="s">
        <v>49172</v>
      </c>
      <c r="U12983" t="s">
        <v>60326</v>
      </c>
      <c r="W12983" t="s">
        <v>46723</v>
      </c>
      <c r="X12983" t="s">
        <v>47441</v>
      </c>
    </row>
    <row r="12984" spans="1:24">
      <c r="A12984">
        <f>HYPERLINK("https://www.philgeps.gov.ph/GEPSNONPILOT/Tender/SplashBidNoticeAbstractUI.aspx?menuIndex=3&amp;refID=7138556&amp;Result=3","7138556")</f>
        <v>0</v>
      </c>
      <c r="B12984" t="s">
        <v>959</v>
      </c>
      <c r="C12984" t="s">
        <v>16150</v>
      </c>
      <c r="D12984" t="s">
        <v>19078</v>
      </c>
      <c r="E12984" t="s">
        <v>23045</v>
      </c>
      <c r="F12984" t="s">
        <v>32831</v>
      </c>
      <c r="G12984" t="s">
        <v>32839</v>
      </c>
      <c r="H12984" t="s">
        <v>32849</v>
      </c>
      <c r="I12984" t="s">
        <v>4177</v>
      </c>
      <c r="J12984" t="s">
        <v>40919</v>
      </c>
      <c r="K12984" t="s">
        <v>42744</v>
      </c>
      <c r="M12984" t="s">
        <v>44005</v>
      </c>
      <c r="N12984" t="s">
        <v>47424</v>
      </c>
      <c r="O12984" t="s">
        <v>47425</v>
      </c>
      <c r="P12984">
        <v>0</v>
      </c>
      <c r="Q12984">
        <v>1</v>
      </c>
      <c r="R12984" t="s">
        <v>47440</v>
      </c>
      <c r="S12984" t="s">
        <v>47963</v>
      </c>
      <c r="T12984" t="s">
        <v>49059</v>
      </c>
      <c r="U12984" t="s">
        <v>60327</v>
      </c>
      <c r="W12984" t="s">
        <v>44005</v>
      </c>
      <c r="X12984" t="s">
        <v>47441</v>
      </c>
    </row>
    <row r="12985" spans="1:24">
      <c r="A12985">
        <f>HYPERLINK("https://www.philgeps.gov.ph/GEPSNONPILOT/Tender/SplashBidNoticeAbstractUI.aspx?menuIndex=3&amp;refID=7138630&amp;Result=3","7138630")</f>
        <v>0</v>
      </c>
      <c r="B12985" t="s">
        <v>3659</v>
      </c>
      <c r="C12985" t="s">
        <v>16151</v>
      </c>
      <c r="D12985" t="s">
        <v>19067</v>
      </c>
      <c r="E12985" t="s">
        <v>30211</v>
      </c>
      <c r="F12985" t="s">
        <v>32831</v>
      </c>
      <c r="G12985" t="s">
        <v>32839</v>
      </c>
      <c r="H12985" t="s">
        <v>32850</v>
      </c>
      <c r="I12985" t="s">
        <v>11727</v>
      </c>
      <c r="J12985" t="s">
        <v>36233</v>
      </c>
      <c r="K12985" t="s">
        <v>42731</v>
      </c>
      <c r="M12985" t="s">
        <v>47031</v>
      </c>
      <c r="N12985" t="s">
        <v>47424</v>
      </c>
      <c r="O12985" t="s">
        <v>47425</v>
      </c>
      <c r="P12985">
        <v>0</v>
      </c>
      <c r="Q12985">
        <v>0</v>
      </c>
      <c r="R12985" t="s">
        <v>47440</v>
      </c>
      <c r="S12985" t="s">
        <v>47963</v>
      </c>
      <c r="T12985" t="s">
        <v>49066</v>
      </c>
      <c r="U12985" t="s">
        <v>60328</v>
      </c>
      <c r="V12985" t="s">
        <v>64074</v>
      </c>
      <c r="W12985" t="s">
        <v>47031</v>
      </c>
      <c r="X12985" t="s">
        <v>47441</v>
      </c>
    </row>
    <row r="12986" spans="1:24">
      <c r="A12986">
        <f>HYPERLINK("https://www.philgeps.gov.ph/GEPSNONPILOT/Tender/SplashBidNoticeAbstractUI.aspx?menuIndex=3&amp;refID=7138807&amp;Result=3","7138807")</f>
        <v>0</v>
      </c>
      <c r="B12986" t="s">
        <v>3660</v>
      </c>
      <c r="C12986" t="s">
        <v>16152</v>
      </c>
      <c r="D12986" t="s">
        <v>19030</v>
      </c>
      <c r="E12986" t="s">
        <v>30212</v>
      </c>
      <c r="F12986" t="s">
        <v>32831</v>
      </c>
      <c r="G12986" t="s">
        <v>32839</v>
      </c>
      <c r="H12986" t="s">
        <v>32849</v>
      </c>
      <c r="I12986" t="s">
        <v>4177</v>
      </c>
      <c r="J12986" t="s">
        <v>33083</v>
      </c>
      <c r="K12986" t="s">
        <v>42763</v>
      </c>
      <c r="M12986" t="s">
        <v>47032</v>
      </c>
      <c r="N12986" t="s">
        <v>47424</v>
      </c>
      <c r="O12986" t="s">
        <v>47425</v>
      </c>
      <c r="P12986">
        <v>0</v>
      </c>
      <c r="Q12986">
        <v>8</v>
      </c>
      <c r="R12986" t="s">
        <v>47440</v>
      </c>
      <c r="S12986" t="s">
        <v>47963</v>
      </c>
      <c r="T12986" t="s">
        <v>49066</v>
      </c>
      <c r="U12986" t="s">
        <v>60329</v>
      </c>
      <c r="W12986" t="s">
        <v>47032</v>
      </c>
      <c r="X12986" t="s">
        <v>47441</v>
      </c>
    </row>
    <row r="12987" spans="1:24">
      <c r="A12987">
        <f>HYPERLINK("https://www.philgeps.gov.ph/GEPSNONPILOT/Tender/SplashBidNoticeAbstractUI.aspx?menuIndex=3&amp;refID=7138783&amp;Result=3","7138783")</f>
        <v>0</v>
      </c>
      <c r="B12987" t="s">
        <v>3597</v>
      </c>
      <c r="C12987" t="s">
        <v>16153</v>
      </c>
      <c r="D12987" t="s">
        <v>19017</v>
      </c>
      <c r="E12987" t="s">
        <v>30213</v>
      </c>
      <c r="F12987" t="s">
        <v>32831</v>
      </c>
      <c r="G12987" t="s">
        <v>32839</v>
      </c>
      <c r="H12987" t="s">
        <v>32848</v>
      </c>
      <c r="I12987" t="s">
        <v>32859</v>
      </c>
      <c r="J12987" t="s">
        <v>40920</v>
      </c>
      <c r="K12987" t="s">
        <v>42727</v>
      </c>
      <c r="M12987" t="s">
        <v>46961</v>
      </c>
      <c r="N12987" t="s">
        <v>47424</v>
      </c>
      <c r="O12987" t="s">
        <v>47425</v>
      </c>
      <c r="Q12987">
        <v>9</v>
      </c>
      <c r="R12987" t="s">
        <v>47440</v>
      </c>
      <c r="S12987" t="s">
        <v>48047</v>
      </c>
      <c r="T12987" t="s">
        <v>49221</v>
      </c>
      <c r="U12987" t="s">
        <v>60330</v>
      </c>
      <c r="W12987" t="s">
        <v>46961</v>
      </c>
      <c r="X12987" t="s">
        <v>47441</v>
      </c>
    </row>
    <row r="12988" spans="1:24">
      <c r="A12988">
        <f>HYPERLINK("https://www.philgeps.gov.ph/GEPSNONPILOT/Tender/SplashBidNoticeAbstractUI.aspx?menuIndex=3&amp;refID=7138773&amp;Result=3","7138773")</f>
        <v>0</v>
      </c>
      <c r="B12988" t="s">
        <v>1467</v>
      </c>
      <c r="C12988" t="s">
        <v>15527</v>
      </c>
      <c r="D12988" t="s">
        <v>19051</v>
      </c>
      <c r="E12988" t="s">
        <v>30214</v>
      </c>
      <c r="F12988" t="s">
        <v>32831</v>
      </c>
      <c r="G12988" t="s">
        <v>32839</v>
      </c>
      <c r="H12988" t="s">
        <v>32848</v>
      </c>
      <c r="I12988" t="s">
        <v>7416</v>
      </c>
      <c r="J12988" t="s">
        <v>40921</v>
      </c>
      <c r="K12988" t="s">
        <v>42726</v>
      </c>
      <c r="M12988" t="s">
        <v>44559</v>
      </c>
      <c r="N12988" t="s">
        <v>47424</v>
      </c>
      <c r="O12988" t="s">
        <v>47425</v>
      </c>
      <c r="P12988">
        <v>0</v>
      </c>
      <c r="Q12988">
        <v>0</v>
      </c>
      <c r="R12988" t="s">
        <v>47440</v>
      </c>
      <c r="S12988" t="s">
        <v>47963</v>
      </c>
      <c r="T12988" t="s">
        <v>49073</v>
      </c>
      <c r="U12988" t="s">
        <v>60331</v>
      </c>
      <c r="W12988" t="s">
        <v>44559</v>
      </c>
      <c r="X12988" t="s">
        <v>47441</v>
      </c>
    </row>
    <row r="12989" spans="1:24">
      <c r="A12989">
        <f>HYPERLINK("https://www.philgeps.gov.ph/GEPSNONPILOT/Tender/SplashBidNoticeAbstractUI.aspx?menuIndex=3&amp;refID=7138568&amp;Result=3","7138568")</f>
        <v>0</v>
      </c>
      <c r="B12989" t="s">
        <v>959</v>
      </c>
      <c r="C12989" t="s">
        <v>16154</v>
      </c>
      <c r="D12989" t="s">
        <v>19078</v>
      </c>
      <c r="E12989" t="s">
        <v>22897</v>
      </c>
      <c r="F12989" t="s">
        <v>32831</v>
      </c>
      <c r="G12989" t="s">
        <v>32839</v>
      </c>
      <c r="H12989" t="s">
        <v>32849</v>
      </c>
      <c r="I12989" t="s">
        <v>4177</v>
      </c>
      <c r="J12989" t="s">
        <v>40922</v>
      </c>
      <c r="K12989" t="s">
        <v>42731</v>
      </c>
      <c r="M12989" t="s">
        <v>44005</v>
      </c>
      <c r="N12989" t="s">
        <v>47424</v>
      </c>
      <c r="O12989" t="s">
        <v>47425</v>
      </c>
      <c r="P12989">
        <v>0</v>
      </c>
      <c r="Q12989">
        <v>1</v>
      </c>
      <c r="R12989" t="s">
        <v>47440</v>
      </c>
      <c r="S12989" t="s">
        <v>47963</v>
      </c>
      <c r="T12989" t="s">
        <v>49059</v>
      </c>
      <c r="U12989" t="s">
        <v>60332</v>
      </c>
      <c r="W12989" t="s">
        <v>44005</v>
      </c>
      <c r="X12989" t="s">
        <v>47441</v>
      </c>
    </row>
    <row r="12990" spans="1:24">
      <c r="A12990">
        <f>HYPERLINK("https://www.philgeps.gov.ph/GEPSNONPILOT/Tender/SplashBidNoticeAbstractUI.aspx?menuIndex=3&amp;refID=7138760&amp;Result=3","7138760")</f>
        <v>0</v>
      </c>
      <c r="B12990" t="s">
        <v>3661</v>
      </c>
      <c r="C12990" t="s">
        <v>16155</v>
      </c>
      <c r="D12990" t="s">
        <v>19045</v>
      </c>
      <c r="E12990" t="s">
        <v>30215</v>
      </c>
      <c r="F12990" t="s">
        <v>32831</v>
      </c>
      <c r="G12990" t="s">
        <v>32839</v>
      </c>
      <c r="H12990" t="s">
        <v>32849</v>
      </c>
      <c r="I12990" t="s">
        <v>4177</v>
      </c>
      <c r="J12990" t="s">
        <v>40923</v>
      </c>
      <c r="K12990" t="s">
        <v>42750</v>
      </c>
      <c r="M12990" t="s">
        <v>47033</v>
      </c>
      <c r="N12990" t="s">
        <v>47424</v>
      </c>
      <c r="O12990" t="s">
        <v>47425</v>
      </c>
      <c r="P12990">
        <v>0</v>
      </c>
      <c r="Q12990">
        <v>0</v>
      </c>
      <c r="R12990" t="s">
        <v>47440</v>
      </c>
      <c r="S12990" t="s">
        <v>47963</v>
      </c>
      <c r="T12990" t="s">
        <v>49239</v>
      </c>
      <c r="U12990" t="s">
        <v>60333</v>
      </c>
      <c r="W12990" t="s">
        <v>47033</v>
      </c>
      <c r="X12990" t="s">
        <v>47441</v>
      </c>
    </row>
    <row r="12991" spans="1:24">
      <c r="A12991">
        <f>HYPERLINK("https://www.philgeps.gov.ph/GEPSNONPILOT/Tender/SplashBidNoticeAbstractUI.aspx?menuIndex=3&amp;refID=7138729&amp;Result=3","7138729")</f>
        <v>0</v>
      </c>
      <c r="B12991" t="s">
        <v>3628</v>
      </c>
      <c r="C12991" t="s">
        <v>16156</v>
      </c>
      <c r="D12991" t="s">
        <v>19082</v>
      </c>
      <c r="E12991" t="s">
        <v>30216</v>
      </c>
      <c r="F12991" t="s">
        <v>32831</v>
      </c>
      <c r="G12991" t="s">
        <v>32839</v>
      </c>
      <c r="H12991" t="s">
        <v>32848</v>
      </c>
      <c r="I12991" t="s">
        <v>7751</v>
      </c>
      <c r="J12991" t="s">
        <v>34565</v>
      </c>
      <c r="K12991" t="s">
        <v>42730</v>
      </c>
      <c r="M12991" t="s">
        <v>46998</v>
      </c>
      <c r="N12991" t="s">
        <v>47424</v>
      </c>
      <c r="O12991" t="s">
        <v>47425</v>
      </c>
      <c r="P12991">
        <v>0</v>
      </c>
      <c r="Q12991">
        <v>6</v>
      </c>
      <c r="R12991" t="s">
        <v>47440</v>
      </c>
      <c r="S12991" t="s">
        <v>47963</v>
      </c>
      <c r="T12991" t="s">
        <v>49073</v>
      </c>
      <c r="U12991" t="s">
        <v>60334</v>
      </c>
      <c r="W12991" t="s">
        <v>46998</v>
      </c>
      <c r="X12991" t="s">
        <v>47441</v>
      </c>
    </row>
    <row r="12992" spans="1:24">
      <c r="A12992">
        <f>HYPERLINK("https://www.philgeps.gov.ph/GEPSNONPILOT/Tender/SplashBidNoticeAbstractUI.aspx?menuIndex=3&amp;refID=7138763&amp;Result=3","7138763")</f>
        <v>0</v>
      </c>
      <c r="B12992" t="s">
        <v>1098</v>
      </c>
      <c r="C12992" t="s">
        <v>16157</v>
      </c>
      <c r="D12992" t="s">
        <v>19017</v>
      </c>
      <c r="E12992" t="s">
        <v>30217</v>
      </c>
      <c r="F12992" t="s">
        <v>32831</v>
      </c>
      <c r="G12992" t="s">
        <v>32839</v>
      </c>
      <c r="H12992" t="s">
        <v>32848</v>
      </c>
      <c r="I12992" t="s">
        <v>8577</v>
      </c>
      <c r="J12992" t="s">
        <v>40924</v>
      </c>
      <c r="K12992" t="s">
        <v>42730</v>
      </c>
      <c r="M12992" t="s">
        <v>44157</v>
      </c>
      <c r="N12992" t="s">
        <v>47424</v>
      </c>
      <c r="O12992" t="s">
        <v>47425</v>
      </c>
      <c r="P12992">
        <v>0</v>
      </c>
      <c r="Q12992">
        <v>19</v>
      </c>
      <c r="R12992" t="s">
        <v>47440</v>
      </c>
      <c r="S12992" t="s">
        <v>47963</v>
      </c>
      <c r="T12992" t="s">
        <v>49251</v>
      </c>
      <c r="U12992" t="s">
        <v>60335</v>
      </c>
      <c r="V12992" t="s">
        <v>62889</v>
      </c>
      <c r="W12992" t="s">
        <v>44157</v>
      </c>
      <c r="X12992" t="s">
        <v>47441</v>
      </c>
    </row>
    <row r="12993" spans="1:24">
      <c r="A12993">
        <f>HYPERLINK("https://www.philgeps.gov.ph/GEPSNONPILOT/Tender/SplashBidNoticeAbstractUI.aspx?menuIndex=3&amp;refID=7138649&amp;Result=3","7138649")</f>
        <v>0</v>
      </c>
      <c r="B12993" t="s">
        <v>1915</v>
      </c>
      <c r="C12993" t="s">
        <v>16158</v>
      </c>
      <c r="D12993" t="s">
        <v>19030</v>
      </c>
      <c r="E12993" t="s">
        <v>30218</v>
      </c>
      <c r="F12993" t="s">
        <v>32831</v>
      </c>
      <c r="G12993" t="s">
        <v>32839</v>
      </c>
      <c r="H12993" t="s">
        <v>32849</v>
      </c>
      <c r="I12993" t="s">
        <v>4177</v>
      </c>
      <c r="J12993" t="s">
        <v>39594</v>
      </c>
      <c r="K12993" t="s">
        <v>42729</v>
      </c>
      <c r="M12993" t="s">
        <v>45067</v>
      </c>
      <c r="N12993" t="s">
        <v>47424</v>
      </c>
      <c r="O12993" t="s">
        <v>47425</v>
      </c>
      <c r="P12993">
        <v>0</v>
      </c>
      <c r="Q12993">
        <v>9</v>
      </c>
      <c r="R12993" t="s">
        <v>47440</v>
      </c>
      <c r="S12993" t="s">
        <v>47963</v>
      </c>
      <c r="T12993" t="s">
        <v>49080</v>
      </c>
      <c r="U12993" t="s">
        <v>60314</v>
      </c>
      <c r="W12993" t="s">
        <v>64492</v>
      </c>
      <c r="X12993" t="s">
        <v>47441</v>
      </c>
    </row>
    <row r="12994" spans="1:24">
      <c r="A12994">
        <f>HYPERLINK("https://www.philgeps.gov.ph/GEPSNONPILOT/Tender/SplashBidNoticeAbstractUI.aspx?menuIndex=3&amp;refID=7138723&amp;Result=3","7138723")</f>
        <v>0</v>
      </c>
      <c r="B12994" t="s">
        <v>3662</v>
      </c>
      <c r="C12994" t="s">
        <v>16159</v>
      </c>
      <c r="D12994" t="s">
        <v>19045</v>
      </c>
      <c r="E12994" t="s">
        <v>30219</v>
      </c>
      <c r="F12994" t="s">
        <v>32831</v>
      </c>
      <c r="G12994" t="s">
        <v>32839</v>
      </c>
      <c r="H12994" t="s">
        <v>32848</v>
      </c>
      <c r="I12994" t="s">
        <v>32859</v>
      </c>
      <c r="J12994" t="s">
        <v>40925</v>
      </c>
      <c r="K12994" t="s">
        <v>42780</v>
      </c>
      <c r="M12994" t="s">
        <v>47034</v>
      </c>
      <c r="N12994" t="s">
        <v>47424</v>
      </c>
      <c r="O12994" t="s">
        <v>47425</v>
      </c>
      <c r="P12994">
        <v>0</v>
      </c>
      <c r="Q12994">
        <v>8</v>
      </c>
      <c r="R12994" t="s">
        <v>47440</v>
      </c>
      <c r="S12994" t="s">
        <v>47963</v>
      </c>
      <c r="T12994" t="s">
        <v>49159</v>
      </c>
      <c r="U12994" t="s">
        <v>60336</v>
      </c>
      <c r="W12994" t="s">
        <v>47034</v>
      </c>
      <c r="X12994" t="s">
        <v>47441</v>
      </c>
    </row>
    <row r="12995" spans="1:24">
      <c r="A12995">
        <f>HYPERLINK("https://www.philgeps.gov.ph/GEPSNONPILOT/Tender/SplashBidNoticeAbstractUI.aspx?menuIndex=3&amp;refID=7138653&amp;Result=3","7138653")</f>
        <v>0</v>
      </c>
      <c r="B12995" t="s">
        <v>3659</v>
      </c>
      <c r="C12995" t="s">
        <v>16160</v>
      </c>
      <c r="D12995" t="s">
        <v>19067</v>
      </c>
      <c r="E12995" t="s">
        <v>30220</v>
      </c>
      <c r="F12995" t="s">
        <v>32831</v>
      </c>
      <c r="G12995" t="s">
        <v>32839</v>
      </c>
      <c r="H12995" t="s">
        <v>32848</v>
      </c>
      <c r="I12995" t="s">
        <v>7416</v>
      </c>
      <c r="J12995" t="s">
        <v>40926</v>
      </c>
      <c r="K12995" t="s">
        <v>42731</v>
      </c>
      <c r="M12995" t="s">
        <v>47031</v>
      </c>
      <c r="N12995" t="s">
        <v>47424</v>
      </c>
      <c r="O12995" t="s">
        <v>47425</v>
      </c>
      <c r="P12995">
        <v>0</v>
      </c>
      <c r="Q12995">
        <v>1</v>
      </c>
      <c r="R12995" t="s">
        <v>47440</v>
      </c>
      <c r="S12995" t="s">
        <v>47963</v>
      </c>
      <c r="T12995" t="s">
        <v>49064</v>
      </c>
      <c r="U12995" t="s">
        <v>60337</v>
      </c>
      <c r="V12995" t="s">
        <v>64074</v>
      </c>
      <c r="W12995" t="s">
        <v>47031</v>
      </c>
      <c r="X12995" t="s">
        <v>47441</v>
      </c>
    </row>
    <row r="12996" spans="1:24">
      <c r="A12996">
        <f>HYPERLINK("https://www.philgeps.gov.ph/GEPSNONPILOT/Tender/SplashBidNoticeAbstractUI.aspx?menuIndex=3&amp;refID=7138429&amp;Result=3","7138429")</f>
        <v>0</v>
      </c>
      <c r="B12996" t="s">
        <v>911</v>
      </c>
      <c r="C12996" t="s">
        <v>16161</v>
      </c>
      <c r="D12996" t="s">
        <v>19049</v>
      </c>
      <c r="E12996" t="s">
        <v>30221</v>
      </c>
      <c r="F12996" t="s">
        <v>32831</v>
      </c>
      <c r="G12996" t="s">
        <v>32839</v>
      </c>
      <c r="H12996" t="s">
        <v>32848</v>
      </c>
      <c r="I12996" t="s">
        <v>7751</v>
      </c>
      <c r="J12996" t="s">
        <v>36801</v>
      </c>
      <c r="K12996" t="s">
        <v>42729</v>
      </c>
      <c r="M12996" t="s">
        <v>43951</v>
      </c>
      <c r="N12996" t="s">
        <v>47424</v>
      </c>
      <c r="O12996" t="s">
        <v>47425</v>
      </c>
      <c r="P12996">
        <v>0</v>
      </c>
      <c r="Q12996">
        <v>0</v>
      </c>
      <c r="R12996" t="s">
        <v>47440</v>
      </c>
      <c r="S12996" t="s">
        <v>47963</v>
      </c>
      <c r="T12996" t="s">
        <v>49069</v>
      </c>
      <c r="U12996" t="s">
        <v>52589</v>
      </c>
      <c r="W12996" t="s">
        <v>43951</v>
      </c>
      <c r="X12996" t="s">
        <v>47441</v>
      </c>
    </row>
    <row r="12997" spans="1:24">
      <c r="A12997">
        <f>HYPERLINK("https://www.philgeps.gov.ph/GEPSNONPILOT/Tender/SplashBidNoticeAbstractUI.aspx?menuIndex=3&amp;refID=7138685&amp;Result=3","7138685")</f>
        <v>0</v>
      </c>
      <c r="B12997" t="s">
        <v>657</v>
      </c>
      <c r="C12997" t="s">
        <v>16162</v>
      </c>
      <c r="D12997" t="s">
        <v>19027</v>
      </c>
      <c r="E12997" t="s">
        <v>30222</v>
      </c>
      <c r="F12997" t="s">
        <v>32831</v>
      </c>
      <c r="G12997" t="s">
        <v>32839</v>
      </c>
      <c r="H12997" t="s">
        <v>32848</v>
      </c>
      <c r="I12997" t="s">
        <v>7416</v>
      </c>
      <c r="J12997" t="s">
        <v>40927</v>
      </c>
      <c r="K12997" t="s">
        <v>42732</v>
      </c>
      <c r="M12997" t="s">
        <v>43675</v>
      </c>
      <c r="N12997" t="s">
        <v>47424</v>
      </c>
      <c r="O12997" t="s">
        <v>47425</v>
      </c>
      <c r="P12997">
        <v>0</v>
      </c>
      <c r="Q12997">
        <v>0</v>
      </c>
      <c r="R12997" t="s">
        <v>47440</v>
      </c>
      <c r="S12997" t="s">
        <v>47963</v>
      </c>
      <c r="T12997" t="s">
        <v>49073</v>
      </c>
      <c r="U12997" t="s">
        <v>55155</v>
      </c>
      <c r="W12997" t="s">
        <v>43675</v>
      </c>
      <c r="X12997" t="s">
        <v>47441</v>
      </c>
    </row>
    <row r="12998" spans="1:24">
      <c r="A12998">
        <f>HYPERLINK("https://www.philgeps.gov.ph/GEPSNONPILOT/Tender/SplashBidNoticeAbstractUI.aspx?menuIndex=3&amp;refID=7138726&amp;Result=3","7138726")</f>
        <v>0</v>
      </c>
      <c r="B12998" t="s">
        <v>85</v>
      </c>
      <c r="C12998" t="s">
        <v>16163</v>
      </c>
      <c r="D12998" t="s">
        <v>19028</v>
      </c>
      <c r="E12998" t="s">
        <v>30223</v>
      </c>
      <c r="F12998" t="s">
        <v>32831</v>
      </c>
      <c r="G12998" t="s">
        <v>32839</v>
      </c>
      <c r="H12998" t="s">
        <v>32849</v>
      </c>
      <c r="I12998" t="s">
        <v>4177</v>
      </c>
      <c r="J12998" t="s">
        <v>40928</v>
      </c>
      <c r="K12998" t="s">
        <v>42729</v>
      </c>
      <c r="M12998" t="s">
        <v>43082</v>
      </c>
      <c r="N12998" t="s">
        <v>47424</v>
      </c>
      <c r="O12998" t="s">
        <v>47425</v>
      </c>
      <c r="P12998">
        <v>0</v>
      </c>
      <c r="Q12998">
        <v>0</v>
      </c>
      <c r="R12998" t="s">
        <v>47440</v>
      </c>
      <c r="S12998" t="s">
        <v>47963</v>
      </c>
      <c r="T12998" t="s">
        <v>49111</v>
      </c>
      <c r="U12998" t="s">
        <v>60338</v>
      </c>
      <c r="W12998" t="s">
        <v>43082</v>
      </c>
      <c r="X12998" t="s">
        <v>47441</v>
      </c>
    </row>
    <row r="12999" spans="1:24">
      <c r="A12999">
        <f>HYPERLINK("https://www.philgeps.gov.ph/GEPSNONPILOT/Tender/SplashBidNoticeAbstractUI.aspx?menuIndex=3&amp;refID=7138690&amp;Result=3","7138690")</f>
        <v>0</v>
      </c>
      <c r="B12999" t="s">
        <v>657</v>
      </c>
      <c r="C12999" t="s">
        <v>16164</v>
      </c>
      <c r="D12999" t="s">
        <v>19027</v>
      </c>
      <c r="E12999" t="s">
        <v>30224</v>
      </c>
      <c r="F12999" t="s">
        <v>32831</v>
      </c>
      <c r="G12999" t="s">
        <v>32839</v>
      </c>
      <c r="H12999" t="s">
        <v>32848</v>
      </c>
      <c r="I12999" t="s">
        <v>7416</v>
      </c>
      <c r="J12999" t="s">
        <v>40929</v>
      </c>
      <c r="K12999" t="s">
        <v>42732</v>
      </c>
      <c r="M12999" t="s">
        <v>43675</v>
      </c>
      <c r="N12999" t="s">
        <v>47424</v>
      </c>
      <c r="O12999" t="s">
        <v>47425</v>
      </c>
      <c r="P12999">
        <v>0</v>
      </c>
      <c r="Q12999">
        <v>1</v>
      </c>
      <c r="R12999" t="s">
        <v>47440</v>
      </c>
      <c r="S12999" t="s">
        <v>47963</v>
      </c>
      <c r="T12999" t="s">
        <v>49196</v>
      </c>
      <c r="U12999" t="s">
        <v>55155</v>
      </c>
      <c r="W12999" t="s">
        <v>43675</v>
      </c>
      <c r="X12999" t="s">
        <v>47441</v>
      </c>
    </row>
    <row r="13000" spans="1:24">
      <c r="A13000">
        <f>HYPERLINK("https://www.philgeps.gov.ph/GEPSNONPILOT/Tender/SplashBidNoticeAbstractUI.aspx?menuIndex=3&amp;refID=7138677&amp;Result=3","7138677")</f>
        <v>0</v>
      </c>
      <c r="B13000" t="s">
        <v>1915</v>
      </c>
      <c r="C13000" t="s">
        <v>16165</v>
      </c>
      <c r="D13000" t="s">
        <v>19030</v>
      </c>
      <c r="E13000" t="s">
        <v>30225</v>
      </c>
      <c r="F13000" t="s">
        <v>32831</v>
      </c>
      <c r="G13000" t="s">
        <v>32839</v>
      </c>
      <c r="H13000" t="s">
        <v>32849</v>
      </c>
      <c r="I13000" t="s">
        <v>4177</v>
      </c>
      <c r="J13000" t="s">
        <v>40930</v>
      </c>
      <c r="K13000" t="s">
        <v>42780</v>
      </c>
      <c r="M13000" t="s">
        <v>45067</v>
      </c>
      <c r="N13000" t="s">
        <v>47424</v>
      </c>
      <c r="O13000" t="s">
        <v>47425</v>
      </c>
      <c r="P13000">
        <v>0</v>
      </c>
      <c r="Q13000">
        <v>21</v>
      </c>
      <c r="R13000" t="s">
        <v>47440</v>
      </c>
      <c r="S13000" t="s">
        <v>47963</v>
      </c>
      <c r="T13000" t="s">
        <v>49080</v>
      </c>
      <c r="U13000" t="s">
        <v>60314</v>
      </c>
      <c r="W13000" t="s">
        <v>64492</v>
      </c>
      <c r="X13000" t="s">
        <v>47441</v>
      </c>
    </row>
    <row r="13001" spans="1:24">
      <c r="A13001">
        <f>HYPERLINK("https://www.philgeps.gov.ph/GEPSNONPILOT/Tender/SplashBidNoticeAbstractUI.aspx?menuIndex=3&amp;refID=7138757&amp;Result=3","7138757")</f>
        <v>0</v>
      </c>
      <c r="B13001" t="s">
        <v>2110</v>
      </c>
      <c r="C13001" t="s">
        <v>16166</v>
      </c>
      <c r="E13001" t="s">
        <v>30226</v>
      </c>
      <c r="F13001" t="s">
        <v>32831</v>
      </c>
      <c r="G13001" t="s">
        <v>32839</v>
      </c>
      <c r="H13001" t="s">
        <v>32848</v>
      </c>
      <c r="I13001" t="s">
        <v>4177</v>
      </c>
      <c r="J13001" t="s">
        <v>34969</v>
      </c>
      <c r="K13001" t="s">
        <v>42763</v>
      </c>
      <c r="M13001" t="s">
        <v>45284</v>
      </c>
      <c r="N13001" t="s">
        <v>47424</v>
      </c>
      <c r="O13001" t="s">
        <v>47425</v>
      </c>
      <c r="P13001">
        <v>0</v>
      </c>
      <c r="Q13001">
        <v>0</v>
      </c>
      <c r="R13001" t="s">
        <v>47440</v>
      </c>
      <c r="S13001" t="s">
        <v>47963</v>
      </c>
      <c r="T13001" t="s">
        <v>49080</v>
      </c>
      <c r="U13001" t="s">
        <v>60339</v>
      </c>
      <c r="W13001" t="s">
        <v>45284</v>
      </c>
      <c r="X13001" t="s">
        <v>47441</v>
      </c>
    </row>
    <row r="13002" spans="1:24">
      <c r="A13002">
        <f>HYPERLINK("https://www.philgeps.gov.ph/GEPSNONPILOT/Tender/SplashBidNoticeAbstractUI.aspx?menuIndex=3&amp;refID=7138676&amp;Result=3","7138676")</f>
        <v>0</v>
      </c>
      <c r="B13002" t="s">
        <v>657</v>
      </c>
      <c r="C13002" t="s">
        <v>16167</v>
      </c>
      <c r="D13002" t="s">
        <v>19027</v>
      </c>
      <c r="E13002" t="s">
        <v>30227</v>
      </c>
      <c r="F13002" t="s">
        <v>32831</v>
      </c>
      <c r="G13002" t="s">
        <v>32839</v>
      </c>
      <c r="H13002" t="s">
        <v>32848</v>
      </c>
      <c r="I13002" t="s">
        <v>7416</v>
      </c>
      <c r="J13002" t="s">
        <v>40931</v>
      </c>
      <c r="K13002" t="s">
        <v>42732</v>
      </c>
      <c r="M13002" t="s">
        <v>43675</v>
      </c>
      <c r="N13002" t="s">
        <v>47424</v>
      </c>
      <c r="O13002" t="s">
        <v>47425</v>
      </c>
      <c r="P13002">
        <v>0</v>
      </c>
      <c r="Q13002">
        <v>0</v>
      </c>
      <c r="R13002" t="s">
        <v>47440</v>
      </c>
      <c r="S13002" t="s">
        <v>47963</v>
      </c>
      <c r="T13002" t="s">
        <v>49214</v>
      </c>
      <c r="U13002" t="s">
        <v>55155</v>
      </c>
      <c r="W13002" t="s">
        <v>43675</v>
      </c>
      <c r="X13002" t="s">
        <v>47441</v>
      </c>
    </row>
    <row r="13003" spans="1:24">
      <c r="A13003">
        <f>HYPERLINK("https://www.philgeps.gov.ph/GEPSNONPILOT/Tender/SplashBidNoticeAbstractUI.aspx?menuIndex=3&amp;refID=7138681&amp;Result=3","7138681")</f>
        <v>0</v>
      </c>
      <c r="B13003" t="s">
        <v>657</v>
      </c>
      <c r="C13003" t="s">
        <v>16168</v>
      </c>
      <c r="D13003" t="s">
        <v>19027</v>
      </c>
      <c r="E13003" t="s">
        <v>30228</v>
      </c>
      <c r="F13003" t="s">
        <v>32831</v>
      </c>
      <c r="G13003" t="s">
        <v>32839</v>
      </c>
      <c r="H13003" t="s">
        <v>32848</v>
      </c>
      <c r="I13003" t="s">
        <v>7416</v>
      </c>
      <c r="J13003" t="s">
        <v>40932</v>
      </c>
      <c r="K13003" t="s">
        <v>42732</v>
      </c>
      <c r="M13003" t="s">
        <v>43675</v>
      </c>
      <c r="N13003" t="s">
        <v>47424</v>
      </c>
      <c r="O13003" t="s">
        <v>47425</v>
      </c>
      <c r="P13003">
        <v>0</v>
      </c>
      <c r="Q13003">
        <v>0</v>
      </c>
      <c r="R13003" t="s">
        <v>47440</v>
      </c>
      <c r="S13003" t="s">
        <v>47963</v>
      </c>
      <c r="T13003" t="s">
        <v>49129</v>
      </c>
      <c r="U13003" t="s">
        <v>55155</v>
      </c>
      <c r="W13003" t="s">
        <v>43675</v>
      </c>
      <c r="X13003" t="s">
        <v>47441</v>
      </c>
    </row>
    <row r="13004" spans="1:24">
      <c r="A13004">
        <f>HYPERLINK("https://www.philgeps.gov.ph/GEPSNONPILOT/Tender/SplashBidNoticeAbstractUI.aspx?menuIndex=3&amp;refID=7138716&amp;Result=3","7138716")</f>
        <v>0</v>
      </c>
      <c r="B13004" t="s">
        <v>1467</v>
      </c>
      <c r="C13004" t="s">
        <v>16169</v>
      </c>
      <c r="D13004" t="s">
        <v>19051</v>
      </c>
      <c r="E13004" t="s">
        <v>30229</v>
      </c>
      <c r="F13004" t="s">
        <v>32831</v>
      </c>
      <c r="G13004" t="s">
        <v>32839</v>
      </c>
      <c r="H13004" t="s">
        <v>32848</v>
      </c>
      <c r="I13004" t="s">
        <v>4222</v>
      </c>
      <c r="J13004" t="s">
        <v>40933</v>
      </c>
      <c r="K13004" t="s">
        <v>42726</v>
      </c>
      <c r="M13004" t="s">
        <v>44559</v>
      </c>
      <c r="N13004" t="s">
        <v>47424</v>
      </c>
      <c r="O13004" t="s">
        <v>47425</v>
      </c>
      <c r="P13004">
        <v>0</v>
      </c>
      <c r="Q13004">
        <v>0</v>
      </c>
      <c r="R13004" t="s">
        <v>47440</v>
      </c>
      <c r="S13004" t="s">
        <v>47963</v>
      </c>
      <c r="T13004" t="s">
        <v>49073</v>
      </c>
      <c r="U13004" t="s">
        <v>60340</v>
      </c>
      <c r="W13004" t="s">
        <v>44559</v>
      </c>
      <c r="X13004" t="s">
        <v>47441</v>
      </c>
    </row>
    <row r="13005" spans="1:24">
      <c r="A13005">
        <f>HYPERLINK("https://www.philgeps.gov.ph/GEPSNONPILOT/Tender/SplashBidNoticeAbstractUI.aspx?menuIndex=3&amp;refID=7138862&amp;Result=3","7138862")</f>
        <v>0</v>
      </c>
      <c r="B13005" t="s">
        <v>544</v>
      </c>
      <c r="C13005" t="s">
        <v>16170</v>
      </c>
      <c r="D13005" t="s">
        <v>19077</v>
      </c>
      <c r="E13005" t="s">
        <v>29760</v>
      </c>
      <c r="F13005" t="s">
        <v>32831</v>
      </c>
      <c r="G13005" t="s">
        <v>32839</v>
      </c>
      <c r="H13005" t="s">
        <v>32850</v>
      </c>
      <c r="I13005" t="s">
        <v>5667</v>
      </c>
      <c r="J13005" t="s">
        <v>40934</v>
      </c>
      <c r="K13005" t="s">
        <v>42870</v>
      </c>
      <c r="M13005" t="s">
        <v>43550</v>
      </c>
      <c r="N13005" t="s">
        <v>47424</v>
      </c>
      <c r="O13005" t="s">
        <v>47425</v>
      </c>
      <c r="Q13005">
        <v>0</v>
      </c>
      <c r="R13005" t="s">
        <v>47440</v>
      </c>
      <c r="S13005" t="s">
        <v>48048</v>
      </c>
      <c r="T13005" t="s">
        <v>49171</v>
      </c>
      <c r="U13005" t="s">
        <v>60341</v>
      </c>
      <c r="W13005" t="s">
        <v>43550</v>
      </c>
      <c r="X13005" t="s">
        <v>47441</v>
      </c>
    </row>
    <row r="13006" spans="1:24">
      <c r="A13006">
        <f>HYPERLINK("https://www.philgeps.gov.ph/GEPSNONPILOT/Tender/SplashBidNoticeAbstractUI.aspx?menuIndex=3&amp;refID=7138861&amp;Result=3","7138861")</f>
        <v>0</v>
      </c>
      <c r="B13006" t="s">
        <v>3629</v>
      </c>
      <c r="C13006" t="s">
        <v>16171</v>
      </c>
      <c r="D13006" t="s">
        <v>19034</v>
      </c>
      <c r="E13006" t="s">
        <v>30230</v>
      </c>
      <c r="F13006" t="s">
        <v>32831</v>
      </c>
      <c r="G13006" t="s">
        <v>32839</v>
      </c>
      <c r="H13006" t="s">
        <v>32848</v>
      </c>
      <c r="I13006" t="s">
        <v>4340</v>
      </c>
      <c r="J13006" t="s">
        <v>38005</v>
      </c>
      <c r="K13006" t="s">
        <v>42730</v>
      </c>
      <c r="M13006" t="s">
        <v>46999</v>
      </c>
      <c r="N13006" t="s">
        <v>47424</v>
      </c>
      <c r="O13006" t="s">
        <v>47425</v>
      </c>
      <c r="P13006">
        <v>0</v>
      </c>
      <c r="Q13006">
        <v>3</v>
      </c>
      <c r="R13006" t="s">
        <v>47440</v>
      </c>
      <c r="S13006" t="s">
        <v>47963</v>
      </c>
      <c r="T13006" t="s">
        <v>49169</v>
      </c>
      <c r="U13006" t="s">
        <v>60342</v>
      </c>
      <c r="V13006" t="s">
        <v>64075</v>
      </c>
      <c r="W13006" t="s">
        <v>46999</v>
      </c>
      <c r="X13006" t="s">
        <v>47441</v>
      </c>
    </row>
    <row r="13007" spans="1:24">
      <c r="A13007">
        <f>HYPERLINK("https://www.philgeps.gov.ph/GEPSNONPILOT/Tender/SplashBidNoticeAbstractUI.aspx?menuIndex=3&amp;refID=7138778&amp;Result=3","7138778")</f>
        <v>0</v>
      </c>
      <c r="B13007" t="s">
        <v>2720</v>
      </c>
      <c r="C13007" t="s">
        <v>16172</v>
      </c>
      <c r="D13007" t="s">
        <v>19078</v>
      </c>
      <c r="E13007" t="s">
        <v>29032</v>
      </c>
      <c r="F13007" t="s">
        <v>32831</v>
      </c>
      <c r="G13007" t="s">
        <v>32839</v>
      </c>
      <c r="H13007" t="s">
        <v>32848</v>
      </c>
      <c r="I13007" t="s">
        <v>32890</v>
      </c>
      <c r="J13007" t="s">
        <v>37107</v>
      </c>
      <c r="K13007" t="s">
        <v>42726</v>
      </c>
      <c r="L13007" t="s">
        <v>2720</v>
      </c>
      <c r="M13007" t="s">
        <v>45946</v>
      </c>
      <c r="N13007" t="s">
        <v>47424</v>
      </c>
      <c r="O13007" t="s">
        <v>47425</v>
      </c>
      <c r="P13007">
        <v>0</v>
      </c>
      <c r="Q13007">
        <v>0</v>
      </c>
      <c r="R13007" t="s">
        <v>47440</v>
      </c>
      <c r="S13007" t="s">
        <v>47963</v>
      </c>
      <c r="T13007" t="s">
        <v>49175</v>
      </c>
      <c r="U13007" t="s">
        <v>60343</v>
      </c>
      <c r="W13007" t="s">
        <v>45946</v>
      </c>
      <c r="X13007" t="s">
        <v>47441</v>
      </c>
    </row>
    <row r="13008" spans="1:24">
      <c r="A13008">
        <f>HYPERLINK("https://www.philgeps.gov.ph/GEPSNONPILOT/Tender/SplashBidNoticeAbstractUI.aspx?menuIndex=3&amp;refID=7138860&amp;Result=3","7138860")</f>
        <v>0</v>
      </c>
      <c r="B13008" t="s">
        <v>3663</v>
      </c>
      <c r="C13008" t="s">
        <v>16173</v>
      </c>
      <c r="D13008" t="s">
        <v>19032</v>
      </c>
      <c r="E13008" t="s">
        <v>30231</v>
      </c>
      <c r="F13008" t="s">
        <v>32831</v>
      </c>
      <c r="G13008" t="s">
        <v>32839</v>
      </c>
      <c r="H13008" t="s">
        <v>32849</v>
      </c>
      <c r="I13008" t="s">
        <v>4177</v>
      </c>
      <c r="J13008" t="s">
        <v>33032</v>
      </c>
      <c r="K13008" t="s">
        <v>42732</v>
      </c>
      <c r="M13008" t="s">
        <v>47035</v>
      </c>
      <c r="N13008" t="s">
        <v>47424</v>
      </c>
      <c r="O13008" t="s">
        <v>47425</v>
      </c>
      <c r="P13008">
        <v>0</v>
      </c>
      <c r="Q13008">
        <v>0</v>
      </c>
      <c r="R13008" t="s">
        <v>47440</v>
      </c>
      <c r="S13008" t="s">
        <v>47963</v>
      </c>
      <c r="T13008" t="s">
        <v>49080</v>
      </c>
      <c r="U13008" t="s">
        <v>60344</v>
      </c>
      <c r="W13008" t="s">
        <v>47035</v>
      </c>
      <c r="X13008" t="s">
        <v>47441</v>
      </c>
    </row>
    <row r="13009" spans="1:24">
      <c r="A13009">
        <f>HYPERLINK("https://www.philgeps.gov.ph/GEPSNONPILOT/Tender/SplashBidNoticeAbstractUI.aspx?menuIndex=3&amp;refID=7138855&amp;Result=3","7138855")</f>
        <v>0</v>
      </c>
      <c r="B13009" t="s">
        <v>3660</v>
      </c>
      <c r="C13009" t="s">
        <v>16174</v>
      </c>
      <c r="D13009" t="s">
        <v>19030</v>
      </c>
      <c r="E13009" t="s">
        <v>30232</v>
      </c>
      <c r="F13009" t="s">
        <v>32831</v>
      </c>
      <c r="G13009" t="s">
        <v>32839</v>
      </c>
      <c r="H13009" t="s">
        <v>32849</v>
      </c>
      <c r="I13009" t="s">
        <v>4177</v>
      </c>
      <c r="J13009" t="s">
        <v>33072</v>
      </c>
      <c r="K13009" t="s">
        <v>42729</v>
      </c>
      <c r="M13009" t="s">
        <v>47032</v>
      </c>
      <c r="N13009" t="s">
        <v>47424</v>
      </c>
      <c r="O13009" t="s">
        <v>47425</v>
      </c>
      <c r="P13009">
        <v>0</v>
      </c>
      <c r="Q13009">
        <v>4</v>
      </c>
      <c r="R13009" t="s">
        <v>47440</v>
      </c>
      <c r="S13009" t="s">
        <v>47963</v>
      </c>
      <c r="T13009" t="s">
        <v>49066</v>
      </c>
      <c r="U13009" t="s">
        <v>60345</v>
      </c>
      <c r="W13009" t="s">
        <v>47032</v>
      </c>
      <c r="X13009" t="s">
        <v>47441</v>
      </c>
    </row>
    <row r="13010" spans="1:24">
      <c r="A13010">
        <f>HYPERLINK("https://www.philgeps.gov.ph/GEPSNONPILOT/Tender/SplashBidNoticeAbstractUI.aspx?menuIndex=3&amp;refID=7138850&amp;Result=3","7138850")</f>
        <v>0</v>
      </c>
      <c r="B13010" t="s">
        <v>1060</v>
      </c>
      <c r="C13010" t="s">
        <v>16175</v>
      </c>
      <c r="D13010" t="s">
        <v>19036</v>
      </c>
      <c r="E13010" t="s">
        <v>30233</v>
      </c>
      <c r="F13010" t="s">
        <v>32831</v>
      </c>
      <c r="G13010" t="s">
        <v>32839</v>
      </c>
      <c r="H13010" t="s">
        <v>32849</v>
      </c>
      <c r="I13010" t="s">
        <v>4177</v>
      </c>
      <c r="J13010" t="s">
        <v>32978</v>
      </c>
      <c r="K13010" t="s">
        <v>42746</v>
      </c>
      <c r="M13010" t="s">
        <v>44117</v>
      </c>
      <c r="N13010" t="s">
        <v>47424</v>
      </c>
      <c r="O13010" t="s">
        <v>47425</v>
      </c>
      <c r="P13010">
        <v>0</v>
      </c>
      <c r="Q13010">
        <v>0</v>
      </c>
      <c r="R13010" t="s">
        <v>47440</v>
      </c>
      <c r="S13010" t="s">
        <v>47963</v>
      </c>
      <c r="T13010" t="s">
        <v>49073</v>
      </c>
      <c r="U13010" t="s">
        <v>60346</v>
      </c>
      <c r="W13010" t="s">
        <v>44117</v>
      </c>
      <c r="X13010" t="s">
        <v>47441</v>
      </c>
    </row>
    <row r="13011" spans="1:24">
      <c r="A13011">
        <f>HYPERLINK("https://www.philgeps.gov.ph/GEPSNONPILOT/Tender/SplashBidNoticeAbstractUI.aspx?menuIndex=3&amp;refID=7138679&amp;Result=3","7138679")</f>
        <v>0</v>
      </c>
      <c r="B13011" t="s">
        <v>1915</v>
      </c>
      <c r="C13011" t="s">
        <v>16176</v>
      </c>
      <c r="D13011" t="s">
        <v>19030</v>
      </c>
      <c r="E13011" t="s">
        <v>30234</v>
      </c>
      <c r="F13011" t="s">
        <v>32831</v>
      </c>
      <c r="G13011" t="s">
        <v>32839</v>
      </c>
      <c r="H13011" t="s">
        <v>32849</v>
      </c>
      <c r="I13011" t="s">
        <v>4177</v>
      </c>
      <c r="J13011" t="s">
        <v>40935</v>
      </c>
      <c r="K13011" t="s">
        <v>42956</v>
      </c>
      <c r="M13011" t="s">
        <v>45067</v>
      </c>
      <c r="N13011" t="s">
        <v>47424</v>
      </c>
      <c r="O13011" t="s">
        <v>47425</v>
      </c>
      <c r="P13011">
        <v>0</v>
      </c>
      <c r="Q13011">
        <v>22</v>
      </c>
      <c r="R13011" t="s">
        <v>47440</v>
      </c>
      <c r="S13011" t="s">
        <v>47963</v>
      </c>
      <c r="T13011" t="s">
        <v>49080</v>
      </c>
      <c r="U13011" t="s">
        <v>60314</v>
      </c>
      <c r="W13011" t="s">
        <v>64492</v>
      </c>
      <c r="X13011" t="s">
        <v>47441</v>
      </c>
    </row>
    <row r="13012" spans="1:24">
      <c r="A13012">
        <f>HYPERLINK("https://www.philgeps.gov.ph/GEPSNONPILOT/Tender/SplashBidNoticeAbstractUI.aspx?menuIndex=3&amp;refID=7138834&amp;Result=3","7138834")</f>
        <v>0</v>
      </c>
      <c r="B13012" t="s">
        <v>3663</v>
      </c>
      <c r="C13012" t="s">
        <v>16177</v>
      </c>
      <c r="D13012" t="s">
        <v>19032</v>
      </c>
      <c r="E13012" t="s">
        <v>30235</v>
      </c>
      <c r="F13012" t="s">
        <v>32831</v>
      </c>
      <c r="G13012" t="s">
        <v>32839</v>
      </c>
      <c r="H13012" t="s">
        <v>32849</v>
      </c>
      <c r="I13012" t="s">
        <v>4177</v>
      </c>
      <c r="J13012" t="s">
        <v>34921</v>
      </c>
      <c r="K13012" t="s">
        <v>42732</v>
      </c>
      <c r="M13012" t="s">
        <v>47035</v>
      </c>
      <c r="N13012" t="s">
        <v>47424</v>
      </c>
      <c r="O13012" t="s">
        <v>47425</v>
      </c>
      <c r="P13012">
        <v>0</v>
      </c>
      <c r="Q13012">
        <v>0</v>
      </c>
      <c r="R13012" t="s">
        <v>47440</v>
      </c>
      <c r="S13012" t="s">
        <v>47963</v>
      </c>
      <c r="T13012" t="s">
        <v>49080</v>
      </c>
      <c r="U13012" t="s">
        <v>60344</v>
      </c>
      <c r="W13012" t="s">
        <v>47035</v>
      </c>
      <c r="X13012" t="s">
        <v>47441</v>
      </c>
    </row>
    <row r="13013" spans="1:24">
      <c r="A13013">
        <f>HYPERLINK("https://www.philgeps.gov.ph/GEPSNONPILOT/Tender/SplashBidNoticeAbstractUI.aspx?menuIndex=3&amp;refID=7138836&amp;Result=3","7138836")</f>
        <v>0</v>
      </c>
      <c r="B13013" t="s">
        <v>3660</v>
      </c>
      <c r="C13013" t="s">
        <v>16178</v>
      </c>
      <c r="D13013" t="s">
        <v>19030</v>
      </c>
      <c r="E13013" t="s">
        <v>30236</v>
      </c>
      <c r="F13013" t="s">
        <v>32831</v>
      </c>
      <c r="G13013" t="s">
        <v>32839</v>
      </c>
      <c r="H13013" t="s">
        <v>32849</v>
      </c>
      <c r="I13013" t="s">
        <v>4177</v>
      </c>
      <c r="J13013" t="s">
        <v>32978</v>
      </c>
      <c r="K13013" t="s">
        <v>42729</v>
      </c>
      <c r="M13013" t="s">
        <v>47032</v>
      </c>
      <c r="N13013" t="s">
        <v>47424</v>
      </c>
      <c r="O13013" t="s">
        <v>47425</v>
      </c>
      <c r="P13013">
        <v>0</v>
      </c>
      <c r="Q13013">
        <v>7</v>
      </c>
      <c r="R13013" t="s">
        <v>47440</v>
      </c>
      <c r="S13013" t="s">
        <v>47963</v>
      </c>
      <c r="T13013" t="s">
        <v>49066</v>
      </c>
      <c r="U13013" t="s">
        <v>60347</v>
      </c>
      <c r="W13013" t="s">
        <v>47032</v>
      </c>
      <c r="X13013" t="s">
        <v>47441</v>
      </c>
    </row>
    <row r="13014" spans="1:24">
      <c r="A13014">
        <f>HYPERLINK("https://www.philgeps.gov.ph/GEPSNONPILOT/Tender/SplashBidNoticeAbstractUI.aspx?menuIndex=3&amp;refID=7138828&amp;Result=3","7138828")</f>
        <v>0</v>
      </c>
      <c r="B13014" t="s">
        <v>3663</v>
      </c>
      <c r="C13014" t="s">
        <v>16179</v>
      </c>
      <c r="D13014" t="s">
        <v>19032</v>
      </c>
      <c r="E13014" t="s">
        <v>30237</v>
      </c>
      <c r="F13014" t="s">
        <v>32831</v>
      </c>
      <c r="G13014" t="s">
        <v>32839</v>
      </c>
      <c r="H13014" t="s">
        <v>32849</v>
      </c>
      <c r="I13014" t="s">
        <v>4177</v>
      </c>
      <c r="J13014" t="s">
        <v>40936</v>
      </c>
      <c r="K13014" t="s">
        <v>42732</v>
      </c>
      <c r="M13014" t="s">
        <v>47035</v>
      </c>
      <c r="N13014" t="s">
        <v>47424</v>
      </c>
      <c r="O13014" t="s">
        <v>47425</v>
      </c>
      <c r="P13014">
        <v>0</v>
      </c>
      <c r="Q13014">
        <v>0</v>
      </c>
      <c r="R13014" t="s">
        <v>47440</v>
      </c>
      <c r="S13014" t="s">
        <v>47963</v>
      </c>
      <c r="T13014" t="s">
        <v>49080</v>
      </c>
      <c r="U13014" t="s">
        <v>60344</v>
      </c>
      <c r="W13014" t="s">
        <v>47035</v>
      </c>
      <c r="X13014" t="s">
        <v>47441</v>
      </c>
    </row>
    <row r="13015" spans="1:24">
      <c r="A13015">
        <f>HYPERLINK("https://www.philgeps.gov.ph/GEPSNONPILOT/Tender/SplashBidNoticeAbstractUI.aspx?menuIndex=3&amp;refID=7138827&amp;Result=3","7138827")</f>
        <v>0</v>
      </c>
      <c r="B13015" t="s">
        <v>3660</v>
      </c>
      <c r="C13015" t="s">
        <v>16180</v>
      </c>
      <c r="D13015" t="s">
        <v>19030</v>
      </c>
      <c r="E13015" t="s">
        <v>30238</v>
      </c>
      <c r="F13015" t="s">
        <v>32831</v>
      </c>
      <c r="G13015" t="s">
        <v>32839</v>
      </c>
      <c r="H13015" t="s">
        <v>32849</v>
      </c>
      <c r="I13015" t="s">
        <v>4177</v>
      </c>
      <c r="J13015" t="s">
        <v>33032</v>
      </c>
      <c r="K13015" t="s">
        <v>42763</v>
      </c>
      <c r="M13015" t="s">
        <v>47032</v>
      </c>
      <c r="N13015" t="s">
        <v>47424</v>
      </c>
      <c r="O13015" t="s">
        <v>47425</v>
      </c>
      <c r="P13015">
        <v>0</v>
      </c>
      <c r="Q13015">
        <v>8</v>
      </c>
      <c r="R13015" t="s">
        <v>47440</v>
      </c>
      <c r="S13015" t="s">
        <v>47963</v>
      </c>
      <c r="T13015" t="s">
        <v>49066</v>
      </c>
      <c r="U13015" t="s">
        <v>60348</v>
      </c>
      <c r="W13015" t="s">
        <v>47032</v>
      </c>
      <c r="X13015" t="s">
        <v>47441</v>
      </c>
    </row>
    <row r="13016" spans="1:24">
      <c r="A13016">
        <f>HYPERLINK("https://www.philgeps.gov.ph/GEPSNONPILOT/Tender/SplashBidNoticeAbstractUI.aspx?menuIndex=3&amp;refID=7138846&amp;Result=3","7138846")</f>
        <v>0</v>
      </c>
      <c r="B13016" t="s">
        <v>3660</v>
      </c>
      <c r="C13016" t="s">
        <v>16181</v>
      </c>
      <c r="D13016" t="s">
        <v>19030</v>
      </c>
      <c r="E13016" t="s">
        <v>30239</v>
      </c>
      <c r="F13016" t="s">
        <v>32831</v>
      </c>
      <c r="G13016" t="s">
        <v>32839</v>
      </c>
      <c r="H13016" t="s">
        <v>32849</v>
      </c>
      <c r="I13016" t="s">
        <v>4177</v>
      </c>
      <c r="J13016" t="s">
        <v>33072</v>
      </c>
      <c r="K13016" t="s">
        <v>42747</v>
      </c>
      <c r="M13016" t="s">
        <v>47032</v>
      </c>
      <c r="N13016" t="s">
        <v>47424</v>
      </c>
      <c r="O13016" t="s">
        <v>47425</v>
      </c>
      <c r="P13016">
        <v>0</v>
      </c>
      <c r="Q13016">
        <v>3</v>
      </c>
      <c r="R13016" t="s">
        <v>47440</v>
      </c>
      <c r="S13016" t="s">
        <v>47963</v>
      </c>
      <c r="T13016" t="s">
        <v>49066</v>
      </c>
      <c r="U13016" t="s">
        <v>60349</v>
      </c>
      <c r="W13016" t="s">
        <v>47032</v>
      </c>
      <c r="X13016" t="s">
        <v>47441</v>
      </c>
    </row>
    <row r="13017" spans="1:24">
      <c r="A13017">
        <f>HYPERLINK("https://www.philgeps.gov.ph/GEPSNONPILOT/Tender/SplashBidNoticeAbstractUI.aspx?menuIndex=3&amp;refID=7138848&amp;Result=3","7138848")</f>
        <v>0</v>
      </c>
      <c r="B13017" t="s">
        <v>3604</v>
      </c>
      <c r="C13017" t="s">
        <v>16182</v>
      </c>
      <c r="D13017" t="s">
        <v>19021</v>
      </c>
      <c r="E13017" t="s">
        <v>30240</v>
      </c>
      <c r="F13017" t="s">
        <v>32831</v>
      </c>
      <c r="G13017" t="s">
        <v>32839</v>
      </c>
      <c r="H13017" t="s">
        <v>32849</v>
      </c>
      <c r="I13017" t="s">
        <v>4177</v>
      </c>
      <c r="J13017" t="s">
        <v>38388</v>
      </c>
      <c r="K13017" t="s">
        <v>42863</v>
      </c>
      <c r="M13017" t="s">
        <v>46969</v>
      </c>
      <c r="N13017" t="s">
        <v>47424</v>
      </c>
      <c r="O13017" t="s">
        <v>47425</v>
      </c>
      <c r="P13017">
        <v>0</v>
      </c>
      <c r="Q13017">
        <v>32</v>
      </c>
      <c r="R13017" t="s">
        <v>47440</v>
      </c>
      <c r="S13017" t="s">
        <v>47963</v>
      </c>
      <c r="T13017" t="s">
        <v>49069</v>
      </c>
      <c r="U13017" t="s">
        <v>60350</v>
      </c>
      <c r="W13017" t="s">
        <v>46969</v>
      </c>
      <c r="X13017" t="s">
        <v>47441</v>
      </c>
    </row>
    <row r="13018" spans="1:24">
      <c r="A13018">
        <f>HYPERLINK("https://www.philgeps.gov.ph/GEPSNONPILOT/Tender/SplashBidNoticeAbstractUI.aspx?menuIndex=3&amp;refID=7138820&amp;Result=3","7138820")</f>
        <v>0</v>
      </c>
      <c r="B13018" t="s">
        <v>3231</v>
      </c>
      <c r="C13018" t="s">
        <v>16183</v>
      </c>
      <c r="D13018" t="s">
        <v>19032</v>
      </c>
      <c r="E13018" t="s">
        <v>24119</v>
      </c>
      <c r="F13018" t="s">
        <v>32831</v>
      </c>
      <c r="G13018" t="s">
        <v>32839</v>
      </c>
      <c r="H13018" t="s">
        <v>32848</v>
      </c>
      <c r="I13018" t="s">
        <v>32860</v>
      </c>
      <c r="J13018" t="s">
        <v>40937</v>
      </c>
      <c r="K13018" t="s">
        <v>42730</v>
      </c>
      <c r="M13018" t="s">
        <v>46545</v>
      </c>
      <c r="N13018" t="s">
        <v>47424</v>
      </c>
      <c r="O13018" t="s">
        <v>47425</v>
      </c>
      <c r="P13018">
        <v>0</v>
      </c>
      <c r="Q13018">
        <v>6</v>
      </c>
      <c r="R13018" t="s">
        <v>47440</v>
      </c>
      <c r="S13018" t="s">
        <v>47963</v>
      </c>
      <c r="T13018" t="s">
        <v>49073</v>
      </c>
      <c r="U13018" t="s">
        <v>60351</v>
      </c>
      <c r="W13018" t="s">
        <v>46545</v>
      </c>
      <c r="X13018" t="s">
        <v>47441</v>
      </c>
    </row>
    <row r="13019" spans="1:24">
      <c r="A13019">
        <f>HYPERLINK("https://www.philgeps.gov.ph/GEPSNONPILOT/Tender/SplashBidNoticeAbstractUI.aspx?menuIndex=3&amp;refID=7138815&amp;Result=3","7138815")</f>
        <v>0</v>
      </c>
      <c r="B13019" t="s">
        <v>3660</v>
      </c>
      <c r="C13019" t="s">
        <v>16184</v>
      </c>
      <c r="D13019" t="s">
        <v>19030</v>
      </c>
      <c r="E13019" t="s">
        <v>30241</v>
      </c>
      <c r="F13019" t="s">
        <v>32831</v>
      </c>
      <c r="G13019" t="s">
        <v>32839</v>
      </c>
      <c r="H13019" t="s">
        <v>32849</v>
      </c>
      <c r="I13019" t="s">
        <v>4177</v>
      </c>
      <c r="J13019" t="s">
        <v>33118</v>
      </c>
      <c r="K13019" t="s">
        <v>42751</v>
      </c>
      <c r="M13019" t="s">
        <v>47032</v>
      </c>
      <c r="N13019" t="s">
        <v>47424</v>
      </c>
      <c r="O13019" t="s">
        <v>47425</v>
      </c>
      <c r="P13019">
        <v>0</v>
      </c>
      <c r="Q13019">
        <v>8</v>
      </c>
      <c r="R13019" t="s">
        <v>47440</v>
      </c>
      <c r="S13019" t="s">
        <v>47963</v>
      </c>
      <c r="T13019" t="s">
        <v>49066</v>
      </c>
      <c r="U13019" t="s">
        <v>60347</v>
      </c>
      <c r="W13019" t="s">
        <v>47032</v>
      </c>
      <c r="X13019" t="s">
        <v>47441</v>
      </c>
    </row>
    <row r="13020" spans="1:24">
      <c r="A13020">
        <f>HYPERLINK("https://www.philgeps.gov.ph/GEPSNONPILOT/Tender/SplashBidNoticeAbstractUI.aspx?menuIndex=3&amp;refID=7138840&amp;Result=3","7138840")</f>
        <v>0</v>
      </c>
      <c r="B13020" t="s">
        <v>3663</v>
      </c>
      <c r="C13020" t="s">
        <v>16185</v>
      </c>
      <c r="D13020" t="s">
        <v>19032</v>
      </c>
      <c r="E13020" t="s">
        <v>30242</v>
      </c>
      <c r="F13020" t="s">
        <v>32831</v>
      </c>
      <c r="G13020" t="s">
        <v>32839</v>
      </c>
      <c r="H13020" t="s">
        <v>32849</v>
      </c>
      <c r="I13020" t="s">
        <v>4177</v>
      </c>
      <c r="J13020" t="s">
        <v>40938</v>
      </c>
      <c r="K13020" t="s">
        <v>42732</v>
      </c>
      <c r="M13020" t="s">
        <v>47035</v>
      </c>
      <c r="N13020" t="s">
        <v>47424</v>
      </c>
      <c r="O13020" t="s">
        <v>47425</v>
      </c>
      <c r="P13020">
        <v>0</v>
      </c>
      <c r="Q13020">
        <v>0</v>
      </c>
      <c r="R13020" t="s">
        <v>47440</v>
      </c>
      <c r="S13020" t="s">
        <v>47963</v>
      </c>
      <c r="T13020" t="s">
        <v>49080</v>
      </c>
      <c r="U13020" t="s">
        <v>60344</v>
      </c>
      <c r="W13020" t="s">
        <v>47035</v>
      </c>
      <c r="X13020" t="s">
        <v>47441</v>
      </c>
    </row>
    <row r="13021" spans="1:24">
      <c r="A13021">
        <f>HYPERLINK("https://www.philgeps.gov.ph/GEPSNONPILOT/Tender/SplashBidNoticeAbstractUI.aspx?menuIndex=3&amp;refID=7138811&amp;Result=3","7138811")</f>
        <v>0</v>
      </c>
      <c r="B13021" t="s">
        <v>1060</v>
      </c>
      <c r="C13021" t="s">
        <v>16186</v>
      </c>
      <c r="D13021" t="s">
        <v>19036</v>
      </c>
      <c r="E13021" t="s">
        <v>30243</v>
      </c>
      <c r="F13021" t="s">
        <v>32831</v>
      </c>
      <c r="G13021" t="s">
        <v>32839</v>
      </c>
      <c r="H13021" t="s">
        <v>32849</v>
      </c>
      <c r="I13021" t="s">
        <v>4177</v>
      </c>
      <c r="J13021" t="s">
        <v>32978</v>
      </c>
      <c r="K13021" t="s">
        <v>42729</v>
      </c>
      <c r="M13021" t="s">
        <v>44117</v>
      </c>
      <c r="N13021" t="s">
        <v>47424</v>
      </c>
      <c r="O13021" t="s">
        <v>47425</v>
      </c>
      <c r="P13021">
        <v>0</v>
      </c>
      <c r="Q13021">
        <v>0</v>
      </c>
      <c r="R13021" t="s">
        <v>47440</v>
      </c>
      <c r="S13021" t="s">
        <v>47963</v>
      </c>
      <c r="T13021" t="s">
        <v>49073</v>
      </c>
      <c r="U13021" t="s">
        <v>60352</v>
      </c>
      <c r="W13021" t="s">
        <v>44117</v>
      </c>
      <c r="X13021" t="s">
        <v>47441</v>
      </c>
    </row>
    <row r="13022" spans="1:24">
      <c r="A13022">
        <f>HYPERLINK("https://www.philgeps.gov.ph/GEPSNONPILOT/Tender/SplashBidNoticeAbstractUI.aspx?menuIndex=3&amp;refID=7138822&amp;Result=3","7138822")</f>
        <v>0</v>
      </c>
      <c r="B13022" t="s">
        <v>1060</v>
      </c>
      <c r="C13022" t="s">
        <v>16187</v>
      </c>
      <c r="E13022" t="s">
        <v>30244</v>
      </c>
      <c r="F13022" t="s">
        <v>32831</v>
      </c>
      <c r="G13022" t="s">
        <v>32839</v>
      </c>
      <c r="H13022" t="s">
        <v>32849</v>
      </c>
      <c r="I13022" t="s">
        <v>4177</v>
      </c>
      <c r="J13022" t="s">
        <v>32978</v>
      </c>
      <c r="K13022" t="s">
        <v>42746</v>
      </c>
      <c r="M13022" t="s">
        <v>44117</v>
      </c>
      <c r="N13022" t="s">
        <v>47424</v>
      </c>
      <c r="O13022" t="s">
        <v>47425</v>
      </c>
      <c r="P13022">
        <v>0</v>
      </c>
      <c r="Q13022">
        <v>0</v>
      </c>
      <c r="R13022" t="s">
        <v>47440</v>
      </c>
      <c r="S13022" t="s">
        <v>47963</v>
      </c>
      <c r="T13022" t="s">
        <v>49073</v>
      </c>
      <c r="U13022" t="s">
        <v>60353</v>
      </c>
      <c r="W13022" t="s">
        <v>44117</v>
      </c>
      <c r="X13022" t="s">
        <v>47441</v>
      </c>
    </row>
    <row r="13023" spans="1:24">
      <c r="A13023">
        <f>HYPERLINK("https://www.philgeps.gov.ph/GEPSNONPILOT/Tender/SplashBidNoticeAbstractUI.aspx?menuIndex=3&amp;refID=7115752&amp;Result=3","7115752")</f>
        <v>0</v>
      </c>
      <c r="B13023" t="s">
        <v>27</v>
      </c>
      <c r="C13023" t="s">
        <v>16188</v>
      </c>
      <c r="D13023" t="s">
        <v>19020</v>
      </c>
      <c r="E13023" t="s">
        <v>30245</v>
      </c>
      <c r="F13023" t="s">
        <v>32831</v>
      </c>
      <c r="G13023" t="s">
        <v>32839</v>
      </c>
      <c r="H13023" t="s">
        <v>32849</v>
      </c>
      <c r="I13023" t="s">
        <v>4177</v>
      </c>
      <c r="J13023" t="s">
        <v>33465</v>
      </c>
      <c r="K13023" t="s">
        <v>42846</v>
      </c>
      <c r="M13023" t="s">
        <v>43024</v>
      </c>
      <c r="N13023" t="s">
        <v>47424</v>
      </c>
      <c r="O13023" t="s">
        <v>47425</v>
      </c>
      <c r="P13023">
        <v>0</v>
      </c>
      <c r="Q13023">
        <v>4</v>
      </c>
      <c r="R13023" t="s">
        <v>47441</v>
      </c>
      <c r="S13023" t="s">
        <v>48049</v>
      </c>
      <c r="T13023" t="s">
        <v>49059</v>
      </c>
      <c r="U13023" t="s">
        <v>49692</v>
      </c>
      <c r="W13023" t="s">
        <v>43024</v>
      </c>
      <c r="X13023" t="s">
        <v>47452</v>
      </c>
    </row>
    <row r="13024" spans="1:24">
      <c r="A13024">
        <f>HYPERLINK("https://www.philgeps.gov.ph/GEPSNONPILOT/Tender/SplashBidNoticeAbstractUI.aspx?menuIndex=3&amp;refID=7138830&amp;Result=3","7138830")</f>
        <v>0</v>
      </c>
      <c r="B13024" t="s">
        <v>1060</v>
      </c>
      <c r="C13024" t="s">
        <v>16189</v>
      </c>
      <c r="D13024" t="s">
        <v>19036</v>
      </c>
      <c r="E13024" t="s">
        <v>30246</v>
      </c>
      <c r="F13024" t="s">
        <v>32831</v>
      </c>
      <c r="G13024" t="s">
        <v>32839</v>
      </c>
      <c r="H13024" t="s">
        <v>32849</v>
      </c>
      <c r="I13024" t="s">
        <v>4177</v>
      </c>
      <c r="J13024" t="s">
        <v>32978</v>
      </c>
      <c r="K13024" t="s">
        <v>42729</v>
      </c>
      <c r="M13024" t="s">
        <v>44117</v>
      </c>
      <c r="N13024" t="s">
        <v>47424</v>
      </c>
      <c r="O13024" t="s">
        <v>47425</v>
      </c>
      <c r="P13024">
        <v>0</v>
      </c>
      <c r="Q13024">
        <v>0</v>
      </c>
      <c r="R13024" t="s">
        <v>47440</v>
      </c>
      <c r="S13024" t="s">
        <v>47963</v>
      </c>
      <c r="T13024" t="s">
        <v>49073</v>
      </c>
      <c r="U13024" t="s">
        <v>60354</v>
      </c>
      <c r="W13024" t="s">
        <v>44117</v>
      </c>
      <c r="X13024" t="s">
        <v>47441</v>
      </c>
    </row>
    <row r="13025" spans="1:24">
      <c r="A13025">
        <f>HYPERLINK("https://www.philgeps.gov.ph/GEPSNONPILOT/Tender/SplashBidNoticeAbstractUI.aspx?menuIndex=3&amp;refID=7138864&amp;Result=3","7138864")</f>
        <v>0</v>
      </c>
      <c r="B13025" t="s">
        <v>3660</v>
      </c>
      <c r="C13025" t="s">
        <v>16190</v>
      </c>
      <c r="D13025" t="s">
        <v>19030</v>
      </c>
      <c r="E13025" t="s">
        <v>30247</v>
      </c>
      <c r="F13025" t="s">
        <v>32831</v>
      </c>
      <c r="G13025" t="s">
        <v>32839</v>
      </c>
      <c r="H13025" t="s">
        <v>32849</v>
      </c>
      <c r="I13025" t="s">
        <v>4177</v>
      </c>
      <c r="J13025" t="s">
        <v>33465</v>
      </c>
      <c r="K13025" t="s">
        <v>42766</v>
      </c>
      <c r="M13025" t="s">
        <v>47032</v>
      </c>
      <c r="N13025" t="s">
        <v>47424</v>
      </c>
      <c r="O13025" t="s">
        <v>47425</v>
      </c>
      <c r="P13025">
        <v>0</v>
      </c>
      <c r="Q13025">
        <v>8</v>
      </c>
      <c r="R13025" t="s">
        <v>47440</v>
      </c>
      <c r="S13025" t="s">
        <v>47963</v>
      </c>
      <c r="T13025" t="s">
        <v>49066</v>
      </c>
      <c r="U13025" t="s">
        <v>60355</v>
      </c>
      <c r="W13025" t="s">
        <v>47032</v>
      </c>
      <c r="X13025" t="s">
        <v>47441</v>
      </c>
    </row>
    <row r="13026" spans="1:24">
      <c r="A13026">
        <f>HYPERLINK("https://www.philgeps.gov.ph/GEPSNONPILOT/Tender/SplashBidNoticeAbstractUI.aspx?menuIndex=3&amp;refID=7138821&amp;Result=3","7138821")</f>
        <v>0</v>
      </c>
      <c r="B13026" t="s">
        <v>3663</v>
      </c>
      <c r="C13026" t="s">
        <v>16191</v>
      </c>
      <c r="D13026" t="s">
        <v>19032</v>
      </c>
      <c r="E13026" t="s">
        <v>30248</v>
      </c>
      <c r="F13026" t="s">
        <v>32831</v>
      </c>
      <c r="G13026" t="s">
        <v>32839</v>
      </c>
      <c r="H13026" t="s">
        <v>32849</v>
      </c>
      <c r="I13026" t="s">
        <v>4177</v>
      </c>
      <c r="J13026" t="s">
        <v>40939</v>
      </c>
      <c r="K13026" t="s">
        <v>42732</v>
      </c>
      <c r="M13026" t="s">
        <v>47035</v>
      </c>
      <c r="N13026" t="s">
        <v>47424</v>
      </c>
      <c r="O13026" t="s">
        <v>47425</v>
      </c>
      <c r="P13026">
        <v>0</v>
      </c>
      <c r="Q13026">
        <v>0</v>
      </c>
      <c r="R13026" t="s">
        <v>47440</v>
      </c>
      <c r="S13026" t="s">
        <v>47963</v>
      </c>
      <c r="T13026" t="s">
        <v>49080</v>
      </c>
      <c r="U13026" t="s">
        <v>60344</v>
      </c>
      <c r="W13026" t="s">
        <v>47035</v>
      </c>
      <c r="X13026" t="s">
        <v>47441</v>
      </c>
    </row>
    <row r="13027" spans="1:24">
      <c r="A13027">
        <f>HYPERLINK("https://www.philgeps.gov.ph/GEPSNONPILOT/Tender/SplashBidNoticeAbstractUI.aspx?menuIndex=3&amp;refID=7138930&amp;Result=3","7138930")</f>
        <v>0</v>
      </c>
      <c r="B13027" t="s">
        <v>84</v>
      </c>
      <c r="C13027" t="s">
        <v>16192</v>
      </c>
      <c r="E13027" t="s">
        <v>30249</v>
      </c>
      <c r="F13027" t="s">
        <v>32831</v>
      </c>
      <c r="G13027" t="s">
        <v>32839</v>
      </c>
      <c r="H13027" t="s">
        <v>32848</v>
      </c>
      <c r="I13027" t="s">
        <v>4776</v>
      </c>
      <c r="J13027" t="s">
        <v>33578</v>
      </c>
      <c r="K13027" t="s">
        <v>42732</v>
      </c>
      <c r="M13027" t="s">
        <v>43081</v>
      </c>
      <c r="N13027" t="s">
        <v>47424</v>
      </c>
      <c r="O13027" t="s">
        <v>47425</v>
      </c>
      <c r="P13027">
        <v>0</v>
      </c>
      <c r="Q13027">
        <v>2</v>
      </c>
      <c r="R13027" t="s">
        <v>47440</v>
      </c>
      <c r="S13027" t="s">
        <v>47963</v>
      </c>
      <c r="T13027" t="s">
        <v>49105</v>
      </c>
      <c r="U13027" t="s">
        <v>49781</v>
      </c>
      <c r="W13027" t="s">
        <v>43081</v>
      </c>
      <c r="X13027" t="s">
        <v>47441</v>
      </c>
    </row>
    <row r="13028" spans="1:24">
      <c r="A13028">
        <f>HYPERLINK("https://www.philgeps.gov.ph/GEPSNONPILOT/Tender/SplashBidNoticeAbstractUI.aspx?menuIndex=3&amp;refID=7138869&amp;Result=3","7138869")</f>
        <v>0</v>
      </c>
      <c r="B13028" t="s">
        <v>3660</v>
      </c>
      <c r="C13028" t="s">
        <v>16193</v>
      </c>
      <c r="D13028" t="s">
        <v>19030</v>
      </c>
      <c r="E13028" t="s">
        <v>30250</v>
      </c>
      <c r="F13028" t="s">
        <v>32831</v>
      </c>
      <c r="G13028" t="s">
        <v>32839</v>
      </c>
      <c r="H13028" t="s">
        <v>32849</v>
      </c>
      <c r="I13028" t="s">
        <v>4177</v>
      </c>
      <c r="J13028" t="s">
        <v>33118</v>
      </c>
      <c r="K13028" t="s">
        <v>42729</v>
      </c>
      <c r="M13028" t="s">
        <v>47032</v>
      </c>
      <c r="N13028" t="s">
        <v>47424</v>
      </c>
      <c r="O13028" t="s">
        <v>47425</v>
      </c>
      <c r="P13028">
        <v>0</v>
      </c>
      <c r="Q13028">
        <v>8</v>
      </c>
      <c r="R13028" t="s">
        <v>47440</v>
      </c>
      <c r="S13028" t="s">
        <v>47963</v>
      </c>
      <c r="T13028" t="s">
        <v>49066</v>
      </c>
      <c r="U13028" t="s">
        <v>60356</v>
      </c>
      <c r="W13028" t="s">
        <v>47032</v>
      </c>
      <c r="X13028" t="s">
        <v>47441</v>
      </c>
    </row>
    <row r="13029" spans="1:24">
      <c r="A13029">
        <f>HYPERLINK("https://www.philgeps.gov.ph/GEPSNONPILOT/Tender/SplashBidNoticeAbstractUI.aspx?menuIndex=3&amp;refID=7138919&amp;Result=3","7138919")</f>
        <v>0</v>
      </c>
      <c r="B13029" t="s">
        <v>84</v>
      </c>
      <c r="C13029" t="s">
        <v>16194</v>
      </c>
      <c r="E13029" t="s">
        <v>30251</v>
      </c>
      <c r="F13029" t="s">
        <v>32831</v>
      </c>
      <c r="G13029" t="s">
        <v>32839</v>
      </c>
      <c r="H13029" t="s">
        <v>32848</v>
      </c>
      <c r="I13029" t="s">
        <v>32864</v>
      </c>
      <c r="J13029" t="s">
        <v>40940</v>
      </c>
      <c r="K13029" t="s">
        <v>42732</v>
      </c>
      <c r="M13029" t="s">
        <v>43081</v>
      </c>
      <c r="N13029" t="s">
        <v>47424</v>
      </c>
      <c r="O13029" t="s">
        <v>47425</v>
      </c>
      <c r="P13029">
        <v>0</v>
      </c>
      <c r="Q13029">
        <v>1</v>
      </c>
      <c r="R13029" t="s">
        <v>47440</v>
      </c>
      <c r="S13029" t="s">
        <v>47963</v>
      </c>
      <c r="T13029" t="s">
        <v>49105</v>
      </c>
      <c r="U13029" t="s">
        <v>50323</v>
      </c>
      <c r="W13029" t="s">
        <v>43081</v>
      </c>
      <c r="X13029" t="s">
        <v>47441</v>
      </c>
    </row>
    <row r="13030" spans="1:24">
      <c r="A13030">
        <f>HYPERLINK("https://www.philgeps.gov.ph/GEPSNONPILOT/Tender/SplashBidNoticeAbstractUI.aspx?menuIndex=3&amp;refID=7138933&amp;Result=3","7138933")</f>
        <v>0</v>
      </c>
      <c r="B13030" t="s">
        <v>84</v>
      </c>
      <c r="C13030" t="s">
        <v>16195</v>
      </c>
      <c r="E13030" t="s">
        <v>29948</v>
      </c>
      <c r="F13030" t="s">
        <v>32831</v>
      </c>
      <c r="G13030" t="s">
        <v>32839</v>
      </c>
      <c r="H13030" t="s">
        <v>32848</v>
      </c>
      <c r="I13030" t="s">
        <v>32856</v>
      </c>
      <c r="J13030" t="s">
        <v>34591</v>
      </c>
      <c r="K13030" t="s">
        <v>42732</v>
      </c>
      <c r="M13030" t="s">
        <v>43081</v>
      </c>
      <c r="N13030" t="s">
        <v>47424</v>
      </c>
      <c r="O13030" t="s">
        <v>47425</v>
      </c>
      <c r="P13030">
        <v>0</v>
      </c>
      <c r="Q13030">
        <v>0</v>
      </c>
      <c r="R13030" t="s">
        <v>47440</v>
      </c>
      <c r="S13030" t="s">
        <v>47963</v>
      </c>
      <c r="T13030" t="s">
        <v>49105</v>
      </c>
      <c r="U13030" t="s">
        <v>49781</v>
      </c>
      <c r="W13030" t="s">
        <v>43081</v>
      </c>
      <c r="X13030" t="s">
        <v>47441</v>
      </c>
    </row>
    <row r="13031" spans="1:24">
      <c r="A13031">
        <f>HYPERLINK("https://www.philgeps.gov.ph/GEPSNONPILOT/Tender/SplashBidNoticeAbstractUI.aspx?menuIndex=3&amp;refID=7138905&amp;Result=3","7138905")</f>
        <v>0</v>
      </c>
      <c r="B13031" t="s">
        <v>3664</v>
      </c>
      <c r="C13031" t="s">
        <v>16196</v>
      </c>
      <c r="D13031" t="s">
        <v>19047</v>
      </c>
      <c r="E13031" t="s">
        <v>30252</v>
      </c>
      <c r="F13031" t="s">
        <v>32831</v>
      </c>
      <c r="G13031" t="s">
        <v>32839</v>
      </c>
      <c r="H13031" t="s">
        <v>32849</v>
      </c>
      <c r="I13031" t="s">
        <v>4177</v>
      </c>
      <c r="J13031" t="s">
        <v>40941</v>
      </c>
      <c r="K13031" t="s">
        <v>42732</v>
      </c>
      <c r="M13031" t="s">
        <v>47036</v>
      </c>
      <c r="N13031" t="s">
        <v>47424</v>
      </c>
      <c r="O13031" t="s">
        <v>47425</v>
      </c>
      <c r="P13031">
        <v>0</v>
      </c>
      <c r="Q13031">
        <v>4</v>
      </c>
      <c r="R13031" t="s">
        <v>47440</v>
      </c>
      <c r="S13031" t="s">
        <v>47963</v>
      </c>
      <c r="T13031" t="s">
        <v>49087</v>
      </c>
      <c r="U13031" t="s">
        <v>60357</v>
      </c>
      <c r="W13031" t="s">
        <v>47036</v>
      </c>
      <c r="X13031" t="s">
        <v>47441</v>
      </c>
    </row>
    <row r="13032" spans="1:24">
      <c r="A13032">
        <f>HYPERLINK("https://www.philgeps.gov.ph/GEPSNONPILOT/Tender/SplashBidNoticeAbstractUI.aspx?menuIndex=3&amp;refID=7138894&amp;Result=3","7138894")</f>
        <v>0</v>
      </c>
      <c r="B13032" t="s">
        <v>3664</v>
      </c>
      <c r="C13032" t="s">
        <v>16197</v>
      </c>
      <c r="D13032" t="s">
        <v>19047</v>
      </c>
      <c r="E13032" t="s">
        <v>30253</v>
      </c>
      <c r="F13032" t="s">
        <v>32831</v>
      </c>
      <c r="G13032" t="s">
        <v>32839</v>
      </c>
      <c r="H13032" t="s">
        <v>32849</v>
      </c>
      <c r="I13032" t="s">
        <v>4177</v>
      </c>
      <c r="J13032" t="s">
        <v>40942</v>
      </c>
      <c r="K13032" t="s">
        <v>42732</v>
      </c>
      <c r="M13032" t="s">
        <v>47036</v>
      </c>
      <c r="N13032" t="s">
        <v>47424</v>
      </c>
      <c r="O13032" t="s">
        <v>47425</v>
      </c>
      <c r="P13032">
        <v>0</v>
      </c>
      <c r="Q13032">
        <v>4</v>
      </c>
      <c r="R13032" t="s">
        <v>47440</v>
      </c>
      <c r="S13032" t="s">
        <v>47963</v>
      </c>
      <c r="T13032" t="s">
        <v>49087</v>
      </c>
      <c r="U13032" t="s">
        <v>60358</v>
      </c>
      <c r="W13032" t="s">
        <v>47036</v>
      </c>
      <c r="X13032" t="s">
        <v>47441</v>
      </c>
    </row>
    <row r="13033" spans="1:24">
      <c r="A13033">
        <f>HYPERLINK("https://www.philgeps.gov.ph/GEPSNONPILOT/Tender/SplashBidNoticeAbstractUI.aspx?menuIndex=3&amp;refID=7138668&amp;Result=3","7138668")</f>
        <v>0</v>
      </c>
      <c r="B13033" t="s">
        <v>3656</v>
      </c>
      <c r="C13033" t="s">
        <v>16198</v>
      </c>
      <c r="D13033" t="s">
        <v>19018</v>
      </c>
      <c r="E13033" t="s">
        <v>30254</v>
      </c>
      <c r="F13033" t="s">
        <v>32831</v>
      </c>
      <c r="G13033" t="s">
        <v>32839</v>
      </c>
      <c r="H13033" t="s">
        <v>32848</v>
      </c>
      <c r="I13033" t="s">
        <v>32855</v>
      </c>
      <c r="J13033" t="s">
        <v>33024</v>
      </c>
      <c r="K13033" t="s">
        <v>42747</v>
      </c>
      <c r="M13033" t="s">
        <v>47027</v>
      </c>
      <c r="N13033" t="s">
        <v>47424</v>
      </c>
      <c r="O13033" t="s">
        <v>47425</v>
      </c>
      <c r="P13033">
        <v>0</v>
      </c>
      <c r="Q13033">
        <v>7</v>
      </c>
      <c r="R13033" t="s">
        <v>47440</v>
      </c>
      <c r="S13033" t="s">
        <v>47963</v>
      </c>
      <c r="T13033" t="s">
        <v>49196</v>
      </c>
      <c r="U13033" t="s">
        <v>60359</v>
      </c>
      <c r="W13033" t="s">
        <v>47027</v>
      </c>
      <c r="X13033" t="s">
        <v>47441</v>
      </c>
    </row>
    <row r="13034" spans="1:24">
      <c r="A13034">
        <f>HYPERLINK("https://www.philgeps.gov.ph/GEPSNONPILOT/Tender/SplashBidNoticeAbstractUI.aspx?menuIndex=3&amp;refID=7138891&amp;Result=3","7138891")</f>
        <v>0</v>
      </c>
      <c r="B13034" t="s">
        <v>3664</v>
      </c>
      <c r="C13034" t="s">
        <v>16199</v>
      </c>
      <c r="D13034" t="s">
        <v>19047</v>
      </c>
      <c r="E13034" t="s">
        <v>30255</v>
      </c>
      <c r="F13034" t="s">
        <v>32831</v>
      </c>
      <c r="G13034" t="s">
        <v>32839</v>
      </c>
      <c r="H13034" t="s">
        <v>32849</v>
      </c>
      <c r="I13034" t="s">
        <v>4177</v>
      </c>
      <c r="J13034" t="s">
        <v>40943</v>
      </c>
      <c r="K13034" t="s">
        <v>42732</v>
      </c>
      <c r="M13034" t="s">
        <v>47036</v>
      </c>
      <c r="N13034" t="s">
        <v>47424</v>
      </c>
      <c r="O13034" t="s">
        <v>47425</v>
      </c>
      <c r="P13034">
        <v>0</v>
      </c>
      <c r="Q13034">
        <v>3</v>
      </c>
      <c r="R13034" t="s">
        <v>47440</v>
      </c>
      <c r="S13034" t="s">
        <v>47963</v>
      </c>
      <c r="T13034" t="s">
        <v>49087</v>
      </c>
      <c r="U13034" t="s">
        <v>60360</v>
      </c>
      <c r="W13034" t="s">
        <v>47036</v>
      </c>
      <c r="X13034" t="s">
        <v>47441</v>
      </c>
    </row>
    <row r="13035" spans="1:24">
      <c r="A13035">
        <f>HYPERLINK("https://www.philgeps.gov.ph/GEPSNONPILOT/Tender/SplashBidNoticeAbstractUI.aspx?menuIndex=3&amp;refID=7138885&amp;Result=3","7138885")</f>
        <v>0</v>
      </c>
      <c r="B13035" t="s">
        <v>3665</v>
      </c>
      <c r="C13035" t="s">
        <v>16200</v>
      </c>
      <c r="D13035" t="s">
        <v>19017</v>
      </c>
      <c r="E13035" t="s">
        <v>30256</v>
      </c>
      <c r="F13035" t="s">
        <v>32831</v>
      </c>
      <c r="G13035" t="s">
        <v>32839</v>
      </c>
      <c r="H13035" t="s">
        <v>32848</v>
      </c>
      <c r="I13035" t="s">
        <v>32916</v>
      </c>
      <c r="J13035" t="s">
        <v>40944</v>
      </c>
      <c r="K13035" t="s">
        <v>42775</v>
      </c>
      <c r="M13035" t="s">
        <v>47037</v>
      </c>
      <c r="N13035" t="s">
        <v>47424</v>
      </c>
      <c r="O13035" t="s">
        <v>47425</v>
      </c>
      <c r="Q13035">
        <v>9</v>
      </c>
      <c r="R13035" t="s">
        <v>47440</v>
      </c>
      <c r="S13035" t="s">
        <v>48050</v>
      </c>
      <c r="T13035" t="s">
        <v>49171</v>
      </c>
      <c r="U13035" t="s">
        <v>60361</v>
      </c>
      <c r="W13035" t="s">
        <v>64551</v>
      </c>
      <c r="X13035" t="s">
        <v>47441</v>
      </c>
    </row>
    <row r="13036" spans="1:24">
      <c r="A13036">
        <f>HYPERLINK("https://www.philgeps.gov.ph/GEPSNONPILOT/Tender/SplashBidNoticeAbstractUI.aspx?menuIndex=3&amp;refID=7024682&amp;Result=3","7024682")</f>
        <v>0</v>
      </c>
      <c r="B13036" t="s">
        <v>3666</v>
      </c>
      <c r="C13036" t="s">
        <v>12685</v>
      </c>
      <c r="D13036" t="s">
        <v>19081</v>
      </c>
      <c r="E13036" t="s">
        <v>23170</v>
      </c>
      <c r="F13036" t="s">
        <v>32831</v>
      </c>
      <c r="G13036" t="s">
        <v>32845</v>
      </c>
      <c r="H13036" t="s">
        <v>32849</v>
      </c>
      <c r="I13036" t="s">
        <v>4177</v>
      </c>
      <c r="J13036" t="s">
        <v>40945</v>
      </c>
      <c r="K13036" t="s">
        <v>42884</v>
      </c>
      <c r="L13036" t="s">
        <v>3666</v>
      </c>
      <c r="M13036" t="s">
        <v>47038</v>
      </c>
      <c r="N13036" t="s">
        <v>47424</v>
      </c>
      <c r="O13036" t="s">
        <v>47425</v>
      </c>
      <c r="P13036">
        <v>0</v>
      </c>
      <c r="Q13036">
        <v>4</v>
      </c>
      <c r="R13036" t="s">
        <v>47441</v>
      </c>
      <c r="S13036" t="s">
        <v>48049</v>
      </c>
      <c r="T13036" t="s">
        <v>49101</v>
      </c>
      <c r="U13036" t="s">
        <v>60362</v>
      </c>
      <c r="V13036" t="s">
        <v>63287</v>
      </c>
      <c r="W13036" t="s">
        <v>47038</v>
      </c>
      <c r="X13036" t="s">
        <v>47479</v>
      </c>
    </row>
    <row r="13037" spans="1:24">
      <c r="A13037">
        <f>HYPERLINK("https://www.philgeps.gov.ph/GEPSNONPILOT/Tender/SplashBidNoticeAbstractUI.aspx?menuIndex=3&amp;refID=7138926&amp;Result=3","7138926")</f>
        <v>0</v>
      </c>
      <c r="B13037" t="s">
        <v>3667</v>
      </c>
      <c r="C13037" t="s">
        <v>16201</v>
      </c>
      <c r="D13037" t="s">
        <v>19027</v>
      </c>
      <c r="E13037" t="s">
        <v>30257</v>
      </c>
      <c r="F13037" t="s">
        <v>32831</v>
      </c>
      <c r="G13037" t="s">
        <v>32839</v>
      </c>
      <c r="H13037" t="s">
        <v>32848</v>
      </c>
      <c r="I13037" t="s">
        <v>32860</v>
      </c>
      <c r="J13037" t="s">
        <v>40946</v>
      </c>
      <c r="K13037" t="s">
        <v>42759</v>
      </c>
      <c r="M13037" t="s">
        <v>47039</v>
      </c>
      <c r="N13037" t="s">
        <v>47424</v>
      </c>
      <c r="O13037" t="s">
        <v>47425</v>
      </c>
      <c r="P13037">
        <v>0</v>
      </c>
      <c r="Q13037">
        <v>2</v>
      </c>
      <c r="R13037" t="s">
        <v>47440</v>
      </c>
      <c r="S13037" t="s">
        <v>47963</v>
      </c>
      <c r="T13037" t="s">
        <v>49112</v>
      </c>
      <c r="U13037" t="s">
        <v>60363</v>
      </c>
      <c r="V13037" t="s">
        <v>64076</v>
      </c>
      <c r="W13037" t="s">
        <v>47039</v>
      </c>
      <c r="X13037" t="s">
        <v>47441</v>
      </c>
    </row>
    <row r="13038" spans="1:24">
      <c r="A13038">
        <f>HYPERLINK("https://www.philgeps.gov.ph/GEPSNONPILOT/Tender/SplashBidNoticeAbstractUI.aspx?menuIndex=3&amp;refID=7138896&amp;Result=3","7138896")</f>
        <v>0</v>
      </c>
      <c r="B13038" t="s">
        <v>3664</v>
      </c>
      <c r="C13038" t="s">
        <v>16202</v>
      </c>
      <c r="D13038" t="s">
        <v>19047</v>
      </c>
      <c r="E13038" t="s">
        <v>30258</v>
      </c>
      <c r="F13038" t="s">
        <v>32831</v>
      </c>
      <c r="G13038" t="s">
        <v>32839</v>
      </c>
      <c r="H13038" t="s">
        <v>32849</v>
      </c>
      <c r="I13038" t="s">
        <v>4177</v>
      </c>
      <c r="J13038" t="s">
        <v>40947</v>
      </c>
      <c r="K13038" t="s">
        <v>42732</v>
      </c>
      <c r="M13038" t="s">
        <v>47036</v>
      </c>
      <c r="N13038" t="s">
        <v>47424</v>
      </c>
      <c r="O13038" t="s">
        <v>47425</v>
      </c>
      <c r="P13038">
        <v>0</v>
      </c>
      <c r="Q13038">
        <v>4</v>
      </c>
      <c r="R13038" t="s">
        <v>47440</v>
      </c>
      <c r="S13038" t="s">
        <v>47963</v>
      </c>
      <c r="T13038" t="s">
        <v>49087</v>
      </c>
      <c r="U13038" t="s">
        <v>60364</v>
      </c>
      <c r="W13038" t="s">
        <v>47036</v>
      </c>
      <c r="X13038" t="s">
        <v>47441</v>
      </c>
    </row>
    <row r="13039" spans="1:24">
      <c r="A13039">
        <f>HYPERLINK("https://www.philgeps.gov.ph/GEPSNONPILOT/Tender/SplashBidNoticeAbstractUI.aspx?menuIndex=3&amp;refID=7126342&amp;Result=3","7126342")</f>
        <v>0</v>
      </c>
      <c r="B13039" t="s">
        <v>3668</v>
      </c>
      <c r="C13039" t="s">
        <v>16203</v>
      </c>
      <c r="D13039" t="s">
        <v>19031</v>
      </c>
      <c r="E13039" t="s">
        <v>30259</v>
      </c>
      <c r="F13039" t="s">
        <v>32831</v>
      </c>
      <c r="G13039" t="s">
        <v>32839</v>
      </c>
      <c r="H13039" t="s">
        <v>32849</v>
      </c>
      <c r="I13039" t="s">
        <v>4177</v>
      </c>
      <c r="J13039" t="s">
        <v>33118</v>
      </c>
      <c r="K13039" t="s">
        <v>42729</v>
      </c>
      <c r="M13039" t="s">
        <v>47040</v>
      </c>
      <c r="N13039" t="s">
        <v>47424</v>
      </c>
      <c r="O13039" t="s">
        <v>47425</v>
      </c>
      <c r="P13039">
        <v>0</v>
      </c>
      <c r="Q13039">
        <v>0</v>
      </c>
      <c r="R13039" t="s">
        <v>47441</v>
      </c>
      <c r="S13039" t="s">
        <v>48049</v>
      </c>
      <c r="T13039" t="s">
        <v>49171</v>
      </c>
      <c r="U13039" t="s">
        <v>60365</v>
      </c>
      <c r="V13039" t="s">
        <v>64077</v>
      </c>
      <c r="W13039" t="s">
        <v>47040</v>
      </c>
      <c r="X13039" t="s">
        <v>47447</v>
      </c>
    </row>
    <row r="13040" spans="1:24">
      <c r="A13040">
        <f>HYPERLINK("https://www.philgeps.gov.ph/GEPSNONPILOT/Tender/SplashBidNoticeAbstractUI.aspx?menuIndex=3&amp;refID=7126022&amp;Result=3","7126022")</f>
        <v>0</v>
      </c>
      <c r="B13040" t="s">
        <v>3669</v>
      </c>
      <c r="C13040" t="s">
        <v>16204</v>
      </c>
      <c r="E13040" t="s">
        <v>30260</v>
      </c>
      <c r="F13040" t="s">
        <v>32831</v>
      </c>
      <c r="G13040" t="s">
        <v>32839</v>
      </c>
      <c r="H13040" t="s">
        <v>32848</v>
      </c>
      <c r="I13040" t="s">
        <v>4558</v>
      </c>
      <c r="J13040" t="s">
        <v>40948</v>
      </c>
      <c r="K13040" t="s">
        <v>42732</v>
      </c>
      <c r="M13040" t="s">
        <v>47041</v>
      </c>
      <c r="N13040" t="s">
        <v>47424</v>
      </c>
      <c r="O13040" t="s">
        <v>47425</v>
      </c>
      <c r="P13040">
        <v>0</v>
      </c>
      <c r="Q13040">
        <v>13</v>
      </c>
      <c r="R13040" t="s">
        <v>47441</v>
      </c>
      <c r="S13040" t="s">
        <v>48049</v>
      </c>
      <c r="T13040" t="s">
        <v>49080</v>
      </c>
      <c r="U13040" t="s">
        <v>60366</v>
      </c>
      <c r="V13040" t="s">
        <v>64078</v>
      </c>
      <c r="W13040" t="s">
        <v>47041</v>
      </c>
      <c r="X13040" t="s">
        <v>47447</v>
      </c>
    </row>
    <row r="13041" spans="1:24">
      <c r="A13041">
        <f>HYPERLINK("https://www.philgeps.gov.ph/GEPSNONPILOT/Tender/SplashBidNoticeAbstractUI.aspx?menuIndex=3&amp;refID=7125652&amp;Result=3","7125652")</f>
        <v>0</v>
      </c>
      <c r="B13041" t="s">
        <v>38</v>
      </c>
      <c r="C13041" t="s">
        <v>16205</v>
      </c>
      <c r="D13041" t="s">
        <v>19028</v>
      </c>
      <c r="E13041" t="s">
        <v>30261</v>
      </c>
      <c r="F13041" t="s">
        <v>32831</v>
      </c>
      <c r="G13041" t="s">
        <v>32839</v>
      </c>
      <c r="H13041" t="s">
        <v>32849</v>
      </c>
      <c r="I13041" t="s">
        <v>4177</v>
      </c>
      <c r="J13041" t="s">
        <v>40949</v>
      </c>
      <c r="K13041" t="s">
        <v>42770</v>
      </c>
      <c r="M13041" t="s">
        <v>43035</v>
      </c>
      <c r="N13041" t="s">
        <v>47424</v>
      </c>
      <c r="O13041" t="s">
        <v>47425</v>
      </c>
      <c r="P13041">
        <v>0</v>
      </c>
      <c r="Q13041">
        <v>0</v>
      </c>
      <c r="R13041" t="s">
        <v>47441</v>
      </c>
      <c r="S13041" t="s">
        <v>48049</v>
      </c>
      <c r="T13041" t="s">
        <v>49070</v>
      </c>
      <c r="U13041" t="s">
        <v>60367</v>
      </c>
      <c r="V13041" t="s">
        <v>64079</v>
      </c>
      <c r="W13041" t="s">
        <v>43035</v>
      </c>
      <c r="X13041" t="s">
        <v>47447</v>
      </c>
    </row>
    <row r="13042" spans="1:24">
      <c r="A13042">
        <f>HYPERLINK("https://www.philgeps.gov.ph/GEPSNONPILOT/Tender/SplashBidNoticeAbstractUI.aspx?menuIndex=3&amp;refID=7125997&amp;Result=3","7125997")</f>
        <v>0</v>
      </c>
      <c r="B13042" t="s">
        <v>1070</v>
      </c>
      <c r="C13042" t="s">
        <v>16206</v>
      </c>
      <c r="D13042" t="s">
        <v>19021</v>
      </c>
      <c r="E13042" t="s">
        <v>30262</v>
      </c>
      <c r="F13042" t="s">
        <v>32831</v>
      </c>
      <c r="G13042" t="s">
        <v>32839</v>
      </c>
      <c r="H13042" t="s">
        <v>14069</v>
      </c>
      <c r="I13042" t="s">
        <v>14069</v>
      </c>
      <c r="J13042" t="s">
        <v>40950</v>
      </c>
      <c r="K13042" t="s">
        <v>42763</v>
      </c>
      <c r="M13042" t="s">
        <v>47042</v>
      </c>
      <c r="N13042" t="s">
        <v>47424</v>
      </c>
      <c r="O13042" t="s">
        <v>47425</v>
      </c>
      <c r="P13042">
        <v>0</v>
      </c>
      <c r="Q13042">
        <v>5</v>
      </c>
      <c r="R13042" t="s">
        <v>47441</v>
      </c>
      <c r="S13042" t="s">
        <v>48049</v>
      </c>
      <c r="T13042" t="s">
        <v>49192</v>
      </c>
      <c r="U13042" t="s">
        <v>60368</v>
      </c>
      <c r="V13042" t="s">
        <v>64080</v>
      </c>
      <c r="W13042" t="s">
        <v>45259</v>
      </c>
      <c r="X13042" t="s">
        <v>47447</v>
      </c>
    </row>
    <row r="13043" spans="1:24">
      <c r="A13043">
        <f>HYPERLINK("https://www.philgeps.gov.ph/GEPSNONPILOT/Tender/SplashBidNoticeAbstractUI.aspx?menuIndex=3&amp;refID=7125243&amp;Result=3","7125243")</f>
        <v>0</v>
      </c>
      <c r="B13043" t="s">
        <v>2419</v>
      </c>
      <c r="C13043" t="s">
        <v>16207</v>
      </c>
      <c r="D13043" t="s">
        <v>19023</v>
      </c>
      <c r="E13043" t="s">
        <v>30263</v>
      </c>
      <c r="F13043" t="s">
        <v>32831</v>
      </c>
      <c r="G13043" t="s">
        <v>32839</v>
      </c>
      <c r="H13043" t="s">
        <v>32849</v>
      </c>
      <c r="I13043" t="s">
        <v>4177</v>
      </c>
      <c r="J13043" t="s">
        <v>33024</v>
      </c>
      <c r="K13043" t="s">
        <v>42729</v>
      </c>
      <c r="M13043" t="s">
        <v>45614</v>
      </c>
      <c r="N13043" t="s">
        <v>47424</v>
      </c>
      <c r="O13043" t="s">
        <v>47425</v>
      </c>
      <c r="P13043">
        <v>0</v>
      </c>
      <c r="Q13043">
        <v>2</v>
      </c>
      <c r="R13043" t="s">
        <v>47441</v>
      </c>
      <c r="S13043" t="s">
        <v>48049</v>
      </c>
      <c r="T13043" t="s">
        <v>49093</v>
      </c>
      <c r="U13043" t="s">
        <v>55399</v>
      </c>
      <c r="W13043" t="s">
        <v>45614</v>
      </c>
      <c r="X13043" t="s">
        <v>47447</v>
      </c>
    </row>
    <row r="13044" spans="1:24">
      <c r="A13044">
        <f>HYPERLINK("https://www.philgeps.gov.ph/GEPSNONPILOT/Tender/SplashBidNoticeAbstractUI.aspx?menuIndex=3&amp;refID=7138887&amp;Result=3","7138887")</f>
        <v>0</v>
      </c>
      <c r="B13044" t="s">
        <v>3664</v>
      </c>
      <c r="C13044" t="s">
        <v>16208</v>
      </c>
      <c r="D13044" t="s">
        <v>19047</v>
      </c>
      <c r="E13044" t="s">
        <v>20332</v>
      </c>
      <c r="F13044" t="s">
        <v>32831</v>
      </c>
      <c r="G13044" t="s">
        <v>32839</v>
      </c>
      <c r="H13044" t="s">
        <v>32849</v>
      </c>
      <c r="I13044" t="s">
        <v>4177</v>
      </c>
      <c r="J13044" t="s">
        <v>40951</v>
      </c>
      <c r="K13044" t="s">
        <v>42757</v>
      </c>
      <c r="M13044" t="s">
        <v>47036</v>
      </c>
      <c r="N13044" t="s">
        <v>47424</v>
      </c>
      <c r="O13044" t="s">
        <v>47425</v>
      </c>
      <c r="P13044">
        <v>0</v>
      </c>
      <c r="Q13044">
        <v>4</v>
      </c>
      <c r="R13044" t="s">
        <v>47440</v>
      </c>
      <c r="S13044" t="s">
        <v>47963</v>
      </c>
      <c r="T13044" t="s">
        <v>49087</v>
      </c>
      <c r="U13044" t="s">
        <v>60369</v>
      </c>
      <c r="W13044" t="s">
        <v>47036</v>
      </c>
      <c r="X13044" t="s">
        <v>47441</v>
      </c>
    </row>
    <row r="13045" spans="1:24">
      <c r="A13045">
        <f>HYPERLINK("https://www.philgeps.gov.ph/GEPSNONPILOT/Tender/SplashBidNoticeAbstractUI.aspx?menuIndex=3&amp;refID=7138882&amp;Result=3","7138882")</f>
        <v>0</v>
      </c>
      <c r="B13045" t="s">
        <v>3664</v>
      </c>
      <c r="C13045" t="s">
        <v>16209</v>
      </c>
      <c r="D13045" t="s">
        <v>19047</v>
      </c>
      <c r="E13045" t="s">
        <v>20337</v>
      </c>
      <c r="F13045" t="s">
        <v>32831</v>
      </c>
      <c r="G13045" t="s">
        <v>32839</v>
      </c>
      <c r="H13045" t="s">
        <v>32849</v>
      </c>
      <c r="I13045" t="s">
        <v>4177</v>
      </c>
      <c r="J13045" t="s">
        <v>40952</v>
      </c>
      <c r="K13045" t="s">
        <v>42792</v>
      </c>
      <c r="M13045" t="s">
        <v>47036</v>
      </c>
      <c r="N13045" t="s">
        <v>47424</v>
      </c>
      <c r="O13045" t="s">
        <v>47425</v>
      </c>
      <c r="P13045">
        <v>0</v>
      </c>
      <c r="Q13045">
        <v>3</v>
      </c>
      <c r="R13045" t="s">
        <v>47440</v>
      </c>
      <c r="S13045" t="s">
        <v>47963</v>
      </c>
      <c r="T13045" t="s">
        <v>49087</v>
      </c>
      <c r="U13045" t="s">
        <v>60370</v>
      </c>
      <c r="W13045" t="s">
        <v>47036</v>
      </c>
      <c r="X13045" t="s">
        <v>47441</v>
      </c>
    </row>
    <row r="13046" spans="1:24">
      <c r="A13046">
        <f>HYPERLINK("https://www.philgeps.gov.ph/GEPSNONPILOT/Tender/SplashBidNoticeAbstractUI.aspx?menuIndex=3&amp;refID=7122313&amp;Result=3","7122313")</f>
        <v>0</v>
      </c>
      <c r="B13046" t="s">
        <v>171</v>
      </c>
      <c r="C13046" t="s">
        <v>16210</v>
      </c>
      <c r="D13046" t="s">
        <v>19077</v>
      </c>
      <c r="E13046" t="s">
        <v>30264</v>
      </c>
      <c r="F13046" t="s">
        <v>32831</v>
      </c>
      <c r="G13046" t="s">
        <v>32839</v>
      </c>
      <c r="H13046" t="s">
        <v>32848</v>
      </c>
      <c r="I13046" t="s">
        <v>32859</v>
      </c>
      <c r="J13046" t="s">
        <v>33428</v>
      </c>
      <c r="K13046" t="s">
        <v>42730</v>
      </c>
      <c r="M13046" t="s">
        <v>43168</v>
      </c>
      <c r="N13046" t="s">
        <v>47424</v>
      </c>
      <c r="O13046" t="s">
        <v>47425</v>
      </c>
      <c r="P13046">
        <v>0</v>
      </c>
      <c r="Q13046">
        <v>4</v>
      </c>
      <c r="R13046" t="s">
        <v>47441</v>
      </c>
      <c r="S13046" t="s">
        <v>48049</v>
      </c>
      <c r="T13046" t="s">
        <v>49073</v>
      </c>
      <c r="U13046" t="s">
        <v>60371</v>
      </c>
      <c r="W13046" t="s">
        <v>64432</v>
      </c>
      <c r="X13046" t="s">
        <v>47448</v>
      </c>
    </row>
    <row r="13047" spans="1:24">
      <c r="A13047">
        <f>HYPERLINK("https://www.philgeps.gov.ph/GEPSNONPILOT/Tender/SplashBidNoticeAbstractUI.aspx?menuIndex=3&amp;refID=7122262&amp;Result=3","7122262")</f>
        <v>0</v>
      </c>
      <c r="B13047" t="s">
        <v>171</v>
      </c>
      <c r="C13047" t="s">
        <v>16211</v>
      </c>
      <c r="D13047" t="s">
        <v>19077</v>
      </c>
      <c r="E13047" t="s">
        <v>30265</v>
      </c>
      <c r="F13047" t="s">
        <v>32831</v>
      </c>
      <c r="G13047" t="s">
        <v>32839</v>
      </c>
      <c r="H13047" t="s">
        <v>32848</v>
      </c>
      <c r="I13047" t="s">
        <v>32859</v>
      </c>
      <c r="J13047" t="s">
        <v>33066</v>
      </c>
      <c r="K13047" t="s">
        <v>42730</v>
      </c>
      <c r="M13047" t="s">
        <v>43168</v>
      </c>
      <c r="N13047" t="s">
        <v>47424</v>
      </c>
      <c r="O13047" t="s">
        <v>47425</v>
      </c>
      <c r="P13047">
        <v>0</v>
      </c>
      <c r="Q13047">
        <v>7</v>
      </c>
      <c r="R13047" t="s">
        <v>47441</v>
      </c>
      <c r="S13047" t="s">
        <v>48049</v>
      </c>
      <c r="T13047" t="s">
        <v>49073</v>
      </c>
      <c r="U13047" t="s">
        <v>60372</v>
      </c>
      <c r="W13047" t="s">
        <v>64432</v>
      </c>
      <c r="X13047" t="s">
        <v>47448</v>
      </c>
    </row>
    <row r="13048" spans="1:24">
      <c r="A13048">
        <f>HYPERLINK("https://www.philgeps.gov.ph/GEPSNONPILOT/Tender/SplashBidNoticeAbstractUI.aspx?menuIndex=3&amp;refID=7125227&amp;Result=3","7125227")</f>
        <v>0</v>
      </c>
      <c r="B13048" t="s">
        <v>3670</v>
      </c>
      <c r="C13048" t="s">
        <v>16212</v>
      </c>
      <c r="D13048" t="s">
        <v>19064</v>
      </c>
      <c r="E13048" t="s">
        <v>30266</v>
      </c>
      <c r="F13048" t="s">
        <v>32831</v>
      </c>
      <c r="G13048" t="s">
        <v>32839</v>
      </c>
      <c r="H13048" t="s">
        <v>32848</v>
      </c>
      <c r="I13048" t="s">
        <v>32871</v>
      </c>
      <c r="J13048" t="s">
        <v>33012</v>
      </c>
      <c r="K13048" t="s">
        <v>42730</v>
      </c>
      <c r="M13048" t="s">
        <v>47043</v>
      </c>
      <c r="N13048" t="s">
        <v>47424</v>
      </c>
      <c r="O13048" t="s">
        <v>47425</v>
      </c>
      <c r="P13048">
        <v>0</v>
      </c>
      <c r="Q13048">
        <v>7</v>
      </c>
      <c r="R13048" t="s">
        <v>47441</v>
      </c>
      <c r="S13048" t="s">
        <v>48049</v>
      </c>
      <c r="T13048" t="s">
        <v>49091</v>
      </c>
      <c r="U13048" t="s">
        <v>60373</v>
      </c>
      <c r="W13048" t="s">
        <v>47043</v>
      </c>
      <c r="X13048" t="s">
        <v>47447</v>
      </c>
    </row>
    <row r="13049" spans="1:24">
      <c r="A13049">
        <f>HYPERLINK("https://www.philgeps.gov.ph/GEPSNONPILOT/Tender/SplashBidNoticeAbstractUI.aspx?menuIndex=3&amp;refID=7138902&amp;Result=3","7138902")</f>
        <v>0</v>
      </c>
      <c r="B13049" t="s">
        <v>3664</v>
      </c>
      <c r="C13049" t="s">
        <v>16213</v>
      </c>
      <c r="D13049" t="s">
        <v>19047</v>
      </c>
      <c r="E13049" t="s">
        <v>30267</v>
      </c>
      <c r="F13049" t="s">
        <v>32831</v>
      </c>
      <c r="G13049" t="s">
        <v>32839</v>
      </c>
      <c r="H13049" t="s">
        <v>32849</v>
      </c>
      <c r="I13049" t="s">
        <v>4177</v>
      </c>
      <c r="J13049" t="s">
        <v>40953</v>
      </c>
      <c r="K13049" t="s">
        <v>42732</v>
      </c>
      <c r="M13049" t="s">
        <v>47036</v>
      </c>
      <c r="N13049" t="s">
        <v>47424</v>
      </c>
      <c r="O13049" t="s">
        <v>47425</v>
      </c>
      <c r="P13049">
        <v>0</v>
      </c>
      <c r="Q13049">
        <v>4</v>
      </c>
      <c r="R13049" t="s">
        <v>47440</v>
      </c>
      <c r="S13049" t="s">
        <v>47963</v>
      </c>
      <c r="T13049" t="s">
        <v>49087</v>
      </c>
      <c r="U13049" t="s">
        <v>60374</v>
      </c>
      <c r="W13049" t="s">
        <v>47036</v>
      </c>
      <c r="X13049" t="s">
        <v>47441</v>
      </c>
    </row>
    <row r="13050" spans="1:24">
      <c r="A13050">
        <f>HYPERLINK("https://www.philgeps.gov.ph/GEPSNONPILOT/Tender/SplashBidNoticeAbstractUI.aspx?menuIndex=3&amp;refID=7125205&amp;Result=3","7125205")</f>
        <v>0</v>
      </c>
      <c r="B13050" t="s">
        <v>2419</v>
      </c>
      <c r="C13050" t="s">
        <v>16214</v>
      </c>
      <c r="D13050" t="s">
        <v>19023</v>
      </c>
      <c r="E13050" t="s">
        <v>30268</v>
      </c>
      <c r="F13050" t="s">
        <v>32831</v>
      </c>
      <c r="G13050" t="s">
        <v>32839</v>
      </c>
      <c r="H13050" t="s">
        <v>32849</v>
      </c>
      <c r="I13050" t="s">
        <v>4177</v>
      </c>
      <c r="J13050" t="s">
        <v>40954</v>
      </c>
      <c r="K13050" t="s">
        <v>42770</v>
      </c>
      <c r="M13050" t="s">
        <v>45614</v>
      </c>
      <c r="N13050" t="s">
        <v>47424</v>
      </c>
      <c r="O13050" t="s">
        <v>47425</v>
      </c>
      <c r="P13050">
        <v>0</v>
      </c>
      <c r="Q13050">
        <v>3</v>
      </c>
      <c r="R13050" t="s">
        <v>47441</v>
      </c>
      <c r="S13050" t="s">
        <v>48049</v>
      </c>
      <c r="T13050" t="s">
        <v>49066</v>
      </c>
      <c r="U13050" t="s">
        <v>55399</v>
      </c>
      <c r="W13050" t="s">
        <v>45614</v>
      </c>
      <c r="X13050" t="s">
        <v>47447</v>
      </c>
    </row>
    <row r="13051" spans="1:24">
      <c r="A13051">
        <f>HYPERLINK("https://www.philgeps.gov.ph/GEPSNONPILOT/Tender/SplashBidNoticeAbstractUI.aspx?menuIndex=3&amp;refID=7122758&amp;Result=3","7122758")</f>
        <v>0</v>
      </c>
      <c r="B13051" t="s">
        <v>3670</v>
      </c>
      <c r="C13051" t="s">
        <v>16215</v>
      </c>
      <c r="D13051" t="s">
        <v>19064</v>
      </c>
      <c r="E13051" t="s">
        <v>30269</v>
      </c>
      <c r="F13051" t="s">
        <v>32831</v>
      </c>
      <c r="G13051" t="s">
        <v>32839</v>
      </c>
      <c r="H13051" t="s">
        <v>32848</v>
      </c>
      <c r="I13051" t="s">
        <v>32892</v>
      </c>
      <c r="J13051" t="s">
        <v>40955</v>
      </c>
      <c r="K13051" t="s">
        <v>42730</v>
      </c>
      <c r="M13051" t="s">
        <v>47043</v>
      </c>
      <c r="N13051" t="s">
        <v>47424</v>
      </c>
      <c r="O13051" t="s">
        <v>47425</v>
      </c>
      <c r="P13051">
        <v>0</v>
      </c>
      <c r="Q13051">
        <v>3</v>
      </c>
      <c r="R13051" t="s">
        <v>47441</v>
      </c>
      <c r="S13051" t="s">
        <v>48049</v>
      </c>
      <c r="T13051" t="s">
        <v>49091</v>
      </c>
      <c r="U13051" t="s">
        <v>60375</v>
      </c>
      <c r="W13051" t="s">
        <v>47043</v>
      </c>
      <c r="X13051" t="s">
        <v>47448</v>
      </c>
    </row>
    <row r="13052" spans="1:24">
      <c r="A13052">
        <f>HYPERLINK("https://www.philgeps.gov.ph/GEPSNONPILOT/Tender/SplashBidNoticeAbstractUI.aspx?menuIndex=3&amp;refID=7121623&amp;Result=3","7121623")</f>
        <v>0</v>
      </c>
      <c r="B13052" t="s">
        <v>263</v>
      </c>
      <c r="C13052" t="s">
        <v>16216</v>
      </c>
      <c r="D13052" t="s">
        <v>19083</v>
      </c>
      <c r="E13052" t="s">
        <v>30270</v>
      </c>
      <c r="F13052" t="s">
        <v>32831</v>
      </c>
      <c r="G13052" t="s">
        <v>32839</v>
      </c>
      <c r="H13052" t="s">
        <v>32848</v>
      </c>
      <c r="I13052" t="s">
        <v>7416</v>
      </c>
      <c r="J13052" t="s">
        <v>40956</v>
      </c>
      <c r="K13052" t="s">
        <v>42742</v>
      </c>
      <c r="M13052" t="s">
        <v>43262</v>
      </c>
      <c r="N13052" t="s">
        <v>47424</v>
      </c>
      <c r="O13052" t="s">
        <v>47425</v>
      </c>
      <c r="P13052">
        <v>0</v>
      </c>
      <c r="Q13052">
        <v>1</v>
      </c>
      <c r="R13052" t="s">
        <v>47441</v>
      </c>
      <c r="S13052" t="s">
        <v>48049</v>
      </c>
      <c r="T13052" t="s">
        <v>49059</v>
      </c>
      <c r="U13052" t="s">
        <v>60376</v>
      </c>
      <c r="W13052" t="s">
        <v>43262</v>
      </c>
      <c r="X13052" t="s">
        <v>47448</v>
      </c>
    </row>
    <row r="13053" spans="1:24">
      <c r="A13053">
        <f>HYPERLINK("https://www.philgeps.gov.ph/GEPSNONPILOT/Tender/SplashBidNoticeAbstractUI.aspx?menuIndex=3&amp;refID=7122292&amp;Result=3","7122292")</f>
        <v>0</v>
      </c>
      <c r="B13053" t="s">
        <v>171</v>
      </c>
      <c r="C13053" t="s">
        <v>16217</v>
      </c>
      <c r="D13053" t="s">
        <v>19076</v>
      </c>
      <c r="E13053" t="s">
        <v>30271</v>
      </c>
      <c r="F13053" t="s">
        <v>32831</v>
      </c>
      <c r="G13053" t="s">
        <v>32839</v>
      </c>
      <c r="H13053" t="s">
        <v>32848</v>
      </c>
      <c r="I13053" t="s">
        <v>32859</v>
      </c>
      <c r="J13053" t="s">
        <v>34447</v>
      </c>
      <c r="K13053" t="s">
        <v>42730</v>
      </c>
      <c r="M13053" t="s">
        <v>43168</v>
      </c>
      <c r="N13053" t="s">
        <v>47424</v>
      </c>
      <c r="O13053" t="s">
        <v>47425</v>
      </c>
      <c r="P13053">
        <v>0</v>
      </c>
      <c r="Q13053">
        <v>5</v>
      </c>
      <c r="R13053" t="s">
        <v>47441</v>
      </c>
      <c r="S13053" t="s">
        <v>48049</v>
      </c>
      <c r="T13053" t="s">
        <v>49073</v>
      </c>
      <c r="U13053" t="s">
        <v>60377</v>
      </c>
      <c r="W13053" t="s">
        <v>64432</v>
      </c>
      <c r="X13053" t="s">
        <v>47448</v>
      </c>
    </row>
    <row r="13054" spans="1:24">
      <c r="A13054">
        <f>HYPERLINK("https://www.philgeps.gov.ph/GEPSNONPILOT/Tender/SplashBidNoticeAbstractUI.aspx?menuIndex=3&amp;refID=7119329&amp;Result=3","7119329")</f>
        <v>0</v>
      </c>
      <c r="B13054" t="s">
        <v>27</v>
      </c>
      <c r="C13054" t="s">
        <v>16218</v>
      </c>
      <c r="D13054" t="s">
        <v>19020</v>
      </c>
      <c r="E13054" t="s">
        <v>30272</v>
      </c>
      <c r="F13054" t="s">
        <v>32831</v>
      </c>
      <c r="G13054" t="s">
        <v>32839</v>
      </c>
      <c r="H13054" t="s">
        <v>32849</v>
      </c>
      <c r="I13054" t="s">
        <v>4177</v>
      </c>
      <c r="J13054" t="s">
        <v>40957</v>
      </c>
      <c r="K13054" t="s">
        <v>42764</v>
      </c>
      <c r="M13054" t="s">
        <v>43024</v>
      </c>
      <c r="N13054" t="s">
        <v>47424</v>
      </c>
      <c r="O13054" t="s">
        <v>47425</v>
      </c>
      <c r="P13054">
        <v>0</v>
      </c>
      <c r="Q13054">
        <v>4</v>
      </c>
      <c r="R13054" t="s">
        <v>47441</v>
      </c>
      <c r="S13054" t="s">
        <v>48049</v>
      </c>
      <c r="T13054" t="s">
        <v>49059</v>
      </c>
      <c r="U13054" t="s">
        <v>49692</v>
      </c>
      <c r="W13054" t="s">
        <v>43024</v>
      </c>
      <c r="X13054" t="s">
        <v>47450</v>
      </c>
    </row>
    <row r="13055" spans="1:24">
      <c r="A13055">
        <f>HYPERLINK("https://www.philgeps.gov.ph/GEPSNONPILOT/Tender/SplashBidNoticeAbstractUI.aspx?menuIndex=3&amp;refID=7121735&amp;Result=3","7121735")</f>
        <v>0</v>
      </c>
      <c r="B13055" t="s">
        <v>263</v>
      </c>
      <c r="C13055" t="s">
        <v>16219</v>
      </c>
      <c r="D13055" t="s">
        <v>19083</v>
      </c>
      <c r="E13055" t="s">
        <v>30273</v>
      </c>
      <c r="F13055" t="s">
        <v>32831</v>
      </c>
      <c r="G13055" t="s">
        <v>32839</v>
      </c>
      <c r="H13055" t="s">
        <v>32848</v>
      </c>
      <c r="I13055" t="s">
        <v>7751</v>
      </c>
      <c r="J13055" t="s">
        <v>36005</v>
      </c>
      <c r="K13055" t="s">
        <v>42747</v>
      </c>
      <c r="M13055" t="s">
        <v>43262</v>
      </c>
      <c r="N13055" t="s">
        <v>47424</v>
      </c>
      <c r="O13055" t="s">
        <v>47425</v>
      </c>
      <c r="P13055">
        <v>0</v>
      </c>
      <c r="Q13055">
        <v>3</v>
      </c>
      <c r="R13055" t="s">
        <v>47441</v>
      </c>
      <c r="S13055" t="s">
        <v>48049</v>
      </c>
      <c r="T13055" t="s">
        <v>49059</v>
      </c>
      <c r="U13055" t="s">
        <v>60378</v>
      </c>
      <c r="W13055" t="s">
        <v>43262</v>
      </c>
      <c r="X13055" t="s">
        <v>47448</v>
      </c>
    </row>
    <row r="13056" spans="1:24">
      <c r="A13056">
        <f>HYPERLINK("https://www.philgeps.gov.ph/GEPSNONPILOT/Tender/SplashBidNoticeAbstractUI.aspx?menuIndex=3&amp;refID=7121662&amp;Result=3","7121662")</f>
        <v>0</v>
      </c>
      <c r="B13056" t="s">
        <v>263</v>
      </c>
      <c r="C13056" t="s">
        <v>16220</v>
      </c>
      <c r="D13056" t="s">
        <v>19083</v>
      </c>
      <c r="E13056" t="s">
        <v>30274</v>
      </c>
      <c r="F13056" t="s">
        <v>32831</v>
      </c>
      <c r="G13056" t="s">
        <v>32839</v>
      </c>
      <c r="H13056" t="s">
        <v>32849</v>
      </c>
      <c r="I13056" t="s">
        <v>4177</v>
      </c>
      <c r="J13056" t="s">
        <v>33118</v>
      </c>
      <c r="K13056" t="s">
        <v>42729</v>
      </c>
      <c r="M13056" t="s">
        <v>43262</v>
      </c>
      <c r="N13056" t="s">
        <v>47424</v>
      </c>
      <c r="O13056" t="s">
        <v>47425</v>
      </c>
      <c r="P13056">
        <v>0</v>
      </c>
      <c r="Q13056">
        <v>0</v>
      </c>
      <c r="R13056" t="s">
        <v>47441</v>
      </c>
      <c r="S13056" t="s">
        <v>48049</v>
      </c>
      <c r="T13056" t="s">
        <v>49059</v>
      </c>
      <c r="U13056" t="s">
        <v>60379</v>
      </c>
      <c r="W13056" t="s">
        <v>43262</v>
      </c>
      <c r="X13056" t="s">
        <v>47448</v>
      </c>
    </row>
    <row r="13057" spans="1:24">
      <c r="A13057">
        <f>HYPERLINK("https://www.philgeps.gov.ph/GEPSNONPILOT/Tender/SplashBidNoticeAbstractUI.aspx?menuIndex=3&amp;refID=7131381&amp;Result=3","7131381")</f>
        <v>0</v>
      </c>
      <c r="B13057" t="s">
        <v>3671</v>
      </c>
      <c r="C13057" t="s">
        <v>16221</v>
      </c>
      <c r="D13057" t="s">
        <v>19059</v>
      </c>
      <c r="E13057" t="s">
        <v>30275</v>
      </c>
      <c r="F13057" t="s">
        <v>32831</v>
      </c>
      <c r="G13057" t="s">
        <v>32839</v>
      </c>
      <c r="H13057" t="s">
        <v>32849</v>
      </c>
      <c r="I13057" t="s">
        <v>4177</v>
      </c>
      <c r="J13057" t="s">
        <v>32978</v>
      </c>
      <c r="K13057" t="s">
        <v>42743</v>
      </c>
      <c r="M13057" t="s">
        <v>47044</v>
      </c>
      <c r="N13057" t="s">
        <v>47424</v>
      </c>
      <c r="O13057" t="s">
        <v>47425</v>
      </c>
      <c r="P13057">
        <v>0</v>
      </c>
      <c r="Q13057">
        <v>30</v>
      </c>
      <c r="R13057" t="s">
        <v>47441</v>
      </c>
      <c r="S13057" t="s">
        <v>48049</v>
      </c>
      <c r="T13057" t="s">
        <v>49069</v>
      </c>
      <c r="U13057" t="s">
        <v>60380</v>
      </c>
      <c r="V13057" t="s">
        <v>62714</v>
      </c>
      <c r="W13057" t="s">
        <v>47044</v>
      </c>
      <c r="X13057" t="s">
        <v>47445</v>
      </c>
    </row>
    <row r="13058" spans="1:24">
      <c r="A13058">
        <f>HYPERLINK("https://www.philgeps.gov.ph/GEPSNONPILOT/Tender/SplashBidNoticeAbstractUI.aspx?menuIndex=3&amp;refID=7119332&amp;Result=3","7119332")</f>
        <v>0</v>
      </c>
      <c r="B13058" t="s">
        <v>27</v>
      </c>
      <c r="C13058" t="s">
        <v>16222</v>
      </c>
      <c r="D13058" t="s">
        <v>19020</v>
      </c>
      <c r="E13058" t="s">
        <v>30276</v>
      </c>
      <c r="F13058" t="s">
        <v>32831</v>
      </c>
      <c r="G13058" t="s">
        <v>32839</v>
      </c>
      <c r="H13058" t="s">
        <v>32849</v>
      </c>
      <c r="I13058" t="s">
        <v>4177</v>
      </c>
      <c r="J13058" t="s">
        <v>40958</v>
      </c>
      <c r="K13058" t="s">
        <v>42768</v>
      </c>
      <c r="M13058" t="s">
        <v>43024</v>
      </c>
      <c r="N13058" t="s">
        <v>47424</v>
      </c>
      <c r="O13058" t="s">
        <v>47425</v>
      </c>
      <c r="P13058">
        <v>0</v>
      </c>
      <c r="Q13058">
        <v>6</v>
      </c>
      <c r="R13058" t="s">
        <v>47441</v>
      </c>
      <c r="S13058" t="s">
        <v>48049</v>
      </c>
      <c r="T13058" t="s">
        <v>49059</v>
      </c>
      <c r="U13058" t="s">
        <v>49692</v>
      </c>
      <c r="W13058" t="s">
        <v>43024</v>
      </c>
      <c r="X13058" t="s">
        <v>47450</v>
      </c>
    </row>
    <row r="13059" spans="1:24">
      <c r="A13059">
        <f>HYPERLINK("https://www.philgeps.gov.ph/GEPSNONPILOT/Tender/SplashBidNoticeAbstractUI.aspx?menuIndex=3&amp;refID=7138928&amp;Result=3","7138928")</f>
        <v>0</v>
      </c>
      <c r="B13059" t="s">
        <v>84</v>
      </c>
      <c r="C13059" t="s">
        <v>16223</v>
      </c>
      <c r="E13059" t="s">
        <v>30277</v>
      </c>
      <c r="F13059" t="s">
        <v>32831</v>
      </c>
      <c r="G13059" t="s">
        <v>32839</v>
      </c>
      <c r="H13059" t="s">
        <v>32848</v>
      </c>
      <c r="I13059" t="s">
        <v>32858</v>
      </c>
      <c r="J13059" t="s">
        <v>33100</v>
      </c>
      <c r="K13059" t="s">
        <v>42732</v>
      </c>
      <c r="M13059" t="s">
        <v>43081</v>
      </c>
      <c r="N13059" t="s">
        <v>47424</v>
      </c>
      <c r="O13059" t="s">
        <v>47425</v>
      </c>
      <c r="P13059">
        <v>0</v>
      </c>
      <c r="Q13059">
        <v>0</v>
      </c>
      <c r="R13059" t="s">
        <v>47440</v>
      </c>
      <c r="S13059" t="s">
        <v>47963</v>
      </c>
      <c r="T13059" t="s">
        <v>49105</v>
      </c>
      <c r="U13059" t="s">
        <v>49781</v>
      </c>
      <c r="W13059" t="s">
        <v>43081</v>
      </c>
      <c r="X13059" t="s">
        <v>47441</v>
      </c>
    </row>
    <row r="13060" spans="1:24">
      <c r="A13060">
        <f>HYPERLINK("https://www.philgeps.gov.ph/GEPSNONPILOT/Tender/SplashBidNoticeAbstractUI.aspx?menuIndex=3&amp;refID=7121854&amp;Result=3","7121854")</f>
        <v>0</v>
      </c>
      <c r="B13060" t="s">
        <v>3672</v>
      </c>
      <c r="C13060" t="s">
        <v>16224</v>
      </c>
      <c r="D13060" t="s">
        <v>19037</v>
      </c>
      <c r="E13060" t="s">
        <v>30278</v>
      </c>
      <c r="F13060" t="s">
        <v>32831</v>
      </c>
      <c r="G13060" t="s">
        <v>32839</v>
      </c>
      <c r="H13060" t="s">
        <v>32848</v>
      </c>
      <c r="I13060" t="s">
        <v>32851</v>
      </c>
      <c r="J13060" t="s">
        <v>39274</v>
      </c>
      <c r="K13060" t="s">
        <v>42730</v>
      </c>
      <c r="M13060" t="s">
        <v>47045</v>
      </c>
      <c r="N13060" t="s">
        <v>47424</v>
      </c>
      <c r="O13060" t="s">
        <v>47425</v>
      </c>
      <c r="P13060">
        <v>0</v>
      </c>
      <c r="Q13060">
        <v>1</v>
      </c>
      <c r="R13060" t="s">
        <v>47441</v>
      </c>
      <c r="S13060" t="s">
        <v>48049</v>
      </c>
      <c r="T13060" t="s">
        <v>49066</v>
      </c>
      <c r="U13060" t="s">
        <v>60381</v>
      </c>
      <c r="W13060" t="s">
        <v>47045</v>
      </c>
      <c r="X13060" t="s">
        <v>47448</v>
      </c>
    </row>
    <row r="13061" spans="1:24">
      <c r="A13061">
        <f>HYPERLINK("https://www.philgeps.gov.ph/GEPSNONPILOT/Tender/SplashBidNoticeAbstractUI.aspx?menuIndex=3&amp;refID=7131259&amp;Result=3","7131259")</f>
        <v>0</v>
      </c>
      <c r="B13061" t="s">
        <v>3671</v>
      </c>
      <c r="C13061" t="s">
        <v>16225</v>
      </c>
      <c r="D13061" t="s">
        <v>19059</v>
      </c>
      <c r="E13061" t="s">
        <v>30279</v>
      </c>
      <c r="F13061" t="s">
        <v>32831</v>
      </c>
      <c r="G13061" t="s">
        <v>32839</v>
      </c>
      <c r="H13061" t="s">
        <v>32849</v>
      </c>
      <c r="I13061" t="s">
        <v>4177</v>
      </c>
      <c r="J13061" t="s">
        <v>33587</v>
      </c>
      <c r="K13061" t="s">
        <v>42747</v>
      </c>
      <c r="M13061" t="s">
        <v>47044</v>
      </c>
      <c r="N13061" t="s">
        <v>47424</v>
      </c>
      <c r="O13061" t="s">
        <v>47425</v>
      </c>
      <c r="P13061">
        <v>0</v>
      </c>
      <c r="Q13061">
        <v>29</v>
      </c>
      <c r="R13061" t="s">
        <v>47441</v>
      </c>
      <c r="S13061" t="s">
        <v>48049</v>
      </c>
      <c r="T13061" t="s">
        <v>49069</v>
      </c>
      <c r="U13061" t="s">
        <v>60382</v>
      </c>
      <c r="V13061" t="s">
        <v>62714</v>
      </c>
      <c r="W13061" t="s">
        <v>47044</v>
      </c>
      <c r="X13061" t="s">
        <v>47445</v>
      </c>
    </row>
    <row r="13062" spans="1:24">
      <c r="A13062">
        <f>HYPERLINK("https://www.philgeps.gov.ph/GEPSNONPILOT/Tender/SplashBidNoticeAbstractUI.aspx?menuIndex=3&amp;refID=7130932&amp;Result=3","7130932")</f>
        <v>0</v>
      </c>
      <c r="B13062" t="s">
        <v>2617</v>
      </c>
      <c r="C13062" t="s">
        <v>16226</v>
      </c>
      <c r="D13062" t="s">
        <v>19084</v>
      </c>
      <c r="E13062" t="s">
        <v>30280</v>
      </c>
      <c r="F13062" t="s">
        <v>32831</v>
      </c>
      <c r="G13062" t="s">
        <v>32839</v>
      </c>
      <c r="H13062" t="s">
        <v>32848</v>
      </c>
      <c r="I13062" t="s">
        <v>4471</v>
      </c>
      <c r="J13062" t="s">
        <v>33561</v>
      </c>
      <c r="K13062" t="s">
        <v>42751</v>
      </c>
      <c r="M13062" t="s">
        <v>45836</v>
      </c>
      <c r="N13062" t="s">
        <v>47424</v>
      </c>
      <c r="O13062" t="s">
        <v>47425</v>
      </c>
      <c r="Q13062">
        <v>5</v>
      </c>
      <c r="R13062" t="s">
        <v>47441</v>
      </c>
      <c r="S13062" t="s">
        <v>48051</v>
      </c>
      <c r="T13062" t="s">
        <v>49319</v>
      </c>
      <c r="U13062" t="s">
        <v>60383</v>
      </c>
      <c r="V13062" t="s">
        <v>64081</v>
      </c>
      <c r="W13062" t="s">
        <v>45836</v>
      </c>
      <c r="X13062" t="s">
        <v>47445</v>
      </c>
    </row>
    <row r="13063" spans="1:24">
      <c r="A13063">
        <f>HYPERLINK("https://www.philgeps.gov.ph/GEPSNONPILOT/Tender/SplashBidNoticeAbstractUI.aspx?menuIndex=3&amp;refID=7131359&amp;Result=3","7131359")</f>
        <v>0</v>
      </c>
      <c r="B13063" t="s">
        <v>330</v>
      </c>
      <c r="C13063" t="s">
        <v>16227</v>
      </c>
      <c r="E13063" t="s">
        <v>30281</v>
      </c>
      <c r="F13063" t="s">
        <v>32831</v>
      </c>
      <c r="G13063" t="s">
        <v>32839</v>
      </c>
      <c r="H13063" t="s">
        <v>32848</v>
      </c>
      <c r="I13063" t="s">
        <v>32894</v>
      </c>
      <c r="J13063" t="s">
        <v>39828</v>
      </c>
      <c r="K13063" t="s">
        <v>42730</v>
      </c>
      <c r="M13063" t="s">
        <v>47046</v>
      </c>
      <c r="N13063" t="s">
        <v>47424</v>
      </c>
      <c r="O13063" t="s">
        <v>47425</v>
      </c>
      <c r="P13063">
        <v>0</v>
      </c>
      <c r="Q13063">
        <v>5</v>
      </c>
      <c r="R13063" t="s">
        <v>47441</v>
      </c>
      <c r="S13063" t="s">
        <v>48049</v>
      </c>
      <c r="T13063" t="s">
        <v>49080</v>
      </c>
      <c r="U13063" t="s">
        <v>60384</v>
      </c>
      <c r="V13063" t="s">
        <v>64082</v>
      </c>
      <c r="W13063" t="s">
        <v>47046</v>
      </c>
      <c r="X13063" t="s">
        <v>47445</v>
      </c>
    </row>
    <row r="13064" spans="1:24">
      <c r="A13064">
        <f>HYPERLINK("https://www.philgeps.gov.ph/GEPSNONPILOT/Tender/SplashBidNoticeAbstractUI.aspx?menuIndex=3&amp;refID=7130526&amp;Result=3","7130526")</f>
        <v>0</v>
      </c>
      <c r="B13064" t="s">
        <v>459</v>
      </c>
      <c r="C13064" t="s">
        <v>16228</v>
      </c>
      <c r="D13064" t="s">
        <v>19023</v>
      </c>
      <c r="E13064" t="s">
        <v>30282</v>
      </c>
      <c r="F13064" t="s">
        <v>32831</v>
      </c>
      <c r="G13064" t="s">
        <v>32839</v>
      </c>
      <c r="H13064" t="s">
        <v>32848</v>
      </c>
      <c r="I13064" t="s">
        <v>7751</v>
      </c>
      <c r="J13064" t="s">
        <v>33066</v>
      </c>
      <c r="K13064" t="s">
        <v>42730</v>
      </c>
      <c r="M13064" t="s">
        <v>43464</v>
      </c>
      <c r="N13064" t="s">
        <v>47424</v>
      </c>
      <c r="O13064" t="s">
        <v>47425</v>
      </c>
      <c r="P13064">
        <v>0</v>
      </c>
      <c r="Q13064">
        <v>8</v>
      </c>
      <c r="R13064" t="s">
        <v>47441</v>
      </c>
      <c r="S13064" t="s">
        <v>48049</v>
      </c>
      <c r="T13064" t="s">
        <v>49066</v>
      </c>
      <c r="U13064" t="s">
        <v>60385</v>
      </c>
      <c r="V13064" t="s">
        <v>62882</v>
      </c>
      <c r="W13064" t="s">
        <v>43464</v>
      </c>
      <c r="X13064" t="s">
        <v>47445</v>
      </c>
    </row>
    <row r="13065" spans="1:24">
      <c r="A13065">
        <f>HYPERLINK("https://www.philgeps.gov.ph/GEPSNONPILOT/Tender/SplashBidNoticeAbstractUI.aspx?menuIndex=3&amp;refID=7130327&amp;Result=3","7130327")</f>
        <v>0</v>
      </c>
      <c r="B13065" t="s">
        <v>416</v>
      </c>
      <c r="C13065" t="s">
        <v>16229</v>
      </c>
      <c r="D13065" t="s">
        <v>19046</v>
      </c>
      <c r="E13065" t="s">
        <v>16229</v>
      </c>
      <c r="F13065" t="s">
        <v>32831</v>
      </c>
      <c r="G13065" t="s">
        <v>32839</v>
      </c>
      <c r="H13065" t="s">
        <v>32848</v>
      </c>
      <c r="I13065" t="s">
        <v>4177</v>
      </c>
      <c r="J13065" t="s">
        <v>40959</v>
      </c>
      <c r="K13065" t="s">
        <v>42748</v>
      </c>
      <c r="M13065" t="s">
        <v>43421</v>
      </c>
      <c r="N13065" t="s">
        <v>47424</v>
      </c>
      <c r="O13065" t="s">
        <v>47425</v>
      </c>
      <c r="P13065">
        <v>0</v>
      </c>
      <c r="Q13065">
        <v>0</v>
      </c>
      <c r="R13065" t="s">
        <v>47441</v>
      </c>
      <c r="S13065" t="s">
        <v>48049</v>
      </c>
      <c r="T13065" t="s">
        <v>49066</v>
      </c>
      <c r="U13065" t="s">
        <v>60386</v>
      </c>
      <c r="W13065" t="s">
        <v>43421</v>
      </c>
      <c r="X13065" t="s">
        <v>47445</v>
      </c>
    </row>
    <row r="13066" spans="1:24">
      <c r="A13066">
        <f>HYPERLINK("https://www.philgeps.gov.ph/GEPSNONPILOT/Tender/SplashBidNoticeAbstractUI.aspx?menuIndex=3&amp;refID=7124516&amp;Result=3","7124516")</f>
        <v>0</v>
      </c>
      <c r="B13066" t="s">
        <v>3669</v>
      </c>
      <c r="C13066" t="s">
        <v>16230</v>
      </c>
      <c r="E13066" t="s">
        <v>30283</v>
      </c>
      <c r="F13066" t="s">
        <v>32831</v>
      </c>
      <c r="G13066" t="s">
        <v>32839</v>
      </c>
      <c r="H13066" t="s">
        <v>32848</v>
      </c>
      <c r="I13066" t="s">
        <v>32877</v>
      </c>
      <c r="J13066" t="s">
        <v>40960</v>
      </c>
      <c r="K13066" t="s">
        <v>42732</v>
      </c>
      <c r="M13066" t="s">
        <v>47041</v>
      </c>
      <c r="N13066" t="s">
        <v>47424</v>
      </c>
      <c r="O13066" t="s">
        <v>47425</v>
      </c>
      <c r="P13066">
        <v>0</v>
      </c>
      <c r="Q13066">
        <v>6</v>
      </c>
      <c r="R13066" t="s">
        <v>47441</v>
      </c>
      <c r="S13066" t="s">
        <v>48049</v>
      </c>
      <c r="T13066" t="s">
        <v>49069</v>
      </c>
      <c r="U13066" t="s">
        <v>60387</v>
      </c>
      <c r="V13066" t="s">
        <v>64078</v>
      </c>
      <c r="W13066" t="s">
        <v>47041</v>
      </c>
      <c r="X13066" t="s">
        <v>47447</v>
      </c>
    </row>
    <row r="13067" spans="1:24">
      <c r="A13067">
        <f>HYPERLINK("https://www.philgeps.gov.ph/GEPSNONPILOT/Tender/SplashBidNoticeAbstractUI.aspx?menuIndex=3&amp;refID=7131131&amp;Result=3","7131131")</f>
        <v>0</v>
      </c>
      <c r="B13067" t="s">
        <v>3255</v>
      </c>
      <c r="C13067" t="s">
        <v>16231</v>
      </c>
      <c r="D13067" t="s">
        <v>19047</v>
      </c>
      <c r="E13067" t="s">
        <v>30284</v>
      </c>
      <c r="F13067" t="s">
        <v>32831</v>
      </c>
      <c r="G13067" t="s">
        <v>32839</v>
      </c>
      <c r="H13067" t="s">
        <v>32848</v>
      </c>
      <c r="I13067" t="s">
        <v>4303</v>
      </c>
      <c r="J13067" t="s">
        <v>40961</v>
      </c>
      <c r="K13067" t="s">
        <v>42776</v>
      </c>
      <c r="M13067" t="s">
        <v>46570</v>
      </c>
      <c r="N13067" t="s">
        <v>47424</v>
      </c>
      <c r="O13067" t="s">
        <v>47425</v>
      </c>
      <c r="Q13067">
        <v>5</v>
      </c>
      <c r="R13067" t="s">
        <v>47441</v>
      </c>
      <c r="S13067" t="s">
        <v>48052</v>
      </c>
      <c r="T13067" t="s">
        <v>49470</v>
      </c>
      <c r="U13067" t="s">
        <v>60388</v>
      </c>
      <c r="V13067" t="s">
        <v>63862</v>
      </c>
      <c r="W13067" t="s">
        <v>46570</v>
      </c>
      <c r="X13067" t="s">
        <v>47445</v>
      </c>
    </row>
    <row r="13068" spans="1:24">
      <c r="A13068">
        <f>HYPERLINK("https://www.philgeps.gov.ph/GEPSNONPILOT/Tender/SplashBidNoticeAbstractUI.aspx?menuIndex=3&amp;refID=7130119&amp;Result=3","7130119")</f>
        <v>0</v>
      </c>
      <c r="B13068" t="s">
        <v>563</v>
      </c>
      <c r="C13068" t="s">
        <v>16232</v>
      </c>
      <c r="D13068" t="s">
        <v>19060</v>
      </c>
      <c r="E13068" t="s">
        <v>30285</v>
      </c>
      <c r="F13068" t="s">
        <v>32831</v>
      </c>
      <c r="G13068" t="s">
        <v>32838</v>
      </c>
      <c r="H13068" t="s">
        <v>32848</v>
      </c>
      <c r="I13068" t="s">
        <v>4558</v>
      </c>
      <c r="J13068" t="s">
        <v>40962</v>
      </c>
      <c r="K13068" t="s">
        <v>42732</v>
      </c>
      <c r="M13068" t="s">
        <v>43572</v>
      </c>
      <c r="N13068" t="s">
        <v>47424</v>
      </c>
      <c r="O13068" t="s">
        <v>47425</v>
      </c>
      <c r="Q13068">
        <v>0</v>
      </c>
      <c r="R13068" t="s">
        <v>47441</v>
      </c>
      <c r="S13068" t="s">
        <v>48053</v>
      </c>
      <c r="T13068" t="s">
        <v>49212</v>
      </c>
      <c r="U13068" t="s">
        <v>60389</v>
      </c>
      <c r="W13068" t="s">
        <v>43572</v>
      </c>
      <c r="X13068" t="s">
        <v>47445</v>
      </c>
    </row>
    <row r="13069" spans="1:24">
      <c r="A13069">
        <f>HYPERLINK("https://www.philgeps.gov.ph/GEPSNONPILOT/Tender/SplashBidNoticeAbstractUI.aspx?menuIndex=3&amp;refID=7131248&amp;Result=3","7131248")</f>
        <v>0</v>
      </c>
      <c r="B13069" t="s">
        <v>3083</v>
      </c>
      <c r="C13069" t="s">
        <v>16233</v>
      </c>
      <c r="D13069" t="s">
        <v>19062</v>
      </c>
      <c r="E13069" t="s">
        <v>30286</v>
      </c>
      <c r="F13069" t="s">
        <v>32831</v>
      </c>
      <c r="G13069" t="s">
        <v>32839</v>
      </c>
      <c r="H13069" t="s">
        <v>32848</v>
      </c>
      <c r="I13069" t="s">
        <v>7416</v>
      </c>
      <c r="J13069" t="s">
        <v>33380</v>
      </c>
      <c r="K13069" t="s">
        <v>42731</v>
      </c>
      <c r="M13069" t="s">
        <v>46364</v>
      </c>
      <c r="N13069" t="s">
        <v>47424</v>
      </c>
      <c r="O13069" t="s">
        <v>47425</v>
      </c>
      <c r="P13069">
        <v>0</v>
      </c>
      <c r="Q13069">
        <v>2</v>
      </c>
      <c r="R13069" t="s">
        <v>47441</v>
      </c>
      <c r="S13069" t="s">
        <v>48049</v>
      </c>
      <c r="T13069" t="s">
        <v>49068</v>
      </c>
      <c r="U13069" t="s">
        <v>60390</v>
      </c>
      <c r="V13069" t="s">
        <v>63707</v>
      </c>
      <c r="W13069" t="s">
        <v>46364</v>
      </c>
      <c r="X13069" t="s">
        <v>47445</v>
      </c>
    </row>
    <row r="13070" spans="1:24">
      <c r="A13070">
        <f>HYPERLINK("https://www.philgeps.gov.ph/GEPSNONPILOT/Tender/SplashBidNoticeAbstractUI.aspx?menuIndex=3&amp;refID=7129218&amp;Result=3","7129218")</f>
        <v>0</v>
      </c>
      <c r="B13070" t="s">
        <v>2827</v>
      </c>
      <c r="C13070" t="s">
        <v>16234</v>
      </c>
      <c r="D13070" t="s">
        <v>19056</v>
      </c>
      <c r="E13070" t="s">
        <v>30287</v>
      </c>
      <c r="F13070" t="s">
        <v>32831</v>
      </c>
      <c r="G13070" t="s">
        <v>32839</v>
      </c>
      <c r="H13070" t="s">
        <v>32848</v>
      </c>
      <c r="I13070" t="s">
        <v>32861</v>
      </c>
      <c r="J13070" t="s">
        <v>40963</v>
      </c>
      <c r="K13070" t="s">
        <v>42732</v>
      </c>
      <c r="M13070" t="s">
        <v>46058</v>
      </c>
      <c r="N13070" t="s">
        <v>47424</v>
      </c>
      <c r="O13070" t="s">
        <v>47425</v>
      </c>
      <c r="Q13070">
        <v>25</v>
      </c>
      <c r="R13070" t="s">
        <v>47441</v>
      </c>
      <c r="S13070" t="s">
        <v>48054</v>
      </c>
      <c r="T13070" t="s">
        <v>49105</v>
      </c>
      <c r="U13070" t="s">
        <v>60391</v>
      </c>
      <c r="W13070" t="s">
        <v>46058</v>
      </c>
      <c r="X13070" t="s">
        <v>47446</v>
      </c>
    </row>
    <row r="13071" spans="1:24">
      <c r="A13071">
        <f>HYPERLINK("https://www.philgeps.gov.ph/GEPSNONPILOT/Tender/SplashBidNoticeAbstractUI.aspx?menuIndex=3&amp;refID=7130223&amp;Result=3","7130223")</f>
        <v>0</v>
      </c>
      <c r="B13071" t="s">
        <v>563</v>
      </c>
      <c r="C13071" t="s">
        <v>16235</v>
      </c>
      <c r="D13071" t="s">
        <v>19060</v>
      </c>
      <c r="E13071" t="s">
        <v>30288</v>
      </c>
      <c r="F13071" t="s">
        <v>32831</v>
      </c>
      <c r="G13071" t="s">
        <v>32838</v>
      </c>
      <c r="H13071" t="s">
        <v>32848</v>
      </c>
      <c r="I13071" t="s">
        <v>4438</v>
      </c>
      <c r="J13071" t="s">
        <v>33044</v>
      </c>
      <c r="K13071" t="s">
        <v>42732</v>
      </c>
      <c r="M13071" t="s">
        <v>43572</v>
      </c>
      <c r="N13071" t="s">
        <v>47424</v>
      </c>
      <c r="O13071" t="s">
        <v>47425</v>
      </c>
      <c r="Q13071">
        <v>0</v>
      </c>
      <c r="R13071" t="s">
        <v>47441</v>
      </c>
      <c r="S13071" t="s">
        <v>48055</v>
      </c>
      <c r="T13071" t="s">
        <v>49212</v>
      </c>
      <c r="U13071" t="s">
        <v>60392</v>
      </c>
      <c r="W13071" t="s">
        <v>43572</v>
      </c>
      <c r="X13071" t="s">
        <v>47445</v>
      </c>
    </row>
    <row r="13072" spans="1:24">
      <c r="A13072">
        <f>HYPERLINK("https://www.philgeps.gov.ph/GEPSNONPILOT/Tender/SplashBidNoticeAbstractUI.aspx?menuIndex=3&amp;refID=7127682&amp;Result=3","7127682")</f>
        <v>0</v>
      </c>
      <c r="B13072" t="s">
        <v>55</v>
      </c>
      <c r="C13072" t="s">
        <v>16236</v>
      </c>
      <c r="D13072" t="s">
        <v>19039</v>
      </c>
      <c r="E13072" t="s">
        <v>19203</v>
      </c>
      <c r="F13072" t="s">
        <v>32831</v>
      </c>
      <c r="G13072" t="s">
        <v>32839</v>
      </c>
      <c r="H13072" t="s">
        <v>32848</v>
      </c>
      <c r="I13072" t="s">
        <v>7416</v>
      </c>
      <c r="J13072" t="s">
        <v>40964</v>
      </c>
      <c r="K13072" t="s">
        <v>42727</v>
      </c>
      <c r="M13072" t="s">
        <v>43052</v>
      </c>
      <c r="N13072" t="s">
        <v>47424</v>
      </c>
      <c r="O13072" t="s">
        <v>47425</v>
      </c>
      <c r="P13072">
        <v>0</v>
      </c>
      <c r="Q13072">
        <v>1</v>
      </c>
      <c r="R13072" t="s">
        <v>47441</v>
      </c>
      <c r="S13072" t="s">
        <v>48049</v>
      </c>
      <c r="T13072" t="s">
        <v>49068</v>
      </c>
      <c r="U13072" t="s">
        <v>60393</v>
      </c>
      <c r="V13072" t="s">
        <v>62631</v>
      </c>
      <c r="W13072" t="s">
        <v>43052</v>
      </c>
      <c r="X13072" t="s">
        <v>47446</v>
      </c>
    </row>
    <row r="13073" spans="1:24">
      <c r="A13073">
        <f>HYPERLINK("https://www.philgeps.gov.ph/GEPSNONPILOT/Tender/SplashBidNoticeAbstractUI.aspx?menuIndex=3&amp;refID=7131052&amp;Result=3","7131052")</f>
        <v>0</v>
      </c>
      <c r="B13073" t="s">
        <v>2007</v>
      </c>
      <c r="C13073" t="s">
        <v>16237</v>
      </c>
      <c r="D13073" t="s">
        <v>19017</v>
      </c>
      <c r="E13073" t="s">
        <v>30289</v>
      </c>
      <c r="F13073" t="s">
        <v>32831</v>
      </c>
      <c r="G13073" t="s">
        <v>32839</v>
      </c>
      <c r="H13073" t="s">
        <v>32848</v>
      </c>
      <c r="I13073" t="s">
        <v>32965</v>
      </c>
      <c r="J13073" t="s">
        <v>40965</v>
      </c>
      <c r="K13073" t="s">
        <v>42730</v>
      </c>
      <c r="M13073" t="s">
        <v>47047</v>
      </c>
      <c r="N13073" t="s">
        <v>47424</v>
      </c>
      <c r="O13073" t="s">
        <v>47425</v>
      </c>
      <c r="P13073">
        <v>0</v>
      </c>
      <c r="Q13073">
        <v>9</v>
      </c>
      <c r="R13073" t="s">
        <v>47441</v>
      </c>
      <c r="S13073" t="s">
        <v>48049</v>
      </c>
      <c r="T13073" t="s">
        <v>49070</v>
      </c>
      <c r="U13073" t="s">
        <v>60394</v>
      </c>
      <c r="W13073" t="s">
        <v>47047</v>
      </c>
      <c r="X13073" t="s">
        <v>47445</v>
      </c>
    </row>
    <row r="13074" spans="1:24">
      <c r="A13074">
        <f>HYPERLINK("https://www.philgeps.gov.ph/GEPSNONPILOT/Tender/SplashBidNoticeAbstractUI.aspx?menuIndex=3&amp;refID=7132565&amp;Result=3","7132565")</f>
        <v>0</v>
      </c>
      <c r="B13074" t="s">
        <v>2895</v>
      </c>
      <c r="C13074" t="s">
        <v>16238</v>
      </c>
      <c r="D13074" t="s">
        <v>19017</v>
      </c>
      <c r="E13074" t="s">
        <v>30290</v>
      </c>
      <c r="F13074" t="s">
        <v>32831</v>
      </c>
      <c r="G13074" t="s">
        <v>32841</v>
      </c>
      <c r="H13074" t="s">
        <v>32848</v>
      </c>
      <c r="I13074" t="s">
        <v>32888</v>
      </c>
      <c r="J13074" t="s">
        <v>40966</v>
      </c>
      <c r="K13074" t="s">
        <v>42727</v>
      </c>
      <c r="M13074" t="s">
        <v>47048</v>
      </c>
      <c r="N13074" t="s">
        <v>47424</v>
      </c>
      <c r="O13074" t="s">
        <v>47425</v>
      </c>
      <c r="Q13074">
        <v>0</v>
      </c>
      <c r="R13074" t="s">
        <v>47441</v>
      </c>
      <c r="S13074" t="s">
        <v>48056</v>
      </c>
      <c r="T13074" t="s">
        <v>49250</v>
      </c>
      <c r="U13074" t="s">
        <v>60395</v>
      </c>
      <c r="V13074" t="s">
        <v>50323</v>
      </c>
      <c r="W13074" t="s">
        <v>47048</v>
      </c>
      <c r="X13074" t="s">
        <v>47445</v>
      </c>
    </row>
    <row r="13075" spans="1:24">
      <c r="A13075">
        <f>HYPERLINK("https://www.philgeps.gov.ph/GEPSNONPILOT/Tender/SplashBidNoticeAbstractUI.aspx?menuIndex=3&amp;refID=7132553&amp;Result=3","7132553")</f>
        <v>0</v>
      </c>
      <c r="B13075" t="s">
        <v>2895</v>
      </c>
      <c r="C13075" t="s">
        <v>16239</v>
      </c>
      <c r="D13075" t="s">
        <v>19017</v>
      </c>
      <c r="E13075" t="s">
        <v>30290</v>
      </c>
      <c r="F13075" t="s">
        <v>32831</v>
      </c>
      <c r="G13075" t="s">
        <v>32841</v>
      </c>
      <c r="H13075" t="s">
        <v>32848</v>
      </c>
      <c r="I13075" t="s">
        <v>32888</v>
      </c>
      <c r="J13075" t="s">
        <v>33714</v>
      </c>
      <c r="K13075" t="s">
        <v>42727</v>
      </c>
      <c r="M13075" t="s">
        <v>47048</v>
      </c>
      <c r="N13075" t="s">
        <v>47424</v>
      </c>
      <c r="O13075" t="s">
        <v>47425</v>
      </c>
      <c r="Q13075">
        <v>0</v>
      </c>
      <c r="R13075" t="s">
        <v>47441</v>
      </c>
      <c r="S13075" t="s">
        <v>48057</v>
      </c>
      <c r="T13075" t="s">
        <v>49250</v>
      </c>
      <c r="U13075" t="s">
        <v>60396</v>
      </c>
      <c r="V13075" t="s">
        <v>50323</v>
      </c>
      <c r="W13075" t="s">
        <v>47048</v>
      </c>
      <c r="X13075" t="s">
        <v>47445</v>
      </c>
    </row>
    <row r="13076" spans="1:24">
      <c r="A13076">
        <f>HYPERLINK("https://www.philgeps.gov.ph/GEPSNONPILOT/Tender/SplashBidNoticeAbstractUI.aspx?menuIndex=3&amp;refID=7132584&amp;Result=3","7132584")</f>
        <v>0</v>
      </c>
      <c r="B13076" t="s">
        <v>2895</v>
      </c>
      <c r="C13076" t="s">
        <v>16240</v>
      </c>
      <c r="D13076" t="s">
        <v>19017</v>
      </c>
      <c r="E13076" t="s">
        <v>30290</v>
      </c>
      <c r="F13076" t="s">
        <v>32831</v>
      </c>
      <c r="G13076" t="s">
        <v>32841</v>
      </c>
      <c r="H13076" t="s">
        <v>32848</v>
      </c>
      <c r="I13076" t="s">
        <v>32888</v>
      </c>
      <c r="J13076" t="s">
        <v>40967</v>
      </c>
      <c r="K13076" t="s">
        <v>42727</v>
      </c>
      <c r="M13076" t="s">
        <v>47048</v>
      </c>
      <c r="N13076" t="s">
        <v>47424</v>
      </c>
      <c r="O13076" t="s">
        <v>47425</v>
      </c>
      <c r="Q13076">
        <v>0</v>
      </c>
      <c r="R13076" t="s">
        <v>47441</v>
      </c>
      <c r="S13076" t="s">
        <v>48058</v>
      </c>
      <c r="T13076" t="s">
        <v>49250</v>
      </c>
      <c r="U13076" t="s">
        <v>60395</v>
      </c>
      <c r="V13076" t="s">
        <v>50323</v>
      </c>
      <c r="W13076" t="s">
        <v>47048</v>
      </c>
      <c r="X13076" t="s">
        <v>47445</v>
      </c>
    </row>
    <row r="13077" spans="1:24">
      <c r="A13077">
        <f>HYPERLINK("https://www.philgeps.gov.ph/GEPSNONPILOT/Tender/SplashBidNoticeAbstractUI.aspx?menuIndex=3&amp;refID=7132552&amp;Result=3","7132552")</f>
        <v>0</v>
      </c>
      <c r="B13077" t="s">
        <v>2976</v>
      </c>
      <c r="C13077" t="s">
        <v>16241</v>
      </c>
      <c r="D13077" t="s">
        <v>19017</v>
      </c>
      <c r="E13077" t="s">
        <v>30291</v>
      </c>
      <c r="F13077" t="s">
        <v>32831</v>
      </c>
      <c r="G13077" t="s">
        <v>32839</v>
      </c>
      <c r="H13077" t="s">
        <v>32850</v>
      </c>
      <c r="I13077" t="s">
        <v>4177</v>
      </c>
      <c r="J13077" t="s">
        <v>40968</v>
      </c>
      <c r="K13077" t="s">
        <v>42730</v>
      </c>
      <c r="M13077" t="s">
        <v>46239</v>
      </c>
      <c r="N13077" t="s">
        <v>47424</v>
      </c>
      <c r="O13077" t="s">
        <v>47425</v>
      </c>
      <c r="P13077">
        <v>0</v>
      </c>
      <c r="Q13077">
        <v>2</v>
      </c>
      <c r="R13077" t="s">
        <v>47441</v>
      </c>
      <c r="S13077" t="s">
        <v>48049</v>
      </c>
      <c r="T13077" t="s">
        <v>49073</v>
      </c>
      <c r="U13077" t="s">
        <v>57367</v>
      </c>
      <c r="V13077" t="s">
        <v>64083</v>
      </c>
      <c r="W13077" t="s">
        <v>46239</v>
      </c>
      <c r="X13077" t="s">
        <v>47445</v>
      </c>
    </row>
    <row r="13078" spans="1:24">
      <c r="A13078">
        <f>HYPERLINK("https://www.philgeps.gov.ph/GEPSNONPILOT/Tender/SplashBidNoticeAbstractUI.aspx?menuIndex=3&amp;refID=7132490&amp;Result=3","7132490")</f>
        <v>0</v>
      </c>
      <c r="B13078" t="s">
        <v>2895</v>
      </c>
      <c r="C13078" t="s">
        <v>16242</v>
      </c>
      <c r="D13078" t="s">
        <v>19017</v>
      </c>
      <c r="E13078" t="s">
        <v>30290</v>
      </c>
      <c r="F13078" t="s">
        <v>32831</v>
      </c>
      <c r="G13078" t="s">
        <v>32841</v>
      </c>
      <c r="H13078" t="s">
        <v>32848</v>
      </c>
      <c r="I13078" t="s">
        <v>32888</v>
      </c>
      <c r="J13078" t="s">
        <v>40969</v>
      </c>
      <c r="K13078" t="s">
        <v>42727</v>
      </c>
      <c r="M13078" t="s">
        <v>47048</v>
      </c>
      <c r="N13078" t="s">
        <v>47424</v>
      </c>
      <c r="O13078" t="s">
        <v>47425</v>
      </c>
      <c r="Q13078">
        <v>3</v>
      </c>
      <c r="R13078" t="s">
        <v>47441</v>
      </c>
      <c r="S13078" t="s">
        <v>48059</v>
      </c>
      <c r="T13078" t="s">
        <v>49250</v>
      </c>
      <c r="U13078" t="s">
        <v>60395</v>
      </c>
      <c r="V13078" t="s">
        <v>50323</v>
      </c>
      <c r="W13078" t="s">
        <v>47048</v>
      </c>
      <c r="X13078" t="s">
        <v>47445</v>
      </c>
    </row>
    <row r="13079" spans="1:24">
      <c r="A13079">
        <f>HYPERLINK("https://www.philgeps.gov.ph/GEPSNONPILOT/Tender/SplashBidNoticeAbstractUI.aspx?menuIndex=3&amp;refID=7131337&amp;Result=3","7131337")</f>
        <v>0</v>
      </c>
      <c r="B13079" t="s">
        <v>3255</v>
      </c>
      <c r="C13079" t="s">
        <v>16243</v>
      </c>
      <c r="D13079" t="s">
        <v>19047</v>
      </c>
      <c r="E13079" t="s">
        <v>30292</v>
      </c>
      <c r="F13079" t="s">
        <v>32831</v>
      </c>
      <c r="G13079" t="s">
        <v>32839</v>
      </c>
      <c r="H13079" t="s">
        <v>32848</v>
      </c>
      <c r="I13079" t="s">
        <v>4471</v>
      </c>
      <c r="J13079" t="s">
        <v>40970</v>
      </c>
      <c r="K13079" t="s">
        <v>42776</v>
      </c>
      <c r="M13079" t="s">
        <v>46570</v>
      </c>
      <c r="N13079" t="s">
        <v>47424</v>
      </c>
      <c r="O13079" t="s">
        <v>47425</v>
      </c>
      <c r="Q13079">
        <v>8</v>
      </c>
      <c r="R13079" t="s">
        <v>47441</v>
      </c>
      <c r="S13079" t="s">
        <v>48060</v>
      </c>
      <c r="T13079" t="s">
        <v>49160</v>
      </c>
      <c r="U13079" t="s">
        <v>60397</v>
      </c>
      <c r="V13079" t="s">
        <v>64084</v>
      </c>
      <c r="W13079" t="s">
        <v>46570</v>
      </c>
      <c r="X13079" t="s">
        <v>47445</v>
      </c>
    </row>
    <row r="13080" spans="1:24">
      <c r="A13080">
        <f>HYPERLINK("https://www.philgeps.gov.ph/GEPSNONPILOT/Tender/SplashBidNoticeAbstractUI.aspx?menuIndex=3&amp;refID=7132277&amp;Result=3","7132277")</f>
        <v>0</v>
      </c>
      <c r="B13080" t="s">
        <v>3673</v>
      </c>
      <c r="C13080" t="s">
        <v>16244</v>
      </c>
      <c r="D13080" t="s">
        <v>19040</v>
      </c>
      <c r="E13080" t="s">
        <v>21686</v>
      </c>
      <c r="F13080" t="s">
        <v>32831</v>
      </c>
      <c r="G13080" t="s">
        <v>32839</v>
      </c>
      <c r="H13080" t="s">
        <v>32849</v>
      </c>
      <c r="I13080" t="s">
        <v>32855</v>
      </c>
      <c r="J13080" t="s">
        <v>40971</v>
      </c>
      <c r="K13080" t="s">
        <v>42932</v>
      </c>
      <c r="M13080" t="s">
        <v>47049</v>
      </c>
      <c r="N13080" t="s">
        <v>47424</v>
      </c>
      <c r="O13080" t="s">
        <v>47425</v>
      </c>
      <c r="P13080">
        <v>0</v>
      </c>
      <c r="Q13080">
        <v>1</v>
      </c>
      <c r="R13080" t="s">
        <v>47441</v>
      </c>
      <c r="S13080" t="s">
        <v>48049</v>
      </c>
      <c r="T13080" t="s">
        <v>49093</v>
      </c>
      <c r="U13080" t="s">
        <v>60398</v>
      </c>
      <c r="V13080" t="s">
        <v>64085</v>
      </c>
      <c r="W13080" t="s">
        <v>47049</v>
      </c>
      <c r="X13080" t="s">
        <v>47445</v>
      </c>
    </row>
    <row r="13081" spans="1:24">
      <c r="A13081">
        <f>HYPERLINK("https://www.philgeps.gov.ph/GEPSNONPILOT/Tender/SplashBidNoticeAbstractUI.aspx?menuIndex=3&amp;refID=7132251&amp;Result=3","7132251")</f>
        <v>0</v>
      </c>
      <c r="B13081" t="s">
        <v>3673</v>
      </c>
      <c r="C13081" t="s">
        <v>16245</v>
      </c>
      <c r="D13081" t="s">
        <v>19040</v>
      </c>
      <c r="E13081" t="s">
        <v>20769</v>
      </c>
      <c r="F13081" t="s">
        <v>32831</v>
      </c>
      <c r="G13081" t="s">
        <v>32841</v>
      </c>
      <c r="H13081" t="s">
        <v>32849</v>
      </c>
      <c r="I13081" t="s">
        <v>4177</v>
      </c>
      <c r="J13081" t="s">
        <v>40972</v>
      </c>
      <c r="K13081" t="s">
        <v>42780</v>
      </c>
      <c r="M13081" t="s">
        <v>47049</v>
      </c>
      <c r="N13081" t="s">
        <v>47424</v>
      </c>
      <c r="O13081" t="s">
        <v>47425</v>
      </c>
      <c r="P13081">
        <v>0</v>
      </c>
      <c r="Q13081">
        <v>0</v>
      </c>
      <c r="R13081" t="s">
        <v>47441</v>
      </c>
      <c r="S13081" t="s">
        <v>48049</v>
      </c>
      <c r="T13081" t="s">
        <v>49093</v>
      </c>
      <c r="U13081" t="s">
        <v>60399</v>
      </c>
      <c r="V13081" t="s">
        <v>64085</v>
      </c>
      <c r="W13081" t="s">
        <v>47049</v>
      </c>
      <c r="X13081" t="s">
        <v>47445</v>
      </c>
    </row>
    <row r="13082" spans="1:24">
      <c r="A13082">
        <f>HYPERLINK("https://www.philgeps.gov.ph/GEPSNONPILOT/Tender/SplashBidNoticeAbstractUI.aspx?menuIndex=3&amp;refID=7132577&amp;Result=3","7132577")</f>
        <v>0</v>
      </c>
      <c r="B13082" t="s">
        <v>2895</v>
      </c>
      <c r="C13082" t="s">
        <v>16246</v>
      </c>
      <c r="D13082" t="s">
        <v>19017</v>
      </c>
      <c r="E13082" t="s">
        <v>30290</v>
      </c>
      <c r="F13082" t="s">
        <v>32831</v>
      </c>
      <c r="G13082" t="s">
        <v>32841</v>
      </c>
      <c r="H13082" t="s">
        <v>32848</v>
      </c>
      <c r="I13082" t="s">
        <v>32888</v>
      </c>
      <c r="J13082" t="s">
        <v>40973</v>
      </c>
      <c r="K13082" t="s">
        <v>42727</v>
      </c>
      <c r="M13082" t="s">
        <v>47048</v>
      </c>
      <c r="N13082" t="s">
        <v>47424</v>
      </c>
      <c r="O13082" t="s">
        <v>47425</v>
      </c>
      <c r="Q13082">
        <v>1</v>
      </c>
      <c r="R13082" t="s">
        <v>47441</v>
      </c>
      <c r="S13082" t="s">
        <v>48061</v>
      </c>
      <c r="T13082" t="s">
        <v>49250</v>
      </c>
      <c r="U13082" t="s">
        <v>60395</v>
      </c>
      <c r="V13082" t="s">
        <v>50323</v>
      </c>
      <c r="W13082" t="s">
        <v>47048</v>
      </c>
      <c r="X13082" t="s">
        <v>47445</v>
      </c>
    </row>
    <row r="13083" spans="1:24">
      <c r="A13083">
        <f>HYPERLINK("https://www.philgeps.gov.ph/GEPSNONPILOT/Tender/SplashBidNoticeAbstractUI.aspx?menuIndex=3&amp;refID=7132126&amp;Result=3","7132126")</f>
        <v>0</v>
      </c>
      <c r="B13083" t="s">
        <v>1850</v>
      </c>
      <c r="C13083" t="s">
        <v>16247</v>
      </c>
      <c r="D13083" t="s">
        <v>19020</v>
      </c>
      <c r="E13083" t="s">
        <v>30293</v>
      </c>
      <c r="F13083" t="s">
        <v>32831</v>
      </c>
      <c r="G13083" t="s">
        <v>32839</v>
      </c>
      <c r="H13083" t="s">
        <v>32848</v>
      </c>
      <c r="I13083" t="s">
        <v>32886</v>
      </c>
      <c r="J13083" t="s">
        <v>36730</v>
      </c>
      <c r="K13083" t="s">
        <v>42730</v>
      </c>
      <c r="M13083" t="s">
        <v>44988</v>
      </c>
      <c r="N13083" t="s">
        <v>47424</v>
      </c>
      <c r="O13083" t="s">
        <v>47425</v>
      </c>
      <c r="Q13083">
        <v>2</v>
      </c>
      <c r="R13083" t="s">
        <v>47441</v>
      </c>
      <c r="S13083" t="s">
        <v>48062</v>
      </c>
      <c r="T13083" t="s">
        <v>49105</v>
      </c>
      <c r="U13083" t="s">
        <v>60400</v>
      </c>
      <c r="V13083" t="s">
        <v>64086</v>
      </c>
      <c r="W13083" t="s">
        <v>44988</v>
      </c>
      <c r="X13083" t="s">
        <v>47445</v>
      </c>
    </row>
    <row r="13084" spans="1:24">
      <c r="A13084">
        <f>HYPERLINK("https://www.philgeps.gov.ph/GEPSNONPILOT/Tender/SplashBidNoticeAbstractUI.aspx?menuIndex=3&amp;refID=7132524&amp;Result=3","7132524")</f>
        <v>0</v>
      </c>
      <c r="B13084" t="s">
        <v>2895</v>
      </c>
      <c r="C13084" t="s">
        <v>16248</v>
      </c>
      <c r="D13084" t="s">
        <v>19017</v>
      </c>
      <c r="E13084" t="s">
        <v>30290</v>
      </c>
      <c r="F13084" t="s">
        <v>32831</v>
      </c>
      <c r="G13084" t="s">
        <v>32841</v>
      </c>
      <c r="H13084" t="s">
        <v>32848</v>
      </c>
      <c r="I13084" t="s">
        <v>32888</v>
      </c>
      <c r="J13084" t="s">
        <v>33310</v>
      </c>
      <c r="K13084" t="s">
        <v>42727</v>
      </c>
      <c r="M13084" t="s">
        <v>47048</v>
      </c>
      <c r="N13084" t="s">
        <v>47424</v>
      </c>
      <c r="O13084" t="s">
        <v>47425</v>
      </c>
      <c r="Q13084">
        <v>2</v>
      </c>
      <c r="R13084" t="s">
        <v>47441</v>
      </c>
      <c r="S13084" t="s">
        <v>48063</v>
      </c>
      <c r="T13084" t="s">
        <v>49250</v>
      </c>
      <c r="U13084" t="s">
        <v>60396</v>
      </c>
      <c r="V13084" t="s">
        <v>50323</v>
      </c>
      <c r="W13084" t="s">
        <v>47048</v>
      </c>
      <c r="X13084" t="s">
        <v>47445</v>
      </c>
    </row>
    <row r="13085" spans="1:24">
      <c r="A13085">
        <f>HYPERLINK("https://www.philgeps.gov.ph/GEPSNONPILOT/Tender/SplashBidNoticeAbstractUI.aspx?menuIndex=3&amp;refID=7131669&amp;Result=3","7131669")</f>
        <v>0</v>
      </c>
      <c r="B13085" t="s">
        <v>2895</v>
      </c>
      <c r="C13085" t="s">
        <v>16249</v>
      </c>
      <c r="D13085" t="s">
        <v>19017</v>
      </c>
      <c r="E13085" t="s">
        <v>30294</v>
      </c>
      <c r="F13085" t="s">
        <v>32831</v>
      </c>
      <c r="G13085" t="s">
        <v>32839</v>
      </c>
      <c r="H13085" t="s">
        <v>32848</v>
      </c>
      <c r="I13085" t="s">
        <v>7878</v>
      </c>
      <c r="J13085" t="s">
        <v>40974</v>
      </c>
      <c r="K13085" t="s">
        <v>42905</v>
      </c>
      <c r="M13085" t="s">
        <v>47050</v>
      </c>
      <c r="N13085" t="s">
        <v>47424</v>
      </c>
      <c r="O13085" t="s">
        <v>47425</v>
      </c>
      <c r="Q13085">
        <v>3</v>
      </c>
      <c r="R13085" t="s">
        <v>47441</v>
      </c>
      <c r="S13085" t="s">
        <v>48064</v>
      </c>
      <c r="T13085" t="s">
        <v>49265</v>
      </c>
      <c r="U13085" t="s">
        <v>60401</v>
      </c>
      <c r="W13085" t="s">
        <v>47050</v>
      </c>
      <c r="X13085" t="s">
        <v>47445</v>
      </c>
    </row>
    <row r="13086" spans="1:24">
      <c r="A13086">
        <f>HYPERLINK("https://www.philgeps.gov.ph/GEPSNONPILOT/Tender/SplashBidNoticeAbstractUI.aspx?menuIndex=3&amp;refID=7131661&amp;Result=3","7131661")</f>
        <v>0</v>
      </c>
      <c r="B13086" t="s">
        <v>1823</v>
      </c>
      <c r="C13086" t="s">
        <v>16250</v>
      </c>
      <c r="D13086" t="s">
        <v>19100</v>
      </c>
      <c r="E13086" t="s">
        <v>30295</v>
      </c>
      <c r="F13086" t="s">
        <v>32831</v>
      </c>
      <c r="G13086" t="s">
        <v>32839</v>
      </c>
      <c r="H13086" t="s">
        <v>32849</v>
      </c>
      <c r="I13086" t="s">
        <v>4177</v>
      </c>
      <c r="J13086" t="s">
        <v>40975</v>
      </c>
      <c r="K13086" t="s">
        <v>42780</v>
      </c>
      <c r="M13086" t="s">
        <v>45955</v>
      </c>
      <c r="N13086" t="s">
        <v>47424</v>
      </c>
      <c r="O13086" t="s">
        <v>47425</v>
      </c>
      <c r="P13086">
        <v>0</v>
      </c>
      <c r="Q13086">
        <v>0</v>
      </c>
      <c r="R13086" t="s">
        <v>47441</v>
      </c>
      <c r="S13086" t="s">
        <v>48049</v>
      </c>
      <c r="T13086" t="s">
        <v>49122</v>
      </c>
      <c r="U13086" t="s">
        <v>60402</v>
      </c>
      <c r="W13086" t="s">
        <v>45955</v>
      </c>
      <c r="X13086" t="s">
        <v>47445</v>
      </c>
    </row>
    <row r="13087" spans="1:24">
      <c r="A13087">
        <f>HYPERLINK("https://www.philgeps.gov.ph/GEPSNONPILOT/Tender/SplashBidNoticeAbstractUI.aspx?menuIndex=3&amp;refID=7132205&amp;Result=3","7132205")</f>
        <v>0</v>
      </c>
      <c r="B13087" t="s">
        <v>3673</v>
      </c>
      <c r="C13087" t="s">
        <v>16251</v>
      </c>
      <c r="D13087" t="s">
        <v>19040</v>
      </c>
      <c r="E13087" t="s">
        <v>25371</v>
      </c>
      <c r="F13087" t="s">
        <v>32831</v>
      </c>
      <c r="G13087" t="s">
        <v>32839</v>
      </c>
      <c r="H13087" t="s">
        <v>32848</v>
      </c>
      <c r="I13087" t="s">
        <v>7416</v>
      </c>
      <c r="J13087" t="s">
        <v>40976</v>
      </c>
      <c r="K13087" t="s">
        <v>42729</v>
      </c>
      <c r="M13087" t="s">
        <v>47049</v>
      </c>
      <c r="N13087" t="s">
        <v>47424</v>
      </c>
      <c r="O13087" t="s">
        <v>47425</v>
      </c>
      <c r="P13087">
        <v>0</v>
      </c>
      <c r="Q13087">
        <v>0</v>
      </c>
      <c r="R13087" t="s">
        <v>47441</v>
      </c>
      <c r="S13087" t="s">
        <v>48049</v>
      </c>
      <c r="T13087" t="s">
        <v>49093</v>
      </c>
      <c r="U13087" t="s">
        <v>60403</v>
      </c>
      <c r="V13087" t="s">
        <v>64085</v>
      </c>
      <c r="W13087" t="s">
        <v>47049</v>
      </c>
      <c r="X13087" t="s">
        <v>47445</v>
      </c>
    </row>
    <row r="13088" spans="1:24">
      <c r="A13088">
        <f>HYPERLINK("https://www.philgeps.gov.ph/GEPSNONPILOT/Tender/SplashBidNoticeAbstractUI.aspx?menuIndex=3&amp;refID=7133145&amp;Result=3","7133145")</f>
        <v>0</v>
      </c>
      <c r="B13088" t="s">
        <v>3671</v>
      </c>
      <c r="C13088" t="s">
        <v>16252</v>
      </c>
      <c r="D13088" t="s">
        <v>19059</v>
      </c>
      <c r="E13088" t="s">
        <v>30296</v>
      </c>
      <c r="F13088" t="s">
        <v>32831</v>
      </c>
      <c r="G13088" t="s">
        <v>32839</v>
      </c>
      <c r="H13088" t="s">
        <v>32849</v>
      </c>
      <c r="I13088" t="s">
        <v>4177</v>
      </c>
      <c r="J13088" t="s">
        <v>33288</v>
      </c>
      <c r="K13088" t="s">
        <v>42757</v>
      </c>
      <c r="M13088" t="s">
        <v>47044</v>
      </c>
      <c r="N13088" t="s">
        <v>47424</v>
      </c>
      <c r="O13088" t="s">
        <v>47425</v>
      </c>
      <c r="P13088">
        <v>0</v>
      </c>
      <c r="Q13088">
        <v>64</v>
      </c>
      <c r="R13088" t="s">
        <v>47441</v>
      </c>
      <c r="S13088" t="s">
        <v>48049</v>
      </c>
      <c r="T13088" t="s">
        <v>49069</v>
      </c>
      <c r="U13088" t="s">
        <v>60404</v>
      </c>
      <c r="V13088" t="s">
        <v>62714</v>
      </c>
      <c r="W13088" t="s">
        <v>47044</v>
      </c>
      <c r="X13088" t="s">
        <v>47444</v>
      </c>
    </row>
    <row r="13089" spans="1:24">
      <c r="A13089">
        <f>HYPERLINK("https://www.philgeps.gov.ph/GEPSNONPILOT/Tender/SplashBidNoticeAbstractUI.aspx?menuIndex=3&amp;refID=7133188&amp;Result=3","7133188")</f>
        <v>0</v>
      </c>
      <c r="B13089" t="s">
        <v>3674</v>
      </c>
      <c r="C13089" t="s">
        <v>16253</v>
      </c>
      <c r="D13089" t="s">
        <v>19031</v>
      </c>
      <c r="E13089" t="s">
        <v>20769</v>
      </c>
      <c r="F13089" t="s">
        <v>32831</v>
      </c>
      <c r="G13089" t="s">
        <v>32839</v>
      </c>
      <c r="H13089" t="s">
        <v>32848</v>
      </c>
      <c r="I13089" t="s">
        <v>32889</v>
      </c>
      <c r="J13089" t="s">
        <v>40977</v>
      </c>
      <c r="K13089" t="s">
        <v>42747</v>
      </c>
      <c r="M13089" t="s">
        <v>47051</v>
      </c>
      <c r="N13089" t="s">
        <v>47424</v>
      </c>
      <c r="O13089" t="s">
        <v>47425</v>
      </c>
      <c r="P13089">
        <v>0</v>
      </c>
      <c r="Q13089">
        <v>1</v>
      </c>
      <c r="R13089" t="s">
        <v>47441</v>
      </c>
      <c r="S13089" t="s">
        <v>48049</v>
      </c>
      <c r="T13089" t="s">
        <v>49069</v>
      </c>
      <c r="U13089" t="s">
        <v>60405</v>
      </c>
      <c r="W13089" t="s">
        <v>47051</v>
      </c>
      <c r="X13089" t="s">
        <v>47444</v>
      </c>
    </row>
    <row r="13090" spans="1:24">
      <c r="A13090">
        <f>HYPERLINK("https://www.philgeps.gov.ph/GEPSNONPILOT/Tender/SplashBidNoticeAbstractUI.aspx?menuIndex=3&amp;refID=7133161&amp;Result=3","7133161")</f>
        <v>0</v>
      </c>
      <c r="B13090" t="s">
        <v>2653</v>
      </c>
      <c r="C13090" t="s">
        <v>16254</v>
      </c>
      <c r="D13090" t="s">
        <v>19020</v>
      </c>
      <c r="E13090" t="s">
        <v>30297</v>
      </c>
      <c r="F13090" t="s">
        <v>32831</v>
      </c>
      <c r="G13090" t="s">
        <v>32839</v>
      </c>
      <c r="H13090" t="s">
        <v>32849</v>
      </c>
      <c r="I13090" t="s">
        <v>4177</v>
      </c>
      <c r="J13090" t="s">
        <v>33118</v>
      </c>
      <c r="K13090" t="s">
        <v>42808</v>
      </c>
      <c r="M13090" t="s">
        <v>45876</v>
      </c>
      <c r="N13090" t="s">
        <v>47424</v>
      </c>
      <c r="O13090" t="s">
        <v>47425</v>
      </c>
      <c r="P13090">
        <v>0</v>
      </c>
      <c r="Q13090">
        <v>0</v>
      </c>
      <c r="R13090" t="s">
        <v>47441</v>
      </c>
      <c r="S13090" t="s">
        <v>48049</v>
      </c>
      <c r="T13090" t="s">
        <v>49625</v>
      </c>
      <c r="U13090" t="s">
        <v>60406</v>
      </c>
      <c r="W13090" t="s">
        <v>45876</v>
      </c>
      <c r="X13090" t="s">
        <v>47444</v>
      </c>
    </row>
    <row r="13091" spans="1:24">
      <c r="A13091">
        <f>HYPERLINK("https://www.philgeps.gov.ph/GEPSNONPILOT/Tender/SplashBidNoticeAbstractUI.aspx?menuIndex=3&amp;refID=7133013&amp;Result=3","7133013")</f>
        <v>0</v>
      </c>
      <c r="B13091" t="s">
        <v>2455</v>
      </c>
      <c r="C13091" t="s">
        <v>16255</v>
      </c>
      <c r="E13091" t="s">
        <v>30298</v>
      </c>
      <c r="F13091" t="s">
        <v>32831</v>
      </c>
      <c r="G13091" t="s">
        <v>32839</v>
      </c>
      <c r="H13091" t="s">
        <v>32848</v>
      </c>
      <c r="I13091" t="s">
        <v>7416</v>
      </c>
      <c r="J13091" t="s">
        <v>40978</v>
      </c>
      <c r="K13091" t="s">
        <v>42730</v>
      </c>
      <c r="M13091" t="s">
        <v>46916</v>
      </c>
      <c r="N13091" t="s">
        <v>47424</v>
      </c>
      <c r="O13091" t="s">
        <v>47425</v>
      </c>
      <c r="P13091">
        <v>0</v>
      </c>
      <c r="Q13091">
        <v>0</v>
      </c>
      <c r="R13091" t="s">
        <v>47441</v>
      </c>
      <c r="S13091" t="s">
        <v>48049</v>
      </c>
      <c r="T13091" t="s">
        <v>49239</v>
      </c>
      <c r="U13091" t="s">
        <v>51143</v>
      </c>
      <c r="W13091" t="s">
        <v>46916</v>
      </c>
      <c r="X13091" t="s">
        <v>47444</v>
      </c>
    </row>
    <row r="13092" spans="1:24">
      <c r="A13092">
        <f>HYPERLINK("https://www.philgeps.gov.ph/GEPSNONPILOT/Tender/SplashBidNoticeAbstractUI.aspx?menuIndex=3&amp;refID=7132503&amp;Result=3","7132503")</f>
        <v>0</v>
      </c>
      <c r="B13092" t="s">
        <v>2895</v>
      </c>
      <c r="C13092" t="s">
        <v>16256</v>
      </c>
      <c r="D13092" t="s">
        <v>19017</v>
      </c>
      <c r="E13092" t="s">
        <v>30290</v>
      </c>
      <c r="F13092" t="s">
        <v>32831</v>
      </c>
      <c r="G13092" t="s">
        <v>32841</v>
      </c>
      <c r="H13092" t="s">
        <v>32848</v>
      </c>
      <c r="I13092" t="s">
        <v>32888</v>
      </c>
      <c r="J13092" t="s">
        <v>40979</v>
      </c>
      <c r="K13092" t="s">
        <v>42727</v>
      </c>
      <c r="M13092" t="s">
        <v>47048</v>
      </c>
      <c r="N13092" t="s">
        <v>47424</v>
      </c>
      <c r="O13092" t="s">
        <v>47425</v>
      </c>
      <c r="Q13092">
        <v>2</v>
      </c>
      <c r="R13092" t="s">
        <v>47441</v>
      </c>
      <c r="S13092" t="s">
        <v>48065</v>
      </c>
      <c r="T13092" t="s">
        <v>49250</v>
      </c>
      <c r="U13092" t="s">
        <v>60395</v>
      </c>
      <c r="V13092" t="s">
        <v>50323</v>
      </c>
      <c r="W13092" t="s">
        <v>47048</v>
      </c>
      <c r="X13092" t="s">
        <v>47445</v>
      </c>
    </row>
    <row r="13093" spans="1:24">
      <c r="A13093">
        <f>HYPERLINK("https://www.philgeps.gov.ph/GEPSNONPILOT/Tender/SplashBidNoticeAbstractUI.aspx?menuIndex=3&amp;refID=7133090&amp;Result=3","7133090")</f>
        <v>0</v>
      </c>
      <c r="B13093" t="s">
        <v>3675</v>
      </c>
      <c r="C13093" t="s">
        <v>16257</v>
      </c>
      <c r="D13093" t="s">
        <v>19038</v>
      </c>
      <c r="E13093" t="s">
        <v>30299</v>
      </c>
      <c r="F13093" t="s">
        <v>32833</v>
      </c>
      <c r="G13093" t="s">
        <v>32839</v>
      </c>
      <c r="H13093" t="s">
        <v>32848</v>
      </c>
      <c r="I13093" t="s">
        <v>4558</v>
      </c>
      <c r="J13093" t="s">
        <v>33133</v>
      </c>
      <c r="K13093" t="s">
        <v>42750</v>
      </c>
      <c r="L13093" t="s">
        <v>3675</v>
      </c>
      <c r="M13093" t="s">
        <v>47052</v>
      </c>
      <c r="N13093" t="s">
        <v>47424</v>
      </c>
      <c r="O13093" t="s">
        <v>47425</v>
      </c>
      <c r="P13093">
        <v>0</v>
      </c>
      <c r="Q13093">
        <v>0</v>
      </c>
      <c r="R13093" t="s">
        <v>47441</v>
      </c>
      <c r="S13093" t="s">
        <v>48049</v>
      </c>
      <c r="T13093" t="s">
        <v>49129</v>
      </c>
      <c r="U13093" t="s">
        <v>60407</v>
      </c>
      <c r="V13093" t="s">
        <v>64087</v>
      </c>
      <c r="W13093" t="s">
        <v>47052</v>
      </c>
      <c r="X13093" t="s">
        <v>47444</v>
      </c>
    </row>
    <row r="13094" spans="1:24">
      <c r="A13094">
        <f>HYPERLINK("https://www.philgeps.gov.ph/GEPSNONPILOT/Tender/SplashBidNoticeAbstractUI.aspx?menuIndex=3&amp;refID=7133037&amp;Result=3","7133037")</f>
        <v>0</v>
      </c>
      <c r="B13094" t="s">
        <v>2455</v>
      </c>
      <c r="C13094" t="s">
        <v>16258</v>
      </c>
      <c r="E13094" t="s">
        <v>30300</v>
      </c>
      <c r="F13094" t="s">
        <v>32831</v>
      </c>
      <c r="G13094" t="s">
        <v>32839</v>
      </c>
      <c r="H13094" t="s">
        <v>32849</v>
      </c>
      <c r="I13094" t="s">
        <v>4177</v>
      </c>
      <c r="J13094" t="s">
        <v>39848</v>
      </c>
      <c r="K13094" t="s">
        <v>42862</v>
      </c>
      <c r="M13094" t="s">
        <v>46916</v>
      </c>
      <c r="N13094" t="s">
        <v>47424</v>
      </c>
      <c r="O13094" t="s">
        <v>47425</v>
      </c>
      <c r="P13094">
        <v>0</v>
      </c>
      <c r="Q13094">
        <v>0</v>
      </c>
      <c r="R13094" t="s">
        <v>47441</v>
      </c>
      <c r="S13094" t="s">
        <v>48049</v>
      </c>
      <c r="T13094" t="s">
        <v>49127</v>
      </c>
      <c r="U13094" t="s">
        <v>51143</v>
      </c>
      <c r="W13094" t="s">
        <v>46916</v>
      </c>
      <c r="X13094" t="s">
        <v>47444</v>
      </c>
    </row>
    <row r="13095" spans="1:24">
      <c r="A13095">
        <f>HYPERLINK("https://www.philgeps.gov.ph/GEPSNONPILOT/Tender/SplashBidNoticeAbstractUI.aspx?menuIndex=3&amp;refID=7133001&amp;Result=3","7133001")</f>
        <v>0</v>
      </c>
      <c r="B13095" t="s">
        <v>2455</v>
      </c>
      <c r="C13095" t="s">
        <v>16259</v>
      </c>
      <c r="E13095" t="s">
        <v>30301</v>
      </c>
      <c r="F13095" t="s">
        <v>32831</v>
      </c>
      <c r="G13095" t="s">
        <v>32839</v>
      </c>
      <c r="H13095" t="s">
        <v>32848</v>
      </c>
      <c r="I13095" t="s">
        <v>7416</v>
      </c>
      <c r="J13095" t="s">
        <v>36918</v>
      </c>
      <c r="K13095" t="s">
        <v>42730</v>
      </c>
      <c r="M13095" t="s">
        <v>46916</v>
      </c>
      <c r="N13095" t="s">
        <v>47424</v>
      </c>
      <c r="O13095" t="s">
        <v>47425</v>
      </c>
      <c r="P13095">
        <v>0</v>
      </c>
      <c r="Q13095">
        <v>0</v>
      </c>
      <c r="R13095" t="s">
        <v>47441</v>
      </c>
      <c r="S13095" t="s">
        <v>48049</v>
      </c>
      <c r="T13095" t="s">
        <v>49239</v>
      </c>
      <c r="U13095" t="s">
        <v>51143</v>
      </c>
      <c r="W13095" t="s">
        <v>46916</v>
      </c>
      <c r="X13095" t="s">
        <v>47444</v>
      </c>
    </row>
    <row r="13096" spans="1:24">
      <c r="A13096">
        <f>HYPERLINK("https://www.philgeps.gov.ph/GEPSNONPILOT/Tender/SplashBidNoticeAbstractUI.aspx?menuIndex=3&amp;refID=7133004&amp;Result=3","7133004")</f>
        <v>0</v>
      </c>
      <c r="B13096" t="s">
        <v>276</v>
      </c>
      <c r="C13096" t="s">
        <v>16260</v>
      </c>
      <c r="D13096" t="s">
        <v>19043</v>
      </c>
      <c r="E13096" t="s">
        <v>30302</v>
      </c>
      <c r="F13096" t="s">
        <v>32831</v>
      </c>
      <c r="G13096" t="s">
        <v>32839</v>
      </c>
      <c r="H13096" t="s">
        <v>32848</v>
      </c>
      <c r="I13096" t="s">
        <v>32857</v>
      </c>
      <c r="J13096" t="s">
        <v>40980</v>
      </c>
      <c r="K13096" t="s">
        <v>42732</v>
      </c>
      <c r="M13096" t="s">
        <v>43275</v>
      </c>
      <c r="N13096" t="s">
        <v>47424</v>
      </c>
      <c r="O13096" t="s">
        <v>47425</v>
      </c>
      <c r="P13096">
        <v>0</v>
      </c>
      <c r="Q13096">
        <v>27</v>
      </c>
      <c r="R13096" t="s">
        <v>47441</v>
      </c>
      <c r="S13096" t="s">
        <v>48049</v>
      </c>
      <c r="T13096" t="s">
        <v>49373</v>
      </c>
      <c r="U13096" t="s">
        <v>60408</v>
      </c>
      <c r="W13096" t="s">
        <v>43275</v>
      </c>
      <c r="X13096" t="s">
        <v>47444</v>
      </c>
    </row>
    <row r="13097" spans="1:24">
      <c r="A13097">
        <f>HYPERLINK("https://www.philgeps.gov.ph/GEPSNONPILOT/Tender/SplashBidNoticeAbstractUI.aspx?menuIndex=3&amp;refID=7132967&amp;Result=3","7132967")</f>
        <v>0</v>
      </c>
      <c r="B13097" t="s">
        <v>2455</v>
      </c>
      <c r="C13097" t="s">
        <v>16261</v>
      </c>
      <c r="E13097" t="s">
        <v>30303</v>
      </c>
      <c r="F13097" t="s">
        <v>32831</v>
      </c>
      <c r="G13097" t="s">
        <v>32839</v>
      </c>
      <c r="H13097" t="s">
        <v>32848</v>
      </c>
      <c r="I13097" t="s">
        <v>7416</v>
      </c>
      <c r="J13097" t="s">
        <v>33040</v>
      </c>
      <c r="K13097" t="s">
        <v>42730</v>
      </c>
      <c r="M13097" t="s">
        <v>46916</v>
      </c>
      <c r="N13097" t="s">
        <v>47424</v>
      </c>
      <c r="O13097" t="s">
        <v>47425</v>
      </c>
      <c r="P13097">
        <v>0</v>
      </c>
      <c r="Q13097">
        <v>0</v>
      </c>
      <c r="R13097" t="s">
        <v>47441</v>
      </c>
      <c r="S13097" t="s">
        <v>48049</v>
      </c>
      <c r="T13097" t="s">
        <v>49239</v>
      </c>
      <c r="U13097" t="s">
        <v>51143</v>
      </c>
      <c r="W13097" t="s">
        <v>46916</v>
      </c>
      <c r="X13097" t="s">
        <v>47444</v>
      </c>
    </row>
    <row r="13098" spans="1:24">
      <c r="A13098">
        <f>HYPERLINK("https://www.philgeps.gov.ph/GEPSNONPILOT/Tender/SplashBidNoticeAbstractUI.aspx?menuIndex=3&amp;refID=7132975&amp;Result=3","7132975")</f>
        <v>0</v>
      </c>
      <c r="B13098" t="s">
        <v>2455</v>
      </c>
      <c r="C13098" t="s">
        <v>16262</v>
      </c>
      <c r="E13098" t="s">
        <v>30304</v>
      </c>
      <c r="F13098" t="s">
        <v>32831</v>
      </c>
      <c r="G13098" t="s">
        <v>32839</v>
      </c>
      <c r="H13098" t="s">
        <v>32848</v>
      </c>
      <c r="I13098" t="s">
        <v>7416</v>
      </c>
      <c r="J13098" t="s">
        <v>36522</v>
      </c>
      <c r="K13098" t="s">
        <v>42730</v>
      </c>
      <c r="M13098" t="s">
        <v>46916</v>
      </c>
      <c r="N13098" t="s">
        <v>47424</v>
      </c>
      <c r="O13098" t="s">
        <v>47425</v>
      </c>
      <c r="P13098">
        <v>0</v>
      </c>
      <c r="Q13098">
        <v>2</v>
      </c>
      <c r="R13098" t="s">
        <v>47441</v>
      </c>
      <c r="S13098" t="s">
        <v>48049</v>
      </c>
      <c r="T13098" t="s">
        <v>49239</v>
      </c>
      <c r="U13098" t="s">
        <v>51143</v>
      </c>
      <c r="W13098" t="s">
        <v>46916</v>
      </c>
      <c r="X13098" t="s">
        <v>47444</v>
      </c>
    </row>
    <row r="13099" spans="1:24">
      <c r="A13099">
        <f>HYPERLINK("https://www.philgeps.gov.ph/GEPSNONPILOT/Tender/SplashBidNoticeAbstractUI.aspx?menuIndex=3&amp;refID=7132926&amp;Result=3","7132926")</f>
        <v>0</v>
      </c>
      <c r="B13099" t="s">
        <v>2455</v>
      </c>
      <c r="C13099" t="s">
        <v>16263</v>
      </c>
      <c r="E13099" t="s">
        <v>30305</v>
      </c>
      <c r="F13099" t="s">
        <v>32831</v>
      </c>
      <c r="G13099" t="s">
        <v>32839</v>
      </c>
      <c r="H13099" t="s">
        <v>32848</v>
      </c>
      <c r="I13099" t="s">
        <v>7416</v>
      </c>
      <c r="J13099" t="s">
        <v>40981</v>
      </c>
      <c r="K13099" t="s">
        <v>42730</v>
      </c>
      <c r="M13099" t="s">
        <v>46916</v>
      </c>
      <c r="N13099" t="s">
        <v>47424</v>
      </c>
      <c r="O13099" t="s">
        <v>47425</v>
      </c>
      <c r="P13099">
        <v>0</v>
      </c>
      <c r="Q13099">
        <v>0</v>
      </c>
      <c r="R13099" t="s">
        <v>47441</v>
      </c>
      <c r="S13099" t="s">
        <v>48049</v>
      </c>
      <c r="T13099" t="s">
        <v>49239</v>
      </c>
      <c r="U13099" t="s">
        <v>51143</v>
      </c>
      <c r="W13099" t="s">
        <v>46916</v>
      </c>
      <c r="X13099" t="s">
        <v>47444</v>
      </c>
    </row>
    <row r="13100" spans="1:24">
      <c r="A13100">
        <f>HYPERLINK("https://www.philgeps.gov.ph/GEPSNONPILOT/Tender/SplashBidNoticeAbstractUI.aspx?menuIndex=3&amp;refID=7133527&amp;Result=3","7133527")</f>
        <v>0</v>
      </c>
      <c r="B13100" t="s">
        <v>762</v>
      </c>
      <c r="C13100" t="s">
        <v>16264</v>
      </c>
      <c r="D13100" t="s">
        <v>19054</v>
      </c>
      <c r="E13100" t="s">
        <v>30306</v>
      </c>
      <c r="F13100" t="s">
        <v>32831</v>
      </c>
      <c r="G13100" t="s">
        <v>32839</v>
      </c>
      <c r="H13100" t="s">
        <v>32849</v>
      </c>
      <c r="I13100" t="s">
        <v>4177</v>
      </c>
      <c r="J13100" t="s">
        <v>40982</v>
      </c>
      <c r="K13100" t="s">
        <v>42732</v>
      </c>
      <c r="M13100" t="s">
        <v>43788</v>
      </c>
      <c r="N13100" t="s">
        <v>47424</v>
      </c>
      <c r="O13100" t="s">
        <v>47425</v>
      </c>
      <c r="Q13100">
        <v>6</v>
      </c>
      <c r="R13100" t="s">
        <v>47441</v>
      </c>
      <c r="S13100" t="s">
        <v>48066</v>
      </c>
      <c r="T13100" t="s">
        <v>49069</v>
      </c>
      <c r="U13100" t="s">
        <v>60409</v>
      </c>
      <c r="W13100" t="s">
        <v>43788</v>
      </c>
      <c r="X13100" t="s">
        <v>47444</v>
      </c>
    </row>
    <row r="13101" spans="1:24">
      <c r="A13101">
        <f>HYPERLINK("https://www.philgeps.gov.ph/GEPSNONPILOT/Tender/SplashBidNoticeAbstractUI.aspx?menuIndex=3&amp;refID=7132984&amp;Result=3","7132984")</f>
        <v>0</v>
      </c>
      <c r="B13101" t="s">
        <v>2455</v>
      </c>
      <c r="C13101" t="s">
        <v>16265</v>
      </c>
      <c r="E13101" t="s">
        <v>30307</v>
      </c>
      <c r="F13101" t="s">
        <v>32831</v>
      </c>
      <c r="G13101" t="s">
        <v>32839</v>
      </c>
      <c r="H13101" t="s">
        <v>32848</v>
      </c>
      <c r="I13101" t="s">
        <v>7416</v>
      </c>
      <c r="J13101" t="s">
        <v>39721</v>
      </c>
      <c r="K13101" t="s">
        <v>42730</v>
      </c>
      <c r="M13101" t="s">
        <v>46916</v>
      </c>
      <c r="N13101" t="s">
        <v>47424</v>
      </c>
      <c r="O13101" t="s">
        <v>47425</v>
      </c>
      <c r="P13101">
        <v>0</v>
      </c>
      <c r="Q13101">
        <v>1</v>
      </c>
      <c r="R13101" t="s">
        <v>47441</v>
      </c>
      <c r="S13101" t="s">
        <v>48049</v>
      </c>
      <c r="T13101" t="s">
        <v>49239</v>
      </c>
      <c r="U13101" t="s">
        <v>51143</v>
      </c>
      <c r="W13101" t="s">
        <v>46916</v>
      </c>
      <c r="X13101" t="s">
        <v>47444</v>
      </c>
    </row>
    <row r="13102" spans="1:24">
      <c r="A13102">
        <f>HYPERLINK("https://www.philgeps.gov.ph/GEPSNONPILOT/Tender/SplashBidNoticeAbstractUI.aspx?menuIndex=3&amp;refID=7132538&amp;Result=3","7132538")</f>
        <v>0</v>
      </c>
      <c r="B13102" t="s">
        <v>2895</v>
      </c>
      <c r="C13102" t="s">
        <v>16266</v>
      </c>
      <c r="D13102" t="s">
        <v>19017</v>
      </c>
      <c r="E13102" t="s">
        <v>30290</v>
      </c>
      <c r="F13102" t="s">
        <v>32831</v>
      </c>
      <c r="G13102" t="s">
        <v>32841</v>
      </c>
      <c r="H13102" t="s">
        <v>32848</v>
      </c>
      <c r="I13102" t="s">
        <v>32888</v>
      </c>
      <c r="J13102" t="s">
        <v>40983</v>
      </c>
      <c r="K13102" t="s">
        <v>42727</v>
      </c>
      <c r="M13102" t="s">
        <v>47048</v>
      </c>
      <c r="N13102" t="s">
        <v>47424</v>
      </c>
      <c r="O13102" t="s">
        <v>47425</v>
      </c>
      <c r="Q13102">
        <v>0</v>
      </c>
      <c r="R13102" t="s">
        <v>47441</v>
      </c>
      <c r="S13102" t="s">
        <v>48067</v>
      </c>
      <c r="T13102" t="s">
        <v>49250</v>
      </c>
      <c r="U13102" t="s">
        <v>60395</v>
      </c>
      <c r="V13102" t="s">
        <v>50323</v>
      </c>
      <c r="W13102" t="s">
        <v>47048</v>
      </c>
      <c r="X13102" t="s">
        <v>47445</v>
      </c>
    </row>
    <row r="13103" spans="1:24">
      <c r="A13103">
        <f>HYPERLINK("https://www.philgeps.gov.ph/GEPSNONPILOT/Tender/SplashBidNoticeAbstractUI.aspx?menuIndex=3&amp;refID=7129342&amp;Result=3","7129342")</f>
        <v>0</v>
      </c>
      <c r="B13103" t="s">
        <v>3676</v>
      </c>
      <c r="C13103" t="s">
        <v>16267</v>
      </c>
      <c r="D13103" t="s">
        <v>19093</v>
      </c>
      <c r="E13103" t="s">
        <v>30308</v>
      </c>
      <c r="F13103" t="s">
        <v>32831</v>
      </c>
      <c r="G13103" t="s">
        <v>32839</v>
      </c>
      <c r="H13103" t="s">
        <v>32848</v>
      </c>
      <c r="I13103" t="s">
        <v>4558</v>
      </c>
      <c r="J13103" t="s">
        <v>33087</v>
      </c>
      <c r="K13103" t="s">
        <v>42745</v>
      </c>
      <c r="M13103" t="s">
        <v>47053</v>
      </c>
      <c r="N13103" t="s">
        <v>47424</v>
      </c>
      <c r="O13103" t="s">
        <v>47425</v>
      </c>
      <c r="P13103">
        <v>0</v>
      </c>
      <c r="Q13103">
        <v>1</v>
      </c>
      <c r="R13103" t="s">
        <v>47441</v>
      </c>
      <c r="S13103" t="s">
        <v>48049</v>
      </c>
      <c r="T13103" t="s">
        <v>49441</v>
      </c>
      <c r="U13103" t="s">
        <v>60410</v>
      </c>
      <c r="W13103" t="s">
        <v>47053</v>
      </c>
      <c r="X13103" t="s">
        <v>47446</v>
      </c>
    </row>
    <row r="13104" spans="1:24">
      <c r="A13104">
        <f>HYPERLINK("https://www.philgeps.gov.ph/GEPSNONPILOT/Tender/SplashBidNoticeAbstractUI.aspx?menuIndex=3&amp;refID=7132993&amp;Result=3","7132993")</f>
        <v>0</v>
      </c>
      <c r="B13104" t="s">
        <v>2455</v>
      </c>
      <c r="C13104" t="s">
        <v>16268</v>
      </c>
      <c r="E13104" t="s">
        <v>30309</v>
      </c>
      <c r="F13104" t="s">
        <v>32831</v>
      </c>
      <c r="G13104" t="s">
        <v>32839</v>
      </c>
      <c r="H13104" t="s">
        <v>32848</v>
      </c>
      <c r="I13104" t="s">
        <v>7416</v>
      </c>
      <c r="J13104" t="s">
        <v>40984</v>
      </c>
      <c r="K13104" t="s">
        <v>42730</v>
      </c>
      <c r="M13104" t="s">
        <v>46916</v>
      </c>
      <c r="N13104" t="s">
        <v>47424</v>
      </c>
      <c r="O13104" t="s">
        <v>47425</v>
      </c>
      <c r="P13104">
        <v>0</v>
      </c>
      <c r="Q13104">
        <v>1</v>
      </c>
      <c r="R13104" t="s">
        <v>47441</v>
      </c>
      <c r="S13104" t="s">
        <v>48049</v>
      </c>
      <c r="T13104" t="s">
        <v>49239</v>
      </c>
      <c r="U13104" t="s">
        <v>51143</v>
      </c>
      <c r="W13104" t="s">
        <v>46916</v>
      </c>
      <c r="X13104" t="s">
        <v>47444</v>
      </c>
    </row>
    <row r="13105" spans="1:24">
      <c r="A13105">
        <f>HYPERLINK("https://www.philgeps.gov.ph/GEPSNONPILOT/Tender/SplashBidNoticeAbstractUI.aspx?menuIndex=3&amp;refID=7133449&amp;Result=3","7133449")</f>
        <v>0</v>
      </c>
      <c r="B13105" t="s">
        <v>3677</v>
      </c>
      <c r="C13105" t="s">
        <v>16269</v>
      </c>
      <c r="D13105" t="s">
        <v>19027</v>
      </c>
      <c r="E13105" t="s">
        <v>30310</v>
      </c>
      <c r="F13105" t="s">
        <v>32831</v>
      </c>
      <c r="G13105" t="s">
        <v>32839</v>
      </c>
      <c r="H13105" t="s">
        <v>32848</v>
      </c>
      <c r="I13105" t="s">
        <v>32883</v>
      </c>
      <c r="J13105" t="s">
        <v>34447</v>
      </c>
      <c r="K13105" t="s">
        <v>42745</v>
      </c>
      <c r="M13105" t="s">
        <v>47054</v>
      </c>
      <c r="N13105" t="s">
        <v>47424</v>
      </c>
      <c r="O13105" t="s">
        <v>47425</v>
      </c>
      <c r="Q13105">
        <v>3</v>
      </c>
      <c r="R13105" t="s">
        <v>47441</v>
      </c>
      <c r="S13105" t="s">
        <v>48068</v>
      </c>
      <c r="T13105" t="s">
        <v>49626</v>
      </c>
      <c r="U13105" t="s">
        <v>60411</v>
      </c>
      <c r="W13105" t="s">
        <v>47054</v>
      </c>
      <c r="X13105" t="s">
        <v>47444</v>
      </c>
    </row>
    <row r="13106" spans="1:24">
      <c r="A13106">
        <f>HYPERLINK("https://www.philgeps.gov.ph/GEPSNONPILOT/Tender/SplashBidNoticeAbstractUI.aspx?menuIndex=3&amp;refID=7133485&amp;Result=3","7133485")</f>
        <v>0</v>
      </c>
      <c r="B13106" t="s">
        <v>3182</v>
      </c>
      <c r="C13106" t="s">
        <v>16270</v>
      </c>
      <c r="D13106" t="s">
        <v>19057</v>
      </c>
      <c r="E13106" t="s">
        <v>30311</v>
      </c>
      <c r="F13106" t="s">
        <v>32831</v>
      </c>
      <c r="G13106" t="s">
        <v>32839</v>
      </c>
      <c r="H13106" t="s">
        <v>32848</v>
      </c>
      <c r="I13106" t="s">
        <v>4177</v>
      </c>
      <c r="J13106" t="s">
        <v>40985</v>
      </c>
      <c r="K13106" t="s">
        <v>42773</v>
      </c>
      <c r="M13106" t="s">
        <v>46490</v>
      </c>
      <c r="N13106" t="s">
        <v>47424</v>
      </c>
      <c r="O13106" t="s">
        <v>47425</v>
      </c>
      <c r="P13106">
        <v>0</v>
      </c>
      <c r="Q13106">
        <v>0</v>
      </c>
      <c r="R13106" t="s">
        <v>47441</v>
      </c>
      <c r="S13106" t="s">
        <v>48049</v>
      </c>
      <c r="T13106" t="s">
        <v>49152</v>
      </c>
      <c r="U13106" t="s">
        <v>58177</v>
      </c>
      <c r="W13106" t="s">
        <v>46490</v>
      </c>
      <c r="X13106" t="s">
        <v>47444</v>
      </c>
    </row>
    <row r="13107" spans="1:24">
      <c r="A13107">
        <f>HYPERLINK("https://www.philgeps.gov.ph/GEPSNONPILOT/Tender/SplashBidNoticeAbstractUI.aspx?menuIndex=3&amp;refID=7133462&amp;Result=3","7133462")</f>
        <v>0</v>
      </c>
      <c r="B13107" t="s">
        <v>3182</v>
      </c>
      <c r="C13107" t="s">
        <v>16271</v>
      </c>
      <c r="D13107" t="s">
        <v>19057</v>
      </c>
      <c r="E13107" t="s">
        <v>30312</v>
      </c>
      <c r="F13107" t="s">
        <v>32831</v>
      </c>
      <c r="G13107" t="s">
        <v>32839</v>
      </c>
      <c r="H13107" t="s">
        <v>32848</v>
      </c>
      <c r="I13107" t="s">
        <v>4177</v>
      </c>
      <c r="J13107" t="s">
        <v>40986</v>
      </c>
      <c r="K13107" t="s">
        <v>42729</v>
      </c>
      <c r="M13107" t="s">
        <v>46490</v>
      </c>
      <c r="N13107" t="s">
        <v>47424</v>
      </c>
      <c r="O13107" t="s">
        <v>47425</v>
      </c>
      <c r="P13107">
        <v>0</v>
      </c>
      <c r="Q13107">
        <v>0</v>
      </c>
      <c r="R13107" t="s">
        <v>47441</v>
      </c>
      <c r="S13107" t="s">
        <v>48049</v>
      </c>
      <c r="T13107" t="s">
        <v>49152</v>
      </c>
      <c r="U13107" t="s">
        <v>58177</v>
      </c>
      <c r="W13107" t="s">
        <v>46490</v>
      </c>
      <c r="X13107" t="s">
        <v>47444</v>
      </c>
    </row>
    <row r="13108" spans="1:24">
      <c r="A13108">
        <f>HYPERLINK("https://www.philgeps.gov.ph/GEPSNONPILOT/Tender/SplashBidNoticeAbstractUI.aspx?menuIndex=3&amp;refID=7133446&amp;Result=3","7133446")</f>
        <v>0</v>
      </c>
      <c r="B13108" t="s">
        <v>3182</v>
      </c>
      <c r="C13108" t="s">
        <v>16272</v>
      </c>
      <c r="D13108" t="s">
        <v>19057</v>
      </c>
      <c r="E13108" t="s">
        <v>30313</v>
      </c>
      <c r="F13108" t="s">
        <v>32831</v>
      </c>
      <c r="G13108" t="s">
        <v>32839</v>
      </c>
      <c r="H13108" t="s">
        <v>32848</v>
      </c>
      <c r="I13108" t="s">
        <v>4177</v>
      </c>
      <c r="J13108" t="s">
        <v>40987</v>
      </c>
      <c r="K13108" t="s">
        <v>42747</v>
      </c>
      <c r="M13108" t="s">
        <v>46490</v>
      </c>
      <c r="N13108" t="s">
        <v>47424</v>
      </c>
      <c r="O13108" t="s">
        <v>47425</v>
      </c>
      <c r="P13108">
        <v>0</v>
      </c>
      <c r="Q13108">
        <v>0</v>
      </c>
      <c r="R13108" t="s">
        <v>47441</v>
      </c>
      <c r="S13108" t="s">
        <v>48049</v>
      </c>
      <c r="T13108" t="s">
        <v>49152</v>
      </c>
      <c r="U13108" t="s">
        <v>58177</v>
      </c>
      <c r="W13108" t="s">
        <v>46490</v>
      </c>
      <c r="X13108" t="s">
        <v>47444</v>
      </c>
    </row>
    <row r="13109" spans="1:24">
      <c r="A13109">
        <f>HYPERLINK("https://www.philgeps.gov.ph/GEPSNONPILOT/Tender/SplashBidNoticeAbstractUI.aspx?menuIndex=3&amp;refID=7133474&amp;Result=3","7133474")</f>
        <v>0</v>
      </c>
      <c r="B13109" t="s">
        <v>1656</v>
      </c>
      <c r="C13109" t="s">
        <v>16156</v>
      </c>
      <c r="D13109" t="s">
        <v>19078</v>
      </c>
      <c r="E13109" t="s">
        <v>30314</v>
      </c>
      <c r="F13109" t="s">
        <v>32831</v>
      </c>
      <c r="G13109" t="s">
        <v>32839</v>
      </c>
      <c r="H13109" t="s">
        <v>32848</v>
      </c>
      <c r="I13109" t="s">
        <v>7751</v>
      </c>
      <c r="J13109" t="s">
        <v>33297</v>
      </c>
      <c r="K13109" t="s">
        <v>42763</v>
      </c>
      <c r="M13109" t="s">
        <v>44773</v>
      </c>
      <c r="N13109" t="s">
        <v>47424</v>
      </c>
      <c r="O13109" t="s">
        <v>47425</v>
      </c>
      <c r="Q13109">
        <v>11</v>
      </c>
      <c r="R13109" t="s">
        <v>47441</v>
      </c>
      <c r="S13109" t="s">
        <v>47622</v>
      </c>
      <c r="T13109" t="s">
        <v>49066</v>
      </c>
      <c r="U13109" t="s">
        <v>60412</v>
      </c>
      <c r="W13109" t="s">
        <v>44773</v>
      </c>
      <c r="X13109" t="s">
        <v>47444</v>
      </c>
    </row>
    <row r="13110" spans="1:24">
      <c r="A13110">
        <f>HYPERLINK("https://www.philgeps.gov.ph/GEPSNONPILOT/Tender/SplashBidNoticeAbstractUI.aspx?menuIndex=3&amp;refID=7133513&amp;Result=3","7133513")</f>
        <v>0</v>
      </c>
      <c r="B13110" t="s">
        <v>3182</v>
      </c>
      <c r="C13110" t="s">
        <v>16273</v>
      </c>
      <c r="D13110" t="s">
        <v>19057</v>
      </c>
      <c r="E13110" t="s">
        <v>30315</v>
      </c>
      <c r="F13110" t="s">
        <v>32831</v>
      </c>
      <c r="G13110" t="s">
        <v>32839</v>
      </c>
      <c r="H13110" t="s">
        <v>32848</v>
      </c>
      <c r="I13110" t="s">
        <v>4177</v>
      </c>
      <c r="J13110" t="s">
        <v>40988</v>
      </c>
      <c r="K13110" t="s">
        <v>42729</v>
      </c>
      <c r="M13110" t="s">
        <v>46490</v>
      </c>
      <c r="N13110" t="s">
        <v>47424</v>
      </c>
      <c r="O13110" t="s">
        <v>47425</v>
      </c>
      <c r="P13110">
        <v>0</v>
      </c>
      <c r="Q13110">
        <v>0</v>
      </c>
      <c r="R13110" t="s">
        <v>47441</v>
      </c>
      <c r="S13110" t="s">
        <v>48049</v>
      </c>
      <c r="T13110" t="s">
        <v>49152</v>
      </c>
      <c r="U13110" t="s">
        <v>58177</v>
      </c>
      <c r="W13110" t="s">
        <v>46490</v>
      </c>
      <c r="X13110" t="s">
        <v>47444</v>
      </c>
    </row>
    <row r="13111" spans="1:24">
      <c r="A13111">
        <f>HYPERLINK("https://www.philgeps.gov.ph/GEPSNONPILOT/Tender/SplashBidNoticeAbstractUI.aspx?menuIndex=3&amp;refID=7133428&amp;Result=3","7133428")</f>
        <v>0</v>
      </c>
      <c r="B13111" t="s">
        <v>3182</v>
      </c>
      <c r="C13111" t="s">
        <v>16274</v>
      </c>
      <c r="D13111" t="s">
        <v>19057</v>
      </c>
      <c r="E13111" t="s">
        <v>30316</v>
      </c>
      <c r="F13111" t="s">
        <v>32831</v>
      </c>
      <c r="G13111" t="s">
        <v>32839</v>
      </c>
      <c r="H13111" t="s">
        <v>32848</v>
      </c>
      <c r="I13111" t="s">
        <v>4177</v>
      </c>
      <c r="J13111" t="s">
        <v>40989</v>
      </c>
      <c r="K13111" t="s">
        <v>42746</v>
      </c>
      <c r="M13111" t="s">
        <v>46490</v>
      </c>
      <c r="N13111" t="s">
        <v>47424</v>
      </c>
      <c r="O13111" t="s">
        <v>47425</v>
      </c>
      <c r="P13111">
        <v>0</v>
      </c>
      <c r="Q13111">
        <v>0</v>
      </c>
      <c r="R13111" t="s">
        <v>47441</v>
      </c>
      <c r="S13111" t="s">
        <v>48049</v>
      </c>
      <c r="T13111" t="s">
        <v>49152</v>
      </c>
      <c r="U13111" t="s">
        <v>58177</v>
      </c>
      <c r="W13111" t="s">
        <v>46490</v>
      </c>
      <c r="X13111" t="s">
        <v>47444</v>
      </c>
    </row>
    <row r="13112" spans="1:24">
      <c r="A13112">
        <f>HYPERLINK("https://www.philgeps.gov.ph/GEPSNONPILOT/Tender/SplashBidNoticeAbstractUI.aspx?menuIndex=3&amp;refID=7133395&amp;Result=3","7133395")</f>
        <v>0</v>
      </c>
      <c r="B13112" t="s">
        <v>762</v>
      </c>
      <c r="C13112" t="s">
        <v>16275</v>
      </c>
      <c r="D13112" t="s">
        <v>19054</v>
      </c>
      <c r="E13112" t="s">
        <v>30317</v>
      </c>
      <c r="F13112" t="s">
        <v>32831</v>
      </c>
      <c r="G13112" t="s">
        <v>32839</v>
      </c>
      <c r="H13112" t="s">
        <v>32849</v>
      </c>
      <c r="I13112" t="s">
        <v>4177</v>
      </c>
      <c r="J13112" t="s">
        <v>37878</v>
      </c>
      <c r="K13112" t="s">
        <v>42732</v>
      </c>
      <c r="M13112" t="s">
        <v>43788</v>
      </c>
      <c r="N13112" t="s">
        <v>47424</v>
      </c>
      <c r="O13112" t="s">
        <v>47425</v>
      </c>
      <c r="Q13112">
        <v>5</v>
      </c>
      <c r="R13112" t="s">
        <v>47441</v>
      </c>
      <c r="S13112" t="s">
        <v>48069</v>
      </c>
      <c r="T13112" t="s">
        <v>49069</v>
      </c>
      <c r="U13112" t="s">
        <v>60413</v>
      </c>
      <c r="W13112" t="s">
        <v>43788</v>
      </c>
      <c r="X13112" t="s">
        <v>47444</v>
      </c>
    </row>
    <row r="13113" spans="1:24">
      <c r="A13113">
        <f>HYPERLINK("https://www.philgeps.gov.ph/GEPSNONPILOT/Tender/SplashBidNoticeAbstractUI.aspx?menuIndex=3&amp;refID=7133355&amp;Result=3","7133355")</f>
        <v>0</v>
      </c>
      <c r="B13113" t="s">
        <v>3671</v>
      </c>
      <c r="C13113" t="s">
        <v>16276</v>
      </c>
      <c r="D13113" t="s">
        <v>19059</v>
      </c>
      <c r="E13113" t="s">
        <v>30318</v>
      </c>
      <c r="F13113" t="s">
        <v>32831</v>
      </c>
      <c r="G13113" t="s">
        <v>32839</v>
      </c>
      <c r="H13113" t="s">
        <v>32849</v>
      </c>
      <c r="I13113" t="s">
        <v>4177</v>
      </c>
      <c r="J13113" t="s">
        <v>32985</v>
      </c>
      <c r="K13113" t="s">
        <v>42730</v>
      </c>
      <c r="M13113" t="s">
        <v>47044</v>
      </c>
      <c r="N13113" t="s">
        <v>47424</v>
      </c>
      <c r="O13113" t="s">
        <v>47425</v>
      </c>
      <c r="P13113">
        <v>0</v>
      </c>
      <c r="Q13113">
        <v>22</v>
      </c>
      <c r="R13113" t="s">
        <v>47441</v>
      </c>
      <c r="S13113" t="s">
        <v>48049</v>
      </c>
      <c r="T13113" t="s">
        <v>49069</v>
      </c>
      <c r="U13113" t="s">
        <v>60414</v>
      </c>
      <c r="V13113" t="s">
        <v>62714</v>
      </c>
      <c r="W13113" t="s">
        <v>47044</v>
      </c>
      <c r="X13113" t="s">
        <v>47444</v>
      </c>
    </row>
    <row r="13114" spans="1:24">
      <c r="A13114">
        <f>HYPERLINK("https://www.philgeps.gov.ph/GEPSNONPILOT/Tender/SplashBidNoticeAbstractUI.aspx?menuIndex=3&amp;refID=7133352&amp;Result=3","7133352")</f>
        <v>0</v>
      </c>
      <c r="B13114" t="s">
        <v>762</v>
      </c>
      <c r="C13114" t="s">
        <v>16277</v>
      </c>
      <c r="D13114" t="s">
        <v>19049</v>
      </c>
      <c r="E13114" t="s">
        <v>30319</v>
      </c>
      <c r="F13114" t="s">
        <v>32831</v>
      </c>
      <c r="G13114" t="s">
        <v>32839</v>
      </c>
      <c r="H13114" t="s">
        <v>32849</v>
      </c>
      <c r="I13114" t="s">
        <v>4177</v>
      </c>
      <c r="J13114" t="s">
        <v>37878</v>
      </c>
      <c r="K13114" t="s">
        <v>42732</v>
      </c>
      <c r="M13114" t="s">
        <v>43788</v>
      </c>
      <c r="N13114" t="s">
        <v>47424</v>
      </c>
      <c r="O13114" t="s">
        <v>47425</v>
      </c>
      <c r="Q13114">
        <v>7</v>
      </c>
      <c r="R13114" t="s">
        <v>47441</v>
      </c>
      <c r="S13114" t="s">
        <v>48010</v>
      </c>
      <c r="T13114" t="s">
        <v>49069</v>
      </c>
      <c r="U13114" t="s">
        <v>60415</v>
      </c>
      <c r="W13114" t="s">
        <v>43788</v>
      </c>
      <c r="X13114" t="s">
        <v>47444</v>
      </c>
    </row>
    <row r="13115" spans="1:24">
      <c r="A13115">
        <f>HYPERLINK("https://www.philgeps.gov.ph/GEPSNONPILOT/Tender/SplashBidNoticeAbstractUI.aspx?menuIndex=3&amp;refID=7133300&amp;Result=3","7133300")</f>
        <v>0</v>
      </c>
      <c r="B13115" t="s">
        <v>762</v>
      </c>
      <c r="C13115" t="s">
        <v>16278</v>
      </c>
      <c r="D13115" t="s">
        <v>19049</v>
      </c>
      <c r="E13115" t="s">
        <v>30320</v>
      </c>
      <c r="F13115" t="s">
        <v>32831</v>
      </c>
      <c r="G13115" t="s">
        <v>32839</v>
      </c>
      <c r="H13115" t="s">
        <v>32849</v>
      </c>
      <c r="I13115" t="s">
        <v>4177</v>
      </c>
      <c r="J13115" t="s">
        <v>37878</v>
      </c>
      <c r="K13115" t="s">
        <v>42732</v>
      </c>
      <c r="M13115" t="s">
        <v>43788</v>
      </c>
      <c r="N13115" t="s">
        <v>47424</v>
      </c>
      <c r="O13115" t="s">
        <v>47425</v>
      </c>
      <c r="Q13115">
        <v>9</v>
      </c>
      <c r="R13115" t="s">
        <v>47441</v>
      </c>
      <c r="S13115" t="s">
        <v>48070</v>
      </c>
      <c r="T13115" t="s">
        <v>49069</v>
      </c>
      <c r="U13115" t="s">
        <v>60416</v>
      </c>
      <c r="W13115" t="s">
        <v>43788</v>
      </c>
      <c r="X13115" t="s">
        <v>47444</v>
      </c>
    </row>
    <row r="13116" spans="1:24">
      <c r="A13116">
        <f>HYPERLINK("https://www.philgeps.gov.ph/GEPSNONPILOT/Tender/SplashBidNoticeAbstractUI.aspx?menuIndex=3&amp;refID=7133479&amp;Result=3","7133479")</f>
        <v>0</v>
      </c>
      <c r="B13116" t="s">
        <v>762</v>
      </c>
      <c r="C13116" t="s">
        <v>16279</v>
      </c>
      <c r="D13116" t="s">
        <v>19054</v>
      </c>
      <c r="E13116" t="s">
        <v>30321</v>
      </c>
      <c r="F13116" t="s">
        <v>32831</v>
      </c>
      <c r="G13116" t="s">
        <v>32839</v>
      </c>
      <c r="H13116" t="s">
        <v>32849</v>
      </c>
      <c r="I13116" t="s">
        <v>4177</v>
      </c>
      <c r="J13116" t="s">
        <v>37878</v>
      </c>
      <c r="K13116" t="s">
        <v>42732</v>
      </c>
      <c r="M13116" t="s">
        <v>43788</v>
      </c>
      <c r="N13116" t="s">
        <v>47424</v>
      </c>
      <c r="O13116" t="s">
        <v>47425</v>
      </c>
      <c r="Q13116">
        <v>8</v>
      </c>
      <c r="R13116" t="s">
        <v>47441</v>
      </c>
      <c r="S13116" t="s">
        <v>48071</v>
      </c>
      <c r="T13116" t="s">
        <v>49069</v>
      </c>
      <c r="U13116" t="s">
        <v>60417</v>
      </c>
      <c r="W13116" t="s">
        <v>43788</v>
      </c>
      <c r="X13116" t="s">
        <v>47444</v>
      </c>
    </row>
    <row r="13117" spans="1:24">
      <c r="A13117">
        <f>HYPERLINK("https://www.philgeps.gov.ph/GEPSNONPILOT/Tender/SplashBidNoticeAbstractUI.aspx?menuIndex=3&amp;refID=7133499&amp;Result=3","7133499")</f>
        <v>0</v>
      </c>
      <c r="B13117" t="s">
        <v>3182</v>
      </c>
      <c r="C13117" t="s">
        <v>16280</v>
      </c>
      <c r="D13117" t="s">
        <v>19057</v>
      </c>
      <c r="E13117" t="s">
        <v>30322</v>
      </c>
      <c r="F13117" t="s">
        <v>32831</v>
      </c>
      <c r="G13117" t="s">
        <v>32839</v>
      </c>
      <c r="H13117" t="s">
        <v>32848</v>
      </c>
      <c r="I13117" t="s">
        <v>4177</v>
      </c>
      <c r="J13117" t="s">
        <v>40990</v>
      </c>
      <c r="K13117" t="s">
        <v>42729</v>
      </c>
      <c r="M13117" t="s">
        <v>46490</v>
      </c>
      <c r="N13117" t="s">
        <v>47424</v>
      </c>
      <c r="O13117" t="s">
        <v>47425</v>
      </c>
      <c r="P13117">
        <v>0</v>
      </c>
      <c r="Q13117">
        <v>1</v>
      </c>
      <c r="R13117" t="s">
        <v>47441</v>
      </c>
      <c r="S13117" t="s">
        <v>48049</v>
      </c>
      <c r="T13117" t="s">
        <v>49152</v>
      </c>
      <c r="U13117" t="s">
        <v>58177</v>
      </c>
      <c r="W13117" t="s">
        <v>46490</v>
      </c>
      <c r="X13117" t="s">
        <v>47444</v>
      </c>
    </row>
    <row r="13118" spans="1:24">
      <c r="A13118">
        <f>HYPERLINK("https://www.philgeps.gov.ph/GEPSNONPILOT/Tender/SplashBidNoticeAbstractUI.aspx?menuIndex=3&amp;refID=7133279&amp;Result=3","7133279")</f>
        <v>0</v>
      </c>
      <c r="B13118" t="s">
        <v>762</v>
      </c>
      <c r="C13118" t="s">
        <v>16281</v>
      </c>
      <c r="D13118" t="s">
        <v>19054</v>
      </c>
      <c r="E13118" t="s">
        <v>30323</v>
      </c>
      <c r="F13118" t="s">
        <v>32831</v>
      </c>
      <c r="G13118" t="s">
        <v>32839</v>
      </c>
      <c r="H13118" t="s">
        <v>32849</v>
      </c>
      <c r="I13118" t="s">
        <v>4177</v>
      </c>
      <c r="J13118" t="s">
        <v>37878</v>
      </c>
      <c r="K13118" t="s">
        <v>42732</v>
      </c>
      <c r="M13118" t="s">
        <v>43788</v>
      </c>
      <c r="N13118" t="s">
        <v>47424</v>
      </c>
      <c r="O13118" t="s">
        <v>47425</v>
      </c>
      <c r="Q13118">
        <v>2</v>
      </c>
      <c r="R13118" t="s">
        <v>47441</v>
      </c>
      <c r="S13118" t="s">
        <v>48072</v>
      </c>
      <c r="T13118" t="s">
        <v>49069</v>
      </c>
      <c r="U13118" t="s">
        <v>60418</v>
      </c>
      <c r="W13118" t="s">
        <v>43788</v>
      </c>
      <c r="X13118" t="s">
        <v>47444</v>
      </c>
    </row>
    <row r="13119" spans="1:24">
      <c r="A13119">
        <f>HYPERLINK("https://www.philgeps.gov.ph/GEPSNONPILOT/Tender/SplashBidNoticeAbstractUI.aspx?menuIndex=3&amp;refID=7133209&amp;Result=3","7133209")</f>
        <v>0</v>
      </c>
      <c r="B13119" t="s">
        <v>762</v>
      </c>
      <c r="C13119" t="s">
        <v>16282</v>
      </c>
      <c r="D13119" t="s">
        <v>19049</v>
      </c>
      <c r="E13119" t="s">
        <v>30324</v>
      </c>
      <c r="F13119" t="s">
        <v>32831</v>
      </c>
      <c r="G13119" t="s">
        <v>32839</v>
      </c>
      <c r="H13119" t="s">
        <v>32849</v>
      </c>
      <c r="I13119" t="s">
        <v>4177</v>
      </c>
      <c r="J13119" t="s">
        <v>40991</v>
      </c>
      <c r="K13119" t="s">
        <v>42732</v>
      </c>
      <c r="M13119" t="s">
        <v>43788</v>
      </c>
      <c r="N13119" t="s">
        <v>47424</v>
      </c>
      <c r="O13119" t="s">
        <v>47425</v>
      </c>
      <c r="Q13119">
        <v>20</v>
      </c>
      <c r="R13119" t="s">
        <v>47441</v>
      </c>
      <c r="S13119" t="s">
        <v>48073</v>
      </c>
      <c r="T13119" t="s">
        <v>49069</v>
      </c>
      <c r="U13119" t="s">
        <v>60419</v>
      </c>
      <c r="W13119" t="s">
        <v>43788</v>
      </c>
      <c r="X13119" t="s">
        <v>47444</v>
      </c>
    </row>
    <row r="13120" spans="1:24">
      <c r="A13120">
        <f>HYPERLINK("https://www.philgeps.gov.ph/GEPSNONPILOT/Tender/SplashBidNoticeAbstractUI.aspx?menuIndex=3&amp;refID=7133323&amp;Result=3","7133323")</f>
        <v>0</v>
      </c>
      <c r="B13120" t="s">
        <v>762</v>
      </c>
      <c r="C13120" t="s">
        <v>16283</v>
      </c>
      <c r="E13120" t="s">
        <v>30325</v>
      </c>
      <c r="F13120" t="s">
        <v>32831</v>
      </c>
      <c r="G13120" t="s">
        <v>32839</v>
      </c>
      <c r="H13120" t="s">
        <v>32849</v>
      </c>
      <c r="I13120" t="s">
        <v>4177</v>
      </c>
      <c r="J13120" t="s">
        <v>37878</v>
      </c>
      <c r="K13120" t="s">
        <v>42732</v>
      </c>
      <c r="M13120" t="s">
        <v>43788</v>
      </c>
      <c r="N13120" t="s">
        <v>47424</v>
      </c>
      <c r="O13120" t="s">
        <v>47425</v>
      </c>
      <c r="Q13120">
        <v>7</v>
      </c>
      <c r="R13120" t="s">
        <v>47441</v>
      </c>
      <c r="S13120" t="s">
        <v>47834</v>
      </c>
      <c r="T13120" t="s">
        <v>49069</v>
      </c>
      <c r="U13120" t="s">
        <v>60420</v>
      </c>
      <c r="W13120" t="s">
        <v>43788</v>
      </c>
      <c r="X13120" t="s">
        <v>47444</v>
      </c>
    </row>
    <row r="13121" spans="1:24">
      <c r="A13121">
        <f>HYPERLINK("https://www.philgeps.gov.ph/GEPSNONPILOT/Tender/SplashBidNoticeAbstractUI.aspx?menuIndex=3&amp;refID=7132917&amp;Result=3","7132917")</f>
        <v>0</v>
      </c>
      <c r="B13121" t="s">
        <v>2455</v>
      </c>
      <c r="C13121" t="s">
        <v>16284</v>
      </c>
      <c r="E13121" t="s">
        <v>30326</v>
      </c>
      <c r="F13121" t="s">
        <v>32831</v>
      </c>
      <c r="G13121" t="s">
        <v>32839</v>
      </c>
      <c r="H13121" t="s">
        <v>32848</v>
      </c>
      <c r="I13121" t="s">
        <v>7416</v>
      </c>
      <c r="J13121" t="s">
        <v>36081</v>
      </c>
      <c r="K13121" t="s">
        <v>42730</v>
      </c>
      <c r="M13121" t="s">
        <v>46916</v>
      </c>
      <c r="N13121" t="s">
        <v>47424</v>
      </c>
      <c r="O13121" t="s">
        <v>47425</v>
      </c>
      <c r="P13121">
        <v>0</v>
      </c>
      <c r="Q13121">
        <v>0</v>
      </c>
      <c r="R13121" t="s">
        <v>47441</v>
      </c>
      <c r="S13121" t="s">
        <v>48049</v>
      </c>
      <c r="T13121" t="s">
        <v>49239</v>
      </c>
      <c r="U13121" t="s">
        <v>51143</v>
      </c>
      <c r="W13121" t="s">
        <v>46916</v>
      </c>
      <c r="X13121" t="s">
        <v>47444</v>
      </c>
    </row>
    <row r="13122" spans="1:24">
      <c r="A13122">
        <f>HYPERLINK("https://www.philgeps.gov.ph/GEPSNONPILOT/Tender/SplashBidNoticeAbstractUI.aspx?menuIndex=3&amp;refID=7132851&amp;Result=3","7132851")</f>
        <v>0</v>
      </c>
      <c r="B13122" t="s">
        <v>1180</v>
      </c>
      <c r="C13122" t="s">
        <v>16285</v>
      </c>
      <c r="D13122" t="s">
        <v>19035</v>
      </c>
      <c r="E13122" t="s">
        <v>30327</v>
      </c>
      <c r="F13122" t="s">
        <v>32831</v>
      </c>
      <c r="G13122" t="s">
        <v>32839</v>
      </c>
      <c r="H13122" t="s">
        <v>32849</v>
      </c>
      <c r="I13122" t="s">
        <v>4177</v>
      </c>
      <c r="J13122" t="s">
        <v>37081</v>
      </c>
      <c r="K13122" t="s">
        <v>42747</v>
      </c>
      <c r="M13122" t="s">
        <v>47055</v>
      </c>
      <c r="N13122" t="s">
        <v>47424</v>
      </c>
      <c r="O13122" t="s">
        <v>47425</v>
      </c>
      <c r="P13122">
        <v>0</v>
      </c>
      <c r="Q13122">
        <v>3</v>
      </c>
      <c r="R13122" t="s">
        <v>47441</v>
      </c>
      <c r="S13122" t="s">
        <v>48049</v>
      </c>
      <c r="T13122" t="s">
        <v>49080</v>
      </c>
      <c r="U13122" t="s">
        <v>50361</v>
      </c>
      <c r="W13122" t="s">
        <v>47055</v>
      </c>
      <c r="X13122" t="s">
        <v>47444</v>
      </c>
    </row>
    <row r="13123" spans="1:24">
      <c r="A13123">
        <f>HYPERLINK("https://www.philgeps.gov.ph/GEPSNONPILOT/Tender/SplashBidNoticeAbstractUI.aspx?menuIndex=3&amp;refID=7132616&amp;Result=3","7132616")</f>
        <v>0</v>
      </c>
      <c r="B13123" t="s">
        <v>2895</v>
      </c>
      <c r="C13123" t="s">
        <v>16286</v>
      </c>
      <c r="D13123" t="s">
        <v>19017</v>
      </c>
      <c r="E13123" t="s">
        <v>30290</v>
      </c>
      <c r="F13123" t="s">
        <v>32831</v>
      </c>
      <c r="G13123" t="s">
        <v>32841</v>
      </c>
      <c r="H13123" t="s">
        <v>32848</v>
      </c>
      <c r="I13123" t="s">
        <v>32888</v>
      </c>
      <c r="J13123" t="s">
        <v>40992</v>
      </c>
      <c r="K13123" t="s">
        <v>42727</v>
      </c>
      <c r="M13123" t="s">
        <v>47048</v>
      </c>
      <c r="N13123" t="s">
        <v>47424</v>
      </c>
      <c r="O13123" t="s">
        <v>47425</v>
      </c>
      <c r="Q13123">
        <v>1</v>
      </c>
      <c r="R13123" t="s">
        <v>47441</v>
      </c>
      <c r="S13123" t="s">
        <v>48074</v>
      </c>
      <c r="T13123" t="s">
        <v>49250</v>
      </c>
      <c r="U13123" t="s">
        <v>60396</v>
      </c>
      <c r="V13123" t="s">
        <v>50323</v>
      </c>
      <c r="W13123" t="s">
        <v>47048</v>
      </c>
      <c r="X13123" t="s">
        <v>47445</v>
      </c>
    </row>
    <row r="13124" spans="1:24">
      <c r="A13124">
        <f>HYPERLINK("https://www.philgeps.gov.ph/GEPSNONPILOT/Tender/SplashBidNoticeAbstractUI.aspx?menuIndex=3&amp;refID=7133442&amp;Result=3","7133442")</f>
        <v>0</v>
      </c>
      <c r="B13124" t="s">
        <v>762</v>
      </c>
      <c r="C13124" t="s">
        <v>16287</v>
      </c>
      <c r="D13124" t="s">
        <v>19054</v>
      </c>
      <c r="E13124" t="s">
        <v>30328</v>
      </c>
      <c r="F13124" t="s">
        <v>32831</v>
      </c>
      <c r="G13124" t="s">
        <v>32839</v>
      </c>
      <c r="H13124" t="s">
        <v>32849</v>
      </c>
      <c r="I13124" t="s">
        <v>4177</v>
      </c>
      <c r="J13124" t="s">
        <v>33445</v>
      </c>
      <c r="K13124" t="s">
        <v>42732</v>
      </c>
      <c r="M13124" t="s">
        <v>43788</v>
      </c>
      <c r="N13124" t="s">
        <v>47424</v>
      </c>
      <c r="O13124" t="s">
        <v>47425</v>
      </c>
      <c r="Q13124">
        <v>2</v>
      </c>
      <c r="R13124" t="s">
        <v>47441</v>
      </c>
      <c r="S13124" t="s">
        <v>48075</v>
      </c>
      <c r="T13124" t="s">
        <v>49069</v>
      </c>
      <c r="U13124" t="s">
        <v>60421</v>
      </c>
      <c r="W13124" t="s">
        <v>43788</v>
      </c>
      <c r="X13124" t="s">
        <v>47444</v>
      </c>
    </row>
    <row r="13125" spans="1:24">
      <c r="A13125">
        <f>HYPERLINK("https://www.philgeps.gov.ph/GEPSNONPILOT/Tender/SplashBidNoticeAbstractUI.aspx?menuIndex=3&amp;refID=7133521&amp;Result=3","7133521")</f>
        <v>0</v>
      </c>
      <c r="B13125" t="s">
        <v>3182</v>
      </c>
      <c r="C13125" t="s">
        <v>16288</v>
      </c>
      <c r="D13125" t="s">
        <v>19057</v>
      </c>
      <c r="E13125" t="s">
        <v>30329</v>
      </c>
      <c r="F13125" t="s">
        <v>32831</v>
      </c>
      <c r="G13125" t="s">
        <v>32839</v>
      </c>
      <c r="H13125" t="s">
        <v>32848</v>
      </c>
      <c r="I13125" t="s">
        <v>4177</v>
      </c>
      <c r="J13125" t="s">
        <v>40993</v>
      </c>
      <c r="K13125" t="s">
        <v>42746</v>
      </c>
      <c r="M13125" t="s">
        <v>46490</v>
      </c>
      <c r="N13125" t="s">
        <v>47424</v>
      </c>
      <c r="O13125" t="s">
        <v>47425</v>
      </c>
      <c r="P13125">
        <v>0</v>
      </c>
      <c r="Q13125">
        <v>0</v>
      </c>
      <c r="R13125" t="s">
        <v>47441</v>
      </c>
      <c r="S13125" t="s">
        <v>48049</v>
      </c>
      <c r="T13125" t="s">
        <v>49152</v>
      </c>
      <c r="U13125" t="s">
        <v>58177</v>
      </c>
      <c r="W13125" t="s">
        <v>46490</v>
      </c>
      <c r="X13125" t="s">
        <v>47444</v>
      </c>
    </row>
    <row r="13126" spans="1:24">
      <c r="A13126">
        <f>HYPERLINK("https://www.philgeps.gov.ph/GEPSNONPILOT/Tender/SplashBidNoticeAbstractUI.aspx?menuIndex=3&amp;refID=7132594&amp;Result=3","7132594")</f>
        <v>0</v>
      </c>
      <c r="B13126" t="s">
        <v>2895</v>
      </c>
      <c r="C13126" t="s">
        <v>16289</v>
      </c>
      <c r="D13126" t="s">
        <v>19017</v>
      </c>
      <c r="E13126" t="s">
        <v>30290</v>
      </c>
      <c r="F13126" t="s">
        <v>32831</v>
      </c>
      <c r="G13126" t="s">
        <v>32841</v>
      </c>
      <c r="H13126" t="s">
        <v>32848</v>
      </c>
      <c r="I13126" t="s">
        <v>32888</v>
      </c>
      <c r="J13126" t="s">
        <v>33133</v>
      </c>
      <c r="K13126" t="s">
        <v>42727</v>
      </c>
      <c r="M13126" t="s">
        <v>47048</v>
      </c>
      <c r="N13126" t="s">
        <v>47424</v>
      </c>
      <c r="O13126" t="s">
        <v>47425</v>
      </c>
      <c r="Q13126">
        <v>0</v>
      </c>
      <c r="R13126" t="s">
        <v>47441</v>
      </c>
      <c r="S13126" t="s">
        <v>48076</v>
      </c>
      <c r="T13126" t="s">
        <v>49250</v>
      </c>
      <c r="U13126" t="s">
        <v>60396</v>
      </c>
      <c r="V13126" t="s">
        <v>50323</v>
      </c>
      <c r="W13126" t="s">
        <v>47048</v>
      </c>
      <c r="X13126" t="s">
        <v>47445</v>
      </c>
    </row>
    <row r="13127" spans="1:24">
      <c r="A13127">
        <f>HYPERLINK("https://www.philgeps.gov.ph/GEPSNONPILOT/Tender/SplashBidNoticeAbstractUI.aspx?menuIndex=3&amp;refID=7132604&amp;Result=3","7132604")</f>
        <v>0</v>
      </c>
      <c r="B13127" t="s">
        <v>2895</v>
      </c>
      <c r="C13127" t="s">
        <v>16290</v>
      </c>
      <c r="D13127" t="s">
        <v>19017</v>
      </c>
      <c r="E13127" t="s">
        <v>30290</v>
      </c>
      <c r="F13127" t="s">
        <v>32831</v>
      </c>
      <c r="G13127" t="s">
        <v>32841</v>
      </c>
      <c r="H13127" t="s">
        <v>32848</v>
      </c>
      <c r="I13127" t="s">
        <v>32888</v>
      </c>
      <c r="J13127" t="s">
        <v>34488</v>
      </c>
      <c r="K13127" t="s">
        <v>42727</v>
      </c>
      <c r="M13127" t="s">
        <v>47048</v>
      </c>
      <c r="N13127" t="s">
        <v>47424</v>
      </c>
      <c r="O13127" t="s">
        <v>47425</v>
      </c>
      <c r="Q13127">
        <v>0</v>
      </c>
      <c r="R13127" t="s">
        <v>47441</v>
      </c>
      <c r="S13127" t="s">
        <v>48077</v>
      </c>
      <c r="T13127" t="s">
        <v>49250</v>
      </c>
      <c r="U13127" t="s">
        <v>60395</v>
      </c>
      <c r="V13127" t="s">
        <v>50323</v>
      </c>
      <c r="W13127" t="s">
        <v>47048</v>
      </c>
      <c r="X13127" t="s">
        <v>47445</v>
      </c>
    </row>
    <row r="13128" spans="1:24">
      <c r="A13128">
        <f>HYPERLINK("https://www.philgeps.gov.ph/GEPSNONPILOT/Tender/SplashBidNoticeAbstractUI.aspx?menuIndex=3&amp;refID=7121688&amp;Result=3","7121688")</f>
        <v>0</v>
      </c>
      <c r="B13128" t="s">
        <v>263</v>
      </c>
      <c r="C13128" t="s">
        <v>16291</v>
      </c>
      <c r="D13128" t="s">
        <v>19083</v>
      </c>
      <c r="E13128" t="s">
        <v>30330</v>
      </c>
      <c r="F13128" t="s">
        <v>32831</v>
      </c>
      <c r="G13128" t="s">
        <v>32839</v>
      </c>
      <c r="H13128" t="s">
        <v>32848</v>
      </c>
      <c r="I13128" t="s">
        <v>7751</v>
      </c>
      <c r="J13128" t="s">
        <v>38424</v>
      </c>
      <c r="K13128" t="s">
        <v>42747</v>
      </c>
      <c r="M13128" t="s">
        <v>43262</v>
      </c>
      <c r="N13128" t="s">
        <v>47424</v>
      </c>
      <c r="O13128" t="s">
        <v>47425</v>
      </c>
      <c r="P13128">
        <v>0</v>
      </c>
      <c r="Q13128">
        <v>3</v>
      </c>
      <c r="R13128" t="s">
        <v>47441</v>
      </c>
      <c r="S13128" t="s">
        <v>48049</v>
      </c>
      <c r="T13128" t="s">
        <v>49059</v>
      </c>
      <c r="U13128" t="s">
        <v>60422</v>
      </c>
      <c r="W13128" t="s">
        <v>43262</v>
      </c>
      <c r="X13128" t="s">
        <v>47448</v>
      </c>
    </row>
    <row r="13129" spans="1:24">
      <c r="A13129">
        <f>HYPERLINK("https://www.philgeps.gov.ph/GEPSNONPILOT/Tender/SplashBidNoticeAbstractUI.aspx?menuIndex=3&amp;refID=7131543&amp;Result=3","7131543")</f>
        <v>0</v>
      </c>
      <c r="B13129" t="s">
        <v>330</v>
      </c>
      <c r="C13129" t="s">
        <v>16292</v>
      </c>
      <c r="E13129" t="s">
        <v>30331</v>
      </c>
      <c r="F13129" t="s">
        <v>32831</v>
      </c>
      <c r="G13129" t="s">
        <v>32839</v>
      </c>
      <c r="H13129" t="s">
        <v>32848</v>
      </c>
      <c r="I13129" t="s">
        <v>4487</v>
      </c>
      <c r="J13129" t="s">
        <v>34578</v>
      </c>
      <c r="K13129" t="s">
        <v>42730</v>
      </c>
      <c r="M13129" t="s">
        <v>47046</v>
      </c>
      <c r="N13129" t="s">
        <v>47424</v>
      </c>
      <c r="O13129" t="s">
        <v>47425</v>
      </c>
      <c r="P13129">
        <v>0</v>
      </c>
      <c r="Q13129">
        <v>24</v>
      </c>
      <c r="R13129" t="s">
        <v>47441</v>
      </c>
      <c r="S13129" t="s">
        <v>48049</v>
      </c>
      <c r="T13129" t="s">
        <v>49080</v>
      </c>
      <c r="U13129" t="s">
        <v>60423</v>
      </c>
      <c r="V13129" t="s">
        <v>64082</v>
      </c>
      <c r="W13129" t="s">
        <v>47046</v>
      </c>
      <c r="X13129" t="s">
        <v>47445</v>
      </c>
    </row>
    <row r="13130" spans="1:24">
      <c r="A13130">
        <f>HYPERLINK("https://www.philgeps.gov.ph/GEPSNONPILOT/Tender/SplashBidNoticeAbstractUI.aspx?menuIndex=3&amp;refID=7131539&amp;Result=3","7131539")</f>
        <v>0</v>
      </c>
      <c r="B13130" t="s">
        <v>2007</v>
      </c>
      <c r="C13130" t="s">
        <v>16293</v>
      </c>
      <c r="D13130" t="s">
        <v>19017</v>
      </c>
      <c r="E13130" t="s">
        <v>30332</v>
      </c>
      <c r="F13130" t="s">
        <v>32831</v>
      </c>
      <c r="G13130" t="s">
        <v>32839</v>
      </c>
      <c r="H13130" t="s">
        <v>32848</v>
      </c>
      <c r="I13130" t="s">
        <v>7819</v>
      </c>
      <c r="J13130" t="s">
        <v>40994</v>
      </c>
      <c r="K13130" t="s">
        <v>42747</v>
      </c>
      <c r="M13130" t="s">
        <v>47047</v>
      </c>
      <c r="N13130" t="s">
        <v>47424</v>
      </c>
      <c r="O13130" t="s">
        <v>47425</v>
      </c>
      <c r="Q13130">
        <v>11</v>
      </c>
      <c r="R13130" t="s">
        <v>47441</v>
      </c>
      <c r="S13130" t="s">
        <v>48078</v>
      </c>
      <c r="T13130" t="s">
        <v>49070</v>
      </c>
      <c r="U13130" t="s">
        <v>60424</v>
      </c>
      <c r="W13130" t="s">
        <v>47047</v>
      </c>
      <c r="X13130" t="s">
        <v>47445</v>
      </c>
    </row>
    <row r="13131" spans="1:24">
      <c r="A13131">
        <f>HYPERLINK("https://www.philgeps.gov.ph/GEPSNONPILOT/Tender/SplashBidNoticeAbstractUI.aspx?menuIndex=3&amp;refID=7131439&amp;Result=3","7131439")</f>
        <v>0</v>
      </c>
      <c r="B13131" t="s">
        <v>2007</v>
      </c>
      <c r="C13131" t="s">
        <v>16294</v>
      </c>
      <c r="D13131" t="s">
        <v>19017</v>
      </c>
      <c r="E13131" t="s">
        <v>30333</v>
      </c>
      <c r="F13131" t="s">
        <v>32831</v>
      </c>
      <c r="G13131" t="s">
        <v>32839</v>
      </c>
      <c r="H13131" t="s">
        <v>32848</v>
      </c>
      <c r="I13131" t="s">
        <v>7819</v>
      </c>
      <c r="J13131" t="s">
        <v>40995</v>
      </c>
      <c r="K13131" t="s">
        <v>42747</v>
      </c>
      <c r="M13131" t="s">
        <v>47047</v>
      </c>
      <c r="N13131" t="s">
        <v>47424</v>
      </c>
      <c r="O13131" t="s">
        <v>47425</v>
      </c>
      <c r="P13131">
        <v>0</v>
      </c>
      <c r="Q13131">
        <v>10</v>
      </c>
      <c r="R13131" t="s">
        <v>47441</v>
      </c>
      <c r="S13131" t="s">
        <v>48049</v>
      </c>
      <c r="T13131" t="s">
        <v>49070</v>
      </c>
      <c r="U13131" t="s">
        <v>60425</v>
      </c>
      <c r="W13131" t="s">
        <v>47047</v>
      </c>
      <c r="X13131" t="s">
        <v>47445</v>
      </c>
    </row>
    <row r="13132" spans="1:24">
      <c r="A13132">
        <f>HYPERLINK("https://www.philgeps.gov.ph/GEPSNONPILOT/Tender/SplashBidNoticeAbstractUI.aspx?menuIndex=3&amp;refID=7133895&amp;Result=3","7133895")</f>
        <v>0</v>
      </c>
      <c r="B13132" t="s">
        <v>317</v>
      </c>
      <c r="C13132" t="s">
        <v>16295</v>
      </c>
      <c r="D13132" t="s">
        <v>19020</v>
      </c>
      <c r="E13132" t="s">
        <v>30334</v>
      </c>
      <c r="F13132" t="s">
        <v>32831</v>
      </c>
      <c r="G13132" t="s">
        <v>32839</v>
      </c>
      <c r="H13132" t="s">
        <v>32848</v>
      </c>
      <c r="I13132" t="s">
        <v>7751</v>
      </c>
      <c r="J13132" t="s">
        <v>34637</v>
      </c>
      <c r="K13132" t="s">
        <v>42779</v>
      </c>
      <c r="M13132" t="s">
        <v>43319</v>
      </c>
      <c r="N13132" t="s">
        <v>47424</v>
      </c>
      <c r="O13132" t="s">
        <v>47425</v>
      </c>
      <c r="P13132">
        <v>0</v>
      </c>
      <c r="Q13132">
        <v>3</v>
      </c>
      <c r="R13132" t="s">
        <v>47441</v>
      </c>
      <c r="S13132" t="s">
        <v>48049</v>
      </c>
      <c r="T13132" t="s">
        <v>49068</v>
      </c>
      <c r="U13132" t="s">
        <v>60426</v>
      </c>
      <c r="V13132" t="s">
        <v>62682</v>
      </c>
      <c r="W13132" t="s">
        <v>43319</v>
      </c>
      <c r="X13132" t="s">
        <v>47444</v>
      </c>
    </row>
    <row r="13133" spans="1:24">
      <c r="A13133">
        <f>HYPERLINK("https://www.philgeps.gov.ph/GEPSNONPILOT/Tender/SplashBidNoticeAbstractUI.aspx?menuIndex=3&amp;refID=7133873&amp;Result=3","7133873")</f>
        <v>0</v>
      </c>
      <c r="B13133" t="s">
        <v>3678</v>
      </c>
      <c r="C13133" t="s">
        <v>16296</v>
      </c>
      <c r="D13133" t="s">
        <v>19017</v>
      </c>
      <c r="E13133" t="s">
        <v>30335</v>
      </c>
      <c r="F13133" t="s">
        <v>32831</v>
      </c>
      <c r="G13133" t="s">
        <v>32838</v>
      </c>
      <c r="H13133" t="s">
        <v>32848</v>
      </c>
      <c r="I13133" t="s">
        <v>4776</v>
      </c>
      <c r="J13133" t="s">
        <v>40996</v>
      </c>
      <c r="K13133" t="s">
        <v>42727</v>
      </c>
      <c r="M13133" t="s">
        <v>47056</v>
      </c>
      <c r="N13133" t="s">
        <v>47424</v>
      </c>
      <c r="O13133" t="s">
        <v>47425</v>
      </c>
      <c r="P13133">
        <v>0</v>
      </c>
      <c r="Q13133">
        <v>1</v>
      </c>
      <c r="R13133" t="s">
        <v>47441</v>
      </c>
      <c r="S13133" t="s">
        <v>48049</v>
      </c>
      <c r="T13133" t="s">
        <v>49081</v>
      </c>
      <c r="U13133" t="s">
        <v>60427</v>
      </c>
      <c r="W13133" t="s">
        <v>47056</v>
      </c>
      <c r="X13133" t="s">
        <v>47444</v>
      </c>
    </row>
    <row r="13134" spans="1:24">
      <c r="A13134">
        <f>HYPERLINK("https://www.philgeps.gov.ph/GEPSNONPILOT/Tender/SplashBidNoticeAbstractUI.aspx?menuIndex=3&amp;refID=7133215&amp;Result=3","7133215")</f>
        <v>0</v>
      </c>
      <c r="B13134" t="s">
        <v>1710</v>
      </c>
      <c r="C13134" t="s">
        <v>16297</v>
      </c>
      <c r="D13134" t="s">
        <v>19044</v>
      </c>
      <c r="E13134" t="s">
        <v>30336</v>
      </c>
      <c r="F13134" t="s">
        <v>32831</v>
      </c>
      <c r="G13134" t="s">
        <v>32839</v>
      </c>
      <c r="H13134" t="s">
        <v>14069</v>
      </c>
      <c r="I13134" t="s">
        <v>14069</v>
      </c>
      <c r="J13134" t="s">
        <v>33279</v>
      </c>
      <c r="K13134" t="s">
        <v>42732</v>
      </c>
      <c r="M13134" t="s">
        <v>44832</v>
      </c>
      <c r="N13134" t="s">
        <v>47424</v>
      </c>
      <c r="O13134" t="s">
        <v>47425</v>
      </c>
      <c r="P13134">
        <v>0</v>
      </c>
      <c r="Q13134">
        <v>2</v>
      </c>
      <c r="R13134" t="s">
        <v>47441</v>
      </c>
      <c r="S13134" t="s">
        <v>48049</v>
      </c>
      <c r="T13134" t="s">
        <v>49105</v>
      </c>
      <c r="U13134" t="s">
        <v>60428</v>
      </c>
      <c r="W13134" t="s">
        <v>44832</v>
      </c>
      <c r="X13134" t="s">
        <v>47444</v>
      </c>
    </row>
    <row r="13135" spans="1:24">
      <c r="A13135">
        <f>HYPERLINK("https://www.philgeps.gov.ph/GEPSNONPILOT/Tender/SplashBidNoticeAbstractUI.aspx?menuIndex=3&amp;refID=7133810&amp;Result=3","7133810")</f>
        <v>0</v>
      </c>
      <c r="B13135" t="s">
        <v>317</v>
      </c>
      <c r="C13135" t="s">
        <v>16298</v>
      </c>
      <c r="D13135" t="s">
        <v>19020</v>
      </c>
      <c r="E13135" t="s">
        <v>30337</v>
      </c>
      <c r="F13135" t="s">
        <v>32831</v>
      </c>
      <c r="G13135" t="s">
        <v>32839</v>
      </c>
      <c r="H13135" t="s">
        <v>32849</v>
      </c>
      <c r="I13135" t="s">
        <v>4177</v>
      </c>
      <c r="J13135" t="s">
        <v>33118</v>
      </c>
      <c r="K13135" t="s">
        <v>42746</v>
      </c>
      <c r="M13135" t="s">
        <v>43319</v>
      </c>
      <c r="N13135" t="s">
        <v>47424</v>
      </c>
      <c r="O13135" t="s">
        <v>47425</v>
      </c>
      <c r="P13135">
        <v>0</v>
      </c>
      <c r="Q13135">
        <v>0</v>
      </c>
      <c r="R13135" t="s">
        <v>47441</v>
      </c>
      <c r="S13135" t="s">
        <v>48049</v>
      </c>
      <c r="T13135" t="s">
        <v>49068</v>
      </c>
      <c r="U13135" t="s">
        <v>60429</v>
      </c>
      <c r="V13135" t="s">
        <v>62682</v>
      </c>
      <c r="W13135" t="s">
        <v>43319</v>
      </c>
      <c r="X13135" t="s">
        <v>47444</v>
      </c>
    </row>
    <row r="13136" spans="1:24">
      <c r="A13136">
        <f>HYPERLINK("https://www.philgeps.gov.ph/GEPSNONPILOT/Tender/SplashBidNoticeAbstractUI.aspx?menuIndex=3&amp;refID=7132631&amp;Result=3","7132631")</f>
        <v>0</v>
      </c>
      <c r="B13136" t="s">
        <v>3679</v>
      </c>
      <c r="C13136" t="s">
        <v>16299</v>
      </c>
      <c r="D13136" t="s">
        <v>19027</v>
      </c>
      <c r="E13136" t="s">
        <v>30338</v>
      </c>
      <c r="F13136" t="s">
        <v>32832</v>
      </c>
      <c r="G13136" t="s">
        <v>32839</v>
      </c>
      <c r="H13136" t="s">
        <v>32848</v>
      </c>
      <c r="I13136" t="s">
        <v>32903</v>
      </c>
      <c r="J13136" t="s">
        <v>33087</v>
      </c>
      <c r="K13136" t="s">
        <v>42726</v>
      </c>
      <c r="M13136" t="s">
        <v>47057</v>
      </c>
      <c r="N13136" t="s">
        <v>47424</v>
      </c>
      <c r="O13136" t="s">
        <v>47425</v>
      </c>
      <c r="P13136">
        <v>0</v>
      </c>
      <c r="Q13136">
        <v>1</v>
      </c>
      <c r="R13136" t="s">
        <v>47441</v>
      </c>
      <c r="S13136" t="s">
        <v>48049</v>
      </c>
      <c r="T13136" t="s">
        <v>49106</v>
      </c>
      <c r="U13136" t="s">
        <v>60430</v>
      </c>
      <c r="W13136" t="s">
        <v>47057</v>
      </c>
      <c r="X13136" t="s">
        <v>47445</v>
      </c>
    </row>
    <row r="13137" spans="1:24">
      <c r="A13137">
        <f>HYPERLINK("https://www.philgeps.gov.ph/GEPSNONPILOT/Tender/SplashBidNoticeAbstractUI.aspx?menuIndex=3&amp;refID=7133833&amp;Result=3","7133833")</f>
        <v>0</v>
      </c>
      <c r="B13137" t="s">
        <v>317</v>
      </c>
      <c r="C13137" t="s">
        <v>16300</v>
      </c>
      <c r="D13137" t="s">
        <v>19020</v>
      </c>
      <c r="E13137" t="s">
        <v>30339</v>
      </c>
      <c r="F13137" t="s">
        <v>32831</v>
      </c>
      <c r="G13137" t="s">
        <v>32839</v>
      </c>
      <c r="H13137" t="s">
        <v>32848</v>
      </c>
      <c r="I13137" t="s">
        <v>7751</v>
      </c>
      <c r="J13137" t="s">
        <v>33553</v>
      </c>
      <c r="K13137" t="s">
        <v>42779</v>
      </c>
      <c r="M13137" t="s">
        <v>43319</v>
      </c>
      <c r="N13137" t="s">
        <v>47424</v>
      </c>
      <c r="O13137" t="s">
        <v>47425</v>
      </c>
      <c r="P13137">
        <v>0</v>
      </c>
      <c r="Q13137">
        <v>2</v>
      </c>
      <c r="R13137" t="s">
        <v>47441</v>
      </c>
      <c r="S13137" t="s">
        <v>48049</v>
      </c>
      <c r="T13137" t="s">
        <v>49068</v>
      </c>
      <c r="U13137" t="s">
        <v>60431</v>
      </c>
      <c r="V13137" t="s">
        <v>62682</v>
      </c>
      <c r="W13137" t="s">
        <v>43319</v>
      </c>
      <c r="X13137" t="s">
        <v>47444</v>
      </c>
    </row>
    <row r="13138" spans="1:24">
      <c r="A13138">
        <f>HYPERLINK("https://www.philgeps.gov.ph/GEPSNONPILOT/Tender/SplashBidNoticeAbstractUI.aspx?menuIndex=3&amp;refID=7131613&amp;Result=3","7131613")</f>
        <v>0</v>
      </c>
      <c r="B13138" t="s">
        <v>2525</v>
      </c>
      <c r="C13138" t="s">
        <v>16301</v>
      </c>
      <c r="D13138" t="s">
        <v>19071</v>
      </c>
      <c r="E13138" t="s">
        <v>30340</v>
      </c>
      <c r="F13138" t="s">
        <v>32831</v>
      </c>
      <c r="G13138" t="s">
        <v>32839</v>
      </c>
      <c r="H13138" t="s">
        <v>32848</v>
      </c>
      <c r="I13138" t="s">
        <v>32876</v>
      </c>
      <c r="J13138" t="s">
        <v>33118</v>
      </c>
      <c r="K13138" t="s">
        <v>42730</v>
      </c>
      <c r="M13138" t="s">
        <v>45733</v>
      </c>
      <c r="N13138" t="s">
        <v>47424</v>
      </c>
      <c r="O13138" t="s">
        <v>47425</v>
      </c>
      <c r="Q13138">
        <v>8</v>
      </c>
      <c r="R13138" t="s">
        <v>47441</v>
      </c>
      <c r="S13138" t="s">
        <v>48079</v>
      </c>
      <c r="T13138" t="s">
        <v>49105</v>
      </c>
      <c r="U13138" t="s">
        <v>55810</v>
      </c>
      <c r="V13138" t="s">
        <v>63439</v>
      </c>
      <c r="W13138" t="s">
        <v>45733</v>
      </c>
      <c r="X13138" t="s">
        <v>47445</v>
      </c>
    </row>
    <row r="13139" spans="1:24">
      <c r="A13139">
        <f>HYPERLINK("https://www.philgeps.gov.ph/GEPSNONPILOT/Tender/SplashBidNoticeAbstractUI.aspx?menuIndex=3&amp;refID=7133775&amp;Result=3","7133775")</f>
        <v>0</v>
      </c>
      <c r="B13139" t="s">
        <v>1206</v>
      </c>
      <c r="C13139" t="s">
        <v>16302</v>
      </c>
      <c r="D13139" t="s">
        <v>19082</v>
      </c>
      <c r="E13139" t="s">
        <v>30341</v>
      </c>
      <c r="F13139" t="s">
        <v>32831</v>
      </c>
      <c r="G13139" t="s">
        <v>32839</v>
      </c>
      <c r="H13139" t="s">
        <v>32848</v>
      </c>
      <c r="I13139" t="s">
        <v>4487</v>
      </c>
      <c r="J13139" t="s">
        <v>40997</v>
      </c>
      <c r="K13139" t="s">
        <v>42732</v>
      </c>
      <c r="M13139" t="s">
        <v>44273</v>
      </c>
      <c r="N13139" t="s">
        <v>47424</v>
      </c>
      <c r="O13139" t="s">
        <v>47425</v>
      </c>
      <c r="P13139">
        <v>0</v>
      </c>
      <c r="Q13139">
        <v>4</v>
      </c>
      <c r="R13139" t="s">
        <v>47441</v>
      </c>
      <c r="S13139" t="s">
        <v>48049</v>
      </c>
      <c r="T13139" t="s">
        <v>49175</v>
      </c>
      <c r="U13139" t="s">
        <v>60432</v>
      </c>
      <c r="W13139" t="s">
        <v>44273</v>
      </c>
      <c r="X13139" t="s">
        <v>47444</v>
      </c>
    </row>
    <row r="13140" spans="1:24">
      <c r="A13140">
        <f>HYPERLINK("https://www.philgeps.gov.ph/GEPSNONPILOT/Tender/SplashBidNoticeAbstractUI.aspx?menuIndex=3&amp;refID=7132734&amp;Result=3","7132734")</f>
        <v>0</v>
      </c>
      <c r="B13140" t="s">
        <v>3680</v>
      </c>
      <c r="C13140" t="s">
        <v>16303</v>
      </c>
      <c r="D13140" t="s">
        <v>19090</v>
      </c>
      <c r="E13140" t="s">
        <v>30342</v>
      </c>
      <c r="F13140" t="s">
        <v>32831</v>
      </c>
      <c r="G13140" t="s">
        <v>32839</v>
      </c>
      <c r="H13140" t="s">
        <v>32848</v>
      </c>
      <c r="I13140" t="s">
        <v>4303</v>
      </c>
      <c r="J13140" t="s">
        <v>32983</v>
      </c>
      <c r="K13140" t="s">
        <v>42727</v>
      </c>
      <c r="M13140" t="s">
        <v>47058</v>
      </c>
      <c r="N13140" t="s">
        <v>47424</v>
      </c>
      <c r="O13140" t="s">
        <v>47425</v>
      </c>
      <c r="P13140">
        <v>0</v>
      </c>
      <c r="Q13140">
        <v>0</v>
      </c>
      <c r="R13140" t="s">
        <v>47441</v>
      </c>
      <c r="S13140" t="s">
        <v>48049</v>
      </c>
      <c r="T13140" t="s">
        <v>49104</v>
      </c>
      <c r="U13140" t="s">
        <v>60433</v>
      </c>
      <c r="W13140" t="s">
        <v>47058</v>
      </c>
      <c r="X13140" t="s">
        <v>47444</v>
      </c>
    </row>
    <row r="13141" spans="1:24">
      <c r="A13141">
        <f>HYPERLINK("https://www.philgeps.gov.ph/GEPSNONPILOT/Tender/SplashBidNoticeAbstractUI.aspx?menuIndex=3&amp;refID=7131614&amp;Result=3","7131614")</f>
        <v>0</v>
      </c>
      <c r="B13141" t="s">
        <v>3671</v>
      </c>
      <c r="C13141" t="s">
        <v>16304</v>
      </c>
      <c r="D13141" t="s">
        <v>19059</v>
      </c>
      <c r="E13141" t="s">
        <v>30343</v>
      </c>
      <c r="F13141" t="s">
        <v>32831</v>
      </c>
      <c r="G13141" t="s">
        <v>32839</v>
      </c>
      <c r="H13141" t="s">
        <v>32849</v>
      </c>
      <c r="I13141" t="s">
        <v>4177</v>
      </c>
      <c r="J13141" t="s">
        <v>32978</v>
      </c>
      <c r="K13141" t="s">
        <v>42746</v>
      </c>
      <c r="M13141" t="s">
        <v>47044</v>
      </c>
      <c r="N13141" t="s">
        <v>47424</v>
      </c>
      <c r="O13141" t="s">
        <v>47425</v>
      </c>
      <c r="P13141">
        <v>0</v>
      </c>
      <c r="Q13141">
        <v>30</v>
      </c>
      <c r="R13141" t="s">
        <v>47441</v>
      </c>
      <c r="S13141" t="s">
        <v>48049</v>
      </c>
      <c r="T13141" t="s">
        <v>49069</v>
      </c>
      <c r="U13141" t="s">
        <v>60434</v>
      </c>
      <c r="V13141" t="s">
        <v>62714</v>
      </c>
      <c r="W13141" t="s">
        <v>47044</v>
      </c>
      <c r="X13141" t="s">
        <v>47445</v>
      </c>
    </row>
    <row r="13142" spans="1:24">
      <c r="A13142">
        <f>HYPERLINK("https://www.philgeps.gov.ph/GEPSNONPILOT/Tender/SplashBidNoticeAbstractUI.aspx?menuIndex=3&amp;refID=7133655&amp;Result=3","7133655")</f>
        <v>0</v>
      </c>
      <c r="B13142" t="s">
        <v>263</v>
      </c>
      <c r="C13142" t="s">
        <v>16305</v>
      </c>
      <c r="D13142" t="s">
        <v>19083</v>
      </c>
      <c r="E13142" t="s">
        <v>30344</v>
      </c>
      <c r="F13142" t="s">
        <v>32831</v>
      </c>
      <c r="G13142" t="s">
        <v>32839</v>
      </c>
      <c r="H13142" t="s">
        <v>32848</v>
      </c>
      <c r="I13142" t="s">
        <v>7751</v>
      </c>
      <c r="J13142" t="s">
        <v>40998</v>
      </c>
      <c r="K13142" t="s">
        <v>42747</v>
      </c>
      <c r="M13142" t="s">
        <v>43262</v>
      </c>
      <c r="N13142" t="s">
        <v>47424</v>
      </c>
      <c r="O13142" t="s">
        <v>47425</v>
      </c>
      <c r="P13142">
        <v>0</v>
      </c>
      <c r="Q13142">
        <v>3</v>
      </c>
      <c r="R13142" t="s">
        <v>47441</v>
      </c>
      <c r="S13142" t="s">
        <v>48049</v>
      </c>
      <c r="T13142" t="s">
        <v>49059</v>
      </c>
      <c r="U13142" t="s">
        <v>60435</v>
      </c>
      <c r="W13142" t="s">
        <v>43262</v>
      </c>
      <c r="X13142" t="s">
        <v>47444</v>
      </c>
    </row>
    <row r="13143" spans="1:24">
      <c r="A13143">
        <f>HYPERLINK("https://www.philgeps.gov.ph/GEPSNONPILOT/Tender/SplashBidNoticeAbstractUI.aspx?menuIndex=3&amp;refID=7133605&amp;Result=3","7133605")</f>
        <v>0</v>
      </c>
      <c r="B13143" t="s">
        <v>3681</v>
      </c>
      <c r="C13143" t="s">
        <v>16306</v>
      </c>
      <c r="D13143" t="s">
        <v>19039</v>
      </c>
      <c r="E13143" t="s">
        <v>19219</v>
      </c>
      <c r="F13143" t="s">
        <v>32831</v>
      </c>
      <c r="G13143" t="s">
        <v>32839</v>
      </c>
      <c r="H13143" t="s">
        <v>32848</v>
      </c>
      <c r="I13143" t="s">
        <v>7416</v>
      </c>
      <c r="J13143" t="s">
        <v>40999</v>
      </c>
      <c r="K13143" t="s">
        <v>42747</v>
      </c>
      <c r="M13143" t="s">
        <v>47059</v>
      </c>
      <c r="N13143" t="s">
        <v>47424</v>
      </c>
      <c r="O13143" t="s">
        <v>47425</v>
      </c>
      <c r="P13143">
        <v>0</v>
      </c>
      <c r="Q13143">
        <v>2</v>
      </c>
      <c r="R13143" t="s">
        <v>47441</v>
      </c>
      <c r="S13143" t="s">
        <v>48049</v>
      </c>
      <c r="T13143" t="s">
        <v>49068</v>
      </c>
      <c r="U13143" t="s">
        <v>60436</v>
      </c>
      <c r="V13143" t="s">
        <v>62631</v>
      </c>
      <c r="W13143" t="s">
        <v>47059</v>
      </c>
      <c r="X13143" t="s">
        <v>47444</v>
      </c>
    </row>
    <row r="13144" spans="1:24">
      <c r="A13144">
        <f>HYPERLINK("https://www.philgeps.gov.ph/GEPSNONPILOT/Tender/SplashBidNoticeAbstractUI.aspx?menuIndex=3&amp;refID=7133718&amp;Result=3","7133718")</f>
        <v>0</v>
      </c>
      <c r="B13144" t="s">
        <v>2486</v>
      </c>
      <c r="C13144" t="s">
        <v>16307</v>
      </c>
      <c r="D13144" t="s">
        <v>19017</v>
      </c>
      <c r="E13144" t="s">
        <v>30345</v>
      </c>
      <c r="F13144" t="s">
        <v>32831</v>
      </c>
      <c r="G13144" t="s">
        <v>32839</v>
      </c>
      <c r="H13144" t="s">
        <v>32848</v>
      </c>
      <c r="I13144" t="s">
        <v>32881</v>
      </c>
      <c r="J13144" t="s">
        <v>41000</v>
      </c>
      <c r="K13144" t="s">
        <v>42730</v>
      </c>
      <c r="M13144" t="s">
        <v>45689</v>
      </c>
      <c r="N13144" t="s">
        <v>47424</v>
      </c>
      <c r="O13144" t="s">
        <v>47425</v>
      </c>
      <c r="Q13144">
        <v>10</v>
      </c>
      <c r="R13144" t="s">
        <v>47441</v>
      </c>
      <c r="S13144" t="s">
        <v>48080</v>
      </c>
      <c r="T13144" t="s">
        <v>49070</v>
      </c>
      <c r="U13144" t="s">
        <v>60437</v>
      </c>
      <c r="V13144" t="s">
        <v>64088</v>
      </c>
      <c r="W13144" t="s">
        <v>45689</v>
      </c>
      <c r="X13144" t="s">
        <v>47444</v>
      </c>
    </row>
    <row r="13145" spans="1:24">
      <c r="A13145">
        <f>HYPERLINK("https://www.philgeps.gov.ph/GEPSNONPILOT/Tender/SplashBidNoticeAbstractUI.aspx?menuIndex=3&amp;refID=7133681&amp;Result=3","7133681")</f>
        <v>0</v>
      </c>
      <c r="B13145" t="s">
        <v>3555</v>
      </c>
      <c r="C13145" t="s">
        <v>16308</v>
      </c>
      <c r="D13145" t="s">
        <v>19079</v>
      </c>
      <c r="E13145" t="s">
        <v>30346</v>
      </c>
      <c r="F13145" t="s">
        <v>32831</v>
      </c>
      <c r="G13145" t="s">
        <v>32839</v>
      </c>
      <c r="H13145" t="s">
        <v>32848</v>
      </c>
      <c r="I13145" t="s">
        <v>4776</v>
      </c>
      <c r="J13145" t="s">
        <v>41001</v>
      </c>
      <c r="K13145" t="s">
        <v>42726</v>
      </c>
      <c r="M13145" t="s">
        <v>46910</v>
      </c>
      <c r="N13145" t="s">
        <v>47424</v>
      </c>
      <c r="O13145" t="s">
        <v>47425</v>
      </c>
      <c r="P13145">
        <v>0</v>
      </c>
      <c r="Q13145">
        <v>3</v>
      </c>
      <c r="R13145" t="s">
        <v>47441</v>
      </c>
      <c r="S13145" t="s">
        <v>48049</v>
      </c>
      <c r="T13145" t="s">
        <v>49159</v>
      </c>
      <c r="U13145" t="s">
        <v>60438</v>
      </c>
      <c r="W13145" t="s">
        <v>46910</v>
      </c>
      <c r="X13145" t="s">
        <v>47444</v>
      </c>
    </row>
    <row r="13146" spans="1:24">
      <c r="A13146">
        <f>HYPERLINK("https://www.philgeps.gov.ph/GEPSNONPILOT/Tender/SplashBidNoticeAbstractUI.aspx?menuIndex=3&amp;refID=7133594&amp;Result=3","7133594")</f>
        <v>0</v>
      </c>
      <c r="B13146" t="s">
        <v>3682</v>
      </c>
      <c r="C13146" t="s">
        <v>16309</v>
      </c>
      <c r="D13146" t="s">
        <v>19083</v>
      </c>
      <c r="E13146" t="s">
        <v>30347</v>
      </c>
      <c r="F13146" t="s">
        <v>32831</v>
      </c>
      <c r="G13146" t="s">
        <v>32839</v>
      </c>
      <c r="H13146" t="s">
        <v>32849</v>
      </c>
      <c r="I13146" t="s">
        <v>4177</v>
      </c>
      <c r="J13146" t="s">
        <v>39058</v>
      </c>
      <c r="K13146" t="s">
        <v>42971</v>
      </c>
      <c r="M13146" t="s">
        <v>47060</v>
      </c>
      <c r="N13146" t="s">
        <v>47424</v>
      </c>
      <c r="O13146" t="s">
        <v>47425</v>
      </c>
      <c r="Q13146">
        <v>2</v>
      </c>
      <c r="R13146" t="s">
        <v>47441</v>
      </c>
      <c r="S13146" t="s">
        <v>48081</v>
      </c>
      <c r="T13146" t="s">
        <v>49063</v>
      </c>
      <c r="U13146" t="s">
        <v>60439</v>
      </c>
      <c r="V13146" t="s">
        <v>64089</v>
      </c>
      <c r="W13146" t="s">
        <v>47060</v>
      </c>
      <c r="X13146" t="s">
        <v>47444</v>
      </c>
    </row>
    <row r="13147" spans="1:24">
      <c r="A13147">
        <f>HYPERLINK("https://www.philgeps.gov.ph/GEPSNONPILOT/Tender/SplashBidNoticeAbstractUI.aspx?menuIndex=3&amp;refID=7133563&amp;Result=3","7133563")</f>
        <v>0</v>
      </c>
      <c r="B13147" t="s">
        <v>3182</v>
      </c>
      <c r="C13147" t="s">
        <v>16310</v>
      </c>
      <c r="D13147" t="s">
        <v>19057</v>
      </c>
      <c r="E13147" t="s">
        <v>30348</v>
      </c>
      <c r="F13147" t="s">
        <v>32831</v>
      </c>
      <c r="G13147" t="s">
        <v>32839</v>
      </c>
      <c r="H13147" t="s">
        <v>32848</v>
      </c>
      <c r="I13147" t="s">
        <v>10805</v>
      </c>
      <c r="J13147" t="s">
        <v>33552</v>
      </c>
      <c r="K13147" t="s">
        <v>42730</v>
      </c>
      <c r="M13147" t="s">
        <v>46490</v>
      </c>
      <c r="N13147" t="s">
        <v>47424</v>
      </c>
      <c r="O13147" t="s">
        <v>47425</v>
      </c>
      <c r="P13147">
        <v>0</v>
      </c>
      <c r="Q13147">
        <v>8</v>
      </c>
      <c r="R13147" t="s">
        <v>47441</v>
      </c>
      <c r="S13147" t="s">
        <v>48049</v>
      </c>
      <c r="T13147" t="s">
        <v>49152</v>
      </c>
      <c r="U13147" t="s">
        <v>58177</v>
      </c>
      <c r="W13147" t="s">
        <v>46490</v>
      </c>
      <c r="X13147" t="s">
        <v>47444</v>
      </c>
    </row>
    <row r="13148" spans="1:24">
      <c r="A13148">
        <f>HYPERLINK("https://www.philgeps.gov.ph/GEPSNONPILOT/Tender/SplashBidNoticeAbstractUI.aspx?menuIndex=3&amp;refID=7133549&amp;Result=3","7133549")</f>
        <v>0</v>
      </c>
      <c r="B13148" t="s">
        <v>762</v>
      </c>
      <c r="C13148" t="s">
        <v>16311</v>
      </c>
      <c r="D13148" t="s">
        <v>19054</v>
      </c>
      <c r="E13148" t="s">
        <v>30349</v>
      </c>
      <c r="F13148" t="s">
        <v>32831</v>
      </c>
      <c r="G13148" t="s">
        <v>32839</v>
      </c>
      <c r="H13148" t="s">
        <v>32848</v>
      </c>
      <c r="I13148" t="s">
        <v>4177</v>
      </c>
      <c r="J13148" t="s">
        <v>33118</v>
      </c>
      <c r="K13148" t="s">
        <v>42732</v>
      </c>
      <c r="M13148" t="s">
        <v>43788</v>
      </c>
      <c r="N13148" t="s">
        <v>47424</v>
      </c>
      <c r="O13148" t="s">
        <v>47425</v>
      </c>
      <c r="Q13148">
        <v>6</v>
      </c>
      <c r="R13148" t="s">
        <v>47441</v>
      </c>
      <c r="S13148" t="s">
        <v>48082</v>
      </c>
      <c r="T13148" t="s">
        <v>49069</v>
      </c>
      <c r="U13148" t="s">
        <v>60440</v>
      </c>
      <c r="W13148" t="s">
        <v>43788</v>
      </c>
      <c r="X13148" t="s">
        <v>47444</v>
      </c>
    </row>
    <row r="13149" spans="1:24">
      <c r="A13149">
        <f>HYPERLINK("https://www.philgeps.gov.ph/GEPSNONPILOT/Tender/SplashBidNoticeAbstractUI.aspx?menuIndex=3&amp;refID=7133650&amp;Result=3","7133650")</f>
        <v>0</v>
      </c>
      <c r="B13149" t="s">
        <v>745</v>
      </c>
      <c r="C13149" t="s">
        <v>16312</v>
      </c>
      <c r="D13149" t="s">
        <v>19077</v>
      </c>
      <c r="E13149" t="s">
        <v>30350</v>
      </c>
      <c r="F13149" t="s">
        <v>32831</v>
      </c>
      <c r="G13149" t="s">
        <v>32839</v>
      </c>
      <c r="H13149" t="s">
        <v>32848</v>
      </c>
      <c r="I13149" t="s">
        <v>4177</v>
      </c>
      <c r="J13149" t="s">
        <v>41002</v>
      </c>
      <c r="K13149" t="s">
        <v>42871</v>
      </c>
      <c r="M13149" t="s">
        <v>43768</v>
      </c>
      <c r="N13149" t="s">
        <v>47424</v>
      </c>
      <c r="O13149" t="s">
        <v>47425</v>
      </c>
      <c r="Q13149">
        <v>4</v>
      </c>
      <c r="R13149" t="s">
        <v>47441</v>
      </c>
      <c r="S13149" t="s">
        <v>48083</v>
      </c>
      <c r="T13149" t="s">
        <v>49171</v>
      </c>
      <c r="U13149" t="s">
        <v>60441</v>
      </c>
      <c r="V13149" t="s">
        <v>64090</v>
      </c>
      <c r="W13149" t="s">
        <v>43768</v>
      </c>
      <c r="X13149" t="s">
        <v>47444</v>
      </c>
    </row>
    <row r="13150" spans="1:24">
      <c r="A13150">
        <f>HYPERLINK("https://www.philgeps.gov.ph/GEPSNONPILOT/Tender/SplashBidNoticeAbstractUI.aspx?menuIndex=3&amp;refID=7133735&amp;Result=3","7133735")</f>
        <v>0</v>
      </c>
      <c r="B13150" t="s">
        <v>2486</v>
      </c>
      <c r="C13150" t="s">
        <v>16313</v>
      </c>
      <c r="D13150" t="s">
        <v>19017</v>
      </c>
      <c r="E13150" t="s">
        <v>30351</v>
      </c>
      <c r="F13150" t="s">
        <v>32831</v>
      </c>
      <c r="G13150" t="s">
        <v>32839</v>
      </c>
      <c r="H13150" t="s">
        <v>32848</v>
      </c>
      <c r="I13150" t="s">
        <v>32867</v>
      </c>
      <c r="J13150" t="s">
        <v>41003</v>
      </c>
      <c r="K13150" t="s">
        <v>42730</v>
      </c>
      <c r="M13150" t="s">
        <v>45689</v>
      </c>
      <c r="N13150" t="s">
        <v>47424</v>
      </c>
      <c r="O13150" t="s">
        <v>47425</v>
      </c>
      <c r="Q13150">
        <v>13</v>
      </c>
      <c r="R13150" t="s">
        <v>47441</v>
      </c>
      <c r="S13150" t="s">
        <v>48084</v>
      </c>
      <c r="T13150" t="s">
        <v>49070</v>
      </c>
      <c r="U13150" t="s">
        <v>60442</v>
      </c>
      <c r="V13150" t="s">
        <v>64088</v>
      </c>
      <c r="W13150" t="s">
        <v>45689</v>
      </c>
      <c r="X13150" t="s">
        <v>47444</v>
      </c>
    </row>
    <row r="13151" spans="1:24">
      <c r="A13151">
        <f>HYPERLINK("https://www.philgeps.gov.ph/GEPSNONPILOT/Tender/SplashBidNoticeAbstractUI.aspx?menuIndex=3&amp;refID=7133637&amp;Result=3","7133637")</f>
        <v>0</v>
      </c>
      <c r="B13151" t="s">
        <v>263</v>
      </c>
      <c r="C13151" t="s">
        <v>16314</v>
      </c>
      <c r="D13151" t="s">
        <v>19083</v>
      </c>
      <c r="E13151" t="s">
        <v>30352</v>
      </c>
      <c r="F13151" t="s">
        <v>32831</v>
      </c>
      <c r="G13151" t="s">
        <v>32839</v>
      </c>
      <c r="H13151" t="s">
        <v>32849</v>
      </c>
      <c r="I13151" t="s">
        <v>4177</v>
      </c>
      <c r="J13151" t="s">
        <v>33118</v>
      </c>
      <c r="K13151" t="s">
        <v>42729</v>
      </c>
      <c r="M13151" t="s">
        <v>43262</v>
      </c>
      <c r="N13151" t="s">
        <v>47424</v>
      </c>
      <c r="O13151" t="s">
        <v>47425</v>
      </c>
      <c r="P13151">
        <v>0</v>
      </c>
      <c r="Q13151">
        <v>0</v>
      </c>
      <c r="R13151" t="s">
        <v>47441</v>
      </c>
      <c r="S13151" t="s">
        <v>48049</v>
      </c>
      <c r="T13151" t="s">
        <v>49059</v>
      </c>
      <c r="U13151" t="s">
        <v>60443</v>
      </c>
      <c r="W13151" t="s">
        <v>43262</v>
      </c>
      <c r="X13151" t="s">
        <v>47444</v>
      </c>
    </row>
    <row r="13152" spans="1:24">
      <c r="A13152">
        <f>HYPERLINK("https://www.philgeps.gov.ph/GEPSNONPILOT/Tender/SplashBidNoticeAbstractUI.aspx?menuIndex=3&amp;refID=7134644&amp;Result=3","7134644")</f>
        <v>0</v>
      </c>
      <c r="B13152" t="s">
        <v>3179</v>
      </c>
      <c r="C13152" t="s">
        <v>16315</v>
      </c>
      <c r="E13152" t="s">
        <v>30353</v>
      </c>
      <c r="F13152" t="s">
        <v>32831</v>
      </c>
      <c r="G13152" t="s">
        <v>32839</v>
      </c>
      <c r="H13152" t="s">
        <v>32848</v>
      </c>
      <c r="I13152" t="s">
        <v>32857</v>
      </c>
      <c r="J13152" t="s">
        <v>41004</v>
      </c>
      <c r="K13152" t="s">
        <v>42730</v>
      </c>
      <c r="M13152" t="s">
        <v>46486</v>
      </c>
      <c r="N13152" t="s">
        <v>47424</v>
      </c>
      <c r="O13152" t="s">
        <v>47425</v>
      </c>
      <c r="P13152">
        <v>0</v>
      </c>
      <c r="Q13152">
        <v>14</v>
      </c>
      <c r="R13152" t="s">
        <v>47441</v>
      </c>
      <c r="S13152" t="s">
        <v>48049</v>
      </c>
      <c r="T13152" t="s">
        <v>49066</v>
      </c>
      <c r="U13152" t="s">
        <v>60444</v>
      </c>
      <c r="W13152" t="s">
        <v>46486</v>
      </c>
      <c r="X13152" t="s">
        <v>47444</v>
      </c>
    </row>
    <row r="13153" spans="1:24">
      <c r="A13153">
        <f>HYPERLINK("https://www.philgeps.gov.ph/GEPSNONPILOT/Tender/SplashBidNoticeAbstractUI.aspx?menuIndex=3&amp;refID=7134604&amp;Result=3","7134604")</f>
        <v>0</v>
      </c>
      <c r="B13153" t="s">
        <v>3179</v>
      </c>
      <c r="C13153" t="s">
        <v>16316</v>
      </c>
      <c r="E13153" t="s">
        <v>30354</v>
      </c>
      <c r="F13153" t="s">
        <v>32831</v>
      </c>
      <c r="G13153" t="s">
        <v>32839</v>
      </c>
      <c r="H13153" t="s">
        <v>32848</v>
      </c>
      <c r="I13153" t="s">
        <v>4558</v>
      </c>
      <c r="J13153" t="s">
        <v>41005</v>
      </c>
      <c r="K13153" t="s">
        <v>42730</v>
      </c>
      <c r="M13153" t="s">
        <v>46486</v>
      </c>
      <c r="N13153" t="s">
        <v>47424</v>
      </c>
      <c r="O13153" t="s">
        <v>47425</v>
      </c>
      <c r="P13153">
        <v>0</v>
      </c>
      <c r="Q13153">
        <v>1</v>
      </c>
      <c r="R13153" t="s">
        <v>47441</v>
      </c>
      <c r="S13153" t="s">
        <v>48049</v>
      </c>
      <c r="T13153" t="s">
        <v>49066</v>
      </c>
      <c r="U13153" t="s">
        <v>60444</v>
      </c>
      <c r="W13153" t="s">
        <v>46486</v>
      </c>
      <c r="X13153" t="s">
        <v>47444</v>
      </c>
    </row>
    <row r="13154" spans="1:24">
      <c r="A13154">
        <f>HYPERLINK("https://www.philgeps.gov.ph/GEPSNONPILOT/Tender/SplashBidNoticeAbstractUI.aspx?menuIndex=3&amp;refID=7134630&amp;Result=3","7134630")</f>
        <v>0</v>
      </c>
      <c r="B13154" t="s">
        <v>2039</v>
      </c>
      <c r="C13154" t="s">
        <v>16317</v>
      </c>
      <c r="D13154" t="s">
        <v>19080</v>
      </c>
      <c r="E13154" t="s">
        <v>30355</v>
      </c>
      <c r="F13154" t="s">
        <v>32831</v>
      </c>
      <c r="G13154" t="s">
        <v>32839</v>
      </c>
      <c r="H13154" t="s">
        <v>32849</v>
      </c>
      <c r="I13154" t="s">
        <v>4177</v>
      </c>
      <c r="J13154" t="s">
        <v>41006</v>
      </c>
      <c r="K13154" t="s">
        <v>42892</v>
      </c>
      <c r="M13154" t="s">
        <v>45208</v>
      </c>
      <c r="N13154" t="s">
        <v>47424</v>
      </c>
      <c r="O13154" t="s">
        <v>47425</v>
      </c>
      <c r="P13154">
        <v>0</v>
      </c>
      <c r="Q13154">
        <v>1</v>
      </c>
      <c r="R13154" t="s">
        <v>47441</v>
      </c>
      <c r="S13154" t="s">
        <v>48049</v>
      </c>
      <c r="T13154" t="s">
        <v>49059</v>
      </c>
      <c r="U13154" t="s">
        <v>56395</v>
      </c>
      <c r="W13154" t="s">
        <v>45208</v>
      </c>
      <c r="X13154" t="s">
        <v>47444</v>
      </c>
    </row>
    <row r="13155" spans="1:24">
      <c r="A13155">
        <f>HYPERLINK("https://www.philgeps.gov.ph/GEPSNONPILOT/Tender/SplashBidNoticeAbstractUI.aspx?menuIndex=3&amp;refID=7134596&amp;Result=3","7134596")</f>
        <v>0</v>
      </c>
      <c r="B13155" t="s">
        <v>2340</v>
      </c>
      <c r="C13155" t="s">
        <v>16318</v>
      </c>
      <c r="D13155" t="s">
        <v>19054</v>
      </c>
      <c r="E13155" t="s">
        <v>30356</v>
      </c>
      <c r="F13155" t="s">
        <v>32833</v>
      </c>
      <c r="G13155" t="s">
        <v>32839</v>
      </c>
      <c r="H13155" t="s">
        <v>32848</v>
      </c>
      <c r="I13155" t="s">
        <v>7751</v>
      </c>
      <c r="J13155" t="s">
        <v>41007</v>
      </c>
      <c r="K13155" t="s">
        <v>42730</v>
      </c>
      <c r="M13155" t="s">
        <v>45527</v>
      </c>
      <c r="N13155" t="s">
        <v>47424</v>
      </c>
      <c r="O13155" t="s">
        <v>47425</v>
      </c>
      <c r="P13155">
        <v>0</v>
      </c>
      <c r="Q13155">
        <v>3</v>
      </c>
      <c r="R13155" t="s">
        <v>47441</v>
      </c>
      <c r="S13155" t="s">
        <v>48049</v>
      </c>
      <c r="T13155" t="s">
        <v>49398</v>
      </c>
      <c r="U13155" t="s">
        <v>60445</v>
      </c>
      <c r="V13155" t="s">
        <v>64091</v>
      </c>
      <c r="W13155" t="s">
        <v>45527</v>
      </c>
      <c r="X13155" t="s">
        <v>47444</v>
      </c>
    </row>
    <row r="13156" spans="1:24">
      <c r="A13156">
        <f>HYPERLINK("https://www.philgeps.gov.ph/GEPSNONPILOT/Tender/SplashBidNoticeAbstractUI.aspx?menuIndex=3&amp;refID=7134516&amp;Result=3","7134516")</f>
        <v>0</v>
      </c>
      <c r="B13156" t="s">
        <v>1411</v>
      </c>
      <c r="C13156" t="s">
        <v>16319</v>
      </c>
      <c r="D13156" t="s">
        <v>19079</v>
      </c>
      <c r="E13156" t="s">
        <v>30357</v>
      </c>
      <c r="F13156" t="s">
        <v>32831</v>
      </c>
      <c r="G13156" t="s">
        <v>32839</v>
      </c>
      <c r="H13156" t="s">
        <v>32848</v>
      </c>
      <c r="I13156" t="s">
        <v>4558</v>
      </c>
      <c r="J13156" t="s">
        <v>41008</v>
      </c>
      <c r="K13156" t="s">
        <v>42745</v>
      </c>
      <c r="M13156" t="s">
        <v>44498</v>
      </c>
      <c r="N13156" t="s">
        <v>47424</v>
      </c>
      <c r="O13156" t="s">
        <v>47425</v>
      </c>
      <c r="P13156">
        <v>0</v>
      </c>
      <c r="Q13156">
        <v>6</v>
      </c>
      <c r="R13156" t="s">
        <v>47441</v>
      </c>
      <c r="S13156" t="s">
        <v>48049</v>
      </c>
      <c r="T13156" t="s">
        <v>49106</v>
      </c>
      <c r="U13156" t="s">
        <v>60446</v>
      </c>
      <c r="W13156" t="s">
        <v>44498</v>
      </c>
      <c r="X13156" t="s">
        <v>47444</v>
      </c>
    </row>
    <row r="13157" spans="1:24">
      <c r="A13157">
        <f>HYPERLINK("https://www.philgeps.gov.ph/GEPSNONPILOT/Tender/SplashBidNoticeAbstractUI.aspx?menuIndex=3&amp;refID=7133763&amp;Result=3","7133763")</f>
        <v>0</v>
      </c>
      <c r="B13157" t="s">
        <v>180</v>
      </c>
      <c r="C13157" t="s">
        <v>16320</v>
      </c>
      <c r="D13157" t="s">
        <v>19021</v>
      </c>
      <c r="E13157" t="s">
        <v>30358</v>
      </c>
      <c r="F13157" t="s">
        <v>32831</v>
      </c>
      <c r="G13157" t="s">
        <v>32839</v>
      </c>
      <c r="H13157" t="s">
        <v>32849</v>
      </c>
      <c r="I13157" t="s">
        <v>4177</v>
      </c>
      <c r="J13157" t="s">
        <v>33528</v>
      </c>
      <c r="K13157" t="s">
        <v>42732</v>
      </c>
      <c r="M13157" t="s">
        <v>43178</v>
      </c>
      <c r="N13157" t="s">
        <v>47424</v>
      </c>
      <c r="O13157" t="s">
        <v>47425</v>
      </c>
      <c r="P13157">
        <v>0</v>
      </c>
      <c r="Q13157">
        <v>1</v>
      </c>
      <c r="R13157" t="s">
        <v>47441</v>
      </c>
      <c r="S13157" t="s">
        <v>48049</v>
      </c>
      <c r="T13157" t="s">
        <v>49066</v>
      </c>
      <c r="U13157" t="s">
        <v>60447</v>
      </c>
      <c r="W13157" t="s">
        <v>43178</v>
      </c>
      <c r="X13157" t="s">
        <v>47444</v>
      </c>
    </row>
    <row r="13158" spans="1:24">
      <c r="A13158">
        <f>HYPERLINK("https://www.philgeps.gov.ph/GEPSNONPILOT/Tender/SplashBidNoticeAbstractUI.aspx?menuIndex=3&amp;refID=7134509&amp;Result=3","7134509")</f>
        <v>0</v>
      </c>
      <c r="B13158" t="s">
        <v>3683</v>
      </c>
      <c r="C13158" t="s">
        <v>16321</v>
      </c>
      <c r="D13158" t="s">
        <v>19082</v>
      </c>
      <c r="E13158" t="s">
        <v>30359</v>
      </c>
      <c r="F13158" t="s">
        <v>32831</v>
      </c>
      <c r="G13158" t="s">
        <v>32839</v>
      </c>
      <c r="H13158" t="s">
        <v>32849</v>
      </c>
      <c r="I13158" t="s">
        <v>32913</v>
      </c>
      <c r="J13158" t="s">
        <v>33031</v>
      </c>
      <c r="K13158" t="s">
        <v>42730</v>
      </c>
      <c r="M13158" t="s">
        <v>47061</v>
      </c>
      <c r="N13158" t="s">
        <v>47424</v>
      </c>
      <c r="O13158" t="s">
        <v>47425</v>
      </c>
      <c r="P13158">
        <v>0</v>
      </c>
      <c r="Q13158">
        <v>0</v>
      </c>
      <c r="R13158" t="s">
        <v>47441</v>
      </c>
      <c r="S13158" t="s">
        <v>48049</v>
      </c>
      <c r="T13158" t="s">
        <v>49091</v>
      </c>
      <c r="U13158" t="s">
        <v>60448</v>
      </c>
      <c r="W13158" t="s">
        <v>47061</v>
      </c>
      <c r="X13158" t="s">
        <v>47444</v>
      </c>
    </row>
    <row r="13159" spans="1:24">
      <c r="A13159">
        <f>HYPERLINK("https://www.philgeps.gov.ph/GEPSNONPILOT/Tender/SplashBidNoticeAbstractUI.aspx?menuIndex=3&amp;refID=7134467&amp;Result=3","7134467")</f>
        <v>0</v>
      </c>
      <c r="B13159" t="s">
        <v>3684</v>
      </c>
      <c r="C13159" t="s">
        <v>16322</v>
      </c>
      <c r="D13159" t="s">
        <v>19037</v>
      </c>
      <c r="E13159" t="s">
        <v>19865</v>
      </c>
      <c r="F13159" t="s">
        <v>32831</v>
      </c>
      <c r="G13159" t="s">
        <v>32839</v>
      </c>
      <c r="H13159" t="s">
        <v>32848</v>
      </c>
      <c r="I13159" t="s">
        <v>4558</v>
      </c>
      <c r="J13159" t="s">
        <v>41009</v>
      </c>
      <c r="K13159" t="s">
        <v>42730</v>
      </c>
      <c r="L13159" t="s">
        <v>3684</v>
      </c>
      <c r="M13159" t="s">
        <v>47062</v>
      </c>
      <c r="N13159" t="s">
        <v>47424</v>
      </c>
      <c r="O13159" t="s">
        <v>47425</v>
      </c>
      <c r="P13159">
        <v>0</v>
      </c>
      <c r="Q13159">
        <v>8</v>
      </c>
      <c r="R13159" t="s">
        <v>47441</v>
      </c>
      <c r="S13159" t="s">
        <v>48049</v>
      </c>
      <c r="T13159" t="s">
        <v>49111</v>
      </c>
      <c r="U13159" t="s">
        <v>60449</v>
      </c>
      <c r="V13159" t="s">
        <v>62754</v>
      </c>
      <c r="W13159" t="s">
        <v>47062</v>
      </c>
      <c r="X13159" t="s">
        <v>47444</v>
      </c>
    </row>
    <row r="13160" spans="1:24">
      <c r="A13160">
        <f>HYPERLINK("https://www.philgeps.gov.ph/GEPSNONPILOT/Tender/SplashBidNoticeAbstractUI.aspx?menuIndex=3&amp;refID=7134647&amp;Result=3","7134647")</f>
        <v>0</v>
      </c>
      <c r="B13160" t="s">
        <v>1411</v>
      </c>
      <c r="C13160" t="s">
        <v>16323</v>
      </c>
      <c r="D13160" t="s">
        <v>19079</v>
      </c>
      <c r="E13160" t="s">
        <v>30360</v>
      </c>
      <c r="F13160" t="s">
        <v>32831</v>
      </c>
      <c r="G13160" t="s">
        <v>32839</v>
      </c>
      <c r="H13160" t="s">
        <v>32849</v>
      </c>
      <c r="I13160" t="s">
        <v>4177</v>
      </c>
      <c r="J13160" t="s">
        <v>41010</v>
      </c>
      <c r="K13160" t="s">
        <v>42862</v>
      </c>
      <c r="M13160" t="s">
        <v>44498</v>
      </c>
      <c r="N13160" t="s">
        <v>47424</v>
      </c>
      <c r="O13160" t="s">
        <v>47425</v>
      </c>
      <c r="P13160">
        <v>0</v>
      </c>
      <c r="Q13160">
        <v>1</v>
      </c>
      <c r="R13160" t="s">
        <v>47441</v>
      </c>
      <c r="S13160" t="s">
        <v>48049</v>
      </c>
      <c r="T13160" t="s">
        <v>49106</v>
      </c>
      <c r="U13160" t="s">
        <v>60450</v>
      </c>
      <c r="W13160" t="s">
        <v>44498</v>
      </c>
      <c r="X13160" t="s">
        <v>47444</v>
      </c>
    </row>
    <row r="13161" spans="1:24">
      <c r="A13161">
        <f>HYPERLINK("https://www.philgeps.gov.ph/GEPSNONPILOT/Tender/SplashBidNoticeAbstractUI.aspx?menuIndex=3&amp;refID=7134452&amp;Result=3","7134452")</f>
        <v>0</v>
      </c>
      <c r="B13161" t="s">
        <v>3675</v>
      </c>
      <c r="C13161" t="s">
        <v>16324</v>
      </c>
      <c r="D13161" t="s">
        <v>19038</v>
      </c>
      <c r="E13161" t="s">
        <v>30299</v>
      </c>
      <c r="F13161" t="s">
        <v>32833</v>
      </c>
      <c r="G13161" t="s">
        <v>32839</v>
      </c>
      <c r="H13161" t="s">
        <v>32848</v>
      </c>
      <c r="I13161" t="s">
        <v>32852</v>
      </c>
      <c r="J13161" t="s">
        <v>32980</v>
      </c>
      <c r="K13161" t="s">
        <v>42750</v>
      </c>
      <c r="L13161" t="s">
        <v>3675</v>
      </c>
      <c r="M13161" t="s">
        <v>47052</v>
      </c>
      <c r="N13161" t="s">
        <v>47424</v>
      </c>
      <c r="O13161" t="s">
        <v>47425</v>
      </c>
      <c r="P13161">
        <v>0</v>
      </c>
      <c r="Q13161">
        <v>1</v>
      </c>
      <c r="R13161" t="s">
        <v>47441</v>
      </c>
      <c r="S13161" t="s">
        <v>48049</v>
      </c>
      <c r="T13161" t="s">
        <v>49129</v>
      </c>
      <c r="U13161" t="s">
        <v>60451</v>
      </c>
      <c r="W13161" t="s">
        <v>47052</v>
      </c>
      <c r="X13161" t="s">
        <v>47444</v>
      </c>
    </row>
    <row r="13162" spans="1:24">
      <c r="A13162">
        <f>HYPERLINK("https://www.philgeps.gov.ph/GEPSNONPILOT/Tender/SplashBidNoticeAbstractUI.aspx?menuIndex=3&amp;refID=7134538&amp;Result=3","7134538")</f>
        <v>0</v>
      </c>
      <c r="B13162" t="s">
        <v>1606</v>
      </c>
      <c r="C13162" t="s">
        <v>16325</v>
      </c>
      <c r="E13162" t="s">
        <v>30361</v>
      </c>
      <c r="F13162" t="s">
        <v>32831</v>
      </c>
      <c r="G13162" t="s">
        <v>32839</v>
      </c>
      <c r="H13162" t="s">
        <v>32848</v>
      </c>
      <c r="I13162" t="s">
        <v>32871</v>
      </c>
      <c r="J13162" t="s">
        <v>34447</v>
      </c>
      <c r="K13162" t="s">
        <v>42732</v>
      </c>
      <c r="M13162" t="s">
        <v>46800</v>
      </c>
      <c r="N13162" t="s">
        <v>47424</v>
      </c>
      <c r="O13162" t="s">
        <v>47425</v>
      </c>
      <c r="Q13162">
        <v>36</v>
      </c>
      <c r="R13162" t="s">
        <v>47441</v>
      </c>
      <c r="S13162" t="s">
        <v>48085</v>
      </c>
      <c r="T13162" t="s">
        <v>49066</v>
      </c>
      <c r="U13162" t="s">
        <v>60452</v>
      </c>
      <c r="W13162" t="s">
        <v>46800</v>
      </c>
      <c r="X13162" t="s">
        <v>47444</v>
      </c>
    </row>
    <row r="13163" spans="1:24">
      <c r="A13163">
        <f>HYPERLINK("https://www.philgeps.gov.ph/GEPSNONPILOT/Tender/SplashBidNoticeAbstractUI.aspx?menuIndex=3&amp;refID=7134942&amp;Result=3","7134942")</f>
        <v>0</v>
      </c>
      <c r="B13163" t="s">
        <v>762</v>
      </c>
      <c r="C13163" t="s">
        <v>12497</v>
      </c>
      <c r="E13163" t="s">
        <v>26995</v>
      </c>
      <c r="F13163" t="s">
        <v>32831</v>
      </c>
      <c r="G13163" t="s">
        <v>32841</v>
      </c>
      <c r="H13163" t="s">
        <v>32849</v>
      </c>
      <c r="I13163" t="s">
        <v>4177</v>
      </c>
      <c r="J13163" t="s">
        <v>38637</v>
      </c>
      <c r="K13163" t="s">
        <v>42732</v>
      </c>
      <c r="M13163" t="s">
        <v>43788</v>
      </c>
      <c r="N13163" t="s">
        <v>47424</v>
      </c>
      <c r="O13163" t="s">
        <v>47425</v>
      </c>
      <c r="P13163">
        <v>0</v>
      </c>
      <c r="Q13163">
        <v>2</v>
      </c>
      <c r="R13163" t="s">
        <v>47441</v>
      </c>
      <c r="S13163" t="s">
        <v>48049</v>
      </c>
      <c r="T13163" t="s">
        <v>49059</v>
      </c>
      <c r="U13163" t="s">
        <v>57219</v>
      </c>
      <c r="W13163" t="s">
        <v>43788</v>
      </c>
      <c r="X13163" t="s">
        <v>47444</v>
      </c>
    </row>
    <row r="13164" spans="1:24">
      <c r="A13164">
        <f>HYPERLINK("https://www.philgeps.gov.ph/GEPSNONPILOT/Tender/SplashBidNoticeAbstractUI.aspx?menuIndex=3&amp;refID=7134514&amp;Result=3","7134514")</f>
        <v>0</v>
      </c>
      <c r="B13164" t="s">
        <v>3670</v>
      </c>
      <c r="C13164" t="s">
        <v>16326</v>
      </c>
      <c r="D13164" t="s">
        <v>19064</v>
      </c>
      <c r="E13164" t="s">
        <v>30362</v>
      </c>
      <c r="F13164" t="s">
        <v>32831</v>
      </c>
      <c r="G13164" t="s">
        <v>32839</v>
      </c>
      <c r="H13164" t="s">
        <v>32848</v>
      </c>
      <c r="I13164" t="s">
        <v>32871</v>
      </c>
      <c r="J13164" t="s">
        <v>41011</v>
      </c>
      <c r="K13164" t="s">
        <v>42729</v>
      </c>
      <c r="M13164" t="s">
        <v>47043</v>
      </c>
      <c r="N13164" t="s">
        <v>47424</v>
      </c>
      <c r="O13164" t="s">
        <v>47425</v>
      </c>
      <c r="P13164">
        <v>0</v>
      </c>
      <c r="Q13164">
        <v>14</v>
      </c>
      <c r="R13164" t="s">
        <v>47441</v>
      </c>
      <c r="S13164" t="s">
        <v>48049</v>
      </c>
      <c r="T13164" t="s">
        <v>49091</v>
      </c>
      <c r="U13164" t="s">
        <v>60453</v>
      </c>
      <c r="W13164" t="s">
        <v>47043</v>
      </c>
      <c r="X13164" t="s">
        <v>47444</v>
      </c>
    </row>
    <row r="13165" spans="1:24">
      <c r="A13165">
        <f>HYPERLINK("https://www.philgeps.gov.ph/GEPSNONPILOT/Tender/SplashBidNoticeAbstractUI.aspx?menuIndex=3&amp;refID=7134894&amp;Result=3","7134894")</f>
        <v>0</v>
      </c>
      <c r="B13165" t="s">
        <v>308</v>
      </c>
      <c r="C13165" t="s">
        <v>16327</v>
      </c>
      <c r="D13165" t="s">
        <v>19077</v>
      </c>
      <c r="E13165" t="s">
        <v>30363</v>
      </c>
      <c r="F13165" t="s">
        <v>32831</v>
      </c>
      <c r="G13165" t="s">
        <v>32839</v>
      </c>
      <c r="H13165" t="s">
        <v>32849</v>
      </c>
      <c r="I13165" t="s">
        <v>4177</v>
      </c>
      <c r="J13165" t="s">
        <v>33118</v>
      </c>
      <c r="K13165" t="s">
        <v>42747</v>
      </c>
      <c r="M13165" t="s">
        <v>43310</v>
      </c>
      <c r="N13165" t="s">
        <v>47424</v>
      </c>
      <c r="O13165" t="s">
        <v>47425</v>
      </c>
      <c r="P13165">
        <v>0</v>
      </c>
      <c r="Q13165">
        <v>2</v>
      </c>
      <c r="R13165" t="s">
        <v>47441</v>
      </c>
      <c r="S13165" t="s">
        <v>48049</v>
      </c>
      <c r="T13165" t="s">
        <v>49073</v>
      </c>
      <c r="U13165" t="s">
        <v>60454</v>
      </c>
      <c r="W13165" t="s">
        <v>43310</v>
      </c>
      <c r="X13165" t="s">
        <v>47444</v>
      </c>
    </row>
    <row r="13166" spans="1:24">
      <c r="A13166">
        <f>HYPERLINK("https://www.philgeps.gov.ph/GEPSNONPILOT/Tender/SplashBidNoticeAbstractUI.aspx?menuIndex=3&amp;refID=7133590&amp;Result=3","7133590")</f>
        <v>0</v>
      </c>
      <c r="B13166" t="s">
        <v>745</v>
      </c>
      <c r="C13166" t="s">
        <v>16328</v>
      </c>
      <c r="D13166" t="s">
        <v>19077</v>
      </c>
      <c r="E13166" t="s">
        <v>30364</v>
      </c>
      <c r="F13166" t="s">
        <v>32831</v>
      </c>
      <c r="G13166" t="s">
        <v>32839</v>
      </c>
      <c r="H13166" t="s">
        <v>32848</v>
      </c>
      <c r="I13166" t="s">
        <v>4177</v>
      </c>
      <c r="J13166" t="s">
        <v>41012</v>
      </c>
      <c r="K13166" t="s">
        <v>42830</v>
      </c>
      <c r="M13166" t="s">
        <v>43768</v>
      </c>
      <c r="N13166" t="s">
        <v>47424</v>
      </c>
      <c r="O13166" t="s">
        <v>47425</v>
      </c>
      <c r="P13166">
        <v>0</v>
      </c>
      <c r="Q13166">
        <v>4</v>
      </c>
      <c r="R13166" t="s">
        <v>47441</v>
      </c>
      <c r="S13166" t="s">
        <v>48049</v>
      </c>
      <c r="T13166" t="s">
        <v>49087</v>
      </c>
      <c r="U13166" t="s">
        <v>60455</v>
      </c>
      <c r="V13166" t="s">
        <v>64092</v>
      </c>
      <c r="W13166" t="s">
        <v>43768</v>
      </c>
      <c r="X13166" t="s">
        <v>47444</v>
      </c>
    </row>
    <row r="13167" spans="1:24">
      <c r="A13167">
        <f>HYPERLINK("https://www.philgeps.gov.ph/GEPSNONPILOT/Tender/SplashBidNoticeAbstractUI.aspx?menuIndex=3&amp;refID=7134879&amp;Result=3","7134879")</f>
        <v>0</v>
      </c>
      <c r="B13167" t="s">
        <v>205</v>
      </c>
      <c r="C13167" t="s">
        <v>16329</v>
      </c>
      <c r="D13167" t="s">
        <v>19055</v>
      </c>
      <c r="E13167" t="s">
        <v>30365</v>
      </c>
      <c r="F13167" t="s">
        <v>32831</v>
      </c>
      <c r="G13167" t="s">
        <v>32839</v>
      </c>
      <c r="H13167" t="s">
        <v>32848</v>
      </c>
      <c r="I13167" t="s">
        <v>9577</v>
      </c>
      <c r="J13167" t="s">
        <v>33040</v>
      </c>
      <c r="K13167" t="s">
        <v>42730</v>
      </c>
      <c r="M13167" t="s">
        <v>43203</v>
      </c>
      <c r="N13167" t="s">
        <v>47424</v>
      </c>
      <c r="O13167" t="s">
        <v>47425</v>
      </c>
      <c r="Q13167">
        <v>0</v>
      </c>
      <c r="R13167" t="s">
        <v>47441</v>
      </c>
      <c r="S13167" t="s">
        <v>48086</v>
      </c>
      <c r="T13167" t="s">
        <v>49237</v>
      </c>
      <c r="U13167" t="s">
        <v>60456</v>
      </c>
      <c r="W13167" t="s">
        <v>43203</v>
      </c>
      <c r="X13167" t="s">
        <v>47444</v>
      </c>
    </row>
    <row r="13168" spans="1:24">
      <c r="A13168">
        <f>HYPERLINK("https://www.philgeps.gov.ph/GEPSNONPILOT/Tender/SplashBidNoticeAbstractUI.aspx?menuIndex=3&amp;refID=7134587&amp;Result=3","7134587")</f>
        <v>0</v>
      </c>
      <c r="B13168" t="s">
        <v>1411</v>
      </c>
      <c r="C13168" t="s">
        <v>16330</v>
      </c>
      <c r="D13168" t="s">
        <v>19079</v>
      </c>
      <c r="E13168" t="s">
        <v>30366</v>
      </c>
      <c r="F13168" t="s">
        <v>32831</v>
      </c>
      <c r="G13168" t="s">
        <v>32839</v>
      </c>
      <c r="H13168" t="s">
        <v>32848</v>
      </c>
      <c r="I13168" t="s">
        <v>7751</v>
      </c>
      <c r="J13168" t="s">
        <v>36645</v>
      </c>
      <c r="K13168" t="s">
        <v>42730</v>
      </c>
      <c r="M13168" t="s">
        <v>44498</v>
      </c>
      <c r="N13168" t="s">
        <v>47424</v>
      </c>
      <c r="O13168" t="s">
        <v>47425</v>
      </c>
      <c r="P13168">
        <v>0</v>
      </c>
      <c r="Q13168">
        <v>4</v>
      </c>
      <c r="R13168" t="s">
        <v>47441</v>
      </c>
      <c r="S13168" t="s">
        <v>48049</v>
      </c>
      <c r="T13168" t="s">
        <v>49106</v>
      </c>
      <c r="U13168" t="s">
        <v>60446</v>
      </c>
      <c r="W13168" t="s">
        <v>44498</v>
      </c>
      <c r="X13168" t="s">
        <v>47444</v>
      </c>
    </row>
    <row r="13169" spans="1:24">
      <c r="A13169">
        <f>HYPERLINK("https://www.philgeps.gov.ph/GEPSNONPILOT/Tender/SplashBidNoticeAbstractUI.aspx?menuIndex=3&amp;refID=7134875&amp;Result=3","7134875")</f>
        <v>0</v>
      </c>
      <c r="B13169" t="s">
        <v>3377</v>
      </c>
      <c r="C13169" t="s">
        <v>16331</v>
      </c>
      <c r="D13169" t="s">
        <v>19058</v>
      </c>
      <c r="E13169" t="s">
        <v>30367</v>
      </c>
      <c r="F13169" t="s">
        <v>32831</v>
      </c>
      <c r="G13169" t="s">
        <v>32839</v>
      </c>
      <c r="H13169" t="s">
        <v>32849</v>
      </c>
      <c r="I13169" t="s">
        <v>4177</v>
      </c>
      <c r="J13169" t="s">
        <v>41013</v>
      </c>
      <c r="K13169" t="s">
        <v>42736</v>
      </c>
      <c r="M13169" t="s">
        <v>46704</v>
      </c>
      <c r="N13169" t="s">
        <v>47424</v>
      </c>
      <c r="O13169" t="s">
        <v>47425</v>
      </c>
      <c r="P13169">
        <v>0</v>
      </c>
      <c r="Q13169">
        <v>0</v>
      </c>
      <c r="R13169" t="s">
        <v>47441</v>
      </c>
      <c r="S13169" t="s">
        <v>48049</v>
      </c>
      <c r="T13169" t="s">
        <v>49066</v>
      </c>
      <c r="U13169" t="s">
        <v>60457</v>
      </c>
      <c r="W13169" t="s">
        <v>46704</v>
      </c>
      <c r="X13169" t="s">
        <v>47444</v>
      </c>
    </row>
    <row r="13170" spans="1:24">
      <c r="A13170">
        <f>HYPERLINK("https://www.philgeps.gov.ph/GEPSNONPILOT/Tender/SplashBidNoticeAbstractUI.aspx?menuIndex=3&amp;refID=7134856&amp;Result=3","7134856")</f>
        <v>0</v>
      </c>
      <c r="B13170" t="s">
        <v>308</v>
      </c>
      <c r="C13170" t="s">
        <v>16332</v>
      </c>
      <c r="D13170" t="s">
        <v>19077</v>
      </c>
      <c r="E13170" t="s">
        <v>30368</v>
      </c>
      <c r="F13170" t="s">
        <v>32831</v>
      </c>
      <c r="G13170" t="s">
        <v>32839</v>
      </c>
      <c r="H13170" t="s">
        <v>32849</v>
      </c>
      <c r="I13170" t="s">
        <v>4177</v>
      </c>
      <c r="J13170" t="s">
        <v>36025</v>
      </c>
      <c r="K13170" t="s">
        <v>42770</v>
      </c>
      <c r="M13170" t="s">
        <v>43310</v>
      </c>
      <c r="N13170" t="s">
        <v>47424</v>
      </c>
      <c r="O13170" t="s">
        <v>47425</v>
      </c>
      <c r="P13170">
        <v>0</v>
      </c>
      <c r="Q13170">
        <v>1</v>
      </c>
      <c r="R13170" t="s">
        <v>47441</v>
      </c>
      <c r="S13170" t="s">
        <v>48049</v>
      </c>
      <c r="T13170" t="s">
        <v>49073</v>
      </c>
      <c r="U13170" t="s">
        <v>60458</v>
      </c>
      <c r="W13170" t="s">
        <v>43310</v>
      </c>
      <c r="X13170" t="s">
        <v>47444</v>
      </c>
    </row>
    <row r="13171" spans="1:24">
      <c r="A13171">
        <f>HYPERLINK("https://www.philgeps.gov.ph/GEPSNONPILOT/Tender/SplashBidNoticeAbstractUI.aspx?menuIndex=3&amp;refID=7134904&amp;Result=3","7134904")</f>
        <v>0</v>
      </c>
      <c r="B13171" t="s">
        <v>3623</v>
      </c>
      <c r="C13171" t="s">
        <v>16333</v>
      </c>
      <c r="D13171" t="s">
        <v>19039</v>
      </c>
      <c r="E13171" t="s">
        <v>19219</v>
      </c>
      <c r="F13171" t="s">
        <v>32831</v>
      </c>
      <c r="G13171" t="s">
        <v>32839</v>
      </c>
      <c r="H13171" t="s">
        <v>32848</v>
      </c>
      <c r="I13171" t="s">
        <v>7416</v>
      </c>
      <c r="J13171" t="s">
        <v>41014</v>
      </c>
      <c r="K13171" t="s">
        <v>42794</v>
      </c>
      <c r="M13171" t="s">
        <v>46992</v>
      </c>
      <c r="N13171" t="s">
        <v>47424</v>
      </c>
      <c r="O13171" t="s">
        <v>47425</v>
      </c>
      <c r="P13171">
        <v>0</v>
      </c>
      <c r="Q13171">
        <v>1</v>
      </c>
      <c r="R13171" t="s">
        <v>47441</v>
      </c>
      <c r="S13171" t="s">
        <v>48049</v>
      </c>
      <c r="T13171" t="s">
        <v>49068</v>
      </c>
      <c r="U13171" t="s">
        <v>60459</v>
      </c>
      <c r="V13171" t="s">
        <v>62631</v>
      </c>
      <c r="W13171" t="s">
        <v>46992</v>
      </c>
      <c r="X13171" t="s">
        <v>47444</v>
      </c>
    </row>
    <row r="13172" spans="1:24">
      <c r="A13172">
        <f>HYPERLINK("https://www.philgeps.gov.ph/GEPSNONPILOT/Tender/SplashBidNoticeAbstractUI.aspx?menuIndex=3&amp;refID=7134851&amp;Result=3","7134851")</f>
        <v>0</v>
      </c>
      <c r="B13172" t="s">
        <v>3377</v>
      </c>
      <c r="C13172" t="s">
        <v>16334</v>
      </c>
      <c r="D13172" t="s">
        <v>19058</v>
      </c>
      <c r="E13172" t="s">
        <v>30369</v>
      </c>
      <c r="F13172" t="s">
        <v>32831</v>
      </c>
      <c r="G13172" t="s">
        <v>32839</v>
      </c>
      <c r="H13172" t="s">
        <v>32849</v>
      </c>
      <c r="I13172" t="s">
        <v>4177</v>
      </c>
      <c r="J13172" t="s">
        <v>41013</v>
      </c>
      <c r="K13172" t="s">
        <v>42736</v>
      </c>
      <c r="M13172" t="s">
        <v>46704</v>
      </c>
      <c r="N13172" t="s">
        <v>47424</v>
      </c>
      <c r="O13172" t="s">
        <v>47425</v>
      </c>
      <c r="P13172">
        <v>0</v>
      </c>
      <c r="Q13172">
        <v>0</v>
      </c>
      <c r="R13172" t="s">
        <v>47441</v>
      </c>
      <c r="S13172" t="s">
        <v>48049</v>
      </c>
      <c r="T13172" t="s">
        <v>49066</v>
      </c>
      <c r="U13172" t="s">
        <v>60460</v>
      </c>
      <c r="W13172" t="s">
        <v>46704</v>
      </c>
      <c r="X13172" t="s">
        <v>47444</v>
      </c>
    </row>
    <row r="13173" spans="1:24">
      <c r="A13173">
        <f>HYPERLINK("https://www.philgeps.gov.ph/GEPSNONPILOT/Tender/SplashBidNoticeAbstractUI.aspx?menuIndex=3&amp;refID=7134482&amp;Result=3","7134482")</f>
        <v>0</v>
      </c>
      <c r="B13173" t="s">
        <v>1411</v>
      </c>
      <c r="C13173" t="s">
        <v>16335</v>
      </c>
      <c r="D13173" t="s">
        <v>19079</v>
      </c>
      <c r="E13173" t="s">
        <v>30370</v>
      </c>
      <c r="F13173" t="s">
        <v>32831</v>
      </c>
      <c r="G13173" t="s">
        <v>32839</v>
      </c>
      <c r="H13173" t="s">
        <v>32848</v>
      </c>
      <c r="I13173" t="s">
        <v>7751</v>
      </c>
      <c r="J13173" t="s">
        <v>33528</v>
      </c>
      <c r="K13173" t="s">
        <v>42745</v>
      </c>
      <c r="M13173" t="s">
        <v>44498</v>
      </c>
      <c r="N13173" t="s">
        <v>47424</v>
      </c>
      <c r="O13173" t="s">
        <v>47425</v>
      </c>
      <c r="Q13173">
        <v>10</v>
      </c>
      <c r="R13173" t="s">
        <v>47441</v>
      </c>
      <c r="S13173" t="s">
        <v>47752</v>
      </c>
      <c r="T13173" t="s">
        <v>49106</v>
      </c>
      <c r="U13173" t="s">
        <v>60461</v>
      </c>
      <c r="W13173" t="s">
        <v>44498</v>
      </c>
      <c r="X13173" t="s">
        <v>47444</v>
      </c>
    </row>
    <row r="13174" spans="1:24">
      <c r="A13174">
        <f>HYPERLINK("https://www.philgeps.gov.ph/GEPSNONPILOT/Tender/SplashBidNoticeAbstractUI.aspx?menuIndex=3&amp;refID=7134835&amp;Result=3","7134835")</f>
        <v>0</v>
      </c>
      <c r="B13174" t="s">
        <v>205</v>
      </c>
      <c r="C13174" t="s">
        <v>16336</v>
      </c>
      <c r="D13174" t="s">
        <v>19055</v>
      </c>
      <c r="E13174" t="s">
        <v>30371</v>
      </c>
      <c r="F13174" t="s">
        <v>32831</v>
      </c>
      <c r="G13174" t="s">
        <v>32839</v>
      </c>
      <c r="H13174" t="s">
        <v>32848</v>
      </c>
      <c r="I13174" t="s">
        <v>32909</v>
      </c>
      <c r="J13174" t="s">
        <v>41015</v>
      </c>
      <c r="K13174" t="s">
        <v>42730</v>
      </c>
      <c r="M13174" t="s">
        <v>43203</v>
      </c>
      <c r="N13174" t="s">
        <v>47424</v>
      </c>
      <c r="O13174" t="s">
        <v>47425</v>
      </c>
      <c r="P13174">
        <v>0</v>
      </c>
      <c r="Q13174">
        <v>3</v>
      </c>
      <c r="R13174" t="s">
        <v>47441</v>
      </c>
      <c r="S13174" t="s">
        <v>48049</v>
      </c>
      <c r="T13174" t="s">
        <v>49237</v>
      </c>
      <c r="U13174" t="s">
        <v>60462</v>
      </c>
      <c r="W13174" t="s">
        <v>43203</v>
      </c>
      <c r="X13174" t="s">
        <v>47444</v>
      </c>
    </row>
    <row r="13175" spans="1:24">
      <c r="A13175">
        <f>HYPERLINK("https://www.philgeps.gov.ph/GEPSNONPILOT/Tender/SplashBidNoticeAbstractUI.aspx?menuIndex=3&amp;refID=7133743&amp;Result=3","7133743")</f>
        <v>0</v>
      </c>
      <c r="B13175" t="s">
        <v>263</v>
      </c>
      <c r="C13175" t="s">
        <v>16337</v>
      </c>
      <c r="D13175" t="s">
        <v>19083</v>
      </c>
      <c r="E13175" t="s">
        <v>30372</v>
      </c>
      <c r="F13175" t="s">
        <v>32831</v>
      </c>
      <c r="G13175" t="s">
        <v>32839</v>
      </c>
      <c r="H13175" t="s">
        <v>32849</v>
      </c>
      <c r="I13175" t="s">
        <v>4177</v>
      </c>
      <c r="J13175" t="s">
        <v>33066</v>
      </c>
      <c r="K13175" t="s">
        <v>42770</v>
      </c>
      <c r="M13175" t="s">
        <v>43262</v>
      </c>
      <c r="N13175" t="s">
        <v>47424</v>
      </c>
      <c r="O13175" t="s">
        <v>47425</v>
      </c>
      <c r="P13175">
        <v>0</v>
      </c>
      <c r="Q13175">
        <v>0</v>
      </c>
      <c r="R13175" t="s">
        <v>47441</v>
      </c>
      <c r="S13175" t="s">
        <v>48049</v>
      </c>
      <c r="T13175" t="s">
        <v>49059</v>
      </c>
      <c r="U13175" t="s">
        <v>60463</v>
      </c>
      <c r="W13175" t="s">
        <v>43262</v>
      </c>
      <c r="X13175" t="s">
        <v>47444</v>
      </c>
    </row>
    <row r="13176" spans="1:24">
      <c r="A13176">
        <f>HYPERLINK("https://www.philgeps.gov.ph/GEPSNONPILOT/Tender/SplashBidNoticeAbstractUI.aspx?menuIndex=3&amp;refID=7134768&amp;Result=3","7134768")</f>
        <v>0</v>
      </c>
      <c r="B13176" t="s">
        <v>3377</v>
      </c>
      <c r="C13176" t="s">
        <v>16338</v>
      </c>
      <c r="D13176" t="s">
        <v>19058</v>
      </c>
      <c r="E13176" t="s">
        <v>24153</v>
      </c>
      <c r="F13176" t="s">
        <v>32831</v>
      </c>
      <c r="G13176" t="s">
        <v>32839</v>
      </c>
      <c r="H13176" t="s">
        <v>32849</v>
      </c>
      <c r="I13176" t="s">
        <v>4177</v>
      </c>
      <c r="J13176" t="s">
        <v>41013</v>
      </c>
      <c r="K13176" t="s">
        <v>42736</v>
      </c>
      <c r="M13176" t="s">
        <v>46704</v>
      </c>
      <c r="N13176" t="s">
        <v>47424</v>
      </c>
      <c r="O13176" t="s">
        <v>47425</v>
      </c>
      <c r="P13176">
        <v>0</v>
      </c>
      <c r="Q13176">
        <v>0</v>
      </c>
      <c r="R13176" t="s">
        <v>47441</v>
      </c>
      <c r="S13176" t="s">
        <v>48049</v>
      </c>
      <c r="T13176" t="s">
        <v>49066</v>
      </c>
      <c r="U13176" t="s">
        <v>60464</v>
      </c>
      <c r="W13176" t="s">
        <v>46704</v>
      </c>
      <c r="X13176" t="s">
        <v>47444</v>
      </c>
    </row>
    <row r="13177" spans="1:24">
      <c r="A13177">
        <f>HYPERLINK("https://www.philgeps.gov.ph/GEPSNONPILOT/Tender/SplashBidNoticeAbstractUI.aspx?menuIndex=3&amp;refID=7134796&amp;Result=3","7134796")</f>
        <v>0</v>
      </c>
      <c r="B13177" t="s">
        <v>3683</v>
      </c>
      <c r="C13177" t="s">
        <v>16339</v>
      </c>
      <c r="D13177" t="s">
        <v>19082</v>
      </c>
      <c r="E13177" t="s">
        <v>30373</v>
      </c>
      <c r="F13177" t="s">
        <v>32831</v>
      </c>
      <c r="G13177" t="s">
        <v>32839</v>
      </c>
      <c r="H13177" t="s">
        <v>32849</v>
      </c>
      <c r="I13177" t="s">
        <v>32913</v>
      </c>
      <c r="J13177" t="s">
        <v>33087</v>
      </c>
      <c r="K13177" t="s">
        <v>42730</v>
      </c>
      <c r="M13177" t="s">
        <v>47061</v>
      </c>
      <c r="N13177" t="s">
        <v>47424</v>
      </c>
      <c r="O13177" t="s">
        <v>47425</v>
      </c>
      <c r="P13177">
        <v>0</v>
      </c>
      <c r="Q13177">
        <v>0</v>
      </c>
      <c r="R13177" t="s">
        <v>47441</v>
      </c>
      <c r="S13177" t="s">
        <v>48049</v>
      </c>
      <c r="T13177" t="s">
        <v>49091</v>
      </c>
      <c r="U13177" t="s">
        <v>60448</v>
      </c>
      <c r="W13177" t="s">
        <v>47061</v>
      </c>
      <c r="X13177" t="s">
        <v>47444</v>
      </c>
    </row>
    <row r="13178" spans="1:24">
      <c r="A13178">
        <f>HYPERLINK("https://www.philgeps.gov.ph/GEPSNONPILOT/Tender/SplashBidNoticeAbstractUI.aspx?menuIndex=3&amp;refID=7134741&amp;Result=3","7134741")</f>
        <v>0</v>
      </c>
      <c r="B13178" t="s">
        <v>3672</v>
      </c>
      <c r="C13178" t="s">
        <v>16224</v>
      </c>
      <c r="D13178" t="s">
        <v>19037</v>
      </c>
      <c r="E13178" t="s">
        <v>30374</v>
      </c>
      <c r="F13178" t="s">
        <v>32831</v>
      </c>
      <c r="G13178" t="s">
        <v>32839</v>
      </c>
      <c r="H13178" t="s">
        <v>32849</v>
      </c>
      <c r="I13178" t="s">
        <v>4177</v>
      </c>
      <c r="J13178" t="s">
        <v>33083</v>
      </c>
      <c r="K13178" t="s">
        <v>42770</v>
      </c>
      <c r="M13178" t="s">
        <v>47045</v>
      </c>
      <c r="N13178" t="s">
        <v>47424</v>
      </c>
      <c r="O13178" t="s">
        <v>47425</v>
      </c>
      <c r="P13178">
        <v>0</v>
      </c>
      <c r="Q13178">
        <v>2</v>
      </c>
      <c r="R13178" t="s">
        <v>47441</v>
      </c>
      <c r="S13178" t="s">
        <v>48049</v>
      </c>
      <c r="T13178" t="s">
        <v>49066</v>
      </c>
      <c r="U13178" t="s">
        <v>60465</v>
      </c>
      <c r="W13178" t="s">
        <v>47045</v>
      </c>
      <c r="X13178" t="s">
        <v>47444</v>
      </c>
    </row>
    <row r="13179" spans="1:24">
      <c r="A13179">
        <f>HYPERLINK("https://www.philgeps.gov.ph/GEPSNONPILOT/Tender/SplashBidNoticeAbstractUI.aspx?menuIndex=3&amp;refID=7134712&amp;Result=3","7134712")</f>
        <v>0</v>
      </c>
      <c r="B13179" t="s">
        <v>2039</v>
      </c>
      <c r="C13179" t="s">
        <v>16340</v>
      </c>
      <c r="D13179" t="s">
        <v>19080</v>
      </c>
      <c r="E13179" t="s">
        <v>30375</v>
      </c>
      <c r="F13179" t="s">
        <v>32831</v>
      </c>
      <c r="G13179" t="s">
        <v>32839</v>
      </c>
      <c r="H13179" t="s">
        <v>32849</v>
      </c>
      <c r="I13179" t="s">
        <v>4177</v>
      </c>
      <c r="J13179" t="s">
        <v>36019</v>
      </c>
      <c r="K13179" t="s">
        <v>42780</v>
      </c>
      <c r="M13179" t="s">
        <v>45208</v>
      </c>
      <c r="N13179" t="s">
        <v>47424</v>
      </c>
      <c r="O13179" t="s">
        <v>47425</v>
      </c>
      <c r="P13179">
        <v>0</v>
      </c>
      <c r="Q13179">
        <v>0</v>
      </c>
      <c r="R13179" t="s">
        <v>47441</v>
      </c>
      <c r="S13179" t="s">
        <v>48049</v>
      </c>
      <c r="T13179" t="s">
        <v>49059</v>
      </c>
      <c r="U13179" t="s">
        <v>56395</v>
      </c>
      <c r="W13179" t="s">
        <v>45208</v>
      </c>
      <c r="X13179" t="s">
        <v>47444</v>
      </c>
    </row>
    <row r="13180" spans="1:24">
      <c r="A13180">
        <f>HYPERLINK("https://www.philgeps.gov.ph/GEPSNONPILOT/Tender/SplashBidNoticeAbstractUI.aspx?menuIndex=3&amp;refID=7134693&amp;Result=3","7134693")</f>
        <v>0</v>
      </c>
      <c r="B13180" t="s">
        <v>3179</v>
      </c>
      <c r="C13180" t="s">
        <v>16341</v>
      </c>
      <c r="E13180" t="s">
        <v>30376</v>
      </c>
      <c r="F13180" t="s">
        <v>32831</v>
      </c>
      <c r="G13180" t="s">
        <v>32839</v>
      </c>
      <c r="H13180" t="s">
        <v>32848</v>
      </c>
      <c r="I13180" t="s">
        <v>32871</v>
      </c>
      <c r="J13180" t="s">
        <v>41016</v>
      </c>
      <c r="K13180" t="s">
        <v>42730</v>
      </c>
      <c r="M13180" t="s">
        <v>46486</v>
      </c>
      <c r="N13180" t="s">
        <v>47424</v>
      </c>
      <c r="O13180" t="s">
        <v>47425</v>
      </c>
      <c r="P13180">
        <v>0</v>
      </c>
      <c r="Q13180">
        <v>35</v>
      </c>
      <c r="R13180" t="s">
        <v>47441</v>
      </c>
      <c r="S13180" t="s">
        <v>48049</v>
      </c>
      <c r="T13180" t="s">
        <v>49066</v>
      </c>
      <c r="U13180" t="s">
        <v>60444</v>
      </c>
      <c r="W13180" t="s">
        <v>46486</v>
      </c>
      <c r="X13180" t="s">
        <v>47444</v>
      </c>
    </row>
    <row r="13181" spans="1:24">
      <c r="A13181">
        <f>HYPERLINK("https://www.philgeps.gov.ph/GEPSNONPILOT/Tender/SplashBidNoticeAbstractUI.aspx?menuIndex=3&amp;refID=7134809&amp;Result=3","7134809")</f>
        <v>0</v>
      </c>
      <c r="B13181" t="s">
        <v>858</v>
      </c>
      <c r="C13181" t="s">
        <v>16342</v>
      </c>
      <c r="D13181" t="s">
        <v>19017</v>
      </c>
      <c r="E13181" t="s">
        <v>30377</v>
      </c>
      <c r="F13181" t="s">
        <v>32831</v>
      </c>
      <c r="G13181" t="s">
        <v>32839</v>
      </c>
      <c r="H13181" t="s">
        <v>32848</v>
      </c>
      <c r="I13181" t="s">
        <v>32860</v>
      </c>
      <c r="J13181" t="s">
        <v>41017</v>
      </c>
      <c r="K13181" t="s">
        <v>42730</v>
      </c>
      <c r="M13181" t="s">
        <v>47063</v>
      </c>
      <c r="N13181" t="s">
        <v>47424</v>
      </c>
      <c r="O13181" t="s">
        <v>47425</v>
      </c>
      <c r="Q13181">
        <v>11</v>
      </c>
      <c r="R13181" t="s">
        <v>47441</v>
      </c>
      <c r="S13181" t="s">
        <v>48087</v>
      </c>
      <c r="T13181" t="s">
        <v>49594</v>
      </c>
      <c r="U13181" t="s">
        <v>60466</v>
      </c>
      <c r="W13181" t="s">
        <v>47063</v>
      </c>
      <c r="X13181" t="s">
        <v>47444</v>
      </c>
    </row>
    <row r="13182" spans="1:24">
      <c r="A13182">
        <f>HYPERLINK("https://www.philgeps.gov.ph/GEPSNONPILOT/Tender/SplashBidNoticeAbstractUI.aspx?menuIndex=3&amp;refID=7134876&amp;Result=3","7134876")</f>
        <v>0</v>
      </c>
      <c r="B13182" t="s">
        <v>3683</v>
      </c>
      <c r="C13182" t="s">
        <v>16343</v>
      </c>
      <c r="D13182" t="s">
        <v>19082</v>
      </c>
      <c r="E13182" t="s">
        <v>30378</v>
      </c>
      <c r="F13182" t="s">
        <v>32831</v>
      </c>
      <c r="G13182" t="s">
        <v>32839</v>
      </c>
      <c r="H13182" t="s">
        <v>32849</v>
      </c>
      <c r="I13182" t="s">
        <v>32913</v>
      </c>
      <c r="J13182" t="s">
        <v>32976</v>
      </c>
      <c r="K13182" t="s">
        <v>42745</v>
      </c>
      <c r="M13182" t="s">
        <v>47061</v>
      </c>
      <c r="N13182" t="s">
        <v>47424</v>
      </c>
      <c r="O13182" t="s">
        <v>47425</v>
      </c>
      <c r="P13182">
        <v>0</v>
      </c>
      <c r="Q13182">
        <v>0</v>
      </c>
      <c r="R13182" t="s">
        <v>47441</v>
      </c>
      <c r="S13182" t="s">
        <v>48049</v>
      </c>
      <c r="T13182" t="s">
        <v>49091</v>
      </c>
      <c r="U13182" t="s">
        <v>60467</v>
      </c>
      <c r="W13182" t="s">
        <v>47061</v>
      </c>
      <c r="X13182" t="s">
        <v>47444</v>
      </c>
    </row>
    <row r="13183" spans="1:24">
      <c r="A13183">
        <f>HYPERLINK("https://www.philgeps.gov.ph/GEPSNONPILOT/Tender/SplashBidNoticeAbstractUI.aspx?menuIndex=3&amp;refID=7134744&amp;Result=3","7134744")</f>
        <v>0</v>
      </c>
      <c r="B13183" t="s">
        <v>1411</v>
      </c>
      <c r="C13183" t="s">
        <v>16344</v>
      </c>
      <c r="D13183" t="s">
        <v>19079</v>
      </c>
      <c r="E13183" t="s">
        <v>30379</v>
      </c>
      <c r="F13183" t="s">
        <v>32831</v>
      </c>
      <c r="G13183" t="s">
        <v>32839</v>
      </c>
      <c r="H13183" t="s">
        <v>32849</v>
      </c>
      <c r="I13183" t="s">
        <v>4177</v>
      </c>
      <c r="J13183" t="s">
        <v>41018</v>
      </c>
      <c r="K13183" t="s">
        <v>42862</v>
      </c>
      <c r="M13183" t="s">
        <v>44498</v>
      </c>
      <c r="N13183" t="s">
        <v>47424</v>
      </c>
      <c r="O13183" t="s">
        <v>47425</v>
      </c>
      <c r="P13183">
        <v>0</v>
      </c>
      <c r="Q13183">
        <v>0</v>
      </c>
      <c r="R13183" t="s">
        <v>47441</v>
      </c>
      <c r="S13183" t="s">
        <v>48049</v>
      </c>
      <c r="T13183" t="s">
        <v>49106</v>
      </c>
      <c r="U13183" t="s">
        <v>60450</v>
      </c>
      <c r="W13183" t="s">
        <v>44498</v>
      </c>
      <c r="X13183" t="s">
        <v>47444</v>
      </c>
    </row>
    <row r="13184" spans="1:24">
      <c r="A13184">
        <f>HYPERLINK("https://www.philgeps.gov.ph/GEPSNONPILOT/Tender/SplashBidNoticeAbstractUI.aspx?menuIndex=3&amp;refID=7135640&amp;Result=3","7135640")</f>
        <v>0</v>
      </c>
      <c r="B13184" t="s">
        <v>3026</v>
      </c>
      <c r="C13184" t="s">
        <v>16345</v>
      </c>
      <c r="D13184" t="s">
        <v>19047</v>
      </c>
      <c r="E13184" t="s">
        <v>30380</v>
      </c>
      <c r="F13184" t="s">
        <v>32831</v>
      </c>
      <c r="G13184" t="s">
        <v>32839</v>
      </c>
      <c r="H13184" t="s">
        <v>32849</v>
      </c>
      <c r="I13184" t="s">
        <v>4177</v>
      </c>
      <c r="J13184" t="s">
        <v>41019</v>
      </c>
      <c r="K13184" t="s">
        <v>42730</v>
      </c>
      <c r="M13184" t="s">
        <v>46296</v>
      </c>
      <c r="N13184" t="s">
        <v>47424</v>
      </c>
      <c r="O13184" t="s">
        <v>47425</v>
      </c>
      <c r="P13184">
        <v>0</v>
      </c>
      <c r="Q13184">
        <v>0</v>
      </c>
      <c r="R13184" t="s">
        <v>47441</v>
      </c>
      <c r="S13184" t="s">
        <v>48049</v>
      </c>
      <c r="T13184" t="s">
        <v>49069</v>
      </c>
      <c r="U13184" t="s">
        <v>60468</v>
      </c>
      <c r="W13184" t="s">
        <v>46296</v>
      </c>
      <c r="X13184" t="s">
        <v>47443</v>
      </c>
    </row>
    <row r="13185" spans="1:24">
      <c r="A13185">
        <f>HYPERLINK("https://www.philgeps.gov.ph/GEPSNONPILOT/Tender/SplashBidNoticeAbstractUI.aspx?menuIndex=3&amp;refID=7134735&amp;Result=3","7134735")</f>
        <v>0</v>
      </c>
      <c r="B13185" t="s">
        <v>2039</v>
      </c>
      <c r="C13185" t="s">
        <v>16346</v>
      </c>
      <c r="D13185" t="s">
        <v>19080</v>
      </c>
      <c r="E13185" t="s">
        <v>30381</v>
      </c>
      <c r="F13185" t="s">
        <v>32831</v>
      </c>
      <c r="G13185" t="s">
        <v>32839</v>
      </c>
      <c r="H13185" t="s">
        <v>32849</v>
      </c>
      <c r="I13185" t="s">
        <v>4177</v>
      </c>
      <c r="J13185" t="s">
        <v>41020</v>
      </c>
      <c r="K13185" t="s">
        <v>42746</v>
      </c>
      <c r="M13185" t="s">
        <v>45208</v>
      </c>
      <c r="N13185" t="s">
        <v>47424</v>
      </c>
      <c r="O13185" t="s">
        <v>47425</v>
      </c>
      <c r="P13185">
        <v>0</v>
      </c>
      <c r="Q13185">
        <v>0</v>
      </c>
      <c r="R13185" t="s">
        <v>47441</v>
      </c>
      <c r="S13185" t="s">
        <v>48049</v>
      </c>
      <c r="T13185" t="s">
        <v>49059</v>
      </c>
      <c r="U13185" t="s">
        <v>56395</v>
      </c>
      <c r="W13185" t="s">
        <v>45208</v>
      </c>
      <c r="X13185" t="s">
        <v>47444</v>
      </c>
    </row>
    <row r="13186" spans="1:24">
      <c r="A13186">
        <f>HYPERLINK("https://www.philgeps.gov.ph/GEPSNONPILOT/Tender/SplashBidNoticeAbstractUI.aspx?menuIndex=3&amp;refID=7134963&amp;Result=3","7134963")</f>
        <v>0</v>
      </c>
      <c r="B13186" t="s">
        <v>2843</v>
      </c>
      <c r="C13186" t="s">
        <v>16347</v>
      </c>
      <c r="D13186" t="s">
        <v>19074</v>
      </c>
      <c r="E13186" t="s">
        <v>30382</v>
      </c>
      <c r="F13186" t="s">
        <v>32831</v>
      </c>
      <c r="G13186" t="s">
        <v>32839</v>
      </c>
      <c r="H13186" t="s">
        <v>32849</v>
      </c>
      <c r="I13186" t="s">
        <v>4177</v>
      </c>
      <c r="J13186" t="s">
        <v>41021</v>
      </c>
      <c r="K13186" t="s">
        <v>42862</v>
      </c>
      <c r="M13186" t="s">
        <v>46075</v>
      </c>
      <c r="N13186" t="s">
        <v>47424</v>
      </c>
      <c r="O13186" t="s">
        <v>47425</v>
      </c>
      <c r="P13186">
        <v>0</v>
      </c>
      <c r="Q13186">
        <v>0</v>
      </c>
      <c r="R13186" t="s">
        <v>47441</v>
      </c>
      <c r="S13186" t="s">
        <v>48049</v>
      </c>
      <c r="T13186" t="s">
        <v>49105</v>
      </c>
      <c r="U13186" t="s">
        <v>60469</v>
      </c>
      <c r="W13186" t="s">
        <v>46075</v>
      </c>
      <c r="X13186" t="s">
        <v>47444</v>
      </c>
    </row>
    <row r="13187" spans="1:24">
      <c r="A13187">
        <f>HYPERLINK("https://www.philgeps.gov.ph/GEPSNONPILOT/Tender/SplashBidNoticeAbstractUI.aspx?menuIndex=3&amp;refID=7135580&amp;Result=3","7135580")</f>
        <v>0</v>
      </c>
      <c r="B13187" t="s">
        <v>2363</v>
      </c>
      <c r="C13187" t="s">
        <v>16348</v>
      </c>
      <c r="E13187" t="s">
        <v>30383</v>
      </c>
      <c r="F13187" t="s">
        <v>32831</v>
      </c>
      <c r="G13187" t="s">
        <v>32839</v>
      </c>
      <c r="H13187" t="s">
        <v>32849</v>
      </c>
      <c r="I13187" t="s">
        <v>4177</v>
      </c>
      <c r="J13187" t="s">
        <v>41022</v>
      </c>
      <c r="K13187" t="s">
        <v>42732</v>
      </c>
      <c r="M13187" t="s">
        <v>47064</v>
      </c>
      <c r="N13187" t="s">
        <v>47424</v>
      </c>
      <c r="O13187" t="s">
        <v>47425</v>
      </c>
      <c r="Q13187">
        <v>7</v>
      </c>
      <c r="R13187" t="s">
        <v>47441</v>
      </c>
      <c r="S13187" t="s">
        <v>47899</v>
      </c>
      <c r="T13187" t="s">
        <v>49231</v>
      </c>
      <c r="U13187" t="s">
        <v>60470</v>
      </c>
      <c r="W13187" t="s">
        <v>47064</v>
      </c>
      <c r="X13187" t="s">
        <v>47443</v>
      </c>
    </row>
    <row r="13188" spans="1:24">
      <c r="A13188">
        <f>HYPERLINK("https://www.philgeps.gov.ph/GEPSNONPILOT/Tender/SplashBidNoticeAbstractUI.aspx?menuIndex=3&amp;refID=7134784&amp;Result=3","7134784")</f>
        <v>0</v>
      </c>
      <c r="B13188" t="s">
        <v>205</v>
      </c>
      <c r="C13188" t="s">
        <v>16349</v>
      </c>
      <c r="D13188" t="s">
        <v>19055</v>
      </c>
      <c r="E13188" t="s">
        <v>30384</v>
      </c>
      <c r="F13188" t="s">
        <v>32831</v>
      </c>
      <c r="G13188" t="s">
        <v>32839</v>
      </c>
      <c r="H13188" t="s">
        <v>32848</v>
      </c>
      <c r="I13188" t="s">
        <v>4776</v>
      </c>
      <c r="J13188" t="s">
        <v>37943</v>
      </c>
      <c r="K13188" t="s">
        <v>42730</v>
      </c>
      <c r="M13188" t="s">
        <v>43203</v>
      </c>
      <c r="N13188" t="s">
        <v>47424</v>
      </c>
      <c r="O13188" t="s">
        <v>47425</v>
      </c>
      <c r="P13188">
        <v>0</v>
      </c>
      <c r="Q13188">
        <v>11</v>
      </c>
      <c r="R13188" t="s">
        <v>47441</v>
      </c>
      <c r="S13188" t="s">
        <v>48049</v>
      </c>
      <c r="T13188" t="s">
        <v>49237</v>
      </c>
      <c r="U13188" t="s">
        <v>60471</v>
      </c>
      <c r="W13188" t="s">
        <v>43203</v>
      </c>
      <c r="X13188" t="s">
        <v>47444</v>
      </c>
    </row>
    <row r="13189" spans="1:24">
      <c r="A13189">
        <f>HYPERLINK("https://www.philgeps.gov.ph/GEPSNONPILOT/Tender/SplashBidNoticeAbstractUI.aspx?menuIndex=3&amp;refID=7135557&amp;Result=3","7135557")</f>
        <v>0</v>
      </c>
      <c r="B13189" t="s">
        <v>3026</v>
      </c>
      <c r="C13189" t="s">
        <v>16350</v>
      </c>
      <c r="D13189" t="s">
        <v>19047</v>
      </c>
      <c r="E13189" t="s">
        <v>30385</v>
      </c>
      <c r="F13189" t="s">
        <v>32831</v>
      </c>
      <c r="G13189" t="s">
        <v>32839</v>
      </c>
      <c r="H13189" t="s">
        <v>32849</v>
      </c>
      <c r="I13189" t="s">
        <v>4177</v>
      </c>
      <c r="J13189" t="s">
        <v>35331</v>
      </c>
      <c r="K13189" t="s">
        <v>42763</v>
      </c>
      <c r="M13189" t="s">
        <v>46296</v>
      </c>
      <c r="N13189" t="s">
        <v>47424</v>
      </c>
      <c r="O13189" t="s">
        <v>47425</v>
      </c>
      <c r="P13189">
        <v>0</v>
      </c>
      <c r="Q13189">
        <v>6</v>
      </c>
      <c r="R13189" t="s">
        <v>47441</v>
      </c>
      <c r="S13189" t="s">
        <v>48049</v>
      </c>
      <c r="T13189" t="s">
        <v>49069</v>
      </c>
      <c r="U13189" t="s">
        <v>60468</v>
      </c>
      <c r="W13189" t="s">
        <v>46296</v>
      </c>
      <c r="X13189" t="s">
        <v>47443</v>
      </c>
    </row>
    <row r="13190" spans="1:24">
      <c r="A13190">
        <f>HYPERLINK("https://www.philgeps.gov.ph/GEPSNONPILOT/Tender/SplashBidNoticeAbstractUI.aspx?menuIndex=3&amp;refID=7135512&amp;Result=3","7135512")</f>
        <v>0</v>
      </c>
      <c r="B13190" t="s">
        <v>3026</v>
      </c>
      <c r="C13190" t="s">
        <v>16351</v>
      </c>
      <c r="D13190" t="s">
        <v>19047</v>
      </c>
      <c r="E13190" t="s">
        <v>30386</v>
      </c>
      <c r="F13190" t="s">
        <v>32831</v>
      </c>
      <c r="G13190" t="s">
        <v>32839</v>
      </c>
      <c r="H13190" t="s">
        <v>32849</v>
      </c>
      <c r="I13190" t="s">
        <v>4177</v>
      </c>
      <c r="J13190" t="s">
        <v>35331</v>
      </c>
      <c r="K13190" t="s">
        <v>42763</v>
      </c>
      <c r="M13190" t="s">
        <v>46296</v>
      </c>
      <c r="N13190" t="s">
        <v>47424</v>
      </c>
      <c r="O13190" t="s">
        <v>47425</v>
      </c>
      <c r="P13190">
        <v>0</v>
      </c>
      <c r="Q13190">
        <v>7</v>
      </c>
      <c r="R13190" t="s">
        <v>47441</v>
      </c>
      <c r="S13190" t="s">
        <v>48049</v>
      </c>
      <c r="T13190" t="s">
        <v>49069</v>
      </c>
      <c r="U13190" t="s">
        <v>60468</v>
      </c>
      <c r="W13190" t="s">
        <v>46296</v>
      </c>
      <c r="X13190" t="s">
        <v>47443</v>
      </c>
    </row>
    <row r="13191" spans="1:24">
      <c r="A13191">
        <f>HYPERLINK("https://www.philgeps.gov.ph/GEPSNONPILOT/Tender/SplashBidNoticeAbstractUI.aspx?menuIndex=3&amp;refID=7135579&amp;Result=3","7135579")</f>
        <v>0</v>
      </c>
      <c r="B13191" t="s">
        <v>3026</v>
      </c>
      <c r="C13191" t="s">
        <v>16352</v>
      </c>
      <c r="D13191" t="s">
        <v>19047</v>
      </c>
      <c r="E13191" t="s">
        <v>30387</v>
      </c>
      <c r="F13191" t="s">
        <v>32831</v>
      </c>
      <c r="G13191" t="s">
        <v>32839</v>
      </c>
      <c r="H13191" t="s">
        <v>32849</v>
      </c>
      <c r="I13191" t="s">
        <v>4177</v>
      </c>
      <c r="J13191" t="s">
        <v>33528</v>
      </c>
      <c r="K13191" t="s">
        <v>42830</v>
      </c>
      <c r="M13191" t="s">
        <v>46296</v>
      </c>
      <c r="N13191" t="s">
        <v>47424</v>
      </c>
      <c r="O13191" t="s">
        <v>47425</v>
      </c>
      <c r="P13191">
        <v>0</v>
      </c>
      <c r="Q13191">
        <v>3</v>
      </c>
      <c r="R13191" t="s">
        <v>47441</v>
      </c>
      <c r="S13191" t="s">
        <v>48049</v>
      </c>
      <c r="T13191" t="s">
        <v>49069</v>
      </c>
      <c r="U13191" t="s">
        <v>60468</v>
      </c>
      <c r="W13191" t="s">
        <v>46296</v>
      </c>
      <c r="X13191" t="s">
        <v>47443</v>
      </c>
    </row>
    <row r="13192" spans="1:24">
      <c r="A13192">
        <f>HYPERLINK("https://www.philgeps.gov.ph/GEPSNONPILOT/Tender/SplashBidNoticeAbstractUI.aspx?menuIndex=3&amp;refID=7135588&amp;Result=3","7135588")</f>
        <v>0</v>
      </c>
      <c r="B13192" t="s">
        <v>3026</v>
      </c>
      <c r="C13192" t="s">
        <v>16353</v>
      </c>
      <c r="D13192" t="s">
        <v>19047</v>
      </c>
      <c r="E13192" t="s">
        <v>30388</v>
      </c>
      <c r="F13192" t="s">
        <v>32831</v>
      </c>
      <c r="G13192" t="s">
        <v>32839</v>
      </c>
      <c r="H13192" t="s">
        <v>32849</v>
      </c>
      <c r="I13192" t="s">
        <v>4177</v>
      </c>
      <c r="J13192" t="s">
        <v>41023</v>
      </c>
      <c r="K13192" t="s">
        <v>42739</v>
      </c>
      <c r="M13192" t="s">
        <v>46296</v>
      </c>
      <c r="N13192" t="s">
        <v>47424</v>
      </c>
      <c r="O13192" t="s">
        <v>47425</v>
      </c>
      <c r="P13192">
        <v>0</v>
      </c>
      <c r="Q13192">
        <v>2</v>
      </c>
      <c r="R13192" t="s">
        <v>47441</v>
      </c>
      <c r="S13192" t="s">
        <v>48049</v>
      </c>
      <c r="T13192" t="s">
        <v>49069</v>
      </c>
      <c r="U13192" t="s">
        <v>60468</v>
      </c>
      <c r="W13192" t="s">
        <v>46296</v>
      </c>
      <c r="X13192" t="s">
        <v>47443</v>
      </c>
    </row>
    <row r="13193" spans="1:24">
      <c r="A13193">
        <f>HYPERLINK("https://www.philgeps.gov.ph/GEPSNONPILOT/Tender/SplashBidNoticeAbstractUI.aspx?menuIndex=3&amp;refID=7135460&amp;Result=3","7135460")</f>
        <v>0</v>
      </c>
      <c r="B13193" t="s">
        <v>1149</v>
      </c>
      <c r="C13193" t="s">
        <v>4699</v>
      </c>
      <c r="D13193" t="s">
        <v>19079</v>
      </c>
      <c r="E13193" t="s">
        <v>30389</v>
      </c>
      <c r="F13193" t="s">
        <v>32831</v>
      </c>
      <c r="G13193" t="s">
        <v>32839</v>
      </c>
      <c r="H13193" t="s">
        <v>32848</v>
      </c>
      <c r="I13193" t="s">
        <v>9577</v>
      </c>
      <c r="J13193" t="s">
        <v>41024</v>
      </c>
      <c r="K13193" t="s">
        <v>42731</v>
      </c>
      <c r="M13193" t="s">
        <v>45518</v>
      </c>
      <c r="N13193" t="s">
        <v>47424</v>
      </c>
      <c r="O13193" t="s">
        <v>47425</v>
      </c>
      <c r="P13193">
        <v>0</v>
      </c>
      <c r="Q13193">
        <v>6</v>
      </c>
      <c r="R13193" t="s">
        <v>47441</v>
      </c>
      <c r="S13193" t="s">
        <v>48049</v>
      </c>
      <c r="T13193" t="s">
        <v>49166</v>
      </c>
      <c r="U13193" t="s">
        <v>60472</v>
      </c>
      <c r="W13193" t="s">
        <v>45518</v>
      </c>
      <c r="X13193" t="s">
        <v>47443</v>
      </c>
    </row>
    <row r="13194" spans="1:24">
      <c r="A13194">
        <f>HYPERLINK("https://www.philgeps.gov.ph/GEPSNONPILOT/Tender/SplashBidNoticeAbstractUI.aspx?menuIndex=3&amp;refID=7135503&amp;Result=3","7135503")</f>
        <v>0</v>
      </c>
      <c r="B13194" t="s">
        <v>3685</v>
      </c>
      <c r="C13194" t="s">
        <v>16354</v>
      </c>
      <c r="D13194" t="s">
        <v>19059</v>
      </c>
      <c r="E13194" t="s">
        <v>30390</v>
      </c>
      <c r="F13194" t="s">
        <v>32831</v>
      </c>
      <c r="G13194" t="s">
        <v>32839</v>
      </c>
      <c r="H13194" t="s">
        <v>32848</v>
      </c>
      <c r="I13194" t="s">
        <v>7751</v>
      </c>
      <c r="J13194" t="s">
        <v>41025</v>
      </c>
      <c r="K13194" t="s">
        <v>42730</v>
      </c>
      <c r="M13194" t="s">
        <v>47065</v>
      </c>
      <c r="N13194" t="s">
        <v>47424</v>
      </c>
      <c r="O13194" t="s">
        <v>47425</v>
      </c>
      <c r="Q13194">
        <v>9</v>
      </c>
      <c r="R13194" t="s">
        <v>47441</v>
      </c>
      <c r="S13194" t="s">
        <v>48088</v>
      </c>
      <c r="T13194" t="s">
        <v>49291</v>
      </c>
      <c r="U13194" t="s">
        <v>60473</v>
      </c>
      <c r="V13194" t="s">
        <v>64093</v>
      </c>
      <c r="W13194" t="s">
        <v>47065</v>
      </c>
      <c r="X13194" t="s">
        <v>47443</v>
      </c>
    </row>
    <row r="13195" spans="1:24">
      <c r="A13195">
        <f>HYPERLINK("https://www.philgeps.gov.ph/GEPSNONPILOT/Tender/SplashBidNoticeAbstractUI.aspx?menuIndex=3&amp;refID=7135193&amp;Result=3","7135193")</f>
        <v>0</v>
      </c>
      <c r="B13195" t="s">
        <v>212</v>
      </c>
      <c r="C13195" t="s">
        <v>16355</v>
      </c>
      <c r="D13195" t="s">
        <v>19048</v>
      </c>
      <c r="E13195" t="s">
        <v>30391</v>
      </c>
      <c r="F13195" t="s">
        <v>32831</v>
      </c>
      <c r="G13195" t="s">
        <v>32839</v>
      </c>
      <c r="H13195" t="s">
        <v>32848</v>
      </c>
      <c r="I13195" t="s">
        <v>32970</v>
      </c>
      <c r="J13195" t="s">
        <v>41026</v>
      </c>
      <c r="K13195" t="s">
        <v>42728</v>
      </c>
      <c r="M13195" t="s">
        <v>43210</v>
      </c>
      <c r="N13195" t="s">
        <v>47424</v>
      </c>
      <c r="O13195" t="s">
        <v>47425</v>
      </c>
      <c r="Q13195">
        <v>8</v>
      </c>
      <c r="R13195" t="s">
        <v>47441</v>
      </c>
      <c r="S13195" t="s">
        <v>48089</v>
      </c>
      <c r="T13195" t="s">
        <v>49105</v>
      </c>
      <c r="U13195" t="s">
        <v>60474</v>
      </c>
      <c r="V13195" t="s">
        <v>64094</v>
      </c>
      <c r="W13195" t="s">
        <v>64552</v>
      </c>
      <c r="X13195" t="s">
        <v>47444</v>
      </c>
    </row>
    <row r="13196" spans="1:24">
      <c r="A13196">
        <f>HYPERLINK("https://www.philgeps.gov.ph/GEPSNONPILOT/Tender/SplashBidNoticeAbstractUI.aspx?menuIndex=3&amp;refID=7135295&amp;Result=3","7135295")</f>
        <v>0</v>
      </c>
      <c r="B13196" t="s">
        <v>3371</v>
      </c>
      <c r="C13196" t="s">
        <v>16356</v>
      </c>
      <c r="D13196" t="s">
        <v>19049</v>
      </c>
      <c r="E13196" t="s">
        <v>30392</v>
      </c>
      <c r="F13196" t="s">
        <v>32831</v>
      </c>
      <c r="G13196" t="s">
        <v>32839</v>
      </c>
      <c r="H13196" t="s">
        <v>32848</v>
      </c>
      <c r="I13196" t="s">
        <v>32857</v>
      </c>
      <c r="J13196" t="s">
        <v>41027</v>
      </c>
      <c r="K13196" t="s">
        <v>42727</v>
      </c>
      <c r="M13196" t="s">
        <v>46698</v>
      </c>
      <c r="N13196" t="s">
        <v>47424</v>
      </c>
      <c r="O13196" t="s">
        <v>47425</v>
      </c>
      <c r="Q13196">
        <v>15</v>
      </c>
      <c r="R13196" t="s">
        <v>47441</v>
      </c>
      <c r="S13196" t="s">
        <v>48090</v>
      </c>
      <c r="T13196" t="s">
        <v>49627</v>
      </c>
      <c r="U13196" t="s">
        <v>60475</v>
      </c>
      <c r="W13196" t="s">
        <v>46698</v>
      </c>
      <c r="X13196" t="s">
        <v>47444</v>
      </c>
    </row>
    <row r="13197" spans="1:24">
      <c r="A13197">
        <f>HYPERLINK("https://www.philgeps.gov.ph/GEPSNONPILOT/Tender/SplashBidNoticeAbstractUI.aspx?menuIndex=3&amp;refID=7135185&amp;Result=3","7135185")</f>
        <v>0</v>
      </c>
      <c r="B13197" t="s">
        <v>212</v>
      </c>
      <c r="C13197" t="s">
        <v>16357</v>
      </c>
      <c r="D13197" t="s">
        <v>19067</v>
      </c>
      <c r="E13197" t="s">
        <v>30393</v>
      </c>
      <c r="F13197" t="s">
        <v>32831</v>
      </c>
      <c r="G13197" t="s">
        <v>32839</v>
      </c>
      <c r="H13197" t="s">
        <v>32848</v>
      </c>
      <c r="I13197" t="s">
        <v>32970</v>
      </c>
      <c r="J13197" t="s">
        <v>41028</v>
      </c>
      <c r="K13197" t="s">
        <v>42728</v>
      </c>
      <c r="M13197" t="s">
        <v>43210</v>
      </c>
      <c r="N13197" t="s">
        <v>47424</v>
      </c>
      <c r="O13197" t="s">
        <v>47425</v>
      </c>
      <c r="Q13197">
        <v>10</v>
      </c>
      <c r="R13197" t="s">
        <v>47441</v>
      </c>
      <c r="S13197" t="s">
        <v>48091</v>
      </c>
      <c r="T13197" t="s">
        <v>49105</v>
      </c>
      <c r="U13197" t="s">
        <v>60476</v>
      </c>
      <c r="V13197" t="s">
        <v>64095</v>
      </c>
      <c r="W13197" t="s">
        <v>64552</v>
      </c>
      <c r="X13197" t="s">
        <v>47444</v>
      </c>
    </row>
    <row r="13198" spans="1:24">
      <c r="A13198">
        <f>HYPERLINK("https://www.philgeps.gov.ph/GEPSNONPILOT/Tender/SplashBidNoticeAbstractUI.aspx?menuIndex=3&amp;refID=7135606&amp;Result=3","7135606")</f>
        <v>0</v>
      </c>
      <c r="B13198" t="s">
        <v>2363</v>
      </c>
      <c r="C13198" t="s">
        <v>16358</v>
      </c>
      <c r="E13198" t="s">
        <v>30394</v>
      </c>
      <c r="F13198" t="s">
        <v>32831</v>
      </c>
      <c r="G13198" t="s">
        <v>32839</v>
      </c>
      <c r="H13198" t="s">
        <v>32849</v>
      </c>
      <c r="I13198" t="s">
        <v>4177</v>
      </c>
      <c r="J13198" t="s">
        <v>41029</v>
      </c>
      <c r="K13198" t="s">
        <v>42732</v>
      </c>
      <c r="M13198" t="s">
        <v>47064</v>
      </c>
      <c r="N13198" t="s">
        <v>47424</v>
      </c>
      <c r="O13198" t="s">
        <v>47425</v>
      </c>
      <c r="Q13198">
        <v>5</v>
      </c>
      <c r="R13198" t="s">
        <v>47441</v>
      </c>
      <c r="S13198" t="s">
        <v>47965</v>
      </c>
      <c r="T13198" t="s">
        <v>49628</v>
      </c>
      <c r="U13198" t="s">
        <v>60477</v>
      </c>
      <c r="W13198" t="s">
        <v>47064</v>
      </c>
      <c r="X13198" t="s">
        <v>47443</v>
      </c>
    </row>
    <row r="13199" spans="1:24">
      <c r="A13199">
        <f>HYPERLINK("https://www.philgeps.gov.ph/GEPSNONPILOT/Tender/SplashBidNoticeAbstractUI.aspx?menuIndex=3&amp;refID=7135162&amp;Result=3","7135162")</f>
        <v>0</v>
      </c>
      <c r="B13199" t="s">
        <v>1357</v>
      </c>
      <c r="C13199" t="s">
        <v>16359</v>
      </c>
      <c r="D13199" t="s">
        <v>19045</v>
      </c>
      <c r="E13199" t="s">
        <v>30395</v>
      </c>
      <c r="F13199" t="s">
        <v>32831</v>
      </c>
      <c r="G13199" t="s">
        <v>32839</v>
      </c>
      <c r="H13199" t="s">
        <v>32848</v>
      </c>
      <c r="I13199" t="s">
        <v>32875</v>
      </c>
      <c r="J13199" t="s">
        <v>41030</v>
      </c>
      <c r="K13199" t="s">
        <v>42732</v>
      </c>
      <c r="M13199" t="s">
        <v>45854</v>
      </c>
      <c r="N13199" t="s">
        <v>47424</v>
      </c>
      <c r="O13199" t="s">
        <v>47425</v>
      </c>
      <c r="P13199">
        <v>0</v>
      </c>
      <c r="Q13199">
        <v>1</v>
      </c>
      <c r="R13199" t="s">
        <v>47441</v>
      </c>
      <c r="S13199" t="s">
        <v>48049</v>
      </c>
      <c r="T13199" t="s">
        <v>49105</v>
      </c>
      <c r="U13199" t="s">
        <v>60478</v>
      </c>
      <c r="W13199" t="s">
        <v>45854</v>
      </c>
      <c r="X13199" t="s">
        <v>47444</v>
      </c>
    </row>
    <row r="13200" spans="1:24">
      <c r="A13200">
        <f>HYPERLINK("https://www.philgeps.gov.ph/GEPSNONPILOT/Tender/SplashBidNoticeAbstractUI.aspx?menuIndex=3&amp;refID=7135568&amp;Result=3","7135568")</f>
        <v>0</v>
      </c>
      <c r="B13200" t="s">
        <v>3026</v>
      </c>
      <c r="C13200" t="s">
        <v>16360</v>
      </c>
      <c r="D13200" t="s">
        <v>19047</v>
      </c>
      <c r="E13200" t="s">
        <v>30396</v>
      </c>
      <c r="F13200" t="s">
        <v>32831</v>
      </c>
      <c r="G13200" t="s">
        <v>32839</v>
      </c>
      <c r="H13200" t="s">
        <v>32849</v>
      </c>
      <c r="I13200" t="s">
        <v>4177</v>
      </c>
      <c r="J13200" t="s">
        <v>35538</v>
      </c>
      <c r="K13200" t="s">
        <v>42763</v>
      </c>
      <c r="M13200" t="s">
        <v>46296</v>
      </c>
      <c r="N13200" t="s">
        <v>47424</v>
      </c>
      <c r="O13200" t="s">
        <v>47425</v>
      </c>
      <c r="P13200">
        <v>0</v>
      </c>
      <c r="Q13200">
        <v>9</v>
      </c>
      <c r="R13200" t="s">
        <v>47441</v>
      </c>
      <c r="S13200" t="s">
        <v>48049</v>
      </c>
      <c r="T13200" t="s">
        <v>49069</v>
      </c>
      <c r="U13200" t="s">
        <v>60468</v>
      </c>
      <c r="W13200" t="s">
        <v>46296</v>
      </c>
      <c r="X13200" t="s">
        <v>47443</v>
      </c>
    </row>
    <row r="13201" spans="1:24">
      <c r="A13201">
        <f>HYPERLINK("https://www.philgeps.gov.ph/GEPSNONPILOT/Tender/SplashBidNoticeAbstractUI.aspx?menuIndex=3&amp;refID=7135386&amp;Result=3","7135386")</f>
        <v>0</v>
      </c>
      <c r="B13201" t="s">
        <v>344</v>
      </c>
      <c r="C13201" t="s">
        <v>16361</v>
      </c>
      <c r="D13201" t="s">
        <v>19046</v>
      </c>
      <c r="E13201" t="s">
        <v>30397</v>
      </c>
      <c r="F13201" t="s">
        <v>32831</v>
      </c>
      <c r="G13201" t="s">
        <v>32839</v>
      </c>
      <c r="H13201" t="s">
        <v>32848</v>
      </c>
      <c r="I13201" t="s">
        <v>7751</v>
      </c>
      <c r="J13201" t="s">
        <v>36020</v>
      </c>
      <c r="K13201" t="s">
        <v>42729</v>
      </c>
      <c r="M13201" t="s">
        <v>43348</v>
      </c>
      <c r="N13201" t="s">
        <v>47424</v>
      </c>
      <c r="O13201" t="s">
        <v>47425</v>
      </c>
      <c r="P13201">
        <v>0</v>
      </c>
      <c r="Q13201">
        <v>1</v>
      </c>
      <c r="R13201" t="s">
        <v>47441</v>
      </c>
      <c r="S13201" t="s">
        <v>48049</v>
      </c>
      <c r="T13201" t="s">
        <v>49629</v>
      </c>
      <c r="U13201" t="s">
        <v>60479</v>
      </c>
      <c r="W13201" t="s">
        <v>43348</v>
      </c>
      <c r="X13201" t="s">
        <v>47443</v>
      </c>
    </row>
    <row r="13202" spans="1:24">
      <c r="A13202">
        <f>HYPERLINK("https://www.philgeps.gov.ph/GEPSNONPILOT/Tender/SplashBidNoticeAbstractUI.aspx?menuIndex=3&amp;refID=7134664&amp;Result=3","7134664")</f>
        <v>0</v>
      </c>
      <c r="B13202" t="s">
        <v>3179</v>
      </c>
      <c r="C13202" t="s">
        <v>16362</v>
      </c>
      <c r="E13202" t="s">
        <v>30398</v>
      </c>
      <c r="F13202" t="s">
        <v>32831</v>
      </c>
      <c r="G13202" t="s">
        <v>32839</v>
      </c>
      <c r="H13202" t="s">
        <v>32848</v>
      </c>
      <c r="I13202" t="s">
        <v>4558</v>
      </c>
      <c r="J13202" t="s">
        <v>41031</v>
      </c>
      <c r="K13202" t="s">
        <v>42730</v>
      </c>
      <c r="M13202" t="s">
        <v>46486</v>
      </c>
      <c r="N13202" t="s">
        <v>47424</v>
      </c>
      <c r="O13202" t="s">
        <v>47425</v>
      </c>
      <c r="P13202">
        <v>0</v>
      </c>
      <c r="Q13202">
        <v>3</v>
      </c>
      <c r="R13202" t="s">
        <v>47441</v>
      </c>
      <c r="S13202" t="s">
        <v>48049</v>
      </c>
      <c r="T13202" t="s">
        <v>49066</v>
      </c>
      <c r="U13202" t="s">
        <v>60444</v>
      </c>
      <c r="W13202" t="s">
        <v>46486</v>
      </c>
      <c r="X13202" t="s">
        <v>47444</v>
      </c>
    </row>
    <row r="13203" spans="1:24">
      <c r="A13203">
        <f>HYPERLINK("https://www.philgeps.gov.ph/GEPSNONPILOT/Tender/SplashBidNoticeAbstractUI.aspx?menuIndex=3&amp;refID=7135897&amp;Result=3","7135897")</f>
        <v>0</v>
      </c>
      <c r="B13203" t="s">
        <v>472</v>
      </c>
      <c r="C13203" t="s">
        <v>16363</v>
      </c>
      <c r="D13203" t="s">
        <v>19064</v>
      </c>
      <c r="E13203" t="s">
        <v>30399</v>
      </c>
      <c r="F13203" t="s">
        <v>32831</v>
      </c>
      <c r="G13203" t="s">
        <v>32839</v>
      </c>
      <c r="H13203" t="s">
        <v>32848</v>
      </c>
      <c r="I13203" t="s">
        <v>11727</v>
      </c>
      <c r="J13203" t="s">
        <v>39350</v>
      </c>
      <c r="K13203" t="s">
        <v>42730</v>
      </c>
      <c r="M13203" t="s">
        <v>43477</v>
      </c>
      <c r="N13203" t="s">
        <v>47424</v>
      </c>
      <c r="O13203" t="s">
        <v>47425</v>
      </c>
      <c r="P13203">
        <v>0</v>
      </c>
      <c r="Q13203">
        <v>2</v>
      </c>
      <c r="R13203" t="s">
        <v>47441</v>
      </c>
      <c r="S13203" t="s">
        <v>48049</v>
      </c>
      <c r="T13203" t="s">
        <v>49073</v>
      </c>
      <c r="U13203" t="s">
        <v>60480</v>
      </c>
      <c r="V13203" t="s">
        <v>64096</v>
      </c>
      <c r="W13203" t="s">
        <v>43477</v>
      </c>
      <c r="X13203" t="s">
        <v>47442</v>
      </c>
    </row>
    <row r="13204" spans="1:24">
      <c r="A13204">
        <f>HYPERLINK("https://www.philgeps.gov.ph/GEPSNONPILOT/Tender/SplashBidNoticeAbstractUI.aspx?menuIndex=3&amp;refID=7134371&amp;Result=3","7134371")</f>
        <v>0</v>
      </c>
      <c r="B13204" t="s">
        <v>2337</v>
      </c>
      <c r="C13204" t="s">
        <v>16364</v>
      </c>
      <c r="D13204" t="s">
        <v>19038</v>
      </c>
      <c r="E13204" t="s">
        <v>30400</v>
      </c>
      <c r="F13204" t="s">
        <v>32831</v>
      </c>
      <c r="G13204" t="s">
        <v>32839</v>
      </c>
      <c r="H13204" t="s">
        <v>32849</v>
      </c>
      <c r="I13204" t="s">
        <v>4177</v>
      </c>
      <c r="J13204" t="s">
        <v>41032</v>
      </c>
      <c r="K13204" t="s">
        <v>42746</v>
      </c>
      <c r="M13204" t="s">
        <v>45524</v>
      </c>
      <c r="N13204" t="s">
        <v>47424</v>
      </c>
      <c r="O13204" t="s">
        <v>47425</v>
      </c>
      <c r="Q13204">
        <v>1</v>
      </c>
      <c r="R13204" t="s">
        <v>47441</v>
      </c>
      <c r="S13204" t="s">
        <v>48092</v>
      </c>
      <c r="T13204" t="s">
        <v>49166</v>
      </c>
      <c r="U13204" t="s">
        <v>60481</v>
      </c>
      <c r="W13204" t="s">
        <v>45524</v>
      </c>
      <c r="X13204" t="s">
        <v>47444</v>
      </c>
    </row>
    <row r="13205" spans="1:24">
      <c r="A13205">
        <f>HYPERLINK("https://www.philgeps.gov.ph/GEPSNONPILOT/Tender/SplashBidNoticeAbstractUI.aspx?menuIndex=3&amp;refID=7135472&amp;Result=3","7135472")</f>
        <v>0</v>
      </c>
      <c r="B13205" t="s">
        <v>853</v>
      </c>
      <c r="C13205" t="s">
        <v>16365</v>
      </c>
      <c r="D13205" t="s">
        <v>19027</v>
      </c>
      <c r="E13205" t="s">
        <v>30401</v>
      </c>
      <c r="F13205" t="s">
        <v>32831</v>
      </c>
      <c r="G13205" t="s">
        <v>32839</v>
      </c>
      <c r="H13205" t="s">
        <v>32848</v>
      </c>
      <c r="I13205" t="s">
        <v>4438</v>
      </c>
      <c r="J13205" t="s">
        <v>41033</v>
      </c>
      <c r="K13205" t="s">
        <v>42730</v>
      </c>
      <c r="M13205" t="s">
        <v>47066</v>
      </c>
      <c r="N13205" t="s">
        <v>47424</v>
      </c>
      <c r="O13205" t="s">
        <v>47425</v>
      </c>
      <c r="Q13205">
        <v>5</v>
      </c>
      <c r="R13205" t="s">
        <v>47441</v>
      </c>
      <c r="S13205" t="s">
        <v>48093</v>
      </c>
      <c r="T13205" t="s">
        <v>49066</v>
      </c>
      <c r="U13205" t="s">
        <v>60482</v>
      </c>
      <c r="W13205" t="s">
        <v>47066</v>
      </c>
      <c r="X13205" t="s">
        <v>47443</v>
      </c>
    </row>
    <row r="13206" spans="1:24">
      <c r="A13206">
        <f>HYPERLINK("https://www.philgeps.gov.ph/GEPSNONPILOT/Tender/SplashBidNoticeAbstractUI.aspx?menuIndex=3&amp;refID=7135895&amp;Result=3","7135895")</f>
        <v>0</v>
      </c>
      <c r="B13206" t="s">
        <v>581</v>
      </c>
      <c r="C13206" t="s">
        <v>16366</v>
      </c>
      <c r="D13206" t="s">
        <v>19044</v>
      </c>
      <c r="E13206" t="s">
        <v>30402</v>
      </c>
      <c r="F13206" t="s">
        <v>32831</v>
      </c>
      <c r="G13206" t="s">
        <v>32839</v>
      </c>
      <c r="H13206" t="s">
        <v>32848</v>
      </c>
      <c r="I13206" t="s">
        <v>4558</v>
      </c>
      <c r="J13206" t="s">
        <v>41034</v>
      </c>
      <c r="K13206" t="s">
        <v>42730</v>
      </c>
      <c r="M13206" t="s">
        <v>43986</v>
      </c>
      <c r="N13206" t="s">
        <v>47424</v>
      </c>
      <c r="O13206" t="s">
        <v>47425</v>
      </c>
      <c r="P13206">
        <v>0</v>
      </c>
      <c r="Q13206">
        <v>13</v>
      </c>
      <c r="R13206" t="s">
        <v>47441</v>
      </c>
      <c r="S13206" t="s">
        <v>48049</v>
      </c>
      <c r="T13206" t="s">
        <v>49069</v>
      </c>
      <c r="U13206" t="s">
        <v>60483</v>
      </c>
      <c r="W13206" t="s">
        <v>43986</v>
      </c>
      <c r="X13206" t="s">
        <v>47442</v>
      </c>
    </row>
    <row r="13207" spans="1:24">
      <c r="A13207">
        <f>HYPERLINK("https://www.philgeps.gov.ph/GEPSNONPILOT/Tender/SplashBidNoticeAbstractUI.aspx?menuIndex=3&amp;refID=7135894&amp;Result=3","7135894")</f>
        <v>0</v>
      </c>
      <c r="B13207" t="s">
        <v>581</v>
      </c>
      <c r="C13207" t="s">
        <v>16367</v>
      </c>
      <c r="D13207" t="s">
        <v>19044</v>
      </c>
      <c r="E13207" t="s">
        <v>30403</v>
      </c>
      <c r="F13207" t="s">
        <v>32831</v>
      </c>
      <c r="G13207" t="s">
        <v>32839</v>
      </c>
      <c r="H13207" t="s">
        <v>32848</v>
      </c>
      <c r="I13207" t="s">
        <v>4438</v>
      </c>
      <c r="J13207" t="s">
        <v>41035</v>
      </c>
      <c r="K13207" t="s">
        <v>42730</v>
      </c>
      <c r="M13207" t="s">
        <v>43986</v>
      </c>
      <c r="N13207" t="s">
        <v>47424</v>
      </c>
      <c r="O13207" t="s">
        <v>47425</v>
      </c>
      <c r="P13207">
        <v>0</v>
      </c>
      <c r="Q13207">
        <v>6</v>
      </c>
      <c r="R13207" t="s">
        <v>47441</v>
      </c>
      <c r="S13207" t="s">
        <v>48049</v>
      </c>
      <c r="T13207" t="s">
        <v>49630</v>
      </c>
      <c r="U13207" t="s">
        <v>60484</v>
      </c>
      <c r="W13207" t="s">
        <v>43986</v>
      </c>
      <c r="X13207" t="s">
        <v>47442</v>
      </c>
    </row>
    <row r="13208" spans="1:24">
      <c r="A13208">
        <f>HYPERLINK("https://www.philgeps.gov.ph/GEPSNONPILOT/Tender/SplashBidNoticeAbstractUI.aspx?menuIndex=3&amp;refID=7135014&amp;Result=3","7135014")</f>
        <v>0</v>
      </c>
      <c r="B13208" t="s">
        <v>27</v>
      </c>
      <c r="C13208" t="s">
        <v>16368</v>
      </c>
      <c r="D13208" t="s">
        <v>19020</v>
      </c>
      <c r="E13208" t="s">
        <v>30404</v>
      </c>
      <c r="F13208" t="s">
        <v>32831</v>
      </c>
      <c r="G13208" t="s">
        <v>32839</v>
      </c>
      <c r="H13208" t="s">
        <v>32849</v>
      </c>
      <c r="I13208" t="s">
        <v>4177</v>
      </c>
      <c r="J13208" t="s">
        <v>33081</v>
      </c>
      <c r="K13208" t="s">
        <v>42787</v>
      </c>
      <c r="M13208" t="s">
        <v>43024</v>
      </c>
      <c r="N13208" t="s">
        <v>47424</v>
      </c>
      <c r="O13208" t="s">
        <v>47425</v>
      </c>
      <c r="P13208">
        <v>0</v>
      </c>
      <c r="Q13208">
        <v>11</v>
      </c>
      <c r="R13208" t="s">
        <v>47441</v>
      </c>
      <c r="S13208" t="s">
        <v>48049</v>
      </c>
      <c r="T13208" t="s">
        <v>49059</v>
      </c>
      <c r="U13208" t="s">
        <v>49692</v>
      </c>
      <c r="W13208" t="s">
        <v>43024</v>
      </c>
      <c r="X13208" t="s">
        <v>47444</v>
      </c>
    </row>
    <row r="13209" spans="1:24">
      <c r="A13209">
        <f>HYPERLINK("https://www.philgeps.gov.ph/GEPSNONPILOT/Tender/SplashBidNoticeAbstractUI.aspx?menuIndex=3&amp;refID=7135896&amp;Result=3","7135896")</f>
        <v>0</v>
      </c>
      <c r="B13209" t="s">
        <v>344</v>
      </c>
      <c r="C13209" t="s">
        <v>16369</v>
      </c>
      <c r="D13209" t="s">
        <v>19046</v>
      </c>
      <c r="E13209" t="s">
        <v>30405</v>
      </c>
      <c r="F13209" t="s">
        <v>32831</v>
      </c>
      <c r="G13209" t="s">
        <v>32839</v>
      </c>
      <c r="H13209" t="s">
        <v>32848</v>
      </c>
      <c r="I13209" t="s">
        <v>7751</v>
      </c>
      <c r="J13209" t="s">
        <v>33561</v>
      </c>
      <c r="K13209" t="s">
        <v>42729</v>
      </c>
      <c r="M13209" t="s">
        <v>43348</v>
      </c>
      <c r="N13209" t="s">
        <v>47424</v>
      </c>
      <c r="O13209" t="s">
        <v>47425</v>
      </c>
      <c r="P13209">
        <v>0</v>
      </c>
      <c r="Q13209">
        <v>2</v>
      </c>
      <c r="R13209" t="s">
        <v>47441</v>
      </c>
      <c r="S13209" t="s">
        <v>48049</v>
      </c>
      <c r="T13209" t="s">
        <v>49214</v>
      </c>
      <c r="U13209" t="s">
        <v>60485</v>
      </c>
      <c r="W13209" t="s">
        <v>43348</v>
      </c>
      <c r="X13209" t="s">
        <v>47442</v>
      </c>
    </row>
    <row r="13210" spans="1:24">
      <c r="A13210">
        <f>HYPERLINK("https://www.philgeps.gov.ph/GEPSNONPILOT/Tender/SplashBidNoticeAbstractUI.aspx?menuIndex=3&amp;refID=7135476&amp;Result=3","7135476")</f>
        <v>0</v>
      </c>
      <c r="B13210" t="s">
        <v>853</v>
      </c>
      <c r="C13210" t="s">
        <v>16370</v>
      </c>
      <c r="D13210" t="s">
        <v>19027</v>
      </c>
      <c r="E13210" t="s">
        <v>30406</v>
      </c>
      <c r="F13210" t="s">
        <v>32831</v>
      </c>
      <c r="G13210" t="s">
        <v>32839</v>
      </c>
      <c r="H13210" t="s">
        <v>32848</v>
      </c>
      <c r="I13210" t="s">
        <v>4776</v>
      </c>
      <c r="J13210" t="s">
        <v>33257</v>
      </c>
      <c r="K13210" t="s">
        <v>42730</v>
      </c>
      <c r="M13210" t="s">
        <v>47066</v>
      </c>
      <c r="N13210" t="s">
        <v>47424</v>
      </c>
      <c r="O13210" t="s">
        <v>47425</v>
      </c>
      <c r="P13210">
        <v>0</v>
      </c>
      <c r="Q13210">
        <v>13</v>
      </c>
      <c r="R13210" t="s">
        <v>47441</v>
      </c>
      <c r="S13210" t="s">
        <v>48049</v>
      </c>
      <c r="T13210" t="s">
        <v>49066</v>
      </c>
      <c r="U13210" t="s">
        <v>60486</v>
      </c>
      <c r="W13210" t="s">
        <v>47066</v>
      </c>
      <c r="X13210" t="s">
        <v>47443</v>
      </c>
    </row>
    <row r="13211" spans="1:24">
      <c r="A13211">
        <f>HYPERLINK("https://www.philgeps.gov.ph/GEPSNONPILOT/Tender/SplashBidNoticeAbstractUI.aspx?menuIndex=3&amp;refID=7135890&amp;Result=3","7135890")</f>
        <v>0</v>
      </c>
      <c r="B13211" t="s">
        <v>581</v>
      </c>
      <c r="C13211" t="s">
        <v>16371</v>
      </c>
      <c r="D13211" t="s">
        <v>19044</v>
      </c>
      <c r="E13211" t="s">
        <v>30407</v>
      </c>
      <c r="F13211" t="s">
        <v>32831</v>
      </c>
      <c r="G13211" t="s">
        <v>32839</v>
      </c>
      <c r="H13211" t="s">
        <v>32848</v>
      </c>
      <c r="I13211" t="s">
        <v>4438</v>
      </c>
      <c r="J13211" t="s">
        <v>41036</v>
      </c>
      <c r="K13211" t="s">
        <v>42730</v>
      </c>
      <c r="M13211" t="s">
        <v>43986</v>
      </c>
      <c r="N13211" t="s">
        <v>47424</v>
      </c>
      <c r="O13211" t="s">
        <v>47425</v>
      </c>
      <c r="P13211">
        <v>0</v>
      </c>
      <c r="Q13211">
        <v>12</v>
      </c>
      <c r="R13211" t="s">
        <v>47441</v>
      </c>
      <c r="S13211" t="s">
        <v>48049</v>
      </c>
      <c r="T13211" t="s">
        <v>49112</v>
      </c>
      <c r="U13211" t="s">
        <v>60487</v>
      </c>
      <c r="W13211" t="s">
        <v>43986</v>
      </c>
      <c r="X13211" t="s">
        <v>47442</v>
      </c>
    </row>
    <row r="13212" spans="1:24">
      <c r="A13212">
        <f>HYPERLINK("https://www.philgeps.gov.ph/GEPSNONPILOT/Tender/SplashBidNoticeAbstractUI.aspx?menuIndex=3&amp;refID=7135887&amp;Result=3","7135887")</f>
        <v>0</v>
      </c>
      <c r="B13212" t="s">
        <v>581</v>
      </c>
      <c r="C13212" t="s">
        <v>16372</v>
      </c>
      <c r="D13212" t="s">
        <v>19044</v>
      </c>
      <c r="E13212" t="s">
        <v>30408</v>
      </c>
      <c r="F13212" t="s">
        <v>32831</v>
      </c>
      <c r="G13212" t="s">
        <v>32839</v>
      </c>
      <c r="H13212" t="s">
        <v>32848</v>
      </c>
      <c r="I13212" t="s">
        <v>32861</v>
      </c>
      <c r="J13212" t="s">
        <v>41037</v>
      </c>
      <c r="K13212" t="s">
        <v>42730</v>
      </c>
      <c r="M13212" t="s">
        <v>43986</v>
      </c>
      <c r="N13212" t="s">
        <v>47424</v>
      </c>
      <c r="O13212" t="s">
        <v>47425</v>
      </c>
      <c r="P13212">
        <v>0</v>
      </c>
      <c r="Q13212">
        <v>32</v>
      </c>
      <c r="R13212" t="s">
        <v>47441</v>
      </c>
      <c r="S13212" t="s">
        <v>48049</v>
      </c>
      <c r="T13212" t="s">
        <v>49069</v>
      </c>
      <c r="U13212" t="s">
        <v>60488</v>
      </c>
      <c r="W13212" t="s">
        <v>43986</v>
      </c>
      <c r="X13212" t="s">
        <v>47442</v>
      </c>
    </row>
    <row r="13213" spans="1:24">
      <c r="A13213">
        <f>HYPERLINK("https://www.philgeps.gov.ph/GEPSNONPILOT/Tender/SplashBidNoticeAbstractUI.aspx?menuIndex=3&amp;refID=7135171&amp;Result=3","7135171")</f>
        <v>0</v>
      </c>
      <c r="B13213" t="s">
        <v>1357</v>
      </c>
      <c r="C13213" t="s">
        <v>16373</v>
      </c>
      <c r="D13213" t="s">
        <v>19045</v>
      </c>
      <c r="E13213" t="s">
        <v>30409</v>
      </c>
      <c r="F13213" t="s">
        <v>32831</v>
      </c>
      <c r="G13213" t="s">
        <v>32839</v>
      </c>
      <c r="H13213" t="s">
        <v>32848</v>
      </c>
      <c r="I13213" t="s">
        <v>32892</v>
      </c>
      <c r="J13213" t="s">
        <v>41038</v>
      </c>
      <c r="K13213" t="s">
        <v>42743</v>
      </c>
      <c r="M13213" t="s">
        <v>45854</v>
      </c>
      <c r="N13213" t="s">
        <v>47424</v>
      </c>
      <c r="O13213" t="s">
        <v>47425</v>
      </c>
      <c r="Q13213">
        <v>3</v>
      </c>
      <c r="R13213" t="s">
        <v>47441</v>
      </c>
      <c r="S13213" t="s">
        <v>48094</v>
      </c>
      <c r="T13213" t="s">
        <v>49105</v>
      </c>
      <c r="U13213" t="s">
        <v>60489</v>
      </c>
      <c r="W13213" t="s">
        <v>45854</v>
      </c>
      <c r="X13213" t="s">
        <v>47444</v>
      </c>
    </row>
    <row r="13214" spans="1:24">
      <c r="A13214">
        <f>HYPERLINK("https://www.philgeps.gov.ph/GEPSNONPILOT/Tender/SplashBidNoticeAbstractUI.aspx?menuIndex=3&amp;refID=7135892&amp;Result=3","7135892")</f>
        <v>0</v>
      </c>
      <c r="B13214" t="s">
        <v>581</v>
      </c>
      <c r="C13214" t="s">
        <v>16374</v>
      </c>
      <c r="D13214" t="s">
        <v>19044</v>
      </c>
      <c r="E13214" t="s">
        <v>30410</v>
      </c>
      <c r="F13214" t="s">
        <v>32831</v>
      </c>
      <c r="G13214" t="s">
        <v>32839</v>
      </c>
      <c r="H13214" t="s">
        <v>32848</v>
      </c>
      <c r="I13214" t="s">
        <v>7751</v>
      </c>
      <c r="J13214" t="s">
        <v>41039</v>
      </c>
      <c r="K13214" t="s">
        <v>42747</v>
      </c>
      <c r="M13214" t="s">
        <v>43986</v>
      </c>
      <c r="N13214" t="s">
        <v>47424</v>
      </c>
      <c r="O13214" t="s">
        <v>47425</v>
      </c>
      <c r="P13214">
        <v>0</v>
      </c>
      <c r="Q13214">
        <v>8</v>
      </c>
      <c r="R13214" t="s">
        <v>47441</v>
      </c>
      <c r="S13214" t="s">
        <v>48049</v>
      </c>
      <c r="T13214" t="s">
        <v>49069</v>
      </c>
      <c r="U13214" t="s">
        <v>60490</v>
      </c>
      <c r="W13214" t="s">
        <v>43986</v>
      </c>
      <c r="X13214" t="s">
        <v>47442</v>
      </c>
    </row>
    <row r="13215" spans="1:24">
      <c r="A13215">
        <f>HYPERLINK("https://www.philgeps.gov.ph/GEPSNONPILOT/Tender/SplashBidNoticeAbstractUI.aspx?menuIndex=3&amp;refID=7135891&amp;Result=3","7135891")</f>
        <v>0</v>
      </c>
      <c r="B13215" t="s">
        <v>581</v>
      </c>
      <c r="C13215" t="s">
        <v>16375</v>
      </c>
      <c r="D13215" t="s">
        <v>19044</v>
      </c>
      <c r="E13215" t="s">
        <v>30411</v>
      </c>
      <c r="F13215" t="s">
        <v>32831</v>
      </c>
      <c r="G13215" t="s">
        <v>32839</v>
      </c>
      <c r="H13215" t="s">
        <v>32848</v>
      </c>
      <c r="I13215" t="s">
        <v>32860</v>
      </c>
      <c r="J13215" t="s">
        <v>41040</v>
      </c>
      <c r="K13215" t="s">
        <v>42730</v>
      </c>
      <c r="M13215" t="s">
        <v>43986</v>
      </c>
      <c r="N13215" t="s">
        <v>47424</v>
      </c>
      <c r="O13215" t="s">
        <v>47425</v>
      </c>
      <c r="P13215">
        <v>0</v>
      </c>
      <c r="Q13215">
        <v>10</v>
      </c>
      <c r="R13215" t="s">
        <v>47441</v>
      </c>
      <c r="S13215" t="s">
        <v>48049</v>
      </c>
      <c r="T13215" t="s">
        <v>49069</v>
      </c>
      <c r="U13215" t="s">
        <v>60491</v>
      </c>
      <c r="W13215" t="s">
        <v>43986</v>
      </c>
      <c r="X13215" t="s">
        <v>47442</v>
      </c>
    </row>
    <row r="13216" spans="1:24">
      <c r="A13216">
        <f>HYPERLINK("https://www.philgeps.gov.ph/GEPSNONPILOT/Tender/SplashBidNoticeAbstractUI.aspx?menuIndex=3&amp;refID=7135868&amp;Result=3","7135868")</f>
        <v>0</v>
      </c>
      <c r="B13216" t="s">
        <v>1756</v>
      </c>
      <c r="C13216" t="s">
        <v>16376</v>
      </c>
      <c r="D13216" t="s">
        <v>19021</v>
      </c>
      <c r="E13216" t="s">
        <v>30412</v>
      </c>
      <c r="F13216" t="s">
        <v>32831</v>
      </c>
      <c r="G13216" t="s">
        <v>32839</v>
      </c>
      <c r="H13216" t="s">
        <v>32848</v>
      </c>
      <c r="I13216" t="s">
        <v>4177</v>
      </c>
      <c r="J13216" t="s">
        <v>33465</v>
      </c>
      <c r="K13216" t="s">
        <v>42729</v>
      </c>
      <c r="M13216" t="s">
        <v>44880</v>
      </c>
      <c r="N13216" t="s">
        <v>47424</v>
      </c>
      <c r="O13216" t="s">
        <v>47425</v>
      </c>
      <c r="P13216">
        <v>0</v>
      </c>
      <c r="Q13216">
        <v>29</v>
      </c>
      <c r="R13216" t="s">
        <v>47441</v>
      </c>
      <c r="S13216" t="s">
        <v>48049</v>
      </c>
      <c r="T13216" t="s">
        <v>49089</v>
      </c>
      <c r="U13216" t="s">
        <v>60492</v>
      </c>
      <c r="V13216" t="s">
        <v>62833</v>
      </c>
      <c r="W13216" t="s">
        <v>44880</v>
      </c>
      <c r="X13216" t="s">
        <v>47442</v>
      </c>
    </row>
    <row r="13217" spans="1:24">
      <c r="A13217">
        <f>HYPERLINK("https://www.philgeps.gov.ph/GEPSNONPILOT/Tender/SplashBidNoticeAbstractUI.aspx?menuIndex=3&amp;refID=7135881&amp;Result=3","7135881")</f>
        <v>0</v>
      </c>
      <c r="B13217" t="s">
        <v>1756</v>
      </c>
      <c r="C13217" t="s">
        <v>16377</v>
      </c>
      <c r="D13217" t="s">
        <v>19021</v>
      </c>
      <c r="E13217" t="s">
        <v>30413</v>
      </c>
      <c r="F13217" t="s">
        <v>32831</v>
      </c>
      <c r="G13217" t="s">
        <v>32839</v>
      </c>
      <c r="H13217" t="s">
        <v>32848</v>
      </c>
      <c r="I13217" t="s">
        <v>4177</v>
      </c>
      <c r="J13217" t="s">
        <v>33465</v>
      </c>
      <c r="K13217" t="s">
        <v>42729</v>
      </c>
      <c r="M13217" t="s">
        <v>44880</v>
      </c>
      <c r="N13217" t="s">
        <v>47424</v>
      </c>
      <c r="O13217" t="s">
        <v>47425</v>
      </c>
      <c r="P13217">
        <v>0</v>
      </c>
      <c r="Q13217">
        <v>30</v>
      </c>
      <c r="R13217" t="s">
        <v>47441</v>
      </c>
      <c r="S13217" t="s">
        <v>48049</v>
      </c>
      <c r="T13217" t="s">
        <v>49089</v>
      </c>
      <c r="U13217" t="s">
        <v>60493</v>
      </c>
      <c r="V13217" t="s">
        <v>62833</v>
      </c>
      <c r="W13217" t="s">
        <v>44880</v>
      </c>
      <c r="X13217" t="s">
        <v>47442</v>
      </c>
    </row>
    <row r="13218" spans="1:24">
      <c r="A13218">
        <f>HYPERLINK("https://www.philgeps.gov.ph/GEPSNONPILOT/Tender/SplashBidNoticeAbstractUI.aspx?menuIndex=3&amp;refID=7135839&amp;Result=3","7135839")</f>
        <v>0</v>
      </c>
      <c r="B13218" t="s">
        <v>3686</v>
      </c>
      <c r="C13218" t="s">
        <v>16378</v>
      </c>
      <c r="D13218" t="s">
        <v>19017</v>
      </c>
      <c r="E13218" t="s">
        <v>30414</v>
      </c>
      <c r="F13218" t="s">
        <v>32831</v>
      </c>
      <c r="G13218" t="s">
        <v>32839</v>
      </c>
      <c r="H13218" t="s">
        <v>32848</v>
      </c>
      <c r="I13218" t="s">
        <v>4776</v>
      </c>
      <c r="J13218" t="s">
        <v>41041</v>
      </c>
      <c r="K13218" t="s">
        <v>42726</v>
      </c>
      <c r="M13218" t="s">
        <v>47067</v>
      </c>
      <c r="N13218" t="s">
        <v>47424</v>
      </c>
      <c r="O13218" t="s">
        <v>47425</v>
      </c>
      <c r="P13218">
        <v>0</v>
      </c>
      <c r="Q13218">
        <v>1</v>
      </c>
      <c r="R13218" t="s">
        <v>47441</v>
      </c>
      <c r="S13218" t="s">
        <v>48049</v>
      </c>
      <c r="T13218" t="s">
        <v>49073</v>
      </c>
      <c r="U13218" t="s">
        <v>60494</v>
      </c>
      <c r="W13218" t="s">
        <v>47067</v>
      </c>
      <c r="X13218" t="s">
        <v>47442</v>
      </c>
    </row>
    <row r="13219" spans="1:24">
      <c r="A13219">
        <f>HYPERLINK("https://www.philgeps.gov.ph/GEPSNONPILOT/Tender/SplashBidNoticeAbstractUI.aspx?menuIndex=3&amp;refID=7136022&amp;Result=3","7136022")</f>
        <v>0</v>
      </c>
      <c r="B13219" t="s">
        <v>3687</v>
      </c>
      <c r="C13219" t="s">
        <v>16379</v>
      </c>
      <c r="D13219" t="s">
        <v>19091</v>
      </c>
      <c r="E13219" t="s">
        <v>30415</v>
      </c>
      <c r="F13219" t="s">
        <v>32831</v>
      </c>
      <c r="G13219" t="s">
        <v>32839</v>
      </c>
      <c r="H13219" t="s">
        <v>32849</v>
      </c>
      <c r="I13219" t="s">
        <v>4177</v>
      </c>
      <c r="J13219" t="s">
        <v>33257</v>
      </c>
      <c r="K13219" t="s">
        <v>42780</v>
      </c>
      <c r="M13219" t="s">
        <v>47068</v>
      </c>
      <c r="N13219" t="s">
        <v>47424</v>
      </c>
      <c r="O13219" t="s">
        <v>47425</v>
      </c>
      <c r="P13219">
        <v>0</v>
      </c>
      <c r="Q13219">
        <v>4</v>
      </c>
      <c r="R13219" t="s">
        <v>47441</v>
      </c>
      <c r="S13219" t="s">
        <v>48049</v>
      </c>
      <c r="T13219" t="s">
        <v>49066</v>
      </c>
      <c r="U13219" t="s">
        <v>60495</v>
      </c>
      <c r="W13219" t="s">
        <v>47068</v>
      </c>
      <c r="X13219" t="s">
        <v>47442</v>
      </c>
    </row>
    <row r="13220" spans="1:24">
      <c r="A13220">
        <f>HYPERLINK("https://www.philgeps.gov.ph/GEPSNONPILOT/Tender/SplashBidNoticeAbstractUI.aspx?menuIndex=3&amp;refID=7135889&amp;Result=3","7135889")</f>
        <v>0</v>
      </c>
      <c r="B13220" t="s">
        <v>581</v>
      </c>
      <c r="C13220" t="s">
        <v>16380</v>
      </c>
      <c r="D13220" t="s">
        <v>19044</v>
      </c>
      <c r="E13220" t="s">
        <v>30416</v>
      </c>
      <c r="F13220" t="s">
        <v>32831</v>
      </c>
      <c r="G13220" t="s">
        <v>32839</v>
      </c>
      <c r="H13220" t="s">
        <v>32848</v>
      </c>
      <c r="I13220" t="s">
        <v>8577</v>
      </c>
      <c r="J13220" t="s">
        <v>41042</v>
      </c>
      <c r="K13220" t="s">
        <v>42730</v>
      </c>
      <c r="M13220" t="s">
        <v>43986</v>
      </c>
      <c r="N13220" t="s">
        <v>47424</v>
      </c>
      <c r="O13220" t="s">
        <v>47425</v>
      </c>
      <c r="Q13220">
        <v>17</v>
      </c>
      <c r="R13220" t="s">
        <v>47441</v>
      </c>
      <c r="S13220" t="s">
        <v>48095</v>
      </c>
      <c r="T13220" t="s">
        <v>49069</v>
      </c>
      <c r="U13220" t="s">
        <v>60496</v>
      </c>
      <c r="W13220" t="s">
        <v>43986</v>
      </c>
      <c r="X13220" t="s">
        <v>47442</v>
      </c>
    </row>
    <row r="13221" spans="1:24">
      <c r="A13221">
        <f>HYPERLINK("https://www.philgeps.gov.ph/GEPSNONPILOT/Tender/SplashBidNoticeAbstractUI.aspx?menuIndex=3&amp;refID=7136017&amp;Result=3","7136017")</f>
        <v>0</v>
      </c>
      <c r="B13221" t="s">
        <v>3687</v>
      </c>
      <c r="C13221" t="s">
        <v>16381</v>
      </c>
      <c r="D13221" t="s">
        <v>19091</v>
      </c>
      <c r="E13221" t="s">
        <v>30417</v>
      </c>
      <c r="F13221" t="s">
        <v>32831</v>
      </c>
      <c r="G13221" t="s">
        <v>32839</v>
      </c>
      <c r="H13221" t="s">
        <v>32848</v>
      </c>
      <c r="I13221" t="s">
        <v>32859</v>
      </c>
      <c r="J13221" t="s">
        <v>35305</v>
      </c>
      <c r="K13221" t="s">
        <v>42727</v>
      </c>
      <c r="M13221" t="s">
        <v>47068</v>
      </c>
      <c r="N13221" t="s">
        <v>47424</v>
      </c>
      <c r="O13221" t="s">
        <v>47425</v>
      </c>
      <c r="P13221">
        <v>0</v>
      </c>
      <c r="Q13221">
        <v>5</v>
      </c>
      <c r="R13221" t="s">
        <v>47441</v>
      </c>
      <c r="S13221" t="s">
        <v>48049</v>
      </c>
      <c r="T13221" t="s">
        <v>49239</v>
      </c>
      <c r="U13221" t="s">
        <v>60497</v>
      </c>
      <c r="W13221" t="s">
        <v>47068</v>
      </c>
      <c r="X13221" t="s">
        <v>47442</v>
      </c>
    </row>
    <row r="13222" spans="1:24">
      <c r="A13222">
        <f>HYPERLINK("https://www.philgeps.gov.ph/GEPSNONPILOT/Tender/SplashBidNoticeAbstractUI.aspx?menuIndex=3&amp;refID=7136015&amp;Result=3","7136015")</f>
        <v>0</v>
      </c>
      <c r="B13222" t="s">
        <v>1905</v>
      </c>
      <c r="C13222" t="s">
        <v>16382</v>
      </c>
      <c r="E13222" t="s">
        <v>30418</v>
      </c>
      <c r="F13222" t="s">
        <v>32831</v>
      </c>
      <c r="G13222" t="s">
        <v>32839</v>
      </c>
      <c r="H13222" t="s">
        <v>32848</v>
      </c>
      <c r="I13222" t="s">
        <v>4558</v>
      </c>
      <c r="J13222" t="s">
        <v>41043</v>
      </c>
      <c r="K13222" t="s">
        <v>42732</v>
      </c>
      <c r="M13222" t="s">
        <v>45054</v>
      </c>
      <c r="N13222" t="s">
        <v>47424</v>
      </c>
      <c r="O13222" t="s">
        <v>47425</v>
      </c>
      <c r="P13222">
        <v>0</v>
      </c>
      <c r="Q13222">
        <v>6</v>
      </c>
      <c r="R13222" t="s">
        <v>47441</v>
      </c>
      <c r="S13222" t="s">
        <v>48049</v>
      </c>
      <c r="T13222" t="s">
        <v>49196</v>
      </c>
      <c r="U13222" t="s">
        <v>59555</v>
      </c>
      <c r="V13222" t="s">
        <v>64097</v>
      </c>
      <c r="W13222" t="s">
        <v>45054</v>
      </c>
      <c r="X13222" t="s">
        <v>47442</v>
      </c>
    </row>
    <row r="13223" spans="1:24">
      <c r="A13223">
        <f>HYPERLINK("https://www.philgeps.gov.ph/GEPSNONPILOT/Tender/SplashBidNoticeAbstractUI.aspx?menuIndex=3&amp;refID=7135885&amp;Result=3","7135885")</f>
        <v>0</v>
      </c>
      <c r="B13223" t="s">
        <v>581</v>
      </c>
      <c r="C13223" t="s">
        <v>16383</v>
      </c>
      <c r="D13223" t="s">
        <v>19044</v>
      </c>
      <c r="E13223" t="s">
        <v>30419</v>
      </c>
      <c r="F13223" t="s">
        <v>32831</v>
      </c>
      <c r="G13223" t="s">
        <v>32839</v>
      </c>
      <c r="H13223" t="s">
        <v>32848</v>
      </c>
      <c r="I13223" t="s">
        <v>32857</v>
      </c>
      <c r="J13223" t="s">
        <v>41044</v>
      </c>
      <c r="K13223" t="s">
        <v>42726</v>
      </c>
      <c r="M13223" t="s">
        <v>43986</v>
      </c>
      <c r="N13223" t="s">
        <v>47424</v>
      </c>
      <c r="O13223" t="s">
        <v>47425</v>
      </c>
      <c r="P13223">
        <v>0</v>
      </c>
      <c r="Q13223">
        <v>39</v>
      </c>
      <c r="R13223" t="s">
        <v>47441</v>
      </c>
      <c r="S13223" t="s">
        <v>48049</v>
      </c>
      <c r="T13223" t="s">
        <v>49069</v>
      </c>
      <c r="U13223" t="s">
        <v>60498</v>
      </c>
      <c r="W13223" t="s">
        <v>43986</v>
      </c>
      <c r="X13223" t="s">
        <v>47442</v>
      </c>
    </row>
    <row r="13224" spans="1:24">
      <c r="A13224">
        <f>HYPERLINK("https://www.philgeps.gov.ph/GEPSNONPILOT/Tender/SplashBidNoticeAbstractUI.aspx?menuIndex=3&amp;refID=7134992&amp;Result=3","7134992")</f>
        <v>0</v>
      </c>
      <c r="B13224" t="s">
        <v>27</v>
      </c>
      <c r="C13224" t="s">
        <v>16384</v>
      </c>
      <c r="D13224" t="s">
        <v>19020</v>
      </c>
      <c r="E13224" t="s">
        <v>30276</v>
      </c>
      <c r="F13224" t="s">
        <v>32831</v>
      </c>
      <c r="G13224" t="s">
        <v>32839</v>
      </c>
      <c r="H13224" t="s">
        <v>32849</v>
      </c>
      <c r="I13224" t="s">
        <v>4177</v>
      </c>
      <c r="J13224" t="s">
        <v>41045</v>
      </c>
      <c r="K13224" t="s">
        <v>42756</v>
      </c>
      <c r="M13224" t="s">
        <v>43024</v>
      </c>
      <c r="N13224" t="s">
        <v>47424</v>
      </c>
      <c r="O13224" t="s">
        <v>47425</v>
      </c>
      <c r="P13224">
        <v>0</v>
      </c>
      <c r="Q13224">
        <v>11</v>
      </c>
      <c r="R13224" t="s">
        <v>47441</v>
      </c>
      <c r="S13224" t="s">
        <v>48049</v>
      </c>
      <c r="T13224" t="s">
        <v>49059</v>
      </c>
      <c r="U13224" t="s">
        <v>49692</v>
      </c>
      <c r="W13224" t="s">
        <v>43024</v>
      </c>
      <c r="X13224" t="s">
        <v>47444</v>
      </c>
    </row>
    <row r="13225" spans="1:24">
      <c r="A13225">
        <f>HYPERLINK("https://www.philgeps.gov.ph/GEPSNONPILOT/Tender/SplashBidNoticeAbstractUI.aspx?menuIndex=3&amp;refID=7136009&amp;Result=3","7136009")</f>
        <v>0</v>
      </c>
      <c r="B13225" t="s">
        <v>1905</v>
      </c>
      <c r="C13225" t="s">
        <v>16385</v>
      </c>
      <c r="E13225" t="s">
        <v>30420</v>
      </c>
      <c r="F13225" t="s">
        <v>32831</v>
      </c>
      <c r="G13225" t="s">
        <v>32839</v>
      </c>
      <c r="H13225" t="s">
        <v>32848</v>
      </c>
      <c r="I13225" t="s">
        <v>32953</v>
      </c>
      <c r="J13225" t="s">
        <v>41046</v>
      </c>
      <c r="K13225" t="s">
        <v>42732</v>
      </c>
      <c r="M13225" t="s">
        <v>45054</v>
      </c>
      <c r="N13225" t="s">
        <v>47424</v>
      </c>
      <c r="O13225" t="s">
        <v>47425</v>
      </c>
      <c r="P13225">
        <v>0</v>
      </c>
      <c r="Q13225">
        <v>8</v>
      </c>
      <c r="R13225" t="s">
        <v>47441</v>
      </c>
      <c r="S13225" t="s">
        <v>48049</v>
      </c>
      <c r="T13225" t="s">
        <v>49196</v>
      </c>
      <c r="U13225" t="s">
        <v>60499</v>
      </c>
      <c r="V13225" t="s">
        <v>64098</v>
      </c>
      <c r="W13225" t="s">
        <v>45054</v>
      </c>
      <c r="X13225" t="s">
        <v>47442</v>
      </c>
    </row>
    <row r="13226" spans="1:24">
      <c r="A13226">
        <f>HYPERLINK("https://www.philgeps.gov.ph/GEPSNONPILOT/Tender/SplashBidNoticeAbstractUI.aspx?menuIndex=3&amp;refID=7136004&amp;Result=3","7136004")</f>
        <v>0</v>
      </c>
      <c r="B13226" t="s">
        <v>3371</v>
      </c>
      <c r="C13226" t="s">
        <v>16386</v>
      </c>
      <c r="D13226" t="s">
        <v>19049</v>
      </c>
      <c r="E13226" t="s">
        <v>30421</v>
      </c>
      <c r="F13226" t="s">
        <v>32831</v>
      </c>
      <c r="G13226" t="s">
        <v>32839</v>
      </c>
      <c r="H13226" t="s">
        <v>32848</v>
      </c>
      <c r="I13226" t="s">
        <v>5667</v>
      </c>
      <c r="J13226" t="s">
        <v>41047</v>
      </c>
      <c r="K13226" t="s">
        <v>42775</v>
      </c>
      <c r="M13226" t="s">
        <v>46698</v>
      </c>
      <c r="N13226" t="s">
        <v>47424</v>
      </c>
      <c r="O13226" t="s">
        <v>47425</v>
      </c>
      <c r="Q13226">
        <v>4</v>
      </c>
      <c r="R13226" t="s">
        <v>47441</v>
      </c>
      <c r="S13226" t="s">
        <v>48096</v>
      </c>
      <c r="T13226" t="s">
        <v>49631</v>
      </c>
      <c r="U13226" t="s">
        <v>60500</v>
      </c>
      <c r="W13226" t="s">
        <v>46698</v>
      </c>
      <c r="X13226" t="s">
        <v>47442</v>
      </c>
    </row>
    <row r="13227" spans="1:24">
      <c r="A13227">
        <f>HYPERLINK("https://www.philgeps.gov.ph/GEPSNONPILOT/Tender/SplashBidNoticeAbstractUI.aspx?menuIndex=3&amp;refID=7135996&amp;Result=3","7135996")</f>
        <v>0</v>
      </c>
      <c r="B13227" t="s">
        <v>468</v>
      </c>
      <c r="C13227" t="s">
        <v>16387</v>
      </c>
      <c r="D13227" t="s">
        <v>19031</v>
      </c>
      <c r="E13227" t="s">
        <v>30422</v>
      </c>
      <c r="F13227" t="s">
        <v>32831</v>
      </c>
      <c r="G13227" t="s">
        <v>32839</v>
      </c>
      <c r="H13227" t="s">
        <v>32848</v>
      </c>
      <c r="I13227" t="s">
        <v>4558</v>
      </c>
      <c r="J13227" t="s">
        <v>41048</v>
      </c>
      <c r="K13227" t="s">
        <v>42727</v>
      </c>
      <c r="M13227" t="s">
        <v>47069</v>
      </c>
      <c r="N13227" t="s">
        <v>47424</v>
      </c>
      <c r="O13227" t="s">
        <v>47425</v>
      </c>
      <c r="P13227">
        <v>0</v>
      </c>
      <c r="Q13227">
        <v>4</v>
      </c>
      <c r="R13227" t="s">
        <v>47441</v>
      </c>
      <c r="S13227" t="s">
        <v>48049</v>
      </c>
      <c r="T13227" t="s">
        <v>49148</v>
      </c>
      <c r="U13227" t="s">
        <v>60501</v>
      </c>
      <c r="W13227" t="s">
        <v>64440</v>
      </c>
      <c r="X13227" t="s">
        <v>47442</v>
      </c>
    </row>
    <row r="13228" spans="1:24">
      <c r="A13228">
        <f>HYPERLINK("https://www.philgeps.gov.ph/GEPSNONPILOT/Tender/SplashBidNoticeAbstractUI.aspx?menuIndex=3&amp;refID=7136013&amp;Result=3","7136013")</f>
        <v>0</v>
      </c>
      <c r="B13228" t="s">
        <v>927</v>
      </c>
      <c r="C13228" t="s">
        <v>16388</v>
      </c>
      <c r="D13228" t="s">
        <v>19031</v>
      </c>
      <c r="E13228" t="s">
        <v>30423</v>
      </c>
      <c r="F13228" t="s">
        <v>32831</v>
      </c>
      <c r="G13228" t="s">
        <v>32839</v>
      </c>
      <c r="H13228" t="s">
        <v>32849</v>
      </c>
      <c r="I13228" t="s">
        <v>4177</v>
      </c>
      <c r="J13228" t="s">
        <v>41049</v>
      </c>
      <c r="K13228" t="s">
        <v>42763</v>
      </c>
      <c r="M13228" t="s">
        <v>43968</v>
      </c>
      <c r="N13228" t="s">
        <v>47424</v>
      </c>
      <c r="O13228" t="s">
        <v>47425</v>
      </c>
      <c r="Q13228">
        <v>0</v>
      </c>
      <c r="R13228" t="s">
        <v>47441</v>
      </c>
      <c r="S13228" t="s">
        <v>48097</v>
      </c>
      <c r="T13228" t="s">
        <v>49080</v>
      </c>
      <c r="U13228" t="s">
        <v>60502</v>
      </c>
      <c r="W13228" t="s">
        <v>43968</v>
      </c>
      <c r="X13228" t="s">
        <v>47442</v>
      </c>
    </row>
    <row r="13229" spans="1:24">
      <c r="A13229">
        <f>HYPERLINK("https://www.philgeps.gov.ph/GEPSNONPILOT/Tender/SplashBidNoticeAbstractUI.aspx?menuIndex=3&amp;refID=7135993&amp;Result=3","7135993")</f>
        <v>0</v>
      </c>
      <c r="B13229" t="s">
        <v>468</v>
      </c>
      <c r="C13229" t="s">
        <v>16389</v>
      </c>
      <c r="D13229" t="s">
        <v>19031</v>
      </c>
      <c r="E13229" t="s">
        <v>30424</v>
      </c>
      <c r="F13229" t="s">
        <v>32831</v>
      </c>
      <c r="G13229" t="s">
        <v>32839</v>
      </c>
      <c r="H13229" t="s">
        <v>32848</v>
      </c>
      <c r="I13229" t="s">
        <v>32892</v>
      </c>
      <c r="J13229" t="s">
        <v>41050</v>
      </c>
      <c r="K13229" t="s">
        <v>42727</v>
      </c>
      <c r="M13229" t="s">
        <v>47069</v>
      </c>
      <c r="N13229" t="s">
        <v>47424</v>
      </c>
      <c r="O13229" t="s">
        <v>47425</v>
      </c>
      <c r="Q13229">
        <v>6</v>
      </c>
      <c r="R13229" t="s">
        <v>47441</v>
      </c>
      <c r="S13229" t="s">
        <v>48098</v>
      </c>
      <c r="T13229" t="s">
        <v>49148</v>
      </c>
      <c r="U13229" t="s">
        <v>60503</v>
      </c>
      <c r="W13229" t="s">
        <v>64440</v>
      </c>
      <c r="X13229" t="s">
        <v>47442</v>
      </c>
    </row>
    <row r="13230" spans="1:24">
      <c r="A13230">
        <f>HYPERLINK("https://www.philgeps.gov.ph/GEPSNONPILOT/Tender/SplashBidNoticeAbstractUI.aspx?menuIndex=3&amp;refID=7135989&amp;Result=3","7135989")</f>
        <v>0</v>
      </c>
      <c r="B13230" t="s">
        <v>3688</v>
      </c>
      <c r="C13230" t="s">
        <v>16390</v>
      </c>
      <c r="D13230" t="s">
        <v>19066</v>
      </c>
      <c r="E13230" t="s">
        <v>30425</v>
      </c>
      <c r="F13230" t="s">
        <v>32831</v>
      </c>
      <c r="G13230" t="s">
        <v>32839</v>
      </c>
      <c r="H13230" t="s">
        <v>32849</v>
      </c>
      <c r="I13230" t="s">
        <v>4177</v>
      </c>
      <c r="J13230" t="s">
        <v>34733</v>
      </c>
      <c r="K13230" t="s">
        <v>42873</v>
      </c>
      <c r="M13230" t="s">
        <v>47070</v>
      </c>
      <c r="N13230" t="s">
        <v>47424</v>
      </c>
      <c r="O13230" t="s">
        <v>47425</v>
      </c>
      <c r="P13230">
        <v>0</v>
      </c>
      <c r="Q13230">
        <v>0</v>
      </c>
      <c r="R13230" t="s">
        <v>47441</v>
      </c>
      <c r="S13230" t="s">
        <v>48049</v>
      </c>
      <c r="T13230" t="s">
        <v>49073</v>
      </c>
      <c r="U13230" t="s">
        <v>60504</v>
      </c>
      <c r="W13230" t="s">
        <v>47070</v>
      </c>
      <c r="X13230" t="s">
        <v>47442</v>
      </c>
    </row>
    <row r="13231" spans="1:24">
      <c r="A13231">
        <f>HYPERLINK("https://www.philgeps.gov.ph/GEPSNONPILOT/Tender/SplashBidNoticeAbstractUI.aspx?menuIndex=3&amp;refID=7135944&amp;Result=3","7135944")</f>
        <v>0</v>
      </c>
      <c r="B13231" t="s">
        <v>3689</v>
      </c>
      <c r="C13231" t="s">
        <v>16391</v>
      </c>
      <c r="E13231" t="s">
        <v>30426</v>
      </c>
      <c r="F13231" t="s">
        <v>32831</v>
      </c>
      <c r="G13231" t="s">
        <v>32839</v>
      </c>
      <c r="H13231" t="s">
        <v>32848</v>
      </c>
      <c r="I13231" t="s">
        <v>11727</v>
      </c>
      <c r="J13231" t="s">
        <v>34565</v>
      </c>
      <c r="K13231" t="s">
        <v>42732</v>
      </c>
      <c r="M13231" t="s">
        <v>47071</v>
      </c>
      <c r="N13231" t="s">
        <v>47424</v>
      </c>
      <c r="O13231" t="s">
        <v>47425</v>
      </c>
      <c r="P13231">
        <v>0</v>
      </c>
      <c r="Q13231">
        <v>7</v>
      </c>
      <c r="R13231" t="s">
        <v>47441</v>
      </c>
      <c r="S13231" t="s">
        <v>48049</v>
      </c>
      <c r="T13231" t="s">
        <v>49123</v>
      </c>
      <c r="U13231" t="s">
        <v>60505</v>
      </c>
      <c r="W13231" t="s">
        <v>47071</v>
      </c>
      <c r="X13231" t="s">
        <v>47442</v>
      </c>
    </row>
    <row r="13232" spans="1:24">
      <c r="A13232">
        <f>HYPERLINK("https://www.philgeps.gov.ph/GEPSNONPILOT/Tender/SplashBidNoticeAbstractUI.aspx?menuIndex=3&amp;refID=7135932&amp;Result=3","7135932")</f>
        <v>0</v>
      </c>
      <c r="B13232" t="s">
        <v>3689</v>
      </c>
      <c r="C13232" t="s">
        <v>16392</v>
      </c>
      <c r="E13232" t="s">
        <v>30427</v>
      </c>
      <c r="F13232" t="s">
        <v>32831</v>
      </c>
      <c r="G13232" t="s">
        <v>32839</v>
      </c>
      <c r="H13232" t="s">
        <v>32849</v>
      </c>
      <c r="I13232" t="s">
        <v>4177</v>
      </c>
      <c r="J13232" t="s">
        <v>41051</v>
      </c>
      <c r="K13232" t="s">
        <v>42732</v>
      </c>
      <c r="M13232" t="s">
        <v>47071</v>
      </c>
      <c r="N13232" t="s">
        <v>47424</v>
      </c>
      <c r="O13232" t="s">
        <v>47425</v>
      </c>
      <c r="P13232">
        <v>0</v>
      </c>
      <c r="Q13232">
        <v>0</v>
      </c>
      <c r="R13232" t="s">
        <v>47441</v>
      </c>
      <c r="S13232" t="s">
        <v>48049</v>
      </c>
      <c r="T13232" t="s">
        <v>49123</v>
      </c>
      <c r="U13232" t="s">
        <v>60505</v>
      </c>
      <c r="W13232" t="s">
        <v>47071</v>
      </c>
      <c r="X13232" t="s">
        <v>47442</v>
      </c>
    </row>
    <row r="13233" spans="1:24">
      <c r="A13233">
        <f>HYPERLINK("https://www.philgeps.gov.ph/GEPSNONPILOT/Tender/SplashBidNoticeAbstractUI.aspx?menuIndex=3&amp;refID=7135917&amp;Result=3","7135917")</f>
        <v>0</v>
      </c>
      <c r="B13233" t="s">
        <v>3229</v>
      </c>
      <c r="C13233" t="s">
        <v>16393</v>
      </c>
      <c r="D13233" t="s">
        <v>19021</v>
      </c>
      <c r="E13233" t="s">
        <v>30428</v>
      </c>
      <c r="F13233" t="s">
        <v>32831</v>
      </c>
      <c r="G13233" t="s">
        <v>32839</v>
      </c>
      <c r="H13233" t="s">
        <v>32848</v>
      </c>
      <c r="I13233" t="s">
        <v>4776</v>
      </c>
      <c r="J13233" t="s">
        <v>37217</v>
      </c>
      <c r="K13233" t="s">
        <v>42730</v>
      </c>
      <c r="M13233" t="s">
        <v>46543</v>
      </c>
      <c r="N13233" t="s">
        <v>47424</v>
      </c>
      <c r="O13233" t="s">
        <v>47425</v>
      </c>
      <c r="P13233">
        <v>0</v>
      </c>
      <c r="Q13233">
        <v>5</v>
      </c>
      <c r="R13233" t="s">
        <v>47441</v>
      </c>
      <c r="S13233" t="s">
        <v>48049</v>
      </c>
      <c r="T13233" t="s">
        <v>49064</v>
      </c>
      <c r="U13233" t="s">
        <v>58390</v>
      </c>
      <c r="W13233" t="s">
        <v>46543</v>
      </c>
      <c r="X13233" t="s">
        <v>47442</v>
      </c>
    </row>
    <row r="13234" spans="1:24">
      <c r="A13234">
        <f>HYPERLINK("https://www.philgeps.gov.ph/GEPSNONPILOT/Tender/SplashBidNoticeAbstractUI.aspx?menuIndex=3&amp;refID=7136012&amp;Result=3","7136012")</f>
        <v>0</v>
      </c>
      <c r="B13234" t="s">
        <v>1905</v>
      </c>
      <c r="C13234" t="s">
        <v>16394</v>
      </c>
      <c r="E13234" t="s">
        <v>30429</v>
      </c>
      <c r="F13234" t="s">
        <v>32831</v>
      </c>
      <c r="G13234" t="s">
        <v>32839</v>
      </c>
      <c r="H13234" t="s">
        <v>32848</v>
      </c>
      <c r="I13234" t="s">
        <v>9577</v>
      </c>
      <c r="J13234" t="s">
        <v>41052</v>
      </c>
      <c r="K13234" t="s">
        <v>42732</v>
      </c>
      <c r="M13234" t="s">
        <v>45054</v>
      </c>
      <c r="N13234" t="s">
        <v>47424</v>
      </c>
      <c r="O13234" t="s">
        <v>47425</v>
      </c>
      <c r="P13234">
        <v>0</v>
      </c>
      <c r="Q13234">
        <v>4</v>
      </c>
      <c r="R13234" t="s">
        <v>47441</v>
      </c>
      <c r="S13234" t="s">
        <v>48049</v>
      </c>
      <c r="T13234" t="s">
        <v>49196</v>
      </c>
      <c r="U13234" t="s">
        <v>60506</v>
      </c>
      <c r="V13234" t="s">
        <v>64099</v>
      </c>
      <c r="W13234" t="s">
        <v>45054</v>
      </c>
      <c r="X13234" t="s">
        <v>47442</v>
      </c>
    </row>
    <row r="13235" spans="1:24">
      <c r="A13235">
        <f>HYPERLINK("https://www.philgeps.gov.ph/GEPSNONPILOT/Tender/SplashBidNoticeAbstractUI.aspx?menuIndex=3&amp;refID=7135914&amp;Result=3","7135914")</f>
        <v>0</v>
      </c>
      <c r="B13235" t="s">
        <v>3229</v>
      </c>
      <c r="C13235" t="s">
        <v>16395</v>
      </c>
      <c r="D13235" t="s">
        <v>19021</v>
      </c>
      <c r="E13235" t="s">
        <v>30430</v>
      </c>
      <c r="F13235" t="s">
        <v>32831</v>
      </c>
      <c r="G13235" t="s">
        <v>32839</v>
      </c>
      <c r="H13235" t="s">
        <v>32848</v>
      </c>
      <c r="I13235" t="s">
        <v>32868</v>
      </c>
      <c r="J13235" t="s">
        <v>33337</v>
      </c>
      <c r="K13235" t="s">
        <v>42730</v>
      </c>
      <c r="M13235" t="s">
        <v>46543</v>
      </c>
      <c r="N13235" t="s">
        <v>47424</v>
      </c>
      <c r="O13235" t="s">
        <v>47425</v>
      </c>
      <c r="P13235">
        <v>0</v>
      </c>
      <c r="Q13235">
        <v>2</v>
      </c>
      <c r="R13235" t="s">
        <v>47441</v>
      </c>
      <c r="S13235" t="s">
        <v>48049</v>
      </c>
      <c r="T13235" t="s">
        <v>49175</v>
      </c>
      <c r="U13235" t="s">
        <v>58390</v>
      </c>
      <c r="W13235" t="s">
        <v>46543</v>
      </c>
      <c r="X13235" t="s">
        <v>47442</v>
      </c>
    </row>
    <row r="13236" spans="1:24">
      <c r="A13236">
        <f>HYPERLINK("https://www.philgeps.gov.ph/GEPSNONPILOT/Tender/SplashBidNoticeAbstractUI.aspx?menuIndex=3&amp;refID=7136030&amp;Result=3","7136030")</f>
        <v>0</v>
      </c>
      <c r="B13236" t="s">
        <v>955</v>
      </c>
      <c r="C13236" t="s">
        <v>16396</v>
      </c>
      <c r="D13236" t="s">
        <v>19017</v>
      </c>
      <c r="E13236" t="s">
        <v>30431</v>
      </c>
      <c r="F13236" t="s">
        <v>32831</v>
      </c>
      <c r="G13236" t="s">
        <v>32839</v>
      </c>
      <c r="H13236" t="s">
        <v>14069</v>
      </c>
      <c r="I13236" t="s">
        <v>4487</v>
      </c>
      <c r="J13236" t="s">
        <v>34860</v>
      </c>
      <c r="K13236" t="s">
        <v>42775</v>
      </c>
      <c r="M13236" t="s">
        <v>47072</v>
      </c>
      <c r="N13236" t="s">
        <v>47424</v>
      </c>
      <c r="O13236" t="s">
        <v>47425</v>
      </c>
      <c r="Q13236">
        <v>3</v>
      </c>
      <c r="R13236" t="s">
        <v>47441</v>
      </c>
      <c r="S13236" t="s">
        <v>48099</v>
      </c>
      <c r="T13236" t="s">
        <v>49301</v>
      </c>
      <c r="U13236" t="s">
        <v>60507</v>
      </c>
      <c r="W13236" t="s">
        <v>47072</v>
      </c>
      <c r="X13236" t="s">
        <v>47442</v>
      </c>
    </row>
    <row r="13237" spans="1:24">
      <c r="A13237">
        <f>HYPERLINK("https://www.philgeps.gov.ph/GEPSNONPILOT/Tender/SplashBidNoticeAbstractUI.aspx?menuIndex=3&amp;refID=7135835&amp;Result=3","7135835")</f>
        <v>0</v>
      </c>
      <c r="B13237" t="s">
        <v>472</v>
      </c>
      <c r="C13237" t="s">
        <v>16397</v>
      </c>
      <c r="D13237" t="s">
        <v>19064</v>
      </c>
      <c r="E13237" t="s">
        <v>30432</v>
      </c>
      <c r="F13237" t="s">
        <v>32831</v>
      </c>
      <c r="G13237" t="s">
        <v>32839</v>
      </c>
      <c r="H13237" t="s">
        <v>32848</v>
      </c>
      <c r="I13237" t="s">
        <v>11727</v>
      </c>
      <c r="J13237" t="s">
        <v>41053</v>
      </c>
      <c r="K13237" t="s">
        <v>42730</v>
      </c>
      <c r="M13237" t="s">
        <v>43477</v>
      </c>
      <c r="N13237" t="s">
        <v>47424</v>
      </c>
      <c r="O13237" t="s">
        <v>47425</v>
      </c>
      <c r="P13237">
        <v>0</v>
      </c>
      <c r="Q13237">
        <v>5</v>
      </c>
      <c r="R13237" t="s">
        <v>47441</v>
      </c>
      <c r="S13237" t="s">
        <v>48049</v>
      </c>
      <c r="T13237" t="s">
        <v>49073</v>
      </c>
      <c r="U13237" t="s">
        <v>60508</v>
      </c>
      <c r="V13237" t="s">
        <v>64096</v>
      </c>
      <c r="W13237" t="s">
        <v>43477</v>
      </c>
      <c r="X13237" t="s">
        <v>47442</v>
      </c>
    </row>
    <row r="13238" spans="1:24">
      <c r="A13238">
        <f>HYPERLINK("https://www.philgeps.gov.ph/GEPSNONPILOT/Tender/SplashBidNoticeAbstractUI.aspx?menuIndex=3&amp;refID=7135827&amp;Result=3","7135827")</f>
        <v>0</v>
      </c>
      <c r="B13238" t="s">
        <v>3686</v>
      </c>
      <c r="C13238" t="s">
        <v>16398</v>
      </c>
      <c r="D13238" t="s">
        <v>19017</v>
      </c>
      <c r="E13238" t="s">
        <v>30433</v>
      </c>
      <c r="F13238" t="s">
        <v>32831</v>
      </c>
      <c r="G13238" t="s">
        <v>32839</v>
      </c>
      <c r="H13238" t="s">
        <v>32848</v>
      </c>
      <c r="I13238" t="s">
        <v>32854</v>
      </c>
      <c r="J13238" t="s">
        <v>41054</v>
      </c>
      <c r="K13238" t="s">
        <v>42726</v>
      </c>
      <c r="M13238" t="s">
        <v>47067</v>
      </c>
      <c r="N13238" t="s">
        <v>47424</v>
      </c>
      <c r="O13238" t="s">
        <v>47425</v>
      </c>
      <c r="P13238">
        <v>0</v>
      </c>
      <c r="Q13238">
        <v>2</v>
      </c>
      <c r="R13238" t="s">
        <v>47441</v>
      </c>
      <c r="S13238" t="s">
        <v>48049</v>
      </c>
      <c r="T13238" t="s">
        <v>49073</v>
      </c>
      <c r="U13238" t="s">
        <v>60509</v>
      </c>
      <c r="W13238" t="s">
        <v>47067</v>
      </c>
      <c r="X13238" t="s">
        <v>47442</v>
      </c>
    </row>
    <row r="13239" spans="1:24">
      <c r="A13239">
        <f>HYPERLINK("https://www.philgeps.gov.ph/GEPSNONPILOT/Tender/SplashBidNoticeAbstractUI.aspx?menuIndex=3&amp;refID=7135826&amp;Result=3","7135826")</f>
        <v>0</v>
      </c>
      <c r="B13239" t="s">
        <v>1756</v>
      </c>
      <c r="C13239" t="s">
        <v>16399</v>
      </c>
      <c r="D13239" t="s">
        <v>19021</v>
      </c>
      <c r="E13239" t="s">
        <v>30434</v>
      </c>
      <c r="F13239" t="s">
        <v>32831</v>
      </c>
      <c r="G13239" t="s">
        <v>32839</v>
      </c>
      <c r="H13239" t="s">
        <v>32849</v>
      </c>
      <c r="I13239" t="s">
        <v>4177</v>
      </c>
      <c r="J13239" t="s">
        <v>33465</v>
      </c>
      <c r="K13239" t="s">
        <v>42729</v>
      </c>
      <c r="M13239" t="s">
        <v>44880</v>
      </c>
      <c r="N13239" t="s">
        <v>47424</v>
      </c>
      <c r="O13239" t="s">
        <v>47425</v>
      </c>
      <c r="P13239">
        <v>0</v>
      </c>
      <c r="Q13239">
        <v>29</v>
      </c>
      <c r="R13239" t="s">
        <v>47441</v>
      </c>
      <c r="S13239" t="s">
        <v>48049</v>
      </c>
      <c r="T13239" t="s">
        <v>49089</v>
      </c>
      <c r="U13239" t="s">
        <v>60510</v>
      </c>
      <c r="V13239" t="s">
        <v>62833</v>
      </c>
      <c r="W13239" t="s">
        <v>44880</v>
      </c>
      <c r="X13239" t="s">
        <v>47442</v>
      </c>
    </row>
    <row r="13240" spans="1:24">
      <c r="A13240">
        <f>HYPERLINK("https://www.philgeps.gov.ph/GEPSNONPILOT/Tender/SplashBidNoticeAbstractUI.aspx?menuIndex=3&amp;refID=7135820&amp;Result=3","7135820")</f>
        <v>0</v>
      </c>
      <c r="B13240" t="s">
        <v>3686</v>
      </c>
      <c r="C13240" t="s">
        <v>16400</v>
      </c>
      <c r="D13240" t="s">
        <v>19017</v>
      </c>
      <c r="E13240" t="s">
        <v>30435</v>
      </c>
      <c r="F13240" t="s">
        <v>32831</v>
      </c>
      <c r="G13240" t="s">
        <v>32839</v>
      </c>
      <c r="H13240" t="s">
        <v>32848</v>
      </c>
      <c r="I13240" t="s">
        <v>7416</v>
      </c>
      <c r="J13240" t="s">
        <v>41055</v>
      </c>
      <c r="K13240" t="s">
        <v>42726</v>
      </c>
      <c r="M13240" t="s">
        <v>47067</v>
      </c>
      <c r="N13240" t="s">
        <v>47424</v>
      </c>
      <c r="O13240" t="s">
        <v>47425</v>
      </c>
      <c r="P13240">
        <v>0</v>
      </c>
      <c r="Q13240">
        <v>0</v>
      </c>
      <c r="R13240" t="s">
        <v>47441</v>
      </c>
      <c r="S13240" t="s">
        <v>48049</v>
      </c>
      <c r="T13240" t="s">
        <v>49073</v>
      </c>
      <c r="U13240" t="s">
        <v>60511</v>
      </c>
      <c r="W13240" t="s">
        <v>47067</v>
      </c>
      <c r="X13240" t="s">
        <v>47442</v>
      </c>
    </row>
    <row r="13241" spans="1:24">
      <c r="A13241">
        <f>HYPERLINK("https://www.philgeps.gov.ph/GEPSNONPILOT/Tender/SplashBidNoticeAbstractUI.aspx?menuIndex=3&amp;refID=7135674&amp;Result=3","7135674")</f>
        <v>0</v>
      </c>
      <c r="B13241" t="s">
        <v>3229</v>
      </c>
      <c r="C13241" t="s">
        <v>16401</v>
      </c>
      <c r="D13241" t="s">
        <v>19021</v>
      </c>
      <c r="E13241" t="s">
        <v>30436</v>
      </c>
      <c r="F13241" t="s">
        <v>32831</v>
      </c>
      <c r="G13241" t="s">
        <v>32839</v>
      </c>
      <c r="H13241" t="s">
        <v>32849</v>
      </c>
      <c r="I13241" t="s">
        <v>4177</v>
      </c>
      <c r="J13241" t="s">
        <v>33528</v>
      </c>
      <c r="K13241" t="s">
        <v>42972</v>
      </c>
      <c r="M13241" t="s">
        <v>46543</v>
      </c>
      <c r="N13241" t="s">
        <v>47424</v>
      </c>
      <c r="O13241" t="s">
        <v>47425</v>
      </c>
      <c r="P13241">
        <v>0</v>
      </c>
      <c r="Q13241">
        <v>25</v>
      </c>
      <c r="R13241" t="s">
        <v>47441</v>
      </c>
      <c r="S13241" t="s">
        <v>48049</v>
      </c>
      <c r="T13241" t="s">
        <v>49259</v>
      </c>
      <c r="U13241" t="s">
        <v>60512</v>
      </c>
      <c r="W13241" t="s">
        <v>46543</v>
      </c>
      <c r="X13241" t="s">
        <v>47443</v>
      </c>
    </row>
    <row r="13242" spans="1:24">
      <c r="A13242">
        <f>HYPERLINK("https://www.philgeps.gov.ph/GEPSNONPILOT/Tender/SplashBidNoticeAbstractUI.aspx?menuIndex=3&amp;refID=7135908&amp;Result=3","7135908")</f>
        <v>0</v>
      </c>
      <c r="B13242" t="s">
        <v>2524</v>
      </c>
      <c r="C13242" t="s">
        <v>16402</v>
      </c>
      <c r="D13242" t="s">
        <v>19024</v>
      </c>
      <c r="E13242" t="s">
        <v>22503</v>
      </c>
      <c r="F13242" t="s">
        <v>32831</v>
      </c>
      <c r="G13242" t="s">
        <v>32839</v>
      </c>
      <c r="H13242" t="s">
        <v>32848</v>
      </c>
      <c r="I13242" t="s">
        <v>7751</v>
      </c>
      <c r="J13242" t="s">
        <v>33133</v>
      </c>
      <c r="K13242" t="s">
        <v>42732</v>
      </c>
      <c r="M13242" t="s">
        <v>45732</v>
      </c>
      <c r="N13242" t="s">
        <v>47424</v>
      </c>
      <c r="O13242" t="s">
        <v>47425</v>
      </c>
      <c r="P13242">
        <v>0</v>
      </c>
      <c r="Q13242">
        <v>0</v>
      </c>
      <c r="R13242" t="s">
        <v>47441</v>
      </c>
      <c r="S13242" t="s">
        <v>48049</v>
      </c>
      <c r="T13242" t="s">
        <v>49091</v>
      </c>
      <c r="U13242" t="s">
        <v>60513</v>
      </c>
      <c r="W13242" t="s">
        <v>45732</v>
      </c>
      <c r="X13242" t="s">
        <v>47442</v>
      </c>
    </row>
    <row r="13243" spans="1:24">
      <c r="A13243">
        <f>HYPERLINK("https://www.philgeps.gov.ph/GEPSNONPILOT/Tender/SplashBidNoticeAbstractUI.aspx?menuIndex=3&amp;refID=7135957&amp;Result=3","7135957")</f>
        <v>0</v>
      </c>
      <c r="B13243" t="s">
        <v>1065</v>
      </c>
      <c r="C13243" t="s">
        <v>16403</v>
      </c>
      <c r="D13243" t="s">
        <v>19017</v>
      </c>
      <c r="E13243" t="s">
        <v>30437</v>
      </c>
      <c r="F13243" t="s">
        <v>32831</v>
      </c>
      <c r="G13243" t="s">
        <v>32839</v>
      </c>
      <c r="H13243" t="s">
        <v>32848</v>
      </c>
      <c r="I13243" t="s">
        <v>32971</v>
      </c>
      <c r="J13243" t="s">
        <v>33066</v>
      </c>
      <c r="K13243" t="s">
        <v>42775</v>
      </c>
      <c r="M13243" t="s">
        <v>44122</v>
      </c>
      <c r="N13243" t="s">
        <v>47424</v>
      </c>
      <c r="O13243" t="s">
        <v>47425</v>
      </c>
      <c r="Q13243">
        <v>1</v>
      </c>
      <c r="R13243" t="s">
        <v>47441</v>
      </c>
      <c r="S13243" t="s">
        <v>48100</v>
      </c>
      <c r="T13243" t="s">
        <v>49073</v>
      </c>
      <c r="U13243" t="s">
        <v>60514</v>
      </c>
      <c r="V13243" t="s">
        <v>64100</v>
      </c>
      <c r="W13243" t="s">
        <v>44122</v>
      </c>
      <c r="X13243" t="s">
        <v>47442</v>
      </c>
    </row>
    <row r="13244" spans="1:24">
      <c r="A13244">
        <f>HYPERLINK("https://www.philgeps.gov.ph/GEPSNONPILOT/Tender/SplashBidNoticeAbstractUI.aspx?menuIndex=3&amp;refID=7134335&amp;Result=3","7134335")</f>
        <v>0</v>
      </c>
      <c r="B13244" t="s">
        <v>2653</v>
      </c>
      <c r="C13244" t="s">
        <v>16404</v>
      </c>
      <c r="D13244" t="s">
        <v>19020</v>
      </c>
      <c r="E13244" t="s">
        <v>30438</v>
      </c>
      <c r="F13244" t="s">
        <v>32834</v>
      </c>
      <c r="G13244" t="s">
        <v>32840</v>
      </c>
      <c r="H13244" t="s">
        <v>32849</v>
      </c>
      <c r="I13244" t="s">
        <v>4177</v>
      </c>
      <c r="J13244" t="s">
        <v>41056</v>
      </c>
      <c r="K13244" t="s">
        <v>42864</v>
      </c>
      <c r="M13244" t="s">
        <v>45876</v>
      </c>
      <c r="N13244" t="s">
        <v>47424</v>
      </c>
      <c r="O13244" t="s">
        <v>47425</v>
      </c>
      <c r="Q13244">
        <v>1</v>
      </c>
      <c r="R13244" t="s">
        <v>47441</v>
      </c>
      <c r="S13244" t="s">
        <v>48101</v>
      </c>
      <c r="T13244" t="s">
        <v>49370</v>
      </c>
      <c r="U13244" t="s">
        <v>60515</v>
      </c>
      <c r="W13244" t="s">
        <v>45876</v>
      </c>
      <c r="X13244" t="s">
        <v>47444</v>
      </c>
    </row>
    <row r="13245" spans="1:24">
      <c r="A13245">
        <f>HYPERLINK("https://www.philgeps.gov.ph/GEPSNONPILOT/Tender/SplashBidNoticeAbstractUI.aspx?menuIndex=3&amp;refID=7135904&amp;Result=3","7135904")</f>
        <v>0</v>
      </c>
      <c r="B13245" t="s">
        <v>472</v>
      </c>
      <c r="C13245" t="s">
        <v>16405</v>
      </c>
      <c r="D13245" t="s">
        <v>19064</v>
      </c>
      <c r="E13245" t="s">
        <v>30439</v>
      </c>
      <c r="F13245" t="s">
        <v>32831</v>
      </c>
      <c r="G13245" t="s">
        <v>32839</v>
      </c>
      <c r="H13245" t="s">
        <v>32848</v>
      </c>
      <c r="I13245" t="s">
        <v>11727</v>
      </c>
      <c r="J13245" t="s">
        <v>41035</v>
      </c>
      <c r="K13245" t="s">
        <v>42730</v>
      </c>
      <c r="M13245" t="s">
        <v>43477</v>
      </c>
      <c r="N13245" t="s">
        <v>47424</v>
      </c>
      <c r="O13245" t="s">
        <v>47425</v>
      </c>
      <c r="P13245">
        <v>0</v>
      </c>
      <c r="Q13245">
        <v>3</v>
      </c>
      <c r="R13245" t="s">
        <v>47441</v>
      </c>
      <c r="S13245" t="s">
        <v>48049</v>
      </c>
      <c r="T13245" t="s">
        <v>49073</v>
      </c>
      <c r="U13245" t="s">
        <v>60516</v>
      </c>
      <c r="V13245" t="s">
        <v>64096</v>
      </c>
      <c r="W13245" t="s">
        <v>43477</v>
      </c>
      <c r="X13245" t="s">
        <v>47442</v>
      </c>
    </row>
    <row r="13246" spans="1:24">
      <c r="A13246">
        <f>HYPERLINK("https://www.philgeps.gov.ph/GEPSNONPILOT/Tender/SplashBidNoticeAbstractUI.aspx?menuIndex=3&amp;refID=7135819&amp;Result=3","7135819")</f>
        <v>0</v>
      </c>
      <c r="B13246" t="s">
        <v>472</v>
      </c>
      <c r="C13246" t="s">
        <v>16406</v>
      </c>
      <c r="D13246" t="s">
        <v>19064</v>
      </c>
      <c r="E13246" t="s">
        <v>30440</v>
      </c>
      <c r="F13246" t="s">
        <v>32831</v>
      </c>
      <c r="G13246" t="s">
        <v>32839</v>
      </c>
      <c r="H13246" t="s">
        <v>32848</v>
      </c>
      <c r="I13246" t="s">
        <v>11727</v>
      </c>
      <c r="J13246" t="s">
        <v>38270</v>
      </c>
      <c r="K13246" t="s">
        <v>42730</v>
      </c>
      <c r="M13246" t="s">
        <v>43477</v>
      </c>
      <c r="N13246" t="s">
        <v>47424</v>
      </c>
      <c r="O13246" t="s">
        <v>47425</v>
      </c>
      <c r="P13246">
        <v>0</v>
      </c>
      <c r="Q13246">
        <v>4</v>
      </c>
      <c r="R13246" t="s">
        <v>47441</v>
      </c>
      <c r="S13246" t="s">
        <v>48049</v>
      </c>
      <c r="T13246" t="s">
        <v>49073</v>
      </c>
      <c r="U13246" t="s">
        <v>60517</v>
      </c>
      <c r="V13246" t="s">
        <v>64096</v>
      </c>
      <c r="W13246" t="s">
        <v>43477</v>
      </c>
      <c r="X13246" t="s">
        <v>47442</v>
      </c>
    </row>
    <row r="13247" spans="1:24">
      <c r="A13247">
        <f>HYPERLINK("https://www.philgeps.gov.ph/GEPSNONPILOT/Tender/SplashBidNoticeAbstractUI.aspx?menuIndex=3&amp;refID=7135672&amp;Result=3","7135672")</f>
        <v>0</v>
      </c>
      <c r="B13247" t="s">
        <v>3690</v>
      </c>
      <c r="C13247" t="s">
        <v>16407</v>
      </c>
      <c r="D13247" t="s">
        <v>19027</v>
      </c>
      <c r="E13247" t="s">
        <v>30441</v>
      </c>
      <c r="F13247" t="s">
        <v>32831</v>
      </c>
      <c r="G13247" t="s">
        <v>32839</v>
      </c>
      <c r="H13247" t="s">
        <v>32848</v>
      </c>
      <c r="I13247" t="s">
        <v>10643</v>
      </c>
      <c r="J13247" t="s">
        <v>33403</v>
      </c>
      <c r="K13247" t="s">
        <v>42726</v>
      </c>
      <c r="M13247" t="s">
        <v>47073</v>
      </c>
      <c r="N13247" t="s">
        <v>47424</v>
      </c>
      <c r="O13247" t="s">
        <v>47425</v>
      </c>
      <c r="P13247">
        <v>0</v>
      </c>
      <c r="Q13247">
        <v>2</v>
      </c>
      <c r="R13247" t="s">
        <v>47442</v>
      </c>
      <c r="S13247" t="s">
        <v>48102</v>
      </c>
      <c r="T13247" t="s">
        <v>49632</v>
      </c>
      <c r="U13247" t="s">
        <v>60518</v>
      </c>
      <c r="W13247" t="s">
        <v>47073</v>
      </c>
      <c r="X13247" t="s">
        <v>47443</v>
      </c>
    </row>
    <row r="13248" spans="1:24">
      <c r="A13248">
        <f>HYPERLINK("https://www.philgeps.gov.ph/GEPSNONPILOT/Tender/SplashBidNoticeAbstractUI.aspx?menuIndex=3&amp;refID=7134359&amp;Result=3","7134359")</f>
        <v>0</v>
      </c>
      <c r="B13248" t="s">
        <v>3684</v>
      </c>
      <c r="C13248" t="s">
        <v>16408</v>
      </c>
      <c r="D13248" t="s">
        <v>19037</v>
      </c>
      <c r="E13248" t="s">
        <v>19670</v>
      </c>
      <c r="F13248" t="s">
        <v>32831</v>
      </c>
      <c r="G13248" t="s">
        <v>32839</v>
      </c>
      <c r="H13248" t="s">
        <v>32848</v>
      </c>
      <c r="I13248" t="s">
        <v>4558</v>
      </c>
      <c r="J13248" t="s">
        <v>41057</v>
      </c>
      <c r="K13248" t="s">
        <v>42730</v>
      </c>
      <c r="L13248" t="s">
        <v>3684</v>
      </c>
      <c r="M13248" t="s">
        <v>47062</v>
      </c>
      <c r="N13248" t="s">
        <v>47424</v>
      </c>
      <c r="O13248" t="s">
        <v>47425</v>
      </c>
      <c r="P13248">
        <v>0</v>
      </c>
      <c r="Q13248">
        <v>7</v>
      </c>
      <c r="R13248" t="s">
        <v>47441</v>
      </c>
      <c r="S13248" t="s">
        <v>48049</v>
      </c>
      <c r="T13248" t="s">
        <v>49111</v>
      </c>
      <c r="U13248" t="s">
        <v>60519</v>
      </c>
      <c r="V13248" t="s">
        <v>62754</v>
      </c>
      <c r="W13248" t="s">
        <v>47062</v>
      </c>
      <c r="X13248" t="s">
        <v>47444</v>
      </c>
    </row>
    <row r="13249" spans="1:24">
      <c r="A13249">
        <f>HYPERLINK("https://www.philgeps.gov.ph/GEPSNONPILOT/Tender/SplashBidNoticeAbstractUI.aspx?menuIndex=3&amp;refID=7135899&amp;Result=3","7135899")</f>
        <v>0</v>
      </c>
      <c r="B13249" t="s">
        <v>472</v>
      </c>
      <c r="C13249" t="s">
        <v>16409</v>
      </c>
      <c r="D13249" t="s">
        <v>19064</v>
      </c>
      <c r="E13249" t="s">
        <v>30442</v>
      </c>
      <c r="F13249" t="s">
        <v>32831</v>
      </c>
      <c r="G13249" t="s">
        <v>32839</v>
      </c>
      <c r="H13249" t="s">
        <v>32848</v>
      </c>
      <c r="I13249" t="s">
        <v>11727</v>
      </c>
      <c r="J13249" t="s">
        <v>34578</v>
      </c>
      <c r="K13249" t="s">
        <v>42730</v>
      </c>
      <c r="M13249" t="s">
        <v>43477</v>
      </c>
      <c r="N13249" t="s">
        <v>47424</v>
      </c>
      <c r="O13249" t="s">
        <v>47425</v>
      </c>
      <c r="P13249">
        <v>0</v>
      </c>
      <c r="Q13249">
        <v>3</v>
      </c>
      <c r="R13249" t="s">
        <v>47441</v>
      </c>
      <c r="S13249" t="s">
        <v>48049</v>
      </c>
      <c r="T13249" t="s">
        <v>49073</v>
      </c>
      <c r="U13249" t="s">
        <v>60520</v>
      </c>
      <c r="V13249" t="s">
        <v>64096</v>
      </c>
      <c r="W13249" t="s">
        <v>43477</v>
      </c>
      <c r="X13249" t="s">
        <v>47442</v>
      </c>
    </row>
    <row r="13250" spans="1:24">
      <c r="A13250">
        <f>HYPERLINK("https://www.philgeps.gov.ph/GEPSNONPILOT/Tender/SplashBidNoticeAbstractUI.aspx?menuIndex=3&amp;refID=7135630&amp;Result=3","7135630")</f>
        <v>0</v>
      </c>
      <c r="B13250" t="s">
        <v>3229</v>
      </c>
      <c r="C13250" t="s">
        <v>16410</v>
      </c>
      <c r="D13250" t="s">
        <v>19021</v>
      </c>
      <c r="E13250" t="s">
        <v>19404</v>
      </c>
      <c r="F13250" t="s">
        <v>32831</v>
      </c>
      <c r="G13250" t="s">
        <v>32839</v>
      </c>
      <c r="H13250" t="s">
        <v>32849</v>
      </c>
      <c r="I13250" t="s">
        <v>4177</v>
      </c>
      <c r="J13250" t="s">
        <v>41058</v>
      </c>
      <c r="K13250" t="s">
        <v>42728</v>
      </c>
      <c r="M13250" t="s">
        <v>46543</v>
      </c>
      <c r="N13250" t="s">
        <v>47424</v>
      </c>
      <c r="O13250" t="s">
        <v>47425</v>
      </c>
      <c r="P13250">
        <v>0</v>
      </c>
      <c r="Q13250">
        <v>25</v>
      </c>
      <c r="R13250" t="s">
        <v>47442</v>
      </c>
      <c r="S13250" t="s">
        <v>48102</v>
      </c>
      <c r="T13250" t="s">
        <v>49633</v>
      </c>
      <c r="U13250" t="s">
        <v>60512</v>
      </c>
      <c r="W13250" t="s">
        <v>46543</v>
      </c>
      <c r="X13250" t="s">
        <v>47443</v>
      </c>
    </row>
    <row r="13251" spans="1:24">
      <c r="A13251">
        <f>HYPERLINK("https://www.philgeps.gov.ph/GEPSNONPILOT/Tender/SplashBidNoticeAbstractUI.aspx?menuIndex=3&amp;refID=7135475&amp;Result=3","7135475")</f>
        <v>0</v>
      </c>
      <c r="B13251" t="s">
        <v>479</v>
      </c>
      <c r="C13251" t="s">
        <v>16411</v>
      </c>
      <c r="D13251" t="s">
        <v>19081</v>
      </c>
      <c r="E13251" t="s">
        <v>30443</v>
      </c>
      <c r="F13251" t="s">
        <v>32831</v>
      </c>
      <c r="G13251" t="s">
        <v>32839</v>
      </c>
      <c r="H13251" t="s">
        <v>32849</v>
      </c>
      <c r="I13251" t="s">
        <v>4177</v>
      </c>
      <c r="J13251" t="s">
        <v>41059</v>
      </c>
      <c r="K13251" t="s">
        <v>42763</v>
      </c>
      <c r="M13251" t="s">
        <v>43484</v>
      </c>
      <c r="N13251" t="s">
        <v>47424</v>
      </c>
      <c r="O13251" t="s">
        <v>47425</v>
      </c>
      <c r="P13251">
        <v>0</v>
      </c>
      <c r="Q13251">
        <v>16</v>
      </c>
      <c r="R13251" t="s">
        <v>47442</v>
      </c>
      <c r="S13251" t="s">
        <v>48102</v>
      </c>
      <c r="T13251" t="s">
        <v>49105</v>
      </c>
      <c r="U13251" t="s">
        <v>60521</v>
      </c>
      <c r="V13251" t="s">
        <v>64101</v>
      </c>
      <c r="W13251" t="s">
        <v>43484</v>
      </c>
      <c r="X13251" t="s">
        <v>47443</v>
      </c>
    </row>
    <row r="13252" spans="1:24">
      <c r="A13252">
        <f>HYPERLINK("https://www.philgeps.gov.ph/GEPSNONPILOT/Tender/SplashBidNoticeAbstractUI.aspx?menuIndex=3&amp;refID=7135893&amp;Result=3","7135893")</f>
        <v>0</v>
      </c>
      <c r="B13252" t="s">
        <v>581</v>
      </c>
      <c r="C13252" t="s">
        <v>16412</v>
      </c>
      <c r="D13252" t="s">
        <v>19044</v>
      </c>
      <c r="E13252" t="s">
        <v>30444</v>
      </c>
      <c r="F13252" t="s">
        <v>32831</v>
      </c>
      <c r="G13252" t="s">
        <v>32839</v>
      </c>
      <c r="H13252" t="s">
        <v>32848</v>
      </c>
      <c r="I13252" t="s">
        <v>4438</v>
      </c>
      <c r="J13252" t="s">
        <v>37539</v>
      </c>
      <c r="K13252" t="s">
        <v>42726</v>
      </c>
      <c r="M13252" t="s">
        <v>43986</v>
      </c>
      <c r="N13252" t="s">
        <v>47424</v>
      </c>
      <c r="O13252" t="s">
        <v>47425</v>
      </c>
      <c r="P13252">
        <v>0</v>
      </c>
      <c r="Q13252">
        <v>6</v>
      </c>
      <c r="R13252" t="s">
        <v>47441</v>
      </c>
      <c r="S13252" t="s">
        <v>48049</v>
      </c>
      <c r="T13252" t="s">
        <v>49069</v>
      </c>
      <c r="U13252" t="s">
        <v>60522</v>
      </c>
      <c r="W13252" t="s">
        <v>43986</v>
      </c>
      <c r="X13252" t="s">
        <v>47442</v>
      </c>
    </row>
    <row r="13253" spans="1:24">
      <c r="A13253">
        <f>HYPERLINK("https://www.philgeps.gov.ph/GEPSNONPILOT/Tender/SplashBidNoticeAbstractUI.aspx?menuIndex=3&amp;refID=7135534&amp;Result=3","7135534")</f>
        <v>0</v>
      </c>
      <c r="B13253" t="s">
        <v>1208</v>
      </c>
      <c r="C13253" t="s">
        <v>16413</v>
      </c>
      <c r="D13253" t="s">
        <v>19093</v>
      </c>
      <c r="E13253" t="s">
        <v>19665</v>
      </c>
      <c r="F13253" t="s">
        <v>32831</v>
      </c>
      <c r="G13253" t="s">
        <v>32839</v>
      </c>
      <c r="H13253" t="s">
        <v>32849</v>
      </c>
      <c r="I13253" t="s">
        <v>4177</v>
      </c>
      <c r="J13253" t="s">
        <v>41060</v>
      </c>
      <c r="K13253" t="s">
        <v>42792</v>
      </c>
      <c r="M13253" t="s">
        <v>44275</v>
      </c>
      <c r="N13253" t="s">
        <v>47424</v>
      </c>
      <c r="O13253" t="s">
        <v>47425</v>
      </c>
      <c r="P13253">
        <v>0</v>
      </c>
      <c r="Q13253">
        <v>0</v>
      </c>
      <c r="R13253" t="s">
        <v>47442</v>
      </c>
      <c r="S13253" t="s">
        <v>48102</v>
      </c>
      <c r="T13253" t="s">
        <v>49066</v>
      </c>
      <c r="U13253" t="s">
        <v>60523</v>
      </c>
      <c r="W13253" t="s">
        <v>44275</v>
      </c>
      <c r="X13253" t="s">
        <v>47443</v>
      </c>
    </row>
    <row r="13254" spans="1:24">
      <c r="A13254">
        <f>HYPERLINK("https://www.philgeps.gov.ph/GEPSNONPILOT/Tender/SplashBidNoticeAbstractUI.aspx?menuIndex=3&amp;refID=7135456&amp;Result=3","7135456")</f>
        <v>0</v>
      </c>
      <c r="B13254" t="s">
        <v>1208</v>
      </c>
      <c r="C13254" t="s">
        <v>16414</v>
      </c>
      <c r="D13254" t="s">
        <v>19093</v>
      </c>
      <c r="E13254" t="s">
        <v>20783</v>
      </c>
      <c r="F13254" t="s">
        <v>32831</v>
      </c>
      <c r="G13254" t="s">
        <v>32839</v>
      </c>
      <c r="H13254" t="s">
        <v>32849</v>
      </c>
      <c r="I13254" t="s">
        <v>4177</v>
      </c>
      <c r="J13254" t="s">
        <v>41061</v>
      </c>
      <c r="K13254" t="s">
        <v>42763</v>
      </c>
      <c r="M13254" t="s">
        <v>44275</v>
      </c>
      <c r="N13254" t="s">
        <v>47424</v>
      </c>
      <c r="O13254" t="s">
        <v>47425</v>
      </c>
      <c r="P13254">
        <v>0</v>
      </c>
      <c r="Q13254">
        <v>0</v>
      </c>
      <c r="R13254" t="s">
        <v>47442</v>
      </c>
      <c r="S13254" t="s">
        <v>48102</v>
      </c>
      <c r="T13254" t="s">
        <v>49123</v>
      </c>
      <c r="U13254" t="s">
        <v>60524</v>
      </c>
      <c r="W13254" t="s">
        <v>44275</v>
      </c>
      <c r="X13254" t="s">
        <v>47443</v>
      </c>
    </row>
    <row r="13255" spans="1:24">
      <c r="A13255">
        <f>HYPERLINK("https://www.philgeps.gov.ph/GEPSNONPILOT/Tender/SplashBidNoticeAbstractUI.aspx?menuIndex=3&amp;refID=7134334&amp;Result=3","7134334")</f>
        <v>0</v>
      </c>
      <c r="B13255" t="s">
        <v>3675</v>
      </c>
      <c r="C13255" t="s">
        <v>16415</v>
      </c>
      <c r="D13255" t="s">
        <v>19038</v>
      </c>
      <c r="E13255" t="s">
        <v>30299</v>
      </c>
      <c r="F13255" t="s">
        <v>32833</v>
      </c>
      <c r="G13255" t="s">
        <v>32839</v>
      </c>
      <c r="H13255" t="s">
        <v>32848</v>
      </c>
      <c r="I13255" t="s">
        <v>32879</v>
      </c>
      <c r="J13255" t="s">
        <v>33007</v>
      </c>
      <c r="K13255" t="s">
        <v>42750</v>
      </c>
      <c r="L13255" t="s">
        <v>3675</v>
      </c>
      <c r="M13255" t="s">
        <v>47052</v>
      </c>
      <c r="N13255" t="s">
        <v>47424</v>
      </c>
      <c r="O13255" t="s">
        <v>47425</v>
      </c>
      <c r="P13255">
        <v>0</v>
      </c>
      <c r="Q13255">
        <v>0</v>
      </c>
      <c r="R13255" t="s">
        <v>47441</v>
      </c>
      <c r="S13255" t="s">
        <v>48049</v>
      </c>
      <c r="T13255" t="s">
        <v>49129</v>
      </c>
      <c r="U13255" t="s">
        <v>60525</v>
      </c>
      <c r="W13255" t="s">
        <v>47052</v>
      </c>
      <c r="X13255" t="s">
        <v>47444</v>
      </c>
    </row>
    <row r="13256" spans="1:24">
      <c r="A13256">
        <f>HYPERLINK("https://www.philgeps.gov.ph/GEPSNONPILOT/Tender/SplashBidNoticeAbstractUI.aspx?menuIndex=3&amp;refID=7134740&amp;Result=3","7134740")</f>
        <v>0</v>
      </c>
      <c r="B13256" t="s">
        <v>1142</v>
      </c>
      <c r="C13256" t="s">
        <v>16416</v>
      </c>
      <c r="D13256" t="s">
        <v>19035</v>
      </c>
      <c r="E13256" t="s">
        <v>30445</v>
      </c>
      <c r="F13256" t="s">
        <v>32831</v>
      </c>
      <c r="G13256" t="s">
        <v>32839</v>
      </c>
      <c r="H13256" t="s">
        <v>32848</v>
      </c>
      <c r="I13256" t="s">
        <v>32925</v>
      </c>
      <c r="J13256" t="s">
        <v>41062</v>
      </c>
      <c r="K13256" t="s">
        <v>42973</v>
      </c>
      <c r="M13256" t="s">
        <v>47074</v>
      </c>
      <c r="N13256" t="s">
        <v>47424</v>
      </c>
      <c r="O13256" t="s">
        <v>47425</v>
      </c>
      <c r="Q13256">
        <v>5</v>
      </c>
      <c r="R13256" t="s">
        <v>47442</v>
      </c>
      <c r="S13256" t="s">
        <v>48103</v>
      </c>
      <c r="T13256" t="s">
        <v>49171</v>
      </c>
      <c r="U13256" t="s">
        <v>60526</v>
      </c>
      <c r="W13256" t="s">
        <v>47074</v>
      </c>
      <c r="X13256" t="s">
        <v>47444</v>
      </c>
    </row>
    <row r="13257" spans="1:24">
      <c r="A13257">
        <f>HYPERLINK("https://www.philgeps.gov.ph/GEPSNONPILOT/Tender/SplashBidNoticeAbstractUI.aspx?menuIndex=3&amp;refID=7134372&amp;Result=3","7134372")</f>
        <v>0</v>
      </c>
      <c r="B13257" t="s">
        <v>479</v>
      </c>
      <c r="C13257" t="s">
        <v>16417</v>
      </c>
      <c r="D13257" t="s">
        <v>19081</v>
      </c>
      <c r="E13257" t="s">
        <v>30446</v>
      </c>
      <c r="F13257" t="s">
        <v>32831</v>
      </c>
      <c r="G13257" t="s">
        <v>32839</v>
      </c>
      <c r="H13257" t="s">
        <v>32849</v>
      </c>
      <c r="I13257" t="s">
        <v>4177</v>
      </c>
      <c r="J13257" t="s">
        <v>41063</v>
      </c>
      <c r="K13257" t="s">
        <v>42792</v>
      </c>
      <c r="M13257" t="s">
        <v>43484</v>
      </c>
      <c r="N13257" t="s">
        <v>47424</v>
      </c>
      <c r="O13257" t="s">
        <v>47425</v>
      </c>
      <c r="P13257">
        <v>0</v>
      </c>
      <c r="Q13257">
        <v>17</v>
      </c>
      <c r="R13257" t="s">
        <v>47442</v>
      </c>
      <c r="S13257" t="s">
        <v>48102</v>
      </c>
      <c r="T13257" t="s">
        <v>49105</v>
      </c>
      <c r="U13257" t="s">
        <v>60527</v>
      </c>
      <c r="V13257" t="s">
        <v>64101</v>
      </c>
      <c r="W13257" t="s">
        <v>43484</v>
      </c>
      <c r="X13257" t="s">
        <v>47444</v>
      </c>
    </row>
    <row r="13258" spans="1:24">
      <c r="A13258">
        <f>HYPERLINK("https://www.philgeps.gov.ph/GEPSNONPILOT/Tender/SplashBidNoticeAbstractUI.aspx?menuIndex=3&amp;refID=7135354&amp;Result=3","7135354")</f>
        <v>0</v>
      </c>
      <c r="B13258" t="s">
        <v>3691</v>
      </c>
      <c r="C13258" t="s">
        <v>16418</v>
      </c>
      <c r="D13258" t="s">
        <v>19032</v>
      </c>
      <c r="E13258" t="s">
        <v>30447</v>
      </c>
      <c r="F13258" t="s">
        <v>32831</v>
      </c>
      <c r="G13258" t="s">
        <v>32839</v>
      </c>
      <c r="H13258" t="s">
        <v>32848</v>
      </c>
      <c r="I13258" t="s">
        <v>32870</v>
      </c>
      <c r="J13258" t="s">
        <v>41064</v>
      </c>
      <c r="K13258" t="s">
        <v>42745</v>
      </c>
      <c r="M13258" t="s">
        <v>47075</v>
      </c>
      <c r="N13258" t="s">
        <v>47424</v>
      </c>
      <c r="O13258" t="s">
        <v>47425</v>
      </c>
      <c r="P13258">
        <v>0</v>
      </c>
      <c r="Q13258">
        <v>2</v>
      </c>
      <c r="R13258" t="s">
        <v>47442</v>
      </c>
      <c r="S13258" t="s">
        <v>48102</v>
      </c>
      <c r="T13258" t="s">
        <v>49056</v>
      </c>
      <c r="U13258" t="s">
        <v>60528</v>
      </c>
      <c r="W13258" t="s">
        <v>47075</v>
      </c>
      <c r="X13258" t="s">
        <v>47443</v>
      </c>
    </row>
    <row r="13259" spans="1:24">
      <c r="A13259">
        <f>HYPERLINK("https://www.philgeps.gov.ph/GEPSNONPILOT/Tender/SplashBidNoticeAbstractUI.aspx?menuIndex=3&amp;refID=7133985&amp;Result=3","7133985")</f>
        <v>0</v>
      </c>
      <c r="B13259" t="s">
        <v>479</v>
      </c>
      <c r="C13259" t="s">
        <v>16419</v>
      </c>
      <c r="D13259" t="s">
        <v>19081</v>
      </c>
      <c r="E13259" t="s">
        <v>30448</v>
      </c>
      <c r="F13259" t="s">
        <v>32831</v>
      </c>
      <c r="G13259" t="s">
        <v>32839</v>
      </c>
      <c r="H13259" t="s">
        <v>32849</v>
      </c>
      <c r="I13259" t="s">
        <v>4177</v>
      </c>
      <c r="J13259" t="s">
        <v>41065</v>
      </c>
      <c r="K13259" t="s">
        <v>42763</v>
      </c>
      <c r="M13259" t="s">
        <v>43484</v>
      </c>
      <c r="N13259" t="s">
        <v>47424</v>
      </c>
      <c r="O13259" t="s">
        <v>47425</v>
      </c>
      <c r="P13259">
        <v>0</v>
      </c>
      <c r="Q13259">
        <v>16</v>
      </c>
      <c r="R13259" t="s">
        <v>47442</v>
      </c>
      <c r="S13259" t="s">
        <v>48102</v>
      </c>
      <c r="T13259" t="s">
        <v>49105</v>
      </c>
      <c r="U13259" t="s">
        <v>60529</v>
      </c>
      <c r="V13259" t="s">
        <v>64101</v>
      </c>
      <c r="W13259" t="s">
        <v>43484</v>
      </c>
      <c r="X13259" t="s">
        <v>47444</v>
      </c>
    </row>
    <row r="13260" spans="1:24">
      <c r="A13260">
        <f>HYPERLINK("https://www.philgeps.gov.ph/GEPSNONPILOT/Tender/SplashBidNoticeAbstractUI.aspx?menuIndex=3&amp;refID=7134696&amp;Result=3","7134696")</f>
        <v>0</v>
      </c>
      <c r="B13260" t="s">
        <v>1142</v>
      </c>
      <c r="C13260" t="s">
        <v>16420</v>
      </c>
      <c r="D13260" t="s">
        <v>19035</v>
      </c>
      <c r="E13260" t="s">
        <v>30449</v>
      </c>
      <c r="F13260" t="s">
        <v>32831</v>
      </c>
      <c r="G13260" t="s">
        <v>32841</v>
      </c>
      <c r="H13260" t="s">
        <v>14069</v>
      </c>
      <c r="I13260" t="s">
        <v>32889</v>
      </c>
      <c r="J13260" t="s">
        <v>33528</v>
      </c>
      <c r="K13260" t="s">
        <v>42789</v>
      </c>
      <c r="M13260" t="s">
        <v>47074</v>
      </c>
      <c r="N13260" t="s">
        <v>47424</v>
      </c>
      <c r="O13260" t="s">
        <v>47425</v>
      </c>
      <c r="Q13260">
        <v>1</v>
      </c>
      <c r="R13260" t="s">
        <v>47442</v>
      </c>
      <c r="S13260" t="s">
        <v>48104</v>
      </c>
      <c r="T13260" t="s">
        <v>49171</v>
      </c>
      <c r="U13260" t="s">
        <v>60530</v>
      </c>
      <c r="W13260" t="s">
        <v>47074</v>
      </c>
      <c r="X13260" t="s">
        <v>47444</v>
      </c>
    </row>
    <row r="13261" spans="1:24">
      <c r="A13261">
        <f>HYPERLINK("https://www.philgeps.gov.ph/GEPSNONPILOT/Tender/SplashBidNoticeAbstractUI.aspx?menuIndex=3&amp;refID=7133762&amp;Result=3","7133762")</f>
        <v>0</v>
      </c>
      <c r="B13261" t="s">
        <v>479</v>
      </c>
      <c r="C13261" t="s">
        <v>16421</v>
      </c>
      <c r="D13261" t="s">
        <v>19045</v>
      </c>
      <c r="E13261" t="s">
        <v>30450</v>
      </c>
      <c r="F13261" t="s">
        <v>32835</v>
      </c>
      <c r="G13261" t="s">
        <v>32839</v>
      </c>
      <c r="H13261" t="s">
        <v>32848</v>
      </c>
      <c r="I13261" t="s">
        <v>7751</v>
      </c>
      <c r="J13261" t="s">
        <v>33528</v>
      </c>
      <c r="K13261" t="s">
        <v>42730</v>
      </c>
      <c r="M13261" t="s">
        <v>43484</v>
      </c>
      <c r="N13261" t="s">
        <v>47424</v>
      </c>
      <c r="O13261" t="s">
        <v>47425</v>
      </c>
      <c r="P13261">
        <v>0</v>
      </c>
      <c r="Q13261">
        <v>7</v>
      </c>
      <c r="R13261" t="s">
        <v>47442</v>
      </c>
      <c r="S13261" t="s">
        <v>48102</v>
      </c>
      <c r="T13261" t="s">
        <v>49105</v>
      </c>
      <c r="U13261" t="s">
        <v>60531</v>
      </c>
      <c r="V13261" t="s">
        <v>64102</v>
      </c>
      <c r="W13261" t="s">
        <v>43484</v>
      </c>
      <c r="X13261" t="s">
        <v>47444</v>
      </c>
    </row>
    <row r="13262" spans="1:24">
      <c r="A13262">
        <f>HYPERLINK("https://www.philgeps.gov.ph/GEPSNONPILOT/Tender/SplashBidNoticeAbstractUI.aspx?menuIndex=3&amp;refID=7135898&amp;Result=3","7135898")</f>
        <v>0</v>
      </c>
      <c r="B13262" t="s">
        <v>344</v>
      </c>
      <c r="C13262" t="s">
        <v>16422</v>
      </c>
      <c r="D13262" t="s">
        <v>19046</v>
      </c>
      <c r="E13262" t="s">
        <v>30451</v>
      </c>
      <c r="F13262" t="s">
        <v>32831</v>
      </c>
      <c r="G13262" t="s">
        <v>32839</v>
      </c>
      <c r="H13262" t="s">
        <v>32848</v>
      </c>
      <c r="I13262" t="s">
        <v>32959</v>
      </c>
      <c r="J13262" t="s">
        <v>33078</v>
      </c>
      <c r="K13262" t="s">
        <v>42727</v>
      </c>
      <c r="M13262" t="s">
        <v>43348</v>
      </c>
      <c r="N13262" t="s">
        <v>47424</v>
      </c>
      <c r="O13262" t="s">
        <v>47425</v>
      </c>
      <c r="P13262">
        <v>0</v>
      </c>
      <c r="Q13262">
        <v>3</v>
      </c>
      <c r="R13262" t="s">
        <v>47441</v>
      </c>
      <c r="S13262" t="s">
        <v>48049</v>
      </c>
      <c r="T13262" t="s">
        <v>49213</v>
      </c>
      <c r="U13262" t="s">
        <v>60532</v>
      </c>
      <c r="W13262" t="s">
        <v>43348</v>
      </c>
      <c r="X13262" t="s">
        <v>47442</v>
      </c>
    </row>
    <row r="13263" spans="1:24">
      <c r="A13263">
        <f>HYPERLINK("https://www.philgeps.gov.ph/GEPSNONPILOT/Tender/SplashBidNoticeAbstractUI.aspx?menuIndex=3&amp;refID=7136041&amp;Result=3","7136041")</f>
        <v>0</v>
      </c>
      <c r="B13263" t="s">
        <v>2291</v>
      </c>
      <c r="C13263" t="s">
        <v>16423</v>
      </c>
      <c r="D13263" t="s">
        <v>19078</v>
      </c>
      <c r="E13263" t="s">
        <v>30452</v>
      </c>
      <c r="F13263" t="s">
        <v>32835</v>
      </c>
      <c r="G13263" t="s">
        <v>32839</v>
      </c>
      <c r="H13263" t="s">
        <v>32848</v>
      </c>
      <c r="I13263" t="s">
        <v>32894</v>
      </c>
      <c r="J13263" t="s">
        <v>41066</v>
      </c>
      <c r="K13263" t="s">
        <v>42735</v>
      </c>
      <c r="M13263" t="s">
        <v>45475</v>
      </c>
      <c r="N13263" t="s">
        <v>47424</v>
      </c>
      <c r="O13263" t="s">
        <v>47425</v>
      </c>
      <c r="P13263">
        <v>0</v>
      </c>
      <c r="Q13263">
        <v>4</v>
      </c>
      <c r="R13263" t="s">
        <v>47441</v>
      </c>
      <c r="S13263" t="s">
        <v>48049</v>
      </c>
      <c r="T13263" t="s">
        <v>49634</v>
      </c>
      <c r="U13263" t="s">
        <v>60533</v>
      </c>
      <c r="W13263" t="s">
        <v>45475</v>
      </c>
      <c r="X13263" t="s">
        <v>47442</v>
      </c>
    </row>
    <row r="13264" spans="1:24">
      <c r="A13264">
        <f>HYPERLINK("https://www.philgeps.gov.ph/GEPSNONPILOT/Tender/SplashBidNoticeAbstractUI.aspx?menuIndex=3&amp;refID=7136039&amp;Result=3","7136039")</f>
        <v>0</v>
      </c>
      <c r="B13264" t="s">
        <v>2291</v>
      </c>
      <c r="C13264" t="s">
        <v>10139</v>
      </c>
      <c r="D13264" t="s">
        <v>19078</v>
      </c>
      <c r="E13264" t="s">
        <v>30453</v>
      </c>
      <c r="F13264" t="s">
        <v>32831</v>
      </c>
      <c r="G13264" t="s">
        <v>32839</v>
      </c>
      <c r="H13264" t="s">
        <v>32848</v>
      </c>
      <c r="I13264" t="s">
        <v>32857</v>
      </c>
      <c r="J13264" t="s">
        <v>41067</v>
      </c>
      <c r="K13264" t="s">
        <v>42735</v>
      </c>
      <c r="M13264" t="s">
        <v>45475</v>
      </c>
      <c r="N13264" t="s">
        <v>47424</v>
      </c>
      <c r="O13264" t="s">
        <v>47425</v>
      </c>
      <c r="P13264">
        <v>0</v>
      </c>
      <c r="Q13264">
        <v>9</v>
      </c>
      <c r="R13264" t="s">
        <v>47441</v>
      </c>
      <c r="S13264" t="s">
        <v>48049</v>
      </c>
      <c r="T13264" t="s">
        <v>49634</v>
      </c>
      <c r="U13264" t="s">
        <v>60534</v>
      </c>
      <c r="W13264" t="s">
        <v>45475</v>
      </c>
      <c r="X13264" t="s">
        <v>47442</v>
      </c>
    </row>
    <row r="13265" spans="1:24">
      <c r="A13265">
        <f>HYPERLINK("https://www.philgeps.gov.ph/GEPSNONPILOT/Tender/SplashBidNoticeAbstractUI.aspx?menuIndex=3&amp;refID=7134826&amp;Result=3","7134826")</f>
        <v>0</v>
      </c>
      <c r="B13265" t="s">
        <v>67</v>
      </c>
      <c r="C13265" t="s">
        <v>16424</v>
      </c>
      <c r="D13265" t="s">
        <v>19079</v>
      </c>
      <c r="E13265" t="s">
        <v>30454</v>
      </c>
      <c r="F13265" t="s">
        <v>32831</v>
      </c>
      <c r="G13265" t="s">
        <v>32839</v>
      </c>
      <c r="H13265" t="s">
        <v>32848</v>
      </c>
      <c r="I13265" t="s">
        <v>32886</v>
      </c>
      <c r="J13265" t="s">
        <v>33016</v>
      </c>
      <c r="K13265" t="s">
        <v>42763</v>
      </c>
      <c r="M13265" t="s">
        <v>44711</v>
      </c>
      <c r="N13265" t="s">
        <v>47424</v>
      </c>
      <c r="O13265" t="s">
        <v>47425</v>
      </c>
      <c r="Q13265">
        <v>4</v>
      </c>
      <c r="R13265" t="s">
        <v>47442</v>
      </c>
      <c r="S13265" t="s">
        <v>48105</v>
      </c>
      <c r="T13265" t="s">
        <v>49087</v>
      </c>
      <c r="U13265" t="s">
        <v>60535</v>
      </c>
      <c r="W13265" t="s">
        <v>44711</v>
      </c>
      <c r="X13265" t="s">
        <v>47444</v>
      </c>
    </row>
    <row r="13266" spans="1:24">
      <c r="A13266">
        <f>HYPERLINK("https://www.philgeps.gov.ph/GEPSNONPILOT/Tender/SplashBidNoticeAbstractUI.aspx?menuIndex=3&amp;refID=7101420&amp;Result=3","7101420")</f>
        <v>0</v>
      </c>
      <c r="B13266" t="s">
        <v>484</v>
      </c>
      <c r="C13266" t="s">
        <v>16425</v>
      </c>
      <c r="D13266" t="s">
        <v>19038</v>
      </c>
      <c r="E13266" t="s">
        <v>30455</v>
      </c>
      <c r="F13266" t="s">
        <v>32831</v>
      </c>
      <c r="G13266" t="s">
        <v>32839</v>
      </c>
      <c r="H13266" t="s">
        <v>32849</v>
      </c>
      <c r="I13266" t="s">
        <v>4177</v>
      </c>
      <c r="J13266" t="s">
        <v>41068</v>
      </c>
      <c r="K13266" t="s">
        <v>42780</v>
      </c>
      <c r="M13266" t="s">
        <v>47076</v>
      </c>
      <c r="N13266" t="s">
        <v>47424</v>
      </c>
      <c r="O13266" t="s">
        <v>47425</v>
      </c>
      <c r="Q13266">
        <v>1</v>
      </c>
      <c r="R13266" t="s">
        <v>47442</v>
      </c>
      <c r="S13266" t="s">
        <v>48106</v>
      </c>
      <c r="T13266" t="s">
        <v>49106</v>
      </c>
      <c r="U13266" t="s">
        <v>60536</v>
      </c>
      <c r="V13266" t="s">
        <v>64103</v>
      </c>
      <c r="W13266" t="s">
        <v>47076</v>
      </c>
      <c r="X13266" t="s">
        <v>47458</v>
      </c>
    </row>
    <row r="13267" spans="1:24">
      <c r="A13267">
        <f>HYPERLINK("https://www.philgeps.gov.ph/GEPSNONPILOT/Tender/SplashBidNoticeAbstractUI.aspx?menuIndex=3&amp;refID=7136038&amp;Result=3","7136038")</f>
        <v>0</v>
      </c>
      <c r="B13267" t="s">
        <v>955</v>
      </c>
      <c r="C13267" t="s">
        <v>16426</v>
      </c>
      <c r="D13267" t="s">
        <v>19017</v>
      </c>
      <c r="E13267" t="s">
        <v>30456</v>
      </c>
      <c r="F13267" t="s">
        <v>32831</v>
      </c>
      <c r="G13267" t="s">
        <v>32839</v>
      </c>
      <c r="H13267" t="s">
        <v>32848</v>
      </c>
      <c r="I13267" t="s">
        <v>4487</v>
      </c>
      <c r="J13267" t="s">
        <v>41069</v>
      </c>
      <c r="K13267" t="s">
        <v>42730</v>
      </c>
      <c r="M13267" t="s">
        <v>47072</v>
      </c>
      <c r="N13267" t="s">
        <v>47424</v>
      </c>
      <c r="O13267" t="s">
        <v>47425</v>
      </c>
      <c r="Q13267">
        <v>29</v>
      </c>
      <c r="R13267" t="s">
        <v>47441</v>
      </c>
      <c r="S13267" t="s">
        <v>48107</v>
      </c>
      <c r="T13267" t="s">
        <v>49063</v>
      </c>
      <c r="U13267" t="s">
        <v>60537</v>
      </c>
      <c r="W13267" t="s">
        <v>47072</v>
      </c>
      <c r="X13267" t="s">
        <v>47442</v>
      </c>
    </row>
    <row r="13268" spans="1:24">
      <c r="A13268">
        <f>HYPERLINK("https://www.philgeps.gov.ph/GEPSNONPILOT/Tender/SplashBidNoticeAbstractUI.aspx?menuIndex=3&amp;refID=7135363&amp;Result=3","7135363")</f>
        <v>0</v>
      </c>
      <c r="B13268" t="s">
        <v>2694</v>
      </c>
      <c r="C13268" t="s">
        <v>16427</v>
      </c>
      <c r="D13268" t="s">
        <v>19019</v>
      </c>
      <c r="E13268" t="s">
        <v>30457</v>
      </c>
      <c r="F13268" t="s">
        <v>32831</v>
      </c>
      <c r="G13268" t="s">
        <v>32839</v>
      </c>
      <c r="H13268" t="s">
        <v>32849</v>
      </c>
      <c r="I13268" t="s">
        <v>4177</v>
      </c>
      <c r="J13268" t="s">
        <v>41070</v>
      </c>
      <c r="K13268" t="s">
        <v>42732</v>
      </c>
      <c r="M13268" t="s">
        <v>45918</v>
      </c>
      <c r="N13268" t="s">
        <v>47424</v>
      </c>
      <c r="O13268" t="s">
        <v>47425</v>
      </c>
      <c r="Q13268">
        <v>29</v>
      </c>
      <c r="R13268" t="s">
        <v>47442</v>
      </c>
      <c r="S13268" t="s">
        <v>48108</v>
      </c>
      <c r="T13268" t="s">
        <v>49237</v>
      </c>
      <c r="U13268" t="s">
        <v>60538</v>
      </c>
      <c r="W13268" t="s">
        <v>45918</v>
      </c>
      <c r="X13268" t="s">
        <v>47443</v>
      </c>
    </row>
    <row r="13269" spans="1:24">
      <c r="A13269">
        <f>HYPERLINK("https://www.philgeps.gov.ph/GEPSNONPILOT/Tender/SplashBidNoticeAbstractUI.aspx?menuIndex=3&amp;refID=7111182&amp;Result=3","7111182")</f>
        <v>0</v>
      </c>
      <c r="B13269" t="s">
        <v>484</v>
      </c>
      <c r="C13269" t="s">
        <v>16428</v>
      </c>
      <c r="D13269" t="s">
        <v>19038</v>
      </c>
      <c r="E13269" t="s">
        <v>30458</v>
      </c>
      <c r="F13269" t="s">
        <v>32831</v>
      </c>
      <c r="G13269" t="s">
        <v>32839</v>
      </c>
      <c r="H13269" t="s">
        <v>32848</v>
      </c>
      <c r="I13269" t="s">
        <v>7751</v>
      </c>
      <c r="J13269" t="s">
        <v>33707</v>
      </c>
      <c r="K13269" t="s">
        <v>42730</v>
      </c>
      <c r="M13269" t="s">
        <v>43489</v>
      </c>
      <c r="N13269" t="s">
        <v>47424</v>
      </c>
      <c r="O13269" t="s">
        <v>47425</v>
      </c>
      <c r="Q13269">
        <v>8</v>
      </c>
      <c r="R13269" t="s">
        <v>47442</v>
      </c>
      <c r="S13269" t="s">
        <v>48109</v>
      </c>
      <c r="T13269" t="s">
        <v>49073</v>
      </c>
      <c r="U13269" t="s">
        <v>60539</v>
      </c>
      <c r="V13269" t="s">
        <v>62734</v>
      </c>
      <c r="W13269" t="s">
        <v>43489</v>
      </c>
      <c r="X13269" t="s">
        <v>47453</v>
      </c>
    </row>
    <row r="13270" spans="1:24">
      <c r="A13270">
        <f>HYPERLINK("https://www.philgeps.gov.ph/GEPSNONPILOT/Tender/SplashBidNoticeAbstractUI.aspx?menuIndex=3&amp;refID=7134154&amp;Result=3","7134154")</f>
        <v>0</v>
      </c>
      <c r="B13270" t="s">
        <v>3435</v>
      </c>
      <c r="C13270" t="s">
        <v>16429</v>
      </c>
      <c r="D13270" t="s">
        <v>19022</v>
      </c>
      <c r="E13270" t="s">
        <v>28390</v>
      </c>
      <c r="F13270" t="s">
        <v>32831</v>
      </c>
      <c r="G13270" t="s">
        <v>32839</v>
      </c>
      <c r="H13270" t="s">
        <v>32849</v>
      </c>
      <c r="I13270" t="s">
        <v>4177</v>
      </c>
      <c r="J13270" t="s">
        <v>41071</v>
      </c>
      <c r="K13270" t="s">
        <v>42955</v>
      </c>
      <c r="M13270" t="s">
        <v>46771</v>
      </c>
      <c r="N13270" t="s">
        <v>47424</v>
      </c>
      <c r="O13270" t="s">
        <v>47425</v>
      </c>
      <c r="P13270">
        <v>0</v>
      </c>
      <c r="Q13270">
        <v>2</v>
      </c>
      <c r="R13270" t="s">
        <v>47441</v>
      </c>
      <c r="S13270" t="s">
        <v>48049</v>
      </c>
      <c r="T13270" t="s">
        <v>49089</v>
      </c>
      <c r="U13270" t="s">
        <v>60540</v>
      </c>
      <c r="W13270" t="s">
        <v>46771</v>
      </c>
      <c r="X13270" t="s">
        <v>47444</v>
      </c>
    </row>
    <row r="13271" spans="1:24">
      <c r="A13271">
        <f>HYPERLINK("https://www.philgeps.gov.ph/GEPSNONPILOT/Tender/SplashBidNoticeAbstractUI.aspx?menuIndex=3&amp;refID=7133253&amp;Result=3","7133253")</f>
        <v>0</v>
      </c>
      <c r="B13271" t="s">
        <v>484</v>
      </c>
      <c r="C13271" t="s">
        <v>16430</v>
      </c>
      <c r="D13271" t="s">
        <v>19038</v>
      </c>
      <c r="E13271" t="s">
        <v>30459</v>
      </c>
      <c r="F13271" t="s">
        <v>32831</v>
      </c>
      <c r="G13271" t="s">
        <v>32839</v>
      </c>
      <c r="H13271" t="s">
        <v>32849</v>
      </c>
      <c r="I13271" t="s">
        <v>4177</v>
      </c>
      <c r="J13271" t="s">
        <v>41072</v>
      </c>
      <c r="K13271" t="s">
        <v>42789</v>
      </c>
      <c r="M13271" t="s">
        <v>47076</v>
      </c>
      <c r="N13271" t="s">
        <v>47424</v>
      </c>
      <c r="O13271" t="s">
        <v>47425</v>
      </c>
      <c r="Q13271">
        <v>4</v>
      </c>
      <c r="R13271" t="s">
        <v>47442</v>
      </c>
      <c r="S13271" t="s">
        <v>48110</v>
      </c>
      <c r="T13271" t="s">
        <v>49106</v>
      </c>
      <c r="U13271" t="s">
        <v>60541</v>
      </c>
      <c r="V13271" t="s">
        <v>64103</v>
      </c>
      <c r="W13271" t="s">
        <v>47076</v>
      </c>
      <c r="X13271" t="s">
        <v>47444</v>
      </c>
    </row>
    <row r="13272" spans="1:24">
      <c r="A13272">
        <f>HYPERLINK("https://www.philgeps.gov.ph/GEPSNONPILOT/Tender/SplashBidNoticeAbstractUI.aspx?menuIndex=3&amp;refID=7134229&amp;Result=3","7134229")</f>
        <v>0</v>
      </c>
      <c r="B13272" t="s">
        <v>3692</v>
      </c>
      <c r="C13272" t="s">
        <v>16431</v>
      </c>
      <c r="D13272" t="s">
        <v>19047</v>
      </c>
      <c r="E13272" t="s">
        <v>30460</v>
      </c>
      <c r="F13272" t="s">
        <v>32831</v>
      </c>
      <c r="G13272" t="s">
        <v>32839</v>
      </c>
      <c r="H13272" t="s">
        <v>32848</v>
      </c>
      <c r="I13272" t="s">
        <v>10805</v>
      </c>
      <c r="J13272" t="s">
        <v>41073</v>
      </c>
      <c r="K13272" t="s">
        <v>42730</v>
      </c>
      <c r="M13272" t="s">
        <v>47077</v>
      </c>
      <c r="N13272" t="s">
        <v>47424</v>
      </c>
      <c r="O13272" t="s">
        <v>47425</v>
      </c>
      <c r="Q13272">
        <v>14</v>
      </c>
      <c r="R13272" t="s">
        <v>47441</v>
      </c>
      <c r="S13272" t="s">
        <v>48111</v>
      </c>
      <c r="T13272" t="s">
        <v>49196</v>
      </c>
      <c r="U13272" t="s">
        <v>60542</v>
      </c>
      <c r="W13272" t="s">
        <v>47077</v>
      </c>
      <c r="X13272" t="s">
        <v>47444</v>
      </c>
    </row>
    <row r="13273" spans="1:24">
      <c r="A13273">
        <f>HYPERLINK("https://www.philgeps.gov.ph/GEPSNONPILOT/Tender/SplashBidNoticeAbstractUI.aspx?menuIndex=3&amp;refID=7133536&amp;Result=3","7133536")</f>
        <v>0</v>
      </c>
      <c r="B13273" t="s">
        <v>3681</v>
      </c>
      <c r="C13273" t="s">
        <v>16432</v>
      </c>
      <c r="D13273" t="s">
        <v>19039</v>
      </c>
      <c r="E13273" t="s">
        <v>19219</v>
      </c>
      <c r="F13273" t="s">
        <v>32831</v>
      </c>
      <c r="G13273" t="s">
        <v>32839</v>
      </c>
      <c r="H13273" t="s">
        <v>32848</v>
      </c>
      <c r="I13273" t="s">
        <v>7416</v>
      </c>
      <c r="J13273" t="s">
        <v>41074</v>
      </c>
      <c r="K13273" t="s">
        <v>42730</v>
      </c>
      <c r="M13273" t="s">
        <v>47059</v>
      </c>
      <c r="N13273" t="s">
        <v>47424</v>
      </c>
      <c r="O13273" t="s">
        <v>47425</v>
      </c>
      <c r="P13273">
        <v>0</v>
      </c>
      <c r="Q13273">
        <v>1</v>
      </c>
      <c r="R13273" t="s">
        <v>47441</v>
      </c>
      <c r="S13273" t="s">
        <v>48049</v>
      </c>
      <c r="T13273" t="s">
        <v>49073</v>
      </c>
      <c r="U13273" t="s">
        <v>60543</v>
      </c>
      <c r="V13273" t="s">
        <v>62631</v>
      </c>
      <c r="W13273" t="s">
        <v>47059</v>
      </c>
      <c r="X13273" t="s">
        <v>47444</v>
      </c>
    </row>
    <row r="13274" spans="1:24">
      <c r="A13274">
        <f>HYPERLINK("https://www.philgeps.gov.ph/GEPSNONPILOT/Tender/SplashBidNoticeAbstractUI.aspx?menuIndex=3&amp;refID=7127482&amp;Result=3","7127482")</f>
        <v>0</v>
      </c>
      <c r="B13274" t="s">
        <v>3693</v>
      </c>
      <c r="C13274" t="s">
        <v>16433</v>
      </c>
      <c r="D13274" t="s">
        <v>19027</v>
      </c>
      <c r="E13274" t="s">
        <v>30461</v>
      </c>
      <c r="F13274" t="s">
        <v>32831</v>
      </c>
      <c r="G13274" t="s">
        <v>32839</v>
      </c>
      <c r="H13274" t="s">
        <v>32848</v>
      </c>
      <c r="I13274" t="s">
        <v>7416</v>
      </c>
      <c r="J13274" t="s">
        <v>41075</v>
      </c>
      <c r="K13274" t="s">
        <v>42742</v>
      </c>
      <c r="M13274" t="s">
        <v>47078</v>
      </c>
      <c r="N13274" t="s">
        <v>47424</v>
      </c>
      <c r="O13274" t="s">
        <v>47425</v>
      </c>
      <c r="P13274">
        <v>0</v>
      </c>
      <c r="Q13274">
        <v>8</v>
      </c>
      <c r="R13274" t="s">
        <v>47441</v>
      </c>
      <c r="S13274" t="s">
        <v>48049</v>
      </c>
      <c r="T13274" t="s">
        <v>49092</v>
      </c>
      <c r="U13274" t="s">
        <v>60544</v>
      </c>
      <c r="W13274" t="s">
        <v>47078</v>
      </c>
      <c r="X13274" t="s">
        <v>47446</v>
      </c>
    </row>
    <row r="13275" spans="1:24">
      <c r="A13275">
        <f>HYPERLINK("https://www.philgeps.gov.ph/GEPSNONPILOT/Tender/SplashBidNoticeAbstractUI.aspx?menuIndex=3&amp;refID=7132749&amp;Result=3","7132749")</f>
        <v>0</v>
      </c>
      <c r="B13275" t="s">
        <v>3694</v>
      </c>
      <c r="C13275" t="s">
        <v>16434</v>
      </c>
      <c r="D13275" t="s">
        <v>19057</v>
      </c>
      <c r="E13275" t="s">
        <v>22247</v>
      </c>
      <c r="F13275" t="s">
        <v>32831</v>
      </c>
      <c r="G13275" t="s">
        <v>32839</v>
      </c>
      <c r="H13275" t="s">
        <v>32848</v>
      </c>
      <c r="I13275" t="s">
        <v>32864</v>
      </c>
      <c r="J13275" t="s">
        <v>41076</v>
      </c>
      <c r="K13275" t="s">
        <v>42731</v>
      </c>
      <c r="M13275" t="s">
        <v>47079</v>
      </c>
      <c r="N13275" t="s">
        <v>47424</v>
      </c>
      <c r="O13275" t="s">
        <v>47425</v>
      </c>
      <c r="Q13275">
        <v>9</v>
      </c>
      <c r="R13275" t="s">
        <v>47443</v>
      </c>
      <c r="S13275" t="s">
        <v>48112</v>
      </c>
      <c r="T13275" t="s">
        <v>49107</v>
      </c>
      <c r="U13275" t="s">
        <v>60545</v>
      </c>
      <c r="V13275" t="s">
        <v>64104</v>
      </c>
      <c r="W13275" t="s">
        <v>47079</v>
      </c>
      <c r="X13275" t="s">
        <v>47444</v>
      </c>
    </row>
    <row r="13276" spans="1:24">
      <c r="A13276">
        <f>HYPERLINK("https://www.philgeps.gov.ph/GEPSNONPILOT/Tender/SplashBidNoticeAbstractUI.aspx?menuIndex=3&amp;refID=7127558&amp;Result=3","7127558")</f>
        <v>0</v>
      </c>
      <c r="B13276" t="s">
        <v>3695</v>
      </c>
      <c r="C13276" t="s">
        <v>16435</v>
      </c>
      <c r="D13276" t="s">
        <v>19077</v>
      </c>
      <c r="E13276" t="s">
        <v>30462</v>
      </c>
      <c r="F13276" t="s">
        <v>32831</v>
      </c>
      <c r="G13276" t="s">
        <v>32839</v>
      </c>
      <c r="H13276" t="s">
        <v>32849</v>
      </c>
      <c r="I13276" t="s">
        <v>4177</v>
      </c>
      <c r="J13276" t="s">
        <v>33472</v>
      </c>
      <c r="K13276" t="s">
        <v>42789</v>
      </c>
      <c r="M13276" t="s">
        <v>47080</v>
      </c>
      <c r="N13276" t="s">
        <v>47424</v>
      </c>
      <c r="O13276" t="s">
        <v>47425</v>
      </c>
      <c r="P13276">
        <v>0</v>
      </c>
      <c r="Q13276">
        <v>2</v>
      </c>
      <c r="R13276" t="s">
        <v>47441</v>
      </c>
      <c r="S13276" t="s">
        <v>48049</v>
      </c>
      <c r="T13276" t="s">
        <v>49196</v>
      </c>
      <c r="U13276" t="s">
        <v>60546</v>
      </c>
      <c r="W13276" t="s">
        <v>47080</v>
      </c>
      <c r="X13276" t="s">
        <v>47446</v>
      </c>
    </row>
    <row r="13277" spans="1:24">
      <c r="A13277">
        <f>HYPERLINK("https://www.philgeps.gov.ph/GEPSNONPILOT/Tender/SplashBidNoticeAbstractUI.aspx?menuIndex=3&amp;refID=7134267&amp;Result=3","7134267")</f>
        <v>0</v>
      </c>
      <c r="B13277" t="s">
        <v>2653</v>
      </c>
      <c r="C13277" t="s">
        <v>16436</v>
      </c>
      <c r="D13277" t="s">
        <v>19020</v>
      </c>
      <c r="E13277" t="s">
        <v>30463</v>
      </c>
      <c r="F13277" t="s">
        <v>32831</v>
      </c>
      <c r="G13277" t="s">
        <v>32839</v>
      </c>
      <c r="H13277" t="s">
        <v>32848</v>
      </c>
      <c r="I13277" t="s">
        <v>7751</v>
      </c>
      <c r="J13277" t="s">
        <v>33553</v>
      </c>
      <c r="K13277" t="s">
        <v>42727</v>
      </c>
      <c r="M13277" t="s">
        <v>45876</v>
      </c>
      <c r="N13277" t="s">
        <v>47424</v>
      </c>
      <c r="O13277" t="s">
        <v>47425</v>
      </c>
      <c r="P13277">
        <v>0</v>
      </c>
      <c r="Q13277">
        <v>7</v>
      </c>
      <c r="R13277" t="s">
        <v>47441</v>
      </c>
      <c r="S13277" t="s">
        <v>48049</v>
      </c>
      <c r="T13277" t="s">
        <v>49445</v>
      </c>
      <c r="U13277" t="s">
        <v>60547</v>
      </c>
      <c r="W13277" t="s">
        <v>45876</v>
      </c>
      <c r="X13277" t="s">
        <v>47444</v>
      </c>
    </row>
    <row r="13278" spans="1:24">
      <c r="A13278">
        <f>HYPERLINK("https://www.philgeps.gov.ph/GEPSNONPILOT/Tender/SplashBidNoticeAbstractUI.aspx?menuIndex=3&amp;refID=7111211&amp;Result=3","7111211")</f>
        <v>0</v>
      </c>
      <c r="B13278" t="s">
        <v>484</v>
      </c>
      <c r="C13278" t="s">
        <v>16437</v>
      </c>
      <c r="D13278" t="s">
        <v>19038</v>
      </c>
      <c r="E13278" t="s">
        <v>30464</v>
      </c>
      <c r="F13278" t="s">
        <v>32831</v>
      </c>
      <c r="G13278" t="s">
        <v>32839</v>
      </c>
      <c r="H13278" t="s">
        <v>32848</v>
      </c>
      <c r="I13278" t="s">
        <v>7751</v>
      </c>
      <c r="J13278" t="s">
        <v>41077</v>
      </c>
      <c r="K13278" t="s">
        <v>42730</v>
      </c>
      <c r="M13278" t="s">
        <v>43489</v>
      </c>
      <c r="N13278" t="s">
        <v>47424</v>
      </c>
      <c r="O13278" t="s">
        <v>47425</v>
      </c>
      <c r="Q13278">
        <v>3</v>
      </c>
      <c r="R13278" t="s">
        <v>47442</v>
      </c>
      <c r="S13278" t="s">
        <v>48113</v>
      </c>
      <c r="T13278" t="s">
        <v>49073</v>
      </c>
      <c r="U13278" t="s">
        <v>60548</v>
      </c>
      <c r="V13278" t="s">
        <v>62733</v>
      </c>
      <c r="W13278" t="s">
        <v>43489</v>
      </c>
      <c r="X13278" t="s">
        <v>47453</v>
      </c>
    </row>
    <row r="13279" spans="1:24">
      <c r="A13279">
        <f>HYPERLINK("https://www.philgeps.gov.ph/GEPSNONPILOT/Tender/SplashBidNoticeAbstractUI.aspx?menuIndex=3&amp;refID=7132716&amp;Result=3","7132716")</f>
        <v>0</v>
      </c>
      <c r="B13279" t="s">
        <v>620</v>
      </c>
      <c r="C13279" t="s">
        <v>16438</v>
      </c>
      <c r="D13279" t="s">
        <v>19017</v>
      </c>
      <c r="E13279" t="s">
        <v>30465</v>
      </c>
      <c r="F13279" t="s">
        <v>32831</v>
      </c>
      <c r="G13279" t="s">
        <v>32839</v>
      </c>
      <c r="H13279" t="s">
        <v>32848</v>
      </c>
      <c r="I13279" t="s">
        <v>32852</v>
      </c>
      <c r="J13279" t="s">
        <v>41078</v>
      </c>
      <c r="K13279" t="s">
        <v>42729</v>
      </c>
      <c r="M13279" t="s">
        <v>47081</v>
      </c>
      <c r="N13279" t="s">
        <v>47424</v>
      </c>
      <c r="O13279" t="s">
        <v>47425</v>
      </c>
      <c r="Q13279">
        <v>29</v>
      </c>
      <c r="R13279" t="s">
        <v>47443</v>
      </c>
      <c r="S13279" t="s">
        <v>48114</v>
      </c>
      <c r="T13279" t="s">
        <v>49635</v>
      </c>
      <c r="U13279" t="s">
        <v>60549</v>
      </c>
      <c r="W13279" t="s">
        <v>47081</v>
      </c>
      <c r="X13279" t="s">
        <v>47444</v>
      </c>
    </row>
    <row r="13280" spans="1:24">
      <c r="A13280">
        <f>HYPERLINK("https://www.philgeps.gov.ph/GEPSNONPILOT/Tender/SplashBidNoticeAbstractUI.aspx?menuIndex=3&amp;refID=7132703&amp;Result=3","7132703")</f>
        <v>0</v>
      </c>
      <c r="B13280" t="s">
        <v>3696</v>
      </c>
      <c r="C13280" t="s">
        <v>16439</v>
      </c>
      <c r="D13280" t="s">
        <v>19085</v>
      </c>
      <c r="E13280" t="s">
        <v>28737</v>
      </c>
      <c r="F13280" t="s">
        <v>32831</v>
      </c>
      <c r="G13280" t="s">
        <v>32839</v>
      </c>
      <c r="H13280" t="s">
        <v>32848</v>
      </c>
      <c r="I13280" t="s">
        <v>7751</v>
      </c>
      <c r="J13280" t="s">
        <v>33072</v>
      </c>
      <c r="K13280" t="s">
        <v>42730</v>
      </c>
      <c r="M13280" t="s">
        <v>47082</v>
      </c>
      <c r="N13280" t="s">
        <v>47424</v>
      </c>
      <c r="O13280" t="s">
        <v>47425</v>
      </c>
      <c r="P13280">
        <v>0</v>
      </c>
      <c r="Q13280">
        <v>2</v>
      </c>
      <c r="R13280" t="s">
        <v>47443</v>
      </c>
      <c r="S13280" t="s">
        <v>48115</v>
      </c>
      <c r="T13280" t="s">
        <v>49096</v>
      </c>
      <c r="U13280" t="s">
        <v>60550</v>
      </c>
      <c r="W13280" t="s">
        <v>47082</v>
      </c>
      <c r="X13280" t="s">
        <v>47444</v>
      </c>
    </row>
    <row r="13281" spans="1:24">
      <c r="A13281">
        <f>HYPERLINK("https://www.philgeps.gov.ph/GEPSNONPILOT/Tender/SplashBidNoticeAbstractUI.aspx?menuIndex=3&amp;refID=7132606&amp;Result=3","7132606")</f>
        <v>0</v>
      </c>
      <c r="B13281" t="s">
        <v>3617</v>
      </c>
      <c r="C13281" t="s">
        <v>16440</v>
      </c>
      <c r="D13281" t="s">
        <v>19099</v>
      </c>
      <c r="E13281" t="s">
        <v>30466</v>
      </c>
      <c r="F13281" t="s">
        <v>32831</v>
      </c>
      <c r="G13281" t="s">
        <v>32839</v>
      </c>
      <c r="H13281" t="s">
        <v>32848</v>
      </c>
      <c r="I13281" t="s">
        <v>4435</v>
      </c>
      <c r="J13281" t="s">
        <v>41079</v>
      </c>
      <c r="K13281" t="s">
        <v>42729</v>
      </c>
      <c r="M13281" t="s">
        <v>46985</v>
      </c>
      <c r="N13281" t="s">
        <v>47424</v>
      </c>
      <c r="O13281" t="s">
        <v>47425</v>
      </c>
      <c r="P13281">
        <v>0</v>
      </c>
      <c r="Q13281">
        <v>4</v>
      </c>
      <c r="R13281" t="s">
        <v>47443</v>
      </c>
      <c r="S13281" t="s">
        <v>48115</v>
      </c>
      <c r="T13281" t="s">
        <v>49073</v>
      </c>
      <c r="U13281" t="s">
        <v>60135</v>
      </c>
      <c r="W13281" t="s">
        <v>46985</v>
      </c>
      <c r="X13281" t="s">
        <v>47445</v>
      </c>
    </row>
    <row r="13282" spans="1:24">
      <c r="A13282">
        <f>HYPERLINK("https://www.philgeps.gov.ph/GEPSNONPILOT/Tender/SplashBidNoticeAbstractUI.aspx?menuIndex=3&amp;refID=7131672&amp;Result=3","7131672")</f>
        <v>0</v>
      </c>
      <c r="B13282" t="s">
        <v>1515</v>
      </c>
      <c r="C13282" t="s">
        <v>16441</v>
      </c>
      <c r="D13282" t="s">
        <v>19077</v>
      </c>
      <c r="E13282" t="s">
        <v>30467</v>
      </c>
      <c r="F13282" t="s">
        <v>32831</v>
      </c>
      <c r="G13282" t="s">
        <v>32839</v>
      </c>
      <c r="H13282" t="s">
        <v>32848</v>
      </c>
      <c r="I13282" t="s">
        <v>32858</v>
      </c>
      <c r="J13282" t="s">
        <v>41080</v>
      </c>
      <c r="K13282" t="s">
        <v>42727</v>
      </c>
      <c r="M13282" t="s">
        <v>44616</v>
      </c>
      <c r="N13282" t="s">
        <v>47424</v>
      </c>
      <c r="O13282" t="s">
        <v>47425</v>
      </c>
      <c r="P13282">
        <v>0</v>
      </c>
      <c r="Q13282">
        <v>5</v>
      </c>
      <c r="R13282" t="s">
        <v>47443</v>
      </c>
      <c r="S13282" t="s">
        <v>48115</v>
      </c>
      <c r="T13282" t="s">
        <v>49159</v>
      </c>
      <c r="U13282" t="s">
        <v>60551</v>
      </c>
      <c r="W13282" t="s">
        <v>44616</v>
      </c>
      <c r="X13282" t="s">
        <v>47445</v>
      </c>
    </row>
    <row r="13283" spans="1:24">
      <c r="A13283">
        <f>HYPERLINK("https://www.philgeps.gov.ph/GEPSNONPILOT/Tender/SplashBidNoticeAbstractUI.aspx?menuIndex=3&amp;refID=7132730&amp;Result=3","7132730")</f>
        <v>0</v>
      </c>
      <c r="B13283" t="s">
        <v>633</v>
      </c>
      <c r="C13283" t="s">
        <v>16442</v>
      </c>
      <c r="D13283" t="s">
        <v>19062</v>
      </c>
      <c r="E13283" t="s">
        <v>29742</v>
      </c>
      <c r="F13283" t="s">
        <v>32831</v>
      </c>
      <c r="G13283" t="s">
        <v>32839</v>
      </c>
      <c r="H13283" t="s">
        <v>32848</v>
      </c>
      <c r="I13283" t="s">
        <v>10805</v>
      </c>
      <c r="J13283" t="s">
        <v>41081</v>
      </c>
      <c r="K13283" t="s">
        <v>42730</v>
      </c>
      <c r="M13283" t="s">
        <v>43650</v>
      </c>
      <c r="N13283" t="s">
        <v>47424</v>
      </c>
      <c r="O13283" t="s">
        <v>47425</v>
      </c>
      <c r="P13283">
        <v>0</v>
      </c>
      <c r="Q13283">
        <v>6</v>
      </c>
      <c r="R13283" t="s">
        <v>47443</v>
      </c>
      <c r="S13283" t="s">
        <v>48115</v>
      </c>
      <c r="T13283" t="s">
        <v>49057</v>
      </c>
      <c r="U13283" t="s">
        <v>60552</v>
      </c>
      <c r="W13283" t="s">
        <v>43650</v>
      </c>
      <c r="X13283" t="s">
        <v>47444</v>
      </c>
    </row>
    <row r="13284" spans="1:24">
      <c r="A13284">
        <f>HYPERLINK("https://www.philgeps.gov.ph/GEPSNONPILOT/Tender/SplashBidNoticeAbstractUI.aspx?menuIndex=3&amp;refID=7133545&amp;Result=3","7133545")</f>
        <v>0</v>
      </c>
      <c r="B13284" t="s">
        <v>3182</v>
      </c>
      <c r="C13284" t="s">
        <v>16443</v>
      </c>
      <c r="D13284" t="s">
        <v>19057</v>
      </c>
      <c r="E13284" t="s">
        <v>30468</v>
      </c>
      <c r="F13284" t="s">
        <v>32831</v>
      </c>
      <c r="G13284" t="s">
        <v>32839</v>
      </c>
      <c r="H13284" t="s">
        <v>32848</v>
      </c>
      <c r="I13284" t="s">
        <v>10805</v>
      </c>
      <c r="J13284" t="s">
        <v>41082</v>
      </c>
      <c r="K13284" t="s">
        <v>42730</v>
      </c>
      <c r="M13284" t="s">
        <v>46490</v>
      </c>
      <c r="N13284" t="s">
        <v>47424</v>
      </c>
      <c r="O13284" t="s">
        <v>47425</v>
      </c>
      <c r="P13284">
        <v>0</v>
      </c>
      <c r="Q13284">
        <v>7</v>
      </c>
      <c r="R13284" t="s">
        <v>47441</v>
      </c>
      <c r="S13284" t="s">
        <v>48049</v>
      </c>
      <c r="T13284" t="s">
        <v>49152</v>
      </c>
      <c r="U13284" t="s">
        <v>58177</v>
      </c>
      <c r="W13284" t="s">
        <v>46490</v>
      </c>
      <c r="X13284" t="s">
        <v>47444</v>
      </c>
    </row>
    <row r="13285" spans="1:24">
      <c r="A13285">
        <f>HYPERLINK("https://www.philgeps.gov.ph/GEPSNONPILOT/Tender/SplashBidNoticeAbstractUI.aspx?menuIndex=3&amp;refID=7132702&amp;Result=3","7132702")</f>
        <v>0</v>
      </c>
      <c r="B13285" t="s">
        <v>510</v>
      </c>
      <c r="C13285" t="s">
        <v>16444</v>
      </c>
      <c r="D13285" t="s">
        <v>19093</v>
      </c>
      <c r="E13285" t="s">
        <v>30469</v>
      </c>
      <c r="F13285" t="s">
        <v>32831</v>
      </c>
      <c r="G13285" t="s">
        <v>32839</v>
      </c>
      <c r="H13285" t="s">
        <v>32849</v>
      </c>
      <c r="I13285" t="s">
        <v>4177</v>
      </c>
      <c r="J13285" t="s">
        <v>41083</v>
      </c>
      <c r="K13285" t="s">
        <v>42773</v>
      </c>
      <c r="M13285" t="s">
        <v>43515</v>
      </c>
      <c r="N13285" t="s">
        <v>47424</v>
      </c>
      <c r="O13285" t="s">
        <v>47425</v>
      </c>
      <c r="P13285">
        <v>0</v>
      </c>
      <c r="Q13285">
        <v>0</v>
      </c>
      <c r="R13285" t="s">
        <v>47443</v>
      </c>
      <c r="S13285" t="s">
        <v>48115</v>
      </c>
      <c r="T13285" t="s">
        <v>49056</v>
      </c>
      <c r="U13285" t="s">
        <v>60553</v>
      </c>
      <c r="V13285" t="s">
        <v>64105</v>
      </c>
      <c r="W13285" t="s">
        <v>43515</v>
      </c>
      <c r="X13285" t="s">
        <v>47444</v>
      </c>
    </row>
    <row r="13286" spans="1:24">
      <c r="A13286">
        <f>HYPERLINK("https://www.philgeps.gov.ph/GEPSNONPILOT/Tender/SplashBidNoticeAbstractUI.aspx?menuIndex=3&amp;refID=7127468&amp;Result=3","7127468")</f>
        <v>0</v>
      </c>
      <c r="B13286" t="s">
        <v>3693</v>
      </c>
      <c r="C13286" t="s">
        <v>16445</v>
      </c>
      <c r="D13286" t="s">
        <v>19027</v>
      </c>
      <c r="E13286" t="s">
        <v>30470</v>
      </c>
      <c r="F13286" t="s">
        <v>32831</v>
      </c>
      <c r="G13286" t="s">
        <v>32839</v>
      </c>
      <c r="H13286" t="s">
        <v>32848</v>
      </c>
      <c r="I13286" t="s">
        <v>7416</v>
      </c>
      <c r="J13286" t="s">
        <v>41084</v>
      </c>
      <c r="K13286" t="s">
        <v>42742</v>
      </c>
      <c r="M13286" t="s">
        <v>47078</v>
      </c>
      <c r="N13286" t="s">
        <v>47424</v>
      </c>
      <c r="O13286" t="s">
        <v>47425</v>
      </c>
      <c r="P13286">
        <v>0</v>
      </c>
      <c r="Q13286">
        <v>8</v>
      </c>
      <c r="R13286" t="s">
        <v>47441</v>
      </c>
      <c r="S13286" t="s">
        <v>48049</v>
      </c>
      <c r="T13286" t="s">
        <v>49092</v>
      </c>
      <c r="U13286" t="s">
        <v>60544</v>
      </c>
      <c r="W13286" t="s">
        <v>47078</v>
      </c>
      <c r="X13286" t="s">
        <v>47446</v>
      </c>
    </row>
    <row r="13287" spans="1:24">
      <c r="A13287">
        <f>HYPERLINK("https://www.philgeps.gov.ph/GEPSNONPILOT/Tender/SplashBidNoticeAbstractUI.aspx?menuIndex=3&amp;refID=7130687&amp;Result=3","7130687")</f>
        <v>0</v>
      </c>
      <c r="B13287" t="s">
        <v>580</v>
      </c>
      <c r="C13287" t="s">
        <v>16446</v>
      </c>
      <c r="D13287" t="s">
        <v>19045</v>
      </c>
      <c r="E13287" t="s">
        <v>30471</v>
      </c>
      <c r="F13287" t="s">
        <v>32831</v>
      </c>
      <c r="G13287" t="s">
        <v>32839</v>
      </c>
      <c r="H13287" t="s">
        <v>32848</v>
      </c>
      <c r="I13287" t="s">
        <v>7416</v>
      </c>
      <c r="J13287" t="s">
        <v>41085</v>
      </c>
      <c r="K13287" t="s">
        <v>42727</v>
      </c>
      <c r="M13287" t="s">
        <v>43591</v>
      </c>
      <c r="N13287" t="s">
        <v>47424</v>
      </c>
      <c r="O13287" t="s">
        <v>47425</v>
      </c>
      <c r="P13287">
        <v>0</v>
      </c>
      <c r="Q13287">
        <v>1</v>
      </c>
      <c r="R13287" t="s">
        <v>47443</v>
      </c>
      <c r="S13287" t="s">
        <v>48115</v>
      </c>
      <c r="T13287" t="s">
        <v>49059</v>
      </c>
      <c r="U13287" t="s">
        <v>60554</v>
      </c>
      <c r="W13287" t="s">
        <v>43591</v>
      </c>
      <c r="X13287" t="s">
        <v>47445</v>
      </c>
    </row>
    <row r="13288" spans="1:24">
      <c r="A13288">
        <f>HYPERLINK("https://www.philgeps.gov.ph/GEPSNONPILOT/Tender/SplashBidNoticeAbstractUI.aspx?menuIndex=3&amp;refID=7128330&amp;Result=3","7128330")</f>
        <v>0</v>
      </c>
      <c r="B13288" t="s">
        <v>564</v>
      </c>
      <c r="C13288" t="s">
        <v>16447</v>
      </c>
      <c r="D13288" t="s">
        <v>19045</v>
      </c>
      <c r="E13288" t="s">
        <v>30472</v>
      </c>
      <c r="F13288" t="s">
        <v>32831</v>
      </c>
      <c r="G13288" t="s">
        <v>32839</v>
      </c>
      <c r="H13288" t="s">
        <v>32848</v>
      </c>
      <c r="I13288" t="s">
        <v>32857</v>
      </c>
      <c r="J13288" t="s">
        <v>41086</v>
      </c>
      <c r="K13288" t="s">
        <v>42732</v>
      </c>
      <c r="M13288" t="s">
        <v>43573</v>
      </c>
      <c r="N13288" t="s">
        <v>47424</v>
      </c>
      <c r="O13288" t="s">
        <v>47425</v>
      </c>
      <c r="P13288">
        <v>0</v>
      </c>
      <c r="Q13288">
        <v>15</v>
      </c>
      <c r="R13288" t="s">
        <v>47443</v>
      </c>
      <c r="S13288" t="s">
        <v>48115</v>
      </c>
      <c r="T13288" t="s">
        <v>49080</v>
      </c>
      <c r="U13288" t="s">
        <v>60555</v>
      </c>
      <c r="W13288" t="s">
        <v>43573</v>
      </c>
      <c r="X13288" t="s">
        <v>47446</v>
      </c>
    </row>
    <row r="13289" spans="1:24">
      <c r="A13289">
        <f>HYPERLINK("https://www.philgeps.gov.ph/GEPSNONPILOT/Tender/SplashBidNoticeAbstractUI.aspx?menuIndex=3&amp;refID=7128231&amp;Result=3","7128231")</f>
        <v>0</v>
      </c>
      <c r="B13289" t="s">
        <v>564</v>
      </c>
      <c r="C13289" t="s">
        <v>16448</v>
      </c>
      <c r="D13289" t="s">
        <v>19045</v>
      </c>
      <c r="E13289" t="s">
        <v>30473</v>
      </c>
      <c r="F13289" t="s">
        <v>32831</v>
      </c>
      <c r="G13289" t="s">
        <v>32839</v>
      </c>
      <c r="H13289" t="s">
        <v>32848</v>
      </c>
      <c r="I13289" t="s">
        <v>32861</v>
      </c>
      <c r="J13289" t="s">
        <v>41087</v>
      </c>
      <c r="K13289" t="s">
        <v>42732</v>
      </c>
      <c r="M13289" t="s">
        <v>43573</v>
      </c>
      <c r="N13289" t="s">
        <v>47424</v>
      </c>
      <c r="O13289" t="s">
        <v>47425</v>
      </c>
      <c r="P13289">
        <v>0</v>
      </c>
      <c r="Q13289">
        <v>22</v>
      </c>
      <c r="R13289" t="s">
        <v>47443</v>
      </c>
      <c r="S13289" t="s">
        <v>48115</v>
      </c>
      <c r="T13289" t="s">
        <v>49080</v>
      </c>
      <c r="U13289" t="s">
        <v>60556</v>
      </c>
      <c r="W13289" t="s">
        <v>43573</v>
      </c>
      <c r="X13289" t="s">
        <v>47446</v>
      </c>
    </row>
    <row r="13290" spans="1:24">
      <c r="A13290">
        <f>HYPERLINK("https://www.philgeps.gov.ph/GEPSNONPILOT/Tender/SplashBidNoticeAbstractUI.aspx?menuIndex=3&amp;refID=7132712&amp;Result=3","7132712")</f>
        <v>0</v>
      </c>
      <c r="B13290" t="s">
        <v>620</v>
      </c>
      <c r="C13290" t="s">
        <v>16449</v>
      </c>
      <c r="D13290" t="s">
        <v>19017</v>
      </c>
      <c r="E13290" t="s">
        <v>30474</v>
      </c>
      <c r="F13290" t="s">
        <v>32831</v>
      </c>
      <c r="G13290" t="s">
        <v>32839</v>
      </c>
      <c r="H13290" t="s">
        <v>32848</v>
      </c>
      <c r="I13290" t="s">
        <v>32931</v>
      </c>
      <c r="J13290" t="s">
        <v>41088</v>
      </c>
      <c r="K13290" t="s">
        <v>42763</v>
      </c>
      <c r="M13290" t="s">
        <v>47081</v>
      </c>
      <c r="N13290" t="s">
        <v>47424</v>
      </c>
      <c r="O13290" t="s">
        <v>47425</v>
      </c>
      <c r="Q13290">
        <v>17</v>
      </c>
      <c r="R13290" t="s">
        <v>47443</v>
      </c>
      <c r="S13290" t="s">
        <v>48116</v>
      </c>
      <c r="T13290" t="s">
        <v>49635</v>
      </c>
      <c r="U13290" t="s">
        <v>60549</v>
      </c>
      <c r="W13290" t="s">
        <v>47081</v>
      </c>
      <c r="X13290" t="s">
        <v>47444</v>
      </c>
    </row>
    <row r="13291" spans="1:24">
      <c r="A13291">
        <f>HYPERLINK("https://www.philgeps.gov.ph/GEPSNONPILOT/Tender/SplashBidNoticeAbstractUI.aspx?menuIndex=3&amp;refID=7135728&amp;Result=3","7135728")</f>
        <v>0</v>
      </c>
      <c r="B13291" t="s">
        <v>3113</v>
      </c>
      <c r="C13291" t="s">
        <v>16450</v>
      </c>
      <c r="D13291" t="s">
        <v>19068</v>
      </c>
      <c r="E13291" t="s">
        <v>22722</v>
      </c>
      <c r="F13291" t="s">
        <v>32831</v>
      </c>
      <c r="G13291" t="s">
        <v>32839</v>
      </c>
      <c r="H13291" t="s">
        <v>32848</v>
      </c>
      <c r="I13291" t="s">
        <v>7751</v>
      </c>
      <c r="J13291" t="s">
        <v>33553</v>
      </c>
      <c r="K13291" t="s">
        <v>42746</v>
      </c>
      <c r="L13291" t="s">
        <v>3113</v>
      </c>
      <c r="M13291" t="s">
        <v>46401</v>
      </c>
      <c r="N13291" t="s">
        <v>47424</v>
      </c>
      <c r="O13291" t="s">
        <v>47425</v>
      </c>
      <c r="Q13291">
        <v>7</v>
      </c>
      <c r="R13291" t="s">
        <v>47442</v>
      </c>
      <c r="S13291" t="s">
        <v>48117</v>
      </c>
      <c r="T13291" t="s">
        <v>49171</v>
      </c>
      <c r="U13291" t="s">
        <v>60557</v>
      </c>
      <c r="W13291" t="s">
        <v>46401</v>
      </c>
      <c r="X13291" t="s">
        <v>47443</v>
      </c>
    </row>
    <row r="13292" spans="1:24">
      <c r="A13292">
        <f>HYPERLINK("https://www.philgeps.gov.ph/GEPSNONPILOT/Tender/SplashBidNoticeAbstractUI.aspx?menuIndex=3&amp;refID=7129669&amp;Result=3","7129669")</f>
        <v>0</v>
      </c>
      <c r="B13292" t="s">
        <v>3697</v>
      </c>
      <c r="C13292" t="s">
        <v>16451</v>
      </c>
      <c r="D13292" t="s">
        <v>19039</v>
      </c>
      <c r="E13292" t="s">
        <v>20585</v>
      </c>
      <c r="F13292" t="s">
        <v>32831</v>
      </c>
      <c r="G13292" t="s">
        <v>32839</v>
      </c>
      <c r="H13292" t="s">
        <v>32849</v>
      </c>
      <c r="I13292" t="s">
        <v>4177</v>
      </c>
      <c r="J13292" t="s">
        <v>41089</v>
      </c>
      <c r="K13292" t="s">
        <v>42763</v>
      </c>
      <c r="M13292" t="s">
        <v>47083</v>
      </c>
      <c r="N13292" t="s">
        <v>47424</v>
      </c>
      <c r="O13292" t="s">
        <v>47425</v>
      </c>
      <c r="P13292">
        <v>0</v>
      </c>
      <c r="Q13292">
        <v>0</v>
      </c>
      <c r="R13292" t="s">
        <v>47443</v>
      </c>
      <c r="S13292" t="s">
        <v>48115</v>
      </c>
      <c r="T13292" t="s">
        <v>49123</v>
      </c>
      <c r="U13292" t="s">
        <v>60558</v>
      </c>
      <c r="W13292" t="s">
        <v>47083</v>
      </c>
      <c r="X13292" t="s">
        <v>47445</v>
      </c>
    </row>
    <row r="13293" spans="1:24">
      <c r="A13293">
        <f>HYPERLINK("https://www.philgeps.gov.ph/GEPSNONPILOT/Tender/SplashBidNoticeAbstractUI.aspx?menuIndex=3&amp;refID=7135718&amp;Result=3","7135718")</f>
        <v>0</v>
      </c>
      <c r="B13293" t="s">
        <v>3698</v>
      </c>
      <c r="C13293" t="s">
        <v>16452</v>
      </c>
      <c r="D13293" t="s">
        <v>19020</v>
      </c>
      <c r="E13293" t="s">
        <v>30475</v>
      </c>
      <c r="F13293" t="s">
        <v>32831</v>
      </c>
      <c r="G13293" t="s">
        <v>32839</v>
      </c>
      <c r="H13293" t="s">
        <v>32848</v>
      </c>
      <c r="I13293" t="s">
        <v>32874</v>
      </c>
      <c r="J13293" t="s">
        <v>33236</v>
      </c>
      <c r="K13293" t="s">
        <v>42729</v>
      </c>
      <c r="M13293" t="s">
        <v>47084</v>
      </c>
      <c r="N13293" t="s">
        <v>47424</v>
      </c>
      <c r="O13293" t="s">
        <v>47425</v>
      </c>
      <c r="Q13293">
        <v>52</v>
      </c>
      <c r="R13293" t="s">
        <v>47442</v>
      </c>
      <c r="S13293" t="s">
        <v>47752</v>
      </c>
      <c r="T13293" t="s">
        <v>49105</v>
      </c>
      <c r="U13293" t="s">
        <v>60559</v>
      </c>
      <c r="W13293" t="s">
        <v>64553</v>
      </c>
      <c r="X13293" t="s">
        <v>47443</v>
      </c>
    </row>
    <row r="13294" spans="1:24">
      <c r="A13294">
        <f>HYPERLINK("https://www.philgeps.gov.ph/GEPSNONPILOT/Tender/SplashBidNoticeAbstractUI.aspx?menuIndex=3&amp;refID=7131329&amp;Result=3","7131329")</f>
        <v>0</v>
      </c>
      <c r="B13294" t="s">
        <v>2476</v>
      </c>
      <c r="C13294" t="s">
        <v>16453</v>
      </c>
      <c r="D13294" t="s">
        <v>19081</v>
      </c>
      <c r="E13294" t="s">
        <v>30476</v>
      </c>
      <c r="F13294" t="s">
        <v>32831</v>
      </c>
      <c r="G13294" t="s">
        <v>32839</v>
      </c>
      <c r="H13294" t="s">
        <v>32848</v>
      </c>
      <c r="I13294" t="s">
        <v>7416</v>
      </c>
      <c r="J13294" t="s">
        <v>41090</v>
      </c>
      <c r="K13294" t="s">
        <v>42727</v>
      </c>
      <c r="M13294" t="s">
        <v>45677</v>
      </c>
      <c r="N13294" t="s">
        <v>47424</v>
      </c>
      <c r="O13294" t="s">
        <v>47425</v>
      </c>
      <c r="P13294">
        <v>0</v>
      </c>
      <c r="Q13294">
        <v>0</v>
      </c>
      <c r="R13294" t="s">
        <v>47443</v>
      </c>
      <c r="S13294" t="s">
        <v>48115</v>
      </c>
      <c r="T13294" t="s">
        <v>49056</v>
      </c>
      <c r="U13294" t="s">
        <v>60560</v>
      </c>
      <c r="W13294" t="s">
        <v>45677</v>
      </c>
      <c r="X13294" t="s">
        <v>47445</v>
      </c>
    </row>
    <row r="13295" spans="1:24">
      <c r="A13295">
        <f>HYPERLINK("https://www.philgeps.gov.ph/GEPSNONPILOT/Tender/SplashBidNoticeAbstractUI.aspx?menuIndex=3&amp;refID=7126562&amp;Result=3","7126562")</f>
        <v>0</v>
      </c>
      <c r="B13295" t="s">
        <v>3699</v>
      </c>
      <c r="C13295" t="s">
        <v>16454</v>
      </c>
      <c r="D13295" t="s">
        <v>19039</v>
      </c>
      <c r="E13295" t="s">
        <v>19203</v>
      </c>
      <c r="F13295" t="s">
        <v>32831</v>
      </c>
      <c r="G13295" t="s">
        <v>32839</v>
      </c>
      <c r="H13295" t="s">
        <v>32848</v>
      </c>
      <c r="I13295" t="s">
        <v>4177</v>
      </c>
      <c r="J13295" t="s">
        <v>41091</v>
      </c>
      <c r="K13295" t="s">
        <v>42745</v>
      </c>
      <c r="M13295" t="s">
        <v>47085</v>
      </c>
      <c r="N13295" t="s">
        <v>47424</v>
      </c>
      <c r="O13295" t="s">
        <v>47425</v>
      </c>
      <c r="P13295">
        <v>0</v>
      </c>
      <c r="Q13295">
        <v>1</v>
      </c>
      <c r="R13295" t="s">
        <v>47441</v>
      </c>
      <c r="S13295" t="s">
        <v>48049</v>
      </c>
      <c r="T13295" t="s">
        <v>49068</v>
      </c>
      <c r="U13295" t="s">
        <v>60561</v>
      </c>
      <c r="V13295" t="s">
        <v>62631</v>
      </c>
      <c r="W13295" t="s">
        <v>47085</v>
      </c>
      <c r="X13295" t="s">
        <v>47446</v>
      </c>
    </row>
    <row r="13296" spans="1:24">
      <c r="A13296">
        <f>HYPERLINK("https://www.philgeps.gov.ph/GEPSNONPILOT/Tender/SplashBidNoticeAbstractUI.aspx?menuIndex=3&amp;refID=7119326&amp;Result=3","7119326")</f>
        <v>0</v>
      </c>
      <c r="B13296" t="s">
        <v>27</v>
      </c>
      <c r="C13296" t="s">
        <v>16455</v>
      </c>
      <c r="D13296" t="s">
        <v>19020</v>
      </c>
      <c r="E13296" t="s">
        <v>30477</v>
      </c>
      <c r="F13296" t="s">
        <v>32831</v>
      </c>
      <c r="G13296" t="s">
        <v>32839</v>
      </c>
      <c r="H13296" t="s">
        <v>32849</v>
      </c>
      <c r="I13296" t="s">
        <v>4177</v>
      </c>
      <c r="J13296" t="s">
        <v>34733</v>
      </c>
      <c r="K13296" t="s">
        <v>42932</v>
      </c>
      <c r="M13296" t="s">
        <v>43024</v>
      </c>
      <c r="N13296" t="s">
        <v>47424</v>
      </c>
      <c r="O13296" t="s">
        <v>47425</v>
      </c>
      <c r="P13296">
        <v>0</v>
      </c>
      <c r="Q13296">
        <v>9</v>
      </c>
      <c r="R13296" t="s">
        <v>47441</v>
      </c>
      <c r="S13296" t="s">
        <v>48049</v>
      </c>
      <c r="T13296" t="s">
        <v>49059</v>
      </c>
      <c r="U13296" t="s">
        <v>49692</v>
      </c>
      <c r="W13296" t="s">
        <v>43024</v>
      </c>
      <c r="X13296" t="s">
        <v>47450</v>
      </c>
    </row>
    <row r="13297" spans="1:24">
      <c r="A13297">
        <f>HYPERLINK("https://www.philgeps.gov.ph/GEPSNONPILOT/Tender/SplashBidNoticeAbstractUI.aspx?menuIndex=3&amp;refID=7131507&amp;Result=3","7131507")</f>
        <v>0</v>
      </c>
      <c r="B13297" t="s">
        <v>1344</v>
      </c>
      <c r="C13297" t="s">
        <v>16456</v>
      </c>
      <c r="D13297" t="s">
        <v>19077</v>
      </c>
      <c r="E13297" t="s">
        <v>30478</v>
      </c>
      <c r="F13297" t="s">
        <v>32833</v>
      </c>
      <c r="G13297" t="s">
        <v>32839</v>
      </c>
      <c r="H13297" t="s">
        <v>32848</v>
      </c>
      <c r="I13297" t="s">
        <v>4438</v>
      </c>
      <c r="J13297" t="s">
        <v>41092</v>
      </c>
      <c r="K13297" t="s">
        <v>42732</v>
      </c>
      <c r="M13297" t="s">
        <v>44417</v>
      </c>
      <c r="N13297" t="s">
        <v>47424</v>
      </c>
      <c r="O13297" t="s">
        <v>47425</v>
      </c>
      <c r="P13297">
        <v>0</v>
      </c>
      <c r="Q13297">
        <v>0</v>
      </c>
      <c r="R13297" t="s">
        <v>47443</v>
      </c>
      <c r="S13297" t="s">
        <v>48115</v>
      </c>
      <c r="T13297" t="s">
        <v>49070</v>
      </c>
      <c r="U13297" t="s">
        <v>60562</v>
      </c>
      <c r="W13297" t="s">
        <v>44417</v>
      </c>
      <c r="X13297" t="s">
        <v>47445</v>
      </c>
    </row>
    <row r="13298" spans="1:24">
      <c r="A13298">
        <f>HYPERLINK("https://www.philgeps.gov.ph/GEPSNONPILOT/Tender/SplashBidNoticeAbstractUI.aspx?menuIndex=3&amp;refID=7138878&amp;Result=3","7138878")</f>
        <v>0</v>
      </c>
      <c r="B13298" t="s">
        <v>3664</v>
      </c>
      <c r="C13298" t="s">
        <v>16457</v>
      </c>
      <c r="D13298" t="s">
        <v>19047</v>
      </c>
      <c r="E13298" t="s">
        <v>23423</v>
      </c>
      <c r="F13298" t="s">
        <v>32831</v>
      </c>
      <c r="G13298" t="s">
        <v>32839</v>
      </c>
      <c r="H13298" t="s">
        <v>32848</v>
      </c>
      <c r="I13298" t="s">
        <v>7751</v>
      </c>
      <c r="J13298" t="s">
        <v>41093</v>
      </c>
      <c r="K13298" t="s">
        <v>42730</v>
      </c>
      <c r="M13298" t="s">
        <v>47036</v>
      </c>
      <c r="N13298" t="s">
        <v>47424</v>
      </c>
      <c r="O13298" t="s">
        <v>47425</v>
      </c>
      <c r="P13298">
        <v>0</v>
      </c>
      <c r="Q13298">
        <v>6</v>
      </c>
      <c r="R13298" t="s">
        <v>47440</v>
      </c>
      <c r="S13298" t="s">
        <v>47963</v>
      </c>
      <c r="T13298" t="s">
        <v>49087</v>
      </c>
      <c r="U13298" t="s">
        <v>60563</v>
      </c>
      <c r="W13298" t="s">
        <v>47036</v>
      </c>
      <c r="X13298" t="s">
        <v>47441</v>
      </c>
    </row>
    <row r="13299" spans="1:24">
      <c r="A13299">
        <f>HYPERLINK("https://www.philgeps.gov.ph/GEPSNONPILOT/Tender/SplashBidNoticeAbstractUI.aspx?menuIndex=3&amp;refID=7135713&amp;Result=3","7135713")</f>
        <v>0</v>
      </c>
      <c r="B13299" t="s">
        <v>3113</v>
      </c>
      <c r="C13299" t="s">
        <v>10095</v>
      </c>
      <c r="D13299" t="s">
        <v>19068</v>
      </c>
      <c r="E13299" t="s">
        <v>22699</v>
      </c>
      <c r="F13299" t="s">
        <v>32831</v>
      </c>
      <c r="G13299" t="s">
        <v>32839</v>
      </c>
      <c r="H13299" t="s">
        <v>32848</v>
      </c>
      <c r="I13299" t="s">
        <v>7751</v>
      </c>
      <c r="J13299" t="s">
        <v>33055</v>
      </c>
      <c r="K13299" t="s">
        <v>42746</v>
      </c>
      <c r="L13299" t="s">
        <v>3113</v>
      </c>
      <c r="M13299" t="s">
        <v>46401</v>
      </c>
      <c r="N13299" t="s">
        <v>47424</v>
      </c>
      <c r="O13299" t="s">
        <v>47425</v>
      </c>
      <c r="Q13299">
        <v>2</v>
      </c>
      <c r="R13299" t="s">
        <v>47442</v>
      </c>
      <c r="S13299" t="s">
        <v>48118</v>
      </c>
      <c r="T13299" t="s">
        <v>49066</v>
      </c>
      <c r="U13299" t="s">
        <v>60564</v>
      </c>
      <c r="W13299" t="s">
        <v>46401</v>
      </c>
      <c r="X13299" t="s">
        <v>47443</v>
      </c>
    </row>
    <row r="13300" spans="1:24">
      <c r="A13300">
        <f>HYPERLINK("https://www.philgeps.gov.ph/GEPSNONPILOT/Tender/SplashBidNoticeAbstractUI.aspx?menuIndex=3&amp;refID=7138877&amp;Result=3","7138877")</f>
        <v>0</v>
      </c>
      <c r="B13300" t="s">
        <v>3700</v>
      </c>
      <c r="C13300" t="s">
        <v>16458</v>
      </c>
      <c r="D13300" t="s">
        <v>19024</v>
      </c>
      <c r="E13300" t="s">
        <v>30479</v>
      </c>
      <c r="F13300" t="s">
        <v>32831</v>
      </c>
      <c r="G13300" t="s">
        <v>32839</v>
      </c>
      <c r="H13300" t="s">
        <v>32848</v>
      </c>
      <c r="I13300" t="s">
        <v>7416</v>
      </c>
      <c r="J13300" t="s">
        <v>41094</v>
      </c>
      <c r="K13300" t="s">
        <v>42727</v>
      </c>
      <c r="L13300" t="s">
        <v>3700</v>
      </c>
      <c r="M13300" t="s">
        <v>47086</v>
      </c>
      <c r="N13300" t="s">
        <v>47424</v>
      </c>
      <c r="O13300" t="s">
        <v>47425</v>
      </c>
      <c r="P13300">
        <v>0</v>
      </c>
      <c r="Q13300">
        <v>0</v>
      </c>
      <c r="R13300" t="s">
        <v>47440</v>
      </c>
      <c r="S13300" t="s">
        <v>47963</v>
      </c>
      <c r="T13300" t="s">
        <v>49073</v>
      </c>
      <c r="U13300" t="s">
        <v>60565</v>
      </c>
      <c r="W13300" t="s">
        <v>47086</v>
      </c>
      <c r="X13300" t="s">
        <v>47441</v>
      </c>
    </row>
    <row r="13301" spans="1:24">
      <c r="A13301">
        <f>HYPERLINK("https://www.philgeps.gov.ph/GEPSNONPILOT/Tender/SplashBidNoticeAbstractUI.aspx?menuIndex=3&amp;refID=7126361&amp;Result=3","7126361")</f>
        <v>0</v>
      </c>
      <c r="B13301" t="s">
        <v>3668</v>
      </c>
      <c r="C13301" t="s">
        <v>16459</v>
      </c>
      <c r="D13301" t="s">
        <v>19031</v>
      </c>
      <c r="E13301" t="s">
        <v>30480</v>
      </c>
      <c r="F13301" t="s">
        <v>32831</v>
      </c>
      <c r="G13301" t="s">
        <v>32839</v>
      </c>
      <c r="H13301" t="s">
        <v>32849</v>
      </c>
      <c r="I13301" t="s">
        <v>4177</v>
      </c>
      <c r="J13301" t="s">
        <v>41095</v>
      </c>
      <c r="K13301" t="s">
        <v>42763</v>
      </c>
      <c r="M13301" t="s">
        <v>47040</v>
      </c>
      <c r="N13301" t="s">
        <v>47424</v>
      </c>
      <c r="O13301" t="s">
        <v>47425</v>
      </c>
      <c r="P13301">
        <v>0</v>
      </c>
      <c r="Q13301">
        <v>3</v>
      </c>
      <c r="R13301" t="s">
        <v>47441</v>
      </c>
      <c r="S13301" t="s">
        <v>48049</v>
      </c>
      <c r="T13301" t="s">
        <v>49171</v>
      </c>
      <c r="U13301" t="s">
        <v>60566</v>
      </c>
      <c r="V13301" t="s">
        <v>64106</v>
      </c>
      <c r="W13301" t="s">
        <v>47040</v>
      </c>
      <c r="X13301" t="s">
        <v>47447</v>
      </c>
    </row>
    <row r="13302" spans="1:24">
      <c r="A13302">
        <f>HYPERLINK("https://www.philgeps.gov.ph/GEPSNONPILOT/Tender/SplashBidNoticeAbstractUI.aspx?menuIndex=3&amp;refID=7138870&amp;Result=3","7138870")</f>
        <v>0</v>
      </c>
      <c r="B13302" t="s">
        <v>3700</v>
      </c>
      <c r="C13302" t="s">
        <v>16460</v>
      </c>
      <c r="D13302" t="s">
        <v>19024</v>
      </c>
      <c r="E13302" t="s">
        <v>30481</v>
      </c>
      <c r="F13302" t="s">
        <v>32831</v>
      </c>
      <c r="G13302" t="s">
        <v>32839</v>
      </c>
      <c r="H13302" t="s">
        <v>32848</v>
      </c>
      <c r="I13302" t="s">
        <v>7416</v>
      </c>
      <c r="J13302" t="s">
        <v>41096</v>
      </c>
      <c r="K13302" t="s">
        <v>42727</v>
      </c>
      <c r="L13302" t="s">
        <v>3700</v>
      </c>
      <c r="M13302" t="s">
        <v>47086</v>
      </c>
      <c r="N13302" t="s">
        <v>47424</v>
      </c>
      <c r="O13302" t="s">
        <v>47425</v>
      </c>
      <c r="P13302">
        <v>0</v>
      </c>
      <c r="Q13302">
        <v>0</v>
      </c>
      <c r="R13302" t="s">
        <v>47440</v>
      </c>
      <c r="S13302" t="s">
        <v>47963</v>
      </c>
      <c r="T13302" t="s">
        <v>49073</v>
      </c>
      <c r="U13302" t="s">
        <v>60567</v>
      </c>
      <c r="W13302" t="s">
        <v>47086</v>
      </c>
      <c r="X13302" t="s">
        <v>47441</v>
      </c>
    </row>
    <row r="13303" spans="1:24">
      <c r="A13303">
        <f>HYPERLINK("https://www.philgeps.gov.ph/GEPSNONPILOT/Tender/SplashBidNoticeAbstractUI.aspx?menuIndex=3&amp;refID=7088057-2&amp;Result=3","7088057-2")</f>
        <v>0</v>
      </c>
      <c r="B13303" t="s">
        <v>1248</v>
      </c>
      <c r="C13303" t="s">
        <v>16461</v>
      </c>
      <c r="E13303" t="s">
        <v>30482</v>
      </c>
      <c r="F13303" t="s">
        <v>32831</v>
      </c>
      <c r="G13303" t="s">
        <v>32839</v>
      </c>
      <c r="H13303" t="s">
        <v>14069</v>
      </c>
      <c r="I13303" t="s">
        <v>14069</v>
      </c>
      <c r="J13303" t="s">
        <v>36730</v>
      </c>
      <c r="K13303" t="s">
        <v>42732</v>
      </c>
      <c r="M13303" t="s">
        <v>47087</v>
      </c>
      <c r="N13303" t="s">
        <v>47424</v>
      </c>
      <c r="O13303" t="s">
        <v>47425</v>
      </c>
      <c r="Q13303">
        <v>2</v>
      </c>
      <c r="R13303" t="s">
        <v>47443</v>
      </c>
      <c r="S13303" t="s">
        <v>48119</v>
      </c>
      <c r="T13303" t="s">
        <v>49105</v>
      </c>
      <c r="U13303" t="s">
        <v>60568</v>
      </c>
      <c r="W13303" t="s">
        <v>47087</v>
      </c>
      <c r="X13303" t="s">
        <v>47444</v>
      </c>
    </row>
    <row r="13304" spans="1:24">
      <c r="A13304">
        <f>HYPERLINK("https://www.philgeps.gov.ph/GEPSNONPILOT/Tender/SplashBidNoticeAbstractUI.aspx?menuIndex=3&amp;refID=7138662&amp;Result=3","7138662")</f>
        <v>0</v>
      </c>
      <c r="B13304" t="s">
        <v>1915</v>
      </c>
      <c r="C13304" t="s">
        <v>16462</v>
      </c>
      <c r="D13304" t="s">
        <v>19030</v>
      </c>
      <c r="E13304" t="s">
        <v>30483</v>
      </c>
      <c r="F13304" t="s">
        <v>32831</v>
      </c>
      <c r="G13304" t="s">
        <v>32839</v>
      </c>
      <c r="H13304" t="s">
        <v>32849</v>
      </c>
      <c r="I13304" t="s">
        <v>4177</v>
      </c>
      <c r="J13304" t="s">
        <v>41097</v>
      </c>
      <c r="K13304" t="s">
        <v>42763</v>
      </c>
      <c r="M13304" t="s">
        <v>45067</v>
      </c>
      <c r="N13304" t="s">
        <v>47424</v>
      </c>
      <c r="O13304" t="s">
        <v>47425</v>
      </c>
      <c r="P13304">
        <v>0</v>
      </c>
      <c r="Q13304">
        <v>20</v>
      </c>
      <c r="R13304" t="s">
        <v>47440</v>
      </c>
      <c r="S13304" t="s">
        <v>47963</v>
      </c>
      <c r="T13304" t="s">
        <v>49080</v>
      </c>
      <c r="U13304" t="s">
        <v>60314</v>
      </c>
      <c r="W13304" t="s">
        <v>64492</v>
      </c>
      <c r="X13304" t="s">
        <v>47441</v>
      </c>
    </row>
    <row r="13305" spans="1:24">
      <c r="A13305">
        <f>HYPERLINK("https://www.philgeps.gov.ph/GEPSNONPILOT/Tender/SplashBidNoticeAbstractUI.aspx?menuIndex=3&amp;refID=7138665&amp;Result=3","7138665")</f>
        <v>0</v>
      </c>
      <c r="B13305" t="s">
        <v>1915</v>
      </c>
      <c r="C13305" t="s">
        <v>16463</v>
      </c>
      <c r="D13305" t="s">
        <v>19030</v>
      </c>
      <c r="E13305" t="s">
        <v>30484</v>
      </c>
      <c r="F13305" t="s">
        <v>32831</v>
      </c>
      <c r="G13305" t="s">
        <v>32839</v>
      </c>
      <c r="H13305" t="s">
        <v>32849</v>
      </c>
      <c r="I13305" t="s">
        <v>4177</v>
      </c>
      <c r="J13305" t="s">
        <v>35538</v>
      </c>
      <c r="K13305" t="s">
        <v>42763</v>
      </c>
      <c r="M13305" t="s">
        <v>45067</v>
      </c>
      <c r="N13305" t="s">
        <v>47424</v>
      </c>
      <c r="O13305" t="s">
        <v>47425</v>
      </c>
      <c r="P13305">
        <v>0</v>
      </c>
      <c r="Q13305">
        <v>20</v>
      </c>
      <c r="R13305" t="s">
        <v>47440</v>
      </c>
      <c r="S13305" t="s">
        <v>47963</v>
      </c>
      <c r="T13305" t="s">
        <v>49080</v>
      </c>
      <c r="U13305" t="s">
        <v>60314</v>
      </c>
      <c r="W13305" t="s">
        <v>64492</v>
      </c>
      <c r="X13305" t="s">
        <v>47441</v>
      </c>
    </row>
    <row r="13306" spans="1:24">
      <c r="A13306">
        <f>HYPERLINK("https://www.philgeps.gov.ph/GEPSNONPILOT/Tender/SplashBidNoticeAbstractUI.aspx?menuIndex=3&amp;refID=7128386&amp;Result=3","7128386")</f>
        <v>0</v>
      </c>
      <c r="B13306" t="s">
        <v>564</v>
      </c>
      <c r="C13306" t="s">
        <v>16464</v>
      </c>
      <c r="D13306" t="s">
        <v>19045</v>
      </c>
      <c r="E13306" t="s">
        <v>30472</v>
      </c>
      <c r="F13306" t="s">
        <v>32831</v>
      </c>
      <c r="G13306" t="s">
        <v>32839</v>
      </c>
      <c r="H13306" t="s">
        <v>32848</v>
      </c>
      <c r="I13306" t="s">
        <v>32861</v>
      </c>
      <c r="J13306" t="s">
        <v>41086</v>
      </c>
      <c r="K13306" t="s">
        <v>42732</v>
      </c>
      <c r="M13306" t="s">
        <v>43573</v>
      </c>
      <c r="N13306" t="s">
        <v>47424</v>
      </c>
      <c r="O13306" t="s">
        <v>47425</v>
      </c>
      <c r="P13306">
        <v>0</v>
      </c>
      <c r="Q13306">
        <v>20</v>
      </c>
      <c r="R13306" t="s">
        <v>47443</v>
      </c>
      <c r="S13306" t="s">
        <v>48115</v>
      </c>
      <c r="T13306" t="s">
        <v>49080</v>
      </c>
      <c r="U13306" t="s">
        <v>60569</v>
      </c>
      <c r="W13306" t="s">
        <v>43573</v>
      </c>
      <c r="X13306" t="s">
        <v>47446</v>
      </c>
    </row>
    <row r="13307" spans="1:24">
      <c r="A13307">
        <f>HYPERLINK("https://www.philgeps.gov.ph/GEPSNONPILOT/Tender/SplashBidNoticeAbstractUI.aspx?menuIndex=3&amp;refID=7137735&amp;Result=3","7137735")</f>
        <v>0</v>
      </c>
      <c r="B13307" t="s">
        <v>1345</v>
      </c>
      <c r="C13307" t="s">
        <v>16465</v>
      </c>
      <c r="D13307" t="s">
        <v>19077</v>
      </c>
      <c r="E13307" t="s">
        <v>30485</v>
      </c>
      <c r="F13307" t="s">
        <v>32831</v>
      </c>
      <c r="G13307" t="s">
        <v>32839</v>
      </c>
      <c r="H13307" t="s">
        <v>32849</v>
      </c>
      <c r="I13307" t="s">
        <v>4177</v>
      </c>
      <c r="J13307" t="s">
        <v>41098</v>
      </c>
      <c r="K13307" t="s">
        <v>42790</v>
      </c>
      <c r="L13307" t="s">
        <v>1345</v>
      </c>
      <c r="M13307" t="s">
        <v>44418</v>
      </c>
      <c r="N13307" t="s">
        <v>47424</v>
      </c>
      <c r="O13307" t="s">
        <v>47425</v>
      </c>
      <c r="Q13307">
        <v>0</v>
      </c>
      <c r="R13307" t="s">
        <v>47440</v>
      </c>
      <c r="S13307" t="s">
        <v>48120</v>
      </c>
      <c r="T13307" t="s">
        <v>49073</v>
      </c>
      <c r="U13307" t="s">
        <v>60570</v>
      </c>
      <c r="W13307" t="s">
        <v>44418</v>
      </c>
      <c r="X13307" t="s">
        <v>47441</v>
      </c>
    </row>
    <row r="13308" spans="1:24">
      <c r="A13308">
        <f>HYPERLINK("https://www.philgeps.gov.ph/GEPSNONPILOT/Tender/SplashBidNoticeAbstractUI.aspx?menuIndex=3&amp;refID=7137755&amp;Result=3","7137755")</f>
        <v>0</v>
      </c>
      <c r="B13308" t="s">
        <v>3632</v>
      </c>
      <c r="C13308" t="s">
        <v>12159</v>
      </c>
      <c r="D13308" t="s">
        <v>19077</v>
      </c>
      <c r="E13308" t="s">
        <v>30486</v>
      </c>
      <c r="F13308" t="s">
        <v>32831</v>
      </c>
      <c r="G13308" t="s">
        <v>32845</v>
      </c>
      <c r="H13308" t="s">
        <v>32848</v>
      </c>
      <c r="I13308" t="s">
        <v>4558</v>
      </c>
      <c r="J13308" t="s">
        <v>41099</v>
      </c>
      <c r="K13308" t="s">
        <v>42730</v>
      </c>
      <c r="M13308" t="s">
        <v>47002</v>
      </c>
      <c r="N13308" t="s">
        <v>47424</v>
      </c>
      <c r="O13308" t="s">
        <v>47425</v>
      </c>
      <c r="P13308">
        <v>0</v>
      </c>
      <c r="Q13308">
        <v>7</v>
      </c>
      <c r="R13308" t="s">
        <v>47440</v>
      </c>
      <c r="S13308" t="s">
        <v>47963</v>
      </c>
      <c r="T13308" t="s">
        <v>49073</v>
      </c>
      <c r="U13308" t="s">
        <v>60571</v>
      </c>
      <c r="W13308" t="s">
        <v>47002</v>
      </c>
      <c r="X13308" t="s">
        <v>47441</v>
      </c>
    </row>
    <row r="13309" spans="1:24">
      <c r="A13309">
        <f>HYPERLINK("https://www.philgeps.gov.ph/GEPSNONPILOT/Tender/SplashBidNoticeAbstractUI.aspx?menuIndex=3&amp;refID=7137732&amp;Result=3","7137732")</f>
        <v>0</v>
      </c>
      <c r="B13309" t="s">
        <v>223</v>
      </c>
      <c r="C13309" t="s">
        <v>16466</v>
      </c>
      <c r="E13309" t="s">
        <v>30487</v>
      </c>
      <c r="F13309" t="s">
        <v>32831</v>
      </c>
      <c r="G13309" t="s">
        <v>32839</v>
      </c>
      <c r="H13309" t="s">
        <v>32848</v>
      </c>
      <c r="I13309" t="s">
        <v>4558</v>
      </c>
      <c r="J13309" t="s">
        <v>41100</v>
      </c>
      <c r="K13309" t="s">
        <v>42730</v>
      </c>
      <c r="M13309" t="s">
        <v>43221</v>
      </c>
      <c r="N13309" t="s">
        <v>47424</v>
      </c>
      <c r="O13309" t="s">
        <v>47425</v>
      </c>
      <c r="P13309">
        <v>0</v>
      </c>
      <c r="Q13309">
        <v>12</v>
      </c>
      <c r="R13309" t="s">
        <v>47440</v>
      </c>
      <c r="S13309" t="s">
        <v>47963</v>
      </c>
      <c r="T13309" t="s">
        <v>49066</v>
      </c>
      <c r="U13309" t="s">
        <v>60313</v>
      </c>
      <c r="W13309" t="s">
        <v>43221</v>
      </c>
      <c r="X13309" t="s">
        <v>47441</v>
      </c>
    </row>
    <row r="13310" spans="1:24">
      <c r="A13310">
        <f>HYPERLINK("https://www.philgeps.gov.ph/GEPSNONPILOT/Tender/SplashBidNoticeAbstractUI.aspx?menuIndex=3&amp;refID=7138880&amp;Result=3","7138880")</f>
        <v>0</v>
      </c>
      <c r="B13310" t="s">
        <v>3700</v>
      </c>
      <c r="C13310" t="s">
        <v>16467</v>
      </c>
      <c r="D13310" t="s">
        <v>19024</v>
      </c>
      <c r="E13310" t="s">
        <v>30488</v>
      </c>
      <c r="F13310" t="s">
        <v>32831</v>
      </c>
      <c r="G13310" t="s">
        <v>32839</v>
      </c>
      <c r="H13310" t="s">
        <v>32848</v>
      </c>
      <c r="I13310" t="s">
        <v>7416</v>
      </c>
      <c r="J13310" t="s">
        <v>41101</v>
      </c>
      <c r="K13310" t="s">
        <v>42727</v>
      </c>
      <c r="L13310" t="s">
        <v>3700</v>
      </c>
      <c r="M13310" t="s">
        <v>47086</v>
      </c>
      <c r="N13310" t="s">
        <v>47424</v>
      </c>
      <c r="O13310" t="s">
        <v>47425</v>
      </c>
      <c r="P13310">
        <v>0</v>
      </c>
      <c r="Q13310">
        <v>0</v>
      </c>
      <c r="R13310" t="s">
        <v>47440</v>
      </c>
      <c r="S13310" t="s">
        <v>47963</v>
      </c>
      <c r="T13310" t="s">
        <v>49073</v>
      </c>
      <c r="U13310" t="s">
        <v>60572</v>
      </c>
      <c r="W13310" t="s">
        <v>47086</v>
      </c>
      <c r="X13310" t="s">
        <v>47441</v>
      </c>
    </row>
    <row r="13311" spans="1:24">
      <c r="A13311">
        <f>HYPERLINK("https://www.philgeps.gov.ph/GEPSNONPILOT/Tender/SplashBidNoticeAbstractUI.aspx?menuIndex=3&amp;refID=7137644&amp;Result=3","7137644")</f>
        <v>0</v>
      </c>
      <c r="B13311" t="s">
        <v>3609</v>
      </c>
      <c r="C13311" t="s">
        <v>16468</v>
      </c>
      <c r="D13311" t="s">
        <v>19084</v>
      </c>
      <c r="E13311" t="s">
        <v>29986</v>
      </c>
      <c r="F13311" t="s">
        <v>32831</v>
      </c>
      <c r="G13311" t="s">
        <v>32839</v>
      </c>
      <c r="H13311" t="s">
        <v>32849</v>
      </c>
      <c r="I13311" t="s">
        <v>4177</v>
      </c>
      <c r="J13311" t="s">
        <v>41102</v>
      </c>
      <c r="K13311" t="s">
        <v>42763</v>
      </c>
      <c r="M13311" t="s">
        <v>46977</v>
      </c>
      <c r="N13311" t="s">
        <v>47424</v>
      </c>
      <c r="O13311" t="s">
        <v>47425</v>
      </c>
      <c r="Q13311">
        <v>7</v>
      </c>
      <c r="R13311" t="s">
        <v>47440</v>
      </c>
      <c r="S13311" t="s">
        <v>48121</v>
      </c>
      <c r="T13311" t="s">
        <v>49105</v>
      </c>
      <c r="U13311" t="s">
        <v>60102</v>
      </c>
      <c r="W13311" t="s">
        <v>46977</v>
      </c>
      <c r="X13311" t="s">
        <v>47441</v>
      </c>
    </row>
    <row r="13312" spans="1:24">
      <c r="A13312">
        <f>HYPERLINK("https://www.philgeps.gov.ph/GEPSNONPILOT/Tender/SplashBidNoticeAbstractUI.aspx?menuIndex=3&amp;refID=7137630&amp;Result=3","7137630")</f>
        <v>0</v>
      </c>
      <c r="B13312" t="s">
        <v>231</v>
      </c>
      <c r="C13312" t="s">
        <v>16469</v>
      </c>
      <c r="D13312" t="s">
        <v>19039</v>
      </c>
      <c r="E13312" t="s">
        <v>30489</v>
      </c>
      <c r="F13312" t="s">
        <v>32831</v>
      </c>
      <c r="G13312" t="s">
        <v>32839</v>
      </c>
      <c r="H13312" t="s">
        <v>32849</v>
      </c>
      <c r="I13312" t="s">
        <v>4177</v>
      </c>
      <c r="J13312" t="s">
        <v>41103</v>
      </c>
      <c r="K13312" t="s">
        <v>42826</v>
      </c>
      <c r="M13312" t="s">
        <v>46970</v>
      </c>
      <c r="N13312" t="s">
        <v>47424</v>
      </c>
      <c r="O13312" t="s">
        <v>47425</v>
      </c>
      <c r="P13312">
        <v>0</v>
      </c>
      <c r="Q13312">
        <v>1</v>
      </c>
      <c r="R13312" t="s">
        <v>47440</v>
      </c>
      <c r="S13312" t="s">
        <v>47963</v>
      </c>
      <c r="T13312" t="s">
        <v>49066</v>
      </c>
      <c r="U13312" t="s">
        <v>60573</v>
      </c>
      <c r="W13312" t="s">
        <v>46971</v>
      </c>
      <c r="X13312" t="s">
        <v>47441</v>
      </c>
    </row>
    <row r="13313" spans="1:24">
      <c r="A13313">
        <f>HYPERLINK("https://www.philgeps.gov.ph/GEPSNONPILOT/Tender/SplashBidNoticeAbstractUI.aspx?menuIndex=3&amp;refID=7137626&amp;Result=3","7137626")</f>
        <v>0</v>
      </c>
      <c r="B13313" t="s">
        <v>3110</v>
      </c>
      <c r="C13313" t="s">
        <v>16470</v>
      </c>
      <c r="D13313" t="s">
        <v>19017</v>
      </c>
      <c r="E13313" t="s">
        <v>30490</v>
      </c>
      <c r="F13313" t="s">
        <v>32831</v>
      </c>
      <c r="G13313" t="s">
        <v>32839</v>
      </c>
      <c r="H13313" t="s">
        <v>32848</v>
      </c>
      <c r="I13313" t="s">
        <v>4471</v>
      </c>
      <c r="J13313" t="s">
        <v>41104</v>
      </c>
      <c r="K13313" t="s">
        <v>42732</v>
      </c>
      <c r="M13313" t="s">
        <v>46397</v>
      </c>
      <c r="N13313" t="s">
        <v>47424</v>
      </c>
      <c r="O13313" t="s">
        <v>47425</v>
      </c>
      <c r="Q13313">
        <v>6</v>
      </c>
      <c r="R13313" t="s">
        <v>47440</v>
      </c>
      <c r="S13313" t="s">
        <v>48122</v>
      </c>
      <c r="T13313" t="s">
        <v>49159</v>
      </c>
      <c r="U13313" t="s">
        <v>57894</v>
      </c>
      <c r="W13313" t="s">
        <v>46397</v>
      </c>
      <c r="X13313" t="s">
        <v>47441</v>
      </c>
    </row>
    <row r="13314" spans="1:24">
      <c r="A13314">
        <f>HYPERLINK("https://www.philgeps.gov.ph/GEPSNONPILOT/Tender/SplashBidNoticeAbstractUI.aspx?menuIndex=3&amp;refID=7137757&amp;Result=3","7137757")</f>
        <v>0</v>
      </c>
      <c r="B13314" t="s">
        <v>221</v>
      </c>
      <c r="C13314" t="s">
        <v>16471</v>
      </c>
      <c r="D13314" t="s">
        <v>19099</v>
      </c>
      <c r="E13314" t="s">
        <v>30491</v>
      </c>
      <c r="F13314" t="s">
        <v>32831</v>
      </c>
      <c r="G13314" t="s">
        <v>32845</v>
      </c>
      <c r="H13314" t="s">
        <v>32849</v>
      </c>
      <c r="I13314" t="s">
        <v>4177</v>
      </c>
      <c r="J13314" t="s">
        <v>33083</v>
      </c>
      <c r="K13314" t="s">
        <v>42732</v>
      </c>
      <c r="L13314" t="s">
        <v>221</v>
      </c>
      <c r="M13314" t="s">
        <v>46263</v>
      </c>
      <c r="N13314" t="s">
        <v>47424</v>
      </c>
      <c r="O13314" t="s">
        <v>47425</v>
      </c>
      <c r="Q13314">
        <v>4</v>
      </c>
      <c r="R13314" t="s">
        <v>47440</v>
      </c>
      <c r="S13314" t="s">
        <v>48123</v>
      </c>
      <c r="T13314" t="s">
        <v>49066</v>
      </c>
      <c r="U13314" t="s">
        <v>60574</v>
      </c>
      <c r="W13314" t="s">
        <v>46263</v>
      </c>
      <c r="X13314" t="s">
        <v>47441</v>
      </c>
    </row>
    <row r="13315" spans="1:24">
      <c r="A13315">
        <f>HYPERLINK("https://www.philgeps.gov.ph/GEPSNONPILOT/Tender/SplashBidNoticeAbstractUI.aspx?menuIndex=3&amp;refID=7137642&amp;Result=3","7137642")</f>
        <v>0</v>
      </c>
      <c r="B13315" t="s">
        <v>693</v>
      </c>
      <c r="C13315" t="s">
        <v>16472</v>
      </c>
      <c r="D13315" t="s">
        <v>19073</v>
      </c>
      <c r="E13315" t="s">
        <v>30492</v>
      </c>
      <c r="F13315" t="s">
        <v>32831</v>
      </c>
      <c r="G13315" t="s">
        <v>32839</v>
      </c>
      <c r="H13315" t="s">
        <v>32849</v>
      </c>
      <c r="I13315" t="s">
        <v>4177</v>
      </c>
      <c r="J13315" t="s">
        <v>34759</v>
      </c>
      <c r="K13315" t="s">
        <v>42830</v>
      </c>
      <c r="M13315" t="s">
        <v>44145</v>
      </c>
      <c r="N13315" t="s">
        <v>47424</v>
      </c>
      <c r="O13315" t="s">
        <v>47425</v>
      </c>
      <c r="P13315">
        <v>0</v>
      </c>
      <c r="Q13315">
        <v>1</v>
      </c>
      <c r="R13315" t="s">
        <v>47440</v>
      </c>
      <c r="S13315" t="s">
        <v>47963</v>
      </c>
      <c r="T13315" t="s">
        <v>49196</v>
      </c>
      <c r="U13315" t="s">
        <v>60201</v>
      </c>
      <c r="V13315" t="s">
        <v>64057</v>
      </c>
      <c r="W13315" t="s">
        <v>64457</v>
      </c>
      <c r="X13315" t="s">
        <v>47441</v>
      </c>
    </row>
    <row r="13316" spans="1:24">
      <c r="A13316">
        <f>HYPERLINK("https://www.philgeps.gov.ph/GEPSNONPILOT/Tender/SplashBidNoticeAbstractUI.aspx?menuIndex=3&amp;refID=7137623&amp;Result=3","7137623")</f>
        <v>0</v>
      </c>
      <c r="B13316" t="s">
        <v>1295</v>
      </c>
      <c r="C13316" t="s">
        <v>16473</v>
      </c>
      <c r="D13316" t="s">
        <v>19054</v>
      </c>
      <c r="E13316" t="s">
        <v>30493</v>
      </c>
      <c r="F13316" t="s">
        <v>32831</v>
      </c>
      <c r="G13316" t="s">
        <v>32839</v>
      </c>
      <c r="H13316" t="s">
        <v>32848</v>
      </c>
      <c r="I13316" t="s">
        <v>4776</v>
      </c>
      <c r="J13316" t="s">
        <v>41105</v>
      </c>
      <c r="K13316" t="s">
        <v>42731</v>
      </c>
      <c r="M13316" t="s">
        <v>44365</v>
      </c>
      <c r="N13316" t="s">
        <v>47424</v>
      </c>
      <c r="O13316" t="s">
        <v>47425</v>
      </c>
      <c r="P13316">
        <v>0</v>
      </c>
      <c r="Q13316">
        <v>7</v>
      </c>
      <c r="R13316" t="s">
        <v>47440</v>
      </c>
      <c r="S13316" t="s">
        <v>47963</v>
      </c>
      <c r="T13316" t="s">
        <v>49066</v>
      </c>
      <c r="U13316" t="s">
        <v>52500</v>
      </c>
      <c r="W13316" t="s">
        <v>44365</v>
      </c>
      <c r="X13316" t="s">
        <v>47441</v>
      </c>
    </row>
    <row r="13317" spans="1:24">
      <c r="A13317">
        <f>HYPERLINK("https://www.philgeps.gov.ph/GEPSNONPILOT/Tender/SplashBidNoticeAbstractUI.aspx?menuIndex=3&amp;refID=7137734&amp;Result=3","7137734")</f>
        <v>0</v>
      </c>
      <c r="B13317" t="s">
        <v>2658</v>
      </c>
      <c r="C13317" t="s">
        <v>16474</v>
      </c>
      <c r="D13317" t="s">
        <v>19045</v>
      </c>
      <c r="E13317" t="s">
        <v>30494</v>
      </c>
      <c r="F13317" t="s">
        <v>32831</v>
      </c>
      <c r="G13317" t="s">
        <v>32839</v>
      </c>
      <c r="H13317" t="s">
        <v>32849</v>
      </c>
      <c r="I13317" t="s">
        <v>4177</v>
      </c>
      <c r="J13317" t="s">
        <v>41106</v>
      </c>
      <c r="K13317" t="s">
        <v>42729</v>
      </c>
      <c r="M13317" t="s">
        <v>45881</v>
      </c>
      <c r="N13317" t="s">
        <v>47424</v>
      </c>
      <c r="O13317" t="s">
        <v>47425</v>
      </c>
      <c r="P13317">
        <v>0</v>
      </c>
      <c r="Q13317">
        <v>4</v>
      </c>
      <c r="R13317" t="s">
        <v>47440</v>
      </c>
      <c r="S13317" t="s">
        <v>47963</v>
      </c>
      <c r="T13317" t="s">
        <v>49069</v>
      </c>
      <c r="U13317" t="s">
        <v>60575</v>
      </c>
      <c r="V13317" t="s">
        <v>63287</v>
      </c>
      <c r="W13317" t="s">
        <v>45881</v>
      </c>
      <c r="X13317" t="s">
        <v>47441</v>
      </c>
    </row>
    <row r="13318" spans="1:24">
      <c r="A13318">
        <f>HYPERLINK("https://www.philgeps.gov.ph/GEPSNONPILOT/Tender/SplashBidNoticeAbstractUI.aspx?menuIndex=3&amp;refID=7137612&amp;Result=3","7137612")</f>
        <v>0</v>
      </c>
      <c r="B13318" t="s">
        <v>221</v>
      </c>
      <c r="C13318" t="s">
        <v>16475</v>
      </c>
      <c r="D13318" t="s">
        <v>19062</v>
      </c>
      <c r="E13318" t="s">
        <v>30495</v>
      </c>
      <c r="F13318" t="s">
        <v>32831</v>
      </c>
      <c r="G13318" t="s">
        <v>32845</v>
      </c>
      <c r="H13318" t="s">
        <v>14069</v>
      </c>
      <c r="I13318" t="s">
        <v>14069</v>
      </c>
      <c r="J13318" t="s">
        <v>41107</v>
      </c>
      <c r="K13318" t="s">
        <v>42732</v>
      </c>
      <c r="L13318" t="s">
        <v>221</v>
      </c>
      <c r="M13318" t="s">
        <v>46263</v>
      </c>
      <c r="N13318" t="s">
        <v>47424</v>
      </c>
      <c r="O13318" t="s">
        <v>47425</v>
      </c>
      <c r="Q13318">
        <v>4</v>
      </c>
      <c r="R13318" t="s">
        <v>47440</v>
      </c>
      <c r="S13318" t="s">
        <v>48124</v>
      </c>
      <c r="T13318" t="s">
        <v>49078</v>
      </c>
      <c r="U13318" t="s">
        <v>60576</v>
      </c>
      <c r="W13318" t="s">
        <v>46263</v>
      </c>
      <c r="X13318" t="s">
        <v>47441</v>
      </c>
    </row>
    <row r="13319" spans="1:24">
      <c r="A13319">
        <f>HYPERLINK("https://www.philgeps.gov.ph/GEPSNONPILOT/Tender/SplashBidNoticeAbstractUI.aspx?menuIndex=3&amp;refID=7137606&amp;Result=3","7137606")</f>
        <v>0</v>
      </c>
      <c r="B13319" t="s">
        <v>2678</v>
      </c>
      <c r="C13319" t="s">
        <v>16476</v>
      </c>
      <c r="D13319" t="s">
        <v>19041</v>
      </c>
      <c r="E13319" t="s">
        <v>30496</v>
      </c>
      <c r="F13319" t="s">
        <v>32831</v>
      </c>
      <c r="G13319" t="s">
        <v>32839</v>
      </c>
      <c r="H13319" t="s">
        <v>32849</v>
      </c>
      <c r="I13319" t="s">
        <v>4177</v>
      </c>
      <c r="J13319" t="s">
        <v>41108</v>
      </c>
      <c r="K13319" t="s">
        <v>42770</v>
      </c>
      <c r="M13319" t="s">
        <v>45901</v>
      </c>
      <c r="N13319" t="s">
        <v>47424</v>
      </c>
      <c r="O13319" t="s">
        <v>47425</v>
      </c>
      <c r="Q13319">
        <v>0</v>
      </c>
      <c r="R13319" t="s">
        <v>47440</v>
      </c>
      <c r="S13319" t="s">
        <v>48125</v>
      </c>
      <c r="T13319" t="s">
        <v>49080</v>
      </c>
      <c r="U13319" t="s">
        <v>60577</v>
      </c>
      <c r="V13319" t="s">
        <v>64058</v>
      </c>
      <c r="W13319" t="s">
        <v>45901</v>
      </c>
      <c r="X13319" t="s">
        <v>47441</v>
      </c>
    </row>
    <row r="13320" spans="1:24">
      <c r="A13320">
        <f>HYPERLINK("https://www.philgeps.gov.ph/GEPSNONPILOT/Tender/SplashBidNoticeAbstractUI.aspx?menuIndex=3&amp;refID=7137549&amp;Result=3","7137549")</f>
        <v>0</v>
      </c>
      <c r="B13320" t="s">
        <v>1953</v>
      </c>
      <c r="C13320" t="s">
        <v>16477</v>
      </c>
      <c r="E13320" t="s">
        <v>30497</v>
      </c>
      <c r="F13320" t="s">
        <v>32831</v>
      </c>
      <c r="G13320" t="s">
        <v>32839</v>
      </c>
      <c r="H13320" t="s">
        <v>32849</v>
      </c>
      <c r="I13320" t="s">
        <v>4177</v>
      </c>
      <c r="J13320" t="s">
        <v>40813</v>
      </c>
      <c r="K13320" t="s">
        <v>42862</v>
      </c>
      <c r="M13320" t="s">
        <v>46997</v>
      </c>
      <c r="N13320" t="s">
        <v>47424</v>
      </c>
      <c r="O13320" t="s">
        <v>47425</v>
      </c>
      <c r="Q13320">
        <v>7</v>
      </c>
      <c r="R13320" t="s">
        <v>47440</v>
      </c>
      <c r="S13320" t="s">
        <v>48126</v>
      </c>
      <c r="T13320" t="s">
        <v>49106</v>
      </c>
      <c r="U13320" t="s">
        <v>60578</v>
      </c>
      <c r="W13320" t="s">
        <v>46997</v>
      </c>
      <c r="X13320" t="s">
        <v>47441</v>
      </c>
    </row>
    <row r="13321" spans="1:24">
      <c r="A13321">
        <f>HYPERLINK("https://www.philgeps.gov.ph/GEPSNONPILOT/Tender/SplashBidNoticeAbstractUI.aspx?menuIndex=3&amp;refID=7133202&amp;Result=3","7133202")</f>
        <v>0</v>
      </c>
      <c r="B13321" t="s">
        <v>781</v>
      </c>
      <c r="C13321" t="s">
        <v>16478</v>
      </c>
      <c r="D13321" t="s">
        <v>19040</v>
      </c>
      <c r="E13321" t="s">
        <v>30498</v>
      </c>
      <c r="F13321" t="s">
        <v>32831</v>
      </c>
      <c r="G13321" t="s">
        <v>32839</v>
      </c>
      <c r="H13321" t="s">
        <v>32848</v>
      </c>
      <c r="I13321" t="s">
        <v>4177</v>
      </c>
      <c r="J13321" t="s">
        <v>41109</v>
      </c>
      <c r="K13321" t="s">
        <v>42919</v>
      </c>
      <c r="M13321" t="s">
        <v>46733</v>
      </c>
      <c r="N13321" t="s">
        <v>47424</v>
      </c>
      <c r="O13321" t="s">
        <v>47425</v>
      </c>
      <c r="Q13321">
        <v>1</v>
      </c>
      <c r="R13321" t="s">
        <v>47443</v>
      </c>
      <c r="S13321" t="s">
        <v>47555</v>
      </c>
      <c r="T13321" t="s">
        <v>49073</v>
      </c>
      <c r="U13321" t="s">
        <v>60579</v>
      </c>
      <c r="W13321" t="s">
        <v>46733</v>
      </c>
      <c r="X13321" t="s">
        <v>47444</v>
      </c>
    </row>
    <row r="13322" spans="1:24">
      <c r="A13322">
        <f>HYPERLINK("https://www.philgeps.gov.ph/GEPSNONPILOT/Tender/SplashBidNoticeAbstractUI.aspx?menuIndex=3&amp;refID=7137620&amp;Result=3","7137620")</f>
        <v>0</v>
      </c>
      <c r="B13322" t="s">
        <v>1934</v>
      </c>
      <c r="C13322" t="s">
        <v>16479</v>
      </c>
      <c r="D13322" t="s">
        <v>19057</v>
      </c>
      <c r="E13322" t="s">
        <v>30499</v>
      </c>
      <c r="F13322" t="s">
        <v>32831</v>
      </c>
      <c r="G13322" t="s">
        <v>32839</v>
      </c>
      <c r="H13322" t="s">
        <v>32849</v>
      </c>
      <c r="I13322" t="s">
        <v>4177</v>
      </c>
      <c r="J13322" t="s">
        <v>33118</v>
      </c>
      <c r="K13322" t="s">
        <v>42763</v>
      </c>
      <c r="M13322" t="s">
        <v>45087</v>
      </c>
      <c r="N13322" t="s">
        <v>47424</v>
      </c>
      <c r="O13322" t="s">
        <v>47425</v>
      </c>
      <c r="P13322">
        <v>0</v>
      </c>
      <c r="Q13322">
        <v>0</v>
      </c>
      <c r="R13322" t="s">
        <v>47440</v>
      </c>
      <c r="S13322" t="s">
        <v>47963</v>
      </c>
      <c r="T13322" t="s">
        <v>49163</v>
      </c>
      <c r="U13322" t="s">
        <v>60197</v>
      </c>
      <c r="V13322" t="s">
        <v>53471</v>
      </c>
      <c r="W13322" t="s">
        <v>45087</v>
      </c>
      <c r="X13322" t="s">
        <v>47441</v>
      </c>
    </row>
    <row r="13323" spans="1:24">
      <c r="A13323">
        <f>HYPERLINK("https://www.philgeps.gov.ph/GEPSNONPILOT/Tender/SplashBidNoticeAbstractUI.aspx?menuIndex=3&amp;refID=7132714&amp;Result=3","7132714")</f>
        <v>0</v>
      </c>
      <c r="B13323" t="s">
        <v>3701</v>
      </c>
      <c r="C13323" t="s">
        <v>16480</v>
      </c>
      <c r="E13323" t="s">
        <v>30500</v>
      </c>
      <c r="F13323" t="s">
        <v>32832</v>
      </c>
      <c r="G13323" t="s">
        <v>32839</v>
      </c>
      <c r="H13323" t="s">
        <v>32848</v>
      </c>
      <c r="I13323" t="s">
        <v>32854</v>
      </c>
      <c r="J13323" t="s">
        <v>33395</v>
      </c>
      <c r="K13323" t="s">
        <v>42729</v>
      </c>
      <c r="L13323" t="s">
        <v>3701</v>
      </c>
      <c r="M13323" t="s">
        <v>47088</v>
      </c>
      <c r="N13323" t="s">
        <v>47424</v>
      </c>
      <c r="O13323" t="s">
        <v>47425</v>
      </c>
      <c r="P13323">
        <v>0</v>
      </c>
      <c r="Q13323">
        <v>0</v>
      </c>
      <c r="R13323" t="s">
        <v>47443</v>
      </c>
      <c r="S13323" t="s">
        <v>48115</v>
      </c>
      <c r="T13323" t="s">
        <v>49166</v>
      </c>
      <c r="U13323" t="s">
        <v>60580</v>
      </c>
      <c r="V13323" t="s">
        <v>64107</v>
      </c>
      <c r="W13323" t="s">
        <v>47088</v>
      </c>
      <c r="X13323" t="s">
        <v>47444</v>
      </c>
    </row>
    <row r="13324" spans="1:24">
      <c r="A13324">
        <f>HYPERLINK("https://www.philgeps.gov.ph/GEPSNONPILOT/Tender/SplashBidNoticeAbstractUI.aspx?menuIndex=3&amp;refID=7133085&amp;Result=3","7133085")</f>
        <v>0</v>
      </c>
      <c r="B13324" t="s">
        <v>1864</v>
      </c>
      <c r="C13324" t="s">
        <v>16481</v>
      </c>
      <c r="D13324" t="s">
        <v>19045</v>
      </c>
      <c r="E13324" t="s">
        <v>30501</v>
      </c>
      <c r="F13324" t="s">
        <v>32831</v>
      </c>
      <c r="G13324" t="s">
        <v>32839</v>
      </c>
      <c r="H13324" t="s">
        <v>32848</v>
      </c>
      <c r="I13324" t="s">
        <v>4776</v>
      </c>
      <c r="J13324" t="s">
        <v>33578</v>
      </c>
      <c r="K13324" t="s">
        <v>42742</v>
      </c>
      <c r="M13324" t="s">
        <v>45006</v>
      </c>
      <c r="N13324" t="s">
        <v>47424</v>
      </c>
      <c r="O13324" t="s">
        <v>47425</v>
      </c>
      <c r="P13324">
        <v>0</v>
      </c>
      <c r="Q13324">
        <v>0</v>
      </c>
      <c r="R13324" t="s">
        <v>47443</v>
      </c>
      <c r="S13324" t="s">
        <v>48115</v>
      </c>
      <c r="T13324" t="s">
        <v>49066</v>
      </c>
      <c r="U13324" t="s">
        <v>60581</v>
      </c>
      <c r="W13324" t="s">
        <v>45006</v>
      </c>
      <c r="X13324" t="s">
        <v>47444</v>
      </c>
    </row>
    <row r="13325" spans="1:24">
      <c r="A13325">
        <f>HYPERLINK("https://www.philgeps.gov.ph/GEPSNONPILOT/Tender/SplashBidNoticeAbstractUI.aspx?menuIndex=3&amp;refID=7137543&amp;Result=3","7137543")</f>
        <v>0</v>
      </c>
      <c r="B13325" t="s">
        <v>3063</v>
      </c>
      <c r="C13325" t="s">
        <v>16482</v>
      </c>
      <c r="D13325" t="s">
        <v>19062</v>
      </c>
      <c r="E13325" t="s">
        <v>20013</v>
      </c>
      <c r="F13325" t="s">
        <v>32833</v>
      </c>
      <c r="G13325" t="s">
        <v>32839</v>
      </c>
      <c r="H13325" t="s">
        <v>32848</v>
      </c>
      <c r="I13325" t="s">
        <v>7416</v>
      </c>
      <c r="J13325" t="s">
        <v>41110</v>
      </c>
      <c r="K13325" t="s">
        <v>42731</v>
      </c>
      <c r="M13325" t="s">
        <v>46338</v>
      </c>
      <c r="N13325" t="s">
        <v>47424</v>
      </c>
      <c r="O13325" t="s">
        <v>47425</v>
      </c>
      <c r="P13325">
        <v>0</v>
      </c>
      <c r="Q13325">
        <v>0</v>
      </c>
      <c r="R13325" t="s">
        <v>47440</v>
      </c>
      <c r="S13325" t="s">
        <v>47963</v>
      </c>
      <c r="T13325" t="s">
        <v>49105</v>
      </c>
      <c r="U13325" t="s">
        <v>60582</v>
      </c>
      <c r="W13325" t="s">
        <v>46338</v>
      </c>
      <c r="X13325" t="s">
        <v>47441</v>
      </c>
    </row>
    <row r="13326" spans="1:24">
      <c r="A13326">
        <f>HYPERLINK("https://www.philgeps.gov.ph/GEPSNONPILOT/Tender/SplashBidNoticeAbstractUI.aspx?menuIndex=3&amp;refID=7137551&amp;Result=3","7137551")</f>
        <v>0</v>
      </c>
      <c r="B13326" t="s">
        <v>2658</v>
      </c>
      <c r="C13326" t="s">
        <v>16483</v>
      </c>
      <c r="D13326" t="s">
        <v>19045</v>
      </c>
      <c r="E13326" t="s">
        <v>30502</v>
      </c>
      <c r="F13326" t="s">
        <v>32831</v>
      </c>
      <c r="G13326" t="s">
        <v>32839</v>
      </c>
      <c r="H13326" t="s">
        <v>32849</v>
      </c>
      <c r="I13326" t="s">
        <v>4177</v>
      </c>
      <c r="J13326" t="s">
        <v>41111</v>
      </c>
      <c r="K13326" t="s">
        <v>42729</v>
      </c>
      <c r="M13326" t="s">
        <v>45881</v>
      </c>
      <c r="N13326" t="s">
        <v>47424</v>
      </c>
      <c r="O13326" t="s">
        <v>47425</v>
      </c>
      <c r="P13326">
        <v>0</v>
      </c>
      <c r="Q13326">
        <v>6</v>
      </c>
      <c r="R13326" t="s">
        <v>47440</v>
      </c>
      <c r="S13326" t="s">
        <v>47963</v>
      </c>
      <c r="T13326" t="s">
        <v>49069</v>
      </c>
      <c r="U13326" t="s">
        <v>60583</v>
      </c>
      <c r="V13326" t="s">
        <v>63287</v>
      </c>
      <c r="W13326" t="s">
        <v>45881</v>
      </c>
      <c r="X13326" t="s">
        <v>47441</v>
      </c>
    </row>
    <row r="13327" spans="1:24">
      <c r="A13327">
        <f>HYPERLINK("https://www.philgeps.gov.ph/GEPSNONPILOT/Tender/SplashBidNoticeAbstractUI.aspx?menuIndex=3&amp;refID=7133072&amp;Result=3","7133072")</f>
        <v>0</v>
      </c>
      <c r="B13327" t="s">
        <v>3324</v>
      </c>
      <c r="C13327" t="s">
        <v>16484</v>
      </c>
      <c r="D13327" t="s">
        <v>19084</v>
      </c>
      <c r="E13327" t="s">
        <v>30503</v>
      </c>
      <c r="F13327" t="s">
        <v>32831</v>
      </c>
      <c r="G13327" t="s">
        <v>32839</v>
      </c>
      <c r="H13327" t="s">
        <v>32849</v>
      </c>
      <c r="I13327" t="s">
        <v>7416</v>
      </c>
      <c r="J13327" t="s">
        <v>41112</v>
      </c>
      <c r="K13327" t="s">
        <v>42875</v>
      </c>
      <c r="L13327" t="s">
        <v>3324</v>
      </c>
      <c r="M13327" t="s">
        <v>46647</v>
      </c>
      <c r="N13327" t="s">
        <v>47424</v>
      </c>
      <c r="O13327" t="s">
        <v>47425</v>
      </c>
      <c r="P13327">
        <v>0</v>
      </c>
      <c r="Q13327">
        <v>3</v>
      </c>
      <c r="R13327" t="s">
        <v>47443</v>
      </c>
      <c r="S13327" t="s">
        <v>48115</v>
      </c>
      <c r="T13327" t="s">
        <v>49080</v>
      </c>
      <c r="U13327" t="s">
        <v>60584</v>
      </c>
      <c r="V13327" t="s">
        <v>64108</v>
      </c>
      <c r="W13327" t="s">
        <v>64543</v>
      </c>
      <c r="X13327" t="s">
        <v>47444</v>
      </c>
    </row>
    <row r="13328" spans="1:24">
      <c r="A13328">
        <f>HYPERLINK("https://www.philgeps.gov.ph/GEPSNONPILOT/Tender/SplashBidNoticeAbstractUI.aspx?menuIndex=3&amp;refID=7133060&amp;Result=3","7133060")</f>
        <v>0</v>
      </c>
      <c r="B13328" t="s">
        <v>485</v>
      </c>
      <c r="C13328" t="s">
        <v>16485</v>
      </c>
      <c r="D13328" t="s">
        <v>19032</v>
      </c>
      <c r="E13328" t="s">
        <v>23632</v>
      </c>
      <c r="F13328" t="s">
        <v>32831</v>
      </c>
      <c r="G13328" t="s">
        <v>32839</v>
      </c>
      <c r="H13328" t="s">
        <v>32849</v>
      </c>
      <c r="I13328" t="s">
        <v>4177</v>
      </c>
      <c r="J13328" t="s">
        <v>41113</v>
      </c>
      <c r="K13328" t="s">
        <v>42729</v>
      </c>
      <c r="M13328" t="s">
        <v>43490</v>
      </c>
      <c r="N13328" t="s">
        <v>47424</v>
      </c>
      <c r="O13328" t="s">
        <v>47425</v>
      </c>
      <c r="P13328">
        <v>0</v>
      </c>
      <c r="Q13328">
        <v>0</v>
      </c>
      <c r="R13328" t="s">
        <v>47443</v>
      </c>
      <c r="S13328" t="s">
        <v>48115</v>
      </c>
      <c r="T13328" t="s">
        <v>49273</v>
      </c>
      <c r="U13328" t="s">
        <v>60585</v>
      </c>
      <c r="V13328" t="s">
        <v>64109</v>
      </c>
      <c r="W13328" t="s">
        <v>43490</v>
      </c>
      <c r="X13328" t="s">
        <v>47444</v>
      </c>
    </row>
    <row r="13329" spans="1:24">
      <c r="A13329">
        <f>HYPERLINK("https://www.philgeps.gov.ph/GEPSNONPILOT/Tender/SplashBidNoticeAbstractUI.aspx?menuIndex=3&amp;refID=7132904&amp;Result=3","7132904")</f>
        <v>0</v>
      </c>
      <c r="B13329" t="s">
        <v>2450</v>
      </c>
      <c r="C13329" t="s">
        <v>16486</v>
      </c>
      <c r="E13329" t="s">
        <v>20585</v>
      </c>
      <c r="F13329" t="s">
        <v>32831</v>
      </c>
      <c r="G13329" t="s">
        <v>32839</v>
      </c>
      <c r="H13329" t="s">
        <v>32849</v>
      </c>
      <c r="I13329" t="s">
        <v>4177</v>
      </c>
      <c r="J13329" t="s">
        <v>32980</v>
      </c>
      <c r="K13329" t="s">
        <v>42732</v>
      </c>
      <c r="M13329" t="s">
        <v>45648</v>
      </c>
      <c r="N13329" t="s">
        <v>47424</v>
      </c>
      <c r="O13329" t="s">
        <v>47425</v>
      </c>
      <c r="P13329">
        <v>0</v>
      </c>
      <c r="Q13329">
        <v>0</v>
      </c>
      <c r="R13329" t="s">
        <v>47443</v>
      </c>
      <c r="S13329" t="s">
        <v>48115</v>
      </c>
      <c r="T13329" t="s">
        <v>49104</v>
      </c>
      <c r="U13329" t="s">
        <v>60586</v>
      </c>
      <c r="W13329" t="s">
        <v>45648</v>
      </c>
      <c r="X13329" t="s">
        <v>47444</v>
      </c>
    </row>
    <row r="13330" spans="1:24">
      <c r="A13330">
        <f>HYPERLINK("https://www.philgeps.gov.ph/GEPSNONPILOT/Tender/SplashBidNoticeAbstractUI.aspx?menuIndex=3&amp;refID=7133170&amp;Result=3","7133170")</f>
        <v>0</v>
      </c>
      <c r="B13330" t="s">
        <v>3151</v>
      </c>
      <c r="C13330" t="s">
        <v>16487</v>
      </c>
      <c r="D13330" t="s">
        <v>19070</v>
      </c>
      <c r="E13330" t="s">
        <v>30504</v>
      </c>
      <c r="F13330" t="s">
        <v>32831</v>
      </c>
      <c r="G13330" t="s">
        <v>32839</v>
      </c>
      <c r="H13330" t="s">
        <v>32848</v>
      </c>
      <c r="I13330" t="s">
        <v>4303</v>
      </c>
      <c r="J13330" t="s">
        <v>36873</v>
      </c>
      <c r="K13330" t="s">
        <v>42729</v>
      </c>
      <c r="M13330" t="s">
        <v>46451</v>
      </c>
      <c r="N13330" t="s">
        <v>47424</v>
      </c>
      <c r="O13330" t="s">
        <v>47425</v>
      </c>
      <c r="P13330">
        <v>0</v>
      </c>
      <c r="Q13330">
        <v>1</v>
      </c>
      <c r="R13330" t="s">
        <v>47443</v>
      </c>
      <c r="S13330" t="s">
        <v>48115</v>
      </c>
      <c r="T13330" t="s">
        <v>49056</v>
      </c>
      <c r="U13330" t="s">
        <v>60587</v>
      </c>
      <c r="W13330" t="s">
        <v>46451</v>
      </c>
      <c r="X13330" t="s">
        <v>47444</v>
      </c>
    </row>
    <row r="13331" spans="1:24">
      <c r="A13331">
        <f>HYPERLINK("https://www.philgeps.gov.ph/GEPSNONPILOT/Tender/SplashBidNoticeAbstractUI.aspx?menuIndex=3&amp;refID=7138874&amp;Result=3","7138874")</f>
        <v>0</v>
      </c>
      <c r="B13331" t="s">
        <v>3660</v>
      </c>
      <c r="C13331" t="s">
        <v>16488</v>
      </c>
      <c r="D13331" t="s">
        <v>19030</v>
      </c>
      <c r="E13331" t="s">
        <v>30505</v>
      </c>
      <c r="F13331" t="s">
        <v>32831</v>
      </c>
      <c r="G13331" t="s">
        <v>32839</v>
      </c>
      <c r="H13331" t="s">
        <v>32849</v>
      </c>
      <c r="I13331" t="s">
        <v>4177</v>
      </c>
      <c r="J13331" t="s">
        <v>33257</v>
      </c>
      <c r="K13331" t="s">
        <v>42728</v>
      </c>
      <c r="M13331" t="s">
        <v>47032</v>
      </c>
      <c r="N13331" t="s">
        <v>47424</v>
      </c>
      <c r="O13331" t="s">
        <v>47425</v>
      </c>
      <c r="P13331">
        <v>0</v>
      </c>
      <c r="Q13331">
        <v>7</v>
      </c>
      <c r="R13331" t="s">
        <v>47440</v>
      </c>
      <c r="S13331" t="s">
        <v>47963</v>
      </c>
      <c r="T13331" t="s">
        <v>49066</v>
      </c>
      <c r="U13331" t="s">
        <v>60588</v>
      </c>
      <c r="W13331" t="s">
        <v>47032</v>
      </c>
      <c r="X13331" t="s">
        <v>47441</v>
      </c>
    </row>
    <row r="13332" spans="1:24">
      <c r="A13332">
        <f>HYPERLINK("https://www.philgeps.gov.ph/GEPSNONPILOT/Tender/SplashBidNoticeAbstractUI.aspx?menuIndex=3&amp;refID=7133032&amp;Result=3","7133032")</f>
        <v>0</v>
      </c>
      <c r="B13332" t="s">
        <v>2383</v>
      </c>
      <c r="C13332" t="s">
        <v>5774</v>
      </c>
      <c r="D13332" t="s">
        <v>19055</v>
      </c>
      <c r="E13332" t="s">
        <v>30506</v>
      </c>
      <c r="F13332" t="s">
        <v>32831</v>
      </c>
      <c r="G13332" t="s">
        <v>32839</v>
      </c>
      <c r="H13332" t="s">
        <v>32848</v>
      </c>
      <c r="I13332" t="s">
        <v>4222</v>
      </c>
      <c r="J13332" t="s">
        <v>33421</v>
      </c>
      <c r="K13332" t="s">
        <v>42730</v>
      </c>
      <c r="M13332" t="s">
        <v>45572</v>
      </c>
      <c r="N13332" t="s">
        <v>47424</v>
      </c>
      <c r="O13332" t="s">
        <v>47425</v>
      </c>
      <c r="P13332">
        <v>0</v>
      </c>
      <c r="Q13332">
        <v>0</v>
      </c>
      <c r="R13332" t="s">
        <v>47443</v>
      </c>
      <c r="S13332" t="s">
        <v>48115</v>
      </c>
      <c r="T13332" t="s">
        <v>49127</v>
      </c>
      <c r="U13332" t="s">
        <v>60589</v>
      </c>
      <c r="V13332" t="s">
        <v>64110</v>
      </c>
      <c r="W13332" t="s">
        <v>45572</v>
      </c>
      <c r="X13332" t="s">
        <v>47444</v>
      </c>
    </row>
    <row r="13333" spans="1:24">
      <c r="A13333">
        <f>HYPERLINK("https://www.philgeps.gov.ph/GEPSNONPILOT/Tender/SplashBidNoticeAbstractUI.aspx?menuIndex=3&amp;refID=7132867&amp;Result=3","7132867")</f>
        <v>0</v>
      </c>
      <c r="B13333" t="s">
        <v>1666</v>
      </c>
      <c r="C13333" t="s">
        <v>16489</v>
      </c>
      <c r="D13333" t="s">
        <v>19067</v>
      </c>
      <c r="E13333" t="s">
        <v>21910</v>
      </c>
      <c r="F13333" t="s">
        <v>32831</v>
      </c>
      <c r="G13333" t="s">
        <v>32839</v>
      </c>
      <c r="H13333" t="s">
        <v>32848</v>
      </c>
      <c r="I13333" t="s">
        <v>7751</v>
      </c>
      <c r="J13333" t="s">
        <v>33011</v>
      </c>
      <c r="K13333" t="s">
        <v>42747</v>
      </c>
      <c r="M13333" t="s">
        <v>47089</v>
      </c>
      <c r="N13333" t="s">
        <v>47424</v>
      </c>
      <c r="O13333" t="s">
        <v>47425</v>
      </c>
      <c r="P13333">
        <v>0</v>
      </c>
      <c r="Q13333">
        <v>0</v>
      </c>
      <c r="R13333" t="s">
        <v>47443</v>
      </c>
      <c r="S13333" t="s">
        <v>48115</v>
      </c>
      <c r="T13333" t="s">
        <v>49109</v>
      </c>
      <c r="U13333" t="s">
        <v>60590</v>
      </c>
      <c r="W13333" t="s">
        <v>47089</v>
      </c>
      <c r="X13333" t="s">
        <v>47444</v>
      </c>
    </row>
    <row r="13334" spans="1:24">
      <c r="A13334">
        <f>HYPERLINK("https://www.philgeps.gov.ph/GEPSNONPILOT/Tender/SplashBidNoticeAbstractUI.aspx?menuIndex=3&amp;refID=7132939&amp;Result=3","7132939")</f>
        <v>0</v>
      </c>
      <c r="B13334" t="s">
        <v>2719</v>
      </c>
      <c r="C13334" t="s">
        <v>16490</v>
      </c>
      <c r="D13334" t="s">
        <v>19103</v>
      </c>
      <c r="E13334" t="s">
        <v>30507</v>
      </c>
      <c r="F13334" t="s">
        <v>32831</v>
      </c>
      <c r="G13334" t="s">
        <v>32839</v>
      </c>
      <c r="H13334" t="s">
        <v>32849</v>
      </c>
      <c r="I13334" t="s">
        <v>4177</v>
      </c>
      <c r="J13334" t="s">
        <v>33118</v>
      </c>
      <c r="K13334" t="s">
        <v>42729</v>
      </c>
      <c r="M13334" t="s">
        <v>45945</v>
      </c>
      <c r="N13334" t="s">
        <v>47424</v>
      </c>
      <c r="O13334" t="s">
        <v>47425</v>
      </c>
      <c r="P13334">
        <v>0</v>
      </c>
      <c r="Q13334">
        <v>0</v>
      </c>
      <c r="R13334" t="s">
        <v>47443</v>
      </c>
      <c r="S13334" t="s">
        <v>48115</v>
      </c>
      <c r="T13334" t="s">
        <v>49571</v>
      </c>
      <c r="U13334" t="s">
        <v>60591</v>
      </c>
      <c r="W13334" t="s">
        <v>45945</v>
      </c>
      <c r="X13334" t="s">
        <v>47444</v>
      </c>
    </row>
    <row r="13335" spans="1:24">
      <c r="A13335">
        <f>HYPERLINK("https://www.philgeps.gov.ph/GEPSNONPILOT/Tender/SplashBidNoticeAbstractUI.aspx?menuIndex=3&amp;refID=7132828&amp;Result=3","7132828")</f>
        <v>0</v>
      </c>
      <c r="B13335" t="s">
        <v>3702</v>
      </c>
      <c r="C13335" t="s">
        <v>16491</v>
      </c>
      <c r="D13335" t="s">
        <v>19022</v>
      </c>
      <c r="E13335" t="s">
        <v>19937</v>
      </c>
      <c r="F13335" t="s">
        <v>32832</v>
      </c>
      <c r="G13335" t="s">
        <v>32839</v>
      </c>
      <c r="H13335" t="s">
        <v>32848</v>
      </c>
      <c r="I13335" t="s">
        <v>32858</v>
      </c>
      <c r="J13335" t="s">
        <v>41114</v>
      </c>
      <c r="K13335" t="s">
        <v>42732</v>
      </c>
      <c r="M13335" t="s">
        <v>47090</v>
      </c>
      <c r="N13335" t="s">
        <v>47424</v>
      </c>
      <c r="O13335" t="s">
        <v>47425</v>
      </c>
      <c r="P13335">
        <v>0</v>
      </c>
      <c r="Q13335">
        <v>5</v>
      </c>
      <c r="R13335" t="s">
        <v>47443</v>
      </c>
      <c r="S13335" t="s">
        <v>48115</v>
      </c>
      <c r="T13335" t="s">
        <v>49229</v>
      </c>
      <c r="U13335" t="s">
        <v>60592</v>
      </c>
      <c r="W13335" t="s">
        <v>47090</v>
      </c>
      <c r="X13335" t="s">
        <v>47444</v>
      </c>
    </row>
    <row r="13336" spans="1:24">
      <c r="A13336">
        <f>HYPERLINK("https://www.philgeps.gov.ph/GEPSNONPILOT/Tender/SplashBidNoticeAbstractUI.aspx?menuIndex=3&amp;refID=7133051&amp;Result=3","7133051")</f>
        <v>0</v>
      </c>
      <c r="B13336" t="s">
        <v>2133</v>
      </c>
      <c r="C13336" t="s">
        <v>16492</v>
      </c>
      <c r="D13336" t="s">
        <v>19077</v>
      </c>
      <c r="E13336" t="s">
        <v>30508</v>
      </c>
      <c r="F13336" t="s">
        <v>32831</v>
      </c>
      <c r="G13336" t="s">
        <v>32839</v>
      </c>
      <c r="H13336" t="s">
        <v>32848</v>
      </c>
      <c r="I13336" t="s">
        <v>32855</v>
      </c>
      <c r="J13336" t="s">
        <v>41115</v>
      </c>
      <c r="K13336" t="s">
        <v>42730</v>
      </c>
      <c r="M13336" t="s">
        <v>45309</v>
      </c>
      <c r="N13336" t="s">
        <v>47424</v>
      </c>
      <c r="O13336" t="s">
        <v>47425</v>
      </c>
      <c r="P13336">
        <v>0</v>
      </c>
      <c r="Q13336">
        <v>6</v>
      </c>
      <c r="R13336" t="s">
        <v>47443</v>
      </c>
      <c r="S13336" t="s">
        <v>48115</v>
      </c>
      <c r="T13336" t="s">
        <v>49096</v>
      </c>
      <c r="U13336" t="s">
        <v>60593</v>
      </c>
      <c r="W13336" t="s">
        <v>45309</v>
      </c>
      <c r="X13336" t="s">
        <v>47444</v>
      </c>
    </row>
    <row r="13337" spans="1:24">
      <c r="A13337">
        <f>HYPERLINK("https://www.philgeps.gov.ph/GEPSNONPILOT/Tender/SplashBidNoticeAbstractUI.aspx?menuIndex=3&amp;refID=7133128&amp;Result=3","7133128")</f>
        <v>0</v>
      </c>
      <c r="B13337" t="s">
        <v>485</v>
      </c>
      <c r="C13337" t="s">
        <v>16493</v>
      </c>
      <c r="D13337" t="s">
        <v>19032</v>
      </c>
      <c r="E13337" t="s">
        <v>19692</v>
      </c>
      <c r="F13337" t="s">
        <v>32831</v>
      </c>
      <c r="G13337" t="s">
        <v>32839</v>
      </c>
      <c r="H13337" t="s">
        <v>32849</v>
      </c>
      <c r="I13337" t="s">
        <v>4177</v>
      </c>
      <c r="J13337" t="s">
        <v>41116</v>
      </c>
      <c r="K13337" t="s">
        <v>42865</v>
      </c>
      <c r="M13337" t="s">
        <v>43490</v>
      </c>
      <c r="N13337" t="s">
        <v>47424</v>
      </c>
      <c r="O13337" t="s">
        <v>47425</v>
      </c>
      <c r="P13337">
        <v>0</v>
      </c>
      <c r="Q13337">
        <v>0</v>
      </c>
      <c r="R13337" t="s">
        <v>47443</v>
      </c>
      <c r="S13337" t="s">
        <v>48115</v>
      </c>
      <c r="T13337" t="s">
        <v>49636</v>
      </c>
      <c r="U13337" t="s">
        <v>60594</v>
      </c>
      <c r="V13337" t="s">
        <v>64111</v>
      </c>
      <c r="W13337" t="s">
        <v>43490</v>
      </c>
      <c r="X13337" t="s">
        <v>47444</v>
      </c>
    </row>
    <row r="13338" spans="1:24">
      <c r="A13338">
        <f>HYPERLINK("https://www.philgeps.gov.ph/GEPSNONPILOT/Tender/SplashBidNoticeAbstractUI.aspx?menuIndex=3&amp;refID=7132761&amp;Result=3","7132761")</f>
        <v>0</v>
      </c>
      <c r="B13338" t="s">
        <v>633</v>
      </c>
      <c r="C13338" t="s">
        <v>16494</v>
      </c>
      <c r="D13338" t="s">
        <v>19062</v>
      </c>
      <c r="E13338" t="s">
        <v>19664</v>
      </c>
      <c r="F13338" t="s">
        <v>32831</v>
      </c>
      <c r="G13338" t="s">
        <v>32839</v>
      </c>
      <c r="H13338" t="s">
        <v>32848</v>
      </c>
      <c r="I13338" t="s">
        <v>5667</v>
      </c>
      <c r="J13338" t="s">
        <v>41117</v>
      </c>
      <c r="K13338" t="s">
        <v>42807</v>
      </c>
      <c r="M13338" t="s">
        <v>43650</v>
      </c>
      <c r="N13338" t="s">
        <v>47424</v>
      </c>
      <c r="O13338" t="s">
        <v>47425</v>
      </c>
      <c r="P13338">
        <v>0</v>
      </c>
      <c r="Q13338">
        <v>6</v>
      </c>
      <c r="R13338" t="s">
        <v>47443</v>
      </c>
      <c r="S13338" t="s">
        <v>48115</v>
      </c>
      <c r="T13338" t="s">
        <v>49057</v>
      </c>
      <c r="U13338" t="s">
        <v>60595</v>
      </c>
      <c r="W13338" t="s">
        <v>43650</v>
      </c>
      <c r="X13338" t="s">
        <v>47444</v>
      </c>
    </row>
    <row r="13339" spans="1:24">
      <c r="A13339">
        <f>HYPERLINK("https://www.philgeps.gov.ph/GEPSNONPILOT/Tender/SplashBidNoticeAbstractUI.aspx?menuIndex=3&amp;refID=7133417&amp;Result=3","7133417")</f>
        <v>0</v>
      </c>
      <c r="B13339" t="s">
        <v>513</v>
      </c>
      <c r="C13339" t="s">
        <v>16495</v>
      </c>
      <c r="D13339" t="s">
        <v>19018</v>
      </c>
      <c r="E13339" t="s">
        <v>30509</v>
      </c>
      <c r="F13339" t="s">
        <v>32831</v>
      </c>
      <c r="G13339" t="s">
        <v>32839</v>
      </c>
      <c r="H13339" t="s">
        <v>32848</v>
      </c>
      <c r="I13339" t="s">
        <v>4222</v>
      </c>
      <c r="J13339" t="s">
        <v>41118</v>
      </c>
      <c r="K13339" t="s">
        <v>42726</v>
      </c>
      <c r="M13339" t="s">
        <v>43518</v>
      </c>
      <c r="N13339" t="s">
        <v>47424</v>
      </c>
      <c r="O13339" t="s">
        <v>47425</v>
      </c>
      <c r="P13339">
        <v>0</v>
      </c>
      <c r="Q13339">
        <v>2</v>
      </c>
      <c r="R13339" t="s">
        <v>47443</v>
      </c>
      <c r="S13339" t="s">
        <v>48115</v>
      </c>
      <c r="T13339" t="s">
        <v>49196</v>
      </c>
      <c r="U13339" t="s">
        <v>60596</v>
      </c>
      <c r="W13339" t="s">
        <v>64441</v>
      </c>
      <c r="X13339" t="s">
        <v>47444</v>
      </c>
    </row>
    <row r="13340" spans="1:24">
      <c r="A13340">
        <f>HYPERLINK("https://www.philgeps.gov.ph/GEPSNONPILOT/Tender/SplashBidNoticeAbstractUI.aspx?menuIndex=3&amp;refID=7133402&amp;Result=3","7133402")</f>
        <v>0</v>
      </c>
      <c r="B13340" t="s">
        <v>3703</v>
      </c>
      <c r="C13340" t="s">
        <v>16496</v>
      </c>
      <c r="D13340" t="s">
        <v>19083</v>
      </c>
      <c r="E13340" t="s">
        <v>30510</v>
      </c>
      <c r="F13340" t="s">
        <v>32831</v>
      </c>
      <c r="G13340" t="s">
        <v>32839</v>
      </c>
      <c r="H13340" t="s">
        <v>32849</v>
      </c>
      <c r="I13340" t="s">
        <v>4177</v>
      </c>
      <c r="J13340" t="s">
        <v>41119</v>
      </c>
      <c r="K13340" t="s">
        <v>42780</v>
      </c>
      <c r="M13340" t="s">
        <v>47091</v>
      </c>
      <c r="N13340" t="s">
        <v>47424</v>
      </c>
      <c r="O13340" t="s">
        <v>47425</v>
      </c>
      <c r="Q13340">
        <v>3</v>
      </c>
      <c r="R13340" t="s">
        <v>47443</v>
      </c>
      <c r="S13340" t="s">
        <v>47651</v>
      </c>
      <c r="T13340" t="s">
        <v>49127</v>
      </c>
      <c r="U13340" t="s">
        <v>60597</v>
      </c>
      <c r="W13340" t="s">
        <v>47091</v>
      </c>
      <c r="X13340" t="s">
        <v>47444</v>
      </c>
    </row>
    <row r="13341" spans="1:24">
      <c r="A13341">
        <f>HYPERLINK("https://www.philgeps.gov.ph/GEPSNONPILOT/Tender/SplashBidNoticeAbstractUI.aspx?menuIndex=3&amp;refID=7132853&amp;Result=3","7132853")</f>
        <v>0</v>
      </c>
      <c r="B13341" t="s">
        <v>2669</v>
      </c>
      <c r="C13341" t="s">
        <v>16497</v>
      </c>
      <c r="D13341" t="s">
        <v>19043</v>
      </c>
      <c r="E13341" t="s">
        <v>30511</v>
      </c>
      <c r="F13341" t="s">
        <v>32831</v>
      </c>
      <c r="G13341" t="s">
        <v>32839</v>
      </c>
      <c r="H13341" t="s">
        <v>32848</v>
      </c>
      <c r="I13341" t="s">
        <v>32878</v>
      </c>
      <c r="J13341" t="s">
        <v>41120</v>
      </c>
      <c r="K13341" t="s">
        <v>42731</v>
      </c>
      <c r="M13341" t="s">
        <v>45892</v>
      </c>
      <c r="N13341" t="s">
        <v>47424</v>
      </c>
      <c r="O13341" t="s">
        <v>47425</v>
      </c>
      <c r="P13341">
        <v>0</v>
      </c>
      <c r="Q13341">
        <v>1</v>
      </c>
      <c r="R13341" t="s">
        <v>47443</v>
      </c>
      <c r="S13341" t="s">
        <v>48115</v>
      </c>
      <c r="T13341" t="s">
        <v>49151</v>
      </c>
      <c r="U13341" t="s">
        <v>60598</v>
      </c>
      <c r="W13341" t="s">
        <v>45892</v>
      </c>
      <c r="X13341" t="s">
        <v>47444</v>
      </c>
    </row>
    <row r="13342" spans="1:24">
      <c r="A13342">
        <f>HYPERLINK("https://www.philgeps.gov.ph/GEPSNONPILOT/Tender/SplashBidNoticeAbstractUI.aspx?menuIndex=3&amp;refID=7132880&amp;Result=3","7132880")</f>
        <v>0</v>
      </c>
      <c r="B13342" t="s">
        <v>3504</v>
      </c>
      <c r="C13342" t="s">
        <v>16498</v>
      </c>
      <c r="D13342" t="s">
        <v>19074</v>
      </c>
      <c r="E13342" t="s">
        <v>29400</v>
      </c>
      <c r="F13342" t="s">
        <v>32831</v>
      </c>
      <c r="G13342" t="s">
        <v>32839</v>
      </c>
      <c r="H13342" t="s">
        <v>32848</v>
      </c>
      <c r="I13342" t="s">
        <v>7819</v>
      </c>
      <c r="J13342" t="s">
        <v>33083</v>
      </c>
      <c r="K13342" t="s">
        <v>42763</v>
      </c>
      <c r="M13342" t="s">
        <v>46853</v>
      </c>
      <c r="N13342" t="s">
        <v>47424</v>
      </c>
      <c r="O13342" t="s">
        <v>47425</v>
      </c>
      <c r="P13342">
        <v>0</v>
      </c>
      <c r="Q13342">
        <v>3</v>
      </c>
      <c r="R13342" t="s">
        <v>47443</v>
      </c>
      <c r="S13342" t="s">
        <v>48115</v>
      </c>
      <c r="T13342" t="s">
        <v>49123</v>
      </c>
      <c r="U13342" t="s">
        <v>60599</v>
      </c>
      <c r="V13342" t="s">
        <v>64112</v>
      </c>
      <c r="W13342" t="s">
        <v>46853</v>
      </c>
      <c r="X13342" t="s">
        <v>47444</v>
      </c>
    </row>
    <row r="13343" spans="1:24">
      <c r="A13343">
        <f>HYPERLINK("https://www.philgeps.gov.ph/GEPSNONPILOT/Tender/SplashBidNoticeAbstractUI.aspx?menuIndex=3&amp;refID=7133383&amp;Result=3","7133383")</f>
        <v>0</v>
      </c>
      <c r="B13343" t="s">
        <v>3704</v>
      </c>
      <c r="C13343" t="s">
        <v>16499</v>
      </c>
      <c r="D13343" t="s">
        <v>19049</v>
      </c>
      <c r="E13343" t="s">
        <v>19970</v>
      </c>
      <c r="F13343" t="s">
        <v>32831</v>
      </c>
      <c r="G13343" t="s">
        <v>32839</v>
      </c>
      <c r="H13343" t="s">
        <v>32849</v>
      </c>
      <c r="I13343" t="s">
        <v>4177</v>
      </c>
      <c r="J13343" t="s">
        <v>34729</v>
      </c>
      <c r="K13343" t="s">
        <v>42775</v>
      </c>
      <c r="M13343" t="s">
        <v>47092</v>
      </c>
      <c r="N13343" t="s">
        <v>47424</v>
      </c>
      <c r="O13343" t="s">
        <v>47425</v>
      </c>
      <c r="P13343">
        <v>0</v>
      </c>
      <c r="Q13343">
        <v>22</v>
      </c>
      <c r="R13343" t="s">
        <v>47443</v>
      </c>
      <c r="S13343" t="s">
        <v>48115</v>
      </c>
      <c r="T13343" t="s">
        <v>49112</v>
      </c>
      <c r="U13343" t="s">
        <v>60600</v>
      </c>
      <c r="W13343" t="s">
        <v>47092</v>
      </c>
      <c r="X13343" t="s">
        <v>47444</v>
      </c>
    </row>
    <row r="13344" spans="1:24">
      <c r="A13344">
        <f>HYPERLINK("https://www.philgeps.gov.ph/GEPSNONPILOT/Tender/SplashBidNoticeAbstractUI.aspx?menuIndex=3&amp;refID=7133346&amp;Result=3","7133346")</f>
        <v>0</v>
      </c>
      <c r="B13344" t="s">
        <v>2281</v>
      </c>
      <c r="C13344" t="s">
        <v>16500</v>
      </c>
      <c r="D13344" t="s">
        <v>19027</v>
      </c>
      <c r="E13344" t="s">
        <v>30512</v>
      </c>
      <c r="F13344" t="s">
        <v>32831</v>
      </c>
      <c r="G13344" t="s">
        <v>32839</v>
      </c>
      <c r="H13344" t="s">
        <v>32848</v>
      </c>
      <c r="I13344" t="s">
        <v>6526</v>
      </c>
      <c r="J13344" t="s">
        <v>40224</v>
      </c>
      <c r="K13344" t="s">
        <v>42732</v>
      </c>
      <c r="M13344" t="s">
        <v>47093</v>
      </c>
      <c r="N13344" t="s">
        <v>47424</v>
      </c>
      <c r="O13344" t="s">
        <v>47425</v>
      </c>
      <c r="P13344">
        <v>0</v>
      </c>
      <c r="Q13344">
        <v>1</v>
      </c>
      <c r="R13344" t="s">
        <v>47443</v>
      </c>
      <c r="S13344" t="s">
        <v>48115</v>
      </c>
      <c r="T13344" t="s">
        <v>49321</v>
      </c>
      <c r="U13344" t="s">
        <v>60601</v>
      </c>
      <c r="V13344" t="s">
        <v>64113</v>
      </c>
      <c r="W13344" t="s">
        <v>47093</v>
      </c>
      <c r="X13344" t="s">
        <v>47444</v>
      </c>
    </row>
    <row r="13345" spans="1:24">
      <c r="A13345">
        <f>HYPERLINK("https://www.philgeps.gov.ph/GEPSNONPILOT/Tender/SplashBidNoticeAbstractUI.aspx?menuIndex=3&amp;refID=7133393&amp;Result=3","7133393")</f>
        <v>0</v>
      </c>
      <c r="B13345" t="s">
        <v>3705</v>
      </c>
      <c r="C13345" t="s">
        <v>16501</v>
      </c>
      <c r="D13345" t="s">
        <v>19027</v>
      </c>
      <c r="E13345" t="s">
        <v>19203</v>
      </c>
      <c r="F13345" t="s">
        <v>32831</v>
      </c>
      <c r="G13345" t="s">
        <v>32839</v>
      </c>
      <c r="H13345" t="s">
        <v>32848</v>
      </c>
      <c r="I13345" t="s">
        <v>32860</v>
      </c>
      <c r="J13345" t="s">
        <v>41121</v>
      </c>
      <c r="K13345" t="s">
        <v>42759</v>
      </c>
      <c r="M13345" t="s">
        <v>47094</v>
      </c>
      <c r="N13345" t="s">
        <v>47424</v>
      </c>
      <c r="O13345" t="s">
        <v>47425</v>
      </c>
      <c r="P13345">
        <v>0</v>
      </c>
      <c r="Q13345">
        <v>2</v>
      </c>
      <c r="R13345" t="s">
        <v>47443</v>
      </c>
      <c r="S13345" t="s">
        <v>48115</v>
      </c>
      <c r="T13345" t="s">
        <v>49214</v>
      </c>
      <c r="U13345" t="s">
        <v>60602</v>
      </c>
      <c r="W13345" t="s">
        <v>47094</v>
      </c>
      <c r="X13345" t="s">
        <v>47444</v>
      </c>
    </row>
    <row r="13346" spans="1:24">
      <c r="A13346">
        <f>HYPERLINK("https://www.philgeps.gov.ph/GEPSNONPILOT/Tender/SplashBidNoticeAbstractUI.aspx?menuIndex=3&amp;refID=7133337&amp;Result=3","7133337")</f>
        <v>0</v>
      </c>
      <c r="B13346" t="s">
        <v>2281</v>
      </c>
      <c r="C13346" t="s">
        <v>16502</v>
      </c>
      <c r="D13346" t="s">
        <v>19027</v>
      </c>
      <c r="E13346" t="s">
        <v>30513</v>
      </c>
      <c r="F13346" t="s">
        <v>32831</v>
      </c>
      <c r="G13346" t="s">
        <v>32839</v>
      </c>
      <c r="H13346" t="s">
        <v>32848</v>
      </c>
      <c r="I13346" t="s">
        <v>32857</v>
      </c>
      <c r="J13346" t="s">
        <v>41122</v>
      </c>
      <c r="K13346" t="s">
        <v>42732</v>
      </c>
      <c r="M13346" t="s">
        <v>47093</v>
      </c>
      <c r="N13346" t="s">
        <v>47424</v>
      </c>
      <c r="O13346" t="s">
        <v>47425</v>
      </c>
      <c r="P13346">
        <v>0</v>
      </c>
      <c r="Q13346">
        <v>4</v>
      </c>
      <c r="R13346" t="s">
        <v>47443</v>
      </c>
      <c r="S13346" t="s">
        <v>48115</v>
      </c>
      <c r="T13346" t="s">
        <v>49321</v>
      </c>
      <c r="U13346" t="s">
        <v>60603</v>
      </c>
      <c r="V13346" t="s">
        <v>64113</v>
      </c>
      <c r="W13346" t="s">
        <v>47093</v>
      </c>
      <c r="X13346" t="s">
        <v>47444</v>
      </c>
    </row>
    <row r="13347" spans="1:24">
      <c r="A13347">
        <f>HYPERLINK("https://www.philgeps.gov.ph/GEPSNONPILOT/Tender/SplashBidNoticeAbstractUI.aspx?menuIndex=3&amp;refID=7133332&amp;Result=3","7133332")</f>
        <v>0</v>
      </c>
      <c r="B13347" t="s">
        <v>1843</v>
      </c>
      <c r="C13347" t="s">
        <v>16503</v>
      </c>
      <c r="D13347" t="s">
        <v>19037</v>
      </c>
      <c r="E13347" t="s">
        <v>23910</v>
      </c>
      <c r="F13347" t="s">
        <v>32831</v>
      </c>
      <c r="G13347" t="s">
        <v>32839</v>
      </c>
      <c r="H13347" t="s">
        <v>32848</v>
      </c>
      <c r="I13347" t="s">
        <v>7416</v>
      </c>
      <c r="J13347" t="s">
        <v>41123</v>
      </c>
      <c r="K13347" t="s">
        <v>42763</v>
      </c>
      <c r="M13347" t="s">
        <v>44977</v>
      </c>
      <c r="N13347" t="s">
        <v>47424</v>
      </c>
      <c r="O13347" t="s">
        <v>47425</v>
      </c>
      <c r="P13347">
        <v>0</v>
      </c>
      <c r="Q13347">
        <v>1</v>
      </c>
      <c r="R13347" t="s">
        <v>47443</v>
      </c>
      <c r="S13347" t="s">
        <v>48115</v>
      </c>
      <c r="T13347" t="s">
        <v>49056</v>
      </c>
      <c r="U13347" t="s">
        <v>60604</v>
      </c>
      <c r="V13347" t="s">
        <v>64114</v>
      </c>
      <c r="W13347" t="s">
        <v>44977</v>
      </c>
      <c r="X13347" t="s">
        <v>47444</v>
      </c>
    </row>
    <row r="13348" spans="1:24">
      <c r="A13348">
        <f>HYPERLINK("https://www.philgeps.gov.ph/GEPSNONPILOT/Tender/SplashBidNoticeAbstractUI.aspx?menuIndex=3&amp;refID=7133286&amp;Result=3","7133286")</f>
        <v>0</v>
      </c>
      <c r="B13348" t="s">
        <v>2281</v>
      </c>
      <c r="C13348" t="s">
        <v>16504</v>
      </c>
      <c r="D13348" t="s">
        <v>19027</v>
      </c>
      <c r="E13348" t="s">
        <v>30514</v>
      </c>
      <c r="F13348" t="s">
        <v>32831</v>
      </c>
      <c r="G13348" t="s">
        <v>32839</v>
      </c>
      <c r="H13348" t="s">
        <v>32848</v>
      </c>
      <c r="I13348" t="s">
        <v>7416</v>
      </c>
      <c r="J13348" t="s">
        <v>41124</v>
      </c>
      <c r="K13348" t="s">
        <v>42732</v>
      </c>
      <c r="M13348" t="s">
        <v>47093</v>
      </c>
      <c r="N13348" t="s">
        <v>47424</v>
      </c>
      <c r="O13348" t="s">
        <v>47425</v>
      </c>
      <c r="P13348">
        <v>0</v>
      </c>
      <c r="Q13348">
        <v>0</v>
      </c>
      <c r="R13348" t="s">
        <v>47443</v>
      </c>
      <c r="S13348" t="s">
        <v>48115</v>
      </c>
      <c r="T13348" t="s">
        <v>49321</v>
      </c>
      <c r="U13348" t="s">
        <v>60605</v>
      </c>
      <c r="V13348" t="s">
        <v>64113</v>
      </c>
      <c r="W13348" t="s">
        <v>47093</v>
      </c>
      <c r="X13348" t="s">
        <v>47444</v>
      </c>
    </row>
    <row r="13349" spans="1:24">
      <c r="A13349">
        <f>HYPERLINK("https://www.philgeps.gov.ph/GEPSNONPILOT/Tender/SplashBidNoticeAbstractUI.aspx?menuIndex=3&amp;refID=7133327&amp;Result=3","7133327")</f>
        <v>0</v>
      </c>
      <c r="B13349" t="s">
        <v>1630</v>
      </c>
      <c r="C13349" t="s">
        <v>16505</v>
      </c>
      <c r="D13349" t="s">
        <v>19021</v>
      </c>
      <c r="E13349" t="s">
        <v>30515</v>
      </c>
      <c r="F13349" t="s">
        <v>32831</v>
      </c>
      <c r="G13349" t="s">
        <v>32839</v>
      </c>
      <c r="H13349" t="s">
        <v>32848</v>
      </c>
      <c r="I13349" t="s">
        <v>32860</v>
      </c>
      <c r="J13349" t="s">
        <v>41125</v>
      </c>
      <c r="K13349" t="s">
        <v>42745</v>
      </c>
      <c r="M13349" t="s">
        <v>44746</v>
      </c>
      <c r="N13349" t="s">
        <v>47424</v>
      </c>
      <c r="O13349" t="s">
        <v>47425</v>
      </c>
      <c r="P13349">
        <v>0</v>
      </c>
      <c r="Q13349">
        <v>3</v>
      </c>
      <c r="R13349" t="s">
        <v>47443</v>
      </c>
      <c r="S13349" t="s">
        <v>48115</v>
      </c>
      <c r="T13349" t="s">
        <v>49114</v>
      </c>
      <c r="U13349" t="s">
        <v>54189</v>
      </c>
      <c r="W13349" t="s">
        <v>44746</v>
      </c>
      <c r="X13349" t="s">
        <v>47444</v>
      </c>
    </row>
    <row r="13350" spans="1:24">
      <c r="A13350">
        <f>HYPERLINK("https://www.philgeps.gov.ph/GEPSNONPILOT/Tender/SplashBidNoticeAbstractUI.aspx?menuIndex=3&amp;refID=7133331&amp;Result=3","7133331")</f>
        <v>0</v>
      </c>
      <c r="B13350" t="s">
        <v>3006</v>
      </c>
      <c r="C13350" t="s">
        <v>16506</v>
      </c>
      <c r="D13350" t="s">
        <v>19056</v>
      </c>
      <c r="E13350" t="s">
        <v>30516</v>
      </c>
      <c r="F13350" t="s">
        <v>32831</v>
      </c>
      <c r="G13350" t="s">
        <v>32839</v>
      </c>
      <c r="H13350" t="s">
        <v>32848</v>
      </c>
      <c r="I13350" t="s">
        <v>7751</v>
      </c>
      <c r="J13350" t="s">
        <v>33794</v>
      </c>
      <c r="K13350" t="s">
        <v>42732</v>
      </c>
      <c r="M13350" t="s">
        <v>46274</v>
      </c>
      <c r="N13350" t="s">
        <v>47424</v>
      </c>
      <c r="O13350" t="s">
        <v>47425</v>
      </c>
      <c r="P13350">
        <v>0</v>
      </c>
      <c r="Q13350">
        <v>7</v>
      </c>
      <c r="R13350" t="s">
        <v>47443</v>
      </c>
      <c r="S13350" t="s">
        <v>48115</v>
      </c>
      <c r="T13350" t="s">
        <v>49056</v>
      </c>
      <c r="U13350" t="s">
        <v>60606</v>
      </c>
      <c r="W13350" t="s">
        <v>46274</v>
      </c>
      <c r="X13350" t="s">
        <v>47444</v>
      </c>
    </row>
    <row r="13351" spans="1:24">
      <c r="A13351">
        <f>HYPERLINK("https://www.philgeps.gov.ph/GEPSNONPILOT/Tender/SplashBidNoticeAbstractUI.aspx?menuIndex=3&amp;refID=7133769&amp;Result=3","7133769")</f>
        <v>0</v>
      </c>
      <c r="B13351" t="s">
        <v>2405</v>
      </c>
      <c r="C13351" t="s">
        <v>16507</v>
      </c>
      <c r="D13351" t="s">
        <v>19039</v>
      </c>
      <c r="E13351" t="s">
        <v>30517</v>
      </c>
      <c r="F13351" t="s">
        <v>32831</v>
      </c>
      <c r="G13351" t="s">
        <v>32839</v>
      </c>
      <c r="H13351" t="s">
        <v>32849</v>
      </c>
      <c r="I13351" t="s">
        <v>4177</v>
      </c>
      <c r="J13351" t="s">
        <v>41126</v>
      </c>
      <c r="K13351" t="s">
        <v>42764</v>
      </c>
      <c r="M13351" t="s">
        <v>45599</v>
      </c>
      <c r="N13351" t="s">
        <v>47424</v>
      </c>
      <c r="O13351" t="s">
        <v>47425</v>
      </c>
      <c r="P13351">
        <v>0</v>
      </c>
      <c r="Q13351">
        <v>2</v>
      </c>
      <c r="R13351" t="s">
        <v>47443</v>
      </c>
      <c r="S13351" t="s">
        <v>48115</v>
      </c>
      <c r="T13351" t="s">
        <v>49123</v>
      </c>
      <c r="U13351" t="s">
        <v>60607</v>
      </c>
      <c r="W13351" t="s">
        <v>45599</v>
      </c>
      <c r="X13351" t="s">
        <v>47444</v>
      </c>
    </row>
    <row r="13352" spans="1:24">
      <c r="A13352">
        <f>HYPERLINK("https://www.philgeps.gov.ph/GEPSNONPILOT/Tender/SplashBidNoticeAbstractUI.aspx?menuIndex=3&amp;refID=7132772&amp;Result=3","7132772")</f>
        <v>0</v>
      </c>
      <c r="B13352" t="s">
        <v>2669</v>
      </c>
      <c r="C13352" t="s">
        <v>16508</v>
      </c>
      <c r="D13352" t="s">
        <v>19043</v>
      </c>
      <c r="E13352" t="s">
        <v>30518</v>
      </c>
      <c r="F13352" t="s">
        <v>32831</v>
      </c>
      <c r="G13352" t="s">
        <v>32839</v>
      </c>
      <c r="H13352" t="s">
        <v>32848</v>
      </c>
      <c r="I13352" t="s">
        <v>7416</v>
      </c>
      <c r="J13352" t="s">
        <v>41127</v>
      </c>
      <c r="K13352" t="s">
        <v>42731</v>
      </c>
      <c r="M13352" t="s">
        <v>45892</v>
      </c>
      <c r="N13352" t="s">
        <v>47424</v>
      </c>
      <c r="O13352" t="s">
        <v>47425</v>
      </c>
      <c r="P13352">
        <v>0</v>
      </c>
      <c r="Q13352">
        <v>1</v>
      </c>
      <c r="R13352" t="s">
        <v>47443</v>
      </c>
      <c r="S13352" t="s">
        <v>48115</v>
      </c>
      <c r="T13352" t="s">
        <v>49151</v>
      </c>
      <c r="U13352" t="s">
        <v>60598</v>
      </c>
      <c r="W13352" t="s">
        <v>45892</v>
      </c>
      <c r="X13352" t="s">
        <v>47444</v>
      </c>
    </row>
    <row r="13353" spans="1:24">
      <c r="A13353">
        <f>HYPERLINK("https://www.philgeps.gov.ph/GEPSNONPILOT/Tender/SplashBidNoticeAbstractUI.aspx?menuIndex=3&amp;refID=7133730&amp;Result=3","7133730")</f>
        <v>0</v>
      </c>
      <c r="B13353" t="s">
        <v>228</v>
      </c>
      <c r="C13353" t="s">
        <v>16509</v>
      </c>
      <c r="D13353" t="s">
        <v>19033</v>
      </c>
      <c r="E13353" t="s">
        <v>30519</v>
      </c>
      <c r="F13353" t="s">
        <v>32831</v>
      </c>
      <c r="G13353" t="s">
        <v>32839</v>
      </c>
      <c r="H13353" t="s">
        <v>32848</v>
      </c>
      <c r="I13353" t="s">
        <v>32942</v>
      </c>
      <c r="J13353" t="s">
        <v>34921</v>
      </c>
      <c r="K13353" t="s">
        <v>42786</v>
      </c>
      <c r="M13353" t="s">
        <v>45735</v>
      </c>
      <c r="N13353" t="s">
        <v>47424</v>
      </c>
      <c r="O13353" t="s">
        <v>47425</v>
      </c>
      <c r="P13353">
        <v>0</v>
      </c>
      <c r="Q13353">
        <v>5</v>
      </c>
      <c r="R13353" t="s">
        <v>47443</v>
      </c>
      <c r="S13353" t="s">
        <v>48115</v>
      </c>
      <c r="T13353" t="s">
        <v>49278</v>
      </c>
      <c r="U13353" t="s">
        <v>60608</v>
      </c>
      <c r="V13353" t="s">
        <v>64115</v>
      </c>
      <c r="W13353" t="s">
        <v>45735</v>
      </c>
      <c r="X13353" t="s">
        <v>47444</v>
      </c>
    </row>
    <row r="13354" spans="1:24">
      <c r="A13354">
        <f>HYPERLINK("https://www.philgeps.gov.ph/GEPSNONPILOT/Tender/SplashBidNoticeAbstractUI.aspx?menuIndex=3&amp;refID=7133714&amp;Result=3","7133714")</f>
        <v>0</v>
      </c>
      <c r="B13354" t="s">
        <v>228</v>
      </c>
      <c r="C13354" t="s">
        <v>16510</v>
      </c>
      <c r="D13354" t="s">
        <v>19033</v>
      </c>
      <c r="E13354" t="s">
        <v>30520</v>
      </c>
      <c r="F13354" t="s">
        <v>32831</v>
      </c>
      <c r="G13354" t="s">
        <v>32839</v>
      </c>
      <c r="H13354" t="s">
        <v>32848</v>
      </c>
      <c r="I13354" t="s">
        <v>32942</v>
      </c>
      <c r="J13354" t="s">
        <v>41128</v>
      </c>
      <c r="K13354" t="s">
        <v>42786</v>
      </c>
      <c r="M13354" t="s">
        <v>45735</v>
      </c>
      <c r="N13354" t="s">
        <v>47424</v>
      </c>
      <c r="O13354" t="s">
        <v>47425</v>
      </c>
      <c r="P13354">
        <v>0</v>
      </c>
      <c r="Q13354">
        <v>5</v>
      </c>
      <c r="R13354" t="s">
        <v>47443</v>
      </c>
      <c r="S13354" t="s">
        <v>48115</v>
      </c>
      <c r="T13354" t="s">
        <v>49278</v>
      </c>
      <c r="U13354" t="s">
        <v>60609</v>
      </c>
      <c r="V13354" t="s">
        <v>64116</v>
      </c>
      <c r="W13354" t="s">
        <v>45735</v>
      </c>
      <c r="X13354" t="s">
        <v>47444</v>
      </c>
    </row>
    <row r="13355" spans="1:24">
      <c r="A13355">
        <f>HYPERLINK("https://www.philgeps.gov.ph/GEPSNONPILOT/Tender/SplashBidNoticeAbstractUI.aspx?menuIndex=3&amp;refID=7133639&amp;Result=3","7133639")</f>
        <v>0</v>
      </c>
      <c r="B13355" t="s">
        <v>277</v>
      </c>
      <c r="C13355" t="s">
        <v>16511</v>
      </c>
      <c r="D13355" t="s">
        <v>19068</v>
      </c>
      <c r="E13355" t="s">
        <v>30521</v>
      </c>
      <c r="F13355" t="s">
        <v>32831</v>
      </c>
      <c r="G13355" t="s">
        <v>32839</v>
      </c>
      <c r="H13355" t="s">
        <v>32849</v>
      </c>
      <c r="I13355" t="s">
        <v>4177</v>
      </c>
      <c r="J13355" t="s">
        <v>41129</v>
      </c>
      <c r="K13355" t="s">
        <v>42781</v>
      </c>
      <c r="M13355" t="s">
        <v>43276</v>
      </c>
      <c r="N13355" t="s">
        <v>47424</v>
      </c>
      <c r="O13355" t="s">
        <v>47425</v>
      </c>
      <c r="P13355">
        <v>0</v>
      </c>
      <c r="Q13355">
        <v>1</v>
      </c>
      <c r="R13355" t="s">
        <v>47443</v>
      </c>
      <c r="S13355" t="s">
        <v>48115</v>
      </c>
      <c r="T13355" t="s">
        <v>49214</v>
      </c>
      <c r="U13355" t="s">
        <v>60610</v>
      </c>
      <c r="W13355" t="s">
        <v>43276</v>
      </c>
      <c r="X13355" t="s">
        <v>47444</v>
      </c>
    </row>
    <row r="13356" spans="1:24">
      <c r="A13356">
        <f>HYPERLINK("https://www.philgeps.gov.ph/GEPSNONPILOT/Tender/SplashBidNoticeAbstractUI.aspx?menuIndex=3&amp;refID=7133295&amp;Result=3","7133295")</f>
        <v>0</v>
      </c>
      <c r="B13356" t="s">
        <v>1843</v>
      </c>
      <c r="C13356" t="s">
        <v>16512</v>
      </c>
      <c r="D13356" t="s">
        <v>19037</v>
      </c>
      <c r="E13356" t="s">
        <v>23676</v>
      </c>
      <c r="F13356" t="s">
        <v>32831</v>
      </c>
      <c r="G13356" t="s">
        <v>32839</v>
      </c>
      <c r="H13356" t="s">
        <v>32848</v>
      </c>
      <c r="I13356" t="s">
        <v>7416</v>
      </c>
      <c r="J13356" t="s">
        <v>41130</v>
      </c>
      <c r="K13356" t="s">
        <v>42756</v>
      </c>
      <c r="M13356" t="s">
        <v>44977</v>
      </c>
      <c r="N13356" t="s">
        <v>47424</v>
      </c>
      <c r="O13356" t="s">
        <v>47425</v>
      </c>
      <c r="P13356">
        <v>0</v>
      </c>
      <c r="Q13356">
        <v>1</v>
      </c>
      <c r="R13356" t="s">
        <v>47443</v>
      </c>
      <c r="S13356" t="s">
        <v>48115</v>
      </c>
      <c r="T13356" t="s">
        <v>49056</v>
      </c>
      <c r="U13356" t="s">
        <v>60604</v>
      </c>
      <c r="V13356" t="s">
        <v>64117</v>
      </c>
      <c r="W13356" t="s">
        <v>44977</v>
      </c>
      <c r="X13356" t="s">
        <v>47444</v>
      </c>
    </row>
    <row r="13357" spans="1:24">
      <c r="A13357">
        <f>HYPERLINK("https://www.philgeps.gov.ph/GEPSNONPILOT/Tender/SplashBidNoticeAbstractUI.aspx?menuIndex=3&amp;refID=7133601&amp;Result=3","7133601")</f>
        <v>0</v>
      </c>
      <c r="B13357" t="s">
        <v>1490</v>
      </c>
      <c r="C13357" t="s">
        <v>16513</v>
      </c>
      <c r="D13357" t="s">
        <v>19042</v>
      </c>
      <c r="E13357" t="s">
        <v>30522</v>
      </c>
      <c r="F13357" t="s">
        <v>32831</v>
      </c>
      <c r="G13357" t="s">
        <v>32839</v>
      </c>
      <c r="H13357" t="s">
        <v>32849</v>
      </c>
      <c r="I13357" t="s">
        <v>4177</v>
      </c>
      <c r="J13357" t="s">
        <v>41131</v>
      </c>
      <c r="K13357" t="s">
        <v>42732</v>
      </c>
      <c r="M13357" t="s">
        <v>44586</v>
      </c>
      <c r="N13357" t="s">
        <v>47424</v>
      </c>
      <c r="O13357" t="s">
        <v>47425</v>
      </c>
      <c r="P13357">
        <v>0</v>
      </c>
      <c r="Q13357">
        <v>2</v>
      </c>
      <c r="R13357" t="s">
        <v>47443</v>
      </c>
      <c r="S13357" t="s">
        <v>48115</v>
      </c>
      <c r="T13357" t="s">
        <v>49373</v>
      </c>
      <c r="U13357" t="s">
        <v>60168</v>
      </c>
      <c r="W13357" t="s">
        <v>44586</v>
      </c>
      <c r="X13357" t="s">
        <v>47444</v>
      </c>
    </row>
    <row r="13358" spans="1:24">
      <c r="A13358">
        <f>HYPERLINK("https://www.philgeps.gov.ph/GEPSNONPILOT/Tender/SplashBidNoticeAbstractUI.aspx?menuIndex=3&amp;refID=7133528&amp;Result=3","7133528")</f>
        <v>0</v>
      </c>
      <c r="B13358" t="s">
        <v>3706</v>
      </c>
      <c r="C13358" t="s">
        <v>16514</v>
      </c>
      <c r="D13358" t="s">
        <v>19083</v>
      </c>
      <c r="E13358" t="s">
        <v>21521</v>
      </c>
      <c r="F13358" t="s">
        <v>32831</v>
      </c>
      <c r="G13358" t="s">
        <v>32839</v>
      </c>
      <c r="H13358" t="s">
        <v>32850</v>
      </c>
      <c r="I13358" t="s">
        <v>10888</v>
      </c>
      <c r="J13358" t="s">
        <v>32980</v>
      </c>
      <c r="K13358" t="s">
        <v>42730</v>
      </c>
      <c r="M13358" t="s">
        <v>47095</v>
      </c>
      <c r="N13358" t="s">
        <v>47424</v>
      </c>
      <c r="O13358" t="s">
        <v>47425</v>
      </c>
      <c r="P13358">
        <v>0</v>
      </c>
      <c r="Q13358">
        <v>2</v>
      </c>
      <c r="R13358" t="s">
        <v>47443</v>
      </c>
      <c r="S13358" t="s">
        <v>48115</v>
      </c>
      <c r="T13358" t="s">
        <v>49127</v>
      </c>
      <c r="U13358" t="s">
        <v>60611</v>
      </c>
      <c r="W13358" t="s">
        <v>47095</v>
      </c>
      <c r="X13358" t="s">
        <v>47444</v>
      </c>
    </row>
    <row r="13359" spans="1:24">
      <c r="A13359">
        <f>HYPERLINK("https://www.philgeps.gov.ph/GEPSNONPILOT/Tender/SplashBidNoticeAbstractUI.aspx?menuIndex=3&amp;refID=7133522&amp;Result=3","7133522")</f>
        <v>0</v>
      </c>
      <c r="B13359" t="s">
        <v>660</v>
      </c>
      <c r="C13359" t="s">
        <v>16515</v>
      </c>
      <c r="E13359" t="s">
        <v>30523</v>
      </c>
      <c r="F13359" t="s">
        <v>32831</v>
      </c>
      <c r="G13359" t="s">
        <v>32839</v>
      </c>
      <c r="H13359" t="s">
        <v>32848</v>
      </c>
      <c r="I13359" t="s">
        <v>7819</v>
      </c>
      <c r="J13359" t="s">
        <v>35892</v>
      </c>
      <c r="K13359" t="s">
        <v>42732</v>
      </c>
      <c r="M13359" t="s">
        <v>43678</v>
      </c>
      <c r="N13359" t="s">
        <v>47424</v>
      </c>
      <c r="O13359" t="s">
        <v>47425</v>
      </c>
      <c r="Q13359">
        <v>11</v>
      </c>
      <c r="R13359" t="s">
        <v>47443</v>
      </c>
      <c r="S13359" t="s">
        <v>48127</v>
      </c>
      <c r="T13359" t="s">
        <v>49073</v>
      </c>
      <c r="U13359" t="s">
        <v>60612</v>
      </c>
      <c r="W13359" t="s">
        <v>43678</v>
      </c>
      <c r="X13359" t="s">
        <v>47444</v>
      </c>
    </row>
    <row r="13360" spans="1:24">
      <c r="A13360">
        <f>HYPERLINK("https://www.philgeps.gov.ph/GEPSNONPILOT/Tender/SplashBidNoticeAbstractUI.aspx?menuIndex=3&amp;refID=7133529&amp;Result=3","7133529")</f>
        <v>0</v>
      </c>
      <c r="B13360" t="s">
        <v>1858</v>
      </c>
      <c r="C13360" t="s">
        <v>16516</v>
      </c>
      <c r="D13360" t="s">
        <v>19056</v>
      </c>
      <c r="E13360" t="s">
        <v>30524</v>
      </c>
      <c r="F13360" t="s">
        <v>32831</v>
      </c>
      <c r="G13360" t="s">
        <v>32839</v>
      </c>
      <c r="H13360" t="s">
        <v>32848</v>
      </c>
      <c r="I13360" t="s">
        <v>32857</v>
      </c>
      <c r="J13360" t="s">
        <v>41132</v>
      </c>
      <c r="K13360" t="s">
        <v>42731</v>
      </c>
      <c r="M13360" t="s">
        <v>44997</v>
      </c>
      <c r="N13360" t="s">
        <v>47424</v>
      </c>
      <c r="O13360" t="s">
        <v>47425</v>
      </c>
      <c r="P13360">
        <v>0</v>
      </c>
      <c r="Q13360">
        <v>1</v>
      </c>
      <c r="R13360" t="s">
        <v>47443</v>
      </c>
      <c r="S13360" t="s">
        <v>48115</v>
      </c>
      <c r="T13360" t="s">
        <v>49214</v>
      </c>
      <c r="U13360" t="s">
        <v>60613</v>
      </c>
      <c r="W13360" t="s">
        <v>44997</v>
      </c>
      <c r="X13360" t="s">
        <v>47444</v>
      </c>
    </row>
    <row r="13361" spans="1:24">
      <c r="A13361">
        <f>HYPERLINK("https://www.philgeps.gov.ph/GEPSNONPILOT/Tender/SplashBidNoticeAbstractUI.aspx?menuIndex=3&amp;refID=7133495&amp;Result=3","7133495")</f>
        <v>0</v>
      </c>
      <c r="B13361" t="s">
        <v>1858</v>
      </c>
      <c r="C13361" t="s">
        <v>16517</v>
      </c>
      <c r="D13361" t="s">
        <v>19056</v>
      </c>
      <c r="E13361" t="s">
        <v>30525</v>
      </c>
      <c r="F13361" t="s">
        <v>32831</v>
      </c>
      <c r="G13361" t="s">
        <v>32839</v>
      </c>
      <c r="H13361" t="s">
        <v>32848</v>
      </c>
      <c r="I13361" t="s">
        <v>4177</v>
      </c>
      <c r="J13361" t="s">
        <v>41133</v>
      </c>
      <c r="K13361" t="s">
        <v>42791</v>
      </c>
      <c r="M13361" t="s">
        <v>44997</v>
      </c>
      <c r="N13361" t="s">
        <v>47424</v>
      </c>
      <c r="O13361" t="s">
        <v>47425</v>
      </c>
      <c r="P13361">
        <v>0</v>
      </c>
      <c r="Q13361">
        <v>0</v>
      </c>
      <c r="R13361" t="s">
        <v>47443</v>
      </c>
      <c r="S13361" t="s">
        <v>48115</v>
      </c>
      <c r="T13361" t="s">
        <v>49214</v>
      </c>
      <c r="U13361" t="s">
        <v>60614</v>
      </c>
      <c r="W13361" t="s">
        <v>44997</v>
      </c>
      <c r="X13361" t="s">
        <v>47444</v>
      </c>
    </row>
    <row r="13362" spans="1:24">
      <c r="A13362">
        <f>HYPERLINK("https://www.philgeps.gov.ph/GEPSNONPILOT/Tender/SplashBidNoticeAbstractUI.aspx?menuIndex=3&amp;refID=7133490&amp;Result=3","7133490")</f>
        <v>0</v>
      </c>
      <c r="B13362" t="s">
        <v>3706</v>
      </c>
      <c r="C13362" t="s">
        <v>16518</v>
      </c>
      <c r="D13362" t="s">
        <v>19083</v>
      </c>
      <c r="E13362" t="s">
        <v>30526</v>
      </c>
      <c r="F13362" t="s">
        <v>32831</v>
      </c>
      <c r="G13362" t="s">
        <v>32839</v>
      </c>
      <c r="H13362" t="s">
        <v>32850</v>
      </c>
      <c r="I13362" t="s">
        <v>32853</v>
      </c>
      <c r="J13362" t="s">
        <v>33041</v>
      </c>
      <c r="K13362" t="s">
        <v>42730</v>
      </c>
      <c r="M13362" t="s">
        <v>47095</v>
      </c>
      <c r="N13362" t="s">
        <v>47424</v>
      </c>
      <c r="O13362" t="s">
        <v>47425</v>
      </c>
      <c r="P13362">
        <v>0</v>
      </c>
      <c r="Q13362">
        <v>1</v>
      </c>
      <c r="R13362" t="s">
        <v>47443</v>
      </c>
      <c r="S13362" t="s">
        <v>48115</v>
      </c>
      <c r="T13362" t="s">
        <v>49127</v>
      </c>
      <c r="U13362" t="s">
        <v>60615</v>
      </c>
      <c r="W13362" t="s">
        <v>47095</v>
      </c>
      <c r="X13362" t="s">
        <v>47444</v>
      </c>
    </row>
    <row r="13363" spans="1:24">
      <c r="A13363">
        <f>HYPERLINK("https://www.philgeps.gov.ph/GEPSNONPILOT/Tender/SplashBidNoticeAbstractUI.aspx?menuIndex=3&amp;refID=7133503&amp;Result=3","7133503")</f>
        <v>0</v>
      </c>
      <c r="B13363" t="s">
        <v>3706</v>
      </c>
      <c r="C13363" t="s">
        <v>16519</v>
      </c>
      <c r="D13363" t="s">
        <v>19083</v>
      </c>
      <c r="E13363" t="s">
        <v>30527</v>
      </c>
      <c r="F13363" t="s">
        <v>32831</v>
      </c>
      <c r="G13363" t="s">
        <v>32839</v>
      </c>
      <c r="H13363" t="s">
        <v>32850</v>
      </c>
      <c r="I13363" t="s">
        <v>32893</v>
      </c>
      <c r="J13363" t="s">
        <v>41134</v>
      </c>
      <c r="K13363" t="s">
        <v>42730</v>
      </c>
      <c r="M13363" t="s">
        <v>47095</v>
      </c>
      <c r="N13363" t="s">
        <v>47424</v>
      </c>
      <c r="O13363" t="s">
        <v>47425</v>
      </c>
      <c r="P13363">
        <v>0</v>
      </c>
      <c r="Q13363">
        <v>0</v>
      </c>
      <c r="R13363" t="s">
        <v>47443</v>
      </c>
      <c r="S13363" t="s">
        <v>48115</v>
      </c>
      <c r="T13363" t="s">
        <v>49127</v>
      </c>
      <c r="U13363" t="s">
        <v>60616</v>
      </c>
      <c r="W13363" t="s">
        <v>47095</v>
      </c>
      <c r="X13363" t="s">
        <v>47444</v>
      </c>
    </row>
    <row r="13364" spans="1:24">
      <c r="A13364">
        <f>HYPERLINK("https://www.philgeps.gov.ph/GEPSNONPILOT/Tender/SplashBidNoticeAbstractUI.aspx?menuIndex=3&amp;refID=7133664&amp;Result=3","7133664")</f>
        <v>0</v>
      </c>
      <c r="B13364" t="s">
        <v>228</v>
      </c>
      <c r="C13364" t="s">
        <v>16520</v>
      </c>
      <c r="D13364" t="s">
        <v>19033</v>
      </c>
      <c r="E13364" t="s">
        <v>30528</v>
      </c>
      <c r="F13364" t="s">
        <v>32831</v>
      </c>
      <c r="G13364" t="s">
        <v>32839</v>
      </c>
      <c r="H13364" t="s">
        <v>32848</v>
      </c>
      <c r="I13364" t="s">
        <v>32942</v>
      </c>
      <c r="J13364" t="s">
        <v>33083</v>
      </c>
      <c r="K13364" t="s">
        <v>42786</v>
      </c>
      <c r="M13364" t="s">
        <v>45735</v>
      </c>
      <c r="N13364" t="s">
        <v>47424</v>
      </c>
      <c r="O13364" t="s">
        <v>47425</v>
      </c>
      <c r="P13364">
        <v>0</v>
      </c>
      <c r="Q13364">
        <v>6</v>
      </c>
      <c r="R13364" t="s">
        <v>47443</v>
      </c>
      <c r="S13364" t="s">
        <v>48115</v>
      </c>
      <c r="T13364" t="s">
        <v>49278</v>
      </c>
      <c r="U13364" t="s">
        <v>60617</v>
      </c>
      <c r="V13364" t="s">
        <v>64118</v>
      </c>
      <c r="W13364" t="s">
        <v>45735</v>
      </c>
      <c r="X13364" t="s">
        <v>47444</v>
      </c>
    </row>
    <row r="13365" spans="1:24">
      <c r="A13365">
        <f>HYPERLINK("https://www.philgeps.gov.ph/GEPSNONPILOT/Tender/SplashBidNoticeAbstractUI.aspx?menuIndex=3&amp;refID=7133465&amp;Result=3","7133465")</f>
        <v>0</v>
      </c>
      <c r="B13365" t="s">
        <v>3706</v>
      </c>
      <c r="C13365" t="s">
        <v>16521</v>
      </c>
      <c r="D13365" t="s">
        <v>19083</v>
      </c>
      <c r="E13365" t="s">
        <v>30529</v>
      </c>
      <c r="F13365" t="s">
        <v>32831</v>
      </c>
      <c r="G13365" t="s">
        <v>32839</v>
      </c>
      <c r="H13365" t="s">
        <v>32849</v>
      </c>
      <c r="I13365" t="s">
        <v>7416</v>
      </c>
      <c r="J13365" t="s">
        <v>34637</v>
      </c>
      <c r="K13365" t="s">
        <v>42730</v>
      </c>
      <c r="M13365" t="s">
        <v>47095</v>
      </c>
      <c r="N13365" t="s">
        <v>47424</v>
      </c>
      <c r="O13365" t="s">
        <v>47425</v>
      </c>
      <c r="P13365">
        <v>0</v>
      </c>
      <c r="Q13365">
        <v>1</v>
      </c>
      <c r="R13365" t="s">
        <v>47443</v>
      </c>
      <c r="S13365" t="s">
        <v>48115</v>
      </c>
      <c r="T13365" t="s">
        <v>49115</v>
      </c>
      <c r="U13365" t="s">
        <v>60618</v>
      </c>
      <c r="W13365" t="s">
        <v>47095</v>
      </c>
      <c r="X13365" t="s">
        <v>47444</v>
      </c>
    </row>
    <row r="13366" spans="1:24">
      <c r="A13366">
        <f>HYPERLINK("https://www.philgeps.gov.ph/GEPSNONPILOT/Tender/SplashBidNoticeAbstractUI.aspx?menuIndex=3&amp;refID=7133439&amp;Result=3","7133439")</f>
        <v>0</v>
      </c>
      <c r="B13366" t="s">
        <v>3706</v>
      </c>
      <c r="C13366" t="s">
        <v>16522</v>
      </c>
      <c r="D13366" t="s">
        <v>19083</v>
      </c>
      <c r="E13366" t="s">
        <v>22871</v>
      </c>
      <c r="F13366" t="s">
        <v>32831</v>
      </c>
      <c r="G13366" t="s">
        <v>32839</v>
      </c>
      <c r="H13366" t="s">
        <v>32850</v>
      </c>
      <c r="I13366" t="s">
        <v>10805</v>
      </c>
      <c r="J13366" t="s">
        <v>41135</v>
      </c>
      <c r="K13366" t="s">
        <v>42730</v>
      </c>
      <c r="M13366" t="s">
        <v>47095</v>
      </c>
      <c r="N13366" t="s">
        <v>47424</v>
      </c>
      <c r="O13366" t="s">
        <v>47425</v>
      </c>
      <c r="P13366">
        <v>0</v>
      </c>
      <c r="Q13366">
        <v>8</v>
      </c>
      <c r="R13366" t="s">
        <v>47443</v>
      </c>
      <c r="S13366" t="s">
        <v>48115</v>
      </c>
      <c r="T13366" t="s">
        <v>49127</v>
      </c>
      <c r="U13366" t="s">
        <v>60619</v>
      </c>
      <c r="W13366" t="s">
        <v>47095</v>
      </c>
      <c r="X13366" t="s">
        <v>47444</v>
      </c>
    </row>
    <row r="13367" spans="1:24">
      <c r="A13367">
        <f>HYPERLINK("https://www.philgeps.gov.ph/GEPSNONPILOT/Tender/SplashBidNoticeAbstractUI.aspx?menuIndex=3&amp;refID=7133023&amp;Result=3","7133023")</f>
        <v>0</v>
      </c>
      <c r="B13367" t="s">
        <v>1864</v>
      </c>
      <c r="C13367" t="s">
        <v>16523</v>
      </c>
      <c r="D13367" t="s">
        <v>19045</v>
      </c>
      <c r="E13367" t="s">
        <v>30530</v>
      </c>
      <c r="F13367" t="s">
        <v>32831</v>
      </c>
      <c r="G13367" t="s">
        <v>32839</v>
      </c>
      <c r="H13367" t="s">
        <v>32848</v>
      </c>
      <c r="I13367" t="s">
        <v>4438</v>
      </c>
      <c r="J13367" t="s">
        <v>41136</v>
      </c>
      <c r="K13367" t="s">
        <v>42727</v>
      </c>
      <c r="M13367" t="s">
        <v>45006</v>
      </c>
      <c r="N13367" t="s">
        <v>47424</v>
      </c>
      <c r="O13367" t="s">
        <v>47425</v>
      </c>
      <c r="P13367">
        <v>0</v>
      </c>
      <c r="Q13367">
        <v>0</v>
      </c>
      <c r="R13367" t="s">
        <v>47443</v>
      </c>
      <c r="S13367" t="s">
        <v>48115</v>
      </c>
      <c r="T13367" t="s">
        <v>49066</v>
      </c>
      <c r="U13367" t="s">
        <v>60620</v>
      </c>
      <c r="W13367" t="s">
        <v>45006</v>
      </c>
      <c r="X13367" t="s">
        <v>47444</v>
      </c>
    </row>
    <row r="13368" spans="1:24">
      <c r="A13368">
        <f>HYPERLINK("https://www.philgeps.gov.ph/GEPSNONPILOT/Tender/SplashBidNoticeAbstractUI.aspx?menuIndex=3&amp;refID=7132874&amp;Result=3","7132874")</f>
        <v>0</v>
      </c>
      <c r="B13368" t="s">
        <v>2450</v>
      </c>
      <c r="C13368" t="s">
        <v>16524</v>
      </c>
      <c r="E13368" t="s">
        <v>30531</v>
      </c>
      <c r="F13368" t="s">
        <v>32831</v>
      </c>
      <c r="G13368" t="s">
        <v>32839</v>
      </c>
      <c r="H13368" t="s">
        <v>32849</v>
      </c>
      <c r="I13368" t="s">
        <v>4177</v>
      </c>
      <c r="J13368" t="s">
        <v>35648</v>
      </c>
      <c r="K13368" t="s">
        <v>42727</v>
      </c>
      <c r="M13368" t="s">
        <v>45648</v>
      </c>
      <c r="N13368" t="s">
        <v>47424</v>
      </c>
      <c r="O13368" t="s">
        <v>47425</v>
      </c>
      <c r="P13368">
        <v>0</v>
      </c>
      <c r="Q13368">
        <v>0</v>
      </c>
      <c r="R13368" t="s">
        <v>47443</v>
      </c>
      <c r="S13368" t="s">
        <v>48115</v>
      </c>
      <c r="T13368" t="s">
        <v>49129</v>
      </c>
      <c r="U13368" t="s">
        <v>60621</v>
      </c>
      <c r="W13368" t="s">
        <v>45648</v>
      </c>
      <c r="X13368" t="s">
        <v>47444</v>
      </c>
    </row>
    <row r="13369" spans="1:24">
      <c r="A13369">
        <f>HYPERLINK("https://www.philgeps.gov.ph/GEPSNONPILOT/Tender/SplashBidNoticeAbstractUI.aspx?menuIndex=3&amp;refID=7133431&amp;Result=3","7133431")</f>
        <v>0</v>
      </c>
      <c r="B13369" t="s">
        <v>1858</v>
      </c>
      <c r="C13369" t="s">
        <v>16525</v>
      </c>
      <c r="D13369" t="s">
        <v>19056</v>
      </c>
      <c r="E13369" t="s">
        <v>30532</v>
      </c>
      <c r="F13369" t="s">
        <v>32831</v>
      </c>
      <c r="G13369" t="s">
        <v>32839</v>
      </c>
      <c r="H13369" t="s">
        <v>32849</v>
      </c>
      <c r="I13369" t="s">
        <v>4177</v>
      </c>
      <c r="J13369" t="s">
        <v>41137</v>
      </c>
      <c r="K13369" t="s">
        <v>42770</v>
      </c>
      <c r="M13369" t="s">
        <v>44997</v>
      </c>
      <c r="N13369" t="s">
        <v>47424</v>
      </c>
      <c r="O13369" t="s">
        <v>47425</v>
      </c>
      <c r="P13369">
        <v>0</v>
      </c>
      <c r="Q13369">
        <v>0</v>
      </c>
      <c r="R13369" t="s">
        <v>47443</v>
      </c>
      <c r="S13369" t="s">
        <v>48115</v>
      </c>
      <c r="T13369" t="s">
        <v>49214</v>
      </c>
      <c r="U13369" t="s">
        <v>60622</v>
      </c>
      <c r="W13369" t="s">
        <v>44997</v>
      </c>
      <c r="X13369" t="s">
        <v>47444</v>
      </c>
    </row>
    <row r="13370" spans="1:24">
      <c r="A13370">
        <f>HYPERLINK("https://www.philgeps.gov.ph/GEPSNONPILOT/Tender/SplashBidNoticeAbstractUI.aspx?menuIndex=3&amp;refID=7133478&amp;Result=3","7133478")</f>
        <v>0</v>
      </c>
      <c r="B13370" t="s">
        <v>3706</v>
      </c>
      <c r="C13370" t="s">
        <v>16521</v>
      </c>
      <c r="D13370" t="s">
        <v>19083</v>
      </c>
      <c r="E13370" t="s">
        <v>30533</v>
      </c>
      <c r="F13370" t="s">
        <v>32831</v>
      </c>
      <c r="G13370" t="s">
        <v>32839</v>
      </c>
      <c r="H13370" t="s">
        <v>14069</v>
      </c>
      <c r="I13370" t="s">
        <v>4177</v>
      </c>
      <c r="J13370" t="s">
        <v>32978</v>
      </c>
      <c r="K13370" t="s">
        <v>42730</v>
      </c>
      <c r="M13370" t="s">
        <v>47095</v>
      </c>
      <c r="N13370" t="s">
        <v>47424</v>
      </c>
      <c r="O13370" t="s">
        <v>47425</v>
      </c>
      <c r="P13370">
        <v>0</v>
      </c>
      <c r="Q13370">
        <v>1</v>
      </c>
      <c r="R13370" t="s">
        <v>47443</v>
      </c>
      <c r="S13370" t="s">
        <v>48115</v>
      </c>
      <c r="T13370" t="s">
        <v>49127</v>
      </c>
      <c r="U13370" t="s">
        <v>60623</v>
      </c>
      <c r="W13370" t="s">
        <v>47095</v>
      </c>
      <c r="X13370" t="s">
        <v>47444</v>
      </c>
    </row>
    <row r="13371" spans="1:24">
      <c r="A13371">
        <f>HYPERLINK("https://www.philgeps.gov.ph/GEPSNONPILOT/Tender/SplashBidNoticeAbstractUI.aspx?menuIndex=3&amp;refID=7134268&amp;Result=3","7134268")</f>
        <v>0</v>
      </c>
      <c r="B13371" t="s">
        <v>736</v>
      </c>
      <c r="C13371" t="s">
        <v>16526</v>
      </c>
      <c r="D13371" t="s">
        <v>19062</v>
      </c>
      <c r="E13371" t="s">
        <v>30534</v>
      </c>
      <c r="F13371" t="s">
        <v>32831</v>
      </c>
      <c r="G13371" t="s">
        <v>32839</v>
      </c>
      <c r="H13371" t="s">
        <v>32848</v>
      </c>
      <c r="I13371" t="s">
        <v>7751</v>
      </c>
      <c r="J13371" t="s">
        <v>41138</v>
      </c>
      <c r="K13371" t="s">
        <v>42731</v>
      </c>
      <c r="M13371" t="s">
        <v>43758</v>
      </c>
      <c r="N13371" t="s">
        <v>47424</v>
      </c>
      <c r="O13371" t="s">
        <v>47425</v>
      </c>
      <c r="P13371">
        <v>0</v>
      </c>
      <c r="Q13371">
        <v>7</v>
      </c>
      <c r="R13371" t="s">
        <v>47443</v>
      </c>
      <c r="S13371" t="s">
        <v>48115</v>
      </c>
      <c r="T13371" t="s">
        <v>49142</v>
      </c>
      <c r="U13371" t="s">
        <v>60624</v>
      </c>
      <c r="W13371" t="s">
        <v>43758</v>
      </c>
      <c r="X13371" t="s">
        <v>47444</v>
      </c>
    </row>
    <row r="13372" spans="1:24">
      <c r="A13372">
        <f>HYPERLINK("https://www.philgeps.gov.ph/GEPSNONPILOT/Tender/SplashBidNoticeAbstractUI.aspx?menuIndex=3&amp;refID=7133450&amp;Result=3","7133450")</f>
        <v>0</v>
      </c>
      <c r="B13372" t="s">
        <v>3706</v>
      </c>
      <c r="C13372" t="s">
        <v>16527</v>
      </c>
      <c r="D13372" t="s">
        <v>19083</v>
      </c>
      <c r="E13372" t="s">
        <v>30535</v>
      </c>
      <c r="F13372" t="s">
        <v>32831</v>
      </c>
      <c r="G13372" t="s">
        <v>32839</v>
      </c>
      <c r="H13372" t="s">
        <v>32850</v>
      </c>
      <c r="I13372" t="s">
        <v>32870</v>
      </c>
      <c r="J13372" t="s">
        <v>32980</v>
      </c>
      <c r="K13372" t="s">
        <v>42730</v>
      </c>
      <c r="M13372" t="s">
        <v>47095</v>
      </c>
      <c r="N13372" t="s">
        <v>47424</v>
      </c>
      <c r="O13372" t="s">
        <v>47425</v>
      </c>
      <c r="P13372">
        <v>0</v>
      </c>
      <c r="Q13372">
        <v>0</v>
      </c>
      <c r="R13372" t="s">
        <v>47443</v>
      </c>
      <c r="S13372" t="s">
        <v>48115</v>
      </c>
      <c r="T13372" t="s">
        <v>49127</v>
      </c>
      <c r="U13372" t="s">
        <v>60625</v>
      </c>
      <c r="W13372" t="s">
        <v>47095</v>
      </c>
      <c r="X13372" t="s">
        <v>47444</v>
      </c>
    </row>
    <row r="13373" spans="1:24">
      <c r="A13373">
        <f>HYPERLINK("https://www.philgeps.gov.ph/GEPSNONPILOT/Tender/SplashBidNoticeAbstractUI.aspx?menuIndex=3&amp;refID=7133454&amp;Result=3","7133454")</f>
        <v>0</v>
      </c>
      <c r="B13373" t="s">
        <v>3707</v>
      </c>
      <c r="C13373" t="s">
        <v>16528</v>
      </c>
      <c r="D13373" t="s">
        <v>19017</v>
      </c>
      <c r="E13373" t="s">
        <v>28804</v>
      </c>
      <c r="F13373" t="s">
        <v>32831</v>
      </c>
      <c r="G13373" t="s">
        <v>32839</v>
      </c>
      <c r="H13373" t="s">
        <v>32848</v>
      </c>
      <c r="I13373" t="s">
        <v>4438</v>
      </c>
      <c r="J13373" t="s">
        <v>41139</v>
      </c>
      <c r="K13373" t="s">
        <v>42729</v>
      </c>
      <c r="M13373" t="s">
        <v>47096</v>
      </c>
      <c r="N13373" t="s">
        <v>47424</v>
      </c>
      <c r="O13373" t="s">
        <v>47425</v>
      </c>
      <c r="Q13373">
        <v>3</v>
      </c>
      <c r="R13373" t="s">
        <v>47443</v>
      </c>
      <c r="S13373" t="s">
        <v>48128</v>
      </c>
      <c r="T13373" t="s">
        <v>49398</v>
      </c>
      <c r="U13373" t="s">
        <v>60626</v>
      </c>
      <c r="W13373" t="s">
        <v>47096</v>
      </c>
      <c r="X13373" t="s">
        <v>47444</v>
      </c>
    </row>
    <row r="13374" spans="1:24">
      <c r="A13374">
        <f>HYPERLINK("https://www.philgeps.gov.ph/GEPSNONPILOT/Tender/SplashBidNoticeAbstractUI.aspx?menuIndex=3&amp;refID=7134134&amp;Result=3","7134134")</f>
        <v>0</v>
      </c>
      <c r="B13374" t="s">
        <v>3057</v>
      </c>
      <c r="C13374" t="s">
        <v>16529</v>
      </c>
      <c r="D13374" t="s">
        <v>19054</v>
      </c>
      <c r="E13374" t="s">
        <v>30536</v>
      </c>
      <c r="F13374" t="s">
        <v>32831</v>
      </c>
      <c r="G13374" t="s">
        <v>32839</v>
      </c>
      <c r="H13374" t="s">
        <v>32848</v>
      </c>
      <c r="I13374" t="s">
        <v>7751</v>
      </c>
      <c r="J13374" t="s">
        <v>36385</v>
      </c>
      <c r="K13374" t="s">
        <v>42731</v>
      </c>
      <c r="M13374" t="s">
        <v>46330</v>
      </c>
      <c r="N13374" t="s">
        <v>47424</v>
      </c>
      <c r="O13374" t="s">
        <v>47425</v>
      </c>
      <c r="P13374">
        <v>0</v>
      </c>
      <c r="Q13374">
        <v>4</v>
      </c>
      <c r="R13374" t="s">
        <v>47443</v>
      </c>
      <c r="S13374" t="s">
        <v>48115</v>
      </c>
      <c r="T13374" t="s">
        <v>49321</v>
      </c>
      <c r="U13374" t="s">
        <v>59794</v>
      </c>
      <c r="W13374" t="s">
        <v>46330</v>
      </c>
      <c r="X13374" t="s">
        <v>47444</v>
      </c>
    </row>
    <row r="13375" spans="1:24">
      <c r="A13375">
        <f>HYPERLINK("https://www.philgeps.gov.ph/GEPSNONPILOT/Tender/SplashBidNoticeAbstractUI.aspx?menuIndex=3&amp;refID=7134044&amp;Result=3","7134044")</f>
        <v>0</v>
      </c>
      <c r="B13375" t="s">
        <v>1446</v>
      </c>
      <c r="C13375" t="s">
        <v>16530</v>
      </c>
      <c r="D13375" t="s">
        <v>19017</v>
      </c>
      <c r="E13375" t="s">
        <v>30537</v>
      </c>
      <c r="F13375" t="s">
        <v>32831</v>
      </c>
      <c r="G13375" t="s">
        <v>32839</v>
      </c>
      <c r="H13375" t="s">
        <v>32848</v>
      </c>
      <c r="I13375" t="s">
        <v>4487</v>
      </c>
      <c r="J13375" t="s">
        <v>41140</v>
      </c>
      <c r="K13375" t="s">
        <v>42763</v>
      </c>
      <c r="M13375" t="s">
        <v>46779</v>
      </c>
      <c r="N13375" t="s">
        <v>47424</v>
      </c>
      <c r="O13375" t="s">
        <v>47425</v>
      </c>
      <c r="P13375">
        <v>0</v>
      </c>
      <c r="Q13375">
        <v>13</v>
      </c>
      <c r="R13375" t="s">
        <v>47443</v>
      </c>
      <c r="S13375" t="s">
        <v>48115</v>
      </c>
      <c r="T13375" t="s">
        <v>49091</v>
      </c>
      <c r="U13375" t="s">
        <v>59243</v>
      </c>
      <c r="W13375" t="s">
        <v>64554</v>
      </c>
      <c r="X13375" t="s">
        <v>47444</v>
      </c>
    </row>
    <row r="13376" spans="1:24">
      <c r="A13376">
        <f>HYPERLINK("https://www.philgeps.gov.ph/GEPSNONPILOT/Tender/SplashBidNoticeAbstractUI.aspx?menuIndex=3&amp;refID=7134122&amp;Result=3","7134122")</f>
        <v>0</v>
      </c>
      <c r="B13376" t="s">
        <v>673</v>
      </c>
      <c r="C13376" t="s">
        <v>15263</v>
      </c>
      <c r="D13376" t="s">
        <v>19060</v>
      </c>
      <c r="E13376" t="s">
        <v>30538</v>
      </c>
      <c r="F13376" t="s">
        <v>32831</v>
      </c>
      <c r="G13376" t="s">
        <v>32839</v>
      </c>
      <c r="H13376" t="s">
        <v>32849</v>
      </c>
      <c r="I13376" t="s">
        <v>4177</v>
      </c>
      <c r="J13376" t="s">
        <v>32978</v>
      </c>
      <c r="K13376" t="s">
        <v>42756</v>
      </c>
      <c r="M13376" t="s">
        <v>43692</v>
      </c>
      <c r="N13376" t="s">
        <v>47424</v>
      </c>
      <c r="O13376" t="s">
        <v>47425</v>
      </c>
      <c r="P13376">
        <v>0</v>
      </c>
      <c r="Q13376">
        <v>2</v>
      </c>
      <c r="R13376" t="s">
        <v>47443</v>
      </c>
      <c r="S13376" t="s">
        <v>48115</v>
      </c>
      <c r="T13376" t="s">
        <v>49061</v>
      </c>
      <c r="U13376" t="s">
        <v>60627</v>
      </c>
      <c r="W13376" t="s">
        <v>43692</v>
      </c>
      <c r="X13376" t="s">
        <v>47444</v>
      </c>
    </row>
    <row r="13377" spans="1:24">
      <c r="A13377">
        <f>HYPERLINK("https://www.philgeps.gov.ph/GEPSNONPILOT/Tender/SplashBidNoticeAbstractUI.aspx?menuIndex=3&amp;refID=7134223&amp;Result=3","7134223")</f>
        <v>0</v>
      </c>
      <c r="B13377" t="s">
        <v>3515</v>
      </c>
      <c r="C13377" t="s">
        <v>16531</v>
      </c>
      <c r="D13377" t="s">
        <v>19031</v>
      </c>
      <c r="E13377" t="s">
        <v>30539</v>
      </c>
      <c r="F13377" t="s">
        <v>32831</v>
      </c>
      <c r="G13377" t="s">
        <v>32839</v>
      </c>
      <c r="H13377" t="s">
        <v>32848</v>
      </c>
      <c r="I13377" t="s">
        <v>32874</v>
      </c>
      <c r="J13377" t="s">
        <v>41141</v>
      </c>
      <c r="K13377" t="s">
        <v>42747</v>
      </c>
      <c r="M13377" t="s">
        <v>47097</v>
      </c>
      <c r="N13377" t="s">
        <v>47424</v>
      </c>
      <c r="O13377" t="s">
        <v>47425</v>
      </c>
      <c r="P13377">
        <v>0</v>
      </c>
      <c r="Q13377">
        <v>37</v>
      </c>
      <c r="R13377" t="s">
        <v>47443</v>
      </c>
      <c r="S13377" t="s">
        <v>48115</v>
      </c>
      <c r="T13377" t="s">
        <v>49070</v>
      </c>
      <c r="U13377" t="s">
        <v>60628</v>
      </c>
      <c r="V13377" t="s">
        <v>64119</v>
      </c>
      <c r="W13377" t="s">
        <v>47097</v>
      </c>
      <c r="X13377" t="s">
        <v>47444</v>
      </c>
    </row>
    <row r="13378" spans="1:24">
      <c r="A13378">
        <f>HYPERLINK("https://www.philgeps.gov.ph/GEPSNONPILOT/Tender/SplashBidNoticeAbstractUI.aspx?menuIndex=3&amp;refID=7134195&amp;Result=3","7134195")</f>
        <v>0</v>
      </c>
      <c r="B13378" t="s">
        <v>3515</v>
      </c>
      <c r="C13378" t="s">
        <v>16532</v>
      </c>
      <c r="D13378" t="s">
        <v>19031</v>
      </c>
      <c r="E13378" t="s">
        <v>30540</v>
      </c>
      <c r="F13378" t="s">
        <v>32831</v>
      </c>
      <c r="G13378" t="s">
        <v>32839</v>
      </c>
      <c r="H13378" t="s">
        <v>32848</v>
      </c>
      <c r="I13378" t="s">
        <v>4487</v>
      </c>
      <c r="J13378" t="s">
        <v>33626</v>
      </c>
      <c r="K13378" t="s">
        <v>42747</v>
      </c>
      <c r="M13378" t="s">
        <v>47097</v>
      </c>
      <c r="N13378" t="s">
        <v>47424</v>
      </c>
      <c r="O13378" t="s">
        <v>47425</v>
      </c>
      <c r="P13378">
        <v>0</v>
      </c>
      <c r="Q13378">
        <v>4</v>
      </c>
      <c r="R13378" t="s">
        <v>47443</v>
      </c>
      <c r="S13378" t="s">
        <v>48115</v>
      </c>
      <c r="T13378" t="s">
        <v>49070</v>
      </c>
      <c r="U13378" t="s">
        <v>60628</v>
      </c>
      <c r="V13378" t="s">
        <v>64120</v>
      </c>
      <c r="W13378" t="s">
        <v>47097</v>
      </c>
      <c r="X13378" t="s">
        <v>47444</v>
      </c>
    </row>
    <row r="13379" spans="1:24">
      <c r="A13379">
        <f>HYPERLINK("https://www.philgeps.gov.ph/GEPSNONPILOT/Tender/SplashBidNoticeAbstractUI.aspx?menuIndex=3&amp;refID=7133979&amp;Result=3","7133979")</f>
        <v>0</v>
      </c>
      <c r="B13379" t="s">
        <v>2722</v>
      </c>
      <c r="C13379" t="s">
        <v>16533</v>
      </c>
      <c r="D13379" t="s">
        <v>19034</v>
      </c>
      <c r="E13379" t="s">
        <v>21865</v>
      </c>
      <c r="F13379" t="s">
        <v>32831</v>
      </c>
      <c r="G13379" t="s">
        <v>32839</v>
      </c>
      <c r="H13379" t="s">
        <v>32848</v>
      </c>
      <c r="I13379" t="s">
        <v>10888</v>
      </c>
      <c r="J13379" t="s">
        <v>41142</v>
      </c>
      <c r="K13379" t="s">
        <v>42727</v>
      </c>
      <c r="M13379" t="s">
        <v>45948</v>
      </c>
      <c r="N13379" t="s">
        <v>47424</v>
      </c>
      <c r="O13379" t="s">
        <v>47425</v>
      </c>
      <c r="P13379">
        <v>0</v>
      </c>
      <c r="Q13379">
        <v>0</v>
      </c>
      <c r="R13379" t="s">
        <v>47443</v>
      </c>
      <c r="S13379" t="s">
        <v>48115</v>
      </c>
      <c r="T13379" t="s">
        <v>49066</v>
      </c>
      <c r="U13379" t="s">
        <v>60629</v>
      </c>
      <c r="V13379" t="s">
        <v>64121</v>
      </c>
      <c r="W13379" t="s">
        <v>45948</v>
      </c>
      <c r="X13379" t="s">
        <v>47444</v>
      </c>
    </row>
    <row r="13380" spans="1:24">
      <c r="A13380">
        <f>HYPERLINK("https://www.philgeps.gov.ph/GEPSNONPILOT/Tender/SplashBidNoticeAbstractUI.aspx?menuIndex=3&amp;refID=7134024&amp;Result=3","7134024")</f>
        <v>0</v>
      </c>
      <c r="B13380" t="s">
        <v>3057</v>
      </c>
      <c r="C13380" t="s">
        <v>16534</v>
      </c>
      <c r="D13380" t="s">
        <v>19054</v>
      </c>
      <c r="E13380" t="s">
        <v>30541</v>
      </c>
      <c r="F13380" t="s">
        <v>32831</v>
      </c>
      <c r="G13380" t="s">
        <v>32839</v>
      </c>
      <c r="H13380" t="s">
        <v>32848</v>
      </c>
      <c r="I13380" t="s">
        <v>7751</v>
      </c>
      <c r="J13380" t="s">
        <v>41143</v>
      </c>
      <c r="K13380" t="s">
        <v>42731</v>
      </c>
      <c r="M13380" t="s">
        <v>46330</v>
      </c>
      <c r="N13380" t="s">
        <v>47424</v>
      </c>
      <c r="O13380" t="s">
        <v>47425</v>
      </c>
      <c r="P13380">
        <v>0</v>
      </c>
      <c r="Q13380">
        <v>8</v>
      </c>
      <c r="R13380" t="s">
        <v>47443</v>
      </c>
      <c r="S13380" t="s">
        <v>48115</v>
      </c>
      <c r="T13380" t="s">
        <v>49321</v>
      </c>
      <c r="U13380" t="s">
        <v>59794</v>
      </c>
      <c r="W13380" t="s">
        <v>46330</v>
      </c>
      <c r="X13380" t="s">
        <v>47444</v>
      </c>
    </row>
    <row r="13381" spans="1:24">
      <c r="A13381">
        <f>HYPERLINK("https://www.philgeps.gov.ph/GEPSNONPILOT/Tender/SplashBidNoticeAbstractUI.aspx?menuIndex=3&amp;refID=7134064&amp;Result=3","7134064")</f>
        <v>0</v>
      </c>
      <c r="B13381" t="s">
        <v>3515</v>
      </c>
      <c r="C13381" t="s">
        <v>16535</v>
      </c>
      <c r="D13381" t="s">
        <v>19031</v>
      </c>
      <c r="E13381" t="s">
        <v>30542</v>
      </c>
      <c r="F13381" t="s">
        <v>32831</v>
      </c>
      <c r="G13381" t="s">
        <v>32839</v>
      </c>
      <c r="H13381" t="s">
        <v>32848</v>
      </c>
      <c r="I13381" t="s">
        <v>4776</v>
      </c>
      <c r="J13381" t="s">
        <v>41144</v>
      </c>
      <c r="K13381" t="s">
        <v>42747</v>
      </c>
      <c r="M13381" t="s">
        <v>47097</v>
      </c>
      <c r="N13381" t="s">
        <v>47424</v>
      </c>
      <c r="O13381" t="s">
        <v>47425</v>
      </c>
      <c r="P13381">
        <v>0</v>
      </c>
      <c r="Q13381">
        <v>11</v>
      </c>
      <c r="R13381" t="s">
        <v>47443</v>
      </c>
      <c r="S13381" t="s">
        <v>48115</v>
      </c>
      <c r="T13381" t="s">
        <v>49070</v>
      </c>
      <c r="U13381" t="s">
        <v>60628</v>
      </c>
      <c r="V13381" t="s">
        <v>64122</v>
      </c>
      <c r="W13381" t="s">
        <v>47097</v>
      </c>
      <c r="X13381" t="s">
        <v>47444</v>
      </c>
    </row>
    <row r="13382" spans="1:24">
      <c r="A13382">
        <f>HYPERLINK("https://www.philgeps.gov.ph/GEPSNONPILOT/Tender/SplashBidNoticeAbstractUI.aspx?menuIndex=3&amp;refID=7133898&amp;Result=3","7133898")</f>
        <v>0</v>
      </c>
      <c r="B13382" t="s">
        <v>2692</v>
      </c>
      <c r="C13382" t="s">
        <v>16536</v>
      </c>
      <c r="D13382" t="s">
        <v>19018</v>
      </c>
      <c r="E13382" t="s">
        <v>30543</v>
      </c>
      <c r="F13382" t="s">
        <v>32834</v>
      </c>
      <c r="G13382" t="s">
        <v>32840</v>
      </c>
      <c r="H13382" t="s">
        <v>32848</v>
      </c>
      <c r="I13382" t="s">
        <v>32927</v>
      </c>
      <c r="J13382" t="s">
        <v>41145</v>
      </c>
      <c r="K13382" t="s">
        <v>42758</v>
      </c>
      <c r="M13382" t="s">
        <v>45915</v>
      </c>
      <c r="N13382" t="s">
        <v>47424</v>
      </c>
      <c r="O13382" t="s">
        <v>47425</v>
      </c>
      <c r="Q13382">
        <v>0</v>
      </c>
      <c r="R13382" t="s">
        <v>47443</v>
      </c>
      <c r="S13382" t="s">
        <v>48129</v>
      </c>
      <c r="T13382" t="s">
        <v>49111</v>
      </c>
      <c r="U13382" t="s">
        <v>60630</v>
      </c>
      <c r="W13382" t="s">
        <v>45915</v>
      </c>
      <c r="X13382" t="s">
        <v>47444</v>
      </c>
    </row>
    <row r="13383" spans="1:24">
      <c r="A13383">
        <f>HYPERLINK("https://www.philgeps.gov.ph/GEPSNONPILOT/Tender/SplashBidNoticeAbstractUI.aspx?menuIndex=3&amp;refID=7133890&amp;Result=3","7133890")</f>
        <v>0</v>
      </c>
      <c r="B13383" t="s">
        <v>3708</v>
      </c>
      <c r="C13383" t="s">
        <v>16537</v>
      </c>
      <c r="D13383" t="s">
        <v>19095</v>
      </c>
      <c r="E13383" t="s">
        <v>19838</v>
      </c>
      <c r="F13383" t="s">
        <v>32833</v>
      </c>
      <c r="G13383" t="s">
        <v>32839</v>
      </c>
      <c r="H13383" t="s">
        <v>32848</v>
      </c>
      <c r="I13383" t="s">
        <v>7416</v>
      </c>
      <c r="J13383" t="s">
        <v>41146</v>
      </c>
      <c r="K13383" t="s">
        <v>42770</v>
      </c>
      <c r="M13383" t="s">
        <v>47098</v>
      </c>
      <c r="N13383" t="s">
        <v>47424</v>
      </c>
      <c r="O13383" t="s">
        <v>47425</v>
      </c>
      <c r="P13383">
        <v>0</v>
      </c>
      <c r="Q13383">
        <v>0</v>
      </c>
      <c r="R13383" t="s">
        <v>47443</v>
      </c>
      <c r="S13383" t="s">
        <v>48115</v>
      </c>
      <c r="T13383" t="s">
        <v>49127</v>
      </c>
      <c r="U13383" t="s">
        <v>60631</v>
      </c>
      <c r="W13383" t="s">
        <v>47098</v>
      </c>
      <c r="X13383" t="s">
        <v>47444</v>
      </c>
    </row>
    <row r="13384" spans="1:24">
      <c r="A13384">
        <f>HYPERLINK("https://www.philgeps.gov.ph/GEPSNONPILOT/Tender/SplashBidNoticeAbstractUI.aspx?menuIndex=3&amp;refID=7134022&amp;Result=3","7134022")</f>
        <v>0</v>
      </c>
      <c r="B13384" t="s">
        <v>3515</v>
      </c>
      <c r="C13384" t="s">
        <v>16538</v>
      </c>
      <c r="D13384" t="s">
        <v>19031</v>
      </c>
      <c r="E13384" t="s">
        <v>29443</v>
      </c>
      <c r="F13384" t="s">
        <v>32831</v>
      </c>
      <c r="G13384" t="s">
        <v>32839</v>
      </c>
      <c r="H13384" t="s">
        <v>32850</v>
      </c>
      <c r="I13384" t="s">
        <v>32851</v>
      </c>
      <c r="J13384" t="s">
        <v>34100</v>
      </c>
      <c r="K13384" t="s">
        <v>42747</v>
      </c>
      <c r="M13384" t="s">
        <v>47097</v>
      </c>
      <c r="N13384" t="s">
        <v>47424</v>
      </c>
      <c r="O13384" t="s">
        <v>47425</v>
      </c>
      <c r="P13384">
        <v>0</v>
      </c>
      <c r="Q13384">
        <v>4</v>
      </c>
      <c r="R13384" t="s">
        <v>47443</v>
      </c>
      <c r="S13384" t="s">
        <v>48115</v>
      </c>
      <c r="T13384" t="s">
        <v>49070</v>
      </c>
      <c r="U13384" t="s">
        <v>60628</v>
      </c>
      <c r="V13384" t="s">
        <v>64122</v>
      </c>
      <c r="W13384" t="s">
        <v>47097</v>
      </c>
      <c r="X13384" t="s">
        <v>47444</v>
      </c>
    </row>
    <row r="13385" spans="1:24">
      <c r="A13385">
        <f>HYPERLINK("https://www.philgeps.gov.ph/GEPSNONPILOT/Tender/SplashBidNoticeAbstractUI.aspx?menuIndex=3&amp;refID=7133940&amp;Result=3","7133940")</f>
        <v>0</v>
      </c>
      <c r="B13385" t="s">
        <v>3515</v>
      </c>
      <c r="C13385" t="s">
        <v>16539</v>
      </c>
      <c r="D13385" t="s">
        <v>19031</v>
      </c>
      <c r="E13385" t="s">
        <v>30540</v>
      </c>
      <c r="F13385" t="s">
        <v>32831</v>
      </c>
      <c r="G13385" t="s">
        <v>32839</v>
      </c>
      <c r="H13385" t="s">
        <v>32850</v>
      </c>
      <c r="I13385" t="s">
        <v>4487</v>
      </c>
      <c r="J13385" t="s">
        <v>36317</v>
      </c>
      <c r="K13385" t="s">
        <v>42747</v>
      </c>
      <c r="M13385" t="s">
        <v>47097</v>
      </c>
      <c r="N13385" t="s">
        <v>47424</v>
      </c>
      <c r="O13385" t="s">
        <v>47425</v>
      </c>
      <c r="P13385">
        <v>0</v>
      </c>
      <c r="Q13385">
        <v>10</v>
      </c>
      <c r="R13385" t="s">
        <v>47443</v>
      </c>
      <c r="S13385" t="s">
        <v>48115</v>
      </c>
      <c r="T13385" t="s">
        <v>49070</v>
      </c>
      <c r="U13385" t="s">
        <v>60628</v>
      </c>
      <c r="V13385" t="s">
        <v>64122</v>
      </c>
      <c r="W13385" t="s">
        <v>47097</v>
      </c>
      <c r="X13385" t="s">
        <v>47444</v>
      </c>
    </row>
    <row r="13386" spans="1:24">
      <c r="A13386">
        <f>HYPERLINK("https://www.philgeps.gov.ph/GEPSNONPILOT/Tender/SplashBidNoticeAbstractUI.aspx?menuIndex=3&amp;refID=7133836&amp;Result=3","7133836")</f>
        <v>0</v>
      </c>
      <c r="B13386" t="s">
        <v>950</v>
      </c>
      <c r="C13386" t="s">
        <v>16540</v>
      </c>
      <c r="D13386" t="s">
        <v>19100</v>
      </c>
      <c r="E13386" t="s">
        <v>30544</v>
      </c>
      <c r="F13386" t="s">
        <v>32831</v>
      </c>
      <c r="G13386" t="s">
        <v>32839</v>
      </c>
      <c r="H13386" t="s">
        <v>32848</v>
      </c>
      <c r="I13386" t="s">
        <v>32859</v>
      </c>
      <c r="J13386" t="s">
        <v>33561</v>
      </c>
      <c r="K13386" t="s">
        <v>42730</v>
      </c>
      <c r="M13386" t="s">
        <v>44404</v>
      </c>
      <c r="N13386" t="s">
        <v>47424</v>
      </c>
      <c r="O13386" t="s">
        <v>47425</v>
      </c>
      <c r="P13386">
        <v>0</v>
      </c>
      <c r="Q13386">
        <v>3</v>
      </c>
      <c r="R13386" t="s">
        <v>47443</v>
      </c>
      <c r="S13386" t="s">
        <v>48115</v>
      </c>
      <c r="T13386" t="s">
        <v>49066</v>
      </c>
      <c r="U13386" t="s">
        <v>60632</v>
      </c>
      <c r="W13386" t="s">
        <v>44404</v>
      </c>
      <c r="X13386" t="s">
        <v>47444</v>
      </c>
    </row>
    <row r="13387" spans="1:24">
      <c r="A13387">
        <f>HYPERLINK("https://www.philgeps.gov.ph/GEPSNONPILOT/Tender/SplashBidNoticeAbstractUI.aspx?menuIndex=3&amp;refID=7134277&amp;Result=3","7134277")</f>
        <v>0</v>
      </c>
      <c r="B13387" t="s">
        <v>3709</v>
      </c>
      <c r="C13387" t="s">
        <v>16541</v>
      </c>
      <c r="D13387" t="s">
        <v>19049</v>
      </c>
      <c r="E13387" t="s">
        <v>30545</v>
      </c>
      <c r="F13387" t="s">
        <v>32831</v>
      </c>
      <c r="G13387" t="s">
        <v>32839</v>
      </c>
      <c r="H13387" t="s">
        <v>32848</v>
      </c>
      <c r="I13387" t="s">
        <v>7416</v>
      </c>
      <c r="J13387" t="s">
        <v>41147</v>
      </c>
      <c r="K13387" t="s">
        <v>42726</v>
      </c>
      <c r="M13387" t="s">
        <v>47099</v>
      </c>
      <c r="N13387" t="s">
        <v>47424</v>
      </c>
      <c r="O13387" t="s">
        <v>47425</v>
      </c>
      <c r="P13387">
        <v>0</v>
      </c>
      <c r="Q13387">
        <v>1</v>
      </c>
      <c r="R13387" t="s">
        <v>47443</v>
      </c>
      <c r="S13387" t="s">
        <v>48115</v>
      </c>
      <c r="T13387" t="s">
        <v>49133</v>
      </c>
      <c r="U13387" t="s">
        <v>60633</v>
      </c>
      <c r="V13387" t="s">
        <v>64123</v>
      </c>
      <c r="W13387" t="s">
        <v>47099</v>
      </c>
      <c r="X13387" t="s">
        <v>47444</v>
      </c>
    </row>
    <row r="13388" spans="1:24">
      <c r="A13388">
        <f>HYPERLINK("https://www.philgeps.gov.ph/GEPSNONPILOT/Tender/SplashBidNoticeAbstractUI.aspx?menuIndex=3&amp;refID=7133875&amp;Result=3","7133875")</f>
        <v>0</v>
      </c>
      <c r="B13388" t="s">
        <v>2405</v>
      </c>
      <c r="C13388" t="s">
        <v>16542</v>
      </c>
      <c r="D13388" t="s">
        <v>19039</v>
      </c>
      <c r="E13388" t="s">
        <v>30546</v>
      </c>
      <c r="F13388" t="s">
        <v>32831</v>
      </c>
      <c r="G13388" t="s">
        <v>32839</v>
      </c>
      <c r="H13388" t="s">
        <v>32849</v>
      </c>
      <c r="I13388" t="s">
        <v>4177</v>
      </c>
      <c r="J13388" t="s">
        <v>41148</v>
      </c>
      <c r="K13388" t="s">
        <v>42764</v>
      </c>
      <c r="M13388" t="s">
        <v>45599</v>
      </c>
      <c r="N13388" t="s">
        <v>47424</v>
      </c>
      <c r="O13388" t="s">
        <v>47425</v>
      </c>
      <c r="P13388">
        <v>0</v>
      </c>
      <c r="Q13388">
        <v>1</v>
      </c>
      <c r="R13388" t="s">
        <v>47443</v>
      </c>
      <c r="S13388" t="s">
        <v>48115</v>
      </c>
      <c r="T13388" t="s">
        <v>49123</v>
      </c>
      <c r="U13388" t="s">
        <v>60607</v>
      </c>
      <c r="W13388" t="s">
        <v>45599</v>
      </c>
      <c r="X13388" t="s">
        <v>47444</v>
      </c>
    </row>
    <row r="13389" spans="1:24">
      <c r="A13389">
        <f>HYPERLINK("https://www.philgeps.gov.ph/GEPSNONPILOT/Tender/SplashBidNoticeAbstractUI.aspx?menuIndex=3&amp;refID=7133972&amp;Result=3","7133972")</f>
        <v>0</v>
      </c>
      <c r="B13389" t="s">
        <v>3515</v>
      </c>
      <c r="C13389" t="s">
        <v>16543</v>
      </c>
      <c r="D13389" t="s">
        <v>19031</v>
      </c>
      <c r="E13389" t="s">
        <v>29693</v>
      </c>
      <c r="F13389" t="s">
        <v>32831</v>
      </c>
      <c r="G13389" t="s">
        <v>32839</v>
      </c>
      <c r="H13389" t="s">
        <v>32848</v>
      </c>
      <c r="I13389" t="s">
        <v>4487</v>
      </c>
      <c r="J13389" t="s">
        <v>33083</v>
      </c>
      <c r="K13389" t="s">
        <v>42747</v>
      </c>
      <c r="M13389" t="s">
        <v>47097</v>
      </c>
      <c r="N13389" t="s">
        <v>47424</v>
      </c>
      <c r="O13389" t="s">
        <v>47425</v>
      </c>
      <c r="P13389">
        <v>0</v>
      </c>
      <c r="Q13389">
        <v>6</v>
      </c>
      <c r="R13389" t="s">
        <v>47443</v>
      </c>
      <c r="S13389" t="s">
        <v>48115</v>
      </c>
      <c r="T13389" t="s">
        <v>49070</v>
      </c>
      <c r="U13389" t="s">
        <v>60628</v>
      </c>
      <c r="V13389" t="s">
        <v>64124</v>
      </c>
      <c r="W13389" t="s">
        <v>47097</v>
      </c>
      <c r="X13389" t="s">
        <v>47444</v>
      </c>
    </row>
    <row r="13390" spans="1:24">
      <c r="A13390">
        <f>HYPERLINK("https://www.philgeps.gov.ph/GEPSNONPILOT/Tender/SplashBidNoticeAbstractUI.aspx?menuIndex=3&amp;refID=7134659&amp;Result=3","7134659")</f>
        <v>0</v>
      </c>
      <c r="B13390" t="s">
        <v>823</v>
      </c>
      <c r="C13390" t="s">
        <v>16544</v>
      </c>
      <c r="D13390" t="s">
        <v>19062</v>
      </c>
      <c r="E13390" t="s">
        <v>30547</v>
      </c>
      <c r="F13390" t="s">
        <v>32831</v>
      </c>
      <c r="G13390" t="s">
        <v>32839</v>
      </c>
      <c r="H13390" t="s">
        <v>32849</v>
      </c>
      <c r="I13390" t="s">
        <v>4177</v>
      </c>
      <c r="J13390" t="s">
        <v>41149</v>
      </c>
      <c r="K13390" t="s">
        <v>42761</v>
      </c>
      <c r="M13390" t="s">
        <v>45573</v>
      </c>
      <c r="N13390" t="s">
        <v>47424</v>
      </c>
      <c r="O13390" t="s">
        <v>47425</v>
      </c>
      <c r="P13390">
        <v>0</v>
      </c>
      <c r="Q13390">
        <v>0</v>
      </c>
      <c r="R13390" t="s">
        <v>47443</v>
      </c>
      <c r="S13390" t="s">
        <v>48115</v>
      </c>
      <c r="T13390" t="s">
        <v>49087</v>
      </c>
      <c r="U13390" t="s">
        <v>55315</v>
      </c>
      <c r="W13390" t="s">
        <v>45573</v>
      </c>
      <c r="X13390" t="s">
        <v>47444</v>
      </c>
    </row>
    <row r="13391" spans="1:24">
      <c r="A13391">
        <f>HYPERLINK("https://www.philgeps.gov.ph/GEPSNONPILOT/Tender/SplashBidNoticeAbstractUI.aspx?menuIndex=3&amp;refID=7134585&amp;Result=3","7134585")</f>
        <v>0</v>
      </c>
      <c r="B13391" t="s">
        <v>748</v>
      </c>
      <c r="C13391" t="s">
        <v>16545</v>
      </c>
      <c r="D13391" t="s">
        <v>19081</v>
      </c>
      <c r="E13391" t="s">
        <v>30548</v>
      </c>
      <c r="F13391" t="s">
        <v>32831</v>
      </c>
      <c r="G13391" t="s">
        <v>32839</v>
      </c>
      <c r="H13391" t="s">
        <v>32848</v>
      </c>
      <c r="I13391" t="s">
        <v>7416</v>
      </c>
      <c r="J13391" t="s">
        <v>41150</v>
      </c>
      <c r="K13391" t="s">
        <v>42747</v>
      </c>
      <c r="M13391" t="s">
        <v>43771</v>
      </c>
      <c r="N13391" t="s">
        <v>47424</v>
      </c>
      <c r="O13391" t="s">
        <v>47425</v>
      </c>
      <c r="P13391">
        <v>0</v>
      </c>
      <c r="Q13391">
        <v>0</v>
      </c>
      <c r="R13391" t="s">
        <v>47443</v>
      </c>
      <c r="S13391" t="s">
        <v>48115</v>
      </c>
      <c r="T13391" t="s">
        <v>49231</v>
      </c>
      <c r="U13391" t="s">
        <v>60634</v>
      </c>
      <c r="W13391" t="s">
        <v>43771</v>
      </c>
      <c r="X13391" t="s">
        <v>47444</v>
      </c>
    </row>
    <row r="13392" spans="1:24">
      <c r="A13392">
        <f>HYPERLINK("https://www.philgeps.gov.ph/GEPSNONPILOT/Tender/SplashBidNoticeAbstractUI.aspx?menuIndex=3&amp;refID=7133737&amp;Result=3","7133737")</f>
        <v>0</v>
      </c>
      <c r="B13392" t="s">
        <v>3710</v>
      </c>
      <c r="C13392" t="s">
        <v>16546</v>
      </c>
      <c r="D13392" t="s">
        <v>19052</v>
      </c>
      <c r="E13392" t="s">
        <v>30549</v>
      </c>
      <c r="F13392" t="s">
        <v>32831</v>
      </c>
      <c r="G13392" t="s">
        <v>32839</v>
      </c>
      <c r="H13392" t="s">
        <v>32848</v>
      </c>
      <c r="I13392" t="s">
        <v>7751</v>
      </c>
      <c r="J13392" t="s">
        <v>39676</v>
      </c>
      <c r="K13392" t="s">
        <v>42730</v>
      </c>
      <c r="M13392" t="s">
        <v>47100</v>
      </c>
      <c r="N13392" t="s">
        <v>47424</v>
      </c>
      <c r="O13392" t="s">
        <v>47425</v>
      </c>
      <c r="P13392">
        <v>0</v>
      </c>
      <c r="Q13392">
        <v>2</v>
      </c>
      <c r="R13392" t="s">
        <v>47443</v>
      </c>
      <c r="S13392" t="s">
        <v>48115</v>
      </c>
      <c r="T13392" t="s">
        <v>49104</v>
      </c>
      <c r="U13392" t="s">
        <v>60635</v>
      </c>
      <c r="V13392" t="s">
        <v>64125</v>
      </c>
      <c r="W13392" t="s">
        <v>47100</v>
      </c>
      <c r="X13392" t="s">
        <v>47444</v>
      </c>
    </row>
    <row r="13393" spans="1:24">
      <c r="A13393">
        <f>HYPERLINK("https://www.philgeps.gov.ph/GEPSNONPILOT/Tender/SplashBidNoticeAbstractUI.aspx?menuIndex=3&amp;refID=7134599&amp;Result=3","7134599")</f>
        <v>0</v>
      </c>
      <c r="B13393" t="s">
        <v>3617</v>
      </c>
      <c r="C13393" t="s">
        <v>16547</v>
      </c>
      <c r="D13393" t="s">
        <v>19099</v>
      </c>
      <c r="E13393" t="s">
        <v>30550</v>
      </c>
      <c r="F13393" t="s">
        <v>32831</v>
      </c>
      <c r="G13393" t="s">
        <v>32839</v>
      </c>
      <c r="H13393" t="s">
        <v>32848</v>
      </c>
      <c r="I13393" t="s">
        <v>32869</v>
      </c>
      <c r="J13393" t="s">
        <v>41151</v>
      </c>
      <c r="K13393" t="s">
        <v>42729</v>
      </c>
      <c r="M13393" t="s">
        <v>46985</v>
      </c>
      <c r="N13393" t="s">
        <v>47424</v>
      </c>
      <c r="O13393" t="s">
        <v>47425</v>
      </c>
      <c r="P13393">
        <v>0</v>
      </c>
      <c r="Q13393">
        <v>7</v>
      </c>
      <c r="R13393" t="s">
        <v>47443</v>
      </c>
      <c r="S13393" t="s">
        <v>48115</v>
      </c>
      <c r="T13393" t="s">
        <v>49073</v>
      </c>
      <c r="U13393" t="s">
        <v>60135</v>
      </c>
      <c r="W13393" t="s">
        <v>46985</v>
      </c>
      <c r="X13393" t="s">
        <v>47444</v>
      </c>
    </row>
    <row r="13394" spans="1:24">
      <c r="A13394">
        <f>HYPERLINK("https://www.philgeps.gov.ph/GEPSNONPILOT/Tender/SplashBidNoticeAbstractUI.aspx?menuIndex=3&amp;refID=7132854&amp;Result=3","7132854")</f>
        <v>0</v>
      </c>
      <c r="B13394" t="s">
        <v>2450</v>
      </c>
      <c r="C13394" t="s">
        <v>16548</v>
      </c>
      <c r="E13394" t="s">
        <v>30551</v>
      </c>
      <c r="F13394" t="s">
        <v>32831</v>
      </c>
      <c r="G13394" t="s">
        <v>32839</v>
      </c>
      <c r="H13394" t="s">
        <v>32849</v>
      </c>
      <c r="I13394" t="s">
        <v>4177</v>
      </c>
      <c r="J13394" t="s">
        <v>41152</v>
      </c>
      <c r="K13394" t="s">
        <v>42727</v>
      </c>
      <c r="M13394" t="s">
        <v>45648</v>
      </c>
      <c r="N13394" t="s">
        <v>47424</v>
      </c>
      <c r="O13394" t="s">
        <v>47425</v>
      </c>
      <c r="P13394">
        <v>0</v>
      </c>
      <c r="Q13394">
        <v>0</v>
      </c>
      <c r="R13394" t="s">
        <v>47443</v>
      </c>
      <c r="S13394" t="s">
        <v>48115</v>
      </c>
      <c r="T13394" t="s">
        <v>49104</v>
      </c>
      <c r="U13394" t="s">
        <v>60636</v>
      </c>
      <c r="W13394" t="s">
        <v>45648</v>
      </c>
      <c r="X13394" t="s">
        <v>47444</v>
      </c>
    </row>
    <row r="13395" spans="1:24">
      <c r="A13395">
        <f>HYPERLINK("https://www.philgeps.gov.ph/GEPSNONPILOT/Tender/SplashBidNoticeAbstractUI.aspx?menuIndex=3&amp;refID=7134597&amp;Result=3","7134597")</f>
        <v>0</v>
      </c>
      <c r="B13395" t="s">
        <v>1184</v>
      </c>
      <c r="C13395" t="s">
        <v>16549</v>
      </c>
      <c r="D13395" t="s">
        <v>19078</v>
      </c>
      <c r="E13395" t="s">
        <v>30552</v>
      </c>
      <c r="F13395" t="s">
        <v>32831</v>
      </c>
      <c r="G13395" t="s">
        <v>32839</v>
      </c>
      <c r="H13395" t="s">
        <v>32848</v>
      </c>
      <c r="I13395" t="s">
        <v>7751</v>
      </c>
      <c r="J13395" t="s">
        <v>38391</v>
      </c>
      <c r="K13395" t="s">
        <v>42747</v>
      </c>
      <c r="M13395" t="s">
        <v>44250</v>
      </c>
      <c r="N13395" t="s">
        <v>47424</v>
      </c>
      <c r="O13395" t="s">
        <v>47425</v>
      </c>
      <c r="P13395">
        <v>0</v>
      </c>
      <c r="Q13395">
        <v>6</v>
      </c>
      <c r="R13395" t="s">
        <v>47443</v>
      </c>
      <c r="S13395" t="s">
        <v>48115</v>
      </c>
      <c r="T13395" t="s">
        <v>49070</v>
      </c>
      <c r="U13395" t="s">
        <v>60637</v>
      </c>
      <c r="W13395" t="s">
        <v>44250</v>
      </c>
      <c r="X13395" t="s">
        <v>47444</v>
      </c>
    </row>
    <row r="13396" spans="1:24">
      <c r="A13396">
        <f>HYPERLINK("https://www.philgeps.gov.ph/GEPSNONPILOT/Tender/SplashBidNoticeAbstractUI.aspx?menuIndex=3&amp;refID=7134633&amp;Result=3","7134633")</f>
        <v>0</v>
      </c>
      <c r="B13396" t="s">
        <v>2061</v>
      </c>
      <c r="C13396" t="s">
        <v>16550</v>
      </c>
      <c r="D13396" t="s">
        <v>19045</v>
      </c>
      <c r="E13396" t="s">
        <v>30553</v>
      </c>
      <c r="F13396" t="s">
        <v>32831</v>
      </c>
      <c r="G13396" t="s">
        <v>32839</v>
      </c>
      <c r="H13396" t="s">
        <v>32848</v>
      </c>
      <c r="I13396" t="s">
        <v>32881</v>
      </c>
      <c r="J13396" t="s">
        <v>35394</v>
      </c>
      <c r="K13396" t="s">
        <v>42727</v>
      </c>
      <c r="M13396" t="s">
        <v>46809</v>
      </c>
      <c r="N13396" t="s">
        <v>47424</v>
      </c>
      <c r="O13396" t="s">
        <v>47425</v>
      </c>
      <c r="P13396">
        <v>0</v>
      </c>
      <c r="Q13396">
        <v>2</v>
      </c>
      <c r="R13396" t="s">
        <v>47443</v>
      </c>
      <c r="S13396" t="s">
        <v>48115</v>
      </c>
      <c r="T13396" t="s">
        <v>49637</v>
      </c>
      <c r="U13396" t="s">
        <v>59377</v>
      </c>
      <c r="V13396" t="s">
        <v>64126</v>
      </c>
      <c r="W13396" t="s">
        <v>46809</v>
      </c>
      <c r="X13396" t="s">
        <v>47444</v>
      </c>
    </row>
    <row r="13397" spans="1:24">
      <c r="A13397">
        <f>HYPERLINK("https://www.philgeps.gov.ph/GEPSNONPILOT/Tender/SplashBidNoticeAbstractUI.aspx?menuIndex=3&amp;refID=7134673&amp;Result=3","7134673")</f>
        <v>0</v>
      </c>
      <c r="B13397" t="s">
        <v>1014</v>
      </c>
      <c r="C13397" t="s">
        <v>16551</v>
      </c>
      <c r="D13397" t="s">
        <v>19100</v>
      </c>
      <c r="E13397" t="s">
        <v>30554</v>
      </c>
      <c r="F13397" t="s">
        <v>32831</v>
      </c>
      <c r="G13397" t="s">
        <v>32839</v>
      </c>
      <c r="H13397" t="s">
        <v>32848</v>
      </c>
      <c r="I13397" t="s">
        <v>7416</v>
      </c>
      <c r="J13397" t="s">
        <v>41153</v>
      </c>
      <c r="K13397" t="s">
        <v>42730</v>
      </c>
      <c r="M13397" t="s">
        <v>44063</v>
      </c>
      <c r="N13397" t="s">
        <v>47424</v>
      </c>
      <c r="O13397" t="s">
        <v>47425</v>
      </c>
      <c r="P13397">
        <v>0</v>
      </c>
      <c r="Q13397">
        <v>0</v>
      </c>
      <c r="R13397" t="s">
        <v>47443</v>
      </c>
      <c r="S13397" t="s">
        <v>48115</v>
      </c>
      <c r="T13397" t="s">
        <v>49056</v>
      </c>
      <c r="U13397" t="s">
        <v>60638</v>
      </c>
      <c r="W13397" t="s">
        <v>44063</v>
      </c>
      <c r="X13397" t="s">
        <v>47444</v>
      </c>
    </row>
    <row r="13398" spans="1:24">
      <c r="A13398">
        <f>HYPERLINK("https://www.philgeps.gov.ph/GEPSNONPILOT/Tender/SplashBidNoticeAbstractUI.aspx?menuIndex=3&amp;refID=7134487&amp;Result=3","7134487")</f>
        <v>0</v>
      </c>
      <c r="B13398" t="s">
        <v>3711</v>
      </c>
      <c r="C13398" t="s">
        <v>16552</v>
      </c>
      <c r="D13398" t="s">
        <v>19045</v>
      </c>
      <c r="E13398" t="s">
        <v>30555</v>
      </c>
      <c r="F13398" t="s">
        <v>32831</v>
      </c>
      <c r="G13398" t="s">
        <v>32839</v>
      </c>
      <c r="H13398" t="s">
        <v>32848</v>
      </c>
      <c r="I13398" t="s">
        <v>5667</v>
      </c>
      <c r="J13398" t="s">
        <v>33707</v>
      </c>
      <c r="K13398" t="s">
        <v>42727</v>
      </c>
      <c r="M13398" t="s">
        <v>47101</v>
      </c>
      <c r="N13398" t="s">
        <v>47424</v>
      </c>
      <c r="O13398" t="s">
        <v>47425</v>
      </c>
      <c r="P13398">
        <v>0</v>
      </c>
      <c r="Q13398">
        <v>5</v>
      </c>
      <c r="R13398" t="s">
        <v>47443</v>
      </c>
      <c r="S13398" t="s">
        <v>48115</v>
      </c>
      <c r="T13398" t="s">
        <v>49427</v>
      </c>
      <c r="U13398" t="s">
        <v>60639</v>
      </c>
      <c r="W13398" t="s">
        <v>47101</v>
      </c>
      <c r="X13398" t="s">
        <v>47444</v>
      </c>
    </row>
    <row r="13399" spans="1:24">
      <c r="A13399">
        <f>HYPERLINK("https://www.philgeps.gov.ph/GEPSNONPILOT/Tender/SplashBidNoticeAbstractUI.aspx?menuIndex=3&amp;refID=7134556&amp;Result=3","7134556")</f>
        <v>0</v>
      </c>
      <c r="B13399" t="s">
        <v>2026</v>
      </c>
      <c r="C13399" t="s">
        <v>13929</v>
      </c>
      <c r="D13399" t="s">
        <v>19019</v>
      </c>
      <c r="E13399" t="s">
        <v>30556</v>
      </c>
      <c r="F13399" t="s">
        <v>32831</v>
      </c>
      <c r="G13399" t="s">
        <v>32839</v>
      </c>
      <c r="H13399" t="s">
        <v>32848</v>
      </c>
      <c r="I13399" t="s">
        <v>9577</v>
      </c>
      <c r="J13399" t="s">
        <v>41154</v>
      </c>
      <c r="K13399" t="s">
        <v>42732</v>
      </c>
      <c r="M13399" t="s">
        <v>45194</v>
      </c>
      <c r="N13399" t="s">
        <v>47424</v>
      </c>
      <c r="O13399" t="s">
        <v>47425</v>
      </c>
      <c r="P13399">
        <v>0</v>
      </c>
      <c r="Q13399">
        <v>4</v>
      </c>
      <c r="R13399" t="s">
        <v>47443</v>
      </c>
      <c r="S13399" t="s">
        <v>48115</v>
      </c>
      <c r="T13399" t="s">
        <v>49059</v>
      </c>
      <c r="U13399" t="s">
        <v>60640</v>
      </c>
      <c r="W13399" t="s">
        <v>45194</v>
      </c>
      <c r="X13399" t="s">
        <v>47444</v>
      </c>
    </row>
    <row r="13400" spans="1:24">
      <c r="A13400">
        <f>HYPERLINK("https://www.philgeps.gov.ph/GEPSNONPILOT/Tender/SplashBidNoticeAbstractUI.aspx?menuIndex=3&amp;refID=7134528&amp;Result=3","7134528")</f>
        <v>0</v>
      </c>
      <c r="B13400" t="s">
        <v>823</v>
      </c>
      <c r="C13400" t="s">
        <v>16553</v>
      </c>
      <c r="D13400" t="s">
        <v>19062</v>
      </c>
      <c r="E13400" t="s">
        <v>30557</v>
      </c>
      <c r="F13400" t="s">
        <v>32831</v>
      </c>
      <c r="G13400" t="s">
        <v>32839</v>
      </c>
      <c r="H13400" t="s">
        <v>32849</v>
      </c>
      <c r="I13400" t="s">
        <v>4177</v>
      </c>
      <c r="J13400" t="s">
        <v>33032</v>
      </c>
      <c r="K13400" t="s">
        <v>42836</v>
      </c>
      <c r="M13400" t="s">
        <v>45573</v>
      </c>
      <c r="N13400" t="s">
        <v>47424</v>
      </c>
      <c r="O13400" t="s">
        <v>47425</v>
      </c>
      <c r="P13400">
        <v>0</v>
      </c>
      <c r="Q13400">
        <v>2</v>
      </c>
      <c r="R13400" t="s">
        <v>47443</v>
      </c>
      <c r="S13400" t="s">
        <v>48115</v>
      </c>
      <c r="T13400" t="s">
        <v>49087</v>
      </c>
      <c r="U13400" t="s">
        <v>60641</v>
      </c>
      <c r="W13400" t="s">
        <v>45573</v>
      </c>
      <c r="X13400" t="s">
        <v>47444</v>
      </c>
    </row>
    <row r="13401" spans="1:24">
      <c r="A13401">
        <f>HYPERLINK("https://www.philgeps.gov.ph/GEPSNONPILOT/Tender/SplashBidNoticeAbstractUI.aspx?menuIndex=3&amp;refID=7134430&amp;Result=3","7134430")</f>
        <v>0</v>
      </c>
      <c r="B13401" t="s">
        <v>3709</v>
      </c>
      <c r="C13401" t="s">
        <v>16554</v>
      </c>
      <c r="D13401" t="s">
        <v>19049</v>
      </c>
      <c r="E13401" t="s">
        <v>30558</v>
      </c>
      <c r="F13401" t="s">
        <v>32831</v>
      </c>
      <c r="G13401" t="s">
        <v>32839</v>
      </c>
      <c r="H13401" t="s">
        <v>32848</v>
      </c>
      <c r="I13401" t="s">
        <v>32851</v>
      </c>
      <c r="J13401" t="s">
        <v>41155</v>
      </c>
      <c r="K13401" t="s">
        <v>42726</v>
      </c>
      <c r="M13401" t="s">
        <v>47099</v>
      </c>
      <c r="N13401" t="s">
        <v>47424</v>
      </c>
      <c r="O13401" t="s">
        <v>47425</v>
      </c>
      <c r="P13401">
        <v>0</v>
      </c>
      <c r="Q13401">
        <v>4</v>
      </c>
      <c r="R13401" t="s">
        <v>47443</v>
      </c>
      <c r="S13401" t="s">
        <v>48115</v>
      </c>
      <c r="T13401" t="s">
        <v>49133</v>
      </c>
      <c r="U13401" t="s">
        <v>60642</v>
      </c>
      <c r="V13401" t="s">
        <v>64123</v>
      </c>
      <c r="W13401" t="s">
        <v>47099</v>
      </c>
      <c r="X13401" t="s">
        <v>47444</v>
      </c>
    </row>
    <row r="13402" spans="1:24">
      <c r="A13402">
        <f>HYPERLINK("https://www.philgeps.gov.ph/GEPSNONPILOT/Tender/SplashBidNoticeAbstractUI.aspx?menuIndex=3&amp;refID=7134545&amp;Result=3","7134545")</f>
        <v>0</v>
      </c>
      <c r="B13402" t="s">
        <v>895</v>
      </c>
      <c r="C13402" t="s">
        <v>16555</v>
      </c>
      <c r="D13402" t="s">
        <v>19036</v>
      </c>
      <c r="E13402" t="s">
        <v>30559</v>
      </c>
      <c r="F13402" t="s">
        <v>32831</v>
      </c>
      <c r="G13402" t="s">
        <v>32839</v>
      </c>
      <c r="H13402" t="s">
        <v>32848</v>
      </c>
      <c r="I13402" t="s">
        <v>32862</v>
      </c>
      <c r="J13402" t="s">
        <v>41156</v>
      </c>
      <c r="K13402" t="s">
        <v>42727</v>
      </c>
      <c r="M13402" t="s">
        <v>44963</v>
      </c>
      <c r="N13402" t="s">
        <v>47424</v>
      </c>
      <c r="O13402" t="s">
        <v>47425</v>
      </c>
      <c r="P13402">
        <v>0</v>
      </c>
      <c r="Q13402">
        <v>0</v>
      </c>
      <c r="R13402" t="s">
        <v>47443</v>
      </c>
      <c r="S13402" t="s">
        <v>48115</v>
      </c>
      <c r="T13402" t="s">
        <v>49092</v>
      </c>
      <c r="U13402" t="s">
        <v>60643</v>
      </c>
      <c r="W13402" t="s">
        <v>44963</v>
      </c>
      <c r="X13402" t="s">
        <v>47444</v>
      </c>
    </row>
    <row r="13403" spans="1:24">
      <c r="A13403">
        <f>HYPERLINK("https://www.philgeps.gov.ph/GEPSNONPILOT/Tender/SplashBidNoticeAbstractUI.aspx?menuIndex=3&amp;refID=7134462&amp;Result=3","7134462")</f>
        <v>0</v>
      </c>
      <c r="B13403" t="s">
        <v>736</v>
      </c>
      <c r="C13403" t="s">
        <v>5511</v>
      </c>
      <c r="D13403" t="s">
        <v>19062</v>
      </c>
      <c r="E13403" t="s">
        <v>30560</v>
      </c>
      <c r="F13403" t="s">
        <v>32831</v>
      </c>
      <c r="G13403" t="s">
        <v>32839</v>
      </c>
      <c r="H13403" t="s">
        <v>32848</v>
      </c>
      <c r="I13403" t="s">
        <v>7416</v>
      </c>
      <c r="J13403" t="s">
        <v>38865</v>
      </c>
      <c r="K13403" t="s">
        <v>42731</v>
      </c>
      <c r="M13403" t="s">
        <v>43758</v>
      </c>
      <c r="N13403" t="s">
        <v>47424</v>
      </c>
      <c r="O13403" t="s">
        <v>47425</v>
      </c>
      <c r="P13403">
        <v>0</v>
      </c>
      <c r="Q13403">
        <v>0</v>
      </c>
      <c r="R13403" t="s">
        <v>47443</v>
      </c>
      <c r="S13403" t="s">
        <v>48115</v>
      </c>
      <c r="T13403" t="s">
        <v>49149</v>
      </c>
      <c r="U13403" t="s">
        <v>60644</v>
      </c>
      <c r="W13403" t="s">
        <v>43758</v>
      </c>
      <c r="X13403" t="s">
        <v>47444</v>
      </c>
    </row>
    <row r="13404" spans="1:24">
      <c r="A13404">
        <f>HYPERLINK("https://www.philgeps.gov.ph/GEPSNONPILOT/Tender/SplashBidNoticeAbstractUI.aspx?menuIndex=3&amp;refID=7134424&amp;Result=3","7134424")</f>
        <v>0</v>
      </c>
      <c r="B13404" t="s">
        <v>823</v>
      </c>
      <c r="C13404" t="s">
        <v>16556</v>
      </c>
      <c r="D13404" t="s">
        <v>19062</v>
      </c>
      <c r="E13404" t="s">
        <v>30561</v>
      </c>
      <c r="F13404" t="s">
        <v>32831</v>
      </c>
      <c r="G13404" t="s">
        <v>32839</v>
      </c>
      <c r="H13404" t="s">
        <v>32849</v>
      </c>
      <c r="I13404" t="s">
        <v>4177</v>
      </c>
      <c r="J13404" t="s">
        <v>33257</v>
      </c>
      <c r="K13404" t="s">
        <v>42780</v>
      </c>
      <c r="M13404" t="s">
        <v>45573</v>
      </c>
      <c r="N13404" t="s">
        <v>47424</v>
      </c>
      <c r="O13404" t="s">
        <v>47425</v>
      </c>
      <c r="P13404">
        <v>0</v>
      </c>
      <c r="Q13404">
        <v>1</v>
      </c>
      <c r="R13404" t="s">
        <v>47443</v>
      </c>
      <c r="S13404" t="s">
        <v>48115</v>
      </c>
      <c r="T13404" t="s">
        <v>49087</v>
      </c>
      <c r="U13404" t="s">
        <v>55315</v>
      </c>
      <c r="W13404" t="s">
        <v>45573</v>
      </c>
      <c r="X13404" t="s">
        <v>47444</v>
      </c>
    </row>
    <row r="13405" spans="1:24">
      <c r="A13405">
        <f>HYPERLINK("https://www.philgeps.gov.ph/GEPSNONPILOT/Tender/SplashBidNoticeAbstractUI.aspx?menuIndex=3&amp;refID=7134642&amp;Result=3","7134642")</f>
        <v>0</v>
      </c>
      <c r="B13405" t="s">
        <v>895</v>
      </c>
      <c r="C13405" t="s">
        <v>16557</v>
      </c>
      <c r="D13405" t="s">
        <v>19036</v>
      </c>
      <c r="E13405" t="s">
        <v>30562</v>
      </c>
      <c r="F13405" t="s">
        <v>32831</v>
      </c>
      <c r="G13405" t="s">
        <v>32839</v>
      </c>
      <c r="H13405" t="s">
        <v>32848</v>
      </c>
      <c r="I13405" t="s">
        <v>32892</v>
      </c>
      <c r="J13405" t="s">
        <v>41157</v>
      </c>
      <c r="K13405" t="s">
        <v>42727</v>
      </c>
      <c r="M13405" t="s">
        <v>44963</v>
      </c>
      <c r="N13405" t="s">
        <v>47424</v>
      </c>
      <c r="O13405" t="s">
        <v>47425</v>
      </c>
      <c r="P13405">
        <v>0</v>
      </c>
      <c r="Q13405">
        <v>2</v>
      </c>
      <c r="R13405" t="s">
        <v>47443</v>
      </c>
      <c r="S13405" t="s">
        <v>48115</v>
      </c>
      <c r="T13405" t="s">
        <v>49092</v>
      </c>
      <c r="U13405" t="s">
        <v>60645</v>
      </c>
      <c r="W13405" t="s">
        <v>44963</v>
      </c>
      <c r="X13405" t="s">
        <v>47444</v>
      </c>
    </row>
    <row r="13406" spans="1:24">
      <c r="A13406">
        <f>HYPERLINK("https://www.philgeps.gov.ph/GEPSNONPILOT/Tender/SplashBidNoticeAbstractUI.aspx?menuIndex=3&amp;refID=7133820&amp;Result=3","7133820")</f>
        <v>0</v>
      </c>
      <c r="B13406" t="s">
        <v>2405</v>
      </c>
      <c r="C13406" t="s">
        <v>16558</v>
      </c>
      <c r="D13406" t="s">
        <v>19039</v>
      </c>
      <c r="E13406" t="s">
        <v>30563</v>
      </c>
      <c r="F13406" t="s">
        <v>32831</v>
      </c>
      <c r="G13406" t="s">
        <v>32839</v>
      </c>
      <c r="H13406" t="s">
        <v>32849</v>
      </c>
      <c r="I13406" t="s">
        <v>4177</v>
      </c>
      <c r="J13406" t="s">
        <v>41158</v>
      </c>
      <c r="K13406" t="s">
        <v>42764</v>
      </c>
      <c r="M13406" t="s">
        <v>45599</v>
      </c>
      <c r="N13406" t="s">
        <v>47424</v>
      </c>
      <c r="O13406" t="s">
        <v>47425</v>
      </c>
      <c r="P13406">
        <v>0</v>
      </c>
      <c r="Q13406">
        <v>1</v>
      </c>
      <c r="R13406" t="s">
        <v>47443</v>
      </c>
      <c r="S13406" t="s">
        <v>48115</v>
      </c>
      <c r="T13406" t="s">
        <v>49123</v>
      </c>
      <c r="U13406" t="s">
        <v>60607</v>
      </c>
      <c r="W13406" t="s">
        <v>45599</v>
      </c>
      <c r="X13406" t="s">
        <v>47444</v>
      </c>
    </row>
    <row r="13407" spans="1:24">
      <c r="A13407">
        <f>HYPERLINK("https://www.philgeps.gov.ph/GEPSNONPILOT/Tender/SplashBidNoticeAbstractUI.aspx?menuIndex=3&amp;refID=7134301&amp;Result=3","7134301")</f>
        <v>0</v>
      </c>
      <c r="B13407" t="s">
        <v>823</v>
      </c>
      <c r="C13407" t="s">
        <v>16559</v>
      </c>
      <c r="D13407" t="s">
        <v>19062</v>
      </c>
      <c r="E13407" t="s">
        <v>30564</v>
      </c>
      <c r="F13407" t="s">
        <v>32831</v>
      </c>
      <c r="G13407" t="s">
        <v>32839</v>
      </c>
      <c r="H13407" t="s">
        <v>32849</v>
      </c>
      <c r="I13407" t="s">
        <v>4177</v>
      </c>
      <c r="J13407" t="s">
        <v>36338</v>
      </c>
      <c r="K13407" t="s">
        <v>42761</v>
      </c>
      <c r="M13407" t="s">
        <v>45573</v>
      </c>
      <c r="N13407" t="s">
        <v>47424</v>
      </c>
      <c r="O13407" t="s">
        <v>47425</v>
      </c>
      <c r="P13407">
        <v>0</v>
      </c>
      <c r="Q13407">
        <v>2</v>
      </c>
      <c r="R13407" t="s">
        <v>47443</v>
      </c>
      <c r="S13407" t="s">
        <v>48115</v>
      </c>
      <c r="T13407" t="s">
        <v>49087</v>
      </c>
      <c r="U13407" t="s">
        <v>55315</v>
      </c>
      <c r="W13407" t="s">
        <v>45573</v>
      </c>
      <c r="X13407" t="s">
        <v>47444</v>
      </c>
    </row>
    <row r="13408" spans="1:24">
      <c r="A13408">
        <f>HYPERLINK("https://www.philgeps.gov.ph/GEPSNONPILOT/Tender/SplashBidNoticeAbstractUI.aspx?menuIndex=3&amp;refID=7133430&amp;Result=3","7133430")</f>
        <v>0</v>
      </c>
      <c r="B13408" t="s">
        <v>2054</v>
      </c>
      <c r="C13408" t="s">
        <v>16560</v>
      </c>
      <c r="D13408" t="s">
        <v>19023</v>
      </c>
      <c r="E13408" t="s">
        <v>30565</v>
      </c>
      <c r="F13408" t="s">
        <v>32831</v>
      </c>
      <c r="G13408" t="s">
        <v>32839</v>
      </c>
      <c r="H13408" t="s">
        <v>32849</v>
      </c>
      <c r="I13408" t="s">
        <v>4177</v>
      </c>
      <c r="J13408" t="s">
        <v>33046</v>
      </c>
      <c r="K13408" t="s">
        <v>42729</v>
      </c>
      <c r="M13408" t="s">
        <v>45224</v>
      </c>
      <c r="N13408" t="s">
        <v>47424</v>
      </c>
      <c r="O13408" t="s">
        <v>47425</v>
      </c>
      <c r="Q13408">
        <v>0</v>
      </c>
      <c r="R13408" t="s">
        <v>47443</v>
      </c>
      <c r="S13408" t="s">
        <v>48130</v>
      </c>
      <c r="T13408" t="s">
        <v>49069</v>
      </c>
      <c r="U13408" t="s">
        <v>60646</v>
      </c>
      <c r="W13408" t="s">
        <v>45224</v>
      </c>
      <c r="X13408" t="s">
        <v>47444</v>
      </c>
    </row>
    <row r="13409" spans="1:24">
      <c r="A13409">
        <f>HYPERLINK("https://www.philgeps.gov.ph/GEPSNONPILOT/Tender/SplashBidNoticeAbstractUI.aspx?menuIndex=3&amp;refID=7133280&amp;Result=3","7133280")</f>
        <v>0</v>
      </c>
      <c r="B13409" t="s">
        <v>781</v>
      </c>
      <c r="C13409" t="s">
        <v>16561</v>
      </c>
      <c r="D13409" t="s">
        <v>19040</v>
      </c>
      <c r="E13409" t="s">
        <v>30566</v>
      </c>
      <c r="F13409" t="s">
        <v>32831</v>
      </c>
      <c r="G13409" t="s">
        <v>32839</v>
      </c>
      <c r="H13409" t="s">
        <v>32848</v>
      </c>
      <c r="I13409" t="s">
        <v>4177</v>
      </c>
      <c r="J13409" t="s">
        <v>41159</v>
      </c>
      <c r="K13409" t="s">
        <v>42764</v>
      </c>
      <c r="M13409" t="s">
        <v>46733</v>
      </c>
      <c r="N13409" t="s">
        <v>47424</v>
      </c>
      <c r="O13409" t="s">
        <v>47425</v>
      </c>
      <c r="Q13409">
        <v>0</v>
      </c>
      <c r="R13409" t="s">
        <v>47443</v>
      </c>
      <c r="S13409" t="s">
        <v>48131</v>
      </c>
      <c r="T13409" t="s">
        <v>49073</v>
      </c>
      <c r="U13409" t="s">
        <v>60579</v>
      </c>
      <c r="W13409" t="s">
        <v>46733</v>
      </c>
      <c r="X13409" t="s">
        <v>47444</v>
      </c>
    </row>
    <row r="13410" spans="1:24">
      <c r="A13410">
        <f>HYPERLINK("https://www.philgeps.gov.ph/GEPSNONPILOT/Tender/SplashBidNoticeAbstractUI.aspx?menuIndex=3&amp;refID=7134446&amp;Result=3","7134446")</f>
        <v>0</v>
      </c>
      <c r="B13410" t="s">
        <v>997</v>
      </c>
      <c r="C13410" t="s">
        <v>16562</v>
      </c>
      <c r="D13410" t="s">
        <v>19017</v>
      </c>
      <c r="E13410" t="s">
        <v>30567</v>
      </c>
      <c r="F13410" t="s">
        <v>32831</v>
      </c>
      <c r="G13410" t="s">
        <v>32839</v>
      </c>
      <c r="H13410" t="s">
        <v>32848</v>
      </c>
      <c r="I13410" t="s">
        <v>32911</v>
      </c>
      <c r="J13410" t="s">
        <v>41160</v>
      </c>
      <c r="K13410" t="s">
        <v>42729</v>
      </c>
      <c r="M13410" t="s">
        <v>44611</v>
      </c>
      <c r="N13410" t="s">
        <v>47424</v>
      </c>
      <c r="O13410" t="s">
        <v>47425</v>
      </c>
      <c r="Q13410">
        <v>8</v>
      </c>
      <c r="R13410" t="s">
        <v>47443</v>
      </c>
      <c r="S13410" t="s">
        <v>48132</v>
      </c>
      <c r="T13410" t="s">
        <v>49057</v>
      </c>
      <c r="U13410" t="s">
        <v>60647</v>
      </c>
      <c r="W13410" t="s">
        <v>44611</v>
      </c>
      <c r="X13410" t="s">
        <v>47444</v>
      </c>
    </row>
    <row r="13411" spans="1:24">
      <c r="A13411">
        <f>HYPERLINK("https://www.philgeps.gov.ph/GEPSNONPILOT/Tender/SplashBidNoticeAbstractUI.aspx?menuIndex=3&amp;refID=7133781&amp;Result=3","7133781")</f>
        <v>0</v>
      </c>
      <c r="B13411" t="s">
        <v>3708</v>
      </c>
      <c r="C13411" t="s">
        <v>16563</v>
      </c>
      <c r="D13411" t="s">
        <v>19095</v>
      </c>
      <c r="E13411" t="s">
        <v>19555</v>
      </c>
      <c r="F13411" t="s">
        <v>32833</v>
      </c>
      <c r="G13411" t="s">
        <v>32839</v>
      </c>
      <c r="H13411" t="s">
        <v>32848</v>
      </c>
      <c r="I13411" t="s">
        <v>7416</v>
      </c>
      <c r="J13411" t="s">
        <v>41161</v>
      </c>
      <c r="K13411" t="s">
        <v>42770</v>
      </c>
      <c r="M13411" t="s">
        <v>47098</v>
      </c>
      <c r="N13411" t="s">
        <v>47424</v>
      </c>
      <c r="O13411" t="s">
        <v>47425</v>
      </c>
      <c r="P13411">
        <v>0</v>
      </c>
      <c r="Q13411">
        <v>0</v>
      </c>
      <c r="R13411" t="s">
        <v>47443</v>
      </c>
      <c r="S13411" t="s">
        <v>48115</v>
      </c>
      <c r="T13411" t="s">
        <v>49127</v>
      </c>
      <c r="U13411" t="s">
        <v>60631</v>
      </c>
      <c r="W13411" t="s">
        <v>47098</v>
      </c>
      <c r="X13411" t="s">
        <v>47444</v>
      </c>
    </row>
    <row r="13412" spans="1:24">
      <c r="A13412">
        <f>HYPERLINK("https://www.philgeps.gov.ph/GEPSNONPILOT/Tender/SplashBidNoticeAbstractUI.aspx?menuIndex=3&amp;refID=7134654&amp;Result=3","7134654")</f>
        <v>0</v>
      </c>
      <c r="B13412" t="s">
        <v>3617</v>
      </c>
      <c r="C13412" t="s">
        <v>16564</v>
      </c>
      <c r="D13412" t="s">
        <v>19099</v>
      </c>
      <c r="E13412" t="s">
        <v>30568</v>
      </c>
      <c r="F13412" t="s">
        <v>32831</v>
      </c>
      <c r="G13412" t="s">
        <v>32839</v>
      </c>
      <c r="H13412" t="s">
        <v>32848</v>
      </c>
      <c r="I13412" t="s">
        <v>32874</v>
      </c>
      <c r="J13412" t="s">
        <v>41162</v>
      </c>
      <c r="K13412" t="s">
        <v>42729</v>
      </c>
      <c r="M13412" t="s">
        <v>46985</v>
      </c>
      <c r="N13412" t="s">
        <v>47424</v>
      </c>
      <c r="O13412" t="s">
        <v>47425</v>
      </c>
      <c r="P13412">
        <v>0</v>
      </c>
      <c r="Q13412">
        <v>44</v>
      </c>
      <c r="R13412" t="s">
        <v>47443</v>
      </c>
      <c r="S13412" t="s">
        <v>48115</v>
      </c>
      <c r="T13412" t="s">
        <v>49073</v>
      </c>
      <c r="U13412" t="s">
        <v>58564</v>
      </c>
      <c r="W13412" t="s">
        <v>46985</v>
      </c>
      <c r="X13412" t="s">
        <v>47444</v>
      </c>
    </row>
    <row r="13413" spans="1:24">
      <c r="A13413">
        <f>HYPERLINK("https://www.philgeps.gov.ph/GEPSNONPILOT/Tender/SplashBidNoticeAbstractUI.aspx?menuIndex=3&amp;refID=7134857&amp;Result=3","7134857")</f>
        <v>0</v>
      </c>
      <c r="B13413" t="s">
        <v>823</v>
      </c>
      <c r="C13413" t="s">
        <v>16565</v>
      </c>
      <c r="D13413" t="s">
        <v>19062</v>
      </c>
      <c r="E13413" t="s">
        <v>30569</v>
      </c>
      <c r="F13413" t="s">
        <v>32831</v>
      </c>
      <c r="G13413" t="s">
        <v>32839</v>
      </c>
      <c r="H13413" t="s">
        <v>32849</v>
      </c>
      <c r="I13413" t="s">
        <v>4177</v>
      </c>
      <c r="J13413" t="s">
        <v>33528</v>
      </c>
      <c r="K13413" t="s">
        <v>42892</v>
      </c>
      <c r="M13413" t="s">
        <v>45573</v>
      </c>
      <c r="N13413" t="s">
        <v>47424</v>
      </c>
      <c r="O13413" t="s">
        <v>47425</v>
      </c>
      <c r="P13413">
        <v>0</v>
      </c>
      <c r="Q13413">
        <v>0</v>
      </c>
      <c r="R13413" t="s">
        <v>47443</v>
      </c>
      <c r="S13413" t="s">
        <v>48115</v>
      </c>
      <c r="T13413" t="s">
        <v>49087</v>
      </c>
      <c r="U13413" t="s">
        <v>55315</v>
      </c>
      <c r="W13413" t="s">
        <v>45573</v>
      </c>
      <c r="X13413" t="s">
        <v>47444</v>
      </c>
    </row>
    <row r="13414" spans="1:24">
      <c r="A13414">
        <f>HYPERLINK("https://www.philgeps.gov.ph/GEPSNONPILOT/Tender/SplashBidNoticeAbstractUI.aspx?menuIndex=3&amp;refID=7134865&amp;Result=3","7134865")</f>
        <v>0</v>
      </c>
      <c r="B13414" t="s">
        <v>895</v>
      </c>
      <c r="C13414" t="s">
        <v>16566</v>
      </c>
      <c r="D13414" t="s">
        <v>19036</v>
      </c>
      <c r="E13414" t="s">
        <v>30570</v>
      </c>
      <c r="F13414" t="s">
        <v>32831</v>
      </c>
      <c r="G13414" t="s">
        <v>32839</v>
      </c>
      <c r="H13414" t="s">
        <v>32848</v>
      </c>
      <c r="I13414" t="s">
        <v>32887</v>
      </c>
      <c r="J13414" t="s">
        <v>41163</v>
      </c>
      <c r="K13414" t="s">
        <v>42727</v>
      </c>
      <c r="M13414" t="s">
        <v>44963</v>
      </c>
      <c r="N13414" t="s">
        <v>47424</v>
      </c>
      <c r="O13414" t="s">
        <v>47425</v>
      </c>
      <c r="P13414">
        <v>0</v>
      </c>
      <c r="Q13414">
        <v>4</v>
      </c>
      <c r="R13414" t="s">
        <v>47443</v>
      </c>
      <c r="S13414" t="s">
        <v>48115</v>
      </c>
      <c r="T13414" t="s">
        <v>49092</v>
      </c>
      <c r="U13414" t="s">
        <v>60648</v>
      </c>
      <c r="W13414" t="s">
        <v>44963</v>
      </c>
      <c r="X13414" t="s">
        <v>47444</v>
      </c>
    </row>
    <row r="13415" spans="1:24">
      <c r="A13415">
        <f>HYPERLINK("https://www.philgeps.gov.ph/GEPSNONPILOT/Tender/SplashBidNoticeAbstractUI.aspx?menuIndex=3&amp;refID=7133795&amp;Result=3","7133795")</f>
        <v>0</v>
      </c>
      <c r="B13415" t="s">
        <v>781</v>
      </c>
      <c r="C13415" t="s">
        <v>16567</v>
      </c>
      <c r="D13415" t="s">
        <v>19040</v>
      </c>
      <c r="E13415" t="s">
        <v>30571</v>
      </c>
      <c r="F13415" t="s">
        <v>32831</v>
      </c>
      <c r="G13415" t="s">
        <v>32839</v>
      </c>
      <c r="H13415" t="s">
        <v>32848</v>
      </c>
      <c r="I13415" t="s">
        <v>4776</v>
      </c>
      <c r="J13415" t="s">
        <v>41164</v>
      </c>
      <c r="K13415" t="s">
        <v>42730</v>
      </c>
      <c r="M13415" t="s">
        <v>46733</v>
      </c>
      <c r="N13415" t="s">
        <v>47424</v>
      </c>
      <c r="O13415" t="s">
        <v>47425</v>
      </c>
      <c r="P13415">
        <v>0</v>
      </c>
      <c r="Q13415">
        <v>5</v>
      </c>
      <c r="R13415" t="s">
        <v>47443</v>
      </c>
      <c r="S13415" t="s">
        <v>48115</v>
      </c>
      <c r="T13415" t="s">
        <v>49073</v>
      </c>
      <c r="U13415" t="s">
        <v>59084</v>
      </c>
      <c r="W13415" t="s">
        <v>46733</v>
      </c>
      <c r="X13415" t="s">
        <v>47444</v>
      </c>
    </row>
    <row r="13416" spans="1:24">
      <c r="A13416">
        <f>HYPERLINK("https://www.philgeps.gov.ph/GEPSNONPILOT/Tender/SplashBidNoticeAbstractUI.aspx?menuIndex=3&amp;refID=7134813&amp;Result=3","7134813")</f>
        <v>0</v>
      </c>
      <c r="B13416" t="s">
        <v>3711</v>
      </c>
      <c r="C13416" t="s">
        <v>16568</v>
      </c>
      <c r="D13416" t="s">
        <v>19045</v>
      </c>
      <c r="E13416" t="s">
        <v>30572</v>
      </c>
      <c r="F13416" t="s">
        <v>32831</v>
      </c>
      <c r="G13416" t="s">
        <v>32839</v>
      </c>
      <c r="H13416" t="s">
        <v>32848</v>
      </c>
      <c r="I13416" t="s">
        <v>32857</v>
      </c>
      <c r="J13416" t="s">
        <v>41165</v>
      </c>
      <c r="K13416" t="s">
        <v>42727</v>
      </c>
      <c r="M13416" t="s">
        <v>47101</v>
      </c>
      <c r="N13416" t="s">
        <v>47424</v>
      </c>
      <c r="O13416" t="s">
        <v>47425</v>
      </c>
      <c r="P13416">
        <v>0</v>
      </c>
      <c r="Q13416">
        <v>13</v>
      </c>
      <c r="R13416" t="s">
        <v>47443</v>
      </c>
      <c r="S13416" t="s">
        <v>48115</v>
      </c>
      <c r="T13416" t="s">
        <v>49087</v>
      </c>
      <c r="U13416" t="s">
        <v>60649</v>
      </c>
      <c r="W13416" t="s">
        <v>47101</v>
      </c>
      <c r="X13416" t="s">
        <v>47444</v>
      </c>
    </row>
    <row r="13417" spans="1:24">
      <c r="A13417">
        <f>HYPERLINK("https://www.philgeps.gov.ph/GEPSNONPILOT/Tender/SplashBidNoticeAbstractUI.aspx?menuIndex=3&amp;refID=7134807&amp;Result=3","7134807")</f>
        <v>0</v>
      </c>
      <c r="B13417" t="s">
        <v>895</v>
      </c>
      <c r="C13417" t="s">
        <v>16569</v>
      </c>
      <c r="D13417" t="s">
        <v>19036</v>
      </c>
      <c r="E13417" t="s">
        <v>30573</v>
      </c>
      <c r="F13417" t="s">
        <v>32831</v>
      </c>
      <c r="G13417" t="s">
        <v>32839</v>
      </c>
      <c r="H13417" t="s">
        <v>32848</v>
      </c>
      <c r="I13417" t="s">
        <v>7416</v>
      </c>
      <c r="J13417" t="s">
        <v>41166</v>
      </c>
      <c r="K13417" t="s">
        <v>42727</v>
      </c>
      <c r="M13417" t="s">
        <v>44963</v>
      </c>
      <c r="N13417" t="s">
        <v>47424</v>
      </c>
      <c r="O13417" t="s">
        <v>47425</v>
      </c>
      <c r="P13417">
        <v>0</v>
      </c>
      <c r="Q13417">
        <v>0</v>
      </c>
      <c r="R13417" t="s">
        <v>47443</v>
      </c>
      <c r="S13417" t="s">
        <v>48115</v>
      </c>
      <c r="T13417" t="s">
        <v>49092</v>
      </c>
      <c r="U13417" t="s">
        <v>60650</v>
      </c>
      <c r="W13417" t="s">
        <v>44963</v>
      </c>
      <c r="X13417" t="s">
        <v>47444</v>
      </c>
    </row>
    <row r="13418" spans="1:24">
      <c r="A13418">
        <f>HYPERLINK("https://www.philgeps.gov.ph/GEPSNONPILOT/Tender/SplashBidNoticeAbstractUI.aspx?menuIndex=3&amp;refID=7133783&amp;Result=3","7133783")</f>
        <v>0</v>
      </c>
      <c r="B13418" t="s">
        <v>781</v>
      </c>
      <c r="C13418" t="s">
        <v>16570</v>
      </c>
      <c r="D13418" t="s">
        <v>19040</v>
      </c>
      <c r="E13418" t="s">
        <v>30574</v>
      </c>
      <c r="F13418" t="s">
        <v>32831</v>
      </c>
      <c r="G13418" t="s">
        <v>32839</v>
      </c>
      <c r="H13418" t="s">
        <v>32848</v>
      </c>
      <c r="I13418" t="s">
        <v>10805</v>
      </c>
      <c r="J13418" t="s">
        <v>41167</v>
      </c>
      <c r="K13418" t="s">
        <v>42730</v>
      </c>
      <c r="M13418" t="s">
        <v>46733</v>
      </c>
      <c r="N13418" t="s">
        <v>47424</v>
      </c>
      <c r="O13418" t="s">
        <v>47425</v>
      </c>
      <c r="P13418">
        <v>0</v>
      </c>
      <c r="Q13418">
        <v>2</v>
      </c>
      <c r="R13418" t="s">
        <v>47443</v>
      </c>
      <c r="S13418" t="s">
        <v>48115</v>
      </c>
      <c r="T13418" t="s">
        <v>49073</v>
      </c>
      <c r="U13418" t="s">
        <v>59084</v>
      </c>
      <c r="W13418" t="s">
        <v>46733</v>
      </c>
      <c r="X13418" t="s">
        <v>47444</v>
      </c>
    </row>
    <row r="13419" spans="1:24">
      <c r="A13419">
        <f>HYPERLINK("https://www.philgeps.gov.ph/GEPSNONPILOT/Tender/SplashBidNoticeAbstractUI.aspx?menuIndex=3&amp;refID=7134791&amp;Result=3","7134791")</f>
        <v>0</v>
      </c>
      <c r="B13419" t="s">
        <v>324</v>
      </c>
      <c r="C13419" t="s">
        <v>16571</v>
      </c>
      <c r="D13419" t="s">
        <v>19049</v>
      </c>
      <c r="E13419" t="s">
        <v>30575</v>
      </c>
      <c r="F13419" t="s">
        <v>32831</v>
      </c>
      <c r="G13419" t="s">
        <v>32839</v>
      </c>
      <c r="H13419" t="s">
        <v>32848</v>
      </c>
      <c r="I13419" t="s">
        <v>32883</v>
      </c>
      <c r="J13419" t="s">
        <v>33118</v>
      </c>
      <c r="K13419" t="s">
        <v>42730</v>
      </c>
      <c r="M13419" t="s">
        <v>43940</v>
      </c>
      <c r="N13419" t="s">
        <v>47424</v>
      </c>
      <c r="O13419" t="s">
        <v>47425</v>
      </c>
      <c r="Q13419">
        <v>5</v>
      </c>
      <c r="R13419" t="s">
        <v>47443</v>
      </c>
      <c r="S13419" t="s">
        <v>48133</v>
      </c>
      <c r="T13419" t="s">
        <v>49171</v>
      </c>
      <c r="U13419" t="s">
        <v>60651</v>
      </c>
      <c r="W13419" t="s">
        <v>43940</v>
      </c>
      <c r="X13419" t="s">
        <v>47444</v>
      </c>
    </row>
    <row r="13420" spans="1:24">
      <c r="A13420">
        <f>HYPERLINK("https://www.philgeps.gov.ph/GEPSNONPILOT/Tender/SplashBidNoticeAbstractUI.aspx?menuIndex=3&amp;refID=7134779&amp;Result=3","7134779")</f>
        <v>0</v>
      </c>
      <c r="B13420" t="s">
        <v>2061</v>
      </c>
      <c r="C13420" t="s">
        <v>16572</v>
      </c>
      <c r="D13420" t="s">
        <v>19045</v>
      </c>
      <c r="E13420" t="s">
        <v>30576</v>
      </c>
      <c r="F13420" t="s">
        <v>32831</v>
      </c>
      <c r="G13420" t="s">
        <v>32839</v>
      </c>
      <c r="H13420" t="s">
        <v>32848</v>
      </c>
      <c r="I13420" t="s">
        <v>4222</v>
      </c>
      <c r="J13420" t="s">
        <v>41168</v>
      </c>
      <c r="K13420" t="s">
        <v>42727</v>
      </c>
      <c r="M13420" t="s">
        <v>46809</v>
      </c>
      <c r="N13420" t="s">
        <v>47424</v>
      </c>
      <c r="O13420" t="s">
        <v>47425</v>
      </c>
      <c r="P13420">
        <v>0</v>
      </c>
      <c r="Q13420">
        <v>4</v>
      </c>
      <c r="R13420" t="s">
        <v>47443</v>
      </c>
      <c r="S13420" t="s">
        <v>48115</v>
      </c>
      <c r="T13420" t="s">
        <v>49637</v>
      </c>
      <c r="U13420" t="s">
        <v>59377</v>
      </c>
      <c r="W13420" t="s">
        <v>46809</v>
      </c>
      <c r="X13420" t="s">
        <v>47444</v>
      </c>
    </row>
    <row r="13421" spans="1:24">
      <c r="A13421">
        <f>HYPERLINK("https://www.philgeps.gov.ph/GEPSNONPILOT/Tender/SplashBidNoticeAbstractUI.aspx?menuIndex=3&amp;refID=7134763&amp;Result=3","7134763")</f>
        <v>0</v>
      </c>
      <c r="B13421" t="s">
        <v>3712</v>
      </c>
      <c r="C13421" t="s">
        <v>16573</v>
      </c>
      <c r="D13421" t="s">
        <v>19044</v>
      </c>
      <c r="E13421" t="s">
        <v>21686</v>
      </c>
      <c r="F13421" t="s">
        <v>32831</v>
      </c>
      <c r="G13421" t="s">
        <v>32839</v>
      </c>
      <c r="H13421" t="s">
        <v>32849</v>
      </c>
      <c r="I13421" t="s">
        <v>4177</v>
      </c>
      <c r="J13421" t="s">
        <v>33140</v>
      </c>
      <c r="K13421" t="s">
        <v>42742</v>
      </c>
      <c r="M13421" t="s">
        <v>47102</v>
      </c>
      <c r="N13421" t="s">
        <v>47424</v>
      </c>
      <c r="O13421" t="s">
        <v>47425</v>
      </c>
      <c r="P13421">
        <v>0</v>
      </c>
      <c r="Q13421">
        <v>0</v>
      </c>
      <c r="R13421" t="s">
        <v>47443</v>
      </c>
      <c r="S13421" t="s">
        <v>48115</v>
      </c>
      <c r="T13421" t="s">
        <v>49111</v>
      </c>
      <c r="U13421" t="s">
        <v>60652</v>
      </c>
      <c r="W13421" t="s">
        <v>47102</v>
      </c>
      <c r="X13421" t="s">
        <v>47444</v>
      </c>
    </row>
    <row r="13422" spans="1:24">
      <c r="A13422">
        <f>HYPERLINK("https://www.philgeps.gov.ph/GEPSNONPILOT/Tender/SplashBidNoticeAbstractUI.aspx?menuIndex=3&amp;refID=7134475&amp;Result=3","7134475")</f>
        <v>0</v>
      </c>
      <c r="B13422" t="s">
        <v>2061</v>
      </c>
      <c r="C13422" t="s">
        <v>16574</v>
      </c>
      <c r="D13422" t="s">
        <v>19045</v>
      </c>
      <c r="E13422" t="s">
        <v>30577</v>
      </c>
      <c r="F13422" t="s">
        <v>32831</v>
      </c>
      <c r="G13422" t="s">
        <v>32839</v>
      </c>
      <c r="H13422" t="s">
        <v>32848</v>
      </c>
      <c r="I13422" t="s">
        <v>10805</v>
      </c>
      <c r="J13422" t="s">
        <v>35102</v>
      </c>
      <c r="K13422" t="s">
        <v>42727</v>
      </c>
      <c r="M13422" t="s">
        <v>46809</v>
      </c>
      <c r="N13422" t="s">
        <v>47424</v>
      </c>
      <c r="O13422" t="s">
        <v>47425</v>
      </c>
      <c r="P13422">
        <v>0</v>
      </c>
      <c r="Q13422">
        <v>5</v>
      </c>
      <c r="R13422" t="s">
        <v>47443</v>
      </c>
      <c r="S13422" t="s">
        <v>48115</v>
      </c>
      <c r="T13422" t="s">
        <v>49637</v>
      </c>
      <c r="U13422" t="s">
        <v>59377</v>
      </c>
      <c r="W13422" t="s">
        <v>46809</v>
      </c>
      <c r="X13422" t="s">
        <v>47444</v>
      </c>
    </row>
    <row r="13423" spans="1:24">
      <c r="A13423">
        <f>HYPERLINK("https://www.philgeps.gov.ph/GEPSNONPILOT/Tender/SplashBidNoticeAbstractUI.aspx?menuIndex=3&amp;refID=7134829&amp;Result=3","7134829")</f>
        <v>0</v>
      </c>
      <c r="B13423" t="s">
        <v>748</v>
      </c>
      <c r="C13423" t="s">
        <v>16575</v>
      </c>
      <c r="D13423" t="s">
        <v>19081</v>
      </c>
      <c r="E13423" t="s">
        <v>30578</v>
      </c>
      <c r="F13423" t="s">
        <v>32831</v>
      </c>
      <c r="G13423" t="s">
        <v>32839</v>
      </c>
      <c r="H13423" t="s">
        <v>32849</v>
      </c>
      <c r="I13423" t="s">
        <v>4177</v>
      </c>
      <c r="J13423" t="s">
        <v>33083</v>
      </c>
      <c r="K13423" t="s">
        <v>42792</v>
      </c>
      <c r="M13423" t="s">
        <v>43771</v>
      </c>
      <c r="N13423" t="s">
        <v>47424</v>
      </c>
      <c r="O13423" t="s">
        <v>47425</v>
      </c>
      <c r="P13423">
        <v>0</v>
      </c>
      <c r="Q13423">
        <v>0</v>
      </c>
      <c r="R13423" t="s">
        <v>47443</v>
      </c>
      <c r="S13423" t="s">
        <v>48115</v>
      </c>
      <c r="T13423" t="s">
        <v>49470</v>
      </c>
      <c r="U13423" t="s">
        <v>60653</v>
      </c>
      <c r="W13423" t="s">
        <v>43771</v>
      </c>
      <c r="X13423" t="s">
        <v>47444</v>
      </c>
    </row>
    <row r="13424" spans="1:24">
      <c r="A13424">
        <f>HYPERLINK("https://www.philgeps.gov.ph/GEPSNONPILOT/Tender/SplashBidNoticeAbstractUI.aspx?menuIndex=3&amp;refID=7134861&amp;Result=3","7134861")</f>
        <v>0</v>
      </c>
      <c r="B13424" t="s">
        <v>2061</v>
      </c>
      <c r="C13424" t="s">
        <v>16576</v>
      </c>
      <c r="D13424" t="s">
        <v>19045</v>
      </c>
      <c r="E13424" t="s">
        <v>30579</v>
      </c>
      <c r="F13424" t="s">
        <v>32831</v>
      </c>
      <c r="G13424" t="s">
        <v>32839</v>
      </c>
      <c r="H13424" t="s">
        <v>32848</v>
      </c>
      <c r="I13424" t="s">
        <v>4776</v>
      </c>
      <c r="J13424" t="s">
        <v>41169</v>
      </c>
      <c r="K13424" t="s">
        <v>42727</v>
      </c>
      <c r="M13424" t="s">
        <v>46809</v>
      </c>
      <c r="N13424" t="s">
        <v>47424</v>
      </c>
      <c r="O13424" t="s">
        <v>47425</v>
      </c>
      <c r="P13424">
        <v>0</v>
      </c>
      <c r="Q13424">
        <v>5</v>
      </c>
      <c r="R13424" t="s">
        <v>47443</v>
      </c>
      <c r="S13424" t="s">
        <v>48115</v>
      </c>
      <c r="T13424" t="s">
        <v>49637</v>
      </c>
      <c r="U13424" t="s">
        <v>59377</v>
      </c>
      <c r="W13424" t="s">
        <v>46809</v>
      </c>
      <c r="X13424" t="s">
        <v>47444</v>
      </c>
    </row>
    <row r="13425" spans="1:24">
      <c r="A13425">
        <f>HYPERLINK("https://www.philgeps.gov.ph/GEPSNONPILOT/Tender/SplashBidNoticeAbstractUI.aspx?menuIndex=3&amp;refID=7135029&amp;Result=3","7135029")</f>
        <v>0</v>
      </c>
      <c r="B13425" t="s">
        <v>854</v>
      </c>
      <c r="C13425" t="s">
        <v>16577</v>
      </c>
      <c r="D13425" t="s">
        <v>19057</v>
      </c>
      <c r="E13425" t="s">
        <v>30580</v>
      </c>
      <c r="F13425" t="s">
        <v>32831</v>
      </c>
      <c r="G13425" t="s">
        <v>32839</v>
      </c>
      <c r="H13425" t="s">
        <v>32848</v>
      </c>
      <c r="I13425" t="s">
        <v>32864</v>
      </c>
      <c r="J13425" t="s">
        <v>41170</v>
      </c>
      <c r="K13425" t="s">
        <v>42731</v>
      </c>
      <c r="M13425" t="s">
        <v>43887</v>
      </c>
      <c r="N13425" t="s">
        <v>47424</v>
      </c>
      <c r="O13425" t="s">
        <v>47425</v>
      </c>
      <c r="Q13425">
        <v>21</v>
      </c>
      <c r="R13425" t="s">
        <v>47443</v>
      </c>
      <c r="S13425" t="s">
        <v>48134</v>
      </c>
      <c r="T13425" t="s">
        <v>49105</v>
      </c>
      <c r="U13425" t="s">
        <v>60654</v>
      </c>
      <c r="W13425" t="s">
        <v>43887</v>
      </c>
      <c r="X13425" t="s">
        <v>47444</v>
      </c>
    </row>
    <row r="13426" spans="1:24">
      <c r="A13426">
        <f>HYPERLINK("https://www.philgeps.gov.ph/GEPSNONPILOT/Tender/SplashBidNoticeAbstractUI.aspx?menuIndex=3&amp;refID=7135027&amp;Result=3","7135027")</f>
        <v>0</v>
      </c>
      <c r="B13426" t="s">
        <v>3527</v>
      </c>
      <c r="C13426" t="s">
        <v>16578</v>
      </c>
      <c r="D13426" t="s">
        <v>19091</v>
      </c>
      <c r="E13426" t="s">
        <v>30581</v>
      </c>
      <c r="F13426" t="s">
        <v>32831</v>
      </c>
      <c r="G13426" t="s">
        <v>32839</v>
      </c>
      <c r="H13426" t="s">
        <v>32849</v>
      </c>
      <c r="I13426" t="s">
        <v>4177</v>
      </c>
      <c r="J13426" t="s">
        <v>41171</v>
      </c>
      <c r="K13426" t="s">
        <v>42852</v>
      </c>
      <c r="M13426" t="s">
        <v>47103</v>
      </c>
      <c r="N13426" t="s">
        <v>47424</v>
      </c>
      <c r="O13426" t="s">
        <v>47425</v>
      </c>
      <c r="P13426">
        <v>0</v>
      </c>
      <c r="Q13426">
        <v>3</v>
      </c>
      <c r="R13426" t="s">
        <v>47443</v>
      </c>
      <c r="S13426" t="s">
        <v>48115</v>
      </c>
      <c r="T13426" t="s">
        <v>49073</v>
      </c>
      <c r="U13426" t="s">
        <v>60655</v>
      </c>
      <c r="W13426" t="s">
        <v>47103</v>
      </c>
      <c r="X13426" t="s">
        <v>47444</v>
      </c>
    </row>
    <row r="13427" spans="1:24">
      <c r="A13427">
        <f>HYPERLINK("https://www.philgeps.gov.ph/GEPSNONPILOT/Tender/SplashBidNoticeAbstractUI.aspx?menuIndex=3&amp;refID=7135013&amp;Result=3","7135013")</f>
        <v>0</v>
      </c>
      <c r="B13427" t="s">
        <v>3713</v>
      </c>
      <c r="C13427" t="s">
        <v>16579</v>
      </c>
      <c r="D13427" t="s">
        <v>19025</v>
      </c>
      <c r="E13427" t="s">
        <v>30582</v>
      </c>
      <c r="F13427" t="s">
        <v>32831</v>
      </c>
      <c r="G13427" t="s">
        <v>32839</v>
      </c>
      <c r="H13427" t="s">
        <v>32849</v>
      </c>
      <c r="I13427" t="s">
        <v>4177</v>
      </c>
      <c r="J13427" t="s">
        <v>33528</v>
      </c>
      <c r="K13427" t="s">
        <v>42757</v>
      </c>
      <c r="M13427" t="s">
        <v>47104</v>
      </c>
      <c r="N13427" t="s">
        <v>47424</v>
      </c>
      <c r="O13427" t="s">
        <v>47425</v>
      </c>
      <c r="P13427">
        <v>0</v>
      </c>
      <c r="Q13427">
        <v>0</v>
      </c>
      <c r="R13427" t="s">
        <v>47443</v>
      </c>
      <c r="S13427" t="s">
        <v>48115</v>
      </c>
      <c r="T13427" t="s">
        <v>49080</v>
      </c>
      <c r="U13427" t="s">
        <v>60656</v>
      </c>
      <c r="W13427" t="s">
        <v>47104</v>
      </c>
      <c r="X13427" t="s">
        <v>47444</v>
      </c>
    </row>
    <row r="13428" spans="1:24">
      <c r="A13428">
        <f>HYPERLINK("https://www.philgeps.gov.ph/GEPSNONPILOT/Tender/SplashBidNoticeAbstractUI.aspx?menuIndex=3&amp;refID=7134762&amp;Result=3","7134762")</f>
        <v>0</v>
      </c>
      <c r="B13428" t="s">
        <v>823</v>
      </c>
      <c r="C13428" t="s">
        <v>16580</v>
      </c>
      <c r="D13428" t="s">
        <v>19062</v>
      </c>
      <c r="E13428" t="s">
        <v>30583</v>
      </c>
      <c r="F13428" t="s">
        <v>32831</v>
      </c>
      <c r="G13428" t="s">
        <v>32839</v>
      </c>
      <c r="H13428" t="s">
        <v>32849</v>
      </c>
      <c r="I13428" t="s">
        <v>4177</v>
      </c>
      <c r="J13428" t="s">
        <v>41172</v>
      </c>
      <c r="K13428" t="s">
        <v>42757</v>
      </c>
      <c r="M13428" t="s">
        <v>45573</v>
      </c>
      <c r="N13428" t="s">
        <v>47424</v>
      </c>
      <c r="O13428" t="s">
        <v>47425</v>
      </c>
      <c r="P13428">
        <v>0</v>
      </c>
      <c r="Q13428">
        <v>1</v>
      </c>
      <c r="R13428" t="s">
        <v>47443</v>
      </c>
      <c r="S13428" t="s">
        <v>48115</v>
      </c>
      <c r="T13428" t="s">
        <v>49087</v>
      </c>
      <c r="U13428" t="s">
        <v>55315</v>
      </c>
      <c r="W13428" t="s">
        <v>45573</v>
      </c>
      <c r="X13428" t="s">
        <v>47444</v>
      </c>
    </row>
    <row r="13429" spans="1:24">
      <c r="A13429">
        <f>HYPERLINK("https://www.philgeps.gov.ph/GEPSNONPILOT/Tender/SplashBidNoticeAbstractUI.aspx?menuIndex=3&amp;refID=7134996&amp;Result=3","7134996")</f>
        <v>0</v>
      </c>
      <c r="B13429" t="s">
        <v>3714</v>
      </c>
      <c r="C13429" t="s">
        <v>16581</v>
      </c>
      <c r="D13429" t="s">
        <v>19060</v>
      </c>
      <c r="E13429" t="s">
        <v>30584</v>
      </c>
      <c r="F13429" t="s">
        <v>32831</v>
      </c>
      <c r="G13429" t="s">
        <v>32839</v>
      </c>
      <c r="H13429" t="s">
        <v>32848</v>
      </c>
      <c r="I13429" t="s">
        <v>32883</v>
      </c>
      <c r="J13429" t="s">
        <v>36671</v>
      </c>
      <c r="K13429" t="s">
        <v>42732</v>
      </c>
      <c r="M13429" t="s">
        <v>47105</v>
      </c>
      <c r="N13429" t="s">
        <v>47424</v>
      </c>
      <c r="O13429" t="s">
        <v>47425</v>
      </c>
      <c r="P13429">
        <v>0</v>
      </c>
      <c r="Q13429">
        <v>6</v>
      </c>
      <c r="R13429" t="s">
        <v>47443</v>
      </c>
      <c r="S13429" t="s">
        <v>48115</v>
      </c>
      <c r="T13429" t="s">
        <v>49068</v>
      </c>
      <c r="U13429" t="s">
        <v>60657</v>
      </c>
      <c r="W13429" t="s">
        <v>47105</v>
      </c>
      <c r="X13429" t="s">
        <v>47444</v>
      </c>
    </row>
    <row r="13430" spans="1:24">
      <c r="A13430">
        <f>HYPERLINK("https://www.philgeps.gov.ph/GEPSNONPILOT/Tender/SplashBidNoticeAbstractUI.aspx?menuIndex=3&amp;refID=7134993&amp;Result=3","7134993")</f>
        <v>0</v>
      </c>
      <c r="B13430" t="s">
        <v>954</v>
      </c>
      <c r="C13430" t="s">
        <v>16582</v>
      </c>
      <c r="D13430" t="s">
        <v>19043</v>
      </c>
      <c r="E13430" t="s">
        <v>30585</v>
      </c>
      <c r="F13430" t="s">
        <v>32831</v>
      </c>
      <c r="G13430" t="s">
        <v>32839</v>
      </c>
      <c r="H13430" t="s">
        <v>32848</v>
      </c>
      <c r="I13430" t="s">
        <v>8577</v>
      </c>
      <c r="J13430" t="s">
        <v>33644</v>
      </c>
      <c r="K13430" t="s">
        <v>42745</v>
      </c>
      <c r="M13430" t="s">
        <v>44000</v>
      </c>
      <c r="N13430" t="s">
        <v>47424</v>
      </c>
      <c r="O13430" t="s">
        <v>47425</v>
      </c>
      <c r="P13430">
        <v>0</v>
      </c>
      <c r="Q13430">
        <v>5</v>
      </c>
      <c r="R13430" t="s">
        <v>47443</v>
      </c>
      <c r="S13430" t="s">
        <v>48115</v>
      </c>
      <c r="T13430" t="s">
        <v>49150</v>
      </c>
      <c r="U13430" t="s">
        <v>60658</v>
      </c>
      <c r="V13430" t="s">
        <v>64127</v>
      </c>
      <c r="W13430" t="s">
        <v>44000</v>
      </c>
      <c r="X13430" t="s">
        <v>47444</v>
      </c>
    </row>
    <row r="13431" spans="1:24">
      <c r="A13431">
        <f>HYPERLINK("https://www.philgeps.gov.ph/GEPSNONPILOT/Tender/SplashBidNoticeAbstractUI.aspx?menuIndex=3&amp;refID=7134970&amp;Result=3","7134970")</f>
        <v>0</v>
      </c>
      <c r="B13431" t="s">
        <v>2560</v>
      </c>
      <c r="C13431" t="s">
        <v>16583</v>
      </c>
      <c r="D13431" t="s">
        <v>19042</v>
      </c>
      <c r="E13431" t="s">
        <v>30586</v>
      </c>
      <c r="F13431" t="s">
        <v>32831</v>
      </c>
      <c r="G13431" t="s">
        <v>32839</v>
      </c>
      <c r="H13431" t="s">
        <v>32849</v>
      </c>
      <c r="I13431" t="s">
        <v>4177</v>
      </c>
      <c r="J13431" t="s">
        <v>41173</v>
      </c>
      <c r="K13431" t="s">
        <v>42848</v>
      </c>
      <c r="M13431" t="s">
        <v>45774</v>
      </c>
      <c r="N13431" t="s">
        <v>47424</v>
      </c>
      <c r="O13431" t="s">
        <v>47425</v>
      </c>
      <c r="P13431">
        <v>0</v>
      </c>
      <c r="Q13431">
        <v>0</v>
      </c>
      <c r="R13431" t="s">
        <v>47443</v>
      </c>
      <c r="S13431" t="s">
        <v>48115</v>
      </c>
      <c r="T13431" t="s">
        <v>49056</v>
      </c>
      <c r="U13431" t="s">
        <v>60659</v>
      </c>
      <c r="W13431" t="s">
        <v>45774</v>
      </c>
      <c r="X13431" t="s">
        <v>47444</v>
      </c>
    </row>
    <row r="13432" spans="1:24">
      <c r="A13432">
        <f>HYPERLINK("https://www.philgeps.gov.ph/GEPSNONPILOT/Tender/SplashBidNoticeAbstractUI.aspx?menuIndex=3&amp;refID=7134956&amp;Result=3","7134956")</f>
        <v>0</v>
      </c>
      <c r="B13432" t="s">
        <v>2695</v>
      </c>
      <c r="C13432" t="s">
        <v>16584</v>
      </c>
      <c r="D13432" t="s">
        <v>19078</v>
      </c>
      <c r="E13432" t="s">
        <v>19520</v>
      </c>
      <c r="F13432" t="s">
        <v>32831</v>
      </c>
      <c r="G13432" t="s">
        <v>32839</v>
      </c>
      <c r="H13432" t="s">
        <v>32848</v>
      </c>
      <c r="I13432" t="s">
        <v>4776</v>
      </c>
      <c r="J13432" t="s">
        <v>35125</v>
      </c>
      <c r="K13432" t="s">
        <v>42727</v>
      </c>
      <c r="M13432" t="s">
        <v>45920</v>
      </c>
      <c r="N13432" t="s">
        <v>47424</v>
      </c>
      <c r="O13432" t="s">
        <v>47425</v>
      </c>
      <c r="P13432">
        <v>0</v>
      </c>
      <c r="Q13432">
        <v>3</v>
      </c>
      <c r="R13432" t="s">
        <v>47443</v>
      </c>
      <c r="S13432" t="s">
        <v>48115</v>
      </c>
      <c r="T13432" t="s">
        <v>49108</v>
      </c>
      <c r="U13432" t="s">
        <v>60660</v>
      </c>
      <c r="W13432" t="s">
        <v>45920</v>
      </c>
      <c r="X13432" t="s">
        <v>47444</v>
      </c>
    </row>
    <row r="13433" spans="1:24">
      <c r="A13433">
        <f>HYPERLINK("https://www.philgeps.gov.ph/GEPSNONPILOT/Tender/SplashBidNoticeAbstractUI.aspx?menuIndex=3&amp;refID=7134936&amp;Result=3","7134936")</f>
        <v>0</v>
      </c>
      <c r="B13433" t="s">
        <v>2695</v>
      </c>
      <c r="C13433" t="s">
        <v>16585</v>
      </c>
      <c r="D13433" t="s">
        <v>19078</v>
      </c>
      <c r="E13433" t="s">
        <v>19311</v>
      </c>
      <c r="F13433" t="s">
        <v>32831</v>
      </c>
      <c r="G13433" t="s">
        <v>32839</v>
      </c>
      <c r="H13433" t="s">
        <v>32849</v>
      </c>
      <c r="I13433" t="s">
        <v>4177</v>
      </c>
      <c r="J13433" t="s">
        <v>41174</v>
      </c>
      <c r="K13433" t="s">
        <v>42743</v>
      </c>
      <c r="M13433" t="s">
        <v>45920</v>
      </c>
      <c r="N13433" t="s">
        <v>47424</v>
      </c>
      <c r="O13433" t="s">
        <v>47425</v>
      </c>
      <c r="P13433">
        <v>0</v>
      </c>
      <c r="Q13433">
        <v>1</v>
      </c>
      <c r="R13433" t="s">
        <v>47443</v>
      </c>
      <c r="S13433" t="s">
        <v>48115</v>
      </c>
      <c r="T13433" t="s">
        <v>49108</v>
      </c>
      <c r="U13433" t="s">
        <v>60661</v>
      </c>
      <c r="W13433" t="s">
        <v>45920</v>
      </c>
      <c r="X13433" t="s">
        <v>47444</v>
      </c>
    </row>
    <row r="13434" spans="1:24">
      <c r="A13434">
        <f>HYPERLINK("https://www.philgeps.gov.ph/GEPSNONPILOT/Tender/SplashBidNoticeAbstractUI.aspx?menuIndex=3&amp;refID=7134926&amp;Result=3","7134926")</f>
        <v>0</v>
      </c>
      <c r="B13434" t="s">
        <v>1949</v>
      </c>
      <c r="C13434" t="s">
        <v>16586</v>
      </c>
      <c r="D13434" t="s">
        <v>19045</v>
      </c>
      <c r="E13434" t="s">
        <v>30587</v>
      </c>
      <c r="F13434" t="s">
        <v>32831</v>
      </c>
      <c r="G13434" t="s">
        <v>32839</v>
      </c>
      <c r="H13434" t="s">
        <v>32848</v>
      </c>
      <c r="I13434" t="s">
        <v>4222</v>
      </c>
      <c r="J13434" t="s">
        <v>41175</v>
      </c>
      <c r="K13434" t="s">
        <v>42738</v>
      </c>
      <c r="M13434" t="s">
        <v>45132</v>
      </c>
      <c r="N13434" t="s">
        <v>47424</v>
      </c>
      <c r="O13434" t="s">
        <v>47425</v>
      </c>
      <c r="P13434">
        <v>0</v>
      </c>
      <c r="Q13434">
        <v>7</v>
      </c>
      <c r="R13434" t="s">
        <v>47443</v>
      </c>
      <c r="S13434" t="s">
        <v>48115</v>
      </c>
      <c r="T13434" t="s">
        <v>49148</v>
      </c>
      <c r="U13434" t="s">
        <v>60662</v>
      </c>
      <c r="W13434" t="s">
        <v>45132</v>
      </c>
      <c r="X13434" t="s">
        <v>47444</v>
      </c>
    </row>
    <row r="13435" spans="1:24">
      <c r="A13435">
        <f>HYPERLINK("https://www.philgeps.gov.ph/GEPSNONPILOT/Tender/SplashBidNoticeAbstractUI.aspx?menuIndex=3&amp;refID=6720290&amp;Result=3","6720290")</f>
        <v>0</v>
      </c>
      <c r="B13435" t="s">
        <v>3715</v>
      </c>
      <c r="C13435" t="s">
        <v>16587</v>
      </c>
      <c r="D13435" t="s">
        <v>19022</v>
      </c>
      <c r="E13435" t="s">
        <v>30588</v>
      </c>
      <c r="F13435" t="s">
        <v>32831</v>
      </c>
      <c r="G13435" t="s">
        <v>32839</v>
      </c>
      <c r="H13435" t="s">
        <v>32849</v>
      </c>
      <c r="I13435" t="s">
        <v>7416</v>
      </c>
      <c r="J13435" t="s">
        <v>33072</v>
      </c>
      <c r="K13435" t="s">
        <v>42747</v>
      </c>
      <c r="M13435" t="s">
        <v>47106</v>
      </c>
      <c r="N13435" t="s">
        <v>47424</v>
      </c>
      <c r="O13435" t="s">
        <v>47425</v>
      </c>
      <c r="P13435">
        <v>0</v>
      </c>
      <c r="Q13435">
        <v>3</v>
      </c>
      <c r="R13435" t="s">
        <v>47444</v>
      </c>
      <c r="S13435" t="s">
        <v>48135</v>
      </c>
      <c r="T13435" t="s">
        <v>49146</v>
      </c>
      <c r="U13435" t="s">
        <v>60663</v>
      </c>
      <c r="W13435" t="s">
        <v>47106</v>
      </c>
      <c r="X13435" t="s">
        <v>64574</v>
      </c>
    </row>
    <row r="13436" spans="1:24">
      <c r="A13436">
        <f>HYPERLINK("https://www.philgeps.gov.ph/GEPSNONPILOT/Tender/SplashBidNoticeAbstractUI.aspx?menuIndex=3&amp;refID=7135328&amp;Result=3","7135328")</f>
        <v>0</v>
      </c>
      <c r="B13436" t="s">
        <v>3233</v>
      </c>
      <c r="C13436" t="s">
        <v>16588</v>
      </c>
      <c r="D13436" t="s">
        <v>19053</v>
      </c>
      <c r="E13436" t="s">
        <v>30589</v>
      </c>
      <c r="F13436" t="s">
        <v>32831</v>
      </c>
      <c r="G13436" t="s">
        <v>32839</v>
      </c>
      <c r="H13436" t="s">
        <v>32850</v>
      </c>
      <c r="I13436" t="s">
        <v>11727</v>
      </c>
      <c r="J13436" t="s">
        <v>41176</v>
      </c>
      <c r="K13436" t="s">
        <v>42727</v>
      </c>
      <c r="M13436" t="s">
        <v>46547</v>
      </c>
      <c r="N13436" t="s">
        <v>47424</v>
      </c>
      <c r="O13436" t="s">
        <v>47425</v>
      </c>
      <c r="P13436">
        <v>0</v>
      </c>
      <c r="Q13436">
        <v>0</v>
      </c>
      <c r="R13436" t="s">
        <v>47443</v>
      </c>
      <c r="S13436" t="s">
        <v>48115</v>
      </c>
      <c r="T13436" t="s">
        <v>49237</v>
      </c>
      <c r="U13436" t="s">
        <v>60664</v>
      </c>
      <c r="W13436" t="s">
        <v>46547</v>
      </c>
      <c r="X13436" t="s">
        <v>47444</v>
      </c>
    </row>
    <row r="13437" spans="1:24">
      <c r="A13437">
        <f>HYPERLINK("https://www.philgeps.gov.ph/GEPSNONPILOT/Tender/SplashBidNoticeAbstractUI.aspx?menuIndex=3&amp;refID=7134974&amp;Result=3","7134974")</f>
        <v>0</v>
      </c>
      <c r="B13437" t="s">
        <v>2383</v>
      </c>
      <c r="C13437" t="s">
        <v>8514</v>
      </c>
      <c r="D13437" t="s">
        <v>19055</v>
      </c>
      <c r="E13437" t="s">
        <v>30590</v>
      </c>
      <c r="F13437" t="s">
        <v>32831</v>
      </c>
      <c r="G13437" t="s">
        <v>32839</v>
      </c>
      <c r="H13437" t="s">
        <v>32848</v>
      </c>
      <c r="I13437" t="s">
        <v>7416</v>
      </c>
      <c r="J13437" t="s">
        <v>41177</v>
      </c>
      <c r="K13437" t="s">
        <v>42730</v>
      </c>
      <c r="M13437" t="s">
        <v>45572</v>
      </c>
      <c r="N13437" t="s">
        <v>47424</v>
      </c>
      <c r="O13437" t="s">
        <v>47425</v>
      </c>
      <c r="P13437">
        <v>0</v>
      </c>
      <c r="Q13437">
        <v>0</v>
      </c>
      <c r="R13437" t="s">
        <v>47443</v>
      </c>
      <c r="S13437" t="s">
        <v>48115</v>
      </c>
      <c r="T13437" t="s">
        <v>49127</v>
      </c>
      <c r="U13437" t="s">
        <v>55311</v>
      </c>
      <c r="V13437" t="s">
        <v>64128</v>
      </c>
      <c r="W13437" t="s">
        <v>45572</v>
      </c>
      <c r="X13437" t="s">
        <v>47444</v>
      </c>
    </row>
    <row r="13438" spans="1:24">
      <c r="A13438">
        <f>HYPERLINK("https://www.philgeps.gov.ph/GEPSNONPILOT/Tender/SplashBidNoticeAbstractUI.aspx?menuIndex=3&amp;refID=7135028&amp;Result=3","7135028")</f>
        <v>0</v>
      </c>
      <c r="B13438" t="s">
        <v>3713</v>
      </c>
      <c r="C13438" t="s">
        <v>16589</v>
      </c>
      <c r="D13438" t="s">
        <v>19025</v>
      </c>
      <c r="E13438" t="s">
        <v>30591</v>
      </c>
      <c r="F13438" t="s">
        <v>32831</v>
      </c>
      <c r="G13438" t="s">
        <v>32839</v>
      </c>
      <c r="H13438" t="s">
        <v>32849</v>
      </c>
      <c r="I13438" t="s">
        <v>4177</v>
      </c>
      <c r="J13438" t="s">
        <v>33066</v>
      </c>
      <c r="K13438" t="s">
        <v>42757</v>
      </c>
      <c r="M13438" t="s">
        <v>47104</v>
      </c>
      <c r="N13438" t="s">
        <v>47424</v>
      </c>
      <c r="O13438" t="s">
        <v>47425</v>
      </c>
      <c r="P13438">
        <v>0</v>
      </c>
      <c r="Q13438">
        <v>0</v>
      </c>
      <c r="R13438" t="s">
        <v>47443</v>
      </c>
      <c r="S13438" t="s">
        <v>48115</v>
      </c>
      <c r="T13438" t="s">
        <v>49080</v>
      </c>
      <c r="U13438" t="s">
        <v>60665</v>
      </c>
      <c r="W13438" t="s">
        <v>47104</v>
      </c>
      <c r="X13438" t="s">
        <v>47444</v>
      </c>
    </row>
    <row r="13439" spans="1:24">
      <c r="A13439">
        <f>HYPERLINK("https://www.philgeps.gov.ph/GEPSNONPILOT/Tender/SplashBidNoticeAbstractUI.aspx?menuIndex=3&amp;refID=7135022&amp;Result=3","7135022")</f>
        <v>0</v>
      </c>
      <c r="B13439" t="s">
        <v>3713</v>
      </c>
      <c r="C13439" t="s">
        <v>16590</v>
      </c>
      <c r="D13439" t="s">
        <v>19025</v>
      </c>
      <c r="E13439" t="s">
        <v>30592</v>
      </c>
      <c r="F13439" t="s">
        <v>32831</v>
      </c>
      <c r="G13439" t="s">
        <v>32839</v>
      </c>
      <c r="H13439" t="s">
        <v>32849</v>
      </c>
      <c r="I13439" t="s">
        <v>4177</v>
      </c>
      <c r="J13439" t="s">
        <v>33111</v>
      </c>
      <c r="K13439" t="s">
        <v>42770</v>
      </c>
      <c r="M13439" t="s">
        <v>47104</v>
      </c>
      <c r="N13439" t="s">
        <v>47424</v>
      </c>
      <c r="O13439" t="s">
        <v>47425</v>
      </c>
      <c r="P13439">
        <v>0</v>
      </c>
      <c r="Q13439">
        <v>0</v>
      </c>
      <c r="R13439" t="s">
        <v>47443</v>
      </c>
      <c r="S13439" t="s">
        <v>48115</v>
      </c>
      <c r="T13439" t="s">
        <v>49080</v>
      </c>
      <c r="U13439" t="s">
        <v>60666</v>
      </c>
      <c r="W13439" t="s">
        <v>47104</v>
      </c>
      <c r="X13439" t="s">
        <v>47444</v>
      </c>
    </row>
    <row r="13440" spans="1:24">
      <c r="A13440">
        <f>HYPERLINK("https://www.philgeps.gov.ph/GEPSNONPILOT/Tender/SplashBidNoticeAbstractUI.aspx?menuIndex=3&amp;refID=7135209&amp;Result=3","7135209")</f>
        <v>0</v>
      </c>
      <c r="B13440" t="s">
        <v>1261</v>
      </c>
      <c r="C13440" t="s">
        <v>16591</v>
      </c>
      <c r="D13440" t="s">
        <v>19040</v>
      </c>
      <c r="E13440" t="s">
        <v>30593</v>
      </c>
      <c r="F13440" t="s">
        <v>32831</v>
      </c>
      <c r="G13440" t="s">
        <v>32839</v>
      </c>
      <c r="H13440" t="s">
        <v>32848</v>
      </c>
      <c r="I13440" t="s">
        <v>32859</v>
      </c>
      <c r="J13440" t="s">
        <v>41178</v>
      </c>
      <c r="K13440" t="s">
        <v>42730</v>
      </c>
      <c r="M13440" t="s">
        <v>44331</v>
      </c>
      <c r="N13440" t="s">
        <v>47424</v>
      </c>
      <c r="O13440" t="s">
        <v>47425</v>
      </c>
      <c r="P13440">
        <v>0</v>
      </c>
      <c r="Q13440">
        <v>1</v>
      </c>
      <c r="R13440" t="s">
        <v>47443</v>
      </c>
      <c r="S13440" t="s">
        <v>48115</v>
      </c>
      <c r="T13440" t="s">
        <v>49159</v>
      </c>
      <c r="U13440" t="s">
        <v>60667</v>
      </c>
      <c r="W13440" t="s">
        <v>44331</v>
      </c>
      <c r="X13440" t="s">
        <v>47444</v>
      </c>
    </row>
    <row r="13441" spans="1:24">
      <c r="A13441">
        <f>HYPERLINK("https://www.philgeps.gov.ph/GEPSNONPILOT/Tender/SplashBidNoticeAbstractUI.aspx?menuIndex=3&amp;refID=7135205&amp;Result=3","7135205")</f>
        <v>0</v>
      </c>
      <c r="B13441" t="s">
        <v>1261</v>
      </c>
      <c r="C13441" t="s">
        <v>16592</v>
      </c>
      <c r="D13441" t="s">
        <v>19040</v>
      </c>
      <c r="E13441" t="s">
        <v>30594</v>
      </c>
      <c r="F13441" t="s">
        <v>32831</v>
      </c>
      <c r="G13441" t="s">
        <v>32839</v>
      </c>
      <c r="H13441" t="s">
        <v>32848</v>
      </c>
      <c r="I13441" t="s">
        <v>4438</v>
      </c>
      <c r="J13441" t="s">
        <v>41179</v>
      </c>
      <c r="K13441" t="s">
        <v>42730</v>
      </c>
      <c r="M13441" t="s">
        <v>44331</v>
      </c>
      <c r="N13441" t="s">
        <v>47424</v>
      </c>
      <c r="O13441" t="s">
        <v>47425</v>
      </c>
      <c r="P13441">
        <v>0</v>
      </c>
      <c r="Q13441">
        <v>0</v>
      </c>
      <c r="R13441" t="s">
        <v>47443</v>
      </c>
      <c r="S13441" t="s">
        <v>48115</v>
      </c>
      <c r="T13441" t="s">
        <v>49159</v>
      </c>
      <c r="U13441" t="s">
        <v>60668</v>
      </c>
      <c r="W13441" t="s">
        <v>44331</v>
      </c>
      <c r="X13441" t="s">
        <v>47444</v>
      </c>
    </row>
    <row r="13442" spans="1:24">
      <c r="A13442">
        <f>HYPERLINK("https://www.philgeps.gov.ph/GEPSNONPILOT/Tender/SplashBidNoticeAbstractUI.aspx?menuIndex=3&amp;refID=7135204&amp;Result=3","7135204")</f>
        <v>0</v>
      </c>
      <c r="B13442" t="s">
        <v>3716</v>
      </c>
      <c r="C13442" t="s">
        <v>16593</v>
      </c>
      <c r="D13442" t="s">
        <v>19017</v>
      </c>
      <c r="E13442" t="s">
        <v>30595</v>
      </c>
      <c r="F13442" t="s">
        <v>32831</v>
      </c>
      <c r="G13442" t="s">
        <v>32841</v>
      </c>
      <c r="H13442" t="s">
        <v>32849</v>
      </c>
      <c r="I13442" t="s">
        <v>4177</v>
      </c>
      <c r="J13442" t="s">
        <v>41180</v>
      </c>
      <c r="K13442" t="s">
        <v>42731</v>
      </c>
      <c r="M13442" t="s">
        <v>47107</v>
      </c>
      <c r="N13442" t="s">
        <v>47424</v>
      </c>
      <c r="O13442" t="s">
        <v>47425</v>
      </c>
      <c r="P13442">
        <v>0</v>
      </c>
      <c r="Q13442">
        <v>1</v>
      </c>
      <c r="R13442" t="s">
        <v>47443</v>
      </c>
      <c r="S13442" t="s">
        <v>48115</v>
      </c>
      <c r="T13442" t="s">
        <v>49212</v>
      </c>
      <c r="U13442" t="s">
        <v>60669</v>
      </c>
      <c r="V13442" t="s">
        <v>64129</v>
      </c>
      <c r="W13442" t="s">
        <v>47107</v>
      </c>
      <c r="X13442" t="s">
        <v>47444</v>
      </c>
    </row>
    <row r="13443" spans="1:24">
      <c r="A13443">
        <f>HYPERLINK("https://www.philgeps.gov.ph/GEPSNONPILOT/Tender/SplashBidNoticeAbstractUI.aspx?menuIndex=3&amp;refID=7135201&amp;Result=3","7135201")</f>
        <v>0</v>
      </c>
      <c r="B13443" t="s">
        <v>1261</v>
      </c>
      <c r="C13443" t="s">
        <v>16594</v>
      </c>
      <c r="D13443" t="s">
        <v>19040</v>
      </c>
      <c r="E13443" t="s">
        <v>30596</v>
      </c>
      <c r="F13443" t="s">
        <v>32831</v>
      </c>
      <c r="G13443" t="s">
        <v>32839</v>
      </c>
      <c r="H13443" t="s">
        <v>32848</v>
      </c>
      <c r="I13443" t="s">
        <v>7416</v>
      </c>
      <c r="J13443" t="s">
        <v>41181</v>
      </c>
      <c r="K13443" t="s">
        <v>42813</v>
      </c>
      <c r="M13443" t="s">
        <v>44331</v>
      </c>
      <c r="N13443" t="s">
        <v>47424</v>
      </c>
      <c r="O13443" t="s">
        <v>47425</v>
      </c>
      <c r="P13443">
        <v>0</v>
      </c>
      <c r="Q13443">
        <v>0</v>
      </c>
      <c r="R13443" t="s">
        <v>47443</v>
      </c>
      <c r="S13443" t="s">
        <v>48115</v>
      </c>
      <c r="T13443" t="s">
        <v>49159</v>
      </c>
      <c r="U13443" t="s">
        <v>60670</v>
      </c>
      <c r="W13443" t="s">
        <v>44331</v>
      </c>
      <c r="X13443" t="s">
        <v>47444</v>
      </c>
    </row>
    <row r="13444" spans="1:24">
      <c r="A13444">
        <f>HYPERLINK("https://www.philgeps.gov.ph/GEPSNONPILOT/Tender/SplashBidNoticeAbstractUI.aspx?menuIndex=3&amp;refID=7135190&amp;Result=3","7135190")</f>
        <v>0</v>
      </c>
      <c r="B13444" t="s">
        <v>1261</v>
      </c>
      <c r="C13444" t="s">
        <v>16595</v>
      </c>
      <c r="D13444" t="s">
        <v>19040</v>
      </c>
      <c r="E13444" t="s">
        <v>30597</v>
      </c>
      <c r="F13444" t="s">
        <v>32831</v>
      </c>
      <c r="G13444" t="s">
        <v>32839</v>
      </c>
      <c r="H13444" t="s">
        <v>32849</v>
      </c>
      <c r="I13444" t="s">
        <v>4177</v>
      </c>
      <c r="J13444" t="s">
        <v>41182</v>
      </c>
      <c r="K13444" t="s">
        <v>42765</v>
      </c>
      <c r="M13444" t="s">
        <v>44331</v>
      </c>
      <c r="N13444" t="s">
        <v>47424</v>
      </c>
      <c r="O13444" t="s">
        <v>47425</v>
      </c>
      <c r="P13444">
        <v>0</v>
      </c>
      <c r="Q13444">
        <v>0</v>
      </c>
      <c r="R13444" t="s">
        <v>47443</v>
      </c>
      <c r="S13444" t="s">
        <v>48115</v>
      </c>
      <c r="T13444" t="s">
        <v>49159</v>
      </c>
      <c r="U13444" t="s">
        <v>60671</v>
      </c>
      <c r="W13444" t="s">
        <v>44331</v>
      </c>
      <c r="X13444" t="s">
        <v>47444</v>
      </c>
    </row>
    <row r="13445" spans="1:24">
      <c r="A13445">
        <f>HYPERLINK("https://www.philgeps.gov.ph/GEPSNONPILOT/Tender/SplashBidNoticeAbstractUI.aspx?menuIndex=3&amp;refID=7134787&amp;Result=3","7134787")</f>
        <v>0</v>
      </c>
      <c r="B13445" t="s">
        <v>3717</v>
      </c>
      <c r="C13445" t="s">
        <v>16596</v>
      </c>
      <c r="D13445" t="s">
        <v>19037</v>
      </c>
      <c r="E13445" t="s">
        <v>30598</v>
      </c>
      <c r="F13445" t="s">
        <v>32831</v>
      </c>
      <c r="G13445" t="s">
        <v>32839</v>
      </c>
      <c r="H13445" t="s">
        <v>32849</v>
      </c>
      <c r="I13445" t="s">
        <v>4177</v>
      </c>
      <c r="J13445" t="s">
        <v>33078</v>
      </c>
      <c r="K13445" t="s">
        <v>42780</v>
      </c>
      <c r="M13445" t="s">
        <v>47108</v>
      </c>
      <c r="N13445" t="s">
        <v>47424</v>
      </c>
      <c r="O13445" t="s">
        <v>47425</v>
      </c>
      <c r="P13445">
        <v>0</v>
      </c>
      <c r="Q13445">
        <v>2</v>
      </c>
      <c r="R13445" t="s">
        <v>47443</v>
      </c>
      <c r="S13445" t="s">
        <v>48115</v>
      </c>
      <c r="T13445" t="s">
        <v>49363</v>
      </c>
      <c r="U13445" t="s">
        <v>60672</v>
      </c>
      <c r="V13445" t="s">
        <v>64130</v>
      </c>
      <c r="W13445" t="s">
        <v>47108</v>
      </c>
      <c r="X13445" t="s">
        <v>47444</v>
      </c>
    </row>
    <row r="13446" spans="1:24">
      <c r="A13446">
        <f>HYPERLINK("https://www.philgeps.gov.ph/GEPSNONPILOT/Tender/SplashBidNoticeAbstractUI.aspx?menuIndex=3&amp;refID=7135184&amp;Result=3","7135184")</f>
        <v>0</v>
      </c>
      <c r="B13446" t="s">
        <v>832</v>
      </c>
      <c r="C13446" t="s">
        <v>16597</v>
      </c>
      <c r="D13446" t="s">
        <v>19101</v>
      </c>
      <c r="E13446" t="s">
        <v>30599</v>
      </c>
      <c r="F13446" t="s">
        <v>32831</v>
      </c>
      <c r="G13446" t="s">
        <v>32839</v>
      </c>
      <c r="H13446" t="s">
        <v>32848</v>
      </c>
      <c r="I13446" t="s">
        <v>32895</v>
      </c>
      <c r="J13446" t="s">
        <v>41183</v>
      </c>
      <c r="K13446" t="s">
        <v>42730</v>
      </c>
      <c r="M13446" t="s">
        <v>44445</v>
      </c>
      <c r="N13446" t="s">
        <v>47424</v>
      </c>
      <c r="O13446" t="s">
        <v>47425</v>
      </c>
      <c r="Q13446">
        <v>2</v>
      </c>
      <c r="R13446" t="s">
        <v>47443</v>
      </c>
      <c r="S13446" t="s">
        <v>48136</v>
      </c>
      <c r="T13446" t="s">
        <v>49087</v>
      </c>
      <c r="U13446" t="s">
        <v>60673</v>
      </c>
      <c r="V13446" t="s">
        <v>64131</v>
      </c>
      <c r="W13446" t="s">
        <v>44445</v>
      </c>
      <c r="X13446" t="s">
        <v>47444</v>
      </c>
    </row>
    <row r="13447" spans="1:24">
      <c r="A13447">
        <f>HYPERLINK("https://www.philgeps.gov.ph/GEPSNONPILOT/Tender/SplashBidNoticeAbstractUI.aspx?menuIndex=3&amp;refID=7135183&amp;Result=3","7135183")</f>
        <v>0</v>
      </c>
      <c r="B13447" t="s">
        <v>3718</v>
      </c>
      <c r="C13447" t="s">
        <v>16598</v>
      </c>
      <c r="D13447" t="s">
        <v>19020</v>
      </c>
      <c r="E13447" t="s">
        <v>30600</v>
      </c>
      <c r="F13447" t="s">
        <v>32831</v>
      </c>
      <c r="G13447" t="s">
        <v>32839</v>
      </c>
      <c r="H13447" t="s">
        <v>32849</v>
      </c>
      <c r="I13447" t="s">
        <v>32855</v>
      </c>
      <c r="J13447" t="s">
        <v>41184</v>
      </c>
      <c r="K13447" t="s">
        <v>42797</v>
      </c>
      <c r="M13447" t="s">
        <v>47109</v>
      </c>
      <c r="N13447" t="s">
        <v>47424</v>
      </c>
      <c r="O13447" t="s">
        <v>47425</v>
      </c>
      <c r="P13447">
        <v>0</v>
      </c>
      <c r="Q13447">
        <v>0</v>
      </c>
      <c r="R13447" t="s">
        <v>47443</v>
      </c>
      <c r="S13447" t="s">
        <v>48115</v>
      </c>
      <c r="T13447" t="s">
        <v>49103</v>
      </c>
      <c r="U13447" t="s">
        <v>60674</v>
      </c>
      <c r="V13447" t="s">
        <v>64132</v>
      </c>
      <c r="W13447" t="s">
        <v>47109</v>
      </c>
      <c r="X13447" t="s">
        <v>47444</v>
      </c>
    </row>
    <row r="13448" spans="1:24">
      <c r="A13448">
        <f>HYPERLINK("https://www.philgeps.gov.ph/GEPSNONPILOT/Tender/SplashBidNoticeAbstractUI.aspx?menuIndex=3&amp;refID=7135177&amp;Result=3","7135177")</f>
        <v>0</v>
      </c>
      <c r="B13448" t="s">
        <v>832</v>
      </c>
      <c r="C13448" t="s">
        <v>16599</v>
      </c>
      <c r="D13448" t="s">
        <v>19101</v>
      </c>
      <c r="E13448" t="s">
        <v>30601</v>
      </c>
      <c r="F13448" t="s">
        <v>32831</v>
      </c>
      <c r="G13448" t="s">
        <v>32839</v>
      </c>
      <c r="H13448" t="s">
        <v>32848</v>
      </c>
      <c r="I13448" t="s">
        <v>32925</v>
      </c>
      <c r="J13448" t="s">
        <v>33552</v>
      </c>
      <c r="K13448" t="s">
        <v>42747</v>
      </c>
      <c r="M13448" t="s">
        <v>44445</v>
      </c>
      <c r="N13448" t="s">
        <v>47424</v>
      </c>
      <c r="O13448" t="s">
        <v>47425</v>
      </c>
      <c r="Q13448">
        <v>11</v>
      </c>
      <c r="R13448" t="s">
        <v>47443</v>
      </c>
      <c r="S13448" t="s">
        <v>48137</v>
      </c>
      <c r="T13448" t="s">
        <v>49171</v>
      </c>
      <c r="U13448" t="s">
        <v>60675</v>
      </c>
      <c r="V13448" t="s">
        <v>64133</v>
      </c>
      <c r="W13448" t="s">
        <v>44445</v>
      </c>
      <c r="X13448" t="s">
        <v>47444</v>
      </c>
    </row>
    <row r="13449" spans="1:24">
      <c r="A13449">
        <f>HYPERLINK("https://www.philgeps.gov.ph/GEPSNONPILOT/Tender/SplashBidNoticeAbstractUI.aspx?menuIndex=3&amp;refID=7135311&amp;Result=3","7135311")</f>
        <v>0</v>
      </c>
      <c r="B13449" t="s">
        <v>563</v>
      </c>
      <c r="C13449" t="s">
        <v>16600</v>
      </c>
      <c r="D13449" t="s">
        <v>19060</v>
      </c>
      <c r="E13449" t="s">
        <v>30602</v>
      </c>
      <c r="F13449" t="s">
        <v>32831</v>
      </c>
      <c r="G13449" t="s">
        <v>32839</v>
      </c>
      <c r="H13449" t="s">
        <v>32849</v>
      </c>
      <c r="I13449" t="s">
        <v>4177</v>
      </c>
      <c r="J13449" t="s">
        <v>41185</v>
      </c>
      <c r="K13449" t="s">
        <v>42789</v>
      </c>
      <c r="M13449" t="s">
        <v>46198</v>
      </c>
      <c r="N13449" t="s">
        <v>47424</v>
      </c>
      <c r="O13449" t="s">
        <v>47425</v>
      </c>
      <c r="P13449">
        <v>0</v>
      </c>
      <c r="Q13449">
        <v>3</v>
      </c>
      <c r="R13449" t="s">
        <v>47443</v>
      </c>
      <c r="S13449" t="s">
        <v>48115</v>
      </c>
      <c r="T13449" t="s">
        <v>49070</v>
      </c>
      <c r="U13449" t="s">
        <v>60676</v>
      </c>
      <c r="W13449" t="s">
        <v>64528</v>
      </c>
      <c r="X13449" t="s">
        <v>47444</v>
      </c>
    </row>
    <row r="13450" spans="1:24">
      <c r="A13450">
        <f>HYPERLINK("https://www.philgeps.gov.ph/GEPSNONPILOT/Tender/SplashBidNoticeAbstractUI.aspx?menuIndex=3&amp;refID=7135182&amp;Result=3","7135182")</f>
        <v>0</v>
      </c>
      <c r="B13450" t="s">
        <v>832</v>
      </c>
      <c r="C13450" t="s">
        <v>16601</v>
      </c>
      <c r="D13450" t="s">
        <v>19101</v>
      </c>
      <c r="E13450" t="s">
        <v>30603</v>
      </c>
      <c r="F13450" t="s">
        <v>32831</v>
      </c>
      <c r="G13450" t="s">
        <v>32839</v>
      </c>
      <c r="H13450" t="s">
        <v>32848</v>
      </c>
      <c r="I13450" t="s">
        <v>32925</v>
      </c>
      <c r="J13450" t="s">
        <v>36005</v>
      </c>
      <c r="K13450" t="s">
        <v>42763</v>
      </c>
      <c r="M13450" t="s">
        <v>44445</v>
      </c>
      <c r="N13450" t="s">
        <v>47424</v>
      </c>
      <c r="O13450" t="s">
        <v>47425</v>
      </c>
      <c r="Q13450">
        <v>6</v>
      </c>
      <c r="R13450" t="s">
        <v>47443</v>
      </c>
      <c r="S13450" t="s">
        <v>48138</v>
      </c>
      <c r="T13450" t="s">
        <v>49171</v>
      </c>
      <c r="U13450" t="s">
        <v>60675</v>
      </c>
      <c r="V13450" t="s">
        <v>63231</v>
      </c>
      <c r="W13450" t="s">
        <v>44445</v>
      </c>
      <c r="X13450" t="s">
        <v>47444</v>
      </c>
    </row>
    <row r="13451" spans="1:24">
      <c r="A13451">
        <f>HYPERLINK("https://www.philgeps.gov.ph/GEPSNONPILOT/Tender/SplashBidNoticeAbstractUI.aspx?menuIndex=3&amp;refID=7135114&amp;Result=3","7135114")</f>
        <v>0</v>
      </c>
      <c r="B13451" t="s">
        <v>911</v>
      </c>
      <c r="C13451" t="s">
        <v>16602</v>
      </c>
      <c r="D13451" t="s">
        <v>19049</v>
      </c>
      <c r="E13451" t="s">
        <v>30604</v>
      </c>
      <c r="F13451" t="s">
        <v>32831</v>
      </c>
      <c r="G13451" t="s">
        <v>32839</v>
      </c>
      <c r="H13451" t="s">
        <v>32848</v>
      </c>
      <c r="I13451" t="s">
        <v>32871</v>
      </c>
      <c r="J13451" t="s">
        <v>41186</v>
      </c>
      <c r="K13451" t="s">
        <v>42730</v>
      </c>
      <c r="M13451" t="s">
        <v>47110</v>
      </c>
      <c r="N13451" t="s">
        <v>47424</v>
      </c>
      <c r="O13451" t="s">
        <v>47425</v>
      </c>
      <c r="P13451">
        <v>0</v>
      </c>
      <c r="Q13451">
        <v>3</v>
      </c>
      <c r="R13451" t="s">
        <v>47443</v>
      </c>
      <c r="S13451" t="s">
        <v>48115</v>
      </c>
      <c r="T13451" t="s">
        <v>49069</v>
      </c>
      <c r="U13451" t="s">
        <v>52589</v>
      </c>
      <c r="W13451" t="s">
        <v>47110</v>
      </c>
      <c r="X13451" t="s">
        <v>47444</v>
      </c>
    </row>
    <row r="13452" spans="1:24">
      <c r="A13452">
        <f>HYPERLINK("https://www.philgeps.gov.ph/GEPSNONPILOT/Tender/SplashBidNoticeAbstractUI.aspx?menuIndex=3&amp;refID=7135197&amp;Result=3","7135197")</f>
        <v>0</v>
      </c>
      <c r="B13452" t="s">
        <v>1261</v>
      </c>
      <c r="C13452" t="s">
        <v>16603</v>
      </c>
      <c r="D13452" t="s">
        <v>19040</v>
      </c>
      <c r="E13452" t="s">
        <v>30605</v>
      </c>
      <c r="F13452" t="s">
        <v>32831</v>
      </c>
      <c r="G13452" t="s">
        <v>32839</v>
      </c>
      <c r="H13452" t="s">
        <v>32848</v>
      </c>
      <c r="I13452" t="s">
        <v>4438</v>
      </c>
      <c r="J13452" t="s">
        <v>33437</v>
      </c>
      <c r="K13452" t="s">
        <v>42730</v>
      </c>
      <c r="M13452" t="s">
        <v>44331</v>
      </c>
      <c r="N13452" t="s">
        <v>47424</v>
      </c>
      <c r="O13452" t="s">
        <v>47425</v>
      </c>
      <c r="P13452">
        <v>0</v>
      </c>
      <c r="Q13452">
        <v>1</v>
      </c>
      <c r="R13452" t="s">
        <v>47443</v>
      </c>
      <c r="S13452" t="s">
        <v>48115</v>
      </c>
      <c r="T13452" t="s">
        <v>49159</v>
      </c>
      <c r="U13452" t="s">
        <v>60677</v>
      </c>
      <c r="W13452" t="s">
        <v>44331</v>
      </c>
      <c r="X13452" t="s">
        <v>47444</v>
      </c>
    </row>
    <row r="13453" spans="1:24">
      <c r="A13453">
        <f>HYPERLINK("https://www.philgeps.gov.ph/GEPSNONPILOT/Tender/SplashBidNoticeAbstractUI.aspx?menuIndex=3&amp;refID=7135121&amp;Result=3","7135121")</f>
        <v>0</v>
      </c>
      <c r="B13453" t="s">
        <v>648</v>
      </c>
      <c r="C13453" t="s">
        <v>16604</v>
      </c>
      <c r="D13453" t="s">
        <v>19044</v>
      </c>
      <c r="E13453" t="s">
        <v>30606</v>
      </c>
      <c r="F13453" t="s">
        <v>32831</v>
      </c>
      <c r="G13453" t="s">
        <v>32839</v>
      </c>
      <c r="H13453" t="s">
        <v>32848</v>
      </c>
      <c r="I13453" t="s">
        <v>32897</v>
      </c>
      <c r="J13453" t="s">
        <v>41187</v>
      </c>
      <c r="K13453" t="s">
        <v>42727</v>
      </c>
      <c r="M13453" t="s">
        <v>44684</v>
      </c>
      <c r="N13453" t="s">
        <v>47424</v>
      </c>
      <c r="O13453" t="s">
        <v>47425</v>
      </c>
      <c r="P13453">
        <v>0</v>
      </c>
      <c r="Q13453">
        <v>4</v>
      </c>
      <c r="R13453" t="s">
        <v>47443</v>
      </c>
      <c r="S13453" t="s">
        <v>48115</v>
      </c>
      <c r="T13453" t="s">
        <v>49060</v>
      </c>
      <c r="U13453" t="s">
        <v>60678</v>
      </c>
      <c r="W13453" t="s">
        <v>44684</v>
      </c>
      <c r="X13453" t="s">
        <v>47444</v>
      </c>
    </row>
    <row r="13454" spans="1:24">
      <c r="A13454">
        <f>HYPERLINK("https://www.philgeps.gov.ph/GEPSNONPILOT/Tender/SplashBidNoticeAbstractUI.aspx?menuIndex=3&amp;refID=7135101&amp;Result=3","7135101")</f>
        <v>0</v>
      </c>
      <c r="B13454" t="s">
        <v>3719</v>
      </c>
      <c r="C13454" t="s">
        <v>16605</v>
      </c>
      <c r="D13454" t="s">
        <v>19037</v>
      </c>
      <c r="E13454" t="s">
        <v>30607</v>
      </c>
      <c r="F13454" t="s">
        <v>32831</v>
      </c>
      <c r="G13454" t="s">
        <v>32839</v>
      </c>
      <c r="H13454" t="s">
        <v>32848</v>
      </c>
      <c r="I13454" t="s">
        <v>4487</v>
      </c>
      <c r="J13454" t="s">
        <v>34729</v>
      </c>
      <c r="K13454" t="s">
        <v>42763</v>
      </c>
      <c r="M13454" t="s">
        <v>47111</v>
      </c>
      <c r="N13454" t="s">
        <v>47424</v>
      </c>
      <c r="O13454" t="s">
        <v>47425</v>
      </c>
      <c r="Q13454">
        <v>12</v>
      </c>
      <c r="R13454" t="s">
        <v>47443</v>
      </c>
      <c r="S13454" t="s">
        <v>48139</v>
      </c>
      <c r="T13454" t="s">
        <v>49594</v>
      </c>
      <c r="U13454" t="s">
        <v>60679</v>
      </c>
      <c r="W13454" t="s">
        <v>47111</v>
      </c>
      <c r="X13454" t="s">
        <v>47444</v>
      </c>
    </row>
    <row r="13455" spans="1:24">
      <c r="A13455">
        <f>HYPERLINK("https://www.philgeps.gov.ph/GEPSNONPILOT/Tender/SplashBidNoticeAbstractUI.aspx?menuIndex=3&amp;refID=7135070&amp;Result=3","7135070")</f>
        <v>0</v>
      </c>
      <c r="B13455" t="s">
        <v>3719</v>
      </c>
      <c r="C13455" t="s">
        <v>16606</v>
      </c>
      <c r="D13455" t="s">
        <v>19018</v>
      </c>
      <c r="E13455" t="s">
        <v>30608</v>
      </c>
      <c r="F13455" t="s">
        <v>32831</v>
      </c>
      <c r="G13455" t="s">
        <v>32839</v>
      </c>
      <c r="H13455" t="s">
        <v>32848</v>
      </c>
      <c r="I13455" t="s">
        <v>4487</v>
      </c>
      <c r="J13455" t="s">
        <v>41188</v>
      </c>
      <c r="K13455" t="s">
        <v>42763</v>
      </c>
      <c r="M13455" t="s">
        <v>47111</v>
      </c>
      <c r="N13455" t="s">
        <v>47424</v>
      </c>
      <c r="O13455" t="s">
        <v>47425</v>
      </c>
      <c r="Q13455">
        <v>16</v>
      </c>
      <c r="R13455" t="s">
        <v>47443</v>
      </c>
      <c r="S13455" t="s">
        <v>48140</v>
      </c>
      <c r="T13455" t="s">
        <v>49106</v>
      </c>
      <c r="U13455" t="s">
        <v>60680</v>
      </c>
      <c r="W13455" t="s">
        <v>47111</v>
      </c>
      <c r="X13455" t="s">
        <v>47444</v>
      </c>
    </row>
    <row r="13456" spans="1:24">
      <c r="A13456">
        <f>HYPERLINK("https://www.philgeps.gov.ph/GEPSNONPILOT/Tender/SplashBidNoticeAbstractUI.aspx?menuIndex=3&amp;refID=7134917&amp;Result=3","7134917")</f>
        <v>0</v>
      </c>
      <c r="B13456" t="s">
        <v>3720</v>
      </c>
      <c r="C13456" t="s">
        <v>16607</v>
      </c>
      <c r="D13456" t="s">
        <v>19057</v>
      </c>
      <c r="E13456" t="s">
        <v>27563</v>
      </c>
      <c r="F13456" t="s">
        <v>32831</v>
      </c>
      <c r="G13456" t="s">
        <v>32839</v>
      </c>
      <c r="H13456" t="s">
        <v>32848</v>
      </c>
      <c r="I13456" t="s">
        <v>32858</v>
      </c>
      <c r="J13456" t="s">
        <v>41189</v>
      </c>
      <c r="K13456" t="s">
        <v>42731</v>
      </c>
      <c r="M13456" t="s">
        <v>47112</v>
      </c>
      <c r="N13456" t="s">
        <v>47424</v>
      </c>
      <c r="O13456" t="s">
        <v>47425</v>
      </c>
      <c r="P13456">
        <v>0</v>
      </c>
      <c r="Q13456">
        <v>10</v>
      </c>
      <c r="R13456" t="s">
        <v>47443</v>
      </c>
      <c r="S13456" t="s">
        <v>48115</v>
      </c>
      <c r="T13456" t="s">
        <v>49198</v>
      </c>
      <c r="U13456" t="s">
        <v>60681</v>
      </c>
      <c r="W13456" t="s">
        <v>47112</v>
      </c>
      <c r="X13456" t="s">
        <v>47444</v>
      </c>
    </row>
    <row r="13457" spans="1:24">
      <c r="A13457">
        <f>HYPERLINK("https://www.philgeps.gov.ph/GEPSNONPILOT/Tender/SplashBidNoticeAbstractUI.aspx?menuIndex=3&amp;refID=7135117&amp;Result=3","7135117")</f>
        <v>0</v>
      </c>
      <c r="B13457" t="s">
        <v>3719</v>
      </c>
      <c r="C13457" t="s">
        <v>16608</v>
      </c>
      <c r="D13457" t="s">
        <v>19017</v>
      </c>
      <c r="E13457" t="s">
        <v>30609</v>
      </c>
      <c r="F13457" t="s">
        <v>32831</v>
      </c>
      <c r="G13457" t="s">
        <v>32839</v>
      </c>
      <c r="H13457" t="s">
        <v>32849</v>
      </c>
      <c r="I13457" t="s">
        <v>4177</v>
      </c>
      <c r="J13457" t="s">
        <v>41190</v>
      </c>
      <c r="K13457" t="s">
        <v>42763</v>
      </c>
      <c r="M13457" t="s">
        <v>47111</v>
      </c>
      <c r="N13457" t="s">
        <v>47424</v>
      </c>
      <c r="O13457" t="s">
        <v>47425</v>
      </c>
      <c r="Q13457">
        <v>8</v>
      </c>
      <c r="R13457" t="s">
        <v>47443</v>
      </c>
      <c r="S13457" t="s">
        <v>48141</v>
      </c>
      <c r="T13457" t="s">
        <v>49172</v>
      </c>
      <c r="U13457" t="s">
        <v>60682</v>
      </c>
      <c r="W13457" t="s">
        <v>47111</v>
      </c>
      <c r="X13457" t="s">
        <v>47444</v>
      </c>
    </row>
    <row r="13458" spans="1:24">
      <c r="A13458">
        <f>HYPERLINK("https://www.philgeps.gov.ph/GEPSNONPILOT/Tender/SplashBidNoticeAbstractUI.aspx?menuIndex=3&amp;refID=7134916&amp;Result=3","7134916")</f>
        <v>0</v>
      </c>
      <c r="B13458" t="s">
        <v>823</v>
      </c>
      <c r="C13458" t="s">
        <v>16609</v>
      </c>
      <c r="D13458" t="s">
        <v>19062</v>
      </c>
      <c r="E13458" t="s">
        <v>30610</v>
      </c>
      <c r="F13458" t="s">
        <v>32831</v>
      </c>
      <c r="G13458" t="s">
        <v>32839</v>
      </c>
      <c r="H13458" t="s">
        <v>32849</v>
      </c>
      <c r="I13458" t="s">
        <v>4177</v>
      </c>
      <c r="J13458" t="s">
        <v>33111</v>
      </c>
      <c r="K13458" t="s">
        <v>42788</v>
      </c>
      <c r="M13458" t="s">
        <v>45573</v>
      </c>
      <c r="N13458" t="s">
        <v>47424</v>
      </c>
      <c r="O13458" t="s">
        <v>47425</v>
      </c>
      <c r="P13458">
        <v>0</v>
      </c>
      <c r="Q13458">
        <v>2</v>
      </c>
      <c r="R13458" t="s">
        <v>47443</v>
      </c>
      <c r="S13458" t="s">
        <v>48115</v>
      </c>
      <c r="T13458" t="s">
        <v>49087</v>
      </c>
      <c r="U13458" t="s">
        <v>55315</v>
      </c>
      <c r="W13458" t="s">
        <v>45573</v>
      </c>
      <c r="X13458" t="s">
        <v>47444</v>
      </c>
    </row>
    <row r="13459" spans="1:24">
      <c r="A13459">
        <f>HYPERLINK("https://www.philgeps.gov.ph/GEPSNONPILOT/Tender/SplashBidNoticeAbstractUI.aspx?menuIndex=3&amp;refID=7134915&amp;Result=3","7134915")</f>
        <v>0</v>
      </c>
      <c r="B13459" t="s">
        <v>3721</v>
      </c>
      <c r="C13459" t="s">
        <v>16610</v>
      </c>
      <c r="D13459" t="s">
        <v>19062</v>
      </c>
      <c r="E13459" t="s">
        <v>30611</v>
      </c>
      <c r="F13459" t="s">
        <v>32831</v>
      </c>
      <c r="G13459" t="s">
        <v>32839</v>
      </c>
      <c r="H13459" t="s">
        <v>32848</v>
      </c>
      <c r="I13459" t="s">
        <v>7416</v>
      </c>
      <c r="J13459" t="s">
        <v>41191</v>
      </c>
      <c r="K13459" t="s">
        <v>42732</v>
      </c>
      <c r="M13459" t="s">
        <v>47113</v>
      </c>
      <c r="N13459" t="s">
        <v>47424</v>
      </c>
      <c r="O13459" t="s">
        <v>47425</v>
      </c>
      <c r="Q13459">
        <v>4</v>
      </c>
      <c r="R13459" t="s">
        <v>47443</v>
      </c>
      <c r="S13459" t="s">
        <v>48142</v>
      </c>
      <c r="T13459" t="s">
        <v>49214</v>
      </c>
      <c r="U13459" t="s">
        <v>60683</v>
      </c>
      <c r="V13459" t="s">
        <v>64134</v>
      </c>
      <c r="W13459" t="s">
        <v>47113</v>
      </c>
      <c r="X13459" t="s">
        <v>47444</v>
      </c>
    </row>
    <row r="13460" spans="1:24">
      <c r="A13460">
        <f>HYPERLINK("https://www.philgeps.gov.ph/GEPSNONPILOT/Tender/SplashBidNoticeAbstractUI.aspx?menuIndex=3&amp;refID=7134909&amp;Result=3","7134909")</f>
        <v>0</v>
      </c>
      <c r="B13460" t="s">
        <v>2383</v>
      </c>
      <c r="C13460" t="s">
        <v>13465</v>
      </c>
      <c r="D13460" t="s">
        <v>19055</v>
      </c>
      <c r="E13460" t="s">
        <v>30612</v>
      </c>
      <c r="F13460" t="s">
        <v>32831</v>
      </c>
      <c r="G13460" t="s">
        <v>32839</v>
      </c>
      <c r="H13460" t="s">
        <v>32848</v>
      </c>
      <c r="I13460" t="s">
        <v>32860</v>
      </c>
      <c r="J13460" t="s">
        <v>41192</v>
      </c>
      <c r="K13460" t="s">
        <v>42730</v>
      </c>
      <c r="M13460" t="s">
        <v>45572</v>
      </c>
      <c r="N13460" t="s">
        <v>47424</v>
      </c>
      <c r="O13460" t="s">
        <v>47425</v>
      </c>
      <c r="P13460">
        <v>0</v>
      </c>
      <c r="Q13460">
        <v>4</v>
      </c>
      <c r="R13460" t="s">
        <v>47443</v>
      </c>
      <c r="S13460" t="s">
        <v>48115</v>
      </c>
      <c r="T13460" t="s">
        <v>49127</v>
      </c>
      <c r="U13460" t="s">
        <v>60684</v>
      </c>
      <c r="V13460" t="s">
        <v>64135</v>
      </c>
      <c r="W13460" t="s">
        <v>45572</v>
      </c>
      <c r="X13460" t="s">
        <v>47444</v>
      </c>
    </row>
    <row r="13461" spans="1:24">
      <c r="A13461">
        <f>HYPERLINK("https://www.philgeps.gov.ph/GEPSNONPILOT/Tender/SplashBidNoticeAbstractUI.aspx?menuIndex=3&amp;refID=7134907&amp;Result=3","7134907")</f>
        <v>0</v>
      </c>
      <c r="B13461" t="s">
        <v>3717</v>
      </c>
      <c r="C13461" t="s">
        <v>16611</v>
      </c>
      <c r="D13461" t="s">
        <v>19037</v>
      </c>
      <c r="E13461" t="s">
        <v>30613</v>
      </c>
      <c r="F13461" t="s">
        <v>32831</v>
      </c>
      <c r="G13461" t="s">
        <v>32839</v>
      </c>
      <c r="H13461" t="s">
        <v>32848</v>
      </c>
      <c r="I13461" t="s">
        <v>32859</v>
      </c>
      <c r="J13461" t="s">
        <v>33468</v>
      </c>
      <c r="K13461" t="s">
        <v>42763</v>
      </c>
      <c r="M13461" t="s">
        <v>47108</v>
      </c>
      <c r="N13461" t="s">
        <v>47424</v>
      </c>
      <c r="O13461" t="s">
        <v>47425</v>
      </c>
      <c r="P13461">
        <v>0</v>
      </c>
      <c r="Q13461">
        <v>4</v>
      </c>
      <c r="R13461" t="s">
        <v>47443</v>
      </c>
      <c r="S13461" t="s">
        <v>48115</v>
      </c>
      <c r="T13461" t="s">
        <v>49147</v>
      </c>
      <c r="U13461" t="s">
        <v>60685</v>
      </c>
      <c r="V13461" t="s">
        <v>64130</v>
      </c>
      <c r="W13461" t="s">
        <v>47108</v>
      </c>
      <c r="X13461" t="s">
        <v>47444</v>
      </c>
    </row>
    <row r="13462" spans="1:24">
      <c r="A13462">
        <f>HYPERLINK("https://www.philgeps.gov.ph/GEPSNONPILOT/Tender/SplashBidNoticeAbstractUI.aspx?menuIndex=3&amp;refID=7134887&amp;Result=3","7134887")</f>
        <v>0</v>
      </c>
      <c r="B13462" t="s">
        <v>823</v>
      </c>
      <c r="C13462" t="s">
        <v>16612</v>
      </c>
      <c r="D13462" t="s">
        <v>19062</v>
      </c>
      <c r="E13462" t="s">
        <v>30614</v>
      </c>
      <c r="F13462" t="s">
        <v>32831</v>
      </c>
      <c r="G13462" t="s">
        <v>32839</v>
      </c>
      <c r="H13462" t="s">
        <v>32848</v>
      </c>
      <c r="I13462" t="s">
        <v>32861</v>
      </c>
      <c r="J13462" t="s">
        <v>32978</v>
      </c>
      <c r="K13462" t="s">
        <v>42730</v>
      </c>
      <c r="M13462" t="s">
        <v>47114</v>
      </c>
      <c r="N13462" t="s">
        <v>47424</v>
      </c>
      <c r="O13462" t="s">
        <v>47425</v>
      </c>
      <c r="P13462">
        <v>0</v>
      </c>
      <c r="Q13462">
        <v>13</v>
      </c>
      <c r="R13462" t="s">
        <v>47443</v>
      </c>
      <c r="S13462" t="s">
        <v>48115</v>
      </c>
      <c r="T13462" t="s">
        <v>49237</v>
      </c>
      <c r="U13462" t="s">
        <v>60686</v>
      </c>
      <c r="W13462" t="s">
        <v>47114</v>
      </c>
      <c r="X13462" t="s">
        <v>47444</v>
      </c>
    </row>
    <row r="13463" spans="1:24">
      <c r="A13463">
        <f>HYPERLINK("https://www.philgeps.gov.ph/GEPSNONPILOT/Tender/SplashBidNoticeAbstractUI.aspx?menuIndex=3&amp;refID=7134873&amp;Result=3","7134873")</f>
        <v>0</v>
      </c>
      <c r="B13463" t="s">
        <v>3722</v>
      </c>
      <c r="C13463" t="s">
        <v>16613</v>
      </c>
      <c r="D13463" t="s">
        <v>19062</v>
      </c>
      <c r="E13463" t="s">
        <v>30615</v>
      </c>
      <c r="F13463" t="s">
        <v>32831</v>
      </c>
      <c r="G13463" t="s">
        <v>32839</v>
      </c>
      <c r="H13463" t="s">
        <v>32849</v>
      </c>
      <c r="I13463" t="s">
        <v>4177</v>
      </c>
      <c r="J13463" t="s">
        <v>33111</v>
      </c>
      <c r="K13463" t="s">
        <v>42763</v>
      </c>
      <c r="M13463" t="s">
        <v>47115</v>
      </c>
      <c r="N13463" t="s">
        <v>47424</v>
      </c>
      <c r="O13463" t="s">
        <v>47425</v>
      </c>
      <c r="P13463">
        <v>0</v>
      </c>
      <c r="Q13463">
        <v>8</v>
      </c>
      <c r="R13463" t="s">
        <v>47443</v>
      </c>
      <c r="S13463" t="s">
        <v>48115</v>
      </c>
      <c r="T13463" t="s">
        <v>49127</v>
      </c>
      <c r="U13463" t="s">
        <v>60687</v>
      </c>
      <c r="W13463" t="s">
        <v>47115</v>
      </c>
      <c r="X13463" t="s">
        <v>47444</v>
      </c>
    </row>
    <row r="13464" spans="1:24">
      <c r="A13464">
        <f>HYPERLINK("https://www.philgeps.gov.ph/GEPSNONPILOT/Tender/SplashBidNoticeAbstractUI.aspx?menuIndex=3&amp;refID=7134918&amp;Result=3","7134918")</f>
        <v>0</v>
      </c>
      <c r="B13464" t="s">
        <v>2061</v>
      </c>
      <c r="C13464" t="s">
        <v>16614</v>
      </c>
      <c r="D13464" t="s">
        <v>19045</v>
      </c>
      <c r="E13464" t="s">
        <v>30616</v>
      </c>
      <c r="F13464" t="s">
        <v>32831</v>
      </c>
      <c r="G13464" t="s">
        <v>32839</v>
      </c>
      <c r="H13464" t="s">
        <v>32848</v>
      </c>
      <c r="I13464" t="s">
        <v>7416</v>
      </c>
      <c r="J13464" t="s">
        <v>41193</v>
      </c>
      <c r="K13464" t="s">
        <v>42727</v>
      </c>
      <c r="M13464" t="s">
        <v>46809</v>
      </c>
      <c r="N13464" t="s">
        <v>47424</v>
      </c>
      <c r="O13464" t="s">
        <v>47425</v>
      </c>
      <c r="P13464">
        <v>0</v>
      </c>
      <c r="Q13464">
        <v>3</v>
      </c>
      <c r="R13464" t="s">
        <v>47443</v>
      </c>
      <c r="S13464" t="s">
        <v>48115</v>
      </c>
      <c r="T13464" t="s">
        <v>49637</v>
      </c>
      <c r="U13464" t="s">
        <v>59377</v>
      </c>
      <c r="W13464" t="s">
        <v>46809</v>
      </c>
      <c r="X13464" t="s">
        <v>47444</v>
      </c>
    </row>
    <row r="13465" spans="1:24">
      <c r="A13465">
        <f>HYPERLINK("https://www.philgeps.gov.ph/GEPSNONPILOT/Tender/SplashBidNoticeAbstractUI.aspx?menuIndex=3&amp;refID=7134745&amp;Result=3","7134745")</f>
        <v>0</v>
      </c>
      <c r="B13465" t="s">
        <v>3617</v>
      </c>
      <c r="C13465" t="s">
        <v>16615</v>
      </c>
      <c r="D13465" t="s">
        <v>19099</v>
      </c>
      <c r="E13465" t="s">
        <v>30617</v>
      </c>
      <c r="F13465" t="s">
        <v>32831</v>
      </c>
      <c r="G13465" t="s">
        <v>32839</v>
      </c>
      <c r="H13465" t="s">
        <v>32848</v>
      </c>
      <c r="I13465" t="s">
        <v>4487</v>
      </c>
      <c r="J13465" t="s">
        <v>41194</v>
      </c>
      <c r="K13465" t="s">
        <v>42729</v>
      </c>
      <c r="M13465" t="s">
        <v>46985</v>
      </c>
      <c r="N13465" t="s">
        <v>47424</v>
      </c>
      <c r="O13465" t="s">
        <v>47425</v>
      </c>
      <c r="P13465">
        <v>0</v>
      </c>
      <c r="Q13465">
        <v>10</v>
      </c>
      <c r="R13465" t="s">
        <v>47443</v>
      </c>
      <c r="S13465" t="s">
        <v>48115</v>
      </c>
      <c r="T13465" t="s">
        <v>49073</v>
      </c>
      <c r="U13465" t="s">
        <v>58564</v>
      </c>
      <c r="W13465" t="s">
        <v>46985</v>
      </c>
      <c r="X13465" t="s">
        <v>47444</v>
      </c>
    </row>
    <row r="13466" spans="1:24">
      <c r="A13466">
        <f>HYPERLINK("https://www.philgeps.gov.ph/GEPSNONPILOT/Tender/SplashBidNoticeAbstractUI.aspx?menuIndex=3&amp;refID=7134721&amp;Result=3","7134721")</f>
        <v>0</v>
      </c>
      <c r="B13466" t="s">
        <v>3096</v>
      </c>
      <c r="C13466" t="s">
        <v>16616</v>
      </c>
      <c r="D13466" t="s">
        <v>19023</v>
      </c>
      <c r="E13466" t="s">
        <v>30618</v>
      </c>
      <c r="F13466" t="s">
        <v>32831</v>
      </c>
      <c r="G13466" t="s">
        <v>32839</v>
      </c>
      <c r="H13466" t="s">
        <v>32849</v>
      </c>
      <c r="I13466" t="s">
        <v>4177</v>
      </c>
      <c r="J13466" t="s">
        <v>33032</v>
      </c>
      <c r="K13466" t="s">
        <v>42757</v>
      </c>
      <c r="M13466" t="s">
        <v>46378</v>
      </c>
      <c r="N13466" t="s">
        <v>47424</v>
      </c>
      <c r="O13466" t="s">
        <v>47425</v>
      </c>
      <c r="Q13466">
        <v>2</v>
      </c>
      <c r="R13466" t="s">
        <v>47443</v>
      </c>
      <c r="S13466" t="s">
        <v>48143</v>
      </c>
      <c r="T13466" t="s">
        <v>49196</v>
      </c>
      <c r="U13466" t="s">
        <v>60688</v>
      </c>
      <c r="V13466" t="s">
        <v>64136</v>
      </c>
      <c r="W13466" t="s">
        <v>46378</v>
      </c>
      <c r="X13466" t="s">
        <v>47444</v>
      </c>
    </row>
    <row r="13467" spans="1:24">
      <c r="A13467">
        <f>HYPERLINK("https://www.philgeps.gov.ph/GEPSNONPILOT/Tender/SplashBidNoticeAbstractUI.aspx?menuIndex=3&amp;refID=7134701&amp;Result=3","7134701")</f>
        <v>0</v>
      </c>
      <c r="B13467" t="s">
        <v>3497</v>
      </c>
      <c r="C13467" t="s">
        <v>16617</v>
      </c>
      <c r="D13467" t="s">
        <v>19091</v>
      </c>
      <c r="E13467" t="s">
        <v>30619</v>
      </c>
      <c r="F13467" t="s">
        <v>32831</v>
      </c>
      <c r="G13467" t="s">
        <v>32839</v>
      </c>
      <c r="H13467" t="s">
        <v>32849</v>
      </c>
      <c r="I13467" t="s">
        <v>4177</v>
      </c>
      <c r="J13467" t="s">
        <v>41195</v>
      </c>
      <c r="K13467" t="s">
        <v>42763</v>
      </c>
      <c r="M13467" t="s">
        <v>47116</v>
      </c>
      <c r="N13467" t="s">
        <v>47424</v>
      </c>
      <c r="O13467" t="s">
        <v>47425</v>
      </c>
      <c r="P13467">
        <v>0</v>
      </c>
      <c r="Q13467">
        <v>1</v>
      </c>
      <c r="R13467" t="s">
        <v>47443</v>
      </c>
      <c r="S13467" t="s">
        <v>48115</v>
      </c>
      <c r="T13467" t="s">
        <v>49104</v>
      </c>
      <c r="U13467" t="s">
        <v>60689</v>
      </c>
      <c r="W13467" t="s">
        <v>47116</v>
      </c>
      <c r="X13467" t="s">
        <v>47444</v>
      </c>
    </row>
    <row r="13468" spans="1:24">
      <c r="A13468">
        <f>HYPERLINK("https://www.philgeps.gov.ph/GEPSNONPILOT/Tender/SplashBidNoticeAbstractUI.aspx?menuIndex=3&amp;refID=7134688&amp;Result=3","7134688")</f>
        <v>0</v>
      </c>
      <c r="B13468" t="s">
        <v>3617</v>
      </c>
      <c r="C13468" t="s">
        <v>16618</v>
      </c>
      <c r="D13468" t="s">
        <v>19099</v>
      </c>
      <c r="E13468" t="s">
        <v>30620</v>
      </c>
      <c r="F13468" t="s">
        <v>32831</v>
      </c>
      <c r="G13468" t="s">
        <v>32839</v>
      </c>
      <c r="H13468" t="s">
        <v>32848</v>
      </c>
      <c r="I13468" t="s">
        <v>32867</v>
      </c>
      <c r="J13468" t="s">
        <v>41196</v>
      </c>
      <c r="K13468" t="s">
        <v>42729</v>
      </c>
      <c r="M13468" t="s">
        <v>46985</v>
      </c>
      <c r="N13468" t="s">
        <v>47424</v>
      </c>
      <c r="O13468" t="s">
        <v>47425</v>
      </c>
      <c r="P13468">
        <v>0</v>
      </c>
      <c r="Q13468">
        <v>14</v>
      </c>
      <c r="R13468" t="s">
        <v>47443</v>
      </c>
      <c r="S13468" t="s">
        <v>48115</v>
      </c>
      <c r="T13468" t="s">
        <v>49073</v>
      </c>
      <c r="U13468" t="s">
        <v>58564</v>
      </c>
      <c r="W13468" t="s">
        <v>46985</v>
      </c>
      <c r="X13468" t="s">
        <v>47444</v>
      </c>
    </row>
    <row r="13469" spans="1:24">
      <c r="A13469">
        <f>HYPERLINK("https://www.philgeps.gov.ph/GEPSNONPILOT/Tender/SplashBidNoticeAbstractUI.aspx?menuIndex=3&amp;refID=7135039&amp;Result=3","7135039")</f>
        <v>0</v>
      </c>
      <c r="B13469" t="s">
        <v>3713</v>
      </c>
      <c r="C13469" t="s">
        <v>16619</v>
      </c>
      <c r="D13469" t="s">
        <v>19025</v>
      </c>
      <c r="E13469" t="s">
        <v>30621</v>
      </c>
      <c r="F13469" t="s">
        <v>32831</v>
      </c>
      <c r="G13469" t="s">
        <v>32839</v>
      </c>
      <c r="H13469" t="s">
        <v>32848</v>
      </c>
      <c r="I13469" t="s">
        <v>4776</v>
      </c>
      <c r="J13469" t="s">
        <v>35531</v>
      </c>
      <c r="K13469" t="s">
        <v>42730</v>
      </c>
      <c r="M13469" t="s">
        <v>47104</v>
      </c>
      <c r="N13469" t="s">
        <v>47424</v>
      </c>
      <c r="O13469" t="s">
        <v>47425</v>
      </c>
      <c r="P13469">
        <v>0</v>
      </c>
      <c r="Q13469">
        <v>4</v>
      </c>
      <c r="R13469" t="s">
        <v>47443</v>
      </c>
      <c r="S13469" t="s">
        <v>48115</v>
      </c>
      <c r="T13469" t="s">
        <v>49080</v>
      </c>
      <c r="U13469" t="s">
        <v>60690</v>
      </c>
      <c r="W13469" t="s">
        <v>47104</v>
      </c>
      <c r="X13469" t="s">
        <v>47444</v>
      </c>
    </row>
    <row r="13470" spans="1:24">
      <c r="A13470">
        <f>HYPERLINK("https://www.philgeps.gov.ph/GEPSNONPILOT/Tender/SplashBidNoticeAbstractUI.aspx?menuIndex=3&amp;refID=7134678&amp;Result=3","7134678")</f>
        <v>0</v>
      </c>
      <c r="B13470" t="s">
        <v>3497</v>
      </c>
      <c r="C13470" t="s">
        <v>16620</v>
      </c>
      <c r="D13470" t="s">
        <v>19091</v>
      </c>
      <c r="E13470" t="s">
        <v>30622</v>
      </c>
      <c r="F13470" t="s">
        <v>32831</v>
      </c>
      <c r="G13470" t="s">
        <v>32839</v>
      </c>
      <c r="H13470" t="s">
        <v>32849</v>
      </c>
      <c r="I13470" t="s">
        <v>4177</v>
      </c>
      <c r="J13470" t="s">
        <v>41197</v>
      </c>
      <c r="K13470" t="s">
        <v>42948</v>
      </c>
      <c r="M13470" t="s">
        <v>47116</v>
      </c>
      <c r="N13470" t="s">
        <v>47424</v>
      </c>
      <c r="O13470" t="s">
        <v>47425</v>
      </c>
      <c r="P13470">
        <v>0</v>
      </c>
      <c r="Q13470">
        <v>2</v>
      </c>
      <c r="R13470" t="s">
        <v>47443</v>
      </c>
      <c r="S13470" t="s">
        <v>48115</v>
      </c>
      <c r="T13470" t="s">
        <v>49104</v>
      </c>
      <c r="U13470" t="s">
        <v>60691</v>
      </c>
      <c r="W13470" t="s">
        <v>47116</v>
      </c>
      <c r="X13470" t="s">
        <v>47444</v>
      </c>
    </row>
    <row r="13471" spans="1:24">
      <c r="A13471">
        <f>HYPERLINK("https://www.philgeps.gov.ph/GEPSNONPILOT/Tender/SplashBidNoticeAbstractUI.aspx?menuIndex=3&amp;refID=7133273&amp;Result=3","7133273")</f>
        <v>0</v>
      </c>
      <c r="B13471" t="s">
        <v>3436</v>
      </c>
      <c r="C13471" t="s">
        <v>16621</v>
      </c>
      <c r="D13471" t="s">
        <v>19077</v>
      </c>
      <c r="E13471" t="s">
        <v>30623</v>
      </c>
      <c r="F13471" t="s">
        <v>32831</v>
      </c>
      <c r="G13471" t="s">
        <v>32839</v>
      </c>
      <c r="H13471" t="s">
        <v>32849</v>
      </c>
      <c r="I13471" t="s">
        <v>4177</v>
      </c>
      <c r="J13471" t="s">
        <v>41198</v>
      </c>
      <c r="K13471" t="s">
        <v>42729</v>
      </c>
      <c r="M13471" t="s">
        <v>46772</v>
      </c>
      <c r="N13471" t="s">
        <v>47424</v>
      </c>
      <c r="O13471" t="s">
        <v>47425</v>
      </c>
      <c r="P13471">
        <v>0</v>
      </c>
      <c r="Q13471">
        <v>1</v>
      </c>
      <c r="R13471" t="s">
        <v>47443</v>
      </c>
      <c r="S13471" t="s">
        <v>48115</v>
      </c>
      <c r="T13471" t="s">
        <v>49069</v>
      </c>
      <c r="U13471" t="s">
        <v>60692</v>
      </c>
      <c r="V13471" t="s">
        <v>64137</v>
      </c>
      <c r="W13471" t="s">
        <v>46772</v>
      </c>
      <c r="X13471" t="s">
        <v>47444</v>
      </c>
    </row>
    <row r="13472" spans="1:24">
      <c r="A13472">
        <f>HYPERLINK("https://www.philgeps.gov.ph/GEPSNONPILOT/Tender/SplashBidNoticeAbstractUI.aspx?menuIndex=3&amp;refID=7134687&amp;Result=3","7134687")</f>
        <v>0</v>
      </c>
      <c r="B13472" t="s">
        <v>1429</v>
      </c>
      <c r="C13472" t="s">
        <v>16622</v>
      </c>
      <c r="D13472" t="s">
        <v>19045</v>
      </c>
      <c r="E13472" t="s">
        <v>30624</v>
      </c>
      <c r="F13472" t="s">
        <v>32831</v>
      </c>
      <c r="G13472" t="s">
        <v>32839</v>
      </c>
      <c r="H13472" t="s">
        <v>32849</v>
      </c>
      <c r="I13472" t="s">
        <v>4177</v>
      </c>
      <c r="J13472" t="s">
        <v>41199</v>
      </c>
      <c r="K13472" t="s">
        <v>42773</v>
      </c>
      <c r="M13472" t="s">
        <v>44518</v>
      </c>
      <c r="N13472" t="s">
        <v>47424</v>
      </c>
      <c r="O13472" t="s">
        <v>47425</v>
      </c>
      <c r="Q13472">
        <v>1</v>
      </c>
      <c r="R13472" t="s">
        <v>47443</v>
      </c>
      <c r="S13472" t="s">
        <v>48144</v>
      </c>
      <c r="T13472" t="s">
        <v>49056</v>
      </c>
      <c r="U13472" t="s">
        <v>60693</v>
      </c>
      <c r="V13472" t="s">
        <v>64138</v>
      </c>
      <c r="W13472" t="s">
        <v>64469</v>
      </c>
      <c r="X13472" t="s">
        <v>47444</v>
      </c>
    </row>
    <row r="13473" spans="1:24">
      <c r="A13473">
        <f>HYPERLINK("https://www.philgeps.gov.ph/GEPSNONPILOT/Tender/SplashBidNoticeAbstractUI.aspx?menuIndex=3&amp;refID=7133262&amp;Result=3","7133262")</f>
        <v>0</v>
      </c>
      <c r="B13473" t="s">
        <v>2844</v>
      </c>
      <c r="C13473" t="s">
        <v>16623</v>
      </c>
      <c r="D13473" t="s">
        <v>19036</v>
      </c>
      <c r="E13473" t="s">
        <v>30625</v>
      </c>
      <c r="F13473" t="s">
        <v>32831</v>
      </c>
      <c r="G13473" t="s">
        <v>32839</v>
      </c>
      <c r="H13473" t="s">
        <v>32848</v>
      </c>
      <c r="I13473" t="s">
        <v>32857</v>
      </c>
      <c r="J13473" t="s">
        <v>41200</v>
      </c>
      <c r="K13473" t="s">
        <v>42730</v>
      </c>
      <c r="M13473" t="s">
        <v>46076</v>
      </c>
      <c r="N13473" t="s">
        <v>47424</v>
      </c>
      <c r="O13473" t="s">
        <v>47425</v>
      </c>
      <c r="P13473">
        <v>0</v>
      </c>
      <c r="Q13473">
        <v>2</v>
      </c>
      <c r="R13473" t="s">
        <v>47443</v>
      </c>
      <c r="S13473" t="s">
        <v>48115</v>
      </c>
      <c r="T13473" t="s">
        <v>49066</v>
      </c>
      <c r="U13473" t="s">
        <v>60694</v>
      </c>
      <c r="V13473" t="s">
        <v>64139</v>
      </c>
      <c r="W13473" t="s">
        <v>46076</v>
      </c>
      <c r="X13473" t="s">
        <v>47444</v>
      </c>
    </row>
    <row r="13474" spans="1:24">
      <c r="A13474">
        <f>HYPERLINK("https://www.philgeps.gov.ph/GEPSNONPILOT/Tender/SplashBidNoticeAbstractUI.aspx?menuIndex=3&amp;refID=7133234&amp;Result=3","7133234")</f>
        <v>0</v>
      </c>
      <c r="B13474" t="s">
        <v>781</v>
      </c>
      <c r="C13474" t="s">
        <v>16624</v>
      </c>
      <c r="D13474" t="s">
        <v>19040</v>
      </c>
      <c r="E13474" t="s">
        <v>30626</v>
      </c>
      <c r="F13474" t="s">
        <v>32831</v>
      </c>
      <c r="G13474" t="s">
        <v>32839</v>
      </c>
      <c r="H13474" t="s">
        <v>32848</v>
      </c>
      <c r="I13474" t="s">
        <v>4177</v>
      </c>
      <c r="J13474" t="s">
        <v>41201</v>
      </c>
      <c r="K13474" t="s">
        <v>42964</v>
      </c>
      <c r="M13474" t="s">
        <v>46733</v>
      </c>
      <c r="N13474" t="s">
        <v>47424</v>
      </c>
      <c r="O13474" t="s">
        <v>47425</v>
      </c>
      <c r="Q13474">
        <v>1</v>
      </c>
      <c r="R13474" t="s">
        <v>47443</v>
      </c>
      <c r="S13474" t="s">
        <v>48145</v>
      </c>
      <c r="T13474" t="s">
        <v>49073</v>
      </c>
      <c r="U13474" t="s">
        <v>60579</v>
      </c>
      <c r="W13474" t="s">
        <v>46733</v>
      </c>
      <c r="X13474" t="s">
        <v>47444</v>
      </c>
    </row>
    <row r="13475" spans="1:24">
      <c r="A13475">
        <f>HYPERLINK("https://www.philgeps.gov.ph/GEPSNONPILOT/Tender/SplashBidNoticeAbstractUI.aspx?menuIndex=3&amp;refID=7133233&amp;Result=3","7133233")</f>
        <v>0</v>
      </c>
      <c r="B13475" t="s">
        <v>1843</v>
      </c>
      <c r="C13475" t="s">
        <v>16625</v>
      </c>
      <c r="D13475" t="s">
        <v>19037</v>
      </c>
      <c r="E13475" t="s">
        <v>25959</v>
      </c>
      <c r="F13475" t="s">
        <v>32831</v>
      </c>
      <c r="G13475" t="s">
        <v>32839</v>
      </c>
      <c r="H13475" t="s">
        <v>32848</v>
      </c>
      <c r="I13475" t="s">
        <v>7416</v>
      </c>
      <c r="J13475" t="s">
        <v>41202</v>
      </c>
      <c r="K13475" t="s">
        <v>42781</v>
      </c>
      <c r="M13475" t="s">
        <v>44977</v>
      </c>
      <c r="N13475" t="s">
        <v>47424</v>
      </c>
      <c r="O13475" t="s">
        <v>47425</v>
      </c>
      <c r="P13475">
        <v>0</v>
      </c>
      <c r="Q13475">
        <v>3</v>
      </c>
      <c r="R13475" t="s">
        <v>47443</v>
      </c>
      <c r="S13475" t="s">
        <v>48115</v>
      </c>
      <c r="T13475" t="s">
        <v>49056</v>
      </c>
      <c r="U13475" t="s">
        <v>60604</v>
      </c>
      <c r="V13475" t="s">
        <v>64140</v>
      </c>
      <c r="W13475" t="s">
        <v>44977</v>
      </c>
      <c r="X13475" t="s">
        <v>47444</v>
      </c>
    </row>
    <row r="13476" spans="1:24">
      <c r="A13476">
        <f>HYPERLINK("https://www.philgeps.gov.ph/GEPSNONPILOT/Tender/SplashBidNoticeAbstractUI.aspx?menuIndex=3&amp;refID=7133227&amp;Result=3","7133227")</f>
        <v>0</v>
      </c>
      <c r="B13476" t="s">
        <v>3436</v>
      </c>
      <c r="C13476" t="s">
        <v>16626</v>
      </c>
      <c r="D13476" t="s">
        <v>19077</v>
      </c>
      <c r="E13476" t="s">
        <v>30627</v>
      </c>
      <c r="F13476" t="s">
        <v>32831</v>
      </c>
      <c r="G13476" t="s">
        <v>32839</v>
      </c>
      <c r="H13476" t="s">
        <v>32849</v>
      </c>
      <c r="I13476" t="s">
        <v>4177</v>
      </c>
      <c r="J13476" t="s">
        <v>41203</v>
      </c>
      <c r="K13476" t="s">
        <v>42727</v>
      </c>
      <c r="M13476" t="s">
        <v>46772</v>
      </c>
      <c r="N13476" t="s">
        <v>47424</v>
      </c>
      <c r="O13476" t="s">
        <v>47425</v>
      </c>
      <c r="P13476">
        <v>0</v>
      </c>
      <c r="Q13476">
        <v>2</v>
      </c>
      <c r="R13476" t="s">
        <v>47443</v>
      </c>
      <c r="S13476" t="s">
        <v>48115</v>
      </c>
      <c r="T13476" t="s">
        <v>49069</v>
      </c>
      <c r="U13476" t="s">
        <v>60695</v>
      </c>
      <c r="V13476" t="s">
        <v>63912</v>
      </c>
      <c r="W13476" t="s">
        <v>46772</v>
      </c>
      <c r="X13476" t="s">
        <v>47444</v>
      </c>
    </row>
    <row r="13477" spans="1:24">
      <c r="A13477">
        <f>HYPERLINK("https://www.philgeps.gov.ph/GEPSNONPILOT/Tender/SplashBidNoticeAbstractUI.aspx?menuIndex=3&amp;refID=7133223&amp;Result=3","7133223")</f>
        <v>0</v>
      </c>
      <c r="B13477" t="s">
        <v>2281</v>
      </c>
      <c r="C13477" t="s">
        <v>16627</v>
      </c>
      <c r="D13477" t="s">
        <v>19027</v>
      </c>
      <c r="E13477" t="s">
        <v>30628</v>
      </c>
      <c r="F13477" t="s">
        <v>32831</v>
      </c>
      <c r="G13477" t="s">
        <v>32839</v>
      </c>
      <c r="H13477" t="s">
        <v>32848</v>
      </c>
      <c r="I13477" t="s">
        <v>4177</v>
      </c>
      <c r="J13477" t="s">
        <v>33083</v>
      </c>
      <c r="K13477" t="s">
        <v>42732</v>
      </c>
      <c r="M13477" t="s">
        <v>47093</v>
      </c>
      <c r="N13477" t="s">
        <v>47424</v>
      </c>
      <c r="O13477" t="s">
        <v>47425</v>
      </c>
      <c r="P13477">
        <v>0</v>
      </c>
      <c r="Q13477">
        <v>2</v>
      </c>
      <c r="R13477" t="s">
        <v>47443</v>
      </c>
      <c r="S13477" t="s">
        <v>48115</v>
      </c>
      <c r="T13477" t="s">
        <v>49321</v>
      </c>
      <c r="U13477" t="s">
        <v>60696</v>
      </c>
      <c r="V13477" t="s">
        <v>64113</v>
      </c>
      <c r="W13477" t="s">
        <v>47093</v>
      </c>
      <c r="X13477" t="s">
        <v>47444</v>
      </c>
    </row>
    <row r="13478" spans="1:24">
      <c r="A13478">
        <f>HYPERLINK("https://www.philgeps.gov.ph/GEPSNONPILOT/Tender/SplashBidNoticeAbstractUI.aspx?menuIndex=3&amp;refID=7133213&amp;Result=3","7133213")</f>
        <v>0</v>
      </c>
      <c r="B13478" t="s">
        <v>1930</v>
      </c>
      <c r="C13478" t="s">
        <v>16628</v>
      </c>
      <c r="D13478" t="s">
        <v>19033</v>
      </c>
      <c r="E13478" t="s">
        <v>30629</v>
      </c>
      <c r="F13478" t="s">
        <v>32831</v>
      </c>
      <c r="G13478" t="s">
        <v>32839</v>
      </c>
      <c r="H13478" t="s">
        <v>32848</v>
      </c>
      <c r="I13478" t="s">
        <v>7751</v>
      </c>
      <c r="J13478" t="s">
        <v>41204</v>
      </c>
      <c r="K13478" t="s">
        <v>42730</v>
      </c>
      <c r="M13478" t="s">
        <v>45083</v>
      </c>
      <c r="N13478" t="s">
        <v>47424</v>
      </c>
      <c r="O13478" t="s">
        <v>47425</v>
      </c>
      <c r="P13478">
        <v>0</v>
      </c>
      <c r="Q13478">
        <v>9</v>
      </c>
      <c r="R13478" t="s">
        <v>47443</v>
      </c>
      <c r="S13478" t="s">
        <v>48115</v>
      </c>
      <c r="T13478" t="s">
        <v>49129</v>
      </c>
      <c r="U13478" t="s">
        <v>60697</v>
      </c>
      <c r="V13478" t="s">
        <v>64141</v>
      </c>
      <c r="W13478" t="s">
        <v>45083</v>
      </c>
      <c r="X13478" t="s">
        <v>47444</v>
      </c>
    </row>
    <row r="13479" spans="1:24">
      <c r="A13479">
        <f>HYPERLINK("https://www.philgeps.gov.ph/GEPSNONPILOT/Tender/SplashBidNoticeAbstractUI.aspx?menuIndex=3&amp;refID=7133208&amp;Result=3","7133208")</f>
        <v>0</v>
      </c>
      <c r="B13479" t="s">
        <v>1836</v>
      </c>
      <c r="C13479" t="s">
        <v>16629</v>
      </c>
      <c r="D13479" t="s">
        <v>19038</v>
      </c>
      <c r="E13479" t="s">
        <v>30630</v>
      </c>
      <c r="F13479" t="s">
        <v>32833</v>
      </c>
      <c r="G13479" t="s">
        <v>32839</v>
      </c>
      <c r="H13479" t="s">
        <v>32849</v>
      </c>
      <c r="I13479" t="s">
        <v>4177</v>
      </c>
      <c r="J13479" t="s">
        <v>35513</v>
      </c>
      <c r="K13479" t="s">
        <v>42766</v>
      </c>
      <c r="M13479" t="s">
        <v>44970</v>
      </c>
      <c r="N13479" t="s">
        <v>47424</v>
      </c>
      <c r="O13479" t="s">
        <v>47425</v>
      </c>
      <c r="Q13479">
        <v>1</v>
      </c>
      <c r="R13479" t="s">
        <v>47443</v>
      </c>
      <c r="S13479" t="s">
        <v>48146</v>
      </c>
      <c r="T13479" t="s">
        <v>49166</v>
      </c>
      <c r="U13479" t="s">
        <v>53641</v>
      </c>
      <c r="V13479" t="s">
        <v>64142</v>
      </c>
      <c r="W13479" t="s">
        <v>44970</v>
      </c>
      <c r="X13479" t="s">
        <v>47444</v>
      </c>
    </row>
    <row r="13480" spans="1:24">
      <c r="A13480">
        <f>HYPERLINK("https://www.philgeps.gov.ph/GEPSNONPILOT/Tender/SplashBidNoticeAbstractUI.aspx?menuIndex=3&amp;refID=7132758&amp;Result=3","7132758")</f>
        <v>0</v>
      </c>
      <c r="B13480" t="s">
        <v>2754</v>
      </c>
      <c r="C13480" t="s">
        <v>16630</v>
      </c>
      <c r="D13480" t="s">
        <v>19042</v>
      </c>
      <c r="E13480" t="s">
        <v>30631</v>
      </c>
      <c r="F13480" t="s">
        <v>32831</v>
      </c>
      <c r="G13480" t="s">
        <v>32839</v>
      </c>
      <c r="H13480" t="s">
        <v>32849</v>
      </c>
      <c r="I13480" t="s">
        <v>4177</v>
      </c>
      <c r="J13480" t="s">
        <v>41205</v>
      </c>
      <c r="K13480" t="s">
        <v>42763</v>
      </c>
      <c r="M13480" t="s">
        <v>45983</v>
      </c>
      <c r="N13480" t="s">
        <v>47424</v>
      </c>
      <c r="O13480" t="s">
        <v>47425</v>
      </c>
      <c r="P13480">
        <v>0</v>
      </c>
      <c r="Q13480">
        <v>1</v>
      </c>
      <c r="R13480" t="s">
        <v>47443</v>
      </c>
      <c r="S13480" t="s">
        <v>48115</v>
      </c>
      <c r="T13480" t="s">
        <v>49198</v>
      </c>
      <c r="U13480" t="s">
        <v>60698</v>
      </c>
      <c r="W13480" t="s">
        <v>45983</v>
      </c>
      <c r="X13480" t="s">
        <v>47444</v>
      </c>
    </row>
    <row r="13481" spans="1:24">
      <c r="A13481">
        <f>HYPERLINK("https://www.philgeps.gov.ph/GEPSNONPILOT/Tender/SplashBidNoticeAbstractUI.aspx?menuIndex=3&amp;refID=7135314&amp;Result=3","7135314")</f>
        <v>0</v>
      </c>
      <c r="B13481" t="s">
        <v>3265</v>
      </c>
      <c r="C13481" t="s">
        <v>16631</v>
      </c>
      <c r="E13481" t="s">
        <v>24474</v>
      </c>
      <c r="F13481" t="s">
        <v>32831</v>
      </c>
      <c r="G13481" t="s">
        <v>32839</v>
      </c>
      <c r="H13481" t="s">
        <v>32848</v>
      </c>
      <c r="I13481" t="s">
        <v>32863</v>
      </c>
      <c r="J13481" t="s">
        <v>41206</v>
      </c>
      <c r="K13481" t="s">
        <v>42732</v>
      </c>
      <c r="M13481" t="s">
        <v>46582</v>
      </c>
      <c r="N13481" t="s">
        <v>47424</v>
      </c>
      <c r="O13481" t="s">
        <v>47425</v>
      </c>
      <c r="Q13481">
        <v>1</v>
      </c>
      <c r="R13481" t="s">
        <v>47443</v>
      </c>
      <c r="S13481" t="s">
        <v>48147</v>
      </c>
      <c r="T13481" t="s">
        <v>49142</v>
      </c>
      <c r="U13481" t="s">
        <v>58546</v>
      </c>
      <c r="W13481" t="s">
        <v>46582</v>
      </c>
      <c r="X13481" t="s">
        <v>47444</v>
      </c>
    </row>
    <row r="13482" spans="1:24">
      <c r="A13482">
        <f>HYPERLINK("https://www.philgeps.gov.ph/GEPSNONPILOT/Tender/SplashBidNoticeAbstractUI.aspx?menuIndex=3&amp;refID=7137533&amp;Result=3","7137533")</f>
        <v>0</v>
      </c>
      <c r="B13482" t="s">
        <v>1118</v>
      </c>
      <c r="C13482" t="s">
        <v>16632</v>
      </c>
      <c r="D13482" t="s">
        <v>19060</v>
      </c>
      <c r="E13482" t="s">
        <v>30632</v>
      </c>
      <c r="F13482" t="s">
        <v>32831</v>
      </c>
      <c r="G13482" t="s">
        <v>32839</v>
      </c>
      <c r="H13482" t="s">
        <v>32848</v>
      </c>
      <c r="I13482" t="s">
        <v>4438</v>
      </c>
      <c r="J13482" t="s">
        <v>41207</v>
      </c>
      <c r="K13482" t="s">
        <v>42726</v>
      </c>
      <c r="M13482" t="s">
        <v>45853</v>
      </c>
      <c r="N13482" t="s">
        <v>47424</v>
      </c>
      <c r="O13482" t="s">
        <v>47425</v>
      </c>
      <c r="Q13482">
        <v>2</v>
      </c>
      <c r="R13482" t="s">
        <v>47440</v>
      </c>
      <c r="S13482" t="s">
        <v>48148</v>
      </c>
      <c r="T13482" t="s">
        <v>49338</v>
      </c>
      <c r="U13482" t="s">
        <v>56180</v>
      </c>
      <c r="V13482" t="s">
        <v>64143</v>
      </c>
      <c r="W13482" t="s">
        <v>45853</v>
      </c>
      <c r="X13482" t="s">
        <v>47441</v>
      </c>
    </row>
    <row r="13483" spans="1:24">
      <c r="A13483">
        <f>HYPERLINK("https://www.philgeps.gov.ph/GEPSNONPILOT/Tender/SplashBidNoticeAbstractUI.aspx?menuIndex=3&amp;refID=7137535&amp;Result=3","7137535")</f>
        <v>0</v>
      </c>
      <c r="B13483" t="s">
        <v>1629</v>
      </c>
      <c r="C13483" t="s">
        <v>16633</v>
      </c>
      <c r="D13483" t="s">
        <v>19021</v>
      </c>
      <c r="E13483" t="s">
        <v>30633</v>
      </c>
      <c r="F13483" t="s">
        <v>32831</v>
      </c>
      <c r="G13483" t="s">
        <v>32839</v>
      </c>
      <c r="H13483" t="s">
        <v>32848</v>
      </c>
      <c r="I13483" t="s">
        <v>32871</v>
      </c>
      <c r="J13483" t="s">
        <v>36338</v>
      </c>
      <c r="K13483" t="s">
        <v>42732</v>
      </c>
      <c r="M13483" t="s">
        <v>44745</v>
      </c>
      <c r="N13483" t="s">
        <v>47424</v>
      </c>
      <c r="O13483" t="s">
        <v>47425</v>
      </c>
      <c r="Q13483">
        <v>6</v>
      </c>
      <c r="R13483" t="s">
        <v>47440</v>
      </c>
      <c r="S13483" t="s">
        <v>48083</v>
      </c>
      <c r="T13483" t="s">
        <v>49259</v>
      </c>
      <c r="U13483" t="s">
        <v>60699</v>
      </c>
      <c r="V13483" t="s">
        <v>64144</v>
      </c>
      <c r="W13483" t="s">
        <v>44745</v>
      </c>
      <c r="X13483" t="s">
        <v>47441</v>
      </c>
    </row>
    <row r="13484" spans="1:24">
      <c r="A13484">
        <f>HYPERLINK("https://www.philgeps.gov.ph/GEPSNONPILOT/Tender/SplashBidNoticeAbstractUI.aspx?menuIndex=3&amp;refID=7134685&amp;Result=3","7134685")</f>
        <v>0</v>
      </c>
      <c r="B13484" t="s">
        <v>3711</v>
      </c>
      <c r="C13484" t="s">
        <v>16634</v>
      </c>
      <c r="D13484" t="s">
        <v>19045</v>
      </c>
      <c r="E13484" t="s">
        <v>30634</v>
      </c>
      <c r="F13484" t="s">
        <v>32831</v>
      </c>
      <c r="G13484" t="s">
        <v>32839</v>
      </c>
      <c r="H13484" t="s">
        <v>32848</v>
      </c>
      <c r="I13484" t="s">
        <v>4558</v>
      </c>
      <c r="J13484" t="s">
        <v>41208</v>
      </c>
      <c r="K13484" t="s">
        <v>42727</v>
      </c>
      <c r="M13484" t="s">
        <v>47101</v>
      </c>
      <c r="N13484" t="s">
        <v>47424</v>
      </c>
      <c r="O13484" t="s">
        <v>47425</v>
      </c>
      <c r="P13484">
        <v>0</v>
      </c>
      <c r="Q13484">
        <v>11</v>
      </c>
      <c r="R13484" t="s">
        <v>47443</v>
      </c>
      <c r="S13484" t="s">
        <v>48115</v>
      </c>
      <c r="T13484" t="s">
        <v>49087</v>
      </c>
      <c r="U13484" t="s">
        <v>60700</v>
      </c>
      <c r="W13484" t="s">
        <v>47101</v>
      </c>
      <c r="X13484" t="s">
        <v>47444</v>
      </c>
    </row>
    <row r="13485" spans="1:24">
      <c r="A13485">
        <f>HYPERLINK("https://www.philgeps.gov.ph/GEPSNONPILOT/Tender/SplashBidNoticeAbstractUI.aspx?menuIndex=3&amp;refID=7134697&amp;Result=3","7134697")</f>
        <v>0</v>
      </c>
      <c r="B13485" t="s">
        <v>2026</v>
      </c>
      <c r="C13485" t="s">
        <v>16635</v>
      </c>
      <c r="D13485" t="s">
        <v>19019</v>
      </c>
      <c r="E13485" t="s">
        <v>30635</v>
      </c>
      <c r="F13485" t="s">
        <v>32831</v>
      </c>
      <c r="G13485" t="s">
        <v>32839</v>
      </c>
      <c r="H13485" t="s">
        <v>32848</v>
      </c>
      <c r="I13485" t="s">
        <v>32949</v>
      </c>
      <c r="J13485" t="s">
        <v>41209</v>
      </c>
      <c r="K13485" t="s">
        <v>42732</v>
      </c>
      <c r="M13485" t="s">
        <v>45194</v>
      </c>
      <c r="N13485" t="s">
        <v>47424</v>
      </c>
      <c r="O13485" t="s">
        <v>47425</v>
      </c>
      <c r="P13485">
        <v>0</v>
      </c>
      <c r="Q13485">
        <v>10</v>
      </c>
      <c r="R13485" t="s">
        <v>47443</v>
      </c>
      <c r="S13485" t="s">
        <v>48115</v>
      </c>
      <c r="T13485" t="s">
        <v>49059</v>
      </c>
      <c r="U13485" t="s">
        <v>60701</v>
      </c>
      <c r="W13485" t="s">
        <v>45194</v>
      </c>
      <c r="X13485" t="s">
        <v>47444</v>
      </c>
    </row>
    <row r="13486" spans="1:24">
      <c r="A13486">
        <f>HYPERLINK("https://www.philgeps.gov.ph/GEPSNONPILOT/Tender/SplashBidNoticeAbstractUI.aspx?menuIndex=3&amp;refID=7137446&amp;Result=3","7137446")</f>
        <v>0</v>
      </c>
      <c r="B13486" t="s">
        <v>3519</v>
      </c>
      <c r="C13486" t="s">
        <v>16636</v>
      </c>
      <c r="D13486" t="s">
        <v>19045</v>
      </c>
      <c r="E13486" t="s">
        <v>16636</v>
      </c>
      <c r="F13486" t="s">
        <v>32831</v>
      </c>
      <c r="G13486" t="s">
        <v>32839</v>
      </c>
      <c r="H13486" t="s">
        <v>32848</v>
      </c>
      <c r="I13486" t="s">
        <v>10805</v>
      </c>
      <c r="J13486" t="s">
        <v>41210</v>
      </c>
      <c r="K13486" t="s">
        <v>42730</v>
      </c>
      <c r="L13486" t="s">
        <v>3519</v>
      </c>
      <c r="M13486" t="s">
        <v>46870</v>
      </c>
      <c r="N13486" t="s">
        <v>47424</v>
      </c>
      <c r="O13486" t="s">
        <v>47425</v>
      </c>
      <c r="P13486">
        <v>0</v>
      </c>
      <c r="Q13486">
        <v>6</v>
      </c>
      <c r="R13486" t="s">
        <v>47440</v>
      </c>
      <c r="S13486" t="s">
        <v>47963</v>
      </c>
      <c r="T13486" t="s">
        <v>49122</v>
      </c>
      <c r="U13486" t="s">
        <v>60162</v>
      </c>
      <c r="W13486" t="s">
        <v>46870</v>
      </c>
      <c r="X13486" t="s">
        <v>47441</v>
      </c>
    </row>
    <row r="13487" spans="1:24">
      <c r="A13487">
        <f>HYPERLINK("https://www.philgeps.gov.ph/GEPSNONPILOT/Tender/SplashBidNoticeAbstractUI.aspx?menuIndex=3&amp;refID=7137454&amp;Result=3","7137454")</f>
        <v>0</v>
      </c>
      <c r="B13487" t="s">
        <v>145</v>
      </c>
      <c r="C13487" t="s">
        <v>16637</v>
      </c>
      <c r="D13487" t="s">
        <v>19048</v>
      </c>
      <c r="E13487" t="s">
        <v>30636</v>
      </c>
      <c r="F13487" t="s">
        <v>32831</v>
      </c>
      <c r="G13487" t="s">
        <v>32839</v>
      </c>
      <c r="H13487" t="s">
        <v>32848</v>
      </c>
      <c r="I13487" t="s">
        <v>7751</v>
      </c>
      <c r="J13487" t="s">
        <v>41138</v>
      </c>
      <c r="K13487" t="s">
        <v>42729</v>
      </c>
      <c r="L13487" t="s">
        <v>145</v>
      </c>
      <c r="M13487" t="s">
        <v>43142</v>
      </c>
      <c r="N13487" t="s">
        <v>47424</v>
      </c>
      <c r="O13487" t="s">
        <v>47425</v>
      </c>
      <c r="P13487">
        <v>0</v>
      </c>
      <c r="Q13487">
        <v>1</v>
      </c>
      <c r="R13487" t="s">
        <v>47440</v>
      </c>
      <c r="S13487" t="s">
        <v>47963</v>
      </c>
      <c r="T13487" t="s">
        <v>49069</v>
      </c>
      <c r="U13487" t="s">
        <v>49941</v>
      </c>
      <c r="V13487" t="s">
        <v>62648</v>
      </c>
      <c r="W13487" t="s">
        <v>43142</v>
      </c>
      <c r="X13487" t="s">
        <v>47441</v>
      </c>
    </row>
    <row r="13488" spans="1:24">
      <c r="A13488">
        <f>HYPERLINK("https://www.philgeps.gov.ph/GEPSNONPILOT/Tender/SplashBidNoticeAbstractUI.aspx?menuIndex=3&amp;refID=7137448&amp;Result=3","7137448")</f>
        <v>0</v>
      </c>
      <c r="B13488" t="s">
        <v>3609</v>
      </c>
      <c r="C13488" t="s">
        <v>16638</v>
      </c>
      <c r="D13488" t="s">
        <v>19084</v>
      </c>
      <c r="E13488" t="s">
        <v>29986</v>
      </c>
      <c r="F13488" t="s">
        <v>32831</v>
      </c>
      <c r="G13488" t="s">
        <v>32839</v>
      </c>
      <c r="H13488" t="s">
        <v>32849</v>
      </c>
      <c r="I13488" t="s">
        <v>4177</v>
      </c>
      <c r="J13488" t="s">
        <v>41211</v>
      </c>
      <c r="K13488" t="s">
        <v>42763</v>
      </c>
      <c r="M13488" t="s">
        <v>46977</v>
      </c>
      <c r="N13488" t="s">
        <v>47424</v>
      </c>
      <c r="O13488" t="s">
        <v>47425</v>
      </c>
      <c r="Q13488">
        <v>8</v>
      </c>
      <c r="R13488" t="s">
        <v>47440</v>
      </c>
      <c r="S13488" t="s">
        <v>48149</v>
      </c>
      <c r="T13488" t="s">
        <v>49105</v>
      </c>
      <c r="U13488" t="s">
        <v>60102</v>
      </c>
      <c r="W13488" t="s">
        <v>46977</v>
      </c>
      <c r="X13488" t="s">
        <v>47441</v>
      </c>
    </row>
    <row r="13489" spans="1:24">
      <c r="A13489">
        <f>HYPERLINK("https://www.philgeps.gov.ph/GEPSNONPILOT/Tender/SplashBidNoticeAbstractUI.aspx?menuIndex=3&amp;refID=7137442&amp;Result=3","7137442")</f>
        <v>0</v>
      </c>
      <c r="B13489" t="s">
        <v>1927</v>
      </c>
      <c r="C13489" t="s">
        <v>16639</v>
      </c>
      <c r="D13489" t="s">
        <v>19018</v>
      </c>
      <c r="E13489" t="s">
        <v>30637</v>
      </c>
      <c r="F13489" t="s">
        <v>32831</v>
      </c>
      <c r="G13489" t="s">
        <v>32839</v>
      </c>
      <c r="H13489" t="s">
        <v>32849</v>
      </c>
      <c r="I13489" t="s">
        <v>4177</v>
      </c>
      <c r="J13489" t="s">
        <v>35513</v>
      </c>
      <c r="K13489" t="s">
        <v>42732</v>
      </c>
      <c r="L13489" t="s">
        <v>1927</v>
      </c>
      <c r="M13489" t="s">
        <v>46156</v>
      </c>
      <c r="N13489" t="s">
        <v>47424</v>
      </c>
      <c r="O13489" t="s">
        <v>47425</v>
      </c>
      <c r="P13489">
        <v>0</v>
      </c>
      <c r="Q13489">
        <v>0</v>
      </c>
      <c r="R13489" t="s">
        <v>47440</v>
      </c>
      <c r="S13489" t="s">
        <v>47963</v>
      </c>
      <c r="T13489" t="s">
        <v>49080</v>
      </c>
      <c r="U13489" t="s">
        <v>60161</v>
      </c>
      <c r="V13489" t="s">
        <v>63616</v>
      </c>
      <c r="W13489" t="s">
        <v>46156</v>
      </c>
      <c r="X13489" t="s">
        <v>47441</v>
      </c>
    </row>
    <row r="13490" spans="1:24">
      <c r="A13490">
        <f>HYPERLINK("https://www.philgeps.gov.ph/GEPSNONPILOT/Tender/SplashBidNoticeAbstractUI.aspx?menuIndex=3&amp;refID=7137254&amp;Result=3","7137254")</f>
        <v>0</v>
      </c>
      <c r="B13490" t="s">
        <v>581</v>
      </c>
      <c r="C13490" t="s">
        <v>16640</v>
      </c>
      <c r="E13490" t="s">
        <v>30638</v>
      </c>
      <c r="F13490" t="s">
        <v>32831</v>
      </c>
      <c r="G13490" t="s">
        <v>32839</v>
      </c>
      <c r="H13490" t="s">
        <v>32849</v>
      </c>
      <c r="I13490" t="s">
        <v>4177</v>
      </c>
      <c r="J13490" t="s">
        <v>41212</v>
      </c>
      <c r="K13490" t="s">
        <v>42974</v>
      </c>
      <c r="M13490" t="s">
        <v>43986</v>
      </c>
      <c r="N13490" t="s">
        <v>47424</v>
      </c>
      <c r="O13490" t="s">
        <v>47425</v>
      </c>
      <c r="P13490">
        <v>0</v>
      </c>
      <c r="Q13490">
        <v>1</v>
      </c>
      <c r="R13490" t="s">
        <v>47440</v>
      </c>
      <c r="S13490" t="s">
        <v>47963</v>
      </c>
      <c r="T13490" t="s">
        <v>49169</v>
      </c>
      <c r="U13490" t="s">
        <v>60702</v>
      </c>
      <c r="W13490" t="s">
        <v>43986</v>
      </c>
      <c r="X13490" t="s">
        <v>47441</v>
      </c>
    </row>
    <row r="13491" spans="1:24">
      <c r="A13491">
        <f>HYPERLINK("https://www.philgeps.gov.ph/GEPSNONPILOT/Tender/SplashBidNoticeAbstractUI.aspx?menuIndex=3&amp;refID=6862528&amp;Result=3","6862528")</f>
        <v>0</v>
      </c>
      <c r="B13491" t="s">
        <v>3723</v>
      </c>
      <c r="C13491" t="s">
        <v>16641</v>
      </c>
      <c r="D13491" t="s">
        <v>19095</v>
      </c>
      <c r="E13491" t="s">
        <v>30639</v>
      </c>
      <c r="F13491" t="s">
        <v>32831</v>
      </c>
      <c r="G13491" t="s">
        <v>32839</v>
      </c>
      <c r="H13491" t="s">
        <v>32848</v>
      </c>
      <c r="I13491" t="s">
        <v>4303</v>
      </c>
      <c r="J13491" t="s">
        <v>41213</v>
      </c>
      <c r="K13491" t="s">
        <v>42727</v>
      </c>
      <c r="L13491" t="s">
        <v>3723</v>
      </c>
      <c r="M13491" t="s">
        <v>47117</v>
      </c>
      <c r="N13491" t="s">
        <v>47424</v>
      </c>
      <c r="O13491" t="s">
        <v>47425</v>
      </c>
      <c r="P13491">
        <v>0</v>
      </c>
      <c r="Q13491">
        <v>0</v>
      </c>
      <c r="R13491" t="s">
        <v>47444</v>
      </c>
      <c r="S13491" t="s">
        <v>48135</v>
      </c>
      <c r="T13491" t="s">
        <v>49162</v>
      </c>
      <c r="U13491" t="s">
        <v>60703</v>
      </c>
      <c r="V13491" t="s">
        <v>64145</v>
      </c>
      <c r="W13491" t="s">
        <v>47117</v>
      </c>
      <c r="X13491" t="s">
        <v>64575</v>
      </c>
    </row>
    <row r="13492" spans="1:24">
      <c r="A13492">
        <f>HYPERLINK("https://www.philgeps.gov.ph/GEPSNONPILOT/Tender/SplashBidNoticeAbstractUI.aspx?menuIndex=3&amp;refID=7137419&amp;Result=3","7137419")</f>
        <v>0</v>
      </c>
      <c r="B13492" t="s">
        <v>1927</v>
      </c>
      <c r="C13492" t="s">
        <v>16642</v>
      </c>
      <c r="D13492" t="s">
        <v>19018</v>
      </c>
      <c r="E13492" t="s">
        <v>30640</v>
      </c>
      <c r="F13492" t="s">
        <v>32831</v>
      </c>
      <c r="G13492" t="s">
        <v>32839</v>
      </c>
      <c r="H13492" t="s">
        <v>32849</v>
      </c>
      <c r="I13492" t="s">
        <v>4177</v>
      </c>
      <c r="J13492" t="s">
        <v>33111</v>
      </c>
      <c r="K13492" t="s">
        <v>42732</v>
      </c>
      <c r="L13492" t="s">
        <v>1927</v>
      </c>
      <c r="M13492" t="s">
        <v>46156</v>
      </c>
      <c r="N13492" t="s">
        <v>47424</v>
      </c>
      <c r="O13492" t="s">
        <v>47425</v>
      </c>
      <c r="P13492">
        <v>0</v>
      </c>
      <c r="Q13492">
        <v>0</v>
      </c>
      <c r="R13492" t="s">
        <v>47440</v>
      </c>
      <c r="S13492" t="s">
        <v>47963</v>
      </c>
      <c r="T13492" t="s">
        <v>49080</v>
      </c>
      <c r="U13492" t="s">
        <v>60161</v>
      </c>
      <c r="V13492" t="s">
        <v>63616</v>
      </c>
      <c r="W13492" t="s">
        <v>46156</v>
      </c>
      <c r="X13492" t="s">
        <v>47441</v>
      </c>
    </row>
    <row r="13493" spans="1:24">
      <c r="A13493">
        <f>HYPERLINK("https://www.philgeps.gov.ph/GEPSNONPILOT/Tender/SplashBidNoticeAbstractUI.aspx?menuIndex=3&amp;refID=7126541&amp;Result=3","7126541")</f>
        <v>0</v>
      </c>
      <c r="B13493" t="s">
        <v>2239</v>
      </c>
      <c r="C13493" t="s">
        <v>16643</v>
      </c>
      <c r="D13493" t="s">
        <v>19061</v>
      </c>
      <c r="E13493" t="s">
        <v>30641</v>
      </c>
      <c r="F13493" t="s">
        <v>32831</v>
      </c>
      <c r="G13493" t="s">
        <v>32839</v>
      </c>
      <c r="H13493" t="s">
        <v>32849</v>
      </c>
      <c r="I13493" t="s">
        <v>4177</v>
      </c>
      <c r="J13493" t="s">
        <v>41214</v>
      </c>
      <c r="K13493" t="s">
        <v>42728</v>
      </c>
      <c r="M13493" t="s">
        <v>46308</v>
      </c>
      <c r="N13493" t="s">
        <v>47424</v>
      </c>
      <c r="O13493" t="s">
        <v>47425</v>
      </c>
      <c r="P13493">
        <v>0</v>
      </c>
      <c r="Q13493">
        <v>4</v>
      </c>
      <c r="R13493" t="s">
        <v>47444</v>
      </c>
      <c r="S13493" t="s">
        <v>48135</v>
      </c>
      <c r="T13493" t="s">
        <v>49059</v>
      </c>
      <c r="U13493" t="s">
        <v>60704</v>
      </c>
      <c r="W13493" t="s">
        <v>46308</v>
      </c>
      <c r="X13493" t="s">
        <v>47446</v>
      </c>
    </row>
    <row r="13494" spans="1:24">
      <c r="A13494">
        <f>HYPERLINK("https://www.philgeps.gov.ph/GEPSNONPILOT/Tender/SplashBidNoticeAbstractUI.aspx?menuIndex=3&amp;refID=7137421&amp;Result=3","7137421")</f>
        <v>0</v>
      </c>
      <c r="B13494" t="s">
        <v>3080</v>
      </c>
      <c r="C13494" t="s">
        <v>16644</v>
      </c>
      <c r="D13494" t="s">
        <v>19024</v>
      </c>
      <c r="E13494" t="s">
        <v>30642</v>
      </c>
      <c r="F13494" t="s">
        <v>32831</v>
      </c>
      <c r="G13494" t="s">
        <v>32839</v>
      </c>
      <c r="H13494" t="s">
        <v>32848</v>
      </c>
      <c r="I13494" t="s">
        <v>4222</v>
      </c>
      <c r="J13494" t="s">
        <v>33279</v>
      </c>
      <c r="K13494" t="s">
        <v>42727</v>
      </c>
      <c r="M13494" t="s">
        <v>46359</v>
      </c>
      <c r="N13494" t="s">
        <v>47424</v>
      </c>
      <c r="O13494" t="s">
        <v>47425</v>
      </c>
      <c r="P13494">
        <v>0</v>
      </c>
      <c r="Q13494">
        <v>1</v>
      </c>
      <c r="R13494" t="s">
        <v>47440</v>
      </c>
      <c r="S13494" t="s">
        <v>47963</v>
      </c>
      <c r="T13494" t="s">
        <v>49069</v>
      </c>
      <c r="U13494" t="s">
        <v>60705</v>
      </c>
      <c r="W13494" t="s">
        <v>46359</v>
      </c>
      <c r="X13494" t="s">
        <v>47441</v>
      </c>
    </row>
    <row r="13495" spans="1:24">
      <c r="A13495">
        <f>HYPERLINK("https://www.philgeps.gov.ph/GEPSNONPILOT/Tender/SplashBidNoticeAbstractUI.aspx?menuIndex=3&amp;refID=7127079&amp;Result=3","7127079")</f>
        <v>0</v>
      </c>
      <c r="B13495" t="s">
        <v>3724</v>
      </c>
      <c r="C13495" t="s">
        <v>16645</v>
      </c>
      <c r="D13495" t="s">
        <v>19051</v>
      </c>
      <c r="E13495" t="s">
        <v>30643</v>
      </c>
      <c r="F13495" t="s">
        <v>32831</v>
      </c>
      <c r="G13495" t="s">
        <v>32839</v>
      </c>
      <c r="H13495" t="s">
        <v>32849</v>
      </c>
      <c r="I13495" t="s">
        <v>4177</v>
      </c>
      <c r="J13495" t="s">
        <v>41215</v>
      </c>
      <c r="K13495" t="s">
        <v>42729</v>
      </c>
      <c r="M13495" t="s">
        <v>47118</v>
      </c>
      <c r="N13495" t="s">
        <v>47424</v>
      </c>
      <c r="O13495" t="s">
        <v>47425</v>
      </c>
      <c r="P13495">
        <v>0</v>
      </c>
      <c r="Q13495">
        <v>0</v>
      </c>
      <c r="R13495" t="s">
        <v>47444</v>
      </c>
      <c r="S13495" t="s">
        <v>48135</v>
      </c>
      <c r="T13495" t="s">
        <v>49237</v>
      </c>
      <c r="U13495" t="s">
        <v>60706</v>
      </c>
      <c r="V13495" t="s">
        <v>64146</v>
      </c>
      <c r="W13495" t="s">
        <v>47118</v>
      </c>
      <c r="X13495" t="s">
        <v>47446</v>
      </c>
    </row>
    <row r="13496" spans="1:24">
      <c r="A13496">
        <f>HYPERLINK("https://www.philgeps.gov.ph/GEPSNONPILOT/Tender/SplashBidNoticeAbstractUI.aspx?menuIndex=3&amp;refID=7137447&amp;Result=3","7137447")</f>
        <v>0</v>
      </c>
      <c r="B13496" t="s">
        <v>3060</v>
      </c>
      <c r="C13496" t="s">
        <v>16646</v>
      </c>
      <c r="D13496" t="s">
        <v>19034</v>
      </c>
      <c r="E13496" t="s">
        <v>30644</v>
      </c>
      <c r="F13496" t="s">
        <v>32831</v>
      </c>
      <c r="G13496" t="s">
        <v>32838</v>
      </c>
      <c r="H13496" t="s">
        <v>32848</v>
      </c>
      <c r="I13496" t="s">
        <v>32861</v>
      </c>
      <c r="J13496" t="s">
        <v>33660</v>
      </c>
      <c r="K13496" t="s">
        <v>42730</v>
      </c>
      <c r="M13496" t="s">
        <v>46335</v>
      </c>
      <c r="N13496" t="s">
        <v>47424</v>
      </c>
      <c r="O13496" t="s">
        <v>47425</v>
      </c>
      <c r="P13496">
        <v>0</v>
      </c>
      <c r="Q13496">
        <v>2</v>
      </c>
      <c r="R13496" t="s">
        <v>47440</v>
      </c>
      <c r="S13496" t="s">
        <v>47963</v>
      </c>
      <c r="T13496" t="s">
        <v>49141</v>
      </c>
      <c r="U13496" t="s">
        <v>57729</v>
      </c>
      <c r="W13496" t="s">
        <v>46335</v>
      </c>
      <c r="X13496" t="s">
        <v>47441</v>
      </c>
    </row>
    <row r="13497" spans="1:24">
      <c r="A13497">
        <f>HYPERLINK("https://www.philgeps.gov.ph/GEPSNONPILOT/Tender/SplashBidNoticeAbstractUI.aspx?menuIndex=3&amp;refID=7134858&amp;Result=3","7134858")</f>
        <v>0</v>
      </c>
      <c r="B13497" t="s">
        <v>823</v>
      </c>
      <c r="C13497" t="s">
        <v>16647</v>
      </c>
      <c r="D13497" t="s">
        <v>19062</v>
      </c>
      <c r="E13497" t="s">
        <v>30645</v>
      </c>
      <c r="F13497" t="s">
        <v>32831</v>
      </c>
      <c r="G13497" t="s">
        <v>32839</v>
      </c>
      <c r="H13497" t="s">
        <v>32848</v>
      </c>
      <c r="I13497" t="s">
        <v>7751</v>
      </c>
      <c r="J13497" t="s">
        <v>41216</v>
      </c>
      <c r="K13497" t="s">
        <v>42730</v>
      </c>
      <c r="M13497" t="s">
        <v>47114</v>
      </c>
      <c r="N13497" t="s">
        <v>47424</v>
      </c>
      <c r="O13497" t="s">
        <v>47425</v>
      </c>
      <c r="P13497">
        <v>0</v>
      </c>
      <c r="Q13497">
        <v>3</v>
      </c>
      <c r="R13497" t="s">
        <v>47443</v>
      </c>
      <c r="S13497" t="s">
        <v>48115</v>
      </c>
      <c r="T13497" t="s">
        <v>49080</v>
      </c>
      <c r="U13497" t="s">
        <v>55868</v>
      </c>
      <c r="W13497" t="s">
        <v>47114</v>
      </c>
      <c r="X13497" t="s">
        <v>47444</v>
      </c>
    </row>
    <row r="13498" spans="1:24">
      <c r="A13498">
        <f>HYPERLINK("https://www.philgeps.gov.ph/GEPSNONPILOT/Tender/SplashBidNoticeAbstractUI.aspx?menuIndex=3&amp;refID=7126915&amp;Result=3","7126915")</f>
        <v>0</v>
      </c>
      <c r="B13498" t="s">
        <v>2858</v>
      </c>
      <c r="C13498" t="s">
        <v>16648</v>
      </c>
      <c r="D13498" t="s">
        <v>19078</v>
      </c>
      <c r="E13498" t="s">
        <v>30646</v>
      </c>
      <c r="F13498" t="s">
        <v>32831</v>
      </c>
      <c r="G13498" t="s">
        <v>32839</v>
      </c>
      <c r="H13498" t="s">
        <v>32849</v>
      </c>
      <c r="I13498" t="s">
        <v>4177</v>
      </c>
      <c r="J13498" t="s">
        <v>41217</v>
      </c>
      <c r="K13498" t="s">
        <v>42975</v>
      </c>
      <c r="M13498" t="s">
        <v>46091</v>
      </c>
      <c r="N13498" t="s">
        <v>47424</v>
      </c>
      <c r="O13498" t="s">
        <v>47425</v>
      </c>
      <c r="Q13498">
        <v>0</v>
      </c>
      <c r="R13498" t="s">
        <v>47444</v>
      </c>
      <c r="S13498" t="s">
        <v>48150</v>
      </c>
      <c r="T13498" t="s">
        <v>49237</v>
      </c>
      <c r="U13498" t="s">
        <v>60707</v>
      </c>
      <c r="W13498" t="s">
        <v>46091</v>
      </c>
      <c r="X13498" t="s">
        <v>47446</v>
      </c>
    </row>
    <row r="13499" spans="1:24">
      <c r="A13499">
        <f>HYPERLINK("https://www.philgeps.gov.ph/GEPSNONPILOT/Tender/SplashBidNoticeAbstractUI.aspx?menuIndex=3&amp;refID=7127068&amp;Result=3","7127068")</f>
        <v>0</v>
      </c>
      <c r="B13499" t="s">
        <v>1544</v>
      </c>
      <c r="C13499" t="s">
        <v>16649</v>
      </c>
      <c r="D13499" t="s">
        <v>19042</v>
      </c>
      <c r="E13499" t="s">
        <v>30647</v>
      </c>
      <c r="F13499" t="s">
        <v>32831</v>
      </c>
      <c r="G13499" t="s">
        <v>32839</v>
      </c>
      <c r="H13499" t="s">
        <v>32849</v>
      </c>
      <c r="I13499" t="s">
        <v>4177</v>
      </c>
      <c r="J13499" t="s">
        <v>41218</v>
      </c>
      <c r="K13499" t="s">
        <v>42763</v>
      </c>
      <c r="M13499" t="s">
        <v>44648</v>
      </c>
      <c r="N13499" t="s">
        <v>47424</v>
      </c>
      <c r="O13499" t="s">
        <v>47425</v>
      </c>
      <c r="P13499">
        <v>0</v>
      </c>
      <c r="Q13499">
        <v>4</v>
      </c>
      <c r="R13499" t="s">
        <v>47444</v>
      </c>
      <c r="S13499" t="s">
        <v>48135</v>
      </c>
      <c r="T13499" t="s">
        <v>49096</v>
      </c>
      <c r="U13499" t="s">
        <v>60708</v>
      </c>
      <c r="V13499" t="s">
        <v>63491</v>
      </c>
      <c r="W13499" t="s">
        <v>44648</v>
      </c>
      <c r="X13499" t="s">
        <v>47446</v>
      </c>
    </row>
    <row r="13500" spans="1:24">
      <c r="A13500">
        <f>HYPERLINK("https://www.philgeps.gov.ph/GEPSNONPILOT/Tender/SplashBidNoticeAbstractUI.aspx?menuIndex=3&amp;refID=7137541&amp;Result=3","7137541")</f>
        <v>0</v>
      </c>
      <c r="B13500" t="s">
        <v>1953</v>
      </c>
      <c r="C13500" t="s">
        <v>16650</v>
      </c>
      <c r="E13500" t="s">
        <v>30648</v>
      </c>
      <c r="F13500" t="s">
        <v>32831</v>
      </c>
      <c r="G13500" t="s">
        <v>32839</v>
      </c>
      <c r="H13500" t="s">
        <v>32849</v>
      </c>
      <c r="I13500" t="s">
        <v>4177</v>
      </c>
      <c r="J13500" t="s">
        <v>40813</v>
      </c>
      <c r="K13500" t="s">
        <v>42862</v>
      </c>
      <c r="M13500" t="s">
        <v>46997</v>
      </c>
      <c r="N13500" t="s">
        <v>47424</v>
      </c>
      <c r="O13500" t="s">
        <v>47425</v>
      </c>
      <c r="Q13500">
        <v>8</v>
      </c>
      <c r="R13500" t="s">
        <v>47440</v>
      </c>
      <c r="S13500" t="s">
        <v>48151</v>
      </c>
      <c r="T13500" t="s">
        <v>49196</v>
      </c>
      <c r="U13500" t="s">
        <v>60709</v>
      </c>
      <c r="W13500" t="s">
        <v>46997</v>
      </c>
      <c r="X13500" t="s">
        <v>47441</v>
      </c>
    </row>
    <row r="13501" spans="1:24">
      <c r="A13501">
        <f>HYPERLINK("https://www.philgeps.gov.ph/GEPSNONPILOT/Tender/SplashBidNoticeAbstractUI.aspx?menuIndex=3&amp;refID=7134550&amp;Result=3","7134550")</f>
        <v>0</v>
      </c>
      <c r="B13501" t="s">
        <v>1429</v>
      </c>
      <c r="C13501" t="s">
        <v>16651</v>
      </c>
      <c r="D13501" t="s">
        <v>19045</v>
      </c>
      <c r="E13501" t="s">
        <v>30649</v>
      </c>
      <c r="F13501" t="s">
        <v>32831</v>
      </c>
      <c r="G13501" t="s">
        <v>32839</v>
      </c>
      <c r="H13501" t="s">
        <v>32849</v>
      </c>
      <c r="I13501" t="s">
        <v>4177</v>
      </c>
      <c r="J13501" t="s">
        <v>41219</v>
      </c>
      <c r="K13501" t="s">
        <v>42781</v>
      </c>
      <c r="M13501" t="s">
        <v>44518</v>
      </c>
      <c r="N13501" t="s">
        <v>47424</v>
      </c>
      <c r="O13501" t="s">
        <v>47425</v>
      </c>
      <c r="P13501">
        <v>0</v>
      </c>
      <c r="Q13501">
        <v>1</v>
      </c>
      <c r="R13501" t="s">
        <v>47443</v>
      </c>
      <c r="S13501" t="s">
        <v>48115</v>
      </c>
      <c r="T13501" t="s">
        <v>49056</v>
      </c>
      <c r="U13501" t="s">
        <v>60710</v>
      </c>
      <c r="V13501" t="s">
        <v>62995</v>
      </c>
      <c r="W13501" t="s">
        <v>64469</v>
      </c>
      <c r="X13501" t="s">
        <v>47444</v>
      </c>
    </row>
    <row r="13502" spans="1:24">
      <c r="A13502">
        <f>HYPERLINK("https://www.philgeps.gov.ph/GEPSNONPILOT/Tender/SplashBidNoticeAbstractUI.aspx?menuIndex=3&amp;refID=7126556&amp;Result=3","7126556")</f>
        <v>0</v>
      </c>
      <c r="B13502" t="s">
        <v>2239</v>
      </c>
      <c r="C13502" t="s">
        <v>16652</v>
      </c>
      <c r="D13502" t="s">
        <v>19061</v>
      </c>
      <c r="E13502" t="s">
        <v>30650</v>
      </c>
      <c r="F13502" t="s">
        <v>32831</v>
      </c>
      <c r="G13502" t="s">
        <v>32839</v>
      </c>
      <c r="H13502" t="s">
        <v>32849</v>
      </c>
      <c r="I13502" t="s">
        <v>4177</v>
      </c>
      <c r="J13502" t="s">
        <v>41220</v>
      </c>
      <c r="K13502" t="s">
        <v>42885</v>
      </c>
      <c r="M13502" t="s">
        <v>46308</v>
      </c>
      <c r="N13502" t="s">
        <v>47424</v>
      </c>
      <c r="O13502" t="s">
        <v>47425</v>
      </c>
      <c r="Q13502">
        <v>5</v>
      </c>
      <c r="R13502" t="s">
        <v>47444</v>
      </c>
      <c r="S13502" t="s">
        <v>48152</v>
      </c>
      <c r="T13502" t="s">
        <v>49059</v>
      </c>
      <c r="U13502" t="s">
        <v>60711</v>
      </c>
      <c r="W13502" t="s">
        <v>46308</v>
      </c>
      <c r="X13502" t="s">
        <v>47446</v>
      </c>
    </row>
    <row r="13503" spans="1:24">
      <c r="A13503">
        <f>HYPERLINK("https://www.philgeps.gov.ph/GEPSNONPILOT/Tender/SplashBidNoticeAbstractUI.aspx?menuIndex=3&amp;refID=7126346&amp;Result=3","7126346")</f>
        <v>0</v>
      </c>
      <c r="B13503" t="s">
        <v>3725</v>
      </c>
      <c r="C13503" t="s">
        <v>16653</v>
      </c>
      <c r="D13503" t="s">
        <v>19024</v>
      </c>
      <c r="E13503" t="s">
        <v>30589</v>
      </c>
      <c r="F13503" t="s">
        <v>32831</v>
      </c>
      <c r="G13503" t="s">
        <v>32839</v>
      </c>
      <c r="H13503" t="s">
        <v>32849</v>
      </c>
      <c r="I13503" t="s">
        <v>4303</v>
      </c>
      <c r="J13503" t="s">
        <v>41221</v>
      </c>
      <c r="K13503" t="s">
        <v>42727</v>
      </c>
      <c r="M13503" t="s">
        <v>47119</v>
      </c>
      <c r="N13503" t="s">
        <v>47424</v>
      </c>
      <c r="O13503" t="s">
        <v>47425</v>
      </c>
      <c r="Q13503">
        <v>2</v>
      </c>
      <c r="R13503" t="s">
        <v>47444</v>
      </c>
      <c r="S13503" t="s">
        <v>48153</v>
      </c>
      <c r="T13503" t="s">
        <v>49162</v>
      </c>
      <c r="U13503" t="s">
        <v>60712</v>
      </c>
      <c r="W13503" t="s">
        <v>47119</v>
      </c>
      <c r="X13503" t="s">
        <v>47447</v>
      </c>
    </row>
    <row r="13504" spans="1:24">
      <c r="A13504">
        <f>HYPERLINK("https://www.philgeps.gov.ph/GEPSNONPILOT/Tender/SplashBidNoticeAbstractUI.aspx?menuIndex=3&amp;refID=7126767&amp;Result=3","7126767")</f>
        <v>0</v>
      </c>
      <c r="B13504" t="s">
        <v>3724</v>
      </c>
      <c r="C13504" t="s">
        <v>16654</v>
      </c>
      <c r="D13504" t="s">
        <v>19051</v>
      </c>
      <c r="E13504" t="s">
        <v>30651</v>
      </c>
      <c r="F13504" t="s">
        <v>32831</v>
      </c>
      <c r="G13504" t="s">
        <v>32839</v>
      </c>
      <c r="H13504" t="s">
        <v>32849</v>
      </c>
      <c r="I13504" t="s">
        <v>4177</v>
      </c>
      <c r="J13504" t="s">
        <v>41222</v>
      </c>
      <c r="K13504" t="s">
        <v>42780</v>
      </c>
      <c r="M13504" t="s">
        <v>47118</v>
      </c>
      <c r="N13504" t="s">
        <v>47424</v>
      </c>
      <c r="O13504" t="s">
        <v>47425</v>
      </c>
      <c r="P13504">
        <v>0</v>
      </c>
      <c r="Q13504">
        <v>1</v>
      </c>
      <c r="R13504" t="s">
        <v>47444</v>
      </c>
      <c r="S13504" t="s">
        <v>48135</v>
      </c>
      <c r="T13504" t="s">
        <v>49237</v>
      </c>
      <c r="U13504" t="s">
        <v>60713</v>
      </c>
      <c r="V13504" t="s">
        <v>64146</v>
      </c>
      <c r="W13504" t="s">
        <v>47118</v>
      </c>
      <c r="X13504" t="s">
        <v>47446</v>
      </c>
    </row>
    <row r="13505" spans="1:24">
      <c r="A13505">
        <f>HYPERLINK("https://www.philgeps.gov.ph/GEPSNONPILOT/Tender/SplashBidNoticeAbstractUI.aspx?menuIndex=3&amp;refID=7125175&amp;Result=3","7125175")</f>
        <v>0</v>
      </c>
      <c r="B13505" t="s">
        <v>3529</v>
      </c>
      <c r="C13505" t="s">
        <v>16655</v>
      </c>
      <c r="D13505" t="s">
        <v>19089</v>
      </c>
      <c r="E13505" t="s">
        <v>30652</v>
      </c>
      <c r="F13505" t="s">
        <v>32831</v>
      </c>
      <c r="G13505" t="s">
        <v>32839</v>
      </c>
      <c r="H13505" t="s">
        <v>32848</v>
      </c>
      <c r="I13505" t="s">
        <v>4303</v>
      </c>
      <c r="J13505" t="s">
        <v>41223</v>
      </c>
      <c r="K13505" t="s">
        <v>42731</v>
      </c>
      <c r="M13505" t="s">
        <v>46880</v>
      </c>
      <c r="N13505" t="s">
        <v>47424</v>
      </c>
      <c r="O13505" t="s">
        <v>47425</v>
      </c>
      <c r="P13505">
        <v>0</v>
      </c>
      <c r="Q13505">
        <v>0</v>
      </c>
      <c r="R13505" t="s">
        <v>47444</v>
      </c>
      <c r="S13505" t="s">
        <v>48135</v>
      </c>
      <c r="T13505" t="s">
        <v>49080</v>
      </c>
      <c r="U13505" t="s">
        <v>60714</v>
      </c>
      <c r="W13505" t="s">
        <v>46880</v>
      </c>
      <c r="X13505" t="s">
        <v>47447</v>
      </c>
    </row>
    <row r="13506" spans="1:24">
      <c r="A13506">
        <f>HYPERLINK("https://www.philgeps.gov.ph/GEPSNONPILOT/Tender/SplashBidNoticeAbstractUI.aspx?menuIndex=3&amp;refID=7126619&amp;Result=3","7126619")</f>
        <v>0</v>
      </c>
      <c r="B13506" t="s">
        <v>650</v>
      </c>
      <c r="C13506" t="s">
        <v>16656</v>
      </c>
      <c r="D13506" t="s">
        <v>19017</v>
      </c>
      <c r="E13506" t="s">
        <v>30653</v>
      </c>
      <c r="F13506" t="s">
        <v>32831</v>
      </c>
      <c r="G13506" t="s">
        <v>32839</v>
      </c>
      <c r="H13506" t="s">
        <v>32848</v>
      </c>
      <c r="I13506" t="s">
        <v>32871</v>
      </c>
      <c r="J13506" t="s">
        <v>38111</v>
      </c>
      <c r="K13506" t="s">
        <v>42730</v>
      </c>
      <c r="M13506" t="s">
        <v>47120</v>
      </c>
      <c r="N13506" t="s">
        <v>47424</v>
      </c>
      <c r="O13506" t="s">
        <v>47425</v>
      </c>
      <c r="P13506">
        <v>0</v>
      </c>
      <c r="Q13506">
        <v>37</v>
      </c>
      <c r="R13506" t="s">
        <v>47444</v>
      </c>
      <c r="S13506" t="s">
        <v>48135</v>
      </c>
      <c r="T13506" t="s">
        <v>49060</v>
      </c>
      <c r="U13506" t="s">
        <v>60715</v>
      </c>
      <c r="V13506" t="s">
        <v>64147</v>
      </c>
      <c r="W13506" t="s">
        <v>47120</v>
      </c>
      <c r="X13506" t="s">
        <v>47446</v>
      </c>
    </row>
    <row r="13507" spans="1:24">
      <c r="A13507">
        <f>HYPERLINK("https://www.philgeps.gov.ph/GEPSNONPILOT/Tender/SplashBidNoticeAbstractUI.aspx?menuIndex=3&amp;refID=7125120&amp;Result=3","7125120")</f>
        <v>0</v>
      </c>
      <c r="B13507" t="s">
        <v>2615</v>
      </c>
      <c r="C13507" t="s">
        <v>16657</v>
      </c>
      <c r="D13507" t="s">
        <v>19043</v>
      </c>
      <c r="E13507" t="s">
        <v>30654</v>
      </c>
      <c r="F13507" t="s">
        <v>32831</v>
      </c>
      <c r="G13507" t="s">
        <v>32839</v>
      </c>
      <c r="H13507" t="s">
        <v>32848</v>
      </c>
      <c r="I13507" t="s">
        <v>7751</v>
      </c>
      <c r="J13507" t="s">
        <v>41224</v>
      </c>
      <c r="K13507" t="s">
        <v>42729</v>
      </c>
      <c r="M13507" t="s">
        <v>45834</v>
      </c>
      <c r="N13507" t="s">
        <v>47424</v>
      </c>
      <c r="O13507" t="s">
        <v>47425</v>
      </c>
      <c r="Q13507">
        <v>5</v>
      </c>
      <c r="R13507" t="s">
        <v>47444</v>
      </c>
      <c r="S13507" t="s">
        <v>48154</v>
      </c>
      <c r="T13507" t="s">
        <v>49259</v>
      </c>
      <c r="U13507" t="s">
        <v>60716</v>
      </c>
      <c r="V13507" t="s">
        <v>63489</v>
      </c>
      <c r="W13507" t="s">
        <v>45834</v>
      </c>
      <c r="X13507" t="s">
        <v>47447</v>
      </c>
    </row>
    <row r="13508" spans="1:24">
      <c r="A13508">
        <f>HYPERLINK("https://www.philgeps.gov.ph/GEPSNONPILOT/Tender/SplashBidNoticeAbstractUI.aspx?menuIndex=3&amp;refID=7090543-2&amp;Result=3","7090543-2")</f>
        <v>0</v>
      </c>
      <c r="B13508" t="s">
        <v>1062</v>
      </c>
      <c r="C13508" t="s">
        <v>16658</v>
      </c>
      <c r="D13508" t="s">
        <v>19017</v>
      </c>
      <c r="E13508" t="s">
        <v>30655</v>
      </c>
      <c r="F13508" t="s">
        <v>32831</v>
      </c>
      <c r="G13508" t="s">
        <v>32839</v>
      </c>
      <c r="H13508" t="s">
        <v>14069</v>
      </c>
      <c r="I13508" t="s">
        <v>14069</v>
      </c>
      <c r="J13508" t="s">
        <v>41225</v>
      </c>
      <c r="K13508" t="s">
        <v>42774</v>
      </c>
      <c r="M13508" t="s">
        <v>44119</v>
      </c>
      <c r="N13508" t="s">
        <v>47424</v>
      </c>
      <c r="O13508" t="s">
        <v>47425</v>
      </c>
      <c r="P13508">
        <v>0</v>
      </c>
      <c r="Q13508">
        <v>3</v>
      </c>
      <c r="R13508" t="s">
        <v>47444</v>
      </c>
      <c r="S13508" t="s">
        <v>48135</v>
      </c>
      <c r="T13508" t="s">
        <v>49111</v>
      </c>
      <c r="U13508" t="s">
        <v>60717</v>
      </c>
      <c r="W13508" t="s">
        <v>44119</v>
      </c>
      <c r="X13508" t="s">
        <v>47445</v>
      </c>
    </row>
    <row r="13509" spans="1:24">
      <c r="A13509">
        <f>HYPERLINK("https://www.philgeps.gov.ph/GEPSNONPILOT/Tender/SplashBidNoticeAbstractUI.aspx?menuIndex=3&amp;refID=7125211&amp;Result=3","7125211")</f>
        <v>0</v>
      </c>
      <c r="B13509" t="s">
        <v>3529</v>
      </c>
      <c r="C13509" t="s">
        <v>16659</v>
      </c>
      <c r="D13509" t="s">
        <v>19089</v>
      </c>
      <c r="E13509" t="s">
        <v>30656</v>
      </c>
      <c r="F13509" t="s">
        <v>32831</v>
      </c>
      <c r="G13509" t="s">
        <v>32839</v>
      </c>
      <c r="H13509" t="s">
        <v>32848</v>
      </c>
      <c r="I13509" t="s">
        <v>4303</v>
      </c>
      <c r="J13509" t="s">
        <v>41226</v>
      </c>
      <c r="K13509" t="s">
        <v>42731</v>
      </c>
      <c r="M13509" t="s">
        <v>46880</v>
      </c>
      <c r="N13509" t="s">
        <v>47424</v>
      </c>
      <c r="O13509" t="s">
        <v>47425</v>
      </c>
      <c r="P13509">
        <v>0</v>
      </c>
      <c r="Q13509">
        <v>0</v>
      </c>
      <c r="R13509" t="s">
        <v>47444</v>
      </c>
      <c r="S13509" t="s">
        <v>48135</v>
      </c>
      <c r="T13509" t="s">
        <v>49080</v>
      </c>
      <c r="U13509" t="s">
        <v>60718</v>
      </c>
      <c r="W13509" t="s">
        <v>46880</v>
      </c>
      <c r="X13509" t="s">
        <v>47447</v>
      </c>
    </row>
    <row r="13510" spans="1:24">
      <c r="A13510">
        <f>HYPERLINK("https://www.philgeps.gov.ph/GEPSNONPILOT/Tender/SplashBidNoticeAbstractUI.aspx?menuIndex=3&amp;refID=7126456&amp;Result=3","7126456")</f>
        <v>0</v>
      </c>
      <c r="B13510" t="s">
        <v>2239</v>
      </c>
      <c r="C13510" t="s">
        <v>16660</v>
      </c>
      <c r="D13510" t="s">
        <v>19061</v>
      </c>
      <c r="E13510" t="s">
        <v>30657</v>
      </c>
      <c r="F13510" t="s">
        <v>32831</v>
      </c>
      <c r="G13510" t="s">
        <v>32839</v>
      </c>
      <c r="H13510" t="s">
        <v>32848</v>
      </c>
      <c r="I13510" t="s">
        <v>32901</v>
      </c>
      <c r="J13510" t="s">
        <v>33257</v>
      </c>
      <c r="K13510" t="s">
        <v>42730</v>
      </c>
      <c r="M13510" t="s">
        <v>46308</v>
      </c>
      <c r="N13510" t="s">
        <v>47424</v>
      </c>
      <c r="O13510" t="s">
        <v>47425</v>
      </c>
      <c r="P13510">
        <v>0</v>
      </c>
      <c r="Q13510">
        <v>5</v>
      </c>
      <c r="R13510" t="s">
        <v>47444</v>
      </c>
      <c r="S13510" t="s">
        <v>48135</v>
      </c>
      <c r="T13510" t="s">
        <v>49059</v>
      </c>
      <c r="U13510" t="s">
        <v>60719</v>
      </c>
      <c r="W13510" t="s">
        <v>46308</v>
      </c>
      <c r="X13510" t="s">
        <v>47446</v>
      </c>
    </row>
    <row r="13511" spans="1:24">
      <c r="A13511">
        <f>HYPERLINK("https://www.philgeps.gov.ph/GEPSNONPILOT/Tender/SplashBidNoticeAbstractUI.aspx?menuIndex=3&amp;refID=7081901&amp;Result=3","7081901")</f>
        <v>0</v>
      </c>
      <c r="B13511" t="s">
        <v>3726</v>
      </c>
      <c r="C13511" t="s">
        <v>16661</v>
      </c>
      <c r="D13511" t="s">
        <v>19023</v>
      </c>
      <c r="E13511" t="s">
        <v>30658</v>
      </c>
      <c r="F13511" t="s">
        <v>32831</v>
      </c>
      <c r="G13511" t="s">
        <v>32839</v>
      </c>
      <c r="H13511" t="s">
        <v>32848</v>
      </c>
      <c r="I13511" t="s">
        <v>32875</v>
      </c>
      <c r="J13511" t="s">
        <v>41227</v>
      </c>
      <c r="K13511" t="s">
        <v>42732</v>
      </c>
      <c r="M13511" t="s">
        <v>47121</v>
      </c>
      <c r="N13511" t="s">
        <v>47424</v>
      </c>
      <c r="O13511" t="s">
        <v>47425</v>
      </c>
      <c r="P13511">
        <v>0</v>
      </c>
      <c r="Q13511">
        <v>2</v>
      </c>
      <c r="R13511" t="s">
        <v>47444</v>
      </c>
      <c r="S13511" t="s">
        <v>48135</v>
      </c>
      <c r="T13511" t="s">
        <v>49096</v>
      </c>
      <c r="U13511" t="s">
        <v>60720</v>
      </c>
      <c r="W13511" t="s">
        <v>47121</v>
      </c>
      <c r="X13511" t="s">
        <v>47465</v>
      </c>
    </row>
    <row r="13512" spans="1:24">
      <c r="A13512">
        <f>HYPERLINK("https://www.philgeps.gov.ph/GEPSNONPILOT/Tender/SplashBidNoticeAbstractUI.aspx?menuIndex=3&amp;refID=7137429&amp;Result=3","7137429")</f>
        <v>0</v>
      </c>
      <c r="B13512" t="s">
        <v>1414</v>
      </c>
      <c r="C13512" t="s">
        <v>16662</v>
      </c>
      <c r="D13512" t="s">
        <v>19030</v>
      </c>
      <c r="E13512" t="s">
        <v>30659</v>
      </c>
      <c r="F13512" t="s">
        <v>32831</v>
      </c>
      <c r="G13512" t="s">
        <v>32839</v>
      </c>
      <c r="H13512" t="s">
        <v>32848</v>
      </c>
      <c r="I13512" t="s">
        <v>10805</v>
      </c>
      <c r="J13512" t="s">
        <v>41228</v>
      </c>
      <c r="K13512" t="s">
        <v>42732</v>
      </c>
      <c r="M13512" t="s">
        <v>44502</v>
      </c>
      <c r="N13512" t="s">
        <v>47424</v>
      </c>
      <c r="O13512" t="s">
        <v>47425</v>
      </c>
      <c r="Q13512">
        <v>11</v>
      </c>
      <c r="R13512" t="s">
        <v>47440</v>
      </c>
      <c r="S13512" t="s">
        <v>48155</v>
      </c>
      <c r="T13512" t="s">
        <v>49109</v>
      </c>
      <c r="U13512" t="s">
        <v>60721</v>
      </c>
      <c r="W13512" t="s">
        <v>44502</v>
      </c>
      <c r="X13512" t="s">
        <v>47441</v>
      </c>
    </row>
    <row r="13513" spans="1:24">
      <c r="A13513">
        <f>HYPERLINK("https://www.philgeps.gov.ph/GEPSNONPILOT/Tender/SplashBidNoticeAbstractUI.aspx?menuIndex=3&amp;refID=7127058&amp;Result=3","7127058")</f>
        <v>0</v>
      </c>
      <c r="B13513" t="s">
        <v>2858</v>
      </c>
      <c r="C13513" t="s">
        <v>16663</v>
      </c>
      <c r="D13513" t="s">
        <v>19078</v>
      </c>
      <c r="E13513" t="s">
        <v>30660</v>
      </c>
      <c r="F13513" t="s">
        <v>32831</v>
      </c>
      <c r="G13513" t="s">
        <v>32839</v>
      </c>
      <c r="H13513" t="s">
        <v>32849</v>
      </c>
      <c r="I13513" t="s">
        <v>4177</v>
      </c>
      <c r="J13513" t="s">
        <v>41229</v>
      </c>
      <c r="K13513" t="s">
        <v>42761</v>
      </c>
      <c r="M13513" t="s">
        <v>46091</v>
      </c>
      <c r="N13513" t="s">
        <v>47424</v>
      </c>
      <c r="O13513" t="s">
        <v>47425</v>
      </c>
      <c r="Q13513">
        <v>1</v>
      </c>
      <c r="R13513" t="s">
        <v>47444</v>
      </c>
      <c r="S13513" t="s">
        <v>48156</v>
      </c>
      <c r="T13513" t="s">
        <v>49237</v>
      </c>
      <c r="U13513" t="s">
        <v>60722</v>
      </c>
      <c r="W13513" t="s">
        <v>46091</v>
      </c>
      <c r="X13513" t="s">
        <v>47446</v>
      </c>
    </row>
    <row r="13514" spans="1:24">
      <c r="A13514">
        <f>HYPERLINK("https://www.philgeps.gov.ph/GEPSNONPILOT/Tender/SplashBidNoticeAbstractUI.aspx?menuIndex=3&amp;refID=7137102&amp;Result=3","7137102")</f>
        <v>0</v>
      </c>
      <c r="B13514" t="s">
        <v>1439</v>
      </c>
      <c r="C13514" t="s">
        <v>16664</v>
      </c>
      <c r="D13514" t="s">
        <v>19037</v>
      </c>
      <c r="E13514" t="s">
        <v>30661</v>
      </c>
      <c r="F13514" t="s">
        <v>32831</v>
      </c>
      <c r="G13514" t="s">
        <v>32838</v>
      </c>
      <c r="H13514" t="s">
        <v>32848</v>
      </c>
      <c r="I13514" t="s">
        <v>10805</v>
      </c>
      <c r="J13514" t="s">
        <v>41230</v>
      </c>
      <c r="K13514" t="s">
        <v>42727</v>
      </c>
      <c r="M13514" t="s">
        <v>44529</v>
      </c>
      <c r="N13514" t="s">
        <v>47424</v>
      </c>
      <c r="O13514" t="s">
        <v>47425</v>
      </c>
      <c r="Q13514">
        <v>3</v>
      </c>
      <c r="R13514" t="s">
        <v>47440</v>
      </c>
      <c r="S13514" t="s">
        <v>48157</v>
      </c>
      <c r="T13514" t="s">
        <v>49103</v>
      </c>
      <c r="U13514" t="s">
        <v>60723</v>
      </c>
      <c r="W13514" t="s">
        <v>44529</v>
      </c>
      <c r="X13514" t="s">
        <v>47441</v>
      </c>
    </row>
    <row r="13515" spans="1:24">
      <c r="A13515">
        <f>HYPERLINK("https://www.philgeps.gov.ph/GEPSNONPILOT/Tender/SplashBidNoticeAbstractUI.aspx?menuIndex=3&amp;refID=7124101&amp;Result=3","7124101")</f>
        <v>0</v>
      </c>
      <c r="B13515" t="s">
        <v>2239</v>
      </c>
      <c r="C13515" t="s">
        <v>16665</v>
      </c>
      <c r="D13515" t="s">
        <v>19061</v>
      </c>
      <c r="E13515" t="s">
        <v>30662</v>
      </c>
      <c r="F13515" t="s">
        <v>32831</v>
      </c>
      <c r="G13515" t="s">
        <v>32839</v>
      </c>
      <c r="H13515" t="s">
        <v>32849</v>
      </c>
      <c r="I13515" t="s">
        <v>4177</v>
      </c>
      <c r="J13515" t="s">
        <v>41231</v>
      </c>
      <c r="K13515" t="s">
        <v>42976</v>
      </c>
      <c r="M13515" t="s">
        <v>46308</v>
      </c>
      <c r="N13515" t="s">
        <v>47424</v>
      </c>
      <c r="O13515" t="s">
        <v>47425</v>
      </c>
      <c r="P13515">
        <v>0</v>
      </c>
      <c r="Q13515">
        <v>3</v>
      </c>
      <c r="R13515" t="s">
        <v>47444</v>
      </c>
      <c r="S13515" t="s">
        <v>48135</v>
      </c>
      <c r="T13515" t="s">
        <v>49059</v>
      </c>
      <c r="U13515" t="s">
        <v>60724</v>
      </c>
      <c r="W13515" t="s">
        <v>46308</v>
      </c>
      <c r="X13515" t="s">
        <v>47447</v>
      </c>
    </row>
    <row r="13516" spans="1:24">
      <c r="A13516">
        <f>HYPERLINK("https://www.philgeps.gov.ph/GEPSNONPILOT/Tender/SplashBidNoticeAbstractUI.aspx?menuIndex=3&amp;refID=7090511-2&amp;Result=3","7090511-2")</f>
        <v>0</v>
      </c>
      <c r="B13516" t="s">
        <v>1062</v>
      </c>
      <c r="C13516" t="s">
        <v>16666</v>
      </c>
      <c r="E13516" t="s">
        <v>30663</v>
      </c>
      <c r="F13516" t="s">
        <v>32831</v>
      </c>
      <c r="G13516" t="s">
        <v>32839</v>
      </c>
      <c r="H13516" t="s">
        <v>14069</v>
      </c>
      <c r="I13516" t="s">
        <v>14069</v>
      </c>
      <c r="J13516" t="s">
        <v>41232</v>
      </c>
      <c r="K13516" t="s">
        <v>42774</v>
      </c>
      <c r="M13516" t="s">
        <v>44119</v>
      </c>
      <c r="N13516" t="s">
        <v>47424</v>
      </c>
      <c r="O13516" t="s">
        <v>47425</v>
      </c>
      <c r="P13516">
        <v>0</v>
      </c>
      <c r="Q13516">
        <v>3</v>
      </c>
      <c r="R13516" t="s">
        <v>47444</v>
      </c>
      <c r="S13516" t="s">
        <v>48135</v>
      </c>
      <c r="T13516" t="s">
        <v>49111</v>
      </c>
      <c r="U13516" t="s">
        <v>60725</v>
      </c>
      <c r="W13516" t="s">
        <v>44119</v>
      </c>
      <c r="X13516" t="s">
        <v>47445</v>
      </c>
    </row>
    <row r="13517" spans="1:24">
      <c r="A13517">
        <f>HYPERLINK("https://www.philgeps.gov.ph/GEPSNONPILOT/Tender/SplashBidNoticeAbstractUI.aspx?menuIndex=3&amp;refID=7137093&amp;Result=3","7137093")</f>
        <v>0</v>
      </c>
      <c r="B13517" t="s">
        <v>3619</v>
      </c>
      <c r="C13517" t="s">
        <v>16667</v>
      </c>
      <c r="D13517" t="s">
        <v>19047</v>
      </c>
      <c r="E13517" t="s">
        <v>30664</v>
      </c>
      <c r="F13517" t="s">
        <v>32831</v>
      </c>
      <c r="G13517" t="s">
        <v>32839</v>
      </c>
      <c r="H13517" t="s">
        <v>32848</v>
      </c>
      <c r="I13517" t="s">
        <v>32856</v>
      </c>
      <c r="J13517" t="s">
        <v>41233</v>
      </c>
      <c r="K13517" t="s">
        <v>42729</v>
      </c>
      <c r="M13517" t="s">
        <v>46988</v>
      </c>
      <c r="N13517" t="s">
        <v>47424</v>
      </c>
      <c r="O13517" t="s">
        <v>47425</v>
      </c>
      <c r="Q13517">
        <v>14</v>
      </c>
      <c r="R13517" t="s">
        <v>47440</v>
      </c>
      <c r="S13517" t="s">
        <v>48158</v>
      </c>
      <c r="T13517" t="s">
        <v>49105</v>
      </c>
      <c r="U13517" t="s">
        <v>60726</v>
      </c>
      <c r="W13517" t="s">
        <v>46988</v>
      </c>
      <c r="X13517" t="s">
        <v>47441</v>
      </c>
    </row>
    <row r="13518" spans="1:24">
      <c r="A13518">
        <f>HYPERLINK("https://www.philgeps.gov.ph/GEPSNONPILOT/Tender/SplashBidNoticeAbstractUI.aspx?menuIndex=3&amp;refID=7137001&amp;Result=3","7137001")</f>
        <v>0</v>
      </c>
      <c r="B13518" t="s">
        <v>1666</v>
      </c>
      <c r="C13518" t="s">
        <v>16668</v>
      </c>
      <c r="D13518" t="s">
        <v>19067</v>
      </c>
      <c r="E13518" t="s">
        <v>30665</v>
      </c>
      <c r="F13518" t="s">
        <v>32831</v>
      </c>
      <c r="G13518" t="s">
        <v>32839</v>
      </c>
      <c r="H13518" t="s">
        <v>32848</v>
      </c>
      <c r="I13518" t="s">
        <v>10643</v>
      </c>
      <c r="J13518" t="s">
        <v>35663</v>
      </c>
      <c r="K13518" t="s">
        <v>42730</v>
      </c>
      <c r="M13518" t="s">
        <v>44783</v>
      </c>
      <c r="N13518" t="s">
        <v>47424</v>
      </c>
      <c r="O13518" t="s">
        <v>47425</v>
      </c>
      <c r="P13518">
        <v>0</v>
      </c>
      <c r="Q13518">
        <v>2</v>
      </c>
      <c r="R13518" t="s">
        <v>47440</v>
      </c>
      <c r="S13518" t="s">
        <v>47963</v>
      </c>
      <c r="T13518" t="s">
        <v>49070</v>
      </c>
      <c r="U13518" t="s">
        <v>60727</v>
      </c>
      <c r="W13518" t="s">
        <v>44783</v>
      </c>
      <c r="X13518" t="s">
        <v>47441</v>
      </c>
    </row>
    <row r="13519" spans="1:24">
      <c r="A13519">
        <f>HYPERLINK("https://www.philgeps.gov.ph/GEPSNONPILOT/Tender/SplashBidNoticeAbstractUI.aspx?menuIndex=3&amp;refID=7088446-2&amp;Result=3","7088446-2")</f>
        <v>0</v>
      </c>
      <c r="B13519" t="s">
        <v>3727</v>
      </c>
      <c r="C13519" t="s">
        <v>16669</v>
      </c>
      <c r="D13519" t="s">
        <v>19038</v>
      </c>
      <c r="E13519" t="s">
        <v>30666</v>
      </c>
      <c r="F13519" t="s">
        <v>32831</v>
      </c>
      <c r="G13519" t="s">
        <v>32839</v>
      </c>
      <c r="H13519" t="s">
        <v>14069</v>
      </c>
      <c r="I13519" t="s">
        <v>14069</v>
      </c>
      <c r="J13519" t="s">
        <v>33032</v>
      </c>
      <c r="K13519" t="s">
        <v>42761</v>
      </c>
      <c r="M13519" t="s">
        <v>47122</v>
      </c>
      <c r="N13519" t="s">
        <v>47424</v>
      </c>
      <c r="O13519" t="s">
        <v>47425</v>
      </c>
      <c r="P13519">
        <v>0</v>
      </c>
      <c r="Q13519">
        <v>0</v>
      </c>
      <c r="R13519" t="s">
        <v>47444</v>
      </c>
      <c r="S13519" t="s">
        <v>48135</v>
      </c>
      <c r="T13519" t="s">
        <v>49106</v>
      </c>
      <c r="U13519" t="s">
        <v>60728</v>
      </c>
      <c r="W13519" t="s">
        <v>47122</v>
      </c>
      <c r="X13519" t="s">
        <v>47445</v>
      </c>
    </row>
    <row r="13520" spans="1:24">
      <c r="A13520">
        <f>HYPERLINK("https://www.philgeps.gov.ph/GEPSNONPILOT/Tender/SplashBidNoticeAbstractUI.aspx?menuIndex=3&amp;refID=7125010&amp;Result=3","7125010")</f>
        <v>0</v>
      </c>
      <c r="B13520" t="s">
        <v>2615</v>
      </c>
      <c r="C13520" t="s">
        <v>16670</v>
      </c>
      <c r="D13520" t="s">
        <v>19043</v>
      </c>
      <c r="E13520" t="s">
        <v>30667</v>
      </c>
      <c r="F13520" t="s">
        <v>32831</v>
      </c>
      <c r="G13520" t="s">
        <v>32839</v>
      </c>
      <c r="H13520" t="s">
        <v>32848</v>
      </c>
      <c r="I13520" t="s">
        <v>32859</v>
      </c>
      <c r="J13520" t="s">
        <v>36999</v>
      </c>
      <c r="K13520" t="s">
        <v>42727</v>
      </c>
      <c r="M13520" t="s">
        <v>45834</v>
      </c>
      <c r="N13520" t="s">
        <v>47424</v>
      </c>
      <c r="O13520" t="s">
        <v>47425</v>
      </c>
      <c r="P13520">
        <v>0</v>
      </c>
      <c r="Q13520">
        <v>6</v>
      </c>
      <c r="R13520" t="s">
        <v>47444</v>
      </c>
      <c r="S13520" t="s">
        <v>48135</v>
      </c>
      <c r="T13520" t="s">
        <v>49259</v>
      </c>
      <c r="U13520" t="s">
        <v>60729</v>
      </c>
      <c r="V13520" t="s">
        <v>63489</v>
      </c>
      <c r="W13520" t="s">
        <v>45834</v>
      </c>
      <c r="X13520" t="s">
        <v>47447</v>
      </c>
    </row>
    <row r="13521" spans="1:24">
      <c r="A13521">
        <f>HYPERLINK("https://www.philgeps.gov.ph/GEPSNONPILOT/Tender/SplashBidNoticeAbstractUI.aspx?menuIndex=3&amp;refID=7136981&amp;Result=3","7136981")</f>
        <v>0</v>
      </c>
      <c r="B13521" t="s">
        <v>1857</v>
      </c>
      <c r="C13521" t="s">
        <v>16671</v>
      </c>
      <c r="E13521" t="s">
        <v>30668</v>
      </c>
      <c r="F13521" t="s">
        <v>32831</v>
      </c>
      <c r="G13521" t="s">
        <v>32839</v>
      </c>
      <c r="H13521" t="s">
        <v>32849</v>
      </c>
      <c r="I13521" t="s">
        <v>4177</v>
      </c>
      <c r="J13521" t="s">
        <v>41234</v>
      </c>
      <c r="K13521" t="s">
        <v>42763</v>
      </c>
      <c r="M13521" t="s">
        <v>44996</v>
      </c>
      <c r="N13521" t="s">
        <v>47424</v>
      </c>
      <c r="O13521" t="s">
        <v>47425</v>
      </c>
      <c r="P13521">
        <v>0</v>
      </c>
      <c r="Q13521">
        <v>0</v>
      </c>
      <c r="R13521" t="s">
        <v>47440</v>
      </c>
      <c r="S13521" t="s">
        <v>47963</v>
      </c>
      <c r="T13521" t="s">
        <v>49073</v>
      </c>
      <c r="U13521" t="s">
        <v>60730</v>
      </c>
      <c r="W13521" t="s">
        <v>44996</v>
      </c>
      <c r="X13521" t="s">
        <v>47441</v>
      </c>
    </row>
    <row r="13522" spans="1:24">
      <c r="A13522">
        <f>HYPERLINK("https://www.philgeps.gov.ph/GEPSNONPILOT/Tender/SplashBidNoticeAbstractUI.aspx?menuIndex=3&amp;refID=7136972&amp;Result=3","7136972")</f>
        <v>0</v>
      </c>
      <c r="B13522" t="s">
        <v>3060</v>
      </c>
      <c r="C13522" t="s">
        <v>16672</v>
      </c>
      <c r="D13522" t="s">
        <v>19034</v>
      </c>
      <c r="E13522" t="s">
        <v>30669</v>
      </c>
      <c r="F13522" t="s">
        <v>32831</v>
      </c>
      <c r="G13522" t="s">
        <v>32839</v>
      </c>
      <c r="H13522" t="s">
        <v>32848</v>
      </c>
      <c r="I13522" t="s">
        <v>4471</v>
      </c>
      <c r="J13522" t="s">
        <v>41235</v>
      </c>
      <c r="K13522" t="s">
        <v>42746</v>
      </c>
      <c r="M13522" t="s">
        <v>46335</v>
      </c>
      <c r="N13522" t="s">
        <v>47424</v>
      </c>
      <c r="O13522" t="s">
        <v>47425</v>
      </c>
      <c r="P13522">
        <v>0</v>
      </c>
      <c r="Q13522">
        <v>2</v>
      </c>
      <c r="R13522" t="s">
        <v>47440</v>
      </c>
      <c r="S13522" t="s">
        <v>47963</v>
      </c>
      <c r="T13522" t="s">
        <v>49427</v>
      </c>
      <c r="U13522" t="s">
        <v>60731</v>
      </c>
      <c r="V13522" t="s">
        <v>64148</v>
      </c>
      <c r="W13522" t="s">
        <v>46335</v>
      </c>
      <c r="X13522" t="s">
        <v>47441</v>
      </c>
    </row>
    <row r="13523" spans="1:24">
      <c r="A13523">
        <f>HYPERLINK("https://www.philgeps.gov.ph/GEPSNONPILOT/Tender/SplashBidNoticeAbstractUI.aspx?menuIndex=3&amp;refID=7137226&amp;Result=3","7137226")</f>
        <v>0</v>
      </c>
      <c r="B13523" t="s">
        <v>3728</v>
      </c>
      <c r="C13523" t="s">
        <v>16673</v>
      </c>
      <c r="D13523" t="s">
        <v>19027</v>
      </c>
      <c r="E13523" t="s">
        <v>19169</v>
      </c>
      <c r="F13523" t="s">
        <v>32831</v>
      </c>
      <c r="G13523" t="s">
        <v>32839</v>
      </c>
      <c r="H13523" t="s">
        <v>32850</v>
      </c>
      <c r="I13523" t="s">
        <v>7751</v>
      </c>
      <c r="J13523" t="s">
        <v>33017</v>
      </c>
      <c r="K13523" t="s">
        <v>42730</v>
      </c>
      <c r="M13523" t="s">
        <v>47123</v>
      </c>
      <c r="N13523" t="s">
        <v>47424</v>
      </c>
      <c r="O13523" t="s">
        <v>47425</v>
      </c>
      <c r="P13523">
        <v>0</v>
      </c>
      <c r="Q13523">
        <v>2</v>
      </c>
      <c r="R13523" t="s">
        <v>47440</v>
      </c>
      <c r="S13523" t="s">
        <v>47963</v>
      </c>
      <c r="T13523" t="s">
        <v>49196</v>
      </c>
      <c r="U13523" t="s">
        <v>60732</v>
      </c>
      <c r="W13523" t="s">
        <v>47123</v>
      </c>
      <c r="X13523" t="s">
        <v>47441</v>
      </c>
    </row>
    <row r="13524" spans="1:24">
      <c r="A13524">
        <f>HYPERLINK("https://www.philgeps.gov.ph/GEPSNONPILOT/Tender/SplashBidNoticeAbstractUI.aspx?menuIndex=3&amp;refID=7136837&amp;Result=3","7136837")</f>
        <v>0</v>
      </c>
      <c r="B13524" t="s">
        <v>3617</v>
      </c>
      <c r="C13524" t="s">
        <v>16674</v>
      </c>
      <c r="D13524" t="s">
        <v>19099</v>
      </c>
      <c r="E13524" t="s">
        <v>30670</v>
      </c>
      <c r="F13524" t="s">
        <v>32831</v>
      </c>
      <c r="G13524" t="s">
        <v>32839</v>
      </c>
      <c r="H13524" t="s">
        <v>32848</v>
      </c>
      <c r="I13524" t="s">
        <v>9577</v>
      </c>
      <c r="J13524" t="s">
        <v>38195</v>
      </c>
      <c r="K13524" t="s">
        <v>42729</v>
      </c>
      <c r="M13524" t="s">
        <v>46985</v>
      </c>
      <c r="N13524" t="s">
        <v>47424</v>
      </c>
      <c r="O13524" t="s">
        <v>47425</v>
      </c>
      <c r="P13524">
        <v>0</v>
      </c>
      <c r="Q13524">
        <v>5</v>
      </c>
      <c r="R13524" t="s">
        <v>47440</v>
      </c>
      <c r="S13524" t="s">
        <v>47963</v>
      </c>
      <c r="T13524" t="s">
        <v>49073</v>
      </c>
      <c r="U13524" t="s">
        <v>58564</v>
      </c>
      <c r="W13524" t="s">
        <v>46985</v>
      </c>
      <c r="X13524" t="s">
        <v>47441</v>
      </c>
    </row>
    <row r="13525" spans="1:24">
      <c r="A13525">
        <f>HYPERLINK("https://www.philgeps.gov.ph/GEPSNONPILOT/Tender/SplashBidNoticeAbstractUI.aspx?menuIndex=3&amp;refID=7136997&amp;Result=3","7136997")</f>
        <v>0</v>
      </c>
      <c r="B13525" t="s">
        <v>2791</v>
      </c>
      <c r="C13525" t="s">
        <v>16675</v>
      </c>
      <c r="D13525" t="s">
        <v>19034</v>
      </c>
      <c r="E13525" t="s">
        <v>27808</v>
      </c>
      <c r="F13525" t="s">
        <v>32831</v>
      </c>
      <c r="G13525" t="s">
        <v>32839</v>
      </c>
      <c r="H13525" t="s">
        <v>32848</v>
      </c>
      <c r="I13525" t="s">
        <v>7751</v>
      </c>
      <c r="J13525" t="s">
        <v>41236</v>
      </c>
      <c r="K13525" t="s">
        <v>42747</v>
      </c>
      <c r="M13525" t="s">
        <v>46021</v>
      </c>
      <c r="N13525" t="s">
        <v>47424</v>
      </c>
      <c r="O13525" t="s">
        <v>47425</v>
      </c>
      <c r="P13525">
        <v>0</v>
      </c>
      <c r="Q13525">
        <v>2</v>
      </c>
      <c r="R13525" t="s">
        <v>47440</v>
      </c>
      <c r="S13525" t="s">
        <v>47963</v>
      </c>
      <c r="T13525" t="s">
        <v>49105</v>
      </c>
      <c r="U13525" t="s">
        <v>60733</v>
      </c>
      <c r="W13525" t="s">
        <v>46021</v>
      </c>
      <c r="X13525" t="s">
        <v>47441</v>
      </c>
    </row>
    <row r="13526" spans="1:24">
      <c r="A13526">
        <f>HYPERLINK("https://www.philgeps.gov.ph/GEPSNONPILOT/Tender/SplashBidNoticeAbstractUI.aspx?menuIndex=3&amp;refID=7136810&amp;Result=3","7136810")</f>
        <v>0</v>
      </c>
      <c r="B13526" t="s">
        <v>114</v>
      </c>
      <c r="C13526" t="s">
        <v>16676</v>
      </c>
      <c r="D13526" t="s">
        <v>19050</v>
      </c>
      <c r="E13526" t="s">
        <v>30671</v>
      </c>
      <c r="F13526" t="s">
        <v>32831</v>
      </c>
      <c r="G13526" t="s">
        <v>32839</v>
      </c>
      <c r="H13526" t="s">
        <v>32848</v>
      </c>
      <c r="I13526" t="s">
        <v>32871</v>
      </c>
      <c r="J13526" t="s">
        <v>41237</v>
      </c>
      <c r="K13526" t="s">
        <v>42729</v>
      </c>
      <c r="L13526" t="s">
        <v>114</v>
      </c>
      <c r="M13526" t="s">
        <v>43111</v>
      </c>
      <c r="N13526" t="s">
        <v>47424</v>
      </c>
      <c r="O13526" t="s">
        <v>47425</v>
      </c>
      <c r="P13526">
        <v>0</v>
      </c>
      <c r="Q13526">
        <v>38</v>
      </c>
      <c r="R13526" t="s">
        <v>47440</v>
      </c>
      <c r="S13526" t="s">
        <v>47963</v>
      </c>
      <c r="T13526" t="s">
        <v>49120</v>
      </c>
      <c r="U13526" t="s">
        <v>60734</v>
      </c>
      <c r="W13526" t="s">
        <v>43111</v>
      </c>
      <c r="X13526" t="s">
        <v>47441</v>
      </c>
    </row>
    <row r="13527" spans="1:24">
      <c r="A13527">
        <f>HYPERLINK("https://www.philgeps.gov.ph/GEPSNONPILOT/Tender/SplashBidNoticeAbstractUI.aspx?menuIndex=3&amp;refID=7136963&amp;Result=3","7136963")</f>
        <v>0</v>
      </c>
      <c r="B13527" t="s">
        <v>1857</v>
      </c>
      <c r="C13527" t="s">
        <v>16677</v>
      </c>
      <c r="E13527" t="s">
        <v>30672</v>
      </c>
      <c r="F13527" t="s">
        <v>32831</v>
      </c>
      <c r="G13527" t="s">
        <v>32839</v>
      </c>
      <c r="H13527" t="s">
        <v>32849</v>
      </c>
      <c r="I13527" t="s">
        <v>4177</v>
      </c>
      <c r="J13527" t="s">
        <v>33032</v>
      </c>
      <c r="K13527" t="s">
        <v>42747</v>
      </c>
      <c r="M13527" t="s">
        <v>44996</v>
      </c>
      <c r="N13527" t="s">
        <v>47424</v>
      </c>
      <c r="O13527" t="s">
        <v>47425</v>
      </c>
      <c r="P13527">
        <v>0</v>
      </c>
      <c r="Q13527">
        <v>0</v>
      </c>
      <c r="R13527" t="s">
        <v>47440</v>
      </c>
      <c r="S13527" t="s">
        <v>47963</v>
      </c>
      <c r="T13527" t="s">
        <v>49073</v>
      </c>
      <c r="U13527" t="s">
        <v>60092</v>
      </c>
      <c r="W13527" t="s">
        <v>44996</v>
      </c>
      <c r="X13527" t="s">
        <v>47441</v>
      </c>
    </row>
    <row r="13528" spans="1:24">
      <c r="A13528">
        <f>HYPERLINK("https://www.philgeps.gov.ph/GEPSNONPILOT/Tender/SplashBidNoticeAbstractUI.aspx?menuIndex=3&amp;refID=7136792&amp;Result=3","7136792")</f>
        <v>0</v>
      </c>
      <c r="B13528" t="s">
        <v>3618</v>
      </c>
      <c r="C13528" t="s">
        <v>16678</v>
      </c>
      <c r="D13528" t="s">
        <v>19045</v>
      </c>
      <c r="E13528" t="s">
        <v>21346</v>
      </c>
      <c r="F13528" t="s">
        <v>32831</v>
      </c>
      <c r="G13528" t="s">
        <v>32839</v>
      </c>
      <c r="H13528" t="s">
        <v>32849</v>
      </c>
      <c r="I13528" t="s">
        <v>4177</v>
      </c>
      <c r="J13528" t="s">
        <v>34637</v>
      </c>
      <c r="K13528" t="s">
        <v>42770</v>
      </c>
      <c r="M13528" t="s">
        <v>46986</v>
      </c>
      <c r="N13528" t="s">
        <v>47424</v>
      </c>
      <c r="O13528" t="s">
        <v>47425</v>
      </c>
      <c r="Q13528">
        <v>5</v>
      </c>
      <c r="R13528" t="s">
        <v>47440</v>
      </c>
      <c r="S13528" t="s">
        <v>48159</v>
      </c>
      <c r="T13528" t="s">
        <v>49096</v>
      </c>
      <c r="U13528" t="s">
        <v>60735</v>
      </c>
      <c r="W13528" t="s">
        <v>46986</v>
      </c>
      <c r="X13528" t="s">
        <v>47441</v>
      </c>
    </row>
    <row r="13529" spans="1:24">
      <c r="A13529">
        <f>HYPERLINK("https://www.philgeps.gov.ph/GEPSNONPILOT/Tender/SplashBidNoticeAbstractUI.aspx?menuIndex=3&amp;refID=7137244&amp;Result=3","7137244")</f>
        <v>0</v>
      </c>
      <c r="B13529" t="s">
        <v>2000</v>
      </c>
      <c r="C13529" t="s">
        <v>16679</v>
      </c>
      <c r="D13529" t="s">
        <v>19081</v>
      </c>
      <c r="E13529" t="s">
        <v>30673</v>
      </c>
      <c r="F13529" t="s">
        <v>32831</v>
      </c>
      <c r="G13529" t="s">
        <v>32839</v>
      </c>
      <c r="H13529" t="s">
        <v>32848</v>
      </c>
      <c r="I13529" t="s">
        <v>32862</v>
      </c>
      <c r="J13529" t="s">
        <v>41238</v>
      </c>
      <c r="K13529" t="s">
        <v>42730</v>
      </c>
      <c r="M13529" t="s">
        <v>45167</v>
      </c>
      <c r="N13529" t="s">
        <v>47424</v>
      </c>
      <c r="O13529" t="s">
        <v>47425</v>
      </c>
      <c r="P13529">
        <v>0</v>
      </c>
      <c r="Q13529">
        <v>2</v>
      </c>
      <c r="R13529" t="s">
        <v>47440</v>
      </c>
      <c r="S13529" t="s">
        <v>47963</v>
      </c>
      <c r="T13529" t="s">
        <v>49105</v>
      </c>
      <c r="U13529" t="s">
        <v>54228</v>
      </c>
      <c r="W13529" t="s">
        <v>45167</v>
      </c>
      <c r="X13529" t="s">
        <v>47441</v>
      </c>
    </row>
    <row r="13530" spans="1:24">
      <c r="A13530">
        <f>HYPERLINK("https://www.philgeps.gov.ph/GEPSNONPILOT/Tender/SplashBidNoticeAbstractUI.aspx?menuIndex=3&amp;refID=7136801&amp;Result=3","7136801")</f>
        <v>0</v>
      </c>
      <c r="B13530" t="s">
        <v>1383</v>
      </c>
      <c r="C13530" t="s">
        <v>16680</v>
      </c>
      <c r="D13530" t="s">
        <v>19054</v>
      </c>
      <c r="E13530" t="s">
        <v>30674</v>
      </c>
      <c r="F13530" t="s">
        <v>32831</v>
      </c>
      <c r="G13530" t="s">
        <v>32839</v>
      </c>
      <c r="H13530" t="s">
        <v>32848</v>
      </c>
      <c r="I13530" t="s">
        <v>32871</v>
      </c>
      <c r="J13530" t="s">
        <v>37878</v>
      </c>
      <c r="K13530" t="s">
        <v>42730</v>
      </c>
      <c r="L13530" t="s">
        <v>1383</v>
      </c>
      <c r="M13530" t="s">
        <v>44468</v>
      </c>
      <c r="N13530" t="s">
        <v>47424</v>
      </c>
      <c r="O13530" t="s">
        <v>47425</v>
      </c>
      <c r="Q13530">
        <v>19</v>
      </c>
      <c r="R13530" t="s">
        <v>47440</v>
      </c>
      <c r="S13530" t="s">
        <v>48160</v>
      </c>
      <c r="T13530" t="s">
        <v>49080</v>
      </c>
      <c r="U13530" t="s">
        <v>60736</v>
      </c>
      <c r="V13530" t="s">
        <v>64149</v>
      </c>
      <c r="W13530" t="s">
        <v>44468</v>
      </c>
      <c r="X13530" t="s">
        <v>47441</v>
      </c>
    </row>
    <row r="13531" spans="1:24">
      <c r="A13531">
        <f>HYPERLINK("https://www.philgeps.gov.ph/GEPSNONPILOT/Tender/SplashBidNoticeAbstractUI.aspx?menuIndex=3&amp;refID=7136486&amp;Result=3","7136486")</f>
        <v>0</v>
      </c>
      <c r="B13531" t="s">
        <v>3608</v>
      </c>
      <c r="C13531" t="s">
        <v>16681</v>
      </c>
      <c r="D13531" t="s">
        <v>19080</v>
      </c>
      <c r="E13531" t="s">
        <v>30675</v>
      </c>
      <c r="F13531" t="s">
        <v>32831</v>
      </c>
      <c r="G13531" t="s">
        <v>32839</v>
      </c>
      <c r="H13531" t="s">
        <v>32848</v>
      </c>
      <c r="I13531" t="s">
        <v>32883</v>
      </c>
      <c r="J13531" t="s">
        <v>41239</v>
      </c>
      <c r="K13531" t="s">
        <v>42727</v>
      </c>
      <c r="M13531" t="s">
        <v>46976</v>
      </c>
      <c r="N13531" t="s">
        <v>47424</v>
      </c>
      <c r="O13531" t="s">
        <v>47425</v>
      </c>
      <c r="P13531">
        <v>0</v>
      </c>
      <c r="Q13531">
        <v>1</v>
      </c>
      <c r="R13531" t="s">
        <v>47440</v>
      </c>
      <c r="S13531" t="s">
        <v>47963</v>
      </c>
      <c r="T13531" t="s">
        <v>49073</v>
      </c>
      <c r="U13531" t="s">
        <v>60737</v>
      </c>
      <c r="W13531" t="s">
        <v>46976</v>
      </c>
      <c r="X13531" t="s">
        <v>47441</v>
      </c>
    </row>
    <row r="13532" spans="1:24">
      <c r="A13532">
        <f>HYPERLINK("https://www.philgeps.gov.ph/GEPSNONPILOT/Tender/SplashBidNoticeAbstractUI.aspx?menuIndex=3&amp;refID=7136309&amp;Result=3","7136309")</f>
        <v>0</v>
      </c>
      <c r="B13532" t="s">
        <v>3524</v>
      </c>
      <c r="C13532" t="s">
        <v>16682</v>
      </c>
      <c r="D13532" t="s">
        <v>19027</v>
      </c>
      <c r="E13532" t="s">
        <v>30676</v>
      </c>
      <c r="F13532" t="s">
        <v>32831</v>
      </c>
      <c r="G13532" t="s">
        <v>32839</v>
      </c>
      <c r="H13532" t="s">
        <v>32848</v>
      </c>
      <c r="I13532" t="s">
        <v>4776</v>
      </c>
      <c r="J13532" t="s">
        <v>34562</v>
      </c>
      <c r="K13532" t="s">
        <v>42759</v>
      </c>
      <c r="M13532" t="s">
        <v>46875</v>
      </c>
      <c r="N13532" t="s">
        <v>47424</v>
      </c>
      <c r="O13532" t="s">
        <v>47425</v>
      </c>
      <c r="P13532">
        <v>0</v>
      </c>
      <c r="Q13532">
        <v>3</v>
      </c>
      <c r="R13532" t="s">
        <v>47440</v>
      </c>
      <c r="S13532" t="s">
        <v>47963</v>
      </c>
      <c r="T13532" t="s">
        <v>49200</v>
      </c>
      <c r="U13532" t="s">
        <v>60738</v>
      </c>
      <c r="W13532" t="s">
        <v>46875</v>
      </c>
      <c r="X13532" t="s">
        <v>47441</v>
      </c>
    </row>
    <row r="13533" spans="1:24">
      <c r="A13533">
        <f>HYPERLINK("https://www.philgeps.gov.ph/GEPSNONPILOT/Tender/SplashBidNoticeAbstractUI.aspx?menuIndex=3&amp;refID=7136740&amp;Result=3","7136740")</f>
        <v>0</v>
      </c>
      <c r="B13533" t="s">
        <v>231</v>
      </c>
      <c r="C13533" t="s">
        <v>16683</v>
      </c>
      <c r="D13533" t="s">
        <v>19039</v>
      </c>
      <c r="E13533" t="s">
        <v>30677</v>
      </c>
      <c r="F13533" t="s">
        <v>32831</v>
      </c>
      <c r="G13533" t="s">
        <v>32839</v>
      </c>
      <c r="H13533" t="s">
        <v>32849</v>
      </c>
      <c r="I13533" t="s">
        <v>4177</v>
      </c>
      <c r="J13533" t="s">
        <v>33118</v>
      </c>
      <c r="K13533" t="s">
        <v>42729</v>
      </c>
      <c r="M13533" t="s">
        <v>46970</v>
      </c>
      <c r="N13533" t="s">
        <v>47424</v>
      </c>
      <c r="O13533" t="s">
        <v>47425</v>
      </c>
      <c r="P13533">
        <v>0</v>
      </c>
      <c r="Q13533">
        <v>1</v>
      </c>
      <c r="R13533" t="s">
        <v>47440</v>
      </c>
      <c r="S13533" t="s">
        <v>47963</v>
      </c>
      <c r="T13533" t="s">
        <v>49066</v>
      </c>
      <c r="U13533" t="s">
        <v>60739</v>
      </c>
      <c r="W13533" t="s">
        <v>46971</v>
      </c>
      <c r="X13533" t="s">
        <v>47441</v>
      </c>
    </row>
    <row r="13534" spans="1:24">
      <c r="A13534">
        <f>HYPERLINK("https://www.philgeps.gov.ph/GEPSNONPILOT/Tender/SplashBidNoticeAbstractUI.aspx?menuIndex=3&amp;refID=7137096&amp;Result=3","7137096")</f>
        <v>0</v>
      </c>
      <c r="B13534" t="s">
        <v>2342</v>
      </c>
      <c r="C13534" t="s">
        <v>16684</v>
      </c>
      <c r="D13534" t="s">
        <v>19044</v>
      </c>
      <c r="E13534" t="s">
        <v>26911</v>
      </c>
      <c r="F13534" t="s">
        <v>32831</v>
      </c>
      <c r="G13534" t="s">
        <v>32839</v>
      </c>
      <c r="H13534" t="s">
        <v>32848</v>
      </c>
      <c r="I13534" t="s">
        <v>10805</v>
      </c>
      <c r="J13534" t="s">
        <v>32976</v>
      </c>
      <c r="K13534" t="s">
        <v>42727</v>
      </c>
      <c r="M13534" t="s">
        <v>45529</v>
      </c>
      <c r="N13534" t="s">
        <v>47424</v>
      </c>
      <c r="O13534" t="s">
        <v>47425</v>
      </c>
      <c r="P13534">
        <v>0</v>
      </c>
      <c r="Q13534">
        <v>1</v>
      </c>
      <c r="R13534" t="s">
        <v>47440</v>
      </c>
      <c r="S13534" t="s">
        <v>47963</v>
      </c>
      <c r="T13534" t="s">
        <v>49237</v>
      </c>
      <c r="U13534" t="s">
        <v>59668</v>
      </c>
      <c r="W13534" t="s">
        <v>45529</v>
      </c>
      <c r="X13534" t="s">
        <v>47441</v>
      </c>
    </row>
    <row r="13535" spans="1:24">
      <c r="A13535">
        <f>HYPERLINK("https://www.philgeps.gov.ph/GEPSNONPILOT/Tender/SplashBidNoticeAbstractUI.aspx?menuIndex=3&amp;refID=7128311&amp;Result=3","7128311")</f>
        <v>0</v>
      </c>
      <c r="B13535" t="s">
        <v>3729</v>
      </c>
      <c r="C13535" t="s">
        <v>16685</v>
      </c>
      <c r="D13535" t="s">
        <v>19056</v>
      </c>
      <c r="E13535" t="s">
        <v>30678</v>
      </c>
      <c r="F13535" t="s">
        <v>32831</v>
      </c>
      <c r="G13535" t="s">
        <v>32839</v>
      </c>
      <c r="H13535" t="s">
        <v>32848</v>
      </c>
      <c r="I13535" t="s">
        <v>9577</v>
      </c>
      <c r="J13535" t="s">
        <v>34155</v>
      </c>
      <c r="K13535" t="s">
        <v>42732</v>
      </c>
      <c r="M13535" t="s">
        <v>47124</v>
      </c>
      <c r="N13535" t="s">
        <v>47424</v>
      </c>
      <c r="O13535" t="s">
        <v>47425</v>
      </c>
      <c r="P13535">
        <v>0</v>
      </c>
      <c r="Q13535">
        <v>3</v>
      </c>
      <c r="R13535" t="s">
        <v>47444</v>
      </c>
      <c r="S13535" t="s">
        <v>48135</v>
      </c>
      <c r="T13535" t="s">
        <v>49177</v>
      </c>
      <c r="U13535" t="s">
        <v>60740</v>
      </c>
      <c r="W13535" t="s">
        <v>47124</v>
      </c>
      <c r="X13535" t="s">
        <v>47446</v>
      </c>
    </row>
    <row r="13536" spans="1:24">
      <c r="A13536">
        <f>HYPERLINK("https://www.philgeps.gov.ph/GEPSNONPILOT/Tender/SplashBidNoticeAbstractUI.aspx?menuIndex=3&amp;refID=7136767&amp;Result=3","7136767")</f>
        <v>0</v>
      </c>
      <c r="B13536" t="s">
        <v>2214</v>
      </c>
      <c r="C13536" t="s">
        <v>16686</v>
      </c>
      <c r="D13536" t="s">
        <v>19025</v>
      </c>
      <c r="E13536" t="s">
        <v>24459</v>
      </c>
      <c r="F13536" t="s">
        <v>32831</v>
      </c>
      <c r="G13536" t="s">
        <v>32839</v>
      </c>
      <c r="H13536" t="s">
        <v>32849</v>
      </c>
      <c r="I13536" t="s">
        <v>4177</v>
      </c>
      <c r="J13536" t="s">
        <v>32980</v>
      </c>
      <c r="K13536" t="s">
        <v>42732</v>
      </c>
      <c r="M13536" t="s">
        <v>45394</v>
      </c>
      <c r="N13536" t="s">
        <v>47424</v>
      </c>
      <c r="O13536" t="s">
        <v>47425</v>
      </c>
      <c r="P13536">
        <v>0</v>
      </c>
      <c r="Q13536">
        <v>0</v>
      </c>
      <c r="R13536" t="s">
        <v>47440</v>
      </c>
      <c r="S13536" t="s">
        <v>47963</v>
      </c>
      <c r="T13536" t="s">
        <v>49080</v>
      </c>
      <c r="U13536" t="s">
        <v>60741</v>
      </c>
      <c r="W13536" t="s">
        <v>45394</v>
      </c>
      <c r="X13536" t="s">
        <v>47441</v>
      </c>
    </row>
    <row r="13537" spans="1:24">
      <c r="A13537">
        <f>HYPERLINK("https://www.philgeps.gov.ph/GEPSNONPILOT/Tender/SplashBidNoticeAbstractUI.aspx?menuIndex=3&amp;refID=7136957&amp;Result=3","7136957")</f>
        <v>0</v>
      </c>
      <c r="B13537" t="s">
        <v>3622</v>
      </c>
      <c r="C13537" t="s">
        <v>16687</v>
      </c>
      <c r="D13537" t="s">
        <v>19023</v>
      </c>
      <c r="E13537" t="s">
        <v>30030</v>
      </c>
      <c r="F13537" t="s">
        <v>32831</v>
      </c>
      <c r="G13537" t="s">
        <v>32839</v>
      </c>
      <c r="H13537" t="s">
        <v>32849</v>
      </c>
      <c r="I13537" t="s">
        <v>4177</v>
      </c>
      <c r="J13537" t="s">
        <v>41240</v>
      </c>
      <c r="K13537" t="s">
        <v>42803</v>
      </c>
      <c r="M13537" t="s">
        <v>46991</v>
      </c>
      <c r="N13537" t="s">
        <v>47424</v>
      </c>
      <c r="O13537" t="s">
        <v>47425</v>
      </c>
      <c r="P13537">
        <v>0</v>
      </c>
      <c r="Q13537">
        <v>1</v>
      </c>
      <c r="R13537" t="s">
        <v>47440</v>
      </c>
      <c r="S13537" t="s">
        <v>47963</v>
      </c>
      <c r="T13537" t="s">
        <v>49171</v>
      </c>
      <c r="U13537" t="s">
        <v>60742</v>
      </c>
      <c r="W13537" t="s">
        <v>46991</v>
      </c>
      <c r="X13537" t="s">
        <v>47441</v>
      </c>
    </row>
    <row r="13538" spans="1:24">
      <c r="A13538">
        <f>HYPERLINK("https://www.philgeps.gov.ph/GEPSNONPILOT/Tender/SplashBidNoticeAbstractUI.aspx?menuIndex=3&amp;refID=7128229&amp;Result=3","7128229")</f>
        <v>0</v>
      </c>
      <c r="B13538" t="s">
        <v>3729</v>
      </c>
      <c r="C13538" t="s">
        <v>16688</v>
      </c>
      <c r="D13538" t="s">
        <v>19056</v>
      </c>
      <c r="E13538" t="s">
        <v>30679</v>
      </c>
      <c r="F13538" t="s">
        <v>32831</v>
      </c>
      <c r="G13538" t="s">
        <v>32839</v>
      </c>
      <c r="H13538" t="s">
        <v>32849</v>
      </c>
      <c r="I13538" t="s">
        <v>4177</v>
      </c>
      <c r="J13538" t="s">
        <v>41241</v>
      </c>
      <c r="K13538" t="s">
        <v>42732</v>
      </c>
      <c r="M13538" t="s">
        <v>47124</v>
      </c>
      <c r="N13538" t="s">
        <v>47424</v>
      </c>
      <c r="O13538" t="s">
        <v>47425</v>
      </c>
      <c r="P13538">
        <v>0</v>
      </c>
      <c r="Q13538">
        <v>0</v>
      </c>
      <c r="R13538" t="s">
        <v>47444</v>
      </c>
      <c r="S13538" t="s">
        <v>48135</v>
      </c>
      <c r="T13538" t="s">
        <v>49177</v>
      </c>
      <c r="U13538" t="s">
        <v>60743</v>
      </c>
      <c r="W13538" t="s">
        <v>47124</v>
      </c>
      <c r="X13538" t="s">
        <v>47446</v>
      </c>
    </row>
    <row r="13539" spans="1:24">
      <c r="A13539">
        <f>HYPERLINK("https://www.philgeps.gov.ph/GEPSNONPILOT/Tender/SplashBidNoticeAbstractUI.aspx?menuIndex=3&amp;refID=7128262&amp;Result=3","7128262")</f>
        <v>0</v>
      </c>
      <c r="B13539" t="s">
        <v>3730</v>
      </c>
      <c r="C13539" t="s">
        <v>16689</v>
      </c>
      <c r="D13539" t="s">
        <v>19075</v>
      </c>
      <c r="E13539" t="s">
        <v>20585</v>
      </c>
      <c r="F13539" t="s">
        <v>32831</v>
      </c>
      <c r="G13539" t="s">
        <v>32839</v>
      </c>
      <c r="H13539" t="s">
        <v>32848</v>
      </c>
      <c r="I13539" t="s">
        <v>8577</v>
      </c>
      <c r="J13539" t="s">
        <v>41242</v>
      </c>
      <c r="K13539" t="s">
        <v>42727</v>
      </c>
      <c r="M13539" t="s">
        <v>47125</v>
      </c>
      <c r="N13539" t="s">
        <v>47424</v>
      </c>
      <c r="O13539" t="s">
        <v>47425</v>
      </c>
      <c r="P13539">
        <v>0</v>
      </c>
      <c r="Q13539">
        <v>6</v>
      </c>
      <c r="R13539" t="s">
        <v>47444</v>
      </c>
      <c r="S13539" t="s">
        <v>48135</v>
      </c>
      <c r="T13539" t="s">
        <v>49166</v>
      </c>
      <c r="U13539" t="s">
        <v>60744</v>
      </c>
      <c r="W13539" t="s">
        <v>47125</v>
      </c>
      <c r="X13539" t="s">
        <v>47446</v>
      </c>
    </row>
    <row r="13540" spans="1:24">
      <c r="A13540">
        <f>HYPERLINK("https://www.philgeps.gov.ph/GEPSNONPILOT/Tender/SplashBidNoticeAbstractUI.aspx?menuIndex=3&amp;refID=7128123&amp;Result=3","7128123")</f>
        <v>0</v>
      </c>
      <c r="B13540" t="s">
        <v>3729</v>
      </c>
      <c r="C13540" t="s">
        <v>15462</v>
      </c>
      <c r="D13540" t="s">
        <v>19056</v>
      </c>
      <c r="E13540" t="s">
        <v>30680</v>
      </c>
      <c r="F13540" t="s">
        <v>32831</v>
      </c>
      <c r="G13540" t="s">
        <v>32839</v>
      </c>
      <c r="H13540" t="s">
        <v>32849</v>
      </c>
      <c r="I13540" t="s">
        <v>4177</v>
      </c>
      <c r="J13540" t="s">
        <v>41243</v>
      </c>
      <c r="K13540" t="s">
        <v>42732</v>
      </c>
      <c r="M13540" t="s">
        <v>47124</v>
      </c>
      <c r="N13540" t="s">
        <v>47424</v>
      </c>
      <c r="O13540" t="s">
        <v>47425</v>
      </c>
      <c r="P13540">
        <v>0</v>
      </c>
      <c r="Q13540">
        <v>0</v>
      </c>
      <c r="R13540" t="s">
        <v>47444</v>
      </c>
      <c r="S13540" t="s">
        <v>48135</v>
      </c>
      <c r="T13540" t="s">
        <v>49177</v>
      </c>
      <c r="U13540" t="s">
        <v>60745</v>
      </c>
      <c r="W13540" t="s">
        <v>47124</v>
      </c>
      <c r="X13540" t="s">
        <v>47446</v>
      </c>
    </row>
    <row r="13541" spans="1:24">
      <c r="A13541">
        <f>HYPERLINK("https://www.philgeps.gov.ph/GEPSNONPILOT/Tender/SplashBidNoticeAbstractUI.aspx?menuIndex=3&amp;refID=7136472&amp;Result=3","7136472")</f>
        <v>0</v>
      </c>
      <c r="B13541" t="s">
        <v>2777</v>
      </c>
      <c r="C13541" t="s">
        <v>16690</v>
      </c>
      <c r="D13541" t="s">
        <v>19022</v>
      </c>
      <c r="E13541" t="s">
        <v>30681</v>
      </c>
      <c r="F13541" t="s">
        <v>32831</v>
      </c>
      <c r="G13541" t="s">
        <v>32839</v>
      </c>
      <c r="H13541" t="s">
        <v>32848</v>
      </c>
      <c r="I13541" t="s">
        <v>32870</v>
      </c>
      <c r="J13541" t="s">
        <v>41244</v>
      </c>
      <c r="K13541" t="s">
        <v>42727</v>
      </c>
      <c r="M13541" t="s">
        <v>46008</v>
      </c>
      <c r="N13541" t="s">
        <v>47424</v>
      </c>
      <c r="O13541" t="s">
        <v>47425</v>
      </c>
      <c r="P13541">
        <v>0</v>
      </c>
      <c r="Q13541">
        <v>2</v>
      </c>
      <c r="R13541" t="s">
        <v>47440</v>
      </c>
      <c r="S13541" t="s">
        <v>47963</v>
      </c>
      <c r="T13541" t="s">
        <v>49080</v>
      </c>
      <c r="U13541" t="s">
        <v>60746</v>
      </c>
      <c r="W13541" t="s">
        <v>46008</v>
      </c>
      <c r="X13541" t="s">
        <v>47441</v>
      </c>
    </row>
    <row r="13542" spans="1:24">
      <c r="A13542">
        <f>HYPERLINK("https://www.philgeps.gov.ph/GEPSNONPILOT/Tender/SplashBidNoticeAbstractUI.aspx?menuIndex=3&amp;refID=7128151&amp;Result=3","7128151")</f>
        <v>0</v>
      </c>
      <c r="B13542" t="s">
        <v>3729</v>
      </c>
      <c r="C13542" t="s">
        <v>16691</v>
      </c>
      <c r="D13542" t="s">
        <v>19056</v>
      </c>
      <c r="E13542" t="s">
        <v>30682</v>
      </c>
      <c r="F13542" t="s">
        <v>32831</v>
      </c>
      <c r="G13542" t="s">
        <v>32839</v>
      </c>
      <c r="H13542" t="s">
        <v>32849</v>
      </c>
      <c r="I13542" t="s">
        <v>4177</v>
      </c>
      <c r="J13542" t="s">
        <v>33553</v>
      </c>
      <c r="K13542" t="s">
        <v>42732</v>
      </c>
      <c r="M13542" t="s">
        <v>47124</v>
      </c>
      <c r="N13542" t="s">
        <v>47424</v>
      </c>
      <c r="O13542" t="s">
        <v>47425</v>
      </c>
      <c r="P13542">
        <v>0</v>
      </c>
      <c r="Q13542">
        <v>0</v>
      </c>
      <c r="R13542" t="s">
        <v>47444</v>
      </c>
      <c r="S13542" t="s">
        <v>48135</v>
      </c>
      <c r="T13542" t="s">
        <v>49177</v>
      </c>
      <c r="U13542" t="s">
        <v>60747</v>
      </c>
      <c r="W13542" t="s">
        <v>47124</v>
      </c>
      <c r="X13542" t="s">
        <v>47446</v>
      </c>
    </row>
    <row r="13543" spans="1:24">
      <c r="A13543">
        <f>HYPERLINK("https://www.philgeps.gov.ph/GEPSNONPILOT/Tender/SplashBidNoticeAbstractUI.aspx?menuIndex=3&amp;refID=7128063&amp;Result=3","7128063")</f>
        <v>0</v>
      </c>
      <c r="B13543" t="s">
        <v>3729</v>
      </c>
      <c r="C13543" t="s">
        <v>15462</v>
      </c>
      <c r="D13543" t="s">
        <v>19056</v>
      </c>
      <c r="E13543" t="s">
        <v>30683</v>
      </c>
      <c r="F13543" t="s">
        <v>32831</v>
      </c>
      <c r="G13543" t="s">
        <v>32839</v>
      </c>
      <c r="H13543" t="s">
        <v>32849</v>
      </c>
      <c r="I13543" t="s">
        <v>4177</v>
      </c>
      <c r="J13543" t="s">
        <v>33111</v>
      </c>
      <c r="K13543" t="s">
        <v>42732</v>
      </c>
      <c r="M13543" t="s">
        <v>47124</v>
      </c>
      <c r="N13543" t="s">
        <v>47424</v>
      </c>
      <c r="O13543" t="s">
        <v>47425</v>
      </c>
      <c r="P13543">
        <v>0</v>
      </c>
      <c r="Q13543">
        <v>0</v>
      </c>
      <c r="R13543" t="s">
        <v>47444</v>
      </c>
      <c r="S13543" t="s">
        <v>48135</v>
      </c>
      <c r="T13543" t="s">
        <v>49177</v>
      </c>
      <c r="U13543" t="s">
        <v>60748</v>
      </c>
      <c r="W13543" t="s">
        <v>47124</v>
      </c>
      <c r="X13543" t="s">
        <v>47446</v>
      </c>
    </row>
    <row r="13544" spans="1:24">
      <c r="A13544">
        <f>HYPERLINK("https://www.philgeps.gov.ph/GEPSNONPILOT/Tender/SplashBidNoticeAbstractUI.aspx?menuIndex=3&amp;refID=7128054&amp;Result=3","7128054")</f>
        <v>0</v>
      </c>
      <c r="B13544" t="s">
        <v>3731</v>
      </c>
      <c r="C13544" t="s">
        <v>16692</v>
      </c>
      <c r="D13544" t="s">
        <v>19031</v>
      </c>
      <c r="E13544" t="s">
        <v>30684</v>
      </c>
      <c r="F13544" t="s">
        <v>32831</v>
      </c>
      <c r="G13544" t="s">
        <v>32839</v>
      </c>
      <c r="H13544" t="s">
        <v>32849</v>
      </c>
      <c r="I13544" t="s">
        <v>4177</v>
      </c>
      <c r="J13544" t="s">
        <v>35538</v>
      </c>
      <c r="K13544" t="s">
        <v>42912</v>
      </c>
      <c r="M13544" t="s">
        <v>47126</v>
      </c>
      <c r="N13544" t="s">
        <v>47424</v>
      </c>
      <c r="O13544" t="s">
        <v>47425</v>
      </c>
      <c r="P13544">
        <v>0</v>
      </c>
      <c r="Q13544">
        <v>0</v>
      </c>
      <c r="R13544" t="s">
        <v>47444</v>
      </c>
      <c r="S13544" t="s">
        <v>48135</v>
      </c>
      <c r="T13544" t="s">
        <v>49056</v>
      </c>
      <c r="U13544" t="s">
        <v>60749</v>
      </c>
      <c r="V13544" t="s">
        <v>64150</v>
      </c>
      <c r="W13544" t="s">
        <v>64555</v>
      </c>
      <c r="X13544" t="s">
        <v>47446</v>
      </c>
    </row>
    <row r="13545" spans="1:24">
      <c r="A13545">
        <f>HYPERLINK("https://www.philgeps.gov.ph/GEPSNONPILOT/Tender/SplashBidNoticeAbstractUI.aspx?menuIndex=3&amp;refID=7127962&amp;Result=3","7127962")</f>
        <v>0</v>
      </c>
      <c r="B13545" t="s">
        <v>3729</v>
      </c>
      <c r="C13545" t="s">
        <v>16693</v>
      </c>
      <c r="D13545" t="s">
        <v>19056</v>
      </c>
      <c r="E13545" t="s">
        <v>30685</v>
      </c>
      <c r="F13545" t="s">
        <v>32831</v>
      </c>
      <c r="G13545" t="s">
        <v>32839</v>
      </c>
      <c r="H13545" t="s">
        <v>32849</v>
      </c>
      <c r="I13545" t="s">
        <v>4177</v>
      </c>
      <c r="J13545" t="s">
        <v>41245</v>
      </c>
      <c r="K13545" t="s">
        <v>42732</v>
      </c>
      <c r="M13545" t="s">
        <v>47124</v>
      </c>
      <c r="N13545" t="s">
        <v>47424</v>
      </c>
      <c r="O13545" t="s">
        <v>47425</v>
      </c>
      <c r="P13545">
        <v>0</v>
      </c>
      <c r="Q13545">
        <v>0</v>
      </c>
      <c r="R13545" t="s">
        <v>47444</v>
      </c>
      <c r="S13545" t="s">
        <v>48135</v>
      </c>
      <c r="T13545" t="s">
        <v>49177</v>
      </c>
      <c r="U13545" t="s">
        <v>60750</v>
      </c>
      <c r="W13545" t="s">
        <v>47124</v>
      </c>
      <c r="X13545" t="s">
        <v>47446</v>
      </c>
    </row>
    <row r="13546" spans="1:24">
      <c r="A13546">
        <f>HYPERLINK("https://www.philgeps.gov.ph/GEPSNONPILOT/Tender/SplashBidNoticeAbstractUI.aspx?menuIndex=3&amp;refID=7137009&amp;Result=3","7137009")</f>
        <v>0</v>
      </c>
      <c r="B13546" t="s">
        <v>1490</v>
      </c>
      <c r="C13546" t="s">
        <v>16694</v>
      </c>
      <c r="D13546" t="s">
        <v>19042</v>
      </c>
      <c r="E13546" t="s">
        <v>30686</v>
      </c>
      <c r="F13546" t="s">
        <v>32831</v>
      </c>
      <c r="G13546" t="s">
        <v>32839</v>
      </c>
      <c r="H13546" t="s">
        <v>32849</v>
      </c>
      <c r="I13546" t="s">
        <v>4177</v>
      </c>
      <c r="J13546" t="s">
        <v>41246</v>
      </c>
      <c r="K13546" t="s">
        <v>42732</v>
      </c>
      <c r="M13546" t="s">
        <v>44586</v>
      </c>
      <c r="N13546" t="s">
        <v>47424</v>
      </c>
      <c r="O13546" t="s">
        <v>47425</v>
      </c>
      <c r="P13546">
        <v>0</v>
      </c>
      <c r="Q13546">
        <v>1</v>
      </c>
      <c r="R13546" t="s">
        <v>47440</v>
      </c>
      <c r="S13546" t="s">
        <v>47963</v>
      </c>
      <c r="T13546" t="s">
        <v>49092</v>
      </c>
      <c r="U13546" t="s">
        <v>60168</v>
      </c>
      <c r="W13546" t="s">
        <v>44586</v>
      </c>
      <c r="X13546" t="s">
        <v>47441</v>
      </c>
    </row>
    <row r="13547" spans="1:24">
      <c r="A13547">
        <f>HYPERLINK("https://www.philgeps.gov.ph/GEPSNONPILOT/Tender/SplashBidNoticeAbstractUI.aspx?menuIndex=3&amp;refID=7128179&amp;Result=3","7128179")</f>
        <v>0</v>
      </c>
      <c r="B13547" t="s">
        <v>3729</v>
      </c>
      <c r="C13547" t="s">
        <v>16695</v>
      </c>
      <c r="D13547" t="s">
        <v>19056</v>
      </c>
      <c r="E13547" t="s">
        <v>30687</v>
      </c>
      <c r="F13547" t="s">
        <v>32831</v>
      </c>
      <c r="G13547" t="s">
        <v>32839</v>
      </c>
      <c r="H13547" t="s">
        <v>32849</v>
      </c>
      <c r="I13547" t="s">
        <v>4177</v>
      </c>
      <c r="J13547" t="s">
        <v>41247</v>
      </c>
      <c r="K13547" t="s">
        <v>42732</v>
      </c>
      <c r="M13547" t="s">
        <v>47124</v>
      </c>
      <c r="N13547" t="s">
        <v>47424</v>
      </c>
      <c r="O13547" t="s">
        <v>47425</v>
      </c>
      <c r="P13547">
        <v>0</v>
      </c>
      <c r="Q13547">
        <v>0</v>
      </c>
      <c r="R13547" t="s">
        <v>47444</v>
      </c>
      <c r="S13547" t="s">
        <v>48135</v>
      </c>
      <c r="T13547" t="s">
        <v>49177</v>
      </c>
      <c r="U13547" t="s">
        <v>60751</v>
      </c>
      <c r="W13547" t="s">
        <v>47124</v>
      </c>
      <c r="X13547" t="s">
        <v>47446</v>
      </c>
    </row>
    <row r="13548" spans="1:24">
      <c r="A13548">
        <f>HYPERLINK("https://www.philgeps.gov.ph/GEPSNONPILOT/Tender/SplashBidNoticeAbstractUI.aspx?menuIndex=3&amp;refID=7128104&amp;Result=3","7128104")</f>
        <v>0</v>
      </c>
      <c r="B13548" t="s">
        <v>3731</v>
      </c>
      <c r="C13548" t="s">
        <v>16696</v>
      </c>
      <c r="D13548" t="s">
        <v>19031</v>
      </c>
      <c r="E13548" t="s">
        <v>30688</v>
      </c>
      <c r="F13548" t="s">
        <v>32831</v>
      </c>
      <c r="G13548" t="s">
        <v>32839</v>
      </c>
      <c r="H13548" t="s">
        <v>32849</v>
      </c>
      <c r="I13548" t="s">
        <v>4177</v>
      </c>
      <c r="J13548" t="s">
        <v>35331</v>
      </c>
      <c r="K13548" t="s">
        <v>42729</v>
      </c>
      <c r="M13548" t="s">
        <v>47126</v>
      </c>
      <c r="N13548" t="s">
        <v>47424</v>
      </c>
      <c r="O13548" t="s">
        <v>47425</v>
      </c>
      <c r="P13548">
        <v>0</v>
      </c>
      <c r="Q13548">
        <v>1</v>
      </c>
      <c r="R13548" t="s">
        <v>47444</v>
      </c>
      <c r="S13548" t="s">
        <v>48135</v>
      </c>
      <c r="T13548" t="s">
        <v>49056</v>
      </c>
      <c r="U13548" t="s">
        <v>60749</v>
      </c>
      <c r="V13548" t="s">
        <v>64150</v>
      </c>
      <c r="W13548" t="s">
        <v>64555</v>
      </c>
      <c r="X13548" t="s">
        <v>47446</v>
      </c>
    </row>
    <row r="13549" spans="1:24">
      <c r="A13549">
        <f>HYPERLINK("https://www.philgeps.gov.ph/GEPSNONPILOT/Tender/SplashBidNoticeAbstractUI.aspx?menuIndex=3&amp;refID=7129604&amp;Result=3","7129604")</f>
        <v>0</v>
      </c>
      <c r="B13549" t="s">
        <v>3732</v>
      </c>
      <c r="C13549" t="s">
        <v>16697</v>
      </c>
      <c r="D13549" t="s">
        <v>19092</v>
      </c>
      <c r="E13549" t="s">
        <v>30689</v>
      </c>
      <c r="F13549" t="s">
        <v>32831</v>
      </c>
      <c r="G13549" t="s">
        <v>32839</v>
      </c>
      <c r="H13549" t="s">
        <v>32849</v>
      </c>
      <c r="I13549" t="s">
        <v>4177</v>
      </c>
      <c r="J13549" t="s">
        <v>41248</v>
      </c>
      <c r="K13549" t="s">
        <v>42895</v>
      </c>
      <c r="M13549" t="s">
        <v>47127</v>
      </c>
      <c r="N13549" t="s">
        <v>47424</v>
      </c>
      <c r="O13549" t="s">
        <v>47425</v>
      </c>
      <c r="P13549">
        <v>0</v>
      </c>
      <c r="Q13549">
        <v>1</v>
      </c>
      <c r="R13549" t="s">
        <v>47444</v>
      </c>
      <c r="S13549" t="s">
        <v>48135</v>
      </c>
      <c r="T13549" t="s">
        <v>49104</v>
      </c>
      <c r="U13549" t="s">
        <v>60752</v>
      </c>
      <c r="W13549" t="s">
        <v>47127</v>
      </c>
      <c r="X13549" t="s">
        <v>47445</v>
      </c>
    </row>
    <row r="13550" spans="1:24">
      <c r="A13550">
        <f>HYPERLINK("https://www.philgeps.gov.ph/GEPSNONPILOT/Tender/SplashBidNoticeAbstractUI.aspx?menuIndex=3&amp;refID=7129606&amp;Result=3","7129606")</f>
        <v>0</v>
      </c>
      <c r="B13550" t="s">
        <v>3732</v>
      </c>
      <c r="C13550" t="s">
        <v>16698</v>
      </c>
      <c r="D13550" t="s">
        <v>19092</v>
      </c>
      <c r="E13550" t="s">
        <v>30690</v>
      </c>
      <c r="F13550" t="s">
        <v>32832</v>
      </c>
      <c r="G13550" t="s">
        <v>32839</v>
      </c>
      <c r="H13550" t="s">
        <v>32849</v>
      </c>
      <c r="I13550" t="s">
        <v>4177</v>
      </c>
      <c r="J13550" t="s">
        <v>41249</v>
      </c>
      <c r="K13550" t="s">
        <v>42915</v>
      </c>
      <c r="M13550" t="s">
        <v>47127</v>
      </c>
      <c r="N13550" t="s">
        <v>47424</v>
      </c>
      <c r="O13550" t="s">
        <v>47425</v>
      </c>
      <c r="P13550">
        <v>0</v>
      </c>
      <c r="Q13550">
        <v>1</v>
      </c>
      <c r="R13550" t="s">
        <v>47444</v>
      </c>
      <c r="S13550" t="s">
        <v>48135</v>
      </c>
      <c r="T13550" t="s">
        <v>49104</v>
      </c>
      <c r="U13550" t="s">
        <v>60752</v>
      </c>
      <c r="W13550" t="s">
        <v>47127</v>
      </c>
      <c r="X13550" t="s">
        <v>47445</v>
      </c>
    </row>
    <row r="13551" spans="1:24">
      <c r="A13551">
        <f>HYPERLINK("https://www.philgeps.gov.ph/GEPSNONPILOT/Tender/SplashBidNoticeAbstractUI.aspx?menuIndex=3&amp;refID=7129546&amp;Result=3","7129546")</f>
        <v>0</v>
      </c>
      <c r="B13551" t="s">
        <v>1141</v>
      </c>
      <c r="C13551" t="s">
        <v>16699</v>
      </c>
      <c r="D13551" t="s">
        <v>19017</v>
      </c>
      <c r="E13551" t="s">
        <v>30691</v>
      </c>
      <c r="F13551" t="s">
        <v>32831</v>
      </c>
      <c r="G13551" t="s">
        <v>32839</v>
      </c>
      <c r="H13551" t="s">
        <v>32849</v>
      </c>
      <c r="I13551" t="s">
        <v>4177</v>
      </c>
      <c r="J13551" t="s">
        <v>41250</v>
      </c>
      <c r="K13551" t="s">
        <v>42862</v>
      </c>
      <c r="M13551" t="s">
        <v>44205</v>
      </c>
      <c r="N13551" t="s">
        <v>47424</v>
      </c>
      <c r="O13551" t="s">
        <v>47425</v>
      </c>
      <c r="Q13551">
        <v>14</v>
      </c>
      <c r="R13551" t="s">
        <v>47444</v>
      </c>
      <c r="S13551" t="s">
        <v>48161</v>
      </c>
      <c r="T13551" t="s">
        <v>49237</v>
      </c>
      <c r="U13551" t="s">
        <v>51968</v>
      </c>
      <c r="W13551" t="s">
        <v>64459</v>
      </c>
      <c r="X13551" t="s">
        <v>47446</v>
      </c>
    </row>
    <row r="13552" spans="1:24">
      <c r="A13552">
        <f>HYPERLINK("https://www.philgeps.gov.ph/GEPSNONPILOT/Tender/SplashBidNoticeAbstractUI.aspx?menuIndex=3&amp;refID=7129605&amp;Result=3","7129605")</f>
        <v>0</v>
      </c>
      <c r="B13552" t="s">
        <v>3732</v>
      </c>
      <c r="C13552" t="s">
        <v>16700</v>
      </c>
      <c r="D13552" t="s">
        <v>19092</v>
      </c>
      <c r="E13552" t="s">
        <v>30692</v>
      </c>
      <c r="F13552" t="s">
        <v>32832</v>
      </c>
      <c r="G13552" t="s">
        <v>32839</v>
      </c>
      <c r="H13552" t="s">
        <v>32849</v>
      </c>
      <c r="I13552" t="s">
        <v>4177</v>
      </c>
      <c r="J13552" t="s">
        <v>41251</v>
      </c>
      <c r="K13552" t="s">
        <v>42780</v>
      </c>
      <c r="M13552" t="s">
        <v>47127</v>
      </c>
      <c r="N13552" t="s">
        <v>47424</v>
      </c>
      <c r="O13552" t="s">
        <v>47425</v>
      </c>
      <c r="P13552">
        <v>0</v>
      </c>
      <c r="Q13552">
        <v>1</v>
      </c>
      <c r="R13552" t="s">
        <v>47444</v>
      </c>
      <c r="S13552" t="s">
        <v>48135</v>
      </c>
      <c r="T13552" t="s">
        <v>49104</v>
      </c>
      <c r="U13552" t="s">
        <v>60752</v>
      </c>
      <c r="W13552" t="s">
        <v>47127</v>
      </c>
      <c r="X13552" t="s">
        <v>47445</v>
      </c>
    </row>
    <row r="13553" spans="1:24">
      <c r="A13553">
        <f>HYPERLINK("https://www.philgeps.gov.ph/GEPSNONPILOT/Tender/SplashBidNoticeAbstractUI.aspx?menuIndex=3&amp;refID=7129430&amp;Result=3","7129430")</f>
        <v>0</v>
      </c>
      <c r="B13553" t="s">
        <v>3203</v>
      </c>
      <c r="C13553" t="s">
        <v>16701</v>
      </c>
      <c r="D13553" t="s">
        <v>19038</v>
      </c>
      <c r="E13553" t="s">
        <v>30693</v>
      </c>
      <c r="F13553" t="s">
        <v>32831</v>
      </c>
      <c r="G13553" t="s">
        <v>32839</v>
      </c>
      <c r="H13553" t="s">
        <v>32849</v>
      </c>
      <c r="I13553" t="s">
        <v>4177</v>
      </c>
      <c r="J13553" t="s">
        <v>39709</v>
      </c>
      <c r="K13553" t="s">
        <v>42897</v>
      </c>
      <c r="M13553" t="s">
        <v>46578</v>
      </c>
      <c r="N13553" t="s">
        <v>47424</v>
      </c>
      <c r="O13553" t="s">
        <v>47425</v>
      </c>
      <c r="Q13553">
        <v>8</v>
      </c>
      <c r="R13553" t="s">
        <v>47444</v>
      </c>
      <c r="S13553" t="s">
        <v>48162</v>
      </c>
      <c r="T13553" t="s">
        <v>49236</v>
      </c>
      <c r="U13553" t="s">
        <v>58300</v>
      </c>
      <c r="W13553" t="s">
        <v>46578</v>
      </c>
      <c r="X13553" t="s">
        <v>47446</v>
      </c>
    </row>
    <row r="13554" spans="1:24">
      <c r="A13554">
        <f>HYPERLINK("https://www.philgeps.gov.ph/GEPSNONPILOT/Tender/SplashBidNoticeAbstractUI.aspx?menuIndex=3&amp;refID=7128096&amp;Result=3","7128096")</f>
        <v>0</v>
      </c>
      <c r="B13554" t="s">
        <v>72</v>
      </c>
      <c r="C13554" t="s">
        <v>16702</v>
      </c>
      <c r="D13554" t="s">
        <v>19027</v>
      </c>
      <c r="E13554" t="s">
        <v>30694</v>
      </c>
      <c r="F13554" t="s">
        <v>32831</v>
      </c>
      <c r="G13554" t="s">
        <v>32839</v>
      </c>
      <c r="H13554" t="s">
        <v>32849</v>
      </c>
      <c r="I13554" t="s">
        <v>4177</v>
      </c>
      <c r="J13554" t="s">
        <v>34755</v>
      </c>
      <c r="K13554" t="s">
        <v>42763</v>
      </c>
      <c r="M13554" t="s">
        <v>43069</v>
      </c>
      <c r="N13554" t="s">
        <v>47424</v>
      </c>
      <c r="O13554" t="s">
        <v>47425</v>
      </c>
      <c r="P13554">
        <v>0</v>
      </c>
      <c r="Q13554">
        <v>15</v>
      </c>
      <c r="R13554" t="s">
        <v>47444</v>
      </c>
      <c r="S13554" t="s">
        <v>48135</v>
      </c>
      <c r="T13554" t="s">
        <v>49066</v>
      </c>
      <c r="U13554" t="s">
        <v>60753</v>
      </c>
      <c r="W13554" t="s">
        <v>64485</v>
      </c>
      <c r="X13554" t="s">
        <v>47446</v>
      </c>
    </row>
    <row r="13555" spans="1:24">
      <c r="A13555">
        <f>HYPERLINK("https://www.philgeps.gov.ph/GEPSNONPILOT/Tender/SplashBidNoticeAbstractUI.aspx?menuIndex=3&amp;refID=7129337&amp;Result=3","7129337")</f>
        <v>0</v>
      </c>
      <c r="B13555" t="s">
        <v>352</v>
      </c>
      <c r="C13555" t="s">
        <v>16703</v>
      </c>
      <c r="D13555" t="s">
        <v>19101</v>
      </c>
      <c r="E13555" t="s">
        <v>30695</v>
      </c>
      <c r="F13555" t="s">
        <v>32831</v>
      </c>
      <c r="G13555" t="s">
        <v>32839</v>
      </c>
      <c r="H13555" t="s">
        <v>32850</v>
      </c>
      <c r="I13555" t="s">
        <v>32863</v>
      </c>
      <c r="J13555" t="s">
        <v>33257</v>
      </c>
      <c r="K13555" t="s">
        <v>42805</v>
      </c>
      <c r="M13555" t="s">
        <v>43871</v>
      </c>
      <c r="N13555" t="s">
        <v>47424</v>
      </c>
      <c r="O13555" t="s">
        <v>47425</v>
      </c>
      <c r="Q13555">
        <v>2</v>
      </c>
      <c r="R13555" t="s">
        <v>47444</v>
      </c>
      <c r="S13555" t="s">
        <v>48163</v>
      </c>
      <c r="T13555" t="s">
        <v>49097</v>
      </c>
      <c r="U13555" t="s">
        <v>60754</v>
      </c>
      <c r="W13555" t="s">
        <v>43871</v>
      </c>
      <c r="X13555" t="s">
        <v>47446</v>
      </c>
    </row>
    <row r="13556" spans="1:24">
      <c r="A13556">
        <f>HYPERLINK("https://www.philgeps.gov.ph/GEPSNONPILOT/Tender/SplashBidNoticeAbstractUI.aspx?menuIndex=3&amp;refID=7136295&amp;Result=3","7136295")</f>
        <v>0</v>
      </c>
      <c r="B13556" t="s">
        <v>1118</v>
      </c>
      <c r="C13556" t="s">
        <v>16704</v>
      </c>
      <c r="D13556" t="s">
        <v>19060</v>
      </c>
      <c r="E13556" t="s">
        <v>30696</v>
      </c>
      <c r="F13556" t="s">
        <v>32831</v>
      </c>
      <c r="G13556" t="s">
        <v>32839</v>
      </c>
      <c r="H13556" t="s">
        <v>32849</v>
      </c>
      <c r="I13556" t="s">
        <v>4177</v>
      </c>
      <c r="J13556" t="s">
        <v>36521</v>
      </c>
      <c r="K13556" t="s">
        <v>42840</v>
      </c>
      <c r="M13556" t="s">
        <v>45853</v>
      </c>
      <c r="N13556" t="s">
        <v>47424</v>
      </c>
      <c r="O13556" t="s">
        <v>47425</v>
      </c>
      <c r="P13556">
        <v>0</v>
      </c>
      <c r="Q13556">
        <v>3</v>
      </c>
      <c r="R13556" t="s">
        <v>47440</v>
      </c>
      <c r="S13556" t="s">
        <v>47963</v>
      </c>
      <c r="T13556" t="s">
        <v>49057</v>
      </c>
      <c r="U13556" t="s">
        <v>60755</v>
      </c>
      <c r="W13556" t="s">
        <v>45853</v>
      </c>
      <c r="X13556" t="s">
        <v>47441</v>
      </c>
    </row>
    <row r="13557" spans="1:24">
      <c r="A13557">
        <f>HYPERLINK("https://www.philgeps.gov.ph/GEPSNONPILOT/Tender/SplashBidNoticeAbstractUI.aspx?menuIndex=3&amp;refID=7127591&amp;Result=3","7127591")</f>
        <v>0</v>
      </c>
      <c r="B13557" t="s">
        <v>72</v>
      </c>
      <c r="C13557" t="s">
        <v>16705</v>
      </c>
      <c r="D13557" t="s">
        <v>19027</v>
      </c>
      <c r="E13557" t="s">
        <v>30697</v>
      </c>
      <c r="F13557" t="s">
        <v>32831</v>
      </c>
      <c r="G13557" t="s">
        <v>32839</v>
      </c>
      <c r="H13557" t="s">
        <v>32849</v>
      </c>
      <c r="I13557" t="s">
        <v>4177</v>
      </c>
      <c r="J13557" t="s">
        <v>34447</v>
      </c>
      <c r="K13557" t="s">
        <v>42762</v>
      </c>
      <c r="M13557" t="s">
        <v>43069</v>
      </c>
      <c r="N13557" t="s">
        <v>47424</v>
      </c>
      <c r="O13557" t="s">
        <v>47425</v>
      </c>
      <c r="P13557">
        <v>0</v>
      </c>
      <c r="Q13557">
        <v>18</v>
      </c>
      <c r="R13557" t="s">
        <v>47444</v>
      </c>
      <c r="S13557" t="s">
        <v>48135</v>
      </c>
      <c r="T13557" t="s">
        <v>49066</v>
      </c>
      <c r="U13557" t="s">
        <v>60756</v>
      </c>
      <c r="W13557" t="s">
        <v>64485</v>
      </c>
      <c r="X13557" t="s">
        <v>47446</v>
      </c>
    </row>
    <row r="13558" spans="1:24">
      <c r="A13558">
        <f>HYPERLINK("https://www.philgeps.gov.ph/GEPSNONPILOT/Tender/SplashBidNoticeAbstractUI.aspx?menuIndex=3&amp;refID=7129867&amp;Result=3","7129867")</f>
        <v>0</v>
      </c>
      <c r="B13558" t="s">
        <v>3733</v>
      </c>
      <c r="C13558" t="s">
        <v>16706</v>
      </c>
      <c r="D13558" t="s">
        <v>19027</v>
      </c>
      <c r="E13558" t="s">
        <v>30698</v>
      </c>
      <c r="F13558" t="s">
        <v>32831</v>
      </c>
      <c r="G13558" t="s">
        <v>32839</v>
      </c>
      <c r="H13558" t="s">
        <v>32848</v>
      </c>
      <c r="I13558" t="s">
        <v>7416</v>
      </c>
      <c r="J13558" t="s">
        <v>41252</v>
      </c>
      <c r="K13558" t="s">
        <v>42730</v>
      </c>
      <c r="M13558" t="s">
        <v>47128</v>
      </c>
      <c r="N13558" t="s">
        <v>47424</v>
      </c>
      <c r="O13558" t="s">
        <v>47425</v>
      </c>
      <c r="P13558">
        <v>0</v>
      </c>
      <c r="Q13558">
        <v>1</v>
      </c>
      <c r="R13558" t="s">
        <v>47444</v>
      </c>
      <c r="S13558" t="s">
        <v>48135</v>
      </c>
      <c r="T13558" t="s">
        <v>49087</v>
      </c>
      <c r="U13558" t="s">
        <v>60757</v>
      </c>
      <c r="W13558" t="s">
        <v>47128</v>
      </c>
      <c r="X13558" t="s">
        <v>47445</v>
      </c>
    </row>
    <row r="13559" spans="1:24">
      <c r="A13559">
        <f>HYPERLINK("https://www.philgeps.gov.ph/GEPSNONPILOT/Tender/SplashBidNoticeAbstractUI.aspx?menuIndex=3&amp;refID=7129005&amp;Result=3","7129005")</f>
        <v>0</v>
      </c>
      <c r="B13559" t="s">
        <v>703</v>
      </c>
      <c r="C13559" t="s">
        <v>16707</v>
      </c>
      <c r="D13559" t="s">
        <v>19077</v>
      </c>
      <c r="E13559" t="s">
        <v>22077</v>
      </c>
      <c r="F13559" t="s">
        <v>32831</v>
      </c>
      <c r="G13559" t="s">
        <v>32839</v>
      </c>
      <c r="H13559" t="s">
        <v>32848</v>
      </c>
      <c r="I13559" t="s">
        <v>32925</v>
      </c>
      <c r="J13559" t="s">
        <v>35157</v>
      </c>
      <c r="K13559" t="s">
        <v>42763</v>
      </c>
      <c r="M13559" t="s">
        <v>44449</v>
      </c>
      <c r="N13559" t="s">
        <v>47424</v>
      </c>
      <c r="O13559" t="s">
        <v>47425</v>
      </c>
      <c r="P13559">
        <v>0</v>
      </c>
      <c r="Q13559">
        <v>6</v>
      </c>
      <c r="R13559" t="s">
        <v>47444</v>
      </c>
      <c r="S13559" t="s">
        <v>48135</v>
      </c>
      <c r="T13559" t="s">
        <v>49087</v>
      </c>
      <c r="U13559" t="s">
        <v>52371</v>
      </c>
      <c r="W13559" t="s">
        <v>44449</v>
      </c>
      <c r="X13559" t="s">
        <v>47446</v>
      </c>
    </row>
    <row r="13560" spans="1:24">
      <c r="A13560">
        <f>HYPERLINK("https://www.philgeps.gov.ph/GEPSNONPILOT/Tender/SplashBidNoticeAbstractUI.aspx?menuIndex=3&amp;refID=7129839&amp;Result=3","7129839")</f>
        <v>0</v>
      </c>
      <c r="B13560" t="s">
        <v>703</v>
      </c>
      <c r="C13560" t="s">
        <v>16708</v>
      </c>
      <c r="D13560" t="s">
        <v>19077</v>
      </c>
      <c r="E13560" t="s">
        <v>30699</v>
      </c>
      <c r="F13560" t="s">
        <v>32831</v>
      </c>
      <c r="G13560" t="s">
        <v>32839</v>
      </c>
      <c r="H13560" t="s">
        <v>32848</v>
      </c>
      <c r="I13560" t="s">
        <v>32925</v>
      </c>
      <c r="J13560" t="s">
        <v>41253</v>
      </c>
      <c r="K13560" t="s">
        <v>42763</v>
      </c>
      <c r="M13560" t="s">
        <v>44449</v>
      </c>
      <c r="N13560" t="s">
        <v>47424</v>
      </c>
      <c r="O13560" t="s">
        <v>47425</v>
      </c>
      <c r="Q13560">
        <v>8</v>
      </c>
      <c r="R13560" t="s">
        <v>47444</v>
      </c>
      <c r="S13560" t="s">
        <v>48164</v>
      </c>
      <c r="T13560" t="s">
        <v>49087</v>
      </c>
      <c r="U13560" t="s">
        <v>52371</v>
      </c>
      <c r="W13560" t="s">
        <v>44449</v>
      </c>
      <c r="X13560" t="s">
        <v>47445</v>
      </c>
    </row>
    <row r="13561" spans="1:24">
      <c r="A13561">
        <f>HYPERLINK("https://www.philgeps.gov.ph/GEPSNONPILOT/Tender/SplashBidNoticeAbstractUI.aspx?menuIndex=3&amp;refID=7128908&amp;Result=3","7128908")</f>
        <v>0</v>
      </c>
      <c r="B13561" t="s">
        <v>1881</v>
      </c>
      <c r="C13561" t="s">
        <v>16709</v>
      </c>
      <c r="D13561" t="s">
        <v>19030</v>
      </c>
      <c r="E13561" t="s">
        <v>30700</v>
      </c>
      <c r="F13561" t="s">
        <v>32831</v>
      </c>
      <c r="G13561" t="s">
        <v>32839</v>
      </c>
      <c r="H13561" t="s">
        <v>32849</v>
      </c>
      <c r="I13561" t="s">
        <v>4177</v>
      </c>
      <c r="J13561" t="s">
        <v>41254</v>
      </c>
      <c r="K13561" t="s">
        <v>42728</v>
      </c>
      <c r="M13561" t="s">
        <v>46356</v>
      </c>
      <c r="N13561" t="s">
        <v>47424</v>
      </c>
      <c r="O13561" t="s">
        <v>47425</v>
      </c>
      <c r="P13561">
        <v>0</v>
      </c>
      <c r="Q13561">
        <v>10</v>
      </c>
      <c r="R13561" t="s">
        <v>47444</v>
      </c>
      <c r="S13561" t="s">
        <v>48135</v>
      </c>
      <c r="T13561" t="s">
        <v>49073</v>
      </c>
      <c r="U13561" t="s">
        <v>60120</v>
      </c>
      <c r="W13561" t="s">
        <v>46356</v>
      </c>
      <c r="X13561" t="s">
        <v>47446</v>
      </c>
    </row>
    <row r="13562" spans="1:24">
      <c r="A13562">
        <f>HYPERLINK("https://www.philgeps.gov.ph/GEPSNONPILOT/Tender/SplashBidNoticeAbstractUI.aspx?menuIndex=3&amp;refID=7129835&amp;Result=3","7129835")</f>
        <v>0</v>
      </c>
      <c r="B13562" t="s">
        <v>3734</v>
      </c>
      <c r="C13562" t="s">
        <v>16710</v>
      </c>
      <c r="D13562" t="s">
        <v>19045</v>
      </c>
      <c r="E13562" t="s">
        <v>30701</v>
      </c>
      <c r="F13562" t="s">
        <v>32831</v>
      </c>
      <c r="G13562" t="s">
        <v>32839</v>
      </c>
      <c r="H13562" t="s">
        <v>32849</v>
      </c>
      <c r="I13562" t="s">
        <v>4177</v>
      </c>
      <c r="J13562" t="s">
        <v>33044</v>
      </c>
      <c r="K13562" t="s">
        <v>42742</v>
      </c>
      <c r="M13562" t="s">
        <v>47129</v>
      </c>
      <c r="N13562" t="s">
        <v>47424</v>
      </c>
      <c r="O13562" t="s">
        <v>47425</v>
      </c>
      <c r="P13562">
        <v>0</v>
      </c>
      <c r="Q13562">
        <v>1</v>
      </c>
      <c r="R13562" t="s">
        <v>47444</v>
      </c>
      <c r="S13562" t="s">
        <v>48135</v>
      </c>
      <c r="T13562" t="s">
        <v>49100</v>
      </c>
      <c r="U13562" t="s">
        <v>60758</v>
      </c>
      <c r="V13562" t="s">
        <v>62846</v>
      </c>
      <c r="W13562" t="s">
        <v>47129</v>
      </c>
      <c r="X13562" t="s">
        <v>47445</v>
      </c>
    </row>
    <row r="13563" spans="1:24">
      <c r="A13563">
        <f>HYPERLINK("https://www.philgeps.gov.ph/GEPSNONPILOT/Tender/SplashBidNoticeAbstractUI.aspx?menuIndex=3&amp;refID=7129823&amp;Result=3","7129823")</f>
        <v>0</v>
      </c>
      <c r="B13563" t="s">
        <v>3733</v>
      </c>
      <c r="C13563" t="s">
        <v>16711</v>
      </c>
      <c r="D13563" t="s">
        <v>19027</v>
      </c>
      <c r="E13563" t="s">
        <v>30702</v>
      </c>
      <c r="F13563" t="s">
        <v>32831</v>
      </c>
      <c r="G13563" t="s">
        <v>32839</v>
      </c>
      <c r="H13563" t="s">
        <v>32848</v>
      </c>
      <c r="I13563" t="s">
        <v>7416</v>
      </c>
      <c r="J13563" t="s">
        <v>41255</v>
      </c>
      <c r="K13563" t="s">
        <v>42730</v>
      </c>
      <c r="M13563" t="s">
        <v>47128</v>
      </c>
      <c r="N13563" t="s">
        <v>47424</v>
      </c>
      <c r="O13563" t="s">
        <v>47425</v>
      </c>
      <c r="P13563">
        <v>0</v>
      </c>
      <c r="Q13563">
        <v>2</v>
      </c>
      <c r="R13563" t="s">
        <v>47444</v>
      </c>
      <c r="S13563" t="s">
        <v>48135</v>
      </c>
      <c r="T13563" t="s">
        <v>49087</v>
      </c>
      <c r="U13563" t="s">
        <v>60759</v>
      </c>
      <c r="W13563" t="s">
        <v>47128</v>
      </c>
      <c r="X13563" t="s">
        <v>47445</v>
      </c>
    </row>
    <row r="13564" spans="1:24">
      <c r="A13564">
        <f>HYPERLINK("https://www.philgeps.gov.ph/GEPSNONPILOT/Tender/SplashBidNoticeAbstractUI.aspx?menuIndex=3&amp;refID=7129833&amp;Result=3","7129833")</f>
        <v>0</v>
      </c>
      <c r="B13564" t="s">
        <v>927</v>
      </c>
      <c r="C13564" t="s">
        <v>16712</v>
      </c>
      <c r="D13564" t="s">
        <v>19031</v>
      </c>
      <c r="E13564" t="s">
        <v>30703</v>
      </c>
      <c r="F13564" t="s">
        <v>32831</v>
      </c>
      <c r="G13564" t="s">
        <v>32839</v>
      </c>
      <c r="H13564" t="s">
        <v>32849</v>
      </c>
      <c r="I13564" t="s">
        <v>4177</v>
      </c>
      <c r="J13564" t="s">
        <v>41256</v>
      </c>
      <c r="K13564" t="s">
        <v>42763</v>
      </c>
      <c r="M13564" t="s">
        <v>43968</v>
      </c>
      <c r="N13564" t="s">
        <v>47424</v>
      </c>
      <c r="O13564" t="s">
        <v>47425</v>
      </c>
      <c r="Q13564">
        <v>1</v>
      </c>
      <c r="R13564" t="s">
        <v>47444</v>
      </c>
      <c r="S13564" t="s">
        <v>48165</v>
      </c>
      <c r="T13564" t="s">
        <v>49159</v>
      </c>
      <c r="U13564" t="s">
        <v>60760</v>
      </c>
      <c r="W13564" t="s">
        <v>43968</v>
      </c>
      <c r="X13564" t="s">
        <v>47445</v>
      </c>
    </row>
    <row r="13565" spans="1:24">
      <c r="A13565">
        <f>HYPERLINK("https://www.philgeps.gov.ph/GEPSNONPILOT/Tender/SplashBidNoticeAbstractUI.aspx?menuIndex=3&amp;refID=7129844&amp;Result=3","7129844")</f>
        <v>0</v>
      </c>
      <c r="B13565" t="s">
        <v>3733</v>
      </c>
      <c r="C13565" t="s">
        <v>16713</v>
      </c>
      <c r="D13565" t="s">
        <v>19027</v>
      </c>
      <c r="E13565" t="s">
        <v>30704</v>
      </c>
      <c r="F13565" t="s">
        <v>32831</v>
      </c>
      <c r="G13565" t="s">
        <v>32839</v>
      </c>
      <c r="H13565" t="s">
        <v>32848</v>
      </c>
      <c r="I13565" t="s">
        <v>7416</v>
      </c>
      <c r="J13565" t="s">
        <v>41257</v>
      </c>
      <c r="K13565" t="s">
        <v>42730</v>
      </c>
      <c r="M13565" t="s">
        <v>47128</v>
      </c>
      <c r="N13565" t="s">
        <v>47424</v>
      </c>
      <c r="O13565" t="s">
        <v>47425</v>
      </c>
      <c r="P13565">
        <v>0</v>
      </c>
      <c r="Q13565">
        <v>1</v>
      </c>
      <c r="R13565" t="s">
        <v>47444</v>
      </c>
      <c r="S13565" t="s">
        <v>48135</v>
      </c>
      <c r="T13565" t="s">
        <v>49087</v>
      </c>
      <c r="U13565" t="s">
        <v>60761</v>
      </c>
      <c r="W13565" t="s">
        <v>47128</v>
      </c>
      <c r="X13565" t="s">
        <v>47445</v>
      </c>
    </row>
    <row r="13566" spans="1:24">
      <c r="A13566">
        <f>HYPERLINK("https://www.philgeps.gov.ph/GEPSNONPILOT/Tender/SplashBidNoticeAbstractUI.aspx?menuIndex=3&amp;refID=7129809&amp;Result=3","7129809")</f>
        <v>0</v>
      </c>
      <c r="B13566" t="s">
        <v>3733</v>
      </c>
      <c r="C13566" t="s">
        <v>16714</v>
      </c>
      <c r="D13566" t="s">
        <v>19027</v>
      </c>
      <c r="E13566" t="s">
        <v>30705</v>
      </c>
      <c r="F13566" t="s">
        <v>32831</v>
      </c>
      <c r="G13566" t="s">
        <v>32839</v>
      </c>
      <c r="H13566" t="s">
        <v>32848</v>
      </c>
      <c r="I13566" t="s">
        <v>7416</v>
      </c>
      <c r="J13566" t="s">
        <v>41258</v>
      </c>
      <c r="K13566" t="s">
        <v>42730</v>
      </c>
      <c r="M13566" t="s">
        <v>47128</v>
      </c>
      <c r="N13566" t="s">
        <v>47424</v>
      </c>
      <c r="O13566" t="s">
        <v>47425</v>
      </c>
      <c r="P13566">
        <v>0</v>
      </c>
      <c r="Q13566">
        <v>2</v>
      </c>
      <c r="R13566" t="s">
        <v>47444</v>
      </c>
      <c r="S13566" t="s">
        <v>48135</v>
      </c>
      <c r="T13566" t="s">
        <v>49087</v>
      </c>
      <c r="U13566" t="s">
        <v>60762</v>
      </c>
      <c r="W13566" t="s">
        <v>47128</v>
      </c>
      <c r="X13566" t="s">
        <v>47445</v>
      </c>
    </row>
    <row r="13567" spans="1:24">
      <c r="A13567">
        <f>HYPERLINK("https://www.philgeps.gov.ph/GEPSNONPILOT/Tender/SplashBidNoticeAbstractUI.aspx?menuIndex=3&amp;refID=7129758&amp;Result=3","7129758")</f>
        <v>0</v>
      </c>
      <c r="B13567" t="s">
        <v>2344</v>
      </c>
      <c r="C13567" t="s">
        <v>16715</v>
      </c>
      <c r="D13567" t="s">
        <v>19074</v>
      </c>
      <c r="E13567" t="s">
        <v>30706</v>
      </c>
      <c r="F13567" t="s">
        <v>32831</v>
      </c>
      <c r="G13567" t="s">
        <v>32839</v>
      </c>
      <c r="H13567" t="s">
        <v>32848</v>
      </c>
      <c r="I13567" t="s">
        <v>7416</v>
      </c>
      <c r="J13567" t="s">
        <v>41259</v>
      </c>
      <c r="K13567" t="s">
        <v>42727</v>
      </c>
      <c r="M13567" t="s">
        <v>45531</v>
      </c>
      <c r="N13567" t="s">
        <v>47424</v>
      </c>
      <c r="O13567" t="s">
        <v>47425</v>
      </c>
      <c r="P13567">
        <v>0</v>
      </c>
      <c r="Q13567">
        <v>0</v>
      </c>
      <c r="R13567" t="s">
        <v>47444</v>
      </c>
      <c r="S13567" t="s">
        <v>48135</v>
      </c>
      <c r="T13567" t="s">
        <v>49125</v>
      </c>
      <c r="U13567" t="s">
        <v>60763</v>
      </c>
      <c r="W13567" t="s">
        <v>45531</v>
      </c>
      <c r="X13567" t="s">
        <v>47445</v>
      </c>
    </row>
    <row r="13568" spans="1:24">
      <c r="A13568">
        <f>HYPERLINK("https://www.philgeps.gov.ph/GEPSNONPILOT/Tender/SplashBidNoticeAbstractUI.aspx?menuIndex=3&amp;refID=7129786&amp;Result=3","7129786")</f>
        <v>0</v>
      </c>
      <c r="B13568" t="s">
        <v>927</v>
      </c>
      <c r="C13568" t="s">
        <v>16716</v>
      </c>
      <c r="D13568" t="s">
        <v>19031</v>
      </c>
      <c r="E13568" t="s">
        <v>30707</v>
      </c>
      <c r="F13568" t="s">
        <v>32831</v>
      </c>
      <c r="G13568" t="s">
        <v>32839</v>
      </c>
      <c r="H13568" t="s">
        <v>32849</v>
      </c>
      <c r="I13568" t="s">
        <v>4177</v>
      </c>
      <c r="J13568" t="s">
        <v>41260</v>
      </c>
      <c r="K13568" t="s">
        <v>42763</v>
      </c>
      <c r="M13568" t="s">
        <v>43968</v>
      </c>
      <c r="N13568" t="s">
        <v>47424</v>
      </c>
      <c r="O13568" t="s">
        <v>47425</v>
      </c>
      <c r="Q13568">
        <v>1</v>
      </c>
      <c r="R13568" t="s">
        <v>47444</v>
      </c>
      <c r="S13568" t="s">
        <v>48166</v>
      </c>
      <c r="T13568" t="s">
        <v>49080</v>
      </c>
      <c r="U13568" t="s">
        <v>60764</v>
      </c>
      <c r="W13568" t="s">
        <v>43968</v>
      </c>
      <c r="X13568" t="s">
        <v>47445</v>
      </c>
    </row>
    <row r="13569" spans="1:24">
      <c r="A13569">
        <f>HYPERLINK("https://www.philgeps.gov.ph/GEPSNONPILOT/Tender/SplashBidNoticeAbstractUI.aspx?menuIndex=3&amp;refID=7129660&amp;Result=3","7129660")</f>
        <v>0</v>
      </c>
      <c r="B13569" t="s">
        <v>1767</v>
      </c>
      <c r="C13569" t="s">
        <v>16717</v>
      </c>
      <c r="D13569" t="s">
        <v>19088</v>
      </c>
      <c r="E13569" t="s">
        <v>30708</v>
      </c>
      <c r="F13569" t="s">
        <v>32831</v>
      </c>
      <c r="G13569" t="s">
        <v>32839</v>
      </c>
      <c r="H13569" t="s">
        <v>32848</v>
      </c>
      <c r="I13569" t="s">
        <v>32855</v>
      </c>
      <c r="J13569" t="s">
        <v>41261</v>
      </c>
      <c r="K13569" t="s">
        <v>42730</v>
      </c>
      <c r="M13569" t="s">
        <v>44892</v>
      </c>
      <c r="N13569" t="s">
        <v>47424</v>
      </c>
      <c r="O13569" t="s">
        <v>47425</v>
      </c>
      <c r="Q13569">
        <v>12</v>
      </c>
      <c r="R13569" t="s">
        <v>47444</v>
      </c>
      <c r="S13569" t="s">
        <v>48167</v>
      </c>
      <c r="T13569" t="s">
        <v>49066</v>
      </c>
      <c r="U13569" t="s">
        <v>60765</v>
      </c>
      <c r="W13569" t="s">
        <v>44892</v>
      </c>
      <c r="X13569" t="s">
        <v>47445</v>
      </c>
    </row>
    <row r="13570" spans="1:24">
      <c r="A13570">
        <f>HYPERLINK("https://www.philgeps.gov.ph/GEPSNONPILOT/Tender/SplashBidNoticeAbstractUI.aspx?menuIndex=3&amp;refID=7129811&amp;Result=3","7129811")</f>
        <v>0</v>
      </c>
      <c r="B13570" t="s">
        <v>927</v>
      </c>
      <c r="C13570" t="s">
        <v>16718</v>
      </c>
      <c r="D13570" t="s">
        <v>19031</v>
      </c>
      <c r="E13570" t="s">
        <v>30707</v>
      </c>
      <c r="F13570" t="s">
        <v>32831</v>
      </c>
      <c r="G13570" t="s">
        <v>32839</v>
      </c>
      <c r="H13570" t="s">
        <v>32849</v>
      </c>
      <c r="I13570" t="s">
        <v>4177</v>
      </c>
      <c r="J13570" t="s">
        <v>41262</v>
      </c>
      <c r="K13570" t="s">
        <v>42729</v>
      </c>
      <c r="M13570" t="s">
        <v>43968</v>
      </c>
      <c r="N13570" t="s">
        <v>47424</v>
      </c>
      <c r="O13570" t="s">
        <v>47425</v>
      </c>
      <c r="Q13570">
        <v>1</v>
      </c>
      <c r="R13570" t="s">
        <v>47444</v>
      </c>
      <c r="S13570" t="s">
        <v>48168</v>
      </c>
      <c r="T13570" t="s">
        <v>49218</v>
      </c>
      <c r="U13570" t="s">
        <v>60766</v>
      </c>
      <c r="W13570" t="s">
        <v>43968</v>
      </c>
      <c r="X13570" t="s">
        <v>47445</v>
      </c>
    </row>
    <row r="13571" spans="1:24">
      <c r="A13571">
        <f>HYPERLINK("https://www.philgeps.gov.ph/GEPSNONPILOT/Tender/SplashBidNoticeAbstractUI.aspx?menuIndex=3&amp;refID=7129656&amp;Result=3","7129656")</f>
        <v>0</v>
      </c>
      <c r="B13571" t="s">
        <v>1881</v>
      </c>
      <c r="C13571" t="s">
        <v>16719</v>
      </c>
      <c r="D13571" t="s">
        <v>19030</v>
      </c>
      <c r="E13571" t="s">
        <v>30709</v>
      </c>
      <c r="F13571" t="s">
        <v>32831</v>
      </c>
      <c r="G13571" t="s">
        <v>32839</v>
      </c>
      <c r="H13571" t="s">
        <v>32849</v>
      </c>
      <c r="I13571" t="s">
        <v>32909</v>
      </c>
      <c r="J13571" t="s">
        <v>41263</v>
      </c>
      <c r="K13571" t="s">
        <v>42770</v>
      </c>
      <c r="M13571" t="s">
        <v>46356</v>
      </c>
      <c r="N13571" t="s">
        <v>47424</v>
      </c>
      <c r="O13571" t="s">
        <v>47425</v>
      </c>
      <c r="P13571">
        <v>0</v>
      </c>
      <c r="Q13571">
        <v>10</v>
      </c>
      <c r="R13571" t="s">
        <v>47444</v>
      </c>
      <c r="S13571" t="s">
        <v>48135</v>
      </c>
      <c r="T13571" t="s">
        <v>49066</v>
      </c>
      <c r="U13571" t="s">
        <v>60120</v>
      </c>
      <c r="W13571" t="s">
        <v>46356</v>
      </c>
      <c r="X13571" t="s">
        <v>47445</v>
      </c>
    </row>
    <row r="13572" spans="1:24">
      <c r="A13572">
        <f>HYPERLINK("https://www.philgeps.gov.ph/GEPSNONPILOT/Tender/SplashBidNoticeAbstractUI.aspx?menuIndex=3&amp;refID=7129644&amp;Result=3","7129644")</f>
        <v>0</v>
      </c>
      <c r="B13572" t="s">
        <v>3735</v>
      </c>
      <c r="C13572" t="s">
        <v>16720</v>
      </c>
      <c r="D13572" t="s">
        <v>19074</v>
      </c>
      <c r="E13572" t="s">
        <v>30710</v>
      </c>
      <c r="F13572" t="s">
        <v>32831</v>
      </c>
      <c r="G13572" t="s">
        <v>32839</v>
      </c>
      <c r="H13572" t="s">
        <v>32849</v>
      </c>
      <c r="I13572" t="s">
        <v>4177</v>
      </c>
      <c r="J13572" t="s">
        <v>33066</v>
      </c>
      <c r="K13572" t="s">
        <v>42850</v>
      </c>
      <c r="M13572" t="s">
        <v>47130</v>
      </c>
      <c r="N13572" t="s">
        <v>47424</v>
      </c>
      <c r="O13572" t="s">
        <v>47425</v>
      </c>
      <c r="P13572">
        <v>0</v>
      </c>
      <c r="Q13572">
        <v>1</v>
      </c>
      <c r="R13572" t="s">
        <v>47444</v>
      </c>
      <c r="S13572" t="s">
        <v>48135</v>
      </c>
      <c r="T13572" t="s">
        <v>49239</v>
      </c>
      <c r="U13572" t="s">
        <v>60767</v>
      </c>
      <c r="W13572" t="s">
        <v>47130</v>
      </c>
      <c r="X13572" t="s">
        <v>47445</v>
      </c>
    </row>
    <row r="13573" spans="1:24">
      <c r="A13573">
        <f>HYPERLINK("https://www.philgeps.gov.ph/GEPSNONPILOT/Tender/SplashBidNoticeAbstractUI.aspx?menuIndex=3&amp;refID=7129639&amp;Result=3","7129639")</f>
        <v>0</v>
      </c>
      <c r="B13573" t="s">
        <v>3735</v>
      </c>
      <c r="C13573" t="s">
        <v>16721</v>
      </c>
      <c r="D13573" t="s">
        <v>19074</v>
      </c>
      <c r="E13573" t="s">
        <v>30711</v>
      </c>
      <c r="F13573" t="s">
        <v>32831</v>
      </c>
      <c r="G13573" t="s">
        <v>32839</v>
      </c>
      <c r="H13573" t="s">
        <v>32849</v>
      </c>
      <c r="I13573" t="s">
        <v>4177</v>
      </c>
      <c r="J13573" t="s">
        <v>33118</v>
      </c>
      <c r="K13573" t="s">
        <v>42747</v>
      </c>
      <c r="M13573" t="s">
        <v>47130</v>
      </c>
      <c r="N13573" t="s">
        <v>47424</v>
      </c>
      <c r="O13573" t="s">
        <v>47425</v>
      </c>
      <c r="P13573">
        <v>0</v>
      </c>
      <c r="Q13573">
        <v>1</v>
      </c>
      <c r="R13573" t="s">
        <v>47444</v>
      </c>
      <c r="S13573" t="s">
        <v>48135</v>
      </c>
      <c r="T13573" t="s">
        <v>49237</v>
      </c>
      <c r="U13573" t="s">
        <v>60768</v>
      </c>
      <c r="W13573" t="s">
        <v>47130</v>
      </c>
      <c r="X13573" t="s">
        <v>47445</v>
      </c>
    </row>
    <row r="13574" spans="1:24">
      <c r="A13574">
        <f>HYPERLINK("https://www.philgeps.gov.ph/GEPSNONPILOT/Tender/SplashBidNoticeAbstractUI.aspx?menuIndex=3&amp;refID=7136301&amp;Result=3","7136301")</f>
        <v>0</v>
      </c>
      <c r="B13574" t="s">
        <v>2675</v>
      </c>
      <c r="C13574" t="s">
        <v>16722</v>
      </c>
      <c r="D13574" t="s">
        <v>19058</v>
      </c>
      <c r="E13574" t="s">
        <v>30712</v>
      </c>
      <c r="F13574" t="s">
        <v>32833</v>
      </c>
      <c r="G13574" t="s">
        <v>32839</v>
      </c>
      <c r="H13574" t="s">
        <v>32849</v>
      </c>
      <c r="I13574" t="s">
        <v>4177</v>
      </c>
      <c r="J13574" t="s">
        <v>33118</v>
      </c>
      <c r="K13574" t="s">
        <v>42884</v>
      </c>
      <c r="M13574" t="s">
        <v>45898</v>
      </c>
      <c r="N13574" t="s">
        <v>47424</v>
      </c>
      <c r="O13574" t="s">
        <v>47425</v>
      </c>
      <c r="P13574">
        <v>0</v>
      </c>
      <c r="Q13574">
        <v>0</v>
      </c>
      <c r="R13574" t="s">
        <v>47440</v>
      </c>
      <c r="S13574" t="s">
        <v>47963</v>
      </c>
      <c r="T13574" t="s">
        <v>49397</v>
      </c>
      <c r="U13574" t="s">
        <v>60058</v>
      </c>
      <c r="W13574" t="s">
        <v>45898</v>
      </c>
      <c r="X13574" t="s">
        <v>47441</v>
      </c>
    </row>
    <row r="13575" spans="1:24">
      <c r="A13575">
        <f>HYPERLINK("https://www.philgeps.gov.ph/GEPSNONPILOT/Tender/SplashBidNoticeAbstractUI.aspx?menuIndex=3&amp;refID=7129633&amp;Result=3","7129633")</f>
        <v>0</v>
      </c>
      <c r="B13575" t="s">
        <v>3735</v>
      </c>
      <c r="C13575" t="s">
        <v>16723</v>
      </c>
      <c r="D13575" t="s">
        <v>19074</v>
      </c>
      <c r="E13575" t="s">
        <v>30713</v>
      </c>
      <c r="F13575" t="s">
        <v>32831</v>
      </c>
      <c r="G13575" t="s">
        <v>32839</v>
      </c>
      <c r="H13575" t="s">
        <v>32849</v>
      </c>
      <c r="I13575" t="s">
        <v>4177</v>
      </c>
      <c r="J13575" t="s">
        <v>33118</v>
      </c>
      <c r="K13575" t="s">
        <v>42747</v>
      </c>
      <c r="M13575" t="s">
        <v>47130</v>
      </c>
      <c r="N13575" t="s">
        <v>47424</v>
      </c>
      <c r="O13575" t="s">
        <v>47425</v>
      </c>
      <c r="P13575">
        <v>0</v>
      </c>
      <c r="Q13575">
        <v>1</v>
      </c>
      <c r="R13575" t="s">
        <v>47444</v>
      </c>
      <c r="S13575" t="s">
        <v>48135</v>
      </c>
      <c r="T13575" t="s">
        <v>49111</v>
      </c>
      <c r="U13575" t="s">
        <v>60769</v>
      </c>
      <c r="W13575" t="s">
        <v>47130</v>
      </c>
      <c r="X13575" t="s">
        <v>47445</v>
      </c>
    </row>
    <row r="13576" spans="1:24">
      <c r="A13576">
        <f>HYPERLINK("https://www.philgeps.gov.ph/GEPSNONPILOT/Tender/SplashBidNoticeAbstractUI.aspx?menuIndex=3&amp;refID=7130091&amp;Result=3","7130091")</f>
        <v>0</v>
      </c>
      <c r="B13576" t="s">
        <v>2310</v>
      </c>
      <c r="C13576" t="s">
        <v>16724</v>
      </c>
      <c r="D13576" t="s">
        <v>19028</v>
      </c>
      <c r="E13576" t="s">
        <v>30714</v>
      </c>
      <c r="F13576" t="s">
        <v>32831</v>
      </c>
      <c r="G13576" t="s">
        <v>32839</v>
      </c>
      <c r="H13576" t="s">
        <v>32849</v>
      </c>
      <c r="I13576" t="s">
        <v>4177</v>
      </c>
      <c r="J13576" t="s">
        <v>32983</v>
      </c>
      <c r="K13576" t="s">
        <v>42730</v>
      </c>
      <c r="M13576" t="s">
        <v>45495</v>
      </c>
      <c r="N13576" t="s">
        <v>47424</v>
      </c>
      <c r="O13576" t="s">
        <v>47425</v>
      </c>
      <c r="P13576">
        <v>0</v>
      </c>
      <c r="Q13576">
        <v>0</v>
      </c>
      <c r="R13576" t="s">
        <v>47444</v>
      </c>
      <c r="S13576" t="s">
        <v>48135</v>
      </c>
      <c r="T13576" t="s">
        <v>49166</v>
      </c>
      <c r="U13576" t="s">
        <v>55097</v>
      </c>
      <c r="W13576" t="s">
        <v>45495</v>
      </c>
      <c r="X13576" t="s">
        <v>47445</v>
      </c>
    </row>
    <row r="13577" spans="1:24">
      <c r="A13577">
        <f>HYPERLINK("https://www.philgeps.gov.ph/GEPSNONPILOT/Tender/SplashBidNoticeAbstractUI.aspx?menuIndex=3&amp;refID=7130088&amp;Result=3","7130088")</f>
        <v>0</v>
      </c>
      <c r="B13577" t="s">
        <v>3519</v>
      </c>
      <c r="C13577" t="s">
        <v>16725</v>
      </c>
      <c r="D13577" t="s">
        <v>19045</v>
      </c>
      <c r="E13577" t="s">
        <v>30715</v>
      </c>
      <c r="F13577" t="s">
        <v>32831</v>
      </c>
      <c r="G13577" t="s">
        <v>32839</v>
      </c>
      <c r="H13577" t="s">
        <v>32849</v>
      </c>
      <c r="I13577" t="s">
        <v>4177</v>
      </c>
      <c r="J13577" t="s">
        <v>33338</v>
      </c>
      <c r="K13577" t="s">
        <v>42730</v>
      </c>
      <c r="L13577" t="s">
        <v>3519</v>
      </c>
      <c r="M13577" t="s">
        <v>46870</v>
      </c>
      <c r="N13577" t="s">
        <v>47424</v>
      </c>
      <c r="O13577" t="s">
        <v>47425</v>
      </c>
      <c r="P13577">
        <v>0</v>
      </c>
      <c r="Q13577">
        <v>0</v>
      </c>
      <c r="R13577" t="s">
        <v>47444</v>
      </c>
      <c r="S13577" t="s">
        <v>48135</v>
      </c>
      <c r="T13577" t="s">
        <v>49198</v>
      </c>
      <c r="U13577" t="s">
        <v>55649</v>
      </c>
      <c r="W13577" t="s">
        <v>46870</v>
      </c>
      <c r="X13577" t="s">
        <v>47445</v>
      </c>
    </row>
    <row r="13578" spans="1:24">
      <c r="A13578">
        <f>HYPERLINK("https://www.philgeps.gov.ph/GEPSNONPILOT/Tender/SplashBidNoticeAbstractUI.aspx?menuIndex=3&amp;refID=7129673&amp;Result=3","7129673")</f>
        <v>0</v>
      </c>
      <c r="B13578" t="s">
        <v>1677</v>
      </c>
      <c r="C13578" t="s">
        <v>16726</v>
      </c>
      <c r="E13578" t="s">
        <v>30716</v>
      </c>
      <c r="F13578" t="s">
        <v>32831</v>
      </c>
      <c r="G13578" t="s">
        <v>32839</v>
      </c>
      <c r="H13578" t="s">
        <v>32848</v>
      </c>
      <c r="I13578" t="s">
        <v>7751</v>
      </c>
      <c r="J13578" t="s">
        <v>33257</v>
      </c>
      <c r="K13578" t="s">
        <v>42730</v>
      </c>
      <c r="M13578" t="s">
        <v>44802</v>
      </c>
      <c r="N13578" t="s">
        <v>47424</v>
      </c>
      <c r="O13578" t="s">
        <v>47425</v>
      </c>
      <c r="P13578">
        <v>0</v>
      </c>
      <c r="Q13578">
        <v>9</v>
      </c>
      <c r="R13578" t="s">
        <v>47444</v>
      </c>
      <c r="S13578" t="s">
        <v>48135</v>
      </c>
      <c r="T13578" t="s">
        <v>49056</v>
      </c>
      <c r="U13578" t="s">
        <v>60770</v>
      </c>
      <c r="W13578" t="s">
        <v>44795</v>
      </c>
      <c r="X13578" t="s">
        <v>47445</v>
      </c>
    </row>
    <row r="13579" spans="1:24">
      <c r="A13579">
        <f>HYPERLINK("https://www.philgeps.gov.ph/GEPSNONPILOT/Tender/SplashBidNoticeAbstractUI.aspx?menuIndex=3&amp;refID=7130069&amp;Result=3","7130069")</f>
        <v>0</v>
      </c>
      <c r="B13579" t="s">
        <v>3256</v>
      </c>
      <c r="C13579" t="s">
        <v>16727</v>
      </c>
      <c r="D13579" t="s">
        <v>19040</v>
      </c>
      <c r="E13579" t="s">
        <v>30717</v>
      </c>
      <c r="F13579" t="s">
        <v>32831</v>
      </c>
      <c r="G13579" t="s">
        <v>32839</v>
      </c>
      <c r="H13579" t="s">
        <v>32849</v>
      </c>
      <c r="I13579" t="s">
        <v>4177</v>
      </c>
      <c r="J13579" t="s">
        <v>39594</v>
      </c>
      <c r="K13579" t="s">
        <v>42771</v>
      </c>
      <c r="M13579" t="s">
        <v>46572</v>
      </c>
      <c r="N13579" t="s">
        <v>47424</v>
      </c>
      <c r="O13579" t="s">
        <v>47425</v>
      </c>
      <c r="Q13579">
        <v>0</v>
      </c>
      <c r="R13579" t="s">
        <v>47444</v>
      </c>
      <c r="S13579" t="s">
        <v>48169</v>
      </c>
      <c r="T13579" t="s">
        <v>49105</v>
      </c>
      <c r="U13579" t="s">
        <v>60771</v>
      </c>
      <c r="V13579" t="s">
        <v>64151</v>
      </c>
      <c r="W13579" t="s">
        <v>46572</v>
      </c>
      <c r="X13579" t="s">
        <v>47445</v>
      </c>
    </row>
    <row r="13580" spans="1:24">
      <c r="A13580">
        <f>HYPERLINK("https://www.philgeps.gov.ph/GEPSNONPILOT/Tender/SplashBidNoticeAbstractUI.aspx?menuIndex=3&amp;refID=7129641&amp;Result=3","7129641")</f>
        <v>0</v>
      </c>
      <c r="B13580" t="s">
        <v>3735</v>
      </c>
      <c r="C13580" t="s">
        <v>16728</v>
      </c>
      <c r="D13580" t="s">
        <v>19074</v>
      </c>
      <c r="E13580" t="s">
        <v>30718</v>
      </c>
      <c r="F13580" t="s">
        <v>32831</v>
      </c>
      <c r="G13580" t="s">
        <v>32839</v>
      </c>
      <c r="H13580" t="s">
        <v>32849</v>
      </c>
      <c r="I13580" t="s">
        <v>4177</v>
      </c>
      <c r="J13580" t="s">
        <v>33118</v>
      </c>
      <c r="K13580" t="s">
        <v>42743</v>
      </c>
      <c r="M13580" t="s">
        <v>47130</v>
      </c>
      <c r="N13580" t="s">
        <v>47424</v>
      </c>
      <c r="O13580" t="s">
        <v>47425</v>
      </c>
      <c r="P13580">
        <v>0</v>
      </c>
      <c r="Q13580">
        <v>1</v>
      </c>
      <c r="R13580" t="s">
        <v>47444</v>
      </c>
      <c r="S13580" t="s">
        <v>48135</v>
      </c>
      <c r="T13580" t="s">
        <v>49238</v>
      </c>
      <c r="U13580" t="s">
        <v>60772</v>
      </c>
      <c r="W13580" t="s">
        <v>47130</v>
      </c>
      <c r="X13580" t="s">
        <v>47445</v>
      </c>
    </row>
    <row r="13581" spans="1:24">
      <c r="A13581">
        <f>HYPERLINK("https://www.philgeps.gov.ph/GEPSNONPILOT/Tender/SplashBidNoticeAbstractUI.aspx?menuIndex=3&amp;refID=7129802&amp;Result=3","7129802")</f>
        <v>0</v>
      </c>
      <c r="B13581" t="s">
        <v>3566</v>
      </c>
      <c r="C13581" t="s">
        <v>16729</v>
      </c>
      <c r="D13581" t="s">
        <v>19059</v>
      </c>
      <c r="E13581" t="s">
        <v>30719</v>
      </c>
      <c r="F13581" t="s">
        <v>32831</v>
      </c>
      <c r="G13581" t="s">
        <v>32839</v>
      </c>
      <c r="H13581" t="s">
        <v>32849</v>
      </c>
      <c r="I13581" t="s">
        <v>4177</v>
      </c>
      <c r="J13581" t="s">
        <v>33528</v>
      </c>
      <c r="K13581" t="s">
        <v>42764</v>
      </c>
      <c r="M13581" t="s">
        <v>46922</v>
      </c>
      <c r="N13581" t="s">
        <v>47424</v>
      </c>
      <c r="O13581" t="s">
        <v>47425</v>
      </c>
      <c r="P13581">
        <v>0</v>
      </c>
      <c r="Q13581">
        <v>27</v>
      </c>
      <c r="R13581" t="s">
        <v>47444</v>
      </c>
      <c r="S13581" t="s">
        <v>48135</v>
      </c>
      <c r="T13581" t="s">
        <v>49214</v>
      </c>
      <c r="U13581" t="s">
        <v>60773</v>
      </c>
      <c r="W13581" t="s">
        <v>46922</v>
      </c>
      <c r="X13581" t="s">
        <v>47445</v>
      </c>
    </row>
    <row r="13582" spans="1:24">
      <c r="A13582">
        <f>HYPERLINK("https://www.philgeps.gov.ph/GEPSNONPILOT/Tender/SplashBidNoticeAbstractUI.aspx?menuIndex=3&amp;refID=7130061&amp;Result=3","7130061")</f>
        <v>0</v>
      </c>
      <c r="B13582" t="s">
        <v>3589</v>
      </c>
      <c r="C13582" t="s">
        <v>16730</v>
      </c>
      <c r="D13582" t="s">
        <v>19035</v>
      </c>
      <c r="E13582" t="s">
        <v>30720</v>
      </c>
      <c r="F13582" t="s">
        <v>32831</v>
      </c>
      <c r="G13582" t="s">
        <v>32839</v>
      </c>
      <c r="H13582" t="s">
        <v>32848</v>
      </c>
      <c r="I13582" t="s">
        <v>4177</v>
      </c>
      <c r="J13582" t="s">
        <v>41264</v>
      </c>
      <c r="K13582" t="s">
        <v>42742</v>
      </c>
      <c r="M13582" t="s">
        <v>46953</v>
      </c>
      <c r="N13582" t="s">
        <v>47424</v>
      </c>
      <c r="O13582" t="s">
        <v>47425</v>
      </c>
      <c r="Q13582">
        <v>0</v>
      </c>
      <c r="R13582" t="s">
        <v>47444</v>
      </c>
      <c r="S13582" t="s">
        <v>48170</v>
      </c>
      <c r="T13582" t="s">
        <v>49056</v>
      </c>
      <c r="U13582" t="s">
        <v>60774</v>
      </c>
      <c r="V13582" t="s">
        <v>64028</v>
      </c>
      <c r="W13582" t="s">
        <v>46953</v>
      </c>
      <c r="X13582" t="s">
        <v>47445</v>
      </c>
    </row>
    <row r="13583" spans="1:24">
      <c r="A13583">
        <f>HYPERLINK("https://www.philgeps.gov.ph/GEPSNONPILOT/Tender/SplashBidNoticeAbstractUI.aspx?menuIndex=3&amp;refID=7130074&amp;Result=3","7130074")</f>
        <v>0</v>
      </c>
      <c r="B13583" t="s">
        <v>1864</v>
      </c>
      <c r="C13583" t="s">
        <v>16731</v>
      </c>
      <c r="D13583" t="s">
        <v>19045</v>
      </c>
      <c r="E13583" t="s">
        <v>30721</v>
      </c>
      <c r="F13583" t="s">
        <v>32831</v>
      </c>
      <c r="G13583" t="s">
        <v>32839</v>
      </c>
      <c r="H13583" t="s">
        <v>32848</v>
      </c>
      <c r="I13583" t="s">
        <v>4776</v>
      </c>
      <c r="J13583" t="s">
        <v>33292</v>
      </c>
      <c r="K13583" t="s">
        <v>42731</v>
      </c>
      <c r="M13583" t="s">
        <v>45006</v>
      </c>
      <c r="N13583" t="s">
        <v>47424</v>
      </c>
      <c r="O13583" t="s">
        <v>47425</v>
      </c>
      <c r="P13583">
        <v>0</v>
      </c>
      <c r="Q13583">
        <v>0</v>
      </c>
      <c r="R13583" t="s">
        <v>47444</v>
      </c>
      <c r="S13583" t="s">
        <v>48135</v>
      </c>
      <c r="T13583" t="s">
        <v>49066</v>
      </c>
      <c r="U13583" t="s">
        <v>60775</v>
      </c>
      <c r="W13583" t="s">
        <v>45006</v>
      </c>
      <c r="X13583" t="s">
        <v>47445</v>
      </c>
    </row>
    <row r="13584" spans="1:24">
      <c r="A13584">
        <f>HYPERLINK("https://www.philgeps.gov.ph/GEPSNONPILOT/Tender/SplashBidNoticeAbstractUI.aspx?menuIndex=3&amp;refID=7130064&amp;Result=3","7130064")</f>
        <v>0</v>
      </c>
      <c r="B13584" t="s">
        <v>3303</v>
      </c>
      <c r="C13584" t="s">
        <v>16732</v>
      </c>
      <c r="D13584" t="s">
        <v>19038</v>
      </c>
      <c r="E13584" t="s">
        <v>28221</v>
      </c>
      <c r="F13584" t="s">
        <v>32831</v>
      </c>
      <c r="G13584" t="s">
        <v>32839</v>
      </c>
      <c r="H13584" t="s">
        <v>32849</v>
      </c>
      <c r="I13584" t="s">
        <v>4177</v>
      </c>
      <c r="J13584" t="s">
        <v>38582</v>
      </c>
      <c r="K13584" t="s">
        <v>42763</v>
      </c>
      <c r="M13584" t="s">
        <v>46624</v>
      </c>
      <c r="N13584" t="s">
        <v>47424</v>
      </c>
      <c r="O13584" t="s">
        <v>47425</v>
      </c>
      <c r="P13584">
        <v>0</v>
      </c>
      <c r="Q13584">
        <v>2</v>
      </c>
      <c r="R13584" t="s">
        <v>47444</v>
      </c>
      <c r="S13584" t="s">
        <v>48135</v>
      </c>
      <c r="T13584" t="s">
        <v>49127</v>
      </c>
      <c r="U13584" t="s">
        <v>60776</v>
      </c>
      <c r="W13584" t="s">
        <v>46624</v>
      </c>
      <c r="X13584" t="s">
        <v>47445</v>
      </c>
    </row>
    <row r="13585" spans="1:24">
      <c r="A13585">
        <f>HYPERLINK("https://www.philgeps.gov.ph/GEPSNONPILOT/Tender/SplashBidNoticeAbstractUI.aspx?menuIndex=3&amp;refID=7129771&amp;Result=3","7129771")</f>
        <v>0</v>
      </c>
      <c r="B13585" t="s">
        <v>3159</v>
      </c>
      <c r="C13585" t="s">
        <v>16733</v>
      </c>
      <c r="D13585" t="s">
        <v>19079</v>
      </c>
      <c r="E13585" t="s">
        <v>30722</v>
      </c>
      <c r="F13585" t="s">
        <v>32831</v>
      </c>
      <c r="G13585" t="s">
        <v>32839</v>
      </c>
      <c r="H13585" t="s">
        <v>32849</v>
      </c>
      <c r="I13585" t="s">
        <v>4177</v>
      </c>
      <c r="J13585" t="s">
        <v>41265</v>
      </c>
      <c r="K13585" t="s">
        <v>42770</v>
      </c>
      <c r="M13585" t="s">
        <v>46464</v>
      </c>
      <c r="N13585" t="s">
        <v>47424</v>
      </c>
      <c r="O13585" t="s">
        <v>47425</v>
      </c>
      <c r="P13585">
        <v>0</v>
      </c>
      <c r="Q13585">
        <v>0</v>
      </c>
      <c r="R13585" t="s">
        <v>47444</v>
      </c>
      <c r="S13585" t="s">
        <v>48135</v>
      </c>
      <c r="T13585" t="s">
        <v>49073</v>
      </c>
      <c r="U13585" t="s">
        <v>60777</v>
      </c>
      <c r="W13585" t="s">
        <v>46464</v>
      </c>
      <c r="X13585" t="s">
        <v>47445</v>
      </c>
    </row>
    <row r="13586" spans="1:24">
      <c r="A13586">
        <f>HYPERLINK("https://www.philgeps.gov.ph/GEPSNONPILOT/Tender/SplashBidNoticeAbstractUI.aspx?menuIndex=3&amp;refID=7130182&amp;Result=3","7130182")</f>
        <v>0</v>
      </c>
      <c r="B13586" t="s">
        <v>895</v>
      </c>
      <c r="C13586" t="s">
        <v>16734</v>
      </c>
      <c r="D13586" t="s">
        <v>19036</v>
      </c>
      <c r="E13586" t="s">
        <v>30723</v>
      </c>
      <c r="F13586" t="s">
        <v>32831</v>
      </c>
      <c r="G13586" t="s">
        <v>32839</v>
      </c>
      <c r="H13586" t="s">
        <v>32849</v>
      </c>
      <c r="I13586" t="s">
        <v>4177</v>
      </c>
      <c r="J13586" t="s">
        <v>41266</v>
      </c>
      <c r="K13586" t="s">
        <v>42876</v>
      </c>
      <c r="M13586" t="s">
        <v>47131</v>
      </c>
      <c r="N13586" t="s">
        <v>47424</v>
      </c>
      <c r="O13586" t="s">
        <v>47425</v>
      </c>
      <c r="P13586">
        <v>0</v>
      </c>
      <c r="Q13586">
        <v>0</v>
      </c>
      <c r="R13586" t="s">
        <v>47444</v>
      </c>
      <c r="S13586" t="s">
        <v>48135</v>
      </c>
      <c r="T13586" t="s">
        <v>49239</v>
      </c>
      <c r="U13586" t="s">
        <v>60778</v>
      </c>
      <c r="V13586" t="s">
        <v>64152</v>
      </c>
      <c r="W13586" t="s">
        <v>47131</v>
      </c>
      <c r="X13586" t="s">
        <v>47445</v>
      </c>
    </row>
    <row r="13587" spans="1:24">
      <c r="A13587">
        <f>HYPERLINK("https://www.philgeps.gov.ph/GEPSNONPILOT/Tender/SplashBidNoticeAbstractUI.aspx?menuIndex=3&amp;refID=7130026&amp;Result=3","7130026")</f>
        <v>0</v>
      </c>
      <c r="B13587" t="s">
        <v>1864</v>
      </c>
      <c r="C13587" t="s">
        <v>16735</v>
      </c>
      <c r="D13587" t="s">
        <v>19045</v>
      </c>
      <c r="E13587" t="s">
        <v>30724</v>
      </c>
      <c r="F13587" t="s">
        <v>32831</v>
      </c>
      <c r="G13587" t="s">
        <v>32839</v>
      </c>
      <c r="H13587" t="s">
        <v>32848</v>
      </c>
      <c r="I13587" t="s">
        <v>4776</v>
      </c>
      <c r="J13587" t="s">
        <v>35082</v>
      </c>
      <c r="K13587" t="s">
        <v>42731</v>
      </c>
      <c r="M13587" t="s">
        <v>45006</v>
      </c>
      <c r="N13587" t="s">
        <v>47424</v>
      </c>
      <c r="O13587" t="s">
        <v>47425</v>
      </c>
      <c r="P13587">
        <v>0</v>
      </c>
      <c r="Q13587">
        <v>0</v>
      </c>
      <c r="R13587" t="s">
        <v>47444</v>
      </c>
      <c r="S13587" t="s">
        <v>48135</v>
      </c>
      <c r="T13587" t="s">
        <v>49066</v>
      </c>
      <c r="U13587" t="s">
        <v>60779</v>
      </c>
      <c r="W13587" t="s">
        <v>45006</v>
      </c>
      <c r="X13587" t="s">
        <v>47445</v>
      </c>
    </row>
    <row r="13588" spans="1:24">
      <c r="A13588">
        <f>HYPERLINK("https://www.philgeps.gov.ph/GEPSNONPILOT/Tender/SplashBidNoticeAbstractUI.aspx?menuIndex=3&amp;refID=7130219&amp;Result=3","7130219")</f>
        <v>0</v>
      </c>
      <c r="B13588" t="s">
        <v>895</v>
      </c>
      <c r="C13588" t="s">
        <v>16736</v>
      </c>
      <c r="D13588" t="s">
        <v>19036</v>
      </c>
      <c r="E13588" t="s">
        <v>30725</v>
      </c>
      <c r="F13588" t="s">
        <v>32831</v>
      </c>
      <c r="G13588" t="s">
        <v>32839</v>
      </c>
      <c r="H13588" t="s">
        <v>32849</v>
      </c>
      <c r="I13588" t="s">
        <v>4177</v>
      </c>
      <c r="J13588" t="s">
        <v>41267</v>
      </c>
      <c r="K13588" t="s">
        <v>42735</v>
      </c>
      <c r="M13588" t="s">
        <v>47131</v>
      </c>
      <c r="N13588" t="s">
        <v>47424</v>
      </c>
      <c r="O13588" t="s">
        <v>47425</v>
      </c>
      <c r="P13588">
        <v>0</v>
      </c>
      <c r="Q13588">
        <v>0</v>
      </c>
      <c r="R13588" t="s">
        <v>47444</v>
      </c>
      <c r="S13588" t="s">
        <v>48135</v>
      </c>
      <c r="T13588" t="s">
        <v>49239</v>
      </c>
      <c r="U13588" t="s">
        <v>60780</v>
      </c>
      <c r="V13588" t="s">
        <v>64153</v>
      </c>
      <c r="W13588" t="s">
        <v>47131</v>
      </c>
      <c r="X13588" t="s">
        <v>47445</v>
      </c>
    </row>
    <row r="13589" spans="1:24">
      <c r="A13589">
        <f>HYPERLINK("https://www.philgeps.gov.ph/GEPSNONPILOT/Tender/SplashBidNoticeAbstractUI.aspx?menuIndex=3&amp;refID=7130036&amp;Result=3","7130036")</f>
        <v>0</v>
      </c>
      <c r="B13589" t="s">
        <v>1842</v>
      </c>
      <c r="C13589" t="s">
        <v>16737</v>
      </c>
      <c r="D13589" t="s">
        <v>19035</v>
      </c>
      <c r="E13589" t="s">
        <v>30726</v>
      </c>
      <c r="F13589" t="s">
        <v>32831</v>
      </c>
      <c r="G13589" t="s">
        <v>32839</v>
      </c>
      <c r="H13589" t="s">
        <v>32849</v>
      </c>
      <c r="I13589" t="s">
        <v>4177</v>
      </c>
      <c r="J13589" t="s">
        <v>41268</v>
      </c>
      <c r="K13589" t="s">
        <v>42730</v>
      </c>
      <c r="M13589" t="s">
        <v>44976</v>
      </c>
      <c r="N13589" t="s">
        <v>47424</v>
      </c>
      <c r="O13589" t="s">
        <v>47425</v>
      </c>
      <c r="P13589">
        <v>0</v>
      </c>
      <c r="Q13589">
        <v>1</v>
      </c>
      <c r="R13589" t="s">
        <v>47444</v>
      </c>
      <c r="S13589" t="s">
        <v>48135</v>
      </c>
      <c r="T13589" t="s">
        <v>49066</v>
      </c>
      <c r="U13589" t="s">
        <v>60781</v>
      </c>
      <c r="W13589" t="s">
        <v>64488</v>
      </c>
      <c r="X13589" t="s">
        <v>47445</v>
      </c>
    </row>
    <row r="13590" spans="1:24">
      <c r="A13590">
        <f>HYPERLINK("https://www.philgeps.gov.ph/GEPSNONPILOT/Tender/SplashBidNoticeAbstractUI.aspx?menuIndex=3&amp;refID=7130032&amp;Result=3","7130032")</f>
        <v>0</v>
      </c>
      <c r="B13590" t="s">
        <v>703</v>
      </c>
      <c r="C13590" t="s">
        <v>16738</v>
      </c>
      <c r="D13590" t="s">
        <v>19077</v>
      </c>
      <c r="E13590" t="s">
        <v>30727</v>
      </c>
      <c r="F13590" t="s">
        <v>32831</v>
      </c>
      <c r="G13590" t="s">
        <v>32839</v>
      </c>
      <c r="H13590" t="s">
        <v>32848</v>
      </c>
      <c r="I13590" t="s">
        <v>32925</v>
      </c>
      <c r="J13590" t="s">
        <v>41269</v>
      </c>
      <c r="K13590" t="s">
        <v>42763</v>
      </c>
      <c r="M13590" t="s">
        <v>44449</v>
      </c>
      <c r="N13590" t="s">
        <v>47424</v>
      </c>
      <c r="O13590" t="s">
        <v>47425</v>
      </c>
      <c r="Q13590">
        <v>7</v>
      </c>
      <c r="R13590" t="s">
        <v>47444</v>
      </c>
      <c r="S13590" t="s">
        <v>47584</v>
      </c>
      <c r="T13590" t="s">
        <v>49087</v>
      </c>
      <c r="U13590" t="s">
        <v>52703</v>
      </c>
      <c r="W13590" t="s">
        <v>44449</v>
      </c>
      <c r="X13590" t="s">
        <v>47445</v>
      </c>
    </row>
    <row r="13591" spans="1:24">
      <c r="A13591">
        <f>HYPERLINK("https://www.philgeps.gov.ph/GEPSNONPILOT/Tender/SplashBidNoticeAbstractUI.aspx?menuIndex=3&amp;refID=7130200&amp;Result=3","7130200")</f>
        <v>0</v>
      </c>
      <c r="B13591" t="s">
        <v>3736</v>
      </c>
      <c r="C13591" t="s">
        <v>16739</v>
      </c>
      <c r="D13591" t="s">
        <v>19023</v>
      </c>
      <c r="E13591" t="s">
        <v>30728</v>
      </c>
      <c r="F13591" t="s">
        <v>32831</v>
      </c>
      <c r="G13591" t="s">
        <v>32839</v>
      </c>
      <c r="H13591" t="s">
        <v>32849</v>
      </c>
      <c r="I13591" t="s">
        <v>4177</v>
      </c>
      <c r="J13591" t="s">
        <v>32985</v>
      </c>
      <c r="K13591" t="s">
        <v>42745</v>
      </c>
      <c r="M13591" t="s">
        <v>47132</v>
      </c>
      <c r="N13591" t="s">
        <v>47424</v>
      </c>
      <c r="O13591" t="s">
        <v>47425</v>
      </c>
      <c r="P13591">
        <v>0</v>
      </c>
      <c r="Q13591">
        <v>0</v>
      </c>
      <c r="R13591" t="s">
        <v>47444</v>
      </c>
      <c r="S13591" t="s">
        <v>48135</v>
      </c>
      <c r="T13591" t="s">
        <v>49321</v>
      </c>
      <c r="U13591" t="s">
        <v>60782</v>
      </c>
      <c r="W13591" t="s">
        <v>47132</v>
      </c>
      <c r="X13591" t="s">
        <v>47445</v>
      </c>
    </row>
    <row r="13592" spans="1:24">
      <c r="A13592">
        <f>HYPERLINK("https://www.philgeps.gov.ph/GEPSNONPILOT/Tender/SplashBidNoticeAbstractUI.aspx?menuIndex=3&amp;refID=7130191&amp;Result=3","7130191")</f>
        <v>0</v>
      </c>
      <c r="B13592" t="s">
        <v>3735</v>
      </c>
      <c r="C13592" t="s">
        <v>16740</v>
      </c>
      <c r="D13592" t="s">
        <v>19074</v>
      </c>
      <c r="E13592" t="s">
        <v>30729</v>
      </c>
      <c r="F13592" t="s">
        <v>32831</v>
      </c>
      <c r="G13592" t="s">
        <v>32839</v>
      </c>
      <c r="H13592" t="s">
        <v>32849</v>
      </c>
      <c r="I13592" t="s">
        <v>4177</v>
      </c>
      <c r="J13592" t="s">
        <v>33118</v>
      </c>
      <c r="K13592" t="s">
        <v>42977</v>
      </c>
      <c r="M13592" t="s">
        <v>47130</v>
      </c>
      <c r="N13592" t="s">
        <v>47424</v>
      </c>
      <c r="O13592" t="s">
        <v>47425</v>
      </c>
      <c r="P13592">
        <v>0</v>
      </c>
      <c r="Q13592">
        <v>1</v>
      </c>
      <c r="R13592" t="s">
        <v>47444</v>
      </c>
      <c r="S13592" t="s">
        <v>48135</v>
      </c>
      <c r="T13592" t="s">
        <v>49056</v>
      </c>
      <c r="U13592" t="s">
        <v>60783</v>
      </c>
      <c r="W13592" t="s">
        <v>47130</v>
      </c>
      <c r="X13592" t="s">
        <v>47445</v>
      </c>
    </row>
    <row r="13593" spans="1:24">
      <c r="A13593">
        <f>HYPERLINK("https://www.philgeps.gov.ph/GEPSNONPILOT/Tender/SplashBidNoticeAbstractUI.aspx?menuIndex=3&amp;refID=7129437&amp;Result=3","7129437")</f>
        <v>0</v>
      </c>
      <c r="B13593" t="s">
        <v>3203</v>
      </c>
      <c r="C13593" t="s">
        <v>16741</v>
      </c>
      <c r="D13593" t="s">
        <v>19038</v>
      </c>
      <c r="E13593" t="s">
        <v>30730</v>
      </c>
      <c r="F13593" t="s">
        <v>32831</v>
      </c>
      <c r="G13593" t="s">
        <v>32839</v>
      </c>
      <c r="H13593" t="s">
        <v>32849</v>
      </c>
      <c r="I13593" t="s">
        <v>4177</v>
      </c>
      <c r="J13593" t="s">
        <v>41270</v>
      </c>
      <c r="K13593" t="s">
        <v>42796</v>
      </c>
      <c r="M13593" t="s">
        <v>46578</v>
      </c>
      <c r="N13593" t="s">
        <v>47424</v>
      </c>
      <c r="O13593" t="s">
        <v>47425</v>
      </c>
      <c r="P13593">
        <v>0</v>
      </c>
      <c r="Q13593">
        <v>8</v>
      </c>
      <c r="R13593" t="s">
        <v>47444</v>
      </c>
      <c r="S13593" t="s">
        <v>48135</v>
      </c>
      <c r="T13593" t="s">
        <v>49056</v>
      </c>
      <c r="U13593" t="s">
        <v>58300</v>
      </c>
      <c r="W13593" t="s">
        <v>46578</v>
      </c>
      <c r="X13593" t="s">
        <v>47446</v>
      </c>
    </row>
    <row r="13594" spans="1:24">
      <c r="A13594">
        <f>HYPERLINK("https://www.philgeps.gov.ph/GEPSNONPILOT/Tender/SplashBidNoticeAbstractUI.aspx?menuIndex=3&amp;refID=7130180&amp;Result=3","7130180")</f>
        <v>0</v>
      </c>
      <c r="B13594" t="s">
        <v>3733</v>
      </c>
      <c r="C13594" t="s">
        <v>16742</v>
      </c>
      <c r="D13594" t="s">
        <v>19027</v>
      </c>
      <c r="E13594" t="s">
        <v>30731</v>
      </c>
      <c r="F13594" t="s">
        <v>32831</v>
      </c>
      <c r="G13594" t="s">
        <v>32839</v>
      </c>
      <c r="H13594" t="s">
        <v>32849</v>
      </c>
      <c r="I13594" t="s">
        <v>4177</v>
      </c>
      <c r="J13594" t="s">
        <v>41271</v>
      </c>
      <c r="K13594" t="s">
        <v>42757</v>
      </c>
      <c r="M13594" t="s">
        <v>47128</v>
      </c>
      <c r="N13594" t="s">
        <v>47424</v>
      </c>
      <c r="O13594" t="s">
        <v>47425</v>
      </c>
      <c r="P13594">
        <v>0</v>
      </c>
      <c r="Q13594">
        <v>8</v>
      </c>
      <c r="R13594" t="s">
        <v>47444</v>
      </c>
      <c r="S13594" t="s">
        <v>48135</v>
      </c>
      <c r="T13594" t="s">
        <v>49087</v>
      </c>
      <c r="U13594" t="s">
        <v>60784</v>
      </c>
      <c r="W13594" t="s">
        <v>47128</v>
      </c>
      <c r="X13594" t="s">
        <v>47445</v>
      </c>
    </row>
    <row r="13595" spans="1:24">
      <c r="A13595">
        <f>HYPERLINK("https://www.philgeps.gov.ph/GEPSNONPILOT/Tender/SplashBidNoticeAbstractUI.aspx?menuIndex=3&amp;refID=7130204&amp;Result=3","7130204")</f>
        <v>0</v>
      </c>
      <c r="B13595" t="s">
        <v>895</v>
      </c>
      <c r="C13595" t="s">
        <v>16743</v>
      </c>
      <c r="D13595" t="s">
        <v>19036</v>
      </c>
      <c r="E13595" t="s">
        <v>30732</v>
      </c>
      <c r="F13595" t="s">
        <v>32831</v>
      </c>
      <c r="G13595" t="s">
        <v>32839</v>
      </c>
      <c r="H13595" t="s">
        <v>32849</v>
      </c>
      <c r="I13595" t="s">
        <v>4177</v>
      </c>
      <c r="J13595" t="s">
        <v>41272</v>
      </c>
      <c r="K13595" t="s">
        <v>42811</v>
      </c>
      <c r="M13595" t="s">
        <v>47131</v>
      </c>
      <c r="N13595" t="s">
        <v>47424</v>
      </c>
      <c r="O13595" t="s">
        <v>47425</v>
      </c>
      <c r="P13595">
        <v>0</v>
      </c>
      <c r="Q13595">
        <v>0</v>
      </c>
      <c r="R13595" t="s">
        <v>47444</v>
      </c>
      <c r="S13595" t="s">
        <v>48135</v>
      </c>
      <c r="T13595" t="s">
        <v>49239</v>
      </c>
      <c r="U13595" t="s">
        <v>60785</v>
      </c>
      <c r="V13595" t="s">
        <v>64154</v>
      </c>
      <c r="W13595" t="s">
        <v>47131</v>
      </c>
      <c r="X13595" t="s">
        <v>47445</v>
      </c>
    </row>
    <row r="13596" spans="1:24">
      <c r="A13596">
        <f>HYPERLINK("https://www.philgeps.gov.ph/GEPSNONPILOT/Tender/SplashBidNoticeAbstractUI.aspx?menuIndex=3&amp;refID=7130157&amp;Result=3","7130157")</f>
        <v>0</v>
      </c>
      <c r="B13596" t="s">
        <v>2310</v>
      </c>
      <c r="C13596" t="s">
        <v>16744</v>
      </c>
      <c r="D13596" t="s">
        <v>19028</v>
      </c>
      <c r="E13596" t="s">
        <v>30733</v>
      </c>
      <c r="F13596" t="s">
        <v>32831</v>
      </c>
      <c r="G13596" t="s">
        <v>32839</v>
      </c>
      <c r="H13596" t="s">
        <v>32849</v>
      </c>
      <c r="I13596" t="s">
        <v>4177</v>
      </c>
      <c r="J13596" t="s">
        <v>33072</v>
      </c>
      <c r="K13596" t="s">
        <v>42747</v>
      </c>
      <c r="M13596" t="s">
        <v>45495</v>
      </c>
      <c r="N13596" t="s">
        <v>47424</v>
      </c>
      <c r="O13596" t="s">
        <v>47425</v>
      </c>
      <c r="P13596">
        <v>0</v>
      </c>
      <c r="Q13596">
        <v>0</v>
      </c>
      <c r="R13596" t="s">
        <v>47444</v>
      </c>
      <c r="S13596" t="s">
        <v>48135</v>
      </c>
      <c r="T13596" t="s">
        <v>49166</v>
      </c>
      <c r="U13596" t="s">
        <v>55097</v>
      </c>
      <c r="W13596" t="s">
        <v>45495</v>
      </c>
      <c r="X13596" t="s">
        <v>47445</v>
      </c>
    </row>
    <row r="13597" spans="1:24">
      <c r="A13597">
        <f>HYPERLINK("https://www.philgeps.gov.ph/GEPSNONPILOT/Tender/SplashBidNoticeAbstractUI.aspx?menuIndex=3&amp;refID=7129993&amp;Result=3","7129993")</f>
        <v>0</v>
      </c>
      <c r="B13597" t="s">
        <v>3438</v>
      </c>
      <c r="C13597" t="s">
        <v>16745</v>
      </c>
      <c r="D13597" t="s">
        <v>19093</v>
      </c>
      <c r="E13597" t="s">
        <v>30734</v>
      </c>
      <c r="F13597" t="s">
        <v>32831</v>
      </c>
      <c r="G13597" t="s">
        <v>32839</v>
      </c>
      <c r="H13597" t="s">
        <v>32849</v>
      </c>
      <c r="I13597" t="s">
        <v>4177</v>
      </c>
      <c r="J13597" t="s">
        <v>41273</v>
      </c>
      <c r="K13597" t="s">
        <v>42757</v>
      </c>
      <c r="M13597" t="s">
        <v>46775</v>
      </c>
      <c r="N13597" t="s">
        <v>47424</v>
      </c>
      <c r="O13597" t="s">
        <v>47425</v>
      </c>
      <c r="P13597">
        <v>0</v>
      </c>
      <c r="Q13597">
        <v>0</v>
      </c>
      <c r="R13597" t="s">
        <v>47444</v>
      </c>
      <c r="S13597" t="s">
        <v>48135</v>
      </c>
      <c r="T13597" t="s">
        <v>49056</v>
      </c>
      <c r="U13597" t="s">
        <v>60786</v>
      </c>
      <c r="V13597" t="s">
        <v>64155</v>
      </c>
      <c r="W13597" t="s">
        <v>46775</v>
      </c>
      <c r="X13597" t="s">
        <v>47445</v>
      </c>
    </row>
    <row r="13598" spans="1:24">
      <c r="A13598">
        <f>HYPERLINK("https://www.philgeps.gov.ph/GEPSNONPILOT/Tender/SplashBidNoticeAbstractUI.aspx?menuIndex=3&amp;refID=7130155&amp;Result=3","7130155")</f>
        <v>0</v>
      </c>
      <c r="B13598" t="s">
        <v>3735</v>
      </c>
      <c r="C13598" t="s">
        <v>16746</v>
      </c>
      <c r="D13598" t="s">
        <v>19074</v>
      </c>
      <c r="E13598" t="s">
        <v>30735</v>
      </c>
      <c r="F13598" t="s">
        <v>32831</v>
      </c>
      <c r="G13598" t="s">
        <v>32839</v>
      </c>
      <c r="H13598" t="s">
        <v>14069</v>
      </c>
      <c r="I13598" t="s">
        <v>4177</v>
      </c>
      <c r="J13598" t="s">
        <v>33118</v>
      </c>
      <c r="K13598" t="s">
        <v>42977</v>
      </c>
      <c r="M13598" t="s">
        <v>47130</v>
      </c>
      <c r="N13598" t="s">
        <v>47424</v>
      </c>
      <c r="O13598" t="s">
        <v>47425</v>
      </c>
      <c r="P13598">
        <v>0</v>
      </c>
      <c r="Q13598">
        <v>1</v>
      </c>
      <c r="R13598" t="s">
        <v>47444</v>
      </c>
      <c r="S13598" t="s">
        <v>48135</v>
      </c>
      <c r="T13598" t="s">
        <v>49108</v>
      </c>
      <c r="U13598" t="s">
        <v>60787</v>
      </c>
      <c r="W13598" t="s">
        <v>47130</v>
      </c>
      <c r="X13598" t="s">
        <v>47445</v>
      </c>
    </row>
    <row r="13599" spans="1:24">
      <c r="A13599">
        <f>HYPERLINK("https://www.philgeps.gov.ph/GEPSNONPILOT/Tender/SplashBidNoticeAbstractUI.aspx?menuIndex=3&amp;refID=7130171&amp;Result=3","7130171")</f>
        <v>0</v>
      </c>
      <c r="B13599" t="s">
        <v>3521</v>
      </c>
      <c r="C13599" t="s">
        <v>16747</v>
      </c>
      <c r="D13599" t="s">
        <v>19037</v>
      </c>
      <c r="E13599" t="s">
        <v>30736</v>
      </c>
      <c r="F13599" t="s">
        <v>32831</v>
      </c>
      <c r="G13599" t="s">
        <v>32839</v>
      </c>
      <c r="H13599" t="s">
        <v>32848</v>
      </c>
      <c r="I13599" t="s">
        <v>7416</v>
      </c>
      <c r="J13599" t="s">
        <v>41274</v>
      </c>
      <c r="K13599" t="s">
        <v>42727</v>
      </c>
      <c r="M13599" t="s">
        <v>46872</v>
      </c>
      <c r="N13599" t="s">
        <v>47424</v>
      </c>
      <c r="O13599" t="s">
        <v>47425</v>
      </c>
      <c r="P13599">
        <v>0</v>
      </c>
      <c r="Q13599">
        <v>1</v>
      </c>
      <c r="R13599" t="s">
        <v>47444</v>
      </c>
      <c r="S13599" t="s">
        <v>48135</v>
      </c>
      <c r="T13599" t="s">
        <v>49211</v>
      </c>
      <c r="U13599" t="s">
        <v>59615</v>
      </c>
      <c r="W13599" t="s">
        <v>46872</v>
      </c>
      <c r="X13599" t="s">
        <v>47445</v>
      </c>
    </row>
    <row r="13600" spans="1:24">
      <c r="A13600">
        <f>HYPERLINK("https://www.philgeps.gov.ph/GEPSNONPILOT/Tender/SplashBidNoticeAbstractUI.aspx?menuIndex=3&amp;refID=7130149&amp;Result=3","7130149")</f>
        <v>0</v>
      </c>
      <c r="B13600" t="s">
        <v>3733</v>
      </c>
      <c r="C13600" t="s">
        <v>16748</v>
      </c>
      <c r="D13600" t="s">
        <v>19027</v>
      </c>
      <c r="E13600" t="s">
        <v>30737</v>
      </c>
      <c r="F13600" t="s">
        <v>32831</v>
      </c>
      <c r="G13600" t="s">
        <v>32839</v>
      </c>
      <c r="H13600" t="s">
        <v>32849</v>
      </c>
      <c r="I13600" t="s">
        <v>4177</v>
      </c>
      <c r="J13600" t="s">
        <v>41275</v>
      </c>
      <c r="K13600" t="s">
        <v>42784</v>
      </c>
      <c r="M13600" t="s">
        <v>47128</v>
      </c>
      <c r="N13600" t="s">
        <v>47424</v>
      </c>
      <c r="O13600" t="s">
        <v>47425</v>
      </c>
      <c r="P13600">
        <v>0</v>
      </c>
      <c r="Q13600">
        <v>12</v>
      </c>
      <c r="R13600" t="s">
        <v>47444</v>
      </c>
      <c r="S13600" t="s">
        <v>48135</v>
      </c>
      <c r="T13600" t="s">
        <v>49087</v>
      </c>
      <c r="U13600" t="s">
        <v>60788</v>
      </c>
      <c r="W13600" t="s">
        <v>47128</v>
      </c>
      <c r="X13600" t="s">
        <v>47445</v>
      </c>
    </row>
    <row r="13601" spans="1:24">
      <c r="A13601">
        <f>HYPERLINK("https://www.philgeps.gov.ph/GEPSNONPILOT/Tender/SplashBidNoticeAbstractUI.aspx?menuIndex=3&amp;refID=7130131&amp;Result=3","7130131")</f>
        <v>0</v>
      </c>
      <c r="B13601" t="s">
        <v>2811</v>
      </c>
      <c r="C13601" t="s">
        <v>16749</v>
      </c>
      <c r="D13601" t="s">
        <v>19056</v>
      </c>
      <c r="E13601" t="s">
        <v>29691</v>
      </c>
      <c r="F13601" t="s">
        <v>32831</v>
      </c>
      <c r="G13601" t="s">
        <v>32839</v>
      </c>
      <c r="H13601" t="s">
        <v>32849</v>
      </c>
      <c r="I13601" t="s">
        <v>4177</v>
      </c>
      <c r="J13601" t="s">
        <v>41276</v>
      </c>
      <c r="K13601" t="s">
        <v>42862</v>
      </c>
      <c r="M13601" t="s">
        <v>46041</v>
      </c>
      <c r="N13601" t="s">
        <v>47424</v>
      </c>
      <c r="O13601" t="s">
        <v>47425</v>
      </c>
      <c r="Q13601">
        <v>11</v>
      </c>
      <c r="R13601" t="s">
        <v>47444</v>
      </c>
      <c r="S13601" t="s">
        <v>48171</v>
      </c>
      <c r="T13601" t="s">
        <v>49063</v>
      </c>
      <c r="U13601" t="s">
        <v>56648</v>
      </c>
      <c r="W13601" t="s">
        <v>46041</v>
      </c>
      <c r="X13601" t="s">
        <v>47445</v>
      </c>
    </row>
    <row r="13602" spans="1:24">
      <c r="A13602">
        <f>HYPERLINK("https://www.philgeps.gov.ph/GEPSNONPILOT/Tender/SplashBidNoticeAbstractUI.aspx?menuIndex=3&amp;refID=7130063&amp;Result=3","7130063")</f>
        <v>0</v>
      </c>
      <c r="B13602" t="s">
        <v>1179</v>
      </c>
      <c r="C13602" t="s">
        <v>16750</v>
      </c>
      <c r="D13602" t="s">
        <v>19081</v>
      </c>
      <c r="E13602" t="s">
        <v>30738</v>
      </c>
      <c r="F13602" t="s">
        <v>32831</v>
      </c>
      <c r="G13602" t="s">
        <v>32839</v>
      </c>
      <c r="H13602" t="s">
        <v>32848</v>
      </c>
      <c r="I13602" t="s">
        <v>7416</v>
      </c>
      <c r="J13602" t="s">
        <v>33118</v>
      </c>
      <c r="K13602" t="s">
        <v>42747</v>
      </c>
      <c r="M13602" t="s">
        <v>44245</v>
      </c>
      <c r="N13602" t="s">
        <v>47424</v>
      </c>
      <c r="O13602" t="s">
        <v>47425</v>
      </c>
      <c r="P13602">
        <v>0</v>
      </c>
      <c r="Q13602">
        <v>2</v>
      </c>
      <c r="R13602" t="s">
        <v>47444</v>
      </c>
      <c r="S13602" t="s">
        <v>48135</v>
      </c>
      <c r="T13602" t="s">
        <v>49166</v>
      </c>
      <c r="U13602" t="s">
        <v>60789</v>
      </c>
      <c r="W13602" t="s">
        <v>44245</v>
      </c>
      <c r="X13602" t="s">
        <v>47445</v>
      </c>
    </row>
    <row r="13603" spans="1:24">
      <c r="A13603">
        <f>HYPERLINK("https://www.philgeps.gov.ph/GEPSNONPILOT/Tender/SplashBidNoticeAbstractUI.aspx?menuIndex=3&amp;refID=7130114&amp;Result=3","7130114")</f>
        <v>0</v>
      </c>
      <c r="B13603" t="s">
        <v>3073</v>
      </c>
      <c r="C13603" t="s">
        <v>16751</v>
      </c>
      <c r="D13603" t="s">
        <v>19094</v>
      </c>
      <c r="E13603" t="s">
        <v>20337</v>
      </c>
      <c r="F13603" t="s">
        <v>32831</v>
      </c>
      <c r="G13603" t="s">
        <v>32839</v>
      </c>
      <c r="H13603" t="s">
        <v>32849</v>
      </c>
      <c r="I13603" t="s">
        <v>4177</v>
      </c>
      <c r="J13603" t="s">
        <v>41277</v>
      </c>
      <c r="K13603" t="s">
        <v>42978</v>
      </c>
      <c r="M13603" t="s">
        <v>46352</v>
      </c>
      <c r="N13603" t="s">
        <v>47424</v>
      </c>
      <c r="O13603" t="s">
        <v>47425</v>
      </c>
      <c r="P13603">
        <v>0</v>
      </c>
      <c r="Q13603">
        <v>3</v>
      </c>
      <c r="R13603" t="s">
        <v>47444</v>
      </c>
      <c r="S13603" t="s">
        <v>48135</v>
      </c>
      <c r="T13603" t="s">
        <v>49214</v>
      </c>
      <c r="U13603" t="s">
        <v>60790</v>
      </c>
      <c r="W13603" t="s">
        <v>46352</v>
      </c>
      <c r="X13603" t="s">
        <v>47445</v>
      </c>
    </row>
    <row r="13604" spans="1:24">
      <c r="A13604">
        <f>HYPERLINK("https://www.philgeps.gov.ph/GEPSNONPILOT/Tender/SplashBidNoticeAbstractUI.aspx?menuIndex=3&amp;refID=7130160&amp;Result=3","7130160")</f>
        <v>0</v>
      </c>
      <c r="B13604" t="s">
        <v>3737</v>
      </c>
      <c r="C13604" t="s">
        <v>16752</v>
      </c>
      <c r="D13604" t="s">
        <v>19024</v>
      </c>
      <c r="E13604" t="s">
        <v>22443</v>
      </c>
      <c r="F13604" t="s">
        <v>32831</v>
      </c>
      <c r="G13604" t="s">
        <v>32839</v>
      </c>
      <c r="H13604" t="s">
        <v>32848</v>
      </c>
      <c r="I13604" t="s">
        <v>32853</v>
      </c>
      <c r="J13604" t="s">
        <v>33098</v>
      </c>
      <c r="K13604" t="s">
        <v>42731</v>
      </c>
      <c r="M13604" t="s">
        <v>47133</v>
      </c>
      <c r="N13604" t="s">
        <v>47424</v>
      </c>
      <c r="O13604" t="s">
        <v>47425</v>
      </c>
      <c r="P13604">
        <v>0</v>
      </c>
      <c r="Q13604">
        <v>0</v>
      </c>
      <c r="R13604" t="s">
        <v>47444</v>
      </c>
      <c r="S13604" t="s">
        <v>48135</v>
      </c>
      <c r="T13604" t="s">
        <v>49056</v>
      </c>
      <c r="U13604" t="s">
        <v>60791</v>
      </c>
      <c r="W13604" t="s">
        <v>47133</v>
      </c>
      <c r="X13604" t="s">
        <v>47445</v>
      </c>
    </row>
    <row r="13605" spans="1:24">
      <c r="A13605">
        <f>HYPERLINK("https://www.philgeps.gov.ph/GEPSNONPILOT/Tender/SplashBidNoticeAbstractUI.aspx?menuIndex=3&amp;refID=7130112&amp;Result=3","7130112")</f>
        <v>0</v>
      </c>
      <c r="B13605" t="s">
        <v>3589</v>
      </c>
      <c r="C13605" t="s">
        <v>16753</v>
      </c>
      <c r="D13605" t="s">
        <v>19035</v>
      </c>
      <c r="E13605" t="s">
        <v>30739</v>
      </c>
      <c r="F13605" t="s">
        <v>32831</v>
      </c>
      <c r="G13605" t="s">
        <v>32839</v>
      </c>
      <c r="H13605" t="s">
        <v>32848</v>
      </c>
      <c r="I13605" t="s">
        <v>11484</v>
      </c>
      <c r="J13605" t="s">
        <v>41278</v>
      </c>
      <c r="K13605" t="s">
        <v>42727</v>
      </c>
      <c r="M13605" t="s">
        <v>46953</v>
      </c>
      <c r="N13605" t="s">
        <v>47424</v>
      </c>
      <c r="O13605" t="s">
        <v>47425</v>
      </c>
      <c r="Q13605">
        <v>2</v>
      </c>
      <c r="R13605" t="s">
        <v>47444</v>
      </c>
      <c r="S13605" t="s">
        <v>48172</v>
      </c>
      <c r="T13605" t="s">
        <v>49056</v>
      </c>
      <c r="U13605" t="s">
        <v>60792</v>
      </c>
      <c r="V13605" t="s">
        <v>64028</v>
      </c>
      <c r="W13605" t="s">
        <v>46953</v>
      </c>
      <c r="X13605" t="s">
        <v>47445</v>
      </c>
    </row>
    <row r="13606" spans="1:24">
      <c r="A13606">
        <f>HYPERLINK("https://www.philgeps.gov.ph/GEPSNONPILOT/Tender/SplashBidNoticeAbstractUI.aspx?menuIndex=3&amp;refID=7130183&amp;Result=3","7130183")</f>
        <v>0</v>
      </c>
      <c r="B13606" t="s">
        <v>703</v>
      </c>
      <c r="C13606" t="s">
        <v>16754</v>
      </c>
      <c r="D13606" t="s">
        <v>19077</v>
      </c>
      <c r="E13606" t="s">
        <v>30740</v>
      </c>
      <c r="F13606" t="s">
        <v>32831</v>
      </c>
      <c r="G13606" t="s">
        <v>32839</v>
      </c>
      <c r="H13606" t="s">
        <v>32848</v>
      </c>
      <c r="I13606" t="s">
        <v>32925</v>
      </c>
      <c r="J13606" t="s">
        <v>41279</v>
      </c>
      <c r="K13606" t="s">
        <v>42763</v>
      </c>
      <c r="M13606" t="s">
        <v>44449</v>
      </c>
      <c r="N13606" t="s">
        <v>47424</v>
      </c>
      <c r="O13606" t="s">
        <v>47425</v>
      </c>
      <c r="P13606">
        <v>0</v>
      </c>
      <c r="Q13606">
        <v>6</v>
      </c>
      <c r="R13606" t="s">
        <v>47444</v>
      </c>
      <c r="S13606" t="s">
        <v>48135</v>
      </c>
      <c r="T13606" t="s">
        <v>49087</v>
      </c>
      <c r="U13606" t="s">
        <v>52703</v>
      </c>
      <c r="W13606" t="s">
        <v>44449</v>
      </c>
      <c r="X13606" t="s">
        <v>47445</v>
      </c>
    </row>
    <row r="13607" spans="1:24">
      <c r="A13607">
        <f>HYPERLINK("https://www.philgeps.gov.ph/GEPSNONPILOT/Tender/SplashBidNoticeAbstractUI.aspx?menuIndex=3&amp;refID=7130337&amp;Result=3","7130337")</f>
        <v>0</v>
      </c>
      <c r="B13607" t="s">
        <v>161</v>
      </c>
      <c r="C13607" t="s">
        <v>16755</v>
      </c>
      <c r="D13607" t="s">
        <v>19031</v>
      </c>
      <c r="E13607" t="s">
        <v>30741</v>
      </c>
      <c r="F13607" t="s">
        <v>32831</v>
      </c>
      <c r="G13607" t="s">
        <v>32839</v>
      </c>
      <c r="H13607" t="s">
        <v>32849</v>
      </c>
      <c r="I13607" t="s">
        <v>4177</v>
      </c>
      <c r="J13607" t="s">
        <v>41280</v>
      </c>
      <c r="K13607" t="s">
        <v>42780</v>
      </c>
      <c r="M13607" t="s">
        <v>43158</v>
      </c>
      <c r="N13607" t="s">
        <v>47424</v>
      </c>
      <c r="O13607" t="s">
        <v>47425</v>
      </c>
      <c r="Q13607">
        <v>0</v>
      </c>
      <c r="R13607" t="s">
        <v>47444</v>
      </c>
      <c r="S13607" t="s">
        <v>48173</v>
      </c>
      <c r="T13607" t="s">
        <v>49174</v>
      </c>
      <c r="U13607" t="s">
        <v>60793</v>
      </c>
      <c r="W13607" t="s">
        <v>43158</v>
      </c>
      <c r="X13607" t="s">
        <v>47445</v>
      </c>
    </row>
    <row r="13608" spans="1:24">
      <c r="A13608">
        <f>HYPERLINK("https://www.philgeps.gov.ph/GEPSNONPILOT/Tender/SplashBidNoticeAbstractUI.aspx?menuIndex=3&amp;refID=7130321&amp;Result=3","7130321")</f>
        <v>0</v>
      </c>
      <c r="B13608" t="s">
        <v>3738</v>
      </c>
      <c r="C13608" t="s">
        <v>16756</v>
      </c>
      <c r="D13608" t="s">
        <v>19034</v>
      </c>
      <c r="E13608" t="s">
        <v>30742</v>
      </c>
      <c r="F13608" t="s">
        <v>32831</v>
      </c>
      <c r="G13608" t="s">
        <v>32838</v>
      </c>
      <c r="H13608" t="s">
        <v>32848</v>
      </c>
      <c r="I13608" t="s">
        <v>32867</v>
      </c>
      <c r="J13608" t="s">
        <v>33268</v>
      </c>
      <c r="K13608" t="s">
        <v>42726</v>
      </c>
      <c r="M13608" t="s">
        <v>47134</v>
      </c>
      <c r="N13608" t="s">
        <v>47424</v>
      </c>
      <c r="O13608" t="s">
        <v>47425</v>
      </c>
      <c r="P13608">
        <v>0</v>
      </c>
      <c r="Q13608">
        <v>2</v>
      </c>
      <c r="R13608" t="s">
        <v>47444</v>
      </c>
      <c r="S13608" t="s">
        <v>48135</v>
      </c>
      <c r="T13608" t="s">
        <v>49066</v>
      </c>
      <c r="U13608" t="s">
        <v>60794</v>
      </c>
      <c r="V13608" t="s">
        <v>64156</v>
      </c>
      <c r="W13608" t="s">
        <v>47134</v>
      </c>
      <c r="X13608" t="s">
        <v>47445</v>
      </c>
    </row>
    <row r="13609" spans="1:24">
      <c r="A13609">
        <f>HYPERLINK("https://www.philgeps.gov.ph/GEPSNONPILOT/Tender/SplashBidNoticeAbstractUI.aspx?menuIndex=3&amp;refID=7130136&amp;Result=3","7130136")</f>
        <v>0</v>
      </c>
      <c r="B13609" t="s">
        <v>2310</v>
      </c>
      <c r="C13609" t="s">
        <v>16757</v>
      </c>
      <c r="D13609" t="s">
        <v>19028</v>
      </c>
      <c r="E13609" t="s">
        <v>30743</v>
      </c>
      <c r="F13609" t="s">
        <v>32831</v>
      </c>
      <c r="G13609" t="s">
        <v>32839</v>
      </c>
      <c r="H13609" t="s">
        <v>32849</v>
      </c>
      <c r="I13609" t="s">
        <v>4177</v>
      </c>
      <c r="J13609" t="s">
        <v>33041</v>
      </c>
      <c r="K13609" t="s">
        <v>42730</v>
      </c>
      <c r="M13609" t="s">
        <v>45495</v>
      </c>
      <c r="N13609" t="s">
        <v>47424</v>
      </c>
      <c r="O13609" t="s">
        <v>47425</v>
      </c>
      <c r="P13609">
        <v>0</v>
      </c>
      <c r="Q13609">
        <v>0</v>
      </c>
      <c r="R13609" t="s">
        <v>47444</v>
      </c>
      <c r="S13609" t="s">
        <v>48135</v>
      </c>
      <c r="T13609" t="s">
        <v>49166</v>
      </c>
      <c r="U13609" t="s">
        <v>55097</v>
      </c>
      <c r="W13609" t="s">
        <v>45495</v>
      </c>
      <c r="X13609" t="s">
        <v>47445</v>
      </c>
    </row>
    <row r="13610" spans="1:24">
      <c r="A13610">
        <f>HYPERLINK("https://www.philgeps.gov.ph/GEPSNONPILOT/Tender/SplashBidNoticeAbstractUI.aspx?menuIndex=3&amp;refID=7130319&amp;Result=3","7130319")</f>
        <v>0</v>
      </c>
      <c r="B13610" t="s">
        <v>2310</v>
      </c>
      <c r="C13610" t="s">
        <v>16758</v>
      </c>
      <c r="D13610" t="s">
        <v>19028</v>
      </c>
      <c r="E13610" t="s">
        <v>30744</v>
      </c>
      <c r="F13610" t="s">
        <v>32831</v>
      </c>
      <c r="G13610" t="s">
        <v>32839</v>
      </c>
      <c r="H13610" t="s">
        <v>32849</v>
      </c>
      <c r="I13610" t="s">
        <v>4177</v>
      </c>
      <c r="J13610" t="s">
        <v>33087</v>
      </c>
      <c r="K13610" t="s">
        <v>42730</v>
      </c>
      <c r="M13610" t="s">
        <v>45495</v>
      </c>
      <c r="N13610" t="s">
        <v>47424</v>
      </c>
      <c r="O13610" t="s">
        <v>47425</v>
      </c>
      <c r="P13610">
        <v>0</v>
      </c>
      <c r="Q13610">
        <v>0</v>
      </c>
      <c r="R13610" t="s">
        <v>47444</v>
      </c>
      <c r="S13610" t="s">
        <v>48135</v>
      </c>
      <c r="T13610" t="s">
        <v>49166</v>
      </c>
      <c r="U13610" t="s">
        <v>55097</v>
      </c>
      <c r="W13610" t="s">
        <v>45495</v>
      </c>
      <c r="X13610" t="s">
        <v>47445</v>
      </c>
    </row>
    <row r="13611" spans="1:24">
      <c r="A13611">
        <f>HYPERLINK("https://www.philgeps.gov.ph/GEPSNONPILOT/Tender/SplashBidNoticeAbstractUI.aspx?menuIndex=3&amp;refID=7129093&amp;Result=3","7129093")</f>
        <v>0</v>
      </c>
      <c r="B13611" t="s">
        <v>75</v>
      </c>
      <c r="C13611" t="s">
        <v>16759</v>
      </c>
      <c r="D13611" t="s">
        <v>19046</v>
      </c>
      <c r="E13611" t="s">
        <v>30745</v>
      </c>
      <c r="F13611" t="s">
        <v>32831</v>
      </c>
      <c r="G13611" t="s">
        <v>32839</v>
      </c>
      <c r="H13611" t="s">
        <v>32848</v>
      </c>
      <c r="I13611" t="s">
        <v>4558</v>
      </c>
      <c r="J13611" t="s">
        <v>41281</v>
      </c>
      <c r="K13611" t="s">
        <v>42732</v>
      </c>
      <c r="M13611" t="s">
        <v>43072</v>
      </c>
      <c r="N13611" t="s">
        <v>47424</v>
      </c>
      <c r="O13611" t="s">
        <v>47425</v>
      </c>
      <c r="P13611">
        <v>0</v>
      </c>
      <c r="Q13611">
        <v>6</v>
      </c>
      <c r="R13611" t="s">
        <v>47444</v>
      </c>
      <c r="S13611" t="s">
        <v>48135</v>
      </c>
      <c r="T13611" t="s">
        <v>49127</v>
      </c>
      <c r="U13611" t="s">
        <v>60795</v>
      </c>
      <c r="W13611" t="s">
        <v>43072</v>
      </c>
      <c r="X13611" t="s">
        <v>47446</v>
      </c>
    </row>
    <row r="13612" spans="1:24">
      <c r="A13612">
        <f>HYPERLINK("https://www.philgeps.gov.ph/GEPSNONPILOT/Tender/SplashBidNoticeAbstractUI.aspx?menuIndex=3&amp;refID=7130299&amp;Result=3","7130299")</f>
        <v>0</v>
      </c>
      <c r="B13612" t="s">
        <v>768</v>
      </c>
      <c r="C13612" t="s">
        <v>16760</v>
      </c>
      <c r="D13612" t="s">
        <v>19091</v>
      </c>
      <c r="E13612" t="s">
        <v>30746</v>
      </c>
      <c r="F13612" t="s">
        <v>32831</v>
      </c>
      <c r="G13612" t="s">
        <v>32839</v>
      </c>
      <c r="H13612" t="s">
        <v>32848</v>
      </c>
      <c r="I13612" t="s">
        <v>7751</v>
      </c>
      <c r="J13612" t="s">
        <v>33108</v>
      </c>
      <c r="K13612" t="s">
        <v>42747</v>
      </c>
      <c r="M13612" t="s">
        <v>43797</v>
      </c>
      <c r="N13612" t="s">
        <v>47424</v>
      </c>
      <c r="O13612" t="s">
        <v>47425</v>
      </c>
      <c r="P13612">
        <v>0</v>
      </c>
      <c r="Q13612">
        <v>3</v>
      </c>
      <c r="R13612" t="s">
        <v>47444</v>
      </c>
      <c r="S13612" t="s">
        <v>48135</v>
      </c>
      <c r="T13612" t="s">
        <v>49162</v>
      </c>
      <c r="U13612" t="s">
        <v>60796</v>
      </c>
      <c r="W13612" t="s">
        <v>43797</v>
      </c>
      <c r="X13612" t="s">
        <v>47445</v>
      </c>
    </row>
    <row r="13613" spans="1:24">
      <c r="A13613">
        <f>HYPERLINK("https://www.philgeps.gov.ph/GEPSNONPILOT/Tender/SplashBidNoticeAbstractUI.aspx?menuIndex=3&amp;refID=7130154&amp;Result=3","7130154")</f>
        <v>0</v>
      </c>
      <c r="B13613" t="s">
        <v>895</v>
      </c>
      <c r="C13613" t="s">
        <v>16761</v>
      </c>
      <c r="D13613" t="s">
        <v>19036</v>
      </c>
      <c r="E13613" t="s">
        <v>30747</v>
      </c>
      <c r="F13613" t="s">
        <v>32831</v>
      </c>
      <c r="G13613" t="s">
        <v>32839</v>
      </c>
      <c r="H13613" t="s">
        <v>32849</v>
      </c>
      <c r="I13613" t="s">
        <v>4177</v>
      </c>
      <c r="J13613" t="s">
        <v>41282</v>
      </c>
      <c r="K13613" t="s">
        <v>42811</v>
      </c>
      <c r="M13613" t="s">
        <v>47131</v>
      </c>
      <c r="N13613" t="s">
        <v>47424</v>
      </c>
      <c r="O13613" t="s">
        <v>47425</v>
      </c>
      <c r="P13613">
        <v>0</v>
      </c>
      <c r="Q13613">
        <v>0</v>
      </c>
      <c r="R13613" t="s">
        <v>47444</v>
      </c>
      <c r="S13613" t="s">
        <v>48135</v>
      </c>
      <c r="T13613" t="s">
        <v>49239</v>
      </c>
      <c r="U13613" t="s">
        <v>60797</v>
      </c>
      <c r="V13613" t="s">
        <v>64157</v>
      </c>
      <c r="W13613" t="s">
        <v>47131</v>
      </c>
      <c r="X13613" t="s">
        <v>47445</v>
      </c>
    </row>
    <row r="13614" spans="1:24">
      <c r="A13614">
        <f>HYPERLINK("https://www.philgeps.gov.ph/GEPSNONPILOT/Tender/SplashBidNoticeAbstractUI.aspx?menuIndex=3&amp;refID=7130336&amp;Result=3","7130336")</f>
        <v>0</v>
      </c>
      <c r="B13614" t="s">
        <v>2310</v>
      </c>
      <c r="C13614" t="s">
        <v>16762</v>
      </c>
      <c r="D13614" t="s">
        <v>19028</v>
      </c>
      <c r="E13614" t="s">
        <v>30748</v>
      </c>
      <c r="F13614" t="s">
        <v>32831</v>
      </c>
      <c r="G13614" t="s">
        <v>32839</v>
      </c>
      <c r="H13614" t="s">
        <v>32849</v>
      </c>
      <c r="I13614" t="s">
        <v>4177</v>
      </c>
      <c r="J13614" t="s">
        <v>33644</v>
      </c>
      <c r="K13614" t="s">
        <v>42773</v>
      </c>
      <c r="M13614" t="s">
        <v>45495</v>
      </c>
      <c r="N13614" t="s">
        <v>47424</v>
      </c>
      <c r="O13614" t="s">
        <v>47425</v>
      </c>
      <c r="P13614">
        <v>0</v>
      </c>
      <c r="Q13614">
        <v>0</v>
      </c>
      <c r="R13614" t="s">
        <v>47444</v>
      </c>
      <c r="S13614" t="s">
        <v>48135</v>
      </c>
      <c r="T13614" t="s">
        <v>49166</v>
      </c>
      <c r="U13614" t="s">
        <v>55097</v>
      </c>
      <c r="W13614" t="s">
        <v>45495</v>
      </c>
      <c r="X13614" t="s">
        <v>47445</v>
      </c>
    </row>
    <row r="13615" spans="1:24">
      <c r="A13615">
        <f>HYPERLINK("https://www.philgeps.gov.ph/GEPSNONPILOT/Tender/SplashBidNoticeAbstractUI.aspx?menuIndex=3&amp;refID=7130290&amp;Result=3","7130290")</f>
        <v>0</v>
      </c>
      <c r="B13615" t="s">
        <v>2310</v>
      </c>
      <c r="C13615" t="s">
        <v>16763</v>
      </c>
      <c r="D13615" t="s">
        <v>19028</v>
      </c>
      <c r="E13615" t="s">
        <v>30749</v>
      </c>
      <c r="F13615" t="s">
        <v>32831</v>
      </c>
      <c r="G13615" t="s">
        <v>32839</v>
      </c>
      <c r="H13615" t="s">
        <v>32849</v>
      </c>
      <c r="I13615" t="s">
        <v>4177</v>
      </c>
      <c r="J13615" t="s">
        <v>33279</v>
      </c>
      <c r="K13615" t="s">
        <v>42730</v>
      </c>
      <c r="M13615" t="s">
        <v>45495</v>
      </c>
      <c r="N13615" t="s">
        <v>47424</v>
      </c>
      <c r="O13615" t="s">
        <v>47425</v>
      </c>
      <c r="P13615">
        <v>0</v>
      </c>
      <c r="Q13615">
        <v>0</v>
      </c>
      <c r="R13615" t="s">
        <v>47444</v>
      </c>
      <c r="S13615" t="s">
        <v>48135</v>
      </c>
      <c r="T13615" t="s">
        <v>49166</v>
      </c>
      <c r="U13615" t="s">
        <v>55097</v>
      </c>
      <c r="W13615" t="s">
        <v>45495</v>
      </c>
      <c r="X13615" t="s">
        <v>47445</v>
      </c>
    </row>
    <row r="13616" spans="1:24">
      <c r="A13616">
        <f>HYPERLINK("https://www.philgeps.gov.ph/GEPSNONPILOT/Tender/SplashBidNoticeAbstractUI.aspx?menuIndex=3&amp;refID=7130269&amp;Result=3","7130269")</f>
        <v>0</v>
      </c>
      <c r="B13616" t="s">
        <v>2310</v>
      </c>
      <c r="C13616" t="s">
        <v>16764</v>
      </c>
      <c r="D13616" t="s">
        <v>19028</v>
      </c>
      <c r="E13616" t="s">
        <v>30750</v>
      </c>
      <c r="F13616" t="s">
        <v>32831</v>
      </c>
      <c r="G13616" t="s">
        <v>32839</v>
      </c>
      <c r="H13616" t="s">
        <v>32849</v>
      </c>
      <c r="I13616" t="s">
        <v>4177</v>
      </c>
      <c r="J13616" t="s">
        <v>33087</v>
      </c>
      <c r="K13616" t="s">
        <v>42773</v>
      </c>
      <c r="M13616" t="s">
        <v>45495</v>
      </c>
      <c r="N13616" t="s">
        <v>47424</v>
      </c>
      <c r="O13616" t="s">
        <v>47425</v>
      </c>
      <c r="P13616">
        <v>0</v>
      </c>
      <c r="Q13616">
        <v>0</v>
      </c>
      <c r="R13616" t="s">
        <v>47444</v>
      </c>
      <c r="S13616" t="s">
        <v>48135</v>
      </c>
      <c r="T13616" t="s">
        <v>49166</v>
      </c>
      <c r="U13616" t="s">
        <v>55097</v>
      </c>
      <c r="W13616" t="s">
        <v>45495</v>
      </c>
      <c r="X13616" t="s">
        <v>47445</v>
      </c>
    </row>
    <row r="13617" spans="1:24">
      <c r="A13617">
        <f>HYPERLINK("https://www.philgeps.gov.ph/GEPSNONPILOT/Tender/SplashBidNoticeAbstractUI.aspx?menuIndex=3&amp;refID=7130306&amp;Result=3","7130306")</f>
        <v>0</v>
      </c>
      <c r="B13617" t="s">
        <v>2310</v>
      </c>
      <c r="C13617" t="s">
        <v>16765</v>
      </c>
      <c r="D13617" t="s">
        <v>19028</v>
      </c>
      <c r="E13617" t="s">
        <v>30751</v>
      </c>
      <c r="F13617" t="s">
        <v>32831</v>
      </c>
      <c r="G13617" t="s">
        <v>32839</v>
      </c>
      <c r="H13617" t="s">
        <v>32849</v>
      </c>
      <c r="I13617" t="s">
        <v>4177</v>
      </c>
      <c r="J13617" t="s">
        <v>33087</v>
      </c>
      <c r="K13617" t="s">
        <v>42730</v>
      </c>
      <c r="M13617" t="s">
        <v>45495</v>
      </c>
      <c r="N13617" t="s">
        <v>47424</v>
      </c>
      <c r="O13617" t="s">
        <v>47425</v>
      </c>
      <c r="P13617">
        <v>0</v>
      </c>
      <c r="Q13617">
        <v>0</v>
      </c>
      <c r="R13617" t="s">
        <v>47444</v>
      </c>
      <c r="S13617" t="s">
        <v>48135</v>
      </c>
      <c r="T13617" t="s">
        <v>49166</v>
      </c>
      <c r="U13617" t="s">
        <v>55097</v>
      </c>
      <c r="W13617" t="s">
        <v>45495</v>
      </c>
      <c r="X13617" t="s">
        <v>47445</v>
      </c>
    </row>
    <row r="13618" spans="1:24">
      <c r="A13618">
        <f>HYPERLINK("https://www.philgeps.gov.ph/GEPSNONPILOT/Tender/SplashBidNoticeAbstractUI.aspx?menuIndex=3&amp;refID=7130258&amp;Result=3","7130258")</f>
        <v>0</v>
      </c>
      <c r="B13618" t="s">
        <v>2310</v>
      </c>
      <c r="C13618" t="s">
        <v>16766</v>
      </c>
      <c r="D13618" t="s">
        <v>19028</v>
      </c>
      <c r="E13618" t="s">
        <v>30752</v>
      </c>
      <c r="F13618" t="s">
        <v>32831</v>
      </c>
      <c r="G13618" t="s">
        <v>32839</v>
      </c>
      <c r="H13618" t="s">
        <v>32849</v>
      </c>
      <c r="I13618" t="s">
        <v>4177</v>
      </c>
      <c r="J13618" t="s">
        <v>32978</v>
      </c>
      <c r="K13618" t="s">
        <v>42747</v>
      </c>
      <c r="M13618" t="s">
        <v>45495</v>
      </c>
      <c r="N13618" t="s">
        <v>47424</v>
      </c>
      <c r="O13618" t="s">
        <v>47425</v>
      </c>
      <c r="P13618">
        <v>0</v>
      </c>
      <c r="Q13618">
        <v>0</v>
      </c>
      <c r="R13618" t="s">
        <v>47444</v>
      </c>
      <c r="S13618" t="s">
        <v>48135</v>
      </c>
      <c r="T13618" t="s">
        <v>49166</v>
      </c>
      <c r="U13618" t="s">
        <v>55097</v>
      </c>
      <c r="W13618" t="s">
        <v>45495</v>
      </c>
      <c r="X13618" t="s">
        <v>47445</v>
      </c>
    </row>
    <row r="13619" spans="1:24">
      <c r="A13619">
        <f>HYPERLINK("https://www.philgeps.gov.ph/GEPSNONPILOT/Tender/SplashBidNoticeAbstractUI.aspx?menuIndex=3&amp;refID=7130309&amp;Result=3","7130309")</f>
        <v>0</v>
      </c>
      <c r="B13619" t="s">
        <v>535</v>
      </c>
      <c r="C13619" t="s">
        <v>16767</v>
      </c>
      <c r="D13619" t="s">
        <v>19019</v>
      </c>
      <c r="E13619" t="s">
        <v>30753</v>
      </c>
      <c r="F13619" t="s">
        <v>32831</v>
      </c>
      <c r="G13619" t="s">
        <v>32839</v>
      </c>
      <c r="H13619" t="s">
        <v>32849</v>
      </c>
      <c r="I13619" t="s">
        <v>4177</v>
      </c>
      <c r="J13619" t="s">
        <v>41283</v>
      </c>
      <c r="K13619" t="s">
        <v>42732</v>
      </c>
      <c r="M13619" t="s">
        <v>43541</v>
      </c>
      <c r="N13619" t="s">
        <v>47424</v>
      </c>
      <c r="O13619" t="s">
        <v>47425</v>
      </c>
      <c r="P13619">
        <v>0</v>
      </c>
      <c r="Q13619">
        <v>0</v>
      </c>
      <c r="R13619" t="s">
        <v>47444</v>
      </c>
      <c r="S13619" t="s">
        <v>48135</v>
      </c>
      <c r="T13619" t="s">
        <v>49214</v>
      </c>
      <c r="U13619" t="s">
        <v>60798</v>
      </c>
      <c r="W13619" t="s">
        <v>43541</v>
      </c>
      <c r="X13619" t="s">
        <v>47445</v>
      </c>
    </row>
    <row r="13620" spans="1:24">
      <c r="A13620">
        <f>HYPERLINK("https://www.philgeps.gov.ph/GEPSNONPILOT/Tender/SplashBidNoticeAbstractUI.aspx?menuIndex=3&amp;refID=7130148&amp;Result=3","7130148")</f>
        <v>0</v>
      </c>
      <c r="B13620" t="s">
        <v>2310</v>
      </c>
      <c r="C13620" t="s">
        <v>16768</v>
      </c>
      <c r="D13620" t="s">
        <v>19028</v>
      </c>
      <c r="E13620" t="s">
        <v>30754</v>
      </c>
      <c r="F13620" t="s">
        <v>32831</v>
      </c>
      <c r="G13620" t="s">
        <v>32839</v>
      </c>
      <c r="H13620" t="s">
        <v>32849</v>
      </c>
      <c r="I13620" t="s">
        <v>4177</v>
      </c>
      <c r="J13620" t="s">
        <v>33087</v>
      </c>
      <c r="K13620" t="s">
        <v>42730</v>
      </c>
      <c r="M13620" t="s">
        <v>45495</v>
      </c>
      <c r="N13620" t="s">
        <v>47424</v>
      </c>
      <c r="O13620" t="s">
        <v>47425</v>
      </c>
      <c r="P13620">
        <v>0</v>
      </c>
      <c r="Q13620">
        <v>0</v>
      </c>
      <c r="R13620" t="s">
        <v>47444</v>
      </c>
      <c r="S13620" t="s">
        <v>48135</v>
      </c>
      <c r="T13620" t="s">
        <v>49166</v>
      </c>
      <c r="U13620" t="s">
        <v>55097</v>
      </c>
      <c r="W13620" t="s">
        <v>45495</v>
      </c>
      <c r="X13620" t="s">
        <v>47445</v>
      </c>
    </row>
    <row r="13621" spans="1:24">
      <c r="A13621">
        <f>HYPERLINK("https://www.philgeps.gov.ph/GEPSNONPILOT/Tender/SplashBidNoticeAbstractUI.aspx?menuIndex=3&amp;refID=7130241&amp;Result=3","7130241")</f>
        <v>0</v>
      </c>
      <c r="B13621" t="s">
        <v>703</v>
      </c>
      <c r="C13621" t="s">
        <v>16769</v>
      </c>
      <c r="D13621" t="s">
        <v>19077</v>
      </c>
      <c r="E13621" t="s">
        <v>30755</v>
      </c>
      <c r="F13621" t="s">
        <v>32831</v>
      </c>
      <c r="G13621" t="s">
        <v>32839</v>
      </c>
      <c r="H13621" t="s">
        <v>32848</v>
      </c>
      <c r="I13621" t="s">
        <v>32925</v>
      </c>
      <c r="J13621" t="s">
        <v>34534</v>
      </c>
      <c r="K13621" t="s">
        <v>42763</v>
      </c>
      <c r="M13621" t="s">
        <v>44449</v>
      </c>
      <c r="N13621" t="s">
        <v>47424</v>
      </c>
      <c r="O13621" t="s">
        <v>47425</v>
      </c>
      <c r="P13621">
        <v>0</v>
      </c>
      <c r="Q13621">
        <v>3</v>
      </c>
      <c r="R13621" t="s">
        <v>47444</v>
      </c>
      <c r="S13621" t="s">
        <v>48135</v>
      </c>
      <c r="T13621" t="s">
        <v>49087</v>
      </c>
      <c r="U13621" t="s">
        <v>52703</v>
      </c>
      <c r="W13621" t="s">
        <v>44449</v>
      </c>
      <c r="X13621" t="s">
        <v>47445</v>
      </c>
    </row>
    <row r="13622" spans="1:24">
      <c r="A13622">
        <f>HYPERLINK("https://www.philgeps.gov.ph/GEPSNONPILOT/Tender/SplashBidNoticeAbstractUI.aspx?menuIndex=3&amp;refID=7130289&amp;Result=3","7130289")</f>
        <v>0</v>
      </c>
      <c r="B13622" t="s">
        <v>535</v>
      </c>
      <c r="C13622" t="s">
        <v>16770</v>
      </c>
      <c r="D13622" t="s">
        <v>19019</v>
      </c>
      <c r="E13622" t="s">
        <v>30756</v>
      </c>
      <c r="F13622" t="s">
        <v>32831</v>
      </c>
      <c r="G13622" t="s">
        <v>32839</v>
      </c>
      <c r="H13622" t="s">
        <v>32849</v>
      </c>
      <c r="I13622" t="s">
        <v>4177</v>
      </c>
      <c r="J13622" t="s">
        <v>41284</v>
      </c>
      <c r="K13622" t="s">
        <v>42732</v>
      </c>
      <c r="M13622" t="s">
        <v>43541</v>
      </c>
      <c r="N13622" t="s">
        <v>47424</v>
      </c>
      <c r="O13622" t="s">
        <v>47425</v>
      </c>
      <c r="P13622">
        <v>0</v>
      </c>
      <c r="Q13622">
        <v>1</v>
      </c>
      <c r="R13622" t="s">
        <v>47444</v>
      </c>
      <c r="S13622" t="s">
        <v>48135</v>
      </c>
      <c r="T13622" t="s">
        <v>49214</v>
      </c>
      <c r="U13622" t="s">
        <v>60799</v>
      </c>
      <c r="W13622" t="s">
        <v>43541</v>
      </c>
      <c r="X13622" t="s">
        <v>47445</v>
      </c>
    </row>
    <row r="13623" spans="1:24">
      <c r="A13623">
        <f>HYPERLINK("https://www.philgeps.gov.ph/GEPSNONPILOT/Tender/SplashBidNoticeAbstractUI.aspx?menuIndex=3&amp;refID=7130256&amp;Result=3","7130256")</f>
        <v>0</v>
      </c>
      <c r="B13623" t="s">
        <v>895</v>
      </c>
      <c r="C13623" t="s">
        <v>16771</v>
      </c>
      <c r="D13623" t="s">
        <v>19036</v>
      </c>
      <c r="E13623" t="s">
        <v>30757</v>
      </c>
      <c r="F13623" t="s">
        <v>32831</v>
      </c>
      <c r="G13623" t="s">
        <v>32839</v>
      </c>
      <c r="H13623" t="s">
        <v>32849</v>
      </c>
      <c r="I13623" t="s">
        <v>4177</v>
      </c>
      <c r="J13623" t="s">
        <v>41285</v>
      </c>
      <c r="K13623" t="s">
        <v>42820</v>
      </c>
      <c r="M13623" t="s">
        <v>47131</v>
      </c>
      <c r="N13623" t="s">
        <v>47424</v>
      </c>
      <c r="O13623" t="s">
        <v>47425</v>
      </c>
      <c r="P13623">
        <v>0</v>
      </c>
      <c r="Q13623">
        <v>0</v>
      </c>
      <c r="R13623" t="s">
        <v>47444</v>
      </c>
      <c r="S13623" t="s">
        <v>48135</v>
      </c>
      <c r="T13623" t="s">
        <v>49239</v>
      </c>
      <c r="U13623" t="s">
        <v>60800</v>
      </c>
      <c r="V13623" t="s">
        <v>64158</v>
      </c>
      <c r="W13623" t="s">
        <v>47131</v>
      </c>
      <c r="X13623" t="s">
        <v>47445</v>
      </c>
    </row>
    <row r="13624" spans="1:24">
      <c r="A13624">
        <f>HYPERLINK("https://www.philgeps.gov.ph/GEPSNONPILOT/Tender/SplashBidNoticeAbstractUI.aspx?menuIndex=3&amp;refID=7130250&amp;Result=3","7130250")</f>
        <v>0</v>
      </c>
      <c r="B13624" t="s">
        <v>2310</v>
      </c>
      <c r="C13624" t="s">
        <v>16772</v>
      </c>
      <c r="D13624" t="s">
        <v>19028</v>
      </c>
      <c r="E13624" t="s">
        <v>30758</v>
      </c>
      <c r="F13624" t="s">
        <v>32831</v>
      </c>
      <c r="G13624" t="s">
        <v>32839</v>
      </c>
      <c r="H13624" t="s">
        <v>32849</v>
      </c>
      <c r="I13624" t="s">
        <v>4177</v>
      </c>
      <c r="J13624" t="s">
        <v>33087</v>
      </c>
      <c r="K13624" t="s">
        <v>42730</v>
      </c>
      <c r="M13624" t="s">
        <v>45495</v>
      </c>
      <c r="N13624" t="s">
        <v>47424</v>
      </c>
      <c r="O13624" t="s">
        <v>47425</v>
      </c>
      <c r="P13624">
        <v>0</v>
      </c>
      <c r="Q13624">
        <v>0</v>
      </c>
      <c r="R13624" t="s">
        <v>47444</v>
      </c>
      <c r="S13624" t="s">
        <v>48135</v>
      </c>
      <c r="T13624" t="s">
        <v>49166</v>
      </c>
      <c r="U13624" t="s">
        <v>55097</v>
      </c>
      <c r="W13624" t="s">
        <v>45495</v>
      </c>
      <c r="X13624" t="s">
        <v>47445</v>
      </c>
    </row>
    <row r="13625" spans="1:24">
      <c r="A13625">
        <f>HYPERLINK("https://www.philgeps.gov.ph/GEPSNONPILOT/Tender/SplashBidNoticeAbstractUI.aspx?menuIndex=3&amp;refID=7130338&amp;Result=3","7130338")</f>
        <v>0</v>
      </c>
      <c r="B13625" t="s">
        <v>3739</v>
      </c>
      <c r="C13625" t="s">
        <v>16773</v>
      </c>
      <c r="D13625" t="s">
        <v>19045</v>
      </c>
      <c r="E13625" t="s">
        <v>30759</v>
      </c>
      <c r="F13625" t="s">
        <v>32831</v>
      </c>
      <c r="G13625" t="s">
        <v>32839</v>
      </c>
      <c r="H13625" t="s">
        <v>32849</v>
      </c>
      <c r="I13625" t="s">
        <v>4177</v>
      </c>
      <c r="J13625" t="s">
        <v>33118</v>
      </c>
      <c r="K13625" t="s">
        <v>42729</v>
      </c>
      <c r="M13625" t="s">
        <v>47135</v>
      </c>
      <c r="N13625" t="s">
        <v>47424</v>
      </c>
      <c r="O13625" t="s">
        <v>47425</v>
      </c>
      <c r="P13625">
        <v>0</v>
      </c>
      <c r="Q13625">
        <v>1</v>
      </c>
      <c r="R13625" t="s">
        <v>47444</v>
      </c>
      <c r="S13625" t="s">
        <v>48135</v>
      </c>
      <c r="T13625" t="s">
        <v>49108</v>
      </c>
      <c r="U13625" t="s">
        <v>60801</v>
      </c>
      <c r="V13625" t="s">
        <v>62846</v>
      </c>
      <c r="W13625" t="s">
        <v>47135</v>
      </c>
      <c r="X13625" t="s">
        <v>47445</v>
      </c>
    </row>
    <row r="13626" spans="1:24">
      <c r="A13626">
        <f>HYPERLINK("https://www.philgeps.gov.ph/GEPSNONPILOT/Tender/SplashBidNoticeAbstractUI.aspx?menuIndex=3&amp;refID=7130236&amp;Result=3","7130236")</f>
        <v>0</v>
      </c>
      <c r="B13626" t="s">
        <v>2310</v>
      </c>
      <c r="C13626" t="s">
        <v>16774</v>
      </c>
      <c r="D13626" t="s">
        <v>19028</v>
      </c>
      <c r="E13626" t="s">
        <v>30760</v>
      </c>
      <c r="F13626" t="s">
        <v>32831</v>
      </c>
      <c r="G13626" t="s">
        <v>32839</v>
      </c>
      <c r="H13626" t="s">
        <v>32849</v>
      </c>
      <c r="I13626" t="s">
        <v>4177</v>
      </c>
      <c r="J13626" t="s">
        <v>32978</v>
      </c>
      <c r="K13626" t="s">
        <v>42730</v>
      </c>
      <c r="M13626" t="s">
        <v>45495</v>
      </c>
      <c r="N13626" t="s">
        <v>47424</v>
      </c>
      <c r="O13626" t="s">
        <v>47425</v>
      </c>
      <c r="P13626">
        <v>0</v>
      </c>
      <c r="Q13626">
        <v>0</v>
      </c>
      <c r="R13626" t="s">
        <v>47444</v>
      </c>
      <c r="S13626" t="s">
        <v>48135</v>
      </c>
      <c r="T13626" t="s">
        <v>49166</v>
      </c>
      <c r="U13626" t="s">
        <v>55097</v>
      </c>
      <c r="W13626" t="s">
        <v>45495</v>
      </c>
      <c r="X13626" t="s">
        <v>47445</v>
      </c>
    </row>
    <row r="13627" spans="1:24">
      <c r="A13627">
        <f>HYPERLINK("https://www.philgeps.gov.ph/GEPSNONPILOT/Tender/SplashBidNoticeAbstractUI.aspx?menuIndex=3&amp;refID=7130432&amp;Result=3","7130432")</f>
        <v>0</v>
      </c>
      <c r="B13627" t="s">
        <v>693</v>
      </c>
      <c r="C13627" t="s">
        <v>16775</v>
      </c>
      <c r="D13627" t="s">
        <v>19073</v>
      </c>
      <c r="E13627" t="s">
        <v>30761</v>
      </c>
      <c r="F13627" t="s">
        <v>32831</v>
      </c>
      <c r="G13627" t="s">
        <v>32839</v>
      </c>
      <c r="H13627" t="s">
        <v>32848</v>
      </c>
      <c r="I13627" t="s">
        <v>32870</v>
      </c>
      <c r="J13627" t="s">
        <v>41286</v>
      </c>
      <c r="K13627" t="s">
        <v>42731</v>
      </c>
      <c r="M13627" t="s">
        <v>44145</v>
      </c>
      <c r="N13627" t="s">
        <v>47424</v>
      </c>
      <c r="O13627" t="s">
        <v>47425</v>
      </c>
      <c r="P13627">
        <v>0</v>
      </c>
      <c r="Q13627">
        <v>0</v>
      </c>
      <c r="R13627" t="s">
        <v>47444</v>
      </c>
      <c r="S13627" t="s">
        <v>48135</v>
      </c>
      <c r="T13627" t="s">
        <v>49080</v>
      </c>
      <c r="U13627" t="s">
        <v>53968</v>
      </c>
      <c r="V13627" t="s">
        <v>63187</v>
      </c>
      <c r="W13627" t="s">
        <v>64457</v>
      </c>
      <c r="X13627" t="s">
        <v>47445</v>
      </c>
    </row>
    <row r="13628" spans="1:24">
      <c r="A13628">
        <f>HYPERLINK("https://www.philgeps.gov.ph/GEPSNONPILOT/Tender/SplashBidNoticeAbstractUI.aspx?menuIndex=3&amp;refID=7130251&amp;Result=3","7130251")</f>
        <v>0</v>
      </c>
      <c r="B13628" t="s">
        <v>535</v>
      </c>
      <c r="C13628" t="s">
        <v>16776</v>
      </c>
      <c r="D13628" t="s">
        <v>19019</v>
      </c>
      <c r="E13628" t="s">
        <v>30762</v>
      </c>
      <c r="F13628" t="s">
        <v>32831</v>
      </c>
      <c r="G13628" t="s">
        <v>32839</v>
      </c>
      <c r="H13628" t="s">
        <v>32849</v>
      </c>
      <c r="I13628" t="s">
        <v>4177</v>
      </c>
      <c r="J13628" t="s">
        <v>41287</v>
      </c>
      <c r="K13628" t="s">
        <v>42732</v>
      </c>
      <c r="M13628" t="s">
        <v>43541</v>
      </c>
      <c r="N13628" t="s">
        <v>47424</v>
      </c>
      <c r="O13628" t="s">
        <v>47425</v>
      </c>
      <c r="P13628">
        <v>0</v>
      </c>
      <c r="Q13628">
        <v>0</v>
      </c>
      <c r="R13628" t="s">
        <v>47444</v>
      </c>
      <c r="S13628" t="s">
        <v>48135</v>
      </c>
      <c r="T13628" t="s">
        <v>49214</v>
      </c>
      <c r="U13628" t="s">
        <v>60802</v>
      </c>
      <c r="W13628" t="s">
        <v>43541</v>
      </c>
      <c r="X13628" t="s">
        <v>47445</v>
      </c>
    </row>
    <row r="13629" spans="1:24">
      <c r="A13629">
        <f>HYPERLINK("https://www.philgeps.gov.ph/GEPSNONPILOT/Tender/SplashBidNoticeAbstractUI.aspx?menuIndex=3&amp;refID=7130230&amp;Result=3","7130230")</f>
        <v>0</v>
      </c>
      <c r="B13629" t="s">
        <v>3332</v>
      </c>
      <c r="C13629" t="s">
        <v>16777</v>
      </c>
      <c r="D13629" t="s">
        <v>19017</v>
      </c>
      <c r="E13629" t="s">
        <v>30763</v>
      </c>
      <c r="F13629" t="s">
        <v>32831</v>
      </c>
      <c r="G13629" t="s">
        <v>32840</v>
      </c>
      <c r="H13629" t="s">
        <v>32848</v>
      </c>
      <c r="I13629" t="s">
        <v>32874</v>
      </c>
      <c r="J13629" t="s">
        <v>41288</v>
      </c>
      <c r="K13629" t="s">
        <v>42732</v>
      </c>
      <c r="M13629" t="s">
        <v>47136</v>
      </c>
      <c r="N13629" t="s">
        <v>47424</v>
      </c>
      <c r="O13629" t="s">
        <v>47425</v>
      </c>
      <c r="Q13629">
        <v>10</v>
      </c>
      <c r="R13629" t="s">
        <v>47444</v>
      </c>
      <c r="S13629" t="s">
        <v>47829</v>
      </c>
      <c r="T13629" t="s">
        <v>49089</v>
      </c>
      <c r="U13629" t="s">
        <v>60803</v>
      </c>
      <c r="V13629" t="s">
        <v>64159</v>
      </c>
      <c r="W13629" t="s">
        <v>47136</v>
      </c>
      <c r="X13629" t="s">
        <v>47445</v>
      </c>
    </row>
    <row r="13630" spans="1:24">
      <c r="A13630">
        <f>HYPERLINK("https://www.philgeps.gov.ph/GEPSNONPILOT/Tender/SplashBidNoticeAbstractUI.aspx?menuIndex=3&amp;refID=7130484&amp;Result=3","7130484")</f>
        <v>0</v>
      </c>
      <c r="B13630" t="s">
        <v>3740</v>
      </c>
      <c r="C13630" t="s">
        <v>16778</v>
      </c>
      <c r="D13630" t="s">
        <v>19053</v>
      </c>
      <c r="E13630" t="s">
        <v>30764</v>
      </c>
      <c r="F13630" t="s">
        <v>32831</v>
      </c>
      <c r="G13630" t="s">
        <v>32839</v>
      </c>
      <c r="H13630" t="s">
        <v>32849</v>
      </c>
      <c r="I13630" t="s">
        <v>4177</v>
      </c>
      <c r="J13630" t="s">
        <v>33528</v>
      </c>
      <c r="K13630" t="s">
        <v>42770</v>
      </c>
      <c r="M13630" t="s">
        <v>47137</v>
      </c>
      <c r="N13630" t="s">
        <v>47424</v>
      </c>
      <c r="O13630" t="s">
        <v>47425</v>
      </c>
      <c r="P13630">
        <v>0</v>
      </c>
      <c r="Q13630">
        <v>0</v>
      </c>
      <c r="R13630" t="s">
        <v>47444</v>
      </c>
      <c r="S13630" t="s">
        <v>48135</v>
      </c>
      <c r="T13630" t="s">
        <v>49104</v>
      </c>
      <c r="U13630" t="s">
        <v>60804</v>
      </c>
      <c r="V13630" t="s">
        <v>64160</v>
      </c>
      <c r="W13630" t="s">
        <v>64556</v>
      </c>
      <c r="X13630" t="s">
        <v>47445</v>
      </c>
    </row>
    <row r="13631" spans="1:24">
      <c r="A13631">
        <f>HYPERLINK("https://www.philgeps.gov.ph/GEPSNONPILOT/Tender/SplashBidNoticeAbstractUI.aspx?menuIndex=3&amp;refID=7130107&amp;Result=3","7130107")</f>
        <v>0</v>
      </c>
      <c r="B13631" t="s">
        <v>3741</v>
      </c>
      <c r="C13631" t="s">
        <v>16779</v>
      </c>
      <c r="D13631" t="s">
        <v>19044</v>
      </c>
      <c r="E13631" t="s">
        <v>28267</v>
      </c>
      <c r="F13631" t="s">
        <v>32831</v>
      </c>
      <c r="G13631" t="s">
        <v>32839</v>
      </c>
      <c r="H13631" t="s">
        <v>32849</v>
      </c>
      <c r="I13631" t="s">
        <v>4177</v>
      </c>
      <c r="J13631" t="s">
        <v>41289</v>
      </c>
      <c r="K13631" t="s">
        <v>42747</v>
      </c>
      <c r="M13631" t="s">
        <v>47138</v>
      </c>
      <c r="N13631" t="s">
        <v>47424</v>
      </c>
      <c r="O13631" t="s">
        <v>47425</v>
      </c>
      <c r="P13631">
        <v>0</v>
      </c>
      <c r="Q13631">
        <v>0</v>
      </c>
      <c r="R13631" t="s">
        <v>47444</v>
      </c>
      <c r="S13631" t="s">
        <v>48135</v>
      </c>
      <c r="T13631" t="s">
        <v>49105</v>
      </c>
      <c r="U13631" t="s">
        <v>60805</v>
      </c>
      <c r="V13631" t="s">
        <v>62886</v>
      </c>
      <c r="W13631" t="s">
        <v>47138</v>
      </c>
      <c r="X13631" t="s">
        <v>47445</v>
      </c>
    </row>
    <row r="13632" spans="1:24">
      <c r="A13632">
        <f>HYPERLINK("https://www.philgeps.gov.ph/GEPSNONPILOT/Tender/SplashBidNoticeAbstractUI.aspx?menuIndex=3&amp;refID=7130470&amp;Result=3","7130470")</f>
        <v>0</v>
      </c>
      <c r="B13632" t="s">
        <v>693</v>
      </c>
      <c r="C13632" t="s">
        <v>16780</v>
      </c>
      <c r="D13632" t="s">
        <v>19073</v>
      </c>
      <c r="E13632" t="s">
        <v>30765</v>
      </c>
      <c r="F13632" t="s">
        <v>32831</v>
      </c>
      <c r="G13632" t="s">
        <v>32839</v>
      </c>
      <c r="H13632" t="s">
        <v>32848</v>
      </c>
      <c r="I13632" t="s">
        <v>32870</v>
      </c>
      <c r="J13632" t="s">
        <v>41290</v>
      </c>
      <c r="K13632" t="s">
        <v>42731</v>
      </c>
      <c r="M13632" t="s">
        <v>44145</v>
      </c>
      <c r="N13632" t="s">
        <v>47424</v>
      </c>
      <c r="O13632" t="s">
        <v>47425</v>
      </c>
      <c r="P13632">
        <v>0</v>
      </c>
      <c r="Q13632">
        <v>0</v>
      </c>
      <c r="R13632" t="s">
        <v>47444</v>
      </c>
      <c r="S13632" t="s">
        <v>48135</v>
      </c>
      <c r="T13632" t="s">
        <v>49080</v>
      </c>
      <c r="U13632" t="s">
        <v>53968</v>
      </c>
      <c r="V13632" t="s">
        <v>63187</v>
      </c>
      <c r="W13632" t="s">
        <v>64457</v>
      </c>
      <c r="X13632" t="s">
        <v>47445</v>
      </c>
    </row>
    <row r="13633" spans="1:24">
      <c r="A13633">
        <f>HYPERLINK("https://www.philgeps.gov.ph/GEPSNONPILOT/Tender/SplashBidNoticeAbstractUI.aspx?menuIndex=3&amp;refID=7130244&amp;Result=3","7130244")</f>
        <v>0</v>
      </c>
      <c r="B13633" t="s">
        <v>161</v>
      </c>
      <c r="C13633" t="s">
        <v>16781</v>
      </c>
      <c r="D13633" t="s">
        <v>19031</v>
      </c>
      <c r="E13633" t="s">
        <v>30766</v>
      </c>
      <c r="F13633" t="s">
        <v>32831</v>
      </c>
      <c r="G13633" t="s">
        <v>32839</v>
      </c>
      <c r="H13633" t="s">
        <v>32849</v>
      </c>
      <c r="I13633" t="s">
        <v>4177</v>
      </c>
      <c r="J13633" t="s">
        <v>41291</v>
      </c>
      <c r="K13633" t="s">
        <v>42780</v>
      </c>
      <c r="M13633" t="s">
        <v>43158</v>
      </c>
      <c r="N13633" t="s">
        <v>47424</v>
      </c>
      <c r="O13633" t="s">
        <v>47425</v>
      </c>
      <c r="Q13633">
        <v>0</v>
      </c>
      <c r="R13633" t="s">
        <v>47444</v>
      </c>
      <c r="S13633" t="s">
        <v>48174</v>
      </c>
      <c r="T13633" t="s">
        <v>49061</v>
      </c>
      <c r="U13633" t="s">
        <v>60806</v>
      </c>
      <c r="W13633" t="s">
        <v>43158</v>
      </c>
      <c r="X13633" t="s">
        <v>47445</v>
      </c>
    </row>
    <row r="13634" spans="1:24">
      <c r="A13634">
        <f>HYPERLINK("https://www.philgeps.gov.ph/GEPSNONPILOT/Tender/SplashBidNoticeAbstractUI.aspx?menuIndex=3&amp;refID=7130440&amp;Result=3","7130440")</f>
        <v>0</v>
      </c>
      <c r="B13634" t="s">
        <v>2301</v>
      </c>
      <c r="C13634" t="s">
        <v>16782</v>
      </c>
      <c r="D13634" t="s">
        <v>19045</v>
      </c>
      <c r="E13634" t="s">
        <v>24676</v>
      </c>
      <c r="F13634" t="s">
        <v>32831</v>
      </c>
      <c r="G13634" t="s">
        <v>32839</v>
      </c>
      <c r="H13634" t="s">
        <v>32849</v>
      </c>
      <c r="I13634" t="s">
        <v>4177</v>
      </c>
      <c r="J13634" t="s">
        <v>32980</v>
      </c>
      <c r="K13634" t="s">
        <v>42730</v>
      </c>
      <c r="M13634" t="s">
        <v>45486</v>
      </c>
      <c r="N13634" t="s">
        <v>47424</v>
      </c>
      <c r="O13634" t="s">
        <v>47425</v>
      </c>
      <c r="P13634">
        <v>0</v>
      </c>
      <c r="Q13634">
        <v>1</v>
      </c>
      <c r="R13634" t="s">
        <v>47444</v>
      </c>
      <c r="S13634" t="s">
        <v>48135</v>
      </c>
      <c r="T13634" t="s">
        <v>49108</v>
      </c>
      <c r="U13634" t="s">
        <v>60807</v>
      </c>
      <c r="V13634" t="s">
        <v>62846</v>
      </c>
      <c r="W13634" t="s">
        <v>45486</v>
      </c>
      <c r="X13634" t="s">
        <v>47445</v>
      </c>
    </row>
    <row r="13635" spans="1:24">
      <c r="A13635">
        <f>HYPERLINK("https://www.philgeps.gov.ph/GEPSNONPILOT/Tender/SplashBidNoticeAbstractUI.aspx?menuIndex=3&amp;refID=7130453&amp;Result=3","7130453")</f>
        <v>0</v>
      </c>
      <c r="B13635" t="s">
        <v>693</v>
      </c>
      <c r="C13635" t="s">
        <v>16783</v>
      </c>
      <c r="D13635" t="s">
        <v>19073</v>
      </c>
      <c r="E13635" t="s">
        <v>30767</v>
      </c>
      <c r="F13635" t="s">
        <v>32831</v>
      </c>
      <c r="G13635" t="s">
        <v>32839</v>
      </c>
      <c r="H13635" t="s">
        <v>32848</v>
      </c>
      <c r="I13635" t="s">
        <v>32870</v>
      </c>
      <c r="J13635" t="s">
        <v>41292</v>
      </c>
      <c r="K13635" t="s">
        <v>42731</v>
      </c>
      <c r="M13635" t="s">
        <v>44145</v>
      </c>
      <c r="N13635" t="s">
        <v>47424</v>
      </c>
      <c r="O13635" t="s">
        <v>47425</v>
      </c>
      <c r="P13635">
        <v>0</v>
      </c>
      <c r="Q13635">
        <v>0</v>
      </c>
      <c r="R13635" t="s">
        <v>47444</v>
      </c>
      <c r="S13635" t="s">
        <v>48135</v>
      </c>
      <c r="T13635" t="s">
        <v>49080</v>
      </c>
      <c r="U13635" t="s">
        <v>53968</v>
      </c>
      <c r="V13635" t="s">
        <v>63187</v>
      </c>
      <c r="W13635" t="s">
        <v>64457</v>
      </c>
      <c r="X13635" t="s">
        <v>47445</v>
      </c>
    </row>
    <row r="13636" spans="1:24">
      <c r="A13636">
        <f>HYPERLINK("https://www.philgeps.gov.ph/GEPSNONPILOT/Tender/SplashBidNoticeAbstractUI.aspx?menuIndex=3&amp;refID=7130101&amp;Result=3","7130101")</f>
        <v>0</v>
      </c>
      <c r="B13636" t="s">
        <v>1344</v>
      </c>
      <c r="C13636" t="s">
        <v>16784</v>
      </c>
      <c r="D13636" t="s">
        <v>19077</v>
      </c>
      <c r="E13636" t="s">
        <v>30768</v>
      </c>
      <c r="F13636" t="s">
        <v>32833</v>
      </c>
      <c r="G13636" t="s">
        <v>32839</v>
      </c>
      <c r="H13636" t="s">
        <v>32848</v>
      </c>
      <c r="I13636" t="s">
        <v>4438</v>
      </c>
      <c r="J13636" t="s">
        <v>41293</v>
      </c>
      <c r="K13636" t="s">
        <v>42732</v>
      </c>
      <c r="M13636" t="s">
        <v>44417</v>
      </c>
      <c r="N13636" t="s">
        <v>47424</v>
      </c>
      <c r="O13636" t="s">
        <v>47425</v>
      </c>
      <c r="P13636">
        <v>0</v>
      </c>
      <c r="Q13636">
        <v>0</v>
      </c>
      <c r="R13636" t="s">
        <v>47444</v>
      </c>
      <c r="S13636" t="s">
        <v>48135</v>
      </c>
      <c r="T13636" t="s">
        <v>49141</v>
      </c>
      <c r="U13636" t="s">
        <v>60808</v>
      </c>
      <c r="W13636" t="s">
        <v>44417</v>
      </c>
      <c r="X13636" t="s">
        <v>47445</v>
      </c>
    </row>
    <row r="13637" spans="1:24">
      <c r="A13637">
        <f>HYPERLINK("https://www.philgeps.gov.ph/GEPSNONPILOT/Tender/SplashBidNoticeAbstractUI.aspx?menuIndex=3&amp;refID=7130421&amp;Result=3","7130421")</f>
        <v>0</v>
      </c>
      <c r="B13637" t="s">
        <v>2301</v>
      </c>
      <c r="C13637" t="s">
        <v>16785</v>
      </c>
      <c r="D13637" t="s">
        <v>19045</v>
      </c>
      <c r="E13637" t="s">
        <v>24676</v>
      </c>
      <c r="F13637" t="s">
        <v>32831</v>
      </c>
      <c r="G13637" t="s">
        <v>32839</v>
      </c>
      <c r="H13637" t="s">
        <v>32849</v>
      </c>
      <c r="I13637" t="s">
        <v>4177</v>
      </c>
      <c r="J13637" t="s">
        <v>32980</v>
      </c>
      <c r="K13637" t="s">
        <v>42745</v>
      </c>
      <c r="M13637" t="s">
        <v>45486</v>
      </c>
      <c r="N13637" t="s">
        <v>47424</v>
      </c>
      <c r="O13637" t="s">
        <v>47425</v>
      </c>
      <c r="P13637">
        <v>0</v>
      </c>
      <c r="Q13637">
        <v>1</v>
      </c>
      <c r="R13637" t="s">
        <v>47444</v>
      </c>
      <c r="S13637" t="s">
        <v>48135</v>
      </c>
      <c r="T13637" t="s">
        <v>49108</v>
      </c>
      <c r="U13637" t="s">
        <v>60807</v>
      </c>
      <c r="V13637" t="s">
        <v>62846</v>
      </c>
      <c r="W13637" t="s">
        <v>45486</v>
      </c>
      <c r="X13637" t="s">
        <v>47445</v>
      </c>
    </row>
    <row r="13638" spans="1:24">
      <c r="A13638">
        <f>HYPERLINK("https://www.philgeps.gov.ph/GEPSNONPILOT/Tender/SplashBidNoticeAbstractUI.aspx?menuIndex=3&amp;refID=7130237&amp;Result=3","7130237")</f>
        <v>0</v>
      </c>
      <c r="B13638" t="s">
        <v>895</v>
      </c>
      <c r="C13638" t="s">
        <v>16786</v>
      </c>
      <c r="D13638" t="s">
        <v>19036</v>
      </c>
      <c r="E13638" t="s">
        <v>30769</v>
      </c>
      <c r="F13638" t="s">
        <v>32831</v>
      </c>
      <c r="G13638" t="s">
        <v>32839</v>
      </c>
      <c r="H13638" t="s">
        <v>32849</v>
      </c>
      <c r="I13638" t="s">
        <v>4177</v>
      </c>
      <c r="J13638" t="s">
        <v>41294</v>
      </c>
      <c r="K13638" t="s">
        <v>42881</v>
      </c>
      <c r="M13638" t="s">
        <v>47131</v>
      </c>
      <c r="N13638" t="s">
        <v>47424</v>
      </c>
      <c r="O13638" t="s">
        <v>47425</v>
      </c>
      <c r="P13638">
        <v>0</v>
      </c>
      <c r="Q13638">
        <v>0</v>
      </c>
      <c r="R13638" t="s">
        <v>47444</v>
      </c>
      <c r="S13638" t="s">
        <v>48135</v>
      </c>
      <c r="T13638" t="s">
        <v>49239</v>
      </c>
      <c r="U13638" t="s">
        <v>60809</v>
      </c>
      <c r="V13638" t="s">
        <v>64161</v>
      </c>
      <c r="W13638" t="s">
        <v>47131</v>
      </c>
      <c r="X13638" t="s">
        <v>47445</v>
      </c>
    </row>
    <row r="13639" spans="1:24">
      <c r="A13639">
        <f>HYPERLINK("https://www.philgeps.gov.ph/GEPSNONPILOT/Tender/SplashBidNoticeAbstractUI.aspx?menuIndex=3&amp;refID=7130399&amp;Result=3","7130399")</f>
        <v>0</v>
      </c>
      <c r="B13639" t="s">
        <v>3521</v>
      </c>
      <c r="C13639" t="s">
        <v>16787</v>
      </c>
      <c r="D13639" t="s">
        <v>19037</v>
      </c>
      <c r="E13639" t="s">
        <v>30770</v>
      </c>
      <c r="F13639" t="s">
        <v>32831</v>
      </c>
      <c r="G13639" t="s">
        <v>32839</v>
      </c>
      <c r="H13639" t="s">
        <v>32848</v>
      </c>
      <c r="I13639" t="s">
        <v>32871</v>
      </c>
      <c r="J13639" t="s">
        <v>41295</v>
      </c>
      <c r="K13639" t="s">
        <v>42727</v>
      </c>
      <c r="M13639" t="s">
        <v>46872</v>
      </c>
      <c r="N13639" t="s">
        <v>47424</v>
      </c>
      <c r="O13639" t="s">
        <v>47425</v>
      </c>
      <c r="P13639">
        <v>0</v>
      </c>
      <c r="Q13639">
        <v>7</v>
      </c>
      <c r="R13639" t="s">
        <v>47444</v>
      </c>
      <c r="S13639" t="s">
        <v>48135</v>
      </c>
      <c r="T13639" t="s">
        <v>49211</v>
      </c>
      <c r="U13639" t="s">
        <v>59615</v>
      </c>
      <c r="W13639" t="s">
        <v>46872</v>
      </c>
      <c r="X13639" t="s">
        <v>47445</v>
      </c>
    </row>
    <row r="13640" spans="1:24">
      <c r="A13640">
        <f>HYPERLINK("https://www.philgeps.gov.ph/GEPSNONPILOT/Tender/SplashBidNoticeAbstractUI.aspx?menuIndex=3&amp;refID=7130402&amp;Result=3","7130402")</f>
        <v>0</v>
      </c>
      <c r="B13640" t="s">
        <v>693</v>
      </c>
      <c r="C13640" t="s">
        <v>16788</v>
      </c>
      <c r="D13640" t="s">
        <v>19073</v>
      </c>
      <c r="E13640" t="s">
        <v>30771</v>
      </c>
      <c r="F13640" t="s">
        <v>32831</v>
      </c>
      <c r="G13640" t="s">
        <v>32839</v>
      </c>
      <c r="H13640" t="s">
        <v>32848</v>
      </c>
      <c r="I13640" t="s">
        <v>32857</v>
      </c>
      <c r="J13640" t="s">
        <v>41296</v>
      </c>
      <c r="K13640" t="s">
        <v>42731</v>
      </c>
      <c r="M13640" t="s">
        <v>44145</v>
      </c>
      <c r="N13640" t="s">
        <v>47424</v>
      </c>
      <c r="O13640" t="s">
        <v>47425</v>
      </c>
      <c r="P13640">
        <v>0</v>
      </c>
      <c r="Q13640">
        <v>18</v>
      </c>
      <c r="R13640" t="s">
        <v>47444</v>
      </c>
      <c r="S13640" t="s">
        <v>48135</v>
      </c>
      <c r="T13640" t="s">
        <v>49080</v>
      </c>
      <c r="U13640" t="s">
        <v>53968</v>
      </c>
      <c r="V13640" t="s">
        <v>63187</v>
      </c>
      <c r="W13640" t="s">
        <v>64457</v>
      </c>
      <c r="X13640" t="s">
        <v>47445</v>
      </c>
    </row>
    <row r="13641" spans="1:24">
      <c r="A13641">
        <f>HYPERLINK("https://www.philgeps.gov.ph/GEPSNONPILOT/Tender/SplashBidNoticeAbstractUI.aspx?menuIndex=3&amp;refID=7130495&amp;Result=3","7130495")</f>
        <v>0</v>
      </c>
      <c r="B13641" t="s">
        <v>1985</v>
      </c>
      <c r="C13641" t="s">
        <v>16789</v>
      </c>
      <c r="D13641" t="s">
        <v>19037</v>
      </c>
      <c r="E13641" t="s">
        <v>19763</v>
      </c>
      <c r="F13641" t="s">
        <v>32831</v>
      </c>
      <c r="G13641" t="s">
        <v>32839</v>
      </c>
      <c r="H13641" t="s">
        <v>32849</v>
      </c>
      <c r="I13641" t="s">
        <v>4177</v>
      </c>
      <c r="J13641" t="s">
        <v>33338</v>
      </c>
      <c r="K13641" t="s">
        <v>42825</v>
      </c>
      <c r="M13641" t="s">
        <v>45147</v>
      </c>
      <c r="N13641" t="s">
        <v>47424</v>
      </c>
      <c r="O13641" t="s">
        <v>47425</v>
      </c>
      <c r="P13641">
        <v>0</v>
      </c>
      <c r="Q13641">
        <v>1</v>
      </c>
      <c r="R13641" t="s">
        <v>47444</v>
      </c>
      <c r="S13641" t="s">
        <v>48135</v>
      </c>
      <c r="T13641" t="s">
        <v>49107</v>
      </c>
      <c r="U13641" t="s">
        <v>60810</v>
      </c>
      <c r="V13641" t="s">
        <v>64162</v>
      </c>
      <c r="W13641" t="s">
        <v>45147</v>
      </c>
      <c r="X13641" t="s">
        <v>47445</v>
      </c>
    </row>
    <row r="13642" spans="1:24">
      <c r="A13642">
        <f>HYPERLINK("https://www.philgeps.gov.ph/GEPSNONPILOT/Tender/SplashBidNoticeAbstractUI.aspx?menuIndex=3&amp;refID=7130497&amp;Result=3","7130497")</f>
        <v>0</v>
      </c>
      <c r="B13642" t="s">
        <v>693</v>
      </c>
      <c r="C13642" t="s">
        <v>16790</v>
      </c>
      <c r="D13642" t="s">
        <v>19073</v>
      </c>
      <c r="E13642" t="s">
        <v>30772</v>
      </c>
      <c r="F13642" t="s">
        <v>32831</v>
      </c>
      <c r="G13642" t="s">
        <v>32839</v>
      </c>
      <c r="H13642" t="s">
        <v>32848</v>
      </c>
      <c r="I13642" t="s">
        <v>4471</v>
      </c>
      <c r="J13642" t="s">
        <v>41297</v>
      </c>
      <c r="K13642" t="s">
        <v>42731</v>
      </c>
      <c r="M13642" t="s">
        <v>44145</v>
      </c>
      <c r="N13642" t="s">
        <v>47424</v>
      </c>
      <c r="O13642" t="s">
        <v>47425</v>
      </c>
      <c r="P13642">
        <v>0</v>
      </c>
      <c r="Q13642">
        <v>2</v>
      </c>
      <c r="R13642" t="s">
        <v>47444</v>
      </c>
      <c r="S13642" t="s">
        <v>48135</v>
      </c>
      <c r="T13642" t="s">
        <v>49080</v>
      </c>
      <c r="U13642" t="s">
        <v>53968</v>
      </c>
      <c r="V13642" t="s">
        <v>63187</v>
      </c>
      <c r="W13642" t="s">
        <v>64457</v>
      </c>
      <c r="X13642" t="s">
        <v>47445</v>
      </c>
    </row>
    <row r="13643" spans="1:24">
      <c r="A13643">
        <f>HYPERLINK("https://www.philgeps.gov.ph/GEPSNONPILOT/Tender/SplashBidNoticeAbstractUI.aspx?menuIndex=3&amp;refID=7130427&amp;Result=3","7130427")</f>
        <v>0</v>
      </c>
      <c r="B13643" t="s">
        <v>3256</v>
      </c>
      <c r="C13643" t="s">
        <v>16791</v>
      </c>
      <c r="D13643" t="s">
        <v>19040</v>
      </c>
      <c r="E13643" t="s">
        <v>30773</v>
      </c>
      <c r="F13643" t="s">
        <v>32831</v>
      </c>
      <c r="G13643" t="s">
        <v>32839</v>
      </c>
      <c r="H13643" t="s">
        <v>32849</v>
      </c>
      <c r="I13643" t="s">
        <v>4177</v>
      </c>
      <c r="J13643" t="s">
        <v>39594</v>
      </c>
      <c r="K13643" t="s">
        <v>42771</v>
      </c>
      <c r="M13643" t="s">
        <v>46572</v>
      </c>
      <c r="N13643" t="s">
        <v>47424</v>
      </c>
      <c r="O13643" t="s">
        <v>47425</v>
      </c>
      <c r="Q13643">
        <v>0</v>
      </c>
      <c r="R13643" t="s">
        <v>47444</v>
      </c>
      <c r="S13643" t="s">
        <v>48175</v>
      </c>
      <c r="T13643" t="s">
        <v>49105</v>
      </c>
      <c r="U13643" t="s">
        <v>60771</v>
      </c>
      <c r="V13643" t="s">
        <v>64163</v>
      </c>
      <c r="W13643" t="s">
        <v>46572</v>
      </c>
      <c r="X13643" t="s">
        <v>47445</v>
      </c>
    </row>
    <row r="13644" spans="1:24">
      <c r="A13644">
        <f>HYPERLINK("https://www.philgeps.gov.ph/GEPSNONPILOT/Tender/SplashBidNoticeAbstractUI.aspx?menuIndex=3&amp;refID=7130368&amp;Result=3","7130368")</f>
        <v>0</v>
      </c>
      <c r="B13644" t="s">
        <v>3742</v>
      </c>
      <c r="C13644" t="s">
        <v>16792</v>
      </c>
      <c r="D13644" t="s">
        <v>19091</v>
      </c>
      <c r="E13644" t="s">
        <v>19211</v>
      </c>
      <c r="F13644" t="s">
        <v>32831</v>
      </c>
      <c r="G13644" t="s">
        <v>32839</v>
      </c>
      <c r="H13644" t="s">
        <v>32849</v>
      </c>
      <c r="I13644" t="s">
        <v>4177</v>
      </c>
      <c r="J13644" t="s">
        <v>33044</v>
      </c>
      <c r="K13644" t="s">
        <v>42730</v>
      </c>
      <c r="M13644" t="s">
        <v>47139</v>
      </c>
      <c r="N13644" t="s">
        <v>47424</v>
      </c>
      <c r="O13644" t="s">
        <v>47425</v>
      </c>
      <c r="P13644">
        <v>0</v>
      </c>
      <c r="Q13644">
        <v>0</v>
      </c>
      <c r="R13644" t="s">
        <v>47444</v>
      </c>
      <c r="S13644" t="s">
        <v>48135</v>
      </c>
      <c r="T13644" t="s">
        <v>49235</v>
      </c>
      <c r="U13644" t="s">
        <v>60811</v>
      </c>
      <c r="W13644" t="s">
        <v>47139</v>
      </c>
      <c r="X13644" t="s">
        <v>47445</v>
      </c>
    </row>
    <row r="13645" spans="1:24">
      <c r="A13645">
        <f>HYPERLINK("https://www.philgeps.gov.ph/GEPSNONPILOT/Tender/SplashBidNoticeAbstractUI.aspx?menuIndex=3&amp;refID=7130414&amp;Result=3","7130414")</f>
        <v>0</v>
      </c>
      <c r="B13645" t="s">
        <v>2310</v>
      </c>
      <c r="C13645" t="s">
        <v>16793</v>
      </c>
      <c r="D13645" t="s">
        <v>19028</v>
      </c>
      <c r="E13645" t="s">
        <v>30774</v>
      </c>
      <c r="F13645" t="s">
        <v>32831</v>
      </c>
      <c r="G13645" t="s">
        <v>32839</v>
      </c>
      <c r="H13645" t="s">
        <v>32849</v>
      </c>
      <c r="I13645" t="s">
        <v>4177</v>
      </c>
      <c r="J13645" t="s">
        <v>33017</v>
      </c>
      <c r="K13645" t="s">
        <v>42869</v>
      </c>
      <c r="M13645" t="s">
        <v>45495</v>
      </c>
      <c r="N13645" t="s">
        <v>47424</v>
      </c>
      <c r="O13645" t="s">
        <v>47425</v>
      </c>
      <c r="P13645">
        <v>0</v>
      </c>
      <c r="Q13645">
        <v>0</v>
      </c>
      <c r="R13645" t="s">
        <v>47444</v>
      </c>
      <c r="S13645" t="s">
        <v>48135</v>
      </c>
      <c r="T13645" t="s">
        <v>49104</v>
      </c>
      <c r="U13645" t="s">
        <v>55097</v>
      </c>
      <c r="V13645" t="s">
        <v>63346</v>
      </c>
      <c r="W13645" t="s">
        <v>45495</v>
      </c>
      <c r="X13645" t="s">
        <v>47445</v>
      </c>
    </row>
    <row r="13646" spans="1:24">
      <c r="A13646">
        <f>HYPERLINK("https://www.philgeps.gov.ph/GEPSNONPILOT/Tender/SplashBidNoticeAbstractUI.aspx?menuIndex=3&amp;refID=7130422&amp;Result=3","7130422")</f>
        <v>0</v>
      </c>
      <c r="B13646" t="s">
        <v>693</v>
      </c>
      <c r="C13646" t="s">
        <v>16794</v>
      </c>
      <c r="D13646" t="s">
        <v>19073</v>
      </c>
      <c r="E13646" t="s">
        <v>30775</v>
      </c>
      <c r="F13646" t="s">
        <v>32831</v>
      </c>
      <c r="G13646" t="s">
        <v>32839</v>
      </c>
      <c r="H13646" t="s">
        <v>32848</v>
      </c>
      <c r="I13646" t="s">
        <v>32890</v>
      </c>
      <c r="J13646" t="s">
        <v>35628</v>
      </c>
      <c r="K13646" t="s">
        <v>42731</v>
      </c>
      <c r="M13646" t="s">
        <v>44145</v>
      </c>
      <c r="N13646" t="s">
        <v>47424</v>
      </c>
      <c r="O13646" t="s">
        <v>47425</v>
      </c>
      <c r="P13646">
        <v>0</v>
      </c>
      <c r="Q13646">
        <v>2</v>
      </c>
      <c r="R13646" t="s">
        <v>47444</v>
      </c>
      <c r="S13646" t="s">
        <v>48135</v>
      </c>
      <c r="T13646" t="s">
        <v>49080</v>
      </c>
      <c r="U13646" t="s">
        <v>53968</v>
      </c>
      <c r="V13646" t="s">
        <v>63187</v>
      </c>
      <c r="W13646" t="s">
        <v>64457</v>
      </c>
      <c r="X13646" t="s">
        <v>47445</v>
      </c>
    </row>
    <row r="13647" spans="1:24">
      <c r="A13647">
        <f>HYPERLINK("https://www.philgeps.gov.ph/GEPSNONPILOT/Tender/SplashBidNoticeAbstractUI.aspx?menuIndex=3&amp;refID=7130390&amp;Result=3","7130390")</f>
        <v>0</v>
      </c>
      <c r="B13647" t="s">
        <v>693</v>
      </c>
      <c r="C13647" t="s">
        <v>16795</v>
      </c>
      <c r="D13647" t="s">
        <v>19073</v>
      </c>
      <c r="E13647" t="s">
        <v>30776</v>
      </c>
      <c r="F13647" t="s">
        <v>32831</v>
      </c>
      <c r="G13647" t="s">
        <v>32839</v>
      </c>
      <c r="H13647" t="s">
        <v>32848</v>
      </c>
      <c r="I13647" t="s">
        <v>32867</v>
      </c>
      <c r="J13647" t="s">
        <v>41298</v>
      </c>
      <c r="K13647" t="s">
        <v>42731</v>
      </c>
      <c r="M13647" t="s">
        <v>44145</v>
      </c>
      <c r="N13647" t="s">
        <v>47424</v>
      </c>
      <c r="O13647" t="s">
        <v>47425</v>
      </c>
      <c r="P13647">
        <v>0</v>
      </c>
      <c r="Q13647">
        <v>4</v>
      </c>
      <c r="R13647" t="s">
        <v>47444</v>
      </c>
      <c r="S13647" t="s">
        <v>48135</v>
      </c>
      <c r="T13647" t="s">
        <v>49080</v>
      </c>
      <c r="U13647" t="s">
        <v>53968</v>
      </c>
      <c r="V13647" t="s">
        <v>63187</v>
      </c>
      <c r="W13647" t="s">
        <v>64457</v>
      </c>
      <c r="X13647" t="s">
        <v>47445</v>
      </c>
    </row>
    <row r="13648" spans="1:24">
      <c r="A13648">
        <f>HYPERLINK("https://www.philgeps.gov.ph/GEPSNONPILOT/Tender/SplashBidNoticeAbstractUI.aspx?menuIndex=3&amp;refID=7130369&amp;Result=3","7130369")</f>
        <v>0</v>
      </c>
      <c r="B13648" t="s">
        <v>2310</v>
      </c>
      <c r="C13648" t="s">
        <v>16796</v>
      </c>
      <c r="D13648" t="s">
        <v>19028</v>
      </c>
      <c r="E13648" t="s">
        <v>30777</v>
      </c>
      <c r="F13648" t="s">
        <v>32831</v>
      </c>
      <c r="G13648" t="s">
        <v>32839</v>
      </c>
      <c r="H13648" t="s">
        <v>32849</v>
      </c>
      <c r="I13648" t="s">
        <v>4177</v>
      </c>
      <c r="J13648" t="s">
        <v>32978</v>
      </c>
      <c r="K13648" t="s">
        <v>42730</v>
      </c>
      <c r="M13648" t="s">
        <v>45495</v>
      </c>
      <c r="N13648" t="s">
        <v>47424</v>
      </c>
      <c r="O13648" t="s">
        <v>47425</v>
      </c>
      <c r="P13648">
        <v>0</v>
      </c>
      <c r="Q13648">
        <v>0</v>
      </c>
      <c r="R13648" t="s">
        <v>47444</v>
      </c>
      <c r="S13648" t="s">
        <v>48135</v>
      </c>
      <c r="T13648" t="s">
        <v>49166</v>
      </c>
      <c r="U13648" t="s">
        <v>55097</v>
      </c>
      <c r="W13648" t="s">
        <v>45495</v>
      </c>
      <c r="X13648" t="s">
        <v>47445</v>
      </c>
    </row>
    <row r="13649" spans="1:24">
      <c r="A13649">
        <f>HYPERLINK("https://www.philgeps.gov.ph/GEPSNONPILOT/Tender/SplashBidNoticeAbstractUI.aspx?menuIndex=3&amp;refID=7130387&amp;Result=3","7130387")</f>
        <v>0</v>
      </c>
      <c r="B13649" t="s">
        <v>2301</v>
      </c>
      <c r="C13649" t="s">
        <v>16797</v>
      </c>
      <c r="D13649" t="s">
        <v>19045</v>
      </c>
      <c r="E13649" t="s">
        <v>30778</v>
      </c>
      <c r="F13649" t="s">
        <v>32831</v>
      </c>
      <c r="G13649" t="s">
        <v>32839</v>
      </c>
      <c r="H13649" t="s">
        <v>32849</v>
      </c>
      <c r="I13649" t="s">
        <v>4177</v>
      </c>
      <c r="J13649" t="s">
        <v>33087</v>
      </c>
      <c r="K13649" t="s">
        <v>42730</v>
      </c>
      <c r="M13649" t="s">
        <v>45486</v>
      </c>
      <c r="N13649" t="s">
        <v>47424</v>
      </c>
      <c r="O13649" t="s">
        <v>47425</v>
      </c>
      <c r="P13649">
        <v>0</v>
      </c>
      <c r="Q13649">
        <v>2</v>
      </c>
      <c r="R13649" t="s">
        <v>47444</v>
      </c>
      <c r="S13649" t="s">
        <v>48135</v>
      </c>
      <c r="T13649" t="s">
        <v>49108</v>
      </c>
      <c r="U13649" t="s">
        <v>51422</v>
      </c>
      <c r="V13649" t="s">
        <v>62846</v>
      </c>
      <c r="W13649" t="s">
        <v>45486</v>
      </c>
      <c r="X13649" t="s">
        <v>47445</v>
      </c>
    </row>
    <row r="13650" spans="1:24">
      <c r="A13650">
        <f>HYPERLINK("https://www.philgeps.gov.ph/GEPSNONPILOT/Tender/SplashBidNoticeAbstractUI.aspx?menuIndex=3&amp;refID=7130748&amp;Result=3","7130748")</f>
        <v>0</v>
      </c>
      <c r="B13650" t="s">
        <v>3735</v>
      </c>
      <c r="C13650" t="s">
        <v>16798</v>
      </c>
      <c r="D13650" t="s">
        <v>19074</v>
      </c>
      <c r="E13650" t="s">
        <v>30729</v>
      </c>
      <c r="F13650" t="s">
        <v>32831</v>
      </c>
      <c r="G13650" t="s">
        <v>32839</v>
      </c>
      <c r="H13650" t="s">
        <v>32849</v>
      </c>
      <c r="I13650" t="s">
        <v>4177</v>
      </c>
      <c r="J13650" t="s">
        <v>33257</v>
      </c>
      <c r="K13650" t="s">
        <v>42977</v>
      </c>
      <c r="M13650" t="s">
        <v>47130</v>
      </c>
      <c r="N13650" t="s">
        <v>47424</v>
      </c>
      <c r="O13650" t="s">
        <v>47425</v>
      </c>
      <c r="P13650">
        <v>0</v>
      </c>
      <c r="Q13650">
        <v>2</v>
      </c>
      <c r="R13650" t="s">
        <v>47444</v>
      </c>
      <c r="S13650" t="s">
        <v>48135</v>
      </c>
      <c r="T13650" t="s">
        <v>49172</v>
      </c>
      <c r="U13650" t="s">
        <v>60812</v>
      </c>
      <c r="W13650" t="s">
        <v>47130</v>
      </c>
      <c r="X13650" t="s">
        <v>47445</v>
      </c>
    </row>
    <row r="13651" spans="1:24">
      <c r="A13651">
        <f>HYPERLINK("https://www.philgeps.gov.ph/GEPSNONPILOT/Tender/SplashBidNoticeAbstractUI.aspx?menuIndex=3&amp;refID=7130670&amp;Result=3","7130670")</f>
        <v>0</v>
      </c>
      <c r="B13651" t="s">
        <v>3256</v>
      </c>
      <c r="C13651" t="s">
        <v>16799</v>
      </c>
      <c r="D13651" t="s">
        <v>19040</v>
      </c>
      <c r="E13651" t="s">
        <v>30779</v>
      </c>
      <c r="F13651" t="s">
        <v>32831</v>
      </c>
      <c r="G13651" t="s">
        <v>32839</v>
      </c>
      <c r="H13651" t="s">
        <v>32849</v>
      </c>
      <c r="I13651" t="s">
        <v>4177</v>
      </c>
      <c r="J13651" t="s">
        <v>41299</v>
      </c>
      <c r="K13651" t="s">
        <v>42780</v>
      </c>
      <c r="M13651" t="s">
        <v>46572</v>
      </c>
      <c r="N13651" t="s">
        <v>47424</v>
      </c>
      <c r="O13651" t="s">
        <v>47425</v>
      </c>
      <c r="Q13651">
        <v>1</v>
      </c>
      <c r="R13651" t="s">
        <v>47444</v>
      </c>
      <c r="S13651" t="s">
        <v>48176</v>
      </c>
      <c r="T13651" t="s">
        <v>49105</v>
      </c>
      <c r="U13651" t="s">
        <v>60771</v>
      </c>
      <c r="V13651" t="s">
        <v>64164</v>
      </c>
      <c r="W13651" t="s">
        <v>46572</v>
      </c>
      <c r="X13651" t="s">
        <v>47445</v>
      </c>
    </row>
    <row r="13652" spans="1:24">
      <c r="A13652">
        <f>HYPERLINK("https://www.philgeps.gov.ph/GEPSNONPILOT/Tender/SplashBidNoticeAbstractUI.aspx?menuIndex=3&amp;refID=7130669&amp;Result=3","7130669")</f>
        <v>0</v>
      </c>
      <c r="B13652" t="s">
        <v>998</v>
      </c>
      <c r="C13652" t="s">
        <v>16800</v>
      </c>
      <c r="D13652" t="s">
        <v>19049</v>
      </c>
      <c r="E13652" t="s">
        <v>30780</v>
      </c>
      <c r="F13652" t="s">
        <v>32831</v>
      </c>
      <c r="G13652" t="s">
        <v>32839</v>
      </c>
      <c r="H13652" t="s">
        <v>32848</v>
      </c>
      <c r="I13652" t="s">
        <v>32951</v>
      </c>
      <c r="J13652" t="s">
        <v>41300</v>
      </c>
      <c r="K13652" t="s">
        <v>42770</v>
      </c>
      <c r="M13652" t="s">
        <v>45330</v>
      </c>
      <c r="N13652" t="s">
        <v>47424</v>
      </c>
      <c r="O13652" t="s">
        <v>47425</v>
      </c>
      <c r="Q13652">
        <v>35</v>
      </c>
      <c r="R13652" t="s">
        <v>47444</v>
      </c>
      <c r="S13652" t="s">
        <v>48073</v>
      </c>
      <c r="T13652" t="s">
        <v>49073</v>
      </c>
      <c r="U13652" t="s">
        <v>60813</v>
      </c>
      <c r="W13652" t="s">
        <v>45330</v>
      </c>
      <c r="X13652" t="s">
        <v>47445</v>
      </c>
    </row>
    <row r="13653" spans="1:24">
      <c r="A13653">
        <f>HYPERLINK("https://www.philgeps.gov.ph/GEPSNONPILOT/Tender/SplashBidNoticeAbstractUI.aspx?menuIndex=3&amp;refID=7130769&amp;Result=3","7130769")</f>
        <v>0</v>
      </c>
      <c r="B13653" t="s">
        <v>3743</v>
      </c>
      <c r="C13653" t="s">
        <v>16801</v>
      </c>
      <c r="D13653" t="s">
        <v>19086</v>
      </c>
      <c r="E13653" t="s">
        <v>30781</v>
      </c>
      <c r="F13653" t="s">
        <v>32831</v>
      </c>
      <c r="G13653" t="s">
        <v>32839</v>
      </c>
      <c r="H13653" t="s">
        <v>32849</v>
      </c>
      <c r="I13653" t="s">
        <v>4177</v>
      </c>
      <c r="J13653" t="s">
        <v>41301</v>
      </c>
      <c r="K13653" t="s">
        <v>42757</v>
      </c>
      <c r="M13653" t="s">
        <v>47140</v>
      </c>
      <c r="N13653" t="s">
        <v>47424</v>
      </c>
      <c r="O13653" t="s">
        <v>47425</v>
      </c>
      <c r="Q13653">
        <v>29</v>
      </c>
      <c r="R13653" t="s">
        <v>47444</v>
      </c>
      <c r="S13653" t="s">
        <v>48177</v>
      </c>
      <c r="T13653" t="s">
        <v>49166</v>
      </c>
      <c r="U13653" t="s">
        <v>60814</v>
      </c>
      <c r="V13653" t="s">
        <v>64165</v>
      </c>
      <c r="W13653" t="s">
        <v>47140</v>
      </c>
      <c r="X13653" t="s">
        <v>47445</v>
      </c>
    </row>
    <row r="13654" spans="1:24">
      <c r="A13654">
        <f>HYPERLINK("https://www.philgeps.gov.ph/GEPSNONPILOT/Tender/SplashBidNoticeAbstractUI.aspx?menuIndex=3&amp;refID=7130639&amp;Result=3","7130639")</f>
        <v>0</v>
      </c>
      <c r="B13654" t="s">
        <v>3740</v>
      </c>
      <c r="C13654" t="s">
        <v>16802</v>
      </c>
      <c r="D13654" t="s">
        <v>19053</v>
      </c>
      <c r="E13654" t="s">
        <v>30782</v>
      </c>
      <c r="F13654" t="s">
        <v>32831</v>
      </c>
      <c r="G13654" t="s">
        <v>32839</v>
      </c>
      <c r="H13654" t="s">
        <v>32848</v>
      </c>
      <c r="I13654" t="s">
        <v>4177</v>
      </c>
      <c r="J13654" t="s">
        <v>33118</v>
      </c>
      <c r="K13654" t="s">
        <v>42727</v>
      </c>
      <c r="M13654" t="s">
        <v>47137</v>
      </c>
      <c r="N13654" t="s">
        <v>47424</v>
      </c>
      <c r="O13654" t="s">
        <v>47425</v>
      </c>
      <c r="P13654">
        <v>0</v>
      </c>
      <c r="Q13654">
        <v>0</v>
      </c>
      <c r="R13654" t="s">
        <v>47444</v>
      </c>
      <c r="S13654" t="s">
        <v>48135</v>
      </c>
      <c r="T13654" t="s">
        <v>49104</v>
      </c>
      <c r="U13654" t="s">
        <v>60815</v>
      </c>
      <c r="V13654" t="s">
        <v>64166</v>
      </c>
      <c r="W13654" t="s">
        <v>64556</v>
      </c>
      <c r="X13654" t="s">
        <v>47445</v>
      </c>
    </row>
    <row r="13655" spans="1:24">
      <c r="A13655">
        <f>HYPERLINK("https://www.philgeps.gov.ph/GEPSNONPILOT/Tender/SplashBidNoticeAbstractUI.aspx?menuIndex=3&amp;refID=7130632&amp;Result=3","7130632")</f>
        <v>0</v>
      </c>
      <c r="B13655" t="s">
        <v>3256</v>
      </c>
      <c r="C13655" t="s">
        <v>16803</v>
      </c>
      <c r="D13655" t="s">
        <v>19040</v>
      </c>
      <c r="E13655" t="s">
        <v>30783</v>
      </c>
      <c r="F13655" t="s">
        <v>32831</v>
      </c>
      <c r="G13655" t="s">
        <v>32839</v>
      </c>
      <c r="H13655" t="s">
        <v>32849</v>
      </c>
      <c r="I13655" t="s">
        <v>4177</v>
      </c>
      <c r="J13655" t="s">
        <v>37878</v>
      </c>
      <c r="K13655" t="s">
        <v>42979</v>
      </c>
      <c r="M13655" t="s">
        <v>46572</v>
      </c>
      <c r="N13655" t="s">
        <v>47424</v>
      </c>
      <c r="O13655" t="s">
        <v>47425</v>
      </c>
      <c r="Q13655">
        <v>0</v>
      </c>
      <c r="R13655" t="s">
        <v>47444</v>
      </c>
      <c r="S13655" t="s">
        <v>47617</v>
      </c>
      <c r="T13655" t="s">
        <v>49104</v>
      </c>
      <c r="U13655" t="s">
        <v>60771</v>
      </c>
      <c r="V13655" t="s">
        <v>64167</v>
      </c>
      <c r="W13655" t="s">
        <v>46572</v>
      </c>
      <c r="X13655" t="s">
        <v>47445</v>
      </c>
    </row>
    <row r="13656" spans="1:24">
      <c r="A13656">
        <f>HYPERLINK("https://www.philgeps.gov.ph/GEPSNONPILOT/Tender/SplashBidNoticeAbstractUI.aspx?menuIndex=3&amp;refID=7130498&amp;Result=3","7130498")</f>
        <v>0</v>
      </c>
      <c r="B13656" t="s">
        <v>3638</v>
      </c>
      <c r="C13656" t="s">
        <v>16804</v>
      </c>
      <c r="D13656" t="s">
        <v>19038</v>
      </c>
      <c r="E13656" t="s">
        <v>30784</v>
      </c>
      <c r="F13656" t="s">
        <v>32831</v>
      </c>
      <c r="G13656" t="s">
        <v>32839</v>
      </c>
      <c r="H13656" t="s">
        <v>32849</v>
      </c>
      <c r="I13656" t="s">
        <v>4177</v>
      </c>
      <c r="J13656" t="s">
        <v>35331</v>
      </c>
      <c r="K13656" t="s">
        <v>42763</v>
      </c>
      <c r="M13656" t="s">
        <v>47141</v>
      </c>
      <c r="N13656" t="s">
        <v>47424</v>
      </c>
      <c r="O13656" t="s">
        <v>47425</v>
      </c>
      <c r="P13656">
        <v>0</v>
      </c>
      <c r="Q13656">
        <v>2</v>
      </c>
      <c r="R13656" t="s">
        <v>47444</v>
      </c>
      <c r="S13656" t="s">
        <v>48135</v>
      </c>
      <c r="T13656" t="s">
        <v>49237</v>
      </c>
      <c r="U13656" t="s">
        <v>60816</v>
      </c>
      <c r="W13656" t="s">
        <v>47141</v>
      </c>
      <c r="X13656" t="s">
        <v>47445</v>
      </c>
    </row>
    <row r="13657" spans="1:24">
      <c r="A13657">
        <f>HYPERLINK("https://www.philgeps.gov.ph/GEPSNONPILOT/Tender/SplashBidNoticeAbstractUI.aspx?menuIndex=3&amp;refID=7130568&amp;Result=3","7130568")</f>
        <v>0</v>
      </c>
      <c r="B13657" t="s">
        <v>1135</v>
      </c>
      <c r="C13657" t="s">
        <v>16805</v>
      </c>
      <c r="D13657" t="s">
        <v>19064</v>
      </c>
      <c r="E13657" t="s">
        <v>30785</v>
      </c>
      <c r="F13657" t="s">
        <v>32831</v>
      </c>
      <c r="G13657" t="s">
        <v>32839</v>
      </c>
      <c r="H13657" t="s">
        <v>32848</v>
      </c>
      <c r="I13657" t="s">
        <v>32862</v>
      </c>
      <c r="J13657" t="s">
        <v>33108</v>
      </c>
      <c r="K13657" t="s">
        <v>42726</v>
      </c>
      <c r="M13657" t="s">
        <v>44197</v>
      </c>
      <c r="N13657" t="s">
        <v>47424</v>
      </c>
      <c r="O13657" t="s">
        <v>47425</v>
      </c>
      <c r="P13657">
        <v>0</v>
      </c>
      <c r="Q13657">
        <v>0</v>
      </c>
      <c r="R13657" t="s">
        <v>47444</v>
      </c>
      <c r="S13657" t="s">
        <v>48135</v>
      </c>
      <c r="T13657" t="s">
        <v>49175</v>
      </c>
      <c r="U13657" t="s">
        <v>60817</v>
      </c>
      <c r="W13657" t="s">
        <v>44197</v>
      </c>
      <c r="X13657" t="s">
        <v>47445</v>
      </c>
    </row>
    <row r="13658" spans="1:24">
      <c r="A13658">
        <f>HYPERLINK("https://www.philgeps.gov.ph/GEPSNONPILOT/Tender/SplashBidNoticeAbstractUI.aspx?menuIndex=3&amp;refID=7130562&amp;Result=3","7130562")</f>
        <v>0</v>
      </c>
      <c r="B13658" t="s">
        <v>231</v>
      </c>
      <c r="C13658" t="s">
        <v>16806</v>
      </c>
      <c r="D13658" t="s">
        <v>19039</v>
      </c>
      <c r="E13658" t="s">
        <v>30786</v>
      </c>
      <c r="F13658" t="s">
        <v>32831</v>
      </c>
      <c r="G13658" t="s">
        <v>32839</v>
      </c>
      <c r="H13658" t="s">
        <v>32848</v>
      </c>
      <c r="I13658" t="s">
        <v>32874</v>
      </c>
      <c r="J13658" t="s">
        <v>41302</v>
      </c>
      <c r="K13658" t="s">
        <v>42747</v>
      </c>
      <c r="M13658" t="s">
        <v>43230</v>
      </c>
      <c r="N13658" t="s">
        <v>47424</v>
      </c>
      <c r="O13658" t="s">
        <v>47425</v>
      </c>
      <c r="P13658">
        <v>0</v>
      </c>
      <c r="Q13658">
        <v>7</v>
      </c>
      <c r="R13658" t="s">
        <v>47444</v>
      </c>
      <c r="S13658" t="s">
        <v>48135</v>
      </c>
      <c r="T13658" t="s">
        <v>49073</v>
      </c>
      <c r="U13658" t="s">
        <v>60818</v>
      </c>
      <c r="W13658" t="s">
        <v>43230</v>
      </c>
      <c r="X13658" t="s">
        <v>47445</v>
      </c>
    </row>
    <row r="13659" spans="1:24">
      <c r="A13659">
        <f>HYPERLINK("https://www.philgeps.gov.ph/GEPSNONPILOT/Tender/SplashBidNoticeAbstractUI.aspx?menuIndex=3&amp;refID=7130633&amp;Result=3","7130633")</f>
        <v>0</v>
      </c>
      <c r="B13659" t="s">
        <v>1824</v>
      </c>
      <c r="C13659" t="s">
        <v>16807</v>
      </c>
      <c r="D13659" t="s">
        <v>19042</v>
      </c>
      <c r="E13659" t="s">
        <v>30787</v>
      </c>
      <c r="F13659" t="s">
        <v>32831</v>
      </c>
      <c r="G13659" t="s">
        <v>32839</v>
      </c>
      <c r="H13659" t="s">
        <v>32848</v>
      </c>
      <c r="I13659" t="s">
        <v>4303</v>
      </c>
      <c r="J13659" t="s">
        <v>41303</v>
      </c>
      <c r="K13659" t="s">
        <v>42729</v>
      </c>
      <c r="M13659" t="s">
        <v>44957</v>
      </c>
      <c r="N13659" t="s">
        <v>47424</v>
      </c>
      <c r="O13659" t="s">
        <v>47425</v>
      </c>
      <c r="P13659">
        <v>0</v>
      </c>
      <c r="Q13659">
        <v>0</v>
      </c>
      <c r="R13659" t="s">
        <v>47444</v>
      </c>
      <c r="S13659" t="s">
        <v>48135</v>
      </c>
      <c r="T13659" t="s">
        <v>49122</v>
      </c>
      <c r="U13659" t="s">
        <v>60819</v>
      </c>
      <c r="V13659" t="s">
        <v>64168</v>
      </c>
      <c r="W13659" t="s">
        <v>44957</v>
      </c>
      <c r="X13659" t="s">
        <v>47445</v>
      </c>
    </row>
    <row r="13660" spans="1:24">
      <c r="A13660">
        <f>HYPERLINK("https://www.philgeps.gov.ph/GEPSNONPILOT/Tender/SplashBidNoticeAbstractUI.aspx?menuIndex=3&amp;refID=7130734&amp;Result=3","7130734")</f>
        <v>0</v>
      </c>
      <c r="B13660" t="s">
        <v>3726</v>
      </c>
      <c r="C13660" t="s">
        <v>16808</v>
      </c>
      <c r="D13660" t="s">
        <v>19023</v>
      </c>
      <c r="E13660" t="s">
        <v>30788</v>
      </c>
      <c r="F13660" t="s">
        <v>32831</v>
      </c>
      <c r="G13660" t="s">
        <v>32839</v>
      </c>
      <c r="H13660" t="s">
        <v>32848</v>
      </c>
      <c r="I13660" t="s">
        <v>32875</v>
      </c>
      <c r="J13660" t="s">
        <v>41304</v>
      </c>
      <c r="K13660" t="s">
        <v>42732</v>
      </c>
      <c r="M13660" t="s">
        <v>47121</v>
      </c>
      <c r="N13660" t="s">
        <v>47424</v>
      </c>
      <c r="O13660" t="s">
        <v>47425</v>
      </c>
      <c r="P13660">
        <v>0</v>
      </c>
      <c r="Q13660">
        <v>5</v>
      </c>
      <c r="R13660" t="s">
        <v>47444</v>
      </c>
      <c r="S13660" t="s">
        <v>48135</v>
      </c>
      <c r="T13660" t="s">
        <v>49096</v>
      </c>
      <c r="U13660" t="s">
        <v>60820</v>
      </c>
      <c r="W13660" t="s">
        <v>47121</v>
      </c>
      <c r="X13660" t="s">
        <v>47445</v>
      </c>
    </row>
    <row r="13661" spans="1:24">
      <c r="A13661">
        <f>HYPERLINK("https://www.philgeps.gov.ph/GEPSNONPILOT/Tender/SplashBidNoticeAbstractUI.aspx?menuIndex=3&amp;refID=7131064&amp;Result=3","7131064")</f>
        <v>0</v>
      </c>
      <c r="B13661" t="s">
        <v>1545</v>
      </c>
      <c r="C13661" t="s">
        <v>16809</v>
      </c>
      <c r="D13661" t="s">
        <v>19044</v>
      </c>
      <c r="E13661" t="s">
        <v>30789</v>
      </c>
      <c r="F13661" t="s">
        <v>32831</v>
      </c>
      <c r="G13661" t="s">
        <v>32839</v>
      </c>
      <c r="H13661" t="s">
        <v>32849</v>
      </c>
      <c r="I13661" t="s">
        <v>4177</v>
      </c>
      <c r="J13661" t="s">
        <v>33118</v>
      </c>
      <c r="K13661" t="s">
        <v>42729</v>
      </c>
      <c r="M13661" t="s">
        <v>44649</v>
      </c>
      <c r="N13661" t="s">
        <v>47424</v>
      </c>
      <c r="O13661" t="s">
        <v>47425</v>
      </c>
      <c r="Q13661">
        <v>0</v>
      </c>
      <c r="R13661" t="s">
        <v>47444</v>
      </c>
      <c r="S13661" t="s">
        <v>48178</v>
      </c>
      <c r="T13661" t="s">
        <v>49108</v>
      </c>
      <c r="U13661" t="s">
        <v>60821</v>
      </c>
      <c r="W13661" t="s">
        <v>44649</v>
      </c>
      <c r="X13661" t="s">
        <v>47445</v>
      </c>
    </row>
    <row r="13662" spans="1:24">
      <c r="A13662">
        <f>HYPERLINK("https://www.philgeps.gov.ph/GEPSNONPILOT/Tender/SplashBidNoticeAbstractUI.aspx?menuIndex=3&amp;refID=7131063&amp;Result=3","7131063")</f>
        <v>0</v>
      </c>
      <c r="B13662" t="s">
        <v>1447</v>
      </c>
      <c r="C13662" t="s">
        <v>16810</v>
      </c>
      <c r="D13662" t="s">
        <v>19057</v>
      </c>
      <c r="E13662" t="s">
        <v>30790</v>
      </c>
      <c r="F13662" t="s">
        <v>32831</v>
      </c>
      <c r="G13662" t="s">
        <v>32839</v>
      </c>
      <c r="H13662" t="s">
        <v>32849</v>
      </c>
      <c r="I13662" t="s">
        <v>4177</v>
      </c>
      <c r="J13662" t="s">
        <v>33016</v>
      </c>
      <c r="K13662" t="s">
        <v>42763</v>
      </c>
      <c r="M13662" t="s">
        <v>44539</v>
      </c>
      <c r="N13662" t="s">
        <v>47424</v>
      </c>
      <c r="O13662" t="s">
        <v>47425</v>
      </c>
      <c r="P13662">
        <v>0</v>
      </c>
      <c r="Q13662">
        <v>0</v>
      </c>
      <c r="R13662" t="s">
        <v>47444</v>
      </c>
      <c r="S13662" t="s">
        <v>48135</v>
      </c>
      <c r="T13662" t="s">
        <v>49056</v>
      </c>
      <c r="U13662" t="s">
        <v>60822</v>
      </c>
      <c r="V13662" t="s">
        <v>63002</v>
      </c>
      <c r="W13662" t="s">
        <v>44539</v>
      </c>
      <c r="X13662" t="s">
        <v>47445</v>
      </c>
    </row>
    <row r="13663" spans="1:24">
      <c r="A13663">
        <f>HYPERLINK("https://www.philgeps.gov.ph/GEPSNONPILOT/Tender/SplashBidNoticeAbstractUI.aspx?menuIndex=3&amp;refID=7130766&amp;Result=3","7130766")</f>
        <v>0</v>
      </c>
      <c r="B13663" t="s">
        <v>1533</v>
      </c>
      <c r="C13663" t="s">
        <v>16811</v>
      </c>
      <c r="D13663" t="s">
        <v>19093</v>
      </c>
      <c r="E13663" t="s">
        <v>30791</v>
      </c>
      <c r="F13663" t="s">
        <v>32831</v>
      </c>
      <c r="G13663" t="s">
        <v>32839</v>
      </c>
      <c r="H13663" t="s">
        <v>32848</v>
      </c>
      <c r="I13663" t="s">
        <v>4776</v>
      </c>
      <c r="J13663" t="s">
        <v>41305</v>
      </c>
      <c r="K13663" t="s">
        <v>42729</v>
      </c>
      <c r="M13663" t="s">
        <v>44637</v>
      </c>
      <c r="N13663" t="s">
        <v>47424</v>
      </c>
      <c r="O13663" t="s">
        <v>47425</v>
      </c>
      <c r="P13663">
        <v>0</v>
      </c>
      <c r="Q13663">
        <v>12</v>
      </c>
      <c r="R13663" t="s">
        <v>47444</v>
      </c>
      <c r="S13663" t="s">
        <v>48135</v>
      </c>
      <c r="T13663" t="s">
        <v>49066</v>
      </c>
      <c r="U13663" t="s">
        <v>60823</v>
      </c>
      <c r="W13663" t="s">
        <v>44637</v>
      </c>
      <c r="X13663" t="s">
        <v>47445</v>
      </c>
    </row>
    <row r="13664" spans="1:24">
      <c r="A13664">
        <f>HYPERLINK("https://www.philgeps.gov.ph/GEPSNONPILOT/Tender/SplashBidNoticeAbstractUI.aspx?menuIndex=3&amp;refID=7130550&amp;Result=3","7130550")</f>
        <v>0</v>
      </c>
      <c r="B13664" t="s">
        <v>693</v>
      </c>
      <c r="C13664" t="s">
        <v>16812</v>
      </c>
      <c r="D13664" t="s">
        <v>19073</v>
      </c>
      <c r="E13664" t="s">
        <v>30792</v>
      </c>
      <c r="F13664" t="s">
        <v>32831</v>
      </c>
      <c r="G13664" t="s">
        <v>32839</v>
      </c>
      <c r="H13664" t="s">
        <v>32848</v>
      </c>
      <c r="I13664" t="s">
        <v>32870</v>
      </c>
      <c r="J13664" t="s">
        <v>41306</v>
      </c>
      <c r="K13664" t="s">
        <v>42731</v>
      </c>
      <c r="M13664" t="s">
        <v>44145</v>
      </c>
      <c r="N13664" t="s">
        <v>47424</v>
      </c>
      <c r="O13664" t="s">
        <v>47425</v>
      </c>
      <c r="P13664">
        <v>0</v>
      </c>
      <c r="Q13664">
        <v>0</v>
      </c>
      <c r="R13664" t="s">
        <v>47444</v>
      </c>
      <c r="S13664" t="s">
        <v>48135</v>
      </c>
      <c r="T13664" t="s">
        <v>49080</v>
      </c>
      <c r="U13664" t="s">
        <v>53968</v>
      </c>
      <c r="V13664" t="s">
        <v>63187</v>
      </c>
      <c r="W13664" t="s">
        <v>64457</v>
      </c>
      <c r="X13664" t="s">
        <v>47445</v>
      </c>
    </row>
    <row r="13665" spans="1:24">
      <c r="A13665">
        <f>HYPERLINK("https://www.philgeps.gov.ph/GEPSNONPILOT/Tender/SplashBidNoticeAbstractUI.aspx?menuIndex=3&amp;refID=7131046&amp;Result=3","7131046")</f>
        <v>0</v>
      </c>
      <c r="B13665" t="s">
        <v>2461</v>
      </c>
      <c r="C13665" t="s">
        <v>16813</v>
      </c>
      <c r="D13665" t="s">
        <v>19037</v>
      </c>
      <c r="E13665" t="s">
        <v>30793</v>
      </c>
      <c r="F13665" t="s">
        <v>32831</v>
      </c>
      <c r="G13665" t="s">
        <v>32839</v>
      </c>
      <c r="H13665" t="s">
        <v>32849</v>
      </c>
      <c r="I13665" t="s">
        <v>4177</v>
      </c>
      <c r="J13665" t="s">
        <v>41307</v>
      </c>
      <c r="K13665" t="s">
        <v>42770</v>
      </c>
      <c r="M13665" t="s">
        <v>45659</v>
      </c>
      <c r="N13665" t="s">
        <v>47424</v>
      </c>
      <c r="O13665" t="s">
        <v>47425</v>
      </c>
      <c r="P13665">
        <v>0</v>
      </c>
      <c r="Q13665">
        <v>3</v>
      </c>
      <c r="R13665" t="s">
        <v>47444</v>
      </c>
      <c r="S13665" t="s">
        <v>48135</v>
      </c>
      <c r="T13665" t="s">
        <v>49199</v>
      </c>
      <c r="U13665" t="s">
        <v>55537</v>
      </c>
      <c r="W13665" t="s">
        <v>64509</v>
      </c>
      <c r="X13665" t="s">
        <v>47445</v>
      </c>
    </row>
    <row r="13666" spans="1:24">
      <c r="A13666">
        <f>HYPERLINK("https://www.philgeps.gov.ph/GEPSNONPILOT/Tender/SplashBidNoticeAbstractUI.aspx?menuIndex=3&amp;refID=7131027&amp;Result=3","7131027")</f>
        <v>0</v>
      </c>
      <c r="B13666" t="s">
        <v>3744</v>
      </c>
      <c r="C13666" t="s">
        <v>16814</v>
      </c>
      <c r="D13666" t="s">
        <v>19057</v>
      </c>
      <c r="E13666" t="s">
        <v>30794</v>
      </c>
      <c r="F13666" t="s">
        <v>32831</v>
      </c>
      <c r="G13666" t="s">
        <v>32839</v>
      </c>
      <c r="H13666" t="s">
        <v>32848</v>
      </c>
      <c r="I13666" t="s">
        <v>4303</v>
      </c>
      <c r="J13666" t="s">
        <v>33087</v>
      </c>
      <c r="K13666" t="s">
        <v>42732</v>
      </c>
      <c r="M13666" t="s">
        <v>47142</v>
      </c>
      <c r="N13666" t="s">
        <v>47424</v>
      </c>
      <c r="O13666" t="s">
        <v>47425</v>
      </c>
      <c r="P13666">
        <v>0</v>
      </c>
      <c r="Q13666">
        <v>0</v>
      </c>
      <c r="R13666" t="s">
        <v>47444</v>
      </c>
      <c r="S13666" t="s">
        <v>48135</v>
      </c>
      <c r="T13666" t="s">
        <v>49215</v>
      </c>
      <c r="U13666" t="s">
        <v>60824</v>
      </c>
      <c r="W13666" t="s">
        <v>47142</v>
      </c>
      <c r="X13666" t="s">
        <v>47445</v>
      </c>
    </row>
    <row r="13667" spans="1:24">
      <c r="A13667">
        <f>HYPERLINK("https://www.philgeps.gov.ph/GEPSNONPILOT/Tender/SplashBidNoticeAbstractUI.aspx?menuIndex=3&amp;refID=7130761&amp;Result=3","7130761")</f>
        <v>0</v>
      </c>
      <c r="B13667" t="s">
        <v>3735</v>
      </c>
      <c r="C13667" t="s">
        <v>16815</v>
      </c>
      <c r="D13667" t="s">
        <v>19074</v>
      </c>
      <c r="E13667" t="s">
        <v>30795</v>
      </c>
      <c r="F13667" t="s">
        <v>32831</v>
      </c>
      <c r="G13667" t="s">
        <v>32839</v>
      </c>
      <c r="H13667" t="s">
        <v>32848</v>
      </c>
      <c r="I13667" t="s">
        <v>4177</v>
      </c>
      <c r="J13667" t="s">
        <v>33257</v>
      </c>
      <c r="K13667" t="s">
        <v>42977</v>
      </c>
      <c r="M13667" t="s">
        <v>47130</v>
      </c>
      <c r="N13667" t="s">
        <v>47424</v>
      </c>
      <c r="O13667" t="s">
        <v>47425</v>
      </c>
      <c r="P13667">
        <v>0</v>
      </c>
      <c r="Q13667">
        <v>1</v>
      </c>
      <c r="R13667" t="s">
        <v>47444</v>
      </c>
      <c r="S13667" t="s">
        <v>48135</v>
      </c>
      <c r="T13667" t="s">
        <v>49106</v>
      </c>
      <c r="U13667" t="s">
        <v>60825</v>
      </c>
      <c r="W13667" t="s">
        <v>47130</v>
      </c>
      <c r="X13667" t="s">
        <v>47445</v>
      </c>
    </row>
    <row r="13668" spans="1:24">
      <c r="A13668">
        <f>HYPERLINK("https://www.philgeps.gov.ph/GEPSNONPILOT/Tender/SplashBidNoticeAbstractUI.aspx?menuIndex=3&amp;refID=7130597&amp;Result=3","7130597")</f>
        <v>0</v>
      </c>
      <c r="B13668" t="s">
        <v>677</v>
      </c>
      <c r="C13668" t="s">
        <v>16816</v>
      </c>
      <c r="D13668" t="s">
        <v>19024</v>
      </c>
      <c r="E13668" t="s">
        <v>30796</v>
      </c>
      <c r="F13668" t="s">
        <v>32831</v>
      </c>
      <c r="G13668" t="s">
        <v>32839</v>
      </c>
      <c r="H13668" t="s">
        <v>32848</v>
      </c>
      <c r="I13668" t="s">
        <v>4776</v>
      </c>
      <c r="J13668" t="s">
        <v>41308</v>
      </c>
      <c r="K13668" t="s">
        <v>42730</v>
      </c>
      <c r="M13668" t="s">
        <v>43696</v>
      </c>
      <c r="N13668" t="s">
        <v>47424</v>
      </c>
      <c r="O13668" t="s">
        <v>47425</v>
      </c>
      <c r="P13668">
        <v>0</v>
      </c>
      <c r="Q13668">
        <v>6</v>
      </c>
      <c r="R13668" t="s">
        <v>47444</v>
      </c>
      <c r="S13668" t="s">
        <v>48135</v>
      </c>
      <c r="T13668" t="s">
        <v>49066</v>
      </c>
      <c r="U13668" t="s">
        <v>60826</v>
      </c>
      <c r="W13668" t="s">
        <v>43696</v>
      </c>
      <c r="X13668" t="s">
        <v>47445</v>
      </c>
    </row>
    <row r="13669" spans="1:24">
      <c r="A13669">
        <f>HYPERLINK("https://www.philgeps.gov.ph/GEPSNONPILOT/Tender/SplashBidNoticeAbstractUI.aspx?menuIndex=3&amp;refID=7131043&amp;Result=3","7131043")</f>
        <v>0</v>
      </c>
      <c r="B13669" t="s">
        <v>1545</v>
      </c>
      <c r="C13669" t="s">
        <v>16817</v>
      </c>
      <c r="D13669" t="s">
        <v>19044</v>
      </c>
      <c r="E13669" t="s">
        <v>30797</v>
      </c>
      <c r="F13669" t="s">
        <v>32831</v>
      </c>
      <c r="G13669" t="s">
        <v>32839</v>
      </c>
      <c r="H13669" t="s">
        <v>32849</v>
      </c>
      <c r="I13669" t="s">
        <v>4177</v>
      </c>
      <c r="J13669" t="s">
        <v>33118</v>
      </c>
      <c r="K13669" t="s">
        <v>42729</v>
      </c>
      <c r="M13669" t="s">
        <v>44649</v>
      </c>
      <c r="N13669" t="s">
        <v>47424</v>
      </c>
      <c r="O13669" t="s">
        <v>47425</v>
      </c>
      <c r="Q13669">
        <v>1</v>
      </c>
      <c r="R13669" t="s">
        <v>47444</v>
      </c>
      <c r="S13669" t="s">
        <v>48179</v>
      </c>
      <c r="T13669" t="s">
        <v>49108</v>
      </c>
      <c r="U13669" t="s">
        <v>60821</v>
      </c>
      <c r="W13669" t="s">
        <v>44649</v>
      </c>
      <c r="X13669" t="s">
        <v>47445</v>
      </c>
    </row>
    <row r="13670" spans="1:24">
      <c r="A13670">
        <f>HYPERLINK("https://www.philgeps.gov.ph/GEPSNONPILOT/Tender/SplashBidNoticeAbstractUI.aspx?menuIndex=3&amp;refID=7130705&amp;Result=3","7130705")</f>
        <v>0</v>
      </c>
      <c r="B13670" t="s">
        <v>3745</v>
      </c>
      <c r="C13670" t="s">
        <v>16818</v>
      </c>
      <c r="D13670" t="s">
        <v>19074</v>
      </c>
      <c r="E13670" t="s">
        <v>30798</v>
      </c>
      <c r="F13670" t="s">
        <v>32831</v>
      </c>
      <c r="G13670" t="s">
        <v>32839</v>
      </c>
      <c r="H13670" t="s">
        <v>32849</v>
      </c>
      <c r="I13670" t="s">
        <v>4177</v>
      </c>
      <c r="J13670" t="s">
        <v>41309</v>
      </c>
      <c r="K13670" t="s">
        <v>42789</v>
      </c>
      <c r="M13670" t="s">
        <v>47143</v>
      </c>
      <c r="N13670" t="s">
        <v>47424</v>
      </c>
      <c r="O13670" t="s">
        <v>47425</v>
      </c>
      <c r="P13670">
        <v>0</v>
      </c>
      <c r="Q13670">
        <v>2</v>
      </c>
      <c r="R13670" t="s">
        <v>47444</v>
      </c>
      <c r="S13670" t="s">
        <v>48135</v>
      </c>
      <c r="T13670" t="s">
        <v>49069</v>
      </c>
      <c r="U13670" t="s">
        <v>60827</v>
      </c>
      <c r="W13670" t="s">
        <v>47143</v>
      </c>
      <c r="X13670" t="s">
        <v>47445</v>
      </c>
    </row>
    <row r="13671" spans="1:24">
      <c r="A13671">
        <f>HYPERLINK("https://www.philgeps.gov.ph/GEPSNONPILOT/Tender/SplashBidNoticeAbstractUI.aspx?menuIndex=3&amp;refID=7130964&amp;Result=3","7130964")</f>
        <v>0</v>
      </c>
      <c r="B13671" t="s">
        <v>2018</v>
      </c>
      <c r="C13671" t="s">
        <v>16819</v>
      </c>
      <c r="D13671" t="s">
        <v>19074</v>
      </c>
      <c r="E13671" t="s">
        <v>30799</v>
      </c>
      <c r="F13671" t="s">
        <v>32831</v>
      </c>
      <c r="G13671" t="s">
        <v>32839</v>
      </c>
      <c r="H13671" t="s">
        <v>32849</v>
      </c>
      <c r="I13671" t="s">
        <v>4177</v>
      </c>
      <c r="J13671" t="s">
        <v>41310</v>
      </c>
      <c r="K13671" t="s">
        <v>42770</v>
      </c>
      <c r="M13671" t="s">
        <v>45185</v>
      </c>
      <c r="N13671" t="s">
        <v>47424</v>
      </c>
      <c r="O13671" t="s">
        <v>47425</v>
      </c>
      <c r="P13671">
        <v>0</v>
      </c>
      <c r="Q13671">
        <v>0</v>
      </c>
      <c r="R13671" t="s">
        <v>47444</v>
      </c>
      <c r="S13671" t="s">
        <v>48135</v>
      </c>
      <c r="T13671" t="s">
        <v>49162</v>
      </c>
      <c r="U13671" t="s">
        <v>60828</v>
      </c>
      <c r="W13671" t="s">
        <v>45185</v>
      </c>
      <c r="X13671" t="s">
        <v>47445</v>
      </c>
    </row>
    <row r="13672" spans="1:24">
      <c r="A13672">
        <f>HYPERLINK("https://www.philgeps.gov.ph/GEPSNONPILOT/Tender/SplashBidNoticeAbstractUI.aspx?menuIndex=3&amp;refID=7130954&amp;Result=3","7130954")</f>
        <v>0</v>
      </c>
      <c r="B13672" t="s">
        <v>1447</v>
      </c>
      <c r="C13672" t="s">
        <v>16820</v>
      </c>
      <c r="D13672" t="s">
        <v>19057</v>
      </c>
      <c r="E13672" t="s">
        <v>30800</v>
      </c>
      <c r="F13672" t="s">
        <v>32831</v>
      </c>
      <c r="G13672" t="s">
        <v>32839</v>
      </c>
      <c r="H13672" t="s">
        <v>32849</v>
      </c>
      <c r="I13672" t="s">
        <v>4177</v>
      </c>
      <c r="J13672" t="s">
        <v>41311</v>
      </c>
      <c r="K13672" t="s">
        <v>42770</v>
      </c>
      <c r="M13672" t="s">
        <v>44539</v>
      </c>
      <c r="N13672" t="s">
        <v>47424</v>
      </c>
      <c r="O13672" t="s">
        <v>47425</v>
      </c>
      <c r="P13672">
        <v>0</v>
      </c>
      <c r="Q13672">
        <v>0</v>
      </c>
      <c r="R13672" t="s">
        <v>47444</v>
      </c>
      <c r="S13672" t="s">
        <v>48135</v>
      </c>
      <c r="T13672" t="s">
        <v>49056</v>
      </c>
      <c r="U13672" t="s">
        <v>60829</v>
      </c>
      <c r="V13672" t="s">
        <v>63002</v>
      </c>
      <c r="W13672" t="s">
        <v>44539</v>
      </c>
      <c r="X13672" t="s">
        <v>47445</v>
      </c>
    </row>
    <row r="13673" spans="1:24">
      <c r="A13673">
        <f>HYPERLINK("https://www.philgeps.gov.ph/GEPSNONPILOT/Tender/SplashBidNoticeAbstractUI.aspx?menuIndex=3&amp;refID=7131061&amp;Result=3","7131061")</f>
        <v>0</v>
      </c>
      <c r="B13673" t="s">
        <v>781</v>
      </c>
      <c r="C13673" t="s">
        <v>16821</v>
      </c>
      <c r="D13673" t="s">
        <v>19040</v>
      </c>
      <c r="E13673" t="s">
        <v>30801</v>
      </c>
      <c r="F13673" t="s">
        <v>32831</v>
      </c>
      <c r="G13673" t="s">
        <v>32839</v>
      </c>
      <c r="H13673" t="s">
        <v>32848</v>
      </c>
      <c r="I13673" t="s">
        <v>4177</v>
      </c>
      <c r="J13673" t="s">
        <v>41312</v>
      </c>
      <c r="K13673" t="s">
        <v>42958</v>
      </c>
      <c r="M13673" t="s">
        <v>46733</v>
      </c>
      <c r="N13673" t="s">
        <v>47424</v>
      </c>
      <c r="O13673" t="s">
        <v>47425</v>
      </c>
      <c r="Q13673">
        <v>2</v>
      </c>
      <c r="R13673" t="s">
        <v>47444</v>
      </c>
      <c r="S13673" t="s">
        <v>48180</v>
      </c>
      <c r="T13673" t="s">
        <v>49073</v>
      </c>
      <c r="U13673" t="s">
        <v>60579</v>
      </c>
      <c r="W13673" t="s">
        <v>46733</v>
      </c>
      <c r="X13673" t="s">
        <v>47445</v>
      </c>
    </row>
    <row r="13674" spans="1:24">
      <c r="A13674">
        <f>HYPERLINK("https://www.philgeps.gov.ph/GEPSNONPILOT/Tender/SplashBidNoticeAbstractUI.aspx?menuIndex=3&amp;refID=7131044&amp;Result=3","7131044")</f>
        <v>0</v>
      </c>
      <c r="B13674" t="s">
        <v>1169</v>
      </c>
      <c r="C13674" t="s">
        <v>16822</v>
      </c>
      <c r="D13674" t="s">
        <v>19045</v>
      </c>
      <c r="E13674" t="s">
        <v>30802</v>
      </c>
      <c r="F13674" t="s">
        <v>32831</v>
      </c>
      <c r="G13674" t="s">
        <v>32839</v>
      </c>
      <c r="H13674" t="s">
        <v>32848</v>
      </c>
      <c r="I13674" t="s">
        <v>4438</v>
      </c>
      <c r="J13674" t="s">
        <v>41313</v>
      </c>
      <c r="K13674" t="s">
        <v>42730</v>
      </c>
      <c r="M13674" t="s">
        <v>44234</v>
      </c>
      <c r="N13674" t="s">
        <v>47424</v>
      </c>
      <c r="O13674" t="s">
        <v>47425</v>
      </c>
      <c r="P13674">
        <v>0</v>
      </c>
      <c r="Q13674">
        <v>5</v>
      </c>
      <c r="R13674" t="s">
        <v>47444</v>
      </c>
      <c r="S13674" t="s">
        <v>48135</v>
      </c>
      <c r="T13674" t="s">
        <v>49166</v>
      </c>
      <c r="U13674" t="s">
        <v>60830</v>
      </c>
      <c r="W13674" t="s">
        <v>44234</v>
      </c>
      <c r="X13674" t="s">
        <v>47445</v>
      </c>
    </row>
    <row r="13675" spans="1:24">
      <c r="A13675">
        <f>HYPERLINK("https://www.philgeps.gov.ph/GEPSNONPILOT/Tender/SplashBidNoticeAbstractUI.aspx?menuIndex=3&amp;refID=7130813&amp;Result=3","7130813")</f>
        <v>0</v>
      </c>
      <c r="B13675" t="s">
        <v>3746</v>
      </c>
      <c r="C13675" t="s">
        <v>16823</v>
      </c>
      <c r="D13675" t="s">
        <v>19017</v>
      </c>
      <c r="E13675" t="s">
        <v>30803</v>
      </c>
      <c r="F13675" t="s">
        <v>32831</v>
      </c>
      <c r="G13675" t="s">
        <v>32839</v>
      </c>
      <c r="H13675" t="s">
        <v>32848</v>
      </c>
      <c r="I13675" t="s">
        <v>4487</v>
      </c>
      <c r="J13675" t="s">
        <v>33257</v>
      </c>
      <c r="K13675" t="s">
        <v>42763</v>
      </c>
      <c r="M13675" t="s">
        <v>47144</v>
      </c>
      <c r="N13675" t="s">
        <v>47424</v>
      </c>
      <c r="O13675" t="s">
        <v>47425</v>
      </c>
      <c r="Q13675">
        <v>25</v>
      </c>
      <c r="R13675" t="s">
        <v>47444</v>
      </c>
      <c r="S13675" t="s">
        <v>48181</v>
      </c>
      <c r="T13675" t="s">
        <v>49138</v>
      </c>
      <c r="U13675" t="s">
        <v>60831</v>
      </c>
      <c r="W13675" t="s">
        <v>47144</v>
      </c>
      <c r="X13675" t="s">
        <v>47445</v>
      </c>
    </row>
    <row r="13676" spans="1:24">
      <c r="A13676">
        <f>HYPERLINK("https://www.philgeps.gov.ph/GEPSNONPILOT/Tender/SplashBidNoticeAbstractUI.aspx?menuIndex=3&amp;refID=7131012&amp;Result=3","7131012")</f>
        <v>0</v>
      </c>
      <c r="B13676" t="s">
        <v>1545</v>
      </c>
      <c r="C13676" t="s">
        <v>16824</v>
      </c>
      <c r="D13676" t="s">
        <v>19044</v>
      </c>
      <c r="E13676" t="s">
        <v>30804</v>
      </c>
      <c r="F13676" t="s">
        <v>32831</v>
      </c>
      <c r="G13676" t="s">
        <v>32839</v>
      </c>
      <c r="H13676" t="s">
        <v>32849</v>
      </c>
      <c r="I13676" t="s">
        <v>4177</v>
      </c>
      <c r="J13676" t="s">
        <v>37878</v>
      </c>
      <c r="K13676" t="s">
        <v>42763</v>
      </c>
      <c r="M13676" t="s">
        <v>44649</v>
      </c>
      <c r="N13676" t="s">
        <v>47424</v>
      </c>
      <c r="O13676" t="s">
        <v>47425</v>
      </c>
      <c r="Q13676">
        <v>0</v>
      </c>
      <c r="R13676" t="s">
        <v>47444</v>
      </c>
      <c r="S13676" t="s">
        <v>48182</v>
      </c>
      <c r="T13676" t="s">
        <v>49108</v>
      </c>
      <c r="U13676" t="s">
        <v>60832</v>
      </c>
      <c r="W13676" t="s">
        <v>44649</v>
      </c>
      <c r="X13676" t="s">
        <v>47445</v>
      </c>
    </row>
    <row r="13677" spans="1:24">
      <c r="A13677">
        <f>HYPERLINK("https://www.philgeps.gov.ph/GEPSNONPILOT/Tender/SplashBidNoticeAbstractUI.aspx?menuIndex=3&amp;refID=7130898&amp;Result=3","7130898")</f>
        <v>0</v>
      </c>
      <c r="B13677" t="s">
        <v>3256</v>
      </c>
      <c r="C13677" t="s">
        <v>16825</v>
      </c>
      <c r="D13677" t="s">
        <v>19040</v>
      </c>
      <c r="E13677" t="s">
        <v>30805</v>
      </c>
      <c r="F13677" t="s">
        <v>32831</v>
      </c>
      <c r="G13677" t="s">
        <v>32839</v>
      </c>
      <c r="H13677" t="s">
        <v>32849</v>
      </c>
      <c r="I13677" t="s">
        <v>4177</v>
      </c>
      <c r="J13677" t="s">
        <v>41314</v>
      </c>
      <c r="K13677" t="s">
        <v>42923</v>
      </c>
      <c r="M13677" t="s">
        <v>46572</v>
      </c>
      <c r="N13677" t="s">
        <v>47424</v>
      </c>
      <c r="O13677" t="s">
        <v>47425</v>
      </c>
      <c r="P13677">
        <v>0</v>
      </c>
      <c r="Q13677">
        <v>0</v>
      </c>
      <c r="R13677" t="s">
        <v>47444</v>
      </c>
      <c r="S13677" t="s">
        <v>48135</v>
      </c>
      <c r="T13677" t="s">
        <v>49166</v>
      </c>
      <c r="U13677" t="s">
        <v>60771</v>
      </c>
      <c r="V13677" t="s">
        <v>64169</v>
      </c>
      <c r="W13677" t="s">
        <v>46572</v>
      </c>
      <c r="X13677" t="s">
        <v>47445</v>
      </c>
    </row>
    <row r="13678" spans="1:24">
      <c r="A13678">
        <f>HYPERLINK("https://www.philgeps.gov.ph/GEPSNONPILOT/Tender/SplashBidNoticeAbstractUI.aspx?menuIndex=3&amp;refID=7130895&amp;Result=3","7130895")</f>
        <v>0</v>
      </c>
      <c r="B13678" t="s">
        <v>2415</v>
      </c>
      <c r="C13678" t="s">
        <v>16826</v>
      </c>
      <c r="D13678" t="s">
        <v>19044</v>
      </c>
      <c r="E13678" t="s">
        <v>30806</v>
      </c>
      <c r="F13678" t="s">
        <v>32831</v>
      </c>
      <c r="G13678" t="s">
        <v>32839</v>
      </c>
      <c r="H13678" t="s">
        <v>32848</v>
      </c>
      <c r="I13678" t="s">
        <v>32861</v>
      </c>
      <c r="J13678" t="s">
        <v>41315</v>
      </c>
      <c r="K13678" t="s">
        <v>42732</v>
      </c>
      <c r="M13678" t="s">
        <v>45610</v>
      </c>
      <c r="N13678" t="s">
        <v>47424</v>
      </c>
      <c r="O13678" t="s">
        <v>47425</v>
      </c>
      <c r="Q13678">
        <v>48</v>
      </c>
      <c r="R13678" t="s">
        <v>47444</v>
      </c>
      <c r="S13678" t="s">
        <v>48183</v>
      </c>
      <c r="T13678" t="s">
        <v>49192</v>
      </c>
      <c r="U13678" t="s">
        <v>60833</v>
      </c>
      <c r="W13678" t="s">
        <v>45610</v>
      </c>
      <c r="X13678" t="s">
        <v>47445</v>
      </c>
    </row>
    <row r="13679" spans="1:24">
      <c r="A13679">
        <f>HYPERLINK("https://www.philgeps.gov.ph/GEPSNONPILOT/Tender/SplashBidNoticeAbstractUI.aspx?menuIndex=3&amp;refID=7130782&amp;Result=3","7130782")</f>
        <v>0</v>
      </c>
      <c r="B13679" t="s">
        <v>516</v>
      </c>
      <c r="C13679" t="s">
        <v>16827</v>
      </c>
      <c r="D13679" t="s">
        <v>19021</v>
      </c>
      <c r="E13679" t="s">
        <v>29027</v>
      </c>
      <c r="F13679" t="s">
        <v>32831</v>
      </c>
      <c r="G13679" t="s">
        <v>32839</v>
      </c>
      <c r="H13679" t="s">
        <v>32849</v>
      </c>
      <c r="I13679" t="s">
        <v>4177</v>
      </c>
      <c r="J13679" t="s">
        <v>41316</v>
      </c>
      <c r="K13679" t="s">
        <v>42763</v>
      </c>
      <c r="M13679" t="s">
        <v>43521</v>
      </c>
      <c r="N13679" t="s">
        <v>47424</v>
      </c>
      <c r="O13679" t="s">
        <v>47425</v>
      </c>
      <c r="P13679">
        <v>0</v>
      </c>
      <c r="Q13679">
        <v>11</v>
      </c>
      <c r="R13679" t="s">
        <v>47444</v>
      </c>
      <c r="S13679" t="s">
        <v>48135</v>
      </c>
      <c r="T13679" t="s">
        <v>49237</v>
      </c>
      <c r="U13679" t="s">
        <v>60834</v>
      </c>
      <c r="V13679" t="s">
        <v>64061</v>
      </c>
      <c r="W13679" t="s">
        <v>43521</v>
      </c>
      <c r="X13679" t="s">
        <v>47445</v>
      </c>
    </row>
    <row r="13680" spans="1:24">
      <c r="A13680">
        <f>HYPERLINK("https://www.philgeps.gov.ph/GEPSNONPILOT/Tender/SplashBidNoticeAbstractUI.aspx?menuIndex=3&amp;refID=7130544&amp;Result=3","7130544")</f>
        <v>0</v>
      </c>
      <c r="B13680" t="s">
        <v>1141</v>
      </c>
      <c r="C13680" t="s">
        <v>16828</v>
      </c>
      <c r="D13680" t="s">
        <v>19017</v>
      </c>
      <c r="E13680" t="s">
        <v>30807</v>
      </c>
      <c r="F13680" t="s">
        <v>32831</v>
      </c>
      <c r="G13680" t="s">
        <v>32839</v>
      </c>
      <c r="H13680" t="s">
        <v>32849</v>
      </c>
      <c r="I13680" t="s">
        <v>4177</v>
      </c>
      <c r="J13680" t="s">
        <v>41317</v>
      </c>
      <c r="K13680" t="s">
        <v>42780</v>
      </c>
      <c r="M13680" t="s">
        <v>44205</v>
      </c>
      <c r="N13680" t="s">
        <v>47424</v>
      </c>
      <c r="O13680" t="s">
        <v>47425</v>
      </c>
      <c r="Q13680">
        <v>19</v>
      </c>
      <c r="R13680" t="s">
        <v>47444</v>
      </c>
      <c r="S13680" t="s">
        <v>47835</v>
      </c>
      <c r="T13680" t="s">
        <v>49237</v>
      </c>
      <c r="U13680" t="s">
        <v>60835</v>
      </c>
      <c r="W13680" t="s">
        <v>64459</v>
      </c>
      <c r="X13680" t="s">
        <v>47445</v>
      </c>
    </row>
    <row r="13681" spans="1:24">
      <c r="A13681">
        <f>HYPERLINK("https://www.philgeps.gov.ph/GEPSNONPILOT/Tender/SplashBidNoticeAbstractUI.aspx?menuIndex=3&amp;refID=7130961&amp;Result=3","7130961")</f>
        <v>0</v>
      </c>
      <c r="B13681" t="s">
        <v>3747</v>
      </c>
      <c r="C13681" t="s">
        <v>16829</v>
      </c>
      <c r="D13681" t="s">
        <v>19038</v>
      </c>
      <c r="E13681" t="s">
        <v>20769</v>
      </c>
      <c r="F13681" t="s">
        <v>32831</v>
      </c>
      <c r="G13681" t="s">
        <v>32839</v>
      </c>
      <c r="H13681" t="s">
        <v>32848</v>
      </c>
      <c r="I13681" t="s">
        <v>7416</v>
      </c>
      <c r="J13681" t="s">
        <v>36087</v>
      </c>
      <c r="K13681" t="s">
        <v>42731</v>
      </c>
      <c r="M13681" t="s">
        <v>47145</v>
      </c>
      <c r="N13681" t="s">
        <v>47424</v>
      </c>
      <c r="O13681" t="s">
        <v>47425</v>
      </c>
      <c r="P13681">
        <v>0</v>
      </c>
      <c r="Q13681">
        <v>0</v>
      </c>
      <c r="R13681" t="s">
        <v>47444</v>
      </c>
      <c r="S13681" t="s">
        <v>48135</v>
      </c>
      <c r="T13681" t="s">
        <v>49214</v>
      </c>
      <c r="U13681" t="s">
        <v>60836</v>
      </c>
      <c r="W13681" t="s">
        <v>47145</v>
      </c>
      <c r="X13681" t="s">
        <v>47445</v>
      </c>
    </row>
    <row r="13682" spans="1:24">
      <c r="A13682">
        <f>HYPERLINK("https://www.philgeps.gov.ph/GEPSNONPILOT/Tender/SplashBidNoticeAbstractUI.aspx?menuIndex=3&amp;refID=7130812&amp;Result=3","7130812")</f>
        <v>0</v>
      </c>
      <c r="B13682" t="s">
        <v>3735</v>
      </c>
      <c r="C13682" t="s">
        <v>16830</v>
      </c>
      <c r="D13682" t="s">
        <v>19074</v>
      </c>
      <c r="E13682" t="s">
        <v>30808</v>
      </c>
      <c r="F13682" t="s">
        <v>32831</v>
      </c>
      <c r="G13682" t="s">
        <v>32839</v>
      </c>
      <c r="H13682" t="s">
        <v>32849</v>
      </c>
      <c r="I13682" t="s">
        <v>4177</v>
      </c>
      <c r="J13682" t="s">
        <v>33257</v>
      </c>
      <c r="K13682" t="s">
        <v>42808</v>
      </c>
      <c r="M13682" t="s">
        <v>47130</v>
      </c>
      <c r="N13682" t="s">
        <v>47424</v>
      </c>
      <c r="O13682" t="s">
        <v>47425</v>
      </c>
      <c r="P13682">
        <v>0</v>
      </c>
      <c r="Q13682">
        <v>1</v>
      </c>
      <c r="R13682" t="s">
        <v>47444</v>
      </c>
      <c r="S13682" t="s">
        <v>48135</v>
      </c>
      <c r="T13682" t="s">
        <v>49594</v>
      </c>
      <c r="U13682" t="s">
        <v>60837</v>
      </c>
      <c r="W13682" t="s">
        <v>47130</v>
      </c>
      <c r="X13682" t="s">
        <v>47445</v>
      </c>
    </row>
    <row r="13683" spans="1:24">
      <c r="A13683">
        <f>HYPERLINK("https://www.philgeps.gov.ph/GEPSNONPILOT/Tender/SplashBidNoticeAbstractUI.aspx?menuIndex=3&amp;refID=7130784&amp;Result=3","7130784")</f>
        <v>0</v>
      </c>
      <c r="B13683" t="s">
        <v>3743</v>
      </c>
      <c r="C13683" t="s">
        <v>16831</v>
      </c>
      <c r="D13683" t="s">
        <v>19086</v>
      </c>
      <c r="E13683" t="s">
        <v>30781</v>
      </c>
      <c r="F13683" t="s">
        <v>32831</v>
      </c>
      <c r="G13683" t="s">
        <v>32839</v>
      </c>
      <c r="H13683" t="s">
        <v>32849</v>
      </c>
      <c r="I13683" t="s">
        <v>4177</v>
      </c>
      <c r="J13683" t="s">
        <v>41318</v>
      </c>
      <c r="K13683" t="s">
        <v>42763</v>
      </c>
      <c r="M13683" t="s">
        <v>47140</v>
      </c>
      <c r="N13683" t="s">
        <v>47424</v>
      </c>
      <c r="O13683" t="s">
        <v>47425</v>
      </c>
      <c r="Q13683">
        <v>28</v>
      </c>
      <c r="R13683" t="s">
        <v>47444</v>
      </c>
      <c r="S13683" t="s">
        <v>48184</v>
      </c>
      <c r="T13683" t="s">
        <v>49166</v>
      </c>
      <c r="U13683" t="s">
        <v>60838</v>
      </c>
      <c r="V13683" t="s">
        <v>64170</v>
      </c>
      <c r="W13683" t="s">
        <v>47140</v>
      </c>
      <c r="X13683" t="s">
        <v>47445</v>
      </c>
    </row>
    <row r="13684" spans="1:24">
      <c r="A13684">
        <f>HYPERLINK("https://www.philgeps.gov.ph/GEPSNONPILOT/Tender/SplashBidNoticeAbstractUI.aspx?menuIndex=3&amp;refID=7131161&amp;Result=3","7131161")</f>
        <v>0</v>
      </c>
      <c r="B13684" t="s">
        <v>1802</v>
      </c>
      <c r="C13684" t="s">
        <v>16832</v>
      </c>
      <c r="D13684" t="s">
        <v>19062</v>
      </c>
      <c r="E13684" t="s">
        <v>30809</v>
      </c>
      <c r="F13684" t="s">
        <v>32831</v>
      </c>
      <c r="G13684" t="s">
        <v>32839</v>
      </c>
      <c r="H13684" t="s">
        <v>32849</v>
      </c>
      <c r="I13684" t="s">
        <v>4177</v>
      </c>
      <c r="J13684" t="s">
        <v>37567</v>
      </c>
      <c r="K13684" t="s">
        <v>42753</v>
      </c>
      <c r="M13684" t="s">
        <v>44933</v>
      </c>
      <c r="N13684" t="s">
        <v>47424</v>
      </c>
      <c r="O13684" t="s">
        <v>47425</v>
      </c>
      <c r="P13684">
        <v>0</v>
      </c>
      <c r="Q13684">
        <v>0</v>
      </c>
      <c r="R13684" t="s">
        <v>47444</v>
      </c>
      <c r="S13684" t="s">
        <v>48135</v>
      </c>
      <c r="T13684" t="s">
        <v>49070</v>
      </c>
      <c r="U13684" t="s">
        <v>60839</v>
      </c>
      <c r="W13684" t="s">
        <v>44933</v>
      </c>
      <c r="X13684" t="s">
        <v>47445</v>
      </c>
    </row>
    <row r="13685" spans="1:24">
      <c r="A13685">
        <f>HYPERLINK("https://www.philgeps.gov.ph/GEPSNONPILOT/Tender/SplashBidNoticeAbstractUI.aspx?menuIndex=3&amp;refID=7131167&amp;Result=3","7131167")</f>
        <v>0</v>
      </c>
      <c r="B13685" t="s">
        <v>121</v>
      </c>
      <c r="C13685" t="s">
        <v>16833</v>
      </c>
      <c r="D13685" t="s">
        <v>19048</v>
      </c>
      <c r="E13685" t="s">
        <v>30810</v>
      </c>
      <c r="F13685" t="s">
        <v>32831</v>
      </c>
      <c r="G13685" t="s">
        <v>32839</v>
      </c>
      <c r="H13685" t="s">
        <v>32849</v>
      </c>
      <c r="I13685" t="s">
        <v>4177</v>
      </c>
      <c r="J13685" t="s">
        <v>41319</v>
      </c>
      <c r="K13685" t="s">
        <v>42780</v>
      </c>
      <c r="M13685" t="s">
        <v>43118</v>
      </c>
      <c r="N13685" t="s">
        <v>47424</v>
      </c>
      <c r="O13685" t="s">
        <v>47425</v>
      </c>
      <c r="Q13685">
        <v>3</v>
      </c>
      <c r="R13685" t="s">
        <v>47444</v>
      </c>
      <c r="S13685" t="s">
        <v>48185</v>
      </c>
      <c r="T13685" t="s">
        <v>49066</v>
      </c>
      <c r="U13685" t="s">
        <v>60840</v>
      </c>
      <c r="V13685" t="s">
        <v>64171</v>
      </c>
      <c r="W13685" t="s">
        <v>43118</v>
      </c>
      <c r="X13685" t="s">
        <v>47445</v>
      </c>
    </row>
    <row r="13686" spans="1:24">
      <c r="A13686">
        <f>HYPERLINK("https://www.philgeps.gov.ph/GEPSNONPILOT/Tender/SplashBidNoticeAbstractUI.aspx?menuIndex=3&amp;refID=7130987&amp;Result=3","7130987")</f>
        <v>0</v>
      </c>
      <c r="B13686" t="s">
        <v>781</v>
      </c>
      <c r="C13686" t="s">
        <v>16834</v>
      </c>
      <c r="D13686" t="s">
        <v>19040</v>
      </c>
      <c r="E13686" t="s">
        <v>30811</v>
      </c>
      <c r="F13686" t="s">
        <v>32831</v>
      </c>
      <c r="G13686" t="s">
        <v>32839</v>
      </c>
      <c r="H13686" t="s">
        <v>32848</v>
      </c>
      <c r="I13686" t="s">
        <v>4177</v>
      </c>
      <c r="J13686" t="s">
        <v>41320</v>
      </c>
      <c r="K13686" t="s">
        <v>42980</v>
      </c>
      <c r="M13686" t="s">
        <v>46733</v>
      </c>
      <c r="N13686" t="s">
        <v>47424</v>
      </c>
      <c r="O13686" t="s">
        <v>47425</v>
      </c>
      <c r="Q13686">
        <v>1</v>
      </c>
      <c r="R13686" t="s">
        <v>47444</v>
      </c>
      <c r="S13686" t="s">
        <v>48186</v>
      </c>
      <c r="T13686" t="s">
        <v>49073</v>
      </c>
      <c r="U13686" t="s">
        <v>60579</v>
      </c>
      <c r="W13686" t="s">
        <v>46733</v>
      </c>
      <c r="X13686" t="s">
        <v>47445</v>
      </c>
    </row>
    <row r="13687" spans="1:24">
      <c r="A13687">
        <f>HYPERLINK("https://www.philgeps.gov.ph/GEPSNONPILOT/Tender/SplashBidNoticeAbstractUI.aspx?menuIndex=3&amp;refID=7131147&amp;Result=3","7131147")</f>
        <v>0</v>
      </c>
      <c r="B13687" t="s">
        <v>121</v>
      </c>
      <c r="C13687" t="s">
        <v>16835</v>
      </c>
      <c r="D13687" t="s">
        <v>19048</v>
      </c>
      <c r="E13687" t="s">
        <v>30812</v>
      </c>
      <c r="F13687" t="s">
        <v>32831</v>
      </c>
      <c r="G13687" t="s">
        <v>32839</v>
      </c>
      <c r="H13687" t="s">
        <v>32849</v>
      </c>
      <c r="I13687" t="s">
        <v>4177</v>
      </c>
      <c r="J13687" t="s">
        <v>41321</v>
      </c>
      <c r="K13687" t="s">
        <v>42780</v>
      </c>
      <c r="M13687" t="s">
        <v>43118</v>
      </c>
      <c r="N13687" t="s">
        <v>47424</v>
      </c>
      <c r="O13687" t="s">
        <v>47425</v>
      </c>
      <c r="Q13687">
        <v>4</v>
      </c>
      <c r="R13687" t="s">
        <v>47444</v>
      </c>
      <c r="S13687" t="s">
        <v>48187</v>
      </c>
      <c r="T13687" t="s">
        <v>49066</v>
      </c>
      <c r="U13687" t="s">
        <v>60841</v>
      </c>
      <c r="V13687" t="s">
        <v>64171</v>
      </c>
      <c r="W13687" t="s">
        <v>43118</v>
      </c>
      <c r="X13687" t="s">
        <v>47445</v>
      </c>
    </row>
    <row r="13688" spans="1:24">
      <c r="A13688">
        <f>HYPERLINK("https://www.philgeps.gov.ph/GEPSNONPILOT/Tender/SplashBidNoticeAbstractUI.aspx?menuIndex=3&amp;refID=7131165&amp;Result=3","7131165")</f>
        <v>0</v>
      </c>
      <c r="B13688" t="s">
        <v>2461</v>
      </c>
      <c r="C13688" t="s">
        <v>16836</v>
      </c>
      <c r="D13688" t="s">
        <v>19037</v>
      </c>
      <c r="E13688" t="s">
        <v>30813</v>
      </c>
      <c r="F13688" t="s">
        <v>32831</v>
      </c>
      <c r="G13688" t="s">
        <v>32839</v>
      </c>
      <c r="H13688" t="s">
        <v>32848</v>
      </c>
      <c r="I13688" t="s">
        <v>32963</v>
      </c>
      <c r="J13688" t="s">
        <v>33291</v>
      </c>
      <c r="K13688" t="s">
        <v>42731</v>
      </c>
      <c r="M13688" t="s">
        <v>45659</v>
      </c>
      <c r="N13688" t="s">
        <v>47424</v>
      </c>
      <c r="O13688" t="s">
        <v>47425</v>
      </c>
      <c r="P13688">
        <v>0</v>
      </c>
      <c r="Q13688">
        <v>1</v>
      </c>
      <c r="R13688" t="s">
        <v>47444</v>
      </c>
      <c r="S13688" t="s">
        <v>48135</v>
      </c>
      <c r="T13688" t="s">
        <v>49199</v>
      </c>
      <c r="U13688" t="s">
        <v>58319</v>
      </c>
      <c r="W13688" t="s">
        <v>64509</v>
      </c>
      <c r="X13688" t="s">
        <v>47445</v>
      </c>
    </row>
    <row r="13689" spans="1:24">
      <c r="A13689">
        <f>HYPERLINK("https://www.philgeps.gov.ph/GEPSNONPILOT/Tender/SplashBidNoticeAbstractUI.aspx?menuIndex=3&amp;refID=7131162&amp;Result=3","7131162")</f>
        <v>0</v>
      </c>
      <c r="B13689" t="s">
        <v>3256</v>
      </c>
      <c r="C13689" t="s">
        <v>16837</v>
      </c>
      <c r="D13689" t="s">
        <v>19040</v>
      </c>
      <c r="E13689" t="s">
        <v>30814</v>
      </c>
      <c r="F13689" t="s">
        <v>32831</v>
      </c>
      <c r="G13689" t="s">
        <v>32839</v>
      </c>
      <c r="H13689" t="s">
        <v>32849</v>
      </c>
      <c r="I13689" t="s">
        <v>4177</v>
      </c>
      <c r="J13689" t="s">
        <v>41299</v>
      </c>
      <c r="K13689" t="s">
        <v>42860</v>
      </c>
      <c r="M13689" t="s">
        <v>46572</v>
      </c>
      <c r="N13689" t="s">
        <v>47424</v>
      </c>
      <c r="O13689" t="s">
        <v>47425</v>
      </c>
      <c r="Q13689">
        <v>0</v>
      </c>
      <c r="R13689" t="s">
        <v>47444</v>
      </c>
      <c r="S13689" t="s">
        <v>48188</v>
      </c>
      <c r="T13689" t="s">
        <v>49108</v>
      </c>
      <c r="U13689" t="s">
        <v>60771</v>
      </c>
      <c r="V13689" t="s">
        <v>64172</v>
      </c>
      <c r="W13689" t="s">
        <v>46572</v>
      </c>
      <c r="X13689" t="s">
        <v>47445</v>
      </c>
    </row>
    <row r="13690" spans="1:24">
      <c r="A13690">
        <f>HYPERLINK("https://www.philgeps.gov.ph/GEPSNONPILOT/Tender/SplashBidNoticeAbstractUI.aspx?menuIndex=3&amp;refID=7131138&amp;Result=3","7131138")</f>
        <v>0</v>
      </c>
      <c r="B13690" t="s">
        <v>121</v>
      </c>
      <c r="C13690" t="s">
        <v>16838</v>
      </c>
      <c r="D13690" t="s">
        <v>19048</v>
      </c>
      <c r="E13690" t="s">
        <v>30815</v>
      </c>
      <c r="F13690" t="s">
        <v>32831</v>
      </c>
      <c r="G13690" t="s">
        <v>32839</v>
      </c>
      <c r="H13690" t="s">
        <v>32849</v>
      </c>
      <c r="I13690" t="s">
        <v>4177</v>
      </c>
      <c r="J13690" t="s">
        <v>41322</v>
      </c>
      <c r="K13690" t="s">
        <v>42963</v>
      </c>
      <c r="M13690" t="s">
        <v>43118</v>
      </c>
      <c r="N13690" t="s">
        <v>47424</v>
      </c>
      <c r="O13690" t="s">
        <v>47425</v>
      </c>
      <c r="Q13690">
        <v>3</v>
      </c>
      <c r="R13690" t="s">
        <v>47444</v>
      </c>
      <c r="S13690" t="s">
        <v>48189</v>
      </c>
      <c r="T13690" t="s">
        <v>49066</v>
      </c>
      <c r="U13690" t="s">
        <v>60842</v>
      </c>
      <c r="V13690" t="s">
        <v>64171</v>
      </c>
      <c r="W13690" t="s">
        <v>43118</v>
      </c>
      <c r="X13690" t="s">
        <v>47445</v>
      </c>
    </row>
    <row r="13691" spans="1:24">
      <c r="A13691">
        <f>HYPERLINK("https://www.philgeps.gov.ph/GEPSNONPILOT/Tender/SplashBidNoticeAbstractUI.aspx?menuIndex=3&amp;refID=7131149&amp;Result=3","7131149")</f>
        <v>0</v>
      </c>
      <c r="B13691" t="s">
        <v>1545</v>
      </c>
      <c r="C13691" t="s">
        <v>16839</v>
      </c>
      <c r="D13691" t="s">
        <v>19044</v>
      </c>
      <c r="E13691" t="s">
        <v>30816</v>
      </c>
      <c r="F13691" t="s">
        <v>32831</v>
      </c>
      <c r="G13691" t="s">
        <v>32839</v>
      </c>
      <c r="H13691" t="s">
        <v>32849</v>
      </c>
      <c r="I13691" t="s">
        <v>4177</v>
      </c>
      <c r="J13691" t="s">
        <v>37878</v>
      </c>
      <c r="K13691" t="s">
        <v>42763</v>
      </c>
      <c r="M13691" t="s">
        <v>44649</v>
      </c>
      <c r="N13691" t="s">
        <v>47424</v>
      </c>
      <c r="O13691" t="s">
        <v>47425</v>
      </c>
      <c r="Q13691">
        <v>0</v>
      </c>
      <c r="R13691" t="s">
        <v>47444</v>
      </c>
      <c r="S13691" t="s">
        <v>48190</v>
      </c>
      <c r="T13691" t="s">
        <v>49108</v>
      </c>
      <c r="U13691" t="s">
        <v>60832</v>
      </c>
      <c r="W13691" t="s">
        <v>44649</v>
      </c>
      <c r="X13691" t="s">
        <v>47445</v>
      </c>
    </row>
    <row r="13692" spans="1:24">
      <c r="A13692">
        <f>HYPERLINK("https://www.philgeps.gov.ph/GEPSNONPILOT/Tender/SplashBidNoticeAbstractUI.aspx?menuIndex=3&amp;refID=7131133&amp;Result=3","7131133")</f>
        <v>0</v>
      </c>
      <c r="B13692" t="s">
        <v>1545</v>
      </c>
      <c r="C13692" t="s">
        <v>16840</v>
      </c>
      <c r="D13692" t="s">
        <v>19044</v>
      </c>
      <c r="E13692" t="s">
        <v>30817</v>
      </c>
      <c r="F13692" t="s">
        <v>32831</v>
      </c>
      <c r="G13692" t="s">
        <v>32839</v>
      </c>
      <c r="H13692" t="s">
        <v>32849</v>
      </c>
      <c r="I13692" t="s">
        <v>4177</v>
      </c>
      <c r="J13692" t="s">
        <v>33118</v>
      </c>
      <c r="K13692" t="s">
        <v>42729</v>
      </c>
      <c r="M13692" t="s">
        <v>44649</v>
      </c>
      <c r="N13692" t="s">
        <v>47424</v>
      </c>
      <c r="O13692" t="s">
        <v>47425</v>
      </c>
      <c r="Q13692">
        <v>1</v>
      </c>
      <c r="R13692" t="s">
        <v>47444</v>
      </c>
      <c r="S13692" t="s">
        <v>48191</v>
      </c>
      <c r="T13692" t="s">
        <v>49108</v>
      </c>
      <c r="U13692" t="s">
        <v>60821</v>
      </c>
      <c r="W13692" t="s">
        <v>44649</v>
      </c>
      <c r="X13692" t="s">
        <v>47445</v>
      </c>
    </row>
    <row r="13693" spans="1:24">
      <c r="A13693">
        <f>HYPERLINK("https://www.philgeps.gov.ph/GEPSNONPILOT/Tender/SplashBidNoticeAbstractUI.aspx?menuIndex=3&amp;refID=7131130&amp;Result=3","7131130")</f>
        <v>0</v>
      </c>
      <c r="B13693" t="s">
        <v>3748</v>
      </c>
      <c r="C13693" t="s">
        <v>16841</v>
      </c>
      <c r="D13693" t="s">
        <v>19062</v>
      </c>
      <c r="E13693" t="s">
        <v>19569</v>
      </c>
      <c r="F13693" t="s">
        <v>32831</v>
      </c>
      <c r="G13693" t="s">
        <v>32839</v>
      </c>
      <c r="H13693" t="s">
        <v>32849</v>
      </c>
      <c r="I13693" t="s">
        <v>32855</v>
      </c>
      <c r="J13693" t="s">
        <v>36801</v>
      </c>
      <c r="K13693" t="s">
        <v>42780</v>
      </c>
      <c r="M13693" t="s">
        <v>47146</v>
      </c>
      <c r="N13693" t="s">
        <v>47424</v>
      </c>
      <c r="O13693" t="s">
        <v>47425</v>
      </c>
      <c r="P13693">
        <v>0</v>
      </c>
      <c r="Q13693">
        <v>6</v>
      </c>
      <c r="R13693" t="s">
        <v>47444</v>
      </c>
      <c r="S13693" t="s">
        <v>48135</v>
      </c>
      <c r="T13693" t="s">
        <v>49427</v>
      </c>
      <c r="U13693" t="s">
        <v>60843</v>
      </c>
      <c r="V13693" t="s">
        <v>64173</v>
      </c>
      <c r="W13693" t="s">
        <v>47146</v>
      </c>
      <c r="X13693" t="s">
        <v>47445</v>
      </c>
    </row>
    <row r="13694" spans="1:24">
      <c r="A13694">
        <f>HYPERLINK("https://www.philgeps.gov.ph/GEPSNONPILOT/Tender/SplashBidNoticeAbstractUI.aspx?menuIndex=3&amp;refID=7131341&amp;Result=3","7131341")</f>
        <v>0</v>
      </c>
      <c r="B13694" t="s">
        <v>1545</v>
      </c>
      <c r="C13694" t="s">
        <v>16842</v>
      </c>
      <c r="D13694" t="s">
        <v>19044</v>
      </c>
      <c r="E13694" t="s">
        <v>30818</v>
      </c>
      <c r="F13694" t="s">
        <v>32831</v>
      </c>
      <c r="G13694" t="s">
        <v>32839</v>
      </c>
      <c r="H13694" t="s">
        <v>32849</v>
      </c>
      <c r="I13694" t="s">
        <v>4177</v>
      </c>
      <c r="J13694" t="s">
        <v>37878</v>
      </c>
      <c r="K13694" t="s">
        <v>42763</v>
      </c>
      <c r="M13694" t="s">
        <v>44649</v>
      </c>
      <c r="N13694" t="s">
        <v>47424</v>
      </c>
      <c r="O13694" t="s">
        <v>47425</v>
      </c>
      <c r="Q13694">
        <v>1</v>
      </c>
      <c r="R13694" t="s">
        <v>47444</v>
      </c>
      <c r="S13694" t="s">
        <v>48192</v>
      </c>
      <c r="T13694" t="s">
        <v>49108</v>
      </c>
      <c r="U13694" t="s">
        <v>60832</v>
      </c>
      <c r="W13694" t="s">
        <v>44649</v>
      </c>
      <c r="X13694" t="s">
        <v>47445</v>
      </c>
    </row>
    <row r="13695" spans="1:24">
      <c r="A13695">
        <f>HYPERLINK("https://www.philgeps.gov.ph/GEPSNONPILOT/Tender/SplashBidNoticeAbstractUI.aspx?menuIndex=3&amp;refID=7131145&amp;Result=3","7131145")</f>
        <v>0</v>
      </c>
      <c r="B13695" t="s">
        <v>1136</v>
      </c>
      <c r="C13695" t="s">
        <v>16843</v>
      </c>
      <c r="D13695" t="s">
        <v>19090</v>
      </c>
      <c r="E13695" t="s">
        <v>30819</v>
      </c>
      <c r="F13695" t="s">
        <v>32831</v>
      </c>
      <c r="G13695" t="s">
        <v>32839</v>
      </c>
      <c r="H13695" t="s">
        <v>32848</v>
      </c>
      <c r="I13695" t="s">
        <v>7751</v>
      </c>
      <c r="J13695" t="s">
        <v>33032</v>
      </c>
      <c r="K13695" t="s">
        <v>42729</v>
      </c>
      <c r="M13695" t="s">
        <v>44199</v>
      </c>
      <c r="N13695" t="s">
        <v>47424</v>
      </c>
      <c r="O13695" t="s">
        <v>47425</v>
      </c>
      <c r="Q13695">
        <v>5</v>
      </c>
      <c r="R13695" t="s">
        <v>47444</v>
      </c>
      <c r="S13695" t="s">
        <v>47739</v>
      </c>
      <c r="T13695" t="s">
        <v>49122</v>
      </c>
      <c r="U13695" t="s">
        <v>60844</v>
      </c>
      <c r="W13695" t="s">
        <v>44199</v>
      </c>
      <c r="X13695" t="s">
        <v>47445</v>
      </c>
    </row>
    <row r="13696" spans="1:24">
      <c r="A13696">
        <f>HYPERLINK("https://www.philgeps.gov.ph/GEPSNONPILOT/Tender/SplashBidNoticeAbstractUI.aspx?menuIndex=3&amp;refID=7131335&amp;Result=3","7131335")</f>
        <v>0</v>
      </c>
      <c r="B13696" t="s">
        <v>703</v>
      </c>
      <c r="C13696" t="s">
        <v>16844</v>
      </c>
      <c r="D13696" t="s">
        <v>19077</v>
      </c>
      <c r="E13696" t="s">
        <v>30820</v>
      </c>
      <c r="F13696" t="s">
        <v>32831</v>
      </c>
      <c r="G13696" t="s">
        <v>32839</v>
      </c>
      <c r="H13696" t="s">
        <v>32848</v>
      </c>
      <c r="I13696" t="s">
        <v>32925</v>
      </c>
      <c r="J13696" t="s">
        <v>41323</v>
      </c>
      <c r="K13696" t="s">
        <v>42763</v>
      </c>
      <c r="M13696" t="s">
        <v>43722</v>
      </c>
      <c r="N13696" t="s">
        <v>47424</v>
      </c>
      <c r="O13696" t="s">
        <v>47425</v>
      </c>
      <c r="P13696">
        <v>0</v>
      </c>
      <c r="Q13696">
        <v>7</v>
      </c>
      <c r="R13696" t="s">
        <v>47444</v>
      </c>
      <c r="S13696" t="s">
        <v>48135</v>
      </c>
      <c r="T13696" t="s">
        <v>49087</v>
      </c>
      <c r="U13696" t="s">
        <v>60845</v>
      </c>
      <c r="W13696" t="s">
        <v>43722</v>
      </c>
      <c r="X13696" t="s">
        <v>47445</v>
      </c>
    </row>
    <row r="13697" spans="1:24">
      <c r="A13697">
        <f>HYPERLINK("https://www.philgeps.gov.ph/GEPSNONPILOT/Tender/SplashBidNoticeAbstractUI.aspx?menuIndex=3&amp;refID=7131331&amp;Result=3","7131331")</f>
        <v>0</v>
      </c>
      <c r="B13697" t="s">
        <v>3305</v>
      </c>
      <c r="C13697" t="s">
        <v>16845</v>
      </c>
      <c r="D13697" t="s">
        <v>19022</v>
      </c>
      <c r="E13697" t="s">
        <v>30821</v>
      </c>
      <c r="F13697" t="s">
        <v>32831</v>
      </c>
      <c r="G13697" t="s">
        <v>32839</v>
      </c>
      <c r="H13697" t="s">
        <v>32848</v>
      </c>
      <c r="I13697" t="s">
        <v>10805</v>
      </c>
      <c r="J13697" t="s">
        <v>41324</v>
      </c>
      <c r="K13697" t="s">
        <v>42730</v>
      </c>
      <c r="M13697" t="s">
        <v>46626</v>
      </c>
      <c r="N13697" t="s">
        <v>47424</v>
      </c>
      <c r="O13697" t="s">
        <v>47425</v>
      </c>
      <c r="Q13697">
        <v>4</v>
      </c>
      <c r="R13697" t="s">
        <v>47444</v>
      </c>
      <c r="S13697" t="s">
        <v>48193</v>
      </c>
      <c r="T13697" t="s">
        <v>49638</v>
      </c>
      <c r="U13697" t="s">
        <v>60846</v>
      </c>
      <c r="W13697" t="s">
        <v>46626</v>
      </c>
      <c r="X13697" t="s">
        <v>47445</v>
      </c>
    </row>
    <row r="13698" spans="1:24">
      <c r="A13698">
        <f>HYPERLINK("https://www.philgeps.gov.ph/GEPSNONPILOT/Tender/SplashBidNoticeAbstractUI.aspx?menuIndex=3&amp;refID=7131128&amp;Result=3","7131128")</f>
        <v>0</v>
      </c>
      <c r="B13698" t="s">
        <v>1447</v>
      </c>
      <c r="C13698" t="s">
        <v>16846</v>
      </c>
      <c r="D13698" t="s">
        <v>19057</v>
      </c>
      <c r="E13698" t="s">
        <v>30822</v>
      </c>
      <c r="F13698" t="s">
        <v>32831</v>
      </c>
      <c r="G13698" t="s">
        <v>32839</v>
      </c>
      <c r="H13698" t="s">
        <v>32849</v>
      </c>
      <c r="I13698" t="s">
        <v>4177</v>
      </c>
      <c r="J13698" t="s">
        <v>33016</v>
      </c>
      <c r="K13698" t="s">
        <v>42763</v>
      </c>
      <c r="M13698" t="s">
        <v>44539</v>
      </c>
      <c r="N13698" t="s">
        <v>47424</v>
      </c>
      <c r="O13698" t="s">
        <v>47425</v>
      </c>
      <c r="P13698">
        <v>0</v>
      </c>
      <c r="Q13698">
        <v>0</v>
      </c>
      <c r="R13698" t="s">
        <v>47444</v>
      </c>
      <c r="S13698" t="s">
        <v>48135</v>
      </c>
      <c r="T13698" t="s">
        <v>49056</v>
      </c>
      <c r="U13698" t="s">
        <v>60847</v>
      </c>
      <c r="V13698" t="s">
        <v>63002</v>
      </c>
      <c r="W13698" t="s">
        <v>44539</v>
      </c>
      <c r="X13698" t="s">
        <v>47445</v>
      </c>
    </row>
    <row r="13699" spans="1:24">
      <c r="A13699">
        <f>HYPERLINK("https://www.philgeps.gov.ph/GEPSNONPILOT/Tender/SplashBidNoticeAbstractUI.aspx?menuIndex=3&amp;refID=7131321&amp;Result=3","7131321")</f>
        <v>0</v>
      </c>
      <c r="B13699" t="s">
        <v>2461</v>
      </c>
      <c r="C13699" t="s">
        <v>16847</v>
      </c>
      <c r="D13699" t="s">
        <v>19037</v>
      </c>
      <c r="E13699" t="s">
        <v>30823</v>
      </c>
      <c r="F13699" t="s">
        <v>32831</v>
      </c>
      <c r="G13699" t="s">
        <v>32839</v>
      </c>
      <c r="H13699" t="s">
        <v>32848</v>
      </c>
      <c r="I13699" t="s">
        <v>4776</v>
      </c>
      <c r="J13699" t="s">
        <v>41325</v>
      </c>
      <c r="K13699" t="s">
        <v>42731</v>
      </c>
      <c r="M13699" t="s">
        <v>45659</v>
      </c>
      <c r="N13699" t="s">
        <v>47424</v>
      </c>
      <c r="O13699" t="s">
        <v>47425</v>
      </c>
      <c r="P13699">
        <v>0</v>
      </c>
      <c r="Q13699">
        <v>6</v>
      </c>
      <c r="R13699" t="s">
        <v>47444</v>
      </c>
      <c r="S13699" t="s">
        <v>48135</v>
      </c>
      <c r="T13699" t="s">
        <v>49199</v>
      </c>
      <c r="U13699" t="s">
        <v>58319</v>
      </c>
      <c r="W13699" t="s">
        <v>64509</v>
      </c>
      <c r="X13699" t="s">
        <v>47445</v>
      </c>
    </row>
    <row r="13700" spans="1:24">
      <c r="A13700">
        <f>HYPERLINK("https://www.philgeps.gov.ph/GEPSNONPILOT/Tender/SplashBidNoticeAbstractUI.aspx?menuIndex=3&amp;refID=7131296&amp;Result=3","7131296")</f>
        <v>0</v>
      </c>
      <c r="B13700" t="s">
        <v>1545</v>
      </c>
      <c r="C13700" t="s">
        <v>16848</v>
      </c>
      <c r="D13700" t="s">
        <v>19044</v>
      </c>
      <c r="E13700" t="s">
        <v>30824</v>
      </c>
      <c r="F13700" t="s">
        <v>32831</v>
      </c>
      <c r="G13700" t="s">
        <v>32839</v>
      </c>
      <c r="H13700" t="s">
        <v>32849</v>
      </c>
      <c r="I13700" t="s">
        <v>4177</v>
      </c>
      <c r="J13700" t="s">
        <v>41326</v>
      </c>
      <c r="K13700" t="s">
        <v>42852</v>
      </c>
      <c r="M13700" t="s">
        <v>44649</v>
      </c>
      <c r="N13700" t="s">
        <v>47424</v>
      </c>
      <c r="O13700" t="s">
        <v>47425</v>
      </c>
      <c r="P13700">
        <v>0</v>
      </c>
      <c r="Q13700">
        <v>0</v>
      </c>
      <c r="R13700" t="s">
        <v>47444</v>
      </c>
      <c r="S13700" t="s">
        <v>48135</v>
      </c>
      <c r="T13700" t="s">
        <v>49108</v>
      </c>
      <c r="U13700" t="s">
        <v>60848</v>
      </c>
      <c r="W13700" t="s">
        <v>44649</v>
      </c>
      <c r="X13700" t="s">
        <v>47445</v>
      </c>
    </row>
    <row r="13701" spans="1:24">
      <c r="A13701">
        <f>HYPERLINK("https://www.philgeps.gov.ph/GEPSNONPILOT/Tender/SplashBidNoticeAbstractUI.aspx?menuIndex=3&amp;refID=7131283&amp;Result=3","7131283")</f>
        <v>0</v>
      </c>
      <c r="B13701" t="s">
        <v>2845</v>
      </c>
      <c r="C13701" t="s">
        <v>16849</v>
      </c>
      <c r="E13701" t="s">
        <v>30825</v>
      </c>
      <c r="F13701" t="s">
        <v>32831</v>
      </c>
      <c r="G13701" t="s">
        <v>32839</v>
      </c>
      <c r="H13701" t="s">
        <v>32848</v>
      </c>
      <c r="I13701" t="s">
        <v>4438</v>
      </c>
      <c r="J13701" t="s">
        <v>41327</v>
      </c>
      <c r="K13701" t="s">
        <v>42732</v>
      </c>
      <c r="M13701" t="s">
        <v>46077</v>
      </c>
      <c r="N13701" t="s">
        <v>47424</v>
      </c>
      <c r="O13701" t="s">
        <v>47425</v>
      </c>
      <c r="Q13701">
        <v>2</v>
      </c>
      <c r="R13701" t="s">
        <v>47444</v>
      </c>
      <c r="S13701" t="s">
        <v>48194</v>
      </c>
      <c r="T13701" t="s">
        <v>49091</v>
      </c>
      <c r="U13701" t="s">
        <v>60849</v>
      </c>
      <c r="W13701" t="s">
        <v>46077</v>
      </c>
      <c r="X13701" t="s">
        <v>47445</v>
      </c>
    </row>
    <row r="13702" spans="1:24">
      <c r="A13702">
        <f>HYPERLINK("https://www.philgeps.gov.ph/GEPSNONPILOT/Tender/SplashBidNoticeAbstractUI.aspx?menuIndex=3&amp;refID=7131279&amp;Result=3","7131279")</f>
        <v>0</v>
      </c>
      <c r="B13702" t="s">
        <v>3748</v>
      </c>
      <c r="C13702" t="s">
        <v>16850</v>
      </c>
      <c r="D13702" t="s">
        <v>19062</v>
      </c>
      <c r="E13702" t="s">
        <v>19569</v>
      </c>
      <c r="F13702" t="s">
        <v>32831</v>
      </c>
      <c r="G13702" t="s">
        <v>32839</v>
      </c>
      <c r="H13702" t="s">
        <v>32849</v>
      </c>
      <c r="I13702" t="s">
        <v>4177</v>
      </c>
      <c r="J13702" t="s">
        <v>40064</v>
      </c>
      <c r="K13702" t="s">
        <v>42829</v>
      </c>
      <c r="M13702" t="s">
        <v>47146</v>
      </c>
      <c r="N13702" t="s">
        <v>47424</v>
      </c>
      <c r="O13702" t="s">
        <v>47425</v>
      </c>
      <c r="Q13702">
        <v>3</v>
      </c>
      <c r="R13702" t="s">
        <v>47444</v>
      </c>
      <c r="S13702" t="s">
        <v>48195</v>
      </c>
      <c r="T13702" t="s">
        <v>49427</v>
      </c>
      <c r="U13702" t="s">
        <v>60850</v>
      </c>
      <c r="V13702" t="s">
        <v>64173</v>
      </c>
      <c r="W13702" t="s">
        <v>47146</v>
      </c>
      <c r="X13702" t="s">
        <v>47445</v>
      </c>
    </row>
    <row r="13703" spans="1:24">
      <c r="A13703">
        <f>HYPERLINK("https://www.philgeps.gov.ph/GEPSNONPILOT/Tender/SplashBidNoticeAbstractUI.aspx?menuIndex=3&amp;refID=7131271&amp;Result=3","7131271")</f>
        <v>0</v>
      </c>
      <c r="B13703" t="s">
        <v>3749</v>
      </c>
      <c r="C13703" t="s">
        <v>16851</v>
      </c>
      <c r="D13703" t="s">
        <v>19083</v>
      </c>
      <c r="E13703" t="s">
        <v>30826</v>
      </c>
      <c r="F13703" t="s">
        <v>32831</v>
      </c>
      <c r="G13703" t="s">
        <v>32839</v>
      </c>
      <c r="H13703" t="s">
        <v>32848</v>
      </c>
      <c r="I13703" t="s">
        <v>32879</v>
      </c>
      <c r="J13703" t="s">
        <v>41328</v>
      </c>
      <c r="K13703" t="s">
        <v>42763</v>
      </c>
      <c r="M13703" t="s">
        <v>47147</v>
      </c>
      <c r="N13703" t="s">
        <v>47424</v>
      </c>
      <c r="O13703" t="s">
        <v>47425</v>
      </c>
      <c r="P13703">
        <v>0</v>
      </c>
      <c r="Q13703">
        <v>4</v>
      </c>
      <c r="R13703" t="s">
        <v>47444</v>
      </c>
      <c r="S13703" t="s">
        <v>48135</v>
      </c>
      <c r="T13703" t="s">
        <v>49162</v>
      </c>
      <c r="U13703" t="s">
        <v>60851</v>
      </c>
      <c r="W13703" t="s">
        <v>47147</v>
      </c>
      <c r="X13703" t="s">
        <v>47445</v>
      </c>
    </row>
    <row r="13704" spans="1:24">
      <c r="A13704">
        <f>HYPERLINK("https://www.philgeps.gov.ph/GEPSNONPILOT/Tender/SplashBidNoticeAbstractUI.aspx?menuIndex=3&amp;refID=7131324&amp;Result=3","7131324")</f>
        <v>0</v>
      </c>
      <c r="B13704" t="s">
        <v>2435</v>
      </c>
      <c r="C13704" t="s">
        <v>16852</v>
      </c>
      <c r="D13704" t="s">
        <v>19083</v>
      </c>
      <c r="E13704" t="s">
        <v>30827</v>
      </c>
      <c r="F13704" t="s">
        <v>32831</v>
      </c>
      <c r="G13704" t="s">
        <v>32839</v>
      </c>
      <c r="H13704" t="s">
        <v>32849</v>
      </c>
      <c r="I13704" t="s">
        <v>4177</v>
      </c>
      <c r="J13704" t="s">
        <v>41329</v>
      </c>
      <c r="K13704" t="s">
        <v>42848</v>
      </c>
      <c r="M13704" t="s">
        <v>45632</v>
      </c>
      <c r="N13704" t="s">
        <v>47424</v>
      </c>
      <c r="O13704" t="s">
        <v>47425</v>
      </c>
      <c r="Q13704">
        <v>2</v>
      </c>
      <c r="R13704" t="s">
        <v>47444</v>
      </c>
      <c r="S13704" t="s">
        <v>48196</v>
      </c>
      <c r="T13704" t="s">
        <v>49059</v>
      </c>
      <c r="U13704" t="s">
        <v>60852</v>
      </c>
      <c r="W13704" t="s">
        <v>45632</v>
      </c>
      <c r="X13704" t="s">
        <v>47445</v>
      </c>
    </row>
    <row r="13705" spans="1:24">
      <c r="A13705">
        <f>HYPERLINK("https://www.philgeps.gov.ph/GEPSNONPILOT/Tender/SplashBidNoticeAbstractUI.aspx?menuIndex=3&amp;refID=7131253&amp;Result=3","7131253")</f>
        <v>0</v>
      </c>
      <c r="B13705" t="s">
        <v>3750</v>
      </c>
      <c r="C13705" t="s">
        <v>16853</v>
      </c>
      <c r="D13705" t="s">
        <v>19031</v>
      </c>
      <c r="E13705" t="s">
        <v>30828</v>
      </c>
      <c r="F13705" t="s">
        <v>32831</v>
      </c>
      <c r="G13705" t="s">
        <v>32839</v>
      </c>
      <c r="H13705" t="s">
        <v>32848</v>
      </c>
      <c r="I13705" t="s">
        <v>4776</v>
      </c>
      <c r="J13705" t="s">
        <v>41330</v>
      </c>
      <c r="K13705" t="s">
        <v>42729</v>
      </c>
      <c r="M13705" t="s">
        <v>47148</v>
      </c>
      <c r="N13705" t="s">
        <v>47424</v>
      </c>
      <c r="O13705" t="s">
        <v>47425</v>
      </c>
      <c r="P13705">
        <v>0</v>
      </c>
      <c r="Q13705">
        <v>9</v>
      </c>
      <c r="R13705" t="s">
        <v>47444</v>
      </c>
      <c r="S13705" t="s">
        <v>48135</v>
      </c>
      <c r="T13705" t="s">
        <v>49146</v>
      </c>
      <c r="U13705" t="s">
        <v>60853</v>
      </c>
      <c r="W13705" t="s">
        <v>47148</v>
      </c>
      <c r="X13705" t="s">
        <v>47445</v>
      </c>
    </row>
    <row r="13706" spans="1:24">
      <c r="A13706">
        <f>HYPERLINK("https://www.philgeps.gov.ph/GEPSNONPILOT/Tender/SplashBidNoticeAbstractUI.aspx?menuIndex=3&amp;refID=7131249&amp;Result=3","7131249")</f>
        <v>0</v>
      </c>
      <c r="B13706" t="s">
        <v>418</v>
      </c>
      <c r="C13706" t="s">
        <v>16854</v>
      </c>
      <c r="D13706" t="s">
        <v>19043</v>
      </c>
      <c r="E13706" t="s">
        <v>30829</v>
      </c>
      <c r="F13706" t="s">
        <v>32831</v>
      </c>
      <c r="G13706" t="s">
        <v>32839</v>
      </c>
      <c r="H13706" t="s">
        <v>32848</v>
      </c>
      <c r="I13706" t="s">
        <v>9577</v>
      </c>
      <c r="J13706" t="s">
        <v>41331</v>
      </c>
      <c r="K13706" t="s">
        <v>42763</v>
      </c>
      <c r="M13706" t="s">
        <v>43423</v>
      </c>
      <c r="N13706" t="s">
        <v>47424</v>
      </c>
      <c r="O13706" t="s">
        <v>47425</v>
      </c>
      <c r="P13706">
        <v>0</v>
      </c>
      <c r="Q13706">
        <v>4</v>
      </c>
      <c r="R13706" t="s">
        <v>47444</v>
      </c>
      <c r="S13706" t="s">
        <v>48135</v>
      </c>
      <c r="T13706" t="s">
        <v>49070</v>
      </c>
      <c r="U13706" t="s">
        <v>60854</v>
      </c>
      <c r="V13706" t="s">
        <v>64174</v>
      </c>
      <c r="W13706" t="s">
        <v>43423</v>
      </c>
      <c r="X13706" t="s">
        <v>47445</v>
      </c>
    </row>
    <row r="13707" spans="1:24">
      <c r="A13707">
        <f>HYPERLINK("https://www.philgeps.gov.ph/GEPSNONPILOT/Tender/SplashBidNoticeAbstractUI.aspx?menuIndex=3&amp;refID=7130537&amp;Result=3","7130537")</f>
        <v>0</v>
      </c>
      <c r="B13707" t="s">
        <v>693</v>
      </c>
      <c r="C13707" t="s">
        <v>16855</v>
      </c>
      <c r="D13707" t="s">
        <v>19073</v>
      </c>
      <c r="E13707" t="s">
        <v>30830</v>
      </c>
      <c r="F13707" t="s">
        <v>32831</v>
      </c>
      <c r="G13707" t="s">
        <v>32839</v>
      </c>
      <c r="H13707" t="s">
        <v>32848</v>
      </c>
      <c r="I13707" t="s">
        <v>32870</v>
      </c>
      <c r="J13707" t="s">
        <v>41306</v>
      </c>
      <c r="K13707" t="s">
        <v>42731</v>
      </c>
      <c r="M13707" t="s">
        <v>44145</v>
      </c>
      <c r="N13707" t="s">
        <v>47424</v>
      </c>
      <c r="O13707" t="s">
        <v>47425</v>
      </c>
      <c r="P13707">
        <v>0</v>
      </c>
      <c r="Q13707">
        <v>0</v>
      </c>
      <c r="R13707" t="s">
        <v>47444</v>
      </c>
      <c r="S13707" t="s">
        <v>48135</v>
      </c>
      <c r="T13707" t="s">
        <v>49080</v>
      </c>
      <c r="U13707" t="s">
        <v>53968</v>
      </c>
      <c r="V13707" t="s">
        <v>63187</v>
      </c>
      <c r="W13707" t="s">
        <v>64457</v>
      </c>
      <c r="X13707" t="s">
        <v>47445</v>
      </c>
    </row>
    <row r="13708" spans="1:24">
      <c r="A13708">
        <f>HYPERLINK("https://www.philgeps.gov.ph/GEPSNONPILOT/Tender/SplashBidNoticeAbstractUI.aspx?menuIndex=3&amp;refID=7131247&amp;Result=3","7131247")</f>
        <v>0</v>
      </c>
      <c r="B13708" t="s">
        <v>703</v>
      </c>
      <c r="C13708" t="s">
        <v>16856</v>
      </c>
      <c r="D13708" t="s">
        <v>19077</v>
      </c>
      <c r="E13708" t="s">
        <v>30831</v>
      </c>
      <c r="F13708" t="s">
        <v>32831</v>
      </c>
      <c r="G13708" t="s">
        <v>32839</v>
      </c>
      <c r="H13708" t="s">
        <v>32848</v>
      </c>
      <c r="I13708" t="s">
        <v>32925</v>
      </c>
      <c r="J13708" t="s">
        <v>41332</v>
      </c>
      <c r="K13708" t="s">
        <v>42763</v>
      </c>
      <c r="M13708" t="s">
        <v>43722</v>
      </c>
      <c r="N13708" t="s">
        <v>47424</v>
      </c>
      <c r="O13708" t="s">
        <v>47425</v>
      </c>
      <c r="P13708">
        <v>0</v>
      </c>
      <c r="Q13708">
        <v>7</v>
      </c>
      <c r="R13708" t="s">
        <v>47444</v>
      </c>
      <c r="S13708" t="s">
        <v>48135</v>
      </c>
      <c r="T13708" t="s">
        <v>49087</v>
      </c>
      <c r="U13708" t="s">
        <v>60845</v>
      </c>
      <c r="W13708" t="s">
        <v>43722</v>
      </c>
      <c r="X13708" t="s">
        <v>47445</v>
      </c>
    </row>
    <row r="13709" spans="1:24">
      <c r="A13709">
        <f>HYPERLINK("https://www.philgeps.gov.ph/GEPSNONPILOT/Tender/SplashBidNoticeAbstractUI.aspx?menuIndex=3&amp;refID=7131233&amp;Result=3","7131233")</f>
        <v>0</v>
      </c>
      <c r="B13709" t="s">
        <v>1447</v>
      </c>
      <c r="C13709" t="s">
        <v>16857</v>
      </c>
      <c r="D13709" t="s">
        <v>19057</v>
      </c>
      <c r="E13709" t="s">
        <v>30832</v>
      </c>
      <c r="F13709" t="s">
        <v>32831</v>
      </c>
      <c r="G13709" t="s">
        <v>32839</v>
      </c>
      <c r="H13709" t="s">
        <v>32849</v>
      </c>
      <c r="I13709" t="s">
        <v>4177</v>
      </c>
      <c r="J13709" t="s">
        <v>33016</v>
      </c>
      <c r="K13709" t="s">
        <v>42763</v>
      </c>
      <c r="M13709" t="s">
        <v>44539</v>
      </c>
      <c r="N13709" t="s">
        <v>47424</v>
      </c>
      <c r="O13709" t="s">
        <v>47425</v>
      </c>
      <c r="P13709">
        <v>0</v>
      </c>
      <c r="Q13709">
        <v>0</v>
      </c>
      <c r="R13709" t="s">
        <v>47444</v>
      </c>
      <c r="S13709" t="s">
        <v>48135</v>
      </c>
      <c r="T13709" t="s">
        <v>49056</v>
      </c>
      <c r="U13709" t="s">
        <v>60855</v>
      </c>
      <c r="V13709" t="s">
        <v>63002</v>
      </c>
      <c r="W13709" t="s">
        <v>44539</v>
      </c>
      <c r="X13709" t="s">
        <v>47445</v>
      </c>
    </row>
    <row r="13710" spans="1:24">
      <c r="A13710">
        <f>HYPERLINK("https://www.philgeps.gov.ph/GEPSNONPILOT/Tender/SplashBidNoticeAbstractUI.aspx?menuIndex=3&amp;refID=7131223&amp;Result=3","7131223")</f>
        <v>0</v>
      </c>
      <c r="B13710" t="s">
        <v>2461</v>
      </c>
      <c r="C13710" t="s">
        <v>16858</v>
      </c>
      <c r="D13710" t="s">
        <v>19037</v>
      </c>
      <c r="E13710" t="s">
        <v>30833</v>
      </c>
      <c r="F13710" t="s">
        <v>32831</v>
      </c>
      <c r="G13710" t="s">
        <v>32839</v>
      </c>
      <c r="H13710" t="s">
        <v>32848</v>
      </c>
      <c r="I13710" t="s">
        <v>11484</v>
      </c>
      <c r="J13710" t="s">
        <v>32978</v>
      </c>
      <c r="K13710" t="s">
        <v>42731</v>
      </c>
      <c r="M13710" t="s">
        <v>45659</v>
      </c>
      <c r="N13710" t="s">
        <v>47424</v>
      </c>
      <c r="O13710" t="s">
        <v>47425</v>
      </c>
      <c r="P13710">
        <v>0</v>
      </c>
      <c r="Q13710">
        <v>4</v>
      </c>
      <c r="R13710" t="s">
        <v>47444</v>
      </c>
      <c r="S13710" t="s">
        <v>48135</v>
      </c>
      <c r="T13710" t="s">
        <v>49199</v>
      </c>
      <c r="U13710" t="s">
        <v>58319</v>
      </c>
      <c r="W13710" t="s">
        <v>64509</v>
      </c>
      <c r="X13710" t="s">
        <v>47445</v>
      </c>
    </row>
    <row r="13711" spans="1:24">
      <c r="A13711">
        <f>HYPERLINK("https://www.philgeps.gov.ph/GEPSNONPILOT/Tender/SplashBidNoticeAbstractUI.aspx?menuIndex=3&amp;refID=7131196&amp;Result=3","7131196")</f>
        <v>0</v>
      </c>
      <c r="B13711" t="s">
        <v>3524</v>
      </c>
      <c r="C13711" t="s">
        <v>16859</v>
      </c>
      <c r="D13711" t="s">
        <v>19027</v>
      </c>
      <c r="E13711" t="s">
        <v>27291</v>
      </c>
      <c r="F13711" t="s">
        <v>32831</v>
      </c>
      <c r="G13711" t="s">
        <v>32839</v>
      </c>
      <c r="H13711" t="s">
        <v>32848</v>
      </c>
      <c r="I13711" t="s">
        <v>7416</v>
      </c>
      <c r="J13711" t="s">
        <v>41333</v>
      </c>
      <c r="K13711" t="s">
        <v>42759</v>
      </c>
      <c r="M13711" t="s">
        <v>46875</v>
      </c>
      <c r="N13711" t="s">
        <v>47424</v>
      </c>
      <c r="O13711" t="s">
        <v>47425</v>
      </c>
      <c r="P13711">
        <v>0</v>
      </c>
      <c r="Q13711">
        <v>0</v>
      </c>
      <c r="R13711" t="s">
        <v>47444</v>
      </c>
      <c r="S13711" t="s">
        <v>48135</v>
      </c>
      <c r="T13711" t="s">
        <v>49235</v>
      </c>
      <c r="U13711" t="s">
        <v>60856</v>
      </c>
      <c r="W13711" t="s">
        <v>46875</v>
      </c>
      <c r="X13711" t="s">
        <v>47445</v>
      </c>
    </row>
    <row r="13712" spans="1:24">
      <c r="A13712">
        <f>HYPERLINK("https://www.philgeps.gov.ph/GEPSNONPILOT/Tender/SplashBidNoticeAbstractUI.aspx?menuIndex=3&amp;refID=7131257&amp;Result=3","7131257")</f>
        <v>0</v>
      </c>
      <c r="B13712" t="s">
        <v>1545</v>
      </c>
      <c r="C13712" t="s">
        <v>16860</v>
      </c>
      <c r="D13712" t="s">
        <v>19044</v>
      </c>
      <c r="E13712" t="s">
        <v>30834</v>
      </c>
      <c r="F13712" t="s">
        <v>32831</v>
      </c>
      <c r="G13712" t="s">
        <v>32839</v>
      </c>
      <c r="H13712" t="s">
        <v>32849</v>
      </c>
      <c r="I13712" t="s">
        <v>4177</v>
      </c>
      <c r="J13712" t="s">
        <v>41334</v>
      </c>
      <c r="K13712" t="s">
        <v>42981</v>
      </c>
      <c r="M13712" t="s">
        <v>44649</v>
      </c>
      <c r="N13712" t="s">
        <v>47424</v>
      </c>
      <c r="O13712" t="s">
        <v>47425</v>
      </c>
      <c r="P13712">
        <v>0</v>
      </c>
      <c r="Q13712">
        <v>0</v>
      </c>
      <c r="R13712" t="s">
        <v>47444</v>
      </c>
      <c r="S13712" t="s">
        <v>48135</v>
      </c>
      <c r="T13712" t="s">
        <v>49108</v>
      </c>
      <c r="U13712" t="s">
        <v>60857</v>
      </c>
      <c r="W13712" t="s">
        <v>44649</v>
      </c>
      <c r="X13712" t="s">
        <v>47445</v>
      </c>
    </row>
    <row r="13713" spans="1:24">
      <c r="A13713">
        <f>HYPERLINK("https://www.philgeps.gov.ph/GEPSNONPILOT/Tender/SplashBidNoticeAbstractUI.aspx?menuIndex=3&amp;refID=7131159&amp;Result=3","7131159")</f>
        <v>0</v>
      </c>
      <c r="B13713" t="s">
        <v>92</v>
      </c>
      <c r="C13713" t="s">
        <v>16861</v>
      </c>
      <c r="D13713" t="s">
        <v>19051</v>
      </c>
      <c r="E13713" t="s">
        <v>30835</v>
      </c>
      <c r="F13713" t="s">
        <v>32831</v>
      </c>
      <c r="G13713" t="s">
        <v>32845</v>
      </c>
      <c r="H13713" t="s">
        <v>32849</v>
      </c>
      <c r="I13713" t="s">
        <v>4177</v>
      </c>
      <c r="J13713" t="s">
        <v>33524</v>
      </c>
      <c r="K13713" t="s">
        <v>42732</v>
      </c>
      <c r="M13713" t="s">
        <v>43089</v>
      </c>
      <c r="N13713" t="s">
        <v>47424</v>
      </c>
      <c r="O13713" t="s">
        <v>47425</v>
      </c>
      <c r="P13713">
        <v>0</v>
      </c>
      <c r="Q13713">
        <v>0</v>
      </c>
      <c r="R13713" t="s">
        <v>47444</v>
      </c>
      <c r="S13713" t="s">
        <v>48135</v>
      </c>
      <c r="T13713" t="s">
        <v>49236</v>
      </c>
      <c r="U13713" t="s">
        <v>60858</v>
      </c>
      <c r="W13713" t="s">
        <v>43089</v>
      </c>
      <c r="X13713" t="s">
        <v>47445</v>
      </c>
    </row>
    <row r="13714" spans="1:24">
      <c r="A13714">
        <f>HYPERLINK("https://www.philgeps.gov.ph/GEPSNONPILOT/Tender/SplashBidNoticeAbstractUI.aspx?menuIndex=3&amp;refID=7131175&amp;Result=3","7131175")</f>
        <v>0</v>
      </c>
      <c r="B13714" t="s">
        <v>1545</v>
      </c>
      <c r="C13714" t="s">
        <v>16862</v>
      </c>
      <c r="D13714" t="s">
        <v>19044</v>
      </c>
      <c r="E13714" t="s">
        <v>30836</v>
      </c>
      <c r="F13714" t="s">
        <v>32831</v>
      </c>
      <c r="G13714" t="s">
        <v>32839</v>
      </c>
      <c r="H13714" t="s">
        <v>32849</v>
      </c>
      <c r="I13714" t="s">
        <v>4177</v>
      </c>
      <c r="J13714" t="s">
        <v>33118</v>
      </c>
      <c r="K13714" t="s">
        <v>42729</v>
      </c>
      <c r="M13714" t="s">
        <v>44649</v>
      </c>
      <c r="N13714" t="s">
        <v>47424</v>
      </c>
      <c r="O13714" t="s">
        <v>47425</v>
      </c>
      <c r="Q13714">
        <v>1</v>
      </c>
      <c r="R13714" t="s">
        <v>47444</v>
      </c>
      <c r="S13714" t="s">
        <v>48197</v>
      </c>
      <c r="T13714" t="s">
        <v>49108</v>
      </c>
      <c r="U13714" t="s">
        <v>60821</v>
      </c>
      <c r="W13714" t="s">
        <v>44649</v>
      </c>
      <c r="X13714" t="s">
        <v>47445</v>
      </c>
    </row>
    <row r="13715" spans="1:24">
      <c r="A13715">
        <f>HYPERLINK("https://www.philgeps.gov.ph/GEPSNONPILOT/Tender/SplashBidNoticeAbstractUI.aspx?menuIndex=3&amp;refID=7131127&amp;Result=3","7131127")</f>
        <v>0</v>
      </c>
      <c r="B13715" t="s">
        <v>703</v>
      </c>
      <c r="C13715" t="s">
        <v>16863</v>
      </c>
      <c r="D13715" t="s">
        <v>19077</v>
      </c>
      <c r="E13715" t="s">
        <v>30837</v>
      </c>
      <c r="F13715" t="s">
        <v>32831</v>
      </c>
      <c r="G13715" t="s">
        <v>32839</v>
      </c>
      <c r="H13715" t="s">
        <v>32848</v>
      </c>
      <c r="I13715" t="s">
        <v>32925</v>
      </c>
      <c r="J13715" t="s">
        <v>41335</v>
      </c>
      <c r="K13715" t="s">
        <v>42763</v>
      </c>
      <c r="M13715" t="s">
        <v>43722</v>
      </c>
      <c r="N13715" t="s">
        <v>47424</v>
      </c>
      <c r="O13715" t="s">
        <v>47425</v>
      </c>
      <c r="Q13715">
        <v>8</v>
      </c>
      <c r="R13715" t="s">
        <v>47444</v>
      </c>
      <c r="S13715" t="s">
        <v>48198</v>
      </c>
      <c r="T13715" t="s">
        <v>49087</v>
      </c>
      <c r="U13715" t="s">
        <v>60845</v>
      </c>
      <c r="W13715" t="s">
        <v>43722</v>
      </c>
      <c r="X13715" t="s">
        <v>47445</v>
      </c>
    </row>
    <row r="13716" spans="1:24">
      <c r="A13716">
        <f>HYPERLINK("https://www.philgeps.gov.ph/GEPSNONPILOT/Tender/SplashBidNoticeAbstractUI.aspx?menuIndex=3&amp;refID=7131123&amp;Result=3","7131123")</f>
        <v>0</v>
      </c>
      <c r="B13716" t="s">
        <v>121</v>
      </c>
      <c r="C13716" t="s">
        <v>16864</v>
      </c>
      <c r="D13716" t="s">
        <v>19048</v>
      </c>
      <c r="E13716" t="s">
        <v>30838</v>
      </c>
      <c r="F13716" t="s">
        <v>32831</v>
      </c>
      <c r="G13716" t="s">
        <v>32839</v>
      </c>
      <c r="H13716" t="s">
        <v>32849</v>
      </c>
      <c r="I13716" t="s">
        <v>4177</v>
      </c>
      <c r="J13716" t="s">
        <v>41336</v>
      </c>
      <c r="K13716" t="s">
        <v>42982</v>
      </c>
      <c r="M13716" t="s">
        <v>43118</v>
      </c>
      <c r="N13716" t="s">
        <v>47424</v>
      </c>
      <c r="O13716" t="s">
        <v>47425</v>
      </c>
      <c r="Q13716">
        <v>6</v>
      </c>
      <c r="R13716" t="s">
        <v>47444</v>
      </c>
      <c r="S13716" t="s">
        <v>48199</v>
      </c>
      <c r="T13716" t="s">
        <v>49066</v>
      </c>
      <c r="U13716" t="s">
        <v>60859</v>
      </c>
      <c r="V13716" t="s">
        <v>64171</v>
      </c>
      <c r="W13716" t="s">
        <v>43118</v>
      </c>
      <c r="X13716" t="s">
        <v>47445</v>
      </c>
    </row>
    <row r="13717" spans="1:24">
      <c r="A13717">
        <f>HYPERLINK("https://www.philgeps.gov.ph/GEPSNONPILOT/Tender/SplashBidNoticeAbstractUI.aspx?menuIndex=3&amp;refID=7131126&amp;Result=3","7131126")</f>
        <v>0</v>
      </c>
      <c r="B13717" t="s">
        <v>1802</v>
      </c>
      <c r="C13717" t="s">
        <v>16865</v>
      </c>
      <c r="D13717" t="s">
        <v>19062</v>
      </c>
      <c r="E13717" t="s">
        <v>30839</v>
      </c>
      <c r="F13717" t="s">
        <v>32831</v>
      </c>
      <c r="G13717" t="s">
        <v>32839</v>
      </c>
      <c r="H13717" t="s">
        <v>32849</v>
      </c>
      <c r="I13717" t="s">
        <v>4177</v>
      </c>
      <c r="J13717" t="s">
        <v>33066</v>
      </c>
      <c r="K13717" t="s">
        <v>42763</v>
      </c>
      <c r="M13717" t="s">
        <v>44933</v>
      </c>
      <c r="N13717" t="s">
        <v>47424</v>
      </c>
      <c r="O13717" t="s">
        <v>47425</v>
      </c>
      <c r="Q13717">
        <v>0</v>
      </c>
      <c r="R13717" t="s">
        <v>47444</v>
      </c>
      <c r="S13717" t="s">
        <v>48200</v>
      </c>
      <c r="T13717" t="s">
        <v>49070</v>
      </c>
      <c r="U13717" t="s">
        <v>60860</v>
      </c>
      <c r="W13717" t="s">
        <v>44933</v>
      </c>
      <c r="X13717" t="s">
        <v>47445</v>
      </c>
    </row>
    <row r="13718" spans="1:24">
      <c r="A13718">
        <f>HYPERLINK("https://www.philgeps.gov.ph/GEPSNONPILOT/Tender/SplashBidNoticeAbstractUI.aspx?menuIndex=3&amp;refID=7131114&amp;Result=3","7131114")</f>
        <v>0</v>
      </c>
      <c r="B13718" t="s">
        <v>1545</v>
      </c>
      <c r="C13718" t="s">
        <v>16866</v>
      </c>
      <c r="D13718" t="s">
        <v>19044</v>
      </c>
      <c r="E13718" t="s">
        <v>30840</v>
      </c>
      <c r="F13718" t="s">
        <v>32831</v>
      </c>
      <c r="G13718" t="s">
        <v>32839</v>
      </c>
      <c r="H13718" t="s">
        <v>32849</v>
      </c>
      <c r="I13718" t="s">
        <v>4177</v>
      </c>
      <c r="J13718" t="s">
        <v>33118</v>
      </c>
      <c r="K13718" t="s">
        <v>42729</v>
      </c>
      <c r="M13718" t="s">
        <v>44649</v>
      </c>
      <c r="N13718" t="s">
        <v>47424</v>
      </c>
      <c r="O13718" t="s">
        <v>47425</v>
      </c>
      <c r="Q13718">
        <v>0</v>
      </c>
      <c r="R13718" t="s">
        <v>47444</v>
      </c>
      <c r="S13718" t="s">
        <v>48201</v>
      </c>
      <c r="T13718" t="s">
        <v>49108</v>
      </c>
      <c r="U13718" t="s">
        <v>60821</v>
      </c>
      <c r="W13718" t="s">
        <v>44649</v>
      </c>
      <c r="X13718" t="s">
        <v>47445</v>
      </c>
    </row>
    <row r="13719" spans="1:24">
      <c r="A13719">
        <f>HYPERLINK("https://www.philgeps.gov.ph/GEPSNONPILOT/Tender/SplashBidNoticeAbstractUI.aspx?menuIndex=3&amp;refID=7131110&amp;Result=3","7131110")</f>
        <v>0</v>
      </c>
      <c r="B13719" t="s">
        <v>2461</v>
      </c>
      <c r="C13719" t="s">
        <v>16867</v>
      </c>
      <c r="D13719" t="s">
        <v>19037</v>
      </c>
      <c r="E13719" t="s">
        <v>30841</v>
      </c>
      <c r="F13719" t="s">
        <v>32831</v>
      </c>
      <c r="G13719" t="s">
        <v>32839</v>
      </c>
      <c r="H13719" t="s">
        <v>32848</v>
      </c>
      <c r="I13719" t="s">
        <v>4776</v>
      </c>
      <c r="J13719" t="s">
        <v>41337</v>
      </c>
      <c r="K13719" t="s">
        <v>42731</v>
      </c>
      <c r="M13719" t="s">
        <v>45659</v>
      </c>
      <c r="N13719" t="s">
        <v>47424</v>
      </c>
      <c r="O13719" t="s">
        <v>47425</v>
      </c>
      <c r="P13719">
        <v>0</v>
      </c>
      <c r="Q13719">
        <v>7</v>
      </c>
      <c r="R13719" t="s">
        <v>47444</v>
      </c>
      <c r="S13719" t="s">
        <v>48135</v>
      </c>
      <c r="T13719" t="s">
        <v>49199</v>
      </c>
      <c r="U13719" t="s">
        <v>58319</v>
      </c>
      <c r="W13719" t="s">
        <v>64509</v>
      </c>
      <c r="X13719" t="s">
        <v>47445</v>
      </c>
    </row>
    <row r="13720" spans="1:24">
      <c r="A13720">
        <f>HYPERLINK("https://www.philgeps.gov.ph/GEPSNONPILOT/Tender/SplashBidNoticeAbstractUI.aspx?menuIndex=3&amp;refID=7131465&amp;Result=3","7131465")</f>
        <v>0</v>
      </c>
      <c r="B13720" t="s">
        <v>2435</v>
      </c>
      <c r="C13720" t="s">
        <v>16868</v>
      </c>
      <c r="D13720" t="s">
        <v>19083</v>
      </c>
      <c r="E13720" t="s">
        <v>30842</v>
      </c>
      <c r="F13720" t="s">
        <v>32831</v>
      </c>
      <c r="G13720" t="s">
        <v>32839</v>
      </c>
      <c r="H13720" t="s">
        <v>32849</v>
      </c>
      <c r="I13720" t="s">
        <v>4177</v>
      </c>
      <c r="J13720" t="s">
        <v>41338</v>
      </c>
      <c r="K13720" t="s">
        <v>42983</v>
      </c>
      <c r="M13720" t="s">
        <v>45632</v>
      </c>
      <c r="N13720" t="s">
        <v>47424</v>
      </c>
      <c r="O13720" t="s">
        <v>47425</v>
      </c>
      <c r="Q13720">
        <v>1</v>
      </c>
      <c r="R13720" t="s">
        <v>47444</v>
      </c>
      <c r="S13720" t="s">
        <v>48202</v>
      </c>
      <c r="T13720" t="s">
        <v>49059</v>
      </c>
      <c r="U13720" t="s">
        <v>60861</v>
      </c>
      <c r="W13720" t="s">
        <v>45632</v>
      </c>
      <c r="X13720" t="s">
        <v>47445</v>
      </c>
    </row>
    <row r="13721" spans="1:24">
      <c r="A13721">
        <f>HYPERLINK("https://www.philgeps.gov.ph/GEPSNONPILOT/Tender/SplashBidNoticeAbstractUI.aspx?menuIndex=3&amp;refID=7131506&amp;Result=3","7131506")</f>
        <v>0</v>
      </c>
      <c r="B13721" t="s">
        <v>1777</v>
      </c>
      <c r="C13721" t="s">
        <v>16869</v>
      </c>
      <c r="D13721" t="s">
        <v>19074</v>
      </c>
      <c r="E13721" t="s">
        <v>30843</v>
      </c>
      <c r="F13721" t="s">
        <v>32831</v>
      </c>
      <c r="G13721" t="s">
        <v>32839</v>
      </c>
      <c r="H13721" t="s">
        <v>32848</v>
      </c>
      <c r="I13721" t="s">
        <v>32890</v>
      </c>
      <c r="J13721" t="s">
        <v>33707</v>
      </c>
      <c r="K13721" t="s">
        <v>42730</v>
      </c>
      <c r="M13721" t="s">
        <v>44902</v>
      </c>
      <c r="N13721" t="s">
        <v>47424</v>
      </c>
      <c r="O13721" t="s">
        <v>47425</v>
      </c>
      <c r="P13721">
        <v>0</v>
      </c>
      <c r="Q13721">
        <v>4</v>
      </c>
      <c r="R13721" t="s">
        <v>47444</v>
      </c>
      <c r="S13721" t="s">
        <v>48135</v>
      </c>
      <c r="T13721" t="s">
        <v>49127</v>
      </c>
      <c r="U13721" t="s">
        <v>60862</v>
      </c>
      <c r="W13721" t="s">
        <v>44902</v>
      </c>
      <c r="X13721" t="s">
        <v>47445</v>
      </c>
    </row>
    <row r="13722" spans="1:24">
      <c r="A13722">
        <f>HYPERLINK("https://www.philgeps.gov.ph/GEPSNONPILOT/Tender/SplashBidNoticeAbstractUI.aspx?menuIndex=3&amp;refID=7131194&amp;Result=3","7131194")</f>
        <v>0</v>
      </c>
      <c r="B13722" t="s">
        <v>1149</v>
      </c>
      <c r="C13722" t="s">
        <v>16870</v>
      </c>
      <c r="D13722" t="s">
        <v>19079</v>
      </c>
      <c r="E13722" t="s">
        <v>30844</v>
      </c>
      <c r="F13722" t="s">
        <v>32831</v>
      </c>
      <c r="G13722" t="s">
        <v>32839</v>
      </c>
      <c r="H13722" t="s">
        <v>32848</v>
      </c>
      <c r="I13722" t="s">
        <v>4487</v>
      </c>
      <c r="J13722" t="s">
        <v>41339</v>
      </c>
      <c r="K13722" t="s">
        <v>42731</v>
      </c>
      <c r="M13722" t="s">
        <v>45518</v>
      </c>
      <c r="N13722" t="s">
        <v>47424</v>
      </c>
      <c r="O13722" t="s">
        <v>47425</v>
      </c>
      <c r="P13722">
        <v>0</v>
      </c>
      <c r="Q13722">
        <v>10</v>
      </c>
      <c r="R13722" t="s">
        <v>47444</v>
      </c>
      <c r="S13722" t="s">
        <v>48135</v>
      </c>
      <c r="T13722" t="s">
        <v>49166</v>
      </c>
      <c r="U13722" t="s">
        <v>60863</v>
      </c>
      <c r="W13722" t="s">
        <v>45518</v>
      </c>
      <c r="X13722" t="s">
        <v>47445</v>
      </c>
    </row>
    <row r="13723" spans="1:24">
      <c r="A13723">
        <f>HYPERLINK("https://www.philgeps.gov.ph/GEPSNONPILOT/Tender/SplashBidNoticeAbstractUI.aspx?menuIndex=3&amp;refID=7131269&amp;Result=3","7131269")</f>
        <v>0</v>
      </c>
      <c r="B13723" t="s">
        <v>1447</v>
      </c>
      <c r="C13723" t="s">
        <v>16871</v>
      </c>
      <c r="D13723" t="s">
        <v>19057</v>
      </c>
      <c r="E13723" t="s">
        <v>30845</v>
      </c>
      <c r="F13723" t="s">
        <v>32831</v>
      </c>
      <c r="G13723" t="s">
        <v>32839</v>
      </c>
      <c r="H13723" t="s">
        <v>32849</v>
      </c>
      <c r="I13723" t="s">
        <v>4177</v>
      </c>
      <c r="J13723" t="s">
        <v>33016</v>
      </c>
      <c r="K13723" t="s">
        <v>42763</v>
      </c>
      <c r="M13723" t="s">
        <v>44539</v>
      </c>
      <c r="N13723" t="s">
        <v>47424</v>
      </c>
      <c r="O13723" t="s">
        <v>47425</v>
      </c>
      <c r="P13723">
        <v>0</v>
      </c>
      <c r="Q13723">
        <v>0</v>
      </c>
      <c r="R13723" t="s">
        <v>47444</v>
      </c>
      <c r="S13723" t="s">
        <v>48135</v>
      </c>
      <c r="T13723" t="s">
        <v>49056</v>
      </c>
      <c r="U13723" t="s">
        <v>60864</v>
      </c>
      <c r="V13723" t="s">
        <v>64175</v>
      </c>
      <c r="W13723" t="s">
        <v>44539</v>
      </c>
      <c r="X13723" t="s">
        <v>47445</v>
      </c>
    </row>
    <row r="13724" spans="1:24">
      <c r="A13724">
        <f>HYPERLINK("https://www.philgeps.gov.ph/GEPSNONPILOT/Tender/SplashBidNoticeAbstractUI.aspx?menuIndex=3&amp;refID=7131503&amp;Result=3","7131503")</f>
        <v>0</v>
      </c>
      <c r="B13724" t="s">
        <v>56</v>
      </c>
      <c r="C13724" t="s">
        <v>16872</v>
      </c>
      <c r="D13724" t="s">
        <v>19040</v>
      </c>
      <c r="E13724" t="s">
        <v>30846</v>
      </c>
      <c r="F13724" t="s">
        <v>32831</v>
      </c>
      <c r="G13724" t="s">
        <v>32839</v>
      </c>
      <c r="H13724" t="s">
        <v>32849</v>
      </c>
      <c r="I13724" t="s">
        <v>4177</v>
      </c>
      <c r="J13724" t="s">
        <v>41340</v>
      </c>
      <c r="K13724" t="s">
        <v>42763</v>
      </c>
      <c r="M13724" t="s">
        <v>43053</v>
      </c>
      <c r="N13724" t="s">
        <v>47424</v>
      </c>
      <c r="O13724" t="s">
        <v>47425</v>
      </c>
      <c r="P13724">
        <v>0</v>
      </c>
      <c r="Q13724">
        <v>3</v>
      </c>
      <c r="R13724" t="s">
        <v>47444</v>
      </c>
      <c r="S13724" t="s">
        <v>48135</v>
      </c>
      <c r="T13724" t="s">
        <v>49093</v>
      </c>
      <c r="U13724" t="s">
        <v>60865</v>
      </c>
      <c r="W13724" t="s">
        <v>43053</v>
      </c>
      <c r="X13724" t="s">
        <v>47445</v>
      </c>
    </row>
    <row r="13725" spans="1:24">
      <c r="A13725">
        <f>HYPERLINK("https://www.philgeps.gov.ph/GEPSNONPILOT/Tender/SplashBidNoticeAbstractUI.aspx?menuIndex=3&amp;refID=7131208&amp;Result=3","7131208")</f>
        <v>0</v>
      </c>
      <c r="B13725" t="s">
        <v>787</v>
      </c>
      <c r="C13725" t="s">
        <v>16873</v>
      </c>
      <c r="D13725" t="s">
        <v>19045</v>
      </c>
      <c r="E13725" t="s">
        <v>27522</v>
      </c>
      <c r="F13725" t="s">
        <v>32831</v>
      </c>
      <c r="G13725" t="s">
        <v>32839</v>
      </c>
      <c r="H13725" t="s">
        <v>32848</v>
      </c>
      <c r="I13725" t="s">
        <v>32884</v>
      </c>
      <c r="J13725" t="s">
        <v>33207</v>
      </c>
      <c r="K13725" t="s">
        <v>42727</v>
      </c>
      <c r="M13725" t="s">
        <v>43816</v>
      </c>
      <c r="N13725" t="s">
        <v>47424</v>
      </c>
      <c r="O13725" t="s">
        <v>47425</v>
      </c>
      <c r="P13725">
        <v>0</v>
      </c>
      <c r="Q13725">
        <v>3</v>
      </c>
      <c r="R13725" t="s">
        <v>47444</v>
      </c>
      <c r="S13725" t="s">
        <v>48135</v>
      </c>
      <c r="T13725" t="s">
        <v>49166</v>
      </c>
      <c r="U13725" t="s">
        <v>60866</v>
      </c>
      <c r="W13725" t="s">
        <v>43816</v>
      </c>
      <c r="X13725" t="s">
        <v>47445</v>
      </c>
    </row>
    <row r="13726" spans="1:24">
      <c r="A13726">
        <f>HYPERLINK("https://www.philgeps.gov.ph/GEPSNONPILOT/Tender/SplashBidNoticeAbstractUI.aspx?menuIndex=3&amp;refID=7131462&amp;Result=3","7131462")</f>
        <v>0</v>
      </c>
      <c r="B13726" t="s">
        <v>1587</v>
      </c>
      <c r="C13726" t="s">
        <v>16874</v>
      </c>
      <c r="D13726" t="s">
        <v>19057</v>
      </c>
      <c r="E13726" t="s">
        <v>30847</v>
      </c>
      <c r="F13726" t="s">
        <v>32831</v>
      </c>
      <c r="G13726" t="s">
        <v>32839</v>
      </c>
      <c r="H13726" t="s">
        <v>32848</v>
      </c>
      <c r="I13726" t="s">
        <v>7416</v>
      </c>
      <c r="J13726" t="s">
        <v>41341</v>
      </c>
      <c r="K13726" t="s">
        <v>42729</v>
      </c>
      <c r="L13726" t="s">
        <v>1587</v>
      </c>
      <c r="M13726" t="s">
        <v>45444</v>
      </c>
      <c r="N13726" t="s">
        <v>47424</v>
      </c>
      <c r="O13726" t="s">
        <v>47425</v>
      </c>
      <c r="Q13726">
        <v>0</v>
      </c>
      <c r="R13726" t="s">
        <v>47444</v>
      </c>
      <c r="S13726" t="s">
        <v>48165</v>
      </c>
      <c r="T13726" t="s">
        <v>49214</v>
      </c>
      <c r="U13726" t="s">
        <v>55513</v>
      </c>
      <c r="W13726" t="s">
        <v>45444</v>
      </c>
      <c r="X13726" t="s">
        <v>47445</v>
      </c>
    </row>
    <row r="13727" spans="1:24">
      <c r="A13727">
        <f>HYPERLINK("https://www.philgeps.gov.ph/GEPSNONPILOT/Tender/SplashBidNoticeAbstractUI.aspx?menuIndex=3&amp;refID=7131434&amp;Result=3","7131434")</f>
        <v>0</v>
      </c>
      <c r="B13727" t="s">
        <v>3751</v>
      </c>
      <c r="C13727" t="s">
        <v>16875</v>
      </c>
      <c r="D13727" t="s">
        <v>19049</v>
      </c>
      <c r="E13727" t="s">
        <v>30848</v>
      </c>
      <c r="F13727" t="s">
        <v>32831</v>
      </c>
      <c r="G13727" t="s">
        <v>32839</v>
      </c>
      <c r="H13727" t="s">
        <v>32848</v>
      </c>
      <c r="I13727" t="s">
        <v>32867</v>
      </c>
      <c r="J13727" t="s">
        <v>41342</v>
      </c>
      <c r="K13727" t="s">
        <v>42731</v>
      </c>
      <c r="M13727" t="s">
        <v>47149</v>
      </c>
      <c r="N13727" t="s">
        <v>47424</v>
      </c>
      <c r="O13727" t="s">
        <v>47425</v>
      </c>
      <c r="P13727">
        <v>0</v>
      </c>
      <c r="Q13727">
        <v>3</v>
      </c>
      <c r="R13727" t="s">
        <v>47444</v>
      </c>
      <c r="S13727" t="s">
        <v>48135</v>
      </c>
      <c r="T13727" t="s">
        <v>49171</v>
      </c>
      <c r="U13727" t="s">
        <v>60867</v>
      </c>
      <c r="W13727" t="s">
        <v>47149</v>
      </c>
      <c r="X13727" t="s">
        <v>47445</v>
      </c>
    </row>
    <row r="13728" spans="1:24">
      <c r="A13728">
        <f>HYPERLINK("https://www.philgeps.gov.ph/GEPSNONPILOT/Tender/SplashBidNoticeAbstractUI.aspx?menuIndex=3&amp;refID=7131433&amp;Result=3","7131433")</f>
        <v>0</v>
      </c>
      <c r="B13728" t="s">
        <v>787</v>
      </c>
      <c r="C13728" t="s">
        <v>16876</v>
      </c>
      <c r="D13728" t="s">
        <v>19045</v>
      </c>
      <c r="E13728" t="s">
        <v>19984</v>
      </c>
      <c r="F13728" t="s">
        <v>32831</v>
      </c>
      <c r="G13728" t="s">
        <v>32839</v>
      </c>
      <c r="H13728" t="s">
        <v>32848</v>
      </c>
      <c r="I13728" t="s">
        <v>4558</v>
      </c>
      <c r="J13728" t="s">
        <v>41343</v>
      </c>
      <c r="K13728" t="s">
        <v>42727</v>
      </c>
      <c r="M13728" t="s">
        <v>43816</v>
      </c>
      <c r="N13728" t="s">
        <v>47424</v>
      </c>
      <c r="O13728" t="s">
        <v>47425</v>
      </c>
      <c r="P13728">
        <v>0</v>
      </c>
      <c r="Q13728">
        <v>3</v>
      </c>
      <c r="R13728" t="s">
        <v>47444</v>
      </c>
      <c r="S13728" t="s">
        <v>48135</v>
      </c>
      <c r="T13728" t="s">
        <v>49214</v>
      </c>
      <c r="U13728" t="s">
        <v>60868</v>
      </c>
      <c r="W13728" t="s">
        <v>43816</v>
      </c>
      <c r="X13728" t="s">
        <v>47445</v>
      </c>
    </row>
    <row r="13729" spans="1:24">
      <c r="A13729">
        <f>HYPERLINK("https://www.philgeps.gov.ph/GEPSNONPILOT/Tender/SplashBidNoticeAbstractUI.aspx?menuIndex=3&amp;refID=7131423&amp;Result=3","7131423")</f>
        <v>0</v>
      </c>
      <c r="B13729" t="s">
        <v>3256</v>
      </c>
      <c r="C13729" t="s">
        <v>16877</v>
      </c>
      <c r="D13729" t="s">
        <v>19040</v>
      </c>
      <c r="E13729" t="s">
        <v>30849</v>
      </c>
      <c r="F13729" t="s">
        <v>32831</v>
      </c>
      <c r="G13729" t="s">
        <v>32839</v>
      </c>
      <c r="H13729" t="s">
        <v>32849</v>
      </c>
      <c r="I13729" t="s">
        <v>4177</v>
      </c>
      <c r="J13729" t="s">
        <v>41344</v>
      </c>
      <c r="K13729" t="s">
        <v>42967</v>
      </c>
      <c r="M13729" t="s">
        <v>46572</v>
      </c>
      <c r="N13729" t="s">
        <v>47424</v>
      </c>
      <c r="O13729" t="s">
        <v>47425</v>
      </c>
      <c r="Q13729">
        <v>0</v>
      </c>
      <c r="R13729" t="s">
        <v>47444</v>
      </c>
      <c r="S13729" t="s">
        <v>48203</v>
      </c>
      <c r="T13729" t="s">
        <v>49639</v>
      </c>
      <c r="U13729" t="s">
        <v>60771</v>
      </c>
      <c r="V13729" t="s">
        <v>64176</v>
      </c>
      <c r="W13729" t="s">
        <v>46572</v>
      </c>
      <c r="X13729" t="s">
        <v>47445</v>
      </c>
    </row>
    <row r="13730" spans="1:24">
      <c r="A13730">
        <f>HYPERLINK("https://www.philgeps.gov.ph/GEPSNONPILOT/Tender/SplashBidNoticeAbstractUI.aspx?menuIndex=3&amp;refID=7131494&amp;Result=3","7131494")</f>
        <v>0</v>
      </c>
      <c r="B13730" t="s">
        <v>579</v>
      </c>
      <c r="C13730" t="s">
        <v>16878</v>
      </c>
      <c r="D13730" t="s">
        <v>19017</v>
      </c>
      <c r="E13730" t="s">
        <v>30850</v>
      </c>
      <c r="F13730" t="s">
        <v>32831</v>
      </c>
      <c r="G13730" t="s">
        <v>32839</v>
      </c>
      <c r="H13730" t="s">
        <v>32848</v>
      </c>
      <c r="I13730" t="s">
        <v>4487</v>
      </c>
      <c r="J13730" t="s">
        <v>41345</v>
      </c>
      <c r="K13730" t="s">
        <v>42730</v>
      </c>
      <c r="M13730" t="s">
        <v>43590</v>
      </c>
      <c r="N13730" t="s">
        <v>47424</v>
      </c>
      <c r="O13730" t="s">
        <v>47425</v>
      </c>
      <c r="Q13730">
        <v>18</v>
      </c>
      <c r="R13730" t="s">
        <v>47444</v>
      </c>
      <c r="S13730" t="s">
        <v>48204</v>
      </c>
      <c r="T13730" t="s">
        <v>49640</v>
      </c>
      <c r="U13730" t="s">
        <v>60869</v>
      </c>
      <c r="W13730" t="s">
        <v>43590</v>
      </c>
      <c r="X13730" t="s">
        <v>47445</v>
      </c>
    </row>
    <row r="13731" spans="1:24">
      <c r="A13731">
        <f>HYPERLINK("https://www.philgeps.gov.ph/GEPSNONPILOT/Tender/SplashBidNoticeAbstractUI.aspx?menuIndex=3&amp;refID=7131488&amp;Result=3","7131488")</f>
        <v>0</v>
      </c>
      <c r="B13731" t="s">
        <v>2746</v>
      </c>
      <c r="C13731" t="s">
        <v>16879</v>
      </c>
      <c r="D13731" t="s">
        <v>19045</v>
      </c>
      <c r="E13731" t="s">
        <v>30851</v>
      </c>
      <c r="F13731" t="s">
        <v>32831</v>
      </c>
      <c r="G13731" t="s">
        <v>32839</v>
      </c>
      <c r="H13731" t="s">
        <v>32848</v>
      </c>
      <c r="I13731" t="s">
        <v>4438</v>
      </c>
      <c r="J13731" t="s">
        <v>41346</v>
      </c>
      <c r="K13731" t="s">
        <v>42731</v>
      </c>
      <c r="M13731" t="s">
        <v>45974</v>
      </c>
      <c r="N13731" t="s">
        <v>47424</v>
      </c>
      <c r="O13731" t="s">
        <v>47425</v>
      </c>
      <c r="P13731">
        <v>0</v>
      </c>
      <c r="Q13731">
        <v>0</v>
      </c>
      <c r="R13731" t="s">
        <v>47444</v>
      </c>
      <c r="S13731" t="s">
        <v>48135</v>
      </c>
      <c r="T13731" t="s">
        <v>49061</v>
      </c>
      <c r="U13731" t="s">
        <v>60870</v>
      </c>
      <c r="W13731" t="s">
        <v>45974</v>
      </c>
      <c r="X13731" t="s">
        <v>47445</v>
      </c>
    </row>
    <row r="13732" spans="1:24">
      <c r="A13732">
        <f>HYPERLINK("https://www.philgeps.gov.ph/GEPSNONPILOT/Tender/SplashBidNoticeAbstractUI.aspx?menuIndex=3&amp;refID=7131378&amp;Result=3","7131378")</f>
        <v>0</v>
      </c>
      <c r="B13732" t="s">
        <v>3033</v>
      </c>
      <c r="C13732" t="s">
        <v>4255</v>
      </c>
      <c r="D13732" t="s">
        <v>19021</v>
      </c>
      <c r="E13732" t="s">
        <v>30852</v>
      </c>
      <c r="F13732" t="s">
        <v>32831</v>
      </c>
      <c r="G13732" t="s">
        <v>32839</v>
      </c>
      <c r="H13732" t="s">
        <v>32848</v>
      </c>
      <c r="I13732" t="s">
        <v>7416</v>
      </c>
      <c r="J13732" t="s">
        <v>32980</v>
      </c>
      <c r="K13732" t="s">
        <v>42731</v>
      </c>
      <c r="M13732" t="s">
        <v>46303</v>
      </c>
      <c r="N13732" t="s">
        <v>47424</v>
      </c>
      <c r="O13732" t="s">
        <v>47425</v>
      </c>
      <c r="P13732">
        <v>0</v>
      </c>
      <c r="Q13732">
        <v>3</v>
      </c>
      <c r="R13732" t="s">
        <v>47444</v>
      </c>
      <c r="S13732" t="s">
        <v>48135</v>
      </c>
      <c r="T13732" t="s">
        <v>49212</v>
      </c>
      <c r="U13732" t="s">
        <v>60871</v>
      </c>
      <c r="W13732" t="s">
        <v>46303</v>
      </c>
      <c r="X13732" t="s">
        <v>47445</v>
      </c>
    </row>
    <row r="13733" spans="1:24">
      <c r="A13733">
        <f>HYPERLINK("https://www.philgeps.gov.ph/GEPSNONPILOT/Tender/SplashBidNoticeAbstractUI.aspx?menuIndex=3&amp;refID=7131643&amp;Result=3","7131643")</f>
        <v>0</v>
      </c>
      <c r="B13733" t="s">
        <v>694</v>
      </c>
      <c r="C13733" t="s">
        <v>16880</v>
      </c>
      <c r="E13733" t="s">
        <v>30853</v>
      </c>
      <c r="F13733" t="s">
        <v>32831</v>
      </c>
      <c r="G13733" t="s">
        <v>32839</v>
      </c>
      <c r="H13733" t="s">
        <v>32848</v>
      </c>
      <c r="I13733" t="s">
        <v>32853</v>
      </c>
      <c r="J13733" t="s">
        <v>41347</v>
      </c>
      <c r="K13733" t="s">
        <v>42726</v>
      </c>
      <c r="M13733" t="s">
        <v>43713</v>
      </c>
      <c r="N13733" t="s">
        <v>47424</v>
      </c>
      <c r="O13733" t="s">
        <v>47425</v>
      </c>
      <c r="Q13733">
        <v>3</v>
      </c>
      <c r="R13733" t="s">
        <v>47444</v>
      </c>
      <c r="S13733" t="s">
        <v>48205</v>
      </c>
      <c r="T13733" t="s">
        <v>49205</v>
      </c>
      <c r="U13733" t="s">
        <v>60872</v>
      </c>
      <c r="V13733" t="s">
        <v>64177</v>
      </c>
      <c r="W13733" t="s">
        <v>43713</v>
      </c>
      <c r="X13733" t="s">
        <v>47445</v>
      </c>
    </row>
    <row r="13734" spans="1:24">
      <c r="A13734">
        <f>HYPERLINK("https://www.philgeps.gov.ph/GEPSNONPILOT/Tender/SplashBidNoticeAbstractUI.aspx?menuIndex=3&amp;refID=7131409&amp;Result=3","7131409")</f>
        <v>0</v>
      </c>
      <c r="B13734" t="s">
        <v>1999</v>
      </c>
      <c r="C13734" t="s">
        <v>16881</v>
      </c>
      <c r="E13734" t="s">
        <v>30854</v>
      </c>
      <c r="F13734" t="s">
        <v>32831</v>
      </c>
      <c r="G13734" t="s">
        <v>32839</v>
      </c>
      <c r="H13734" t="s">
        <v>32848</v>
      </c>
      <c r="I13734" t="s">
        <v>10805</v>
      </c>
      <c r="J13734" t="s">
        <v>33108</v>
      </c>
      <c r="K13734" t="s">
        <v>42729</v>
      </c>
      <c r="M13734" t="s">
        <v>45166</v>
      </c>
      <c r="N13734" t="s">
        <v>47424</v>
      </c>
      <c r="O13734" t="s">
        <v>47425</v>
      </c>
      <c r="Q13734">
        <v>9</v>
      </c>
      <c r="R13734" t="s">
        <v>47444</v>
      </c>
      <c r="S13734" t="s">
        <v>48206</v>
      </c>
      <c r="T13734" t="s">
        <v>49641</v>
      </c>
      <c r="U13734" t="s">
        <v>60873</v>
      </c>
      <c r="W13734" t="s">
        <v>45166</v>
      </c>
      <c r="X13734" t="s">
        <v>47445</v>
      </c>
    </row>
    <row r="13735" spans="1:24">
      <c r="A13735">
        <f>HYPERLINK("https://www.philgeps.gov.ph/GEPSNONPILOT/Tender/SplashBidNoticeAbstractUI.aspx?menuIndex=3&amp;refID=7131690&amp;Result=3","7131690")</f>
        <v>0</v>
      </c>
      <c r="B13735" t="s">
        <v>3752</v>
      </c>
      <c r="C13735" t="s">
        <v>16882</v>
      </c>
      <c r="E13735" t="s">
        <v>20054</v>
      </c>
      <c r="F13735" t="s">
        <v>32831</v>
      </c>
      <c r="G13735" t="s">
        <v>32839</v>
      </c>
      <c r="H13735" t="s">
        <v>32848</v>
      </c>
      <c r="I13735" t="s">
        <v>4303</v>
      </c>
      <c r="J13735" t="s">
        <v>41348</v>
      </c>
      <c r="K13735" t="s">
        <v>42732</v>
      </c>
      <c r="M13735" t="s">
        <v>47150</v>
      </c>
      <c r="N13735" t="s">
        <v>47424</v>
      </c>
      <c r="O13735" t="s">
        <v>47425</v>
      </c>
      <c r="Q13735">
        <v>1</v>
      </c>
      <c r="R13735" t="s">
        <v>47444</v>
      </c>
      <c r="S13735" t="s">
        <v>48172</v>
      </c>
      <c r="T13735" t="s">
        <v>49642</v>
      </c>
      <c r="U13735" t="s">
        <v>60874</v>
      </c>
      <c r="W13735" t="s">
        <v>47150</v>
      </c>
      <c r="X13735" t="s">
        <v>47445</v>
      </c>
    </row>
    <row r="13736" spans="1:24">
      <c r="A13736">
        <f>HYPERLINK("https://www.philgeps.gov.ph/GEPSNONPILOT/Tender/SplashBidNoticeAbstractUI.aspx?menuIndex=3&amp;refID=7131402&amp;Result=3","7131402")</f>
        <v>0</v>
      </c>
      <c r="B13736" t="s">
        <v>3033</v>
      </c>
      <c r="C13736" t="s">
        <v>8832</v>
      </c>
      <c r="D13736" t="s">
        <v>19021</v>
      </c>
      <c r="E13736" t="s">
        <v>30855</v>
      </c>
      <c r="F13736" t="s">
        <v>32831</v>
      </c>
      <c r="G13736" t="s">
        <v>32839</v>
      </c>
      <c r="H13736" t="s">
        <v>32848</v>
      </c>
      <c r="I13736" t="s">
        <v>7416</v>
      </c>
      <c r="J13736" t="s">
        <v>41349</v>
      </c>
      <c r="K13736" t="s">
        <v>42731</v>
      </c>
      <c r="M13736" t="s">
        <v>46303</v>
      </c>
      <c r="N13736" t="s">
        <v>47424</v>
      </c>
      <c r="O13736" t="s">
        <v>47425</v>
      </c>
      <c r="P13736">
        <v>0</v>
      </c>
      <c r="Q13736">
        <v>3</v>
      </c>
      <c r="R13736" t="s">
        <v>47444</v>
      </c>
      <c r="S13736" t="s">
        <v>48135</v>
      </c>
      <c r="T13736" t="s">
        <v>49212</v>
      </c>
      <c r="U13736" t="s">
        <v>60875</v>
      </c>
      <c r="W13736" t="s">
        <v>46303</v>
      </c>
      <c r="X13736" t="s">
        <v>47445</v>
      </c>
    </row>
    <row r="13737" spans="1:24">
      <c r="A13737">
        <f>HYPERLINK("https://www.philgeps.gov.ph/GEPSNONPILOT/Tender/SplashBidNoticeAbstractUI.aspx?menuIndex=3&amp;refID=7131689&amp;Result=3","7131689")</f>
        <v>0</v>
      </c>
      <c r="B13737" t="s">
        <v>2215</v>
      </c>
      <c r="C13737" t="s">
        <v>16883</v>
      </c>
      <c r="E13737" t="s">
        <v>30856</v>
      </c>
      <c r="F13737" t="s">
        <v>32831</v>
      </c>
      <c r="G13737" t="s">
        <v>32839</v>
      </c>
      <c r="H13737" t="s">
        <v>32848</v>
      </c>
      <c r="I13737" t="s">
        <v>32857</v>
      </c>
      <c r="J13737" t="s">
        <v>33424</v>
      </c>
      <c r="K13737" t="s">
        <v>42732</v>
      </c>
      <c r="M13737" t="s">
        <v>46507</v>
      </c>
      <c r="N13737" t="s">
        <v>47424</v>
      </c>
      <c r="O13737" t="s">
        <v>47425</v>
      </c>
      <c r="Q13737">
        <v>1</v>
      </c>
      <c r="R13737" t="s">
        <v>47444</v>
      </c>
      <c r="S13737" t="s">
        <v>48207</v>
      </c>
      <c r="T13737" t="s">
        <v>49214</v>
      </c>
      <c r="U13737" t="s">
        <v>60876</v>
      </c>
      <c r="W13737" t="s">
        <v>64541</v>
      </c>
      <c r="X13737" t="s">
        <v>47445</v>
      </c>
    </row>
    <row r="13738" spans="1:24">
      <c r="A13738">
        <f>HYPERLINK("https://www.philgeps.gov.ph/GEPSNONPILOT/Tender/SplashBidNoticeAbstractUI.aspx?menuIndex=3&amp;refID=7131652&amp;Result=3","7131652")</f>
        <v>0</v>
      </c>
      <c r="B13738" t="s">
        <v>671</v>
      </c>
      <c r="C13738" t="s">
        <v>16884</v>
      </c>
      <c r="D13738" t="s">
        <v>19030</v>
      </c>
      <c r="E13738" t="s">
        <v>30857</v>
      </c>
      <c r="F13738" t="s">
        <v>32831</v>
      </c>
      <c r="G13738" t="s">
        <v>32839</v>
      </c>
      <c r="H13738" t="s">
        <v>32848</v>
      </c>
      <c r="I13738" t="s">
        <v>32859</v>
      </c>
      <c r="J13738" t="s">
        <v>41350</v>
      </c>
      <c r="K13738" t="s">
        <v>42730</v>
      </c>
      <c r="M13738" t="s">
        <v>46398</v>
      </c>
      <c r="N13738" t="s">
        <v>47424</v>
      </c>
      <c r="O13738" t="s">
        <v>47425</v>
      </c>
      <c r="Q13738">
        <v>9</v>
      </c>
      <c r="R13738" t="s">
        <v>47444</v>
      </c>
      <c r="S13738" t="s">
        <v>48061</v>
      </c>
      <c r="T13738" t="s">
        <v>49159</v>
      </c>
      <c r="U13738" t="s">
        <v>52028</v>
      </c>
      <c r="V13738" t="s">
        <v>62919</v>
      </c>
      <c r="W13738" t="s">
        <v>45667</v>
      </c>
      <c r="X13738" t="s">
        <v>47445</v>
      </c>
    </row>
    <row r="13739" spans="1:24">
      <c r="A13739">
        <f>HYPERLINK("https://www.philgeps.gov.ph/GEPSNONPILOT/Tender/SplashBidNoticeAbstractUI.aspx?menuIndex=3&amp;refID=7131647&amp;Result=3","7131647")</f>
        <v>0</v>
      </c>
      <c r="B13739" t="s">
        <v>2215</v>
      </c>
      <c r="C13739" t="s">
        <v>16885</v>
      </c>
      <c r="E13739" t="s">
        <v>30858</v>
      </c>
      <c r="F13739" t="s">
        <v>32831</v>
      </c>
      <c r="G13739" t="s">
        <v>32839</v>
      </c>
      <c r="H13739" t="s">
        <v>32848</v>
      </c>
      <c r="I13739" t="s">
        <v>7437</v>
      </c>
      <c r="J13739" t="s">
        <v>41351</v>
      </c>
      <c r="K13739" t="s">
        <v>42732</v>
      </c>
      <c r="M13739" t="s">
        <v>46507</v>
      </c>
      <c r="N13739" t="s">
        <v>47424</v>
      </c>
      <c r="O13739" t="s">
        <v>47425</v>
      </c>
      <c r="Q13739">
        <v>7</v>
      </c>
      <c r="R13739" t="s">
        <v>47444</v>
      </c>
      <c r="S13739" t="s">
        <v>48208</v>
      </c>
      <c r="T13739" t="s">
        <v>49114</v>
      </c>
      <c r="U13739" t="s">
        <v>57402</v>
      </c>
      <c r="W13739" t="s">
        <v>64541</v>
      </c>
      <c r="X13739" t="s">
        <v>47445</v>
      </c>
    </row>
    <row r="13740" spans="1:24">
      <c r="A13740">
        <f>HYPERLINK("https://www.philgeps.gov.ph/GEPSNONPILOT/Tender/SplashBidNoticeAbstractUI.aspx?menuIndex=3&amp;refID=7131646&amp;Result=3","7131646")</f>
        <v>0</v>
      </c>
      <c r="B13740" t="s">
        <v>3442</v>
      </c>
      <c r="C13740" t="s">
        <v>16886</v>
      </c>
      <c r="D13740" t="s">
        <v>19023</v>
      </c>
      <c r="E13740" t="s">
        <v>30859</v>
      </c>
      <c r="F13740" t="s">
        <v>32832</v>
      </c>
      <c r="G13740" t="s">
        <v>32839</v>
      </c>
      <c r="H13740" t="s">
        <v>32849</v>
      </c>
      <c r="I13740" t="s">
        <v>4177</v>
      </c>
      <c r="J13740" t="s">
        <v>32980</v>
      </c>
      <c r="K13740" t="s">
        <v>42730</v>
      </c>
      <c r="M13740" t="s">
        <v>46780</v>
      </c>
      <c r="N13740" t="s">
        <v>47424</v>
      </c>
      <c r="O13740" t="s">
        <v>47425</v>
      </c>
      <c r="P13740">
        <v>0</v>
      </c>
      <c r="Q13740">
        <v>1</v>
      </c>
      <c r="R13740" t="s">
        <v>47444</v>
      </c>
      <c r="S13740" t="s">
        <v>48135</v>
      </c>
      <c r="T13740" t="s">
        <v>49105</v>
      </c>
      <c r="U13740" t="s">
        <v>59248</v>
      </c>
      <c r="W13740" t="s">
        <v>46780</v>
      </c>
      <c r="X13740" t="s">
        <v>47445</v>
      </c>
    </row>
    <row r="13741" spans="1:24">
      <c r="A13741">
        <f>HYPERLINK("https://www.philgeps.gov.ph/GEPSNONPILOT/Tender/SplashBidNoticeAbstractUI.aspx?menuIndex=3&amp;refID=7131644&amp;Result=3","7131644")</f>
        <v>0</v>
      </c>
      <c r="B13741" t="s">
        <v>2435</v>
      </c>
      <c r="C13741" t="s">
        <v>16887</v>
      </c>
      <c r="D13741" t="s">
        <v>19083</v>
      </c>
      <c r="E13741" t="s">
        <v>30860</v>
      </c>
      <c r="F13741" t="s">
        <v>32831</v>
      </c>
      <c r="G13741" t="s">
        <v>32839</v>
      </c>
      <c r="H13741" t="s">
        <v>32849</v>
      </c>
      <c r="I13741" t="s">
        <v>4177</v>
      </c>
      <c r="J13741" t="s">
        <v>35213</v>
      </c>
      <c r="K13741" t="s">
        <v>42780</v>
      </c>
      <c r="M13741" t="s">
        <v>45632</v>
      </c>
      <c r="N13741" t="s">
        <v>47424</v>
      </c>
      <c r="O13741" t="s">
        <v>47425</v>
      </c>
      <c r="Q13741">
        <v>2</v>
      </c>
      <c r="R13741" t="s">
        <v>47444</v>
      </c>
      <c r="S13741" t="s">
        <v>48209</v>
      </c>
      <c r="T13741" t="s">
        <v>49059</v>
      </c>
      <c r="U13741" t="s">
        <v>60877</v>
      </c>
      <c r="W13741" t="s">
        <v>45632</v>
      </c>
      <c r="X13741" t="s">
        <v>47445</v>
      </c>
    </row>
    <row r="13742" spans="1:24">
      <c r="A13742">
        <f>HYPERLINK("https://www.philgeps.gov.ph/GEPSNONPILOT/Tender/SplashBidNoticeAbstractUI.aspx?menuIndex=3&amp;refID=7131639&amp;Result=3","7131639")</f>
        <v>0</v>
      </c>
      <c r="B13742" t="s">
        <v>3752</v>
      </c>
      <c r="C13742" t="s">
        <v>16888</v>
      </c>
      <c r="D13742" t="s">
        <v>19060</v>
      </c>
      <c r="E13742" t="s">
        <v>19208</v>
      </c>
      <c r="F13742" t="s">
        <v>32831</v>
      </c>
      <c r="G13742" t="s">
        <v>32839</v>
      </c>
      <c r="H13742" t="s">
        <v>32848</v>
      </c>
      <c r="I13742" t="s">
        <v>9577</v>
      </c>
      <c r="J13742" t="s">
        <v>41352</v>
      </c>
      <c r="K13742" t="s">
        <v>42729</v>
      </c>
      <c r="M13742" t="s">
        <v>47150</v>
      </c>
      <c r="N13742" t="s">
        <v>47424</v>
      </c>
      <c r="O13742" t="s">
        <v>47425</v>
      </c>
      <c r="P13742">
        <v>0</v>
      </c>
      <c r="Q13742">
        <v>1</v>
      </c>
      <c r="R13742" t="s">
        <v>47444</v>
      </c>
      <c r="S13742" t="s">
        <v>48135</v>
      </c>
      <c r="T13742" t="s">
        <v>49642</v>
      </c>
      <c r="U13742" t="s">
        <v>60878</v>
      </c>
      <c r="W13742" t="s">
        <v>47150</v>
      </c>
      <c r="X13742" t="s">
        <v>47445</v>
      </c>
    </row>
    <row r="13743" spans="1:24">
      <c r="A13743">
        <f>HYPERLINK("https://www.philgeps.gov.ph/GEPSNONPILOT/Tender/SplashBidNoticeAbstractUI.aspx?menuIndex=3&amp;refID=7131627&amp;Result=3","7131627")</f>
        <v>0</v>
      </c>
      <c r="B13743" t="s">
        <v>1587</v>
      </c>
      <c r="C13743" t="s">
        <v>16889</v>
      </c>
      <c r="D13743" t="s">
        <v>19057</v>
      </c>
      <c r="E13743" t="s">
        <v>30861</v>
      </c>
      <c r="F13743" t="s">
        <v>32831</v>
      </c>
      <c r="G13743" t="s">
        <v>32838</v>
      </c>
      <c r="H13743" t="s">
        <v>32848</v>
      </c>
      <c r="I13743" t="s">
        <v>32860</v>
      </c>
      <c r="J13743" t="s">
        <v>41353</v>
      </c>
      <c r="K13743" t="s">
        <v>42730</v>
      </c>
      <c r="L13743" t="s">
        <v>1587</v>
      </c>
      <c r="M13743" t="s">
        <v>45444</v>
      </c>
      <c r="N13743" t="s">
        <v>47424</v>
      </c>
      <c r="O13743" t="s">
        <v>47425</v>
      </c>
      <c r="P13743">
        <v>0</v>
      </c>
      <c r="Q13743">
        <v>2</v>
      </c>
      <c r="R13743" t="s">
        <v>47444</v>
      </c>
      <c r="S13743" t="s">
        <v>48135</v>
      </c>
      <c r="T13743" t="s">
        <v>49214</v>
      </c>
      <c r="U13743" t="s">
        <v>60879</v>
      </c>
      <c r="W13743" t="s">
        <v>45444</v>
      </c>
      <c r="X13743" t="s">
        <v>47445</v>
      </c>
    </row>
    <row r="13744" spans="1:24">
      <c r="A13744">
        <f>HYPERLINK("https://www.philgeps.gov.ph/GEPSNONPILOT/Tender/SplashBidNoticeAbstractUI.aspx?menuIndex=3&amp;refID=7131633&amp;Result=3","7131633")</f>
        <v>0</v>
      </c>
      <c r="B13744" t="s">
        <v>759</v>
      </c>
      <c r="C13744" t="s">
        <v>16890</v>
      </c>
      <c r="E13744" t="s">
        <v>30862</v>
      </c>
      <c r="F13744" t="s">
        <v>32831</v>
      </c>
      <c r="G13744" t="s">
        <v>32839</v>
      </c>
      <c r="H13744" t="s">
        <v>32848</v>
      </c>
      <c r="I13744" t="s">
        <v>32874</v>
      </c>
      <c r="J13744" t="s">
        <v>41354</v>
      </c>
      <c r="K13744" t="s">
        <v>42732</v>
      </c>
      <c r="M13744" t="s">
        <v>46774</v>
      </c>
      <c r="N13744" t="s">
        <v>47424</v>
      </c>
      <c r="O13744" t="s">
        <v>47425</v>
      </c>
      <c r="Q13744">
        <v>22</v>
      </c>
      <c r="R13744" t="s">
        <v>47444</v>
      </c>
      <c r="S13744" t="s">
        <v>48210</v>
      </c>
      <c r="T13744" t="s">
        <v>49073</v>
      </c>
      <c r="U13744" t="s">
        <v>60880</v>
      </c>
      <c r="W13744" t="s">
        <v>46774</v>
      </c>
      <c r="X13744" t="s">
        <v>47445</v>
      </c>
    </row>
    <row r="13745" spans="1:24">
      <c r="A13745">
        <f>HYPERLINK("https://www.philgeps.gov.ph/GEPSNONPILOT/Tender/SplashBidNoticeAbstractUI.aspx?menuIndex=3&amp;refID=7131618&amp;Result=3","7131618")</f>
        <v>0</v>
      </c>
      <c r="B13745" t="s">
        <v>1439</v>
      </c>
      <c r="C13745" t="s">
        <v>16891</v>
      </c>
      <c r="D13745" t="s">
        <v>19124</v>
      </c>
      <c r="E13745" t="s">
        <v>30863</v>
      </c>
      <c r="F13745" t="s">
        <v>32831</v>
      </c>
      <c r="G13745" t="s">
        <v>32839</v>
      </c>
      <c r="H13745" t="s">
        <v>32848</v>
      </c>
      <c r="I13745" t="s">
        <v>32859</v>
      </c>
      <c r="J13745" t="s">
        <v>33472</v>
      </c>
      <c r="K13745" t="s">
        <v>42730</v>
      </c>
      <c r="M13745" t="s">
        <v>46078</v>
      </c>
      <c r="N13745" t="s">
        <v>47424</v>
      </c>
      <c r="O13745" t="s">
        <v>47425</v>
      </c>
      <c r="Q13745">
        <v>2</v>
      </c>
      <c r="R13745" t="s">
        <v>47444</v>
      </c>
      <c r="S13745" t="s">
        <v>48211</v>
      </c>
      <c r="T13745" t="s">
        <v>49159</v>
      </c>
      <c r="U13745" t="s">
        <v>60881</v>
      </c>
      <c r="W13745" t="s">
        <v>46078</v>
      </c>
      <c r="X13745" t="s">
        <v>47445</v>
      </c>
    </row>
    <row r="13746" spans="1:24">
      <c r="A13746">
        <f>HYPERLINK("https://www.philgeps.gov.ph/GEPSNONPILOT/Tender/SplashBidNoticeAbstractUI.aspx?menuIndex=3&amp;refID=7131676&amp;Result=3","7131676")</f>
        <v>0</v>
      </c>
      <c r="B13746" t="s">
        <v>3514</v>
      </c>
      <c r="C13746" t="s">
        <v>16892</v>
      </c>
      <c r="D13746" t="s">
        <v>19091</v>
      </c>
      <c r="E13746" t="s">
        <v>30864</v>
      </c>
      <c r="F13746" t="s">
        <v>32831</v>
      </c>
      <c r="G13746" t="s">
        <v>32839</v>
      </c>
      <c r="H13746" t="s">
        <v>32849</v>
      </c>
      <c r="I13746" t="s">
        <v>4177</v>
      </c>
      <c r="J13746" t="s">
        <v>34100</v>
      </c>
      <c r="K13746" t="s">
        <v>42730</v>
      </c>
      <c r="M13746" t="s">
        <v>46865</v>
      </c>
      <c r="N13746" t="s">
        <v>47424</v>
      </c>
      <c r="O13746" t="s">
        <v>47425</v>
      </c>
      <c r="P13746">
        <v>0</v>
      </c>
      <c r="Q13746">
        <v>1</v>
      </c>
      <c r="R13746" t="s">
        <v>47444</v>
      </c>
      <c r="S13746" t="s">
        <v>48135</v>
      </c>
      <c r="T13746" t="s">
        <v>49235</v>
      </c>
      <c r="U13746" t="s">
        <v>60882</v>
      </c>
      <c r="W13746" t="s">
        <v>46865</v>
      </c>
      <c r="X13746" t="s">
        <v>47445</v>
      </c>
    </row>
    <row r="13747" spans="1:24">
      <c r="A13747">
        <f>HYPERLINK("https://www.philgeps.gov.ph/GEPSNONPILOT/Tender/SplashBidNoticeAbstractUI.aspx?menuIndex=3&amp;refID=7131580&amp;Result=3","7131580")</f>
        <v>0</v>
      </c>
      <c r="B13747" t="s">
        <v>256</v>
      </c>
      <c r="C13747" t="s">
        <v>16893</v>
      </c>
      <c r="D13747" t="s">
        <v>19017</v>
      </c>
      <c r="E13747" t="s">
        <v>30865</v>
      </c>
      <c r="F13747" t="s">
        <v>32831</v>
      </c>
      <c r="G13747" t="s">
        <v>32839</v>
      </c>
      <c r="H13747" t="s">
        <v>32848</v>
      </c>
      <c r="I13747" t="s">
        <v>32857</v>
      </c>
      <c r="J13747" t="s">
        <v>41355</v>
      </c>
      <c r="K13747" t="s">
        <v>42732</v>
      </c>
      <c r="M13747" t="s">
        <v>47151</v>
      </c>
      <c r="N13747" t="s">
        <v>47424</v>
      </c>
      <c r="O13747" t="s">
        <v>47425</v>
      </c>
      <c r="Q13747">
        <v>69</v>
      </c>
      <c r="R13747" t="s">
        <v>47444</v>
      </c>
      <c r="S13747" t="s">
        <v>48212</v>
      </c>
      <c r="T13747" t="s">
        <v>49105</v>
      </c>
      <c r="U13747" t="s">
        <v>60883</v>
      </c>
      <c r="W13747" t="s">
        <v>47151</v>
      </c>
      <c r="X13747" t="s">
        <v>47445</v>
      </c>
    </row>
    <row r="13748" spans="1:24">
      <c r="A13748">
        <f>HYPERLINK("https://www.philgeps.gov.ph/GEPSNONPILOT/Tender/SplashBidNoticeAbstractUI.aspx?menuIndex=3&amp;refID=7131554&amp;Result=3","7131554")</f>
        <v>0</v>
      </c>
      <c r="B13748" t="s">
        <v>1175</v>
      </c>
      <c r="C13748" t="s">
        <v>16894</v>
      </c>
      <c r="D13748" t="s">
        <v>19054</v>
      </c>
      <c r="E13748" t="s">
        <v>30866</v>
      </c>
      <c r="F13748" t="s">
        <v>32831</v>
      </c>
      <c r="G13748" t="s">
        <v>32839</v>
      </c>
      <c r="H13748" t="s">
        <v>32849</v>
      </c>
      <c r="I13748" t="s">
        <v>4177</v>
      </c>
      <c r="J13748" t="s">
        <v>41356</v>
      </c>
      <c r="K13748" t="s">
        <v>42729</v>
      </c>
      <c r="M13748" t="s">
        <v>44241</v>
      </c>
      <c r="N13748" t="s">
        <v>47424</v>
      </c>
      <c r="O13748" t="s">
        <v>47425</v>
      </c>
      <c r="P13748">
        <v>0</v>
      </c>
      <c r="Q13748">
        <v>1</v>
      </c>
      <c r="R13748" t="s">
        <v>47444</v>
      </c>
      <c r="S13748" t="s">
        <v>48135</v>
      </c>
      <c r="T13748" t="s">
        <v>49056</v>
      </c>
      <c r="U13748" t="s">
        <v>60884</v>
      </c>
      <c r="V13748" t="s">
        <v>64178</v>
      </c>
      <c r="W13748" t="s">
        <v>44241</v>
      </c>
      <c r="X13748" t="s">
        <v>47445</v>
      </c>
    </row>
    <row r="13749" spans="1:24">
      <c r="A13749">
        <f>HYPERLINK("https://www.philgeps.gov.ph/GEPSNONPILOT/Tender/SplashBidNoticeAbstractUI.aspx?menuIndex=3&amp;refID=7131396&amp;Result=3","7131396")</f>
        <v>0</v>
      </c>
      <c r="B13749" t="s">
        <v>3753</v>
      </c>
      <c r="C13749" t="s">
        <v>16895</v>
      </c>
      <c r="D13749" t="s">
        <v>19046</v>
      </c>
      <c r="E13749" t="s">
        <v>30867</v>
      </c>
      <c r="F13749" t="s">
        <v>32831</v>
      </c>
      <c r="G13749" t="s">
        <v>32839</v>
      </c>
      <c r="H13749" t="s">
        <v>32848</v>
      </c>
      <c r="I13749" t="s">
        <v>7416</v>
      </c>
      <c r="J13749" t="s">
        <v>35872</v>
      </c>
      <c r="K13749" t="s">
        <v>42726</v>
      </c>
      <c r="M13749" t="s">
        <v>47152</v>
      </c>
      <c r="N13749" t="s">
        <v>47424</v>
      </c>
      <c r="O13749" t="s">
        <v>47425</v>
      </c>
      <c r="P13749">
        <v>0</v>
      </c>
      <c r="Q13749">
        <v>0</v>
      </c>
      <c r="R13749" t="s">
        <v>47444</v>
      </c>
      <c r="S13749" t="s">
        <v>48135</v>
      </c>
      <c r="T13749" t="s">
        <v>49212</v>
      </c>
      <c r="U13749" t="s">
        <v>60885</v>
      </c>
      <c r="W13749" t="s">
        <v>47152</v>
      </c>
      <c r="X13749" t="s">
        <v>47445</v>
      </c>
    </row>
    <row r="13750" spans="1:24">
      <c r="A13750">
        <f>HYPERLINK("https://www.philgeps.gov.ph/GEPSNONPILOT/Tender/SplashBidNoticeAbstractUI.aspx?menuIndex=3&amp;refID=7131599&amp;Result=3","7131599")</f>
        <v>0</v>
      </c>
      <c r="B13750" t="s">
        <v>694</v>
      </c>
      <c r="C13750" t="s">
        <v>16896</v>
      </c>
      <c r="E13750" t="s">
        <v>30868</v>
      </c>
      <c r="F13750" t="s">
        <v>32831</v>
      </c>
      <c r="G13750" t="s">
        <v>32839</v>
      </c>
      <c r="H13750" t="s">
        <v>32848</v>
      </c>
      <c r="I13750" t="s">
        <v>32853</v>
      </c>
      <c r="J13750" t="s">
        <v>41357</v>
      </c>
      <c r="K13750" t="s">
        <v>42726</v>
      </c>
      <c r="M13750" t="s">
        <v>43713</v>
      </c>
      <c r="N13750" t="s">
        <v>47424</v>
      </c>
      <c r="O13750" t="s">
        <v>47425</v>
      </c>
      <c r="Q13750">
        <v>2</v>
      </c>
      <c r="R13750" t="s">
        <v>47444</v>
      </c>
      <c r="S13750" t="s">
        <v>48213</v>
      </c>
      <c r="T13750" t="s">
        <v>49205</v>
      </c>
      <c r="U13750" t="s">
        <v>60886</v>
      </c>
      <c r="V13750" t="s">
        <v>64177</v>
      </c>
      <c r="W13750" t="s">
        <v>43713</v>
      </c>
      <c r="X13750" t="s">
        <v>47445</v>
      </c>
    </row>
    <row r="13751" spans="1:24">
      <c r="A13751">
        <f>HYPERLINK("https://www.philgeps.gov.ph/GEPSNONPILOT/Tender/SplashBidNoticeAbstractUI.aspx?menuIndex=3&amp;refID=7131519&amp;Result=3","7131519")</f>
        <v>0</v>
      </c>
      <c r="B13751" t="s">
        <v>1175</v>
      </c>
      <c r="C13751" t="s">
        <v>16897</v>
      </c>
      <c r="D13751" t="s">
        <v>19054</v>
      </c>
      <c r="E13751" t="s">
        <v>30869</v>
      </c>
      <c r="F13751" t="s">
        <v>32831</v>
      </c>
      <c r="G13751" t="s">
        <v>32839</v>
      </c>
      <c r="H13751" t="s">
        <v>32849</v>
      </c>
      <c r="I13751" t="s">
        <v>4177</v>
      </c>
      <c r="J13751" t="s">
        <v>41358</v>
      </c>
      <c r="K13751" t="s">
        <v>42729</v>
      </c>
      <c r="M13751" t="s">
        <v>44241</v>
      </c>
      <c r="N13751" t="s">
        <v>47424</v>
      </c>
      <c r="O13751" t="s">
        <v>47425</v>
      </c>
      <c r="P13751">
        <v>0</v>
      </c>
      <c r="Q13751">
        <v>1</v>
      </c>
      <c r="R13751" t="s">
        <v>47444</v>
      </c>
      <c r="S13751" t="s">
        <v>48135</v>
      </c>
      <c r="T13751" t="s">
        <v>49056</v>
      </c>
      <c r="U13751" t="s">
        <v>60884</v>
      </c>
      <c r="V13751" t="s">
        <v>64179</v>
      </c>
      <c r="W13751" t="s">
        <v>44241</v>
      </c>
      <c r="X13751" t="s">
        <v>47445</v>
      </c>
    </row>
    <row r="13752" spans="1:24">
      <c r="A13752">
        <f>HYPERLINK("https://www.philgeps.gov.ph/GEPSNONPILOT/Tender/SplashBidNoticeAbstractUI.aspx?menuIndex=3&amp;refID=7131514&amp;Result=3","7131514")</f>
        <v>0</v>
      </c>
      <c r="B13752" t="s">
        <v>2008</v>
      </c>
      <c r="C13752" t="s">
        <v>16898</v>
      </c>
      <c r="D13752" t="s">
        <v>19084</v>
      </c>
      <c r="E13752" t="s">
        <v>30870</v>
      </c>
      <c r="F13752" t="s">
        <v>32831</v>
      </c>
      <c r="G13752" t="s">
        <v>32839</v>
      </c>
      <c r="H13752" t="s">
        <v>32848</v>
      </c>
      <c r="I13752" t="s">
        <v>7416</v>
      </c>
      <c r="J13752" t="s">
        <v>41359</v>
      </c>
      <c r="K13752" t="s">
        <v>42727</v>
      </c>
      <c r="M13752" t="s">
        <v>45175</v>
      </c>
      <c r="N13752" t="s">
        <v>47424</v>
      </c>
      <c r="O13752" t="s">
        <v>47425</v>
      </c>
      <c r="Q13752">
        <v>1</v>
      </c>
      <c r="R13752" t="s">
        <v>47444</v>
      </c>
      <c r="S13752" t="s">
        <v>48214</v>
      </c>
      <c r="T13752" t="s">
        <v>49105</v>
      </c>
      <c r="U13752" t="s">
        <v>60887</v>
      </c>
      <c r="W13752" t="s">
        <v>45175</v>
      </c>
      <c r="X13752" t="s">
        <v>47445</v>
      </c>
    </row>
    <row r="13753" spans="1:24">
      <c r="A13753">
        <f>HYPERLINK("https://www.philgeps.gov.ph/GEPSNONPILOT/Tender/SplashBidNoticeAbstractUI.aspx?menuIndex=3&amp;refID=7131376&amp;Result=3","7131376")</f>
        <v>0</v>
      </c>
      <c r="B13753" t="s">
        <v>1545</v>
      </c>
      <c r="C13753" t="s">
        <v>16899</v>
      </c>
      <c r="D13753" t="s">
        <v>19044</v>
      </c>
      <c r="E13753" t="s">
        <v>30871</v>
      </c>
      <c r="F13753" t="s">
        <v>32831</v>
      </c>
      <c r="G13753" t="s">
        <v>32839</v>
      </c>
      <c r="H13753" t="s">
        <v>32849</v>
      </c>
      <c r="I13753" t="s">
        <v>4177</v>
      </c>
      <c r="J13753" t="s">
        <v>33118</v>
      </c>
      <c r="K13753" t="s">
        <v>42729</v>
      </c>
      <c r="M13753" t="s">
        <v>44649</v>
      </c>
      <c r="N13753" t="s">
        <v>47424</v>
      </c>
      <c r="O13753" t="s">
        <v>47425</v>
      </c>
      <c r="Q13753">
        <v>0</v>
      </c>
      <c r="R13753" t="s">
        <v>47444</v>
      </c>
      <c r="S13753" t="s">
        <v>48215</v>
      </c>
      <c r="T13753" t="s">
        <v>49108</v>
      </c>
      <c r="U13753" t="s">
        <v>60821</v>
      </c>
      <c r="W13753" t="s">
        <v>44649</v>
      </c>
      <c r="X13753" t="s">
        <v>47445</v>
      </c>
    </row>
    <row r="13754" spans="1:24">
      <c r="A13754">
        <f>HYPERLINK("https://www.philgeps.gov.ph/GEPSNONPILOT/Tender/SplashBidNoticeAbstractUI.aspx?menuIndex=3&amp;refID=7131363&amp;Result=3","7131363")</f>
        <v>0</v>
      </c>
      <c r="B13754" t="s">
        <v>1545</v>
      </c>
      <c r="C13754" t="s">
        <v>16900</v>
      </c>
      <c r="D13754" t="s">
        <v>19044</v>
      </c>
      <c r="E13754" t="s">
        <v>30872</v>
      </c>
      <c r="F13754" t="s">
        <v>32831</v>
      </c>
      <c r="G13754" t="s">
        <v>32839</v>
      </c>
      <c r="H13754" t="s">
        <v>32849</v>
      </c>
      <c r="I13754" t="s">
        <v>4177</v>
      </c>
      <c r="J13754" t="s">
        <v>33118</v>
      </c>
      <c r="K13754" t="s">
        <v>42729</v>
      </c>
      <c r="M13754" t="s">
        <v>44649</v>
      </c>
      <c r="N13754" t="s">
        <v>47424</v>
      </c>
      <c r="O13754" t="s">
        <v>47425</v>
      </c>
      <c r="Q13754">
        <v>0</v>
      </c>
      <c r="R13754" t="s">
        <v>47444</v>
      </c>
      <c r="S13754" t="s">
        <v>48216</v>
      </c>
      <c r="T13754" t="s">
        <v>49108</v>
      </c>
      <c r="U13754" t="s">
        <v>60821</v>
      </c>
      <c r="W13754" t="s">
        <v>44649</v>
      </c>
      <c r="X13754" t="s">
        <v>47445</v>
      </c>
    </row>
    <row r="13755" spans="1:24">
      <c r="A13755">
        <f>HYPERLINK("https://www.philgeps.gov.ph/GEPSNONPILOT/Tender/SplashBidNoticeAbstractUI.aspx?menuIndex=3&amp;refID=7131606&amp;Result=3","7131606")</f>
        <v>0</v>
      </c>
      <c r="B13755" t="s">
        <v>3724</v>
      </c>
      <c r="C13755" t="s">
        <v>16901</v>
      </c>
      <c r="D13755" t="s">
        <v>19051</v>
      </c>
      <c r="E13755" t="s">
        <v>30873</v>
      </c>
      <c r="F13755" t="s">
        <v>32831</v>
      </c>
      <c r="G13755" t="s">
        <v>32839</v>
      </c>
      <c r="H13755" t="s">
        <v>32849</v>
      </c>
      <c r="I13755" t="s">
        <v>4177</v>
      </c>
      <c r="J13755" t="s">
        <v>41360</v>
      </c>
      <c r="K13755" t="s">
        <v>42862</v>
      </c>
      <c r="M13755" t="s">
        <v>47118</v>
      </c>
      <c r="N13755" t="s">
        <v>47424</v>
      </c>
      <c r="O13755" t="s">
        <v>47425</v>
      </c>
      <c r="P13755">
        <v>0</v>
      </c>
      <c r="Q13755">
        <v>1</v>
      </c>
      <c r="R13755" t="s">
        <v>47444</v>
      </c>
      <c r="S13755" t="s">
        <v>48135</v>
      </c>
      <c r="T13755" t="s">
        <v>49237</v>
      </c>
      <c r="U13755" t="s">
        <v>60888</v>
      </c>
      <c r="V13755" t="s">
        <v>64146</v>
      </c>
      <c r="W13755" t="s">
        <v>47118</v>
      </c>
      <c r="X13755" t="s">
        <v>47445</v>
      </c>
    </row>
    <row r="13756" spans="1:24">
      <c r="A13756">
        <f>HYPERLINK("https://www.philgeps.gov.ph/GEPSNONPILOT/Tender/SplashBidNoticeAbstractUI.aspx?menuIndex=3&amp;refID=7131577&amp;Result=3","7131577")</f>
        <v>0</v>
      </c>
      <c r="B13756" t="s">
        <v>1175</v>
      </c>
      <c r="C13756" t="s">
        <v>16902</v>
      </c>
      <c r="D13756" t="s">
        <v>19054</v>
      </c>
      <c r="E13756" t="s">
        <v>30874</v>
      </c>
      <c r="F13756" t="s">
        <v>32831</v>
      </c>
      <c r="G13756" t="s">
        <v>32839</v>
      </c>
      <c r="H13756" t="s">
        <v>32849</v>
      </c>
      <c r="I13756" t="s">
        <v>4177</v>
      </c>
      <c r="J13756" t="s">
        <v>41361</v>
      </c>
      <c r="K13756" t="s">
        <v>42730</v>
      </c>
      <c r="M13756" t="s">
        <v>44241</v>
      </c>
      <c r="N13756" t="s">
        <v>47424</v>
      </c>
      <c r="O13756" t="s">
        <v>47425</v>
      </c>
      <c r="P13756">
        <v>0</v>
      </c>
      <c r="Q13756">
        <v>1</v>
      </c>
      <c r="R13756" t="s">
        <v>47444</v>
      </c>
      <c r="S13756" t="s">
        <v>48135</v>
      </c>
      <c r="T13756" t="s">
        <v>49056</v>
      </c>
      <c r="U13756" t="s">
        <v>60884</v>
      </c>
      <c r="V13756" t="s">
        <v>64180</v>
      </c>
      <c r="W13756" t="s">
        <v>44241</v>
      </c>
      <c r="X13756" t="s">
        <v>47445</v>
      </c>
    </row>
    <row r="13757" spans="1:24">
      <c r="A13757">
        <f>HYPERLINK("https://www.philgeps.gov.ph/GEPSNONPILOT/Tender/SplashBidNoticeAbstractUI.aspx?menuIndex=3&amp;refID=7131780&amp;Result=3","7131780")</f>
        <v>0</v>
      </c>
      <c r="B13757" t="s">
        <v>3754</v>
      </c>
      <c r="C13757" t="s">
        <v>16903</v>
      </c>
      <c r="D13757" t="s">
        <v>19047</v>
      </c>
      <c r="E13757" t="s">
        <v>30875</v>
      </c>
      <c r="F13757" t="s">
        <v>32831</v>
      </c>
      <c r="G13757" t="s">
        <v>32839</v>
      </c>
      <c r="H13757" t="s">
        <v>32849</v>
      </c>
      <c r="I13757" t="s">
        <v>4177</v>
      </c>
      <c r="J13757" t="s">
        <v>35331</v>
      </c>
      <c r="K13757" t="s">
        <v>42770</v>
      </c>
      <c r="M13757" t="s">
        <v>47153</v>
      </c>
      <c r="N13757" t="s">
        <v>47424</v>
      </c>
      <c r="O13757" t="s">
        <v>47425</v>
      </c>
      <c r="Q13757">
        <v>6</v>
      </c>
      <c r="R13757" t="s">
        <v>47444</v>
      </c>
      <c r="S13757" t="s">
        <v>48203</v>
      </c>
      <c r="T13757" t="s">
        <v>49073</v>
      </c>
      <c r="U13757" t="s">
        <v>60889</v>
      </c>
      <c r="W13757" t="s">
        <v>47153</v>
      </c>
      <c r="X13757" t="s">
        <v>47445</v>
      </c>
    </row>
    <row r="13758" spans="1:24">
      <c r="A13758">
        <f>HYPERLINK("https://www.philgeps.gov.ph/GEPSNONPILOT/Tender/SplashBidNoticeAbstractUI.aspx?menuIndex=3&amp;refID=7131807&amp;Result=3","7131807")</f>
        <v>0</v>
      </c>
      <c r="B13758" t="s">
        <v>2830</v>
      </c>
      <c r="C13758" t="s">
        <v>16904</v>
      </c>
      <c r="D13758" t="s">
        <v>19063</v>
      </c>
      <c r="E13758" t="s">
        <v>30876</v>
      </c>
      <c r="F13758" t="s">
        <v>32831</v>
      </c>
      <c r="G13758" t="s">
        <v>32839</v>
      </c>
      <c r="H13758" t="s">
        <v>32848</v>
      </c>
      <c r="I13758" t="s">
        <v>4558</v>
      </c>
      <c r="J13758" t="s">
        <v>41362</v>
      </c>
      <c r="K13758" t="s">
        <v>42763</v>
      </c>
      <c r="M13758" t="s">
        <v>46062</v>
      </c>
      <c r="N13758" t="s">
        <v>47424</v>
      </c>
      <c r="O13758" t="s">
        <v>47425</v>
      </c>
      <c r="P13758">
        <v>0</v>
      </c>
      <c r="Q13758">
        <v>7</v>
      </c>
      <c r="R13758" t="s">
        <v>47444</v>
      </c>
      <c r="S13758" t="s">
        <v>48135</v>
      </c>
      <c r="T13758" t="s">
        <v>49255</v>
      </c>
      <c r="U13758" t="s">
        <v>60890</v>
      </c>
      <c r="W13758" t="s">
        <v>46062</v>
      </c>
      <c r="X13758" t="s">
        <v>47445</v>
      </c>
    </row>
    <row r="13759" spans="1:24">
      <c r="A13759">
        <f>HYPERLINK("https://www.philgeps.gov.ph/GEPSNONPILOT/Tender/SplashBidNoticeAbstractUI.aspx?menuIndex=3&amp;refID=7131795&amp;Result=3","7131795")</f>
        <v>0</v>
      </c>
      <c r="B13759" t="s">
        <v>3752</v>
      </c>
      <c r="C13759" t="s">
        <v>16905</v>
      </c>
      <c r="E13759" t="s">
        <v>19541</v>
      </c>
      <c r="F13759" t="s">
        <v>32831</v>
      </c>
      <c r="G13759" t="s">
        <v>32839</v>
      </c>
      <c r="H13759" t="s">
        <v>32848</v>
      </c>
      <c r="I13759" t="s">
        <v>4487</v>
      </c>
      <c r="J13759" t="s">
        <v>41363</v>
      </c>
      <c r="K13759" t="s">
        <v>42732</v>
      </c>
      <c r="M13759" t="s">
        <v>47150</v>
      </c>
      <c r="N13759" t="s">
        <v>47424</v>
      </c>
      <c r="O13759" t="s">
        <v>47425</v>
      </c>
      <c r="Q13759">
        <v>2</v>
      </c>
      <c r="R13759" t="s">
        <v>47444</v>
      </c>
      <c r="S13759" t="s">
        <v>48020</v>
      </c>
      <c r="T13759" t="s">
        <v>49642</v>
      </c>
      <c r="U13759" t="s">
        <v>60891</v>
      </c>
      <c r="W13759" t="s">
        <v>47150</v>
      </c>
      <c r="X13759" t="s">
        <v>47445</v>
      </c>
    </row>
    <row r="13760" spans="1:24">
      <c r="A13760">
        <f>HYPERLINK("https://www.philgeps.gov.ph/GEPSNONPILOT/Tender/SplashBidNoticeAbstractUI.aspx?menuIndex=3&amp;refID=7131793&amp;Result=3","7131793")</f>
        <v>0</v>
      </c>
      <c r="B13760" t="s">
        <v>968</v>
      </c>
      <c r="C13760" t="s">
        <v>16906</v>
      </c>
      <c r="D13760" t="s">
        <v>19045</v>
      </c>
      <c r="E13760" t="s">
        <v>30877</v>
      </c>
      <c r="F13760" t="s">
        <v>32831</v>
      </c>
      <c r="G13760" t="s">
        <v>32839</v>
      </c>
      <c r="H13760" t="s">
        <v>32848</v>
      </c>
      <c r="I13760" t="s">
        <v>11727</v>
      </c>
      <c r="J13760" t="s">
        <v>36338</v>
      </c>
      <c r="K13760" t="s">
        <v>42730</v>
      </c>
      <c r="M13760" t="s">
        <v>44014</v>
      </c>
      <c r="N13760" t="s">
        <v>47424</v>
      </c>
      <c r="O13760" t="s">
        <v>47425</v>
      </c>
      <c r="P13760">
        <v>0</v>
      </c>
      <c r="Q13760">
        <v>6</v>
      </c>
      <c r="R13760" t="s">
        <v>47444</v>
      </c>
      <c r="S13760" t="s">
        <v>48135</v>
      </c>
      <c r="T13760" t="s">
        <v>49066</v>
      </c>
      <c r="U13760" t="s">
        <v>60892</v>
      </c>
      <c r="W13760" t="s">
        <v>44014</v>
      </c>
      <c r="X13760" t="s">
        <v>47445</v>
      </c>
    </row>
    <row r="13761" spans="1:24">
      <c r="A13761">
        <f>HYPERLINK("https://www.philgeps.gov.ph/GEPSNONPILOT/Tender/SplashBidNoticeAbstractUI.aspx?menuIndex=3&amp;refID=7131813&amp;Result=3","7131813")</f>
        <v>0</v>
      </c>
      <c r="B13761" t="s">
        <v>3755</v>
      </c>
      <c r="C13761" t="s">
        <v>16907</v>
      </c>
      <c r="D13761" t="s">
        <v>19031</v>
      </c>
      <c r="E13761" t="s">
        <v>20902</v>
      </c>
      <c r="F13761" t="s">
        <v>32831</v>
      </c>
      <c r="G13761" t="s">
        <v>32839</v>
      </c>
      <c r="H13761" t="s">
        <v>32849</v>
      </c>
      <c r="I13761" t="s">
        <v>4177</v>
      </c>
      <c r="J13761" t="s">
        <v>33118</v>
      </c>
      <c r="K13761" t="s">
        <v>42729</v>
      </c>
      <c r="M13761" t="s">
        <v>47154</v>
      </c>
      <c r="N13761" t="s">
        <v>47424</v>
      </c>
      <c r="O13761" t="s">
        <v>47425</v>
      </c>
      <c r="P13761">
        <v>0</v>
      </c>
      <c r="Q13761">
        <v>1</v>
      </c>
      <c r="R13761" t="s">
        <v>47444</v>
      </c>
      <c r="S13761" t="s">
        <v>48135</v>
      </c>
      <c r="T13761" t="s">
        <v>49251</v>
      </c>
      <c r="U13761" t="s">
        <v>60893</v>
      </c>
      <c r="W13761" t="s">
        <v>47154</v>
      </c>
      <c r="X13761" t="s">
        <v>47445</v>
      </c>
    </row>
    <row r="13762" spans="1:24">
      <c r="A13762">
        <f>HYPERLINK("https://www.philgeps.gov.ph/GEPSNONPILOT/Tender/SplashBidNoticeAbstractUI.aspx?menuIndex=3&amp;refID=7131777&amp;Result=3","7131777")</f>
        <v>0</v>
      </c>
      <c r="B13762" t="s">
        <v>824</v>
      </c>
      <c r="C13762" t="s">
        <v>16908</v>
      </c>
      <c r="D13762" t="s">
        <v>19029</v>
      </c>
      <c r="E13762" t="s">
        <v>30878</v>
      </c>
      <c r="F13762" t="s">
        <v>32831</v>
      </c>
      <c r="G13762" t="s">
        <v>32839</v>
      </c>
      <c r="H13762" t="s">
        <v>32849</v>
      </c>
      <c r="I13762" t="s">
        <v>4177</v>
      </c>
      <c r="J13762" t="s">
        <v>41364</v>
      </c>
      <c r="K13762" t="s">
        <v>42813</v>
      </c>
      <c r="M13762" t="s">
        <v>43855</v>
      </c>
      <c r="N13762" t="s">
        <v>47424</v>
      </c>
      <c r="O13762" t="s">
        <v>47425</v>
      </c>
      <c r="Q13762">
        <v>1</v>
      </c>
      <c r="R13762" t="s">
        <v>47444</v>
      </c>
      <c r="S13762" t="s">
        <v>48217</v>
      </c>
      <c r="T13762" t="s">
        <v>49105</v>
      </c>
      <c r="U13762" t="s">
        <v>60894</v>
      </c>
      <c r="W13762" t="s">
        <v>43855</v>
      </c>
      <c r="X13762" t="s">
        <v>47445</v>
      </c>
    </row>
    <row r="13763" spans="1:24">
      <c r="A13763">
        <f>HYPERLINK("https://www.philgeps.gov.ph/GEPSNONPILOT/Tender/SplashBidNoticeAbstractUI.aspx?menuIndex=3&amp;refID=7131787&amp;Result=3","7131787")</f>
        <v>0</v>
      </c>
      <c r="B13763" t="s">
        <v>3755</v>
      </c>
      <c r="C13763" t="s">
        <v>16909</v>
      </c>
      <c r="D13763" t="s">
        <v>19031</v>
      </c>
      <c r="E13763" t="s">
        <v>20141</v>
      </c>
      <c r="F13763" t="s">
        <v>32831</v>
      </c>
      <c r="G13763" t="s">
        <v>32839</v>
      </c>
      <c r="H13763" t="s">
        <v>32849</v>
      </c>
      <c r="I13763" t="s">
        <v>4177</v>
      </c>
      <c r="J13763" t="s">
        <v>33118</v>
      </c>
      <c r="K13763" t="s">
        <v>42729</v>
      </c>
      <c r="M13763" t="s">
        <v>47154</v>
      </c>
      <c r="N13763" t="s">
        <v>47424</v>
      </c>
      <c r="O13763" t="s">
        <v>47425</v>
      </c>
      <c r="P13763">
        <v>0</v>
      </c>
      <c r="Q13763">
        <v>0</v>
      </c>
      <c r="R13763" t="s">
        <v>47444</v>
      </c>
      <c r="S13763" t="s">
        <v>48135</v>
      </c>
      <c r="T13763" t="s">
        <v>49251</v>
      </c>
      <c r="U13763" t="s">
        <v>60893</v>
      </c>
      <c r="W13763" t="s">
        <v>47154</v>
      </c>
      <c r="X13763" t="s">
        <v>47445</v>
      </c>
    </row>
    <row r="13764" spans="1:24">
      <c r="A13764">
        <f>HYPERLINK("https://www.philgeps.gov.ph/GEPSNONPILOT/Tender/SplashBidNoticeAbstractUI.aspx?menuIndex=3&amp;refID=7131771&amp;Result=3","7131771")</f>
        <v>0</v>
      </c>
      <c r="B13764" t="s">
        <v>3754</v>
      </c>
      <c r="C13764" t="s">
        <v>16910</v>
      </c>
      <c r="D13764" t="s">
        <v>19047</v>
      </c>
      <c r="E13764" t="s">
        <v>30879</v>
      </c>
      <c r="F13764" t="s">
        <v>32831</v>
      </c>
      <c r="G13764" t="s">
        <v>32839</v>
      </c>
      <c r="H13764" t="s">
        <v>32849</v>
      </c>
      <c r="I13764" t="s">
        <v>4177</v>
      </c>
      <c r="J13764" t="s">
        <v>35331</v>
      </c>
      <c r="K13764" t="s">
        <v>42770</v>
      </c>
      <c r="M13764" t="s">
        <v>47153</v>
      </c>
      <c r="N13764" t="s">
        <v>47424</v>
      </c>
      <c r="O13764" t="s">
        <v>47425</v>
      </c>
      <c r="Q13764">
        <v>9</v>
      </c>
      <c r="R13764" t="s">
        <v>47444</v>
      </c>
      <c r="S13764" t="s">
        <v>48218</v>
      </c>
      <c r="T13764" t="s">
        <v>49073</v>
      </c>
      <c r="U13764" t="s">
        <v>60889</v>
      </c>
      <c r="W13764" t="s">
        <v>47153</v>
      </c>
      <c r="X13764" t="s">
        <v>47445</v>
      </c>
    </row>
    <row r="13765" spans="1:24">
      <c r="A13765">
        <f>HYPERLINK("https://www.philgeps.gov.ph/GEPSNONPILOT/Tender/SplashBidNoticeAbstractUI.aspx?menuIndex=3&amp;refID=7131765&amp;Result=3","7131765")</f>
        <v>0</v>
      </c>
      <c r="B13765" t="s">
        <v>3752</v>
      </c>
      <c r="C13765" t="s">
        <v>16911</v>
      </c>
      <c r="E13765" t="s">
        <v>19861</v>
      </c>
      <c r="F13765" t="s">
        <v>32831</v>
      </c>
      <c r="G13765" t="s">
        <v>32839</v>
      </c>
      <c r="H13765" t="s">
        <v>32848</v>
      </c>
      <c r="I13765" t="s">
        <v>7751</v>
      </c>
      <c r="J13765" t="s">
        <v>33032</v>
      </c>
      <c r="K13765" t="s">
        <v>42732</v>
      </c>
      <c r="M13765" t="s">
        <v>47150</v>
      </c>
      <c r="N13765" t="s">
        <v>47424</v>
      </c>
      <c r="O13765" t="s">
        <v>47425</v>
      </c>
      <c r="Q13765">
        <v>5</v>
      </c>
      <c r="R13765" t="s">
        <v>47444</v>
      </c>
      <c r="S13765" t="s">
        <v>47909</v>
      </c>
      <c r="T13765" t="s">
        <v>49642</v>
      </c>
      <c r="U13765" t="s">
        <v>60895</v>
      </c>
      <c r="W13765" t="s">
        <v>47150</v>
      </c>
      <c r="X13765" t="s">
        <v>47445</v>
      </c>
    </row>
    <row r="13766" spans="1:24">
      <c r="A13766">
        <f>HYPERLINK("https://www.philgeps.gov.ph/GEPSNONPILOT/Tender/SplashBidNoticeAbstractUI.aspx?menuIndex=3&amp;refID=7131756&amp;Result=3","7131756")</f>
        <v>0</v>
      </c>
      <c r="B13766" t="s">
        <v>3754</v>
      </c>
      <c r="C13766" t="s">
        <v>16912</v>
      </c>
      <c r="D13766" t="s">
        <v>19047</v>
      </c>
      <c r="E13766" t="s">
        <v>30880</v>
      </c>
      <c r="F13766" t="s">
        <v>32831</v>
      </c>
      <c r="G13766" t="s">
        <v>32839</v>
      </c>
      <c r="H13766" t="s">
        <v>32849</v>
      </c>
      <c r="I13766" t="s">
        <v>4177</v>
      </c>
      <c r="J13766" t="s">
        <v>35331</v>
      </c>
      <c r="K13766" t="s">
        <v>42770</v>
      </c>
      <c r="M13766" t="s">
        <v>47153</v>
      </c>
      <c r="N13766" t="s">
        <v>47424</v>
      </c>
      <c r="O13766" t="s">
        <v>47425</v>
      </c>
      <c r="Q13766">
        <v>9</v>
      </c>
      <c r="R13766" t="s">
        <v>47444</v>
      </c>
      <c r="S13766" t="s">
        <v>48219</v>
      </c>
      <c r="T13766" t="s">
        <v>49073</v>
      </c>
      <c r="U13766" t="s">
        <v>60889</v>
      </c>
      <c r="W13766" t="s">
        <v>47153</v>
      </c>
      <c r="X13766" t="s">
        <v>47445</v>
      </c>
    </row>
    <row r="13767" spans="1:24">
      <c r="A13767">
        <f>HYPERLINK("https://www.philgeps.gov.ph/GEPSNONPILOT/Tender/SplashBidNoticeAbstractUI.aspx?menuIndex=3&amp;refID=7131745&amp;Result=3","7131745")</f>
        <v>0</v>
      </c>
      <c r="B13767" t="s">
        <v>824</v>
      </c>
      <c r="C13767" t="s">
        <v>16913</v>
      </c>
      <c r="D13767" t="s">
        <v>19029</v>
      </c>
      <c r="E13767" t="s">
        <v>30881</v>
      </c>
      <c r="F13767" t="s">
        <v>32831</v>
      </c>
      <c r="G13767" t="s">
        <v>32839</v>
      </c>
      <c r="H13767" t="s">
        <v>32848</v>
      </c>
      <c r="I13767" t="s">
        <v>32860</v>
      </c>
      <c r="J13767" t="s">
        <v>41365</v>
      </c>
      <c r="K13767" t="s">
        <v>42745</v>
      </c>
      <c r="M13767" t="s">
        <v>43855</v>
      </c>
      <c r="N13767" t="s">
        <v>47424</v>
      </c>
      <c r="O13767" t="s">
        <v>47425</v>
      </c>
      <c r="Q13767">
        <v>6</v>
      </c>
      <c r="R13767" t="s">
        <v>47444</v>
      </c>
      <c r="S13767" t="s">
        <v>48220</v>
      </c>
      <c r="T13767" t="s">
        <v>49105</v>
      </c>
      <c r="U13767" t="s">
        <v>60896</v>
      </c>
      <c r="W13767" t="s">
        <v>43855</v>
      </c>
      <c r="X13767" t="s">
        <v>47445</v>
      </c>
    </row>
    <row r="13768" spans="1:24">
      <c r="A13768">
        <f>HYPERLINK("https://www.philgeps.gov.ph/GEPSNONPILOT/Tender/SplashBidNoticeAbstractUI.aspx?menuIndex=3&amp;refID=7131975&amp;Result=3","7131975")</f>
        <v>0</v>
      </c>
      <c r="B13768" t="s">
        <v>3755</v>
      </c>
      <c r="C13768" t="s">
        <v>16914</v>
      </c>
      <c r="D13768" t="s">
        <v>19031</v>
      </c>
      <c r="E13768" t="s">
        <v>20965</v>
      </c>
      <c r="F13768" t="s">
        <v>32831</v>
      </c>
      <c r="G13768" t="s">
        <v>32839</v>
      </c>
      <c r="H13768" t="s">
        <v>32849</v>
      </c>
      <c r="I13768" t="s">
        <v>4177</v>
      </c>
      <c r="J13768" t="s">
        <v>32978</v>
      </c>
      <c r="K13768" t="s">
        <v>42729</v>
      </c>
      <c r="M13768" t="s">
        <v>47154</v>
      </c>
      <c r="N13768" t="s">
        <v>47424</v>
      </c>
      <c r="O13768" t="s">
        <v>47425</v>
      </c>
      <c r="P13768">
        <v>0</v>
      </c>
      <c r="Q13768">
        <v>1</v>
      </c>
      <c r="R13768" t="s">
        <v>47444</v>
      </c>
      <c r="S13768" t="s">
        <v>48135</v>
      </c>
      <c r="T13768" t="s">
        <v>49251</v>
      </c>
      <c r="U13768" t="s">
        <v>60893</v>
      </c>
      <c r="W13768" t="s">
        <v>47154</v>
      </c>
      <c r="X13768" t="s">
        <v>47445</v>
      </c>
    </row>
    <row r="13769" spans="1:24">
      <c r="A13769">
        <f>HYPERLINK("https://www.philgeps.gov.ph/GEPSNONPILOT/Tender/SplashBidNoticeAbstractUI.aspx?menuIndex=3&amp;refID=7131527&amp;Result=3","7131527")</f>
        <v>0</v>
      </c>
      <c r="B13769" t="s">
        <v>2215</v>
      </c>
      <c r="C13769" t="s">
        <v>16915</v>
      </c>
      <c r="E13769" t="s">
        <v>30882</v>
      </c>
      <c r="F13769" t="s">
        <v>32831</v>
      </c>
      <c r="G13769" t="s">
        <v>32839</v>
      </c>
      <c r="H13769" t="s">
        <v>32848</v>
      </c>
      <c r="I13769" t="s">
        <v>32906</v>
      </c>
      <c r="J13769" t="s">
        <v>41366</v>
      </c>
      <c r="K13769" t="s">
        <v>42732</v>
      </c>
      <c r="M13769" t="s">
        <v>46507</v>
      </c>
      <c r="N13769" t="s">
        <v>47424</v>
      </c>
      <c r="O13769" t="s">
        <v>47425</v>
      </c>
      <c r="Q13769">
        <v>4</v>
      </c>
      <c r="R13769" t="s">
        <v>47444</v>
      </c>
      <c r="S13769" t="s">
        <v>48221</v>
      </c>
      <c r="T13769" t="s">
        <v>49214</v>
      </c>
      <c r="U13769" t="s">
        <v>60897</v>
      </c>
      <c r="W13769" t="s">
        <v>64541</v>
      </c>
      <c r="X13769" t="s">
        <v>47445</v>
      </c>
    </row>
    <row r="13770" spans="1:24">
      <c r="A13770">
        <f>HYPERLINK("https://www.philgeps.gov.ph/GEPSNONPILOT/Tender/SplashBidNoticeAbstractUI.aspx?menuIndex=3&amp;refID=7131973&amp;Result=3","7131973")</f>
        <v>0</v>
      </c>
      <c r="B13770" t="s">
        <v>895</v>
      </c>
      <c r="C13770" t="s">
        <v>16916</v>
      </c>
      <c r="D13770" t="s">
        <v>19036</v>
      </c>
      <c r="E13770" t="s">
        <v>30883</v>
      </c>
      <c r="F13770" t="s">
        <v>32831</v>
      </c>
      <c r="G13770" t="s">
        <v>32838</v>
      </c>
      <c r="H13770" t="s">
        <v>32848</v>
      </c>
      <c r="I13770" t="s">
        <v>32862</v>
      </c>
      <c r="J13770" t="s">
        <v>35543</v>
      </c>
      <c r="K13770" t="s">
        <v>42727</v>
      </c>
      <c r="M13770" t="s">
        <v>44963</v>
      </c>
      <c r="N13770" t="s">
        <v>47424</v>
      </c>
      <c r="O13770" t="s">
        <v>47425</v>
      </c>
      <c r="Q13770">
        <v>1</v>
      </c>
      <c r="R13770" t="s">
        <v>47444</v>
      </c>
      <c r="S13770" t="s">
        <v>48222</v>
      </c>
      <c r="T13770" t="s">
        <v>49415</v>
      </c>
      <c r="U13770" t="s">
        <v>60898</v>
      </c>
      <c r="W13770" t="s">
        <v>44963</v>
      </c>
      <c r="X13770" t="s">
        <v>47445</v>
      </c>
    </row>
    <row r="13771" spans="1:24">
      <c r="A13771">
        <f>HYPERLINK("https://www.philgeps.gov.ph/GEPSNONPILOT/Tender/SplashBidNoticeAbstractUI.aspx?menuIndex=3&amp;refID=7131968&amp;Result=3","7131968")</f>
        <v>0</v>
      </c>
      <c r="B13771" t="s">
        <v>418</v>
      </c>
      <c r="C13771" t="s">
        <v>16917</v>
      </c>
      <c r="D13771" t="s">
        <v>19043</v>
      </c>
      <c r="E13771" t="s">
        <v>30884</v>
      </c>
      <c r="F13771" t="s">
        <v>32831</v>
      </c>
      <c r="G13771" t="s">
        <v>32839</v>
      </c>
      <c r="H13771" t="s">
        <v>32849</v>
      </c>
      <c r="I13771" t="s">
        <v>4177</v>
      </c>
      <c r="J13771" t="s">
        <v>41367</v>
      </c>
      <c r="K13771" t="s">
        <v>42832</v>
      </c>
      <c r="M13771" t="s">
        <v>43423</v>
      </c>
      <c r="N13771" t="s">
        <v>47424</v>
      </c>
      <c r="O13771" t="s">
        <v>47425</v>
      </c>
      <c r="P13771">
        <v>0</v>
      </c>
      <c r="Q13771">
        <v>2</v>
      </c>
      <c r="R13771" t="s">
        <v>47444</v>
      </c>
      <c r="S13771" t="s">
        <v>48135</v>
      </c>
      <c r="T13771" t="s">
        <v>49070</v>
      </c>
      <c r="U13771" t="s">
        <v>50425</v>
      </c>
      <c r="V13771" t="s">
        <v>62718</v>
      </c>
      <c r="W13771" t="s">
        <v>43423</v>
      </c>
      <c r="X13771" t="s">
        <v>47445</v>
      </c>
    </row>
    <row r="13772" spans="1:24">
      <c r="A13772">
        <f>HYPERLINK("https://www.philgeps.gov.ph/GEPSNONPILOT/Tender/SplashBidNoticeAbstractUI.aspx?menuIndex=3&amp;refID=7131962&amp;Result=3","7131962")</f>
        <v>0</v>
      </c>
      <c r="B13772" t="s">
        <v>3461</v>
      </c>
      <c r="C13772" t="s">
        <v>16918</v>
      </c>
      <c r="D13772" t="s">
        <v>19045</v>
      </c>
      <c r="E13772" t="s">
        <v>30885</v>
      </c>
      <c r="F13772" t="s">
        <v>32833</v>
      </c>
      <c r="G13772" t="s">
        <v>32839</v>
      </c>
      <c r="H13772" t="s">
        <v>32848</v>
      </c>
      <c r="I13772" t="s">
        <v>7416</v>
      </c>
      <c r="J13772" t="s">
        <v>41368</v>
      </c>
      <c r="K13772" t="s">
        <v>42731</v>
      </c>
      <c r="M13772" t="s">
        <v>46803</v>
      </c>
      <c r="N13772" t="s">
        <v>47424</v>
      </c>
      <c r="O13772" t="s">
        <v>47425</v>
      </c>
      <c r="Q13772">
        <v>0</v>
      </c>
      <c r="R13772" t="s">
        <v>47444</v>
      </c>
      <c r="S13772" t="s">
        <v>47612</v>
      </c>
      <c r="T13772" t="s">
        <v>49196</v>
      </c>
      <c r="U13772" t="s">
        <v>59351</v>
      </c>
      <c r="V13772" t="s">
        <v>63928</v>
      </c>
      <c r="W13772" t="s">
        <v>46803</v>
      </c>
      <c r="X13772" t="s">
        <v>47445</v>
      </c>
    </row>
    <row r="13773" spans="1:24">
      <c r="A13773">
        <f>HYPERLINK("https://www.philgeps.gov.ph/GEPSNONPILOT/Tender/SplashBidNoticeAbstractUI.aspx?menuIndex=3&amp;refID=7131949&amp;Result=3","7131949")</f>
        <v>0</v>
      </c>
      <c r="B13773" t="s">
        <v>3756</v>
      </c>
      <c r="C13773" t="s">
        <v>16919</v>
      </c>
      <c r="D13773" t="s">
        <v>19023</v>
      </c>
      <c r="E13773" t="s">
        <v>30886</v>
      </c>
      <c r="F13773" t="s">
        <v>32832</v>
      </c>
      <c r="G13773" t="s">
        <v>32839</v>
      </c>
      <c r="H13773" t="s">
        <v>32849</v>
      </c>
      <c r="I13773" t="s">
        <v>4177</v>
      </c>
      <c r="J13773" t="s">
        <v>32980</v>
      </c>
      <c r="K13773" t="s">
        <v>42730</v>
      </c>
      <c r="M13773" t="s">
        <v>47155</v>
      </c>
      <c r="N13773" t="s">
        <v>47424</v>
      </c>
      <c r="O13773" t="s">
        <v>47425</v>
      </c>
      <c r="P13773">
        <v>0</v>
      </c>
      <c r="Q13773">
        <v>1</v>
      </c>
      <c r="R13773" t="s">
        <v>47444</v>
      </c>
      <c r="S13773" t="s">
        <v>48135</v>
      </c>
      <c r="T13773" t="s">
        <v>49070</v>
      </c>
      <c r="U13773" t="s">
        <v>60899</v>
      </c>
      <c r="W13773" t="s">
        <v>47155</v>
      </c>
      <c r="X13773" t="s">
        <v>47445</v>
      </c>
    </row>
    <row r="13774" spans="1:24">
      <c r="A13774">
        <f>HYPERLINK("https://www.philgeps.gov.ph/GEPSNONPILOT/Tender/SplashBidNoticeAbstractUI.aspx?menuIndex=3&amp;refID=7131473&amp;Result=3","7131473")</f>
        <v>0</v>
      </c>
      <c r="B13774" t="s">
        <v>3757</v>
      </c>
      <c r="C13774" t="s">
        <v>16920</v>
      </c>
      <c r="D13774" t="s">
        <v>19044</v>
      </c>
      <c r="E13774" t="s">
        <v>30887</v>
      </c>
      <c r="F13774" t="s">
        <v>32831</v>
      </c>
      <c r="G13774" t="s">
        <v>32839</v>
      </c>
      <c r="H13774" t="s">
        <v>32849</v>
      </c>
      <c r="I13774" t="s">
        <v>4177</v>
      </c>
      <c r="J13774" t="s">
        <v>41369</v>
      </c>
      <c r="K13774" t="s">
        <v>42766</v>
      </c>
      <c r="M13774" t="s">
        <v>47156</v>
      </c>
      <c r="N13774" t="s">
        <v>47424</v>
      </c>
      <c r="O13774" t="s">
        <v>47425</v>
      </c>
      <c r="P13774">
        <v>0</v>
      </c>
      <c r="Q13774">
        <v>0</v>
      </c>
      <c r="R13774" t="s">
        <v>47444</v>
      </c>
      <c r="S13774" t="s">
        <v>48135</v>
      </c>
      <c r="T13774" t="s">
        <v>49330</v>
      </c>
      <c r="U13774" t="s">
        <v>60900</v>
      </c>
      <c r="W13774" t="s">
        <v>47190</v>
      </c>
      <c r="X13774" t="s">
        <v>47445</v>
      </c>
    </row>
    <row r="13775" spans="1:24">
      <c r="A13775">
        <f>HYPERLINK("https://www.philgeps.gov.ph/GEPSNONPILOT/Tender/SplashBidNoticeAbstractUI.aspx?menuIndex=3&amp;refID=7131937&amp;Result=3","7131937")</f>
        <v>0</v>
      </c>
      <c r="B13775" t="s">
        <v>694</v>
      </c>
      <c r="C13775" t="s">
        <v>16921</v>
      </c>
      <c r="D13775" t="s">
        <v>19073</v>
      </c>
      <c r="E13775" t="s">
        <v>30888</v>
      </c>
      <c r="F13775" t="s">
        <v>32831</v>
      </c>
      <c r="G13775" t="s">
        <v>32839</v>
      </c>
      <c r="H13775" t="s">
        <v>32848</v>
      </c>
      <c r="I13775" t="s">
        <v>4487</v>
      </c>
      <c r="J13775" t="s">
        <v>33118</v>
      </c>
      <c r="K13775" t="s">
        <v>42726</v>
      </c>
      <c r="M13775" t="s">
        <v>43713</v>
      </c>
      <c r="N13775" t="s">
        <v>47424</v>
      </c>
      <c r="O13775" t="s">
        <v>47425</v>
      </c>
      <c r="Q13775">
        <v>11</v>
      </c>
      <c r="R13775" t="s">
        <v>47444</v>
      </c>
      <c r="S13775" t="s">
        <v>48223</v>
      </c>
      <c r="T13775" t="s">
        <v>49205</v>
      </c>
      <c r="U13775" t="s">
        <v>60901</v>
      </c>
      <c r="V13775" t="s">
        <v>64181</v>
      </c>
      <c r="W13775" t="s">
        <v>43713</v>
      </c>
      <c r="X13775" t="s">
        <v>47445</v>
      </c>
    </row>
    <row r="13776" spans="1:24">
      <c r="A13776">
        <f>HYPERLINK("https://www.philgeps.gov.ph/GEPSNONPILOT/Tender/SplashBidNoticeAbstractUI.aspx?menuIndex=3&amp;refID=7131951&amp;Result=3","7131951")</f>
        <v>0</v>
      </c>
      <c r="B13776" t="s">
        <v>795</v>
      </c>
      <c r="C13776" t="s">
        <v>16922</v>
      </c>
      <c r="D13776" t="s">
        <v>19045</v>
      </c>
      <c r="E13776" t="s">
        <v>30889</v>
      </c>
      <c r="F13776" t="s">
        <v>32831</v>
      </c>
      <c r="G13776" t="s">
        <v>32839</v>
      </c>
      <c r="H13776" t="s">
        <v>32848</v>
      </c>
      <c r="I13776" t="s">
        <v>32883</v>
      </c>
      <c r="J13776" t="s">
        <v>33046</v>
      </c>
      <c r="K13776" t="s">
        <v>42727</v>
      </c>
      <c r="M13776" t="s">
        <v>43825</v>
      </c>
      <c r="N13776" t="s">
        <v>47424</v>
      </c>
      <c r="O13776" t="s">
        <v>47425</v>
      </c>
      <c r="P13776">
        <v>0</v>
      </c>
      <c r="Q13776">
        <v>1</v>
      </c>
      <c r="R13776" t="s">
        <v>47444</v>
      </c>
      <c r="S13776" t="s">
        <v>48135</v>
      </c>
      <c r="T13776" t="s">
        <v>49066</v>
      </c>
      <c r="U13776" t="s">
        <v>51208</v>
      </c>
      <c r="W13776" t="s">
        <v>43825</v>
      </c>
      <c r="X13776" t="s">
        <v>47445</v>
      </c>
    </row>
    <row r="13777" spans="1:24">
      <c r="A13777">
        <f>HYPERLINK("https://www.philgeps.gov.ph/GEPSNONPILOT/Tender/SplashBidNoticeAbstractUI.aspx?menuIndex=3&amp;refID=7131910&amp;Result=3","7131910")</f>
        <v>0</v>
      </c>
      <c r="B13777" t="s">
        <v>3758</v>
      </c>
      <c r="C13777" t="s">
        <v>16923</v>
      </c>
      <c r="D13777" t="s">
        <v>19071</v>
      </c>
      <c r="E13777" t="s">
        <v>30890</v>
      </c>
      <c r="F13777" t="s">
        <v>32831</v>
      </c>
      <c r="G13777" t="s">
        <v>32839</v>
      </c>
      <c r="H13777" t="s">
        <v>32849</v>
      </c>
      <c r="I13777" t="s">
        <v>4177</v>
      </c>
      <c r="J13777" t="s">
        <v>41370</v>
      </c>
      <c r="K13777" t="s">
        <v>42751</v>
      </c>
      <c r="M13777" t="s">
        <v>47157</v>
      </c>
      <c r="N13777" t="s">
        <v>47424</v>
      </c>
      <c r="O13777" t="s">
        <v>47425</v>
      </c>
      <c r="Q13777">
        <v>2</v>
      </c>
      <c r="R13777" t="s">
        <v>47444</v>
      </c>
      <c r="S13777" t="s">
        <v>48224</v>
      </c>
      <c r="T13777" t="s">
        <v>49310</v>
      </c>
      <c r="U13777" t="s">
        <v>60902</v>
      </c>
      <c r="W13777" t="s">
        <v>47157</v>
      </c>
      <c r="X13777" t="s">
        <v>47445</v>
      </c>
    </row>
    <row r="13778" spans="1:24">
      <c r="A13778">
        <f>HYPERLINK("https://www.philgeps.gov.ph/GEPSNONPILOT/Tender/SplashBidNoticeAbstractUI.aspx?menuIndex=3&amp;refID=7131901&amp;Result=3","7131901")</f>
        <v>0</v>
      </c>
      <c r="B13778" t="s">
        <v>3256</v>
      </c>
      <c r="C13778" t="s">
        <v>16924</v>
      </c>
      <c r="D13778" t="s">
        <v>19040</v>
      </c>
      <c r="E13778" t="s">
        <v>30891</v>
      </c>
      <c r="F13778" t="s">
        <v>32831</v>
      </c>
      <c r="G13778" t="s">
        <v>32839</v>
      </c>
      <c r="H13778" t="s">
        <v>32849</v>
      </c>
      <c r="I13778" t="s">
        <v>4177</v>
      </c>
      <c r="J13778" t="s">
        <v>38388</v>
      </c>
      <c r="K13778" t="s">
        <v>42984</v>
      </c>
      <c r="M13778" t="s">
        <v>46572</v>
      </c>
      <c r="N13778" t="s">
        <v>47424</v>
      </c>
      <c r="O13778" t="s">
        <v>47425</v>
      </c>
      <c r="P13778">
        <v>0</v>
      </c>
      <c r="Q13778">
        <v>1</v>
      </c>
      <c r="R13778" t="s">
        <v>47444</v>
      </c>
      <c r="S13778" t="s">
        <v>48135</v>
      </c>
      <c r="T13778" t="s">
        <v>49166</v>
      </c>
      <c r="U13778" t="s">
        <v>60771</v>
      </c>
      <c r="V13778" t="s">
        <v>64182</v>
      </c>
      <c r="W13778" t="s">
        <v>46572</v>
      </c>
      <c r="X13778" t="s">
        <v>47445</v>
      </c>
    </row>
    <row r="13779" spans="1:24">
      <c r="A13779">
        <f>HYPERLINK("https://www.philgeps.gov.ph/GEPSNONPILOT/Tender/SplashBidNoticeAbstractUI.aspx?menuIndex=3&amp;refID=7131890&amp;Result=3","7131890")</f>
        <v>0</v>
      </c>
      <c r="B13779" t="s">
        <v>3756</v>
      </c>
      <c r="C13779" t="s">
        <v>16925</v>
      </c>
      <c r="D13779" t="s">
        <v>19023</v>
      </c>
      <c r="E13779" t="s">
        <v>30892</v>
      </c>
      <c r="F13779" t="s">
        <v>32832</v>
      </c>
      <c r="G13779" t="s">
        <v>32839</v>
      </c>
      <c r="H13779" t="s">
        <v>32849</v>
      </c>
      <c r="I13779" t="s">
        <v>4177</v>
      </c>
      <c r="J13779" t="s">
        <v>41371</v>
      </c>
      <c r="K13779" t="s">
        <v>42730</v>
      </c>
      <c r="M13779" t="s">
        <v>47155</v>
      </c>
      <c r="N13779" t="s">
        <v>47424</v>
      </c>
      <c r="O13779" t="s">
        <v>47425</v>
      </c>
      <c r="P13779">
        <v>0</v>
      </c>
      <c r="Q13779">
        <v>1</v>
      </c>
      <c r="R13779" t="s">
        <v>47444</v>
      </c>
      <c r="S13779" t="s">
        <v>48135</v>
      </c>
      <c r="T13779" t="s">
        <v>49066</v>
      </c>
      <c r="U13779" t="s">
        <v>60899</v>
      </c>
      <c r="W13779" t="s">
        <v>47155</v>
      </c>
      <c r="X13779" t="s">
        <v>47445</v>
      </c>
    </row>
    <row r="13780" spans="1:24">
      <c r="A13780">
        <f>HYPERLINK("https://www.philgeps.gov.ph/GEPSNONPILOT/Tender/SplashBidNoticeAbstractUI.aspx?menuIndex=3&amp;refID=7131929&amp;Result=3","7131929")</f>
        <v>0</v>
      </c>
      <c r="B13780" t="s">
        <v>3256</v>
      </c>
      <c r="C13780" t="s">
        <v>16926</v>
      </c>
      <c r="D13780" t="s">
        <v>19040</v>
      </c>
      <c r="E13780" t="s">
        <v>30893</v>
      </c>
      <c r="F13780" t="s">
        <v>32831</v>
      </c>
      <c r="G13780" t="s">
        <v>32839</v>
      </c>
      <c r="H13780" t="s">
        <v>32849</v>
      </c>
      <c r="I13780" t="s">
        <v>4177</v>
      </c>
      <c r="J13780" t="s">
        <v>38388</v>
      </c>
      <c r="K13780" t="s">
        <v>42984</v>
      </c>
      <c r="M13780" t="s">
        <v>46572</v>
      </c>
      <c r="N13780" t="s">
        <v>47424</v>
      </c>
      <c r="O13780" t="s">
        <v>47425</v>
      </c>
      <c r="P13780">
        <v>0</v>
      </c>
      <c r="Q13780">
        <v>1</v>
      </c>
      <c r="R13780" t="s">
        <v>47444</v>
      </c>
      <c r="S13780" t="s">
        <v>48135</v>
      </c>
      <c r="T13780" t="s">
        <v>49166</v>
      </c>
      <c r="U13780" t="s">
        <v>60771</v>
      </c>
      <c r="V13780" t="s">
        <v>64183</v>
      </c>
      <c r="W13780" t="s">
        <v>46572</v>
      </c>
      <c r="X13780" t="s">
        <v>47445</v>
      </c>
    </row>
    <row r="13781" spans="1:24">
      <c r="A13781">
        <f>HYPERLINK("https://www.philgeps.gov.ph/GEPSNONPILOT/Tender/SplashBidNoticeAbstractUI.aspx?menuIndex=3&amp;refID=7131866&amp;Result=3","7131866")</f>
        <v>0</v>
      </c>
      <c r="B13781" t="s">
        <v>3758</v>
      </c>
      <c r="C13781" t="s">
        <v>16927</v>
      </c>
      <c r="D13781" t="s">
        <v>19071</v>
      </c>
      <c r="E13781" t="s">
        <v>30894</v>
      </c>
      <c r="F13781" t="s">
        <v>32831</v>
      </c>
      <c r="G13781" t="s">
        <v>32839</v>
      </c>
      <c r="H13781" t="s">
        <v>32849</v>
      </c>
      <c r="I13781" t="s">
        <v>4177</v>
      </c>
      <c r="J13781" t="s">
        <v>41372</v>
      </c>
      <c r="K13781" t="s">
        <v>42985</v>
      </c>
      <c r="M13781" t="s">
        <v>47157</v>
      </c>
      <c r="N13781" t="s">
        <v>47424</v>
      </c>
      <c r="O13781" t="s">
        <v>47425</v>
      </c>
      <c r="Q13781">
        <v>3</v>
      </c>
      <c r="R13781" t="s">
        <v>47444</v>
      </c>
      <c r="S13781" t="s">
        <v>48225</v>
      </c>
      <c r="T13781" t="s">
        <v>49310</v>
      </c>
      <c r="U13781" t="s">
        <v>60903</v>
      </c>
      <c r="W13781" t="s">
        <v>47157</v>
      </c>
      <c r="X13781" t="s">
        <v>47445</v>
      </c>
    </row>
    <row r="13782" spans="1:24">
      <c r="A13782">
        <f>HYPERLINK("https://www.philgeps.gov.ph/GEPSNONPILOT/Tender/SplashBidNoticeAbstractUI.aspx?menuIndex=3&amp;refID=7130946&amp;Result=3","7130946")</f>
        <v>0</v>
      </c>
      <c r="B13782" t="s">
        <v>1746</v>
      </c>
      <c r="C13782" t="s">
        <v>16928</v>
      </c>
      <c r="D13782" t="s">
        <v>19051</v>
      </c>
      <c r="E13782" t="s">
        <v>30895</v>
      </c>
      <c r="F13782" t="s">
        <v>32831</v>
      </c>
      <c r="G13782" t="s">
        <v>32839</v>
      </c>
      <c r="H13782" t="s">
        <v>32849</v>
      </c>
      <c r="I13782" t="s">
        <v>4177</v>
      </c>
      <c r="J13782" t="s">
        <v>33969</v>
      </c>
      <c r="K13782" t="s">
        <v>42965</v>
      </c>
      <c r="M13782" t="s">
        <v>44869</v>
      </c>
      <c r="N13782" t="s">
        <v>47424</v>
      </c>
      <c r="O13782" t="s">
        <v>47425</v>
      </c>
      <c r="P13782">
        <v>0</v>
      </c>
      <c r="Q13782">
        <v>1</v>
      </c>
      <c r="R13782" t="s">
        <v>47444</v>
      </c>
      <c r="S13782" t="s">
        <v>48135</v>
      </c>
      <c r="T13782" t="s">
        <v>49129</v>
      </c>
      <c r="U13782" t="s">
        <v>60904</v>
      </c>
      <c r="W13782" t="s">
        <v>44869</v>
      </c>
      <c r="X13782" t="s">
        <v>47445</v>
      </c>
    </row>
    <row r="13783" spans="1:24">
      <c r="A13783">
        <f>HYPERLINK("https://www.philgeps.gov.ph/GEPSNONPILOT/Tender/SplashBidNoticeAbstractUI.aspx?menuIndex=3&amp;refID=7131862&amp;Result=3","7131862")</f>
        <v>0</v>
      </c>
      <c r="B13783" t="s">
        <v>795</v>
      </c>
      <c r="C13783" t="s">
        <v>16929</v>
      </c>
      <c r="D13783" t="s">
        <v>19045</v>
      </c>
      <c r="E13783" t="s">
        <v>30896</v>
      </c>
      <c r="F13783" t="s">
        <v>32831</v>
      </c>
      <c r="G13783" t="s">
        <v>32839</v>
      </c>
      <c r="H13783" t="s">
        <v>32849</v>
      </c>
      <c r="I13783" t="s">
        <v>4177</v>
      </c>
      <c r="J13783" t="s">
        <v>41373</v>
      </c>
      <c r="K13783" t="s">
        <v>42796</v>
      </c>
      <c r="M13783" t="s">
        <v>43825</v>
      </c>
      <c r="N13783" t="s">
        <v>47424</v>
      </c>
      <c r="O13783" t="s">
        <v>47425</v>
      </c>
      <c r="P13783">
        <v>0</v>
      </c>
      <c r="Q13783">
        <v>22</v>
      </c>
      <c r="R13783" t="s">
        <v>47444</v>
      </c>
      <c r="S13783" t="s">
        <v>48135</v>
      </c>
      <c r="T13783" t="s">
        <v>49066</v>
      </c>
      <c r="U13783" t="s">
        <v>51208</v>
      </c>
      <c r="W13783" t="s">
        <v>43825</v>
      </c>
      <c r="X13783" t="s">
        <v>47445</v>
      </c>
    </row>
    <row r="13784" spans="1:24">
      <c r="A13784">
        <f>HYPERLINK("https://www.philgeps.gov.ph/GEPSNONPILOT/Tender/SplashBidNoticeAbstractUI.aspx?menuIndex=3&amp;refID=7131880&amp;Result=3","7131880")</f>
        <v>0</v>
      </c>
      <c r="B13784" t="s">
        <v>3752</v>
      </c>
      <c r="C13784" t="s">
        <v>16930</v>
      </c>
      <c r="E13784" t="s">
        <v>19670</v>
      </c>
      <c r="F13784" t="s">
        <v>32831</v>
      </c>
      <c r="G13784" t="s">
        <v>32839</v>
      </c>
      <c r="H13784" t="s">
        <v>32848</v>
      </c>
      <c r="I13784" t="s">
        <v>4487</v>
      </c>
      <c r="J13784" t="s">
        <v>41374</v>
      </c>
      <c r="K13784" t="s">
        <v>42732</v>
      </c>
      <c r="M13784" t="s">
        <v>47150</v>
      </c>
      <c r="N13784" t="s">
        <v>47424</v>
      </c>
      <c r="O13784" t="s">
        <v>47425</v>
      </c>
      <c r="Q13784">
        <v>4</v>
      </c>
      <c r="R13784" t="s">
        <v>47444</v>
      </c>
      <c r="S13784" t="s">
        <v>48226</v>
      </c>
      <c r="T13784" t="s">
        <v>49642</v>
      </c>
      <c r="U13784" t="s">
        <v>60905</v>
      </c>
      <c r="W13784" t="s">
        <v>47150</v>
      </c>
      <c r="X13784" t="s">
        <v>47445</v>
      </c>
    </row>
    <row r="13785" spans="1:24">
      <c r="A13785">
        <f>HYPERLINK("https://www.philgeps.gov.ph/GEPSNONPILOT/Tender/SplashBidNoticeAbstractUI.aspx?menuIndex=3&amp;refID=7131828&amp;Result=3","7131828")</f>
        <v>0</v>
      </c>
      <c r="B13785" t="s">
        <v>2435</v>
      </c>
      <c r="C13785" t="s">
        <v>16931</v>
      </c>
      <c r="D13785" t="s">
        <v>19083</v>
      </c>
      <c r="E13785" t="s">
        <v>30897</v>
      </c>
      <c r="F13785" t="s">
        <v>32831</v>
      </c>
      <c r="G13785" t="s">
        <v>32839</v>
      </c>
      <c r="H13785" t="s">
        <v>32849</v>
      </c>
      <c r="I13785" t="s">
        <v>4177</v>
      </c>
      <c r="J13785" t="s">
        <v>34921</v>
      </c>
      <c r="K13785" t="s">
        <v>42757</v>
      </c>
      <c r="M13785" t="s">
        <v>45632</v>
      </c>
      <c r="N13785" t="s">
        <v>47424</v>
      </c>
      <c r="O13785" t="s">
        <v>47425</v>
      </c>
      <c r="Q13785">
        <v>0</v>
      </c>
      <c r="R13785" t="s">
        <v>47444</v>
      </c>
      <c r="S13785" t="s">
        <v>48227</v>
      </c>
      <c r="T13785" t="s">
        <v>49059</v>
      </c>
      <c r="U13785" t="s">
        <v>60906</v>
      </c>
      <c r="W13785" t="s">
        <v>45632</v>
      </c>
      <c r="X13785" t="s">
        <v>47445</v>
      </c>
    </row>
    <row r="13786" spans="1:24">
      <c r="A13786">
        <f>HYPERLINK("https://www.philgeps.gov.ph/GEPSNONPILOT/Tender/SplashBidNoticeAbstractUI.aspx?menuIndex=3&amp;refID=7131847&amp;Result=3","7131847")</f>
        <v>0</v>
      </c>
      <c r="B13786" t="s">
        <v>3752</v>
      </c>
      <c r="C13786" t="s">
        <v>16932</v>
      </c>
      <c r="E13786" t="s">
        <v>19529</v>
      </c>
      <c r="F13786" t="s">
        <v>32831</v>
      </c>
      <c r="G13786" t="s">
        <v>32839</v>
      </c>
      <c r="H13786" t="s">
        <v>32848</v>
      </c>
      <c r="I13786" t="s">
        <v>4487</v>
      </c>
      <c r="J13786" t="s">
        <v>33291</v>
      </c>
      <c r="K13786" t="s">
        <v>42732</v>
      </c>
      <c r="M13786" t="s">
        <v>47150</v>
      </c>
      <c r="N13786" t="s">
        <v>47424</v>
      </c>
      <c r="O13786" t="s">
        <v>47425</v>
      </c>
      <c r="Q13786">
        <v>3</v>
      </c>
      <c r="R13786" t="s">
        <v>47444</v>
      </c>
      <c r="S13786" t="s">
        <v>47936</v>
      </c>
      <c r="T13786" t="s">
        <v>49642</v>
      </c>
      <c r="U13786" t="s">
        <v>60907</v>
      </c>
      <c r="W13786" t="s">
        <v>47150</v>
      </c>
      <c r="X13786" t="s">
        <v>47445</v>
      </c>
    </row>
    <row r="13787" spans="1:24">
      <c r="A13787">
        <f>HYPERLINK("https://www.philgeps.gov.ph/GEPSNONPILOT/Tender/SplashBidNoticeAbstractUI.aspx?menuIndex=3&amp;refID=7131869&amp;Result=3","7131869")</f>
        <v>0</v>
      </c>
      <c r="B13787" t="s">
        <v>61</v>
      </c>
      <c r="C13787" t="s">
        <v>16933</v>
      </c>
      <c r="D13787" t="s">
        <v>19021</v>
      </c>
      <c r="E13787" t="s">
        <v>30898</v>
      </c>
      <c r="F13787" t="s">
        <v>32831</v>
      </c>
      <c r="G13787" t="s">
        <v>32839</v>
      </c>
      <c r="H13787" t="s">
        <v>32849</v>
      </c>
      <c r="I13787" t="s">
        <v>32852</v>
      </c>
      <c r="J13787" t="s">
        <v>40696</v>
      </c>
      <c r="K13787" t="s">
        <v>42763</v>
      </c>
      <c r="M13787" t="s">
        <v>43058</v>
      </c>
      <c r="N13787" t="s">
        <v>47424</v>
      </c>
      <c r="O13787" t="s">
        <v>47425</v>
      </c>
      <c r="P13787">
        <v>0</v>
      </c>
      <c r="Q13787">
        <v>5</v>
      </c>
      <c r="R13787" t="s">
        <v>47444</v>
      </c>
      <c r="S13787" t="s">
        <v>48135</v>
      </c>
      <c r="T13787" t="s">
        <v>49120</v>
      </c>
      <c r="U13787" t="s">
        <v>60908</v>
      </c>
      <c r="W13787" t="s">
        <v>43058</v>
      </c>
      <c r="X13787" t="s">
        <v>47445</v>
      </c>
    </row>
    <row r="13788" spans="1:24">
      <c r="A13788">
        <f>HYPERLINK("https://www.philgeps.gov.ph/GEPSNONPILOT/Tender/SplashBidNoticeAbstractUI.aspx?menuIndex=3&amp;refID=7131837&amp;Result=3","7131837")</f>
        <v>0</v>
      </c>
      <c r="B13788" t="s">
        <v>3756</v>
      </c>
      <c r="C13788" t="s">
        <v>16934</v>
      </c>
      <c r="D13788" t="s">
        <v>19023</v>
      </c>
      <c r="E13788" t="s">
        <v>30899</v>
      </c>
      <c r="F13788" t="s">
        <v>32832</v>
      </c>
      <c r="G13788" t="s">
        <v>32839</v>
      </c>
      <c r="H13788" t="s">
        <v>32849</v>
      </c>
      <c r="I13788" t="s">
        <v>4177</v>
      </c>
      <c r="J13788" t="s">
        <v>32980</v>
      </c>
      <c r="K13788" t="s">
        <v>42730</v>
      </c>
      <c r="M13788" t="s">
        <v>47155</v>
      </c>
      <c r="N13788" t="s">
        <v>47424</v>
      </c>
      <c r="O13788" t="s">
        <v>47425</v>
      </c>
      <c r="P13788">
        <v>0</v>
      </c>
      <c r="Q13788">
        <v>1</v>
      </c>
      <c r="R13788" t="s">
        <v>47444</v>
      </c>
      <c r="S13788" t="s">
        <v>48135</v>
      </c>
      <c r="T13788" t="s">
        <v>49148</v>
      </c>
      <c r="U13788" t="s">
        <v>60899</v>
      </c>
      <c r="W13788" t="s">
        <v>47155</v>
      </c>
      <c r="X13788" t="s">
        <v>47445</v>
      </c>
    </row>
    <row r="13789" spans="1:24">
      <c r="A13789">
        <f>HYPERLINK("https://www.philgeps.gov.ph/GEPSNONPILOT/Tender/SplashBidNoticeAbstractUI.aspx?menuIndex=3&amp;refID=7130970&amp;Result=3","7130970")</f>
        <v>0</v>
      </c>
      <c r="B13789" t="s">
        <v>1746</v>
      </c>
      <c r="C13789" t="s">
        <v>16935</v>
      </c>
      <c r="D13789" t="s">
        <v>19051</v>
      </c>
      <c r="E13789" t="s">
        <v>30900</v>
      </c>
      <c r="F13789" t="s">
        <v>32831</v>
      </c>
      <c r="G13789" t="s">
        <v>32839</v>
      </c>
      <c r="H13789" t="s">
        <v>32849</v>
      </c>
      <c r="I13789" t="s">
        <v>4177</v>
      </c>
      <c r="J13789" t="s">
        <v>41375</v>
      </c>
      <c r="K13789" t="s">
        <v>42984</v>
      </c>
      <c r="M13789" t="s">
        <v>44869</v>
      </c>
      <c r="N13789" t="s">
        <v>47424</v>
      </c>
      <c r="O13789" t="s">
        <v>47425</v>
      </c>
      <c r="P13789">
        <v>0</v>
      </c>
      <c r="Q13789">
        <v>0</v>
      </c>
      <c r="R13789" t="s">
        <v>47444</v>
      </c>
      <c r="S13789" t="s">
        <v>48135</v>
      </c>
      <c r="T13789" t="s">
        <v>49129</v>
      </c>
      <c r="U13789" t="s">
        <v>60909</v>
      </c>
      <c r="W13789" t="s">
        <v>44869</v>
      </c>
      <c r="X13789" t="s">
        <v>47445</v>
      </c>
    </row>
    <row r="13790" spans="1:24">
      <c r="A13790">
        <f>HYPERLINK("https://www.philgeps.gov.ph/GEPSNONPILOT/Tender/SplashBidNoticeAbstractUI.aspx?menuIndex=3&amp;refID=7131737&amp;Result=3","7131737")</f>
        <v>0</v>
      </c>
      <c r="B13790" t="s">
        <v>3752</v>
      </c>
      <c r="C13790" t="s">
        <v>16936</v>
      </c>
      <c r="E13790" t="s">
        <v>19854</v>
      </c>
      <c r="F13790" t="s">
        <v>32831</v>
      </c>
      <c r="G13790" t="s">
        <v>32839</v>
      </c>
      <c r="H13790" t="s">
        <v>32848</v>
      </c>
      <c r="I13790" t="s">
        <v>7751</v>
      </c>
      <c r="J13790" t="s">
        <v>33561</v>
      </c>
      <c r="K13790" t="s">
        <v>42732</v>
      </c>
      <c r="M13790" t="s">
        <v>47150</v>
      </c>
      <c r="N13790" t="s">
        <v>47424</v>
      </c>
      <c r="O13790" t="s">
        <v>47425</v>
      </c>
      <c r="Q13790">
        <v>4</v>
      </c>
      <c r="R13790" t="s">
        <v>47444</v>
      </c>
      <c r="S13790" t="s">
        <v>48228</v>
      </c>
      <c r="T13790" t="s">
        <v>49642</v>
      </c>
      <c r="U13790" t="s">
        <v>60910</v>
      </c>
      <c r="W13790" t="s">
        <v>47150</v>
      </c>
      <c r="X13790" t="s">
        <v>47445</v>
      </c>
    </row>
    <row r="13791" spans="1:24">
      <c r="A13791">
        <f>HYPERLINK("https://www.philgeps.gov.ph/GEPSNONPILOT/Tender/SplashBidNoticeAbstractUI.aspx?menuIndex=3&amp;refID=7132138&amp;Result=3","7132138")</f>
        <v>0</v>
      </c>
      <c r="B13791" t="s">
        <v>3446</v>
      </c>
      <c r="C13791" t="s">
        <v>16937</v>
      </c>
      <c r="D13791" t="s">
        <v>19028</v>
      </c>
      <c r="E13791" t="s">
        <v>30901</v>
      </c>
      <c r="F13791" t="s">
        <v>32831</v>
      </c>
      <c r="G13791" t="s">
        <v>32847</v>
      </c>
      <c r="H13791" t="s">
        <v>32849</v>
      </c>
      <c r="I13791" t="s">
        <v>4177</v>
      </c>
      <c r="J13791" t="s">
        <v>41376</v>
      </c>
      <c r="K13791" t="s">
        <v>42729</v>
      </c>
      <c r="L13791" t="s">
        <v>3446</v>
      </c>
      <c r="M13791" t="s">
        <v>46784</v>
      </c>
      <c r="N13791" t="s">
        <v>47424</v>
      </c>
      <c r="O13791" t="s">
        <v>47425</v>
      </c>
      <c r="P13791">
        <v>0</v>
      </c>
      <c r="Q13791">
        <v>0</v>
      </c>
      <c r="R13791" t="s">
        <v>47444</v>
      </c>
      <c r="S13791" t="s">
        <v>48135</v>
      </c>
      <c r="T13791" t="s">
        <v>49214</v>
      </c>
      <c r="U13791" t="s">
        <v>60911</v>
      </c>
      <c r="V13791" t="s">
        <v>64184</v>
      </c>
      <c r="W13791" t="s">
        <v>46784</v>
      </c>
      <c r="X13791" t="s">
        <v>47445</v>
      </c>
    </row>
    <row r="13792" spans="1:24">
      <c r="A13792">
        <f>HYPERLINK("https://www.philgeps.gov.ph/GEPSNONPILOT/Tender/SplashBidNoticeAbstractUI.aspx?menuIndex=3&amp;refID=7131776&amp;Result=3","7131776")</f>
        <v>0</v>
      </c>
      <c r="B13792" t="s">
        <v>3529</v>
      </c>
      <c r="C13792" t="s">
        <v>16938</v>
      </c>
      <c r="D13792" t="s">
        <v>19089</v>
      </c>
      <c r="E13792" t="s">
        <v>30902</v>
      </c>
      <c r="F13792" t="s">
        <v>32831</v>
      </c>
      <c r="G13792" t="s">
        <v>32839</v>
      </c>
      <c r="H13792" t="s">
        <v>32848</v>
      </c>
      <c r="I13792" t="s">
        <v>32858</v>
      </c>
      <c r="J13792" t="s">
        <v>32978</v>
      </c>
      <c r="K13792" t="s">
        <v>42730</v>
      </c>
      <c r="M13792" t="s">
        <v>46880</v>
      </c>
      <c r="N13792" t="s">
        <v>47424</v>
      </c>
      <c r="O13792" t="s">
        <v>47425</v>
      </c>
      <c r="P13792">
        <v>0</v>
      </c>
      <c r="Q13792">
        <v>0</v>
      </c>
      <c r="R13792" t="s">
        <v>47444</v>
      </c>
      <c r="S13792" t="s">
        <v>48135</v>
      </c>
      <c r="T13792" t="s">
        <v>49080</v>
      </c>
      <c r="U13792" t="s">
        <v>60912</v>
      </c>
      <c r="W13792" t="s">
        <v>46880</v>
      </c>
      <c r="X13792" t="s">
        <v>47445</v>
      </c>
    </row>
    <row r="13793" spans="1:24">
      <c r="A13793">
        <f>HYPERLINK("https://www.philgeps.gov.ph/GEPSNONPILOT/Tender/SplashBidNoticeAbstractUI.aspx?menuIndex=3&amp;refID=7131743&amp;Result=3","7131743")</f>
        <v>0</v>
      </c>
      <c r="B13793" t="s">
        <v>1295</v>
      </c>
      <c r="C13793" t="s">
        <v>16939</v>
      </c>
      <c r="D13793" t="s">
        <v>19054</v>
      </c>
      <c r="E13793" t="s">
        <v>30903</v>
      </c>
      <c r="F13793" t="s">
        <v>32831</v>
      </c>
      <c r="G13793" t="s">
        <v>32839</v>
      </c>
      <c r="H13793" t="s">
        <v>32848</v>
      </c>
      <c r="I13793" t="s">
        <v>7416</v>
      </c>
      <c r="J13793" t="s">
        <v>41377</v>
      </c>
      <c r="K13793" t="s">
        <v>42731</v>
      </c>
      <c r="M13793" t="s">
        <v>44365</v>
      </c>
      <c r="N13793" t="s">
        <v>47424</v>
      </c>
      <c r="O13793" t="s">
        <v>47425</v>
      </c>
      <c r="P13793">
        <v>0</v>
      </c>
      <c r="Q13793">
        <v>1</v>
      </c>
      <c r="R13793" t="s">
        <v>47444</v>
      </c>
      <c r="S13793" t="s">
        <v>48135</v>
      </c>
      <c r="T13793" t="s">
        <v>49056</v>
      </c>
      <c r="U13793" t="s">
        <v>52500</v>
      </c>
      <c r="W13793" t="s">
        <v>44365</v>
      </c>
      <c r="X13793" t="s">
        <v>47445</v>
      </c>
    </row>
    <row r="13794" spans="1:24">
      <c r="A13794">
        <f>HYPERLINK("https://www.philgeps.gov.ph/GEPSNONPILOT/Tender/SplashBidNoticeAbstractUI.aspx?menuIndex=3&amp;refID=7132128&amp;Result=3","7132128")</f>
        <v>0</v>
      </c>
      <c r="B13794" t="s">
        <v>3759</v>
      </c>
      <c r="C13794" t="s">
        <v>16940</v>
      </c>
      <c r="D13794" t="s">
        <v>19095</v>
      </c>
      <c r="E13794" t="s">
        <v>30904</v>
      </c>
      <c r="F13794" t="s">
        <v>32831</v>
      </c>
      <c r="G13794" t="s">
        <v>32839</v>
      </c>
      <c r="H13794" t="s">
        <v>32848</v>
      </c>
      <c r="I13794" t="s">
        <v>4303</v>
      </c>
      <c r="J13794" t="s">
        <v>41378</v>
      </c>
      <c r="K13794" t="s">
        <v>42747</v>
      </c>
      <c r="M13794" t="s">
        <v>47158</v>
      </c>
      <c r="N13794" t="s">
        <v>47424</v>
      </c>
      <c r="O13794" t="s">
        <v>47425</v>
      </c>
      <c r="P13794">
        <v>0</v>
      </c>
      <c r="Q13794">
        <v>1</v>
      </c>
      <c r="R13794" t="s">
        <v>47444</v>
      </c>
      <c r="S13794" t="s">
        <v>48135</v>
      </c>
      <c r="T13794" t="s">
        <v>49214</v>
      </c>
      <c r="U13794" t="s">
        <v>60913</v>
      </c>
      <c r="W13794" t="s">
        <v>47158</v>
      </c>
      <c r="X13794" t="s">
        <v>47445</v>
      </c>
    </row>
    <row r="13795" spans="1:24">
      <c r="A13795">
        <f>HYPERLINK("https://www.philgeps.gov.ph/GEPSNONPILOT/Tender/SplashBidNoticeAbstractUI.aspx?menuIndex=3&amp;refID=7131812&amp;Result=3","7131812")</f>
        <v>0</v>
      </c>
      <c r="B13795" t="s">
        <v>3760</v>
      </c>
      <c r="C13795" t="s">
        <v>16941</v>
      </c>
      <c r="D13795" t="s">
        <v>19068</v>
      </c>
      <c r="E13795" t="s">
        <v>20136</v>
      </c>
      <c r="F13795" t="s">
        <v>32831</v>
      </c>
      <c r="G13795" t="s">
        <v>32839</v>
      </c>
      <c r="H13795" t="s">
        <v>32849</v>
      </c>
      <c r="I13795" t="s">
        <v>4177</v>
      </c>
      <c r="J13795" t="s">
        <v>33081</v>
      </c>
      <c r="K13795" t="s">
        <v>42829</v>
      </c>
      <c r="M13795" t="s">
        <v>47159</v>
      </c>
      <c r="N13795" t="s">
        <v>47424</v>
      </c>
      <c r="O13795" t="s">
        <v>47425</v>
      </c>
      <c r="P13795">
        <v>0</v>
      </c>
      <c r="Q13795">
        <v>2</v>
      </c>
      <c r="R13795" t="s">
        <v>47444</v>
      </c>
      <c r="S13795" t="s">
        <v>48135</v>
      </c>
      <c r="T13795" t="s">
        <v>49073</v>
      </c>
      <c r="U13795" t="s">
        <v>60914</v>
      </c>
      <c r="W13795" t="s">
        <v>47159</v>
      </c>
      <c r="X13795" t="s">
        <v>47445</v>
      </c>
    </row>
    <row r="13796" spans="1:24">
      <c r="A13796">
        <f>HYPERLINK("https://www.philgeps.gov.ph/GEPSNONPILOT/Tender/SplashBidNoticeAbstractUI.aspx?menuIndex=3&amp;refID=7132078&amp;Result=3","7132078")</f>
        <v>0</v>
      </c>
      <c r="B13796" t="s">
        <v>3755</v>
      </c>
      <c r="C13796" t="s">
        <v>16942</v>
      </c>
      <c r="D13796" t="s">
        <v>19031</v>
      </c>
      <c r="E13796" t="s">
        <v>19515</v>
      </c>
      <c r="F13796" t="s">
        <v>32831</v>
      </c>
      <c r="G13796" t="s">
        <v>32839</v>
      </c>
      <c r="H13796" t="s">
        <v>32849</v>
      </c>
      <c r="I13796" t="s">
        <v>4177</v>
      </c>
      <c r="J13796" t="s">
        <v>41379</v>
      </c>
      <c r="K13796" t="s">
        <v>42844</v>
      </c>
      <c r="M13796" t="s">
        <v>47154</v>
      </c>
      <c r="N13796" t="s">
        <v>47424</v>
      </c>
      <c r="O13796" t="s">
        <v>47425</v>
      </c>
      <c r="P13796">
        <v>0</v>
      </c>
      <c r="Q13796">
        <v>0</v>
      </c>
      <c r="R13796" t="s">
        <v>47444</v>
      </c>
      <c r="S13796" t="s">
        <v>48135</v>
      </c>
      <c r="T13796" t="s">
        <v>49251</v>
      </c>
      <c r="U13796" t="s">
        <v>59496</v>
      </c>
      <c r="W13796" t="s">
        <v>47154</v>
      </c>
      <c r="X13796" t="s">
        <v>47445</v>
      </c>
    </row>
    <row r="13797" spans="1:24">
      <c r="A13797">
        <f>HYPERLINK("https://www.philgeps.gov.ph/GEPSNONPILOT/Tender/SplashBidNoticeAbstractUI.aspx?menuIndex=3&amp;refID=7132109&amp;Result=3","7132109")</f>
        <v>0</v>
      </c>
      <c r="B13797" t="s">
        <v>3755</v>
      </c>
      <c r="C13797" t="s">
        <v>16943</v>
      </c>
      <c r="D13797" t="s">
        <v>19031</v>
      </c>
      <c r="E13797" t="s">
        <v>28998</v>
      </c>
      <c r="F13797" t="s">
        <v>32831</v>
      </c>
      <c r="G13797" t="s">
        <v>32839</v>
      </c>
      <c r="H13797" t="s">
        <v>32848</v>
      </c>
      <c r="I13797" t="s">
        <v>32857</v>
      </c>
      <c r="J13797" t="s">
        <v>41380</v>
      </c>
      <c r="K13797" t="s">
        <v>42745</v>
      </c>
      <c r="M13797" t="s">
        <v>47154</v>
      </c>
      <c r="N13797" t="s">
        <v>47424</v>
      </c>
      <c r="O13797" t="s">
        <v>47425</v>
      </c>
      <c r="P13797">
        <v>0</v>
      </c>
      <c r="Q13797">
        <v>5</v>
      </c>
      <c r="R13797" t="s">
        <v>47444</v>
      </c>
      <c r="S13797" t="s">
        <v>48135</v>
      </c>
      <c r="T13797" t="s">
        <v>49251</v>
      </c>
      <c r="U13797" t="s">
        <v>50776</v>
      </c>
      <c r="W13797" t="s">
        <v>47154</v>
      </c>
      <c r="X13797" t="s">
        <v>47445</v>
      </c>
    </row>
    <row r="13798" spans="1:24">
      <c r="A13798">
        <f>HYPERLINK("https://www.philgeps.gov.ph/GEPSNONPILOT/Tender/SplashBidNoticeAbstractUI.aspx?menuIndex=3&amp;refID=7132104&amp;Result=3","7132104")</f>
        <v>0</v>
      </c>
      <c r="B13798" t="s">
        <v>2844</v>
      </c>
      <c r="C13798" t="s">
        <v>16944</v>
      </c>
      <c r="D13798" t="s">
        <v>19036</v>
      </c>
      <c r="E13798" t="s">
        <v>30905</v>
      </c>
      <c r="F13798" t="s">
        <v>32831</v>
      </c>
      <c r="G13798" t="s">
        <v>32839</v>
      </c>
      <c r="H13798" t="s">
        <v>32848</v>
      </c>
      <c r="I13798" t="s">
        <v>7751</v>
      </c>
      <c r="J13798" t="s">
        <v>33291</v>
      </c>
      <c r="K13798" t="s">
        <v>42729</v>
      </c>
      <c r="M13798" t="s">
        <v>46076</v>
      </c>
      <c r="N13798" t="s">
        <v>47424</v>
      </c>
      <c r="O13798" t="s">
        <v>47425</v>
      </c>
      <c r="Q13798">
        <v>1</v>
      </c>
      <c r="R13798" t="s">
        <v>47444</v>
      </c>
      <c r="S13798" t="s">
        <v>48229</v>
      </c>
      <c r="T13798" t="s">
        <v>49066</v>
      </c>
      <c r="U13798" t="s">
        <v>60915</v>
      </c>
      <c r="V13798" t="s">
        <v>64139</v>
      </c>
      <c r="W13798" t="s">
        <v>46076</v>
      </c>
      <c r="X13798" t="s">
        <v>47445</v>
      </c>
    </row>
    <row r="13799" spans="1:24">
      <c r="A13799">
        <f>HYPERLINK("https://www.philgeps.gov.ph/GEPSNONPILOT/Tender/SplashBidNoticeAbstractUI.aspx?menuIndex=3&amp;refID=7132083&amp;Result=3","7132083")</f>
        <v>0</v>
      </c>
      <c r="B13799" t="s">
        <v>3761</v>
      </c>
      <c r="C13799" t="s">
        <v>16945</v>
      </c>
      <c r="D13799" t="s">
        <v>19045</v>
      </c>
      <c r="E13799" t="s">
        <v>30906</v>
      </c>
      <c r="F13799" t="s">
        <v>32831</v>
      </c>
      <c r="G13799" t="s">
        <v>32839</v>
      </c>
      <c r="H13799" t="s">
        <v>32849</v>
      </c>
      <c r="I13799" t="s">
        <v>4177</v>
      </c>
      <c r="J13799" t="s">
        <v>32978</v>
      </c>
      <c r="K13799" t="s">
        <v>42732</v>
      </c>
      <c r="M13799" t="s">
        <v>47160</v>
      </c>
      <c r="N13799" t="s">
        <v>47424</v>
      </c>
      <c r="O13799" t="s">
        <v>47425</v>
      </c>
      <c r="P13799">
        <v>0</v>
      </c>
      <c r="Q13799">
        <v>1</v>
      </c>
      <c r="R13799" t="s">
        <v>47444</v>
      </c>
      <c r="S13799" t="s">
        <v>48135</v>
      </c>
      <c r="T13799" t="s">
        <v>49127</v>
      </c>
      <c r="U13799" t="s">
        <v>60916</v>
      </c>
      <c r="W13799" t="s">
        <v>47160</v>
      </c>
      <c r="X13799" t="s">
        <v>47445</v>
      </c>
    </row>
    <row r="13800" spans="1:24">
      <c r="A13800">
        <f>HYPERLINK("https://www.philgeps.gov.ph/GEPSNONPILOT/Tender/SplashBidNoticeAbstractUI.aspx?menuIndex=3&amp;refID=7132313&amp;Result=3","7132313")</f>
        <v>0</v>
      </c>
      <c r="B13800" t="s">
        <v>2211</v>
      </c>
      <c r="C13800" t="s">
        <v>16946</v>
      </c>
      <c r="D13800" t="s">
        <v>19031</v>
      </c>
      <c r="E13800" t="s">
        <v>20103</v>
      </c>
      <c r="F13800" t="s">
        <v>32831</v>
      </c>
      <c r="G13800" t="s">
        <v>32839</v>
      </c>
      <c r="H13800" t="s">
        <v>32848</v>
      </c>
      <c r="I13800" t="s">
        <v>32863</v>
      </c>
      <c r="J13800" t="s">
        <v>41381</v>
      </c>
      <c r="K13800" t="s">
        <v>42732</v>
      </c>
      <c r="M13800" t="s">
        <v>45391</v>
      </c>
      <c r="N13800" t="s">
        <v>47424</v>
      </c>
      <c r="O13800" t="s">
        <v>47425</v>
      </c>
      <c r="P13800">
        <v>0</v>
      </c>
      <c r="Q13800">
        <v>1</v>
      </c>
      <c r="R13800" t="s">
        <v>47444</v>
      </c>
      <c r="S13800" t="s">
        <v>48135</v>
      </c>
      <c r="T13800" t="s">
        <v>49073</v>
      </c>
      <c r="U13800" t="s">
        <v>60917</v>
      </c>
      <c r="V13800" t="s">
        <v>64185</v>
      </c>
      <c r="W13800" t="s">
        <v>45391</v>
      </c>
      <c r="X13800" t="s">
        <v>47445</v>
      </c>
    </row>
    <row r="13801" spans="1:24">
      <c r="A13801">
        <f>HYPERLINK("https://www.philgeps.gov.ph/GEPSNONPILOT/Tender/SplashBidNoticeAbstractUI.aspx?menuIndex=3&amp;refID=7132055&amp;Result=3","7132055")</f>
        <v>0</v>
      </c>
      <c r="B13801" t="s">
        <v>3755</v>
      </c>
      <c r="C13801" t="s">
        <v>16947</v>
      </c>
      <c r="E13801" t="s">
        <v>19692</v>
      </c>
      <c r="F13801" t="s">
        <v>32831</v>
      </c>
      <c r="G13801" t="s">
        <v>32839</v>
      </c>
      <c r="H13801" t="s">
        <v>32849</v>
      </c>
      <c r="I13801" t="s">
        <v>4177</v>
      </c>
      <c r="J13801" t="s">
        <v>33118</v>
      </c>
      <c r="K13801" t="s">
        <v>42732</v>
      </c>
      <c r="M13801" t="s">
        <v>47154</v>
      </c>
      <c r="N13801" t="s">
        <v>47424</v>
      </c>
      <c r="O13801" t="s">
        <v>47425</v>
      </c>
      <c r="P13801">
        <v>0</v>
      </c>
      <c r="Q13801">
        <v>0</v>
      </c>
      <c r="R13801" t="s">
        <v>47444</v>
      </c>
      <c r="S13801" t="s">
        <v>48135</v>
      </c>
      <c r="T13801" t="s">
        <v>49152</v>
      </c>
      <c r="U13801" t="s">
        <v>51968</v>
      </c>
      <c r="W13801" t="s">
        <v>47154</v>
      </c>
      <c r="X13801" t="s">
        <v>47445</v>
      </c>
    </row>
    <row r="13802" spans="1:24">
      <c r="A13802">
        <f>HYPERLINK("https://www.philgeps.gov.ph/GEPSNONPILOT/Tender/SplashBidNoticeAbstractUI.aspx?menuIndex=3&amp;refID=7132070&amp;Result=3","7132070")</f>
        <v>0</v>
      </c>
      <c r="B13802" t="s">
        <v>161</v>
      </c>
      <c r="C13802" t="s">
        <v>16948</v>
      </c>
      <c r="D13802" t="s">
        <v>19031</v>
      </c>
      <c r="E13802" t="s">
        <v>30907</v>
      </c>
      <c r="F13802" t="s">
        <v>32831</v>
      </c>
      <c r="G13802" t="s">
        <v>32839</v>
      </c>
      <c r="H13802" t="s">
        <v>32849</v>
      </c>
      <c r="I13802" t="s">
        <v>4177</v>
      </c>
      <c r="J13802" t="s">
        <v>41382</v>
      </c>
      <c r="K13802" t="s">
        <v>42770</v>
      </c>
      <c r="M13802" t="s">
        <v>43158</v>
      </c>
      <c r="N13802" t="s">
        <v>47424</v>
      </c>
      <c r="O13802" t="s">
        <v>47425</v>
      </c>
      <c r="P13802">
        <v>0</v>
      </c>
      <c r="Q13802">
        <v>0</v>
      </c>
      <c r="R13802" t="s">
        <v>47444</v>
      </c>
      <c r="S13802" t="s">
        <v>48135</v>
      </c>
      <c r="T13802" t="s">
        <v>49127</v>
      </c>
      <c r="U13802" t="s">
        <v>60918</v>
      </c>
      <c r="W13802" t="s">
        <v>43158</v>
      </c>
      <c r="X13802" t="s">
        <v>47445</v>
      </c>
    </row>
    <row r="13803" spans="1:24">
      <c r="A13803">
        <f>HYPERLINK("https://www.philgeps.gov.ph/GEPSNONPILOT/Tender/SplashBidNoticeAbstractUI.aspx?menuIndex=3&amp;refID=7132071&amp;Result=3","7132071")</f>
        <v>0</v>
      </c>
      <c r="B13803" t="s">
        <v>832</v>
      </c>
      <c r="C13803" t="s">
        <v>16949</v>
      </c>
      <c r="D13803" t="s">
        <v>19101</v>
      </c>
      <c r="E13803" t="s">
        <v>30908</v>
      </c>
      <c r="F13803" t="s">
        <v>32831</v>
      </c>
      <c r="G13803" t="s">
        <v>32839</v>
      </c>
      <c r="H13803" t="s">
        <v>32848</v>
      </c>
      <c r="I13803" t="s">
        <v>32925</v>
      </c>
      <c r="J13803" t="s">
        <v>41383</v>
      </c>
      <c r="K13803" t="s">
        <v>42763</v>
      </c>
      <c r="M13803" t="s">
        <v>44445</v>
      </c>
      <c r="N13803" t="s">
        <v>47424</v>
      </c>
      <c r="O13803" t="s">
        <v>47425</v>
      </c>
      <c r="Q13803">
        <v>7</v>
      </c>
      <c r="R13803" t="s">
        <v>47444</v>
      </c>
      <c r="S13803" t="s">
        <v>48230</v>
      </c>
      <c r="T13803" t="s">
        <v>49097</v>
      </c>
      <c r="U13803" t="s">
        <v>60919</v>
      </c>
      <c r="V13803" t="s">
        <v>64186</v>
      </c>
      <c r="W13803" t="s">
        <v>44445</v>
      </c>
      <c r="X13803" t="s">
        <v>47445</v>
      </c>
    </row>
    <row r="13804" spans="1:24">
      <c r="A13804">
        <f>HYPERLINK("https://www.philgeps.gov.ph/GEPSNONPILOT/Tender/SplashBidNoticeAbstractUI.aspx?menuIndex=3&amp;refID=7132130&amp;Result=3","7132130")</f>
        <v>0</v>
      </c>
      <c r="B13804" t="s">
        <v>3762</v>
      </c>
      <c r="C13804" t="s">
        <v>16950</v>
      </c>
      <c r="D13804" t="s">
        <v>19021</v>
      </c>
      <c r="E13804" t="s">
        <v>30909</v>
      </c>
      <c r="F13804" t="s">
        <v>32831</v>
      </c>
      <c r="G13804" t="s">
        <v>32839</v>
      </c>
      <c r="H13804" t="s">
        <v>32849</v>
      </c>
      <c r="I13804" t="s">
        <v>32913</v>
      </c>
      <c r="J13804" t="s">
        <v>41384</v>
      </c>
      <c r="K13804" t="s">
        <v>42770</v>
      </c>
      <c r="M13804" t="s">
        <v>47161</v>
      </c>
      <c r="N13804" t="s">
        <v>47424</v>
      </c>
      <c r="O13804" t="s">
        <v>47425</v>
      </c>
      <c r="P13804">
        <v>0</v>
      </c>
      <c r="Q13804">
        <v>0</v>
      </c>
      <c r="R13804" t="s">
        <v>47444</v>
      </c>
      <c r="S13804" t="s">
        <v>48135</v>
      </c>
      <c r="T13804" t="s">
        <v>49212</v>
      </c>
      <c r="U13804" t="s">
        <v>60920</v>
      </c>
      <c r="V13804" t="s">
        <v>64187</v>
      </c>
      <c r="W13804" t="s">
        <v>47161</v>
      </c>
      <c r="X13804" t="s">
        <v>47445</v>
      </c>
    </row>
    <row r="13805" spans="1:24">
      <c r="A13805">
        <f>HYPERLINK("https://www.philgeps.gov.ph/GEPSNONPILOT/Tender/SplashBidNoticeAbstractUI.aspx?menuIndex=3&amp;refID=7132280&amp;Result=3","7132280")</f>
        <v>0</v>
      </c>
      <c r="B13805" t="s">
        <v>3763</v>
      </c>
      <c r="C13805" t="s">
        <v>16951</v>
      </c>
      <c r="D13805" t="s">
        <v>19018</v>
      </c>
      <c r="E13805" t="s">
        <v>30910</v>
      </c>
      <c r="F13805" t="s">
        <v>32831</v>
      </c>
      <c r="G13805" t="s">
        <v>32839</v>
      </c>
      <c r="H13805" t="s">
        <v>32849</v>
      </c>
      <c r="I13805" t="s">
        <v>4177</v>
      </c>
      <c r="J13805" t="s">
        <v>36999</v>
      </c>
      <c r="K13805" t="s">
        <v>42906</v>
      </c>
      <c r="M13805" t="s">
        <v>47162</v>
      </c>
      <c r="N13805" t="s">
        <v>47424</v>
      </c>
      <c r="O13805" t="s">
        <v>47425</v>
      </c>
      <c r="P13805">
        <v>0</v>
      </c>
      <c r="Q13805">
        <v>1</v>
      </c>
      <c r="R13805" t="s">
        <v>47444</v>
      </c>
      <c r="S13805" t="s">
        <v>48135</v>
      </c>
      <c r="T13805" t="s">
        <v>49196</v>
      </c>
      <c r="U13805" t="s">
        <v>60921</v>
      </c>
      <c r="W13805" t="s">
        <v>47162</v>
      </c>
      <c r="X13805" t="s">
        <v>47445</v>
      </c>
    </row>
    <row r="13806" spans="1:24">
      <c r="A13806">
        <f>HYPERLINK("https://www.philgeps.gov.ph/GEPSNONPILOT/Tender/SplashBidNoticeAbstractUI.aspx?menuIndex=3&amp;refID=7132248&amp;Result=3","7132248")</f>
        <v>0</v>
      </c>
      <c r="B13806" t="s">
        <v>1822</v>
      </c>
      <c r="C13806" t="s">
        <v>8269</v>
      </c>
      <c r="D13806" t="s">
        <v>19017</v>
      </c>
      <c r="E13806" t="s">
        <v>30911</v>
      </c>
      <c r="F13806" t="s">
        <v>32831</v>
      </c>
      <c r="G13806" t="s">
        <v>32839</v>
      </c>
      <c r="H13806" t="s">
        <v>32848</v>
      </c>
      <c r="I13806" t="s">
        <v>32857</v>
      </c>
      <c r="J13806" t="s">
        <v>41385</v>
      </c>
      <c r="K13806" t="s">
        <v>42727</v>
      </c>
      <c r="M13806" t="s">
        <v>44955</v>
      </c>
      <c r="N13806" t="s">
        <v>47424</v>
      </c>
      <c r="O13806" t="s">
        <v>47425</v>
      </c>
      <c r="P13806">
        <v>0</v>
      </c>
      <c r="Q13806">
        <v>6</v>
      </c>
      <c r="R13806" t="s">
        <v>47444</v>
      </c>
      <c r="S13806" t="s">
        <v>48135</v>
      </c>
      <c r="T13806" t="s">
        <v>49066</v>
      </c>
      <c r="U13806" t="s">
        <v>60922</v>
      </c>
      <c r="W13806" t="s">
        <v>44955</v>
      </c>
      <c r="X13806" t="s">
        <v>47445</v>
      </c>
    </row>
    <row r="13807" spans="1:24">
      <c r="A13807">
        <f>HYPERLINK("https://www.philgeps.gov.ph/GEPSNONPILOT/Tender/SplashBidNoticeAbstractUI.aspx?menuIndex=3&amp;refID=7132235&amp;Result=3","7132235")</f>
        <v>0</v>
      </c>
      <c r="B13807" t="s">
        <v>1822</v>
      </c>
      <c r="C13807" t="s">
        <v>8269</v>
      </c>
      <c r="D13807" t="s">
        <v>19017</v>
      </c>
      <c r="E13807" t="s">
        <v>30912</v>
      </c>
      <c r="F13807" t="s">
        <v>32831</v>
      </c>
      <c r="G13807" t="s">
        <v>32839</v>
      </c>
      <c r="H13807" t="s">
        <v>32848</v>
      </c>
      <c r="I13807" t="s">
        <v>32857</v>
      </c>
      <c r="J13807" t="s">
        <v>41386</v>
      </c>
      <c r="K13807" t="s">
        <v>42727</v>
      </c>
      <c r="M13807" t="s">
        <v>44955</v>
      </c>
      <c r="N13807" t="s">
        <v>47424</v>
      </c>
      <c r="O13807" t="s">
        <v>47425</v>
      </c>
      <c r="P13807">
        <v>0</v>
      </c>
      <c r="Q13807">
        <v>8</v>
      </c>
      <c r="R13807" t="s">
        <v>47444</v>
      </c>
      <c r="S13807" t="s">
        <v>48135</v>
      </c>
      <c r="T13807" t="s">
        <v>49066</v>
      </c>
      <c r="U13807" t="s">
        <v>60923</v>
      </c>
      <c r="W13807" t="s">
        <v>44955</v>
      </c>
      <c r="X13807" t="s">
        <v>47445</v>
      </c>
    </row>
    <row r="13808" spans="1:24">
      <c r="A13808">
        <f>HYPERLINK("https://www.philgeps.gov.ph/GEPSNONPILOT/Tender/SplashBidNoticeAbstractUI.aspx?menuIndex=3&amp;refID=7132240&amp;Result=3","7132240")</f>
        <v>0</v>
      </c>
      <c r="B13808" t="s">
        <v>1891</v>
      </c>
      <c r="C13808" t="s">
        <v>16952</v>
      </c>
      <c r="D13808" t="s">
        <v>19017</v>
      </c>
      <c r="E13808" t="s">
        <v>21328</v>
      </c>
      <c r="F13808" t="s">
        <v>32831</v>
      </c>
      <c r="G13808" t="s">
        <v>32839</v>
      </c>
      <c r="H13808" t="s">
        <v>32848</v>
      </c>
      <c r="I13808" t="s">
        <v>4776</v>
      </c>
      <c r="J13808" t="s">
        <v>41387</v>
      </c>
      <c r="K13808" t="s">
        <v>42732</v>
      </c>
      <c r="M13808" t="s">
        <v>46805</v>
      </c>
      <c r="N13808" t="s">
        <v>47424</v>
      </c>
      <c r="O13808" t="s">
        <v>47425</v>
      </c>
      <c r="Q13808">
        <v>21</v>
      </c>
      <c r="R13808" t="s">
        <v>47444</v>
      </c>
      <c r="S13808" t="s">
        <v>48231</v>
      </c>
      <c r="T13808" t="s">
        <v>49056</v>
      </c>
      <c r="U13808" t="s">
        <v>60924</v>
      </c>
      <c r="V13808" t="s">
        <v>63929</v>
      </c>
      <c r="W13808" t="s">
        <v>46805</v>
      </c>
      <c r="X13808" t="s">
        <v>47445</v>
      </c>
    </row>
    <row r="13809" spans="1:24">
      <c r="A13809">
        <f>HYPERLINK("https://www.philgeps.gov.ph/GEPSNONPILOT/Tender/SplashBidNoticeAbstractUI.aspx?menuIndex=3&amp;refID=7132229&amp;Result=3","7132229")</f>
        <v>0</v>
      </c>
      <c r="B13809" t="s">
        <v>2885</v>
      </c>
      <c r="C13809" t="s">
        <v>16953</v>
      </c>
      <c r="D13809" t="s">
        <v>19019</v>
      </c>
      <c r="E13809" t="s">
        <v>30913</v>
      </c>
      <c r="F13809" t="s">
        <v>32831</v>
      </c>
      <c r="G13809" t="s">
        <v>32839</v>
      </c>
      <c r="H13809" t="s">
        <v>32849</v>
      </c>
      <c r="I13809" t="s">
        <v>4177</v>
      </c>
      <c r="J13809" t="s">
        <v>41388</v>
      </c>
      <c r="K13809" t="s">
        <v>42770</v>
      </c>
      <c r="M13809" t="s">
        <v>46124</v>
      </c>
      <c r="N13809" t="s">
        <v>47424</v>
      </c>
      <c r="O13809" t="s">
        <v>47425</v>
      </c>
      <c r="Q13809">
        <v>1</v>
      </c>
      <c r="R13809" t="s">
        <v>47444</v>
      </c>
      <c r="S13809" t="s">
        <v>48232</v>
      </c>
      <c r="T13809" t="s">
        <v>49205</v>
      </c>
      <c r="U13809" t="s">
        <v>60925</v>
      </c>
      <c r="W13809" t="s">
        <v>46124</v>
      </c>
      <c r="X13809" t="s">
        <v>47445</v>
      </c>
    </row>
    <row r="13810" spans="1:24">
      <c r="A13810">
        <f>HYPERLINK("https://www.philgeps.gov.ph/GEPSNONPILOT/Tender/SplashBidNoticeAbstractUI.aspx?menuIndex=3&amp;refID=7132226&amp;Result=3","7132226")</f>
        <v>0</v>
      </c>
      <c r="B13810" t="s">
        <v>1822</v>
      </c>
      <c r="C13810" t="s">
        <v>8269</v>
      </c>
      <c r="D13810" t="s">
        <v>19017</v>
      </c>
      <c r="E13810" t="s">
        <v>30914</v>
      </c>
      <c r="F13810" t="s">
        <v>32831</v>
      </c>
      <c r="G13810" t="s">
        <v>32839</v>
      </c>
      <c r="H13810" t="s">
        <v>32848</v>
      </c>
      <c r="I13810" t="s">
        <v>32857</v>
      </c>
      <c r="J13810" t="s">
        <v>41389</v>
      </c>
      <c r="K13810" t="s">
        <v>42727</v>
      </c>
      <c r="M13810" t="s">
        <v>44955</v>
      </c>
      <c r="N13810" t="s">
        <v>47424</v>
      </c>
      <c r="O13810" t="s">
        <v>47425</v>
      </c>
      <c r="P13810">
        <v>0</v>
      </c>
      <c r="Q13810">
        <v>8</v>
      </c>
      <c r="R13810" t="s">
        <v>47444</v>
      </c>
      <c r="S13810" t="s">
        <v>48135</v>
      </c>
      <c r="T13810" t="s">
        <v>49066</v>
      </c>
      <c r="U13810" t="s">
        <v>60926</v>
      </c>
      <c r="W13810" t="s">
        <v>44955</v>
      </c>
      <c r="X13810" t="s">
        <v>47445</v>
      </c>
    </row>
    <row r="13811" spans="1:24">
      <c r="A13811">
        <f>HYPERLINK("https://www.philgeps.gov.ph/GEPSNONPILOT/Tender/SplashBidNoticeAbstractUI.aspx?menuIndex=3&amp;refID=7132284&amp;Result=3","7132284")</f>
        <v>0</v>
      </c>
      <c r="B13811" t="s">
        <v>2537</v>
      </c>
      <c r="C13811" t="s">
        <v>16954</v>
      </c>
      <c r="D13811" t="s">
        <v>19045</v>
      </c>
      <c r="E13811" t="s">
        <v>30915</v>
      </c>
      <c r="F13811" t="s">
        <v>32831</v>
      </c>
      <c r="G13811" t="s">
        <v>32839</v>
      </c>
      <c r="H13811" t="s">
        <v>32849</v>
      </c>
      <c r="I13811" t="s">
        <v>4177</v>
      </c>
      <c r="J13811" t="s">
        <v>41390</v>
      </c>
      <c r="K13811" t="s">
        <v>42784</v>
      </c>
      <c r="M13811" t="s">
        <v>47163</v>
      </c>
      <c r="N13811" t="s">
        <v>47424</v>
      </c>
      <c r="O13811" t="s">
        <v>47425</v>
      </c>
      <c r="P13811">
        <v>0</v>
      </c>
      <c r="Q13811">
        <v>4</v>
      </c>
      <c r="R13811" t="s">
        <v>47444</v>
      </c>
      <c r="S13811" t="s">
        <v>48135</v>
      </c>
      <c r="T13811" t="s">
        <v>49141</v>
      </c>
      <c r="U13811" t="s">
        <v>60927</v>
      </c>
      <c r="V13811" t="s">
        <v>64188</v>
      </c>
      <c r="W13811" t="s">
        <v>47163</v>
      </c>
      <c r="X13811" t="s">
        <v>47445</v>
      </c>
    </row>
    <row r="13812" spans="1:24">
      <c r="A13812">
        <f>HYPERLINK("https://www.philgeps.gov.ph/GEPSNONPILOT/Tender/SplashBidNoticeAbstractUI.aspx?menuIndex=3&amp;refID=7132218&amp;Result=3","7132218")</f>
        <v>0</v>
      </c>
      <c r="B13812" t="s">
        <v>2885</v>
      </c>
      <c r="C13812" t="s">
        <v>16955</v>
      </c>
      <c r="D13812" t="s">
        <v>19019</v>
      </c>
      <c r="E13812" t="s">
        <v>30916</v>
      </c>
      <c r="F13812" t="s">
        <v>32831</v>
      </c>
      <c r="G13812" t="s">
        <v>32839</v>
      </c>
      <c r="H13812" t="s">
        <v>32849</v>
      </c>
      <c r="I13812" t="s">
        <v>4177</v>
      </c>
      <c r="J13812" t="s">
        <v>41391</v>
      </c>
      <c r="K13812" t="s">
        <v>42770</v>
      </c>
      <c r="M13812" t="s">
        <v>46124</v>
      </c>
      <c r="N13812" t="s">
        <v>47424</v>
      </c>
      <c r="O13812" t="s">
        <v>47425</v>
      </c>
      <c r="Q13812">
        <v>1</v>
      </c>
      <c r="R13812" t="s">
        <v>47444</v>
      </c>
      <c r="S13812" t="s">
        <v>48233</v>
      </c>
      <c r="T13812" t="s">
        <v>49205</v>
      </c>
      <c r="U13812" t="s">
        <v>60928</v>
      </c>
      <c r="W13812" t="s">
        <v>46124</v>
      </c>
      <c r="X13812" t="s">
        <v>47445</v>
      </c>
    </row>
    <row r="13813" spans="1:24">
      <c r="A13813">
        <f>HYPERLINK("https://www.philgeps.gov.ph/GEPSNONPILOT/Tender/SplashBidNoticeAbstractUI.aspx?menuIndex=3&amp;refID=7131818&amp;Result=3","7131818")</f>
        <v>0</v>
      </c>
      <c r="B13813" t="s">
        <v>1141</v>
      </c>
      <c r="C13813" t="s">
        <v>16956</v>
      </c>
      <c r="D13813" t="s">
        <v>19017</v>
      </c>
      <c r="E13813" t="s">
        <v>30917</v>
      </c>
      <c r="F13813" t="s">
        <v>32831</v>
      </c>
      <c r="G13813" t="s">
        <v>32839</v>
      </c>
      <c r="H13813" t="s">
        <v>32849</v>
      </c>
      <c r="I13813" t="s">
        <v>4177</v>
      </c>
      <c r="J13813" t="s">
        <v>38544</v>
      </c>
      <c r="K13813" t="s">
        <v>42757</v>
      </c>
      <c r="M13813" t="s">
        <v>44205</v>
      </c>
      <c r="N13813" t="s">
        <v>47424</v>
      </c>
      <c r="O13813" t="s">
        <v>47425</v>
      </c>
      <c r="P13813">
        <v>0</v>
      </c>
      <c r="Q13813">
        <v>13</v>
      </c>
      <c r="R13813" t="s">
        <v>47444</v>
      </c>
      <c r="S13813" t="s">
        <v>48135</v>
      </c>
      <c r="T13813" t="s">
        <v>49237</v>
      </c>
      <c r="U13813" t="s">
        <v>60929</v>
      </c>
      <c r="W13813" t="s">
        <v>64459</v>
      </c>
      <c r="X13813" t="s">
        <v>47445</v>
      </c>
    </row>
    <row r="13814" spans="1:24">
      <c r="A13814">
        <f>HYPERLINK("https://www.philgeps.gov.ph/GEPSNONPILOT/Tender/SplashBidNoticeAbstractUI.aspx?menuIndex=3&amp;refID=7132211&amp;Result=3","7132211")</f>
        <v>0</v>
      </c>
      <c r="B13814" t="s">
        <v>1822</v>
      </c>
      <c r="C13814" t="s">
        <v>8269</v>
      </c>
      <c r="D13814" t="s">
        <v>19017</v>
      </c>
      <c r="E13814" t="s">
        <v>30918</v>
      </c>
      <c r="F13814" t="s">
        <v>32831</v>
      </c>
      <c r="G13814" t="s">
        <v>32839</v>
      </c>
      <c r="H13814" t="s">
        <v>32848</v>
      </c>
      <c r="I13814" t="s">
        <v>32857</v>
      </c>
      <c r="J13814" t="s">
        <v>38777</v>
      </c>
      <c r="K13814" t="s">
        <v>42727</v>
      </c>
      <c r="M13814" t="s">
        <v>44955</v>
      </c>
      <c r="N13814" t="s">
        <v>47424</v>
      </c>
      <c r="O13814" t="s">
        <v>47425</v>
      </c>
      <c r="P13814">
        <v>0</v>
      </c>
      <c r="Q13814">
        <v>11</v>
      </c>
      <c r="R13814" t="s">
        <v>47444</v>
      </c>
      <c r="S13814" t="s">
        <v>48135</v>
      </c>
      <c r="T13814" t="s">
        <v>49066</v>
      </c>
      <c r="U13814" t="s">
        <v>60930</v>
      </c>
      <c r="W13814" t="s">
        <v>44955</v>
      </c>
      <c r="X13814" t="s">
        <v>47445</v>
      </c>
    </row>
    <row r="13815" spans="1:24">
      <c r="A13815">
        <f>HYPERLINK("https://www.philgeps.gov.ph/GEPSNONPILOT/Tender/SplashBidNoticeAbstractUI.aspx?menuIndex=3&amp;refID=7132224&amp;Result=3","7132224")</f>
        <v>0</v>
      </c>
      <c r="B13815" t="s">
        <v>3764</v>
      </c>
      <c r="C13815" t="s">
        <v>16957</v>
      </c>
      <c r="D13815" t="s">
        <v>19045</v>
      </c>
      <c r="E13815" t="s">
        <v>30919</v>
      </c>
      <c r="F13815" t="s">
        <v>32831</v>
      </c>
      <c r="G13815" t="s">
        <v>32839</v>
      </c>
      <c r="H13815" t="s">
        <v>32849</v>
      </c>
      <c r="I13815" t="s">
        <v>4177</v>
      </c>
      <c r="J13815" t="s">
        <v>33118</v>
      </c>
      <c r="K13815" t="s">
        <v>42732</v>
      </c>
      <c r="M13815" t="s">
        <v>47164</v>
      </c>
      <c r="N13815" t="s">
        <v>47424</v>
      </c>
      <c r="O13815" t="s">
        <v>47425</v>
      </c>
      <c r="P13815">
        <v>0</v>
      </c>
      <c r="Q13815">
        <v>1</v>
      </c>
      <c r="R13815" t="s">
        <v>47444</v>
      </c>
      <c r="S13815" t="s">
        <v>48135</v>
      </c>
      <c r="T13815" t="s">
        <v>49401</v>
      </c>
      <c r="U13815" t="s">
        <v>60931</v>
      </c>
      <c r="W13815" t="s">
        <v>47164</v>
      </c>
      <c r="X13815" t="s">
        <v>47445</v>
      </c>
    </row>
    <row r="13816" spans="1:24">
      <c r="A13816">
        <f>HYPERLINK("https://www.philgeps.gov.ph/GEPSNONPILOT/Tender/SplashBidNoticeAbstractUI.aspx?menuIndex=3&amp;refID=7132186&amp;Result=3","7132186")</f>
        <v>0</v>
      </c>
      <c r="B13816" t="s">
        <v>2885</v>
      </c>
      <c r="C13816" t="s">
        <v>16958</v>
      </c>
      <c r="D13816" t="s">
        <v>19019</v>
      </c>
      <c r="E13816" t="s">
        <v>30920</v>
      </c>
      <c r="F13816" t="s">
        <v>32831</v>
      </c>
      <c r="G13816" t="s">
        <v>32839</v>
      </c>
      <c r="H13816" t="s">
        <v>32849</v>
      </c>
      <c r="I13816" t="s">
        <v>4177</v>
      </c>
      <c r="J13816" t="s">
        <v>41392</v>
      </c>
      <c r="K13816" t="s">
        <v>42770</v>
      </c>
      <c r="M13816" t="s">
        <v>46124</v>
      </c>
      <c r="N13816" t="s">
        <v>47424</v>
      </c>
      <c r="O13816" t="s">
        <v>47425</v>
      </c>
      <c r="Q13816">
        <v>1</v>
      </c>
      <c r="R13816" t="s">
        <v>47444</v>
      </c>
      <c r="S13816" t="s">
        <v>48234</v>
      </c>
      <c r="T13816" t="s">
        <v>49252</v>
      </c>
      <c r="U13816" t="s">
        <v>60932</v>
      </c>
      <c r="W13816" t="s">
        <v>46124</v>
      </c>
      <c r="X13816" t="s">
        <v>47445</v>
      </c>
    </row>
    <row r="13817" spans="1:24">
      <c r="A13817">
        <f>HYPERLINK("https://www.philgeps.gov.ph/GEPSNONPILOT/Tender/SplashBidNoticeAbstractUI.aspx?menuIndex=3&amp;refID=7132161&amp;Result=3","7132161")</f>
        <v>0</v>
      </c>
      <c r="B13817" t="s">
        <v>2551</v>
      </c>
      <c r="C13817" t="s">
        <v>16959</v>
      </c>
      <c r="D13817" t="s">
        <v>19050</v>
      </c>
      <c r="E13817" t="s">
        <v>30921</v>
      </c>
      <c r="F13817" t="s">
        <v>32831</v>
      </c>
      <c r="G13817" t="s">
        <v>32839</v>
      </c>
      <c r="H13817" t="s">
        <v>32849</v>
      </c>
      <c r="I13817" t="s">
        <v>4177</v>
      </c>
      <c r="J13817" t="s">
        <v>41393</v>
      </c>
      <c r="K13817" t="s">
        <v>42880</v>
      </c>
      <c r="M13817" t="s">
        <v>45763</v>
      </c>
      <c r="N13817" t="s">
        <v>47424</v>
      </c>
      <c r="O13817" t="s">
        <v>47425</v>
      </c>
      <c r="P13817">
        <v>0</v>
      </c>
      <c r="Q13817">
        <v>1</v>
      </c>
      <c r="R13817" t="s">
        <v>47444</v>
      </c>
      <c r="S13817" t="s">
        <v>48135</v>
      </c>
      <c r="T13817" t="s">
        <v>49120</v>
      </c>
      <c r="U13817" t="s">
        <v>60933</v>
      </c>
      <c r="V13817" t="s">
        <v>63456</v>
      </c>
      <c r="W13817" t="s">
        <v>45763</v>
      </c>
      <c r="X13817" t="s">
        <v>47445</v>
      </c>
    </row>
    <row r="13818" spans="1:24">
      <c r="A13818">
        <f>HYPERLINK("https://www.philgeps.gov.ph/GEPSNONPILOT/Tender/SplashBidNoticeAbstractUI.aspx?menuIndex=3&amp;refID=7132148&amp;Result=3","7132148")</f>
        <v>0</v>
      </c>
      <c r="B13818" t="s">
        <v>138</v>
      </c>
      <c r="C13818" t="s">
        <v>16960</v>
      </c>
      <c r="D13818" t="s">
        <v>19057</v>
      </c>
      <c r="E13818" t="s">
        <v>30922</v>
      </c>
      <c r="F13818" t="s">
        <v>32831</v>
      </c>
      <c r="G13818" t="s">
        <v>32839</v>
      </c>
      <c r="H13818" t="s">
        <v>32848</v>
      </c>
      <c r="I13818" t="s">
        <v>4776</v>
      </c>
      <c r="J13818" t="s">
        <v>37878</v>
      </c>
      <c r="K13818" t="s">
        <v>42726</v>
      </c>
      <c r="M13818" t="s">
        <v>43135</v>
      </c>
      <c r="N13818" t="s">
        <v>47424</v>
      </c>
      <c r="O13818" t="s">
        <v>47425</v>
      </c>
      <c r="P13818">
        <v>0</v>
      </c>
      <c r="Q13818">
        <v>11</v>
      </c>
      <c r="R13818" t="s">
        <v>47444</v>
      </c>
      <c r="S13818" t="s">
        <v>48135</v>
      </c>
      <c r="T13818" t="s">
        <v>49073</v>
      </c>
      <c r="U13818" t="s">
        <v>60934</v>
      </c>
      <c r="W13818" t="s">
        <v>43135</v>
      </c>
      <c r="X13818" t="s">
        <v>47445</v>
      </c>
    </row>
    <row r="13819" spans="1:24">
      <c r="A13819">
        <f>HYPERLINK("https://www.philgeps.gov.ph/GEPSNONPILOT/Tender/SplashBidNoticeAbstractUI.aspx?menuIndex=3&amp;refID=7132302&amp;Result=3","7132302")</f>
        <v>0</v>
      </c>
      <c r="B13819" t="s">
        <v>3765</v>
      </c>
      <c r="C13819" t="s">
        <v>16961</v>
      </c>
      <c r="D13819" t="s">
        <v>19044</v>
      </c>
      <c r="E13819" t="s">
        <v>30923</v>
      </c>
      <c r="F13819" t="s">
        <v>32831</v>
      </c>
      <c r="G13819" t="s">
        <v>32839</v>
      </c>
      <c r="H13819" t="s">
        <v>32849</v>
      </c>
      <c r="I13819" t="s">
        <v>4177</v>
      </c>
      <c r="J13819" t="s">
        <v>41394</v>
      </c>
      <c r="K13819" t="s">
        <v>42747</v>
      </c>
      <c r="M13819" t="s">
        <v>47165</v>
      </c>
      <c r="N13819" t="s">
        <v>47424</v>
      </c>
      <c r="O13819" t="s">
        <v>47425</v>
      </c>
      <c r="P13819">
        <v>0</v>
      </c>
      <c r="Q13819">
        <v>0</v>
      </c>
      <c r="R13819" t="s">
        <v>47444</v>
      </c>
      <c r="S13819" t="s">
        <v>48135</v>
      </c>
      <c r="T13819" t="s">
        <v>49214</v>
      </c>
      <c r="U13819" t="s">
        <v>60935</v>
      </c>
      <c r="W13819" t="s">
        <v>47165</v>
      </c>
      <c r="X13819" t="s">
        <v>47445</v>
      </c>
    </row>
    <row r="13820" spans="1:24">
      <c r="A13820">
        <f>HYPERLINK("https://www.philgeps.gov.ph/GEPSNONPILOT/Tender/SplashBidNoticeAbstractUI.aspx?menuIndex=3&amp;refID=7132048&amp;Result=3","7132048")</f>
        <v>0</v>
      </c>
      <c r="B13820" t="s">
        <v>832</v>
      </c>
      <c r="C13820" t="s">
        <v>16962</v>
      </c>
      <c r="D13820" t="s">
        <v>19101</v>
      </c>
      <c r="E13820" t="s">
        <v>30924</v>
      </c>
      <c r="F13820" t="s">
        <v>32831</v>
      </c>
      <c r="G13820" t="s">
        <v>32839</v>
      </c>
      <c r="H13820" t="s">
        <v>32848</v>
      </c>
      <c r="I13820" t="s">
        <v>32925</v>
      </c>
      <c r="J13820" t="s">
        <v>41395</v>
      </c>
      <c r="K13820" t="s">
        <v>42763</v>
      </c>
      <c r="M13820" t="s">
        <v>44445</v>
      </c>
      <c r="N13820" t="s">
        <v>47424</v>
      </c>
      <c r="O13820" t="s">
        <v>47425</v>
      </c>
      <c r="Q13820">
        <v>13</v>
      </c>
      <c r="R13820" t="s">
        <v>47444</v>
      </c>
      <c r="S13820" t="s">
        <v>48235</v>
      </c>
      <c r="T13820" t="s">
        <v>49097</v>
      </c>
      <c r="U13820" t="s">
        <v>60919</v>
      </c>
      <c r="V13820" t="s">
        <v>63231</v>
      </c>
      <c r="W13820" t="s">
        <v>44445</v>
      </c>
      <c r="X13820" t="s">
        <v>47445</v>
      </c>
    </row>
    <row r="13821" spans="1:24">
      <c r="A13821">
        <f>HYPERLINK("https://www.philgeps.gov.ph/GEPSNONPILOT/Tender/SplashBidNoticeAbstractUI.aspx?menuIndex=3&amp;refID=7131881&amp;Result=3","7131881")</f>
        <v>0</v>
      </c>
      <c r="B13821" t="s">
        <v>3461</v>
      </c>
      <c r="C13821" t="s">
        <v>16963</v>
      </c>
      <c r="D13821" t="s">
        <v>19045</v>
      </c>
      <c r="E13821" t="s">
        <v>30925</v>
      </c>
      <c r="F13821" t="s">
        <v>32833</v>
      </c>
      <c r="G13821" t="s">
        <v>32839</v>
      </c>
      <c r="H13821" t="s">
        <v>32848</v>
      </c>
      <c r="I13821" t="s">
        <v>7416</v>
      </c>
      <c r="J13821" t="s">
        <v>41396</v>
      </c>
      <c r="K13821" t="s">
        <v>42731</v>
      </c>
      <c r="M13821" t="s">
        <v>46803</v>
      </c>
      <c r="N13821" t="s">
        <v>47424</v>
      </c>
      <c r="O13821" t="s">
        <v>47425</v>
      </c>
      <c r="Q13821">
        <v>0</v>
      </c>
      <c r="R13821" t="s">
        <v>47444</v>
      </c>
      <c r="S13821" t="s">
        <v>48236</v>
      </c>
      <c r="T13821" t="s">
        <v>49196</v>
      </c>
      <c r="U13821" t="s">
        <v>60936</v>
      </c>
      <c r="V13821" t="s">
        <v>63928</v>
      </c>
      <c r="W13821" t="s">
        <v>46803</v>
      </c>
      <c r="X13821" t="s">
        <v>47445</v>
      </c>
    </row>
    <row r="13822" spans="1:24">
      <c r="A13822">
        <f>HYPERLINK("https://www.philgeps.gov.ph/GEPSNONPILOT/Tender/SplashBidNoticeAbstractUI.aspx?menuIndex=3&amp;refID=7132172&amp;Result=3","7132172")</f>
        <v>0</v>
      </c>
      <c r="B13822" t="s">
        <v>832</v>
      </c>
      <c r="C13822" t="s">
        <v>16964</v>
      </c>
      <c r="D13822" t="s">
        <v>19101</v>
      </c>
      <c r="E13822" t="s">
        <v>30926</v>
      </c>
      <c r="F13822" t="s">
        <v>32831</v>
      </c>
      <c r="G13822" t="s">
        <v>32839</v>
      </c>
      <c r="H13822" t="s">
        <v>32848</v>
      </c>
      <c r="I13822" t="s">
        <v>32925</v>
      </c>
      <c r="J13822" t="s">
        <v>36317</v>
      </c>
      <c r="K13822" t="s">
        <v>42729</v>
      </c>
      <c r="M13822" t="s">
        <v>44445</v>
      </c>
      <c r="N13822" t="s">
        <v>47424</v>
      </c>
      <c r="O13822" t="s">
        <v>47425</v>
      </c>
      <c r="Q13822">
        <v>4</v>
      </c>
      <c r="R13822" t="s">
        <v>47444</v>
      </c>
      <c r="S13822" t="s">
        <v>48237</v>
      </c>
      <c r="T13822" t="s">
        <v>49171</v>
      </c>
      <c r="U13822" t="s">
        <v>60919</v>
      </c>
      <c r="V13822" t="s">
        <v>63231</v>
      </c>
      <c r="W13822" t="s">
        <v>44445</v>
      </c>
      <c r="X13822" t="s">
        <v>47445</v>
      </c>
    </row>
    <row r="13823" spans="1:24">
      <c r="A13823">
        <f>HYPERLINK("https://www.philgeps.gov.ph/GEPSNONPILOT/Tender/SplashBidNoticeAbstractUI.aspx?menuIndex=3&amp;refID=7132145&amp;Result=3","7132145")</f>
        <v>0</v>
      </c>
      <c r="B13823" t="s">
        <v>2885</v>
      </c>
      <c r="C13823" t="s">
        <v>16965</v>
      </c>
      <c r="D13823" t="s">
        <v>19019</v>
      </c>
      <c r="E13823" t="s">
        <v>26075</v>
      </c>
      <c r="F13823" t="s">
        <v>32831</v>
      </c>
      <c r="G13823" t="s">
        <v>32839</v>
      </c>
      <c r="H13823" t="s">
        <v>32848</v>
      </c>
      <c r="I13823" t="s">
        <v>32949</v>
      </c>
      <c r="J13823" t="s">
        <v>35952</v>
      </c>
      <c r="K13823" t="s">
        <v>42986</v>
      </c>
      <c r="M13823" t="s">
        <v>46124</v>
      </c>
      <c r="N13823" t="s">
        <v>47424</v>
      </c>
      <c r="O13823" t="s">
        <v>47425</v>
      </c>
      <c r="Q13823">
        <v>3</v>
      </c>
      <c r="R13823" t="s">
        <v>47444</v>
      </c>
      <c r="S13823" t="s">
        <v>48238</v>
      </c>
      <c r="T13823" t="s">
        <v>49205</v>
      </c>
      <c r="U13823" t="s">
        <v>60937</v>
      </c>
      <c r="W13823" t="s">
        <v>46124</v>
      </c>
      <c r="X13823" t="s">
        <v>47445</v>
      </c>
    </row>
    <row r="13824" spans="1:24">
      <c r="A13824">
        <f>HYPERLINK("https://www.philgeps.gov.ph/GEPSNONPILOT/Tender/SplashBidNoticeAbstractUI.aspx?menuIndex=3&amp;refID=7132031&amp;Result=3","7132031")</f>
        <v>0</v>
      </c>
      <c r="B13824" t="s">
        <v>3461</v>
      </c>
      <c r="C13824" t="s">
        <v>16966</v>
      </c>
      <c r="D13824" t="s">
        <v>19045</v>
      </c>
      <c r="E13824" t="s">
        <v>30927</v>
      </c>
      <c r="F13824" t="s">
        <v>32833</v>
      </c>
      <c r="G13824" t="s">
        <v>32839</v>
      </c>
      <c r="H13824" t="s">
        <v>32848</v>
      </c>
      <c r="I13824" t="s">
        <v>7416</v>
      </c>
      <c r="J13824" t="s">
        <v>41397</v>
      </c>
      <c r="K13824" t="s">
        <v>42731</v>
      </c>
      <c r="M13824" t="s">
        <v>46803</v>
      </c>
      <c r="N13824" t="s">
        <v>47424</v>
      </c>
      <c r="O13824" t="s">
        <v>47425</v>
      </c>
      <c r="Q13824">
        <v>0</v>
      </c>
      <c r="R13824" t="s">
        <v>47444</v>
      </c>
      <c r="S13824" t="s">
        <v>48239</v>
      </c>
      <c r="T13824" t="s">
        <v>49196</v>
      </c>
      <c r="U13824" t="s">
        <v>59351</v>
      </c>
      <c r="V13824" t="s">
        <v>63928</v>
      </c>
      <c r="W13824" t="s">
        <v>46803</v>
      </c>
      <c r="X13824" t="s">
        <v>47445</v>
      </c>
    </row>
    <row r="13825" spans="1:24">
      <c r="A13825">
        <f>HYPERLINK("https://www.philgeps.gov.ph/GEPSNONPILOT/Tender/SplashBidNoticeAbstractUI.aspx?menuIndex=3&amp;refID=7132043&amp;Result=3","7132043")</f>
        <v>0</v>
      </c>
      <c r="B13825" t="s">
        <v>3755</v>
      </c>
      <c r="C13825" t="s">
        <v>16967</v>
      </c>
      <c r="D13825" t="s">
        <v>19031</v>
      </c>
      <c r="E13825" t="s">
        <v>23632</v>
      </c>
      <c r="F13825" t="s">
        <v>32831</v>
      </c>
      <c r="G13825" t="s">
        <v>32839</v>
      </c>
      <c r="H13825" t="s">
        <v>32849</v>
      </c>
      <c r="I13825" t="s">
        <v>4177</v>
      </c>
      <c r="J13825" t="s">
        <v>34447</v>
      </c>
      <c r="K13825" t="s">
        <v>42862</v>
      </c>
      <c r="M13825" t="s">
        <v>47154</v>
      </c>
      <c r="N13825" t="s">
        <v>47424</v>
      </c>
      <c r="O13825" t="s">
        <v>47425</v>
      </c>
      <c r="P13825">
        <v>0</v>
      </c>
      <c r="Q13825">
        <v>1</v>
      </c>
      <c r="R13825" t="s">
        <v>47444</v>
      </c>
      <c r="S13825" t="s">
        <v>48135</v>
      </c>
      <c r="T13825" t="s">
        <v>49251</v>
      </c>
      <c r="U13825" t="s">
        <v>60938</v>
      </c>
      <c r="W13825" t="s">
        <v>47154</v>
      </c>
      <c r="X13825" t="s">
        <v>47445</v>
      </c>
    </row>
    <row r="13826" spans="1:24">
      <c r="A13826">
        <f>HYPERLINK("https://www.philgeps.gov.ph/GEPSNONPILOT/Tender/SplashBidNoticeAbstractUI.aspx?menuIndex=3&amp;refID=7132158&amp;Result=3","7132158")</f>
        <v>0</v>
      </c>
      <c r="B13826" t="s">
        <v>832</v>
      </c>
      <c r="C13826" t="s">
        <v>16968</v>
      </c>
      <c r="D13826" t="s">
        <v>19101</v>
      </c>
      <c r="E13826" t="s">
        <v>30928</v>
      </c>
      <c r="F13826" t="s">
        <v>32831</v>
      </c>
      <c r="G13826" t="s">
        <v>32839</v>
      </c>
      <c r="H13826" t="s">
        <v>32848</v>
      </c>
      <c r="I13826" t="s">
        <v>32925</v>
      </c>
      <c r="J13826" t="s">
        <v>41398</v>
      </c>
      <c r="K13826" t="s">
        <v>42729</v>
      </c>
      <c r="M13826" t="s">
        <v>44445</v>
      </c>
      <c r="N13826" t="s">
        <v>47424</v>
      </c>
      <c r="O13826" t="s">
        <v>47425</v>
      </c>
      <c r="Q13826">
        <v>5</v>
      </c>
      <c r="R13826" t="s">
        <v>47444</v>
      </c>
      <c r="S13826" t="s">
        <v>48240</v>
      </c>
      <c r="T13826" t="s">
        <v>49171</v>
      </c>
      <c r="U13826" t="s">
        <v>60919</v>
      </c>
      <c r="V13826" t="s">
        <v>63231</v>
      </c>
      <c r="W13826" t="s">
        <v>44445</v>
      </c>
      <c r="X13826" t="s">
        <v>47445</v>
      </c>
    </row>
    <row r="13827" spans="1:24">
      <c r="A13827">
        <f>HYPERLINK("https://www.philgeps.gov.ph/GEPSNONPILOT/Tender/SplashBidNoticeAbstractUI.aspx?menuIndex=3&amp;refID=7132513&amp;Result=3","7132513")</f>
        <v>0</v>
      </c>
      <c r="B13827" t="s">
        <v>3766</v>
      </c>
      <c r="C13827" t="s">
        <v>16969</v>
      </c>
      <c r="D13827" t="s">
        <v>19066</v>
      </c>
      <c r="E13827" t="s">
        <v>30929</v>
      </c>
      <c r="F13827" t="s">
        <v>32831</v>
      </c>
      <c r="G13827" t="s">
        <v>32839</v>
      </c>
      <c r="H13827" t="s">
        <v>32848</v>
      </c>
      <c r="I13827" t="s">
        <v>32862</v>
      </c>
      <c r="J13827" t="s">
        <v>41399</v>
      </c>
      <c r="K13827" t="s">
        <v>42731</v>
      </c>
      <c r="M13827" t="s">
        <v>47166</v>
      </c>
      <c r="N13827" t="s">
        <v>47424</v>
      </c>
      <c r="O13827" t="s">
        <v>47425</v>
      </c>
      <c r="P13827">
        <v>0</v>
      </c>
      <c r="Q13827">
        <v>1</v>
      </c>
      <c r="R13827" t="s">
        <v>47444</v>
      </c>
      <c r="S13827" t="s">
        <v>48135</v>
      </c>
      <c r="T13827" t="s">
        <v>49127</v>
      </c>
      <c r="U13827" t="s">
        <v>60939</v>
      </c>
      <c r="V13827" t="s">
        <v>64189</v>
      </c>
      <c r="W13827" t="s">
        <v>47166</v>
      </c>
      <c r="X13827" t="s">
        <v>47445</v>
      </c>
    </row>
    <row r="13828" spans="1:24">
      <c r="A13828">
        <f>HYPERLINK("https://www.philgeps.gov.ph/GEPSNONPILOT/Tender/SplashBidNoticeAbstractUI.aspx?menuIndex=3&amp;refID=7132501&amp;Result=3","7132501")</f>
        <v>0</v>
      </c>
      <c r="B13828" t="s">
        <v>1854</v>
      </c>
      <c r="C13828" t="s">
        <v>6518</v>
      </c>
      <c r="D13828" t="s">
        <v>19037</v>
      </c>
      <c r="E13828" t="s">
        <v>30930</v>
      </c>
      <c r="F13828" t="s">
        <v>32831</v>
      </c>
      <c r="G13828" t="s">
        <v>32839</v>
      </c>
      <c r="H13828" t="s">
        <v>32848</v>
      </c>
      <c r="I13828" t="s">
        <v>4487</v>
      </c>
      <c r="J13828" t="s">
        <v>41400</v>
      </c>
      <c r="K13828" t="s">
        <v>42730</v>
      </c>
      <c r="M13828" t="s">
        <v>47167</v>
      </c>
      <c r="N13828" t="s">
        <v>47424</v>
      </c>
      <c r="O13828" t="s">
        <v>47425</v>
      </c>
      <c r="Q13828">
        <v>7</v>
      </c>
      <c r="R13828" t="s">
        <v>47444</v>
      </c>
      <c r="S13828" t="s">
        <v>47930</v>
      </c>
      <c r="T13828" t="s">
        <v>49073</v>
      </c>
      <c r="U13828" t="s">
        <v>60940</v>
      </c>
      <c r="W13828" t="s">
        <v>47167</v>
      </c>
      <c r="X13828" t="s">
        <v>47445</v>
      </c>
    </row>
    <row r="13829" spans="1:24">
      <c r="A13829">
        <f>HYPERLINK("https://www.philgeps.gov.ph/GEPSNONPILOT/Tender/SplashBidNoticeAbstractUI.aspx?menuIndex=3&amp;refID=7132508&amp;Result=3","7132508")</f>
        <v>0</v>
      </c>
      <c r="B13829" t="s">
        <v>1854</v>
      </c>
      <c r="C13829" t="s">
        <v>5029</v>
      </c>
      <c r="D13829" t="s">
        <v>19037</v>
      </c>
      <c r="E13829" t="s">
        <v>30931</v>
      </c>
      <c r="F13829" t="s">
        <v>32831</v>
      </c>
      <c r="G13829" t="s">
        <v>32839</v>
      </c>
      <c r="H13829" t="s">
        <v>32848</v>
      </c>
      <c r="I13829" t="s">
        <v>9577</v>
      </c>
      <c r="J13829" t="s">
        <v>41401</v>
      </c>
      <c r="K13829" t="s">
        <v>42730</v>
      </c>
      <c r="M13829" t="s">
        <v>47167</v>
      </c>
      <c r="N13829" t="s">
        <v>47424</v>
      </c>
      <c r="O13829" t="s">
        <v>47425</v>
      </c>
      <c r="Q13829">
        <v>6</v>
      </c>
      <c r="R13829" t="s">
        <v>47444</v>
      </c>
      <c r="S13829" t="s">
        <v>47845</v>
      </c>
      <c r="T13829" t="s">
        <v>49066</v>
      </c>
      <c r="U13829" t="s">
        <v>51393</v>
      </c>
      <c r="W13829" t="s">
        <v>47167</v>
      </c>
      <c r="X13829" t="s">
        <v>47445</v>
      </c>
    </row>
    <row r="13830" spans="1:24">
      <c r="A13830">
        <f>HYPERLINK("https://www.philgeps.gov.ph/GEPSNONPILOT/Tender/SplashBidNoticeAbstractUI.aspx?menuIndex=3&amp;refID=7132468&amp;Result=3","7132468")</f>
        <v>0</v>
      </c>
      <c r="B13830" t="s">
        <v>858</v>
      </c>
      <c r="C13830" t="s">
        <v>16970</v>
      </c>
      <c r="D13830" t="s">
        <v>19017</v>
      </c>
      <c r="E13830" t="s">
        <v>30932</v>
      </c>
      <c r="F13830" t="s">
        <v>32831</v>
      </c>
      <c r="G13830" t="s">
        <v>32839</v>
      </c>
      <c r="H13830" t="s">
        <v>32848</v>
      </c>
      <c r="I13830" t="s">
        <v>4487</v>
      </c>
      <c r="J13830" t="s">
        <v>41402</v>
      </c>
      <c r="K13830" t="s">
        <v>42775</v>
      </c>
      <c r="M13830" t="s">
        <v>43954</v>
      </c>
      <c r="N13830" t="s">
        <v>47424</v>
      </c>
      <c r="O13830" t="s">
        <v>47425</v>
      </c>
      <c r="Q13830">
        <v>37</v>
      </c>
      <c r="R13830" t="s">
        <v>47444</v>
      </c>
      <c r="S13830" t="s">
        <v>48241</v>
      </c>
      <c r="T13830" t="s">
        <v>49594</v>
      </c>
      <c r="U13830" t="s">
        <v>60941</v>
      </c>
      <c r="W13830" t="s">
        <v>43954</v>
      </c>
      <c r="X13830" t="s">
        <v>47445</v>
      </c>
    </row>
    <row r="13831" spans="1:24">
      <c r="A13831">
        <f>HYPERLINK("https://www.philgeps.gov.ph/GEPSNONPILOT/Tender/SplashBidNoticeAbstractUI.aspx?menuIndex=3&amp;refID=7132476&amp;Result=3","7132476")</f>
        <v>0</v>
      </c>
      <c r="B13831" t="s">
        <v>2873</v>
      </c>
      <c r="C13831" t="s">
        <v>16971</v>
      </c>
      <c r="E13831" t="s">
        <v>30933</v>
      </c>
      <c r="F13831" t="s">
        <v>32831</v>
      </c>
      <c r="G13831" t="s">
        <v>32839</v>
      </c>
      <c r="H13831" t="s">
        <v>32848</v>
      </c>
      <c r="I13831" t="s">
        <v>32883</v>
      </c>
      <c r="J13831" t="s">
        <v>34565</v>
      </c>
      <c r="K13831" t="s">
        <v>42732</v>
      </c>
      <c r="M13831" t="s">
        <v>46108</v>
      </c>
      <c r="N13831" t="s">
        <v>47424</v>
      </c>
      <c r="O13831" t="s">
        <v>47425</v>
      </c>
      <c r="Q13831">
        <v>7</v>
      </c>
      <c r="R13831" t="s">
        <v>47444</v>
      </c>
      <c r="S13831" t="s">
        <v>48242</v>
      </c>
      <c r="T13831" t="s">
        <v>49069</v>
      </c>
      <c r="U13831" t="s">
        <v>60942</v>
      </c>
      <c r="W13831" t="s">
        <v>46108</v>
      </c>
      <c r="X13831" t="s">
        <v>47445</v>
      </c>
    </row>
    <row r="13832" spans="1:24">
      <c r="A13832">
        <f>HYPERLINK("https://www.philgeps.gov.ph/GEPSNONPILOT/Tender/SplashBidNoticeAbstractUI.aspx?menuIndex=3&amp;refID=7132467&amp;Result=3","7132467")</f>
        <v>0</v>
      </c>
      <c r="B13832" t="s">
        <v>2873</v>
      </c>
      <c r="C13832" t="s">
        <v>16972</v>
      </c>
      <c r="E13832" t="s">
        <v>30934</v>
      </c>
      <c r="F13832" t="s">
        <v>32831</v>
      </c>
      <c r="G13832" t="s">
        <v>32839</v>
      </c>
      <c r="H13832" t="s">
        <v>32848</v>
      </c>
      <c r="I13832" t="s">
        <v>32859</v>
      </c>
      <c r="J13832" t="s">
        <v>41403</v>
      </c>
      <c r="K13832" t="s">
        <v>42732</v>
      </c>
      <c r="M13832" t="s">
        <v>46108</v>
      </c>
      <c r="N13832" t="s">
        <v>47424</v>
      </c>
      <c r="O13832" t="s">
        <v>47425</v>
      </c>
      <c r="Q13832">
        <v>5</v>
      </c>
      <c r="R13832" t="s">
        <v>47444</v>
      </c>
      <c r="S13832" t="s">
        <v>48243</v>
      </c>
      <c r="T13832" t="s">
        <v>49069</v>
      </c>
      <c r="U13832" t="s">
        <v>60943</v>
      </c>
      <c r="W13832" t="s">
        <v>46108</v>
      </c>
      <c r="X13832" t="s">
        <v>47445</v>
      </c>
    </row>
    <row r="13833" spans="1:24">
      <c r="A13833">
        <f>HYPERLINK("https://www.philgeps.gov.ph/GEPSNONPILOT/Tender/SplashBidNoticeAbstractUI.aspx?menuIndex=3&amp;refID=7132032&amp;Result=3","7132032")</f>
        <v>0</v>
      </c>
      <c r="B13833" t="s">
        <v>832</v>
      </c>
      <c r="C13833" t="s">
        <v>16973</v>
      </c>
      <c r="D13833" t="s">
        <v>19101</v>
      </c>
      <c r="E13833" t="s">
        <v>30935</v>
      </c>
      <c r="F13833" t="s">
        <v>32831</v>
      </c>
      <c r="G13833" t="s">
        <v>32839</v>
      </c>
      <c r="H13833" t="s">
        <v>32848</v>
      </c>
      <c r="I13833" t="s">
        <v>32925</v>
      </c>
      <c r="J13833" t="s">
        <v>41404</v>
      </c>
      <c r="K13833" t="s">
        <v>42729</v>
      </c>
      <c r="M13833" t="s">
        <v>44445</v>
      </c>
      <c r="N13833" t="s">
        <v>47424</v>
      </c>
      <c r="O13833" t="s">
        <v>47425</v>
      </c>
      <c r="Q13833">
        <v>5</v>
      </c>
      <c r="R13833" t="s">
        <v>47444</v>
      </c>
      <c r="S13833" t="s">
        <v>48244</v>
      </c>
      <c r="T13833" t="s">
        <v>49097</v>
      </c>
      <c r="U13833" t="s">
        <v>60919</v>
      </c>
      <c r="V13833" t="s">
        <v>63231</v>
      </c>
      <c r="W13833" t="s">
        <v>44445</v>
      </c>
      <c r="X13833" t="s">
        <v>47445</v>
      </c>
    </row>
    <row r="13834" spans="1:24">
      <c r="A13834">
        <f>HYPERLINK("https://www.philgeps.gov.ph/GEPSNONPILOT/Tender/SplashBidNoticeAbstractUI.aspx?menuIndex=3&amp;refID=7132452&amp;Result=3","7132452")</f>
        <v>0</v>
      </c>
      <c r="B13834" t="s">
        <v>858</v>
      </c>
      <c r="C13834" t="s">
        <v>16974</v>
      </c>
      <c r="D13834" t="s">
        <v>19017</v>
      </c>
      <c r="E13834" t="s">
        <v>30936</v>
      </c>
      <c r="F13834" t="s">
        <v>32831</v>
      </c>
      <c r="G13834" t="s">
        <v>32839</v>
      </c>
      <c r="H13834" t="s">
        <v>32848</v>
      </c>
      <c r="I13834" t="s">
        <v>32864</v>
      </c>
      <c r="J13834" t="s">
        <v>34729</v>
      </c>
      <c r="K13834" t="s">
        <v>42730</v>
      </c>
      <c r="M13834" t="s">
        <v>43938</v>
      </c>
      <c r="N13834" t="s">
        <v>47424</v>
      </c>
      <c r="O13834" t="s">
        <v>47425</v>
      </c>
      <c r="Q13834">
        <v>37</v>
      </c>
      <c r="R13834" t="s">
        <v>47444</v>
      </c>
      <c r="S13834" t="s">
        <v>48245</v>
      </c>
      <c r="T13834" t="s">
        <v>49594</v>
      </c>
      <c r="U13834" t="s">
        <v>60944</v>
      </c>
      <c r="W13834" t="s">
        <v>43938</v>
      </c>
      <c r="X13834" t="s">
        <v>47445</v>
      </c>
    </row>
    <row r="13835" spans="1:24">
      <c r="A13835">
        <f>HYPERLINK("https://www.philgeps.gov.ph/GEPSNONPILOT/Tender/SplashBidNoticeAbstractUI.aspx?menuIndex=3&amp;refID=7132451&amp;Result=3","7132451")</f>
        <v>0</v>
      </c>
      <c r="B13835" t="s">
        <v>2873</v>
      </c>
      <c r="C13835" t="s">
        <v>16975</v>
      </c>
      <c r="E13835" t="s">
        <v>30937</v>
      </c>
      <c r="F13835" t="s">
        <v>32831</v>
      </c>
      <c r="G13835" t="s">
        <v>32839</v>
      </c>
      <c r="H13835" t="s">
        <v>32848</v>
      </c>
      <c r="I13835" t="s">
        <v>32859</v>
      </c>
      <c r="J13835" t="s">
        <v>41405</v>
      </c>
      <c r="K13835" t="s">
        <v>42732</v>
      </c>
      <c r="M13835" t="s">
        <v>46108</v>
      </c>
      <c r="N13835" t="s">
        <v>47424</v>
      </c>
      <c r="O13835" t="s">
        <v>47425</v>
      </c>
      <c r="Q13835">
        <v>2</v>
      </c>
      <c r="R13835" t="s">
        <v>47444</v>
      </c>
      <c r="S13835" t="s">
        <v>48246</v>
      </c>
      <c r="T13835" t="s">
        <v>49069</v>
      </c>
      <c r="U13835" t="s">
        <v>60945</v>
      </c>
      <c r="W13835" t="s">
        <v>46108</v>
      </c>
      <c r="X13835" t="s">
        <v>47445</v>
      </c>
    </row>
    <row r="13836" spans="1:24">
      <c r="A13836">
        <f>HYPERLINK("https://www.philgeps.gov.ph/GEPSNONPILOT/Tender/SplashBidNoticeAbstractUI.aspx?menuIndex=3&amp;refID=7132447&amp;Result=3","7132447")</f>
        <v>0</v>
      </c>
      <c r="B13836" t="s">
        <v>3767</v>
      </c>
      <c r="C13836" t="s">
        <v>10853</v>
      </c>
      <c r="D13836" t="s">
        <v>19026</v>
      </c>
      <c r="E13836" t="s">
        <v>25531</v>
      </c>
      <c r="F13836" t="s">
        <v>32831</v>
      </c>
      <c r="G13836" t="s">
        <v>32839</v>
      </c>
      <c r="H13836" t="s">
        <v>32849</v>
      </c>
      <c r="I13836" t="s">
        <v>4177</v>
      </c>
      <c r="J13836" t="s">
        <v>41406</v>
      </c>
      <c r="K13836" t="s">
        <v>42729</v>
      </c>
      <c r="M13836" t="s">
        <v>47168</v>
      </c>
      <c r="N13836" t="s">
        <v>47424</v>
      </c>
      <c r="O13836" t="s">
        <v>47425</v>
      </c>
      <c r="P13836">
        <v>0</v>
      </c>
      <c r="Q13836">
        <v>14</v>
      </c>
      <c r="R13836" t="s">
        <v>47444</v>
      </c>
      <c r="S13836" t="s">
        <v>48135</v>
      </c>
      <c r="T13836" t="s">
        <v>49177</v>
      </c>
      <c r="U13836" t="s">
        <v>59093</v>
      </c>
      <c r="W13836" t="s">
        <v>47168</v>
      </c>
      <c r="X13836" t="s">
        <v>47445</v>
      </c>
    </row>
    <row r="13837" spans="1:24">
      <c r="A13837">
        <f>HYPERLINK("https://www.philgeps.gov.ph/GEPSNONPILOT/Tender/SplashBidNoticeAbstractUI.aspx?menuIndex=3&amp;refID=7132506&amp;Result=3","7132506")</f>
        <v>0</v>
      </c>
      <c r="B13837" t="s">
        <v>2873</v>
      </c>
      <c r="C13837" t="s">
        <v>16976</v>
      </c>
      <c r="E13837" t="s">
        <v>30938</v>
      </c>
      <c r="F13837" t="s">
        <v>32831</v>
      </c>
      <c r="G13837" t="s">
        <v>32839</v>
      </c>
      <c r="H13837" t="s">
        <v>32848</v>
      </c>
      <c r="I13837" t="s">
        <v>32859</v>
      </c>
      <c r="J13837" t="s">
        <v>34342</v>
      </c>
      <c r="K13837" t="s">
        <v>42732</v>
      </c>
      <c r="M13837" t="s">
        <v>46108</v>
      </c>
      <c r="N13837" t="s">
        <v>47424</v>
      </c>
      <c r="O13837" t="s">
        <v>47425</v>
      </c>
      <c r="Q13837">
        <v>1</v>
      </c>
      <c r="R13837" t="s">
        <v>47444</v>
      </c>
      <c r="S13837" t="s">
        <v>48247</v>
      </c>
      <c r="T13837" t="s">
        <v>49069</v>
      </c>
      <c r="U13837" t="s">
        <v>60946</v>
      </c>
      <c r="W13837" t="s">
        <v>46108</v>
      </c>
      <c r="X13837" t="s">
        <v>47445</v>
      </c>
    </row>
    <row r="13838" spans="1:24">
      <c r="A13838">
        <f>HYPERLINK("https://www.philgeps.gov.ph/GEPSNONPILOT/Tender/SplashBidNoticeAbstractUI.aspx?menuIndex=3&amp;refID=7132425&amp;Result=3","7132425")</f>
        <v>0</v>
      </c>
      <c r="B13838" t="s">
        <v>1587</v>
      </c>
      <c r="C13838" t="s">
        <v>16977</v>
      </c>
      <c r="D13838" t="s">
        <v>19057</v>
      </c>
      <c r="E13838" t="s">
        <v>30939</v>
      </c>
      <c r="F13838" t="s">
        <v>32831</v>
      </c>
      <c r="G13838" t="s">
        <v>32838</v>
      </c>
      <c r="H13838" t="s">
        <v>32848</v>
      </c>
      <c r="I13838" t="s">
        <v>32879</v>
      </c>
      <c r="J13838" t="s">
        <v>41407</v>
      </c>
      <c r="K13838" t="s">
        <v>42745</v>
      </c>
      <c r="L13838" t="s">
        <v>1587</v>
      </c>
      <c r="M13838" t="s">
        <v>45444</v>
      </c>
      <c r="N13838" t="s">
        <v>47424</v>
      </c>
      <c r="O13838" t="s">
        <v>47425</v>
      </c>
      <c r="P13838">
        <v>0</v>
      </c>
      <c r="Q13838">
        <v>6</v>
      </c>
      <c r="R13838" t="s">
        <v>47444</v>
      </c>
      <c r="S13838" t="s">
        <v>48135</v>
      </c>
      <c r="T13838" t="s">
        <v>49214</v>
      </c>
      <c r="U13838" t="s">
        <v>60947</v>
      </c>
      <c r="W13838" t="s">
        <v>45444</v>
      </c>
      <c r="X13838" t="s">
        <v>47445</v>
      </c>
    </row>
    <row r="13839" spans="1:24">
      <c r="A13839">
        <f>HYPERLINK("https://www.philgeps.gov.ph/GEPSNONPILOT/Tender/SplashBidNoticeAbstractUI.aspx?menuIndex=3&amp;refID=7132418&amp;Result=3","7132418")</f>
        <v>0</v>
      </c>
      <c r="B13839" t="s">
        <v>1227</v>
      </c>
      <c r="C13839" t="s">
        <v>16978</v>
      </c>
      <c r="D13839" t="s">
        <v>19062</v>
      </c>
      <c r="E13839" t="s">
        <v>30940</v>
      </c>
      <c r="F13839" t="s">
        <v>32831</v>
      </c>
      <c r="G13839" t="s">
        <v>32845</v>
      </c>
      <c r="H13839" t="s">
        <v>32849</v>
      </c>
      <c r="I13839" t="s">
        <v>4177</v>
      </c>
      <c r="J13839" t="s">
        <v>33707</v>
      </c>
      <c r="K13839" t="s">
        <v>42826</v>
      </c>
      <c r="M13839" t="s">
        <v>46159</v>
      </c>
      <c r="N13839" t="s">
        <v>47424</v>
      </c>
      <c r="O13839" t="s">
        <v>47425</v>
      </c>
      <c r="P13839">
        <v>0</v>
      </c>
      <c r="Q13839">
        <v>10</v>
      </c>
      <c r="R13839" t="s">
        <v>47444</v>
      </c>
      <c r="S13839" t="s">
        <v>48135</v>
      </c>
      <c r="T13839" t="s">
        <v>49373</v>
      </c>
      <c r="U13839" t="s">
        <v>60948</v>
      </c>
      <c r="V13839" t="s">
        <v>62932</v>
      </c>
      <c r="W13839" t="s">
        <v>44296</v>
      </c>
      <c r="X13839" t="s">
        <v>47445</v>
      </c>
    </row>
    <row r="13840" spans="1:24">
      <c r="A13840">
        <f>HYPERLINK("https://www.philgeps.gov.ph/GEPSNONPILOT/Tender/SplashBidNoticeAbstractUI.aspx?menuIndex=3&amp;refID=7132612&amp;Result=3","7132612")</f>
        <v>0</v>
      </c>
      <c r="B13840" t="s">
        <v>2107</v>
      </c>
      <c r="C13840" t="s">
        <v>16979</v>
      </c>
      <c r="D13840" t="s">
        <v>19100</v>
      </c>
      <c r="E13840" t="s">
        <v>30941</v>
      </c>
      <c r="F13840" t="s">
        <v>32831</v>
      </c>
      <c r="G13840" t="s">
        <v>32839</v>
      </c>
      <c r="H13840" t="s">
        <v>32848</v>
      </c>
      <c r="I13840" t="s">
        <v>9577</v>
      </c>
      <c r="J13840" t="s">
        <v>34818</v>
      </c>
      <c r="K13840" t="s">
        <v>42727</v>
      </c>
      <c r="M13840" t="s">
        <v>45281</v>
      </c>
      <c r="N13840" t="s">
        <v>47424</v>
      </c>
      <c r="O13840" t="s">
        <v>47425</v>
      </c>
      <c r="P13840">
        <v>0</v>
      </c>
      <c r="Q13840">
        <v>0</v>
      </c>
      <c r="R13840" t="s">
        <v>47444</v>
      </c>
      <c r="S13840" t="s">
        <v>48135</v>
      </c>
      <c r="T13840" t="s">
        <v>49214</v>
      </c>
      <c r="U13840" t="s">
        <v>54545</v>
      </c>
      <c r="W13840" t="s">
        <v>45281</v>
      </c>
      <c r="X13840" t="s">
        <v>47445</v>
      </c>
    </row>
    <row r="13841" spans="1:24">
      <c r="A13841">
        <f>HYPERLINK("https://www.philgeps.gov.ph/GEPSNONPILOT/Tender/SplashBidNoticeAbstractUI.aspx?menuIndex=3&amp;refID=7132628&amp;Result=3","7132628")</f>
        <v>0</v>
      </c>
      <c r="B13841" t="s">
        <v>3766</v>
      </c>
      <c r="C13841" t="s">
        <v>16980</v>
      </c>
      <c r="D13841" t="s">
        <v>19066</v>
      </c>
      <c r="E13841" t="s">
        <v>30942</v>
      </c>
      <c r="F13841" t="s">
        <v>32831</v>
      </c>
      <c r="G13841" t="s">
        <v>32839</v>
      </c>
      <c r="H13841" t="s">
        <v>32848</v>
      </c>
      <c r="I13841" t="s">
        <v>10805</v>
      </c>
      <c r="J13841" t="s">
        <v>41408</v>
      </c>
      <c r="K13841" t="s">
        <v>42731</v>
      </c>
      <c r="M13841" t="s">
        <v>47166</v>
      </c>
      <c r="N13841" t="s">
        <v>47424</v>
      </c>
      <c r="O13841" t="s">
        <v>47425</v>
      </c>
      <c r="P13841">
        <v>0</v>
      </c>
      <c r="Q13841">
        <v>3</v>
      </c>
      <c r="R13841" t="s">
        <v>47444</v>
      </c>
      <c r="S13841" t="s">
        <v>48135</v>
      </c>
      <c r="T13841" t="s">
        <v>49127</v>
      </c>
      <c r="U13841" t="s">
        <v>60949</v>
      </c>
      <c r="V13841" t="s">
        <v>64189</v>
      </c>
      <c r="W13841" t="s">
        <v>47166</v>
      </c>
      <c r="X13841" t="s">
        <v>47445</v>
      </c>
    </row>
    <row r="13842" spans="1:24">
      <c r="A13842">
        <f>HYPERLINK("https://www.philgeps.gov.ph/GEPSNONPILOT/Tender/SplashBidNoticeAbstractUI.aspx?menuIndex=3&amp;refID=7132460&amp;Result=3","7132460")</f>
        <v>0</v>
      </c>
      <c r="B13842" t="s">
        <v>2873</v>
      </c>
      <c r="C13842" t="s">
        <v>16981</v>
      </c>
      <c r="E13842" t="s">
        <v>30943</v>
      </c>
      <c r="F13842" t="s">
        <v>32831</v>
      </c>
      <c r="G13842" t="s">
        <v>32839</v>
      </c>
      <c r="H13842" t="s">
        <v>32848</v>
      </c>
      <c r="I13842" t="s">
        <v>32890</v>
      </c>
      <c r="J13842" t="s">
        <v>37382</v>
      </c>
      <c r="K13842" t="s">
        <v>42732</v>
      </c>
      <c r="M13842" t="s">
        <v>46108</v>
      </c>
      <c r="N13842" t="s">
        <v>47424</v>
      </c>
      <c r="O13842" t="s">
        <v>47425</v>
      </c>
      <c r="Q13842">
        <v>4</v>
      </c>
      <c r="R13842" t="s">
        <v>47444</v>
      </c>
      <c r="S13842" t="s">
        <v>48248</v>
      </c>
      <c r="T13842" t="s">
        <v>49069</v>
      </c>
      <c r="U13842" t="s">
        <v>60950</v>
      </c>
      <c r="W13842" t="s">
        <v>46108</v>
      </c>
      <c r="X13842" t="s">
        <v>47445</v>
      </c>
    </row>
    <row r="13843" spans="1:24">
      <c r="A13843">
        <f>HYPERLINK("https://www.philgeps.gov.ph/GEPSNONPILOT/Tender/SplashBidNoticeAbstractUI.aspx?menuIndex=3&amp;refID=7132617&amp;Result=3","7132617")</f>
        <v>0</v>
      </c>
      <c r="B13843" t="s">
        <v>3768</v>
      </c>
      <c r="C13843" t="s">
        <v>16982</v>
      </c>
      <c r="D13843" t="s">
        <v>19055</v>
      </c>
      <c r="E13843" t="s">
        <v>30944</v>
      </c>
      <c r="F13843" t="s">
        <v>32831</v>
      </c>
      <c r="G13843" t="s">
        <v>32839</v>
      </c>
      <c r="H13843" t="s">
        <v>32849</v>
      </c>
      <c r="I13843" t="s">
        <v>4177</v>
      </c>
      <c r="J13843" t="s">
        <v>36338</v>
      </c>
      <c r="K13843" t="s">
        <v>42943</v>
      </c>
      <c r="M13843" t="s">
        <v>47169</v>
      </c>
      <c r="N13843" t="s">
        <v>47424</v>
      </c>
      <c r="O13843" t="s">
        <v>47425</v>
      </c>
      <c r="P13843">
        <v>0</v>
      </c>
      <c r="Q13843">
        <v>1</v>
      </c>
      <c r="R13843" t="s">
        <v>47444</v>
      </c>
      <c r="S13843" t="s">
        <v>48135</v>
      </c>
      <c r="T13843" t="s">
        <v>49237</v>
      </c>
      <c r="U13843" t="s">
        <v>60951</v>
      </c>
      <c r="W13843" t="s">
        <v>47169</v>
      </c>
      <c r="X13843" t="s">
        <v>47445</v>
      </c>
    </row>
    <row r="13844" spans="1:24">
      <c r="A13844">
        <f>HYPERLINK("https://www.philgeps.gov.ph/GEPSNONPILOT/Tender/SplashBidNoticeAbstractUI.aspx?menuIndex=3&amp;refID=7132615&amp;Result=3","7132615")</f>
        <v>0</v>
      </c>
      <c r="B13844" t="s">
        <v>3766</v>
      </c>
      <c r="C13844" t="s">
        <v>16983</v>
      </c>
      <c r="D13844" t="s">
        <v>19066</v>
      </c>
      <c r="E13844" t="s">
        <v>30945</v>
      </c>
      <c r="F13844" t="s">
        <v>32831</v>
      </c>
      <c r="G13844" t="s">
        <v>32839</v>
      </c>
      <c r="H13844" t="s">
        <v>32848</v>
      </c>
      <c r="I13844" t="s">
        <v>32870</v>
      </c>
      <c r="J13844" t="s">
        <v>41409</v>
      </c>
      <c r="K13844" t="s">
        <v>42730</v>
      </c>
      <c r="M13844" t="s">
        <v>47166</v>
      </c>
      <c r="N13844" t="s">
        <v>47424</v>
      </c>
      <c r="O13844" t="s">
        <v>47425</v>
      </c>
      <c r="P13844">
        <v>0</v>
      </c>
      <c r="Q13844">
        <v>0</v>
      </c>
      <c r="R13844" t="s">
        <v>47444</v>
      </c>
      <c r="S13844" t="s">
        <v>48135</v>
      </c>
      <c r="T13844" t="s">
        <v>49127</v>
      </c>
      <c r="U13844" t="s">
        <v>60952</v>
      </c>
      <c r="V13844" t="s">
        <v>64189</v>
      </c>
      <c r="W13844" t="s">
        <v>47166</v>
      </c>
      <c r="X13844" t="s">
        <v>47445</v>
      </c>
    </row>
    <row r="13845" spans="1:24">
      <c r="A13845">
        <f>HYPERLINK("https://www.philgeps.gov.ph/GEPSNONPILOT/Tender/SplashBidNoticeAbstractUI.aspx?menuIndex=3&amp;refID=7132621&amp;Result=3","7132621")</f>
        <v>0</v>
      </c>
      <c r="B13845" t="s">
        <v>3766</v>
      </c>
      <c r="C13845" t="s">
        <v>16984</v>
      </c>
      <c r="D13845" t="s">
        <v>19066</v>
      </c>
      <c r="E13845" t="s">
        <v>30946</v>
      </c>
      <c r="F13845" t="s">
        <v>32831</v>
      </c>
      <c r="G13845" t="s">
        <v>32839</v>
      </c>
      <c r="H13845" t="s">
        <v>32848</v>
      </c>
      <c r="I13845" t="s">
        <v>32870</v>
      </c>
      <c r="J13845" t="s">
        <v>41409</v>
      </c>
      <c r="K13845" t="s">
        <v>42730</v>
      </c>
      <c r="M13845" t="s">
        <v>47166</v>
      </c>
      <c r="N13845" t="s">
        <v>47424</v>
      </c>
      <c r="O13845" t="s">
        <v>47425</v>
      </c>
      <c r="P13845">
        <v>0</v>
      </c>
      <c r="Q13845">
        <v>0</v>
      </c>
      <c r="R13845" t="s">
        <v>47444</v>
      </c>
      <c r="S13845" t="s">
        <v>48135</v>
      </c>
      <c r="T13845" t="s">
        <v>49127</v>
      </c>
      <c r="U13845" t="s">
        <v>60952</v>
      </c>
      <c r="V13845" t="s">
        <v>64189</v>
      </c>
      <c r="W13845" t="s">
        <v>47166</v>
      </c>
      <c r="X13845" t="s">
        <v>47445</v>
      </c>
    </row>
    <row r="13846" spans="1:24">
      <c r="A13846">
        <f>HYPERLINK("https://www.philgeps.gov.ph/GEPSNONPILOT/Tender/SplashBidNoticeAbstractUI.aspx?menuIndex=3&amp;refID=7132614&amp;Result=3","7132614")</f>
        <v>0</v>
      </c>
      <c r="B13846" t="s">
        <v>2107</v>
      </c>
      <c r="C13846" t="s">
        <v>16985</v>
      </c>
      <c r="D13846" t="s">
        <v>19100</v>
      </c>
      <c r="E13846" t="s">
        <v>30947</v>
      </c>
      <c r="F13846" t="s">
        <v>32831</v>
      </c>
      <c r="G13846" t="s">
        <v>32839</v>
      </c>
      <c r="H13846" t="s">
        <v>32848</v>
      </c>
      <c r="I13846" t="s">
        <v>9577</v>
      </c>
      <c r="J13846" t="s">
        <v>34340</v>
      </c>
      <c r="K13846" t="s">
        <v>42727</v>
      </c>
      <c r="M13846" t="s">
        <v>45281</v>
      </c>
      <c r="N13846" t="s">
        <v>47424</v>
      </c>
      <c r="O13846" t="s">
        <v>47425</v>
      </c>
      <c r="P13846">
        <v>0</v>
      </c>
      <c r="Q13846">
        <v>0</v>
      </c>
      <c r="R13846" t="s">
        <v>47444</v>
      </c>
      <c r="S13846" t="s">
        <v>48135</v>
      </c>
      <c r="T13846" t="s">
        <v>49214</v>
      </c>
      <c r="U13846" t="s">
        <v>54545</v>
      </c>
      <c r="W13846" t="s">
        <v>45281</v>
      </c>
      <c r="X13846" t="s">
        <v>47445</v>
      </c>
    </row>
    <row r="13847" spans="1:24">
      <c r="A13847">
        <f>HYPERLINK("https://www.philgeps.gov.ph/GEPSNONPILOT/Tender/SplashBidNoticeAbstractUI.aspx?menuIndex=3&amp;refID=7132611&amp;Result=3","7132611")</f>
        <v>0</v>
      </c>
      <c r="B13847" t="s">
        <v>3766</v>
      </c>
      <c r="C13847" t="s">
        <v>16986</v>
      </c>
      <c r="D13847" t="s">
        <v>19066</v>
      </c>
      <c r="E13847" t="s">
        <v>30948</v>
      </c>
      <c r="F13847" t="s">
        <v>32831</v>
      </c>
      <c r="G13847" t="s">
        <v>32839</v>
      </c>
      <c r="H13847" t="s">
        <v>32848</v>
      </c>
      <c r="I13847" t="s">
        <v>32862</v>
      </c>
      <c r="J13847" t="s">
        <v>41410</v>
      </c>
      <c r="K13847" t="s">
        <v>42731</v>
      </c>
      <c r="M13847" t="s">
        <v>47166</v>
      </c>
      <c r="N13847" t="s">
        <v>47424</v>
      </c>
      <c r="O13847" t="s">
        <v>47425</v>
      </c>
      <c r="P13847">
        <v>0</v>
      </c>
      <c r="Q13847">
        <v>1</v>
      </c>
      <c r="R13847" t="s">
        <v>47444</v>
      </c>
      <c r="S13847" t="s">
        <v>48135</v>
      </c>
      <c r="T13847" t="s">
        <v>49127</v>
      </c>
      <c r="U13847" t="s">
        <v>60953</v>
      </c>
      <c r="V13847" t="s">
        <v>64189</v>
      </c>
      <c r="W13847" t="s">
        <v>47166</v>
      </c>
      <c r="X13847" t="s">
        <v>47445</v>
      </c>
    </row>
    <row r="13848" spans="1:24">
      <c r="A13848">
        <f>HYPERLINK("https://www.philgeps.gov.ph/GEPSNONPILOT/Tender/SplashBidNoticeAbstractUI.aspx?menuIndex=3&amp;refID=7132462&amp;Result=3","7132462")</f>
        <v>0</v>
      </c>
      <c r="B13848" t="s">
        <v>858</v>
      </c>
      <c r="C13848" t="s">
        <v>16987</v>
      </c>
      <c r="D13848" t="s">
        <v>19017</v>
      </c>
      <c r="E13848" t="s">
        <v>30949</v>
      </c>
      <c r="F13848" t="s">
        <v>32831</v>
      </c>
      <c r="G13848" t="s">
        <v>32839</v>
      </c>
      <c r="H13848" t="s">
        <v>32848</v>
      </c>
      <c r="I13848" t="s">
        <v>4776</v>
      </c>
      <c r="J13848" t="s">
        <v>41411</v>
      </c>
      <c r="K13848" t="s">
        <v>42730</v>
      </c>
      <c r="M13848" t="s">
        <v>47170</v>
      </c>
      <c r="N13848" t="s">
        <v>47424</v>
      </c>
      <c r="O13848" t="s">
        <v>47425</v>
      </c>
      <c r="Q13848">
        <v>17</v>
      </c>
      <c r="R13848" t="s">
        <v>47444</v>
      </c>
      <c r="S13848" t="s">
        <v>48249</v>
      </c>
      <c r="T13848" t="s">
        <v>49594</v>
      </c>
      <c r="U13848" t="s">
        <v>60954</v>
      </c>
      <c r="W13848" t="s">
        <v>47170</v>
      </c>
      <c r="X13848" t="s">
        <v>47445</v>
      </c>
    </row>
    <row r="13849" spans="1:24">
      <c r="A13849">
        <f>HYPERLINK("https://www.philgeps.gov.ph/GEPSNONPILOT/Tender/SplashBidNoticeAbstractUI.aspx?menuIndex=3&amp;refID=7132607&amp;Result=3","7132607")</f>
        <v>0</v>
      </c>
      <c r="B13849" t="s">
        <v>2107</v>
      </c>
      <c r="C13849" t="s">
        <v>16988</v>
      </c>
      <c r="D13849" t="s">
        <v>19100</v>
      </c>
      <c r="E13849" t="s">
        <v>30950</v>
      </c>
      <c r="F13849" t="s">
        <v>32831</v>
      </c>
      <c r="G13849" t="s">
        <v>32839</v>
      </c>
      <c r="H13849" t="s">
        <v>32848</v>
      </c>
      <c r="I13849" t="s">
        <v>9577</v>
      </c>
      <c r="J13849" t="s">
        <v>41412</v>
      </c>
      <c r="K13849" t="s">
        <v>42727</v>
      </c>
      <c r="M13849" t="s">
        <v>45281</v>
      </c>
      <c r="N13849" t="s">
        <v>47424</v>
      </c>
      <c r="O13849" t="s">
        <v>47425</v>
      </c>
      <c r="P13849">
        <v>0</v>
      </c>
      <c r="Q13849">
        <v>2</v>
      </c>
      <c r="R13849" t="s">
        <v>47444</v>
      </c>
      <c r="S13849" t="s">
        <v>48135</v>
      </c>
      <c r="T13849" t="s">
        <v>49214</v>
      </c>
      <c r="U13849" t="s">
        <v>54545</v>
      </c>
      <c r="W13849" t="s">
        <v>45281</v>
      </c>
      <c r="X13849" t="s">
        <v>47445</v>
      </c>
    </row>
    <row r="13850" spans="1:24">
      <c r="A13850">
        <f>HYPERLINK("https://www.philgeps.gov.ph/GEPSNONPILOT/Tender/SplashBidNoticeAbstractUI.aspx?menuIndex=3&amp;refID=7132603&amp;Result=3","7132603")</f>
        <v>0</v>
      </c>
      <c r="B13850" t="s">
        <v>2107</v>
      </c>
      <c r="C13850" t="s">
        <v>16989</v>
      </c>
      <c r="D13850" t="s">
        <v>19100</v>
      </c>
      <c r="E13850" t="s">
        <v>30951</v>
      </c>
      <c r="F13850" t="s">
        <v>32831</v>
      </c>
      <c r="G13850" t="s">
        <v>32839</v>
      </c>
      <c r="H13850" t="s">
        <v>32848</v>
      </c>
      <c r="I13850" t="s">
        <v>7416</v>
      </c>
      <c r="J13850" t="s">
        <v>41413</v>
      </c>
      <c r="K13850" t="s">
        <v>42727</v>
      </c>
      <c r="M13850" t="s">
        <v>45281</v>
      </c>
      <c r="N13850" t="s">
        <v>47424</v>
      </c>
      <c r="O13850" t="s">
        <v>47425</v>
      </c>
      <c r="P13850">
        <v>0</v>
      </c>
      <c r="Q13850">
        <v>0</v>
      </c>
      <c r="R13850" t="s">
        <v>47444</v>
      </c>
      <c r="S13850" t="s">
        <v>48135</v>
      </c>
      <c r="T13850" t="s">
        <v>49214</v>
      </c>
      <c r="U13850" t="s">
        <v>54545</v>
      </c>
      <c r="W13850" t="s">
        <v>45281</v>
      </c>
      <c r="X13850" t="s">
        <v>47445</v>
      </c>
    </row>
    <row r="13851" spans="1:24">
      <c r="A13851">
        <f>HYPERLINK("https://www.philgeps.gov.ph/GEPSNONPILOT/Tender/SplashBidNoticeAbstractUI.aspx?menuIndex=3&amp;refID=7132602&amp;Result=3","7132602")</f>
        <v>0</v>
      </c>
      <c r="B13851" t="s">
        <v>2107</v>
      </c>
      <c r="C13851" t="s">
        <v>16990</v>
      </c>
      <c r="D13851" t="s">
        <v>19100</v>
      </c>
      <c r="E13851" t="s">
        <v>30952</v>
      </c>
      <c r="F13851" t="s">
        <v>32831</v>
      </c>
      <c r="G13851" t="s">
        <v>32839</v>
      </c>
      <c r="H13851" t="s">
        <v>32848</v>
      </c>
      <c r="I13851" t="s">
        <v>32862</v>
      </c>
      <c r="J13851" t="s">
        <v>34818</v>
      </c>
      <c r="K13851" t="s">
        <v>42727</v>
      </c>
      <c r="M13851" t="s">
        <v>45281</v>
      </c>
      <c r="N13851" t="s">
        <v>47424</v>
      </c>
      <c r="O13851" t="s">
        <v>47425</v>
      </c>
      <c r="P13851">
        <v>0</v>
      </c>
      <c r="Q13851">
        <v>0</v>
      </c>
      <c r="R13851" t="s">
        <v>47444</v>
      </c>
      <c r="S13851" t="s">
        <v>48135</v>
      </c>
      <c r="T13851" t="s">
        <v>49214</v>
      </c>
      <c r="U13851" t="s">
        <v>54545</v>
      </c>
      <c r="W13851" t="s">
        <v>45281</v>
      </c>
      <c r="X13851" t="s">
        <v>47445</v>
      </c>
    </row>
    <row r="13852" spans="1:24">
      <c r="A13852">
        <f>HYPERLINK("https://www.philgeps.gov.ph/GEPSNONPILOT/Tender/SplashBidNoticeAbstractUI.aspx?menuIndex=3&amp;refID=7132597&amp;Result=3","7132597")</f>
        <v>0</v>
      </c>
      <c r="B13852" t="s">
        <v>3769</v>
      </c>
      <c r="C13852" t="s">
        <v>16991</v>
      </c>
      <c r="D13852" t="s">
        <v>19027</v>
      </c>
      <c r="E13852" t="s">
        <v>30953</v>
      </c>
      <c r="F13852" t="s">
        <v>32832</v>
      </c>
      <c r="G13852" t="s">
        <v>32839</v>
      </c>
      <c r="H13852" t="s">
        <v>32848</v>
      </c>
      <c r="I13852" t="s">
        <v>32852</v>
      </c>
      <c r="J13852" t="s">
        <v>33087</v>
      </c>
      <c r="K13852" t="s">
        <v>42726</v>
      </c>
      <c r="M13852" t="s">
        <v>47171</v>
      </c>
      <c r="N13852" t="s">
        <v>47424</v>
      </c>
      <c r="O13852" t="s">
        <v>47425</v>
      </c>
      <c r="P13852">
        <v>0</v>
      </c>
      <c r="Q13852">
        <v>1</v>
      </c>
      <c r="R13852" t="s">
        <v>47444</v>
      </c>
      <c r="S13852" t="s">
        <v>48135</v>
      </c>
      <c r="T13852" t="s">
        <v>49198</v>
      </c>
      <c r="U13852" t="s">
        <v>60955</v>
      </c>
      <c r="W13852" t="s">
        <v>47171</v>
      </c>
      <c r="X13852" t="s">
        <v>47445</v>
      </c>
    </row>
    <row r="13853" spans="1:24">
      <c r="A13853">
        <f>HYPERLINK("https://www.philgeps.gov.ph/GEPSNONPILOT/Tender/SplashBidNoticeAbstractUI.aspx?menuIndex=3&amp;refID=7132625&amp;Result=3","7132625")</f>
        <v>0</v>
      </c>
      <c r="B13853" t="s">
        <v>3768</v>
      </c>
      <c r="C13853" t="s">
        <v>16992</v>
      </c>
      <c r="D13853" t="s">
        <v>19055</v>
      </c>
      <c r="E13853" t="s">
        <v>30954</v>
      </c>
      <c r="F13853" t="s">
        <v>32831</v>
      </c>
      <c r="G13853" t="s">
        <v>32839</v>
      </c>
      <c r="H13853" t="s">
        <v>32849</v>
      </c>
      <c r="I13853" t="s">
        <v>4177</v>
      </c>
      <c r="J13853" t="s">
        <v>41414</v>
      </c>
      <c r="K13853" t="s">
        <v>42757</v>
      </c>
      <c r="M13853" t="s">
        <v>47169</v>
      </c>
      <c r="N13853" t="s">
        <v>47424</v>
      </c>
      <c r="O13853" t="s">
        <v>47425</v>
      </c>
      <c r="P13853">
        <v>0</v>
      </c>
      <c r="Q13853">
        <v>0</v>
      </c>
      <c r="R13853" t="s">
        <v>47444</v>
      </c>
      <c r="S13853" t="s">
        <v>48135</v>
      </c>
      <c r="T13853" t="s">
        <v>49237</v>
      </c>
      <c r="U13853" t="s">
        <v>60956</v>
      </c>
      <c r="W13853" t="s">
        <v>47169</v>
      </c>
      <c r="X13853" t="s">
        <v>47445</v>
      </c>
    </row>
    <row r="13854" spans="1:24">
      <c r="A13854">
        <f>HYPERLINK("https://www.philgeps.gov.ph/GEPSNONPILOT/Tender/SplashBidNoticeAbstractUI.aspx?menuIndex=3&amp;refID=7112691&amp;Result=3","7112691")</f>
        <v>0</v>
      </c>
      <c r="B13854" t="s">
        <v>3770</v>
      </c>
      <c r="C13854" t="s">
        <v>16993</v>
      </c>
      <c r="D13854" t="s">
        <v>19023</v>
      </c>
      <c r="E13854" t="s">
        <v>30955</v>
      </c>
      <c r="F13854" t="s">
        <v>32831</v>
      </c>
      <c r="G13854" t="s">
        <v>32839</v>
      </c>
      <c r="H13854" t="s">
        <v>32849</v>
      </c>
      <c r="I13854" t="s">
        <v>32852</v>
      </c>
      <c r="J13854" t="s">
        <v>41415</v>
      </c>
      <c r="K13854" t="s">
        <v>42726</v>
      </c>
      <c r="M13854" t="s">
        <v>47172</v>
      </c>
      <c r="N13854" t="s">
        <v>47424</v>
      </c>
      <c r="O13854" t="s">
        <v>47425</v>
      </c>
      <c r="P13854">
        <v>0</v>
      </c>
      <c r="Q13854">
        <v>1</v>
      </c>
      <c r="R13854" t="s">
        <v>47445</v>
      </c>
      <c r="S13854" t="s">
        <v>48250</v>
      </c>
      <c r="T13854" t="s">
        <v>49056</v>
      </c>
      <c r="U13854" t="s">
        <v>60957</v>
      </c>
      <c r="W13854" t="s">
        <v>47172</v>
      </c>
      <c r="X13854" t="s">
        <v>47453</v>
      </c>
    </row>
    <row r="13855" spans="1:24">
      <c r="A13855">
        <f>HYPERLINK("https://www.philgeps.gov.ph/GEPSNONPILOT/Tender/SplashBidNoticeAbstractUI.aspx?menuIndex=3&amp;refID=7132495&amp;Result=3","7132495")</f>
        <v>0</v>
      </c>
      <c r="B13855" t="s">
        <v>2071</v>
      </c>
      <c r="C13855" t="s">
        <v>16994</v>
      </c>
      <c r="D13855" t="s">
        <v>19056</v>
      </c>
      <c r="E13855" t="s">
        <v>30956</v>
      </c>
      <c r="F13855" t="s">
        <v>32831</v>
      </c>
      <c r="G13855" t="s">
        <v>32839</v>
      </c>
      <c r="H13855" t="s">
        <v>32848</v>
      </c>
      <c r="I13855" t="s">
        <v>4776</v>
      </c>
      <c r="J13855" t="s">
        <v>41416</v>
      </c>
      <c r="K13855" t="s">
        <v>42730</v>
      </c>
      <c r="M13855" t="s">
        <v>45241</v>
      </c>
      <c r="N13855" t="s">
        <v>47424</v>
      </c>
      <c r="O13855" t="s">
        <v>47425</v>
      </c>
      <c r="P13855">
        <v>0</v>
      </c>
      <c r="Q13855">
        <v>7</v>
      </c>
      <c r="R13855" t="s">
        <v>47444</v>
      </c>
      <c r="S13855" t="s">
        <v>48135</v>
      </c>
      <c r="T13855" t="s">
        <v>49056</v>
      </c>
      <c r="U13855" t="s">
        <v>55989</v>
      </c>
      <c r="W13855" t="s">
        <v>45241</v>
      </c>
      <c r="X13855" t="s">
        <v>47445</v>
      </c>
    </row>
    <row r="13856" spans="1:24">
      <c r="A13856">
        <f>HYPERLINK("https://www.philgeps.gov.ph/GEPSNONPILOT/Tender/SplashBidNoticeAbstractUI.aspx?menuIndex=3&amp;refID=7119842&amp;Result=3","7119842")</f>
        <v>0</v>
      </c>
      <c r="B13856" t="s">
        <v>3256</v>
      </c>
      <c r="C13856" t="s">
        <v>16995</v>
      </c>
      <c r="D13856" t="s">
        <v>19040</v>
      </c>
      <c r="E13856" t="s">
        <v>30957</v>
      </c>
      <c r="F13856" t="s">
        <v>32831</v>
      </c>
      <c r="G13856" t="s">
        <v>32839</v>
      </c>
      <c r="H13856" t="s">
        <v>32849</v>
      </c>
      <c r="I13856" t="s">
        <v>4177</v>
      </c>
      <c r="J13856" t="s">
        <v>39594</v>
      </c>
      <c r="K13856" t="s">
        <v>42771</v>
      </c>
      <c r="M13856" t="s">
        <v>46572</v>
      </c>
      <c r="N13856" t="s">
        <v>47424</v>
      </c>
      <c r="O13856" t="s">
        <v>47425</v>
      </c>
      <c r="P13856">
        <v>0</v>
      </c>
      <c r="Q13856">
        <v>1</v>
      </c>
      <c r="R13856" t="s">
        <v>47445</v>
      </c>
      <c r="S13856" t="s">
        <v>48250</v>
      </c>
      <c r="T13856" t="s">
        <v>49111</v>
      </c>
      <c r="U13856" t="s">
        <v>60958</v>
      </c>
      <c r="V13856" t="s">
        <v>64190</v>
      </c>
      <c r="W13856" t="s">
        <v>46572</v>
      </c>
      <c r="X13856" t="s">
        <v>47449</v>
      </c>
    </row>
    <row r="13857" spans="1:24">
      <c r="A13857">
        <f>HYPERLINK("https://www.philgeps.gov.ph/GEPSNONPILOT/Tender/SplashBidNoticeAbstractUI.aspx?menuIndex=3&amp;refID=7132487&amp;Result=3","7132487")</f>
        <v>0</v>
      </c>
      <c r="B13857" t="s">
        <v>2873</v>
      </c>
      <c r="C13857" t="s">
        <v>16996</v>
      </c>
      <c r="E13857" t="s">
        <v>30958</v>
      </c>
      <c r="F13857" t="s">
        <v>32831</v>
      </c>
      <c r="G13857" t="s">
        <v>32839</v>
      </c>
      <c r="H13857" t="s">
        <v>32848</v>
      </c>
      <c r="I13857" t="s">
        <v>32875</v>
      </c>
      <c r="J13857" t="s">
        <v>41417</v>
      </c>
      <c r="K13857" t="s">
        <v>42732</v>
      </c>
      <c r="M13857" t="s">
        <v>46108</v>
      </c>
      <c r="N13857" t="s">
        <v>47424</v>
      </c>
      <c r="O13857" t="s">
        <v>47425</v>
      </c>
      <c r="Q13857">
        <v>2</v>
      </c>
      <c r="R13857" t="s">
        <v>47444</v>
      </c>
      <c r="S13857" t="s">
        <v>48251</v>
      </c>
      <c r="T13857" t="s">
        <v>49069</v>
      </c>
      <c r="U13857" t="s">
        <v>60959</v>
      </c>
      <c r="W13857" t="s">
        <v>46108</v>
      </c>
      <c r="X13857" t="s">
        <v>47445</v>
      </c>
    </row>
    <row r="13858" spans="1:24">
      <c r="A13858">
        <f>HYPERLINK("https://www.philgeps.gov.ph/GEPSNONPILOT/Tender/SplashBidNoticeAbstractUI.aspx?menuIndex=3&amp;refID=7119815&amp;Result=3","7119815")</f>
        <v>0</v>
      </c>
      <c r="B13858" t="s">
        <v>3256</v>
      </c>
      <c r="C13858" t="s">
        <v>16997</v>
      </c>
      <c r="D13858" t="s">
        <v>19040</v>
      </c>
      <c r="E13858" t="s">
        <v>30959</v>
      </c>
      <c r="F13858" t="s">
        <v>32831</v>
      </c>
      <c r="G13858" t="s">
        <v>32839</v>
      </c>
      <c r="H13858" t="s">
        <v>32849</v>
      </c>
      <c r="I13858" t="s">
        <v>4177</v>
      </c>
      <c r="J13858" t="s">
        <v>39594</v>
      </c>
      <c r="K13858" t="s">
        <v>42771</v>
      </c>
      <c r="M13858" t="s">
        <v>46572</v>
      </c>
      <c r="N13858" t="s">
        <v>47424</v>
      </c>
      <c r="O13858" t="s">
        <v>47425</v>
      </c>
      <c r="Q13858">
        <v>0</v>
      </c>
      <c r="R13858" t="s">
        <v>47445</v>
      </c>
      <c r="S13858" t="s">
        <v>48252</v>
      </c>
      <c r="T13858" t="s">
        <v>49104</v>
      </c>
      <c r="U13858" t="s">
        <v>60958</v>
      </c>
      <c r="V13858" t="s">
        <v>64191</v>
      </c>
      <c r="W13858" t="s">
        <v>46572</v>
      </c>
      <c r="X13858" t="s">
        <v>47449</v>
      </c>
    </row>
    <row r="13859" spans="1:24">
      <c r="A13859">
        <f>HYPERLINK("https://www.philgeps.gov.ph/GEPSNONPILOT/Tender/SplashBidNoticeAbstractUI.aspx?menuIndex=3&amp;refID=7119833&amp;Result=3","7119833")</f>
        <v>0</v>
      </c>
      <c r="B13859" t="s">
        <v>3256</v>
      </c>
      <c r="C13859" t="s">
        <v>16998</v>
      </c>
      <c r="D13859" t="s">
        <v>19040</v>
      </c>
      <c r="E13859" t="s">
        <v>30960</v>
      </c>
      <c r="F13859" t="s">
        <v>32831</v>
      </c>
      <c r="G13859" t="s">
        <v>32839</v>
      </c>
      <c r="H13859" t="s">
        <v>32849</v>
      </c>
      <c r="I13859" t="s">
        <v>4177</v>
      </c>
      <c r="J13859" t="s">
        <v>39594</v>
      </c>
      <c r="K13859" t="s">
        <v>42771</v>
      </c>
      <c r="M13859" t="s">
        <v>46572</v>
      </c>
      <c r="N13859" t="s">
        <v>47424</v>
      </c>
      <c r="O13859" t="s">
        <v>47425</v>
      </c>
      <c r="P13859">
        <v>0</v>
      </c>
      <c r="Q13859">
        <v>0</v>
      </c>
      <c r="R13859" t="s">
        <v>47445</v>
      </c>
      <c r="S13859" t="s">
        <v>48250</v>
      </c>
      <c r="T13859" t="s">
        <v>49111</v>
      </c>
      <c r="U13859" t="s">
        <v>60958</v>
      </c>
      <c r="V13859" t="s">
        <v>64192</v>
      </c>
      <c r="W13859" t="s">
        <v>46572</v>
      </c>
      <c r="X13859" t="s">
        <v>47449</v>
      </c>
    </row>
    <row r="13860" spans="1:24">
      <c r="A13860">
        <f>HYPERLINK("https://www.philgeps.gov.ph/GEPSNONPILOT/Tender/SplashBidNoticeAbstractUI.aspx?menuIndex=3&amp;refID=7132209&amp;Result=3","7132209")</f>
        <v>0</v>
      </c>
      <c r="B13860" t="s">
        <v>1098</v>
      </c>
      <c r="C13860" t="s">
        <v>16999</v>
      </c>
      <c r="D13860" t="s">
        <v>19017</v>
      </c>
      <c r="E13860" t="s">
        <v>30961</v>
      </c>
      <c r="F13860" t="s">
        <v>32831</v>
      </c>
      <c r="G13860" t="s">
        <v>32839</v>
      </c>
      <c r="H13860" t="s">
        <v>32849</v>
      </c>
      <c r="I13860" t="s">
        <v>4177</v>
      </c>
      <c r="J13860" t="s">
        <v>41418</v>
      </c>
      <c r="K13860" t="s">
        <v>42780</v>
      </c>
      <c r="M13860" t="s">
        <v>44157</v>
      </c>
      <c r="N13860" t="s">
        <v>47424</v>
      </c>
      <c r="O13860" t="s">
        <v>47425</v>
      </c>
      <c r="P13860">
        <v>0</v>
      </c>
      <c r="Q13860">
        <v>13</v>
      </c>
      <c r="R13860" t="s">
        <v>47444</v>
      </c>
      <c r="S13860" t="s">
        <v>48135</v>
      </c>
      <c r="T13860" t="s">
        <v>49073</v>
      </c>
      <c r="U13860" t="s">
        <v>60960</v>
      </c>
      <c r="V13860" t="s">
        <v>62889</v>
      </c>
      <c r="W13860" t="s">
        <v>44157</v>
      </c>
      <c r="X13860" t="s">
        <v>47445</v>
      </c>
    </row>
    <row r="13861" spans="1:24">
      <c r="A13861">
        <f>HYPERLINK("https://www.philgeps.gov.ph/GEPSNONPILOT/Tender/SplashBidNoticeAbstractUI.aspx?menuIndex=3&amp;refID=7119837&amp;Result=3","7119837")</f>
        <v>0</v>
      </c>
      <c r="B13861" t="s">
        <v>3256</v>
      </c>
      <c r="C13861" t="s">
        <v>17000</v>
      </c>
      <c r="D13861" t="s">
        <v>19040</v>
      </c>
      <c r="E13861" t="s">
        <v>30962</v>
      </c>
      <c r="F13861" t="s">
        <v>32831</v>
      </c>
      <c r="G13861" t="s">
        <v>32839</v>
      </c>
      <c r="H13861" t="s">
        <v>32849</v>
      </c>
      <c r="I13861" t="s">
        <v>4177</v>
      </c>
      <c r="J13861" t="s">
        <v>41344</v>
      </c>
      <c r="K13861" t="s">
        <v>42967</v>
      </c>
      <c r="M13861" t="s">
        <v>46572</v>
      </c>
      <c r="N13861" t="s">
        <v>47424</v>
      </c>
      <c r="O13861" t="s">
        <v>47425</v>
      </c>
      <c r="Q13861">
        <v>0</v>
      </c>
      <c r="R13861" t="s">
        <v>47445</v>
      </c>
      <c r="S13861" t="s">
        <v>48253</v>
      </c>
      <c r="T13861" t="s">
        <v>49111</v>
      </c>
      <c r="U13861" t="s">
        <v>60958</v>
      </c>
      <c r="V13861" t="s">
        <v>64193</v>
      </c>
      <c r="W13861" t="s">
        <v>46572</v>
      </c>
      <c r="X13861" t="s">
        <v>47449</v>
      </c>
    </row>
    <row r="13862" spans="1:24">
      <c r="A13862">
        <f>HYPERLINK("https://www.philgeps.gov.ph/GEPSNONPILOT/Tender/SplashBidNoticeAbstractUI.aspx?menuIndex=3&amp;refID=7132685&amp;Result=3","7132685")</f>
        <v>0</v>
      </c>
      <c r="B13862" t="s">
        <v>309</v>
      </c>
      <c r="C13862" t="s">
        <v>17001</v>
      </c>
      <c r="D13862" t="s">
        <v>19073</v>
      </c>
      <c r="E13862" t="s">
        <v>30963</v>
      </c>
      <c r="F13862" t="s">
        <v>32831</v>
      </c>
      <c r="G13862" t="s">
        <v>32839</v>
      </c>
      <c r="H13862" t="s">
        <v>32849</v>
      </c>
      <c r="I13862" t="s">
        <v>4177</v>
      </c>
      <c r="J13862" t="s">
        <v>41419</v>
      </c>
      <c r="K13862" t="s">
        <v>42761</v>
      </c>
      <c r="M13862" t="s">
        <v>43311</v>
      </c>
      <c r="N13862" t="s">
        <v>47424</v>
      </c>
      <c r="O13862" t="s">
        <v>47425</v>
      </c>
      <c r="P13862">
        <v>0</v>
      </c>
      <c r="Q13862">
        <v>1</v>
      </c>
      <c r="R13862" t="s">
        <v>47444</v>
      </c>
      <c r="S13862" t="s">
        <v>48135</v>
      </c>
      <c r="T13862" t="s">
        <v>49214</v>
      </c>
      <c r="U13862" t="s">
        <v>60961</v>
      </c>
      <c r="V13862" t="s">
        <v>64194</v>
      </c>
      <c r="W13862" t="s">
        <v>43311</v>
      </c>
      <c r="X13862" t="s">
        <v>47445</v>
      </c>
    </row>
    <row r="13863" spans="1:24">
      <c r="A13863">
        <f>HYPERLINK("https://www.philgeps.gov.ph/GEPSNONPILOT/Tender/SplashBidNoticeAbstractUI.aspx?menuIndex=3&amp;refID=7115540&amp;Result=3","7115540")</f>
        <v>0</v>
      </c>
      <c r="B13863" t="s">
        <v>2378</v>
      </c>
      <c r="C13863" t="s">
        <v>17002</v>
      </c>
      <c r="D13863" t="s">
        <v>19091</v>
      </c>
      <c r="E13863" t="s">
        <v>30964</v>
      </c>
      <c r="F13863" t="s">
        <v>32831</v>
      </c>
      <c r="G13863" t="s">
        <v>32839</v>
      </c>
      <c r="H13863" t="s">
        <v>32849</v>
      </c>
      <c r="I13863" t="s">
        <v>4177</v>
      </c>
      <c r="J13863" t="s">
        <v>41420</v>
      </c>
      <c r="K13863" t="s">
        <v>42780</v>
      </c>
      <c r="M13863" t="s">
        <v>45567</v>
      </c>
      <c r="N13863" t="s">
        <v>47424</v>
      </c>
      <c r="O13863" t="s">
        <v>47425</v>
      </c>
      <c r="Q13863">
        <v>64</v>
      </c>
      <c r="R13863" t="s">
        <v>47445</v>
      </c>
      <c r="S13863" t="s">
        <v>47813</v>
      </c>
      <c r="T13863" t="s">
        <v>49214</v>
      </c>
      <c r="U13863" t="s">
        <v>60962</v>
      </c>
      <c r="W13863" t="s">
        <v>45567</v>
      </c>
      <c r="X13863" t="s">
        <v>47452</v>
      </c>
    </row>
    <row r="13864" spans="1:24">
      <c r="A13864">
        <f>HYPERLINK("https://www.philgeps.gov.ph/GEPSNONPILOT/Tender/SplashBidNoticeAbstractUI.aspx?menuIndex=3&amp;refID=7132684&amp;Result=3","7132684")</f>
        <v>0</v>
      </c>
      <c r="B13864" t="s">
        <v>782</v>
      </c>
      <c r="C13864" t="s">
        <v>17003</v>
      </c>
      <c r="D13864" t="s">
        <v>19023</v>
      </c>
      <c r="E13864" t="s">
        <v>30965</v>
      </c>
      <c r="F13864" t="s">
        <v>32831</v>
      </c>
      <c r="G13864" t="s">
        <v>32839</v>
      </c>
      <c r="H13864" t="s">
        <v>32849</v>
      </c>
      <c r="I13864" t="s">
        <v>4177</v>
      </c>
      <c r="J13864" t="s">
        <v>41421</v>
      </c>
      <c r="K13864" t="s">
        <v>42770</v>
      </c>
      <c r="M13864" t="s">
        <v>43811</v>
      </c>
      <c r="N13864" t="s">
        <v>47424</v>
      </c>
      <c r="O13864" t="s">
        <v>47425</v>
      </c>
      <c r="P13864">
        <v>0</v>
      </c>
      <c r="Q13864">
        <v>0</v>
      </c>
      <c r="R13864" t="s">
        <v>47444</v>
      </c>
      <c r="S13864" t="s">
        <v>48135</v>
      </c>
      <c r="T13864" t="s">
        <v>49061</v>
      </c>
      <c r="U13864" t="s">
        <v>60963</v>
      </c>
      <c r="V13864" t="s">
        <v>64195</v>
      </c>
      <c r="W13864" t="s">
        <v>43811</v>
      </c>
      <c r="X13864" t="s">
        <v>47445</v>
      </c>
    </row>
    <row r="13865" spans="1:24">
      <c r="A13865">
        <f>HYPERLINK("https://www.philgeps.gov.ph/GEPSNONPILOT/Tender/SplashBidNoticeAbstractUI.aspx?menuIndex=3&amp;refID=6930858&amp;Result=3","6930858")</f>
        <v>0</v>
      </c>
      <c r="B13865" t="s">
        <v>2248</v>
      </c>
      <c r="C13865" t="s">
        <v>17004</v>
      </c>
      <c r="D13865" t="s">
        <v>19022</v>
      </c>
      <c r="E13865" t="s">
        <v>30966</v>
      </c>
      <c r="F13865" t="s">
        <v>32831</v>
      </c>
      <c r="G13865" t="s">
        <v>32839</v>
      </c>
      <c r="H13865" t="s">
        <v>32849</v>
      </c>
      <c r="I13865" t="s">
        <v>4177</v>
      </c>
      <c r="J13865" t="s">
        <v>41422</v>
      </c>
      <c r="K13865" t="s">
        <v>42898</v>
      </c>
      <c r="M13865" t="s">
        <v>45429</v>
      </c>
      <c r="N13865" t="s">
        <v>47424</v>
      </c>
      <c r="O13865" t="s">
        <v>47425</v>
      </c>
      <c r="Q13865">
        <v>7</v>
      </c>
      <c r="R13865" t="s">
        <v>47445</v>
      </c>
      <c r="S13865" t="s">
        <v>48254</v>
      </c>
      <c r="T13865" t="s">
        <v>49643</v>
      </c>
      <c r="U13865" t="s">
        <v>60964</v>
      </c>
      <c r="V13865" t="s">
        <v>64196</v>
      </c>
      <c r="W13865" t="s">
        <v>45429</v>
      </c>
      <c r="X13865" t="s">
        <v>47512</v>
      </c>
    </row>
    <row r="13866" spans="1:24">
      <c r="A13866">
        <f>HYPERLINK("https://www.philgeps.gov.ph/GEPSNONPILOT/Tender/SplashBidNoticeAbstractUI.aspx?menuIndex=3&amp;refID=7132653&amp;Result=3","7132653")</f>
        <v>0</v>
      </c>
      <c r="B13866" t="s">
        <v>1261</v>
      </c>
      <c r="C13866" t="s">
        <v>17005</v>
      </c>
      <c r="D13866" t="s">
        <v>19040</v>
      </c>
      <c r="E13866" t="s">
        <v>30967</v>
      </c>
      <c r="F13866" t="s">
        <v>32831</v>
      </c>
      <c r="G13866" t="s">
        <v>32839</v>
      </c>
      <c r="H13866" t="s">
        <v>32848</v>
      </c>
      <c r="I13866" t="s">
        <v>32870</v>
      </c>
      <c r="J13866" t="s">
        <v>41423</v>
      </c>
      <c r="K13866" t="s">
        <v>42729</v>
      </c>
      <c r="M13866" t="s">
        <v>44331</v>
      </c>
      <c r="N13866" t="s">
        <v>47424</v>
      </c>
      <c r="O13866" t="s">
        <v>47425</v>
      </c>
      <c r="P13866">
        <v>0</v>
      </c>
      <c r="Q13866">
        <v>0</v>
      </c>
      <c r="R13866" t="s">
        <v>47444</v>
      </c>
      <c r="S13866" t="s">
        <v>48135</v>
      </c>
      <c r="T13866" t="s">
        <v>49159</v>
      </c>
      <c r="U13866" t="s">
        <v>60965</v>
      </c>
      <c r="W13866" t="s">
        <v>44331</v>
      </c>
      <c r="X13866" t="s">
        <v>47445</v>
      </c>
    </row>
    <row r="13867" spans="1:24">
      <c r="A13867">
        <f>HYPERLINK("https://www.philgeps.gov.ph/GEPSNONPILOT/Tender/SplashBidNoticeAbstractUI.aspx?menuIndex=3&amp;refID=7119822&amp;Result=3","7119822")</f>
        <v>0</v>
      </c>
      <c r="B13867" t="s">
        <v>3256</v>
      </c>
      <c r="C13867" t="s">
        <v>17006</v>
      </c>
      <c r="D13867" t="s">
        <v>19040</v>
      </c>
      <c r="E13867" t="s">
        <v>30968</v>
      </c>
      <c r="F13867" t="s">
        <v>32831</v>
      </c>
      <c r="G13867" t="s">
        <v>32839</v>
      </c>
      <c r="H13867" t="s">
        <v>32849</v>
      </c>
      <c r="I13867" t="s">
        <v>4177</v>
      </c>
      <c r="J13867" t="s">
        <v>41344</v>
      </c>
      <c r="K13867" t="s">
        <v>42987</v>
      </c>
      <c r="M13867" t="s">
        <v>46572</v>
      </c>
      <c r="N13867" t="s">
        <v>47424</v>
      </c>
      <c r="O13867" t="s">
        <v>47425</v>
      </c>
      <c r="Q13867">
        <v>0</v>
      </c>
      <c r="R13867" t="s">
        <v>47445</v>
      </c>
      <c r="S13867" t="s">
        <v>48255</v>
      </c>
      <c r="T13867" t="s">
        <v>49104</v>
      </c>
      <c r="U13867" t="s">
        <v>60958</v>
      </c>
      <c r="V13867" t="s">
        <v>64197</v>
      </c>
      <c r="W13867" t="s">
        <v>46572</v>
      </c>
      <c r="X13867" t="s">
        <v>47449</v>
      </c>
    </row>
    <row r="13868" spans="1:24">
      <c r="A13868">
        <f>HYPERLINK("https://www.philgeps.gov.ph/GEPSNONPILOT/Tender/SplashBidNoticeAbstractUI.aspx?menuIndex=3&amp;refID=7119943&amp;Result=3","7119943")</f>
        <v>0</v>
      </c>
      <c r="B13868" t="s">
        <v>2378</v>
      </c>
      <c r="C13868" t="s">
        <v>17007</v>
      </c>
      <c r="D13868" t="s">
        <v>19091</v>
      </c>
      <c r="E13868" t="s">
        <v>30969</v>
      </c>
      <c r="F13868" t="s">
        <v>32831</v>
      </c>
      <c r="G13868" t="s">
        <v>32839</v>
      </c>
      <c r="H13868" t="s">
        <v>32849</v>
      </c>
      <c r="I13868" t="s">
        <v>4177</v>
      </c>
      <c r="J13868" t="s">
        <v>41424</v>
      </c>
      <c r="K13868" t="s">
        <v>42763</v>
      </c>
      <c r="M13868" t="s">
        <v>45567</v>
      </c>
      <c r="N13868" t="s">
        <v>47424</v>
      </c>
      <c r="O13868" t="s">
        <v>47425</v>
      </c>
      <c r="Q13868">
        <v>57</v>
      </c>
      <c r="R13868" t="s">
        <v>47445</v>
      </c>
      <c r="S13868" t="s">
        <v>48256</v>
      </c>
      <c r="T13868" t="s">
        <v>49214</v>
      </c>
      <c r="U13868" t="s">
        <v>60966</v>
      </c>
      <c r="W13868" t="s">
        <v>45567</v>
      </c>
      <c r="X13868" t="s">
        <v>47449</v>
      </c>
    </row>
    <row r="13869" spans="1:24">
      <c r="A13869">
        <f>HYPERLINK("https://www.philgeps.gov.ph/GEPSNONPILOT/Tender/SplashBidNoticeAbstractUI.aspx?menuIndex=3&amp;refID=7132279&amp;Result=3","7132279")</f>
        <v>0</v>
      </c>
      <c r="B13869" t="s">
        <v>1606</v>
      </c>
      <c r="C13869" t="s">
        <v>17008</v>
      </c>
      <c r="D13869" t="s">
        <v>19017</v>
      </c>
      <c r="E13869" t="s">
        <v>30970</v>
      </c>
      <c r="F13869" t="s">
        <v>32831</v>
      </c>
      <c r="G13869" t="s">
        <v>32839</v>
      </c>
      <c r="H13869" t="s">
        <v>32848</v>
      </c>
      <c r="I13869" t="s">
        <v>32914</v>
      </c>
      <c r="J13869" t="s">
        <v>41425</v>
      </c>
      <c r="K13869" t="s">
        <v>42732</v>
      </c>
      <c r="M13869" t="s">
        <v>44757</v>
      </c>
      <c r="N13869" t="s">
        <v>47424</v>
      </c>
      <c r="O13869" t="s">
        <v>47425</v>
      </c>
      <c r="P13869">
        <v>0</v>
      </c>
      <c r="Q13869">
        <v>6</v>
      </c>
      <c r="R13869" t="s">
        <v>47444</v>
      </c>
      <c r="S13869" t="s">
        <v>48135</v>
      </c>
      <c r="T13869" t="s">
        <v>49172</v>
      </c>
      <c r="U13869" t="s">
        <v>60967</v>
      </c>
      <c r="W13869" t="s">
        <v>44757</v>
      </c>
      <c r="X13869" t="s">
        <v>47445</v>
      </c>
    </row>
    <row r="13870" spans="1:24">
      <c r="A13870">
        <f>HYPERLINK("https://www.philgeps.gov.ph/GEPSNONPILOT/Tender/SplashBidNoticeAbstractUI.aspx?menuIndex=3&amp;refID=7120376&amp;Result=3","7120376")</f>
        <v>0</v>
      </c>
      <c r="B13870" t="s">
        <v>2029</v>
      </c>
      <c r="C13870" t="s">
        <v>17009</v>
      </c>
      <c r="D13870" t="s">
        <v>19067</v>
      </c>
      <c r="E13870" t="s">
        <v>30971</v>
      </c>
      <c r="F13870" t="s">
        <v>32831</v>
      </c>
      <c r="G13870" t="s">
        <v>32839</v>
      </c>
      <c r="H13870" t="s">
        <v>32848</v>
      </c>
      <c r="I13870" t="s">
        <v>7751</v>
      </c>
      <c r="J13870" t="s">
        <v>33032</v>
      </c>
      <c r="K13870" t="s">
        <v>42732</v>
      </c>
      <c r="M13870" t="s">
        <v>45197</v>
      </c>
      <c r="N13870" t="s">
        <v>47424</v>
      </c>
      <c r="O13870" t="s">
        <v>47425</v>
      </c>
      <c r="P13870">
        <v>0</v>
      </c>
      <c r="Q13870">
        <v>2</v>
      </c>
      <c r="R13870" t="s">
        <v>47445</v>
      </c>
      <c r="S13870" t="s">
        <v>48250</v>
      </c>
      <c r="T13870" t="s">
        <v>49107</v>
      </c>
      <c r="U13870" t="s">
        <v>60968</v>
      </c>
      <c r="V13870" t="s">
        <v>64198</v>
      </c>
      <c r="W13870" t="s">
        <v>45197</v>
      </c>
      <c r="X13870" t="s">
        <v>47448</v>
      </c>
    </row>
    <row r="13871" spans="1:24">
      <c r="A13871">
        <f>HYPERLINK("https://www.philgeps.gov.ph/GEPSNONPILOT/Tender/SplashBidNoticeAbstractUI.aspx?menuIndex=3&amp;refID=7132664&amp;Result=3","7132664")</f>
        <v>0</v>
      </c>
      <c r="B13871" t="s">
        <v>1141</v>
      </c>
      <c r="C13871" t="s">
        <v>17010</v>
      </c>
      <c r="D13871" t="s">
        <v>19017</v>
      </c>
      <c r="E13871" t="s">
        <v>30972</v>
      </c>
      <c r="F13871" t="s">
        <v>32831</v>
      </c>
      <c r="G13871" t="s">
        <v>32839</v>
      </c>
      <c r="H13871" t="s">
        <v>32849</v>
      </c>
      <c r="I13871" t="s">
        <v>4177</v>
      </c>
      <c r="J13871" t="s">
        <v>41426</v>
      </c>
      <c r="K13871" t="s">
        <v>42780</v>
      </c>
      <c r="M13871" t="s">
        <v>44205</v>
      </c>
      <c r="N13871" t="s">
        <v>47424</v>
      </c>
      <c r="O13871" t="s">
        <v>47425</v>
      </c>
      <c r="Q13871">
        <v>17</v>
      </c>
      <c r="R13871" t="s">
        <v>47444</v>
      </c>
      <c r="S13871" t="s">
        <v>48257</v>
      </c>
      <c r="T13871" t="s">
        <v>49237</v>
      </c>
      <c r="U13871" t="s">
        <v>51951</v>
      </c>
      <c r="W13871" t="s">
        <v>64459</v>
      </c>
      <c r="X13871" t="s">
        <v>47445</v>
      </c>
    </row>
    <row r="13872" spans="1:24">
      <c r="A13872">
        <f>HYPERLINK("https://www.philgeps.gov.ph/GEPSNONPILOT/Tender/SplashBidNoticeAbstractUI.aspx?menuIndex=3&amp;refID=7132666&amp;Result=3","7132666")</f>
        <v>0</v>
      </c>
      <c r="B13872" t="s">
        <v>1141</v>
      </c>
      <c r="C13872" t="s">
        <v>17011</v>
      </c>
      <c r="D13872" t="s">
        <v>19017</v>
      </c>
      <c r="E13872" t="s">
        <v>30973</v>
      </c>
      <c r="F13872" t="s">
        <v>32831</v>
      </c>
      <c r="G13872" t="s">
        <v>32839</v>
      </c>
      <c r="H13872" t="s">
        <v>32849</v>
      </c>
      <c r="I13872" t="s">
        <v>4177</v>
      </c>
      <c r="J13872" t="s">
        <v>38556</v>
      </c>
      <c r="K13872" t="s">
        <v>42761</v>
      </c>
      <c r="M13872" t="s">
        <v>44205</v>
      </c>
      <c r="N13872" t="s">
        <v>47424</v>
      </c>
      <c r="O13872" t="s">
        <v>47425</v>
      </c>
      <c r="Q13872">
        <v>27</v>
      </c>
      <c r="R13872" t="s">
        <v>47444</v>
      </c>
      <c r="S13872" t="s">
        <v>48258</v>
      </c>
      <c r="T13872" t="s">
        <v>49237</v>
      </c>
      <c r="U13872" t="s">
        <v>51951</v>
      </c>
      <c r="W13872" t="s">
        <v>64459</v>
      </c>
      <c r="X13872" t="s">
        <v>47445</v>
      </c>
    </row>
    <row r="13873" spans="1:24">
      <c r="A13873">
        <f>HYPERLINK("https://www.philgeps.gov.ph/GEPSNONPILOT/Tender/SplashBidNoticeAbstractUI.aspx?menuIndex=3&amp;refID=7119946&amp;Result=3","7119946")</f>
        <v>0</v>
      </c>
      <c r="B13873" t="s">
        <v>2378</v>
      </c>
      <c r="C13873" t="s">
        <v>17012</v>
      </c>
      <c r="D13873" t="s">
        <v>19091</v>
      </c>
      <c r="E13873" t="s">
        <v>30974</v>
      </c>
      <c r="F13873" t="s">
        <v>32831</v>
      </c>
      <c r="G13873" t="s">
        <v>32839</v>
      </c>
      <c r="H13873" t="s">
        <v>32849</v>
      </c>
      <c r="I13873" t="s">
        <v>4177</v>
      </c>
      <c r="J13873" t="s">
        <v>41427</v>
      </c>
      <c r="K13873" t="s">
        <v>42770</v>
      </c>
      <c r="M13873" t="s">
        <v>45567</v>
      </c>
      <c r="N13873" t="s">
        <v>47424</v>
      </c>
      <c r="O13873" t="s">
        <v>47425</v>
      </c>
      <c r="Q13873">
        <v>59</v>
      </c>
      <c r="R13873" t="s">
        <v>47445</v>
      </c>
      <c r="S13873" t="s">
        <v>48259</v>
      </c>
      <c r="T13873" t="s">
        <v>49214</v>
      </c>
      <c r="U13873" t="s">
        <v>60969</v>
      </c>
      <c r="W13873" t="s">
        <v>45567</v>
      </c>
      <c r="X13873" t="s">
        <v>47449</v>
      </c>
    </row>
    <row r="13874" spans="1:24">
      <c r="A13874">
        <f>HYPERLINK("https://www.philgeps.gov.ph/GEPSNONPILOT/Tender/SplashBidNoticeAbstractUI.aspx?menuIndex=3&amp;refID=7119939&amp;Result=3","7119939")</f>
        <v>0</v>
      </c>
      <c r="B13874" t="s">
        <v>2378</v>
      </c>
      <c r="C13874" t="s">
        <v>17013</v>
      </c>
      <c r="D13874" t="s">
        <v>19091</v>
      </c>
      <c r="E13874" t="s">
        <v>30975</v>
      </c>
      <c r="F13874" t="s">
        <v>32831</v>
      </c>
      <c r="G13874" t="s">
        <v>32839</v>
      </c>
      <c r="H13874" t="s">
        <v>32849</v>
      </c>
      <c r="I13874" t="s">
        <v>4177</v>
      </c>
      <c r="J13874" t="s">
        <v>41428</v>
      </c>
      <c r="K13874" t="s">
        <v>42728</v>
      </c>
      <c r="M13874" t="s">
        <v>45567</v>
      </c>
      <c r="N13874" t="s">
        <v>47424</v>
      </c>
      <c r="O13874" t="s">
        <v>47425</v>
      </c>
      <c r="Q13874">
        <v>54</v>
      </c>
      <c r="R13874" t="s">
        <v>47445</v>
      </c>
      <c r="S13874" t="s">
        <v>48260</v>
      </c>
      <c r="T13874" t="s">
        <v>49214</v>
      </c>
      <c r="U13874" t="s">
        <v>60970</v>
      </c>
      <c r="W13874" t="s">
        <v>45567</v>
      </c>
      <c r="X13874" t="s">
        <v>47449</v>
      </c>
    </row>
    <row r="13875" spans="1:24">
      <c r="A13875">
        <f>HYPERLINK("https://www.philgeps.gov.ph/GEPSNONPILOT/Tender/SplashBidNoticeAbstractUI.aspx?menuIndex=3&amp;refID=7119942&amp;Result=3","7119942")</f>
        <v>0</v>
      </c>
      <c r="B13875" t="s">
        <v>2378</v>
      </c>
      <c r="C13875" t="s">
        <v>17014</v>
      </c>
      <c r="D13875" t="s">
        <v>19091</v>
      </c>
      <c r="E13875" t="s">
        <v>30976</v>
      </c>
      <c r="F13875" t="s">
        <v>32831</v>
      </c>
      <c r="G13875" t="s">
        <v>32839</v>
      </c>
      <c r="H13875" t="s">
        <v>32849</v>
      </c>
      <c r="I13875" t="s">
        <v>4177</v>
      </c>
      <c r="J13875" t="s">
        <v>41429</v>
      </c>
      <c r="K13875" t="s">
        <v>42930</v>
      </c>
      <c r="M13875" t="s">
        <v>45567</v>
      </c>
      <c r="N13875" t="s">
        <v>47424</v>
      </c>
      <c r="O13875" t="s">
        <v>47425</v>
      </c>
      <c r="Q13875">
        <v>58</v>
      </c>
      <c r="R13875" t="s">
        <v>47445</v>
      </c>
      <c r="S13875" t="s">
        <v>48261</v>
      </c>
      <c r="T13875" t="s">
        <v>49214</v>
      </c>
      <c r="U13875" t="s">
        <v>60971</v>
      </c>
      <c r="W13875" t="s">
        <v>45567</v>
      </c>
      <c r="X13875" t="s">
        <v>47449</v>
      </c>
    </row>
    <row r="13876" spans="1:24">
      <c r="A13876">
        <f>HYPERLINK("https://www.philgeps.gov.ph/GEPSNONPILOT/Tender/SplashBidNoticeAbstractUI.aspx?menuIndex=3&amp;refID=7119935&amp;Result=3","7119935")</f>
        <v>0</v>
      </c>
      <c r="B13876" t="s">
        <v>2378</v>
      </c>
      <c r="C13876" t="s">
        <v>17015</v>
      </c>
      <c r="D13876" t="s">
        <v>19091</v>
      </c>
      <c r="E13876" t="s">
        <v>30977</v>
      </c>
      <c r="F13876" t="s">
        <v>32831</v>
      </c>
      <c r="G13876" t="s">
        <v>32839</v>
      </c>
      <c r="H13876" t="s">
        <v>32849</v>
      </c>
      <c r="I13876" t="s">
        <v>4177</v>
      </c>
      <c r="J13876" t="s">
        <v>41430</v>
      </c>
      <c r="K13876" t="s">
        <v>42930</v>
      </c>
      <c r="M13876" t="s">
        <v>45567</v>
      </c>
      <c r="N13876" t="s">
        <v>47424</v>
      </c>
      <c r="O13876" t="s">
        <v>47425</v>
      </c>
      <c r="Q13876">
        <v>62</v>
      </c>
      <c r="R13876" t="s">
        <v>47445</v>
      </c>
      <c r="S13876" t="s">
        <v>48262</v>
      </c>
      <c r="T13876" t="s">
        <v>49214</v>
      </c>
      <c r="U13876" t="s">
        <v>60972</v>
      </c>
      <c r="W13876" t="s">
        <v>45567</v>
      </c>
      <c r="X13876" t="s">
        <v>47449</v>
      </c>
    </row>
    <row r="13877" spans="1:24">
      <c r="A13877">
        <f>HYPERLINK("https://www.philgeps.gov.ph/GEPSNONPILOT/Tender/SplashBidNoticeAbstractUI.aspx?menuIndex=3&amp;refID=7119932&amp;Result=3","7119932")</f>
        <v>0</v>
      </c>
      <c r="B13877" t="s">
        <v>2378</v>
      </c>
      <c r="C13877" t="s">
        <v>17016</v>
      </c>
      <c r="D13877" t="s">
        <v>19091</v>
      </c>
      <c r="E13877" t="s">
        <v>30978</v>
      </c>
      <c r="F13877" t="s">
        <v>32831</v>
      </c>
      <c r="G13877" t="s">
        <v>32839</v>
      </c>
      <c r="H13877" t="s">
        <v>32849</v>
      </c>
      <c r="I13877" t="s">
        <v>4177</v>
      </c>
      <c r="J13877" t="s">
        <v>41431</v>
      </c>
      <c r="K13877" t="s">
        <v>42763</v>
      </c>
      <c r="M13877" t="s">
        <v>45567</v>
      </c>
      <c r="N13877" t="s">
        <v>47424</v>
      </c>
      <c r="O13877" t="s">
        <v>47425</v>
      </c>
      <c r="Q13877">
        <v>59</v>
      </c>
      <c r="R13877" t="s">
        <v>47445</v>
      </c>
      <c r="S13877" t="s">
        <v>48114</v>
      </c>
      <c r="T13877" t="s">
        <v>49214</v>
      </c>
      <c r="U13877" t="s">
        <v>60973</v>
      </c>
      <c r="W13877" t="s">
        <v>45567</v>
      </c>
      <c r="X13877" t="s">
        <v>47449</v>
      </c>
    </row>
    <row r="13878" spans="1:24">
      <c r="A13878">
        <f>HYPERLINK("https://www.philgeps.gov.ph/GEPSNONPILOT/Tender/SplashBidNoticeAbstractUI.aspx?menuIndex=3&amp;refID=7119936&amp;Result=3","7119936")</f>
        <v>0</v>
      </c>
      <c r="B13878" t="s">
        <v>2378</v>
      </c>
      <c r="C13878" t="s">
        <v>17017</v>
      </c>
      <c r="D13878" t="s">
        <v>19091</v>
      </c>
      <c r="E13878" t="s">
        <v>30979</v>
      </c>
      <c r="F13878" t="s">
        <v>32831</v>
      </c>
      <c r="G13878" t="s">
        <v>32839</v>
      </c>
      <c r="H13878" t="s">
        <v>32849</v>
      </c>
      <c r="I13878" t="s">
        <v>4177</v>
      </c>
      <c r="J13878" t="s">
        <v>41432</v>
      </c>
      <c r="K13878" t="s">
        <v>42829</v>
      </c>
      <c r="M13878" t="s">
        <v>45567</v>
      </c>
      <c r="N13878" t="s">
        <v>47424</v>
      </c>
      <c r="O13878" t="s">
        <v>47425</v>
      </c>
      <c r="Q13878">
        <v>59</v>
      </c>
      <c r="R13878" t="s">
        <v>47445</v>
      </c>
      <c r="S13878" t="s">
        <v>48263</v>
      </c>
      <c r="T13878" t="s">
        <v>49214</v>
      </c>
      <c r="U13878" t="s">
        <v>60974</v>
      </c>
      <c r="W13878" t="s">
        <v>45567</v>
      </c>
      <c r="X13878" t="s">
        <v>47449</v>
      </c>
    </row>
    <row r="13879" spans="1:24">
      <c r="A13879">
        <f>HYPERLINK("https://www.philgeps.gov.ph/GEPSNONPILOT/Tender/SplashBidNoticeAbstractUI.aspx?menuIndex=3&amp;refID=7119977&amp;Result=3","7119977")</f>
        <v>0</v>
      </c>
      <c r="B13879" t="s">
        <v>3771</v>
      </c>
      <c r="C13879" t="s">
        <v>17018</v>
      </c>
      <c r="D13879" t="s">
        <v>19091</v>
      </c>
      <c r="E13879" t="s">
        <v>30980</v>
      </c>
      <c r="F13879" t="s">
        <v>32831</v>
      </c>
      <c r="G13879" t="s">
        <v>32839</v>
      </c>
      <c r="H13879" t="s">
        <v>32849</v>
      </c>
      <c r="I13879" t="s">
        <v>4177</v>
      </c>
      <c r="J13879" t="s">
        <v>35231</v>
      </c>
      <c r="K13879" t="s">
        <v>42763</v>
      </c>
      <c r="M13879" t="s">
        <v>47173</v>
      </c>
      <c r="N13879" t="s">
        <v>47424</v>
      </c>
      <c r="O13879" t="s">
        <v>47425</v>
      </c>
      <c r="P13879">
        <v>0</v>
      </c>
      <c r="Q13879">
        <v>9</v>
      </c>
      <c r="R13879" t="s">
        <v>47445</v>
      </c>
      <c r="S13879" t="s">
        <v>48250</v>
      </c>
      <c r="T13879" t="s">
        <v>49221</v>
      </c>
      <c r="U13879" t="s">
        <v>60975</v>
      </c>
      <c r="W13879" t="s">
        <v>47173</v>
      </c>
      <c r="X13879" t="s">
        <v>47449</v>
      </c>
    </row>
    <row r="13880" spans="1:24">
      <c r="A13880">
        <f>HYPERLINK("https://www.philgeps.gov.ph/GEPSNONPILOT/Tender/SplashBidNoticeAbstractUI.aspx?menuIndex=3&amp;refID=7119925&amp;Result=3","7119925")</f>
        <v>0</v>
      </c>
      <c r="B13880" t="s">
        <v>2378</v>
      </c>
      <c r="C13880" t="s">
        <v>17019</v>
      </c>
      <c r="D13880" t="s">
        <v>19091</v>
      </c>
      <c r="E13880" t="s">
        <v>30981</v>
      </c>
      <c r="F13880" t="s">
        <v>32831</v>
      </c>
      <c r="G13880" t="s">
        <v>32839</v>
      </c>
      <c r="H13880" t="s">
        <v>32849</v>
      </c>
      <c r="I13880" t="s">
        <v>4177</v>
      </c>
      <c r="J13880" t="s">
        <v>41433</v>
      </c>
      <c r="K13880" t="s">
        <v>42891</v>
      </c>
      <c r="M13880" t="s">
        <v>45567</v>
      </c>
      <c r="N13880" t="s">
        <v>47424</v>
      </c>
      <c r="O13880" t="s">
        <v>47425</v>
      </c>
      <c r="Q13880">
        <v>62</v>
      </c>
      <c r="R13880" t="s">
        <v>47445</v>
      </c>
      <c r="S13880" t="s">
        <v>48264</v>
      </c>
      <c r="T13880" t="s">
        <v>49214</v>
      </c>
      <c r="U13880" t="s">
        <v>60976</v>
      </c>
      <c r="W13880" t="s">
        <v>45567</v>
      </c>
      <c r="X13880" t="s">
        <v>47449</v>
      </c>
    </row>
    <row r="13881" spans="1:24">
      <c r="A13881">
        <f>HYPERLINK("https://www.philgeps.gov.ph/GEPSNONPILOT/Tender/SplashBidNoticeAbstractUI.aspx?menuIndex=3&amp;refID=7119892&amp;Result=3","7119892")</f>
        <v>0</v>
      </c>
      <c r="B13881" t="s">
        <v>3256</v>
      </c>
      <c r="C13881" t="s">
        <v>17020</v>
      </c>
      <c r="D13881" t="s">
        <v>19040</v>
      </c>
      <c r="E13881" t="s">
        <v>30982</v>
      </c>
      <c r="F13881" t="s">
        <v>32831</v>
      </c>
      <c r="G13881" t="s">
        <v>32839</v>
      </c>
      <c r="H13881" t="s">
        <v>32849</v>
      </c>
      <c r="I13881" t="s">
        <v>4177</v>
      </c>
      <c r="J13881" t="s">
        <v>41434</v>
      </c>
      <c r="K13881" t="s">
        <v>42780</v>
      </c>
      <c r="M13881" t="s">
        <v>46572</v>
      </c>
      <c r="N13881" t="s">
        <v>47424</v>
      </c>
      <c r="O13881" t="s">
        <v>47425</v>
      </c>
      <c r="P13881">
        <v>0</v>
      </c>
      <c r="Q13881">
        <v>1</v>
      </c>
      <c r="R13881" t="s">
        <v>47445</v>
      </c>
      <c r="S13881" t="s">
        <v>48250</v>
      </c>
      <c r="T13881" t="s">
        <v>49111</v>
      </c>
      <c r="U13881" t="s">
        <v>60771</v>
      </c>
      <c r="V13881" t="s">
        <v>64199</v>
      </c>
      <c r="W13881" t="s">
        <v>46572</v>
      </c>
      <c r="X13881" t="s">
        <v>47449</v>
      </c>
    </row>
    <row r="13882" spans="1:24">
      <c r="A13882">
        <f>HYPERLINK("https://www.philgeps.gov.ph/GEPSNONPILOT/Tender/SplashBidNoticeAbstractUI.aspx?menuIndex=3&amp;refID=7119921&amp;Result=3","7119921")</f>
        <v>0</v>
      </c>
      <c r="B13882" t="s">
        <v>2378</v>
      </c>
      <c r="C13882" t="s">
        <v>17021</v>
      </c>
      <c r="D13882" t="s">
        <v>19091</v>
      </c>
      <c r="E13882" t="s">
        <v>30983</v>
      </c>
      <c r="F13882" t="s">
        <v>32831</v>
      </c>
      <c r="G13882" t="s">
        <v>32839</v>
      </c>
      <c r="H13882" t="s">
        <v>32849</v>
      </c>
      <c r="I13882" t="s">
        <v>4177</v>
      </c>
      <c r="J13882" t="s">
        <v>41435</v>
      </c>
      <c r="K13882" t="s">
        <v>42728</v>
      </c>
      <c r="M13882" t="s">
        <v>45567</v>
      </c>
      <c r="N13882" t="s">
        <v>47424</v>
      </c>
      <c r="O13882" t="s">
        <v>47425</v>
      </c>
      <c r="Q13882">
        <v>57</v>
      </c>
      <c r="R13882" t="s">
        <v>47445</v>
      </c>
      <c r="S13882" t="s">
        <v>47762</v>
      </c>
      <c r="T13882" t="s">
        <v>49214</v>
      </c>
      <c r="U13882" t="s">
        <v>60977</v>
      </c>
      <c r="W13882" t="s">
        <v>45567</v>
      </c>
      <c r="X13882" t="s">
        <v>47449</v>
      </c>
    </row>
    <row r="13883" spans="1:24">
      <c r="A13883">
        <f>HYPERLINK("https://www.philgeps.gov.ph/GEPSNONPILOT/Tender/SplashBidNoticeAbstractUI.aspx?menuIndex=3&amp;refID=7120234&amp;Result=3","7120234")</f>
        <v>0</v>
      </c>
      <c r="B13883" t="s">
        <v>2029</v>
      </c>
      <c r="C13883" t="s">
        <v>17009</v>
      </c>
      <c r="D13883" t="s">
        <v>19067</v>
      </c>
      <c r="E13883" t="s">
        <v>30984</v>
      </c>
      <c r="F13883" t="s">
        <v>32831</v>
      </c>
      <c r="G13883" t="s">
        <v>32839</v>
      </c>
      <c r="H13883" t="s">
        <v>32848</v>
      </c>
      <c r="I13883" t="s">
        <v>7751</v>
      </c>
      <c r="J13883" t="s">
        <v>33707</v>
      </c>
      <c r="K13883" t="s">
        <v>42732</v>
      </c>
      <c r="M13883" t="s">
        <v>45197</v>
      </c>
      <c r="N13883" t="s">
        <v>47424</v>
      </c>
      <c r="O13883" t="s">
        <v>47425</v>
      </c>
      <c r="P13883">
        <v>0</v>
      </c>
      <c r="Q13883">
        <v>4</v>
      </c>
      <c r="R13883" t="s">
        <v>47445</v>
      </c>
      <c r="S13883" t="s">
        <v>48250</v>
      </c>
      <c r="T13883" t="s">
        <v>49107</v>
      </c>
      <c r="U13883" t="s">
        <v>60978</v>
      </c>
      <c r="V13883" t="s">
        <v>64200</v>
      </c>
      <c r="W13883" t="s">
        <v>45197</v>
      </c>
      <c r="X13883" t="s">
        <v>47448</v>
      </c>
    </row>
    <row r="13884" spans="1:24">
      <c r="A13884">
        <f>HYPERLINK("https://www.philgeps.gov.ph/GEPSNONPILOT/Tender/SplashBidNoticeAbstractUI.aspx?menuIndex=3&amp;refID=7119927&amp;Result=3","7119927")</f>
        <v>0</v>
      </c>
      <c r="B13884" t="s">
        <v>2378</v>
      </c>
      <c r="C13884" t="s">
        <v>17022</v>
      </c>
      <c r="D13884" t="s">
        <v>19091</v>
      </c>
      <c r="E13884" t="s">
        <v>30985</v>
      </c>
      <c r="F13884" t="s">
        <v>32831</v>
      </c>
      <c r="G13884" t="s">
        <v>32839</v>
      </c>
      <c r="H13884" t="s">
        <v>32849</v>
      </c>
      <c r="I13884" t="s">
        <v>4177</v>
      </c>
      <c r="J13884" t="s">
        <v>41436</v>
      </c>
      <c r="K13884" t="s">
        <v>42728</v>
      </c>
      <c r="M13884" t="s">
        <v>45567</v>
      </c>
      <c r="N13884" t="s">
        <v>47424</v>
      </c>
      <c r="O13884" t="s">
        <v>47425</v>
      </c>
      <c r="Q13884">
        <v>55</v>
      </c>
      <c r="R13884" t="s">
        <v>47445</v>
      </c>
      <c r="S13884" t="s">
        <v>48265</v>
      </c>
      <c r="T13884" t="s">
        <v>49114</v>
      </c>
      <c r="U13884" t="s">
        <v>60979</v>
      </c>
      <c r="W13884" t="s">
        <v>45567</v>
      </c>
      <c r="X13884" t="s">
        <v>47449</v>
      </c>
    </row>
    <row r="13885" spans="1:24">
      <c r="A13885">
        <f>HYPERLINK("https://www.philgeps.gov.ph/GEPSNONPILOT/Tender/SplashBidNoticeAbstractUI.aspx?menuIndex=3&amp;refID=7123901&amp;Result=3","7123901")</f>
        <v>0</v>
      </c>
      <c r="B13885" t="s">
        <v>3189</v>
      </c>
      <c r="C13885" t="s">
        <v>17023</v>
      </c>
      <c r="D13885" t="s">
        <v>19037</v>
      </c>
      <c r="E13885" t="s">
        <v>30986</v>
      </c>
      <c r="F13885" t="s">
        <v>32831</v>
      </c>
      <c r="G13885" t="s">
        <v>32839</v>
      </c>
      <c r="H13885" t="s">
        <v>32848</v>
      </c>
      <c r="I13885" t="s">
        <v>7416</v>
      </c>
      <c r="J13885" t="s">
        <v>41437</v>
      </c>
      <c r="K13885" t="s">
        <v>42745</v>
      </c>
      <c r="M13885" t="s">
        <v>46499</v>
      </c>
      <c r="N13885" t="s">
        <v>47424</v>
      </c>
      <c r="O13885" t="s">
        <v>47425</v>
      </c>
      <c r="P13885">
        <v>0</v>
      </c>
      <c r="Q13885">
        <v>3</v>
      </c>
      <c r="R13885" t="s">
        <v>47445</v>
      </c>
      <c r="S13885" t="s">
        <v>48250</v>
      </c>
      <c r="T13885" t="s">
        <v>49073</v>
      </c>
      <c r="U13885" t="s">
        <v>50296</v>
      </c>
      <c r="V13885" t="s">
        <v>63770</v>
      </c>
      <c r="W13885" t="s">
        <v>46499</v>
      </c>
      <c r="X13885" t="s">
        <v>47447</v>
      </c>
    </row>
    <row r="13886" spans="1:24">
      <c r="A13886">
        <f>HYPERLINK("https://www.philgeps.gov.ph/GEPSNONPILOT/Tender/SplashBidNoticeAbstractUI.aspx?menuIndex=3&amp;refID=7120295&amp;Result=3","7120295")</f>
        <v>0</v>
      </c>
      <c r="B13886" t="s">
        <v>2029</v>
      </c>
      <c r="C13886" t="s">
        <v>17009</v>
      </c>
      <c r="D13886" t="s">
        <v>19067</v>
      </c>
      <c r="E13886" t="s">
        <v>30987</v>
      </c>
      <c r="F13886" t="s">
        <v>32831</v>
      </c>
      <c r="G13886" t="s">
        <v>32839</v>
      </c>
      <c r="H13886" t="s">
        <v>32848</v>
      </c>
      <c r="I13886" t="s">
        <v>7751</v>
      </c>
      <c r="J13886" t="s">
        <v>33066</v>
      </c>
      <c r="K13886" t="s">
        <v>42732</v>
      </c>
      <c r="M13886" t="s">
        <v>45197</v>
      </c>
      <c r="N13886" t="s">
        <v>47424</v>
      </c>
      <c r="O13886" t="s">
        <v>47425</v>
      </c>
      <c r="P13886">
        <v>0</v>
      </c>
      <c r="Q13886">
        <v>2</v>
      </c>
      <c r="R13886" t="s">
        <v>47445</v>
      </c>
      <c r="S13886" t="s">
        <v>48250</v>
      </c>
      <c r="T13886" t="s">
        <v>49107</v>
      </c>
      <c r="U13886" t="s">
        <v>60980</v>
      </c>
      <c r="V13886" t="s">
        <v>64201</v>
      </c>
      <c r="W13886" t="s">
        <v>45197</v>
      </c>
      <c r="X13886" t="s">
        <v>47448</v>
      </c>
    </row>
    <row r="13887" spans="1:24">
      <c r="A13887">
        <f>HYPERLINK("https://www.philgeps.gov.ph/GEPSNONPILOT/Tender/SplashBidNoticeAbstractUI.aspx?menuIndex=3&amp;refID=7112704&amp;Result=3","7112704")</f>
        <v>0</v>
      </c>
      <c r="B13887" t="s">
        <v>3770</v>
      </c>
      <c r="C13887" t="s">
        <v>17024</v>
      </c>
      <c r="D13887" t="s">
        <v>19023</v>
      </c>
      <c r="E13887" t="s">
        <v>30988</v>
      </c>
      <c r="F13887" t="s">
        <v>32831</v>
      </c>
      <c r="G13887" t="s">
        <v>32839</v>
      </c>
      <c r="H13887" t="s">
        <v>32849</v>
      </c>
      <c r="I13887" t="s">
        <v>4177</v>
      </c>
      <c r="J13887" t="s">
        <v>40030</v>
      </c>
      <c r="K13887" t="s">
        <v>42727</v>
      </c>
      <c r="M13887" t="s">
        <v>47172</v>
      </c>
      <c r="N13887" t="s">
        <v>47424</v>
      </c>
      <c r="O13887" t="s">
        <v>47425</v>
      </c>
      <c r="P13887">
        <v>0</v>
      </c>
      <c r="Q13887">
        <v>1</v>
      </c>
      <c r="R13887" t="s">
        <v>47445</v>
      </c>
      <c r="S13887" t="s">
        <v>48250</v>
      </c>
      <c r="T13887" t="s">
        <v>49056</v>
      </c>
      <c r="U13887" t="s">
        <v>59076</v>
      </c>
      <c r="W13887" t="s">
        <v>47172</v>
      </c>
      <c r="X13887" t="s">
        <v>47453</v>
      </c>
    </row>
    <row r="13888" spans="1:24">
      <c r="A13888">
        <f>HYPERLINK("https://www.philgeps.gov.ph/GEPSNONPILOT/Tender/SplashBidNoticeAbstractUI.aspx?menuIndex=3&amp;refID=7123793&amp;Result=3","7123793")</f>
        <v>0</v>
      </c>
      <c r="B13888" t="s">
        <v>2029</v>
      </c>
      <c r="C13888" t="s">
        <v>12987</v>
      </c>
      <c r="D13888" t="s">
        <v>19067</v>
      </c>
      <c r="E13888" t="s">
        <v>30989</v>
      </c>
      <c r="F13888" t="s">
        <v>32831</v>
      </c>
      <c r="G13888" t="s">
        <v>32839</v>
      </c>
      <c r="H13888" t="s">
        <v>32848</v>
      </c>
      <c r="I13888" t="s">
        <v>32857</v>
      </c>
      <c r="J13888" t="s">
        <v>32978</v>
      </c>
      <c r="K13888" t="s">
        <v>42732</v>
      </c>
      <c r="M13888" t="s">
        <v>46333</v>
      </c>
      <c r="N13888" t="s">
        <v>47424</v>
      </c>
      <c r="O13888" t="s">
        <v>47425</v>
      </c>
      <c r="P13888">
        <v>0</v>
      </c>
      <c r="Q13888">
        <v>12</v>
      </c>
      <c r="R13888" t="s">
        <v>47445</v>
      </c>
      <c r="S13888" t="s">
        <v>48250</v>
      </c>
      <c r="T13888" t="s">
        <v>49107</v>
      </c>
      <c r="U13888" t="s">
        <v>60981</v>
      </c>
      <c r="W13888" t="s">
        <v>46333</v>
      </c>
      <c r="X13888" t="s">
        <v>47447</v>
      </c>
    </row>
    <row r="13889" spans="1:24">
      <c r="A13889">
        <f>HYPERLINK("https://www.philgeps.gov.ph/GEPSNONPILOT/Tender/SplashBidNoticeAbstractUI.aspx?menuIndex=3&amp;refID=7123704&amp;Result=3","7123704")</f>
        <v>0</v>
      </c>
      <c r="B13889" t="s">
        <v>2192</v>
      </c>
      <c r="C13889" t="s">
        <v>17025</v>
      </c>
      <c r="D13889" t="s">
        <v>19037</v>
      </c>
      <c r="E13889" t="s">
        <v>30990</v>
      </c>
      <c r="F13889" t="s">
        <v>32831</v>
      </c>
      <c r="G13889" t="s">
        <v>32839</v>
      </c>
      <c r="H13889" t="s">
        <v>32848</v>
      </c>
      <c r="I13889" t="s">
        <v>32857</v>
      </c>
      <c r="J13889" t="s">
        <v>33257</v>
      </c>
      <c r="K13889" t="s">
        <v>42731</v>
      </c>
      <c r="M13889" t="s">
        <v>45372</v>
      </c>
      <c r="N13889" t="s">
        <v>47424</v>
      </c>
      <c r="O13889" t="s">
        <v>47425</v>
      </c>
      <c r="P13889">
        <v>0</v>
      </c>
      <c r="Q13889">
        <v>9</v>
      </c>
      <c r="R13889" t="s">
        <v>47445</v>
      </c>
      <c r="S13889" t="s">
        <v>48250</v>
      </c>
      <c r="T13889" t="s">
        <v>49108</v>
      </c>
      <c r="U13889" t="s">
        <v>60982</v>
      </c>
      <c r="W13889" t="s">
        <v>45372</v>
      </c>
      <c r="X13889" t="s">
        <v>47447</v>
      </c>
    </row>
    <row r="13890" spans="1:24">
      <c r="A13890">
        <f>HYPERLINK("https://www.philgeps.gov.ph/GEPSNONPILOT/Tender/SplashBidNoticeAbstractUI.aspx?menuIndex=3&amp;refID=7124212&amp;Result=3","7124212")</f>
        <v>0</v>
      </c>
      <c r="B13890" t="s">
        <v>277</v>
      </c>
      <c r="C13890" t="s">
        <v>17026</v>
      </c>
      <c r="D13890" t="s">
        <v>19068</v>
      </c>
      <c r="E13890" t="s">
        <v>30991</v>
      </c>
      <c r="F13890" t="s">
        <v>32831</v>
      </c>
      <c r="G13890" t="s">
        <v>32839</v>
      </c>
      <c r="H13890" t="s">
        <v>32848</v>
      </c>
      <c r="I13890" t="s">
        <v>7416</v>
      </c>
      <c r="J13890" t="s">
        <v>41438</v>
      </c>
      <c r="K13890" t="s">
        <v>42730</v>
      </c>
      <c r="M13890" t="s">
        <v>43276</v>
      </c>
      <c r="N13890" t="s">
        <v>47424</v>
      </c>
      <c r="O13890" t="s">
        <v>47425</v>
      </c>
      <c r="P13890">
        <v>0</v>
      </c>
      <c r="Q13890">
        <v>1</v>
      </c>
      <c r="R13890" t="s">
        <v>47445</v>
      </c>
      <c r="S13890" t="s">
        <v>48250</v>
      </c>
      <c r="T13890" t="s">
        <v>49214</v>
      </c>
      <c r="U13890" t="s">
        <v>60983</v>
      </c>
      <c r="W13890" t="s">
        <v>43276</v>
      </c>
      <c r="X13890" t="s">
        <v>47447</v>
      </c>
    </row>
    <row r="13891" spans="1:24">
      <c r="A13891">
        <f>HYPERLINK("https://www.philgeps.gov.ph/GEPSNONPILOT/Tender/SplashBidNoticeAbstractUI.aspx?menuIndex=3&amp;refID=7132598&amp;Result=3","7132598")</f>
        <v>0</v>
      </c>
      <c r="B13891" t="s">
        <v>2107</v>
      </c>
      <c r="C13891" t="s">
        <v>17027</v>
      </c>
      <c r="D13891" t="s">
        <v>19100</v>
      </c>
      <c r="E13891" t="s">
        <v>30992</v>
      </c>
      <c r="F13891" t="s">
        <v>32831</v>
      </c>
      <c r="G13891" t="s">
        <v>32839</v>
      </c>
      <c r="H13891" t="s">
        <v>32848</v>
      </c>
      <c r="I13891" t="s">
        <v>32860</v>
      </c>
      <c r="J13891" t="s">
        <v>41439</v>
      </c>
      <c r="K13891" t="s">
        <v>42727</v>
      </c>
      <c r="M13891" t="s">
        <v>45281</v>
      </c>
      <c r="N13891" t="s">
        <v>47424</v>
      </c>
      <c r="O13891" t="s">
        <v>47425</v>
      </c>
      <c r="P13891">
        <v>0</v>
      </c>
      <c r="Q13891">
        <v>1</v>
      </c>
      <c r="R13891" t="s">
        <v>47444</v>
      </c>
      <c r="S13891" t="s">
        <v>48135</v>
      </c>
      <c r="T13891" t="s">
        <v>49214</v>
      </c>
      <c r="U13891" t="s">
        <v>54545</v>
      </c>
      <c r="W13891" t="s">
        <v>45281</v>
      </c>
      <c r="X13891" t="s">
        <v>47445</v>
      </c>
    </row>
    <row r="13892" spans="1:24">
      <c r="A13892">
        <f>HYPERLINK("https://www.philgeps.gov.ph/GEPSNONPILOT/Tender/SplashBidNoticeAbstractUI.aspx?menuIndex=3&amp;refID=7123615&amp;Result=3","7123615")</f>
        <v>0</v>
      </c>
      <c r="B13892" t="s">
        <v>2029</v>
      </c>
      <c r="C13892" t="s">
        <v>8763</v>
      </c>
      <c r="D13892" t="s">
        <v>19067</v>
      </c>
      <c r="E13892" t="s">
        <v>30993</v>
      </c>
      <c r="F13892" t="s">
        <v>32831</v>
      </c>
      <c r="G13892" t="s">
        <v>32839</v>
      </c>
      <c r="H13892" t="s">
        <v>32848</v>
      </c>
      <c r="I13892" t="s">
        <v>4558</v>
      </c>
      <c r="J13892" t="s">
        <v>41440</v>
      </c>
      <c r="K13892" t="s">
        <v>42732</v>
      </c>
      <c r="M13892" t="s">
        <v>46333</v>
      </c>
      <c r="N13892" t="s">
        <v>47424</v>
      </c>
      <c r="O13892" t="s">
        <v>47425</v>
      </c>
      <c r="P13892">
        <v>0</v>
      </c>
      <c r="Q13892">
        <v>6</v>
      </c>
      <c r="R13892" t="s">
        <v>47445</v>
      </c>
      <c r="S13892" t="s">
        <v>48250</v>
      </c>
      <c r="T13892" t="s">
        <v>49107</v>
      </c>
      <c r="U13892" t="s">
        <v>60984</v>
      </c>
      <c r="W13892" t="s">
        <v>46333</v>
      </c>
      <c r="X13892" t="s">
        <v>47447</v>
      </c>
    </row>
    <row r="13893" spans="1:24">
      <c r="A13893">
        <f>HYPERLINK("https://www.philgeps.gov.ph/GEPSNONPILOT/Tender/SplashBidNoticeAbstractUI.aspx?menuIndex=3&amp;refID=7123763&amp;Result=3","7123763")</f>
        <v>0</v>
      </c>
      <c r="B13893" t="s">
        <v>2192</v>
      </c>
      <c r="C13893" t="s">
        <v>17028</v>
      </c>
      <c r="D13893" t="s">
        <v>19037</v>
      </c>
      <c r="E13893" t="s">
        <v>30994</v>
      </c>
      <c r="F13893" t="s">
        <v>32831</v>
      </c>
      <c r="G13893" t="s">
        <v>32839</v>
      </c>
      <c r="H13893" t="s">
        <v>32848</v>
      </c>
      <c r="I13893" t="s">
        <v>7416</v>
      </c>
      <c r="J13893" t="s">
        <v>41441</v>
      </c>
      <c r="K13893" t="s">
        <v>42729</v>
      </c>
      <c r="M13893" t="s">
        <v>45372</v>
      </c>
      <c r="N13893" t="s">
        <v>47424</v>
      </c>
      <c r="O13893" t="s">
        <v>47425</v>
      </c>
      <c r="Q13893">
        <v>2</v>
      </c>
      <c r="R13893" t="s">
        <v>47445</v>
      </c>
      <c r="S13893" t="s">
        <v>48266</v>
      </c>
      <c r="T13893" t="s">
        <v>49108</v>
      </c>
      <c r="U13893" t="s">
        <v>60985</v>
      </c>
      <c r="W13893" t="s">
        <v>45372</v>
      </c>
      <c r="X13893" t="s">
        <v>47447</v>
      </c>
    </row>
    <row r="13894" spans="1:24">
      <c r="A13894">
        <f>HYPERLINK("https://www.philgeps.gov.ph/GEPSNONPILOT/Tender/SplashBidNoticeAbstractUI.aspx?menuIndex=3&amp;refID=7122104&amp;Result=3","7122104")</f>
        <v>0</v>
      </c>
      <c r="B13894" t="s">
        <v>3772</v>
      </c>
      <c r="C13894" t="s">
        <v>17029</v>
      </c>
      <c r="D13894" t="s">
        <v>19029</v>
      </c>
      <c r="E13894" t="s">
        <v>19888</v>
      </c>
      <c r="F13894" t="s">
        <v>32833</v>
      </c>
      <c r="G13894" t="s">
        <v>32839</v>
      </c>
      <c r="H13894" t="s">
        <v>32849</v>
      </c>
      <c r="I13894" t="s">
        <v>4177</v>
      </c>
      <c r="J13894" t="s">
        <v>33703</v>
      </c>
      <c r="K13894" t="s">
        <v>42984</v>
      </c>
      <c r="M13894" t="s">
        <v>47174</v>
      </c>
      <c r="N13894" t="s">
        <v>47424</v>
      </c>
      <c r="O13894" t="s">
        <v>47425</v>
      </c>
      <c r="P13894">
        <v>0</v>
      </c>
      <c r="Q13894">
        <v>0</v>
      </c>
      <c r="R13894" t="s">
        <v>47445</v>
      </c>
      <c r="S13894" t="s">
        <v>48250</v>
      </c>
      <c r="T13894" t="s">
        <v>49112</v>
      </c>
      <c r="U13894" t="s">
        <v>60986</v>
      </c>
      <c r="V13894" t="s">
        <v>64202</v>
      </c>
      <c r="W13894" t="s">
        <v>47174</v>
      </c>
      <c r="X13894" t="s">
        <v>47448</v>
      </c>
    </row>
    <row r="13895" spans="1:24">
      <c r="A13895">
        <f>HYPERLINK("https://www.philgeps.gov.ph/GEPSNONPILOT/Tender/SplashBidNoticeAbstractUI.aspx?menuIndex=3&amp;refID=7124232&amp;Result=3","7124232")</f>
        <v>0</v>
      </c>
      <c r="B13895" t="s">
        <v>277</v>
      </c>
      <c r="C13895" t="s">
        <v>17030</v>
      </c>
      <c r="D13895" t="s">
        <v>19068</v>
      </c>
      <c r="E13895" t="s">
        <v>30995</v>
      </c>
      <c r="F13895" t="s">
        <v>32831</v>
      </c>
      <c r="G13895" t="s">
        <v>32839</v>
      </c>
      <c r="H13895" t="s">
        <v>32848</v>
      </c>
      <c r="I13895" t="s">
        <v>7751</v>
      </c>
      <c r="J13895" t="s">
        <v>33066</v>
      </c>
      <c r="K13895" t="s">
        <v>42747</v>
      </c>
      <c r="M13895" t="s">
        <v>43276</v>
      </c>
      <c r="N13895" t="s">
        <v>47424</v>
      </c>
      <c r="O13895" t="s">
        <v>47425</v>
      </c>
      <c r="P13895">
        <v>0</v>
      </c>
      <c r="Q13895">
        <v>3</v>
      </c>
      <c r="R13895" t="s">
        <v>47445</v>
      </c>
      <c r="S13895" t="s">
        <v>48250</v>
      </c>
      <c r="T13895" t="s">
        <v>49214</v>
      </c>
      <c r="U13895" t="s">
        <v>60987</v>
      </c>
      <c r="W13895" t="s">
        <v>43276</v>
      </c>
      <c r="X13895" t="s">
        <v>47447</v>
      </c>
    </row>
    <row r="13896" spans="1:24">
      <c r="A13896">
        <f>HYPERLINK("https://www.philgeps.gov.ph/GEPSNONPILOT/Tender/SplashBidNoticeAbstractUI.aspx?menuIndex=3&amp;refID=7123667&amp;Result=3","7123667")</f>
        <v>0</v>
      </c>
      <c r="B13896" t="s">
        <v>2029</v>
      </c>
      <c r="C13896" t="s">
        <v>12947</v>
      </c>
      <c r="D13896" t="s">
        <v>19067</v>
      </c>
      <c r="E13896" t="s">
        <v>30996</v>
      </c>
      <c r="F13896" t="s">
        <v>32831</v>
      </c>
      <c r="G13896" t="s">
        <v>32839</v>
      </c>
      <c r="H13896" t="s">
        <v>32848</v>
      </c>
      <c r="I13896" t="s">
        <v>32874</v>
      </c>
      <c r="J13896" t="s">
        <v>37702</v>
      </c>
      <c r="K13896" t="s">
        <v>42732</v>
      </c>
      <c r="M13896" t="s">
        <v>46333</v>
      </c>
      <c r="N13896" t="s">
        <v>47424</v>
      </c>
      <c r="O13896" t="s">
        <v>47425</v>
      </c>
      <c r="P13896">
        <v>0</v>
      </c>
      <c r="Q13896">
        <v>21</v>
      </c>
      <c r="R13896" t="s">
        <v>47445</v>
      </c>
      <c r="S13896" t="s">
        <v>48250</v>
      </c>
      <c r="T13896" t="s">
        <v>49107</v>
      </c>
      <c r="U13896" t="s">
        <v>60988</v>
      </c>
      <c r="W13896" t="s">
        <v>46333</v>
      </c>
      <c r="X13896" t="s">
        <v>47447</v>
      </c>
    </row>
    <row r="13897" spans="1:24">
      <c r="A13897">
        <f>HYPERLINK("https://www.philgeps.gov.ph/GEPSNONPILOT/Tender/SplashBidNoticeAbstractUI.aspx?menuIndex=3&amp;refID=7121714&amp;Result=3","7121714")</f>
        <v>0</v>
      </c>
      <c r="B13897" t="s">
        <v>1552</v>
      </c>
      <c r="C13897" t="s">
        <v>17031</v>
      </c>
      <c r="D13897" t="s">
        <v>19074</v>
      </c>
      <c r="E13897" t="s">
        <v>30997</v>
      </c>
      <c r="F13897" t="s">
        <v>32831</v>
      </c>
      <c r="G13897" t="s">
        <v>32839</v>
      </c>
      <c r="H13897" t="s">
        <v>32849</v>
      </c>
      <c r="I13897" t="s">
        <v>4177</v>
      </c>
      <c r="J13897" t="s">
        <v>41442</v>
      </c>
      <c r="K13897" t="s">
        <v>42789</v>
      </c>
      <c r="M13897" t="s">
        <v>44659</v>
      </c>
      <c r="N13897" t="s">
        <v>47424</v>
      </c>
      <c r="O13897" t="s">
        <v>47425</v>
      </c>
      <c r="P13897">
        <v>0</v>
      </c>
      <c r="Q13897">
        <v>0</v>
      </c>
      <c r="R13897" t="s">
        <v>47445</v>
      </c>
      <c r="S13897" t="s">
        <v>48250</v>
      </c>
      <c r="T13897" t="s">
        <v>49166</v>
      </c>
      <c r="U13897" t="s">
        <v>60989</v>
      </c>
      <c r="V13897" t="s">
        <v>64203</v>
      </c>
      <c r="W13897" t="s">
        <v>44659</v>
      </c>
      <c r="X13897" t="s">
        <v>47448</v>
      </c>
    </row>
    <row r="13898" spans="1:24">
      <c r="A13898">
        <f>HYPERLINK("https://www.philgeps.gov.ph/GEPSNONPILOT/Tender/SplashBidNoticeAbstractUI.aspx?menuIndex=3&amp;refID=7121612&amp;Result=3","7121612")</f>
        <v>0</v>
      </c>
      <c r="B13898" t="s">
        <v>3693</v>
      </c>
      <c r="C13898" t="s">
        <v>17032</v>
      </c>
      <c r="D13898" t="s">
        <v>19027</v>
      </c>
      <c r="E13898" t="s">
        <v>30998</v>
      </c>
      <c r="F13898" t="s">
        <v>32831</v>
      </c>
      <c r="G13898" t="s">
        <v>32839</v>
      </c>
      <c r="H13898" t="s">
        <v>32849</v>
      </c>
      <c r="I13898" t="s">
        <v>4177</v>
      </c>
      <c r="J13898" t="s">
        <v>41443</v>
      </c>
      <c r="K13898" t="s">
        <v>42766</v>
      </c>
      <c r="M13898" t="s">
        <v>47078</v>
      </c>
      <c r="N13898" t="s">
        <v>47424</v>
      </c>
      <c r="O13898" t="s">
        <v>47425</v>
      </c>
      <c r="Q13898">
        <v>5</v>
      </c>
      <c r="R13898" t="s">
        <v>47445</v>
      </c>
      <c r="S13898" t="s">
        <v>48267</v>
      </c>
      <c r="T13898" t="s">
        <v>49108</v>
      </c>
      <c r="U13898" t="s">
        <v>60990</v>
      </c>
      <c r="W13898" t="s">
        <v>47078</v>
      </c>
      <c r="X13898" t="s">
        <v>47448</v>
      </c>
    </row>
    <row r="13899" spans="1:24">
      <c r="A13899">
        <f>HYPERLINK("https://www.philgeps.gov.ph/GEPSNONPILOT/Tender/SplashBidNoticeAbstractUI.aspx?menuIndex=3&amp;refID=7121514&amp;Result=3","7121514")</f>
        <v>0</v>
      </c>
      <c r="B13899" t="s">
        <v>3693</v>
      </c>
      <c r="C13899" t="s">
        <v>17033</v>
      </c>
      <c r="D13899" t="s">
        <v>19027</v>
      </c>
      <c r="E13899" t="s">
        <v>30999</v>
      </c>
      <c r="F13899" t="s">
        <v>32831</v>
      </c>
      <c r="G13899" t="s">
        <v>32839</v>
      </c>
      <c r="H13899" t="s">
        <v>32849</v>
      </c>
      <c r="I13899" t="s">
        <v>4177</v>
      </c>
      <c r="J13899" t="s">
        <v>41444</v>
      </c>
      <c r="K13899" t="s">
        <v>42770</v>
      </c>
      <c r="M13899" t="s">
        <v>47078</v>
      </c>
      <c r="N13899" t="s">
        <v>47424</v>
      </c>
      <c r="O13899" t="s">
        <v>47425</v>
      </c>
      <c r="Q13899">
        <v>4</v>
      </c>
      <c r="R13899" t="s">
        <v>47445</v>
      </c>
      <c r="S13899" t="s">
        <v>48268</v>
      </c>
      <c r="T13899" t="s">
        <v>49108</v>
      </c>
      <c r="U13899" t="s">
        <v>60990</v>
      </c>
      <c r="W13899" t="s">
        <v>47078</v>
      </c>
      <c r="X13899" t="s">
        <v>47448</v>
      </c>
    </row>
    <row r="13900" spans="1:24">
      <c r="A13900">
        <f>HYPERLINK("https://www.philgeps.gov.ph/GEPSNONPILOT/Tender/SplashBidNoticeAbstractUI.aspx?menuIndex=3&amp;refID=7121727&amp;Result=3","7121727")</f>
        <v>0</v>
      </c>
      <c r="B13900" t="s">
        <v>2029</v>
      </c>
      <c r="C13900" t="s">
        <v>17034</v>
      </c>
      <c r="D13900" t="s">
        <v>19067</v>
      </c>
      <c r="E13900" t="s">
        <v>31000</v>
      </c>
      <c r="F13900" t="s">
        <v>32831</v>
      </c>
      <c r="G13900" t="s">
        <v>32839</v>
      </c>
      <c r="H13900" t="s">
        <v>32848</v>
      </c>
      <c r="I13900" t="s">
        <v>32858</v>
      </c>
      <c r="J13900" t="s">
        <v>33528</v>
      </c>
      <c r="K13900" t="s">
        <v>42732</v>
      </c>
      <c r="M13900" t="s">
        <v>45197</v>
      </c>
      <c r="N13900" t="s">
        <v>47424</v>
      </c>
      <c r="O13900" t="s">
        <v>47425</v>
      </c>
      <c r="P13900">
        <v>0</v>
      </c>
      <c r="Q13900">
        <v>1</v>
      </c>
      <c r="R13900" t="s">
        <v>47445</v>
      </c>
      <c r="S13900" t="s">
        <v>48250</v>
      </c>
      <c r="T13900" t="s">
        <v>49107</v>
      </c>
      <c r="U13900" t="s">
        <v>60991</v>
      </c>
      <c r="V13900" t="s">
        <v>64204</v>
      </c>
      <c r="W13900" t="s">
        <v>45197</v>
      </c>
      <c r="X13900" t="s">
        <v>47448</v>
      </c>
    </row>
    <row r="13901" spans="1:24">
      <c r="A13901">
        <f>HYPERLINK("https://www.philgeps.gov.ph/GEPSNONPILOT/Tender/SplashBidNoticeAbstractUI.aspx?menuIndex=3&amp;refID=7121418&amp;Result=3","7121418")</f>
        <v>0</v>
      </c>
      <c r="B13901" t="s">
        <v>1552</v>
      </c>
      <c r="C13901" t="s">
        <v>17035</v>
      </c>
      <c r="D13901" t="s">
        <v>19074</v>
      </c>
      <c r="E13901" t="s">
        <v>28419</v>
      </c>
      <c r="F13901" t="s">
        <v>32831</v>
      </c>
      <c r="G13901" t="s">
        <v>32839</v>
      </c>
      <c r="H13901" t="s">
        <v>32849</v>
      </c>
      <c r="I13901" t="s">
        <v>4177</v>
      </c>
      <c r="J13901" t="s">
        <v>41445</v>
      </c>
      <c r="K13901" t="s">
        <v>42729</v>
      </c>
      <c r="M13901" t="s">
        <v>44659</v>
      </c>
      <c r="N13901" t="s">
        <v>47424</v>
      </c>
      <c r="O13901" t="s">
        <v>47425</v>
      </c>
      <c r="P13901">
        <v>0</v>
      </c>
      <c r="Q13901">
        <v>0</v>
      </c>
      <c r="R13901" t="s">
        <v>47445</v>
      </c>
      <c r="S13901" t="s">
        <v>48250</v>
      </c>
      <c r="T13901" t="s">
        <v>49166</v>
      </c>
      <c r="U13901" t="s">
        <v>60992</v>
      </c>
      <c r="V13901" t="s">
        <v>63063</v>
      </c>
      <c r="W13901" t="s">
        <v>44659</v>
      </c>
      <c r="X13901" t="s">
        <v>47448</v>
      </c>
    </row>
    <row r="13902" spans="1:24">
      <c r="A13902">
        <f>HYPERLINK("https://www.philgeps.gov.ph/GEPSNONPILOT/Tender/SplashBidNoticeAbstractUI.aspx?menuIndex=3&amp;refID=7122949&amp;Result=3","7122949")</f>
        <v>0</v>
      </c>
      <c r="B13902" t="s">
        <v>3773</v>
      </c>
      <c r="C13902" t="s">
        <v>17036</v>
      </c>
      <c r="D13902" t="s">
        <v>19033</v>
      </c>
      <c r="E13902" t="s">
        <v>31001</v>
      </c>
      <c r="F13902" t="s">
        <v>32831</v>
      </c>
      <c r="G13902" t="s">
        <v>32839</v>
      </c>
      <c r="H13902" t="s">
        <v>32849</v>
      </c>
      <c r="I13902" t="s">
        <v>4177</v>
      </c>
      <c r="J13902" t="s">
        <v>33012</v>
      </c>
      <c r="K13902" t="s">
        <v>42780</v>
      </c>
      <c r="M13902" t="s">
        <v>47175</v>
      </c>
      <c r="N13902" t="s">
        <v>47424</v>
      </c>
      <c r="O13902" t="s">
        <v>47425</v>
      </c>
      <c r="P13902">
        <v>0</v>
      </c>
      <c r="Q13902">
        <v>0</v>
      </c>
      <c r="R13902" t="s">
        <v>47445</v>
      </c>
      <c r="S13902" t="s">
        <v>48250</v>
      </c>
      <c r="T13902" t="s">
        <v>49214</v>
      </c>
      <c r="U13902" t="s">
        <v>60993</v>
      </c>
      <c r="W13902" t="s">
        <v>47175</v>
      </c>
      <c r="X13902" t="s">
        <v>47448</v>
      </c>
    </row>
    <row r="13903" spans="1:24">
      <c r="A13903">
        <f>HYPERLINK("https://www.philgeps.gov.ph/GEPSNONPILOT/Tender/SplashBidNoticeAbstractUI.aspx?menuIndex=3&amp;refID=7120482&amp;Result=3","7120482")</f>
        <v>0</v>
      </c>
      <c r="B13903" t="s">
        <v>2029</v>
      </c>
      <c r="C13903" t="s">
        <v>10154</v>
      </c>
      <c r="D13903" t="s">
        <v>19067</v>
      </c>
      <c r="E13903" t="s">
        <v>31002</v>
      </c>
      <c r="F13903" t="s">
        <v>32831</v>
      </c>
      <c r="G13903" t="s">
        <v>32839</v>
      </c>
      <c r="H13903" t="s">
        <v>32848</v>
      </c>
      <c r="I13903" t="s">
        <v>4487</v>
      </c>
      <c r="J13903" t="s">
        <v>41446</v>
      </c>
      <c r="K13903" t="s">
        <v>42732</v>
      </c>
      <c r="M13903" t="s">
        <v>45197</v>
      </c>
      <c r="N13903" t="s">
        <v>47424</v>
      </c>
      <c r="O13903" t="s">
        <v>47425</v>
      </c>
      <c r="P13903">
        <v>0</v>
      </c>
      <c r="Q13903">
        <v>6</v>
      </c>
      <c r="R13903" t="s">
        <v>47445</v>
      </c>
      <c r="S13903" t="s">
        <v>48250</v>
      </c>
      <c r="T13903" t="s">
        <v>49107</v>
      </c>
      <c r="U13903" t="s">
        <v>60994</v>
      </c>
      <c r="V13903" t="s">
        <v>64205</v>
      </c>
      <c r="W13903" t="s">
        <v>45197</v>
      </c>
      <c r="X13903" t="s">
        <v>47448</v>
      </c>
    </row>
    <row r="13904" spans="1:24">
      <c r="A13904">
        <f>HYPERLINK("https://www.philgeps.gov.ph/GEPSNONPILOT/Tender/SplashBidNoticeAbstractUI.aspx?menuIndex=3&amp;refID=7121573&amp;Result=3","7121573")</f>
        <v>0</v>
      </c>
      <c r="B13904" t="s">
        <v>3693</v>
      </c>
      <c r="C13904" t="s">
        <v>17037</v>
      </c>
      <c r="D13904" t="s">
        <v>19027</v>
      </c>
      <c r="E13904" t="s">
        <v>31003</v>
      </c>
      <c r="F13904" t="s">
        <v>32831</v>
      </c>
      <c r="G13904" t="s">
        <v>32839</v>
      </c>
      <c r="H13904" t="s">
        <v>32849</v>
      </c>
      <c r="I13904" t="s">
        <v>4177</v>
      </c>
      <c r="J13904" t="s">
        <v>41447</v>
      </c>
      <c r="K13904" t="s">
        <v>42768</v>
      </c>
      <c r="M13904" t="s">
        <v>47078</v>
      </c>
      <c r="N13904" t="s">
        <v>47424</v>
      </c>
      <c r="O13904" t="s">
        <v>47425</v>
      </c>
      <c r="Q13904">
        <v>5</v>
      </c>
      <c r="R13904" t="s">
        <v>47445</v>
      </c>
      <c r="S13904" t="s">
        <v>48269</v>
      </c>
      <c r="T13904" t="s">
        <v>49108</v>
      </c>
      <c r="U13904" t="s">
        <v>60990</v>
      </c>
      <c r="W13904" t="s">
        <v>47078</v>
      </c>
      <c r="X13904" t="s">
        <v>47448</v>
      </c>
    </row>
    <row r="13905" spans="1:24">
      <c r="A13905">
        <f>HYPERLINK("https://www.philgeps.gov.ph/GEPSNONPILOT/Tender/SplashBidNoticeAbstractUI.aspx?menuIndex=3&amp;refID=7119918&amp;Result=3","7119918")</f>
        <v>0</v>
      </c>
      <c r="B13905" t="s">
        <v>2378</v>
      </c>
      <c r="C13905" t="s">
        <v>17038</v>
      </c>
      <c r="D13905" t="s">
        <v>19091</v>
      </c>
      <c r="E13905" t="s">
        <v>31004</v>
      </c>
      <c r="F13905" t="s">
        <v>32831</v>
      </c>
      <c r="G13905" t="s">
        <v>32839</v>
      </c>
      <c r="H13905" t="s">
        <v>32849</v>
      </c>
      <c r="I13905" t="s">
        <v>4177</v>
      </c>
      <c r="J13905" t="s">
        <v>41448</v>
      </c>
      <c r="K13905" t="s">
        <v>42892</v>
      </c>
      <c r="M13905" t="s">
        <v>45567</v>
      </c>
      <c r="N13905" t="s">
        <v>47424</v>
      </c>
      <c r="O13905" t="s">
        <v>47425</v>
      </c>
      <c r="Q13905">
        <v>57</v>
      </c>
      <c r="R13905" t="s">
        <v>47445</v>
      </c>
      <c r="S13905" t="s">
        <v>48270</v>
      </c>
      <c r="T13905" t="s">
        <v>49214</v>
      </c>
      <c r="U13905" t="s">
        <v>60995</v>
      </c>
      <c r="W13905" t="s">
        <v>45567</v>
      </c>
      <c r="X13905" t="s">
        <v>47449</v>
      </c>
    </row>
    <row r="13906" spans="1:24">
      <c r="A13906">
        <f>HYPERLINK("https://www.philgeps.gov.ph/GEPSNONPILOT/Tender/SplashBidNoticeAbstractUI.aspx?menuIndex=3&amp;refID=7121487&amp;Result=3","7121487")</f>
        <v>0</v>
      </c>
      <c r="B13906" t="s">
        <v>3693</v>
      </c>
      <c r="C13906" t="s">
        <v>17039</v>
      </c>
      <c r="D13906" t="s">
        <v>19027</v>
      </c>
      <c r="E13906" t="s">
        <v>31005</v>
      </c>
      <c r="F13906" t="s">
        <v>32831</v>
      </c>
      <c r="G13906" t="s">
        <v>32839</v>
      </c>
      <c r="H13906" t="s">
        <v>32849</v>
      </c>
      <c r="I13906" t="s">
        <v>4177</v>
      </c>
      <c r="J13906" t="s">
        <v>41449</v>
      </c>
      <c r="K13906" t="s">
        <v>42770</v>
      </c>
      <c r="M13906" t="s">
        <v>47078</v>
      </c>
      <c r="N13906" t="s">
        <v>47424</v>
      </c>
      <c r="O13906" t="s">
        <v>47425</v>
      </c>
      <c r="Q13906">
        <v>4</v>
      </c>
      <c r="R13906" t="s">
        <v>47445</v>
      </c>
      <c r="S13906" t="s">
        <v>48271</v>
      </c>
      <c r="T13906" t="s">
        <v>49108</v>
      </c>
      <c r="U13906" t="s">
        <v>60990</v>
      </c>
      <c r="W13906" t="s">
        <v>47078</v>
      </c>
      <c r="X13906" t="s">
        <v>47448</v>
      </c>
    </row>
    <row r="13907" spans="1:24">
      <c r="A13907">
        <f>HYPERLINK("https://www.philgeps.gov.ph/GEPSNONPILOT/Tender/SplashBidNoticeAbstractUI.aspx?menuIndex=3&amp;refID=7122130&amp;Result=3","7122130")</f>
        <v>0</v>
      </c>
      <c r="B13907" t="s">
        <v>2029</v>
      </c>
      <c r="C13907" t="s">
        <v>17034</v>
      </c>
      <c r="D13907" t="s">
        <v>19067</v>
      </c>
      <c r="E13907" t="s">
        <v>31006</v>
      </c>
      <c r="F13907" t="s">
        <v>32831</v>
      </c>
      <c r="G13907" t="s">
        <v>32839</v>
      </c>
      <c r="H13907" t="s">
        <v>32848</v>
      </c>
      <c r="I13907" t="s">
        <v>32858</v>
      </c>
      <c r="J13907" t="s">
        <v>41450</v>
      </c>
      <c r="K13907" t="s">
        <v>42732</v>
      </c>
      <c r="M13907" t="s">
        <v>45197</v>
      </c>
      <c r="N13907" t="s">
        <v>47424</v>
      </c>
      <c r="O13907" t="s">
        <v>47425</v>
      </c>
      <c r="P13907">
        <v>0</v>
      </c>
      <c r="Q13907">
        <v>2</v>
      </c>
      <c r="R13907" t="s">
        <v>47445</v>
      </c>
      <c r="S13907" t="s">
        <v>48250</v>
      </c>
      <c r="T13907" t="s">
        <v>49107</v>
      </c>
      <c r="U13907" t="s">
        <v>60996</v>
      </c>
      <c r="V13907" t="s">
        <v>64206</v>
      </c>
      <c r="W13907" t="s">
        <v>45197</v>
      </c>
      <c r="X13907" t="s">
        <v>47448</v>
      </c>
    </row>
    <row r="13908" spans="1:24">
      <c r="A13908">
        <f>HYPERLINK("https://www.philgeps.gov.ph/GEPSNONPILOT/Tender/SplashBidNoticeAbstractUI.aspx?menuIndex=3&amp;refID=7119849&amp;Result=3","7119849")</f>
        <v>0</v>
      </c>
      <c r="B13908" t="s">
        <v>3256</v>
      </c>
      <c r="C13908" t="s">
        <v>17040</v>
      </c>
      <c r="D13908" t="s">
        <v>19040</v>
      </c>
      <c r="E13908" t="s">
        <v>31007</v>
      </c>
      <c r="F13908" t="s">
        <v>32831</v>
      </c>
      <c r="G13908" t="s">
        <v>32839</v>
      </c>
      <c r="H13908" t="s">
        <v>32849</v>
      </c>
      <c r="I13908" t="s">
        <v>4177</v>
      </c>
      <c r="J13908" t="s">
        <v>41451</v>
      </c>
      <c r="K13908" t="s">
        <v>42925</v>
      </c>
      <c r="M13908" t="s">
        <v>46572</v>
      </c>
      <c r="N13908" t="s">
        <v>47424</v>
      </c>
      <c r="O13908" t="s">
        <v>47425</v>
      </c>
      <c r="Q13908">
        <v>0</v>
      </c>
      <c r="R13908" t="s">
        <v>47445</v>
      </c>
      <c r="S13908" t="s">
        <v>48272</v>
      </c>
      <c r="T13908" t="s">
        <v>49111</v>
      </c>
      <c r="U13908" t="s">
        <v>60958</v>
      </c>
      <c r="V13908" t="s">
        <v>64207</v>
      </c>
      <c r="W13908" t="s">
        <v>46572</v>
      </c>
      <c r="X13908" t="s">
        <v>47449</v>
      </c>
    </row>
    <row r="13909" spans="1:24">
      <c r="A13909">
        <f>HYPERLINK("https://www.philgeps.gov.ph/GEPSNONPILOT/Tender/SplashBidNoticeAbstractUI.aspx?menuIndex=3&amp;refID=7132650&amp;Result=3","7132650")</f>
        <v>0</v>
      </c>
      <c r="B13909" t="s">
        <v>1261</v>
      </c>
      <c r="C13909" t="s">
        <v>17041</v>
      </c>
      <c r="D13909" t="s">
        <v>19040</v>
      </c>
      <c r="E13909" t="s">
        <v>31008</v>
      </c>
      <c r="F13909" t="s">
        <v>32831</v>
      </c>
      <c r="G13909" t="s">
        <v>32839</v>
      </c>
      <c r="H13909" t="s">
        <v>32848</v>
      </c>
      <c r="I13909" t="s">
        <v>32860</v>
      </c>
      <c r="J13909" t="s">
        <v>41452</v>
      </c>
      <c r="K13909" t="s">
        <v>42730</v>
      </c>
      <c r="M13909" t="s">
        <v>44331</v>
      </c>
      <c r="N13909" t="s">
        <v>47424</v>
      </c>
      <c r="O13909" t="s">
        <v>47425</v>
      </c>
      <c r="P13909">
        <v>0</v>
      </c>
      <c r="Q13909">
        <v>0</v>
      </c>
      <c r="R13909" t="s">
        <v>47444</v>
      </c>
      <c r="S13909" t="s">
        <v>48135</v>
      </c>
      <c r="T13909" t="s">
        <v>49159</v>
      </c>
      <c r="U13909" t="s">
        <v>60997</v>
      </c>
      <c r="W13909" t="s">
        <v>44331</v>
      </c>
      <c r="X13909" t="s">
        <v>47445</v>
      </c>
    </row>
    <row r="13910" spans="1:24">
      <c r="A13910">
        <f>HYPERLINK("https://www.philgeps.gov.ph/GEPSNONPILOT/Tender/SplashBidNoticeAbstractUI.aspx?menuIndex=3&amp;refID=7121914&amp;Result=3","7121914")</f>
        <v>0</v>
      </c>
      <c r="B13910" t="s">
        <v>3772</v>
      </c>
      <c r="C13910" t="s">
        <v>17042</v>
      </c>
      <c r="D13910" t="s">
        <v>19029</v>
      </c>
      <c r="E13910" t="s">
        <v>20152</v>
      </c>
      <c r="F13910" t="s">
        <v>32833</v>
      </c>
      <c r="G13910" t="s">
        <v>32839</v>
      </c>
      <c r="H13910" t="s">
        <v>32849</v>
      </c>
      <c r="I13910" t="s">
        <v>4177</v>
      </c>
      <c r="J13910" t="s">
        <v>41453</v>
      </c>
      <c r="K13910" t="s">
        <v>42956</v>
      </c>
      <c r="M13910" t="s">
        <v>47174</v>
      </c>
      <c r="N13910" t="s">
        <v>47424</v>
      </c>
      <c r="O13910" t="s">
        <v>47425</v>
      </c>
      <c r="P13910">
        <v>0</v>
      </c>
      <c r="Q13910">
        <v>0</v>
      </c>
      <c r="R13910" t="s">
        <v>47445</v>
      </c>
      <c r="S13910" t="s">
        <v>48250</v>
      </c>
      <c r="T13910" t="s">
        <v>49112</v>
      </c>
      <c r="U13910" t="s">
        <v>60998</v>
      </c>
      <c r="V13910" t="s">
        <v>64208</v>
      </c>
      <c r="W13910" t="s">
        <v>47174</v>
      </c>
      <c r="X13910" t="s">
        <v>47448</v>
      </c>
    </row>
    <row r="13911" spans="1:24">
      <c r="A13911">
        <f>HYPERLINK("https://www.philgeps.gov.ph/GEPSNONPILOT/Tender/SplashBidNoticeAbstractUI.aspx?menuIndex=3&amp;refID=7125013&amp;Result=3","7125013")</f>
        <v>0</v>
      </c>
      <c r="B13911" t="s">
        <v>129</v>
      </c>
      <c r="C13911" t="s">
        <v>17043</v>
      </c>
      <c r="D13911" t="s">
        <v>19026</v>
      </c>
      <c r="E13911" t="s">
        <v>31009</v>
      </c>
      <c r="F13911" t="s">
        <v>32831</v>
      </c>
      <c r="G13911" t="s">
        <v>32839</v>
      </c>
      <c r="H13911" t="s">
        <v>32849</v>
      </c>
      <c r="I13911" t="s">
        <v>4177</v>
      </c>
      <c r="J13911" t="s">
        <v>41454</v>
      </c>
      <c r="K13911" t="s">
        <v>42770</v>
      </c>
      <c r="M13911" t="s">
        <v>45359</v>
      </c>
      <c r="N13911" t="s">
        <v>47424</v>
      </c>
      <c r="O13911" t="s">
        <v>47425</v>
      </c>
      <c r="P13911">
        <v>0</v>
      </c>
      <c r="Q13911">
        <v>13</v>
      </c>
      <c r="R13911" t="s">
        <v>47445</v>
      </c>
      <c r="S13911" t="s">
        <v>48250</v>
      </c>
      <c r="T13911" t="s">
        <v>49237</v>
      </c>
      <c r="U13911" t="s">
        <v>60999</v>
      </c>
      <c r="V13911" t="s">
        <v>51716</v>
      </c>
      <c r="W13911" t="s">
        <v>45359</v>
      </c>
      <c r="X13911" t="s">
        <v>47447</v>
      </c>
    </row>
    <row r="13912" spans="1:24">
      <c r="A13912">
        <f>HYPERLINK("https://www.philgeps.gov.ph/GEPSNONPILOT/Tender/SplashBidNoticeAbstractUI.aspx?menuIndex=3&amp;refID=7124962&amp;Result=3","7124962")</f>
        <v>0</v>
      </c>
      <c r="B13912" t="s">
        <v>3586</v>
      </c>
      <c r="C13912" t="s">
        <v>17044</v>
      </c>
      <c r="D13912" t="s">
        <v>19094</v>
      </c>
      <c r="E13912" t="s">
        <v>31010</v>
      </c>
      <c r="F13912" t="s">
        <v>32831</v>
      </c>
      <c r="G13912" t="s">
        <v>32839</v>
      </c>
      <c r="H13912" t="s">
        <v>32849</v>
      </c>
      <c r="I13912" t="s">
        <v>4177</v>
      </c>
      <c r="J13912" t="s">
        <v>32978</v>
      </c>
      <c r="K13912" t="s">
        <v>42762</v>
      </c>
      <c r="M13912" t="s">
        <v>46950</v>
      </c>
      <c r="N13912" t="s">
        <v>47424</v>
      </c>
      <c r="O13912" t="s">
        <v>47425</v>
      </c>
      <c r="P13912">
        <v>0</v>
      </c>
      <c r="Q13912">
        <v>2</v>
      </c>
      <c r="R13912" t="s">
        <v>47445</v>
      </c>
      <c r="S13912" t="s">
        <v>48250</v>
      </c>
      <c r="T13912" t="s">
        <v>49141</v>
      </c>
      <c r="U13912" t="s">
        <v>61000</v>
      </c>
      <c r="W13912" t="s">
        <v>46950</v>
      </c>
      <c r="X13912" t="s">
        <v>47447</v>
      </c>
    </row>
    <row r="13913" spans="1:24">
      <c r="A13913">
        <f>HYPERLINK("https://www.philgeps.gov.ph/GEPSNONPILOT/Tender/SplashBidNoticeAbstractUI.aspx?menuIndex=3&amp;refID=7124936&amp;Result=3","7124936")</f>
        <v>0</v>
      </c>
      <c r="B13913" t="s">
        <v>34</v>
      </c>
      <c r="C13913" t="s">
        <v>17045</v>
      </c>
      <c r="E13913" t="s">
        <v>31011</v>
      </c>
      <c r="F13913" t="s">
        <v>32831</v>
      </c>
      <c r="G13913" t="s">
        <v>32839</v>
      </c>
      <c r="H13913" t="s">
        <v>32849</v>
      </c>
      <c r="I13913" t="s">
        <v>4177</v>
      </c>
      <c r="J13913" t="s">
        <v>41455</v>
      </c>
      <c r="K13913" t="s">
        <v>42955</v>
      </c>
      <c r="M13913" t="s">
        <v>44653</v>
      </c>
      <c r="N13913" t="s">
        <v>47424</v>
      </c>
      <c r="O13913" t="s">
        <v>47425</v>
      </c>
      <c r="P13913">
        <v>0</v>
      </c>
      <c r="Q13913">
        <v>0</v>
      </c>
      <c r="R13913" t="s">
        <v>47445</v>
      </c>
      <c r="S13913" t="s">
        <v>48250</v>
      </c>
      <c r="T13913" t="s">
        <v>49127</v>
      </c>
      <c r="U13913" t="s">
        <v>61001</v>
      </c>
      <c r="W13913" t="s">
        <v>44653</v>
      </c>
      <c r="X13913" t="s">
        <v>47447</v>
      </c>
    </row>
    <row r="13914" spans="1:24">
      <c r="A13914">
        <f>HYPERLINK("https://www.philgeps.gov.ph/GEPSNONPILOT/Tender/SplashBidNoticeAbstractUI.aspx?menuIndex=3&amp;refID=7125016&amp;Result=3","7125016")</f>
        <v>0</v>
      </c>
      <c r="B13914" t="s">
        <v>948</v>
      </c>
      <c r="C13914" t="s">
        <v>17046</v>
      </c>
      <c r="D13914" t="s">
        <v>19017</v>
      </c>
      <c r="E13914" t="s">
        <v>31012</v>
      </c>
      <c r="F13914" t="s">
        <v>32831</v>
      </c>
      <c r="G13914" t="s">
        <v>32839</v>
      </c>
      <c r="H13914" t="s">
        <v>32848</v>
      </c>
      <c r="I13914" t="s">
        <v>32860</v>
      </c>
      <c r="J13914" t="s">
        <v>41456</v>
      </c>
      <c r="K13914" t="s">
        <v>42731</v>
      </c>
      <c r="M13914" t="s">
        <v>47176</v>
      </c>
      <c r="N13914" t="s">
        <v>47424</v>
      </c>
      <c r="O13914" t="s">
        <v>47425</v>
      </c>
      <c r="P13914">
        <v>0</v>
      </c>
      <c r="Q13914">
        <v>4</v>
      </c>
      <c r="R13914" t="s">
        <v>47445</v>
      </c>
      <c r="S13914" t="s">
        <v>48250</v>
      </c>
      <c r="T13914" t="s">
        <v>49239</v>
      </c>
      <c r="U13914" t="s">
        <v>61002</v>
      </c>
      <c r="W13914" t="s">
        <v>47176</v>
      </c>
      <c r="X13914" t="s">
        <v>47447</v>
      </c>
    </row>
    <row r="13915" spans="1:24">
      <c r="A13915">
        <f>HYPERLINK("https://www.philgeps.gov.ph/GEPSNONPILOT/Tender/SplashBidNoticeAbstractUI.aspx?menuIndex=3&amp;refID=7124880&amp;Result=3","7124880")</f>
        <v>0</v>
      </c>
      <c r="B13915" t="s">
        <v>948</v>
      </c>
      <c r="C13915" t="s">
        <v>17047</v>
      </c>
      <c r="D13915" t="s">
        <v>19017</v>
      </c>
      <c r="E13915" t="s">
        <v>31013</v>
      </c>
      <c r="F13915" t="s">
        <v>32831</v>
      </c>
      <c r="G13915" t="s">
        <v>32839</v>
      </c>
      <c r="H13915" t="s">
        <v>32848</v>
      </c>
      <c r="I13915" t="s">
        <v>32860</v>
      </c>
      <c r="J13915" t="s">
        <v>41456</v>
      </c>
      <c r="K13915" t="s">
        <v>42731</v>
      </c>
      <c r="M13915" t="s">
        <v>47176</v>
      </c>
      <c r="N13915" t="s">
        <v>47424</v>
      </c>
      <c r="O13915" t="s">
        <v>47425</v>
      </c>
      <c r="P13915">
        <v>0</v>
      </c>
      <c r="Q13915">
        <v>2</v>
      </c>
      <c r="R13915" t="s">
        <v>47445</v>
      </c>
      <c r="S13915" t="s">
        <v>48250</v>
      </c>
      <c r="T13915" t="s">
        <v>49239</v>
      </c>
      <c r="U13915" t="s">
        <v>61002</v>
      </c>
      <c r="W13915" t="s">
        <v>47176</v>
      </c>
      <c r="X13915" t="s">
        <v>47447</v>
      </c>
    </row>
    <row r="13916" spans="1:24">
      <c r="A13916">
        <f>HYPERLINK("https://www.philgeps.gov.ph/GEPSNONPILOT/Tender/SplashBidNoticeAbstractUI.aspx?menuIndex=3&amp;refID=7119917&amp;Result=3","7119917")</f>
        <v>0</v>
      </c>
      <c r="B13916" t="s">
        <v>2378</v>
      </c>
      <c r="C13916" t="s">
        <v>17048</v>
      </c>
      <c r="D13916" t="s">
        <v>19091</v>
      </c>
      <c r="E13916" t="s">
        <v>31014</v>
      </c>
      <c r="F13916" t="s">
        <v>32831</v>
      </c>
      <c r="G13916" t="s">
        <v>32839</v>
      </c>
      <c r="H13916" t="s">
        <v>32849</v>
      </c>
      <c r="I13916" t="s">
        <v>4177</v>
      </c>
      <c r="J13916" t="s">
        <v>41457</v>
      </c>
      <c r="K13916" t="s">
        <v>42770</v>
      </c>
      <c r="M13916" t="s">
        <v>45567</v>
      </c>
      <c r="N13916" t="s">
        <v>47424</v>
      </c>
      <c r="O13916" t="s">
        <v>47425</v>
      </c>
      <c r="Q13916">
        <v>60</v>
      </c>
      <c r="R13916" t="s">
        <v>47445</v>
      </c>
      <c r="S13916" t="s">
        <v>48273</v>
      </c>
      <c r="T13916" t="s">
        <v>49214</v>
      </c>
      <c r="U13916" t="s">
        <v>61003</v>
      </c>
      <c r="W13916" t="s">
        <v>45567</v>
      </c>
      <c r="X13916" t="s">
        <v>47449</v>
      </c>
    </row>
    <row r="13917" spans="1:24">
      <c r="A13917">
        <f>HYPERLINK("https://www.philgeps.gov.ph/GEPSNONPILOT/Tender/SplashBidNoticeAbstractUI.aspx?menuIndex=3&amp;refID=7124975&amp;Result=3","7124975")</f>
        <v>0</v>
      </c>
      <c r="B13917" t="s">
        <v>2168</v>
      </c>
      <c r="C13917" t="s">
        <v>17049</v>
      </c>
      <c r="D13917" t="s">
        <v>19045</v>
      </c>
      <c r="E13917" t="s">
        <v>31015</v>
      </c>
      <c r="F13917" t="s">
        <v>32831</v>
      </c>
      <c r="G13917" t="s">
        <v>32839</v>
      </c>
      <c r="H13917" t="s">
        <v>32849</v>
      </c>
      <c r="I13917" t="s">
        <v>4177</v>
      </c>
      <c r="J13917" t="s">
        <v>41458</v>
      </c>
      <c r="K13917" t="s">
        <v>42729</v>
      </c>
      <c r="M13917" t="s">
        <v>45346</v>
      </c>
      <c r="N13917" t="s">
        <v>47424</v>
      </c>
      <c r="O13917" t="s">
        <v>47425</v>
      </c>
      <c r="P13917">
        <v>0</v>
      </c>
      <c r="Q13917">
        <v>2</v>
      </c>
      <c r="R13917" t="s">
        <v>47445</v>
      </c>
      <c r="S13917" t="s">
        <v>48250</v>
      </c>
      <c r="T13917" t="s">
        <v>49141</v>
      </c>
      <c r="U13917" t="s">
        <v>61004</v>
      </c>
      <c r="W13917" t="s">
        <v>45346</v>
      </c>
      <c r="X13917" t="s">
        <v>47447</v>
      </c>
    </row>
    <row r="13918" spans="1:24">
      <c r="A13918">
        <f>HYPERLINK("https://www.philgeps.gov.ph/GEPSNONPILOT/Tender/SplashBidNoticeAbstractUI.aspx?menuIndex=3&amp;refID=7119894&amp;Result=3","7119894")</f>
        <v>0</v>
      </c>
      <c r="B13918" t="s">
        <v>3256</v>
      </c>
      <c r="C13918" t="s">
        <v>17050</v>
      </c>
      <c r="D13918" t="s">
        <v>19040</v>
      </c>
      <c r="E13918" t="s">
        <v>31016</v>
      </c>
      <c r="F13918" t="s">
        <v>32831</v>
      </c>
      <c r="G13918" t="s">
        <v>32839</v>
      </c>
      <c r="H13918" t="s">
        <v>32849</v>
      </c>
      <c r="I13918" t="s">
        <v>4177</v>
      </c>
      <c r="J13918" t="s">
        <v>41459</v>
      </c>
      <c r="K13918" t="s">
        <v>42873</v>
      </c>
      <c r="M13918" t="s">
        <v>46572</v>
      </c>
      <c r="N13918" t="s">
        <v>47424</v>
      </c>
      <c r="O13918" t="s">
        <v>47425</v>
      </c>
      <c r="P13918">
        <v>0</v>
      </c>
      <c r="Q13918">
        <v>0</v>
      </c>
      <c r="R13918" t="s">
        <v>47445</v>
      </c>
      <c r="S13918" t="s">
        <v>48250</v>
      </c>
      <c r="T13918" t="s">
        <v>49111</v>
      </c>
      <c r="U13918" t="s">
        <v>60771</v>
      </c>
      <c r="V13918" t="s">
        <v>64209</v>
      </c>
      <c r="W13918" t="s">
        <v>46572</v>
      </c>
      <c r="X13918" t="s">
        <v>47449</v>
      </c>
    </row>
    <row r="13919" spans="1:24">
      <c r="A13919">
        <f>HYPERLINK("https://www.philgeps.gov.ph/GEPSNONPILOT/Tender/SplashBidNoticeAbstractUI.aspx?menuIndex=3&amp;refID=7124891&amp;Result=3","7124891")</f>
        <v>0</v>
      </c>
      <c r="B13919" t="s">
        <v>34</v>
      </c>
      <c r="C13919" t="s">
        <v>17051</v>
      </c>
      <c r="E13919" t="s">
        <v>31017</v>
      </c>
      <c r="F13919" t="s">
        <v>32831</v>
      </c>
      <c r="G13919" t="s">
        <v>32839</v>
      </c>
      <c r="H13919" t="s">
        <v>32849</v>
      </c>
      <c r="I13919" t="s">
        <v>4177</v>
      </c>
      <c r="J13919" t="s">
        <v>41460</v>
      </c>
      <c r="K13919" t="s">
        <v>42836</v>
      </c>
      <c r="M13919" t="s">
        <v>44653</v>
      </c>
      <c r="N13919" t="s">
        <v>47424</v>
      </c>
      <c r="O13919" t="s">
        <v>47425</v>
      </c>
      <c r="P13919">
        <v>0</v>
      </c>
      <c r="Q13919">
        <v>0</v>
      </c>
      <c r="R13919" t="s">
        <v>47445</v>
      </c>
      <c r="S13919" t="s">
        <v>48250</v>
      </c>
      <c r="T13919" t="s">
        <v>49127</v>
      </c>
      <c r="U13919" t="s">
        <v>61005</v>
      </c>
      <c r="W13919" t="s">
        <v>44653</v>
      </c>
      <c r="X13919" t="s">
        <v>47447</v>
      </c>
    </row>
    <row r="13920" spans="1:24">
      <c r="A13920">
        <f>HYPERLINK("https://www.philgeps.gov.ph/GEPSNONPILOT/Tender/SplashBidNoticeAbstractUI.aspx?menuIndex=3&amp;refID=7124722&amp;Result=3","7124722")</f>
        <v>0</v>
      </c>
      <c r="B13920" t="s">
        <v>948</v>
      </c>
      <c r="C13920" t="s">
        <v>17052</v>
      </c>
      <c r="D13920" t="s">
        <v>19017</v>
      </c>
      <c r="E13920" t="s">
        <v>31018</v>
      </c>
      <c r="F13920" t="s">
        <v>32831</v>
      </c>
      <c r="G13920" t="s">
        <v>32839</v>
      </c>
      <c r="H13920" t="s">
        <v>32848</v>
      </c>
      <c r="I13920" t="s">
        <v>4340</v>
      </c>
      <c r="J13920" t="s">
        <v>41461</v>
      </c>
      <c r="K13920" t="s">
        <v>42731</v>
      </c>
      <c r="M13920" t="s">
        <v>47176</v>
      </c>
      <c r="N13920" t="s">
        <v>47424</v>
      </c>
      <c r="O13920" t="s">
        <v>47425</v>
      </c>
      <c r="P13920">
        <v>0</v>
      </c>
      <c r="Q13920">
        <v>3</v>
      </c>
      <c r="R13920" t="s">
        <v>47445</v>
      </c>
      <c r="S13920" t="s">
        <v>48250</v>
      </c>
      <c r="T13920" t="s">
        <v>49239</v>
      </c>
      <c r="U13920" t="s">
        <v>61006</v>
      </c>
      <c r="W13920" t="s">
        <v>47176</v>
      </c>
      <c r="X13920" t="s">
        <v>47447</v>
      </c>
    </row>
    <row r="13921" spans="1:24">
      <c r="A13921">
        <f>HYPERLINK("https://www.philgeps.gov.ph/GEPSNONPILOT/Tender/SplashBidNoticeAbstractUI.aspx?menuIndex=3&amp;refID=7124730&amp;Result=3","7124730")</f>
        <v>0</v>
      </c>
      <c r="B13921" t="s">
        <v>2168</v>
      </c>
      <c r="C13921" t="s">
        <v>17053</v>
      </c>
      <c r="D13921" t="s">
        <v>19045</v>
      </c>
      <c r="E13921" t="s">
        <v>31019</v>
      </c>
      <c r="F13921" t="s">
        <v>32831</v>
      </c>
      <c r="G13921" t="s">
        <v>32839</v>
      </c>
      <c r="H13921" t="s">
        <v>32849</v>
      </c>
      <c r="I13921" t="s">
        <v>4177</v>
      </c>
      <c r="J13921" t="s">
        <v>41458</v>
      </c>
      <c r="K13921" t="s">
        <v>42729</v>
      </c>
      <c r="M13921" t="s">
        <v>45346</v>
      </c>
      <c r="N13921" t="s">
        <v>47424</v>
      </c>
      <c r="O13921" t="s">
        <v>47425</v>
      </c>
      <c r="P13921">
        <v>0</v>
      </c>
      <c r="Q13921">
        <v>4</v>
      </c>
      <c r="R13921" t="s">
        <v>47445</v>
      </c>
      <c r="S13921" t="s">
        <v>48250</v>
      </c>
      <c r="T13921" t="s">
        <v>49141</v>
      </c>
      <c r="U13921" t="s">
        <v>61004</v>
      </c>
      <c r="W13921" t="s">
        <v>45346</v>
      </c>
      <c r="X13921" t="s">
        <v>47447</v>
      </c>
    </row>
    <row r="13922" spans="1:24">
      <c r="A13922">
        <f>HYPERLINK("https://www.philgeps.gov.ph/GEPSNONPILOT/Tender/SplashBidNoticeAbstractUI.aspx?menuIndex=3&amp;refID=7124663&amp;Result=3","7124663")</f>
        <v>0</v>
      </c>
      <c r="B13922" t="s">
        <v>948</v>
      </c>
      <c r="C13922" t="s">
        <v>17054</v>
      </c>
      <c r="D13922" t="s">
        <v>19017</v>
      </c>
      <c r="E13922" t="s">
        <v>31020</v>
      </c>
      <c r="F13922" t="s">
        <v>32831</v>
      </c>
      <c r="G13922" t="s">
        <v>32839</v>
      </c>
      <c r="H13922" t="s">
        <v>32848</v>
      </c>
      <c r="I13922" t="s">
        <v>32853</v>
      </c>
      <c r="J13922" t="s">
        <v>41462</v>
      </c>
      <c r="K13922" t="s">
        <v>42731</v>
      </c>
      <c r="M13922" t="s">
        <v>47176</v>
      </c>
      <c r="N13922" t="s">
        <v>47424</v>
      </c>
      <c r="O13922" t="s">
        <v>47425</v>
      </c>
      <c r="P13922">
        <v>0</v>
      </c>
      <c r="Q13922">
        <v>2</v>
      </c>
      <c r="R13922" t="s">
        <v>47445</v>
      </c>
      <c r="S13922" t="s">
        <v>48250</v>
      </c>
      <c r="T13922" t="s">
        <v>49239</v>
      </c>
      <c r="U13922" t="s">
        <v>61006</v>
      </c>
      <c r="W13922" t="s">
        <v>47176</v>
      </c>
      <c r="X13922" t="s">
        <v>47447</v>
      </c>
    </row>
    <row r="13923" spans="1:24">
      <c r="A13923">
        <f>HYPERLINK("https://www.philgeps.gov.ph/GEPSNONPILOT/Tender/SplashBidNoticeAbstractUI.aspx?menuIndex=3&amp;refID=7124651&amp;Result=3","7124651")</f>
        <v>0</v>
      </c>
      <c r="B13923" t="s">
        <v>3586</v>
      </c>
      <c r="C13923" t="s">
        <v>17055</v>
      </c>
      <c r="D13923" t="s">
        <v>19094</v>
      </c>
      <c r="E13923" t="s">
        <v>31021</v>
      </c>
      <c r="F13923" t="s">
        <v>32831</v>
      </c>
      <c r="G13923" t="s">
        <v>32839</v>
      </c>
      <c r="H13923" t="s">
        <v>32849</v>
      </c>
      <c r="I13923" t="s">
        <v>4177</v>
      </c>
      <c r="J13923" t="s">
        <v>33118</v>
      </c>
      <c r="K13923" t="s">
        <v>42988</v>
      </c>
      <c r="M13923" t="s">
        <v>46950</v>
      </c>
      <c r="N13923" t="s">
        <v>47424</v>
      </c>
      <c r="O13923" t="s">
        <v>47425</v>
      </c>
      <c r="Q13923">
        <v>1</v>
      </c>
      <c r="R13923" t="s">
        <v>47445</v>
      </c>
      <c r="S13923" t="s">
        <v>48274</v>
      </c>
      <c r="T13923" t="s">
        <v>49141</v>
      </c>
      <c r="U13923" t="s">
        <v>61007</v>
      </c>
      <c r="W13923" t="s">
        <v>46950</v>
      </c>
      <c r="X13923" t="s">
        <v>47447</v>
      </c>
    </row>
    <row r="13924" spans="1:24">
      <c r="A13924">
        <f>HYPERLINK("https://www.philgeps.gov.ph/GEPSNONPILOT/Tender/SplashBidNoticeAbstractUI.aspx?menuIndex=3&amp;refID=7124571&amp;Result=3","7124571")</f>
        <v>0</v>
      </c>
      <c r="B13924" t="s">
        <v>3148</v>
      </c>
      <c r="C13924" t="s">
        <v>17056</v>
      </c>
      <c r="D13924" t="s">
        <v>19071</v>
      </c>
      <c r="E13924" t="s">
        <v>31022</v>
      </c>
      <c r="F13924" t="s">
        <v>32831</v>
      </c>
      <c r="G13924" t="s">
        <v>32839</v>
      </c>
      <c r="H13924" t="s">
        <v>32848</v>
      </c>
      <c r="I13924" t="s">
        <v>4177</v>
      </c>
      <c r="J13924" t="s">
        <v>33553</v>
      </c>
      <c r="K13924" t="s">
        <v>42729</v>
      </c>
      <c r="M13924" t="s">
        <v>46448</v>
      </c>
      <c r="N13924" t="s">
        <v>47424</v>
      </c>
      <c r="O13924" t="s">
        <v>47425</v>
      </c>
      <c r="P13924">
        <v>0</v>
      </c>
      <c r="Q13924">
        <v>2</v>
      </c>
      <c r="R13924" t="s">
        <v>47445</v>
      </c>
      <c r="S13924" t="s">
        <v>48250</v>
      </c>
      <c r="T13924" t="s">
        <v>49237</v>
      </c>
      <c r="U13924" t="s">
        <v>61008</v>
      </c>
      <c r="V13924" t="s">
        <v>63743</v>
      </c>
      <c r="W13924" t="s">
        <v>46448</v>
      </c>
      <c r="X13924" t="s">
        <v>47447</v>
      </c>
    </row>
    <row r="13925" spans="1:24">
      <c r="A13925">
        <f>HYPERLINK("https://www.philgeps.gov.ph/GEPSNONPILOT/Tender/SplashBidNoticeAbstractUI.aspx?menuIndex=3&amp;refID=7124919&amp;Result=3","7124919")</f>
        <v>0</v>
      </c>
      <c r="B13925" t="s">
        <v>948</v>
      </c>
      <c r="C13925" t="s">
        <v>17057</v>
      </c>
      <c r="D13925" t="s">
        <v>19017</v>
      </c>
      <c r="E13925" t="s">
        <v>31023</v>
      </c>
      <c r="F13925" t="s">
        <v>32831</v>
      </c>
      <c r="G13925" t="s">
        <v>32839</v>
      </c>
      <c r="H13925" t="s">
        <v>32848</v>
      </c>
      <c r="I13925" t="s">
        <v>32853</v>
      </c>
      <c r="J13925" t="s">
        <v>41462</v>
      </c>
      <c r="K13925" t="s">
        <v>42731</v>
      </c>
      <c r="M13925" t="s">
        <v>47176</v>
      </c>
      <c r="N13925" t="s">
        <v>47424</v>
      </c>
      <c r="O13925" t="s">
        <v>47425</v>
      </c>
      <c r="P13925">
        <v>0</v>
      </c>
      <c r="Q13925">
        <v>0</v>
      </c>
      <c r="R13925" t="s">
        <v>47445</v>
      </c>
      <c r="S13925" t="s">
        <v>48250</v>
      </c>
      <c r="T13925" t="s">
        <v>49239</v>
      </c>
      <c r="U13925" t="s">
        <v>61002</v>
      </c>
      <c r="W13925" t="s">
        <v>47176</v>
      </c>
      <c r="X13925" t="s">
        <v>47447</v>
      </c>
    </row>
    <row r="13926" spans="1:24">
      <c r="A13926">
        <f>HYPERLINK("https://www.philgeps.gov.ph/GEPSNONPILOT/Tender/SplashBidNoticeAbstractUI.aspx?menuIndex=3&amp;refID=7124821&amp;Result=3","7124821")</f>
        <v>0</v>
      </c>
      <c r="B13926" t="s">
        <v>948</v>
      </c>
      <c r="C13926" t="s">
        <v>17058</v>
      </c>
      <c r="D13926" t="s">
        <v>19017</v>
      </c>
      <c r="E13926" t="s">
        <v>31024</v>
      </c>
      <c r="F13926" t="s">
        <v>32831</v>
      </c>
      <c r="G13926" t="s">
        <v>32839</v>
      </c>
      <c r="H13926" t="s">
        <v>32848</v>
      </c>
      <c r="I13926" t="s">
        <v>4340</v>
      </c>
      <c r="J13926" t="s">
        <v>32985</v>
      </c>
      <c r="K13926" t="s">
        <v>42731</v>
      </c>
      <c r="M13926" t="s">
        <v>47176</v>
      </c>
      <c r="N13926" t="s">
        <v>47424</v>
      </c>
      <c r="O13926" t="s">
        <v>47425</v>
      </c>
      <c r="P13926">
        <v>0</v>
      </c>
      <c r="Q13926">
        <v>0</v>
      </c>
      <c r="R13926" t="s">
        <v>47445</v>
      </c>
      <c r="S13926" t="s">
        <v>48250</v>
      </c>
      <c r="T13926" t="s">
        <v>49239</v>
      </c>
      <c r="U13926" t="s">
        <v>61002</v>
      </c>
      <c r="W13926" t="s">
        <v>47176</v>
      </c>
      <c r="X13926" t="s">
        <v>47447</v>
      </c>
    </row>
    <row r="13927" spans="1:24">
      <c r="A13927">
        <f>HYPERLINK("https://www.philgeps.gov.ph/GEPSNONPILOT/Tender/SplashBidNoticeAbstractUI.aspx?menuIndex=3&amp;refID=7125339&amp;Result=3","7125339")</f>
        <v>0</v>
      </c>
      <c r="B13927" t="s">
        <v>93</v>
      </c>
      <c r="C13927" t="s">
        <v>17059</v>
      </c>
      <c r="D13927" t="s">
        <v>19035</v>
      </c>
      <c r="E13927" t="s">
        <v>31025</v>
      </c>
      <c r="F13927" t="s">
        <v>32831</v>
      </c>
      <c r="G13927" t="s">
        <v>32839</v>
      </c>
      <c r="H13927" t="s">
        <v>32849</v>
      </c>
      <c r="I13927" t="s">
        <v>4177</v>
      </c>
      <c r="J13927" t="s">
        <v>41463</v>
      </c>
      <c r="K13927" t="s">
        <v>42763</v>
      </c>
      <c r="M13927" t="s">
        <v>47177</v>
      </c>
      <c r="N13927" t="s">
        <v>47424</v>
      </c>
      <c r="O13927" t="s">
        <v>47425</v>
      </c>
      <c r="Q13927">
        <v>0</v>
      </c>
      <c r="R13927" t="s">
        <v>47445</v>
      </c>
      <c r="S13927" t="s">
        <v>48275</v>
      </c>
      <c r="T13927" t="s">
        <v>49175</v>
      </c>
      <c r="U13927" t="s">
        <v>61009</v>
      </c>
      <c r="W13927" t="s">
        <v>47177</v>
      </c>
      <c r="X13927" t="s">
        <v>47447</v>
      </c>
    </row>
    <row r="13928" spans="1:24">
      <c r="A13928">
        <f>HYPERLINK("https://www.philgeps.gov.ph/GEPSNONPILOT/Tender/SplashBidNoticeAbstractUI.aspx?menuIndex=3&amp;refID=7119916&amp;Result=3","7119916")</f>
        <v>0</v>
      </c>
      <c r="B13928" t="s">
        <v>2378</v>
      </c>
      <c r="C13928" t="s">
        <v>17060</v>
      </c>
      <c r="D13928" t="s">
        <v>19091</v>
      </c>
      <c r="E13928" t="s">
        <v>31026</v>
      </c>
      <c r="F13928" t="s">
        <v>32831</v>
      </c>
      <c r="G13928" t="s">
        <v>32839</v>
      </c>
      <c r="H13928" t="s">
        <v>32849</v>
      </c>
      <c r="I13928" t="s">
        <v>4177</v>
      </c>
      <c r="J13928" t="s">
        <v>41464</v>
      </c>
      <c r="K13928" t="s">
        <v>42930</v>
      </c>
      <c r="M13928" t="s">
        <v>45567</v>
      </c>
      <c r="N13928" t="s">
        <v>47424</v>
      </c>
      <c r="O13928" t="s">
        <v>47425</v>
      </c>
      <c r="Q13928">
        <v>63</v>
      </c>
      <c r="R13928" t="s">
        <v>47445</v>
      </c>
      <c r="S13928" t="s">
        <v>48276</v>
      </c>
      <c r="T13928" t="s">
        <v>49214</v>
      </c>
      <c r="U13928" t="s">
        <v>61010</v>
      </c>
      <c r="W13928" t="s">
        <v>45567</v>
      </c>
      <c r="X13928" t="s">
        <v>47449</v>
      </c>
    </row>
    <row r="13929" spans="1:24">
      <c r="A13929">
        <f>HYPERLINK("https://www.philgeps.gov.ph/GEPSNONPILOT/Tender/SplashBidNoticeAbstractUI.aspx?menuIndex=3&amp;refID=7125543&amp;Result=3","7125543")</f>
        <v>0</v>
      </c>
      <c r="B13929" t="s">
        <v>34</v>
      </c>
      <c r="C13929" t="s">
        <v>17061</v>
      </c>
      <c r="E13929" t="s">
        <v>31027</v>
      </c>
      <c r="F13929" t="s">
        <v>32831</v>
      </c>
      <c r="G13929" t="s">
        <v>32839</v>
      </c>
      <c r="H13929" t="s">
        <v>32849</v>
      </c>
      <c r="I13929" t="s">
        <v>4177</v>
      </c>
      <c r="J13929" t="s">
        <v>41465</v>
      </c>
      <c r="K13929" t="s">
        <v>42773</v>
      </c>
      <c r="M13929" t="s">
        <v>44653</v>
      </c>
      <c r="N13929" t="s">
        <v>47424</v>
      </c>
      <c r="O13929" t="s">
        <v>47425</v>
      </c>
      <c r="P13929">
        <v>0</v>
      </c>
      <c r="Q13929">
        <v>0</v>
      </c>
      <c r="R13929" t="s">
        <v>47445</v>
      </c>
      <c r="S13929" t="s">
        <v>48250</v>
      </c>
      <c r="T13929" t="s">
        <v>49127</v>
      </c>
      <c r="U13929" t="s">
        <v>61011</v>
      </c>
      <c r="W13929" t="s">
        <v>44653</v>
      </c>
      <c r="X13929" t="s">
        <v>47447</v>
      </c>
    </row>
    <row r="13930" spans="1:24">
      <c r="A13930">
        <f>HYPERLINK("https://www.philgeps.gov.ph/GEPSNONPILOT/Tender/SplashBidNoticeAbstractUI.aspx?menuIndex=3&amp;refID=7125466&amp;Result=3","7125466")</f>
        <v>0</v>
      </c>
      <c r="B13930" t="s">
        <v>3586</v>
      </c>
      <c r="C13930" t="s">
        <v>17062</v>
      </c>
      <c r="D13930" t="s">
        <v>19094</v>
      </c>
      <c r="E13930" t="s">
        <v>31028</v>
      </c>
      <c r="F13930" t="s">
        <v>32831</v>
      </c>
      <c r="G13930" t="s">
        <v>32839</v>
      </c>
      <c r="H13930" t="s">
        <v>32849</v>
      </c>
      <c r="I13930" t="s">
        <v>4177</v>
      </c>
      <c r="J13930" t="s">
        <v>33257</v>
      </c>
      <c r="K13930" t="s">
        <v>42763</v>
      </c>
      <c r="M13930" t="s">
        <v>46950</v>
      </c>
      <c r="N13930" t="s">
        <v>47424</v>
      </c>
      <c r="O13930" t="s">
        <v>47425</v>
      </c>
      <c r="Q13930">
        <v>1</v>
      </c>
      <c r="R13930" t="s">
        <v>47445</v>
      </c>
      <c r="S13930" t="s">
        <v>48277</v>
      </c>
      <c r="T13930" t="s">
        <v>49141</v>
      </c>
      <c r="U13930" t="s">
        <v>61012</v>
      </c>
      <c r="W13930" t="s">
        <v>46950</v>
      </c>
      <c r="X13930" t="s">
        <v>47447</v>
      </c>
    </row>
    <row r="13931" spans="1:24">
      <c r="A13931">
        <f>HYPERLINK("https://www.philgeps.gov.ph/GEPSNONPILOT/Tender/SplashBidNoticeAbstractUI.aspx?menuIndex=3&amp;refID=7125537&amp;Result=3","7125537")</f>
        <v>0</v>
      </c>
      <c r="B13931" t="s">
        <v>3357</v>
      </c>
      <c r="C13931" t="s">
        <v>17063</v>
      </c>
      <c r="D13931" t="s">
        <v>19054</v>
      </c>
      <c r="E13931" t="s">
        <v>31029</v>
      </c>
      <c r="F13931" t="s">
        <v>32831</v>
      </c>
      <c r="G13931" t="s">
        <v>32839</v>
      </c>
      <c r="H13931" t="s">
        <v>32848</v>
      </c>
      <c r="I13931" t="s">
        <v>7416</v>
      </c>
      <c r="J13931" t="s">
        <v>41466</v>
      </c>
      <c r="K13931" t="s">
        <v>42727</v>
      </c>
      <c r="M13931" t="s">
        <v>47178</v>
      </c>
      <c r="N13931" t="s">
        <v>47424</v>
      </c>
      <c r="O13931" t="s">
        <v>47425</v>
      </c>
      <c r="P13931">
        <v>0</v>
      </c>
      <c r="Q13931">
        <v>1</v>
      </c>
      <c r="R13931" t="s">
        <v>47445</v>
      </c>
      <c r="S13931" t="s">
        <v>48250</v>
      </c>
      <c r="T13931" t="s">
        <v>49151</v>
      </c>
      <c r="U13931" t="s">
        <v>61013</v>
      </c>
      <c r="W13931" t="s">
        <v>47178</v>
      </c>
      <c r="X13931" t="s">
        <v>47447</v>
      </c>
    </row>
    <row r="13932" spans="1:24">
      <c r="A13932">
        <f>HYPERLINK("https://www.philgeps.gov.ph/GEPSNONPILOT/Tender/SplashBidNoticeAbstractUI.aspx?menuIndex=3&amp;refID=7125482&amp;Result=3","7125482")</f>
        <v>0</v>
      </c>
      <c r="B13932" t="s">
        <v>34</v>
      </c>
      <c r="C13932" t="s">
        <v>17064</v>
      </c>
      <c r="E13932" t="s">
        <v>31030</v>
      </c>
      <c r="F13932" t="s">
        <v>32831</v>
      </c>
      <c r="G13932" t="s">
        <v>32839</v>
      </c>
      <c r="H13932" t="s">
        <v>32849</v>
      </c>
      <c r="I13932" t="s">
        <v>4177</v>
      </c>
      <c r="J13932" t="s">
        <v>41467</v>
      </c>
      <c r="K13932" t="s">
        <v>42751</v>
      </c>
      <c r="M13932" t="s">
        <v>44653</v>
      </c>
      <c r="N13932" t="s">
        <v>47424</v>
      </c>
      <c r="O13932" t="s">
        <v>47425</v>
      </c>
      <c r="P13932">
        <v>0</v>
      </c>
      <c r="Q13932">
        <v>0</v>
      </c>
      <c r="R13932" t="s">
        <v>47445</v>
      </c>
      <c r="S13932" t="s">
        <v>48250</v>
      </c>
      <c r="T13932" t="s">
        <v>49127</v>
      </c>
      <c r="U13932" t="s">
        <v>61014</v>
      </c>
      <c r="W13932" t="s">
        <v>44653</v>
      </c>
      <c r="X13932" t="s">
        <v>47447</v>
      </c>
    </row>
    <row r="13933" spans="1:24">
      <c r="A13933">
        <f>HYPERLINK("https://www.philgeps.gov.ph/GEPSNONPILOT/Tender/SplashBidNoticeAbstractUI.aspx?menuIndex=3&amp;refID=7124866&amp;Result=3","7124866")</f>
        <v>0</v>
      </c>
      <c r="B13933" t="s">
        <v>2168</v>
      </c>
      <c r="C13933" t="s">
        <v>17065</v>
      </c>
      <c r="D13933" t="s">
        <v>19045</v>
      </c>
      <c r="E13933" t="s">
        <v>31031</v>
      </c>
      <c r="F13933" t="s">
        <v>32831</v>
      </c>
      <c r="G13933" t="s">
        <v>32839</v>
      </c>
      <c r="H13933" t="s">
        <v>32849</v>
      </c>
      <c r="I13933" t="s">
        <v>4177</v>
      </c>
      <c r="J13933" t="s">
        <v>41458</v>
      </c>
      <c r="K13933" t="s">
        <v>42729</v>
      </c>
      <c r="M13933" t="s">
        <v>45346</v>
      </c>
      <c r="N13933" t="s">
        <v>47424</v>
      </c>
      <c r="O13933" t="s">
        <v>47425</v>
      </c>
      <c r="P13933">
        <v>0</v>
      </c>
      <c r="Q13933">
        <v>3</v>
      </c>
      <c r="R13933" t="s">
        <v>47445</v>
      </c>
      <c r="S13933" t="s">
        <v>48250</v>
      </c>
      <c r="T13933" t="s">
        <v>49114</v>
      </c>
      <c r="U13933" t="s">
        <v>61004</v>
      </c>
      <c r="W13933" t="s">
        <v>45346</v>
      </c>
      <c r="X13933" t="s">
        <v>47447</v>
      </c>
    </row>
    <row r="13934" spans="1:24">
      <c r="A13934">
        <f>HYPERLINK("https://www.philgeps.gov.ph/GEPSNONPILOT/Tender/SplashBidNoticeAbstractUI.aspx?menuIndex=3&amp;refID=7125285&amp;Result=3","7125285")</f>
        <v>0</v>
      </c>
      <c r="B13934" t="s">
        <v>34</v>
      </c>
      <c r="C13934" t="s">
        <v>17066</v>
      </c>
      <c r="E13934" t="s">
        <v>31032</v>
      </c>
      <c r="F13934" t="s">
        <v>32831</v>
      </c>
      <c r="G13934" t="s">
        <v>32839</v>
      </c>
      <c r="H13934" t="s">
        <v>32849</v>
      </c>
      <c r="I13934" t="s">
        <v>4177</v>
      </c>
      <c r="J13934" t="s">
        <v>41468</v>
      </c>
      <c r="K13934" t="s">
        <v>42781</v>
      </c>
      <c r="M13934" t="s">
        <v>44653</v>
      </c>
      <c r="N13934" t="s">
        <v>47424</v>
      </c>
      <c r="O13934" t="s">
        <v>47425</v>
      </c>
      <c r="P13934">
        <v>0</v>
      </c>
      <c r="Q13934">
        <v>1</v>
      </c>
      <c r="R13934" t="s">
        <v>47445</v>
      </c>
      <c r="S13934" t="s">
        <v>48250</v>
      </c>
      <c r="T13934" t="s">
        <v>49127</v>
      </c>
      <c r="U13934" t="s">
        <v>61015</v>
      </c>
      <c r="W13934" t="s">
        <v>44653</v>
      </c>
      <c r="X13934" t="s">
        <v>47447</v>
      </c>
    </row>
    <row r="13935" spans="1:24">
      <c r="A13935">
        <f>HYPERLINK("https://www.philgeps.gov.ph/GEPSNONPILOT/Tender/SplashBidNoticeAbstractUI.aspx?menuIndex=3&amp;refID=7125427&amp;Result=3","7125427")</f>
        <v>0</v>
      </c>
      <c r="B13935" t="s">
        <v>34</v>
      </c>
      <c r="C13935" t="s">
        <v>17067</v>
      </c>
      <c r="E13935" t="s">
        <v>31033</v>
      </c>
      <c r="F13935" t="s">
        <v>32831</v>
      </c>
      <c r="G13935" t="s">
        <v>32839</v>
      </c>
      <c r="H13935" t="s">
        <v>32849</v>
      </c>
      <c r="I13935" t="s">
        <v>4177</v>
      </c>
      <c r="J13935" t="s">
        <v>41469</v>
      </c>
      <c r="K13935" t="s">
        <v>42747</v>
      </c>
      <c r="M13935" t="s">
        <v>44653</v>
      </c>
      <c r="N13935" t="s">
        <v>47424</v>
      </c>
      <c r="O13935" t="s">
        <v>47425</v>
      </c>
      <c r="P13935">
        <v>0</v>
      </c>
      <c r="Q13935">
        <v>0</v>
      </c>
      <c r="R13935" t="s">
        <v>47445</v>
      </c>
      <c r="S13935" t="s">
        <v>48250</v>
      </c>
      <c r="T13935" t="s">
        <v>49127</v>
      </c>
      <c r="U13935" t="s">
        <v>61016</v>
      </c>
      <c r="W13935" t="s">
        <v>44653</v>
      </c>
      <c r="X13935" t="s">
        <v>47447</v>
      </c>
    </row>
    <row r="13936" spans="1:24">
      <c r="A13936">
        <f>HYPERLINK("https://www.philgeps.gov.ph/GEPSNONPILOT/Tender/SplashBidNoticeAbstractUI.aspx?menuIndex=3&amp;refID=7124765&amp;Result=3","7124765")</f>
        <v>0</v>
      </c>
      <c r="B13936" t="s">
        <v>948</v>
      </c>
      <c r="C13936" t="s">
        <v>17068</v>
      </c>
      <c r="D13936" t="s">
        <v>19017</v>
      </c>
      <c r="E13936" t="s">
        <v>31034</v>
      </c>
      <c r="F13936" t="s">
        <v>32831</v>
      </c>
      <c r="G13936" t="s">
        <v>32839</v>
      </c>
      <c r="H13936" t="s">
        <v>32848</v>
      </c>
      <c r="I13936" t="s">
        <v>32860</v>
      </c>
      <c r="J13936" t="s">
        <v>32985</v>
      </c>
      <c r="K13936" t="s">
        <v>42731</v>
      </c>
      <c r="M13936" t="s">
        <v>47176</v>
      </c>
      <c r="N13936" t="s">
        <v>47424</v>
      </c>
      <c r="O13936" t="s">
        <v>47425</v>
      </c>
      <c r="P13936">
        <v>0</v>
      </c>
      <c r="Q13936">
        <v>4</v>
      </c>
      <c r="R13936" t="s">
        <v>47445</v>
      </c>
      <c r="S13936" t="s">
        <v>48250</v>
      </c>
      <c r="T13936" t="s">
        <v>49239</v>
      </c>
      <c r="U13936" t="s">
        <v>61006</v>
      </c>
      <c r="W13936" t="s">
        <v>47176</v>
      </c>
      <c r="X13936" t="s">
        <v>47447</v>
      </c>
    </row>
    <row r="13937" spans="1:24">
      <c r="A13937">
        <f>HYPERLINK("https://www.philgeps.gov.ph/GEPSNONPILOT/Tender/SplashBidNoticeAbstractUI.aspx?menuIndex=3&amp;refID=7125289&amp;Result=3","7125289")</f>
        <v>0</v>
      </c>
      <c r="B13937" t="s">
        <v>2168</v>
      </c>
      <c r="C13937" t="s">
        <v>17069</v>
      </c>
      <c r="D13937" t="s">
        <v>19045</v>
      </c>
      <c r="E13937" t="s">
        <v>31035</v>
      </c>
      <c r="F13937" t="s">
        <v>32831</v>
      </c>
      <c r="G13937" t="s">
        <v>32839</v>
      </c>
      <c r="H13937" t="s">
        <v>32849</v>
      </c>
      <c r="I13937" t="s">
        <v>4177</v>
      </c>
      <c r="J13937" t="s">
        <v>41458</v>
      </c>
      <c r="K13937" t="s">
        <v>42729</v>
      </c>
      <c r="M13937" t="s">
        <v>45346</v>
      </c>
      <c r="N13937" t="s">
        <v>47424</v>
      </c>
      <c r="O13937" t="s">
        <v>47425</v>
      </c>
      <c r="P13937">
        <v>0</v>
      </c>
      <c r="Q13937">
        <v>2</v>
      </c>
      <c r="R13937" t="s">
        <v>47445</v>
      </c>
      <c r="S13937" t="s">
        <v>48250</v>
      </c>
      <c r="T13937" t="s">
        <v>49141</v>
      </c>
      <c r="U13937" t="s">
        <v>61004</v>
      </c>
      <c r="W13937" t="s">
        <v>45346</v>
      </c>
      <c r="X13937" t="s">
        <v>47447</v>
      </c>
    </row>
    <row r="13938" spans="1:24">
      <c r="A13938">
        <f>HYPERLINK("https://www.philgeps.gov.ph/GEPSNONPILOT/Tender/SplashBidNoticeAbstractUI.aspx?menuIndex=3&amp;refID=7125141&amp;Result=3","7125141")</f>
        <v>0</v>
      </c>
      <c r="B13938" t="s">
        <v>2192</v>
      </c>
      <c r="C13938" t="s">
        <v>17070</v>
      </c>
      <c r="D13938" t="s">
        <v>19037</v>
      </c>
      <c r="E13938" t="s">
        <v>31036</v>
      </c>
      <c r="F13938" t="s">
        <v>32831</v>
      </c>
      <c r="G13938" t="s">
        <v>32839</v>
      </c>
      <c r="H13938" t="s">
        <v>32849</v>
      </c>
      <c r="I13938" t="s">
        <v>4177</v>
      </c>
      <c r="J13938" t="s">
        <v>41470</v>
      </c>
      <c r="K13938" t="s">
        <v>42834</v>
      </c>
      <c r="M13938" t="s">
        <v>45372</v>
      </c>
      <c r="N13938" t="s">
        <v>47424</v>
      </c>
      <c r="O13938" t="s">
        <v>47425</v>
      </c>
      <c r="P13938">
        <v>0</v>
      </c>
      <c r="Q13938">
        <v>1</v>
      </c>
      <c r="R13938" t="s">
        <v>47445</v>
      </c>
      <c r="S13938" t="s">
        <v>48250</v>
      </c>
      <c r="T13938" t="s">
        <v>49108</v>
      </c>
      <c r="U13938" t="s">
        <v>61017</v>
      </c>
      <c r="W13938" t="s">
        <v>45372</v>
      </c>
      <c r="X13938" t="s">
        <v>47447</v>
      </c>
    </row>
    <row r="13939" spans="1:24">
      <c r="A13939">
        <f>HYPERLINK("https://www.philgeps.gov.ph/GEPSNONPILOT/Tender/SplashBidNoticeAbstractUI.aspx?menuIndex=3&amp;refID=7125144&amp;Result=3","7125144")</f>
        <v>0</v>
      </c>
      <c r="B13939" t="s">
        <v>3586</v>
      </c>
      <c r="C13939" t="s">
        <v>17071</v>
      </c>
      <c r="D13939" t="s">
        <v>19094</v>
      </c>
      <c r="E13939" t="s">
        <v>31037</v>
      </c>
      <c r="F13939" t="s">
        <v>32831</v>
      </c>
      <c r="G13939" t="s">
        <v>32839</v>
      </c>
      <c r="H13939" t="s">
        <v>32849</v>
      </c>
      <c r="I13939" t="s">
        <v>4177</v>
      </c>
      <c r="J13939" t="s">
        <v>35531</v>
      </c>
      <c r="K13939" t="s">
        <v>42755</v>
      </c>
      <c r="M13939" t="s">
        <v>46950</v>
      </c>
      <c r="N13939" t="s">
        <v>47424</v>
      </c>
      <c r="O13939" t="s">
        <v>47425</v>
      </c>
      <c r="P13939">
        <v>0</v>
      </c>
      <c r="Q13939">
        <v>1</v>
      </c>
      <c r="R13939" t="s">
        <v>47445</v>
      </c>
      <c r="S13939" t="s">
        <v>48250</v>
      </c>
      <c r="T13939" t="s">
        <v>49141</v>
      </c>
      <c r="U13939" t="s">
        <v>61018</v>
      </c>
      <c r="W13939" t="s">
        <v>46950</v>
      </c>
      <c r="X13939" t="s">
        <v>47447</v>
      </c>
    </row>
    <row r="13940" spans="1:24">
      <c r="A13940">
        <f>HYPERLINK("https://www.philgeps.gov.ph/GEPSNONPILOT/Tender/SplashBidNoticeAbstractUI.aspx?menuIndex=3&amp;refID=7125130&amp;Result=3","7125130")</f>
        <v>0</v>
      </c>
      <c r="B13940" t="s">
        <v>948</v>
      </c>
      <c r="C13940" t="s">
        <v>17072</v>
      </c>
      <c r="D13940" t="s">
        <v>19017</v>
      </c>
      <c r="E13940" t="s">
        <v>31038</v>
      </c>
      <c r="F13940" t="s">
        <v>32831</v>
      </c>
      <c r="G13940" t="s">
        <v>32839</v>
      </c>
      <c r="H13940" t="s">
        <v>32848</v>
      </c>
      <c r="I13940" t="s">
        <v>4340</v>
      </c>
      <c r="J13940" t="s">
        <v>41461</v>
      </c>
      <c r="K13940" t="s">
        <v>42731</v>
      </c>
      <c r="M13940" t="s">
        <v>47176</v>
      </c>
      <c r="N13940" t="s">
        <v>47424</v>
      </c>
      <c r="O13940" t="s">
        <v>47425</v>
      </c>
      <c r="P13940">
        <v>0</v>
      </c>
      <c r="Q13940">
        <v>1</v>
      </c>
      <c r="R13940" t="s">
        <v>47445</v>
      </c>
      <c r="S13940" t="s">
        <v>48250</v>
      </c>
      <c r="T13940" t="s">
        <v>49239</v>
      </c>
      <c r="U13940" t="s">
        <v>61002</v>
      </c>
      <c r="W13940" t="s">
        <v>47176</v>
      </c>
      <c r="X13940" t="s">
        <v>47447</v>
      </c>
    </row>
    <row r="13941" spans="1:24">
      <c r="A13941">
        <f>HYPERLINK("https://www.philgeps.gov.ph/GEPSNONPILOT/Tender/SplashBidNoticeAbstractUI.aspx?menuIndex=3&amp;refID=7125261&amp;Result=3","7125261")</f>
        <v>0</v>
      </c>
      <c r="B13941" t="s">
        <v>3586</v>
      </c>
      <c r="C13941" t="s">
        <v>17073</v>
      </c>
      <c r="D13941" t="s">
        <v>19094</v>
      </c>
      <c r="E13941" t="s">
        <v>31039</v>
      </c>
      <c r="F13941" t="s">
        <v>32831</v>
      </c>
      <c r="G13941" t="s">
        <v>32839</v>
      </c>
      <c r="H13941" t="s">
        <v>32849</v>
      </c>
      <c r="I13941" t="s">
        <v>4177</v>
      </c>
      <c r="J13941" t="s">
        <v>33024</v>
      </c>
      <c r="K13941" t="s">
        <v>42962</v>
      </c>
      <c r="M13941" t="s">
        <v>46950</v>
      </c>
      <c r="N13941" t="s">
        <v>47424</v>
      </c>
      <c r="O13941" t="s">
        <v>47425</v>
      </c>
      <c r="Q13941">
        <v>1</v>
      </c>
      <c r="R13941" t="s">
        <v>47445</v>
      </c>
      <c r="S13941" t="s">
        <v>48278</v>
      </c>
      <c r="T13941" t="s">
        <v>49141</v>
      </c>
      <c r="U13941" t="s">
        <v>61019</v>
      </c>
      <c r="W13941" t="s">
        <v>46950</v>
      </c>
      <c r="X13941" t="s">
        <v>47447</v>
      </c>
    </row>
    <row r="13942" spans="1:24">
      <c r="A13942">
        <f>HYPERLINK("https://www.philgeps.gov.ph/GEPSNONPILOT/Tender/SplashBidNoticeAbstractUI.aspx?menuIndex=3&amp;refID=7125424&amp;Result=3","7125424")</f>
        <v>0</v>
      </c>
      <c r="B13942" t="s">
        <v>93</v>
      </c>
      <c r="C13942" t="s">
        <v>17074</v>
      </c>
      <c r="D13942" t="s">
        <v>19035</v>
      </c>
      <c r="E13942" t="s">
        <v>31040</v>
      </c>
      <c r="F13942" t="s">
        <v>32831</v>
      </c>
      <c r="G13942" t="s">
        <v>32839</v>
      </c>
      <c r="H13942" t="s">
        <v>32848</v>
      </c>
      <c r="I13942" t="s">
        <v>32892</v>
      </c>
      <c r="J13942" t="s">
        <v>41471</v>
      </c>
      <c r="K13942" t="s">
        <v>42745</v>
      </c>
      <c r="M13942" t="s">
        <v>47177</v>
      </c>
      <c r="N13942" t="s">
        <v>47424</v>
      </c>
      <c r="O13942" t="s">
        <v>47425</v>
      </c>
      <c r="Q13942">
        <v>5</v>
      </c>
      <c r="R13942" t="s">
        <v>47445</v>
      </c>
      <c r="S13942" t="s">
        <v>48279</v>
      </c>
      <c r="T13942" t="s">
        <v>49066</v>
      </c>
      <c r="U13942" t="s">
        <v>61020</v>
      </c>
      <c r="V13942" t="s">
        <v>64210</v>
      </c>
      <c r="W13942" t="s">
        <v>47177</v>
      </c>
      <c r="X13942" t="s">
        <v>47447</v>
      </c>
    </row>
    <row r="13943" spans="1:24">
      <c r="A13943">
        <f>HYPERLINK("https://www.philgeps.gov.ph/GEPSNONPILOT/Tender/SplashBidNoticeAbstractUI.aspx?menuIndex=3&amp;refID=7125078&amp;Result=3","7125078")</f>
        <v>0</v>
      </c>
      <c r="B13943" t="s">
        <v>2168</v>
      </c>
      <c r="C13943" t="s">
        <v>17075</v>
      </c>
      <c r="D13943" t="s">
        <v>19045</v>
      </c>
      <c r="E13943" t="s">
        <v>31041</v>
      </c>
      <c r="F13943" t="s">
        <v>32831</v>
      </c>
      <c r="G13943" t="s">
        <v>32839</v>
      </c>
      <c r="H13943" t="s">
        <v>32849</v>
      </c>
      <c r="I13943" t="s">
        <v>4177</v>
      </c>
      <c r="J13943" t="s">
        <v>41458</v>
      </c>
      <c r="K13943" t="s">
        <v>42729</v>
      </c>
      <c r="M13943" t="s">
        <v>45346</v>
      </c>
      <c r="N13943" t="s">
        <v>47424</v>
      </c>
      <c r="O13943" t="s">
        <v>47425</v>
      </c>
      <c r="P13943">
        <v>0</v>
      </c>
      <c r="Q13943">
        <v>2</v>
      </c>
      <c r="R13943" t="s">
        <v>47445</v>
      </c>
      <c r="S13943" t="s">
        <v>48250</v>
      </c>
      <c r="T13943" t="s">
        <v>49141</v>
      </c>
      <c r="U13943" t="s">
        <v>61004</v>
      </c>
      <c r="W13943" t="s">
        <v>45346</v>
      </c>
      <c r="X13943" t="s">
        <v>47447</v>
      </c>
    </row>
    <row r="13944" spans="1:24">
      <c r="A13944">
        <f>HYPERLINK("https://www.philgeps.gov.ph/GEPSNONPILOT/Tender/SplashBidNoticeAbstractUI.aspx?menuIndex=3&amp;refID=7124551&amp;Result=3","7124551")</f>
        <v>0</v>
      </c>
      <c r="B13944" t="s">
        <v>948</v>
      </c>
      <c r="C13944" t="s">
        <v>17076</v>
      </c>
      <c r="D13944" t="s">
        <v>19017</v>
      </c>
      <c r="E13944" t="s">
        <v>31042</v>
      </c>
      <c r="F13944" t="s">
        <v>32831</v>
      </c>
      <c r="G13944" t="s">
        <v>32839</v>
      </c>
      <c r="H13944" t="s">
        <v>32848</v>
      </c>
      <c r="I13944" t="s">
        <v>32860</v>
      </c>
      <c r="J13944" t="s">
        <v>41456</v>
      </c>
      <c r="K13944" t="s">
        <v>42731</v>
      </c>
      <c r="M13944" t="s">
        <v>47176</v>
      </c>
      <c r="N13944" t="s">
        <v>47424</v>
      </c>
      <c r="O13944" t="s">
        <v>47425</v>
      </c>
      <c r="P13944">
        <v>0</v>
      </c>
      <c r="Q13944">
        <v>3</v>
      </c>
      <c r="R13944" t="s">
        <v>47445</v>
      </c>
      <c r="S13944" t="s">
        <v>48250</v>
      </c>
      <c r="T13944" t="s">
        <v>49239</v>
      </c>
      <c r="U13944" t="s">
        <v>61006</v>
      </c>
      <c r="W13944" t="s">
        <v>47176</v>
      </c>
      <c r="X13944" t="s">
        <v>47447</v>
      </c>
    </row>
    <row r="13945" spans="1:24">
      <c r="A13945">
        <f>HYPERLINK("https://www.philgeps.gov.ph/GEPSNONPILOT/Tender/SplashBidNoticeAbstractUI.aspx?menuIndex=3&amp;refID=7125080&amp;Result=3","7125080")</f>
        <v>0</v>
      </c>
      <c r="B13945" t="s">
        <v>948</v>
      </c>
      <c r="C13945" t="s">
        <v>17077</v>
      </c>
      <c r="D13945" t="s">
        <v>19017</v>
      </c>
      <c r="E13945" t="s">
        <v>31043</v>
      </c>
      <c r="F13945" t="s">
        <v>32831</v>
      </c>
      <c r="G13945" t="s">
        <v>32839</v>
      </c>
      <c r="H13945" t="s">
        <v>32848</v>
      </c>
      <c r="I13945" t="s">
        <v>32853</v>
      </c>
      <c r="J13945" t="s">
        <v>41462</v>
      </c>
      <c r="K13945" t="s">
        <v>42731</v>
      </c>
      <c r="M13945" t="s">
        <v>47176</v>
      </c>
      <c r="N13945" t="s">
        <v>47424</v>
      </c>
      <c r="O13945" t="s">
        <v>47425</v>
      </c>
      <c r="P13945">
        <v>0</v>
      </c>
      <c r="Q13945">
        <v>1</v>
      </c>
      <c r="R13945" t="s">
        <v>47445</v>
      </c>
      <c r="S13945" t="s">
        <v>48250</v>
      </c>
      <c r="T13945" t="s">
        <v>49239</v>
      </c>
      <c r="U13945" t="s">
        <v>61002</v>
      </c>
      <c r="W13945" t="s">
        <v>47176</v>
      </c>
      <c r="X13945" t="s">
        <v>47447</v>
      </c>
    </row>
    <row r="13946" spans="1:24">
      <c r="A13946">
        <f>HYPERLINK("https://www.philgeps.gov.ph/GEPSNONPILOT/Tender/SplashBidNoticeAbstractUI.aspx?menuIndex=3&amp;refID=7125176&amp;Result=3","7125176")</f>
        <v>0</v>
      </c>
      <c r="B13946" t="s">
        <v>2168</v>
      </c>
      <c r="C13946" t="s">
        <v>17078</v>
      </c>
      <c r="D13946" t="s">
        <v>19045</v>
      </c>
      <c r="E13946" t="s">
        <v>31044</v>
      </c>
      <c r="F13946" t="s">
        <v>32831</v>
      </c>
      <c r="G13946" t="s">
        <v>32839</v>
      </c>
      <c r="H13946" t="s">
        <v>32849</v>
      </c>
      <c r="I13946" t="s">
        <v>4177</v>
      </c>
      <c r="J13946" t="s">
        <v>41458</v>
      </c>
      <c r="K13946" t="s">
        <v>42729</v>
      </c>
      <c r="M13946" t="s">
        <v>45346</v>
      </c>
      <c r="N13946" t="s">
        <v>47424</v>
      </c>
      <c r="O13946" t="s">
        <v>47425</v>
      </c>
      <c r="P13946">
        <v>0</v>
      </c>
      <c r="Q13946">
        <v>1</v>
      </c>
      <c r="R13946" t="s">
        <v>47445</v>
      </c>
      <c r="S13946" t="s">
        <v>48250</v>
      </c>
      <c r="T13946" t="s">
        <v>49141</v>
      </c>
      <c r="U13946" t="s">
        <v>61004</v>
      </c>
      <c r="W13946" t="s">
        <v>45346</v>
      </c>
      <c r="X13946" t="s">
        <v>47447</v>
      </c>
    </row>
    <row r="13947" spans="1:24">
      <c r="A13947">
        <f>HYPERLINK("https://www.philgeps.gov.ph/GEPSNONPILOT/Tender/SplashBidNoticeAbstractUI.aspx?menuIndex=3&amp;refID=7124542&amp;Result=3","7124542")</f>
        <v>0</v>
      </c>
      <c r="B13947" t="s">
        <v>100</v>
      </c>
      <c r="C13947" t="s">
        <v>17079</v>
      </c>
      <c r="D13947" t="s">
        <v>19017</v>
      </c>
      <c r="E13947" t="s">
        <v>31045</v>
      </c>
      <c r="F13947" t="s">
        <v>32831</v>
      </c>
      <c r="G13947" t="s">
        <v>32839</v>
      </c>
      <c r="H13947" t="s">
        <v>32848</v>
      </c>
      <c r="I13947" t="s">
        <v>32914</v>
      </c>
      <c r="J13947" t="s">
        <v>41472</v>
      </c>
      <c r="K13947" t="s">
        <v>42731</v>
      </c>
      <c r="M13947" t="s">
        <v>47179</v>
      </c>
      <c r="N13947" t="s">
        <v>47424</v>
      </c>
      <c r="O13947" t="s">
        <v>47425</v>
      </c>
      <c r="Q13947">
        <v>7</v>
      </c>
      <c r="R13947" t="s">
        <v>47445</v>
      </c>
      <c r="S13947" t="s">
        <v>48280</v>
      </c>
      <c r="T13947" t="s">
        <v>49321</v>
      </c>
      <c r="U13947" t="s">
        <v>61021</v>
      </c>
      <c r="V13947" t="s">
        <v>64211</v>
      </c>
      <c r="W13947" t="s">
        <v>47179</v>
      </c>
      <c r="X13947" t="s">
        <v>47447</v>
      </c>
    </row>
    <row r="13948" spans="1:24">
      <c r="A13948">
        <f>HYPERLINK("https://www.philgeps.gov.ph/GEPSNONPILOT/Tender/SplashBidNoticeAbstractUI.aspx?menuIndex=3&amp;refID=7126264&amp;Result=3","7126264")</f>
        <v>0</v>
      </c>
      <c r="B13948" t="s">
        <v>48</v>
      </c>
      <c r="C13948" t="s">
        <v>17080</v>
      </c>
      <c r="D13948" t="s">
        <v>19036</v>
      </c>
      <c r="E13948" t="s">
        <v>30766</v>
      </c>
      <c r="F13948" t="s">
        <v>32831</v>
      </c>
      <c r="G13948" t="s">
        <v>32839</v>
      </c>
      <c r="H13948" t="s">
        <v>32849</v>
      </c>
      <c r="I13948" t="s">
        <v>4177</v>
      </c>
      <c r="J13948" t="s">
        <v>41473</v>
      </c>
      <c r="K13948" t="s">
        <v>42796</v>
      </c>
      <c r="M13948" t="s">
        <v>43045</v>
      </c>
      <c r="N13948" t="s">
        <v>47424</v>
      </c>
      <c r="O13948" t="s">
        <v>47425</v>
      </c>
      <c r="P13948">
        <v>0</v>
      </c>
      <c r="Q13948">
        <v>0</v>
      </c>
      <c r="R13948" t="s">
        <v>47445</v>
      </c>
      <c r="S13948" t="s">
        <v>48250</v>
      </c>
      <c r="T13948" t="s">
        <v>49237</v>
      </c>
      <c r="U13948" t="s">
        <v>61022</v>
      </c>
      <c r="W13948" t="s">
        <v>43045</v>
      </c>
      <c r="X13948" t="s">
        <v>47447</v>
      </c>
    </row>
    <row r="13949" spans="1:24">
      <c r="A13949">
        <f>HYPERLINK("https://www.philgeps.gov.ph/GEPSNONPILOT/Tender/SplashBidNoticeAbstractUI.aspx?menuIndex=3&amp;refID=7126232&amp;Result=3","7126232")</f>
        <v>0</v>
      </c>
      <c r="B13949" t="s">
        <v>48</v>
      </c>
      <c r="C13949" t="s">
        <v>17081</v>
      </c>
      <c r="D13949" t="s">
        <v>19036</v>
      </c>
      <c r="E13949" t="s">
        <v>31046</v>
      </c>
      <c r="F13949" t="s">
        <v>32831</v>
      </c>
      <c r="G13949" t="s">
        <v>32839</v>
      </c>
      <c r="H13949" t="s">
        <v>32849</v>
      </c>
      <c r="I13949" t="s">
        <v>4177</v>
      </c>
      <c r="J13949" t="s">
        <v>41474</v>
      </c>
      <c r="K13949" t="s">
        <v>42989</v>
      </c>
      <c r="M13949" t="s">
        <v>43045</v>
      </c>
      <c r="N13949" t="s">
        <v>47424</v>
      </c>
      <c r="O13949" t="s">
        <v>47425</v>
      </c>
      <c r="P13949">
        <v>0</v>
      </c>
      <c r="Q13949">
        <v>1</v>
      </c>
      <c r="R13949" t="s">
        <v>47445</v>
      </c>
      <c r="S13949" t="s">
        <v>48250</v>
      </c>
      <c r="T13949" t="s">
        <v>49237</v>
      </c>
      <c r="U13949" t="s">
        <v>61023</v>
      </c>
      <c r="W13949" t="s">
        <v>43045</v>
      </c>
      <c r="X13949" t="s">
        <v>47447</v>
      </c>
    </row>
    <row r="13950" spans="1:24">
      <c r="A13950">
        <f>HYPERLINK("https://www.philgeps.gov.ph/GEPSNONPILOT/Tender/SplashBidNoticeAbstractUI.aspx?menuIndex=3&amp;refID=7126257&amp;Result=3","7126257")</f>
        <v>0</v>
      </c>
      <c r="B13950" t="s">
        <v>48</v>
      </c>
      <c r="C13950" t="s">
        <v>17082</v>
      </c>
      <c r="D13950" t="s">
        <v>19036</v>
      </c>
      <c r="E13950" t="s">
        <v>31047</v>
      </c>
      <c r="F13950" t="s">
        <v>32831</v>
      </c>
      <c r="G13950" t="s">
        <v>32839</v>
      </c>
      <c r="H13950" t="s">
        <v>32849</v>
      </c>
      <c r="I13950" t="s">
        <v>4177</v>
      </c>
      <c r="J13950" t="s">
        <v>41475</v>
      </c>
      <c r="K13950" t="s">
        <v>42821</v>
      </c>
      <c r="M13950" t="s">
        <v>43045</v>
      </c>
      <c r="N13950" t="s">
        <v>47424</v>
      </c>
      <c r="O13950" t="s">
        <v>47425</v>
      </c>
      <c r="P13950">
        <v>0</v>
      </c>
      <c r="Q13950">
        <v>0</v>
      </c>
      <c r="R13950" t="s">
        <v>47445</v>
      </c>
      <c r="S13950" t="s">
        <v>48250</v>
      </c>
      <c r="T13950" t="s">
        <v>49237</v>
      </c>
      <c r="U13950" t="s">
        <v>61024</v>
      </c>
      <c r="W13950" t="s">
        <v>43045</v>
      </c>
      <c r="X13950" t="s">
        <v>47447</v>
      </c>
    </row>
    <row r="13951" spans="1:24">
      <c r="A13951">
        <f>HYPERLINK("https://www.philgeps.gov.ph/GEPSNONPILOT/Tender/SplashBidNoticeAbstractUI.aspx?menuIndex=3&amp;refID=7126125&amp;Result=3","7126125")</f>
        <v>0</v>
      </c>
      <c r="B13951" t="s">
        <v>3118</v>
      </c>
      <c r="C13951" t="s">
        <v>17083</v>
      </c>
      <c r="D13951" t="s">
        <v>19017</v>
      </c>
      <c r="E13951" t="s">
        <v>31048</v>
      </c>
      <c r="F13951" t="s">
        <v>32831</v>
      </c>
      <c r="G13951" t="s">
        <v>32839</v>
      </c>
      <c r="H13951" t="s">
        <v>32848</v>
      </c>
      <c r="I13951" t="s">
        <v>4438</v>
      </c>
      <c r="J13951" t="s">
        <v>41476</v>
      </c>
      <c r="K13951" t="s">
        <v>42727</v>
      </c>
      <c r="M13951" t="s">
        <v>46437</v>
      </c>
      <c r="N13951" t="s">
        <v>47424</v>
      </c>
      <c r="O13951" t="s">
        <v>47425</v>
      </c>
      <c r="P13951">
        <v>0</v>
      </c>
      <c r="Q13951">
        <v>2</v>
      </c>
      <c r="R13951" t="s">
        <v>47445</v>
      </c>
      <c r="S13951" t="s">
        <v>48250</v>
      </c>
      <c r="T13951" t="s">
        <v>49111</v>
      </c>
      <c r="U13951" t="s">
        <v>57952</v>
      </c>
      <c r="W13951" t="s">
        <v>46437</v>
      </c>
      <c r="X13951" t="s">
        <v>47447</v>
      </c>
    </row>
    <row r="13952" spans="1:24">
      <c r="A13952">
        <f>HYPERLINK("https://www.philgeps.gov.ph/GEPSNONPILOT/Tender/SplashBidNoticeAbstractUI.aspx?menuIndex=3&amp;refID=7126108&amp;Result=3","7126108")</f>
        <v>0</v>
      </c>
      <c r="B13952" t="s">
        <v>3118</v>
      </c>
      <c r="C13952" t="s">
        <v>17084</v>
      </c>
      <c r="D13952" t="s">
        <v>19017</v>
      </c>
      <c r="E13952" t="s">
        <v>31049</v>
      </c>
      <c r="F13952" t="s">
        <v>32831</v>
      </c>
      <c r="G13952" t="s">
        <v>32839</v>
      </c>
      <c r="H13952" t="s">
        <v>32848</v>
      </c>
      <c r="I13952" t="s">
        <v>4222</v>
      </c>
      <c r="J13952" t="s">
        <v>41477</v>
      </c>
      <c r="K13952" t="s">
        <v>42727</v>
      </c>
      <c r="M13952" t="s">
        <v>46437</v>
      </c>
      <c r="N13952" t="s">
        <v>47424</v>
      </c>
      <c r="O13952" t="s">
        <v>47425</v>
      </c>
      <c r="P13952">
        <v>0</v>
      </c>
      <c r="Q13952">
        <v>1</v>
      </c>
      <c r="R13952" t="s">
        <v>47445</v>
      </c>
      <c r="S13952" t="s">
        <v>48250</v>
      </c>
      <c r="T13952" t="s">
        <v>49111</v>
      </c>
      <c r="U13952" t="s">
        <v>57931</v>
      </c>
      <c r="W13952" t="s">
        <v>46437</v>
      </c>
      <c r="X13952" t="s">
        <v>47447</v>
      </c>
    </row>
    <row r="13953" spans="1:24">
      <c r="A13953">
        <f>HYPERLINK("https://www.philgeps.gov.ph/GEPSNONPILOT/Tender/SplashBidNoticeAbstractUI.aspx?menuIndex=3&amp;refID=7126087&amp;Result=3","7126087")</f>
        <v>0</v>
      </c>
      <c r="B13953" t="s">
        <v>3118</v>
      </c>
      <c r="C13953" t="s">
        <v>17085</v>
      </c>
      <c r="D13953" t="s">
        <v>19017</v>
      </c>
      <c r="E13953" t="s">
        <v>31050</v>
      </c>
      <c r="F13953" t="s">
        <v>32831</v>
      </c>
      <c r="G13953" t="s">
        <v>32839</v>
      </c>
      <c r="H13953" t="s">
        <v>32848</v>
      </c>
      <c r="I13953" t="s">
        <v>4222</v>
      </c>
      <c r="J13953" t="s">
        <v>41478</v>
      </c>
      <c r="K13953" t="s">
        <v>42727</v>
      </c>
      <c r="M13953" t="s">
        <v>46437</v>
      </c>
      <c r="N13953" t="s">
        <v>47424</v>
      </c>
      <c r="O13953" t="s">
        <v>47425</v>
      </c>
      <c r="P13953">
        <v>0</v>
      </c>
      <c r="Q13953">
        <v>0</v>
      </c>
      <c r="R13953" t="s">
        <v>47445</v>
      </c>
      <c r="S13953" t="s">
        <v>48250</v>
      </c>
      <c r="T13953" t="s">
        <v>49111</v>
      </c>
      <c r="U13953" t="s">
        <v>57931</v>
      </c>
      <c r="W13953" t="s">
        <v>46437</v>
      </c>
      <c r="X13953" t="s">
        <v>47447</v>
      </c>
    </row>
    <row r="13954" spans="1:24">
      <c r="A13954">
        <f>HYPERLINK("https://www.philgeps.gov.ph/GEPSNONPILOT/Tender/SplashBidNoticeAbstractUI.aspx?menuIndex=3&amp;refID=7126134&amp;Result=3","7126134")</f>
        <v>0</v>
      </c>
      <c r="B13954" t="s">
        <v>3118</v>
      </c>
      <c r="C13954" t="s">
        <v>17086</v>
      </c>
      <c r="D13954" t="s">
        <v>19017</v>
      </c>
      <c r="E13954" t="s">
        <v>31051</v>
      </c>
      <c r="F13954" t="s">
        <v>32831</v>
      </c>
      <c r="G13954" t="s">
        <v>32839</v>
      </c>
      <c r="H13954" t="s">
        <v>32848</v>
      </c>
      <c r="I13954" t="s">
        <v>4438</v>
      </c>
      <c r="J13954" t="s">
        <v>36385</v>
      </c>
      <c r="K13954" t="s">
        <v>42727</v>
      </c>
      <c r="M13954" t="s">
        <v>46437</v>
      </c>
      <c r="N13954" t="s">
        <v>47424</v>
      </c>
      <c r="O13954" t="s">
        <v>47425</v>
      </c>
      <c r="P13954">
        <v>0</v>
      </c>
      <c r="Q13954">
        <v>2</v>
      </c>
      <c r="R13954" t="s">
        <v>47445</v>
      </c>
      <c r="S13954" t="s">
        <v>48250</v>
      </c>
      <c r="T13954" t="s">
        <v>49111</v>
      </c>
      <c r="U13954" t="s">
        <v>57952</v>
      </c>
      <c r="W13954" t="s">
        <v>46437</v>
      </c>
      <c r="X13954" t="s">
        <v>47447</v>
      </c>
    </row>
    <row r="13955" spans="1:24">
      <c r="A13955">
        <f>HYPERLINK("https://www.philgeps.gov.ph/GEPSNONPILOT/Tender/SplashBidNoticeAbstractUI.aspx?menuIndex=3&amp;refID=7126062&amp;Result=3","7126062")</f>
        <v>0</v>
      </c>
      <c r="B13955" t="s">
        <v>3118</v>
      </c>
      <c r="C13955" t="s">
        <v>17087</v>
      </c>
      <c r="D13955" t="s">
        <v>19017</v>
      </c>
      <c r="E13955" t="s">
        <v>31052</v>
      </c>
      <c r="F13955" t="s">
        <v>32831</v>
      </c>
      <c r="G13955" t="s">
        <v>32839</v>
      </c>
      <c r="H13955" t="s">
        <v>32848</v>
      </c>
      <c r="I13955" t="s">
        <v>9577</v>
      </c>
      <c r="J13955" t="s">
        <v>41479</v>
      </c>
      <c r="K13955" t="s">
        <v>42727</v>
      </c>
      <c r="M13955" t="s">
        <v>46437</v>
      </c>
      <c r="N13955" t="s">
        <v>47424</v>
      </c>
      <c r="O13955" t="s">
        <v>47425</v>
      </c>
      <c r="P13955">
        <v>0</v>
      </c>
      <c r="Q13955">
        <v>1</v>
      </c>
      <c r="R13955" t="s">
        <v>47445</v>
      </c>
      <c r="S13955" t="s">
        <v>48250</v>
      </c>
      <c r="T13955" t="s">
        <v>49111</v>
      </c>
      <c r="U13955" t="s">
        <v>51307</v>
      </c>
      <c r="W13955" t="s">
        <v>46437</v>
      </c>
      <c r="X13955" t="s">
        <v>47447</v>
      </c>
    </row>
    <row r="13956" spans="1:24">
      <c r="A13956">
        <f>HYPERLINK("https://www.philgeps.gov.ph/GEPSNONPILOT/Tender/SplashBidNoticeAbstractUI.aspx?menuIndex=3&amp;refID=7126083&amp;Result=3","7126083")</f>
        <v>0</v>
      </c>
      <c r="B13956" t="s">
        <v>3118</v>
      </c>
      <c r="C13956" t="s">
        <v>17088</v>
      </c>
      <c r="D13956" t="s">
        <v>19017</v>
      </c>
      <c r="E13956" t="s">
        <v>31053</v>
      </c>
      <c r="F13956" t="s">
        <v>32831</v>
      </c>
      <c r="G13956" t="s">
        <v>32839</v>
      </c>
      <c r="H13956" t="s">
        <v>32848</v>
      </c>
      <c r="I13956" t="s">
        <v>9577</v>
      </c>
      <c r="J13956" t="s">
        <v>41480</v>
      </c>
      <c r="K13956" t="s">
        <v>42727</v>
      </c>
      <c r="M13956" t="s">
        <v>46437</v>
      </c>
      <c r="N13956" t="s">
        <v>47424</v>
      </c>
      <c r="O13956" t="s">
        <v>47425</v>
      </c>
      <c r="P13956">
        <v>0</v>
      </c>
      <c r="Q13956">
        <v>0</v>
      </c>
      <c r="R13956" t="s">
        <v>47445</v>
      </c>
      <c r="S13956" t="s">
        <v>48250</v>
      </c>
      <c r="T13956" t="s">
        <v>49111</v>
      </c>
      <c r="U13956" t="s">
        <v>51307</v>
      </c>
      <c r="W13956" t="s">
        <v>46437</v>
      </c>
      <c r="X13956" t="s">
        <v>47447</v>
      </c>
    </row>
    <row r="13957" spans="1:24">
      <c r="A13957">
        <f>HYPERLINK("https://www.philgeps.gov.ph/GEPSNONPILOT/Tender/SplashBidNoticeAbstractUI.aspx?menuIndex=3&amp;refID=7125902&amp;Result=3","7125902")</f>
        <v>0</v>
      </c>
      <c r="B13957" t="s">
        <v>1606</v>
      </c>
      <c r="C13957" t="s">
        <v>17089</v>
      </c>
      <c r="E13957" t="s">
        <v>31054</v>
      </c>
      <c r="F13957" t="s">
        <v>32831</v>
      </c>
      <c r="G13957" t="s">
        <v>32839</v>
      </c>
      <c r="H13957" t="s">
        <v>32848</v>
      </c>
      <c r="I13957" t="s">
        <v>32857</v>
      </c>
      <c r="J13957" t="s">
        <v>41481</v>
      </c>
      <c r="K13957" t="s">
        <v>42732</v>
      </c>
      <c r="M13957" t="s">
        <v>47180</v>
      </c>
      <c r="N13957" t="s">
        <v>47424</v>
      </c>
      <c r="O13957" t="s">
        <v>47425</v>
      </c>
      <c r="P13957">
        <v>0</v>
      </c>
      <c r="Q13957">
        <v>50</v>
      </c>
      <c r="R13957" t="s">
        <v>47445</v>
      </c>
      <c r="S13957" t="s">
        <v>48250</v>
      </c>
      <c r="T13957" t="s">
        <v>49108</v>
      </c>
      <c r="U13957" t="s">
        <v>61025</v>
      </c>
      <c r="W13957" t="s">
        <v>47180</v>
      </c>
      <c r="X13957" t="s">
        <v>47447</v>
      </c>
    </row>
    <row r="13958" spans="1:24">
      <c r="A13958">
        <f>HYPERLINK("https://www.philgeps.gov.ph/GEPSNONPILOT/Tender/SplashBidNoticeAbstractUI.aspx?menuIndex=3&amp;refID=7125949&amp;Result=3","7125949")</f>
        <v>0</v>
      </c>
      <c r="B13958" t="s">
        <v>34</v>
      </c>
      <c r="C13958" t="s">
        <v>17090</v>
      </c>
      <c r="E13958" t="s">
        <v>31055</v>
      </c>
      <c r="F13958" t="s">
        <v>32831</v>
      </c>
      <c r="G13958" t="s">
        <v>32839</v>
      </c>
      <c r="H13958" t="s">
        <v>32849</v>
      </c>
      <c r="I13958" t="s">
        <v>4177</v>
      </c>
      <c r="J13958" t="s">
        <v>41482</v>
      </c>
      <c r="K13958" t="s">
        <v>42891</v>
      </c>
      <c r="M13958" t="s">
        <v>44653</v>
      </c>
      <c r="N13958" t="s">
        <v>47424</v>
      </c>
      <c r="O13958" t="s">
        <v>47425</v>
      </c>
      <c r="Q13958">
        <v>0</v>
      </c>
      <c r="R13958" t="s">
        <v>47445</v>
      </c>
      <c r="S13958" t="s">
        <v>48281</v>
      </c>
      <c r="T13958" t="s">
        <v>49127</v>
      </c>
      <c r="U13958" t="s">
        <v>61026</v>
      </c>
      <c r="W13958" t="s">
        <v>44653</v>
      </c>
      <c r="X13958" t="s">
        <v>47447</v>
      </c>
    </row>
    <row r="13959" spans="1:24">
      <c r="A13959">
        <f>HYPERLINK("https://www.philgeps.gov.ph/GEPSNONPILOT/Tender/SplashBidNoticeAbstractUI.aspx?menuIndex=3&amp;refID=7125027&amp;Result=3","7125027")</f>
        <v>0</v>
      </c>
      <c r="B13959" t="s">
        <v>34</v>
      </c>
      <c r="C13959" t="s">
        <v>17091</v>
      </c>
      <c r="E13959" t="s">
        <v>31056</v>
      </c>
      <c r="F13959" t="s">
        <v>32831</v>
      </c>
      <c r="G13959" t="s">
        <v>32839</v>
      </c>
      <c r="H13959" t="s">
        <v>32849</v>
      </c>
      <c r="I13959" t="s">
        <v>4177</v>
      </c>
      <c r="J13959" t="s">
        <v>41483</v>
      </c>
      <c r="K13959" t="s">
        <v>42729</v>
      </c>
      <c r="M13959" t="s">
        <v>44653</v>
      </c>
      <c r="N13959" t="s">
        <v>47424</v>
      </c>
      <c r="O13959" t="s">
        <v>47425</v>
      </c>
      <c r="P13959">
        <v>0</v>
      </c>
      <c r="Q13959">
        <v>0</v>
      </c>
      <c r="R13959" t="s">
        <v>47445</v>
      </c>
      <c r="S13959" t="s">
        <v>48250</v>
      </c>
      <c r="T13959" t="s">
        <v>49127</v>
      </c>
      <c r="U13959" t="s">
        <v>61027</v>
      </c>
      <c r="W13959" t="s">
        <v>44653</v>
      </c>
      <c r="X13959" t="s">
        <v>47447</v>
      </c>
    </row>
    <row r="13960" spans="1:24">
      <c r="A13960">
        <f>HYPERLINK("https://www.philgeps.gov.ph/GEPSNONPILOT/Tender/SplashBidNoticeAbstractUI.aspx?menuIndex=3&amp;refID=7126642&amp;Result=3","7126642")</f>
        <v>0</v>
      </c>
      <c r="B13960" t="s">
        <v>2029</v>
      </c>
      <c r="C13960" t="s">
        <v>8514</v>
      </c>
      <c r="D13960" t="s">
        <v>19067</v>
      </c>
      <c r="E13960" t="s">
        <v>31057</v>
      </c>
      <c r="F13960" t="s">
        <v>32831</v>
      </c>
      <c r="G13960" t="s">
        <v>32839</v>
      </c>
      <c r="H13960" t="s">
        <v>32848</v>
      </c>
      <c r="I13960" t="s">
        <v>7416</v>
      </c>
      <c r="J13960" t="s">
        <v>41484</v>
      </c>
      <c r="K13960" t="s">
        <v>42732</v>
      </c>
      <c r="M13960" t="s">
        <v>47181</v>
      </c>
      <c r="N13960" t="s">
        <v>47424</v>
      </c>
      <c r="O13960" t="s">
        <v>47425</v>
      </c>
      <c r="P13960">
        <v>0</v>
      </c>
      <c r="Q13960">
        <v>0</v>
      </c>
      <c r="R13960" t="s">
        <v>47445</v>
      </c>
      <c r="S13960" t="s">
        <v>48250</v>
      </c>
      <c r="T13960" t="s">
        <v>49515</v>
      </c>
      <c r="U13960" t="s">
        <v>61028</v>
      </c>
      <c r="V13960" t="s">
        <v>64212</v>
      </c>
      <c r="W13960" t="s">
        <v>47181</v>
      </c>
      <c r="X13960" t="s">
        <v>47446</v>
      </c>
    </row>
    <row r="13961" spans="1:24">
      <c r="A13961">
        <f>HYPERLINK("https://www.philgeps.gov.ph/GEPSNONPILOT/Tender/SplashBidNoticeAbstractUI.aspx?menuIndex=3&amp;refID=7126626&amp;Result=3","7126626")</f>
        <v>0</v>
      </c>
      <c r="B13961" t="s">
        <v>2000</v>
      </c>
      <c r="C13961" t="s">
        <v>17092</v>
      </c>
      <c r="D13961" t="s">
        <v>19081</v>
      </c>
      <c r="E13961" t="s">
        <v>31058</v>
      </c>
      <c r="F13961" t="s">
        <v>32831</v>
      </c>
      <c r="G13961" t="s">
        <v>32839</v>
      </c>
      <c r="H13961" t="s">
        <v>32848</v>
      </c>
      <c r="I13961" t="s">
        <v>7416</v>
      </c>
      <c r="J13961" t="s">
        <v>41485</v>
      </c>
      <c r="K13961" t="s">
        <v>42727</v>
      </c>
      <c r="M13961" t="s">
        <v>45167</v>
      </c>
      <c r="N13961" t="s">
        <v>47424</v>
      </c>
      <c r="O13961" t="s">
        <v>47425</v>
      </c>
      <c r="P13961">
        <v>0</v>
      </c>
      <c r="Q13961">
        <v>1</v>
      </c>
      <c r="R13961" t="s">
        <v>47445</v>
      </c>
      <c r="S13961" t="s">
        <v>48250</v>
      </c>
      <c r="T13961" t="s">
        <v>49111</v>
      </c>
      <c r="U13961" t="s">
        <v>54228</v>
      </c>
      <c r="W13961" t="s">
        <v>45167</v>
      </c>
      <c r="X13961" t="s">
        <v>47446</v>
      </c>
    </row>
    <row r="13962" spans="1:24">
      <c r="A13962">
        <f>HYPERLINK("https://www.philgeps.gov.ph/GEPSNONPILOT/Tender/SplashBidNoticeAbstractUI.aspx?menuIndex=3&amp;refID=7126623&amp;Result=3","7126623")</f>
        <v>0</v>
      </c>
      <c r="B13962" t="s">
        <v>2029</v>
      </c>
      <c r="C13962" t="s">
        <v>8514</v>
      </c>
      <c r="D13962" t="s">
        <v>19067</v>
      </c>
      <c r="E13962" t="s">
        <v>31059</v>
      </c>
      <c r="F13962" t="s">
        <v>32831</v>
      </c>
      <c r="G13962" t="s">
        <v>32839</v>
      </c>
      <c r="H13962" t="s">
        <v>32848</v>
      </c>
      <c r="I13962" t="s">
        <v>7416</v>
      </c>
      <c r="J13962" t="s">
        <v>41486</v>
      </c>
      <c r="K13962" t="s">
        <v>42732</v>
      </c>
      <c r="M13962" t="s">
        <v>47181</v>
      </c>
      <c r="N13962" t="s">
        <v>47424</v>
      </c>
      <c r="O13962" t="s">
        <v>47425</v>
      </c>
      <c r="P13962">
        <v>0</v>
      </c>
      <c r="Q13962">
        <v>0</v>
      </c>
      <c r="R13962" t="s">
        <v>47445</v>
      </c>
      <c r="S13962" t="s">
        <v>48250</v>
      </c>
      <c r="T13962" t="s">
        <v>49515</v>
      </c>
      <c r="U13962" t="s">
        <v>61029</v>
      </c>
      <c r="V13962" t="s">
        <v>64213</v>
      </c>
      <c r="W13962" t="s">
        <v>47181</v>
      </c>
      <c r="X13962" t="s">
        <v>47446</v>
      </c>
    </row>
    <row r="13963" spans="1:24">
      <c r="A13963">
        <f>HYPERLINK("https://www.philgeps.gov.ph/GEPSNONPILOT/Tender/SplashBidNoticeAbstractUI.aspx?menuIndex=3&amp;refID=7126599&amp;Result=3","7126599")</f>
        <v>0</v>
      </c>
      <c r="B13963" t="s">
        <v>1649</v>
      </c>
      <c r="C13963" t="s">
        <v>17093</v>
      </c>
      <c r="D13963" t="s">
        <v>19018</v>
      </c>
      <c r="E13963" t="s">
        <v>31060</v>
      </c>
      <c r="F13963" t="s">
        <v>32831</v>
      </c>
      <c r="G13963" t="s">
        <v>32839</v>
      </c>
      <c r="H13963" t="s">
        <v>32848</v>
      </c>
      <c r="I13963" t="s">
        <v>32870</v>
      </c>
      <c r="J13963" t="s">
        <v>41487</v>
      </c>
      <c r="K13963" t="s">
        <v>42732</v>
      </c>
      <c r="M13963" t="s">
        <v>46118</v>
      </c>
      <c r="N13963" t="s">
        <v>47424</v>
      </c>
      <c r="O13963" t="s">
        <v>47425</v>
      </c>
      <c r="P13963">
        <v>0</v>
      </c>
      <c r="Q13963">
        <v>1</v>
      </c>
      <c r="R13963" t="s">
        <v>47445</v>
      </c>
      <c r="S13963" t="s">
        <v>48250</v>
      </c>
      <c r="T13963" t="s">
        <v>49159</v>
      </c>
      <c r="U13963" t="s">
        <v>61030</v>
      </c>
      <c r="W13963" t="s">
        <v>46118</v>
      </c>
      <c r="X13963" t="s">
        <v>47446</v>
      </c>
    </row>
    <row r="13964" spans="1:24">
      <c r="A13964">
        <f>HYPERLINK("https://www.philgeps.gov.ph/GEPSNONPILOT/Tender/SplashBidNoticeAbstractUI.aspx?menuIndex=3&amp;refID=7125800&amp;Result=3","7125800")</f>
        <v>0</v>
      </c>
      <c r="B13964" t="s">
        <v>3586</v>
      </c>
      <c r="C13964" t="s">
        <v>17094</v>
      </c>
      <c r="D13964" t="s">
        <v>19094</v>
      </c>
      <c r="E13964" t="s">
        <v>31061</v>
      </c>
      <c r="F13964" t="s">
        <v>32831</v>
      </c>
      <c r="G13964" t="s">
        <v>32839</v>
      </c>
      <c r="H13964" t="s">
        <v>32849</v>
      </c>
      <c r="I13964" t="s">
        <v>4177</v>
      </c>
      <c r="J13964" t="s">
        <v>33118</v>
      </c>
      <c r="K13964" t="s">
        <v>42914</v>
      </c>
      <c r="M13964" t="s">
        <v>46950</v>
      </c>
      <c r="N13964" t="s">
        <v>47424</v>
      </c>
      <c r="O13964" t="s">
        <v>47425</v>
      </c>
      <c r="Q13964">
        <v>1</v>
      </c>
      <c r="R13964" t="s">
        <v>47445</v>
      </c>
      <c r="S13964" t="s">
        <v>48282</v>
      </c>
      <c r="T13964" t="s">
        <v>49141</v>
      </c>
      <c r="U13964" t="s">
        <v>61031</v>
      </c>
      <c r="W13964" t="s">
        <v>46950</v>
      </c>
      <c r="X13964" t="s">
        <v>47447</v>
      </c>
    </row>
    <row r="13965" spans="1:24">
      <c r="A13965">
        <f>HYPERLINK("https://www.philgeps.gov.ph/GEPSNONPILOT/Tender/SplashBidNoticeAbstractUI.aspx?menuIndex=3&amp;refID=7126587&amp;Result=3","7126587")</f>
        <v>0</v>
      </c>
      <c r="B13965" t="s">
        <v>3774</v>
      </c>
      <c r="C13965" t="s">
        <v>17095</v>
      </c>
      <c r="D13965" t="s">
        <v>19037</v>
      </c>
      <c r="E13965" t="s">
        <v>31062</v>
      </c>
      <c r="F13965" t="s">
        <v>32831</v>
      </c>
      <c r="G13965" t="s">
        <v>32839</v>
      </c>
      <c r="H13965" t="s">
        <v>32848</v>
      </c>
      <c r="I13965" t="s">
        <v>9577</v>
      </c>
      <c r="J13965" t="s">
        <v>41488</v>
      </c>
      <c r="K13965" t="s">
        <v>42730</v>
      </c>
      <c r="M13965" t="s">
        <v>47182</v>
      </c>
      <c r="N13965" t="s">
        <v>47424</v>
      </c>
      <c r="O13965" t="s">
        <v>47425</v>
      </c>
      <c r="P13965">
        <v>0</v>
      </c>
      <c r="Q13965">
        <v>5</v>
      </c>
      <c r="R13965" t="s">
        <v>47445</v>
      </c>
      <c r="S13965" t="s">
        <v>48250</v>
      </c>
      <c r="T13965" t="s">
        <v>49105</v>
      </c>
      <c r="U13965" t="s">
        <v>61032</v>
      </c>
      <c r="W13965" t="s">
        <v>47182</v>
      </c>
      <c r="X13965" t="s">
        <v>47446</v>
      </c>
    </row>
    <row r="13966" spans="1:24">
      <c r="A13966">
        <f>HYPERLINK("https://www.philgeps.gov.ph/GEPSNONPILOT/Tender/SplashBidNoticeAbstractUI.aspx?menuIndex=3&amp;refID=7125132&amp;Result=3","7125132")</f>
        <v>0</v>
      </c>
      <c r="B13966" t="s">
        <v>2419</v>
      </c>
      <c r="C13966" t="s">
        <v>17096</v>
      </c>
      <c r="D13966" t="s">
        <v>19023</v>
      </c>
      <c r="E13966" t="s">
        <v>31063</v>
      </c>
      <c r="F13966" t="s">
        <v>32831</v>
      </c>
      <c r="G13966" t="s">
        <v>32839</v>
      </c>
      <c r="H13966" t="s">
        <v>32849</v>
      </c>
      <c r="I13966" t="s">
        <v>4177</v>
      </c>
      <c r="J13966" t="s">
        <v>33553</v>
      </c>
      <c r="K13966" t="s">
        <v>42763</v>
      </c>
      <c r="M13966" t="s">
        <v>45614</v>
      </c>
      <c r="N13966" t="s">
        <v>47424</v>
      </c>
      <c r="O13966" t="s">
        <v>47425</v>
      </c>
      <c r="P13966">
        <v>0</v>
      </c>
      <c r="Q13966">
        <v>2</v>
      </c>
      <c r="R13966" t="s">
        <v>47445</v>
      </c>
      <c r="S13966" t="s">
        <v>48250</v>
      </c>
      <c r="T13966" t="s">
        <v>49239</v>
      </c>
      <c r="U13966" t="s">
        <v>55399</v>
      </c>
      <c r="W13966" t="s">
        <v>45614</v>
      </c>
      <c r="X13966" t="s">
        <v>47447</v>
      </c>
    </row>
    <row r="13967" spans="1:24">
      <c r="A13967">
        <f>HYPERLINK("https://www.philgeps.gov.ph/GEPSNONPILOT/Tender/SplashBidNoticeAbstractUI.aspx?menuIndex=3&amp;refID=7126576&amp;Result=3","7126576")</f>
        <v>0</v>
      </c>
      <c r="B13967" t="s">
        <v>2457</v>
      </c>
      <c r="C13967" t="s">
        <v>17097</v>
      </c>
      <c r="D13967" t="s">
        <v>19049</v>
      </c>
      <c r="E13967" t="s">
        <v>24646</v>
      </c>
      <c r="F13967" t="s">
        <v>32831</v>
      </c>
      <c r="G13967" t="s">
        <v>32839</v>
      </c>
      <c r="H13967" t="s">
        <v>32848</v>
      </c>
      <c r="I13967" t="s">
        <v>10805</v>
      </c>
      <c r="J13967" t="s">
        <v>33226</v>
      </c>
      <c r="K13967" t="s">
        <v>42730</v>
      </c>
      <c r="M13967" t="s">
        <v>45655</v>
      </c>
      <c r="N13967" t="s">
        <v>47424</v>
      </c>
      <c r="O13967" t="s">
        <v>47425</v>
      </c>
      <c r="P13967">
        <v>0</v>
      </c>
      <c r="Q13967">
        <v>0</v>
      </c>
      <c r="R13967" t="s">
        <v>47445</v>
      </c>
      <c r="S13967" t="s">
        <v>48250</v>
      </c>
      <c r="T13967" t="s">
        <v>49061</v>
      </c>
      <c r="U13967" t="s">
        <v>55526</v>
      </c>
      <c r="V13967" t="s">
        <v>64214</v>
      </c>
      <c r="W13967" t="s">
        <v>45655</v>
      </c>
      <c r="X13967" t="s">
        <v>47446</v>
      </c>
    </row>
    <row r="13968" spans="1:24">
      <c r="A13968">
        <f>HYPERLINK("https://www.philgeps.gov.ph/GEPSNONPILOT/Tender/SplashBidNoticeAbstractUI.aspx?menuIndex=3&amp;refID=7126122&amp;Result=3","7126122")</f>
        <v>0</v>
      </c>
      <c r="B13968" t="s">
        <v>3118</v>
      </c>
      <c r="C13968" t="s">
        <v>17098</v>
      </c>
      <c r="D13968" t="s">
        <v>19017</v>
      </c>
      <c r="E13968" t="s">
        <v>31064</v>
      </c>
      <c r="F13968" t="s">
        <v>32831</v>
      </c>
      <c r="G13968" t="s">
        <v>32839</v>
      </c>
      <c r="H13968" t="s">
        <v>32848</v>
      </c>
      <c r="I13968" t="s">
        <v>4438</v>
      </c>
      <c r="J13968" t="s">
        <v>41489</v>
      </c>
      <c r="K13968" t="s">
        <v>42727</v>
      </c>
      <c r="M13968" t="s">
        <v>46437</v>
      </c>
      <c r="N13968" t="s">
        <v>47424</v>
      </c>
      <c r="O13968" t="s">
        <v>47425</v>
      </c>
      <c r="P13968">
        <v>0</v>
      </c>
      <c r="Q13968">
        <v>1</v>
      </c>
      <c r="R13968" t="s">
        <v>47445</v>
      </c>
      <c r="S13968" t="s">
        <v>48250</v>
      </c>
      <c r="T13968" t="s">
        <v>49111</v>
      </c>
      <c r="U13968" t="s">
        <v>57952</v>
      </c>
      <c r="W13968" t="s">
        <v>46437</v>
      </c>
      <c r="X13968" t="s">
        <v>47447</v>
      </c>
    </row>
    <row r="13969" spans="1:24">
      <c r="A13969">
        <f>HYPERLINK("https://www.philgeps.gov.ph/GEPSNONPILOT/Tender/SplashBidNoticeAbstractUI.aspx?menuIndex=3&amp;refID=7126592&amp;Result=3","7126592")</f>
        <v>0</v>
      </c>
      <c r="B13969" t="s">
        <v>2029</v>
      </c>
      <c r="C13969" t="s">
        <v>8514</v>
      </c>
      <c r="D13969" t="s">
        <v>19067</v>
      </c>
      <c r="E13969" t="s">
        <v>31065</v>
      </c>
      <c r="F13969" t="s">
        <v>32831</v>
      </c>
      <c r="G13969" t="s">
        <v>32839</v>
      </c>
      <c r="H13969" t="s">
        <v>32848</v>
      </c>
      <c r="I13969" t="s">
        <v>7416</v>
      </c>
      <c r="J13969" t="s">
        <v>41490</v>
      </c>
      <c r="K13969" t="s">
        <v>42732</v>
      </c>
      <c r="M13969" t="s">
        <v>47181</v>
      </c>
      <c r="N13969" t="s">
        <v>47424</v>
      </c>
      <c r="O13969" t="s">
        <v>47425</v>
      </c>
      <c r="P13969">
        <v>0</v>
      </c>
      <c r="Q13969">
        <v>0</v>
      </c>
      <c r="R13969" t="s">
        <v>47445</v>
      </c>
      <c r="S13969" t="s">
        <v>48250</v>
      </c>
      <c r="T13969" t="s">
        <v>49515</v>
      </c>
      <c r="U13969" t="s">
        <v>61033</v>
      </c>
      <c r="V13969" t="s">
        <v>64215</v>
      </c>
      <c r="W13969" t="s">
        <v>47181</v>
      </c>
      <c r="X13969" t="s">
        <v>47446</v>
      </c>
    </row>
    <row r="13970" spans="1:24">
      <c r="A13970">
        <f>HYPERLINK("https://www.philgeps.gov.ph/GEPSNONPILOT/Tender/SplashBidNoticeAbstractUI.aspx?menuIndex=3&amp;refID=7126544&amp;Result=3","7126544")</f>
        <v>0</v>
      </c>
      <c r="B13970" t="s">
        <v>1177</v>
      </c>
      <c r="C13970" t="s">
        <v>17099</v>
      </c>
      <c r="E13970" t="s">
        <v>20418</v>
      </c>
      <c r="F13970" t="s">
        <v>32831</v>
      </c>
      <c r="G13970" t="s">
        <v>32839</v>
      </c>
      <c r="H13970" t="s">
        <v>32849</v>
      </c>
      <c r="I13970" t="s">
        <v>4177</v>
      </c>
      <c r="J13970" t="s">
        <v>33118</v>
      </c>
      <c r="K13970" t="s">
        <v>42729</v>
      </c>
      <c r="M13970" t="s">
        <v>44243</v>
      </c>
      <c r="N13970" t="s">
        <v>47424</v>
      </c>
      <c r="O13970" t="s">
        <v>47425</v>
      </c>
      <c r="P13970">
        <v>0</v>
      </c>
      <c r="Q13970">
        <v>7</v>
      </c>
      <c r="R13970" t="s">
        <v>47445</v>
      </c>
      <c r="S13970" t="s">
        <v>48250</v>
      </c>
      <c r="T13970" t="s">
        <v>49214</v>
      </c>
      <c r="U13970" t="s">
        <v>52173</v>
      </c>
      <c r="W13970" t="s">
        <v>44243</v>
      </c>
      <c r="X13970" t="s">
        <v>47446</v>
      </c>
    </row>
    <row r="13971" spans="1:24">
      <c r="A13971">
        <f>HYPERLINK("https://www.philgeps.gov.ph/GEPSNONPILOT/Tender/SplashBidNoticeAbstractUI.aspx?menuIndex=3&amp;refID=7126553&amp;Result=3","7126553")</f>
        <v>0</v>
      </c>
      <c r="B13971" t="s">
        <v>2029</v>
      </c>
      <c r="C13971" t="s">
        <v>8514</v>
      </c>
      <c r="D13971" t="s">
        <v>19067</v>
      </c>
      <c r="E13971" t="s">
        <v>31066</v>
      </c>
      <c r="F13971" t="s">
        <v>32831</v>
      </c>
      <c r="G13971" t="s">
        <v>32839</v>
      </c>
      <c r="H13971" t="s">
        <v>32848</v>
      </c>
      <c r="I13971" t="s">
        <v>7416</v>
      </c>
      <c r="J13971" t="s">
        <v>41491</v>
      </c>
      <c r="K13971" t="s">
        <v>42732</v>
      </c>
      <c r="M13971" t="s">
        <v>47181</v>
      </c>
      <c r="N13971" t="s">
        <v>47424</v>
      </c>
      <c r="O13971" t="s">
        <v>47425</v>
      </c>
      <c r="P13971">
        <v>0</v>
      </c>
      <c r="Q13971">
        <v>1</v>
      </c>
      <c r="R13971" t="s">
        <v>47445</v>
      </c>
      <c r="S13971" t="s">
        <v>48250</v>
      </c>
      <c r="T13971" t="s">
        <v>49515</v>
      </c>
      <c r="U13971" t="s">
        <v>61034</v>
      </c>
      <c r="V13971" t="s">
        <v>64216</v>
      </c>
      <c r="W13971" t="s">
        <v>47181</v>
      </c>
      <c r="X13971" t="s">
        <v>47446</v>
      </c>
    </row>
    <row r="13972" spans="1:24">
      <c r="A13972">
        <f>HYPERLINK("https://www.philgeps.gov.ph/GEPSNONPILOT/Tender/SplashBidNoticeAbstractUI.aspx?menuIndex=3&amp;refID=7126534&amp;Result=3","7126534")</f>
        <v>0</v>
      </c>
      <c r="B13972" t="s">
        <v>3320</v>
      </c>
      <c r="C13972" t="s">
        <v>17100</v>
      </c>
      <c r="D13972" t="s">
        <v>19080</v>
      </c>
      <c r="E13972" t="s">
        <v>31067</v>
      </c>
      <c r="F13972" t="s">
        <v>32831</v>
      </c>
      <c r="G13972" t="s">
        <v>32839</v>
      </c>
      <c r="H13972" t="s">
        <v>32848</v>
      </c>
      <c r="I13972" t="s">
        <v>7416</v>
      </c>
      <c r="J13972" t="s">
        <v>41492</v>
      </c>
      <c r="K13972" t="s">
        <v>42727</v>
      </c>
      <c r="M13972" t="s">
        <v>46643</v>
      </c>
      <c r="N13972" t="s">
        <v>47424</v>
      </c>
      <c r="O13972" t="s">
        <v>47425</v>
      </c>
      <c r="Q13972">
        <v>1</v>
      </c>
      <c r="R13972" t="s">
        <v>47445</v>
      </c>
      <c r="S13972" t="s">
        <v>48283</v>
      </c>
      <c r="T13972" t="s">
        <v>49214</v>
      </c>
      <c r="U13972" t="s">
        <v>58726</v>
      </c>
      <c r="W13972" t="s">
        <v>46643</v>
      </c>
      <c r="X13972" t="s">
        <v>47446</v>
      </c>
    </row>
    <row r="13973" spans="1:24">
      <c r="A13973">
        <f>HYPERLINK("https://www.philgeps.gov.ph/GEPSNONPILOT/Tender/SplashBidNoticeAbstractUI.aspx?menuIndex=3&amp;refID=7126498&amp;Result=3","7126498")</f>
        <v>0</v>
      </c>
      <c r="B13973" t="s">
        <v>3775</v>
      </c>
      <c r="C13973" t="s">
        <v>17101</v>
      </c>
      <c r="D13973" t="s">
        <v>19045</v>
      </c>
      <c r="E13973" t="s">
        <v>31068</v>
      </c>
      <c r="F13973" t="s">
        <v>32831</v>
      </c>
      <c r="G13973" t="s">
        <v>32839</v>
      </c>
      <c r="H13973" t="s">
        <v>32848</v>
      </c>
      <c r="I13973" t="s">
        <v>32905</v>
      </c>
      <c r="J13973" t="s">
        <v>33468</v>
      </c>
      <c r="K13973" t="s">
        <v>42730</v>
      </c>
      <c r="M13973" t="s">
        <v>47183</v>
      </c>
      <c r="N13973" t="s">
        <v>47424</v>
      </c>
      <c r="O13973" t="s">
        <v>47425</v>
      </c>
      <c r="P13973">
        <v>0</v>
      </c>
      <c r="Q13973">
        <v>1</v>
      </c>
      <c r="R13973" t="s">
        <v>47445</v>
      </c>
      <c r="S13973" t="s">
        <v>48250</v>
      </c>
      <c r="T13973" t="s">
        <v>49166</v>
      </c>
      <c r="U13973" t="s">
        <v>61035</v>
      </c>
      <c r="V13973" t="s">
        <v>62846</v>
      </c>
      <c r="W13973" t="s">
        <v>47183</v>
      </c>
      <c r="X13973" t="s">
        <v>47446</v>
      </c>
    </row>
    <row r="13974" spans="1:24">
      <c r="A13974">
        <f>HYPERLINK("https://www.philgeps.gov.ph/GEPSNONPILOT/Tender/SplashBidNoticeAbstractUI.aspx?menuIndex=3&amp;refID=7126473&amp;Result=3","7126473")</f>
        <v>0</v>
      </c>
      <c r="B13974" t="s">
        <v>2432</v>
      </c>
      <c r="C13974" t="s">
        <v>17102</v>
      </c>
      <c r="D13974" t="s">
        <v>19055</v>
      </c>
      <c r="E13974" t="s">
        <v>31069</v>
      </c>
      <c r="F13974" t="s">
        <v>32831</v>
      </c>
      <c r="G13974" t="s">
        <v>32839</v>
      </c>
      <c r="H13974" t="s">
        <v>32848</v>
      </c>
      <c r="I13974" t="s">
        <v>32859</v>
      </c>
      <c r="J13974" t="s">
        <v>41493</v>
      </c>
      <c r="K13974" t="s">
        <v>42730</v>
      </c>
      <c r="M13974" t="s">
        <v>45629</v>
      </c>
      <c r="N13974" t="s">
        <v>47424</v>
      </c>
      <c r="O13974" t="s">
        <v>47425</v>
      </c>
      <c r="P13974">
        <v>0</v>
      </c>
      <c r="Q13974">
        <v>2</v>
      </c>
      <c r="R13974" t="s">
        <v>47445</v>
      </c>
      <c r="S13974" t="s">
        <v>48250</v>
      </c>
      <c r="T13974" t="s">
        <v>49108</v>
      </c>
      <c r="U13974" t="s">
        <v>61036</v>
      </c>
      <c r="V13974" t="s">
        <v>63383</v>
      </c>
      <c r="W13974" t="s">
        <v>45629</v>
      </c>
      <c r="X13974" t="s">
        <v>47446</v>
      </c>
    </row>
    <row r="13975" spans="1:24">
      <c r="A13975">
        <f>HYPERLINK("https://www.philgeps.gov.ph/GEPSNONPILOT/Tender/SplashBidNoticeAbstractUI.aspx?menuIndex=3&amp;refID=7126493&amp;Result=3","7126493")</f>
        <v>0</v>
      </c>
      <c r="B13975" t="s">
        <v>2432</v>
      </c>
      <c r="C13975" t="s">
        <v>17103</v>
      </c>
      <c r="D13975" t="s">
        <v>19055</v>
      </c>
      <c r="E13975" t="s">
        <v>31070</v>
      </c>
      <c r="F13975" t="s">
        <v>32831</v>
      </c>
      <c r="G13975" t="s">
        <v>32839</v>
      </c>
      <c r="H13975" t="s">
        <v>32849</v>
      </c>
      <c r="I13975" t="s">
        <v>4177</v>
      </c>
      <c r="J13975" t="s">
        <v>37838</v>
      </c>
      <c r="K13975" t="s">
        <v>42757</v>
      </c>
      <c r="M13975" t="s">
        <v>45629</v>
      </c>
      <c r="N13975" t="s">
        <v>47424</v>
      </c>
      <c r="O13975" t="s">
        <v>47425</v>
      </c>
      <c r="Q13975">
        <v>1</v>
      </c>
      <c r="R13975" t="s">
        <v>47445</v>
      </c>
      <c r="S13975" t="s">
        <v>48284</v>
      </c>
      <c r="T13975" t="s">
        <v>49108</v>
      </c>
      <c r="U13975" t="s">
        <v>61037</v>
      </c>
      <c r="V13975" t="s">
        <v>63383</v>
      </c>
      <c r="W13975" t="s">
        <v>45629</v>
      </c>
      <c r="X13975" t="s">
        <v>47446</v>
      </c>
    </row>
    <row r="13976" spans="1:24">
      <c r="A13976">
        <f>HYPERLINK("https://www.philgeps.gov.ph/GEPSNONPILOT/Tender/SplashBidNoticeAbstractUI.aspx?menuIndex=3&amp;refID=7126508&amp;Result=3","7126508")</f>
        <v>0</v>
      </c>
      <c r="B13976" t="s">
        <v>236</v>
      </c>
      <c r="C13976" t="s">
        <v>17104</v>
      </c>
      <c r="D13976" t="s">
        <v>19074</v>
      </c>
      <c r="E13976" t="s">
        <v>31071</v>
      </c>
      <c r="F13976" t="s">
        <v>32831</v>
      </c>
      <c r="G13976" t="s">
        <v>32839</v>
      </c>
      <c r="H13976" t="s">
        <v>32849</v>
      </c>
      <c r="I13976" t="s">
        <v>4177</v>
      </c>
      <c r="J13976" t="s">
        <v>38388</v>
      </c>
      <c r="K13976" t="s">
        <v>42809</v>
      </c>
      <c r="M13976" t="s">
        <v>43235</v>
      </c>
      <c r="N13976" t="s">
        <v>47424</v>
      </c>
      <c r="O13976" t="s">
        <v>47425</v>
      </c>
      <c r="P13976">
        <v>0</v>
      </c>
      <c r="Q13976">
        <v>0</v>
      </c>
      <c r="R13976" t="s">
        <v>47445</v>
      </c>
      <c r="S13976" t="s">
        <v>48250</v>
      </c>
      <c r="T13976" t="s">
        <v>49237</v>
      </c>
      <c r="U13976" t="s">
        <v>50066</v>
      </c>
      <c r="W13976" t="s">
        <v>43235</v>
      </c>
      <c r="X13976" t="s">
        <v>47446</v>
      </c>
    </row>
    <row r="13977" spans="1:24">
      <c r="A13977">
        <f>HYPERLINK("https://www.philgeps.gov.ph/GEPSNONPILOT/Tender/SplashBidNoticeAbstractUI.aspx?menuIndex=3&amp;refID=7125171&amp;Result=3","7125171")</f>
        <v>0</v>
      </c>
      <c r="B13977" t="s">
        <v>34</v>
      </c>
      <c r="C13977" t="s">
        <v>17105</v>
      </c>
      <c r="E13977" t="s">
        <v>31072</v>
      </c>
      <c r="F13977" t="s">
        <v>32831</v>
      </c>
      <c r="G13977" t="s">
        <v>32839</v>
      </c>
      <c r="H13977" t="s">
        <v>32849</v>
      </c>
      <c r="I13977" t="s">
        <v>4177</v>
      </c>
      <c r="J13977" t="s">
        <v>41494</v>
      </c>
      <c r="K13977" t="s">
        <v>42763</v>
      </c>
      <c r="M13977" t="s">
        <v>44653</v>
      </c>
      <c r="N13977" t="s">
        <v>47424</v>
      </c>
      <c r="O13977" t="s">
        <v>47425</v>
      </c>
      <c r="P13977">
        <v>0</v>
      </c>
      <c r="Q13977">
        <v>0</v>
      </c>
      <c r="R13977" t="s">
        <v>47445</v>
      </c>
      <c r="S13977" t="s">
        <v>48250</v>
      </c>
      <c r="T13977" t="s">
        <v>49127</v>
      </c>
      <c r="U13977" t="s">
        <v>61038</v>
      </c>
      <c r="W13977" t="s">
        <v>44653</v>
      </c>
      <c r="X13977" t="s">
        <v>47447</v>
      </c>
    </row>
    <row r="13978" spans="1:24">
      <c r="A13978">
        <f>HYPERLINK("https://www.philgeps.gov.ph/GEPSNONPILOT/Tender/SplashBidNoticeAbstractUI.aspx?menuIndex=3&amp;refID=7126565&amp;Result=3","7126565")</f>
        <v>0</v>
      </c>
      <c r="B13978" t="s">
        <v>1177</v>
      </c>
      <c r="C13978" t="s">
        <v>17106</v>
      </c>
      <c r="E13978" t="s">
        <v>20136</v>
      </c>
      <c r="F13978" t="s">
        <v>32831</v>
      </c>
      <c r="G13978" t="s">
        <v>32839</v>
      </c>
      <c r="H13978" t="s">
        <v>32849</v>
      </c>
      <c r="I13978" t="s">
        <v>4177</v>
      </c>
      <c r="J13978" t="s">
        <v>33118</v>
      </c>
      <c r="K13978" t="s">
        <v>42729</v>
      </c>
      <c r="M13978" t="s">
        <v>44243</v>
      </c>
      <c r="N13978" t="s">
        <v>47424</v>
      </c>
      <c r="O13978" t="s">
        <v>47425</v>
      </c>
      <c r="P13978">
        <v>0</v>
      </c>
      <c r="Q13978">
        <v>3</v>
      </c>
      <c r="R13978" t="s">
        <v>47445</v>
      </c>
      <c r="S13978" t="s">
        <v>48250</v>
      </c>
      <c r="T13978" t="s">
        <v>49214</v>
      </c>
      <c r="U13978" t="s">
        <v>52173</v>
      </c>
      <c r="W13978" t="s">
        <v>44243</v>
      </c>
      <c r="X13978" t="s">
        <v>47446</v>
      </c>
    </row>
    <row r="13979" spans="1:24">
      <c r="A13979">
        <f>HYPERLINK("https://www.philgeps.gov.ph/GEPSNONPILOT/Tender/SplashBidNoticeAbstractUI.aspx?menuIndex=3&amp;refID=7126859&amp;Result=3","7126859")</f>
        <v>0</v>
      </c>
      <c r="B13979" t="s">
        <v>1268</v>
      </c>
      <c r="C13979" t="s">
        <v>17107</v>
      </c>
      <c r="D13979" t="s">
        <v>19061</v>
      </c>
      <c r="E13979" t="s">
        <v>31073</v>
      </c>
      <c r="F13979" t="s">
        <v>32831</v>
      </c>
      <c r="G13979" t="s">
        <v>32839</v>
      </c>
      <c r="H13979" t="s">
        <v>32850</v>
      </c>
      <c r="I13979" t="s">
        <v>14069</v>
      </c>
      <c r="J13979" t="s">
        <v>33055</v>
      </c>
      <c r="K13979" t="s">
        <v>42730</v>
      </c>
      <c r="M13979" t="s">
        <v>44338</v>
      </c>
      <c r="N13979" t="s">
        <v>47424</v>
      </c>
      <c r="O13979" t="s">
        <v>47425</v>
      </c>
      <c r="P13979">
        <v>0</v>
      </c>
      <c r="Q13979">
        <v>8</v>
      </c>
      <c r="R13979" t="s">
        <v>47445</v>
      </c>
      <c r="S13979" t="s">
        <v>48250</v>
      </c>
      <c r="T13979" t="s">
        <v>49070</v>
      </c>
      <c r="U13979" t="s">
        <v>61039</v>
      </c>
      <c r="W13979" t="s">
        <v>44338</v>
      </c>
      <c r="X13979" t="s">
        <v>47446</v>
      </c>
    </row>
    <row r="13980" spans="1:24">
      <c r="A13980">
        <f>HYPERLINK("https://www.philgeps.gov.ph/GEPSNONPILOT/Tender/SplashBidNoticeAbstractUI.aspx?menuIndex=3&amp;refID=7126888&amp;Result=3","7126888")</f>
        <v>0</v>
      </c>
      <c r="B13980" t="s">
        <v>100</v>
      </c>
      <c r="C13980" t="s">
        <v>17108</v>
      </c>
      <c r="D13980" t="s">
        <v>19017</v>
      </c>
      <c r="E13980" t="s">
        <v>31074</v>
      </c>
      <c r="F13980" t="s">
        <v>32831</v>
      </c>
      <c r="G13980" t="s">
        <v>32839</v>
      </c>
      <c r="H13980" t="s">
        <v>32848</v>
      </c>
      <c r="I13980" t="s">
        <v>32857</v>
      </c>
      <c r="J13980" t="s">
        <v>41495</v>
      </c>
      <c r="K13980" t="s">
        <v>42731</v>
      </c>
      <c r="M13980" t="s">
        <v>47184</v>
      </c>
      <c r="N13980" t="s">
        <v>47424</v>
      </c>
      <c r="O13980" t="s">
        <v>47425</v>
      </c>
      <c r="Q13980">
        <v>22</v>
      </c>
      <c r="R13980" t="s">
        <v>47445</v>
      </c>
      <c r="S13980" t="s">
        <v>48285</v>
      </c>
      <c r="T13980" t="s">
        <v>49644</v>
      </c>
      <c r="U13980" t="s">
        <v>61040</v>
      </c>
      <c r="V13980" t="s">
        <v>64217</v>
      </c>
      <c r="W13980" t="s">
        <v>47184</v>
      </c>
      <c r="X13980" t="s">
        <v>47446</v>
      </c>
    </row>
    <row r="13981" spans="1:24">
      <c r="A13981">
        <f>HYPERLINK("https://www.philgeps.gov.ph/GEPSNONPILOT/Tender/SplashBidNoticeAbstractUI.aspx?menuIndex=3&amp;refID=7126840&amp;Result=3","7126840")</f>
        <v>0</v>
      </c>
      <c r="B13981" t="s">
        <v>3776</v>
      </c>
      <c r="C13981" t="s">
        <v>17109</v>
      </c>
      <c r="D13981" t="s">
        <v>19044</v>
      </c>
      <c r="E13981" t="s">
        <v>31075</v>
      </c>
      <c r="F13981" t="s">
        <v>32831</v>
      </c>
      <c r="G13981" t="s">
        <v>32839</v>
      </c>
      <c r="H13981" t="s">
        <v>32848</v>
      </c>
      <c r="I13981" t="s">
        <v>4487</v>
      </c>
      <c r="J13981" t="s">
        <v>33644</v>
      </c>
      <c r="K13981" t="s">
        <v>42730</v>
      </c>
      <c r="M13981" t="s">
        <v>47185</v>
      </c>
      <c r="N13981" t="s">
        <v>47424</v>
      </c>
      <c r="O13981" t="s">
        <v>47425</v>
      </c>
      <c r="Q13981">
        <v>9</v>
      </c>
      <c r="R13981" t="s">
        <v>47445</v>
      </c>
      <c r="S13981" t="s">
        <v>48286</v>
      </c>
      <c r="T13981" t="s">
        <v>49213</v>
      </c>
      <c r="U13981" t="s">
        <v>61041</v>
      </c>
      <c r="W13981" t="s">
        <v>47185</v>
      </c>
      <c r="X13981" t="s">
        <v>47446</v>
      </c>
    </row>
    <row r="13982" spans="1:24">
      <c r="A13982">
        <f>HYPERLINK("https://www.philgeps.gov.ph/GEPSNONPILOT/Tender/SplashBidNoticeAbstractUI.aspx?menuIndex=3&amp;refID=7126864&amp;Result=3","7126864")</f>
        <v>0</v>
      </c>
      <c r="B13982" t="s">
        <v>3545</v>
      </c>
      <c r="C13982" t="s">
        <v>17110</v>
      </c>
      <c r="D13982" t="s">
        <v>19074</v>
      </c>
      <c r="E13982" t="s">
        <v>31076</v>
      </c>
      <c r="F13982" t="s">
        <v>32831</v>
      </c>
      <c r="G13982" t="s">
        <v>32839</v>
      </c>
      <c r="H13982" t="s">
        <v>32849</v>
      </c>
      <c r="I13982" t="s">
        <v>4177</v>
      </c>
      <c r="J13982" t="s">
        <v>41496</v>
      </c>
      <c r="K13982" t="s">
        <v>42788</v>
      </c>
      <c r="M13982" t="s">
        <v>46900</v>
      </c>
      <c r="N13982" t="s">
        <v>47424</v>
      </c>
      <c r="O13982" t="s">
        <v>47425</v>
      </c>
      <c r="P13982">
        <v>0</v>
      </c>
      <c r="Q13982">
        <v>1</v>
      </c>
      <c r="R13982" t="s">
        <v>47445</v>
      </c>
      <c r="S13982" t="s">
        <v>48250</v>
      </c>
      <c r="T13982" t="s">
        <v>49214</v>
      </c>
      <c r="U13982" t="s">
        <v>61042</v>
      </c>
      <c r="W13982" t="s">
        <v>46900</v>
      </c>
      <c r="X13982" t="s">
        <v>47446</v>
      </c>
    </row>
    <row r="13983" spans="1:24">
      <c r="A13983">
        <f>HYPERLINK("https://www.philgeps.gov.ph/GEPSNONPILOT/Tender/SplashBidNoticeAbstractUI.aspx?menuIndex=3&amp;refID=7125184&amp;Result=3","7125184")</f>
        <v>0</v>
      </c>
      <c r="B13983" t="s">
        <v>2192</v>
      </c>
      <c r="C13983" t="s">
        <v>17111</v>
      </c>
      <c r="D13983" t="s">
        <v>19037</v>
      </c>
      <c r="E13983" t="s">
        <v>31077</v>
      </c>
      <c r="F13983" t="s">
        <v>32831</v>
      </c>
      <c r="G13983" t="s">
        <v>32839</v>
      </c>
      <c r="H13983" t="s">
        <v>32849</v>
      </c>
      <c r="I13983" t="s">
        <v>4177</v>
      </c>
      <c r="J13983" t="s">
        <v>33118</v>
      </c>
      <c r="K13983" t="s">
        <v>42747</v>
      </c>
      <c r="M13983" t="s">
        <v>45372</v>
      </c>
      <c r="N13983" t="s">
        <v>47424</v>
      </c>
      <c r="O13983" t="s">
        <v>47425</v>
      </c>
      <c r="P13983">
        <v>0</v>
      </c>
      <c r="Q13983">
        <v>0</v>
      </c>
      <c r="R13983" t="s">
        <v>47445</v>
      </c>
      <c r="S13983" t="s">
        <v>48250</v>
      </c>
      <c r="T13983" t="s">
        <v>49108</v>
      </c>
      <c r="U13983" t="s">
        <v>61043</v>
      </c>
      <c r="W13983" t="s">
        <v>45372</v>
      </c>
      <c r="X13983" t="s">
        <v>47447</v>
      </c>
    </row>
    <row r="13984" spans="1:24">
      <c r="A13984">
        <f>HYPERLINK("https://www.philgeps.gov.ph/GEPSNONPILOT/Tender/SplashBidNoticeAbstractUI.aspx?menuIndex=3&amp;refID=7126890&amp;Result=3","7126890")</f>
        <v>0</v>
      </c>
      <c r="B13984" t="s">
        <v>2168</v>
      </c>
      <c r="C13984" t="s">
        <v>17112</v>
      </c>
      <c r="D13984" t="s">
        <v>19045</v>
      </c>
      <c r="E13984" t="s">
        <v>31078</v>
      </c>
      <c r="F13984" t="s">
        <v>32831</v>
      </c>
      <c r="G13984" t="s">
        <v>32839</v>
      </c>
      <c r="H13984" t="s">
        <v>32849</v>
      </c>
      <c r="I13984" t="s">
        <v>4177</v>
      </c>
      <c r="J13984" t="s">
        <v>41458</v>
      </c>
      <c r="K13984" t="s">
        <v>42729</v>
      </c>
      <c r="M13984" t="s">
        <v>45346</v>
      </c>
      <c r="N13984" t="s">
        <v>47424</v>
      </c>
      <c r="O13984" t="s">
        <v>47425</v>
      </c>
      <c r="P13984">
        <v>0</v>
      </c>
      <c r="Q13984">
        <v>2</v>
      </c>
      <c r="R13984" t="s">
        <v>47445</v>
      </c>
      <c r="S13984" t="s">
        <v>48250</v>
      </c>
      <c r="T13984" t="s">
        <v>49141</v>
      </c>
      <c r="U13984" t="s">
        <v>61004</v>
      </c>
      <c r="W13984" t="s">
        <v>45346</v>
      </c>
      <c r="X13984" t="s">
        <v>47446</v>
      </c>
    </row>
    <row r="13985" spans="1:24">
      <c r="A13985">
        <f>HYPERLINK("https://www.philgeps.gov.ph/GEPSNONPILOT/Tender/SplashBidNoticeAbstractUI.aspx?menuIndex=3&amp;refID=7126790&amp;Result=3","7126790")</f>
        <v>0</v>
      </c>
      <c r="B13985" t="s">
        <v>578</v>
      </c>
      <c r="C13985" t="s">
        <v>17113</v>
      </c>
      <c r="D13985" t="s">
        <v>19037</v>
      </c>
      <c r="E13985" t="s">
        <v>31079</v>
      </c>
      <c r="F13985" t="s">
        <v>32831</v>
      </c>
      <c r="G13985" t="s">
        <v>32839</v>
      </c>
      <c r="H13985" t="s">
        <v>32848</v>
      </c>
      <c r="I13985" t="s">
        <v>7751</v>
      </c>
      <c r="J13985" t="s">
        <v>33528</v>
      </c>
      <c r="K13985" t="s">
        <v>42729</v>
      </c>
      <c r="M13985" t="s">
        <v>43589</v>
      </c>
      <c r="N13985" t="s">
        <v>47424</v>
      </c>
      <c r="O13985" t="s">
        <v>47425</v>
      </c>
      <c r="Q13985">
        <v>6</v>
      </c>
      <c r="R13985" t="s">
        <v>47445</v>
      </c>
      <c r="S13985" t="s">
        <v>47745</v>
      </c>
      <c r="T13985" t="s">
        <v>49105</v>
      </c>
      <c r="U13985" t="s">
        <v>61044</v>
      </c>
      <c r="W13985" t="s">
        <v>43589</v>
      </c>
      <c r="X13985" t="s">
        <v>47446</v>
      </c>
    </row>
    <row r="13986" spans="1:24">
      <c r="A13986">
        <f>HYPERLINK("https://www.philgeps.gov.ph/GEPSNONPILOT/Tender/SplashBidNoticeAbstractUI.aspx?menuIndex=3&amp;refID=7126783&amp;Result=3","7126783")</f>
        <v>0</v>
      </c>
      <c r="B13986" t="s">
        <v>2192</v>
      </c>
      <c r="C13986" t="s">
        <v>17114</v>
      </c>
      <c r="D13986" t="s">
        <v>19037</v>
      </c>
      <c r="E13986" t="s">
        <v>31080</v>
      </c>
      <c r="F13986" t="s">
        <v>32831</v>
      </c>
      <c r="G13986" t="s">
        <v>32839</v>
      </c>
      <c r="H13986" t="s">
        <v>32849</v>
      </c>
      <c r="I13986" t="s">
        <v>4177</v>
      </c>
      <c r="J13986" t="s">
        <v>33794</v>
      </c>
      <c r="K13986" t="s">
        <v>42743</v>
      </c>
      <c r="M13986" t="s">
        <v>45372</v>
      </c>
      <c r="N13986" t="s">
        <v>47424</v>
      </c>
      <c r="O13986" t="s">
        <v>47425</v>
      </c>
      <c r="P13986">
        <v>0</v>
      </c>
      <c r="Q13986">
        <v>1</v>
      </c>
      <c r="R13986" t="s">
        <v>47445</v>
      </c>
      <c r="S13986" t="s">
        <v>48250</v>
      </c>
      <c r="T13986" t="s">
        <v>49108</v>
      </c>
      <c r="U13986" t="s">
        <v>61045</v>
      </c>
      <c r="W13986" t="s">
        <v>45372</v>
      </c>
      <c r="X13986" t="s">
        <v>47446</v>
      </c>
    </row>
    <row r="13987" spans="1:24">
      <c r="A13987">
        <f>HYPERLINK("https://www.philgeps.gov.ph/GEPSNONPILOT/Tender/SplashBidNoticeAbstractUI.aspx?menuIndex=3&amp;refID=7126758&amp;Result=3","7126758")</f>
        <v>0</v>
      </c>
      <c r="B13987" t="s">
        <v>2168</v>
      </c>
      <c r="C13987" t="s">
        <v>17115</v>
      </c>
      <c r="D13987" t="s">
        <v>19045</v>
      </c>
      <c r="E13987" t="s">
        <v>31081</v>
      </c>
      <c r="F13987" t="s">
        <v>32831</v>
      </c>
      <c r="G13987" t="s">
        <v>32839</v>
      </c>
      <c r="H13987" t="s">
        <v>32849</v>
      </c>
      <c r="I13987" t="s">
        <v>4177</v>
      </c>
      <c r="J13987" t="s">
        <v>41458</v>
      </c>
      <c r="K13987" t="s">
        <v>42729</v>
      </c>
      <c r="M13987" t="s">
        <v>45346</v>
      </c>
      <c r="N13987" t="s">
        <v>47424</v>
      </c>
      <c r="O13987" t="s">
        <v>47425</v>
      </c>
      <c r="P13987">
        <v>0</v>
      </c>
      <c r="Q13987">
        <v>1</v>
      </c>
      <c r="R13987" t="s">
        <v>47445</v>
      </c>
      <c r="S13987" t="s">
        <v>48250</v>
      </c>
      <c r="T13987" t="s">
        <v>49141</v>
      </c>
      <c r="U13987" t="s">
        <v>61004</v>
      </c>
      <c r="W13987" t="s">
        <v>45346</v>
      </c>
      <c r="X13987" t="s">
        <v>47446</v>
      </c>
    </row>
    <row r="13988" spans="1:24">
      <c r="A13988">
        <f>HYPERLINK("https://www.philgeps.gov.ph/GEPSNONPILOT/Tender/SplashBidNoticeAbstractUI.aspx?menuIndex=3&amp;refID=7124967&amp;Result=3","7124967")</f>
        <v>0</v>
      </c>
      <c r="B13988" t="s">
        <v>948</v>
      </c>
      <c r="C13988" t="s">
        <v>17116</v>
      </c>
      <c r="D13988" t="s">
        <v>19017</v>
      </c>
      <c r="E13988" t="s">
        <v>31082</v>
      </c>
      <c r="F13988" t="s">
        <v>32831</v>
      </c>
      <c r="G13988" t="s">
        <v>32839</v>
      </c>
      <c r="H13988" t="s">
        <v>32848</v>
      </c>
      <c r="I13988" t="s">
        <v>4340</v>
      </c>
      <c r="J13988" t="s">
        <v>41461</v>
      </c>
      <c r="K13988" t="s">
        <v>42731</v>
      </c>
      <c r="M13988" t="s">
        <v>47176</v>
      </c>
      <c r="N13988" t="s">
        <v>47424</v>
      </c>
      <c r="O13988" t="s">
        <v>47425</v>
      </c>
      <c r="P13988">
        <v>0</v>
      </c>
      <c r="Q13988">
        <v>2</v>
      </c>
      <c r="R13988" t="s">
        <v>47445</v>
      </c>
      <c r="S13988" t="s">
        <v>48250</v>
      </c>
      <c r="T13988" t="s">
        <v>49239</v>
      </c>
      <c r="U13988" t="s">
        <v>61002</v>
      </c>
      <c r="W13988" t="s">
        <v>47176</v>
      </c>
      <c r="X13988" t="s">
        <v>47447</v>
      </c>
    </row>
    <row r="13989" spans="1:24">
      <c r="A13989">
        <f>HYPERLINK("https://www.philgeps.gov.ph/GEPSNONPILOT/Tender/SplashBidNoticeAbstractUI.aspx?menuIndex=3&amp;refID=7126801&amp;Result=3","7126801")</f>
        <v>0</v>
      </c>
      <c r="B13989" t="s">
        <v>2168</v>
      </c>
      <c r="C13989" t="s">
        <v>17117</v>
      </c>
      <c r="D13989" t="s">
        <v>19045</v>
      </c>
      <c r="E13989" t="s">
        <v>31083</v>
      </c>
      <c r="F13989" t="s">
        <v>32831</v>
      </c>
      <c r="G13989" t="s">
        <v>32839</v>
      </c>
      <c r="H13989" t="s">
        <v>32849</v>
      </c>
      <c r="I13989" t="s">
        <v>4177</v>
      </c>
      <c r="J13989" t="s">
        <v>41458</v>
      </c>
      <c r="K13989" t="s">
        <v>42729</v>
      </c>
      <c r="M13989" t="s">
        <v>45346</v>
      </c>
      <c r="N13989" t="s">
        <v>47424</v>
      </c>
      <c r="O13989" t="s">
        <v>47425</v>
      </c>
      <c r="P13989">
        <v>0</v>
      </c>
      <c r="Q13989">
        <v>1</v>
      </c>
      <c r="R13989" t="s">
        <v>47445</v>
      </c>
      <c r="S13989" t="s">
        <v>48250</v>
      </c>
      <c r="T13989" t="s">
        <v>49141</v>
      </c>
      <c r="U13989" t="s">
        <v>61004</v>
      </c>
      <c r="W13989" t="s">
        <v>45346</v>
      </c>
      <c r="X13989" t="s">
        <v>47446</v>
      </c>
    </row>
    <row r="13990" spans="1:24">
      <c r="A13990">
        <f>HYPERLINK("https://www.philgeps.gov.ph/GEPSNONPILOT/Tender/SplashBidNoticeAbstractUI.aspx?menuIndex=3&amp;refID=7126488&amp;Result=3","7126488")</f>
        <v>0</v>
      </c>
      <c r="B13990" t="s">
        <v>1857</v>
      </c>
      <c r="C13990" t="s">
        <v>17118</v>
      </c>
      <c r="E13990" t="s">
        <v>31084</v>
      </c>
      <c r="F13990" t="s">
        <v>32831</v>
      </c>
      <c r="G13990" t="s">
        <v>32839</v>
      </c>
      <c r="H13990" t="s">
        <v>32848</v>
      </c>
      <c r="I13990" t="s">
        <v>7751</v>
      </c>
      <c r="J13990" t="s">
        <v>33032</v>
      </c>
      <c r="K13990" t="s">
        <v>42729</v>
      </c>
      <c r="M13990" t="s">
        <v>44996</v>
      </c>
      <c r="N13990" t="s">
        <v>47424</v>
      </c>
      <c r="O13990" t="s">
        <v>47425</v>
      </c>
      <c r="P13990">
        <v>0</v>
      </c>
      <c r="Q13990">
        <v>5</v>
      </c>
      <c r="R13990" t="s">
        <v>47445</v>
      </c>
      <c r="S13990" t="s">
        <v>48250</v>
      </c>
      <c r="T13990" t="s">
        <v>49214</v>
      </c>
      <c r="U13990" t="s">
        <v>61046</v>
      </c>
      <c r="W13990" t="s">
        <v>44996</v>
      </c>
      <c r="X13990" t="s">
        <v>47446</v>
      </c>
    </row>
    <row r="13991" spans="1:24">
      <c r="A13991">
        <f>HYPERLINK("https://www.philgeps.gov.ph/GEPSNONPILOT/Tender/SplashBidNoticeAbstractUI.aspx?menuIndex=3&amp;refID=7126734&amp;Result=3","7126734")</f>
        <v>0</v>
      </c>
      <c r="B13991" t="s">
        <v>2457</v>
      </c>
      <c r="C13991" t="s">
        <v>17119</v>
      </c>
      <c r="D13991" t="s">
        <v>19049</v>
      </c>
      <c r="E13991" t="s">
        <v>31085</v>
      </c>
      <c r="F13991" t="s">
        <v>32831</v>
      </c>
      <c r="G13991" t="s">
        <v>32839</v>
      </c>
      <c r="H13991" t="s">
        <v>32848</v>
      </c>
      <c r="I13991" t="s">
        <v>32862</v>
      </c>
      <c r="J13991" t="s">
        <v>41497</v>
      </c>
      <c r="K13991" t="s">
        <v>42730</v>
      </c>
      <c r="M13991" t="s">
        <v>45655</v>
      </c>
      <c r="N13991" t="s">
        <v>47424</v>
      </c>
      <c r="O13991" t="s">
        <v>47425</v>
      </c>
      <c r="P13991">
        <v>0</v>
      </c>
      <c r="Q13991">
        <v>0</v>
      </c>
      <c r="R13991" t="s">
        <v>47445</v>
      </c>
      <c r="S13991" t="s">
        <v>48250</v>
      </c>
      <c r="T13991" t="s">
        <v>49055</v>
      </c>
      <c r="U13991" t="s">
        <v>55526</v>
      </c>
      <c r="V13991" t="s">
        <v>64214</v>
      </c>
      <c r="W13991" t="s">
        <v>45655</v>
      </c>
      <c r="X13991" t="s">
        <v>47446</v>
      </c>
    </row>
    <row r="13992" spans="1:24">
      <c r="A13992">
        <f>HYPERLINK("https://www.philgeps.gov.ph/GEPSNONPILOT/Tender/SplashBidNoticeAbstractUI.aspx?menuIndex=3&amp;refID=7126709&amp;Result=3","7126709")</f>
        <v>0</v>
      </c>
      <c r="B13992" t="s">
        <v>2168</v>
      </c>
      <c r="C13992" t="s">
        <v>17120</v>
      </c>
      <c r="D13992" t="s">
        <v>19045</v>
      </c>
      <c r="E13992" t="s">
        <v>31086</v>
      </c>
      <c r="F13992" t="s">
        <v>32831</v>
      </c>
      <c r="G13992" t="s">
        <v>32839</v>
      </c>
      <c r="H13992" t="s">
        <v>32849</v>
      </c>
      <c r="I13992" t="s">
        <v>4177</v>
      </c>
      <c r="J13992" t="s">
        <v>41458</v>
      </c>
      <c r="K13992" t="s">
        <v>42729</v>
      </c>
      <c r="M13992" t="s">
        <v>45346</v>
      </c>
      <c r="N13992" t="s">
        <v>47424</v>
      </c>
      <c r="O13992" t="s">
        <v>47425</v>
      </c>
      <c r="P13992">
        <v>0</v>
      </c>
      <c r="Q13992">
        <v>1</v>
      </c>
      <c r="R13992" t="s">
        <v>47445</v>
      </c>
      <c r="S13992" t="s">
        <v>48250</v>
      </c>
      <c r="T13992" t="s">
        <v>49141</v>
      </c>
      <c r="U13992" t="s">
        <v>61004</v>
      </c>
      <c r="W13992" t="s">
        <v>45346</v>
      </c>
      <c r="X13992" t="s">
        <v>47446</v>
      </c>
    </row>
    <row r="13993" spans="1:24">
      <c r="A13993">
        <f>HYPERLINK("https://www.philgeps.gov.ph/GEPSNONPILOT/Tender/SplashBidNoticeAbstractUI.aspx?menuIndex=3&amp;refID=7126766&amp;Result=3","7126766")</f>
        <v>0</v>
      </c>
      <c r="B13993" t="s">
        <v>862</v>
      </c>
      <c r="C13993" t="s">
        <v>17121</v>
      </c>
      <c r="D13993" t="s">
        <v>19074</v>
      </c>
      <c r="E13993" t="s">
        <v>31087</v>
      </c>
      <c r="F13993" t="s">
        <v>32831</v>
      </c>
      <c r="G13993" t="s">
        <v>32839</v>
      </c>
      <c r="H13993" t="s">
        <v>32848</v>
      </c>
      <c r="I13993" t="s">
        <v>32890</v>
      </c>
      <c r="J13993" t="s">
        <v>36020</v>
      </c>
      <c r="K13993" t="s">
        <v>42730</v>
      </c>
      <c r="M13993" t="s">
        <v>43896</v>
      </c>
      <c r="N13993" t="s">
        <v>47424</v>
      </c>
      <c r="O13993" t="s">
        <v>47425</v>
      </c>
      <c r="P13993">
        <v>0</v>
      </c>
      <c r="Q13993">
        <v>1</v>
      </c>
      <c r="R13993" t="s">
        <v>47445</v>
      </c>
      <c r="S13993" t="s">
        <v>48250</v>
      </c>
      <c r="T13993" t="s">
        <v>49163</v>
      </c>
      <c r="U13993" t="s">
        <v>61047</v>
      </c>
      <c r="W13993" t="s">
        <v>43896</v>
      </c>
      <c r="X13993" t="s">
        <v>47446</v>
      </c>
    </row>
    <row r="13994" spans="1:24">
      <c r="A13994">
        <f>HYPERLINK("https://www.philgeps.gov.ph/GEPSNONPILOT/Tender/SplashBidNoticeAbstractUI.aspx?menuIndex=3&amp;refID=7126690&amp;Result=3","7126690")</f>
        <v>0</v>
      </c>
      <c r="B13994" t="s">
        <v>3777</v>
      </c>
      <c r="C13994" t="s">
        <v>17122</v>
      </c>
      <c r="D13994" t="s">
        <v>19074</v>
      </c>
      <c r="E13994" t="s">
        <v>19692</v>
      </c>
      <c r="F13994" t="s">
        <v>32831</v>
      </c>
      <c r="G13994" t="s">
        <v>32839</v>
      </c>
      <c r="H13994" t="s">
        <v>32848</v>
      </c>
      <c r="I13994" t="s">
        <v>7751</v>
      </c>
      <c r="J13994" t="s">
        <v>36076</v>
      </c>
      <c r="K13994" t="s">
        <v>42727</v>
      </c>
      <c r="M13994" t="s">
        <v>47186</v>
      </c>
      <c r="N13994" t="s">
        <v>47424</v>
      </c>
      <c r="O13994" t="s">
        <v>47425</v>
      </c>
      <c r="P13994">
        <v>0</v>
      </c>
      <c r="Q13994">
        <v>0</v>
      </c>
      <c r="R13994" t="s">
        <v>47445</v>
      </c>
      <c r="S13994" t="s">
        <v>48250</v>
      </c>
      <c r="T13994" t="s">
        <v>49244</v>
      </c>
      <c r="U13994" t="s">
        <v>61048</v>
      </c>
      <c r="W13994" t="s">
        <v>47186</v>
      </c>
      <c r="X13994" t="s">
        <v>47446</v>
      </c>
    </row>
    <row r="13995" spans="1:24">
      <c r="A13995">
        <f>HYPERLINK("https://www.philgeps.gov.ph/GEPSNONPILOT/Tender/SplashBidNoticeAbstractUI.aspx?menuIndex=3&amp;refID=7126668&amp;Result=3","7126668")</f>
        <v>0</v>
      </c>
      <c r="B13995" t="s">
        <v>2029</v>
      </c>
      <c r="C13995" t="s">
        <v>8514</v>
      </c>
      <c r="D13995" t="s">
        <v>19067</v>
      </c>
      <c r="E13995" t="s">
        <v>31088</v>
      </c>
      <c r="F13995" t="s">
        <v>32831</v>
      </c>
      <c r="G13995" t="s">
        <v>32839</v>
      </c>
      <c r="H13995" t="s">
        <v>32848</v>
      </c>
      <c r="I13995" t="s">
        <v>7416</v>
      </c>
      <c r="J13995" t="s">
        <v>41498</v>
      </c>
      <c r="K13995" t="s">
        <v>42732</v>
      </c>
      <c r="M13995" t="s">
        <v>47181</v>
      </c>
      <c r="N13995" t="s">
        <v>47424</v>
      </c>
      <c r="O13995" t="s">
        <v>47425</v>
      </c>
      <c r="P13995">
        <v>0</v>
      </c>
      <c r="Q13995">
        <v>0</v>
      </c>
      <c r="R13995" t="s">
        <v>47445</v>
      </c>
      <c r="S13995" t="s">
        <v>48250</v>
      </c>
      <c r="T13995" t="s">
        <v>49515</v>
      </c>
      <c r="U13995" t="s">
        <v>61049</v>
      </c>
      <c r="V13995" t="s">
        <v>64218</v>
      </c>
      <c r="W13995" t="s">
        <v>47181</v>
      </c>
      <c r="X13995" t="s">
        <v>47446</v>
      </c>
    </row>
    <row r="13996" spans="1:24">
      <c r="A13996">
        <f>HYPERLINK("https://www.philgeps.gov.ph/GEPSNONPILOT/Tender/SplashBidNoticeAbstractUI.aspx?menuIndex=3&amp;refID=7126647&amp;Result=3","7126647")</f>
        <v>0</v>
      </c>
      <c r="B13996" t="s">
        <v>2457</v>
      </c>
      <c r="C13996" t="s">
        <v>17123</v>
      </c>
      <c r="D13996" t="s">
        <v>19049</v>
      </c>
      <c r="E13996" t="s">
        <v>31089</v>
      </c>
      <c r="F13996" t="s">
        <v>32831</v>
      </c>
      <c r="G13996" t="s">
        <v>32839</v>
      </c>
      <c r="H13996" t="s">
        <v>32848</v>
      </c>
      <c r="I13996" t="s">
        <v>5379</v>
      </c>
      <c r="J13996" t="s">
        <v>33626</v>
      </c>
      <c r="K13996" t="s">
        <v>42730</v>
      </c>
      <c r="M13996" t="s">
        <v>45655</v>
      </c>
      <c r="N13996" t="s">
        <v>47424</v>
      </c>
      <c r="O13996" t="s">
        <v>47425</v>
      </c>
      <c r="P13996">
        <v>0</v>
      </c>
      <c r="Q13996">
        <v>1</v>
      </c>
      <c r="R13996" t="s">
        <v>47445</v>
      </c>
      <c r="S13996" t="s">
        <v>48250</v>
      </c>
      <c r="T13996" t="s">
        <v>49061</v>
      </c>
      <c r="U13996" t="s">
        <v>55526</v>
      </c>
      <c r="V13996" t="s">
        <v>64219</v>
      </c>
      <c r="W13996" t="s">
        <v>45655</v>
      </c>
      <c r="X13996" t="s">
        <v>47446</v>
      </c>
    </row>
    <row r="13997" spans="1:24">
      <c r="A13997">
        <f>HYPERLINK("https://www.philgeps.gov.ph/GEPSNONPILOT/Tender/SplashBidNoticeAbstractUI.aspx?menuIndex=3&amp;refID=7126278&amp;Result=3","7126278")</f>
        <v>0</v>
      </c>
      <c r="B13997" t="s">
        <v>48</v>
      </c>
      <c r="C13997" t="s">
        <v>17124</v>
      </c>
      <c r="D13997" t="s">
        <v>19036</v>
      </c>
      <c r="E13997" t="s">
        <v>30907</v>
      </c>
      <c r="F13997" t="s">
        <v>32831</v>
      </c>
      <c r="G13997" t="s">
        <v>32839</v>
      </c>
      <c r="H13997" t="s">
        <v>32849</v>
      </c>
      <c r="I13997" t="s">
        <v>4177</v>
      </c>
      <c r="J13997" t="s">
        <v>41499</v>
      </c>
      <c r="K13997" t="s">
        <v>42932</v>
      </c>
      <c r="M13997" t="s">
        <v>43045</v>
      </c>
      <c r="N13997" t="s">
        <v>47424</v>
      </c>
      <c r="O13997" t="s">
        <v>47425</v>
      </c>
      <c r="P13997">
        <v>0</v>
      </c>
      <c r="Q13997">
        <v>0</v>
      </c>
      <c r="R13997" t="s">
        <v>47445</v>
      </c>
      <c r="S13997" t="s">
        <v>48250</v>
      </c>
      <c r="T13997" t="s">
        <v>49237</v>
      </c>
      <c r="U13997" t="s">
        <v>61050</v>
      </c>
      <c r="W13997" t="s">
        <v>43045</v>
      </c>
      <c r="X13997" t="s">
        <v>47447</v>
      </c>
    </row>
    <row r="13998" spans="1:24">
      <c r="A13998">
        <f>HYPERLINK("https://www.philgeps.gov.ph/GEPSNONPILOT/Tender/SplashBidNoticeAbstractUI.aspx?menuIndex=3&amp;refID=7126269&amp;Result=3","7126269")</f>
        <v>0</v>
      </c>
      <c r="B13998" t="s">
        <v>48</v>
      </c>
      <c r="C13998" t="s">
        <v>17125</v>
      </c>
      <c r="D13998" t="s">
        <v>19036</v>
      </c>
      <c r="E13998" t="s">
        <v>30741</v>
      </c>
      <c r="F13998" t="s">
        <v>32831</v>
      </c>
      <c r="G13998" t="s">
        <v>32839</v>
      </c>
      <c r="H13998" t="s">
        <v>32849</v>
      </c>
      <c r="I13998" t="s">
        <v>4177</v>
      </c>
      <c r="J13998" t="s">
        <v>41500</v>
      </c>
      <c r="K13998" t="s">
        <v>42756</v>
      </c>
      <c r="M13998" t="s">
        <v>43045</v>
      </c>
      <c r="N13998" t="s">
        <v>47424</v>
      </c>
      <c r="O13998" t="s">
        <v>47425</v>
      </c>
      <c r="P13998">
        <v>0</v>
      </c>
      <c r="Q13998">
        <v>2</v>
      </c>
      <c r="R13998" t="s">
        <v>47445</v>
      </c>
      <c r="S13998" t="s">
        <v>48250</v>
      </c>
      <c r="T13998" t="s">
        <v>49237</v>
      </c>
      <c r="U13998" t="s">
        <v>61051</v>
      </c>
      <c r="W13998" t="s">
        <v>43045</v>
      </c>
      <c r="X13998" t="s">
        <v>47447</v>
      </c>
    </row>
    <row r="13999" spans="1:24">
      <c r="A13999">
        <f>HYPERLINK("https://www.philgeps.gov.ph/GEPSNONPILOT/Tender/SplashBidNoticeAbstractUI.aspx?menuIndex=3&amp;refID=7125776&amp;Result=3","7125776")</f>
        <v>0</v>
      </c>
      <c r="B13999" t="s">
        <v>2640</v>
      </c>
      <c r="C13999" t="s">
        <v>17126</v>
      </c>
      <c r="E13999" t="s">
        <v>31090</v>
      </c>
      <c r="F13999" t="s">
        <v>32831</v>
      </c>
      <c r="G13999" t="s">
        <v>32839</v>
      </c>
      <c r="H13999" t="s">
        <v>32848</v>
      </c>
      <c r="I13999" t="s">
        <v>32883</v>
      </c>
      <c r="J13999" t="s">
        <v>41501</v>
      </c>
      <c r="K13999" t="s">
        <v>42780</v>
      </c>
      <c r="M13999" t="s">
        <v>45862</v>
      </c>
      <c r="N13999" t="s">
        <v>47424</v>
      </c>
      <c r="O13999" t="s">
        <v>47425</v>
      </c>
      <c r="P13999">
        <v>0</v>
      </c>
      <c r="Q13999">
        <v>22</v>
      </c>
      <c r="R13999" t="s">
        <v>47445</v>
      </c>
      <c r="S13999" t="s">
        <v>48250</v>
      </c>
      <c r="T13999" t="s">
        <v>49066</v>
      </c>
      <c r="U13999" t="s">
        <v>61052</v>
      </c>
      <c r="W13999" t="s">
        <v>45862</v>
      </c>
      <c r="X13999" t="s">
        <v>47447</v>
      </c>
    </row>
    <row r="14000" spans="1:24">
      <c r="A14000">
        <f>HYPERLINK("https://www.philgeps.gov.ph/GEPSNONPILOT/Tender/SplashBidNoticeAbstractUI.aspx?menuIndex=3&amp;refID=7126753&amp;Result=3","7126753")</f>
        <v>0</v>
      </c>
      <c r="B14000" t="s">
        <v>3774</v>
      </c>
      <c r="C14000" t="s">
        <v>17127</v>
      </c>
      <c r="D14000" t="s">
        <v>19037</v>
      </c>
      <c r="E14000" t="s">
        <v>31091</v>
      </c>
      <c r="F14000" t="s">
        <v>32831</v>
      </c>
      <c r="G14000" t="s">
        <v>32839</v>
      </c>
      <c r="H14000" t="s">
        <v>32848</v>
      </c>
      <c r="I14000" t="s">
        <v>4487</v>
      </c>
      <c r="J14000" t="s">
        <v>41502</v>
      </c>
      <c r="K14000" t="s">
        <v>42730</v>
      </c>
      <c r="M14000" t="s">
        <v>47182</v>
      </c>
      <c r="N14000" t="s">
        <v>47424</v>
      </c>
      <c r="O14000" t="s">
        <v>47425</v>
      </c>
      <c r="Q14000">
        <v>9</v>
      </c>
      <c r="R14000" t="s">
        <v>47445</v>
      </c>
      <c r="S14000" t="s">
        <v>48287</v>
      </c>
      <c r="T14000" t="s">
        <v>49171</v>
      </c>
      <c r="U14000" t="s">
        <v>61053</v>
      </c>
      <c r="W14000" t="s">
        <v>47182</v>
      </c>
      <c r="X14000" t="s">
        <v>47446</v>
      </c>
    </row>
    <row r="14001" spans="1:24">
      <c r="A14001">
        <f>HYPERLINK("https://www.philgeps.gov.ph/GEPSNONPILOT/Tender/SplashBidNoticeAbstractUI.aspx?menuIndex=3&amp;refID=7125764&amp;Result=3","7125764")</f>
        <v>0</v>
      </c>
      <c r="B14001" t="s">
        <v>960</v>
      </c>
      <c r="C14001" t="s">
        <v>17128</v>
      </c>
      <c r="D14001" t="s">
        <v>19017</v>
      </c>
      <c r="E14001" t="s">
        <v>31092</v>
      </c>
      <c r="F14001" t="s">
        <v>32831</v>
      </c>
      <c r="G14001" t="s">
        <v>32839</v>
      </c>
      <c r="H14001" t="s">
        <v>32850</v>
      </c>
      <c r="I14001" t="s">
        <v>32874</v>
      </c>
      <c r="J14001" t="s">
        <v>36931</v>
      </c>
      <c r="K14001" t="s">
        <v>42780</v>
      </c>
      <c r="M14001" t="s">
        <v>47187</v>
      </c>
      <c r="N14001" t="s">
        <v>47424</v>
      </c>
      <c r="O14001" t="s">
        <v>47425</v>
      </c>
      <c r="Q14001">
        <v>5</v>
      </c>
      <c r="R14001" t="s">
        <v>47445</v>
      </c>
      <c r="S14001" t="s">
        <v>48288</v>
      </c>
      <c r="T14001" t="s">
        <v>49192</v>
      </c>
      <c r="U14001" t="s">
        <v>61054</v>
      </c>
      <c r="W14001" t="s">
        <v>47187</v>
      </c>
      <c r="X14001" t="s">
        <v>47447</v>
      </c>
    </row>
    <row r="14002" spans="1:24">
      <c r="A14002">
        <f>HYPERLINK("https://www.philgeps.gov.ph/GEPSNONPILOT/Tender/SplashBidNoticeAbstractUI.aspx?menuIndex=3&amp;refID=7126290&amp;Result=3","7126290")</f>
        <v>0</v>
      </c>
      <c r="B14002" t="s">
        <v>48</v>
      </c>
      <c r="C14002" t="s">
        <v>17129</v>
      </c>
      <c r="D14002" t="s">
        <v>19036</v>
      </c>
      <c r="E14002" t="s">
        <v>31093</v>
      </c>
      <c r="F14002" t="s">
        <v>32831</v>
      </c>
      <c r="G14002" t="s">
        <v>32839</v>
      </c>
      <c r="H14002" t="s">
        <v>32849</v>
      </c>
      <c r="I14002" t="s">
        <v>4177</v>
      </c>
      <c r="J14002" t="s">
        <v>41503</v>
      </c>
      <c r="K14002" t="s">
        <v>42882</v>
      </c>
      <c r="M14002" t="s">
        <v>43045</v>
      </c>
      <c r="N14002" t="s">
        <v>47424</v>
      </c>
      <c r="O14002" t="s">
        <v>47425</v>
      </c>
      <c r="P14002">
        <v>0</v>
      </c>
      <c r="Q14002">
        <v>1</v>
      </c>
      <c r="R14002" t="s">
        <v>47445</v>
      </c>
      <c r="S14002" t="s">
        <v>48250</v>
      </c>
      <c r="T14002" t="s">
        <v>49237</v>
      </c>
      <c r="U14002" t="s">
        <v>61055</v>
      </c>
      <c r="W14002" t="s">
        <v>43045</v>
      </c>
      <c r="X14002" t="s">
        <v>47447</v>
      </c>
    </row>
    <row r="14003" spans="1:24">
      <c r="A14003">
        <f>HYPERLINK("https://www.philgeps.gov.ph/GEPSNONPILOT/Tender/SplashBidNoticeAbstractUI.aspx?menuIndex=3&amp;refID=7127082&amp;Result=3","7127082")</f>
        <v>0</v>
      </c>
      <c r="B14003" t="s">
        <v>834</v>
      </c>
      <c r="C14003" t="s">
        <v>17130</v>
      </c>
      <c r="D14003" t="s">
        <v>19046</v>
      </c>
      <c r="E14003" t="s">
        <v>31094</v>
      </c>
      <c r="F14003" t="s">
        <v>32831</v>
      </c>
      <c r="G14003" t="s">
        <v>32839</v>
      </c>
      <c r="H14003" t="s">
        <v>32849</v>
      </c>
      <c r="I14003" t="s">
        <v>4177</v>
      </c>
      <c r="J14003" t="s">
        <v>41504</v>
      </c>
      <c r="K14003" t="s">
        <v>42732</v>
      </c>
      <c r="M14003" t="s">
        <v>43866</v>
      </c>
      <c r="N14003" t="s">
        <v>47424</v>
      </c>
      <c r="O14003" t="s">
        <v>47425</v>
      </c>
      <c r="P14003">
        <v>0</v>
      </c>
      <c r="Q14003">
        <v>4</v>
      </c>
      <c r="R14003" t="s">
        <v>47445</v>
      </c>
      <c r="S14003" t="s">
        <v>48250</v>
      </c>
      <c r="T14003" t="s">
        <v>49239</v>
      </c>
      <c r="U14003" t="s">
        <v>61056</v>
      </c>
      <c r="W14003" t="s">
        <v>43866</v>
      </c>
      <c r="X14003" t="s">
        <v>47446</v>
      </c>
    </row>
    <row r="14004" spans="1:24">
      <c r="A14004">
        <f>HYPERLINK("https://www.philgeps.gov.ph/GEPSNONPILOT/Tender/SplashBidNoticeAbstractUI.aspx?menuIndex=3&amp;refID=7126750&amp;Result=3","7126750")</f>
        <v>0</v>
      </c>
      <c r="B14004" t="s">
        <v>2192</v>
      </c>
      <c r="C14004" t="s">
        <v>17131</v>
      </c>
      <c r="D14004" t="s">
        <v>19037</v>
      </c>
      <c r="E14004" t="s">
        <v>31095</v>
      </c>
      <c r="F14004" t="s">
        <v>32831</v>
      </c>
      <c r="G14004" t="s">
        <v>32839</v>
      </c>
      <c r="H14004" t="s">
        <v>32849</v>
      </c>
      <c r="I14004" t="s">
        <v>4177</v>
      </c>
      <c r="J14004" t="s">
        <v>41505</v>
      </c>
      <c r="K14004" t="s">
        <v>42784</v>
      </c>
      <c r="M14004" t="s">
        <v>45372</v>
      </c>
      <c r="N14004" t="s">
        <v>47424</v>
      </c>
      <c r="O14004" t="s">
        <v>47425</v>
      </c>
      <c r="P14004">
        <v>0</v>
      </c>
      <c r="Q14004">
        <v>1</v>
      </c>
      <c r="R14004" t="s">
        <v>47445</v>
      </c>
      <c r="S14004" t="s">
        <v>48250</v>
      </c>
      <c r="T14004" t="s">
        <v>49108</v>
      </c>
      <c r="U14004" t="s">
        <v>61057</v>
      </c>
      <c r="W14004" t="s">
        <v>45372</v>
      </c>
      <c r="X14004" t="s">
        <v>47446</v>
      </c>
    </row>
    <row r="14005" spans="1:24">
      <c r="A14005">
        <f>HYPERLINK("https://www.philgeps.gov.ph/GEPSNONPILOT/Tender/SplashBidNoticeAbstractUI.aspx?menuIndex=3&amp;refID=7126719&amp;Result=3","7126719")</f>
        <v>0</v>
      </c>
      <c r="B14005" t="s">
        <v>2029</v>
      </c>
      <c r="C14005" t="s">
        <v>8514</v>
      </c>
      <c r="D14005" t="s">
        <v>19067</v>
      </c>
      <c r="E14005" t="s">
        <v>31096</v>
      </c>
      <c r="F14005" t="s">
        <v>32831</v>
      </c>
      <c r="G14005" t="s">
        <v>32839</v>
      </c>
      <c r="H14005" t="s">
        <v>32848</v>
      </c>
      <c r="I14005" t="s">
        <v>7416</v>
      </c>
      <c r="J14005" t="s">
        <v>41506</v>
      </c>
      <c r="K14005" t="s">
        <v>42732</v>
      </c>
      <c r="M14005" t="s">
        <v>47181</v>
      </c>
      <c r="N14005" t="s">
        <v>47424</v>
      </c>
      <c r="O14005" t="s">
        <v>47425</v>
      </c>
      <c r="P14005">
        <v>0</v>
      </c>
      <c r="Q14005">
        <v>0</v>
      </c>
      <c r="R14005" t="s">
        <v>47445</v>
      </c>
      <c r="S14005" t="s">
        <v>48250</v>
      </c>
      <c r="T14005" t="s">
        <v>49515</v>
      </c>
      <c r="U14005" t="s">
        <v>61058</v>
      </c>
      <c r="V14005" t="s">
        <v>64220</v>
      </c>
      <c r="W14005" t="s">
        <v>47181</v>
      </c>
      <c r="X14005" t="s">
        <v>47446</v>
      </c>
    </row>
    <row r="14006" spans="1:24">
      <c r="A14006">
        <f>HYPERLINK("https://www.philgeps.gov.ph/GEPSNONPILOT/Tender/SplashBidNoticeAbstractUI.aspx?menuIndex=3&amp;refID=7126695&amp;Result=3","7126695")</f>
        <v>0</v>
      </c>
      <c r="B14006" t="s">
        <v>3778</v>
      </c>
      <c r="C14006" t="s">
        <v>14186</v>
      </c>
      <c r="D14006" t="s">
        <v>19027</v>
      </c>
      <c r="E14006" t="s">
        <v>24556</v>
      </c>
      <c r="F14006" t="s">
        <v>32831</v>
      </c>
      <c r="G14006" t="s">
        <v>32839</v>
      </c>
      <c r="H14006" t="s">
        <v>32850</v>
      </c>
      <c r="I14006" t="s">
        <v>5667</v>
      </c>
      <c r="J14006" t="s">
        <v>41507</v>
      </c>
      <c r="K14006" t="s">
        <v>42883</v>
      </c>
      <c r="M14006" t="s">
        <v>47188</v>
      </c>
      <c r="N14006" t="s">
        <v>47424</v>
      </c>
      <c r="O14006" t="s">
        <v>47425</v>
      </c>
      <c r="P14006">
        <v>0</v>
      </c>
      <c r="Q14006">
        <v>1</v>
      </c>
      <c r="R14006" t="s">
        <v>47445</v>
      </c>
      <c r="S14006" t="s">
        <v>48250</v>
      </c>
      <c r="T14006" t="s">
        <v>49111</v>
      </c>
      <c r="U14006" t="s">
        <v>61059</v>
      </c>
      <c r="W14006" t="s">
        <v>47188</v>
      </c>
      <c r="X14006" t="s">
        <v>47446</v>
      </c>
    </row>
    <row r="14007" spans="1:24">
      <c r="A14007">
        <f>HYPERLINK("https://www.philgeps.gov.ph/GEPSNONPILOT/Tender/SplashBidNoticeAbstractUI.aspx?menuIndex=3&amp;refID=7127039&amp;Result=3","7127039")</f>
        <v>0</v>
      </c>
      <c r="B14007" t="s">
        <v>78</v>
      </c>
      <c r="C14007" t="s">
        <v>17132</v>
      </c>
      <c r="D14007" t="s">
        <v>19023</v>
      </c>
      <c r="E14007" t="s">
        <v>31097</v>
      </c>
      <c r="F14007" t="s">
        <v>32831</v>
      </c>
      <c r="G14007" t="s">
        <v>32839</v>
      </c>
      <c r="H14007" t="s">
        <v>32849</v>
      </c>
      <c r="I14007" t="s">
        <v>4177</v>
      </c>
      <c r="J14007" t="s">
        <v>41508</v>
      </c>
      <c r="K14007" t="s">
        <v>42990</v>
      </c>
      <c r="M14007" t="s">
        <v>43075</v>
      </c>
      <c r="N14007" t="s">
        <v>47424</v>
      </c>
      <c r="O14007" t="s">
        <v>47425</v>
      </c>
      <c r="P14007">
        <v>0</v>
      </c>
      <c r="Q14007">
        <v>1</v>
      </c>
      <c r="R14007" t="s">
        <v>47445</v>
      </c>
      <c r="S14007" t="s">
        <v>48250</v>
      </c>
      <c r="T14007" t="s">
        <v>49328</v>
      </c>
      <c r="U14007" t="s">
        <v>61060</v>
      </c>
      <c r="W14007" t="s">
        <v>43075</v>
      </c>
      <c r="X14007" t="s">
        <v>47446</v>
      </c>
    </row>
    <row r="14008" spans="1:24">
      <c r="A14008">
        <f>HYPERLINK("https://www.philgeps.gov.ph/GEPSNONPILOT/Tender/SplashBidNoticeAbstractUI.aspx?menuIndex=3&amp;refID=7127037&amp;Result=3","7127037")</f>
        <v>0</v>
      </c>
      <c r="B14008" t="s">
        <v>2445</v>
      </c>
      <c r="C14008" t="s">
        <v>17133</v>
      </c>
      <c r="D14008" t="s">
        <v>19021</v>
      </c>
      <c r="E14008" t="s">
        <v>31098</v>
      </c>
      <c r="F14008" t="s">
        <v>32831</v>
      </c>
      <c r="G14008" t="s">
        <v>32839</v>
      </c>
      <c r="H14008" t="s">
        <v>32848</v>
      </c>
      <c r="I14008" t="s">
        <v>32860</v>
      </c>
      <c r="J14008" t="s">
        <v>41509</v>
      </c>
      <c r="K14008" t="s">
        <v>42727</v>
      </c>
      <c r="M14008" t="s">
        <v>45643</v>
      </c>
      <c r="N14008" t="s">
        <v>47424</v>
      </c>
      <c r="O14008" t="s">
        <v>47425</v>
      </c>
      <c r="Q14008">
        <v>3</v>
      </c>
      <c r="R14008" t="s">
        <v>47445</v>
      </c>
      <c r="S14008" t="s">
        <v>48289</v>
      </c>
      <c r="T14008" t="s">
        <v>49166</v>
      </c>
      <c r="U14008" t="s">
        <v>61061</v>
      </c>
      <c r="V14008" t="s">
        <v>64221</v>
      </c>
      <c r="W14008" t="s">
        <v>45643</v>
      </c>
      <c r="X14008" t="s">
        <v>47446</v>
      </c>
    </row>
    <row r="14009" spans="1:24">
      <c r="A14009">
        <f>HYPERLINK("https://www.philgeps.gov.ph/GEPSNONPILOT/Tender/SplashBidNoticeAbstractUI.aspx?menuIndex=3&amp;refID=7127016&amp;Result=3","7127016")</f>
        <v>0</v>
      </c>
      <c r="B14009" t="s">
        <v>834</v>
      </c>
      <c r="C14009" t="s">
        <v>17134</v>
      </c>
      <c r="D14009" t="s">
        <v>19046</v>
      </c>
      <c r="E14009" t="s">
        <v>31099</v>
      </c>
      <c r="F14009" t="s">
        <v>32831</v>
      </c>
      <c r="G14009" t="s">
        <v>32839</v>
      </c>
      <c r="H14009" t="s">
        <v>32849</v>
      </c>
      <c r="I14009" t="s">
        <v>4177</v>
      </c>
      <c r="J14009" t="s">
        <v>41510</v>
      </c>
      <c r="K14009" t="s">
        <v>42732</v>
      </c>
      <c r="M14009" t="s">
        <v>43866</v>
      </c>
      <c r="N14009" t="s">
        <v>47424</v>
      </c>
      <c r="O14009" t="s">
        <v>47425</v>
      </c>
      <c r="P14009">
        <v>0</v>
      </c>
      <c r="Q14009">
        <v>1</v>
      </c>
      <c r="R14009" t="s">
        <v>47445</v>
      </c>
      <c r="S14009" t="s">
        <v>48250</v>
      </c>
      <c r="T14009" t="s">
        <v>49239</v>
      </c>
      <c r="U14009" t="s">
        <v>61062</v>
      </c>
      <c r="W14009" t="s">
        <v>43866</v>
      </c>
      <c r="X14009" t="s">
        <v>47446</v>
      </c>
    </row>
    <row r="14010" spans="1:24">
      <c r="A14010">
        <f>HYPERLINK("https://www.philgeps.gov.ph/GEPSNONPILOT/Tender/SplashBidNoticeAbstractUI.aspx?menuIndex=3&amp;refID=7127001&amp;Result=3","7127001")</f>
        <v>0</v>
      </c>
      <c r="B14010" t="s">
        <v>807</v>
      </c>
      <c r="C14010" t="s">
        <v>17135</v>
      </c>
      <c r="D14010" t="s">
        <v>19044</v>
      </c>
      <c r="E14010" t="s">
        <v>31100</v>
      </c>
      <c r="F14010" t="s">
        <v>32831</v>
      </c>
      <c r="G14010" t="s">
        <v>32839</v>
      </c>
      <c r="H14010" t="s">
        <v>32848</v>
      </c>
      <c r="I14010" t="s">
        <v>7416</v>
      </c>
      <c r="J14010" t="s">
        <v>41511</v>
      </c>
      <c r="K14010" t="s">
        <v>42726</v>
      </c>
      <c r="M14010" t="s">
        <v>43838</v>
      </c>
      <c r="N14010" t="s">
        <v>47424</v>
      </c>
      <c r="O14010" t="s">
        <v>47425</v>
      </c>
      <c r="P14010">
        <v>0</v>
      </c>
      <c r="Q14010">
        <v>1</v>
      </c>
      <c r="R14010" t="s">
        <v>47445</v>
      </c>
      <c r="S14010" t="s">
        <v>48250</v>
      </c>
      <c r="T14010" t="s">
        <v>49237</v>
      </c>
      <c r="U14010" t="s">
        <v>61063</v>
      </c>
      <c r="W14010" t="s">
        <v>43838</v>
      </c>
      <c r="X14010" t="s">
        <v>47446</v>
      </c>
    </row>
    <row r="14011" spans="1:24">
      <c r="A14011">
        <f>HYPERLINK("https://www.philgeps.gov.ph/GEPSNONPILOT/Tender/SplashBidNoticeAbstractUI.aspx?menuIndex=3&amp;refID=7127044&amp;Result=3","7127044")</f>
        <v>0</v>
      </c>
      <c r="B14011" t="s">
        <v>3779</v>
      </c>
      <c r="C14011" t="s">
        <v>17136</v>
      </c>
      <c r="D14011" t="s">
        <v>19037</v>
      </c>
      <c r="E14011" t="s">
        <v>31101</v>
      </c>
      <c r="F14011" t="s">
        <v>32831</v>
      </c>
      <c r="G14011" t="s">
        <v>32839</v>
      </c>
      <c r="H14011" t="s">
        <v>32849</v>
      </c>
      <c r="I14011" t="s">
        <v>4177</v>
      </c>
      <c r="J14011" t="s">
        <v>33257</v>
      </c>
      <c r="K14011" t="s">
        <v>42763</v>
      </c>
      <c r="L14011" t="s">
        <v>3779</v>
      </c>
      <c r="M14011" t="s">
        <v>47189</v>
      </c>
      <c r="N14011" t="s">
        <v>47424</v>
      </c>
      <c r="O14011" t="s">
        <v>47425</v>
      </c>
      <c r="P14011">
        <v>0</v>
      </c>
      <c r="Q14011">
        <v>3</v>
      </c>
      <c r="R14011" t="s">
        <v>47445</v>
      </c>
      <c r="S14011" t="s">
        <v>48250</v>
      </c>
      <c r="T14011" t="s">
        <v>49056</v>
      </c>
      <c r="U14011" t="s">
        <v>61064</v>
      </c>
      <c r="W14011" t="s">
        <v>47189</v>
      </c>
      <c r="X14011" t="s">
        <v>47446</v>
      </c>
    </row>
    <row r="14012" spans="1:24">
      <c r="A14012">
        <f>HYPERLINK("https://www.philgeps.gov.ph/GEPSNONPILOT/Tender/SplashBidNoticeAbstractUI.aspx?menuIndex=3&amp;refID=7126985&amp;Result=3","7126985")</f>
        <v>0</v>
      </c>
      <c r="B14012" t="s">
        <v>222</v>
      </c>
      <c r="C14012" t="s">
        <v>4474</v>
      </c>
      <c r="D14012" t="s">
        <v>19070</v>
      </c>
      <c r="E14012" t="s">
        <v>31102</v>
      </c>
      <c r="F14012" t="s">
        <v>32831</v>
      </c>
      <c r="G14012" t="s">
        <v>32839</v>
      </c>
      <c r="H14012" t="s">
        <v>32848</v>
      </c>
      <c r="I14012" t="s">
        <v>4558</v>
      </c>
      <c r="J14012" t="s">
        <v>41512</v>
      </c>
      <c r="K14012" t="s">
        <v>42732</v>
      </c>
      <c r="M14012" t="s">
        <v>43220</v>
      </c>
      <c r="N14012" t="s">
        <v>47424</v>
      </c>
      <c r="O14012" t="s">
        <v>47425</v>
      </c>
      <c r="Q14012">
        <v>12</v>
      </c>
      <c r="R14012" t="s">
        <v>47445</v>
      </c>
      <c r="S14012" t="s">
        <v>48290</v>
      </c>
      <c r="T14012" t="s">
        <v>49205</v>
      </c>
      <c r="U14012" t="s">
        <v>61065</v>
      </c>
      <c r="W14012" t="s">
        <v>43220</v>
      </c>
      <c r="X14012" t="s">
        <v>47446</v>
      </c>
    </row>
    <row r="14013" spans="1:24">
      <c r="A14013">
        <f>HYPERLINK("https://www.philgeps.gov.ph/GEPSNONPILOT/Tender/SplashBidNoticeAbstractUI.aspx?menuIndex=3&amp;refID=7127078&amp;Result=3","7127078")</f>
        <v>0</v>
      </c>
      <c r="B14013" t="s">
        <v>3757</v>
      </c>
      <c r="C14013" t="s">
        <v>17137</v>
      </c>
      <c r="D14013" t="s">
        <v>19044</v>
      </c>
      <c r="E14013" t="s">
        <v>31103</v>
      </c>
      <c r="F14013" t="s">
        <v>32831</v>
      </c>
      <c r="G14013" t="s">
        <v>32839</v>
      </c>
      <c r="H14013" t="s">
        <v>14069</v>
      </c>
      <c r="I14013" t="s">
        <v>32943</v>
      </c>
      <c r="J14013" t="s">
        <v>41513</v>
      </c>
      <c r="K14013" t="s">
        <v>42770</v>
      </c>
      <c r="M14013" t="s">
        <v>47190</v>
      </c>
      <c r="N14013" t="s">
        <v>47424</v>
      </c>
      <c r="O14013" t="s">
        <v>47425</v>
      </c>
      <c r="P14013">
        <v>0</v>
      </c>
      <c r="Q14013">
        <v>4</v>
      </c>
      <c r="R14013" t="s">
        <v>47445</v>
      </c>
      <c r="S14013" t="s">
        <v>48250</v>
      </c>
      <c r="T14013" t="s">
        <v>49259</v>
      </c>
      <c r="U14013" t="s">
        <v>61066</v>
      </c>
      <c r="W14013" t="s">
        <v>47190</v>
      </c>
      <c r="X14013" t="s">
        <v>47446</v>
      </c>
    </row>
    <row r="14014" spans="1:24">
      <c r="A14014">
        <f>HYPERLINK("https://www.philgeps.gov.ph/GEPSNONPILOT/Tender/SplashBidNoticeAbstractUI.aspx?menuIndex=3&amp;refID=7127007&amp;Result=3","7127007")</f>
        <v>0</v>
      </c>
      <c r="B14014" t="s">
        <v>3545</v>
      </c>
      <c r="C14014" t="s">
        <v>17138</v>
      </c>
      <c r="D14014" t="s">
        <v>19074</v>
      </c>
      <c r="E14014" t="s">
        <v>31104</v>
      </c>
      <c r="F14014" t="s">
        <v>32831</v>
      </c>
      <c r="G14014" t="s">
        <v>32839</v>
      </c>
      <c r="H14014" t="s">
        <v>32849</v>
      </c>
      <c r="I14014" t="s">
        <v>4177</v>
      </c>
      <c r="J14014" t="s">
        <v>41514</v>
      </c>
      <c r="K14014" t="s">
        <v>42763</v>
      </c>
      <c r="M14014" t="s">
        <v>46900</v>
      </c>
      <c r="N14014" t="s">
        <v>47424</v>
      </c>
      <c r="O14014" t="s">
        <v>47425</v>
      </c>
      <c r="P14014">
        <v>0</v>
      </c>
      <c r="Q14014">
        <v>0</v>
      </c>
      <c r="R14014" t="s">
        <v>47445</v>
      </c>
      <c r="S14014" t="s">
        <v>48250</v>
      </c>
      <c r="T14014" t="s">
        <v>49214</v>
      </c>
      <c r="U14014" t="s">
        <v>61067</v>
      </c>
      <c r="W14014" t="s">
        <v>46900</v>
      </c>
      <c r="X14014" t="s">
        <v>47446</v>
      </c>
    </row>
    <row r="14015" spans="1:24">
      <c r="A14015">
        <f>HYPERLINK("https://www.philgeps.gov.ph/GEPSNONPILOT/Tender/SplashBidNoticeAbstractUI.aspx?menuIndex=3&amp;refID=7126974&amp;Result=3","7126974")</f>
        <v>0</v>
      </c>
      <c r="B14015" t="s">
        <v>834</v>
      </c>
      <c r="C14015" t="s">
        <v>17139</v>
      </c>
      <c r="D14015" t="s">
        <v>19046</v>
      </c>
      <c r="E14015" t="s">
        <v>31105</v>
      </c>
      <c r="F14015" t="s">
        <v>32831</v>
      </c>
      <c r="G14015" t="s">
        <v>32839</v>
      </c>
      <c r="H14015" t="s">
        <v>32849</v>
      </c>
      <c r="I14015" t="s">
        <v>4177</v>
      </c>
      <c r="J14015" t="s">
        <v>41515</v>
      </c>
      <c r="K14015" t="s">
        <v>42732</v>
      </c>
      <c r="M14015" t="s">
        <v>43866</v>
      </c>
      <c r="N14015" t="s">
        <v>47424</v>
      </c>
      <c r="O14015" t="s">
        <v>47425</v>
      </c>
      <c r="P14015">
        <v>0</v>
      </c>
      <c r="Q14015">
        <v>1</v>
      </c>
      <c r="R14015" t="s">
        <v>47445</v>
      </c>
      <c r="S14015" t="s">
        <v>48250</v>
      </c>
      <c r="T14015" t="s">
        <v>49239</v>
      </c>
      <c r="U14015" t="s">
        <v>61068</v>
      </c>
      <c r="W14015" t="s">
        <v>43866</v>
      </c>
      <c r="X14015" t="s">
        <v>47446</v>
      </c>
    </row>
    <row r="14016" spans="1:24">
      <c r="A14016">
        <f>HYPERLINK("https://www.philgeps.gov.ph/GEPSNONPILOT/Tender/SplashBidNoticeAbstractUI.aspx?menuIndex=3&amp;refID=7126963&amp;Result=3","7126963")</f>
        <v>0</v>
      </c>
      <c r="B14016" t="s">
        <v>3441</v>
      </c>
      <c r="C14016" t="s">
        <v>17140</v>
      </c>
      <c r="D14016" t="s">
        <v>19094</v>
      </c>
      <c r="E14016" t="s">
        <v>31106</v>
      </c>
      <c r="F14016" t="s">
        <v>32831</v>
      </c>
      <c r="G14016" t="s">
        <v>32839</v>
      </c>
      <c r="H14016" t="s">
        <v>32848</v>
      </c>
      <c r="I14016" t="s">
        <v>32883</v>
      </c>
      <c r="J14016" t="s">
        <v>41516</v>
      </c>
      <c r="K14016" t="s">
        <v>42730</v>
      </c>
      <c r="M14016" t="s">
        <v>46778</v>
      </c>
      <c r="N14016" t="s">
        <v>47424</v>
      </c>
      <c r="O14016" t="s">
        <v>47425</v>
      </c>
      <c r="P14016">
        <v>0</v>
      </c>
      <c r="Q14016">
        <v>1</v>
      </c>
      <c r="R14016" t="s">
        <v>47445</v>
      </c>
      <c r="S14016" t="s">
        <v>48250</v>
      </c>
      <c r="T14016" t="s">
        <v>49244</v>
      </c>
      <c r="U14016" t="s">
        <v>61069</v>
      </c>
      <c r="V14016" t="s">
        <v>64222</v>
      </c>
      <c r="W14016" t="s">
        <v>46778</v>
      </c>
      <c r="X14016" t="s">
        <v>47446</v>
      </c>
    </row>
    <row r="14017" spans="1:24">
      <c r="A14017">
        <f>HYPERLINK("https://www.philgeps.gov.ph/GEPSNONPILOT/Tender/SplashBidNoticeAbstractUI.aspx?menuIndex=3&amp;refID=7127318&amp;Result=3","7127318")</f>
        <v>0</v>
      </c>
      <c r="B14017" t="s">
        <v>748</v>
      </c>
      <c r="C14017" t="s">
        <v>17141</v>
      </c>
      <c r="D14017" t="s">
        <v>19081</v>
      </c>
      <c r="E14017" t="s">
        <v>31107</v>
      </c>
      <c r="F14017" t="s">
        <v>32831</v>
      </c>
      <c r="G14017" t="s">
        <v>32839</v>
      </c>
      <c r="H14017" t="s">
        <v>32849</v>
      </c>
      <c r="I14017" t="s">
        <v>4177</v>
      </c>
      <c r="J14017" t="s">
        <v>33083</v>
      </c>
      <c r="K14017" t="s">
        <v>42770</v>
      </c>
      <c r="M14017" t="s">
        <v>43771</v>
      </c>
      <c r="N14017" t="s">
        <v>47424</v>
      </c>
      <c r="O14017" t="s">
        <v>47425</v>
      </c>
      <c r="P14017">
        <v>0</v>
      </c>
      <c r="Q14017">
        <v>0</v>
      </c>
      <c r="R14017" t="s">
        <v>47445</v>
      </c>
      <c r="S14017" t="s">
        <v>48250</v>
      </c>
      <c r="T14017" t="s">
        <v>49259</v>
      </c>
      <c r="U14017" t="s">
        <v>61070</v>
      </c>
      <c r="W14017" t="s">
        <v>43771</v>
      </c>
      <c r="X14017" t="s">
        <v>47446</v>
      </c>
    </row>
    <row r="14018" spans="1:24">
      <c r="A14018">
        <f>HYPERLINK("https://www.philgeps.gov.ph/GEPSNONPILOT/Tender/SplashBidNoticeAbstractUI.aspx?menuIndex=3&amp;refID=7127315&amp;Result=3","7127315")</f>
        <v>0</v>
      </c>
      <c r="B14018" t="s">
        <v>277</v>
      </c>
      <c r="C14018" t="s">
        <v>17142</v>
      </c>
      <c r="D14018" t="s">
        <v>19068</v>
      </c>
      <c r="E14018" t="s">
        <v>31108</v>
      </c>
      <c r="F14018" t="s">
        <v>32831</v>
      </c>
      <c r="G14018" t="s">
        <v>32839</v>
      </c>
      <c r="H14018" t="s">
        <v>32848</v>
      </c>
      <c r="I14018" t="s">
        <v>7751</v>
      </c>
      <c r="J14018" t="s">
        <v>33257</v>
      </c>
      <c r="K14018" t="s">
        <v>42729</v>
      </c>
      <c r="M14018" t="s">
        <v>43276</v>
      </c>
      <c r="N14018" t="s">
        <v>47424</v>
      </c>
      <c r="O14018" t="s">
        <v>47425</v>
      </c>
      <c r="P14018">
        <v>0</v>
      </c>
      <c r="Q14018">
        <v>1</v>
      </c>
      <c r="R14018" t="s">
        <v>47445</v>
      </c>
      <c r="S14018" t="s">
        <v>48250</v>
      </c>
      <c r="T14018" t="s">
        <v>49214</v>
      </c>
      <c r="U14018" t="s">
        <v>61071</v>
      </c>
      <c r="W14018" t="s">
        <v>43276</v>
      </c>
      <c r="X14018" t="s">
        <v>47446</v>
      </c>
    </row>
    <row r="14019" spans="1:24">
      <c r="A14019">
        <f>HYPERLINK("https://www.philgeps.gov.ph/GEPSNONPILOT/Tender/SplashBidNoticeAbstractUI.aspx?menuIndex=3&amp;refID=7127308&amp;Result=3","7127308")</f>
        <v>0</v>
      </c>
      <c r="B14019" t="s">
        <v>1864</v>
      </c>
      <c r="C14019" t="s">
        <v>17143</v>
      </c>
      <c r="D14019" t="s">
        <v>19045</v>
      </c>
      <c r="E14019" t="s">
        <v>31109</v>
      </c>
      <c r="F14019" t="s">
        <v>32831</v>
      </c>
      <c r="G14019" t="s">
        <v>32839</v>
      </c>
      <c r="H14019" t="s">
        <v>32848</v>
      </c>
      <c r="I14019" t="s">
        <v>4776</v>
      </c>
      <c r="J14019" t="s">
        <v>33568</v>
      </c>
      <c r="K14019" t="s">
        <v>42731</v>
      </c>
      <c r="M14019" t="s">
        <v>45006</v>
      </c>
      <c r="N14019" t="s">
        <v>47424</v>
      </c>
      <c r="O14019" t="s">
        <v>47425</v>
      </c>
      <c r="P14019">
        <v>0</v>
      </c>
      <c r="Q14019">
        <v>1</v>
      </c>
      <c r="R14019" t="s">
        <v>47445</v>
      </c>
      <c r="S14019" t="s">
        <v>48250</v>
      </c>
      <c r="T14019" t="s">
        <v>49162</v>
      </c>
      <c r="U14019" t="s">
        <v>61072</v>
      </c>
      <c r="W14019" t="s">
        <v>45006</v>
      </c>
      <c r="X14019" t="s">
        <v>47446</v>
      </c>
    </row>
    <row r="14020" spans="1:24">
      <c r="A14020">
        <f>HYPERLINK("https://www.philgeps.gov.ph/GEPSNONPILOT/Tender/SplashBidNoticeAbstractUI.aspx?menuIndex=3&amp;refID=7127304&amp;Result=3","7127304")</f>
        <v>0</v>
      </c>
      <c r="B14020" t="s">
        <v>1362</v>
      </c>
      <c r="C14020" t="s">
        <v>17144</v>
      </c>
      <c r="D14020" t="s">
        <v>19017</v>
      </c>
      <c r="E14020" t="s">
        <v>31110</v>
      </c>
      <c r="F14020" t="s">
        <v>32831</v>
      </c>
      <c r="G14020" t="s">
        <v>32839</v>
      </c>
      <c r="H14020" t="s">
        <v>32848</v>
      </c>
      <c r="I14020" t="s">
        <v>7751</v>
      </c>
      <c r="J14020" t="s">
        <v>37247</v>
      </c>
      <c r="K14020" t="s">
        <v>42731</v>
      </c>
      <c r="M14020" t="s">
        <v>44613</v>
      </c>
      <c r="N14020" t="s">
        <v>47424</v>
      </c>
      <c r="O14020" t="s">
        <v>47425</v>
      </c>
      <c r="Q14020">
        <v>2</v>
      </c>
      <c r="R14020" t="s">
        <v>47445</v>
      </c>
      <c r="S14020" t="s">
        <v>48291</v>
      </c>
      <c r="T14020" t="s">
        <v>49175</v>
      </c>
      <c r="U14020" t="s">
        <v>61073</v>
      </c>
      <c r="W14020" t="s">
        <v>44613</v>
      </c>
      <c r="X14020" t="s">
        <v>47446</v>
      </c>
    </row>
    <row r="14021" spans="1:24">
      <c r="A14021">
        <f>HYPERLINK("https://www.philgeps.gov.ph/GEPSNONPILOT/Tender/SplashBidNoticeAbstractUI.aspx?menuIndex=3&amp;refID=7127114&amp;Result=3","7127114")</f>
        <v>0</v>
      </c>
      <c r="B14021" t="s">
        <v>834</v>
      </c>
      <c r="C14021" t="s">
        <v>17145</v>
      </c>
      <c r="D14021" t="s">
        <v>19046</v>
      </c>
      <c r="E14021" t="s">
        <v>31111</v>
      </c>
      <c r="F14021" t="s">
        <v>32831</v>
      </c>
      <c r="G14021" t="s">
        <v>32839</v>
      </c>
      <c r="H14021" t="s">
        <v>32849</v>
      </c>
      <c r="I14021" t="s">
        <v>4177</v>
      </c>
      <c r="J14021" t="s">
        <v>41517</v>
      </c>
      <c r="K14021" t="s">
        <v>42732</v>
      </c>
      <c r="M14021" t="s">
        <v>43866</v>
      </c>
      <c r="N14021" t="s">
        <v>47424</v>
      </c>
      <c r="O14021" t="s">
        <v>47425</v>
      </c>
      <c r="P14021">
        <v>0</v>
      </c>
      <c r="Q14021">
        <v>0</v>
      </c>
      <c r="R14021" t="s">
        <v>47445</v>
      </c>
      <c r="S14021" t="s">
        <v>48250</v>
      </c>
      <c r="T14021" t="s">
        <v>49239</v>
      </c>
      <c r="U14021" t="s">
        <v>61074</v>
      </c>
      <c r="W14021" t="s">
        <v>43866</v>
      </c>
      <c r="X14021" t="s">
        <v>47446</v>
      </c>
    </row>
    <row r="14022" spans="1:24">
      <c r="A14022">
        <f>HYPERLINK("https://www.philgeps.gov.ph/GEPSNONPILOT/Tender/SplashBidNoticeAbstractUI.aspx?menuIndex=3&amp;refID=7126980&amp;Result=3","7126980")</f>
        <v>0</v>
      </c>
      <c r="B14022" t="s">
        <v>3704</v>
      </c>
      <c r="C14022" t="s">
        <v>17146</v>
      </c>
      <c r="D14022" t="s">
        <v>19049</v>
      </c>
      <c r="E14022" t="s">
        <v>19970</v>
      </c>
      <c r="F14022" t="s">
        <v>32831</v>
      </c>
      <c r="G14022" t="s">
        <v>32839</v>
      </c>
      <c r="H14022" t="s">
        <v>32849</v>
      </c>
      <c r="I14022" t="s">
        <v>4177</v>
      </c>
      <c r="J14022" t="s">
        <v>41518</v>
      </c>
      <c r="K14022" t="s">
        <v>42862</v>
      </c>
      <c r="M14022" t="s">
        <v>47092</v>
      </c>
      <c r="N14022" t="s">
        <v>47424</v>
      </c>
      <c r="O14022" t="s">
        <v>47425</v>
      </c>
      <c r="P14022">
        <v>0</v>
      </c>
      <c r="Q14022">
        <v>27</v>
      </c>
      <c r="R14022" t="s">
        <v>47445</v>
      </c>
      <c r="S14022" t="s">
        <v>48250</v>
      </c>
      <c r="T14022" t="s">
        <v>49069</v>
      </c>
      <c r="U14022" t="s">
        <v>61075</v>
      </c>
      <c r="W14022" t="s">
        <v>47092</v>
      </c>
      <c r="X14022" t="s">
        <v>47446</v>
      </c>
    </row>
    <row r="14023" spans="1:24">
      <c r="A14023">
        <f>HYPERLINK("https://www.philgeps.gov.ph/GEPSNONPILOT/Tender/SplashBidNoticeAbstractUI.aspx?menuIndex=3&amp;refID=7126998&amp;Result=3","7126998")</f>
        <v>0</v>
      </c>
      <c r="B14023" t="s">
        <v>3704</v>
      </c>
      <c r="C14023" t="s">
        <v>17147</v>
      </c>
      <c r="D14023" t="s">
        <v>19049</v>
      </c>
      <c r="E14023" t="s">
        <v>31112</v>
      </c>
      <c r="F14023" t="s">
        <v>32831</v>
      </c>
      <c r="G14023" t="s">
        <v>32839</v>
      </c>
      <c r="H14023" t="s">
        <v>32849</v>
      </c>
      <c r="I14023" t="s">
        <v>4177</v>
      </c>
      <c r="J14023" t="s">
        <v>33083</v>
      </c>
      <c r="K14023" t="s">
        <v>42770</v>
      </c>
      <c r="M14023" t="s">
        <v>47092</v>
      </c>
      <c r="N14023" t="s">
        <v>47424</v>
      </c>
      <c r="O14023" t="s">
        <v>47425</v>
      </c>
      <c r="P14023">
        <v>0</v>
      </c>
      <c r="Q14023">
        <v>22</v>
      </c>
      <c r="R14023" t="s">
        <v>47445</v>
      </c>
      <c r="S14023" t="s">
        <v>48250</v>
      </c>
      <c r="T14023" t="s">
        <v>49069</v>
      </c>
      <c r="U14023" t="s">
        <v>61076</v>
      </c>
      <c r="W14023" t="s">
        <v>47092</v>
      </c>
      <c r="X14023" t="s">
        <v>47446</v>
      </c>
    </row>
    <row r="14024" spans="1:24">
      <c r="A14024">
        <f>HYPERLINK("https://www.philgeps.gov.ph/GEPSNONPILOT/Tender/SplashBidNoticeAbstractUI.aspx?menuIndex=3&amp;refID=7127286&amp;Result=3","7127286")</f>
        <v>0</v>
      </c>
      <c r="B14024" t="s">
        <v>618</v>
      </c>
      <c r="C14024" t="s">
        <v>17148</v>
      </c>
      <c r="D14024" t="s">
        <v>19084</v>
      </c>
      <c r="E14024" t="s">
        <v>31113</v>
      </c>
      <c r="F14024" t="s">
        <v>32831</v>
      </c>
      <c r="G14024" t="s">
        <v>32839</v>
      </c>
      <c r="H14024" t="s">
        <v>32848</v>
      </c>
      <c r="I14024" t="s">
        <v>32862</v>
      </c>
      <c r="J14024" t="s">
        <v>41519</v>
      </c>
      <c r="K14024" t="s">
        <v>42730</v>
      </c>
      <c r="M14024" t="s">
        <v>43634</v>
      </c>
      <c r="N14024" t="s">
        <v>47424</v>
      </c>
      <c r="O14024" t="s">
        <v>47425</v>
      </c>
      <c r="Q14024">
        <v>0</v>
      </c>
      <c r="R14024" t="s">
        <v>47445</v>
      </c>
      <c r="S14024" t="s">
        <v>48292</v>
      </c>
      <c r="T14024" t="s">
        <v>49056</v>
      </c>
      <c r="U14024" t="s">
        <v>61077</v>
      </c>
      <c r="V14024" t="s">
        <v>64223</v>
      </c>
      <c r="W14024" t="s">
        <v>43634</v>
      </c>
      <c r="X14024" t="s">
        <v>47446</v>
      </c>
    </row>
    <row r="14025" spans="1:24">
      <c r="A14025">
        <f>HYPERLINK("https://www.philgeps.gov.ph/GEPSNONPILOT/Tender/SplashBidNoticeAbstractUI.aspx?menuIndex=3&amp;refID=7127050&amp;Result=3","7127050")</f>
        <v>0</v>
      </c>
      <c r="B14025" t="s">
        <v>3780</v>
      </c>
      <c r="C14025" t="s">
        <v>17149</v>
      </c>
      <c r="E14025" t="s">
        <v>31114</v>
      </c>
      <c r="F14025" t="s">
        <v>32831</v>
      </c>
      <c r="G14025" t="s">
        <v>32839</v>
      </c>
      <c r="H14025" t="s">
        <v>32848</v>
      </c>
      <c r="I14025" t="s">
        <v>32855</v>
      </c>
      <c r="J14025" t="s">
        <v>32983</v>
      </c>
      <c r="K14025" t="s">
        <v>42726</v>
      </c>
      <c r="M14025" t="s">
        <v>47191</v>
      </c>
      <c r="N14025" t="s">
        <v>47424</v>
      </c>
      <c r="O14025" t="s">
        <v>47425</v>
      </c>
      <c r="P14025">
        <v>0</v>
      </c>
      <c r="Q14025">
        <v>1</v>
      </c>
      <c r="R14025" t="s">
        <v>47445</v>
      </c>
      <c r="S14025" t="s">
        <v>48250</v>
      </c>
      <c r="T14025" t="s">
        <v>49198</v>
      </c>
      <c r="U14025" t="s">
        <v>61078</v>
      </c>
      <c r="W14025" t="s">
        <v>47191</v>
      </c>
      <c r="X14025" t="s">
        <v>47446</v>
      </c>
    </row>
    <row r="14026" spans="1:24">
      <c r="A14026">
        <f>HYPERLINK("https://www.philgeps.gov.ph/GEPSNONPILOT/Tender/SplashBidNoticeAbstractUI.aspx?menuIndex=3&amp;refID=7127289&amp;Result=3","7127289")</f>
        <v>0</v>
      </c>
      <c r="B14026" t="s">
        <v>92</v>
      </c>
      <c r="C14026" t="s">
        <v>17150</v>
      </c>
      <c r="D14026" t="s">
        <v>19051</v>
      </c>
      <c r="E14026" t="s">
        <v>19260</v>
      </c>
      <c r="F14026" t="s">
        <v>32831</v>
      </c>
      <c r="G14026" t="s">
        <v>32839</v>
      </c>
      <c r="H14026" t="s">
        <v>32849</v>
      </c>
      <c r="I14026" t="s">
        <v>4177</v>
      </c>
      <c r="J14026" t="s">
        <v>41520</v>
      </c>
      <c r="K14026" t="s">
        <v>42732</v>
      </c>
      <c r="M14026" t="s">
        <v>43089</v>
      </c>
      <c r="N14026" t="s">
        <v>47424</v>
      </c>
      <c r="O14026" t="s">
        <v>47425</v>
      </c>
      <c r="Q14026">
        <v>1</v>
      </c>
      <c r="R14026" t="s">
        <v>47445</v>
      </c>
      <c r="S14026" t="s">
        <v>48293</v>
      </c>
      <c r="T14026" t="s">
        <v>49080</v>
      </c>
      <c r="U14026" t="s">
        <v>61079</v>
      </c>
      <c r="V14026" t="s">
        <v>64224</v>
      </c>
      <c r="W14026" t="s">
        <v>43089</v>
      </c>
      <c r="X14026" t="s">
        <v>47446</v>
      </c>
    </row>
    <row r="14027" spans="1:24">
      <c r="A14027">
        <f>HYPERLINK("https://www.philgeps.gov.ph/GEPSNONPILOT/Tender/SplashBidNoticeAbstractUI.aspx?menuIndex=3&amp;refID=7127243&amp;Result=3","7127243")</f>
        <v>0</v>
      </c>
      <c r="B14027" t="s">
        <v>1043</v>
      </c>
      <c r="C14027" t="s">
        <v>17151</v>
      </c>
      <c r="D14027" t="s">
        <v>19103</v>
      </c>
      <c r="E14027" t="s">
        <v>31115</v>
      </c>
      <c r="F14027" t="s">
        <v>32831</v>
      </c>
      <c r="G14027" t="s">
        <v>32839</v>
      </c>
      <c r="H14027" t="s">
        <v>32849</v>
      </c>
      <c r="I14027" t="s">
        <v>4177</v>
      </c>
      <c r="J14027" t="s">
        <v>41521</v>
      </c>
      <c r="K14027" t="s">
        <v>42730</v>
      </c>
      <c r="M14027" t="s">
        <v>44097</v>
      </c>
      <c r="N14027" t="s">
        <v>47424</v>
      </c>
      <c r="O14027" t="s">
        <v>47425</v>
      </c>
      <c r="P14027">
        <v>0</v>
      </c>
      <c r="Q14027">
        <v>1</v>
      </c>
      <c r="R14027" t="s">
        <v>47445</v>
      </c>
      <c r="S14027" t="s">
        <v>48250</v>
      </c>
      <c r="T14027" t="s">
        <v>49237</v>
      </c>
      <c r="U14027" t="s">
        <v>61080</v>
      </c>
      <c r="V14027" t="s">
        <v>64225</v>
      </c>
      <c r="W14027" t="s">
        <v>44097</v>
      </c>
      <c r="X14027" t="s">
        <v>47446</v>
      </c>
    </row>
    <row r="14028" spans="1:24">
      <c r="A14028">
        <f>HYPERLINK("https://www.philgeps.gov.ph/GEPSNONPILOT/Tender/SplashBidNoticeAbstractUI.aspx?menuIndex=3&amp;refID=7127278&amp;Result=3","7127278")</f>
        <v>0</v>
      </c>
      <c r="B14028" t="s">
        <v>1864</v>
      </c>
      <c r="C14028" t="s">
        <v>17152</v>
      </c>
      <c r="D14028" t="s">
        <v>19045</v>
      </c>
      <c r="E14028" t="s">
        <v>31116</v>
      </c>
      <c r="F14028" t="s">
        <v>32831</v>
      </c>
      <c r="G14028" t="s">
        <v>32839</v>
      </c>
      <c r="H14028" t="s">
        <v>32848</v>
      </c>
      <c r="I14028" t="s">
        <v>4435</v>
      </c>
      <c r="J14028" t="s">
        <v>33692</v>
      </c>
      <c r="K14028" t="s">
        <v>42742</v>
      </c>
      <c r="M14028" t="s">
        <v>45006</v>
      </c>
      <c r="N14028" t="s">
        <v>47424</v>
      </c>
      <c r="O14028" t="s">
        <v>47425</v>
      </c>
      <c r="P14028">
        <v>0</v>
      </c>
      <c r="Q14028">
        <v>1</v>
      </c>
      <c r="R14028" t="s">
        <v>47445</v>
      </c>
      <c r="S14028" t="s">
        <v>48250</v>
      </c>
      <c r="T14028" t="s">
        <v>49162</v>
      </c>
      <c r="U14028" t="s">
        <v>61081</v>
      </c>
      <c r="W14028" t="s">
        <v>45006</v>
      </c>
      <c r="X14028" t="s">
        <v>47446</v>
      </c>
    </row>
    <row r="14029" spans="1:24">
      <c r="A14029">
        <f>HYPERLINK("https://www.philgeps.gov.ph/GEPSNONPILOT/Tender/SplashBidNoticeAbstractUI.aspx?menuIndex=3&amp;refID=7127254&amp;Result=3","7127254")</f>
        <v>0</v>
      </c>
      <c r="B14029" t="s">
        <v>999</v>
      </c>
      <c r="C14029" t="s">
        <v>17153</v>
      </c>
      <c r="D14029" t="s">
        <v>19017</v>
      </c>
      <c r="E14029" t="s">
        <v>31117</v>
      </c>
      <c r="F14029" t="s">
        <v>32831</v>
      </c>
      <c r="G14029" t="s">
        <v>32839</v>
      </c>
      <c r="H14029" t="s">
        <v>32848</v>
      </c>
      <c r="I14029" t="s">
        <v>32864</v>
      </c>
      <c r="J14029" t="s">
        <v>41522</v>
      </c>
      <c r="K14029" t="s">
        <v>42742</v>
      </c>
      <c r="M14029" t="s">
        <v>46788</v>
      </c>
      <c r="N14029" t="s">
        <v>47424</v>
      </c>
      <c r="O14029" t="s">
        <v>47425</v>
      </c>
      <c r="Q14029">
        <v>21</v>
      </c>
      <c r="R14029" t="s">
        <v>47445</v>
      </c>
      <c r="S14029" t="s">
        <v>48294</v>
      </c>
      <c r="T14029" t="s">
        <v>49393</v>
      </c>
      <c r="U14029" t="s">
        <v>61082</v>
      </c>
      <c r="W14029" t="s">
        <v>46788</v>
      </c>
      <c r="X14029" t="s">
        <v>47446</v>
      </c>
    </row>
    <row r="14030" spans="1:24">
      <c r="A14030">
        <f>HYPERLINK("https://www.philgeps.gov.ph/GEPSNONPILOT/Tender/SplashBidNoticeAbstractUI.aspx?menuIndex=3&amp;refID=7127235&amp;Result=3","7127235")</f>
        <v>0</v>
      </c>
      <c r="B14030" t="s">
        <v>2936</v>
      </c>
      <c r="C14030" t="s">
        <v>17154</v>
      </c>
      <c r="D14030" t="s">
        <v>19020</v>
      </c>
      <c r="E14030" t="s">
        <v>31118</v>
      </c>
      <c r="F14030" t="s">
        <v>32831</v>
      </c>
      <c r="G14030" t="s">
        <v>32839</v>
      </c>
      <c r="H14030" t="s">
        <v>32849</v>
      </c>
      <c r="I14030" t="s">
        <v>4177</v>
      </c>
      <c r="J14030" t="s">
        <v>41523</v>
      </c>
      <c r="K14030" t="s">
        <v>42770</v>
      </c>
      <c r="M14030" t="s">
        <v>46192</v>
      </c>
      <c r="N14030" t="s">
        <v>47424</v>
      </c>
      <c r="O14030" t="s">
        <v>47425</v>
      </c>
      <c r="Q14030">
        <v>2</v>
      </c>
      <c r="R14030" t="s">
        <v>47445</v>
      </c>
      <c r="S14030" t="s">
        <v>48295</v>
      </c>
      <c r="T14030" t="s">
        <v>49237</v>
      </c>
      <c r="U14030" t="s">
        <v>61083</v>
      </c>
      <c r="V14030" t="s">
        <v>64226</v>
      </c>
      <c r="W14030" t="s">
        <v>46192</v>
      </c>
      <c r="X14030" t="s">
        <v>47446</v>
      </c>
    </row>
    <row r="14031" spans="1:24">
      <c r="A14031">
        <f>HYPERLINK("https://www.philgeps.gov.ph/GEPSNONPILOT/Tender/SplashBidNoticeAbstractUI.aspx?menuIndex=3&amp;refID=7127160&amp;Result=3","7127160")</f>
        <v>0</v>
      </c>
      <c r="B14031" t="s">
        <v>3781</v>
      </c>
      <c r="C14031" t="s">
        <v>17155</v>
      </c>
      <c r="D14031" t="s">
        <v>19037</v>
      </c>
      <c r="E14031" t="s">
        <v>28204</v>
      </c>
      <c r="F14031" t="s">
        <v>32831</v>
      </c>
      <c r="G14031" t="s">
        <v>32839</v>
      </c>
      <c r="H14031" t="s">
        <v>32848</v>
      </c>
      <c r="I14031" t="s">
        <v>32867</v>
      </c>
      <c r="J14031" t="s">
        <v>32980</v>
      </c>
      <c r="K14031" t="s">
        <v>42748</v>
      </c>
      <c r="L14031" t="s">
        <v>3781</v>
      </c>
      <c r="M14031" t="s">
        <v>47192</v>
      </c>
      <c r="N14031" t="s">
        <v>47424</v>
      </c>
      <c r="O14031" t="s">
        <v>47425</v>
      </c>
      <c r="P14031">
        <v>0</v>
      </c>
      <c r="Q14031">
        <v>1</v>
      </c>
      <c r="R14031" t="s">
        <v>47445</v>
      </c>
      <c r="S14031" t="s">
        <v>48250</v>
      </c>
      <c r="T14031" t="s">
        <v>49056</v>
      </c>
      <c r="U14031" t="s">
        <v>61084</v>
      </c>
      <c r="W14031" t="s">
        <v>47192</v>
      </c>
      <c r="X14031" t="s">
        <v>47446</v>
      </c>
    </row>
    <row r="14032" spans="1:24">
      <c r="A14032">
        <f>HYPERLINK("https://www.philgeps.gov.ph/GEPSNONPILOT/Tender/SplashBidNoticeAbstractUI.aspx?menuIndex=3&amp;refID=7127216&amp;Result=3","7127216")</f>
        <v>0</v>
      </c>
      <c r="B14032" t="s">
        <v>2707</v>
      </c>
      <c r="C14032" t="s">
        <v>17156</v>
      </c>
      <c r="D14032" t="s">
        <v>19058</v>
      </c>
      <c r="E14032" t="s">
        <v>31119</v>
      </c>
      <c r="F14032" t="s">
        <v>32831</v>
      </c>
      <c r="G14032" t="s">
        <v>32839</v>
      </c>
      <c r="H14032" t="s">
        <v>32848</v>
      </c>
      <c r="I14032" t="s">
        <v>9577</v>
      </c>
      <c r="J14032" t="s">
        <v>41524</v>
      </c>
      <c r="K14032" t="s">
        <v>42727</v>
      </c>
      <c r="M14032" t="s">
        <v>45933</v>
      </c>
      <c r="N14032" t="s">
        <v>47424</v>
      </c>
      <c r="O14032" t="s">
        <v>47425</v>
      </c>
      <c r="P14032">
        <v>0</v>
      </c>
      <c r="Q14032">
        <v>4</v>
      </c>
      <c r="R14032" t="s">
        <v>47445</v>
      </c>
      <c r="S14032" t="s">
        <v>48250</v>
      </c>
      <c r="T14032" t="s">
        <v>49239</v>
      </c>
      <c r="U14032" t="s">
        <v>61085</v>
      </c>
      <c r="V14032" t="s">
        <v>64227</v>
      </c>
      <c r="W14032" t="s">
        <v>45933</v>
      </c>
      <c r="X14032" t="s">
        <v>47446</v>
      </c>
    </row>
    <row r="14033" spans="1:24">
      <c r="A14033">
        <f>HYPERLINK("https://www.philgeps.gov.ph/GEPSNONPILOT/Tender/SplashBidNoticeAbstractUI.aspx?menuIndex=3&amp;refID=7126422&amp;Result=3","7126422")</f>
        <v>0</v>
      </c>
      <c r="B14033" t="s">
        <v>3782</v>
      </c>
      <c r="C14033" t="s">
        <v>17157</v>
      </c>
      <c r="E14033" t="s">
        <v>31120</v>
      </c>
      <c r="F14033" t="s">
        <v>32831</v>
      </c>
      <c r="G14033" t="s">
        <v>32839</v>
      </c>
      <c r="H14033" t="s">
        <v>14069</v>
      </c>
      <c r="I14033" t="s">
        <v>32943</v>
      </c>
      <c r="J14033" t="s">
        <v>41525</v>
      </c>
      <c r="K14033" t="s">
        <v>42915</v>
      </c>
      <c r="M14033" t="s">
        <v>47193</v>
      </c>
      <c r="N14033" t="s">
        <v>47424</v>
      </c>
      <c r="O14033" t="s">
        <v>47425</v>
      </c>
      <c r="P14033">
        <v>0</v>
      </c>
      <c r="Q14033">
        <v>3</v>
      </c>
      <c r="R14033" t="s">
        <v>47445</v>
      </c>
      <c r="S14033" t="s">
        <v>48250</v>
      </c>
      <c r="T14033" t="s">
        <v>49114</v>
      </c>
      <c r="U14033" t="s">
        <v>61086</v>
      </c>
      <c r="W14033" t="s">
        <v>47193</v>
      </c>
      <c r="X14033" t="s">
        <v>47446</v>
      </c>
    </row>
    <row r="14034" spans="1:24">
      <c r="A14034">
        <f>HYPERLINK("https://www.philgeps.gov.ph/GEPSNONPILOT/Tender/SplashBidNoticeAbstractUI.aspx?menuIndex=3&amp;refID=7127246&amp;Result=3","7127246")</f>
        <v>0</v>
      </c>
      <c r="B14034" t="s">
        <v>3087</v>
      </c>
      <c r="C14034" t="s">
        <v>17158</v>
      </c>
      <c r="D14034" t="s">
        <v>19094</v>
      </c>
      <c r="E14034" t="s">
        <v>31121</v>
      </c>
      <c r="F14034" t="s">
        <v>32831</v>
      </c>
      <c r="G14034" t="s">
        <v>32839</v>
      </c>
      <c r="H14034" t="s">
        <v>32848</v>
      </c>
      <c r="I14034" t="s">
        <v>32862</v>
      </c>
      <c r="J14034" t="s">
        <v>41526</v>
      </c>
      <c r="K14034" t="s">
        <v>42730</v>
      </c>
      <c r="M14034" t="s">
        <v>46368</v>
      </c>
      <c r="N14034" t="s">
        <v>47424</v>
      </c>
      <c r="O14034" t="s">
        <v>47425</v>
      </c>
      <c r="Q14034">
        <v>3</v>
      </c>
      <c r="R14034" t="s">
        <v>47445</v>
      </c>
      <c r="S14034" t="s">
        <v>48296</v>
      </c>
      <c r="T14034" t="s">
        <v>49383</v>
      </c>
      <c r="U14034" t="s">
        <v>61087</v>
      </c>
      <c r="W14034" t="s">
        <v>46368</v>
      </c>
      <c r="X14034" t="s">
        <v>47446</v>
      </c>
    </row>
    <row r="14035" spans="1:24">
      <c r="A14035">
        <f>HYPERLINK("https://www.philgeps.gov.ph/GEPSNONPILOT/Tender/SplashBidNoticeAbstractUI.aspx?menuIndex=3&amp;refID=7127196&amp;Result=3","7127196")</f>
        <v>0</v>
      </c>
      <c r="B14035" t="s">
        <v>1043</v>
      </c>
      <c r="C14035" t="s">
        <v>17159</v>
      </c>
      <c r="D14035" t="s">
        <v>19103</v>
      </c>
      <c r="E14035" t="s">
        <v>31122</v>
      </c>
      <c r="F14035" t="s">
        <v>32831</v>
      </c>
      <c r="G14035" t="s">
        <v>32839</v>
      </c>
      <c r="H14035" t="s">
        <v>32849</v>
      </c>
      <c r="I14035" t="s">
        <v>4177</v>
      </c>
      <c r="J14035" t="s">
        <v>41527</v>
      </c>
      <c r="K14035" t="s">
        <v>42730</v>
      </c>
      <c r="M14035" t="s">
        <v>44097</v>
      </c>
      <c r="N14035" t="s">
        <v>47424</v>
      </c>
      <c r="O14035" t="s">
        <v>47425</v>
      </c>
      <c r="P14035">
        <v>0</v>
      </c>
      <c r="Q14035">
        <v>0</v>
      </c>
      <c r="R14035" t="s">
        <v>47445</v>
      </c>
      <c r="S14035" t="s">
        <v>48250</v>
      </c>
      <c r="T14035" t="s">
        <v>49237</v>
      </c>
      <c r="U14035" t="s">
        <v>61088</v>
      </c>
      <c r="V14035" t="s">
        <v>64228</v>
      </c>
      <c r="W14035" t="s">
        <v>44097</v>
      </c>
      <c r="X14035" t="s">
        <v>47446</v>
      </c>
    </row>
    <row r="14036" spans="1:24">
      <c r="A14036">
        <f>HYPERLINK("https://www.philgeps.gov.ph/GEPSNONPILOT/Tender/SplashBidNoticeAbstractUI.aspx?menuIndex=3&amp;refID=7126943&amp;Result=3","7126943")</f>
        <v>0</v>
      </c>
      <c r="B14036" t="s">
        <v>3774</v>
      </c>
      <c r="C14036" t="s">
        <v>17160</v>
      </c>
      <c r="D14036" t="s">
        <v>19037</v>
      </c>
      <c r="E14036" t="s">
        <v>31123</v>
      </c>
      <c r="F14036" t="s">
        <v>32831</v>
      </c>
      <c r="G14036" t="s">
        <v>32839</v>
      </c>
      <c r="H14036" t="s">
        <v>32848</v>
      </c>
      <c r="I14036" t="s">
        <v>4487</v>
      </c>
      <c r="J14036" t="s">
        <v>41528</v>
      </c>
      <c r="K14036" t="s">
        <v>42730</v>
      </c>
      <c r="M14036" t="s">
        <v>47182</v>
      </c>
      <c r="N14036" t="s">
        <v>47424</v>
      </c>
      <c r="O14036" t="s">
        <v>47425</v>
      </c>
      <c r="Q14036">
        <v>8</v>
      </c>
      <c r="R14036" t="s">
        <v>47445</v>
      </c>
      <c r="S14036" t="s">
        <v>48297</v>
      </c>
      <c r="T14036" t="s">
        <v>49373</v>
      </c>
      <c r="U14036" t="s">
        <v>61089</v>
      </c>
      <c r="W14036" t="s">
        <v>47182</v>
      </c>
      <c r="X14036" t="s">
        <v>47446</v>
      </c>
    </row>
    <row r="14037" spans="1:24">
      <c r="A14037">
        <f>HYPERLINK("https://www.philgeps.gov.ph/GEPSNONPILOT/Tender/SplashBidNoticeAbstractUI.aspx?menuIndex=3&amp;refID=7126933&amp;Result=3","7126933")</f>
        <v>0</v>
      </c>
      <c r="B14037" t="s">
        <v>3783</v>
      </c>
      <c r="C14037" t="s">
        <v>17161</v>
      </c>
      <c r="D14037" t="s">
        <v>19042</v>
      </c>
      <c r="E14037" t="s">
        <v>31124</v>
      </c>
      <c r="F14037" t="s">
        <v>32831</v>
      </c>
      <c r="G14037" t="s">
        <v>32839</v>
      </c>
      <c r="H14037" t="s">
        <v>32850</v>
      </c>
      <c r="I14037" t="s">
        <v>7751</v>
      </c>
      <c r="J14037" t="s">
        <v>33307</v>
      </c>
      <c r="K14037" t="s">
        <v>42729</v>
      </c>
      <c r="M14037" t="s">
        <v>47194</v>
      </c>
      <c r="N14037" t="s">
        <v>47424</v>
      </c>
      <c r="O14037" t="s">
        <v>47425</v>
      </c>
      <c r="P14037">
        <v>0</v>
      </c>
      <c r="Q14037">
        <v>0</v>
      </c>
      <c r="R14037" t="s">
        <v>47445</v>
      </c>
      <c r="S14037" t="s">
        <v>48250</v>
      </c>
      <c r="T14037" t="s">
        <v>49237</v>
      </c>
      <c r="U14037" t="s">
        <v>61090</v>
      </c>
      <c r="W14037" t="s">
        <v>47194</v>
      </c>
      <c r="X14037" t="s">
        <v>47446</v>
      </c>
    </row>
    <row r="14038" spans="1:24">
      <c r="A14038">
        <f>HYPERLINK("https://www.philgeps.gov.ph/GEPSNONPILOT/Tender/SplashBidNoticeAbstractUI.aspx?menuIndex=3&amp;refID=7127233&amp;Result=3","7127233")</f>
        <v>0</v>
      </c>
      <c r="B14038" t="s">
        <v>3757</v>
      </c>
      <c r="C14038" t="s">
        <v>17162</v>
      </c>
      <c r="D14038" t="s">
        <v>19044</v>
      </c>
      <c r="E14038" t="s">
        <v>31125</v>
      </c>
      <c r="F14038" t="s">
        <v>32831</v>
      </c>
      <c r="G14038" t="s">
        <v>32839</v>
      </c>
      <c r="H14038" t="s">
        <v>32849</v>
      </c>
      <c r="I14038" t="s">
        <v>4177</v>
      </c>
      <c r="J14038" t="s">
        <v>41529</v>
      </c>
      <c r="K14038" t="s">
        <v>42916</v>
      </c>
      <c r="M14038" t="s">
        <v>47190</v>
      </c>
      <c r="N14038" t="s">
        <v>47424</v>
      </c>
      <c r="O14038" t="s">
        <v>47425</v>
      </c>
      <c r="P14038">
        <v>0</v>
      </c>
      <c r="Q14038">
        <v>1</v>
      </c>
      <c r="R14038" t="s">
        <v>47445</v>
      </c>
      <c r="S14038" t="s">
        <v>48250</v>
      </c>
      <c r="T14038" t="s">
        <v>49330</v>
      </c>
      <c r="U14038" t="s">
        <v>61091</v>
      </c>
      <c r="W14038" t="s">
        <v>47190</v>
      </c>
      <c r="X14038" t="s">
        <v>47446</v>
      </c>
    </row>
    <row r="14039" spans="1:24">
      <c r="A14039">
        <f>HYPERLINK("https://www.philgeps.gov.ph/GEPSNONPILOT/Tender/SplashBidNoticeAbstractUI.aspx?menuIndex=3&amp;refID=7127098&amp;Result=3","7127098")</f>
        <v>0</v>
      </c>
      <c r="B14039" t="s">
        <v>3779</v>
      </c>
      <c r="C14039" t="s">
        <v>17163</v>
      </c>
      <c r="D14039" t="s">
        <v>19037</v>
      </c>
      <c r="E14039" t="s">
        <v>31126</v>
      </c>
      <c r="F14039" t="s">
        <v>32831</v>
      </c>
      <c r="G14039" t="s">
        <v>32839</v>
      </c>
      <c r="H14039" t="s">
        <v>32849</v>
      </c>
      <c r="I14039" t="s">
        <v>4177</v>
      </c>
      <c r="J14039" t="s">
        <v>32978</v>
      </c>
      <c r="K14039" t="s">
        <v>42763</v>
      </c>
      <c r="L14039" t="s">
        <v>3779</v>
      </c>
      <c r="M14039" t="s">
        <v>47189</v>
      </c>
      <c r="N14039" t="s">
        <v>47424</v>
      </c>
      <c r="O14039" t="s">
        <v>47425</v>
      </c>
      <c r="P14039">
        <v>0</v>
      </c>
      <c r="Q14039">
        <v>0</v>
      </c>
      <c r="R14039" t="s">
        <v>47445</v>
      </c>
      <c r="S14039" t="s">
        <v>48250</v>
      </c>
      <c r="T14039" t="s">
        <v>49056</v>
      </c>
      <c r="U14039" t="s">
        <v>61092</v>
      </c>
      <c r="W14039" t="s">
        <v>47189</v>
      </c>
      <c r="X14039" t="s">
        <v>47446</v>
      </c>
    </row>
    <row r="14040" spans="1:24">
      <c r="A14040">
        <f>HYPERLINK("https://www.philgeps.gov.ph/GEPSNONPILOT/Tender/SplashBidNoticeAbstractUI.aspx?menuIndex=3&amp;refID=7127582&amp;Result=3","7127582")</f>
        <v>0</v>
      </c>
      <c r="B14040" t="s">
        <v>121</v>
      </c>
      <c r="C14040" t="s">
        <v>17164</v>
      </c>
      <c r="D14040" t="s">
        <v>19048</v>
      </c>
      <c r="E14040" t="s">
        <v>31127</v>
      </c>
      <c r="F14040" t="s">
        <v>32831</v>
      </c>
      <c r="G14040" t="s">
        <v>32839</v>
      </c>
      <c r="H14040" t="s">
        <v>32849</v>
      </c>
      <c r="I14040" t="s">
        <v>4177</v>
      </c>
      <c r="J14040" t="s">
        <v>41530</v>
      </c>
      <c r="K14040" t="s">
        <v>42796</v>
      </c>
      <c r="M14040" t="s">
        <v>43118</v>
      </c>
      <c r="N14040" t="s">
        <v>47424</v>
      </c>
      <c r="O14040" t="s">
        <v>47425</v>
      </c>
      <c r="Q14040">
        <v>6</v>
      </c>
      <c r="R14040" t="s">
        <v>47445</v>
      </c>
      <c r="S14040" t="s">
        <v>48298</v>
      </c>
      <c r="T14040" t="s">
        <v>49066</v>
      </c>
      <c r="U14040" t="s">
        <v>61093</v>
      </c>
      <c r="V14040" t="s">
        <v>64171</v>
      </c>
      <c r="W14040" t="s">
        <v>43118</v>
      </c>
      <c r="X14040" t="s">
        <v>47446</v>
      </c>
    </row>
    <row r="14041" spans="1:24">
      <c r="A14041">
        <f>HYPERLINK("https://www.philgeps.gov.ph/GEPSNONPILOT/Tender/SplashBidNoticeAbstractUI.aspx?menuIndex=3&amp;refID=7127189&amp;Result=3","7127189")</f>
        <v>0</v>
      </c>
      <c r="B14041" t="s">
        <v>3114</v>
      </c>
      <c r="C14041" t="s">
        <v>17165</v>
      </c>
      <c r="D14041" t="s">
        <v>19046</v>
      </c>
      <c r="E14041" t="s">
        <v>29759</v>
      </c>
      <c r="F14041" t="s">
        <v>32831</v>
      </c>
      <c r="G14041" t="s">
        <v>32839</v>
      </c>
      <c r="H14041" t="s">
        <v>32849</v>
      </c>
      <c r="I14041" t="s">
        <v>4177</v>
      </c>
      <c r="J14041" t="s">
        <v>41531</v>
      </c>
      <c r="K14041" t="s">
        <v>42763</v>
      </c>
      <c r="M14041" t="s">
        <v>46402</v>
      </c>
      <c r="N14041" t="s">
        <v>47424</v>
      </c>
      <c r="O14041" t="s">
        <v>47425</v>
      </c>
      <c r="P14041">
        <v>0</v>
      </c>
      <c r="Q14041">
        <v>2</v>
      </c>
      <c r="R14041" t="s">
        <v>47445</v>
      </c>
      <c r="S14041" t="s">
        <v>48250</v>
      </c>
      <c r="T14041" t="s">
        <v>49111</v>
      </c>
      <c r="U14041" t="s">
        <v>61094</v>
      </c>
      <c r="W14041" t="s">
        <v>46402</v>
      </c>
      <c r="X14041" t="s">
        <v>47446</v>
      </c>
    </row>
    <row r="14042" spans="1:24">
      <c r="A14042">
        <f>HYPERLINK("https://www.philgeps.gov.ph/GEPSNONPILOT/Tender/SplashBidNoticeAbstractUI.aspx?menuIndex=3&amp;refID=7127583&amp;Result=3","7127583")</f>
        <v>0</v>
      </c>
      <c r="B14042" t="s">
        <v>3757</v>
      </c>
      <c r="C14042" t="s">
        <v>17166</v>
      </c>
      <c r="D14042" t="s">
        <v>19044</v>
      </c>
      <c r="E14042" t="s">
        <v>31128</v>
      </c>
      <c r="F14042" t="s">
        <v>32831</v>
      </c>
      <c r="G14042" t="s">
        <v>32839</v>
      </c>
      <c r="H14042" t="s">
        <v>32849</v>
      </c>
      <c r="I14042" t="s">
        <v>4177</v>
      </c>
      <c r="J14042" t="s">
        <v>41529</v>
      </c>
      <c r="K14042" t="s">
        <v>42916</v>
      </c>
      <c r="M14042" t="s">
        <v>47190</v>
      </c>
      <c r="N14042" t="s">
        <v>47424</v>
      </c>
      <c r="O14042" t="s">
        <v>47425</v>
      </c>
      <c r="P14042">
        <v>0</v>
      </c>
      <c r="Q14042">
        <v>1</v>
      </c>
      <c r="R14042" t="s">
        <v>47445</v>
      </c>
      <c r="S14042" t="s">
        <v>48250</v>
      </c>
      <c r="T14042" t="s">
        <v>49330</v>
      </c>
      <c r="U14042" t="s">
        <v>61091</v>
      </c>
      <c r="W14042" t="s">
        <v>47190</v>
      </c>
      <c r="X14042" t="s">
        <v>47446</v>
      </c>
    </row>
    <row r="14043" spans="1:24">
      <c r="A14043">
        <f>HYPERLINK("https://www.philgeps.gov.ph/GEPSNONPILOT/Tender/SplashBidNoticeAbstractUI.aspx?menuIndex=3&amp;refID=7127152&amp;Result=3","7127152")</f>
        <v>0</v>
      </c>
      <c r="B14043" t="s">
        <v>834</v>
      </c>
      <c r="C14043" t="s">
        <v>17167</v>
      </c>
      <c r="D14043" t="s">
        <v>19046</v>
      </c>
      <c r="E14043" t="s">
        <v>31129</v>
      </c>
      <c r="F14043" t="s">
        <v>32831</v>
      </c>
      <c r="G14043" t="s">
        <v>32839</v>
      </c>
      <c r="H14043" t="s">
        <v>32849</v>
      </c>
      <c r="I14043" t="s">
        <v>4177</v>
      </c>
      <c r="J14043" t="s">
        <v>41532</v>
      </c>
      <c r="K14043" t="s">
        <v>42732</v>
      </c>
      <c r="M14043" t="s">
        <v>43866</v>
      </c>
      <c r="N14043" t="s">
        <v>47424</v>
      </c>
      <c r="O14043" t="s">
        <v>47425</v>
      </c>
      <c r="P14043">
        <v>0</v>
      </c>
      <c r="Q14043">
        <v>1</v>
      </c>
      <c r="R14043" t="s">
        <v>47445</v>
      </c>
      <c r="S14043" t="s">
        <v>48250</v>
      </c>
      <c r="T14043" t="s">
        <v>49239</v>
      </c>
      <c r="U14043" t="s">
        <v>61095</v>
      </c>
      <c r="W14043" t="s">
        <v>43866</v>
      </c>
      <c r="X14043" t="s">
        <v>47446</v>
      </c>
    </row>
    <row r="14044" spans="1:24">
      <c r="A14044">
        <f>HYPERLINK("https://www.philgeps.gov.ph/GEPSNONPILOT/Tender/SplashBidNoticeAbstractUI.aspx?menuIndex=3&amp;refID=7127143&amp;Result=3","7127143")</f>
        <v>0</v>
      </c>
      <c r="B14044" t="s">
        <v>2455</v>
      </c>
      <c r="C14044" t="s">
        <v>17168</v>
      </c>
      <c r="E14044" t="s">
        <v>31130</v>
      </c>
      <c r="F14044" t="s">
        <v>32831</v>
      </c>
      <c r="G14044" t="s">
        <v>32839</v>
      </c>
      <c r="H14044" t="s">
        <v>32848</v>
      </c>
      <c r="I14044" t="s">
        <v>9577</v>
      </c>
      <c r="J14044" t="s">
        <v>41533</v>
      </c>
      <c r="K14044" t="s">
        <v>42730</v>
      </c>
      <c r="M14044" t="s">
        <v>46916</v>
      </c>
      <c r="N14044" t="s">
        <v>47424</v>
      </c>
      <c r="O14044" t="s">
        <v>47425</v>
      </c>
      <c r="P14044">
        <v>0</v>
      </c>
      <c r="Q14044">
        <v>1</v>
      </c>
      <c r="R14044" t="s">
        <v>47445</v>
      </c>
      <c r="S14044" t="s">
        <v>48250</v>
      </c>
      <c r="T14044" t="s">
        <v>49239</v>
      </c>
      <c r="U14044" t="s">
        <v>51143</v>
      </c>
      <c r="W14044" t="s">
        <v>46916</v>
      </c>
      <c r="X14044" t="s">
        <v>47446</v>
      </c>
    </row>
    <row r="14045" spans="1:24">
      <c r="A14045">
        <f>HYPERLINK("https://www.philgeps.gov.ph/GEPSNONPILOT/Tender/SplashBidNoticeAbstractUI.aspx?menuIndex=3&amp;refID=7127567&amp;Result=3","7127567")</f>
        <v>0</v>
      </c>
      <c r="B14045" t="s">
        <v>121</v>
      </c>
      <c r="C14045" t="s">
        <v>17169</v>
      </c>
      <c r="D14045" t="s">
        <v>19048</v>
      </c>
      <c r="E14045" t="s">
        <v>31131</v>
      </c>
      <c r="F14045" t="s">
        <v>32831</v>
      </c>
      <c r="G14045" t="s">
        <v>32839</v>
      </c>
      <c r="H14045" t="s">
        <v>32849</v>
      </c>
      <c r="I14045" t="s">
        <v>4177</v>
      </c>
      <c r="J14045" t="s">
        <v>41534</v>
      </c>
      <c r="K14045" t="s">
        <v>42763</v>
      </c>
      <c r="M14045" t="s">
        <v>43118</v>
      </c>
      <c r="N14045" t="s">
        <v>47424</v>
      </c>
      <c r="O14045" t="s">
        <v>47425</v>
      </c>
      <c r="P14045">
        <v>0</v>
      </c>
      <c r="Q14045">
        <v>1</v>
      </c>
      <c r="R14045" t="s">
        <v>47445</v>
      </c>
      <c r="S14045" t="s">
        <v>48250</v>
      </c>
      <c r="T14045" t="s">
        <v>49239</v>
      </c>
      <c r="U14045" t="s">
        <v>61096</v>
      </c>
      <c r="V14045" t="s">
        <v>64171</v>
      </c>
      <c r="W14045" t="s">
        <v>43118</v>
      </c>
      <c r="X14045" t="s">
        <v>47446</v>
      </c>
    </row>
    <row r="14046" spans="1:24">
      <c r="A14046">
        <f>HYPERLINK("https://www.philgeps.gov.ph/GEPSNONPILOT/Tender/SplashBidNoticeAbstractUI.aspx?menuIndex=3&amp;refID=7127555&amp;Result=3","7127555")</f>
        <v>0</v>
      </c>
      <c r="B14046" t="s">
        <v>3637</v>
      </c>
      <c r="C14046" t="s">
        <v>17170</v>
      </c>
      <c r="D14046" t="s">
        <v>19047</v>
      </c>
      <c r="E14046" t="s">
        <v>31132</v>
      </c>
      <c r="F14046" t="s">
        <v>32831</v>
      </c>
      <c r="G14046" t="s">
        <v>32839</v>
      </c>
      <c r="H14046" t="s">
        <v>32849</v>
      </c>
      <c r="I14046" t="s">
        <v>4177</v>
      </c>
      <c r="J14046" t="s">
        <v>37619</v>
      </c>
      <c r="K14046" t="s">
        <v>42763</v>
      </c>
      <c r="M14046" t="s">
        <v>47195</v>
      </c>
      <c r="N14046" t="s">
        <v>47424</v>
      </c>
      <c r="O14046" t="s">
        <v>47425</v>
      </c>
      <c r="Q14046">
        <v>1</v>
      </c>
      <c r="R14046" t="s">
        <v>47445</v>
      </c>
      <c r="S14046" t="s">
        <v>48299</v>
      </c>
      <c r="T14046" t="s">
        <v>49237</v>
      </c>
      <c r="U14046" t="s">
        <v>61097</v>
      </c>
      <c r="V14046" t="s">
        <v>64059</v>
      </c>
      <c r="W14046" t="s">
        <v>47195</v>
      </c>
      <c r="X14046" t="s">
        <v>47446</v>
      </c>
    </row>
    <row r="14047" spans="1:24">
      <c r="A14047">
        <f>HYPERLINK("https://www.philgeps.gov.ph/GEPSNONPILOT/Tender/SplashBidNoticeAbstractUI.aspx?menuIndex=3&amp;refID=7127560&amp;Result=3","7127560")</f>
        <v>0</v>
      </c>
      <c r="B14047" t="s">
        <v>485</v>
      </c>
      <c r="C14047" t="s">
        <v>17171</v>
      </c>
      <c r="D14047" t="s">
        <v>19032</v>
      </c>
      <c r="E14047" t="s">
        <v>20141</v>
      </c>
      <c r="F14047" t="s">
        <v>32831</v>
      </c>
      <c r="G14047" t="s">
        <v>32839</v>
      </c>
      <c r="H14047" t="s">
        <v>32849</v>
      </c>
      <c r="I14047" t="s">
        <v>4177</v>
      </c>
      <c r="J14047" t="s">
        <v>41535</v>
      </c>
      <c r="K14047" t="s">
        <v>42985</v>
      </c>
      <c r="M14047" t="s">
        <v>43490</v>
      </c>
      <c r="N14047" t="s">
        <v>47424</v>
      </c>
      <c r="O14047" t="s">
        <v>47425</v>
      </c>
      <c r="P14047">
        <v>0</v>
      </c>
      <c r="Q14047">
        <v>0</v>
      </c>
      <c r="R14047" t="s">
        <v>47445</v>
      </c>
      <c r="S14047" t="s">
        <v>48250</v>
      </c>
      <c r="T14047" t="s">
        <v>49645</v>
      </c>
      <c r="U14047" t="s">
        <v>61098</v>
      </c>
      <c r="V14047" t="s">
        <v>64229</v>
      </c>
      <c r="W14047" t="s">
        <v>43490</v>
      </c>
      <c r="X14047" t="s">
        <v>47446</v>
      </c>
    </row>
    <row r="14048" spans="1:24">
      <c r="A14048">
        <f>HYPERLINK("https://www.philgeps.gov.ph/GEPSNONPILOT/Tender/SplashBidNoticeAbstractUI.aspx?menuIndex=3&amp;refID=7127479&amp;Result=3","7127479")</f>
        <v>0</v>
      </c>
      <c r="B14048" t="s">
        <v>3369</v>
      </c>
      <c r="C14048" t="s">
        <v>17172</v>
      </c>
      <c r="D14048" t="s">
        <v>19069</v>
      </c>
      <c r="E14048" t="s">
        <v>20948</v>
      </c>
      <c r="F14048" t="s">
        <v>32831</v>
      </c>
      <c r="G14048" t="s">
        <v>32839</v>
      </c>
      <c r="H14048" t="s">
        <v>32849</v>
      </c>
      <c r="I14048" t="s">
        <v>4177</v>
      </c>
      <c r="J14048" t="s">
        <v>41536</v>
      </c>
      <c r="K14048" t="s">
        <v>42757</v>
      </c>
      <c r="M14048" t="s">
        <v>46696</v>
      </c>
      <c r="N14048" t="s">
        <v>47424</v>
      </c>
      <c r="O14048" t="s">
        <v>47425</v>
      </c>
      <c r="Q14048">
        <v>8</v>
      </c>
      <c r="R14048" t="s">
        <v>47445</v>
      </c>
      <c r="S14048" t="s">
        <v>48300</v>
      </c>
      <c r="T14048" t="s">
        <v>49073</v>
      </c>
      <c r="U14048" t="s">
        <v>61099</v>
      </c>
      <c r="W14048" t="s">
        <v>46696</v>
      </c>
      <c r="X14048" t="s">
        <v>47446</v>
      </c>
    </row>
    <row r="14049" spans="1:24">
      <c r="A14049">
        <f>HYPERLINK("https://www.philgeps.gov.ph/GEPSNONPILOT/Tender/SplashBidNoticeAbstractUI.aspx?menuIndex=3&amp;refID=7127435&amp;Result=3","7127435")</f>
        <v>0</v>
      </c>
      <c r="B14049" t="s">
        <v>1864</v>
      </c>
      <c r="C14049" t="s">
        <v>17173</v>
      </c>
      <c r="D14049" t="s">
        <v>19045</v>
      </c>
      <c r="E14049" t="s">
        <v>31133</v>
      </c>
      <c r="F14049" t="s">
        <v>32831</v>
      </c>
      <c r="G14049" t="s">
        <v>32839</v>
      </c>
      <c r="H14049" t="s">
        <v>32848</v>
      </c>
      <c r="I14049" t="s">
        <v>10888</v>
      </c>
      <c r="J14049" t="s">
        <v>41537</v>
      </c>
      <c r="K14049" t="s">
        <v>42730</v>
      </c>
      <c r="M14049" t="s">
        <v>45006</v>
      </c>
      <c r="N14049" t="s">
        <v>47424</v>
      </c>
      <c r="O14049" t="s">
        <v>47425</v>
      </c>
      <c r="P14049">
        <v>0</v>
      </c>
      <c r="Q14049">
        <v>1</v>
      </c>
      <c r="R14049" t="s">
        <v>47445</v>
      </c>
      <c r="S14049" t="s">
        <v>48250</v>
      </c>
      <c r="T14049" t="s">
        <v>49162</v>
      </c>
      <c r="U14049" t="s">
        <v>61100</v>
      </c>
      <c r="W14049" t="s">
        <v>45006</v>
      </c>
      <c r="X14049" t="s">
        <v>47446</v>
      </c>
    </row>
    <row r="14050" spans="1:24">
      <c r="A14050">
        <f>HYPERLINK("https://www.philgeps.gov.ph/GEPSNONPILOT/Tender/SplashBidNoticeAbstractUI.aspx?menuIndex=3&amp;refID=7127419&amp;Result=3","7127419")</f>
        <v>0</v>
      </c>
      <c r="B14050" t="s">
        <v>1864</v>
      </c>
      <c r="C14050" t="s">
        <v>17174</v>
      </c>
      <c r="D14050" t="s">
        <v>19045</v>
      </c>
      <c r="E14050" t="s">
        <v>31134</v>
      </c>
      <c r="F14050" t="s">
        <v>32831</v>
      </c>
      <c r="G14050" t="s">
        <v>32839</v>
      </c>
      <c r="H14050" t="s">
        <v>32848</v>
      </c>
      <c r="I14050" t="s">
        <v>9577</v>
      </c>
      <c r="J14050" t="s">
        <v>33508</v>
      </c>
      <c r="K14050" t="s">
        <v>42731</v>
      </c>
      <c r="M14050" t="s">
        <v>45006</v>
      </c>
      <c r="N14050" t="s">
        <v>47424</v>
      </c>
      <c r="O14050" t="s">
        <v>47425</v>
      </c>
      <c r="P14050">
        <v>0</v>
      </c>
      <c r="Q14050">
        <v>2</v>
      </c>
      <c r="R14050" t="s">
        <v>47445</v>
      </c>
      <c r="S14050" t="s">
        <v>48250</v>
      </c>
      <c r="T14050" t="s">
        <v>49162</v>
      </c>
      <c r="U14050" t="s">
        <v>61101</v>
      </c>
      <c r="W14050" t="s">
        <v>45006</v>
      </c>
      <c r="X14050" t="s">
        <v>47446</v>
      </c>
    </row>
    <row r="14051" spans="1:24">
      <c r="A14051">
        <f>HYPERLINK("https://www.philgeps.gov.ph/GEPSNONPILOT/Tender/SplashBidNoticeAbstractUI.aspx?menuIndex=3&amp;refID=7127392&amp;Result=3","7127392")</f>
        <v>0</v>
      </c>
      <c r="B14051" t="s">
        <v>748</v>
      </c>
      <c r="C14051" t="s">
        <v>17175</v>
      </c>
      <c r="D14051" t="s">
        <v>19081</v>
      </c>
      <c r="E14051" t="s">
        <v>31135</v>
      </c>
      <c r="F14051" t="s">
        <v>32831</v>
      </c>
      <c r="G14051" t="s">
        <v>32839</v>
      </c>
      <c r="H14051" t="s">
        <v>32849</v>
      </c>
      <c r="I14051" t="s">
        <v>4177</v>
      </c>
      <c r="J14051" t="s">
        <v>33257</v>
      </c>
      <c r="K14051" t="s">
        <v>42956</v>
      </c>
      <c r="M14051" t="s">
        <v>43771</v>
      </c>
      <c r="N14051" t="s">
        <v>47424</v>
      </c>
      <c r="O14051" t="s">
        <v>47425</v>
      </c>
      <c r="P14051">
        <v>0</v>
      </c>
      <c r="Q14051">
        <v>1</v>
      </c>
      <c r="R14051" t="s">
        <v>47445</v>
      </c>
      <c r="S14051" t="s">
        <v>48250</v>
      </c>
      <c r="T14051" t="s">
        <v>49533</v>
      </c>
      <c r="U14051" t="s">
        <v>61102</v>
      </c>
      <c r="W14051" t="s">
        <v>43771</v>
      </c>
      <c r="X14051" t="s">
        <v>47446</v>
      </c>
    </row>
    <row r="14052" spans="1:24">
      <c r="A14052">
        <f>HYPERLINK("https://www.philgeps.gov.ph/GEPSNONPILOT/Tender/SplashBidNoticeAbstractUI.aspx?menuIndex=3&amp;refID=7127412&amp;Result=3","7127412")</f>
        <v>0</v>
      </c>
      <c r="B14052" t="s">
        <v>92</v>
      </c>
      <c r="C14052" t="s">
        <v>17176</v>
      </c>
      <c r="D14052" t="s">
        <v>19051</v>
      </c>
      <c r="E14052" t="s">
        <v>19260</v>
      </c>
      <c r="F14052" t="s">
        <v>32831</v>
      </c>
      <c r="G14052" t="s">
        <v>32839</v>
      </c>
      <c r="H14052" t="s">
        <v>32849</v>
      </c>
      <c r="I14052" t="s">
        <v>4177</v>
      </c>
      <c r="J14052" t="s">
        <v>36671</v>
      </c>
      <c r="K14052" t="s">
        <v>42732</v>
      </c>
      <c r="M14052" t="s">
        <v>43089</v>
      </c>
      <c r="N14052" t="s">
        <v>47424</v>
      </c>
      <c r="O14052" t="s">
        <v>47425</v>
      </c>
      <c r="Q14052">
        <v>0</v>
      </c>
      <c r="R14052" t="s">
        <v>47445</v>
      </c>
      <c r="S14052" t="s">
        <v>48301</v>
      </c>
      <c r="T14052" t="s">
        <v>49080</v>
      </c>
      <c r="U14052" t="s">
        <v>61103</v>
      </c>
      <c r="V14052" t="s">
        <v>64224</v>
      </c>
      <c r="W14052" t="s">
        <v>43089</v>
      </c>
      <c r="X14052" t="s">
        <v>47446</v>
      </c>
    </row>
    <row r="14053" spans="1:24">
      <c r="A14053">
        <f>HYPERLINK("https://www.philgeps.gov.ph/GEPSNONPILOT/Tender/SplashBidNoticeAbstractUI.aspx?menuIndex=3&amp;refID=7127366&amp;Result=3","7127366")</f>
        <v>0</v>
      </c>
      <c r="B14053" t="s">
        <v>2996</v>
      </c>
      <c r="C14053" t="s">
        <v>17177</v>
      </c>
      <c r="D14053" t="s">
        <v>19056</v>
      </c>
      <c r="E14053" t="s">
        <v>31136</v>
      </c>
      <c r="F14053" t="s">
        <v>32831</v>
      </c>
      <c r="G14053" t="s">
        <v>32839</v>
      </c>
      <c r="H14053" t="s">
        <v>32849</v>
      </c>
      <c r="I14053" t="s">
        <v>4177</v>
      </c>
      <c r="J14053" t="s">
        <v>33066</v>
      </c>
      <c r="K14053" t="s">
        <v>42770</v>
      </c>
      <c r="M14053" t="s">
        <v>46262</v>
      </c>
      <c r="N14053" t="s">
        <v>47424</v>
      </c>
      <c r="O14053" t="s">
        <v>47425</v>
      </c>
      <c r="P14053">
        <v>0</v>
      </c>
      <c r="Q14053">
        <v>2</v>
      </c>
      <c r="R14053" t="s">
        <v>47445</v>
      </c>
      <c r="S14053" t="s">
        <v>48250</v>
      </c>
      <c r="T14053" t="s">
        <v>49166</v>
      </c>
      <c r="U14053" t="s">
        <v>61104</v>
      </c>
      <c r="W14053" t="s">
        <v>46262</v>
      </c>
      <c r="X14053" t="s">
        <v>47446</v>
      </c>
    </row>
    <row r="14054" spans="1:24">
      <c r="A14054">
        <f>HYPERLINK("https://www.philgeps.gov.ph/GEPSNONPILOT/Tender/SplashBidNoticeAbstractUI.aspx?menuIndex=3&amp;refID=7127367&amp;Result=3","7127367")</f>
        <v>0</v>
      </c>
      <c r="B14054" t="s">
        <v>92</v>
      </c>
      <c r="C14054" t="s">
        <v>17178</v>
      </c>
      <c r="D14054" t="s">
        <v>19051</v>
      </c>
      <c r="E14054" t="s">
        <v>19260</v>
      </c>
      <c r="F14054" t="s">
        <v>32831</v>
      </c>
      <c r="G14054" t="s">
        <v>32839</v>
      </c>
      <c r="H14054" t="s">
        <v>32849</v>
      </c>
      <c r="I14054" t="s">
        <v>4177</v>
      </c>
      <c r="J14054" t="s">
        <v>33524</v>
      </c>
      <c r="K14054" t="s">
        <v>42732</v>
      </c>
      <c r="M14054" t="s">
        <v>43089</v>
      </c>
      <c r="N14054" t="s">
        <v>47424</v>
      </c>
      <c r="O14054" t="s">
        <v>47425</v>
      </c>
      <c r="Q14054">
        <v>0</v>
      </c>
      <c r="R14054" t="s">
        <v>47445</v>
      </c>
      <c r="S14054" t="s">
        <v>48302</v>
      </c>
      <c r="T14054" t="s">
        <v>49080</v>
      </c>
      <c r="U14054" t="s">
        <v>61105</v>
      </c>
      <c r="V14054" t="s">
        <v>64224</v>
      </c>
      <c r="W14054" t="s">
        <v>43089</v>
      </c>
      <c r="X14054" t="s">
        <v>47446</v>
      </c>
    </row>
    <row r="14055" spans="1:24">
      <c r="A14055">
        <f>HYPERLINK("https://www.philgeps.gov.ph/GEPSNONPILOT/Tender/SplashBidNoticeAbstractUI.aspx?menuIndex=3&amp;refID=7127339&amp;Result=3","7127339")</f>
        <v>0</v>
      </c>
      <c r="B14055" t="s">
        <v>92</v>
      </c>
      <c r="C14055" t="s">
        <v>17179</v>
      </c>
      <c r="D14055" t="s">
        <v>19051</v>
      </c>
      <c r="E14055" t="s">
        <v>19260</v>
      </c>
      <c r="F14055" t="s">
        <v>32831</v>
      </c>
      <c r="G14055" t="s">
        <v>32839</v>
      </c>
      <c r="H14055" t="s">
        <v>32849</v>
      </c>
      <c r="I14055" t="s">
        <v>4177</v>
      </c>
      <c r="J14055" t="s">
        <v>33108</v>
      </c>
      <c r="K14055" t="s">
        <v>42732</v>
      </c>
      <c r="M14055" t="s">
        <v>43089</v>
      </c>
      <c r="N14055" t="s">
        <v>47424</v>
      </c>
      <c r="O14055" t="s">
        <v>47425</v>
      </c>
      <c r="Q14055">
        <v>0</v>
      </c>
      <c r="R14055" t="s">
        <v>47445</v>
      </c>
      <c r="S14055" t="s">
        <v>48303</v>
      </c>
      <c r="T14055" t="s">
        <v>49080</v>
      </c>
      <c r="U14055" t="s">
        <v>61106</v>
      </c>
      <c r="V14055" t="s">
        <v>64224</v>
      </c>
      <c r="W14055" t="s">
        <v>43089</v>
      </c>
      <c r="X14055" t="s">
        <v>47446</v>
      </c>
    </row>
    <row r="14056" spans="1:24">
      <c r="A14056">
        <f>HYPERLINK("https://www.philgeps.gov.ph/GEPSNONPILOT/Tender/SplashBidNoticeAbstractUI.aspx?menuIndex=3&amp;refID=7127531&amp;Result=3","7127531")</f>
        <v>0</v>
      </c>
      <c r="B14056" t="s">
        <v>1900</v>
      </c>
      <c r="C14056" t="s">
        <v>17180</v>
      </c>
      <c r="D14056" t="s">
        <v>19038</v>
      </c>
      <c r="E14056" t="s">
        <v>20574</v>
      </c>
      <c r="F14056" t="s">
        <v>32831</v>
      </c>
      <c r="G14056" t="s">
        <v>32839</v>
      </c>
      <c r="H14056" t="s">
        <v>32849</v>
      </c>
      <c r="I14056" t="s">
        <v>4177</v>
      </c>
      <c r="J14056" t="s">
        <v>41538</v>
      </c>
      <c r="K14056" t="s">
        <v>42729</v>
      </c>
      <c r="M14056" t="s">
        <v>45048</v>
      </c>
      <c r="N14056" t="s">
        <v>47424</v>
      </c>
      <c r="O14056" t="s">
        <v>47425</v>
      </c>
      <c r="P14056">
        <v>0</v>
      </c>
      <c r="Q14056">
        <v>2</v>
      </c>
      <c r="R14056" t="s">
        <v>47445</v>
      </c>
      <c r="S14056" t="s">
        <v>48250</v>
      </c>
      <c r="T14056" t="s">
        <v>49059</v>
      </c>
      <c r="U14056" t="s">
        <v>61107</v>
      </c>
      <c r="W14056" t="s">
        <v>45048</v>
      </c>
      <c r="X14056" t="s">
        <v>47446</v>
      </c>
    </row>
    <row r="14057" spans="1:24">
      <c r="A14057">
        <f>HYPERLINK("https://www.philgeps.gov.ph/GEPSNONPILOT/Tender/SplashBidNoticeAbstractUI.aspx?menuIndex=3&amp;refID=7127580&amp;Result=3","7127580")</f>
        <v>0</v>
      </c>
      <c r="B14057" t="s">
        <v>1070</v>
      </c>
      <c r="C14057" t="s">
        <v>17181</v>
      </c>
      <c r="D14057" t="s">
        <v>19021</v>
      </c>
      <c r="E14057" t="s">
        <v>31137</v>
      </c>
      <c r="F14057" t="s">
        <v>32831</v>
      </c>
      <c r="G14057" t="s">
        <v>32845</v>
      </c>
      <c r="H14057" t="s">
        <v>32848</v>
      </c>
      <c r="I14057" t="s">
        <v>32870</v>
      </c>
      <c r="J14057" t="s">
        <v>41539</v>
      </c>
      <c r="K14057" t="s">
        <v>42727</v>
      </c>
      <c r="M14057" t="s">
        <v>47042</v>
      </c>
      <c r="N14057" t="s">
        <v>47424</v>
      </c>
      <c r="O14057" t="s">
        <v>47425</v>
      </c>
      <c r="P14057">
        <v>0</v>
      </c>
      <c r="Q14057">
        <v>1</v>
      </c>
      <c r="R14057" t="s">
        <v>47445</v>
      </c>
      <c r="S14057" t="s">
        <v>48250</v>
      </c>
      <c r="T14057" t="s">
        <v>49330</v>
      </c>
      <c r="U14057" t="s">
        <v>61108</v>
      </c>
      <c r="V14057" t="s">
        <v>63255</v>
      </c>
      <c r="W14057" t="s">
        <v>47042</v>
      </c>
      <c r="X14057" t="s">
        <v>47446</v>
      </c>
    </row>
    <row r="14058" spans="1:24">
      <c r="A14058">
        <f>HYPERLINK("https://www.philgeps.gov.ph/GEPSNONPILOT/Tender/SplashBidNoticeAbstractUI.aspx?menuIndex=3&amp;refID=7127801&amp;Result=3","7127801")</f>
        <v>0</v>
      </c>
      <c r="B14058" t="s">
        <v>3784</v>
      </c>
      <c r="C14058" t="s">
        <v>17182</v>
      </c>
      <c r="D14058" t="s">
        <v>19024</v>
      </c>
      <c r="E14058" t="s">
        <v>31138</v>
      </c>
      <c r="F14058" t="s">
        <v>32831</v>
      </c>
      <c r="G14058" t="s">
        <v>32839</v>
      </c>
      <c r="H14058" t="s">
        <v>32848</v>
      </c>
      <c r="I14058" t="s">
        <v>4558</v>
      </c>
      <c r="J14058" t="s">
        <v>41540</v>
      </c>
      <c r="K14058" t="s">
        <v>42730</v>
      </c>
      <c r="M14058" t="s">
        <v>47196</v>
      </c>
      <c r="N14058" t="s">
        <v>47424</v>
      </c>
      <c r="O14058" t="s">
        <v>47425</v>
      </c>
      <c r="P14058">
        <v>0</v>
      </c>
      <c r="Q14058">
        <v>4</v>
      </c>
      <c r="R14058" t="s">
        <v>47445</v>
      </c>
      <c r="S14058" t="s">
        <v>48250</v>
      </c>
      <c r="T14058" t="s">
        <v>49108</v>
      </c>
      <c r="U14058" t="s">
        <v>61109</v>
      </c>
      <c r="W14058" t="s">
        <v>47196</v>
      </c>
      <c r="X14058" t="s">
        <v>47446</v>
      </c>
    </row>
    <row r="14059" spans="1:24">
      <c r="A14059">
        <f>HYPERLINK("https://www.philgeps.gov.ph/GEPSNONPILOT/Tender/SplashBidNoticeAbstractUI.aspx?menuIndex=3&amp;refID=7127807&amp;Result=3","7127807")</f>
        <v>0</v>
      </c>
      <c r="B14059" t="s">
        <v>2807</v>
      </c>
      <c r="C14059" t="s">
        <v>17183</v>
      </c>
      <c r="D14059" t="s">
        <v>19037</v>
      </c>
      <c r="E14059" t="s">
        <v>31139</v>
      </c>
      <c r="F14059" t="s">
        <v>32831</v>
      </c>
      <c r="G14059" t="s">
        <v>32839</v>
      </c>
      <c r="H14059" t="s">
        <v>32848</v>
      </c>
      <c r="I14059" t="s">
        <v>4177</v>
      </c>
      <c r="J14059" t="s">
        <v>41541</v>
      </c>
      <c r="K14059" t="s">
        <v>42730</v>
      </c>
      <c r="M14059" t="s">
        <v>46037</v>
      </c>
      <c r="N14059" t="s">
        <v>47424</v>
      </c>
      <c r="O14059" t="s">
        <v>47425</v>
      </c>
      <c r="P14059">
        <v>0</v>
      </c>
      <c r="Q14059">
        <v>0</v>
      </c>
      <c r="R14059" t="s">
        <v>47445</v>
      </c>
      <c r="S14059" t="s">
        <v>48250</v>
      </c>
      <c r="T14059" t="s">
        <v>49214</v>
      </c>
      <c r="U14059" t="s">
        <v>61110</v>
      </c>
      <c r="W14059" t="s">
        <v>46037</v>
      </c>
      <c r="X14059" t="s">
        <v>47446</v>
      </c>
    </row>
    <row r="14060" spans="1:24">
      <c r="A14060">
        <f>HYPERLINK("https://www.philgeps.gov.ph/GEPSNONPILOT/Tender/SplashBidNoticeAbstractUI.aspx?menuIndex=3&amp;refID=7127800&amp;Result=3","7127800")</f>
        <v>0</v>
      </c>
      <c r="B14060" t="s">
        <v>1130</v>
      </c>
      <c r="C14060" t="s">
        <v>17184</v>
      </c>
      <c r="D14060" t="s">
        <v>19045</v>
      </c>
      <c r="E14060" t="s">
        <v>31140</v>
      </c>
      <c r="F14060" t="s">
        <v>32831</v>
      </c>
      <c r="G14060" t="s">
        <v>32839</v>
      </c>
      <c r="H14060" t="s">
        <v>32848</v>
      </c>
      <c r="I14060" t="s">
        <v>32882</v>
      </c>
      <c r="J14060" t="s">
        <v>41542</v>
      </c>
      <c r="K14060" t="s">
        <v>42780</v>
      </c>
      <c r="M14060" t="s">
        <v>45442</v>
      </c>
      <c r="N14060" t="s">
        <v>47424</v>
      </c>
      <c r="O14060" t="s">
        <v>47425</v>
      </c>
      <c r="P14060">
        <v>0</v>
      </c>
      <c r="Q14060">
        <v>2</v>
      </c>
      <c r="R14060" t="s">
        <v>47445</v>
      </c>
      <c r="S14060" t="s">
        <v>48250</v>
      </c>
      <c r="T14060" t="s">
        <v>49237</v>
      </c>
      <c r="U14060" t="s">
        <v>61111</v>
      </c>
      <c r="V14060" t="s">
        <v>64230</v>
      </c>
      <c r="W14060" t="s">
        <v>45442</v>
      </c>
      <c r="X14060" t="s">
        <v>47446</v>
      </c>
    </row>
    <row r="14061" spans="1:24">
      <c r="A14061">
        <f>HYPERLINK("https://www.philgeps.gov.ph/GEPSNONPILOT/Tender/SplashBidNoticeAbstractUI.aspx?menuIndex=3&amp;refID=7127776&amp;Result=3","7127776")</f>
        <v>0</v>
      </c>
      <c r="B14061" t="s">
        <v>1137</v>
      </c>
      <c r="C14061" t="s">
        <v>17185</v>
      </c>
      <c r="D14061" t="s">
        <v>19020</v>
      </c>
      <c r="E14061" t="s">
        <v>31141</v>
      </c>
      <c r="F14061" t="s">
        <v>32831</v>
      </c>
      <c r="G14061" t="s">
        <v>32839</v>
      </c>
      <c r="H14061" t="s">
        <v>32849</v>
      </c>
      <c r="I14061" t="s">
        <v>4177</v>
      </c>
      <c r="J14061" t="s">
        <v>33257</v>
      </c>
      <c r="K14061" t="s">
        <v>42732</v>
      </c>
      <c r="M14061" t="s">
        <v>44200</v>
      </c>
      <c r="N14061" t="s">
        <v>47424</v>
      </c>
      <c r="O14061" t="s">
        <v>47425</v>
      </c>
      <c r="P14061">
        <v>0</v>
      </c>
      <c r="Q14061">
        <v>0</v>
      </c>
      <c r="R14061" t="s">
        <v>47445</v>
      </c>
      <c r="S14061" t="s">
        <v>48250</v>
      </c>
      <c r="T14061" t="s">
        <v>49166</v>
      </c>
      <c r="U14061" t="s">
        <v>61112</v>
      </c>
      <c r="W14061" t="s">
        <v>44200</v>
      </c>
      <c r="X14061" t="s">
        <v>47446</v>
      </c>
    </row>
    <row r="14062" spans="1:24">
      <c r="A14062">
        <f>HYPERLINK("https://www.philgeps.gov.ph/GEPSNONPILOT/Tender/SplashBidNoticeAbstractUI.aspx?menuIndex=3&amp;refID=7127757&amp;Result=3","7127757")</f>
        <v>0</v>
      </c>
      <c r="B14062" t="s">
        <v>485</v>
      </c>
      <c r="C14062" t="s">
        <v>17186</v>
      </c>
      <c r="D14062" t="s">
        <v>19032</v>
      </c>
      <c r="E14062" t="s">
        <v>20902</v>
      </c>
      <c r="F14062" t="s">
        <v>32831</v>
      </c>
      <c r="G14062" t="s">
        <v>32839</v>
      </c>
      <c r="H14062" t="s">
        <v>32849</v>
      </c>
      <c r="I14062" t="s">
        <v>4177</v>
      </c>
      <c r="J14062" t="s">
        <v>41543</v>
      </c>
      <c r="K14062" t="s">
        <v>42844</v>
      </c>
      <c r="M14062" t="s">
        <v>43490</v>
      </c>
      <c r="N14062" t="s">
        <v>47424</v>
      </c>
      <c r="O14062" t="s">
        <v>47425</v>
      </c>
      <c r="P14062">
        <v>0</v>
      </c>
      <c r="Q14062">
        <v>0</v>
      </c>
      <c r="R14062" t="s">
        <v>47445</v>
      </c>
      <c r="S14062" t="s">
        <v>48250</v>
      </c>
      <c r="T14062" t="s">
        <v>49646</v>
      </c>
      <c r="U14062" t="s">
        <v>61113</v>
      </c>
      <c r="V14062" t="s">
        <v>64231</v>
      </c>
      <c r="W14062" t="s">
        <v>43490</v>
      </c>
      <c r="X14062" t="s">
        <v>47446</v>
      </c>
    </row>
    <row r="14063" spans="1:24">
      <c r="A14063">
        <f>HYPERLINK("https://www.philgeps.gov.ph/GEPSNONPILOT/Tender/SplashBidNoticeAbstractUI.aspx?menuIndex=3&amp;refID=7127786&amp;Result=3","7127786")</f>
        <v>0</v>
      </c>
      <c r="B14063" t="s">
        <v>2807</v>
      </c>
      <c r="C14063" t="s">
        <v>17187</v>
      </c>
      <c r="D14063" t="s">
        <v>19037</v>
      </c>
      <c r="E14063" t="s">
        <v>31142</v>
      </c>
      <c r="F14063" t="s">
        <v>32831</v>
      </c>
      <c r="G14063" t="s">
        <v>32839</v>
      </c>
      <c r="H14063" t="s">
        <v>32848</v>
      </c>
      <c r="I14063" t="s">
        <v>9577</v>
      </c>
      <c r="J14063" t="s">
        <v>32985</v>
      </c>
      <c r="K14063" t="s">
        <v>42730</v>
      </c>
      <c r="M14063" t="s">
        <v>46037</v>
      </c>
      <c r="N14063" t="s">
        <v>47424</v>
      </c>
      <c r="O14063" t="s">
        <v>47425</v>
      </c>
      <c r="P14063">
        <v>0</v>
      </c>
      <c r="Q14063">
        <v>4</v>
      </c>
      <c r="R14063" t="s">
        <v>47445</v>
      </c>
      <c r="S14063" t="s">
        <v>48250</v>
      </c>
      <c r="T14063" t="s">
        <v>49214</v>
      </c>
      <c r="U14063" t="s">
        <v>61114</v>
      </c>
      <c r="W14063" t="s">
        <v>46037</v>
      </c>
      <c r="X14063" t="s">
        <v>47446</v>
      </c>
    </row>
    <row r="14064" spans="1:24">
      <c r="A14064">
        <f>HYPERLINK("https://www.philgeps.gov.ph/GEPSNONPILOT/Tender/SplashBidNoticeAbstractUI.aspx?menuIndex=3&amp;refID=7127788&amp;Result=3","7127788")</f>
        <v>0</v>
      </c>
      <c r="B14064" t="s">
        <v>1552</v>
      </c>
      <c r="C14064" t="s">
        <v>17188</v>
      </c>
      <c r="D14064" t="s">
        <v>19074</v>
      </c>
      <c r="E14064" t="s">
        <v>29946</v>
      </c>
      <c r="F14064" t="s">
        <v>32831</v>
      </c>
      <c r="G14064" t="s">
        <v>32839</v>
      </c>
      <c r="H14064" t="s">
        <v>32849</v>
      </c>
      <c r="I14064" t="s">
        <v>4177</v>
      </c>
      <c r="J14064" t="s">
        <v>33279</v>
      </c>
      <c r="K14064" t="s">
        <v>42730</v>
      </c>
      <c r="M14064" t="s">
        <v>44659</v>
      </c>
      <c r="N14064" t="s">
        <v>47424</v>
      </c>
      <c r="O14064" t="s">
        <v>47425</v>
      </c>
      <c r="P14064">
        <v>0</v>
      </c>
      <c r="Q14064">
        <v>0</v>
      </c>
      <c r="R14064" t="s">
        <v>47445</v>
      </c>
      <c r="S14064" t="s">
        <v>48250</v>
      </c>
      <c r="T14064" t="s">
        <v>49166</v>
      </c>
      <c r="U14064" t="s">
        <v>61115</v>
      </c>
      <c r="V14064" t="s">
        <v>64232</v>
      </c>
      <c r="W14064" t="s">
        <v>44659</v>
      </c>
      <c r="X14064" t="s">
        <v>47446</v>
      </c>
    </row>
    <row r="14065" spans="1:24">
      <c r="A14065">
        <f>HYPERLINK("https://www.philgeps.gov.ph/GEPSNONPILOT/Tender/SplashBidNoticeAbstractUI.aspx?menuIndex=3&amp;refID=7127439&amp;Result=3","7127439")</f>
        <v>0</v>
      </c>
      <c r="B14065" t="s">
        <v>92</v>
      </c>
      <c r="C14065" t="s">
        <v>17189</v>
      </c>
      <c r="D14065" t="s">
        <v>19051</v>
      </c>
      <c r="E14065" t="s">
        <v>19260</v>
      </c>
      <c r="F14065" t="s">
        <v>32831</v>
      </c>
      <c r="G14065" t="s">
        <v>32839</v>
      </c>
      <c r="H14065" t="s">
        <v>32849</v>
      </c>
      <c r="I14065" t="s">
        <v>4177</v>
      </c>
      <c r="J14065" t="s">
        <v>33561</v>
      </c>
      <c r="K14065" t="s">
        <v>42732</v>
      </c>
      <c r="M14065" t="s">
        <v>43089</v>
      </c>
      <c r="N14065" t="s">
        <v>47424</v>
      </c>
      <c r="O14065" t="s">
        <v>47425</v>
      </c>
      <c r="Q14065">
        <v>0</v>
      </c>
      <c r="R14065" t="s">
        <v>47445</v>
      </c>
      <c r="S14065" t="s">
        <v>48304</v>
      </c>
      <c r="T14065" t="s">
        <v>49080</v>
      </c>
      <c r="U14065" t="s">
        <v>61116</v>
      </c>
      <c r="V14065" t="s">
        <v>64224</v>
      </c>
      <c r="W14065" t="s">
        <v>43089</v>
      </c>
      <c r="X14065" t="s">
        <v>47446</v>
      </c>
    </row>
    <row r="14066" spans="1:24">
      <c r="A14066">
        <f>HYPERLINK("https://www.philgeps.gov.ph/GEPSNONPILOT/Tender/SplashBidNoticeAbstractUI.aspx?menuIndex=3&amp;refID=7127745&amp;Result=3","7127745")</f>
        <v>0</v>
      </c>
      <c r="B14066" t="s">
        <v>3357</v>
      </c>
      <c r="C14066" t="s">
        <v>17190</v>
      </c>
      <c r="D14066" t="s">
        <v>19054</v>
      </c>
      <c r="E14066" t="s">
        <v>31143</v>
      </c>
      <c r="F14066" t="s">
        <v>32831</v>
      </c>
      <c r="G14066" t="s">
        <v>32839</v>
      </c>
      <c r="H14066" t="s">
        <v>32848</v>
      </c>
      <c r="I14066" t="s">
        <v>7416</v>
      </c>
      <c r="J14066" t="s">
        <v>41544</v>
      </c>
      <c r="K14066" t="s">
        <v>42727</v>
      </c>
      <c r="M14066" t="s">
        <v>47178</v>
      </c>
      <c r="N14066" t="s">
        <v>47424</v>
      </c>
      <c r="O14066" t="s">
        <v>47425</v>
      </c>
      <c r="P14066">
        <v>0</v>
      </c>
      <c r="Q14066">
        <v>0</v>
      </c>
      <c r="R14066" t="s">
        <v>47445</v>
      </c>
      <c r="S14066" t="s">
        <v>48250</v>
      </c>
      <c r="T14066" t="s">
        <v>49151</v>
      </c>
      <c r="U14066" t="s">
        <v>61117</v>
      </c>
      <c r="W14066" t="s">
        <v>47178</v>
      </c>
      <c r="X14066" t="s">
        <v>47446</v>
      </c>
    </row>
    <row r="14067" spans="1:24">
      <c r="A14067">
        <f>HYPERLINK("https://www.philgeps.gov.ph/GEPSNONPILOT/Tender/SplashBidNoticeAbstractUI.aspx?menuIndex=3&amp;refID=7127359&amp;Result=3","7127359")</f>
        <v>0</v>
      </c>
      <c r="B14067" t="s">
        <v>3551</v>
      </c>
      <c r="C14067" t="s">
        <v>15452</v>
      </c>
      <c r="E14067" t="s">
        <v>29601</v>
      </c>
      <c r="F14067" t="s">
        <v>32831</v>
      </c>
      <c r="G14067" t="s">
        <v>32839</v>
      </c>
      <c r="H14067" t="s">
        <v>32848</v>
      </c>
      <c r="I14067" t="s">
        <v>32859</v>
      </c>
      <c r="J14067" t="s">
        <v>33118</v>
      </c>
      <c r="K14067" t="s">
        <v>42732</v>
      </c>
      <c r="M14067" t="s">
        <v>46906</v>
      </c>
      <c r="N14067" t="s">
        <v>47424</v>
      </c>
      <c r="O14067" t="s">
        <v>47425</v>
      </c>
      <c r="P14067">
        <v>0</v>
      </c>
      <c r="Q14067">
        <v>10</v>
      </c>
      <c r="R14067" t="s">
        <v>47445</v>
      </c>
      <c r="S14067" t="s">
        <v>48250</v>
      </c>
      <c r="T14067" t="s">
        <v>49214</v>
      </c>
      <c r="U14067" t="s">
        <v>59742</v>
      </c>
      <c r="W14067" t="s">
        <v>46906</v>
      </c>
      <c r="X14067" t="s">
        <v>47446</v>
      </c>
    </row>
    <row r="14068" spans="1:24">
      <c r="A14068">
        <f>HYPERLINK("https://www.philgeps.gov.ph/GEPSNONPILOT/Tender/SplashBidNoticeAbstractUI.aspx?menuIndex=3&amp;refID=7127569&amp;Result=3","7127569")</f>
        <v>0</v>
      </c>
      <c r="B14068" t="s">
        <v>243</v>
      </c>
      <c r="C14068" t="s">
        <v>17191</v>
      </c>
      <c r="D14068" t="s">
        <v>19074</v>
      </c>
      <c r="E14068" t="s">
        <v>31144</v>
      </c>
      <c r="F14068" t="s">
        <v>32831</v>
      </c>
      <c r="G14068" t="s">
        <v>32839</v>
      </c>
      <c r="H14068" t="s">
        <v>32848</v>
      </c>
      <c r="I14068" t="s">
        <v>4177</v>
      </c>
      <c r="J14068" t="s">
        <v>41545</v>
      </c>
      <c r="K14068" t="s">
        <v>42729</v>
      </c>
      <c r="M14068" t="s">
        <v>43242</v>
      </c>
      <c r="N14068" t="s">
        <v>47424</v>
      </c>
      <c r="O14068" t="s">
        <v>47425</v>
      </c>
      <c r="P14068">
        <v>0</v>
      </c>
      <c r="Q14068">
        <v>1</v>
      </c>
      <c r="R14068" t="s">
        <v>47445</v>
      </c>
      <c r="S14068" t="s">
        <v>48250</v>
      </c>
      <c r="T14068" t="s">
        <v>49397</v>
      </c>
      <c r="U14068" t="s">
        <v>61118</v>
      </c>
      <c r="W14068" t="s">
        <v>43242</v>
      </c>
      <c r="X14068" t="s">
        <v>47446</v>
      </c>
    </row>
    <row r="14069" spans="1:24">
      <c r="A14069">
        <f>HYPERLINK("https://www.philgeps.gov.ph/GEPSNONPILOT/Tender/SplashBidNoticeAbstractUI.aspx?menuIndex=3&amp;refID=7127700&amp;Result=3","7127700")</f>
        <v>0</v>
      </c>
      <c r="B14069" t="s">
        <v>3637</v>
      </c>
      <c r="C14069" t="s">
        <v>17192</v>
      </c>
      <c r="D14069" t="s">
        <v>19047</v>
      </c>
      <c r="E14069" t="s">
        <v>31145</v>
      </c>
      <c r="F14069" t="s">
        <v>32831</v>
      </c>
      <c r="G14069" t="s">
        <v>32839</v>
      </c>
      <c r="H14069" t="s">
        <v>32849</v>
      </c>
      <c r="I14069" t="s">
        <v>4177</v>
      </c>
      <c r="J14069" t="s">
        <v>41546</v>
      </c>
      <c r="K14069" t="s">
        <v>42871</v>
      </c>
      <c r="M14069" t="s">
        <v>47195</v>
      </c>
      <c r="N14069" t="s">
        <v>47424</v>
      </c>
      <c r="O14069" t="s">
        <v>47425</v>
      </c>
      <c r="Q14069">
        <v>10</v>
      </c>
      <c r="R14069" t="s">
        <v>47445</v>
      </c>
      <c r="S14069" t="s">
        <v>48305</v>
      </c>
      <c r="T14069" t="s">
        <v>49237</v>
      </c>
      <c r="U14069" t="s">
        <v>61097</v>
      </c>
      <c r="V14069" t="s">
        <v>64059</v>
      </c>
      <c r="W14069" t="s">
        <v>47195</v>
      </c>
      <c r="X14069" t="s">
        <v>47446</v>
      </c>
    </row>
    <row r="14070" spans="1:24">
      <c r="A14070">
        <f>HYPERLINK("https://www.philgeps.gov.ph/GEPSNONPILOT/Tender/SplashBidNoticeAbstractUI.aspx?menuIndex=3&amp;refID=7127965&amp;Result=3","7127965")</f>
        <v>0</v>
      </c>
      <c r="B14070" t="s">
        <v>152</v>
      </c>
      <c r="C14070" t="s">
        <v>17193</v>
      </c>
      <c r="D14070" t="s">
        <v>19068</v>
      </c>
      <c r="E14070" t="s">
        <v>31146</v>
      </c>
      <c r="F14070" t="s">
        <v>32831</v>
      </c>
      <c r="G14070" t="s">
        <v>32839</v>
      </c>
      <c r="H14070" t="s">
        <v>32849</v>
      </c>
      <c r="I14070" t="s">
        <v>4177</v>
      </c>
      <c r="J14070" t="s">
        <v>41547</v>
      </c>
      <c r="K14070" t="s">
        <v>42780</v>
      </c>
      <c r="M14070" t="s">
        <v>43149</v>
      </c>
      <c r="N14070" t="s">
        <v>47424</v>
      </c>
      <c r="O14070" t="s">
        <v>47425</v>
      </c>
      <c r="Q14070">
        <v>1</v>
      </c>
      <c r="R14070" t="s">
        <v>47445</v>
      </c>
      <c r="S14070" t="s">
        <v>48306</v>
      </c>
      <c r="T14070" t="s">
        <v>49073</v>
      </c>
      <c r="U14070" t="s">
        <v>61119</v>
      </c>
      <c r="W14070" t="s">
        <v>43149</v>
      </c>
      <c r="X14070" t="s">
        <v>47446</v>
      </c>
    </row>
    <row r="14071" spans="1:24">
      <c r="A14071">
        <f>HYPERLINK("https://www.philgeps.gov.ph/GEPSNONPILOT/Tender/SplashBidNoticeAbstractUI.aspx?menuIndex=3&amp;refID=7127966&amp;Result=3","7127966")</f>
        <v>0</v>
      </c>
      <c r="B14071" t="s">
        <v>2235</v>
      </c>
      <c r="C14071" t="s">
        <v>17194</v>
      </c>
      <c r="E14071" t="s">
        <v>31147</v>
      </c>
      <c r="F14071" t="s">
        <v>32831</v>
      </c>
      <c r="G14071" t="s">
        <v>32839</v>
      </c>
      <c r="H14071" t="s">
        <v>32848</v>
      </c>
      <c r="I14071" t="s">
        <v>32857</v>
      </c>
      <c r="J14071" t="s">
        <v>41548</v>
      </c>
      <c r="K14071" t="s">
        <v>42745</v>
      </c>
      <c r="M14071" t="s">
        <v>45724</v>
      </c>
      <c r="N14071" t="s">
        <v>47424</v>
      </c>
      <c r="O14071" t="s">
        <v>47425</v>
      </c>
      <c r="P14071">
        <v>0</v>
      </c>
      <c r="Q14071">
        <v>0</v>
      </c>
      <c r="R14071" t="s">
        <v>47445</v>
      </c>
      <c r="S14071" t="s">
        <v>48250</v>
      </c>
      <c r="T14071" t="s">
        <v>49150</v>
      </c>
      <c r="U14071" t="s">
        <v>59368</v>
      </c>
      <c r="W14071" t="s">
        <v>45724</v>
      </c>
      <c r="X14071" t="s">
        <v>47446</v>
      </c>
    </row>
    <row r="14072" spans="1:24">
      <c r="A14072">
        <f>HYPERLINK("https://www.philgeps.gov.ph/GEPSNONPILOT/Tender/SplashBidNoticeAbstractUI.aspx?menuIndex=3&amp;refID=7127716&amp;Result=3","7127716")</f>
        <v>0</v>
      </c>
      <c r="B14072" t="s">
        <v>1891</v>
      </c>
      <c r="C14072" t="s">
        <v>17195</v>
      </c>
      <c r="D14072" t="s">
        <v>19017</v>
      </c>
      <c r="E14072" t="s">
        <v>31148</v>
      </c>
      <c r="F14072" t="s">
        <v>32831</v>
      </c>
      <c r="G14072" t="s">
        <v>32842</v>
      </c>
      <c r="H14072" t="s">
        <v>32848</v>
      </c>
      <c r="I14072" t="s">
        <v>32862</v>
      </c>
      <c r="J14072" t="s">
        <v>41549</v>
      </c>
      <c r="K14072" t="s">
        <v>42748</v>
      </c>
      <c r="M14072" t="s">
        <v>45037</v>
      </c>
      <c r="N14072" t="s">
        <v>47424</v>
      </c>
      <c r="O14072" t="s">
        <v>47425</v>
      </c>
      <c r="Q14072">
        <v>1</v>
      </c>
      <c r="R14072" t="s">
        <v>47445</v>
      </c>
      <c r="S14072" t="s">
        <v>48307</v>
      </c>
      <c r="T14072" t="s">
        <v>49068</v>
      </c>
      <c r="U14072" t="s">
        <v>61120</v>
      </c>
      <c r="W14072" t="s">
        <v>45037</v>
      </c>
      <c r="X14072" t="s">
        <v>47446</v>
      </c>
    </row>
    <row r="14073" spans="1:24">
      <c r="A14073">
        <f>HYPERLINK("https://www.philgeps.gov.ph/GEPSNONPILOT/Tender/SplashBidNoticeAbstractUI.aspx?menuIndex=3&amp;refID=7127945&amp;Result=3","7127945")</f>
        <v>0</v>
      </c>
      <c r="B14073" t="s">
        <v>1677</v>
      </c>
      <c r="C14073" t="s">
        <v>17196</v>
      </c>
      <c r="E14073" t="s">
        <v>22359</v>
      </c>
      <c r="F14073" t="s">
        <v>32831</v>
      </c>
      <c r="G14073" t="s">
        <v>32839</v>
      </c>
      <c r="H14073" t="s">
        <v>32849</v>
      </c>
      <c r="I14073" t="s">
        <v>4177</v>
      </c>
      <c r="J14073" t="s">
        <v>41550</v>
      </c>
      <c r="K14073" t="s">
        <v>42763</v>
      </c>
      <c r="M14073" t="s">
        <v>44802</v>
      </c>
      <c r="N14073" t="s">
        <v>47424</v>
      </c>
      <c r="O14073" t="s">
        <v>47425</v>
      </c>
      <c r="P14073">
        <v>0</v>
      </c>
      <c r="Q14073">
        <v>1</v>
      </c>
      <c r="R14073" t="s">
        <v>47445</v>
      </c>
      <c r="S14073" t="s">
        <v>48250</v>
      </c>
      <c r="T14073" t="s">
        <v>49056</v>
      </c>
      <c r="U14073" t="s">
        <v>61121</v>
      </c>
      <c r="W14073" t="s">
        <v>44795</v>
      </c>
      <c r="X14073" t="s">
        <v>47446</v>
      </c>
    </row>
    <row r="14074" spans="1:24">
      <c r="A14074">
        <f>HYPERLINK("https://www.philgeps.gov.ph/GEPSNONPILOT/Tender/SplashBidNoticeAbstractUI.aspx?menuIndex=3&amp;refID=7127743&amp;Result=3","7127743")</f>
        <v>0</v>
      </c>
      <c r="B14074" t="s">
        <v>2039</v>
      </c>
      <c r="C14074" t="s">
        <v>17197</v>
      </c>
      <c r="D14074" t="s">
        <v>19080</v>
      </c>
      <c r="E14074" t="s">
        <v>31149</v>
      </c>
      <c r="F14074" t="s">
        <v>32831</v>
      </c>
      <c r="G14074" t="s">
        <v>32838</v>
      </c>
      <c r="H14074" t="s">
        <v>32848</v>
      </c>
      <c r="I14074" t="s">
        <v>4177</v>
      </c>
      <c r="J14074" t="s">
        <v>33032</v>
      </c>
      <c r="K14074" t="s">
        <v>42729</v>
      </c>
      <c r="M14074" t="s">
        <v>45208</v>
      </c>
      <c r="N14074" t="s">
        <v>47424</v>
      </c>
      <c r="O14074" t="s">
        <v>47425</v>
      </c>
      <c r="P14074">
        <v>0</v>
      </c>
      <c r="Q14074">
        <v>0</v>
      </c>
      <c r="R14074" t="s">
        <v>47445</v>
      </c>
      <c r="S14074" t="s">
        <v>48250</v>
      </c>
      <c r="T14074" t="s">
        <v>49162</v>
      </c>
      <c r="U14074" t="s">
        <v>61122</v>
      </c>
      <c r="W14074" t="s">
        <v>45208</v>
      </c>
      <c r="X14074" t="s">
        <v>47446</v>
      </c>
    </row>
    <row r="14075" spans="1:24">
      <c r="A14075">
        <f>HYPERLINK("https://www.philgeps.gov.ph/GEPSNONPILOT/Tender/SplashBidNoticeAbstractUI.aspx?menuIndex=3&amp;refID=7127934&amp;Result=3","7127934")</f>
        <v>0</v>
      </c>
      <c r="B14075" t="s">
        <v>1162</v>
      </c>
      <c r="C14075" t="s">
        <v>17198</v>
      </c>
      <c r="D14075" t="s">
        <v>19050</v>
      </c>
      <c r="E14075" t="s">
        <v>17198</v>
      </c>
      <c r="F14075" t="s">
        <v>32831</v>
      </c>
      <c r="G14075" t="s">
        <v>32839</v>
      </c>
      <c r="H14075" t="s">
        <v>32848</v>
      </c>
      <c r="I14075" t="s">
        <v>4487</v>
      </c>
      <c r="J14075" t="s">
        <v>41551</v>
      </c>
      <c r="K14075" t="s">
        <v>42730</v>
      </c>
      <c r="M14075" t="s">
        <v>46128</v>
      </c>
      <c r="N14075" t="s">
        <v>47424</v>
      </c>
      <c r="O14075" t="s">
        <v>47425</v>
      </c>
      <c r="P14075">
        <v>0</v>
      </c>
      <c r="Q14075">
        <v>4</v>
      </c>
      <c r="R14075" t="s">
        <v>47445</v>
      </c>
      <c r="S14075" t="s">
        <v>48250</v>
      </c>
      <c r="T14075" t="s">
        <v>49229</v>
      </c>
      <c r="U14075" t="s">
        <v>61123</v>
      </c>
      <c r="W14075" t="s">
        <v>46128</v>
      </c>
      <c r="X14075" t="s">
        <v>47446</v>
      </c>
    </row>
    <row r="14076" spans="1:24">
      <c r="A14076">
        <f>HYPERLINK("https://www.philgeps.gov.ph/GEPSNONPILOT/Tender/SplashBidNoticeAbstractUI.aspx?menuIndex=3&amp;refID=7127922&amp;Result=3","7127922")</f>
        <v>0</v>
      </c>
      <c r="B14076" t="s">
        <v>1927</v>
      </c>
      <c r="C14076" t="s">
        <v>17199</v>
      </c>
      <c r="D14076" t="s">
        <v>19018</v>
      </c>
      <c r="E14076" t="s">
        <v>31150</v>
      </c>
      <c r="F14076" t="s">
        <v>32831</v>
      </c>
      <c r="G14076" t="s">
        <v>32839</v>
      </c>
      <c r="H14076" t="s">
        <v>32849</v>
      </c>
      <c r="I14076" t="s">
        <v>4177</v>
      </c>
      <c r="J14076" t="s">
        <v>41552</v>
      </c>
      <c r="K14076" t="s">
        <v>42732</v>
      </c>
      <c r="L14076" t="s">
        <v>1927</v>
      </c>
      <c r="M14076" t="s">
        <v>46156</v>
      </c>
      <c r="N14076" t="s">
        <v>47424</v>
      </c>
      <c r="O14076" t="s">
        <v>47425</v>
      </c>
      <c r="Q14076">
        <v>1</v>
      </c>
      <c r="R14076" t="s">
        <v>47445</v>
      </c>
      <c r="S14076" t="s">
        <v>48308</v>
      </c>
      <c r="T14076" t="s">
        <v>49181</v>
      </c>
      <c r="U14076" t="s">
        <v>61124</v>
      </c>
      <c r="V14076" t="s">
        <v>63616</v>
      </c>
      <c r="W14076" t="s">
        <v>46156</v>
      </c>
      <c r="X14076" t="s">
        <v>47446</v>
      </c>
    </row>
    <row r="14077" spans="1:24">
      <c r="A14077">
        <f>HYPERLINK("https://www.philgeps.gov.ph/GEPSNONPILOT/Tender/SplashBidNoticeAbstractUI.aspx?menuIndex=3&amp;refID=7127958&amp;Result=3","7127958")</f>
        <v>0</v>
      </c>
      <c r="B14077" t="s">
        <v>1927</v>
      </c>
      <c r="C14077" t="s">
        <v>17200</v>
      </c>
      <c r="D14077" t="s">
        <v>19018</v>
      </c>
      <c r="E14077" t="s">
        <v>31151</v>
      </c>
      <c r="F14077" t="s">
        <v>32831</v>
      </c>
      <c r="G14077" t="s">
        <v>32839</v>
      </c>
      <c r="H14077" t="s">
        <v>32849</v>
      </c>
      <c r="I14077" t="s">
        <v>4177</v>
      </c>
      <c r="J14077" t="s">
        <v>41553</v>
      </c>
      <c r="K14077" t="s">
        <v>42732</v>
      </c>
      <c r="L14077" t="s">
        <v>1927</v>
      </c>
      <c r="M14077" t="s">
        <v>46156</v>
      </c>
      <c r="N14077" t="s">
        <v>47424</v>
      </c>
      <c r="O14077" t="s">
        <v>47425</v>
      </c>
      <c r="P14077">
        <v>0</v>
      </c>
      <c r="Q14077">
        <v>2</v>
      </c>
      <c r="R14077" t="s">
        <v>47445</v>
      </c>
      <c r="S14077" t="s">
        <v>48250</v>
      </c>
      <c r="T14077" t="s">
        <v>49056</v>
      </c>
      <c r="U14077" t="s">
        <v>61124</v>
      </c>
      <c r="V14077" t="s">
        <v>63616</v>
      </c>
      <c r="W14077" t="s">
        <v>46156</v>
      </c>
      <c r="X14077" t="s">
        <v>47446</v>
      </c>
    </row>
    <row r="14078" spans="1:24">
      <c r="A14078">
        <f>HYPERLINK("https://www.philgeps.gov.ph/GEPSNONPILOT/Tender/SplashBidNoticeAbstractUI.aspx?menuIndex=3&amp;refID=7127910&amp;Result=3","7127910")</f>
        <v>0</v>
      </c>
      <c r="B14078" t="s">
        <v>1861</v>
      </c>
      <c r="C14078" t="s">
        <v>17201</v>
      </c>
      <c r="D14078" t="s">
        <v>19060</v>
      </c>
      <c r="E14078" t="s">
        <v>31152</v>
      </c>
      <c r="F14078" t="s">
        <v>32831</v>
      </c>
      <c r="G14078" t="s">
        <v>32841</v>
      </c>
      <c r="H14078" t="s">
        <v>32849</v>
      </c>
      <c r="I14078" t="s">
        <v>4177</v>
      </c>
      <c r="J14078" t="s">
        <v>41554</v>
      </c>
      <c r="K14078" t="s">
        <v>42780</v>
      </c>
      <c r="M14078" t="s">
        <v>45000</v>
      </c>
      <c r="N14078" t="s">
        <v>47424</v>
      </c>
      <c r="O14078" t="s">
        <v>47425</v>
      </c>
      <c r="P14078">
        <v>0</v>
      </c>
      <c r="Q14078">
        <v>4</v>
      </c>
      <c r="R14078" t="s">
        <v>47445</v>
      </c>
      <c r="S14078" t="s">
        <v>48250</v>
      </c>
      <c r="T14078" t="s">
        <v>49141</v>
      </c>
      <c r="U14078" t="s">
        <v>61125</v>
      </c>
      <c r="W14078" t="s">
        <v>45000</v>
      </c>
      <c r="X14078" t="s">
        <v>47446</v>
      </c>
    </row>
    <row r="14079" spans="1:24">
      <c r="A14079">
        <f>HYPERLINK("https://www.philgeps.gov.ph/GEPSNONPILOT/Tender/SplashBidNoticeAbstractUI.aspx?menuIndex=3&amp;refID=7127904&amp;Result=3","7127904")</f>
        <v>0</v>
      </c>
      <c r="B14079" t="s">
        <v>2996</v>
      </c>
      <c r="C14079" t="s">
        <v>17202</v>
      </c>
      <c r="D14079" t="s">
        <v>19056</v>
      </c>
      <c r="E14079" t="s">
        <v>31153</v>
      </c>
      <c r="F14079" t="s">
        <v>32831</v>
      </c>
      <c r="G14079" t="s">
        <v>32839</v>
      </c>
      <c r="H14079" t="s">
        <v>32849</v>
      </c>
      <c r="I14079" t="s">
        <v>4177</v>
      </c>
      <c r="J14079" t="s">
        <v>32978</v>
      </c>
      <c r="K14079" t="s">
        <v>42728</v>
      </c>
      <c r="M14079" t="s">
        <v>46262</v>
      </c>
      <c r="N14079" t="s">
        <v>47424</v>
      </c>
      <c r="O14079" t="s">
        <v>47425</v>
      </c>
      <c r="P14079">
        <v>0</v>
      </c>
      <c r="Q14079">
        <v>2</v>
      </c>
      <c r="R14079" t="s">
        <v>47445</v>
      </c>
      <c r="S14079" t="s">
        <v>48250</v>
      </c>
      <c r="T14079" t="s">
        <v>49166</v>
      </c>
      <c r="U14079" t="s">
        <v>61126</v>
      </c>
      <c r="W14079" t="s">
        <v>46262</v>
      </c>
      <c r="X14079" t="s">
        <v>47446</v>
      </c>
    </row>
    <row r="14080" spans="1:24">
      <c r="A14080">
        <f>HYPERLINK("https://www.philgeps.gov.ph/GEPSNONPILOT/Tender/SplashBidNoticeAbstractUI.aspx?menuIndex=3&amp;refID=7127885&amp;Result=3","7127885")</f>
        <v>0</v>
      </c>
      <c r="B14080" t="s">
        <v>1130</v>
      </c>
      <c r="C14080" t="s">
        <v>17203</v>
      </c>
      <c r="D14080" t="s">
        <v>19045</v>
      </c>
      <c r="E14080" t="s">
        <v>31154</v>
      </c>
      <c r="F14080" t="s">
        <v>32831</v>
      </c>
      <c r="G14080" t="s">
        <v>32839</v>
      </c>
      <c r="H14080" t="s">
        <v>32848</v>
      </c>
      <c r="I14080" t="s">
        <v>32890</v>
      </c>
      <c r="J14080" t="s">
        <v>41555</v>
      </c>
      <c r="K14080" t="s">
        <v>42763</v>
      </c>
      <c r="M14080" t="s">
        <v>45442</v>
      </c>
      <c r="N14080" t="s">
        <v>47424</v>
      </c>
      <c r="O14080" t="s">
        <v>47425</v>
      </c>
      <c r="P14080">
        <v>0</v>
      </c>
      <c r="Q14080">
        <v>0</v>
      </c>
      <c r="R14080" t="s">
        <v>47445</v>
      </c>
      <c r="S14080" t="s">
        <v>48250</v>
      </c>
      <c r="T14080" t="s">
        <v>49237</v>
      </c>
      <c r="U14080" t="s">
        <v>61127</v>
      </c>
      <c r="V14080" t="s">
        <v>64230</v>
      </c>
      <c r="W14080" t="s">
        <v>45442</v>
      </c>
      <c r="X14080" t="s">
        <v>47446</v>
      </c>
    </row>
    <row r="14081" spans="1:24">
      <c r="A14081">
        <f>HYPERLINK("https://www.philgeps.gov.ph/GEPSNONPILOT/Tender/SplashBidNoticeAbstractUI.aspx?menuIndex=3&amp;refID=7127876&amp;Result=3","7127876")</f>
        <v>0</v>
      </c>
      <c r="B14081" t="s">
        <v>2807</v>
      </c>
      <c r="C14081" t="s">
        <v>17204</v>
      </c>
      <c r="D14081" t="s">
        <v>19037</v>
      </c>
      <c r="E14081" t="s">
        <v>31155</v>
      </c>
      <c r="F14081" t="s">
        <v>32831</v>
      </c>
      <c r="G14081" t="s">
        <v>32839</v>
      </c>
      <c r="H14081" t="s">
        <v>32848</v>
      </c>
      <c r="I14081" t="s">
        <v>9577</v>
      </c>
      <c r="J14081" t="s">
        <v>36351</v>
      </c>
      <c r="K14081" t="s">
        <v>42730</v>
      </c>
      <c r="M14081" t="s">
        <v>46037</v>
      </c>
      <c r="N14081" t="s">
        <v>47424</v>
      </c>
      <c r="O14081" t="s">
        <v>47425</v>
      </c>
      <c r="P14081">
        <v>0</v>
      </c>
      <c r="Q14081">
        <v>1</v>
      </c>
      <c r="R14081" t="s">
        <v>47445</v>
      </c>
      <c r="S14081" t="s">
        <v>48250</v>
      </c>
      <c r="T14081" t="s">
        <v>49214</v>
      </c>
      <c r="U14081" t="s">
        <v>61128</v>
      </c>
      <c r="W14081" t="s">
        <v>46037</v>
      </c>
      <c r="X14081" t="s">
        <v>47446</v>
      </c>
    </row>
    <row r="14082" spans="1:24">
      <c r="A14082">
        <f>HYPERLINK("https://www.philgeps.gov.ph/GEPSNONPILOT/Tender/SplashBidNoticeAbstractUI.aspx?menuIndex=3&amp;refID=7127903&amp;Result=3","7127903")</f>
        <v>0</v>
      </c>
      <c r="B14082" t="s">
        <v>2054</v>
      </c>
      <c r="C14082" t="s">
        <v>17205</v>
      </c>
      <c r="D14082" t="s">
        <v>19023</v>
      </c>
      <c r="E14082" t="s">
        <v>31156</v>
      </c>
      <c r="F14082" t="s">
        <v>32831</v>
      </c>
      <c r="G14082" t="s">
        <v>32839</v>
      </c>
      <c r="H14082" t="s">
        <v>32848</v>
      </c>
      <c r="I14082" t="s">
        <v>32930</v>
      </c>
      <c r="J14082" t="s">
        <v>33108</v>
      </c>
      <c r="K14082" t="s">
        <v>42731</v>
      </c>
      <c r="M14082" t="s">
        <v>45224</v>
      </c>
      <c r="N14082" t="s">
        <v>47424</v>
      </c>
      <c r="O14082" t="s">
        <v>47425</v>
      </c>
      <c r="P14082">
        <v>0</v>
      </c>
      <c r="Q14082">
        <v>9</v>
      </c>
      <c r="R14082" t="s">
        <v>47445</v>
      </c>
      <c r="S14082" t="s">
        <v>48250</v>
      </c>
      <c r="T14082" t="s">
        <v>49166</v>
      </c>
      <c r="U14082" t="s">
        <v>61129</v>
      </c>
      <c r="W14082" t="s">
        <v>45224</v>
      </c>
      <c r="X14082" t="s">
        <v>47446</v>
      </c>
    </row>
    <row r="14083" spans="1:24">
      <c r="A14083">
        <f>HYPERLINK("https://www.philgeps.gov.ph/GEPSNONPILOT/Tender/SplashBidNoticeAbstractUI.aspx?menuIndex=3&amp;refID=7127861&amp;Result=3","7127861")</f>
        <v>0</v>
      </c>
      <c r="B14083" t="s">
        <v>2807</v>
      </c>
      <c r="C14083" t="s">
        <v>17206</v>
      </c>
      <c r="D14083" t="s">
        <v>19037</v>
      </c>
      <c r="E14083" t="s">
        <v>31157</v>
      </c>
      <c r="F14083" t="s">
        <v>32831</v>
      </c>
      <c r="G14083" t="s">
        <v>32839</v>
      </c>
      <c r="H14083" t="s">
        <v>32848</v>
      </c>
      <c r="I14083" t="s">
        <v>9577</v>
      </c>
      <c r="J14083" t="s">
        <v>41556</v>
      </c>
      <c r="K14083" t="s">
        <v>42730</v>
      </c>
      <c r="M14083" t="s">
        <v>46037</v>
      </c>
      <c r="N14083" t="s">
        <v>47424</v>
      </c>
      <c r="O14083" t="s">
        <v>47425</v>
      </c>
      <c r="P14083">
        <v>0</v>
      </c>
      <c r="Q14083">
        <v>2</v>
      </c>
      <c r="R14083" t="s">
        <v>47445</v>
      </c>
      <c r="S14083" t="s">
        <v>48250</v>
      </c>
      <c r="T14083" t="s">
        <v>49214</v>
      </c>
      <c r="U14083" t="s">
        <v>61130</v>
      </c>
      <c r="W14083" t="s">
        <v>46037</v>
      </c>
      <c r="X14083" t="s">
        <v>47446</v>
      </c>
    </row>
    <row r="14084" spans="1:24">
      <c r="A14084">
        <f>HYPERLINK("https://www.philgeps.gov.ph/GEPSNONPILOT/Tender/SplashBidNoticeAbstractUI.aspx?menuIndex=3&amp;refID=7127848&amp;Result=3","7127848")</f>
        <v>0</v>
      </c>
      <c r="B14084" t="s">
        <v>1137</v>
      </c>
      <c r="C14084" t="s">
        <v>17207</v>
      </c>
      <c r="D14084" t="s">
        <v>19020</v>
      </c>
      <c r="E14084" t="s">
        <v>31158</v>
      </c>
      <c r="F14084" t="s">
        <v>32831</v>
      </c>
      <c r="G14084" t="s">
        <v>32839</v>
      </c>
      <c r="H14084" t="s">
        <v>32849</v>
      </c>
      <c r="I14084" t="s">
        <v>4177</v>
      </c>
      <c r="J14084" t="s">
        <v>41557</v>
      </c>
      <c r="K14084" t="s">
        <v>42732</v>
      </c>
      <c r="M14084" t="s">
        <v>44200</v>
      </c>
      <c r="N14084" t="s">
        <v>47424</v>
      </c>
      <c r="O14084" t="s">
        <v>47425</v>
      </c>
      <c r="P14084">
        <v>0</v>
      </c>
      <c r="Q14084">
        <v>0</v>
      </c>
      <c r="R14084" t="s">
        <v>47445</v>
      </c>
      <c r="S14084" t="s">
        <v>48250</v>
      </c>
      <c r="T14084" t="s">
        <v>49166</v>
      </c>
      <c r="U14084" t="s">
        <v>61131</v>
      </c>
      <c r="W14084" t="s">
        <v>44200</v>
      </c>
      <c r="X14084" t="s">
        <v>47446</v>
      </c>
    </row>
    <row r="14085" spans="1:24">
      <c r="A14085">
        <f>HYPERLINK("https://www.philgeps.gov.ph/GEPSNONPILOT/Tender/SplashBidNoticeAbstractUI.aspx?menuIndex=3&amp;refID=7127850&amp;Result=3","7127850")</f>
        <v>0</v>
      </c>
      <c r="B14085" t="s">
        <v>3757</v>
      </c>
      <c r="C14085" t="s">
        <v>17208</v>
      </c>
      <c r="D14085" t="s">
        <v>19044</v>
      </c>
      <c r="E14085" t="s">
        <v>31159</v>
      </c>
      <c r="F14085" t="s">
        <v>32831</v>
      </c>
      <c r="G14085" t="s">
        <v>32839</v>
      </c>
      <c r="H14085" t="s">
        <v>32849</v>
      </c>
      <c r="I14085" t="s">
        <v>4177</v>
      </c>
      <c r="J14085" t="s">
        <v>41558</v>
      </c>
      <c r="K14085" t="s">
        <v>42859</v>
      </c>
      <c r="M14085" t="s">
        <v>47190</v>
      </c>
      <c r="N14085" t="s">
        <v>47424</v>
      </c>
      <c r="O14085" t="s">
        <v>47425</v>
      </c>
      <c r="P14085">
        <v>0</v>
      </c>
      <c r="Q14085">
        <v>1</v>
      </c>
      <c r="R14085" t="s">
        <v>47445</v>
      </c>
      <c r="S14085" t="s">
        <v>48250</v>
      </c>
      <c r="T14085" t="s">
        <v>49330</v>
      </c>
      <c r="U14085" t="s">
        <v>61091</v>
      </c>
      <c r="W14085" t="s">
        <v>47190</v>
      </c>
      <c r="X14085" t="s">
        <v>47446</v>
      </c>
    </row>
    <row r="14086" spans="1:24">
      <c r="A14086">
        <f>HYPERLINK("https://www.philgeps.gov.ph/GEPSNONPILOT/Tender/SplashBidNoticeAbstractUI.aspx?menuIndex=3&amp;refID=7128041&amp;Result=3","7128041")</f>
        <v>0</v>
      </c>
      <c r="B14086" t="s">
        <v>3470</v>
      </c>
      <c r="C14086" t="s">
        <v>17209</v>
      </c>
      <c r="D14086" t="s">
        <v>19074</v>
      </c>
      <c r="E14086" t="s">
        <v>31160</v>
      </c>
      <c r="F14086" t="s">
        <v>32831</v>
      </c>
      <c r="G14086" t="s">
        <v>32838</v>
      </c>
      <c r="H14086" t="s">
        <v>32849</v>
      </c>
      <c r="I14086" t="s">
        <v>4177</v>
      </c>
      <c r="J14086" t="s">
        <v>41559</v>
      </c>
      <c r="K14086" t="s">
        <v>42729</v>
      </c>
      <c r="M14086" t="s">
        <v>46814</v>
      </c>
      <c r="N14086" t="s">
        <v>47424</v>
      </c>
      <c r="O14086" t="s">
        <v>47425</v>
      </c>
      <c r="P14086">
        <v>0</v>
      </c>
      <c r="Q14086">
        <v>2</v>
      </c>
      <c r="R14086" t="s">
        <v>47445</v>
      </c>
      <c r="S14086" t="s">
        <v>48250</v>
      </c>
      <c r="T14086" t="s">
        <v>49214</v>
      </c>
      <c r="U14086" t="s">
        <v>61132</v>
      </c>
      <c r="W14086" t="s">
        <v>46814</v>
      </c>
      <c r="X14086" t="s">
        <v>47446</v>
      </c>
    </row>
    <row r="14087" spans="1:24">
      <c r="A14087">
        <f>HYPERLINK("https://www.philgeps.gov.ph/GEPSNONPILOT/Tender/SplashBidNoticeAbstractUI.aspx?menuIndex=3&amp;refID=7126937&amp;Result=3","7126937")</f>
        <v>0</v>
      </c>
      <c r="B14087" t="s">
        <v>1268</v>
      </c>
      <c r="C14087" t="s">
        <v>17210</v>
      </c>
      <c r="D14087" t="s">
        <v>19061</v>
      </c>
      <c r="E14087" t="s">
        <v>31161</v>
      </c>
      <c r="F14087" t="s">
        <v>32831</v>
      </c>
      <c r="G14087" t="s">
        <v>32839</v>
      </c>
      <c r="H14087" t="s">
        <v>32850</v>
      </c>
      <c r="I14087" t="s">
        <v>4776</v>
      </c>
      <c r="J14087" t="s">
        <v>33241</v>
      </c>
      <c r="K14087" t="s">
        <v>42730</v>
      </c>
      <c r="M14087" t="s">
        <v>44338</v>
      </c>
      <c r="N14087" t="s">
        <v>47424</v>
      </c>
      <c r="O14087" t="s">
        <v>47425</v>
      </c>
      <c r="P14087">
        <v>0</v>
      </c>
      <c r="Q14087">
        <v>4</v>
      </c>
      <c r="R14087" t="s">
        <v>47445</v>
      </c>
      <c r="S14087" t="s">
        <v>48250</v>
      </c>
      <c r="T14087" t="s">
        <v>49070</v>
      </c>
      <c r="U14087" t="s">
        <v>61133</v>
      </c>
      <c r="W14087" t="s">
        <v>44338</v>
      </c>
      <c r="X14087" t="s">
        <v>47446</v>
      </c>
    </row>
    <row r="14088" spans="1:24">
      <c r="A14088">
        <f>HYPERLINK("https://www.philgeps.gov.ph/GEPSNONPILOT/Tender/SplashBidNoticeAbstractUI.aspx?menuIndex=3&amp;refID=7128040&amp;Result=3","7128040")</f>
        <v>0</v>
      </c>
      <c r="B14088" t="s">
        <v>2029</v>
      </c>
      <c r="C14088" t="s">
        <v>17211</v>
      </c>
      <c r="D14088" t="s">
        <v>19067</v>
      </c>
      <c r="E14088" t="s">
        <v>31162</v>
      </c>
      <c r="F14088" t="s">
        <v>32831</v>
      </c>
      <c r="G14088" t="s">
        <v>32839</v>
      </c>
      <c r="H14088" t="s">
        <v>32849</v>
      </c>
      <c r="I14088" t="s">
        <v>4177</v>
      </c>
      <c r="J14088" t="s">
        <v>33083</v>
      </c>
      <c r="K14088" t="s">
        <v>42729</v>
      </c>
      <c r="M14088" t="s">
        <v>47181</v>
      </c>
      <c r="N14088" t="s">
        <v>47424</v>
      </c>
      <c r="O14088" t="s">
        <v>47425</v>
      </c>
      <c r="P14088">
        <v>0</v>
      </c>
      <c r="Q14088">
        <v>0</v>
      </c>
      <c r="R14088" t="s">
        <v>47445</v>
      </c>
      <c r="S14088" t="s">
        <v>48250</v>
      </c>
      <c r="T14088" t="s">
        <v>49237</v>
      </c>
      <c r="U14088" t="s">
        <v>61134</v>
      </c>
      <c r="W14088" t="s">
        <v>47181</v>
      </c>
      <c r="X14088" t="s">
        <v>47446</v>
      </c>
    </row>
    <row r="14089" spans="1:24">
      <c r="A14089">
        <f>HYPERLINK("https://www.philgeps.gov.ph/GEPSNONPILOT/Tender/SplashBidNoticeAbstractUI.aspx?menuIndex=3&amp;refID=7128027&amp;Result=3","7128027")</f>
        <v>0</v>
      </c>
      <c r="B14089" t="s">
        <v>3757</v>
      </c>
      <c r="C14089" t="s">
        <v>17212</v>
      </c>
      <c r="D14089" t="s">
        <v>19044</v>
      </c>
      <c r="E14089" t="s">
        <v>31163</v>
      </c>
      <c r="F14089" t="s">
        <v>32831</v>
      </c>
      <c r="G14089" t="s">
        <v>32839</v>
      </c>
      <c r="H14089" t="s">
        <v>32849</v>
      </c>
      <c r="I14089" t="s">
        <v>4177</v>
      </c>
      <c r="J14089" t="s">
        <v>38388</v>
      </c>
      <c r="K14089" t="s">
        <v>42979</v>
      </c>
      <c r="M14089" t="s">
        <v>47190</v>
      </c>
      <c r="N14089" t="s">
        <v>47424</v>
      </c>
      <c r="O14089" t="s">
        <v>47425</v>
      </c>
      <c r="P14089">
        <v>0</v>
      </c>
      <c r="Q14089">
        <v>0</v>
      </c>
      <c r="R14089" t="s">
        <v>47445</v>
      </c>
      <c r="S14089" t="s">
        <v>48250</v>
      </c>
      <c r="T14089" t="s">
        <v>49330</v>
      </c>
      <c r="U14089" t="s">
        <v>60900</v>
      </c>
      <c r="W14089" t="s">
        <v>47190</v>
      </c>
      <c r="X14089" t="s">
        <v>47446</v>
      </c>
    </row>
    <row r="14090" spans="1:24">
      <c r="A14090">
        <f>HYPERLINK("https://www.philgeps.gov.ph/GEPSNONPILOT/Tender/SplashBidNoticeAbstractUI.aspx?menuIndex=3&amp;refID=7127964&amp;Result=3","7127964")</f>
        <v>0</v>
      </c>
      <c r="B14090" t="s">
        <v>2807</v>
      </c>
      <c r="C14090" t="s">
        <v>17213</v>
      </c>
      <c r="D14090" t="s">
        <v>19037</v>
      </c>
      <c r="E14090" t="s">
        <v>31164</v>
      </c>
      <c r="F14090" t="s">
        <v>32831</v>
      </c>
      <c r="G14090" t="s">
        <v>32839</v>
      </c>
      <c r="H14090" t="s">
        <v>32849</v>
      </c>
      <c r="I14090" t="s">
        <v>4177</v>
      </c>
      <c r="J14090" t="s">
        <v>41560</v>
      </c>
      <c r="K14090" t="s">
        <v>42757</v>
      </c>
      <c r="M14090" t="s">
        <v>46037</v>
      </c>
      <c r="N14090" t="s">
        <v>47424</v>
      </c>
      <c r="O14090" t="s">
        <v>47425</v>
      </c>
      <c r="Q14090">
        <v>13</v>
      </c>
      <c r="R14090" t="s">
        <v>47445</v>
      </c>
      <c r="S14090" t="s">
        <v>48309</v>
      </c>
      <c r="T14090" t="s">
        <v>49214</v>
      </c>
      <c r="U14090" t="s">
        <v>61135</v>
      </c>
      <c r="W14090" t="s">
        <v>46037</v>
      </c>
      <c r="X14090" t="s">
        <v>47446</v>
      </c>
    </row>
    <row r="14091" spans="1:24">
      <c r="A14091">
        <f>HYPERLINK("https://www.philgeps.gov.ph/GEPSNONPILOT/Tender/SplashBidNoticeAbstractUI.aspx?menuIndex=3&amp;refID=7126661&amp;Result=3","7126661")</f>
        <v>0</v>
      </c>
      <c r="B14091" t="s">
        <v>2168</v>
      </c>
      <c r="C14091" t="s">
        <v>17214</v>
      </c>
      <c r="D14091" t="s">
        <v>19045</v>
      </c>
      <c r="E14091" t="s">
        <v>31165</v>
      </c>
      <c r="F14091" t="s">
        <v>32831</v>
      </c>
      <c r="G14091" t="s">
        <v>32839</v>
      </c>
      <c r="H14091" t="s">
        <v>32849</v>
      </c>
      <c r="I14091" t="s">
        <v>4177</v>
      </c>
      <c r="J14091" t="s">
        <v>41458</v>
      </c>
      <c r="K14091" t="s">
        <v>42729</v>
      </c>
      <c r="M14091" t="s">
        <v>45346</v>
      </c>
      <c r="N14091" t="s">
        <v>47424</v>
      </c>
      <c r="O14091" t="s">
        <v>47425</v>
      </c>
      <c r="P14091">
        <v>0</v>
      </c>
      <c r="Q14091">
        <v>2</v>
      </c>
      <c r="R14091" t="s">
        <v>47445</v>
      </c>
      <c r="S14091" t="s">
        <v>48250</v>
      </c>
      <c r="T14091" t="s">
        <v>49141</v>
      </c>
      <c r="U14091" t="s">
        <v>61004</v>
      </c>
      <c r="W14091" t="s">
        <v>45346</v>
      </c>
      <c r="X14091" t="s">
        <v>47446</v>
      </c>
    </row>
    <row r="14092" spans="1:24">
      <c r="A14092">
        <f>HYPERLINK("https://www.philgeps.gov.ph/GEPSNONPILOT/Tender/SplashBidNoticeAbstractUI.aspx?menuIndex=3&amp;refID=7128014&amp;Result=3","7128014")</f>
        <v>0</v>
      </c>
      <c r="B14092" t="s">
        <v>1927</v>
      </c>
      <c r="C14092" t="s">
        <v>17215</v>
      </c>
      <c r="D14092" t="s">
        <v>19018</v>
      </c>
      <c r="E14092" t="s">
        <v>31166</v>
      </c>
      <c r="F14092" t="s">
        <v>32831</v>
      </c>
      <c r="G14092" t="s">
        <v>32839</v>
      </c>
      <c r="H14092" t="s">
        <v>32849</v>
      </c>
      <c r="I14092" t="s">
        <v>4177</v>
      </c>
      <c r="J14092" t="s">
        <v>38556</v>
      </c>
      <c r="K14092" t="s">
        <v>42732</v>
      </c>
      <c r="L14092" t="s">
        <v>1927</v>
      </c>
      <c r="M14092" t="s">
        <v>46156</v>
      </c>
      <c r="N14092" t="s">
        <v>47424</v>
      </c>
      <c r="O14092" t="s">
        <v>47425</v>
      </c>
      <c r="P14092">
        <v>0</v>
      </c>
      <c r="Q14092">
        <v>1</v>
      </c>
      <c r="R14092" t="s">
        <v>47445</v>
      </c>
      <c r="S14092" t="s">
        <v>48250</v>
      </c>
      <c r="T14092" t="s">
        <v>49056</v>
      </c>
      <c r="U14092" t="s">
        <v>61124</v>
      </c>
      <c r="V14092" t="s">
        <v>63616</v>
      </c>
      <c r="W14092" t="s">
        <v>46156</v>
      </c>
      <c r="X14092" t="s">
        <v>47446</v>
      </c>
    </row>
    <row r="14093" spans="1:24">
      <c r="A14093">
        <f>HYPERLINK("https://www.philgeps.gov.ph/GEPSNONPILOT/Tender/SplashBidNoticeAbstractUI.aspx?menuIndex=3&amp;refID=7128043&amp;Result=3","7128043")</f>
        <v>0</v>
      </c>
      <c r="B14093" t="s">
        <v>1691</v>
      </c>
      <c r="C14093" t="s">
        <v>17216</v>
      </c>
      <c r="D14093" t="s">
        <v>19082</v>
      </c>
      <c r="E14093" t="s">
        <v>31167</v>
      </c>
      <c r="F14093" t="s">
        <v>32831</v>
      </c>
      <c r="G14093" t="s">
        <v>32839</v>
      </c>
      <c r="H14093" t="s">
        <v>32848</v>
      </c>
      <c r="I14093" t="s">
        <v>7416</v>
      </c>
      <c r="J14093" t="s">
        <v>41561</v>
      </c>
      <c r="K14093" t="s">
        <v>42730</v>
      </c>
      <c r="M14093" t="s">
        <v>44811</v>
      </c>
      <c r="N14093" t="s">
        <v>47424</v>
      </c>
      <c r="O14093" t="s">
        <v>47425</v>
      </c>
      <c r="P14093">
        <v>0</v>
      </c>
      <c r="Q14093">
        <v>0</v>
      </c>
      <c r="R14093" t="s">
        <v>47445</v>
      </c>
      <c r="S14093" t="s">
        <v>48250</v>
      </c>
      <c r="T14093" t="s">
        <v>49114</v>
      </c>
      <c r="U14093" t="s">
        <v>61136</v>
      </c>
      <c r="W14093" t="s">
        <v>44811</v>
      </c>
      <c r="X14093" t="s">
        <v>47446</v>
      </c>
    </row>
    <row r="14094" spans="1:24">
      <c r="A14094">
        <f>HYPERLINK("https://www.philgeps.gov.ph/GEPSNONPILOT/Tender/SplashBidNoticeAbstractUI.aspx?menuIndex=3&amp;refID=7128026&amp;Result=3","7128026")</f>
        <v>0</v>
      </c>
      <c r="B14094" t="s">
        <v>1162</v>
      </c>
      <c r="C14094" t="s">
        <v>17217</v>
      </c>
      <c r="D14094" t="s">
        <v>19050</v>
      </c>
      <c r="E14094" t="s">
        <v>31168</v>
      </c>
      <c r="F14094" t="s">
        <v>32831</v>
      </c>
      <c r="G14094" t="s">
        <v>32839</v>
      </c>
      <c r="H14094" t="s">
        <v>32848</v>
      </c>
      <c r="I14094" t="s">
        <v>4487</v>
      </c>
      <c r="J14094" t="s">
        <v>33257</v>
      </c>
      <c r="K14094" t="s">
        <v>42730</v>
      </c>
      <c r="M14094" t="s">
        <v>46128</v>
      </c>
      <c r="N14094" t="s">
        <v>47424</v>
      </c>
      <c r="O14094" t="s">
        <v>47425</v>
      </c>
      <c r="P14094">
        <v>0</v>
      </c>
      <c r="Q14094">
        <v>2</v>
      </c>
      <c r="R14094" t="s">
        <v>47445</v>
      </c>
      <c r="S14094" t="s">
        <v>48250</v>
      </c>
      <c r="T14094" t="s">
        <v>49229</v>
      </c>
      <c r="U14094" t="s">
        <v>61137</v>
      </c>
      <c r="W14094" t="s">
        <v>46128</v>
      </c>
      <c r="X14094" t="s">
        <v>47446</v>
      </c>
    </row>
    <row r="14095" spans="1:24">
      <c r="A14095">
        <f>HYPERLINK("https://www.philgeps.gov.ph/GEPSNONPILOT/Tender/SplashBidNoticeAbstractUI.aspx?menuIndex=3&amp;refID=7128030&amp;Result=3","7128030")</f>
        <v>0</v>
      </c>
      <c r="B14095" t="s">
        <v>1233</v>
      </c>
      <c r="C14095" t="s">
        <v>17218</v>
      </c>
      <c r="D14095" t="s">
        <v>19036</v>
      </c>
      <c r="E14095" t="s">
        <v>31169</v>
      </c>
      <c r="F14095" t="s">
        <v>32831</v>
      </c>
      <c r="G14095" t="s">
        <v>32839</v>
      </c>
      <c r="H14095" t="s">
        <v>32848</v>
      </c>
      <c r="I14095" t="s">
        <v>7416</v>
      </c>
      <c r="J14095" t="s">
        <v>41562</v>
      </c>
      <c r="K14095" t="s">
        <v>42791</v>
      </c>
      <c r="M14095" t="s">
        <v>44302</v>
      </c>
      <c r="N14095" t="s">
        <v>47424</v>
      </c>
      <c r="O14095" t="s">
        <v>47425</v>
      </c>
      <c r="P14095">
        <v>0</v>
      </c>
      <c r="Q14095">
        <v>0</v>
      </c>
      <c r="R14095" t="s">
        <v>47445</v>
      </c>
      <c r="S14095" t="s">
        <v>48250</v>
      </c>
      <c r="T14095" t="s">
        <v>49108</v>
      </c>
      <c r="U14095" t="s">
        <v>61138</v>
      </c>
      <c r="W14095" t="s">
        <v>44302</v>
      </c>
      <c r="X14095" t="s">
        <v>47446</v>
      </c>
    </row>
    <row r="14096" spans="1:24">
      <c r="A14096">
        <f>HYPERLINK("https://www.philgeps.gov.ph/GEPSNONPILOT/Tender/SplashBidNoticeAbstractUI.aspx?menuIndex=3&amp;refID=7128039&amp;Result=3","7128039")</f>
        <v>0</v>
      </c>
      <c r="B14096" t="s">
        <v>3357</v>
      </c>
      <c r="C14096" t="s">
        <v>17219</v>
      </c>
      <c r="D14096" t="s">
        <v>19054</v>
      </c>
      <c r="E14096" t="s">
        <v>31170</v>
      </c>
      <c r="F14096" t="s">
        <v>32831</v>
      </c>
      <c r="G14096" t="s">
        <v>32839</v>
      </c>
      <c r="H14096" t="s">
        <v>32848</v>
      </c>
      <c r="I14096" t="s">
        <v>7416</v>
      </c>
      <c r="J14096" t="s">
        <v>41563</v>
      </c>
      <c r="K14096" t="s">
        <v>42727</v>
      </c>
      <c r="M14096" t="s">
        <v>47178</v>
      </c>
      <c r="N14096" t="s">
        <v>47424</v>
      </c>
      <c r="O14096" t="s">
        <v>47425</v>
      </c>
      <c r="P14096">
        <v>0</v>
      </c>
      <c r="Q14096">
        <v>0</v>
      </c>
      <c r="R14096" t="s">
        <v>47445</v>
      </c>
      <c r="S14096" t="s">
        <v>48250</v>
      </c>
      <c r="T14096" t="s">
        <v>49151</v>
      </c>
      <c r="U14096" t="s">
        <v>61117</v>
      </c>
      <c r="W14096" t="s">
        <v>47178</v>
      </c>
      <c r="X14096" t="s">
        <v>47446</v>
      </c>
    </row>
    <row r="14097" spans="1:24">
      <c r="A14097">
        <f>HYPERLINK("https://www.philgeps.gov.ph/GEPSNONPILOT/Tender/SplashBidNoticeAbstractUI.aspx?menuIndex=3&amp;refID=7128013&amp;Result=3","7128013")</f>
        <v>0</v>
      </c>
      <c r="B14097" t="s">
        <v>2996</v>
      </c>
      <c r="C14097" t="s">
        <v>17220</v>
      </c>
      <c r="D14097" t="s">
        <v>19056</v>
      </c>
      <c r="E14097" t="s">
        <v>31171</v>
      </c>
      <c r="F14097" t="s">
        <v>32831</v>
      </c>
      <c r="G14097" t="s">
        <v>32839</v>
      </c>
      <c r="H14097" t="s">
        <v>32849</v>
      </c>
      <c r="I14097" t="s">
        <v>4177</v>
      </c>
      <c r="J14097" t="s">
        <v>33087</v>
      </c>
      <c r="K14097" t="s">
        <v>42747</v>
      </c>
      <c r="M14097" t="s">
        <v>46262</v>
      </c>
      <c r="N14097" t="s">
        <v>47424</v>
      </c>
      <c r="O14097" t="s">
        <v>47425</v>
      </c>
      <c r="P14097">
        <v>0</v>
      </c>
      <c r="Q14097">
        <v>3</v>
      </c>
      <c r="R14097" t="s">
        <v>47445</v>
      </c>
      <c r="S14097" t="s">
        <v>48250</v>
      </c>
      <c r="T14097" t="s">
        <v>49166</v>
      </c>
      <c r="U14097" t="s">
        <v>61139</v>
      </c>
      <c r="W14097" t="s">
        <v>46262</v>
      </c>
      <c r="X14097" t="s">
        <v>47446</v>
      </c>
    </row>
    <row r="14098" spans="1:24">
      <c r="A14098">
        <f>HYPERLINK("https://www.philgeps.gov.ph/GEPSNONPILOT/Tender/SplashBidNoticeAbstractUI.aspx?menuIndex=3&amp;refID=7128160&amp;Result=3","7128160")</f>
        <v>0</v>
      </c>
      <c r="B14098" t="s">
        <v>1130</v>
      </c>
      <c r="C14098" t="s">
        <v>17221</v>
      </c>
      <c r="D14098" t="s">
        <v>19045</v>
      </c>
      <c r="E14098" t="s">
        <v>31172</v>
      </c>
      <c r="F14098" t="s">
        <v>32831</v>
      </c>
      <c r="G14098" t="s">
        <v>32839</v>
      </c>
      <c r="H14098" t="s">
        <v>32848</v>
      </c>
      <c r="I14098" t="s">
        <v>4558</v>
      </c>
      <c r="J14098" t="s">
        <v>41564</v>
      </c>
      <c r="K14098" t="s">
        <v>42730</v>
      </c>
      <c r="M14098" t="s">
        <v>45442</v>
      </c>
      <c r="N14098" t="s">
        <v>47424</v>
      </c>
      <c r="O14098" t="s">
        <v>47425</v>
      </c>
      <c r="P14098">
        <v>0</v>
      </c>
      <c r="Q14098">
        <v>0</v>
      </c>
      <c r="R14098" t="s">
        <v>47445</v>
      </c>
      <c r="S14098" t="s">
        <v>48250</v>
      </c>
      <c r="T14098" t="s">
        <v>49237</v>
      </c>
      <c r="U14098" t="s">
        <v>61140</v>
      </c>
      <c r="V14098" t="s">
        <v>64230</v>
      </c>
      <c r="W14098" t="s">
        <v>45442</v>
      </c>
      <c r="X14098" t="s">
        <v>47446</v>
      </c>
    </row>
    <row r="14099" spans="1:24">
      <c r="A14099">
        <f>HYPERLINK("https://www.philgeps.gov.ph/GEPSNONPILOT/Tender/SplashBidNoticeAbstractUI.aspx?menuIndex=3&amp;refID=7128159&amp;Result=3","7128159")</f>
        <v>0</v>
      </c>
      <c r="B14099" t="s">
        <v>1677</v>
      </c>
      <c r="C14099" t="s">
        <v>17222</v>
      </c>
      <c r="E14099" t="s">
        <v>27924</v>
      </c>
      <c r="F14099" t="s">
        <v>32831</v>
      </c>
      <c r="G14099" t="s">
        <v>32839</v>
      </c>
      <c r="H14099" t="s">
        <v>32849</v>
      </c>
      <c r="I14099" t="s">
        <v>4177</v>
      </c>
      <c r="J14099" t="s">
        <v>32978</v>
      </c>
      <c r="K14099" t="s">
        <v>42729</v>
      </c>
      <c r="M14099" t="s">
        <v>44802</v>
      </c>
      <c r="N14099" t="s">
        <v>47424</v>
      </c>
      <c r="O14099" t="s">
        <v>47425</v>
      </c>
      <c r="P14099">
        <v>0</v>
      </c>
      <c r="Q14099">
        <v>1</v>
      </c>
      <c r="R14099" t="s">
        <v>47445</v>
      </c>
      <c r="S14099" t="s">
        <v>48250</v>
      </c>
      <c r="T14099" t="s">
        <v>49056</v>
      </c>
      <c r="U14099" t="s">
        <v>61121</v>
      </c>
      <c r="W14099" t="s">
        <v>44795</v>
      </c>
      <c r="X14099" t="s">
        <v>47446</v>
      </c>
    </row>
    <row r="14100" spans="1:24">
      <c r="A14100">
        <f>HYPERLINK("https://www.philgeps.gov.ph/GEPSNONPILOT/Tender/SplashBidNoticeAbstractUI.aspx?menuIndex=3&amp;refID=7128006&amp;Result=3","7128006")</f>
        <v>0</v>
      </c>
      <c r="B14100" t="s">
        <v>755</v>
      </c>
      <c r="C14100" t="s">
        <v>17223</v>
      </c>
      <c r="E14100" t="s">
        <v>31173</v>
      </c>
      <c r="F14100" t="s">
        <v>32831</v>
      </c>
      <c r="G14100" t="s">
        <v>32839</v>
      </c>
      <c r="H14100" t="s">
        <v>32848</v>
      </c>
      <c r="I14100" t="s">
        <v>32882</v>
      </c>
      <c r="J14100" t="s">
        <v>41565</v>
      </c>
      <c r="K14100" t="s">
        <v>42732</v>
      </c>
      <c r="M14100" t="s">
        <v>45605</v>
      </c>
      <c r="N14100" t="s">
        <v>47424</v>
      </c>
      <c r="O14100" t="s">
        <v>47425</v>
      </c>
      <c r="Q14100">
        <v>9</v>
      </c>
      <c r="R14100" t="s">
        <v>47445</v>
      </c>
      <c r="S14100" t="s">
        <v>48310</v>
      </c>
      <c r="T14100" t="s">
        <v>49150</v>
      </c>
      <c r="U14100" t="s">
        <v>61141</v>
      </c>
      <c r="W14100" t="s">
        <v>45605</v>
      </c>
      <c r="X14100" t="s">
        <v>47446</v>
      </c>
    </row>
    <row r="14101" spans="1:24">
      <c r="A14101">
        <f>HYPERLINK("https://www.philgeps.gov.ph/GEPSNONPILOT/Tender/SplashBidNoticeAbstractUI.aspx?menuIndex=3&amp;refID=7128149&amp;Result=3","7128149")</f>
        <v>0</v>
      </c>
      <c r="B14101" t="s">
        <v>2996</v>
      </c>
      <c r="C14101" t="s">
        <v>17224</v>
      </c>
      <c r="D14101" t="s">
        <v>19056</v>
      </c>
      <c r="E14101" t="s">
        <v>31174</v>
      </c>
      <c r="F14101" t="s">
        <v>32831</v>
      </c>
      <c r="G14101" t="s">
        <v>32839</v>
      </c>
      <c r="H14101" t="s">
        <v>32849</v>
      </c>
      <c r="I14101" t="s">
        <v>4177</v>
      </c>
      <c r="J14101" t="s">
        <v>33083</v>
      </c>
      <c r="K14101" t="s">
        <v>42763</v>
      </c>
      <c r="M14101" t="s">
        <v>46262</v>
      </c>
      <c r="N14101" t="s">
        <v>47424</v>
      </c>
      <c r="O14101" t="s">
        <v>47425</v>
      </c>
      <c r="P14101">
        <v>0</v>
      </c>
      <c r="Q14101">
        <v>2</v>
      </c>
      <c r="R14101" t="s">
        <v>47445</v>
      </c>
      <c r="S14101" t="s">
        <v>48250</v>
      </c>
      <c r="T14101" t="s">
        <v>49166</v>
      </c>
      <c r="U14101" t="s">
        <v>61142</v>
      </c>
      <c r="W14101" t="s">
        <v>46262</v>
      </c>
      <c r="X14101" t="s">
        <v>47446</v>
      </c>
    </row>
    <row r="14102" spans="1:24">
      <c r="A14102">
        <f>HYPERLINK("https://www.philgeps.gov.ph/GEPSNONPILOT/Tender/SplashBidNoticeAbstractUI.aspx?menuIndex=3&amp;refID=7128142&amp;Result=3","7128142")</f>
        <v>0</v>
      </c>
      <c r="B14102" t="s">
        <v>1927</v>
      </c>
      <c r="C14102" t="s">
        <v>17225</v>
      </c>
      <c r="D14102" t="s">
        <v>19018</v>
      </c>
      <c r="E14102" t="s">
        <v>31175</v>
      </c>
      <c r="F14102" t="s">
        <v>32831</v>
      </c>
      <c r="G14102" t="s">
        <v>32839</v>
      </c>
      <c r="H14102" t="s">
        <v>32848</v>
      </c>
      <c r="I14102" t="s">
        <v>32870</v>
      </c>
      <c r="J14102" t="s">
        <v>41566</v>
      </c>
      <c r="K14102" t="s">
        <v>42732</v>
      </c>
      <c r="L14102" t="s">
        <v>1927</v>
      </c>
      <c r="M14102" t="s">
        <v>45080</v>
      </c>
      <c r="N14102" t="s">
        <v>47424</v>
      </c>
      <c r="O14102" t="s">
        <v>47425</v>
      </c>
      <c r="P14102">
        <v>0</v>
      </c>
      <c r="Q14102">
        <v>0</v>
      </c>
      <c r="R14102" t="s">
        <v>47445</v>
      </c>
      <c r="S14102" t="s">
        <v>48250</v>
      </c>
      <c r="T14102" t="s">
        <v>49056</v>
      </c>
      <c r="U14102" t="s">
        <v>61143</v>
      </c>
      <c r="W14102" t="s">
        <v>45080</v>
      </c>
      <c r="X14102" t="s">
        <v>47446</v>
      </c>
    </row>
    <row r="14103" spans="1:24">
      <c r="A14103">
        <f>HYPERLINK("https://www.philgeps.gov.ph/GEPSNONPILOT/Tender/SplashBidNoticeAbstractUI.aspx?menuIndex=3&amp;refID=7128020&amp;Result=3","7128020")</f>
        <v>0</v>
      </c>
      <c r="B14103" t="s">
        <v>1677</v>
      </c>
      <c r="C14103" t="s">
        <v>17226</v>
      </c>
      <c r="E14103" t="s">
        <v>19609</v>
      </c>
      <c r="F14103" t="s">
        <v>32831</v>
      </c>
      <c r="G14103" t="s">
        <v>32839</v>
      </c>
      <c r="H14103" t="s">
        <v>32849</v>
      </c>
      <c r="I14103" t="s">
        <v>4177</v>
      </c>
      <c r="J14103" t="s">
        <v>33528</v>
      </c>
      <c r="K14103" t="s">
        <v>42780</v>
      </c>
      <c r="M14103" t="s">
        <v>44802</v>
      </c>
      <c r="N14103" t="s">
        <v>47424</v>
      </c>
      <c r="O14103" t="s">
        <v>47425</v>
      </c>
      <c r="P14103">
        <v>0</v>
      </c>
      <c r="Q14103">
        <v>1</v>
      </c>
      <c r="R14103" t="s">
        <v>47445</v>
      </c>
      <c r="S14103" t="s">
        <v>48250</v>
      </c>
      <c r="T14103" t="s">
        <v>49056</v>
      </c>
      <c r="U14103" t="s">
        <v>61121</v>
      </c>
      <c r="W14103" t="s">
        <v>44795</v>
      </c>
      <c r="X14103" t="s">
        <v>47446</v>
      </c>
    </row>
    <row r="14104" spans="1:24">
      <c r="A14104">
        <f>HYPERLINK("https://www.philgeps.gov.ph/GEPSNONPILOT/Tender/SplashBidNoticeAbstractUI.aspx?menuIndex=3&amp;refID=7128144&amp;Result=3","7128144")</f>
        <v>0</v>
      </c>
      <c r="B14104" t="s">
        <v>2418</v>
      </c>
      <c r="C14104" t="s">
        <v>17227</v>
      </c>
      <c r="D14104" t="s">
        <v>19027</v>
      </c>
      <c r="E14104" t="s">
        <v>31176</v>
      </c>
      <c r="F14104" t="s">
        <v>32831</v>
      </c>
      <c r="G14104" t="s">
        <v>32839</v>
      </c>
      <c r="H14104" t="s">
        <v>32849</v>
      </c>
      <c r="I14104" t="s">
        <v>4177</v>
      </c>
      <c r="J14104" t="s">
        <v>34530</v>
      </c>
      <c r="K14104" t="s">
        <v>42732</v>
      </c>
      <c r="M14104" t="s">
        <v>45613</v>
      </c>
      <c r="N14104" t="s">
        <v>47424</v>
      </c>
      <c r="O14104" t="s">
        <v>47425</v>
      </c>
      <c r="P14104">
        <v>0</v>
      </c>
      <c r="Q14104">
        <v>3</v>
      </c>
      <c r="R14104" t="s">
        <v>47445</v>
      </c>
      <c r="S14104" t="s">
        <v>48250</v>
      </c>
      <c r="T14104" t="s">
        <v>49243</v>
      </c>
      <c r="U14104" t="s">
        <v>61144</v>
      </c>
      <c r="V14104" t="s">
        <v>63379</v>
      </c>
      <c r="W14104" t="s">
        <v>45613</v>
      </c>
      <c r="X14104" t="s">
        <v>47446</v>
      </c>
    </row>
    <row r="14105" spans="1:24">
      <c r="A14105">
        <f>HYPERLINK("https://www.philgeps.gov.ph/GEPSNONPILOT/Tender/SplashBidNoticeAbstractUI.aspx?menuIndex=3&amp;refID=7128101&amp;Result=3","7128101")</f>
        <v>0</v>
      </c>
      <c r="B14105" t="s">
        <v>755</v>
      </c>
      <c r="C14105" t="s">
        <v>17228</v>
      </c>
      <c r="E14105" t="s">
        <v>31177</v>
      </c>
      <c r="F14105" t="s">
        <v>32831</v>
      </c>
      <c r="G14105" t="s">
        <v>32839</v>
      </c>
      <c r="H14105" t="s">
        <v>32848</v>
      </c>
      <c r="I14105" t="s">
        <v>10805</v>
      </c>
      <c r="J14105" t="s">
        <v>41567</v>
      </c>
      <c r="K14105" t="s">
        <v>42732</v>
      </c>
      <c r="M14105" t="s">
        <v>45605</v>
      </c>
      <c r="N14105" t="s">
        <v>47424</v>
      </c>
      <c r="O14105" t="s">
        <v>47425</v>
      </c>
      <c r="Q14105">
        <v>9</v>
      </c>
      <c r="R14105" t="s">
        <v>47445</v>
      </c>
      <c r="S14105" t="s">
        <v>48311</v>
      </c>
      <c r="T14105" t="s">
        <v>49150</v>
      </c>
      <c r="U14105" t="s">
        <v>61145</v>
      </c>
      <c r="W14105" t="s">
        <v>45605</v>
      </c>
      <c r="X14105" t="s">
        <v>47446</v>
      </c>
    </row>
    <row r="14106" spans="1:24">
      <c r="A14106">
        <f>HYPERLINK("https://www.philgeps.gov.ph/GEPSNONPILOT/Tender/SplashBidNoticeAbstractUI.aspx?menuIndex=3&amp;refID=7128083&amp;Result=3","7128083")</f>
        <v>0</v>
      </c>
      <c r="B14106" t="s">
        <v>1677</v>
      </c>
      <c r="C14106" t="s">
        <v>17229</v>
      </c>
      <c r="E14106" t="s">
        <v>22757</v>
      </c>
      <c r="F14106" t="s">
        <v>32831</v>
      </c>
      <c r="G14106" t="s">
        <v>32839</v>
      </c>
      <c r="H14106" t="s">
        <v>32849</v>
      </c>
      <c r="I14106" t="s">
        <v>4177</v>
      </c>
      <c r="J14106" t="s">
        <v>41568</v>
      </c>
      <c r="K14106" t="s">
        <v>42763</v>
      </c>
      <c r="M14106" t="s">
        <v>44802</v>
      </c>
      <c r="N14106" t="s">
        <v>47424</v>
      </c>
      <c r="O14106" t="s">
        <v>47425</v>
      </c>
      <c r="P14106">
        <v>0</v>
      </c>
      <c r="Q14106">
        <v>0</v>
      </c>
      <c r="R14106" t="s">
        <v>47445</v>
      </c>
      <c r="S14106" t="s">
        <v>48250</v>
      </c>
      <c r="T14106" t="s">
        <v>49056</v>
      </c>
      <c r="U14106" t="s">
        <v>61121</v>
      </c>
      <c r="W14106" t="s">
        <v>44795</v>
      </c>
      <c r="X14106" t="s">
        <v>47446</v>
      </c>
    </row>
    <row r="14107" spans="1:24">
      <c r="A14107">
        <f>HYPERLINK("https://www.philgeps.gov.ph/GEPSNONPILOT/Tender/SplashBidNoticeAbstractUI.aspx?menuIndex=3&amp;refID=7128007&amp;Result=3","7128007")</f>
        <v>0</v>
      </c>
      <c r="B14107" t="s">
        <v>2795</v>
      </c>
      <c r="C14107" t="s">
        <v>17230</v>
      </c>
      <c r="D14107" t="s">
        <v>19038</v>
      </c>
      <c r="E14107" t="s">
        <v>31178</v>
      </c>
      <c r="F14107" t="s">
        <v>32831</v>
      </c>
      <c r="G14107" t="s">
        <v>32839</v>
      </c>
      <c r="H14107" t="s">
        <v>32850</v>
      </c>
      <c r="I14107" t="s">
        <v>5667</v>
      </c>
      <c r="J14107" t="s">
        <v>41569</v>
      </c>
      <c r="K14107" t="s">
        <v>42870</v>
      </c>
      <c r="M14107" t="s">
        <v>46025</v>
      </c>
      <c r="N14107" t="s">
        <v>47424</v>
      </c>
      <c r="O14107" t="s">
        <v>47425</v>
      </c>
      <c r="Q14107">
        <v>4</v>
      </c>
      <c r="R14107" t="s">
        <v>47445</v>
      </c>
      <c r="S14107" t="s">
        <v>48312</v>
      </c>
      <c r="T14107" t="s">
        <v>49096</v>
      </c>
      <c r="U14107" t="s">
        <v>61146</v>
      </c>
      <c r="W14107" t="s">
        <v>46025</v>
      </c>
      <c r="X14107" t="s">
        <v>47446</v>
      </c>
    </row>
    <row r="14108" spans="1:24">
      <c r="A14108">
        <f>HYPERLINK("https://www.philgeps.gov.ph/GEPSNONPILOT/Tender/SplashBidNoticeAbstractUI.aspx?menuIndex=3&amp;refID=7128114&amp;Result=3","7128114")</f>
        <v>0</v>
      </c>
      <c r="B14108" t="s">
        <v>1233</v>
      </c>
      <c r="C14108" t="s">
        <v>17231</v>
      </c>
      <c r="D14108" t="s">
        <v>19036</v>
      </c>
      <c r="E14108" t="s">
        <v>31179</v>
      </c>
      <c r="F14108" t="s">
        <v>32831</v>
      </c>
      <c r="G14108" t="s">
        <v>32839</v>
      </c>
      <c r="H14108" t="s">
        <v>32848</v>
      </c>
      <c r="I14108" t="s">
        <v>7416</v>
      </c>
      <c r="J14108" t="s">
        <v>41570</v>
      </c>
      <c r="K14108" t="s">
        <v>42791</v>
      </c>
      <c r="M14108" t="s">
        <v>44302</v>
      </c>
      <c r="N14108" t="s">
        <v>47424</v>
      </c>
      <c r="O14108" t="s">
        <v>47425</v>
      </c>
      <c r="P14108">
        <v>0</v>
      </c>
      <c r="Q14108">
        <v>0</v>
      </c>
      <c r="R14108" t="s">
        <v>47445</v>
      </c>
      <c r="S14108" t="s">
        <v>48250</v>
      </c>
      <c r="T14108" t="s">
        <v>49108</v>
      </c>
      <c r="U14108" t="s">
        <v>61147</v>
      </c>
      <c r="W14108" t="s">
        <v>44302</v>
      </c>
      <c r="X14108" t="s">
        <v>47446</v>
      </c>
    </row>
    <row r="14109" spans="1:24">
      <c r="A14109">
        <f>HYPERLINK("https://www.philgeps.gov.ph/GEPSNONPILOT/Tender/SplashBidNoticeAbstractUI.aspx?menuIndex=3&amp;refID=7128082&amp;Result=3","7128082")</f>
        <v>0</v>
      </c>
      <c r="B14109" t="s">
        <v>2996</v>
      </c>
      <c r="C14109" t="s">
        <v>17232</v>
      </c>
      <c r="D14109" t="s">
        <v>19056</v>
      </c>
      <c r="E14109" t="s">
        <v>31180</v>
      </c>
      <c r="F14109" t="s">
        <v>32831</v>
      </c>
      <c r="G14109" t="s">
        <v>32839</v>
      </c>
      <c r="H14109" t="s">
        <v>32849</v>
      </c>
      <c r="I14109" t="s">
        <v>4177</v>
      </c>
      <c r="J14109" t="s">
        <v>33087</v>
      </c>
      <c r="K14109" t="s">
        <v>42730</v>
      </c>
      <c r="M14109" t="s">
        <v>46262</v>
      </c>
      <c r="N14109" t="s">
        <v>47424</v>
      </c>
      <c r="O14109" t="s">
        <v>47425</v>
      </c>
      <c r="P14109">
        <v>0</v>
      </c>
      <c r="Q14109">
        <v>2</v>
      </c>
      <c r="R14109" t="s">
        <v>47445</v>
      </c>
      <c r="S14109" t="s">
        <v>48250</v>
      </c>
      <c r="T14109" t="s">
        <v>49166</v>
      </c>
      <c r="U14109" t="s">
        <v>61148</v>
      </c>
      <c r="W14109" t="s">
        <v>46262</v>
      </c>
      <c r="X14109" t="s">
        <v>47446</v>
      </c>
    </row>
    <row r="14110" spans="1:24">
      <c r="A14110">
        <f>HYPERLINK("https://www.philgeps.gov.ph/GEPSNONPILOT/Tender/SplashBidNoticeAbstractUI.aspx?menuIndex=3&amp;refID=7128072&amp;Result=3","7128072")</f>
        <v>0</v>
      </c>
      <c r="B14110" t="s">
        <v>1927</v>
      </c>
      <c r="C14110" t="s">
        <v>17233</v>
      </c>
      <c r="D14110" t="s">
        <v>19018</v>
      </c>
      <c r="E14110" t="s">
        <v>31181</v>
      </c>
      <c r="F14110" t="s">
        <v>32831</v>
      </c>
      <c r="G14110" t="s">
        <v>32839</v>
      </c>
      <c r="H14110" t="s">
        <v>32849</v>
      </c>
      <c r="I14110" t="s">
        <v>4177</v>
      </c>
      <c r="J14110" t="s">
        <v>41571</v>
      </c>
      <c r="K14110" t="s">
        <v>42732</v>
      </c>
      <c r="L14110" t="s">
        <v>1927</v>
      </c>
      <c r="M14110" t="s">
        <v>46156</v>
      </c>
      <c r="N14110" t="s">
        <v>47424</v>
      </c>
      <c r="O14110" t="s">
        <v>47425</v>
      </c>
      <c r="P14110">
        <v>0</v>
      </c>
      <c r="Q14110">
        <v>0</v>
      </c>
      <c r="R14110" t="s">
        <v>47445</v>
      </c>
      <c r="S14110" t="s">
        <v>48250</v>
      </c>
      <c r="T14110" t="s">
        <v>49056</v>
      </c>
      <c r="U14110" t="s">
        <v>61124</v>
      </c>
      <c r="V14110" t="s">
        <v>63616</v>
      </c>
      <c r="W14110" t="s">
        <v>46156</v>
      </c>
      <c r="X14110" t="s">
        <v>47446</v>
      </c>
    </row>
    <row r="14111" spans="1:24">
      <c r="A14111">
        <f>HYPERLINK("https://www.philgeps.gov.ph/GEPSNONPILOT/Tender/SplashBidNoticeAbstractUI.aspx?menuIndex=3&amp;refID=7128094&amp;Result=3","7128094")</f>
        <v>0</v>
      </c>
      <c r="B14111" t="s">
        <v>2418</v>
      </c>
      <c r="C14111" t="s">
        <v>17234</v>
      </c>
      <c r="D14111" t="s">
        <v>19027</v>
      </c>
      <c r="E14111" t="s">
        <v>31182</v>
      </c>
      <c r="F14111" t="s">
        <v>32831</v>
      </c>
      <c r="G14111" t="s">
        <v>32839</v>
      </c>
      <c r="H14111" t="s">
        <v>32849</v>
      </c>
      <c r="I14111" t="s">
        <v>4177</v>
      </c>
      <c r="J14111" t="s">
        <v>34530</v>
      </c>
      <c r="K14111" t="s">
        <v>42732</v>
      </c>
      <c r="M14111" t="s">
        <v>45613</v>
      </c>
      <c r="N14111" t="s">
        <v>47424</v>
      </c>
      <c r="O14111" t="s">
        <v>47425</v>
      </c>
      <c r="P14111">
        <v>0</v>
      </c>
      <c r="Q14111">
        <v>2</v>
      </c>
      <c r="R14111" t="s">
        <v>47445</v>
      </c>
      <c r="S14111" t="s">
        <v>48250</v>
      </c>
      <c r="T14111" t="s">
        <v>49243</v>
      </c>
      <c r="U14111" t="s">
        <v>61149</v>
      </c>
      <c r="V14111" t="s">
        <v>63379</v>
      </c>
      <c r="W14111" t="s">
        <v>45613</v>
      </c>
      <c r="X14111" t="s">
        <v>47446</v>
      </c>
    </row>
    <row r="14112" spans="1:24">
      <c r="A14112">
        <f>HYPERLINK("https://www.philgeps.gov.ph/GEPSNONPILOT/Tender/SplashBidNoticeAbstractUI.aspx?menuIndex=3&amp;refID=7128080&amp;Result=3","7128080")</f>
        <v>0</v>
      </c>
      <c r="B14112" t="s">
        <v>3785</v>
      </c>
      <c r="C14112" t="s">
        <v>17235</v>
      </c>
      <c r="D14112" t="s">
        <v>19017</v>
      </c>
      <c r="E14112" t="s">
        <v>31183</v>
      </c>
      <c r="F14112" t="s">
        <v>32831</v>
      </c>
      <c r="G14112" t="s">
        <v>32839</v>
      </c>
      <c r="H14112" t="s">
        <v>32848</v>
      </c>
      <c r="I14112" t="s">
        <v>4487</v>
      </c>
      <c r="J14112" t="s">
        <v>41572</v>
      </c>
      <c r="K14112" t="s">
        <v>42770</v>
      </c>
      <c r="M14112" t="s">
        <v>47197</v>
      </c>
      <c r="N14112" t="s">
        <v>47424</v>
      </c>
      <c r="O14112" t="s">
        <v>47425</v>
      </c>
      <c r="Q14112">
        <v>15</v>
      </c>
      <c r="R14112" t="s">
        <v>47445</v>
      </c>
      <c r="S14112" t="s">
        <v>48313</v>
      </c>
      <c r="T14112" t="s">
        <v>49056</v>
      </c>
      <c r="U14112" t="s">
        <v>61150</v>
      </c>
      <c r="W14112" t="s">
        <v>47197</v>
      </c>
      <c r="X14112" t="s">
        <v>47446</v>
      </c>
    </row>
    <row r="14113" spans="1:24">
      <c r="A14113">
        <f>HYPERLINK("https://www.philgeps.gov.ph/GEPSNONPILOT/Tender/SplashBidNoticeAbstractUI.aspx?menuIndex=3&amp;refID=7128140&amp;Result=3","7128140")</f>
        <v>0</v>
      </c>
      <c r="B14113" t="s">
        <v>862</v>
      </c>
      <c r="C14113" t="s">
        <v>17236</v>
      </c>
      <c r="D14113" t="s">
        <v>19074</v>
      </c>
      <c r="E14113" t="s">
        <v>31184</v>
      </c>
      <c r="F14113" t="s">
        <v>32831</v>
      </c>
      <c r="G14113" t="s">
        <v>32839</v>
      </c>
      <c r="H14113" t="s">
        <v>32849</v>
      </c>
      <c r="I14113" t="s">
        <v>4177</v>
      </c>
      <c r="J14113" t="s">
        <v>41573</v>
      </c>
      <c r="K14113" t="s">
        <v>42757</v>
      </c>
      <c r="M14113" t="s">
        <v>43896</v>
      </c>
      <c r="N14113" t="s">
        <v>47424</v>
      </c>
      <c r="O14113" t="s">
        <v>47425</v>
      </c>
      <c r="P14113">
        <v>0</v>
      </c>
      <c r="Q14113">
        <v>0</v>
      </c>
      <c r="R14113" t="s">
        <v>47445</v>
      </c>
      <c r="S14113" t="s">
        <v>48250</v>
      </c>
      <c r="T14113" t="s">
        <v>49239</v>
      </c>
      <c r="U14113" t="s">
        <v>61151</v>
      </c>
      <c r="W14113" t="s">
        <v>43896</v>
      </c>
      <c r="X14113" t="s">
        <v>47446</v>
      </c>
    </row>
    <row r="14114" spans="1:24">
      <c r="A14114">
        <f>HYPERLINK("https://www.philgeps.gov.ph/GEPSNONPILOT/Tender/SplashBidNoticeAbstractUI.aspx?menuIndex=3&amp;refID=7128254&amp;Result=3","7128254")</f>
        <v>0</v>
      </c>
      <c r="B14114" t="s">
        <v>2418</v>
      </c>
      <c r="C14114" t="s">
        <v>17237</v>
      </c>
      <c r="D14114" t="s">
        <v>19027</v>
      </c>
      <c r="E14114" t="s">
        <v>31185</v>
      </c>
      <c r="F14114" t="s">
        <v>32831</v>
      </c>
      <c r="G14114" t="s">
        <v>32839</v>
      </c>
      <c r="H14114" t="s">
        <v>32849</v>
      </c>
      <c r="I14114" t="s">
        <v>4177</v>
      </c>
      <c r="J14114" t="s">
        <v>34530</v>
      </c>
      <c r="K14114" t="s">
        <v>42732</v>
      </c>
      <c r="M14114" t="s">
        <v>45613</v>
      </c>
      <c r="N14114" t="s">
        <v>47424</v>
      </c>
      <c r="O14114" t="s">
        <v>47425</v>
      </c>
      <c r="P14114">
        <v>0</v>
      </c>
      <c r="Q14114">
        <v>3</v>
      </c>
      <c r="R14114" t="s">
        <v>47445</v>
      </c>
      <c r="S14114" t="s">
        <v>48250</v>
      </c>
      <c r="T14114" t="s">
        <v>49243</v>
      </c>
      <c r="U14114" t="s">
        <v>61152</v>
      </c>
      <c r="V14114" t="s">
        <v>63379</v>
      </c>
      <c r="W14114" t="s">
        <v>45613</v>
      </c>
      <c r="X14114" t="s">
        <v>47446</v>
      </c>
    </row>
    <row r="14115" spans="1:24">
      <c r="A14115">
        <f>HYPERLINK("https://www.philgeps.gov.ph/GEPSNONPILOT/Tender/SplashBidNoticeAbstractUI.aspx?menuIndex=3&amp;refID=7128095&amp;Result=3","7128095")</f>
        <v>0</v>
      </c>
      <c r="B14115" t="s">
        <v>1130</v>
      </c>
      <c r="C14115" t="s">
        <v>17238</v>
      </c>
      <c r="D14115" t="s">
        <v>19045</v>
      </c>
      <c r="E14115" t="s">
        <v>31186</v>
      </c>
      <c r="F14115" t="s">
        <v>32831</v>
      </c>
      <c r="G14115" t="s">
        <v>32839</v>
      </c>
      <c r="H14115" t="s">
        <v>32848</v>
      </c>
      <c r="I14115" t="s">
        <v>32857</v>
      </c>
      <c r="J14115" t="s">
        <v>41574</v>
      </c>
      <c r="K14115" t="s">
        <v>42730</v>
      </c>
      <c r="M14115" t="s">
        <v>45442</v>
      </c>
      <c r="N14115" t="s">
        <v>47424</v>
      </c>
      <c r="O14115" t="s">
        <v>47425</v>
      </c>
      <c r="P14115">
        <v>0</v>
      </c>
      <c r="Q14115">
        <v>2</v>
      </c>
      <c r="R14115" t="s">
        <v>47445</v>
      </c>
      <c r="S14115" t="s">
        <v>48250</v>
      </c>
      <c r="T14115" t="s">
        <v>49237</v>
      </c>
      <c r="U14115" t="s">
        <v>61153</v>
      </c>
      <c r="V14115" t="s">
        <v>64230</v>
      </c>
      <c r="W14115" t="s">
        <v>45442</v>
      </c>
      <c r="X14115" t="s">
        <v>47446</v>
      </c>
    </row>
    <row r="14116" spans="1:24">
      <c r="A14116">
        <f>HYPERLINK("https://www.philgeps.gov.ph/GEPSNONPILOT/Tender/SplashBidNoticeAbstractUI.aspx?menuIndex=3&amp;refID=7128269&amp;Result=3","7128269")</f>
        <v>0</v>
      </c>
      <c r="B14116" t="s">
        <v>3786</v>
      </c>
      <c r="C14116" t="s">
        <v>17239</v>
      </c>
      <c r="D14116" t="s">
        <v>19027</v>
      </c>
      <c r="E14116" t="s">
        <v>29861</v>
      </c>
      <c r="F14116" t="s">
        <v>32831</v>
      </c>
      <c r="G14116" t="s">
        <v>32839</v>
      </c>
      <c r="H14116" t="s">
        <v>32848</v>
      </c>
      <c r="I14116" t="s">
        <v>32857</v>
      </c>
      <c r="J14116" t="s">
        <v>33137</v>
      </c>
      <c r="K14116" t="s">
        <v>42759</v>
      </c>
      <c r="M14116" t="s">
        <v>47198</v>
      </c>
      <c r="N14116" t="s">
        <v>47424</v>
      </c>
      <c r="O14116" t="s">
        <v>47425</v>
      </c>
      <c r="P14116">
        <v>0</v>
      </c>
      <c r="Q14116">
        <v>4</v>
      </c>
      <c r="R14116" t="s">
        <v>47445</v>
      </c>
      <c r="S14116" t="s">
        <v>48250</v>
      </c>
      <c r="T14116" t="s">
        <v>49177</v>
      </c>
      <c r="U14116" t="s">
        <v>61154</v>
      </c>
      <c r="W14116" t="s">
        <v>47198</v>
      </c>
      <c r="X14116" t="s">
        <v>47446</v>
      </c>
    </row>
    <row r="14117" spans="1:24">
      <c r="A14117">
        <f>HYPERLINK("https://www.philgeps.gov.ph/GEPSNONPILOT/Tender/SplashBidNoticeAbstractUI.aspx?menuIndex=3&amp;refID=7128242&amp;Result=3","7128242")</f>
        <v>0</v>
      </c>
      <c r="B14117" t="s">
        <v>1137</v>
      </c>
      <c r="C14117" t="s">
        <v>17240</v>
      </c>
      <c r="D14117" t="s">
        <v>19020</v>
      </c>
      <c r="E14117" t="s">
        <v>31187</v>
      </c>
      <c r="F14117" t="s">
        <v>32831</v>
      </c>
      <c r="G14117" t="s">
        <v>32841</v>
      </c>
      <c r="H14117" t="s">
        <v>32849</v>
      </c>
      <c r="I14117" t="s">
        <v>4177</v>
      </c>
      <c r="J14117" t="s">
        <v>41575</v>
      </c>
      <c r="K14117" t="s">
        <v>42732</v>
      </c>
      <c r="M14117" t="s">
        <v>44200</v>
      </c>
      <c r="N14117" t="s">
        <v>47424</v>
      </c>
      <c r="O14117" t="s">
        <v>47425</v>
      </c>
      <c r="P14117">
        <v>0</v>
      </c>
      <c r="Q14117">
        <v>1</v>
      </c>
      <c r="R14117" t="s">
        <v>47445</v>
      </c>
      <c r="S14117" t="s">
        <v>48250</v>
      </c>
      <c r="T14117" t="s">
        <v>49166</v>
      </c>
      <c r="U14117" t="s">
        <v>61155</v>
      </c>
      <c r="W14117" t="s">
        <v>44200</v>
      </c>
      <c r="X14117" t="s">
        <v>47446</v>
      </c>
    </row>
    <row r="14118" spans="1:24">
      <c r="A14118">
        <f>HYPERLINK("https://www.philgeps.gov.ph/GEPSNONPILOT/Tender/SplashBidNoticeAbstractUI.aspx?menuIndex=3&amp;refID=7128239&amp;Result=3","7128239")</f>
        <v>0</v>
      </c>
      <c r="B14118" t="s">
        <v>1268</v>
      </c>
      <c r="C14118" t="s">
        <v>17241</v>
      </c>
      <c r="D14118" t="s">
        <v>19061</v>
      </c>
      <c r="E14118" t="s">
        <v>31188</v>
      </c>
      <c r="F14118" t="s">
        <v>32831</v>
      </c>
      <c r="G14118" t="s">
        <v>32839</v>
      </c>
      <c r="H14118" t="s">
        <v>32849</v>
      </c>
      <c r="I14118" t="s">
        <v>4177</v>
      </c>
      <c r="J14118" t="s">
        <v>41576</v>
      </c>
      <c r="K14118" t="s">
        <v>42729</v>
      </c>
      <c r="M14118" t="s">
        <v>44338</v>
      </c>
      <c r="N14118" t="s">
        <v>47424</v>
      </c>
      <c r="O14118" t="s">
        <v>47425</v>
      </c>
      <c r="P14118">
        <v>0</v>
      </c>
      <c r="Q14118">
        <v>0</v>
      </c>
      <c r="R14118" t="s">
        <v>47445</v>
      </c>
      <c r="S14118" t="s">
        <v>48250</v>
      </c>
      <c r="T14118" t="s">
        <v>49070</v>
      </c>
      <c r="U14118" t="s">
        <v>61156</v>
      </c>
      <c r="W14118" t="s">
        <v>44338</v>
      </c>
      <c r="X14118" t="s">
        <v>47446</v>
      </c>
    </row>
    <row r="14119" spans="1:24">
      <c r="A14119">
        <f>HYPERLINK("https://www.philgeps.gov.ph/GEPSNONPILOT/Tender/SplashBidNoticeAbstractUI.aspx?menuIndex=3&amp;refID=7128220&amp;Result=3","7128220")</f>
        <v>0</v>
      </c>
      <c r="B14119" t="s">
        <v>2059</v>
      </c>
      <c r="C14119" t="s">
        <v>17242</v>
      </c>
      <c r="D14119" t="s">
        <v>19057</v>
      </c>
      <c r="E14119" t="s">
        <v>31189</v>
      </c>
      <c r="F14119" t="s">
        <v>32831</v>
      </c>
      <c r="G14119" t="s">
        <v>32839</v>
      </c>
      <c r="H14119" t="s">
        <v>32848</v>
      </c>
      <c r="I14119" t="s">
        <v>32867</v>
      </c>
      <c r="J14119" t="s">
        <v>41577</v>
      </c>
      <c r="K14119" t="s">
        <v>42732</v>
      </c>
      <c r="M14119" t="s">
        <v>46126</v>
      </c>
      <c r="N14119" t="s">
        <v>47424</v>
      </c>
      <c r="O14119" t="s">
        <v>47425</v>
      </c>
      <c r="P14119">
        <v>0</v>
      </c>
      <c r="Q14119">
        <v>9</v>
      </c>
      <c r="R14119" t="s">
        <v>47445</v>
      </c>
      <c r="S14119" t="s">
        <v>48250</v>
      </c>
      <c r="T14119" t="s">
        <v>49318</v>
      </c>
      <c r="U14119" t="s">
        <v>61157</v>
      </c>
      <c r="W14119" t="s">
        <v>45229</v>
      </c>
      <c r="X14119" t="s">
        <v>47446</v>
      </c>
    </row>
    <row r="14120" spans="1:24">
      <c r="A14120">
        <f>HYPERLINK("https://www.philgeps.gov.ph/GEPSNONPILOT/Tender/SplashBidNoticeAbstractUI.aspx?menuIndex=3&amp;refID=7128073&amp;Result=3","7128073")</f>
        <v>0</v>
      </c>
      <c r="B14120" t="s">
        <v>3757</v>
      </c>
      <c r="C14120" t="s">
        <v>17243</v>
      </c>
      <c r="D14120" t="s">
        <v>19044</v>
      </c>
      <c r="E14120" t="s">
        <v>31190</v>
      </c>
      <c r="F14120" t="s">
        <v>32831</v>
      </c>
      <c r="G14120" t="s">
        <v>32839</v>
      </c>
      <c r="H14120" t="s">
        <v>32849</v>
      </c>
      <c r="I14120" t="s">
        <v>4177</v>
      </c>
      <c r="J14120" t="s">
        <v>38388</v>
      </c>
      <c r="K14120" t="s">
        <v>42979</v>
      </c>
      <c r="M14120" t="s">
        <v>47190</v>
      </c>
      <c r="N14120" t="s">
        <v>47424</v>
      </c>
      <c r="O14120" t="s">
        <v>47425</v>
      </c>
      <c r="P14120">
        <v>0</v>
      </c>
      <c r="Q14120">
        <v>0</v>
      </c>
      <c r="R14120" t="s">
        <v>47445</v>
      </c>
      <c r="S14120" t="s">
        <v>48250</v>
      </c>
      <c r="T14120" t="s">
        <v>49330</v>
      </c>
      <c r="U14120" t="s">
        <v>60900</v>
      </c>
      <c r="W14120" t="s">
        <v>47190</v>
      </c>
      <c r="X14120" t="s">
        <v>47446</v>
      </c>
    </row>
    <row r="14121" spans="1:24">
      <c r="A14121">
        <f>HYPERLINK("https://www.philgeps.gov.ph/GEPSNONPILOT/Tender/SplashBidNoticeAbstractUI.aspx?menuIndex=3&amp;refID=7128235&amp;Result=3","7128235")</f>
        <v>0</v>
      </c>
      <c r="B14121" t="s">
        <v>726</v>
      </c>
      <c r="C14121" t="s">
        <v>17244</v>
      </c>
      <c r="E14121" t="s">
        <v>31191</v>
      </c>
      <c r="F14121" t="s">
        <v>32831</v>
      </c>
      <c r="G14121" t="s">
        <v>32839</v>
      </c>
      <c r="H14121" t="s">
        <v>32848</v>
      </c>
      <c r="I14121" t="s">
        <v>4776</v>
      </c>
      <c r="J14121" t="s">
        <v>41578</v>
      </c>
      <c r="K14121" t="s">
        <v>42732</v>
      </c>
      <c r="M14121" t="s">
        <v>43747</v>
      </c>
      <c r="N14121" t="s">
        <v>47424</v>
      </c>
      <c r="O14121" t="s">
        <v>47425</v>
      </c>
      <c r="Q14121">
        <v>16</v>
      </c>
      <c r="R14121" t="s">
        <v>47445</v>
      </c>
      <c r="S14121" t="s">
        <v>48314</v>
      </c>
      <c r="T14121" t="s">
        <v>49237</v>
      </c>
      <c r="U14121" t="s">
        <v>61158</v>
      </c>
      <c r="W14121" t="s">
        <v>43747</v>
      </c>
      <c r="X14121" t="s">
        <v>47446</v>
      </c>
    </row>
    <row r="14122" spans="1:24">
      <c r="A14122">
        <f>HYPERLINK("https://www.philgeps.gov.ph/GEPSNONPILOT/Tender/SplashBidNoticeAbstractUI.aspx?menuIndex=3&amp;refID=7128216&amp;Result=3","7128216")</f>
        <v>0</v>
      </c>
      <c r="B14122" t="s">
        <v>1677</v>
      </c>
      <c r="C14122" t="s">
        <v>17245</v>
      </c>
      <c r="E14122" t="s">
        <v>27918</v>
      </c>
      <c r="F14122" t="s">
        <v>32831</v>
      </c>
      <c r="G14122" t="s">
        <v>32839</v>
      </c>
      <c r="H14122" t="s">
        <v>32849</v>
      </c>
      <c r="I14122" t="s">
        <v>4177</v>
      </c>
      <c r="J14122" t="s">
        <v>41579</v>
      </c>
      <c r="K14122" t="s">
        <v>42763</v>
      </c>
      <c r="M14122" t="s">
        <v>44802</v>
      </c>
      <c r="N14122" t="s">
        <v>47424</v>
      </c>
      <c r="O14122" t="s">
        <v>47425</v>
      </c>
      <c r="P14122">
        <v>0</v>
      </c>
      <c r="Q14122">
        <v>0</v>
      </c>
      <c r="R14122" t="s">
        <v>47445</v>
      </c>
      <c r="S14122" t="s">
        <v>48250</v>
      </c>
      <c r="T14122" t="s">
        <v>49056</v>
      </c>
      <c r="U14122" t="s">
        <v>61121</v>
      </c>
      <c r="W14122" t="s">
        <v>44795</v>
      </c>
      <c r="X14122" t="s">
        <v>47446</v>
      </c>
    </row>
    <row r="14123" spans="1:24">
      <c r="A14123">
        <f>HYPERLINK("https://www.philgeps.gov.ph/GEPSNONPILOT/Tender/SplashBidNoticeAbstractUI.aspx?menuIndex=3&amp;refID=7128259&amp;Result=3","7128259")</f>
        <v>0</v>
      </c>
      <c r="B14123" t="s">
        <v>726</v>
      </c>
      <c r="C14123" t="s">
        <v>17246</v>
      </c>
      <c r="E14123" t="s">
        <v>31192</v>
      </c>
      <c r="F14123" t="s">
        <v>32831</v>
      </c>
      <c r="G14123" t="s">
        <v>32839</v>
      </c>
      <c r="H14123" t="s">
        <v>32848</v>
      </c>
      <c r="I14123" t="s">
        <v>4487</v>
      </c>
      <c r="J14123" t="s">
        <v>41580</v>
      </c>
      <c r="K14123" t="s">
        <v>42732</v>
      </c>
      <c r="M14123" t="s">
        <v>43747</v>
      </c>
      <c r="N14123" t="s">
        <v>47424</v>
      </c>
      <c r="O14123" t="s">
        <v>47425</v>
      </c>
      <c r="P14123">
        <v>0</v>
      </c>
      <c r="Q14123">
        <v>10</v>
      </c>
      <c r="R14123" t="s">
        <v>47445</v>
      </c>
      <c r="S14123" t="s">
        <v>48250</v>
      </c>
      <c r="T14123" t="s">
        <v>49237</v>
      </c>
      <c r="U14123" t="s">
        <v>61159</v>
      </c>
      <c r="W14123" t="s">
        <v>43747</v>
      </c>
      <c r="X14123" t="s">
        <v>47446</v>
      </c>
    </row>
    <row r="14124" spans="1:24">
      <c r="A14124">
        <f>HYPERLINK("https://www.philgeps.gov.ph/GEPSNONPILOT/Tender/SplashBidNoticeAbstractUI.aspx?menuIndex=3&amp;refID=7128105&amp;Result=3","7128105")</f>
        <v>0</v>
      </c>
      <c r="B14124" t="s">
        <v>2942</v>
      </c>
      <c r="C14124" t="s">
        <v>17247</v>
      </c>
      <c r="D14124" t="s">
        <v>19017</v>
      </c>
      <c r="E14124" t="s">
        <v>31193</v>
      </c>
      <c r="F14124" t="s">
        <v>32831</v>
      </c>
      <c r="G14124" t="s">
        <v>32839</v>
      </c>
      <c r="H14124" t="s">
        <v>32848</v>
      </c>
      <c r="I14124" t="s">
        <v>4487</v>
      </c>
      <c r="J14124" t="s">
        <v>41581</v>
      </c>
      <c r="K14124" t="s">
        <v>42732</v>
      </c>
      <c r="M14124" t="s">
        <v>47199</v>
      </c>
      <c r="N14124" t="s">
        <v>47424</v>
      </c>
      <c r="O14124" t="s">
        <v>47425</v>
      </c>
      <c r="P14124">
        <v>0</v>
      </c>
      <c r="Q14124">
        <v>15</v>
      </c>
      <c r="R14124" t="s">
        <v>47445</v>
      </c>
      <c r="S14124" t="s">
        <v>48250</v>
      </c>
      <c r="T14124" t="s">
        <v>49073</v>
      </c>
      <c r="U14124" t="s">
        <v>61160</v>
      </c>
      <c r="W14124" t="s">
        <v>47199</v>
      </c>
      <c r="X14124" t="s">
        <v>47446</v>
      </c>
    </row>
    <row r="14125" spans="1:24">
      <c r="A14125">
        <f>HYPERLINK("https://www.philgeps.gov.ph/GEPSNONPILOT/Tender/SplashBidNoticeAbstractUI.aspx?menuIndex=3&amp;refID=7128351&amp;Result=3","7128351")</f>
        <v>0</v>
      </c>
      <c r="B14125" t="s">
        <v>3787</v>
      </c>
      <c r="C14125" t="s">
        <v>17248</v>
      </c>
      <c r="D14125" t="s">
        <v>19057</v>
      </c>
      <c r="E14125" t="s">
        <v>31194</v>
      </c>
      <c r="F14125" t="s">
        <v>32831</v>
      </c>
      <c r="G14125" t="s">
        <v>32839</v>
      </c>
      <c r="H14125" t="s">
        <v>32848</v>
      </c>
      <c r="I14125" t="s">
        <v>32864</v>
      </c>
      <c r="J14125" t="s">
        <v>41582</v>
      </c>
      <c r="K14125" t="s">
        <v>42731</v>
      </c>
      <c r="M14125" t="s">
        <v>47200</v>
      </c>
      <c r="N14125" t="s">
        <v>47424</v>
      </c>
      <c r="O14125" t="s">
        <v>47425</v>
      </c>
      <c r="P14125">
        <v>0</v>
      </c>
      <c r="Q14125">
        <v>7</v>
      </c>
      <c r="R14125" t="s">
        <v>47445</v>
      </c>
      <c r="S14125" t="s">
        <v>48250</v>
      </c>
      <c r="T14125" t="s">
        <v>49163</v>
      </c>
      <c r="U14125" t="s">
        <v>61161</v>
      </c>
      <c r="V14125" t="s">
        <v>64233</v>
      </c>
      <c r="W14125" t="s">
        <v>47200</v>
      </c>
      <c r="X14125" t="s">
        <v>47446</v>
      </c>
    </row>
    <row r="14126" spans="1:24">
      <c r="A14126">
        <f>HYPERLINK("https://www.philgeps.gov.ph/GEPSNONPILOT/Tender/SplashBidNoticeAbstractUI.aspx?menuIndex=3&amp;refID=7128355&amp;Result=3","7128355")</f>
        <v>0</v>
      </c>
      <c r="B14126" t="s">
        <v>1256</v>
      </c>
      <c r="C14126" t="s">
        <v>17249</v>
      </c>
      <c r="D14126" t="s">
        <v>19033</v>
      </c>
      <c r="E14126" t="s">
        <v>31195</v>
      </c>
      <c r="F14126" t="s">
        <v>32831</v>
      </c>
      <c r="G14126" t="s">
        <v>32838</v>
      </c>
      <c r="H14126" t="s">
        <v>32848</v>
      </c>
      <c r="I14126" t="s">
        <v>32874</v>
      </c>
      <c r="J14126" t="s">
        <v>33087</v>
      </c>
      <c r="K14126" t="s">
        <v>42730</v>
      </c>
      <c r="M14126" t="s">
        <v>44326</v>
      </c>
      <c r="N14126" t="s">
        <v>47424</v>
      </c>
      <c r="O14126" t="s">
        <v>47425</v>
      </c>
      <c r="Q14126">
        <v>16</v>
      </c>
      <c r="R14126" t="s">
        <v>47445</v>
      </c>
      <c r="S14126" t="s">
        <v>48315</v>
      </c>
      <c r="T14126" t="s">
        <v>49212</v>
      </c>
      <c r="U14126" t="s">
        <v>61162</v>
      </c>
      <c r="W14126" t="s">
        <v>44326</v>
      </c>
      <c r="X14126" t="s">
        <v>47446</v>
      </c>
    </row>
    <row r="14127" spans="1:24">
      <c r="A14127">
        <f>HYPERLINK("https://www.philgeps.gov.ph/GEPSNONPILOT/Tender/SplashBidNoticeAbstractUI.aspx?menuIndex=3&amp;refID=7128350&amp;Result=3","7128350")</f>
        <v>0</v>
      </c>
      <c r="B14127" t="s">
        <v>2807</v>
      </c>
      <c r="C14127" t="s">
        <v>17250</v>
      </c>
      <c r="D14127" t="s">
        <v>19037</v>
      </c>
      <c r="E14127" t="s">
        <v>31196</v>
      </c>
      <c r="F14127" t="s">
        <v>32831</v>
      </c>
      <c r="G14127" t="s">
        <v>32839</v>
      </c>
      <c r="H14127" t="s">
        <v>32849</v>
      </c>
      <c r="I14127" t="s">
        <v>4177</v>
      </c>
      <c r="J14127" t="s">
        <v>41583</v>
      </c>
      <c r="K14127" t="s">
        <v>42757</v>
      </c>
      <c r="M14127" t="s">
        <v>46037</v>
      </c>
      <c r="N14127" t="s">
        <v>47424</v>
      </c>
      <c r="O14127" t="s">
        <v>47425</v>
      </c>
      <c r="P14127">
        <v>0</v>
      </c>
      <c r="Q14127">
        <v>16</v>
      </c>
      <c r="R14127" t="s">
        <v>47445</v>
      </c>
      <c r="S14127" t="s">
        <v>48250</v>
      </c>
      <c r="T14127" t="s">
        <v>49214</v>
      </c>
      <c r="U14127" t="s">
        <v>61135</v>
      </c>
      <c r="W14127" t="s">
        <v>46037</v>
      </c>
      <c r="X14127" t="s">
        <v>47446</v>
      </c>
    </row>
    <row r="14128" spans="1:24">
      <c r="A14128">
        <f>HYPERLINK("https://www.philgeps.gov.ph/GEPSNONPILOT/Tender/SplashBidNoticeAbstractUI.aspx?menuIndex=3&amp;refID=7128266&amp;Result=3","7128266")</f>
        <v>0</v>
      </c>
      <c r="B14128" t="s">
        <v>755</v>
      </c>
      <c r="C14128" t="s">
        <v>17251</v>
      </c>
      <c r="E14128" t="s">
        <v>31197</v>
      </c>
      <c r="F14128" t="s">
        <v>32831</v>
      </c>
      <c r="G14128" t="s">
        <v>32839</v>
      </c>
      <c r="H14128" t="s">
        <v>32848</v>
      </c>
      <c r="I14128" t="s">
        <v>7751</v>
      </c>
      <c r="J14128" t="s">
        <v>41584</v>
      </c>
      <c r="K14128" t="s">
        <v>42732</v>
      </c>
      <c r="M14128" t="s">
        <v>45605</v>
      </c>
      <c r="N14128" t="s">
        <v>47424</v>
      </c>
      <c r="O14128" t="s">
        <v>47425</v>
      </c>
      <c r="Q14128">
        <v>3</v>
      </c>
      <c r="R14128" t="s">
        <v>47445</v>
      </c>
      <c r="S14128" t="s">
        <v>48316</v>
      </c>
      <c r="T14128" t="s">
        <v>49150</v>
      </c>
      <c r="U14128" t="s">
        <v>61163</v>
      </c>
      <c r="W14128" t="s">
        <v>45605</v>
      </c>
      <c r="X14128" t="s">
        <v>47446</v>
      </c>
    </row>
    <row r="14129" spans="1:24">
      <c r="A14129">
        <f>HYPERLINK("https://www.philgeps.gov.ph/GEPSNONPILOT/Tender/SplashBidNoticeAbstractUI.aspx?menuIndex=3&amp;refID=7128334&amp;Result=3","7128334")</f>
        <v>0</v>
      </c>
      <c r="B14129" t="s">
        <v>2059</v>
      </c>
      <c r="C14129" t="s">
        <v>17252</v>
      </c>
      <c r="D14129" t="s">
        <v>19057</v>
      </c>
      <c r="E14129" t="s">
        <v>31198</v>
      </c>
      <c r="F14129" t="s">
        <v>32831</v>
      </c>
      <c r="G14129" t="s">
        <v>32839</v>
      </c>
      <c r="H14129" t="s">
        <v>32848</v>
      </c>
      <c r="I14129" t="s">
        <v>32872</v>
      </c>
      <c r="J14129" t="s">
        <v>33794</v>
      </c>
      <c r="K14129" t="s">
        <v>42732</v>
      </c>
      <c r="M14129" t="s">
        <v>46126</v>
      </c>
      <c r="N14129" t="s">
        <v>47424</v>
      </c>
      <c r="O14129" t="s">
        <v>47425</v>
      </c>
      <c r="P14129">
        <v>0</v>
      </c>
      <c r="Q14129">
        <v>18</v>
      </c>
      <c r="R14129" t="s">
        <v>47445</v>
      </c>
      <c r="S14129" t="s">
        <v>48250</v>
      </c>
      <c r="T14129" t="s">
        <v>49318</v>
      </c>
      <c r="U14129" t="s">
        <v>61164</v>
      </c>
      <c r="W14129" t="s">
        <v>45229</v>
      </c>
      <c r="X14129" t="s">
        <v>47446</v>
      </c>
    </row>
    <row r="14130" spans="1:24">
      <c r="A14130">
        <f>HYPERLINK("https://www.philgeps.gov.ph/GEPSNONPILOT/Tender/SplashBidNoticeAbstractUI.aspx?menuIndex=3&amp;refID=7128217&amp;Result=3","7128217")</f>
        <v>0</v>
      </c>
      <c r="B14130" t="s">
        <v>2235</v>
      </c>
      <c r="C14130" t="s">
        <v>17253</v>
      </c>
      <c r="E14130" t="s">
        <v>31199</v>
      </c>
      <c r="F14130" t="s">
        <v>32831</v>
      </c>
      <c r="G14130" t="s">
        <v>32839</v>
      </c>
      <c r="H14130" t="s">
        <v>32848</v>
      </c>
      <c r="I14130" t="s">
        <v>32857</v>
      </c>
      <c r="J14130" t="s">
        <v>41585</v>
      </c>
      <c r="K14130" t="s">
        <v>42745</v>
      </c>
      <c r="M14130" t="s">
        <v>45724</v>
      </c>
      <c r="N14130" t="s">
        <v>47424</v>
      </c>
      <c r="O14130" t="s">
        <v>47425</v>
      </c>
      <c r="P14130">
        <v>0</v>
      </c>
      <c r="Q14130">
        <v>3</v>
      </c>
      <c r="R14130" t="s">
        <v>47445</v>
      </c>
      <c r="S14130" t="s">
        <v>48250</v>
      </c>
      <c r="T14130" t="s">
        <v>49150</v>
      </c>
      <c r="U14130" t="s">
        <v>59368</v>
      </c>
      <c r="W14130" t="s">
        <v>45724</v>
      </c>
      <c r="X14130" t="s">
        <v>47446</v>
      </c>
    </row>
    <row r="14131" spans="1:24">
      <c r="A14131">
        <f>HYPERLINK("https://www.philgeps.gov.ph/GEPSNONPILOT/Tender/SplashBidNoticeAbstractUI.aspx?menuIndex=3&amp;refID=7128329&amp;Result=3","7128329")</f>
        <v>0</v>
      </c>
      <c r="B14131" t="s">
        <v>2418</v>
      </c>
      <c r="C14131" t="s">
        <v>17254</v>
      </c>
      <c r="D14131" t="s">
        <v>19027</v>
      </c>
      <c r="E14131" t="s">
        <v>31200</v>
      </c>
      <c r="F14131" t="s">
        <v>32831</v>
      </c>
      <c r="G14131" t="s">
        <v>32839</v>
      </c>
      <c r="H14131" t="s">
        <v>32849</v>
      </c>
      <c r="I14131" t="s">
        <v>4177</v>
      </c>
      <c r="J14131" t="s">
        <v>34530</v>
      </c>
      <c r="K14131" t="s">
        <v>42732</v>
      </c>
      <c r="M14131" t="s">
        <v>45613</v>
      </c>
      <c r="N14131" t="s">
        <v>47424</v>
      </c>
      <c r="O14131" t="s">
        <v>47425</v>
      </c>
      <c r="P14131">
        <v>0</v>
      </c>
      <c r="Q14131">
        <v>3</v>
      </c>
      <c r="R14131" t="s">
        <v>47445</v>
      </c>
      <c r="S14131" t="s">
        <v>48250</v>
      </c>
      <c r="T14131" t="s">
        <v>49243</v>
      </c>
      <c r="U14131" t="s">
        <v>61165</v>
      </c>
      <c r="V14131" t="s">
        <v>63379</v>
      </c>
      <c r="W14131" t="s">
        <v>45613</v>
      </c>
      <c r="X14131" t="s">
        <v>47446</v>
      </c>
    </row>
    <row r="14132" spans="1:24">
      <c r="A14132">
        <f>HYPERLINK("https://www.philgeps.gov.ph/GEPSNONPILOT/Tender/SplashBidNoticeAbstractUI.aspx?menuIndex=3&amp;refID=7128325&amp;Result=3","7128325")</f>
        <v>0</v>
      </c>
      <c r="B14132" t="s">
        <v>726</v>
      </c>
      <c r="C14132" t="s">
        <v>17255</v>
      </c>
      <c r="E14132" t="s">
        <v>31201</v>
      </c>
      <c r="F14132" t="s">
        <v>32831</v>
      </c>
      <c r="G14132" t="s">
        <v>32839</v>
      </c>
      <c r="H14132" t="s">
        <v>32848</v>
      </c>
      <c r="I14132" t="s">
        <v>4776</v>
      </c>
      <c r="J14132" t="s">
        <v>41586</v>
      </c>
      <c r="K14132" t="s">
        <v>42732</v>
      </c>
      <c r="M14132" t="s">
        <v>43747</v>
      </c>
      <c r="N14132" t="s">
        <v>47424</v>
      </c>
      <c r="O14132" t="s">
        <v>47425</v>
      </c>
      <c r="P14132">
        <v>0</v>
      </c>
      <c r="Q14132">
        <v>4</v>
      </c>
      <c r="R14132" t="s">
        <v>47445</v>
      </c>
      <c r="S14132" t="s">
        <v>48250</v>
      </c>
      <c r="T14132" t="s">
        <v>49237</v>
      </c>
      <c r="U14132" t="s">
        <v>61166</v>
      </c>
      <c r="W14132" t="s">
        <v>43747</v>
      </c>
      <c r="X14132" t="s">
        <v>47446</v>
      </c>
    </row>
    <row r="14133" spans="1:24">
      <c r="A14133">
        <f>HYPERLINK("https://www.philgeps.gov.ph/GEPSNONPILOT/Tender/SplashBidNoticeAbstractUI.aspx?menuIndex=3&amp;refID=7128338&amp;Result=3","7128338")</f>
        <v>0</v>
      </c>
      <c r="B14133" t="s">
        <v>904</v>
      </c>
      <c r="C14133" t="s">
        <v>17256</v>
      </c>
      <c r="D14133" t="s">
        <v>19047</v>
      </c>
      <c r="E14133" t="s">
        <v>31202</v>
      </c>
      <c r="F14133" t="s">
        <v>32831</v>
      </c>
      <c r="G14133" t="s">
        <v>32839</v>
      </c>
      <c r="H14133" t="s">
        <v>32849</v>
      </c>
      <c r="I14133" t="s">
        <v>4177</v>
      </c>
      <c r="J14133" t="s">
        <v>41587</v>
      </c>
      <c r="K14133" t="s">
        <v>42899</v>
      </c>
      <c r="M14133" t="s">
        <v>43942</v>
      </c>
      <c r="N14133" t="s">
        <v>47424</v>
      </c>
      <c r="O14133" t="s">
        <v>47425</v>
      </c>
      <c r="Q14133">
        <v>5</v>
      </c>
      <c r="R14133" t="s">
        <v>47445</v>
      </c>
      <c r="S14133" t="s">
        <v>48317</v>
      </c>
      <c r="T14133" t="s">
        <v>49237</v>
      </c>
      <c r="U14133" t="s">
        <v>51356</v>
      </c>
      <c r="V14133" t="s">
        <v>64234</v>
      </c>
      <c r="W14133" t="s">
        <v>43942</v>
      </c>
      <c r="X14133" t="s">
        <v>47446</v>
      </c>
    </row>
    <row r="14134" spans="1:24">
      <c r="A14134">
        <f>HYPERLINK("https://www.philgeps.gov.ph/GEPSNONPILOT/Tender/SplashBidNoticeAbstractUI.aspx?menuIndex=3&amp;refID=7128303&amp;Result=3","7128303")</f>
        <v>0</v>
      </c>
      <c r="B14134" t="s">
        <v>1239</v>
      </c>
      <c r="C14134" t="s">
        <v>17257</v>
      </c>
      <c r="D14134" t="s">
        <v>19037</v>
      </c>
      <c r="E14134" t="s">
        <v>31203</v>
      </c>
      <c r="F14134" t="s">
        <v>32831</v>
      </c>
      <c r="G14134" t="s">
        <v>32839</v>
      </c>
      <c r="H14134" t="s">
        <v>32849</v>
      </c>
      <c r="I14134" t="s">
        <v>4177</v>
      </c>
      <c r="J14134" t="s">
        <v>34759</v>
      </c>
      <c r="K14134" t="s">
        <v>42761</v>
      </c>
      <c r="M14134" t="s">
        <v>47201</v>
      </c>
      <c r="N14134" t="s">
        <v>47424</v>
      </c>
      <c r="O14134" t="s">
        <v>47425</v>
      </c>
      <c r="P14134">
        <v>0</v>
      </c>
      <c r="Q14134">
        <v>12</v>
      </c>
      <c r="R14134" t="s">
        <v>47445</v>
      </c>
      <c r="S14134" t="s">
        <v>48250</v>
      </c>
      <c r="T14134" t="s">
        <v>49073</v>
      </c>
      <c r="U14134" t="s">
        <v>61167</v>
      </c>
      <c r="W14134" t="s">
        <v>47201</v>
      </c>
      <c r="X14134" t="s">
        <v>47446</v>
      </c>
    </row>
    <row r="14135" spans="1:24">
      <c r="A14135">
        <f>HYPERLINK("https://www.philgeps.gov.ph/GEPSNONPILOT/Tender/SplashBidNoticeAbstractUI.aspx?menuIndex=3&amp;refID=7128215&amp;Result=3","7128215")</f>
        <v>0</v>
      </c>
      <c r="B14135" t="s">
        <v>755</v>
      </c>
      <c r="C14135" t="s">
        <v>17258</v>
      </c>
      <c r="E14135" t="s">
        <v>31204</v>
      </c>
      <c r="F14135" t="s">
        <v>32831</v>
      </c>
      <c r="G14135" t="s">
        <v>32839</v>
      </c>
      <c r="H14135" t="s">
        <v>32848</v>
      </c>
      <c r="I14135" t="s">
        <v>4487</v>
      </c>
      <c r="J14135" t="s">
        <v>41588</v>
      </c>
      <c r="K14135" t="s">
        <v>42732</v>
      </c>
      <c r="M14135" t="s">
        <v>45605</v>
      </c>
      <c r="N14135" t="s">
        <v>47424</v>
      </c>
      <c r="O14135" t="s">
        <v>47425</v>
      </c>
      <c r="Q14135">
        <v>10</v>
      </c>
      <c r="R14135" t="s">
        <v>47445</v>
      </c>
      <c r="S14135" t="s">
        <v>48318</v>
      </c>
      <c r="T14135" t="s">
        <v>49150</v>
      </c>
      <c r="U14135" t="s">
        <v>61168</v>
      </c>
      <c r="W14135" t="s">
        <v>45605</v>
      </c>
      <c r="X14135" t="s">
        <v>47446</v>
      </c>
    </row>
    <row r="14136" spans="1:24">
      <c r="A14136">
        <f>HYPERLINK("https://www.philgeps.gov.ph/GEPSNONPILOT/Tender/SplashBidNoticeAbstractUI.aspx?menuIndex=3&amp;refID=7128245&amp;Result=3","7128245")</f>
        <v>0</v>
      </c>
      <c r="B14136" t="s">
        <v>755</v>
      </c>
      <c r="C14136" t="s">
        <v>17259</v>
      </c>
      <c r="E14136" t="s">
        <v>31205</v>
      </c>
      <c r="F14136" t="s">
        <v>32831</v>
      </c>
      <c r="G14136" t="s">
        <v>32839</v>
      </c>
      <c r="H14136" t="s">
        <v>32848</v>
      </c>
      <c r="I14136" t="s">
        <v>7751</v>
      </c>
      <c r="J14136" t="s">
        <v>33108</v>
      </c>
      <c r="K14136" t="s">
        <v>42732</v>
      </c>
      <c r="M14136" t="s">
        <v>45605</v>
      </c>
      <c r="N14136" t="s">
        <v>47424</v>
      </c>
      <c r="O14136" t="s">
        <v>47425</v>
      </c>
      <c r="Q14136">
        <v>3</v>
      </c>
      <c r="R14136" t="s">
        <v>47445</v>
      </c>
      <c r="S14136" t="s">
        <v>48319</v>
      </c>
      <c r="T14136" t="s">
        <v>49150</v>
      </c>
      <c r="U14136" t="s">
        <v>61169</v>
      </c>
      <c r="W14136" t="s">
        <v>45605</v>
      </c>
      <c r="X14136" t="s">
        <v>47446</v>
      </c>
    </row>
    <row r="14137" spans="1:24">
      <c r="A14137">
        <f>HYPERLINK("https://www.philgeps.gov.ph/GEPSNONPILOT/Tender/SplashBidNoticeAbstractUI.aspx?menuIndex=3&amp;refID=7128340&amp;Result=3","7128340")</f>
        <v>0</v>
      </c>
      <c r="B14137" t="s">
        <v>3536</v>
      </c>
      <c r="C14137" t="s">
        <v>17260</v>
      </c>
      <c r="D14137" t="s">
        <v>19045</v>
      </c>
      <c r="E14137" t="s">
        <v>31206</v>
      </c>
      <c r="F14137" t="s">
        <v>32831</v>
      </c>
      <c r="G14137" t="s">
        <v>32839</v>
      </c>
      <c r="H14137" t="s">
        <v>32848</v>
      </c>
      <c r="I14137" t="s">
        <v>7751</v>
      </c>
      <c r="J14137" t="s">
        <v>33528</v>
      </c>
      <c r="K14137" t="s">
        <v>42732</v>
      </c>
      <c r="M14137" t="s">
        <v>46888</v>
      </c>
      <c r="N14137" t="s">
        <v>47424</v>
      </c>
      <c r="O14137" t="s">
        <v>47425</v>
      </c>
      <c r="P14137">
        <v>0</v>
      </c>
      <c r="Q14137">
        <v>7</v>
      </c>
      <c r="R14137" t="s">
        <v>47445</v>
      </c>
      <c r="S14137" t="s">
        <v>48250</v>
      </c>
      <c r="T14137" t="s">
        <v>49166</v>
      </c>
      <c r="U14137" t="s">
        <v>61170</v>
      </c>
      <c r="W14137" t="s">
        <v>46888</v>
      </c>
      <c r="X14137" t="s">
        <v>47446</v>
      </c>
    </row>
    <row r="14138" spans="1:24">
      <c r="A14138">
        <f>HYPERLINK("https://www.philgeps.gov.ph/GEPSNONPILOT/Tender/SplashBidNoticeAbstractUI.aspx?menuIndex=3&amp;refID=7128488&amp;Result=3","7128488")</f>
        <v>0</v>
      </c>
      <c r="B14138" t="s">
        <v>1137</v>
      </c>
      <c r="C14138" t="s">
        <v>17261</v>
      </c>
      <c r="D14138" t="s">
        <v>19020</v>
      </c>
      <c r="E14138" t="s">
        <v>31207</v>
      </c>
      <c r="F14138" t="s">
        <v>32831</v>
      </c>
      <c r="G14138" t="s">
        <v>32839</v>
      </c>
      <c r="H14138" t="s">
        <v>32849</v>
      </c>
      <c r="I14138" t="s">
        <v>4177</v>
      </c>
      <c r="J14138" t="s">
        <v>33031</v>
      </c>
      <c r="K14138" t="s">
        <v>42732</v>
      </c>
      <c r="M14138" t="s">
        <v>44200</v>
      </c>
      <c r="N14138" t="s">
        <v>47424</v>
      </c>
      <c r="O14138" t="s">
        <v>47425</v>
      </c>
      <c r="P14138">
        <v>0</v>
      </c>
      <c r="Q14138">
        <v>0</v>
      </c>
      <c r="R14138" t="s">
        <v>47445</v>
      </c>
      <c r="S14138" t="s">
        <v>48250</v>
      </c>
      <c r="T14138" t="s">
        <v>49166</v>
      </c>
      <c r="U14138" t="s">
        <v>61171</v>
      </c>
      <c r="W14138" t="s">
        <v>44200</v>
      </c>
      <c r="X14138" t="s">
        <v>47446</v>
      </c>
    </row>
    <row r="14139" spans="1:24">
      <c r="A14139">
        <f>HYPERLINK("https://www.philgeps.gov.ph/GEPSNONPILOT/Tender/SplashBidNoticeAbstractUI.aspx?menuIndex=3&amp;refID=7127940&amp;Result=3","7127940")</f>
        <v>0</v>
      </c>
      <c r="B14139" t="s">
        <v>1130</v>
      </c>
      <c r="C14139" t="s">
        <v>17262</v>
      </c>
      <c r="D14139" t="s">
        <v>19045</v>
      </c>
      <c r="E14139" t="s">
        <v>31208</v>
      </c>
      <c r="F14139" t="s">
        <v>32831</v>
      </c>
      <c r="G14139" t="s">
        <v>32839</v>
      </c>
      <c r="H14139" t="s">
        <v>32848</v>
      </c>
      <c r="I14139" t="s">
        <v>8781</v>
      </c>
      <c r="J14139" t="s">
        <v>41589</v>
      </c>
      <c r="K14139" t="s">
        <v>42763</v>
      </c>
      <c r="M14139" t="s">
        <v>45442</v>
      </c>
      <c r="N14139" t="s">
        <v>47424</v>
      </c>
      <c r="O14139" t="s">
        <v>47425</v>
      </c>
      <c r="P14139">
        <v>0</v>
      </c>
      <c r="Q14139">
        <v>1</v>
      </c>
      <c r="R14139" t="s">
        <v>47445</v>
      </c>
      <c r="S14139" t="s">
        <v>48250</v>
      </c>
      <c r="T14139" t="s">
        <v>49237</v>
      </c>
      <c r="U14139" t="s">
        <v>61172</v>
      </c>
      <c r="V14139" t="s">
        <v>64230</v>
      </c>
      <c r="W14139" t="s">
        <v>45442</v>
      </c>
      <c r="X14139" t="s">
        <v>47446</v>
      </c>
    </row>
    <row r="14140" spans="1:24">
      <c r="A14140">
        <f>HYPERLINK("https://www.philgeps.gov.ph/GEPSNONPILOT/Tender/SplashBidNoticeAbstractUI.aspx?menuIndex=3&amp;refID=7128455&amp;Result=3","7128455")</f>
        <v>0</v>
      </c>
      <c r="B14140" t="s">
        <v>904</v>
      </c>
      <c r="C14140" t="s">
        <v>17263</v>
      </c>
      <c r="D14140" t="s">
        <v>19047</v>
      </c>
      <c r="E14140" t="s">
        <v>31209</v>
      </c>
      <c r="F14140" t="s">
        <v>32831</v>
      </c>
      <c r="G14140" t="s">
        <v>32839</v>
      </c>
      <c r="H14140" t="s">
        <v>32849</v>
      </c>
      <c r="I14140" t="s">
        <v>4177</v>
      </c>
      <c r="J14140" t="s">
        <v>41590</v>
      </c>
      <c r="K14140" t="s">
        <v>42734</v>
      </c>
      <c r="M14140" t="s">
        <v>43942</v>
      </c>
      <c r="N14140" t="s">
        <v>47424</v>
      </c>
      <c r="O14140" t="s">
        <v>47425</v>
      </c>
      <c r="Q14140">
        <v>5</v>
      </c>
      <c r="R14140" t="s">
        <v>47445</v>
      </c>
      <c r="S14140" t="s">
        <v>48320</v>
      </c>
      <c r="T14140" t="s">
        <v>49237</v>
      </c>
      <c r="U14140" t="s">
        <v>51356</v>
      </c>
      <c r="V14140" t="s">
        <v>64235</v>
      </c>
      <c r="W14140" t="s">
        <v>43942</v>
      </c>
      <c r="X14140" t="s">
        <v>47446</v>
      </c>
    </row>
    <row r="14141" spans="1:24">
      <c r="A14141">
        <f>HYPERLINK("https://www.philgeps.gov.ph/GEPSNONPILOT/Tender/SplashBidNoticeAbstractUI.aspx?menuIndex=3&amp;refID=7128477&amp;Result=3","7128477")</f>
        <v>0</v>
      </c>
      <c r="B14141" t="s">
        <v>726</v>
      </c>
      <c r="C14141" t="s">
        <v>17264</v>
      </c>
      <c r="E14141" t="s">
        <v>31210</v>
      </c>
      <c r="F14141" t="s">
        <v>32831</v>
      </c>
      <c r="G14141" t="s">
        <v>32839</v>
      </c>
      <c r="H14141" t="s">
        <v>32848</v>
      </c>
      <c r="I14141" t="s">
        <v>32867</v>
      </c>
      <c r="J14141" t="s">
        <v>41591</v>
      </c>
      <c r="K14141" t="s">
        <v>42732</v>
      </c>
      <c r="M14141" t="s">
        <v>43747</v>
      </c>
      <c r="N14141" t="s">
        <v>47424</v>
      </c>
      <c r="O14141" t="s">
        <v>47425</v>
      </c>
      <c r="P14141">
        <v>0</v>
      </c>
      <c r="Q14141">
        <v>12</v>
      </c>
      <c r="R14141" t="s">
        <v>47445</v>
      </c>
      <c r="S14141" t="s">
        <v>48250</v>
      </c>
      <c r="T14141" t="s">
        <v>49237</v>
      </c>
      <c r="U14141" t="s">
        <v>61173</v>
      </c>
      <c r="W14141" t="s">
        <v>43747</v>
      </c>
      <c r="X14141" t="s">
        <v>47446</v>
      </c>
    </row>
    <row r="14142" spans="1:24">
      <c r="A14142">
        <f>HYPERLINK("https://www.philgeps.gov.ph/GEPSNONPILOT/Tender/SplashBidNoticeAbstractUI.aspx?menuIndex=3&amp;refID=7128474&amp;Result=3","7128474")</f>
        <v>0</v>
      </c>
      <c r="B14142" t="s">
        <v>904</v>
      </c>
      <c r="C14142" t="s">
        <v>17265</v>
      </c>
      <c r="D14142" t="s">
        <v>19047</v>
      </c>
      <c r="E14142" t="s">
        <v>31211</v>
      </c>
      <c r="F14142" t="s">
        <v>32831</v>
      </c>
      <c r="G14142" t="s">
        <v>32839</v>
      </c>
      <c r="H14142" t="s">
        <v>32849</v>
      </c>
      <c r="I14142" t="s">
        <v>4177</v>
      </c>
      <c r="J14142" t="s">
        <v>41592</v>
      </c>
      <c r="K14142" t="s">
        <v>42765</v>
      </c>
      <c r="M14142" t="s">
        <v>43942</v>
      </c>
      <c r="N14142" t="s">
        <v>47424</v>
      </c>
      <c r="O14142" t="s">
        <v>47425</v>
      </c>
      <c r="Q14142">
        <v>5</v>
      </c>
      <c r="R14142" t="s">
        <v>47445</v>
      </c>
      <c r="S14142" t="s">
        <v>48321</v>
      </c>
      <c r="T14142" t="s">
        <v>49237</v>
      </c>
      <c r="U14142" t="s">
        <v>51356</v>
      </c>
      <c r="V14142" t="s">
        <v>64236</v>
      </c>
      <c r="W14142" t="s">
        <v>43942</v>
      </c>
      <c r="X14142" t="s">
        <v>47446</v>
      </c>
    </row>
    <row r="14143" spans="1:24">
      <c r="A14143">
        <f>HYPERLINK("https://www.philgeps.gov.ph/GEPSNONPILOT/Tender/SplashBidNoticeAbstractUI.aspx?menuIndex=3&amp;refID=7128435&amp;Result=3","7128435")</f>
        <v>0</v>
      </c>
      <c r="B14143" t="s">
        <v>904</v>
      </c>
      <c r="C14143" t="s">
        <v>17266</v>
      </c>
      <c r="D14143" t="s">
        <v>19047</v>
      </c>
      <c r="E14143" t="s">
        <v>31212</v>
      </c>
      <c r="F14143" t="s">
        <v>32831</v>
      </c>
      <c r="G14143" t="s">
        <v>32839</v>
      </c>
      <c r="H14143" t="s">
        <v>32849</v>
      </c>
      <c r="I14143" t="s">
        <v>4177</v>
      </c>
      <c r="J14143" t="s">
        <v>41593</v>
      </c>
      <c r="K14143" t="s">
        <v>42766</v>
      </c>
      <c r="M14143" t="s">
        <v>43942</v>
      </c>
      <c r="N14143" t="s">
        <v>47424</v>
      </c>
      <c r="O14143" t="s">
        <v>47425</v>
      </c>
      <c r="Q14143">
        <v>4</v>
      </c>
      <c r="R14143" t="s">
        <v>47445</v>
      </c>
      <c r="S14143" t="s">
        <v>48322</v>
      </c>
      <c r="T14143" t="s">
        <v>49237</v>
      </c>
      <c r="U14143" t="s">
        <v>51356</v>
      </c>
      <c r="V14143" t="s">
        <v>64237</v>
      </c>
      <c r="W14143" t="s">
        <v>43942</v>
      </c>
      <c r="X14143" t="s">
        <v>47446</v>
      </c>
    </row>
    <row r="14144" spans="1:24">
      <c r="A14144">
        <f>HYPERLINK("https://www.philgeps.gov.ph/GEPSNONPILOT/Tender/SplashBidNoticeAbstractUI.aspx?menuIndex=3&amp;refID=7128423&amp;Result=3","7128423")</f>
        <v>0</v>
      </c>
      <c r="B14144" t="s">
        <v>755</v>
      </c>
      <c r="C14144" t="s">
        <v>17267</v>
      </c>
      <c r="E14144" t="s">
        <v>31213</v>
      </c>
      <c r="F14144" t="s">
        <v>32831</v>
      </c>
      <c r="G14144" t="s">
        <v>32839</v>
      </c>
      <c r="H14144" t="s">
        <v>32848</v>
      </c>
      <c r="I14144" t="s">
        <v>4303</v>
      </c>
      <c r="J14144" t="s">
        <v>38072</v>
      </c>
      <c r="K14144" t="s">
        <v>42732</v>
      </c>
      <c r="M14144" t="s">
        <v>45605</v>
      </c>
      <c r="N14144" t="s">
        <v>47424</v>
      </c>
      <c r="O14144" t="s">
        <v>47425</v>
      </c>
      <c r="Q14144">
        <v>1</v>
      </c>
      <c r="R14144" t="s">
        <v>47445</v>
      </c>
      <c r="S14144" t="s">
        <v>48323</v>
      </c>
      <c r="T14144" t="s">
        <v>49150</v>
      </c>
      <c r="U14144" t="s">
        <v>61174</v>
      </c>
      <c r="W14144" t="s">
        <v>45605</v>
      </c>
      <c r="X14144" t="s">
        <v>47446</v>
      </c>
    </row>
    <row r="14145" spans="1:24">
      <c r="A14145">
        <f>HYPERLINK("https://www.philgeps.gov.ph/GEPSNONPILOT/Tender/SplashBidNoticeAbstractUI.aspx?menuIndex=3&amp;refID=7128414&amp;Result=3","7128414")</f>
        <v>0</v>
      </c>
      <c r="B14145" t="s">
        <v>100</v>
      </c>
      <c r="C14145" t="s">
        <v>17268</v>
      </c>
      <c r="D14145" t="s">
        <v>19017</v>
      </c>
      <c r="E14145" t="s">
        <v>31214</v>
      </c>
      <c r="F14145" t="s">
        <v>32831</v>
      </c>
      <c r="G14145" t="s">
        <v>32839</v>
      </c>
      <c r="H14145" t="s">
        <v>32848</v>
      </c>
      <c r="I14145" t="s">
        <v>32857</v>
      </c>
      <c r="J14145" t="s">
        <v>39127</v>
      </c>
      <c r="K14145" t="s">
        <v>42731</v>
      </c>
      <c r="M14145" t="s">
        <v>47202</v>
      </c>
      <c r="N14145" t="s">
        <v>47424</v>
      </c>
      <c r="O14145" t="s">
        <v>47425</v>
      </c>
      <c r="Q14145">
        <v>10</v>
      </c>
      <c r="R14145" t="s">
        <v>47445</v>
      </c>
      <c r="S14145" t="s">
        <v>48324</v>
      </c>
      <c r="T14145" t="s">
        <v>49114</v>
      </c>
      <c r="U14145" t="s">
        <v>61175</v>
      </c>
      <c r="W14145" t="s">
        <v>47202</v>
      </c>
      <c r="X14145" t="s">
        <v>47446</v>
      </c>
    </row>
    <row r="14146" spans="1:24">
      <c r="A14146">
        <f>HYPERLINK("https://www.philgeps.gov.ph/GEPSNONPILOT/Tender/SplashBidNoticeAbstractUI.aspx?menuIndex=3&amp;refID=7128315&amp;Result=3","7128315")</f>
        <v>0</v>
      </c>
      <c r="B14146" t="s">
        <v>755</v>
      </c>
      <c r="C14146" t="s">
        <v>17269</v>
      </c>
      <c r="E14146" t="s">
        <v>31215</v>
      </c>
      <c r="F14146" t="s">
        <v>32831</v>
      </c>
      <c r="G14146" t="s">
        <v>32839</v>
      </c>
      <c r="H14146" t="s">
        <v>32848</v>
      </c>
      <c r="I14146" t="s">
        <v>4435</v>
      </c>
      <c r="J14146" t="s">
        <v>41594</v>
      </c>
      <c r="K14146" t="s">
        <v>42732</v>
      </c>
      <c r="M14146" t="s">
        <v>45605</v>
      </c>
      <c r="N14146" t="s">
        <v>47424</v>
      </c>
      <c r="O14146" t="s">
        <v>47425</v>
      </c>
      <c r="Q14146">
        <v>7</v>
      </c>
      <c r="R14146" t="s">
        <v>47445</v>
      </c>
      <c r="S14146" t="s">
        <v>48325</v>
      </c>
      <c r="T14146" t="s">
        <v>49150</v>
      </c>
      <c r="U14146" t="s">
        <v>61176</v>
      </c>
      <c r="W14146" t="s">
        <v>45605</v>
      </c>
      <c r="X14146" t="s">
        <v>47446</v>
      </c>
    </row>
    <row r="14147" spans="1:24">
      <c r="A14147">
        <f>HYPERLINK("https://www.philgeps.gov.ph/GEPSNONPILOT/Tender/SplashBidNoticeAbstractUI.aspx?menuIndex=3&amp;refID=7128309&amp;Result=3","7128309")</f>
        <v>0</v>
      </c>
      <c r="B14147" t="s">
        <v>726</v>
      </c>
      <c r="C14147" t="s">
        <v>17270</v>
      </c>
      <c r="E14147" t="s">
        <v>31216</v>
      </c>
      <c r="F14147" t="s">
        <v>32831</v>
      </c>
      <c r="G14147" t="s">
        <v>32839</v>
      </c>
      <c r="H14147" t="s">
        <v>32848</v>
      </c>
      <c r="I14147" t="s">
        <v>4340</v>
      </c>
      <c r="J14147" t="s">
        <v>41595</v>
      </c>
      <c r="K14147" t="s">
        <v>42732</v>
      </c>
      <c r="M14147" t="s">
        <v>43747</v>
      </c>
      <c r="N14147" t="s">
        <v>47424</v>
      </c>
      <c r="O14147" t="s">
        <v>47425</v>
      </c>
      <c r="P14147">
        <v>0</v>
      </c>
      <c r="Q14147">
        <v>2</v>
      </c>
      <c r="R14147" t="s">
        <v>47445</v>
      </c>
      <c r="S14147" t="s">
        <v>48250</v>
      </c>
      <c r="T14147" t="s">
        <v>49237</v>
      </c>
      <c r="U14147" t="s">
        <v>61177</v>
      </c>
      <c r="W14147" t="s">
        <v>43747</v>
      </c>
      <c r="X14147" t="s">
        <v>47446</v>
      </c>
    </row>
    <row r="14148" spans="1:24">
      <c r="A14148">
        <f>HYPERLINK("https://www.philgeps.gov.ph/GEPSNONPILOT/Tender/SplashBidNoticeAbstractUI.aspx?menuIndex=3&amp;refID=7128397&amp;Result=3","7128397")</f>
        <v>0</v>
      </c>
      <c r="B14148" t="s">
        <v>1606</v>
      </c>
      <c r="C14148" t="s">
        <v>17271</v>
      </c>
      <c r="E14148" t="s">
        <v>31217</v>
      </c>
      <c r="F14148" t="s">
        <v>32831</v>
      </c>
      <c r="G14148" t="s">
        <v>32839</v>
      </c>
      <c r="H14148" t="s">
        <v>32848</v>
      </c>
      <c r="I14148" t="s">
        <v>32874</v>
      </c>
      <c r="J14148" t="s">
        <v>41596</v>
      </c>
      <c r="K14148" t="s">
        <v>42732</v>
      </c>
      <c r="M14148" t="s">
        <v>44722</v>
      </c>
      <c r="N14148" t="s">
        <v>47424</v>
      </c>
      <c r="O14148" t="s">
        <v>47425</v>
      </c>
      <c r="P14148">
        <v>0</v>
      </c>
      <c r="Q14148">
        <v>24</v>
      </c>
      <c r="R14148" t="s">
        <v>47445</v>
      </c>
      <c r="S14148" t="s">
        <v>48250</v>
      </c>
      <c r="T14148" t="s">
        <v>49239</v>
      </c>
      <c r="U14148" t="s">
        <v>61178</v>
      </c>
      <c r="W14148" t="s">
        <v>44722</v>
      </c>
      <c r="X14148" t="s">
        <v>47446</v>
      </c>
    </row>
    <row r="14149" spans="1:24">
      <c r="A14149">
        <f>HYPERLINK("https://www.philgeps.gov.ph/GEPSNONPILOT/Tender/SplashBidNoticeAbstractUI.aspx?menuIndex=3&amp;refID=7128466&amp;Result=3","7128466")</f>
        <v>0</v>
      </c>
      <c r="B14149" t="s">
        <v>755</v>
      </c>
      <c r="C14149" t="s">
        <v>17272</v>
      </c>
      <c r="E14149" t="s">
        <v>31218</v>
      </c>
      <c r="F14149" t="s">
        <v>32831</v>
      </c>
      <c r="G14149" t="s">
        <v>32839</v>
      </c>
      <c r="H14149" t="s">
        <v>32848</v>
      </c>
      <c r="I14149" t="s">
        <v>32857</v>
      </c>
      <c r="J14149" t="s">
        <v>41597</v>
      </c>
      <c r="K14149" t="s">
        <v>42732</v>
      </c>
      <c r="M14149" t="s">
        <v>45605</v>
      </c>
      <c r="N14149" t="s">
        <v>47424</v>
      </c>
      <c r="O14149" t="s">
        <v>47425</v>
      </c>
      <c r="Q14149">
        <v>17</v>
      </c>
      <c r="R14149" t="s">
        <v>47445</v>
      </c>
      <c r="S14149" t="s">
        <v>48326</v>
      </c>
      <c r="T14149" t="s">
        <v>49150</v>
      </c>
      <c r="U14149" t="s">
        <v>61179</v>
      </c>
      <c r="W14149" t="s">
        <v>45605</v>
      </c>
      <c r="X14149" t="s">
        <v>47446</v>
      </c>
    </row>
    <row r="14150" spans="1:24">
      <c r="A14150">
        <f>HYPERLINK("https://www.philgeps.gov.ph/GEPSNONPILOT/Tender/SplashBidNoticeAbstractUI.aspx?menuIndex=3&amp;refID=7128395&amp;Result=3","7128395")</f>
        <v>0</v>
      </c>
      <c r="B14150" t="s">
        <v>755</v>
      </c>
      <c r="C14150" t="s">
        <v>17273</v>
      </c>
      <c r="E14150" t="s">
        <v>31219</v>
      </c>
      <c r="F14150" t="s">
        <v>32831</v>
      </c>
      <c r="G14150" t="s">
        <v>32839</v>
      </c>
      <c r="H14150" t="s">
        <v>32848</v>
      </c>
      <c r="I14150" t="s">
        <v>4340</v>
      </c>
      <c r="J14150" t="s">
        <v>41598</v>
      </c>
      <c r="K14150" t="s">
        <v>42732</v>
      </c>
      <c r="M14150" t="s">
        <v>45605</v>
      </c>
      <c r="N14150" t="s">
        <v>47424</v>
      </c>
      <c r="O14150" t="s">
        <v>47425</v>
      </c>
      <c r="Q14150">
        <v>5</v>
      </c>
      <c r="R14150" t="s">
        <v>47445</v>
      </c>
      <c r="S14150" t="s">
        <v>48327</v>
      </c>
      <c r="T14150" t="s">
        <v>49150</v>
      </c>
      <c r="U14150" t="s">
        <v>61180</v>
      </c>
      <c r="W14150" t="s">
        <v>45605</v>
      </c>
      <c r="X14150" t="s">
        <v>47446</v>
      </c>
    </row>
    <row r="14151" spans="1:24">
      <c r="A14151">
        <f>HYPERLINK("https://www.philgeps.gov.ph/GEPSNONPILOT/Tender/SplashBidNoticeAbstractUI.aspx?menuIndex=3&amp;refID=7128371&amp;Result=3","7128371")</f>
        <v>0</v>
      </c>
      <c r="B14151" t="s">
        <v>1414</v>
      </c>
      <c r="C14151" t="s">
        <v>17274</v>
      </c>
      <c r="D14151" t="s">
        <v>19030</v>
      </c>
      <c r="E14151" t="s">
        <v>31220</v>
      </c>
      <c r="F14151" t="s">
        <v>32831</v>
      </c>
      <c r="G14151" t="s">
        <v>32839</v>
      </c>
      <c r="H14151" t="s">
        <v>32848</v>
      </c>
      <c r="I14151" t="s">
        <v>32867</v>
      </c>
      <c r="J14151" t="s">
        <v>41599</v>
      </c>
      <c r="K14151" t="s">
        <v>42732</v>
      </c>
      <c r="M14151" t="s">
        <v>44502</v>
      </c>
      <c r="N14151" t="s">
        <v>47424</v>
      </c>
      <c r="O14151" t="s">
        <v>47425</v>
      </c>
      <c r="P14151">
        <v>0</v>
      </c>
      <c r="Q14151">
        <v>13</v>
      </c>
      <c r="R14151" t="s">
        <v>47445</v>
      </c>
      <c r="S14151" t="s">
        <v>48250</v>
      </c>
      <c r="T14151" t="s">
        <v>49177</v>
      </c>
      <c r="U14151" t="s">
        <v>61181</v>
      </c>
      <c r="W14151" t="s">
        <v>64557</v>
      </c>
      <c r="X14151" t="s">
        <v>47446</v>
      </c>
    </row>
    <row r="14152" spans="1:24">
      <c r="A14152">
        <f>HYPERLINK("https://www.philgeps.gov.ph/GEPSNONPILOT/Tender/SplashBidNoticeAbstractUI.aspx?menuIndex=3&amp;refID=7128602&amp;Result=3","7128602")</f>
        <v>0</v>
      </c>
      <c r="B14152" t="s">
        <v>100</v>
      </c>
      <c r="C14152" t="s">
        <v>17275</v>
      </c>
      <c r="D14152" t="s">
        <v>19017</v>
      </c>
      <c r="E14152" t="s">
        <v>31221</v>
      </c>
      <c r="F14152" t="s">
        <v>32831</v>
      </c>
      <c r="G14152" t="s">
        <v>32839</v>
      </c>
      <c r="H14152" t="s">
        <v>32848</v>
      </c>
      <c r="I14152" t="s">
        <v>32874</v>
      </c>
      <c r="J14152" t="s">
        <v>33032</v>
      </c>
      <c r="K14152" t="s">
        <v>42726</v>
      </c>
      <c r="M14152" t="s">
        <v>47203</v>
      </c>
      <c r="N14152" t="s">
        <v>47424</v>
      </c>
      <c r="O14152" t="s">
        <v>47425</v>
      </c>
      <c r="Q14152">
        <v>8</v>
      </c>
      <c r="R14152" t="s">
        <v>47445</v>
      </c>
      <c r="S14152" t="s">
        <v>48328</v>
      </c>
      <c r="T14152" t="s">
        <v>49321</v>
      </c>
      <c r="U14152" t="s">
        <v>61182</v>
      </c>
      <c r="W14152" t="s">
        <v>47203</v>
      </c>
      <c r="X14152" t="s">
        <v>47446</v>
      </c>
    </row>
    <row r="14153" spans="1:24">
      <c r="A14153">
        <f>HYPERLINK("https://www.philgeps.gov.ph/GEPSNONPILOT/Tender/SplashBidNoticeAbstractUI.aspx?menuIndex=3&amp;refID=7128581&amp;Result=3","7128581")</f>
        <v>0</v>
      </c>
      <c r="B14153" t="s">
        <v>100</v>
      </c>
      <c r="C14153" t="s">
        <v>17276</v>
      </c>
      <c r="D14153" t="s">
        <v>19017</v>
      </c>
      <c r="E14153" t="s">
        <v>31222</v>
      </c>
      <c r="F14153" t="s">
        <v>32831</v>
      </c>
      <c r="G14153" t="s">
        <v>32839</v>
      </c>
      <c r="H14153" t="s">
        <v>32850</v>
      </c>
      <c r="I14153" t="s">
        <v>32863</v>
      </c>
      <c r="J14153" t="s">
        <v>41600</v>
      </c>
      <c r="K14153" t="s">
        <v>42807</v>
      </c>
      <c r="M14153" t="s">
        <v>47202</v>
      </c>
      <c r="N14153" t="s">
        <v>47424</v>
      </c>
      <c r="O14153" t="s">
        <v>47425</v>
      </c>
      <c r="Q14153">
        <v>0</v>
      </c>
      <c r="R14153" t="s">
        <v>47445</v>
      </c>
      <c r="S14153" t="s">
        <v>48329</v>
      </c>
      <c r="T14153" t="s">
        <v>49321</v>
      </c>
      <c r="U14153" t="s">
        <v>61183</v>
      </c>
      <c r="W14153" t="s">
        <v>47202</v>
      </c>
      <c r="X14153" t="s">
        <v>47446</v>
      </c>
    </row>
    <row r="14154" spans="1:24">
      <c r="A14154">
        <f>HYPERLINK("https://www.philgeps.gov.ph/GEPSNONPILOT/Tender/SplashBidNoticeAbstractUI.aspx?menuIndex=3&amp;refID=7128579&amp;Result=3","7128579")</f>
        <v>0</v>
      </c>
      <c r="B14154" t="s">
        <v>1014</v>
      </c>
      <c r="C14154" t="s">
        <v>17277</v>
      </c>
      <c r="D14154" t="s">
        <v>19100</v>
      </c>
      <c r="E14154" t="s">
        <v>31223</v>
      </c>
      <c r="F14154" t="s">
        <v>32831</v>
      </c>
      <c r="G14154" t="s">
        <v>32839</v>
      </c>
      <c r="H14154" t="s">
        <v>32849</v>
      </c>
      <c r="I14154" t="s">
        <v>4177</v>
      </c>
      <c r="J14154" t="s">
        <v>41601</v>
      </c>
      <c r="K14154" t="s">
        <v>42793</v>
      </c>
      <c r="M14154" t="s">
        <v>44063</v>
      </c>
      <c r="N14154" t="s">
        <v>47424</v>
      </c>
      <c r="O14154" t="s">
        <v>47425</v>
      </c>
      <c r="P14154">
        <v>0</v>
      </c>
      <c r="Q14154">
        <v>0</v>
      </c>
      <c r="R14154" t="s">
        <v>47445</v>
      </c>
      <c r="S14154" t="s">
        <v>48250</v>
      </c>
      <c r="T14154" t="s">
        <v>49237</v>
      </c>
      <c r="U14154" t="s">
        <v>61184</v>
      </c>
      <c r="W14154" t="s">
        <v>44063</v>
      </c>
      <c r="X14154" t="s">
        <v>47446</v>
      </c>
    </row>
    <row r="14155" spans="1:24">
      <c r="A14155">
        <f>HYPERLINK("https://www.philgeps.gov.ph/GEPSNONPILOT/Tender/SplashBidNoticeAbstractUI.aspx?menuIndex=3&amp;refID=7128563&amp;Result=3","7128563")</f>
        <v>0</v>
      </c>
      <c r="B14155" t="s">
        <v>904</v>
      </c>
      <c r="C14155" t="s">
        <v>17278</v>
      </c>
      <c r="D14155" t="s">
        <v>19047</v>
      </c>
      <c r="E14155" t="s">
        <v>29649</v>
      </c>
      <c r="F14155" t="s">
        <v>32831</v>
      </c>
      <c r="G14155" t="s">
        <v>32839</v>
      </c>
      <c r="H14155" t="s">
        <v>32849</v>
      </c>
      <c r="I14155" t="s">
        <v>4177</v>
      </c>
      <c r="J14155" t="s">
        <v>41602</v>
      </c>
      <c r="K14155" t="s">
        <v>42914</v>
      </c>
      <c r="M14155" t="s">
        <v>43942</v>
      </c>
      <c r="N14155" t="s">
        <v>47424</v>
      </c>
      <c r="O14155" t="s">
        <v>47425</v>
      </c>
      <c r="Q14155">
        <v>5</v>
      </c>
      <c r="R14155" t="s">
        <v>47445</v>
      </c>
      <c r="S14155" t="s">
        <v>48330</v>
      </c>
      <c r="T14155" t="s">
        <v>49237</v>
      </c>
      <c r="U14155" t="s">
        <v>51356</v>
      </c>
      <c r="V14155" t="s">
        <v>64238</v>
      </c>
      <c r="W14155" t="s">
        <v>43942</v>
      </c>
      <c r="X14155" t="s">
        <v>47446</v>
      </c>
    </row>
    <row r="14156" spans="1:24">
      <c r="A14156">
        <f>HYPERLINK("https://www.philgeps.gov.ph/GEPSNONPILOT/Tender/SplashBidNoticeAbstractUI.aspx?menuIndex=3&amp;refID=7128598&amp;Result=3","7128598")</f>
        <v>0</v>
      </c>
      <c r="B14156" t="s">
        <v>3788</v>
      </c>
      <c r="C14156" t="s">
        <v>17279</v>
      </c>
      <c r="D14156" t="s">
        <v>19048</v>
      </c>
      <c r="E14156" t="s">
        <v>31224</v>
      </c>
      <c r="F14156" t="s">
        <v>32831</v>
      </c>
      <c r="G14156" t="s">
        <v>32839</v>
      </c>
      <c r="H14156" t="s">
        <v>32849</v>
      </c>
      <c r="I14156" t="s">
        <v>4177</v>
      </c>
      <c r="J14156" t="s">
        <v>41603</v>
      </c>
      <c r="K14156" t="s">
        <v>42757</v>
      </c>
      <c r="M14156" t="s">
        <v>47204</v>
      </c>
      <c r="N14156" t="s">
        <v>47424</v>
      </c>
      <c r="O14156" t="s">
        <v>47425</v>
      </c>
      <c r="P14156">
        <v>0</v>
      </c>
      <c r="Q14156">
        <v>0</v>
      </c>
      <c r="R14156" t="s">
        <v>47445</v>
      </c>
      <c r="S14156" t="s">
        <v>48250</v>
      </c>
      <c r="T14156" t="s">
        <v>49111</v>
      </c>
      <c r="U14156" t="s">
        <v>61185</v>
      </c>
      <c r="W14156" t="s">
        <v>47204</v>
      </c>
      <c r="X14156" t="s">
        <v>47446</v>
      </c>
    </row>
    <row r="14157" spans="1:24">
      <c r="A14157">
        <f>HYPERLINK("https://www.philgeps.gov.ph/GEPSNONPILOT/Tender/SplashBidNoticeAbstractUI.aspx?menuIndex=3&amp;refID=7128561&amp;Result=3","7128561")</f>
        <v>0</v>
      </c>
      <c r="B14157" t="s">
        <v>48</v>
      </c>
      <c r="C14157" t="s">
        <v>17280</v>
      </c>
      <c r="D14157" t="s">
        <v>19036</v>
      </c>
      <c r="E14157" t="s">
        <v>31225</v>
      </c>
      <c r="F14157" t="s">
        <v>32831</v>
      </c>
      <c r="G14157" t="s">
        <v>32839</v>
      </c>
      <c r="H14157" t="s">
        <v>32849</v>
      </c>
      <c r="I14157" t="s">
        <v>4177</v>
      </c>
      <c r="J14157" t="s">
        <v>41604</v>
      </c>
      <c r="K14157" t="s">
        <v>42900</v>
      </c>
      <c r="M14157" t="s">
        <v>43045</v>
      </c>
      <c r="N14157" t="s">
        <v>47424</v>
      </c>
      <c r="O14157" t="s">
        <v>47425</v>
      </c>
      <c r="P14157">
        <v>0</v>
      </c>
      <c r="Q14157">
        <v>1</v>
      </c>
      <c r="R14157" t="s">
        <v>47445</v>
      </c>
      <c r="S14157" t="s">
        <v>48250</v>
      </c>
      <c r="T14157" t="s">
        <v>49237</v>
      </c>
      <c r="U14157" t="s">
        <v>61186</v>
      </c>
      <c r="W14157" t="s">
        <v>43045</v>
      </c>
      <c r="X14157" t="s">
        <v>47446</v>
      </c>
    </row>
    <row r="14158" spans="1:24">
      <c r="A14158">
        <f>HYPERLINK("https://www.philgeps.gov.ph/GEPSNONPILOT/Tender/SplashBidNoticeAbstractUI.aspx?menuIndex=3&amp;refID=7128558&amp;Result=3","7128558")</f>
        <v>0</v>
      </c>
      <c r="B14158" t="s">
        <v>3721</v>
      </c>
      <c r="C14158" t="s">
        <v>17281</v>
      </c>
      <c r="D14158" t="s">
        <v>19062</v>
      </c>
      <c r="E14158" t="s">
        <v>31226</v>
      </c>
      <c r="F14158" t="s">
        <v>32831</v>
      </c>
      <c r="G14158" t="s">
        <v>32839</v>
      </c>
      <c r="H14158" t="s">
        <v>32848</v>
      </c>
      <c r="I14158" t="s">
        <v>4776</v>
      </c>
      <c r="J14158" t="s">
        <v>41605</v>
      </c>
      <c r="K14158" t="s">
        <v>42732</v>
      </c>
      <c r="M14158" t="s">
        <v>47113</v>
      </c>
      <c r="N14158" t="s">
        <v>47424</v>
      </c>
      <c r="O14158" t="s">
        <v>47425</v>
      </c>
      <c r="P14158">
        <v>0</v>
      </c>
      <c r="Q14158">
        <v>6</v>
      </c>
      <c r="R14158" t="s">
        <v>47445</v>
      </c>
      <c r="S14158" t="s">
        <v>48250</v>
      </c>
      <c r="T14158" t="s">
        <v>49214</v>
      </c>
      <c r="U14158" t="s">
        <v>61187</v>
      </c>
      <c r="V14158" t="s">
        <v>64134</v>
      </c>
      <c r="W14158" t="s">
        <v>47113</v>
      </c>
      <c r="X14158" t="s">
        <v>47446</v>
      </c>
    </row>
    <row r="14159" spans="1:24">
      <c r="A14159">
        <f>HYPERLINK("https://www.philgeps.gov.ph/GEPSNONPILOT/Tender/SplashBidNoticeAbstractUI.aspx?menuIndex=3&amp;refID=7128404&amp;Result=3","7128404")</f>
        <v>0</v>
      </c>
      <c r="B14159" t="s">
        <v>904</v>
      </c>
      <c r="C14159" t="s">
        <v>17282</v>
      </c>
      <c r="D14159" t="s">
        <v>19047</v>
      </c>
      <c r="E14159" t="s">
        <v>31227</v>
      </c>
      <c r="F14159" t="s">
        <v>32831</v>
      </c>
      <c r="G14159" t="s">
        <v>32839</v>
      </c>
      <c r="H14159" t="s">
        <v>32849</v>
      </c>
      <c r="I14159" t="s">
        <v>4177</v>
      </c>
      <c r="J14159" t="s">
        <v>41606</v>
      </c>
      <c r="K14159" t="s">
        <v>42948</v>
      </c>
      <c r="M14159" t="s">
        <v>43942</v>
      </c>
      <c r="N14159" t="s">
        <v>47424</v>
      </c>
      <c r="O14159" t="s">
        <v>47425</v>
      </c>
      <c r="Q14159">
        <v>5</v>
      </c>
      <c r="R14159" t="s">
        <v>47445</v>
      </c>
      <c r="S14159" t="s">
        <v>48331</v>
      </c>
      <c r="T14159" t="s">
        <v>49237</v>
      </c>
      <c r="U14159" t="s">
        <v>51356</v>
      </c>
      <c r="V14159" t="s">
        <v>64239</v>
      </c>
      <c r="W14159" t="s">
        <v>43942</v>
      </c>
      <c r="X14159" t="s">
        <v>47446</v>
      </c>
    </row>
    <row r="14160" spans="1:24">
      <c r="A14160">
        <f>HYPERLINK("https://www.philgeps.gov.ph/GEPSNONPILOT/Tender/SplashBidNoticeAbstractUI.aspx?menuIndex=3&amp;refID=7128570&amp;Result=3","7128570")</f>
        <v>0</v>
      </c>
      <c r="B14160" t="s">
        <v>222</v>
      </c>
      <c r="C14160" t="s">
        <v>17283</v>
      </c>
      <c r="D14160" t="s">
        <v>19070</v>
      </c>
      <c r="E14160" t="s">
        <v>31228</v>
      </c>
      <c r="F14160" t="s">
        <v>32831</v>
      </c>
      <c r="G14160" t="s">
        <v>32839</v>
      </c>
      <c r="H14160" t="s">
        <v>32849</v>
      </c>
      <c r="I14160" t="s">
        <v>4177</v>
      </c>
      <c r="J14160" t="s">
        <v>33032</v>
      </c>
      <c r="K14160" t="s">
        <v>42732</v>
      </c>
      <c r="M14160" t="s">
        <v>43220</v>
      </c>
      <c r="N14160" t="s">
        <v>47424</v>
      </c>
      <c r="O14160" t="s">
        <v>47425</v>
      </c>
      <c r="P14160">
        <v>0</v>
      </c>
      <c r="Q14160">
        <v>1</v>
      </c>
      <c r="R14160" t="s">
        <v>47445</v>
      </c>
      <c r="S14160" t="s">
        <v>48250</v>
      </c>
      <c r="T14160" t="s">
        <v>49166</v>
      </c>
      <c r="U14160" t="s">
        <v>59731</v>
      </c>
      <c r="W14160" t="s">
        <v>43220</v>
      </c>
      <c r="X14160" t="s">
        <v>47446</v>
      </c>
    </row>
    <row r="14161" spans="1:24">
      <c r="A14161">
        <f>HYPERLINK("https://www.philgeps.gov.ph/GEPSNONPILOT/Tender/SplashBidNoticeAbstractUI.aspx?menuIndex=3&amp;refID=7128552&amp;Result=3","7128552")</f>
        <v>0</v>
      </c>
      <c r="B14161" t="s">
        <v>1295</v>
      </c>
      <c r="C14161" t="s">
        <v>17284</v>
      </c>
      <c r="D14161" t="s">
        <v>19054</v>
      </c>
      <c r="E14161" t="s">
        <v>31229</v>
      </c>
      <c r="F14161" t="s">
        <v>32831</v>
      </c>
      <c r="G14161" t="s">
        <v>32839</v>
      </c>
      <c r="H14161" t="s">
        <v>32848</v>
      </c>
      <c r="I14161" t="s">
        <v>7416</v>
      </c>
      <c r="J14161" t="s">
        <v>41607</v>
      </c>
      <c r="K14161" t="s">
        <v>42731</v>
      </c>
      <c r="M14161" t="s">
        <v>44365</v>
      </c>
      <c r="N14161" t="s">
        <v>47424</v>
      </c>
      <c r="O14161" t="s">
        <v>47425</v>
      </c>
      <c r="P14161">
        <v>0</v>
      </c>
      <c r="Q14161">
        <v>1</v>
      </c>
      <c r="R14161" t="s">
        <v>47445</v>
      </c>
      <c r="S14161" t="s">
        <v>48250</v>
      </c>
      <c r="T14161" t="s">
        <v>49214</v>
      </c>
      <c r="U14161" t="s">
        <v>52500</v>
      </c>
      <c r="W14161" t="s">
        <v>44365</v>
      </c>
      <c r="X14161" t="s">
        <v>47446</v>
      </c>
    </row>
    <row r="14162" spans="1:24">
      <c r="A14162">
        <f>HYPERLINK("https://www.philgeps.gov.ph/GEPSNONPILOT/Tender/SplashBidNoticeAbstractUI.aspx?menuIndex=3&amp;refID=7128528&amp;Result=3","7128528")</f>
        <v>0</v>
      </c>
      <c r="B14162" t="s">
        <v>755</v>
      </c>
      <c r="C14162" t="s">
        <v>17285</v>
      </c>
      <c r="E14162" t="s">
        <v>31230</v>
      </c>
      <c r="F14162" t="s">
        <v>32831</v>
      </c>
      <c r="G14162" t="s">
        <v>32839</v>
      </c>
      <c r="H14162" t="s">
        <v>32848</v>
      </c>
      <c r="I14162" t="s">
        <v>10805</v>
      </c>
      <c r="J14162" t="s">
        <v>41608</v>
      </c>
      <c r="K14162" t="s">
        <v>42732</v>
      </c>
      <c r="M14162" t="s">
        <v>45605</v>
      </c>
      <c r="N14162" t="s">
        <v>47424</v>
      </c>
      <c r="O14162" t="s">
        <v>47425</v>
      </c>
      <c r="Q14162">
        <v>10</v>
      </c>
      <c r="R14162" t="s">
        <v>47445</v>
      </c>
      <c r="S14162" t="s">
        <v>48332</v>
      </c>
      <c r="T14162" t="s">
        <v>49150</v>
      </c>
      <c r="U14162" t="s">
        <v>61188</v>
      </c>
      <c r="W14162" t="s">
        <v>45605</v>
      </c>
      <c r="X14162" t="s">
        <v>47446</v>
      </c>
    </row>
    <row r="14163" spans="1:24">
      <c r="A14163">
        <f>HYPERLINK("https://www.philgeps.gov.ph/GEPSNONPILOT/Tender/SplashBidNoticeAbstractUI.aspx?menuIndex=3&amp;refID=7128536&amp;Result=3","7128536")</f>
        <v>0</v>
      </c>
      <c r="B14163" t="s">
        <v>2841</v>
      </c>
      <c r="C14163" t="s">
        <v>17286</v>
      </c>
      <c r="D14163" t="s">
        <v>19079</v>
      </c>
      <c r="E14163" t="s">
        <v>31231</v>
      </c>
      <c r="F14163" t="s">
        <v>32831</v>
      </c>
      <c r="G14163" t="s">
        <v>32839</v>
      </c>
      <c r="H14163" t="s">
        <v>32849</v>
      </c>
      <c r="I14163" t="s">
        <v>4177</v>
      </c>
      <c r="J14163" t="s">
        <v>41609</v>
      </c>
      <c r="K14163" t="s">
        <v>42732</v>
      </c>
      <c r="M14163" t="s">
        <v>46073</v>
      </c>
      <c r="N14163" t="s">
        <v>47424</v>
      </c>
      <c r="O14163" t="s">
        <v>47425</v>
      </c>
      <c r="P14163">
        <v>0</v>
      </c>
      <c r="Q14163">
        <v>10</v>
      </c>
      <c r="R14163" t="s">
        <v>47445</v>
      </c>
      <c r="S14163" t="s">
        <v>48250</v>
      </c>
      <c r="T14163" t="s">
        <v>49647</v>
      </c>
      <c r="U14163" t="s">
        <v>61189</v>
      </c>
      <c r="V14163" t="s">
        <v>64240</v>
      </c>
      <c r="W14163" t="s">
        <v>46073</v>
      </c>
      <c r="X14163" t="s">
        <v>47446</v>
      </c>
    </row>
    <row r="14164" spans="1:24">
      <c r="A14164">
        <f>HYPERLINK("https://www.philgeps.gov.ph/GEPSNONPILOT/Tender/SplashBidNoticeAbstractUI.aspx?menuIndex=3&amp;refID=7128523&amp;Result=3","7128523")</f>
        <v>0</v>
      </c>
      <c r="B14164" t="s">
        <v>3335</v>
      </c>
      <c r="C14164" t="s">
        <v>17287</v>
      </c>
      <c r="D14164" t="s">
        <v>19038</v>
      </c>
      <c r="E14164" t="s">
        <v>24464</v>
      </c>
      <c r="F14164" t="s">
        <v>32831</v>
      </c>
      <c r="G14164" t="s">
        <v>32839</v>
      </c>
      <c r="H14164" t="s">
        <v>32849</v>
      </c>
      <c r="I14164" t="s">
        <v>4177</v>
      </c>
      <c r="J14164" t="s">
        <v>33111</v>
      </c>
      <c r="K14164" t="s">
        <v>42770</v>
      </c>
      <c r="M14164" t="s">
        <v>46658</v>
      </c>
      <c r="N14164" t="s">
        <v>47424</v>
      </c>
      <c r="O14164" t="s">
        <v>47425</v>
      </c>
      <c r="P14164">
        <v>0</v>
      </c>
      <c r="Q14164">
        <v>3</v>
      </c>
      <c r="R14164" t="s">
        <v>47445</v>
      </c>
      <c r="S14164" t="s">
        <v>48250</v>
      </c>
      <c r="T14164" t="s">
        <v>49111</v>
      </c>
      <c r="U14164" t="s">
        <v>61190</v>
      </c>
      <c r="W14164" t="s">
        <v>46658</v>
      </c>
      <c r="X14164" t="s">
        <v>47446</v>
      </c>
    </row>
    <row r="14165" spans="1:24">
      <c r="A14165">
        <f>HYPERLINK("https://www.philgeps.gov.ph/GEPSNONPILOT/Tender/SplashBidNoticeAbstractUI.aspx?menuIndex=3&amp;refID=7128807&amp;Result=3","7128807")</f>
        <v>0</v>
      </c>
      <c r="B14165" t="s">
        <v>1182</v>
      </c>
      <c r="C14165" t="s">
        <v>17288</v>
      </c>
      <c r="D14165" t="s">
        <v>19047</v>
      </c>
      <c r="E14165" t="s">
        <v>31232</v>
      </c>
      <c r="F14165" t="s">
        <v>32831</v>
      </c>
      <c r="G14165" t="s">
        <v>32839</v>
      </c>
      <c r="H14165" t="s">
        <v>32850</v>
      </c>
      <c r="I14165" t="s">
        <v>32921</v>
      </c>
      <c r="J14165" t="s">
        <v>41610</v>
      </c>
      <c r="K14165" t="s">
        <v>42893</v>
      </c>
      <c r="M14165" t="s">
        <v>44248</v>
      </c>
      <c r="N14165" t="s">
        <v>47424</v>
      </c>
      <c r="O14165" t="s">
        <v>47425</v>
      </c>
      <c r="P14165">
        <v>0</v>
      </c>
      <c r="Q14165">
        <v>7</v>
      </c>
      <c r="R14165" t="s">
        <v>47445</v>
      </c>
      <c r="S14165" t="s">
        <v>48250</v>
      </c>
      <c r="T14165" t="s">
        <v>49214</v>
      </c>
      <c r="U14165" t="s">
        <v>61191</v>
      </c>
      <c r="W14165" t="s">
        <v>64461</v>
      </c>
      <c r="X14165" t="s">
        <v>47446</v>
      </c>
    </row>
    <row r="14166" spans="1:24">
      <c r="A14166">
        <f>HYPERLINK("https://www.philgeps.gov.ph/GEPSNONPILOT/Tender/SplashBidNoticeAbstractUI.aspx?menuIndex=3&amp;refID=7128405&amp;Result=3","7128405")</f>
        <v>0</v>
      </c>
      <c r="B14166" t="s">
        <v>3788</v>
      </c>
      <c r="C14166" t="s">
        <v>17289</v>
      </c>
      <c r="D14166" t="s">
        <v>19048</v>
      </c>
      <c r="E14166" t="s">
        <v>31233</v>
      </c>
      <c r="F14166" t="s">
        <v>32831</v>
      </c>
      <c r="G14166" t="s">
        <v>32839</v>
      </c>
      <c r="H14166" t="s">
        <v>32849</v>
      </c>
      <c r="I14166" t="s">
        <v>4177</v>
      </c>
      <c r="J14166" t="s">
        <v>41611</v>
      </c>
      <c r="K14166" t="s">
        <v>42862</v>
      </c>
      <c r="M14166" t="s">
        <v>47204</v>
      </c>
      <c r="N14166" t="s">
        <v>47424</v>
      </c>
      <c r="O14166" t="s">
        <v>47425</v>
      </c>
      <c r="P14166">
        <v>0</v>
      </c>
      <c r="Q14166">
        <v>1</v>
      </c>
      <c r="R14166" t="s">
        <v>47445</v>
      </c>
      <c r="S14166" t="s">
        <v>48250</v>
      </c>
      <c r="T14166" t="s">
        <v>49111</v>
      </c>
      <c r="U14166" t="s">
        <v>61192</v>
      </c>
      <c r="W14166" t="s">
        <v>47204</v>
      </c>
      <c r="X14166" t="s">
        <v>47446</v>
      </c>
    </row>
    <row r="14167" spans="1:24">
      <c r="A14167">
        <f>HYPERLINK("https://www.philgeps.gov.ph/GEPSNONPILOT/Tender/SplashBidNoticeAbstractUI.aspx?menuIndex=3&amp;refID=7128448&amp;Result=3","7128448")</f>
        <v>0</v>
      </c>
      <c r="B14167" t="s">
        <v>755</v>
      </c>
      <c r="C14167" t="s">
        <v>17290</v>
      </c>
      <c r="E14167" t="s">
        <v>31234</v>
      </c>
      <c r="F14167" t="s">
        <v>32831</v>
      </c>
      <c r="G14167" t="s">
        <v>32839</v>
      </c>
      <c r="H14167" t="s">
        <v>32848</v>
      </c>
      <c r="I14167" t="s">
        <v>32870</v>
      </c>
      <c r="J14167" t="s">
        <v>41612</v>
      </c>
      <c r="K14167" t="s">
        <v>42732</v>
      </c>
      <c r="M14167" t="s">
        <v>45605</v>
      </c>
      <c r="N14167" t="s">
        <v>47424</v>
      </c>
      <c r="O14167" t="s">
        <v>47425</v>
      </c>
      <c r="Q14167">
        <v>5</v>
      </c>
      <c r="R14167" t="s">
        <v>47445</v>
      </c>
      <c r="S14167" t="s">
        <v>48333</v>
      </c>
      <c r="T14167" t="s">
        <v>49150</v>
      </c>
      <c r="U14167" t="s">
        <v>61193</v>
      </c>
      <c r="W14167" t="s">
        <v>45605</v>
      </c>
      <c r="X14167" t="s">
        <v>47446</v>
      </c>
    </row>
    <row r="14168" spans="1:24">
      <c r="A14168">
        <f>HYPERLINK("https://www.philgeps.gov.ph/GEPSNONPILOT/Tender/SplashBidNoticeAbstractUI.aspx?menuIndex=3&amp;refID=7128521&amp;Result=3","7128521")</f>
        <v>0</v>
      </c>
      <c r="B14168" t="s">
        <v>3786</v>
      </c>
      <c r="C14168" t="s">
        <v>17291</v>
      </c>
      <c r="D14168" t="s">
        <v>19027</v>
      </c>
      <c r="E14168" t="s">
        <v>31235</v>
      </c>
      <c r="F14168" t="s">
        <v>32831</v>
      </c>
      <c r="G14168" t="s">
        <v>32839</v>
      </c>
      <c r="H14168" t="s">
        <v>32848</v>
      </c>
      <c r="I14168" t="s">
        <v>10643</v>
      </c>
      <c r="J14168" t="s">
        <v>34132</v>
      </c>
      <c r="K14168" t="s">
        <v>42759</v>
      </c>
      <c r="M14168" t="s">
        <v>47198</v>
      </c>
      <c r="N14168" t="s">
        <v>47424</v>
      </c>
      <c r="O14168" t="s">
        <v>47425</v>
      </c>
      <c r="P14168">
        <v>0</v>
      </c>
      <c r="Q14168">
        <v>3</v>
      </c>
      <c r="R14168" t="s">
        <v>47445</v>
      </c>
      <c r="S14168" t="s">
        <v>48250</v>
      </c>
      <c r="T14168" t="s">
        <v>49177</v>
      </c>
      <c r="U14168" t="s">
        <v>61194</v>
      </c>
      <c r="W14168" t="s">
        <v>47198</v>
      </c>
      <c r="X14168" t="s">
        <v>47446</v>
      </c>
    </row>
    <row r="14169" spans="1:24">
      <c r="A14169">
        <f>HYPERLINK("https://www.philgeps.gov.ph/GEPSNONPILOT/Tender/SplashBidNoticeAbstractUI.aspx?menuIndex=3&amp;refID=7128798&amp;Result=3","7128798")</f>
        <v>0</v>
      </c>
      <c r="B14169" t="s">
        <v>222</v>
      </c>
      <c r="C14169" t="s">
        <v>17292</v>
      </c>
      <c r="D14169" t="s">
        <v>19070</v>
      </c>
      <c r="E14169" t="s">
        <v>31236</v>
      </c>
      <c r="F14169" t="s">
        <v>32831</v>
      </c>
      <c r="G14169" t="s">
        <v>32839</v>
      </c>
      <c r="H14169" t="s">
        <v>32849</v>
      </c>
      <c r="I14169" t="s">
        <v>4177</v>
      </c>
      <c r="J14169" t="s">
        <v>32985</v>
      </c>
      <c r="K14169" t="s">
        <v>42732</v>
      </c>
      <c r="M14169" t="s">
        <v>43220</v>
      </c>
      <c r="N14169" t="s">
        <v>47424</v>
      </c>
      <c r="O14169" t="s">
        <v>47425</v>
      </c>
      <c r="P14169">
        <v>0</v>
      </c>
      <c r="Q14169">
        <v>1</v>
      </c>
      <c r="R14169" t="s">
        <v>47445</v>
      </c>
      <c r="S14169" t="s">
        <v>48250</v>
      </c>
      <c r="T14169" t="s">
        <v>49166</v>
      </c>
      <c r="U14169" t="s">
        <v>59731</v>
      </c>
      <c r="W14169" t="s">
        <v>43220</v>
      </c>
      <c r="X14169" t="s">
        <v>47446</v>
      </c>
    </row>
    <row r="14170" spans="1:24">
      <c r="A14170">
        <f>HYPERLINK("https://www.philgeps.gov.ph/GEPSNONPILOT/Tender/SplashBidNoticeAbstractUI.aspx?menuIndex=3&amp;refID=7128757&amp;Result=3","7128757")</f>
        <v>0</v>
      </c>
      <c r="B14170" t="s">
        <v>100</v>
      </c>
      <c r="C14170" t="s">
        <v>17293</v>
      </c>
      <c r="D14170" t="s">
        <v>19017</v>
      </c>
      <c r="E14170" t="s">
        <v>31237</v>
      </c>
      <c r="F14170" t="s">
        <v>32831</v>
      </c>
      <c r="G14170" t="s">
        <v>32839</v>
      </c>
      <c r="H14170" t="s">
        <v>32848</v>
      </c>
      <c r="I14170" t="s">
        <v>4776</v>
      </c>
      <c r="J14170" t="s">
        <v>41613</v>
      </c>
      <c r="K14170" t="s">
        <v>42730</v>
      </c>
      <c r="M14170" t="s">
        <v>47202</v>
      </c>
      <c r="N14170" t="s">
        <v>47424</v>
      </c>
      <c r="O14170" t="s">
        <v>47425</v>
      </c>
      <c r="Q14170">
        <v>12</v>
      </c>
      <c r="R14170" t="s">
        <v>47445</v>
      </c>
      <c r="S14170" t="s">
        <v>48334</v>
      </c>
      <c r="T14170" t="s">
        <v>49644</v>
      </c>
      <c r="U14170" t="s">
        <v>61195</v>
      </c>
      <c r="W14170" t="s">
        <v>47202</v>
      </c>
      <c r="X14170" t="s">
        <v>47446</v>
      </c>
    </row>
    <row r="14171" spans="1:24">
      <c r="A14171">
        <f>HYPERLINK("https://www.philgeps.gov.ph/GEPSNONPILOT/Tender/SplashBidNoticeAbstractUI.aspx?menuIndex=3&amp;refID=7128560&amp;Result=3","7128560")</f>
        <v>0</v>
      </c>
      <c r="B14171" t="s">
        <v>2831</v>
      </c>
      <c r="C14171" t="s">
        <v>17294</v>
      </c>
      <c r="D14171" t="s">
        <v>19077</v>
      </c>
      <c r="E14171" t="s">
        <v>31238</v>
      </c>
      <c r="F14171" t="s">
        <v>32831</v>
      </c>
      <c r="G14171" t="s">
        <v>32839</v>
      </c>
      <c r="H14171" t="s">
        <v>32848</v>
      </c>
      <c r="I14171" t="s">
        <v>32864</v>
      </c>
      <c r="J14171" t="s">
        <v>41614</v>
      </c>
      <c r="K14171" t="s">
        <v>42730</v>
      </c>
      <c r="M14171" t="s">
        <v>46063</v>
      </c>
      <c r="N14171" t="s">
        <v>47424</v>
      </c>
      <c r="O14171" t="s">
        <v>47425</v>
      </c>
      <c r="Q14171">
        <v>7</v>
      </c>
      <c r="R14171" t="s">
        <v>47445</v>
      </c>
      <c r="S14171" t="s">
        <v>48335</v>
      </c>
      <c r="T14171" t="s">
        <v>49105</v>
      </c>
      <c r="U14171" t="s">
        <v>61196</v>
      </c>
      <c r="W14171" t="s">
        <v>46063</v>
      </c>
      <c r="X14171" t="s">
        <v>47446</v>
      </c>
    </row>
    <row r="14172" spans="1:24">
      <c r="A14172">
        <f>HYPERLINK("https://www.philgeps.gov.ph/GEPSNONPILOT/Tender/SplashBidNoticeAbstractUI.aspx?menuIndex=3&amp;refID=7128747&amp;Result=3","7128747")</f>
        <v>0</v>
      </c>
      <c r="B14172" t="s">
        <v>3789</v>
      </c>
      <c r="C14172" t="s">
        <v>17295</v>
      </c>
      <c r="E14172" t="s">
        <v>31239</v>
      </c>
      <c r="F14172" t="s">
        <v>32831</v>
      </c>
      <c r="G14172" t="s">
        <v>32839</v>
      </c>
      <c r="H14172" t="s">
        <v>32848</v>
      </c>
      <c r="I14172" t="s">
        <v>7416</v>
      </c>
      <c r="J14172" t="s">
        <v>41615</v>
      </c>
      <c r="K14172" t="s">
        <v>42742</v>
      </c>
      <c r="M14172" t="s">
        <v>47205</v>
      </c>
      <c r="N14172" t="s">
        <v>47424</v>
      </c>
      <c r="O14172" t="s">
        <v>47425</v>
      </c>
      <c r="P14172">
        <v>0</v>
      </c>
      <c r="Q14172">
        <v>1</v>
      </c>
      <c r="R14172" t="s">
        <v>47445</v>
      </c>
      <c r="S14172" t="s">
        <v>48250</v>
      </c>
      <c r="T14172" t="s">
        <v>49214</v>
      </c>
      <c r="U14172" t="s">
        <v>61197</v>
      </c>
      <c r="V14172" t="s">
        <v>64241</v>
      </c>
      <c r="W14172" t="s">
        <v>47205</v>
      </c>
      <c r="X14172" t="s">
        <v>47446</v>
      </c>
    </row>
    <row r="14173" spans="1:24">
      <c r="A14173">
        <f>HYPERLINK("https://www.philgeps.gov.ph/GEPSNONPILOT/Tender/SplashBidNoticeAbstractUI.aspx?menuIndex=3&amp;refID=7128726&amp;Result=3","7128726")</f>
        <v>0</v>
      </c>
      <c r="B14173" t="s">
        <v>1295</v>
      </c>
      <c r="C14173" t="s">
        <v>17296</v>
      </c>
      <c r="D14173" t="s">
        <v>19054</v>
      </c>
      <c r="E14173" t="s">
        <v>31240</v>
      </c>
      <c r="F14173" t="s">
        <v>32831</v>
      </c>
      <c r="G14173" t="s">
        <v>32839</v>
      </c>
      <c r="H14173" t="s">
        <v>32848</v>
      </c>
      <c r="I14173" t="s">
        <v>6526</v>
      </c>
      <c r="J14173" t="s">
        <v>34355</v>
      </c>
      <c r="K14173" t="s">
        <v>42731</v>
      </c>
      <c r="M14173" t="s">
        <v>44365</v>
      </c>
      <c r="N14173" t="s">
        <v>47424</v>
      </c>
      <c r="O14173" t="s">
        <v>47425</v>
      </c>
      <c r="P14173">
        <v>0</v>
      </c>
      <c r="Q14173">
        <v>0</v>
      </c>
      <c r="R14173" t="s">
        <v>47445</v>
      </c>
      <c r="S14173" t="s">
        <v>48250</v>
      </c>
      <c r="T14173" t="s">
        <v>49214</v>
      </c>
      <c r="U14173" t="s">
        <v>52500</v>
      </c>
      <c r="W14173" t="s">
        <v>44365</v>
      </c>
      <c r="X14173" t="s">
        <v>47446</v>
      </c>
    </row>
    <row r="14174" spans="1:24">
      <c r="A14174">
        <f>HYPERLINK("https://www.philgeps.gov.ph/GEPSNONPILOT/Tender/SplashBidNoticeAbstractUI.aspx?menuIndex=3&amp;refID=7128778&amp;Result=3","7128778")</f>
        <v>0</v>
      </c>
      <c r="B14174" t="s">
        <v>3721</v>
      </c>
      <c r="C14174" t="s">
        <v>17297</v>
      </c>
      <c r="D14174" t="s">
        <v>19062</v>
      </c>
      <c r="E14174" t="s">
        <v>31241</v>
      </c>
      <c r="F14174" t="s">
        <v>32831</v>
      </c>
      <c r="G14174" t="s">
        <v>32839</v>
      </c>
      <c r="H14174" t="s">
        <v>32848</v>
      </c>
      <c r="I14174" t="s">
        <v>32870</v>
      </c>
      <c r="J14174" t="s">
        <v>41616</v>
      </c>
      <c r="K14174" t="s">
        <v>42732</v>
      </c>
      <c r="M14174" t="s">
        <v>47113</v>
      </c>
      <c r="N14174" t="s">
        <v>47424</v>
      </c>
      <c r="O14174" t="s">
        <v>47425</v>
      </c>
      <c r="Q14174">
        <v>0</v>
      </c>
      <c r="R14174" t="s">
        <v>47445</v>
      </c>
      <c r="S14174" t="s">
        <v>48336</v>
      </c>
      <c r="T14174" t="s">
        <v>49214</v>
      </c>
      <c r="U14174" t="s">
        <v>61198</v>
      </c>
      <c r="V14174" t="s">
        <v>64134</v>
      </c>
      <c r="W14174" t="s">
        <v>47113</v>
      </c>
      <c r="X14174" t="s">
        <v>47446</v>
      </c>
    </row>
    <row r="14175" spans="1:24">
      <c r="A14175">
        <f>HYPERLINK("https://www.philgeps.gov.ph/GEPSNONPILOT/Tender/SplashBidNoticeAbstractUI.aspx?menuIndex=3&amp;refID=7128720&amp;Result=3","7128720")</f>
        <v>0</v>
      </c>
      <c r="B14175" t="s">
        <v>731</v>
      </c>
      <c r="C14175" t="s">
        <v>17298</v>
      </c>
      <c r="D14175" t="s">
        <v>19086</v>
      </c>
      <c r="E14175" t="s">
        <v>31242</v>
      </c>
      <c r="F14175" t="s">
        <v>32831</v>
      </c>
      <c r="G14175" t="s">
        <v>32839</v>
      </c>
      <c r="H14175" t="s">
        <v>32848</v>
      </c>
      <c r="I14175" t="s">
        <v>32868</v>
      </c>
      <c r="J14175" t="s">
        <v>41617</v>
      </c>
      <c r="K14175" t="s">
        <v>42727</v>
      </c>
      <c r="M14175" t="s">
        <v>43753</v>
      </c>
      <c r="N14175" t="s">
        <v>47424</v>
      </c>
      <c r="O14175" t="s">
        <v>47425</v>
      </c>
      <c r="P14175">
        <v>0</v>
      </c>
      <c r="Q14175">
        <v>6</v>
      </c>
      <c r="R14175" t="s">
        <v>47445</v>
      </c>
      <c r="S14175" t="s">
        <v>48250</v>
      </c>
      <c r="T14175" t="s">
        <v>49239</v>
      </c>
      <c r="U14175" t="s">
        <v>52530</v>
      </c>
      <c r="W14175" t="s">
        <v>43753</v>
      </c>
      <c r="X14175" t="s">
        <v>47446</v>
      </c>
    </row>
    <row r="14176" spans="1:24">
      <c r="A14176">
        <f>HYPERLINK("https://www.philgeps.gov.ph/GEPSNONPILOT/Tender/SplashBidNoticeAbstractUI.aspx?menuIndex=3&amp;refID=7128717&amp;Result=3","7128717")</f>
        <v>0</v>
      </c>
      <c r="B14176" t="s">
        <v>3774</v>
      </c>
      <c r="C14176" t="s">
        <v>17299</v>
      </c>
      <c r="D14176" t="s">
        <v>19037</v>
      </c>
      <c r="E14176" t="s">
        <v>31243</v>
      </c>
      <c r="F14176" t="s">
        <v>32835</v>
      </c>
      <c r="G14176" t="s">
        <v>32839</v>
      </c>
      <c r="H14176" t="s">
        <v>32848</v>
      </c>
      <c r="I14176" t="s">
        <v>32877</v>
      </c>
      <c r="J14176" t="s">
        <v>35031</v>
      </c>
      <c r="K14176" t="s">
        <v>42730</v>
      </c>
      <c r="M14176" t="s">
        <v>47182</v>
      </c>
      <c r="N14176" t="s">
        <v>47424</v>
      </c>
      <c r="O14176" t="s">
        <v>47425</v>
      </c>
      <c r="Q14176">
        <v>9</v>
      </c>
      <c r="R14176" t="s">
        <v>47445</v>
      </c>
      <c r="S14176" t="s">
        <v>48337</v>
      </c>
      <c r="T14176" t="s">
        <v>49073</v>
      </c>
      <c r="U14176" t="s">
        <v>61199</v>
      </c>
      <c r="W14176" t="s">
        <v>47182</v>
      </c>
      <c r="X14176" t="s">
        <v>47446</v>
      </c>
    </row>
    <row r="14177" spans="1:24">
      <c r="A14177">
        <f>HYPERLINK("https://www.philgeps.gov.ph/GEPSNONPILOT/Tender/SplashBidNoticeAbstractUI.aspx?menuIndex=3&amp;refID=7128710&amp;Result=3","7128710")</f>
        <v>0</v>
      </c>
      <c r="B14177" t="s">
        <v>3790</v>
      </c>
      <c r="C14177" t="s">
        <v>17300</v>
      </c>
      <c r="D14177" t="s">
        <v>19033</v>
      </c>
      <c r="E14177" t="s">
        <v>31244</v>
      </c>
      <c r="F14177" t="s">
        <v>32831</v>
      </c>
      <c r="G14177" t="s">
        <v>32839</v>
      </c>
      <c r="H14177" t="s">
        <v>32848</v>
      </c>
      <c r="I14177" t="s">
        <v>4558</v>
      </c>
      <c r="J14177" t="s">
        <v>41618</v>
      </c>
      <c r="K14177" t="s">
        <v>42732</v>
      </c>
      <c r="M14177" t="s">
        <v>47206</v>
      </c>
      <c r="N14177" t="s">
        <v>47424</v>
      </c>
      <c r="O14177" t="s">
        <v>47425</v>
      </c>
      <c r="P14177">
        <v>0</v>
      </c>
      <c r="Q14177">
        <v>5</v>
      </c>
      <c r="R14177" t="s">
        <v>47445</v>
      </c>
      <c r="S14177" t="s">
        <v>48250</v>
      </c>
      <c r="T14177" t="s">
        <v>49129</v>
      </c>
      <c r="U14177" t="s">
        <v>61200</v>
      </c>
      <c r="W14177" t="s">
        <v>47206</v>
      </c>
      <c r="X14177" t="s">
        <v>47446</v>
      </c>
    </row>
    <row r="14178" spans="1:24">
      <c r="A14178">
        <f>HYPERLINK("https://www.philgeps.gov.ph/GEPSNONPILOT/Tender/SplashBidNoticeAbstractUI.aspx?menuIndex=3&amp;refID=7129027&amp;Result=3","7129027")</f>
        <v>0</v>
      </c>
      <c r="B14178" t="s">
        <v>3721</v>
      </c>
      <c r="C14178" t="s">
        <v>17301</v>
      </c>
      <c r="D14178" t="s">
        <v>19062</v>
      </c>
      <c r="E14178" t="s">
        <v>31245</v>
      </c>
      <c r="F14178" t="s">
        <v>32831</v>
      </c>
      <c r="G14178" t="s">
        <v>32839</v>
      </c>
      <c r="H14178" t="s">
        <v>32848</v>
      </c>
      <c r="I14178" t="s">
        <v>7416</v>
      </c>
      <c r="J14178" t="s">
        <v>41619</v>
      </c>
      <c r="K14178" t="s">
        <v>42732</v>
      </c>
      <c r="M14178" t="s">
        <v>47113</v>
      </c>
      <c r="N14178" t="s">
        <v>47424</v>
      </c>
      <c r="O14178" t="s">
        <v>47425</v>
      </c>
      <c r="Q14178">
        <v>1</v>
      </c>
      <c r="R14178" t="s">
        <v>47445</v>
      </c>
      <c r="S14178" t="s">
        <v>48338</v>
      </c>
      <c r="T14178" t="s">
        <v>49114</v>
      </c>
      <c r="U14178" t="s">
        <v>61201</v>
      </c>
      <c r="V14178" t="s">
        <v>64134</v>
      </c>
      <c r="W14178" t="s">
        <v>47113</v>
      </c>
      <c r="X14178" t="s">
        <v>47446</v>
      </c>
    </row>
    <row r="14179" spans="1:24">
      <c r="A14179">
        <f>HYPERLINK("https://www.philgeps.gov.ph/GEPSNONPILOT/Tender/SplashBidNoticeAbstractUI.aspx?menuIndex=3&amp;refID=7128738&amp;Result=3","7128738")</f>
        <v>0</v>
      </c>
      <c r="B14179" t="s">
        <v>222</v>
      </c>
      <c r="C14179" t="s">
        <v>17302</v>
      </c>
      <c r="D14179" t="s">
        <v>19070</v>
      </c>
      <c r="E14179" t="s">
        <v>31246</v>
      </c>
      <c r="F14179" t="s">
        <v>32831</v>
      </c>
      <c r="G14179" t="s">
        <v>32839</v>
      </c>
      <c r="H14179" t="s">
        <v>32849</v>
      </c>
      <c r="I14179" t="s">
        <v>4177</v>
      </c>
      <c r="J14179" t="s">
        <v>33257</v>
      </c>
      <c r="K14179" t="s">
        <v>42732</v>
      </c>
      <c r="M14179" t="s">
        <v>43220</v>
      </c>
      <c r="N14179" t="s">
        <v>47424</v>
      </c>
      <c r="O14179" t="s">
        <v>47425</v>
      </c>
      <c r="P14179">
        <v>0</v>
      </c>
      <c r="Q14179">
        <v>1</v>
      </c>
      <c r="R14179" t="s">
        <v>47445</v>
      </c>
      <c r="S14179" t="s">
        <v>48250</v>
      </c>
      <c r="T14179" t="s">
        <v>49166</v>
      </c>
      <c r="U14179" t="s">
        <v>59731</v>
      </c>
      <c r="W14179" t="s">
        <v>43220</v>
      </c>
      <c r="X14179" t="s">
        <v>47446</v>
      </c>
    </row>
    <row r="14180" spans="1:24">
      <c r="A14180">
        <f>HYPERLINK("https://www.philgeps.gov.ph/GEPSNONPILOT/Tender/SplashBidNoticeAbstractUI.aspx?menuIndex=3&amp;refID=7129017&amp;Result=3","7129017")</f>
        <v>0</v>
      </c>
      <c r="B14180" t="s">
        <v>221</v>
      </c>
      <c r="C14180" t="s">
        <v>17303</v>
      </c>
      <c r="D14180" t="s">
        <v>19022</v>
      </c>
      <c r="E14180" t="s">
        <v>31247</v>
      </c>
      <c r="F14180" t="s">
        <v>32831</v>
      </c>
      <c r="G14180" t="s">
        <v>32839</v>
      </c>
      <c r="H14180" t="s">
        <v>32848</v>
      </c>
      <c r="I14180" t="s">
        <v>32860</v>
      </c>
      <c r="J14180" t="s">
        <v>41620</v>
      </c>
      <c r="K14180" t="s">
        <v>42732</v>
      </c>
      <c r="L14180" t="s">
        <v>221</v>
      </c>
      <c r="M14180" t="s">
        <v>43219</v>
      </c>
      <c r="N14180" t="s">
        <v>47424</v>
      </c>
      <c r="O14180" t="s">
        <v>47425</v>
      </c>
      <c r="Q14180">
        <v>11</v>
      </c>
      <c r="R14180" t="s">
        <v>47445</v>
      </c>
      <c r="S14180" t="s">
        <v>48339</v>
      </c>
      <c r="T14180" t="s">
        <v>49162</v>
      </c>
      <c r="U14180" t="s">
        <v>61202</v>
      </c>
      <c r="W14180" t="s">
        <v>43219</v>
      </c>
      <c r="X14180" t="s">
        <v>47446</v>
      </c>
    </row>
    <row r="14181" spans="1:24">
      <c r="A14181">
        <f>HYPERLINK("https://www.philgeps.gov.ph/GEPSNONPILOT/Tender/SplashBidNoticeAbstractUI.aspx?menuIndex=3&amp;refID=7128774&amp;Result=3","7128774")</f>
        <v>0</v>
      </c>
      <c r="B14181" t="s">
        <v>277</v>
      </c>
      <c r="C14181" t="s">
        <v>17304</v>
      </c>
      <c r="D14181" t="s">
        <v>19068</v>
      </c>
      <c r="E14181" t="s">
        <v>31248</v>
      </c>
      <c r="F14181" t="s">
        <v>32831</v>
      </c>
      <c r="G14181" t="s">
        <v>32839</v>
      </c>
      <c r="H14181" t="s">
        <v>32848</v>
      </c>
      <c r="I14181" t="s">
        <v>7416</v>
      </c>
      <c r="J14181" t="s">
        <v>41621</v>
      </c>
      <c r="K14181" t="s">
        <v>42730</v>
      </c>
      <c r="M14181" t="s">
        <v>43276</v>
      </c>
      <c r="N14181" t="s">
        <v>47424</v>
      </c>
      <c r="O14181" t="s">
        <v>47425</v>
      </c>
      <c r="P14181">
        <v>0</v>
      </c>
      <c r="Q14181">
        <v>3</v>
      </c>
      <c r="R14181" t="s">
        <v>47445</v>
      </c>
      <c r="S14181" t="s">
        <v>48250</v>
      </c>
      <c r="T14181" t="s">
        <v>49114</v>
      </c>
      <c r="U14181" t="s">
        <v>61203</v>
      </c>
      <c r="W14181" t="s">
        <v>43276</v>
      </c>
      <c r="X14181" t="s">
        <v>47446</v>
      </c>
    </row>
    <row r="14182" spans="1:24">
      <c r="A14182">
        <f>HYPERLINK("https://www.philgeps.gov.ph/GEPSNONPILOT/Tender/SplashBidNoticeAbstractUI.aspx?menuIndex=3&amp;refID=7129011&amp;Result=3","7129011")</f>
        <v>0</v>
      </c>
      <c r="B14182" t="s">
        <v>3774</v>
      </c>
      <c r="C14182" t="s">
        <v>17305</v>
      </c>
      <c r="D14182" t="s">
        <v>19037</v>
      </c>
      <c r="E14182" t="s">
        <v>31249</v>
      </c>
      <c r="F14182" t="s">
        <v>32831</v>
      </c>
      <c r="G14182" t="s">
        <v>32839</v>
      </c>
      <c r="H14182" t="s">
        <v>32848</v>
      </c>
      <c r="I14182" t="s">
        <v>4487</v>
      </c>
      <c r="J14182" t="s">
        <v>41622</v>
      </c>
      <c r="K14182" t="s">
        <v>42727</v>
      </c>
      <c r="M14182" t="s">
        <v>47182</v>
      </c>
      <c r="N14182" t="s">
        <v>47424</v>
      </c>
      <c r="O14182" t="s">
        <v>47425</v>
      </c>
      <c r="Q14182">
        <v>19</v>
      </c>
      <c r="R14182" t="s">
        <v>47445</v>
      </c>
      <c r="S14182" t="s">
        <v>48023</v>
      </c>
      <c r="T14182" t="s">
        <v>49166</v>
      </c>
      <c r="U14182" t="s">
        <v>61204</v>
      </c>
      <c r="W14182" t="s">
        <v>47182</v>
      </c>
      <c r="X14182" t="s">
        <v>47446</v>
      </c>
    </row>
    <row r="14183" spans="1:24">
      <c r="A14183">
        <f>HYPERLINK("https://www.philgeps.gov.ph/GEPSNONPILOT/Tender/SplashBidNoticeAbstractUI.aspx?menuIndex=3&amp;refID=7128978&amp;Result=3","7128978")</f>
        <v>0</v>
      </c>
      <c r="B14183" t="s">
        <v>3721</v>
      </c>
      <c r="C14183" t="s">
        <v>17306</v>
      </c>
      <c r="D14183" t="s">
        <v>19062</v>
      </c>
      <c r="E14183" t="s">
        <v>31250</v>
      </c>
      <c r="F14183" t="s">
        <v>32831</v>
      </c>
      <c r="G14183" t="s">
        <v>32839</v>
      </c>
      <c r="H14183" t="s">
        <v>32849</v>
      </c>
      <c r="I14183" t="s">
        <v>4177</v>
      </c>
      <c r="J14183" t="s">
        <v>33017</v>
      </c>
      <c r="K14183" t="s">
        <v>42732</v>
      </c>
      <c r="M14183" t="s">
        <v>47113</v>
      </c>
      <c r="N14183" t="s">
        <v>47424</v>
      </c>
      <c r="O14183" t="s">
        <v>47425</v>
      </c>
      <c r="Q14183">
        <v>0</v>
      </c>
      <c r="R14183" t="s">
        <v>47445</v>
      </c>
      <c r="S14183" t="s">
        <v>47638</v>
      </c>
      <c r="T14183" t="s">
        <v>49214</v>
      </c>
      <c r="U14183" t="s">
        <v>61205</v>
      </c>
      <c r="V14183" t="s">
        <v>64134</v>
      </c>
      <c r="W14183" t="s">
        <v>47113</v>
      </c>
      <c r="X14183" t="s">
        <v>47446</v>
      </c>
    </row>
    <row r="14184" spans="1:24">
      <c r="A14184">
        <f>HYPERLINK("https://www.philgeps.gov.ph/GEPSNONPILOT/Tender/SplashBidNoticeAbstractUI.aspx?menuIndex=3&amp;refID=7128969&amp;Result=3","7128969")</f>
        <v>0</v>
      </c>
      <c r="B14184" t="s">
        <v>3791</v>
      </c>
      <c r="C14184" t="s">
        <v>17307</v>
      </c>
      <c r="D14184" t="s">
        <v>19068</v>
      </c>
      <c r="E14184" t="s">
        <v>25885</v>
      </c>
      <c r="F14184" t="s">
        <v>32831</v>
      </c>
      <c r="G14184" t="s">
        <v>32839</v>
      </c>
      <c r="H14184" t="s">
        <v>32849</v>
      </c>
      <c r="I14184" t="s">
        <v>4177</v>
      </c>
      <c r="J14184" t="s">
        <v>41623</v>
      </c>
      <c r="K14184" t="s">
        <v>42789</v>
      </c>
      <c r="M14184" t="s">
        <v>47207</v>
      </c>
      <c r="N14184" t="s">
        <v>47424</v>
      </c>
      <c r="O14184" t="s">
        <v>47425</v>
      </c>
      <c r="P14184">
        <v>0</v>
      </c>
      <c r="Q14184">
        <v>3</v>
      </c>
      <c r="R14184" t="s">
        <v>47445</v>
      </c>
      <c r="S14184" t="s">
        <v>48250</v>
      </c>
      <c r="T14184" t="s">
        <v>49141</v>
      </c>
      <c r="U14184" t="s">
        <v>61206</v>
      </c>
      <c r="W14184" t="s">
        <v>47207</v>
      </c>
      <c r="X14184" t="s">
        <v>47446</v>
      </c>
    </row>
    <row r="14185" spans="1:24">
      <c r="A14185">
        <f>HYPERLINK("https://www.philgeps.gov.ph/GEPSNONPILOT/Tender/SplashBidNoticeAbstractUI.aspx?menuIndex=3&amp;refID=7128951&amp;Result=3","7128951")</f>
        <v>0</v>
      </c>
      <c r="B14185" t="s">
        <v>3721</v>
      </c>
      <c r="C14185" t="s">
        <v>17308</v>
      </c>
      <c r="D14185" t="s">
        <v>19062</v>
      </c>
      <c r="E14185" t="s">
        <v>31251</v>
      </c>
      <c r="F14185" t="s">
        <v>32831</v>
      </c>
      <c r="G14185" t="s">
        <v>32839</v>
      </c>
      <c r="H14185" t="s">
        <v>32848</v>
      </c>
      <c r="I14185" t="s">
        <v>32934</v>
      </c>
      <c r="J14185" t="s">
        <v>41624</v>
      </c>
      <c r="K14185" t="s">
        <v>42732</v>
      </c>
      <c r="M14185" t="s">
        <v>47113</v>
      </c>
      <c r="N14185" t="s">
        <v>47424</v>
      </c>
      <c r="O14185" t="s">
        <v>47425</v>
      </c>
      <c r="Q14185">
        <v>5</v>
      </c>
      <c r="R14185" t="s">
        <v>47445</v>
      </c>
      <c r="S14185" t="s">
        <v>48340</v>
      </c>
      <c r="T14185" t="s">
        <v>49214</v>
      </c>
      <c r="U14185" t="s">
        <v>61207</v>
      </c>
      <c r="V14185" t="s">
        <v>64134</v>
      </c>
      <c r="W14185" t="s">
        <v>47113</v>
      </c>
      <c r="X14185" t="s">
        <v>47446</v>
      </c>
    </row>
    <row r="14186" spans="1:24">
      <c r="A14186">
        <f>HYPERLINK("https://www.philgeps.gov.ph/GEPSNONPILOT/Tender/SplashBidNoticeAbstractUI.aspx?menuIndex=3&amp;refID=7128936&amp;Result=3","7128936")</f>
        <v>0</v>
      </c>
      <c r="B14186" t="s">
        <v>222</v>
      </c>
      <c r="C14186" t="s">
        <v>17309</v>
      </c>
      <c r="D14186" t="s">
        <v>19070</v>
      </c>
      <c r="E14186" t="s">
        <v>31252</v>
      </c>
      <c r="F14186" t="s">
        <v>32831</v>
      </c>
      <c r="G14186" t="s">
        <v>32839</v>
      </c>
      <c r="H14186" t="s">
        <v>32849</v>
      </c>
      <c r="I14186" t="s">
        <v>4177</v>
      </c>
      <c r="J14186" t="s">
        <v>33083</v>
      </c>
      <c r="K14186" t="s">
        <v>42732</v>
      </c>
      <c r="M14186" t="s">
        <v>43220</v>
      </c>
      <c r="N14186" t="s">
        <v>47424</v>
      </c>
      <c r="O14186" t="s">
        <v>47425</v>
      </c>
      <c r="P14186">
        <v>0</v>
      </c>
      <c r="Q14186">
        <v>1</v>
      </c>
      <c r="R14186" t="s">
        <v>47445</v>
      </c>
      <c r="S14186" t="s">
        <v>48250</v>
      </c>
      <c r="T14186" t="s">
        <v>49166</v>
      </c>
      <c r="U14186" t="s">
        <v>59731</v>
      </c>
      <c r="W14186" t="s">
        <v>43220</v>
      </c>
      <c r="X14186" t="s">
        <v>47446</v>
      </c>
    </row>
    <row r="14187" spans="1:24">
      <c r="A14187">
        <f>HYPERLINK("https://www.philgeps.gov.ph/GEPSNONPILOT/Tender/SplashBidNoticeAbstractUI.aspx?menuIndex=3&amp;refID=7128928&amp;Result=3","7128928")</f>
        <v>0</v>
      </c>
      <c r="B14187" t="s">
        <v>3774</v>
      </c>
      <c r="C14187" t="s">
        <v>17310</v>
      </c>
      <c r="D14187" t="s">
        <v>19037</v>
      </c>
      <c r="E14187" t="s">
        <v>31253</v>
      </c>
      <c r="F14187" t="s">
        <v>32831</v>
      </c>
      <c r="G14187" t="s">
        <v>32839</v>
      </c>
      <c r="H14187" t="s">
        <v>32848</v>
      </c>
      <c r="I14187" t="s">
        <v>32874</v>
      </c>
      <c r="J14187" t="s">
        <v>35900</v>
      </c>
      <c r="K14187" t="s">
        <v>42730</v>
      </c>
      <c r="M14187" t="s">
        <v>47182</v>
      </c>
      <c r="N14187" t="s">
        <v>47424</v>
      </c>
      <c r="O14187" t="s">
        <v>47425</v>
      </c>
      <c r="Q14187">
        <v>40</v>
      </c>
      <c r="R14187" t="s">
        <v>47445</v>
      </c>
      <c r="S14187" t="s">
        <v>48077</v>
      </c>
      <c r="T14187" t="s">
        <v>49166</v>
      </c>
      <c r="U14187" t="s">
        <v>61208</v>
      </c>
      <c r="W14187" t="s">
        <v>47182</v>
      </c>
      <c r="X14187" t="s">
        <v>47446</v>
      </c>
    </row>
    <row r="14188" spans="1:24">
      <c r="A14188">
        <f>HYPERLINK("https://www.philgeps.gov.ph/GEPSNONPILOT/Tender/SplashBidNoticeAbstractUI.aspx?menuIndex=3&amp;refID=7128919&amp;Result=3","7128919")</f>
        <v>0</v>
      </c>
      <c r="B14188" t="s">
        <v>914</v>
      </c>
      <c r="C14188" t="s">
        <v>17311</v>
      </c>
      <c r="D14188" t="s">
        <v>19050</v>
      </c>
      <c r="E14188" t="s">
        <v>31254</v>
      </c>
      <c r="F14188" t="s">
        <v>32831</v>
      </c>
      <c r="G14188" t="s">
        <v>32839</v>
      </c>
      <c r="H14188" t="s">
        <v>32848</v>
      </c>
      <c r="I14188" t="s">
        <v>32870</v>
      </c>
      <c r="J14188" t="s">
        <v>41625</v>
      </c>
      <c r="K14188" t="s">
        <v>42732</v>
      </c>
      <c r="M14188" t="s">
        <v>43955</v>
      </c>
      <c r="N14188" t="s">
        <v>47424</v>
      </c>
      <c r="O14188" t="s">
        <v>47425</v>
      </c>
      <c r="P14188">
        <v>0</v>
      </c>
      <c r="Q14188">
        <v>0</v>
      </c>
      <c r="R14188" t="s">
        <v>47445</v>
      </c>
      <c r="S14188" t="s">
        <v>48250</v>
      </c>
      <c r="T14188" t="s">
        <v>49214</v>
      </c>
      <c r="U14188" t="s">
        <v>61209</v>
      </c>
      <c r="W14188" t="s">
        <v>43955</v>
      </c>
      <c r="X14188" t="s">
        <v>47446</v>
      </c>
    </row>
    <row r="14189" spans="1:24">
      <c r="A14189">
        <f>HYPERLINK("https://www.philgeps.gov.ph/GEPSNONPILOT/Tender/SplashBidNoticeAbstractUI.aspx?menuIndex=3&amp;refID=7128755&amp;Result=3","7128755")</f>
        <v>0</v>
      </c>
      <c r="B14189" t="s">
        <v>1414</v>
      </c>
      <c r="C14189" t="s">
        <v>17312</v>
      </c>
      <c r="D14189" t="s">
        <v>19030</v>
      </c>
      <c r="E14189" t="s">
        <v>31255</v>
      </c>
      <c r="F14189" t="s">
        <v>32831</v>
      </c>
      <c r="G14189" t="s">
        <v>32839</v>
      </c>
      <c r="H14189" t="s">
        <v>32849</v>
      </c>
      <c r="I14189" t="s">
        <v>4177</v>
      </c>
      <c r="J14189" t="s">
        <v>41626</v>
      </c>
      <c r="K14189" t="s">
        <v>42770</v>
      </c>
      <c r="M14189" t="s">
        <v>44502</v>
      </c>
      <c r="N14189" t="s">
        <v>47424</v>
      </c>
      <c r="O14189" t="s">
        <v>47425</v>
      </c>
      <c r="P14189">
        <v>0</v>
      </c>
      <c r="Q14189">
        <v>1</v>
      </c>
      <c r="R14189" t="s">
        <v>47445</v>
      </c>
      <c r="S14189" t="s">
        <v>48250</v>
      </c>
      <c r="T14189" t="s">
        <v>49177</v>
      </c>
      <c r="U14189" t="s">
        <v>61210</v>
      </c>
      <c r="W14189" t="s">
        <v>64557</v>
      </c>
      <c r="X14189" t="s">
        <v>47446</v>
      </c>
    </row>
    <row r="14190" spans="1:24">
      <c r="A14190">
        <f>HYPERLINK("https://www.philgeps.gov.ph/GEPSNONPILOT/Tender/SplashBidNoticeAbstractUI.aspx?menuIndex=3&amp;refID=7128900&amp;Result=3","7128900")</f>
        <v>0</v>
      </c>
      <c r="B14190" t="s">
        <v>3792</v>
      </c>
      <c r="C14190" t="s">
        <v>17313</v>
      </c>
      <c r="D14190" t="s">
        <v>19037</v>
      </c>
      <c r="E14190" t="s">
        <v>28204</v>
      </c>
      <c r="F14190" t="s">
        <v>32831</v>
      </c>
      <c r="G14190" t="s">
        <v>32839</v>
      </c>
      <c r="H14190" t="s">
        <v>32849</v>
      </c>
      <c r="I14190" t="s">
        <v>4177</v>
      </c>
      <c r="J14190" t="s">
        <v>41627</v>
      </c>
      <c r="K14190" t="s">
        <v>42730</v>
      </c>
      <c r="L14190" t="s">
        <v>3792</v>
      </c>
      <c r="M14190" t="s">
        <v>47208</v>
      </c>
      <c r="N14190" t="s">
        <v>47424</v>
      </c>
      <c r="O14190" t="s">
        <v>47425</v>
      </c>
      <c r="P14190">
        <v>0</v>
      </c>
      <c r="Q14190">
        <v>0</v>
      </c>
      <c r="R14190" t="s">
        <v>47445</v>
      </c>
      <c r="S14190" t="s">
        <v>48250</v>
      </c>
      <c r="T14190" t="s">
        <v>49056</v>
      </c>
      <c r="U14190" t="s">
        <v>61211</v>
      </c>
      <c r="W14190" t="s">
        <v>47208</v>
      </c>
      <c r="X14190" t="s">
        <v>47446</v>
      </c>
    </row>
    <row r="14191" spans="1:24">
      <c r="A14191">
        <f>HYPERLINK("https://www.philgeps.gov.ph/GEPSNONPILOT/Tender/SplashBidNoticeAbstractUI.aspx?menuIndex=3&amp;refID=7128892&amp;Result=3","7128892")</f>
        <v>0</v>
      </c>
      <c r="B14191" t="s">
        <v>3721</v>
      </c>
      <c r="C14191" t="s">
        <v>17314</v>
      </c>
      <c r="D14191" t="s">
        <v>19062</v>
      </c>
      <c r="E14191" t="s">
        <v>31256</v>
      </c>
      <c r="F14191" t="s">
        <v>32831</v>
      </c>
      <c r="G14191" t="s">
        <v>32839</v>
      </c>
      <c r="H14191" t="s">
        <v>32848</v>
      </c>
      <c r="I14191" t="s">
        <v>7416</v>
      </c>
      <c r="J14191" t="s">
        <v>41628</v>
      </c>
      <c r="K14191" t="s">
        <v>42732</v>
      </c>
      <c r="M14191" t="s">
        <v>47113</v>
      </c>
      <c r="N14191" t="s">
        <v>47424</v>
      </c>
      <c r="O14191" t="s">
        <v>47425</v>
      </c>
      <c r="Q14191">
        <v>0</v>
      </c>
      <c r="R14191" t="s">
        <v>47445</v>
      </c>
      <c r="S14191" t="s">
        <v>48341</v>
      </c>
      <c r="T14191" t="s">
        <v>49114</v>
      </c>
      <c r="U14191" t="s">
        <v>61212</v>
      </c>
      <c r="V14191" t="s">
        <v>64134</v>
      </c>
      <c r="W14191" t="s">
        <v>47113</v>
      </c>
      <c r="X14191" t="s">
        <v>47446</v>
      </c>
    </row>
    <row r="14192" spans="1:24">
      <c r="A14192">
        <f>HYPERLINK("https://www.philgeps.gov.ph/GEPSNONPILOT/Tender/SplashBidNoticeAbstractUI.aspx?menuIndex=3&amp;refID=7128886&amp;Result=3","7128886")</f>
        <v>0</v>
      </c>
      <c r="B14192" t="s">
        <v>3125</v>
      </c>
      <c r="C14192" t="s">
        <v>17315</v>
      </c>
      <c r="D14192" t="s">
        <v>19065</v>
      </c>
      <c r="E14192" t="s">
        <v>31257</v>
      </c>
      <c r="F14192" t="s">
        <v>32831</v>
      </c>
      <c r="G14192" t="s">
        <v>32839</v>
      </c>
      <c r="H14192" t="s">
        <v>32849</v>
      </c>
      <c r="I14192" t="s">
        <v>4177</v>
      </c>
      <c r="J14192" t="s">
        <v>41629</v>
      </c>
      <c r="K14192" t="s">
        <v>42734</v>
      </c>
      <c r="M14192" t="s">
        <v>46418</v>
      </c>
      <c r="N14192" t="s">
        <v>47424</v>
      </c>
      <c r="O14192" t="s">
        <v>47425</v>
      </c>
      <c r="Q14192">
        <v>0</v>
      </c>
      <c r="R14192" t="s">
        <v>47445</v>
      </c>
      <c r="S14192" t="s">
        <v>48342</v>
      </c>
      <c r="T14192" t="s">
        <v>49205</v>
      </c>
      <c r="U14192" t="s">
        <v>61213</v>
      </c>
      <c r="V14192" t="s">
        <v>63925</v>
      </c>
      <c r="W14192" t="s">
        <v>64536</v>
      </c>
      <c r="X14192" t="s">
        <v>47446</v>
      </c>
    </row>
    <row r="14193" spans="1:24">
      <c r="A14193">
        <f>HYPERLINK("https://www.philgeps.gov.ph/GEPSNONPILOT/Tender/SplashBidNoticeAbstractUI.aspx?menuIndex=3&amp;refID=7128930&amp;Result=3","7128930")</f>
        <v>0</v>
      </c>
      <c r="B14193" t="s">
        <v>3793</v>
      </c>
      <c r="C14193" t="s">
        <v>17316</v>
      </c>
      <c r="D14193" t="s">
        <v>19017</v>
      </c>
      <c r="E14193" t="s">
        <v>31258</v>
      </c>
      <c r="F14193" t="s">
        <v>32831</v>
      </c>
      <c r="G14193" t="s">
        <v>32839</v>
      </c>
      <c r="H14193" t="s">
        <v>32850</v>
      </c>
      <c r="I14193" t="s">
        <v>32921</v>
      </c>
      <c r="J14193" t="s">
        <v>41630</v>
      </c>
      <c r="K14193" t="s">
        <v>42775</v>
      </c>
      <c r="M14193" t="s">
        <v>47209</v>
      </c>
      <c r="N14193" t="s">
        <v>47424</v>
      </c>
      <c r="O14193" t="s">
        <v>47425</v>
      </c>
      <c r="Q14193">
        <v>6</v>
      </c>
      <c r="R14193" t="s">
        <v>47445</v>
      </c>
      <c r="S14193" t="s">
        <v>48343</v>
      </c>
      <c r="T14193" t="s">
        <v>49073</v>
      </c>
      <c r="U14193" t="s">
        <v>61214</v>
      </c>
      <c r="V14193" t="s">
        <v>64242</v>
      </c>
      <c r="W14193" t="s">
        <v>47209</v>
      </c>
      <c r="X14193" t="s">
        <v>47446</v>
      </c>
    </row>
    <row r="14194" spans="1:24">
      <c r="A14194">
        <f>HYPERLINK("https://www.philgeps.gov.ph/GEPSNONPILOT/Tender/SplashBidNoticeAbstractUI.aspx?menuIndex=3&amp;refID=7128882&amp;Result=3","7128882")</f>
        <v>0</v>
      </c>
      <c r="B14194" t="s">
        <v>3057</v>
      </c>
      <c r="C14194" t="s">
        <v>17317</v>
      </c>
      <c r="D14194" t="s">
        <v>19054</v>
      </c>
      <c r="E14194" t="s">
        <v>31259</v>
      </c>
      <c r="F14194" t="s">
        <v>32831</v>
      </c>
      <c r="G14194" t="s">
        <v>32839</v>
      </c>
      <c r="H14194" t="s">
        <v>32848</v>
      </c>
      <c r="I14194" t="s">
        <v>32870</v>
      </c>
      <c r="J14194" t="s">
        <v>34447</v>
      </c>
      <c r="K14194" t="s">
        <v>42731</v>
      </c>
      <c r="M14194" t="s">
        <v>46330</v>
      </c>
      <c r="N14194" t="s">
        <v>47424</v>
      </c>
      <c r="O14194" t="s">
        <v>47425</v>
      </c>
      <c r="P14194">
        <v>0</v>
      </c>
      <c r="Q14194">
        <v>0</v>
      </c>
      <c r="R14194" t="s">
        <v>47445</v>
      </c>
      <c r="S14194" t="s">
        <v>48250</v>
      </c>
      <c r="T14194" t="s">
        <v>49321</v>
      </c>
      <c r="U14194" t="s">
        <v>59794</v>
      </c>
      <c r="W14194" t="s">
        <v>46330</v>
      </c>
      <c r="X14194" t="s">
        <v>47446</v>
      </c>
    </row>
    <row r="14195" spans="1:24">
      <c r="A14195">
        <f>HYPERLINK("https://www.philgeps.gov.ph/GEPSNONPILOT/Tender/SplashBidNoticeAbstractUI.aspx?menuIndex=3&amp;refID=7128451&amp;Result=3","7128451")</f>
        <v>0</v>
      </c>
      <c r="B14195" t="s">
        <v>3736</v>
      </c>
      <c r="C14195" t="s">
        <v>17318</v>
      </c>
      <c r="D14195" t="s">
        <v>19023</v>
      </c>
      <c r="E14195" t="s">
        <v>31260</v>
      </c>
      <c r="F14195" t="s">
        <v>32831</v>
      </c>
      <c r="G14195" t="s">
        <v>32839</v>
      </c>
      <c r="H14195" t="s">
        <v>32849</v>
      </c>
      <c r="I14195" t="s">
        <v>4177</v>
      </c>
      <c r="J14195" t="s">
        <v>36020</v>
      </c>
      <c r="K14195" t="s">
        <v>42945</v>
      </c>
      <c r="M14195" t="s">
        <v>47132</v>
      </c>
      <c r="N14195" t="s">
        <v>47424</v>
      </c>
      <c r="O14195" t="s">
        <v>47425</v>
      </c>
      <c r="P14195">
        <v>0</v>
      </c>
      <c r="Q14195">
        <v>0</v>
      </c>
      <c r="R14195" t="s">
        <v>47445</v>
      </c>
      <c r="S14195" t="s">
        <v>48250</v>
      </c>
      <c r="T14195" t="s">
        <v>49321</v>
      </c>
      <c r="U14195" t="s">
        <v>61215</v>
      </c>
      <c r="W14195" t="s">
        <v>47132</v>
      </c>
      <c r="X14195" t="s">
        <v>47446</v>
      </c>
    </row>
    <row r="14196" spans="1:24">
      <c r="A14196">
        <f>HYPERLINK("https://www.philgeps.gov.ph/GEPSNONPILOT/Tender/SplashBidNoticeAbstractUI.aspx?menuIndex=3&amp;refID=7128848&amp;Result=3","7128848")</f>
        <v>0</v>
      </c>
      <c r="B14196" t="s">
        <v>418</v>
      </c>
      <c r="C14196" t="s">
        <v>17319</v>
      </c>
      <c r="D14196" t="s">
        <v>19043</v>
      </c>
      <c r="E14196" t="s">
        <v>31261</v>
      </c>
      <c r="F14196" t="s">
        <v>32831</v>
      </c>
      <c r="G14196" t="s">
        <v>32839</v>
      </c>
      <c r="H14196" t="s">
        <v>32848</v>
      </c>
      <c r="I14196" t="s">
        <v>4776</v>
      </c>
      <c r="J14196" t="s">
        <v>41631</v>
      </c>
      <c r="K14196" t="s">
        <v>42729</v>
      </c>
      <c r="M14196" t="s">
        <v>43423</v>
      </c>
      <c r="N14196" t="s">
        <v>47424</v>
      </c>
      <c r="O14196" t="s">
        <v>47425</v>
      </c>
      <c r="P14196">
        <v>0</v>
      </c>
      <c r="Q14196">
        <v>7</v>
      </c>
      <c r="R14196" t="s">
        <v>47445</v>
      </c>
      <c r="S14196" t="s">
        <v>48250</v>
      </c>
      <c r="T14196" t="s">
        <v>49141</v>
      </c>
      <c r="U14196" t="s">
        <v>50414</v>
      </c>
      <c r="V14196" t="s">
        <v>62718</v>
      </c>
      <c r="W14196" t="s">
        <v>43423</v>
      </c>
      <c r="X14196" t="s">
        <v>47446</v>
      </c>
    </row>
    <row r="14197" spans="1:24">
      <c r="A14197">
        <f>HYPERLINK("https://www.philgeps.gov.ph/GEPSNONPILOT/Tender/SplashBidNoticeAbstractUI.aspx?menuIndex=3&amp;refID=7128967&amp;Result=3","7128967")</f>
        <v>0</v>
      </c>
      <c r="B14197" t="s">
        <v>3793</v>
      </c>
      <c r="C14197" t="s">
        <v>17320</v>
      </c>
      <c r="D14197" t="s">
        <v>19017</v>
      </c>
      <c r="E14197" t="s">
        <v>31262</v>
      </c>
      <c r="F14197" t="s">
        <v>32831</v>
      </c>
      <c r="G14197" t="s">
        <v>32839</v>
      </c>
      <c r="H14197" t="s">
        <v>32850</v>
      </c>
      <c r="I14197" t="s">
        <v>5667</v>
      </c>
      <c r="J14197" t="s">
        <v>41632</v>
      </c>
      <c r="K14197" t="s">
        <v>42775</v>
      </c>
      <c r="M14197" t="s">
        <v>47209</v>
      </c>
      <c r="N14197" t="s">
        <v>47424</v>
      </c>
      <c r="O14197" t="s">
        <v>47425</v>
      </c>
      <c r="Q14197">
        <v>10</v>
      </c>
      <c r="R14197" t="s">
        <v>47445</v>
      </c>
      <c r="S14197" t="s">
        <v>48344</v>
      </c>
      <c r="T14197" t="s">
        <v>49073</v>
      </c>
      <c r="U14197" t="s">
        <v>61216</v>
      </c>
      <c r="V14197" t="s">
        <v>64242</v>
      </c>
      <c r="W14197" t="s">
        <v>47209</v>
      </c>
      <c r="X14197" t="s">
        <v>47446</v>
      </c>
    </row>
    <row r="14198" spans="1:24">
      <c r="A14198">
        <f>HYPERLINK("https://www.philgeps.gov.ph/GEPSNONPILOT/Tender/SplashBidNoticeAbstractUI.aspx?menuIndex=3&amp;refID=7128704&amp;Result=3","7128704")</f>
        <v>0</v>
      </c>
      <c r="B14198" t="s">
        <v>1137</v>
      </c>
      <c r="C14198" t="s">
        <v>17321</v>
      </c>
      <c r="D14198" t="s">
        <v>19020</v>
      </c>
      <c r="E14198" t="s">
        <v>31263</v>
      </c>
      <c r="F14198" t="s">
        <v>32831</v>
      </c>
      <c r="G14198" t="s">
        <v>32839</v>
      </c>
      <c r="H14198" t="s">
        <v>32849</v>
      </c>
      <c r="I14198" t="s">
        <v>4177</v>
      </c>
      <c r="J14198" t="s">
        <v>33072</v>
      </c>
      <c r="K14198" t="s">
        <v>42732</v>
      </c>
      <c r="M14198" t="s">
        <v>44200</v>
      </c>
      <c r="N14198" t="s">
        <v>47424</v>
      </c>
      <c r="O14198" t="s">
        <v>47425</v>
      </c>
      <c r="P14198">
        <v>0</v>
      </c>
      <c r="Q14198">
        <v>0</v>
      </c>
      <c r="R14198" t="s">
        <v>47445</v>
      </c>
      <c r="S14198" t="s">
        <v>48250</v>
      </c>
      <c r="T14198" t="s">
        <v>49166</v>
      </c>
      <c r="U14198" t="s">
        <v>61217</v>
      </c>
      <c r="W14198" t="s">
        <v>44200</v>
      </c>
      <c r="X14198" t="s">
        <v>47446</v>
      </c>
    </row>
    <row r="14199" spans="1:24">
      <c r="A14199">
        <f>HYPERLINK("https://www.philgeps.gov.ph/GEPSNONPILOT/Tender/SplashBidNoticeAbstractUI.aspx?menuIndex=3&amp;refID=7128871&amp;Result=3","7128871")</f>
        <v>0</v>
      </c>
      <c r="B14199" t="s">
        <v>123</v>
      </c>
      <c r="C14199" t="s">
        <v>17322</v>
      </c>
      <c r="D14199" t="s">
        <v>19038</v>
      </c>
      <c r="E14199" t="s">
        <v>31264</v>
      </c>
      <c r="F14199" t="s">
        <v>32831</v>
      </c>
      <c r="G14199" t="s">
        <v>32839</v>
      </c>
      <c r="H14199" t="s">
        <v>32849</v>
      </c>
      <c r="I14199" t="s">
        <v>4177</v>
      </c>
      <c r="J14199" t="s">
        <v>41633</v>
      </c>
      <c r="K14199" t="s">
        <v>42763</v>
      </c>
      <c r="M14199" t="s">
        <v>43120</v>
      </c>
      <c r="N14199" t="s">
        <v>47424</v>
      </c>
      <c r="O14199" t="s">
        <v>47425</v>
      </c>
      <c r="P14199">
        <v>0</v>
      </c>
      <c r="Q14199">
        <v>0</v>
      </c>
      <c r="R14199" t="s">
        <v>47445</v>
      </c>
      <c r="S14199" t="s">
        <v>48250</v>
      </c>
      <c r="T14199" t="s">
        <v>49214</v>
      </c>
      <c r="U14199" t="s">
        <v>61218</v>
      </c>
      <c r="W14199" t="s">
        <v>43120</v>
      </c>
      <c r="X14199" t="s">
        <v>47446</v>
      </c>
    </row>
    <row r="14200" spans="1:24">
      <c r="A14200">
        <f>HYPERLINK("https://www.philgeps.gov.ph/GEPSNONPILOT/Tender/SplashBidNoticeAbstractUI.aspx?menuIndex=3&amp;refID=7128471&amp;Result=3","7128471")</f>
        <v>0</v>
      </c>
      <c r="B14200" t="s">
        <v>3786</v>
      </c>
      <c r="C14200" t="s">
        <v>17323</v>
      </c>
      <c r="D14200" t="s">
        <v>19027</v>
      </c>
      <c r="E14200" t="s">
        <v>31265</v>
      </c>
      <c r="F14200" t="s">
        <v>32831</v>
      </c>
      <c r="G14200" t="s">
        <v>32839</v>
      </c>
      <c r="H14200" t="s">
        <v>32848</v>
      </c>
      <c r="I14200" t="s">
        <v>9577</v>
      </c>
      <c r="J14200" t="s">
        <v>41634</v>
      </c>
      <c r="K14200" t="s">
        <v>42831</v>
      </c>
      <c r="M14200" t="s">
        <v>47198</v>
      </c>
      <c r="N14200" t="s">
        <v>47424</v>
      </c>
      <c r="O14200" t="s">
        <v>47425</v>
      </c>
      <c r="P14200">
        <v>0</v>
      </c>
      <c r="Q14200">
        <v>2</v>
      </c>
      <c r="R14200" t="s">
        <v>47445</v>
      </c>
      <c r="S14200" t="s">
        <v>48250</v>
      </c>
      <c r="T14200" t="s">
        <v>49177</v>
      </c>
      <c r="U14200" t="s">
        <v>61219</v>
      </c>
      <c r="W14200" t="s">
        <v>47198</v>
      </c>
      <c r="X14200" t="s">
        <v>47446</v>
      </c>
    </row>
    <row r="14201" spans="1:24">
      <c r="A14201">
        <f>HYPERLINK("https://www.philgeps.gov.ph/GEPSNONPILOT/Tender/SplashBidNoticeAbstractUI.aspx?menuIndex=3&amp;refID=7128700&amp;Result=3","7128700")</f>
        <v>0</v>
      </c>
      <c r="B14201" t="s">
        <v>1182</v>
      </c>
      <c r="C14201" t="s">
        <v>17324</v>
      </c>
      <c r="D14201" t="s">
        <v>19047</v>
      </c>
      <c r="E14201" t="s">
        <v>31266</v>
      </c>
      <c r="F14201" t="s">
        <v>32831</v>
      </c>
      <c r="G14201" t="s">
        <v>32839</v>
      </c>
      <c r="H14201" t="s">
        <v>32849</v>
      </c>
      <c r="I14201" t="s">
        <v>32852</v>
      </c>
      <c r="J14201" t="s">
        <v>41635</v>
      </c>
      <c r="K14201" t="s">
        <v>42730</v>
      </c>
      <c r="M14201" t="s">
        <v>44248</v>
      </c>
      <c r="N14201" t="s">
        <v>47424</v>
      </c>
      <c r="O14201" t="s">
        <v>47425</v>
      </c>
      <c r="P14201">
        <v>0</v>
      </c>
      <c r="Q14201">
        <v>3</v>
      </c>
      <c r="R14201" t="s">
        <v>47445</v>
      </c>
      <c r="S14201" t="s">
        <v>48250</v>
      </c>
      <c r="T14201" t="s">
        <v>49214</v>
      </c>
      <c r="U14201" t="s">
        <v>61220</v>
      </c>
      <c r="W14201" t="s">
        <v>64461</v>
      </c>
      <c r="X14201" t="s">
        <v>47446</v>
      </c>
    </row>
    <row r="14202" spans="1:24">
      <c r="A14202">
        <f>HYPERLINK("https://www.philgeps.gov.ph/GEPSNONPILOT/Tender/SplashBidNoticeAbstractUI.aspx?menuIndex=3&amp;refID=7128659&amp;Result=3","7128659")</f>
        <v>0</v>
      </c>
      <c r="B14202" t="s">
        <v>3789</v>
      </c>
      <c r="C14202" t="s">
        <v>17325</v>
      </c>
      <c r="E14202" t="s">
        <v>31267</v>
      </c>
      <c r="F14202" t="s">
        <v>32831</v>
      </c>
      <c r="G14202" t="s">
        <v>32839</v>
      </c>
      <c r="H14202" t="s">
        <v>32848</v>
      </c>
      <c r="I14202" t="s">
        <v>7416</v>
      </c>
      <c r="J14202" t="s">
        <v>41636</v>
      </c>
      <c r="K14202" t="s">
        <v>42742</v>
      </c>
      <c r="M14202" t="s">
        <v>47205</v>
      </c>
      <c r="N14202" t="s">
        <v>47424</v>
      </c>
      <c r="O14202" t="s">
        <v>47425</v>
      </c>
      <c r="P14202">
        <v>0</v>
      </c>
      <c r="Q14202">
        <v>1</v>
      </c>
      <c r="R14202" t="s">
        <v>47445</v>
      </c>
      <c r="S14202" t="s">
        <v>48250</v>
      </c>
      <c r="T14202" t="s">
        <v>49214</v>
      </c>
      <c r="U14202" t="s">
        <v>61221</v>
      </c>
      <c r="V14202" t="s">
        <v>64241</v>
      </c>
      <c r="W14202" t="s">
        <v>47205</v>
      </c>
      <c r="X14202" t="s">
        <v>47446</v>
      </c>
    </row>
    <row r="14203" spans="1:24">
      <c r="A14203">
        <f>HYPERLINK("https://www.philgeps.gov.ph/GEPSNONPILOT/Tender/SplashBidNoticeAbstractUI.aspx?menuIndex=3&amp;refID=7128648&amp;Result=3","7128648")</f>
        <v>0</v>
      </c>
      <c r="B14203" t="s">
        <v>222</v>
      </c>
      <c r="C14203" t="s">
        <v>17326</v>
      </c>
      <c r="D14203" t="s">
        <v>19070</v>
      </c>
      <c r="E14203" t="s">
        <v>31268</v>
      </c>
      <c r="F14203" t="s">
        <v>32831</v>
      </c>
      <c r="G14203" t="s">
        <v>32839</v>
      </c>
      <c r="H14203" t="s">
        <v>32849</v>
      </c>
      <c r="I14203" t="s">
        <v>4177</v>
      </c>
      <c r="J14203" t="s">
        <v>34828</v>
      </c>
      <c r="K14203" t="s">
        <v>42732</v>
      </c>
      <c r="M14203" t="s">
        <v>43220</v>
      </c>
      <c r="N14203" t="s">
        <v>47424</v>
      </c>
      <c r="O14203" t="s">
        <v>47425</v>
      </c>
      <c r="P14203">
        <v>0</v>
      </c>
      <c r="Q14203">
        <v>1</v>
      </c>
      <c r="R14203" t="s">
        <v>47445</v>
      </c>
      <c r="S14203" t="s">
        <v>48250</v>
      </c>
      <c r="T14203" t="s">
        <v>49166</v>
      </c>
      <c r="U14203" t="s">
        <v>59731</v>
      </c>
      <c r="W14203" t="s">
        <v>43220</v>
      </c>
      <c r="X14203" t="s">
        <v>47446</v>
      </c>
    </row>
    <row r="14204" spans="1:24">
      <c r="A14204">
        <f>HYPERLINK("https://www.philgeps.gov.ph/GEPSNONPILOT/Tender/SplashBidNoticeAbstractUI.aspx?menuIndex=3&amp;refID=7128618&amp;Result=3","7128618")</f>
        <v>0</v>
      </c>
      <c r="B14204" t="s">
        <v>174</v>
      </c>
      <c r="C14204" t="s">
        <v>17327</v>
      </c>
      <c r="D14204" t="s">
        <v>19019</v>
      </c>
      <c r="E14204" t="s">
        <v>31269</v>
      </c>
      <c r="F14204" t="s">
        <v>32831</v>
      </c>
      <c r="G14204" t="s">
        <v>32839</v>
      </c>
      <c r="H14204" t="s">
        <v>32848</v>
      </c>
      <c r="I14204" t="s">
        <v>4438</v>
      </c>
      <c r="J14204" t="s">
        <v>38789</v>
      </c>
      <c r="K14204" t="s">
        <v>42730</v>
      </c>
      <c r="M14204" t="s">
        <v>45686</v>
      </c>
      <c r="N14204" t="s">
        <v>47424</v>
      </c>
      <c r="O14204" t="s">
        <v>47425</v>
      </c>
      <c r="Q14204">
        <v>13</v>
      </c>
      <c r="R14204" t="s">
        <v>47445</v>
      </c>
      <c r="S14204" t="s">
        <v>48345</v>
      </c>
      <c r="T14204" t="s">
        <v>49150</v>
      </c>
      <c r="U14204" t="s">
        <v>61222</v>
      </c>
      <c r="W14204" t="s">
        <v>45686</v>
      </c>
      <c r="X14204" t="s">
        <v>47446</v>
      </c>
    </row>
    <row r="14205" spans="1:24">
      <c r="A14205">
        <f>HYPERLINK("https://www.philgeps.gov.ph/GEPSNONPILOT/Tender/SplashBidNoticeAbstractUI.aspx?menuIndex=3&amp;refID=7128516&amp;Result=3","7128516")</f>
        <v>0</v>
      </c>
      <c r="B14205" t="s">
        <v>3541</v>
      </c>
      <c r="C14205" t="s">
        <v>17328</v>
      </c>
      <c r="D14205" t="s">
        <v>19052</v>
      </c>
      <c r="E14205" t="s">
        <v>31270</v>
      </c>
      <c r="F14205" t="s">
        <v>32831</v>
      </c>
      <c r="G14205" t="s">
        <v>32839</v>
      </c>
      <c r="H14205" t="s">
        <v>32849</v>
      </c>
      <c r="I14205" t="s">
        <v>4177</v>
      </c>
      <c r="J14205" t="s">
        <v>41637</v>
      </c>
      <c r="K14205" t="s">
        <v>42763</v>
      </c>
      <c r="M14205" t="s">
        <v>46894</v>
      </c>
      <c r="N14205" t="s">
        <v>47424</v>
      </c>
      <c r="O14205" t="s">
        <v>47425</v>
      </c>
      <c r="P14205">
        <v>0</v>
      </c>
      <c r="Q14205">
        <v>2</v>
      </c>
      <c r="R14205" t="s">
        <v>47445</v>
      </c>
      <c r="S14205" t="s">
        <v>48250</v>
      </c>
      <c r="T14205" t="s">
        <v>49255</v>
      </c>
      <c r="U14205" t="s">
        <v>61223</v>
      </c>
      <c r="W14205" t="s">
        <v>46894</v>
      </c>
      <c r="X14205" t="s">
        <v>47446</v>
      </c>
    </row>
    <row r="14206" spans="1:24">
      <c r="A14206">
        <f>HYPERLINK("https://www.philgeps.gov.ph/GEPSNONPILOT/Tender/SplashBidNoticeAbstractUI.aspx?menuIndex=3&amp;refID=7128868&amp;Result=3","7128868")</f>
        <v>0</v>
      </c>
      <c r="B14206" t="s">
        <v>674</v>
      </c>
      <c r="C14206" t="s">
        <v>17329</v>
      </c>
      <c r="D14206" t="s">
        <v>19058</v>
      </c>
      <c r="E14206" t="s">
        <v>31271</v>
      </c>
      <c r="F14206" t="s">
        <v>32831</v>
      </c>
      <c r="G14206" t="s">
        <v>32839</v>
      </c>
      <c r="H14206" t="s">
        <v>32849</v>
      </c>
      <c r="I14206" t="s">
        <v>4177</v>
      </c>
      <c r="J14206" t="s">
        <v>41638</v>
      </c>
      <c r="K14206" t="s">
        <v>42732</v>
      </c>
      <c r="M14206" t="s">
        <v>44520</v>
      </c>
      <c r="N14206" t="s">
        <v>47424</v>
      </c>
      <c r="O14206" t="s">
        <v>47425</v>
      </c>
      <c r="Q14206">
        <v>2</v>
      </c>
      <c r="R14206" t="s">
        <v>47445</v>
      </c>
      <c r="S14206" t="s">
        <v>48346</v>
      </c>
      <c r="T14206" t="s">
        <v>49237</v>
      </c>
      <c r="U14206" t="s">
        <v>61224</v>
      </c>
      <c r="W14206" t="s">
        <v>44520</v>
      </c>
      <c r="X14206" t="s">
        <v>47446</v>
      </c>
    </row>
    <row r="14207" spans="1:24">
      <c r="A14207">
        <f>HYPERLINK("https://www.philgeps.gov.ph/GEPSNONPILOT/Tender/SplashBidNoticeAbstractUI.aspx?menuIndex=3&amp;refID=7128819&amp;Result=3","7128819")</f>
        <v>0</v>
      </c>
      <c r="B14207" t="s">
        <v>1135</v>
      </c>
      <c r="C14207" t="s">
        <v>17330</v>
      </c>
      <c r="D14207" t="s">
        <v>19064</v>
      </c>
      <c r="E14207" t="s">
        <v>31272</v>
      </c>
      <c r="F14207" t="s">
        <v>32831</v>
      </c>
      <c r="G14207" t="s">
        <v>32839</v>
      </c>
      <c r="H14207" t="s">
        <v>32848</v>
      </c>
      <c r="I14207" t="s">
        <v>4177</v>
      </c>
      <c r="J14207" t="s">
        <v>32983</v>
      </c>
      <c r="K14207" t="s">
        <v>42726</v>
      </c>
      <c r="M14207" t="s">
        <v>44197</v>
      </c>
      <c r="N14207" t="s">
        <v>47424</v>
      </c>
      <c r="O14207" t="s">
        <v>47425</v>
      </c>
      <c r="P14207">
        <v>0</v>
      </c>
      <c r="Q14207">
        <v>0</v>
      </c>
      <c r="R14207" t="s">
        <v>47445</v>
      </c>
      <c r="S14207" t="s">
        <v>48250</v>
      </c>
      <c r="T14207" t="s">
        <v>49648</v>
      </c>
      <c r="U14207" t="s">
        <v>61225</v>
      </c>
      <c r="W14207" t="s">
        <v>44197</v>
      </c>
      <c r="X14207" t="s">
        <v>47446</v>
      </c>
    </row>
    <row r="14208" spans="1:24">
      <c r="A14208">
        <f>HYPERLINK("https://www.philgeps.gov.ph/GEPSNONPILOT/Tender/SplashBidNoticeAbstractUI.aspx?menuIndex=3&amp;refID=7128509&amp;Result=3","7128509")</f>
        <v>0</v>
      </c>
      <c r="B14208" t="s">
        <v>3736</v>
      </c>
      <c r="C14208" t="s">
        <v>17331</v>
      </c>
      <c r="D14208" t="s">
        <v>19023</v>
      </c>
      <c r="E14208" t="s">
        <v>31273</v>
      </c>
      <c r="F14208" t="s">
        <v>32831</v>
      </c>
      <c r="G14208" t="s">
        <v>32839</v>
      </c>
      <c r="H14208" t="s">
        <v>32849</v>
      </c>
      <c r="I14208" t="s">
        <v>4177</v>
      </c>
      <c r="J14208" t="s">
        <v>33016</v>
      </c>
      <c r="K14208" t="s">
        <v>42781</v>
      </c>
      <c r="M14208" t="s">
        <v>47132</v>
      </c>
      <c r="N14208" t="s">
        <v>47424</v>
      </c>
      <c r="O14208" t="s">
        <v>47425</v>
      </c>
      <c r="P14208">
        <v>0</v>
      </c>
      <c r="Q14208">
        <v>1</v>
      </c>
      <c r="R14208" t="s">
        <v>47445</v>
      </c>
      <c r="S14208" t="s">
        <v>48250</v>
      </c>
      <c r="T14208" t="s">
        <v>49321</v>
      </c>
      <c r="U14208" t="s">
        <v>61226</v>
      </c>
      <c r="W14208" t="s">
        <v>47132</v>
      </c>
      <c r="X14208" t="s">
        <v>47446</v>
      </c>
    </row>
    <row r="14209" spans="1:24">
      <c r="A14209">
        <f>HYPERLINK("https://www.philgeps.gov.ph/GEPSNONPILOT/Tender/SplashBidNoticeAbstractUI.aspx?menuIndex=3&amp;refID=7128688&amp;Result=3","7128688")</f>
        <v>0</v>
      </c>
      <c r="B14209" t="s">
        <v>2235</v>
      </c>
      <c r="C14209" t="s">
        <v>17332</v>
      </c>
      <c r="D14209" t="s">
        <v>19022</v>
      </c>
      <c r="E14209" t="s">
        <v>31274</v>
      </c>
      <c r="F14209" t="s">
        <v>32831</v>
      </c>
      <c r="G14209" t="s">
        <v>32839</v>
      </c>
      <c r="H14209" t="s">
        <v>32849</v>
      </c>
      <c r="I14209" t="s">
        <v>4177</v>
      </c>
      <c r="J14209" t="s">
        <v>41639</v>
      </c>
      <c r="K14209" t="s">
        <v>42991</v>
      </c>
      <c r="M14209" t="s">
        <v>46795</v>
      </c>
      <c r="N14209" t="s">
        <v>47424</v>
      </c>
      <c r="O14209" t="s">
        <v>47425</v>
      </c>
      <c r="P14209">
        <v>0</v>
      </c>
      <c r="Q14209">
        <v>1</v>
      </c>
      <c r="R14209" t="s">
        <v>47445</v>
      </c>
      <c r="S14209" t="s">
        <v>48250</v>
      </c>
      <c r="T14209" t="s">
        <v>49150</v>
      </c>
      <c r="U14209" t="s">
        <v>61227</v>
      </c>
      <c r="W14209" t="s">
        <v>46795</v>
      </c>
      <c r="X14209" t="s">
        <v>47446</v>
      </c>
    </row>
    <row r="14210" spans="1:24">
      <c r="A14210">
        <f>HYPERLINK("https://www.philgeps.gov.ph/GEPSNONPILOT/Tender/SplashBidNoticeAbstractUI.aspx?menuIndex=3&amp;refID=7128503&amp;Result=3","7128503")</f>
        <v>0</v>
      </c>
      <c r="B14210" t="s">
        <v>3721</v>
      </c>
      <c r="C14210" t="s">
        <v>17333</v>
      </c>
      <c r="D14210" t="s">
        <v>19062</v>
      </c>
      <c r="E14210" t="s">
        <v>31275</v>
      </c>
      <c r="F14210" t="s">
        <v>32831</v>
      </c>
      <c r="G14210" t="s">
        <v>32839</v>
      </c>
      <c r="H14210" t="s">
        <v>32848</v>
      </c>
      <c r="I14210" t="s">
        <v>7416</v>
      </c>
      <c r="J14210" t="s">
        <v>41640</v>
      </c>
      <c r="K14210" t="s">
        <v>42732</v>
      </c>
      <c r="M14210" t="s">
        <v>47113</v>
      </c>
      <c r="N14210" t="s">
        <v>47424</v>
      </c>
      <c r="O14210" t="s">
        <v>47425</v>
      </c>
      <c r="Q14210">
        <v>3</v>
      </c>
      <c r="R14210" t="s">
        <v>47445</v>
      </c>
      <c r="S14210" t="s">
        <v>48347</v>
      </c>
      <c r="T14210" t="s">
        <v>49214</v>
      </c>
      <c r="U14210" t="s">
        <v>61228</v>
      </c>
      <c r="V14210" t="s">
        <v>64134</v>
      </c>
      <c r="W14210" t="s">
        <v>47113</v>
      </c>
      <c r="X14210" t="s">
        <v>47446</v>
      </c>
    </row>
    <row r="14211" spans="1:24">
      <c r="A14211">
        <f>HYPERLINK("https://www.philgeps.gov.ph/GEPSNONPILOT/Tender/SplashBidNoticeAbstractUI.aspx?menuIndex=3&amp;refID=7128495&amp;Result=3","7128495")</f>
        <v>0</v>
      </c>
      <c r="B14211" t="s">
        <v>904</v>
      </c>
      <c r="C14211" t="s">
        <v>17334</v>
      </c>
      <c r="D14211" t="s">
        <v>19047</v>
      </c>
      <c r="E14211" t="s">
        <v>29568</v>
      </c>
      <c r="F14211" t="s">
        <v>32831</v>
      </c>
      <c r="G14211" t="s">
        <v>32839</v>
      </c>
      <c r="H14211" t="s">
        <v>32849</v>
      </c>
      <c r="I14211" t="s">
        <v>4177</v>
      </c>
      <c r="J14211" t="s">
        <v>41641</v>
      </c>
      <c r="K14211" t="s">
        <v>42814</v>
      </c>
      <c r="M14211" t="s">
        <v>43942</v>
      </c>
      <c r="N14211" t="s">
        <v>47424</v>
      </c>
      <c r="O14211" t="s">
        <v>47425</v>
      </c>
      <c r="Q14211">
        <v>6</v>
      </c>
      <c r="R14211" t="s">
        <v>47445</v>
      </c>
      <c r="S14211" t="s">
        <v>48348</v>
      </c>
      <c r="T14211" t="s">
        <v>49237</v>
      </c>
      <c r="U14211" t="s">
        <v>51356</v>
      </c>
      <c r="V14211" t="s">
        <v>64243</v>
      </c>
      <c r="W14211" t="s">
        <v>43942</v>
      </c>
      <c r="X14211" t="s">
        <v>47446</v>
      </c>
    </row>
    <row r="14212" spans="1:24">
      <c r="A14212">
        <f>HYPERLINK("https://www.philgeps.gov.ph/GEPSNONPILOT/Tender/SplashBidNoticeAbstractUI.aspx?menuIndex=3&amp;refID=7128642&amp;Result=3","7128642")</f>
        <v>0</v>
      </c>
      <c r="B14212" t="s">
        <v>1032</v>
      </c>
      <c r="C14212" t="s">
        <v>17335</v>
      </c>
      <c r="D14212" t="s">
        <v>19036</v>
      </c>
      <c r="E14212" t="s">
        <v>31276</v>
      </c>
      <c r="F14212" t="s">
        <v>32831</v>
      </c>
      <c r="G14212" t="s">
        <v>32839</v>
      </c>
      <c r="H14212" t="s">
        <v>32849</v>
      </c>
      <c r="I14212" t="s">
        <v>4177</v>
      </c>
      <c r="J14212" t="s">
        <v>41642</v>
      </c>
      <c r="K14212" t="s">
        <v>42788</v>
      </c>
      <c r="M14212" t="s">
        <v>44086</v>
      </c>
      <c r="N14212" t="s">
        <v>47424</v>
      </c>
      <c r="O14212" t="s">
        <v>47425</v>
      </c>
      <c r="P14212">
        <v>0</v>
      </c>
      <c r="Q14212">
        <v>1</v>
      </c>
      <c r="R14212" t="s">
        <v>47445</v>
      </c>
      <c r="S14212" t="s">
        <v>48250</v>
      </c>
      <c r="T14212" t="s">
        <v>49205</v>
      </c>
      <c r="U14212" t="s">
        <v>61229</v>
      </c>
      <c r="V14212" t="s">
        <v>64244</v>
      </c>
      <c r="W14212" t="s">
        <v>44086</v>
      </c>
      <c r="X14212" t="s">
        <v>47446</v>
      </c>
    </row>
    <row r="14213" spans="1:24">
      <c r="A14213">
        <f>HYPERLINK("https://www.philgeps.gov.ph/GEPSNONPILOT/Tender/SplashBidNoticeAbstractUI.aspx?menuIndex=3&amp;refID=7128518&amp;Result=3","7128518")</f>
        <v>0</v>
      </c>
      <c r="B14213" t="s">
        <v>2115</v>
      </c>
      <c r="C14213" t="s">
        <v>17336</v>
      </c>
      <c r="D14213" t="s">
        <v>19079</v>
      </c>
      <c r="E14213" t="s">
        <v>21018</v>
      </c>
      <c r="F14213" t="s">
        <v>32831</v>
      </c>
      <c r="G14213" t="s">
        <v>32839</v>
      </c>
      <c r="H14213" t="s">
        <v>32849</v>
      </c>
      <c r="I14213" t="s">
        <v>4177</v>
      </c>
      <c r="J14213" t="s">
        <v>41643</v>
      </c>
      <c r="K14213" t="s">
        <v>42732</v>
      </c>
      <c r="M14213" t="s">
        <v>45289</v>
      </c>
      <c r="N14213" t="s">
        <v>47424</v>
      </c>
      <c r="O14213" t="s">
        <v>47425</v>
      </c>
      <c r="P14213">
        <v>0</v>
      </c>
      <c r="Q14213">
        <v>1</v>
      </c>
      <c r="R14213" t="s">
        <v>47445</v>
      </c>
      <c r="S14213" t="s">
        <v>48250</v>
      </c>
      <c r="T14213" t="s">
        <v>49166</v>
      </c>
      <c r="U14213" t="s">
        <v>51962</v>
      </c>
      <c r="W14213" t="s">
        <v>45289</v>
      </c>
      <c r="X14213" t="s">
        <v>47446</v>
      </c>
    </row>
    <row r="14214" spans="1:24">
      <c r="A14214">
        <f>HYPERLINK("https://www.philgeps.gov.ph/GEPSNONPILOT/Tender/SplashBidNoticeAbstractUI.aspx?menuIndex=3&amp;refID=7129187&amp;Result=3","7129187")</f>
        <v>0</v>
      </c>
      <c r="B14214" t="s">
        <v>3794</v>
      </c>
      <c r="C14214" t="s">
        <v>17337</v>
      </c>
      <c r="D14214" t="s">
        <v>19027</v>
      </c>
      <c r="E14214" t="s">
        <v>31277</v>
      </c>
      <c r="F14214" t="s">
        <v>32831</v>
      </c>
      <c r="G14214" t="s">
        <v>32839</v>
      </c>
      <c r="H14214" t="s">
        <v>32848</v>
      </c>
      <c r="I14214" t="s">
        <v>32868</v>
      </c>
      <c r="J14214" t="s">
        <v>41644</v>
      </c>
      <c r="K14214" t="s">
        <v>42764</v>
      </c>
      <c r="M14214" t="s">
        <v>47210</v>
      </c>
      <c r="N14214" t="s">
        <v>47424</v>
      </c>
      <c r="O14214" t="s">
        <v>47425</v>
      </c>
      <c r="Q14214">
        <v>5</v>
      </c>
      <c r="R14214" t="s">
        <v>47445</v>
      </c>
      <c r="S14214" t="s">
        <v>48349</v>
      </c>
      <c r="T14214" t="s">
        <v>49214</v>
      </c>
      <c r="U14214" t="s">
        <v>61230</v>
      </c>
      <c r="W14214" t="s">
        <v>47210</v>
      </c>
      <c r="X14214" t="s">
        <v>47446</v>
      </c>
    </row>
    <row r="14215" spans="1:24">
      <c r="A14215">
        <f>HYPERLINK("https://www.philgeps.gov.ph/GEPSNONPILOT/Tender/SplashBidNoticeAbstractUI.aspx?menuIndex=3&amp;refID=7129161&amp;Result=3","7129161")</f>
        <v>0</v>
      </c>
      <c r="B14215" t="s">
        <v>221</v>
      </c>
      <c r="C14215" t="s">
        <v>17338</v>
      </c>
      <c r="D14215" t="s">
        <v>19022</v>
      </c>
      <c r="E14215" t="s">
        <v>31278</v>
      </c>
      <c r="F14215" t="s">
        <v>32831</v>
      </c>
      <c r="G14215" t="s">
        <v>32839</v>
      </c>
      <c r="H14215" t="s">
        <v>32848</v>
      </c>
      <c r="I14215" t="s">
        <v>4340</v>
      </c>
      <c r="J14215" t="s">
        <v>41645</v>
      </c>
      <c r="K14215" t="s">
        <v>42732</v>
      </c>
      <c r="L14215" t="s">
        <v>221</v>
      </c>
      <c r="M14215" t="s">
        <v>43219</v>
      </c>
      <c r="N14215" t="s">
        <v>47424</v>
      </c>
      <c r="O14215" t="s">
        <v>47425</v>
      </c>
      <c r="Q14215">
        <v>2</v>
      </c>
      <c r="R14215" t="s">
        <v>47445</v>
      </c>
      <c r="S14215" t="s">
        <v>48350</v>
      </c>
      <c r="T14215" t="s">
        <v>49162</v>
      </c>
      <c r="U14215" t="s">
        <v>61231</v>
      </c>
      <c r="W14215" t="s">
        <v>43219</v>
      </c>
      <c r="X14215" t="s">
        <v>47446</v>
      </c>
    </row>
    <row r="14216" spans="1:24">
      <c r="A14216">
        <f>HYPERLINK("https://www.philgeps.gov.ph/GEPSNONPILOT/Tender/SplashBidNoticeAbstractUI.aspx?menuIndex=3&amp;refID=7128860&amp;Result=3","7128860")</f>
        <v>0</v>
      </c>
      <c r="B14216" t="s">
        <v>222</v>
      </c>
      <c r="C14216" t="s">
        <v>17339</v>
      </c>
      <c r="D14216" t="s">
        <v>19070</v>
      </c>
      <c r="E14216" t="s">
        <v>31279</v>
      </c>
      <c r="F14216" t="s">
        <v>32831</v>
      </c>
      <c r="G14216" t="s">
        <v>32839</v>
      </c>
      <c r="H14216" t="s">
        <v>32849</v>
      </c>
      <c r="I14216" t="s">
        <v>4177</v>
      </c>
      <c r="J14216" t="s">
        <v>41646</v>
      </c>
      <c r="K14216" t="s">
        <v>42732</v>
      </c>
      <c r="M14216" t="s">
        <v>43220</v>
      </c>
      <c r="N14216" t="s">
        <v>47424</v>
      </c>
      <c r="O14216" t="s">
        <v>47425</v>
      </c>
      <c r="P14216">
        <v>0</v>
      </c>
      <c r="Q14216">
        <v>1</v>
      </c>
      <c r="R14216" t="s">
        <v>47445</v>
      </c>
      <c r="S14216" t="s">
        <v>48250</v>
      </c>
      <c r="T14216" t="s">
        <v>49166</v>
      </c>
      <c r="U14216" t="s">
        <v>59731</v>
      </c>
      <c r="W14216" t="s">
        <v>43220</v>
      </c>
      <c r="X14216" t="s">
        <v>47446</v>
      </c>
    </row>
    <row r="14217" spans="1:24">
      <c r="A14217">
        <f>HYPERLINK("https://www.philgeps.gov.ph/GEPSNONPILOT/Tender/SplashBidNoticeAbstractUI.aspx?menuIndex=3&amp;refID=7129160&amp;Result=3","7129160")</f>
        <v>0</v>
      </c>
      <c r="B14217" t="s">
        <v>969</v>
      </c>
      <c r="C14217" t="s">
        <v>17340</v>
      </c>
      <c r="D14217" t="s">
        <v>19021</v>
      </c>
      <c r="E14217" t="s">
        <v>31280</v>
      </c>
      <c r="F14217" t="s">
        <v>32831</v>
      </c>
      <c r="G14217" t="s">
        <v>32839</v>
      </c>
      <c r="H14217" t="s">
        <v>32849</v>
      </c>
      <c r="I14217" t="s">
        <v>4177</v>
      </c>
      <c r="J14217" t="s">
        <v>41647</v>
      </c>
      <c r="K14217" t="s">
        <v>42757</v>
      </c>
      <c r="M14217" t="s">
        <v>44015</v>
      </c>
      <c r="N14217" t="s">
        <v>47424</v>
      </c>
      <c r="O14217" t="s">
        <v>47425</v>
      </c>
      <c r="Q14217">
        <v>88</v>
      </c>
      <c r="R14217" t="s">
        <v>47445</v>
      </c>
      <c r="S14217" t="s">
        <v>48351</v>
      </c>
      <c r="T14217" t="s">
        <v>49166</v>
      </c>
      <c r="U14217" t="s">
        <v>61232</v>
      </c>
      <c r="V14217" t="s">
        <v>62852</v>
      </c>
      <c r="W14217" t="s">
        <v>44015</v>
      </c>
      <c r="X14217" t="s">
        <v>47446</v>
      </c>
    </row>
    <row r="14218" spans="1:24">
      <c r="A14218">
        <f>HYPERLINK("https://www.philgeps.gov.ph/GEPSNONPILOT/Tender/SplashBidNoticeAbstractUI.aspx?menuIndex=3&amp;refID=7129149&amp;Result=3","7129149")</f>
        <v>0</v>
      </c>
      <c r="B14218" t="s">
        <v>2793</v>
      </c>
      <c r="C14218" t="s">
        <v>17341</v>
      </c>
      <c r="D14218" t="s">
        <v>19048</v>
      </c>
      <c r="E14218" t="s">
        <v>31281</v>
      </c>
      <c r="F14218" t="s">
        <v>32833</v>
      </c>
      <c r="G14218" t="s">
        <v>32845</v>
      </c>
      <c r="H14218" t="s">
        <v>32848</v>
      </c>
      <c r="I14218" t="s">
        <v>32870</v>
      </c>
      <c r="J14218" t="s">
        <v>41648</v>
      </c>
      <c r="K14218" t="s">
        <v>42747</v>
      </c>
      <c r="M14218" t="s">
        <v>46023</v>
      </c>
      <c r="N14218" t="s">
        <v>47424</v>
      </c>
      <c r="O14218" t="s">
        <v>47425</v>
      </c>
      <c r="P14218">
        <v>0</v>
      </c>
      <c r="Q14218">
        <v>1</v>
      </c>
      <c r="R14218" t="s">
        <v>47445</v>
      </c>
      <c r="S14218" t="s">
        <v>48250</v>
      </c>
      <c r="T14218" t="s">
        <v>49166</v>
      </c>
      <c r="U14218" t="s">
        <v>61233</v>
      </c>
      <c r="W14218" t="s">
        <v>46023</v>
      </c>
      <c r="X14218" t="s">
        <v>47446</v>
      </c>
    </row>
    <row r="14219" spans="1:24">
      <c r="A14219">
        <f>HYPERLINK("https://www.philgeps.gov.ph/GEPSNONPILOT/Tender/SplashBidNoticeAbstractUI.aspx?menuIndex=3&amp;refID=7128781&amp;Result=3","7128781")</f>
        <v>0</v>
      </c>
      <c r="B14219" t="s">
        <v>3774</v>
      </c>
      <c r="C14219" t="s">
        <v>17342</v>
      </c>
      <c r="D14219" t="s">
        <v>19037</v>
      </c>
      <c r="E14219" t="s">
        <v>31282</v>
      </c>
      <c r="F14219" t="s">
        <v>32831</v>
      </c>
      <c r="G14219" t="s">
        <v>32839</v>
      </c>
      <c r="H14219" t="s">
        <v>32849</v>
      </c>
      <c r="I14219" t="s">
        <v>4177</v>
      </c>
      <c r="J14219" t="s">
        <v>41649</v>
      </c>
      <c r="K14219" t="s">
        <v>42763</v>
      </c>
      <c r="M14219" t="s">
        <v>47182</v>
      </c>
      <c r="N14219" t="s">
        <v>47424</v>
      </c>
      <c r="O14219" t="s">
        <v>47425</v>
      </c>
      <c r="P14219">
        <v>0</v>
      </c>
      <c r="Q14219">
        <v>8</v>
      </c>
      <c r="R14219" t="s">
        <v>47445</v>
      </c>
      <c r="S14219" t="s">
        <v>48250</v>
      </c>
      <c r="T14219" t="s">
        <v>49259</v>
      </c>
      <c r="U14219" t="s">
        <v>61234</v>
      </c>
      <c r="W14219" t="s">
        <v>47182</v>
      </c>
      <c r="X14219" t="s">
        <v>47446</v>
      </c>
    </row>
    <row r="14220" spans="1:24">
      <c r="A14220">
        <f>HYPERLINK("https://www.philgeps.gov.ph/GEPSNONPILOT/Tender/SplashBidNoticeAbstractUI.aspx?menuIndex=3&amp;refID=7129144&amp;Result=3","7129144")</f>
        <v>0</v>
      </c>
      <c r="B14220" t="s">
        <v>3721</v>
      </c>
      <c r="C14220" t="s">
        <v>17343</v>
      </c>
      <c r="D14220" t="s">
        <v>19062</v>
      </c>
      <c r="E14220" t="s">
        <v>31283</v>
      </c>
      <c r="F14220" t="s">
        <v>32831</v>
      </c>
      <c r="G14220" t="s">
        <v>32839</v>
      </c>
      <c r="H14220" t="s">
        <v>32848</v>
      </c>
      <c r="I14220" t="s">
        <v>32852</v>
      </c>
      <c r="J14220" t="s">
        <v>41650</v>
      </c>
      <c r="K14220" t="s">
        <v>42732</v>
      </c>
      <c r="M14220" t="s">
        <v>47113</v>
      </c>
      <c r="N14220" t="s">
        <v>47424</v>
      </c>
      <c r="O14220" t="s">
        <v>47425</v>
      </c>
      <c r="Q14220">
        <v>8</v>
      </c>
      <c r="R14220" t="s">
        <v>47445</v>
      </c>
      <c r="S14220" t="s">
        <v>48352</v>
      </c>
      <c r="T14220" t="s">
        <v>49214</v>
      </c>
      <c r="U14220" t="s">
        <v>61235</v>
      </c>
      <c r="V14220" t="s">
        <v>64134</v>
      </c>
      <c r="W14220" t="s">
        <v>47113</v>
      </c>
      <c r="X14220" t="s">
        <v>47446</v>
      </c>
    </row>
    <row r="14221" spans="1:24">
      <c r="A14221">
        <f>HYPERLINK("https://www.philgeps.gov.ph/GEPSNONPILOT/Tender/SplashBidNoticeAbstractUI.aspx?menuIndex=3&amp;refID=7129140&amp;Result=3","7129140")</f>
        <v>0</v>
      </c>
      <c r="B14221" t="s">
        <v>1255</v>
      </c>
      <c r="C14221" t="s">
        <v>17344</v>
      </c>
      <c r="D14221" t="s">
        <v>19030</v>
      </c>
      <c r="E14221" t="s">
        <v>31284</v>
      </c>
      <c r="F14221" t="s">
        <v>32831</v>
      </c>
      <c r="G14221" t="s">
        <v>32839</v>
      </c>
      <c r="H14221" t="s">
        <v>32849</v>
      </c>
      <c r="I14221" t="s">
        <v>4177</v>
      </c>
      <c r="J14221" t="s">
        <v>33118</v>
      </c>
      <c r="K14221" t="s">
        <v>42822</v>
      </c>
      <c r="M14221" t="s">
        <v>44325</v>
      </c>
      <c r="N14221" t="s">
        <v>47424</v>
      </c>
      <c r="O14221" t="s">
        <v>47425</v>
      </c>
      <c r="P14221">
        <v>0</v>
      </c>
      <c r="Q14221">
        <v>9</v>
      </c>
      <c r="R14221" t="s">
        <v>47445</v>
      </c>
      <c r="S14221" t="s">
        <v>48250</v>
      </c>
      <c r="T14221" t="s">
        <v>49214</v>
      </c>
      <c r="U14221" t="s">
        <v>61236</v>
      </c>
      <c r="W14221" t="s">
        <v>44325</v>
      </c>
      <c r="X14221" t="s">
        <v>47446</v>
      </c>
    </row>
    <row r="14222" spans="1:24">
      <c r="A14222">
        <f>HYPERLINK("https://www.philgeps.gov.ph/GEPSNONPILOT/Tender/SplashBidNoticeAbstractUI.aspx?menuIndex=3&amp;refID=7129133&amp;Result=3","7129133")</f>
        <v>0</v>
      </c>
      <c r="B14222" t="s">
        <v>984</v>
      </c>
      <c r="C14222" t="s">
        <v>17345</v>
      </c>
      <c r="D14222" t="s">
        <v>19036</v>
      </c>
      <c r="E14222" t="s">
        <v>31285</v>
      </c>
      <c r="F14222" t="s">
        <v>32831</v>
      </c>
      <c r="G14222" t="s">
        <v>32839</v>
      </c>
      <c r="H14222" t="s">
        <v>32848</v>
      </c>
      <c r="I14222" t="s">
        <v>32868</v>
      </c>
      <c r="J14222" t="s">
        <v>41651</v>
      </c>
      <c r="K14222" t="s">
        <v>42763</v>
      </c>
      <c r="M14222" t="s">
        <v>44033</v>
      </c>
      <c r="N14222" t="s">
        <v>47424</v>
      </c>
      <c r="O14222" t="s">
        <v>47425</v>
      </c>
      <c r="P14222">
        <v>0</v>
      </c>
      <c r="Q14222">
        <v>2</v>
      </c>
      <c r="R14222" t="s">
        <v>47445</v>
      </c>
      <c r="S14222" t="s">
        <v>48250</v>
      </c>
      <c r="T14222" t="s">
        <v>49239</v>
      </c>
      <c r="U14222" t="s">
        <v>61237</v>
      </c>
      <c r="V14222" t="s">
        <v>64245</v>
      </c>
      <c r="W14222" t="s">
        <v>44033</v>
      </c>
      <c r="X14222" t="s">
        <v>47446</v>
      </c>
    </row>
    <row r="14223" spans="1:24">
      <c r="A14223">
        <f>HYPERLINK("https://www.philgeps.gov.ph/GEPSNONPILOT/Tender/SplashBidNoticeAbstractUI.aspx?menuIndex=3&amp;refID=7129119&amp;Result=3","7129119")</f>
        <v>0</v>
      </c>
      <c r="B14223" t="s">
        <v>2923</v>
      </c>
      <c r="C14223" t="s">
        <v>17346</v>
      </c>
      <c r="D14223" t="s">
        <v>19069</v>
      </c>
      <c r="E14223" t="s">
        <v>31286</v>
      </c>
      <c r="F14223" t="s">
        <v>32831</v>
      </c>
      <c r="G14223" t="s">
        <v>32839</v>
      </c>
      <c r="H14223" t="s">
        <v>32848</v>
      </c>
      <c r="I14223" t="s">
        <v>7416</v>
      </c>
      <c r="J14223" t="s">
        <v>41652</v>
      </c>
      <c r="K14223" t="s">
        <v>42727</v>
      </c>
      <c r="M14223" t="s">
        <v>46176</v>
      </c>
      <c r="N14223" t="s">
        <v>47424</v>
      </c>
      <c r="O14223" t="s">
        <v>47425</v>
      </c>
      <c r="P14223">
        <v>0</v>
      </c>
      <c r="Q14223">
        <v>1</v>
      </c>
      <c r="R14223" t="s">
        <v>47445</v>
      </c>
      <c r="S14223" t="s">
        <v>48250</v>
      </c>
      <c r="T14223" t="s">
        <v>49162</v>
      </c>
      <c r="U14223" t="s">
        <v>61238</v>
      </c>
      <c r="W14223" t="s">
        <v>46176</v>
      </c>
      <c r="X14223" t="s">
        <v>47446</v>
      </c>
    </row>
    <row r="14224" spans="1:24">
      <c r="A14224">
        <f>HYPERLINK("https://www.philgeps.gov.ph/GEPSNONPILOT/Tender/SplashBidNoticeAbstractUI.aspx?menuIndex=3&amp;refID=7129186&amp;Result=3","7129186")</f>
        <v>0</v>
      </c>
      <c r="B14224" t="s">
        <v>2793</v>
      </c>
      <c r="C14224" t="s">
        <v>17347</v>
      </c>
      <c r="D14224" t="s">
        <v>19048</v>
      </c>
      <c r="E14224" t="s">
        <v>31287</v>
      </c>
      <c r="F14224" t="s">
        <v>32833</v>
      </c>
      <c r="G14224" t="s">
        <v>32845</v>
      </c>
      <c r="H14224" t="s">
        <v>32848</v>
      </c>
      <c r="I14224" t="s">
        <v>32859</v>
      </c>
      <c r="J14224" t="s">
        <v>41653</v>
      </c>
      <c r="K14224" t="s">
        <v>42747</v>
      </c>
      <c r="M14224" t="s">
        <v>46023</v>
      </c>
      <c r="N14224" t="s">
        <v>47424</v>
      </c>
      <c r="O14224" t="s">
        <v>47425</v>
      </c>
      <c r="P14224">
        <v>0</v>
      </c>
      <c r="Q14224">
        <v>1</v>
      </c>
      <c r="R14224" t="s">
        <v>47445</v>
      </c>
      <c r="S14224" t="s">
        <v>48250</v>
      </c>
      <c r="T14224" t="s">
        <v>49321</v>
      </c>
      <c r="U14224" t="s">
        <v>61239</v>
      </c>
      <c r="W14224" t="s">
        <v>46023</v>
      </c>
      <c r="X14224" t="s">
        <v>47446</v>
      </c>
    </row>
    <row r="14225" spans="1:24">
      <c r="A14225">
        <f>HYPERLINK("https://www.philgeps.gov.ph/GEPSNONPILOT/Tender/SplashBidNoticeAbstractUI.aspx?menuIndex=3&amp;refID=7129098&amp;Result=3","7129098")</f>
        <v>0</v>
      </c>
      <c r="B14225" t="s">
        <v>145</v>
      </c>
      <c r="C14225" t="s">
        <v>17348</v>
      </c>
      <c r="D14225" t="s">
        <v>19048</v>
      </c>
      <c r="E14225" t="s">
        <v>31288</v>
      </c>
      <c r="F14225" t="s">
        <v>32831</v>
      </c>
      <c r="G14225" t="s">
        <v>32839</v>
      </c>
      <c r="H14225" t="s">
        <v>32848</v>
      </c>
      <c r="I14225" t="s">
        <v>32880</v>
      </c>
      <c r="J14225" t="s">
        <v>34926</v>
      </c>
      <c r="K14225" t="s">
        <v>42763</v>
      </c>
      <c r="L14225" t="s">
        <v>145</v>
      </c>
      <c r="M14225" t="s">
        <v>43142</v>
      </c>
      <c r="N14225" t="s">
        <v>47424</v>
      </c>
      <c r="O14225" t="s">
        <v>47425</v>
      </c>
      <c r="Q14225">
        <v>24</v>
      </c>
      <c r="R14225" t="s">
        <v>47445</v>
      </c>
      <c r="S14225" t="s">
        <v>47917</v>
      </c>
      <c r="T14225" t="s">
        <v>49108</v>
      </c>
      <c r="U14225" t="s">
        <v>57763</v>
      </c>
      <c r="V14225" t="s">
        <v>62648</v>
      </c>
      <c r="W14225" t="s">
        <v>43142</v>
      </c>
      <c r="X14225" t="s">
        <v>47446</v>
      </c>
    </row>
    <row r="14226" spans="1:24">
      <c r="A14226">
        <f>HYPERLINK("https://www.philgeps.gov.ph/GEPSNONPILOT/Tender/SplashBidNoticeAbstractUI.aspx?menuIndex=3&amp;refID=7129085&amp;Result=3","7129085")</f>
        <v>0</v>
      </c>
      <c r="B14226" t="s">
        <v>221</v>
      </c>
      <c r="C14226" t="s">
        <v>17349</v>
      </c>
      <c r="D14226" t="s">
        <v>19022</v>
      </c>
      <c r="E14226" t="s">
        <v>31289</v>
      </c>
      <c r="F14226" t="s">
        <v>32831</v>
      </c>
      <c r="G14226" t="s">
        <v>32839</v>
      </c>
      <c r="H14226" t="s">
        <v>32848</v>
      </c>
      <c r="I14226" t="s">
        <v>4487</v>
      </c>
      <c r="J14226" t="s">
        <v>41654</v>
      </c>
      <c r="K14226" t="s">
        <v>42732</v>
      </c>
      <c r="L14226" t="s">
        <v>221</v>
      </c>
      <c r="M14226" t="s">
        <v>43219</v>
      </c>
      <c r="N14226" t="s">
        <v>47424</v>
      </c>
      <c r="O14226" t="s">
        <v>47425</v>
      </c>
      <c r="Q14226">
        <v>8</v>
      </c>
      <c r="R14226" t="s">
        <v>47445</v>
      </c>
      <c r="S14226" t="s">
        <v>48353</v>
      </c>
      <c r="T14226" t="s">
        <v>49162</v>
      </c>
      <c r="U14226" t="s">
        <v>61240</v>
      </c>
      <c r="W14226" t="s">
        <v>43219</v>
      </c>
      <c r="X14226" t="s">
        <v>47446</v>
      </c>
    </row>
    <row r="14227" spans="1:24">
      <c r="A14227">
        <f>HYPERLINK("https://www.philgeps.gov.ph/GEPSNONPILOT/Tender/SplashBidNoticeAbstractUI.aspx?menuIndex=3&amp;refID=7129200&amp;Result=3","7129200")</f>
        <v>0</v>
      </c>
      <c r="B14227" t="s">
        <v>2235</v>
      </c>
      <c r="C14227" t="s">
        <v>17350</v>
      </c>
      <c r="D14227" t="s">
        <v>19022</v>
      </c>
      <c r="E14227" t="s">
        <v>31290</v>
      </c>
      <c r="F14227" t="s">
        <v>32831</v>
      </c>
      <c r="G14227" t="s">
        <v>32839</v>
      </c>
      <c r="H14227" t="s">
        <v>32849</v>
      </c>
      <c r="I14227" t="s">
        <v>4177</v>
      </c>
      <c r="J14227" t="s">
        <v>41655</v>
      </c>
      <c r="K14227" t="s">
        <v>42992</v>
      </c>
      <c r="M14227" t="s">
        <v>46795</v>
      </c>
      <c r="N14227" t="s">
        <v>47424</v>
      </c>
      <c r="O14227" t="s">
        <v>47425</v>
      </c>
      <c r="P14227">
        <v>0</v>
      </c>
      <c r="Q14227">
        <v>3</v>
      </c>
      <c r="R14227" t="s">
        <v>47445</v>
      </c>
      <c r="S14227" t="s">
        <v>48250</v>
      </c>
      <c r="T14227" t="s">
        <v>49150</v>
      </c>
      <c r="U14227" t="s">
        <v>59301</v>
      </c>
      <c r="W14227" t="s">
        <v>46795</v>
      </c>
      <c r="X14227" t="s">
        <v>47446</v>
      </c>
    </row>
    <row r="14228" spans="1:24">
      <c r="A14228">
        <f>HYPERLINK("https://www.philgeps.gov.ph/GEPSNONPILOT/Tender/SplashBidNoticeAbstractUI.aspx?menuIndex=3&amp;refID=7129077&amp;Result=3","7129077")</f>
        <v>0</v>
      </c>
      <c r="B14228" t="s">
        <v>3795</v>
      </c>
      <c r="C14228" t="s">
        <v>17351</v>
      </c>
      <c r="D14228" t="s">
        <v>19024</v>
      </c>
      <c r="E14228" t="s">
        <v>31291</v>
      </c>
      <c r="F14228" t="s">
        <v>32831</v>
      </c>
      <c r="G14228" t="s">
        <v>32839</v>
      </c>
      <c r="H14228" t="s">
        <v>32848</v>
      </c>
      <c r="I14228" t="s">
        <v>32883</v>
      </c>
      <c r="J14228" t="s">
        <v>41656</v>
      </c>
      <c r="K14228" t="s">
        <v>42730</v>
      </c>
      <c r="M14228" t="s">
        <v>47211</v>
      </c>
      <c r="N14228" t="s">
        <v>47424</v>
      </c>
      <c r="O14228" t="s">
        <v>47425</v>
      </c>
      <c r="P14228">
        <v>0</v>
      </c>
      <c r="Q14228">
        <v>6</v>
      </c>
      <c r="R14228" t="s">
        <v>47445</v>
      </c>
      <c r="S14228" t="s">
        <v>48250</v>
      </c>
      <c r="T14228" t="s">
        <v>49085</v>
      </c>
      <c r="U14228" t="s">
        <v>61241</v>
      </c>
      <c r="W14228" t="s">
        <v>47211</v>
      </c>
      <c r="X14228" t="s">
        <v>47446</v>
      </c>
    </row>
    <row r="14229" spans="1:24">
      <c r="A14229">
        <f>HYPERLINK("https://www.philgeps.gov.ph/GEPSNONPILOT/Tender/SplashBidNoticeAbstractUI.aspx?menuIndex=3&amp;refID=7129051&amp;Result=3","7129051")</f>
        <v>0</v>
      </c>
      <c r="B14229" t="s">
        <v>2363</v>
      </c>
      <c r="C14229" t="s">
        <v>17352</v>
      </c>
      <c r="D14229" t="s">
        <v>19047</v>
      </c>
      <c r="E14229" t="s">
        <v>31292</v>
      </c>
      <c r="F14229" t="s">
        <v>32831</v>
      </c>
      <c r="G14229" t="s">
        <v>32842</v>
      </c>
      <c r="H14229" t="s">
        <v>32848</v>
      </c>
      <c r="I14229" t="s">
        <v>9577</v>
      </c>
      <c r="J14229" t="s">
        <v>33402</v>
      </c>
      <c r="K14229" t="s">
        <v>42732</v>
      </c>
      <c r="M14229" t="s">
        <v>45703</v>
      </c>
      <c r="N14229" t="s">
        <v>47424</v>
      </c>
      <c r="O14229" t="s">
        <v>47425</v>
      </c>
      <c r="Q14229">
        <v>5</v>
      </c>
      <c r="R14229" t="s">
        <v>47445</v>
      </c>
      <c r="S14229" t="s">
        <v>47883</v>
      </c>
      <c r="T14229" t="s">
        <v>49214</v>
      </c>
      <c r="U14229" t="s">
        <v>55675</v>
      </c>
      <c r="W14229" t="s">
        <v>45703</v>
      </c>
      <c r="X14229" t="s">
        <v>47446</v>
      </c>
    </row>
    <row r="14230" spans="1:24">
      <c r="A14230">
        <f>HYPERLINK("https://www.philgeps.gov.ph/GEPSNONPILOT/Tender/SplashBidNoticeAbstractUI.aspx?menuIndex=3&amp;refID=7128367&amp;Result=3","7128367")</f>
        <v>0</v>
      </c>
      <c r="B14230" t="s">
        <v>904</v>
      </c>
      <c r="C14230" t="s">
        <v>17353</v>
      </c>
      <c r="D14230" t="s">
        <v>19047</v>
      </c>
      <c r="E14230" t="s">
        <v>31293</v>
      </c>
      <c r="F14230" t="s">
        <v>32831</v>
      </c>
      <c r="G14230" t="s">
        <v>32839</v>
      </c>
      <c r="H14230" t="s">
        <v>32849</v>
      </c>
      <c r="I14230" t="s">
        <v>4177</v>
      </c>
      <c r="J14230" t="s">
        <v>41657</v>
      </c>
      <c r="K14230" t="s">
        <v>42844</v>
      </c>
      <c r="M14230" t="s">
        <v>43942</v>
      </c>
      <c r="N14230" t="s">
        <v>47424</v>
      </c>
      <c r="O14230" t="s">
        <v>47425</v>
      </c>
      <c r="Q14230">
        <v>5</v>
      </c>
      <c r="R14230" t="s">
        <v>47445</v>
      </c>
      <c r="S14230" t="s">
        <v>48354</v>
      </c>
      <c r="T14230" t="s">
        <v>49237</v>
      </c>
      <c r="U14230" t="s">
        <v>51356</v>
      </c>
      <c r="V14230" t="s">
        <v>64246</v>
      </c>
      <c r="W14230" t="s">
        <v>43942</v>
      </c>
      <c r="X14230" t="s">
        <v>47446</v>
      </c>
    </row>
    <row r="14231" spans="1:24">
      <c r="A14231">
        <f>HYPERLINK("https://www.philgeps.gov.ph/GEPSNONPILOT/Tender/SplashBidNoticeAbstractUI.aspx?menuIndex=3&amp;refID=7129061&amp;Result=3","7129061")</f>
        <v>0</v>
      </c>
      <c r="B14231" t="s">
        <v>1295</v>
      </c>
      <c r="C14231" t="s">
        <v>17354</v>
      </c>
      <c r="D14231" t="s">
        <v>19054</v>
      </c>
      <c r="E14231" t="s">
        <v>31294</v>
      </c>
      <c r="F14231" t="s">
        <v>32831</v>
      </c>
      <c r="G14231" t="s">
        <v>32839</v>
      </c>
      <c r="H14231" t="s">
        <v>32848</v>
      </c>
      <c r="I14231" t="s">
        <v>32859</v>
      </c>
      <c r="J14231" t="s">
        <v>41658</v>
      </c>
      <c r="K14231" t="s">
        <v>42731</v>
      </c>
      <c r="M14231" t="s">
        <v>44365</v>
      </c>
      <c r="N14231" t="s">
        <v>47424</v>
      </c>
      <c r="O14231" t="s">
        <v>47425</v>
      </c>
      <c r="P14231">
        <v>0</v>
      </c>
      <c r="Q14231">
        <v>2</v>
      </c>
      <c r="R14231" t="s">
        <v>47445</v>
      </c>
      <c r="S14231" t="s">
        <v>48250</v>
      </c>
      <c r="T14231" t="s">
        <v>49214</v>
      </c>
      <c r="U14231" t="s">
        <v>52500</v>
      </c>
      <c r="W14231" t="s">
        <v>44365</v>
      </c>
      <c r="X14231" t="s">
        <v>47446</v>
      </c>
    </row>
    <row r="14232" spans="1:24">
      <c r="A14232">
        <f>HYPERLINK("https://www.philgeps.gov.ph/GEPSNONPILOT/Tender/SplashBidNoticeAbstractUI.aspx?menuIndex=3&amp;refID=7128363&amp;Result=3","7128363")</f>
        <v>0</v>
      </c>
      <c r="B14232" t="s">
        <v>2418</v>
      </c>
      <c r="C14232" t="s">
        <v>17355</v>
      </c>
      <c r="D14232" t="s">
        <v>19027</v>
      </c>
      <c r="E14232" t="s">
        <v>31295</v>
      </c>
      <c r="F14232" t="s">
        <v>32831</v>
      </c>
      <c r="G14232" t="s">
        <v>32839</v>
      </c>
      <c r="H14232" t="s">
        <v>32849</v>
      </c>
      <c r="I14232" t="s">
        <v>4177</v>
      </c>
      <c r="J14232" t="s">
        <v>34530</v>
      </c>
      <c r="K14232" t="s">
        <v>42732</v>
      </c>
      <c r="M14232" t="s">
        <v>45613</v>
      </c>
      <c r="N14232" t="s">
        <v>47424</v>
      </c>
      <c r="O14232" t="s">
        <v>47425</v>
      </c>
      <c r="P14232">
        <v>0</v>
      </c>
      <c r="Q14232">
        <v>3</v>
      </c>
      <c r="R14232" t="s">
        <v>47445</v>
      </c>
      <c r="S14232" t="s">
        <v>48250</v>
      </c>
      <c r="T14232" t="s">
        <v>49243</v>
      </c>
      <c r="U14232" t="s">
        <v>61242</v>
      </c>
      <c r="V14232" t="s">
        <v>63379</v>
      </c>
      <c r="W14232" t="s">
        <v>45613</v>
      </c>
      <c r="X14232" t="s">
        <v>47446</v>
      </c>
    </row>
    <row r="14233" spans="1:24">
      <c r="A14233">
        <f>HYPERLINK("https://www.philgeps.gov.ph/GEPSNONPILOT/Tender/SplashBidNoticeAbstractUI.aspx?menuIndex=3&amp;refID=7128362&amp;Result=3","7128362")</f>
        <v>0</v>
      </c>
      <c r="B14233" t="s">
        <v>1691</v>
      </c>
      <c r="C14233" t="s">
        <v>17356</v>
      </c>
      <c r="D14233" t="s">
        <v>19082</v>
      </c>
      <c r="E14233" t="s">
        <v>31296</v>
      </c>
      <c r="F14233" t="s">
        <v>32831</v>
      </c>
      <c r="G14233" t="s">
        <v>32839</v>
      </c>
      <c r="H14233" t="s">
        <v>32848</v>
      </c>
      <c r="I14233" t="s">
        <v>7416</v>
      </c>
      <c r="J14233" t="s">
        <v>41659</v>
      </c>
      <c r="K14233" t="s">
        <v>42730</v>
      </c>
      <c r="M14233" t="s">
        <v>44811</v>
      </c>
      <c r="N14233" t="s">
        <v>47424</v>
      </c>
      <c r="O14233" t="s">
        <v>47425</v>
      </c>
      <c r="P14233">
        <v>0</v>
      </c>
      <c r="Q14233">
        <v>0</v>
      </c>
      <c r="R14233" t="s">
        <v>47445</v>
      </c>
      <c r="S14233" t="s">
        <v>48250</v>
      </c>
      <c r="T14233" t="s">
        <v>49114</v>
      </c>
      <c r="U14233" t="s">
        <v>61243</v>
      </c>
      <c r="W14233" t="s">
        <v>44811</v>
      </c>
      <c r="X14233" t="s">
        <v>47446</v>
      </c>
    </row>
    <row r="14234" spans="1:24">
      <c r="A14234">
        <f>HYPERLINK("https://www.philgeps.gov.ph/GEPSNONPILOT/Tender/SplashBidNoticeAbstractUI.aspx?menuIndex=3&amp;refID=7129040&amp;Result=3","7129040")</f>
        <v>0</v>
      </c>
      <c r="B14234" t="s">
        <v>145</v>
      </c>
      <c r="C14234" t="s">
        <v>17357</v>
      </c>
      <c r="D14234" t="s">
        <v>19048</v>
      </c>
      <c r="E14234" t="s">
        <v>31297</v>
      </c>
      <c r="F14234" t="s">
        <v>32831</v>
      </c>
      <c r="G14234" t="s">
        <v>32839</v>
      </c>
      <c r="H14234" t="s">
        <v>32848</v>
      </c>
      <c r="I14234" t="s">
        <v>32880</v>
      </c>
      <c r="J14234" t="s">
        <v>33066</v>
      </c>
      <c r="K14234" t="s">
        <v>42763</v>
      </c>
      <c r="L14234" t="s">
        <v>145</v>
      </c>
      <c r="M14234" t="s">
        <v>43142</v>
      </c>
      <c r="N14234" t="s">
        <v>47424</v>
      </c>
      <c r="O14234" t="s">
        <v>47425</v>
      </c>
      <c r="Q14234">
        <v>23</v>
      </c>
      <c r="R14234" t="s">
        <v>47445</v>
      </c>
      <c r="S14234" t="s">
        <v>48355</v>
      </c>
      <c r="T14234" t="s">
        <v>49108</v>
      </c>
      <c r="U14234" t="s">
        <v>57763</v>
      </c>
      <c r="V14234" t="s">
        <v>62648</v>
      </c>
      <c r="W14234" t="s">
        <v>43142</v>
      </c>
      <c r="X14234" t="s">
        <v>47446</v>
      </c>
    </row>
    <row r="14235" spans="1:24">
      <c r="A14235">
        <f>HYPERLINK("https://www.philgeps.gov.ph/GEPSNONPILOT/Tender/SplashBidNoticeAbstractUI.aspx?menuIndex=3&amp;refID=7128361&amp;Result=3","7128361")</f>
        <v>0</v>
      </c>
      <c r="B14235" t="s">
        <v>2435</v>
      </c>
      <c r="C14235" t="s">
        <v>17358</v>
      </c>
      <c r="D14235" t="s">
        <v>19083</v>
      </c>
      <c r="E14235" t="s">
        <v>31298</v>
      </c>
      <c r="F14235" t="s">
        <v>32831</v>
      </c>
      <c r="G14235" t="s">
        <v>32839</v>
      </c>
      <c r="H14235" t="s">
        <v>32848</v>
      </c>
      <c r="I14235" t="s">
        <v>11727</v>
      </c>
      <c r="J14235" t="s">
        <v>41660</v>
      </c>
      <c r="K14235" t="s">
        <v>42763</v>
      </c>
      <c r="M14235" t="s">
        <v>45632</v>
      </c>
      <c r="N14235" t="s">
        <v>47424</v>
      </c>
      <c r="O14235" t="s">
        <v>47425</v>
      </c>
      <c r="P14235">
        <v>0</v>
      </c>
      <c r="Q14235">
        <v>8</v>
      </c>
      <c r="R14235" t="s">
        <v>47445</v>
      </c>
      <c r="S14235" t="s">
        <v>48250</v>
      </c>
      <c r="T14235" t="s">
        <v>49239</v>
      </c>
      <c r="U14235" t="s">
        <v>61244</v>
      </c>
      <c r="W14235" t="s">
        <v>45632</v>
      </c>
      <c r="X14235" t="s">
        <v>47446</v>
      </c>
    </row>
    <row r="14236" spans="1:24">
      <c r="A14236">
        <f>HYPERLINK("https://www.philgeps.gov.ph/GEPSNONPILOT/Tender/SplashBidNoticeAbstractUI.aspx?menuIndex=3&amp;refID=7129132&amp;Result=3","7129132")</f>
        <v>0</v>
      </c>
      <c r="B14236" t="s">
        <v>221</v>
      </c>
      <c r="C14236" t="s">
        <v>17359</v>
      </c>
      <c r="D14236" t="s">
        <v>19022</v>
      </c>
      <c r="E14236" t="s">
        <v>31299</v>
      </c>
      <c r="F14236" t="s">
        <v>32831</v>
      </c>
      <c r="G14236" t="s">
        <v>32839</v>
      </c>
      <c r="H14236" t="s">
        <v>32848</v>
      </c>
      <c r="I14236" t="s">
        <v>10805</v>
      </c>
      <c r="J14236" t="s">
        <v>41661</v>
      </c>
      <c r="K14236" t="s">
        <v>42732</v>
      </c>
      <c r="L14236" t="s">
        <v>221</v>
      </c>
      <c r="M14236" t="s">
        <v>43219</v>
      </c>
      <c r="N14236" t="s">
        <v>47424</v>
      </c>
      <c r="O14236" t="s">
        <v>47425</v>
      </c>
      <c r="Q14236">
        <v>12</v>
      </c>
      <c r="R14236" t="s">
        <v>47445</v>
      </c>
      <c r="S14236" t="s">
        <v>48356</v>
      </c>
      <c r="T14236" t="s">
        <v>49162</v>
      </c>
      <c r="U14236" t="s">
        <v>61245</v>
      </c>
      <c r="W14236" t="s">
        <v>43219</v>
      </c>
      <c r="X14236" t="s">
        <v>47446</v>
      </c>
    </row>
    <row r="14237" spans="1:24">
      <c r="A14237">
        <f>HYPERLINK("https://www.philgeps.gov.ph/GEPSNONPILOT/Tender/SplashBidNoticeAbstractUI.aspx?menuIndex=3&amp;refID=7128295&amp;Result=3","7128295")</f>
        <v>0</v>
      </c>
      <c r="B14237" t="s">
        <v>100</v>
      </c>
      <c r="C14237" t="s">
        <v>17360</v>
      </c>
      <c r="D14237" t="s">
        <v>19017</v>
      </c>
      <c r="E14237" t="s">
        <v>31300</v>
      </c>
      <c r="F14237" t="s">
        <v>32831</v>
      </c>
      <c r="G14237" t="s">
        <v>32839</v>
      </c>
      <c r="H14237" t="s">
        <v>32848</v>
      </c>
      <c r="I14237" t="s">
        <v>32874</v>
      </c>
      <c r="J14237" t="s">
        <v>41662</v>
      </c>
      <c r="K14237" t="s">
        <v>42731</v>
      </c>
      <c r="M14237" t="s">
        <v>47203</v>
      </c>
      <c r="N14237" t="s">
        <v>47424</v>
      </c>
      <c r="O14237" t="s">
        <v>47425</v>
      </c>
      <c r="Q14237">
        <v>12</v>
      </c>
      <c r="R14237" t="s">
        <v>47445</v>
      </c>
      <c r="S14237" t="s">
        <v>48357</v>
      </c>
      <c r="T14237" t="s">
        <v>49321</v>
      </c>
      <c r="U14237" t="s">
        <v>61246</v>
      </c>
      <c r="W14237" t="s">
        <v>47203</v>
      </c>
      <c r="X14237" t="s">
        <v>47446</v>
      </c>
    </row>
    <row r="14238" spans="1:24">
      <c r="A14238">
        <f>HYPERLINK("https://www.philgeps.gov.ph/GEPSNONPILOT/Tender/SplashBidNoticeAbstractUI.aspx?menuIndex=3&amp;refID=7128300&amp;Result=3","7128300")</f>
        <v>0</v>
      </c>
      <c r="B14238" t="s">
        <v>726</v>
      </c>
      <c r="C14238" t="s">
        <v>17361</v>
      </c>
      <c r="E14238" t="s">
        <v>31301</v>
      </c>
      <c r="F14238" t="s">
        <v>32831</v>
      </c>
      <c r="G14238" t="s">
        <v>32839</v>
      </c>
      <c r="H14238" t="s">
        <v>32848</v>
      </c>
      <c r="I14238" t="s">
        <v>32861</v>
      </c>
      <c r="J14238" t="s">
        <v>41663</v>
      </c>
      <c r="K14238" t="s">
        <v>42732</v>
      </c>
      <c r="M14238" t="s">
        <v>43747</v>
      </c>
      <c r="N14238" t="s">
        <v>47424</v>
      </c>
      <c r="O14238" t="s">
        <v>47425</v>
      </c>
      <c r="P14238">
        <v>0</v>
      </c>
      <c r="Q14238">
        <v>17</v>
      </c>
      <c r="R14238" t="s">
        <v>47445</v>
      </c>
      <c r="S14238" t="s">
        <v>48250</v>
      </c>
      <c r="T14238" t="s">
        <v>49237</v>
      </c>
      <c r="U14238" t="s">
        <v>61247</v>
      </c>
      <c r="W14238" t="s">
        <v>43747</v>
      </c>
      <c r="X14238" t="s">
        <v>47446</v>
      </c>
    </row>
    <row r="14239" spans="1:24">
      <c r="A14239">
        <f>HYPERLINK("https://www.philgeps.gov.ph/GEPSNONPILOT/Tender/SplashBidNoticeAbstractUI.aspx?menuIndex=3&amp;refID=7129088&amp;Result=3","7129088")</f>
        <v>0</v>
      </c>
      <c r="B14239" t="s">
        <v>3721</v>
      </c>
      <c r="C14239" t="s">
        <v>17362</v>
      </c>
      <c r="D14239" t="s">
        <v>19062</v>
      </c>
      <c r="E14239" t="s">
        <v>31302</v>
      </c>
      <c r="F14239" t="s">
        <v>32831</v>
      </c>
      <c r="G14239" t="s">
        <v>32839</v>
      </c>
      <c r="H14239" t="s">
        <v>32848</v>
      </c>
      <c r="I14239" t="s">
        <v>7416</v>
      </c>
      <c r="J14239" t="s">
        <v>41664</v>
      </c>
      <c r="K14239" t="s">
        <v>42732</v>
      </c>
      <c r="M14239" t="s">
        <v>47113</v>
      </c>
      <c r="N14239" t="s">
        <v>47424</v>
      </c>
      <c r="O14239" t="s">
        <v>47425</v>
      </c>
      <c r="Q14239">
        <v>3</v>
      </c>
      <c r="R14239" t="s">
        <v>47445</v>
      </c>
      <c r="S14239" t="s">
        <v>47644</v>
      </c>
      <c r="T14239" t="s">
        <v>49214</v>
      </c>
      <c r="U14239" t="s">
        <v>61248</v>
      </c>
      <c r="V14239" t="s">
        <v>64134</v>
      </c>
      <c r="W14239" t="s">
        <v>47113</v>
      </c>
      <c r="X14239" t="s">
        <v>47446</v>
      </c>
    </row>
    <row r="14240" spans="1:24">
      <c r="A14240">
        <f>HYPERLINK("https://www.philgeps.gov.ph/GEPSNONPILOT/Tender/SplashBidNoticeAbstractUI.aspx?menuIndex=3&amp;refID=7129054&amp;Result=3","7129054")</f>
        <v>0</v>
      </c>
      <c r="B14240" t="s">
        <v>3796</v>
      </c>
      <c r="C14240" t="s">
        <v>17363</v>
      </c>
      <c r="D14240" t="s">
        <v>19037</v>
      </c>
      <c r="E14240" t="s">
        <v>31303</v>
      </c>
      <c r="F14240" t="s">
        <v>32831</v>
      </c>
      <c r="G14240" t="s">
        <v>32839</v>
      </c>
      <c r="H14240" t="s">
        <v>32848</v>
      </c>
      <c r="I14240" t="s">
        <v>32949</v>
      </c>
      <c r="J14240" t="s">
        <v>41665</v>
      </c>
      <c r="K14240" t="s">
        <v>42848</v>
      </c>
      <c r="M14240" t="s">
        <v>47212</v>
      </c>
      <c r="N14240" t="s">
        <v>47424</v>
      </c>
      <c r="O14240" t="s">
        <v>47425</v>
      </c>
      <c r="Q14240">
        <v>2</v>
      </c>
      <c r="R14240" t="s">
        <v>47445</v>
      </c>
      <c r="S14240" t="s">
        <v>48358</v>
      </c>
      <c r="T14240" t="s">
        <v>49114</v>
      </c>
      <c r="U14240" t="s">
        <v>61249</v>
      </c>
      <c r="W14240" t="s">
        <v>47212</v>
      </c>
      <c r="X14240" t="s">
        <v>47446</v>
      </c>
    </row>
    <row r="14241" spans="1:24">
      <c r="A14241">
        <f>HYPERLINK("https://www.philgeps.gov.ph/GEPSNONPILOT/Tender/SplashBidNoticeAbstractUI.aspx?menuIndex=3&amp;refID=7129344&amp;Result=3","7129344")</f>
        <v>0</v>
      </c>
      <c r="B14241" t="s">
        <v>871</v>
      </c>
      <c r="C14241" t="s">
        <v>17364</v>
      </c>
      <c r="D14241" t="s">
        <v>19020</v>
      </c>
      <c r="E14241" t="s">
        <v>31304</v>
      </c>
      <c r="F14241" t="s">
        <v>32831</v>
      </c>
      <c r="G14241" t="s">
        <v>32839</v>
      </c>
      <c r="H14241" t="s">
        <v>32849</v>
      </c>
      <c r="I14241" t="s">
        <v>4177</v>
      </c>
      <c r="J14241" t="s">
        <v>33083</v>
      </c>
      <c r="K14241" t="s">
        <v>42993</v>
      </c>
      <c r="M14241" t="s">
        <v>43905</v>
      </c>
      <c r="N14241" t="s">
        <v>47424</v>
      </c>
      <c r="O14241" t="s">
        <v>47425</v>
      </c>
      <c r="P14241">
        <v>0</v>
      </c>
      <c r="Q14241">
        <v>0</v>
      </c>
      <c r="R14241" t="s">
        <v>47445</v>
      </c>
      <c r="S14241" t="s">
        <v>48250</v>
      </c>
      <c r="T14241" t="s">
        <v>49212</v>
      </c>
      <c r="U14241" t="s">
        <v>61250</v>
      </c>
      <c r="V14241" t="s">
        <v>63755</v>
      </c>
      <c r="W14241" t="s">
        <v>43905</v>
      </c>
      <c r="X14241" t="s">
        <v>47446</v>
      </c>
    </row>
    <row r="14242" spans="1:24">
      <c r="A14242">
        <f>HYPERLINK("https://www.philgeps.gov.ph/GEPSNONPILOT/Tender/SplashBidNoticeAbstractUI.aspx?menuIndex=3&amp;refID=7129336&amp;Result=3","7129336")</f>
        <v>0</v>
      </c>
      <c r="B14242" t="s">
        <v>660</v>
      </c>
      <c r="C14242" t="s">
        <v>17365</v>
      </c>
      <c r="E14242" t="s">
        <v>31305</v>
      </c>
      <c r="F14242" t="s">
        <v>32831</v>
      </c>
      <c r="G14242" t="s">
        <v>32839</v>
      </c>
      <c r="H14242" t="s">
        <v>32848</v>
      </c>
      <c r="I14242" t="s">
        <v>10805</v>
      </c>
      <c r="J14242" t="s">
        <v>41666</v>
      </c>
      <c r="K14242" t="s">
        <v>42732</v>
      </c>
      <c r="M14242" t="s">
        <v>43678</v>
      </c>
      <c r="N14242" t="s">
        <v>47424</v>
      </c>
      <c r="O14242" t="s">
        <v>47425</v>
      </c>
      <c r="P14242">
        <v>0</v>
      </c>
      <c r="Q14242">
        <v>21</v>
      </c>
      <c r="R14242" t="s">
        <v>47445</v>
      </c>
      <c r="S14242" t="s">
        <v>48250</v>
      </c>
      <c r="T14242" t="s">
        <v>49066</v>
      </c>
      <c r="U14242" t="s">
        <v>61251</v>
      </c>
      <c r="W14242" t="s">
        <v>43678</v>
      </c>
      <c r="X14242" t="s">
        <v>47446</v>
      </c>
    </row>
    <row r="14243" spans="1:24">
      <c r="A14243">
        <f>HYPERLINK("https://www.philgeps.gov.ph/GEPSNONPILOT/Tender/SplashBidNoticeAbstractUI.aspx?menuIndex=3&amp;refID=7129341&amp;Result=3","7129341")</f>
        <v>0</v>
      </c>
      <c r="B14243" t="s">
        <v>3314</v>
      </c>
      <c r="C14243" t="s">
        <v>17366</v>
      </c>
      <c r="D14243" t="s">
        <v>19017</v>
      </c>
      <c r="E14243" t="s">
        <v>31306</v>
      </c>
      <c r="F14243" t="s">
        <v>32831</v>
      </c>
      <c r="G14243" t="s">
        <v>32839</v>
      </c>
      <c r="H14243" t="s">
        <v>32849</v>
      </c>
      <c r="I14243" t="s">
        <v>4177</v>
      </c>
      <c r="J14243" t="s">
        <v>34733</v>
      </c>
      <c r="K14243" t="s">
        <v>42770</v>
      </c>
      <c r="M14243" t="s">
        <v>46949</v>
      </c>
      <c r="N14243" t="s">
        <v>47424</v>
      </c>
      <c r="O14243" t="s">
        <v>47425</v>
      </c>
      <c r="Q14243">
        <v>4</v>
      </c>
      <c r="R14243" t="s">
        <v>47445</v>
      </c>
      <c r="S14243" t="s">
        <v>48359</v>
      </c>
      <c r="T14243" t="s">
        <v>49397</v>
      </c>
      <c r="U14243" t="s">
        <v>61252</v>
      </c>
      <c r="W14243" t="s">
        <v>46949</v>
      </c>
      <c r="X14243" t="s">
        <v>47446</v>
      </c>
    </row>
    <row r="14244" spans="1:24">
      <c r="A14244">
        <f>HYPERLINK("https://www.philgeps.gov.ph/GEPSNONPILOT/Tender/SplashBidNoticeAbstractUI.aspx?menuIndex=3&amp;refID=7128294&amp;Result=3","7128294")</f>
        <v>0</v>
      </c>
      <c r="B14244" t="s">
        <v>3406</v>
      </c>
      <c r="C14244" t="s">
        <v>17367</v>
      </c>
      <c r="D14244" t="s">
        <v>19032</v>
      </c>
      <c r="E14244" t="s">
        <v>17367</v>
      </c>
      <c r="F14244" t="s">
        <v>32831</v>
      </c>
      <c r="G14244" t="s">
        <v>32839</v>
      </c>
      <c r="H14244" t="s">
        <v>32848</v>
      </c>
      <c r="I14244" t="s">
        <v>7416</v>
      </c>
      <c r="J14244" t="s">
        <v>41667</v>
      </c>
      <c r="K14244" t="s">
        <v>42742</v>
      </c>
      <c r="M14244" t="s">
        <v>46740</v>
      </c>
      <c r="N14244" t="s">
        <v>47424</v>
      </c>
      <c r="O14244" t="s">
        <v>47425</v>
      </c>
      <c r="P14244">
        <v>0</v>
      </c>
      <c r="Q14244">
        <v>0</v>
      </c>
      <c r="R14244" t="s">
        <v>47445</v>
      </c>
      <c r="S14244" t="s">
        <v>48250</v>
      </c>
      <c r="T14244" t="s">
        <v>49198</v>
      </c>
      <c r="U14244" t="s">
        <v>61253</v>
      </c>
      <c r="W14244" t="s">
        <v>46740</v>
      </c>
      <c r="X14244" t="s">
        <v>47446</v>
      </c>
    </row>
    <row r="14245" spans="1:24">
      <c r="A14245">
        <f>HYPERLINK("https://www.philgeps.gov.ph/GEPSNONPILOT/Tender/SplashBidNoticeAbstractUI.aspx?menuIndex=3&amp;refID=7129317&amp;Result=3","7129317")</f>
        <v>0</v>
      </c>
      <c r="B14245" t="s">
        <v>3797</v>
      </c>
      <c r="C14245" t="s">
        <v>17368</v>
      </c>
      <c r="D14245" t="s">
        <v>19059</v>
      </c>
      <c r="E14245" t="s">
        <v>31307</v>
      </c>
      <c r="F14245" t="s">
        <v>32831</v>
      </c>
      <c r="G14245" t="s">
        <v>32839</v>
      </c>
      <c r="H14245" t="s">
        <v>32848</v>
      </c>
      <c r="I14245" t="s">
        <v>4776</v>
      </c>
      <c r="J14245" t="s">
        <v>32980</v>
      </c>
      <c r="K14245" t="s">
        <v>42748</v>
      </c>
      <c r="M14245" t="s">
        <v>47213</v>
      </c>
      <c r="N14245" t="s">
        <v>47424</v>
      </c>
      <c r="O14245" t="s">
        <v>47425</v>
      </c>
      <c r="P14245">
        <v>0</v>
      </c>
      <c r="Q14245">
        <v>2</v>
      </c>
      <c r="R14245" t="s">
        <v>47445</v>
      </c>
      <c r="S14245" t="s">
        <v>48250</v>
      </c>
      <c r="T14245" t="s">
        <v>49244</v>
      </c>
      <c r="U14245" t="s">
        <v>61254</v>
      </c>
      <c r="W14245" t="s">
        <v>47213</v>
      </c>
      <c r="X14245" t="s">
        <v>47446</v>
      </c>
    </row>
    <row r="14246" spans="1:24">
      <c r="A14246">
        <f>HYPERLINK("https://www.philgeps.gov.ph/GEPSNONPILOT/Tender/SplashBidNoticeAbstractUI.aspx?menuIndex=3&amp;refID=7128297&amp;Result=3","7128297")</f>
        <v>0</v>
      </c>
      <c r="B14246" t="s">
        <v>1268</v>
      </c>
      <c r="C14246" t="s">
        <v>17369</v>
      </c>
      <c r="D14246" t="s">
        <v>19061</v>
      </c>
      <c r="E14246" t="s">
        <v>31308</v>
      </c>
      <c r="F14246" t="s">
        <v>32831</v>
      </c>
      <c r="G14246" t="s">
        <v>32839</v>
      </c>
      <c r="H14246" t="s">
        <v>32849</v>
      </c>
      <c r="I14246" t="s">
        <v>4177</v>
      </c>
      <c r="J14246" t="s">
        <v>41668</v>
      </c>
      <c r="K14246" t="s">
        <v>42730</v>
      </c>
      <c r="M14246" t="s">
        <v>44338</v>
      </c>
      <c r="N14246" t="s">
        <v>47424</v>
      </c>
      <c r="O14246" t="s">
        <v>47425</v>
      </c>
      <c r="P14246">
        <v>0</v>
      </c>
      <c r="Q14246">
        <v>0</v>
      </c>
      <c r="R14246" t="s">
        <v>47445</v>
      </c>
      <c r="S14246" t="s">
        <v>48250</v>
      </c>
      <c r="T14246" t="s">
        <v>49070</v>
      </c>
      <c r="U14246" t="s">
        <v>61255</v>
      </c>
      <c r="W14246" t="s">
        <v>44338</v>
      </c>
      <c r="X14246" t="s">
        <v>47446</v>
      </c>
    </row>
    <row r="14247" spans="1:24">
      <c r="A14247">
        <f>HYPERLINK("https://www.philgeps.gov.ph/GEPSNONPILOT/Tender/SplashBidNoticeAbstractUI.aspx?menuIndex=3&amp;refID=7129032&amp;Result=3","7129032")</f>
        <v>0</v>
      </c>
      <c r="B14247" t="s">
        <v>222</v>
      </c>
      <c r="C14247" t="s">
        <v>17370</v>
      </c>
      <c r="D14247" t="s">
        <v>19070</v>
      </c>
      <c r="E14247" t="s">
        <v>31309</v>
      </c>
      <c r="F14247" t="s">
        <v>32831</v>
      </c>
      <c r="G14247" t="s">
        <v>32839</v>
      </c>
      <c r="H14247" t="s">
        <v>32849</v>
      </c>
      <c r="I14247" t="s">
        <v>4177</v>
      </c>
      <c r="J14247" t="s">
        <v>33083</v>
      </c>
      <c r="K14247" t="s">
        <v>42732</v>
      </c>
      <c r="M14247" t="s">
        <v>43220</v>
      </c>
      <c r="N14247" t="s">
        <v>47424</v>
      </c>
      <c r="O14247" t="s">
        <v>47425</v>
      </c>
      <c r="P14247">
        <v>0</v>
      </c>
      <c r="Q14247">
        <v>1</v>
      </c>
      <c r="R14247" t="s">
        <v>47445</v>
      </c>
      <c r="S14247" t="s">
        <v>48250</v>
      </c>
      <c r="T14247" t="s">
        <v>49166</v>
      </c>
      <c r="U14247" t="s">
        <v>59731</v>
      </c>
      <c r="W14247" t="s">
        <v>43220</v>
      </c>
      <c r="X14247" t="s">
        <v>47446</v>
      </c>
    </row>
    <row r="14248" spans="1:24">
      <c r="A14248">
        <f>HYPERLINK("https://www.philgeps.gov.ph/GEPSNONPILOT/Tender/SplashBidNoticeAbstractUI.aspx?menuIndex=3&amp;refID=7129268&amp;Result=3","7129268")</f>
        <v>0</v>
      </c>
      <c r="B14248" t="s">
        <v>352</v>
      </c>
      <c r="C14248" t="s">
        <v>17371</v>
      </c>
      <c r="D14248" t="s">
        <v>19101</v>
      </c>
      <c r="E14248" t="s">
        <v>31310</v>
      </c>
      <c r="F14248" t="s">
        <v>32831</v>
      </c>
      <c r="G14248" t="s">
        <v>32839</v>
      </c>
      <c r="H14248" t="s">
        <v>32850</v>
      </c>
      <c r="I14248" t="s">
        <v>32933</v>
      </c>
      <c r="J14248" t="s">
        <v>41669</v>
      </c>
      <c r="K14248" t="s">
        <v>42747</v>
      </c>
      <c r="M14248" t="s">
        <v>43871</v>
      </c>
      <c r="N14248" t="s">
        <v>47424</v>
      </c>
      <c r="O14248" t="s">
        <v>47425</v>
      </c>
      <c r="Q14248">
        <v>42</v>
      </c>
      <c r="R14248" t="s">
        <v>47445</v>
      </c>
      <c r="S14248" t="s">
        <v>48360</v>
      </c>
      <c r="T14248" t="s">
        <v>49427</v>
      </c>
      <c r="U14248" t="s">
        <v>61256</v>
      </c>
      <c r="W14248" t="s">
        <v>43871</v>
      </c>
      <c r="X14248" t="s">
        <v>47446</v>
      </c>
    </row>
    <row r="14249" spans="1:24">
      <c r="A14249">
        <f>HYPERLINK("https://www.philgeps.gov.ph/GEPSNONPILOT/Tender/SplashBidNoticeAbstractUI.aspx?menuIndex=3&amp;refID=7129277&amp;Result=3","7129277")</f>
        <v>0</v>
      </c>
      <c r="B14249" t="s">
        <v>2793</v>
      </c>
      <c r="C14249" t="s">
        <v>17372</v>
      </c>
      <c r="D14249" t="s">
        <v>19048</v>
      </c>
      <c r="E14249" t="s">
        <v>31311</v>
      </c>
      <c r="F14249" t="s">
        <v>32833</v>
      </c>
      <c r="G14249" t="s">
        <v>32845</v>
      </c>
      <c r="H14249" t="s">
        <v>32848</v>
      </c>
      <c r="I14249" t="s">
        <v>7751</v>
      </c>
      <c r="J14249" t="s">
        <v>33528</v>
      </c>
      <c r="K14249" t="s">
        <v>42747</v>
      </c>
      <c r="M14249" t="s">
        <v>46023</v>
      </c>
      <c r="N14249" t="s">
        <v>47424</v>
      </c>
      <c r="O14249" t="s">
        <v>47425</v>
      </c>
      <c r="P14249">
        <v>0</v>
      </c>
      <c r="Q14249">
        <v>5</v>
      </c>
      <c r="R14249" t="s">
        <v>47445</v>
      </c>
      <c r="S14249" t="s">
        <v>48250</v>
      </c>
      <c r="T14249" t="s">
        <v>49506</v>
      </c>
      <c r="U14249" t="s">
        <v>61257</v>
      </c>
      <c r="W14249" t="s">
        <v>46023</v>
      </c>
      <c r="X14249" t="s">
        <v>47446</v>
      </c>
    </row>
    <row r="14250" spans="1:24">
      <c r="A14250">
        <f>HYPERLINK("https://www.philgeps.gov.ph/GEPSNONPILOT/Tender/SplashBidNoticeAbstractUI.aspx?menuIndex=3&amp;refID=7129309&amp;Result=3","7129309")</f>
        <v>0</v>
      </c>
      <c r="B14250" t="s">
        <v>149</v>
      </c>
      <c r="C14250" t="s">
        <v>17373</v>
      </c>
      <c r="D14250" t="s">
        <v>19019</v>
      </c>
      <c r="E14250" t="s">
        <v>31312</v>
      </c>
      <c r="F14250" t="s">
        <v>32831</v>
      </c>
      <c r="G14250" t="s">
        <v>32839</v>
      </c>
      <c r="H14250" t="s">
        <v>32848</v>
      </c>
      <c r="I14250" t="s">
        <v>9577</v>
      </c>
      <c r="J14250" t="s">
        <v>41670</v>
      </c>
      <c r="K14250" t="s">
        <v>42732</v>
      </c>
      <c r="M14250" t="s">
        <v>43146</v>
      </c>
      <c r="N14250" t="s">
        <v>47424</v>
      </c>
      <c r="O14250" t="s">
        <v>47425</v>
      </c>
      <c r="P14250">
        <v>0</v>
      </c>
      <c r="Q14250">
        <v>4</v>
      </c>
      <c r="R14250" t="s">
        <v>47445</v>
      </c>
      <c r="S14250" t="s">
        <v>48250</v>
      </c>
      <c r="T14250" t="s">
        <v>49162</v>
      </c>
      <c r="U14250" t="s">
        <v>61258</v>
      </c>
      <c r="W14250" t="s">
        <v>43146</v>
      </c>
      <c r="X14250" t="s">
        <v>47446</v>
      </c>
    </row>
    <row r="14251" spans="1:24">
      <c r="A14251">
        <f>HYPERLINK("https://www.philgeps.gov.ph/GEPSNONPILOT/Tender/SplashBidNoticeAbstractUI.aspx?menuIndex=3&amp;refID=7129260&amp;Result=3","7129260")</f>
        <v>0</v>
      </c>
      <c r="B14251" t="s">
        <v>1088</v>
      </c>
      <c r="C14251" t="s">
        <v>17374</v>
      </c>
      <c r="D14251" t="s">
        <v>19028</v>
      </c>
      <c r="E14251" t="s">
        <v>31313</v>
      </c>
      <c r="F14251" t="s">
        <v>32831</v>
      </c>
      <c r="G14251" t="s">
        <v>32839</v>
      </c>
      <c r="H14251" t="s">
        <v>32849</v>
      </c>
      <c r="I14251" t="s">
        <v>4177</v>
      </c>
      <c r="J14251" t="s">
        <v>41553</v>
      </c>
      <c r="K14251" t="s">
        <v>42849</v>
      </c>
      <c r="M14251" t="s">
        <v>44147</v>
      </c>
      <c r="N14251" t="s">
        <v>47424</v>
      </c>
      <c r="O14251" t="s">
        <v>47425</v>
      </c>
      <c r="P14251">
        <v>0</v>
      </c>
      <c r="Q14251">
        <v>1</v>
      </c>
      <c r="R14251" t="s">
        <v>47445</v>
      </c>
      <c r="S14251" t="s">
        <v>48250</v>
      </c>
      <c r="T14251" t="s">
        <v>49239</v>
      </c>
      <c r="U14251" t="s">
        <v>61259</v>
      </c>
      <c r="V14251" t="s">
        <v>64247</v>
      </c>
      <c r="W14251" t="s">
        <v>44147</v>
      </c>
      <c r="X14251" t="s">
        <v>47446</v>
      </c>
    </row>
    <row r="14252" spans="1:24">
      <c r="A14252">
        <f>HYPERLINK("https://www.philgeps.gov.ph/GEPSNONPILOT/Tender/SplashBidNoticeAbstractUI.aspx?menuIndex=3&amp;refID=7129280&amp;Result=3","7129280")</f>
        <v>0</v>
      </c>
      <c r="B14252" t="s">
        <v>3792</v>
      </c>
      <c r="C14252" t="s">
        <v>17375</v>
      </c>
      <c r="D14252" t="s">
        <v>19037</v>
      </c>
      <c r="E14252" t="s">
        <v>26536</v>
      </c>
      <c r="F14252" t="s">
        <v>32831</v>
      </c>
      <c r="G14252" t="s">
        <v>32839</v>
      </c>
      <c r="H14252" t="s">
        <v>32848</v>
      </c>
      <c r="I14252" t="s">
        <v>4471</v>
      </c>
      <c r="J14252" t="s">
        <v>34382</v>
      </c>
      <c r="K14252" t="s">
        <v>42727</v>
      </c>
      <c r="L14252" t="s">
        <v>3792</v>
      </c>
      <c r="M14252" t="s">
        <v>47208</v>
      </c>
      <c r="N14252" t="s">
        <v>47424</v>
      </c>
      <c r="O14252" t="s">
        <v>47425</v>
      </c>
      <c r="P14252">
        <v>0</v>
      </c>
      <c r="Q14252">
        <v>0</v>
      </c>
      <c r="R14252" t="s">
        <v>47445</v>
      </c>
      <c r="S14252" t="s">
        <v>48250</v>
      </c>
      <c r="T14252" t="s">
        <v>49056</v>
      </c>
      <c r="U14252" t="s">
        <v>61260</v>
      </c>
      <c r="W14252" t="s">
        <v>47208</v>
      </c>
      <c r="X14252" t="s">
        <v>47446</v>
      </c>
    </row>
    <row r="14253" spans="1:24">
      <c r="A14253">
        <f>HYPERLINK("https://www.philgeps.gov.ph/GEPSNONPILOT/Tender/SplashBidNoticeAbstractUI.aspx?menuIndex=3&amp;refID=7129274&amp;Result=3","7129274")</f>
        <v>0</v>
      </c>
      <c r="B14253" t="s">
        <v>1088</v>
      </c>
      <c r="C14253" t="s">
        <v>17376</v>
      </c>
      <c r="D14253" t="s">
        <v>19028</v>
      </c>
      <c r="E14253" t="s">
        <v>31314</v>
      </c>
      <c r="F14253" t="s">
        <v>32831</v>
      </c>
      <c r="G14253" t="s">
        <v>32839</v>
      </c>
      <c r="H14253" t="s">
        <v>32849</v>
      </c>
      <c r="I14253" t="s">
        <v>4177</v>
      </c>
      <c r="J14253" t="s">
        <v>41553</v>
      </c>
      <c r="K14253" t="s">
        <v>42898</v>
      </c>
      <c r="M14253" t="s">
        <v>44147</v>
      </c>
      <c r="N14253" t="s">
        <v>47424</v>
      </c>
      <c r="O14253" t="s">
        <v>47425</v>
      </c>
      <c r="P14253">
        <v>0</v>
      </c>
      <c r="Q14253">
        <v>1</v>
      </c>
      <c r="R14253" t="s">
        <v>47445</v>
      </c>
      <c r="S14253" t="s">
        <v>48250</v>
      </c>
      <c r="T14253" t="s">
        <v>49239</v>
      </c>
      <c r="U14253" t="s">
        <v>61261</v>
      </c>
      <c r="V14253" t="s">
        <v>64247</v>
      </c>
      <c r="W14253" t="s">
        <v>44147</v>
      </c>
      <c r="X14253" t="s">
        <v>47446</v>
      </c>
    </row>
    <row r="14254" spans="1:24">
      <c r="A14254">
        <f>HYPERLINK("https://www.philgeps.gov.ph/GEPSNONPILOT/Tender/SplashBidNoticeAbstractUI.aspx?menuIndex=3&amp;refID=7129525&amp;Result=3","7129525")</f>
        <v>0</v>
      </c>
      <c r="B14254" t="s">
        <v>2517</v>
      </c>
      <c r="C14254" t="s">
        <v>17377</v>
      </c>
      <c r="D14254" t="s">
        <v>19017</v>
      </c>
      <c r="E14254" t="s">
        <v>31315</v>
      </c>
      <c r="F14254" t="s">
        <v>32831</v>
      </c>
      <c r="G14254" t="s">
        <v>32839</v>
      </c>
      <c r="H14254" t="s">
        <v>32849</v>
      </c>
      <c r="I14254" t="s">
        <v>4177</v>
      </c>
      <c r="J14254" t="s">
        <v>41671</v>
      </c>
      <c r="K14254" t="s">
        <v>42770</v>
      </c>
      <c r="M14254" t="s">
        <v>47214</v>
      </c>
      <c r="N14254" t="s">
        <v>47424</v>
      </c>
      <c r="O14254" t="s">
        <v>47425</v>
      </c>
      <c r="P14254">
        <v>0</v>
      </c>
      <c r="Q14254">
        <v>241</v>
      </c>
      <c r="R14254" t="s">
        <v>47445</v>
      </c>
      <c r="S14254" t="s">
        <v>48250</v>
      </c>
      <c r="T14254" t="s">
        <v>49237</v>
      </c>
      <c r="U14254" t="s">
        <v>51968</v>
      </c>
      <c r="W14254" t="s">
        <v>47214</v>
      </c>
      <c r="X14254" t="s">
        <v>47446</v>
      </c>
    </row>
    <row r="14255" spans="1:24">
      <c r="A14255">
        <f>HYPERLINK("https://www.philgeps.gov.ph/GEPSNONPILOT/Tender/SplashBidNoticeAbstractUI.aspx?menuIndex=3&amp;refID=7129520&amp;Result=3","7129520")</f>
        <v>0</v>
      </c>
      <c r="B14255" t="s">
        <v>2073</v>
      </c>
      <c r="C14255" t="s">
        <v>17378</v>
      </c>
      <c r="D14255" t="s">
        <v>19061</v>
      </c>
      <c r="E14255" t="s">
        <v>31316</v>
      </c>
      <c r="F14255" t="s">
        <v>32831</v>
      </c>
      <c r="G14255" t="s">
        <v>32839</v>
      </c>
      <c r="H14255" t="s">
        <v>32849</v>
      </c>
      <c r="I14255" t="s">
        <v>4177</v>
      </c>
      <c r="J14255" t="s">
        <v>41672</v>
      </c>
      <c r="K14255" t="s">
        <v>42875</v>
      </c>
      <c r="M14255" t="s">
        <v>45243</v>
      </c>
      <c r="N14255" t="s">
        <v>47424</v>
      </c>
      <c r="O14255" t="s">
        <v>47425</v>
      </c>
      <c r="P14255">
        <v>0</v>
      </c>
      <c r="Q14255">
        <v>6</v>
      </c>
      <c r="R14255" t="s">
        <v>47445</v>
      </c>
      <c r="S14255" t="s">
        <v>48250</v>
      </c>
      <c r="T14255" t="s">
        <v>49214</v>
      </c>
      <c r="U14255" t="s">
        <v>61262</v>
      </c>
      <c r="V14255" t="s">
        <v>64248</v>
      </c>
      <c r="W14255" t="s">
        <v>45243</v>
      </c>
      <c r="X14255" t="s">
        <v>47446</v>
      </c>
    </row>
    <row r="14256" spans="1:24">
      <c r="A14256">
        <f>HYPERLINK("https://www.philgeps.gov.ph/GEPSNONPILOT/Tender/SplashBidNoticeAbstractUI.aspx?menuIndex=3&amp;refID=7129327&amp;Result=3","7129327")</f>
        <v>0</v>
      </c>
      <c r="B14256" t="s">
        <v>149</v>
      </c>
      <c r="C14256" t="s">
        <v>17379</v>
      </c>
      <c r="D14256" t="s">
        <v>19019</v>
      </c>
      <c r="E14256" t="s">
        <v>31317</v>
      </c>
      <c r="F14256" t="s">
        <v>32831</v>
      </c>
      <c r="G14256" t="s">
        <v>32839</v>
      </c>
      <c r="H14256" t="s">
        <v>32848</v>
      </c>
      <c r="I14256" t="s">
        <v>32852</v>
      </c>
      <c r="J14256" t="s">
        <v>33108</v>
      </c>
      <c r="K14256" t="s">
        <v>42732</v>
      </c>
      <c r="M14256" t="s">
        <v>43146</v>
      </c>
      <c r="N14256" t="s">
        <v>47424</v>
      </c>
      <c r="O14256" t="s">
        <v>47425</v>
      </c>
      <c r="P14256">
        <v>0</v>
      </c>
      <c r="Q14256">
        <v>12</v>
      </c>
      <c r="R14256" t="s">
        <v>47445</v>
      </c>
      <c r="S14256" t="s">
        <v>48250</v>
      </c>
      <c r="T14256" t="s">
        <v>49162</v>
      </c>
      <c r="U14256" t="s">
        <v>61263</v>
      </c>
      <c r="W14256" t="s">
        <v>43146</v>
      </c>
      <c r="X14256" t="s">
        <v>47446</v>
      </c>
    </row>
    <row r="14257" spans="1:24">
      <c r="A14257">
        <f>HYPERLINK("https://www.philgeps.gov.ph/GEPSNONPILOT/Tender/SplashBidNoticeAbstractUI.aspx?menuIndex=3&amp;refID=7129516&amp;Result=3","7129516")</f>
        <v>0</v>
      </c>
      <c r="B14257" t="s">
        <v>2517</v>
      </c>
      <c r="C14257" t="s">
        <v>17380</v>
      </c>
      <c r="D14257" t="s">
        <v>19017</v>
      </c>
      <c r="E14257" t="s">
        <v>31318</v>
      </c>
      <c r="F14257" t="s">
        <v>32831</v>
      </c>
      <c r="G14257" t="s">
        <v>32839</v>
      </c>
      <c r="H14257" t="s">
        <v>32849</v>
      </c>
      <c r="I14257" t="s">
        <v>4177</v>
      </c>
      <c r="J14257" t="s">
        <v>41673</v>
      </c>
      <c r="K14257" t="s">
        <v>42779</v>
      </c>
      <c r="M14257" t="s">
        <v>47214</v>
      </c>
      <c r="N14257" t="s">
        <v>47424</v>
      </c>
      <c r="O14257" t="s">
        <v>47425</v>
      </c>
      <c r="P14257">
        <v>0</v>
      </c>
      <c r="Q14257">
        <v>237</v>
      </c>
      <c r="R14257" t="s">
        <v>47445</v>
      </c>
      <c r="S14257" t="s">
        <v>48250</v>
      </c>
      <c r="T14257" t="s">
        <v>49237</v>
      </c>
      <c r="U14257" t="s">
        <v>61264</v>
      </c>
      <c r="W14257" t="s">
        <v>47214</v>
      </c>
      <c r="X14257" t="s">
        <v>47446</v>
      </c>
    </row>
    <row r="14258" spans="1:24">
      <c r="A14258">
        <f>HYPERLINK("https://www.philgeps.gov.ph/GEPSNONPILOT/Tender/SplashBidNoticeAbstractUI.aspx?menuIndex=3&amp;refID=7129504&amp;Result=3","7129504")</f>
        <v>0</v>
      </c>
      <c r="B14258" t="s">
        <v>1791</v>
      </c>
      <c r="C14258" t="s">
        <v>17381</v>
      </c>
      <c r="D14258" t="s">
        <v>19067</v>
      </c>
      <c r="E14258" t="s">
        <v>31319</v>
      </c>
      <c r="F14258" t="s">
        <v>32831</v>
      </c>
      <c r="G14258" t="s">
        <v>32839</v>
      </c>
      <c r="H14258" t="s">
        <v>32849</v>
      </c>
      <c r="I14258" t="s">
        <v>4177</v>
      </c>
      <c r="J14258" t="s">
        <v>41674</v>
      </c>
      <c r="K14258" t="s">
        <v>42732</v>
      </c>
      <c r="M14258" t="s">
        <v>44921</v>
      </c>
      <c r="N14258" t="s">
        <v>47424</v>
      </c>
      <c r="O14258" t="s">
        <v>47425</v>
      </c>
      <c r="P14258">
        <v>0</v>
      </c>
      <c r="Q14258">
        <v>1</v>
      </c>
      <c r="R14258" t="s">
        <v>47445</v>
      </c>
      <c r="S14258" t="s">
        <v>48250</v>
      </c>
      <c r="T14258" t="s">
        <v>49162</v>
      </c>
      <c r="U14258" t="s">
        <v>61265</v>
      </c>
      <c r="W14258" t="s">
        <v>44921</v>
      </c>
      <c r="X14258" t="s">
        <v>47446</v>
      </c>
    </row>
    <row r="14259" spans="1:24">
      <c r="A14259">
        <f>HYPERLINK("https://www.philgeps.gov.ph/GEPSNONPILOT/Tender/SplashBidNoticeAbstractUI.aspx?menuIndex=3&amp;refID=7129501&amp;Result=3","7129501")</f>
        <v>0</v>
      </c>
      <c r="B14259" t="s">
        <v>1791</v>
      </c>
      <c r="C14259" t="s">
        <v>17382</v>
      </c>
      <c r="D14259" t="s">
        <v>19067</v>
      </c>
      <c r="E14259" t="s">
        <v>31320</v>
      </c>
      <c r="F14259" t="s">
        <v>32831</v>
      </c>
      <c r="G14259" t="s">
        <v>32839</v>
      </c>
      <c r="H14259" t="s">
        <v>32848</v>
      </c>
      <c r="I14259" t="s">
        <v>7416</v>
      </c>
      <c r="J14259" t="s">
        <v>41675</v>
      </c>
      <c r="K14259" t="s">
        <v>42732</v>
      </c>
      <c r="M14259" t="s">
        <v>44921</v>
      </c>
      <c r="N14259" t="s">
        <v>47424</v>
      </c>
      <c r="O14259" t="s">
        <v>47425</v>
      </c>
      <c r="P14259">
        <v>0</v>
      </c>
      <c r="Q14259">
        <v>0</v>
      </c>
      <c r="R14259" t="s">
        <v>47445</v>
      </c>
      <c r="S14259" t="s">
        <v>48250</v>
      </c>
      <c r="T14259" t="s">
        <v>49162</v>
      </c>
      <c r="U14259" t="s">
        <v>61266</v>
      </c>
      <c r="W14259" t="s">
        <v>44921</v>
      </c>
      <c r="X14259" t="s">
        <v>47446</v>
      </c>
    </row>
    <row r="14260" spans="1:24">
      <c r="A14260">
        <f>HYPERLINK("https://www.philgeps.gov.ph/GEPSNONPILOT/Tender/SplashBidNoticeAbstractUI.aspx?menuIndex=3&amp;refID=7129493&amp;Result=3","7129493")</f>
        <v>0</v>
      </c>
      <c r="B14260" t="s">
        <v>832</v>
      </c>
      <c r="C14260" t="s">
        <v>17383</v>
      </c>
      <c r="D14260" t="s">
        <v>19101</v>
      </c>
      <c r="E14260" t="s">
        <v>31321</v>
      </c>
      <c r="F14260" t="s">
        <v>32831</v>
      </c>
      <c r="G14260" t="s">
        <v>32839</v>
      </c>
      <c r="H14260" t="s">
        <v>32848</v>
      </c>
      <c r="I14260" t="s">
        <v>32925</v>
      </c>
      <c r="J14260" t="s">
        <v>41676</v>
      </c>
      <c r="K14260" t="s">
        <v>42729</v>
      </c>
      <c r="M14260" t="s">
        <v>44445</v>
      </c>
      <c r="N14260" t="s">
        <v>47424</v>
      </c>
      <c r="O14260" t="s">
        <v>47425</v>
      </c>
      <c r="Q14260">
        <v>6</v>
      </c>
      <c r="R14260" t="s">
        <v>47445</v>
      </c>
      <c r="S14260" t="s">
        <v>48361</v>
      </c>
      <c r="T14260" t="s">
        <v>49087</v>
      </c>
      <c r="U14260" t="s">
        <v>61267</v>
      </c>
      <c r="V14260" t="s">
        <v>63231</v>
      </c>
      <c r="W14260" t="s">
        <v>44445</v>
      </c>
      <c r="X14260" t="s">
        <v>47446</v>
      </c>
    </row>
    <row r="14261" spans="1:24">
      <c r="A14261">
        <f>HYPERLINK("https://www.philgeps.gov.ph/GEPSNONPILOT/Tender/SplashBidNoticeAbstractUI.aspx?menuIndex=3&amp;refID=7129491&amp;Result=3","7129491")</f>
        <v>0</v>
      </c>
      <c r="B14261" t="s">
        <v>999</v>
      </c>
      <c r="C14261" t="s">
        <v>17384</v>
      </c>
      <c r="D14261" t="s">
        <v>19017</v>
      </c>
      <c r="E14261" t="s">
        <v>31322</v>
      </c>
      <c r="F14261" t="s">
        <v>32831</v>
      </c>
      <c r="G14261" t="s">
        <v>32839</v>
      </c>
      <c r="H14261" t="s">
        <v>32848</v>
      </c>
      <c r="I14261" t="s">
        <v>4487</v>
      </c>
      <c r="J14261" t="s">
        <v>41677</v>
      </c>
      <c r="K14261" t="s">
        <v>42905</v>
      </c>
      <c r="M14261" t="s">
        <v>45794</v>
      </c>
      <c r="N14261" t="s">
        <v>47424</v>
      </c>
      <c r="O14261" t="s">
        <v>47425</v>
      </c>
      <c r="Q14261">
        <v>11</v>
      </c>
      <c r="R14261" t="s">
        <v>47445</v>
      </c>
      <c r="S14261" t="s">
        <v>48362</v>
      </c>
      <c r="T14261" t="s">
        <v>49251</v>
      </c>
      <c r="U14261" t="s">
        <v>56010</v>
      </c>
      <c r="V14261" t="s">
        <v>64249</v>
      </c>
      <c r="W14261" t="s">
        <v>45794</v>
      </c>
      <c r="X14261" t="s">
        <v>47446</v>
      </c>
    </row>
    <row r="14262" spans="1:24">
      <c r="A14262">
        <f>HYPERLINK("https://www.philgeps.gov.ph/GEPSNONPILOT/Tender/SplashBidNoticeAbstractUI.aspx?menuIndex=3&amp;refID=7129518&amp;Result=3","7129518")</f>
        <v>0</v>
      </c>
      <c r="B14262" t="s">
        <v>2111</v>
      </c>
      <c r="C14262" t="s">
        <v>17385</v>
      </c>
      <c r="E14262" t="s">
        <v>31323</v>
      </c>
      <c r="F14262" t="s">
        <v>32831</v>
      </c>
      <c r="G14262" t="s">
        <v>32839</v>
      </c>
      <c r="H14262" t="s">
        <v>32848</v>
      </c>
      <c r="I14262" t="s">
        <v>32884</v>
      </c>
      <c r="J14262" t="s">
        <v>33111</v>
      </c>
      <c r="K14262" t="s">
        <v>42732</v>
      </c>
      <c r="M14262" t="s">
        <v>45285</v>
      </c>
      <c r="N14262" t="s">
        <v>47424</v>
      </c>
      <c r="O14262" t="s">
        <v>47425</v>
      </c>
      <c r="Q14262">
        <v>17</v>
      </c>
      <c r="R14262" t="s">
        <v>47445</v>
      </c>
      <c r="S14262" t="s">
        <v>48363</v>
      </c>
      <c r="T14262" t="s">
        <v>49237</v>
      </c>
      <c r="U14262" t="s">
        <v>61268</v>
      </c>
      <c r="V14262" t="s">
        <v>64250</v>
      </c>
      <c r="W14262" t="s">
        <v>45285</v>
      </c>
      <c r="X14262" t="s">
        <v>47446</v>
      </c>
    </row>
    <row r="14263" spans="1:24">
      <c r="A14263">
        <f>HYPERLINK("https://www.philgeps.gov.ph/GEPSNONPILOT/Tender/SplashBidNoticeAbstractUI.aspx?menuIndex=3&amp;refID=7129264&amp;Result=3","7129264")</f>
        <v>0</v>
      </c>
      <c r="B14263" t="s">
        <v>3798</v>
      </c>
      <c r="C14263" t="s">
        <v>17386</v>
      </c>
      <c r="D14263" t="s">
        <v>19017</v>
      </c>
      <c r="E14263" t="s">
        <v>31324</v>
      </c>
      <c r="F14263" t="s">
        <v>32831</v>
      </c>
      <c r="G14263" t="s">
        <v>32839</v>
      </c>
      <c r="H14263" t="s">
        <v>32848</v>
      </c>
      <c r="I14263" t="s">
        <v>10805</v>
      </c>
      <c r="J14263" t="s">
        <v>41678</v>
      </c>
      <c r="K14263" t="s">
        <v>42788</v>
      </c>
      <c r="M14263" t="s">
        <v>47215</v>
      </c>
      <c r="N14263" t="s">
        <v>47424</v>
      </c>
      <c r="O14263" t="s">
        <v>47425</v>
      </c>
      <c r="Q14263">
        <v>16</v>
      </c>
      <c r="R14263" t="s">
        <v>47445</v>
      </c>
      <c r="S14263" t="s">
        <v>48364</v>
      </c>
      <c r="T14263" t="s">
        <v>49122</v>
      </c>
      <c r="U14263" t="s">
        <v>61269</v>
      </c>
      <c r="W14263" t="s">
        <v>43197</v>
      </c>
      <c r="X14263" t="s">
        <v>47446</v>
      </c>
    </row>
    <row r="14264" spans="1:24">
      <c r="A14264">
        <f>HYPERLINK("https://www.philgeps.gov.ph/GEPSNONPILOT/Tender/SplashBidNoticeAbstractUI.aspx?menuIndex=3&amp;refID=7129521&amp;Result=3","7129521")</f>
        <v>0</v>
      </c>
      <c r="B14264" t="s">
        <v>3799</v>
      </c>
      <c r="C14264" t="s">
        <v>17387</v>
      </c>
      <c r="E14264" t="s">
        <v>31325</v>
      </c>
      <c r="F14264" t="s">
        <v>32831</v>
      </c>
      <c r="G14264" t="s">
        <v>32844</v>
      </c>
      <c r="H14264" t="s">
        <v>14069</v>
      </c>
      <c r="I14264" t="s">
        <v>14069</v>
      </c>
      <c r="J14264" t="s">
        <v>33794</v>
      </c>
      <c r="K14264" t="s">
        <v>42729</v>
      </c>
      <c r="M14264" t="s">
        <v>47216</v>
      </c>
      <c r="N14264" t="s">
        <v>47424</v>
      </c>
      <c r="O14264" t="s">
        <v>47425</v>
      </c>
      <c r="Q14264">
        <v>5</v>
      </c>
      <c r="R14264" t="s">
        <v>47445</v>
      </c>
      <c r="S14264" t="s">
        <v>48365</v>
      </c>
      <c r="T14264" t="s">
        <v>49319</v>
      </c>
      <c r="U14264" t="s">
        <v>61270</v>
      </c>
      <c r="V14264" t="s">
        <v>64251</v>
      </c>
      <c r="W14264" t="s">
        <v>47216</v>
      </c>
      <c r="X14264" t="s">
        <v>47446</v>
      </c>
    </row>
    <row r="14265" spans="1:24">
      <c r="A14265">
        <f>HYPERLINK("https://www.philgeps.gov.ph/GEPSNONPILOT/Tender/SplashBidNoticeAbstractUI.aspx?menuIndex=3&amp;refID=7129474&amp;Result=3","7129474")</f>
        <v>0</v>
      </c>
      <c r="B14265" t="s">
        <v>832</v>
      </c>
      <c r="C14265" t="s">
        <v>17388</v>
      </c>
      <c r="D14265" t="s">
        <v>19101</v>
      </c>
      <c r="E14265" t="s">
        <v>31326</v>
      </c>
      <c r="F14265" t="s">
        <v>32831</v>
      </c>
      <c r="G14265" t="s">
        <v>32839</v>
      </c>
      <c r="H14265" t="s">
        <v>32848</v>
      </c>
      <c r="I14265" t="s">
        <v>32925</v>
      </c>
      <c r="J14265" t="s">
        <v>41679</v>
      </c>
      <c r="K14265" t="s">
        <v>42763</v>
      </c>
      <c r="M14265" t="s">
        <v>44445</v>
      </c>
      <c r="N14265" t="s">
        <v>47424</v>
      </c>
      <c r="O14265" t="s">
        <v>47425</v>
      </c>
      <c r="Q14265">
        <v>4</v>
      </c>
      <c r="R14265" t="s">
        <v>47445</v>
      </c>
      <c r="S14265" t="s">
        <v>48366</v>
      </c>
      <c r="T14265" t="s">
        <v>49097</v>
      </c>
      <c r="U14265" t="s">
        <v>61267</v>
      </c>
      <c r="V14265" t="s">
        <v>64252</v>
      </c>
      <c r="W14265" t="s">
        <v>44445</v>
      </c>
      <c r="X14265" t="s">
        <v>47446</v>
      </c>
    </row>
    <row r="14266" spans="1:24">
      <c r="A14266">
        <f>HYPERLINK("https://www.philgeps.gov.ph/GEPSNONPILOT/Tender/SplashBidNoticeAbstractUI.aspx?menuIndex=3&amp;refID=7129482&amp;Result=3","7129482")</f>
        <v>0</v>
      </c>
      <c r="B14266" t="s">
        <v>832</v>
      </c>
      <c r="C14266" t="s">
        <v>17389</v>
      </c>
      <c r="D14266" t="s">
        <v>19101</v>
      </c>
      <c r="E14266" t="s">
        <v>31327</v>
      </c>
      <c r="F14266" t="s">
        <v>32831</v>
      </c>
      <c r="G14266" t="s">
        <v>32839</v>
      </c>
      <c r="H14266" t="s">
        <v>32848</v>
      </c>
      <c r="I14266" t="s">
        <v>32925</v>
      </c>
      <c r="J14266" t="s">
        <v>41680</v>
      </c>
      <c r="K14266" t="s">
        <v>42763</v>
      </c>
      <c r="M14266" t="s">
        <v>44445</v>
      </c>
      <c r="N14266" t="s">
        <v>47424</v>
      </c>
      <c r="O14266" t="s">
        <v>47425</v>
      </c>
      <c r="Q14266">
        <v>7</v>
      </c>
      <c r="R14266" t="s">
        <v>47445</v>
      </c>
      <c r="S14266" t="s">
        <v>48367</v>
      </c>
      <c r="T14266" t="s">
        <v>49097</v>
      </c>
      <c r="U14266" t="s">
        <v>61267</v>
      </c>
      <c r="V14266" t="s">
        <v>64253</v>
      </c>
      <c r="W14266" t="s">
        <v>44445</v>
      </c>
      <c r="X14266" t="s">
        <v>47446</v>
      </c>
    </row>
    <row r="14267" spans="1:24">
      <c r="A14267">
        <f>HYPERLINK("https://www.philgeps.gov.ph/GEPSNONPILOT/Tender/SplashBidNoticeAbstractUI.aspx?menuIndex=3&amp;refID=7129483&amp;Result=3","7129483")</f>
        <v>0</v>
      </c>
      <c r="B14267" t="s">
        <v>3483</v>
      </c>
      <c r="C14267" t="s">
        <v>17390</v>
      </c>
      <c r="D14267" t="s">
        <v>19017</v>
      </c>
      <c r="E14267" t="s">
        <v>31328</v>
      </c>
      <c r="F14267" t="s">
        <v>32831</v>
      </c>
      <c r="G14267" t="s">
        <v>32839</v>
      </c>
      <c r="H14267" t="s">
        <v>32848</v>
      </c>
      <c r="I14267" t="s">
        <v>32863</v>
      </c>
      <c r="J14267" t="s">
        <v>33561</v>
      </c>
      <c r="K14267" t="s">
        <v>42775</v>
      </c>
      <c r="M14267" t="s">
        <v>46829</v>
      </c>
      <c r="N14267" t="s">
        <v>47424</v>
      </c>
      <c r="O14267" t="s">
        <v>47425</v>
      </c>
      <c r="P14267">
        <v>0</v>
      </c>
      <c r="Q14267">
        <v>4</v>
      </c>
      <c r="R14267" t="s">
        <v>47445</v>
      </c>
      <c r="S14267" t="s">
        <v>48250</v>
      </c>
      <c r="T14267" t="s">
        <v>49259</v>
      </c>
      <c r="U14267" t="s">
        <v>59488</v>
      </c>
      <c r="W14267" t="s">
        <v>46829</v>
      </c>
      <c r="X14267" t="s">
        <v>47446</v>
      </c>
    </row>
    <row r="14268" spans="1:24">
      <c r="A14268">
        <f>HYPERLINK("https://www.philgeps.gov.ph/GEPSNONPILOT/Tender/SplashBidNoticeAbstractUI.aspx?menuIndex=3&amp;refID=7129439&amp;Result=3","7129439")</f>
        <v>0</v>
      </c>
      <c r="B14268" t="s">
        <v>1587</v>
      </c>
      <c r="C14268" t="s">
        <v>17391</v>
      </c>
      <c r="D14268" t="s">
        <v>19057</v>
      </c>
      <c r="E14268" t="s">
        <v>31329</v>
      </c>
      <c r="F14268" t="s">
        <v>32831</v>
      </c>
      <c r="G14268" t="s">
        <v>32839</v>
      </c>
      <c r="H14268" t="s">
        <v>32848</v>
      </c>
      <c r="I14268" t="s">
        <v>7416</v>
      </c>
      <c r="J14268" t="s">
        <v>41681</v>
      </c>
      <c r="K14268" t="s">
        <v>42745</v>
      </c>
      <c r="L14268" t="s">
        <v>1587</v>
      </c>
      <c r="M14268" t="s">
        <v>45444</v>
      </c>
      <c r="N14268" t="s">
        <v>47424</v>
      </c>
      <c r="O14268" t="s">
        <v>47425</v>
      </c>
      <c r="P14268">
        <v>0</v>
      </c>
      <c r="Q14268">
        <v>0</v>
      </c>
      <c r="R14268" t="s">
        <v>47445</v>
      </c>
      <c r="S14268" t="s">
        <v>48250</v>
      </c>
      <c r="T14268" t="s">
        <v>49237</v>
      </c>
      <c r="U14268" t="s">
        <v>61271</v>
      </c>
      <c r="W14268" t="s">
        <v>45444</v>
      </c>
      <c r="X14268" t="s">
        <v>47446</v>
      </c>
    </row>
    <row r="14269" spans="1:24">
      <c r="A14269">
        <f>HYPERLINK("https://www.philgeps.gov.ph/GEPSNONPILOT/Tender/SplashBidNoticeAbstractUI.aspx?menuIndex=3&amp;refID=7129433&amp;Result=3","7129433")</f>
        <v>0</v>
      </c>
      <c r="B14269" t="s">
        <v>1587</v>
      </c>
      <c r="C14269" t="s">
        <v>17392</v>
      </c>
      <c r="D14269" t="s">
        <v>19057</v>
      </c>
      <c r="E14269" t="s">
        <v>31330</v>
      </c>
      <c r="F14269" t="s">
        <v>32831</v>
      </c>
      <c r="G14269" t="s">
        <v>32839</v>
      </c>
      <c r="H14269" t="s">
        <v>32848</v>
      </c>
      <c r="I14269" t="s">
        <v>7416</v>
      </c>
      <c r="J14269" t="s">
        <v>41682</v>
      </c>
      <c r="K14269" t="s">
        <v>42731</v>
      </c>
      <c r="L14269" t="s">
        <v>1587</v>
      </c>
      <c r="M14269" t="s">
        <v>45444</v>
      </c>
      <c r="N14269" t="s">
        <v>47424</v>
      </c>
      <c r="O14269" t="s">
        <v>47425</v>
      </c>
      <c r="P14269">
        <v>0</v>
      </c>
      <c r="Q14269">
        <v>1</v>
      </c>
      <c r="R14269" t="s">
        <v>47445</v>
      </c>
      <c r="S14269" t="s">
        <v>48250</v>
      </c>
      <c r="T14269" t="s">
        <v>49237</v>
      </c>
      <c r="U14269" t="s">
        <v>61271</v>
      </c>
      <c r="W14269" t="s">
        <v>45444</v>
      </c>
      <c r="X14269" t="s">
        <v>47446</v>
      </c>
    </row>
    <row r="14270" spans="1:24">
      <c r="A14270">
        <f>HYPERLINK("https://www.philgeps.gov.ph/GEPSNONPILOT/Tender/SplashBidNoticeAbstractUI.aspx?menuIndex=3&amp;refID=7129258&amp;Result=3","7129258")</f>
        <v>0</v>
      </c>
      <c r="B14270" t="s">
        <v>228</v>
      </c>
      <c r="C14270" t="s">
        <v>17393</v>
      </c>
      <c r="D14270" t="s">
        <v>19043</v>
      </c>
      <c r="E14270" t="s">
        <v>31331</v>
      </c>
      <c r="F14270" t="s">
        <v>32831</v>
      </c>
      <c r="G14270" t="s">
        <v>32839</v>
      </c>
      <c r="H14270" t="s">
        <v>32849</v>
      </c>
      <c r="I14270" t="s">
        <v>4177</v>
      </c>
      <c r="J14270" t="s">
        <v>33297</v>
      </c>
      <c r="K14270" t="s">
        <v>42994</v>
      </c>
      <c r="M14270" t="s">
        <v>47217</v>
      </c>
      <c r="N14270" t="s">
        <v>47424</v>
      </c>
      <c r="O14270" t="s">
        <v>47425</v>
      </c>
      <c r="P14270">
        <v>0</v>
      </c>
      <c r="Q14270">
        <v>3</v>
      </c>
      <c r="R14270" t="s">
        <v>47445</v>
      </c>
      <c r="S14270" t="s">
        <v>48250</v>
      </c>
      <c r="T14270" t="s">
        <v>49243</v>
      </c>
      <c r="U14270" t="s">
        <v>61272</v>
      </c>
      <c r="V14270" t="s">
        <v>64254</v>
      </c>
      <c r="W14270" t="s">
        <v>47217</v>
      </c>
      <c r="X14270" t="s">
        <v>47446</v>
      </c>
    </row>
    <row r="14271" spans="1:24">
      <c r="A14271">
        <f>HYPERLINK("https://www.philgeps.gov.ph/GEPSNONPILOT/Tender/SplashBidNoticeAbstractUI.aspx?menuIndex=3&amp;refID=7129251&amp;Result=3","7129251")</f>
        <v>0</v>
      </c>
      <c r="B14271" t="s">
        <v>3797</v>
      </c>
      <c r="C14271" t="s">
        <v>17394</v>
      </c>
      <c r="D14271" t="s">
        <v>19059</v>
      </c>
      <c r="E14271" t="s">
        <v>29107</v>
      </c>
      <c r="F14271" t="s">
        <v>32831</v>
      </c>
      <c r="G14271" t="s">
        <v>32839</v>
      </c>
      <c r="H14271" t="s">
        <v>32848</v>
      </c>
      <c r="I14271" t="s">
        <v>32867</v>
      </c>
      <c r="J14271" t="s">
        <v>32983</v>
      </c>
      <c r="K14271" t="s">
        <v>42748</v>
      </c>
      <c r="M14271" t="s">
        <v>47213</v>
      </c>
      <c r="N14271" t="s">
        <v>47424</v>
      </c>
      <c r="O14271" t="s">
        <v>47425</v>
      </c>
      <c r="P14271">
        <v>0</v>
      </c>
      <c r="Q14271">
        <v>2</v>
      </c>
      <c r="R14271" t="s">
        <v>47445</v>
      </c>
      <c r="S14271" t="s">
        <v>48250</v>
      </c>
      <c r="T14271" t="s">
        <v>49239</v>
      </c>
      <c r="U14271" t="s">
        <v>61273</v>
      </c>
      <c r="W14271" t="s">
        <v>47213</v>
      </c>
      <c r="X14271" t="s">
        <v>47446</v>
      </c>
    </row>
    <row r="14272" spans="1:24">
      <c r="A14272">
        <f>HYPERLINK("https://www.philgeps.gov.ph/GEPSNONPILOT/Tender/SplashBidNoticeAbstractUI.aspx?menuIndex=3&amp;refID=7129490&amp;Result=3","7129490")</f>
        <v>0</v>
      </c>
      <c r="B14272" t="s">
        <v>832</v>
      </c>
      <c r="C14272" t="s">
        <v>17395</v>
      </c>
      <c r="D14272" t="s">
        <v>19101</v>
      </c>
      <c r="E14272" t="s">
        <v>31332</v>
      </c>
      <c r="F14272" t="s">
        <v>32831</v>
      </c>
      <c r="G14272" t="s">
        <v>32839</v>
      </c>
      <c r="H14272" t="s">
        <v>32848</v>
      </c>
      <c r="I14272" t="s">
        <v>32925</v>
      </c>
      <c r="J14272" t="s">
        <v>41683</v>
      </c>
      <c r="K14272" t="s">
        <v>42729</v>
      </c>
      <c r="M14272" t="s">
        <v>44445</v>
      </c>
      <c r="N14272" t="s">
        <v>47424</v>
      </c>
      <c r="O14272" t="s">
        <v>47425</v>
      </c>
      <c r="Q14272">
        <v>9</v>
      </c>
      <c r="R14272" t="s">
        <v>47445</v>
      </c>
      <c r="S14272" t="s">
        <v>48368</v>
      </c>
      <c r="T14272" t="s">
        <v>49087</v>
      </c>
      <c r="U14272" t="s">
        <v>61267</v>
      </c>
      <c r="V14272" t="s">
        <v>63231</v>
      </c>
      <c r="W14272" t="s">
        <v>44445</v>
      </c>
      <c r="X14272" t="s">
        <v>47446</v>
      </c>
    </row>
    <row r="14273" spans="1:24">
      <c r="A14273">
        <f>HYPERLINK("https://www.philgeps.gov.ph/GEPSNONPILOT/Tender/SplashBidNoticeAbstractUI.aspx?menuIndex=3&amp;refID=7129247&amp;Result=3","7129247")</f>
        <v>0</v>
      </c>
      <c r="B14273" t="s">
        <v>1522</v>
      </c>
      <c r="C14273" t="s">
        <v>17396</v>
      </c>
      <c r="D14273" t="s">
        <v>19084</v>
      </c>
      <c r="E14273" t="s">
        <v>31333</v>
      </c>
      <c r="F14273" t="s">
        <v>32831</v>
      </c>
      <c r="G14273" t="s">
        <v>32839</v>
      </c>
      <c r="H14273" t="s">
        <v>32848</v>
      </c>
      <c r="I14273" t="s">
        <v>4487</v>
      </c>
      <c r="J14273" t="s">
        <v>41684</v>
      </c>
      <c r="K14273" t="s">
        <v>42730</v>
      </c>
      <c r="L14273" t="s">
        <v>1522</v>
      </c>
      <c r="M14273" t="s">
        <v>44623</v>
      </c>
      <c r="N14273" t="s">
        <v>47424</v>
      </c>
      <c r="O14273" t="s">
        <v>47425</v>
      </c>
      <c r="Q14273">
        <v>7</v>
      </c>
      <c r="R14273" t="s">
        <v>47445</v>
      </c>
      <c r="S14273" t="s">
        <v>48369</v>
      </c>
      <c r="T14273" t="s">
        <v>49166</v>
      </c>
      <c r="U14273" t="s">
        <v>61274</v>
      </c>
      <c r="W14273" t="s">
        <v>44623</v>
      </c>
      <c r="X14273" t="s">
        <v>47446</v>
      </c>
    </row>
    <row r="14274" spans="1:24">
      <c r="A14274">
        <f>HYPERLINK("https://www.philgeps.gov.ph/GEPSNONPILOT/Tender/SplashBidNoticeAbstractUI.aspx?menuIndex=3&amp;refID=7129244&amp;Result=3","7129244")</f>
        <v>0</v>
      </c>
      <c r="B14274" t="s">
        <v>2793</v>
      </c>
      <c r="C14274" t="s">
        <v>17397</v>
      </c>
      <c r="D14274" t="s">
        <v>19048</v>
      </c>
      <c r="E14274" t="s">
        <v>31334</v>
      </c>
      <c r="F14274" t="s">
        <v>32833</v>
      </c>
      <c r="G14274" t="s">
        <v>32845</v>
      </c>
      <c r="H14274" t="s">
        <v>32848</v>
      </c>
      <c r="I14274" t="s">
        <v>32877</v>
      </c>
      <c r="J14274" t="s">
        <v>41685</v>
      </c>
      <c r="K14274" t="s">
        <v>42747</v>
      </c>
      <c r="M14274" t="s">
        <v>46023</v>
      </c>
      <c r="N14274" t="s">
        <v>47424</v>
      </c>
      <c r="O14274" t="s">
        <v>47425</v>
      </c>
      <c r="P14274">
        <v>0</v>
      </c>
      <c r="Q14274">
        <v>8</v>
      </c>
      <c r="R14274" t="s">
        <v>47445</v>
      </c>
      <c r="S14274" t="s">
        <v>48250</v>
      </c>
      <c r="T14274" t="s">
        <v>49141</v>
      </c>
      <c r="U14274" t="s">
        <v>61275</v>
      </c>
      <c r="W14274" t="s">
        <v>46023</v>
      </c>
      <c r="X14274" t="s">
        <v>47446</v>
      </c>
    </row>
    <row r="14275" spans="1:24">
      <c r="A14275">
        <f>HYPERLINK("https://www.philgeps.gov.ph/GEPSNONPILOT/Tender/SplashBidNoticeAbstractUI.aspx?menuIndex=3&amp;refID=7129441&amp;Result=3","7129441")</f>
        <v>0</v>
      </c>
      <c r="B14275" t="s">
        <v>960</v>
      </c>
      <c r="C14275" t="s">
        <v>17398</v>
      </c>
      <c r="D14275" t="s">
        <v>19017</v>
      </c>
      <c r="E14275" t="s">
        <v>31335</v>
      </c>
      <c r="F14275" t="s">
        <v>32831</v>
      </c>
      <c r="G14275" t="s">
        <v>32839</v>
      </c>
      <c r="H14275" t="s">
        <v>32848</v>
      </c>
      <c r="I14275" t="s">
        <v>7437</v>
      </c>
      <c r="J14275" t="s">
        <v>41686</v>
      </c>
      <c r="K14275" t="s">
        <v>42780</v>
      </c>
      <c r="M14275" t="s">
        <v>46827</v>
      </c>
      <c r="N14275" t="s">
        <v>47424</v>
      </c>
      <c r="O14275" t="s">
        <v>47425</v>
      </c>
      <c r="Q14275">
        <v>13</v>
      </c>
      <c r="R14275" t="s">
        <v>47445</v>
      </c>
      <c r="S14275" t="s">
        <v>48370</v>
      </c>
      <c r="T14275" t="s">
        <v>49213</v>
      </c>
      <c r="U14275" t="s">
        <v>59483</v>
      </c>
      <c r="W14275" t="s">
        <v>46827</v>
      </c>
      <c r="X14275" t="s">
        <v>47446</v>
      </c>
    </row>
    <row r="14276" spans="1:24">
      <c r="A14276">
        <f>HYPERLINK("https://www.philgeps.gov.ph/GEPSNONPILOT/Tender/SplashBidNoticeAbstractUI.aspx?menuIndex=3&amp;refID=7129480&amp;Result=3","7129480")</f>
        <v>0</v>
      </c>
      <c r="B14276" t="s">
        <v>3800</v>
      </c>
      <c r="C14276" t="s">
        <v>17399</v>
      </c>
      <c r="D14276" t="s">
        <v>19057</v>
      </c>
      <c r="E14276" t="s">
        <v>31336</v>
      </c>
      <c r="F14276" t="s">
        <v>32831</v>
      </c>
      <c r="G14276" t="s">
        <v>32842</v>
      </c>
      <c r="H14276" t="s">
        <v>32848</v>
      </c>
      <c r="I14276" t="s">
        <v>9577</v>
      </c>
      <c r="J14276" t="s">
        <v>41687</v>
      </c>
      <c r="K14276" t="s">
        <v>42745</v>
      </c>
      <c r="M14276" t="s">
        <v>47218</v>
      </c>
      <c r="N14276" t="s">
        <v>47424</v>
      </c>
      <c r="O14276" t="s">
        <v>47425</v>
      </c>
      <c r="Q14276">
        <v>5</v>
      </c>
      <c r="R14276" t="s">
        <v>47445</v>
      </c>
      <c r="S14276" t="s">
        <v>48371</v>
      </c>
      <c r="T14276" t="s">
        <v>49104</v>
      </c>
      <c r="U14276" t="s">
        <v>51543</v>
      </c>
      <c r="V14276" t="s">
        <v>64255</v>
      </c>
      <c r="W14276" t="s">
        <v>47218</v>
      </c>
      <c r="X14276" t="s">
        <v>47446</v>
      </c>
    </row>
    <row r="14277" spans="1:24">
      <c r="A14277">
        <f>HYPERLINK("https://www.philgeps.gov.ph/GEPSNONPILOT/Tender/SplashBidNoticeAbstractUI.aspx?menuIndex=3&amp;refID=7129422&amp;Result=3","7129422")</f>
        <v>0</v>
      </c>
      <c r="B14277" t="s">
        <v>1587</v>
      </c>
      <c r="C14277" t="s">
        <v>17400</v>
      </c>
      <c r="D14277" t="s">
        <v>19057</v>
      </c>
      <c r="E14277" t="s">
        <v>31337</v>
      </c>
      <c r="F14277" t="s">
        <v>32831</v>
      </c>
      <c r="G14277" t="s">
        <v>32839</v>
      </c>
      <c r="H14277" t="s">
        <v>32848</v>
      </c>
      <c r="I14277" t="s">
        <v>7416</v>
      </c>
      <c r="J14277" t="s">
        <v>41688</v>
      </c>
      <c r="K14277" t="s">
        <v>42727</v>
      </c>
      <c r="L14277" t="s">
        <v>1587</v>
      </c>
      <c r="M14277" t="s">
        <v>45444</v>
      </c>
      <c r="N14277" t="s">
        <v>47424</v>
      </c>
      <c r="O14277" t="s">
        <v>47425</v>
      </c>
      <c r="P14277">
        <v>0</v>
      </c>
      <c r="Q14277">
        <v>2</v>
      </c>
      <c r="R14277" t="s">
        <v>47445</v>
      </c>
      <c r="S14277" t="s">
        <v>48250</v>
      </c>
      <c r="T14277" t="s">
        <v>49237</v>
      </c>
      <c r="U14277" t="s">
        <v>61276</v>
      </c>
      <c r="W14277" t="s">
        <v>45444</v>
      </c>
      <c r="X14277" t="s">
        <v>47446</v>
      </c>
    </row>
    <row r="14278" spans="1:24">
      <c r="A14278">
        <f>HYPERLINK("https://www.philgeps.gov.ph/GEPSNONPILOT/Tender/SplashBidNoticeAbstractUI.aspx?menuIndex=3&amp;refID=7099522&amp;Result=3","7099522")</f>
        <v>0</v>
      </c>
      <c r="B14278" t="s">
        <v>2215</v>
      </c>
      <c r="C14278" t="s">
        <v>17401</v>
      </c>
      <c r="D14278" t="s">
        <v>19077</v>
      </c>
      <c r="E14278" t="s">
        <v>31338</v>
      </c>
      <c r="F14278" t="s">
        <v>32831</v>
      </c>
      <c r="G14278" t="s">
        <v>32839</v>
      </c>
      <c r="H14278" t="s">
        <v>32849</v>
      </c>
      <c r="I14278" t="s">
        <v>4177</v>
      </c>
      <c r="J14278" t="s">
        <v>41689</v>
      </c>
      <c r="K14278" t="s">
        <v>42915</v>
      </c>
      <c r="M14278" t="s">
        <v>45395</v>
      </c>
      <c r="N14278" t="s">
        <v>47424</v>
      </c>
      <c r="O14278" t="s">
        <v>47425</v>
      </c>
      <c r="Q14278">
        <v>3</v>
      </c>
      <c r="R14278" t="s">
        <v>47446</v>
      </c>
      <c r="S14278" t="s">
        <v>48372</v>
      </c>
      <c r="T14278" t="s">
        <v>49111</v>
      </c>
      <c r="U14278" t="s">
        <v>61277</v>
      </c>
      <c r="W14278" t="s">
        <v>45395</v>
      </c>
      <c r="X14278" t="s">
        <v>47457</v>
      </c>
    </row>
    <row r="14279" spans="1:24">
      <c r="A14279">
        <f>HYPERLINK("https://www.philgeps.gov.ph/GEPSNONPILOT/Tender/SplashBidNoticeAbstractUI.aspx?menuIndex=3&amp;refID=7093397&amp;Result=3","7093397")</f>
        <v>0</v>
      </c>
      <c r="B14279" t="s">
        <v>3801</v>
      </c>
      <c r="C14279" t="s">
        <v>17402</v>
      </c>
      <c r="D14279" t="s">
        <v>19047</v>
      </c>
      <c r="E14279" t="s">
        <v>31339</v>
      </c>
      <c r="F14279" t="s">
        <v>32831</v>
      </c>
      <c r="G14279" t="s">
        <v>32839</v>
      </c>
      <c r="H14279" t="s">
        <v>32849</v>
      </c>
      <c r="I14279" t="s">
        <v>4177</v>
      </c>
      <c r="J14279" t="s">
        <v>41690</v>
      </c>
      <c r="K14279" t="s">
        <v>42813</v>
      </c>
      <c r="M14279" t="s">
        <v>47219</v>
      </c>
      <c r="N14279" t="s">
        <v>47424</v>
      </c>
      <c r="O14279" t="s">
        <v>47425</v>
      </c>
      <c r="Q14279">
        <v>0</v>
      </c>
      <c r="R14279" t="s">
        <v>47446</v>
      </c>
      <c r="S14279" t="s">
        <v>48373</v>
      </c>
      <c r="T14279" t="s">
        <v>49112</v>
      </c>
      <c r="U14279" t="s">
        <v>61278</v>
      </c>
      <c r="V14279" t="s">
        <v>64256</v>
      </c>
      <c r="W14279" t="s">
        <v>64558</v>
      </c>
      <c r="X14279" t="s">
        <v>47460</v>
      </c>
    </row>
    <row r="14280" spans="1:24">
      <c r="A14280">
        <f>HYPERLINK("https://www.philgeps.gov.ph/GEPSNONPILOT/Tender/SplashBidNoticeAbstractUI.aspx?menuIndex=3&amp;refID=7129242&amp;Result=3","7129242")</f>
        <v>0</v>
      </c>
      <c r="B14280" t="s">
        <v>3794</v>
      </c>
      <c r="C14280" t="s">
        <v>17403</v>
      </c>
      <c r="D14280" t="s">
        <v>19027</v>
      </c>
      <c r="E14280" t="s">
        <v>31340</v>
      </c>
      <c r="F14280" t="s">
        <v>32831</v>
      </c>
      <c r="G14280" t="s">
        <v>32839</v>
      </c>
      <c r="H14280" t="s">
        <v>32848</v>
      </c>
      <c r="I14280" t="s">
        <v>7819</v>
      </c>
      <c r="J14280" t="s">
        <v>33055</v>
      </c>
      <c r="K14280" t="s">
        <v>42764</v>
      </c>
      <c r="M14280" t="s">
        <v>47210</v>
      </c>
      <c r="N14280" t="s">
        <v>47424</v>
      </c>
      <c r="O14280" t="s">
        <v>47425</v>
      </c>
      <c r="P14280">
        <v>0</v>
      </c>
      <c r="Q14280">
        <v>3</v>
      </c>
      <c r="R14280" t="s">
        <v>47445</v>
      </c>
      <c r="S14280" t="s">
        <v>48250</v>
      </c>
      <c r="T14280" t="s">
        <v>49214</v>
      </c>
      <c r="U14280" t="s">
        <v>61279</v>
      </c>
      <c r="W14280" t="s">
        <v>47210</v>
      </c>
      <c r="X14280" t="s">
        <v>47446</v>
      </c>
    </row>
    <row r="14281" spans="1:24">
      <c r="A14281">
        <f>HYPERLINK("https://www.philgeps.gov.ph/GEPSNONPILOT/Tender/SplashBidNoticeAbstractUI.aspx?menuIndex=3&amp;refID=7092246&amp;Result=3","7092246")</f>
        <v>0</v>
      </c>
      <c r="B14281" t="s">
        <v>1618</v>
      </c>
      <c r="C14281" t="s">
        <v>17404</v>
      </c>
      <c r="D14281" t="s">
        <v>19035</v>
      </c>
      <c r="E14281" t="s">
        <v>31341</v>
      </c>
      <c r="F14281" t="s">
        <v>32831</v>
      </c>
      <c r="G14281" t="s">
        <v>32839</v>
      </c>
      <c r="H14281" t="s">
        <v>32848</v>
      </c>
      <c r="I14281" t="s">
        <v>32886</v>
      </c>
      <c r="J14281" t="s">
        <v>33017</v>
      </c>
      <c r="K14281" t="s">
        <v>42730</v>
      </c>
      <c r="M14281" t="s">
        <v>44734</v>
      </c>
      <c r="N14281" t="s">
        <v>47424</v>
      </c>
      <c r="O14281" t="s">
        <v>47425</v>
      </c>
      <c r="Q14281">
        <v>5</v>
      </c>
      <c r="R14281" t="s">
        <v>47446</v>
      </c>
      <c r="S14281" t="s">
        <v>48374</v>
      </c>
      <c r="T14281" t="s">
        <v>49255</v>
      </c>
      <c r="U14281" t="s">
        <v>61280</v>
      </c>
      <c r="W14281" t="s">
        <v>44734</v>
      </c>
      <c r="X14281" t="s">
        <v>47460</v>
      </c>
    </row>
    <row r="14282" spans="1:24">
      <c r="A14282">
        <f>HYPERLINK("https://www.philgeps.gov.ph/GEPSNONPILOT/Tender/SplashBidNoticeAbstractUI.aspx?menuIndex=3&amp;refID=7059622&amp;Result=3","7059622")</f>
        <v>0</v>
      </c>
      <c r="B14282" t="s">
        <v>2215</v>
      </c>
      <c r="C14282" t="s">
        <v>17405</v>
      </c>
      <c r="D14282" t="s">
        <v>19077</v>
      </c>
      <c r="E14282" t="s">
        <v>31342</v>
      </c>
      <c r="F14282" t="s">
        <v>32831</v>
      </c>
      <c r="G14282" t="s">
        <v>32839</v>
      </c>
      <c r="H14282" t="s">
        <v>32849</v>
      </c>
      <c r="I14282" t="s">
        <v>4177</v>
      </c>
      <c r="J14282" t="s">
        <v>41691</v>
      </c>
      <c r="K14282" t="s">
        <v>42995</v>
      </c>
      <c r="M14282" t="s">
        <v>45395</v>
      </c>
      <c r="N14282" t="s">
        <v>47424</v>
      </c>
      <c r="O14282" t="s">
        <v>47425</v>
      </c>
      <c r="Q14282">
        <v>2</v>
      </c>
      <c r="R14282" t="s">
        <v>47446</v>
      </c>
      <c r="S14282" t="s">
        <v>48375</v>
      </c>
      <c r="T14282" t="s">
        <v>49111</v>
      </c>
      <c r="U14282" t="s">
        <v>61281</v>
      </c>
      <c r="W14282" t="s">
        <v>45395</v>
      </c>
      <c r="X14282" t="s">
        <v>47478</v>
      </c>
    </row>
    <row r="14283" spans="1:24">
      <c r="A14283">
        <f>HYPERLINK("https://www.philgeps.gov.ph/GEPSNONPILOT/Tender/SplashBidNoticeAbstractUI.aspx?menuIndex=3&amp;refID=7093460&amp;Result=3","7093460")</f>
        <v>0</v>
      </c>
      <c r="B14283" t="s">
        <v>3801</v>
      </c>
      <c r="C14283" t="s">
        <v>17406</v>
      </c>
      <c r="D14283" t="s">
        <v>19047</v>
      </c>
      <c r="E14283" t="s">
        <v>31343</v>
      </c>
      <c r="F14283" t="s">
        <v>32831</v>
      </c>
      <c r="G14283" t="s">
        <v>32839</v>
      </c>
      <c r="H14283" t="s">
        <v>32849</v>
      </c>
      <c r="I14283" t="s">
        <v>4177</v>
      </c>
      <c r="J14283" t="s">
        <v>41692</v>
      </c>
      <c r="K14283" t="s">
        <v>42742</v>
      </c>
      <c r="M14283" t="s">
        <v>47219</v>
      </c>
      <c r="N14283" t="s">
        <v>47424</v>
      </c>
      <c r="O14283" t="s">
        <v>47425</v>
      </c>
      <c r="Q14283">
        <v>0</v>
      </c>
      <c r="R14283" t="s">
        <v>47446</v>
      </c>
      <c r="S14283" t="s">
        <v>48376</v>
      </c>
      <c r="T14283" t="s">
        <v>49112</v>
      </c>
      <c r="U14283" t="s">
        <v>61282</v>
      </c>
      <c r="V14283" t="s">
        <v>64257</v>
      </c>
      <c r="W14283" t="s">
        <v>64558</v>
      </c>
      <c r="X14283" t="s">
        <v>47460</v>
      </c>
    </row>
    <row r="14284" spans="1:24">
      <c r="A14284">
        <f>HYPERLINK("https://www.philgeps.gov.ph/GEPSNONPILOT/Tender/SplashBidNoticeAbstractUI.aspx?menuIndex=3&amp;refID=7094323&amp;Result=3","7094323")</f>
        <v>0</v>
      </c>
      <c r="B14284" t="s">
        <v>1597</v>
      </c>
      <c r="C14284" t="s">
        <v>17407</v>
      </c>
      <c r="D14284" t="s">
        <v>19031</v>
      </c>
      <c r="E14284" t="s">
        <v>31344</v>
      </c>
      <c r="F14284" t="s">
        <v>32831</v>
      </c>
      <c r="G14284" t="s">
        <v>32839</v>
      </c>
      <c r="H14284" t="s">
        <v>32849</v>
      </c>
      <c r="I14284" t="s">
        <v>4177</v>
      </c>
      <c r="J14284" t="s">
        <v>41693</v>
      </c>
      <c r="K14284" t="s">
        <v>42728</v>
      </c>
      <c r="M14284" t="s">
        <v>44712</v>
      </c>
      <c r="N14284" t="s">
        <v>47424</v>
      </c>
      <c r="O14284" t="s">
        <v>47425</v>
      </c>
      <c r="P14284">
        <v>0</v>
      </c>
      <c r="Q14284">
        <v>2</v>
      </c>
      <c r="R14284" t="s">
        <v>47446</v>
      </c>
      <c r="S14284" t="s">
        <v>48377</v>
      </c>
      <c r="T14284" t="s">
        <v>49108</v>
      </c>
      <c r="U14284" t="s">
        <v>61283</v>
      </c>
      <c r="V14284" t="s">
        <v>63051</v>
      </c>
      <c r="W14284" t="s">
        <v>44712</v>
      </c>
      <c r="X14284" t="s">
        <v>47459</v>
      </c>
    </row>
    <row r="14285" spans="1:24">
      <c r="A14285">
        <f>HYPERLINK("https://www.philgeps.gov.ph/GEPSNONPILOT/Tender/SplashBidNoticeAbstractUI.aspx?menuIndex=3&amp;refID=7129463&amp;Result=3","7129463")</f>
        <v>0</v>
      </c>
      <c r="B14285" t="s">
        <v>3802</v>
      </c>
      <c r="C14285" t="s">
        <v>17408</v>
      </c>
      <c r="D14285" t="s">
        <v>19074</v>
      </c>
      <c r="E14285" t="s">
        <v>31345</v>
      </c>
      <c r="F14285" t="s">
        <v>32831</v>
      </c>
      <c r="G14285" t="s">
        <v>32839</v>
      </c>
      <c r="H14285" t="s">
        <v>32848</v>
      </c>
      <c r="I14285" t="s">
        <v>32874</v>
      </c>
      <c r="J14285" t="s">
        <v>41694</v>
      </c>
      <c r="K14285" t="s">
        <v>42729</v>
      </c>
      <c r="M14285" t="s">
        <v>47220</v>
      </c>
      <c r="N14285" t="s">
        <v>47424</v>
      </c>
      <c r="O14285" t="s">
        <v>47425</v>
      </c>
      <c r="Q14285">
        <v>44</v>
      </c>
      <c r="R14285" t="s">
        <v>47445</v>
      </c>
      <c r="S14285" t="s">
        <v>48210</v>
      </c>
      <c r="T14285" t="s">
        <v>49068</v>
      </c>
      <c r="U14285" t="s">
        <v>61284</v>
      </c>
      <c r="W14285" t="s">
        <v>47220</v>
      </c>
      <c r="X14285" t="s">
        <v>47446</v>
      </c>
    </row>
    <row r="14286" spans="1:24">
      <c r="A14286">
        <f>HYPERLINK("https://www.philgeps.gov.ph/GEPSNONPILOT/Tender/SplashBidNoticeAbstractUI.aspx?menuIndex=3&amp;refID=7059615&amp;Result=3","7059615")</f>
        <v>0</v>
      </c>
      <c r="B14286" t="s">
        <v>2215</v>
      </c>
      <c r="C14286" t="s">
        <v>17409</v>
      </c>
      <c r="D14286" t="s">
        <v>19077</v>
      </c>
      <c r="E14286" t="s">
        <v>31346</v>
      </c>
      <c r="F14286" t="s">
        <v>32831</v>
      </c>
      <c r="G14286" t="s">
        <v>32839</v>
      </c>
      <c r="H14286" t="s">
        <v>32849</v>
      </c>
      <c r="I14286" t="s">
        <v>4177</v>
      </c>
      <c r="J14286" t="s">
        <v>41695</v>
      </c>
      <c r="K14286" t="s">
        <v>42790</v>
      </c>
      <c r="M14286" t="s">
        <v>45395</v>
      </c>
      <c r="N14286" t="s">
        <v>47424</v>
      </c>
      <c r="O14286" t="s">
        <v>47425</v>
      </c>
      <c r="Q14286">
        <v>2</v>
      </c>
      <c r="R14286" t="s">
        <v>47446</v>
      </c>
      <c r="S14286" t="s">
        <v>48378</v>
      </c>
      <c r="T14286" t="s">
        <v>49111</v>
      </c>
      <c r="U14286" t="s">
        <v>61285</v>
      </c>
      <c r="W14286" t="s">
        <v>45395</v>
      </c>
      <c r="X14286" t="s">
        <v>47478</v>
      </c>
    </row>
    <row r="14287" spans="1:24">
      <c r="A14287">
        <f>HYPERLINK("https://www.philgeps.gov.ph/GEPSNONPILOT/Tender/SplashBidNoticeAbstractUI.aspx?menuIndex=3&amp;refID=7059570&amp;Result=3","7059570")</f>
        <v>0</v>
      </c>
      <c r="B14287" t="s">
        <v>2215</v>
      </c>
      <c r="C14287" t="s">
        <v>17410</v>
      </c>
      <c r="D14287" t="s">
        <v>19077</v>
      </c>
      <c r="E14287" t="s">
        <v>31347</v>
      </c>
      <c r="F14287" t="s">
        <v>32831</v>
      </c>
      <c r="G14287" t="s">
        <v>32839</v>
      </c>
      <c r="H14287" t="s">
        <v>32849</v>
      </c>
      <c r="I14287" t="s">
        <v>4177</v>
      </c>
      <c r="J14287" t="s">
        <v>41696</v>
      </c>
      <c r="K14287" t="s">
        <v>42982</v>
      </c>
      <c r="M14287" t="s">
        <v>45395</v>
      </c>
      <c r="N14287" t="s">
        <v>47424</v>
      </c>
      <c r="O14287" t="s">
        <v>47425</v>
      </c>
      <c r="Q14287">
        <v>5</v>
      </c>
      <c r="R14287" t="s">
        <v>47446</v>
      </c>
      <c r="S14287" t="s">
        <v>48379</v>
      </c>
      <c r="T14287" t="s">
        <v>49111</v>
      </c>
      <c r="U14287" t="s">
        <v>61286</v>
      </c>
      <c r="W14287" t="s">
        <v>45395</v>
      </c>
      <c r="X14287" t="s">
        <v>47478</v>
      </c>
    </row>
    <row r="14288" spans="1:24">
      <c r="A14288">
        <f>HYPERLINK("https://www.philgeps.gov.ph/GEPSNONPILOT/Tender/SplashBidNoticeAbstractUI.aspx?menuIndex=3&amp;refID=7129514&amp;Result=3","7129514")</f>
        <v>0</v>
      </c>
      <c r="B14288" t="s">
        <v>3799</v>
      </c>
      <c r="C14288" t="s">
        <v>17411</v>
      </c>
      <c r="E14288" t="s">
        <v>31348</v>
      </c>
      <c r="F14288" t="s">
        <v>32831</v>
      </c>
      <c r="G14288" t="s">
        <v>32844</v>
      </c>
      <c r="H14288" t="s">
        <v>14069</v>
      </c>
      <c r="I14288" t="s">
        <v>14069</v>
      </c>
      <c r="J14288" t="s">
        <v>41697</v>
      </c>
      <c r="K14288" t="s">
        <v>42770</v>
      </c>
      <c r="M14288" t="s">
        <v>47216</v>
      </c>
      <c r="N14288" t="s">
        <v>47424</v>
      </c>
      <c r="O14288" t="s">
        <v>47425</v>
      </c>
      <c r="Q14288">
        <v>2</v>
      </c>
      <c r="R14288" t="s">
        <v>47445</v>
      </c>
      <c r="S14288" t="s">
        <v>48380</v>
      </c>
      <c r="T14288" t="s">
        <v>49319</v>
      </c>
      <c r="U14288" t="s">
        <v>61287</v>
      </c>
      <c r="V14288" t="s">
        <v>64251</v>
      </c>
      <c r="W14288" t="s">
        <v>47216</v>
      </c>
      <c r="X14288" t="s">
        <v>47446</v>
      </c>
    </row>
    <row r="14289" spans="1:24">
      <c r="A14289">
        <f>HYPERLINK("https://www.philgeps.gov.ph/GEPSNONPILOT/Tender/SplashBidNoticeAbstractUI.aspx?menuIndex=3&amp;refID=7121107&amp;Result=3","7121107")</f>
        <v>0</v>
      </c>
      <c r="B14289" t="s">
        <v>1953</v>
      </c>
      <c r="C14289" t="s">
        <v>17412</v>
      </c>
      <c r="E14289" t="s">
        <v>31349</v>
      </c>
      <c r="F14289" t="s">
        <v>32831</v>
      </c>
      <c r="G14289" t="s">
        <v>32839</v>
      </c>
      <c r="H14289" t="s">
        <v>32848</v>
      </c>
      <c r="I14289" t="s">
        <v>32953</v>
      </c>
      <c r="J14289" t="s">
        <v>41698</v>
      </c>
      <c r="K14289" t="s">
        <v>42730</v>
      </c>
      <c r="M14289" t="s">
        <v>46363</v>
      </c>
      <c r="N14289" t="s">
        <v>47424</v>
      </c>
      <c r="O14289" t="s">
        <v>47425</v>
      </c>
      <c r="Q14289">
        <v>2</v>
      </c>
      <c r="R14289" t="s">
        <v>47446</v>
      </c>
      <c r="S14289" t="s">
        <v>48381</v>
      </c>
      <c r="T14289" t="s">
        <v>49214</v>
      </c>
      <c r="U14289" t="s">
        <v>54040</v>
      </c>
      <c r="W14289" t="s">
        <v>46363</v>
      </c>
      <c r="X14289" t="s">
        <v>47448</v>
      </c>
    </row>
    <row r="14290" spans="1:24">
      <c r="A14290">
        <f>HYPERLINK("https://www.philgeps.gov.ph/GEPSNONPILOT/Tender/SplashBidNoticeAbstractUI.aspx?menuIndex=3&amp;refID=7059588&amp;Result=3","7059588")</f>
        <v>0</v>
      </c>
      <c r="B14290" t="s">
        <v>2215</v>
      </c>
      <c r="C14290" t="s">
        <v>17413</v>
      </c>
      <c r="D14290" t="s">
        <v>19077</v>
      </c>
      <c r="E14290" t="s">
        <v>31350</v>
      </c>
      <c r="F14290" t="s">
        <v>32831</v>
      </c>
      <c r="G14290" t="s">
        <v>32839</v>
      </c>
      <c r="H14290" t="s">
        <v>32849</v>
      </c>
      <c r="I14290" t="s">
        <v>4177</v>
      </c>
      <c r="J14290" t="s">
        <v>41699</v>
      </c>
      <c r="K14290" t="s">
        <v>42874</v>
      </c>
      <c r="M14290" t="s">
        <v>45395</v>
      </c>
      <c r="N14290" t="s">
        <v>47424</v>
      </c>
      <c r="O14290" t="s">
        <v>47425</v>
      </c>
      <c r="Q14290">
        <v>2</v>
      </c>
      <c r="R14290" t="s">
        <v>47446</v>
      </c>
      <c r="S14290" t="s">
        <v>48382</v>
      </c>
      <c r="T14290" t="s">
        <v>49111</v>
      </c>
      <c r="U14290" t="s">
        <v>61288</v>
      </c>
      <c r="W14290" t="s">
        <v>45395</v>
      </c>
      <c r="X14290" t="s">
        <v>47478</v>
      </c>
    </row>
    <row r="14291" spans="1:24">
      <c r="A14291">
        <f>HYPERLINK("https://www.philgeps.gov.ph/GEPSNONPILOT/Tender/SplashBidNoticeAbstractUI.aspx?menuIndex=3&amp;refID=7121017&amp;Result=3","7121017")</f>
        <v>0</v>
      </c>
      <c r="B14291" t="s">
        <v>3803</v>
      </c>
      <c r="C14291" t="s">
        <v>17414</v>
      </c>
      <c r="D14291" t="s">
        <v>19027</v>
      </c>
      <c r="E14291" t="s">
        <v>31351</v>
      </c>
      <c r="F14291" t="s">
        <v>32831</v>
      </c>
      <c r="G14291" t="s">
        <v>32839</v>
      </c>
      <c r="H14291" t="s">
        <v>32848</v>
      </c>
      <c r="I14291" t="s">
        <v>7416</v>
      </c>
      <c r="J14291" t="s">
        <v>41700</v>
      </c>
      <c r="K14291" t="s">
        <v>42726</v>
      </c>
      <c r="L14291" t="s">
        <v>3803</v>
      </c>
      <c r="M14291" t="s">
        <v>47221</v>
      </c>
      <c r="N14291" t="s">
        <v>47424</v>
      </c>
      <c r="O14291" t="s">
        <v>47425</v>
      </c>
      <c r="P14291">
        <v>0</v>
      </c>
      <c r="Q14291">
        <v>0</v>
      </c>
      <c r="R14291" t="s">
        <v>47446</v>
      </c>
      <c r="S14291" t="s">
        <v>48377</v>
      </c>
      <c r="T14291" t="s">
        <v>49214</v>
      </c>
      <c r="U14291" t="s">
        <v>61289</v>
      </c>
      <c r="V14291" t="s">
        <v>64258</v>
      </c>
      <c r="W14291" t="s">
        <v>47221</v>
      </c>
      <c r="X14291" t="s">
        <v>47448</v>
      </c>
    </row>
    <row r="14292" spans="1:24">
      <c r="A14292">
        <f>HYPERLINK("https://www.philgeps.gov.ph/GEPSNONPILOT/Tender/SplashBidNoticeAbstractUI.aspx?menuIndex=3&amp;refID=7120800&amp;Result=3","7120800")</f>
        <v>0</v>
      </c>
      <c r="B14292" t="s">
        <v>3803</v>
      </c>
      <c r="C14292" t="s">
        <v>17415</v>
      </c>
      <c r="D14292" t="s">
        <v>19027</v>
      </c>
      <c r="E14292" t="s">
        <v>22480</v>
      </c>
      <c r="F14292" t="s">
        <v>32831</v>
      </c>
      <c r="G14292" t="s">
        <v>32839</v>
      </c>
      <c r="H14292" t="s">
        <v>32848</v>
      </c>
      <c r="I14292" t="s">
        <v>10805</v>
      </c>
      <c r="J14292" t="s">
        <v>35137</v>
      </c>
      <c r="K14292" t="s">
        <v>42726</v>
      </c>
      <c r="L14292" t="s">
        <v>3803</v>
      </c>
      <c r="M14292" t="s">
        <v>47221</v>
      </c>
      <c r="N14292" t="s">
        <v>47424</v>
      </c>
      <c r="O14292" t="s">
        <v>47425</v>
      </c>
      <c r="P14292">
        <v>0</v>
      </c>
      <c r="Q14292">
        <v>0</v>
      </c>
      <c r="R14292" t="s">
        <v>47446</v>
      </c>
      <c r="S14292" t="s">
        <v>48377</v>
      </c>
      <c r="T14292" t="s">
        <v>49214</v>
      </c>
      <c r="U14292" t="s">
        <v>61289</v>
      </c>
      <c r="V14292" t="s">
        <v>64258</v>
      </c>
      <c r="W14292" t="s">
        <v>47221</v>
      </c>
      <c r="X14292" t="s">
        <v>47448</v>
      </c>
    </row>
    <row r="14293" spans="1:24">
      <c r="A14293">
        <f>HYPERLINK("https://www.philgeps.gov.ph/GEPSNONPILOT/Tender/SplashBidNoticeAbstractUI.aspx?menuIndex=3&amp;refID=7059579&amp;Result=3","7059579")</f>
        <v>0</v>
      </c>
      <c r="B14293" t="s">
        <v>2215</v>
      </c>
      <c r="C14293" t="s">
        <v>17416</v>
      </c>
      <c r="D14293" t="s">
        <v>19077</v>
      </c>
      <c r="E14293" t="s">
        <v>31352</v>
      </c>
      <c r="F14293" t="s">
        <v>32831</v>
      </c>
      <c r="G14293" t="s">
        <v>32839</v>
      </c>
      <c r="H14293" t="s">
        <v>32849</v>
      </c>
      <c r="I14293" t="s">
        <v>4177</v>
      </c>
      <c r="J14293" t="s">
        <v>41701</v>
      </c>
      <c r="K14293" t="s">
        <v>42952</v>
      </c>
      <c r="M14293" t="s">
        <v>45395</v>
      </c>
      <c r="N14293" t="s">
        <v>47424</v>
      </c>
      <c r="O14293" t="s">
        <v>47425</v>
      </c>
      <c r="Q14293">
        <v>1</v>
      </c>
      <c r="R14293" t="s">
        <v>47446</v>
      </c>
      <c r="S14293" t="s">
        <v>47629</v>
      </c>
      <c r="T14293" t="s">
        <v>49111</v>
      </c>
      <c r="U14293" t="s">
        <v>61290</v>
      </c>
      <c r="W14293" t="s">
        <v>45395</v>
      </c>
      <c r="X14293" t="s">
        <v>47478</v>
      </c>
    </row>
    <row r="14294" spans="1:24">
      <c r="A14294">
        <f>HYPERLINK("https://www.philgeps.gov.ph/GEPSNONPILOT/Tender/SplashBidNoticeAbstractUI.aspx?menuIndex=3&amp;refID=7120726&amp;Result=3","7120726")</f>
        <v>0</v>
      </c>
      <c r="B14294" t="s">
        <v>253</v>
      </c>
      <c r="C14294" t="s">
        <v>17417</v>
      </c>
      <c r="D14294" t="s">
        <v>19045</v>
      </c>
      <c r="E14294" t="s">
        <v>31353</v>
      </c>
      <c r="F14294" t="s">
        <v>32831</v>
      </c>
      <c r="G14294" t="s">
        <v>32839</v>
      </c>
      <c r="H14294" t="s">
        <v>32848</v>
      </c>
      <c r="I14294" t="s">
        <v>7751</v>
      </c>
      <c r="J14294" t="s">
        <v>41702</v>
      </c>
      <c r="K14294" t="s">
        <v>42730</v>
      </c>
      <c r="M14294" t="s">
        <v>43252</v>
      </c>
      <c r="N14294" t="s">
        <v>47424</v>
      </c>
      <c r="O14294" t="s">
        <v>47425</v>
      </c>
      <c r="P14294">
        <v>0</v>
      </c>
      <c r="Q14294">
        <v>6</v>
      </c>
      <c r="R14294" t="s">
        <v>47446</v>
      </c>
      <c r="S14294" t="s">
        <v>48377</v>
      </c>
      <c r="T14294" t="s">
        <v>49237</v>
      </c>
      <c r="U14294" t="s">
        <v>61291</v>
      </c>
      <c r="W14294" t="s">
        <v>43252</v>
      </c>
      <c r="X14294" t="s">
        <v>47448</v>
      </c>
    </row>
    <row r="14295" spans="1:24">
      <c r="A14295">
        <f>HYPERLINK("https://www.philgeps.gov.ph/GEPSNONPILOT/Tender/SplashBidNoticeAbstractUI.aspx?menuIndex=3&amp;refID=7059609&amp;Result=3","7059609")</f>
        <v>0</v>
      </c>
      <c r="B14295" t="s">
        <v>2215</v>
      </c>
      <c r="C14295" t="s">
        <v>17418</v>
      </c>
      <c r="D14295" t="s">
        <v>19077</v>
      </c>
      <c r="E14295" t="s">
        <v>31354</v>
      </c>
      <c r="F14295" t="s">
        <v>32831</v>
      </c>
      <c r="G14295" t="s">
        <v>32839</v>
      </c>
      <c r="H14295" t="s">
        <v>32849</v>
      </c>
      <c r="I14295" t="s">
        <v>4177</v>
      </c>
      <c r="J14295" t="s">
        <v>41703</v>
      </c>
      <c r="K14295" t="s">
        <v>42984</v>
      </c>
      <c r="M14295" t="s">
        <v>45395</v>
      </c>
      <c r="N14295" t="s">
        <v>47424</v>
      </c>
      <c r="O14295" t="s">
        <v>47425</v>
      </c>
      <c r="Q14295">
        <v>2</v>
      </c>
      <c r="R14295" t="s">
        <v>47446</v>
      </c>
      <c r="S14295" t="s">
        <v>48361</v>
      </c>
      <c r="T14295" t="s">
        <v>49111</v>
      </c>
      <c r="U14295" t="s">
        <v>61292</v>
      </c>
      <c r="W14295" t="s">
        <v>45395</v>
      </c>
      <c r="X14295" t="s">
        <v>47478</v>
      </c>
    </row>
    <row r="14296" spans="1:24">
      <c r="A14296">
        <f>HYPERLINK("https://www.philgeps.gov.ph/GEPSNONPILOT/Tender/SplashBidNoticeAbstractUI.aspx?menuIndex=3&amp;refID=7059595&amp;Result=3","7059595")</f>
        <v>0</v>
      </c>
      <c r="B14296" t="s">
        <v>2215</v>
      </c>
      <c r="C14296" t="s">
        <v>17419</v>
      </c>
      <c r="D14296" t="s">
        <v>19077</v>
      </c>
      <c r="E14296" t="s">
        <v>31355</v>
      </c>
      <c r="F14296" t="s">
        <v>32831</v>
      </c>
      <c r="G14296" t="s">
        <v>32839</v>
      </c>
      <c r="H14296" t="s">
        <v>32849</v>
      </c>
      <c r="I14296" t="s">
        <v>4177</v>
      </c>
      <c r="J14296" t="s">
        <v>41704</v>
      </c>
      <c r="K14296" t="s">
        <v>42841</v>
      </c>
      <c r="M14296" t="s">
        <v>45395</v>
      </c>
      <c r="N14296" t="s">
        <v>47424</v>
      </c>
      <c r="O14296" t="s">
        <v>47425</v>
      </c>
      <c r="Q14296">
        <v>2</v>
      </c>
      <c r="R14296" t="s">
        <v>47446</v>
      </c>
      <c r="S14296" t="s">
        <v>48383</v>
      </c>
      <c r="T14296" t="s">
        <v>49111</v>
      </c>
      <c r="U14296" t="s">
        <v>61293</v>
      </c>
      <c r="W14296" t="s">
        <v>45395</v>
      </c>
      <c r="X14296" t="s">
        <v>47478</v>
      </c>
    </row>
    <row r="14297" spans="1:24">
      <c r="A14297">
        <f>HYPERLINK("https://www.philgeps.gov.ph/GEPSNONPILOT/Tender/SplashBidNoticeAbstractUI.aspx?menuIndex=3&amp;refID=7120537&amp;Result=3","7120537")</f>
        <v>0</v>
      </c>
      <c r="B14297" t="s">
        <v>1808</v>
      </c>
      <c r="C14297" t="s">
        <v>17420</v>
      </c>
      <c r="D14297" t="s">
        <v>19044</v>
      </c>
      <c r="E14297" t="s">
        <v>31356</v>
      </c>
      <c r="F14297" t="s">
        <v>32831</v>
      </c>
      <c r="G14297" t="s">
        <v>32839</v>
      </c>
      <c r="H14297" t="s">
        <v>32849</v>
      </c>
      <c r="I14297" t="s">
        <v>4177</v>
      </c>
      <c r="J14297" t="s">
        <v>41705</v>
      </c>
      <c r="K14297" t="s">
        <v>42780</v>
      </c>
      <c r="M14297" t="s">
        <v>44941</v>
      </c>
      <c r="N14297" t="s">
        <v>47424</v>
      </c>
      <c r="O14297" t="s">
        <v>47425</v>
      </c>
      <c r="P14297">
        <v>0</v>
      </c>
      <c r="Q14297">
        <v>1</v>
      </c>
      <c r="R14297" t="s">
        <v>47446</v>
      </c>
      <c r="S14297" t="s">
        <v>48377</v>
      </c>
      <c r="T14297" t="s">
        <v>49063</v>
      </c>
      <c r="U14297" t="s">
        <v>61294</v>
      </c>
      <c r="V14297" t="s">
        <v>64259</v>
      </c>
      <c r="W14297" t="s">
        <v>44941</v>
      </c>
      <c r="X14297" t="s">
        <v>47448</v>
      </c>
    </row>
    <row r="14298" spans="1:24">
      <c r="A14298">
        <f>HYPERLINK("https://www.philgeps.gov.ph/GEPSNONPILOT/Tender/SplashBidNoticeAbstractUI.aspx?menuIndex=3&amp;refID=7120811&amp;Result=3","7120811")</f>
        <v>0</v>
      </c>
      <c r="B14298" t="s">
        <v>3803</v>
      </c>
      <c r="C14298" t="s">
        <v>17421</v>
      </c>
      <c r="D14298" t="s">
        <v>19027</v>
      </c>
      <c r="E14298" t="s">
        <v>21664</v>
      </c>
      <c r="F14298" t="s">
        <v>32831</v>
      </c>
      <c r="G14298" t="s">
        <v>32839</v>
      </c>
      <c r="H14298" t="s">
        <v>32848</v>
      </c>
      <c r="I14298" t="s">
        <v>32911</v>
      </c>
      <c r="J14298" t="s">
        <v>41706</v>
      </c>
      <c r="K14298" t="s">
        <v>42726</v>
      </c>
      <c r="L14298" t="s">
        <v>3803</v>
      </c>
      <c r="M14298" t="s">
        <v>47221</v>
      </c>
      <c r="N14298" t="s">
        <v>47424</v>
      </c>
      <c r="O14298" t="s">
        <v>47425</v>
      </c>
      <c r="P14298">
        <v>0</v>
      </c>
      <c r="Q14298">
        <v>0</v>
      </c>
      <c r="R14298" t="s">
        <v>47446</v>
      </c>
      <c r="S14298" t="s">
        <v>48377</v>
      </c>
      <c r="T14298" t="s">
        <v>49214</v>
      </c>
      <c r="U14298" t="s">
        <v>61289</v>
      </c>
      <c r="V14298" t="s">
        <v>64258</v>
      </c>
      <c r="W14298" t="s">
        <v>47221</v>
      </c>
      <c r="X14298" t="s">
        <v>47448</v>
      </c>
    </row>
    <row r="14299" spans="1:24">
      <c r="A14299">
        <f>HYPERLINK("https://www.philgeps.gov.ph/GEPSNONPILOT/Tender/SplashBidNoticeAbstractUI.aspx?menuIndex=3&amp;refID=7118524&amp;Result=3","7118524")</f>
        <v>0</v>
      </c>
      <c r="B14299" t="s">
        <v>1634</v>
      </c>
      <c r="C14299" t="s">
        <v>17422</v>
      </c>
      <c r="D14299" t="s">
        <v>19017</v>
      </c>
      <c r="E14299" t="s">
        <v>31357</v>
      </c>
      <c r="F14299" t="s">
        <v>32831</v>
      </c>
      <c r="G14299" t="s">
        <v>32839</v>
      </c>
      <c r="H14299" t="s">
        <v>32848</v>
      </c>
      <c r="I14299" t="s">
        <v>7751</v>
      </c>
      <c r="J14299" t="s">
        <v>34828</v>
      </c>
      <c r="K14299" t="s">
        <v>42730</v>
      </c>
      <c r="M14299" t="s">
        <v>47222</v>
      </c>
      <c r="N14299" t="s">
        <v>47424</v>
      </c>
      <c r="O14299" t="s">
        <v>47425</v>
      </c>
      <c r="P14299">
        <v>0</v>
      </c>
      <c r="Q14299">
        <v>5</v>
      </c>
      <c r="R14299" t="s">
        <v>47446</v>
      </c>
      <c r="S14299" t="s">
        <v>48377</v>
      </c>
      <c r="T14299" t="s">
        <v>49328</v>
      </c>
      <c r="U14299" t="s">
        <v>61295</v>
      </c>
      <c r="W14299" t="s">
        <v>47222</v>
      </c>
      <c r="X14299" t="s">
        <v>47451</v>
      </c>
    </row>
    <row r="14300" spans="1:24">
      <c r="A14300">
        <f>HYPERLINK("https://www.philgeps.gov.ph/GEPSNONPILOT/Tender/SplashBidNoticeAbstractUI.aspx?menuIndex=3&amp;refID=7117768&amp;Result=3","7117768")</f>
        <v>0</v>
      </c>
      <c r="B14300" t="s">
        <v>3083</v>
      </c>
      <c r="C14300" t="s">
        <v>17423</v>
      </c>
      <c r="D14300" t="s">
        <v>19062</v>
      </c>
      <c r="E14300" t="s">
        <v>31358</v>
      </c>
      <c r="F14300" t="s">
        <v>32831</v>
      </c>
      <c r="G14300" t="s">
        <v>32839</v>
      </c>
      <c r="H14300" t="s">
        <v>32848</v>
      </c>
      <c r="I14300" t="s">
        <v>32857</v>
      </c>
      <c r="J14300" t="s">
        <v>41707</v>
      </c>
      <c r="K14300" t="s">
        <v>42731</v>
      </c>
      <c r="M14300" t="s">
        <v>46364</v>
      </c>
      <c r="N14300" t="s">
        <v>47424</v>
      </c>
      <c r="O14300" t="s">
        <v>47425</v>
      </c>
      <c r="P14300">
        <v>0</v>
      </c>
      <c r="Q14300">
        <v>14</v>
      </c>
      <c r="R14300" t="s">
        <v>47446</v>
      </c>
      <c r="S14300" t="s">
        <v>48377</v>
      </c>
      <c r="T14300" t="s">
        <v>49163</v>
      </c>
      <c r="U14300" t="s">
        <v>61296</v>
      </c>
      <c r="V14300" t="s">
        <v>63707</v>
      </c>
      <c r="W14300" t="s">
        <v>46364</v>
      </c>
      <c r="X14300" t="s">
        <v>47451</v>
      </c>
    </row>
    <row r="14301" spans="1:24">
      <c r="A14301">
        <f>HYPERLINK("https://www.philgeps.gov.ph/GEPSNONPILOT/Tender/SplashBidNoticeAbstractUI.aspx?menuIndex=3&amp;refID=7120826&amp;Result=3","7120826")</f>
        <v>0</v>
      </c>
      <c r="B14301" t="s">
        <v>3803</v>
      </c>
      <c r="C14301" t="s">
        <v>17424</v>
      </c>
      <c r="D14301" t="s">
        <v>19027</v>
      </c>
      <c r="E14301" t="s">
        <v>20298</v>
      </c>
      <c r="F14301" t="s">
        <v>32831</v>
      </c>
      <c r="G14301" t="s">
        <v>32839</v>
      </c>
      <c r="H14301" t="s">
        <v>32848</v>
      </c>
      <c r="I14301" t="s">
        <v>32864</v>
      </c>
      <c r="J14301" t="s">
        <v>41708</v>
      </c>
      <c r="K14301" t="s">
        <v>42726</v>
      </c>
      <c r="L14301" t="s">
        <v>3803</v>
      </c>
      <c r="M14301" t="s">
        <v>47221</v>
      </c>
      <c r="N14301" t="s">
        <v>47424</v>
      </c>
      <c r="O14301" t="s">
        <v>47425</v>
      </c>
      <c r="P14301">
        <v>0</v>
      </c>
      <c r="Q14301">
        <v>0</v>
      </c>
      <c r="R14301" t="s">
        <v>47446</v>
      </c>
      <c r="S14301" t="s">
        <v>48377</v>
      </c>
      <c r="T14301" t="s">
        <v>49114</v>
      </c>
      <c r="U14301" t="s">
        <v>61289</v>
      </c>
      <c r="V14301" t="s">
        <v>64258</v>
      </c>
      <c r="W14301" t="s">
        <v>47221</v>
      </c>
      <c r="X14301" t="s">
        <v>47448</v>
      </c>
    </row>
    <row r="14302" spans="1:24">
      <c r="A14302">
        <f>HYPERLINK("https://www.philgeps.gov.ph/GEPSNONPILOT/Tender/SplashBidNoticeAbstractUI.aspx?menuIndex=3&amp;refID=7117519&amp;Result=3","7117519")</f>
        <v>0</v>
      </c>
      <c r="B14302" t="s">
        <v>267</v>
      </c>
      <c r="C14302" t="s">
        <v>17425</v>
      </c>
      <c r="D14302" t="s">
        <v>19078</v>
      </c>
      <c r="E14302" t="s">
        <v>31359</v>
      </c>
      <c r="F14302" t="s">
        <v>32831</v>
      </c>
      <c r="G14302" t="s">
        <v>32839</v>
      </c>
      <c r="H14302" t="s">
        <v>32848</v>
      </c>
      <c r="I14302" t="s">
        <v>32875</v>
      </c>
      <c r="J14302" t="s">
        <v>34828</v>
      </c>
      <c r="K14302" t="s">
        <v>42730</v>
      </c>
      <c r="M14302" t="s">
        <v>43266</v>
      </c>
      <c r="N14302" t="s">
        <v>47424</v>
      </c>
      <c r="O14302" t="s">
        <v>47425</v>
      </c>
      <c r="P14302">
        <v>0</v>
      </c>
      <c r="Q14302">
        <v>6</v>
      </c>
      <c r="R14302" t="s">
        <v>47446</v>
      </c>
      <c r="S14302" t="s">
        <v>48377</v>
      </c>
      <c r="T14302" t="s">
        <v>49111</v>
      </c>
      <c r="U14302" t="s">
        <v>61297</v>
      </c>
      <c r="W14302" t="s">
        <v>43266</v>
      </c>
      <c r="X14302" t="s">
        <v>47451</v>
      </c>
    </row>
    <row r="14303" spans="1:24">
      <c r="A14303">
        <f>HYPERLINK("https://www.philgeps.gov.ph/GEPSNONPILOT/Tender/SplashBidNoticeAbstractUI.aspx?menuIndex=3&amp;refID=7117967&amp;Result=3","7117967")</f>
        <v>0</v>
      </c>
      <c r="B14303" t="s">
        <v>3083</v>
      </c>
      <c r="C14303" t="s">
        <v>17426</v>
      </c>
      <c r="D14303" t="s">
        <v>19062</v>
      </c>
      <c r="E14303" t="s">
        <v>31360</v>
      </c>
      <c r="F14303" t="s">
        <v>32831</v>
      </c>
      <c r="G14303" t="s">
        <v>32839</v>
      </c>
      <c r="H14303" t="s">
        <v>32848</v>
      </c>
      <c r="I14303" t="s">
        <v>32857</v>
      </c>
      <c r="J14303" t="s">
        <v>33315</v>
      </c>
      <c r="K14303" t="s">
        <v>42731</v>
      </c>
      <c r="M14303" t="s">
        <v>46364</v>
      </c>
      <c r="N14303" t="s">
        <v>47424</v>
      </c>
      <c r="O14303" t="s">
        <v>47425</v>
      </c>
      <c r="P14303">
        <v>0</v>
      </c>
      <c r="Q14303">
        <v>22</v>
      </c>
      <c r="R14303" t="s">
        <v>47446</v>
      </c>
      <c r="S14303" t="s">
        <v>48377</v>
      </c>
      <c r="T14303" t="s">
        <v>49163</v>
      </c>
      <c r="U14303" t="s">
        <v>61298</v>
      </c>
      <c r="V14303" t="s">
        <v>63707</v>
      </c>
      <c r="W14303" t="s">
        <v>46364</v>
      </c>
      <c r="X14303" t="s">
        <v>47451</v>
      </c>
    </row>
    <row r="14304" spans="1:24">
      <c r="A14304">
        <f>HYPERLINK("https://www.philgeps.gov.ph/GEPSNONPILOT/Tender/SplashBidNoticeAbstractUI.aspx?menuIndex=3&amp;refID=7116900&amp;Result=3","7116900")</f>
        <v>0</v>
      </c>
      <c r="B14304" t="s">
        <v>2180</v>
      </c>
      <c r="C14304" t="s">
        <v>17427</v>
      </c>
      <c r="D14304" t="s">
        <v>19037</v>
      </c>
      <c r="E14304" t="s">
        <v>31361</v>
      </c>
      <c r="F14304" t="s">
        <v>32831</v>
      </c>
      <c r="G14304" t="s">
        <v>32839</v>
      </c>
      <c r="H14304" t="s">
        <v>32849</v>
      </c>
      <c r="I14304" t="s">
        <v>4177</v>
      </c>
      <c r="J14304" t="s">
        <v>33111</v>
      </c>
      <c r="K14304" t="s">
        <v>42763</v>
      </c>
      <c r="M14304" t="s">
        <v>45360</v>
      </c>
      <c r="N14304" t="s">
        <v>47424</v>
      </c>
      <c r="O14304" t="s">
        <v>47425</v>
      </c>
      <c r="P14304">
        <v>0</v>
      </c>
      <c r="Q14304">
        <v>3</v>
      </c>
      <c r="R14304" t="s">
        <v>47446</v>
      </c>
      <c r="S14304" t="s">
        <v>48377</v>
      </c>
      <c r="T14304" t="s">
        <v>49239</v>
      </c>
      <c r="U14304" t="s">
        <v>61299</v>
      </c>
      <c r="W14304" t="s">
        <v>45360</v>
      </c>
      <c r="X14304" t="s">
        <v>47451</v>
      </c>
    </row>
    <row r="14305" spans="1:24">
      <c r="A14305">
        <f>HYPERLINK("https://www.philgeps.gov.ph/GEPSNONPILOT/Tender/SplashBidNoticeAbstractUI.aspx?menuIndex=3&amp;refID=7116412&amp;Result=3","7116412")</f>
        <v>0</v>
      </c>
      <c r="B14305" t="s">
        <v>1858</v>
      </c>
      <c r="C14305" t="s">
        <v>17428</v>
      </c>
      <c r="D14305" t="s">
        <v>19056</v>
      </c>
      <c r="E14305" t="s">
        <v>31362</v>
      </c>
      <c r="F14305" t="s">
        <v>32831</v>
      </c>
      <c r="G14305" t="s">
        <v>32839</v>
      </c>
      <c r="H14305" t="s">
        <v>32848</v>
      </c>
      <c r="I14305" t="s">
        <v>11727</v>
      </c>
      <c r="J14305" t="s">
        <v>33193</v>
      </c>
      <c r="K14305" t="s">
        <v>42730</v>
      </c>
      <c r="M14305" t="s">
        <v>44997</v>
      </c>
      <c r="N14305" t="s">
        <v>47424</v>
      </c>
      <c r="O14305" t="s">
        <v>47425</v>
      </c>
      <c r="P14305">
        <v>0</v>
      </c>
      <c r="Q14305">
        <v>1</v>
      </c>
      <c r="R14305" t="s">
        <v>47446</v>
      </c>
      <c r="S14305" t="s">
        <v>48377</v>
      </c>
      <c r="T14305" t="s">
        <v>49214</v>
      </c>
      <c r="U14305" t="s">
        <v>61300</v>
      </c>
      <c r="W14305" t="s">
        <v>44997</v>
      </c>
      <c r="X14305" t="s">
        <v>47451</v>
      </c>
    </row>
    <row r="14306" spans="1:24">
      <c r="A14306">
        <f>HYPERLINK("https://www.philgeps.gov.ph/GEPSNONPILOT/Tender/SplashBidNoticeAbstractUI.aspx?menuIndex=3&amp;refID=7120275&amp;Result=3","7120275")</f>
        <v>0</v>
      </c>
      <c r="B14306" t="s">
        <v>3804</v>
      </c>
      <c r="C14306" t="s">
        <v>17429</v>
      </c>
      <c r="D14306" t="s">
        <v>19053</v>
      </c>
      <c r="E14306" t="s">
        <v>31363</v>
      </c>
      <c r="F14306" t="s">
        <v>32831</v>
      </c>
      <c r="G14306" t="s">
        <v>32839</v>
      </c>
      <c r="H14306" t="s">
        <v>32849</v>
      </c>
      <c r="I14306" t="s">
        <v>4177</v>
      </c>
      <c r="J14306" t="s">
        <v>34921</v>
      </c>
      <c r="K14306" t="s">
        <v>42757</v>
      </c>
      <c r="M14306" t="s">
        <v>47223</v>
      </c>
      <c r="N14306" t="s">
        <v>47424</v>
      </c>
      <c r="O14306" t="s">
        <v>47425</v>
      </c>
      <c r="P14306">
        <v>0</v>
      </c>
      <c r="Q14306">
        <v>1</v>
      </c>
      <c r="R14306" t="s">
        <v>47446</v>
      </c>
      <c r="S14306" t="s">
        <v>48377</v>
      </c>
      <c r="T14306" t="s">
        <v>49571</v>
      </c>
      <c r="U14306" t="s">
        <v>61301</v>
      </c>
      <c r="W14306" t="s">
        <v>47223</v>
      </c>
      <c r="X14306" t="s">
        <v>47448</v>
      </c>
    </row>
    <row r="14307" spans="1:24">
      <c r="A14307">
        <f>HYPERLINK("https://www.philgeps.gov.ph/GEPSNONPILOT/Tender/SplashBidNoticeAbstractUI.aspx?menuIndex=3&amp;refID=7117184&amp;Result=3","7117184")</f>
        <v>0</v>
      </c>
      <c r="B14307" t="s">
        <v>1607</v>
      </c>
      <c r="C14307" t="s">
        <v>17430</v>
      </c>
      <c r="D14307" t="s">
        <v>19048</v>
      </c>
      <c r="E14307" t="s">
        <v>31364</v>
      </c>
      <c r="F14307" t="s">
        <v>32831</v>
      </c>
      <c r="G14307" t="s">
        <v>32839</v>
      </c>
      <c r="H14307" t="s">
        <v>32849</v>
      </c>
      <c r="I14307" t="s">
        <v>4177</v>
      </c>
      <c r="J14307" t="s">
        <v>33118</v>
      </c>
      <c r="K14307" t="s">
        <v>42770</v>
      </c>
      <c r="M14307" t="s">
        <v>44723</v>
      </c>
      <c r="N14307" t="s">
        <v>47424</v>
      </c>
      <c r="O14307" t="s">
        <v>47425</v>
      </c>
      <c r="P14307">
        <v>0</v>
      </c>
      <c r="Q14307">
        <v>1</v>
      </c>
      <c r="R14307" t="s">
        <v>47446</v>
      </c>
      <c r="S14307" t="s">
        <v>48377</v>
      </c>
      <c r="T14307" t="s">
        <v>49162</v>
      </c>
      <c r="U14307" t="s">
        <v>61302</v>
      </c>
      <c r="W14307" t="s">
        <v>44723</v>
      </c>
      <c r="X14307" t="s">
        <v>47451</v>
      </c>
    </row>
    <row r="14308" spans="1:24">
      <c r="A14308">
        <f>HYPERLINK("https://www.philgeps.gov.ph/GEPSNONPILOT/Tender/SplashBidNoticeAbstractUI.aspx?menuIndex=3&amp;refID=7120318&amp;Result=3","7120318")</f>
        <v>0</v>
      </c>
      <c r="B14308" t="s">
        <v>49</v>
      </c>
      <c r="C14308" t="s">
        <v>17431</v>
      </c>
      <c r="D14308" t="s">
        <v>19037</v>
      </c>
      <c r="E14308" t="s">
        <v>31365</v>
      </c>
      <c r="F14308" t="s">
        <v>32831</v>
      </c>
      <c r="G14308" t="s">
        <v>32839</v>
      </c>
      <c r="H14308" t="s">
        <v>32848</v>
      </c>
      <c r="I14308" t="s">
        <v>4776</v>
      </c>
      <c r="J14308" t="s">
        <v>33771</v>
      </c>
      <c r="K14308" t="s">
        <v>42750</v>
      </c>
      <c r="M14308" t="s">
        <v>43046</v>
      </c>
      <c r="N14308" t="s">
        <v>47424</v>
      </c>
      <c r="O14308" t="s">
        <v>47425</v>
      </c>
      <c r="P14308">
        <v>0</v>
      </c>
      <c r="Q14308">
        <v>1</v>
      </c>
      <c r="R14308" t="s">
        <v>47446</v>
      </c>
      <c r="S14308" t="s">
        <v>48377</v>
      </c>
      <c r="T14308" t="s">
        <v>49166</v>
      </c>
      <c r="U14308" t="s">
        <v>61303</v>
      </c>
      <c r="V14308" t="s">
        <v>62630</v>
      </c>
      <c r="W14308" t="s">
        <v>43046</v>
      </c>
      <c r="X14308" t="s">
        <v>47448</v>
      </c>
    </row>
    <row r="14309" spans="1:24">
      <c r="A14309">
        <f>HYPERLINK("https://www.philgeps.gov.ph/GEPSNONPILOT/Tender/SplashBidNoticeAbstractUI.aspx?menuIndex=3&amp;refID=7128489&amp;Result=3","7128489")</f>
        <v>0</v>
      </c>
      <c r="B14309" t="s">
        <v>755</v>
      </c>
      <c r="C14309" t="s">
        <v>17432</v>
      </c>
      <c r="E14309" t="s">
        <v>31366</v>
      </c>
      <c r="F14309" t="s">
        <v>32831</v>
      </c>
      <c r="G14309" t="s">
        <v>32839</v>
      </c>
      <c r="H14309" t="s">
        <v>32848</v>
      </c>
      <c r="I14309" t="s">
        <v>4558</v>
      </c>
      <c r="J14309" t="s">
        <v>41709</v>
      </c>
      <c r="K14309" t="s">
        <v>42732</v>
      </c>
      <c r="M14309" t="s">
        <v>45605</v>
      </c>
      <c r="N14309" t="s">
        <v>47424</v>
      </c>
      <c r="O14309" t="s">
        <v>47425</v>
      </c>
      <c r="Q14309">
        <v>12</v>
      </c>
      <c r="R14309" t="s">
        <v>47445</v>
      </c>
      <c r="S14309" t="s">
        <v>48384</v>
      </c>
      <c r="T14309" t="s">
        <v>49150</v>
      </c>
      <c r="U14309" t="s">
        <v>61304</v>
      </c>
      <c r="W14309" t="s">
        <v>45605</v>
      </c>
      <c r="X14309" t="s">
        <v>47446</v>
      </c>
    </row>
    <row r="14310" spans="1:24">
      <c r="A14310">
        <f>HYPERLINK("https://www.philgeps.gov.ph/GEPSNONPILOT/Tender/SplashBidNoticeAbstractUI.aspx?menuIndex=3&amp;refID=6974663&amp;Result=3","6974663")</f>
        <v>0</v>
      </c>
      <c r="B14310" t="s">
        <v>1977</v>
      </c>
      <c r="C14310" t="s">
        <v>17433</v>
      </c>
      <c r="D14310" t="s">
        <v>19073</v>
      </c>
      <c r="E14310" t="s">
        <v>31367</v>
      </c>
      <c r="F14310" t="s">
        <v>32831</v>
      </c>
      <c r="G14310" t="s">
        <v>32839</v>
      </c>
      <c r="H14310" t="s">
        <v>32848</v>
      </c>
      <c r="I14310" t="s">
        <v>4558</v>
      </c>
      <c r="J14310" t="s">
        <v>41710</v>
      </c>
      <c r="K14310" t="s">
        <v>42731</v>
      </c>
      <c r="M14310" t="s">
        <v>47224</v>
      </c>
      <c r="N14310" t="s">
        <v>47424</v>
      </c>
      <c r="O14310" t="s">
        <v>47425</v>
      </c>
      <c r="Q14310">
        <v>26</v>
      </c>
      <c r="R14310" t="s">
        <v>47446</v>
      </c>
      <c r="S14310" t="s">
        <v>48385</v>
      </c>
      <c r="T14310" t="s">
        <v>49461</v>
      </c>
      <c r="U14310" t="s">
        <v>61305</v>
      </c>
      <c r="W14310" t="s">
        <v>47224</v>
      </c>
      <c r="X14310" t="s">
        <v>64576</v>
      </c>
    </row>
    <row r="14311" spans="1:24">
      <c r="A14311">
        <f>HYPERLINK("https://www.philgeps.gov.ph/GEPSNONPILOT/Tender/SplashBidNoticeAbstractUI.aspx?menuIndex=3&amp;refID=7129543&amp;Result=3","7129543")</f>
        <v>0</v>
      </c>
      <c r="B14311" t="s">
        <v>1302</v>
      </c>
      <c r="C14311" t="s">
        <v>17434</v>
      </c>
      <c r="D14311" t="s">
        <v>19017</v>
      </c>
      <c r="E14311" t="s">
        <v>31368</v>
      </c>
      <c r="F14311" t="s">
        <v>32831</v>
      </c>
      <c r="G14311" t="s">
        <v>32839</v>
      </c>
      <c r="H14311" t="s">
        <v>32849</v>
      </c>
      <c r="I14311" t="s">
        <v>4177</v>
      </c>
      <c r="J14311" t="s">
        <v>41711</v>
      </c>
      <c r="K14311" t="s">
        <v>42770</v>
      </c>
      <c r="M14311" t="s">
        <v>47225</v>
      </c>
      <c r="N14311" t="s">
        <v>47424</v>
      </c>
      <c r="O14311" t="s">
        <v>47425</v>
      </c>
      <c r="Q14311">
        <v>8</v>
      </c>
      <c r="R14311" t="s">
        <v>47445</v>
      </c>
      <c r="S14311" t="s">
        <v>48386</v>
      </c>
      <c r="T14311" t="s">
        <v>49160</v>
      </c>
      <c r="U14311" t="s">
        <v>61306</v>
      </c>
      <c r="W14311" t="s">
        <v>47225</v>
      </c>
      <c r="X14311" t="s">
        <v>47446</v>
      </c>
    </row>
    <row r="14312" spans="1:24">
      <c r="A14312">
        <f>HYPERLINK("https://www.philgeps.gov.ph/GEPSNONPILOT/Tender/SplashBidNoticeAbstractUI.aspx?menuIndex=3&amp;refID=7059563&amp;Result=3","7059563")</f>
        <v>0</v>
      </c>
      <c r="B14312" t="s">
        <v>2215</v>
      </c>
      <c r="C14312" t="s">
        <v>17435</v>
      </c>
      <c r="D14312" t="s">
        <v>19077</v>
      </c>
      <c r="E14312" t="s">
        <v>31369</v>
      </c>
      <c r="F14312" t="s">
        <v>32831</v>
      </c>
      <c r="G14312" t="s">
        <v>32839</v>
      </c>
      <c r="H14312" t="s">
        <v>32849</v>
      </c>
      <c r="I14312" t="s">
        <v>4177</v>
      </c>
      <c r="J14312" t="s">
        <v>41712</v>
      </c>
      <c r="K14312" t="s">
        <v>42996</v>
      </c>
      <c r="M14312" t="s">
        <v>45395</v>
      </c>
      <c r="N14312" t="s">
        <v>47424</v>
      </c>
      <c r="O14312" t="s">
        <v>47425</v>
      </c>
      <c r="Q14312">
        <v>3</v>
      </c>
      <c r="R14312" t="s">
        <v>47446</v>
      </c>
      <c r="S14312" t="s">
        <v>48387</v>
      </c>
      <c r="T14312" t="s">
        <v>49111</v>
      </c>
      <c r="U14312" t="s">
        <v>61307</v>
      </c>
      <c r="W14312" t="s">
        <v>45395</v>
      </c>
      <c r="X14312" t="s">
        <v>47478</v>
      </c>
    </row>
    <row r="14313" spans="1:24">
      <c r="A14313">
        <f>HYPERLINK("https://www.philgeps.gov.ph/GEPSNONPILOT/Tender/SplashBidNoticeAbstractUI.aspx?menuIndex=3&amp;refID=7129535&amp;Result=3","7129535")</f>
        <v>0</v>
      </c>
      <c r="B14313" t="s">
        <v>2111</v>
      </c>
      <c r="C14313" t="s">
        <v>17436</v>
      </c>
      <c r="E14313" t="s">
        <v>31370</v>
      </c>
      <c r="F14313" t="s">
        <v>32831</v>
      </c>
      <c r="G14313" t="s">
        <v>32839</v>
      </c>
      <c r="H14313" t="s">
        <v>32848</v>
      </c>
      <c r="I14313" t="s">
        <v>4446</v>
      </c>
      <c r="J14313" t="s">
        <v>33257</v>
      </c>
      <c r="K14313" t="s">
        <v>42732</v>
      </c>
      <c r="M14313" t="s">
        <v>45285</v>
      </c>
      <c r="N14313" t="s">
        <v>47424</v>
      </c>
      <c r="O14313" t="s">
        <v>47425</v>
      </c>
      <c r="Q14313">
        <v>3</v>
      </c>
      <c r="R14313" t="s">
        <v>47445</v>
      </c>
      <c r="S14313" t="s">
        <v>48388</v>
      </c>
      <c r="T14313" t="s">
        <v>49212</v>
      </c>
      <c r="U14313" t="s">
        <v>61308</v>
      </c>
      <c r="V14313" t="s">
        <v>64260</v>
      </c>
      <c r="W14313" t="s">
        <v>45285</v>
      </c>
      <c r="X14313" t="s">
        <v>47446</v>
      </c>
    </row>
    <row r="14314" spans="1:24">
      <c r="A14314">
        <f>HYPERLINK("https://www.philgeps.gov.ph/GEPSNONPILOT/Tender/SplashBidNoticeAbstractUI.aspx?menuIndex=3&amp;refID=7129534&amp;Result=3","7129534")</f>
        <v>0</v>
      </c>
      <c r="B14314" t="s">
        <v>1302</v>
      </c>
      <c r="C14314" t="s">
        <v>17437</v>
      </c>
      <c r="D14314" t="s">
        <v>19017</v>
      </c>
      <c r="E14314" t="s">
        <v>31371</v>
      </c>
      <c r="F14314" t="s">
        <v>32831</v>
      </c>
      <c r="G14314" t="s">
        <v>32839</v>
      </c>
      <c r="H14314" t="s">
        <v>32849</v>
      </c>
      <c r="I14314" t="s">
        <v>4177</v>
      </c>
      <c r="J14314" t="s">
        <v>41713</v>
      </c>
      <c r="K14314" t="s">
        <v>42780</v>
      </c>
      <c r="M14314" t="s">
        <v>47225</v>
      </c>
      <c r="N14314" t="s">
        <v>47424</v>
      </c>
      <c r="O14314" t="s">
        <v>47425</v>
      </c>
      <c r="Q14314">
        <v>19</v>
      </c>
      <c r="R14314" t="s">
        <v>47445</v>
      </c>
      <c r="S14314" t="s">
        <v>47536</v>
      </c>
      <c r="T14314" t="s">
        <v>49127</v>
      </c>
      <c r="U14314" t="s">
        <v>61309</v>
      </c>
      <c r="W14314" t="s">
        <v>47225</v>
      </c>
      <c r="X14314" t="s">
        <v>47446</v>
      </c>
    </row>
    <row r="14315" spans="1:24">
      <c r="A14315">
        <f>HYPERLINK("https://www.philgeps.gov.ph/GEPSNONPILOT/Tender/SplashBidNoticeAbstractUI.aspx?menuIndex=3&amp;refID=7129533&amp;Result=3","7129533")</f>
        <v>0</v>
      </c>
      <c r="B14315" t="s">
        <v>2517</v>
      </c>
      <c r="C14315" t="s">
        <v>17438</v>
      </c>
      <c r="D14315" t="s">
        <v>19017</v>
      </c>
      <c r="E14315" t="s">
        <v>31372</v>
      </c>
      <c r="F14315" t="s">
        <v>32831</v>
      </c>
      <c r="G14315" t="s">
        <v>32839</v>
      </c>
      <c r="H14315" t="s">
        <v>32849</v>
      </c>
      <c r="I14315" t="s">
        <v>4177</v>
      </c>
      <c r="J14315" t="s">
        <v>41714</v>
      </c>
      <c r="K14315" t="s">
        <v>42728</v>
      </c>
      <c r="M14315" t="s">
        <v>47214</v>
      </c>
      <c r="N14315" t="s">
        <v>47424</v>
      </c>
      <c r="O14315" t="s">
        <v>47425</v>
      </c>
      <c r="P14315">
        <v>0</v>
      </c>
      <c r="Q14315">
        <v>263</v>
      </c>
      <c r="R14315" t="s">
        <v>47445</v>
      </c>
      <c r="S14315" t="s">
        <v>48250</v>
      </c>
      <c r="T14315" t="s">
        <v>49237</v>
      </c>
      <c r="U14315" t="s">
        <v>61310</v>
      </c>
      <c r="W14315" t="s">
        <v>47214</v>
      </c>
      <c r="X14315" t="s">
        <v>47446</v>
      </c>
    </row>
    <row r="14316" spans="1:24">
      <c r="A14316">
        <f>HYPERLINK("https://www.philgeps.gov.ph/GEPSNONPILOT/Tender/SplashBidNoticeAbstractUI.aspx?menuIndex=3&amp;refID=7129528&amp;Result=3","7129528")</f>
        <v>0</v>
      </c>
      <c r="B14316" t="s">
        <v>2073</v>
      </c>
      <c r="C14316" t="s">
        <v>17439</v>
      </c>
      <c r="D14316" t="s">
        <v>19061</v>
      </c>
      <c r="E14316" t="s">
        <v>31373</v>
      </c>
      <c r="F14316" t="s">
        <v>32831</v>
      </c>
      <c r="G14316" t="s">
        <v>32839</v>
      </c>
      <c r="H14316" t="s">
        <v>32849</v>
      </c>
      <c r="I14316" t="s">
        <v>4177</v>
      </c>
      <c r="J14316" t="s">
        <v>41715</v>
      </c>
      <c r="K14316" t="s">
        <v>42850</v>
      </c>
      <c r="M14316" t="s">
        <v>45243</v>
      </c>
      <c r="N14316" t="s">
        <v>47424</v>
      </c>
      <c r="O14316" t="s">
        <v>47425</v>
      </c>
      <c r="P14316">
        <v>0</v>
      </c>
      <c r="Q14316">
        <v>6</v>
      </c>
      <c r="R14316" t="s">
        <v>47445</v>
      </c>
      <c r="S14316" t="s">
        <v>48250</v>
      </c>
      <c r="T14316" t="s">
        <v>49214</v>
      </c>
      <c r="U14316" t="s">
        <v>61262</v>
      </c>
      <c r="V14316" t="s">
        <v>64248</v>
      </c>
      <c r="W14316" t="s">
        <v>45243</v>
      </c>
      <c r="X14316" t="s">
        <v>47446</v>
      </c>
    </row>
    <row r="14317" spans="1:24">
      <c r="A14317">
        <f>HYPERLINK("https://www.philgeps.gov.ph/GEPSNONPILOT/Tender/SplashBidNoticeAbstractUI.aspx?menuIndex=3&amp;refID=7115639&amp;Result=3","7115639")</f>
        <v>0</v>
      </c>
      <c r="B14317" t="s">
        <v>3805</v>
      </c>
      <c r="C14317" t="s">
        <v>17440</v>
      </c>
      <c r="E14317" t="s">
        <v>19130</v>
      </c>
      <c r="F14317" t="s">
        <v>32831</v>
      </c>
      <c r="G14317" t="s">
        <v>32839</v>
      </c>
      <c r="H14317" t="s">
        <v>32849</v>
      </c>
      <c r="I14317" t="s">
        <v>4177</v>
      </c>
      <c r="J14317" t="s">
        <v>41716</v>
      </c>
      <c r="K14317" t="s">
        <v>42797</v>
      </c>
      <c r="M14317" t="s">
        <v>47226</v>
      </c>
      <c r="N14317" t="s">
        <v>47424</v>
      </c>
      <c r="O14317" t="s">
        <v>47425</v>
      </c>
      <c r="P14317">
        <v>0</v>
      </c>
      <c r="Q14317">
        <v>0</v>
      </c>
      <c r="R14317" t="s">
        <v>47446</v>
      </c>
      <c r="S14317" t="s">
        <v>48377</v>
      </c>
      <c r="T14317" t="s">
        <v>49111</v>
      </c>
      <c r="U14317" t="s">
        <v>61311</v>
      </c>
      <c r="V14317" t="s">
        <v>62793</v>
      </c>
      <c r="W14317" t="s">
        <v>47226</v>
      </c>
      <c r="X14317" t="s">
        <v>47452</v>
      </c>
    </row>
    <row r="14318" spans="1:24">
      <c r="A14318">
        <f>HYPERLINK("https://www.philgeps.gov.ph/GEPSNONPILOT/Tender/SplashBidNoticeAbstractUI.aspx?menuIndex=3&amp;refID=7129234&amp;Result=3","7129234")</f>
        <v>0</v>
      </c>
      <c r="B14318" t="s">
        <v>1088</v>
      </c>
      <c r="C14318" t="s">
        <v>17441</v>
      </c>
      <c r="D14318" t="s">
        <v>19028</v>
      </c>
      <c r="E14318" t="s">
        <v>31374</v>
      </c>
      <c r="F14318" t="s">
        <v>32831</v>
      </c>
      <c r="G14318" t="s">
        <v>32839</v>
      </c>
      <c r="H14318" t="s">
        <v>32849</v>
      </c>
      <c r="I14318" t="s">
        <v>4177</v>
      </c>
      <c r="J14318" t="s">
        <v>41553</v>
      </c>
      <c r="K14318" t="s">
        <v>42898</v>
      </c>
      <c r="M14318" t="s">
        <v>44147</v>
      </c>
      <c r="N14318" t="s">
        <v>47424</v>
      </c>
      <c r="O14318" t="s">
        <v>47425</v>
      </c>
      <c r="P14318">
        <v>0</v>
      </c>
      <c r="Q14318">
        <v>1</v>
      </c>
      <c r="R14318" t="s">
        <v>47445</v>
      </c>
      <c r="S14318" t="s">
        <v>48250</v>
      </c>
      <c r="T14318" t="s">
        <v>49239</v>
      </c>
      <c r="U14318" t="s">
        <v>61312</v>
      </c>
      <c r="V14318" t="s">
        <v>64247</v>
      </c>
      <c r="W14318" t="s">
        <v>44147</v>
      </c>
      <c r="X14318" t="s">
        <v>47446</v>
      </c>
    </row>
    <row r="14319" spans="1:24">
      <c r="A14319">
        <f>HYPERLINK("https://www.philgeps.gov.ph/GEPSNONPILOT/Tender/SplashBidNoticeAbstractUI.aspx?menuIndex=3&amp;refID=7128290&amp;Result=3","7128290")</f>
        <v>0</v>
      </c>
      <c r="B14319" t="s">
        <v>755</v>
      </c>
      <c r="C14319" t="s">
        <v>17442</v>
      </c>
      <c r="E14319" t="s">
        <v>31375</v>
      </c>
      <c r="F14319" t="s">
        <v>32831</v>
      </c>
      <c r="G14319" t="s">
        <v>32839</v>
      </c>
      <c r="H14319" t="s">
        <v>32848</v>
      </c>
      <c r="I14319" t="s">
        <v>7751</v>
      </c>
      <c r="J14319" t="s">
        <v>41717</v>
      </c>
      <c r="K14319" t="s">
        <v>42732</v>
      </c>
      <c r="M14319" t="s">
        <v>45605</v>
      </c>
      <c r="N14319" t="s">
        <v>47424</v>
      </c>
      <c r="O14319" t="s">
        <v>47425</v>
      </c>
      <c r="Q14319">
        <v>1</v>
      </c>
      <c r="R14319" t="s">
        <v>47445</v>
      </c>
      <c r="S14319" t="s">
        <v>48389</v>
      </c>
      <c r="T14319" t="s">
        <v>49150</v>
      </c>
      <c r="U14319" t="s">
        <v>61313</v>
      </c>
      <c r="W14319" t="s">
        <v>45605</v>
      </c>
      <c r="X14319" t="s">
        <v>47446</v>
      </c>
    </row>
    <row r="14320" spans="1:24">
      <c r="A14320">
        <f>HYPERLINK("https://www.philgeps.gov.ph/GEPSNONPILOT/Tender/SplashBidNoticeAbstractUI.aspx?menuIndex=3&amp;refID=7129220&amp;Result=3","7129220")</f>
        <v>0</v>
      </c>
      <c r="B14320" t="s">
        <v>3806</v>
      </c>
      <c r="C14320" t="s">
        <v>17443</v>
      </c>
      <c r="D14320" t="s">
        <v>19017</v>
      </c>
      <c r="E14320" t="s">
        <v>31376</v>
      </c>
      <c r="F14320" t="s">
        <v>32831</v>
      </c>
      <c r="G14320" t="s">
        <v>32839</v>
      </c>
      <c r="H14320" t="s">
        <v>32849</v>
      </c>
      <c r="I14320" t="s">
        <v>4177</v>
      </c>
      <c r="J14320" t="s">
        <v>41718</v>
      </c>
      <c r="K14320" t="s">
        <v>42747</v>
      </c>
      <c r="M14320" t="s">
        <v>47227</v>
      </c>
      <c r="N14320" t="s">
        <v>47424</v>
      </c>
      <c r="O14320" t="s">
        <v>47425</v>
      </c>
      <c r="Q14320">
        <v>2</v>
      </c>
      <c r="R14320" t="s">
        <v>47445</v>
      </c>
      <c r="S14320" t="s">
        <v>48390</v>
      </c>
      <c r="T14320" t="s">
        <v>49111</v>
      </c>
      <c r="U14320" t="s">
        <v>61314</v>
      </c>
      <c r="V14320" t="s">
        <v>61314</v>
      </c>
      <c r="W14320" t="s">
        <v>47227</v>
      </c>
      <c r="X14320" t="s">
        <v>47446</v>
      </c>
    </row>
    <row r="14321" spans="1:24">
      <c r="A14321">
        <f>HYPERLINK("https://www.philgeps.gov.ph/GEPSNONPILOT/Tender/SplashBidNoticeAbstractUI.aspx?menuIndex=3&amp;refID=7128285&amp;Result=3","7128285")</f>
        <v>0</v>
      </c>
      <c r="B14321" t="s">
        <v>2807</v>
      </c>
      <c r="C14321" t="s">
        <v>17444</v>
      </c>
      <c r="D14321" t="s">
        <v>19037</v>
      </c>
      <c r="E14321" t="s">
        <v>31377</v>
      </c>
      <c r="F14321" t="s">
        <v>32831</v>
      </c>
      <c r="G14321" t="s">
        <v>32839</v>
      </c>
      <c r="H14321" t="s">
        <v>32849</v>
      </c>
      <c r="I14321" t="s">
        <v>4177</v>
      </c>
      <c r="J14321" t="s">
        <v>41719</v>
      </c>
      <c r="K14321" t="s">
        <v>42770</v>
      </c>
      <c r="M14321" t="s">
        <v>46037</v>
      </c>
      <c r="N14321" t="s">
        <v>47424</v>
      </c>
      <c r="O14321" t="s">
        <v>47425</v>
      </c>
      <c r="P14321">
        <v>0</v>
      </c>
      <c r="Q14321">
        <v>13</v>
      </c>
      <c r="R14321" t="s">
        <v>47445</v>
      </c>
      <c r="S14321" t="s">
        <v>48250</v>
      </c>
      <c r="T14321" t="s">
        <v>49214</v>
      </c>
      <c r="U14321" t="s">
        <v>61135</v>
      </c>
      <c r="W14321" t="s">
        <v>46037</v>
      </c>
      <c r="X14321" t="s">
        <v>47446</v>
      </c>
    </row>
    <row r="14322" spans="1:24">
      <c r="A14322">
        <f>HYPERLINK("https://www.philgeps.gov.ph/GEPSNONPILOT/Tender/SplashBidNoticeAbstractUI.aspx?menuIndex=3&amp;refID=7129532&amp;Result=3","7129532")</f>
        <v>0</v>
      </c>
      <c r="B14322" t="s">
        <v>2073</v>
      </c>
      <c r="C14322" t="s">
        <v>17445</v>
      </c>
      <c r="D14322" t="s">
        <v>19061</v>
      </c>
      <c r="E14322" t="s">
        <v>31378</v>
      </c>
      <c r="F14322" t="s">
        <v>32831</v>
      </c>
      <c r="G14322" t="s">
        <v>32839</v>
      </c>
      <c r="H14322" t="s">
        <v>32849</v>
      </c>
      <c r="I14322" t="s">
        <v>4177</v>
      </c>
      <c r="J14322" t="s">
        <v>41720</v>
      </c>
      <c r="K14322" t="s">
        <v>42946</v>
      </c>
      <c r="M14322" t="s">
        <v>45243</v>
      </c>
      <c r="N14322" t="s">
        <v>47424</v>
      </c>
      <c r="O14322" t="s">
        <v>47425</v>
      </c>
      <c r="Q14322">
        <v>5</v>
      </c>
      <c r="R14322" t="s">
        <v>47445</v>
      </c>
      <c r="S14322" t="s">
        <v>48391</v>
      </c>
      <c r="T14322" t="s">
        <v>49214</v>
      </c>
      <c r="U14322" t="s">
        <v>61262</v>
      </c>
      <c r="V14322" t="s">
        <v>64248</v>
      </c>
      <c r="W14322" t="s">
        <v>45243</v>
      </c>
      <c r="X14322" t="s">
        <v>47446</v>
      </c>
    </row>
    <row r="14323" spans="1:24">
      <c r="A14323">
        <f>HYPERLINK("https://www.philgeps.gov.ph/GEPSNONPILOT/Tender/SplashBidNoticeAbstractUI.aspx?menuIndex=3&amp;refID=7129241&amp;Result=3","7129241")</f>
        <v>0</v>
      </c>
      <c r="B14323" t="s">
        <v>3792</v>
      </c>
      <c r="C14323" t="s">
        <v>17446</v>
      </c>
      <c r="D14323" t="s">
        <v>19037</v>
      </c>
      <c r="E14323" t="s">
        <v>26367</v>
      </c>
      <c r="F14323" t="s">
        <v>32831</v>
      </c>
      <c r="G14323" t="s">
        <v>32839</v>
      </c>
      <c r="H14323" t="s">
        <v>32849</v>
      </c>
      <c r="I14323" t="s">
        <v>4177</v>
      </c>
      <c r="J14323" t="s">
        <v>33087</v>
      </c>
      <c r="K14323" t="s">
        <v>42729</v>
      </c>
      <c r="L14323" t="s">
        <v>3792</v>
      </c>
      <c r="M14323" t="s">
        <v>47208</v>
      </c>
      <c r="N14323" t="s">
        <v>47424</v>
      </c>
      <c r="O14323" t="s">
        <v>47425</v>
      </c>
      <c r="P14323">
        <v>0</v>
      </c>
      <c r="Q14323">
        <v>0</v>
      </c>
      <c r="R14323" t="s">
        <v>47445</v>
      </c>
      <c r="S14323" t="s">
        <v>48250</v>
      </c>
      <c r="T14323" t="s">
        <v>49056</v>
      </c>
      <c r="U14323" t="s">
        <v>61260</v>
      </c>
      <c r="W14323" t="s">
        <v>47208</v>
      </c>
      <c r="X14323" t="s">
        <v>47446</v>
      </c>
    </row>
    <row r="14324" spans="1:24">
      <c r="A14324">
        <f>HYPERLINK("https://www.philgeps.gov.ph/GEPSNONPILOT/Tender/SplashBidNoticeAbstractUI.aspx?menuIndex=3&amp;refID=7128279&amp;Result=3","7128279")</f>
        <v>0</v>
      </c>
      <c r="B14324" t="s">
        <v>726</v>
      </c>
      <c r="C14324" t="s">
        <v>17447</v>
      </c>
      <c r="E14324" t="s">
        <v>31379</v>
      </c>
      <c r="F14324" t="s">
        <v>32831</v>
      </c>
      <c r="G14324" t="s">
        <v>32839</v>
      </c>
      <c r="H14324" t="s">
        <v>32848</v>
      </c>
      <c r="I14324" t="s">
        <v>4487</v>
      </c>
      <c r="J14324" t="s">
        <v>33083</v>
      </c>
      <c r="K14324" t="s">
        <v>42732</v>
      </c>
      <c r="M14324" t="s">
        <v>43747</v>
      </c>
      <c r="N14324" t="s">
        <v>47424</v>
      </c>
      <c r="O14324" t="s">
        <v>47425</v>
      </c>
      <c r="P14324">
        <v>0</v>
      </c>
      <c r="Q14324">
        <v>9</v>
      </c>
      <c r="R14324" t="s">
        <v>47445</v>
      </c>
      <c r="S14324" t="s">
        <v>48250</v>
      </c>
      <c r="T14324" t="s">
        <v>49237</v>
      </c>
      <c r="U14324" t="s">
        <v>61315</v>
      </c>
      <c r="W14324" t="s">
        <v>43747</v>
      </c>
      <c r="X14324" t="s">
        <v>47446</v>
      </c>
    </row>
    <row r="14325" spans="1:24">
      <c r="A14325">
        <f>HYPERLINK("https://www.philgeps.gov.ph/GEPSNONPILOT/Tender/SplashBidNoticeAbstractUI.aspx?menuIndex=3&amp;refID=7128201&amp;Result=3","7128201")</f>
        <v>0</v>
      </c>
      <c r="B14325" t="s">
        <v>2418</v>
      </c>
      <c r="C14325" t="s">
        <v>17448</v>
      </c>
      <c r="D14325" t="s">
        <v>19027</v>
      </c>
      <c r="E14325" t="s">
        <v>31380</v>
      </c>
      <c r="F14325" t="s">
        <v>32831</v>
      </c>
      <c r="G14325" t="s">
        <v>32839</v>
      </c>
      <c r="H14325" t="s">
        <v>32849</v>
      </c>
      <c r="I14325" t="s">
        <v>4177</v>
      </c>
      <c r="J14325" t="s">
        <v>34530</v>
      </c>
      <c r="K14325" t="s">
        <v>42732</v>
      </c>
      <c r="M14325" t="s">
        <v>45613</v>
      </c>
      <c r="N14325" t="s">
        <v>47424</v>
      </c>
      <c r="O14325" t="s">
        <v>47425</v>
      </c>
      <c r="P14325">
        <v>0</v>
      </c>
      <c r="Q14325">
        <v>2</v>
      </c>
      <c r="R14325" t="s">
        <v>47445</v>
      </c>
      <c r="S14325" t="s">
        <v>48250</v>
      </c>
      <c r="T14325" t="s">
        <v>49243</v>
      </c>
      <c r="U14325" t="s">
        <v>61316</v>
      </c>
      <c r="V14325" t="s">
        <v>63379</v>
      </c>
      <c r="W14325" t="s">
        <v>45613</v>
      </c>
      <c r="X14325" t="s">
        <v>47446</v>
      </c>
    </row>
    <row r="14326" spans="1:24">
      <c r="A14326">
        <f>HYPERLINK("https://www.philgeps.gov.ph/GEPSNONPILOT/Tender/SplashBidNoticeAbstractUI.aspx?menuIndex=3&amp;refID=7128195&amp;Result=3","7128195")</f>
        <v>0</v>
      </c>
      <c r="B14326" t="s">
        <v>1233</v>
      </c>
      <c r="C14326" t="s">
        <v>17449</v>
      </c>
      <c r="D14326" t="s">
        <v>19036</v>
      </c>
      <c r="E14326" t="s">
        <v>31381</v>
      </c>
      <c r="F14326" t="s">
        <v>32831</v>
      </c>
      <c r="G14326" t="s">
        <v>32839</v>
      </c>
      <c r="H14326" t="s">
        <v>32849</v>
      </c>
      <c r="I14326" t="s">
        <v>4177</v>
      </c>
      <c r="J14326" t="s">
        <v>41721</v>
      </c>
      <c r="K14326" t="s">
        <v>42804</v>
      </c>
      <c r="M14326" t="s">
        <v>44302</v>
      </c>
      <c r="N14326" t="s">
        <v>47424</v>
      </c>
      <c r="O14326" t="s">
        <v>47425</v>
      </c>
      <c r="P14326">
        <v>0</v>
      </c>
      <c r="Q14326">
        <v>0</v>
      </c>
      <c r="R14326" t="s">
        <v>47445</v>
      </c>
      <c r="S14326" t="s">
        <v>48250</v>
      </c>
      <c r="T14326" t="s">
        <v>49108</v>
      </c>
      <c r="U14326" t="s">
        <v>61317</v>
      </c>
      <c r="W14326" t="s">
        <v>44302</v>
      </c>
      <c r="X14326" t="s">
        <v>47446</v>
      </c>
    </row>
    <row r="14327" spans="1:24">
      <c r="A14327">
        <f>HYPERLINK("https://www.philgeps.gov.ph/GEPSNONPILOT/Tender/SplashBidNoticeAbstractUI.aspx?menuIndex=3&amp;refID=7116585&amp;Result=3","7116585")</f>
        <v>0</v>
      </c>
      <c r="B14327" t="s">
        <v>2180</v>
      </c>
      <c r="C14327" t="s">
        <v>17450</v>
      </c>
      <c r="D14327" t="s">
        <v>19037</v>
      </c>
      <c r="E14327" t="s">
        <v>31382</v>
      </c>
      <c r="F14327" t="s">
        <v>32831</v>
      </c>
      <c r="G14327" t="s">
        <v>32839</v>
      </c>
      <c r="H14327" t="s">
        <v>32849</v>
      </c>
      <c r="I14327" t="s">
        <v>4177</v>
      </c>
      <c r="J14327" t="s">
        <v>33118</v>
      </c>
      <c r="K14327" t="s">
        <v>42729</v>
      </c>
      <c r="M14327" t="s">
        <v>45360</v>
      </c>
      <c r="N14327" t="s">
        <v>47424</v>
      </c>
      <c r="O14327" t="s">
        <v>47425</v>
      </c>
      <c r="P14327">
        <v>0</v>
      </c>
      <c r="Q14327">
        <v>3</v>
      </c>
      <c r="R14327" t="s">
        <v>47446</v>
      </c>
      <c r="S14327" t="s">
        <v>48377</v>
      </c>
      <c r="T14327" t="s">
        <v>49239</v>
      </c>
      <c r="U14327" t="s">
        <v>61318</v>
      </c>
      <c r="W14327" t="s">
        <v>45360</v>
      </c>
      <c r="X14327" t="s">
        <v>47451</v>
      </c>
    </row>
    <row r="14328" spans="1:24">
      <c r="A14328">
        <f>HYPERLINK("https://www.philgeps.gov.ph/GEPSNONPILOT/Tender/SplashBidNoticeAbstractUI.aspx?menuIndex=3&amp;refID=7128188&amp;Result=3","7128188")</f>
        <v>0</v>
      </c>
      <c r="B14328" t="s">
        <v>1677</v>
      </c>
      <c r="C14328" t="s">
        <v>17451</v>
      </c>
      <c r="E14328" t="s">
        <v>24464</v>
      </c>
      <c r="F14328" t="s">
        <v>32831</v>
      </c>
      <c r="G14328" t="s">
        <v>32839</v>
      </c>
      <c r="H14328" t="s">
        <v>32849</v>
      </c>
      <c r="I14328" t="s">
        <v>4177</v>
      </c>
      <c r="J14328" t="s">
        <v>41722</v>
      </c>
      <c r="K14328" t="s">
        <v>42730</v>
      </c>
      <c r="M14328" t="s">
        <v>44802</v>
      </c>
      <c r="N14328" t="s">
        <v>47424</v>
      </c>
      <c r="O14328" t="s">
        <v>47425</v>
      </c>
      <c r="P14328">
        <v>0</v>
      </c>
      <c r="Q14328">
        <v>0</v>
      </c>
      <c r="R14328" t="s">
        <v>47445</v>
      </c>
      <c r="S14328" t="s">
        <v>48250</v>
      </c>
      <c r="T14328" t="s">
        <v>49056</v>
      </c>
      <c r="U14328" t="s">
        <v>61121</v>
      </c>
      <c r="W14328" t="s">
        <v>44795</v>
      </c>
      <c r="X14328" t="s">
        <v>47446</v>
      </c>
    </row>
    <row r="14329" spans="1:24">
      <c r="A14329">
        <f>HYPERLINK("https://www.philgeps.gov.ph/GEPSNONPILOT/Tender/SplashBidNoticeAbstractUI.aspx?menuIndex=3&amp;refID=7128186&amp;Result=3","7128186")</f>
        <v>0</v>
      </c>
      <c r="B14329" t="s">
        <v>755</v>
      </c>
      <c r="C14329" t="s">
        <v>17452</v>
      </c>
      <c r="E14329" t="s">
        <v>31383</v>
      </c>
      <c r="F14329" t="s">
        <v>32831</v>
      </c>
      <c r="G14329" t="s">
        <v>32839</v>
      </c>
      <c r="H14329" t="s">
        <v>32848</v>
      </c>
      <c r="I14329" t="s">
        <v>10805</v>
      </c>
      <c r="J14329" t="s">
        <v>33297</v>
      </c>
      <c r="K14329" t="s">
        <v>42732</v>
      </c>
      <c r="M14329" t="s">
        <v>45605</v>
      </c>
      <c r="N14329" t="s">
        <v>47424</v>
      </c>
      <c r="O14329" t="s">
        <v>47425</v>
      </c>
      <c r="Q14329">
        <v>10</v>
      </c>
      <c r="R14329" t="s">
        <v>47445</v>
      </c>
      <c r="S14329" t="s">
        <v>48318</v>
      </c>
      <c r="T14329" t="s">
        <v>49150</v>
      </c>
      <c r="U14329" t="s">
        <v>61319</v>
      </c>
      <c r="W14329" t="s">
        <v>45605</v>
      </c>
      <c r="X14329" t="s">
        <v>47446</v>
      </c>
    </row>
    <row r="14330" spans="1:24">
      <c r="A14330">
        <f>HYPERLINK("https://www.philgeps.gov.ph/GEPSNONPILOT/Tender/SplashBidNoticeAbstractUI.aspx?menuIndex=3&amp;refID=7128185&amp;Result=3","7128185")</f>
        <v>0</v>
      </c>
      <c r="B14330" t="s">
        <v>1927</v>
      </c>
      <c r="C14330" t="s">
        <v>17453</v>
      </c>
      <c r="D14330" t="s">
        <v>19018</v>
      </c>
      <c r="E14330" t="s">
        <v>31384</v>
      </c>
      <c r="F14330" t="s">
        <v>32831</v>
      </c>
      <c r="G14330" t="s">
        <v>32839</v>
      </c>
      <c r="H14330" t="s">
        <v>32848</v>
      </c>
      <c r="I14330" t="s">
        <v>4776</v>
      </c>
      <c r="J14330" t="s">
        <v>41723</v>
      </c>
      <c r="K14330" t="s">
        <v>42729</v>
      </c>
      <c r="L14330" t="s">
        <v>1927</v>
      </c>
      <c r="M14330" t="s">
        <v>45080</v>
      </c>
      <c r="N14330" t="s">
        <v>47424</v>
      </c>
      <c r="O14330" t="s">
        <v>47425</v>
      </c>
      <c r="Q14330">
        <v>13</v>
      </c>
      <c r="R14330" t="s">
        <v>47445</v>
      </c>
      <c r="S14330" t="s">
        <v>47838</v>
      </c>
      <c r="T14330" t="s">
        <v>49056</v>
      </c>
      <c r="U14330" t="s">
        <v>61143</v>
      </c>
      <c r="W14330" t="s">
        <v>45080</v>
      </c>
      <c r="X14330" t="s">
        <v>47446</v>
      </c>
    </row>
    <row r="14331" spans="1:24">
      <c r="A14331">
        <f>HYPERLINK("https://www.philgeps.gov.ph/GEPSNONPILOT/Tender/SplashBidNoticeAbstractUI.aspx?menuIndex=3&amp;refID=7104222&amp;Result=3","7104222")</f>
        <v>0</v>
      </c>
      <c r="B14331" t="s">
        <v>1070</v>
      </c>
      <c r="C14331" t="s">
        <v>17454</v>
      </c>
      <c r="D14331" t="s">
        <v>19021</v>
      </c>
      <c r="E14331" t="s">
        <v>31385</v>
      </c>
      <c r="F14331" t="s">
        <v>32831</v>
      </c>
      <c r="G14331" t="s">
        <v>32839</v>
      </c>
      <c r="H14331" t="s">
        <v>14069</v>
      </c>
      <c r="I14331" t="s">
        <v>14069</v>
      </c>
      <c r="J14331" t="s">
        <v>41724</v>
      </c>
      <c r="K14331" t="s">
        <v>42770</v>
      </c>
      <c r="M14331" t="s">
        <v>47042</v>
      </c>
      <c r="N14331" t="s">
        <v>47424</v>
      </c>
      <c r="O14331" t="s">
        <v>47425</v>
      </c>
      <c r="P14331">
        <v>0</v>
      </c>
      <c r="Q14331">
        <v>6</v>
      </c>
      <c r="R14331" t="s">
        <v>47446</v>
      </c>
      <c r="S14331" t="s">
        <v>48377</v>
      </c>
      <c r="T14331" t="s">
        <v>49073</v>
      </c>
      <c r="U14331" t="s">
        <v>61320</v>
      </c>
      <c r="V14331" t="s">
        <v>64261</v>
      </c>
      <c r="W14331" t="s">
        <v>47042</v>
      </c>
      <c r="X14331" t="s">
        <v>47456</v>
      </c>
    </row>
    <row r="14332" spans="1:24">
      <c r="A14332">
        <f>HYPERLINK("https://www.philgeps.gov.ph/GEPSNONPILOT/Tender/SplashBidNoticeAbstractUI.aspx?menuIndex=3&amp;refID=7128176&amp;Result=3","7128176")</f>
        <v>0</v>
      </c>
      <c r="B14332" t="s">
        <v>460</v>
      </c>
      <c r="C14332" t="s">
        <v>17455</v>
      </c>
      <c r="D14332" t="s">
        <v>19086</v>
      </c>
      <c r="E14332" t="s">
        <v>31386</v>
      </c>
      <c r="F14332" t="s">
        <v>32831</v>
      </c>
      <c r="G14332" t="s">
        <v>32839</v>
      </c>
      <c r="H14332" t="s">
        <v>32850</v>
      </c>
      <c r="I14332" t="s">
        <v>32863</v>
      </c>
      <c r="J14332" t="s">
        <v>41725</v>
      </c>
      <c r="K14332" t="s">
        <v>42807</v>
      </c>
      <c r="M14332" t="s">
        <v>43465</v>
      </c>
      <c r="N14332" t="s">
        <v>47424</v>
      </c>
      <c r="O14332" t="s">
        <v>47425</v>
      </c>
      <c r="P14332">
        <v>0</v>
      </c>
      <c r="Q14332">
        <v>2</v>
      </c>
      <c r="R14332" t="s">
        <v>47445</v>
      </c>
      <c r="S14332" t="s">
        <v>48250</v>
      </c>
      <c r="T14332" t="s">
        <v>49239</v>
      </c>
      <c r="U14332" t="s">
        <v>61321</v>
      </c>
      <c r="V14332" t="s">
        <v>62813</v>
      </c>
      <c r="W14332" t="s">
        <v>43465</v>
      </c>
      <c r="X14332" t="s">
        <v>47446</v>
      </c>
    </row>
    <row r="14333" spans="1:24">
      <c r="A14333">
        <f>HYPERLINK("https://www.philgeps.gov.ph/GEPSNONPILOT/Tender/SplashBidNoticeAbstractUI.aspx?menuIndex=3&amp;refID=7128197&amp;Result=3","7128197")</f>
        <v>0</v>
      </c>
      <c r="B14333" t="s">
        <v>1268</v>
      </c>
      <c r="C14333" t="s">
        <v>17456</v>
      </c>
      <c r="D14333" t="s">
        <v>19061</v>
      </c>
      <c r="E14333" t="s">
        <v>31387</v>
      </c>
      <c r="F14333" t="s">
        <v>32831</v>
      </c>
      <c r="G14333" t="s">
        <v>32839</v>
      </c>
      <c r="H14333" t="s">
        <v>32849</v>
      </c>
      <c r="I14333" t="s">
        <v>4177</v>
      </c>
      <c r="J14333" t="s">
        <v>41726</v>
      </c>
      <c r="K14333" t="s">
        <v>42729</v>
      </c>
      <c r="M14333" t="s">
        <v>44338</v>
      </c>
      <c r="N14333" t="s">
        <v>47424</v>
      </c>
      <c r="O14333" t="s">
        <v>47425</v>
      </c>
      <c r="P14333">
        <v>0</v>
      </c>
      <c r="Q14333">
        <v>0</v>
      </c>
      <c r="R14333" t="s">
        <v>47445</v>
      </c>
      <c r="S14333" t="s">
        <v>48250</v>
      </c>
      <c r="T14333" t="s">
        <v>49070</v>
      </c>
      <c r="U14333" t="s">
        <v>61322</v>
      </c>
      <c r="W14333" t="s">
        <v>44338</v>
      </c>
      <c r="X14333" t="s">
        <v>47446</v>
      </c>
    </row>
    <row r="14334" spans="1:24">
      <c r="A14334">
        <f>HYPERLINK("https://www.philgeps.gov.ph/GEPSNONPILOT/Tender/SplashBidNoticeAbstractUI.aspx?menuIndex=3&amp;refID=7128069&amp;Result=3","7128069")</f>
        <v>0</v>
      </c>
      <c r="B14334" t="s">
        <v>755</v>
      </c>
      <c r="C14334" t="s">
        <v>17457</v>
      </c>
      <c r="E14334" t="s">
        <v>31388</v>
      </c>
      <c r="F14334" t="s">
        <v>32831</v>
      </c>
      <c r="G14334" t="s">
        <v>32839</v>
      </c>
      <c r="H14334" t="s">
        <v>32848</v>
      </c>
      <c r="I14334" t="s">
        <v>32861</v>
      </c>
      <c r="J14334" t="s">
        <v>41727</v>
      </c>
      <c r="K14334" t="s">
        <v>42732</v>
      </c>
      <c r="M14334" t="s">
        <v>45605</v>
      </c>
      <c r="N14334" t="s">
        <v>47424</v>
      </c>
      <c r="O14334" t="s">
        <v>47425</v>
      </c>
      <c r="Q14334">
        <v>28</v>
      </c>
      <c r="R14334" t="s">
        <v>47445</v>
      </c>
      <c r="S14334" t="s">
        <v>48310</v>
      </c>
      <c r="T14334" t="s">
        <v>49150</v>
      </c>
      <c r="U14334" t="s">
        <v>61323</v>
      </c>
      <c r="W14334" t="s">
        <v>45605</v>
      </c>
      <c r="X14334" t="s">
        <v>47446</v>
      </c>
    </row>
    <row r="14335" spans="1:24">
      <c r="A14335">
        <f>HYPERLINK("https://www.philgeps.gov.ph/GEPSNONPILOT/Tender/SplashBidNoticeAbstractUI.aspx?menuIndex=3&amp;refID=7120555&amp;Result=3","7120555")</f>
        <v>0</v>
      </c>
      <c r="B14335" t="s">
        <v>3803</v>
      </c>
      <c r="C14335" t="s">
        <v>17458</v>
      </c>
      <c r="D14335" t="s">
        <v>19027</v>
      </c>
      <c r="E14335" t="s">
        <v>19838</v>
      </c>
      <c r="F14335" t="s">
        <v>32831</v>
      </c>
      <c r="G14335" t="s">
        <v>32839</v>
      </c>
      <c r="H14335" t="s">
        <v>32848</v>
      </c>
      <c r="I14335" t="s">
        <v>5379</v>
      </c>
      <c r="J14335" t="s">
        <v>33961</v>
      </c>
      <c r="K14335" t="s">
        <v>42726</v>
      </c>
      <c r="L14335" t="s">
        <v>3803</v>
      </c>
      <c r="M14335" t="s">
        <v>47221</v>
      </c>
      <c r="N14335" t="s">
        <v>47424</v>
      </c>
      <c r="O14335" t="s">
        <v>47425</v>
      </c>
      <c r="P14335">
        <v>0</v>
      </c>
      <c r="Q14335">
        <v>0</v>
      </c>
      <c r="R14335" t="s">
        <v>47446</v>
      </c>
      <c r="S14335" t="s">
        <v>48377</v>
      </c>
      <c r="T14335" t="s">
        <v>49214</v>
      </c>
      <c r="U14335" t="s">
        <v>61289</v>
      </c>
      <c r="V14335" t="s">
        <v>64258</v>
      </c>
      <c r="W14335" t="s">
        <v>47221</v>
      </c>
      <c r="X14335" t="s">
        <v>47448</v>
      </c>
    </row>
    <row r="14336" spans="1:24">
      <c r="A14336">
        <f>HYPERLINK("https://www.philgeps.gov.ph/GEPSNONPILOT/Tender/SplashBidNoticeAbstractUI.aspx?menuIndex=3&amp;refID=7127998&amp;Result=3","7127998")</f>
        <v>0</v>
      </c>
      <c r="B14336" t="s">
        <v>2029</v>
      </c>
      <c r="C14336" t="s">
        <v>17459</v>
      </c>
      <c r="D14336" t="s">
        <v>19067</v>
      </c>
      <c r="E14336" t="s">
        <v>31389</v>
      </c>
      <c r="F14336" t="s">
        <v>32831</v>
      </c>
      <c r="G14336" t="s">
        <v>32839</v>
      </c>
      <c r="H14336" t="s">
        <v>32849</v>
      </c>
      <c r="I14336" t="s">
        <v>4177</v>
      </c>
      <c r="J14336" t="s">
        <v>41728</v>
      </c>
      <c r="K14336" t="s">
        <v>42747</v>
      </c>
      <c r="M14336" t="s">
        <v>47181</v>
      </c>
      <c r="N14336" t="s">
        <v>47424</v>
      </c>
      <c r="O14336" t="s">
        <v>47425</v>
      </c>
      <c r="P14336">
        <v>0</v>
      </c>
      <c r="Q14336">
        <v>0</v>
      </c>
      <c r="R14336" t="s">
        <v>47445</v>
      </c>
      <c r="S14336" t="s">
        <v>48250</v>
      </c>
      <c r="T14336" t="s">
        <v>49237</v>
      </c>
      <c r="U14336" t="s">
        <v>61324</v>
      </c>
      <c r="W14336" t="s">
        <v>47181</v>
      </c>
      <c r="X14336" t="s">
        <v>47446</v>
      </c>
    </row>
    <row r="14337" spans="1:24">
      <c r="A14337">
        <f>HYPERLINK("https://www.philgeps.gov.ph/GEPSNONPILOT/Tender/SplashBidNoticeAbstractUI.aspx?menuIndex=3&amp;refID=7128273&amp;Result=3","7128273")</f>
        <v>0</v>
      </c>
      <c r="B14337" t="s">
        <v>811</v>
      </c>
      <c r="C14337" t="s">
        <v>17460</v>
      </c>
      <c r="D14337" t="s">
        <v>19077</v>
      </c>
      <c r="E14337" t="s">
        <v>31390</v>
      </c>
      <c r="F14337" t="s">
        <v>32831</v>
      </c>
      <c r="G14337" t="s">
        <v>32841</v>
      </c>
      <c r="H14337" t="s">
        <v>32848</v>
      </c>
      <c r="I14337" t="s">
        <v>32863</v>
      </c>
      <c r="J14337" t="s">
        <v>33016</v>
      </c>
      <c r="K14337" t="s">
        <v>42780</v>
      </c>
      <c r="M14337" t="s">
        <v>43842</v>
      </c>
      <c r="N14337" t="s">
        <v>47424</v>
      </c>
      <c r="O14337" t="s">
        <v>47425</v>
      </c>
      <c r="P14337">
        <v>0</v>
      </c>
      <c r="Q14337">
        <v>0</v>
      </c>
      <c r="R14337" t="s">
        <v>47445</v>
      </c>
      <c r="S14337" t="s">
        <v>48250</v>
      </c>
      <c r="T14337" t="s">
        <v>49212</v>
      </c>
      <c r="U14337" t="s">
        <v>61325</v>
      </c>
      <c r="W14337" t="s">
        <v>43842</v>
      </c>
      <c r="X14337" t="s">
        <v>47446</v>
      </c>
    </row>
    <row r="14338" spans="1:24">
      <c r="A14338">
        <f>HYPERLINK("https://www.philgeps.gov.ph/GEPSNONPILOT/Tender/SplashBidNoticeAbstractUI.aspx?menuIndex=3&amp;refID=7127993&amp;Result=3","7127993")</f>
        <v>0</v>
      </c>
      <c r="B14338" t="s">
        <v>1677</v>
      </c>
      <c r="C14338" t="s">
        <v>17461</v>
      </c>
      <c r="E14338" t="s">
        <v>20718</v>
      </c>
      <c r="F14338" t="s">
        <v>32831</v>
      </c>
      <c r="G14338" t="s">
        <v>32839</v>
      </c>
      <c r="H14338" t="s">
        <v>32849</v>
      </c>
      <c r="I14338" t="s">
        <v>4177</v>
      </c>
      <c r="J14338" t="s">
        <v>33078</v>
      </c>
      <c r="K14338" t="s">
        <v>42763</v>
      </c>
      <c r="M14338" t="s">
        <v>44802</v>
      </c>
      <c r="N14338" t="s">
        <v>47424</v>
      </c>
      <c r="O14338" t="s">
        <v>47425</v>
      </c>
      <c r="P14338">
        <v>0</v>
      </c>
      <c r="Q14338">
        <v>1</v>
      </c>
      <c r="R14338" t="s">
        <v>47445</v>
      </c>
      <c r="S14338" t="s">
        <v>48250</v>
      </c>
      <c r="T14338" t="s">
        <v>49056</v>
      </c>
      <c r="U14338" t="s">
        <v>61121</v>
      </c>
      <c r="W14338" t="s">
        <v>44795</v>
      </c>
      <c r="X14338" t="s">
        <v>47446</v>
      </c>
    </row>
    <row r="14339" spans="1:24">
      <c r="A14339">
        <f>HYPERLINK("https://www.philgeps.gov.ph/GEPSNONPILOT/Tender/SplashBidNoticeAbstractUI.aspx?menuIndex=3&amp;refID=7127992&amp;Result=3","7127992")</f>
        <v>0</v>
      </c>
      <c r="B14339" t="s">
        <v>3757</v>
      </c>
      <c r="C14339" t="s">
        <v>17462</v>
      </c>
      <c r="D14339" t="s">
        <v>19044</v>
      </c>
      <c r="E14339" t="s">
        <v>31391</v>
      </c>
      <c r="F14339" t="s">
        <v>32831</v>
      </c>
      <c r="G14339" t="s">
        <v>32839</v>
      </c>
      <c r="H14339" t="s">
        <v>32849</v>
      </c>
      <c r="I14339" t="s">
        <v>4177</v>
      </c>
      <c r="J14339" t="s">
        <v>33072</v>
      </c>
      <c r="K14339" t="s">
        <v>42747</v>
      </c>
      <c r="M14339" t="s">
        <v>47190</v>
      </c>
      <c r="N14339" t="s">
        <v>47424</v>
      </c>
      <c r="O14339" t="s">
        <v>47425</v>
      </c>
      <c r="P14339">
        <v>0</v>
      </c>
      <c r="Q14339">
        <v>1</v>
      </c>
      <c r="R14339" t="s">
        <v>47445</v>
      </c>
      <c r="S14339" t="s">
        <v>48250</v>
      </c>
      <c r="T14339" t="s">
        <v>49330</v>
      </c>
      <c r="U14339" t="s">
        <v>60900</v>
      </c>
      <c r="W14339" t="s">
        <v>47190</v>
      </c>
      <c r="X14339" t="s">
        <v>47446</v>
      </c>
    </row>
    <row r="14340" spans="1:24">
      <c r="A14340">
        <f>HYPERLINK("https://www.philgeps.gov.ph/GEPSNONPILOT/Tender/SplashBidNoticeAbstractUI.aspx?menuIndex=3&amp;refID=7127990&amp;Result=3","7127990")</f>
        <v>0</v>
      </c>
      <c r="B14340" t="s">
        <v>1927</v>
      </c>
      <c r="C14340" t="s">
        <v>17463</v>
      </c>
      <c r="D14340" t="s">
        <v>19018</v>
      </c>
      <c r="E14340" t="s">
        <v>31392</v>
      </c>
      <c r="F14340" t="s">
        <v>32831</v>
      </c>
      <c r="G14340" t="s">
        <v>32839</v>
      </c>
      <c r="H14340" t="s">
        <v>32849</v>
      </c>
      <c r="I14340" t="s">
        <v>4177</v>
      </c>
      <c r="J14340" t="s">
        <v>41729</v>
      </c>
      <c r="K14340" t="s">
        <v>42732</v>
      </c>
      <c r="L14340" t="s">
        <v>1927</v>
      </c>
      <c r="M14340" t="s">
        <v>46156</v>
      </c>
      <c r="N14340" t="s">
        <v>47424</v>
      </c>
      <c r="O14340" t="s">
        <v>47425</v>
      </c>
      <c r="P14340">
        <v>0</v>
      </c>
      <c r="Q14340">
        <v>2</v>
      </c>
      <c r="R14340" t="s">
        <v>47445</v>
      </c>
      <c r="S14340" t="s">
        <v>48250</v>
      </c>
      <c r="T14340" t="s">
        <v>49056</v>
      </c>
      <c r="U14340" t="s">
        <v>61124</v>
      </c>
      <c r="V14340" t="s">
        <v>63616</v>
      </c>
      <c r="W14340" t="s">
        <v>46156</v>
      </c>
      <c r="X14340" t="s">
        <v>47446</v>
      </c>
    </row>
    <row r="14341" spans="1:24">
      <c r="A14341">
        <f>HYPERLINK("https://www.philgeps.gov.ph/GEPSNONPILOT/Tender/SplashBidNoticeAbstractUI.aspx?menuIndex=3&amp;refID=7127979&amp;Result=3","7127979")</f>
        <v>0</v>
      </c>
      <c r="B14341" t="s">
        <v>1691</v>
      </c>
      <c r="C14341" t="s">
        <v>17464</v>
      </c>
      <c r="D14341" t="s">
        <v>19082</v>
      </c>
      <c r="E14341" t="s">
        <v>31393</v>
      </c>
      <c r="F14341" t="s">
        <v>32831</v>
      </c>
      <c r="G14341" t="s">
        <v>32839</v>
      </c>
      <c r="H14341" t="s">
        <v>32848</v>
      </c>
      <c r="I14341" t="s">
        <v>32913</v>
      </c>
      <c r="J14341" t="s">
        <v>35578</v>
      </c>
      <c r="K14341" t="s">
        <v>42730</v>
      </c>
      <c r="M14341" t="s">
        <v>44811</v>
      </c>
      <c r="N14341" t="s">
        <v>47424</v>
      </c>
      <c r="O14341" t="s">
        <v>47425</v>
      </c>
      <c r="P14341">
        <v>0</v>
      </c>
      <c r="Q14341">
        <v>0</v>
      </c>
      <c r="R14341" t="s">
        <v>47445</v>
      </c>
      <c r="S14341" t="s">
        <v>48250</v>
      </c>
      <c r="T14341" t="s">
        <v>49114</v>
      </c>
      <c r="U14341" t="s">
        <v>61326</v>
      </c>
      <c r="W14341" t="s">
        <v>44811</v>
      </c>
      <c r="X14341" t="s">
        <v>47446</v>
      </c>
    </row>
    <row r="14342" spans="1:24">
      <c r="A14342">
        <f>HYPERLINK("https://www.philgeps.gov.ph/GEPSNONPILOT/Tender/SplashBidNoticeAbstractUI.aspx?menuIndex=3&amp;refID=7128045&amp;Result=3","7128045")</f>
        <v>0</v>
      </c>
      <c r="B14342" t="s">
        <v>1927</v>
      </c>
      <c r="C14342" t="s">
        <v>17465</v>
      </c>
      <c r="D14342" t="s">
        <v>19018</v>
      </c>
      <c r="E14342" t="s">
        <v>31394</v>
      </c>
      <c r="F14342" t="s">
        <v>32831</v>
      </c>
      <c r="G14342" t="s">
        <v>32839</v>
      </c>
      <c r="H14342" t="s">
        <v>32849</v>
      </c>
      <c r="I14342" t="s">
        <v>4177</v>
      </c>
      <c r="J14342" t="s">
        <v>41730</v>
      </c>
      <c r="K14342" t="s">
        <v>42732</v>
      </c>
      <c r="L14342" t="s">
        <v>1927</v>
      </c>
      <c r="M14342" t="s">
        <v>46156</v>
      </c>
      <c r="N14342" t="s">
        <v>47424</v>
      </c>
      <c r="O14342" t="s">
        <v>47425</v>
      </c>
      <c r="P14342">
        <v>0</v>
      </c>
      <c r="Q14342">
        <v>0</v>
      </c>
      <c r="R14342" t="s">
        <v>47445</v>
      </c>
      <c r="S14342" t="s">
        <v>48250</v>
      </c>
      <c r="T14342" t="s">
        <v>49056</v>
      </c>
      <c r="U14342" t="s">
        <v>61124</v>
      </c>
      <c r="V14342" t="s">
        <v>63616</v>
      </c>
      <c r="W14342" t="s">
        <v>46156</v>
      </c>
      <c r="X14342" t="s">
        <v>47446</v>
      </c>
    </row>
    <row r="14343" spans="1:24">
      <c r="A14343">
        <f>HYPERLINK("https://www.philgeps.gov.ph/GEPSNONPILOT/Tender/SplashBidNoticeAbstractUI.aspx?menuIndex=3&amp;refID=7127975&amp;Result=3","7127975")</f>
        <v>0</v>
      </c>
      <c r="B14343" t="s">
        <v>1233</v>
      </c>
      <c r="C14343" t="s">
        <v>17466</v>
      </c>
      <c r="D14343" t="s">
        <v>19036</v>
      </c>
      <c r="E14343" t="s">
        <v>31395</v>
      </c>
      <c r="F14343" t="s">
        <v>32831</v>
      </c>
      <c r="G14343" t="s">
        <v>32839</v>
      </c>
      <c r="H14343" t="s">
        <v>32848</v>
      </c>
      <c r="I14343" t="s">
        <v>7416</v>
      </c>
      <c r="J14343" t="s">
        <v>41731</v>
      </c>
      <c r="K14343" t="s">
        <v>42791</v>
      </c>
      <c r="M14343" t="s">
        <v>44302</v>
      </c>
      <c r="N14343" t="s">
        <v>47424</v>
      </c>
      <c r="O14343" t="s">
        <v>47425</v>
      </c>
      <c r="P14343">
        <v>0</v>
      </c>
      <c r="Q14343">
        <v>0</v>
      </c>
      <c r="R14343" t="s">
        <v>47445</v>
      </c>
      <c r="S14343" t="s">
        <v>48250</v>
      </c>
      <c r="T14343" t="s">
        <v>49108</v>
      </c>
      <c r="U14343" t="s">
        <v>61327</v>
      </c>
      <c r="W14343" t="s">
        <v>44302</v>
      </c>
      <c r="X14343" t="s">
        <v>47446</v>
      </c>
    </row>
    <row r="14344" spans="1:24">
      <c r="A14344">
        <f>HYPERLINK("https://www.philgeps.gov.ph/GEPSNONPILOT/Tender/SplashBidNoticeAbstractUI.aspx?menuIndex=3&amp;refID=7128171&amp;Result=3","7128171")</f>
        <v>0</v>
      </c>
      <c r="B14344" t="s">
        <v>1202</v>
      </c>
      <c r="C14344" t="s">
        <v>17467</v>
      </c>
      <c r="D14344" t="s">
        <v>19029</v>
      </c>
      <c r="E14344" t="s">
        <v>31396</v>
      </c>
      <c r="F14344" t="s">
        <v>32831</v>
      </c>
      <c r="G14344" t="s">
        <v>32839</v>
      </c>
      <c r="H14344" t="s">
        <v>32848</v>
      </c>
      <c r="I14344" t="s">
        <v>32856</v>
      </c>
      <c r="J14344" t="s">
        <v>41732</v>
      </c>
      <c r="K14344" t="s">
        <v>42770</v>
      </c>
      <c r="M14344" t="s">
        <v>44269</v>
      </c>
      <c r="N14344" t="s">
        <v>47424</v>
      </c>
      <c r="O14344" t="s">
        <v>47425</v>
      </c>
      <c r="Q14344">
        <v>4</v>
      </c>
      <c r="R14344" t="s">
        <v>47445</v>
      </c>
      <c r="S14344" t="s">
        <v>48392</v>
      </c>
      <c r="T14344" t="s">
        <v>49104</v>
      </c>
      <c r="U14344" t="s">
        <v>61328</v>
      </c>
      <c r="V14344" t="s">
        <v>64262</v>
      </c>
      <c r="W14344" t="s">
        <v>44269</v>
      </c>
      <c r="X14344" t="s">
        <v>47446</v>
      </c>
    </row>
    <row r="14345" spans="1:24">
      <c r="A14345">
        <f>HYPERLINK("https://www.philgeps.gov.ph/GEPSNONPILOT/Tender/SplashBidNoticeAbstractUI.aspx?menuIndex=3&amp;refID=7127973&amp;Result=3","7127973")</f>
        <v>0</v>
      </c>
      <c r="B14345" t="s">
        <v>1677</v>
      </c>
      <c r="C14345" t="s">
        <v>17468</v>
      </c>
      <c r="E14345" t="s">
        <v>20506</v>
      </c>
      <c r="F14345" t="s">
        <v>32831</v>
      </c>
      <c r="G14345" t="s">
        <v>32839</v>
      </c>
      <c r="H14345" t="s">
        <v>32849</v>
      </c>
      <c r="I14345" t="s">
        <v>4177</v>
      </c>
      <c r="J14345" t="s">
        <v>36317</v>
      </c>
      <c r="K14345" t="s">
        <v>42757</v>
      </c>
      <c r="M14345" t="s">
        <v>44802</v>
      </c>
      <c r="N14345" t="s">
        <v>47424</v>
      </c>
      <c r="O14345" t="s">
        <v>47425</v>
      </c>
      <c r="P14345">
        <v>0</v>
      </c>
      <c r="Q14345">
        <v>0</v>
      </c>
      <c r="R14345" t="s">
        <v>47445</v>
      </c>
      <c r="S14345" t="s">
        <v>48250</v>
      </c>
      <c r="T14345" t="s">
        <v>49056</v>
      </c>
      <c r="U14345" t="s">
        <v>61121</v>
      </c>
      <c r="W14345" t="s">
        <v>44795</v>
      </c>
      <c r="X14345" t="s">
        <v>47446</v>
      </c>
    </row>
    <row r="14346" spans="1:24">
      <c r="A14346">
        <f>HYPERLINK("https://www.philgeps.gov.ph/GEPSNONPILOT/Tender/SplashBidNoticeAbstractUI.aspx?menuIndex=3&amp;refID=7128051&amp;Result=3","7128051")</f>
        <v>0</v>
      </c>
      <c r="B14346" t="s">
        <v>2415</v>
      </c>
      <c r="C14346" t="s">
        <v>17469</v>
      </c>
      <c r="D14346" t="s">
        <v>19044</v>
      </c>
      <c r="E14346" t="s">
        <v>31397</v>
      </c>
      <c r="F14346" t="s">
        <v>32831</v>
      </c>
      <c r="G14346" t="s">
        <v>32839</v>
      </c>
      <c r="H14346" t="s">
        <v>32848</v>
      </c>
      <c r="I14346" t="s">
        <v>32861</v>
      </c>
      <c r="J14346" t="s">
        <v>33297</v>
      </c>
      <c r="K14346" t="s">
        <v>42732</v>
      </c>
      <c r="M14346" t="s">
        <v>45610</v>
      </c>
      <c r="N14346" t="s">
        <v>47424</v>
      </c>
      <c r="O14346" t="s">
        <v>47425</v>
      </c>
      <c r="Q14346">
        <v>24</v>
      </c>
      <c r="R14346" t="s">
        <v>47445</v>
      </c>
      <c r="S14346" t="s">
        <v>48393</v>
      </c>
      <c r="T14346" t="s">
        <v>49105</v>
      </c>
      <c r="U14346" t="s">
        <v>61329</v>
      </c>
      <c r="W14346" t="s">
        <v>45610</v>
      </c>
      <c r="X14346" t="s">
        <v>47446</v>
      </c>
    </row>
    <row r="14347" spans="1:24">
      <c r="A14347">
        <f>HYPERLINK("https://www.philgeps.gov.ph/GEPSNONPILOT/Tender/SplashBidNoticeAbstractUI.aspx?menuIndex=3&amp;refID=7128044&amp;Result=3","7128044")</f>
        <v>0</v>
      </c>
      <c r="B14347" t="s">
        <v>1130</v>
      </c>
      <c r="C14347" t="s">
        <v>17470</v>
      </c>
      <c r="D14347" t="s">
        <v>19045</v>
      </c>
      <c r="E14347" t="s">
        <v>31398</v>
      </c>
      <c r="F14347" t="s">
        <v>32831</v>
      </c>
      <c r="G14347" t="s">
        <v>32839</v>
      </c>
      <c r="H14347" t="s">
        <v>32848</v>
      </c>
      <c r="I14347" t="s">
        <v>32890</v>
      </c>
      <c r="J14347" t="s">
        <v>41733</v>
      </c>
      <c r="K14347" t="s">
        <v>42780</v>
      </c>
      <c r="M14347" t="s">
        <v>45442</v>
      </c>
      <c r="N14347" t="s">
        <v>47424</v>
      </c>
      <c r="O14347" t="s">
        <v>47425</v>
      </c>
      <c r="P14347">
        <v>0</v>
      </c>
      <c r="Q14347">
        <v>1</v>
      </c>
      <c r="R14347" t="s">
        <v>47445</v>
      </c>
      <c r="S14347" t="s">
        <v>48250</v>
      </c>
      <c r="T14347" t="s">
        <v>49237</v>
      </c>
      <c r="U14347" t="s">
        <v>61330</v>
      </c>
      <c r="V14347" t="s">
        <v>64230</v>
      </c>
      <c r="W14347" t="s">
        <v>45442</v>
      </c>
      <c r="X14347" t="s">
        <v>47446</v>
      </c>
    </row>
    <row r="14348" spans="1:24">
      <c r="A14348">
        <f>HYPERLINK("https://www.philgeps.gov.ph/GEPSNONPILOT/Tender/SplashBidNoticeAbstractUI.aspx?menuIndex=3&amp;refID=7128276&amp;Result=3","7128276")</f>
        <v>0</v>
      </c>
      <c r="B14348" t="s">
        <v>2059</v>
      </c>
      <c r="C14348" t="s">
        <v>17471</v>
      </c>
      <c r="D14348" t="s">
        <v>19057</v>
      </c>
      <c r="E14348" t="s">
        <v>31399</v>
      </c>
      <c r="F14348" t="s">
        <v>32831</v>
      </c>
      <c r="G14348" t="s">
        <v>32839</v>
      </c>
      <c r="H14348" t="s">
        <v>32848</v>
      </c>
      <c r="I14348" t="s">
        <v>32926</v>
      </c>
      <c r="J14348" t="s">
        <v>38314</v>
      </c>
      <c r="K14348" t="s">
        <v>42732</v>
      </c>
      <c r="M14348" t="s">
        <v>46126</v>
      </c>
      <c r="N14348" t="s">
        <v>47424</v>
      </c>
      <c r="O14348" t="s">
        <v>47425</v>
      </c>
      <c r="P14348">
        <v>0</v>
      </c>
      <c r="Q14348">
        <v>0</v>
      </c>
      <c r="R14348" t="s">
        <v>47445</v>
      </c>
      <c r="S14348" t="s">
        <v>48250</v>
      </c>
      <c r="T14348" t="s">
        <v>49318</v>
      </c>
      <c r="U14348" t="s">
        <v>61331</v>
      </c>
      <c r="W14348" t="s">
        <v>45229</v>
      </c>
      <c r="X14348" t="s">
        <v>47446</v>
      </c>
    </row>
    <row r="14349" spans="1:24">
      <c r="A14349">
        <f>HYPERLINK("https://www.philgeps.gov.ph/GEPSNONPILOT/Tender/SplashBidNoticeAbstractUI.aspx?menuIndex=3&amp;refID=7127818&amp;Result=3","7127818")</f>
        <v>0</v>
      </c>
      <c r="B14349" t="s">
        <v>1137</v>
      </c>
      <c r="C14349" t="s">
        <v>17472</v>
      </c>
      <c r="D14349" t="s">
        <v>19020</v>
      </c>
      <c r="E14349" t="s">
        <v>31400</v>
      </c>
      <c r="F14349" t="s">
        <v>32831</v>
      </c>
      <c r="G14349" t="s">
        <v>32839</v>
      </c>
      <c r="H14349" t="s">
        <v>32849</v>
      </c>
      <c r="I14349" t="s">
        <v>4177</v>
      </c>
      <c r="J14349" t="s">
        <v>41734</v>
      </c>
      <c r="K14349" t="s">
        <v>42732</v>
      </c>
      <c r="M14349" t="s">
        <v>44200</v>
      </c>
      <c r="N14349" t="s">
        <v>47424</v>
      </c>
      <c r="O14349" t="s">
        <v>47425</v>
      </c>
      <c r="P14349">
        <v>0</v>
      </c>
      <c r="Q14349">
        <v>0</v>
      </c>
      <c r="R14349" t="s">
        <v>47445</v>
      </c>
      <c r="S14349" t="s">
        <v>48250</v>
      </c>
      <c r="T14349" t="s">
        <v>49166</v>
      </c>
      <c r="U14349" t="s">
        <v>61332</v>
      </c>
      <c r="W14349" t="s">
        <v>44200</v>
      </c>
      <c r="X14349" t="s">
        <v>47446</v>
      </c>
    </row>
    <row r="14350" spans="1:24">
      <c r="A14350">
        <f>HYPERLINK("https://www.philgeps.gov.ph/GEPSNONPILOT/Tender/SplashBidNoticeAbstractUI.aspx?menuIndex=3&amp;refID=7127672&amp;Result=3","7127672")</f>
        <v>0</v>
      </c>
      <c r="B14350" t="s">
        <v>2418</v>
      </c>
      <c r="C14350" t="s">
        <v>17473</v>
      </c>
      <c r="D14350" t="s">
        <v>19027</v>
      </c>
      <c r="E14350" t="s">
        <v>31401</v>
      </c>
      <c r="F14350" t="s">
        <v>32831</v>
      </c>
      <c r="G14350" t="s">
        <v>32839</v>
      </c>
      <c r="H14350" t="s">
        <v>32848</v>
      </c>
      <c r="I14350" t="s">
        <v>7416</v>
      </c>
      <c r="J14350" t="s">
        <v>41735</v>
      </c>
      <c r="K14350" t="s">
        <v>42732</v>
      </c>
      <c r="M14350" t="s">
        <v>45613</v>
      </c>
      <c r="N14350" t="s">
        <v>47424</v>
      </c>
      <c r="O14350" t="s">
        <v>47425</v>
      </c>
      <c r="P14350">
        <v>0</v>
      </c>
      <c r="Q14350">
        <v>2</v>
      </c>
      <c r="R14350" t="s">
        <v>47445</v>
      </c>
      <c r="S14350" t="s">
        <v>48250</v>
      </c>
      <c r="T14350" t="s">
        <v>49243</v>
      </c>
      <c r="U14350" t="s">
        <v>61333</v>
      </c>
      <c r="V14350" t="s">
        <v>63379</v>
      </c>
      <c r="W14350" t="s">
        <v>45613</v>
      </c>
      <c r="X14350" t="s">
        <v>47446</v>
      </c>
    </row>
    <row r="14351" spans="1:24">
      <c r="A14351">
        <f>HYPERLINK("https://www.philgeps.gov.ph/GEPSNONPILOT/Tender/SplashBidNoticeAbstractUI.aspx?menuIndex=3&amp;refID=7127668&amp;Result=3","7127668")</f>
        <v>0</v>
      </c>
      <c r="B14351" t="s">
        <v>3357</v>
      </c>
      <c r="C14351" t="s">
        <v>17474</v>
      </c>
      <c r="D14351" t="s">
        <v>19054</v>
      </c>
      <c r="E14351" t="s">
        <v>31402</v>
      </c>
      <c r="F14351" t="s">
        <v>32831</v>
      </c>
      <c r="G14351" t="s">
        <v>32839</v>
      </c>
      <c r="H14351" t="s">
        <v>32848</v>
      </c>
      <c r="I14351" t="s">
        <v>32852</v>
      </c>
      <c r="J14351" t="s">
        <v>36256</v>
      </c>
      <c r="K14351" t="s">
        <v>42730</v>
      </c>
      <c r="M14351" t="s">
        <v>47178</v>
      </c>
      <c r="N14351" t="s">
        <v>47424</v>
      </c>
      <c r="O14351" t="s">
        <v>47425</v>
      </c>
      <c r="P14351">
        <v>0</v>
      </c>
      <c r="Q14351">
        <v>0</v>
      </c>
      <c r="R14351" t="s">
        <v>47445</v>
      </c>
      <c r="S14351" t="s">
        <v>48250</v>
      </c>
      <c r="T14351" t="s">
        <v>49151</v>
      </c>
      <c r="U14351" t="s">
        <v>61334</v>
      </c>
      <c r="W14351" t="s">
        <v>47178</v>
      </c>
      <c r="X14351" t="s">
        <v>47446</v>
      </c>
    </row>
    <row r="14352" spans="1:24">
      <c r="A14352">
        <f>HYPERLINK("https://www.philgeps.gov.ph/GEPSNONPILOT/Tender/SplashBidNoticeAbstractUI.aspx?menuIndex=3&amp;refID=7127832&amp;Result=3","7127832")</f>
        <v>0</v>
      </c>
      <c r="B14352" t="s">
        <v>3637</v>
      </c>
      <c r="C14352" t="s">
        <v>17475</v>
      </c>
      <c r="D14352" t="s">
        <v>19047</v>
      </c>
      <c r="E14352" t="s">
        <v>31403</v>
      </c>
      <c r="F14352" t="s">
        <v>32831</v>
      </c>
      <c r="G14352" t="s">
        <v>32839</v>
      </c>
      <c r="H14352" t="s">
        <v>32849</v>
      </c>
      <c r="I14352" t="s">
        <v>4177</v>
      </c>
      <c r="J14352" t="s">
        <v>41736</v>
      </c>
      <c r="K14352" t="s">
        <v>42862</v>
      </c>
      <c r="M14352" t="s">
        <v>47195</v>
      </c>
      <c r="N14352" t="s">
        <v>47424</v>
      </c>
      <c r="O14352" t="s">
        <v>47425</v>
      </c>
      <c r="Q14352">
        <v>12</v>
      </c>
      <c r="R14352" t="s">
        <v>47445</v>
      </c>
      <c r="S14352" t="s">
        <v>48394</v>
      </c>
      <c r="T14352" t="s">
        <v>49237</v>
      </c>
      <c r="U14352" t="s">
        <v>61097</v>
      </c>
      <c r="V14352" t="s">
        <v>64059</v>
      </c>
      <c r="W14352" t="s">
        <v>47195</v>
      </c>
      <c r="X14352" t="s">
        <v>47446</v>
      </c>
    </row>
    <row r="14353" spans="1:24">
      <c r="A14353">
        <f>HYPERLINK("https://www.philgeps.gov.ph/GEPSNONPILOT/Tender/SplashBidNoticeAbstractUI.aspx?menuIndex=3&amp;refID=7127838&amp;Result=3","7127838")</f>
        <v>0</v>
      </c>
      <c r="B14353" t="s">
        <v>2807</v>
      </c>
      <c r="C14353" t="s">
        <v>17476</v>
      </c>
      <c r="D14353" t="s">
        <v>19037</v>
      </c>
      <c r="E14353" t="s">
        <v>31404</v>
      </c>
      <c r="F14353" t="s">
        <v>32831</v>
      </c>
      <c r="G14353" t="s">
        <v>32839</v>
      </c>
      <c r="H14353" t="s">
        <v>32848</v>
      </c>
      <c r="I14353" t="s">
        <v>9577</v>
      </c>
      <c r="J14353" t="s">
        <v>41737</v>
      </c>
      <c r="K14353" t="s">
        <v>42730</v>
      </c>
      <c r="M14353" t="s">
        <v>46037</v>
      </c>
      <c r="N14353" t="s">
        <v>47424</v>
      </c>
      <c r="O14353" t="s">
        <v>47425</v>
      </c>
      <c r="P14353">
        <v>0</v>
      </c>
      <c r="Q14353">
        <v>3</v>
      </c>
      <c r="R14353" t="s">
        <v>47445</v>
      </c>
      <c r="S14353" t="s">
        <v>48250</v>
      </c>
      <c r="T14353" t="s">
        <v>49214</v>
      </c>
      <c r="U14353" t="s">
        <v>61335</v>
      </c>
      <c r="W14353" t="s">
        <v>46037</v>
      </c>
      <c r="X14353" t="s">
        <v>47446</v>
      </c>
    </row>
    <row r="14354" spans="1:24">
      <c r="A14354">
        <f>HYPERLINK("https://www.philgeps.gov.ph/GEPSNONPILOT/Tender/SplashBidNoticeAbstractUI.aspx?menuIndex=3&amp;refID=7127826&amp;Result=3","7127826")</f>
        <v>0</v>
      </c>
      <c r="B14354" t="s">
        <v>2807</v>
      </c>
      <c r="C14354" t="s">
        <v>17477</v>
      </c>
      <c r="D14354" t="s">
        <v>19037</v>
      </c>
      <c r="E14354" t="s">
        <v>31405</v>
      </c>
      <c r="F14354" t="s">
        <v>32831</v>
      </c>
      <c r="G14354" t="s">
        <v>32839</v>
      </c>
      <c r="H14354" t="s">
        <v>32848</v>
      </c>
      <c r="I14354" t="s">
        <v>9577</v>
      </c>
      <c r="J14354" t="s">
        <v>41738</v>
      </c>
      <c r="K14354" t="s">
        <v>42730</v>
      </c>
      <c r="M14354" t="s">
        <v>46037</v>
      </c>
      <c r="N14354" t="s">
        <v>47424</v>
      </c>
      <c r="O14354" t="s">
        <v>47425</v>
      </c>
      <c r="P14354">
        <v>0</v>
      </c>
      <c r="Q14354">
        <v>2</v>
      </c>
      <c r="R14354" t="s">
        <v>47445</v>
      </c>
      <c r="S14354" t="s">
        <v>48250</v>
      </c>
      <c r="T14354" t="s">
        <v>49214</v>
      </c>
      <c r="U14354" t="s">
        <v>61336</v>
      </c>
      <c r="W14354" t="s">
        <v>46037</v>
      </c>
      <c r="X14354" t="s">
        <v>47446</v>
      </c>
    </row>
    <row r="14355" spans="1:24">
      <c r="A14355">
        <f>HYPERLINK("https://www.philgeps.gov.ph/GEPSNONPILOT/Tender/SplashBidNoticeAbstractUI.aspx?menuIndex=3&amp;refID=7127653&amp;Result=3","7127653")</f>
        <v>0</v>
      </c>
      <c r="B14355" t="s">
        <v>1070</v>
      </c>
      <c r="C14355" t="s">
        <v>17478</v>
      </c>
      <c r="D14355" t="s">
        <v>19021</v>
      </c>
      <c r="E14355" t="s">
        <v>31406</v>
      </c>
      <c r="F14355" t="s">
        <v>32831</v>
      </c>
      <c r="G14355" t="s">
        <v>32845</v>
      </c>
      <c r="H14355" t="s">
        <v>32848</v>
      </c>
      <c r="I14355" t="s">
        <v>4776</v>
      </c>
      <c r="J14355" t="s">
        <v>41739</v>
      </c>
      <c r="K14355" t="s">
        <v>42727</v>
      </c>
      <c r="M14355" t="s">
        <v>47042</v>
      </c>
      <c r="N14355" t="s">
        <v>47424</v>
      </c>
      <c r="O14355" t="s">
        <v>47425</v>
      </c>
      <c r="Q14355">
        <v>9</v>
      </c>
      <c r="R14355" t="s">
        <v>47445</v>
      </c>
      <c r="S14355" t="s">
        <v>48395</v>
      </c>
      <c r="T14355" t="s">
        <v>49330</v>
      </c>
      <c r="U14355" t="s">
        <v>61337</v>
      </c>
      <c r="V14355" t="s">
        <v>63255</v>
      </c>
      <c r="W14355" t="s">
        <v>47042</v>
      </c>
      <c r="X14355" t="s">
        <v>47446</v>
      </c>
    </row>
    <row r="14356" spans="1:24">
      <c r="A14356">
        <f>HYPERLINK("https://www.philgeps.gov.ph/GEPSNONPILOT/Tender/SplashBidNoticeAbstractUI.aspx?menuIndex=3&amp;refID=7127989&amp;Result=3","7127989")</f>
        <v>0</v>
      </c>
      <c r="B14356" t="s">
        <v>3807</v>
      </c>
      <c r="C14356" t="s">
        <v>17479</v>
      </c>
      <c r="D14356" t="s">
        <v>19049</v>
      </c>
      <c r="E14356" t="s">
        <v>31407</v>
      </c>
      <c r="F14356" t="s">
        <v>32831</v>
      </c>
      <c r="G14356" t="s">
        <v>32839</v>
      </c>
      <c r="H14356" t="s">
        <v>32848</v>
      </c>
      <c r="I14356" t="s">
        <v>7416</v>
      </c>
      <c r="J14356" t="s">
        <v>41740</v>
      </c>
      <c r="K14356" t="s">
        <v>42732</v>
      </c>
      <c r="M14356" t="s">
        <v>47228</v>
      </c>
      <c r="N14356" t="s">
        <v>47424</v>
      </c>
      <c r="O14356" t="s">
        <v>47425</v>
      </c>
      <c r="P14356">
        <v>0</v>
      </c>
      <c r="Q14356">
        <v>0</v>
      </c>
      <c r="R14356" t="s">
        <v>47445</v>
      </c>
      <c r="S14356" t="s">
        <v>48250</v>
      </c>
      <c r="T14356" t="s">
        <v>49243</v>
      </c>
      <c r="U14356" t="s">
        <v>61338</v>
      </c>
      <c r="W14356" t="s">
        <v>47228</v>
      </c>
      <c r="X14356" t="s">
        <v>47446</v>
      </c>
    </row>
    <row r="14357" spans="1:24">
      <c r="A14357">
        <f>HYPERLINK("https://www.philgeps.gov.ph/GEPSNONPILOT/Tender/SplashBidNoticeAbstractUI.aspx?menuIndex=3&amp;refID=7127612&amp;Result=3","7127612")</f>
        <v>0</v>
      </c>
      <c r="B14357" t="s">
        <v>231</v>
      </c>
      <c r="C14357" t="s">
        <v>17480</v>
      </c>
      <c r="D14357" t="s">
        <v>19039</v>
      </c>
      <c r="E14357" t="s">
        <v>31408</v>
      </c>
      <c r="F14357" t="s">
        <v>32831</v>
      </c>
      <c r="G14357" t="s">
        <v>32839</v>
      </c>
      <c r="H14357" t="s">
        <v>32848</v>
      </c>
      <c r="I14357" t="s">
        <v>32902</v>
      </c>
      <c r="J14357" t="s">
        <v>41741</v>
      </c>
      <c r="K14357" t="s">
        <v>42729</v>
      </c>
      <c r="M14357" t="s">
        <v>43230</v>
      </c>
      <c r="N14357" t="s">
        <v>47424</v>
      </c>
      <c r="O14357" t="s">
        <v>47425</v>
      </c>
      <c r="Q14357">
        <v>2</v>
      </c>
      <c r="R14357" t="s">
        <v>47445</v>
      </c>
      <c r="S14357" t="s">
        <v>48396</v>
      </c>
      <c r="T14357" t="s">
        <v>49214</v>
      </c>
      <c r="U14357" t="s">
        <v>61339</v>
      </c>
      <c r="W14357" t="s">
        <v>43230</v>
      </c>
      <c r="X14357" t="s">
        <v>47446</v>
      </c>
    </row>
    <row r="14358" spans="1:24">
      <c r="A14358">
        <f>HYPERLINK("https://www.philgeps.gov.ph/GEPSNONPILOT/Tender/SplashBidNoticeAbstractUI.aspx?menuIndex=3&amp;refID=7127609&amp;Result=3","7127609")</f>
        <v>0</v>
      </c>
      <c r="B14358" t="s">
        <v>3757</v>
      </c>
      <c r="C14358" t="s">
        <v>17481</v>
      </c>
      <c r="D14358" t="s">
        <v>19044</v>
      </c>
      <c r="E14358" t="s">
        <v>31409</v>
      </c>
      <c r="F14358" t="s">
        <v>32831</v>
      </c>
      <c r="G14358" t="s">
        <v>32839</v>
      </c>
      <c r="H14358" t="s">
        <v>32849</v>
      </c>
      <c r="I14358" t="s">
        <v>4177</v>
      </c>
      <c r="J14358" t="s">
        <v>41742</v>
      </c>
      <c r="K14358" t="s">
        <v>42741</v>
      </c>
      <c r="M14358" t="s">
        <v>47190</v>
      </c>
      <c r="N14358" t="s">
        <v>47424</v>
      </c>
      <c r="O14358" t="s">
        <v>47425</v>
      </c>
      <c r="P14358">
        <v>0</v>
      </c>
      <c r="Q14358">
        <v>1</v>
      </c>
      <c r="R14358" t="s">
        <v>47445</v>
      </c>
      <c r="S14358" t="s">
        <v>48250</v>
      </c>
      <c r="T14358" t="s">
        <v>49330</v>
      </c>
      <c r="U14358" t="s">
        <v>61091</v>
      </c>
      <c r="W14358" t="s">
        <v>47190</v>
      </c>
      <c r="X14358" t="s">
        <v>47446</v>
      </c>
    </row>
    <row r="14359" spans="1:24">
      <c r="A14359">
        <f>HYPERLINK("https://www.philgeps.gov.ph/GEPSNONPILOT/Tender/SplashBidNoticeAbstractUI.aspx?menuIndex=3&amp;refID=7122590&amp;Result=3","7122590")</f>
        <v>0</v>
      </c>
      <c r="B14359" t="s">
        <v>2355</v>
      </c>
      <c r="C14359" t="s">
        <v>17482</v>
      </c>
      <c r="D14359" t="s">
        <v>19025</v>
      </c>
      <c r="E14359" t="s">
        <v>31410</v>
      </c>
      <c r="F14359" t="s">
        <v>32831</v>
      </c>
      <c r="G14359" t="s">
        <v>32839</v>
      </c>
      <c r="H14359" t="s">
        <v>32849</v>
      </c>
      <c r="I14359" t="s">
        <v>4177</v>
      </c>
      <c r="J14359" t="s">
        <v>41743</v>
      </c>
      <c r="K14359" t="s">
        <v>42770</v>
      </c>
      <c r="M14359" t="s">
        <v>45544</v>
      </c>
      <c r="N14359" t="s">
        <v>47424</v>
      </c>
      <c r="O14359" t="s">
        <v>47425</v>
      </c>
      <c r="P14359">
        <v>0</v>
      </c>
      <c r="Q14359">
        <v>0</v>
      </c>
      <c r="R14359" t="s">
        <v>47446</v>
      </c>
      <c r="S14359" t="s">
        <v>48377</v>
      </c>
      <c r="T14359" t="s">
        <v>49166</v>
      </c>
      <c r="U14359" t="s">
        <v>61340</v>
      </c>
      <c r="W14359" t="s">
        <v>45544</v>
      </c>
      <c r="X14359" t="s">
        <v>47448</v>
      </c>
    </row>
    <row r="14360" spans="1:24">
      <c r="A14360">
        <f>HYPERLINK("https://www.philgeps.gov.ph/GEPSNONPILOT/Tender/SplashBidNoticeAbstractUI.aspx?menuIndex=3&amp;refID=7127614&amp;Result=3","7127614")</f>
        <v>0</v>
      </c>
      <c r="B14360" t="s">
        <v>2418</v>
      </c>
      <c r="C14360" t="s">
        <v>17483</v>
      </c>
      <c r="D14360" t="s">
        <v>19027</v>
      </c>
      <c r="E14360" t="s">
        <v>31411</v>
      </c>
      <c r="F14360" t="s">
        <v>32831</v>
      </c>
      <c r="G14360" t="s">
        <v>32839</v>
      </c>
      <c r="H14360" t="s">
        <v>32848</v>
      </c>
      <c r="I14360" t="s">
        <v>4487</v>
      </c>
      <c r="J14360" t="s">
        <v>41744</v>
      </c>
      <c r="K14360" t="s">
        <v>42732</v>
      </c>
      <c r="M14360" t="s">
        <v>45613</v>
      </c>
      <c r="N14360" t="s">
        <v>47424</v>
      </c>
      <c r="O14360" t="s">
        <v>47425</v>
      </c>
      <c r="Q14360">
        <v>9</v>
      </c>
      <c r="R14360" t="s">
        <v>47445</v>
      </c>
      <c r="S14360" t="s">
        <v>48397</v>
      </c>
      <c r="T14360" t="s">
        <v>49243</v>
      </c>
      <c r="U14360" t="s">
        <v>61341</v>
      </c>
      <c r="V14360" t="s">
        <v>63379</v>
      </c>
      <c r="W14360" t="s">
        <v>45613</v>
      </c>
      <c r="X14360" t="s">
        <v>47446</v>
      </c>
    </row>
    <row r="14361" spans="1:24">
      <c r="A14361">
        <f>HYPERLINK("https://www.philgeps.gov.ph/GEPSNONPILOT/Tender/SplashBidNoticeAbstractUI.aspx?menuIndex=3&amp;refID=7127590&amp;Result=3","7127590")</f>
        <v>0</v>
      </c>
      <c r="B14361" t="s">
        <v>3808</v>
      </c>
      <c r="C14361" t="s">
        <v>17484</v>
      </c>
      <c r="D14361" t="s">
        <v>19052</v>
      </c>
      <c r="E14361" t="s">
        <v>31412</v>
      </c>
      <c r="F14361" t="s">
        <v>32831</v>
      </c>
      <c r="G14361" t="s">
        <v>32839</v>
      </c>
      <c r="H14361" t="s">
        <v>32849</v>
      </c>
      <c r="I14361" t="s">
        <v>4177</v>
      </c>
      <c r="J14361" t="s">
        <v>41745</v>
      </c>
      <c r="K14361" t="s">
        <v>42789</v>
      </c>
      <c r="M14361" t="s">
        <v>47229</v>
      </c>
      <c r="N14361" t="s">
        <v>47424</v>
      </c>
      <c r="O14361" t="s">
        <v>47425</v>
      </c>
      <c r="P14361">
        <v>0</v>
      </c>
      <c r="Q14361">
        <v>23</v>
      </c>
      <c r="R14361" t="s">
        <v>47445</v>
      </c>
      <c r="S14361" t="s">
        <v>48250</v>
      </c>
      <c r="T14361" t="s">
        <v>49166</v>
      </c>
      <c r="U14361" t="s">
        <v>61342</v>
      </c>
      <c r="V14361" t="s">
        <v>64263</v>
      </c>
      <c r="W14361" t="s">
        <v>47229</v>
      </c>
      <c r="X14361" t="s">
        <v>47446</v>
      </c>
    </row>
    <row r="14362" spans="1:24">
      <c r="A14362">
        <f>HYPERLINK("https://www.philgeps.gov.ph/GEPSNONPILOT/Tender/SplashBidNoticeAbstractUI.aspx?menuIndex=3&amp;refID=7127328&amp;Result=3","7127328")</f>
        <v>0</v>
      </c>
      <c r="B14362" t="s">
        <v>2754</v>
      </c>
      <c r="C14362" t="s">
        <v>17485</v>
      </c>
      <c r="D14362" t="s">
        <v>19042</v>
      </c>
      <c r="E14362" t="s">
        <v>31413</v>
      </c>
      <c r="F14362" t="s">
        <v>32831</v>
      </c>
      <c r="G14362" t="s">
        <v>32839</v>
      </c>
      <c r="H14362" t="s">
        <v>32849</v>
      </c>
      <c r="I14362" t="s">
        <v>4177</v>
      </c>
      <c r="J14362" t="s">
        <v>41746</v>
      </c>
      <c r="K14362" t="s">
        <v>42757</v>
      </c>
      <c r="M14362" t="s">
        <v>45983</v>
      </c>
      <c r="N14362" t="s">
        <v>47424</v>
      </c>
      <c r="O14362" t="s">
        <v>47425</v>
      </c>
      <c r="P14362">
        <v>0</v>
      </c>
      <c r="Q14362">
        <v>2</v>
      </c>
      <c r="R14362" t="s">
        <v>47445</v>
      </c>
      <c r="S14362" t="s">
        <v>48250</v>
      </c>
      <c r="T14362" t="s">
        <v>49141</v>
      </c>
      <c r="U14362" t="s">
        <v>61343</v>
      </c>
      <c r="W14362" t="s">
        <v>45983</v>
      </c>
      <c r="X14362" t="s">
        <v>47446</v>
      </c>
    </row>
    <row r="14363" spans="1:24">
      <c r="A14363">
        <f>HYPERLINK("https://www.philgeps.gov.ph/GEPSNONPILOT/Tender/SplashBidNoticeAbstractUI.aspx?menuIndex=3&amp;refID=7123248&amp;Result=3","7123248")</f>
        <v>0</v>
      </c>
      <c r="B14363" t="s">
        <v>2425</v>
      </c>
      <c r="C14363" t="s">
        <v>17486</v>
      </c>
      <c r="D14363" t="s">
        <v>19050</v>
      </c>
      <c r="E14363" t="s">
        <v>31414</v>
      </c>
      <c r="F14363" t="s">
        <v>32831</v>
      </c>
      <c r="G14363" t="s">
        <v>32839</v>
      </c>
      <c r="H14363" t="s">
        <v>32848</v>
      </c>
      <c r="I14363" t="s">
        <v>32859</v>
      </c>
      <c r="J14363" t="s">
        <v>41747</v>
      </c>
      <c r="K14363" t="s">
        <v>42745</v>
      </c>
      <c r="M14363" t="s">
        <v>45622</v>
      </c>
      <c r="N14363" t="s">
        <v>47424</v>
      </c>
      <c r="O14363" t="s">
        <v>47425</v>
      </c>
      <c r="P14363">
        <v>0</v>
      </c>
      <c r="Q14363">
        <v>1</v>
      </c>
      <c r="R14363" t="s">
        <v>47446</v>
      </c>
      <c r="S14363" t="s">
        <v>48377</v>
      </c>
      <c r="T14363" t="s">
        <v>49111</v>
      </c>
      <c r="U14363" t="s">
        <v>61344</v>
      </c>
      <c r="W14363" t="s">
        <v>45622</v>
      </c>
      <c r="X14363" t="s">
        <v>47447</v>
      </c>
    </row>
    <row r="14364" spans="1:24">
      <c r="A14364">
        <f>HYPERLINK("https://www.philgeps.gov.ph/GEPSNONPILOT/Tender/SplashBidNoticeAbstractUI.aspx?menuIndex=3&amp;refID=7123282&amp;Result=3","7123282")</f>
        <v>0</v>
      </c>
      <c r="B14364" t="s">
        <v>307</v>
      </c>
      <c r="C14364" t="s">
        <v>17487</v>
      </c>
      <c r="D14364" t="s">
        <v>19078</v>
      </c>
      <c r="E14364" t="s">
        <v>31415</v>
      </c>
      <c r="F14364" t="s">
        <v>32831</v>
      </c>
      <c r="G14364" t="s">
        <v>32839</v>
      </c>
      <c r="H14364" t="s">
        <v>32848</v>
      </c>
      <c r="I14364" t="s">
        <v>8781</v>
      </c>
      <c r="J14364" t="s">
        <v>41748</v>
      </c>
      <c r="K14364" t="s">
        <v>42730</v>
      </c>
      <c r="M14364" t="s">
        <v>43308</v>
      </c>
      <c r="N14364" t="s">
        <v>47424</v>
      </c>
      <c r="O14364" t="s">
        <v>47425</v>
      </c>
      <c r="P14364">
        <v>0</v>
      </c>
      <c r="Q14364">
        <v>2</v>
      </c>
      <c r="R14364" t="s">
        <v>47446</v>
      </c>
      <c r="S14364" t="s">
        <v>48377</v>
      </c>
      <c r="T14364" t="s">
        <v>49111</v>
      </c>
      <c r="U14364" t="s">
        <v>61345</v>
      </c>
      <c r="W14364" t="s">
        <v>43308</v>
      </c>
      <c r="X14364" t="s">
        <v>47447</v>
      </c>
    </row>
    <row r="14365" spans="1:24">
      <c r="A14365">
        <f>HYPERLINK("https://www.philgeps.gov.ph/GEPSNONPILOT/Tender/SplashBidNoticeAbstractUI.aspx?menuIndex=3&amp;refID=7123236&amp;Result=3","7123236")</f>
        <v>0</v>
      </c>
      <c r="B14365" t="s">
        <v>3809</v>
      </c>
      <c r="C14365" t="s">
        <v>17488</v>
      </c>
      <c r="D14365" t="s">
        <v>19042</v>
      </c>
      <c r="E14365" t="s">
        <v>23170</v>
      </c>
      <c r="F14365" t="s">
        <v>32833</v>
      </c>
      <c r="G14365" t="s">
        <v>32839</v>
      </c>
      <c r="H14365" t="s">
        <v>32849</v>
      </c>
      <c r="I14365" t="s">
        <v>4177</v>
      </c>
      <c r="J14365" t="s">
        <v>41749</v>
      </c>
      <c r="K14365" t="s">
        <v>42928</v>
      </c>
      <c r="M14365" t="s">
        <v>47230</v>
      </c>
      <c r="N14365" t="s">
        <v>47424</v>
      </c>
      <c r="O14365" t="s">
        <v>47425</v>
      </c>
      <c r="P14365">
        <v>0</v>
      </c>
      <c r="Q14365">
        <v>0</v>
      </c>
      <c r="R14365" t="s">
        <v>47446</v>
      </c>
      <c r="S14365" t="s">
        <v>48377</v>
      </c>
      <c r="T14365" t="s">
        <v>49212</v>
      </c>
      <c r="U14365" t="s">
        <v>61346</v>
      </c>
      <c r="W14365" t="s">
        <v>47230</v>
      </c>
      <c r="X14365" t="s">
        <v>47447</v>
      </c>
    </row>
    <row r="14366" spans="1:24">
      <c r="A14366">
        <f>HYPERLINK("https://www.philgeps.gov.ph/GEPSNONPILOT/Tender/SplashBidNoticeAbstractUI.aspx?menuIndex=3&amp;refID=7123171&amp;Result=3","7123171")</f>
        <v>0</v>
      </c>
      <c r="B14366" t="s">
        <v>3810</v>
      </c>
      <c r="C14366" t="s">
        <v>17489</v>
      </c>
      <c r="D14366" t="s">
        <v>19081</v>
      </c>
      <c r="E14366" t="s">
        <v>31416</v>
      </c>
      <c r="F14366" t="s">
        <v>32831</v>
      </c>
      <c r="G14366" t="s">
        <v>32839</v>
      </c>
      <c r="H14366" t="s">
        <v>32848</v>
      </c>
      <c r="I14366" t="s">
        <v>4177</v>
      </c>
      <c r="J14366" t="s">
        <v>41750</v>
      </c>
      <c r="K14366" t="s">
        <v>42819</v>
      </c>
      <c r="M14366" t="s">
        <v>47231</v>
      </c>
      <c r="N14366" t="s">
        <v>47424</v>
      </c>
      <c r="O14366" t="s">
        <v>47425</v>
      </c>
      <c r="P14366">
        <v>0</v>
      </c>
      <c r="Q14366">
        <v>1</v>
      </c>
      <c r="R14366" t="s">
        <v>47446</v>
      </c>
      <c r="S14366" t="s">
        <v>48377</v>
      </c>
      <c r="T14366" t="s">
        <v>49237</v>
      </c>
      <c r="U14366" t="s">
        <v>61347</v>
      </c>
      <c r="W14366" t="s">
        <v>47231</v>
      </c>
      <c r="X14366" t="s">
        <v>47447</v>
      </c>
    </row>
    <row r="14367" spans="1:24">
      <c r="A14367">
        <f>HYPERLINK("https://www.philgeps.gov.ph/GEPSNONPILOT/Tender/SplashBidNoticeAbstractUI.aspx?menuIndex=3&amp;refID=7123153&amp;Result=3","7123153")</f>
        <v>0</v>
      </c>
      <c r="B14367" t="s">
        <v>2476</v>
      </c>
      <c r="C14367" t="s">
        <v>17490</v>
      </c>
      <c r="D14367" t="s">
        <v>19081</v>
      </c>
      <c r="E14367" t="s">
        <v>31417</v>
      </c>
      <c r="F14367" t="s">
        <v>32831</v>
      </c>
      <c r="G14367" t="s">
        <v>32839</v>
      </c>
      <c r="H14367" t="s">
        <v>32848</v>
      </c>
      <c r="I14367" t="s">
        <v>9577</v>
      </c>
      <c r="J14367" t="s">
        <v>41751</v>
      </c>
      <c r="K14367" t="s">
        <v>42727</v>
      </c>
      <c r="M14367" t="s">
        <v>45677</v>
      </c>
      <c r="N14367" t="s">
        <v>47424</v>
      </c>
      <c r="O14367" t="s">
        <v>47425</v>
      </c>
      <c r="P14367">
        <v>0</v>
      </c>
      <c r="Q14367">
        <v>4</v>
      </c>
      <c r="R14367" t="s">
        <v>47446</v>
      </c>
      <c r="S14367" t="s">
        <v>48377</v>
      </c>
      <c r="T14367" t="s">
        <v>49239</v>
      </c>
      <c r="U14367" t="s">
        <v>61348</v>
      </c>
      <c r="W14367" t="s">
        <v>45677</v>
      </c>
      <c r="X14367" t="s">
        <v>47447</v>
      </c>
    </row>
    <row r="14368" spans="1:24">
      <c r="A14368">
        <f>HYPERLINK("https://www.philgeps.gov.ph/GEPSNONPILOT/Tender/SplashBidNoticeAbstractUI.aspx?menuIndex=3&amp;refID=7123149&amp;Result=3","7123149")</f>
        <v>0</v>
      </c>
      <c r="B14368" t="s">
        <v>2476</v>
      </c>
      <c r="C14368" t="s">
        <v>16453</v>
      </c>
      <c r="D14368" t="s">
        <v>19081</v>
      </c>
      <c r="E14368" t="s">
        <v>25238</v>
      </c>
      <c r="F14368" t="s">
        <v>32831</v>
      </c>
      <c r="G14368" t="s">
        <v>32839</v>
      </c>
      <c r="H14368" t="s">
        <v>32848</v>
      </c>
      <c r="I14368" t="s">
        <v>7416</v>
      </c>
      <c r="J14368" t="s">
        <v>41752</v>
      </c>
      <c r="K14368" t="s">
        <v>42727</v>
      </c>
      <c r="M14368" t="s">
        <v>45677</v>
      </c>
      <c r="N14368" t="s">
        <v>47424</v>
      </c>
      <c r="O14368" t="s">
        <v>47425</v>
      </c>
      <c r="P14368">
        <v>0</v>
      </c>
      <c r="Q14368">
        <v>1</v>
      </c>
      <c r="R14368" t="s">
        <v>47446</v>
      </c>
      <c r="S14368" t="s">
        <v>48377</v>
      </c>
      <c r="T14368" t="s">
        <v>49237</v>
      </c>
      <c r="U14368" t="s">
        <v>60560</v>
      </c>
      <c r="W14368" t="s">
        <v>45677</v>
      </c>
      <c r="X14368" t="s">
        <v>47447</v>
      </c>
    </row>
    <row r="14369" spans="1:24">
      <c r="A14369">
        <f>HYPERLINK("https://www.philgeps.gov.ph/GEPSNONPILOT/Tender/SplashBidNoticeAbstractUI.aspx?menuIndex=3&amp;refID=7123263&amp;Result=3","7123263")</f>
        <v>0</v>
      </c>
      <c r="B14369" t="s">
        <v>2355</v>
      </c>
      <c r="C14369" t="s">
        <v>17491</v>
      </c>
      <c r="D14369" t="s">
        <v>19025</v>
      </c>
      <c r="E14369" t="s">
        <v>31418</v>
      </c>
      <c r="F14369" t="s">
        <v>32831</v>
      </c>
      <c r="G14369" t="s">
        <v>32839</v>
      </c>
      <c r="H14369" t="s">
        <v>32848</v>
      </c>
      <c r="I14369" t="s">
        <v>32867</v>
      </c>
      <c r="J14369" t="s">
        <v>41753</v>
      </c>
      <c r="K14369" t="s">
        <v>42730</v>
      </c>
      <c r="M14369" t="s">
        <v>45544</v>
      </c>
      <c r="N14369" t="s">
        <v>47424</v>
      </c>
      <c r="O14369" t="s">
        <v>47425</v>
      </c>
      <c r="P14369">
        <v>0</v>
      </c>
      <c r="Q14369">
        <v>5</v>
      </c>
      <c r="R14369" t="s">
        <v>47446</v>
      </c>
      <c r="S14369" t="s">
        <v>48377</v>
      </c>
      <c r="T14369" t="s">
        <v>49377</v>
      </c>
      <c r="U14369" t="s">
        <v>61349</v>
      </c>
      <c r="W14369" t="s">
        <v>45544</v>
      </c>
      <c r="X14369" t="s">
        <v>47447</v>
      </c>
    </row>
    <row r="14370" spans="1:24">
      <c r="A14370">
        <f>HYPERLINK("https://www.philgeps.gov.ph/GEPSNONPILOT/Tender/SplashBidNoticeAbstractUI.aspx?menuIndex=3&amp;refID=7123235&amp;Result=3","7123235")</f>
        <v>0</v>
      </c>
      <c r="B14370" t="s">
        <v>243</v>
      </c>
      <c r="C14370" t="s">
        <v>17492</v>
      </c>
      <c r="D14370" t="s">
        <v>19074</v>
      </c>
      <c r="E14370" t="s">
        <v>31419</v>
      </c>
      <c r="F14370" t="s">
        <v>32831</v>
      </c>
      <c r="G14370" t="s">
        <v>32839</v>
      </c>
      <c r="H14370" t="s">
        <v>32848</v>
      </c>
      <c r="I14370" t="s">
        <v>7751</v>
      </c>
      <c r="J14370" t="s">
        <v>41754</v>
      </c>
      <c r="K14370" t="s">
        <v>42730</v>
      </c>
      <c r="M14370" t="s">
        <v>43242</v>
      </c>
      <c r="N14370" t="s">
        <v>47424</v>
      </c>
      <c r="O14370" t="s">
        <v>47425</v>
      </c>
      <c r="P14370">
        <v>0</v>
      </c>
      <c r="Q14370">
        <v>6</v>
      </c>
      <c r="R14370" t="s">
        <v>47446</v>
      </c>
      <c r="S14370" t="s">
        <v>48377</v>
      </c>
      <c r="T14370" t="s">
        <v>49239</v>
      </c>
      <c r="U14370" t="s">
        <v>61350</v>
      </c>
      <c r="W14370" t="s">
        <v>43242</v>
      </c>
      <c r="X14370" t="s">
        <v>47447</v>
      </c>
    </row>
    <row r="14371" spans="1:24">
      <c r="A14371">
        <f>HYPERLINK("https://www.philgeps.gov.ph/GEPSNONPILOT/Tender/SplashBidNoticeAbstractUI.aspx?menuIndex=3&amp;refID=7123133&amp;Result=3","7123133")</f>
        <v>0</v>
      </c>
      <c r="B14371" t="s">
        <v>3811</v>
      </c>
      <c r="C14371" t="s">
        <v>17493</v>
      </c>
      <c r="D14371" t="s">
        <v>19099</v>
      </c>
      <c r="E14371" t="s">
        <v>31420</v>
      </c>
      <c r="F14371" t="s">
        <v>32831</v>
      </c>
      <c r="G14371" t="s">
        <v>32839</v>
      </c>
      <c r="H14371" t="s">
        <v>32848</v>
      </c>
      <c r="I14371" t="s">
        <v>7751</v>
      </c>
      <c r="J14371" t="s">
        <v>36801</v>
      </c>
      <c r="K14371" t="s">
        <v>42730</v>
      </c>
      <c r="M14371" t="s">
        <v>47232</v>
      </c>
      <c r="N14371" t="s">
        <v>47424</v>
      </c>
      <c r="O14371" t="s">
        <v>47425</v>
      </c>
      <c r="P14371">
        <v>0</v>
      </c>
      <c r="Q14371">
        <v>4</v>
      </c>
      <c r="R14371" t="s">
        <v>47446</v>
      </c>
      <c r="S14371" t="s">
        <v>48377</v>
      </c>
      <c r="T14371" t="s">
        <v>49166</v>
      </c>
      <c r="U14371" t="s">
        <v>61351</v>
      </c>
      <c r="V14371" t="s">
        <v>62714</v>
      </c>
      <c r="W14371" t="s">
        <v>47232</v>
      </c>
      <c r="X14371" t="s">
        <v>47447</v>
      </c>
    </row>
    <row r="14372" spans="1:24">
      <c r="A14372">
        <f>HYPERLINK("https://www.philgeps.gov.ph/GEPSNONPILOT/Tender/SplashBidNoticeAbstractUI.aspx?menuIndex=3&amp;refID=7123136&amp;Result=3","7123136")</f>
        <v>0</v>
      </c>
      <c r="B14372" t="s">
        <v>672</v>
      </c>
      <c r="C14372" t="s">
        <v>17494</v>
      </c>
      <c r="D14372" t="s">
        <v>19085</v>
      </c>
      <c r="E14372" t="s">
        <v>31421</v>
      </c>
      <c r="F14372" t="s">
        <v>32831</v>
      </c>
      <c r="G14372" t="s">
        <v>32845</v>
      </c>
      <c r="H14372" t="s">
        <v>32849</v>
      </c>
      <c r="I14372" t="s">
        <v>4177</v>
      </c>
      <c r="J14372" t="s">
        <v>41755</v>
      </c>
      <c r="K14372" t="s">
        <v>42943</v>
      </c>
      <c r="M14372" t="s">
        <v>43691</v>
      </c>
      <c r="N14372" t="s">
        <v>47424</v>
      </c>
      <c r="O14372" t="s">
        <v>47425</v>
      </c>
      <c r="P14372">
        <v>0</v>
      </c>
      <c r="Q14372">
        <v>1</v>
      </c>
      <c r="R14372" t="s">
        <v>47446</v>
      </c>
      <c r="S14372" t="s">
        <v>48377</v>
      </c>
      <c r="T14372" t="s">
        <v>49162</v>
      </c>
      <c r="U14372" t="s">
        <v>61352</v>
      </c>
      <c r="W14372" t="s">
        <v>43691</v>
      </c>
      <c r="X14372" t="s">
        <v>47447</v>
      </c>
    </row>
    <row r="14373" spans="1:24">
      <c r="A14373">
        <f>HYPERLINK("https://www.philgeps.gov.ph/GEPSNONPILOT/Tender/SplashBidNoticeAbstractUI.aspx?menuIndex=3&amp;refID=7122261&amp;Result=3","7122261")</f>
        <v>0</v>
      </c>
      <c r="B14373" t="s">
        <v>221</v>
      </c>
      <c r="C14373" t="s">
        <v>17495</v>
      </c>
      <c r="D14373" t="s">
        <v>19022</v>
      </c>
      <c r="E14373" t="s">
        <v>31422</v>
      </c>
      <c r="F14373" t="s">
        <v>32831</v>
      </c>
      <c r="G14373" t="s">
        <v>32845</v>
      </c>
      <c r="H14373" t="s">
        <v>14069</v>
      </c>
      <c r="I14373" t="s">
        <v>14069</v>
      </c>
      <c r="J14373" t="s">
        <v>41756</v>
      </c>
      <c r="K14373" t="s">
        <v>42732</v>
      </c>
      <c r="L14373" t="s">
        <v>221</v>
      </c>
      <c r="M14373" t="s">
        <v>46263</v>
      </c>
      <c r="N14373" t="s">
        <v>47424</v>
      </c>
      <c r="O14373" t="s">
        <v>47425</v>
      </c>
      <c r="Q14373">
        <v>5</v>
      </c>
      <c r="R14373" t="s">
        <v>47446</v>
      </c>
      <c r="S14373" t="s">
        <v>48313</v>
      </c>
      <c r="T14373" t="s">
        <v>49173</v>
      </c>
      <c r="U14373" t="s">
        <v>61353</v>
      </c>
      <c r="W14373" t="s">
        <v>46263</v>
      </c>
      <c r="X14373" t="s">
        <v>47448</v>
      </c>
    </row>
    <row r="14374" spans="1:24">
      <c r="A14374">
        <f>HYPERLINK("https://www.philgeps.gov.ph/GEPSNONPILOT/Tender/SplashBidNoticeAbstractUI.aspx?menuIndex=3&amp;refID=7127647&amp;Result=3","7127647")</f>
        <v>0</v>
      </c>
      <c r="B14374" t="s">
        <v>2039</v>
      </c>
      <c r="C14374" t="s">
        <v>17496</v>
      </c>
      <c r="D14374" t="s">
        <v>19080</v>
      </c>
      <c r="E14374" t="s">
        <v>31423</v>
      </c>
      <c r="F14374" t="s">
        <v>32831</v>
      </c>
      <c r="G14374" t="s">
        <v>32839</v>
      </c>
      <c r="H14374" t="s">
        <v>32849</v>
      </c>
      <c r="I14374" t="s">
        <v>4177</v>
      </c>
      <c r="J14374" t="s">
        <v>33111</v>
      </c>
      <c r="K14374" t="s">
        <v>42763</v>
      </c>
      <c r="M14374" t="s">
        <v>45208</v>
      </c>
      <c r="N14374" t="s">
        <v>47424</v>
      </c>
      <c r="O14374" t="s">
        <v>47425</v>
      </c>
      <c r="P14374">
        <v>0</v>
      </c>
      <c r="Q14374">
        <v>0</v>
      </c>
      <c r="R14374" t="s">
        <v>47445</v>
      </c>
      <c r="S14374" t="s">
        <v>48250</v>
      </c>
      <c r="T14374" t="s">
        <v>49162</v>
      </c>
      <c r="U14374" t="s">
        <v>61354</v>
      </c>
      <c r="W14374" t="s">
        <v>45208</v>
      </c>
      <c r="X14374" t="s">
        <v>47446</v>
      </c>
    </row>
    <row r="14375" spans="1:24">
      <c r="A14375">
        <f>HYPERLINK("https://www.philgeps.gov.ph/GEPSNONPILOT/Tender/SplashBidNoticeAbstractUI.aspx?menuIndex=3&amp;refID=7123269&amp;Result=3","7123269")</f>
        <v>0</v>
      </c>
      <c r="B14375" t="s">
        <v>3812</v>
      </c>
      <c r="C14375" t="s">
        <v>17497</v>
      </c>
      <c r="D14375" t="s">
        <v>19074</v>
      </c>
      <c r="E14375" t="s">
        <v>31424</v>
      </c>
      <c r="F14375" t="s">
        <v>32831</v>
      </c>
      <c r="G14375" t="s">
        <v>32839</v>
      </c>
      <c r="H14375" t="s">
        <v>32849</v>
      </c>
      <c r="I14375" t="s">
        <v>4177</v>
      </c>
      <c r="J14375" t="s">
        <v>33118</v>
      </c>
      <c r="K14375" t="s">
        <v>42839</v>
      </c>
      <c r="M14375" t="s">
        <v>47233</v>
      </c>
      <c r="N14375" t="s">
        <v>47424</v>
      </c>
      <c r="O14375" t="s">
        <v>47425</v>
      </c>
      <c r="P14375">
        <v>0</v>
      </c>
      <c r="Q14375">
        <v>1</v>
      </c>
      <c r="R14375" t="s">
        <v>47446</v>
      </c>
      <c r="S14375" t="s">
        <v>48377</v>
      </c>
      <c r="T14375" t="s">
        <v>49068</v>
      </c>
      <c r="U14375" t="s">
        <v>61355</v>
      </c>
      <c r="V14375" t="s">
        <v>64264</v>
      </c>
      <c r="W14375" t="s">
        <v>47233</v>
      </c>
      <c r="X14375" t="s">
        <v>47447</v>
      </c>
    </row>
    <row r="14376" spans="1:24">
      <c r="A14376">
        <f>HYPERLINK("https://www.philgeps.gov.ph/GEPSNONPILOT/Tender/SplashBidNoticeAbstractUI.aspx?menuIndex=3&amp;refID=7122087&amp;Result=3","7122087")</f>
        <v>0</v>
      </c>
      <c r="B14376" t="s">
        <v>3813</v>
      </c>
      <c r="C14376" t="s">
        <v>17498</v>
      </c>
      <c r="D14376" t="s">
        <v>19059</v>
      </c>
      <c r="E14376" t="s">
        <v>31425</v>
      </c>
      <c r="F14376" t="s">
        <v>32831</v>
      </c>
      <c r="G14376" t="s">
        <v>32839</v>
      </c>
      <c r="H14376" t="s">
        <v>32849</v>
      </c>
      <c r="I14376" t="s">
        <v>4177</v>
      </c>
      <c r="J14376" t="s">
        <v>32983</v>
      </c>
      <c r="K14376" t="s">
        <v>42729</v>
      </c>
      <c r="M14376" t="s">
        <v>47234</v>
      </c>
      <c r="N14376" t="s">
        <v>47424</v>
      </c>
      <c r="O14376" t="s">
        <v>47425</v>
      </c>
      <c r="P14376">
        <v>0</v>
      </c>
      <c r="Q14376">
        <v>4</v>
      </c>
      <c r="R14376" t="s">
        <v>47446</v>
      </c>
      <c r="S14376" t="s">
        <v>48377</v>
      </c>
      <c r="T14376" t="s">
        <v>49114</v>
      </c>
      <c r="U14376" t="s">
        <v>61356</v>
      </c>
      <c r="W14376" t="s">
        <v>47234</v>
      </c>
      <c r="X14376" t="s">
        <v>47448</v>
      </c>
    </row>
    <row r="14377" spans="1:24">
      <c r="A14377">
        <f>HYPERLINK("https://www.philgeps.gov.ph/GEPSNONPILOT/Tender/SplashBidNoticeAbstractUI.aspx?menuIndex=3&amp;refID=7121498&amp;Result=3","7121498")</f>
        <v>0</v>
      </c>
      <c r="B14377" t="s">
        <v>1597</v>
      </c>
      <c r="C14377" t="s">
        <v>17499</v>
      </c>
      <c r="D14377" t="s">
        <v>19031</v>
      </c>
      <c r="E14377" t="s">
        <v>31426</v>
      </c>
      <c r="F14377" t="s">
        <v>32831</v>
      </c>
      <c r="G14377" t="s">
        <v>32839</v>
      </c>
      <c r="H14377" t="s">
        <v>32848</v>
      </c>
      <c r="I14377" t="s">
        <v>32870</v>
      </c>
      <c r="J14377" t="s">
        <v>41757</v>
      </c>
      <c r="K14377" t="s">
        <v>42729</v>
      </c>
      <c r="M14377" t="s">
        <v>44719</v>
      </c>
      <c r="N14377" t="s">
        <v>47424</v>
      </c>
      <c r="O14377" t="s">
        <v>47425</v>
      </c>
      <c r="P14377">
        <v>0</v>
      </c>
      <c r="Q14377">
        <v>0</v>
      </c>
      <c r="R14377" t="s">
        <v>47446</v>
      </c>
      <c r="S14377" t="s">
        <v>48377</v>
      </c>
      <c r="T14377" t="s">
        <v>49108</v>
      </c>
      <c r="U14377" t="s">
        <v>61357</v>
      </c>
      <c r="V14377" t="s">
        <v>63051</v>
      </c>
      <c r="W14377" t="s">
        <v>44719</v>
      </c>
      <c r="X14377" t="s">
        <v>47448</v>
      </c>
    </row>
    <row r="14378" spans="1:24">
      <c r="A14378">
        <f>HYPERLINK("https://www.philgeps.gov.ph/GEPSNONPILOT/Tender/SplashBidNoticeAbstractUI.aspx?menuIndex=3&amp;refID=7121278&amp;Result=3","7121278")</f>
        <v>0</v>
      </c>
      <c r="B14378" t="s">
        <v>1597</v>
      </c>
      <c r="C14378" t="s">
        <v>17500</v>
      </c>
      <c r="D14378" t="s">
        <v>19031</v>
      </c>
      <c r="E14378" t="s">
        <v>31427</v>
      </c>
      <c r="F14378" t="s">
        <v>32831</v>
      </c>
      <c r="G14378" t="s">
        <v>32839</v>
      </c>
      <c r="H14378" t="s">
        <v>32848</v>
      </c>
      <c r="I14378" t="s">
        <v>32870</v>
      </c>
      <c r="J14378" t="s">
        <v>41758</v>
      </c>
      <c r="K14378" t="s">
        <v>42727</v>
      </c>
      <c r="M14378" t="s">
        <v>44719</v>
      </c>
      <c r="N14378" t="s">
        <v>47424</v>
      </c>
      <c r="O14378" t="s">
        <v>47425</v>
      </c>
      <c r="P14378">
        <v>0</v>
      </c>
      <c r="Q14378">
        <v>2</v>
      </c>
      <c r="R14378" t="s">
        <v>47446</v>
      </c>
      <c r="S14378" t="s">
        <v>48377</v>
      </c>
      <c r="T14378" t="s">
        <v>49108</v>
      </c>
      <c r="U14378" t="s">
        <v>61358</v>
      </c>
      <c r="V14378" t="s">
        <v>63051</v>
      </c>
      <c r="W14378" t="s">
        <v>44719</v>
      </c>
      <c r="X14378" t="s">
        <v>47448</v>
      </c>
    </row>
    <row r="14379" spans="1:24">
      <c r="A14379">
        <f>HYPERLINK("https://www.philgeps.gov.ph/GEPSNONPILOT/Tender/SplashBidNoticeAbstractUI.aspx?menuIndex=3&amp;refID=7121524&amp;Result=3","7121524")</f>
        <v>0</v>
      </c>
      <c r="B14379" t="s">
        <v>1597</v>
      </c>
      <c r="C14379" t="s">
        <v>17501</v>
      </c>
      <c r="D14379" t="s">
        <v>19031</v>
      </c>
      <c r="E14379" t="s">
        <v>31428</v>
      </c>
      <c r="F14379" t="s">
        <v>32831</v>
      </c>
      <c r="G14379" t="s">
        <v>32839</v>
      </c>
      <c r="H14379" t="s">
        <v>32848</v>
      </c>
      <c r="I14379" t="s">
        <v>32870</v>
      </c>
      <c r="J14379" t="s">
        <v>41759</v>
      </c>
      <c r="K14379" t="s">
        <v>42746</v>
      </c>
      <c r="M14379" t="s">
        <v>44719</v>
      </c>
      <c r="N14379" t="s">
        <v>47424</v>
      </c>
      <c r="O14379" t="s">
        <v>47425</v>
      </c>
      <c r="P14379">
        <v>0</v>
      </c>
      <c r="Q14379">
        <v>0</v>
      </c>
      <c r="R14379" t="s">
        <v>47446</v>
      </c>
      <c r="S14379" t="s">
        <v>48377</v>
      </c>
      <c r="T14379" t="s">
        <v>49108</v>
      </c>
      <c r="U14379" t="s">
        <v>61357</v>
      </c>
      <c r="V14379" t="s">
        <v>63051</v>
      </c>
      <c r="W14379" t="s">
        <v>44719</v>
      </c>
      <c r="X14379" t="s">
        <v>47448</v>
      </c>
    </row>
    <row r="14380" spans="1:24">
      <c r="A14380">
        <f>HYPERLINK("https://www.philgeps.gov.ph/GEPSNONPILOT/Tender/SplashBidNoticeAbstractUI.aspx?menuIndex=3&amp;refID=7122288&amp;Result=3","7122288")</f>
        <v>0</v>
      </c>
      <c r="B14380" t="s">
        <v>221</v>
      </c>
      <c r="C14380" t="s">
        <v>17502</v>
      </c>
      <c r="D14380" t="s">
        <v>19022</v>
      </c>
      <c r="E14380" t="s">
        <v>31429</v>
      </c>
      <c r="F14380" t="s">
        <v>32831</v>
      </c>
      <c r="G14380" t="s">
        <v>32845</v>
      </c>
      <c r="H14380" t="s">
        <v>14069</v>
      </c>
      <c r="I14380" t="s">
        <v>14069</v>
      </c>
      <c r="J14380" t="s">
        <v>41760</v>
      </c>
      <c r="K14380" t="s">
        <v>42732</v>
      </c>
      <c r="L14380" t="s">
        <v>221</v>
      </c>
      <c r="M14380" t="s">
        <v>46263</v>
      </c>
      <c r="N14380" t="s">
        <v>47424</v>
      </c>
      <c r="O14380" t="s">
        <v>47425</v>
      </c>
      <c r="Q14380">
        <v>5</v>
      </c>
      <c r="R14380" t="s">
        <v>47446</v>
      </c>
      <c r="S14380" t="s">
        <v>48398</v>
      </c>
      <c r="T14380" t="s">
        <v>49173</v>
      </c>
      <c r="U14380" t="s">
        <v>61359</v>
      </c>
      <c r="W14380" t="s">
        <v>46263</v>
      </c>
      <c r="X14380" t="s">
        <v>47448</v>
      </c>
    </row>
    <row r="14381" spans="1:24">
      <c r="A14381">
        <f>HYPERLINK("https://www.philgeps.gov.ph/GEPSNONPILOT/Tender/SplashBidNoticeAbstractUI.aspx?menuIndex=3&amp;refID=7127329&amp;Result=3","7127329")</f>
        <v>0</v>
      </c>
      <c r="B14381" t="s">
        <v>618</v>
      </c>
      <c r="C14381" t="s">
        <v>17503</v>
      </c>
      <c r="D14381" t="s">
        <v>19084</v>
      </c>
      <c r="E14381" t="s">
        <v>31430</v>
      </c>
      <c r="F14381" t="s">
        <v>32831</v>
      </c>
      <c r="G14381" t="s">
        <v>32839</v>
      </c>
      <c r="H14381" t="s">
        <v>32849</v>
      </c>
      <c r="I14381" t="s">
        <v>4177</v>
      </c>
      <c r="J14381" t="s">
        <v>41187</v>
      </c>
      <c r="K14381" t="s">
        <v>42780</v>
      </c>
      <c r="M14381" t="s">
        <v>43634</v>
      </c>
      <c r="N14381" t="s">
        <v>47424</v>
      </c>
      <c r="O14381" t="s">
        <v>47425</v>
      </c>
      <c r="Q14381">
        <v>9</v>
      </c>
      <c r="R14381" t="s">
        <v>47445</v>
      </c>
      <c r="S14381" t="s">
        <v>48399</v>
      </c>
      <c r="T14381" t="s">
        <v>49056</v>
      </c>
      <c r="U14381" t="s">
        <v>61360</v>
      </c>
      <c r="V14381" t="s">
        <v>64265</v>
      </c>
      <c r="W14381" t="s">
        <v>43634</v>
      </c>
      <c r="X14381" t="s">
        <v>47446</v>
      </c>
    </row>
    <row r="14382" spans="1:24">
      <c r="A14382">
        <f>HYPERLINK("https://www.philgeps.gov.ph/GEPSNONPILOT/Tender/SplashBidNoticeAbstractUI.aspx?menuIndex=3&amp;refID=7121611&amp;Result=3","7121611")</f>
        <v>0</v>
      </c>
      <c r="B14382" t="s">
        <v>1221</v>
      </c>
      <c r="C14382" t="s">
        <v>17504</v>
      </c>
      <c r="E14382" t="s">
        <v>31431</v>
      </c>
      <c r="F14382" t="s">
        <v>32831</v>
      </c>
      <c r="G14382" t="s">
        <v>32839</v>
      </c>
      <c r="H14382" t="s">
        <v>32849</v>
      </c>
      <c r="I14382" t="s">
        <v>4177</v>
      </c>
      <c r="J14382" t="s">
        <v>41761</v>
      </c>
      <c r="K14382" t="s">
        <v>42732</v>
      </c>
      <c r="M14382" t="s">
        <v>44289</v>
      </c>
      <c r="N14382" t="s">
        <v>47424</v>
      </c>
      <c r="O14382" t="s">
        <v>47425</v>
      </c>
      <c r="P14382">
        <v>0</v>
      </c>
      <c r="Q14382">
        <v>13</v>
      </c>
      <c r="R14382" t="s">
        <v>47446</v>
      </c>
      <c r="S14382" t="s">
        <v>48377</v>
      </c>
      <c r="T14382" t="s">
        <v>49328</v>
      </c>
      <c r="U14382" t="s">
        <v>61361</v>
      </c>
      <c r="V14382" t="s">
        <v>64266</v>
      </c>
      <c r="W14382" t="s">
        <v>44289</v>
      </c>
      <c r="X14382" t="s">
        <v>47448</v>
      </c>
    </row>
    <row r="14383" spans="1:24">
      <c r="A14383">
        <f>HYPERLINK("https://www.philgeps.gov.ph/GEPSNONPILOT/Tender/SplashBidNoticeAbstractUI.aspx?menuIndex=3&amp;refID=7125701&amp;Result=3","7125701")</f>
        <v>0</v>
      </c>
      <c r="B14383" t="s">
        <v>3586</v>
      </c>
      <c r="C14383" t="s">
        <v>17505</v>
      </c>
      <c r="D14383" t="s">
        <v>19094</v>
      </c>
      <c r="E14383" t="s">
        <v>31432</v>
      </c>
      <c r="F14383" t="s">
        <v>32831</v>
      </c>
      <c r="G14383" t="s">
        <v>32839</v>
      </c>
      <c r="H14383" t="s">
        <v>32849</v>
      </c>
      <c r="I14383" t="s">
        <v>4177</v>
      </c>
      <c r="J14383" t="s">
        <v>33016</v>
      </c>
      <c r="K14383" t="s">
        <v>42912</v>
      </c>
      <c r="M14383" t="s">
        <v>46950</v>
      </c>
      <c r="N14383" t="s">
        <v>47424</v>
      </c>
      <c r="O14383" t="s">
        <v>47425</v>
      </c>
      <c r="Q14383">
        <v>1</v>
      </c>
      <c r="R14383" t="s">
        <v>47445</v>
      </c>
      <c r="S14383" t="s">
        <v>48400</v>
      </c>
      <c r="T14383" t="s">
        <v>49141</v>
      </c>
      <c r="U14383" t="s">
        <v>61362</v>
      </c>
      <c r="W14383" t="s">
        <v>46950</v>
      </c>
      <c r="X14383" t="s">
        <v>47447</v>
      </c>
    </row>
    <row r="14384" spans="1:24">
      <c r="A14384">
        <f>HYPERLINK("https://www.philgeps.gov.ph/GEPSNONPILOT/Tender/SplashBidNoticeAbstractUI.aspx?menuIndex=3&amp;refID=7125752&amp;Result=3","7125752")</f>
        <v>0</v>
      </c>
      <c r="B14384" t="s">
        <v>3814</v>
      </c>
      <c r="C14384" t="s">
        <v>17506</v>
      </c>
      <c r="D14384" t="s">
        <v>19064</v>
      </c>
      <c r="E14384" t="s">
        <v>24188</v>
      </c>
      <c r="F14384" t="s">
        <v>32831</v>
      </c>
      <c r="G14384" t="s">
        <v>32845</v>
      </c>
      <c r="H14384" t="s">
        <v>32848</v>
      </c>
      <c r="I14384" t="s">
        <v>32883</v>
      </c>
      <c r="J14384" t="s">
        <v>41762</v>
      </c>
      <c r="K14384" t="s">
        <v>42730</v>
      </c>
      <c r="M14384" t="s">
        <v>47235</v>
      </c>
      <c r="N14384" t="s">
        <v>47424</v>
      </c>
      <c r="O14384" t="s">
        <v>47425</v>
      </c>
      <c r="P14384">
        <v>0</v>
      </c>
      <c r="Q14384">
        <v>7</v>
      </c>
      <c r="R14384" t="s">
        <v>47445</v>
      </c>
      <c r="S14384" t="s">
        <v>48250</v>
      </c>
      <c r="T14384" t="s">
        <v>49056</v>
      </c>
      <c r="U14384" t="s">
        <v>61363</v>
      </c>
      <c r="W14384" t="s">
        <v>47235</v>
      </c>
      <c r="X14384" t="s">
        <v>47447</v>
      </c>
    </row>
    <row r="14385" spans="1:24">
      <c r="A14385">
        <f>HYPERLINK("https://www.philgeps.gov.ph/GEPSNONPILOT/Tender/SplashBidNoticeAbstractUI.aspx?menuIndex=3&amp;refID=7125638&amp;Result=3","7125638")</f>
        <v>0</v>
      </c>
      <c r="B14385" t="s">
        <v>3815</v>
      </c>
      <c r="C14385" t="s">
        <v>17507</v>
      </c>
      <c r="D14385" t="s">
        <v>19027</v>
      </c>
      <c r="E14385" t="s">
        <v>31433</v>
      </c>
      <c r="F14385" t="s">
        <v>32831</v>
      </c>
      <c r="G14385" t="s">
        <v>32839</v>
      </c>
      <c r="H14385" t="s">
        <v>32848</v>
      </c>
      <c r="I14385" t="s">
        <v>32914</v>
      </c>
      <c r="J14385" t="s">
        <v>41763</v>
      </c>
      <c r="K14385" t="s">
        <v>42729</v>
      </c>
      <c r="M14385" t="s">
        <v>47236</v>
      </c>
      <c r="N14385" t="s">
        <v>47424</v>
      </c>
      <c r="O14385" t="s">
        <v>47425</v>
      </c>
      <c r="P14385">
        <v>0</v>
      </c>
      <c r="Q14385">
        <v>10</v>
      </c>
      <c r="R14385" t="s">
        <v>47445</v>
      </c>
      <c r="S14385" t="s">
        <v>48250</v>
      </c>
      <c r="T14385" t="s">
        <v>49091</v>
      </c>
      <c r="U14385" t="s">
        <v>61364</v>
      </c>
      <c r="W14385" t="s">
        <v>47236</v>
      </c>
      <c r="X14385" t="s">
        <v>47447</v>
      </c>
    </row>
    <row r="14386" spans="1:24">
      <c r="A14386">
        <f>HYPERLINK("https://www.philgeps.gov.ph/GEPSNONPILOT/Tender/SplashBidNoticeAbstractUI.aspx?menuIndex=3&amp;refID=7122218&amp;Result=3","7122218")</f>
        <v>0</v>
      </c>
      <c r="B14386" t="s">
        <v>221</v>
      </c>
      <c r="C14386" t="s">
        <v>17508</v>
      </c>
      <c r="D14386" t="s">
        <v>19022</v>
      </c>
      <c r="E14386" t="s">
        <v>31434</v>
      </c>
      <c r="F14386" t="s">
        <v>32831</v>
      </c>
      <c r="G14386" t="s">
        <v>32845</v>
      </c>
      <c r="H14386" t="s">
        <v>14069</v>
      </c>
      <c r="I14386" t="s">
        <v>14069</v>
      </c>
      <c r="J14386" t="s">
        <v>40349</v>
      </c>
      <c r="K14386" t="s">
        <v>42732</v>
      </c>
      <c r="L14386" t="s">
        <v>221</v>
      </c>
      <c r="M14386" t="s">
        <v>46263</v>
      </c>
      <c r="N14386" t="s">
        <v>47424</v>
      </c>
      <c r="O14386" t="s">
        <v>47425</v>
      </c>
      <c r="Q14386">
        <v>5</v>
      </c>
      <c r="R14386" t="s">
        <v>47446</v>
      </c>
      <c r="S14386" t="s">
        <v>48401</v>
      </c>
      <c r="T14386" t="s">
        <v>49173</v>
      </c>
      <c r="U14386" t="s">
        <v>61365</v>
      </c>
      <c r="W14386" t="s">
        <v>46263</v>
      </c>
      <c r="X14386" t="s">
        <v>47448</v>
      </c>
    </row>
    <row r="14387" spans="1:24">
      <c r="A14387">
        <f>HYPERLINK("https://www.philgeps.gov.ph/GEPSNONPILOT/Tender/SplashBidNoticeAbstractUI.aspx?menuIndex=3&amp;refID=7126917&amp;Result=3","7126917")</f>
        <v>0</v>
      </c>
      <c r="B14387" t="s">
        <v>834</v>
      </c>
      <c r="C14387" t="s">
        <v>17509</v>
      </c>
      <c r="D14387" t="s">
        <v>19046</v>
      </c>
      <c r="E14387" t="s">
        <v>31435</v>
      </c>
      <c r="F14387" t="s">
        <v>32831</v>
      </c>
      <c r="G14387" t="s">
        <v>32839</v>
      </c>
      <c r="H14387" t="s">
        <v>32849</v>
      </c>
      <c r="I14387" t="s">
        <v>4177</v>
      </c>
      <c r="J14387" t="s">
        <v>41764</v>
      </c>
      <c r="K14387" t="s">
        <v>42732</v>
      </c>
      <c r="M14387" t="s">
        <v>43866</v>
      </c>
      <c r="N14387" t="s">
        <v>47424</v>
      </c>
      <c r="O14387" t="s">
        <v>47425</v>
      </c>
      <c r="P14387">
        <v>0</v>
      </c>
      <c r="Q14387">
        <v>2</v>
      </c>
      <c r="R14387" t="s">
        <v>47445</v>
      </c>
      <c r="S14387" t="s">
        <v>48250</v>
      </c>
      <c r="T14387" t="s">
        <v>49239</v>
      </c>
      <c r="U14387" t="s">
        <v>61366</v>
      </c>
      <c r="W14387" t="s">
        <v>43866</v>
      </c>
      <c r="X14387" t="s">
        <v>47446</v>
      </c>
    </row>
    <row r="14388" spans="1:24">
      <c r="A14388">
        <f>HYPERLINK("https://www.philgeps.gov.ph/GEPSNONPILOT/Tender/SplashBidNoticeAbstractUI.aspx?menuIndex=3&amp;refID=7125576&amp;Result=3","7125576")</f>
        <v>0</v>
      </c>
      <c r="B14388" t="s">
        <v>236</v>
      </c>
      <c r="C14388" t="s">
        <v>17510</v>
      </c>
      <c r="D14388" t="s">
        <v>19074</v>
      </c>
      <c r="E14388" t="s">
        <v>31436</v>
      </c>
      <c r="F14388" t="s">
        <v>32831</v>
      </c>
      <c r="G14388" t="s">
        <v>32839</v>
      </c>
      <c r="H14388" t="s">
        <v>32849</v>
      </c>
      <c r="I14388" t="s">
        <v>4177</v>
      </c>
      <c r="J14388" t="s">
        <v>38388</v>
      </c>
      <c r="K14388" t="s">
        <v>42809</v>
      </c>
      <c r="M14388" t="s">
        <v>43235</v>
      </c>
      <c r="N14388" t="s">
        <v>47424</v>
      </c>
      <c r="O14388" t="s">
        <v>47425</v>
      </c>
      <c r="P14388">
        <v>0</v>
      </c>
      <c r="Q14388">
        <v>0</v>
      </c>
      <c r="R14388" t="s">
        <v>47445</v>
      </c>
      <c r="S14388" t="s">
        <v>48250</v>
      </c>
      <c r="T14388" t="s">
        <v>49237</v>
      </c>
      <c r="U14388" t="s">
        <v>50066</v>
      </c>
      <c r="W14388" t="s">
        <v>43235</v>
      </c>
      <c r="X14388" t="s">
        <v>47447</v>
      </c>
    </row>
    <row r="14389" spans="1:24">
      <c r="A14389">
        <f>HYPERLINK("https://www.philgeps.gov.ph/GEPSNONPILOT/Tender/SplashBidNoticeAbstractUI.aspx?menuIndex=3&amp;refID=7125611&amp;Result=3","7125611")</f>
        <v>0</v>
      </c>
      <c r="B14389" t="s">
        <v>34</v>
      </c>
      <c r="C14389" t="s">
        <v>17511</v>
      </c>
      <c r="E14389" t="s">
        <v>31437</v>
      </c>
      <c r="F14389" t="s">
        <v>32831</v>
      </c>
      <c r="G14389" t="s">
        <v>32839</v>
      </c>
      <c r="H14389" t="s">
        <v>32849</v>
      </c>
      <c r="I14389" t="s">
        <v>4177</v>
      </c>
      <c r="J14389" t="s">
        <v>41765</v>
      </c>
      <c r="K14389" t="s">
        <v>42853</v>
      </c>
      <c r="M14389" t="s">
        <v>44653</v>
      </c>
      <c r="N14389" t="s">
        <v>47424</v>
      </c>
      <c r="O14389" t="s">
        <v>47425</v>
      </c>
      <c r="P14389">
        <v>0</v>
      </c>
      <c r="Q14389">
        <v>0</v>
      </c>
      <c r="R14389" t="s">
        <v>47445</v>
      </c>
      <c r="S14389" t="s">
        <v>48250</v>
      </c>
      <c r="T14389" t="s">
        <v>49127</v>
      </c>
      <c r="U14389" t="s">
        <v>61367</v>
      </c>
      <c r="W14389" t="s">
        <v>44653</v>
      </c>
      <c r="X14389" t="s">
        <v>47447</v>
      </c>
    </row>
    <row r="14390" spans="1:24">
      <c r="A14390">
        <f>HYPERLINK("https://www.philgeps.gov.ph/GEPSNONPILOT/Tender/SplashBidNoticeAbstractUI.aspx?menuIndex=3&amp;refID=7132645&amp;Result=3","7132645")</f>
        <v>0</v>
      </c>
      <c r="B14390" t="s">
        <v>1261</v>
      </c>
      <c r="C14390" t="s">
        <v>17512</v>
      </c>
      <c r="D14390" t="s">
        <v>19040</v>
      </c>
      <c r="E14390" t="s">
        <v>31438</v>
      </c>
      <c r="F14390" t="s">
        <v>32831</v>
      </c>
      <c r="G14390" t="s">
        <v>32839</v>
      </c>
      <c r="H14390" t="s">
        <v>32848</v>
      </c>
      <c r="I14390" t="s">
        <v>4776</v>
      </c>
      <c r="J14390" t="s">
        <v>33626</v>
      </c>
      <c r="K14390" t="s">
        <v>42730</v>
      </c>
      <c r="M14390" t="s">
        <v>44331</v>
      </c>
      <c r="N14390" t="s">
        <v>47424</v>
      </c>
      <c r="O14390" t="s">
        <v>47425</v>
      </c>
      <c r="P14390">
        <v>0</v>
      </c>
      <c r="Q14390">
        <v>0</v>
      </c>
      <c r="R14390" t="s">
        <v>47444</v>
      </c>
      <c r="S14390" t="s">
        <v>48135</v>
      </c>
      <c r="T14390" t="s">
        <v>49159</v>
      </c>
      <c r="U14390" t="s">
        <v>61368</v>
      </c>
      <c r="W14390" t="s">
        <v>44331</v>
      </c>
      <c r="X14390" t="s">
        <v>47445</v>
      </c>
    </row>
    <row r="14391" spans="1:24">
      <c r="A14391">
        <f>HYPERLINK("https://www.philgeps.gov.ph/GEPSNONPILOT/Tender/SplashBidNoticeAbstractUI.aspx?menuIndex=3&amp;refID=7132636&amp;Result=3","7132636")</f>
        <v>0</v>
      </c>
      <c r="B14391" t="s">
        <v>3766</v>
      </c>
      <c r="C14391" t="s">
        <v>17513</v>
      </c>
      <c r="D14391" t="s">
        <v>19066</v>
      </c>
      <c r="E14391" t="s">
        <v>31439</v>
      </c>
      <c r="F14391" t="s">
        <v>32831</v>
      </c>
      <c r="G14391" t="s">
        <v>32839</v>
      </c>
      <c r="H14391" t="s">
        <v>32848</v>
      </c>
      <c r="I14391" t="s">
        <v>32870</v>
      </c>
      <c r="J14391" t="s">
        <v>41766</v>
      </c>
      <c r="K14391" t="s">
        <v>42730</v>
      </c>
      <c r="M14391" t="s">
        <v>47166</v>
      </c>
      <c r="N14391" t="s">
        <v>47424</v>
      </c>
      <c r="O14391" t="s">
        <v>47425</v>
      </c>
      <c r="P14391">
        <v>0</v>
      </c>
      <c r="Q14391">
        <v>0</v>
      </c>
      <c r="R14391" t="s">
        <v>47444</v>
      </c>
      <c r="S14391" t="s">
        <v>48135</v>
      </c>
      <c r="T14391" t="s">
        <v>49127</v>
      </c>
      <c r="U14391" t="s">
        <v>60952</v>
      </c>
      <c r="V14391" t="s">
        <v>64189</v>
      </c>
      <c r="W14391" t="s">
        <v>47166</v>
      </c>
      <c r="X14391" t="s">
        <v>47445</v>
      </c>
    </row>
    <row r="14392" spans="1:24">
      <c r="A14392">
        <f>HYPERLINK("https://www.philgeps.gov.ph/GEPSNONPILOT/Tender/SplashBidNoticeAbstractUI.aspx?menuIndex=3&amp;refID=7132632&amp;Result=3","7132632")</f>
        <v>0</v>
      </c>
      <c r="B14392" t="s">
        <v>3816</v>
      </c>
      <c r="C14392" t="s">
        <v>17514</v>
      </c>
      <c r="D14392" t="s">
        <v>19104</v>
      </c>
      <c r="E14392" t="s">
        <v>31440</v>
      </c>
      <c r="F14392" t="s">
        <v>32831</v>
      </c>
      <c r="G14392" t="s">
        <v>32839</v>
      </c>
      <c r="H14392" t="s">
        <v>32849</v>
      </c>
      <c r="I14392" t="s">
        <v>7416</v>
      </c>
      <c r="J14392" t="s">
        <v>41767</v>
      </c>
      <c r="K14392" t="s">
        <v>42766</v>
      </c>
      <c r="L14392" t="s">
        <v>3816</v>
      </c>
      <c r="M14392" t="s">
        <v>47237</v>
      </c>
      <c r="N14392" t="s">
        <v>47424</v>
      </c>
      <c r="O14392" t="s">
        <v>47425</v>
      </c>
      <c r="P14392">
        <v>0</v>
      </c>
      <c r="Q14392">
        <v>0</v>
      </c>
      <c r="R14392" t="s">
        <v>47444</v>
      </c>
      <c r="S14392" t="s">
        <v>48135</v>
      </c>
      <c r="T14392" t="s">
        <v>49214</v>
      </c>
      <c r="U14392" t="s">
        <v>61369</v>
      </c>
      <c r="W14392" t="s">
        <v>47237</v>
      </c>
      <c r="X14392" t="s">
        <v>47445</v>
      </c>
    </row>
    <row r="14393" spans="1:24">
      <c r="A14393">
        <f>HYPERLINK("https://www.philgeps.gov.ph/GEPSNONPILOT/Tender/SplashBidNoticeAbstractUI.aspx?menuIndex=3&amp;refID=7124485&amp;Result=3","7124485")</f>
        <v>0</v>
      </c>
      <c r="B14393" t="s">
        <v>1441</v>
      </c>
      <c r="C14393" t="s">
        <v>17515</v>
      </c>
      <c r="E14393" t="s">
        <v>31441</v>
      </c>
      <c r="F14393" t="s">
        <v>32831</v>
      </c>
      <c r="G14393" t="s">
        <v>32839</v>
      </c>
      <c r="H14393" t="s">
        <v>32849</v>
      </c>
      <c r="I14393" t="s">
        <v>32852</v>
      </c>
      <c r="J14393" t="s">
        <v>41768</v>
      </c>
      <c r="K14393" t="s">
        <v>42729</v>
      </c>
      <c r="M14393" t="s">
        <v>44533</v>
      </c>
      <c r="N14393" t="s">
        <v>47424</v>
      </c>
      <c r="O14393" t="s">
        <v>47425</v>
      </c>
      <c r="Q14393">
        <v>1</v>
      </c>
      <c r="R14393" t="s">
        <v>47445</v>
      </c>
      <c r="S14393" t="s">
        <v>48402</v>
      </c>
      <c r="T14393" t="s">
        <v>49066</v>
      </c>
      <c r="U14393" t="s">
        <v>61370</v>
      </c>
      <c r="W14393" t="s">
        <v>44533</v>
      </c>
      <c r="X14393" t="s">
        <v>47447</v>
      </c>
    </row>
    <row r="14394" spans="1:24">
      <c r="A14394">
        <f>HYPERLINK("https://www.philgeps.gov.ph/GEPSNONPILOT/Tender/SplashBidNoticeAbstractUI.aspx?menuIndex=3&amp;refID=7132642&amp;Result=3","7132642")</f>
        <v>0</v>
      </c>
      <c r="B14394" t="s">
        <v>3766</v>
      </c>
      <c r="C14394" t="s">
        <v>17516</v>
      </c>
      <c r="D14394" t="s">
        <v>19066</v>
      </c>
      <c r="E14394" t="s">
        <v>31442</v>
      </c>
      <c r="F14394" t="s">
        <v>32831</v>
      </c>
      <c r="G14394" t="s">
        <v>32839</v>
      </c>
      <c r="H14394" t="s">
        <v>32848</v>
      </c>
      <c r="I14394" t="s">
        <v>32870</v>
      </c>
      <c r="J14394" t="s">
        <v>41766</v>
      </c>
      <c r="K14394" t="s">
        <v>42730</v>
      </c>
      <c r="M14394" t="s">
        <v>47166</v>
      </c>
      <c r="N14394" t="s">
        <v>47424</v>
      </c>
      <c r="O14394" t="s">
        <v>47425</v>
      </c>
      <c r="P14394">
        <v>0</v>
      </c>
      <c r="Q14394">
        <v>0</v>
      </c>
      <c r="R14394" t="s">
        <v>47444</v>
      </c>
      <c r="S14394" t="s">
        <v>48135</v>
      </c>
      <c r="T14394" t="s">
        <v>49127</v>
      </c>
      <c r="U14394" t="s">
        <v>60952</v>
      </c>
      <c r="V14394" t="s">
        <v>64189</v>
      </c>
      <c r="W14394" t="s">
        <v>47166</v>
      </c>
      <c r="X14394" t="s">
        <v>47445</v>
      </c>
    </row>
    <row r="14395" spans="1:24">
      <c r="A14395">
        <f>HYPERLINK("https://www.philgeps.gov.ph/GEPSNONPILOT/Tender/SplashBidNoticeAbstractUI.aspx?menuIndex=3&amp;refID=7132581&amp;Result=3","7132581")</f>
        <v>0</v>
      </c>
      <c r="B14395" t="s">
        <v>960</v>
      </c>
      <c r="C14395" t="s">
        <v>17517</v>
      </c>
      <c r="D14395" t="s">
        <v>19017</v>
      </c>
      <c r="E14395" t="s">
        <v>31443</v>
      </c>
      <c r="F14395" t="s">
        <v>32831</v>
      </c>
      <c r="G14395" t="s">
        <v>32839</v>
      </c>
      <c r="H14395" t="s">
        <v>32848</v>
      </c>
      <c r="I14395" t="s">
        <v>32856</v>
      </c>
      <c r="J14395" t="s">
        <v>41769</v>
      </c>
      <c r="K14395" t="s">
        <v>42770</v>
      </c>
      <c r="M14395" t="s">
        <v>47238</v>
      </c>
      <c r="N14395" t="s">
        <v>47424</v>
      </c>
      <c r="O14395" t="s">
        <v>47425</v>
      </c>
      <c r="Q14395">
        <v>16</v>
      </c>
      <c r="R14395" t="s">
        <v>47444</v>
      </c>
      <c r="S14395" t="s">
        <v>48403</v>
      </c>
      <c r="T14395" t="s">
        <v>49077</v>
      </c>
      <c r="U14395" t="s">
        <v>61371</v>
      </c>
      <c r="W14395" t="s">
        <v>47238</v>
      </c>
      <c r="X14395" t="s">
        <v>47445</v>
      </c>
    </row>
    <row r="14396" spans="1:24">
      <c r="A14396">
        <f>HYPERLINK("https://www.philgeps.gov.ph/GEPSNONPILOT/Tender/SplashBidNoticeAbstractUI.aspx?menuIndex=3&amp;refID=7132528&amp;Result=3","7132528")</f>
        <v>0</v>
      </c>
      <c r="B14396" t="s">
        <v>3766</v>
      </c>
      <c r="C14396" t="s">
        <v>17518</v>
      </c>
      <c r="D14396" t="s">
        <v>19066</v>
      </c>
      <c r="E14396" t="s">
        <v>31444</v>
      </c>
      <c r="F14396" t="s">
        <v>32831</v>
      </c>
      <c r="G14396" t="s">
        <v>32839</v>
      </c>
      <c r="H14396" t="s">
        <v>32848</v>
      </c>
      <c r="I14396" t="s">
        <v>32862</v>
      </c>
      <c r="J14396" t="s">
        <v>41770</v>
      </c>
      <c r="K14396" t="s">
        <v>42731</v>
      </c>
      <c r="M14396" t="s">
        <v>47166</v>
      </c>
      <c r="N14396" t="s">
        <v>47424</v>
      </c>
      <c r="O14396" t="s">
        <v>47425</v>
      </c>
      <c r="P14396">
        <v>0</v>
      </c>
      <c r="Q14396">
        <v>1</v>
      </c>
      <c r="R14396" t="s">
        <v>47444</v>
      </c>
      <c r="S14396" t="s">
        <v>48135</v>
      </c>
      <c r="T14396" t="s">
        <v>49127</v>
      </c>
      <c r="U14396" t="s">
        <v>60953</v>
      </c>
      <c r="V14396" t="s">
        <v>64189</v>
      </c>
      <c r="W14396" t="s">
        <v>47166</v>
      </c>
      <c r="X14396" t="s">
        <v>47445</v>
      </c>
    </row>
    <row r="14397" spans="1:24">
      <c r="A14397">
        <f>HYPERLINK("https://www.philgeps.gov.ph/GEPSNONPILOT/Tender/SplashBidNoticeAbstractUI.aspx?menuIndex=3&amp;refID=7132593&amp;Result=3","7132593")</f>
        <v>0</v>
      </c>
      <c r="B14397" t="s">
        <v>2107</v>
      </c>
      <c r="C14397" t="s">
        <v>17519</v>
      </c>
      <c r="D14397" t="s">
        <v>19100</v>
      </c>
      <c r="E14397" t="s">
        <v>31445</v>
      </c>
      <c r="F14397" t="s">
        <v>32831</v>
      </c>
      <c r="G14397" t="s">
        <v>32839</v>
      </c>
      <c r="H14397" t="s">
        <v>32848</v>
      </c>
      <c r="I14397" t="s">
        <v>9577</v>
      </c>
      <c r="J14397" t="s">
        <v>41771</v>
      </c>
      <c r="K14397" t="s">
        <v>42727</v>
      </c>
      <c r="M14397" t="s">
        <v>45281</v>
      </c>
      <c r="N14397" t="s">
        <v>47424</v>
      </c>
      <c r="O14397" t="s">
        <v>47425</v>
      </c>
      <c r="P14397">
        <v>0</v>
      </c>
      <c r="Q14397">
        <v>1</v>
      </c>
      <c r="R14397" t="s">
        <v>47444</v>
      </c>
      <c r="S14397" t="s">
        <v>48135</v>
      </c>
      <c r="T14397" t="s">
        <v>49214</v>
      </c>
      <c r="U14397" t="s">
        <v>54545</v>
      </c>
      <c r="W14397" t="s">
        <v>45281</v>
      </c>
      <c r="X14397" t="s">
        <v>47445</v>
      </c>
    </row>
    <row r="14398" spans="1:24">
      <c r="A14398">
        <f>HYPERLINK("https://www.philgeps.gov.ph/GEPSNONPILOT/Tender/SplashBidNoticeAbstractUI.aspx?menuIndex=3&amp;refID=7132521&amp;Result=3","7132521")</f>
        <v>0</v>
      </c>
      <c r="B14398" t="s">
        <v>3766</v>
      </c>
      <c r="C14398" t="s">
        <v>17520</v>
      </c>
      <c r="D14398" t="s">
        <v>19066</v>
      </c>
      <c r="E14398" t="s">
        <v>31446</v>
      </c>
      <c r="F14398" t="s">
        <v>32831</v>
      </c>
      <c r="G14398" t="s">
        <v>32839</v>
      </c>
      <c r="H14398" t="s">
        <v>32848</v>
      </c>
      <c r="I14398" t="s">
        <v>32862</v>
      </c>
      <c r="J14398" t="s">
        <v>41772</v>
      </c>
      <c r="K14398" t="s">
        <v>42731</v>
      </c>
      <c r="M14398" t="s">
        <v>47166</v>
      </c>
      <c r="N14398" t="s">
        <v>47424</v>
      </c>
      <c r="O14398" t="s">
        <v>47425</v>
      </c>
      <c r="P14398">
        <v>0</v>
      </c>
      <c r="Q14398">
        <v>1</v>
      </c>
      <c r="R14398" t="s">
        <v>47444</v>
      </c>
      <c r="S14398" t="s">
        <v>48135</v>
      </c>
      <c r="T14398" t="s">
        <v>49127</v>
      </c>
      <c r="U14398" t="s">
        <v>60953</v>
      </c>
      <c r="V14398" t="s">
        <v>64189</v>
      </c>
      <c r="W14398" t="s">
        <v>47166</v>
      </c>
      <c r="X14398" t="s">
        <v>47445</v>
      </c>
    </row>
    <row r="14399" spans="1:24">
      <c r="A14399">
        <f>HYPERLINK("https://www.philgeps.gov.ph/GEPSNONPILOT/Tender/SplashBidNoticeAbstractUI.aspx?menuIndex=3&amp;refID=7132522&amp;Result=3","7132522")</f>
        <v>0</v>
      </c>
      <c r="B14399" t="s">
        <v>3721</v>
      </c>
      <c r="C14399" t="s">
        <v>17521</v>
      </c>
      <c r="D14399" t="s">
        <v>19062</v>
      </c>
      <c r="E14399" t="s">
        <v>31447</v>
      </c>
      <c r="F14399" t="s">
        <v>32831</v>
      </c>
      <c r="G14399" t="s">
        <v>32839</v>
      </c>
      <c r="H14399" t="s">
        <v>32849</v>
      </c>
      <c r="I14399" t="s">
        <v>4177</v>
      </c>
      <c r="J14399" t="s">
        <v>41773</v>
      </c>
      <c r="K14399" t="s">
        <v>42732</v>
      </c>
      <c r="M14399" t="s">
        <v>47113</v>
      </c>
      <c r="N14399" t="s">
        <v>47424</v>
      </c>
      <c r="O14399" t="s">
        <v>47425</v>
      </c>
      <c r="Q14399">
        <v>0</v>
      </c>
      <c r="R14399" t="s">
        <v>47444</v>
      </c>
      <c r="S14399" t="s">
        <v>48404</v>
      </c>
      <c r="T14399" t="s">
        <v>49114</v>
      </c>
      <c r="U14399" t="s">
        <v>61372</v>
      </c>
      <c r="V14399" t="s">
        <v>64134</v>
      </c>
      <c r="W14399" t="s">
        <v>47113</v>
      </c>
      <c r="X14399" t="s">
        <v>47445</v>
      </c>
    </row>
    <row r="14400" spans="1:24">
      <c r="A14400">
        <f>HYPERLINK("https://www.philgeps.gov.ph/GEPSNONPILOT/Tender/SplashBidNoticeAbstractUI.aspx?menuIndex=3&amp;refID=7132540&amp;Result=3","7132540")</f>
        <v>0</v>
      </c>
      <c r="B14400" t="s">
        <v>116</v>
      </c>
      <c r="C14400" t="s">
        <v>17522</v>
      </c>
      <c r="D14400" t="s">
        <v>19057</v>
      </c>
      <c r="E14400" t="s">
        <v>31448</v>
      </c>
      <c r="F14400" t="s">
        <v>32831</v>
      </c>
      <c r="G14400" t="s">
        <v>32839</v>
      </c>
      <c r="H14400" t="s">
        <v>32848</v>
      </c>
      <c r="I14400" t="s">
        <v>4776</v>
      </c>
      <c r="J14400" t="s">
        <v>33016</v>
      </c>
      <c r="K14400" t="s">
        <v>42731</v>
      </c>
      <c r="M14400" t="s">
        <v>43113</v>
      </c>
      <c r="N14400" t="s">
        <v>47424</v>
      </c>
      <c r="O14400" t="s">
        <v>47425</v>
      </c>
      <c r="Q14400">
        <v>5</v>
      </c>
      <c r="R14400" t="s">
        <v>47444</v>
      </c>
      <c r="S14400" t="s">
        <v>48405</v>
      </c>
      <c r="T14400" t="s">
        <v>49070</v>
      </c>
      <c r="U14400" t="s">
        <v>61373</v>
      </c>
      <c r="W14400" t="s">
        <v>43113</v>
      </c>
      <c r="X14400" t="s">
        <v>47445</v>
      </c>
    </row>
    <row r="14401" spans="1:24">
      <c r="A14401">
        <f>HYPERLINK("https://www.philgeps.gov.ph/GEPSNONPILOT/Tender/SplashBidNoticeAbstractUI.aspx?menuIndex=3&amp;refID=7132409&amp;Result=3","7132409")</f>
        <v>0</v>
      </c>
      <c r="B14401" t="s">
        <v>858</v>
      </c>
      <c r="C14401" t="s">
        <v>17523</v>
      </c>
      <c r="D14401" t="s">
        <v>19017</v>
      </c>
      <c r="E14401" t="s">
        <v>31449</v>
      </c>
      <c r="F14401" t="s">
        <v>32831</v>
      </c>
      <c r="G14401" t="s">
        <v>32839</v>
      </c>
      <c r="H14401" t="s">
        <v>32848</v>
      </c>
      <c r="I14401" t="s">
        <v>4487</v>
      </c>
      <c r="J14401" t="s">
        <v>35952</v>
      </c>
      <c r="K14401" t="s">
        <v>42730</v>
      </c>
      <c r="M14401" t="s">
        <v>43892</v>
      </c>
      <c r="N14401" t="s">
        <v>47424</v>
      </c>
      <c r="O14401" t="s">
        <v>47425</v>
      </c>
      <c r="Q14401">
        <v>23</v>
      </c>
      <c r="R14401" t="s">
        <v>47444</v>
      </c>
      <c r="S14401" t="s">
        <v>47755</v>
      </c>
      <c r="T14401" t="s">
        <v>49594</v>
      </c>
      <c r="U14401" t="s">
        <v>61374</v>
      </c>
      <c r="W14401" t="s">
        <v>43892</v>
      </c>
      <c r="X14401" t="s">
        <v>47445</v>
      </c>
    </row>
    <row r="14402" spans="1:24">
      <c r="A14402">
        <f>HYPERLINK("https://www.philgeps.gov.ph/GEPSNONPILOT/Tender/SplashBidNoticeAbstractUI.aspx?menuIndex=3&amp;refID=7132360&amp;Result=3","7132360")</f>
        <v>0</v>
      </c>
      <c r="B14402" t="s">
        <v>1545</v>
      </c>
      <c r="C14402" t="s">
        <v>17524</v>
      </c>
      <c r="D14402" t="s">
        <v>19044</v>
      </c>
      <c r="E14402" t="s">
        <v>31450</v>
      </c>
      <c r="F14402" t="s">
        <v>32831</v>
      </c>
      <c r="G14402" t="s">
        <v>32839</v>
      </c>
      <c r="H14402" t="s">
        <v>32849</v>
      </c>
      <c r="I14402" t="s">
        <v>4177</v>
      </c>
      <c r="J14402" t="s">
        <v>40018</v>
      </c>
      <c r="K14402" t="s">
        <v>42729</v>
      </c>
      <c r="M14402" t="s">
        <v>44649</v>
      </c>
      <c r="N14402" t="s">
        <v>47424</v>
      </c>
      <c r="O14402" t="s">
        <v>47425</v>
      </c>
      <c r="Q14402">
        <v>1</v>
      </c>
      <c r="R14402" t="s">
        <v>47444</v>
      </c>
      <c r="S14402" t="s">
        <v>48406</v>
      </c>
      <c r="T14402" t="s">
        <v>49108</v>
      </c>
      <c r="U14402" t="s">
        <v>61375</v>
      </c>
      <c r="W14402" t="s">
        <v>44649</v>
      </c>
      <c r="X14402" t="s">
        <v>47445</v>
      </c>
    </row>
    <row r="14403" spans="1:24">
      <c r="A14403">
        <f>HYPERLINK("https://www.philgeps.gov.ph/GEPSNONPILOT/Tender/SplashBidNoticeAbstractUI.aspx?menuIndex=3&amp;refID=7127685&amp;Result=3","7127685")</f>
        <v>0</v>
      </c>
      <c r="B14403" t="s">
        <v>834</v>
      </c>
      <c r="C14403" t="s">
        <v>17525</v>
      </c>
      <c r="D14403" t="s">
        <v>19046</v>
      </c>
      <c r="E14403" t="s">
        <v>31451</v>
      </c>
      <c r="F14403" t="s">
        <v>32831</v>
      </c>
      <c r="G14403" t="s">
        <v>32839</v>
      </c>
      <c r="H14403" t="s">
        <v>32849</v>
      </c>
      <c r="I14403" t="s">
        <v>4177</v>
      </c>
      <c r="J14403" t="s">
        <v>41774</v>
      </c>
      <c r="K14403" t="s">
        <v>42732</v>
      </c>
      <c r="M14403" t="s">
        <v>43866</v>
      </c>
      <c r="N14403" t="s">
        <v>47424</v>
      </c>
      <c r="O14403" t="s">
        <v>47425</v>
      </c>
      <c r="P14403">
        <v>0</v>
      </c>
      <c r="Q14403">
        <v>4</v>
      </c>
      <c r="R14403" t="s">
        <v>47445</v>
      </c>
      <c r="S14403" t="s">
        <v>48250</v>
      </c>
      <c r="T14403" t="s">
        <v>49239</v>
      </c>
      <c r="U14403" t="s">
        <v>61376</v>
      </c>
      <c r="W14403" t="s">
        <v>43866</v>
      </c>
      <c r="X14403" t="s">
        <v>47446</v>
      </c>
    </row>
    <row r="14404" spans="1:24">
      <c r="A14404">
        <f>HYPERLINK("https://www.philgeps.gov.ph/GEPSNONPILOT/Tender/SplashBidNoticeAbstractUI.aspx?menuIndex=3&amp;refID=7132402&amp;Result=3","7132402")</f>
        <v>0</v>
      </c>
      <c r="B14404" t="s">
        <v>1504</v>
      </c>
      <c r="C14404" t="s">
        <v>17526</v>
      </c>
      <c r="D14404" t="s">
        <v>19057</v>
      </c>
      <c r="E14404" t="s">
        <v>22338</v>
      </c>
      <c r="F14404" t="s">
        <v>32833</v>
      </c>
      <c r="G14404" t="s">
        <v>32839</v>
      </c>
      <c r="H14404" t="s">
        <v>32849</v>
      </c>
      <c r="I14404" t="s">
        <v>7416</v>
      </c>
      <c r="J14404" t="s">
        <v>41775</v>
      </c>
      <c r="K14404" t="s">
        <v>42730</v>
      </c>
      <c r="M14404" t="s">
        <v>44603</v>
      </c>
      <c r="N14404" t="s">
        <v>47424</v>
      </c>
      <c r="O14404" t="s">
        <v>47425</v>
      </c>
      <c r="P14404">
        <v>0</v>
      </c>
      <c r="Q14404">
        <v>0</v>
      </c>
      <c r="R14404" t="s">
        <v>47444</v>
      </c>
      <c r="S14404" t="s">
        <v>48135</v>
      </c>
      <c r="T14404" t="s">
        <v>49150</v>
      </c>
      <c r="U14404" t="s">
        <v>61377</v>
      </c>
      <c r="W14404" t="s">
        <v>44603</v>
      </c>
      <c r="X14404" t="s">
        <v>47445</v>
      </c>
    </row>
    <row r="14405" spans="1:24">
      <c r="A14405">
        <f>HYPERLINK("https://www.philgeps.gov.ph/GEPSNONPILOT/Tender/SplashBidNoticeAbstractUI.aspx?menuIndex=3&amp;refID=7132586&amp;Result=3","7132586")</f>
        <v>0</v>
      </c>
      <c r="B14405" t="s">
        <v>2107</v>
      </c>
      <c r="C14405" t="s">
        <v>17527</v>
      </c>
      <c r="D14405" t="s">
        <v>19100</v>
      </c>
      <c r="E14405" t="s">
        <v>31452</v>
      </c>
      <c r="F14405" t="s">
        <v>32831</v>
      </c>
      <c r="G14405" t="s">
        <v>32839</v>
      </c>
      <c r="H14405" t="s">
        <v>32848</v>
      </c>
      <c r="I14405" t="s">
        <v>32860</v>
      </c>
      <c r="J14405" t="s">
        <v>34482</v>
      </c>
      <c r="K14405" t="s">
        <v>42727</v>
      </c>
      <c r="M14405" t="s">
        <v>45281</v>
      </c>
      <c r="N14405" t="s">
        <v>47424</v>
      </c>
      <c r="O14405" t="s">
        <v>47425</v>
      </c>
      <c r="P14405">
        <v>0</v>
      </c>
      <c r="Q14405">
        <v>0</v>
      </c>
      <c r="R14405" t="s">
        <v>47444</v>
      </c>
      <c r="S14405" t="s">
        <v>48135</v>
      </c>
      <c r="T14405" t="s">
        <v>49214</v>
      </c>
      <c r="U14405" t="s">
        <v>54545</v>
      </c>
      <c r="W14405" t="s">
        <v>45281</v>
      </c>
      <c r="X14405" t="s">
        <v>47445</v>
      </c>
    </row>
    <row r="14406" spans="1:24">
      <c r="A14406">
        <f>HYPERLINK("https://www.philgeps.gov.ph/GEPSNONPILOT/Tender/SplashBidNoticeAbstractUI.aspx?menuIndex=3&amp;refID=7123465&amp;Result=3","7123465")</f>
        <v>0</v>
      </c>
      <c r="B14406" t="s">
        <v>2080</v>
      </c>
      <c r="C14406" t="s">
        <v>17528</v>
      </c>
      <c r="D14406" t="s">
        <v>19017</v>
      </c>
      <c r="E14406" t="s">
        <v>31453</v>
      </c>
      <c r="F14406" t="s">
        <v>32831</v>
      </c>
      <c r="G14406" t="s">
        <v>32845</v>
      </c>
      <c r="H14406" t="s">
        <v>32848</v>
      </c>
      <c r="I14406" t="s">
        <v>32872</v>
      </c>
      <c r="J14406" t="s">
        <v>41776</v>
      </c>
      <c r="K14406" t="s">
        <v>42729</v>
      </c>
      <c r="M14406" t="s">
        <v>45251</v>
      </c>
      <c r="N14406" t="s">
        <v>47424</v>
      </c>
      <c r="O14406" t="s">
        <v>47425</v>
      </c>
      <c r="Q14406">
        <v>11</v>
      </c>
      <c r="R14406" t="s">
        <v>47446</v>
      </c>
      <c r="S14406" t="s">
        <v>48407</v>
      </c>
      <c r="T14406" t="s">
        <v>49129</v>
      </c>
      <c r="U14406" t="s">
        <v>61378</v>
      </c>
      <c r="V14406" t="s">
        <v>64267</v>
      </c>
      <c r="W14406" t="s">
        <v>45251</v>
      </c>
      <c r="X14406" t="s">
        <v>47447</v>
      </c>
    </row>
    <row r="14407" spans="1:24">
      <c r="A14407">
        <f>HYPERLINK("https://www.philgeps.gov.ph/GEPSNONPILOT/Tender/SplashBidNoticeAbstractUI.aspx?menuIndex=3&amp;refID=7126931&amp;Result=3","7126931")</f>
        <v>0</v>
      </c>
      <c r="B14407" t="s">
        <v>807</v>
      </c>
      <c r="C14407" t="s">
        <v>17529</v>
      </c>
      <c r="D14407" t="s">
        <v>19044</v>
      </c>
      <c r="E14407" t="s">
        <v>31454</v>
      </c>
      <c r="F14407" t="s">
        <v>32831</v>
      </c>
      <c r="G14407" t="s">
        <v>32839</v>
      </c>
      <c r="H14407" t="s">
        <v>32848</v>
      </c>
      <c r="I14407" t="s">
        <v>4487</v>
      </c>
      <c r="J14407" t="s">
        <v>32980</v>
      </c>
      <c r="K14407" t="s">
        <v>42727</v>
      </c>
      <c r="M14407" t="s">
        <v>43838</v>
      </c>
      <c r="N14407" t="s">
        <v>47424</v>
      </c>
      <c r="O14407" t="s">
        <v>47425</v>
      </c>
      <c r="P14407">
        <v>0</v>
      </c>
      <c r="Q14407">
        <v>0</v>
      </c>
      <c r="R14407" t="s">
        <v>47445</v>
      </c>
      <c r="S14407" t="s">
        <v>48250</v>
      </c>
      <c r="T14407" t="s">
        <v>49111</v>
      </c>
      <c r="U14407" t="s">
        <v>61379</v>
      </c>
      <c r="W14407" t="s">
        <v>43838</v>
      </c>
      <c r="X14407" t="s">
        <v>47446</v>
      </c>
    </row>
    <row r="14408" spans="1:24">
      <c r="A14408">
        <f>HYPERLINK("https://www.philgeps.gov.ph/GEPSNONPILOT/Tender/SplashBidNoticeAbstractUI.aspx?menuIndex=3&amp;refID=7123398&amp;Result=3","7123398")</f>
        <v>0</v>
      </c>
      <c r="B14408" t="s">
        <v>2999</v>
      </c>
      <c r="C14408" t="s">
        <v>17530</v>
      </c>
      <c r="D14408" t="s">
        <v>19080</v>
      </c>
      <c r="E14408" t="s">
        <v>31455</v>
      </c>
      <c r="F14408" t="s">
        <v>32831</v>
      </c>
      <c r="G14408" t="s">
        <v>32839</v>
      </c>
      <c r="H14408" t="s">
        <v>32848</v>
      </c>
      <c r="I14408" t="s">
        <v>32859</v>
      </c>
      <c r="J14408" t="s">
        <v>41777</v>
      </c>
      <c r="K14408" t="s">
        <v>42730</v>
      </c>
      <c r="M14408" t="s">
        <v>46266</v>
      </c>
      <c r="N14408" t="s">
        <v>47424</v>
      </c>
      <c r="O14408" t="s">
        <v>47425</v>
      </c>
      <c r="P14408">
        <v>0</v>
      </c>
      <c r="Q14408">
        <v>4</v>
      </c>
      <c r="R14408" t="s">
        <v>47446</v>
      </c>
      <c r="S14408" t="s">
        <v>48377</v>
      </c>
      <c r="T14408" t="s">
        <v>49173</v>
      </c>
      <c r="U14408" t="s">
        <v>61380</v>
      </c>
      <c r="W14408" t="s">
        <v>46266</v>
      </c>
      <c r="X14408" t="s">
        <v>47447</v>
      </c>
    </row>
    <row r="14409" spans="1:24">
      <c r="A14409">
        <f>HYPERLINK("https://www.philgeps.gov.ph/GEPSNONPILOT/Tender/SplashBidNoticeAbstractUI.aspx?menuIndex=3&amp;refID=7123409&amp;Result=3","7123409")</f>
        <v>0</v>
      </c>
      <c r="B14409" t="s">
        <v>1824</v>
      </c>
      <c r="C14409" t="s">
        <v>17531</v>
      </c>
      <c r="D14409" t="s">
        <v>19042</v>
      </c>
      <c r="E14409" t="s">
        <v>31456</v>
      </c>
      <c r="F14409" t="s">
        <v>32831</v>
      </c>
      <c r="G14409" t="s">
        <v>32839</v>
      </c>
      <c r="H14409" t="s">
        <v>32848</v>
      </c>
      <c r="I14409" t="s">
        <v>7751</v>
      </c>
      <c r="J14409" t="s">
        <v>36730</v>
      </c>
      <c r="K14409" t="s">
        <v>42729</v>
      </c>
      <c r="M14409" t="s">
        <v>44957</v>
      </c>
      <c r="N14409" t="s">
        <v>47424</v>
      </c>
      <c r="O14409" t="s">
        <v>47425</v>
      </c>
      <c r="P14409">
        <v>0</v>
      </c>
      <c r="Q14409">
        <v>5</v>
      </c>
      <c r="R14409" t="s">
        <v>47446</v>
      </c>
      <c r="S14409" t="s">
        <v>48377</v>
      </c>
      <c r="T14409" t="s">
        <v>49239</v>
      </c>
      <c r="U14409" t="s">
        <v>61381</v>
      </c>
      <c r="V14409" t="s">
        <v>64268</v>
      </c>
      <c r="W14409" t="s">
        <v>44957</v>
      </c>
      <c r="X14409" t="s">
        <v>47447</v>
      </c>
    </row>
    <row r="14410" spans="1:24">
      <c r="A14410">
        <f>HYPERLINK("https://www.philgeps.gov.ph/GEPSNONPILOT/Tender/SplashBidNoticeAbstractUI.aspx?menuIndex=3&amp;refID=7123439&amp;Result=3","7123439")</f>
        <v>0</v>
      </c>
      <c r="B14410" t="s">
        <v>3544</v>
      </c>
      <c r="C14410" t="s">
        <v>17532</v>
      </c>
      <c r="D14410" t="s">
        <v>19077</v>
      </c>
      <c r="E14410" t="s">
        <v>31457</v>
      </c>
      <c r="F14410" t="s">
        <v>32831</v>
      </c>
      <c r="G14410" t="s">
        <v>32839</v>
      </c>
      <c r="H14410" t="s">
        <v>32848</v>
      </c>
      <c r="I14410" t="s">
        <v>4438</v>
      </c>
      <c r="J14410" t="s">
        <v>40769</v>
      </c>
      <c r="K14410" t="s">
        <v>42732</v>
      </c>
      <c r="M14410" t="s">
        <v>46898</v>
      </c>
      <c r="N14410" t="s">
        <v>47424</v>
      </c>
      <c r="O14410" t="s">
        <v>47425</v>
      </c>
      <c r="P14410">
        <v>0</v>
      </c>
      <c r="Q14410">
        <v>0</v>
      </c>
      <c r="R14410" t="s">
        <v>47446</v>
      </c>
      <c r="S14410" t="s">
        <v>48377</v>
      </c>
      <c r="T14410" t="s">
        <v>49239</v>
      </c>
      <c r="U14410" t="s">
        <v>61382</v>
      </c>
      <c r="W14410" t="s">
        <v>46898</v>
      </c>
      <c r="X14410" t="s">
        <v>47447</v>
      </c>
    </row>
    <row r="14411" spans="1:24">
      <c r="A14411">
        <f>HYPERLINK("https://www.philgeps.gov.ph/GEPSNONPILOT/Tender/SplashBidNoticeAbstractUI.aspx?menuIndex=3&amp;refID=7123391&amp;Result=3","7123391")</f>
        <v>0</v>
      </c>
      <c r="B14411" t="s">
        <v>3817</v>
      </c>
      <c r="C14411" t="s">
        <v>17533</v>
      </c>
      <c r="D14411" t="s">
        <v>19041</v>
      </c>
      <c r="E14411" t="s">
        <v>30895</v>
      </c>
      <c r="F14411" t="s">
        <v>32831</v>
      </c>
      <c r="G14411" t="s">
        <v>32839</v>
      </c>
      <c r="H14411" t="s">
        <v>32849</v>
      </c>
      <c r="I14411" t="s">
        <v>4177</v>
      </c>
      <c r="J14411" t="s">
        <v>41778</v>
      </c>
      <c r="K14411" t="s">
        <v>42773</v>
      </c>
      <c r="M14411" t="s">
        <v>47239</v>
      </c>
      <c r="N14411" t="s">
        <v>47424</v>
      </c>
      <c r="O14411" t="s">
        <v>47425</v>
      </c>
      <c r="P14411">
        <v>0</v>
      </c>
      <c r="Q14411">
        <v>0</v>
      </c>
      <c r="R14411" t="s">
        <v>47446</v>
      </c>
      <c r="S14411" t="s">
        <v>48377</v>
      </c>
      <c r="T14411" t="s">
        <v>49649</v>
      </c>
      <c r="U14411" t="s">
        <v>61383</v>
      </c>
      <c r="W14411" t="s">
        <v>47239</v>
      </c>
      <c r="X14411" t="s">
        <v>47447</v>
      </c>
    </row>
    <row r="14412" spans="1:24">
      <c r="A14412">
        <f>HYPERLINK("https://www.philgeps.gov.ph/GEPSNONPILOT/Tender/SplashBidNoticeAbstractUI.aspx?menuIndex=3&amp;refID=7123453&amp;Result=3","7123453")</f>
        <v>0</v>
      </c>
      <c r="B14412" t="s">
        <v>2999</v>
      </c>
      <c r="C14412" t="s">
        <v>17534</v>
      </c>
      <c r="D14412" t="s">
        <v>19080</v>
      </c>
      <c r="E14412" t="s">
        <v>31458</v>
      </c>
      <c r="F14412" t="s">
        <v>32831</v>
      </c>
      <c r="G14412" t="s">
        <v>32839</v>
      </c>
      <c r="H14412" t="s">
        <v>32848</v>
      </c>
      <c r="I14412" t="s">
        <v>32875</v>
      </c>
      <c r="J14412" t="s">
        <v>41779</v>
      </c>
      <c r="K14412" t="s">
        <v>42730</v>
      </c>
      <c r="M14412" t="s">
        <v>46266</v>
      </c>
      <c r="N14412" t="s">
        <v>47424</v>
      </c>
      <c r="O14412" t="s">
        <v>47425</v>
      </c>
      <c r="P14412">
        <v>0</v>
      </c>
      <c r="Q14412">
        <v>1</v>
      </c>
      <c r="R14412" t="s">
        <v>47446</v>
      </c>
      <c r="S14412" t="s">
        <v>48377</v>
      </c>
      <c r="T14412" t="s">
        <v>49173</v>
      </c>
      <c r="U14412" t="s">
        <v>61384</v>
      </c>
      <c r="W14412" t="s">
        <v>46266</v>
      </c>
      <c r="X14412" t="s">
        <v>47447</v>
      </c>
    </row>
    <row r="14413" spans="1:24">
      <c r="A14413">
        <f>HYPERLINK("https://www.philgeps.gov.ph/GEPSNONPILOT/Tender/SplashBidNoticeAbstractUI.aspx?menuIndex=3&amp;refID=7123384&amp;Result=3","7123384")</f>
        <v>0</v>
      </c>
      <c r="B14413" t="s">
        <v>687</v>
      </c>
      <c r="C14413" t="s">
        <v>17535</v>
      </c>
      <c r="D14413" t="s">
        <v>19074</v>
      </c>
      <c r="E14413" t="s">
        <v>31459</v>
      </c>
      <c r="F14413" t="s">
        <v>32831</v>
      </c>
      <c r="G14413" t="s">
        <v>32839</v>
      </c>
      <c r="H14413" t="s">
        <v>32849</v>
      </c>
      <c r="I14413" t="s">
        <v>4177</v>
      </c>
      <c r="J14413" t="s">
        <v>41780</v>
      </c>
      <c r="K14413" t="s">
        <v>42770</v>
      </c>
      <c r="M14413" t="s">
        <v>43706</v>
      </c>
      <c r="N14413" t="s">
        <v>47424</v>
      </c>
      <c r="O14413" t="s">
        <v>47425</v>
      </c>
      <c r="Q14413">
        <v>1</v>
      </c>
      <c r="R14413" t="s">
        <v>47446</v>
      </c>
      <c r="S14413" t="s">
        <v>48408</v>
      </c>
      <c r="T14413" t="s">
        <v>49111</v>
      </c>
      <c r="U14413" t="s">
        <v>61385</v>
      </c>
      <c r="W14413" t="s">
        <v>43706</v>
      </c>
      <c r="X14413" t="s">
        <v>47447</v>
      </c>
    </row>
    <row r="14414" spans="1:24">
      <c r="A14414">
        <f>HYPERLINK("https://www.philgeps.gov.ph/GEPSNONPILOT/Tender/SplashBidNoticeAbstractUI.aspx?menuIndex=3&amp;refID=7132633&amp;Result=3","7132633")</f>
        <v>0</v>
      </c>
      <c r="B14414" t="s">
        <v>3766</v>
      </c>
      <c r="C14414" t="s">
        <v>17536</v>
      </c>
      <c r="D14414" t="s">
        <v>19066</v>
      </c>
      <c r="E14414" t="s">
        <v>31460</v>
      </c>
      <c r="F14414" t="s">
        <v>32831</v>
      </c>
      <c r="G14414" t="s">
        <v>32839</v>
      </c>
      <c r="H14414" t="s">
        <v>32848</v>
      </c>
      <c r="I14414" t="s">
        <v>32870</v>
      </c>
      <c r="J14414" t="s">
        <v>41766</v>
      </c>
      <c r="K14414" t="s">
        <v>42730</v>
      </c>
      <c r="M14414" t="s">
        <v>47166</v>
      </c>
      <c r="N14414" t="s">
        <v>47424</v>
      </c>
      <c r="O14414" t="s">
        <v>47425</v>
      </c>
      <c r="P14414">
        <v>0</v>
      </c>
      <c r="Q14414">
        <v>0</v>
      </c>
      <c r="R14414" t="s">
        <v>47444</v>
      </c>
      <c r="S14414" t="s">
        <v>48135</v>
      </c>
      <c r="T14414" t="s">
        <v>49127</v>
      </c>
      <c r="U14414" t="s">
        <v>60952</v>
      </c>
      <c r="V14414" t="s">
        <v>64189</v>
      </c>
      <c r="W14414" t="s">
        <v>47166</v>
      </c>
      <c r="X14414" t="s">
        <v>47445</v>
      </c>
    </row>
    <row r="14415" spans="1:24">
      <c r="A14415">
        <f>HYPERLINK("https://www.philgeps.gov.ph/GEPSNONPILOT/Tender/SplashBidNoticeAbstractUI.aspx?menuIndex=3&amp;refID=7123320&amp;Result=3","7123320")</f>
        <v>0</v>
      </c>
      <c r="B14415" t="s">
        <v>3406</v>
      </c>
      <c r="C14415" t="s">
        <v>17537</v>
      </c>
      <c r="D14415" t="s">
        <v>19032</v>
      </c>
      <c r="E14415" t="s">
        <v>31461</v>
      </c>
      <c r="F14415" t="s">
        <v>32831</v>
      </c>
      <c r="G14415" t="s">
        <v>32839</v>
      </c>
      <c r="H14415" t="s">
        <v>32848</v>
      </c>
      <c r="I14415" t="s">
        <v>7751</v>
      </c>
      <c r="J14415" t="s">
        <v>41781</v>
      </c>
      <c r="K14415" t="s">
        <v>42742</v>
      </c>
      <c r="M14415" t="s">
        <v>46740</v>
      </c>
      <c r="N14415" t="s">
        <v>47424</v>
      </c>
      <c r="O14415" t="s">
        <v>47425</v>
      </c>
      <c r="P14415">
        <v>0</v>
      </c>
      <c r="Q14415">
        <v>4</v>
      </c>
      <c r="R14415" t="s">
        <v>47446</v>
      </c>
      <c r="S14415" t="s">
        <v>48377</v>
      </c>
      <c r="T14415" t="s">
        <v>49198</v>
      </c>
      <c r="U14415" t="s">
        <v>61386</v>
      </c>
      <c r="W14415" t="s">
        <v>46740</v>
      </c>
      <c r="X14415" t="s">
        <v>47447</v>
      </c>
    </row>
    <row r="14416" spans="1:24">
      <c r="A14416">
        <f>HYPERLINK("https://www.philgeps.gov.ph/GEPSNONPILOT/Tender/SplashBidNoticeAbstractUI.aspx?menuIndex=3&amp;refID=7123463&amp;Result=3","7123463")</f>
        <v>0</v>
      </c>
      <c r="B14416" t="s">
        <v>1686</v>
      </c>
      <c r="C14416" t="s">
        <v>17538</v>
      </c>
      <c r="D14416" t="s">
        <v>19070</v>
      </c>
      <c r="E14416" t="s">
        <v>31462</v>
      </c>
      <c r="F14416" t="s">
        <v>32831</v>
      </c>
      <c r="G14416" t="s">
        <v>32839</v>
      </c>
      <c r="H14416" t="s">
        <v>32849</v>
      </c>
      <c r="I14416" t="s">
        <v>4177</v>
      </c>
      <c r="J14416" t="s">
        <v>33118</v>
      </c>
      <c r="K14416" t="s">
        <v>42766</v>
      </c>
      <c r="M14416" t="s">
        <v>44806</v>
      </c>
      <c r="N14416" t="s">
        <v>47424</v>
      </c>
      <c r="O14416" t="s">
        <v>47425</v>
      </c>
      <c r="P14416">
        <v>0</v>
      </c>
      <c r="Q14416">
        <v>0</v>
      </c>
      <c r="R14416" t="s">
        <v>47446</v>
      </c>
      <c r="S14416" t="s">
        <v>48377</v>
      </c>
      <c r="T14416" t="s">
        <v>49415</v>
      </c>
      <c r="U14416" t="s">
        <v>61387</v>
      </c>
      <c r="W14416" t="s">
        <v>44806</v>
      </c>
      <c r="X14416" t="s">
        <v>47447</v>
      </c>
    </row>
    <row r="14417" spans="1:24">
      <c r="A14417">
        <f>HYPERLINK("https://www.philgeps.gov.ph/GEPSNONPILOT/Tender/SplashBidNoticeAbstractUI.aspx?menuIndex=3&amp;refID=7123317&amp;Result=3","7123317")</f>
        <v>0</v>
      </c>
      <c r="B14417" t="s">
        <v>2310</v>
      </c>
      <c r="C14417" t="s">
        <v>17539</v>
      </c>
      <c r="D14417" t="s">
        <v>19028</v>
      </c>
      <c r="E14417" t="s">
        <v>31463</v>
      </c>
      <c r="F14417" t="s">
        <v>32831</v>
      </c>
      <c r="G14417" t="s">
        <v>32839</v>
      </c>
      <c r="H14417" t="s">
        <v>32848</v>
      </c>
      <c r="I14417" t="s">
        <v>32947</v>
      </c>
      <c r="J14417" t="s">
        <v>41782</v>
      </c>
      <c r="K14417" t="s">
        <v>42730</v>
      </c>
      <c r="M14417" t="s">
        <v>45495</v>
      </c>
      <c r="N14417" t="s">
        <v>47424</v>
      </c>
      <c r="O14417" t="s">
        <v>47425</v>
      </c>
      <c r="P14417">
        <v>0</v>
      </c>
      <c r="Q14417">
        <v>0</v>
      </c>
      <c r="R14417" t="s">
        <v>47446</v>
      </c>
      <c r="S14417" t="s">
        <v>48377</v>
      </c>
      <c r="T14417" t="s">
        <v>49166</v>
      </c>
      <c r="U14417" t="s">
        <v>61388</v>
      </c>
      <c r="W14417" t="s">
        <v>45495</v>
      </c>
      <c r="X14417" t="s">
        <v>47447</v>
      </c>
    </row>
    <row r="14418" spans="1:24">
      <c r="A14418">
        <f>HYPERLINK("https://www.philgeps.gov.ph/GEPSNONPILOT/Tender/SplashBidNoticeAbstractUI.aspx?menuIndex=3&amp;refID=7123621&amp;Result=3","7123621")</f>
        <v>0</v>
      </c>
      <c r="B14418" t="s">
        <v>1153</v>
      </c>
      <c r="C14418" t="s">
        <v>17540</v>
      </c>
      <c r="D14418" t="s">
        <v>19045</v>
      </c>
      <c r="E14418" t="s">
        <v>31464</v>
      </c>
      <c r="F14418" t="s">
        <v>32831</v>
      </c>
      <c r="G14418" t="s">
        <v>32839</v>
      </c>
      <c r="H14418" t="s">
        <v>32849</v>
      </c>
      <c r="I14418" t="s">
        <v>4177</v>
      </c>
      <c r="J14418" t="s">
        <v>33118</v>
      </c>
      <c r="K14418" t="s">
        <v>42763</v>
      </c>
      <c r="M14418" t="s">
        <v>44217</v>
      </c>
      <c r="N14418" t="s">
        <v>47424</v>
      </c>
      <c r="O14418" t="s">
        <v>47425</v>
      </c>
      <c r="P14418">
        <v>0</v>
      </c>
      <c r="Q14418">
        <v>1</v>
      </c>
      <c r="R14418" t="s">
        <v>47446</v>
      </c>
      <c r="S14418" t="s">
        <v>48377</v>
      </c>
      <c r="T14418" t="s">
        <v>49111</v>
      </c>
      <c r="U14418" t="s">
        <v>61389</v>
      </c>
      <c r="W14418" t="s">
        <v>44217</v>
      </c>
      <c r="X14418" t="s">
        <v>47447</v>
      </c>
    </row>
    <row r="14419" spans="1:24">
      <c r="A14419">
        <f>HYPERLINK("https://www.philgeps.gov.ph/GEPSNONPILOT/Tender/SplashBidNoticeAbstractUI.aspx?menuIndex=3&amp;refID=7123344&amp;Result=3","7123344")</f>
        <v>0</v>
      </c>
      <c r="B14419" t="s">
        <v>2080</v>
      </c>
      <c r="C14419" t="s">
        <v>17541</v>
      </c>
      <c r="D14419" t="s">
        <v>19017</v>
      </c>
      <c r="E14419" t="s">
        <v>31465</v>
      </c>
      <c r="F14419" t="s">
        <v>32831</v>
      </c>
      <c r="G14419" t="s">
        <v>32845</v>
      </c>
      <c r="H14419" t="s">
        <v>32848</v>
      </c>
      <c r="I14419" t="s">
        <v>32852</v>
      </c>
      <c r="J14419" t="s">
        <v>41783</v>
      </c>
      <c r="K14419" t="s">
        <v>42729</v>
      </c>
      <c r="M14419" t="s">
        <v>45251</v>
      </c>
      <c r="N14419" t="s">
        <v>47424</v>
      </c>
      <c r="O14419" t="s">
        <v>47425</v>
      </c>
      <c r="Q14419">
        <v>13</v>
      </c>
      <c r="R14419" t="s">
        <v>47446</v>
      </c>
      <c r="S14419" t="s">
        <v>48409</v>
      </c>
      <c r="T14419" t="s">
        <v>49237</v>
      </c>
      <c r="U14419" t="s">
        <v>61390</v>
      </c>
      <c r="V14419" t="s">
        <v>64269</v>
      </c>
      <c r="W14419" t="s">
        <v>45251</v>
      </c>
      <c r="X14419" t="s">
        <v>47447</v>
      </c>
    </row>
    <row r="14420" spans="1:24">
      <c r="A14420">
        <f>HYPERLINK("https://www.philgeps.gov.ph/GEPSNONPILOT/Tender/SplashBidNoticeAbstractUI.aspx?menuIndex=3&amp;refID=7123620&amp;Result=3","7123620")</f>
        <v>0</v>
      </c>
      <c r="B14420" t="s">
        <v>3530</v>
      </c>
      <c r="C14420" t="s">
        <v>17542</v>
      </c>
      <c r="D14420" t="s">
        <v>19101</v>
      </c>
      <c r="E14420" t="s">
        <v>23218</v>
      </c>
      <c r="F14420" t="s">
        <v>32831</v>
      </c>
      <c r="G14420" t="s">
        <v>32839</v>
      </c>
      <c r="H14420" t="s">
        <v>32848</v>
      </c>
      <c r="I14420" t="s">
        <v>32859</v>
      </c>
      <c r="J14420" t="s">
        <v>41784</v>
      </c>
      <c r="K14420" t="s">
        <v>42731</v>
      </c>
      <c r="M14420" t="s">
        <v>46881</v>
      </c>
      <c r="N14420" t="s">
        <v>47424</v>
      </c>
      <c r="O14420" t="s">
        <v>47425</v>
      </c>
      <c r="P14420">
        <v>0</v>
      </c>
      <c r="Q14420">
        <v>2</v>
      </c>
      <c r="R14420" t="s">
        <v>47446</v>
      </c>
      <c r="S14420" t="s">
        <v>48377</v>
      </c>
      <c r="T14420" t="s">
        <v>49318</v>
      </c>
      <c r="U14420" t="s">
        <v>59648</v>
      </c>
      <c r="V14420" t="s">
        <v>64270</v>
      </c>
      <c r="W14420" t="s">
        <v>46881</v>
      </c>
      <c r="X14420" t="s">
        <v>47447</v>
      </c>
    </row>
    <row r="14421" spans="1:24">
      <c r="A14421">
        <f>HYPERLINK("https://www.philgeps.gov.ph/GEPSNONPILOT/Tender/SplashBidNoticeAbstractUI.aspx?menuIndex=3&amp;refID=7123333&amp;Result=3","7123333")</f>
        <v>0</v>
      </c>
      <c r="B14421" t="s">
        <v>3406</v>
      </c>
      <c r="C14421" t="s">
        <v>17543</v>
      </c>
      <c r="D14421" t="s">
        <v>19032</v>
      </c>
      <c r="E14421" t="s">
        <v>17543</v>
      </c>
      <c r="F14421" t="s">
        <v>32831</v>
      </c>
      <c r="G14421" t="s">
        <v>32839</v>
      </c>
      <c r="H14421" t="s">
        <v>32848</v>
      </c>
      <c r="I14421" t="s">
        <v>4487</v>
      </c>
      <c r="J14421" t="s">
        <v>33178</v>
      </c>
      <c r="K14421" t="s">
        <v>42742</v>
      </c>
      <c r="M14421" t="s">
        <v>46740</v>
      </c>
      <c r="N14421" t="s">
        <v>47424</v>
      </c>
      <c r="O14421" t="s">
        <v>47425</v>
      </c>
      <c r="P14421">
        <v>0</v>
      </c>
      <c r="Q14421">
        <v>1</v>
      </c>
      <c r="R14421" t="s">
        <v>47446</v>
      </c>
      <c r="S14421" t="s">
        <v>48377</v>
      </c>
      <c r="T14421" t="s">
        <v>49198</v>
      </c>
      <c r="U14421" t="s">
        <v>61391</v>
      </c>
      <c r="W14421" t="s">
        <v>46740</v>
      </c>
      <c r="X14421" t="s">
        <v>47447</v>
      </c>
    </row>
    <row r="14422" spans="1:24">
      <c r="A14422">
        <f>HYPERLINK("https://www.philgeps.gov.ph/GEPSNONPILOT/Tender/SplashBidNoticeAbstractUI.aspx?menuIndex=3&amp;refID=7123606&amp;Result=3","7123606")</f>
        <v>0</v>
      </c>
      <c r="B14422" t="s">
        <v>81</v>
      </c>
      <c r="C14422" t="s">
        <v>17544</v>
      </c>
      <c r="D14422" t="s">
        <v>19023</v>
      </c>
      <c r="E14422" t="s">
        <v>31466</v>
      </c>
      <c r="F14422" t="s">
        <v>32831</v>
      </c>
      <c r="G14422" t="s">
        <v>32839</v>
      </c>
      <c r="H14422" t="s">
        <v>32849</v>
      </c>
      <c r="I14422" t="s">
        <v>4177</v>
      </c>
      <c r="J14422" t="s">
        <v>41785</v>
      </c>
      <c r="K14422" t="s">
        <v>42732</v>
      </c>
      <c r="M14422" t="s">
        <v>43078</v>
      </c>
      <c r="N14422" t="s">
        <v>47424</v>
      </c>
      <c r="O14422" t="s">
        <v>47425</v>
      </c>
      <c r="P14422">
        <v>0</v>
      </c>
      <c r="Q14422">
        <v>1</v>
      </c>
      <c r="R14422" t="s">
        <v>47446</v>
      </c>
      <c r="S14422" t="s">
        <v>48377</v>
      </c>
      <c r="T14422" t="s">
        <v>49214</v>
      </c>
      <c r="U14422" t="s">
        <v>61392</v>
      </c>
      <c r="W14422" t="s">
        <v>43078</v>
      </c>
      <c r="X14422" t="s">
        <v>47447</v>
      </c>
    </row>
    <row r="14423" spans="1:24">
      <c r="A14423">
        <f>HYPERLINK("https://www.philgeps.gov.ph/GEPSNONPILOT/Tender/SplashBidNoticeAbstractUI.aspx?menuIndex=3&amp;refID=7123602&amp;Result=3","7123602")</f>
        <v>0</v>
      </c>
      <c r="B14423" t="s">
        <v>3544</v>
      </c>
      <c r="C14423" t="s">
        <v>17545</v>
      </c>
      <c r="D14423" t="s">
        <v>19077</v>
      </c>
      <c r="E14423" t="s">
        <v>31467</v>
      </c>
      <c r="F14423" t="s">
        <v>32831</v>
      </c>
      <c r="G14423" t="s">
        <v>32839</v>
      </c>
      <c r="H14423" t="s">
        <v>32848</v>
      </c>
      <c r="I14423" t="s">
        <v>4438</v>
      </c>
      <c r="J14423" t="s">
        <v>33303</v>
      </c>
      <c r="K14423" t="s">
        <v>42732</v>
      </c>
      <c r="M14423" t="s">
        <v>46898</v>
      </c>
      <c r="N14423" t="s">
        <v>47424</v>
      </c>
      <c r="O14423" t="s">
        <v>47425</v>
      </c>
      <c r="P14423">
        <v>0</v>
      </c>
      <c r="Q14423">
        <v>1</v>
      </c>
      <c r="R14423" t="s">
        <v>47446</v>
      </c>
      <c r="S14423" t="s">
        <v>48377</v>
      </c>
      <c r="T14423" t="s">
        <v>49239</v>
      </c>
      <c r="U14423" t="s">
        <v>61393</v>
      </c>
      <c r="W14423" t="s">
        <v>46898</v>
      </c>
      <c r="X14423" t="s">
        <v>47447</v>
      </c>
    </row>
    <row r="14424" spans="1:24">
      <c r="A14424">
        <f>HYPERLINK("https://www.philgeps.gov.ph/GEPSNONPILOT/Tender/SplashBidNoticeAbstractUI.aspx?menuIndex=3&amp;refID=7123587&amp;Result=3","7123587")</f>
        <v>0</v>
      </c>
      <c r="B14424" t="s">
        <v>1686</v>
      </c>
      <c r="C14424" t="s">
        <v>17546</v>
      </c>
      <c r="D14424" t="s">
        <v>19070</v>
      </c>
      <c r="E14424" t="s">
        <v>31468</v>
      </c>
      <c r="F14424" t="s">
        <v>32831</v>
      </c>
      <c r="G14424" t="s">
        <v>32839</v>
      </c>
      <c r="H14424" t="s">
        <v>32849</v>
      </c>
      <c r="I14424" t="s">
        <v>4177</v>
      </c>
      <c r="J14424" t="s">
        <v>35708</v>
      </c>
      <c r="K14424" t="s">
        <v>42770</v>
      </c>
      <c r="M14424" t="s">
        <v>44806</v>
      </c>
      <c r="N14424" t="s">
        <v>47424</v>
      </c>
      <c r="O14424" t="s">
        <v>47425</v>
      </c>
      <c r="P14424">
        <v>0</v>
      </c>
      <c r="Q14424">
        <v>0</v>
      </c>
      <c r="R14424" t="s">
        <v>47446</v>
      </c>
      <c r="S14424" t="s">
        <v>48377</v>
      </c>
      <c r="T14424" t="s">
        <v>49415</v>
      </c>
      <c r="U14424" t="s">
        <v>61394</v>
      </c>
      <c r="W14424" t="s">
        <v>44806</v>
      </c>
      <c r="X14424" t="s">
        <v>47447</v>
      </c>
    </row>
    <row r="14425" spans="1:24">
      <c r="A14425">
        <f>HYPERLINK("https://www.philgeps.gov.ph/GEPSNONPILOT/Tender/SplashBidNoticeAbstractUI.aspx?menuIndex=3&amp;refID=7123572&amp;Result=3","7123572")</f>
        <v>0</v>
      </c>
      <c r="B14425" t="s">
        <v>3406</v>
      </c>
      <c r="C14425" t="s">
        <v>17547</v>
      </c>
      <c r="D14425" t="s">
        <v>19032</v>
      </c>
      <c r="E14425" t="s">
        <v>17547</v>
      </c>
      <c r="F14425" t="s">
        <v>32831</v>
      </c>
      <c r="G14425" t="s">
        <v>32839</v>
      </c>
      <c r="H14425" t="s">
        <v>32848</v>
      </c>
      <c r="I14425" t="s">
        <v>7751</v>
      </c>
      <c r="J14425" t="s">
        <v>41786</v>
      </c>
      <c r="K14425" t="s">
        <v>42742</v>
      </c>
      <c r="M14425" t="s">
        <v>46740</v>
      </c>
      <c r="N14425" t="s">
        <v>47424</v>
      </c>
      <c r="O14425" t="s">
        <v>47425</v>
      </c>
      <c r="P14425">
        <v>0</v>
      </c>
      <c r="Q14425">
        <v>0</v>
      </c>
      <c r="R14425" t="s">
        <v>47446</v>
      </c>
      <c r="S14425" t="s">
        <v>48377</v>
      </c>
      <c r="T14425" t="s">
        <v>49198</v>
      </c>
      <c r="U14425" t="s">
        <v>61395</v>
      </c>
      <c r="W14425" t="s">
        <v>46740</v>
      </c>
      <c r="X14425" t="s">
        <v>47447</v>
      </c>
    </row>
    <row r="14426" spans="1:24">
      <c r="A14426">
        <f>HYPERLINK("https://www.philgeps.gov.ph/GEPSNONPILOT/Tender/SplashBidNoticeAbstractUI.aspx?menuIndex=3&amp;refID=7126932&amp;Result=3","7126932")</f>
        <v>0</v>
      </c>
      <c r="B14426" t="s">
        <v>2168</v>
      </c>
      <c r="C14426" t="s">
        <v>17548</v>
      </c>
      <c r="D14426" t="s">
        <v>19045</v>
      </c>
      <c r="E14426" t="s">
        <v>31469</v>
      </c>
      <c r="F14426" t="s">
        <v>32831</v>
      </c>
      <c r="G14426" t="s">
        <v>32839</v>
      </c>
      <c r="H14426" t="s">
        <v>32849</v>
      </c>
      <c r="I14426" t="s">
        <v>4177</v>
      </c>
      <c r="J14426" t="s">
        <v>41458</v>
      </c>
      <c r="K14426" t="s">
        <v>42729</v>
      </c>
      <c r="M14426" t="s">
        <v>45346</v>
      </c>
      <c r="N14426" t="s">
        <v>47424</v>
      </c>
      <c r="O14426" t="s">
        <v>47425</v>
      </c>
      <c r="P14426">
        <v>0</v>
      </c>
      <c r="Q14426">
        <v>1</v>
      </c>
      <c r="R14426" t="s">
        <v>47445</v>
      </c>
      <c r="S14426" t="s">
        <v>48250</v>
      </c>
      <c r="T14426" t="s">
        <v>49141</v>
      </c>
      <c r="U14426" t="s">
        <v>61004</v>
      </c>
      <c r="W14426" t="s">
        <v>45346</v>
      </c>
      <c r="X14426" t="s">
        <v>47446</v>
      </c>
    </row>
    <row r="14427" spans="1:24">
      <c r="A14427">
        <f>HYPERLINK("https://www.philgeps.gov.ph/GEPSNONPILOT/Tender/SplashBidNoticeAbstractUI.aspx?menuIndex=3&amp;refID=7123582&amp;Result=3","7123582")</f>
        <v>0</v>
      </c>
      <c r="B14427" t="s">
        <v>3818</v>
      </c>
      <c r="C14427" t="s">
        <v>17549</v>
      </c>
      <c r="D14427" t="s">
        <v>19018</v>
      </c>
      <c r="E14427" t="s">
        <v>19183</v>
      </c>
      <c r="F14427" t="s">
        <v>32831</v>
      </c>
      <c r="G14427" t="s">
        <v>32839</v>
      </c>
      <c r="H14427" t="s">
        <v>32849</v>
      </c>
      <c r="I14427" t="s">
        <v>4177</v>
      </c>
      <c r="J14427" t="s">
        <v>41787</v>
      </c>
      <c r="K14427" t="s">
        <v>42770</v>
      </c>
      <c r="M14427" t="s">
        <v>47240</v>
      </c>
      <c r="N14427" t="s">
        <v>47424</v>
      </c>
      <c r="O14427" t="s">
        <v>47425</v>
      </c>
      <c r="P14427">
        <v>0</v>
      </c>
      <c r="Q14427">
        <v>2</v>
      </c>
      <c r="R14427" t="s">
        <v>47446</v>
      </c>
      <c r="S14427" t="s">
        <v>48377</v>
      </c>
      <c r="T14427" t="s">
        <v>49111</v>
      </c>
      <c r="U14427" t="s">
        <v>61396</v>
      </c>
      <c r="V14427" t="s">
        <v>63768</v>
      </c>
      <c r="W14427" t="s">
        <v>47240</v>
      </c>
      <c r="X14427" t="s">
        <v>47447</v>
      </c>
    </row>
    <row r="14428" spans="1:24">
      <c r="A14428">
        <f>HYPERLINK("https://www.philgeps.gov.ph/GEPSNONPILOT/Tender/SplashBidNoticeAbstractUI.aspx?menuIndex=3&amp;refID=7123556&amp;Result=3","7123556")</f>
        <v>0</v>
      </c>
      <c r="B14428" t="s">
        <v>1484</v>
      </c>
      <c r="C14428" t="s">
        <v>17550</v>
      </c>
      <c r="D14428" t="s">
        <v>19031</v>
      </c>
      <c r="E14428" t="s">
        <v>31470</v>
      </c>
      <c r="F14428" t="s">
        <v>32831</v>
      </c>
      <c r="G14428" t="s">
        <v>32839</v>
      </c>
      <c r="H14428" t="s">
        <v>32849</v>
      </c>
      <c r="I14428" t="s">
        <v>4177</v>
      </c>
      <c r="J14428" t="s">
        <v>41788</v>
      </c>
      <c r="K14428" t="s">
        <v>42728</v>
      </c>
      <c r="M14428" t="s">
        <v>44578</v>
      </c>
      <c r="N14428" t="s">
        <v>47424</v>
      </c>
      <c r="O14428" t="s">
        <v>47425</v>
      </c>
      <c r="P14428">
        <v>0</v>
      </c>
      <c r="Q14428">
        <v>0</v>
      </c>
      <c r="R14428" t="s">
        <v>47446</v>
      </c>
      <c r="S14428" t="s">
        <v>48377</v>
      </c>
      <c r="T14428" t="s">
        <v>49237</v>
      </c>
      <c r="U14428" t="s">
        <v>61397</v>
      </c>
      <c r="W14428" t="s">
        <v>44578</v>
      </c>
      <c r="X14428" t="s">
        <v>47447</v>
      </c>
    </row>
    <row r="14429" spans="1:24">
      <c r="A14429">
        <f>HYPERLINK("https://www.philgeps.gov.ph/GEPSNONPILOT/Tender/SplashBidNoticeAbstractUI.aspx?menuIndex=3&amp;refID=7123380&amp;Result=3","7123380")</f>
        <v>0</v>
      </c>
      <c r="B14429" t="s">
        <v>1686</v>
      </c>
      <c r="C14429" t="s">
        <v>17551</v>
      </c>
      <c r="D14429" t="s">
        <v>19070</v>
      </c>
      <c r="E14429" t="s">
        <v>31471</v>
      </c>
      <c r="F14429" t="s">
        <v>32831</v>
      </c>
      <c r="G14429" t="s">
        <v>32839</v>
      </c>
      <c r="H14429" t="s">
        <v>32849</v>
      </c>
      <c r="I14429" t="s">
        <v>4177</v>
      </c>
      <c r="J14429" t="s">
        <v>33118</v>
      </c>
      <c r="K14429" t="s">
        <v>42766</v>
      </c>
      <c r="M14429" t="s">
        <v>44806</v>
      </c>
      <c r="N14429" t="s">
        <v>47424</v>
      </c>
      <c r="O14429" t="s">
        <v>47425</v>
      </c>
      <c r="P14429">
        <v>0</v>
      </c>
      <c r="Q14429">
        <v>0</v>
      </c>
      <c r="R14429" t="s">
        <v>47446</v>
      </c>
      <c r="S14429" t="s">
        <v>48377</v>
      </c>
      <c r="T14429" t="s">
        <v>49415</v>
      </c>
      <c r="U14429" t="s">
        <v>61398</v>
      </c>
      <c r="W14429" t="s">
        <v>44806</v>
      </c>
      <c r="X14429" t="s">
        <v>47447</v>
      </c>
    </row>
    <row r="14430" spans="1:24">
      <c r="A14430">
        <f>HYPERLINK("https://www.philgeps.gov.ph/GEPSNONPILOT/Tender/SplashBidNoticeAbstractUI.aspx?menuIndex=3&amp;refID=7123474&amp;Result=3","7123474")</f>
        <v>0</v>
      </c>
      <c r="B14430" t="s">
        <v>1484</v>
      </c>
      <c r="C14430" t="s">
        <v>17552</v>
      </c>
      <c r="D14430" t="s">
        <v>19031</v>
      </c>
      <c r="E14430" t="s">
        <v>31472</v>
      </c>
      <c r="F14430" t="s">
        <v>32831</v>
      </c>
      <c r="G14430" t="s">
        <v>32839</v>
      </c>
      <c r="H14430" t="s">
        <v>32849</v>
      </c>
      <c r="I14430" t="s">
        <v>4177</v>
      </c>
      <c r="J14430" t="s">
        <v>41789</v>
      </c>
      <c r="K14430" t="s">
        <v>42728</v>
      </c>
      <c r="M14430" t="s">
        <v>44578</v>
      </c>
      <c r="N14430" t="s">
        <v>47424</v>
      </c>
      <c r="O14430" t="s">
        <v>47425</v>
      </c>
      <c r="P14430">
        <v>0</v>
      </c>
      <c r="Q14430">
        <v>0</v>
      </c>
      <c r="R14430" t="s">
        <v>47446</v>
      </c>
      <c r="S14430" t="s">
        <v>48377</v>
      </c>
      <c r="T14430" t="s">
        <v>49237</v>
      </c>
      <c r="U14430" t="s">
        <v>61399</v>
      </c>
      <c r="W14430" t="s">
        <v>44578</v>
      </c>
      <c r="X14430" t="s">
        <v>47447</v>
      </c>
    </row>
    <row r="14431" spans="1:24">
      <c r="A14431">
        <f>HYPERLINK("https://www.philgeps.gov.ph/GEPSNONPILOT/Tender/SplashBidNoticeAbstractUI.aspx?menuIndex=3&amp;refID=7123543&amp;Result=3","7123543")</f>
        <v>0</v>
      </c>
      <c r="B14431" t="s">
        <v>81</v>
      </c>
      <c r="C14431" t="s">
        <v>17553</v>
      </c>
      <c r="D14431" t="s">
        <v>19023</v>
      </c>
      <c r="E14431" t="s">
        <v>31473</v>
      </c>
      <c r="F14431" t="s">
        <v>32831</v>
      </c>
      <c r="G14431" t="s">
        <v>32839</v>
      </c>
      <c r="H14431" t="s">
        <v>32849</v>
      </c>
      <c r="I14431" t="s">
        <v>4177</v>
      </c>
      <c r="J14431" t="s">
        <v>41790</v>
      </c>
      <c r="K14431" t="s">
        <v>42732</v>
      </c>
      <c r="M14431" t="s">
        <v>43078</v>
      </c>
      <c r="N14431" t="s">
        <v>47424</v>
      </c>
      <c r="O14431" t="s">
        <v>47425</v>
      </c>
      <c r="P14431">
        <v>0</v>
      </c>
      <c r="Q14431">
        <v>1</v>
      </c>
      <c r="R14431" t="s">
        <v>47446</v>
      </c>
      <c r="S14431" t="s">
        <v>48377</v>
      </c>
      <c r="T14431" t="s">
        <v>49214</v>
      </c>
      <c r="U14431" t="s">
        <v>61400</v>
      </c>
      <c r="W14431" t="s">
        <v>43078</v>
      </c>
      <c r="X14431" t="s">
        <v>47447</v>
      </c>
    </row>
    <row r="14432" spans="1:24">
      <c r="A14432">
        <f>HYPERLINK("https://www.philgeps.gov.ph/GEPSNONPILOT/Tender/SplashBidNoticeAbstractUI.aspx?menuIndex=3&amp;refID=7123565&amp;Result=3","7123565")</f>
        <v>0</v>
      </c>
      <c r="B14432" t="s">
        <v>1975</v>
      </c>
      <c r="C14432" t="s">
        <v>17554</v>
      </c>
      <c r="D14432" t="s">
        <v>19037</v>
      </c>
      <c r="E14432" t="s">
        <v>31474</v>
      </c>
      <c r="F14432" t="s">
        <v>32831</v>
      </c>
      <c r="G14432" t="s">
        <v>32839</v>
      </c>
      <c r="H14432" t="s">
        <v>32848</v>
      </c>
      <c r="I14432" t="s">
        <v>9577</v>
      </c>
      <c r="J14432" t="s">
        <v>41791</v>
      </c>
      <c r="K14432" t="s">
        <v>42730</v>
      </c>
      <c r="M14432" t="s">
        <v>45136</v>
      </c>
      <c r="N14432" t="s">
        <v>47424</v>
      </c>
      <c r="O14432" t="s">
        <v>47425</v>
      </c>
      <c r="P14432">
        <v>0</v>
      </c>
      <c r="Q14432">
        <v>6</v>
      </c>
      <c r="R14432" t="s">
        <v>47446</v>
      </c>
      <c r="S14432" t="s">
        <v>48377</v>
      </c>
      <c r="T14432" t="s">
        <v>49111</v>
      </c>
      <c r="U14432" t="s">
        <v>61401</v>
      </c>
      <c r="W14432" t="s">
        <v>45136</v>
      </c>
      <c r="X14432" t="s">
        <v>47447</v>
      </c>
    </row>
    <row r="14433" spans="1:24">
      <c r="A14433">
        <f>HYPERLINK("https://www.philgeps.gov.ph/GEPSNONPILOT/Tender/SplashBidNoticeAbstractUI.aspx?menuIndex=3&amp;refID=7123397&amp;Result=3","7123397")</f>
        <v>0</v>
      </c>
      <c r="B14433" t="s">
        <v>3544</v>
      </c>
      <c r="C14433" t="s">
        <v>17555</v>
      </c>
      <c r="D14433" t="s">
        <v>19077</v>
      </c>
      <c r="E14433" t="s">
        <v>31475</v>
      </c>
      <c r="F14433" t="s">
        <v>32831</v>
      </c>
      <c r="G14433" t="s">
        <v>32839</v>
      </c>
      <c r="H14433" t="s">
        <v>32848</v>
      </c>
      <c r="I14433" t="s">
        <v>4222</v>
      </c>
      <c r="J14433" t="s">
        <v>41792</v>
      </c>
      <c r="K14433" t="s">
        <v>42770</v>
      </c>
      <c r="M14433" t="s">
        <v>46898</v>
      </c>
      <c r="N14433" t="s">
        <v>47424</v>
      </c>
      <c r="O14433" t="s">
        <v>47425</v>
      </c>
      <c r="P14433">
        <v>0</v>
      </c>
      <c r="Q14433">
        <v>2</v>
      </c>
      <c r="R14433" t="s">
        <v>47446</v>
      </c>
      <c r="S14433" t="s">
        <v>48377</v>
      </c>
      <c r="T14433" t="s">
        <v>49239</v>
      </c>
      <c r="U14433" t="s">
        <v>61402</v>
      </c>
      <c r="W14433" t="s">
        <v>46898</v>
      </c>
      <c r="X14433" t="s">
        <v>47447</v>
      </c>
    </row>
    <row r="14434" spans="1:24">
      <c r="A14434">
        <f>HYPERLINK("https://www.philgeps.gov.ph/GEPSNONPILOT/Tender/SplashBidNoticeAbstractUI.aspx?menuIndex=3&amp;refID=7123513&amp;Result=3","7123513")</f>
        <v>0</v>
      </c>
      <c r="B14434" t="s">
        <v>277</v>
      </c>
      <c r="C14434" t="s">
        <v>17556</v>
      </c>
      <c r="D14434" t="s">
        <v>19068</v>
      </c>
      <c r="E14434" t="s">
        <v>31476</v>
      </c>
      <c r="F14434" t="s">
        <v>32831</v>
      </c>
      <c r="G14434" t="s">
        <v>32839</v>
      </c>
      <c r="H14434" t="s">
        <v>32849</v>
      </c>
      <c r="I14434" t="s">
        <v>4177</v>
      </c>
      <c r="J14434" t="s">
        <v>41793</v>
      </c>
      <c r="K14434" t="s">
        <v>42730</v>
      </c>
      <c r="M14434" t="s">
        <v>43276</v>
      </c>
      <c r="N14434" t="s">
        <v>47424</v>
      </c>
      <c r="O14434" t="s">
        <v>47425</v>
      </c>
      <c r="P14434">
        <v>0</v>
      </c>
      <c r="Q14434">
        <v>0</v>
      </c>
      <c r="R14434" t="s">
        <v>47446</v>
      </c>
      <c r="S14434" t="s">
        <v>48377</v>
      </c>
      <c r="T14434" t="s">
        <v>49214</v>
      </c>
      <c r="U14434" t="s">
        <v>61403</v>
      </c>
      <c r="W14434" t="s">
        <v>43276</v>
      </c>
      <c r="X14434" t="s">
        <v>47447</v>
      </c>
    </row>
    <row r="14435" spans="1:24">
      <c r="A14435">
        <f>HYPERLINK("https://www.philgeps.gov.ph/GEPSNONPILOT/Tender/SplashBidNoticeAbstractUI.aspx?menuIndex=3&amp;refID=7123524&amp;Result=3","7123524")</f>
        <v>0</v>
      </c>
      <c r="B14435" t="s">
        <v>2485</v>
      </c>
      <c r="C14435" t="s">
        <v>17557</v>
      </c>
      <c r="D14435" t="s">
        <v>19031</v>
      </c>
      <c r="E14435" t="s">
        <v>31477</v>
      </c>
      <c r="F14435" t="s">
        <v>32831</v>
      </c>
      <c r="G14435" t="s">
        <v>32839</v>
      </c>
      <c r="H14435" t="s">
        <v>32848</v>
      </c>
      <c r="I14435" t="s">
        <v>32870</v>
      </c>
      <c r="J14435" t="s">
        <v>33032</v>
      </c>
      <c r="K14435" t="s">
        <v>42763</v>
      </c>
      <c r="M14435" t="s">
        <v>45688</v>
      </c>
      <c r="N14435" t="s">
        <v>47424</v>
      </c>
      <c r="O14435" t="s">
        <v>47425</v>
      </c>
      <c r="P14435">
        <v>0</v>
      </c>
      <c r="Q14435">
        <v>0</v>
      </c>
      <c r="R14435" t="s">
        <v>47446</v>
      </c>
      <c r="S14435" t="s">
        <v>48377</v>
      </c>
      <c r="T14435" t="s">
        <v>49330</v>
      </c>
      <c r="U14435" t="s">
        <v>61404</v>
      </c>
      <c r="W14435" t="s">
        <v>64510</v>
      </c>
      <c r="X14435" t="s">
        <v>47447</v>
      </c>
    </row>
    <row r="14436" spans="1:24">
      <c r="A14436">
        <f>HYPERLINK("https://www.philgeps.gov.ph/GEPSNONPILOT/Tender/SplashBidNoticeAbstractUI.aspx?menuIndex=3&amp;refID=7123482&amp;Result=3","7123482")</f>
        <v>0</v>
      </c>
      <c r="B14436" t="s">
        <v>3819</v>
      </c>
      <c r="C14436" t="s">
        <v>17558</v>
      </c>
      <c r="D14436" t="s">
        <v>19078</v>
      </c>
      <c r="E14436" t="s">
        <v>31478</v>
      </c>
      <c r="F14436" t="s">
        <v>32831</v>
      </c>
      <c r="G14436" t="s">
        <v>32839</v>
      </c>
      <c r="H14436" t="s">
        <v>32848</v>
      </c>
      <c r="I14436" t="s">
        <v>8577</v>
      </c>
      <c r="J14436" t="s">
        <v>32978</v>
      </c>
      <c r="K14436" t="s">
        <v>42745</v>
      </c>
      <c r="M14436" t="s">
        <v>47241</v>
      </c>
      <c r="N14436" t="s">
        <v>47424</v>
      </c>
      <c r="O14436" t="s">
        <v>47425</v>
      </c>
      <c r="P14436">
        <v>0</v>
      </c>
      <c r="Q14436">
        <v>6</v>
      </c>
      <c r="R14436" t="s">
        <v>47446</v>
      </c>
      <c r="S14436" t="s">
        <v>48377</v>
      </c>
      <c r="T14436" t="s">
        <v>49237</v>
      </c>
      <c r="U14436" t="s">
        <v>61405</v>
      </c>
      <c r="W14436" t="s">
        <v>47241</v>
      </c>
      <c r="X14436" t="s">
        <v>47447</v>
      </c>
    </row>
    <row r="14437" spans="1:24">
      <c r="A14437">
        <f>HYPERLINK("https://www.philgeps.gov.ph/GEPSNONPILOT/Tender/SplashBidNoticeAbstractUI.aspx?menuIndex=3&amp;refID=7123498&amp;Result=3","7123498")</f>
        <v>0</v>
      </c>
      <c r="B14437" t="s">
        <v>1153</v>
      </c>
      <c r="C14437" t="s">
        <v>17559</v>
      </c>
      <c r="D14437" t="s">
        <v>19045</v>
      </c>
      <c r="E14437" t="s">
        <v>31479</v>
      </c>
      <c r="F14437" t="s">
        <v>32831</v>
      </c>
      <c r="G14437" t="s">
        <v>32839</v>
      </c>
      <c r="H14437" t="s">
        <v>32849</v>
      </c>
      <c r="I14437" t="s">
        <v>4177</v>
      </c>
      <c r="J14437" t="s">
        <v>33083</v>
      </c>
      <c r="K14437" t="s">
        <v>42770</v>
      </c>
      <c r="M14437" t="s">
        <v>44217</v>
      </c>
      <c r="N14437" t="s">
        <v>47424</v>
      </c>
      <c r="O14437" t="s">
        <v>47425</v>
      </c>
      <c r="P14437">
        <v>0</v>
      </c>
      <c r="Q14437">
        <v>1</v>
      </c>
      <c r="R14437" t="s">
        <v>47446</v>
      </c>
      <c r="S14437" t="s">
        <v>48377</v>
      </c>
      <c r="T14437" t="s">
        <v>49111</v>
      </c>
      <c r="U14437" t="s">
        <v>61406</v>
      </c>
      <c r="W14437" t="s">
        <v>44217</v>
      </c>
      <c r="X14437" t="s">
        <v>47447</v>
      </c>
    </row>
    <row r="14438" spans="1:24">
      <c r="A14438">
        <f>HYPERLINK("https://www.philgeps.gov.ph/GEPSNONPILOT/Tender/SplashBidNoticeAbstractUI.aspx?menuIndex=3&amp;refID=7123612&amp;Result=3","7123612")</f>
        <v>0</v>
      </c>
      <c r="B14438" t="s">
        <v>3406</v>
      </c>
      <c r="C14438" t="s">
        <v>17547</v>
      </c>
      <c r="D14438" t="s">
        <v>19032</v>
      </c>
      <c r="E14438" t="s">
        <v>17547</v>
      </c>
      <c r="F14438" t="s">
        <v>32831</v>
      </c>
      <c r="G14438" t="s">
        <v>32839</v>
      </c>
      <c r="H14438" t="s">
        <v>32848</v>
      </c>
      <c r="I14438" t="s">
        <v>7751</v>
      </c>
      <c r="J14438" t="s">
        <v>41794</v>
      </c>
      <c r="K14438" t="s">
        <v>42742</v>
      </c>
      <c r="M14438" t="s">
        <v>46740</v>
      </c>
      <c r="N14438" t="s">
        <v>47424</v>
      </c>
      <c r="O14438" t="s">
        <v>47425</v>
      </c>
      <c r="P14438">
        <v>0</v>
      </c>
      <c r="Q14438">
        <v>0</v>
      </c>
      <c r="R14438" t="s">
        <v>47446</v>
      </c>
      <c r="S14438" t="s">
        <v>48377</v>
      </c>
      <c r="T14438" t="s">
        <v>49198</v>
      </c>
      <c r="U14438" t="s">
        <v>61395</v>
      </c>
      <c r="W14438" t="s">
        <v>46740</v>
      </c>
      <c r="X14438" t="s">
        <v>47447</v>
      </c>
    </row>
    <row r="14439" spans="1:24">
      <c r="A14439">
        <f>HYPERLINK("https://www.philgeps.gov.ph/GEPSNONPILOT/Tender/SplashBidNoticeAbstractUI.aspx?menuIndex=3&amp;refID=7123538&amp;Result=3","7123538")</f>
        <v>0</v>
      </c>
      <c r="B14439" t="s">
        <v>277</v>
      </c>
      <c r="C14439" t="s">
        <v>17560</v>
      </c>
      <c r="D14439" t="s">
        <v>19068</v>
      </c>
      <c r="E14439" t="s">
        <v>31480</v>
      </c>
      <c r="F14439" t="s">
        <v>32831</v>
      </c>
      <c r="G14439" t="s">
        <v>32839</v>
      </c>
      <c r="H14439" t="s">
        <v>32849</v>
      </c>
      <c r="I14439" t="s">
        <v>4177</v>
      </c>
      <c r="J14439" t="s">
        <v>41795</v>
      </c>
      <c r="K14439" t="s">
        <v>42763</v>
      </c>
      <c r="M14439" t="s">
        <v>43276</v>
      </c>
      <c r="N14439" t="s">
        <v>47424</v>
      </c>
      <c r="O14439" t="s">
        <v>47425</v>
      </c>
      <c r="P14439">
        <v>0</v>
      </c>
      <c r="Q14439">
        <v>0</v>
      </c>
      <c r="R14439" t="s">
        <v>47446</v>
      </c>
      <c r="S14439" t="s">
        <v>48377</v>
      </c>
      <c r="T14439" t="s">
        <v>49214</v>
      </c>
      <c r="U14439" t="s">
        <v>61407</v>
      </c>
      <c r="W14439" t="s">
        <v>43276</v>
      </c>
      <c r="X14439" t="s">
        <v>47447</v>
      </c>
    </row>
    <row r="14440" spans="1:24">
      <c r="A14440">
        <f>HYPERLINK("https://www.philgeps.gov.ph/GEPSNONPILOT/Tender/SplashBidNoticeAbstractUI.aspx?menuIndex=3&amp;refID=7123518&amp;Result=3","7123518")</f>
        <v>0</v>
      </c>
      <c r="B14440" t="s">
        <v>1026</v>
      </c>
      <c r="C14440" t="s">
        <v>17561</v>
      </c>
      <c r="D14440" t="s">
        <v>19062</v>
      </c>
      <c r="E14440" t="s">
        <v>31481</v>
      </c>
      <c r="F14440" t="s">
        <v>32831</v>
      </c>
      <c r="G14440" t="s">
        <v>32839</v>
      </c>
      <c r="H14440" t="s">
        <v>32848</v>
      </c>
      <c r="I14440" t="s">
        <v>32874</v>
      </c>
      <c r="J14440" t="s">
        <v>35687</v>
      </c>
      <c r="K14440" t="s">
        <v>42763</v>
      </c>
      <c r="M14440" t="s">
        <v>44076</v>
      </c>
      <c r="N14440" t="s">
        <v>47424</v>
      </c>
      <c r="O14440" t="s">
        <v>47425</v>
      </c>
      <c r="Q14440">
        <v>35</v>
      </c>
      <c r="R14440" t="s">
        <v>47446</v>
      </c>
      <c r="S14440" t="s">
        <v>48410</v>
      </c>
      <c r="T14440" t="s">
        <v>49127</v>
      </c>
      <c r="U14440" t="s">
        <v>61408</v>
      </c>
      <c r="V14440" t="s">
        <v>63453</v>
      </c>
      <c r="W14440" t="s">
        <v>44076</v>
      </c>
      <c r="X14440" t="s">
        <v>47447</v>
      </c>
    </row>
    <row r="14441" spans="1:24">
      <c r="A14441">
        <f>HYPERLINK("https://www.philgeps.gov.ph/GEPSNONPILOT/Tender/SplashBidNoticeAbstractUI.aspx?menuIndex=3&amp;refID=7123823&amp;Result=3","7123823")</f>
        <v>0</v>
      </c>
      <c r="B14441" t="s">
        <v>3820</v>
      </c>
      <c r="C14441" t="s">
        <v>17562</v>
      </c>
      <c r="D14441" t="s">
        <v>19017</v>
      </c>
      <c r="E14441" t="s">
        <v>31482</v>
      </c>
      <c r="F14441" t="s">
        <v>32833</v>
      </c>
      <c r="G14441" t="s">
        <v>32839</v>
      </c>
      <c r="H14441" t="s">
        <v>32848</v>
      </c>
      <c r="I14441" t="s">
        <v>32879</v>
      </c>
      <c r="J14441" t="s">
        <v>41796</v>
      </c>
      <c r="K14441" t="s">
        <v>42727</v>
      </c>
      <c r="M14441" t="s">
        <v>47242</v>
      </c>
      <c r="N14441" t="s">
        <v>47424</v>
      </c>
      <c r="O14441" t="s">
        <v>47425</v>
      </c>
      <c r="P14441">
        <v>0</v>
      </c>
      <c r="Q14441">
        <v>4</v>
      </c>
      <c r="R14441" t="s">
        <v>47446</v>
      </c>
      <c r="S14441" t="s">
        <v>48377</v>
      </c>
      <c r="T14441" t="s">
        <v>49111</v>
      </c>
      <c r="U14441" t="s">
        <v>61409</v>
      </c>
      <c r="W14441" t="s">
        <v>47242</v>
      </c>
      <c r="X14441" t="s">
        <v>47447</v>
      </c>
    </row>
    <row r="14442" spans="1:24">
      <c r="A14442">
        <f>HYPERLINK("https://www.philgeps.gov.ph/GEPSNONPILOT/Tender/SplashBidNoticeAbstractUI.aspx?menuIndex=3&amp;refID=7123816&amp;Result=3","7123816")</f>
        <v>0</v>
      </c>
      <c r="B14442" t="s">
        <v>3300</v>
      </c>
      <c r="C14442" t="s">
        <v>17563</v>
      </c>
      <c r="D14442" t="s">
        <v>19017</v>
      </c>
      <c r="E14442" t="s">
        <v>31483</v>
      </c>
      <c r="F14442" t="s">
        <v>32831</v>
      </c>
      <c r="G14442" t="s">
        <v>32839</v>
      </c>
      <c r="H14442" t="s">
        <v>32850</v>
      </c>
      <c r="I14442" t="s">
        <v>32866</v>
      </c>
      <c r="J14442" t="s">
        <v>41797</v>
      </c>
      <c r="K14442" t="s">
        <v>42986</v>
      </c>
      <c r="M14442" t="s">
        <v>46621</v>
      </c>
      <c r="N14442" t="s">
        <v>47424</v>
      </c>
      <c r="O14442" t="s">
        <v>47425</v>
      </c>
      <c r="Q14442">
        <v>2</v>
      </c>
      <c r="R14442" t="s">
        <v>47446</v>
      </c>
      <c r="S14442" t="s">
        <v>48411</v>
      </c>
      <c r="T14442" t="s">
        <v>49321</v>
      </c>
      <c r="U14442" t="s">
        <v>61410</v>
      </c>
      <c r="W14442" t="s">
        <v>46621</v>
      </c>
      <c r="X14442" t="s">
        <v>47447</v>
      </c>
    </row>
    <row r="14443" spans="1:24">
      <c r="A14443">
        <f>HYPERLINK("https://www.philgeps.gov.ph/GEPSNONPILOT/Tender/SplashBidNoticeAbstractUI.aspx?menuIndex=3&amp;refID=7123805&amp;Result=3","7123805")</f>
        <v>0</v>
      </c>
      <c r="B14443" t="s">
        <v>3821</v>
      </c>
      <c r="C14443" t="s">
        <v>17564</v>
      </c>
      <c r="D14443" t="s">
        <v>19024</v>
      </c>
      <c r="E14443" t="s">
        <v>20380</v>
      </c>
      <c r="F14443" t="s">
        <v>32831</v>
      </c>
      <c r="G14443" t="s">
        <v>32839</v>
      </c>
      <c r="H14443" t="s">
        <v>32848</v>
      </c>
      <c r="I14443" t="s">
        <v>4487</v>
      </c>
      <c r="J14443" t="s">
        <v>33376</v>
      </c>
      <c r="K14443" t="s">
        <v>42730</v>
      </c>
      <c r="M14443" t="s">
        <v>47243</v>
      </c>
      <c r="N14443" t="s">
        <v>47424</v>
      </c>
      <c r="O14443" t="s">
        <v>47425</v>
      </c>
      <c r="P14443">
        <v>0</v>
      </c>
      <c r="Q14443">
        <v>2</v>
      </c>
      <c r="R14443" t="s">
        <v>47446</v>
      </c>
      <c r="S14443" t="s">
        <v>48377</v>
      </c>
      <c r="T14443" t="s">
        <v>49243</v>
      </c>
      <c r="U14443" t="s">
        <v>61411</v>
      </c>
      <c r="W14443" t="s">
        <v>47243</v>
      </c>
      <c r="X14443" t="s">
        <v>47447</v>
      </c>
    </row>
    <row r="14444" spans="1:24">
      <c r="A14444">
        <f>HYPERLINK("https://www.philgeps.gov.ph/GEPSNONPILOT/Tender/SplashBidNoticeAbstractUI.aspx?menuIndex=3&amp;refID=7123769&amp;Result=3","7123769")</f>
        <v>0</v>
      </c>
      <c r="B14444" t="s">
        <v>81</v>
      </c>
      <c r="C14444" t="s">
        <v>17565</v>
      </c>
      <c r="D14444" t="s">
        <v>19023</v>
      </c>
      <c r="E14444" t="s">
        <v>31484</v>
      </c>
      <c r="F14444" t="s">
        <v>32831</v>
      </c>
      <c r="G14444" t="s">
        <v>32839</v>
      </c>
      <c r="H14444" t="s">
        <v>32849</v>
      </c>
      <c r="I14444" t="s">
        <v>4177</v>
      </c>
      <c r="J14444" t="s">
        <v>41798</v>
      </c>
      <c r="K14444" t="s">
        <v>42732</v>
      </c>
      <c r="M14444" t="s">
        <v>43078</v>
      </c>
      <c r="N14444" t="s">
        <v>47424</v>
      </c>
      <c r="O14444" t="s">
        <v>47425</v>
      </c>
      <c r="P14444">
        <v>0</v>
      </c>
      <c r="Q14444">
        <v>1</v>
      </c>
      <c r="R14444" t="s">
        <v>47446</v>
      </c>
      <c r="S14444" t="s">
        <v>48377</v>
      </c>
      <c r="T14444" t="s">
        <v>49214</v>
      </c>
      <c r="U14444" t="s">
        <v>61412</v>
      </c>
      <c r="W14444" t="s">
        <v>43078</v>
      </c>
      <c r="X14444" t="s">
        <v>47447</v>
      </c>
    </row>
    <row r="14445" spans="1:24">
      <c r="A14445">
        <f>HYPERLINK("https://www.philgeps.gov.ph/GEPSNONPILOT/Tender/SplashBidNoticeAbstractUI.aspx?menuIndex=3&amp;refID=7123822&amp;Result=3","7123822")</f>
        <v>0</v>
      </c>
      <c r="B14445" t="s">
        <v>1358</v>
      </c>
      <c r="C14445" t="s">
        <v>17566</v>
      </c>
      <c r="D14445" t="s">
        <v>19068</v>
      </c>
      <c r="E14445" t="s">
        <v>31485</v>
      </c>
      <c r="F14445" t="s">
        <v>32831</v>
      </c>
      <c r="G14445" t="s">
        <v>32839</v>
      </c>
      <c r="H14445" t="s">
        <v>32848</v>
      </c>
      <c r="I14445" t="s">
        <v>7416</v>
      </c>
      <c r="J14445" t="s">
        <v>41799</v>
      </c>
      <c r="K14445" t="s">
        <v>42730</v>
      </c>
      <c r="M14445" t="s">
        <v>44435</v>
      </c>
      <c r="N14445" t="s">
        <v>47424</v>
      </c>
      <c r="O14445" t="s">
        <v>47425</v>
      </c>
      <c r="P14445">
        <v>0</v>
      </c>
      <c r="Q14445">
        <v>0</v>
      </c>
      <c r="R14445" t="s">
        <v>47446</v>
      </c>
      <c r="S14445" t="s">
        <v>48377</v>
      </c>
      <c r="T14445" t="s">
        <v>49111</v>
      </c>
      <c r="U14445" t="s">
        <v>61413</v>
      </c>
      <c r="V14445" t="s">
        <v>64271</v>
      </c>
      <c r="W14445" t="s">
        <v>44435</v>
      </c>
      <c r="X14445" t="s">
        <v>47447</v>
      </c>
    </row>
    <row r="14446" spans="1:24">
      <c r="A14446">
        <f>HYPERLINK("https://www.philgeps.gov.ph/GEPSNONPILOT/Tender/SplashBidNoticeAbstractUI.aspx?menuIndex=3&amp;refID=7123835&amp;Result=3","7123835")</f>
        <v>0</v>
      </c>
      <c r="B14446" t="s">
        <v>3822</v>
      </c>
      <c r="C14446" t="s">
        <v>17567</v>
      </c>
      <c r="D14446" t="s">
        <v>19018</v>
      </c>
      <c r="E14446" t="s">
        <v>31486</v>
      </c>
      <c r="F14446" t="s">
        <v>32831</v>
      </c>
      <c r="G14446" t="s">
        <v>32839</v>
      </c>
      <c r="H14446" t="s">
        <v>32850</v>
      </c>
      <c r="I14446" t="s">
        <v>32921</v>
      </c>
      <c r="J14446" t="s">
        <v>41800</v>
      </c>
      <c r="K14446" t="s">
        <v>42775</v>
      </c>
      <c r="M14446" t="s">
        <v>47244</v>
      </c>
      <c r="N14446" t="s">
        <v>47424</v>
      </c>
      <c r="O14446" t="s">
        <v>47425</v>
      </c>
      <c r="P14446">
        <v>0</v>
      </c>
      <c r="Q14446">
        <v>5</v>
      </c>
      <c r="R14446" t="s">
        <v>47446</v>
      </c>
      <c r="S14446" t="s">
        <v>48377</v>
      </c>
      <c r="T14446" t="s">
        <v>49650</v>
      </c>
      <c r="U14446" t="s">
        <v>61414</v>
      </c>
      <c r="W14446" t="s">
        <v>47244</v>
      </c>
      <c r="X14446" t="s">
        <v>47447</v>
      </c>
    </row>
    <row r="14447" spans="1:24">
      <c r="A14447">
        <f>HYPERLINK("https://www.philgeps.gov.ph/GEPSNONPILOT/Tender/SplashBidNoticeAbstractUI.aspx?menuIndex=3&amp;refID=7123781&amp;Result=3","7123781")</f>
        <v>0</v>
      </c>
      <c r="B14447" t="s">
        <v>1358</v>
      </c>
      <c r="C14447" t="s">
        <v>17568</v>
      </c>
      <c r="D14447" t="s">
        <v>19068</v>
      </c>
      <c r="E14447" t="s">
        <v>31487</v>
      </c>
      <c r="F14447" t="s">
        <v>32831</v>
      </c>
      <c r="G14447" t="s">
        <v>32839</v>
      </c>
      <c r="H14447" t="s">
        <v>32848</v>
      </c>
      <c r="I14447" t="s">
        <v>7416</v>
      </c>
      <c r="J14447" t="s">
        <v>41801</v>
      </c>
      <c r="K14447" t="s">
        <v>42730</v>
      </c>
      <c r="M14447" t="s">
        <v>44435</v>
      </c>
      <c r="N14447" t="s">
        <v>47424</v>
      </c>
      <c r="O14447" t="s">
        <v>47425</v>
      </c>
      <c r="P14447">
        <v>0</v>
      </c>
      <c r="Q14447">
        <v>0</v>
      </c>
      <c r="R14447" t="s">
        <v>47446</v>
      </c>
      <c r="S14447" t="s">
        <v>48377</v>
      </c>
      <c r="T14447" t="s">
        <v>49111</v>
      </c>
      <c r="U14447" t="s">
        <v>61415</v>
      </c>
      <c r="V14447" t="s">
        <v>64271</v>
      </c>
      <c r="W14447" t="s">
        <v>44435</v>
      </c>
      <c r="X14447" t="s">
        <v>47447</v>
      </c>
    </row>
    <row r="14448" spans="1:24">
      <c r="A14448">
        <f>HYPERLINK("https://www.philgeps.gov.ph/GEPSNONPILOT/Tender/SplashBidNoticeAbstractUI.aspx?menuIndex=3&amp;refID=7123725&amp;Result=3","7123725")</f>
        <v>0</v>
      </c>
      <c r="B14448" t="s">
        <v>81</v>
      </c>
      <c r="C14448" t="s">
        <v>17569</v>
      </c>
      <c r="D14448" t="s">
        <v>19023</v>
      </c>
      <c r="E14448" t="s">
        <v>31488</v>
      </c>
      <c r="F14448" t="s">
        <v>32831</v>
      </c>
      <c r="G14448" t="s">
        <v>32839</v>
      </c>
      <c r="H14448" t="s">
        <v>32849</v>
      </c>
      <c r="I14448" t="s">
        <v>4177</v>
      </c>
      <c r="J14448" t="s">
        <v>41802</v>
      </c>
      <c r="K14448" t="s">
        <v>42732</v>
      </c>
      <c r="M14448" t="s">
        <v>43078</v>
      </c>
      <c r="N14448" t="s">
        <v>47424</v>
      </c>
      <c r="O14448" t="s">
        <v>47425</v>
      </c>
      <c r="P14448">
        <v>0</v>
      </c>
      <c r="Q14448">
        <v>1</v>
      </c>
      <c r="R14448" t="s">
        <v>47446</v>
      </c>
      <c r="S14448" t="s">
        <v>48377</v>
      </c>
      <c r="T14448" t="s">
        <v>49214</v>
      </c>
      <c r="U14448" t="s">
        <v>61416</v>
      </c>
      <c r="W14448" t="s">
        <v>43078</v>
      </c>
      <c r="X14448" t="s">
        <v>47447</v>
      </c>
    </row>
    <row r="14449" spans="1:24">
      <c r="A14449">
        <f>HYPERLINK("https://www.philgeps.gov.ph/GEPSNONPILOT/Tender/SplashBidNoticeAbstractUI.aspx?menuIndex=3&amp;refID=7123542&amp;Result=3","7123542")</f>
        <v>0</v>
      </c>
      <c r="B14449" t="s">
        <v>3544</v>
      </c>
      <c r="C14449" t="s">
        <v>17570</v>
      </c>
      <c r="D14449" t="s">
        <v>19077</v>
      </c>
      <c r="E14449" t="s">
        <v>31489</v>
      </c>
      <c r="F14449" t="s">
        <v>32831</v>
      </c>
      <c r="G14449" t="s">
        <v>32839</v>
      </c>
      <c r="H14449" t="s">
        <v>32848</v>
      </c>
      <c r="I14449" t="s">
        <v>32931</v>
      </c>
      <c r="J14449" t="s">
        <v>41803</v>
      </c>
      <c r="K14449" t="s">
        <v>42732</v>
      </c>
      <c r="M14449" t="s">
        <v>46898</v>
      </c>
      <c r="N14449" t="s">
        <v>47424</v>
      </c>
      <c r="O14449" t="s">
        <v>47425</v>
      </c>
      <c r="P14449">
        <v>0</v>
      </c>
      <c r="Q14449">
        <v>2</v>
      </c>
      <c r="R14449" t="s">
        <v>47446</v>
      </c>
      <c r="S14449" t="s">
        <v>48377</v>
      </c>
      <c r="T14449" t="s">
        <v>49239</v>
      </c>
      <c r="U14449" t="s">
        <v>61417</v>
      </c>
      <c r="W14449" t="s">
        <v>46898</v>
      </c>
      <c r="X14449" t="s">
        <v>47447</v>
      </c>
    </row>
    <row r="14450" spans="1:24">
      <c r="A14450">
        <f>HYPERLINK("https://www.philgeps.gov.ph/GEPSNONPILOT/Tender/SplashBidNoticeAbstractUI.aspx?menuIndex=3&amp;refID=7123552&amp;Result=3","7123552")</f>
        <v>0</v>
      </c>
      <c r="B14450" t="s">
        <v>3817</v>
      </c>
      <c r="C14450" t="s">
        <v>17571</v>
      </c>
      <c r="D14450" t="s">
        <v>19041</v>
      </c>
      <c r="E14450" t="s">
        <v>31490</v>
      </c>
      <c r="F14450" t="s">
        <v>32831</v>
      </c>
      <c r="G14450" t="s">
        <v>32839</v>
      </c>
      <c r="H14450" t="s">
        <v>32849</v>
      </c>
      <c r="I14450" t="s">
        <v>4177</v>
      </c>
      <c r="J14450" t="s">
        <v>41804</v>
      </c>
      <c r="K14450" t="s">
        <v>42736</v>
      </c>
      <c r="M14450" t="s">
        <v>47239</v>
      </c>
      <c r="N14450" t="s">
        <v>47424</v>
      </c>
      <c r="O14450" t="s">
        <v>47425</v>
      </c>
      <c r="P14450">
        <v>0</v>
      </c>
      <c r="Q14450">
        <v>0</v>
      </c>
      <c r="R14450" t="s">
        <v>47446</v>
      </c>
      <c r="S14450" t="s">
        <v>48377</v>
      </c>
      <c r="T14450" t="s">
        <v>49649</v>
      </c>
      <c r="U14450" t="s">
        <v>61418</v>
      </c>
      <c r="W14450" t="s">
        <v>47239</v>
      </c>
      <c r="X14450" t="s">
        <v>47447</v>
      </c>
    </row>
    <row r="14451" spans="1:24">
      <c r="A14451">
        <f>HYPERLINK("https://www.philgeps.gov.ph/GEPSNONPILOT/Tender/SplashBidNoticeAbstractUI.aspx?menuIndex=3&amp;refID=7123694&amp;Result=3","7123694")</f>
        <v>0</v>
      </c>
      <c r="B14451" t="s">
        <v>1864</v>
      </c>
      <c r="C14451" t="s">
        <v>4067</v>
      </c>
      <c r="D14451" t="s">
        <v>19045</v>
      </c>
      <c r="E14451" t="s">
        <v>31491</v>
      </c>
      <c r="F14451" t="s">
        <v>32831</v>
      </c>
      <c r="G14451" t="s">
        <v>32839</v>
      </c>
      <c r="H14451" t="s">
        <v>32848</v>
      </c>
      <c r="I14451" t="s">
        <v>9577</v>
      </c>
      <c r="J14451" t="s">
        <v>41805</v>
      </c>
      <c r="K14451" t="s">
        <v>42731</v>
      </c>
      <c r="M14451" t="s">
        <v>45006</v>
      </c>
      <c r="N14451" t="s">
        <v>47424</v>
      </c>
      <c r="O14451" t="s">
        <v>47425</v>
      </c>
      <c r="P14451">
        <v>0</v>
      </c>
      <c r="Q14451">
        <v>1</v>
      </c>
      <c r="R14451" t="s">
        <v>47446</v>
      </c>
      <c r="S14451" t="s">
        <v>48377</v>
      </c>
      <c r="T14451" t="s">
        <v>49239</v>
      </c>
      <c r="U14451" t="s">
        <v>61419</v>
      </c>
      <c r="W14451" t="s">
        <v>45006</v>
      </c>
      <c r="X14451" t="s">
        <v>47447</v>
      </c>
    </row>
    <row r="14452" spans="1:24">
      <c r="A14452">
        <f>HYPERLINK("https://www.philgeps.gov.ph/GEPSNONPILOT/Tender/SplashBidNoticeAbstractUI.aspx?menuIndex=3&amp;refID=7123684&amp;Result=3","7123684")</f>
        <v>0</v>
      </c>
      <c r="B14452" t="s">
        <v>1686</v>
      </c>
      <c r="C14452" t="s">
        <v>17572</v>
      </c>
      <c r="D14452" t="s">
        <v>19070</v>
      </c>
      <c r="E14452" t="s">
        <v>31492</v>
      </c>
      <c r="F14452" t="s">
        <v>32831</v>
      </c>
      <c r="G14452" t="s">
        <v>32839</v>
      </c>
      <c r="H14452" t="s">
        <v>32849</v>
      </c>
      <c r="I14452" t="s">
        <v>4177</v>
      </c>
      <c r="J14452" t="s">
        <v>33024</v>
      </c>
      <c r="K14452" t="s">
        <v>42747</v>
      </c>
      <c r="M14452" t="s">
        <v>44806</v>
      </c>
      <c r="N14452" t="s">
        <v>47424</v>
      </c>
      <c r="O14452" t="s">
        <v>47425</v>
      </c>
      <c r="Q14452">
        <v>0</v>
      </c>
      <c r="R14452" t="s">
        <v>47446</v>
      </c>
      <c r="S14452" t="s">
        <v>48412</v>
      </c>
      <c r="T14452" t="s">
        <v>49415</v>
      </c>
      <c r="U14452" t="s">
        <v>61420</v>
      </c>
      <c r="W14452" t="s">
        <v>44806</v>
      </c>
      <c r="X14452" t="s">
        <v>47447</v>
      </c>
    </row>
    <row r="14453" spans="1:24">
      <c r="A14453">
        <f>HYPERLINK("https://www.philgeps.gov.ph/GEPSNONPILOT/Tender/SplashBidNoticeAbstractUI.aspx?menuIndex=3&amp;refID=7123804&amp;Result=3","7123804")</f>
        <v>0</v>
      </c>
      <c r="B14453" t="s">
        <v>81</v>
      </c>
      <c r="C14453" t="s">
        <v>17573</v>
      </c>
      <c r="D14453" t="s">
        <v>19023</v>
      </c>
      <c r="E14453" t="s">
        <v>31493</v>
      </c>
      <c r="F14453" t="s">
        <v>32831</v>
      </c>
      <c r="G14453" t="s">
        <v>32839</v>
      </c>
      <c r="H14453" t="s">
        <v>32849</v>
      </c>
      <c r="I14453" t="s">
        <v>4177</v>
      </c>
      <c r="J14453" t="s">
        <v>41806</v>
      </c>
      <c r="K14453" t="s">
        <v>42732</v>
      </c>
      <c r="M14453" t="s">
        <v>43078</v>
      </c>
      <c r="N14453" t="s">
        <v>47424</v>
      </c>
      <c r="O14453" t="s">
        <v>47425</v>
      </c>
      <c r="P14453">
        <v>0</v>
      </c>
      <c r="Q14453">
        <v>1</v>
      </c>
      <c r="R14453" t="s">
        <v>47446</v>
      </c>
      <c r="S14453" t="s">
        <v>48377</v>
      </c>
      <c r="T14453" t="s">
        <v>49214</v>
      </c>
      <c r="U14453" t="s">
        <v>61421</v>
      </c>
      <c r="W14453" t="s">
        <v>43078</v>
      </c>
      <c r="X14453" t="s">
        <v>47447</v>
      </c>
    </row>
    <row r="14454" spans="1:24">
      <c r="A14454">
        <f>HYPERLINK("https://www.philgeps.gov.ph/GEPSNONPILOT/Tender/SplashBidNoticeAbstractUI.aspx?menuIndex=3&amp;refID=7123679&amp;Result=3","7123679")</f>
        <v>0</v>
      </c>
      <c r="B14454" t="s">
        <v>1153</v>
      </c>
      <c r="C14454" t="s">
        <v>17574</v>
      </c>
      <c r="D14454" t="s">
        <v>19045</v>
      </c>
      <c r="E14454" t="s">
        <v>31494</v>
      </c>
      <c r="F14454" t="s">
        <v>32831</v>
      </c>
      <c r="G14454" t="s">
        <v>32839</v>
      </c>
      <c r="H14454" t="s">
        <v>32849</v>
      </c>
      <c r="I14454" t="s">
        <v>4177</v>
      </c>
      <c r="J14454" t="s">
        <v>33078</v>
      </c>
      <c r="K14454" t="s">
        <v>42730</v>
      </c>
      <c r="M14454" t="s">
        <v>44217</v>
      </c>
      <c r="N14454" t="s">
        <v>47424</v>
      </c>
      <c r="O14454" t="s">
        <v>47425</v>
      </c>
      <c r="P14454">
        <v>0</v>
      </c>
      <c r="Q14454">
        <v>1</v>
      </c>
      <c r="R14454" t="s">
        <v>47446</v>
      </c>
      <c r="S14454" t="s">
        <v>48377</v>
      </c>
      <c r="T14454" t="s">
        <v>49111</v>
      </c>
      <c r="U14454" t="s">
        <v>61422</v>
      </c>
      <c r="W14454" t="s">
        <v>44217</v>
      </c>
      <c r="X14454" t="s">
        <v>47447</v>
      </c>
    </row>
    <row r="14455" spans="1:24">
      <c r="A14455">
        <f>HYPERLINK("https://www.philgeps.gov.ph/GEPSNONPILOT/Tender/SplashBidNoticeAbstractUI.aspx?menuIndex=3&amp;refID=7123699&amp;Result=3","7123699")</f>
        <v>0</v>
      </c>
      <c r="B14455" t="s">
        <v>1358</v>
      </c>
      <c r="C14455" t="s">
        <v>17575</v>
      </c>
      <c r="D14455" t="s">
        <v>19068</v>
      </c>
      <c r="E14455" t="s">
        <v>31495</v>
      </c>
      <c r="F14455" t="s">
        <v>32831</v>
      </c>
      <c r="G14455" t="s">
        <v>32839</v>
      </c>
      <c r="H14455" t="s">
        <v>32848</v>
      </c>
      <c r="I14455" t="s">
        <v>7416</v>
      </c>
      <c r="J14455" t="s">
        <v>41807</v>
      </c>
      <c r="K14455" t="s">
        <v>42730</v>
      </c>
      <c r="M14455" t="s">
        <v>44435</v>
      </c>
      <c r="N14455" t="s">
        <v>47424</v>
      </c>
      <c r="O14455" t="s">
        <v>47425</v>
      </c>
      <c r="P14455">
        <v>0</v>
      </c>
      <c r="Q14455">
        <v>0</v>
      </c>
      <c r="R14455" t="s">
        <v>47446</v>
      </c>
      <c r="S14455" t="s">
        <v>48377</v>
      </c>
      <c r="T14455" t="s">
        <v>49111</v>
      </c>
      <c r="U14455" t="s">
        <v>61423</v>
      </c>
      <c r="V14455" t="s">
        <v>64272</v>
      </c>
      <c r="W14455" t="s">
        <v>44435</v>
      </c>
      <c r="X14455" t="s">
        <v>47447</v>
      </c>
    </row>
    <row r="14456" spans="1:24">
      <c r="A14456">
        <f>HYPERLINK("https://www.philgeps.gov.ph/GEPSNONPILOT/Tender/SplashBidNoticeAbstractUI.aspx?menuIndex=3&amp;refID=7123980&amp;Result=3","7123980")</f>
        <v>0</v>
      </c>
      <c r="B14456" t="s">
        <v>3820</v>
      </c>
      <c r="C14456" t="s">
        <v>17576</v>
      </c>
      <c r="D14456" t="s">
        <v>19017</v>
      </c>
      <c r="E14456" t="s">
        <v>23490</v>
      </c>
      <c r="F14456" t="s">
        <v>32833</v>
      </c>
      <c r="G14456" t="s">
        <v>32839</v>
      </c>
      <c r="H14456" t="s">
        <v>32848</v>
      </c>
      <c r="I14456" t="s">
        <v>4558</v>
      </c>
      <c r="J14456" t="s">
        <v>41808</v>
      </c>
      <c r="K14456" t="s">
        <v>42727</v>
      </c>
      <c r="M14456" t="s">
        <v>47242</v>
      </c>
      <c r="N14456" t="s">
        <v>47424</v>
      </c>
      <c r="O14456" t="s">
        <v>47425</v>
      </c>
      <c r="P14456">
        <v>0</v>
      </c>
      <c r="Q14456">
        <v>4</v>
      </c>
      <c r="R14456" t="s">
        <v>47446</v>
      </c>
      <c r="S14456" t="s">
        <v>48377</v>
      </c>
      <c r="T14456" t="s">
        <v>49328</v>
      </c>
      <c r="U14456" t="s">
        <v>61424</v>
      </c>
      <c r="W14456" t="s">
        <v>47242</v>
      </c>
      <c r="X14456" t="s">
        <v>47447</v>
      </c>
    </row>
    <row r="14457" spans="1:24">
      <c r="A14457">
        <f>HYPERLINK("https://www.philgeps.gov.ph/GEPSNONPILOT/Tender/SplashBidNoticeAbstractUI.aspx?menuIndex=3&amp;refID=7123970&amp;Result=3","7123970")</f>
        <v>0</v>
      </c>
      <c r="B14457" t="s">
        <v>1977</v>
      </c>
      <c r="C14457" t="s">
        <v>17577</v>
      </c>
      <c r="E14457" t="s">
        <v>31496</v>
      </c>
      <c r="F14457" t="s">
        <v>32831</v>
      </c>
      <c r="G14457" t="s">
        <v>32839</v>
      </c>
      <c r="H14457" t="s">
        <v>32848</v>
      </c>
      <c r="I14457" t="s">
        <v>32874</v>
      </c>
      <c r="J14457" t="s">
        <v>41809</v>
      </c>
      <c r="K14457" t="s">
        <v>42732</v>
      </c>
      <c r="M14457" t="s">
        <v>45189</v>
      </c>
      <c r="N14457" t="s">
        <v>47424</v>
      </c>
      <c r="O14457" t="s">
        <v>47425</v>
      </c>
      <c r="Q14457">
        <v>13</v>
      </c>
      <c r="R14457" t="s">
        <v>47446</v>
      </c>
      <c r="S14457" t="s">
        <v>48413</v>
      </c>
      <c r="T14457" t="s">
        <v>49321</v>
      </c>
      <c r="U14457" t="s">
        <v>61425</v>
      </c>
      <c r="W14457" t="s">
        <v>45189</v>
      </c>
      <c r="X14457" t="s">
        <v>47447</v>
      </c>
    </row>
    <row r="14458" spans="1:24">
      <c r="A14458">
        <f>HYPERLINK("https://www.philgeps.gov.ph/GEPSNONPILOT/Tender/SplashBidNoticeAbstractUI.aspx?menuIndex=3&amp;refID=7123977&amp;Result=3","7123977")</f>
        <v>0</v>
      </c>
      <c r="B14458" t="s">
        <v>3060</v>
      </c>
      <c r="C14458" t="s">
        <v>17578</v>
      </c>
      <c r="D14458" t="s">
        <v>19034</v>
      </c>
      <c r="E14458" t="s">
        <v>31497</v>
      </c>
      <c r="F14458" t="s">
        <v>32831</v>
      </c>
      <c r="G14458" t="s">
        <v>32839</v>
      </c>
      <c r="H14458" t="s">
        <v>32848</v>
      </c>
      <c r="I14458" t="s">
        <v>32874</v>
      </c>
      <c r="J14458" t="s">
        <v>41810</v>
      </c>
      <c r="K14458" t="s">
        <v>42729</v>
      </c>
      <c r="M14458" t="s">
        <v>46335</v>
      </c>
      <c r="N14458" t="s">
        <v>47424</v>
      </c>
      <c r="O14458" t="s">
        <v>47425</v>
      </c>
      <c r="Q14458">
        <v>13</v>
      </c>
      <c r="R14458" t="s">
        <v>47446</v>
      </c>
      <c r="S14458" t="s">
        <v>48414</v>
      </c>
      <c r="T14458" t="s">
        <v>49624</v>
      </c>
      <c r="U14458" t="s">
        <v>61426</v>
      </c>
      <c r="V14458" t="s">
        <v>64273</v>
      </c>
      <c r="W14458" t="s">
        <v>46335</v>
      </c>
      <c r="X14458" t="s">
        <v>47447</v>
      </c>
    </row>
    <row r="14459" spans="1:24">
      <c r="A14459">
        <f>HYPERLINK("https://www.philgeps.gov.ph/GEPSNONPILOT/Tender/SplashBidNoticeAbstractUI.aspx?menuIndex=3&amp;refID=7123972&amp;Result=3","7123972")</f>
        <v>0</v>
      </c>
      <c r="B14459" t="s">
        <v>277</v>
      </c>
      <c r="C14459" t="s">
        <v>17579</v>
      </c>
      <c r="D14459" t="s">
        <v>19068</v>
      </c>
      <c r="E14459" t="s">
        <v>31498</v>
      </c>
      <c r="F14459" t="s">
        <v>32831</v>
      </c>
      <c r="G14459" t="s">
        <v>32839</v>
      </c>
      <c r="H14459" t="s">
        <v>32849</v>
      </c>
      <c r="I14459" t="s">
        <v>4177</v>
      </c>
      <c r="J14459" t="s">
        <v>41811</v>
      </c>
      <c r="K14459" t="s">
        <v>42747</v>
      </c>
      <c r="M14459" t="s">
        <v>43276</v>
      </c>
      <c r="N14459" t="s">
        <v>47424</v>
      </c>
      <c r="O14459" t="s">
        <v>47425</v>
      </c>
      <c r="P14459">
        <v>0</v>
      </c>
      <c r="Q14459">
        <v>0</v>
      </c>
      <c r="R14459" t="s">
        <v>47446</v>
      </c>
      <c r="S14459" t="s">
        <v>48377</v>
      </c>
      <c r="T14459" t="s">
        <v>49214</v>
      </c>
      <c r="U14459" t="s">
        <v>61427</v>
      </c>
      <c r="W14459" t="s">
        <v>43276</v>
      </c>
      <c r="X14459" t="s">
        <v>47447</v>
      </c>
    </row>
    <row r="14460" spans="1:24">
      <c r="A14460">
        <f>HYPERLINK("https://www.philgeps.gov.ph/GEPSNONPILOT/Tender/SplashBidNoticeAbstractUI.aspx?menuIndex=3&amp;refID=7123982&amp;Result=3","7123982")</f>
        <v>0</v>
      </c>
      <c r="B14460" t="s">
        <v>2204</v>
      </c>
      <c r="C14460" t="s">
        <v>17580</v>
      </c>
      <c r="D14460" t="s">
        <v>19021</v>
      </c>
      <c r="E14460" t="s">
        <v>31499</v>
      </c>
      <c r="F14460" t="s">
        <v>32831</v>
      </c>
      <c r="G14460" t="s">
        <v>32839</v>
      </c>
      <c r="H14460" t="s">
        <v>32849</v>
      </c>
      <c r="I14460" t="s">
        <v>4177</v>
      </c>
      <c r="J14460" t="s">
        <v>41812</v>
      </c>
      <c r="K14460" t="s">
        <v>42770</v>
      </c>
      <c r="M14460" t="s">
        <v>45384</v>
      </c>
      <c r="N14460" t="s">
        <v>47424</v>
      </c>
      <c r="O14460" t="s">
        <v>47425</v>
      </c>
      <c r="P14460">
        <v>0</v>
      </c>
      <c r="Q14460">
        <v>39</v>
      </c>
      <c r="R14460" t="s">
        <v>47446</v>
      </c>
      <c r="S14460" t="s">
        <v>48377</v>
      </c>
      <c r="T14460" t="s">
        <v>49415</v>
      </c>
      <c r="U14460" t="s">
        <v>61428</v>
      </c>
      <c r="W14460" t="s">
        <v>45384</v>
      </c>
      <c r="X14460" t="s">
        <v>47447</v>
      </c>
    </row>
    <row r="14461" spans="1:24">
      <c r="A14461">
        <f>HYPERLINK("https://www.philgeps.gov.ph/GEPSNONPILOT/Tender/SplashBidNoticeAbstractUI.aspx?menuIndex=3&amp;refID=7123946&amp;Result=3","7123946")</f>
        <v>0</v>
      </c>
      <c r="B14461" t="s">
        <v>81</v>
      </c>
      <c r="C14461" t="s">
        <v>17581</v>
      </c>
      <c r="D14461" t="s">
        <v>19023</v>
      </c>
      <c r="E14461" t="s">
        <v>31500</v>
      </c>
      <c r="F14461" t="s">
        <v>32831</v>
      </c>
      <c r="G14461" t="s">
        <v>32839</v>
      </c>
      <c r="H14461" t="s">
        <v>32849</v>
      </c>
      <c r="I14461" t="s">
        <v>4177</v>
      </c>
      <c r="J14461" t="s">
        <v>41813</v>
      </c>
      <c r="K14461" t="s">
        <v>42732</v>
      </c>
      <c r="M14461" t="s">
        <v>43078</v>
      </c>
      <c r="N14461" t="s">
        <v>47424</v>
      </c>
      <c r="O14461" t="s">
        <v>47425</v>
      </c>
      <c r="P14461">
        <v>0</v>
      </c>
      <c r="Q14461">
        <v>1</v>
      </c>
      <c r="R14461" t="s">
        <v>47446</v>
      </c>
      <c r="S14461" t="s">
        <v>48377</v>
      </c>
      <c r="T14461" t="s">
        <v>49214</v>
      </c>
      <c r="U14461" t="s">
        <v>61429</v>
      </c>
      <c r="W14461" t="s">
        <v>43078</v>
      </c>
      <c r="X14461" t="s">
        <v>47447</v>
      </c>
    </row>
    <row r="14462" spans="1:24">
      <c r="A14462">
        <f>HYPERLINK("https://www.philgeps.gov.ph/GEPSNONPILOT/Tender/SplashBidNoticeAbstractUI.aspx?menuIndex=3&amp;refID=7123712&amp;Result=3","7123712")</f>
        <v>0</v>
      </c>
      <c r="B14462" t="s">
        <v>3823</v>
      </c>
      <c r="C14462" t="s">
        <v>4679</v>
      </c>
      <c r="D14462" t="s">
        <v>19045</v>
      </c>
      <c r="E14462" t="s">
        <v>31501</v>
      </c>
      <c r="F14462" t="s">
        <v>32831</v>
      </c>
      <c r="G14462" t="s">
        <v>32839</v>
      </c>
      <c r="H14462" t="s">
        <v>32849</v>
      </c>
      <c r="I14462" t="s">
        <v>4177</v>
      </c>
      <c r="J14462" t="s">
        <v>33087</v>
      </c>
      <c r="K14462" t="s">
        <v>42730</v>
      </c>
      <c r="M14462" t="s">
        <v>47245</v>
      </c>
      <c r="N14462" t="s">
        <v>47424</v>
      </c>
      <c r="O14462" t="s">
        <v>47425</v>
      </c>
      <c r="P14462">
        <v>0</v>
      </c>
      <c r="Q14462">
        <v>3</v>
      </c>
      <c r="R14462" t="s">
        <v>47446</v>
      </c>
      <c r="S14462" t="s">
        <v>48377</v>
      </c>
      <c r="T14462" t="s">
        <v>49237</v>
      </c>
      <c r="U14462" t="s">
        <v>61430</v>
      </c>
      <c r="V14462" t="s">
        <v>63571</v>
      </c>
      <c r="W14462" t="s">
        <v>47245</v>
      </c>
      <c r="X14462" t="s">
        <v>47447</v>
      </c>
    </row>
    <row r="14463" spans="1:24">
      <c r="A14463">
        <f>HYPERLINK("https://www.philgeps.gov.ph/GEPSNONPILOT/Tender/SplashBidNoticeAbstractUI.aspx?menuIndex=3&amp;refID=7123983&amp;Result=3","7123983")</f>
        <v>0</v>
      </c>
      <c r="B14463" t="s">
        <v>3406</v>
      </c>
      <c r="C14463" t="s">
        <v>17582</v>
      </c>
      <c r="D14463" t="s">
        <v>19032</v>
      </c>
      <c r="E14463" t="s">
        <v>17582</v>
      </c>
      <c r="F14463" t="s">
        <v>32831</v>
      </c>
      <c r="G14463" t="s">
        <v>32839</v>
      </c>
      <c r="H14463" t="s">
        <v>32848</v>
      </c>
      <c r="I14463" t="s">
        <v>4487</v>
      </c>
      <c r="J14463" t="s">
        <v>41814</v>
      </c>
      <c r="K14463" t="s">
        <v>42742</v>
      </c>
      <c r="M14463" t="s">
        <v>46740</v>
      </c>
      <c r="N14463" t="s">
        <v>47424</v>
      </c>
      <c r="O14463" t="s">
        <v>47425</v>
      </c>
      <c r="P14463">
        <v>0</v>
      </c>
      <c r="Q14463">
        <v>2</v>
      </c>
      <c r="R14463" t="s">
        <v>47446</v>
      </c>
      <c r="S14463" t="s">
        <v>48377</v>
      </c>
      <c r="T14463" t="s">
        <v>49198</v>
      </c>
      <c r="U14463" t="s">
        <v>61431</v>
      </c>
      <c r="W14463" t="s">
        <v>46740</v>
      </c>
      <c r="X14463" t="s">
        <v>47447</v>
      </c>
    </row>
    <row r="14464" spans="1:24">
      <c r="A14464">
        <f>HYPERLINK("https://www.philgeps.gov.ph/GEPSNONPILOT/Tender/SplashBidNoticeAbstractUI.aspx?menuIndex=3&amp;refID=7123928&amp;Result=3","7123928")</f>
        <v>0</v>
      </c>
      <c r="B14464" t="s">
        <v>277</v>
      </c>
      <c r="C14464" t="s">
        <v>17583</v>
      </c>
      <c r="D14464" t="s">
        <v>19068</v>
      </c>
      <c r="E14464" t="s">
        <v>31502</v>
      </c>
      <c r="F14464" t="s">
        <v>32831</v>
      </c>
      <c r="G14464" t="s">
        <v>32839</v>
      </c>
      <c r="H14464" t="s">
        <v>32849</v>
      </c>
      <c r="I14464" t="s">
        <v>4177</v>
      </c>
      <c r="J14464" t="s">
        <v>41815</v>
      </c>
      <c r="K14464" t="s">
        <v>42743</v>
      </c>
      <c r="M14464" t="s">
        <v>43276</v>
      </c>
      <c r="N14464" t="s">
        <v>47424</v>
      </c>
      <c r="O14464" t="s">
        <v>47425</v>
      </c>
      <c r="P14464">
        <v>0</v>
      </c>
      <c r="Q14464">
        <v>0</v>
      </c>
      <c r="R14464" t="s">
        <v>47446</v>
      </c>
      <c r="S14464" t="s">
        <v>48377</v>
      </c>
      <c r="T14464" t="s">
        <v>49214</v>
      </c>
      <c r="U14464" t="s">
        <v>61432</v>
      </c>
      <c r="W14464" t="s">
        <v>43276</v>
      </c>
      <c r="X14464" t="s">
        <v>47447</v>
      </c>
    </row>
    <row r="14465" spans="1:24">
      <c r="A14465">
        <f>HYPERLINK("https://www.philgeps.gov.ph/GEPSNONPILOT/Tender/SplashBidNoticeAbstractUI.aspx?menuIndex=3&amp;refID=7124135&amp;Result=3","7124135")</f>
        <v>0</v>
      </c>
      <c r="B14465" t="s">
        <v>1358</v>
      </c>
      <c r="C14465" t="s">
        <v>17584</v>
      </c>
      <c r="D14465" t="s">
        <v>19068</v>
      </c>
      <c r="E14465" t="s">
        <v>31503</v>
      </c>
      <c r="F14465" t="s">
        <v>32831</v>
      </c>
      <c r="G14465" t="s">
        <v>32839</v>
      </c>
      <c r="H14465" t="s">
        <v>32848</v>
      </c>
      <c r="I14465" t="s">
        <v>7416</v>
      </c>
      <c r="J14465" t="s">
        <v>41816</v>
      </c>
      <c r="K14465" t="s">
        <v>42730</v>
      </c>
      <c r="M14465" t="s">
        <v>44435</v>
      </c>
      <c r="N14465" t="s">
        <v>47424</v>
      </c>
      <c r="O14465" t="s">
        <v>47425</v>
      </c>
      <c r="P14465">
        <v>0</v>
      </c>
      <c r="Q14465">
        <v>0</v>
      </c>
      <c r="R14465" t="s">
        <v>47446</v>
      </c>
      <c r="S14465" t="s">
        <v>48377</v>
      </c>
      <c r="T14465" t="s">
        <v>49111</v>
      </c>
      <c r="U14465" t="s">
        <v>61413</v>
      </c>
      <c r="V14465" t="s">
        <v>64271</v>
      </c>
      <c r="W14465" t="s">
        <v>44435</v>
      </c>
      <c r="X14465" t="s">
        <v>47447</v>
      </c>
    </row>
    <row r="14466" spans="1:24">
      <c r="A14466">
        <f>HYPERLINK("https://www.philgeps.gov.ph/GEPSNONPILOT/Tender/SplashBidNoticeAbstractUI.aspx?menuIndex=3&amp;refID=7123702&amp;Result=3","7123702")</f>
        <v>0</v>
      </c>
      <c r="B14466" t="s">
        <v>2664</v>
      </c>
      <c r="C14466" t="s">
        <v>17585</v>
      </c>
      <c r="D14466" t="s">
        <v>19059</v>
      </c>
      <c r="E14466" t="s">
        <v>31504</v>
      </c>
      <c r="F14466" t="s">
        <v>32831</v>
      </c>
      <c r="G14466" t="s">
        <v>32839</v>
      </c>
      <c r="H14466" t="s">
        <v>32850</v>
      </c>
      <c r="I14466" t="s">
        <v>32913</v>
      </c>
      <c r="J14466" t="s">
        <v>41817</v>
      </c>
      <c r="K14466" t="s">
        <v>42747</v>
      </c>
      <c r="M14466" t="s">
        <v>45887</v>
      </c>
      <c r="N14466" t="s">
        <v>47424</v>
      </c>
      <c r="O14466" t="s">
        <v>47425</v>
      </c>
      <c r="P14466">
        <v>0</v>
      </c>
      <c r="Q14466">
        <v>1</v>
      </c>
      <c r="R14466" t="s">
        <v>47446</v>
      </c>
      <c r="S14466" t="s">
        <v>48377</v>
      </c>
      <c r="T14466" t="s">
        <v>49073</v>
      </c>
      <c r="U14466" t="s">
        <v>61433</v>
      </c>
      <c r="W14466" t="s">
        <v>45887</v>
      </c>
      <c r="X14466" t="s">
        <v>47447</v>
      </c>
    </row>
    <row r="14467" spans="1:24">
      <c r="A14467">
        <f>HYPERLINK("https://www.philgeps.gov.ph/GEPSNONPILOT/Tender/SplashBidNoticeAbstractUI.aspx?menuIndex=3&amp;refID=7123962&amp;Result=3","7123962")</f>
        <v>0</v>
      </c>
      <c r="B14467" t="s">
        <v>3406</v>
      </c>
      <c r="C14467" t="s">
        <v>17586</v>
      </c>
      <c r="D14467" t="s">
        <v>19032</v>
      </c>
      <c r="E14467" t="s">
        <v>17586</v>
      </c>
      <c r="F14467" t="s">
        <v>32831</v>
      </c>
      <c r="G14467" t="s">
        <v>32839</v>
      </c>
      <c r="H14467" t="s">
        <v>32848</v>
      </c>
      <c r="I14467" t="s">
        <v>4487</v>
      </c>
      <c r="J14467" t="s">
        <v>33018</v>
      </c>
      <c r="K14467" t="s">
        <v>42742</v>
      </c>
      <c r="M14467" t="s">
        <v>46740</v>
      </c>
      <c r="N14467" t="s">
        <v>47424</v>
      </c>
      <c r="O14467" t="s">
        <v>47425</v>
      </c>
      <c r="P14467">
        <v>0</v>
      </c>
      <c r="Q14467">
        <v>2</v>
      </c>
      <c r="R14467" t="s">
        <v>47446</v>
      </c>
      <c r="S14467" t="s">
        <v>48377</v>
      </c>
      <c r="T14467" t="s">
        <v>49198</v>
      </c>
      <c r="U14467" t="s">
        <v>61434</v>
      </c>
      <c r="W14467" t="s">
        <v>46740</v>
      </c>
      <c r="X14467" t="s">
        <v>47447</v>
      </c>
    </row>
    <row r="14468" spans="1:24">
      <c r="A14468">
        <f>HYPERLINK("https://www.philgeps.gov.ph/GEPSNONPILOT/Tender/SplashBidNoticeAbstractUI.aspx?menuIndex=3&amp;refID=7124104&amp;Result=3","7124104")</f>
        <v>0</v>
      </c>
      <c r="B14468" t="s">
        <v>1358</v>
      </c>
      <c r="C14468" t="s">
        <v>17587</v>
      </c>
      <c r="D14468" t="s">
        <v>19068</v>
      </c>
      <c r="E14468" t="s">
        <v>31505</v>
      </c>
      <c r="F14468" t="s">
        <v>32831</v>
      </c>
      <c r="G14468" t="s">
        <v>32839</v>
      </c>
      <c r="H14468" t="s">
        <v>32848</v>
      </c>
      <c r="I14468" t="s">
        <v>7416</v>
      </c>
      <c r="J14468" t="s">
        <v>41818</v>
      </c>
      <c r="K14468" t="s">
        <v>42730</v>
      </c>
      <c r="M14468" t="s">
        <v>44435</v>
      </c>
      <c r="N14468" t="s">
        <v>47424</v>
      </c>
      <c r="O14468" t="s">
        <v>47425</v>
      </c>
      <c r="P14468">
        <v>0</v>
      </c>
      <c r="Q14468">
        <v>0</v>
      </c>
      <c r="R14468" t="s">
        <v>47446</v>
      </c>
      <c r="S14468" t="s">
        <v>48377</v>
      </c>
      <c r="T14468" t="s">
        <v>49111</v>
      </c>
      <c r="U14468" t="s">
        <v>61413</v>
      </c>
      <c r="V14468" t="s">
        <v>64271</v>
      </c>
      <c r="W14468" t="s">
        <v>44435</v>
      </c>
      <c r="X14468" t="s">
        <v>47447</v>
      </c>
    </row>
    <row r="14469" spans="1:24">
      <c r="A14469">
        <f>HYPERLINK("https://www.philgeps.gov.ph/GEPSNONPILOT/Tender/SplashBidNoticeAbstractUI.aspx?menuIndex=3&amp;refID=7124065&amp;Result=3","7124065")</f>
        <v>0</v>
      </c>
      <c r="B14469" t="s">
        <v>1563</v>
      </c>
      <c r="C14469" t="s">
        <v>17588</v>
      </c>
      <c r="D14469" t="s">
        <v>19049</v>
      </c>
      <c r="E14469" t="s">
        <v>31506</v>
      </c>
      <c r="F14469" t="s">
        <v>32831</v>
      </c>
      <c r="G14469" t="s">
        <v>32839</v>
      </c>
      <c r="H14469" t="s">
        <v>32848</v>
      </c>
      <c r="I14469" t="s">
        <v>32894</v>
      </c>
      <c r="J14469" t="s">
        <v>41819</v>
      </c>
      <c r="K14469" t="s">
        <v>42932</v>
      </c>
      <c r="M14469" t="s">
        <v>47246</v>
      </c>
      <c r="N14469" t="s">
        <v>47424</v>
      </c>
      <c r="O14469" t="s">
        <v>47425</v>
      </c>
      <c r="Q14469">
        <v>6</v>
      </c>
      <c r="R14469" t="s">
        <v>47446</v>
      </c>
      <c r="S14469" t="s">
        <v>48415</v>
      </c>
      <c r="T14469" t="s">
        <v>49239</v>
      </c>
      <c r="U14469" t="s">
        <v>61435</v>
      </c>
      <c r="V14469" t="s">
        <v>64274</v>
      </c>
      <c r="W14469" t="s">
        <v>47246</v>
      </c>
      <c r="X14469" t="s">
        <v>47447</v>
      </c>
    </row>
    <row r="14470" spans="1:24">
      <c r="A14470">
        <f>HYPERLINK("https://www.philgeps.gov.ph/GEPSNONPILOT/Tender/SplashBidNoticeAbstractUI.aspx?menuIndex=3&amp;refID=7124067&amp;Result=3","7124067")</f>
        <v>0</v>
      </c>
      <c r="B14470" t="s">
        <v>3817</v>
      </c>
      <c r="C14470" t="s">
        <v>17589</v>
      </c>
      <c r="D14470" t="s">
        <v>19041</v>
      </c>
      <c r="E14470" t="s">
        <v>31507</v>
      </c>
      <c r="F14470" t="s">
        <v>32831</v>
      </c>
      <c r="G14470" t="s">
        <v>32839</v>
      </c>
      <c r="H14470" t="s">
        <v>32849</v>
      </c>
      <c r="I14470" t="s">
        <v>4177</v>
      </c>
      <c r="J14470" t="s">
        <v>41820</v>
      </c>
      <c r="K14470" t="s">
        <v>42922</v>
      </c>
      <c r="M14470" t="s">
        <v>47239</v>
      </c>
      <c r="N14470" t="s">
        <v>47424</v>
      </c>
      <c r="O14470" t="s">
        <v>47425</v>
      </c>
      <c r="P14470">
        <v>0</v>
      </c>
      <c r="Q14470">
        <v>0</v>
      </c>
      <c r="R14470" t="s">
        <v>47446</v>
      </c>
      <c r="S14470" t="s">
        <v>48377</v>
      </c>
      <c r="T14470" t="s">
        <v>49649</v>
      </c>
      <c r="U14470" t="s">
        <v>61436</v>
      </c>
      <c r="W14470" t="s">
        <v>47239</v>
      </c>
      <c r="X14470" t="s">
        <v>47447</v>
      </c>
    </row>
    <row r="14471" spans="1:24">
      <c r="A14471">
        <f>HYPERLINK("https://www.philgeps.gov.ph/GEPSNONPILOT/Tender/SplashBidNoticeAbstractUI.aspx?menuIndex=3&amp;refID=7123935&amp;Result=3","7123935")</f>
        <v>0</v>
      </c>
      <c r="B14471" t="s">
        <v>3406</v>
      </c>
      <c r="C14471" t="s">
        <v>17590</v>
      </c>
      <c r="D14471" t="s">
        <v>19032</v>
      </c>
      <c r="E14471" t="s">
        <v>17590</v>
      </c>
      <c r="F14471" t="s">
        <v>32831</v>
      </c>
      <c r="G14471" t="s">
        <v>32839</v>
      </c>
      <c r="H14471" t="s">
        <v>32848</v>
      </c>
      <c r="I14471" t="s">
        <v>4487</v>
      </c>
      <c r="J14471" t="s">
        <v>41821</v>
      </c>
      <c r="K14471" t="s">
        <v>42742</v>
      </c>
      <c r="M14471" t="s">
        <v>46740</v>
      </c>
      <c r="N14471" t="s">
        <v>47424</v>
      </c>
      <c r="O14471" t="s">
        <v>47425</v>
      </c>
      <c r="P14471">
        <v>0</v>
      </c>
      <c r="Q14471">
        <v>4</v>
      </c>
      <c r="R14471" t="s">
        <v>47446</v>
      </c>
      <c r="S14471" t="s">
        <v>48377</v>
      </c>
      <c r="T14471" t="s">
        <v>49198</v>
      </c>
      <c r="U14471" t="s">
        <v>61437</v>
      </c>
      <c r="W14471" t="s">
        <v>46740</v>
      </c>
      <c r="X14471" t="s">
        <v>47447</v>
      </c>
    </row>
    <row r="14472" spans="1:24">
      <c r="A14472">
        <f>HYPERLINK("https://www.philgeps.gov.ph/GEPSNONPILOT/Tender/SplashBidNoticeAbstractUI.aspx?menuIndex=3&amp;refID=7123927&amp;Result=3","7123927")</f>
        <v>0</v>
      </c>
      <c r="B14472" t="s">
        <v>3439</v>
      </c>
      <c r="C14472" t="s">
        <v>17591</v>
      </c>
      <c r="E14472" t="s">
        <v>31508</v>
      </c>
      <c r="F14472" t="s">
        <v>32831</v>
      </c>
      <c r="G14472" t="s">
        <v>32839</v>
      </c>
      <c r="H14472" t="s">
        <v>32848</v>
      </c>
      <c r="I14472" t="s">
        <v>7751</v>
      </c>
      <c r="J14472" t="s">
        <v>34447</v>
      </c>
      <c r="K14472" t="s">
        <v>42763</v>
      </c>
      <c r="M14472" t="s">
        <v>46776</v>
      </c>
      <c r="N14472" t="s">
        <v>47424</v>
      </c>
      <c r="O14472" t="s">
        <v>47425</v>
      </c>
      <c r="P14472">
        <v>0</v>
      </c>
      <c r="Q14472">
        <v>10</v>
      </c>
      <c r="R14472" t="s">
        <v>47446</v>
      </c>
      <c r="S14472" t="s">
        <v>48377</v>
      </c>
      <c r="T14472" t="s">
        <v>49239</v>
      </c>
      <c r="U14472" t="s">
        <v>61438</v>
      </c>
      <c r="W14472" t="s">
        <v>46776</v>
      </c>
      <c r="X14472" t="s">
        <v>47447</v>
      </c>
    </row>
    <row r="14473" spans="1:24">
      <c r="A14473">
        <f>HYPERLINK("https://www.philgeps.gov.ph/GEPSNONPILOT/Tender/SplashBidNoticeAbstractUI.aspx?menuIndex=3&amp;refID=7124127&amp;Result=3","7124127")</f>
        <v>0</v>
      </c>
      <c r="B14473" t="s">
        <v>277</v>
      </c>
      <c r="C14473" t="s">
        <v>17592</v>
      </c>
      <c r="D14473" t="s">
        <v>19068</v>
      </c>
      <c r="E14473" t="s">
        <v>31509</v>
      </c>
      <c r="F14473" t="s">
        <v>32831</v>
      </c>
      <c r="G14473" t="s">
        <v>32839</v>
      </c>
      <c r="H14473" t="s">
        <v>32849</v>
      </c>
      <c r="I14473" t="s">
        <v>4177</v>
      </c>
      <c r="J14473" t="s">
        <v>41822</v>
      </c>
      <c r="K14473" t="s">
        <v>42770</v>
      </c>
      <c r="M14473" t="s">
        <v>43276</v>
      </c>
      <c r="N14473" t="s">
        <v>47424</v>
      </c>
      <c r="O14473" t="s">
        <v>47425</v>
      </c>
      <c r="P14473">
        <v>0</v>
      </c>
      <c r="Q14473">
        <v>0</v>
      </c>
      <c r="R14473" t="s">
        <v>47446</v>
      </c>
      <c r="S14473" t="s">
        <v>48377</v>
      </c>
      <c r="T14473" t="s">
        <v>49214</v>
      </c>
      <c r="U14473" t="s">
        <v>61439</v>
      </c>
      <c r="W14473" t="s">
        <v>43276</v>
      </c>
      <c r="X14473" t="s">
        <v>47447</v>
      </c>
    </row>
    <row r="14474" spans="1:24">
      <c r="A14474">
        <f>HYPERLINK("https://www.philgeps.gov.ph/GEPSNONPILOT/Tender/SplashBidNoticeAbstractUI.aspx?menuIndex=3&amp;refID=7124046&amp;Result=3","7124046")</f>
        <v>0</v>
      </c>
      <c r="B14474" t="s">
        <v>1358</v>
      </c>
      <c r="C14474" t="s">
        <v>17593</v>
      </c>
      <c r="D14474" t="s">
        <v>19068</v>
      </c>
      <c r="E14474" t="s">
        <v>31510</v>
      </c>
      <c r="F14474" t="s">
        <v>32831</v>
      </c>
      <c r="G14474" t="s">
        <v>32839</v>
      </c>
      <c r="H14474" t="s">
        <v>32848</v>
      </c>
      <c r="I14474" t="s">
        <v>7416</v>
      </c>
      <c r="J14474" t="s">
        <v>41816</v>
      </c>
      <c r="K14474" t="s">
        <v>42730</v>
      </c>
      <c r="M14474" t="s">
        <v>44435</v>
      </c>
      <c r="N14474" t="s">
        <v>47424</v>
      </c>
      <c r="O14474" t="s">
        <v>47425</v>
      </c>
      <c r="P14474">
        <v>0</v>
      </c>
      <c r="Q14474">
        <v>0</v>
      </c>
      <c r="R14474" t="s">
        <v>47446</v>
      </c>
      <c r="S14474" t="s">
        <v>48377</v>
      </c>
      <c r="T14474" t="s">
        <v>49111</v>
      </c>
      <c r="U14474" t="s">
        <v>61413</v>
      </c>
      <c r="V14474" t="s">
        <v>64271</v>
      </c>
      <c r="W14474" t="s">
        <v>44435</v>
      </c>
      <c r="X14474" t="s">
        <v>47447</v>
      </c>
    </row>
    <row r="14475" spans="1:24">
      <c r="A14475">
        <f>HYPERLINK("https://www.philgeps.gov.ph/GEPSNONPILOT/Tender/SplashBidNoticeAbstractUI.aspx?menuIndex=3&amp;refID=7124084&amp;Result=3","7124084")</f>
        <v>0</v>
      </c>
      <c r="B14475" t="s">
        <v>81</v>
      </c>
      <c r="C14475" t="s">
        <v>17594</v>
      </c>
      <c r="D14475" t="s">
        <v>19023</v>
      </c>
      <c r="E14475" t="s">
        <v>31511</v>
      </c>
      <c r="F14475" t="s">
        <v>32831</v>
      </c>
      <c r="G14475" t="s">
        <v>32839</v>
      </c>
      <c r="H14475" t="s">
        <v>32848</v>
      </c>
      <c r="I14475" t="s">
        <v>7416</v>
      </c>
      <c r="J14475" t="s">
        <v>41823</v>
      </c>
      <c r="K14475" t="s">
        <v>42732</v>
      </c>
      <c r="M14475" t="s">
        <v>43078</v>
      </c>
      <c r="N14475" t="s">
        <v>47424</v>
      </c>
      <c r="O14475" t="s">
        <v>47425</v>
      </c>
      <c r="P14475">
        <v>0</v>
      </c>
      <c r="Q14475">
        <v>1</v>
      </c>
      <c r="R14475" t="s">
        <v>47446</v>
      </c>
      <c r="S14475" t="s">
        <v>48377</v>
      </c>
      <c r="T14475" t="s">
        <v>49214</v>
      </c>
      <c r="U14475" t="s">
        <v>61440</v>
      </c>
      <c r="W14475" t="s">
        <v>43078</v>
      </c>
      <c r="X14475" t="s">
        <v>47447</v>
      </c>
    </row>
    <row r="14476" spans="1:24">
      <c r="A14476">
        <f>HYPERLINK("https://www.philgeps.gov.ph/GEPSNONPILOT/Tender/SplashBidNoticeAbstractUI.aspx?menuIndex=3&amp;refID=7124041&amp;Result=3","7124041")</f>
        <v>0</v>
      </c>
      <c r="B14476" t="s">
        <v>1704</v>
      </c>
      <c r="C14476" t="s">
        <v>17595</v>
      </c>
      <c r="D14476" t="s">
        <v>19084</v>
      </c>
      <c r="E14476" t="s">
        <v>31512</v>
      </c>
      <c r="F14476" t="s">
        <v>32831</v>
      </c>
      <c r="G14476" t="s">
        <v>32839</v>
      </c>
      <c r="H14476" t="s">
        <v>32848</v>
      </c>
      <c r="I14476" t="s">
        <v>5667</v>
      </c>
      <c r="J14476" t="s">
        <v>41824</v>
      </c>
      <c r="K14476" t="s">
        <v>42727</v>
      </c>
      <c r="M14476" t="s">
        <v>44826</v>
      </c>
      <c r="N14476" t="s">
        <v>47424</v>
      </c>
      <c r="O14476" t="s">
        <v>47425</v>
      </c>
      <c r="Q14476">
        <v>4</v>
      </c>
      <c r="R14476" t="s">
        <v>47446</v>
      </c>
      <c r="S14476" t="s">
        <v>48416</v>
      </c>
      <c r="T14476" t="s">
        <v>49651</v>
      </c>
      <c r="U14476" t="s">
        <v>61441</v>
      </c>
      <c r="V14476" t="s">
        <v>63739</v>
      </c>
      <c r="W14476" t="s">
        <v>44826</v>
      </c>
      <c r="X14476" t="s">
        <v>47447</v>
      </c>
    </row>
    <row r="14477" spans="1:24">
      <c r="A14477">
        <f>HYPERLINK("https://www.philgeps.gov.ph/GEPSNONPILOT/Tender/SplashBidNoticeAbstractUI.aspx?menuIndex=3&amp;refID=7124040&amp;Result=3","7124040")</f>
        <v>0</v>
      </c>
      <c r="B14477" t="s">
        <v>2044</v>
      </c>
      <c r="C14477" t="s">
        <v>17596</v>
      </c>
      <c r="D14477" t="s">
        <v>19045</v>
      </c>
      <c r="E14477" t="s">
        <v>31513</v>
      </c>
      <c r="F14477" t="s">
        <v>32831</v>
      </c>
      <c r="G14477" t="s">
        <v>32839</v>
      </c>
      <c r="H14477" t="s">
        <v>32848</v>
      </c>
      <c r="I14477" t="s">
        <v>32859</v>
      </c>
      <c r="J14477" t="s">
        <v>41825</v>
      </c>
      <c r="K14477" t="s">
        <v>42730</v>
      </c>
      <c r="M14477" t="s">
        <v>45214</v>
      </c>
      <c r="N14477" t="s">
        <v>47424</v>
      </c>
      <c r="O14477" t="s">
        <v>47425</v>
      </c>
      <c r="Q14477">
        <v>5</v>
      </c>
      <c r="R14477" t="s">
        <v>47446</v>
      </c>
      <c r="S14477" t="s">
        <v>48417</v>
      </c>
      <c r="T14477" t="s">
        <v>49629</v>
      </c>
      <c r="U14477" t="s">
        <v>61442</v>
      </c>
      <c r="V14477" t="s">
        <v>64275</v>
      </c>
      <c r="W14477" t="s">
        <v>45214</v>
      </c>
      <c r="X14477" t="s">
        <v>47447</v>
      </c>
    </row>
    <row r="14478" spans="1:24">
      <c r="A14478">
        <f>HYPERLINK("https://www.philgeps.gov.ph/GEPSNONPILOT/Tender/SplashBidNoticeAbstractUI.aspx?menuIndex=3&amp;refID=7123929&amp;Result=3","7123929")</f>
        <v>0</v>
      </c>
      <c r="B14478" t="s">
        <v>1358</v>
      </c>
      <c r="C14478" t="s">
        <v>17597</v>
      </c>
      <c r="D14478" t="s">
        <v>19068</v>
      </c>
      <c r="E14478" t="s">
        <v>31514</v>
      </c>
      <c r="F14478" t="s">
        <v>32831</v>
      </c>
      <c r="G14478" t="s">
        <v>32839</v>
      </c>
      <c r="H14478" t="s">
        <v>32848</v>
      </c>
      <c r="I14478" t="s">
        <v>7416</v>
      </c>
      <c r="J14478" t="s">
        <v>41818</v>
      </c>
      <c r="K14478" t="s">
        <v>42730</v>
      </c>
      <c r="M14478" t="s">
        <v>44435</v>
      </c>
      <c r="N14478" t="s">
        <v>47424</v>
      </c>
      <c r="O14478" t="s">
        <v>47425</v>
      </c>
      <c r="P14478">
        <v>0</v>
      </c>
      <c r="Q14478">
        <v>0</v>
      </c>
      <c r="R14478" t="s">
        <v>47446</v>
      </c>
      <c r="S14478" t="s">
        <v>48377</v>
      </c>
      <c r="T14478" t="s">
        <v>49111</v>
      </c>
      <c r="U14478" t="s">
        <v>61443</v>
      </c>
      <c r="V14478" t="s">
        <v>64271</v>
      </c>
      <c r="W14478" t="s">
        <v>44435</v>
      </c>
      <c r="X14478" t="s">
        <v>47447</v>
      </c>
    </row>
    <row r="14479" spans="1:24">
      <c r="A14479">
        <f>HYPERLINK("https://www.philgeps.gov.ph/GEPSNONPILOT/Tender/SplashBidNoticeAbstractUI.aspx?menuIndex=3&amp;refID=7124059&amp;Result=3","7124059")</f>
        <v>0</v>
      </c>
      <c r="B14479" t="s">
        <v>277</v>
      </c>
      <c r="C14479" t="s">
        <v>17598</v>
      </c>
      <c r="D14479" t="s">
        <v>19068</v>
      </c>
      <c r="E14479" t="s">
        <v>31515</v>
      </c>
      <c r="F14479" t="s">
        <v>32831</v>
      </c>
      <c r="G14479" t="s">
        <v>32839</v>
      </c>
      <c r="H14479" t="s">
        <v>32849</v>
      </c>
      <c r="I14479" t="s">
        <v>4177</v>
      </c>
      <c r="J14479" t="s">
        <v>41826</v>
      </c>
      <c r="K14479" t="s">
        <v>42773</v>
      </c>
      <c r="M14479" t="s">
        <v>43276</v>
      </c>
      <c r="N14479" t="s">
        <v>47424</v>
      </c>
      <c r="O14479" t="s">
        <v>47425</v>
      </c>
      <c r="P14479">
        <v>0</v>
      </c>
      <c r="Q14479">
        <v>0</v>
      </c>
      <c r="R14479" t="s">
        <v>47446</v>
      </c>
      <c r="S14479" t="s">
        <v>48377</v>
      </c>
      <c r="T14479" t="s">
        <v>49214</v>
      </c>
      <c r="U14479" t="s">
        <v>61444</v>
      </c>
      <c r="W14479" t="s">
        <v>43276</v>
      </c>
      <c r="X14479" t="s">
        <v>47447</v>
      </c>
    </row>
    <row r="14480" spans="1:24">
      <c r="A14480">
        <f>HYPERLINK("https://www.philgeps.gov.ph/GEPSNONPILOT/Tender/SplashBidNoticeAbstractUI.aspx?menuIndex=3&amp;refID=7124325&amp;Result=3","7124325")</f>
        <v>0</v>
      </c>
      <c r="B14480" t="s">
        <v>2044</v>
      </c>
      <c r="C14480" t="s">
        <v>17599</v>
      </c>
      <c r="D14480" t="s">
        <v>19045</v>
      </c>
      <c r="E14480" t="s">
        <v>31516</v>
      </c>
      <c r="F14480" t="s">
        <v>32831</v>
      </c>
      <c r="G14480" t="s">
        <v>32839</v>
      </c>
      <c r="H14480" t="s">
        <v>32848</v>
      </c>
      <c r="I14480" t="s">
        <v>32862</v>
      </c>
      <c r="J14480" t="s">
        <v>41827</v>
      </c>
      <c r="K14480" t="s">
        <v>42729</v>
      </c>
      <c r="M14480" t="s">
        <v>45214</v>
      </c>
      <c r="N14480" t="s">
        <v>47424</v>
      </c>
      <c r="O14480" t="s">
        <v>47425</v>
      </c>
      <c r="Q14480">
        <v>5</v>
      </c>
      <c r="R14480" t="s">
        <v>47446</v>
      </c>
      <c r="S14480" t="s">
        <v>48418</v>
      </c>
      <c r="T14480" t="s">
        <v>49652</v>
      </c>
      <c r="U14480" t="s">
        <v>61442</v>
      </c>
      <c r="V14480" t="s">
        <v>64275</v>
      </c>
      <c r="W14480" t="s">
        <v>45214</v>
      </c>
      <c r="X14480" t="s">
        <v>47447</v>
      </c>
    </row>
    <row r="14481" spans="1:24">
      <c r="A14481">
        <f>HYPERLINK("https://www.philgeps.gov.ph/GEPSNONPILOT/Tender/SplashBidNoticeAbstractUI.aspx?menuIndex=3&amp;refID=7124347&amp;Result=3","7124347")</f>
        <v>0</v>
      </c>
      <c r="B14481" t="s">
        <v>2204</v>
      </c>
      <c r="C14481" t="s">
        <v>17600</v>
      </c>
      <c r="D14481" t="s">
        <v>19021</v>
      </c>
      <c r="E14481" t="s">
        <v>31517</v>
      </c>
      <c r="F14481" t="s">
        <v>32831</v>
      </c>
      <c r="G14481" t="s">
        <v>32839</v>
      </c>
      <c r="H14481" t="s">
        <v>32848</v>
      </c>
      <c r="I14481" t="s">
        <v>4487</v>
      </c>
      <c r="J14481" t="s">
        <v>41828</v>
      </c>
      <c r="K14481" t="s">
        <v>42730</v>
      </c>
      <c r="M14481" t="s">
        <v>45384</v>
      </c>
      <c r="N14481" t="s">
        <v>47424</v>
      </c>
      <c r="O14481" t="s">
        <v>47425</v>
      </c>
      <c r="P14481">
        <v>0</v>
      </c>
      <c r="Q14481">
        <v>6</v>
      </c>
      <c r="R14481" t="s">
        <v>47446</v>
      </c>
      <c r="S14481" t="s">
        <v>48377</v>
      </c>
      <c r="T14481" t="s">
        <v>49415</v>
      </c>
      <c r="U14481" t="s">
        <v>61445</v>
      </c>
      <c r="W14481" t="s">
        <v>45384</v>
      </c>
      <c r="X14481" t="s">
        <v>47447</v>
      </c>
    </row>
    <row r="14482" spans="1:24">
      <c r="A14482">
        <f>HYPERLINK("https://www.philgeps.gov.ph/GEPSNONPILOT/Tender/SplashBidNoticeAbstractUI.aspx?menuIndex=3&amp;refID=7124302&amp;Result=3","7124302")</f>
        <v>0</v>
      </c>
      <c r="B14482" t="s">
        <v>81</v>
      </c>
      <c r="C14482" t="s">
        <v>17601</v>
      </c>
      <c r="D14482" t="s">
        <v>19023</v>
      </c>
      <c r="E14482" t="s">
        <v>31518</v>
      </c>
      <c r="F14482" t="s">
        <v>32831</v>
      </c>
      <c r="G14482" t="s">
        <v>32839</v>
      </c>
      <c r="H14482" t="s">
        <v>32848</v>
      </c>
      <c r="I14482" t="s">
        <v>7751</v>
      </c>
      <c r="J14482" t="s">
        <v>34447</v>
      </c>
      <c r="K14482" t="s">
        <v>42732</v>
      </c>
      <c r="M14482" t="s">
        <v>43078</v>
      </c>
      <c r="N14482" t="s">
        <v>47424</v>
      </c>
      <c r="O14482" t="s">
        <v>47425</v>
      </c>
      <c r="P14482">
        <v>0</v>
      </c>
      <c r="Q14482">
        <v>13</v>
      </c>
      <c r="R14482" t="s">
        <v>47446</v>
      </c>
      <c r="S14482" t="s">
        <v>48377</v>
      </c>
      <c r="T14482" t="s">
        <v>49214</v>
      </c>
      <c r="U14482" t="s">
        <v>61446</v>
      </c>
      <c r="W14482" t="s">
        <v>43078</v>
      </c>
      <c r="X14482" t="s">
        <v>47447</v>
      </c>
    </row>
    <row r="14483" spans="1:24">
      <c r="A14483">
        <f>HYPERLINK("https://www.philgeps.gov.ph/GEPSNONPILOT/Tender/SplashBidNoticeAbstractUI.aspx?menuIndex=3&amp;refID=7124055&amp;Result=3","7124055")</f>
        <v>0</v>
      </c>
      <c r="B14483" t="s">
        <v>3824</v>
      </c>
      <c r="C14483" t="s">
        <v>17602</v>
      </c>
      <c r="D14483" t="s">
        <v>19037</v>
      </c>
      <c r="E14483" t="s">
        <v>31519</v>
      </c>
      <c r="F14483" t="s">
        <v>32831</v>
      </c>
      <c r="G14483" t="s">
        <v>32839</v>
      </c>
      <c r="H14483" t="s">
        <v>32848</v>
      </c>
      <c r="I14483" t="s">
        <v>7416</v>
      </c>
      <c r="J14483" t="s">
        <v>41829</v>
      </c>
      <c r="K14483" t="s">
        <v>42745</v>
      </c>
      <c r="M14483" t="s">
        <v>47247</v>
      </c>
      <c r="N14483" t="s">
        <v>47424</v>
      </c>
      <c r="O14483" t="s">
        <v>47425</v>
      </c>
      <c r="P14483">
        <v>0</v>
      </c>
      <c r="Q14483">
        <v>0</v>
      </c>
      <c r="R14483" t="s">
        <v>47446</v>
      </c>
      <c r="S14483" t="s">
        <v>48377</v>
      </c>
      <c r="T14483" t="s">
        <v>49073</v>
      </c>
      <c r="U14483" t="s">
        <v>50296</v>
      </c>
      <c r="V14483" t="s">
        <v>63770</v>
      </c>
      <c r="W14483" t="s">
        <v>47247</v>
      </c>
      <c r="X14483" t="s">
        <v>47447</v>
      </c>
    </row>
    <row r="14484" spans="1:24">
      <c r="A14484">
        <f>HYPERLINK("https://www.philgeps.gov.ph/GEPSNONPILOT/Tender/SplashBidNoticeAbstractUI.aspx?menuIndex=3&amp;refID=7124303&amp;Result=3","7124303")</f>
        <v>0</v>
      </c>
      <c r="B14484" t="s">
        <v>3817</v>
      </c>
      <c r="C14484" t="s">
        <v>17603</v>
      </c>
      <c r="D14484" t="s">
        <v>19041</v>
      </c>
      <c r="E14484" t="s">
        <v>31520</v>
      </c>
      <c r="F14484" t="s">
        <v>32831</v>
      </c>
      <c r="G14484" t="s">
        <v>32839</v>
      </c>
      <c r="H14484" t="s">
        <v>32849</v>
      </c>
      <c r="I14484" t="s">
        <v>4177</v>
      </c>
      <c r="J14484" t="s">
        <v>41830</v>
      </c>
      <c r="K14484" t="s">
        <v>42787</v>
      </c>
      <c r="M14484" t="s">
        <v>47239</v>
      </c>
      <c r="N14484" t="s">
        <v>47424</v>
      </c>
      <c r="O14484" t="s">
        <v>47425</v>
      </c>
      <c r="P14484">
        <v>0</v>
      </c>
      <c r="Q14484">
        <v>0</v>
      </c>
      <c r="R14484" t="s">
        <v>47446</v>
      </c>
      <c r="S14484" t="s">
        <v>48377</v>
      </c>
      <c r="T14484" t="s">
        <v>49649</v>
      </c>
      <c r="U14484" t="s">
        <v>61447</v>
      </c>
      <c r="W14484" t="s">
        <v>47239</v>
      </c>
      <c r="X14484" t="s">
        <v>47447</v>
      </c>
    </row>
    <row r="14485" spans="1:24">
      <c r="A14485">
        <f>HYPERLINK("https://www.philgeps.gov.ph/GEPSNONPILOT/Tender/SplashBidNoticeAbstractUI.aspx?menuIndex=3&amp;refID=7124270&amp;Result=3","7124270")</f>
        <v>0</v>
      </c>
      <c r="B14485" t="s">
        <v>3531</v>
      </c>
      <c r="C14485" t="s">
        <v>17604</v>
      </c>
      <c r="D14485" t="s">
        <v>19074</v>
      </c>
      <c r="E14485" t="s">
        <v>27522</v>
      </c>
      <c r="F14485" t="s">
        <v>32831</v>
      </c>
      <c r="G14485" t="s">
        <v>32839</v>
      </c>
      <c r="H14485" t="s">
        <v>32849</v>
      </c>
      <c r="I14485" t="s">
        <v>4177</v>
      </c>
      <c r="J14485" t="s">
        <v>41831</v>
      </c>
      <c r="K14485" t="s">
        <v>42780</v>
      </c>
      <c r="M14485" t="s">
        <v>46882</v>
      </c>
      <c r="N14485" t="s">
        <v>47424</v>
      </c>
      <c r="O14485" t="s">
        <v>47425</v>
      </c>
      <c r="P14485">
        <v>0</v>
      </c>
      <c r="Q14485">
        <v>2</v>
      </c>
      <c r="R14485" t="s">
        <v>47446</v>
      </c>
      <c r="S14485" t="s">
        <v>48377</v>
      </c>
      <c r="T14485" t="s">
        <v>49237</v>
      </c>
      <c r="U14485" t="s">
        <v>61448</v>
      </c>
      <c r="W14485" t="s">
        <v>46882</v>
      </c>
      <c r="X14485" t="s">
        <v>47447</v>
      </c>
    </row>
    <row r="14486" spans="1:24">
      <c r="A14486">
        <f>HYPERLINK("https://www.philgeps.gov.ph/GEPSNONPILOT/Tender/SplashBidNoticeAbstractUI.aspx?menuIndex=3&amp;refID=7124233&amp;Result=3","7124233")</f>
        <v>0</v>
      </c>
      <c r="B14486" t="s">
        <v>2355</v>
      </c>
      <c r="C14486" t="s">
        <v>17605</v>
      </c>
      <c r="D14486" t="s">
        <v>19025</v>
      </c>
      <c r="E14486" t="s">
        <v>31521</v>
      </c>
      <c r="F14486" t="s">
        <v>32831</v>
      </c>
      <c r="G14486" t="s">
        <v>32839</v>
      </c>
      <c r="H14486" t="s">
        <v>32848</v>
      </c>
      <c r="I14486" t="s">
        <v>32860</v>
      </c>
      <c r="J14486" t="s">
        <v>41832</v>
      </c>
      <c r="K14486" t="s">
        <v>42730</v>
      </c>
      <c r="M14486" t="s">
        <v>45544</v>
      </c>
      <c r="N14486" t="s">
        <v>47424</v>
      </c>
      <c r="O14486" t="s">
        <v>47425</v>
      </c>
      <c r="P14486">
        <v>0</v>
      </c>
      <c r="Q14486">
        <v>1</v>
      </c>
      <c r="R14486" t="s">
        <v>47446</v>
      </c>
      <c r="S14486" t="s">
        <v>48377</v>
      </c>
      <c r="T14486" t="s">
        <v>49370</v>
      </c>
      <c r="U14486" t="s">
        <v>61449</v>
      </c>
      <c r="W14486" t="s">
        <v>45544</v>
      </c>
      <c r="X14486" t="s">
        <v>47447</v>
      </c>
    </row>
    <row r="14487" spans="1:24">
      <c r="A14487">
        <f>HYPERLINK("https://www.philgeps.gov.ph/GEPSNONPILOT/Tender/SplashBidNoticeAbstractUI.aspx?menuIndex=3&amp;refID=7124220&amp;Result=3","7124220")</f>
        <v>0</v>
      </c>
      <c r="B14487" t="s">
        <v>3817</v>
      </c>
      <c r="C14487" t="s">
        <v>17606</v>
      </c>
      <c r="D14487" t="s">
        <v>19041</v>
      </c>
      <c r="E14487" t="s">
        <v>31522</v>
      </c>
      <c r="F14487" t="s">
        <v>32831</v>
      </c>
      <c r="G14487" t="s">
        <v>32839</v>
      </c>
      <c r="H14487" t="s">
        <v>32849</v>
      </c>
      <c r="I14487" t="s">
        <v>4177</v>
      </c>
      <c r="J14487" t="s">
        <v>41833</v>
      </c>
      <c r="K14487" t="s">
        <v>42770</v>
      </c>
      <c r="M14487" t="s">
        <v>47239</v>
      </c>
      <c r="N14487" t="s">
        <v>47424</v>
      </c>
      <c r="O14487" t="s">
        <v>47425</v>
      </c>
      <c r="P14487">
        <v>0</v>
      </c>
      <c r="Q14487">
        <v>0</v>
      </c>
      <c r="R14487" t="s">
        <v>47446</v>
      </c>
      <c r="S14487" t="s">
        <v>48377</v>
      </c>
      <c r="T14487" t="s">
        <v>49649</v>
      </c>
      <c r="U14487" t="s">
        <v>61450</v>
      </c>
      <c r="W14487" t="s">
        <v>47239</v>
      </c>
      <c r="X14487" t="s">
        <v>47447</v>
      </c>
    </row>
    <row r="14488" spans="1:24">
      <c r="A14488">
        <f>HYPERLINK("https://www.philgeps.gov.ph/GEPSNONPILOT/Tender/SplashBidNoticeAbstractUI.aspx?menuIndex=3&amp;refID=7124341&amp;Result=3","7124341")</f>
        <v>0</v>
      </c>
      <c r="B14488" t="s">
        <v>81</v>
      </c>
      <c r="C14488" t="s">
        <v>17607</v>
      </c>
      <c r="D14488" t="s">
        <v>19023</v>
      </c>
      <c r="E14488" t="s">
        <v>31523</v>
      </c>
      <c r="F14488" t="s">
        <v>32831</v>
      </c>
      <c r="G14488" t="s">
        <v>32839</v>
      </c>
      <c r="H14488" t="s">
        <v>32848</v>
      </c>
      <c r="I14488" t="s">
        <v>32925</v>
      </c>
      <c r="J14488" t="s">
        <v>41834</v>
      </c>
      <c r="K14488" t="s">
        <v>42732</v>
      </c>
      <c r="M14488" t="s">
        <v>43078</v>
      </c>
      <c r="N14488" t="s">
        <v>47424</v>
      </c>
      <c r="O14488" t="s">
        <v>47425</v>
      </c>
      <c r="P14488">
        <v>0</v>
      </c>
      <c r="Q14488">
        <v>12</v>
      </c>
      <c r="R14488" t="s">
        <v>47446</v>
      </c>
      <c r="S14488" t="s">
        <v>48377</v>
      </c>
      <c r="T14488" t="s">
        <v>49214</v>
      </c>
      <c r="U14488" t="s">
        <v>61451</v>
      </c>
      <c r="W14488" t="s">
        <v>43078</v>
      </c>
      <c r="X14488" t="s">
        <v>47447</v>
      </c>
    </row>
    <row r="14489" spans="1:24">
      <c r="A14489">
        <f>HYPERLINK("https://www.philgeps.gov.ph/GEPSNONPILOT/Tender/SplashBidNoticeAbstractUI.aspx?menuIndex=3&amp;refID=7124214&amp;Result=3","7124214")</f>
        <v>0</v>
      </c>
      <c r="B14489" t="s">
        <v>2669</v>
      </c>
      <c r="C14489" t="s">
        <v>17608</v>
      </c>
      <c r="D14489" t="s">
        <v>19043</v>
      </c>
      <c r="E14489" t="s">
        <v>31524</v>
      </c>
      <c r="F14489" t="s">
        <v>32831</v>
      </c>
      <c r="G14489" t="s">
        <v>32839</v>
      </c>
      <c r="H14489" t="s">
        <v>32848</v>
      </c>
      <c r="I14489" t="s">
        <v>32883</v>
      </c>
      <c r="J14489" t="s">
        <v>41835</v>
      </c>
      <c r="K14489" t="s">
        <v>42745</v>
      </c>
      <c r="M14489" t="s">
        <v>45892</v>
      </c>
      <c r="N14489" t="s">
        <v>47424</v>
      </c>
      <c r="O14489" t="s">
        <v>47425</v>
      </c>
      <c r="P14489">
        <v>0</v>
      </c>
      <c r="Q14489">
        <v>6</v>
      </c>
      <c r="R14489" t="s">
        <v>47446</v>
      </c>
      <c r="S14489" t="s">
        <v>48377</v>
      </c>
      <c r="T14489" t="s">
        <v>49079</v>
      </c>
      <c r="U14489" t="s">
        <v>61452</v>
      </c>
      <c r="W14489" t="s">
        <v>45892</v>
      </c>
      <c r="X14489" t="s">
        <v>47447</v>
      </c>
    </row>
    <row r="14490" spans="1:24">
      <c r="A14490">
        <f>HYPERLINK("https://www.philgeps.gov.ph/GEPSNONPILOT/Tender/SplashBidNoticeAbstractUI.aspx?menuIndex=3&amp;refID=7124221&amp;Result=3","7124221")</f>
        <v>0</v>
      </c>
      <c r="B14490" t="s">
        <v>81</v>
      </c>
      <c r="C14490" t="s">
        <v>17609</v>
      </c>
      <c r="D14490" t="s">
        <v>19023</v>
      </c>
      <c r="E14490" t="s">
        <v>31525</v>
      </c>
      <c r="F14490" t="s">
        <v>32831</v>
      </c>
      <c r="G14490" t="s">
        <v>32839</v>
      </c>
      <c r="H14490" t="s">
        <v>32848</v>
      </c>
      <c r="I14490" t="s">
        <v>4222</v>
      </c>
      <c r="J14490" t="s">
        <v>41836</v>
      </c>
      <c r="K14490" t="s">
        <v>42732</v>
      </c>
      <c r="M14490" t="s">
        <v>43078</v>
      </c>
      <c r="N14490" t="s">
        <v>47424</v>
      </c>
      <c r="O14490" t="s">
        <v>47425</v>
      </c>
      <c r="P14490">
        <v>0</v>
      </c>
      <c r="Q14490">
        <v>1</v>
      </c>
      <c r="R14490" t="s">
        <v>47446</v>
      </c>
      <c r="S14490" t="s">
        <v>48377</v>
      </c>
      <c r="T14490" t="s">
        <v>49214</v>
      </c>
      <c r="U14490" t="s">
        <v>61453</v>
      </c>
      <c r="W14490" t="s">
        <v>43078</v>
      </c>
      <c r="X14490" t="s">
        <v>47447</v>
      </c>
    </row>
    <row r="14491" spans="1:24">
      <c r="A14491">
        <f>HYPERLINK("https://www.philgeps.gov.ph/GEPSNONPILOT/Tender/SplashBidNoticeAbstractUI.aspx?menuIndex=3&amp;refID=7124191&amp;Result=3","7124191")</f>
        <v>0</v>
      </c>
      <c r="B14491" t="s">
        <v>1358</v>
      </c>
      <c r="C14491" t="s">
        <v>17610</v>
      </c>
      <c r="D14491" t="s">
        <v>19068</v>
      </c>
      <c r="E14491" t="s">
        <v>31526</v>
      </c>
      <c r="F14491" t="s">
        <v>32831</v>
      </c>
      <c r="G14491" t="s">
        <v>32839</v>
      </c>
      <c r="H14491" t="s">
        <v>32848</v>
      </c>
      <c r="I14491" t="s">
        <v>7416</v>
      </c>
      <c r="J14491" t="s">
        <v>41816</v>
      </c>
      <c r="K14491" t="s">
        <v>42730</v>
      </c>
      <c r="M14491" t="s">
        <v>44435</v>
      </c>
      <c r="N14491" t="s">
        <v>47424</v>
      </c>
      <c r="O14491" t="s">
        <v>47425</v>
      </c>
      <c r="P14491">
        <v>0</v>
      </c>
      <c r="Q14491">
        <v>0</v>
      </c>
      <c r="R14491" t="s">
        <v>47446</v>
      </c>
      <c r="S14491" t="s">
        <v>48377</v>
      </c>
      <c r="T14491" t="s">
        <v>49111</v>
      </c>
      <c r="U14491" t="s">
        <v>61413</v>
      </c>
      <c r="V14491" t="s">
        <v>64271</v>
      </c>
      <c r="W14491" t="s">
        <v>44435</v>
      </c>
      <c r="X14491" t="s">
        <v>47447</v>
      </c>
    </row>
    <row r="14492" spans="1:24">
      <c r="A14492">
        <f>HYPERLINK("https://www.philgeps.gov.ph/GEPSNONPILOT/Tender/SplashBidNoticeAbstractUI.aspx?menuIndex=3&amp;refID=7124165&amp;Result=3","7124165")</f>
        <v>0</v>
      </c>
      <c r="B14492" t="s">
        <v>1358</v>
      </c>
      <c r="C14492" t="s">
        <v>17611</v>
      </c>
      <c r="D14492" t="s">
        <v>19068</v>
      </c>
      <c r="E14492" t="s">
        <v>31527</v>
      </c>
      <c r="F14492" t="s">
        <v>32831</v>
      </c>
      <c r="G14492" t="s">
        <v>32839</v>
      </c>
      <c r="H14492" t="s">
        <v>32848</v>
      </c>
      <c r="I14492" t="s">
        <v>7416</v>
      </c>
      <c r="J14492" t="s">
        <v>41816</v>
      </c>
      <c r="K14492" t="s">
        <v>42730</v>
      </c>
      <c r="M14492" t="s">
        <v>44435</v>
      </c>
      <c r="N14492" t="s">
        <v>47424</v>
      </c>
      <c r="O14492" t="s">
        <v>47425</v>
      </c>
      <c r="P14492">
        <v>0</v>
      </c>
      <c r="Q14492">
        <v>0</v>
      </c>
      <c r="R14492" t="s">
        <v>47446</v>
      </c>
      <c r="S14492" t="s">
        <v>48377</v>
      </c>
      <c r="T14492" t="s">
        <v>49111</v>
      </c>
      <c r="U14492" t="s">
        <v>61413</v>
      </c>
      <c r="V14492" t="s">
        <v>64271</v>
      </c>
      <c r="W14492" t="s">
        <v>44435</v>
      </c>
      <c r="X14492" t="s">
        <v>47447</v>
      </c>
    </row>
    <row r="14493" spans="1:24">
      <c r="A14493">
        <f>HYPERLINK("https://www.philgeps.gov.ph/GEPSNONPILOT/Tender/SplashBidNoticeAbstractUI.aspx?menuIndex=3&amp;refID=7124207&amp;Result=3","7124207")</f>
        <v>0</v>
      </c>
      <c r="B14493" t="s">
        <v>1358</v>
      </c>
      <c r="C14493" t="s">
        <v>17612</v>
      </c>
      <c r="D14493" t="s">
        <v>19068</v>
      </c>
      <c r="E14493" t="s">
        <v>31528</v>
      </c>
      <c r="F14493" t="s">
        <v>32831</v>
      </c>
      <c r="G14493" t="s">
        <v>32839</v>
      </c>
      <c r="H14493" t="s">
        <v>32848</v>
      </c>
      <c r="I14493" t="s">
        <v>7751</v>
      </c>
      <c r="J14493" t="s">
        <v>33072</v>
      </c>
      <c r="K14493" t="s">
        <v>42730</v>
      </c>
      <c r="M14493" t="s">
        <v>44435</v>
      </c>
      <c r="N14493" t="s">
        <v>47424</v>
      </c>
      <c r="O14493" t="s">
        <v>47425</v>
      </c>
      <c r="P14493">
        <v>0</v>
      </c>
      <c r="Q14493">
        <v>0</v>
      </c>
      <c r="R14493" t="s">
        <v>47446</v>
      </c>
      <c r="S14493" t="s">
        <v>48377</v>
      </c>
      <c r="T14493" t="s">
        <v>49111</v>
      </c>
      <c r="U14493" t="s">
        <v>61454</v>
      </c>
      <c r="V14493" t="s">
        <v>64271</v>
      </c>
      <c r="W14493" t="s">
        <v>44435</v>
      </c>
      <c r="X14493" t="s">
        <v>47447</v>
      </c>
    </row>
    <row r="14494" spans="1:24">
      <c r="A14494">
        <f>HYPERLINK("https://www.philgeps.gov.ph/GEPSNONPILOT/Tender/SplashBidNoticeAbstractUI.aspx?menuIndex=3&amp;refID=7124330&amp;Result=3","7124330")</f>
        <v>0</v>
      </c>
      <c r="B14494" t="s">
        <v>3825</v>
      </c>
      <c r="C14494" t="s">
        <v>17613</v>
      </c>
      <c r="D14494" t="s">
        <v>19067</v>
      </c>
      <c r="E14494" t="s">
        <v>31529</v>
      </c>
      <c r="F14494" t="s">
        <v>32831</v>
      </c>
      <c r="G14494" t="s">
        <v>32839</v>
      </c>
      <c r="H14494" t="s">
        <v>32849</v>
      </c>
      <c r="I14494" t="s">
        <v>4177</v>
      </c>
      <c r="J14494" t="s">
        <v>36370</v>
      </c>
      <c r="K14494" t="s">
        <v>42757</v>
      </c>
      <c r="M14494" t="s">
        <v>47248</v>
      </c>
      <c r="N14494" t="s">
        <v>47424</v>
      </c>
      <c r="O14494" t="s">
        <v>47425</v>
      </c>
      <c r="Q14494">
        <v>0</v>
      </c>
      <c r="R14494" t="s">
        <v>47446</v>
      </c>
      <c r="S14494" t="s">
        <v>47673</v>
      </c>
      <c r="T14494" t="s">
        <v>49106</v>
      </c>
      <c r="U14494" t="s">
        <v>61455</v>
      </c>
      <c r="V14494" t="s">
        <v>64276</v>
      </c>
      <c r="W14494" t="s">
        <v>47248</v>
      </c>
      <c r="X14494" t="s">
        <v>47447</v>
      </c>
    </row>
    <row r="14495" spans="1:24">
      <c r="A14495">
        <f>HYPERLINK("https://www.philgeps.gov.ph/GEPSNONPILOT/Tender/SplashBidNoticeAbstractUI.aspx?menuIndex=3&amp;refID=7124144&amp;Result=3","7124144")</f>
        <v>0</v>
      </c>
      <c r="B14495" t="s">
        <v>3826</v>
      </c>
      <c r="C14495" t="s">
        <v>17614</v>
      </c>
      <c r="D14495" t="s">
        <v>19045</v>
      </c>
      <c r="E14495" t="s">
        <v>31530</v>
      </c>
      <c r="F14495" t="s">
        <v>32831</v>
      </c>
      <c r="G14495" t="s">
        <v>32839</v>
      </c>
      <c r="H14495" t="s">
        <v>32849</v>
      </c>
      <c r="I14495" t="s">
        <v>4177</v>
      </c>
      <c r="J14495" t="s">
        <v>32978</v>
      </c>
      <c r="K14495" t="s">
        <v>42763</v>
      </c>
      <c r="M14495" t="s">
        <v>47249</v>
      </c>
      <c r="N14495" t="s">
        <v>47424</v>
      </c>
      <c r="O14495" t="s">
        <v>47425</v>
      </c>
      <c r="P14495">
        <v>0</v>
      </c>
      <c r="Q14495">
        <v>1</v>
      </c>
      <c r="R14495" t="s">
        <v>47446</v>
      </c>
      <c r="S14495" t="s">
        <v>48377</v>
      </c>
      <c r="T14495" t="s">
        <v>49328</v>
      </c>
      <c r="U14495" t="s">
        <v>61456</v>
      </c>
      <c r="W14495" t="s">
        <v>47249</v>
      </c>
      <c r="X14495" t="s">
        <v>47447</v>
      </c>
    </row>
    <row r="14496" spans="1:24">
      <c r="A14496">
        <f>HYPERLINK("https://www.philgeps.gov.ph/GEPSNONPILOT/Tender/SplashBidNoticeAbstractUI.aspx?menuIndex=3&amp;refID=7124047&amp;Result=3","7124047")</f>
        <v>0</v>
      </c>
      <c r="B14496" t="s">
        <v>3060</v>
      </c>
      <c r="C14496" t="s">
        <v>17615</v>
      </c>
      <c r="D14496" t="s">
        <v>19034</v>
      </c>
      <c r="E14496" t="s">
        <v>31531</v>
      </c>
      <c r="F14496" t="s">
        <v>32831</v>
      </c>
      <c r="G14496" t="s">
        <v>32839</v>
      </c>
      <c r="H14496" t="s">
        <v>32848</v>
      </c>
      <c r="I14496" t="s">
        <v>32874</v>
      </c>
      <c r="J14496" t="s">
        <v>41837</v>
      </c>
      <c r="K14496" t="s">
        <v>42763</v>
      </c>
      <c r="M14496" t="s">
        <v>46335</v>
      </c>
      <c r="N14496" t="s">
        <v>47424</v>
      </c>
      <c r="O14496" t="s">
        <v>47425</v>
      </c>
      <c r="Q14496">
        <v>28</v>
      </c>
      <c r="R14496" t="s">
        <v>47446</v>
      </c>
      <c r="S14496" t="s">
        <v>48419</v>
      </c>
      <c r="T14496" t="s">
        <v>49653</v>
      </c>
      <c r="U14496" t="s">
        <v>61457</v>
      </c>
      <c r="V14496" t="s">
        <v>64277</v>
      </c>
      <c r="W14496" t="s">
        <v>46335</v>
      </c>
      <c r="X14496" t="s">
        <v>47447</v>
      </c>
    </row>
    <row r="14497" spans="1:24">
      <c r="A14497">
        <f>HYPERLINK("https://www.philgeps.gov.ph/GEPSNONPILOT/Tender/SplashBidNoticeAbstractUI.aspx?menuIndex=3&amp;refID=7124180&amp;Result=3","7124180")</f>
        <v>0</v>
      </c>
      <c r="B14497" t="s">
        <v>3817</v>
      </c>
      <c r="C14497" t="s">
        <v>17616</v>
      </c>
      <c r="D14497" t="s">
        <v>19041</v>
      </c>
      <c r="E14497" t="s">
        <v>31532</v>
      </c>
      <c r="F14497" t="s">
        <v>32831</v>
      </c>
      <c r="G14497" t="s">
        <v>32839</v>
      </c>
      <c r="H14497" t="s">
        <v>32849</v>
      </c>
      <c r="I14497" t="s">
        <v>4177</v>
      </c>
      <c r="J14497" t="s">
        <v>41838</v>
      </c>
      <c r="K14497" t="s">
        <v>42777</v>
      </c>
      <c r="M14497" t="s">
        <v>47239</v>
      </c>
      <c r="N14497" t="s">
        <v>47424</v>
      </c>
      <c r="O14497" t="s">
        <v>47425</v>
      </c>
      <c r="P14497">
        <v>0</v>
      </c>
      <c r="Q14497">
        <v>0</v>
      </c>
      <c r="R14497" t="s">
        <v>47446</v>
      </c>
      <c r="S14497" t="s">
        <v>48377</v>
      </c>
      <c r="T14497" t="s">
        <v>49649</v>
      </c>
      <c r="U14497" t="s">
        <v>61458</v>
      </c>
      <c r="W14497" t="s">
        <v>47239</v>
      </c>
      <c r="X14497" t="s">
        <v>47447</v>
      </c>
    </row>
    <row r="14498" spans="1:24">
      <c r="A14498">
        <f>HYPERLINK("https://www.philgeps.gov.ph/GEPSNONPILOT/Tender/SplashBidNoticeAbstractUI.aspx?menuIndex=3&amp;refID=7124033&amp;Result=3","7124033")</f>
        <v>0</v>
      </c>
      <c r="B14498" t="s">
        <v>3820</v>
      </c>
      <c r="C14498" t="s">
        <v>17617</v>
      </c>
      <c r="D14498" t="s">
        <v>19017</v>
      </c>
      <c r="E14498" t="s">
        <v>27291</v>
      </c>
      <c r="F14498" t="s">
        <v>32833</v>
      </c>
      <c r="G14498" t="s">
        <v>32839</v>
      </c>
      <c r="H14498" t="s">
        <v>32848</v>
      </c>
      <c r="I14498" t="s">
        <v>7416</v>
      </c>
      <c r="J14498" t="s">
        <v>32978</v>
      </c>
      <c r="K14498" t="s">
        <v>42727</v>
      </c>
      <c r="M14498" t="s">
        <v>47242</v>
      </c>
      <c r="N14498" t="s">
        <v>47424</v>
      </c>
      <c r="O14498" t="s">
        <v>47425</v>
      </c>
      <c r="P14498">
        <v>0</v>
      </c>
      <c r="Q14498">
        <v>1</v>
      </c>
      <c r="R14498" t="s">
        <v>47446</v>
      </c>
      <c r="S14498" t="s">
        <v>48377</v>
      </c>
      <c r="T14498" t="s">
        <v>49649</v>
      </c>
      <c r="U14498" t="s">
        <v>61459</v>
      </c>
      <c r="W14498" t="s">
        <v>47242</v>
      </c>
      <c r="X14498" t="s">
        <v>47447</v>
      </c>
    </row>
    <row r="14499" spans="1:24">
      <c r="A14499">
        <f>HYPERLINK("https://www.philgeps.gov.ph/GEPSNONPILOT/Tender/SplashBidNoticeAbstractUI.aspx?menuIndex=3&amp;refID=7124037&amp;Result=3","7124037")</f>
        <v>0</v>
      </c>
      <c r="B14499" t="s">
        <v>1244</v>
      </c>
      <c r="C14499" t="s">
        <v>17618</v>
      </c>
      <c r="D14499" t="s">
        <v>19095</v>
      </c>
      <c r="E14499" t="s">
        <v>31533</v>
      </c>
      <c r="F14499" t="s">
        <v>32831</v>
      </c>
      <c r="G14499" t="s">
        <v>32839</v>
      </c>
      <c r="H14499" t="s">
        <v>32848</v>
      </c>
      <c r="I14499" t="s">
        <v>32870</v>
      </c>
      <c r="J14499" t="s">
        <v>41839</v>
      </c>
      <c r="K14499" t="s">
        <v>42776</v>
      </c>
      <c r="M14499" t="s">
        <v>44314</v>
      </c>
      <c r="N14499" t="s">
        <v>47424</v>
      </c>
      <c r="O14499" t="s">
        <v>47425</v>
      </c>
      <c r="P14499">
        <v>0</v>
      </c>
      <c r="Q14499">
        <v>0</v>
      </c>
      <c r="R14499" t="s">
        <v>47446</v>
      </c>
      <c r="S14499" t="s">
        <v>48377</v>
      </c>
      <c r="T14499" t="s">
        <v>49321</v>
      </c>
      <c r="U14499" t="s">
        <v>61460</v>
      </c>
      <c r="V14499" t="s">
        <v>64278</v>
      </c>
      <c r="W14499" t="s">
        <v>44314</v>
      </c>
      <c r="X14499" t="s">
        <v>47447</v>
      </c>
    </row>
    <row r="14500" spans="1:24">
      <c r="A14500">
        <f>HYPERLINK("https://www.philgeps.gov.ph/GEPSNONPILOT/Tender/SplashBidNoticeAbstractUI.aspx?menuIndex=3&amp;refID=7124277&amp;Result=3","7124277")</f>
        <v>0</v>
      </c>
      <c r="B14500" t="s">
        <v>1295</v>
      </c>
      <c r="C14500" t="s">
        <v>17619</v>
      </c>
      <c r="D14500" t="s">
        <v>19054</v>
      </c>
      <c r="E14500" t="s">
        <v>31534</v>
      </c>
      <c r="F14500" t="s">
        <v>32831</v>
      </c>
      <c r="G14500" t="s">
        <v>32839</v>
      </c>
      <c r="H14500" t="s">
        <v>32848</v>
      </c>
      <c r="I14500" t="s">
        <v>4222</v>
      </c>
      <c r="J14500" t="s">
        <v>37235</v>
      </c>
      <c r="K14500" t="s">
        <v>42731</v>
      </c>
      <c r="M14500" t="s">
        <v>44365</v>
      </c>
      <c r="N14500" t="s">
        <v>47424</v>
      </c>
      <c r="O14500" t="s">
        <v>47425</v>
      </c>
      <c r="P14500">
        <v>0</v>
      </c>
      <c r="Q14500">
        <v>1</v>
      </c>
      <c r="R14500" t="s">
        <v>47446</v>
      </c>
      <c r="S14500" t="s">
        <v>48377</v>
      </c>
      <c r="T14500" t="s">
        <v>49237</v>
      </c>
      <c r="U14500" t="s">
        <v>52500</v>
      </c>
      <c r="W14500" t="s">
        <v>44365</v>
      </c>
      <c r="X14500" t="s">
        <v>47447</v>
      </c>
    </row>
    <row r="14501" spans="1:24">
      <c r="A14501">
        <f>HYPERLINK("https://www.philgeps.gov.ph/GEPSNONPILOT/Tender/SplashBidNoticeAbstractUI.aspx?menuIndex=3&amp;refID=7124089&amp;Result=3","7124089")</f>
        <v>0</v>
      </c>
      <c r="B14501" t="s">
        <v>1977</v>
      </c>
      <c r="C14501" t="s">
        <v>17620</v>
      </c>
      <c r="E14501" t="s">
        <v>31535</v>
      </c>
      <c r="F14501" t="s">
        <v>32831</v>
      </c>
      <c r="G14501" t="s">
        <v>32839</v>
      </c>
      <c r="H14501" t="s">
        <v>32848</v>
      </c>
      <c r="I14501" t="s">
        <v>32857</v>
      </c>
      <c r="J14501" t="s">
        <v>41840</v>
      </c>
      <c r="K14501" t="s">
        <v>42732</v>
      </c>
      <c r="M14501" t="s">
        <v>45189</v>
      </c>
      <c r="N14501" t="s">
        <v>47424</v>
      </c>
      <c r="O14501" t="s">
        <v>47425</v>
      </c>
      <c r="Q14501">
        <v>11</v>
      </c>
      <c r="R14501" t="s">
        <v>47446</v>
      </c>
      <c r="S14501" t="s">
        <v>48420</v>
      </c>
      <c r="T14501" t="s">
        <v>49321</v>
      </c>
      <c r="U14501" t="s">
        <v>61461</v>
      </c>
      <c r="W14501" t="s">
        <v>45189</v>
      </c>
      <c r="X14501" t="s">
        <v>47447</v>
      </c>
    </row>
    <row r="14502" spans="1:24">
      <c r="A14502">
        <f>HYPERLINK("https://www.philgeps.gov.ph/GEPSNONPILOT/Tender/SplashBidNoticeAbstractUI.aspx?menuIndex=3&amp;refID=7124015&amp;Result=3","7124015")</f>
        <v>0</v>
      </c>
      <c r="B14502" t="s">
        <v>1358</v>
      </c>
      <c r="C14502" t="s">
        <v>17621</v>
      </c>
      <c r="D14502" t="s">
        <v>19068</v>
      </c>
      <c r="E14502" t="s">
        <v>31536</v>
      </c>
      <c r="F14502" t="s">
        <v>32831</v>
      </c>
      <c r="G14502" t="s">
        <v>32839</v>
      </c>
      <c r="H14502" t="s">
        <v>32848</v>
      </c>
      <c r="I14502" t="s">
        <v>7416</v>
      </c>
      <c r="J14502" t="s">
        <v>41841</v>
      </c>
      <c r="K14502" t="s">
        <v>42730</v>
      </c>
      <c r="M14502" t="s">
        <v>44435</v>
      </c>
      <c r="N14502" t="s">
        <v>47424</v>
      </c>
      <c r="O14502" t="s">
        <v>47425</v>
      </c>
      <c r="P14502">
        <v>0</v>
      </c>
      <c r="Q14502">
        <v>0</v>
      </c>
      <c r="R14502" t="s">
        <v>47446</v>
      </c>
      <c r="S14502" t="s">
        <v>48377</v>
      </c>
      <c r="T14502" t="s">
        <v>49111</v>
      </c>
      <c r="U14502" t="s">
        <v>61413</v>
      </c>
      <c r="V14502" t="s">
        <v>64271</v>
      </c>
      <c r="W14502" t="s">
        <v>44435</v>
      </c>
      <c r="X14502" t="s">
        <v>47447</v>
      </c>
    </row>
    <row r="14503" spans="1:24">
      <c r="A14503">
        <f>HYPERLINK("https://www.philgeps.gov.ph/GEPSNONPILOT/Tender/SplashBidNoticeAbstractUI.aspx?menuIndex=3&amp;refID=7124405&amp;Result=3","7124405")</f>
        <v>0</v>
      </c>
      <c r="B14503" t="s">
        <v>3060</v>
      </c>
      <c r="C14503" t="s">
        <v>17622</v>
      </c>
      <c r="D14503" t="s">
        <v>19034</v>
      </c>
      <c r="E14503" t="s">
        <v>31537</v>
      </c>
      <c r="F14503" t="s">
        <v>32831</v>
      </c>
      <c r="G14503" t="s">
        <v>32839</v>
      </c>
      <c r="H14503" t="s">
        <v>32848</v>
      </c>
      <c r="I14503" t="s">
        <v>32869</v>
      </c>
      <c r="J14503" t="s">
        <v>41722</v>
      </c>
      <c r="K14503" t="s">
        <v>42730</v>
      </c>
      <c r="M14503" t="s">
        <v>46335</v>
      </c>
      <c r="N14503" t="s">
        <v>47424</v>
      </c>
      <c r="O14503" t="s">
        <v>47425</v>
      </c>
      <c r="P14503">
        <v>0</v>
      </c>
      <c r="Q14503">
        <v>4</v>
      </c>
      <c r="R14503" t="s">
        <v>47446</v>
      </c>
      <c r="S14503" t="s">
        <v>48377</v>
      </c>
      <c r="T14503" t="s">
        <v>49321</v>
      </c>
      <c r="U14503" t="s">
        <v>61462</v>
      </c>
      <c r="V14503" t="s">
        <v>64279</v>
      </c>
      <c r="W14503" t="s">
        <v>46335</v>
      </c>
      <c r="X14503" t="s">
        <v>47447</v>
      </c>
    </row>
    <row r="14504" spans="1:24">
      <c r="A14504">
        <f>HYPERLINK("https://www.philgeps.gov.ph/GEPSNONPILOT/Tender/SplashBidNoticeAbstractUI.aspx?menuIndex=3&amp;refID=7124459&amp;Result=3","7124459")</f>
        <v>0</v>
      </c>
      <c r="B14504" t="s">
        <v>895</v>
      </c>
      <c r="C14504" t="s">
        <v>17623</v>
      </c>
      <c r="D14504" t="s">
        <v>19036</v>
      </c>
      <c r="E14504" t="s">
        <v>31538</v>
      </c>
      <c r="F14504" t="s">
        <v>32831</v>
      </c>
      <c r="G14504" t="s">
        <v>32839</v>
      </c>
      <c r="H14504" t="s">
        <v>32848</v>
      </c>
      <c r="I14504" t="s">
        <v>32871</v>
      </c>
      <c r="J14504" t="s">
        <v>41842</v>
      </c>
      <c r="K14504" t="s">
        <v>42729</v>
      </c>
      <c r="M14504" t="s">
        <v>43930</v>
      </c>
      <c r="N14504" t="s">
        <v>47424</v>
      </c>
      <c r="O14504" t="s">
        <v>47425</v>
      </c>
      <c r="P14504">
        <v>0</v>
      </c>
      <c r="Q14504">
        <v>6</v>
      </c>
      <c r="R14504" t="s">
        <v>47446</v>
      </c>
      <c r="S14504" t="s">
        <v>48377</v>
      </c>
      <c r="T14504" t="s">
        <v>49415</v>
      </c>
      <c r="U14504" t="s">
        <v>61463</v>
      </c>
      <c r="V14504" t="s">
        <v>62833</v>
      </c>
      <c r="W14504" t="s">
        <v>43930</v>
      </c>
      <c r="X14504" t="s">
        <v>47447</v>
      </c>
    </row>
    <row r="14505" spans="1:24">
      <c r="A14505">
        <f>HYPERLINK("https://www.philgeps.gov.ph/GEPSNONPILOT/Tender/SplashBidNoticeAbstractUI.aspx?menuIndex=3&amp;refID=7124021&amp;Result=3","7124021")</f>
        <v>0</v>
      </c>
      <c r="B14505" t="s">
        <v>1563</v>
      </c>
      <c r="C14505" t="s">
        <v>17624</v>
      </c>
      <c r="D14505" t="s">
        <v>19049</v>
      </c>
      <c r="E14505" t="s">
        <v>31539</v>
      </c>
      <c r="F14505" t="s">
        <v>32831</v>
      </c>
      <c r="G14505" t="s">
        <v>32839</v>
      </c>
      <c r="H14505" t="s">
        <v>32848</v>
      </c>
      <c r="I14505" t="s">
        <v>32894</v>
      </c>
      <c r="J14505" t="s">
        <v>36730</v>
      </c>
      <c r="K14505" t="s">
        <v>42764</v>
      </c>
      <c r="M14505" t="s">
        <v>47246</v>
      </c>
      <c r="N14505" t="s">
        <v>47424</v>
      </c>
      <c r="O14505" t="s">
        <v>47425</v>
      </c>
      <c r="Q14505">
        <v>6</v>
      </c>
      <c r="R14505" t="s">
        <v>47446</v>
      </c>
      <c r="S14505" t="s">
        <v>48421</v>
      </c>
      <c r="T14505" t="s">
        <v>49239</v>
      </c>
      <c r="U14505" t="s">
        <v>61464</v>
      </c>
      <c r="V14505" t="s">
        <v>64274</v>
      </c>
      <c r="W14505" t="s">
        <v>47246</v>
      </c>
      <c r="X14505" t="s">
        <v>47447</v>
      </c>
    </row>
    <row r="14506" spans="1:24">
      <c r="A14506">
        <f>HYPERLINK("https://www.philgeps.gov.ph/GEPSNONPILOT/Tender/SplashBidNoticeAbstractUI.aspx?menuIndex=3&amp;refID=7124450&amp;Result=3","7124450")</f>
        <v>0</v>
      </c>
      <c r="B14506" t="s">
        <v>3775</v>
      </c>
      <c r="C14506" t="s">
        <v>17625</v>
      </c>
      <c r="D14506" t="s">
        <v>19045</v>
      </c>
      <c r="E14506" t="s">
        <v>31068</v>
      </c>
      <c r="F14506" t="s">
        <v>32831</v>
      </c>
      <c r="G14506" t="s">
        <v>32839</v>
      </c>
      <c r="H14506" t="s">
        <v>32849</v>
      </c>
      <c r="I14506" t="s">
        <v>4177</v>
      </c>
      <c r="J14506" t="s">
        <v>33087</v>
      </c>
      <c r="K14506" t="s">
        <v>42730</v>
      </c>
      <c r="M14506" t="s">
        <v>47183</v>
      </c>
      <c r="N14506" t="s">
        <v>47424</v>
      </c>
      <c r="O14506" t="s">
        <v>47425</v>
      </c>
      <c r="P14506">
        <v>0</v>
      </c>
      <c r="Q14506">
        <v>1</v>
      </c>
      <c r="R14506" t="s">
        <v>47446</v>
      </c>
      <c r="S14506" t="s">
        <v>48377</v>
      </c>
      <c r="T14506" t="s">
        <v>49237</v>
      </c>
      <c r="U14506" t="s">
        <v>61465</v>
      </c>
      <c r="V14506" t="s">
        <v>62846</v>
      </c>
      <c r="W14506" t="s">
        <v>47183</v>
      </c>
      <c r="X14506" t="s">
        <v>47447</v>
      </c>
    </row>
    <row r="14507" spans="1:24">
      <c r="A14507">
        <f>HYPERLINK("https://www.philgeps.gov.ph/GEPSNONPILOT/Tender/SplashBidNoticeAbstractUI.aspx?menuIndex=3&amp;refID=7124440&amp;Result=3","7124440")</f>
        <v>0</v>
      </c>
      <c r="B14507" t="s">
        <v>3060</v>
      </c>
      <c r="C14507" t="s">
        <v>17626</v>
      </c>
      <c r="D14507" t="s">
        <v>19034</v>
      </c>
      <c r="E14507" t="s">
        <v>31540</v>
      </c>
      <c r="F14507" t="s">
        <v>32831</v>
      </c>
      <c r="G14507" t="s">
        <v>32839</v>
      </c>
      <c r="H14507" t="s">
        <v>32848</v>
      </c>
      <c r="I14507" t="s">
        <v>4776</v>
      </c>
      <c r="J14507" t="s">
        <v>41843</v>
      </c>
      <c r="K14507" t="s">
        <v>42730</v>
      </c>
      <c r="M14507" t="s">
        <v>46335</v>
      </c>
      <c r="N14507" t="s">
        <v>47424</v>
      </c>
      <c r="O14507" t="s">
        <v>47425</v>
      </c>
      <c r="P14507">
        <v>0</v>
      </c>
      <c r="Q14507">
        <v>2</v>
      </c>
      <c r="R14507" t="s">
        <v>47446</v>
      </c>
      <c r="S14507" t="s">
        <v>48377</v>
      </c>
      <c r="T14507" t="s">
        <v>49321</v>
      </c>
      <c r="U14507" t="s">
        <v>61466</v>
      </c>
      <c r="V14507" t="s">
        <v>64280</v>
      </c>
      <c r="W14507" t="s">
        <v>46335</v>
      </c>
      <c r="X14507" t="s">
        <v>47447</v>
      </c>
    </row>
    <row r="14508" spans="1:24">
      <c r="A14508">
        <f>HYPERLINK("https://www.philgeps.gov.ph/GEPSNONPILOT/Tender/SplashBidNoticeAbstractUI.aspx?menuIndex=3&amp;refID=7124432&amp;Result=3","7124432")</f>
        <v>0</v>
      </c>
      <c r="B14508" t="s">
        <v>1858</v>
      </c>
      <c r="C14508" t="s">
        <v>17627</v>
      </c>
      <c r="D14508" t="s">
        <v>19056</v>
      </c>
      <c r="E14508" t="s">
        <v>31541</v>
      </c>
      <c r="F14508" t="s">
        <v>32831</v>
      </c>
      <c r="G14508" t="s">
        <v>32839</v>
      </c>
      <c r="H14508" t="s">
        <v>32848</v>
      </c>
      <c r="I14508" t="s">
        <v>7751</v>
      </c>
      <c r="J14508" t="s">
        <v>41844</v>
      </c>
      <c r="K14508" t="s">
        <v>42730</v>
      </c>
      <c r="M14508" t="s">
        <v>44997</v>
      </c>
      <c r="N14508" t="s">
        <v>47424</v>
      </c>
      <c r="O14508" t="s">
        <v>47425</v>
      </c>
      <c r="P14508">
        <v>0</v>
      </c>
      <c r="Q14508">
        <v>5</v>
      </c>
      <c r="R14508" t="s">
        <v>47446</v>
      </c>
      <c r="S14508" t="s">
        <v>48377</v>
      </c>
      <c r="T14508" t="s">
        <v>49114</v>
      </c>
      <c r="U14508" t="s">
        <v>61467</v>
      </c>
      <c r="W14508" t="s">
        <v>44997</v>
      </c>
      <c r="X14508" t="s">
        <v>47447</v>
      </c>
    </row>
    <row r="14509" spans="1:24">
      <c r="A14509">
        <f>HYPERLINK("https://www.philgeps.gov.ph/GEPSNONPILOT/Tender/SplashBidNoticeAbstractUI.aspx?menuIndex=3&amp;refID=7124457&amp;Result=3","7124457")</f>
        <v>0</v>
      </c>
      <c r="B14509" t="s">
        <v>3827</v>
      </c>
      <c r="C14509" t="s">
        <v>17628</v>
      </c>
      <c r="D14509" t="s">
        <v>19039</v>
      </c>
      <c r="E14509" t="s">
        <v>28543</v>
      </c>
      <c r="F14509" t="s">
        <v>32831</v>
      </c>
      <c r="G14509" t="s">
        <v>32839</v>
      </c>
      <c r="H14509" t="s">
        <v>32849</v>
      </c>
      <c r="I14509" t="s">
        <v>4177</v>
      </c>
      <c r="J14509" t="s">
        <v>33032</v>
      </c>
      <c r="K14509" t="s">
        <v>42764</v>
      </c>
      <c r="M14509" t="s">
        <v>47250</v>
      </c>
      <c r="N14509" t="s">
        <v>47424</v>
      </c>
      <c r="O14509" t="s">
        <v>47425</v>
      </c>
      <c r="P14509">
        <v>0</v>
      </c>
      <c r="Q14509">
        <v>1</v>
      </c>
      <c r="R14509" t="s">
        <v>47446</v>
      </c>
      <c r="S14509" t="s">
        <v>48377</v>
      </c>
      <c r="T14509" t="s">
        <v>49328</v>
      </c>
      <c r="U14509" t="s">
        <v>61468</v>
      </c>
      <c r="W14509" t="s">
        <v>47250</v>
      </c>
      <c r="X14509" t="s">
        <v>47447</v>
      </c>
    </row>
    <row r="14510" spans="1:24">
      <c r="A14510">
        <f>HYPERLINK("https://www.philgeps.gov.ph/GEPSNONPILOT/Tender/SplashBidNoticeAbstractUI.aspx?menuIndex=3&amp;refID=7124431&amp;Result=3","7124431")</f>
        <v>0</v>
      </c>
      <c r="B14510" t="s">
        <v>3775</v>
      </c>
      <c r="C14510" t="s">
        <v>11630</v>
      </c>
      <c r="D14510" t="s">
        <v>19045</v>
      </c>
      <c r="E14510" t="s">
        <v>31068</v>
      </c>
      <c r="F14510" t="s">
        <v>32831</v>
      </c>
      <c r="G14510" t="s">
        <v>32839</v>
      </c>
      <c r="H14510" t="s">
        <v>32849</v>
      </c>
      <c r="I14510" t="s">
        <v>4177</v>
      </c>
      <c r="J14510" t="s">
        <v>32985</v>
      </c>
      <c r="K14510" t="s">
        <v>42730</v>
      </c>
      <c r="M14510" t="s">
        <v>47183</v>
      </c>
      <c r="N14510" t="s">
        <v>47424</v>
      </c>
      <c r="O14510" t="s">
        <v>47425</v>
      </c>
      <c r="P14510">
        <v>0</v>
      </c>
      <c r="Q14510">
        <v>1</v>
      </c>
      <c r="R14510" t="s">
        <v>47446</v>
      </c>
      <c r="S14510" t="s">
        <v>48377</v>
      </c>
      <c r="T14510" t="s">
        <v>49237</v>
      </c>
      <c r="U14510" t="s">
        <v>61469</v>
      </c>
      <c r="V14510" t="s">
        <v>62846</v>
      </c>
      <c r="W14510" t="s">
        <v>47183</v>
      </c>
      <c r="X14510" t="s">
        <v>47447</v>
      </c>
    </row>
    <row r="14511" spans="1:24">
      <c r="A14511">
        <f>HYPERLINK("https://www.philgeps.gov.ph/GEPSNONPILOT/Tender/SplashBidNoticeAbstractUI.aspx?menuIndex=3&amp;refID=7124447&amp;Result=3","7124447")</f>
        <v>0</v>
      </c>
      <c r="B14511" t="s">
        <v>3820</v>
      </c>
      <c r="C14511" t="s">
        <v>17629</v>
      </c>
      <c r="D14511" t="s">
        <v>19017</v>
      </c>
      <c r="E14511" t="s">
        <v>31542</v>
      </c>
      <c r="F14511" t="s">
        <v>32833</v>
      </c>
      <c r="G14511" t="s">
        <v>32839</v>
      </c>
      <c r="H14511" t="s">
        <v>32848</v>
      </c>
      <c r="I14511" t="s">
        <v>32894</v>
      </c>
      <c r="J14511" t="s">
        <v>41845</v>
      </c>
      <c r="K14511" t="s">
        <v>42727</v>
      </c>
      <c r="M14511" t="s">
        <v>47242</v>
      </c>
      <c r="N14511" t="s">
        <v>47424</v>
      </c>
      <c r="O14511" t="s">
        <v>47425</v>
      </c>
      <c r="P14511">
        <v>0</v>
      </c>
      <c r="Q14511">
        <v>5</v>
      </c>
      <c r="R14511" t="s">
        <v>47446</v>
      </c>
      <c r="S14511" t="s">
        <v>48377</v>
      </c>
      <c r="T14511" t="s">
        <v>49237</v>
      </c>
      <c r="U14511" t="s">
        <v>61470</v>
      </c>
      <c r="W14511" t="s">
        <v>47242</v>
      </c>
      <c r="X14511" t="s">
        <v>47447</v>
      </c>
    </row>
    <row r="14512" spans="1:24">
      <c r="A14512">
        <f>HYPERLINK("https://www.philgeps.gov.ph/GEPSNONPILOT/Tender/SplashBidNoticeAbstractUI.aspx?menuIndex=3&amp;refID=7124461&amp;Result=3","7124461")</f>
        <v>0</v>
      </c>
      <c r="B14512" t="s">
        <v>3820</v>
      </c>
      <c r="C14512" t="s">
        <v>17630</v>
      </c>
      <c r="D14512" t="s">
        <v>19017</v>
      </c>
      <c r="E14512" t="s">
        <v>22850</v>
      </c>
      <c r="F14512" t="s">
        <v>32833</v>
      </c>
      <c r="G14512" t="s">
        <v>32839</v>
      </c>
      <c r="H14512" t="s">
        <v>32848</v>
      </c>
      <c r="I14512" t="s">
        <v>4776</v>
      </c>
      <c r="J14512" t="s">
        <v>36779</v>
      </c>
      <c r="K14512" t="s">
        <v>42727</v>
      </c>
      <c r="M14512" t="s">
        <v>47242</v>
      </c>
      <c r="N14512" t="s">
        <v>47424</v>
      </c>
      <c r="O14512" t="s">
        <v>47425</v>
      </c>
      <c r="P14512">
        <v>0</v>
      </c>
      <c r="Q14512">
        <v>3</v>
      </c>
      <c r="R14512" t="s">
        <v>47446</v>
      </c>
      <c r="S14512" t="s">
        <v>48377</v>
      </c>
      <c r="T14512" t="s">
        <v>49543</v>
      </c>
      <c r="U14512" t="s">
        <v>61471</v>
      </c>
      <c r="W14512" t="s">
        <v>47242</v>
      </c>
      <c r="X14512" t="s">
        <v>47447</v>
      </c>
    </row>
    <row r="14513" spans="1:24">
      <c r="A14513">
        <f>HYPERLINK("https://www.philgeps.gov.ph/GEPSNONPILOT/Tender/SplashBidNoticeAbstractUI.aspx?menuIndex=3&amp;refID=7124023&amp;Result=3","7124023")</f>
        <v>0</v>
      </c>
      <c r="B14513" t="s">
        <v>277</v>
      </c>
      <c r="C14513" t="s">
        <v>17631</v>
      </c>
      <c r="D14513" t="s">
        <v>19068</v>
      </c>
      <c r="E14513" t="s">
        <v>31543</v>
      </c>
      <c r="F14513" t="s">
        <v>32831</v>
      </c>
      <c r="G14513" t="s">
        <v>32839</v>
      </c>
      <c r="H14513" t="s">
        <v>32849</v>
      </c>
      <c r="I14513" t="s">
        <v>4177</v>
      </c>
      <c r="J14513" t="s">
        <v>41846</v>
      </c>
      <c r="K14513" t="s">
        <v>42773</v>
      </c>
      <c r="M14513" t="s">
        <v>43276</v>
      </c>
      <c r="N14513" t="s">
        <v>47424</v>
      </c>
      <c r="O14513" t="s">
        <v>47425</v>
      </c>
      <c r="P14513">
        <v>0</v>
      </c>
      <c r="Q14513">
        <v>0</v>
      </c>
      <c r="R14513" t="s">
        <v>47446</v>
      </c>
      <c r="S14513" t="s">
        <v>48377</v>
      </c>
      <c r="T14513" t="s">
        <v>49214</v>
      </c>
      <c r="U14513" t="s">
        <v>61472</v>
      </c>
      <c r="W14513" t="s">
        <v>43276</v>
      </c>
      <c r="X14513" t="s">
        <v>47447</v>
      </c>
    </row>
    <row r="14514" spans="1:24">
      <c r="A14514">
        <f>HYPERLINK("https://www.philgeps.gov.ph/GEPSNONPILOT/Tender/SplashBidNoticeAbstractUI.aspx?menuIndex=3&amp;refID=7124198&amp;Result=3","7124198")</f>
        <v>0</v>
      </c>
      <c r="B14514" t="s">
        <v>3828</v>
      </c>
      <c r="C14514" t="s">
        <v>17632</v>
      </c>
      <c r="D14514" t="s">
        <v>19030</v>
      </c>
      <c r="E14514" t="s">
        <v>31544</v>
      </c>
      <c r="F14514" t="s">
        <v>32831</v>
      </c>
      <c r="G14514" t="s">
        <v>32839</v>
      </c>
      <c r="H14514" t="s">
        <v>32849</v>
      </c>
      <c r="I14514" t="s">
        <v>11727</v>
      </c>
      <c r="J14514" t="s">
        <v>41847</v>
      </c>
      <c r="K14514" t="s">
        <v>42997</v>
      </c>
      <c r="M14514" t="s">
        <v>47251</v>
      </c>
      <c r="N14514" t="s">
        <v>47424</v>
      </c>
      <c r="O14514" t="s">
        <v>47425</v>
      </c>
      <c r="Q14514">
        <v>19</v>
      </c>
      <c r="R14514" t="s">
        <v>47446</v>
      </c>
      <c r="S14514" t="s">
        <v>48422</v>
      </c>
      <c r="T14514" t="s">
        <v>49105</v>
      </c>
      <c r="U14514" t="s">
        <v>61473</v>
      </c>
      <c r="W14514" t="s">
        <v>47251</v>
      </c>
      <c r="X14514" t="s">
        <v>47447</v>
      </c>
    </row>
    <row r="14515" spans="1:24">
      <c r="A14515">
        <f>HYPERLINK("https://www.philgeps.gov.ph/GEPSNONPILOT/Tender/SplashBidNoticeAbstractUI.aspx?menuIndex=3&amp;refID=7124384&amp;Result=3","7124384")</f>
        <v>0</v>
      </c>
      <c r="B14515" t="s">
        <v>3060</v>
      </c>
      <c r="C14515" t="s">
        <v>17633</v>
      </c>
      <c r="D14515" t="s">
        <v>19034</v>
      </c>
      <c r="E14515" t="s">
        <v>31545</v>
      </c>
      <c r="F14515" t="s">
        <v>32831</v>
      </c>
      <c r="G14515" t="s">
        <v>32839</v>
      </c>
      <c r="H14515" t="s">
        <v>32848</v>
      </c>
      <c r="I14515" t="s">
        <v>7416</v>
      </c>
      <c r="J14515" t="s">
        <v>41848</v>
      </c>
      <c r="K14515" t="s">
        <v>42730</v>
      </c>
      <c r="M14515" t="s">
        <v>46335</v>
      </c>
      <c r="N14515" t="s">
        <v>47424</v>
      </c>
      <c r="O14515" t="s">
        <v>47425</v>
      </c>
      <c r="P14515">
        <v>0</v>
      </c>
      <c r="Q14515">
        <v>0</v>
      </c>
      <c r="R14515" t="s">
        <v>47446</v>
      </c>
      <c r="S14515" t="s">
        <v>48377</v>
      </c>
      <c r="T14515" t="s">
        <v>49321</v>
      </c>
      <c r="U14515" t="s">
        <v>61474</v>
      </c>
      <c r="V14515" t="s">
        <v>64281</v>
      </c>
      <c r="W14515" t="s">
        <v>46335</v>
      </c>
      <c r="X14515" t="s">
        <v>47447</v>
      </c>
    </row>
    <row r="14516" spans="1:24">
      <c r="A14516">
        <f>HYPERLINK("https://www.philgeps.gov.ph/GEPSNONPILOT/Tender/SplashBidNoticeAbstractUI.aspx?menuIndex=3&amp;refID=7124665&amp;Result=3","7124665")</f>
        <v>0</v>
      </c>
      <c r="B14516" t="s">
        <v>3593</v>
      </c>
      <c r="C14516" t="s">
        <v>17634</v>
      </c>
      <c r="D14516" t="s">
        <v>19056</v>
      </c>
      <c r="E14516" t="s">
        <v>31546</v>
      </c>
      <c r="F14516" t="s">
        <v>32831</v>
      </c>
      <c r="G14516" t="s">
        <v>32839</v>
      </c>
      <c r="H14516" t="s">
        <v>32848</v>
      </c>
      <c r="I14516" t="s">
        <v>32874</v>
      </c>
      <c r="J14516" t="s">
        <v>41849</v>
      </c>
      <c r="K14516" t="s">
        <v>42730</v>
      </c>
      <c r="M14516" t="s">
        <v>46957</v>
      </c>
      <c r="N14516" t="s">
        <v>47424</v>
      </c>
      <c r="O14516" t="s">
        <v>47425</v>
      </c>
      <c r="P14516">
        <v>0</v>
      </c>
      <c r="Q14516">
        <v>14</v>
      </c>
      <c r="R14516" t="s">
        <v>47446</v>
      </c>
      <c r="S14516" t="s">
        <v>48377</v>
      </c>
      <c r="T14516" t="s">
        <v>49111</v>
      </c>
      <c r="U14516" t="s">
        <v>61475</v>
      </c>
      <c r="W14516" t="s">
        <v>46957</v>
      </c>
      <c r="X14516" t="s">
        <v>47447</v>
      </c>
    </row>
    <row r="14517" spans="1:24">
      <c r="A14517">
        <f>HYPERLINK("https://www.philgeps.gov.ph/GEPSNONPILOT/Tender/SplashBidNoticeAbstractUI.aspx?menuIndex=3&amp;refID=7124680&amp;Result=3","7124680")</f>
        <v>0</v>
      </c>
      <c r="B14517" t="s">
        <v>1184</v>
      </c>
      <c r="C14517" t="s">
        <v>17635</v>
      </c>
      <c r="D14517" t="s">
        <v>19078</v>
      </c>
      <c r="E14517" t="s">
        <v>31547</v>
      </c>
      <c r="F14517" t="s">
        <v>32831</v>
      </c>
      <c r="G14517" t="s">
        <v>32839</v>
      </c>
      <c r="H14517" t="s">
        <v>32848</v>
      </c>
      <c r="I14517" t="s">
        <v>7751</v>
      </c>
      <c r="J14517" t="s">
        <v>33017</v>
      </c>
      <c r="K14517" t="s">
        <v>42747</v>
      </c>
      <c r="M14517" t="s">
        <v>44250</v>
      </c>
      <c r="N14517" t="s">
        <v>47424</v>
      </c>
      <c r="O14517" t="s">
        <v>47425</v>
      </c>
      <c r="P14517">
        <v>0</v>
      </c>
      <c r="Q14517">
        <v>4</v>
      </c>
      <c r="R14517" t="s">
        <v>47446</v>
      </c>
      <c r="S14517" t="s">
        <v>48377</v>
      </c>
      <c r="T14517" t="s">
        <v>49212</v>
      </c>
      <c r="U14517" t="s">
        <v>61476</v>
      </c>
      <c r="W14517" t="s">
        <v>44250</v>
      </c>
      <c r="X14517" t="s">
        <v>47447</v>
      </c>
    </row>
    <row r="14518" spans="1:24">
      <c r="A14518">
        <f>HYPERLINK("https://www.philgeps.gov.ph/GEPSNONPILOT/Tender/SplashBidNoticeAbstractUI.aspx?menuIndex=3&amp;refID=7124678&amp;Result=3","7124678")</f>
        <v>0</v>
      </c>
      <c r="B14518" t="s">
        <v>1400</v>
      </c>
      <c r="C14518" t="s">
        <v>17636</v>
      </c>
      <c r="D14518" t="s">
        <v>19057</v>
      </c>
      <c r="E14518" t="s">
        <v>31548</v>
      </c>
      <c r="F14518" t="s">
        <v>32831</v>
      </c>
      <c r="G14518" t="s">
        <v>32839</v>
      </c>
      <c r="H14518" t="s">
        <v>32848</v>
      </c>
      <c r="I14518" t="s">
        <v>7751</v>
      </c>
      <c r="J14518" t="s">
        <v>41850</v>
      </c>
      <c r="K14518" t="s">
        <v>42730</v>
      </c>
      <c r="M14518" t="s">
        <v>44485</v>
      </c>
      <c r="N14518" t="s">
        <v>47424</v>
      </c>
      <c r="O14518" t="s">
        <v>47425</v>
      </c>
      <c r="P14518">
        <v>0</v>
      </c>
      <c r="Q14518">
        <v>8</v>
      </c>
      <c r="R14518" t="s">
        <v>47446</v>
      </c>
      <c r="S14518" t="s">
        <v>48377</v>
      </c>
      <c r="T14518" t="s">
        <v>49056</v>
      </c>
      <c r="U14518" t="s">
        <v>61477</v>
      </c>
      <c r="W14518" t="s">
        <v>44485</v>
      </c>
      <c r="X14518" t="s">
        <v>47447</v>
      </c>
    </row>
    <row r="14519" spans="1:24">
      <c r="A14519">
        <f>HYPERLINK("https://www.philgeps.gov.ph/GEPSNONPILOT/Tender/SplashBidNoticeAbstractUI.aspx?menuIndex=3&amp;refID=7124625&amp;Result=3","7124625")</f>
        <v>0</v>
      </c>
      <c r="B14519" t="s">
        <v>81</v>
      </c>
      <c r="C14519" t="s">
        <v>17637</v>
      </c>
      <c r="D14519" t="s">
        <v>19023</v>
      </c>
      <c r="E14519" t="s">
        <v>31549</v>
      </c>
      <c r="F14519" t="s">
        <v>32831</v>
      </c>
      <c r="G14519" t="s">
        <v>32839</v>
      </c>
      <c r="H14519" t="s">
        <v>32848</v>
      </c>
      <c r="I14519" t="s">
        <v>32857</v>
      </c>
      <c r="J14519" t="s">
        <v>41851</v>
      </c>
      <c r="K14519" t="s">
        <v>42732</v>
      </c>
      <c r="M14519" t="s">
        <v>43078</v>
      </c>
      <c r="N14519" t="s">
        <v>47424</v>
      </c>
      <c r="O14519" t="s">
        <v>47425</v>
      </c>
      <c r="P14519">
        <v>0</v>
      </c>
      <c r="Q14519">
        <v>2</v>
      </c>
      <c r="R14519" t="s">
        <v>47446</v>
      </c>
      <c r="S14519" t="s">
        <v>48377</v>
      </c>
      <c r="T14519" t="s">
        <v>49214</v>
      </c>
      <c r="U14519" t="s">
        <v>61478</v>
      </c>
      <c r="W14519" t="s">
        <v>43078</v>
      </c>
      <c r="X14519" t="s">
        <v>47447</v>
      </c>
    </row>
    <row r="14520" spans="1:24">
      <c r="A14520">
        <f>HYPERLINK("https://www.philgeps.gov.ph/GEPSNONPILOT/Tender/SplashBidNoticeAbstractUI.aspx?menuIndex=3&amp;refID=7124420&amp;Result=3","7124420")</f>
        <v>0</v>
      </c>
      <c r="B14520" t="s">
        <v>3060</v>
      </c>
      <c r="C14520" t="s">
        <v>17638</v>
      </c>
      <c r="D14520" t="s">
        <v>19034</v>
      </c>
      <c r="E14520" t="s">
        <v>31550</v>
      </c>
      <c r="F14520" t="s">
        <v>32831</v>
      </c>
      <c r="G14520" t="s">
        <v>32839</v>
      </c>
      <c r="H14520" t="s">
        <v>32848</v>
      </c>
      <c r="I14520" t="s">
        <v>4776</v>
      </c>
      <c r="J14520" t="s">
        <v>33178</v>
      </c>
      <c r="K14520" t="s">
        <v>42730</v>
      </c>
      <c r="M14520" t="s">
        <v>46335</v>
      </c>
      <c r="N14520" t="s">
        <v>47424</v>
      </c>
      <c r="O14520" t="s">
        <v>47425</v>
      </c>
      <c r="P14520">
        <v>0</v>
      </c>
      <c r="Q14520">
        <v>8</v>
      </c>
      <c r="R14520" t="s">
        <v>47446</v>
      </c>
      <c r="S14520" t="s">
        <v>48377</v>
      </c>
      <c r="T14520" t="s">
        <v>49321</v>
      </c>
      <c r="U14520" t="s">
        <v>61479</v>
      </c>
      <c r="V14520" t="s">
        <v>64282</v>
      </c>
      <c r="W14520" t="s">
        <v>46335</v>
      </c>
      <c r="X14520" t="s">
        <v>47447</v>
      </c>
    </row>
    <row r="14521" spans="1:24">
      <c r="A14521">
        <f>HYPERLINK("https://www.philgeps.gov.ph/GEPSNONPILOT/Tender/SplashBidNoticeAbstractUI.aspx?menuIndex=3&amp;refID=7124609&amp;Result=3","7124609")</f>
        <v>0</v>
      </c>
      <c r="B14521" t="s">
        <v>2924</v>
      </c>
      <c r="C14521" t="s">
        <v>17639</v>
      </c>
      <c r="E14521" t="s">
        <v>31551</v>
      </c>
      <c r="F14521" t="s">
        <v>32831</v>
      </c>
      <c r="G14521" t="s">
        <v>32839</v>
      </c>
      <c r="H14521" t="s">
        <v>32849</v>
      </c>
      <c r="I14521" t="s">
        <v>4177</v>
      </c>
      <c r="J14521" t="s">
        <v>34926</v>
      </c>
      <c r="K14521" t="s">
        <v>42732</v>
      </c>
      <c r="M14521" t="s">
        <v>46177</v>
      </c>
      <c r="N14521" t="s">
        <v>47424</v>
      </c>
      <c r="O14521" t="s">
        <v>47425</v>
      </c>
      <c r="P14521">
        <v>0</v>
      </c>
      <c r="Q14521">
        <v>1</v>
      </c>
      <c r="R14521" t="s">
        <v>47446</v>
      </c>
      <c r="S14521" t="s">
        <v>48377</v>
      </c>
      <c r="T14521" t="s">
        <v>49089</v>
      </c>
      <c r="U14521" t="s">
        <v>61480</v>
      </c>
      <c r="W14521" t="s">
        <v>46177</v>
      </c>
      <c r="X14521" t="s">
        <v>47447</v>
      </c>
    </row>
    <row r="14522" spans="1:24">
      <c r="A14522">
        <f>HYPERLINK("https://www.philgeps.gov.ph/GEPSNONPILOT/Tender/SplashBidNoticeAbstractUI.aspx?menuIndex=3&amp;refID=7124631&amp;Result=3","7124631")</f>
        <v>0</v>
      </c>
      <c r="B14522" t="s">
        <v>3817</v>
      </c>
      <c r="C14522" t="s">
        <v>17640</v>
      </c>
      <c r="D14522" t="s">
        <v>19041</v>
      </c>
      <c r="E14522" t="s">
        <v>31552</v>
      </c>
      <c r="F14522" t="s">
        <v>32831</v>
      </c>
      <c r="G14522" t="s">
        <v>32839</v>
      </c>
      <c r="H14522" t="s">
        <v>32849</v>
      </c>
      <c r="I14522" t="s">
        <v>4177</v>
      </c>
      <c r="J14522" t="s">
        <v>41852</v>
      </c>
      <c r="K14522" t="s">
        <v>42799</v>
      </c>
      <c r="M14522" t="s">
        <v>47239</v>
      </c>
      <c r="N14522" t="s">
        <v>47424</v>
      </c>
      <c r="O14522" t="s">
        <v>47425</v>
      </c>
      <c r="P14522">
        <v>0</v>
      </c>
      <c r="Q14522">
        <v>0</v>
      </c>
      <c r="R14522" t="s">
        <v>47446</v>
      </c>
      <c r="S14522" t="s">
        <v>48377</v>
      </c>
      <c r="T14522" t="s">
        <v>49649</v>
      </c>
      <c r="U14522" t="s">
        <v>61481</v>
      </c>
      <c r="W14522" t="s">
        <v>47239</v>
      </c>
      <c r="X14522" t="s">
        <v>47447</v>
      </c>
    </row>
    <row r="14523" spans="1:24">
      <c r="A14523">
        <f>HYPERLINK("https://www.philgeps.gov.ph/GEPSNONPILOT/Tender/SplashBidNoticeAbstractUI.aspx?menuIndex=3&amp;refID=7124599&amp;Result=3","7124599")</f>
        <v>0</v>
      </c>
      <c r="B14523" t="s">
        <v>81</v>
      </c>
      <c r="C14523" t="s">
        <v>17641</v>
      </c>
      <c r="D14523" t="s">
        <v>19023</v>
      </c>
      <c r="E14523" t="s">
        <v>31553</v>
      </c>
      <c r="F14523" t="s">
        <v>32831</v>
      </c>
      <c r="G14523" t="s">
        <v>32839</v>
      </c>
      <c r="H14523" t="s">
        <v>32848</v>
      </c>
      <c r="I14523" t="s">
        <v>32857</v>
      </c>
      <c r="J14523" t="s">
        <v>33016</v>
      </c>
      <c r="K14523" t="s">
        <v>42732</v>
      </c>
      <c r="M14523" t="s">
        <v>43078</v>
      </c>
      <c r="N14523" t="s">
        <v>47424</v>
      </c>
      <c r="O14523" t="s">
        <v>47425</v>
      </c>
      <c r="P14523">
        <v>0</v>
      </c>
      <c r="Q14523">
        <v>12</v>
      </c>
      <c r="R14523" t="s">
        <v>47446</v>
      </c>
      <c r="S14523" t="s">
        <v>48377</v>
      </c>
      <c r="T14523" t="s">
        <v>49214</v>
      </c>
      <c r="U14523" t="s">
        <v>61482</v>
      </c>
      <c r="W14523" t="s">
        <v>43078</v>
      </c>
      <c r="X14523" t="s">
        <v>47447</v>
      </c>
    </row>
    <row r="14524" spans="1:24">
      <c r="A14524">
        <f>HYPERLINK("https://www.philgeps.gov.ph/GEPSNONPILOT/Tender/SplashBidNoticeAbstractUI.aspx?menuIndex=3&amp;refID=7124418&amp;Result=3","7124418")</f>
        <v>0</v>
      </c>
      <c r="B14524" t="s">
        <v>661</v>
      </c>
      <c r="C14524" t="s">
        <v>17642</v>
      </c>
      <c r="D14524" t="s">
        <v>19058</v>
      </c>
      <c r="E14524" t="s">
        <v>31554</v>
      </c>
      <c r="F14524" t="s">
        <v>32831</v>
      </c>
      <c r="G14524" t="s">
        <v>32839</v>
      </c>
      <c r="H14524" t="s">
        <v>32848</v>
      </c>
      <c r="I14524" t="s">
        <v>7751</v>
      </c>
      <c r="J14524" t="s">
        <v>33108</v>
      </c>
      <c r="K14524" t="s">
        <v>42732</v>
      </c>
      <c r="M14524" t="s">
        <v>47252</v>
      </c>
      <c r="N14524" t="s">
        <v>47424</v>
      </c>
      <c r="O14524" t="s">
        <v>47425</v>
      </c>
      <c r="P14524">
        <v>0</v>
      </c>
      <c r="Q14524">
        <v>5</v>
      </c>
      <c r="R14524" t="s">
        <v>47446</v>
      </c>
      <c r="S14524" t="s">
        <v>48377</v>
      </c>
      <c r="T14524" t="s">
        <v>49237</v>
      </c>
      <c r="U14524" t="s">
        <v>61483</v>
      </c>
      <c r="W14524" t="s">
        <v>47252</v>
      </c>
      <c r="X14524" t="s">
        <v>47447</v>
      </c>
    </row>
    <row r="14525" spans="1:24">
      <c r="A14525">
        <f>HYPERLINK("https://www.philgeps.gov.ph/GEPSNONPILOT/Tender/SplashBidNoticeAbstractUI.aspx?menuIndex=3&amp;refID=7124620&amp;Result=3","7124620")</f>
        <v>0</v>
      </c>
      <c r="B14525" t="s">
        <v>3593</v>
      </c>
      <c r="C14525" t="s">
        <v>17643</v>
      </c>
      <c r="D14525" t="s">
        <v>19056</v>
      </c>
      <c r="E14525" t="s">
        <v>31555</v>
      </c>
      <c r="F14525" t="s">
        <v>32831</v>
      </c>
      <c r="G14525" t="s">
        <v>32839</v>
      </c>
      <c r="H14525" t="s">
        <v>32848</v>
      </c>
      <c r="I14525" t="s">
        <v>32861</v>
      </c>
      <c r="J14525" t="s">
        <v>36661</v>
      </c>
      <c r="K14525" t="s">
        <v>42730</v>
      </c>
      <c r="M14525" t="s">
        <v>46957</v>
      </c>
      <c r="N14525" t="s">
        <v>47424</v>
      </c>
      <c r="O14525" t="s">
        <v>47425</v>
      </c>
      <c r="P14525">
        <v>0</v>
      </c>
      <c r="Q14525">
        <v>30</v>
      </c>
      <c r="R14525" t="s">
        <v>47446</v>
      </c>
      <c r="S14525" t="s">
        <v>48377</v>
      </c>
      <c r="T14525" t="s">
        <v>49111</v>
      </c>
      <c r="U14525" t="s">
        <v>61484</v>
      </c>
      <c r="W14525" t="s">
        <v>46957</v>
      </c>
      <c r="X14525" t="s">
        <v>47447</v>
      </c>
    </row>
    <row r="14526" spans="1:24">
      <c r="A14526">
        <f>HYPERLINK("https://www.philgeps.gov.ph/GEPSNONPILOT/Tender/SplashBidNoticeAbstractUI.aspx?menuIndex=3&amp;refID=7124592&amp;Result=3","7124592")</f>
        <v>0</v>
      </c>
      <c r="B14526" t="s">
        <v>3087</v>
      </c>
      <c r="C14526" t="s">
        <v>17644</v>
      </c>
      <c r="D14526" t="s">
        <v>19094</v>
      </c>
      <c r="E14526" t="s">
        <v>31556</v>
      </c>
      <c r="F14526" t="s">
        <v>32831</v>
      </c>
      <c r="G14526" t="s">
        <v>32839</v>
      </c>
      <c r="H14526" t="s">
        <v>32849</v>
      </c>
      <c r="I14526" t="s">
        <v>4177</v>
      </c>
      <c r="J14526" t="s">
        <v>41853</v>
      </c>
      <c r="K14526" t="s">
        <v>42763</v>
      </c>
      <c r="M14526" t="s">
        <v>46368</v>
      </c>
      <c r="N14526" t="s">
        <v>47424</v>
      </c>
      <c r="O14526" t="s">
        <v>47425</v>
      </c>
      <c r="P14526">
        <v>0</v>
      </c>
      <c r="Q14526">
        <v>0</v>
      </c>
      <c r="R14526" t="s">
        <v>47446</v>
      </c>
      <c r="S14526" t="s">
        <v>48377</v>
      </c>
      <c r="T14526" t="s">
        <v>49543</v>
      </c>
      <c r="U14526" t="s">
        <v>61485</v>
      </c>
      <c r="W14526" t="s">
        <v>46368</v>
      </c>
      <c r="X14526" t="s">
        <v>47447</v>
      </c>
    </row>
    <row r="14527" spans="1:24">
      <c r="A14527">
        <f>HYPERLINK("https://www.philgeps.gov.ph/GEPSNONPILOT/Tender/SplashBidNoticeAbstractUI.aspx?menuIndex=3&amp;refID=7124588&amp;Result=3","7124588")</f>
        <v>0</v>
      </c>
      <c r="B14527" t="s">
        <v>632</v>
      </c>
      <c r="C14527" t="s">
        <v>17645</v>
      </c>
      <c r="D14527" t="s">
        <v>19058</v>
      </c>
      <c r="E14527" t="s">
        <v>31557</v>
      </c>
      <c r="F14527" t="s">
        <v>32831</v>
      </c>
      <c r="G14527" t="s">
        <v>32839</v>
      </c>
      <c r="H14527" t="s">
        <v>32848</v>
      </c>
      <c r="I14527" t="s">
        <v>32879</v>
      </c>
      <c r="J14527" t="s">
        <v>37539</v>
      </c>
      <c r="K14527" t="s">
        <v>42726</v>
      </c>
      <c r="M14527" t="s">
        <v>43649</v>
      </c>
      <c r="N14527" t="s">
        <v>47424</v>
      </c>
      <c r="O14527" t="s">
        <v>47425</v>
      </c>
      <c r="P14527">
        <v>0</v>
      </c>
      <c r="Q14527">
        <v>21</v>
      </c>
      <c r="R14527" t="s">
        <v>47446</v>
      </c>
      <c r="S14527" t="s">
        <v>48377</v>
      </c>
      <c r="T14527" t="s">
        <v>49174</v>
      </c>
      <c r="U14527" t="s">
        <v>61486</v>
      </c>
      <c r="W14527" t="s">
        <v>43649</v>
      </c>
      <c r="X14527" t="s">
        <v>47447</v>
      </c>
    </row>
    <row r="14528" spans="1:24">
      <c r="A14528">
        <f>HYPERLINK("https://www.philgeps.gov.ph/GEPSNONPILOT/Tender/SplashBidNoticeAbstractUI.aspx?menuIndex=3&amp;refID=7124539&amp;Result=3","7124539")</f>
        <v>0</v>
      </c>
      <c r="B14528" t="s">
        <v>81</v>
      </c>
      <c r="C14528" t="s">
        <v>17646</v>
      </c>
      <c r="D14528" t="s">
        <v>19023</v>
      </c>
      <c r="E14528" t="s">
        <v>31558</v>
      </c>
      <c r="F14528" t="s">
        <v>32831</v>
      </c>
      <c r="G14528" t="s">
        <v>32839</v>
      </c>
      <c r="H14528" t="s">
        <v>32848</v>
      </c>
      <c r="I14528" t="s">
        <v>32874</v>
      </c>
      <c r="J14528" t="s">
        <v>38546</v>
      </c>
      <c r="K14528" t="s">
        <v>42732</v>
      </c>
      <c r="M14528" t="s">
        <v>43078</v>
      </c>
      <c r="N14528" t="s">
        <v>47424</v>
      </c>
      <c r="O14528" t="s">
        <v>47425</v>
      </c>
      <c r="P14528">
        <v>0</v>
      </c>
      <c r="Q14528">
        <v>6</v>
      </c>
      <c r="R14528" t="s">
        <v>47446</v>
      </c>
      <c r="S14528" t="s">
        <v>48377</v>
      </c>
      <c r="T14528" t="s">
        <v>49214</v>
      </c>
      <c r="U14528" t="s">
        <v>61487</v>
      </c>
      <c r="W14528" t="s">
        <v>43078</v>
      </c>
      <c r="X14528" t="s">
        <v>47447</v>
      </c>
    </row>
    <row r="14529" spans="1:24">
      <c r="A14529">
        <f>HYPERLINK("https://www.philgeps.gov.ph/GEPSNONPILOT/Tender/SplashBidNoticeAbstractUI.aspx?menuIndex=3&amp;refID=7124149&amp;Result=3","7124149")</f>
        <v>0</v>
      </c>
      <c r="B14529" t="s">
        <v>2993</v>
      </c>
      <c r="C14529" t="s">
        <v>17647</v>
      </c>
      <c r="D14529" t="s">
        <v>19057</v>
      </c>
      <c r="E14529" t="s">
        <v>31559</v>
      </c>
      <c r="F14529" t="s">
        <v>32831</v>
      </c>
      <c r="G14529" t="s">
        <v>32839</v>
      </c>
      <c r="H14529" t="s">
        <v>32849</v>
      </c>
      <c r="I14529" t="s">
        <v>4177</v>
      </c>
      <c r="J14529" t="s">
        <v>33257</v>
      </c>
      <c r="K14529" t="s">
        <v>42770</v>
      </c>
      <c r="M14529" t="s">
        <v>46257</v>
      </c>
      <c r="N14529" t="s">
        <v>47424</v>
      </c>
      <c r="O14529" t="s">
        <v>47425</v>
      </c>
      <c r="P14529">
        <v>0</v>
      </c>
      <c r="Q14529">
        <v>1</v>
      </c>
      <c r="R14529" t="s">
        <v>47446</v>
      </c>
      <c r="S14529" t="s">
        <v>48377</v>
      </c>
      <c r="T14529" t="s">
        <v>49056</v>
      </c>
      <c r="U14529" t="s">
        <v>61488</v>
      </c>
      <c r="W14529" t="s">
        <v>46257</v>
      </c>
      <c r="X14529" t="s">
        <v>47447</v>
      </c>
    </row>
    <row r="14530" spans="1:24">
      <c r="A14530">
        <f>HYPERLINK("https://www.philgeps.gov.ph/GEPSNONPILOT/Tender/SplashBidNoticeAbstractUI.aspx?menuIndex=3&amp;refID=7124537&amp;Result=3","7124537")</f>
        <v>0</v>
      </c>
      <c r="B14530" t="s">
        <v>1740</v>
      </c>
      <c r="C14530" t="s">
        <v>17648</v>
      </c>
      <c r="D14530" t="s">
        <v>19068</v>
      </c>
      <c r="E14530" t="s">
        <v>31560</v>
      </c>
      <c r="F14530" t="s">
        <v>32831</v>
      </c>
      <c r="G14530" t="s">
        <v>32839</v>
      </c>
      <c r="H14530" t="s">
        <v>32848</v>
      </c>
      <c r="I14530" t="s">
        <v>32852</v>
      </c>
      <c r="J14530" t="s">
        <v>41854</v>
      </c>
      <c r="K14530" t="s">
        <v>42727</v>
      </c>
      <c r="M14530" t="s">
        <v>44863</v>
      </c>
      <c r="N14530" t="s">
        <v>47424</v>
      </c>
      <c r="O14530" t="s">
        <v>47425</v>
      </c>
      <c r="P14530">
        <v>0</v>
      </c>
      <c r="Q14530">
        <v>0</v>
      </c>
      <c r="R14530" t="s">
        <v>47446</v>
      </c>
      <c r="S14530" t="s">
        <v>48377</v>
      </c>
      <c r="T14530" t="s">
        <v>49162</v>
      </c>
      <c r="U14530" t="s">
        <v>61489</v>
      </c>
      <c r="W14530" t="s">
        <v>44863</v>
      </c>
      <c r="X14530" t="s">
        <v>47447</v>
      </c>
    </row>
    <row r="14531" spans="1:24">
      <c r="A14531">
        <f>HYPERLINK("https://www.philgeps.gov.ph/GEPSNONPILOT/Tender/SplashBidNoticeAbstractUI.aspx?menuIndex=3&amp;refID=7124531&amp;Result=3","7124531")</f>
        <v>0</v>
      </c>
      <c r="B14531" t="s">
        <v>3829</v>
      </c>
      <c r="C14531" t="s">
        <v>17649</v>
      </c>
      <c r="D14531" t="s">
        <v>19022</v>
      </c>
      <c r="E14531" t="s">
        <v>21910</v>
      </c>
      <c r="F14531" t="s">
        <v>32831</v>
      </c>
      <c r="G14531" t="s">
        <v>32839</v>
      </c>
      <c r="H14531" t="s">
        <v>32848</v>
      </c>
      <c r="I14531" t="s">
        <v>5667</v>
      </c>
      <c r="J14531" t="s">
        <v>41855</v>
      </c>
      <c r="K14531" t="s">
        <v>42775</v>
      </c>
      <c r="M14531" t="s">
        <v>47253</v>
      </c>
      <c r="N14531" t="s">
        <v>47424</v>
      </c>
      <c r="O14531" t="s">
        <v>47425</v>
      </c>
      <c r="P14531">
        <v>0</v>
      </c>
      <c r="Q14531">
        <v>5</v>
      </c>
      <c r="R14531" t="s">
        <v>47446</v>
      </c>
      <c r="S14531" t="s">
        <v>48377</v>
      </c>
      <c r="T14531" t="s">
        <v>49214</v>
      </c>
      <c r="U14531" t="s">
        <v>61490</v>
      </c>
      <c r="V14531" t="s">
        <v>64283</v>
      </c>
      <c r="W14531" t="s">
        <v>64559</v>
      </c>
      <c r="X14531" t="s">
        <v>47447</v>
      </c>
    </row>
    <row r="14532" spans="1:24">
      <c r="A14532">
        <f>HYPERLINK("https://www.philgeps.gov.ph/GEPSNONPILOT/Tender/SplashBidNoticeAbstractUI.aspx?menuIndex=3&amp;refID=7124504&amp;Result=3","7124504")</f>
        <v>0</v>
      </c>
      <c r="B14532" t="s">
        <v>632</v>
      </c>
      <c r="C14532" t="s">
        <v>17650</v>
      </c>
      <c r="D14532" t="s">
        <v>19058</v>
      </c>
      <c r="E14532" t="s">
        <v>31561</v>
      </c>
      <c r="F14532" t="s">
        <v>32831</v>
      </c>
      <c r="G14532" t="s">
        <v>32839</v>
      </c>
      <c r="H14532" t="s">
        <v>32848</v>
      </c>
      <c r="I14532" t="s">
        <v>7416</v>
      </c>
      <c r="J14532" t="s">
        <v>41856</v>
      </c>
      <c r="K14532" t="s">
        <v>42726</v>
      </c>
      <c r="M14532" t="s">
        <v>43649</v>
      </c>
      <c r="N14532" t="s">
        <v>47424</v>
      </c>
      <c r="O14532" t="s">
        <v>47425</v>
      </c>
      <c r="P14532">
        <v>0</v>
      </c>
      <c r="Q14532">
        <v>2</v>
      </c>
      <c r="R14532" t="s">
        <v>47446</v>
      </c>
      <c r="S14532" t="s">
        <v>48377</v>
      </c>
      <c r="T14532" t="s">
        <v>49174</v>
      </c>
      <c r="U14532" t="s">
        <v>61491</v>
      </c>
      <c r="W14532" t="s">
        <v>43649</v>
      </c>
      <c r="X14532" t="s">
        <v>47447</v>
      </c>
    </row>
    <row r="14533" spans="1:24">
      <c r="A14533">
        <f>HYPERLINK("https://www.philgeps.gov.ph/GEPSNONPILOT/Tender/SplashBidNoticeAbstractUI.aspx?menuIndex=3&amp;refID=7124163&amp;Result=3","7124163")</f>
        <v>0</v>
      </c>
      <c r="B14533" t="s">
        <v>277</v>
      </c>
      <c r="C14533" t="s">
        <v>17651</v>
      </c>
      <c r="D14533" t="s">
        <v>19068</v>
      </c>
      <c r="E14533" t="s">
        <v>31562</v>
      </c>
      <c r="F14533" t="s">
        <v>32831</v>
      </c>
      <c r="G14533" t="s">
        <v>32839</v>
      </c>
      <c r="H14533" t="s">
        <v>32849</v>
      </c>
      <c r="I14533" t="s">
        <v>4177</v>
      </c>
      <c r="J14533" t="s">
        <v>41857</v>
      </c>
      <c r="K14533" t="s">
        <v>42766</v>
      </c>
      <c r="M14533" t="s">
        <v>43276</v>
      </c>
      <c r="N14533" t="s">
        <v>47424</v>
      </c>
      <c r="O14533" t="s">
        <v>47425</v>
      </c>
      <c r="P14533">
        <v>0</v>
      </c>
      <c r="Q14533">
        <v>0</v>
      </c>
      <c r="R14533" t="s">
        <v>47446</v>
      </c>
      <c r="S14533" t="s">
        <v>48377</v>
      </c>
      <c r="T14533" t="s">
        <v>49214</v>
      </c>
      <c r="U14533" t="s">
        <v>61492</v>
      </c>
      <c r="W14533" t="s">
        <v>43276</v>
      </c>
      <c r="X14533" t="s">
        <v>47447</v>
      </c>
    </row>
    <row r="14534" spans="1:24">
      <c r="A14534">
        <f>HYPERLINK("https://www.philgeps.gov.ph/GEPSNONPILOT/Tender/SplashBidNoticeAbstractUI.aspx?menuIndex=3&amp;refID=7124568&amp;Result=3","7124568")</f>
        <v>0</v>
      </c>
      <c r="B14534" t="s">
        <v>1939</v>
      </c>
      <c r="C14534" t="s">
        <v>17652</v>
      </c>
      <c r="D14534" t="s">
        <v>19067</v>
      </c>
      <c r="E14534" t="s">
        <v>31563</v>
      </c>
      <c r="F14534" t="s">
        <v>32831</v>
      </c>
      <c r="G14534" t="s">
        <v>32839</v>
      </c>
      <c r="H14534" t="s">
        <v>32849</v>
      </c>
      <c r="I14534" t="s">
        <v>4177</v>
      </c>
      <c r="J14534" t="s">
        <v>39596</v>
      </c>
      <c r="K14534" t="s">
        <v>42785</v>
      </c>
      <c r="M14534" t="s">
        <v>45094</v>
      </c>
      <c r="N14534" t="s">
        <v>47424</v>
      </c>
      <c r="O14534" t="s">
        <v>47425</v>
      </c>
      <c r="Q14534">
        <v>0</v>
      </c>
      <c r="R14534" t="s">
        <v>47446</v>
      </c>
      <c r="S14534" t="s">
        <v>48423</v>
      </c>
      <c r="T14534" t="s">
        <v>49118</v>
      </c>
      <c r="U14534" t="s">
        <v>61493</v>
      </c>
      <c r="W14534" t="s">
        <v>45094</v>
      </c>
      <c r="X14534" t="s">
        <v>47447</v>
      </c>
    </row>
    <row r="14535" spans="1:24">
      <c r="A14535">
        <f>HYPERLINK("https://www.philgeps.gov.ph/GEPSNONPILOT/Tender/SplashBidNoticeAbstractUI.aspx?menuIndex=3&amp;refID=7124375&amp;Result=3","7124375")</f>
        <v>0</v>
      </c>
      <c r="B14535" t="s">
        <v>633</v>
      </c>
      <c r="C14535" t="s">
        <v>17653</v>
      </c>
      <c r="D14535" t="s">
        <v>19062</v>
      </c>
      <c r="E14535" t="s">
        <v>26661</v>
      </c>
      <c r="F14535" t="s">
        <v>32831</v>
      </c>
      <c r="G14535" t="s">
        <v>32839</v>
      </c>
      <c r="H14535" t="s">
        <v>32848</v>
      </c>
      <c r="I14535" t="s">
        <v>32857</v>
      </c>
      <c r="J14535" t="s">
        <v>41858</v>
      </c>
      <c r="K14535" t="s">
        <v>42750</v>
      </c>
      <c r="M14535" t="s">
        <v>43650</v>
      </c>
      <c r="N14535" t="s">
        <v>47424</v>
      </c>
      <c r="O14535" t="s">
        <v>47425</v>
      </c>
      <c r="P14535">
        <v>0</v>
      </c>
      <c r="Q14535">
        <v>11</v>
      </c>
      <c r="R14535" t="s">
        <v>47446</v>
      </c>
      <c r="S14535" t="s">
        <v>48377</v>
      </c>
      <c r="T14535" t="s">
        <v>49162</v>
      </c>
      <c r="U14535" t="s">
        <v>61494</v>
      </c>
      <c r="W14535" t="s">
        <v>43650</v>
      </c>
      <c r="X14535" t="s">
        <v>47447</v>
      </c>
    </row>
    <row r="14536" spans="1:24">
      <c r="A14536">
        <f>HYPERLINK("https://www.philgeps.gov.ph/GEPSNONPILOT/Tender/SplashBidNoticeAbstractUI.aspx?menuIndex=3&amp;refID=7124469&amp;Result=3","7124469")</f>
        <v>0</v>
      </c>
      <c r="B14536" t="s">
        <v>3060</v>
      </c>
      <c r="C14536" t="s">
        <v>17654</v>
      </c>
      <c r="D14536" t="s">
        <v>19034</v>
      </c>
      <c r="E14536" t="s">
        <v>31564</v>
      </c>
      <c r="F14536" t="s">
        <v>32831</v>
      </c>
      <c r="G14536" t="s">
        <v>32839</v>
      </c>
      <c r="H14536" t="s">
        <v>32848</v>
      </c>
      <c r="I14536" t="s">
        <v>32856</v>
      </c>
      <c r="J14536" t="s">
        <v>41859</v>
      </c>
      <c r="K14536" t="s">
        <v>42730</v>
      </c>
      <c r="M14536" t="s">
        <v>46335</v>
      </c>
      <c r="N14536" t="s">
        <v>47424</v>
      </c>
      <c r="O14536" t="s">
        <v>47425</v>
      </c>
      <c r="P14536">
        <v>0</v>
      </c>
      <c r="Q14536">
        <v>1</v>
      </c>
      <c r="R14536" t="s">
        <v>47446</v>
      </c>
      <c r="S14536" t="s">
        <v>48377</v>
      </c>
      <c r="T14536" t="s">
        <v>49321</v>
      </c>
      <c r="U14536" t="s">
        <v>61495</v>
      </c>
      <c r="V14536" t="s">
        <v>64284</v>
      </c>
      <c r="W14536" t="s">
        <v>46335</v>
      </c>
      <c r="X14536" t="s">
        <v>47447</v>
      </c>
    </row>
    <row r="14537" spans="1:24">
      <c r="A14537">
        <f>HYPERLINK("https://www.philgeps.gov.ph/GEPSNONPILOT/Tender/SplashBidNoticeAbstractUI.aspx?menuIndex=3&amp;refID=7124545&amp;Result=3","7124545")</f>
        <v>0</v>
      </c>
      <c r="B14537" t="s">
        <v>1997</v>
      </c>
      <c r="C14537" t="s">
        <v>17655</v>
      </c>
      <c r="D14537" t="s">
        <v>19061</v>
      </c>
      <c r="E14537" t="s">
        <v>31565</v>
      </c>
      <c r="F14537" t="s">
        <v>32831</v>
      </c>
      <c r="G14537" t="s">
        <v>32839</v>
      </c>
      <c r="H14537" t="s">
        <v>32849</v>
      </c>
      <c r="I14537" t="s">
        <v>4177</v>
      </c>
      <c r="J14537" t="s">
        <v>32983</v>
      </c>
      <c r="K14537" t="s">
        <v>42730</v>
      </c>
      <c r="M14537" t="s">
        <v>45164</v>
      </c>
      <c r="N14537" t="s">
        <v>47424</v>
      </c>
      <c r="O14537" t="s">
        <v>47425</v>
      </c>
      <c r="P14537">
        <v>0</v>
      </c>
      <c r="Q14537">
        <v>0</v>
      </c>
      <c r="R14537" t="s">
        <v>47446</v>
      </c>
      <c r="S14537" t="s">
        <v>48377</v>
      </c>
      <c r="T14537" t="s">
        <v>49288</v>
      </c>
      <c r="U14537" t="s">
        <v>58780</v>
      </c>
      <c r="W14537" t="s">
        <v>45164</v>
      </c>
      <c r="X14537" t="s">
        <v>47447</v>
      </c>
    </row>
    <row r="14538" spans="1:24">
      <c r="A14538">
        <f>HYPERLINK("https://www.philgeps.gov.ph/GEPSNONPILOT/Tender/SplashBidNoticeAbstractUI.aspx?menuIndex=3&amp;refID=7124373&amp;Result=3","7124373")</f>
        <v>0</v>
      </c>
      <c r="B14538" t="s">
        <v>3817</v>
      </c>
      <c r="C14538" t="s">
        <v>17656</v>
      </c>
      <c r="D14538" t="s">
        <v>19041</v>
      </c>
      <c r="E14538" t="s">
        <v>31566</v>
      </c>
      <c r="F14538" t="s">
        <v>32831</v>
      </c>
      <c r="G14538" t="s">
        <v>32839</v>
      </c>
      <c r="H14538" t="s">
        <v>32849</v>
      </c>
      <c r="I14538" t="s">
        <v>4177</v>
      </c>
      <c r="J14538" t="s">
        <v>41860</v>
      </c>
      <c r="K14538" t="s">
        <v>42865</v>
      </c>
      <c r="M14538" t="s">
        <v>47239</v>
      </c>
      <c r="N14538" t="s">
        <v>47424</v>
      </c>
      <c r="O14538" t="s">
        <v>47425</v>
      </c>
      <c r="P14538">
        <v>0</v>
      </c>
      <c r="Q14538">
        <v>0</v>
      </c>
      <c r="R14538" t="s">
        <v>47446</v>
      </c>
      <c r="S14538" t="s">
        <v>48377</v>
      </c>
      <c r="T14538" t="s">
        <v>49649</v>
      </c>
      <c r="U14538" t="s">
        <v>61496</v>
      </c>
      <c r="W14538" t="s">
        <v>47239</v>
      </c>
      <c r="X14538" t="s">
        <v>47447</v>
      </c>
    </row>
    <row r="14539" spans="1:24">
      <c r="A14539">
        <f>HYPERLINK("https://www.philgeps.gov.ph/GEPSNONPILOT/Tender/SplashBidNoticeAbstractUI.aspx?menuIndex=3&amp;refID=7124379&amp;Result=3","7124379")</f>
        <v>0</v>
      </c>
      <c r="B14539" t="s">
        <v>3825</v>
      </c>
      <c r="C14539" t="s">
        <v>17657</v>
      </c>
      <c r="D14539" t="s">
        <v>19067</v>
      </c>
      <c r="E14539" t="s">
        <v>31567</v>
      </c>
      <c r="F14539" t="s">
        <v>32831</v>
      </c>
      <c r="G14539" t="s">
        <v>32839</v>
      </c>
      <c r="H14539" t="s">
        <v>32849</v>
      </c>
      <c r="I14539" t="s">
        <v>4177</v>
      </c>
      <c r="J14539" t="s">
        <v>35577</v>
      </c>
      <c r="K14539" t="s">
        <v>42757</v>
      </c>
      <c r="M14539" t="s">
        <v>47248</v>
      </c>
      <c r="N14539" t="s">
        <v>47424</v>
      </c>
      <c r="O14539" t="s">
        <v>47425</v>
      </c>
      <c r="Q14539">
        <v>1</v>
      </c>
      <c r="R14539" t="s">
        <v>47446</v>
      </c>
      <c r="S14539" t="s">
        <v>48424</v>
      </c>
      <c r="T14539" t="s">
        <v>49237</v>
      </c>
      <c r="U14539" t="s">
        <v>61497</v>
      </c>
      <c r="V14539" t="s">
        <v>64285</v>
      </c>
      <c r="W14539" t="s">
        <v>47248</v>
      </c>
      <c r="X14539" t="s">
        <v>47447</v>
      </c>
    </row>
    <row r="14540" spans="1:24">
      <c r="A14540">
        <f>HYPERLINK("https://www.philgeps.gov.ph/GEPSNONPILOT/Tender/SplashBidNoticeAbstractUI.aspx?menuIndex=3&amp;refID=7124369&amp;Result=3","7124369")</f>
        <v>0</v>
      </c>
      <c r="B14540" t="s">
        <v>3830</v>
      </c>
      <c r="C14540" t="s">
        <v>17658</v>
      </c>
      <c r="D14540" t="s">
        <v>19044</v>
      </c>
      <c r="E14540" t="s">
        <v>23811</v>
      </c>
      <c r="F14540" t="s">
        <v>32831</v>
      </c>
      <c r="G14540" t="s">
        <v>32839</v>
      </c>
      <c r="H14540" t="s">
        <v>32848</v>
      </c>
      <c r="I14540" t="s">
        <v>7416</v>
      </c>
      <c r="J14540" t="s">
        <v>41861</v>
      </c>
      <c r="K14540" t="s">
        <v>42726</v>
      </c>
      <c r="M14540" t="s">
        <v>47254</v>
      </c>
      <c r="N14540" t="s">
        <v>47424</v>
      </c>
      <c r="O14540" t="s">
        <v>47425</v>
      </c>
      <c r="P14540">
        <v>0</v>
      </c>
      <c r="Q14540">
        <v>0</v>
      </c>
      <c r="R14540" t="s">
        <v>47446</v>
      </c>
      <c r="S14540" t="s">
        <v>48377</v>
      </c>
      <c r="T14540" t="s">
        <v>49111</v>
      </c>
      <c r="U14540" t="s">
        <v>61498</v>
      </c>
      <c r="W14540" t="s">
        <v>47254</v>
      </c>
      <c r="X14540" t="s">
        <v>47447</v>
      </c>
    </row>
    <row r="14541" spans="1:24">
      <c r="A14541">
        <f>HYPERLINK("https://www.philgeps.gov.ph/GEPSNONPILOT/Tender/SplashBidNoticeAbstractUI.aspx?menuIndex=3&amp;refID=7124525&amp;Result=3","7124525")</f>
        <v>0</v>
      </c>
      <c r="B14541" t="s">
        <v>301</v>
      </c>
      <c r="C14541" t="s">
        <v>17659</v>
      </c>
      <c r="D14541" t="s">
        <v>19048</v>
      </c>
      <c r="E14541" t="s">
        <v>31568</v>
      </c>
      <c r="F14541" t="s">
        <v>32831</v>
      </c>
      <c r="G14541" t="s">
        <v>32839</v>
      </c>
      <c r="H14541" t="s">
        <v>14069</v>
      </c>
      <c r="I14541" t="s">
        <v>14069</v>
      </c>
      <c r="J14541" t="s">
        <v>41862</v>
      </c>
      <c r="K14541" t="s">
        <v>42779</v>
      </c>
      <c r="M14541" t="s">
        <v>43302</v>
      </c>
      <c r="N14541" t="s">
        <v>47424</v>
      </c>
      <c r="O14541" t="s">
        <v>47425</v>
      </c>
      <c r="P14541">
        <v>0</v>
      </c>
      <c r="Q14541">
        <v>8</v>
      </c>
      <c r="R14541" t="s">
        <v>47446</v>
      </c>
      <c r="S14541" t="s">
        <v>48377</v>
      </c>
      <c r="T14541" t="s">
        <v>49080</v>
      </c>
      <c r="U14541" t="s">
        <v>61499</v>
      </c>
      <c r="W14541" t="s">
        <v>43302</v>
      </c>
      <c r="X14541" t="s">
        <v>47447</v>
      </c>
    </row>
    <row r="14542" spans="1:24">
      <c r="A14542">
        <f>HYPERLINK("https://www.philgeps.gov.ph/GEPSNONPILOT/Tender/SplashBidNoticeAbstractUI.aspx?menuIndex=3&amp;refID=7124350&amp;Result=3","7124350")</f>
        <v>0</v>
      </c>
      <c r="B14542" t="s">
        <v>3825</v>
      </c>
      <c r="C14542" t="s">
        <v>17660</v>
      </c>
      <c r="D14542" t="s">
        <v>19067</v>
      </c>
      <c r="E14542" t="s">
        <v>31569</v>
      </c>
      <c r="F14542" t="s">
        <v>32831</v>
      </c>
      <c r="G14542" t="s">
        <v>32839</v>
      </c>
      <c r="H14542" t="s">
        <v>32849</v>
      </c>
      <c r="I14542" t="s">
        <v>4177</v>
      </c>
      <c r="J14542" t="s">
        <v>41863</v>
      </c>
      <c r="K14542" t="s">
        <v>42757</v>
      </c>
      <c r="M14542" t="s">
        <v>47248</v>
      </c>
      <c r="N14542" t="s">
        <v>47424</v>
      </c>
      <c r="O14542" t="s">
        <v>47425</v>
      </c>
      <c r="P14542">
        <v>0</v>
      </c>
      <c r="Q14542">
        <v>0</v>
      </c>
      <c r="R14542" t="s">
        <v>47446</v>
      </c>
      <c r="S14542" t="s">
        <v>48377</v>
      </c>
      <c r="T14542" t="s">
        <v>49237</v>
      </c>
      <c r="U14542" t="s">
        <v>61500</v>
      </c>
      <c r="V14542" t="s">
        <v>64286</v>
      </c>
      <c r="W14542" t="s">
        <v>47248</v>
      </c>
      <c r="X14542" t="s">
        <v>47447</v>
      </c>
    </row>
    <row r="14543" spans="1:24">
      <c r="A14543">
        <f>HYPERLINK("https://www.philgeps.gov.ph/GEPSNONPILOT/Tender/SplashBidNoticeAbstractUI.aspx?menuIndex=3&amp;refID=7123989&amp;Result=3","7123989")</f>
        <v>0</v>
      </c>
      <c r="B14543" t="s">
        <v>1358</v>
      </c>
      <c r="C14543" t="s">
        <v>17661</v>
      </c>
      <c r="D14543" t="s">
        <v>19068</v>
      </c>
      <c r="E14543" t="s">
        <v>31570</v>
      </c>
      <c r="F14543" t="s">
        <v>32831</v>
      </c>
      <c r="G14543" t="s">
        <v>32839</v>
      </c>
      <c r="H14543" t="s">
        <v>32848</v>
      </c>
      <c r="I14543" t="s">
        <v>7416</v>
      </c>
      <c r="J14543" t="s">
        <v>41816</v>
      </c>
      <c r="K14543" t="s">
        <v>42730</v>
      </c>
      <c r="M14543" t="s">
        <v>44435</v>
      </c>
      <c r="N14543" t="s">
        <v>47424</v>
      </c>
      <c r="O14543" t="s">
        <v>47425</v>
      </c>
      <c r="P14543">
        <v>0</v>
      </c>
      <c r="Q14543">
        <v>0</v>
      </c>
      <c r="R14543" t="s">
        <v>47446</v>
      </c>
      <c r="S14543" t="s">
        <v>48377</v>
      </c>
      <c r="T14543" t="s">
        <v>49111</v>
      </c>
      <c r="U14543" t="s">
        <v>61413</v>
      </c>
      <c r="V14543" t="s">
        <v>64271</v>
      </c>
      <c r="W14543" t="s">
        <v>44435</v>
      </c>
      <c r="X14543" t="s">
        <v>47447</v>
      </c>
    </row>
    <row r="14544" spans="1:24">
      <c r="A14544">
        <f>HYPERLINK("https://www.philgeps.gov.ph/GEPSNONPILOT/Tender/SplashBidNoticeAbstractUI.aspx?menuIndex=3&amp;refID=7124348&amp;Result=3","7124348")</f>
        <v>0</v>
      </c>
      <c r="B14544" t="s">
        <v>1983</v>
      </c>
      <c r="C14544" t="s">
        <v>17662</v>
      </c>
      <c r="E14544" t="s">
        <v>31571</v>
      </c>
      <c r="F14544" t="s">
        <v>32831</v>
      </c>
      <c r="G14544" t="s">
        <v>32839</v>
      </c>
      <c r="H14544" t="s">
        <v>32849</v>
      </c>
      <c r="I14544" t="s">
        <v>4177</v>
      </c>
      <c r="J14544" t="s">
        <v>41864</v>
      </c>
      <c r="K14544" t="s">
        <v>42732</v>
      </c>
      <c r="M14544" t="s">
        <v>45145</v>
      </c>
      <c r="N14544" t="s">
        <v>47424</v>
      </c>
      <c r="O14544" t="s">
        <v>47425</v>
      </c>
      <c r="Q14544">
        <v>61</v>
      </c>
      <c r="R14544" t="s">
        <v>47446</v>
      </c>
      <c r="S14544" t="s">
        <v>48072</v>
      </c>
      <c r="T14544" t="s">
        <v>49129</v>
      </c>
      <c r="U14544" t="s">
        <v>60272</v>
      </c>
      <c r="W14544" t="s">
        <v>64550</v>
      </c>
      <c r="X14544" t="s">
        <v>47447</v>
      </c>
    </row>
    <row r="14545" spans="1:24">
      <c r="A14545">
        <f>HYPERLINK("https://www.philgeps.gov.ph/GEPSNONPILOT/Tender/SplashBidNoticeAbstractUI.aspx?menuIndex=3&amp;refID=7124013&amp;Result=3","7124013")</f>
        <v>0</v>
      </c>
      <c r="B14545" t="s">
        <v>1545</v>
      </c>
      <c r="C14545" t="s">
        <v>17663</v>
      </c>
      <c r="D14545" t="s">
        <v>19044</v>
      </c>
      <c r="E14545" t="s">
        <v>31572</v>
      </c>
      <c r="F14545" t="s">
        <v>32831</v>
      </c>
      <c r="G14545" t="s">
        <v>32839</v>
      </c>
      <c r="H14545" t="s">
        <v>32848</v>
      </c>
      <c r="I14545" t="s">
        <v>32876</v>
      </c>
      <c r="J14545" t="s">
        <v>41865</v>
      </c>
      <c r="K14545" t="s">
        <v>42730</v>
      </c>
      <c r="M14545" t="s">
        <v>44649</v>
      </c>
      <c r="N14545" t="s">
        <v>47424</v>
      </c>
      <c r="O14545" t="s">
        <v>47425</v>
      </c>
      <c r="Q14545">
        <v>14</v>
      </c>
      <c r="R14545" t="s">
        <v>47446</v>
      </c>
      <c r="S14545" t="s">
        <v>48425</v>
      </c>
      <c r="T14545" t="s">
        <v>49214</v>
      </c>
      <c r="U14545" t="s">
        <v>61501</v>
      </c>
      <c r="W14545" t="s">
        <v>44649</v>
      </c>
      <c r="X14545" t="s">
        <v>47447</v>
      </c>
    </row>
    <row r="14546" spans="1:24">
      <c r="A14546">
        <f>HYPERLINK("https://www.philgeps.gov.ph/GEPSNONPILOT/Tender/SplashBidNoticeAbstractUI.aspx?menuIndex=3&amp;refID=7124358&amp;Result=3","7124358")</f>
        <v>0</v>
      </c>
      <c r="B14546" t="s">
        <v>231</v>
      </c>
      <c r="C14546" t="s">
        <v>17664</v>
      </c>
      <c r="D14546" t="s">
        <v>19039</v>
      </c>
      <c r="E14546" t="s">
        <v>31573</v>
      </c>
      <c r="F14546" t="s">
        <v>32831</v>
      </c>
      <c r="G14546" t="s">
        <v>32839</v>
      </c>
      <c r="H14546" t="s">
        <v>32848</v>
      </c>
      <c r="I14546" t="s">
        <v>32853</v>
      </c>
      <c r="J14546" t="s">
        <v>41866</v>
      </c>
      <c r="K14546" t="s">
        <v>42730</v>
      </c>
      <c r="M14546" t="s">
        <v>43230</v>
      </c>
      <c r="N14546" t="s">
        <v>47424</v>
      </c>
      <c r="O14546" t="s">
        <v>47425</v>
      </c>
      <c r="Q14546">
        <v>5</v>
      </c>
      <c r="R14546" t="s">
        <v>47446</v>
      </c>
      <c r="S14546" t="s">
        <v>48426</v>
      </c>
      <c r="T14546" t="s">
        <v>49237</v>
      </c>
      <c r="U14546" t="s">
        <v>61502</v>
      </c>
      <c r="W14546" t="s">
        <v>43230</v>
      </c>
      <c r="X14546" t="s">
        <v>47447</v>
      </c>
    </row>
    <row r="14547" spans="1:24">
      <c r="A14547">
        <f>HYPERLINK("https://www.philgeps.gov.ph/GEPSNONPILOT/Tender/SplashBidNoticeAbstractUI.aspx?menuIndex=3&amp;refID=7123875&amp;Result=3","7123875")</f>
        <v>0</v>
      </c>
      <c r="B14547" t="s">
        <v>3817</v>
      </c>
      <c r="C14547" t="s">
        <v>17665</v>
      </c>
      <c r="D14547" t="s">
        <v>19041</v>
      </c>
      <c r="E14547" t="s">
        <v>31574</v>
      </c>
      <c r="F14547" t="s">
        <v>32831</v>
      </c>
      <c r="G14547" t="s">
        <v>32839</v>
      </c>
      <c r="H14547" t="s">
        <v>32849</v>
      </c>
      <c r="I14547" t="s">
        <v>4177</v>
      </c>
      <c r="J14547" t="s">
        <v>41867</v>
      </c>
      <c r="K14547" t="s">
        <v>42829</v>
      </c>
      <c r="M14547" t="s">
        <v>47239</v>
      </c>
      <c r="N14547" t="s">
        <v>47424</v>
      </c>
      <c r="O14547" t="s">
        <v>47425</v>
      </c>
      <c r="P14547">
        <v>0</v>
      </c>
      <c r="Q14547">
        <v>0</v>
      </c>
      <c r="R14547" t="s">
        <v>47446</v>
      </c>
      <c r="S14547" t="s">
        <v>48377</v>
      </c>
      <c r="T14547" t="s">
        <v>49649</v>
      </c>
      <c r="U14547" t="s">
        <v>61503</v>
      </c>
      <c r="W14547" t="s">
        <v>47239</v>
      </c>
      <c r="X14547" t="s">
        <v>47447</v>
      </c>
    </row>
    <row r="14548" spans="1:24">
      <c r="A14548">
        <f>HYPERLINK("https://www.philgeps.gov.ph/GEPSNONPILOT/Tender/SplashBidNoticeAbstractUI.aspx?menuIndex=3&amp;refID=7124366&amp;Result=3","7124366")</f>
        <v>0</v>
      </c>
      <c r="B14548" t="s">
        <v>3825</v>
      </c>
      <c r="C14548" t="s">
        <v>17666</v>
      </c>
      <c r="D14548" t="s">
        <v>19067</v>
      </c>
      <c r="E14548" t="s">
        <v>31575</v>
      </c>
      <c r="F14548" t="s">
        <v>32831</v>
      </c>
      <c r="G14548" t="s">
        <v>32839</v>
      </c>
      <c r="H14548" t="s">
        <v>32849</v>
      </c>
      <c r="I14548" t="s">
        <v>4177</v>
      </c>
      <c r="J14548" t="s">
        <v>34778</v>
      </c>
      <c r="K14548" t="s">
        <v>42892</v>
      </c>
      <c r="M14548" t="s">
        <v>47248</v>
      </c>
      <c r="N14548" t="s">
        <v>47424</v>
      </c>
      <c r="O14548" t="s">
        <v>47425</v>
      </c>
      <c r="Q14548">
        <v>1</v>
      </c>
      <c r="R14548" t="s">
        <v>47446</v>
      </c>
      <c r="S14548" t="s">
        <v>48427</v>
      </c>
      <c r="T14548" t="s">
        <v>49106</v>
      </c>
      <c r="U14548" t="s">
        <v>61504</v>
      </c>
      <c r="V14548" t="s">
        <v>64287</v>
      </c>
      <c r="W14548" t="s">
        <v>47248</v>
      </c>
      <c r="X14548" t="s">
        <v>47447</v>
      </c>
    </row>
    <row r="14549" spans="1:24">
      <c r="A14549">
        <f>HYPERLINK("https://www.philgeps.gov.ph/GEPSNONPILOT/Tender/SplashBidNoticeAbstractUI.aspx?menuIndex=3&amp;refID=7123869&amp;Result=3","7123869")</f>
        <v>0</v>
      </c>
      <c r="B14549" t="s">
        <v>277</v>
      </c>
      <c r="C14549" t="s">
        <v>17667</v>
      </c>
      <c r="D14549" t="s">
        <v>19068</v>
      </c>
      <c r="E14549" t="s">
        <v>31576</v>
      </c>
      <c r="F14549" t="s">
        <v>32831</v>
      </c>
      <c r="G14549" t="s">
        <v>32839</v>
      </c>
      <c r="H14549" t="s">
        <v>32849</v>
      </c>
      <c r="I14549" t="s">
        <v>4177</v>
      </c>
      <c r="J14549" t="s">
        <v>41868</v>
      </c>
      <c r="K14549" t="s">
        <v>42729</v>
      </c>
      <c r="M14549" t="s">
        <v>43276</v>
      </c>
      <c r="N14549" t="s">
        <v>47424</v>
      </c>
      <c r="O14549" t="s">
        <v>47425</v>
      </c>
      <c r="P14549">
        <v>0</v>
      </c>
      <c r="Q14549">
        <v>0</v>
      </c>
      <c r="R14549" t="s">
        <v>47446</v>
      </c>
      <c r="S14549" t="s">
        <v>48377</v>
      </c>
      <c r="T14549" t="s">
        <v>49214</v>
      </c>
      <c r="U14549" t="s">
        <v>61505</v>
      </c>
      <c r="W14549" t="s">
        <v>43276</v>
      </c>
      <c r="X14549" t="s">
        <v>47447</v>
      </c>
    </row>
    <row r="14550" spans="1:24">
      <c r="A14550">
        <f>HYPERLINK("https://www.philgeps.gov.ph/GEPSNONPILOT/Tender/SplashBidNoticeAbstractUI.aspx?menuIndex=3&amp;refID=7124598&amp;Result=3","7124598")</f>
        <v>0</v>
      </c>
      <c r="B14550" t="s">
        <v>301</v>
      </c>
      <c r="C14550" t="s">
        <v>17668</v>
      </c>
      <c r="D14550" t="s">
        <v>19048</v>
      </c>
      <c r="E14550" t="s">
        <v>31577</v>
      </c>
      <c r="F14550" t="s">
        <v>32831</v>
      </c>
      <c r="G14550" t="s">
        <v>32839</v>
      </c>
      <c r="H14550" t="s">
        <v>14069</v>
      </c>
      <c r="I14550" t="s">
        <v>14069</v>
      </c>
      <c r="J14550" t="s">
        <v>41869</v>
      </c>
      <c r="K14550" t="s">
        <v>42998</v>
      </c>
      <c r="M14550" t="s">
        <v>43302</v>
      </c>
      <c r="N14550" t="s">
        <v>47424</v>
      </c>
      <c r="O14550" t="s">
        <v>47425</v>
      </c>
      <c r="P14550">
        <v>0</v>
      </c>
      <c r="Q14550">
        <v>7</v>
      </c>
      <c r="R14550" t="s">
        <v>47446</v>
      </c>
      <c r="S14550" t="s">
        <v>48377</v>
      </c>
      <c r="T14550" t="s">
        <v>49080</v>
      </c>
      <c r="U14550" t="s">
        <v>61506</v>
      </c>
      <c r="W14550" t="s">
        <v>43302</v>
      </c>
      <c r="X14550" t="s">
        <v>47447</v>
      </c>
    </row>
    <row r="14551" spans="1:24">
      <c r="A14551">
        <f>HYPERLINK("https://www.philgeps.gov.ph/GEPSNONPILOT/Tender/SplashBidNoticeAbstractUI.aspx?menuIndex=3&amp;refID=7123846&amp;Result=3","7123846")</f>
        <v>0</v>
      </c>
      <c r="B14551" t="s">
        <v>1358</v>
      </c>
      <c r="C14551" t="s">
        <v>17669</v>
      </c>
      <c r="D14551" t="s">
        <v>19068</v>
      </c>
      <c r="E14551" t="s">
        <v>31578</v>
      </c>
      <c r="F14551" t="s">
        <v>32831</v>
      </c>
      <c r="G14551" t="s">
        <v>32839</v>
      </c>
      <c r="H14551" t="s">
        <v>32848</v>
      </c>
      <c r="I14551" t="s">
        <v>7416</v>
      </c>
      <c r="J14551" t="s">
        <v>41816</v>
      </c>
      <c r="K14551" t="s">
        <v>42730</v>
      </c>
      <c r="M14551" t="s">
        <v>44435</v>
      </c>
      <c r="N14551" t="s">
        <v>47424</v>
      </c>
      <c r="O14551" t="s">
        <v>47425</v>
      </c>
      <c r="P14551">
        <v>0</v>
      </c>
      <c r="Q14551">
        <v>0</v>
      </c>
      <c r="R14551" t="s">
        <v>47446</v>
      </c>
      <c r="S14551" t="s">
        <v>48377</v>
      </c>
      <c r="T14551" t="s">
        <v>49111</v>
      </c>
      <c r="U14551" t="s">
        <v>61413</v>
      </c>
      <c r="V14551" t="s">
        <v>64271</v>
      </c>
      <c r="W14551" t="s">
        <v>44435</v>
      </c>
      <c r="X14551" t="s">
        <v>47447</v>
      </c>
    </row>
    <row r="14552" spans="1:24">
      <c r="A14552">
        <f>HYPERLINK("https://www.philgeps.gov.ph/GEPSNONPILOT/Tender/SplashBidNoticeAbstractUI.aspx?menuIndex=3&amp;refID=7123659&amp;Result=3","7123659")</f>
        <v>0</v>
      </c>
      <c r="B14552" t="s">
        <v>687</v>
      </c>
      <c r="C14552" t="s">
        <v>17670</v>
      </c>
      <c r="D14552" t="s">
        <v>19074</v>
      </c>
      <c r="E14552" t="s">
        <v>31579</v>
      </c>
      <c r="F14552" t="s">
        <v>32831</v>
      </c>
      <c r="G14552" t="s">
        <v>32839</v>
      </c>
      <c r="H14552" t="s">
        <v>32849</v>
      </c>
      <c r="I14552" t="s">
        <v>4177</v>
      </c>
      <c r="J14552" t="s">
        <v>41870</v>
      </c>
      <c r="K14552" t="s">
        <v>42770</v>
      </c>
      <c r="M14552" t="s">
        <v>43706</v>
      </c>
      <c r="N14552" t="s">
        <v>47424</v>
      </c>
      <c r="O14552" t="s">
        <v>47425</v>
      </c>
      <c r="P14552">
        <v>0</v>
      </c>
      <c r="Q14552">
        <v>1</v>
      </c>
      <c r="R14552" t="s">
        <v>47446</v>
      </c>
      <c r="S14552" t="s">
        <v>48377</v>
      </c>
      <c r="T14552" t="s">
        <v>49111</v>
      </c>
      <c r="U14552" t="s">
        <v>61507</v>
      </c>
      <c r="W14552" t="s">
        <v>43706</v>
      </c>
      <c r="X14552" t="s">
        <v>47447</v>
      </c>
    </row>
    <row r="14553" spans="1:24">
      <c r="A14553">
        <f>HYPERLINK("https://www.philgeps.gov.ph/GEPSNONPILOT/Tender/SplashBidNoticeAbstractUI.aspx?menuIndex=3&amp;refID=7124662&amp;Result=3","7124662")</f>
        <v>0</v>
      </c>
      <c r="B14553" t="s">
        <v>301</v>
      </c>
      <c r="C14553" t="s">
        <v>17671</v>
      </c>
      <c r="D14553" t="s">
        <v>19048</v>
      </c>
      <c r="E14553" t="s">
        <v>31580</v>
      </c>
      <c r="F14553" t="s">
        <v>32831</v>
      </c>
      <c r="G14553" t="s">
        <v>32839</v>
      </c>
      <c r="H14553" t="s">
        <v>14069</v>
      </c>
      <c r="I14553" t="s">
        <v>14069</v>
      </c>
      <c r="J14553" t="s">
        <v>41871</v>
      </c>
      <c r="K14553" t="s">
        <v>42765</v>
      </c>
      <c r="M14553" t="s">
        <v>43302</v>
      </c>
      <c r="N14553" t="s">
        <v>47424</v>
      </c>
      <c r="O14553" t="s">
        <v>47425</v>
      </c>
      <c r="P14553">
        <v>0</v>
      </c>
      <c r="Q14553">
        <v>8</v>
      </c>
      <c r="R14553" t="s">
        <v>47446</v>
      </c>
      <c r="S14553" t="s">
        <v>48377</v>
      </c>
      <c r="T14553" t="s">
        <v>49080</v>
      </c>
      <c r="U14553" t="s">
        <v>61506</v>
      </c>
      <c r="W14553" t="s">
        <v>43302</v>
      </c>
      <c r="X14553" t="s">
        <v>47447</v>
      </c>
    </row>
    <row r="14554" spans="1:24">
      <c r="A14554">
        <f>HYPERLINK("https://www.philgeps.gov.ph/GEPSNONPILOT/Tender/SplashBidNoticeAbstractUI.aspx?menuIndex=3&amp;refID=7123888&amp;Result=3","7123888")</f>
        <v>0</v>
      </c>
      <c r="B14554" t="s">
        <v>3060</v>
      </c>
      <c r="C14554" t="s">
        <v>17672</v>
      </c>
      <c r="D14554" t="s">
        <v>19034</v>
      </c>
      <c r="E14554" t="s">
        <v>31581</v>
      </c>
      <c r="F14554" t="s">
        <v>32831</v>
      </c>
      <c r="G14554" t="s">
        <v>32839</v>
      </c>
      <c r="H14554" t="s">
        <v>32848</v>
      </c>
      <c r="I14554" t="s">
        <v>4776</v>
      </c>
      <c r="J14554" t="s">
        <v>36005</v>
      </c>
      <c r="K14554" t="s">
        <v>42763</v>
      </c>
      <c r="M14554" t="s">
        <v>46335</v>
      </c>
      <c r="N14554" t="s">
        <v>47424</v>
      </c>
      <c r="O14554" t="s">
        <v>47425</v>
      </c>
      <c r="Q14554">
        <v>11</v>
      </c>
      <c r="R14554" t="s">
        <v>47446</v>
      </c>
      <c r="S14554" t="s">
        <v>48428</v>
      </c>
      <c r="T14554" t="s">
        <v>49290</v>
      </c>
      <c r="U14554" t="s">
        <v>61508</v>
      </c>
      <c r="V14554" t="s">
        <v>64288</v>
      </c>
      <c r="W14554" t="s">
        <v>46335</v>
      </c>
      <c r="X14554" t="s">
        <v>47447</v>
      </c>
    </row>
    <row r="14555" spans="1:24">
      <c r="A14555">
        <f>HYPERLINK("https://www.philgeps.gov.ph/GEPSNONPILOT/Tender/SplashBidNoticeAbstractUI.aspx?menuIndex=3&amp;refID=7123655&amp;Result=3","7123655")</f>
        <v>0</v>
      </c>
      <c r="B14555" t="s">
        <v>3831</v>
      </c>
      <c r="C14555" t="s">
        <v>17673</v>
      </c>
      <c r="D14555" t="s">
        <v>19044</v>
      </c>
      <c r="E14555" t="s">
        <v>19169</v>
      </c>
      <c r="F14555" t="s">
        <v>32831</v>
      </c>
      <c r="G14555" t="s">
        <v>32839</v>
      </c>
      <c r="H14555" t="s">
        <v>32848</v>
      </c>
      <c r="I14555" t="s">
        <v>32856</v>
      </c>
      <c r="J14555" t="s">
        <v>41872</v>
      </c>
      <c r="K14555" t="s">
        <v>42730</v>
      </c>
      <c r="L14555" t="s">
        <v>3831</v>
      </c>
      <c r="M14555" t="s">
        <v>47255</v>
      </c>
      <c r="N14555" t="s">
        <v>47424</v>
      </c>
      <c r="O14555" t="s">
        <v>47425</v>
      </c>
      <c r="Q14555">
        <v>5</v>
      </c>
      <c r="R14555" t="s">
        <v>47446</v>
      </c>
      <c r="S14555" t="s">
        <v>48429</v>
      </c>
      <c r="T14555" t="s">
        <v>49328</v>
      </c>
      <c r="U14555" t="s">
        <v>61509</v>
      </c>
      <c r="V14555" t="s">
        <v>64289</v>
      </c>
      <c r="W14555" t="s">
        <v>47255</v>
      </c>
      <c r="X14555" t="s">
        <v>47447</v>
      </c>
    </row>
    <row r="14556" spans="1:24">
      <c r="A14556">
        <f>HYPERLINK("https://www.philgeps.gov.ph/GEPSNONPILOT/Tender/SplashBidNoticeAbstractUI.aspx?menuIndex=3&amp;refID=7123903&amp;Result=3","7123903")</f>
        <v>0</v>
      </c>
      <c r="B14556" t="s">
        <v>277</v>
      </c>
      <c r="C14556" t="s">
        <v>17674</v>
      </c>
      <c r="D14556" t="s">
        <v>19068</v>
      </c>
      <c r="E14556" t="s">
        <v>31582</v>
      </c>
      <c r="F14556" t="s">
        <v>32831</v>
      </c>
      <c r="G14556" t="s">
        <v>32839</v>
      </c>
      <c r="H14556" t="s">
        <v>32849</v>
      </c>
      <c r="I14556" t="s">
        <v>4177</v>
      </c>
      <c r="J14556" t="s">
        <v>41873</v>
      </c>
      <c r="K14556" t="s">
        <v>42770</v>
      </c>
      <c r="M14556" t="s">
        <v>43276</v>
      </c>
      <c r="N14556" t="s">
        <v>47424</v>
      </c>
      <c r="O14556" t="s">
        <v>47425</v>
      </c>
      <c r="P14556">
        <v>0</v>
      </c>
      <c r="Q14556">
        <v>0</v>
      </c>
      <c r="R14556" t="s">
        <v>47446</v>
      </c>
      <c r="S14556" t="s">
        <v>48377</v>
      </c>
      <c r="T14556" t="s">
        <v>49214</v>
      </c>
      <c r="U14556" t="s">
        <v>61510</v>
      </c>
      <c r="W14556" t="s">
        <v>43276</v>
      </c>
      <c r="X14556" t="s">
        <v>47447</v>
      </c>
    </row>
    <row r="14557" spans="1:24">
      <c r="A14557">
        <f>HYPERLINK("https://www.philgeps.gov.ph/GEPSNONPILOT/Tender/SplashBidNoticeAbstractUI.aspx?menuIndex=3&amp;refID=7123651&amp;Result=3","7123651")</f>
        <v>0</v>
      </c>
      <c r="B14557" t="s">
        <v>1864</v>
      </c>
      <c r="C14557" t="s">
        <v>17675</v>
      </c>
      <c r="D14557" t="s">
        <v>19045</v>
      </c>
      <c r="E14557" t="s">
        <v>31583</v>
      </c>
      <c r="F14557" t="s">
        <v>32831</v>
      </c>
      <c r="G14557" t="s">
        <v>32839</v>
      </c>
      <c r="H14557" t="s">
        <v>32848</v>
      </c>
      <c r="I14557" t="s">
        <v>32867</v>
      </c>
      <c r="J14557" t="s">
        <v>33025</v>
      </c>
      <c r="K14557" t="s">
        <v>42730</v>
      </c>
      <c r="M14557" t="s">
        <v>45006</v>
      </c>
      <c r="N14557" t="s">
        <v>47424</v>
      </c>
      <c r="O14557" t="s">
        <v>47425</v>
      </c>
      <c r="P14557">
        <v>0</v>
      </c>
      <c r="Q14557">
        <v>3</v>
      </c>
      <c r="R14557" t="s">
        <v>47446</v>
      </c>
      <c r="S14557" t="s">
        <v>48377</v>
      </c>
      <c r="T14557" t="s">
        <v>49239</v>
      </c>
      <c r="U14557" t="s">
        <v>61511</v>
      </c>
      <c r="W14557" t="s">
        <v>45006</v>
      </c>
      <c r="X14557" t="s">
        <v>47447</v>
      </c>
    </row>
    <row r="14558" spans="1:24">
      <c r="A14558">
        <f>HYPERLINK("https://www.philgeps.gov.ph/GEPSNONPILOT/Tender/SplashBidNoticeAbstractUI.aspx?menuIndex=3&amp;refID=7123915&amp;Result=3","7123915")</f>
        <v>0</v>
      </c>
      <c r="B14558" t="s">
        <v>3820</v>
      </c>
      <c r="C14558" t="s">
        <v>17676</v>
      </c>
      <c r="D14558" t="s">
        <v>19017</v>
      </c>
      <c r="E14558" t="s">
        <v>30676</v>
      </c>
      <c r="F14558" t="s">
        <v>32833</v>
      </c>
      <c r="G14558" t="s">
        <v>32839</v>
      </c>
      <c r="H14558" t="s">
        <v>32848</v>
      </c>
      <c r="I14558" t="s">
        <v>32879</v>
      </c>
      <c r="J14558" t="s">
        <v>32980</v>
      </c>
      <c r="K14558" t="s">
        <v>42727</v>
      </c>
      <c r="M14558" t="s">
        <v>47242</v>
      </c>
      <c r="N14558" t="s">
        <v>47424</v>
      </c>
      <c r="O14558" t="s">
        <v>47425</v>
      </c>
      <c r="P14558">
        <v>0</v>
      </c>
      <c r="Q14558">
        <v>4</v>
      </c>
      <c r="R14558" t="s">
        <v>47446</v>
      </c>
      <c r="S14558" t="s">
        <v>48377</v>
      </c>
      <c r="T14558" t="s">
        <v>49654</v>
      </c>
      <c r="U14558" t="s">
        <v>61512</v>
      </c>
      <c r="W14558" t="s">
        <v>47242</v>
      </c>
      <c r="X14558" t="s">
        <v>47447</v>
      </c>
    </row>
    <row r="14559" spans="1:24">
      <c r="A14559">
        <f>HYPERLINK("https://www.philgeps.gov.ph/GEPSNONPILOT/Tender/SplashBidNoticeAbstractUI.aspx?menuIndex=3&amp;refID=7123859&amp;Result=3","7123859")</f>
        <v>0</v>
      </c>
      <c r="B14559" t="s">
        <v>1244</v>
      </c>
      <c r="C14559" t="s">
        <v>17677</v>
      </c>
      <c r="D14559" t="s">
        <v>19095</v>
      </c>
      <c r="E14559" t="s">
        <v>31584</v>
      </c>
      <c r="F14559" t="s">
        <v>32831</v>
      </c>
      <c r="G14559" t="s">
        <v>32839</v>
      </c>
      <c r="H14559" t="s">
        <v>32849</v>
      </c>
      <c r="I14559" t="s">
        <v>4177</v>
      </c>
      <c r="J14559" t="s">
        <v>41874</v>
      </c>
      <c r="K14559" t="s">
        <v>42747</v>
      </c>
      <c r="M14559" t="s">
        <v>44314</v>
      </c>
      <c r="N14559" t="s">
        <v>47424</v>
      </c>
      <c r="O14559" t="s">
        <v>47425</v>
      </c>
      <c r="P14559">
        <v>0</v>
      </c>
      <c r="Q14559">
        <v>0</v>
      </c>
      <c r="R14559" t="s">
        <v>47446</v>
      </c>
      <c r="S14559" t="s">
        <v>48377</v>
      </c>
      <c r="T14559" t="s">
        <v>49321</v>
      </c>
      <c r="U14559" t="s">
        <v>61513</v>
      </c>
      <c r="V14559" t="s">
        <v>64278</v>
      </c>
      <c r="W14559" t="s">
        <v>44314</v>
      </c>
      <c r="X14559" t="s">
        <v>47447</v>
      </c>
    </row>
    <row r="14560" spans="1:24">
      <c r="A14560">
        <f>HYPERLINK("https://www.philgeps.gov.ph/GEPSNONPILOT/Tender/SplashBidNoticeAbstractUI.aspx?menuIndex=3&amp;refID=7123294&amp;Result=3","7123294")</f>
        <v>0</v>
      </c>
      <c r="B14560" t="s">
        <v>127</v>
      </c>
      <c r="C14560" t="s">
        <v>17678</v>
      </c>
      <c r="D14560" t="s">
        <v>19038</v>
      </c>
      <c r="E14560" t="s">
        <v>31585</v>
      </c>
      <c r="F14560" t="s">
        <v>32831</v>
      </c>
      <c r="G14560" t="s">
        <v>32839</v>
      </c>
      <c r="H14560" t="s">
        <v>32848</v>
      </c>
      <c r="I14560" t="s">
        <v>32883</v>
      </c>
      <c r="J14560" t="s">
        <v>41875</v>
      </c>
      <c r="K14560" t="s">
        <v>42763</v>
      </c>
      <c r="M14560" t="s">
        <v>43124</v>
      </c>
      <c r="N14560" t="s">
        <v>47424</v>
      </c>
      <c r="O14560" t="s">
        <v>47425</v>
      </c>
      <c r="P14560">
        <v>0</v>
      </c>
      <c r="Q14560">
        <v>6</v>
      </c>
      <c r="R14560" t="s">
        <v>47446</v>
      </c>
      <c r="S14560" t="s">
        <v>48377</v>
      </c>
      <c r="T14560" t="s">
        <v>49111</v>
      </c>
      <c r="U14560" t="s">
        <v>61514</v>
      </c>
      <c r="V14560" t="s">
        <v>62748</v>
      </c>
      <c r="W14560" t="s">
        <v>43124</v>
      </c>
      <c r="X14560" t="s">
        <v>47447</v>
      </c>
    </row>
    <row r="14561" spans="1:24">
      <c r="A14561">
        <f>HYPERLINK("https://www.philgeps.gov.ph/GEPSNONPILOT/Tender/SplashBidNoticeAbstractUI.aspx?menuIndex=3&amp;refID=7123301&amp;Result=3","7123301")</f>
        <v>0</v>
      </c>
      <c r="B14561" t="s">
        <v>1747</v>
      </c>
      <c r="C14561" t="s">
        <v>17679</v>
      </c>
      <c r="D14561" t="s">
        <v>19058</v>
      </c>
      <c r="E14561" t="s">
        <v>31586</v>
      </c>
      <c r="F14561" t="s">
        <v>32831</v>
      </c>
      <c r="G14561" t="s">
        <v>32839</v>
      </c>
      <c r="H14561" t="s">
        <v>32848</v>
      </c>
      <c r="I14561" t="s">
        <v>7751</v>
      </c>
      <c r="J14561" t="s">
        <v>33024</v>
      </c>
      <c r="K14561" t="s">
        <v>42729</v>
      </c>
      <c r="M14561" t="s">
        <v>44870</v>
      </c>
      <c r="N14561" t="s">
        <v>47424</v>
      </c>
      <c r="O14561" t="s">
        <v>47425</v>
      </c>
      <c r="P14561">
        <v>0</v>
      </c>
      <c r="Q14561">
        <v>3</v>
      </c>
      <c r="R14561" t="s">
        <v>47446</v>
      </c>
      <c r="S14561" t="s">
        <v>48377</v>
      </c>
      <c r="T14561" t="s">
        <v>49237</v>
      </c>
      <c r="U14561" t="s">
        <v>61515</v>
      </c>
      <c r="W14561" t="s">
        <v>44870</v>
      </c>
      <c r="X14561" t="s">
        <v>47447</v>
      </c>
    </row>
    <row r="14562" spans="1:24">
      <c r="A14562">
        <f>HYPERLINK("https://www.philgeps.gov.ph/GEPSNONPILOT/Tender/SplashBidNoticeAbstractUI.aspx?menuIndex=3&amp;refID=7123307&amp;Result=3","7123307")</f>
        <v>0</v>
      </c>
      <c r="B14562" t="s">
        <v>2310</v>
      </c>
      <c r="C14562" t="s">
        <v>17680</v>
      </c>
      <c r="D14562" t="s">
        <v>19028</v>
      </c>
      <c r="E14562" t="s">
        <v>31587</v>
      </c>
      <c r="F14562" t="s">
        <v>32831</v>
      </c>
      <c r="G14562" t="s">
        <v>32839</v>
      </c>
      <c r="H14562" t="s">
        <v>32848</v>
      </c>
      <c r="I14562" t="s">
        <v>32859</v>
      </c>
      <c r="J14562" t="s">
        <v>41876</v>
      </c>
      <c r="K14562" t="s">
        <v>42730</v>
      </c>
      <c r="M14562" t="s">
        <v>45495</v>
      </c>
      <c r="N14562" t="s">
        <v>47424</v>
      </c>
      <c r="O14562" t="s">
        <v>47425</v>
      </c>
      <c r="P14562">
        <v>0</v>
      </c>
      <c r="Q14562">
        <v>4</v>
      </c>
      <c r="R14562" t="s">
        <v>47446</v>
      </c>
      <c r="S14562" t="s">
        <v>48377</v>
      </c>
      <c r="T14562" t="s">
        <v>49166</v>
      </c>
      <c r="U14562" t="s">
        <v>61388</v>
      </c>
      <c r="W14562" t="s">
        <v>45495</v>
      </c>
      <c r="X14562" t="s">
        <v>47447</v>
      </c>
    </row>
    <row r="14563" spans="1:24">
      <c r="A14563">
        <f>HYPERLINK("https://www.philgeps.gov.ph/GEPSNONPILOT/Tender/SplashBidNoticeAbstractUI.aspx?menuIndex=3&amp;refID=7123291&amp;Result=3","7123291")</f>
        <v>0</v>
      </c>
      <c r="B14563" t="s">
        <v>3406</v>
      </c>
      <c r="C14563" t="s">
        <v>17681</v>
      </c>
      <c r="D14563" t="s">
        <v>19032</v>
      </c>
      <c r="E14563" t="s">
        <v>17681</v>
      </c>
      <c r="F14563" t="s">
        <v>32831</v>
      </c>
      <c r="G14563" t="s">
        <v>32839</v>
      </c>
      <c r="H14563" t="s">
        <v>32848</v>
      </c>
      <c r="I14563" t="s">
        <v>7751</v>
      </c>
      <c r="J14563" t="s">
        <v>40083</v>
      </c>
      <c r="K14563" t="s">
        <v>42742</v>
      </c>
      <c r="M14563" t="s">
        <v>46740</v>
      </c>
      <c r="N14563" t="s">
        <v>47424</v>
      </c>
      <c r="O14563" t="s">
        <v>47425</v>
      </c>
      <c r="Q14563">
        <v>5</v>
      </c>
      <c r="R14563" t="s">
        <v>47446</v>
      </c>
      <c r="S14563" t="s">
        <v>48430</v>
      </c>
      <c r="T14563" t="s">
        <v>49198</v>
      </c>
      <c r="U14563" t="s">
        <v>61516</v>
      </c>
      <c r="W14563" t="s">
        <v>46740</v>
      </c>
      <c r="X14563" t="s">
        <v>47447</v>
      </c>
    </row>
    <row r="14564" spans="1:24">
      <c r="A14564">
        <f>HYPERLINK("https://www.philgeps.gov.ph/GEPSNONPILOT/Tender/SplashBidNoticeAbstractUI.aspx?menuIndex=3&amp;refID=7132331&amp;Result=3","7132331")</f>
        <v>0</v>
      </c>
      <c r="B14564" t="s">
        <v>3832</v>
      </c>
      <c r="C14564" t="s">
        <v>17682</v>
      </c>
      <c r="D14564" t="s">
        <v>19044</v>
      </c>
      <c r="E14564" t="s">
        <v>19183</v>
      </c>
      <c r="F14564" t="s">
        <v>32831</v>
      </c>
      <c r="G14564" t="s">
        <v>32845</v>
      </c>
      <c r="H14564" t="s">
        <v>32849</v>
      </c>
      <c r="I14564" t="s">
        <v>32913</v>
      </c>
      <c r="J14564" t="s">
        <v>41877</v>
      </c>
      <c r="K14564" t="s">
        <v>42747</v>
      </c>
      <c r="M14564" t="s">
        <v>47256</v>
      </c>
      <c r="N14564" t="s">
        <v>47424</v>
      </c>
      <c r="O14564" t="s">
        <v>47425</v>
      </c>
      <c r="P14564">
        <v>0</v>
      </c>
      <c r="Q14564">
        <v>1</v>
      </c>
      <c r="R14564" t="s">
        <v>47444</v>
      </c>
      <c r="S14564" t="s">
        <v>48135</v>
      </c>
      <c r="T14564" t="s">
        <v>49655</v>
      </c>
      <c r="U14564" t="s">
        <v>61517</v>
      </c>
      <c r="V14564" t="s">
        <v>61517</v>
      </c>
      <c r="W14564" t="s">
        <v>47256</v>
      </c>
      <c r="X14564" t="s">
        <v>47445</v>
      </c>
    </row>
    <row r="14565" spans="1:24">
      <c r="A14565">
        <f>HYPERLINK("https://www.philgeps.gov.ph/GEPSNONPILOT/Tender/SplashBidNoticeAbstractUI.aspx?menuIndex=3&amp;refID=7123298&amp;Result=3","7123298")</f>
        <v>0</v>
      </c>
      <c r="B14565" t="s">
        <v>1629</v>
      </c>
      <c r="C14565" t="s">
        <v>17683</v>
      </c>
      <c r="D14565" t="s">
        <v>19021</v>
      </c>
      <c r="E14565" t="s">
        <v>31588</v>
      </c>
      <c r="F14565" t="s">
        <v>32831</v>
      </c>
      <c r="G14565" t="s">
        <v>32840</v>
      </c>
      <c r="H14565" t="s">
        <v>32848</v>
      </c>
      <c r="I14565" t="s">
        <v>32887</v>
      </c>
      <c r="J14565" t="s">
        <v>32978</v>
      </c>
      <c r="K14565" t="s">
        <v>42732</v>
      </c>
      <c r="M14565" t="s">
        <v>44745</v>
      </c>
      <c r="N14565" t="s">
        <v>47424</v>
      </c>
      <c r="O14565" t="s">
        <v>47425</v>
      </c>
      <c r="Q14565">
        <v>4</v>
      </c>
      <c r="R14565" t="s">
        <v>47446</v>
      </c>
      <c r="S14565" t="s">
        <v>48431</v>
      </c>
      <c r="T14565" t="s">
        <v>49163</v>
      </c>
      <c r="U14565" t="s">
        <v>61518</v>
      </c>
      <c r="V14565" t="s">
        <v>64290</v>
      </c>
      <c r="W14565" t="s">
        <v>44745</v>
      </c>
      <c r="X14565" t="s">
        <v>47447</v>
      </c>
    </row>
    <row r="14566" spans="1:24">
      <c r="A14566">
        <f>HYPERLINK("https://www.philgeps.gov.ph/GEPSNONPILOT/Tender/SplashBidNoticeAbstractUI.aspx?menuIndex=3&amp;refID=7132020&amp;Result=3","7132020")</f>
        <v>0</v>
      </c>
      <c r="B14566" t="s">
        <v>352</v>
      </c>
      <c r="C14566" t="s">
        <v>17684</v>
      </c>
      <c r="D14566" t="s">
        <v>19101</v>
      </c>
      <c r="E14566" t="s">
        <v>31589</v>
      </c>
      <c r="F14566" t="s">
        <v>32831</v>
      </c>
      <c r="G14566" t="s">
        <v>32839</v>
      </c>
      <c r="H14566" t="s">
        <v>32848</v>
      </c>
      <c r="I14566" t="s">
        <v>4487</v>
      </c>
      <c r="J14566" t="s">
        <v>41878</v>
      </c>
      <c r="K14566" t="s">
        <v>42770</v>
      </c>
      <c r="M14566" t="s">
        <v>43871</v>
      </c>
      <c r="N14566" t="s">
        <v>47424</v>
      </c>
      <c r="O14566" t="s">
        <v>47425</v>
      </c>
      <c r="Q14566">
        <v>18</v>
      </c>
      <c r="R14566" t="s">
        <v>47444</v>
      </c>
      <c r="S14566" t="s">
        <v>48432</v>
      </c>
      <c r="T14566" t="s">
        <v>49128</v>
      </c>
      <c r="U14566" t="s">
        <v>61519</v>
      </c>
      <c r="W14566" t="s">
        <v>43871</v>
      </c>
      <c r="X14566" t="s">
        <v>47445</v>
      </c>
    </row>
    <row r="14567" spans="1:24">
      <c r="A14567">
        <f>HYPERLINK("https://www.philgeps.gov.ph/GEPSNONPILOT/Tender/SplashBidNoticeAbstractUI.aspx?menuIndex=3&amp;refID=7123638&amp;Result=3","7123638")</f>
        <v>0</v>
      </c>
      <c r="B14567" t="s">
        <v>3823</v>
      </c>
      <c r="C14567" t="s">
        <v>9049</v>
      </c>
      <c r="D14567" t="s">
        <v>19045</v>
      </c>
      <c r="E14567" t="s">
        <v>31501</v>
      </c>
      <c r="F14567" t="s">
        <v>32831</v>
      </c>
      <c r="G14567" t="s">
        <v>32839</v>
      </c>
      <c r="H14567" t="s">
        <v>32849</v>
      </c>
      <c r="I14567" t="s">
        <v>4177</v>
      </c>
      <c r="J14567" t="s">
        <v>32978</v>
      </c>
      <c r="K14567" t="s">
        <v>42730</v>
      </c>
      <c r="M14567" t="s">
        <v>47245</v>
      </c>
      <c r="N14567" t="s">
        <v>47424</v>
      </c>
      <c r="O14567" t="s">
        <v>47425</v>
      </c>
      <c r="P14567">
        <v>0</v>
      </c>
      <c r="Q14567">
        <v>3</v>
      </c>
      <c r="R14567" t="s">
        <v>47446</v>
      </c>
      <c r="S14567" t="s">
        <v>48377</v>
      </c>
      <c r="T14567" t="s">
        <v>49237</v>
      </c>
      <c r="U14567" t="s">
        <v>61520</v>
      </c>
      <c r="V14567" t="s">
        <v>62846</v>
      </c>
      <c r="W14567" t="s">
        <v>47245</v>
      </c>
      <c r="X14567" t="s">
        <v>47447</v>
      </c>
    </row>
    <row r="14568" spans="1:24">
      <c r="A14568">
        <f>HYPERLINK("https://www.philgeps.gov.ph/GEPSNONPILOT/Tender/SplashBidNoticeAbstractUI.aspx?menuIndex=3&amp;refID=7124816&amp;Result=3","7124816")</f>
        <v>0</v>
      </c>
      <c r="B14568" t="s">
        <v>3413</v>
      </c>
      <c r="C14568" t="s">
        <v>17685</v>
      </c>
      <c r="D14568" t="s">
        <v>19055</v>
      </c>
      <c r="E14568" t="s">
        <v>31590</v>
      </c>
      <c r="F14568" t="s">
        <v>32831</v>
      </c>
      <c r="G14568" t="s">
        <v>32839</v>
      </c>
      <c r="H14568" t="s">
        <v>32849</v>
      </c>
      <c r="I14568" t="s">
        <v>4177</v>
      </c>
      <c r="J14568" t="s">
        <v>41879</v>
      </c>
      <c r="K14568" t="s">
        <v>42757</v>
      </c>
      <c r="M14568" t="s">
        <v>46747</v>
      </c>
      <c r="N14568" t="s">
        <v>47424</v>
      </c>
      <c r="O14568" t="s">
        <v>47425</v>
      </c>
      <c r="P14568">
        <v>0</v>
      </c>
      <c r="Q14568">
        <v>2</v>
      </c>
      <c r="R14568" t="s">
        <v>47446</v>
      </c>
      <c r="S14568" t="s">
        <v>48377</v>
      </c>
      <c r="T14568" t="s">
        <v>49123</v>
      </c>
      <c r="U14568" t="s">
        <v>61521</v>
      </c>
      <c r="V14568" t="s">
        <v>63898</v>
      </c>
      <c r="W14568" t="s">
        <v>46747</v>
      </c>
      <c r="X14568" t="s">
        <v>47447</v>
      </c>
    </row>
    <row r="14569" spans="1:24">
      <c r="A14569">
        <f>HYPERLINK("https://www.philgeps.gov.ph/GEPSNONPILOT/Tender/SplashBidNoticeAbstractUI.aspx?menuIndex=3&amp;refID=7124811&amp;Result=3","7124811")</f>
        <v>0</v>
      </c>
      <c r="B14569" t="s">
        <v>632</v>
      </c>
      <c r="C14569" t="s">
        <v>17686</v>
      </c>
      <c r="D14569" t="s">
        <v>19058</v>
      </c>
      <c r="E14569" t="s">
        <v>31591</v>
      </c>
      <c r="F14569" t="s">
        <v>32831</v>
      </c>
      <c r="G14569" t="s">
        <v>32839</v>
      </c>
      <c r="H14569" t="s">
        <v>32848</v>
      </c>
      <c r="I14569" t="s">
        <v>7416</v>
      </c>
      <c r="J14569" t="s">
        <v>41880</v>
      </c>
      <c r="K14569" t="s">
        <v>42726</v>
      </c>
      <c r="M14569" t="s">
        <v>43649</v>
      </c>
      <c r="N14569" t="s">
        <v>47424</v>
      </c>
      <c r="O14569" t="s">
        <v>47425</v>
      </c>
      <c r="P14569">
        <v>0</v>
      </c>
      <c r="Q14569">
        <v>0</v>
      </c>
      <c r="R14569" t="s">
        <v>47446</v>
      </c>
      <c r="S14569" t="s">
        <v>48377</v>
      </c>
      <c r="T14569" t="s">
        <v>49243</v>
      </c>
      <c r="U14569" t="s">
        <v>61522</v>
      </c>
      <c r="W14569" t="s">
        <v>43649</v>
      </c>
      <c r="X14569" t="s">
        <v>47447</v>
      </c>
    </row>
    <row r="14570" spans="1:24">
      <c r="A14570">
        <f>HYPERLINK("https://www.philgeps.gov.ph/GEPSNONPILOT/Tender/SplashBidNoticeAbstractUI.aspx?menuIndex=3&amp;refID=7123844&amp;Result=3","7123844")</f>
        <v>0</v>
      </c>
      <c r="B14570" t="s">
        <v>2999</v>
      </c>
      <c r="C14570" t="s">
        <v>17687</v>
      </c>
      <c r="D14570" t="s">
        <v>19080</v>
      </c>
      <c r="E14570" t="s">
        <v>27322</v>
      </c>
      <c r="F14570" t="s">
        <v>32831</v>
      </c>
      <c r="G14570" t="s">
        <v>32839</v>
      </c>
      <c r="H14570" t="s">
        <v>32849</v>
      </c>
      <c r="I14570" t="s">
        <v>4177</v>
      </c>
      <c r="J14570" t="s">
        <v>41881</v>
      </c>
      <c r="K14570" t="s">
        <v>42747</v>
      </c>
      <c r="M14570" t="s">
        <v>46266</v>
      </c>
      <c r="N14570" t="s">
        <v>47424</v>
      </c>
      <c r="O14570" t="s">
        <v>47425</v>
      </c>
      <c r="P14570">
        <v>0</v>
      </c>
      <c r="Q14570">
        <v>2</v>
      </c>
      <c r="R14570" t="s">
        <v>47446</v>
      </c>
      <c r="S14570" t="s">
        <v>48377</v>
      </c>
      <c r="T14570" t="s">
        <v>49173</v>
      </c>
      <c r="U14570" t="s">
        <v>61523</v>
      </c>
      <c r="W14570" t="s">
        <v>46266</v>
      </c>
      <c r="X14570" t="s">
        <v>47447</v>
      </c>
    </row>
    <row r="14571" spans="1:24">
      <c r="A14571">
        <f>HYPERLINK("https://www.philgeps.gov.ph/GEPSNONPILOT/Tender/SplashBidNoticeAbstractUI.aspx?menuIndex=3&amp;refID=7123480&amp;Result=3","7123480")</f>
        <v>0</v>
      </c>
      <c r="B14571" t="s">
        <v>1769</v>
      </c>
      <c r="C14571" t="s">
        <v>17688</v>
      </c>
      <c r="D14571" t="s">
        <v>19035</v>
      </c>
      <c r="E14571" t="s">
        <v>31592</v>
      </c>
      <c r="F14571" t="s">
        <v>32831</v>
      </c>
      <c r="G14571" t="s">
        <v>32839</v>
      </c>
      <c r="H14571" t="s">
        <v>32849</v>
      </c>
      <c r="I14571" t="s">
        <v>4177</v>
      </c>
      <c r="J14571" t="s">
        <v>41882</v>
      </c>
      <c r="K14571" t="s">
        <v>42730</v>
      </c>
      <c r="M14571" t="s">
        <v>44894</v>
      </c>
      <c r="N14571" t="s">
        <v>47424</v>
      </c>
      <c r="O14571" t="s">
        <v>47425</v>
      </c>
      <c r="Q14571">
        <v>1</v>
      </c>
      <c r="R14571" t="s">
        <v>47446</v>
      </c>
      <c r="S14571" t="s">
        <v>48433</v>
      </c>
      <c r="T14571" t="s">
        <v>49162</v>
      </c>
      <c r="U14571" t="s">
        <v>61524</v>
      </c>
      <c r="V14571" t="s">
        <v>64291</v>
      </c>
      <c r="W14571" t="s">
        <v>44894</v>
      </c>
      <c r="X14571" t="s">
        <v>47447</v>
      </c>
    </row>
    <row r="14572" spans="1:24">
      <c r="A14572">
        <f>HYPERLINK("https://www.philgeps.gov.ph/GEPSNONPILOT/Tender/SplashBidNoticeAbstractUI.aspx?menuIndex=3&amp;refID=7124798&amp;Result=3","7124798")</f>
        <v>0</v>
      </c>
      <c r="B14572" t="s">
        <v>1684</v>
      </c>
      <c r="C14572" t="s">
        <v>17689</v>
      </c>
      <c r="D14572" t="s">
        <v>19022</v>
      </c>
      <c r="E14572" t="s">
        <v>31593</v>
      </c>
      <c r="F14572" t="s">
        <v>32831</v>
      </c>
      <c r="G14572" t="s">
        <v>32839</v>
      </c>
      <c r="H14572" t="s">
        <v>32848</v>
      </c>
      <c r="I14572" t="s">
        <v>32855</v>
      </c>
      <c r="J14572" t="s">
        <v>33024</v>
      </c>
      <c r="K14572" t="s">
        <v>42730</v>
      </c>
      <c r="M14572" t="s">
        <v>47257</v>
      </c>
      <c r="N14572" t="s">
        <v>47424</v>
      </c>
      <c r="O14572" t="s">
        <v>47425</v>
      </c>
      <c r="Q14572">
        <v>8</v>
      </c>
      <c r="R14572" t="s">
        <v>47446</v>
      </c>
      <c r="S14572" t="s">
        <v>48434</v>
      </c>
      <c r="T14572" t="s">
        <v>49111</v>
      </c>
      <c r="U14572" t="s">
        <v>61525</v>
      </c>
      <c r="W14572" t="s">
        <v>47257</v>
      </c>
      <c r="X14572" t="s">
        <v>47447</v>
      </c>
    </row>
    <row r="14573" spans="1:24">
      <c r="A14573">
        <f>HYPERLINK("https://www.philgeps.gov.ph/GEPSNONPILOT/Tender/SplashBidNoticeAbstractUI.aspx?menuIndex=3&amp;refID=7124797&amp;Result=3","7124797")</f>
        <v>0</v>
      </c>
      <c r="B14573" t="s">
        <v>81</v>
      </c>
      <c r="C14573" t="s">
        <v>17690</v>
      </c>
      <c r="D14573" t="s">
        <v>19023</v>
      </c>
      <c r="E14573" t="s">
        <v>31594</v>
      </c>
      <c r="F14573" t="s">
        <v>32831</v>
      </c>
      <c r="G14573" t="s">
        <v>32839</v>
      </c>
      <c r="H14573" t="s">
        <v>32848</v>
      </c>
      <c r="I14573" t="s">
        <v>7416</v>
      </c>
      <c r="J14573" t="s">
        <v>41883</v>
      </c>
      <c r="K14573" t="s">
        <v>42732</v>
      </c>
      <c r="M14573" t="s">
        <v>43078</v>
      </c>
      <c r="N14573" t="s">
        <v>47424</v>
      </c>
      <c r="O14573" t="s">
        <v>47425</v>
      </c>
      <c r="P14573">
        <v>0</v>
      </c>
      <c r="Q14573">
        <v>1</v>
      </c>
      <c r="R14573" t="s">
        <v>47446</v>
      </c>
      <c r="S14573" t="s">
        <v>48377</v>
      </c>
      <c r="T14573" t="s">
        <v>49214</v>
      </c>
      <c r="U14573" t="s">
        <v>61526</v>
      </c>
      <c r="W14573" t="s">
        <v>43078</v>
      </c>
      <c r="X14573" t="s">
        <v>47447</v>
      </c>
    </row>
    <row r="14574" spans="1:24">
      <c r="A14574">
        <f>HYPERLINK("https://www.philgeps.gov.ph/GEPSNONPILOT/Tender/SplashBidNoticeAbstractUI.aspx?menuIndex=3&amp;refID=7123622&amp;Result=3","7123622")</f>
        <v>0</v>
      </c>
      <c r="B14574" t="s">
        <v>1026</v>
      </c>
      <c r="C14574" t="s">
        <v>17691</v>
      </c>
      <c r="D14574" t="s">
        <v>19062</v>
      </c>
      <c r="E14574" t="s">
        <v>31595</v>
      </c>
      <c r="F14574" t="s">
        <v>32831</v>
      </c>
      <c r="G14574" t="s">
        <v>32839</v>
      </c>
      <c r="H14574" t="s">
        <v>32848</v>
      </c>
      <c r="I14574" t="s">
        <v>32874</v>
      </c>
      <c r="J14574" t="s">
        <v>41884</v>
      </c>
      <c r="K14574" t="s">
        <v>42763</v>
      </c>
      <c r="M14574" t="s">
        <v>44076</v>
      </c>
      <c r="N14574" t="s">
        <v>47424</v>
      </c>
      <c r="O14574" t="s">
        <v>47425</v>
      </c>
      <c r="Q14574">
        <v>26</v>
      </c>
      <c r="R14574" t="s">
        <v>47446</v>
      </c>
      <c r="S14574" t="s">
        <v>48435</v>
      </c>
      <c r="T14574" t="s">
        <v>49127</v>
      </c>
      <c r="U14574" t="s">
        <v>61527</v>
      </c>
      <c r="V14574" t="s">
        <v>63453</v>
      </c>
      <c r="W14574" t="s">
        <v>44076</v>
      </c>
      <c r="X14574" t="s">
        <v>47447</v>
      </c>
    </row>
    <row r="14575" spans="1:24">
      <c r="A14575">
        <f>HYPERLINK("https://www.philgeps.gov.ph/GEPSNONPILOT/Tender/SplashBidNoticeAbstractUI.aspx?menuIndex=3&amp;refID=7124780&amp;Result=3","7124780")</f>
        <v>0</v>
      </c>
      <c r="B14575" t="s">
        <v>301</v>
      </c>
      <c r="C14575" t="s">
        <v>17692</v>
      </c>
      <c r="D14575" t="s">
        <v>19048</v>
      </c>
      <c r="E14575" t="s">
        <v>31596</v>
      </c>
      <c r="F14575" t="s">
        <v>32831</v>
      </c>
      <c r="G14575" t="s">
        <v>32839</v>
      </c>
      <c r="H14575" t="s">
        <v>14069</v>
      </c>
      <c r="I14575" t="s">
        <v>14069</v>
      </c>
      <c r="J14575" t="s">
        <v>41885</v>
      </c>
      <c r="K14575" t="s">
        <v>42972</v>
      </c>
      <c r="M14575" t="s">
        <v>43302</v>
      </c>
      <c r="N14575" t="s">
        <v>47424</v>
      </c>
      <c r="O14575" t="s">
        <v>47425</v>
      </c>
      <c r="P14575">
        <v>0</v>
      </c>
      <c r="Q14575">
        <v>7</v>
      </c>
      <c r="R14575" t="s">
        <v>47446</v>
      </c>
      <c r="S14575" t="s">
        <v>48377</v>
      </c>
      <c r="T14575" t="s">
        <v>49080</v>
      </c>
      <c r="U14575" t="s">
        <v>61499</v>
      </c>
      <c r="W14575" t="s">
        <v>43302</v>
      </c>
      <c r="X14575" t="s">
        <v>47447</v>
      </c>
    </row>
    <row r="14576" spans="1:24">
      <c r="A14576">
        <f>HYPERLINK("https://www.philgeps.gov.ph/GEPSNONPILOT/Tender/SplashBidNoticeAbstractUI.aspx?menuIndex=3&amp;refID=7124778&amp;Result=3","7124778")</f>
        <v>0</v>
      </c>
      <c r="B14576" t="s">
        <v>2215</v>
      </c>
      <c r="C14576" t="s">
        <v>17693</v>
      </c>
      <c r="D14576" t="s">
        <v>19077</v>
      </c>
      <c r="E14576" t="s">
        <v>31597</v>
      </c>
      <c r="F14576" t="s">
        <v>32831</v>
      </c>
      <c r="G14576" t="s">
        <v>32839</v>
      </c>
      <c r="H14576" t="s">
        <v>32849</v>
      </c>
      <c r="I14576" t="s">
        <v>4177</v>
      </c>
      <c r="J14576" t="s">
        <v>41689</v>
      </c>
      <c r="K14576" t="s">
        <v>42915</v>
      </c>
      <c r="M14576" t="s">
        <v>45395</v>
      </c>
      <c r="N14576" t="s">
        <v>47424</v>
      </c>
      <c r="O14576" t="s">
        <v>47425</v>
      </c>
      <c r="Q14576">
        <v>5</v>
      </c>
      <c r="R14576" t="s">
        <v>47446</v>
      </c>
      <c r="S14576" t="s">
        <v>48436</v>
      </c>
      <c r="T14576" t="s">
        <v>49111</v>
      </c>
      <c r="U14576" t="s">
        <v>61277</v>
      </c>
      <c r="W14576" t="s">
        <v>45395</v>
      </c>
      <c r="X14576" t="s">
        <v>47447</v>
      </c>
    </row>
    <row r="14577" spans="1:24">
      <c r="A14577">
        <f>HYPERLINK("https://www.philgeps.gov.ph/GEPSNONPILOT/Tender/SplashBidNoticeAbstractUI.aspx?menuIndex=3&amp;refID=7124790&amp;Result=3","7124790")</f>
        <v>0</v>
      </c>
      <c r="B14577" t="s">
        <v>3530</v>
      </c>
      <c r="C14577" t="s">
        <v>17694</v>
      </c>
      <c r="D14577" t="s">
        <v>19101</v>
      </c>
      <c r="E14577" t="s">
        <v>31598</v>
      </c>
      <c r="F14577" t="s">
        <v>32831</v>
      </c>
      <c r="G14577" t="s">
        <v>32839</v>
      </c>
      <c r="H14577" t="s">
        <v>32848</v>
      </c>
      <c r="I14577" t="s">
        <v>11727</v>
      </c>
      <c r="J14577" t="s">
        <v>39838</v>
      </c>
      <c r="K14577" t="s">
        <v>42731</v>
      </c>
      <c r="M14577" t="s">
        <v>46881</v>
      </c>
      <c r="N14577" t="s">
        <v>47424</v>
      </c>
      <c r="O14577" t="s">
        <v>47425</v>
      </c>
      <c r="P14577">
        <v>0</v>
      </c>
      <c r="Q14577">
        <v>0</v>
      </c>
      <c r="R14577" t="s">
        <v>47446</v>
      </c>
      <c r="S14577" t="s">
        <v>48377</v>
      </c>
      <c r="T14577" t="s">
        <v>49166</v>
      </c>
      <c r="U14577" t="s">
        <v>61528</v>
      </c>
      <c r="V14577" t="s">
        <v>64270</v>
      </c>
      <c r="W14577" t="s">
        <v>46881</v>
      </c>
      <c r="X14577" t="s">
        <v>47447</v>
      </c>
    </row>
    <row r="14578" spans="1:24">
      <c r="A14578">
        <f>HYPERLINK("https://www.philgeps.gov.ph/GEPSNONPILOT/Tender/SplashBidNoticeAbstractUI.aspx?menuIndex=3&amp;refID=7124802&amp;Result=3","7124802")</f>
        <v>0</v>
      </c>
      <c r="B14578" t="s">
        <v>2215</v>
      </c>
      <c r="C14578" t="s">
        <v>17695</v>
      </c>
      <c r="D14578" t="s">
        <v>19077</v>
      </c>
      <c r="E14578" t="s">
        <v>31599</v>
      </c>
      <c r="F14578" t="s">
        <v>32831</v>
      </c>
      <c r="G14578" t="s">
        <v>32839</v>
      </c>
      <c r="H14578" t="s">
        <v>32849</v>
      </c>
      <c r="I14578" t="s">
        <v>4177</v>
      </c>
      <c r="J14578" t="s">
        <v>41886</v>
      </c>
      <c r="K14578" t="s">
        <v>42913</v>
      </c>
      <c r="M14578" t="s">
        <v>45395</v>
      </c>
      <c r="N14578" t="s">
        <v>47424</v>
      </c>
      <c r="O14578" t="s">
        <v>47425</v>
      </c>
      <c r="Q14578">
        <v>4</v>
      </c>
      <c r="R14578" t="s">
        <v>47446</v>
      </c>
      <c r="S14578" t="s">
        <v>48437</v>
      </c>
      <c r="T14578" t="s">
        <v>49111</v>
      </c>
      <c r="U14578" t="s">
        <v>61529</v>
      </c>
      <c r="W14578" t="s">
        <v>45395</v>
      </c>
      <c r="X14578" t="s">
        <v>47447</v>
      </c>
    </row>
    <row r="14579" spans="1:24">
      <c r="A14579">
        <f>HYPERLINK("https://www.philgeps.gov.ph/GEPSNONPILOT/Tender/SplashBidNoticeAbstractUI.aspx?menuIndex=3&amp;refID=7124747&amp;Result=3","7124747")</f>
        <v>0</v>
      </c>
      <c r="B14579" t="s">
        <v>49</v>
      </c>
      <c r="C14579" t="s">
        <v>17696</v>
      </c>
      <c r="D14579" t="s">
        <v>19037</v>
      </c>
      <c r="E14579" t="s">
        <v>31600</v>
      </c>
      <c r="F14579" t="s">
        <v>32831</v>
      </c>
      <c r="G14579" t="s">
        <v>32839</v>
      </c>
      <c r="H14579" t="s">
        <v>32848</v>
      </c>
      <c r="I14579" t="s">
        <v>4776</v>
      </c>
      <c r="J14579" t="s">
        <v>41887</v>
      </c>
      <c r="K14579" t="s">
        <v>42730</v>
      </c>
      <c r="M14579" t="s">
        <v>46884</v>
      </c>
      <c r="N14579" t="s">
        <v>47424</v>
      </c>
      <c r="O14579" t="s">
        <v>47425</v>
      </c>
      <c r="Q14579">
        <v>0</v>
      </c>
      <c r="R14579" t="s">
        <v>47446</v>
      </c>
      <c r="S14579" t="s">
        <v>48438</v>
      </c>
      <c r="T14579" t="s">
        <v>49166</v>
      </c>
      <c r="U14579" t="s">
        <v>61530</v>
      </c>
      <c r="V14579" t="s">
        <v>62833</v>
      </c>
      <c r="W14579" t="s">
        <v>46884</v>
      </c>
      <c r="X14579" t="s">
        <v>47447</v>
      </c>
    </row>
    <row r="14580" spans="1:24">
      <c r="A14580">
        <f>HYPERLINK("https://www.philgeps.gov.ph/GEPSNONPILOT/Tender/SplashBidNoticeAbstractUI.aspx?menuIndex=3&amp;refID=7124805&amp;Result=3","7124805")</f>
        <v>0</v>
      </c>
      <c r="B14580" t="s">
        <v>623</v>
      </c>
      <c r="C14580" t="s">
        <v>17697</v>
      </c>
      <c r="D14580" t="s">
        <v>19042</v>
      </c>
      <c r="E14580" t="s">
        <v>31601</v>
      </c>
      <c r="F14580" t="s">
        <v>32831</v>
      </c>
      <c r="G14580" t="s">
        <v>32839</v>
      </c>
      <c r="H14580" t="s">
        <v>32849</v>
      </c>
      <c r="I14580" t="s">
        <v>4177</v>
      </c>
      <c r="J14580" t="s">
        <v>41888</v>
      </c>
      <c r="K14580" t="s">
        <v>42977</v>
      </c>
      <c r="M14580" t="s">
        <v>43639</v>
      </c>
      <c r="N14580" t="s">
        <v>47424</v>
      </c>
      <c r="O14580" t="s">
        <v>47425</v>
      </c>
      <c r="P14580">
        <v>0</v>
      </c>
      <c r="Q14580">
        <v>1</v>
      </c>
      <c r="R14580" t="s">
        <v>47446</v>
      </c>
      <c r="S14580" t="s">
        <v>48377</v>
      </c>
      <c r="T14580" t="s">
        <v>49166</v>
      </c>
      <c r="U14580" t="s">
        <v>61531</v>
      </c>
      <c r="W14580" t="s">
        <v>43639</v>
      </c>
      <c r="X14580" t="s">
        <v>47447</v>
      </c>
    </row>
    <row r="14581" spans="1:24">
      <c r="A14581">
        <f>HYPERLINK("https://www.philgeps.gov.ph/GEPSNONPILOT/Tender/SplashBidNoticeAbstractUI.aspx?menuIndex=3&amp;refID=7124751&amp;Result=3","7124751")</f>
        <v>0</v>
      </c>
      <c r="B14581" t="s">
        <v>3820</v>
      </c>
      <c r="C14581" t="s">
        <v>17698</v>
      </c>
      <c r="D14581" t="s">
        <v>19017</v>
      </c>
      <c r="E14581" t="s">
        <v>26957</v>
      </c>
      <c r="F14581" t="s">
        <v>32833</v>
      </c>
      <c r="G14581" t="s">
        <v>32839</v>
      </c>
      <c r="H14581" t="s">
        <v>32848</v>
      </c>
      <c r="I14581" t="s">
        <v>32861</v>
      </c>
      <c r="J14581" t="s">
        <v>32983</v>
      </c>
      <c r="K14581" t="s">
        <v>42727</v>
      </c>
      <c r="M14581" t="s">
        <v>47242</v>
      </c>
      <c r="N14581" t="s">
        <v>47424</v>
      </c>
      <c r="O14581" t="s">
        <v>47425</v>
      </c>
      <c r="P14581">
        <v>0</v>
      </c>
      <c r="Q14581">
        <v>4</v>
      </c>
      <c r="R14581" t="s">
        <v>47446</v>
      </c>
      <c r="S14581" t="s">
        <v>48377</v>
      </c>
      <c r="T14581" t="s">
        <v>49330</v>
      </c>
      <c r="U14581" t="s">
        <v>61532</v>
      </c>
      <c r="W14581" t="s">
        <v>47242</v>
      </c>
      <c r="X14581" t="s">
        <v>47447</v>
      </c>
    </row>
    <row r="14582" spans="1:24">
      <c r="A14582">
        <f>HYPERLINK("https://www.philgeps.gov.ph/GEPSNONPILOT/Tender/SplashBidNoticeAbstractUI.aspx?menuIndex=3&amp;refID=7124709&amp;Result=3","7124709")</f>
        <v>0</v>
      </c>
      <c r="B14582" t="s">
        <v>1740</v>
      </c>
      <c r="C14582" t="s">
        <v>17699</v>
      </c>
      <c r="D14582" t="s">
        <v>19068</v>
      </c>
      <c r="E14582" t="s">
        <v>31602</v>
      </c>
      <c r="F14582" t="s">
        <v>32831</v>
      </c>
      <c r="G14582" t="s">
        <v>32839</v>
      </c>
      <c r="H14582" t="s">
        <v>32848</v>
      </c>
      <c r="I14582" t="s">
        <v>11484</v>
      </c>
      <c r="J14582" t="s">
        <v>36193</v>
      </c>
      <c r="K14582" t="s">
        <v>42727</v>
      </c>
      <c r="M14582" t="s">
        <v>44863</v>
      </c>
      <c r="N14582" t="s">
        <v>47424</v>
      </c>
      <c r="O14582" t="s">
        <v>47425</v>
      </c>
      <c r="P14582">
        <v>0</v>
      </c>
      <c r="Q14582">
        <v>1</v>
      </c>
      <c r="R14582" t="s">
        <v>47446</v>
      </c>
      <c r="S14582" t="s">
        <v>48377</v>
      </c>
      <c r="T14582" t="s">
        <v>49162</v>
      </c>
      <c r="U14582" t="s">
        <v>61533</v>
      </c>
      <c r="W14582" t="s">
        <v>44863</v>
      </c>
      <c r="X14582" t="s">
        <v>47447</v>
      </c>
    </row>
    <row r="14583" spans="1:24">
      <c r="A14583">
        <f>HYPERLINK("https://www.philgeps.gov.ph/GEPSNONPILOT/Tender/SplashBidNoticeAbstractUI.aspx?menuIndex=3&amp;refID=7124792&amp;Result=3","7124792")</f>
        <v>0</v>
      </c>
      <c r="B14583" t="s">
        <v>3820</v>
      </c>
      <c r="C14583" t="s">
        <v>17700</v>
      </c>
      <c r="D14583" t="s">
        <v>19017</v>
      </c>
      <c r="E14583" t="s">
        <v>31603</v>
      </c>
      <c r="F14583" t="s">
        <v>32833</v>
      </c>
      <c r="G14583" t="s">
        <v>32839</v>
      </c>
      <c r="H14583" t="s">
        <v>32848</v>
      </c>
      <c r="I14583" t="s">
        <v>32854</v>
      </c>
      <c r="J14583" t="s">
        <v>35998</v>
      </c>
      <c r="K14583" t="s">
        <v>42727</v>
      </c>
      <c r="M14583" t="s">
        <v>47242</v>
      </c>
      <c r="N14583" t="s">
        <v>47424</v>
      </c>
      <c r="O14583" t="s">
        <v>47425</v>
      </c>
      <c r="P14583">
        <v>0</v>
      </c>
      <c r="Q14583">
        <v>5</v>
      </c>
      <c r="R14583" t="s">
        <v>47446</v>
      </c>
      <c r="S14583" t="s">
        <v>48377</v>
      </c>
      <c r="T14583" t="s">
        <v>49656</v>
      </c>
      <c r="U14583" t="s">
        <v>61534</v>
      </c>
      <c r="W14583" t="s">
        <v>47242</v>
      </c>
      <c r="X14583" t="s">
        <v>47447</v>
      </c>
    </row>
    <row r="14584" spans="1:24">
      <c r="A14584">
        <f>HYPERLINK("https://www.philgeps.gov.ph/GEPSNONPILOT/Tender/SplashBidNoticeAbstractUI.aspx?menuIndex=3&amp;refID=7124907&amp;Result=3","7124907")</f>
        <v>0</v>
      </c>
      <c r="B14584" t="s">
        <v>645</v>
      </c>
      <c r="C14584" t="s">
        <v>17701</v>
      </c>
      <c r="D14584" t="s">
        <v>19037</v>
      </c>
      <c r="E14584" t="s">
        <v>31604</v>
      </c>
      <c r="F14584" t="s">
        <v>32831</v>
      </c>
      <c r="G14584" t="s">
        <v>32839</v>
      </c>
      <c r="H14584" t="s">
        <v>32848</v>
      </c>
      <c r="I14584" t="s">
        <v>32871</v>
      </c>
      <c r="J14584" t="s">
        <v>41889</v>
      </c>
      <c r="K14584" t="s">
        <v>42732</v>
      </c>
      <c r="M14584" t="s">
        <v>43662</v>
      </c>
      <c r="N14584" t="s">
        <v>47424</v>
      </c>
      <c r="O14584" t="s">
        <v>47425</v>
      </c>
      <c r="Q14584">
        <v>31</v>
      </c>
      <c r="R14584" t="s">
        <v>47446</v>
      </c>
      <c r="S14584" t="s">
        <v>48439</v>
      </c>
      <c r="T14584" t="s">
        <v>49239</v>
      </c>
      <c r="U14584" t="s">
        <v>61535</v>
      </c>
      <c r="W14584" t="s">
        <v>43662</v>
      </c>
      <c r="X14584" t="s">
        <v>47447</v>
      </c>
    </row>
    <row r="14585" spans="1:24">
      <c r="A14585">
        <f>HYPERLINK("https://www.philgeps.gov.ph/GEPSNONPILOT/Tender/SplashBidNoticeAbstractUI.aspx?menuIndex=3&amp;refID=7124906&amp;Result=3","7124906")</f>
        <v>0</v>
      </c>
      <c r="B14585" t="s">
        <v>623</v>
      </c>
      <c r="C14585" t="s">
        <v>17702</v>
      </c>
      <c r="D14585" t="s">
        <v>19042</v>
      </c>
      <c r="E14585" t="s">
        <v>31605</v>
      </c>
      <c r="F14585" t="s">
        <v>32831</v>
      </c>
      <c r="G14585" t="s">
        <v>32839</v>
      </c>
      <c r="H14585" t="s">
        <v>32849</v>
      </c>
      <c r="I14585" t="s">
        <v>4177</v>
      </c>
      <c r="J14585" t="s">
        <v>41888</v>
      </c>
      <c r="K14585" t="s">
        <v>42977</v>
      </c>
      <c r="M14585" t="s">
        <v>43639</v>
      </c>
      <c r="N14585" t="s">
        <v>47424</v>
      </c>
      <c r="O14585" t="s">
        <v>47425</v>
      </c>
      <c r="P14585">
        <v>0</v>
      </c>
      <c r="Q14585">
        <v>1</v>
      </c>
      <c r="R14585" t="s">
        <v>47446</v>
      </c>
      <c r="S14585" t="s">
        <v>48377</v>
      </c>
      <c r="T14585" t="s">
        <v>49166</v>
      </c>
      <c r="U14585" t="s">
        <v>61536</v>
      </c>
      <c r="W14585" t="s">
        <v>43639</v>
      </c>
      <c r="X14585" t="s">
        <v>47447</v>
      </c>
    </row>
    <row r="14586" spans="1:24">
      <c r="A14586">
        <f>HYPERLINK("https://www.philgeps.gov.ph/GEPSNONPILOT/Tender/SplashBidNoticeAbstractUI.aspx?menuIndex=3&amp;refID=7124711&amp;Result=3","7124711")</f>
        <v>0</v>
      </c>
      <c r="B14586" t="s">
        <v>2880</v>
      </c>
      <c r="C14586" t="s">
        <v>17703</v>
      </c>
      <c r="D14586" t="s">
        <v>19061</v>
      </c>
      <c r="E14586" t="s">
        <v>31606</v>
      </c>
      <c r="F14586" t="s">
        <v>32831</v>
      </c>
      <c r="G14586" t="s">
        <v>32839</v>
      </c>
      <c r="H14586" t="s">
        <v>32850</v>
      </c>
      <c r="I14586" t="s">
        <v>5667</v>
      </c>
      <c r="J14586" t="s">
        <v>41890</v>
      </c>
      <c r="K14586" t="s">
        <v>42775</v>
      </c>
      <c r="M14586" t="s">
        <v>46117</v>
      </c>
      <c r="N14586" t="s">
        <v>47424</v>
      </c>
      <c r="O14586" t="s">
        <v>47425</v>
      </c>
      <c r="Q14586">
        <v>2</v>
      </c>
      <c r="R14586" t="s">
        <v>47446</v>
      </c>
      <c r="S14586" t="s">
        <v>48440</v>
      </c>
      <c r="T14586" t="s">
        <v>49111</v>
      </c>
      <c r="U14586" t="s">
        <v>61537</v>
      </c>
      <c r="W14586" t="s">
        <v>46117</v>
      </c>
      <c r="X14586" t="s">
        <v>47447</v>
      </c>
    </row>
    <row r="14587" spans="1:24">
      <c r="A14587">
        <f>HYPERLINK("https://www.philgeps.gov.ph/GEPSNONPILOT/Tender/SplashBidNoticeAbstractUI.aspx?menuIndex=3&amp;refID=7124741&amp;Result=3","7124741")</f>
        <v>0</v>
      </c>
      <c r="B14587" t="s">
        <v>81</v>
      </c>
      <c r="C14587" t="s">
        <v>17704</v>
      </c>
      <c r="D14587" t="s">
        <v>19023</v>
      </c>
      <c r="E14587" t="s">
        <v>31607</v>
      </c>
      <c r="F14587" t="s">
        <v>32831</v>
      </c>
      <c r="G14587" t="s">
        <v>32839</v>
      </c>
      <c r="H14587" t="s">
        <v>32848</v>
      </c>
      <c r="I14587" t="s">
        <v>32857</v>
      </c>
      <c r="J14587" t="s">
        <v>41891</v>
      </c>
      <c r="K14587" t="s">
        <v>42732</v>
      </c>
      <c r="M14587" t="s">
        <v>43078</v>
      </c>
      <c r="N14587" t="s">
        <v>47424</v>
      </c>
      <c r="O14587" t="s">
        <v>47425</v>
      </c>
      <c r="P14587">
        <v>0</v>
      </c>
      <c r="Q14587">
        <v>2</v>
      </c>
      <c r="R14587" t="s">
        <v>47446</v>
      </c>
      <c r="S14587" t="s">
        <v>48377</v>
      </c>
      <c r="T14587" t="s">
        <v>49214</v>
      </c>
      <c r="U14587" t="s">
        <v>61538</v>
      </c>
      <c r="W14587" t="s">
        <v>43078</v>
      </c>
      <c r="X14587" t="s">
        <v>47447</v>
      </c>
    </row>
    <row r="14588" spans="1:24">
      <c r="A14588">
        <f>HYPERLINK("https://www.philgeps.gov.ph/GEPSNONPILOT/Tender/SplashBidNoticeAbstractUI.aspx?menuIndex=3&amp;refID=7124893&amp;Result=3","7124893")</f>
        <v>0</v>
      </c>
      <c r="B14588" t="s">
        <v>81</v>
      </c>
      <c r="C14588" t="s">
        <v>17705</v>
      </c>
      <c r="D14588" t="s">
        <v>19023</v>
      </c>
      <c r="E14588" t="s">
        <v>31608</v>
      </c>
      <c r="F14588" t="s">
        <v>32831</v>
      </c>
      <c r="G14588" t="s">
        <v>32839</v>
      </c>
      <c r="H14588" t="s">
        <v>32848</v>
      </c>
      <c r="I14588" t="s">
        <v>32856</v>
      </c>
      <c r="J14588" t="s">
        <v>41892</v>
      </c>
      <c r="K14588" t="s">
        <v>42732</v>
      </c>
      <c r="M14588" t="s">
        <v>43078</v>
      </c>
      <c r="N14588" t="s">
        <v>47424</v>
      </c>
      <c r="O14588" t="s">
        <v>47425</v>
      </c>
      <c r="P14588">
        <v>0</v>
      </c>
      <c r="Q14588">
        <v>6</v>
      </c>
      <c r="R14588" t="s">
        <v>47446</v>
      </c>
      <c r="S14588" t="s">
        <v>48377</v>
      </c>
      <c r="T14588" t="s">
        <v>49214</v>
      </c>
      <c r="U14588" t="s">
        <v>61539</v>
      </c>
      <c r="W14588" t="s">
        <v>43078</v>
      </c>
      <c r="X14588" t="s">
        <v>47447</v>
      </c>
    </row>
    <row r="14589" spans="1:24">
      <c r="A14589">
        <f>HYPERLINK("https://www.philgeps.gov.ph/GEPSNONPILOT/Tender/SplashBidNoticeAbstractUI.aspx?menuIndex=3&amp;refID=7124890&amp;Result=3","7124890")</f>
        <v>0</v>
      </c>
      <c r="B14589" t="s">
        <v>3831</v>
      </c>
      <c r="C14589" t="s">
        <v>17706</v>
      </c>
      <c r="D14589" t="s">
        <v>19044</v>
      </c>
      <c r="E14589" t="s">
        <v>27322</v>
      </c>
      <c r="F14589" t="s">
        <v>32831</v>
      </c>
      <c r="G14589" t="s">
        <v>32839</v>
      </c>
      <c r="H14589" t="s">
        <v>32848</v>
      </c>
      <c r="I14589" t="s">
        <v>4776</v>
      </c>
      <c r="J14589" t="s">
        <v>33465</v>
      </c>
      <c r="K14589" t="s">
        <v>42730</v>
      </c>
      <c r="L14589" t="s">
        <v>3831</v>
      </c>
      <c r="M14589" t="s">
        <v>47255</v>
      </c>
      <c r="N14589" t="s">
        <v>47424</v>
      </c>
      <c r="O14589" t="s">
        <v>47425</v>
      </c>
      <c r="Q14589">
        <v>9</v>
      </c>
      <c r="R14589" t="s">
        <v>47446</v>
      </c>
      <c r="S14589" t="s">
        <v>48441</v>
      </c>
      <c r="T14589" t="s">
        <v>49466</v>
      </c>
      <c r="U14589" t="s">
        <v>61540</v>
      </c>
      <c r="V14589" t="s">
        <v>64289</v>
      </c>
      <c r="W14589" t="s">
        <v>47255</v>
      </c>
      <c r="X14589" t="s">
        <v>47447</v>
      </c>
    </row>
    <row r="14590" spans="1:24">
      <c r="A14590">
        <f>HYPERLINK("https://www.philgeps.gov.ph/GEPSNONPILOT/Tender/SplashBidNoticeAbstractUI.aspx?menuIndex=3&amp;refID=7124888&amp;Result=3","7124888")</f>
        <v>0</v>
      </c>
      <c r="B14590" t="s">
        <v>1414</v>
      </c>
      <c r="C14590" t="s">
        <v>17707</v>
      </c>
      <c r="D14590" t="s">
        <v>19030</v>
      </c>
      <c r="E14590" t="s">
        <v>31609</v>
      </c>
      <c r="F14590" t="s">
        <v>32831</v>
      </c>
      <c r="G14590" t="s">
        <v>32839</v>
      </c>
      <c r="H14590" t="s">
        <v>32849</v>
      </c>
      <c r="I14590" t="s">
        <v>4177</v>
      </c>
      <c r="J14590" t="s">
        <v>41893</v>
      </c>
      <c r="K14590" t="s">
        <v>42729</v>
      </c>
      <c r="M14590" t="s">
        <v>44502</v>
      </c>
      <c r="N14590" t="s">
        <v>47424</v>
      </c>
      <c r="O14590" t="s">
        <v>47425</v>
      </c>
      <c r="P14590">
        <v>0</v>
      </c>
      <c r="Q14590">
        <v>0</v>
      </c>
      <c r="R14590" t="s">
        <v>47446</v>
      </c>
      <c r="S14590" t="s">
        <v>48377</v>
      </c>
      <c r="T14590" t="s">
        <v>49177</v>
      </c>
      <c r="U14590" t="s">
        <v>61541</v>
      </c>
      <c r="W14590" t="s">
        <v>44502</v>
      </c>
      <c r="X14590" t="s">
        <v>47447</v>
      </c>
    </row>
    <row r="14591" spans="1:24">
      <c r="A14591">
        <f>HYPERLINK("https://www.philgeps.gov.ph/GEPSNONPILOT/Tender/SplashBidNoticeAbstractUI.aspx?menuIndex=3&amp;refID=7124875&amp;Result=3","7124875")</f>
        <v>0</v>
      </c>
      <c r="B14591" t="s">
        <v>815</v>
      </c>
      <c r="C14591" t="s">
        <v>17708</v>
      </c>
      <c r="D14591" t="s">
        <v>19033</v>
      </c>
      <c r="E14591" t="s">
        <v>31610</v>
      </c>
      <c r="F14591" t="s">
        <v>32831</v>
      </c>
      <c r="G14591" t="s">
        <v>32839</v>
      </c>
      <c r="H14591" t="s">
        <v>32849</v>
      </c>
      <c r="I14591" t="s">
        <v>7416</v>
      </c>
      <c r="J14591" t="s">
        <v>41894</v>
      </c>
      <c r="K14591" t="s">
        <v>42836</v>
      </c>
      <c r="M14591" t="s">
        <v>43846</v>
      </c>
      <c r="N14591" t="s">
        <v>47424</v>
      </c>
      <c r="O14591" t="s">
        <v>47425</v>
      </c>
      <c r="P14591">
        <v>0</v>
      </c>
      <c r="Q14591">
        <v>1</v>
      </c>
      <c r="R14591" t="s">
        <v>47446</v>
      </c>
      <c r="S14591" t="s">
        <v>48377</v>
      </c>
      <c r="T14591" t="s">
        <v>49212</v>
      </c>
      <c r="U14591" t="s">
        <v>61542</v>
      </c>
      <c r="W14591" t="s">
        <v>43846</v>
      </c>
      <c r="X14591" t="s">
        <v>47447</v>
      </c>
    </row>
    <row r="14592" spans="1:24">
      <c r="A14592">
        <f>HYPERLINK("https://www.philgeps.gov.ph/GEPSNONPILOT/Tender/SplashBidNoticeAbstractUI.aspx?menuIndex=3&amp;refID=7124882&amp;Result=3","7124882")</f>
        <v>0</v>
      </c>
      <c r="B14592" t="s">
        <v>1735</v>
      </c>
      <c r="C14592" t="s">
        <v>17709</v>
      </c>
      <c r="D14592" t="s">
        <v>19026</v>
      </c>
      <c r="E14592" t="s">
        <v>31611</v>
      </c>
      <c r="F14592" t="s">
        <v>32831</v>
      </c>
      <c r="G14592" t="s">
        <v>32839</v>
      </c>
      <c r="H14592" t="s">
        <v>32849</v>
      </c>
      <c r="I14592" t="s">
        <v>4177</v>
      </c>
      <c r="J14592" t="s">
        <v>41895</v>
      </c>
      <c r="K14592" t="s">
        <v>42878</v>
      </c>
      <c r="M14592" t="s">
        <v>44858</v>
      </c>
      <c r="N14592" t="s">
        <v>47424</v>
      </c>
      <c r="O14592" t="s">
        <v>47425</v>
      </c>
      <c r="Q14592">
        <v>31</v>
      </c>
      <c r="R14592" t="s">
        <v>47446</v>
      </c>
      <c r="S14592" t="s">
        <v>48442</v>
      </c>
      <c r="T14592" t="s">
        <v>49214</v>
      </c>
      <c r="U14592" t="s">
        <v>61543</v>
      </c>
      <c r="V14592" t="s">
        <v>63103</v>
      </c>
      <c r="W14592" t="s">
        <v>44858</v>
      </c>
      <c r="X14592" t="s">
        <v>47447</v>
      </c>
    </row>
    <row r="14593" spans="1:24">
      <c r="A14593">
        <f>HYPERLINK("https://www.philgeps.gov.ph/GEPSNONPILOT/Tender/SplashBidNoticeAbstractUI.aspx?menuIndex=3&amp;refID=7124871&amp;Result=3","7124871")</f>
        <v>0</v>
      </c>
      <c r="B14593" t="s">
        <v>1414</v>
      </c>
      <c r="C14593" t="s">
        <v>17710</v>
      </c>
      <c r="D14593" t="s">
        <v>19030</v>
      </c>
      <c r="E14593" t="s">
        <v>31609</v>
      </c>
      <c r="F14593" t="s">
        <v>32831</v>
      </c>
      <c r="G14593" t="s">
        <v>32839</v>
      </c>
      <c r="H14593" t="s">
        <v>32849</v>
      </c>
      <c r="I14593" t="s">
        <v>4177</v>
      </c>
      <c r="J14593" t="s">
        <v>41896</v>
      </c>
      <c r="K14593" t="s">
        <v>42728</v>
      </c>
      <c r="M14593" t="s">
        <v>44502</v>
      </c>
      <c r="N14593" t="s">
        <v>47424</v>
      </c>
      <c r="O14593" t="s">
        <v>47425</v>
      </c>
      <c r="P14593">
        <v>0</v>
      </c>
      <c r="Q14593">
        <v>0</v>
      </c>
      <c r="R14593" t="s">
        <v>47446</v>
      </c>
      <c r="S14593" t="s">
        <v>48377</v>
      </c>
      <c r="T14593" t="s">
        <v>49177</v>
      </c>
      <c r="U14593" t="s">
        <v>61541</v>
      </c>
      <c r="W14593" t="s">
        <v>44502</v>
      </c>
      <c r="X14593" t="s">
        <v>47447</v>
      </c>
    </row>
    <row r="14594" spans="1:24">
      <c r="A14594">
        <f>HYPERLINK("https://www.philgeps.gov.ph/GEPSNONPILOT/Tender/SplashBidNoticeAbstractUI.aspx?menuIndex=3&amp;refID=7124872&amp;Result=3","7124872")</f>
        <v>0</v>
      </c>
      <c r="B14594" t="s">
        <v>3523</v>
      </c>
      <c r="C14594" t="s">
        <v>17711</v>
      </c>
      <c r="D14594" t="s">
        <v>19083</v>
      </c>
      <c r="E14594" t="s">
        <v>31612</v>
      </c>
      <c r="F14594" t="s">
        <v>32831</v>
      </c>
      <c r="G14594" t="s">
        <v>32839</v>
      </c>
      <c r="H14594" t="s">
        <v>32849</v>
      </c>
      <c r="I14594" t="s">
        <v>4177</v>
      </c>
      <c r="J14594" t="s">
        <v>41897</v>
      </c>
      <c r="K14594" t="s">
        <v>42766</v>
      </c>
      <c r="M14594" t="s">
        <v>46874</v>
      </c>
      <c r="N14594" t="s">
        <v>47424</v>
      </c>
      <c r="O14594" t="s">
        <v>47425</v>
      </c>
      <c r="Q14594">
        <v>0</v>
      </c>
      <c r="R14594" t="s">
        <v>47446</v>
      </c>
      <c r="S14594" t="s">
        <v>48443</v>
      </c>
      <c r="T14594" t="s">
        <v>49239</v>
      </c>
      <c r="U14594" t="s">
        <v>61544</v>
      </c>
      <c r="W14594" t="s">
        <v>46874</v>
      </c>
      <c r="X14594" t="s">
        <v>47447</v>
      </c>
    </row>
    <row r="14595" spans="1:24">
      <c r="A14595">
        <f>HYPERLINK("https://www.philgeps.gov.ph/GEPSNONPILOT/Tender/SplashBidNoticeAbstractUI.aspx?menuIndex=3&amp;refID=7124837&amp;Result=3","7124837")</f>
        <v>0</v>
      </c>
      <c r="B14595" t="s">
        <v>2215</v>
      </c>
      <c r="C14595" t="s">
        <v>17712</v>
      </c>
      <c r="D14595" t="s">
        <v>19077</v>
      </c>
      <c r="E14595" t="s">
        <v>31613</v>
      </c>
      <c r="F14595" t="s">
        <v>32831</v>
      </c>
      <c r="G14595" t="s">
        <v>32839</v>
      </c>
      <c r="H14595" t="s">
        <v>32849</v>
      </c>
      <c r="I14595" t="s">
        <v>4177</v>
      </c>
      <c r="J14595" t="s">
        <v>41898</v>
      </c>
      <c r="K14595" t="s">
        <v>42931</v>
      </c>
      <c r="M14595" t="s">
        <v>45395</v>
      </c>
      <c r="N14595" t="s">
        <v>47424</v>
      </c>
      <c r="O14595" t="s">
        <v>47425</v>
      </c>
      <c r="Q14595">
        <v>2</v>
      </c>
      <c r="R14595" t="s">
        <v>47446</v>
      </c>
      <c r="S14595" t="s">
        <v>48444</v>
      </c>
      <c r="T14595" t="s">
        <v>49111</v>
      </c>
      <c r="U14595" t="s">
        <v>61545</v>
      </c>
      <c r="W14595" t="s">
        <v>45395</v>
      </c>
      <c r="X14595" t="s">
        <v>47447</v>
      </c>
    </row>
    <row r="14596" spans="1:24">
      <c r="A14596">
        <f>HYPERLINK("https://www.philgeps.gov.ph/GEPSNONPILOT/Tender/SplashBidNoticeAbstractUI.aspx?menuIndex=3&amp;refID=7124863&amp;Result=3","7124863")</f>
        <v>0</v>
      </c>
      <c r="B14596" t="s">
        <v>3567</v>
      </c>
      <c r="C14596" t="s">
        <v>17713</v>
      </c>
      <c r="D14596" t="s">
        <v>19044</v>
      </c>
      <c r="E14596" t="s">
        <v>19664</v>
      </c>
      <c r="F14596" t="s">
        <v>32831</v>
      </c>
      <c r="G14596" t="s">
        <v>32839</v>
      </c>
      <c r="H14596" t="s">
        <v>32849</v>
      </c>
      <c r="I14596" t="s">
        <v>4177</v>
      </c>
      <c r="J14596" t="s">
        <v>33311</v>
      </c>
      <c r="K14596" t="s">
        <v>42730</v>
      </c>
      <c r="L14596" t="s">
        <v>3567</v>
      </c>
      <c r="M14596" t="s">
        <v>46924</v>
      </c>
      <c r="N14596" t="s">
        <v>47424</v>
      </c>
      <c r="O14596" t="s">
        <v>47425</v>
      </c>
      <c r="P14596">
        <v>0</v>
      </c>
      <c r="Q14596">
        <v>1</v>
      </c>
      <c r="R14596" t="s">
        <v>47446</v>
      </c>
      <c r="S14596" t="s">
        <v>48377</v>
      </c>
      <c r="T14596" t="s">
        <v>49212</v>
      </c>
      <c r="U14596" t="s">
        <v>61546</v>
      </c>
      <c r="W14596" t="s">
        <v>46924</v>
      </c>
      <c r="X14596" t="s">
        <v>47447</v>
      </c>
    </row>
    <row r="14597" spans="1:24">
      <c r="A14597">
        <f>HYPERLINK("https://www.philgeps.gov.ph/GEPSNONPILOT/Tender/SplashBidNoticeAbstractUI.aspx?menuIndex=3&amp;refID=7132021&amp;Result=3","7132021")</f>
        <v>0</v>
      </c>
      <c r="B14597" t="s">
        <v>3756</v>
      </c>
      <c r="C14597" t="s">
        <v>17714</v>
      </c>
      <c r="D14597" t="s">
        <v>19023</v>
      </c>
      <c r="E14597" t="s">
        <v>31614</v>
      </c>
      <c r="F14597" t="s">
        <v>32832</v>
      </c>
      <c r="G14597" t="s">
        <v>32839</v>
      </c>
      <c r="H14597" t="s">
        <v>32849</v>
      </c>
      <c r="I14597" t="s">
        <v>4177</v>
      </c>
      <c r="J14597" t="s">
        <v>32980</v>
      </c>
      <c r="K14597" t="s">
        <v>42730</v>
      </c>
      <c r="M14597" t="s">
        <v>47155</v>
      </c>
      <c r="N14597" t="s">
        <v>47424</v>
      </c>
      <c r="O14597" t="s">
        <v>47425</v>
      </c>
      <c r="P14597">
        <v>0</v>
      </c>
      <c r="Q14597">
        <v>1</v>
      </c>
      <c r="R14597" t="s">
        <v>47444</v>
      </c>
      <c r="S14597" t="s">
        <v>48135</v>
      </c>
      <c r="T14597" t="s">
        <v>49068</v>
      </c>
      <c r="U14597" t="s">
        <v>60899</v>
      </c>
      <c r="W14597" t="s">
        <v>47155</v>
      </c>
      <c r="X14597" t="s">
        <v>47445</v>
      </c>
    </row>
    <row r="14598" spans="1:24">
      <c r="A14598">
        <f>HYPERLINK("https://www.philgeps.gov.ph/GEPSNONPILOT/Tender/SplashBidNoticeAbstractUI.aspx?menuIndex=3&amp;refID=7124844&amp;Result=3","7124844")</f>
        <v>0</v>
      </c>
      <c r="B14598" t="s">
        <v>81</v>
      </c>
      <c r="C14598" t="s">
        <v>17715</v>
      </c>
      <c r="D14598" t="s">
        <v>19023</v>
      </c>
      <c r="E14598" t="s">
        <v>31615</v>
      </c>
      <c r="F14598" t="s">
        <v>32831</v>
      </c>
      <c r="G14598" t="s">
        <v>32839</v>
      </c>
      <c r="H14598" t="s">
        <v>32848</v>
      </c>
      <c r="I14598" t="s">
        <v>32871</v>
      </c>
      <c r="J14598" t="s">
        <v>35590</v>
      </c>
      <c r="K14598" t="s">
        <v>42732</v>
      </c>
      <c r="M14598" t="s">
        <v>43078</v>
      </c>
      <c r="N14598" t="s">
        <v>47424</v>
      </c>
      <c r="O14598" t="s">
        <v>47425</v>
      </c>
      <c r="P14598">
        <v>0</v>
      </c>
      <c r="Q14598">
        <v>17</v>
      </c>
      <c r="R14598" t="s">
        <v>47446</v>
      </c>
      <c r="S14598" t="s">
        <v>48377</v>
      </c>
      <c r="T14598" t="s">
        <v>49214</v>
      </c>
      <c r="U14598" t="s">
        <v>61547</v>
      </c>
      <c r="W14598" t="s">
        <v>43078</v>
      </c>
      <c r="X14598" t="s">
        <v>47447</v>
      </c>
    </row>
    <row r="14599" spans="1:24">
      <c r="A14599">
        <f>HYPERLINK("https://www.philgeps.gov.ph/GEPSNONPILOT/Tender/SplashBidNoticeAbstractUI.aspx?menuIndex=3&amp;refID=7124870&amp;Result=3","7124870")</f>
        <v>0</v>
      </c>
      <c r="B14599" t="s">
        <v>1258</v>
      </c>
      <c r="C14599" t="s">
        <v>17716</v>
      </c>
      <c r="D14599" t="s">
        <v>19017</v>
      </c>
      <c r="E14599" t="s">
        <v>31616</v>
      </c>
      <c r="F14599" t="s">
        <v>32831</v>
      </c>
      <c r="G14599" t="s">
        <v>32839</v>
      </c>
      <c r="H14599" t="s">
        <v>32848</v>
      </c>
      <c r="I14599" t="s">
        <v>32863</v>
      </c>
      <c r="J14599" t="s">
        <v>40140</v>
      </c>
      <c r="K14599" t="s">
        <v>42786</v>
      </c>
      <c r="M14599" t="s">
        <v>44328</v>
      </c>
      <c r="N14599" t="s">
        <v>47424</v>
      </c>
      <c r="O14599" t="s">
        <v>47425</v>
      </c>
      <c r="Q14599">
        <v>6</v>
      </c>
      <c r="R14599" t="s">
        <v>47446</v>
      </c>
      <c r="S14599" t="s">
        <v>48445</v>
      </c>
      <c r="T14599" t="s">
        <v>49063</v>
      </c>
      <c r="U14599" t="s">
        <v>52157</v>
      </c>
      <c r="W14599" t="s">
        <v>44328</v>
      </c>
      <c r="X14599" t="s">
        <v>47447</v>
      </c>
    </row>
    <row r="14600" spans="1:24">
      <c r="A14600">
        <f>HYPERLINK("https://www.philgeps.gov.ph/GEPSNONPILOT/Tender/SplashBidNoticeAbstractUI.aspx?menuIndex=3&amp;refID=7124898&amp;Result=3","7124898")</f>
        <v>0</v>
      </c>
      <c r="B14600" t="s">
        <v>1176</v>
      </c>
      <c r="C14600" t="s">
        <v>17717</v>
      </c>
      <c r="D14600" t="s">
        <v>19078</v>
      </c>
      <c r="E14600" t="s">
        <v>31617</v>
      </c>
      <c r="F14600" t="s">
        <v>32831</v>
      </c>
      <c r="G14600" t="s">
        <v>32839</v>
      </c>
      <c r="H14600" t="s">
        <v>32849</v>
      </c>
      <c r="I14600" t="s">
        <v>4177</v>
      </c>
      <c r="J14600" t="s">
        <v>41899</v>
      </c>
      <c r="K14600" t="s">
        <v>42971</v>
      </c>
      <c r="M14600" t="s">
        <v>44242</v>
      </c>
      <c r="N14600" t="s">
        <v>47424</v>
      </c>
      <c r="O14600" t="s">
        <v>47425</v>
      </c>
      <c r="P14600">
        <v>0</v>
      </c>
      <c r="Q14600">
        <v>0</v>
      </c>
      <c r="R14600" t="s">
        <v>47446</v>
      </c>
      <c r="S14600" t="s">
        <v>48377</v>
      </c>
      <c r="T14600" t="s">
        <v>49114</v>
      </c>
      <c r="U14600" t="s">
        <v>61548</v>
      </c>
      <c r="W14600" t="s">
        <v>44242</v>
      </c>
      <c r="X14600" t="s">
        <v>47447</v>
      </c>
    </row>
    <row r="14601" spans="1:24">
      <c r="A14601">
        <f>HYPERLINK("https://www.philgeps.gov.ph/GEPSNONPILOT/Tender/SplashBidNoticeAbstractUI.aspx?menuIndex=3&amp;refID=7124963&amp;Result=3","7124963")</f>
        <v>0</v>
      </c>
      <c r="B14601" t="s">
        <v>1026</v>
      </c>
      <c r="C14601" t="s">
        <v>17718</v>
      </c>
      <c r="D14601" t="s">
        <v>19062</v>
      </c>
      <c r="E14601" t="s">
        <v>31618</v>
      </c>
      <c r="F14601" t="s">
        <v>32831</v>
      </c>
      <c r="G14601" t="s">
        <v>32839</v>
      </c>
      <c r="H14601" t="s">
        <v>32848</v>
      </c>
      <c r="I14601" t="s">
        <v>32868</v>
      </c>
      <c r="J14601" t="s">
        <v>41900</v>
      </c>
      <c r="K14601" t="s">
        <v>42747</v>
      </c>
      <c r="M14601" t="s">
        <v>44076</v>
      </c>
      <c r="N14601" t="s">
        <v>47424</v>
      </c>
      <c r="O14601" t="s">
        <v>47425</v>
      </c>
      <c r="Q14601">
        <v>9</v>
      </c>
      <c r="R14601" t="s">
        <v>47446</v>
      </c>
      <c r="S14601" t="s">
        <v>48446</v>
      </c>
      <c r="T14601" t="s">
        <v>49127</v>
      </c>
      <c r="U14601" t="s">
        <v>61549</v>
      </c>
      <c r="V14601" t="s">
        <v>63453</v>
      </c>
      <c r="W14601" t="s">
        <v>44076</v>
      </c>
      <c r="X14601" t="s">
        <v>47447</v>
      </c>
    </row>
    <row r="14602" spans="1:24">
      <c r="A14602">
        <f>HYPERLINK("https://www.philgeps.gov.ph/GEPSNONPILOT/Tender/SplashBidNoticeAbstractUI.aspx?menuIndex=3&amp;refID=7124777&amp;Result=3","7124777")</f>
        <v>0</v>
      </c>
      <c r="B14602" t="s">
        <v>623</v>
      </c>
      <c r="C14602" t="s">
        <v>17719</v>
      </c>
      <c r="D14602" t="s">
        <v>19042</v>
      </c>
      <c r="E14602" t="s">
        <v>31619</v>
      </c>
      <c r="F14602" t="s">
        <v>32831</v>
      </c>
      <c r="G14602" t="s">
        <v>32839</v>
      </c>
      <c r="H14602" t="s">
        <v>32849</v>
      </c>
      <c r="I14602" t="s">
        <v>4177</v>
      </c>
      <c r="J14602" t="s">
        <v>41901</v>
      </c>
      <c r="K14602" t="s">
        <v>42953</v>
      </c>
      <c r="M14602" t="s">
        <v>43639</v>
      </c>
      <c r="N14602" t="s">
        <v>47424</v>
      </c>
      <c r="O14602" t="s">
        <v>47425</v>
      </c>
      <c r="Q14602">
        <v>1</v>
      </c>
      <c r="R14602" t="s">
        <v>47446</v>
      </c>
      <c r="S14602" t="s">
        <v>48447</v>
      </c>
      <c r="T14602" t="s">
        <v>49141</v>
      </c>
      <c r="U14602" t="s">
        <v>61550</v>
      </c>
      <c r="W14602" t="s">
        <v>43639</v>
      </c>
      <c r="X14602" t="s">
        <v>47447</v>
      </c>
    </row>
    <row r="14603" spans="1:24">
      <c r="A14603">
        <f>HYPERLINK("https://www.philgeps.gov.ph/GEPSNONPILOT/Tender/SplashBidNoticeAbstractUI.aspx?menuIndex=3&amp;refID=7124964&amp;Result=3","7124964")</f>
        <v>0</v>
      </c>
      <c r="B14603" t="s">
        <v>3833</v>
      </c>
      <c r="C14603" t="s">
        <v>17720</v>
      </c>
      <c r="D14603" t="s">
        <v>19056</v>
      </c>
      <c r="E14603" t="s">
        <v>31620</v>
      </c>
      <c r="F14603" t="s">
        <v>32831</v>
      </c>
      <c r="G14603" t="s">
        <v>32839</v>
      </c>
      <c r="H14603" t="s">
        <v>32850</v>
      </c>
      <c r="I14603" t="s">
        <v>32883</v>
      </c>
      <c r="J14603" t="s">
        <v>36189</v>
      </c>
      <c r="K14603" t="s">
        <v>42727</v>
      </c>
      <c r="M14603" t="s">
        <v>47258</v>
      </c>
      <c r="N14603" t="s">
        <v>47424</v>
      </c>
      <c r="O14603" t="s">
        <v>47425</v>
      </c>
      <c r="Q14603">
        <v>4</v>
      </c>
      <c r="R14603" t="s">
        <v>47446</v>
      </c>
      <c r="S14603" t="s">
        <v>48448</v>
      </c>
      <c r="T14603" t="s">
        <v>49276</v>
      </c>
      <c r="U14603" t="s">
        <v>61551</v>
      </c>
      <c r="W14603" t="s">
        <v>47258</v>
      </c>
      <c r="X14603" t="s">
        <v>47447</v>
      </c>
    </row>
    <row r="14604" spans="1:24">
      <c r="A14604">
        <f>HYPERLINK("https://www.philgeps.gov.ph/GEPSNONPILOT/Tender/SplashBidNoticeAbstractUI.aspx?menuIndex=3&amp;refID=7124954&amp;Result=3","7124954")</f>
        <v>0</v>
      </c>
      <c r="B14604" t="s">
        <v>2667</v>
      </c>
      <c r="C14604" t="s">
        <v>17721</v>
      </c>
      <c r="D14604" t="s">
        <v>19025</v>
      </c>
      <c r="E14604" t="s">
        <v>31621</v>
      </c>
      <c r="F14604" t="s">
        <v>32831</v>
      </c>
      <c r="G14604" t="s">
        <v>32839</v>
      </c>
      <c r="H14604" t="s">
        <v>32848</v>
      </c>
      <c r="I14604" t="s">
        <v>4558</v>
      </c>
      <c r="J14604" t="s">
        <v>33257</v>
      </c>
      <c r="K14604" t="s">
        <v>42730</v>
      </c>
      <c r="M14604" t="s">
        <v>45890</v>
      </c>
      <c r="N14604" t="s">
        <v>47424</v>
      </c>
      <c r="O14604" t="s">
        <v>47425</v>
      </c>
      <c r="P14604">
        <v>0</v>
      </c>
      <c r="Q14604">
        <v>4</v>
      </c>
      <c r="R14604" t="s">
        <v>47446</v>
      </c>
      <c r="S14604" t="s">
        <v>48377</v>
      </c>
      <c r="T14604" t="s">
        <v>49214</v>
      </c>
      <c r="U14604" t="s">
        <v>61552</v>
      </c>
      <c r="W14604" t="s">
        <v>45890</v>
      </c>
      <c r="X14604" t="s">
        <v>47447</v>
      </c>
    </row>
    <row r="14605" spans="1:24">
      <c r="A14605">
        <f>HYPERLINK("https://www.philgeps.gov.ph/GEPSNONPILOT/Tender/SplashBidNoticeAbstractUI.aspx?menuIndex=3&amp;refID=7124831&amp;Result=3","7124831")</f>
        <v>0</v>
      </c>
      <c r="B14605" t="s">
        <v>2215</v>
      </c>
      <c r="C14605" t="s">
        <v>17722</v>
      </c>
      <c r="D14605" t="s">
        <v>19077</v>
      </c>
      <c r="E14605" t="s">
        <v>31622</v>
      </c>
      <c r="F14605" t="s">
        <v>32831</v>
      </c>
      <c r="G14605" t="s">
        <v>32839</v>
      </c>
      <c r="H14605" t="s">
        <v>32849</v>
      </c>
      <c r="I14605" t="s">
        <v>4177</v>
      </c>
      <c r="J14605" t="s">
        <v>41902</v>
      </c>
      <c r="K14605" t="s">
        <v>42859</v>
      </c>
      <c r="M14605" t="s">
        <v>45395</v>
      </c>
      <c r="N14605" t="s">
        <v>47424</v>
      </c>
      <c r="O14605" t="s">
        <v>47425</v>
      </c>
      <c r="Q14605">
        <v>2</v>
      </c>
      <c r="R14605" t="s">
        <v>47446</v>
      </c>
      <c r="S14605" t="s">
        <v>48449</v>
      </c>
      <c r="T14605" t="s">
        <v>49111</v>
      </c>
      <c r="U14605" t="s">
        <v>61553</v>
      </c>
      <c r="W14605" t="s">
        <v>45395</v>
      </c>
      <c r="X14605" t="s">
        <v>47447</v>
      </c>
    </row>
    <row r="14606" spans="1:24">
      <c r="A14606">
        <f>HYPERLINK("https://www.philgeps.gov.ph/GEPSNONPILOT/Tender/SplashBidNoticeAbstractUI.aspx?menuIndex=3&amp;refID=7124959&amp;Result=3","7124959")</f>
        <v>0</v>
      </c>
      <c r="B14606" t="s">
        <v>3567</v>
      </c>
      <c r="C14606" t="s">
        <v>17723</v>
      </c>
      <c r="D14606" t="s">
        <v>19044</v>
      </c>
      <c r="E14606" t="s">
        <v>27649</v>
      </c>
      <c r="F14606" t="s">
        <v>32831</v>
      </c>
      <c r="G14606" t="s">
        <v>32839</v>
      </c>
      <c r="H14606" t="s">
        <v>32848</v>
      </c>
      <c r="I14606" t="s">
        <v>7751</v>
      </c>
      <c r="J14606" t="s">
        <v>33108</v>
      </c>
      <c r="K14606" t="s">
        <v>42730</v>
      </c>
      <c r="L14606" t="s">
        <v>3567</v>
      </c>
      <c r="M14606" t="s">
        <v>46924</v>
      </c>
      <c r="N14606" t="s">
        <v>47424</v>
      </c>
      <c r="O14606" t="s">
        <v>47425</v>
      </c>
      <c r="P14606">
        <v>0</v>
      </c>
      <c r="Q14606">
        <v>5</v>
      </c>
      <c r="R14606" t="s">
        <v>47446</v>
      </c>
      <c r="S14606" t="s">
        <v>48377</v>
      </c>
      <c r="T14606" t="s">
        <v>49212</v>
      </c>
      <c r="U14606" t="s">
        <v>61554</v>
      </c>
      <c r="W14606" t="s">
        <v>46924</v>
      </c>
      <c r="X14606" t="s">
        <v>47447</v>
      </c>
    </row>
    <row r="14607" spans="1:24">
      <c r="A14607">
        <f>HYPERLINK("https://www.philgeps.gov.ph/GEPSNONPILOT/Tender/SplashBidNoticeAbstractUI.aspx?menuIndex=3&amp;refID=7124952&amp;Result=3","7124952")</f>
        <v>0</v>
      </c>
      <c r="B14607" t="s">
        <v>3834</v>
      </c>
      <c r="C14607" t="s">
        <v>17724</v>
      </c>
      <c r="D14607" t="s">
        <v>19077</v>
      </c>
      <c r="E14607" t="s">
        <v>31623</v>
      </c>
      <c r="F14607" t="s">
        <v>32831</v>
      </c>
      <c r="G14607" t="s">
        <v>32839</v>
      </c>
      <c r="H14607" t="s">
        <v>32849</v>
      </c>
      <c r="I14607" t="s">
        <v>4177</v>
      </c>
      <c r="J14607" t="s">
        <v>32983</v>
      </c>
      <c r="K14607" t="s">
        <v>42727</v>
      </c>
      <c r="M14607" t="s">
        <v>47259</v>
      </c>
      <c r="N14607" t="s">
        <v>47424</v>
      </c>
      <c r="O14607" t="s">
        <v>47425</v>
      </c>
      <c r="P14607">
        <v>0</v>
      </c>
      <c r="Q14607">
        <v>1</v>
      </c>
      <c r="R14607" t="s">
        <v>47446</v>
      </c>
      <c r="S14607" t="s">
        <v>48377</v>
      </c>
      <c r="T14607" t="s">
        <v>49162</v>
      </c>
      <c r="U14607" t="s">
        <v>61555</v>
      </c>
      <c r="W14607" t="s">
        <v>47259</v>
      </c>
      <c r="X14607" t="s">
        <v>47447</v>
      </c>
    </row>
    <row r="14608" spans="1:24">
      <c r="A14608">
        <f>HYPERLINK("https://www.philgeps.gov.ph/GEPSNONPILOT/Tender/SplashBidNoticeAbstractUI.aspx?menuIndex=3&amp;refID=7124946&amp;Result=3","7124946")</f>
        <v>0</v>
      </c>
      <c r="B14608" t="s">
        <v>1735</v>
      </c>
      <c r="C14608" t="s">
        <v>17725</v>
      </c>
      <c r="D14608" t="s">
        <v>19026</v>
      </c>
      <c r="E14608" t="s">
        <v>31624</v>
      </c>
      <c r="F14608" t="s">
        <v>32831</v>
      </c>
      <c r="G14608" t="s">
        <v>32839</v>
      </c>
      <c r="H14608" t="s">
        <v>32849</v>
      </c>
      <c r="I14608" t="s">
        <v>4177</v>
      </c>
      <c r="J14608" t="s">
        <v>41300</v>
      </c>
      <c r="K14608" t="s">
        <v>42999</v>
      </c>
      <c r="M14608" t="s">
        <v>44858</v>
      </c>
      <c r="N14608" t="s">
        <v>47424</v>
      </c>
      <c r="O14608" t="s">
        <v>47425</v>
      </c>
      <c r="Q14608">
        <v>30</v>
      </c>
      <c r="R14608" t="s">
        <v>47446</v>
      </c>
      <c r="S14608" t="s">
        <v>48262</v>
      </c>
      <c r="T14608" t="s">
        <v>49214</v>
      </c>
      <c r="U14608" t="s">
        <v>61543</v>
      </c>
      <c r="V14608" t="s">
        <v>63103</v>
      </c>
      <c r="W14608" t="s">
        <v>44858</v>
      </c>
      <c r="X14608" t="s">
        <v>47447</v>
      </c>
    </row>
    <row r="14609" spans="1:24">
      <c r="A14609">
        <f>HYPERLINK("https://www.philgeps.gov.ph/GEPSNONPILOT/Tender/SplashBidNoticeAbstractUI.aspx?menuIndex=3&amp;refID=7124974&amp;Result=3","7124974")</f>
        <v>0</v>
      </c>
      <c r="B14609" t="s">
        <v>815</v>
      </c>
      <c r="C14609" t="s">
        <v>17726</v>
      </c>
      <c r="D14609" t="s">
        <v>19033</v>
      </c>
      <c r="E14609" t="s">
        <v>31625</v>
      </c>
      <c r="F14609" t="s">
        <v>32831</v>
      </c>
      <c r="G14609" t="s">
        <v>32839</v>
      </c>
      <c r="H14609" t="s">
        <v>32849</v>
      </c>
      <c r="I14609" t="s">
        <v>7416</v>
      </c>
      <c r="J14609" t="s">
        <v>41903</v>
      </c>
      <c r="K14609" t="s">
        <v>42780</v>
      </c>
      <c r="M14609" t="s">
        <v>43846</v>
      </c>
      <c r="N14609" t="s">
        <v>47424</v>
      </c>
      <c r="O14609" t="s">
        <v>47425</v>
      </c>
      <c r="P14609">
        <v>0</v>
      </c>
      <c r="Q14609">
        <v>1</v>
      </c>
      <c r="R14609" t="s">
        <v>47446</v>
      </c>
      <c r="S14609" t="s">
        <v>48377</v>
      </c>
      <c r="T14609" t="s">
        <v>49244</v>
      </c>
      <c r="U14609" t="s">
        <v>61556</v>
      </c>
      <c r="W14609" t="s">
        <v>43846</v>
      </c>
      <c r="X14609" t="s">
        <v>47447</v>
      </c>
    </row>
    <row r="14610" spans="1:24">
      <c r="A14610">
        <f>HYPERLINK("https://www.philgeps.gov.ph/GEPSNONPILOT/Tender/SplashBidNoticeAbstractUI.aspx?menuIndex=3&amp;refID=7124932&amp;Result=3","7124932")</f>
        <v>0</v>
      </c>
      <c r="B14610" t="s">
        <v>671</v>
      </c>
      <c r="C14610" t="s">
        <v>17727</v>
      </c>
      <c r="D14610" t="s">
        <v>19030</v>
      </c>
      <c r="E14610" t="s">
        <v>31626</v>
      </c>
      <c r="F14610" t="s">
        <v>32831</v>
      </c>
      <c r="G14610" t="s">
        <v>32839</v>
      </c>
      <c r="H14610" t="s">
        <v>32848</v>
      </c>
      <c r="I14610" t="s">
        <v>7751</v>
      </c>
      <c r="J14610" t="s">
        <v>33465</v>
      </c>
      <c r="K14610" t="s">
        <v>42730</v>
      </c>
      <c r="M14610" t="s">
        <v>46416</v>
      </c>
      <c r="N14610" t="s">
        <v>47424</v>
      </c>
      <c r="O14610" t="s">
        <v>47425</v>
      </c>
      <c r="P14610">
        <v>0</v>
      </c>
      <c r="Q14610">
        <v>2</v>
      </c>
      <c r="R14610" t="s">
        <v>47446</v>
      </c>
      <c r="S14610" t="s">
        <v>48377</v>
      </c>
      <c r="T14610" t="s">
        <v>49212</v>
      </c>
      <c r="U14610" t="s">
        <v>52028</v>
      </c>
      <c r="V14610" t="s">
        <v>62999</v>
      </c>
      <c r="W14610" t="s">
        <v>64462</v>
      </c>
      <c r="X14610" t="s">
        <v>47447</v>
      </c>
    </row>
    <row r="14611" spans="1:24">
      <c r="A14611">
        <f>HYPERLINK("https://www.philgeps.gov.ph/GEPSNONPILOT/Tender/SplashBidNoticeAbstractUI.aspx?menuIndex=3&amp;refID=7124948&amp;Result=3","7124948")</f>
        <v>0</v>
      </c>
      <c r="B14611" t="s">
        <v>3413</v>
      </c>
      <c r="C14611" t="s">
        <v>17728</v>
      </c>
      <c r="D14611" t="s">
        <v>19055</v>
      </c>
      <c r="E14611" t="s">
        <v>31627</v>
      </c>
      <c r="F14611" t="s">
        <v>32831</v>
      </c>
      <c r="G14611" t="s">
        <v>32839</v>
      </c>
      <c r="H14611" t="s">
        <v>32849</v>
      </c>
      <c r="I14611" t="s">
        <v>4177</v>
      </c>
      <c r="J14611" t="s">
        <v>41904</v>
      </c>
      <c r="K14611" t="s">
        <v>42770</v>
      </c>
      <c r="M14611" t="s">
        <v>46747</v>
      </c>
      <c r="N14611" t="s">
        <v>47424</v>
      </c>
      <c r="O14611" t="s">
        <v>47425</v>
      </c>
      <c r="P14611">
        <v>0</v>
      </c>
      <c r="Q14611">
        <v>2</v>
      </c>
      <c r="R14611" t="s">
        <v>47446</v>
      </c>
      <c r="S14611" t="s">
        <v>48377</v>
      </c>
      <c r="T14611" t="s">
        <v>49123</v>
      </c>
      <c r="U14611" t="s">
        <v>61557</v>
      </c>
      <c r="V14611" t="s">
        <v>63898</v>
      </c>
      <c r="W14611" t="s">
        <v>46747</v>
      </c>
      <c r="X14611" t="s">
        <v>47447</v>
      </c>
    </row>
    <row r="14612" spans="1:24">
      <c r="A14612">
        <f>HYPERLINK("https://www.philgeps.gov.ph/GEPSNONPILOT/Tender/SplashBidNoticeAbstractUI.aspx?menuIndex=3&amp;refID=7124955&amp;Result=3","7124955")</f>
        <v>0</v>
      </c>
      <c r="B14612" t="s">
        <v>3137</v>
      </c>
      <c r="C14612" t="s">
        <v>17729</v>
      </c>
      <c r="D14612" t="s">
        <v>19078</v>
      </c>
      <c r="E14612" t="s">
        <v>31628</v>
      </c>
      <c r="F14612" t="s">
        <v>32831</v>
      </c>
      <c r="G14612" t="s">
        <v>32839</v>
      </c>
      <c r="H14612" t="s">
        <v>32849</v>
      </c>
      <c r="I14612" t="s">
        <v>4177</v>
      </c>
      <c r="J14612" t="s">
        <v>41905</v>
      </c>
      <c r="K14612" t="s">
        <v>42825</v>
      </c>
      <c r="M14612" t="s">
        <v>46433</v>
      </c>
      <c r="N14612" t="s">
        <v>47424</v>
      </c>
      <c r="O14612" t="s">
        <v>47425</v>
      </c>
      <c r="P14612">
        <v>0</v>
      </c>
      <c r="Q14612">
        <v>1</v>
      </c>
      <c r="R14612" t="s">
        <v>47446</v>
      </c>
      <c r="S14612" t="s">
        <v>48377</v>
      </c>
      <c r="T14612" t="s">
        <v>49237</v>
      </c>
      <c r="U14612" t="s">
        <v>61558</v>
      </c>
      <c r="W14612" t="s">
        <v>46433</v>
      </c>
      <c r="X14612" t="s">
        <v>47447</v>
      </c>
    </row>
    <row r="14613" spans="1:24">
      <c r="A14613">
        <f>HYPERLINK("https://www.philgeps.gov.ph/GEPSNONPILOT/Tender/SplashBidNoticeAbstractUI.aspx?menuIndex=3&amp;refID=7124935&amp;Result=3","7124935")</f>
        <v>0</v>
      </c>
      <c r="B14613" t="s">
        <v>1414</v>
      </c>
      <c r="C14613" t="s">
        <v>17730</v>
      </c>
      <c r="D14613" t="s">
        <v>19030</v>
      </c>
      <c r="E14613" t="s">
        <v>31629</v>
      </c>
      <c r="F14613" t="s">
        <v>32831</v>
      </c>
      <c r="G14613" t="s">
        <v>32839</v>
      </c>
      <c r="H14613" t="s">
        <v>32849</v>
      </c>
      <c r="I14613" t="s">
        <v>4177</v>
      </c>
      <c r="J14613" t="s">
        <v>41906</v>
      </c>
      <c r="K14613" t="s">
        <v>42763</v>
      </c>
      <c r="M14613" t="s">
        <v>44502</v>
      </c>
      <c r="N14613" t="s">
        <v>47424</v>
      </c>
      <c r="O14613" t="s">
        <v>47425</v>
      </c>
      <c r="P14613">
        <v>0</v>
      </c>
      <c r="Q14613">
        <v>1</v>
      </c>
      <c r="R14613" t="s">
        <v>47446</v>
      </c>
      <c r="S14613" t="s">
        <v>48377</v>
      </c>
      <c r="T14613" t="s">
        <v>49177</v>
      </c>
      <c r="U14613" t="s">
        <v>61541</v>
      </c>
      <c r="W14613" t="s">
        <v>44502</v>
      </c>
      <c r="X14613" t="s">
        <v>47447</v>
      </c>
    </row>
    <row r="14614" spans="1:24">
      <c r="A14614">
        <f>HYPERLINK("https://www.philgeps.gov.ph/GEPSNONPILOT/Tender/SplashBidNoticeAbstractUI.aspx?menuIndex=3&amp;refID=7132030&amp;Result=3","7132030")</f>
        <v>0</v>
      </c>
      <c r="B14614" t="s">
        <v>895</v>
      </c>
      <c r="C14614" t="s">
        <v>17731</v>
      </c>
      <c r="D14614" t="s">
        <v>19036</v>
      </c>
      <c r="E14614" t="s">
        <v>31630</v>
      </c>
      <c r="F14614" t="s">
        <v>32831</v>
      </c>
      <c r="G14614" t="s">
        <v>32838</v>
      </c>
      <c r="H14614" t="s">
        <v>32848</v>
      </c>
      <c r="I14614" t="s">
        <v>32862</v>
      </c>
      <c r="J14614" t="s">
        <v>35543</v>
      </c>
      <c r="K14614" t="s">
        <v>42727</v>
      </c>
      <c r="M14614" t="s">
        <v>44963</v>
      </c>
      <c r="N14614" t="s">
        <v>47424</v>
      </c>
      <c r="O14614" t="s">
        <v>47425</v>
      </c>
      <c r="Q14614">
        <v>1</v>
      </c>
      <c r="R14614" t="s">
        <v>47444</v>
      </c>
      <c r="S14614" t="s">
        <v>47898</v>
      </c>
      <c r="T14614" t="s">
        <v>49415</v>
      </c>
      <c r="U14614" t="s">
        <v>61559</v>
      </c>
      <c r="W14614" t="s">
        <v>44963</v>
      </c>
      <c r="X14614" t="s">
        <v>47445</v>
      </c>
    </row>
    <row r="14615" spans="1:24">
      <c r="A14615">
        <f>HYPERLINK("https://www.philgeps.gov.ph/GEPSNONPILOT/Tender/SplashBidNoticeAbstractUI.aspx?menuIndex=3&amp;refID=7125148&amp;Result=3","7125148")</f>
        <v>0</v>
      </c>
      <c r="B14615" t="s">
        <v>198</v>
      </c>
      <c r="C14615" t="s">
        <v>17732</v>
      </c>
      <c r="D14615" t="s">
        <v>19045</v>
      </c>
      <c r="E14615" t="s">
        <v>31631</v>
      </c>
      <c r="F14615" t="s">
        <v>32831</v>
      </c>
      <c r="G14615" t="s">
        <v>32839</v>
      </c>
      <c r="H14615" t="s">
        <v>32848</v>
      </c>
      <c r="I14615" t="s">
        <v>5379</v>
      </c>
      <c r="J14615" t="s">
        <v>41907</v>
      </c>
      <c r="K14615" t="s">
        <v>42886</v>
      </c>
      <c r="M14615" t="s">
        <v>43196</v>
      </c>
      <c r="N14615" t="s">
        <v>47424</v>
      </c>
      <c r="O14615" t="s">
        <v>47425</v>
      </c>
      <c r="P14615">
        <v>0</v>
      </c>
      <c r="Q14615">
        <v>1</v>
      </c>
      <c r="R14615" t="s">
        <v>47446</v>
      </c>
      <c r="S14615" t="s">
        <v>48377</v>
      </c>
      <c r="T14615" t="s">
        <v>49212</v>
      </c>
      <c r="U14615" t="s">
        <v>61560</v>
      </c>
      <c r="V14615" t="s">
        <v>63628</v>
      </c>
      <c r="W14615" t="s">
        <v>43196</v>
      </c>
      <c r="X14615" t="s">
        <v>47447</v>
      </c>
    </row>
    <row r="14616" spans="1:24">
      <c r="A14616">
        <f>HYPERLINK("https://www.philgeps.gov.ph/GEPSNONPILOT/Tender/SplashBidNoticeAbstractUI.aspx?menuIndex=3&amp;refID=7124835&amp;Result=3","7124835")</f>
        <v>0</v>
      </c>
      <c r="B14616" t="s">
        <v>3530</v>
      </c>
      <c r="C14616" t="s">
        <v>17733</v>
      </c>
      <c r="D14616" t="s">
        <v>19101</v>
      </c>
      <c r="E14616" t="s">
        <v>31632</v>
      </c>
      <c r="F14616" t="s">
        <v>32831</v>
      </c>
      <c r="G14616" t="s">
        <v>32839</v>
      </c>
      <c r="H14616" t="s">
        <v>32848</v>
      </c>
      <c r="I14616" t="s">
        <v>32886</v>
      </c>
      <c r="J14616" t="s">
        <v>33246</v>
      </c>
      <c r="K14616" t="s">
        <v>42731</v>
      </c>
      <c r="M14616" t="s">
        <v>46881</v>
      </c>
      <c r="N14616" t="s">
        <v>47424</v>
      </c>
      <c r="O14616" t="s">
        <v>47425</v>
      </c>
      <c r="P14616">
        <v>0</v>
      </c>
      <c r="Q14616">
        <v>1</v>
      </c>
      <c r="R14616" t="s">
        <v>47446</v>
      </c>
      <c r="S14616" t="s">
        <v>48377</v>
      </c>
      <c r="T14616" t="s">
        <v>49166</v>
      </c>
      <c r="U14616" t="s">
        <v>61561</v>
      </c>
      <c r="V14616" t="s">
        <v>64270</v>
      </c>
      <c r="W14616" t="s">
        <v>46881</v>
      </c>
      <c r="X14616" t="s">
        <v>47447</v>
      </c>
    </row>
    <row r="14617" spans="1:24">
      <c r="A14617">
        <f>HYPERLINK("https://www.philgeps.gov.ph/GEPSNONPILOT/Tender/SplashBidNoticeAbstractUI.aspx?menuIndex=3&amp;refID=7125142&amp;Result=3","7125142")</f>
        <v>0</v>
      </c>
      <c r="B14617" t="s">
        <v>3497</v>
      </c>
      <c r="C14617" t="s">
        <v>17734</v>
      </c>
      <c r="D14617" t="s">
        <v>19091</v>
      </c>
      <c r="E14617" t="s">
        <v>31633</v>
      </c>
      <c r="F14617" t="s">
        <v>32831</v>
      </c>
      <c r="G14617" t="s">
        <v>32839</v>
      </c>
      <c r="H14617" t="s">
        <v>32849</v>
      </c>
      <c r="I14617" t="s">
        <v>4177</v>
      </c>
      <c r="J14617" t="s">
        <v>41908</v>
      </c>
      <c r="K14617" t="s">
        <v>42788</v>
      </c>
      <c r="M14617" t="s">
        <v>47116</v>
      </c>
      <c r="N14617" t="s">
        <v>47424</v>
      </c>
      <c r="O14617" t="s">
        <v>47425</v>
      </c>
      <c r="P14617">
        <v>0</v>
      </c>
      <c r="Q14617">
        <v>2</v>
      </c>
      <c r="R14617" t="s">
        <v>47446</v>
      </c>
      <c r="S14617" t="s">
        <v>48377</v>
      </c>
      <c r="T14617" t="s">
        <v>49166</v>
      </c>
      <c r="U14617" t="s">
        <v>61562</v>
      </c>
      <c r="W14617" t="s">
        <v>47116</v>
      </c>
      <c r="X14617" t="s">
        <v>47447</v>
      </c>
    </row>
    <row r="14618" spans="1:24">
      <c r="A14618">
        <f>HYPERLINK("https://www.philgeps.gov.ph/GEPSNONPILOT/Tender/SplashBidNoticeAbstractUI.aspx?menuIndex=3&amp;refID=7125112&amp;Result=3","7125112")</f>
        <v>0</v>
      </c>
      <c r="B14618" t="s">
        <v>1524</v>
      </c>
      <c r="C14618" t="s">
        <v>17735</v>
      </c>
      <c r="D14618" t="s">
        <v>19017</v>
      </c>
      <c r="E14618" t="s">
        <v>31634</v>
      </c>
      <c r="F14618" t="s">
        <v>32831</v>
      </c>
      <c r="G14618" t="s">
        <v>32839</v>
      </c>
      <c r="H14618" t="s">
        <v>14069</v>
      </c>
      <c r="I14618" t="s">
        <v>14069</v>
      </c>
      <c r="J14618" t="s">
        <v>41909</v>
      </c>
      <c r="K14618" t="s">
        <v>42770</v>
      </c>
      <c r="M14618" t="s">
        <v>44627</v>
      </c>
      <c r="N14618" t="s">
        <v>47424</v>
      </c>
      <c r="O14618" t="s">
        <v>47425</v>
      </c>
      <c r="Q14618">
        <v>11</v>
      </c>
      <c r="R14618" t="s">
        <v>47446</v>
      </c>
      <c r="S14618" t="s">
        <v>47939</v>
      </c>
      <c r="T14618" t="s">
        <v>49486</v>
      </c>
      <c r="U14618" t="s">
        <v>61563</v>
      </c>
      <c r="W14618" t="s">
        <v>44627</v>
      </c>
      <c r="X14618" t="s">
        <v>47447</v>
      </c>
    </row>
    <row r="14619" spans="1:24">
      <c r="A14619">
        <f>HYPERLINK("https://www.philgeps.gov.ph/GEPSNONPILOT/Tender/SplashBidNoticeAbstractUI.aspx?menuIndex=3&amp;refID=7125082&amp;Result=3","7125082")</f>
        <v>0</v>
      </c>
      <c r="B14619" t="s">
        <v>3835</v>
      </c>
      <c r="C14619" t="s">
        <v>17736</v>
      </c>
      <c r="D14619" t="s">
        <v>19037</v>
      </c>
      <c r="E14619" t="s">
        <v>31635</v>
      </c>
      <c r="F14619" t="s">
        <v>32831</v>
      </c>
      <c r="G14619" t="s">
        <v>32839</v>
      </c>
      <c r="H14619" t="s">
        <v>32848</v>
      </c>
      <c r="I14619" t="s">
        <v>7416</v>
      </c>
      <c r="J14619" t="s">
        <v>41910</v>
      </c>
      <c r="K14619" t="s">
        <v>42747</v>
      </c>
      <c r="M14619" t="s">
        <v>47260</v>
      </c>
      <c r="N14619" t="s">
        <v>47424</v>
      </c>
      <c r="O14619" t="s">
        <v>47425</v>
      </c>
      <c r="P14619">
        <v>0</v>
      </c>
      <c r="Q14619">
        <v>0</v>
      </c>
      <c r="R14619" t="s">
        <v>47446</v>
      </c>
      <c r="S14619" t="s">
        <v>48377</v>
      </c>
      <c r="T14619" t="s">
        <v>49237</v>
      </c>
      <c r="U14619" t="s">
        <v>61564</v>
      </c>
      <c r="V14619" t="s">
        <v>64292</v>
      </c>
      <c r="W14619" t="s">
        <v>47260</v>
      </c>
      <c r="X14619" t="s">
        <v>47447</v>
      </c>
    </row>
    <row r="14620" spans="1:24">
      <c r="A14620">
        <f>HYPERLINK("https://www.philgeps.gov.ph/GEPSNONPILOT/Tender/SplashBidNoticeAbstractUI.aspx?menuIndex=3&amp;refID=7125108&amp;Result=3","7125108")</f>
        <v>0</v>
      </c>
      <c r="B14620" t="s">
        <v>3413</v>
      </c>
      <c r="C14620" t="s">
        <v>17737</v>
      </c>
      <c r="D14620" t="s">
        <v>19055</v>
      </c>
      <c r="E14620" t="s">
        <v>31636</v>
      </c>
      <c r="F14620" t="s">
        <v>32831</v>
      </c>
      <c r="G14620" t="s">
        <v>32839</v>
      </c>
      <c r="H14620" t="s">
        <v>32849</v>
      </c>
      <c r="I14620" t="s">
        <v>4177</v>
      </c>
      <c r="J14620" t="s">
        <v>41911</v>
      </c>
      <c r="K14620" t="s">
        <v>42757</v>
      </c>
      <c r="M14620" t="s">
        <v>46747</v>
      </c>
      <c r="N14620" t="s">
        <v>47424</v>
      </c>
      <c r="O14620" t="s">
        <v>47425</v>
      </c>
      <c r="P14620">
        <v>0</v>
      </c>
      <c r="Q14620">
        <v>2</v>
      </c>
      <c r="R14620" t="s">
        <v>47446</v>
      </c>
      <c r="S14620" t="s">
        <v>48377</v>
      </c>
      <c r="T14620" t="s">
        <v>49123</v>
      </c>
      <c r="U14620" t="s">
        <v>61565</v>
      </c>
      <c r="V14620" t="s">
        <v>63898</v>
      </c>
      <c r="W14620" t="s">
        <v>46747</v>
      </c>
      <c r="X14620" t="s">
        <v>47447</v>
      </c>
    </row>
    <row r="14621" spans="1:24">
      <c r="A14621">
        <f>HYPERLINK("https://www.philgeps.gov.ph/GEPSNONPILOT/Tender/SplashBidNoticeAbstractUI.aspx?menuIndex=3&amp;refID=7125066&amp;Result=3","7125066")</f>
        <v>0</v>
      </c>
      <c r="B14621" t="s">
        <v>1295</v>
      </c>
      <c r="C14621" t="s">
        <v>17738</v>
      </c>
      <c r="D14621" t="s">
        <v>19054</v>
      </c>
      <c r="E14621" t="s">
        <v>31637</v>
      </c>
      <c r="F14621" t="s">
        <v>32831</v>
      </c>
      <c r="G14621" t="s">
        <v>32839</v>
      </c>
      <c r="H14621" t="s">
        <v>32848</v>
      </c>
      <c r="I14621" t="s">
        <v>32857</v>
      </c>
      <c r="J14621" t="s">
        <v>32980</v>
      </c>
      <c r="K14621" t="s">
        <v>42731</v>
      </c>
      <c r="M14621" t="s">
        <v>44365</v>
      </c>
      <c r="N14621" t="s">
        <v>47424</v>
      </c>
      <c r="O14621" t="s">
        <v>47425</v>
      </c>
      <c r="P14621">
        <v>0</v>
      </c>
      <c r="Q14621">
        <v>1</v>
      </c>
      <c r="R14621" t="s">
        <v>47446</v>
      </c>
      <c r="S14621" t="s">
        <v>48377</v>
      </c>
      <c r="T14621" t="s">
        <v>49237</v>
      </c>
      <c r="U14621" t="s">
        <v>52500</v>
      </c>
      <c r="W14621" t="s">
        <v>44365</v>
      </c>
      <c r="X14621" t="s">
        <v>47447</v>
      </c>
    </row>
    <row r="14622" spans="1:24">
      <c r="A14622">
        <f>HYPERLINK("https://www.philgeps.gov.ph/GEPSNONPILOT/Tender/SplashBidNoticeAbstractUI.aspx?menuIndex=3&amp;refID=7125056&amp;Result=3","7125056")</f>
        <v>0</v>
      </c>
      <c r="B14622" t="s">
        <v>2374</v>
      </c>
      <c r="C14622" t="s">
        <v>17739</v>
      </c>
      <c r="D14622" t="s">
        <v>19043</v>
      </c>
      <c r="E14622" t="s">
        <v>31638</v>
      </c>
      <c r="F14622" t="s">
        <v>32831</v>
      </c>
      <c r="G14622" t="s">
        <v>32839</v>
      </c>
      <c r="H14622" t="s">
        <v>32849</v>
      </c>
      <c r="I14622" t="s">
        <v>4177</v>
      </c>
      <c r="J14622" t="s">
        <v>41912</v>
      </c>
      <c r="K14622" t="s">
        <v>42737</v>
      </c>
      <c r="M14622" t="s">
        <v>45563</v>
      </c>
      <c r="N14622" t="s">
        <v>47424</v>
      </c>
      <c r="O14622" t="s">
        <v>47425</v>
      </c>
      <c r="P14622">
        <v>0</v>
      </c>
      <c r="Q14622">
        <v>3</v>
      </c>
      <c r="R14622" t="s">
        <v>47446</v>
      </c>
      <c r="S14622" t="s">
        <v>48377</v>
      </c>
      <c r="T14622" t="s">
        <v>49214</v>
      </c>
      <c r="U14622" t="s">
        <v>61566</v>
      </c>
      <c r="W14622" t="s">
        <v>45563</v>
      </c>
      <c r="X14622" t="s">
        <v>47447</v>
      </c>
    </row>
    <row r="14623" spans="1:24">
      <c r="A14623">
        <f>HYPERLINK("https://www.philgeps.gov.ph/GEPSNONPILOT/Tender/SplashBidNoticeAbstractUI.aspx?menuIndex=3&amp;refID=7125136&amp;Result=3","7125136")</f>
        <v>0</v>
      </c>
      <c r="B14623" t="s">
        <v>3836</v>
      </c>
      <c r="C14623" t="s">
        <v>17740</v>
      </c>
      <c r="D14623" t="s">
        <v>19074</v>
      </c>
      <c r="E14623" t="s">
        <v>31639</v>
      </c>
      <c r="F14623" t="s">
        <v>32834</v>
      </c>
      <c r="G14623" t="s">
        <v>32845</v>
      </c>
      <c r="H14623" t="s">
        <v>32849</v>
      </c>
      <c r="I14623" t="s">
        <v>4177</v>
      </c>
      <c r="J14623" t="s">
        <v>41913</v>
      </c>
      <c r="K14623" t="s">
        <v>42780</v>
      </c>
      <c r="M14623" t="s">
        <v>47261</v>
      </c>
      <c r="N14623" t="s">
        <v>47424</v>
      </c>
      <c r="O14623" t="s">
        <v>47425</v>
      </c>
      <c r="P14623">
        <v>0</v>
      </c>
      <c r="Q14623">
        <v>2</v>
      </c>
      <c r="R14623" t="s">
        <v>47446</v>
      </c>
      <c r="S14623" t="s">
        <v>48377</v>
      </c>
      <c r="T14623" t="s">
        <v>49236</v>
      </c>
      <c r="U14623" t="s">
        <v>61567</v>
      </c>
      <c r="W14623" t="s">
        <v>47261</v>
      </c>
      <c r="X14623" t="s">
        <v>47447</v>
      </c>
    </row>
    <row r="14624" spans="1:24">
      <c r="A14624">
        <f>HYPERLINK("https://www.philgeps.gov.ph/GEPSNONPILOT/Tender/SplashBidNoticeAbstractUI.aspx?menuIndex=3&amp;refID=7125047&amp;Result=3","7125047")</f>
        <v>0</v>
      </c>
      <c r="B14624" t="s">
        <v>3837</v>
      </c>
      <c r="C14624" t="s">
        <v>17741</v>
      </c>
      <c r="D14624" t="s">
        <v>19023</v>
      </c>
      <c r="E14624" t="s">
        <v>31640</v>
      </c>
      <c r="F14624" t="s">
        <v>32831</v>
      </c>
      <c r="G14624" t="s">
        <v>32839</v>
      </c>
      <c r="H14624" t="s">
        <v>32849</v>
      </c>
      <c r="I14624" t="s">
        <v>4177</v>
      </c>
      <c r="J14624" t="s">
        <v>38388</v>
      </c>
      <c r="K14624" t="s">
        <v>42839</v>
      </c>
      <c r="M14624" t="s">
        <v>47262</v>
      </c>
      <c r="N14624" t="s">
        <v>47424</v>
      </c>
      <c r="O14624" t="s">
        <v>47425</v>
      </c>
      <c r="Q14624">
        <v>13</v>
      </c>
      <c r="R14624" t="s">
        <v>47446</v>
      </c>
      <c r="S14624" t="s">
        <v>48450</v>
      </c>
      <c r="T14624" t="s">
        <v>49214</v>
      </c>
      <c r="U14624" t="s">
        <v>61568</v>
      </c>
      <c r="V14624" t="s">
        <v>64293</v>
      </c>
      <c r="W14624" t="s">
        <v>47262</v>
      </c>
      <c r="X14624" t="s">
        <v>47447</v>
      </c>
    </row>
    <row r="14625" spans="1:24">
      <c r="A14625">
        <f>HYPERLINK("https://www.philgeps.gov.ph/GEPSNONPILOT/Tender/SplashBidNoticeAbstractUI.aspx?menuIndex=3&amp;refID=7125033&amp;Result=3","7125033")</f>
        <v>0</v>
      </c>
      <c r="B14625" t="s">
        <v>3838</v>
      </c>
      <c r="C14625" t="s">
        <v>17742</v>
      </c>
      <c r="D14625" t="s">
        <v>19025</v>
      </c>
      <c r="E14625" t="s">
        <v>31641</v>
      </c>
      <c r="F14625" t="s">
        <v>32831</v>
      </c>
      <c r="G14625" t="s">
        <v>32839</v>
      </c>
      <c r="H14625" t="s">
        <v>32849</v>
      </c>
      <c r="I14625" t="s">
        <v>4177</v>
      </c>
      <c r="J14625" t="s">
        <v>41914</v>
      </c>
      <c r="K14625" t="s">
        <v>42764</v>
      </c>
      <c r="M14625" t="s">
        <v>47263</v>
      </c>
      <c r="N14625" t="s">
        <v>47424</v>
      </c>
      <c r="O14625" t="s">
        <v>47425</v>
      </c>
      <c r="P14625">
        <v>0</v>
      </c>
      <c r="Q14625">
        <v>4</v>
      </c>
      <c r="R14625" t="s">
        <v>47446</v>
      </c>
      <c r="S14625" t="s">
        <v>48377</v>
      </c>
      <c r="T14625" t="s">
        <v>49111</v>
      </c>
      <c r="U14625" t="s">
        <v>61569</v>
      </c>
      <c r="W14625" t="s">
        <v>47263</v>
      </c>
      <c r="X14625" t="s">
        <v>47447</v>
      </c>
    </row>
    <row r="14626" spans="1:24">
      <c r="A14626">
        <f>HYPERLINK("https://www.philgeps.gov.ph/GEPSNONPILOT/Tender/SplashBidNoticeAbstractUI.aspx?menuIndex=3&amp;refID=7125028&amp;Result=3","7125028")</f>
        <v>0</v>
      </c>
      <c r="B14626" t="s">
        <v>1414</v>
      </c>
      <c r="C14626" t="s">
        <v>17743</v>
      </c>
      <c r="D14626" t="s">
        <v>19030</v>
      </c>
      <c r="E14626" t="s">
        <v>31629</v>
      </c>
      <c r="F14626" t="s">
        <v>32831</v>
      </c>
      <c r="G14626" t="s">
        <v>32839</v>
      </c>
      <c r="H14626" t="s">
        <v>32849</v>
      </c>
      <c r="I14626" t="s">
        <v>4177</v>
      </c>
      <c r="J14626" t="s">
        <v>41915</v>
      </c>
      <c r="K14626" t="s">
        <v>42728</v>
      </c>
      <c r="M14626" t="s">
        <v>44502</v>
      </c>
      <c r="N14626" t="s">
        <v>47424</v>
      </c>
      <c r="O14626" t="s">
        <v>47425</v>
      </c>
      <c r="P14626">
        <v>0</v>
      </c>
      <c r="Q14626">
        <v>0</v>
      </c>
      <c r="R14626" t="s">
        <v>47446</v>
      </c>
      <c r="S14626" t="s">
        <v>48377</v>
      </c>
      <c r="T14626" t="s">
        <v>49166</v>
      </c>
      <c r="U14626" t="s">
        <v>61541</v>
      </c>
      <c r="W14626" t="s">
        <v>44502</v>
      </c>
      <c r="X14626" t="s">
        <v>47447</v>
      </c>
    </row>
    <row r="14627" spans="1:24">
      <c r="A14627">
        <f>HYPERLINK("https://www.philgeps.gov.ph/GEPSNONPILOT/Tender/SplashBidNoticeAbstractUI.aspx?menuIndex=3&amp;refID=7125026&amp;Result=3","7125026")</f>
        <v>0</v>
      </c>
      <c r="B14627" t="s">
        <v>815</v>
      </c>
      <c r="C14627" t="s">
        <v>17744</v>
      </c>
      <c r="D14627" t="s">
        <v>19033</v>
      </c>
      <c r="E14627" t="s">
        <v>31642</v>
      </c>
      <c r="F14627" t="s">
        <v>32831</v>
      </c>
      <c r="G14627" t="s">
        <v>32839</v>
      </c>
      <c r="H14627" t="s">
        <v>32849</v>
      </c>
      <c r="I14627" t="s">
        <v>7416</v>
      </c>
      <c r="J14627" t="s">
        <v>41916</v>
      </c>
      <c r="K14627" t="s">
        <v>42746</v>
      </c>
      <c r="M14627" t="s">
        <v>43846</v>
      </c>
      <c r="N14627" t="s">
        <v>47424</v>
      </c>
      <c r="O14627" t="s">
        <v>47425</v>
      </c>
      <c r="P14627">
        <v>0</v>
      </c>
      <c r="Q14627">
        <v>1</v>
      </c>
      <c r="R14627" t="s">
        <v>47446</v>
      </c>
      <c r="S14627" t="s">
        <v>48377</v>
      </c>
      <c r="T14627" t="s">
        <v>49255</v>
      </c>
      <c r="U14627" t="s">
        <v>61570</v>
      </c>
      <c r="W14627" t="s">
        <v>43846</v>
      </c>
      <c r="X14627" t="s">
        <v>47447</v>
      </c>
    </row>
    <row r="14628" spans="1:24">
      <c r="A14628">
        <f>HYPERLINK("https://www.philgeps.gov.ph/GEPSNONPILOT/Tender/SplashBidNoticeAbstractUI.aspx?menuIndex=3&amp;refID=7125024&amp;Result=3","7125024")</f>
        <v>0</v>
      </c>
      <c r="B14628" t="s">
        <v>3193</v>
      </c>
      <c r="C14628" t="s">
        <v>17745</v>
      </c>
      <c r="D14628" t="s">
        <v>19071</v>
      </c>
      <c r="E14628" t="s">
        <v>31643</v>
      </c>
      <c r="F14628" t="s">
        <v>32831</v>
      </c>
      <c r="G14628" t="s">
        <v>32839</v>
      </c>
      <c r="H14628" t="s">
        <v>32849</v>
      </c>
      <c r="I14628" t="s">
        <v>4177</v>
      </c>
      <c r="J14628" t="s">
        <v>41917</v>
      </c>
      <c r="K14628" t="s">
        <v>43000</v>
      </c>
      <c r="M14628" t="s">
        <v>46503</v>
      </c>
      <c r="N14628" t="s">
        <v>47424</v>
      </c>
      <c r="O14628" t="s">
        <v>47425</v>
      </c>
      <c r="P14628">
        <v>0</v>
      </c>
      <c r="Q14628">
        <v>1</v>
      </c>
      <c r="R14628" t="s">
        <v>47446</v>
      </c>
      <c r="S14628" t="s">
        <v>48377</v>
      </c>
      <c r="T14628" t="s">
        <v>49415</v>
      </c>
      <c r="U14628" t="s">
        <v>61571</v>
      </c>
      <c r="W14628" t="s">
        <v>64540</v>
      </c>
      <c r="X14628" t="s">
        <v>47447</v>
      </c>
    </row>
    <row r="14629" spans="1:24">
      <c r="A14629">
        <f>HYPERLINK("https://www.philgeps.gov.ph/GEPSNONPILOT/Tender/SplashBidNoticeAbstractUI.aspx?menuIndex=3&amp;refID=7125029&amp;Result=3","7125029")</f>
        <v>0</v>
      </c>
      <c r="B14629" t="s">
        <v>3835</v>
      </c>
      <c r="C14629" t="s">
        <v>17746</v>
      </c>
      <c r="D14629" t="s">
        <v>19037</v>
      </c>
      <c r="E14629" t="s">
        <v>31644</v>
      </c>
      <c r="F14629" t="s">
        <v>32831</v>
      </c>
      <c r="G14629" t="s">
        <v>32839</v>
      </c>
      <c r="H14629" t="s">
        <v>32848</v>
      </c>
      <c r="I14629" t="s">
        <v>7416</v>
      </c>
      <c r="J14629" t="s">
        <v>41918</v>
      </c>
      <c r="K14629" t="s">
        <v>42743</v>
      </c>
      <c r="M14629" t="s">
        <v>47260</v>
      </c>
      <c r="N14629" t="s">
        <v>47424</v>
      </c>
      <c r="O14629" t="s">
        <v>47425</v>
      </c>
      <c r="P14629">
        <v>0</v>
      </c>
      <c r="Q14629">
        <v>0</v>
      </c>
      <c r="R14629" t="s">
        <v>47446</v>
      </c>
      <c r="S14629" t="s">
        <v>48377</v>
      </c>
      <c r="T14629" t="s">
        <v>49237</v>
      </c>
      <c r="U14629" t="s">
        <v>61572</v>
      </c>
      <c r="V14629" t="s">
        <v>64292</v>
      </c>
      <c r="W14629" t="s">
        <v>47260</v>
      </c>
      <c r="X14629" t="s">
        <v>47447</v>
      </c>
    </row>
    <row r="14630" spans="1:24">
      <c r="A14630">
        <f>HYPERLINK("https://www.philgeps.gov.ph/GEPSNONPILOT/Tender/SplashBidNoticeAbstractUI.aspx?menuIndex=3&amp;refID=7125228&amp;Result=3","7125228")</f>
        <v>0</v>
      </c>
      <c r="B14630" t="s">
        <v>3413</v>
      </c>
      <c r="C14630" t="s">
        <v>17747</v>
      </c>
      <c r="D14630" t="s">
        <v>19055</v>
      </c>
      <c r="E14630" t="s">
        <v>31645</v>
      </c>
      <c r="F14630" t="s">
        <v>32831</v>
      </c>
      <c r="G14630" t="s">
        <v>32839</v>
      </c>
      <c r="H14630" t="s">
        <v>32849</v>
      </c>
      <c r="I14630" t="s">
        <v>4177</v>
      </c>
      <c r="J14630" t="s">
        <v>41919</v>
      </c>
      <c r="K14630" t="s">
        <v>42892</v>
      </c>
      <c r="M14630" t="s">
        <v>46747</v>
      </c>
      <c r="N14630" t="s">
        <v>47424</v>
      </c>
      <c r="O14630" t="s">
        <v>47425</v>
      </c>
      <c r="P14630">
        <v>0</v>
      </c>
      <c r="Q14630">
        <v>1</v>
      </c>
      <c r="R14630" t="s">
        <v>47446</v>
      </c>
      <c r="S14630" t="s">
        <v>48377</v>
      </c>
      <c r="T14630" t="s">
        <v>49123</v>
      </c>
      <c r="U14630" t="s">
        <v>61573</v>
      </c>
      <c r="V14630" t="s">
        <v>63898</v>
      </c>
      <c r="W14630" t="s">
        <v>46747</v>
      </c>
      <c r="X14630" t="s">
        <v>47447</v>
      </c>
    </row>
    <row r="14631" spans="1:24">
      <c r="A14631">
        <f>HYPERLINK("https://www.philgeps.gov.ph/GEPSNONPILOT/Tender/SplashBidNoticeAbstractUI.aspx?menuIndex=3&amp;refID=7125017&amp;Result=3","7125017")</f>
        <v>0</v>
      </c>
      <c r="B14631" t="s">
        <v>1414</v>
      </c>
      <c r="C14631" t="s">
        <v>17748</v>
      </c>
      <c r="D14631" t="s">
        <v>19030</v>
      </c>
      <c r="E14631" t="s">
        <v>31629</v>
      </c>
      <c r="F14631" t="s">
        <v>32831</v>
      </c>
      <c r="G14631" t="s">
        <v>32839</v>
      </c>
      <c r="H14631" t="s">
        <v>32849</v>
      </c>
      <c r="I14631" t="s">
        <v>4177</v>
      </c>
      <c r="J14631" t="s">
        <v>41920</v>
      </c>
      <c r="K14631" t="s">
        <v>42757</v>
      </c>
      <c r="M14631" t="s">
        <v>44502</v>
      </c>
      <c r="N14631" t="s">
        <v>47424</v>
      </c>
      <c r="O14631" t="s">
        <v>47425</v>
      </c>
      <c r="P14631">
        <v>0</v>
      </c>
      <c r="Q14631">
        <v>2</v>
      </c>
      <c r="R14631" t="s">
        <v>47446</v>
      </c>
      <c r="S14631" t="s">
        <v>48377</v>
      </c>
      <c r="T14631" t="s">
        <v>49177</v>
      </c>
      <c r="U14631" t="s">
        <v>61541</v>
      </c>
      <c r="W14631" t="s">
        <v>44502</v>
      </c>
      <c r="X14631" t="s">
        <v>47447</v>
      </c>
    </row>
    <row r="14632" spans="1:24">
      <c r="A14632">
        <f>HYPERLINK("https://www.philgeps.gov.ph/GEPSNONPILOT/Tender/SplashBidNoticeAbstractUI.aspx?menuIndex=3&amp;refID=7125305&amp;Result=3","7125305")</f>
        <v>0</v>
      </c>
      <c r="B14632" t="s">
        <v>3839</v>
      </c>
      <c r="C14632" t="s">
        <v>17749</v>
      </c>
      <c r="D14632" t="s">
        <v>19022</v>
      </c>
      <c r="E14632" t="s">
        <v>31646</v>
      </c>
      <c r="F14632" t="s">
        <v>32831</v>
      </c>
      <c r="G14632" t="s">
        <v>32839</v>
      </c>
      <c r="H14632" t="s">
        <v>32848</v>
      </c>
      <c r="I14632" t="s">
        <v>7416</v>
      </c>
      <c r="J14632" t="s">
        <v>33044</v>
      </c>
      <c r="K14632" t="s">
        <v>42779</v>
      </c>
      <c r="M14632" t="s">
        <v>47264</v>
      </c>
      <c r="N14632" t="s">
        <v>47424</v>
      </c>
      <c r="O14632" t="s">
        <v>47425</v>
      </c>
      <c r="P14632">
        <v>0</v>
      </c>
      <c r="Q14632">
        <v>1</v>
      </c>
      <c r="R14632" t="s">
        <v>47446</v>
      </c>
      <c r="S14632" t="s">
        <v>48377</v>
      </c>
      <c r="T14632" t="s">
        <v>49108</v>
      </c>
      <c r="U14632" t="s">
        <v>61574</v>
      </c>
      <c r="W14632" t="s">
        <v>47264</v>
      </c>
      <c r="X14632" t="s">
        <v>47447</v>
      </c>
    </row>
    <row r="14633" spans="1:24">
      <c r="A14633">
        <f>HYPERLINK("https://www.philgeps.gov.ph/GEPSNONPILOT/Tender/SplashBidNoticeAbstractUI.aspx?menuIndex=3&amp;refID=7125081&amp;Result=3","7125081")</f>
        <v>0</v>
      </c>
      <c r="B14633" t="s">
        <v>3837</v>
      </c>
      <c r="C14633" t="s">
        <v>17750</v>
      </c>
      <c r="D14633" t="s">
        <v>19023</v>
      </c>
      <c r="E14633" t="s">
        <v>31647</v>
      </c>
      <c r="F14633" t="s">
        <v>32831</v>
      </c>
      <c r="G14633" t="s">
        <v>32839</v>
      </c>
      <c r="H14633" t="s">
        <v>32849</v>
      </c>
      <c r="I14633" t="s">
        <v>4177</v>
      </c>
      <c r="J14633" t="s">
        <v>38388</v>
      </c>
      <c r="K14633" t="s">
        <v>42828</v>
      </c>
      <c r="M14633" t="s">
        <v>47262</v>
      </c>
      <c r="N14633" t="s">
        <v>47424</v>
      </c>
      <c r="O14633" t="s">
        <v>47425</v>
      </c>
      <c r="Q14633">
        <v>12</v>
      </c>
      <c r="R14633" t="s">
        <v>47446</v>
      </c>
      <c r="S14633" t="s">
        <v>48451</v>
      </c>
      <c r="T14633" t="s">
        <v>49214</v>
      </c>
      <c r="U14633" t="s">
        <v>61575</v>
      </c>
      <c r="V14633" t="s">
        <v>64294</v>
      </c>
      <c r="W14633" t="s">
        <v>47262</v>
      </c>
      <c r="X14633" t="s">
        <v>47447</v>
      </c>
    </row>
    <row r="14634" spans="1:24">
      <c r="A14634">
        <f>HYPERLINK("https://www.philgeps.gov.ph/GEPSNONPILOT/Tender/SplashBidNoticeAbstractUI.aspx?menuIndex=3&amp;refID=7125288&amp;Result=3","7125288")</f>
        <v>0</v>
      </c>
      <c r="B14634" t="s">
        <v>3835</v>
      </c>
      <c r="C14634" t="s">
        <v>17751</v>
      </c>
      <c r="D14634" t="s">
        <v>19037</v>
      </c>
      <c r="E14634" t="s">
        <v>31648</v>
      </c>
      <c r="F14634" t="s">
        <v>32831</v>
      </c>
      <c r="G14634" t="s">
        <v>32839</v>
      </c>
      <c r="H14634" t="s">
        <v>32849</v>
      </c>
      <c r="I14634" t="s">
        <v>4177</v>
      </c>
      <c r="J14634" t="s">
        <v>41921</v>
      </c>
      <c r="K14634" t="s">
        <v>42761</v>
      </c>
      <c r="M14634" t="s">
        <v>47260</v>
      </c>
      <c r="N14634" t="s">
        <v>47424</v>
      </c>
      <c r="O14634" t="s">
        <v>47425</v>
      </c>
      <c r="P14634">
        <v>0</v>
      </c>
      <c r="Q14634">
        <v>6</v>
      </c>
      <c r="R14634" t="s">
        <v>47446</v>
      </c>
      <c r="S14634" t="s">
        <v>48377</v>
      </c>
      <c r="T14634" t="s">
        <v>49237</v>
      </c>
      <c r="U14634" t="s">
        <v>61576</v>
      </c>
      <c r="V14634" t="s">
        <v>62833</v>
      </c>
      <c r="W14634" t="s">
        <v>47260</v>
      </c>
      <c r="X14634" t="s">
        <v>47447</v>
      </c>
    </row>
    <row r="14635" spans="1:24">
      <c r="A14635">
        <f>HYPERLINK("https://www.philgeps.gov.ph/GEPSNONPILOT/Tender/SplashBidNoticeAbstractUI.aspx?menuIndex=3&amp;refID=7125319&amp;Result=3","7125319")</f>
        <v>0</v>
      </c>
      <c r="B14635" t="s">
        <v>2666</v>
      </c>
      <c r="C14635" t="s">
        <v>17752</v>
      </c>
      <c r="D14635" t="s">
        <v>19077</v>
      </c>
      <c r="E14635" t="s">
        <v>31649</v>
      </c>
      <c r="F14635" t="s">
        <v>32831</v>
      </c>
      <c r="G14635" t="s">
        <v>32839</v>
      </c>
      <c r="H14635" t="s">
        <v>32848</v>
      </c>
      <c r="I14635" t="s">
        <v>4487</v>
      </c>
      <c r="J14635" t="s">
        <v>33524</v>
      </c>
      <c r="K14635" t="s">
        <v>42730</v>
      </c>
      <c r="M14635" t="s">
        <v>46346</v>
      </c>
      <c r="N14635" t="s">
        <v>47424</v>
      </c>
      <c r="O14635" t="s">
        <v>47425</v>
      </c>
      <c r="Q14635">
        <v>7</v>
      </c>
      <c r="R14635" t="s">
        <v>47446</v>
      </c>
      <c r="S14635" t="s">
        <v>48452</v>
      </c>
      <c r="T14635" t="s">
        <v>49237</v>
      </c>
      <c r="U14635" t="s">
        <v>61577</v>
      </c>
      <c r="W14635" t="s">
        <v>46346</v>
      </c>
      <c r="X14635" t="s">
        <v>47447</v>
      </c>
    </row>
    <row r="14636" spans="1:24">
      <c r="A14636">
        <f>HYPERLINK("https://www.philgeps.gov.ph/GEPSNONPILOT/Tender/SplashBidNoticeAbstractUI.aspx?menuIndex=3&amp;refID=7125064&amp;Result=3","7125064")</f>
        <v>0</v>
      </c>
      <c r="B14636" t="s">
        <v>1258</v>
      </c>
      <c r="C14636" t="s">
        <v>17753</v>
      </c>
      <c r="D14636" t="s">
        <v>19017</v>
      </c>
      <c r="E14636" t="s">
        <v>31650</v>
      </c>
      <c r="F14636" t="s">
        <v>32831</v>
      </c>
      <c r="G14636" t="s">
        <v>32839</v>
      </c>
      <c r="H14636" t="s">
        <v>32848</v>
      </c>
      <c r="I14636" t="s">
        <v>32960</v>
      </c>
      <c r="J14636" t="s">
        <v>37430</v>
      </c>
      <c r="K14636" t="s">
        <v>42732</v>
      </c>
      <c r="M14636" t="s">
        <v>44328</v>
      </c>
      <c r="N14636" t="s">
        <v>47424</v>
      </c>
      <c r="O14636" t="s">
        <v>47425</v>
      </c>
      <c r="Q14636">
        <v>12</v>
      </c>
      <c r="R14636" t="s">
        <v>47446</v>
      </c>
      <c r="S14636" t="s">
        <v>48453</v>
      </c>
      <c r="T14636" t="s">
        <v>49063</v>
      </c>
      <c r="U14636" t="s">
        <v>52157</v>
      </c>
      <c r="W14636" t="s">
        <v>44328</v>
      </c>
      <c r="X14636" t="s">
        <v>47447</v>
      </c>
    </row>
    <row r="14637" spans="1:24">
      <c r="A14637">
        <f>HYPERLINK("https://www.philgeps.gov.ph/GEPSNONPILOT/Tender/SplashBidNoticeAbstractUI.aspx?menuIndex=3&amp;refID=7125248&amp;Result=3","7125248")</f>
        <v>0</v>
      </c>
      <c r="B14637" t="s">
        <v>198</v>
      </c>
      <c r="C14637" t="s">
        <v>17754</v>
      </c>
      <c r="D14637" t="s">
        <v>19045</v>
      </c>
      <c r="E14637" t="s">
        <v>31651</v>
      </c>
      <c r="F14637" t="s">
        <v>32831</v>
      </c>
      <c r="G14637" t="s">
        <v>32839</v>
      </c>
      <c r="H14637" t="s">
        <v>32848</v>
      </c>
      <c r="I14637" t="s">
        <v>32890</v>
      </c>
      <c r="J14637" t="s">
        <v>39423</v>
      </c>
      <c r="K14637" t="s">
        <v>42730</v>
      </c>
      <c r="M14637" t="s">
        <v>43196</v>
      </c>
      <c r="N14637" t="s">
        <v>47424</v>
      </c>
      <c r="O14637" t="s">
        <v>47425</v>
      </c>
      <c r="P14637">
        <v>0</v>
      </c>
      <c r="Q14637">
        <v>0</v>
      </c>
      <c r="R14637" t="s">
        <v>47446</v>
      </c>
      <c r="S14637" t="s">
        <v>48377</v>
      </c>
      <c r="T14637" t="s">
        <v>49212</v>
      </c>
      <c r="U14637" t="s">
        <v>61578</v>
      </c>
      <c r="V14637" t="s">
        <v>63628</v>
      </c>
      <c r="W14637" t="s">
        <v>43196</v>
      </c>
      <c r="X14637" t="s">
        <v>47447</v>
      </c>
    </row>
    <row r="14638" spans="1:24">
      <c r="A14638">
        <f>HYPERLINK("https://www.philgeps.gov.ph/GEPSNONPILOT/Tender/SplashBidNoticeAbstractUI.aspx?menuIndex=3&amp;refID=7125280&amp;Result=3","7125280")</f>
        <v>0</v>
      </c>
      <c r="B14638" t="s">
        <v>935</v>
      </c>
      <c r="C14638" t="s">
        <v>17755</v>
      </c>
      <c r="D14638" t="s">
        <v>19044</v>
      </c>
      <c r="E14638" t="s">
        <v>31652</v>
      </c>
      <c r="F14638" t="s">
        <v>32831</v>
      </c>
      <c r="G14638" t="s">
        <v>32839</v>
      </c>
      <c r="H14638" t="s">
        <v>32848</v>
      </c>
      <c r="I14638" t="s">
        <v>7751</v>
      </c>
      <c r="J14638" t="s">
        <v>35553</v>
      </c>
      <c r="K14638" t="s">
        <v>42747</v>
      </c>
      <c r="M14638" t="s">
        <v>43977</v>
      </c>
      <c r="N14638" t="s">
        <v>47424</v>
      </c>
      <c r="O14638" t="s">
        <v>47425</v>
      </c>
      <c r="P14638">
        <v>0</v>
      </c>
      <c r="Q14638">
        <v>7</v>
      </c>
      <c r="R14638" t="s">
        <v>47446</v>
      </c>
      <c r="S14638" t="s">
        <v>48377</v>
      </c>
      <c r="T14638" t="s">
        <v>49166</v>
      </c>
      <c r="U14638" t="s">
        <v>61579</v>
      </c>
      <c r="W14638" t="s">
        <v>43977</v>
      </c>
      <c r="X14638" t="s">
        <v>47447</v>
      </c>
    </row>
    <row r="14639" spans="1:24">
      <c r="A14639">
        <f>HYPERLINK("https://www.philgeps.gov.ph/GEPSNONPILOT/Tender/SplashBidNoticeAbstractUI.aspx?menuIndex=3&amp;refID=7125234&amp;Result=3","7125234")</f>
        <v>0</v>
      </c>
      <c r="B14639" t="s">
        <v>3840</v>
      </c>
      <c r="C14639" t="s">
        <v>17756</v>
      </c>
      <c r="D14639" t="s">
        <v>19037</v>
      </c>
      <c r="E14639" t="s">
        <v>31653</v>
      </c>
      <c r="F14639" t="s">
        <v>32831</v>
      </c>
      <c r="G14639" t="s">
        <v>32839</v>
      </c>
      <c r="H14639" t="s">
        <v>32848</v>
      </c>
      <c r="I14639" t="s">
        <v>7416</v>
      </c>
      <c r="J14639" t="s">
        <v>41922</v>
      </c>
      <c r="K14639" t="s">
        <v>42780</v>
      </c>
      <c r="M14639" t="s">
        <v>47265</v>
      </c>
      <c r="N14639" t="s">
        <v>47424</v>
      </c>
      <c r="O14639" t="s">
        <v>47425</v>
      </c>
      <c r="Q14639">
        <v>4</v>
      </c>
      <c r="R14639" t="s">
        <v>47446</v>
      </c>
      <c r="S14639" t="s">
        <v>48454</v>
      </c>
      <c r="T14639" t="s">
        <v>49080</v>
      </c>
      <c r="U14639" t="s">
        <v>61580</v>
      </c>
      <c r="W14639" t="s">
        <v>47265</v>
      </c>
      <c r="X14639" t="s">
        <v>47447</v>
      </c>
    </row>
    <row r="14640" spans="1:24">
      <c r="A14640">
        <f>HYPERLINK("https://www.philgeps.gov.ph/GEPSNONPILOT/Tender/SplashBidNoticeAbstractUI.aspx?menuIndex=3&amp;refID=7125212&amp;Result=3","7125212")</f>
        <v>0</v>
      </c>
      <c r="B14640" t="s">
        <v>2363</v>
      </c>
      <c r="C14640" t="s">
        <v>17757</v>
      </c>
      <c r="E14640" t="s">
        <v>31654</v>
      </c>
      <c r="F14640" t="s">
        <v>32831</v>
      </c>
      <c r="G14640" t="s">
        <v>32839</v>
      </c>
      <c r="H14640" t="s">
        <v>32848</v>
      </c>
      <c r="I14640" t="s">
        <v>32857</v>
      </c>
      <c r="J14640" t="s">
        <v>41923</v>
      </c>
      <c r="K14640" t="s">
        <v>42732</v>
      </c>
      <c r="M14640" t="s">
        <v>45975</v>
      </c>
      <c r="N14640" t="s">
        <v>47424</v>
      </c>
      <c r="O14640" t="s">
        <v>47425</v>
      </c>
      <c r="Q14640">
        <v>26</v>
      </c>
      <c r="R14640" t="s">
        <v>47446</v>
      </c>
      <c r="S14640" t="s">
        <v>48455</v>
      </c>
      <c r="T14640" t="s">
        <v>49242</v>
      </c>
      <c r="U14640" t="s">
        <v>61581</v>
      </c>
      <c r="W14640" t="s">
        <v>45975</v>
      </c>
      <c r="X14640" t="s">
        <v>47447</v>
      </c>
    </row>
    <row r="14641" spans="1:24">
      <c r="A14641">
        <f>HYPERLINK("https://www.philgeps.gov.ph/GEPSNONPILOT/Tender/SplashBidNoticeAbstractUI.aspx?menuIndex=3&amp;refID=7125499&amp;Result=3","7125499")</f>
        <v>0</v>
      </c>
      <c r="B14641" t="s">
        <v>3841</v>
      </c>
      <c r="C14641" t="s">
        <v>17758</v>
      </c>
      <c r="D14641" t="s">
        <v>19125</v>
      </c>
      <c r="E14641" t="s">
        <v>31655</v>
      </c>
      <c r="F14641" t="s">
        <v>32831</v>
      </c>
      <c r="G14641" t="s">
        <v>32839</v>
      </c>
      <c r="H14641" t="s">
        <v>32848</v>
      </c>
      <c r="I14641" t="s">
        <v>32875</v>
      </c>
      <c r="J14641" t="s">
        <v>40392</v>
      </c>
      <c r="K14641" t="s">
        <v>42729</v>
      </c>
      <c r="M14641" t="s">
        <v>47266</v>
      </c>
      <c r="N14641" t="s">
        <v>47424</v>
      </c>
      <c r="O14641" t="s">
        <v>47425</v>
      </c>
      <c r="Q14641">
        <v>7</v>
      </c>
      <c r="R14641" t="s">
        <v>47446</v>
      </c>
      <c r="S14641" t="s">
        <v>48456</v>
      </c>
      <c r="T14641" t="s">
        <v>49111</v>
      </c>
      <c r="U14641" t="s">
        <v>61582</v>
      </c>
      <c r="V14641" t="s">
        <v>64295</v>
      </c>
      <c r="W14641" t="s">
        <v>47266</v>
      </c>
      <c r="X14641" t="s">
        <v>47447</v>
      </c>
    </row>
    <row r="14642" spans="1:24">
      <c r="A14642">
        <f>HYPERLINK("https://www.philgeps.gov.ph/GEPSNONPILOT/Tender/SplashBidNoticeAbstractUI.aspx?menuIndex=3&amp;refID=7125476&amp;Result=3","7125476")</f>
        <v>0</v>
      </c>
      <c r="B14642" t="s">
        <v>198</v>
      </c>
      <c r="C14642" t="s">
        <v>17759</v>
      </c>
      <c r="D14642" t="s">
        <v>19045</v>
      </c>
      <c r="E14642" t="s">
        <v>31656</v>
      </c>
      <c r="F14642" t="s">
        <v>32831</v>
      </c>
      <c r="G14642" t="s">
        <v>32839</v>
      </c>
      <c r="H14642" t="s">
        <v>32849</v>
      </c>
      <c r="I14642" t="s">
        <v>4177</v>
      </c>
      <c r="J14642" t="s">
        <v>41728</v>
      </c>
      <c r="K14642" t="s">
        <v>42729</v>
      </c>
      <c r="M14642" t="s">
        <v>43196</v>
      </c>
      <c r="N14642" t="s">
        <v>47424</v>
      </c>
      <c r="O14642" t="s">
        <v>47425</v>
      </c>
      <c r="P14642">
        <v>0</v>
      </c>
      <c r="Q14642">
        <v>3</v>
      </c>
      <c r="R14642" t="s">
        <v>47446</v>
      </c>
      <c r="S14642" t="s">
        <v>48377</v>
      </c>
      <c r="T14642" t="s">
        <v>49212</v>
      </c>
      <c r="U14642" t="s">
        <v>61583</v>
      </c>
      <c r="V14642" t="s">
        <v>63628</v>
      </c>
      <c r="W14642" t="s">
        <v>43196</v>
      </c>
      <c r="X14642" t="s">
        <v>47447</v>
      </c>
    </row>
    <row r="14643" spans="1:24">
      <c r="A14643">
        <f>HYPERLINK("https://www.philgeps.gov.ph/GEPSNONPILOT/Tender/SplashBidNoticeAbstractUI.aspx?menuIndex=3&amp;refID=7125222&amp;Result=3","7125222")</f>
        <v>0</v>
      </c>
      <c r="B14643" t="s">
        <v>935</v>
      </c>
      <c r="C14643" t="s">
        <v>17760</v>
      </c>
      <c r="D14643" t="s">
        <v>19044</v>
      </c>
      <c r="E14643" t="s">
        <v>31657</v>
      </c>
      <c r="F14643" t="s">
        <v>32831</v>
      </c>
      <c r="G14643" t="s">
        <v>32839</v>
      </c>
      <c r="H14643" t="s">
        <v>32848</v>
      </c>
      <c r="I14643" t="s">
        <v>7751</v>
      </c>
      <c r="J14643" t="s">
        <v>38391</v>
      </c>
      <c r="K14643" t="s">
        <v>42747</v>
      </c>
      <c r="M14643" t="s">
        <v>43977</v>
      </c>
      <c r="N14643" t="s">
        <v>47424</v>
      </c>
      <c r="O14643" t="s">
        <v>47425</v>
      </c>
      <c r="P14643">
        <v>0</v>
      </c>
      <c r="Q14643">
        <v>4</v>
      </c>
      <c r="R14643" t="s">
        <v>47446</v>
      </c>
      <c r="S14643" t="s">
        <v>48377</v>
      </c>
      <c r="T14643" t="s">
        <v>49166</v>
      </c>
      <c r="U14643" t="s">
        <v>61584</v>
      </c>
      <c r="W14643" t="s">
        <v>43977</v>
      </c>
      <c r="X14643" t="s">
        <v>47447</v>
      </c>
    </row>
    <row r="14644" spans="1:24">
      <c r="A14644">
        <f>HYPERLINK("https://www.philgeps.gov.ph/GEPSNONPILOT/Tender/SplashBidNoticeAbstractUI.aspx?menuIndex=3&amp;refID=7125517&amp;Result=3","7125517")</f>
        <v>0</v>
      </c>
      <c r="B14644" t="s">
        <v>745</v>
      </c>
      <c r="C14644" t="s">
        <v>17761</v>
      </c>
      <c r="D14644" t="s">
        <v>19077</v>
      </c>
      <c r="E14644" t="s">
        <v>31658</v>
      </c>
      <c r="F14644" t="s">
        <v>32831</v>
      </c>
      <c r="G14644" t="s">
        <v>32839</v>
      </c>
      <c r="H14644" t="s">
        <v>32848</v>
      </c>
      <c r="I14644" t="s">
        <v>4558</v>
      </c>
      <c r="J14644" t="s">
        <v>41924</v>
      </c>
      <c r="K14644" t="s">
        <v>42729</v>
      </c>
      <c r="M14644" t="s">
        <v>43768</v>
      </c>
      <c r="N14644" t="s">
        <v>47424</v>
      </c>
      <c r="O14644" t="s">
        <v>47425</v>
      </c>
      <c r="Q14644">
        <v>12</v>
      </c>
      <c r="R14644" t="s">
        <v>47446</v>
      </c>
      <c r="S14644" t="s">
        <v>48457</v>
      </c>
      <c r="T14644" t="s">
        <v>49321</v>
      </c>
      <c r="U14644" t="s">
        <v>61585</v>
      </c>
      <c r="W14644" t="s">
        <v>43768</v>
      </c>
      <c r="X14644" t="s">
        <v>47447</v>
      </c>
    </row>
    <row r="14645" spans="1:24">
      <c r="A14645">
        <f>HYPERLINK("https://www.philgeps.gov.ph/GEPSNONPILOT/Tender/SplashBidNoticeAbstractUI.aspx?menuIndex=3&amp;refID=7125223&amp;Result=3","7125223")</f>
        <v>0</v>
      </c>
      <c r="B14645" t="s">
        <v>668</v>
      </c>
      <c r="C14645" t="s">
        <v>17762</v>
      </c>
      <c r="D14645" t="s">
        <v>19034</v>
      </c>
      <c r="E14645" t="s">
        <v>31659</v>
      </c>
      <c r="F14645" t="s">
        <v>32831</v>
      </c>
      <c r="G14645" t="s">
        <v>32839</v>
      </c>
      <c r="H14645" t="s">
        <v>32849</v>
      </c>
      <c r="I14645" t="s">
        <v>4177</v>
      </c>
      <c r="J14645" t="s">
        <v>41925</v>
      </c>
      <c r="K14645" t="s">
        <v>42763</v>
      </c>
      <c r="M14645" t="s">
        <v>43687</v>
      </c>
      <c r="N14645" t="s">
        <v>47424</v>
      </c>
      <c r="O14645" t="s">
        <v>47425</v>
      </c>
      <c r="P14645">
        <v>0</v>
      </c>
      <c r="Q14645">
        <v>1</v>
      </c>
      <c r="R14645" t="s">
        <v>47446</v>
      </c>
      <c r="S14645" t="s">
        <v>48377</v>
      </c>
      <c r="T14645" t="s">
        <v>49321</v>
      </c>
      <c r="U14645" t="s">
        <v>61586</v>
      </c>
      <c r="W14645" t="s">
        <v>43687</v>
      </c>
      <c r="X14645" t="s">
        <v>47447</v>
      </c>
    </row>
    <row r="14646" spans="1:24">
      <c r="A14646">
        <f>HYPERLINK("https://www.philgeps.gov.ph/GEPSNONPILOT/Tender/SplashBidNoticeAbstractUI.aspx?menuIndex=3&amp;refID=7125515&amp;Result=3","7125515")</f>
        <v>0</v>
      </c>
      <c r="B14646" t="s">
        <v>3842</v>
      </c>
      <c r="C14646" t="s">
        <v>17763</v>
      </c>
      <c r="D14646" t="s">
        <v>19017</v>
      </c>
      <c r="E14646" t="s">
        <v>31660</v>
      </c>
      <c r="F14646" t="s">
        <v>32831</v>
      </c>
      <c r="G14646" t="s">
        <v>32839</v>
      </c>
      <c r="H14646" t="s">
        <v>32848</v>
      </c>
      <c r="I14646" t="s">
        <v>9577</v>
      </c>
      <c r="J14646" t="s">
        <v>41926</v>
      </c>
      <c r="K14646" t="s">
        <v>42729</v>
      </c>
      <c r="M14646" t="s">
        <v>47267</v>
      </c>
      <c r="N14646" t="s">
        <v>47424</v>
      </c>
      <c r="O14646" t="s">
        <v>47425</v>
      </c>
      <c r="Q14646">
        <v>6</v>
      </c>
      <c r="R14646" t="s">
        <v>47446</v>
      </c>
      <c r="S14646" t="s">
        <v>48458</v>
      </c>
      <c r="T14646" t="s">
        <v>49214</v>
      </c>
      <c r="U14646" t="s">
        <v>61587</v>
      </c>
      <c r="W14646" t="s">
        <v>47267</v>
      </c>
      <c r="X14646" t="s">
        <v>47447</v>
      </c>
    </row>
    <row r="14647" spans="1:24">
      <c r="A14647">
        <f>HYPERLINK("https://www.philgeps.gov.ph/GEPSNONPILOT/Tender/SplashBidNoticeAbstractUI.aspx?menuIndex=3&amp;refID=7125255&amp;Result=3","7125255")</f>
        <v>0</v>
      </c>
      <c r="B14647" t="s">
        <v>2990</v>
      </c>
      <c r="C14647" t="s">
        <v>17764</v>
      </c>
      <c r="D14647" t="s">
        <v>19074</v>
      </c>
      <c r="E14647" t="s">
        <v>31661</v>
      </c>
      <c r="F14647" t="s">
        <v>32831</v>
      </c>
      <c r="G14647" t="s">
        <v>32839</v>
      </c>
      <c r="H14647" t="s">
        <v>32849</v>
      </c>
      <c r="I14647" t="s">
        <v>4177</v>
      </c>
      <c r="J14647" t="s">
        <v>33528</v>
      </c>
      <c r="K14647" t="s">
        <v>42943</v>
      </c>
      <c r="M14647" t="s">
        <v>46254</v>
      </c>
      <c r="N14647" t="s">
        <v>47424</v>
      </c>
      <c r="O14647" t="s">
        <v>47425</v>
      </c>
      <c r="P14647">
        <v>0</v>
      </c>
      <c r="Q14647">
        <v>2</v>
      </c>
      <c r="R14647" t="s">
        <v>47446</v>
      </c>
      <c r="S14647" t="s">
        <v>48377</v>
      </c>
      <c r="T14647" t="s">
        <v>49237</v>
      </c>
      <c r="U14647" t="s">
        <v>61588</v>
      </c>
      <c r="W14647" t="s">
        <v>46254</v>
      </c>
      <c r="X14647" t="s">
        <v>47447</v>
      </c>
    </row>
    <row r="14648" spans="1:24">
      <c r="A14648">
        <f>HYPERLINK("https://www.philgeps.gov.ph/GEPSNONPILOT/Tender/SplashBidNoticeAbstractUI.aspx?menuIndex=3&amp;refID=7125500&amp;Result=3","7125500")</f>
        <v>0</v>
      </c>
      <c r="B14648" t="s">
        <v>1939</v>
      </c>
      <c r="C14648" t="s">
        <v>17765</v>
      </c>
      <c r="D14648" t="s">
        <v>19067</v>
      </c>
      <c r="E14648" t="s">
        <v>31662</v>
      </c>
      <c r="F14648" t="s">
        <v>32831</v>
      </c>
      <c r="G14648" t="s">
        <v>32839</v>
      </c>
      <c r="H14648" t="s">
        <v>32849</v>
      </c>
      <c r="I14648" t="s">
        <v>4177</v>
      </c>
      <c r="J14648" t="s">
        <v>36370</v>
      </c>
      <c r="K14648" t="s">
        <v>42943</v>
      </c>
      <c r="M14648" t="s">
        <v>45094</v>
      </c>
      <c r="N14648" t="s">
        <v>47424</v>
      </c>
      <c r="O14648" t="s">
        <v>47425</v>
      </c>
      <c r="Q14648">
        <v>0</v>
      </c>
      <c r="R14648" t="s">
        <v>47446</v>
      </c>
      <c r="S14648" t="s">
        <v>48459</v>
      </c>
      <c r="T14648" t="s">
        <v>49118</v>
      </c>
      <c r="U14648" t="s">
        <v>61493</v>
      </c>
      <c r="V14648" t="s">
        <v>64296</v>
      </c>
      <c r="W14648" t="s">
        <v>45094</v>
      </c>
      <c r="X14648" t="s">
        <v>47447</v>
      </c>
    </row>
    <row r="14649" spans="1:24">
      <c r="A14649">
        <f>HYPERLINK("https://www.philgeps.gov.ph/GEPSNONPILOT/Tender/SplashBidNoticeAbstractUI.aspx?menuIndex=3&amp;refID=7125446&amp;Result=3","7125446")</f>
        <v>0</v>
      </c>
      <c r="B14649" t="s">
        <v>678</v>
      </c>
      <c r="C14649" t="s">
        <v>17766</v>
      </c>
      <c r="D14649" t="s">
        <v>19037</v>
      </c>
      <c r="E14649" t="s">
        <v>31663</v>
      </c>
      <c r="F14649" t="s">
        <v>32831</v>
      </c>
      <c r="G14649" t="s">
        <v>32839</v>
      </c>
      <c r="H14649" t="s">
        <v>32849</v>
      </c>
      <c r="I14649" t="s">
        <v>4177</v>
      </c>
      <c r="J14649" t="s">
        <v>41927</v>
      </c>
      <c r="K14649" t="s">
        <v>42820</v>
      </c>
      <c r="M14649" t="s">
        <v>43697</v>
      </c>
      <c r="N14649" t="s">
        <v>47424</v>
      </c>
      <c r="O14649" t="s">
        <v>47425</v>
      </c>
      <c r="Q14649">
        <v>8</v>
      </c>
      <c r="R14649" t="s">
        <v>47446</v>
      </c>
      <c r="S14649" t="s">
        <v>48460</v>
      </c>
      <c r="T14649" t="s">
        <v>49127</v>
      </c>
      <c r="U14649" t="s">
        <v>61589</v>
      </c>
      <c r="W14649" t="s">
        <v>43697</v>
      </c>
      <c r="X14649" t="s">
        <v>47447</v>
      </c>
    </row>
    <row r="14650" spans="1:24">
      <c r="A14650">
        <f>HYPERLINK("https://www.philgeps.gov.ph/GEPSNONPILOT/Tender/SplashBidNoticeAbstractUI.aspx?menuIndex=3&amp;refID=7125417&amp;Result=3","7125417")</f>
        <v>0</v>
      </c>
      <c r="B14650" t="s">
        <v>884</v>
      </c>
      <c r="C14650" t="s">
        <v>17767</v>
      </c>
      <c r="E14650" t="s">
        <v>31664</v>
      </c>
      <c r="F14650" t="s">
        <v>32831</v>
      </c>
      <c r="G14650" t="s">
        <v>32839</v>
      </c>
      <c r="H14650" t="s">
        <v>32848</v>
      </c>
      <c r="I14650" t="s">
        <v>32861</v>
      </c>
      <c r="J14650" t="s">
        <v>41928</v>
      </c>
      <c r="K14650" t="s">
        <v>42732</v>
      </c>
      <c r="M14650" t="s">
        <v>47268</v>
      </c>
      <c r="N14650" t="s">
        <v>47424</v>
      </c>
      <c r="O14650" t="s">
        <v>47425</v>
      </c>
      <c r="Q14650">
        <v>26</v>
      </c>
      <c r="R14650" t="s">
        <v>47446</v>
      </c>
      <c r="S14650" t="s">
        <v>48461</v>
      </c>
      <c r="T14650" t="s">
        <v>49657</v>
      </c>
      <c r="U14650" t="s">
        <v>61590</v>
      </c>
      <c r="W14650" t="s">
        <v>47268</v>
      </c>
      <c r="X14650" t="s">
        <v>47447</v>
      </c>
    </row>
    <row r="14651" spans="1:24">
      <c r="A14651">
        <f>HYPERLINK("https://www.philgeps.gov.ph/GEPSNONPILOT/Tender/SplashBidNoticeAbstractUI.aspx?menuIndex=3&amp;refID=7125453&amp;Result=3","7125453")</f>
        <v>0</v>
      </c>
      <c r="B14651" t="s">
        <v>3842</v>
      </c>
      <c r="C14651" t="s">
        <v>17768</v>
      </c>
      <c r="D14651" t="s">
        <v>19017</v>
      </c>
      <c r="E14651" t="s">
        <v>31665</v>
      </c>
      <c r="F14651" t="s">
        <v>32831</v>
      </c>
      <c r="G14651" t="s">
        <v>32839</v>
      </c>
      <c r="H14651" t="s">
        <v>32848</v>
      </c>
      <c r="I14651" t="s">
        <v>9577</v>
      </c>
      <c r="J14651" t="s">
        <v>41929</v>
      </c>
      <c r="K14651" t="s">
        <v>42729</v>
      </c>
      <c r="M14651" t="s">
        <v>47267</v>
      </c>
      <c r="N14651" t="s">
        <v>47424</v>
      </c>
      <c r="O14651" t="s">
        <v>47425</v>
      </c>
      <c r="Q14651">
        <v>4</v>
      </c>
      <c r="R14651" t="s">
        <v>47446</v>
      </c>
      <c r="S14651" t="s">
        <v>47739</v>
      </c>
      <c r="T14651" t="s">
        <v>49114</v>
      </c>
      <c r="U14651" t="s">
        <v>61591</v>
      </c>
      <c r="W14651" t="s">
        <v>47267</v>
      </c>
      <c r="X14651" t="s">
        <v>47447</v>
      </c>
    </row>
    <row r="14652" spans="1:24">
      <c r="A14652">
        <f>HYPERLINK("https://www.philgeps.gov.ph/GEPSNONPILOT/Tender/SplashBidNoticeAbstractUI.aspx?menuIndex=3&amp;refID=7125394&amp;Result=3","7125394")</f>
        <v>0</v>
      </c>
      <c r="B14652" t="s">
        <v>198</v>
      </c>
      <c r="C14652" t="s">
        <v>17769</v>
      </c>
      <c r="D14652" t="s">
        <v>19045</v>
      </c>
      <c r="E14652" t="s">
        <v>31666</v>
      </c>
      <c r="F14652" t="s">
        <v>32831</v>
      </c>
      <c r="G14652" t="s">
        <v>32839</v>
      </c>
      <c r="H14652" t="s">
        <v>32849</v>
      </c>
      <c r="I14652" t="s">
        <v>4177</v>
      </c>
      <c r="J14652" t="s">
        <v>39197</v>
      </c>
      <c r="K14652" t="s">
        <v>42819</v>
      </c>
      <c r="M14652" t="s">
        <v>43196</v>
      </c>
      <c r="N14652" t="s">
        <v>47424</v>
      </c>
      <c r="O14652" t="s">
        <v>47425</v>
      </c>
      <c r="P14652">
        <v>0</v>
      </c>
      <c r="Q14652">
        <v>2</v>
      </c>
      <c r="R14652" t="s">
        <v>47446</v>
      </c>
      <c r="S14652" t="s">
        <v>48377</v>
      </c>
      <c r="T14652" t="s">
        <v>49212</v>
      </c>
      <c r="U14652" t="s">
        <v>61592</v>
      </c>
      <c r="V14652" t="s">
        <v>63628</v>
      </c>
      <c r="W14652" t="s">
        <v>43196</v>
      </c>
      <c r="X14652" t="s">
        <v>47447</v>
      </c>
    </row>
    <row r="14653" spans="1:24">
      <c r="A14653">
        <f>HYPERLINK("https://www.philgeps.gov.ph/GEPSNONPILOT/Tender/SplashBidNoticeAbstractUI.aspx?menuIndex=3&amp;refID=7125389&amp;Result=3","7125389")</f>
        <v>0</v>
      </c>
      <c r="B14653" t="s">
        <v>2669</v>
      </c>
      <c r="C14653" t="s">
        <v>17770</v>
      </c>
      <c r="D14653" t="s">
        <v>19043</v>
      </c>
      <c r="E14653" t="s">
        <v>31667</v>
      </c>
      <c r="F14653" t="s">
        <v>32831</v>
      </c>
      <c r="G14653" t="s">
        <v>32839</v>
      </c>
      <c r="H14653" t="s">
        <v>32849</v>
      </c>
      <c r="I14653" t="s">
        <v>4177</v>
      </c>
      <c r="J14653" t="s">
        <v>33111</v>
      </c>
      <c r="K14653" t="s">
        <v>42765</v>
      </c>
      <c r="M14653" t="s">
        <v>45892</v>
      </c>
      <c r="N14653" t="s">
        <v>47424</v>
      </c>
      <c r="O14653" t="s">
        <v>47425</v>
      </c>
      <c r="P14653">
        <v>0</v>
      </c>
      <c r="Q14653">
        <v>3</v>
      </c>
      <c r="R14653" t="s">
        <v>47446</v>
      </c>
      <c r="S14653" t="s">
        <v>48377</v>
      </c>
      <c r="T14653" t="s">
        <v>49151</v>
      </c>
      <c r="U14653" t="s">
        <v>60598</v>
      </c>
      <c r="W14653" t="s">
        <v>45892</v>
      </c>
      <c r="X14653" t="s">
        <v>47447</v>
      </c>
    </row>
    <row r="14654" spans="1:24">
      <c r="A14654">
        <f>HYPERLINK("https://www.philgeps.gov.ph/GEPSNONPILOT/Tender/SplashBidNoticeAbstractUI.aspx?menuIndex=3&amp;refID=7125630&amp;Result=3","7125630")</f>
        <v>0</v>
      </c>
      <c r="B14654" t="s">
        <v>745</v>
      </c>
      <c r="C14654" t="s">
        <v>17771</v>
      </c>
      <c r="D14654" t="s">
        <v>19077</v>
      </c>
      <c r="E14654" t="s">
        <v>31668</v>
      </c>
      <c r="F14654" t="s">
        <v>32831</v>
      </c>
      <c r="G14654" t="s">
        <v>32839</v>
      </c>
      <c r="H14654" t="s">
        <v>32848</v>
      </c>
      <c r="I14654" t="s">
        <v>32857</v>
      </c>
      <c r="J14654" t="s">
        <v>41930</v>
      </c>
      <c r="K14654" t="s">
        <v>42729</v>
      </c>
      <c r="M14654" t="s">
        <v>43768</v>
      </c>
      <c r="N14654" t="s">
        <v>47424</v>
      </c>
      <c r="O14654" t="s">
        <v>47425</v>
      </c>
      <c r="Q14654">
        <v>22</v>
      </c>
      <c r="R14654" t="s">
        <v>47446</v>
      </c>
      <c r="S14654" t="s">
        <v>48462</v>
      </c>
      <c r="T14654" t="s">
        <v>49321</v>
      </c>
      <c r="U14654" t="s">
        <v>61585</v>
      </c>
      <c r="W14654" t="s">
        <v>43768</v>
      </c>
      <c r="X14654" t="s">
        <v>47447</v>
      </c>
    </row>
    <row r="14655" spans="1:24">
      <c r="A14655">
        <f>HYPERLINK("https://www.philgeps.gov.ph/GEPSNONPILOT/Tender/SplashBidNoticeAbstractUI.aspx?menuIndex=3&amp;refID=7125510&amp;Result=3","7125510")</f>
        <v>0</v>
      </c>
      <c r="B14655" t="s">
        <v>678</v>
      </c>
      <c r="C14655" t="s">
        <v>17772</v>
      </c>
      <c r="D14655" t="s">
        <v>19037</v>
      </c>
      <c r="E14655" t="s">
        <v>31669</v>
      </c>
      <c r="F14655" t="s">
        <v>32831</v>
      </c>
      <c r="G14655" t="s">
        <v>32839</v>
      </c>
      <c r="H14655" t="s">
        <v>32850</v>
      </c>
      <c r="I14655" t="s">
        <v>5667</v>
      </c>
      <c r="J14655" t="s">
        <v>41931</v>
      </c>
      <c r="K14655" t="s">
        <v>42775</v>
      </c>
      <c r="M14655" t="s">
        <v>43697</v>
      </c>
      <c r="N14655" t="s">
        <v>47424</v>
      </c>
      <c r="O14655" t="s">
        <v>47425</v>
      </c>
      <c r="Q14655">
        <v>7</v>
      </c>
      <c r="R14655" t="s">
        <v>47446</v>
      </c>
      <c r="S14655" t="s">
        <v>48463</v>
      </c>
      <c r="T14655" t="s">
        <v>49135</v>
      </c>
      <c r="U14655" t="s">
        <v>61593</v>
      </c>
      <c r="W14655" t="s">
        <v>43697</v>
      </c>
      <c r="X14655" t="s">
        <v>47447</v>
      </c>
    </row>
    <row r="14656" spans="1:24">
      <c r="A14656">
        <f>HYPERLINK("https://www.philgeps.gov.ph/GEPSNONPILOT/Tender/SplashBidNoticeAbstractUI.aspx?menuIndex=3&amp;refID=7124925&amp;Result=3","7124925")</f>
        <v>0</v>
      </c>
      <c r="B14656" t="s">
        <v>895</v>
      </c>
      <c r="C14656" t="s">
        <v>17773</v>
      </c>
      <c r="D14656" t="s">
        <v>19036</v>
      </c>
      <c r="E14656" t="s">
        <v>31670</v>
      </c>
      <c r="F14656" t="s">
        <v>32831</v>
      </c>
      <c r="G14656" t="s">
        <v>32839</v>
      </c>
      <c r="H14656" t="s">
        <v>32848</v>
      </c>
      <c r="I14656" t="s">
        <v>32948</v>
      </c>
      <c r="J14656" t="s">
        <v>41932</v>
      </c>
      <c r="K14656" t="s">
        <v>42727</v>
      </c>
      <c r="M14656" t="s">
        <v>44963</v>
      </c>
      <c r="N14656" t="s">
        <v>47424</v>
      </c>
      <c r="O14656" t="s">
        <v>47425</v>
      </c>
      <c r="Q14656">
        <v>8</v>
      </c>
      <c r="R14656" t="s">
        <v>47446</v>
      </c>
      <c r="S14656" t="s">
        <v>48464</v>
      </c>
      <c r="T14656" t="s">
        <v>49415</v>
      </c>
      <c r="U14656" t="s">
        <v>61594</v>
      </c>
      <c r="W14656" t="s">
        <v>44963</v>
      </c>
      <c r="X14656" t="s">
        <v>47447</v>
      </c>
    </row>
    <row r="14657" spans="1:24">
      <c r="A14657">
        <f>HYPERLINK("https://www.philgeps.gov.ph/GEPSNONPILOT/Tender/SplashBidNoticeAbstractUI.aspx?menuIndex=3&amp;refID=7125622&amp;Result=3","7125622")</f>
        <v>0</v>
      </c>
      <c r="B14657" t="s">
        <v>3843</v>
      </c>
      <c r="C14657" t="s">
        <v>17774</v>
      </c>
      <c r="D14657" t="s">
        <v>19025</v>
      </c>
      <c r="E14657" t="s">
        <v>31671</v>
      </c>
      <c r="F14657" t="s">
        <v>32831</v>
      </c>
      <c r="G14657" t="s">
        <v>32839</v>
      </c>
      <c r="H14657" t="s">
        <v>32849</v>
      </c>
      <c r="I14657" t="s">
        <v>32866</v>
      </c>
      <c r="J14657" t="s">
        <v>33083</v>
      </c>
      <c r="K14657" t="s">
        <v>42787</v>
      </c>
      <c r="M14657" t="s">
        <v>47269</v>
      </c>
      <c r="N14657" t="s">
        <v>47424</v>
      </c>
      <c r="O14657" t="s">
        <v>47425</v>
      </c>
      <c r="P14657">
        <v>0</v>
      </c>
      <c r="Q14657">
        <v>0</v>
      </c>
      <c r="R14657" t="s">
        <v>47446</v>
      </c>
      <c r="S14657" t="s">
        <v>48377</v>
      </c>
      <c r="T14657" t="s">
        <v>49218</v>
      </c>
      <c r="U14657" t="s">
        <v>61595</v>
      </c>
      <c r="W14657" t="s">
        <v>47269</v>
      </c>
      <c r="X14657" t="s">
        <v>47447</v>
      </c>
    </row>
    <row r="14658" spans="1:24">
      <c r="A14658">
        <f>HYPERLINK("https://www.philgeps.gov.ph/GEPSNONPILOT/Tender/SplashBidNoticeAbstractUI.aspx?menuIndex=3&amp;refID=7125614&amp;Result=3","7125614")</f>
        <v>0</v>
      </c>
      <c r="B14658" t="s">
        <v>884</v>
      </c>
      <c r="C14658" t="s">
        <v>17775</v>
      </c>
      <c r="E14658" t="s">
        <v>31672</v>
      </c>
      <c r="F14658" t="s">
        <v>32831</v>
      </c>
      <c r="G14658" t="s">
        <v>32839</v>
      </c>
      <c r="H14658" t="s">
        <v>32848</v>
      </c>
      <c r="I14658" t="s">
        <v>32861</v>
      </c>
      <c r="J14658" t="s">
        <v>33108</v>
      </c>
      <c r="K14658" t="s">
        <v>42732</v>
      </c>
      <c r="M14658" t="s">
        <v>47270</v>
      </c>
      <c r="N14658" t="s">
        <v>47424</v>
      </c>
      <c r="O14658" t="s">
        <v>47425</v>
      </c>
      <c r="Q14658">
        <v>18</v>
      </c>
      <c r="R14658" t="s">
        <v>47446</v>
      </c>
      <c r="S14658" t="s">
        <v>48465</v>
      </c>
      <c r="T14658" t="s">
        <v>49334</v>
      </c>
      <c r="U14658" t="s">
        <v>61590</v>
      </c>
      <c r="W14658" t="s">
        <v>47270</v>
      </c>
      <c r="X14658" t="s">
        <v>47447</v>
      </c>
    </row>
    <row r="14659" spans="1:24">
      <c r="A14659">
        <f>HYPERLINK("https://www.philgeps.gov.ph/GEPSNONPILOT/Tender/SplashBidNoticeAbstractUI.aspx?menuIndex=3&amp;refID=7125612&amp;Result=3","7125612")</f>
        <v>0</v>
      </c>
      <c r="B14659" t="s">
        <v>678</v>
      </c>
      <c r="C14659" t="s">
        <v>17776</v>
      </c>
      <c r="D14659" t="s">
        <v>19037</v>
      </c>
      <c r="E14659" t="s">
        <v>31673</v>
      </c>
      <c r="F14659" t="s">
        <v>32831</v>
      </c>
      <c r="G14659" t="s">
        <v>32839</v>
      </c>
      <c r="H14659" t="s">
        <v>32848</v>
      </c>
      <c r="I14659" t="s">
        <v>32867</v>
      </c>
      <c r="J14659" t="s">
        <v>41933</v>
      </c>
      <c r="K14659" t="s">
        <v>42730</v>
      </c>
      <c r="M14659" t="s">
        <v>43697</v>
      </c>
      <c r="N14659" t="s">
        <v>47424</v>
      </c>
      <c r="O14659" t="s">
        <v>47425</v>
      </c>
      <c r="Q14659">
        <v>17</v>
      </c>
      <c r="R14659" t="s">
        <v>47446</v>
      </c>
      <c r="S14659" t="s">
        <v>48466</v>
      </c>
      <c r="T14659" t="s">
        <v>49203</v>
      </c>
      <c r="U14659" t="s">
        <v>61593</v>
      </c>
      <c r="W14659" t="s">
        <v>43697</v>
      </c>
      <c r="X14659" t="s">
        <v>47447</v>
      </c>
    </row>
    <row r="14660" spans="1:24">
      <c r="A14660">
        <f>HYPERLINK("https://www.philgeps.gov.ph/GEPSNONPILOT/Tender/SplashBidNoticeAbstractUI.aspx?menuIndex=3&amp;refID=7125585&amp;Result=3","7125585")</f>
        <v>0</v>
      </c>
      <c r="B14660" t="s">
        <v>3843</v>
      </c>
      <c r="C14660" t="s">
        <v>17777</v>
      </c>
      <c r="D14660" t="s">
        <v>19025</v>
      </c>
      <c r="E14660" t="s">
        <v>31674</v>
      </c>
      <c r="F14660" t="s">
        <v>32831</v>
      </c>
      <c r="G14660" t="s">
        <v>32839</v>
      </c>
      <c r="H14660" t="s">
        <v>32849</v>
      </c>
      <c r="I14660" t="s">
        <v>4177</v>
      </c>
      <c r="J14660" t="s">
        <v>33066</v>
      </c>
      <c r="K14660" t="s">
        <v>43000</v>
      </c>
      <c r="M14660" t="s">
        <v>47269</v>
      </c>
      <c r="N14660" t="s">
        <v>47424</v>
      </c>
      <c r="O14660" t="s">
        <v>47425</v>
      </c>
      <c r="P14660">
        <v>0</v>
      </c>
      <c r="Q14660">
        <v>1</v>
      </c>
      <c r="R14660" t="s">
        <v>47446</v>
      </c>
      <c r="S14660" t="s">
        <v>48377</v>
      </c>
      <c r="T14660" t="s">
        <v>49069</v>
      </c>
      <c r="U14660" t="s">
        <v>61596</v>
      </c>
      <c r="W14660" t="s">
        <v>47269</v>
      </c>
      <c r="X14660" t="s">
        <v>47447</v>
      </c>
    </row>
    <row r="14661" spans="1:24">
      <c r="A14661">
        <f>HYPERLINK("https://www.philgeps.gov.ph/GEPSNONPILOT/Tender/SplashBidNoticeAbstractUI.aspx?menuIndex=3&amp;refID=7125625&amp;Result=3","7125625")</f>
        <v>0</v>
      </c>
      <c r="B14661" t="s">
        <v>3193</v>
      </c>
      <c r="C14661" t="s">
        <v>17778</v>
      </c>
      <c r="D14661" t="s">
        <v>19071</v>
      </c>
      <c r="E14661" t="s">
        <v>31675</v>
      </c>
      <c r="F14661" t="s">
        <v>32831</v>
      </c>
      <c r="G14661" t="s">
        <v>32839</v>
      </c>
      <c r="H14661" t="s">
        <v>32848</v>
      </c>
      <c r="I14661" t="s">
        <v>10888</v>
      </c>
      <c r="J14661" t="s">
        <v>33083</v>
      </c>
      <c r="K14661" t="s">
        <v>42763</v>
      </c>
      <c r="M14661" t="s">
        <v>46503</v>
      </c>
      <c r="N14661" t="s">
        <v>47424</v>
      </c>
      <c r="O14661" t="s">
        <v>47425</v>
      </c>
      <c r="P14661">
        <v>0</v>
      </c>
      <c r="Q14661">
        <v>11</v>
      </c>
      <c r="R14661" t="s">
        <v>47446</v>
      </c>
      <c r="S14661" t="s">
        <v>48377</v>
      </c>
      <c r="T14661" t="s">
        <v>49415</v>
      </c>
      <c r="U14661" t="s">
        <v>61597</v>
      </c>
      <c r="W14661" t="s">
        <v>64540</v>
      </c>
      <c r="X14661" t="s">
        <v>47447</v>
      </c>
    </row>
    <row r="14662" spans="1:24">
      <c r="A14662">
        <f>HYPERLINK("https://www.philgeps.gov.ph/GEPSNONPILOT/Tender/SplashBidNoticeAbstractUI.aspx?menuIndex=3&amp;refID=7125580&amp;Result=3","7125580")</f>
        <v>0</v>
      </c>
      <c r="B14662" t="s">
        <v>3844</v>
      </c>
      <c r="C14662" t="s">
        <v>17779</v>
      </c>
      <c r="D14662" t="s">
        <v>19038</v>
      </c>
      <c r="E14662" t="s">
        <v>31676</v>
      </c>
      <c r="F14662" t="s">
        <v>32831</v>
      </c>
      <c r="G14662" t="s">
        <v>32839</v>
      </c>
      <c r="H14662" t="s">
        <v>32848</v>
      </c>
      <c r="I14662" t="s">
        <v>32918</v>
      </c>
      <c r="J14662" t="s">
        <v>33016</v>
      </c>
      <c r="K14662" t="s">
        <v>42730</v>
      </c>
      <c r="M14662" t="s">
        <v>47271</v>
      </c>
      <c r="N14662" t="s">
        <v>47424</v>
      </c>
      <c r="O14662" t="s">
        <v>47425</v>
      </c>
      <c r="P14662">
        <v>0</v>
      </c>
      <c r="Q14662">
        <v>8</v>
      </c>
      <c r="R14662" t="s">
        <v>47446</v>
      </c>
      <c r="S14662" t="s">
        <v>48377</v>
      </c>
      <c r="T14662" t="s">
        <v>49212</v>
      </c>
      <c r="U14662" t="s">
        <v>61598</v>
      </c>
      <c r="W14662" t="s">
        <v>47271</v>
      </c>
      <c r="X14662" t="s">
        <v>47447</v>
      </c>
    </row>
    <row r="14663" spans="1:24">
      <c r="A14663">
        <f>HYPERLINK("https://www.philgeps.gov.ph/GEPSNONPILOT/Tender/SplashBidNoticeAbstractUI.aspx?menuIndex=3&amp;refID=7124927&amp;Result=3","7124927")</f>
        <v>0</v>
      </c>
      <c r="B14663" t="s">
        <v>623</v>
      </c>
      <c r="C14663" t="s">
        <v>17780</v>
      </c>
      <c r="D14663" t="s">
        <v>19042</v>
      </c>
      <c r="E14663" t="s">
        <v>31677</v>
      </c>
      <c r="F14663" t="s">
        <v>32831</v>
      </c>
      <c r="G14663" t="s">
        <v>32839</v>
      </c>
      <c r="H14663" t="s">
        <v>32849</v>
      </c>
      <c r="I14663" t="s">
        <v>4177</v>
      </c>
      <c r="J14663" t="s">
        <v>41888</v>
      </c>
      <c r="K14663" t="s">
        <v>42977</v>
      </c>
      <c r="M14663" t="s">
        <v>43639</v>
      </c>
      <c r="N14663" t="s">
        <v>47424</v>
      </c>
      <c r="O14663" t="s">
        <v>47425</v>
      </c>
      <c r="P14663">
        <v>0</v>
      </c>
      <c r="Q14663">
        <v>1</v>
      </c>
      <c r="R14663" t="s">
        <v>47446</v>
      </c>
      <c r="S14663" t="s">
        <v>48377</v>
      </c>
      <c r="T14663" t="s">
        <v>49166</v>
      </c>
      <c r="U14663" t="s">
        <v>61599</v>
      </c>
      <c r="W14663" t="s">
        <v>43639</v>
      </c>
      <c r="X14663" t="s">
        <v>47447</v>
      </c>
    </row>
    <row r="14664" spans="1:24">
      <c r="A14664">
        <f>HYPERLINK("https://www.philgeps.gov.ph/GEPSNONPILOT/Tender/SplashBidNoticeAbstractUI.aspx?menuIndex=3&amp;refID=7125603&amp;Result=3","7125603")</f>
        <v>0</v>
      </c>
      <c r="B14664" t="s">
        <v>2488</v>
      </c>
      <c r="C14664" t="s">
        <v>17781</v>
      </c>
      <c r="D14664" t="s">
        <v>19045</v>
      </c>
      <c r="E14664" t="s">
        <v>31678</v>
      </c>
      <c r="F14664" t="s">
        <v>32831</v>
      </c>
      <c r="G14664" t="s">
        <v>32839</v>
      </c>
      <c r="H14664" t="s">
        <v>32849</v>
      </c>
      <c r="I14664" t="s">
        <v>4177</v>
      </c>
      <c r="J14664" t="s">
        <v>41934</v>
      </c>
      <c r="K14664" t="s">
        <v>42729</v>
      </c>
      <c r="L14664" t="s">
        <v>2488</v>
      </c>
      <c r="M14664" t="s">
        <v>45693</v>
      </c>
      <c r="N14664" t="s">
        <v>47424</v>
      </c>
      <c r="O14664" t="s">
        <v>47425</v>
      </c>
      <c r="P14664">
        <v>0</v>
      </c>
      <c r="Q14664">
        <v>3</v>
      </c>
      <c r="R14664" t="s">
        <v>47446</v>
      </c>
      <c r="S14664" t="s">
        <v>48377</v>
      </c>
      <c r="T14664" t="s">
        <v>49111</v>
      </c>
      <c r="U14664" t="s">
        <v>61600</v>
      </c>
      <c r="W14664" t="s">
        <v>45693</v>
      </c>
      <c r="X14664" t="s">
        <v>47447</v>
      </c>
    </row>
    <row r="14665" spans="1:24">
      <c r="A14665">
        <f>HYPERLINK("https://www.philgeps.gov.ph/GEPSNONPILOT/Tender/SplashBidNoticeAbstractUI.aspx?menuIndex=3&amp;refID=7125588&amp;Result=3","7125588")</f>
        <v>0</v>
      </c>
      <c r="B14665" t="s">
        <v>999</v>
      </c>
      <c r="C14665" t="s">
        <v>17782</v>
      </c>
      <c r="E14665" t="s">
        <v>31679</v>
      </c>
      <c r="F14665" t="s">
        <v>32831</v>
      </c>
      <c r="G14665" t="s">
        <v>32839</v>
      </c>
      <c r="H14665" t="s">
        <v>32849</v>
      </c>
      <c r="I14665" t="s">
        <v>4177</v>
      </c>
      <c r="J14665" t="s">
        <v>39350</v>
      </c>
      <c r="K14665" t="s">
        <v>42732</v>
      </c>
      <c r="M14665" t="s">
        <v>47272</v>
      </c>
      <c r="N14665" t="s">
        <v>47424</v>
      </c>
      <c r="O14665" t="s">
        <v>47425</v>
      </c>
      <c r="Q14665">
        <v>6</v>
      </c>
      <c r="R14665" t="s">
        <v>47446</v>
      </c>
      <c r="S14665" t="s">
        <v>48467</v>
      </c>
      <c r="T14665" t="s">
        <v>49251</v>
      </c>
      <c r="U14665" t="s">
        <v>61601</v>
      </c>
      <c r="W14665" t="s">
        <v>47272</v>
      </c>
      <c r="X14665" t="s">
        <v>47447</v>
      </c>
    </row>
    <row r="14666" spans="1:24">
      <c r="A14666">
        <f>HYPERLINK("https://www.philgeps.gov.ph/GEPSNONPILOT/Tender/SplashBidNoticeAbstractUI.aspx?menuIndex=3&amp;refID=7125516&amp;Result=3","7125516")</f>
        <v>0</v>
      </c>
      <c r="B14666" t="s">
        <v>2506</v>
      </c>
      <c r="C14666" t="s">
        <v>17783</v>
      </c>
      <c r="D14666" t="s">
        <v>19020</v>
      </c>
      <c r="E14666" t="s">
        <v>31680</v>
      </c>
      <c r="F14666" t="s">
        <v>32831</v>
      </c>
      <c r="G14666" t="s">
        <v>32839</v>
      </c>
      <c r="H14666" t="s">
        <v>32849</v>
      </c>
      <c r="I14666" t="s">
        <v>4177</v>
      </c>
      <c r="J14666" t="s">
        <v>41935</v>
      </c>
      <c r="K14666" t="s">
        <v>42871</v>
      </c>
      <c r="M14666" t="s">
        <v>47273</v>
      </c>
      <c r="N14666" t="s">
        <v>47424</v>
      </c>
      <c r="O14666" t="s">
        <v>47425</v>
      </c>
      <c r="Q14666">
        <v>14</v>
      </c>
      <c r="R14666" t="s">
        <v>47446</v>
      </c>
      <c r="S14666" t="s">
        <v>48466</v>
      </c>
      <c r="T14666" t="s">
        <v>49073</v>
      </c>
      <c r="U14666" t="s">
        <v>61602</v>
      </c>
      <c r="V14666" t="s">
        <v>64297</v>
      </c>
      <c r="W14666" t="s">
        <v>47273</v>
      </c>
      <c r="X14666" t="s">
        <v>47447</v>
      </c>
    </row>
    <row r="14667" spans="1:24">
      <c r="A14667">
        <f>HYPERLINK("https://www.philgeps.gov.ph/GEPSNONPILOT/Tender/SplashBidNoticeAbstractUI.aspx?menuIndex=3&amp;refID=7125574&amp;Result=3","7125574")</f>
        <v>0</v>
      </c>
      <c r="B14667" t="s">
        <v>678</v>
      </c>
      <c r="C14667" t="s">
        <v>17784</v>
      </c>
      <c r="D14667" t="s">
        <v>19037</v>
      </c>
      <c r="E14667" t="s">
        <v>23338</v>
      </c>
      <c r="F14667" t="s">
        <v>32831</v>
      </c>
      <c r="G14667" t="s">
        <v>32839</v>
      </c>
      <c r="H14667" t="s">
        <v>32849</v>
      </c>
      <c r="I14667" t="s">
        <v>4177</v>
      </c>
      <c r="J14667" t="s">
        <v>33339</v>
      </c>
      <c r="K14667" t="s">
        <v>42871</v>
      </c>
      <c r="M14667" t="s">
        <v>43697</v>
      </c>
      <c r="N14667" t="s">
        <v>47424</v>
      </c>
      <c r="O14667" t="s">
        <v>47425</v>
      </c>
      <c r="Q14667">
        <v>17</v>
      </c>
      <c r="R14667" t="s">
        <v>47446</v>
      </c>
      <c r="S14667" t="s">
        <v>48468</v>
      </c>
      <c r="T14667" t="s">
        <v>49110</v>
      </c>
      <c r="U14667" t="s">
        <v>61593</v>
      </c>
      <c r="W14667" t="s">
        <v>43697</v>
      </c>
      <c r="X14667" t="s">
        <v>47447</v>
      </c>
    </row>
    <row r="14668" spans="1:24">
      <c r="A14668">
        <f>HYPERLINK("https://www.philgeps.gov.ph/GEPSNONPILOT/Tender/SplashBidNoticeAbstractUI.aspx?menuIndex=3&amp;refID=7124931&amp;Result=3","7124931")</f>
        <v>0</v>
      </c>
      <c r="B14668" t="s">
        <v>81</v>
      </c>
      <c r="C14668" t="s">
        <v>17785</v>
      </c>
      <c r="D14668" t="s">
        <v>19023</v>
      </c>
      <c r="E14668" t="s">
        <v>31681</v>
      </c>
      <c r="F14668" t="s">
        <v>32831</v>
      </c>
      <c r="G14668" t="s">
        <v>32839</v>
      </c>
      <c r="H14668" t="s">
        <v>32848</v>
      </c>
      <c r="I14668" t="s">
        <v>32925</v>
      </c>
      <c r="J14668" t="s">
        <v>41936</v>
      </c>
      <c r="K14668" t="s">
        <v>42732</v>
      </c>
      <c r="M14668" t="s">
        <v>43078</v>
      </c>
      <c r="N14668" t="s">
        <v>47424</v>
      </c>
      <c r="O14668" t="s">
        <v>47425</v>
      </c>
      <c r="P14668">
        <v>0</v>
      </c>
      <c r="Q14668">
        <v>11</v>
      </c>
      <c r="R14668" t="s">
        <v>47446</v>
      </c>
      <c r="S14668" t="s">
        <v>48377</v>
      </c>
      <c r="T14668" t="s">
        <v>49214</v>
      </c>
      <c r="U14668" t="s">
        <v>61603</v>
      </c>
      <c r="W14668" t="s">
        <v>43078</v>
      </c>
      <c r="X14668" t="s">
        <v>47447</v>
      </c>
    </row>
    <row r="14669" spans="1:24">
      <c r="A14669">
        <f>HYPERLINK("https://www.philgeps.gov.ph/GEPSNONPILOT/Tender/SplashBidNoticeAbstractUI.aspx?menuIndex=3&amp;refID=7125573&amp;Result=3","7125573")</f>
        <v>0</v>
      </c>
      <c r="B14669" t="s">
        <v>3845</v>
      </c>
      <c r="C14669" t="s">
        <v>17786</v>
      </c>
      <c r="D14669" t="s">
        <v>19106</v>
      </c>
      <c r="E14669" t="s">
        <v>31682</v>
      </c>
      <c r="F14669" t="s">
        <v>32831</v>
      </c>
      <c r="G14669" t="s">
        <v>32839</v>
      </c>
      <c r="H14669" t="s">
        <v>32848</v>
      </c>
      <c r="I14669" t="s">
        <v>32878</v>
      </c>
      <c r="J14669" t="s">
        <v>41937</v>
      </c>
      <c r="K14669" t="s">
        <v>42747</v>
      </c>
      <c r="M14669" t="s">
        <v>47274</v>
      </c>
      <c r="N14669" t="s">
        <v>47424</v>
      </c>
      <c r="O14669" t="s">
        <v>47425</v>
      </c>
      <c r="P14669">
        <v>0</v>
      </c>
      <c r="Q14669">
        <v>7</v>
      </c>
      <c r="R14669" t="s">
        <v>47446</v>
      </c>
      <c r="S14669" t="s">
        <v>48377</v>
      </c>
      <c r="T14669" t="s">
        <v>49328</v>
      </c>
      <c r="U14669" t="s">
        <v>61604</v>
      </c>
      <c r="V14669" t="s">
        <v>64298</v>
      </c>
      <c r="W14669" t="s">
        <v>47274</v>
      </c>
      <c r="X14669" t="s">
        <v>47447</v>
      </c>
    </row>
    <row r="14670" spans="1:24">
      <c r="A14670">
        <f>HYPERLINK("https://www.philgeps.gov.ph/GEPSNONPILOT/Tender/SplashBidNoticeAbstractUI.aspx?menuIndex=3&amp;refID=7125566&amp;Result=3","7125566")</f>
        <v>0</v>
      </c>
      <c r="B14670" t="s">
        <v>1302</v>
      </c>
      <c r="C14670" t="s">
        <v>17787</v>
      </c>
      <c r="D14670" t="s">
        <v>19077</v>
      </c>
      <c r="E14670" t="s">
        <v>27916</v>
      </c>
      <c r="F14670" t="s">
        <v>32831</v>
      </c>
      <c r="G14670" t="s">
        <v>32838</v>
      </c>
      <c r="H14670" t="s">
        <v>32849</v>
      </c>
      <c r="I14670" t="s">
        <v>32913</v>
      </c>
      <c r="J14670" t="s">
        <v>35998</v>
      </c>
      <c r="K14670" t="s">
        <v>42729</v>
      </c>
      <c r="M14670" t="s">
        <v>47275</v>
      </c>
      <c r="N14670" t="s">
        <v>47424</v>
      </c>
      <c r="O14670" t="s">
        <v>47425</v>
      </c>
      <c r="Q14670">
        <v>1</v>
      </c>
      <c r="R14670" t="s">
        <v>47446</v>
      </c>
      <c r="S14670" t="s">
        <v>47690</v>
      </c>
      <c r="T14670" t="s">
        <v>49127</v>
      </c>
      <c r="U14670" t="s">
        <v>61605</v>
      </c>
      <c r="V14670" t="s">
        <v>64299</v>
      </c>
      <c r="W14670" t="s">
        <v>47275</v>
      </c>
      <c r="X14670" t="s">
        <v>47447</v>
      </c>
    </row>
    <row r="14671" spans="1:24">
      <c r="A14671">
        <f>HYPERLINK("https://www.philgeps.gov.ph/GEPSNONPILOT/Tender/SplashBidNoticeAbstractUI.aspx?menuIndex=3&amp;refID=7125583&amp;Result=3","7125583")</f>
        <v>0</v>
      </c>
      <c r="B14671" t="s">
        <v>198</v>
      </c>
      <c r="C14671" t="s">
        <v>17788</v>
      </c>
      <c r="D14671" t="s">
        <v>19045</v>
      </c>
      <c r="E14671" t="s">
        <v>31683</v>
      </c>
      <c r="F14671" t="s">
        <v>32831</v>
      </c>
      <c r="G14671" t="s">
        <v>32839</v>
      </c>
      <c r="H14671" t="s">
        <v>32849</v>
      </c>
      <c r="I14671" t="s">
        <v>4177</v>
      </c>
      <c r="J14671" t="s">
        <v>41938</v>
      </c>
      <c r="K14671" t="s">
        <v>42751</v>
      </c>
      <c r="M14671" t="s">
        <v>43196</v>
      </c>
      <c r="N14671" t="s">
        <v>47424</v>
      </c>
      <c r="O14671" t="s">
        <v>47425</v>
      </c>
      <c r="P14671">
        <v>0</v>
      </c>
      <c r="Q14671">
        <v>2</v>
      </c>
      <c r="R14671" t="s">
        <v>47446</v>
      </c>
      <c r="S14671" t="s">
        <v>48377</v>
      </c>
      <c r="T14671" t="s">
        <v>49212</v>
      </c>
      <c r="U14671" t="s">
        <v>61606</v>
      </c>
      <c r="V14671" t="s">
        <v>63628</v>
      </c>
      <c r="W14671" t="s">
        <v>43196</v>
      </c>
      <c r="X14671" t="s">
        <v>47447</v>
      </c>
    </row>
    <row r="14672" spans="1:24">
      <c r="A14672">
        <f>HYPERLINK("https://www.philgeps.gov.ph/GEPSNONPILOT/Tender/SplashBidNoticeAbstractUI.aspx?menuIndex=3&amp;refID=7125753&amp;Result=3","7125753")</f>
        <v>0</v>
      </c>
      <c r="B14672" t="s">
        <v>1321</v>
      </c>
      <c r="C14672" t="s">
        <v>17789</v>
      </c>
      <c r="D14672" t="s">
        <v>19044</v>
      </c>
      <c r="E14672" t="s">
        <v>31684</v>
      </c>
      <c r="F14672" t="s">
        <v>32831</v>
      </c>
      <c r="G14672" t="s">
        <v>32839</v>
      </c>
      <c r="H14672" t="s">
        <v>32848</v>
      </c>
      <c r="I14672" t="s">
        <v>32869</v>
      </c>
      <c r="J14672" t="s">
        <v>41939</v>
      </c>
      <c r="K14672" t="s">
        <v>42729</v>
      </c>
      <c r="M14672" t="s">
        <v>44392</v>
      </c>
      <c r="N14672" t="s">
        <v>47424</v>
      </c>
      <c r="O14672" t="s">
        <v>47425</v>
      </c>
      <c r="Q14672">
        <v>16</v>
      </c>
      <c r="R14672" t="s">
        <v>47446</v>
      </c>
      <c r="S14672" t="s">
        <v>48023</v>
      </c>
      <c r="T14672" t="s">
        <v>49237</v>
      </c>
      <c r="U14672" t="s">
        <v>55080</v>
      </c>
      <c r="W14672" t="s">
        <v>44392</v>
      </c>
      <c r="X14672" t="s">
        <v>47447</v>
      </c>
    </row>
    <row r="14673" spans="1:24">
      <c r="A14673">
        <f>HYPERLINK("https://www.philgeps.gov.ph/GEPSNONPILOT/Tender/SplashBidNoticeAbstractUI.aspx?menuIndex=3&amp;refID=7125748&amp;Result=3","7125748")</f>
        <v>0</v>
      </c>
      <c r="B14673" t="s">
        <v>835</v>
      </c>
      <c r="C14673" t="s">
        <v>17790</v>
      </c>
      <c r="D14673" t="s">
        <v>19034</v>
      </c>
      <c r="E14673" t="s">
        <v>31685</v>
      </c>
      <c r="F14673" t="s">
        <v>32831</v>
      </c>
      <c r="G14673" t="s">
        <v>32839</v>
      </c>
      <c r="H14673" t="s">
        <v>32849</v>
      </c>
      <c r="I14673" t="s">
        <v>4177</v>
      </c>
      <c r="J14673" t="s">
        <v>41940</v>
      </c>
      <c r="K14673" t="s">
        <v>42763</v>
      </c>
      <c r="M14673" t="s">
        <v>43867</v>
      </c>
      <c r="N14673" t="s">
        <v>47424</v>
      </c>
      <c r="O14673" t="s">
        <v>47425</v>
      </c>
      <c r="P14673">
        <v>0</v>
      </c>
      <c r="Q14673">
        <v>1</v>
      </c>
      <c r="R14673" t="s">
        <v>47446</v>
      </c>
      <c r="S14673" t="s">
        <v>48377</v>
      </c>
      <c r="T14673" t="s">
        <v>49212</v>
      </c>
      <c r="U14673" t="s">
        <v>61607</v>
      </c>
      <c r="W14673" t="s">
        <v>43867</v>
      </c>
      <c r="X14673" t="s">
        <v>47447</v>
      </c>
    </row>
    <row r="14674" spans="1:24">
      <c r="A14674">
        <f>HYPERLINK("https://www.philgeps.gov.ph/GEPSNONPILOT/Tender/SplashBidNoticeAbstractUI.aspx?menuIndex=3&amp;refID=7125557&amp;Result=3","7125557")</f>
        <v>0</v>
      </c>
      <c r="B14674" t="s">
        <v>1939</v>
      </c>
      <c r="C14674" t="s">
        <v>17791</v>
      </c>
      <c r="D14674" t="s">
        <v>19067</v>
      </c>
      <c r="E14674" t="s">
        <v>31686</v>
      </c>
      <c r="F14674" t="s">
        <v>32831</v>
      </c>
      <c r="G14674" t="s">
        <v>32839</v>
      </c>
      <c r="H14674" t="s">
        <v>32849</v>
      </c>
      <c r="I14674" t="s">
        <v>4177</v>
      </c>
      <c r="J14674" t="s">
        <v>38544</v>
      </c>
      <c r="K14674" t="s">
        <v>42770</v>
      </c>
      <c r="M14674" t="s">
        <v>45094</v>
      </c>
      <c r="N14674" t="s">
        <v>47424</v>
      </c>
      <c r="O14674" t="s">
        <v>47425</v>
      </c>
      <c r="Q14674">
        <v>0</v>
      </c>
      <c r="R14674" t="s">
        <v>47446</v>
      </c>
      <c r="S14674" t="s">
        <v>48469</v>
      </c>
      <c r="T14674" t="s">
        <v>49151</v>
      </c>
      <c r="U14674" t="s">
        <v>61493</v>
      </c>
      <c r="V14674" t="s">
        <v>64300</v>
      </c>
      <c r="W14674" t="s">
        <v>45094</v>
      </c>
      <c r="X14674" t="s">
        <v>47447</v>
      </c>
    </row>
    <row r="14675" spans="1:24">
      <c r="A14675">
        <f>HYPERLINK("https://www.philgeps.gov.ph/GEPSNONPILOT/Tender/SplashBidNoticeAbstractUI.aspx?menuIndex=3&amp;refID=7125740&amp;Result=3","7125740")</f>
        <v>0</v>
      </c>
      <c r="B14675" t="s">
        <v>687</v>
      </c>
      <c r="C14675" t="s">
        <v>17792</v>
      </c>
      <c r="D14675" t="s">
        <v>19074</v>
      </c>
      <c r="E14675" t="s">
        <v>31687</v>
      </c>
      <c r="F14675" t="s">
        <v>32831</v>
      </c>
      <c r="G14675" t="s">
        <v>32839</v>
      </c>
      <c r="H14675" t="s">
        <v>32848</v>
      </c>
      <c r="I14675" t="s">
        <v>4438</v>
      </c>
      <c r="J14675" t="s">
        <v>41941</v>
      </c>
      <c r="K14675" t="s">
        <v>42730</v>
      </c>
      <c r="M14675" t="s">
        <v>43706</v>
      </c>
      <c r="N14675" t="s">
        <v>47424</v>
      </c>
      <c r="O14675" t="s">
        <v>47425</v>
      </c>
      <c r="P14675">
        <v>0</v>
      </c>
      <c r="Q14675">
        <v>3</v>
      </c>
      <c r="R14675" t="s">
        <v>47446</v>
      </c>
      <c r="S14675" t="s">
        <v>48377</v>
      </c>
      <c r="T14675" t="s">
        <v>49111</v>
      </c>
      <c r="U14675" t="s">
        <v>61608</v>
      </c>
      <c r="W14675" t="s">
        <v>43706</v>
      </c>
      <c r="X14675" t="s">
        <v>47447</v>
      </c>
    </row>
    <row r="14676" spans="1:24">
      <c r="A14676">
        <f>HYPERLINK("https://www.philgeps.gov.ph/GEPSNONPILOT/Tender/SplashBidNoticeAbstractUI.aspx?menuIndex=3&amp;refID=7125715&amp;Result=3","7125715")</f>
        <v>0</v>
      </c>
      <c r="B14676" t="s">
        <v>835</v>
      </c>
      <c r="C14676" t="s">
        <v>17793</v>
      </c>
      <c r="D14676" t="s">
        <v>19034</v>
      </c>
      <c r="E14676" t="s">
        <v>31688</v>
      </c>
      <c r="F14676" t="s">
        <v>32831</v>
      </c>
      <c r="G14676" t="s">
        <v>32839</v>
      </c>
      <c r="H14676" t="s">
        <v>32849</v>
      </c>
      <c r="I14676" t="s">
        <v>4177</v>
      </c>
      <c r="J14676" t="s">
        <v>41942</v>
      </c>
      <c r="K14676" t="s">
        <v>42930</v>
      </c>
      <c r="M14676" t="s">
        <v>43867</v>
      </c>
      <c r="N14676" t="s">
        <v>47424</v>
      </c>
      <c r="O14676" t="s">
        <v>47425</v>
      </c>
      <c r="P14676">
        <v>0</v>
      </c>
      <c r="Q14676">
        <v>1</v>
      </c>
      <c r="R14676" t="s">
        <v>47446</v>
      </c>
      <c r="S14676" t="s">
        <v>48377</v>
      </c>
      <c r="T14676" t="s">
        <v>49212</v>
      </c>
      <c r="U14676" t="s">
        <v>61609</v>
      </c>
      <c r="W14676" t="s">
        <v>43867</v>
      </c>
      <c r="X14676" t="s">
        <v>47447</v>
      </c>
    </row>
    <row r="14677" spans="1:24">
      <c r="A14677">
        <f>HYPERLINK("https://www.philgeps.gov.ph/GEPSNONPILOT/Tender/SplashBidNoticeAbstractUI.aspx?menuIndex=3&amp;refID=7125569&amp;Result=3","7125569")</f>
        <v>0</v>
      </c>
      <c r="B14677" t="s">
        <v>3523</v>
      </c>
      <c r="C14677" t="s">
        <v>17794</v>
      </c>
      <c r="D14677" t="s">
        <v>19083</v>
      </c>
      <c r="E14677" t="s">
        <v>31689</v>
      </c>
      <c r="F14677" t="s">
        <v>32831</v>
      </c>
      <c r="G14677" t="s">
        <v>32839</v>
      </c>
      <c r="H14677" t="s">
        <v>32848</v>
      </c>
      <c r="I14677" t="s">
        <v>7416</v>
      </c>
      <c r="J14677" t="s">
        <v>41943</v>
      </c>
      <c r="K14677" t="s">
        <v>42731</v>
      </c>
      <c r="M14677" t="s">
        <v>46874</v>
      </c>
      <c r="N14677" t="s">
        <v>47424</v>
      </c>
      <c r="O14677" t="s">
        <v>47425</v>
      </c>
      <c r="P14677">
        <v>0</v>
      </c>
      <c r="Q14677">
        <v>0</v>
      </c>
      <c r="R14677" t="s">
        <v>47446</v>
      </c>
      <c r="S14677" t="s">
        <v>48377</v>
      </c>
      <c r="T14677" t="s">
        <v>49239</v>
      </c>
      <c r="U14677" t="s">
        <v>61610</v>
      </c>
      <c r="W14677" t="s">
        <v>46874</v>
      </c>
      <c r="X14677" t="s">
        <v>47447</v>
      </c>
    </row>
    <row r="14678" spans="1:24">
      <c r="A14678">
        <f>HYPERLINK("https://www.philgeps.gov.ph/GEPSNONPILOT/Tender/SplashBidNoticeAbstractUI.aspx?menuIndex=3&amp;refID=7125704&amp;Result=3","7125704")</f>
        <v>0</v>
      </c>
      <c r="B14678" t="s">
        <v>160</v>
      </c>
      <c r="C14678" t="s">
        <v>17795</v>
      </c>
      <c r="D14678" t="s">
        <v>19026</v>
      </c>
      <c r="E14678" t="s">
        <v>31690</v>
      </c>
      <c r="F14678" t="s">
        <v>32831</v>
      </c>
      <c r="G14678" t="s">
        <v>32842</v>
      </c>
      <c r="H14678" t="s">
        <v>32848</v>
      </c>
      <c r="I14678" t="s">
        <v>4438</v>
      </c>
      <c r="J14678" t="s">
        <v>41944</v>
      </c>
      <c r="K14678" t="s">
        <v>42729</v>
      </c>
      <c r="M14678" t="s">
        <v>45098</v>
      </c>
      <c r="N14678" t="s">
        <v>47424</v>
      </c>
      <c r="O14678" t="s">
        <v>47425</v>
      </c>
      <c r="Q14678">
        <v>7</v>
      </c>
      <c r="R14678" t="s">
        <v>47446</v>
      </c>
      <c r="S14678" t="s">
        <v>48470</v>
      </c>
      <c r="T14678" t="s">
        <v>49162</v>
      </c>
      <c r="U14678" t="s">
        <v>53997</v>
      </c>
      <c r="W14678" t="s">
        <v>45098</v>
      </c>
      <c r="X14678" t="s">
        <v>47447</v>
      </c>
    </row>
    <row r="14679" spans="1:24">
      <c r="A14679">
        <f>HYPERLINK("https://www.philgeps.gov.ph/GEPSNONPILOT/Tender/SplashBidNoticeAbstractUI.aspx?menuIndex=3&amp;refID=7125710&amp;Result=3","7125710")</f>
        <v>0</v>
      </c>
      <c r="B14679" t="s">
        <v>678</v>
      </c>
      <c r="C14679" t="s">
        <v>17796</v>
      </c>
      <c r="D14679" t="s">
        <v>19037</v>
      </c>
      <c r="E14679" t="s">
        <v>31691</v>
      </c>
      <c r="F14679" t="s">
        <v>32831</v>
      </c>
      <c r="G14679" t="s">
        <v>32839</v>
      </c>
      <c r="H14679" t="s">
        <v>32849</v>
      </c>
      <c r="I14679" t="s">
        <v>4177</v>
      </c>
      <c r="J14679" t="s">
        <v>41945</v>
      </c>
      <c r="K14679" t="s">
        <v>42928</v>
      </c>
      <c r="M14679" t="s">
        <v>43697</v>
      </c>
      <c r="N14679" t="s">
        <v>47424</v>
      </c>
      <c r="O14679" t="s">
        <v>47425</v>
      </c>
      <c r="Q14679">
        <v>9</v>
      </c>
      <c r="R14679" t="s">
        <v>47446</v>
      </c>
      <c r="S14679" t="s">
        <v>48471</v>
      </c>
      <c r="T14679" t="s">
        <v>49658</v>
      </c>
      <c r="U14679" t="s">
        <v>61611</v>
      </c>
      <c r="W14679" t="s">
        <v>43697</v>
      </c>
      <c r="X14679" t="s">
        <v>47447</v>
      </c>
    </row>
    <row r="14680" spans="1:24">
      <c r="A14680">
        <f>HYPERLINK("https://www.philgeps.gov.ph/GEPSNONPILOT/Tender/SplashBidNoticeAbstractUI.aspx?menuIndex=3&amp;refID=7125746&amp;Result=3","7125746")</f>
        <v>0</v>
      </c>
      <c r="B14680" t="s">
        <v>3366</v>
      </c>
      <c r="C14680" t="s">
        <v>17797</v>
      </c>
      <c r="D14680" t="s">
        <v>19017</v>
      </c>
      <c r="E14680" t="s">
        <v>17797</v>
      </c>
      <c r="F14680" t="s">
        <v>32831</v>
      </c>
      <c r="G14680" t="s">
        <v>32839</v>
      </c>
      <c r="H14680" t="s">
        <v>32848</v>
      </c>
      <c r="I14680" t="s">
        <v>32874</v>
      </c>
      <c r="J14680" t="s">
        <v>41946</v>
      </c>
      <c r="K14680" t="s">
        <v>42730</v>
      </c>
      <c r="M14680" t="s">
        <v>46692</v>
      </c>
      <c r="N14680" t="s">
        <v>47424</v>
      </c>
      <c r="O14680" t="s">
        <v>47425</v>
      </c>
      <c r="P14680">
        <v>0</v>
      </c>
      <c r="Q14680">
        <v>22</v>
      </c>
      <c r="R14680" t="s">
        <v>47446</v>
      </c>
      <c r="S14680" t="s">
        <v>48377</v>
      </c>
      <c r="T14680" t="s">
        <v>49239</v>
      </c>
      <c r="U14680" t="s">
        <v>61612</v>
      </c>
      <c r="W14680" t="s">
        <v>46692</v>
      </c>
      <c r="X14680" t="s">
        <v>47447</v>
      </c>
    </row>
    <row r="14681" spans="1:24">
      <c r="A14681">
        <f>HYPERLINK("https://www.philgeps.gov.ph/GEPSNONPILOT/Tender/SplashBidNoticeAbstractUI.aspx?menuIndex=3&amp;refID=7125674&amp;Result=3","7125674")</f>
        <v>0</v>
      </c>
      <c r="B14681" t="s">
        <v>3843</v>
      </c>
      <c r="C14681" t="s">
        <v>17798</v>
      </c>
      <c r="D14681" t="s">
        <v>19025</v>
      </c>
      <c r="E14681" t="s">
        <v>31692</v>
      </c>
      <c r="F14681" t="s">
        <v>32831</v>
      </c>
      <c r="G14681" t="s">
        <v>32839</v>
      </c>
      <c r="H14681" t="s">
        <v>32849</v>
      </c>
      <c r="I14681" t="s">
        <v>4177</v>
      </c>
      <c r="J14681" t="s">
        <v>33118</v>
      </c>
      <c r="K14681" t="s">
        <v>42911</v>
      </c>
      <c r="M14681" t="s">
        <v>47269</v>
      </c>
      <c r="N14681" t="s">
        <v>47424</v>
      </c>
      <c r="O14681" t="s">
        <v>47425</v>
      </c>
      <c r="P14681">
        <v>0</v>
      </c>
      <c r="Q14681">
        <v>1</v>
      </c>
      <c r="R14681" t="s">
        <v>47446</v>
      </c>
      <c r="S14681" t="s">
        <v>48377</v>
      </c>
      <c r="T14681" t="s">
        <v>49659</v>
      </c>
      <c r="U14681" t="s">
        <v>61613</v>
      </c>
      <c r="W14681" t="s">
        <v>47269</v>
      </c>
      <c r="X14681" t="s">
        <v>47447</v>
      </c>
    </row>
    <row r="14682" spans="1:24">
      <c r="A14682">
        <f>HYPERLINK("https://www.philgeps.gov.ph/GEPSNONPILOT/Tender/SplashBidNoticeAbstractUI.aspx?menuIndex=3&amp;refID=7125667&amp;Result=3","7125667")</f>
        <v>0</v>
      </c>
      <c r="B14682" t="s">
        <v>3579</v>
      </c>
      <c r="C14682" t="s">
        <v>17799</v>
      </c>
      <c r="D14682" t="s">
        <v>19037</v>
      </c>
      <c r="E14682" t="s">
        <v>29802</v>
      </c>
      <c r="F14682" t="s">
        <v>32831</v>
      </c>
      <c r="G14682" t="s">
        <v>32839</v>
      </c>
      <c r="H14682" t="s">
        <v>32848</v>
      </c>
      <c r="I14682" t="s">
        <v>7751</v>
      </c>
      <c r="J14682" t="s">
        <v>33032</v>
      </c>
      <c r="K14682" t="s">
        <v>42763</v>
      </c>
      <c r="M14682" t="s">
        <v>46939</v>
      </c>
      <c r="N14682" t="s">
        <v>47424</v>
      </c>
      <c r="O14682" t="s">
        <v>47425</v>
      </c>
      <c r="P14682">
        <v>0</v>
      </c>
      <c r="Q14682">
        <v>4</v>
      </c>
      <c r="R14682" t="s">
        <v>47446</v>
      </c>
      <c r="S14682" t="s">
        <v>48377</v>
      </c>
      <c r="T14682" t="s">
        <v>49468</v>
      </c>
      <c r="U14682" t="s">
        <v>61614</v>
      </c>
      <c r="W14682" t="s">
        <v>46939</v>
      </c>
      <c r="X14682" t="s">
        <v>47447</v>
      </c>
    </row>
    <row r="14683" spans="1:24">
      <c r="A14683">
        <f>HYPERLINK("https://www.philgeps.gov.ph/GEPSNONPILOT/Tender/SplashBidNoticeAbstractUI.aspx?menuIndex=3&amp;refID=7124957&amp;Result=3","7124957")</f>
        <v>0</v>
      </c>
      <c r="B14683" t="s">
        <v>1414</v>
      </c>
      <c r="C14683" t="s">
        <v>17800</v>
      </c>
      <c r="D14683" t="s">
        <v>19030</v>
      </c>
      <c r="E14683" t="s">
        <v>31609</v>
      </c>
      <c r="F14683" t="s">
        <v>32831</v>
      </c>
      <c r="G14683" t="s">
        <v>32839</v>
      </c>
      <c r="H14683" t="s">
        <v>32849</v>
      </c>
      <c r="I14683" t="s">
        <v>4177</v>
      </c>
      <c r="J14683" t="s">
        <v>40470</v>
      </c>
      <c r="K14683" t="s">
        <v>42757</v>
      </c>
      <c r="M14683" t="s">
        <v>44502</v>
      </c>
      <c r="N14683" t="s">
        <v>47424</v>
      </c>
      <c r="O14683" t="s">
        <v>47425</v>
      </c>
      <c r="P14683">
        <v>0</v>
      </c>
      <c r="Q14683">
        <v>1</v>
      </c>
      <c r="R14683" t="s">
        <v>47446</v>
      </c>
      <c r="S14683" t="s">
        <v>48377</v>
      </c>
      <c r="T14683" t="s">
        <v>49177</v>
      </c>
      <c r="U14683" t="s">
        <v>61541</v>
      </c>
      <c r="W14683" t="s">
        <v>44502</v>
      </c>
      <c r="X14683" t="s">
        <v>47447</v>
      </c>
    </row>
    <row r="14684" spans="1:24">
      <c r="A14684">
        <f>HYPERLINK("https://www.philgeps.gov.ph/GEPSNONPILOT/Tender/SplashBidNoticeAbstractUI.aspx?menuIndex=3&amp;refID=7125703&amp;Result=3","7125703")</f>
        <v>0</v>
      </c>
      <c r="B14684" t="s">
        <v>1258</v>
      </c>
      <c r="C14684" t="s">
        <v>17801</v>
      </c>
      <c r="D14684" t="s">
        <v>19017</v>
      </c>
      <c r="E14684" t="s">
        <v>31693</v>
      </c>
      <c r="F14684" t="s">
        <v>32831</v>
      </c>
      <c r="G14684" t="s">
        <v>32839</v>
      </c>
      <c r="H14684" t="s">
        <v>32849</v>
      </c>
      <c r="I14684" t="s">
        <v>4177</v>
      </c>
      <c r="J14684" t="s">
        <v>41947</v>
      </c>
      <c r="K14684" t="s">
        <v>42892</v>
      </c>
      <c r="M14684" t="s">
        <v>44328</v>
      </c>
      <c r="N14684" t="s">
        <v>47424</v>
      </c>
      <c r="O14684" t="s">
        <v>47425</v>
      </c>
      <c r="Q14684">
        <v>12</v>
      </c>
      <c r="R14684" t="s">
        <v>47446</v>
      </c>
      <c r="S14684" t="s">
        <v>48472</v>
      </c>
      <c r="T14684" t="s">
        <v>49069</v>
      </c>
      <c r="U14684" t="s">
        <v>52157</v>
      </c>
      <c r="W14684" t="s">
        <v>44328</v>
      </c>
      <c r="X14684" t="s">
        <v>47447</v>
      </c>
    </row>
    <row r="14685" spans="1:24">
      <c r="A14685">
        <f>HYPERLINK("https://www.philgeps.gov.ph/GEPSNONPILOT/Tender/SplashBidNoticeAbstractUI.aspx?menuIndex=3&amp;refID=7125852&amp;Result=3","7125852")</f>
        <v>0</v>
      </c>
      <c r="B14685" t="s">
        <v>3366</v>
      </c>
      <c r="C14685" t="s">
        <v>17802</v>
      </c>
      <c r="D14685" t="s">
        <v>19017</v>
      </c>
      <c r="E14685" t="s">
        <v>17802</v>
      </c>
      <c r="F14685" t="s">
        <v>32831</v>
      </c>
      <c r="G14685" t="s">
        <v>32839</v>
      </c>
      <c r="H14685" t="s">
        <v>32848</v>
      </c>
      <c r="I14685" t="s">
        <v>32874</v>
      </c>
      <c r="J14685" t="s">
        <v>33257</v>
      </c>
      <c r="K14685" t="s">
        <v>42730</v>
      </c>
      <c r="M14685" t="s">
        <v>46692</v>
      </c>
      <c r="N14685" t="s">
        <v>47424</v>
      </c>
      <c r="O14685" t="s">
        <v>47425</v>
      </c>
      <c r="P14685">
        <v>0</v>
      </c>
      <c r="Q14685">
        <v>8</v>
      </c>
      <c r="R14685" t="s">
        <v>47446</v>
      </c>
      <c r="S14685" t="s">
        <v>48377</v>
      </c>
      <c r="T14685" t="s">
        <v>49239</v>
      </c>
      <c r="U14685" t="s">
        <v>57952</v>
      </c>
      <c r="W14685" t="s">
        <v>46692</v>
      </c>
      <c r="X14685" t="s">
        <v>47447</v>
      </c>
    </row>
    <row r="14686" spans="1:24">
      <c r="A14686">
        <f>HYPERLINK("https://www.philgeps.gov.ph/GEPSNONPILOT/Tender/SplashBidNoticeAbstractUI.aspx?menuIndex=3&amp;refID=7125847&amp;Result=3","7125847")</f>
        <v>0</v>
      </c>
      <c r="B14686" t="s">
        <v>1823</v>
      </c>
      <c r="C14686" t="s">
        <v>17803</v>
      </c>
      <c r="D14686" t="s">
        <v>19100</v>
      </c>
      <c r="E14686" t="s">
        <v>31694</v>
      </c>
      <c r="F14686" t="s">
        <v>32831</v>
      </c>
      <c r="G14686" t="s">
        <v>32839</v>
      </c>
      <c r="H14686" t="s">
        <v>32848</v>
      </c>
      <c r="I14686" t="s">
        <v>4776</v>
      </c>
      <c r="J14686" t="s">
        <v>41948</v>
      </c>
      <c r="K14686" t="s">
        <v>42732</v>
      </c>
      <c r="M14686" t="s">
        <v>46219</v>
      </c>
      <c r="N14686" t="s">
        <v>47424</v>
      </c>
      <c r="O14686" t="s">
        <v>47425</v>
      </c>
      <c r="P14686">
        <v>0</v>
      </c>
      <c r="Q14686">
        <v>7</v>
      </c>
      <c r="R14686" t="s">
        <v>47446</v>
      </c>
      <c r="S14686" t="s">
        <v>48377</v>
      </c>
      <c r="T14686" t="s">
        <v>49243</v>
      </c>
      <c r="U14686" t="s">
        <v>61615</v>
      </c>
      <c r="W14686" t="s">
        <v>64529</v>
      </c>
      <c r="X14686" t="s">
        <v>47447</v>
      </c>
    </row>
    <row r="14687" spans="1:24">
      <c r="A14687">
        <f>HYPERLINK("https://www.philgeps.gov.ph/GEPSNONPILOT/Tender/SplashBidNoticeAbstractUI.aspx?menuIndex=3&amp;refID=7125709&amp;Result=3","7125709")</f>
        <v>0</v>
      </c>
      <c r="B14687" t="s">
        <v>3366</v>
      </c>
      <c r="C14687" t="s">
        <v>17804</v>
      </c>
      <c r="D14687" t="s">
        <v>19017</v>
      </c>
      <c r="E14687" t="s">
        <v>17804</v>
      </c>
      <c r="F14687" t="s">
        <v>32831</v>
      </c>
      <c r="G14687" t="s">
        <v>32839</v>
      </c>
      <c r="H14687" t="s">
        <v>32848</v>
      </c>
      <c r="I14687" t="s">
        <v>4222</v>
      </c>
      <c r="J14687" t="s">
        <v>33072</v>
      </c>
      <c r="K14687" t="s">
        <v>42730</v>
      </c>
      <c r="M14687" t="s">
        <v>46692</v>
      </c>
      <c r="N14687" t="s">
        <v>47424</v>
      </c>
      <c r="O14687" t="s">
        <v>47425</v>
      </c>
      <c r="P14687">
        <v>0</v>
      </c>
      <c r="Q14687">
        <v>0</v>
      </c>
      <c r="R14687" t="s">
        <v>47446</v>
      </c>
      <c r="S14687" t="s">
        <v>48377</v>
      </c>
      <c r="T14687" t="s">
        <v>49239</v>
      </c>
      <c r="U14687" t="s">
        <v>57931</v>
      </c>
      <c r="W14687" t="s">
        <v>46692</v>
      </c>
      <c r="X14687" t="s">
        <v>47447</v>
      </c>
    </row>
    <row r="14688" spans="1:24">
      <c r="A14688">
        <f>HYPERLINK("https://www.philgeps.gov.ph/GEPSNONPILOT/Tender/SplashBidNoticeAbstractUI.aspx?menuIndex=3&amp;refID=7125853&amp;Result=3","7125853")</f>
        <v>0</v>
      </c>
      <c r="B14688" t="s">
        <v>322</v>
      </c>
      <c r="C14688" t="s">
        <v>17805</v>
      </c>
      <c r="D14688" t="s">
        <v>19023</v>
      </c>
      <c r="E14688" t="s">
        <v>19739</v>
      </c>
      <c r="F14688" t="s">
        <v>32831</v>
      </c>
      <c r="G14688" t="s">
        <v>32839</v>
      </c>
      <c r="H14688" t="s">
        <v>32848</v>
      </c>
      <c r="I14688" t="s">
        <v>4558</v>
      </c>
      <c r="J14688" t="s">
        <v>33078</v>
      </c>
      <c r="K14688" t="s">
        <v>42727</v>
      </c>
      <c r="M14688" t="s">
        <v>43325</v>
      </c>
      <c r="N14688" t="s">
        <v>47424</v>
      </c>
      <c r="O14688" t="s">
        <v>47425</v>
      </c>
      <c r="Q14688">
        <v>14</v>
      </c>
      <c r="R14688" t="s">
        <v>47446</v>
      </c>
      <c r="S14688" t="s">
        <v>48473</v>
      </c>
      <c r="T14688" t="s">
        <v>49177</v>
      </c>
      <c r="U14688" t="s">
        <v>61616</v>
      </c>
      <c r="W14688" t="s">
        <v>43325</v>
      </c>
      <c r="X14688" t="s">
        <v>47447</v>
      </c>
    </row>
    <row r="14689" spans="1:24">
      <c r="A14689">
        <f>HYPERLINK("https://www.philgeps.gov.ph/GEPSNONPILOT/Tender/SplashBidNoticeAbstractUI.aspx?menuIndex=3&amp;refID=7125840&amp;Result=3","7125840")</f>
        <v>0</v>
      </c>
      <c r="B14689" t="s">
        <v>884</v>
      </c>
      <c r="C14689" t="s">
        <v>17806</v>
      </c>
      <c r="E14689" t="s">
        <v>31695</v>
      </c>
      <c r="F14689" t="s">
        <v>32831</v>
      </c>
      <c r="G14689" t="s">
        <v>32839</v>
      </c>
      <c r="H14689" t="s">
        <v>32848</v>
      </c>
      <c r="I14689" t="s">
        <v>32861</v>
      </c>
      <c r="J14689" t="s">
        <v>33067</v>
      </c>
      <c r="K14689" t="s">
        <v>42732</v>
      </c>
      <c r="M14689" t="s">
        <v>47270</v>
      </c>
      <c r="N14689" t="s">
        <v>47424</v>
      </c>
      <c r="O14689" t="s">
        <v>47425</v>
      </c>
      <c r="Q14689">
        <v>19</v>
      </c>
      <c r="R14689" t="s">
        <v>47446</v>
      </c>
      <c r="S14689" t="s">
        <v>48474</v>
      </c>
      <c r="T14689" t="s">
        <v>49334</v>
      </c>
      <c r="U14689" t="s">
        <v>61590</v>
      </c>
      <c r="W14689" t="s">
        <v>47270</v>
      </c>
      <c r="X14689" t="s">
        <v>47447</v>
      </c>
    </row>
    <row r="14690" spans="1:24">
      <c r="A14690">
        <f>HYPERLINK("https://www.philgeps.gov.ph/GEPSNONPILOT/Tender/SplashBidNoticeAbstractUI.aspx?menuIndex=3&amp;refID=7125833&amp;Result=3","7125833")</f>
        <v>0</v>
      </c>
      <c r="B14690" t="s">
        <v>3846</v>
      </c>
      <c r="C14690" t="s">
        <v>17807</v>
      </c>
      <c r="D14690" t="s">
        <v>19018</v>
      </c>
      <c r="E14690" t="s">
        <v>31696</v>
      </c>
      <c r="F14690" t="s">
        <v>32831</v>
      </c>
      <c r="G14690" t="s">
        <v>32839</v>
      </c>
      <c r="H14690" t="s">
        <v>14069</v>
      </c>
      <c r="I14690" t="s">
        <v>14069</v>
      </c>
      <c r="J14690" t="s">
        <v>33046</v>
      </c>
      <c r="K14690" t="s">
        <v>42836</v>
      </c>
      <c r="M14690" t="s">
        <v>47276</v>
      </c>
      <c r="N14690" t="s">
        <v>47424</v>
      </c>
      <c r="O14690" t="s">
        <v>47425</v>
      </c>
      <c r="Q14690">
        <v>6</v>
      </c>
      <c r="R14690" t="s">
        <v>47446</v>
      </c>
      <c r="S14690" t="s">
        <v>47539</v>
      </c>
      <c r="T14690" t="s">
        <v>49109</v>
      </c>
      <c r="U14690" t="s">
        <v>61617</v>
      </c>
      <c r="W14690" t="s">
        <v>47276</v>
      </c>
      <c r="X14690" t="s">
        <v>47447</v>
      </c>
    </row>
    <row r="14691" spans="1:24">
      <c r="A14691">
        <f>HYPERLINK("https://www.philgeps.gov.ph/GEPSNONPILOT/Tender/SplashBidNoticeAbstractUI.aspx?menuIndex=3&amp;refID=7125692&amp;Result=3","7125692")</f>
        <v>0</v>
      </c>
      <c r="B14691" t="s">
        <v>687</v>
      </c>
      <c r="C14691" t="s">
        <v>17808</v>
      </c>
      <c r="D14691" t="s">
        <v>19074</v>
      </c>
      <c r="E14691" t="s">
        <v>31697</v>
      </c>
      <c r="F14691" t="s">
        <v>32831</v>
      </c>
      <c r="G14691" t="s">
        <v>32839</v>
      </c>
      <c r="H14691" t="s">
        <v>32848</v>
      </c>
      <c r="I14691" t="s">
        <v>32883</v>
      </c>
      <c r="J14691" t="s">
        <v>41949</v>
      </c>
      <c r="K14691" t="s">
        <v>42730</v>
      </c>
      <c r="M14691" t="s">
        <v>43706</v>
      </c>
      <c r="N14691" t="s">
        <v>47424</v>
      </c>
      <c r="O14691" t="s">
        <v>47425</v>
      </c>
      <c r="Q14691">
        <v>5</v>
      </c>
      <c r="R14691" t="s">
        <v>47446</v>
      </c>
      <c r="S14691" t="s">
        <v>48475</v>
      </c>
      <c r="T14691" t="s">
        <v>49111</v>
      </c>
      <c r="U14691" t="s">
        <v>61618</v>
      </c>
      <c r="W14691" t="s">
        <v>43706</v>
      </c>
      <c r="X14691" t="s">
        <v>47447</v>
      </c>
    </row>
    <row r="14692" spans="1:24">
      <c r="A14692">
        <f>HYPERLINK("https://www.philgeps.gov.ph/GEPSNONPILOT/Tender/SplashBidNoticeAbstractUI.aspx?menuIndex=3&amp;refID=7125842&amp;Result=3","7125842")</f>
        <v>0</v>
      </c>
      <c r="B14692" t="s">
        <v>3366</v>
      </c>
      <c r="C14692" t="s">
        <v>17809</v>
      </c>
      <c r="D14692" t="s">
        <v>19017</v>
      </c>
      <c r="E14692" t="s">
        <v>17809</v>
      </c>
      <c r="F14692" t="s">
        <v>32831</v>
      </c>
      <c r="G14692" t="s">
        <v>32839</v>
      </c>
      <c r="H14692" t="s">
        <v>32848</v>
      </c>
      <c r="I14692" t="s">
        <v>32874</v>
      </c>
      <c r="J14692" t="s">
        <v>33257</v>
      </c>
      <c r="K14692" t="s">
        <v>42730</v>
      </c>
      <c r="M14692" t="s">
        <v>46692</v>
      </c>
      <c r="N14692" t="s">
        <v>47424</v>
      </c>
      <c r="O14692" t="s">
        <v>47425</v>
      </c>
      <c r="P14692">
        <v>0</v>
      </c>
      <c r="Q14692">
        <v>7</v>
      </c>
      <c r="R14692" t="s">
        <v>47446</v>
      </c>
      <c r="S14692" t="s">
        <v>48377</v>
      </c>
      <c r="T14692" t="s">
        <v>49239</v>
      </c>
      <c r="U14692" t="s">
        <v>57952</v>
      </c>
      <c r="W14692" t="s">
        <v>46692</v>
      </c>
      <c r="X14692" t="s">
        <v>47447</v>
      </c>
    </row>
    <row r="14693" spans="1:24">
      <c r="A14693">
        <f>HYPERLINK("https://www.philgeps.gov.ph/GEPSNONPILOT/Tender/SplashBidNoticeAbstractUI.aspx?menuIndex=3&amp;refID=7125831&amp;Result=3","7125831")</f>
        <v>0</v>
      </c>
      <c r="B14693" t="s">
        <v>1823</v>
      </c>
      <c r="C14693" t="s">
        <v>17810</v>
      </c>
      <c r="D14693" t="s">
        <v>19100</v>
      </c>
      <c r="E14693" t="s">
        <v>31698</v>
      </c>
      <c r="F14693" t="s">
        <v>32831</v>
      </c>
      <c r="G14693" t="s">
        <v>32839</v>
      </c>
      <c r="H14693" t="s">
        <v>32848</v>
      </c>
      <c r="I14693" t="s">
        <v>4487</v>
      </c>
      <c r="J14693" t="s">
        <v>41950</v>
      </c>
      <c r="K14693" t="s">
        <v>42732</v>
      </c>
      <c r="M14693" t="s">
        <v>46219</v>
      </c>
      <c r="N14693" t="s">
        <v>47424</v>
      </c>
      <c r="O14693" t="s">
        <v>47425</v>
      </c>
      <c r="Q14693">
        <v>2</v>
      </c>
      <c r="R14693" t="s">
        <v>47446</v>
      </c>
      <c r="S14693" t="s">
        <v>48476</v>
      </c>
      <c r="T14693" t="s">
        <v>49243</v>
      </c>
      <c r="U14693" t="s">
        <v>61619</v>
      </c>
      <c r="W14693" t="s">
        <v>64529</v>
      </c>
      <c r="X14693" t="s">
        <v>47447</v>
      </c>
    </row>
    <row r="14694" spans="1:24">
      <c r="A14694">
        <f>HYPERLINK("https://www.philgeps.gov.ph/GEPSNONPILOT/Tender/SplashBidNoticeAbstractUI.aspx?menuIndex=3&amp;refID=7125832&amp;Result=3","7125832")</f>
        <v>0</v>
      </c>
      <c r="B14694" t="s">
        <v>145</v>
      </c>
      <c r="C14694" t="s">
        <v>17811</v>
      </c>
      <c r="D14694" t="s">
        <v>19048</v>
      </c>
      <c r="E14694" t="s">
        <v>31699</v>
      </c>
      <c r="F14694" t="s">
        <v>32831</v>
      </c>
      <c r="G14694" t="s">
        <v>32839</v>
      </c>
      <c r="H14694" t="s">
        <v>32848</v>
      </c>
      <c r="I14694" t="s">
        <v>7751</v>
      </c>
      <c r="J14694" t="s">
        <v>33016</v>
      </c>
      <c r="K14694" t="s">
        <v>42729</v>
      </c>
      <c r="L14694" t="s">
        <v>145</v>
      </c>
      <c r="M14694" t="s">
        <v>43142</v>
      </c>
      <c r="N14694" t="s">
        <v>47424</v>
      </c>
      <c r="O14694" t="s">
        <v>47425</v>
      </c>
      <c r="P14694">
        <v>0</v>
      </c>
      <c r="Q14694">
        <v>1</v>
      </c>
      <c r="R14694" t="s">
        <v>47446</v>
      </c>
      <c r="S14694" t="s">
        <v>48377</v>
      </c>
      <c r="T14694" t="s">
        <v>49108</v>
      </c>
      <c r="U14694" t="s">
        <v>49941</v>
      </c>
      <c r="V14694" t="s">
        <v>62648</v>
      </c>
      <c r="W14694" t="s">
        <v>43142</v>
      </c>
      <c r="X14694" t="s">
        <v>47447</v>
      </c>
    </row>
    <row r="14695" spans="1:24">
      <c r="A14695">
        <f>HYPERLINK("https://www.philgeps.gov.ph/GEPSNONPILOT/Tender/SplashBidNoticeAbstractUI.aspx?menuIndex=3&amp;refID=7125723&amp;Result=3","7125723")</f>
        <v>0</v>
      </c>
      <c r="B14695" t="s">
        <v>3366</v>
      </c>
      <c r="C14695" t="s">
        <v>17812</v>
      </c>
      <c r="D14695" t="s">
        <v>19017</v>
      </c>
      <c r="E14695" t="s">
        <v>17812</v>
      </c>
      <c r="F14695" t="s">
        <v>32831</v>
      </c>
      <c r="G14695" t="s">
        <v>32839</v>
      </c>
      <c r="H14695" t="s">
        <v>32848</v>
      </c>
      <c r="I14695" t="s">
        <v>4222</v>
      </c>
      <c r="J14695" t="s">
        <v>41951</v>
      </c>
      <c r="K14695" t="s">
        <v>42730</v>
      </c>
      <c r="M14695" t="s">
        <v>46692</v>
      </c>
      <c r="N14695" t="s">
        <v>47424</v>
      </c>
      <c r="O14695" t="s">
        <v>47425</v>
      </c>
      <c r="P14695">
        <v>0</v>
      </c>
      <c r="Q14695">
        <v>1</v>
      </c>
      <c r="R14695" t="s">
        <v>47446</v>
      </c>
      <c r="S14695" t="s">
        <v>48377</v>
      </c>
      <c r="T14695" t="s">
        <v>49239</v>
      </c>
      <c r="U14695" t="s">
        <v>57931</v>
      </c>
      <c r="W14695" t="s">
        <v>46692</v>
      </c>
      <c r="X14695" t="s">
        <v>47447</v>
      </c>
    </row>
    <row r="14696" spans="1:24">
      <c r="A14696">
        <f>HYPERLINK("https://www.philgeps.gov.ph/GEPSNONPILOT/Tender/SplashBidNoticeAbstractUI.aspx?menuIndex=3&amp;refID=7125786&amp;Result=3","7125786")</f>
        <v>0</v>
      </c>
      <c r="B14696" t="s">
        <v>689</v>
      </c>
      <c r="C14696" t="s">
        <v>17813</v>
      </c>
      <c r="E14696" t="s">
        <v>31700</v>
      </c>
      <c r="F14696" t="s">
        <v>32831</v>
      </c>
      <c r="G14696" t="s">
        <v>32838</v>
      </c>
      <c r="H14696" t="s">
        <v>32848</v>
      </c>
      <c r="I14696" t="s">
        <v>32856</v>
      </c>
      <c r="J14696" t="s">
        <v>41952</v>
      </c>
      <c r="K14696" t="s">
        <v>42732</v>
      </c>
      <c r="M14696" t="s">
        <v>45151</v>
      </c>
      <c r="N14696" t="s">
        <v>47424</v>
      </c>
      <c r="O14696" t="s">
        <v>47425</v>
      </c>
      <c r="Q14696">
        <v>4</v>
      </c>
      <c r="R14696" t="s">
        <v>47446</v>
      </c>
      <c r="S14696" t="s">
        <v>47611</v>
      </c>
      <c r="T14696" t="s">
        <v>49096</v>
      </c>
      <c r="U14696" t="s">
        <v>61620</v>
      </c>
      <c r="V14696" t="s">
        <v>64301</v>
      </c>
      <c r="W14696" t="s">
        <v>43708</v>
      </c>
      <c r="X14696" t="s">
        <v>47447</v>
      </c>
    </row>
    <row r="14697" spans="1:24">
      <c r="A14697">
        <f>HYPERLINK("https://www.philgeps.gov.ph/GEPSNONPILOT/Tender/SplashBidNoticeAbstractUI.aspx?menuIndex=3&amp;refID=7125779&amp;Result=3","7125779")</f>
        <v>0</v>
      </c>
      <c r="B14697" t="s">
        <v>3366</v>
      </c>
      <c r="C14697" t="s">
        <v>17814</v>
      </c>
      <c r="D14697" t="s">
        <v>19017</v>
      </c>
      <c r="E14697" t="s">
        <v>17814</v>
      </c>
      <c r="F14697" t="s">
        <v>32831</v>
      </c>
      <c r="G14697" t="s">
        <v>32839</v>
      </c>
      <c r="H14697" t="s">
        <v>32848</v>
      </c>
      <c r="I14697" t="s">
        <v>32874</v>
      </c>
      <c r="J14697" t="s">
        <v>33032</v>
      </c>
      <c r="K14697" t="s">
        <v>42730</v>
      </c>
      <c r="M14697" t="s">
        <v>46692</v>
      </c>
      <c r="N14697" t="s">
        <v>47424</v>
      </c>
      <c r="O14697" t="s">
        <v>47425</v>
      </c>
      <c r="P14697">
        <v>0</v>
      </c>
      <c r="Q14697">
        <v>9</v>
      </c>
      <c r="R14697" t="s">
        <v>47446</v>
      </c>
      <c r="S14697" t="s">
        <v>48377</v>
      </c>
      <c r="T14697" t="s">
        <v>49239</v>
      </c>
      <c r="U14697" t="s">
        <v>57952</v>
      </c>
      <c r="W14697" t="s">
        <v>46692</v>
      </c>
      <c r="X14697" t="s">
        <v>47447</v>
      </c>
    </row>
    <row r="14698" spans="1:24">
      <c r="A14698">
        <f>HYPERLINK("https://www.philgeps.gov.ph/GEPSNONPILOT/Tender/SplashBidNoticeAbstractUI.aspx?menuIndex=3&amp;refID=7125837&amp;Result=3","7125837")</f>
        <v>0</v>
      </c>
      <c r="B14698" t="s">
        <v>1997</v>
      </c>
      <c r="C14698" t="s">
        <v>17815</v>
      </c>
      <c r="D14698" t="s">
        <v>19061</v>
      </c>
      <c r="E14698" t="s">
        <v>31701</v>
      </c>
      <c r="F14698" t="s">
        <v>32831</v>
      </c>
      <c r="G14698" t="s">
        <v>32839</v>
      </c>
      <c r="H14698" t="s">
        <v>32849</v>
      </c>
      <c r="I14698" t="s">
        <v>4177</v>
      </c>
      <c r="J14698" t="s">
        <v>32978</v>
      </c>
      <c r="K14698" t="s">
        <v>42780</v>
      </c>
      <c r="M14698" t="s">
        <v>45164</v>
      </c>
      <c r="N14698" t="s">
        <v>47424</v>
      </c>
      <c r="O14698" t="s">
        <v>47425</v>
      </c>
      <c r="P14698">
        <v>0</v>
      </c>
      <c r="Q14698">
        <v>1</v>
      </c>
      <c r="R14698" t="s">
        <v>47446</v>
      </c>
      <c r="S14698" t="s">
        <v>48377</v>
      </c>
      <c r="T14698" t="s">
        <v>49288</v>
      </c>
      <c r="U14698" t="s">
        <v>58780</v>
      </c>
      <c r="W14698" t="s">
        <v>45164</v>
      </c>
      <c r="X14698" t="s">
        <v>47447</v>
      </c>
    </row>
    <row r="14699" spans="1:24">
      <c r="A14699">
        <f>HYPERLINK("https://www.philgeps.gov.ph/GEPSNONPILOT/Tender/SplashBidNoticeAbstractUI.aspx?menuIndex=3&amp;refID=7125803&amp;Result=3","7125803")</f>
        <v>0</v>
      </c>
      <c r="B14699" t="s">
        <v>1321</v>
      </c>
      <c r="C14699" t="s">
        <v>17816</v>
      </c>
      <c r="D14699" t="s">
        <v>19044</v>
      </c>
      <c r="E14699" t="s">
        <v>31702</v>
      </c>
      <c r="F14699" t="s">
        <v>32831</v>
      </c>
      <c r="G14699" t="s">
        <v>32839</v>
      </c>
      <c r="H14699" t="s">
        <v>32848</v>
      </c>
      <c r="I14699" t="s">
        <v>4487</v>
      </c>
      <c r="J14699" t="s">
        <v>36189</v>
      </c>
      <c r="K14699" t="s">
        <v>42730</v>
      </c>
      <c r="M14699" t="s">
        <v>44392</v>
      </c>
      <c r="N14699" t="s">
        <v>47424</v>
      </c>
      <c r="O14699" t="s">
        <v>47425</v>
      </c>
      <c r="P14699">
        <v>0</v>
      </c>
      <c r="Q14699">
        <v>4</v>
      </c>
      <c r="R14699" t="s">
        <v>47446</v>
      </c>
      <c r="S14699" t="s">
        <v>48377</v>
      </c>
      <c r="T14699" t="s">
        <v>49237</v>
      </c>
      <c r="U14699" t="s">
        <v>55080</v>
      </c>
      <c r="W14699" t="s">
        <v>44392</v>
      </c>
      <c r="X14699" t="s">
        <v>47447</v>
      </c>
    </row>
    <row r="14700" spans="1:24">
      <c r="A14700">
        <f>HYPERLINK("https://www.philgeps.gov.ph/GEPSNONPILOT/Tender/SplashBidNoticeAbstractUI.aspx?menuIndex=3&amp;refID=7125770&amp;Result=3","7125770")</f>
        <v>0</v>
      </c>
      <c r="B14700" t="s">
        <v>3366</v>
      </c>
      <c r="C14700" t="s">
        <v>17817</v>
      </c>
      <c r="D14700" t="s">
        <v>19017</v>
      </c>
      <c r="E14700" t="s">
        <v>17817</v>
      </c>
      <c r="F14700" t="s">
        <v>32831</v>
      </c>
      <c r="G14700" t="s">
        <v>32839</v>
      </c>
      <c r="H14700" t="s">
        <v>32848</v>
      </c>
      <c r="I14700" t="s">
        <v>32874</v>
      </c>
      <c r="J14700" t="s">
        <v>41953</v>
      </c>
      <c r="K14700" t="s">
        <v>42730</v>
      </c>
      <c r="M14700" t="s">
        <v>46692</v>
      </c>
      <c r="N14700" t="s">
        <v>47424</v>
      </c>
      <c r="O14700" t="s">
        <v>47425</v>
      </c>
      <c r="P14700">
        <v>0</v>
      </c>
      <c r="Q14700">
        <v>10</v>
      </c>
      <c r="R14700" t="s">
        <v>47446</v>
      </c>
      <c r="S14700" t="s">
        <v>48377</v>
      </c>
      <c r="T14700" t="s">
        <v>49239</v>
      </c>
      <c r="U14700" t="s">
        <v>61612</v>
      </c>
      <c r="W14700" t="s">
        <v>46692</v>
      </c>
      <c r="X14700" t="s">
        <v>47447</v>
      </c>
    </row>
    <row r="14701" spans="1:24">
      <c r="A14701">
        <f>HYPERLINK("https://www.philgeps.gov.ph/GEPSNONPILOT/Tender/SplashBidNoticeAbstractUI.aspx?menuIndex=3&amp;refID=7125772&amp;Result=3","7125772")</f>
        <v>0</v>
      </c>
      <c r="B14701" t="s">
        <v>1321</v>
      </c>
      <c r="C14701" t="s">
        <v>17818</v>
      </c>
      <c r="D14701" t="s">
        <v>19044</v>
      </c>
      <c r="E14701" t="s">
        <v>31703</v>
      </c>
      <c r="F14701" t="s">
        <v>32831</v>
      </c>
      <c r="G14701" t="s">
        <v>32839</v>
      </c>
      <c r="H14701" t="s">
        <v>32848</v>
      </c>
      <c r="I14701" t="s">
        <v>32862</v>
      </c>
      <c r="J14701" t="s">
        <v>41954</v>
      </c>
      <c r="K14701" t="s">
        <v>42774</v>
      </c>
      <c r="M14701" t="s">
        <v>44392</v>
      </c>
      <c r="N14701" t="s">
        <v>47424</v>
      </c>
      <c r="O14701" t="s">
        <v>47425</v>
      </c>
      <c r="Q14701">
        <v>5</v>
      </c>
      <c r="R14701" t="s">
        <v>47446</v>
      </c>
      <c r="S14701" t="s">
        <v>48477</v>
      </c>
      <c r="T14701" t="s">
        <v>49237</v>
      </c>
      <c r="U14701" t="s">
        <v>55080</v>
      </c>
      <c r="W14701" t="s">
        <v>44392</v>
      </c>
      <c r="X14701" t="s">
        <v>47447</v>
      </c>
    </row>
    <row r="14702" spans="1:24">
      <c r="A14702">
        <f>HYPERLINK("https://www.philgeps.gov.ph/GEPSNONPILOT/Tender/SplashBidNoticeAbstractUI.aspx?menuIndex=3&amp;refID=7125940&amp;Result=3","7125940")</f>
        <v>0</v>
      </c>
      <c r="B14702" t="s">
        <v>687</v>
      </c>
      <c r="C14702" t="s">
        <v>17819</v>
      </c>
      <c r="D14702" t="s">
        <v>19074</v>
      </c>
      <c r="E14702" t="s">
        <v>31704</v>
      </c>
      <c r="F14702" t="s">
        <v>32831</v>
      </c>
      <c r="G14702" t="s">
        <v>32839</v>
      </c>
      <c r="H14702" t="s">
        <v>32848</v>
      </c>
      <c r="I14702" t="s">
        <v>7416</v>
      </c>
      <c r="J14702" t="s">
        <v>41955</v>
      </c>
      <c r="K14702" t="s">
        <v>42730</v>
      </c>
      <c r="M14702" t="s">
        <v>43706</v>
      </c>
      <c r="N14702" t="s">
        <v>47424</v>
      </c>
      <c r="O14702" t="s">
        <v>47425</v>
      </c>
      <c r="P14702">
        <v>0</v>
      </c>
      <c r="Q14702">
        <v>1</v>
      </c>
      <c r="R14702" t="s">
        <v>47446</v>
      </c>
      <c r="S14702" t="s">
        <v>48377</v>
      </c>
      <c r="T14702" t="s">
        <v>49111</v>
      </c>
      <c r="U14702" t="s">
        <v>61621</v>
      </c>
      <c r="W14702" t="s">
        <v>43706</v>
      </c>
      <c r="X14702" t="s">
        <v>47447</v>
      </c>
    </row>
    <row r="14703" spans="1:24">
      <c r="A14703">
        <f>HYPERLINK("https://www.philgeps.gov.ph/GEPSNONPILOT/Tender/SplashBidNoticeAbstractUI.aspx?menuIndex=3&amp;refID=7125931&amp;Result=3","7125931")</f>
        <v>0</v>
      </c>
      <c r="B14703" t="s">
        <v>687</v>
      </c>
      <c r="C14703" t="s">
        <v>17820</v>
      </c>
      <c r="D14703" t="s">
        <v>19074</v>
      </c>
      <c r="E14703" t="s">
        <v>31705</v>
      </c>
      <c r="F14703" t="s">
        <v>32831</v>
      </c>
      <c r="G14703" t="s">
        <v>32839</v>
      </c>
      <c r="H14703" t="s">
        <v>32848</v>
      </c>
      <c r="I14703" t="s">
        <v>9577</v>
      </c>
      <c r="J14703" t="s">
        <v>41956</v>
      </c>
      <c r="K14703" t="s">
        <v>42730</v>
      </c>
      <c r="M14703" t="s">
        <v>43706</v>
      </c>
      <c r="N14703" t="s">
        <v>47424</v>
      </c>
      <c r="O14703" t="s">
        <v>47425</v>
      </c>
      <c r="P14703">
        <v>0</v>
      </c>
      <c r="Q14703">
        <v>3</v>
      </c>
      <c r="R14703" t="s">
        <v>47446</v>
      </c>
      <c r="S14703" t="s">
        <v>48377</v>
      </c>
      <c r="T14703" t="s">
        <v>49111</v>
      </c>
      <c r="U14703" t="s">
        <v>61622</v>
      </c>
      <c r="W14703" t="s">
        <v>43706</v>
      </c>
      <c r="X14703" t="s">
        <v>47447</v>
      </c>
    </row>
    <row r="14704" spans="1:24">
      <c r="A14704">
        <f>HYPERLINK("https://www.philgeps.gov.ph/GEPSNONPILOT/Tender/SplashBidNoticeAbstractUI.aspx?menuIndex=3&amp;refID=7125729&amp;Result=3","7125729")</f>
        <v>0</v>
      </c>
      <c r="B14704" t="s">
        <v>1258</v>
      </c>
      <c r="C14704" t="s">
        <v>17821</v>
      </c>
      <c r="D14704" t="s">
        <v>19017</v>
      </c>
      <c r="E14704" t="s">
        <v>31706</v>
      </c>
      <c r="F14704" t="s">
        <v>32831</v>
      </c>
      <c r="G14704" t="s">
        <v>32839</v>
      </c>
      <c r="H14704" t="s">
        <v>32849</v>
      </c>
      <c r="I14704" t="s">
        <v>4177</v>
      </c>
      <c r="J14704" t="s">
        <v>41957</v>
      </c>
      <c r="K14704" t="s">
        <v>42757</v>
      </c>
      <c r="M14704" t="s">
        <v>44328</v>
      </c>
      <c r="N14704" t="s">
        <v>47424</v>
      </c>
      <c r="O14704" t="s">
        <v>47425</v>
      </c>
      <c r="Q14704">
        <v>11</v>
      </c>
      <c r="R14704" t="s">
        <v>47446</v>
      </c>
      <c r="S14704" t="s">
        <v>48478</v>
      </c>
      <c r="T14704" t="s">
        <v>49069</v>
      </c>
      <c r="U14704" t="s">
        <v>52157</v>
      </c>
      <c r="W14704" t="s">
        <v>44328</v>
      </c>
      <c r="X14704" t="s">
        <v>47447</v>
      </c>
    </row>
    <row r="14705" spans="1:24">
      <c r="A14705">
        <f>HYPERLINK("https://www.philgeps.gov.ph/GEPSNONPILOT/Tender/SplashBidNoticeAbstractUI.aspx?menuIndex=3&amp;refID=7125929&amp;Result=3","7125929")</f>
        <v>0</v>
      </c>
      <c r="B14705" t="s">
        <v>994</v>
      </c>
      <c r="C14705" t="s">
        <v>17822</v>
      </c>
      <c r="D14705" t="s">
        <v>19031</v>
      </c>
      <c r="E14705" t="s">
        <v>24075</v>
      </c>
      <c r="F14705" t="s">
        <v>32831</v>
      </c>
      <c r="G14705" t="s">
        <v>32839</v>
      </c>
      <c r="H14705" t="s">
        <v>32848</v>
      </c>
      <c r="I14705" t="s">
        <v>32862</v>
      </c>
      <c r="J14705" t="s">
        <v>33016</v>
      </c>
      <c r="K14705" t="s">
        <v>42730</v>
      </c>
      <c r="M14705" t="s">
        <v>44043</v>
      </c>
      <c r="N14705" t="s">
        <v>47424</v>
      </c>
      <c r="O14705" t="s">
        <v>47425</v>
      </c>
      <c r="Q14705">
        <v>2</v>
      </c>
      <c r="R14705" t="s">
        <v>47446</v>
      </c>
      <c r="S14705" t="s">
        <v>48479</v>
      </c>
      <c r="T14705" t="s">
        <v>49162</v>
      </c>
      <c r="U14705" t="s">
        <v>61623</v>
      </c>
      <c r="V14705" t="s">
        <v>64302</v>
      </c>
      <c r="W14705" t="s">
        <v>44043</v>
      </c>
      <c r="X14705" t="s">
        <v>47447</v>
      </c>
    </row>
    <row r="14706" spans="1:24">
      <c r="A14706">
        <f>HYPERLINK("https://www.philgeps.gov.ph/GEPSNONPILOT/Tender/SplashBidNoticeAbstractUI.aspx?menuIndex=3&amp;refID=7125917&amp;Result=3","7125917")</f>
        <v>0</v>
      </c>
      <c r="B14706" t="s">
        <v>1780</v>
      </c>
      <c r="C14706" t="s">
        <v>17823</v>
      </c>
      <c r="D14706" t="s">
        <v>19081</v>
      </c>
      <c r="E14706" t="s">
        <v>31707</v>
      </c>
      <c r="F14706" t="s">
        <v>32831</v>
      </c>
      <c r="G14706" t="s">
        <v>32839</v>
      </c>
      <c r="H14706" t="s">
        <v>32849</v>
      </c>
      <c r="I14706" t="s">
        <v>4177</v>
      </c>
      <c r="J14706" t="s">
        <v>41958</v>
      </c>
      <c r="K14706" t="s">
        <v>42729</v>
      </c>
      <c r="M14706" t="s">
        <v>44906</v>
      </c>
      <c r="N14706" t="s">
        <v>47424</v>
      </c>
      <c r="O14706" t="s">
        <v>47425</v>
      </c>
      <c r="P14706">
        <v>0</v>
      </c>
      <c r="Q14706">
        <v>0</v>
      </c>
      <c r="R14706" t="s">
        <v>47446</v>
      </c>
      <c r="S14706" t="s">
        <v>48377</v>
      </c>
      <c r="T14706" t="s">
        <v>49162</v>
      </c>
      <c r="U14706" t="s">
        <v>61624</v>
      </c>
      <c r="W14706" t="s">
        <v>44906</v>
      </c>
      <c r="X14706" t="s">
        <v>47447</v>
      </c>
    </row>
    <row r="14707" spans="1:24">
      <c r="A14707">
        <f>HYPERLINK("https://www.philgeps.gov.ph/GEPSNONPILOT/Tender/SplashBidNoticeAbstractUI.aspx?menuIndex=3&amp;refID=7125934&amp;Result=3","7125934")</f>
        <v>0</v>
      </c>
      <c r="B14707" t="s">
        <v>421</v>
      </c>
      <c r="C14707" t="s">
        <v>17824</v>
      </c>
      <c r="D14707" t="s">
        <v>19021</v>
      </c>
      <c r="E14707" t="s">
        <v>31708</v>
      </c>
      <c r="F14707" t="s">
        <v>32831</v>
      </c>
      <c r="G14707" t="s">
        <v>32839</v>
      </c>
      <c r="H14707" t="s">
        <v>32848</v>
      </c>
      <c r="I14707" t="s">
        <v>32883</v>
      </c>
      <c r="J14707" t="s">
        <v>33624</v>
      </c>
      <c r="K14707" t="s">
        <v>42729</v>
      </c>
      <c r="M14707" t="s">
        <v>46112</v>
      </c>
      <c r="N14707" t="s">
        <v>47424</v>
      </c>
      <c r="O14707" t="s">
        <v>47425</v>
      </c>
      <c r="P14707">
        <v>0</v>
      </c>
      <c r="Q14707">
        <v>2</v>
      </c>
      <c r="R14707" t="s">
        <v>47446</v>
      </c>
      <c r="S14707" t="s">
        <v>48377</v>
      </c>
      <c r="T14707" t="s">
        <v>49166</v>
      </c>
      <c r="U14707" t="s">
        <v>61625</v>
      </c>
      <c r="W14707" t="s">
        <v>46112</v>
      </c>
      <c r="X14707" t="s">
        <v>47447</v>
      </c>
    </row>
    <row r="14708" spans="1:24">
      <c r="A14708">
        <f>HYPERLINK("https://www.philgeps.gov.ph/GEPSNONPILOT/Tender/SplashBidNoticeAbstractUI.aspx?menuIndex=3&amp;refID=7125916&amp;Result=3","7125916")</f>
        <v>0</v>
      </c>
      <c r="B14708" t="s">
        <v>687</v>
      </c>
      <c r="C14708" t="s">
        <v>17825</v>
      </c>
      <c r="D14708" t="s">
        <v>19074</v>
      </c>
      <c r="E14708" t="s">
        <v>31709</v>
      </c>
      <c r="F14708" t="s">
        <v>32831</v>
      </c>
      <c r="G14708" t="s">
        <v>32839</v>
      </c>
      <c r="H14708" t="s">
        <v>32848</v>
      </c>
      <c r="I14708" t="s">
        <v>7416</v>
      </c>
      <c r="J14708" t="s">
        <v>41959</v>
      </c>
      <c r="K14708" t="s">
        <v>42730</v>
      </c>
      <c r="M14708" t="s">
        <v>43706</v>
      </c>
      <c r="N14708" t="s">
        <v>47424</v>
      </c>
      <c r="O14708" t="s">
        <v>47425</v>
      </c>
      <c r="P14708">
        <v>0</v>
      </c>
      <c r="Q14708">
        <v>0</v>
      </c>
      <c r="R14708" t="s">
        <v>47446</v>
      </c>
      <c r="S14708" t="s">
        <v>48377</v>
      </c>
      <c r="T14708" t="s">
        <v>49111</v>
      </c>
      <c r="U14708" t="s">
        <v>61626</v>
      </c>
      <c r="W14708" t="s">
        <v>43706</v>
      </c>
      <c r="X14708" t="s">
        <v>47447</v>
      </c>
    </row>
    <row r="14709" spans="1:24">
      <c r="A14709">
        <f>HYPERLINK("https://www.philgeps.gov.ph/GEPSNONPILOT/Tender/SplashBidNoticeAbstractUI.aspx?menuIndex=3&amp;refID=7125948&amp;Result=3","7125948")</f>
        <v>0</v>
      </c>
      <c r="B14709" t="s">
        <v>2074</v>
      </c>
      <c r="C14709" t="s">
        <v>17826</v>
      </c>
      <c r="D14709" t="s">
        <v>19081</v>
      </c>
      <c r="E14709" t="s">
        <v>25184</v>
      </c>
      <c r="F14709" t="s">
        <v>32831</v>
      </c>
      <c r="G14709" t="s">
        <v>32839</v>
      </c>
      <c r="H14709" t="s">
        <v>32848</v>
      </c>
      <c r="I14709" t="s">
        <v>32883</v>
      </c>
      <c r="J14709" t="s">
        <v>36671</v>
      </c>
      <c r="K14709" t="s">
        <v>42730</v>
      </c>
      <c r="M14709" t="s">
        <v>45244</v>
      </c>
      <c r="N14709" t="s">
        <v>47424</v>
      </c>
      <c r="O14709" t="s">
        <v>47425</v>
      </c>
      <c r="P14709">
        <v>0</v>
      </c>
      <c r="Q14709">
        <v>3</v>
      </c>
      <c r="R14709" t="s">
        <v>47446</v>
      </c>
      <c r="S14709" t="s">
        <v>48377</v>
      </c>
      <c r="T14709" t="s">
        <v>49163</v>
      </c>
      <c r="U14709" t="s">
        <v>61627</v>
      </c>
      <c r="W14709" t="s">
        <v>45244</v>
      </c>
      <c r="X14709" t="s">
        <v>47447</v>
      </c>
    </row>
    <row r="14710" spans="1:24">
      <c r="A14710">
        <f>HYPERLINK("https://www.philgeps.gov.ph/GEPSNONPILOT/Tender/SplashBidNoticeAbstractUI.aspx?menuIndex=3&amp;refID=7125896&amp;Result=3","7125896")</f>
        <v>0</v>
      </c>
      <c r="B14710" t="s">
        <v>668</v>
      </c>
      <c r="C14710" t="s">
        <v>17827</v>
      </c>
      <c r="D14710" t="s">
        <v>19034</v>
      </c>
      <c r="E14710" t="s">
        <v>31710</v>
      </c>
      <c r="F14710" t="s">
        <v>32831</v>
      </c>
      <c r="G14710" t="s">
        <v>32839</v>
      </c>
      <c r="H14710" t="s">
        <v>32848</v>
      </c>
      <c r="I14710" t="s">
        <v>4177</v>
      </c>
      <c r="J14710" t="s">
        <v>41960</v>
      </c>
      <c r="K14710" t="s">
        <v>42930</v>
      </c>
      <c r="M14710" t="s">
        <v>44913</v>
      </c>
      <c r="N14710" t="s">
        <v>47424</v>
      </c>
      <c r="O14710" t="s">
        <v>47425</v>
      </c>
      <c r="P14710">
        <v>0</v>
      </c>
      <c r="Q14710">
        <v>1</v>
      </c>
      <c r="R14710" t="s">
        <v>47446</v>
      </c>
      <c r="S14710" t="s">
        <v>48377</v>
      </c>
      <c r="T14710" t="s">
        <v>49321</v>
      </c>
      <c r="U14710" t="s">
        <v>61628</v>
      </c>
      <c r="W14710" t="s">
        <v>44913</v>
      </c>
      <c r="X14710" t="s">
        <v>47447</v>
      </c>
    </row>
    <row r="14711" spans="1:24">
      <c r="A14711">
        <f>HYPERLINK("https://www.philgeps.gov.ph/GEPSNONPILOT/Tender/SplashBidNoticeAbstractUI.aspx?menuIndex=3&amp;refID=7125793&amp;Result=3","7125793")</f>
        <v>0</v>
      </c>
      <c r="B14711" t="s">
        <v>994</v>
      </c>
      <c r="C14711" t="s">
        <v>17828</v>
      </c>
      <c r="D14711" t="s">
        <v>19031</v>
      </c>
      <c r="E14711" t="s">
        <v>20017</v>
      </c>
      <c r="F14711" t="s">
        <v>32831</v>
      </c>
      <c r="G14711" t="s">
        <v>32839</v>
      </c>
      <c r="H14711" t="s">
        <v>32848</v>
      </c>
      <c r="I14711" t="s">
        <v>32870</v>
      </c>
      <c r="J14711" t="s">
        <v>33118</v>
      </c>
      <c r="K14711" t="s">
        <v>42730</v>
      </c>
      <c r="M14711" t="s">
        <v>44043</v>
      </c>
      <c r="N14711" t="s">
        <v>47424</v>
      </c>
      <c r="O14711" t="s">
        <v>47425</v>
      </c>
      <c r="P14711">
        <v>0</v>
      </c>
      <c r="Q14711">
        <v>0</v>
      </c>
      <c r="R14711" t="s">
        <v>47446</v>
      </c>
      <c r="S14711" t="s">
        <v>48377</v>
      </c>
      <c r="T14711" t="s">
        <v>49162</v>
      </c>
      <c r="U14711" t="s">
        <v>61629</v>
      </c>
      <c r="V14711" t="s">
        <v>64303</v>
      </c>
      <c r="W14711" t="s">
        <v>44043</v>
      </c>
      <c r="X14711" t="s">
        <v>47447</v>
      </c>
    </row>
    <row r="14712" spans="1:24">
      <c r="A14712">
        <f>HYPERLINK("https://www.philgeps.gov.ph/GEPSNONPILOT/Tender/SplashBidNoticeAbstractUI.aspx?menuIndex=3&amp;refID=7126085&amp;Result=3","7126085")</f>
        <v>0</v>
      </c>
      <c r="B14712" t="s">
        <v>1915</v>
      </c>
      <c r="C14712" t="s">
        <v>17829</v>
      </c>
      <c r="D14712" t="s">
        <v>19030</v>
      </c>
      <c r="E14712" t="s">
        <v>31711</v>
      </c>
      <c r="F14712" t="s">
        <v>32831</v>
      </c>
      <c r="G14712" t="s">
        <v>32839</v>
      </c>
      <c r="H14712" t="s">
        <v>32849</v>
      </c>
      <c r="I14712" t="s">
        <v>4177</v>
      </c>
      <c r="J14712" t="s">
        <v>41250</v>
      </c>
      <c r="K14712" t="s">
        <v>42763</v>
      </c>
      <c r="M14712" t="s">
        <v>45067</v>
      </c>
      <c r="N14712" t="s">
        <v>47424</v>
      </c>
      <c r="O14712" t="s">
        <v>47425</v>
      </c>
      <c r="Q14712">
        <v>16</v>
      </c>
      <c r="R14712" t="s">
        <v>47446</v>
      </c>
      <c r="S14712" t="s">
        <v>48480</v>
      </c>
      <c r="T14712" t="s">
        <v>49237</v>
      </c>
      <c r="U14712" t="s">
        <v>61630</v>
      </c>
      <c r="W14712" t="s">
        <v>64492</v>
      </c>
      <c r="X14712" t="s">
        <v>47447</v>
      </c>
    </row>
    <row r="14713" spans="1:24">
      <c r="A14713">
        <f>HYPERLINK("https://www.philgeps.gov.ph/GEPSNONPILOT/Tender/SplashBidNoticeAbstractUI.aspx?menuIndex=3&amp;refID=7125802&amp;Result=3","7125802")</f>
        <v>0</v>
      </c>
      <c r="B14713" t="s">
        <v>1857</v>
      </c>
      <c r="C14713" t="s">
        <v>17830</v>
      </c>
      <c r="E14713" t="s">
        <v>31712</v>
      </c>
      <c r="F14713" t="s">
        <v>32831</v>
      </c>
      <c r="G14713" t="s">
        <v>32839</v>
      </c>
      <c r="H14713" t="s">
        <v>32849</v>
      </c>
      <c r="I14713" t="s">
        <v>4177</v>
      </c>
      <c r="J14713" t="s">
        <v>33118</v>
      </c>
      <c r="K14713" t="s">
        <v>42747</v>
      </c>
      <c r="M14713" t="s">
        <v>44996</v>
      </c>
      <c r="N14713" t="s">
        <v>47424</v>
      </c>
      <c r="O14713" t="s">
        <v>47425</v>
      </c>
      <c r="P14713">
        <v>0</v>
      </c>
      <c r="Q14713">
        <v>0</v>
      </c>
      <c r="R14713" t="s">
        <v>47446</v>
      </c>
      <c r="S14713" t="s">
        <v>48377</v>
      </c>
      <c r="T14713" t="s">
        <v>49237</v>
      </c>
      <c r="U14713" t="s">
        <v>61631</v>
      </c>
      <c r="W14713" t="s">
        <v>44996</v>
      </c>
      <c r="X14713" t="s">
        <v>47447</v>
      </c>
    </row>
    <row r="14714" spans="1:24">
      <c r="A14714">
        <f>HYPERLINK("https://www.philgeps.gov.ph/GEPSNONPILOT/Tender/SplashBidNoticeAbstractUI.aspx?menuIndex=3&amp;refID=7126071&amp;Result=3","7126071")</f>
        <v>0</v>
      </c>
      <c r="B14714" t="s">
        <v>1915</v>
      </c>
      <c r="C14714" t="s">
        <v>17831</v>
      </c>
      <c r="D14714" t="s">
        <v>19030</v>
      </c>
      <c r="E14714" t="s">
        <v>31713</v>
      </c>
      <c r="F14714" t="s">
        <v>32831</v>
      </c>
      <c r="G14714" t="s">
        <v>32839</v>
      </c>
      <c r="H14714" t="s">
        <v>32849</v>
      </c>
      <c r="I14714" t="s">
        <v>4177</v>
      </c>
      <c r="J14714" t="s">
        <v>37878</v>
      </c>
      <c r="K14714" t="s">
        <v>42730</v>
      </c>
      <c r="M14714" t="s">
        <v>45067</v>
      </c>
      <c r="N14714" t="s">
        <v>47424</v>
      </c>
      <c r="O14714" t="s">
        <v>47425</v>
      </c>
      <c r="P14714">
        <v>0</v>
      </c>
      <c r="Q14714">
        <v>9</v>
      </c>
      <c r="R14714" t="s">
        <v>47446</v>
      </c>
      <c r="S14714" t="s">
        <v>48377</v>
      </c>
      <c r="T14714" t="s">
        <v>49237</v>
      </c>
      <c r="U14714" t="s">
        <v>61630</v>
      </c>
      <c r="W14714" t="s">
        <v>64492</v>
      </c>
      <c r="X14714" t="s">
        <v>47447</v>
      </c>
    </row>
    <row r="14715" spans="1:24">
      <c r="A14715">
        <f>HYPERLINK("https://www.philgeps.gov.ph/GEPSNONPILOT/Tender/SplashBidNoticeAbstractUI.aspx?menuIndex=3&amp;refID=7126070&amp;Result=3","7126070")</f>
        <v>0</v>
      </c>
      <c r="B14715" t="s">
        <v>1149</v>
      </c>
      <c r="C14715" t="s">
        <v>17832</v>
      </c>
      <c r="D14715" t="s">
        <v>19079</v>
      </c>
      <c r="E14715" t="s">
        <v>31714</v>
      </c>
      <c r="F14715" t="s">
        <v>32831</v>
      </c>
      <c r="G14715" t="s">
        <v>32839</v>
      </c>
      <c r="H14715" t="s">
        <v>32848</v>
      </c>
      <c r="I14715" t="s">
        <v>4487</v>
      </c>
      <c r="J14715" t="s">
        <v>41961</v>
      </c>
      <c r="K14715" t="s">
        <v>42731</v>
      </c>
      <c r="M14715" t="s">
        <v>45518</v>
      </c>
      <c r="N14715" t="s">
        <v>47424</v>
      </c>
      <c r="O14715" t="s">
        <v>47425</v>
      </c>
      <c r="P14715">
        <v>0</v>
      </c>
      <c r="Q14715">
        <v>2</v>
      </c>
      <c r="R14715" t="s">
        <v>47446</v>
      </c>
      <c r="S14715" t="s">
        <v>48377</v>
      </c>
      <c r="T14715" t="s">
        <v>49166</v>
      </c>
      <c r="U14715" t="s">
        <v>61632</v>
      </c>
      <c r="W14715" t="s">
        <v>45518</v>
      </c>
      <c r="X14715" t="s">
        <v>47447</v>
      </c>
    </row>
    <row r="14716" spans="1:24">
      <c r="A14716">
        <f>HYPERLINK("https://www.philgeps.gov.ph/GEPSNONPILOT/Tender/SplashBidNoticeAbstractUI.aspx?menuIndex=3&amp;refID=7126067&amp;Result=3","7126067")</f>
        <v>0</v>
      </c>
      <c r="B14716" t="s">
        <v>3847</v>
      </c>
      <c r="C14716" t="s">
        <v>17833</v>
      </c>
      <c r="D14716" t="s">
        <v>19017</v>
      </c>
      <c r="E14716" t="s">
        <v>31715</v>
      </c>
      <c r="F14716" t="s">
        <v>32831</v>
      </c>
      <c r="G14716" t="s">
        <v>32839</v>
      </c>
      <c r="H14716" t="s">
        <v>32848</v>
      </c>
      <c r="I14716" t="s">
        <v>32854</v>
      </c>
      <c r="J14716" t="s">
        <v>41962</v>
      </c>
      <c r="K14716" t="s">
        <v>42726</v>
      </c>
      <c r="M14716" t="s">
        <v>47277</v>
      </c>
      <c r="N14716" t="s">
        <v>47424</v>
      </c>
      <c r="O14716" t="s">
        <v>47425</v>
      </c>
      <c r="Q14716">
        <v>9</v>
      </c>
      <c r="R14716" t="s">
        <v>47446</v>
      </c>
      <c r="S14716" t="s">
        <v>48481</v>
      </c>
      <c r="T14716" t="s">
        <v>49660</v>
      </c>
      <c r="U14716" t="s">
        <v>61633</v>
      </c>
      <c r="W14716" t="s">
        <v>47277</v>
      </c>
      <c r="X14716" t="s">
        <v>47447</v>
      </c>
    </row>
    <row r="14717" spans="1:24">
      <c r="A14717">
        <f>HYPERLINK("https://www.philgeps.gov.ph/GEPSNONPILOT/Tender/SplashBidNoticeAbstractUI.aspx?menuIndex=3&amp;refID=7125901&amp;Result=3","7125901")</f>
        <v>0</v>
      </c>
      <c r="B14717" t="s">
        <v>3366</v>
      </c>
      <c r="C14717" t="s">
        <v>17834</v>
      </c>
      <c r="D14717" t="s">
        <v>19017</v>
      </c>
      <c r="E14717" t="s">
        <v>17834</v>
      </c>
      <c r="F14717" t="s">
        <v>32831</v>
      </c>
      <c r="G14717" t="s">
        <v>32839</v>
      </c>
      <c r="H14717" t="s">
        <v>32848</v>
      </c>
      <c r="I14717" t="s">
        <v>32874</v>
      </c>
      <c r="J14717" t="s">
        <v>33087</v>
      </c>
      <c r="K14717" t="s">
        <v>42730</v>
      </c>
      <c r="M14717" t="s">
        <v>46692</v>
      </c>
      <c r="N14717" t="s">
        <v>47424</v>
      </c>
      <c r="O14717" t="s">
        <v>47425</v>
      </c>
      <c r="P14717">
        <v>0</v>
      </c>
      <c r="Q14717">
        <v>13</v>
      </c>
      <c r="R14717" t="s">
        <v>47446</v>
      </c>
      <c r="S14717" t="s">
        <v>48377</v>
      </c>
      <c r="T14717" t="s">
        <v>49239</v>
      </c>
      <c r="U14717" t="s">
        <v>61634</v>
      </c>
      <c r="W14717" t="s">
        <v>46692</v>
      </c>
      <c r="X14717" t="s">
        <v>47447</v>
      </c>
    </row>
    <row r="14718" spans="1:24">
      <c r="A14718">
        <f>HYPERLINK("https://www.philgeps.gov.ph/GEPSNONPILOT/Tender/SplashBidNoticeAbstractUI.aspx?menuIndex=3&amp;refID=7126059&amp;Result=3","7126059")</f>
        <v>0</v>
      </c>
      <c r="B14718" t="s">
        <v>1915</v>
      </c>
      <c r="C14718" t="s">
        <v>17835</v>
      </c>
      <c r="D14718" t="s">
        <v>19030</v>
      </c>
      <c r="E14718" t="s">
        <v>31716</v>
      </c>
      <c r="F14718" t="s">
        <v>32831</v>
      </c>
      <c r="G14718" t="s">
        <v>32839</v>
      </c>
      <c r="H14718" t="s">
        <v>32849</v>
      </c>
      <c r="I14718" t="s">
        <v>4177</v>
      </c>
      <c r="J14718" t="s">
        <v>37878</v>
      </c>
      <c r="K14718" t="s">
        <v>42747</v>
      </c>
      <c r="M14718" t="s">
        <v>45067</v>
      </c>
      <c r="N14718" t="s">
        <v>47424</v>
      </c>
      <c r="O14718" t="s">
        <v>47425</v>
      </c>
      <c r="P14718">
        <v>0</v>
      </c>
      <c r="Q14718">
        <v>9</v>
      </c>
      <c r="R14718" t="s">
        <v>47446</v>
      </c>
      <c r="S14718" t="s">
        <v>48377</v>
      </c>
      <c r="T14718" t="s">
        <v>49237</v>
      </c>
      <c r="U14718" t="s">
        <v>61630</v>
      </c>
      <c r="W14718" t="s">
        <v>64492</v>
      </c>
      <c r="X14718" t="s">
        <v>47447</v>
      </c>
    </row>
    <row r="14719" spans="1:24">
      <c r="A14719">
        <f>HYPERLINK("https://www.philgeps.gov.ph/GEPSNONPILOT/Tender/SplashBidNoticeAbstractUI.aspx?menuIndex=3&amp;refID=7126056&amp;Result=3","7126056")</f>
        <v>0</v>
      </c>
      <c r="B14719" t="s">
        <v>1915</v>
      </c>
      <c r="C14719" t="s">
        <v>17836</v>
      </c>
      <c r="D14719" t="s">
        <v>19030</v>
      </c>
      <c r="E14719" t="s">
        <v>31717</v>
      </c>
      <c r="F14719" t="s">
        <v>32831</v>
      </c>
      <c r="G14719" t="s">
        <v>32839</v>
      </c>
      <c r="H14719" t="s">
        <v>32849</v>
      </c>
      <c r="I14719" t="s">
        <v>4177</v>
      </c>
      <c r="J14719" t="s">
        <v>37878</v>
      </c>
      <c r="K14719" t="s">
        <v>42747</v>
      </c>
      <c r="M14719" t="s">
        <v>45067</v>
      </c>
      <c r="N14719" t="s">
        <v>47424</v>
      </c>
      <c r="O14719" t="s">
        <v>47425</v>
      </c>
      <c r="P14719">
        <v>0</v>
      </c>
      <c r="Q14719">
        <v>9</v>
      </c>
      <c r="R14719" t="s">
        <v>47446</v>
      </c>
      <c r="S14719" t="s">
        <v>48377</v>
      </c>
      <c r="T14719" t="s">
        <v>49237</v>
      </c>
      <c r="U14719" t="s">
        <v>61630</v>
      </c>
      <c r="W14719" t="s">
        <v>64492</v>
      </c>
      <c r="X14719" t="s">
        <v>47447</v>
      </c>
    </row>
    <row r="14720" spans="1:24">
      <c r="A14720">
        <f>HYPERLINK("https://www.philgeps.gov.ph/GEPSNONPILOT/Tender/SplashBidNoticeAbstractUI.aspx?menuIndex=3&amp;refID=7126066&amp;Result=3","7126066")</f>
        <v>0</v>
      </c>
      <c r="B14720" t="s">
        <v>1915</v>
      </c>
      <c r="C14720" t="s">
        <v>17837</v>
      </c>
      <c r="D14720" t="s">
        <v>19030</v>
      </c>
      <c r="E14720" t="s">
        <v>31718</v>
      </c>
      <c r="F14720" t="s">
        <v>32831</v>
      </c>
      <c r="G14720" t="s">
        <v>32839</v>
      </c>
      <c r="H14720" t="s">
        <v>32849</v>
      </c>
      <c r="I14720" t="s">
        <v>4177</v>
      </c>
      <c r="J14720" t="s">
        <v>37878</v>
      </c>
      <c r="K14720" t="s">
        <v>42747</v>
      </c>
      <c r="M14720" t="s">
        <v>45067</v>
      </c>
      <c r="N14720" t="s">
        <v>47424</v>
      </c>
      <c r="O14720" t="s">
        <v>47425</v>
      </c>
      <c r="Q14720">
        <v>9</v>
      </c>
      <c r="R14720" t="s">
        <v>47446</v>
      </c>
      <c r="S14720" t="s">
        <v>48482</v>
      </c>
      <c r="T14720" t="s">
        <v>49237</v>
      </c>
      <c r="U14720" t="s">
        <v>61630</v>
      </c>
      <c r="W14720" t="s">
        <v>64492</v>
      </c>
      <c r="X14720" t="s">
        <v>47447</v>
      </c>
    </row>
    <row r="14721" spans="1:24">
      <c r="A14721">
        <f>HYPERLINK("https://www.philgeps.gov.ph/GEPSNONPILOT/Tender/SplashBidNoticeAbstractUI.aspx?menuIndex=3&amp;refID=7126078&amp;Result=3","7126078")</f>
        <v>0</v>
      </c>
      <c r="B14721" t="s">
        <v>1915</v>
      </c>
      <c r="C14721" t="s">
        <v>17838</v>
      </c>
      <c r="D14721" t="s">
        <v>19030</v>
      </c>
      <c r="E14721" t="s">
        <v>31719</v>
      </c>
      <c r="F14721" t="s">
        <v>32831</v>
      </c>
      <c r="G14721" t="s">
        <v>32839</v>
      </c>
      <c r="H14721" t="s">
        <v>32849</v>
      </c>
      <c r="I14721" t="s">
        <v>4177</v>
      </c>
      <c r="J14721" t="s">
        <v>36385</v>
      </c>
      <c r="K14721" t="s">
        <v>42763</v>
      </c>
      <c r="M14721" t="s">
        <v>45067</v>
      </c>
      <c r="N14721" t="s">
        <v>47424</v>
      </c>
      <c r="O14721" t="s">
        <v>47425</v>
      </c>
      <c r="Q14721">
        <v>15</v>
      </c>
      <c r="R14721" t="s">
        <v>47446</v>
      </c>
      <c r="S14721" t="s">
        <v>48483</v>
      </c>
      <c r="T14721" t="s">
        <v>49237</v>
      </c>
      <c r="U14721" t="s">
        <v>61630</v>
      </c>
      <c r="W14721" t="s">
        <v>64492</v>
      </c>
      <c r="X14721" t="s">
        <v>47447</v>
      </c>
    </row>
    <row r="14722" spans="1:24">
      <c r="A14722">
        <f>HYPERLINK("https://www.philgeps.gov.ph/GEPSNONPILOT/Tender/SplashBidNoticeAbstractUI.aspx?menuIndex=3&amp;refID=7125798&amp;Result=3","7125798")</f>
        <v>0</v>
      </c>
      <c r="B14722" t="s">
        <v>687</v>
      </c>
      <c r="C14722" t="s">
        <v>17839</v>
      </c>
      <c r="D14722" t="s">
        <v>19074</v>
      </c>
      <c r="E14722" t="s">
        <v>31720</v>
      </c>
      <c r="F14722" t="s">
        <v>32831</v>
      </c>
      <c r="G14722" t="s">
        <v>32839</v>
      </c>
      <c r="H14722" t="s">
        <v>32848</v>
      </c>
      <c r="I14722" t="s">
        <v>32862</v>
      </c>
      <c r="J14722" t="s">
        <v>41963</v>
      </c>
      <c r="K14722" t="s">
        <v>42730</v>
      </c>
      <c r="M14722" t="s">
        <v>43706</v>
      </c>
      <c r="N14722" t="s">
        <v>47424</v>
      </c>
      <c r="O14722" t="s">
        <v>47425</v>
      </c>
      <c r="P14722">
        <v>0</v>
      </c>
      <c r="Q14722">
        <v>3</v>
      </c>
      <c r="R14722" t="s">
        <v>47446</v>
      </c>
      <c r="S14722" t="s">
        <v>48377</v>
      </c>
      <c r="T14722" t="s">
        <v>49111</v>
      </c>
      <c r="U14722" t="s">
        <v>61635</v>
      </c>
      <c r="W14722" t="s">
        <v>43706</v>
      </c>
      <c r="X14722" t="s">
        <v>47447</v>
      </c>
    </row>
    <row r="14723" spans="1:24">
      <c r="A14723">
        <f>HYPERLINK("https://www.philgeps.gov.ph/GEPSNONPILOT/Tender/SplashBidNoticeAbstractUI.aspx?menuIndex=3&amp;refID=7125922&amp;Result=3","7125922")</f>
        <v>0</v>
      </c>
      <c r="B14723" t="s">
        <v>668</v>
      </c>
      <c r="C14723" t="s">
        <v>17840</v>
      </c>
      <c r="D14723" t="s">
        <v>19034</v>
      </c>
      <c r="E14723" t="s">
        <v>31721</v>
      </c>
      <c r="F14723" t="s">
        <v>32831</v>
      </c>
      <c r="G14723" t="s">
        <v>32839</v>
      </c>
      <c r="H14723" t="s">
        <v>32848</v>
      </c>
      <c r="I14723" t="s">
        <v>32863</v>
      </c>
      <c r="J14723" t="s">
        <v>41964</v>
      </c>
      <c r="K14723" t="s">
        <v>42747</v>
      </c>
      <c r="M14723" t="s">
        <v>44913</v>
      </c>
      <c r="N14723" t="s">
        <v>47424</v>
      </c>
      <c r="O14723" t="s">
        <v>47425</v>
      </c>
      <c r="Q14723">
        <v>0</v>
      </c>
      <c r="R14723" t="s">
        <v>47446</v>
      </c>
      <c r="S14723" t="s">
        <v>48484</v>
      </c>
      <c r="T14723" t="s">
        <v>49321</v>
      </c>
      <c r="U14723" t="s">
        <v>61636</v>
      </c>
      <c r="W14723" t="s">
        <v>44913</v>
      </c>
      <c r="X14723" t="s">
        <v>47447</v>
      </c>
    </row>
    <row r="14724" spans="1:24">
      <c r="A14724">
        <f>HYPERLINK("https://www.philgeps.gov.ph/GEPSNONPILOT/Tender/SplashBidNoticeAbstractUI.aspx?menuIndex=3&amp;refID=7126179&amp;Result=3","7126179")</f>
        <v>0</v>
      </c>
      <c r="B14724" t="s">
        <v>2594</v>
      </c>
      <c r="C14724" t="s">
        <v>17841</v>
      </c>
      <c r="D14724" t="s">
        <v>19062</v>
      </c>
      <c r="E14724" t="s">
        <v>31722</v>
      </c>
      <c r="F14724" t="s">
        <v>32831</v>
      </c>
      <c r="G14724" t="s">
        <v>32839</v>
      </c>
      <c r="H14724" t="s">
        <v>32848</v>
      </c>
      <c r="I14724" t="s">
        <v>7416</v>
      </c>
      <c r="J14724" t="s">
        <v>41965</v>
      </c>
      <c r="K14724" t="s">
        <v>42730</v>
      </c>
      <c r="M14724" t="s">
        <v>45813</v>
      </c>
      <c r="N14724" t="s">
        <v>47424</v>
      </c>
      <c r="O14724" t="s">
        <v>47425</v>
      </c>
      <c r="Q14724">
        <v>6</v>
      </c>
      <c r="R14724" t="s">
        <v>47446</v>
      </c>
      <c r="S14724" t="s">
        <v>48485</v>
      </c>
      <c r="T14724" t="s">
        <v>49237</v>
      </c>
      <c r="U14724" t="s">
        <v>61637</v>
      </c>
      <c r="W14724" t="s">
        <v>45813</v>
      </c>
      <c r="X14724" t="s">
        <v>47447</v>
      </c>
    </row>
    <row r="14725" spans="1:24">
      <c r="A14725">
        <f>HYPERLINK("https://www.philgeps.gov.ph/GEPSNONPILOT/Tender/SplashBidNoticeAbstractUI.aspx?menuIndex=3&amp;refID=7126074&amp;Result=3","7126074")</f>
        <v>0</v>
      </c>
      <c r="B14725" t="s">
        <v>1915</v>
      </c>
      <c r="C14725" t="s">
        <v>17842</v>
      </c>
      <c r="D14725" t="s">
        <v>19030</v>
      </c>
      <c r="E14725" t="s">
        <v>31723</v>
      </c>
      <c r="F14725" t="s">
        <v>32831</v>
      </c>
      <c r="G14725" t="s">
        <v>32839</v>
      </c>
      <c r="H14725" t="s">
        <v>32849</v>
      </c>
      <c r="I14725" t="s">
        <v>4177</v>
      </c>
      <c r="J14725" t="s">
        <v>39594</v>
      </c>
      <c r="K14725" t="s">
        <v>42747</v>
      </c>
      <c r="M14725" t="s">
        <v>45067</v>
      </c>
      <c r="N14725" t="s">
        <v>47424</v>
      </c>
      <c r="O14725" t="s">
        <v>47425</v>
      </c>
      <c r="Q14725">
        <v>11</v>
      </c>
      <c r="R14725" t="s">
        <v>47446</v>
      </c>
      <c r="S14725" t="s">
        <v>48486</v>
      </c>
      <c r="T14725" t="s">
        <v>49237</v>
      </c>
      <c r="U14725" t="s">
        <v>61630</v>
      </c>
      <c r="W14725" t="s">
        <v>64492</v>
      </c>
      <c r="X14725" t="s">
        <v>47447</v>
      </c>
    </row>
    <row r="14726" spans="1:24">
      <c r="A14726">
        <f>HYPERLINK("https://www.philgeps.gov.ph/GEPSNONPILOT/Tender/SplashBidNoticeAbstractUI.aspx?menuIndex=3&amp;refID=7126239&amp;Result=3","7126239")</f>
        <v>0</v>
      </c>
      <c r="B14726" t="s">
        <v>3157</v>
      </c>
      <c r="C14726" t="s">
        <v>17843</v>
      </c>
      <c r="D14726" t="s">
        <v>19074</v>
      </c>
      <c r="E14726" t="s">
        <v>31724</v>
      </c>
      <c r="F14726" t="s">
        <v>32831</v>
      </c>
      <c r="G14726" t="s">
        <v>32839</v>
      </c>
      <c r="H14726" t="s">
        <v>32849</v>
      </c>
      <c r="I14726" t="s">
        <v>4177</v>
      </c>
      <c r="J14726" t="s">
        <v>41966</v>
      </c>
      <c r="K14726" t="s">
        <v>42729</v>
      </c>
      <c r="M14726" t="s">
        <v>46460</v>
      </c>
      <c r="N14726" t="s">
        <v>47424</v>
      </c>
      <c r="O14726" t="s">
        <v>47425</v>
      </c>
      <c r="P14726">
        <v>0</v>
      </c>
      <c r="Q14726">
        <v>0</v>
      </c>
      <c r="R14726" t="s">
        <v>47446</v>
      </c>
      <c r="S14726" t="s">
        <v>48377</v>
      </c>
      <c r="T14726" t="s">
        <v>49111</v>
      </c>
      <c r="U14726" t="s">
        <v>61638</v>
      </c>
      <c r="W14726" t="s">
        <v>46460</v>
      </c>
      <c r="X14726" t="s">
        <v>47447</v>
      </c>
    </row>
    <row r="14727" spans="1:24">
      <c r="A14727">
        <f>HYPERLINK("https://www.philgeps.gov.ph/GEPSNONPILOT/Tender/SplashBidNoticeAbstractUI.aspx?menuIndex=3&amp;refID=7126175&amp;Result=3","7126175")</f>
        <v>0</v>
      </c>
      <c r="B14727" t="s">
        <v>1149</v>
      </c>
      <c r="C14727" t="s">
        <v>17844</v>
      </c>
      <c r="D14727" t="s">
        <v>19079</v>
      </c>
      <c r="E14727" t="s">
        <v>31725</v>
      </c>
      <c r="F14727" t="s">
        <v>32831</v>
      </c>
      <c r="G14727" t="s">
        <v>32839</v>
      </c>
      <c r="H14727" t="s">
        <v>32848</v>
      </c>
      <c r="I14727" t="s">
        <v>4471</v>
      </c>
      <c r="J14727" t="s">
        <v>33016</v>
      </c>
      <c r="K14727" t="s">
        <v>42731</v>
      </c>
      <c r="M14727" t="s">
        <v>45518</v>
      </c>
      <c r="N14727" t="s">
        <v>47424</v>
      </c>
      <c r="O14727" t="s">
        <v>47425</v>
      </c>
      <c r="P14727">
        <v>0</v>
      </c>
      <c r="Q14727">
        <v>3</v>
      </c>
      <c r="R14727" t="s">
        <v>47446</v>
      </c>
      <c r="S14727" t="s">
        <v>48377</v>
      </c>
      <c r="T14727" t="s">
        <v>49166</v>
      </c>
      <c r="U14727" t="s">
        <v>61639</v>
      </c>
      <c r="W14727" t="s">
        <v>45518</v>
      </c>
      <c r="X14727" t="s">
        <v>47447</v>
      </c>
    </row>
    <row r="14728" spans="1:24">
      <c r="A14728">
        <f>HYPERLINK("https://www.philgeps.gov.ph/GEPSNONPILOT/Tender/SplashBidNoticeAbstractUI.aspx?menuIndex=3&amp;refID=7126155&amp;Result=3","7126155")</f>
        <v>0</v>
      </c>
      <c r="B14728" t="s">
        <v>3848</v>
      </c>
      <c r="C14728" t="s">
        <v>17845</v>
      </c>
      <c r="D14728" t="s">
        <v>19046</v>
      </c>
      <c r="E14728" t="s">
        <v>31726</v>
      </c>
      <c r="F14728" t="s">
        <v>32831</v>
      </c>
      <c r="G14728" t="s">
        <v>32839</v>
      </c>
      <c r="H14728" t="s">
        <v>32848</v>
      </c>
      <c r="I14728" t="s">
        <v>7751</v>
      </c>
      <c r="J14728" t="s">
        <v>36671</v>
      </c>
      <c r="K14728" t="s">
        <v>42729</v>
      </c>
      <c r="M14728" t="s">
        <v>47278</v>
      </c>
      <c r="N14728" t="s">
        <v>47424</v>
      </c>
      <c r="O14728" t="s">
        <v>47425</v>
      </c>
      <c r="Q14728">
        <v>3</v>
      </c>
      <c r="R14728" t="s">
        <v>47446</v>
      </c>
      <c r="S14728" t="s">
        <v>48487</v>
      </c>
      <c r="T14728" t="s">
        <v>49279</v>
      </c>
      <c r="U14728" t="s">
        <v>61640</v>
      </c>
      <c r="W14728" t="s">
        <v>47278</v>
      </c>
      <c r="X14728" t="s">
        <v>47447</v>
      </c>
    </row>
    <row r="14729" spans="1:24">
      <c r="A14729">
        <f>HYPERLINK("https://www.philgeps.gov.ph/GEPSNONPILOT/Tender/SplashBidNoticeAbstractUI.aspx?menuIndex=3&amp;refID=7126181&amp;Result=3","7126181")</f>
        <v>0</v>
      </c>
      <c r="B14729" t="s">
        <v>858</v>
      </c>
      <c r="C14729" t="s">
        <v>17846</v>
      </c>
      <c r="D14729" t="s">
        <v>19017</v>
      </c>
      <c r="E14729" t="s">
        <v>31727</v>
      </c>
      <c r="F14729" t="s">
        <v>32831</v>
      </c>
      <c r="G14729" t="s">
        <v>32839</v>
      </c>
      <c r="H14729" t="s">
        <v>32848</v>
      </c>
      <c r="I14729" t="s">
        <v>4776</v>
      </c>
      <c r="J14729" t="s">
        <v>41967</v>
      </c>
      <c r="K14729" t="s">
        <v>42730</v>
      </c>
      <c r="M14729" t="s">
        <v>47170</v>
      </c>
      <c r="N14729" t="s">
        <v>47424</v>
      </c>
      <c r="O14729" t="s">
        <v>47425</v>
      </c>
      <c r="Q14729">
        <v>54</v>
      </c>
      <c r="R14729" t="s">
        <v>47446</v>
      </c>
      <c r="S14729" t="s">
        <v>48488</v>
      </c>
      <c r="T14729" t="s">
        <v>49055</v>
      </c>
      <c r="U14729" t="s">
        <v>61641</v>
      </c>
      <c r="W14729" t="s">
        <v>47170</v>
      </c>
      <c r="X14729" t="s">
        <v>47447</v>
      </c>
    </row>
    <row r="14730" spans="1:24">
      <c r="A14730">
        <f>HYPERLINK("https://www.philgeps.gov.ph/GEPSNONPILOT/Tender/SplashBidNoticeAbstractUI.aspx?menuIndex=3&amp;refID=7126143&amp;Result=3","7126143")</f>
        <v>0</v>
      </c>
      <c r="B14730" t="s">
        <v>3848</v>
      </c>
      <c r="C14730" t="s">
        <v>17847</v>
      </c>
      <c r="D14730" t="s">
        <v>19046</v>
      </c>
      <c r="E14730" t="s">
        <v>31728</v>
      </c>
      <c r="F14730" t="s">
        <v>32831</v>
      </c>
      <c r="G14730" t="s">
        <v>32839</v>
      </c>
      <c r="H14730" t="s">
        <v>32848</v>
      </c>
      <c r="I14730" t="s">
        <v>32925</v>
      </c>
      <c r="J14730" t="s">
        <v>41968</v>
      </c>
      <c r="K14730" t="s">
        <v>42747</v>
      </c>
      <c r="M14730" t="s">
        <v>47278</v>
      </c>
      <c r="N14730" t="s">
        <v>47424</v>
      </c>
      <c r="O14730" t="s">
        <v>47425</v>
      </c>
      <c r="Q14730">
        <v>4</v>
      </c>
      <c r="R14730" t="s">
        <v>47446</v>
      </c>
      <c r="S14730" t="s">
        <v>48468</v>
      </c>
      <c r="T14730" t="s">
        <v>49129</v>
      </c>
      <c r="U14730" t="s">
        <v>61642</v>
      </c>
      <c r="W14730" t="s">
        <v>47278</v>
      </c>
      <c r="X14730" t="s">
        <v>47447</v>
      </c>
    </row>
    <row r="14731" spans="1:24">
      <c r="A14731">
        <f>HYPERLINK("https://www.philgeps.gov.ph/GEPSNONPILOT/Tender/SplashBidNoticeAbstractUI.aspx?menuIndex=3&amp;refID=7126081&amp;Result=3","7126081")</f>
        <v>0</v>
      </c>
      <c r="B14731" t="s">
        <v>1915</v>
      </c>
      <c r="C14731" t="s">
        <v>17848</v>
      </c>
      <c r="D14731" t="s">
        <v>19030</v>
      </c>
      <c r="E14731" t="s">
        <v>31729</v>
      </c>
      <c r="F14731" t="s">
        <v>32831</v>
      </c>
      <c r="G14731" t="s">
        <v>32839</v>
      </c>
      <c r="H14731" t="s">
        <v>32849</v>
      </c>
      <c r="I14731" t="s">
        <v>4177</v>
      </c>
      <c r="J14731" t="s">
        <v>38544</v>
      </c>
      <c r="K14731" t="s">
        <v>42763</v>
      </c>
      <c r="M14731" t="s">
        <v>45067</v>
      </c>
      <c r="N14731" t="s">
        <v>47424</v>
      </c>
      <c r="O14731" t="s">
        <v>47425</v>
      </c>
      <c r="Q14731">
        <v>16</v>
      </c>
      <c r="R14731" t="s">
        <v>47446</v>
      </c>
      <c r="S14731" t="s">
        <v>48489</v>
      </c>
      <c r="T14731" t="s">
        <v>49237</v>
      </c>
      <c r="U14731" t="s">
        <v>61630</v>
      </c>
      <c r="W14731" t="s">
        <v>64492</v>
      </c>
      <c r="X14731" t="s">
        <v>47447</v>
      </c>
    </row>
    <row r="14732" spans="1:24">
      <c r="A14732">
        <f>HYPERLINK("https://www.philgeps.gov.ph/GEPSNONPILOT/Tender/SplashBidNoticeAbstractUI.aspx?menuIndex=3&amp;refID=7126178&amp;Result=3","7126178")</f>
        <v>0</v>
      </c>
      <c r="B14732" t="s">
        <v>1149</v>
      </c>
      <c r="C14732" t="s">
        <v>17844</v>
      </c>
      <c r="D14732" t="s">
        <v>19079</v>
      </c>
      <c r="E14732" t="s">
        <v>31730</v>
      </c>
      <c r="F14732" t="s">
        <v>32831</v>
      </c>
      <c r="G14732" t="s">
        <v>32839</v>
      </c>
      <c r="H14732" t="s">
        <v>32848</v>
      </c>
      <c r="I14732" t="s">
        <v>4471</v>
      </c>
      <c r="J14732" t="s">
        <v>33016</v>
      </c>
      <c r="K14732" t="s">
        <v>42731</v>
      </c>
      <c r="M14732" t="s">
        <v>45518</v>
      </c>
      <c r="N14732" t="s">
        <v>47424</v>
      </c>
      <c r="O14732" t="s">
        <v>47425</v>
      </c>
      <c r="P14732">
        <v>0</v>
      </c>
      <c r="Q14732">
        <v>0</v>
      </c>
      <c r="R14732" t="s">
        <v>47446</v>
      </c>
      <c r="S14732" t="s">
        <v>48377</v>
      </c>
      <c r="T14732" t="s">
        <v>49166</v>
      </c>
      <c r="U14732" t="s">
        <v>61639</v>
      </c>
      <c r="W14732" t="s">
        <v>45518</v>
      </c>
      <c r="X14732" t="s">
        <v>47447</v>
      </c>
    </row>
    <row r="14733" spans="1:24">
      <c r="A14733">
        <f>HYPERLINK("https://www.philgeps.gov.ph/GEPSNONPILOT/Tender/SplashBidNoticeAbstractUI.aspx?menuIndex=3&amp;refID=7126133&amp;Result=3","7126133")</f>
        <v>0</v>
      </c>
      <c r="B14733" t="s">
        <v>3848</v>
      </c>
      <c r="C14733" t="s">
        <v>17849</v>
      </c>
      <c r="D14733" t="s">
        <v>19046</v>
      </c>
      <c r="E14733" t="s">
        <v>31731</v>
      </c>
      <c r="F14733" t="s">
        <v>32831</v>
      </c>
      <c r="G14733" t="s">
        <v>32839</v>
      </c>
      <c r="H14733" t="s">
        <v>32848</v>
      </c>
      <c r="I14733" t="s">
        <v>7751</v>
      </c>
      <c r="J14733" t="s">
        <v>34447</v>
      </c>
      <c r="K14733" t="s">
        <v>42729</v>
      </c>
      <c r="M14733" t="s">
        <v>47278</v>
      </c>
      <c r="N14733" t="s">
        <v>47424</v>
      </c>
      <c r="O14733" t="s">
        <v>47425</v>
      </c>
      <c r="Q14733">
        <v>8</v>
      </c>
      <c r="R14733" t="s">
        <v>47446</v>
      </c>
      <c r="S14733" t="s">
        <v>48490</v>
      </c>
      <c r="T14733" t="s">
        <v>49295</v>
      </c>
      <c r="U14733" t="s">
        <v>61643</v>
      </c>
      <c r="W14733" t="s">
        <v>47278</v>
      </c>
      <c r="X14733" t="s">
        <v>47447</v>
      </c>
    </row>
    <row r="14734" spans="1:24">
      <c r="A14734">
        <f>HYPERLINK("https://www.philgeps.gov.ph/GEPSNONPILOT/Tender/SplashBidNoticeAbstractUI.aspx?menuIndex=3&amp;refID=7126153&amp;Result=3","7126153")</f>
        <v>0</v>
      </c>
      <c r="B14734" t="s">
        <v>3848</v>
      </c>
      <c r="C14734" t="s">
        <v>17850</v>
      </c>
      <c r="D14734" t="s">
        <v>19046</v>
      </c>
      <c r="E14734" t="s">
        <v>31732</v>
      </c>
      <c r="F14734" t="s">
        <v>32831</v>
      </c>
      <c r="G14734" t="s">
        <v>32839</v>
      </c>
      <c r="H14734" t="s">
        <v>32848</v>
      </c>
      <c r="I14734" t="s">
        <v>7751</v>
      </c>
      <c r="J14734" t="s">
        <v>36671</v>
      </c>
      <c r="K14734" t="s">
        <v>42729</v>
      </c>
      <c r="M14734" t="s">
        <v>47278</v>
      </c>
      <c r="N14734" t="s">
        <v>47424</v>
      </c>
      <c r="O14734" t="s">
        <v>47425</v>
      </c>
      <c r="Q14734">
        <v>3</v>
      </c>
      <c r="R14734" t="s">
        <v>47446</v>
      </c>
      <c r="S14734" t="s">
        <v>48491</v>
      </c>
      <c r="T14734" t="s">
        <v>49210</v>
      </c>
      <c r="U14734" t="s">
        <v>61644</v>
      </c>
      <c r="W14734" t="s">
        <v>47278</v>
      </c>
      <c r="X14734" t="s">
        <v>47447</v>
      </c>
    </row>
    <row r="14735" spans="1:24">
      <c r="A14735">
        <f>HYPERLINK("https://www.philgeps.gov.ph/GEPSNONPILOT/Tender/SplashBidNoticeAbstractUI.aspx?menuIndex=3&amp;refID=7126311&amp;Result=3","7126311")</f>
        <v>0</v>
      </c>
      <c r="B14735" t="s">
        <v>468</v>
      </c>
      <c r="C14735" t="s">
        <v>17851</v>
      </c>
      <c r="D14735" t="s">
        <v>19031</v>
      </c>
      <c r="E14735" t="s">
        <v>31733</v>
      </c>
      <c r="F14735" t="s">
        <v>32831</v>
      </c>
      <c r="G14735" t="s">
        <v>32839</v>
      </c>
      <c r="H14735" t="s">
        <v>32848</v>
      </c>
      <c r="I14735" t="s">
        <v>32859</v>
      </c>
      <c r="J14735" t="s">
        <v>41969</v>
      </c>
      <c r="K14735" t="s">
        <v>42727</v>
      </c>
      <c r="M14735" t="s">
        <v>47069</v>
      </c>
      <c r="N14735" t="s">
        <v>47424</v>
      </c>
      <c r="O14735" t="s">
        <v>47425</v>
      </c>
      <c r="P14735">
        <v>0</v>
      </c>
      <c r="Q14735">
        <v>4</v>
      </c>
      <c r="R14735" t="s">
        <v>47446</v>
      </c>
      <c r="S14735" t="s">
        <v>48377</v>
      </c>
      <c r="T14735" t="s">
        <v>49166</v>
      </c>
      <c r="U14735" t="s">
        <v>61645</v>
      </c>
      <c r="W14735" t="s">
        <v>64440</v>
      </c>
      <c r="X14735" t="s">
        <v>47447</v>
      </c>
    </row>
    <row r="14736" spans="1:24">
      <c r="A14736">
        <f>HYPERLINK("https://www.philgeps.gov.ph/GEPSNONPILOT/Tender/SplashBidNoticeAbstractUI.aspx?menuIndex=3&amp;refID=7126303&amp;Result=3","7126303")</f>
        <v>0</v>
      </c>
      <c r="B14736" t="s">
        <v>468</v>
      </c>
      <c r="C14736" t="s">
        <v>17852</v>
      </c>
      <c r="D14736" t="s">
        <v>19031</v>
      </c>
      <c r="E14736" t="s">
        <v>31734</v>
      </c>
      <c r="F14736" t="s">
        <v>32831</v>
      </c>
      <c r="G14736" t="s">
        <v>32839</v>
      </c>
      <c r="H14736" t="s">
        <v>32848</v>
      </c>
      <c r="I14736" t="s">
        <v>32931</v>
      </c>
      <c r="J14736" t="s">
        <v>41970</v>
      </c>
      <c r="K14736" t="s">
        <v>42727</v>
      </c>
      <c r="M14736" t="s">
        <v>47069</v>
      </c>
      <c r="N14736" t="s">
        <v>47424</v>
      </c>
      <c r="O14736" t="s">
        <v>47425</v>
      </c>
      <c r="P14736">
        <v>0</v>
      </c>
      <c r="Q14736">
        <v>10</v>
      </c>
      <c r="R14736" t="s">
        <v>47446</v>
      </c>
      <c r="S14736" t="s">
        <v>48377</v>
      </c>
      <c r="T14736" t="s">
        <v>49166</v>
      </c>
      <c r="U14736" t="s">
        <v>61646</v>
      </c>
      <c r="W14736" t="s">
        <v>64440</v>
      </c>
      <c r="X14736" t="s">
        <v>47447</v>
      </c>
    </row>
    <row r="14737" spans="1:24">
      <c r="A14737">
        <f>HYPERLINK("https://www.philgeps.gov.ph/GEPSNONPILOT/Tender/SplashBidNoticeAbstractUI.aspx?menuIndex=3&amp;refID=7126218&amp;Result=3","7126218")</f>
        <v>0</v>
      </c>
      <c r="B14737" t="s">
        <v>1997</v>
      </c>
      <c r="C14737" t="s">
        <v>17853</v>
      </c>
      <c r="D14737" t="s">
        <v>19061</v>
      </c>
      <c r="E14737" t="s">
        <v>31735</v>
      </c>
      <c r="F14737" t="s">
        <v>32831</v>
      </c>
      <c r="G14737" t="s">
        <v>32839</v>
      </c>
      <c r="H14737" t="s">
        <v>32849</v>
      </c>
      <c r="I14737" t="s">
        <v>4177</v>
      </c>
      <c r="J14737" t="s">
        <v>33257</v>
      </c>
      <c r="K14737" t="s">
        <v>42770</v>
      </c>
      <c r="M14737" t="s">
        <v>45164</v>
      </c>
      <c r="N14737" t="s">
        <v>47424</v>
      </c>
      <c r="O14737" t="s">
        <v>47425</v>
      </c>
      <c r="P14737">
        <v>0</v>
      </c>
      <c r="Q14737">
        <v>0</v>
      </c>
      <c r="R14737" t="s">
        <v>47446</v>
      </c>
      <c r="S14737" t="s">
        <v>48377</v>
      </c>
      <c r="T14737" t="s">
        <v>49288</v>
      </c>
      <c r="U14737" t="s">
        <v>58780</v>
      </c>
      <c r="W14737" t="s">
        <v>45164</v>
      </c>
      <c r="X14737" t="s">
        <v>47447</v>
      </c>
    </row>
    <row r="14738" spans="1:24">
      <c r="A14738">
        <f>HYPERLINK("https://www.philgeps.gov.ph/GEPSNONPILOT/Tender/SplashBidNoticeAbstractUI.aspx?menuIndex=3&amp;refID=7126299&amp;Result=3","7126299")</f>
        <v>0</v>
      </c>
      <c r="B14738" t="s">
        <v>468</v>
      </c>
      <c r="C14738" t="s">
        <v>17854</v>
      </c>
      <c r="D14738" t="s">
        <v>19031</v>
      </c>
      <c r="E14738" t="s">
        <v>31736</v>
      </c>
      <c r="F14738" t="s">
        <v>32831</v>
      </c>
      <c r="G14738" t="s">
        <v>32839</v>
      </c>
      <c r="H14738" t="s">
        <v>32848</v>
      </c>
      <c r="I14738" t="s">
        <v>32883</v>
      </c>
      <c r="J14738" t="s">
        <v>41971</v>
      </c>
      <c r="K14738" t="s">
        <v>42727</v>
      </c>
      <c r="M14738" t="s">
        <v>47069</v>
      </c>
      <c r="N14738" t="s">
        <v>47424</v>
      </c>
      <c r="O14738" t="s">
        <v>47425</v>
      </c>
      <c r="Q14738">
        <v>12</v>
      </c>
      <c r="R14738" t="s">
        <v>47446</v>
      </c>
      <c r="S14738" t="s">
        <v>48492</v>
      </c>
      <c r="T14738" t="s">
        <v>49166</v>
      </c>
      <c r="U14738" t="s">
        <v>61647</v>
      </c>
      <c r="W14738" t="s">
        <v>64440</v>
      </c>
      <c r="X14738" t="s">
        <v>47447</v>
      </c>
    </row>
    <row r="14739" spans="1:24">
      <c r="A14739">
        <f>HYPERLINK("https://www.philgeps.gov.ph/GEPSNONPILOT/Tender/SplashBidNoticeAbstractUI.aspx?menuIndex=3&amp;refID=7126310&amp;Result=3","7126310")</f>
        <v>0</v>
      </c>
      <c r="B14739" t="s">
        <v>1090</v>
      </c>
      <c r="C14739" t="s">
        <v>17855</v>
      </c>
      <c r="D14739" t="s">
        <v>19078</v>
      </c>
      <c r="E14739" t="s">
        <v>31737</v>
      </c>
      <c r="F14739" t="s">
        <v>32831</v>
      </c>
      <c r="G14739" t="s">
        <v>32839</v>
      </c>
      <c r="H14739" t="s">
        <v>32849</v>
      </c>
      <c r="I14739" t="s">
        <v>4177</v>
      </c>
      <c r="J14739" t="s">
        <v>41972</v>
      </c>
      <c r="K14739" t="s">
        <v>42867</v>
      </c>
      <c r="M14739" t="s">
        <v>44149</v>
      </c>
      <c r="N14739" t="s">
        <v>47424</v>
      </c>
      <c r="O14739" t="s">
        <v>47425</v>
      </c>
      <c r="P14739">
        <v>0</v>
      </c>
      <c r="Q14739">
        <v>1</v>
      </c>
      <c r="R14739" t="s">
        <v>47446</v>
      </c>
      <c r="S14739" t="s">
        <v>48377</v>
      </c>
      <c r="T14739" t="s">
        <v>49239</v>
      </c>
      <c r="U14739" t="s">
        <v>61648</v>
      </c>
      <c r="W14739" t="s">
        <v>44149</v>
      </c>
      <c r="X14739" t="s">
        <v>47447</v>
      </c>
    </row>
    <row r="14740" spans="1:24">
      <c r="A14740">
        <f>HYPERLINK("https://www.philgeps.gov.ph/GEPSNONPILOT/Tender/SplashBidNoticeAbstractUI.aspx?menuIndex=3&amp;refID=7126242&amp;Result=3","7126242")</f>
        <v>0</v>
      </c>
      <c r="B14740" t="s">
        <v>3157</v>
      </c>
      <c r="C14740" t="s">
        <v>17856</v>
      </c>
      <c r="D14740" t="s">
        <v>19074</v>
      </c>
      <c r="E14740" t="s">
        <v>31738</v>
      </c>
      <c r="F14740" t="s">
        <v>32831</v>
      </c>
      <c r="G14740" t="s">
        <v>32839</v>
      </c>
      <c r="H14740" t="s">
        <v>32849</v>
      </c>
      <c r="I14740" t="s">
        <v>4177</v>
      </c>
      <c r="J14740" t="s">
        <v>41973</v>
      </c>
      <c r="K14740" t="s">
        <v>42729</v>
      </c>
      <c r="M14740" t="s">
        <v>46460</v>
      </c>
      <c r="N14740" t="s">
        <v>47424</v>
      </c>
      <c r="O14740" t="s">
        <v>47425</v>
      </c>
      <c r="P14740">
        <v>0</v>
      </c>
      <c r="Q14740">
        <v>0</v>
      </c>
      <c r="R14740" t="s">
        <v>47446</v>
      </c>
      <c r="S14740" t="s">
        <v>48377</v>
      </c>
      <c r="T14740" t="s">
        <v>49111</v>
      </c>
      <c r="U14740" t="s">
        <v>61649</v>
      </c>
      <c r="W14740" t="s">
        <v>46460</v>
      </c>
      <c r="X14740" t="s">
        <v>47447</v>
      </c>
    </row>
    <row r="14741" spans="1:24">
      <c r="A14741">
        <f>HYPERLINK("https://www.philgeps.gov.ph/GEPSNONPILOT/Tender/SplashBidNoticeAbstractUI.aspx?menuIndex=3&amp;refID=7126288&amp;Result=3","7126288")</f>
        <v>0</v>
      </c>
      <c r="B14741" t="s">
        <v>1090</v>
      </c>
      <c r="C14741" t="s">
        <v>17857</v>
      </c>
      <c r="D14741" t="s">
        <v>19078</v>
      </c>
      <c r="E14741" t="s">
        <v>31739</v>
      </c>
      <c r="F14741" t="s">
        <v>32831</v>
      </c>
      <c r="G14741" t="s">
        <v>32839</v>
      </c>
      <c r="H14741" t="s">
        <v>32849</v>
      </c>
      <c r="I14741" t="s">
        <v>4177</v>
      </c>
      <c r="J14741" t="s">
        <v>41974</v>
      </c>
      <c r="K14741" t="s">
        <v>42979</v>
      </c>
      <c r="M14741" t="s">
        <v>44149</v>
      </c>
      <c r="N14741" t="s">
        <v>47424</v>
      </c>
      <c r="O14741" t="s">
        <v>47425</v>
      </c>
      <c r="P14741">
        <v>0</v>
      </c>
      <c r="Q14741">
        <v>1</v>
      </c>
      <c r="R14741" t="s">
        <v>47446</v>
      </c>
      <c r="S14741" t="s">
        <v>48377</v>
      </c>
      <c r="T14741" t="s">
        <v>49239</v>
      </c>
      <c r="U14741" t="s">
        <v>61650</v>
      </c>
      <c r="W14741" t="s">
        <v>44149</v>
      </c>
      <c r="X14741" t="s">
        <v>47447</v>
      </c>
    </row>
    <row r="14742" spans="1:24">
      <c r="A14742">
        <f>HYPERLINK("https://www.philgeps.gov.ph/GEPSNONPILOT/Tender/SplashBidNoticeAbstractUI.aspx?menuIndex=3&amp;refID=7126286&amp;Result=3","7126286")</f>
        <v>0</v>
      </c>
      <c r="B14742" t="s">
        <v>2385</v>
      </c>
      <c r="C14742" t="s">
        <v>17858</v>
      </c>
      <c r="D14742" t="s">
        <v>19023</v>
      </c>
      <c r="E14742" t="s">
        <v>31740</v>
      </c>
      <c r="F14742" t="s">
        <v>32831</v>
      </c>
      <c r="G14742" t="s">
        <v>32839</v>
      </c>
      <c r="H14742" t="s">
        <v>32849</v>
      </c>
      <c r="I14742" t="s">
        <v>4177</v>
      </c>
      <c r="J14742" t="s">
        <v>33644</v>
      </c>
      <c r="K14742" t="s">
        <v>42730</v>
      </c>
      <c r="M14742" t="s">
        <v>45575</v>
      </c>
      <c r="N14742" t="s">
        <v>47424</v>
      </c>
      <c r="O14742" t="s">
        <v>47425</v>
      </c>
      <c r="P14742">
        <v>0</v>
      </c>
      <c r="Q14742">
        <v>0</v>
      </c>
      <c r="R14742" t="s">
        <v>47446</v>
      </c>
      <c r="S14742" t="s">
        <v>48377</v>
      </c>
      <c r="T14742" t="s">
        <v>49237</v>
      </c>
      <c r="U14742" t="s">
        <v>55489</v>
      </c>
      <c r="W14742" t="s">
        <v>45575</v>
      </c>
      <c r="X14742" t="s">
        <v>47447</v>
      </c>
    </row>
    <row r="14743" spans="1:24">
      <c r="A14743">
        <f>HYPERLINK("https://www.philgeps.gov.ph/GEPSNONPILOT/Tender/SplashBidNoticeAbstractUI.aspx?menuIndex=3&amp;refID=7126274&amp;Result=3","7126274")</f>
        <v>0</v>
      </c>
      <c r="B14743" t="s">
        <v>1498</v>
      </c>
      <c r="C14743" t="s">
        <v>17859</v>
      </c>
      <c r="D14743" t="s">
        <v>19017</v>
      </c>
      <c r="E14743" t="s">
        <v>31741</v>
      </c>
      <c r="F14743" t="s">
        <v>32831</v>
      </c>
      <c r="G14743" t="s">
        <v>32839</v>
      </c>
      <c r="H14743" t="s">
        <v>32848</v>
      </c>
      <c r="I14743" t="s">
        <v>7751</v>
      </c>
      <c r="J14743" t="s">
        <v>41975</v>
      </c>
      <c r="K14743" t="s">
        <v>42730</v>
      </c>
      <c r="M14743" t="s">
        <v>47279</v>
      </c>
      <c r="N14743" t="s">
        <v>47424</v>
      </c>
      <c r="O14743" t="s">
        <v>47425</v>
      </c>
      <c r="Q14743">
        <v>9</v>
      </c>
      <c r="R14743" t="s">
        <v>47446</v>
      </c>
      <c r="S14743" t="s">
        <v>48493</v>
      </c>
      <c r="T14743" t="s">
        <v>49239</v>
      </c>
      <c r="U14743" t="s">
        <v>61651</v>
      </c>
      <c r="W14743" t="s">
        <v>64560</v>
      </c>
      <c r="X14743" t="s">
        <v>47447</v>
      </c>
    </row>
    <row r="14744" spans="1:24">
      <c r="A14744">
        <f>HYPERLINK("https://www.philgeps.gov.ph/GEPSNONPILOT/Tender/SplashBidNoticeAbstractUI.aspx?menuIndex=3&amp;refID=7126273&amp;Result=3","7126273")</f>
        <v>0</v>
      </c>
      <c r="B14744" t="s">
        <v>3849</v>
      </c>
      <c r="C14744" t="s">
        <v>17860</v>
      </c>
      <c r="D14744" t="s">
        <v>19020</v>
      </c>
      <c r="E14744" t="s">
        <v>31742</v>
      </c>
      <c r="F14744" t="s">
        <v>32831</v>
      </c>
      <c r="G14744" t="s">
        <v>32839</v>
      </c>
      <c r="H14744" t="s">
        <v>14069</v>
      </c>
      <c r="I14744" t="s">
        <v>14069</v>
      </c>
      <c r="J14744" t="s">
        <v>41976</v>
      </c>
      <c r="K14744" t="s">
        <v>42734</v>
      </c>
      <c r="M14744" t="s">
        <v>47280</v>
      </c>
      <c r="N14744" t="s">
        <v>47424</v>
      </c>
      <c r="O14744" t="s">
        <v>47425</v>
      </c>
      <c r="P14744">
        <v>0</v>
      </c>
      <c r="Q14744">
        <v>2</v>
      </c>
      <c r="R14744" t="s">
        <v>47446</v>
      </c>
      <c r="S14744" t="s">
        <v>48377</v>
      </c>
      <c r="T14744" t="s">
        <v>49073</v>
      </c>
      <c r="U14744" t="s">
        <v>61652</v>
      </c>
      <c r="W14744" t="s">
        <v>47280</v>
      </c>
      <c r="X14744" t="s">
        <v>47447</v>
      </c>
    </row>
    <row r="14745" spans="1:24">
      <c r="A14745">
        <f>HYPERLINK("https://www.philgeps.gov.ph/GEPSNONPILOT/Tender/SplashBidNoticeAbstractUI.aspx?menuIndex=3&amp;refID=7126263&amp;Result=3","7126263")</f>
        <v>0</v>
      </c>
      <c r="B14745" t="s">
        <v>3849</v>
      </c>
      <c r="C14745" t="s">
        <v>17861</v>
      </c>
      <c r="D14745" t="s">
        <v>19020</v>
      </c>
      <c r="E14745" t="s">
        <v>31743</v>
      </c>
      <c r="F14745" t="s">
        <v>32831</v>
      </c>
      <c r="G14745" t="s">
        <v>32839</v>
      </c>
      <c r="H14745" t="s">
        <v>14069</v>
      </c>
      <c r="I14745" t="s">
        <v>14069</v>
      </c>
      <c r="J14745" t="s">
        <v>41977</v>
      </c>
      <c r="K14745" t="s">
        <v>42960</v>
      </c>
      <c r="M14745" t="s">
        <v>47280</v>
      </c>
      <c r="N14745" t="s">
        <v>47424</v>
      </c>
      <c r="O14745" t="s">
        <v>47425</v>
      </c>
      <c r="P14745">
        <v>0</v>
      </c>
      <c r="Q14745">
        <v>2</v>
      </c>
      <c r="R14745" t="s">
        <v>47446</v>
      </c>
      <c r="S14745" t="s">
        <v>48377</v>
      </c>
      <c r="T14745" t="s">
        <v>49073</v>
      </c>
      <c r="U14745" t="s">
        <v>61653</v>
      </c>
      <c r="W14745" t="s">
        <v>47280</v>
      </c>
      <c r="X14745" t="s">
        <v>47447</v>
      </c>
    </row>
    <row r="14746" spans="1:24">
      <c r="A14746">
        <f>HYPERLINK("https://www.philgeps.gov.ph/GEPSNONPILOT/Tender/SplashBidNoticeAbstractUI.aspx?menuIndex=3&amp;refID=7126289&amp;Result=3","7126289")</f>
        <v>0</v>
      </c>
      <c r="B14746" t="s">
        <v>3660</v>
      </c>
      <c r="C14746" t="s">
        <v>17862</v>
      </c>
      <c r="D14746" t="s">
        <v>19030</v>
      </c>
      <c r="E14746" t="s">
        <v>31744</v>
      </c>
      <c r="F14746" t="s">
        <v>32831</v>
      </c>
      <c r="G14746" t="s">
        <v>32839</v>
      </c>
      <c r="H14746" t="s">
        <v>32848</v>
      </c>
      <c r="I14746" t="s">
        <v>4776</v>
      </c>
      <c r="J14746" t="s">
        <v>41978</v>
      </c>
      <c r="K14746" t="s">
        <v>42730</v>
      </c>
      <c r="M14746" t="s">
        <v>47032</v>
      </c>
      <c r="N14746" t="s">
        <v>47424</v>
      </c>
      <c r="O14746" t="s">
        <v>47425</v>
      </c>
      <c r="P14746">
        <v>0</v>
      </c>
      <c r="Q14746">
        <v>13</v>
      </c>
      <c r="R14746" t="s">
        <v>47446</v>
      </c>
      <c r="S14746" t="s">
        <v>48377</v>
      </c>
      <c r="T14746" t="s">
        <v>49239</v>
      </c>
      <c r="U14746" t="s">
        <v>61654</v>
      </c>
      <c r="W14746" t="s">
        <v>47032</v>
      </c>
      <c r="X14746" t="s">
        <v>47447</v>
      </c>
    </row>
    <row r="14747" spans="1:24">
      <c r="A14747">
        <f>HYPERLINK("https://www.philgeps.gov.ph/GEPSNONPILOT/Tender/SplashBidNoticeAbstractUI.aspx?menuIndex=3&amp;refID=7126359&amp;Result=3","7126359")</f>
        <v>0</v>
      </c>
      <c r="B14747" t="s">
        <v>563</v>
      </c>
      <c r="C14747" t="s">
        <v>17863</v>
      </c>
      <c r="D14747" t="s">
        <v>19060</v>
      </c>
      <c r="E14747" t="s">
        <v>31745</v>
      </c>
      <c r="F14747" t="s">
        <v>32831</v>
      </c>
      <c r="G14747" t="s">
        <v>32839</v>
      </c>
      <c r="H14747" t="s">
        <v>32848</v>
      </c>
      <c r="I14747" t="s">
        <v>32925</v>
      </c>
      <c r="J14747" t="s">
        <v>39992</v>
      </c>
      <c r="K14747" t="s">
        <v>42750</v>
      </c>
      <c r="M14747" t="s">
        <v>46198</v>
      </c>
      <c r="N14747" t="s">
        <v>47424</v>
      </c>
      <c r="O14747" t="s">
        <v>47425</v>
      </c>
      <c r="P14747">
        <v>0</v>
      </c>
      <c r="Q14747">
        <v>4</v>
      </c>
      <c r="R14747" t="s">
        <v>47446</v>
      </c>
      <c r="S14747" t="s">
        <v>48377</v>
      </c>
      <c r="T14747" t="s">
        <v>49212</v>
      </c>
      <c r="U14747" t="s">
        <v>61655</v>
      </c>
      <c r="W14747" t="s">
        <v>64528</v>
      </c>
      <c r="X14747" t="s">
        <v>47447</v>
      </c>
    </row>
    <row r="14748" spans="1:24">
      <c r="A14748">
        <f>HYPERLINK("https://www.philgeps.gov.ph/GEPSNONPILOT/Tender/SplashBidNoticeAbstractUI.aspx?menuIndex=3&amp;refID=7126281&amp;Result=3","7126281")</f>
        <v>0</v>
      </c>
      <c r="B14748" t="s">
        <v>468</v>
      </c>
      <c r="C14748" t="s">
        <v>17864</v>
      </c>
      <c r="D14748" t="s">
        <v>19031</v>
      </c>
      <c r="E14748" t="s">
        <v>31746</v>
      </c>
      <c r="F14748" t="s">
        <v>32831</v>
      </c>
      <c r="G14748" t="s">
        <v>32839</v>
      </c>
      <c r="H14748" t="s">
        <v>32848</v>
      </c>
      <c r="I14748" t="s">
        <v>4558</v>
      </c>
      <c r="J14748" t="s">
        <v>41979</v>
      </c>
      <c r="K14748" t="s">
        <v>42727</v>
      </c>
      <c r="M14748" t="s">
        <v>47069</v>
      </c>
      <c r="N14748" t="s">
        <v>47424</v>
      </c>
      <c r="O14748" t="s">
        <v>47425</v>
      </c>
      <c r="P14748">
        <v>0</v>
      </c>
      <c r="Q14748">
        <v>5</v>
      </c>
      <c r="R14748" t="s">
        <v>47446</v>
      </c>
      <c r="S14748" t="s">
        <v>48377</v>
      </c>
      <c r="T14748" t="s">
        <v>49166</v>
      </c>
      <c r="U14748" t="s">
        <v>61656</v>
      </c>
      <c r="W14748" t="s">
        <v>64440</v>
      </c>
      <c r="X14748" t="s">
        <v>47447</v>
      </c>
    </row>
    <row r="14749" spans="1:24">
      <c r="A14749">
        <f>HYPERLINK("https://www.philgeps.gov.ph/GEPSNONPILOT/Tender/SplashBidNoticeAbstractUI.aspx?menuIndex=3&amp;refID=7105622&amp;Result=3","7105622")</f>
        <v>0</v>
      </c>
      <c r="B14749" t="s">
        <v>2037</v>
      </c>
      <c r="C14749" t="s">
        <v>17865</v>
      </c>
      <c r="D14749" t="s">
        <v>19044</v>
      </c>
      <c r="E14749" t="s">
        <v>27522</v>
      </c>
      <c r="F14749" t="s">
        <v>32831</v>
      </c>
      <c r="G14749" t="s">
        <v>32839</v>
      </c>
      <c r="H14749" t="s">
        <v>32848</v>
      </c>
      <c r="I14749" t="s">
        <v>4558</v>
      </c>
      <c r="J14749" t="s">
        <v>41980</v>
      </c>
      <c r="K14749" t="s">
        <v>42747</v>
      </c>
      <c r="M14749" t="s">
        <v>45206</v>
      </c>
      <c r="N14749" t="s">
        <v>47424</v>
      </c>
      <c r="O14749" t="s">
        <v>47425</v>
      </c>
      <c r="P14749">
        <v>0</v>
      </c>
      <c r="Q14749">
        <v>4</v>
      </c>
      <c r="R14749" t="s">
        <v>47447</v>
      </c>
      <c r="S14749" t="s">
        <v>48494</v>
      </c>
      <c r="T14749" t="s">
        <v>49111</v>
      </c>
      <c r="U14749" t="s">
        <v>61657</v>
      </c>
      <c r="V14749" t="s">
        <v>64304</v>
      </c>
      <c r="W14749" t="s">
        <v>45206</v>
      </c>
      <c r="X14749" t="s">
        <v>47456</v>
      </c>
    </row>
    <row r="14750" spans="1:24">
      <c r="A14750">
        <f>HYPERLINK("https://www.philgeps.gov.ph/GEPSNONPILOT/Tender/SplashBidNoticeAbstractUI.aspx?menuIndex=3&amp;refID=7105519&amp;Result=3","7105519")</f>
        <v>0</v>
      </c>
      <c r="B14750" t="s">
        <v>2979</v>
      </c>
      <c r="C14750" t="s">
        <v>17866</v>
      </c>
      <c r="D14750" t="s">
        <v>19029</v>
      </c>
      <c r="E14750" t="s">
        <v>31747</v>
      </c>
      <c r="F14750" t="s">
        <v>32831</v>
      </c>
      <c r="G14750" t="s">
        <v>32839</v>
      </c>
      <c r="H14750" t="s">
        <v>32849</v>
      </c>
      <c r="I14750" t="s">
        <v>4177</v>
      </c>
      <c r="J14750" t="s">
        <v>41981</v>
      </c>
      <c r="K14750" t="s">
        <v>42763</v>
      </c>
      <c r="M14750" t="s">
        <v>46242</v>
      </c>
      <c r="N14750" t="s">
        <v>47424</v>
      </c>
      <c r="O14750" t="s">
        <v>47425</v>
      </c>
      <c r="P14750">
        <v>0</v>
      </c>
      <c r="Q14750">
        <v>0</v>
      </c>
      <c r="R14750" t="s">
        <v>47447</v>
      </c>
      <c r="S14750" t="s">
        <v>48494</v>
      </c>
      <c r="T14750" t="s">
        <v>49237</v>
      </c>
      <c r="U14750" t="s">
        <v>54685</v>
      </c>
      <c r="W14750" t="s">
        <v>46242</v>
      </c>
      <c r="X14750" t="s">
        <v>47456</v>
      </c>
    </row>
    <row r="14751" spans="1:24">
      <c r="A14751">
        <f>HYPERLINK("https://www.philgeps.gov.ph/GEPSNONPILOT/Tender/SplashBidNoticeAbstractUI.aspx?menuIndex=3&amp;refID=7089372-2&amp;Result=3","7089372-2")</f>
        <v>0</v>
      </c>
      <c r="B14751" t="s">
        <v>3061</v>
      </c>
      <c r="C14751" t="s">
        <v>17867</v>
      </c>
      <c r="D14751" t="s">
        <v>19057</v>
      </c>
      <c r="E14751" t="s">
        <v>31748</v>
      </c>
      <c r="F14751" t="s">
        <v>32831</v>
      </c>
      <c r="G14751" t="s">
        <v>32839</v>
      </c>
      <c r="H14751" t="s">
        <v>14069</v>
      </c>
      <c r="I14751" t="s">
        <v>4177</v>
      </c>
      <c r="J14751" t="s">
        <v>34921</v>
      </c>
      <c r="K14751" t="s">
        <v>42770</v>
      </c>
      <c r="L14751" t="s">
        <v>43019</v>
      </c>
      <c r="M14751" t="s">
        <v>46336</v>
      </c>
      <c r="N14751" t="s">
        <v>47424</v>
      </c>
      <c r="O14751" t="s">
        <v>47425</v>
      </c>
      <c r="P14751">
        <v>0</v>
      </c>
      <c r="Q14751">
        <v>0</v>
      </c>
      <c r="R14751" t="s">
        <v>47447</v>
      </c>
      <c r="S14751" t="s">
        <v>48494</v>
      </c>
      <c r="T14751" t="s">
        <v>49328</v>
      </c>
      <c r="U14751" t="s">
        <v>61658</v>
      </c>
      <c r="W14751" t="s">
        <v>46336</v>
      </c>
      <c r="X14751" t="s">
        <v>47448</v>
      </c>
    </row>
    <row r="14752" spans="1:24">
      <c r="A14752">
        <f>HYPERLINK("https://www.philgeps.gov.ph/GEPSNONPILOT/Tender/SplashBidNoticeAbstractUI.aspx?menuIndex=3&amp;refID=7126363&amp;Result=3","7126363")</f>
        <v>0</v>
      </c>
      <c r="B14752" t="s">
        <v>563</v>
      </c>
      <c r="C14752" t="s">
        <v>17868</v>
      </c>
      <c r="D14752" t="s">
        <v>19060</v>
      </c>
      <c r="E14752" t="s">
        <v>31749</v>
      </c>
      <c r="F14752" t="s">
        <v>32831</v>
      </c>
      <c r="G14752" t="s">
        <v>32839</v>
      </c>
      <c r="H14752" t="s">
        <v>32848</v>
      </c>
      <c r="I14752" t="s">
        <v>32931</v>
      </c>
      <c r="J14752" t="s">
        <v>41982</v>
      </c>
      <c r="K14752" t="s">
        <v>42730</v>
      </c>
      <c r="M14752" t="s">
        <v>46198</v>
      </c>
      <c r="N14752" t="s">
        <v>47424</v>
      </c>
      <c r="O14752" t="s">
        <v>47425</v>
      </c>
      <c r="P14752">
        <v>0</v>
      </c>
      <c r="Q14752">
        <v>17</v>
      </c>
      <c r="R14752" t="s">
        <v>47446</v>
      </c>
      <c r="S14752" t="s">
        <v>48377</v>
      </c>
      <c r="T14752" t="s">
        <v>49212</v>
      </c>
      <c r="U14752" t="s">
        <v>61659</v>
      </c>
      <c r="W14752" t="s">
        <v>64528</v>
      </c>
      <c r="X14752" t="s">
        <v>47447</v>
      </c>
    </row>
    <row r="14753" spans="1:24">
      <c r="A14753">
        <f>HYPERLINK("https://www.philgeps.gov.ph/GEPSNONPILOT/Tender/SplashBidNoticeAbstractUI.aspx?menuIndex=3&amp;refID=7126301&amp;Result=3","7126301")</f>
        <v>0</v>
      </c>
      <c r="B14753" t="s">
        <v>1090</v>
      </c>
      <c r="C14753" t="s">
        <v>17869</v>
      </c>
      <c r="D14753" t="s">
        <v>19078</v>
      </c>
      <c r="E14753" t="s">
        <v>31750</v>
      </c>
      <c r="F14753" t="s">
        <v>32831</v>
      </c>
      <c r="G14753" t="s">
        <v>32839</v>
      </c>
      <c r="H14753" t="s">
        <v>32849</v>
      </c>
      <c r="I14753" t="s">
        <v>4177</v>
      </c>
      <c r="J14753" t="s">
        <v>41983</v>
      </c>
      <c r="K14753" t="s">
        <v>42827</v>
      </c>
      <c r="M14753" t="s">
        <v>44149</v>
      </c>
      <c r="N14753" t="s">
        <v>47424</v>
      </c>
      <c r="O14753" t="s">
        <v>47425</v>
      </c>
      <c r="P14753">
        <v>0</v>
      </c>
      <c r="Q14753">
        <v>1</v>
      </c>
      <c r="R14753" t="s">
        <v>47446</v>
      </c>
      <c r="S14753" t="s">
        <v>48377</v>
      </c>
      <c r="T14753" t="s">
        <v>49239</v>
      </c>
      <c r="U14753" t="s">
        <v>61660</v>
      </c>
      <c r="W14753" t="s">
        <v>44149</v>
      </c>
      <c r="X14753" t="s">
        <v>47447</v>
      </c>
    </row>
    <row r="14754" spans="1:24">
      <c r="A14754">
        <f>HYPERLINK("https://www.philgeps.gov.ph/GEPSNONPILOT/Tender/SplashBidNoticeAbstractUI.aspx?menuIndex=3&amp;refID=7092224&amp;Result=3","7092224")</f>
        <v>0</v>
      </c>
      <c r="B14754" t="s">
        <v>1618</v>
      </c>
      <c r="C14754" t="s">
        <v>17870</v>
      </c>
      <c r="D14754" t="s">
        <v>19035</v>
      </c>
      <c r="E14754" t="s">
        <v>31751</v>
      </c>
      <c r="F14754" t="s">
        <v>32831</v>
      </c>
      <c r="G14754" t="s">
        <v>32839</v>
      </c>
      <c r="H14754" t="s">
        <v>32848</v>
      </c>
      <c r="I14754" t="s">
        <v>32886</v>
      </c>
      <c r="J14754" t="s">
        <v>41984</v>
      </c>
      <c r="K14754" t="s">
        <v>42730</v>
      </c>
      <c r="M14754" t="s">
        <v>44734</v>
      </c>
      <c r="N14754" t="s">
        <v>47424</v>
      </c>
      <c r="O14754" t="s">
        <v>47425</v>
      </c>
      <c r="Q14754">
        <v>5</v>
      </c>
      <c r="R14754" t="s">
        <v>47447</v>
      </c>
      <c r="S14754" t="s">
        <v>47658</v>
      </c>
      <c r="T14754" t="s">
        <v>49255</v>
      </c>
      <c r="U14754" t="s">
        <v>61280</v>
      </c>
      <c r="W14754" t="s">
        <v>44734</v>
      </c>
      <c r="X14754" t="s">
        <v>47460</v>
      </c>
    </row>
    <row r="14755" spans="1:24">
      <c r="A14755">
        <f>HYPERLINK("https://www.philgeps.gov.ph/GEPSNONPILOT/Tender/SplashBidNoticeAbstractUI.aspx?menuIndex=3&amp;refID=7126362&amp;Result=3","7126362")</f>
        <v>0</v>
      </c>
      <c r="B14755" t="s">
        <v>563</v>
      </c>
      <c r="C14755" t="s">
        <v>17871</v>
      </c>
      <c r="D14755" t="s">
        <v>19060</v>
      </c>
      <c r="E14755" t="s">
        <v>31752</v>
      </c>
      <c r="F14755" t="s">
        <v>32831</v>
      </c>
      <c r="G14755" t="s">
        <v>32839</v>
      </c>
      <c r="H14755" t="s">
        <v>32848</v>
      </c>
      <c r="I14755" t="s">
        <v>32870</v>
      </c>
      <c r="J14755" t="s">
        <v>39941</v>
      </c>
      <c r="K14755" t="s">
        <v>42726</v>
      </c>
      <c r="M14755" t="s">
        <v>46198</v>
      </c>
      <c r="N14755" t="s">
        <v>47424</v>
      </c>
      <c r="O14755" t="s">
        <v>47425</v>
      </c>
      <c r="P14755">
        <v>0</v>
      </c>
      <c r="Q14755">
        <v>0</v>
      </c>
      <c r="R14755" t="s">
        <v>47446</v>
      </c>
      <c r="S14755" t="s">
        <v>48377</v>
      </c>
      <c r="T14755" t="s">
        <v>49212</v>
      </c>
      <c r="U14755" t="s">
        <v>61661</v>
      </c>
      <c r="W14755" t="s">
        <v>64528</v>
      </c>
      <c r="X14755" t="s">
        <v>47447</v>
      </c>
    </row>
    <row r="14756" spans="1:24">
      <c r="A14756">
        <f>HYPERLINK("https://www.philgeps.gov.ph/GEPSNONPILOT/Tender/SplashBidNoticeAbstractUI.aspx?menuIndex=3&amp;refID=7126265&amp;Result=3","7126265")</f>
        <v>0</v>
      </c>
      <c r="B14756" t="s">
        <v>3849</v>
      </c>
      <c r="C14756" t="s">
        <v>17872</v>
      </c>
      <c r="D14756" t="s">
        <v>19020</v>
      </c>
      <c r="E14756" t="s">
        <v>31753</v>
      </c>
      <c r="F14756" t="s">
        <v>32831</v>
      </c>
      <c r="G14756" t="s">
        <v>32839</v>
      </c>
      <c r="H14756" t="s">
        <v>14069</v>
      </c>
      <c r="I14756" t="s">
        <v>14069</v>
      </c>
      <c r="J14756" t="s">
        <v>41985</v>
      </c>
      <c r="K14756" t="s">
        <v>42746</v>
      </c>
      <c r="M14756" t="s">
        <v>47280</v>
      </c>
      <c r="N14756" t="s">
        <v>47424</v>
      </c>
      <c r="O14756" t="s">
        <v>47425</v>
      </c>
      <c r="P14756">
        <v>0</v>
      </c>
      <c r="Q14756">
        <v>2</v>
      </c>
      <c r="R14756" t="s">
        <v>47446</v>
      </c>
      <c r="S14756" t="s">
        <v>48377</v>
      </c>
      <c r="T14756" t="s">
        <v>49073</v>
      </c>
      <c r="U14756" t="s">
        <v>61662</v>
      </c>
      <c r="W14756" t="s">
        <v>47280</v>
      </c>
      <c r="X14756" t="s">
        <v>47447</v>
      </c>
    </row>
    <row r="14757" spans="1:24">
      <c r="A14757">
        <f>HYPERLINK("https://www.philgeps.gov.ph/GEPSNONPILOT/Tender/SplashBidNoticeAbstractUI.aspx?menuIndex=3&amp;refID=7126357&amp;Result=3","7126357")</f>
        <v>0</v>
      </c>
      <c r="B14757" t="s">
        <v>563</v>
      </c>
      <c r="C14757" t="s">
        <v>17873</v>
      </c>
      <c r="D14757" t="s">
        <v>19060</v>
      </c>
      <c r="E14757" t="s">
        <v>31754</v>
      </c>
      <c r="F14757" t="s">
        <v>32831</v>
      </c>
      <c r="G14757" t="s">
        <v>32839</v>
      </c>
      <c r="H14757" t="s">
        <v>32848</v>
      </c>
      <c r="I14757" t="s">
        <v>7751</v>
      </c>
      <c r="J14757" t="s">
        <v>34860</v>
      </c>
      <c r="K14757" t="s">
        <v>42763</v>
      </c>
      <c r="M14757" t="s">
        <v>46198</v>
      </c>
      <c r="N14757" t="s">
        <v>47424</v>
      </c>
      <c r="O14757" t="s">
        <v>47425</v>
      </c>
      <c r="Q14757">
        <v>11</v>
      </c>
      <c r="R14757" t="s">
        <v>47446</v>
      </c>
      <c r="S14757" t="s">
        <v>48495</v>
      </c>
      <c r="T14757" t="s">
        <v>49212</v>
      </c>
      <c r="U14757" t="s">
        <v>61661</v>
      </c>
      <c r="W14757" t="s">
        <v>64528</v>
      </c>
      <c r="X14757" t="s">
        <v>47447</v>
      </c>
    </row>
    <row r="14758" spans="1:24">
      <c r="A14758">
        <f>HYPERLINK("https://www.philgeps.gov.ph/GEPSNONPILOT/Tender/SplashBidNoticeAbstractUI.aspx?menuIndex=3&amp;refID=7126349&amp;Result=3","7126349")</f>
        <v>0</v>
      </c>
      <c r="B14758" t="s">
        <v>832</v>
      </c>
      <c r="C14758" t="s">
        <v>17874</v>
      </c>
      <c r="D14758" t="s">
        <v>19101</v>
      </c>
      <c r="E14758" t="s">
        <v>31755</v>
      </c>
      <c r="F14758" t="s">
        <v>32831</v>
      </c>
      <c r="G14758" t="s">
        <v>32839</v>
      </c>
      <c r="H14758" t="s">
        <v>32848</v>
      </c>
      <c r="I14758" t="s">
        <v>32914</v>
      </c>
      <c r="J14758" t="s">
        <v>34281</v>
      </c>
      <c r="K14758" t="s">
        <v>42729</v>
      </c>
      <c r="M14758" t="s">
        <v>44445</v>
      </c>
      <c r="N14758" t="s">
        <v>47424</v>
      </c>
      <c r="O14758" t="s">
        <v>47425</v>
      </c>
      <c r="Q14758">
        <v>17</v>
      </c>
      <c r="R14758" t="s">
        <v>47446</v>
      </c>
      <c r="S14758" t="s">
        <v>48496</v>
      </c>
      <c r="T14758" t="s">
        <v>49135</v>
      </c>
      <c r="U14758" t="s">
        <v>61663</v>
      </c>
      <c r="V14758" t="s">
        <v>64305</v>
      </c>
      <c r="W14758" t="s">
        <v>44445</v>
      </c>
      <c r="X14758" t="s">
        <v>47447</v>
      </c>
    </row>
    <row r="14759" spans="1:24">
      <c r="A14759">
        <f>HYPERLINK("https://www.philgeps.gov.ph/GEPSNONPILOT/Tender/SplashBidNoticeAbstractUI.aspx?menuIndex=3&amp;refID=7126344&amp;Result=3","7126344")</f>
        <v>0</v>
      </c>
      <c r="B14759" t="s">
        <v>832</v>
      </c>
      <c r="C14759" t="s">
        <v>17875</v>
      </c>
      <c r="D14759" t="s">
        <v>19101</v>
      </c>
      <c r="E14759" t="s">
        <v>31756</v>
      </c>
      <c r="F14759" t="s">
        <v>32831</v>
      </c>
      <c r="G14759" t="s">
        <v>32839</v>
      </c>
      <c r="H14759" t="s">
        <v>32848</v>
      </c>
      <c r="I14759" t="s">
        <v>32925</v>
      </c>
      <c r="J14759" t="s">
        <v>41986</v>
      </c>
      <c r="K14759" t="s">
        <v>42729</v>
      </c>
      <c r="M14759" t="s">
        <v>44445</v>
      </c>
      <c r="N14759" t="s">
        <v>47424</v>
      </c>
      <c r="O14759" t="s">
        <v>47425</v>
      </c>
      <c r="Q14759">
        <v>6</v>
      </c>
      <c r="R14759" t="s">
        <v>47446</v>
      </c>
      <c r="S14759" t="s">
        <v>48497</v>
      </c>
      <c r="T14759" t="s">
        <v>49135</v>
      </c>
      <c r="U14759" t="s">
        <v>61663</v>
      </c>
      <c r="V14759" t="s">
        <v>63231</v>
      </c>
      <c r="W14759" t="s">
        <v>44445</v>
      </c>
      <c r="X14759" t="s">
        <v>47447</v>
      </c>
    </row>
    <row r="14760" spans="1:24">
      <c r="A14760">
        <f>HYPERLINK("https://www.philgeps.gov.ph/GEPSNONPILOT/Tender/SplashBidNoticeAbstractUI.aspx?menuIndex=3&amp;refID=7126339&amp;Result=3","7126339")</f>
        <v>0</v>
      </c>
      <c r="B14760" t="s">
        <v>832</v>
      </c>
      <c r="C14760" t="s">
        <v>17876</v>
      </c>
      <c r="D14760" t="s">
        <v>19101</v>
      </c>
      <c r="E14760" t="s">
        <v>31757</v>
      </c>
      <c r="F14760" t="s">
        <v>32831</v>
      </c>
      <c r="G14760" t="s">
        <v>32839</v>
      </c>
      <c r="H14760" t="s">
        <v>32848</v>
      </c>
      <c r="I14760" t="s">
        <v>32925</v>
      </c>
      <c r="J14760" t="s">
        <v>40664</v>
      </c>
      <c r="K14760" t="s">
        <v>42729</v>
      </c>
      <c r="M14760" t="s">
        <v>44445</v>
      </c>
      <c r="N14760" t="s">
        <v>47424</v>
      </c>
      <c r="O14760" t="s">
        <v>47425</v>
      </c>
      <c r="Q14760">
        <v>6</v>
      </c>
      <c r="R14760" t="s">
        <v>47446</v>
      </c>
      <c r="S14760" t="s">
        <v>48086</v>
      </c>
      <c r="T14760" t="s">
        <v>49135</v>
      </c>
      <c r="U14760" t="s">
        <v>61663</v>
      </c>
      <c r="V14760" t="s">
        <v>64306</v>
      </c>
      <c r="W14760" t="s">
        <v>44445</v>
      </c>
      <c r="X14760" t="s">
        <v>47447</v>
      </c>
    </row>
    <row r="14761" spans="1:24">
      <c r="A14761">
        <f>HYPERLINK("https://www.philgeps.gov.ph/GEPSNONPILOT/Tender/SplashBidNoticeAbstractUI.aspx?menuIndex=3&amp;refID=7126338&amp;Result=3","7126338")</f>
        <v>0</v>
      </c>
      <c r="B14761" t="s">
        <v>832</v>
      </c>
      <c r="C14761" t="s">
        <v>17877</v>
      </c>
      <c r="D14761" t="s">
        <v>19101</v>
      </c>
      <c r="E14761" t="s">
        <v>31758</v>
      </c>
      <c r="F14761" t="s">
        <v>32831</v>
      </c>
      <c r="G14761" t="s">
        <v>32839</v>
      </c>
      <c r="H14761" t="s">
        <v>32848</v>
      </c>
      <c r="I14761" t="s">
        <v>32925</v>
      </c>
      <c r="J14761" t="s">
        <v>41987</v>
      </c>
      <c r="K14761" t="s">
        <v>42763</v>
      </c>
      <c r="M14761" t="s">
        <v>44445</v>
      </c>
      <c r="N14761" t="s">
        <v>47424</v>
      </c>
      <c r="O14761" t="s">
        <v>47425</v>
      </c>
      <c r="Q14761">
        <v>6</v>
      </c>
      <c r="R14761" t="s">
        <v>47446</v>
      </c>
      <c r="S14761" t="s">
        <v>48498</v>
      </c>
      <c r="T14761" t="s">
        <v>49135</v>
      </c>
      <c r="U14761" t="s">
        <v>61663</v>
      </c>
      <c r="V14761" t="s">
        <v>64307</v>
      </c>
      <c r="W14761" t="s">
        <v>44445</v>
      </c>
      <c r="X14761" t="s">
        <v>47447</v>
      </c>
    </row>
    <row r="14762" spans="1:24">
      <c r="A14762">
        <f>HYPERLINK("https://www.philgeps.gov.ph/GEPSNONPILOT/Tender/SplashBidNoticeAbstractUI.aspx?menuIndex=3&amp;refID=7126337&amp;Result=3","7126337")</f>
        <v>0</v>
      </c>
      <c r="B14762" t="s">
        <v>1435</v>
      </c>
      <c r="C14762" t="s">
        <v>17878</v>
      </c>
      <c r="D14762" t="s">
        <v>19074</v>
      </c>
      <c r="E14762" t="s">
        <v>31759</v>
      </c>
      <c r="F14762" t="s">
        <v>32831</v>
      </c>
      <c r="G14762" t="s">
        <v>32839</v>
      </c>
      <c r="H14762" t="s">
        <v>32849</v>
      </c>
      <c r="I14762" t="s">
        <v>4177</v>
      </c>
      <c r="J14762" t="s">
        <v>33288</v>
      </c>
      <c r="K14762" t="s">
        <v>42757</v>
      </c>
      <c r="M14762" t="s">
        <v>47281</v>
      </c>
      <c r="N14762" t="s">
        <v>47424</v>
      </c>
      <c r="O14762" t="s">
        <v>47425</v>
      </c>
      <c r="Q14762">
        <v>3</v>
      </c>
      <c r="R14762" t="s">
        <v>47446</v>
      </c>
      <c r="S14762" t="s">
        <v>48499</v>
      </c>
      <c r="T14762" t="s">
        <v>49249</v>
      </c>
      <c r="U14762" t="s">
        <v>61664</v>
      </c>
      <c r="W14762" t="s">
        <v>47281</v>
      </c>
      <c r="X14762" t="s">
        <v>47447</v>
      </c>
    </row>
    <row r="14763" spans="1:24">
      <c r="A14763">
        <f>HYPERLINK("https://www.philgeps.gov.ph/GEPSNONPILOT/Tender/SplashBidNoticeAbstractUI.aspx?menuIndex=3&amp;refID=7126333&amp;Result=3","7126333")</f>
        <v>0</v>
      </c>
      <c r="B14763" t="s">
        <v>832</v>
      </c>
      <c r="C14763" t="s">
        <v>17879</v>
      </c>
      <c r="D14763" t="s">
        <v>19101</v>
      </c>
      <c r="E14763" t="s">
        <v>31760</v>
      </c>
      <c r="F14763" t="s">
        <v>32831</v>
      </c>
      <c r="G14763" t="s">
        <v>32839</v>
      </c>
      <c r="H14763" t="s">
        <v>32848</v>
      </c>
      <c r="I14763" t="s">
        <v>32925</v>
      </c>
      <c r="J14763" t="s">
        <v>41988</v>
      </c>
      <c r="K14763" t="s">
        <v>42763</v>
      </c>
      <c r="M14763" t="s">
        <v>44445</v>
      </c>
      <c r="N14763" t="s">
        <v>47424</v>
      </c>
      <c r="O14763" t="s">
        <v>47425</v>
      </c>
      <c r="Q14763">
        <v>9</v>
      </c>
      <c r="R14763" t="s">
        <v>47446</v>
      </c>
      <c r="S14763" t="s">
        <v>48500</v>
      </c>
      <c r="T14763" t="s">
        <v>49135</v>
      </c>
      <c r="U14763" t="s">
        <v>61663</v>
      </c>
      <c r="V14763" t="s">
        <v>64307</v>
      </c>
      <c r="W14763" t="s">
        <v>44445</v>
      </c>
      <c r="X14763" t="s">
        <v>47447</v>
      </c>
    </row>
    <row r="14764" spans="1:24">
      <c r="A14764">
        <f>HYPERLINK("https://www.philgeps.gov.ph/GEPSNONPILOT/Tender/SplashBidNoticeAbstractUI.aspx?menuIndex=3&amp;refID=7126341&amp;Result=3","7126341")</f>
        <v>0</v>
      </c>
      <c r="B14764" t="s">
        <v>1435</v>
      </c>
      <c r="C14764" t="s">
        <v>17880</v>
      </c>
      <c r="D14764" t="s">
        <v>19033</v>
      </c>
      <c r="E14764" t="s">
        <v>31761</v>
      </c>
      <c r="F14764" t="s">
        <v>32831</v>
      </c>
      <c r="G14764" t="s">
        <v>32839</v>
      </c>
      <c r="H14764" t="s">
        <v>32849</v>
      </c>
      <c r="I14764" t="s">
        <v>4177</v>
      </c>
      <c r="J14764" t="s">
        <v>33083</v>
      </c>
      <c r="K14764" t="s">
        <v>42780</v>
      </c>
      <c r="M14764" t="s">
        <v>47281</v>
      </c>
      <c r="N14764" t="s">
        <v>47424</v>
      </c>
      <c r="O14764" t="s">
        <v>47425</v>
      </c>
      <c r="Q14764">
        <v>11</v>
      </c>
      <c r="R14764" t="s">
        <v>47446</v>
      </c>
      <c r="S14764" t="s">
        <v>48501</v>
      </c>
      <c r="T14764" t="s">
        <v>49319</v>
      </c>
      <c r="U14764" t="s">
        <v>61665</v>
      </c>
      <c r="W14764" t="s">
        <v>47281</v>
      </c>
      <c r="X14764" t="s">
        <v>47447</v>
      </c>
    </row>
    <row r="14765" spans="1:24">
      <c r="A14765">
        <f>HYPERLINK("https://www.philgeps.gov.ph/GEPSNONPILOT/Tender/SplashBidNoticeAbstractUI.aspx?menuIndex=3&amp;refID=7126051&amp;Result=3","7126051")</f>
        <v>0</v>
      </c>
      <c r="B14765" t="s">
        <v>1915</v>
      </c>
      <c r="C14765" t="s">
        <v>17881</v>
      </c>
      <c r="D14765" t="s">
        <v>19030</v>
      </c>
      <c r="E14765" t="s">
        <v>31762</v>
      </c>
      <c r="F14765" t="s">
        <v>32831</v>
      </c>
      <c r="G14765" t="s">
        <v>32839</v>
      </c>
      <c r="H14765" t="s">
        <v>32849</v>
      </c>
      <c r="I14765" t="s">
        <v>4177</v>
      </c>
      <c r="J14765" t="s">
        <v>40239</v>
      </c>
      <c r="K14765" t="s">
        <v>42730</v>
      </c>
      <c r="M14765" t="s">
        <v>45067</v>
      </c>
      <c r="N14765" t="s">
        <v>47424</v>
      </c>
      <c r="O14765" t="s">
        <v>47425</v>
      </c>
      <c r="P14765">
        <v>0</v>
      </c>
      <c r="Q14765">
        <v>9</v>
      </c>
      <c r="R14765" t="s">
        <v>47446</v>
      </c>
      <c r="S14765" t="s">
        <v>48377</v>
      </c>
      <c r="T14765" t="s">
        <v>49237</v>
      </c>
      <c r="U14765" t="s">
        <v>61630</v>
      </c>
      <c r="W14765" t="s">
        <v>64492</v>
      </c>
      <c r="X14765" t="s">
        <v>47447</v>
      </c>
    </row>
    <row r="14766" spans="1:24">
      <c r="A14766">
        <f>HYPERLINK("https://www.philgeps.gov.ph/GEPSNONPILOT/Tender/SplashBidNoticeAbstractUI.aspx?menuIndex=3&amp;refID=7116448&amp;Result=3","7116448")</f>
        <v>0</v>
      </c>
      <c r="B14766" t="s">
        <v>2634</v>
      </c>
      <c r="C14766" t="s">
        <v>17882</v>
      </c>
      <c r="D14766" t="s">
        <v>19057</v>
      </c>
      <c r="E14766" t="s">
        <v>31763</v>
      </c>
      <c r="F14766" t="s">
        <v>32831</v>
      </c>
      <c r="G14766" t="s">
        <v>32839</v>
      </c>
      <c r="H14766" t="s">
        <v>32849</v>
      </c>
      <c r="I14766" t="s">
        <v>4177</v>
      </c>
      <c r="J14766" t="s">
        <v>41989</v>
      </c>
      <c r="K14766" t="s">
        <v>42763</v>
      </c>
      <c r="M14766" t="s">
        <v>45856</v>
      </c>
      <c r="N14766" t="s">
        <v>47424</v>
      </c>
      <c r="O14766" t="s">
        <v>47425</v>
      </c>
      <c r="P14766">
        <v>0</v>
      </c>
      <c r="Q14766">
        <v>0</v>
      </c>
      <c r="R14766" t="s">
        <v>47447</v>
      </c>
      <c r="S14766" t="s">
        <v>48494</v>
      </c>
      <c r="T14766" t="s">
        <v>49141</v>
      </c>
      <c r="U14766" t="s">
        <v>61666</v>
      </c>
      <c r="W14766" t="s">
        <v>45856</v>
      </c>
      <c r="X14766" t="s">
        <v>47451</v>
      </c>
    </row>
    <row r="14767" spans="1:24">
      <c r="A14767">
        <f>HYPERLINK("https://www.philgeps.gov.ph/GEPSNONPILOT/Tender/SplashBidNoticeAbstractUI.aspx?menuIndex=3&amp;refID=7126330&amp;Result=3","7126330")</f>
        <v>0</v>
      </c>
      <c r="B14767" t="s">
        <v>1435</v>
      </c>
      <c r="C14767" t="s">
        <v>17883</v>
      </c>
      <c r="D14767" t="s">
        <v>19017</v>
      </c>
      <c r="E14767" t="s">
        <v>31764</v>
      </c>
      <c r="F14767" t="s">
        <v>32831</v>
      </c>
      <c r="G14767" t="s">
        <v>32839</v>
      </c>
      <c r="H14767" t="s">
        <v>32849</v>
      </c>
      <c r="I14767" t="s">
        <v>4177</v>
      </c>
      <c r="J14767" t="s">
        <v>33032</v>
      </c>
      <c r="K14767" t="s">
        <v>42770</v>
      </c>
      <c r="M14767" t="s">
        <v>47281</v>
      </c>
      <c r="N14767" t="s">
        <v>47424</v>
      </c>
      <c r="O14767" t="s">
        <v>47425</v>
      </c>
      <c r="Q14767">
        <v>10</v>
      </c>
      <c r="R14767" t="s">
        <v>47446</v>
      </c>
      <c r="S14767" t="s">
        <v>48502</v>
      </c>
      <c r="T14767" t="s">
        <v>49160</v>
      </c>
      <c r="U14767" t="s">
        <v>61667</v>
      </c>
      <c r="W14767" t="s">
        <v>47281</v>
      </c>
      <c r="X14767" t="s">
        <v>47447</v>
      </c>
    </row>
    <row r="14768" spans="1:24">
      <c r="A14768">
        <f>HYPERLINK("https://www.philgeps.gov.ph/GEPSNONPILOT/Tender/SplashBidNoticeAbstractUI.aspx?menuIndex=3&amp;refID=7116375&amp;Result=3","7116375")</f>
        <v>0</v>
      </c>
      <c r="B14768" t="s">
        <v>127</v>
      </c>
      <c r="C14768" t="s">
        <v>17884</v>
      </c>
      <c r="D14768" t="s">
        <v>19038</v>
      </c>
      <c r="E14768" t="s">
        <v>31765</v>
      </c>
      <c r="F14768" t="s">
        <v>32831</v>
      </c>
      <c r="G14768" t="s">
        <v>32839</v>
      </c>
      <c r="H14768" t="s">
        <v>32849</v>
      </c>
      <c r="I14768" t="s">
        <v>4177</v>
      </c>
      <c r="J14768" t="s">
        <v>41990</v>
      </c>
      <c r="K14768" t="s">
        <v>42729</v>
      </c>
      <c r="M14768" t="s">
        <v>43124</v>
      </c>
      <c r="N14768" t="s">
        <v>47424</v>
      </c>
      <c r="O14768" t="s">
        <v>47425</v>
      </c>
      <c r="P14768">
        <v>0</v>
      </c>
      <c r="Q14768">
        <v>1</v>
      </c>
      <c r="R14768" t="s">
        <v>47447</v>
      </c>
      <c r="S14768" t="s">
        <v>48494</v>
      </c>
      <c r="T14768" t="s">
        <v>49111</v>
      </c>
      <c r="U14768" t="s">
        <v>61668</v>
      </c>
      <c r="W14768" t="s">
        <v>43124</v>
      </c>
      <c r="X14768" t="s">
        <v>47451</v>
      </c>
    </row>
    <row r="14769" spans="1:24">
      <c r="A14769">
        <f>HYPERLINK("https://www.philgeps.gov.ph/GEPSNONPILOT/Tender/SplashBidNoticeAbstractUI.aspx?menuIndex=3&amp;refID=7116484&amp;Result=3","7116484")</f>
        <v>0</v>
      </c>
      <c r="B14769" t="s">
        <v>2634</v>
      </c>
      <c r="C14769" t="s">
        <v>17885</v>
      </c>
      <c r="D14769" t="s">
        <v>19057</v>
      </c>
      <c r="E14769" t="s">
        <v>31766</v>
      </c>
      <c r="F14769" t="s">
        <v>32831</v>
      </c>
      <c r="G14769" t="s">
        <v>32839</v>
      </c>
      <c r="H14769" t="s">
        <v>32849</v>
      </c>
      <c r="I14769" t="s">
        <v>4177</v>
      </c>
      <c r="J14769" t="s">
        <v>41989</v>
      </c>
      <c r="K14769" t="s">
        <v>42763</v>
      </c>
      <c r="M14769" t="s">
        <v>45856</v>
      </c>
      <c r="N14769" t="s">
        <v>47424</v>
      </c>
      <c r="O14769" t="s">
        <v>47425</v>
      </c>
      <c r="P14769">
        <v>0</v>
      </c>
      <c r="Q14769">
        <v>0</v>
      </c>
      <c r="R14769" t="s">
        <v>47447</v>
      </c>
      <c r="S14769" t="s">
        <v>48494</v>
      </c>
      <c r="T14769" t="s">
        <v>49141</v>
      </c>
      <c r="U14769" t="s">
        <v>61666</v>
      </c>
      <c r="W14769" t="s">
        <v>45856</v>
      </c>
      <c r="X14769" t="s">
        <v>47451</v>
      </c>
    </row>
    <row r="14770" spans="1:24">
      <c r="A14770">
        <f>HYPERLINK("https://www.philgeps.gov.ph/GEPSNONPILOT/Tender/SplashBidNoticeAbstractUI.aspx?menuIndex=3&amp;refID=7126351&amp;Result=3","7126351")</f>
        <v>0</v>
      </c>
      <c r="B14770" t="s">
        <v>1435</v>
      </c>
      <c r="C14770" t="s">
        <v>17886</v>
      </c>
      <c r="D14770" t="s">
        <v>19018</v>
      </c>
      <c r="E14770" t="s">
        <v>31767</v>
      </c>
      <c r="F14770" t="s">
        <v>32831</v>
      </c>
      <c r="G14770" t="s">
        <v>32839</v>
      </c>
      <c r="H14770" t="s">
        <v>32849</v>
      </c>
      <c r="I14770" t="s">
        <v>4177</v>
      </c>
      <c r="J14770" t="s">
        <v>33016</v>
      </c>
      <c r="K14770" t="s">
        <v>42763</v>
      </c>
      <c r="M14770" t="s">
        <v>47281</v>
      </c>
      <c r="N14770" t="s">
        <v>47424</v>
      </c>
      <c r="O14770" t="s">
        <v>47425</v>
      </c>
      <c r="Q14770">
        <v>6</v>
      </c>
      <c r="R14770" t="s">
        <v>47446</v>
      </c>
      <c r="S14770" t="s">
        <v>48503</v>
      </c>
      <c r="T14770" t="s">
        <v>49393</v>
      </c>
      <c r="U14770" t="s">
        <v>61669</v>
      </c>
      <c r="W14770" t="s">
        <v>47281</v>
      </c>
      <c r="X14770" t="s">
        <v>47447</v>
      </c>
    </row>
    <row r="14771" spans="1:24">
      <c r="A14771">
        <f>HYPERLINK("https://www.philgeps.gov.ph/GEPSNONPILOT/Tender/SplashBidNoticeAbstractUI.aspx?menuIndex=3&amp;refID=7116392&amp;Result=3","7116392")</f>
        <v>0</v>
      </c>
      <c r="B14771" t="s">
        <v>2634</v>
      </c>
      <c r="C14771" t="s">
        <v>17887</v>
      </c>
      <c r="D14771" t="s">
        <v>19057</v>
      </c>
      <c r="E14771" t="s">
        <v>31768</v>
      </c>
      <c r="F14771" t="s">
        <v>32831</v>
      </c>
      <c r="G14771" t="s">
        <v>32839</v>
      </c>
      <c r="H14771" t="s">
        <v>32849</v>
      </c>
      <c r="I14771" t="s">
        <v>4177</v>
      </c>
      <c r="J14771" t="s">
        <v>41991</v>
      </c>
      <c r="K14771" t="s">
        <v>42729</v>
      </c>
      <c r="M14771" t="s">
        <v>45856</v>
      </c>
      <c r="N14771" t="s">
        <v>47424</v>
      </c>
      <c r="O14771" t="s">
        <v>47425</v>
      </c>
      <c r="P14771">
        <v>0</v>
      </c>
      <c r="Q14771">
        <v>0</v>
      </c>
      <c r="R14771" t="s">
        <v>47447</v>
      </c>
      <c r="S14771" t="s">
        <v>48494</v>
      </c>
      <c r="T14771" t="s">
        <v>49141</v>
      </c>
      <c r="U14771" t="s">
        <v>61670</v>
      </c>
      <c r="W14771" t="s">
        <v>45856</v>
      </c>
      <c r="X14771" t="s">
        <v>47451</v>
      </c>
    </row>
    <row r="14772" spans="1:24">
      <c r="A14772">
        <f>HYPERLINK("https://www.philgeps.gov.ph/GEPSNONPILOT/Tender/SplashBidNoticeAbstractUI.aspx?menuIndex=3&amp;refID=7116377&amp;Result=3","7116377")</f>
        <v>0</v>
      </c>
      <c r="B14772" t="s">
        <v>127</v>
      </c>
      <c r="C14772" t="s">
        <v>17888</v>
      </c>
      <c r="D14772" t="s">
        <v>19038</v>
      </c>
      <c r="E14772" t="s">
        <v>31769</v>
      </c>
      <c r="F14772" t="s">
        <v>32831</v>
      </c>
      <c r="G14772" t="s">
        <v>32839</v>
      </c>
      <c r="H14772" t="s">
        <v>32849</v>
      </c>
      <c r="I14772" t="s">
        <v>4177</v>
      </c>
      <c r="J14772" t="s">
        <v>41992</v>
      </c>
      <c r="K14772" t="s">
        <v>42729</v>
      </c>
      <c r="M14772" t="s">
        <v>43124</v>
      </c>
      <c r="N14772" t="s">
        <v>47424</v>
      </c>
      <c r="O14772" t="s">
        <v>47425</v>
      </c>
      <c r="P14772">
        <v>0</v>
      </c>
      <c r="Q14772">
        <v>1</v>
      </c>
      <c r="R14772" t="s">
        <v>47447</v>
      </c>
      <c r="S14772" t="s">
        <v>48494</v>
      </c>
      <c r="T14772" t="s">
        <v>49111</v>
      </c>
      <c r="U14772" t="s">
        <v>61671</v>
      </c>
      <c r="W14772" t="s">
        <v>43124</v>
      </c>
      <c r="X14772" t="s">
        <v>47451</v>
      </c>
    </row>
    <row r="14773" spans="1:24">
      <c r="A14773">
        <f>HYPERLINK("https://www.philgeps.gov.ph/GEPSNONPILOT/Tender/SplashBidNoticeAbstractUI.aspx?menuIndex=3&amp;refID=7113119&amp;Result=3","7113119")</f>
        <v>0</v>
      </c>
      <c r="B14773" t="s">
        <v>127</v>
      </c>
      <c r="C14773" t="s">
        <v>17889</v>
      </c>
      <c r="D14773" t="s">
        <v>19038</v>
      </c>
      <c r="E14773" t="s">
        <v>31770</v>
      </c>
      <c r="F14773" t="s">
        <v>32831</v>
      </c>
      <c r="G14773" t="s">
        <v>32839</v>
      </c>
      <c r="H14773" t="s">
        <v>32849</v>
      </c>
      <c r="I14773" t="s">
        <v>4177</v>
      </c>
      <c r="J14773" t="s">
        <v>41993</v>
      </c>
      <c r="K14773" t="s">
        <v>42780</v>
      </c>
      <c r="M14773" t="s">
        <v>43124</v>
      </c>
      <c r="N14773" t="s">
        <v>47424</v>
      </c>
      <c r="O14773" t="s">
        <v>47425</v>
      </c>
      <c r="P14773">
        <v>0</v>
      </c>
      <c r="Q14773">
        <v>4</v>
      </c>
      <c r="R14773" t="s">
        <v>47447</v>
      </c>
      <c r="S14773" t="s">
        <v>48494</v>
      </c>
      <c r="T14773" t="s">
        <v>49111</v>
      </c>
      <c r="U14773" t="s">
        <v>61672</v>
      </c>
      <c r="W14773" t="s">
        <v>43124</v>
      </c>
      <c r="X14773" t="s">
        <v>47452</v>
      </c>
    </row>
    <row r="14774" spans="1:24">
      <c r="A14774">
        <f>HYPERLINK("https://www.philgeps.gov.ph/GEPSNONPILOT/Tender/SplashBidNoticeAbstractUI.aspx?menuIndex=3&amp;refID=7113110&amp;Result=3","7113110")</f>
        <v>0</v>
      </c>
      <c r="B14774" t="s">
        <v>127</v>
      </c>
      <c r="C14774" t="s">
        <v>17890</v>
      </c>
      <c r="D14774" t="s">
        <v>19038</v>
      </c>
      <c r="E14774" t="s">
        <v>31771</v>
      </c>
      <c r="F14774" t="s">
        <v>32831</v>
      </c>
      <c r="G14774" t="s">
        <v>32839</v>
      </c>
      <c r="H14774" t="s">
        <v>32849</v>
      </c>
      <c r="I14774" t="s">
        <v>4177</v>
      </c>
      <c r="J14774" t="s">
        <v>41994</v>
      </c>
      <c r="K14774" t="s">
        <v>42829</v>
      </c>
      <c r="M14774" t="s">
        <v>43124</v>
      </c>
      <c r="N14774" t="s">
        <v>47424</v>
      </c>
      <c r="O14774" t="s">
        <v>47425</v>
      </c>
      <c r="P14774">
        <v>0</v>
      </c>
      <c r="Q14774">
        <v>1</v>
      </c>
      <c r="R14774" t="s">
        <v>47447</v>
      </c>
      <c r="S14774" t="s">
        <v>48494</v>
      </c>
      <c r="T14774" t="s">
        <v>49111</v>
      </c>
      <c r="U14774" t="s">
        <v>61673</v>
      </c>
      <c r="W14774" t="s">
        <v>43124</v>
      </c>
      <c r="X14774" t="s">
        <v>47452</v>
      </c>
    </row>
    <row r="14775" spans="1:24">
      <c r="A14775">
        <f>HYPERLINK("https://www.philgeps.gov.ph/GEPSNONPILOT/Tender/SplashBidNoticeAbstractUI.aspx?menuIndex=3&amp;refID=7116893&amp;Result=3","7116893")</f>
        <v>0</v>
      </c>
      <c r="B14775" t="s">
        <v>3850</v>
      </c>
      <c r="C14775" t="s">
        <v>17891</v>
      </c>
      <c r="D14775" t="s">
        <v>19034</v>
      </c>
      <c r="E14775" t="s">
        <v>26477</v>
      </c>
      <c r="F14775" t="s">
        <v>32831</v>
      </c>
      <c r="G14775" t="s">
        <v>32839</v>
      </c>
      <c r="H14775" t="s">
        <v>32849</v>
      </c>
      <c r="I14775" t="s">
        <v>4177</v>
      </c>
      <c r="J14775" t="s">
        <v>41995</v>
      </c>
      <c r="K14775" t="s">
        <v>42730</v>
      </c>
      <c r="M14775" t="s">
        <v>47282</v>
      </c>
      <c r="N14775" t="s">
        <v>47424</v>
      </c>
      <c r="O14775" t="s">
        <v>47425</v>
      </c>
      <c r="P14775">
        <v>0</v>
      </c>
      <c r="Q14775">
        <v>0</v>
      </c>
      <c r="R14775" t="s">
        <v>47447</v>
      </c>
      <c r="S14775" t="s">
        <v>48494</v>
      </c>
      <c r="T14775" t="s">
        <v>49243</v>
      </c>
      <c r="U14775" t="s">
        <v>61674</v>
      </c>
      <c r="W14775" t="s">
        <v>47282</v>
      </c>
      <c r="X14775" t="s">
        <v>47451</v>
      </c>
    </row>
    <row r="14776" spans="1:24">
      <c r="A14776">
        <f>HYPERLINK("https://www.philgeps.gov.ph/GEPSNONPILOT/Tender/SplashBidNoticeAbstractUI.aspx?menuIndex=3&amp;refID=7113131&amp;Result=3","7113131")</f>
        <v>0</v>
      </c>
      <c r="B14776" t="s">
        <v>127</v>
      </c>
      <c r="C14776" t="s">
        <v>17892</v>
      </c>
      <c r="D14776" t="s">
        <v>19038</v>
      </c>
      <c r="E14776" t="s">
        <v>31772</v>
      </c>
      <c r="F14776" t="s">
        <v>32831</v>
      </c>
      <c r="G14776" t="s">
        <v>32839</v>
      </c>
      <c r="H14776" t="s">
        <v>32849</v>
      </c>
      <c r="I14776" t="s">
        <v>4177</v>
      </c>
      <c r="J14776" t="s">
        <v>41996</v>
      </c>
      <c r="K14776" t="s">
        <v>42728</v>
      </c>
      <c r="M14776" t="s">
        <v>43124</v>
      </c>
      <c r="N14776" t="s">
        <v>47424</v>
      </c>
      <c r="O14776" t="s">
        <v>47425</v>
      </c>
      <c r="P14776">
        <v>0</v>
      </c>
      <c r="Q14776">
        <v>1</v>
      </c>
      <c r="R14776" t="s">
        <v>47447</v>
      </c>
      <c r="S14776" t="s">
        <v>48494</v>
      </c>
      <c r="T14776" t="s">
        <v>49111</v>
      </c>
      <c r="U14776" t="s">
        <v>61675</v>
      </c>
      <c r="W14776" t="s">
        <v>43124</v>
      </c>
      <c r="X14776" t="s">
        <v>47452</v>
      </c>
    </row>
    <row r="14777" spans="1:24">
      <c r="A14777">
        <f>HYPERLINK("https://www.philgeps.gov.ph/GEPSNONPILOT/Tender/SplashBidNoticeAbstractUI.aspx?menuIndex=3&amp;refID=7118689&amp;Result=3","7118689")</f>
        <v>0</v>
      </c>
      <c r="B14777" t="s">
        <v>1753</v>
      </c>
      <c r="C14777" t="s">
        <v>17893</v>
      </c>
      <c r="D14777" t="s">
        <v>19104</v>
      </c>
      <c r="E14777" t="s">
        <v>31773</v>
      </c>
      <c r="F14777" t="s">
        <v>32831</v>
      </c>
      <c r="G14777" t="s">
        <v>32839</v>
      </c>
      <c r="H14777" t="s">
        <v>32849</v>
      </c>
      <c r="I14777" t="s">
        <v>4177</v>
      </c>
      <c r="J14777" t="s">
        <v>41997</v>
      </c>
      <c r="K14777" t="s">
        <v>42764</v>
      </c>
      <c r="M14777" t="s">
        <v>44877</v>
      </c>
      <c r="N14777" t="s">
        <v>47424</v>
      </c>
      <c r="O14777" t="s">
        <v>47425</v>
      </c>
      <c r="P14777">
        <v>0</v>
      </c>
      <c r="Q14777">
        <v>1</v>
      </c>
      <c r="R14777" t="s">
        <v>47447</v>
      </c>
      <c r="S14777" t="s">
        <v>48494</v>
      </c>
      <c r="T14777" t="s">
        <v>49111</v>
      </c>
      <c r="U14777" t="s">
        <v>61676</v>
      </c>
      <c r="W14777" t="s">
        <v>44877</v>
      </c>
      <c r="X14777" t="s">
        <v>47451</v>
      </c>
    </row>
    <row r="14778" spans="1:24">
      <c r="A14778">
        <f>HYPERLINK("https://www.philgeps.gov.ph/GEPSNONPILOT/Tender/SplashBidNoticeAbstractUI.aspx?menuIndex=3&amp;refID=7116088&amp;Result=3","7116088")</f>
        <v>0</v>
      </c>
      <c r="B14778" t="s">
        <v>3698</v>
      </c>
      <c r="C14778" t="s">
        <v>17894</v>
      </c>
      <c r="D14778" t="s">
        <v>19020</v>
      </c>
      <c r="E14778" t="s">
        <v>31774</v>
      </c>
      <c r="F14778" t="s">
        <v>32831</v>
      </c>
      <c r="G14778" t="s">
        <v>32839</v>
      </c>
      <c r="H14778" t="s">
        <v>32849</v>
      </c>
      <c r="I14778" t="s">
        <v>4177</v>
      </c>
      <c r="J14778" t="s">
        <v>41998</v>
      </c>
      <c r="K14778" t="s">
        <v>42761</v>
      </c>
      <c r="M14778" t="s">
        <v>47283</v>
      </c>
      <c r="N14778" t="s">
        <v>47424</v>
      </c>
      <c r="O14778" t="s">
        <v>47425</v>
      </c>
      <c r="Q14778">
        <v>21</v>
      </c>
      <c r="R14778" t="s">
        <v>47447</v>
      </c>
      <c r="S14778" t="s">
        <v>48119</v>
      </c>
      <c r="T14778" t="s">
        <v>49070</v>
      </c>
      <c r="U14778" t="s">
        <v>61677</v>
      </c>
      <c r="V14778" t="s">
        <v>64308</v>
      </c>
      <c r="W14778" t="s">
        <v>64561</v>
      </c>
      <c r="X14778" t="s">
        <v>47452</v>
      </c>
    </row>
    <row r="14779" spans="1:24">
      <c r="A14779">
        <f>HYPERLINK("https://www.philgeps.gov.ph/GEPSNONPILOT/Tender/SplashBidNoticeAbstractUI.aspx?menuIndex=3&amp;refID=7118668&amp;Result=3","7118668")</f>
        <v>0</v>
      </c>
      <c r="B14779" t="s">
        <v>3851</v>
      </c>
      <c r="C14779" t="s">
        <v>17895</v>
      </c>
      <c r="D14779" t="s">
        <v>19082</v>
      </c>
      <c r="E14779" t="s">
        <v>31775</v>
      </c>
      <c r="F14779" t="s">
        <v>32831</v>
      </c>
      <c r="G14779" t="s">
        <v>32839</v>
      </c>
      <c r="H14779" t="s">
        <v>32849</v>
      </c>
      <c r="I14779" t="s">
        <v>4177</v>
      </c>
      <c r="J14779" t="s">
        <v>41999</v>
      </c>
      <c r="K14779" t="s">
        <v>42745</v>
      </c>
      <c r="M14779" t="s">
        <v>47284</v>
      </c>
      <c r="N14779" t="s">
        <v>47424</v>
      </c>
      <c r="O14779" t="s">
        <v>47425</v>
      </c>
      <c r="P14779">
        <v>0</v>
      </c>
      <c r="Q14779">
        <v>0</v>
      </c>
      <c r="R14779" t="s">
        <v>47447</v>
      </c>
      <c r="S14779" t="s">
        <v>48494</v>
      </c>
      <c r="T14779" t="s">
        <v>49661</v>
      </c>
      <c r="U14779" t="s">
        <v>61678</v>
      </c>
      <c r="W14779" t="s">
        <v>47284</v>
      </c>
      <c r="X14779" t="s">
        <v>47451</v>
      </c>
    </row>
    <row r="14780" spans="1:24">
      <c r="A14780">
        <f>HYPERLINK("https://www.philgeps.gov.ph/GEPSNONPILOT/Tender/SplashBidNoticeAbstractUI.aspx?menuIndex=3&amp;refID=7118699&amp;Result=3","7118699")</f>
        <v>0</v>
      </c>
      <c r="B14780" t="s">
        <v>1823</v>
      </c>
      <c r="C14780" t="s">
        <v>17896</v>
      </c>
      <c r="D14780" t="s">
        <v>19100</v>
      </c>
      <c r="E14780" t="s">
        <v>31776</v>
      </c>
      <c r="F14780" t="s">
        <v>32831</v>
      </c>
      <c r="G14780" t="s">
        <v>32839</v>
      </c>
      <c r="H14780" t="s">
        <v>32848</v>
      </c>
      <c r="I14780" t="s">
        <v>7751</v>
      </c>
      <c r="J14780" t="s">
        <v>42000</v>
      </c>
      <c r="K14780" t="s">
        <v>42732</v>
      </c>
      <c r="M14780" t="s">
        <v>46219</v>
      </c>
      <c r="N14780" t="s">
        <v>47424</v>
      </c>
      <c r="O14780" t="s">
        <v>47425</v>
      </c>
      <c r="P14780">
        <v>0</v>
      </c>
      <c r="Q14780">
        <v>3</v>
      </c>
      <c r="R14780" t="s">
        <v>47447</v>
      </c>
      <c r="S14780" t="s">
        <v>48494</v>
      </c>
      <c r="T14780" t="s">
        <v>49243</v>
      </c>
      <c r="U14780" t="s">
        <v>61679</v>
      </c>
      <c r="W14780" t="s">
        <v>64529</v>
      </c>
      <c r="X14780" t="s">
        <v>47451</v>
      </c>
    </row>
    <row r="14781" spans="1:24">
      <c r="A14781">
        <f>HYPERLINK("https://www.philgeps.gov.ph/GEPSNONPILOT/Tender/SplashBidNoticeAbstractUI.aspx?menuIndex=3&amp;refID=7118654&amp;Result=3","7118654")</f>
        <v>0</v>
      </c>
      <c r="B14781" t="s">
        <v>1753</v>
      </c>
      <c r="C14781" t="s">
        <v>17897</v>
      </c>
      <c r="D14781" t="s">
        <v>19104</v>
      </c>
      <c r="E14781" t="s">
        <v>31777</v>
      </c>
      <c r="F14781" t="s">
        <v>32831</v>
      </c>
      <c r="G14781" t="s">
        <v>32839</v>
      </c>
      <c r="H14781" t="s">
        <v>32849</v>
      </c>
      <c r="I14781" t="s">
        <v>4177</v>
      </c>
      <c r="J14781" t="s">
        <v>42001</v>
      </c>
      <c r="K14781" t="s">
        <v>42818</v>
      </c>
      <c r="M14781" t="s">
        <v>44877</v>
      </c>
      <c r="N14781" t="s">
        <v>47424</v>
      </c>
      <c r="O14781" t="s">
        <v>47425</v>
      </c>
      <c r="P14781">
        <v>0</v>
      </c>
      <c r="Q14781">
        <v>0</v>
      </c>
      <c r="R14781" t="s">
        <v>47447</v>
      </c>
      <c r="S14781" t="s">
        <v>48494</v>
      </c>
      <c r="T14781" t="s">
        <v>49111</v>
      </c>
      <c r="U14781" t="s">
        <v>61680</v>
      </c>
      <c r="W14781" t="s">
        <v>44877</v>
      </c>
      <c r="X14781" t="s">
        <v>47451</v>
      </c>
    </row>
    <row r="14782" spans="1:24">
      <c r="A14782">
        <f>HYPERLINK("https://www.philgeps.gov.ph/GEPSNONPILOT/Tender/SplashBidNoticeAbstractUI.aspx?menuIndex=3&amp;refID=7118640&amp;Result=3","7118640")</f>
        <v>0</v>
      </c>
      <c r="B14782" t="s">
        <v>3851</v>
      </c>
      <c r="C14782" t="s">
        <v>17898</v>
      </c>
      <c r="D14782" t="s">
        <v>19082</v>
      </c>
      <c r="E14782" t="s">
        <v>31778</v>
      </c>
      <c r="F14782" t="s">
        <v>32831</v>
      </c>
      <c r="G14782" t="s">
        <v>32839</v>
      </c>
      <c r="H14782" t="s">
        <v>32849</v>
      </c>
      <c r="I14782" t="s">
        <v>4177</v>
      </c>
      <c r="J14782" t="s">
        <v>33208</v>
      </c>
      <c r="K14782" t="s">
        <v>42745</v>
      </c>
      <c r="M14782" t="s">
        <v>47284</v>
      </c>
      <c r="N14782" t="s">
        <v>47424</v>
      </c>
      <c r="O14782" t="s">
        <v>47425</v>
      </c>
      <c r="P14782">
        <v>0</v>
      </c>
      <c r="Q14782">
        <v>0</v>
      </c>
      <c r="R14782" t="s">
        <v>47447</v>
      </c>
      <c r="S14782" t="s">
        <v>48494</v>
      </c>
      <c r="T14782" t="s">
        <v>49662</v>
      </c>
      <c r="U14782" t="s">
        <v>61681</v>
      </c>
      <c r="W14782" t="s">
        <v>47284</v>
      </c>
      <c r="X14782" t="s">
        <v>47451</v>
      </c>
    </row>
    <row r="14783" spans="1:24">
      <c r="A14783">
        <f>HYPERLINK("https://www.philgeps.gov.ph/GEPSNONPILOT/Tender/SplashBidNoticeAbstractUI.aspx?menuIndex=3&amp;refID=7118623&amp;Result=3","7118623")</f>
        <v>0</v>
      </c>
      <c r="B14783" t="s">
        <v>1753</v>
      </c>
      <c r="C14783" t="s">
        <v>17899</v>
      </c>
      <c r="D14783" t="s">
        <v>19104</v>
      </c>
      <c r="E14783" t="s">
        <v>31779</v>
      </c>
      <c r="F14783" t="s">
        <v>32831</v>
      </c>
      <c r="G14783" t="s">
        <v>32839</v>
      </c>
      <c r="H14783" t="s">
        <v>32849</v>
      </c>
      <c r="I14783" t="s">
        <v>4177</v>
      </c>
      <c r="J14783" t="s">
        <v>42002</v>
      </c>
      <c r="K14783" t="s">
        <v>42729</v>
      </c>
      <c r="M14783" t="s">
        <v>44877</v>
      </c>
      <c r="N14783" t="s">
        <v>47424</v>
      </c>
      <c r="O14783" t="s">
        <v>47425</v>
      </c>
      <c r="P14783">
        <v>0</v>
      </c>
      <c r="Q14783">
        <v>0</v>
      </c>
      <c r="R14783" t="s">
        <v>47447</v>
      </c>
      <c r="S14783" t="s">
        <v>48494</v>
      </c>
      <c r="T14783" t="s">
        <v>49111</v>
      </c>
      <c r="U14783" t="s">
        <v>61682</v>
      </c>
      <c r="W14783" t="s">
        <v>44877</v>
      </c>
      <c r="X14783" t="s">
        <v>47451</v>
      </c>
    </row>
    <row r="14784" spans="1:24">
      <c r="A14784">
        <f>HYPERLINK("https://www.philgeps.gov.ph/GEPSNONPILOT/Tender/SplashBidNoticeAbstractUI.aspx?menuIndex=3&amp;refID=7118557&amp;Result=3","7118557")</f>
        <v>0</v>
      </c>
      <c r="B14784" t="s">
        <v>1753</v>
      </c>
      <c r="C14784" t="s">
        <v>17900</v>
      </c>
      <c r="D14784" t="s">
        <v>19104</v>
      </c>
      <c r="E14784" t="s">
        <v>31780</v>
      </c>
      <c r="F14784" t="s">
        <v>32831</v>
      </c>
      <c r="G14784" t="s">
        <v>32839</v>
      </c>
      <c r="H14784" t="s">
        <v>32849</v>
      </c>
      <c r="I14784" t="s">
        <v>4177</v>
      </c>
      <c r="J14784" t="s">
        <v>42003</v>
      </c>
      <c r="K14784" t="s">
        <v>42912</v>
      </c>
      <c r="M14784" t="s">
        <v>44877</v>
      </c>
      <c r="N14784" t="s">
        <v>47424</v>
      </c>
      <c r="O14784" t="s">
        <v>47425</v>
      </c>
      <c r="P14784">
        <v>0</v>
      </c>
      <c r="Q14784">
        <v>0</v>
      </c>
      <c r="R14784" t="s">
        <v>47447</v>
      </c>
      <c r="S14784" t="s">
        <v>48494</v>
      </c>
      <c r="T14784" t="s">
        <v>49111</v>
      </c>
      <c r="U14784" t="s">
        <v>61683</v>
      </c>
      <c r="W14784" t="s">
        <v>44877</v>
      </c>
      <c r="X14784" t="s">
        <v>47451</v>
      </c>
    </row>
    <row r="14785" spans="1:24">
      <c r="A14785">
        <f>HYPERLINK("https://www.philgeps.gov.ph/GEPSNONPILOT/Tender/SplashBidNoticeAbstractUI.aspx?menuIndex=3&amp;refID=7114351&amp;Result=3","7114351")</f>
        <v>0</v>
      </c>
      <c r="B14785" t="s">
        <v>2320</v>
      </c>
      <c r="C14785" t="s">
        <v>17901</v>
      </c>
      <c r="D14785" t="s">
        <v>19034</v>
      </c>
      <c r="E14785" t="s">
        <v>31781</v>
      </c>
      <c r="F14785" t="s">
        <v>32831</v>
      </c>
      <c r="G14785" t="s">
        <v>32839</v>
      </c>
      <c r="H14785" t="s">
        <v>32848</v>
      </c>
      <c r="I14785" t="s">
        <v>9281</v>
      </c>
      <c r="J14785" t="s">
        <v>33118</v>
      </c>
      <c r="K14785" t="s">
        <v>42730</v>
      </c>
      <c r="M14785" t="s">
        <v>45505</v>
      </c>
      <c r="N14785" t="s">
        <v>47424</v>
      </c>
      <c r="O14785" t="s">
        <v>47425</v>
      </c>
      <c r="Q14785">
        <v>5</v>
      </c>
      <c r="R14785" t="s">
        <v>47447</v>
      </c>
      <c r="S14785" t="s">
        <v>48504</v>
      </c>
      <c r="T14785" t="s">
        <v>49237</v>
      </c>
      <c r="U14785" t="s">
        <v>61684</v>
      </c>
      <c r="V14785" t="s">
        <v>64309</v>
      </c>
      <c r="W14785" t="s">
        <v>45505</v>
      </c>
      <c r="X14785" t="s">
        <v>47452</v>
      </c>
    </row>
    <row r="14786" spans="1:24">
      <c r="A14786">
        <f>HYPERLINK("https://www.philgeps.gov.ph/GEPSNONPILOT/Tender/SplashBidNoticeAbstractUI.aspx?menuIndex=3&amp;refID=7118178&amp;Result=3","7118178")</f>
        <v>0</v>
      </c>
      <c r="B14786" t="s">
        <v>342</v>
      </c>
      <c r="C14786" t="s">
        <v>17902</v>
      </c>
      <c r="D14786" t="s">
        <v>19047</v>
      </c>
      <c r="E14786" t="s">
        <v>31782</v>
      </c>
      <c r="F14786" t="s">
        <v>32831</v>
      </c>
      <c r="G14786" t="s">
        <v>32839</v>
      </c>
      <c r="H14786" t="s">
        <v>32848</v>
      </c>
      <c r="I14786" t="s">
        <v>32874</v>
      </c>
      <c r="J14786" t="s">
        <v>42004</v>
      </c>
      <c r="K14786" t="s">
        <v>42731</v>
      </c>
      <c r="M14786" t="s">
        <v>43345</v>
      </c>
      <c r="N14786" t="s">
        <v>47424</v>
      </c>
      <c r="O14786" t="s">
        <v>47425</v>
      </c>
      <c r="P14786">
        <v>0</v>
      </c>
      <c r="Q14786">
        <v>9</v>
      </c>
      <c r="R14786" t="s">
        <v>47447</v>
      </c>
      <c r="S14786" t="s">
        <v>48494</v>
      </c>
      <c r="T14786" t="s">
        <v>49214</v>
      </c>
      <c r="U14786" t="s">
        <v>61685</v>
      </c>
      <c r="W14786" t="s">
        <v>64530</v>
      </c>
      <c r="X14786" t="s">
        <v>47451</v>
      </c>
    </row>
    <row r="14787" spans="1:24">
      <c r="A14787">
        <f>HYPERLINK("https://www.philgeps.gov.ph/GEPSNONPILOT/Tender/SplashBidNoticeAbstractUI.aspx?menuIndex=3&amp;refID=7118503&amp;Result=3","7118503")</f>
        <v>0</v>
      </c>
      <c r="B14787" t="s">
        <v>1753</v>
      </c>
      <c r="C14787" t="s">
        <v>17903</v>
      </c>
      <c r="D14787" t="s">
        <v>19104</v>
      </c>
      <c r="E14787" t="s">
        <v>31783</v>
      </c>
      <c r="F14787" t="s">
        <v>32831</v>
      </c>
      <c r="G14787" t="s">
        <v>32839</v>
      </c>
      <c r="H14787" t="s">
        <v>32849</v>
      </c>
      <c r="I14787" t="s">
        <v>4177</v>
      </c>
      <c r="J14787" t="s">
        <v>42005</v>
      </c>
      <c r="K14787" t="s">
        <v>42832</v>
      </c>
      <c r="M14787" t="s">
        <v>44877</v>
      </c>
      <c r="N14787" t="s">
        <v>47424</v>
      </c>
      <c r="O14787" t="s">
        <v>47425</v>
      </c>
      <c r="P14787">
        <v>0</v>
      </c>
      <c r="Q14787">
        <v>1</v>
      </c>
      <c r="R14787" t="s">
        <v>47447</v>
      </c>
      <c r="S14787" t="s">
        <v>48494</v>
      </c>
      <c r="T14787" t="s">
        <v>49111</v>
      </c>
      <c r="U14787" t="s">
        <v>61686</v>
      </c>
      <c r="W14787" t="s">
        <v>44877</v>
      </c>
      <c r="X14787" t="s">
        <v>47451</v>
      </c>
    </row>
    <row r="14788" spans="1:24">
      <c r="A14788">
        <f>HYPERLINK("https://www.philgeps.gov.ph/GEPSNONPILOT/Tender/SplashBidNoticeAbstractUI.aspx?menuIndex=3&amp;refID=7120138&amp;Result=3","7120138")</f>
        <v>0</v>
      </c>
      <c r="B14788" t="s">
        <v>2170</v>
      </c>
      <c r="C14788" t="s">
        <v>17904</v>
      </c>
      <c r="D14788" t="s">
        <v>19066</v>
      </c>
      <c r="E14788" t="s">
        <v>31784</v>
      </c>
      <c r="F14788" t="s">
        <v>32831</v>
      </c>
      <c r="G14788" t="s">
        <v>32839</v>
      </c>
      <c r="H14788" t="s">
        <v>32848</v>
      </c>
      <c r="I14788" t="s">
        <v>7416</v>
      </c>
      <c r="J14788" t="s">
        <v>42006</v>
      </c>
      <c r="K14788" t="s">
        <v>42726</v>
      </c>
      <c r="M14788" t="s">
        <v>45348</v>
      </c>
      <c r="N14788" t="s">
        <v>47424</v>
      </c>
      <c r="O14788" t="s">
        <v>47425</v>
      </c>
      <c r="P14788">
        <v>0</v>
      </c>
      <c r="Q14788">
        <v>2</v>
      </c>
      <c r="R14788" t="s">
        <v>47447</v>
      </c>
      <c r="S14788" t="s">
        <v>48494</v>
      </c>
      <c r="T14788" t="s">
        <v>49111</v>
      </c>
      <c r="U14788" t="s">
        <v>61687</v>
      </c>
      <c r="W14788" t="s">
        <v>45348</v>
      </c>
      <c r="X14788" t="s">
        <v>47448</v>
      </c>
    </row>
    <row r="14789" spans="1:24">
      <c r="A14789">
        <f>HYPERLINK("https://www.philgeps.gov.ph/GEPSNONPILOT/Tender/SplashBidNoticeAbstractUI.aspx?menuIndex=3&amp;refID=7120124&amp;Result=3","7120124")</f>
        <v>0</v>
      </c>
      <c r="B14789" t="s">
        <v>1753</v>
      </c>
      <c r="C14789" t="s">
        <v>17905</v>
      </c>
      <c r="D14789" t="s">
        <v>19104</v>
      </c>
      <c r="E14789" t="s">
        <v>31785</v>
      </c>
      <c r="F14789" t="s">
        <v>32831</v>
      </c>
      <c r="G14789" t="s">
        <v>32839</v>
      </c>
      <c r="H14789" t="s">
        <v>32849</v>
      </c>
      <c r="I14789" t="s">
        <v>4177</v>
      </c>
      <c r="J14789" t="s">
        <v>42007</v>
      </c>
      <c r="K14789" t="s">
        <v>42766</v>
      </c>
      <c r="M14789" t="s">
        <v>44877</v>
      </c>
      <c r="N14789" t="s">
        <v>47424</v>
      </c>
      <c r="O14789" t="s">
        <v>47425</v>
      </c>
      <c r="P14789">
        <v>0</v>
      </c>
      <c r="Q14789">
        <v>0</v>
      </c>
      <c r="R14789" t="s">
        <v>47447</v>
      </c>
      <c r="S14789" t="s">
        <v>48494</v>
      </c>
      <c r="T14789" t="s">
        <v>49111</v>
      </c>
      <c r="U14789" t="s">
        <v>61688</v>
      </c>
      <c r="W14789" t="s">
        <v>44877</v>
      </c>
      <c r="X14789" t="s">
        <v>47448</v>
      </c>
    </row>
    <row r="14790" spans="1:24">
      <c r="A14790">
        <f>HYPERLINK("https://www.philgeps.gov.ph/GEPSNONPILOT/Tender/SplashBidNoticeAbstractUI.aspx?menuIndex=3&amp;refID=7118582&amp;Result=3","7118582")</f>
        <v>0</v>
      </c>
      <c r="B14790" t="s">
        <v>1753</v>
      </c>
      <c r="C14790" t="s">
        <v>17906</v>
      </c>
      <c r="D14790" t="s">
        <v>19104</v>
      </c>
      <c r="E14790" t="s">
        <v>31786</v>
      </c>
      <c r="F14790" t="s">
        <v>32831</v>
      </c>
      <c r="G14790" t="s">
        <v>32839</v>
      </c>
      <c r="H14790" t="s">
        <v>32849</v>
      </c>
      <c r="I14790" t="s">
        <v>4177</v>
      </c>
      <c r="J14790" t="s">
        <v>42008</v>
      </c>
      <c r="K14790" t="s">
        <v>42746</v>
      </c>
      <c r="M14790" t="s">
        <v>44877</v>
      </c>
      <c r="N14790" t="s">
        <v>47424</v>
      </c>
      <c r="O14790" t="s">
        <v>47425</v>
      </c>
      <c r="P14790">
        <v>0</v>
      </c>
      <c r="Q14790">
        <v>0</v>
      </c>
      <c r="R14790" t="s">
        <v>47447</v>
      </c>
      <c r="S14790" t="s">
        <v>48494</v>
      </c>
      <c r="T14790" t="s">
        <v>49235</v>
      </c>
      <c r="U14790" t="s">
        <v>61689</v>
      </c>
      <c r="W14790" t="s">
        <v>44877</v>
      </c>
      <c r="X14790" t="s">
        <v>47451</v>
      </c>
    </row>
    <row r="14791" spans="1:24">
      <c r="A14791">
        <f>HYPERLINK("https://www.philgeps.gov.ph/GEPSNONPILOT/Tender/SplashBidNoticeAbstractUI.aspx?menuIndex=3&amp;refID=7120122&amp;Result=3","7120122")</f>
        <v>0</v>
      </c>
      <c r="B14791" t="s">
        <v>569</v>
      </c>
      <c r="C14791" t="s">
        <v>17907</v>
      </c>
      <c r="D14791" t="s">
        <v>19056</v>
      </c>
      <c r="E14791" t="s">
        <v>31787</v>
      </c>
      <c r="F14791" t="s">
        <v>32831</v>
      </c>
      <c r="G14791" t="s">
        <v>32839</v>
      </c>
      <c r="H14791" t="s">
        <v>32849</v>
      </c>
      <c r="I14791" t="s">
        <v>4177</v>
      </c>
      <c r="J14791" t="s">
        <v>33528</v>
      </c>
      <c r="K14791" t="s">
        <v>42732</v>
      </c>
      <c r="M14791" t="s">
        <v>45296</v>
      </c>
      <c r="N14791" t="s">
        <v>47424</v>
      </c>
      <c r="O14791" t="s">
        <v>47425</v>
      </c>
      <c r="P14791">
        <v>0</v>
      </c>
      <c r="Q14791">
        <v>0</v>
      </c>
      <c r="R14791" t="s">
        <v>47447</v>
      </c>
      <c r="S14791" t="s">
        <v>48494</v>
      </c>
      <c r="T14791" t="s">
        <v>49237</v>
      </c>
      <c r="U14791" t="s">
        <v>61690</v>
      </c>
      <c r="W14791" t="s">
        <v>45296</v>
      </c>
      <c r="X14791" t="s">
        <v>47448</v>
      </c>
    </row>
    <row r="14792" spans="1:24">
      <c r="A14792">
        <f>HYPERLINK("https://www.philgeps.gov.ph/GEPSNONPILOT/Tender/SplashBidNoticeAbstractUI.aspx?menuIndex=3&amp;refID=7118619&amp;Result=3","7118619")</f>
        <v>0</v>
      </c>
      <c r="B14792" t="s">
        <v>1823</v>
      </c>
      <c r="C14792" t="s">
        <v>17908</v>
      </c>
      <c r="D14792" t="s">
        <v>19100</v>
      </c>
      <c r="E14792" t="s">
        <v>31788</v>
      </c>
      <c r="F14792" t="s">
        <v>32831</v>
      </c>
      <c r="G14792" t="s">
        <v>32839</v>
      </c>
      <c r="H14792" t="s">
        <v>32848</v>
      </c>
      <c r="I14792" t="s">
        <v>7751</v>
      </c>
      <c r="J14792" t="s">
        <v>42009</v>
      </c>
      <c r="K14792" t="s">
        <v>42770</v>
      </c>
      <c r="M14792" t="s">
        <v>46219</v>
      </c>
      <c r="N14792" t="s">
        <v>47424</v>
      </c>
      <c r="O14792" t="s">
        <v>47425</v>
      </c>
      <c r="P14792">
        <v>0</v>
      </c>
      <c r="Q14792">
        <v>4</v>
      </c>
      <c r="R14792" t="s">
        <v>47447</v>
      </c>
      <c r="S14792" t="s">
        <v>48494</v>
      </c>
      <c r="T14792" t="s">
        <v>49243</v>
      </c>
      <c r="U14792" t="s">
        <v>61691</v>
      </c>
      <c r="W14792" t="s">
        <v>64529</v>
      </c>
      <c r="X14792" t="s">
        <v>47451</v>
      </c>
    </row>
    <row r="14793" spans="1:24">
      <c r="A14793">
        <f>HYPERLINK("https://www.philgeps.gov.ph/GEPSNONPILOT/Tender/SplashBidNoticeAbstractUI.aspx?menuIndex=3&amp;refID=7120117&amp;Result=3","7120117")</f>
        <v>0</v>
      </c>
      <c r="B14793" t="s">
        <v>569</v>
      </c>
      <c r="C14793" t="s">
        <v>17909</v>
      </c>
      <c r="D14793" t="s">
        <v>19056</v>
      </c>
      <c r="E14793" t="s">
        <v>31789</v>
      </c>
      <c r="F14793" t="s">
        <v>32831</v>
      </c>
      <c r="G14793" t="s">
        <v>32839</v>
      </c>
      <c r="H14793" t="s">
        <v>32849</v>
      </c>
      <c r="I14793" t="s">
        <v>4177</v>
      </c>
      <c r="J14793" t="s">
        <v>33528</v>
      </c>
      <c r="K14793" t="s">
        <v>42732</v>
      </c>
      <c r="M14793" t="s">
        <v>45296</v>
      </c>
      <c r="N14793" t="s">
        <v>47424</v>
      </c>
      <c r="O14793" t="s">
        <v>47425</v>
      </c>
      <c r="P14793">
        <v>0</v>
      </c>
      <c r="Q14793">
        <v>0</v>
      </c>
      <c r="R14793" t="s">
        <v>47447</v>
      </c>
      <c r="S14793" t="s">
        <v>48494</v>
      </c>
      <c r="T14793" t="s">
        <v>49237</v>
      </c>
      <c r="U14793" t="s">
        <v>61692</v>
      </c>
      <c r="W14793" t="s">
        <v>45296</v>
      </c>
      <c r="X14793" t="s">
        <v>47448</v>
      </c>
    </row>
    <row r="14794" spans="1:24">
      <c r="A14794">
        <f>HYPERLINK("https://www.philgeps.gov.ph/GEPSNONPILOT/Tender/SplashBidNoticeAbstractUI.aspx?menuIndex=3&amp;refID=7126355&amp;Result=3","7126355")</f>
        <v>0</v>
      </c>
      <c r="B14794" t="s">
        <v>832</v>
      </c>
      <c r="C14794" t="s">
        <v>17910</v>
      </c>
      <c r="D14794" t="s">
        <v>19101</v>
      </c>
      <c r="E14794" t="s">
        <v>31790</v>
      </c>
      <c r="F14794" t="s">
        <v>32831</v>
      </c>
      <c r="G14794" t="s">
        <v>32839</v>
      </c>
      <c r="H14794" t="s">
        <v>32848</v>
      </c>
      <c r="I14794" t="s">
        <v>32914</v>
      </c>
      <c r="J14794" t="s">
        <v>42010</v>
      </c>
      <c r="K14794" t="s">
        <v>42729</v>
      </c>
      <c r="M14794" t="s">
        <v>44445</v>
      </c>
      <c r="N14794" t="s">
        <v>47424</v>
      </c>
      <c r="O14794" t="s">
        <v>47425</v>
      </c>
      <c r="Q14794">
        <v>11</v>
      </c>
      <c r="R14794" t="s">
        <v>47446</v>
      </c>
      <c r="S14794" t="s">
        <v>48505</v>
      </c>
      <c r="T14794" t="s">
        <v>49135</v>
      </c>
      <c r="U14794" t="s">
        <v>61663</v>
      </c>
      <c r="V14794" t="s">
        <v>64305</v>
      </c>
      <c r="W14794" t="s">
        <v>44445</v>
      </c>
      <c r="X14794" t="s">
        <v>47447</v>
      </c>
    </row>
    <row r="14795" spans="1:24">
      <c r="A14795">
        <f>HYPERLINK("https://www.philgeps.gov.ph/GEPSNONPILOT/Tender/SplashBidNoticeAbstractUI.aspx?menuIndex=3&amp;refID=7120112&amp;Result=3","7120112")</f>
        <v>0</v>
      </c>
      <c r="B14795" t="s">
        <v>569</v>
      </c>
      <c r="C14795" t="s">
        <v>17911</v>
      </c>
      <c r="D14795" t="s">
        <v>19056</v>
      </c>
      <c r="E14795" t="s">
        <v>31791</v>
      </c>
      <c r="F14795" t="s">
        <v>32831</v>
      </c>
      <c r="G14795" t="s">
        <v>32839</v>
      </c>
      <c r="H14795" t="s">
        <v>32849</v>
      </c>
      <c r="I14795" t="s">
        <v>4177</v>
      </c>
      <c r="J14795" t="s">
        <v>39274</v>
      </c>
      <c r="K14795" t="s">
        <v>42732</v>
      </c>
      <c r="M14795" t="s">
        <v>45296</v>
      </c>
      <c r="N14795" t="s">
        <v>47424</v>
      </c>
      <c r="O14795" t="s">
        <v>47425</v>
      </c>
      <c r="P14795">
        <v>0</v>
      </c>
      <c r="Q14795">
        <v>0</v>
      </c>
      <c r="R14795" t="s">
        <v>47447</v>
      </c>
      <c r="S14795" t="s">
        <v>48494</v>
      </c>
      <c r="T14795" t="s">
        <v>49237</v>
      </c>
      <c r="U14795" t="s">
        <v>61693</v>
      </c>
      <c r="W14795" t="s">
        <v>45296</v>
      </c>
      <c r="X14795" t="s">
        <v>47448</v>
      </c>
    </row>
    <row r="14796" spans="1:24">
      <c r="A14796">
        <f>HYPERLINK("https://www.philgeps.gov.ph/GEPSNONPILOT/Tender/SplashBidNoticeAbstractUI.aspx?menuIndex=3&amp;refID=7120107&amp;Result=3","7120107")</f>
        <v>0</v>
      </c>
      <c r="B14796" t="s">
        <v>569</v>
      </c>
      <c r="C14796" t="s">
        <v>17912</v>
      </c>
      <c r="D14796" t="s">
        <v>19056</v>
      </c>
      <c r="E14796" t="s">
        <v>31792</v>
      </c>
      <c r="F14796" t="s">
        <v>32831</v>
      </c>
      <c r="G14796" t="s">
        <v>32839</v>
      </c>
      <c r="H14796" t="s">
        <v>32849</v>
      </c>
      <c r="I14796" t="s">
        <v>4177</v>
      </c>
      <c r="J14796" t="s">
        <v>42011</v>
      </c>
      <c r="K14796" t="s">
        <v>42732</v>
      </c>
      <c r="M14796" t="s">
        <v>45296</v>
      </c>
      <c r="N14796" t="s">
        <v>47424</v>
      </c>
      <c r="O14796" t="s">
        <v>47425</v>
      </c>
      <c r="P14796">
        <v>0</v>
      </c>
      <c r="Q14796">
        <v>0</v>
      </c>
      <c r="R14796" t="s">
        <v>47447</v>
      </c>
      <c r="S14796" t="s">
        <v>48494</v>
      </c>
      <c r="T14796" t="s">
        <v>49237</v>
      </c>
      <c r="U14796" t="s">
        <v>61694</v>
      </c>
      <c r="W14796" t="s">
        <v>45296</v>
      </c>
      <c r="X14796" t="s">
        <v>47448</v>
      </c>
    </row>
    <row r="14797" spans="1:24">
      <c r="A14797">
        <f>HYPERLINK("https://www.philgeps.gov.ph/GEPSNONPILOT/Tender/SplashBidNoticeAbstractUI.aspx?menuIndex=3&amp;refID=7120098&amp;Result=3","7120098")</f>
        <v>0</v>
      </c>
      <c r="B14797" t="s">
        <v>127</v>
      </c>
      <c r="C14797" t="s">
        <v>17913</v>
      </c>
      <c r="D14797" t="s">
        <v>19038</v>
      </c>
      <c r="E14797" t="s">
        <v>31793</v>
      </c>
      <c r="F14797" t="s">
        <v>32831</v>
      </c>
      <c r="G14797" t="s">
        <v>32839</v>
      </c>
      <c r="H14797" t="s">
        <v>32848</v>
      </c>
      <c r="I14797" t="s">
        <v>7751</v>
      </c>
      <c r="J14797" t="s">
        <v>33083</v>
      </c>
      <c r="K14797" t="s">
        <v>42730</v>
      </c>
      <c r="M14797" t="s">
        <v>43124</v>
      </c>
      <c r="N14797" t="s">
        <v>47424</v>
      </c>
      <c r="O14797" t="s">
        <v>47425</v>
      </c>
      <c r="P14797">
        <v>0</v>
      </c>
      <c r="Q14797">
        <v>6</v>
      </c>
      <c r="R14797" t="s">
        <v>47447</v>
      </c>
      <c r="S14797" t="s">
        <v>48494</v>
      </c>
      <c r="T14797" t="s">
        <v>49111</v>
      </c>
      <c r="U14797" t="s">
        <v>61695</v>
      </c>
      <c r="V14797" t="s">
        <v>62748</v>
      </c>
      <c r="W14797" t="s">
        <v>43124</v>
      </c>
      <c r="X14797" t="s">
        <v>47448</v>
      </c>
    </row>
    <row r="14798" spans="1:24">
      <c r="A14798">
        <f>HYPERLINK("https://www.philgeps.gov.ph/GEPSNONPILOT/Tender/SplashBidNoticeAbstractUI.aspx?menuIndex=3&amp;refID=7119974&amp;Result=3","7119974")</f>
        <v>0</v>
      </c>
      <c r="B14798" t="s">
        <v>3852</v>
      </c>
      <c r="C14798" t="s">
        <v>17914</v>
      </c>
      <c r="D14798" t="s">
        <v>19017</v>
      </c>
      <c r="E14798" t="s">
        <v>31794</v>
      </c>
      <c r="F14798" t="s">
        <v>32831</v>
      </c>
      <c r="G14798" t="s">
        <v>32839</v>
      </c>
      <c r="H14798" t="s">
        <v>32849</v>
      </c>
      <c r="I14798" t="s">
        <v>4177</v>
      </c>
      <c r="J14798" t="s">
        <v>42012</v>
      </c>
      <c r="K14798" t="s">
        <v>42789</v>
      </c>
      <c r="M14798" t="s">
        <v>47285</v>
      </c>
      <c r="N14798" t="s">
        <v>47424</v>
      </c>
      <c r="O14798" t="s">
        <v>47425</v>
      </c>
      <c r="Q14798">
        <v>12</v>
      </c>
      <c r="R14798" t="s">
        <v>47447</v>
      </c>
      <c r="S14798" t="s">
        <v>48506</v>
      </c>
      <c r="T14798" t="s">
        <v>49192</v>
      </c>
      <c r="U14798" t="s">
        <v>61696</v>
      </c>
      <c r="W14798" t="s">
        <v>47285</v>
      </c>
      <c r="X14798" t="s">
        <v>47449</v>
      </c>
    </row>
    <row r="14799" spans="1:24">
      <c r="A14799">
        <f>HYPERLINK("https://www.philgeps.gov.ph/GEPSNONPILOT/Tender/SplashBidNoticeAbstractUI.aspx?menuIndex=3&amp;refID=7119829&amp;Result=3","7119829")</f>
        <v>0</v>
      </c>
      <c r="B14799" t="s">
        <v>1684</v>
      </c>
      <c r="C14799" t="s">
        <v>17915</v>
      </c>
      <c r="D14799" t="s">
        <v>19022</v>
      </c>
      <c r="E14799" t="s">
        <v>31795</v>
      </c>
      <c r="F14799" t="s">
        <v>32831</v>
      </c>
      <c r="G14799" t="s">
        <v>32839</v>
      </c>
      <c r="H14799" t="s">
        <v>32848</v>
      </c>
      <c r="I14799" t="s">
        <v>32851</v>
      </c>
      <c r="J14799" t="s">
        <v>34447</v>
      </c>
      <c r="K14799" t="s">
        <v>42729</v>
      </c>
      <c r="M14799" t="s">
        <v>47257</v>
      </c>
      <c r="N14799" t="s">
        <v>47424</v>
      </c>
      <c r="O14799" t="s">
        <v>47425</v>
      </c>
      <c r="Q14799">
        <v>17</v>
      </c>
      <c r="R14799" t="s">
        <v>47447</v>
      </c>
      <c r="S14799" t="s">
        <v>48507</v>
      </c>
      <c r="T14799" t="s">
        <v>49243</v>
      </c>
      <c r="U14799" t="s">
        <v>61697</v>
      </c>
      <c r="W14799" t="s">
        <v>47257</v>
      </c>
      <c r="X14799" t="s">
        <v>47449</v>
      </c>
    </row>
    <row r="14800" spans="1:24">
      <c r="A14800">
        <f>HYPERLINK("https://www.philgeps.gov.ph/GEPSNONPILOT/Tender/SplashBidNoticeAbstractUI.aspx?menuIndex=3&amp;refID=7120135&amp;Result=3","7120135")</f>
        <v>0</v>
      </c>
      <c r="B14800" t="s">
        <v>1753</v>
      </c>
      <c r="C14800" t="s">
        <v>17916</v>
      </c>
      <c r="D14800" t="s">
        <v>19104</v>
      </c>
      <c r="E14800" t="s">
        <v>31796</v>
      </c>
      <c r="F14800" t="s">
        <v>32831</v>
      </c>
      <c r="G14800" t="s">
        <v>32839</v>
      </c>
      <c r="H14800" t="s">
        <v>32849</v>
      </c>
      <c r="I14800" t="s">
        <v>4177</v>
      </c>
      <c r="J14800" t="s">
        <v>33528</v>
      </c>
      <c r="K14800" t="s">
        <v>42818</v>
      </c>
      <c r="M14800" t="s">
        <v>44877</v>
      </c>
      <c r="N14800" t="s">
        <v>47424</v>
      </c>
      <c r="O14800" t="s">
        <v>47425</v>
      </c>
      <c r="P14800">
        <v>0</v>
      </c>
      <c r="Q14800">
        <v>1</v>
      </c>
      <c r="R14800" t="s">
        <v>47447</v>
      </c>
      <c r="S14800" t="s">
        <v>48494</v>
      </c>
      <c r="T14800" t="s">
        <v>49111</v>
      </c>
      <c r="U14800" t="s">
        <v>61698</v>
      </c>
      <c r="W14800" t="s">
        <v>44877</v>
      </c>
      <c r="X14800" t="s">
        <v>47448</v>
      </c>
    </row>
    <row r="14801" spans="1:24">
      <c r="A14801">
        <f>HYPERLINK("https://www.philgeps.gov.ph/GEPSNONPILOT/Tender/SplashBidNoticeAbstractUI.aspx?menuIndex=3&amp;refID=7119666&amp;Result=3","7119666")</f>
        <v>0</v>
      </c>
      <c r="B14801" t="s">
        <v>3592</v>
      </c>
      <c r="C14801" t="s">
        <v>17917</v>
      </c>
      <c r="D14801" t="s">
        <v>19017</v>
      </c>
      <c r="E14801" t="s">
        <v>31797</v>
      </c>
      <c r="F14801" t="s">
        <v>32831</v>
      </c>
      <c r="G14801" t="s">
        <v>32839</v>
      </c>
      <c r="H14801" t="s">
        <v>32848</v>
      </c>
      <c r="I14801" t="s">
        <v>4487</v>
      </c>
      <c r="J14801" t="s">
        <v>33297</v>
      </c>
      <c r="K14801" t="s">
        <v>42775</v>
      </c>
      <c r="M14801" t="s">
        <v>47286</v>
      </c>
      <c r="N14801" t="s">
        <v>47424</v>
      </c>
      <c r="O14801" t="s">
        <v>47425</v>
      </c>
      <c r="Q14801">
        <v>17</v>
      </c>
      <c r="R14801" t="s">
        <v>47447</v>
      </c>
      <c r="S14801" t="s">
        <v>48508</v>
      </c>
      <c r="T14801" t="s">
        <v>49114</v>
      </c>
      <c r="U14801" t="s">
        <v>61699</v>
      </c>
      <c r="V14801" t="s">
        <v>64310</v>
      </c>
      <c r="W14801" t="s">
        <v>47286</v>
      </c>
      <c r="X14801" t="s">
        <v>47450</v>
      </c>
    </row>
    <row r="14802" spans="1:24">
      <c r="A14802">
        <f>HYPERLINK("https://www.philgeps.gov.ph/GEPSNONPILOT/Tender/SplashBidNoticeAbstractUI.aspx?menuIndex=3&amp;refID=7120120&amp;Result=3","7120120")</f>
        <v>0</v>
      </c>
      <c r="B14802" t="s">
        <v>569</v>
      </c>
      <c r="C14802" t="s">
        <v>17918</v>
      </c>
      <c r="D14802" t="s">
        <v>19056</v>
      </c>
      <c r="E14802" t="s">
        <v>31798</v>
      </c>
      <c r="F14802" t="s">
        <v>32831</v>
      </c>
      <c r="G14802" t="s">
        <v>32839</v>
      </c>
      <c r="H14802" t="s">
        <v>32849</v>
      </c>
      <c r="I14802" t="s">
        <v>4177</v>
      </c>
      <c r="J14802" t="s">
        <v>33528</v>
      </c>
      <c r="K14802" t="s">
        <v>42732</v>
      </c>
      <c r="M14802" t="s">
        <v>45296</v>
      </c>
      <c r="N14802" t="s">
        <v>47424</v>
      </c>
      <c r="O14802" t="s">
        <v>47425</v>
      </c>
      <c r="P14802">
        <v>0</v>
      </c>
      <c r="Q14802">
        <v>0</v>
      </c>
      <c r="R14802" t="s">
        <v>47447</v>
      </c>
      <c r="S14802" t="s">
        <v>48494</v>
      </c>
      <c r="T14802" t="s">
        <v>49237</v>
      </c>
      <c r="U14802" t="s">
        <v>61700</v>
      </c>
      <c r="W14802" t="s">
        <v>45296</v>
      </c>
      <c r="X14802" t="s">
        <v>47448</v>
      </c>
    </row>
    <row r="14803" spans="1:24">
      <c r="A14803">
        <f>HYPERLINK("https://www.philgeps.gov.ph/GEPSNONPILOT/Tender/SplashBidNoticeAbstractUI.aspx?menuIndex=3&amp;refID=7120060&amp;Result=3","7120060")</f>
        <v>0</v>
      </c>
      <c r="B14803" t="s">
        <v>192</v>
      </c>
      <c r="C14803" t="s">
        <v>17919</v>
      </c>
      <c r="D14803" t="s">
        <v>19057</v>
      </c>
      <c r="E14803" t="s">
        <v>31799</v>
      </c>
      <c r="F14803" t="s">
        <v>32831</v>
      </c>
      <c r="G14803" t="s">
        <v>32839</v>
      </c>
      <c r="H14803" t="s">
        <v>32849</v>
      </c>
      <c r="I14803" t="s">
        <v>4177</v>
      </c>
      <c r="J14803" t="s">
        <v>42013</v>
      </c>
      <c r="K14803" t="s">
        <v>42729</v>
      </c>
      <c r="M14803" t="s">
        <v>43190</v>
      </c>
      <c r="N14803" t="s">
        <v>47424</v>
      </c>
      <c r="O14803" t="s">
        <v>47425</v>
      </c>
      <c r="P14803">
        <v>0</v>
      </c>
      <c r="Q14803">
        <v>4</v>
      </c>
      <c r="R14803" t="s">
        <v>47447</v>
      </c>
      <c r="S14803" t="s">
        <v>48494</v>
      </c>
      <c r="T14803" t="s">
        <v>49142</v>
      </c>
      <c r="U14803" t="s">
        <v>61701</v>
      </c>
      <c r="W14803" t="s">
        <v>43190</v>
      </c>
      <c r="X14803" t="s">
        <v>47448</v>
      </c>
    </row>
    <row r="14804" spans="1:24">
      <c r="A14804">
        <f>HYPERLINK("https://www.philgeps.gov.ph/GEPSNONPILOT/Tender/SplashBidNoticeAbstractUI.aspx?menuIndex=3&amp;refID=7119298&amp;Result=3","7119298")</f>
        <v>0</v>
      </c>
      <c r="B14804" t="s">
        <v>3592</v>
      </c>
      <c r="C14804" t="s">
        <v>17920</v>
      </c>
      <c r="D14804" t="s">
        <v>19017</v>
      </c>
      <c r="E14804" t="s">
        <v>31800</v>
      </c>
      <c r="F14804" t="s">
        <v>32831</v>
      </c>
      <c r="G14804" t="s">
        <v>32839</v>
      </c>
      <c r="H14804" t="s">
        <v>32848</v>
      </c>
      <c r="I14804" t="s">
        <v>4487</v>
      </c>
      <c r="J14804" t="s">
        <v>38910</v>
      </c>
      <c r="K14804" t="s">
        <v>42747</v>
      </c>
      <c r="M14804" t="s">
        <v>46956</v>
      </c>
      <c r="N14804" t="s">
        <v>47424</v>
      </c>
      <c r="O14804" t="s">
        <v>47425</v>
      </c>
      <c r="Q14804">
        <v>20</v>
      </c>
      <c r="R14804" t="s">
        <v>47447</v>
      </c>
      <c r="S14804" t="s">
        <v>48509</v>
      </c>
      <c r="T14804" t="s">
        <v>49081</v>
      </c>
      <c r="U14804" t="s">
        <v>61702</v>
      </c>
      <c r="V14804" t="s">
        <v>64311</v>
      </c>
      <c r="W14804" t="s">
        <v>46956</v>
      </c>
      <c r="X14804" t="s">
        <v>47450</v>
      </c>
    </row>
    <row r="14805" spans="1:24">
      <c r="A14805">
        <f>HYPERLINK("https://www.philgeps.gov.ph/GEPSNONPILOT/Tender/SplashBidNoticeAbstractUI.aspx?menuIndex=3&amp;refID=7119836&amp;Result=3","7119836")</f>
        <v>0</v>
      </c>
      <c r="B14805" t="s">
        <v>629</v>
      </c>
      <c r="C14805" t="s">
        <v>17921</v>
      </c>
      <c r="D14805" t="s">
        <v>19049</v>
      </c>
      <c r="E14805" t="s">
        <v>31801</v>
      </c>
      <c r="F14805" t="s">
        <v>32831</v>
      </c>
      <c r="G14805" t="s">
        <v>32839</v>
      </c>
      <c r="H14805" t="s">
        <v>32848</v>
      </c>
      <c r="I14805" t="s">
        <v>4558</v>
      </c>
      <c r="J14805" t="s">
        <v>32978</v>
      </c>
      <c r="K14805" t="s">
        <v>42731</v>
      </c>
      <c r="M14805" t="s">
        <v>43646</v>
      </c>
      <c r="N14805" t="s">
        <v>47424</v>
      </c>
      <c r="O14805" t="s">
        <v>47425</v>
      </c>
      <c r="P14805">
        <v>0</v>
      </c>
      <c r="Q14805">
        <v>1</v>
      </c>
      <c r="R14805" t="s">
        <v>47447</v>
      </c>
      <c r="S14805" t="s">
        <v>48494</v>
      </c>
      <c r="T14805" t="s">
        <v>49237</v>
      </c>
      <c r="U14805" t="s">
        <v>61703</v>
      </c>
      <c r="W14805" t="s">
        <v>43646</v>
      </c>
      <c r="X14805" t="s">
        <v>47449</v>
      </c>
    </row>
    <row r="14806" spans="1:24">
      <c r="A14806">
        <f>HYPERLINK("https://www.philgeps.gov.ph/GEPSNONPILOT/Tender/SplashBidNoticeAbstractUI.aspx?menuIndex=3&amp;refID=7118825&amp;Result=3","7118825")</f>
        <v>0</v>
      </c>
      <c r="B14806" t="s">
        <v>719</v>
      </c>
      <c r="C14806" t="s">
        <v>17922</v>
      </c>
      <c r="D14806" t="s">
        <v>19017</v>
      </c>
      <c r="E14806" t="s">
        <v>31802</v>
      </c>
      <c r="F14806" t="s">
        <v>32831</v>
      </c>
      <c r="G14806" t="s">
        <v>32839</v>
      </c>
      <c r="H14806" t="s">
        <v>32848</v>
      </c>
      <c r="I14806" t="s">
        <v>9577</v>
      </c>
      <c r="J14806" t="s">
        <v>42014</v>
      </c>
      <c r="K14806" t="s">
        <v>42732</v>
      </c>
      <c r="M14806" t="s">
        <v>46389</v>
      </c>
      <c r="N14806" t="s">
        <v>47424</v>
      </c>
      <c r="O14806" t="s">
        <v>47425</v>
      </c>
      <c r="Q14806">
        <v>5</v>
      </c>
      <c r="R14806" t="s">
        <v>47447</v>
      </c>
      <c r="S14806" t="s">
        <v>48510</v>
      </c>
      <c r="T14806" t="s">
        <v>49069</v>
      </c>
      <c r="U14806" t="s">
        <v>61704</v>
      </c>
      <c r="V14806" t="s">
        <v>63720</v>
      </c>
      <c r="W14806" t="s">
        <v>46389</v>
      </c>
      <c r="X14806" t="s">
        <v>47451</v>
      </c>
    </row>
    <row r="14807" spans="1:24">
      <c r="A14807">
        <f>HYPERLINK("https://www.philgeps.gov.ph/GEPSNONPILOT/Tender/SplashBidNoticeAbstractUI.aspx?menuIndex=3&amp;refID=7119598&amp;Result=3","7119598")</f>
        <v>0</v>
      </c>
      <c r="B14807" t="s">
        <v>2640</v>
      </c>
      <c r="C14807" t="s">
        <v>17923</v>
      </c>
      <c r="D14807" t="s">
        <v>19037</v>
      </c>
      <c r="E14807" t="s">
        <v>31803</v>
      </c>
      <c r="F14807" t="s">
        <v>32831</v>
      </c>
      <c r="G14807" t="s">
        <v>32839</v>
      </c>
      <c r="H14807" t="s">
        <v>32848</v>
      </c>
      <c r="I14807" t="s">
        <v>32876</v>
      </c>
      <c r="J14807" t="s">
        <v>42015</v>
      </c>
      <c r="K14807" t="s">
        <v>42747</v>
      </c>
      <c r="M14807" t="s">
        <v>45862</v>
      </c>
      <c r="N14807" t="s">
        <v>47424</v>
      </c>
      <c r="O14807" t="s">
        <v>47425</v>
      </c>
      <c r="Q14807">
        <v>15</v>
      </c>
      <c r="R14807" t="s">
        <v>47447</v>
      </c>
      <c r="S14807" t="s">
        <v>48511</v>
      </c>
      <c r="T14807" t="s">
        <v>49059</v>
      </c>
      <c r="U14807" t="s">
        <v>61705</v>
      </c>
      <c r="W14807" t="s">
        <v>45862</v>
      </c>
      <c r="X14807" t="s">
        <v>47450</v>
      </c>
    </row>
    <row r="14808" spans="1:24">
      <c r="A14808">
        <f>HYPERLINK("https://www.philgeps.gov.ph/GEPSNONPILOT/Tender/SplashBidNoticeAbstractUI.aspx?menuIndex=3&amp;refID=7126277&amp;Result=3","7126277")</f>
        <v>0</v>
      </c>
      <c r="B14808" t="s">
        <v>1090</v>
      </c>
      <c r="C14808" t="s">
        <v>17924</v>
      </c>
      <c r="D14808" t="s">
        <v>19078</v>
      </c>
      <c r="E14808" t="s">
        <v>31804</v>
      </c>
      <c r="F14808" t="s">
        <v>32831</v>
      </c>
      <c r="G14808" t="s">
        <v>32839</v>
      </c>
      <c r="H14808" t="s">
        <v>32849</v>
      </c>
      <c r="I14808" t="s">
        <v>4177</v>
      </c>
      <c r="J14808" t="s">
        <v>42016</v>
      </c>
      <c r="K14808" t="s">
        <v>42845</v>
      </c>
      <c r="M14808" t="s">
        <v>44149</v>
      </c>
      <c r="N14808" t="s">
        <v>47424</v>
      </c>
      <c r="O14808" t="s">
        <v>47425</v>
      </c>
      <c r="P14808">
        <v>0</v>
      </c>
      <c r="Q14808">
        <v>1</v>
      </c>
      <c r="R14808" t="s">
        <v>47446</v>
      </c>
      <c r="S14808" t="s">
        <v>48377</v>
      </c>
      <c r="T14808" t="s">
        <v>49239</v>
      </c>
      <c r="U14808" t="s">
        <v>61706</v>
      </c>
      <c r="W14808" t="s">
        <v>44149</v>
      </c>
      <c r="X14808" t="s">
        <v>47447</v>
      </c>
    </row>
    <row r="14809" spans="1:24">
      <c r="A14809">
        <f>HYPERLINK("https://www.philgeps.gov.ph/GEPSNONPILOT/Tender/SplashBidNoticeAbstractUI.aspx?menuIndex=3&amp;refID=7120355&amp;Result=3","7120355")</f>
        <v>0</v>
      </c>
      <c r="B14809" t="s">
        <v>629</v>
      </c>
      <c r="C14809" t="s">
        <v>4558</v>
      </c>
      <c r="D14809" t="s">
        <v>19049</v>
      </c>
      <c r="E14809" t="s">
        <v>31805</v>
      </c>
      <c r="F14809" t="s">
        <v>32831</v>
      </c>
      <c r="G14809" t="s">
        <v>32839</v>
      </c>
      <c r="H14809" t="s">
        <v>32848</v>
      </c>
      <c r="I14809" t="s">
        <v>4558</v>
      </c>
      <c r="J14809" t="s">
        <v>42017</v>
      </c>
      <c r="K14809" t="s">
        <v>42731</v>
      </c>
      <c r="M14809" t="s">
        <v>43646</v>
      </c>
      <c r="N14809" t="s">
        <v>47424</v>
      </c>
      <c r="O14809" t="s">
        <v>47425</v>
      </c>
      <c r="P14809">
        <v>0</v>
      </c>
      <c r="Q14809">
        <v>1</v>
      </c>
      <c r="R14809" t="s">
        <v>47447</v>
      </c>
      <c r="S14809" t="s">
        <v>48494</v>
      </c>
      <c r="T14809" t="s">
        <v>49237</v>
      </c>
      <c r="U14809" t="s">
        <v>61707</v>
      </c>
      <c r="W14809" t="s">
        <v>43646</v>
      </c>
      <c r="X14809" t="s">
        <v>47448</v>
      </c>
    </row>
    <row r="14810" spans="1:24">
      <c r="A14810">
        <f>HYPERLINK("https://www.philgeps.gov.ph/GEPSNONPILOT/Tender/SplashBidNoticeAbstractUI.aspx?menuIndex=3&amp;refID=7126306&amp;Result=3","7126306")</f>
        <v>0</v>
      </c>
      <c r="B14810" t="s">
        <v>468</v>
      </c>
      <c r="C14810" t="s">
        <v>17925</v>
      </c>
      <c r="D14810" t="s">
        <v>19031</v>
      </c>
      <c r="E14810" t="s">
        <v>31806</v>
      </c>
      <c r="F14810" t="s">
        <v>32831</v>
      </c>
      <c r="G14810" t="s">
        <v>32839</v>
      </c>
      <c r="H14810" t="s">
        <v>32848</v>
      </c>
      <c r="I14810" t="s">
        <v>5379</v>
      </c>
      <c r="J14810" t="s">
        <v>33794</v>
      </c>
      <c r="K14810" t="s">
        <v>42763</v>
      </c>
      <c r="M14810" t="s">
        <v>47069</v>
      </c>
      <c r="N14810" t="s">
        <v>47424</v>
      </c>
      <c r="O14810" t="s">
        <v>47425</v>
      </c>
      <c r="P14810">
        <v>0</v>
      </c>
      <c r="Q14810">
        <v>1</v>
      </c>
      <c r="R14810" t="s">
        <v>47446</v>
      </c>
      <c r="S14810" t="s">
        <v>48377</v>
      </c>
      <c r="T14810" t="s">
        <v>49166</v>
      </c>
      <c r="U14810" t="s">
        <v>61708</v>
      </c>
      <c r="W14810" t="s">
        <v>64440</v>
      </c>
      <c r="X14810" t="s">
        <v>47447</v>
      </c>
    </row>
    <row r="14811" spans="1:24">
      <c r="A14811">
        <f>HYPERLINK("https://www.philgeps.gov.ph/GEPSNONPILOT/Tender/SplashBidNoticeAbstractUI.aspx?menuIndex=3&amp;refID=7120289&amp;Result=3","7120289")</f>
        <v>0</v>
      </c>
      <c r="B14811" t="s">
        <v>342</v>
      </c>
      <c r="C14811" t="s">
        <v>17926</v>
      </c>
      <c r="D14811" t="s">
        <v>19047</v>
      </c>
      <c r="E14811" t="s">
        <v>31807</v>
      </c>
      <c r="F14811" t="s">
        <v>32831</v>
      </c>
      <c r="G14811" t="s">
        <v>32839</v>
      </c>
      <c r="H14811" t="s">
        <v>32848</v>
      </c>
      <c r="I14811" t="s">
        <v>4558</v>
      </c>
      <c r="J14811" t="s">
        <v>42018</v>
      </c>
      <c r="K14811" t="s">
        <v>42731</v>
      </c>
      <c r="M14811" t="s">
        <v>43345</v>
      </c>
      <c r="N14811" t="s">
        <v>47424</v>
      </c>
      <c r="O14811" t="s">
        <v>47425</v>
      </c>
      <c r="P14811">
        <v>0</v>
      </c>
      <c r="Q14811">
        <v>2</v>
      </c>
      <c r="R14811" t="s">
        <v>47447</v>
      </c>
      <c r="S14811" t="s">
        <v>48494</v>
      </c>
      <c r="T14811" t="s">
        <v>49214</v>
      </c>
      <c r="U14811" t="s">
        <v>61709</v>
      </c>
      <c r="W14811" t="s">
        <v>64530</v>
      </c>
      <c r="X14811" t="s">
        <v>47448</v>
      </c>
    </row>
    <row r="14812" spans="1:24">
      <c r="A14812">
        <f>HYPERLINK("https://www.philgeps.gov.ph/GEPSNONPILOT/Tender/SplashBidNoticeAbstractUI.aspx?menuIndex=3&amp;refID=7120309&amp;Result=3","7120309")</f>
        <v>0</v>
      </c>
      <c r="B14812" t="s">
        <v>127</v>
      </c>
      <c r="C14812" t="s">
        <v>17927</v>
      </c>
      <c r="D14812" t="s">
        <v>19038</v>
      </c>
      <c r="E14812" t="s">
        <v>31808</v>
      </c>
      <c r="F14812" t="s">
        <v>32831</v>
      </c>
      <c r="G14812" t="s">
        <v>32839</v>
      </c>
      <c r="H14812" t="s">
        <v>32848</v>
      </c>
      <c r="I14812" t="s">
        <v>32864</v>
      </c>
      <c r="J14812" t="s">
        <v>33016</v>
      </c>
      <c r="K14812" t="s">
        <v>42729</v>
      </c>
      <c r="M14812" t="s">
        <v>43124</v>
      </c>
      <c r="N14812" t="s">
        <v>47424</v>
      </c>
      <c r="O14812" t="s">
        <v>47425</v>
      </c>
      <c r="P14812">
        <v>0</v>
      </c>
      <c r="Q14812">
        <v>9</v>
      </c>
      <c r="R14812" t="s">
        <v>47447</v>
      </c>
      <c r="S14812" t="s">
        <v>48494</v>
      </c>
      <c r="T14812" t="s">
        <v>49111</v>
      </c>
      <c r="U14812" t="s">
        <v>61710</v>
      </c>
      <c r="V14812" t="s">
        <v>62748</v>
      </c>
      <c r="W14812" t="s">
        <v>43124</v>
      </c>
      <c r="X14812" t="s">
        <v>47448</v>
      </c>
    </row>
    <row r="14813" spans="1:24">
      <c r="A14813">
        <f>HYPERLINK("https://www.philgeps.gov.ph/GEPSNONPILOT/Tender/SplashBidNoticeAbstractUI.aspx?menuIndex=3&amp;refID=7120301&amp;Result=3","7120301")</f>
        <v>0</v>
      </c>
      <c r="B14813" t="s">
        <v>834</v>
      </c>
      <c r="C14813" t="s">
        <v>17928</v>
      </c>
      <c r="D14813" t="s">
        <v>19046</v>
      </c>
      <c r="E14813" t="s">
        <v>31809</v>
      </c>
      <c r="F14813" t="s">
        <v>32831</v>
      </c>
      <c r="G14813" t="s">
        <v>32839</v>
      </c>
      <c r="H14813" t="s">
        <v>32848</v>
      </c>
      <c r="I14813" t="s">
        <v>32854</v>
      </c>
      <c r="J14813" t="s">
        <v>33528</v>
      </c>
      <c r="K14813" t="s">
        <v>42732</v>
      </c>
      <c r="M14813" t="s">
        <v>43983</v>
      </c>
      <c r="N14813" t="s">
        <v>47424</v>
      </c>
      <c r="O14813" t="s">
        <v>47425</v>
      </c>
      <c r="Q14813">
        <v>4</v>
      </c>
      <c r="R14813" t="s">
        <v>47447</v>
      </c>
      <c r="S14813" t="s">
        <v>48067</v>
      </c>
      <c r="T14813" t="s">
        <v>49239</v>
      </c>
      <c r="U14813" t="s">
        <v>61711</v>
      </c>
      <c r="W14813" t="s">
        <v>43983</v>
      </c>
      <c r="X14813" t="s">
        <v>47448</v>
      </c>
    </row>
    <row r="14814" spans="1:24">
      <c r="A14814">
        <f>HYPERLINK("https://www.philgeps.gov.ph/GEPSNONPILOT/Tender/SplashBidNoticeAbstractUI.aspx?menuIndex=3&amp;refID=7120114&amp;Result=3","7120114")</f>
        <v>0</v>
      </c>
      <c r="B14814" t="s">
        <v>569</v>
      </c>
      <c r="C14814" t="s">
        <v>17929</v>
      </c>
      <c r="D14814" t="s">
        <v>19056</v>
      </c>
      <c r="E14814" t="s">
        <v>31810</v>
      </c>
      <c r="F14814" t="s">
        <v>32831</v>
      </c>
      <c r="G14814" t="s">
        <v>32839</v>
      </c>
      <c r="H14814" t="s">
        <v>32849</v>
      </c>
      <c r="I14814" t="s">
        <v>4177</v>
      </c>
      <c r="J14814" t="s">
        <v>39274</v>
      </c>
      <c r="K14814" t="s">
        <v>42732</v>
      </c>
      <c r="M14814" t="s">
        <v>45296</v>
      </c>
      <c r="N14814" t="s">
        <v>47424</v>
      </c>
      <c r="O14814" t="s">
        <v>47425</v>
      </c>
      <c r="P14814">
        <v>0</v>
      </c>
      <c r="Q14814">
        <v>0</v>
      </c>
      <c r="R14814" t="s">
        <v>47447</v>
      </c>
      <c r="S14814" t="s">
        <v>48494</v>
      </c>
      <c r="T14814" t="s">
        <v>49237</v>
      </c>
      <c r="U14814" t="s">
        <v>61712</v>
      </c>
      <c r="W14814" t="s">
        <v>45296</v>
      </c>
      <c r="X14814" t="s">
        <v>47448</v>
      </c>
    </row>
    <row r="14815" spans="1:24">
      <c r="A14815">
        <f>HYPERLINK("https://www.philgeps.gov.ph/GEPSNONPILOT/Tender/SplashBidNoticeAbstractUI.aspx?menuIndex=3&amp;refID=7120261&amp;Result=3","7120261")</f>
        <v>0</v>
      </c>
      <c r="B14815" t="s">
        <v>1306</v>
      </c>
      <c r="C14815" t="s">
        <v>17930</v>
      </c>
      <c r="D14815" t="s">
        <v>19017</v>
      </c>
      <c r="E14815" t="s">
        <v>31811</v>
      </c>
      <c r="F14815" t="s">
        <v>32831</v>
      </c>
      <c r="G14815" t="s">
        <v>32839</v>
      </c>
      <c r="H14815" t="s">
        <v>32848</v>
      </c>
      <c r="I14815" t="s">
        <v>7751</v>
      </c>
      <c r="J14815" t="s">
        <v>42019</v>
      </c>
      <c r="K14815" t="s">
        <v>42731</v>
      </c>
      <c r="M14815" t="s">
        <v>44376</v>
      </c>
      <c r="N14815" t="s">
        <v>47424</v>
      </c>
      <c r="O14815" t="s">
        <v>47425</v>
      </c>
      <c r="Q14815">
        <v>5</v>
      </c>
      <c r="R14815" t="s">
        <v>47447</v>
      </c>
      <c r="S14815" t="s">
        <v>48512</v>
      </c>
      <c r="T14815" t="s">
        <v>49066</v>
      </c>
      <c r="U14815" t="s">
        <v>61713</v>
      </c>
      <c r="W14815" t="s">
        <v>44376</v>
      </c>
      <c r="X14815" t="s">
        <v>47448</v>
      </c>
    </row>
    <row r="14816" spans="1:24">
      <c r="A14816">
        <f>HYPERLINK("https://www.philgeps.gov.ph/GEPSNONPILOT/Tender/SplashBidNoticeAbstractUI.aspx?menuIndex=3&amp;refID=7120329&amp;Result=3","7120329")</f>
        <v>0</v>
      </c>
      <c r="B14816" t="s">
        <v>629</v>
      </c>
      <c r="C14816" t="s">
        <v>17931</v>
      </c>
      <c r="D14816" t="s">
        <v>19049</v>
      </c>
      <c r="E14816" t="s">
        <v>31812</v>
      </c>
      <c r="F14816" t="s">
        <v>32831</v>
      </c>
      <c r="G14816" t="s">
        <v>32839</v>
      </c>
      <c r="H14816" t="s">
        <v>32848</v>
      </c>
      <c r="I14816" t="s">
        <v>32871</v>
      </c>
      <c r="J14816" t="s">
        <v>32983</v>
      </c>
      <c r="K14816" t="s">
        <v>42731</v>
      </c>
      <c r="M14816" t="s">
        <v>43646</v>
      </c>
      <c r="N14816" t="s">
        <v>47424</v>
      </c>
      <c r="O14816" t="s">
        <v>47425</v>
      </c>
      <c r="P14816">
        <v>0</v>
      </c>
      <c r="Q14816">
        <v>1</v>
      </c>
      <c r="R14816" t="s">
        <v>47447</v>
      </c>
      <c r="S14816" t="s">
        <v>48494</v>
      </c>
      <c r="T14816" t="s">
        <v>49237</v>
      </c>
      <c r="U14816" t="s">
        <v>61714</v>
      </c>
      <c r="W14816" t="s">
        <v>43646</v>
      </c>
      <c r="X14816" t="s">
        <v>47448</v>
      </c>
    </row>
    <row r="14817" spans="1:24">
      <c r="A14817">
        <f>HYPERLINK("https://www.philgeps.gov.ph/GEPSNONPILOT/Tender/SplashBidNoticeAbstractUI.aspx?menuIndex=3&amp;refID=7120233&amp;Result=3","7120233")</f>
        <v>0</v>
      </c>
      <c r="B14817" t="s">
        <v>127</v>
      </c>
      <c r="C14817" t="s">
        <v>17932</v>
      </c>
      <c r="D14817" t="s">
        <v>19038</v>
      </c>
      <c r="E14817" t="s">
        <v>31813</v>
      </c>
      <c r="F14817" t="s">
        <v>32831</v>
      </c>
      <c r="G14817" t="s">
        <v>32839</v>
      </c>
      <c r="H14817" t="s">
        <v>32848</v>
      </c>
      <c r="I14817" t="s">
        <v>4438</v>
      </c>
      <c r="J14817" t="s">
        <v>42020</v>
      </c>
      <c r="K14817" t="s">
        <v>42729</v>
      </c>
      <c r="M14817" t="s">
        <v>43124</v>
      </c>
      <c r="N14817" t="s">
        <v>47424</v>
      </c>
      <c r="O14817" t="s">
        <v>47425</v>
      </c>
      <c r="P14817">
        <v>0</v>
      </c>
      <c r="Q14817">
        <v>6</v>
      </c>
      <c r="R14817" t="s">
        <v>47447</v>
      </c>
      <c r="S14817" t="s">
        <v>48494</v>
      </c>
      <c r="T14817" t="s">
        <v>49111</v>
      </c>
      <c r="U14817" t="s">
        <v>61715</v>
      </c>
      <c r="V14817" t="s">
        <v>62748</v>
      </c>
      <c r="W14817" t="s">
        <v>43124</v>
      </c>
      <c r="X14817" t="s">
        <v>47448</v>
      </c>
    </row>
    <row r="14818" spans="1:24">
      <c r="A14818">
        <f>HYPERLINK("https://www.philgeps.gov.ph/GEPSNONPILOT/Tender/SplashBidNoticeAbstractUI.aspx?menuIndex=3&amp;refID=7120286&amp;Result=3","7120286")</f>
        <v>0</v>
      </c>
      <c r="B14818" t="s">
        <v>629</v>
      </c>
      <c r="C14818" t="s">
        <v>17931</v>
      </c>
      <c r="D14818" t="s">
        <v>19049</v>
      </c>
      <c r="E14818" t="s">
        <v>31814</v>
      </c>
      <c r="F14818" t="s">
        <v>32831</v>
      </c>
      <c r="G14818" t="s">
        <v>32839</v>
      </c>
      <c r="H14818" t="s">
        <v>32848</v>
      </c>
      <c r="I14818" t="s">
        <v>32871</v>
      </c>
      <c r="J14818" t="s">
        <v>32978</v>
      </c>
      <c r="K14818" t="s">
        <v>42731</v>
      </c>
      <c r="M14818" t="s">
        <v>43646</v>
      </c>
      <c r="N14818" t="s">
        <v>47424</v>
      </c>
      <c r="O14818" t="s">
        <v>47425</v>
      </c>
      <c r="P14818">
        <v>0</v>
      </c>
      <c r="Q14818">
        <v>4</v>
      </c>
      <c r="R14818" t="s">
        <v>47447</v>
      </c>
      <c r="S14818" t="s">
        <v>48494</v>
      </c>
      <c r="T14818" t="s">
        <v>49237</v>
      </c>
      <c r="U14818" t="s">
        <v>61716</v>
      </c>
      <c r="W14818" t="s">
        <v>43646</v>
      </c>
      <c r="X14818" t="s">
        <v>47448</v>
      </c>
    </row>
    <row r="14819" spans="1:24">
      <c r="A14819">
        <f>HYPERLINK("https://www.philgeps.gov.ph/GEPSNONPILOT/Tender/SplashBidNoticeAbstractUI.aspx?menuIndex=3&amp;refID=7120221&amp;Result=3","7120221")</f>
        <v>0</v>
      </c>
      <c r="B14819" t="s">
        <v>2268</v>
      </c>
      <c r="C14819" t="s">
        <v>17933</v>
      </c>
      <c r="D14819" t="s">
        <v>19037</v>
      </c>
      <c r="E14819" t="s">
        <v>19987</v>
      </c>
      <c r="F14819" t="s">
        <v>32831</v>
      </c>
      <c r="G14819" t="s">
        <v>32839</v>
      </c>
      <c r="H14819" t="s">
        <v>32850</v>
      </c>
      <c r="I14819" t="s">
        <v>32863</v>
      </c>
      <c r="J14819" t="s">
        <v>42021</v>
      </c>
      <c r="K14819" t="s">
        <v>42768</v>
      </c>
      <c r="M14819" t="s">
        <v>45452</v>
      </c>
      <c r="N14819" t="s">
        <v>47424</v>
      </c>
      <c r="O14819" t="s">
        <v>47425</v>
      </c>
      <c r="P14819">
        <v>0</v>
      </c>
      <c r="Q14819">
        <v>1</v>
      </c>
      <c r="R14819" t="s">
        <v>47447</v>
      </c>
      <c r="S14819" t="s">
        <v>48494</v>
      </c>
      <c r="T14819" t="s">
        <v>49108</v>
      </c>
      <c r="U14819" t="s">
        <v>61717</v>
      </c>
      <c r="W14819" t="s">
        <v>45452</v>
      </c>
      <c r="X14819" t="s">
        <v>47448</v>
      </c>
    </row>
    <row r="14820" spans="1:24">
      <c r="A14820">
        <f>HYPERLINK("https://www.philgeps.gov.ph/GEPSNONPILOT/Tender/SplashBidNoticeAbstractUI.aspx?menuIndex=3&amp;refID=7120267&amp;Result=3","7120267")</f>
        <v>0</v>
      </c>
      <c r="B14820" t="s">
        <v>127</v>
      </c>
      <c r="C14820" t="s">
        <v>17934</v>
      </c>
      <c r="D14820" t="s">
        <v>19038</v>
      </c>
      <c r="E14820" t="s">
        <v>31815</v>
      </c>
      <c r="F14820" t="s">
        <v>32831</v>
      </c>
      <c r="G14820" t="s">
        <v>32839</v>
      </c>
      <c r="H14820" t="s">
        <v>32848</v>
      </c>
      <c r="I14820" t="s">
        <v>4438</v>
      </c>
      <c r="J14820" t="s">
        <v>42022</v>
      </c>
      <c r="K14820" t="s">
        <v>42729</v>
      </c>
      <c r="M14820" t="s">
        <v>43124</v>
      </c>
      <c r="N14820" t="s">
        <v>47424</v>
      </c>
      <c r="O14820" t="s">
        <v>47425</v>
      </c>
      <c r="P14820">
        <v>0</v>
      </c>
      <c r="Q14820">
        <v>1</v>
      </c>
      <c r="R14820" t="s">
        <v>47447</v>
      </c>
      <c r="S14820" t="s">
        <v>48494</v>
      </c>
      <c r="T14820" t="s">
        <v>49111</v>
      </c>
      <c r="U14820" t="s">
        <v>61718</v>
      </c>
      <c r="V14820" t="s">
        <v>62748</v>
      </c>
      <c r="W14820" t="s">
        <v>43124</v>
      </c>
      <c r="X14820" t="s">
        <v>47448</v>
      </c>
    </row>
    <row r="14821" spans="1:24">
      <c r="A14821">
        <f>HYPERLINK("https://www.philgeps.gov.ph/GEPSNONPILOT/Tender/SplashBidNoticeAbstractUI.aspx?menuIndex=3&amp;refID=7120189&amp;Result=3","7120189")</f>
        <v>0</v>
      </c>
      <c r="B14821" t="s">
        <v>127</v>
      </c>
      <c r="C14821" t="s">
        <v>17935</v>
      </c>
      <c r="D14821" t="s">
        <v>19038</v>
      </c>
      <c r="E14821" t="s">
        <v>31816</v>
      </c>
      <c r="F14821" t="s">
        <v>32831</v>
      </c>
      <c r="G14821" t="s">
        <v>32839</v>
      </c>
      <c r="H14821" t="s">
        <v>32848</v>
      </c>
      <c r="I14821" t="s">
        <v>4438</v>
      </c>
      <c r="J14821" t="s">
        <v>42023</v>
      </c>
      <c r="K14821" t="s">
        <v>42729</v>
      </c>
      <c r="M14821" t="s">
        <v>43124</v>
      </c>
      <c r="N14821" t="s">
        <v>47424</v>
      </c>
      <c r="O14821" t="s">
        <v>47425</v>
      </c>
      <c r="P14821">
        <v>0</v>
      </c>
      <c r="Q14821">
        <v>3</v>
      </c>
      <c r="R14821" t="s">
        <v>47447</v>
      </c>
      <c r="S14821" t="s">
        <v>48494</v>
      </c>
      <c r="T14821" t="s">
        <v>49111</v>
      </c>
      <c r="U14821" t="s">
        <v>61715</v>
      </c>
      <c r="V14821" t="s">
        <v>62748</v>
      </c>
      <c r="W14821" t="s">
        <v>43124</v>
      </c>
      <c r="X14821" t="s">
        <v>47448</v>
      </c>
    </row>
    <row r="14822" spans="1:24">
      <c r="A14822">
        <f>HYPERLINK("https://www.philgeps.gov.ph/GEPSNONPILOT/Tender/SplashBidNoticeAbstractUI.aspx?menuIndex=3&amp;refID=7120302&amp;Result=3","7120302")</f>
        <v>0</v>
      </c>
      <c r="B14822" t="s">
        <v>2340</v>
      </c>
      <c r="C14822" t="s">
        <v>17936</v>
      </c>
      <c r="D14822" t="s">
        <v>19054</v>
      </c>
      <c r="E14822" t="s">
        <v>30356</v>
      </c>
      <c r="F14822" t="s">
        <v>32833</v>
      </c>
      <c r="G14822" t="s">
        <v>32839</v>
      </c>
      <c r="H14822" t="s">
        <v>32848</v>
      </c>
      <c r="I14822" t="s">
        <v>7751</v>
      </c>
      <c r="J14822" t="s">
        <v>33083</v>
      </c>
      <c r="K14822" t="s">
        <v>42730</v>
      </c>
      <c r="M14822" t="s">
        <v>45527</v>
      </c>
      <c r="N14822" t="s">
        <v>47424</v>
      </c>
      <c r="O14822" t="s">
        <v>47425</v>
      </c>
      <c r="P14822">
        <v>0</v>
      </c>
      <c r="Q14822">
        <v>5</v>
      </c>
      <c r="R14822" t="s">
        <v>47447</v>
      </c>
      <c r="S14822" t="s">
        <v>48494</v>
      </c>
      <c r="T14822" t="s">
        <v>49237</v>
      </c>
      <c r="U14822" t="s">
        <v>61719</v>
      </c>
      <c r="W14822" t="s">
        <v>45527</v>
      </c>
      <c r="X14822" t="s">
        <v>47448</v>
      </c>
    </row>
    <row r="14823" spans="1:24">
      <c r="A14823">
        <f>HYPERLINK("https://www.philgeps.gov.ph/GEPSNONPILOT/Tender/SplashBidNoticeAbstractUI.aspx?menuIndex=3&amp;refID=7120594&amp;Result=3","7120594")</f>
        <v>0</v>
      </c>
      <c r="B14823" t="s">
        <v>3853</v>
      </c>
      <c r="C14823" t="s">
        <v>17937</v>
      </c>
      <c r="D14823" t="s">
        <v>19020</v>
      </c>
      <c r="E14823" t="s">
        <v>31817</v>
      </c>
      <c r="F14823" t="s">
        <v>32831</v>
      </c>
      <c r="G14823" t="s">
        <v>32839</v>
      </c>
      <c r="H14823" t="s">
        <v>32848</v>
      </c>
      <c r="I14823" t="s">
        <v>32918</v>
      </c>
      <c r="J14823" t="s">
        <v>42024</v>
      </c>
      <c r="K14823" t="s">
        <v>42730</v>
      </c>
      <c r="M14823" t="s">
        <v>47287</v>
      </c>
      <c r="N14823" t="s">
        <v>47424</v>
      </c>
      <c r="O14823" t="s">
        <v>47425</v>
      </c>
      <c r="Q14823">
        <v>4</v>
      </c>
      <c r="R14823" t="s">
        <v>47447</v>
      </c>
      <c r="S14823" t="s">
        <v>48207</v>
      </c>
      <c r="T14823" t="s">
        <v>49370</v>
      </c>
      <c r="U14823" t="s">
        <v>61720</v>
      </c>
      <c r="W14823" t="s">
        <v>47287</v>
      </c>
      <c r="X14823" t="s">
        <v>47448</v>
      </c>
    </row>
    <row r="14824" spans="1:24">
      <c r="A14824">
        <f>HYPERLINK("https://www.philgeps.gov.ph/GEPSNONPILOT/Tender/SplashBidNoticeAbstractUI.aspx?menuIndex=3&amp;refID=7120567&amp;Result=3","7120567")</f>
        <v>0</v>
      </c>
      <c r="B14824" t="s">
        <v>855</v>
      </c>
      <c r="C14824" t="s">
        <v>17938</v>
      </c>
      <c r="E14824" t="s">
        <v>31818</v>
      </c>
      <c r="F14824" t="s">
        <v>32831</v>
      </c>
      <c r="G14824" t="s">
        <v>32839</v>
      </c>
      <c r="H14824" t="s">
        <v>32848</v>
      </c>
      <c r="I14824" t="s">
        <v>32857</v>
      </c>
      <c r="J14824" t="s">
        <v>42025</v>
      </c>
      <c r="K14824" t="s">
        <v>42732</v>
      </c>
      <c r="M14824" t="s">
        <v>43888</v>
      </c>
      <c r="N14824" t="s">
        <v>47424</v>
      </c>
      <c r="O14824" t="s">
        <v>47425</v>
      </c>
      <c r="Q14824">
        <v>21</v>
      </c>
      <c r="R14824" t="s">
        <v>47447</v>
      </c>
      <c r="S14824" t="s">
        <v>48513</v>
      </c>
      <c r="T14824" t="s">
        <v>49237</v>
      </c>
      <c r="U14824" t="s">
        <v>61721</v>
      </c>
      <c r="W14824" t="s">
        <v>43888</v>
      </c>
      <c r="X14824" t="s">
        <v>47448</v>
      </c>
    </row>
    <row r="14825" spans="1:24">
      <c r="A14825">
        <f>HYPERLINK("https://www.philgeps.gov.ph/GEPSNONPILOT/Tender/SplashBidNoticeAbstractUI.aspx?menuIndex=3&amp;refID=7120259&amp;Result=3","7120259")</f>
        <v>0</v>
      </c>
      <c r="B14825" t="s">
        <v>342</v>
      </c>
      <c r="C14825" t="s">
        <v>17939</v>
      </c>
      <c r="D14825" t="s">
        <v>19047</v>
      </c>
      <c r="E14825" t="s">
        <v>31819</v>
      </c>
      <c r="F14825" t="s">
        <v>32831</v>
      </c>
      <c r="G14825" t="s">
        <v>32839</v>
      </c>
      <c r="H14825" t="s">
        <v>32848</v>
      </c>
      <c r="I14825" t="s">
        <v>32874</v>
      </c>
      <c r="J14825" t="s">
        <v>42026</v>
      </c>
      <c r="K14825" t="s">
        <v>42731</v>
      </c>
      <c r="M14825" t="s">
        <v>43345</v>
      </c>
      <c r="N14825" t="s">
        <v>47424</v>
      </c>
      <c r="O14825" t="s">
        <v>47425</v>
      </c>
      <c r="P14825">
        <v>0</v>
      </c>
      <c r="Q14825">
        <v>13</v>
      </c>
      <c r="R14825" t="s">
        <v>47447</v>
      </c>
      <c r="S14825" t="s">
        <v>48494</v>
      </c>
      <c r="T14825" t="s">
        <v>49214</v>
      </c>
      <c r="U14825" t="s">
        <v>61722</v>
      </c>
      <c r="W14825" t="s">
        <v>64530</v>
      </c>
      <c r="X14825" t="s">
        <v>47448</v>
      </c>
    </row>
    <row r="14826" spans="1:24">
      <c r="A14826">
        <f>HYPERLINK("https://www.philgeps.gov.ph/GEPSNONPILOT/Tender/SplashBidNoticeAbstractUI.aspx?menuIndex=3&amp;refID=7120557&amp;Result=3","7120557")</f>
        <v>0</v>
      </c>
      <c r="B14826" t="s">
        <v>1533</v>
      </c>
      <c r="C14826" t="s">
        <v>17940</v>
      </c>
      <c r="D14826" t="s">
        <v>19093</v>
      </c>
      <c r="E14826" t="s">
        <v>31820</v>
      </c>
      <c r="F14826" t="s">
        <v>32831</v>
      </c>
      <c r="G14826" t="s">
        <v>32839</v>
      </c>
      <c r="H14826" t="s">
        <v>32848</v>
      </c>
      <c r="I14826" t="s">
        <v>4438</v>
      </c>
      <c r="J14826" t="s">
        <v>42027</v>
      </c>
      <c r="K14826" t="s">
        <v>42729</v>
      </c>
      <c r="M14826" t="s">
        <v>44637</v>
      </c>
      <c r="N14826" t="s">
        <v>47424</v>
      </c>
      <c r="O14826" t="s">
        <v>47425</v>
      </c>
      <c r="P14826">
        <v>0</v>
      </c>
      <c r="Q14826">
        <v>3</v>
      </c>
      <c r="R14826" t="s">
        <v>47447</v>
      </c>
      <c r="S14826" t="s">
        <v>48494</v>
      </c>
      <c r="T14826" t="s">
        <v>49066</v>
      </c>
      <c r="U14826" t="s">
        <v>61723</v>
      </c>
      <c r="W14826" t="s">
        <v>44637</v>
      </c>
      <c r="X14826" t="s">
        <v>47448</v>
      </c>
    </row>
    <row r="14827" spans="1:24">
      <c r="A14827">
        <f>HYPERLINK("https://www.philgeps.gov.ph/GEPSNONPILOT/Tender/SplashBidNoticeAbstractUI.aspx?menuIndex=3&amp;refID=7120307&amp;Result=3","7120307")</f>
        <v>0</v>
      </c>
      <c r="B14827" t="s">
        <v>2722</v>
      </c>
      <c r="C14827" t="s">
        <v>17941</v>
      </c>
      <c r="D14827" t="s">
        <v>19034</v>
      </c>
      <c r="E14827" t="s">
        <v>28804</v>
      </c>
      <c r="F14827" t="s">
        <v>32831</v>
      </c>
      <c r="G14827" t="s">
        <v>32839</v>
      </c>
      <c r="H14827" t="s">
        <v>32848</v>
      </c>
      <c r="I14827" t="s">
        <v>7751</v>
      </c>
      <c r="J14827" t="s">
        <v>33111</v>
      </c>
      <c r="K14827" t="s">
        <v>42747</v>
      </c>
      <c r="M14827" t="s">
        <v>45948</v>
      </c>
      <c r="N14827" t="s">
        <v>47424</v>
      </c>
      <c r="O14827" t="s">
        <v>47425</v>
      </c>
      <c r="Q14827">
        <v>10</v>
      </c>
      <c r="R14827" t="s">
        <v>47447</v>
      </c>
      <c r="S14827" t="s">
        <v>48514</v>
      </c>
      <c r="T14827" t="s">
        <v>49162</v>
      </c>
      <c r="U14827" t="s">
        <v>61724</v>
      </c>
      <c r="V14827" t="s">
        <v>64312</v>
      </c>
      <c r="W14827" t="s">
        <v>45948</v>
      </c>
      <c r="X14827" t="s">
        <v>47448</v>
      </c>
    </row>
    <row r="14828" spans="1:24">
      <c r="A14828">
        <f>HYPERLINK("https://www.philgeps.gov.ph/GEPSNONPILOT/Tender/SplashBidNoticeAbstractUI.aspx?menuIndex=3&amp;refID=7120546&amp;Result=3","7120546")</f>
        <v>0</v>
      </c>
      <c r="B14828" t="s">
        <v>855</v>
      </c>
      <c r="C14828" t="s">
        <v>17942</v>
      </c>
      <c r="E14828" t="s">
        <v>31821</v>
      </c>
      <c r="F14828" t="s">
        <v>32831</v>
      </c>
      <c r="G14828" t="s">
        <v>32839</v>
      </c>
      <c r="H14828" t="s">
        <v>32848</v>
      </c>
      <c r="I14828" t="s">
        <v>32857</v>
      </c>
      <c r="J14828" t="s">
        <v>42028</v>
      </c>
      <c r="K14828" t="s">
        <v>42732</v>
      </c>
      <c r="M14828" t="s">
        <v>43888</v>
      </c>
      <c r="N14828" t="s">
        <v>47424</v>
      </c>
      <c r="O14828" t="s">
        <v>47425</v>
      </c>
      <c r="Q14828">
        <v>32</v>
      </c>
      <c r="R14828" t="s">
        <v>47447</v>
      </c>
      <c r="S14828" t="s">
        <v>48457</v>
      </c>
      <c r="T14828" t="s">
        <v>49237</v>
      </c>
      <c r="U14828" t="s">
        <v>61721</v>
      </c>
      <c r="W14828" t="s">
        <v>43888</v>
      </c>
      <c r="X14828" t="s">
        <v>47448</v>
      </c>
    </row>
    <row r="14829" spans="1:24">
      <c r="A14829">
        <f>HYPERLINK("https://www.philgeps.gov.ph/GEPSNONPILOT/Tender/SplashBidNoticeAbstractUI.aspx?menuIndex=3&amp;refID=7120541&amp;Result=3","7120541")</f>
        <v>0</v>
      </c>
      <c r="B14829" t="s">
        <v>2457</v>
      </c>
      <c r="C14829" t="s">
        <v>17943</v>
      </c>
      <c r="D14829" t="s">
        <v>19049</v>
      </c>
      <c r="E14829" t="s">
        <v>24138</v>
      </c>
      <c r="F14829" t="s">
        <v>32831</v>
      </c>
      <c r="G14829" t="s">
        <v>32839</v>
      </c>
      <c r="H14829" t="s">
        <v>32849</v>
      </c>
      <c r="I14829" t="s">
        <v>4177</v>
      </c>
      <c r="J14829" t="s">
        <v>33072</v>
      </c>
      <c r="K14829" t="s">
        <v>42729</v>
      </c>
      <c r="M14829" t="s">
        <v>45655</v>
      </c>
      <c r="N14829" t="s">
        <v>47424</v>
      </c>
      <c r="O14829" t="s">
        <v>47425</v>
      </c>
      <c r="P14829">
        <v>0</v>
      </c>
      <c r="Q14829">
        <v>3</v>
      </c>
      <c r="R14829" t="s">
        <v>47447</v>
      </c>
      <c r="S14829" t="s">
        <v>48494</v>
      </c>
      <c r="T14829" t="s">
        <v>49238</v>
      </c>
      <c r="U14829" t="s">
        <v>55526</v>
      </c>
      <c r="V14829" t="s">
        <v>64313</v>
      </c>
      <c r="W14829" t="s">
        <v>45655</v>
      </c>
      <c r="X14829" t="s">
        <v>47448</v>
      </c>
    </row>
    <row r="14830" spans="1:24">
      <c r="A14830">
        <f>HYPERLINK("https://www.philgeps.gov.ph/GEPSNONPILOT/Tender/SplashBidNoticeAbstractUI.aspx?menuIndex=3&amp;refID=7120558&amp;Result=3","7120558")</f>
        <v>0</v>
      </c>
      <c r="B14830" t="s">
        <v>2340</v>
      </c>
      <c r="C14830" t="s">
        <v>17944</v>
      </c>
      <c r="D14830" t="s">
        <v>19054</v>
      </c>
      <c r="E14830" t="s">
        <v>29465</v>
      </c>
      <c r="F14830" t="s">
        <v>32833</v>
      </c>
      <c r="G14830" t="s">
        <v>32839</v>
      </c>
      <c r="H14830" t="s">
        <v>32849</v>
      </c>
      <c r="I14830" t="s">
        <v>4177</v>
      </c>
      <c r="J14830" t="s">
        <v>33078</v>
      </c>
      <c r="K14830" t="s">
        <v>42729</v>
      </c>
      <c r="M14830" t="s">
        <v>45527</v>
      </c>
      <c r="N14830" t="s">
        <v>47424</v>
      </c>
      <c r="O14830" t="s">
        <v>47425</v>
      </c>
      <c r="P14830">
        <v>0</v>
      </c>
      <c r="Q14830">
        <v>2</v>
      </c>
      <c r="R14830" t="s">
        <v>47447</v>
      </c>
      <c r="S14830" t="s">
        <v>48494</v>
      </c>
      <c r="T14830" t="s">
        <v>49106</v>
      </c>
      <c r="U14830" t="s">
        <v>61725</v>
      </c>
      <c r="V14830" t="s">
        <v>63658</v>
      </c>
      <c r="W14830" t="s">
        <v>45527</v>
      </c>
      <c r="X14830" t="s">
        <v>47448</v>
      </c>
    </row>
    <row r="14831" spans="1:24">
      <c r="A14831">
        <f>HYPERLINK("https://www.philgeps.gov.ph/GEPSNONPILOT/Tender/SplashBidNoticeAbstractUI.aspx?menuIndex=3&amp;refID=7120498&amp;Result=3","7120498")</f>
        <v>0</v>
      </c>
      <c r="B14831" t="s">
        <v>3853</v>
      </c>
      <c r="C14831" t="s">
        <v>17945</v>
      </c>
      <c r="D14831" t="s">
        <v>19020</v>
      </c>
      <c r="E14831" t="s">
        <v>31822</v>
      </c>
      <c r="F14831" t="s">
        <v>32831</v>
      </c>
      <c r="G14831" t="s">
        <v>32839</v>
      </c>
      <c r="H14831" t="s">
        <v>32848</v>
      </c>
      <c r="I14831" t="s">
        <v>32918</v>
      </c>
      <c r="J14831" t="s">
        <v>42029</v>
      </c>
      <c r="K14831" t="s">
        <v>42730</v>
      </c>
      <c r="M14831" t="s">
        <v>47287</v>
      </c>
      <c r="N14831" t="s">
        <v>47424</v>
      </c>
      <c r="O14831" t="s">
        <v>47425</v>
      </c>
      <c r="Q14831">
        <v>5</v>
      </c>
      <c r="R14831" t="s">
        <v>47447</v>
      </c>
      <c r="S14831" t="s">
        <v>48022</v>
      </c>
      <c r="T14831" t="s">
        <v>49370</v>
      </c>
      <c r="U14831" t="s">
        <v>61726</v>
      </c>
      <c r="W14831" t="s">
        <v>47287</v>
      </c>
      <c r="X14831" t="s">
        <v>47448</v>
      </c>
    </row>
    <row r="14832" spans="1:24">
      <c r="A14832">
        <f>HYPERLINK("https://www.philgeps.gov.ph/GEPSNONPILOT/Tender/SplashBidNoticeAbstractUI.aspx?menuIndex=3&amp;refID=7120529&amp;Result=3","7120529")</f>
        <v>0</v>
      </c>
      <c r="B14832" t="s">
        <v>3854</v>
      </c>
      <c r="C14832" t="s">
        <v>17946</v>
      </c>
      <c r="D14832" t="s">
        <v>19044</v>
      </c>
      <c r="E14832" t="s">
        <v>31823</v>
      </c>
      <c r="F14832" t="s">
        <v>32831</v>
      </c>
      <c r="G14832" t="s">
        <v>32839</v>
      </c>
      <c r="H14832" t="s">
        <v>32848</v>
      </c>
      <c r="I14832" t="s">
        <v>32877</v>
      </c>
      <c r="J14832" t="s">
        <v>42030</v>
      </c>
      <c r="K14832" t="s">
        <v>42729</v>
      </c>
      <c r="M14832" t="s">
        <v>47288</v>
      </c>
      <c r="N14832" t="s">
        <v>47424</v>
      </c>
      <c r="O14832" t="s">
        <v>47425</v>
      </c>
      <c r="Q14832">
        <v>12</v>
      </c>
      <c r="R14832" t="s">
        <v>47447</v>
      </c>
      <c r="S14832" t="s">
        <v>48116</v>
      </c>
      <c r="T14832" t="s">
        <v>49105</v>
      </c>
      <c r="U14832" t="s">
        <v>61727</v>
      </c>
      <c r="W14832" t="s">
        <v>47288</v>
      </c>
      <c r="X14832" t="s">
        <v>47448</v>
      </c>
    </row>
    <row r="14833" spans="1:24">
      <c r="A14833">
        <f>HYPERLINK("https://www.philgeps.gov.ph/GEPSNONPILOT/Tender/SplashBidNoticeAbstractUI.aspx?menuIndex=3&amp;refID=7120496&amp;Result=3","7120496")</f>
        <v>0</v>
      </c>
      <c r="B14833" t="s">
        <v>3855</v>
      </c>
      <c r="C14833" t="s">
        <v>17947</v>
      </c>
      <c r="D14833" t="s">
        <v>19025</v>
      </c>
      <c r="E14833" t="s">
        <v>19219</v>
      </c>
      <c r="F14833" t="s">
        <v>32831</v>
      </c>
      <c r="G14833" t="s">
        <v>32839</v>
      </c>
      <c r="H14833" t="s">
        <v>32848</v>
      </c>
      <c r="I14833" t="s">
        <v>7416</v>
      </c>
      <c r="J14833" t="s">
        <v>42031</v>
      </c>
      <c r="K14833" t="s">
        <v>42732</v>
      </c>
      <c r="M14833" t="s">
        <v>47289</v>
      </c>
      <c r="N14833" t="s">
        <v>47424</v>
      </c>
      <c r="O14833" t="s">
        <v>47425</v>
      </c>
      <c r="P14833">
        <v>0</v>
      </c>
      <c r="Q14833">
        <v>0</v>
      </c>
      <c r="R14833" t="s">
        <v>47447</v>
      </c>
      <c r="S14833" t="s">
        <v>48494</v>
      </c>
      <c r="T14833" t="s">
        <v>49108</v>
      </c>
      <c r="U14833" t="s">
        <v>61728</v>
      </c>
      <c r="W14833" t="s">
        <v>47289</v>
      </c>
      <c r="X14833" t="s">
        <v>47448</v>
      </c>
    </row>
    <row r="14834" spans="1:24">
      <c r="A14834">
        <f>HYPERLINK("https://www.philgeps.gov.ph/GEPSNONPILOT/Tender/SplashBidNoticeAbstractUI.aspx?menuIndex=3&amp;refID=7120515&amp;Result=3","7120515")</f>
        <v>0</v>
      </c>
      <c r="B14834" t="s">
        <v>1900</v>
      </c>
      <c r="C14834" t="s">
        <v>17948</v>
      </c>
      <c r="D14834" t="s">
        <v>19038</v>
      </c>
      <c r="E14834" t="s">
        <v>20948</v>
      </c>
      <c r="F14834" t="s">
        <v>32831</v>
      </c>
      <c r="G14834" t="s">
        <v>32839</v>
      </c>
      <c r="H14834" t="s">
        <v>32849</v>
      </c>
      <c r="I14834" t="s">
        <v>4177</v>
      </c>
      <c r="J14834" t="s">
        <v>33083</v>
      </c>
      <c r="K14834" t="s">
        <v>42729</v>
      </c>
      <c r="M14834" t="s">
        <v>45048</v>
      </c>
      <c r="N14834" t="s">
        <v>47424</v>
      </c>
      <c r="O14834" t="s">
        <v>47425</v>
      </c>
      <c r="P14834">
        <v>0</v>
      </c>
      <c r="Q14834">
        <v>0</v>
      </c>
      <c r="R14834" t="s">
        <v>47447</v>
      </c>
      <c r="S14834" t="s">
        <v>48494</v>
      </c>
      <c r="T14834" t="s">
        <v>49059</v>
      </c>
      <c r="U14834" t="s">
        <v>61729</v>
      </c>
      <c r="W14834" t="s">
        <v>45048</v>
      </c>
      <c r="X14834" t="s">
        <v>47448</v>
      </c>
    </row>
    <row r="14835" spans="1:24">
      <c r="A14835">
        <f>HYPERLINK("https://www.philgeps.gov.ph/GEPSNONPILOT/Tender/SplashBidNoticeAbstractUI.aspx?menuIndex=3&amp;refID=7120495&amp;Result=3","7120495")</f>
        <v>0</v>
      </c>
      <c r="B14835" t="s">
        <v>29</v>
      </c>
      <c r="C14835" t="s">
        <v>17949</v>
      </c>
      <c r="D14835" t="s">
        <v>19017</v>
      </c>
      <c r="E14835" t="s">
        <v>31824</v>
      </c>
      <c r="F14835" t="s">
        <v>32831</v>
      </c>
      <c r="G14835" t="s">
        <v>32839</v>
      </c>
      <c r="H14835" t="s">
        <v>32848</v>
      </c>
      <c r="I14835" t="s">
        <v>32914</v>
      </c>
      <c r="J14835" t="s">
        <v>36025</v>
      </c>
      <c r="K14835" t="s">
        <v>42763</v>
      </c>
      <c r="M14835" t="s">
        <v>47290</v>
      </c>
      <c r="N14835" t="s">
        <v>47424</v>
      </c>
      <c r="O14835" t="s">
        <v>47425</v>
      </c>
      <c r="Q14835">
        <v>14</v>
      </c>
      <c r="R14835" t="s">
        <v>47447</v>
      </c>
      <c r="S14835" t="s">
        <v>47788</v>
      </c>
      <c r="T14835" t="s">
        <v>49162</v>
      </c>
      <c r="U14835" t="s">
        <v>61730</v>
      </c>
      <c r="V14835" t="s">
        <v>64314</v>
      </c>
      <c r="W14835" t="s">
        <v>47290</v>
      </c>
      <c r="X14835" t="s">
        <v>47448</v>
      </c>
    </row>
    <row r="14836" spans="1:24">
      <c r="A14836">
        <f>HYPERLINK("https://www.philgeps.gov.ph/GEPSNONPILOT/Tender/SplashBidNoticeAbstractUI.aspx?menuIndex=3&amp;refID=7120467&amp;Result=3","7120467")</f>
        <v>0</v>
      </c>
      <c r="B14836" t="s">
        <v>3803</v>
      </c>
      <c r="C14836" t="s">
        <v>17950</v>
      </c>
      <c r="D14836" t="s">
        <v>19027</v>
      </c>
      <c r="E14836" t="s">
        <v>19555</v>
      </c>
      <c r="F14836" t="s">
        <v>32831</v>
      </c>
      <c r="G14836" t="s">
        <v>32839</v>
      </c>
      <c r="H14836" t="s">
        <v>32848</v>
      </c>
      <c r="I14836" t="s">
        <v>7416</v>
      </c>
      <c r="J14836" t="s">
        <v>33385</v>
      </c>
      <c r="K14836" t="s">
        <v>42726</v>
      </c>
      <c r="L14836" t="s">
        <v>3803</v>
      </c>
      <c r="M14836" t="s">
        <v>47221</v>
      </c>
      <c r="N14836" t="s">
        <v>47424</v>
      </c>
      <c r="O14836" t="s">
        <v>47425</v>
      </c>
      <c r="P14836">
        <v>0</v>
      </c>
      <c r="Q14836">
        <v>1</v>
      </c>
      <c r="R14836" t="s">
        <v>47447</v>
      </c>
      <c r="S14836" t="s">
        <v>48494</v>
      </c>
      <c r="T14836" t="s">
        <v>49237</v>
      </c>
      <c r="U14836" t="s">
        <v>61289</v>
      </c>
      <c r="V14836" t="s">
        <v>64258</v>
      </c>
      <c r="W14836" t="s">
        <v>47221</v>
      </c>
      <c r="X14836" t="s">
        <v>47448</v>
      </c>
    </row>
    <row r="14837" spans="1:24">
      <c r="A14837">
        <f>HYPERLINK("https://www.philgeps.gov.ph/GEPSNONPILOT/Tender/SplashBidNoticeAbstractUI.aspx?menuIndex=3&amp;refID=7120462&amp;Result=3","7120462")</f>
        <v>0</v>
      </c>
      <c r="B14837" t="s">
        <v>2940</v>
      </c>
      <c r="C14837" t="s">
        <v>17951</v>
      </c>
      <c r="D14837" t="s">
        <v>19044</v>
      </c>
      <c r="E14837" t="s">
        <v>31825</v>
      </c>
      <c r="F14837" t="s">
        <v>32831</v>
      </c>
      <c r="G14837" t="s">
        <v>32839</v>
      </c>
      <c r="H14837" t="s">
        <v>32848</v>
      </c>
      <c r="I14837" t="s">
        <v>32931</v>
      </c>
      <c r="J14837" t="s">
        <v>33066</v>
      </c>
      <c r="K14837" t="s">
        <v>42729</v>
      </c>
      <c r="M14837" t="s">
        <v>46197</v>
      </c>
      <c r="N14837" t="s">
        <v>47424</v>
      </c>
      <c r="O14837" t="s">
        <v>47425</v>
      </c>
      <c r="Q14837">
        <v>3</v>
      </c>
      <c r="R14837" t="s">
        <v>47447</v>
      </c>
      <c r="S14837" t="s">
        <v>48515</v>
      </c>
      <c r="T14837" t="s">
        <v>49328</v>
      </c>
      <c r="U14837" t="s">
        <v>61731</v>
      </c>
      <c r="W14837" t="s">
        <v>46197</v>
      </c>
      <c r="X14837" t="s">
        <v>47448</v>
      </c>
    </row>
    <row r="14838" spans="1:24">
      <c r="A14838">
        <f>HYPERLINK("https://www.philgeps.gov.ph/GEPSNONPILOT/Tender/SplashBidNoticeAbstractUI.aspx?menuIndex=3&amp;refID=7120588&amp;Result=3","7120588")</f>
        <v>0</v>
      </c>
      <c r="B14838" t="s">
        <v>855</v>
      </c>
      <c r="C14838" t="s">
        <v>17952</v>
      </c>
      <c r="E14838" t="s">
        <v>31826</v>
      </c>
      <c r="F14838" t="s">
        <v>32831</v>
      </c>
      <c r="G14838" t="s">
        <v>32839</v>
      </c>
      <c r="H14838" t="s">
        <v>32848</v>
      </c>
      <c r="I14838" t="s">
        <v>32857</v>
      </c>
      <c r="J14838" t="s">
        <v>42032</v>
      </c>
      <c r="K14838" t="s">
        <v>42732</v>
      </c>
      <c r="M14838" t="s">
        <v>43888</v>
      </c>
      <c r="N14838" t="s">
        <v>47424</v>
      </c>
      <c r="O14838" t="s">
        <v>47425</v>
      </c>
      <c r="Q14838">
        <v>10</v>
      </c>
      <c r="R14838" t="s">
        <v>47447</v>
      </c>
      <c r="S14838" t="s">
        <v>48513</v>
      </c>
      <c r="T14838" t="s">
        <v>49237</v>
      </c>
      <c r="U14838" t="s">
        <v>61721</v>
      </c>
      <c r="W14838" t="s">
        <v>43888</v>
      </c>
      <c r="X14838" t="s">
        <v>47448</v>
      </c>
    </row>
    <row r="14839" spans="1:24">
      <c r="A14839">
        <f>HYPERLINK("https://www.philgeps.gov.ph/GEPSNONPILOT/Tender/SplashBidNoticeAbstractUI.aspx?menuIndex=3&amp;refID=7120408&amp;Result=3","7120408")</f>
        <v>0</v>
      </c>
      <c r="B14839" t="s">
        <v>629</v>
      </c>
      <c r="C14839" t="s">
        <v>8289</v>
      </c>
      <c r="D14839" t="s">
        <v>19049</v>
      </c>
      <c r="E14839" t="s">
        <v>31827</v>
      </c>
      <c r="F14839" t="s">
        <v>32831</v>
      </c>
      <c r="G14839" t="s">
        <v>32840</v>
      </c>
      <c r="H14839" t="s">
        <v>32848</v>
      </c>
      <c r="I14839" t="s">
        <v>32860</v>
      </c>
      <c r="J14839" t="s">
        <v>33415</v>
      </c>
      <c r="K14839" t="s">
        <v>42731</v>
      </c>
      <c r="M14839" t="s">
        <v>43646</v>
      </c>
      <c r="N14839" t="s">
        <v>47424</v>
      </c>
      <c r="O14839" t="s">
        <v>47425</v>
      </c>
      <c r="P14839">
        <v>0</v>
      </c>
      <c r="Q14839">
        <v>1</v>
      </c>
      <c r="R14839" t="s">
        <v>47447</v>
      </c>
      <c r="S14839" t="s">
        <v>48494</v>
      </c>
      <c r="T14839" t="s">
        <v>49237</v>
      </c>
      <c r="U14839" t="s">
        <v>61732</v>
      </c>
      <c r="W14839" t="s">
        <v>43646</v>
      </c>
      <c r="X14839" t="s">
        <v>47448</v>
      </c>
    </row>
    <row r="14840" spans="1:24">
      <c r="A14840">
        <f>HYPERLINK("https://www.philgeps.gov.ph/GEPSNONPILOT/Tender/SplashBidNoticeAbstractUI.aspx?menuIndex=3&amp;refID=7120381&amp;Result=3","7120381")</f>
        <v>0</v>
      </c>
      <c r="B14840" t="s">
        <v>2455</v>
      </c>
      <c r="C14840" t="s">
        <v>17953</v>
      </c>
      <c r="E14840" t="s">
        <v>31828</v>
      </c>
      <c r="F14840" t="s">
        <v>32831</v>
      </c>
      <c r="G14840" t="s">
        <v>32839</v>
      </c>
      <c r="H14840" t="s">
        <v>32849</v>
      </c>
      <c r="I14840" t="s">
        <v>4177</v>
      </c>
      <c r="J14840" t="s">
        <v>39594</v>
      </c>
      <c r="K14840" t="s">
        <v>42763</v>
      </c>
      <c r="M14840" t="s">
        <v>46916</v>
      </c>
      <c r="N14840" t="s">
        <v>47424</v>
      </c>
      <c r="O14840" t="s">
        <v>47425</v>
      </c>
      <c r="P14840">
        <v>0</v>
      </c>
      <c r="Q14840">
        <v>0</v>
      </c>
      <c r="R14840" t="s">
        <v>47447</v>
      </c>
      <c r="S14840" t="s">
        <v>48494</v>
      </c>
      <c r="T14840" t="s">
        <v>49239</v>
      </c>
      <c r="U14840" t="s">
        <v>51143</v>
      </c>
      <c r="W14840" t="s">
        <v>46916</v>
      </c>
      <c r="X14840" t="s">
        <v>47448</v>
      </c>
    </row>
    <row r="14841" spans="1:24">
      <c r="A14841">
        <f>HYPERLINK("https://www.philgeps.gov.ph/GEPSNONPILOT/Tender/SplashBidNoticeAbstractUI.aspx?menuIndex=3&amp;refID=7120356&amp;Result=3","7120356")</f>
        <v>0</v>
      </c>
      <c r="B14841" t="s">
        <v>834</v>
      </c>
      <c r="C14841" t="s">
        <v>17954</v>
      </c>
      <c r="D14841" t="s">
        <v>19046</v>
      </c>
      <c r="E14841" t="s">
        <v>31829</v>
      </c>
      <c r="F14841" t="s">
        <v>32831</v>
      </c>
      <c r="G14841" t="s">
        <v>32839</v>
      </c>
      <c r="H14841" t="s">
        <v>32848</v>
      </c>
      <c r="I14841" t="s">
        <v>4776</v>
      </c>
      <c r="J14841" t="s">
        <v>42033</v>
      </c>
      <c r="K14841" t="s">
        <v>42732</v>
      </c>
      <c r="M14841" t="s">
        <v>43983</v>
      </c>
      <c r="N14841" t="s">
        <v>47424</v>
      </c>
      <c r="O14841" t="s">
        <v>47425</v>
      </c>
      <c r="Q14841">
        <v>9</v>
      </c>
      <c r="R14841" t="s">
        <v>47447</v>
      </c>
      <c r="S14841" t="s">
        <v>48516</v>
      </c>
      <c r="T14841" t="s">
        <v>49239</v>
      </c>
      <c r="U14841" t="s">
        <v>61733</v>
      </c>
      <c r="W14841" t="s">
        <v>43983</v>
      </c>
      <c r="X14841" t="s">
        <v>47448</v>
      </c>
    </row>
    <row r="14842" spans="1:24">
      <c r="A14842">
        <f>HYPERLINK("https://www.philgeps.gov.ph/GEPSNONPILOT/Tender/SplashBidNoticeAbstractUI.aspx?menuIndex=3&amp;refID=7120473&amp;Result=3","7120473")</f>
        <v>0</v>
      </c>
      <c r="B14842" t="s">
        <v>1533</v>
      </c>
      <c r="C14842" t="s">
        <v>17955</v>
      </c>
      <c r="D14842" t="s">
        <v>19093</v>
      </c>
      <c r="E14842" t="s">
        <v>31830</v>
      </c>
      <c r="F14842" t="s">
        <v>32831</v>
      </c>
      <c r="G14842" t="s">
        <v>32839</v>
      </c>
      <c r="H14842" t="s">
        <v>32848</v>
      </c>
      <c r="I14842" t="s">
        <v>32861</v>
      </c>
      <c r="J14842" t="s">
        <v>33055</v>
      </c>
      <c r="K14842" t="s">
        <v>42763</v>
      </c>
      <c r="M14842" t="s">
        <v>44637</v>
      </c>
      <c r="N14842" t="s">
        <v>47424</v>
      </c>
      <c r="O14842" t="s">
        <v>47425</v>
      </c>
      <c r="P14842">
        <v>0</v>
      </c>
      <c r="Q14842">
        <v>24</v>
      </c>
      <c r="R14842" t="s">
        <v>47447</v>
      </c>
      <c r="S14842" t="s">
        <v>48494</v>
      </c>
      <c r="T14842" t="s">
        <v>49066</v>
      </c>
      <c r="U14842" t="s">
        <v>61734</v>
      </c>
      <c r="W14842" t="s">
        <v>44637</v>
      </c>
      <c r="X14842" t="s">
        <v>47448</v>
      </c>
    </row>
    <row r="14843" spans="1:24">
      <c r="A14843">
        <f>HYPERLINK("https://www.philgeps.gov.ph/GEPSNONPILOT/Tender/SplashBidNoticeAbstractUI.aspx?menuIndex=3&amp;refID=7120172&amp;Result=3","7120172")</f>
        <v>0</v>
      </c>
      <c r="B14843" t="s">
        <v>2268</v>
      </c>
      <c r="C14843" t="s">
        <v>17933</v>
      </c>
      <c r="D14843" t="s">
        <v>19037</v>
      </c>
      <c r="E14843" t="s">
        <v>19984</v>
      </c>
      <c r="F14843" t="s">
        <v>32831</v>
      </c>
      <c r="G14843" t="s">
        <v>32839</v>
      </c>
      <c r="H14843" t="s">
        <v>32848</v>
      </c>
      <c r="I14843" t="s">
        <v>7416</v>
      </c>
      <c r="J14843" t="s">
        <v>42034</v>
      </c>
      <c r="K14843" t="s">
        <v>42731</v>
      </c>
      <c r="M14843" t="s">
        <v>45452</v>
      </c>
      <c r="N14843" t="s">
        <v>47424</v>
      </c>
      <c r="O14843" t="s">
        <v>47425</v>
      </c>
      <c r="P14843">
        <v>0</v>
      </c>
      <c r="Q14843">
        <v>2</v>
      </c>
      <c r="R14843" t="s">
        <v>47447</v>
      </c>
      <c r="S14843" t="s">
        <v>48494</v>
      </c>
      <c r="T14843" t="s">
        <v>49108</v>
      </c>
      <c r="U14843" t="s">
        <v>55049</v>
      </c>
      <c r="W14843" t="s">
        <v>45452</v>
      </c>
      <c r="X14843" t="s">
        <v>47448</v>
      </c>
    </row>
    <row r="14844" spans="1:24">
      <c r="A14844">
        <f>HYPERLINK("https://www.philgeps.gov.ph/GEPSNONPILOT/Tender/SplashBidNoticeAbstractUI.aspx?menuIndex=3&amp;refID=7120153&amp;Result=3","7120153")</f>
        <v>0</v>
      </c>
      <c r="B14844" t="s">
        <v>127</v>
      </c>
      <c r="C14844" t="s">
        <v>17956</v>
      </c>
      <c r="D14844" t="s">
        <v>19038</v>
      </c>
      <c r="E14844" t="s">
        <v>31831</v>
      </c>
      <c r="F14844" t="s">
        <v>32831</v>
      </c>
      <c r="G14844" t="s">
        <v>32839</v>
      </c>
      <c r="H14844" t="s">
        <v>32848</v>
      </c>
      <c r="I14844" t="s">
        <v>4438</v>
      </c>
      <c r="J14844" t="s">
        <v>42035</v>
      </c>
      <c r="K14844" t="s">
        <v>42729</v>
      </c>
      <c r="M14844" t="s">
        <v>43124</v>
      </c>
      <c r="N14844" t="s">
        <v>47424</v>
      </c>
      <c r="O14844" t="s">
        <v>47425</v>
      </c>
      <c r="P14844">
        <v>0</v>
      </c>
      <c r="Q14844">
        <v>4</v>
      </c>
      <c r="R14844" t="s">
        <v>47447</v>
      </c>
      <c r="S14844" t="s">
        <v>48494</v>
      </c>
      <c r="T14844" t="s">
        <v>49111</v>
      </c>
      <c r="U14844" t="s">
        <v>61718</v>
      </c>
      <c r="V14844" t="s">
        <v>62748</v>
      </c>
      <c r="W14844" t="s">
        <v>43124</v>
      </c>
      <c r="X14844" t="s">
        <v>47448</v>
      </c>
    </row>
    <row r="14845" spans="1:24">
      <c r="A14845">
        <f>HYPERLINK("https://www.philgeps.gov.ph/GEPSNONPILOT/Tender/SplashBidNoticeAbstractUI.aspx?menuIndex=3&amp;refID=7120574&amp;Result=3","7120574")</f>
        <v>0</v>
      </c>
      <c r="B14845" t="s">
        <v>2457</v>
      </c>
      <c r="C14845" t="s">
        <v>17957</v>
      </c>
      <c r="D14845" t="s">
        <v>19049</v>
      </c>
      <c r="E14845" t="s">
        <v>24126</v>
      </c>
      <c r="F14845" t="s">
        <v>32831</v>
      </c>
      <c r="G14845" t="s">
        <v>32839</v>
      </c>
      <c r="H14845" t="s">
        <v>32849</v>
      </c>
      <c r="I14845" t="s">
        <v>4177</v>
      </c>
      <c r="J14845" t="s">
        <v>33193</v>
      </c>
      <c r="K14845" t="s">
        <v>42729</v>
      </c>
      <c r="M14845" t="s">
        <v>45655</v>
      </c>
      <c r="N14845" t="s">
        <v>47424</v>
      </c>
      <c r="O14845" t="s">
        <v>47425</v>
      </c>
      <c r="P14845">
        <v>0</v>
      </c>
      <c r="Q14845">
        <v>5</v>
      </c>
      <c r="R14845" t="s">
        <v>47447</v>
      </c>
      <c r="S14845" t="s">
        <v>48494</v>
      </c>
      <c r="T14845" t="s">
        <v>49238</v>
      </c>
      <c r="U14845" t="s">
        <v>55526</v>
      </c>
      <c r="V14845" t="s">
        <v>64315</v>
      </c>
      <c r="W14845" t="s">
        <v>45655</v>
      </c>
      <c r="X14845" t="s">
        <v>47448</v>
      </c>
    </row>
    <row r="14846" spans="1:24">
      <c r="A14846">
        <f>HYPERLINK("https://www.philgeps.gov.ph/GEPSNONPILOT/Tender/SplashBidNoticeAbstractUI.aspx?menuIndex=3&amp;refID=7120143&amp;Result=3","7120143")</f>
        <v>0</v>
      </c>
      <c r="B14846" t="s">
        <v>127</v>
      </c>
      <c r="C14846" t="s">
        <v>17958</v>
      </c>
      <c r="D14846" t="s">
        <v>19038</v>
      </c>
      <c r="E14846" t="s">
        <v>31832</v>
      </c>
      <c r="F14846" t="s">
        <v>32831</v>
      </c>
      <c r="G14846" t="s">
        <v>32839</v>
      </c>
      <c r="H14846" t="s">
        <v>32848</v>
      </c>
      <c r="I14846" t="s">
        <v>32859</v>
      </c>
      <c r="J14846" t="s">
        <v>42036</v>
      </c>
      <c r="K14846" t="s">
        <v>42730</v>
      </c>
      <c r="M14846" t="s">
        <v>43124</v>
      </c>
      <c r="N14846" t="s">
        <v>47424</v>
      </c>
      <c r="O14846" t="s">
        <v>47425</v>
      </c>
      <c r="P14846">
        <v>0</v>
      </c>
      <c r="Q14846">
        <v>3</v>
      </c>
      <c r="R14846" t="s">
        <v>47447</v>
      </c>
      <c r="S14846" t="s">
        <v>48494</v>
      </c>
      <c r="T14846" t="s">
        <v>49111</v>
      </c>
      <c r="U14846" t="s">
        <v>61735</v>
      </c>
      <c r="V14846" t="s">
        <v>62748</v>
      </c>
      <c r="W14846" t="s">
        <v>43124</v>
      </c>
      <c r="X14846" t="s">
        <v>47448</v>
      </c>
    </row>
    <row r="14847" spans="1:24">
      <c r="A14847">
        <f>HYPERLINK("https://www.philgeps.gov.ph/GEPSNONPILOT/Tender/SplashBidNoticeAbstractUI.aspx?menuIndex=3&amp;refID=7118747&amp;Result=3","7118747")</f>
        <v>0</v>
      </c>
      <c r="B14847" t="s">
        <v>2148</v>
      </c>
      <c r="C14847" t="s">
        <v>17959</v>
      </c>
      <c r="D14847" t="s">
        <v>19038</v>
      </c>
      <c r="E14847" t="s">
        <v>31833</v>
      </c>
      <c r="F14847" t="s">
        <v>32831</v>
      </c>
      <c r="G14847" t="s">
        <v>32839</v>
      </c>
      <c r="H14847" t="s">
        <v>32849</v>
      </c>
      <c r="I14847" t="s">
        <v>4177</v>
      </c>
      <c r="J14847" t="s">
        <v>33032</v>
      </c>
      <c r="K14847" t="s">
        <v>42766</v>
      </c>
      <c r="M14847" t="s">
        <v>45328</v>
      </c>
      <c r="N14847" t="s">
        <v>47424</v>
      </c>
      <c r="O14847" t="s">
        <v>47425</v>
      </c>
      <c r="P14847">
        <v>0</v>
      </c>
      <c r="Q14847">
        <v>2</v>
      </c>
      <c r="R14847" t="s">
        <v>47447</v>
      </c>
      <c r="S14847" t="s">
        <v>48494</v>
      </c>
      <c r="T14847" t="s">
        <v>49397</v>
      </c>
      <c r="U14847" t="s">
        <v>61736</v>
      </c>
      <c r="W14847" t="s">
        <v>45328</v>
      </c>
      <c r="X14847" t="s">
        <v>47451</v>
      </c>
    </row>
    <row r="14848" spans="1:24">
      <c r="A14848">
        <f>HYPERLINK("https://www.philgeps.gov.ph/GEPSNONPILOT/Tender/SplashBidNoticeAbstractUI.aspx?menuIndex=3&amp;refID=7118139&amp;Result=3","7118139")</f>
        <v>0</v>
      </c>
      <c r="B14848" t="s">
        <v>342</v>
      </c>
      <c r="C14848" t="s">
        <v>17960</v>
      </c>
      <c r="D14848" t="s">
        <v>19047</v>
      </c>
      <c r="E14848" t="s">
        <v>31834</v>
      </c>
      <c r="F14848" t="s">
        <v>32831</v>
      </c>
      <c r="G14848" t="s">
        <v>32839</v>
      </c>
      <c r="H14848" t="s">
        <v>32848</v>
      </c>
      <c r="I14848" t="s">
        <v>4558</v>
      </c>
      <c r="J14848" t="s">
        <v>42037</v>
      </c>
      <c r="K14848" t="s">
        <v>42731</v>
      </c>
      <c r="M14848" t="s">
        <v>43345</v>
      </c>
      <c r="N14848" t="s">
        <v>47424</v>
      </c>
      <c r="O14848" t="s">
        <v>47425</v>
      </c>
      <c r="P14848">
        <v>0</v>
      </c>
      <c r="Q14848">
        <v>6</v>
      </c>
      <c r="R14848" t="s">
        <v>47447</v>
      </c>
      <c r="S14848" t="s">
        <v>48494</v>
      </c>
      <c r="T14848" t="s">
        <v>49214</v>
      </c>
      <c r="U14848" t="s">
        <v>61737</v>
      </c>
      <c r="W14848" t="s">
        <v>64530</v>
      </c>
      <c r="X14848" t="s">
        <v>47451</v>
      </c>
    </row>
    <row r="14849" spans="1:24">
      <c r="A14849">
        <f>HYPERLINK("https://www.philgeps.gov.ph/GEPSNONPILOT/Tender/SplashBidNoticeAbstractUI.aspx?menuIndex=3&amp;refID=7118104&amp;Result=3","7118104")</f>
        <v>0</v>
      </c>
      <c r="B14849" t="s">
        <v>342</v>
      </c>
      <c r="C14849" t="s">
        <v>17961</v>
      </c>
      <c r="D14849" t="s">
        <v>19047</v>
      </c>
      <c r="E14849" t="s">
        <v>31835</v>
      </c>
      <c r="F14849" t="s">
        <v>32831</v>
      </c>
      <c r="G14849" t="s">
        <v>32839</v>
      </c>
      <c r="H14849" t="s">
        <v>32848</v>
      </c>
      <c r="I14849" t="s">
        <v>4558</v>
      </c>
      <c r="J14849" t="s">
        <v>42038</v>
      </c>
      <c r="K14849" t="s">
        <v>42731</v>
      </c>
      <c r="M14849" t="s">
        <v>43345</v>
      </c>
      <c r="N14849" t="s">
        <v>47424</v>
      </c>
      <c r="O14849" t="s">
        <v>47425</v>
      </c>
      <c r="P14849">
        <v>0</v>
      </c>
      <c r="Q14849">
        <v>2</v>
      </c>
      <c r="R14849" t="s">
        <v>47447</v>
      </c>
      <c r="S14849" t="s">
        <v>48494</v>
      </c>
      <c r="T14849" t="s">
        <v>49214</v>
      </c>
      <c r="U14849" t="s">
        <v>61738</v>
      </c>
      <c r="W14849" t="s">
        <v>64530</v>
      </c>
      <c r="X14849" t="s">
        <v>47451</v>
      </c>
    </row>
    <row r="14850" spans="1:24">
      <c r="A14850">
        <f>HYPERLINK("https://www.philgeps.gov.ph/GEPSNONPILOT/Tender/SplashBidNoticeAbstractUI.aspx?menuIndex=3&amp;refID=7120144&amp;Result=3","7120144")</f>
        <v>0</v>
      </c>
      <c r="B14850" t="s">
        <v>3856</v>
      </c>
      <c r="C14850" t="s">
        <v>17962</v>
      </c>
      <c r="D14850" t="s">
        <v>19126</v>
      </c>
      <c r="E14850" t="s">
        <v>31836</v>
      </c>
      <c r="F14850" t="s">
        <v>32831</v>
      </c>
      <c r="G14850" t="s">
        <v>32845</v>
      </c>
      <c r="H14850" t="s">
        <v>32848</v>
      </c>
      <c r="I14850" t="s">
        <v>32883</v>
      </c>
      <c r="J14850" t="s">
        <v>33078</v>
      </c>
      <c r="K14850" t="s">
        <v>42747</v>
      </c>
      <c r="M14850" t="s">
        <v>47291</v>
      </c>
      <c r="N14850" t="s">
        <v>47424</v>
      </c>
      <c r="O14850" t="s">
        <v>47425</v>
      </c>
      <c r="Q14850">
        <v>7</v>
      </c>
      <c r="R14850" t="s">
        <v>47447</v>
      </c>
      <c r="S14850" t="s">
        <v>48517</v>
      </c>
      <c r="T14850" t="s">
        <v>49370</v>
      </c>
      <c r="U14850" t="s">
        <v>61739</v>
      </c>
      <c r="W14850" t="s">
        <v>47291</v>
      </c>
      <c r="X14850" t="s">
        <v>47448</v>
      </c>
    </row>
    <row r="14851" spans="1:24">
      <c r="A14851">
        <f>HYPERLINK("https://www.philgeps.gov.ph/GEPSNONPILOT/Tender/SplashBidNoticeAbstractUI.aspx?menuIndex=3&amp;refID=7118041&amp;Result=3","7118041")</f>
        <v>0</v>
      </c>
      <c r="B14851" t="s">
        <v>2151</v>
      </c>
      <c r="C14851" t="s">
        <v>17963</v>
      </c>
      <c r="D14851" t="s">
        <v>19054</v>
      </c>
      <c r="E14851" t="s">
        <v>31837</v>
      </c>
      <c r="F14851" t="s">
        <v>32831</v>
      </c>
      <c r="G14851" t="s">
        <v>32839</v>
      </c>
      <c r="H14851" t="s">
        <v>32848</v>
      </c>
      <c r="I14851" t="s">
        <v>32870</v>
      </c>
      <c r="J14851" t="s">
        <v>39648</v>
      </c>
      <c r="K14851" t="s">
        <v>42730</v>
      </c>
      <c r="M14851" t="s">
        <v>45332</v>
      </c>
      <c r="N14851" t="s">
        <v>47424</v>
      </c>
      <c r="O14851" t="s">
        <v>47425</v>
      </c>
      <c r="P14851">
        <v>0</v>
      </c>
      <c r="Q14851">
        <v>1</v>
      </c>
      <c r="R14851" t="s">
        <v>47447</v>
      </c>
      <c r="S14851" t="s">
        <v>48494</v>
      </c>
      <c r="T14851" t="s">
        <v>49239</v>
      </c>
      <c r="U14851" t="s">
        <v>61740</v>
      </c>
      <c r="W14851" t="s">
        <v>45332</v>
      </c>
      <c r="X14851" t="s">
        <v>47451</v>
      </c>
    </row>
    <row r="14852" spans="1:24">
      <c r="A14852">
        <f>HYPERLINK("https://www.philgeps.gov.ph/GEPSNONPILOT/Tender/SplashBidNoticeAbstractUI.aspx?menuIndex=3&amp;refID=7119625&amp;Result=3","7119625")</f>
        <v>0</v>
      </c>
      <c r="B14852" t="s">
        <v>3857</v>
      </c>
      <c r="C14852" t="s">
        <v>17964</v>
      </c>
      <c r="D14852" t="s">
        <v>19097</v>
      </c>
      <c r="E14852" t="s">
        <v>31838</v>
      </c>
      <c r="F14852" t="s">
        <v>32831</v>
      </c>
      <c r="G14852" t="s">
        <v>32839</v>
      </c>
      <c r="H14852" t="s">
        <v>32849</v>
      </c>
      <c r="I14852" t="s">
        <v>4177</v>
      </c>
      <c r="J14852" t="s">
        <v>42039</v>
      </c>
      <c r="K14852" t="s">
        <v>42784</v>
      </c>
      <c r="M14852" t="s">
        <v>47292</v>
      </c>
      <c r="N14852" t="s">
        <v>47424</v>
      </c>
      <c r="O14852" t="s">
        <v>47425</v>
      </c>
      <c r="P14852">
        <v>0</v>
      </c>
      <c r="Q14852">
        <v>6</v>
      </c>
      <c r="R14852" t="s">
        <v>47447</v>
      </c>
      <c r="S14852" t="s">
        <v>48494</v>
      </c>
      <c r="T14852" t="s">
        <v>49251</v>
      </c>
      <c r="U14852" t="s">
        <v>61741</v>
      </c>
      <c r="W14852" t="s">
        <v>64562</v>
      </c>
      <c r="X14852" t="s">
        <v>47450</v>
      </c>
    </row>
    <row r="14853" spans="1:24">
      <c r="A14853">
        <f>HYPERLINK("https://www.philgeps.gov.ph/GEPSNONPILOT/Tender/SplashBidNoticeAbstractUI.aspx?menuIndex=3&amp;refID=7118035&amp;Result=3","7118035")</f>
        <v>0</v>
      </c>
      <c r="B14853" t="s">
        <v>342</v>
      </c>
      <c r="C14853" t="s">
        <v>17965</v>
      </c>
      <c r="D14853" t="s">
        <v>19047</v>
      </c>
      <c r="E14853" t="s">
        <v>31839</v>
      </c>
      <c r="F14853" t="s">
        <v>32831</v>
      </c>
      <c r="G14853" t="s">
        <v>32839</v>
      </c>
      <c r="H14853" t="s">
        <v>32848</v>
      </c>
      <c r="I14853" t="s">
        <v>7751</v>
      </c>
      <c r="J14853" t="s">
        <v>42040</v>
      </c>
      <c r="K14853" t="s">
        <v>42729</v>
      </c>
      <c r="M14853" t="s">
        <v>43345</v>
      </c>
      <c r="N14853" t="s">
        <v>47424</v>
      </c>
      <c r="O14853" t="s">
        <v>47425</v>
      </c>
      <c r="P14853">
        <v>0</v>
      </c>
      <c r="Q14853">
        <v>8</v>
      </c>
      <c r="R14853" t="s">
        <v>47447</v>
      </c>
      <c r="S14853" t="s">
        <v>48494</v>
      </c>
      <c r="T14853" t="s">
        <v>49214</v>
      </c>
      <c r="U14853" t="s">
        <v>61742</v>
      </c>
      <c r="W14853" t="s">
        <v>64530</v>
      </c>
      <c r="X14853" t="s">
        <v>47451</v>
      </c>
    </row>
    <row r="14854" spans="1:24">
      <c r="A14854">
        <f>HYPERLINK("https://www.philgeps.gov.ph/GEPSNONPILOT/Tender/SplashBidNoticeAbstractUI.aspx?menuIndex=3&amp;refID=7118000&amp;Result=3","7118000")</f>
        <v>0</v>
      </c>
      <c r="B14854" t="s">
        <v>342</v>
      </c>
      <c r="C14854" t="s">
        <v>17966</v>
      </c>
      <c r="D14854" t="s">
        <v>19047</v>
      </c>
      <c r="E14854" t="s">
        <v>31840</v>
      </c>
      <c r="F14854" t="s">
        <v>32831</v>
      </c>
      <c r="G14854" t="s">
        <v>32839</v>
      </c>
      <c r="H14854" t="s">
        <v>32848</v>
      </c>
      <c r="I14854" t="s">
        <v>4558</v>
      </c>
      <c r="J14854" t="s">
        <v>42041</v>
      </c>
      <c r="K14854" t="s">
        <v>42732</v>
      </c>
      <c r="M14854" t="s">
        <v>43345</v>
      </c>
      <c r="N14854" t="s">
        <v>47424</v>
      </c>
      <c r="O14854" t="s">
        <v>47425</v>
      </c>
      <c r="P14854">
        <v>0</v>
      </c>
      <c r="Q14854">
        <v>4</v>
      </c>
      <c r="R14854" t="s">
        <v>47447</v>
      </c>
      <c r="S14854" t="s">
        <v>48494</v>
      </c>
      <c r="T14854" t="s">
        <v>49214</v>
      </c>
      <c r="U14854" t="s">
        <v>61743</v>
      </c>
      <c r="W14854" t="s">
        <v>64530</v>
      </c>
      <c r="X14854" t="s">
        <v>47451</v>
      </c>
    </row>
    <row r="14855" spans="1:24">
      <c r="A14855">
        <f>HYPERLINK("https://www.philgeps.gov.ph/GEPSNONPILOT/Tender/SplashBidNoticeAbstractUI.aspx?menuIndex=3&amp;refID=7118049&amp;Result=3","7118049")</f>
        <v>0</v>
      </c>
      <c r="B14855" t="s">
        <v>342</v>
      </c>
      <c r="C14855" t="s">
        <v>17967</v>
      </c>
      <c r="D14855" t="s">
        <v>19047</v>
      </c>
      <c r="E14855" t="s">
        <v>31841</v>
      </c>
      <c r="F14855" t="s">
        <v>32831</v>
      </c>
      <c r="G14855" t="s">
        <v>32839</v>
      </c>
      <c r="H14855" t="s">
        <v>32848</v>
      </c>
      <c r="I14855" t="s">
        <v>7751</v>
      </c>
      <c r="J14855" t="s">
        <v>42042</v>
      </c>
      <c r="K14855" t="s">
        <v>42729</v>
      </c>
      <c r="M14855" t="s">
        <v>43345</v>
      </c>
      <c r="N14855" t="s">
        <v>47424</v>
      </c>
      <c r="O14855" t="s">
        <v>47425</v>
      </c>
      <c r="P14855">
        <v>0</v>
      </c>
      <c r="Q14855">
        <v>7</v>
      </c>
      <c r="R14855" t="s">
        <v>47447</v>
      </c>
      <c r="S14855" t="s">
        <v>48494</v>
      </c>
      <c r="T14855" t="s">
        <v>49214</v>
      </c>
      <c r="U14855" t="s">
        <v>61744</v>
      </c>
      <c r="W14855" t="s">
        <v>64530</v>
      </c>
      <c r="X14855" t="s">
        <v>47451</v>
      </c>
    </row>
    <row r="14856" spans="1:24">
      <c r="A14856">
        <f>HYPERLINK("https://www.philgeps.gov.ph/GEPSNONPILOT/Tender/SplashBidNoticeAbstractUI.aspx?menuIndex=3&amp;refID=7112589&amp;Result=3","7112589")</f>
        <v>0</v>
      </c>
      <c r="B14856" t="s">
        <v>127</v>
      </c>
      <c r="C14856" t="s">
        <v>5150</v>
      </c>
      <c r="D14856" t="s">
        <v>19038</v>
      </c>
      <c r="E14856" t="s">
        <v>31842</v>
      </c>
      <c r="F14856" t="s">
        <v>32831</v>
      </c>
      <c r="G14856" t="s">
        <v>32839</v>
      </c>
      <c r="H14856" t="s">
        <v>32849</v>
      </c>
      <c r="I14856" t="s">
        <v>4177</v>
      </c>
      <c r="J14856" t="s">
        <v>42043</v>
      </c>
      <c r="K14856" t="s">
        <v>42770</v>
      </c>
      <c r="M14856" t="s">
        <v>43124</v>
      </c>
      <c r="N14856" t="s">
        <v>47424</v>
      </c>
      <c r="O14856" t="s">
        <v>47425</v>
      </c>
      <c r="P14856">
        <v>0</v>
      </c>
      <c r="Q14856">
        <v>2</v>
      </c>
      <c r="R14856" t="s">
        <v>47447</v>
      </c>
      <c r="S14856" t="s">
        <v>48494</v>
      </c>
      <c r="T14856" t="s">
        <v>49111</v>
      </c>
      <c r="U14856" t="s">
        <v>61745</v>
      </c>
      <c r="W14856" t="s">
        <v>43124</v>
      </c>
      <c r="X14856" t="s">
        <v>47453</v>
      </c>
    </row>
    <row r="14857" spans="1:24">
      <c r="A14857">
        <f>HYPERLINK("https://www.philgeps.gov.ph/GEPSNONPILOT/Tender/SplashBidNoticeAbstractUI.aspx?menuIndex=3&amp;refID=7112573&amp;Result=3","7112573")</f>
        <v>0</v>
      </c>
      <c r="B14857" t="s">
        <v>127</v>
      </c>
      <c r="C14857" t="s">
        <v>6124</v>
      </c>
      <c r="D14857" t="s">
        <v>19038</v>
      </c>
      <c r="E14857" t="s">
        <v>31843</v>
      </c>
      <c r="F14857" t="s">
        <v>32831</v>
      </c>
      <c r="G14857" t="s">
        <v>32839</v>
      </c>
      <c r="H14857" t="s">
        <v>32849</v>
      </c>
      <c r="I14857" t="s">
        <v>4177</v>
      </c>
      <c r="J14857" t="s">
        <v>42044</v>
      </c>
      <c r="K14857" t="s">
        <v>42770</v>
      </c>
      <c r="M14857" t="s">
        <v>43124</v>
      </c>
      <c r="N14857" t="s">
        <v>47424</v>
      </c>
      <c r="O14857" t="s">
        <v>47425</v>
      </c>
      <c r="P14857">
        <v>0</v>
      </c>
      <c r="Q14857">
        <v>1</v>
      </c>
      <c r="R14857" t="s">
        <v>47447</v>
      </c>
      <c r="S14857" t="s">
        <v>48494</v>
      </c>
      <c r="T14857" t="s">
        <v>49111</v>
      </c>
      <c r="U14857" t="s">
        <v>61746</v>
      </c>
      <c r="W14857" t="s">
        <v>43124</v>
      </c>
      <c r="X14857" t="s">
        <v>47453</v>
      </c>
    </row>
    <row r="14858" spans="1:24">
      <c r="A14858">
        <f>HYPERLINK("https://www.philgeps.gov.ph/GEPSNONPILOT/Tender/SplashBidNoticeAbstractUI.aspx?menuIndex=3&amp;refID=7112552&amp;Result=3","7112552")</f>
        <v>0</v>
      </c>
      <c r="B14858" t="s">
        <v>127</v>
      </c>
      <c r="C14858" t="s">
        <v>17968</v>
      </c>
      <c r="D14858" t="s">
        <v>19038</v>
      </c>
      <c r="E14858" t="s">
        <v>31844</v>
      </c>
      <c r="F14858" t="s">
        <v>32831</v>
      </c>
      <c r="G14858" t="s">
        <v>32839</v>
      </c>
      <c r="H14858" t="s">
        <v>32849</v>
      </c>
      <c r="I14858" t="s">
        <v>4177</v>
      </c>
      <c r="J14858" t="s">
        <v>42045</v>
      </c>
      <c r="K14858" t="s">
        <v>42770</v>
      </c>
      <c r="M14858" t="s">
        <v>43124</v>
      </c>
      <c r="N14858" t="s">
        <v>47424</v>
      </c>
      <c r="O14858" t="s">
        <v>47425</v>
      </c>
      <c r="P14858">
        <v>0</v>
      </c>
      <c r="Q14858">
        <v>7</v>
      </c>
      <c r="R14858" t="s">
        <v>47447</v>
      </c>
      <c r="S14858" t="s">
        <v>48494</v>
      </c>
      <c r="T14858" t="s">
        <v>49111</v>
      </c>
      <c r="U14858" t="s">
        <v>61747</v>
      </c>
      <c r="W14858" t="s">
        <v>43124</v>
      </c>
      <c r="X14858" t="s">
        <v>47453</v>
      </c>
    </row>
    <row r="14859" spans="1:24">
      <c r="A14859">
        <f>HYPERLINK("https://www.philgeps.gov.ph/GEPSNONPILOT/Tender/SplashBidNoticeAbstractUI.aspx?menuIndex=3&amp;refID=7106525&amp;Result=3","7106525")</f>
        <v>0</v>
      </c>
      <c r="B14859" t="s">
        <v>3461</v>
      </c>
      <c r="C14859" t="s">
        <v>17969</v>
      </c>
      <c r="D14859" t="s">
        <v>19045</v>
      </c>
      <c r="E14859" t="s">
        <v>31845</v>
      </c>
      <c r="F14859" t="s">
        <v>32833</v>
      </c>
      <c r="G14859" t="s">
        <v>32839</v>
      </c>
      <c r="H14859" t="s">
        <v>32848</v>
      </c>
      <c r="I14859" t="s">
        <v>7416</v>
      </c>
      <c r="J14859" t="s">
        <v>42046</v>
      </c>
      <c r="K14859" t="s">
        <v>42742</v>
      </c>
      <c r="M14859" t="s">
        <v>46803</v>
      </c>
      <c r="N14859" t="s">
        <v>47424</v>
      </c>
      <c r="O14859" t="s">
        <v>47425</v>
      </c>
      <c r="Q14859">
        <v>0</v>
      </c>
      <c r="R14859" t="s">
        <v>47447</v>
      </c>
      <c r="S14859" t="s">
        <v>48518</v>
      </c>
      <c r="T14859" t="s">
        <v>49073</v>
      </c>
      <c r="U14859" t="s">
        <v>61748</v>
      </c>
      <c r="V14859" t="s">
        <v>63928</v>
      </c>
      <c r="W14859" t="s">
        <v>46803</v>
      </c>
      <c r="X14859" t="s">
        <v>47456</v>
      </c>
    </row>
    <row r="14860" spans="1:24">
      <c r="A14860">
        <f>HYPERLINK("https://www.philgeps.gov.ph/GEPSNONPILOT/Tender/SplashBidNoticeAbstractUI.aspx?menuIndex=3&amp;refID=7118082&amp;Result=3","7118082")</f>
        <v>0</v>
      </c>
      <c r="B14860" t="s">
        <v>342</v>
      </c>
      <c r="C14860" t="s">
        <v>17970</v>
      </c>
      <c r="D14860" t="s">
        <v>19047</v>
      </c>
      <c r="E14860" t="s">
        <v>31846</v>
      </c>
      <c r="F14860" t="s">
        <v>32831</v>
      </c>
      <c r="G14860" t="s">
        <v>32839</v>
      </c>
      <c r="H14860" t="s">
        <v>32848</v>
      </c>
      <c r="I14860" t="s">
        <v>7751</v>
      </c>
      <c r="J14860" t="s">
        <v>42047</v>
      </c>
      <c r="K14860" t="s">
        <v>42729</v>
      </c>
      <c r="M14860" t="s">
        <v>43345</v>
      </c>
      <c r="N14860" t="s">
        <v>47424</v>
      </c>
      <c r="O14860" t="s">
        <v>47425</v>
      </c>
      <c r="P14860">
        <v>0</v>
      </c>
      <c r="Q14860">
        <v>2</v>
      </c>
      <c r="R14860" t="s">
        <v>47447</v>
      </c>
      <c r="S14860" t="s">
        <v>48494</v>
      </c>
      <c r="T14860" t="s">
        <v>49214</v>
      </c>
      <c r="U14860" t="s">
        <v>61749</v>
      </c>
      <c r="W14860" t="s">
        <v>64530</v>
      </c>
      <c r="X14860" t="s">
        <v>47451</v>
      </c>
    </row>
    <row r="14861" spans="1:24">
      <c r="A14861">
        <f>HYPERLINK("https://www.philgeps.gov.ph/GEPSNONPILOT/Tender/SplashBidNoticeAbstractUI.aspx?menuIndex=3&amp;refID=7116621&amp;Result=3","7116621")</f>
        <v>0</v>
      </c>
      <c r="B14861" t="s">
        <v>99</v>
      </c>
      <c r="C14861" t="s">
        <v>17971</v>
      </c>
      <c r="D14861" t="s">
        <v>19054</v>
      </c>
      <c r="E14861" t="s">
        <v>31847</v>
      </c>
      <c r="F14861" t="s">
        <v>32831</v>
      </c>
      <c r="G14861" t="s">
        <v>32839</v>
      </c>
      <c r="H14861" t="s">
        <v>32848</v>
      </c>
      <c r="I14861" t="s">
        <v>32871</v>
      </c>
      <c r="J14861" t="s">
        <v>33794</v>
      </c>
      <c r="K14861" t="s">
        <v>42730</v>
      </c>
      <c r="M14861" t="s">
        <v>43171</v>
      </c>
      <c r="N14861" t="s">
        <v>47424</v>
      </c>
      <c r="O14861" t="s">
        <v>47425</v>
      </c>
      <c r="P14861">
        <v>0</v>
      </c>
      <c r="Q14861">
        <v>25</v>
      </c>
      <c r="R14861" t="s">
        <v>47447</v>
      </c>
      <c r="S14861" t="s">
        <v>48494</v>
      </c>
      <c r="T14861" t="s">
        <v>49108</v>
      </c>
      <c r="U14861" t="s">
        <v>56583</v>
      </c>
      <c r="V14861" t="s">
        <v>62643</v>
      </c>
      <c r="W14861" t="s">
        <v>43171</v>
      </c>
      <c r="X14861" t="s">
        <v>47451</v>
      </c>
    </row>
    <row r="14862" spans="1:24">
      <c r="A14862">
        <f>HYPERLINK("https://www.philgeps.gov.ph/GEPSNONPILOT/Tender/SplashBidNoticeAbstractUI.aspx?menuIndex=3&amp;refID=7106234&amp;Result=3","7106234")</f>
        <v>0</v>
      </c>
      <c r="B14862" t="s">
        <v>2979</v>
      </c>
      <c r="C14862" t="s">
        <v>17972</v>
      </c>
      <c r="D14862" t="s">
        <v>19029</v>
      </c>
      <c r="E14862" t="s">
        <v>31848</v>
      </c>
      <c r="F14862" t="s">
        <v>32831</v>
      </c>
      <c r="G14862" t="s">
        <v>32839</v>
      </c>
      <c r="H14862" t="s">
        <v>32849</v>
      </c>
      <c r="I14862" t="s">
        <v>4177</v>
      </c>
      <c r="J14862" t="s">
        <v>33083</v>
      </c>
      <c r="K14862" t="s">
        <v>42729</v>
      </c>
      <c r="M14862" t="s">
        <v>46242</v>
      </c>
      <c r="N14862" t="s">
        <v>47424</v>
      </c>
      <c r="O14862" t="s">
        <v>47425</v>
      </c>
      <c r="P14862">
        <v>0</v>
      </c>
      <c r="Q14862">
        <v>0</v>
      </c>
      <c r="R14862" t="s">
        <v>47447</v>
      </c>
      <c r="S14862" t="s">
        <v>48494</v>
      </c>
      <c r="T14862" t="s">
        <v>49237</v>
      </c>
      <c r="U14862" t="s">
        <v>54685</v>
      </c>
      <c r="W14862" t="s">
        <v>46242</v>
      </c>
      <c r="X14862" t="s">
        <v>47456</v>
      </c>
    </row>
    <row r="14863" spans="1:24">
      <c r="A14863">
        <f>HYPERLINK("https://www.philgeps.gov.ph/GEPSNONPILOT/Tender/SplashBidNoticeAbstractUI.aspx?menuIndex=3&amp;refID=7106030&amp;Result=3","7106030")</f>
        <v>0</v>
      </c>
      <c r="B14863" t="s">
        <v>2979</v>
      </c>
      <c r="C14863" t="s">
        <v>17973</v>
      </c>
      <c r="D14863" t="s">
        <v>19029</v>
      </c>
      <c r="E14863" t="s">
        <v>31849</v>
      </c>
      <c r="F14863" t="s">
        <v>32831</v>
      </c>
      <c r="G14863" t="s">
        <v>32839</v>
      </c>
      <c r="H14863" t="s">
        <v>32849</v>
      </c>
      <c r="I14863" t="s">
        <v>4177</v>
      </c>
      <c r="J14863" t="s">
        <v>33083</v>
      </c>
      <c r="K14863" t="s">
        <v>42773</v>
      </c>
      <c r="M14863" t="s">
        <v>46242</v>
      </c>
      <c r="N14863" t="s">
        <v>47424</v>
      </c>
      <c r="O14863" t="s">
        <v>47425</v>
      </c>
      <c r="P14863">
        <v>0</v>
      </c>
      <c r="Q14863">
        <v>1</v>
      </c>
      <c r="R14863" t="s">
        <v>47447</v>
      </c>
      <c r="S14863" t="s">
        <v>48494</v>
      </c>
      <c r="T14863" t="s">
        <v>49237</v>
      </c>
      <c r="U14863" t="s">
        <v>54685</v>
      </c>
      <c r="W14863" t="s">
        <v>46242</v>
      </c>
      <c r="X14863" t="s">
        <v>47456</v>
      </c>
    </row>
    <row r="14864" spans="1:24">
      <c r="A14864">
        <f>HYPERLINK("https://www.philgeps.gov.ph/GEPSNONPILOT/Tender/SplashBidNoticeAbstractUI.aspx?menuIndex=3&amp;refID=7105878&amp;Result=3","7105878")</f>
        <v>0</v>
      </c>
      <c r="B14864" t="s">
        <v>2037</v>
      </c>
      <c r="C14864" t="s">
        <v>17974</v>
      </c>
      <c r="D14864" t="s">
        <v>19044</v>
      </c>
      <c r="E14864" t="s">
        <v>19984</v>
      </c>
      <c r="F14864" t="s">
        <v>32831</v>
      </c>
      <c r="G14864" t="s">
        <v>32839</v>
      </c>
      <c r="H14864" t="s">
        <v>32848</v>
      </c>
      <c r="I14864" t="s">
        <v>32958</v>
      </c>
      <c r="J14864" t="s">
        <v>34003</v>
      </c>
      <c r="K14864" t="s">
        <v>42747</v>
      </c>
      <c r="M14864" t="s">
        <v>45206</v>
      </c>
      <c r="N14864" t="s">
        <v>47424</v>
      </c>
      <c r="O14864" t="s">
        <v>47425</v>
      </c>
      <c r="P14864">
        <v>0</v>
      </c>
      <c r="Q14864">
        <v>1</v>
      </c>
      <c r="R14864" t="s">
        <v>47447</v>
      </c>
      <c r="S14864" t="s">
        <v>48494</v>
      </c>
      <c r="T14864" t="s">
        <v>49237</v>
      </c>
      <c r="U14864" t="s">
        <v>61750</v>
      </c>
      <c r="V14864" t="s">
        <v>63233</v>
      </c>
      <c r="W14864" t="s">
        <v>45206</v>
      </c>
      <c r="X14864" t="s">
        <v>47456</v>
      </c>
    </row>
    <row r="14865" spans="1:24">
      <c r="A14865">
        <f>HYPERLINK("https://www.philgeps.gov.ph/GEPSNONPILOT/Tender/SplashBidNoticeAbstractUI.aspx?menuIndex=3&amp;refID=7120434&amp;Result=3","7120434")</f>
        <v>0</v>
      </c>
      <c r="B14865" t="s">
        <v>2051</v>
      </c>
      <c r="C14865" t="s">
        <v>17975</v>
      </c>
      <c r="D14865" t="s">
        <v>19017</v>
      </c>
      <c r="E14865" t="s">
        <v>31850</v>
      </c>
      <c r="F14865" t="s">
        <v>32831</v>
      </c>
      <c r="G14865" t="s">
        <v>32841</v>
      </c>
      <c r="H14865" t="s">
        <v>32848</v>
      </c>
      <c r="I14865" t="s">
        <v>32857</v>
      </c>
      <c r="J14865" t="s">
        <v>42048</v>
      </c>
      <c r="K14865" t="s">
        <v>42726</v>
      </c>
      <c r="M14865" t="s">
        <v>47293</v>
      </c>
      <c r="N14865" t="s">
        <v>47424</v>
      </c>
      <c r="O14865" t="s">
        <v>47425</v>
      </c>
      <c r="P14865">
        <v>0</v>
      </c>
      <c r="Q14865">
        <v>14</v>
      </c>
      <c r="R14865" t="s">
        <v>47447</v>
      </c>
      <c r="S14865" t="s">
        <v>48494</v>
      </c>
      <c r="T14865" t="s">
        <v>49237</v>
      </c>
      <c r="U14865" t="s">
        <v>61751</v>
      </c>
      <c r="W14865" t="s">
        <v>47293</v>
      </c>
      <c r="X14865" t="s">
        <v>47448</v>
      </c>
    </row>
    <row r="14866" spans="1:24">
      <c r="A14866">
        <f>HYPERLINK("https://www.philgeps.gov.ph/GEPSNONPILOT/Tender/SplashBidNoticeAbstractUI.aspx?menuIndex=3&amp;refID=7126323&amp;Result=3","7126323")</f>
        <v>0</v>
      </c>
      <c r="B14866" t="s">
        <v>1090</v>
      </c>
      <c r="C14866" t="s">
        <v>17976</v>
      </c>
      <c r="D14866" t="s">
        <v>19078</v>
      </c>
      <c r="E14866" t="s">
        <v>31851</v>
      </c>
      <c r="F14866" t="s">
        <v>32831</v>
      </c>
      <c r="G14866" t="s">
        <v>32839</v>
      </c>
      <c r="H14866" t="s">
        <v>32849</v>
      </c>
      <c r="I14866" t="s">
        <v>4177</v>
      </c>
      <c r="J14866" t="s">
        <v>42049</v>
      </c>
      <c r="K14866" t="s">
        <v>42911</v>
      </c>
      <c r="M14866" t="s">
        <v>44149</v>
      </c>
      <c r="N14866" t="s">
        <v>47424</v>
      </c>
      <c r="O14866" t="s">
        <v>47425</v>
      </c>
      <c r="P14866">
        <v>0</v>
      </c>
      <c r="Q14866">
        <v>1</v>
      </c>
      <c r="R14866" t="s">
        <v>47446</v>
      </c>
      <c r="S14866" t="s">
        <v>48377</v>
      </c>
      <c r="T14866" t="s">
        <v>49239</v>
      </c>
      <c r="U14866" t="s">
        <v>61752</v>
      </c>
      <c r="W14866" t="s">
        <v>44149</v>
      </c>
      <c r="X14866" t="s">
        <v>47447</v>
      </c>
    </row>
    <row r="14867" spans="1:24">
      <c r="A14867">
        <f>HYPERLINK("https://www.philgeps.gov.ph/GEPSNONPILOT/Tender/SplashBidNoticeAbstractUI.aspx?menuIndex=3&amp;refID=7105881&amp;Result=3","7105881")</f>
        <v>0</v>
      </c>
      <c r="B14867" t="s">
        <v>2979</v>
      </c>
      <c r="C14867" t="s">
        <v>17977</v>
      </c>
      <c r="D14867" t="s">
        <v>19029</v>
      </c>
      <c r="E14867" t="s">
        <v>31852</v>
      </c>
      <c r="F14867" t="s">
        <v>32831</v>
      </c>
      <c r="G14867" t="s">
        <v>32839</v>
      </c>
      <c r="H14867" t="s">
        <v>32849</v>
      </c>
      <c r="I14867" t="s">
        <v>4177</v>
      </c>
      <c r="J14867" t="s">
        <v>42050</v>
      </c>
      <c r="K14867" t="s">
        <v>42737</v>
      </c>
      <c r="M14867" t="s">
        <v>46242</v>
      </c>
      <c r="N14867" t="s">
        <v>47424</v>
      </c>
      <c r="O14867" t="s">
        <v>47425</v>
      </c>
      <c r="P14867">
        <v>0</v>
      </c>
      <c r="Q14867">
        <v>0</v>
      </c>
      <c r="R14867" t="s">
        <v>47447</v>
      </c>
      <c r="S14867" t="s">
        <v>48494</v>
      </c>
      <c r="T14867" t="s">
        <v>49237</v>
      </c>
      <c r="U14867" t="s">
        <v>54685</v>
      </c>
      <c r="W14867" t="s">
        <v>46242</v>
      </c>
      <c r="X14867" t="s">
        <v>47456</v>
      </c>
    </row>
    <row r="14868" spans="1:24">
      <c r="A14868">
        <f>HYPERLINK("https://www.philgeps.gov.ph/GEPSNONPILOT/Tender/SplashBidNoticeAbstractUI.aspx?menuIndex=3&amp;refID=7112531&amp;Result=3","7112531")</f>
        <v>0</v>
      </c>
      <c r="B14868" t="s">
        <v>127</v>
      </c>
      <c r="C14868" t="s">
        <v>17978</v>
      </c>
      <c r="D14868" t="s">
        <v>19038</v>
      </c>
      <c r="E14868" t="s">
        <v>31853</v>
      </c>
      <c r="F14868" t="s">
        <v>32831</v>
      </c>
      <c r="G14868" t="s">
        <v>32839</v>
      </c>
      <c r="H14868" t="s">
        <v>32849</v>
      </c>
      <c r="I14868" t="s">
        <v>4177</v>
      </c>
      <c r="J14868" t="s">
        <v>42051</v>
      </c>
      <c r="K14868" t="s">
        <v>42770</v>
      </c>
      <c r="M14868" t="s">
        <v>43124</v>
      </c>
      <c r="N14868" t="s">
        <v>47424</v>
      </c>
      <c r="O14868" t="s">
        <v>47425</v>
      </c>
      <c r="P14868">
        <v>0</v>
      </c>
      <c r="Q14868">
        <v>2</v>
      </c>
      <c r="R14868" t="s">
        <v>47447</v>
      </c>
      <c r="S14868" t="s">
        <v>48494</v>
      </c>
      <c r="T14868" t="s">
        <v>49111</v>
      </c>
      <c r="U14868" t="s">
        <v>61753</v>
      </c>
      <c r="W14868" t="s">
        <v>43124</v>
      </c>
      <c r="X14868" t="s">
        <v>47453</v>
      </c>
    </row>
    <row r="14869" spans="1:24">
      <c r="A14869">
        <f>HYPERLINK("https://www.philgeps.gov.ph/GEPSNONPILOT/Tender/SplashBidNoticeAbstractUI.aspx?menuIndex=3&amp;refID=7120146&amp;Result=3","7120146")</f>
        <v>0</v>
      </c>
      <c r="B14869" t="s">
        <v>1753</v>
      </c>
      <c r="C14869" t="s">
        <v>17979</v>
      </c>
      <c r="D14869" t="s">
        <v>19104</v>
      </c>
      <c r="E14869" t="s">
        <v>31854</v>
      </c>
      <c r="F14869" t="s">
        <v>32831</v>
      </c>
      <c r="G14869" t="s">
        <v>32839</v>
      </c>
      <c r="H14869" t="s">
        <v>32849</v>
      </c>
      <c r="I14869" t="s">
        <v>4177</v>
      </c>
      <c r="J14869" t="s">
        <v>42052</v>
      </c>
      <c r="K14869" t="s">
        <v>42812</v>
      </c>
      <c r="M14869" t="s">
        <v>44877</v>
      </c>
      <c r="N14869" t="s">
        <v>47424</v>
      </c>
      <c r="O14869" t="s">
        <v>47425</v>
      </c>
      <c r="P14869">
        <v>0</v>
      </c>
      <c r="Q14869">
        <v>2</v>
      </c>
      <c r="R14869" t="s">
        <v>47447</v>
      </c>
      <c r="S14869" t="s">
        <v>48494</v>
      </c>
      <c r="T14869" t="s">
        <v>49111</v>
      </c>
      <c r="U14869" t="s">
        <v>61754</v>
      </c>
      <c r="W14869" t="s">
        <v>44877</v>
      </c>
      <c r="X14869" t="s">
        <v>47448</v>
      </c>
    </row>
    <row r="14870" spans="1:24">
      <c r="A14870">
        <f>HYPERLINK("https://www.philgeps.gov.ph/GEPSNONPILOT/Tender/SplashBidNoticeAbstractUI.aspx?menuIndex=3&amp;refID=7106277&amp;Result=3","7106277")</f>
        <v>0</v>
      </c>
      <c r="B14870" t="s">
        <v>2979</v>
      </c>
      <c r="C14870" t="s">
        <v>17980</v>
      </c>
      <c r="D14870" t="s">
        <v>19029</v>
      </c>
      <c r="E14870" t="s">
        <v>31855</v>
      </c>
      <c r="F14870" t="s">
        <v>32831</v>
      </c>
      <c r="G14870" t="s">
        <v>32839</v>
      </c>
      <c r="H14870" t="s">
        <v>32849</v>
      </c>
      <c r="I14870" t="s">
        <v>4177</v>
      </c>
      <c r="J14870" t="s">
        <v>42053</v>
      </c>
      <c r="K14870" t="s">
        <v>42729</v>
      </c>
      <c r="M14870" t="s">
        <v>46242</v>
      </c>
      <c r="N14870" t="s">
        <v>47424</v>
      </c>
      <c r="O14870" t="s">
        <v>47425</v>
      </c>
      <c r="P14870">
        <v>0</v>
      </c>
      <c r="Q14870">
        <v>0</v>
      </c>
      <c r="R14870" t="s">
        <v>47447</v>
      </c>
      <c r="S14870" t="s">
        <v>48494</v>
      </c>
      <c r="T14870" t="s">
        <v>49237</v>
      </c>
      <c r="U14870" t="s">
        <v>54685</v>
      </c>
      <c r="W14870" t="s">
        <v>46242</v>
      </c>
      <c r="X14870" t="s">
        <v>47456</v>
      </c>
    </row>
    <row r="14871" spans="1:24">
      <c r="A14871">
        <f>HYPERLINK("https://www.philgeps.gov.ph/GEPSNONPILOT/Tender/SplashBidNoticeAbstractUI.aspx?menuIndex=3&amp;refID=7126250&amp;Result=3","7126250")</f>
        <v>0</v>
      </c>
      <c r="B14871" t="s">
        <v>3849</v>
      </c>
      <c r="C14871" t="s">
        <v>17981</v>
      </c>
      <c r="D14871" t="s">
        <v>19020</v>
      </c>
      <c r="E14871" t="s">
        <v>31856</v>
      </c>
      <c r="F14871" t="s">
        <v>32831</v>
      </c>
      <c r="G14871" t="s">
        <v>32839</v>
      </c>
      <c r="H14871" t="s">
        <v>14069</v>
      </c>
      <c r="I14871" t="s">
        <v>14069</v>
      </c>
      <c r="J14871" t="s">
        <v>42054</v>
      </c>
      <c r="K14871" t="s">
        <v>42808</v>
      </c>
      <c r="M14871" t="s">
        <v>47280</v>
      </c>
      <c r="N14871" t="s">
        <v>47424</v>
      </c>
      <c r="O14871" t="s">
        <v>47425</v>
      </c>
      <c r="P14871">
        <v>0</v>
      </c>
      <c r="Q14871">
        <v>3</v>
      </c>
      <c r="R14871" t="s">
        <v>47446</v>
      </c>
      <c r="S14871" t="s">
        <v>48377</v>
      </c>
      <c r="T14871" t="s">
        <v>49073</v>
      </c>
      <c r="U14871" t="s">
        <v>61755</v>
      </c>
      <c r="W14871" t="s">
        <v>47280</v>
      </c>
      <c r="X14871" t="s">
        <v>47447</v>
      </c>
    </row>
    <row r="14872" spans="1:24">
      <c r="A14872">
        <f>HYPERLINK("https://www.philgeps.gov.ph/GEPSNONPILOT/Tender/SplashBidNoticeAbstractUI.aspx?menuIndex=3&amp;refID=7126131&amp;Result=3","7126131")</f>
        <v>0</v>
      </c>
      <c r="B14872" t="s">
        <v>2594</v>
      </c>
      <c r="C14872" t="s">
        <v>17982</v>
      </c>
      <c r="D14872" t="s">
        <v>19062</v>
      </c>
      <c r="E14872" t="s">
        <v>31857</v>
      </c>
      <c r="F14872" t="s">
        <v>32831</v>
      </c>
      <c r="G14872" t="s">
        <v>32839</v>
      </c>
      <c r="H14872" t="s">
        <v>32848</v>
      </c>
      <c r="I14872" t="s">
        <v>7416</v>
      </c>
      <c r="J14872" t="s">
        <v>42055</v>
      </c>
      <c r="K14872" t="s">
        <v>42730</v>
      </c>
      <c r="M14872" t="s">
        <v>45813</v>
      </c>
      <c r="N14872" t="s">
        <v>47424</v>
      </c>
      <c r="O14872" t="s">
        <v>47425</v>
      </c>
      <c r="P14872">
        <v>0</v>
      </c>
      <c r="Q14872">
        <v>7</v>
      </c>
      <c r="R14872" t="s">
        <v>47446</v>
      </c>
      <c r="S14872" t="s">
        <v>48377</v>
      </c>
      <c r="T14872" t="s">
        <v>49237</v>
      </c>
      <c r="U14872" t="s">
        <v>61637</v>
      </c>
      <c r="W14872" t="s">
        <v>45813</v>
      </c>
      <c r="X14872" t="s">
        <v>47447</v>
      </c>
    </row>
    <row r="14873" spans="1:24">
      <c r="A14873">
        <f>HYPERLINK("https://www.philgeps.gov.ph/GEPSNONPILOT/Tender/SplashBidNoticeAbstractUI.aspx?menuIndex=3&amp;refID=7126321&amp;Result=3","7126321")</f>
        <v>0</v>
      </c>
      <c r="B14873" t="s">
        <v>1435</v>
      </c>
      <c r="C14873" t="s">
        <v>17983</v>
      </c>
      <c r="D14873" t="s">
        <v>19047</v>
      </c>
      <c r="E14873" t="s">
        <v>31858</v>
      </c>
      <c r="F14873" t="s">
        <v>32831</v>
      </c>
      <c r="G14873" t="s">
        <v>32839</v>
      </c>
      <c r="H14873" t="s">
        <v>32849</v>
      </c>
      <c r="I14873" t="s">
        <v>4177</v>
      </c>
      <c r="J14873" t="s">
        <v>33297</v>
      </c>
      <c r="K14873" t="s">
        <v>42763</v>
      </c>
      <c r="M14873" t="s">
        <v>47281</v>
      </c>
      <c r="N14873" t="s">
        <v>47424</v>
      </c>
      <c r="O14873" t="s">
        <v>47425</v>
      </c>
      <c r="Q14873">
        <v>7</v>
      </c>
      <c r="R14873" t="s">
        <v>47446</v>
      </c>
      <c r="S14873" t="s">
        <v>48519</v>
      </c>
      <c r="T14873" t="s">
        <v>49470</v>
      </c>
      <c r="U14873" t="s">
        <v>61756</v>
      </c>
      <c r="W14873" t="s">
        <v>47281</v>
      </c>
      <c r="X14873" t="s">
        <v>47447</v>
      </c>
    </row>
    <row r="14874" spans="1:24">
      <c r="A14874">
        <f>HYPERLINK("https://www.philgeps.gov.ph/GEPSNONPILOT/Tender/SplashBidNoticeAbstractUI.aspx?menuIndex=3&amp;refID=7126248&amp;Result=3","7126248")</f>
        <v>0</v>
      </c>
      <c r="B14874" t="s">
        <v>522</v>
      </c>
      <c r="C14874" t="s">
        <v>17984</v>
      </c>
      <c r="D14874" t="s">
        <v>19050</v>
      </c>
      <c r="E14874" t="s">
        <v>31859</v>
      </c>
      <c r="F14874" t="s">
        <v>32831</v>
      </c>
      <c r="G14874" t="s">
        <v>32839</v>
      </c>
      <c r="H14874" t="s">
        <v>32848</v>
      </c>
      <c r="I14874" t="s">
        <v>32864</v>
      </c>
      <c r="J14874" t="s">
        <v>42056</v>
      </c>
      <c r="K14874" t="s">
        <v>42763</v>
      </c>
      <c r="M14874" t="s">
        <v>43528</v>
      </c>
      <c r="N14874" t="s">
        <v>47424</v>
      </c>
      <c r="O14874" t="s">
        <v>47425</v>
      </c>
      <c r="Q14874">
        <v>12</v>
      </c>
      <c r="R14874" t="s">
        <v>47446</v>
      </c>
      <c r="S14874" t="s">
        <v>48520</v>
      </c>
      <c r="T14874" t="s">
        <v>49100</v>
      </c>
      <c r="U14874" t="s">
        <v>61757</v>
      </c>
      <c r="W14874" t="s">
        <v>64442</v>
      </c>
      <c r="X14874" t="s">
        <v>47447</v>
      </c>
    </row>
    <row r="14875" spans="1:24">
      <c r="A14875">
        <f>HYPERLINK("https://www.philgeps.gov.ph/GEPSNONPILOT/Tender/SplashBidNoticeAbstractUI.aspx?menuIndex=3&amp;refID=7126115&amp;Result=3","7126115")</f>
        <v>0</v>
      </c>
      <c r="B14875" t="s">
        <v>1149</v>
      </c>
      <c r="C14875" t="s">
        <v>17985</v>
      </c>
      <c r="D14875" t="s">
        <v>19079</v>
      </c>
      <c r="E14875" t="s">
        <v>31860</v>
      </c>
      <c r="F14875" t="s">
        <v>32831</v>
      </c>
      <c r="G14875" t="s">
        <v>32839</v>
      </c>
      <c r="H14875" t="s">
        <v>32848</v>
      </c>
      <c r="I14875" t="s">
        <v>32854</v>
      </c>
      <c r="J14875" t="s">
        <v>42057</v>
      </c>
      <c r="K14875" t="s">
        <v>42731</v>
      </c>
      <c r="M14875" t="s">
        <v>45518</v>
      </c>
      <c r="N14875" t="s">
        <v>47424</v>
      </c>
      <c r="O14875" t="s">
        <v>47425</v>
      </c>
      <c r="P14875">
        <v>0</v>
      </c>
      <c r="Q14875">
        <v>7</v>
      </c>
      <c r="R14875" t="s">
        <v>47446</v>
      </c>
      <c r="S14875" t="s">
        <v>48377</v>
      </c>
      <c r="T14875" t="s">
        <v>49166</v>
      </c>
      <c r="U14875" t="s">
        <v>61758</v>
      </c>
      <c r="W14875" t="s">
        <v>45518</v>
      </c>
      <c r="X14875" t="s">
        <v>47447</v>
      </c>
    </row>
    <row r="14876" spans="1:24">
      <c r="A14876">
        <f>HYPERLINK("https://www.philgeps.gov.ph/GEPSNONPILOT/Tender/SplashBidNoticeAbstractUI.aspx?menuIndex=3&amp;refID=7126258&amp;Result=3","7126258")</f>
        <v>0</v>
      </c>
      <c r="B14876" t="s">
        <v>3849</v>
      </c>
      <c r="C14876" t="s">
        <v>17986</v>
      </c>
      <c r="D14876" t="s">
        <v>19020</v>
      </c>
      <c r="E14876" t="s">
        <v>31861</v>
      </c>
      <c r="F14876" t="s">
        <v>32831</v>
      </c>
      <c r="G14876" t="s">
        <v>32839</v>
      </c>
      <c r="H14876" t="s">
        <v>14069</v>
      </c>
      <c r="I14876" t="s">
        <v>14069</v>
      </c>
      <c r="J14876" t="s">
        <v>42058</v>
      </c>
      <c r="K14876" t="s">
        <v>42791</v>
      </c>
      <c r="M14876" t="s">
        <v>47280</v>
      </c>
      <c r="N14876" t="s">
        <v>47424</v>
      </c>
      <c r="O14876" t="s">
        <v>47425</v>
      </c>
      <c r="P14876">
        <v>0</v>
      </c>
      <c r="Q14876">
        <v>2</v>
      </c>
      <c r="R14876" t="s">
        <v>47446</v>
      </c>
      <c r="S14876" t="s">
        <v>48377</v>
      </c>
      <c r="T14876" t="s">
        <v>49073</v>
      </c>
      <c r="U14876" t="s">
        <v>61759</v>
      </c>
      <c r="W14876" t="s">
        <v>47280</v>
      </c>
      <c r="X14876" t="s">
        <v>47447</v>
      </c>
    </row>
    <row r="14877" spans="1:24">
      <c r="A14877">
        <f>HYPERLINK("https://www.philgeps.gov.ph/GEPSNONPILOT/Tender/SplashBidNoticeAbstractUI.aspx?menuIndex=3&amp;refID=7126102&amp;Result=3","7126102")</f>
        <v>0</v>
      </c>
      <c r="B14877" t="s">
        <v>3858</v>
      </c>
      <c r="C14877" t="s">
        <v>17987</v>
      </c>
      <c r="D14877" t="s">
        <v>19038</v>
      </c>
      <c r="E14877" t="s">
        <v>31862</v>
      </c>
      <c r="F14877" t="s">
        <v>32831</v>
      </c>
      <c r="G14877" t="s">
        <v>32839</v>
      </c>
      <c r="H14877" t="s">
        <v>32848</v>
      </c>
      <c r="I14877" t="s">
        <v>4558</v>
      </c>
      <c r="J14877" t="s">
        <v>42059</v>
      </c>
      <c r="K14877" t="s">
        <v>42750</v>
      </c>
      <c r="M14877" t="s">
        <v>47294</v>
      </c>
      <c r="N14877" t="s">
        <v>47424</v>
      </c>
      <c r="O14877" t="s">
        <v>47425</v>
      </c>
      <c r="Q14877">
        <v>2</v>
      </c>
      <c r="R14877" t="s">
        <v>47446</v>
      </c>
      <c r="S14877" t="s">
        <v>48521</v>
      </c>
      <c r="T14877" t="s">
        <v>49162</v>
      </c>
      <c r="U14877" t="s">
        <v>61760</v>
      </c>
      <c r="V14877" t="s">
        <v>64316</v>
      </c>
      <c r="W14877" t="s">
        <v>47294</v>
      </c>
      <c r="X14877" t="s">
        <v>47447</v>
      </c>
    </row>
    <row r="14878" spans="1:24">
      <c r="A14878">
        <f>HYPERLINK("https://www.philgeps.gov.ph/GEPSNONPILOT/Tender/SplashBidNoticeAbstractUI.aspx?menuIndex=3&amp;refID=7126095&amp;Result=3","7126095")</f>
        <v>0</v>
      </c>
      <c r="B14878" t="s">
        <v>1915</v>
      </c>
      <c r="C14878" t="s">
        <v>17988</v>
      </c>
      <c r="D14878" t="s">
        <v>19030</v>
      </c>
      <c r="E14878" t="s">
        <v>31863</v>
      </c>
      <c r="F14878" t="s">
        <v>32831</v>
      </c>
      <c r="G14878" t="s">
        <v>32839</v>
      </c>
      <c r="H14878" t="s">
        <v>32849</v>
      </c>
      <c r="I14878" t="s">
        <v>4177</v>
      </c>
      <c r="J14878" t="s">
        <v>39982</v>
      </c>
      <c r="K14878" t="s">
        <v>42793</v>
      </c>
      <c r="M14878" t="s">
        <v>45067</v>
      </c>
      <c r="N14878" t="s">
        <v>47424</v>
      </c>
      <c r="O14878" t="s">
        <v>47425</v>
      </c>
      <c r="Q14878">
        <v>20</v>
      </c>
      <c r="R14878" t="s">
        <v>47446</v>
      </c>
      <c r="S14878" t="s">
        <v>48522</v>
      </c>
      <c r="T14878" t="s">
        <v>49237</v>
      </c>
      <c r="U14878" t="s">
        <v>61630</v>
      </c>
      <c r="W14878" t="s">
        <v>64492</v>
      </c>
      <c r="X14878" t="s">
        <v>47447</v>
      </c>
    </row>
    <row r="14879" spans="1:24">
      <c r="A14879">
        <f>HYPERLINK("https://www.philgeps.gov.ph/GEPSNONPILOT/Tender/SplashBidNoticeAbstractUI.aspx?menuIndex=3&amp;refID=7126086&amp;Result=3","7126086")</f>
        <v>0</v>
      </c>
      <c r="B14879" t="s">
        <v>1915</v>
      </c>
      <c r="C14879" t="s">
        <v>17989</v>
      </c>
      <c r="D14879" t="s">
        <v>19030</v>
      </c>
      <c r="E14879" t="s">
        <v>31864</v>
      </c>
      <c r="F14879" t="s">
        <v>32831</v>
      </c>
      <c r="G14879" t="s">
        <v>32839</v>
      </c>
      <c r="H14879" t="s">
        <v>32849</v>
      </c>
      <c r="I14879" t="s">
        <v>4177</v>
      </c>
      <c r="J14879" t="s">
        <v>38993</v>
      </c>
      <c r="K14879" t="s">
        <v>42770</v>
      </c>
      <c r="M14879" t="s">
        <v>45067</v>
      </c>
      <c r="N14879" t="s">
        <v>47424</v>
      </c>
      <c r="O14879" t="s">
        <v>47425</v>
      </c>
      <c r="P14879">
        <v>0</v>
      </c>
      <c r="Q14879">
        <v>19</v>
      </c>
      <c r="R14879" t="s">
        <v>47446</v>
      </c>
      <c r="S14879" t="s">
        <v>48377</v>
      </c>
      <c r="T14879" t="s">
        <v>49237</v>
      </c>
      <c r="U14879" t="s">
        <v>61630</v>
      </c>
      <c r="W14879" t="s">
        <v>64492</v>
      </c>
      <c r="X14879" t="s">
        <v>47447</v>
      </c>
    </row>
    <row r="14880" spans="1:24">
      <c r="A14880">
        <f>HYPERLINK("https://www.philgeps.gov.ph/GEPSNONPILOT/Tender/SplashBidNoticeAbstractUI.aspx?menuIndex=3&amp;refID=7126088&amp;Result=3","7126088")</f>
        <v>0</v>
      </c>
      <c r="B14880" t="s">
        <v>1915</v>
      </c>
      <c r="C14880" t="s">
        <v>17990</v>
      </c>
      <c r="D14880" t="s">
        <v>19030</v>
      </c>
      <c r="E14880" t="s">
        <v>31865</v>
      </c>
      <c r="F14880" t="s">
        <v>32831</v>
      </c>
      <c r="G14880" t="s">
        <v>32839</v>
      </c>
      <c r="H14880" t="s">
        <v>32849</v>
      </c>
      <c r="I14880" t="s">
        <v>4177</v>
      </c>
      <c r="J14880" t="s">
        <v>42060</v>
      </c>
      <c r="K14880" t="s">
        <v>42757</v>
      </c>
      <c r="M14880" t="s">
        <v>45067</v>
      </c>
      <c r="N14880" t="s">
        <v>47424</v>
      </c>
      <c r="O14880" t="s">
        <v>47425</v>
      </c>
      <c r="P14880">
        <v>0</v>
      </c>
      <c r="Q14880">
        <v>27</v>
      </c>
      <c r="R14880" t="s">
        <v>47446</v>
      </c>
      <c r="S14880" t="s">
        <v>48377</v>
      </c>
      <c r="T14880" t="s">
        <v>49237</v>
      </c>
      <c r="U14880" t="s">
        <v>61630</v>
      </c>
      <c r="W14880" t="s">
        <v>64492</v>
      </c>
      <c r="X14880" t="s">
        <v>47447</v>
      </c>
    </row>
    <row r="14881" spans="1:24">
      <c r="A14881">
        <f>HYPERLINK("https://www.philgeps.gov.ph/GEPSNONPILOT/Tender/SplashBidNoticeAbstractUI.aspx?menuIndex=3&amp;refID=7126047&amp;Result=3","7126047")</f>
        <v>0</v>
      </c>
      <c r="B14881" t="s">
        <v>1149</v>
      </c>
      <c r="C14881" t="s">
        <v>17991</v>
      </c>
      <c r="D14881" t="s">
        <v>19079</v>
      </c>
      <c r="E14881" t="s">
        <v>31866</v>
      </c>
      <c r="F14881" t="s">
        <v>32831</v>
      </c>
      <c r="G14881" t="s">
        <v>32839</v>
      </c>
      <c r="H14881" t="s">
        <v>32848</v>
      </c>
      <c r="I14881" t="s">
        <v>32860</v>
      </c>
      <c r="J14881" t="s">
        <v>42061</v>
      </c>
      <c r="K14881" t="s">
        <v>42731</v>
      </c>
      <c r="M14881" t="s">
        <v>45518</v>
      </c>
      <c r="N14881" t="s">
        <v>47424</v>
      </c>
      <c r="O14881" t="s">
        <v>47425</v>
      </c>
      <c r="P14881">
        <v>0</v>
      </c>
      <c r="Q14881">
        <v>3</v>
      </c>
      <c r="R14881" t="s">
        <v>47446</v>
      </c>
      <c r="S14881" t="s">
        <v>48377</v>
      </c>
      <c r="T14881" t="s">
        <v>49166</v>
      </c>
      <c r="U14881" t="s">
        <v>61761</v>
      </c>
      <c r="W14881" t="s">
        <v>45518</v>
      </c>
      <c r="X14881" t="s">
        <v>47447</v>
      </c>
    </row>
    <row r="14882" spans="1:24">
      <c r="A14882">
        <f>HYPERLINK("https://www.philgeps.gov.ph/GEPSNONPILOT/Tender/SplashBidNoticeAbstractUI.aspx?menuIndex=3&amp;refID=7126097&amp;Result=3","7126097")</f>
        <v>0</v>
      </c>
      <c r="B14882" t="s">
        <v>1149</v>
      </c>
      <c r="C14882" t="s">
        <v>17992</v>
      </c>
      <c r="D14882" t="s">
        <v>19079</v>
      </c>
      <c r="E14882" t="s">
        <v>31867</v>
      </c>
      <c r="F14882" t="s">
        <v>32831</v>
      </c>
      <c r="G14882" t="s">
        <v>32839</v>
      </c>
      <c r="H14882" t="s">
        <v>32848</v>
      </c>
      <c r="I14882" t="s">
        <v>10805</v>
      </c>
      <c r="J14882" t="s">
        <v>41961</v>
      </c>
      <c r="K14882" t="s">
        <v>42731</v>
      </c>
      <c r="M14882" t="s">
        <v>45518</v>
      </c>
      <c r="N14882" t="s">
        <v>47424</v>
      </c>
      <c r="O14882" t="s">
        <v>47425</v>
      </c>
      <c r="P14882">
        <v>0</v>
      </c>
      <c r="Q14882">
        <v>4</v>
      </c>
      <c r="R14882" t="s">
        <v>47446</v>
      </c>
      <c r="S14882" t="s">
        <v>48377</v>
      </c>
      <c r="T14882" t="s">
        <v>49166</v>
      </c>
      <c r="U14882" t="s">
        <v>61762</v>
      </c>
      <c r="W14882" t="s">
        <v>45518</v>
      </c>
      <c r="X14882" t="s">
        <v>47447</v>
      </c>
    </row>
    <row r="14883" spans="1:24">
      <c r="A14883">
        <f>HYPERLINK("https://www.philgeps.gov.ph/GEPSNONPILOT/Tender/SplashBidNoticeAbstractUI.aspx?menuIndex=3&amp;refID=7126032&amp;Result=3","7126032")</f>
        <v>0</v>
      </c>
      <c r="B14883" t="s">
        <v>1023</v>
      </c>
      <c r="C14883" t="s">
        <v>17993</v>
      </c>
      <c r="D14883" t="s">
        <v>19020</v>
      </c>
      <c r="E14883" t="s">
        <v>31868</v>
      </c>
      <c r="F14883" t="s">
        <v>32831</v>
      </c>
      <c r="G14883" t="s">
        <v>32839</v>
      </c>
      <c r="H14883" t="s">
        <v>32849</v>
      </c>
      <c r="I14883" t="s">
        <v>4177</v>
      </c>
      <c r="J14883" t="s">
        <v>42062</v>
      </c>
      <c r="K14883" t="s">
        <v>42757</v>
      </c>
      <c r="M14883" t="s">
        <v>44073</v>
      </c>
      <c r="N14883" t="s">
        <v>47424</v>
      </c>
      <c r="O14883" t="s">
        <v>47425</v>
      </c>
      <c r="Q14883">
        <v>9</v>
      </c>
      <c r="R14883" t="s">
        <v>47446</v>
      </c>
      <c r="S14883" t="s">
        <v>48371</v>
      </c>
      <c r="T14883" t="s">
        <v>49239</v>
      </c>
      <c r="U14883" t="s">
        <v>61763</v>
      </c>
      <c r="W14883" t="s">
        <v>44073</v>
      </c>
      <c r="X14883" t="s">
        <v>47447</v>
      </c>
    </row>
    <row r="14884" spans="1:24">
      <c r="A14884">
        <f>HYPERLINK("https://www.philgeps.gov.ph/GEPSNONPILOT/Tender/SplashBidNoticeAbstractUI.aspx?menuIndex=3&amp;refID=7126015&amp;Result=3","7126015")</f>
        <v>0</v>
      </c>
      <c r="B14884" t="s">
        <v>1498</v>
      </c>
      <c r="C14884" t="s">
        <v>17994</v>
      </c>
      <c r="D14884" t="s">
        <v>19017</v>
      </c>
      <c r="E14884" t="s">
        <v>31869</v>
      </c>
      <c r="F14884" t="s">
        <v>32831</v>
      </c>
      <c r="G14884" t="s">
        <v>32839</v>
      </c>
      <c r="H14884" t="s">
        <v>32848</v>
      </c>
      <c r="I14884" t="s">
        <v>4487</v>
      </c>
      <c r="J14884" t="s">
        <v>39940</v>
      </c>
      <c r="K14884" t="s">
        <v>42730</v>
      </c>
      <c r="M14884" t="s">
        <v>47279</v>
      </c>
      <c r="N14884" t="s">
        <v>47424</v>
      </c>
      <c r="O14884" t="s">
        <v>47425</v>
      </c>
      <c r="Q14884">
        <v>16</v>
      </c>
      <c r="R14884" t="s">
        <v>47446</v>
      </c>
      <c r="S14884" t="s">
        <v>48418</v>
      </c>
      <c r="T14884" t="s">
        <v>49080</v>
      </c>
      <c r="U14884" t="s">
        <v>61764</v>
      </c>
      <c r="W14884" t="s">
        <v>64560</v>
      </c>
      <c r="X14884" t="s">
        <v>47447</v>
      </c>
    </row>
    <row r="14885" spans="1:24">
      <c r="A14885">
        <f>HYPERLINK("https://www.philgeps.gov.ph/GEPSNONPILOT/Tender/SplashBidNoticeAbstractUI.aspx?menuIndex=3&amp;refID=7126090&amp;Result=3","7126090")</f>
        <v>0</v>
      </c>
      <c r="B14885" t="s">
        <v>1915</v>
      </c>
      <c r="C14885" t="s">
        <v>17995</v>
      </c>
      <c r="D14885" t="s">
        <v>19030</v>
      </c>
      <c r="E14885" t="s">
        <v>31870</v>
      </c>
      <c r="F14885" t="s">
        <v>32831</v>
      </c>
      <c r="G14885" t="s">
        <v>32839</v>
      </c>
      <c r="H14885" t="s">
        <v>32849</v>
      </c>
      <c r="I14885" t="s">
        <v>4177</v>
      </c>
      <c r="J14885" t="s">
        <v>42063</v>
      </c>
      <c r="K14885" t="s">
        <v>42780</v>
      </c>
      <c r="M14885" t="s">
        <v>45067</v>
      </c>
      <c r="N14885" t="s">
        <v>47424</v>
      </c>
      <c r="O14885" t="s">
        <v>47425</v>
      </c>
      <c r="P14885">
        <v>0</v>
      </c>
      <c r="Q14885">
        <v>21</v>
      </c>
      <c r="R14885" t="s">
        <v>47446</v>
      </c>
      <c r="S14885" t="s">
        <v>48377</v>
      </c>
      <c r="T14885" t="s">
        <v>49237</v>
      </c>
      <c r="U14885" t="s">
        <v>61630</v>
      </c>
      <c r="W14885" t="s">
        <v>64492</v>
      </c>
      <c r="X14885" t="s">
        <v>47447</v>
      </c>
    </row>
    <row r="14886" spans="1:24">
      <c r="A14886">
        <f>HYPERLINK("https://www.philgeps.gov.ph/GEPSNONPILOT/Tender/SplashBidNoticeAbstractUI.aspx?menuIndex=3&amp;refID=7120348&amp;Result=3","7120348")</f>
        <v>0</v>
      </c>
      <c r="B14886" t="s">
        <v>2268</v>
      </c>
      <c r="C14886" t="s">
        <v>17996</v>
      </c>
      <c r="D14886" t="s">
        <v>19037</v>
      </c>
      <c r="E14886" t="s">
        <v>31871</v>
      </c>
      <c r="F14886" t="s">
        <v>32831</v>
      </c>
      <c r="G14886" t="s">
        <v>32839</v>
      </c>
      <c r="H14886" t="s">
        <v>32849</v>
      </c>
      <c r="I14886" t="s">
        <v>4177</v>
      </c>
      <c r="J14886" t="s">
        <v>36873</v>
      </c>
      <c r="K14886" t="s">
        <v>42751</v>
      </c>
      <c r="M14886" t="s">
        <v>45452</v>
      </c>
      <c r="N14886" t="s">
        <v>47424</v>
      </c>
      <c r="O14886" t="s">
        <v>47425</v>
      </c>
      <c r="P14886">
        <v>0</v>
      </c>
      <c r="Q14886">
        <v>4</v>
      </c>
      <c r="R14886" t="s">
        <v>47447</v>
      </c>
      <c r="S14886" t="s">
        <v>48494</v>
      </c>
      <c r="T14886" t="s">
        <v>49108</v>
      </c>
      <c r="U14886" t="s">
        <v>61765</v>
      </c>
      <c r="W14886" t="s">
        <v>45452</v>
      </c>
      <c r="X14886" t="s">
        <v>47448</v>
      </c>
    </row>
    <row r="14887" spans="1:24">
      <c r="A14887">
        <f>HYPERLINK("https://www.philgeps.gov.ph/GEPSNONPILOT/Tender/SplashBidNoticeAbstractUI.aspx?menuIndex=3&amp;refID=7126048&amp;Result=3","7126048")</f>
        <v>0</v>
      </c>
      <c r="B14887" t="s">
        <v>1915</v>
      </c>
      <c r="C14887" t="s">
        <v>17997</v>
      </c>
      <c r="D14887" t="s">
        <v>19030</v>
      </c>
      <c r="E14887" t="s">
        <v>31872</v>
      </c>
      <c r="F14887" t="s">
        <v>32831</v>
      </c>
      <c r="G14887" t="s">
        <v>32839</v>
      </c>
      <c r="H14887" t="s">
        <v>32849</v>
      </c>
      <c r="I14887" t="s">
        <v>4177</v>
      </c>
      <c r="J14887" t="s">
        <v>40239</v>
      </c>
      <c r="K14887" t="s">
        <v>42730</v>
      </c>
      <c r="M14887" t="s">
        <v>45067</v>
      </c>
      <c r="N14887" t="s">
        <v>47424</v>
      </c>
      <c r="O14887" t="s">
        <v>47425</v>
      </c>
      <c r="P14887">
        <v>0</v>
      </c>
      <c r="Q14887">
        <v>10</v>
      </c>
      <c r="R14887" t="s">
        <v>47446</v>
      </c>
      <c r="S14887" t="s">
        <v>48377</v>
      </c>
      <c r="T14887" t="s">
        <v>49237</v>
      </c>
      <c r="U14887" t="s">
        <v>61630</v>
      </c>
      <c r="W14887" t="s">
        <v>64492</v>
      </c>
      <c r="X14887" t="s">
        <v>47447</v>
      </c>
    </row>
    <row r="14888" spans="1:24">
      <c r="A14888">
        <f>HYPERLINK("https://www.philgeps.gov.ph/GEPSNONPILOT/Tender/SplashBidNoticeAbstractUI.aspx?menuIndex=3&amp;refID=7126099&amp;Result=3","7126099")</f>
        <v>0</v>
      </c>
      <c r="B14888" t="s">
        <v>2917</v>
      </c>
      <c r="C14888" t="s">
        <v>17998</v>
      </c>
      <c r="E14888" t="s">
        <v>31873</v>
      </c>
      <c r="F14888" t="s">
        <v>32831</v>
      </c>
      <c r="G14888" t="s">
        <v>32839</v>
      </c>
      <c r="H14888" t="s">
        <v>32849</v>
      </c>
      <c r="I14888" t="s">
        <v>4177</v>
      </c>
      <c r="J14888" t="s">
        <v>42064</v>
      </c>
      <c r="K14888" t="s">
        <v>42732</v>
      </c>
      <c r="M14888" t="s">
        <v>46169</v>
      </c>
      <c r="N14888" t="s">
        <v>47424</v>
      </c>
      <c r="O14888" t="s">
        <v>47425</v>
      </c>
      <c r="P14888">
        <v>0</v>
      </c>
      <c r="Q14888">
        <v>0</v>
      </c>
      <c r="R14888" t="s">
        <v>47446</v>
      </c>
      <c r="S14888" t="s">
        <v>48377</v>
      </c>
      <c r="T14888" t="s">
        <v>49239</v>
      </c>
      <c r="U14888" t="s">
        <v>61766</v>
      </c>
      <c r="W14888" t="s">
        <v>46169</v>
      </c>
      <c r="X14888" t="s">
        <v>47447</v>
      </c>
    </row>
    <row r="14889" spans="1:24">
      <c r="A14889">
        <f>HYPERLINK("https://www.philgeps.gov.ph/GEPSNONPILOT/Tender/SplashBidNoticeAbstractUI.aspx?menuIndex=3&amp;refID=7120851&amp;Result=3","7120851")</f>
        <v>0</v>
      </c>
      <c r="B14889" t="s">
        <v>3803</v>
      </c>
      <c r="C14889" t="s">
        <v>17999</v>
      </c>
      <c r="D14889" t="s">
        <v>19027</v>
      </c>
      <c r="E14889" t="s">
        <v>20584</v>
      </c>
      <c r="F14889" t="s">
        <v>32831</v>
      </c>
      <c r="G14889" t="s">
        <v>32839</v>
      </c>
      <c r="H14889" t="s">
        <v>32848</v>
      </c>
      <c r="I14889" t="s">
        <v>32857</v>
      </c>
      <c r="J14889" t="s">
        <v>33086</v>
      </c>
      <c r="K14889" t="s">
        <v>42726</v>
      </c>
      <c r="L14889" t="s">
        <v>3803</v>
      </c>
      <c r="M14889" t="s">
        <v>47221</v>
      </c>
      <c r="N14889" t="s">
        <v>47424</v>
      </c>
      <c r="O14889" t="s">
        <v>47425</v>
      </c>
      <c r="P14889">
        <v>0</v>
      </c>
      <c r="Q14889">
        <v>1</v>
      </c>
      <c r="R14889" t="s">
        <v>47447</v>
      </c>
      <c r="S14889" t="s">
        <v>48494</v>
      </c>
      <c r="T14889" t="s">
        <v>49237</v>
      </c>
      <c r="U14889" t="s">
        <v>61289</v>
      </c>
      <c r="V14889" t="s">
        <v>64258</v>
      </c>
      <c r="W14889" t="s">
        <v>47221</v>
      </c>
      <c r="X14889" t="s">
        <v>47448</v>
      </c>
    </row>
    <row r="14890" spans="1:24">
      <c r="A14890">
        <f>HYPERLINK("https://www.philgeps.gov.ph/GEPSNONPILOT/Tender/SplashBidNoticeAbstractUI.aspx?menuIndex=3&amp;refID=7120840&amp;Result=3","7120840")</f>
        <v>0</v>
      </c>
      <c r="B14890" t="s">
        <v>3803</v>
      </c>
      <c r="C14890" t="s">
        <v>18000</v>
      </c>
      <c r="D14890" t="s">
        <v>19027</v>
      </c>
      <c r="E14890" t="s">
        <v>19281</v>
      </c>
      <c r="F14890" t="s">
        <v>32831</v>
      </c>
      <c r="G14890" t="s">
        <v>32839</v>
      </c>
      <c r="H14890" t="s">
        <v>32848</v>
      </c>
      <c r="I14890" t="s">
        <v>32864</v>
      </c>
      <c r="J14890" t="s">
        <v>37899</v>
      </c>
      <c r="K14890" t="s">
        <v>42726</v>
      </c>
      <c r="L14890" t="s">
        <v>3803</v>
      </c>
      <c r="M14890" t="s">
        <v>47221</v>
      </c>
      <c r="N14890" t="s">
        <v>47424</v>
      </c>
      <c r="O14890" t="s">
        <v>47425</v>
      </c>
      <c r="P14890">
        <v>0</v>
      </c>
      <c r="Q14890">
        <v>0</v>
      </c>
      <c r="R14890" t="s">
        <v>47447</v>
      </c>
      <c r="S14890" t="s">
        <v>48494</v>
      </c>
      <c r="T14890" t="s">
        <v>49237</v>
      </c>
      <c r="U14890" t="s">
        <v>61289</v>
      </c>
      <c r="V14890" t="s">
        <v>64258</v>
      </c>
      <c r="W14890" t="s">
        <v>47221</v>
      </c>
      <c r="X14890" t="s">
        <v>47448</v>
      </c>
    </row>
    <row r="14891" spans="1:24">
      <c r="A14891">
        <f>HYPERLINK("https://www.philgeps.gov.ph/GEPSNONPILOT/Tender/SplashBidNoticeAbstractUI.aspx?menuIndex=3&amp;refID=7120882&amp;Result=3","7120882")</f>
        <v>0</v>
      </c>
      <c r="B14891" t="s">
        <v>3803</v>
      </c>
      <c r="C14891" t="s">
        <v>18001</v>
      </c>
      <c r="D14891" t="s">
        <v>19027</v>
      </c>
      <c r="E14891" t="s">
        <v>20612</v>
      </c>
      <c r="F14891" t="s">
        <v>32831</v>
      </c>
      <c r="G14891" t="s">
        <v>32839</v>
      </c>
      <c r="H14891" t="s">
        <v>32848</v>
      </c>
      <c r="I14891" t="s">
        <v>32858</v>
      </c>
      <c r="J14891" t="s">
        <v>33175</v>
      </c>
      <c r="K14891" t="s">
        <v>42726</v>
      </c>
      <c r="L14891" t="s">
        <v>3803</v>
      </c>
      <c r="M14891" t="s">
        <v>47221</v>
      </c>
      <c r="N14891" t="s">
        <v>47424</v>
      </c>
      <c r="O14891" t="s">
        <v>47425</v>
      </c>
      <c r="P14891">
        <v>0</v>
      </c>
      <c r="Q14891">
        <v>1</v>
      </c>
      <c r="R14891" t="s">
        <v>47447</v>
      </c>
      <c r="S14891" t="s">
        <v>48494</v>
      </c>
      <c r="T14891" t="s">
        <v>49237</v>
      </c>
      <c r="U14891" t="s">
        <v>61289</v>
      </c>
      <c r="V14891" t="s">
        <v>64258</v>
      </c>
      <c r="W14891" t="s">
        <v>47221</v>
      </c>
      <c r="X14891" t="s">
        <v>47448</v>
      </c>
    </row>
    <row r="14892" spans="1:24">
      <c r="A14892">
        <f>HYPERLINK("https://www.philgeps.gov.ph/GEPSNONPILOT/Tender/SplashBidNoticeAbstractUI.aspx?menuIndex=3&amp;refID=7120836&amp;Result=3","7120836")</f>
        <v>0</v>
      </c>
      <c r="B14892" t="s">
        <v>1672</v>
      </c>
      <c r="C14892" t="s">
        <v>18002</v>
      </c>
      <c r="D14892" t="s">
        <v>19104</v>
      </c>
      <c r="E14892" t="s">
        <v>31874</v>
      </c>
      <c r="F14892" t="s">
        <v>32831</v>
      </c>
      <c r="G14892" t="s">
        <v>32839</v>
      </c>
      <c r="H14892" t="s">
        <v>32849</v>
      </c>
      <c r="I14892" t="s">
        <v>32913</v>
      </c>
      <c r="J14892" t="s">
        <v>42065</v>
      </c>
      <c r="K14892" t="s">
        <v>42914</v>
      </c>
      <c r="M14892" t="s">
        <v>44790</v>
      </c>
      <c r="N14892" t="s">
        <v>47424</v>
      </c>
      <c r="O14892" t="s">
        <v>47425</v>
      </c>
      <c r="P14892">
        <v>0</v>
      </c>
      <c r="Q14892">
        <v>0</v>
      </c>
      <c r="R14892" t="s">
        <v>47447</v>
      </c>
      <c r="S14892" t="s">
        <v>48494</v>
      </c>
      <c r="T14892" t="s">
        <v>49427</v>
      </c>
      <c r="U14892" t="s">
        <v>61767</v>
      </c>
      <c r="W14892" t="s">
        <v>44790</v>
      </c>
      <c r="X14892" t="s">
        <v>47448</v>
      </c>
    </row>
    <row r="14893" spans="1:24">
      <c r="A14893">
        <f>HYPERLINK("https://www.philgeps.gov.ph/GEPSNONPILOT/Tender/SplashBidNoticeAbstractUI.aspx?menuIndex=3&amp;refID=7120831&amp;Result=3","7120831")</f>
        <v>0</v>
      </c>
      <c r="B14893" t="s">
        <v>283</v>
      </c>
      <c r="C14893" t="s">
        <v>18003</v>
      </c>
      <c r="D14893" t="s">
        <v>19037</v>
      </c>
      <c r="E14893" t="s">
        <v>31875</v>
      </c>
      <c r="F14893" t="s">
        <v>32831</v>
      </c>
      <c r="G14893" t="s">
        <v>32839</v>
      </c>
      <c r="H14893" t="s">
        <v>32848</v>
      </c>
      <c r="I14893" t="s">
        <v>7416</v>
      </c>
      <c r="J14893" t="s">
        <v>42066</v>
      </c>
      <c r="K14893" t="s">
        <v>42727</v>
      </c>
      <c r="M14893" t="s">
        <v>43282</v>
      </c>
      <c r="N14893" t="s">
        <v>47424</v>
      </c>
      <c r="O14893" t="s">
        <v>47425</v>
      </c>
      <c r="P14893">
        <v>0</v>
      </c>
      <c r="Q14893">
        <v>0</v>
      </c>
      <c r="R14893" t="s">
        <v>47447</v>
      </c>
      <c r="S14893" t="s">
        <v>48494</v>
      </c>
      <c r="T14893" t="s">
        <v>49068</v>
      </c>
      <c r="U14893" t="s">
        <v>61768</v>
      </c>
      <c r="V14893" t="s">
        <v>64317</v>
      </c>
      <c r="W14893" t="s">
        <v>43282</v>
      </c>
      <c r="X14893" t="s">
        <v>47448</v>
      </c>
    </row>
    <row r="14894" spans="1:24">
      <c r="A14894">
        <f>HYPERLINK("https://www.philgeps.gov.ph/GEPSNONPILOT/Tender/SplashBidNoticeAbstractUI.aspx?menuIndex=3&amp;refID=7120768&amp;Result=3","7120768")</f>
        <v>0</v>
      </c>
      <c r="B14894" t="s">
        <v>1672</v>
      </c>
      <c r="C14894" t="s">
        <v>18004</v>
      </c>
      <c r="D14894" t="s">
        <v>19104</v>
      </c>
      <c r="E14894" t="s">
        <v>31876</v>
      </c>
      <c r="F14894" t="s">
        <v>32831</v>
      </c>
      <c r="G14894" t="s">
        <v>32839</v>
      </c>
      <c r="H14894" t="s">
        <v>32849</v>
      </c>
      <c r="I14894" t="s">
        <v>32913</v>
      </c>
      <c r="J14894" t="s">
        <v>33528</v>
      </c>
      <c r="K14894" t="s">
        <v>42892</v>
      </c>
      <c r="M14894" t="s">
        <v>44790</v>
      </c>
      <c r="N14894" t="s">
        <v>47424</v>
      </c>
      <c r="O14894" t="s">
        <v>47425</v>
      </c>
      <c r="P14894">
        <v>0</v>
      </c>
      <c r="Q14894">
        <v>1</v>
      </c>
      <c r="R14894" t="s">
        <v>47447</v>
      </c>
      <c r="S14894" t="s">
        <v>48494</v>
      </c>
      <c r="T14894" t="s">
        <v>49321</v>
      </c>
      <c r="U14894" t="s">
        <v>61769</v>
      </c>
      <c r="W14894" t="s">
        <v>44790</v>
      </c>
      <c r="X14894" t="s">
        <v>47448</v>
      </c>
    </row>
    <row r="14895" spans="1:24">
      <c r="A14895">
        <f>HYPERLINK("https://www.philgeps.gov.ph/GEPSNONPILOT/Tender/SplashBidNoticeAbstractUI.aspx?menuIndex=3&amp;refID=7126253&amp;Result=3","7126253")</f>
        <v>0</v>
      </c>
      <c r="B14895" t="s">
        <v>501</v>
      </c>
      <c r="C14895" t="s">
        <v>18005</v>
      </c>
      <c r="D14895" t="s">
        <v>19017</v>
      </c>
      <c r="E14895" t="s">
        <v>31877</v>
      </c>
      <c r="F14895" t="s">
        <v>32831</v>
      </c>
      <c r="G14895" t="s">
        <v>32839</v>
      </c>
      <c r="H14895" t="s">
        <v>14069</v>
      </c>
      <c r="I14895" t="s">
        <v>4487</v>
      </c>
      <c r="J14895" t="s">
        <v>42067</v>
      </c>
      <c r="K14895" t="s">
        <v>42739</v>
      </c>
      <c r="M14895" t="s">
        <v>43506</v>
      </c>
      <c r="N14895" t="s">
        <v>47424</v>
      </c>
      <c r="O14895" t="s">
        <v>47425</v>
      </c>
      <c r="P14895">
        <v>0</v>
      </c>
      <c r="Q14895">
        <v>12</v>
      </c>
      <c r="R14895" t="s">
        <v>47446</v>
      </c>
      <c r="S14895" t="s">
        <v>48377</v>
      </c>
      <c r="T14895" t="s">
        <v>49128</v>
      </c>
      <c r="U14895" t="s">
        <v>61770</v>
      </c>
      <c r="W14895" t="s">
        <v>43506</v>
      </c>
      <c r="X14895" t="s">
        <v>47447</v>
      </c>
    </row>
    <row r="14896" spans="1:24">
      <c r="A14896">
        <f>HYPERLINK("https://www.philgeps.gov.ph/GEPSNONPILOT/Tender/SplashBidNoticeAbstractUI.aspx?menuIndex=3&amp;refID=7120745&amp;Result=3","7120745")</f>
        <v>0</v>
      </c>
      <c r="B14896" t="s">
        <v>3461</v>
      </c>
      <c r="C14896" t="s">
        <v>18006</v>
      </c>
      <c r="D14896" t="s">
        <v>19045</v>
      </c>
      <c r="E14896" t="s">
        <v>31878</v>
      </c>
      <c r="F14896" t="s">
        <v>32833</v>
      </c>
      <c r="G14896" t="s">
        <v>32839</v>
      </c>
      <c r="H14896" t="s">
        <v>32849</v>
      </c>
      <c r="I14896" t="s">
        <v>4177</v>
      </c>
      <c r="J14896" t="s">
        <v>42068</v>
      </c>
      <c r="K14896" t="s">
        <v>42763</v>
      </c>
      <c r="M14896" t="s">
        <v>46803</v>
      </c>
      <c r="N14896" t="s">
        <v>47424</v>
      </c>
      <c r="O14896" t="s">
        <v>47425</v>
      </c>
      <c r="Q14896">
        <v>1</v>
      </c>
      <c r="R14896" t="s">
        <v>47447</v>
      </c>
      <c r="S14896" t="s">
        <v>48523</v>
      </c>
      <c r="T14896" t="s">
        <v>49073</v>
      </c>
      <c r="U14896" t="s">
        <v>61771</v>
      </c>
      <c r="V14896" t="s">
        <v>62754</v>
      </c>
      <c r="W14896" t="s">
        <v>46803</v>
      </c>
      <c r="X14896" t="s">
        <v>47448</v>
      </c>
    </row>
    <row r="14897" spans="1:24">
      <c r="A14897">
        <f>HYPERLINK("https://www.philgeps.gov.ph/GEPSNONPILOT/Tender/SplashBidNoticeAbstractUI.aspx?menuIndex=3&amp;refID=7120862&amp;Result=3","7120862")</f>
        <v>0</v>
      </c>
      <c r="B14897" t="s">
        <v>2051</v>
      </c>
      <c r="C14897" t="s">
        <v>18007</v>
      </c>
      <c r="D14897" t="s">
        <v>19017</v>
      </c>
      <c r="E14897" t="s">
        <v>31879</v>
      </c>
      <c r="F14897" t="s">
        <v>32831</v>
      </c>
      <c r="G14897" t="s">
        <v>32839</v>
      </c>
      <c r="H14897" t="s">
        <v>32848</v>
      </c>
      <c r="I14897" t="s">
        <v>32857</v>
      </c>
      <c r="J14897" t="s">
        <v>42069</v>
      </c>
      <c r="K14897" t="s">
        <v>42726</v>
      </c>
      <c r="M14897" t="s">
        <v>47295</v>
      </c>
      <c r="N14897" t="s">
        <v>47424</v>
      </c>
      <c r="O14897" t="s">
        <v>47425</v>
      </c>
      <c r="Q14897">
        <v>5</v>
      </c>
      <c r="R14897" t="s">
        <v>47447</v>
      </c>
      <c r="S14897" t="s">
        <v>48524</v>
      </c>
      <c r="T14897" t="s">
        <v>49080</v>
      </c>
      <c r="U14897" t="s">
        <v>61772</v>
      </c>
      <c r="W14897" t="s">
        <v>47295</v>
      </c>
      <c r="X14897" t="s">
        <v>47448</v>
      </c>
    </row>
    <row r="14898" spans="1:24">
      <c r="A14898">
        <f>HYPERLINK("https://www.philgeps.gov.ph/GEPSNONPILOT/Tender/SplashBidNoticeAbstractUI.aspx?menuIndex=3&amp;refID=7120740&amp;Result=3","7120740")</f>
        <v>0</v>
      </c>
      <c r="B14898" t="s">
        <v>3859</v>
      </c>
      <c r="C14898" t="s">
        <v>18008</v>
      </c>
      <c r="D14898" t="s">
        <v>19074</v>
      </c>
      <c r="E14898" t="s">
        <v>31880</v>
      </c>
      <c r="F14898" t="s">
        <v>32831</v>
      </c>
      <c r="G14898" t="s">
        <v>32839</v>
      </c>
      <c r="H14898" t="s">
        <v>32849</v>
      </c>
      <c r="I14898" t="s">
        <v>4177</v>
      </c>
      <c r="J14898" t="s">
        <v>38388</v>
      </c>
      <c r="K14898" t="s">
        <v>42994</v>
      </c>
      <c r="M14898" t="s">
        <v>47296</v>
      </c>
      <c r="N14898" t="s">
        <v>47424</v>
      </c>
      <c r="O14898" t="s">
        <v>47425</v>
      </c>
      <c r="P14898">
        <v>0</v>
      </c>
      <c r="Q14898">
        <v>0</v>
      </c>
      <c r="R14898" t="s">
        <v>47447</v>
      </c>
      <c r="S14898" t="s">
        <v>48494</v>
      </c>
      <c r="T14898" t="s">
        <v>49239</v>
      </c>
      <c r="U14898" t="s">
        <v>61773</v>
      </c>
      <c r="V14898" t="s">
        <v>64318</v>
      </c>
      <c r="W14898" t="s">
        <v>47296</v>
      </c>
      <c r="X14898" t="s">
        <v>47448</v>
      </c>
    </row>
    <row r="14899" spans="1:24">
      <c r="A14899">
        <f>HYPERLINK("https://www.philgeps.gov.ph/GEPSNONPILOT/Tender/SplashBidNoticeAbstractUI.aspx?menuIndex=3&amp;refID=7120802&amp;Result=3","7120802")</f>
        <v>0</v>
      </c>
      <c r="B14899" t="s">
        <v>3860</v>
      </c>
      <c r="C14899" t="s">
        <v>18009</v>
      </c>
      <c r="D14899" t="s">
        <v>19081</v>
      </c>
      <c r="E14899" t="s">
        <v>31881</v>
      </c>
      <c r="F14899" t="s">
        <v>32831</v>
      </c>
      <c r="G14899" t="s">
        <v>32839</v>
      </c>
      <c r="H14899" t="s">
        <v>32848</v>
      </c>
      <c r="I14899" t="s">
        <v>7416</v>
      </c>
      <c r="J14899" t="s">
        <v>42070</v>
      </c>
      <c r="K14899" t="s">
        <v>42731</v>
      </c>
      <c r="M14899" t="s">
        <v>47297</v>
      </c>
      <c r="N14899" t="s">
        <v>47424</v>
      </c>
      <c r="O14899" t="s">
        <v>47425</v>
      </c>
      <c r="P14899">
        <v>0</v>
      </c>
      <c r="Q14899">
        <v>0</v>
      </c>
      <c r="R14899" t="s">
        <v>47447</v>
      </c>
      <c r="S14899" t="s">
        <v>48494</v>
      </c>
      <c r="T14899" t="s">
        <v>49276</v>
      </c>
      <c r="U14899" t="s">
        <v>61774</v>
      </c>
      <c r="W14899" t="s">
        <v>47297</v>
      </c>
      <c r="X14899" t="s">
        <v>47448</v>
      </c>
    </row>
    <row r="14900" spans="1:24">
      <c r="A14900">
        <f>HYPERLINK("https://www.philgeps.gov.ph/GEPSNONPILOT/Tender/SplashBidNoticeAbstractUI.aspx?menuIndex=3&amp;refID=7120880&amp;Result=3","7120880")</f>
        <v>0</v>
      </c>
      <c r="B14900" t="s">
        <v>3852</v>
      </c>
      <c r="C14900" t="s">
        <v>18010</v>
      </c>
      <c r="D14900" t="s">
        <v>19017</v>
      </c>
      <c r="E14900" t="s">
        <v>31882</v>
      </c>
      <c r="F14900" t="s">
        <v>32831</v>
      </c>
      <c r="G14900" t="s">
        <v>32839</v>
      </c>
      <c r="H14900" t="s">
        <v>32849</v>
      </c>
      <c r="I14900" t="s">
        <v>4177</v>
      </c>
      <c r="J14900" t="s">
        <v>42071</v>
      </c>
      <c r="K14900" t="s">
        <v>42784</v>
      </c>
      <c r="M14900" t="s">
        <v>47285</v>
      </c>
      <c r="N14900" t="s">
        <v>47424</v>
      </c>
      <c r="O14900" t="s">
        <v>47425</v>
      </c>
      <c r="Q14900">
        <v>14</v>
      </c>
      <c r="R14900" t="s">
        <v>47447</v>
      </c>
      <c r="S14900" t="s">
        <v>48525</v>
      </c>
      <c r="T14900" t="s">
        <v>49192</v>
      </c>
      <c r="U14900" t="s">
        <v>61696</v>
      </c>
      <c r="W14900" t="s">
        <v>47285</v>
      </c>
      <c r="X14900" t="s">
        <v>47448</v>
      </c>
    </row>
    <row r="14901" spans="1:24">
      <c r="A14901">
        <f>HYPERLINK("https://www.philgeps.gov.ph/GEPSNONPILOT/Tender/SplashBidNoticeAbstractUI.aspx?menuIndex=3&amp;refID=7121053&amp;Result=3","7121053")</f>
        <v>0</v>
      </c>
      <c r="B14901" t="s">
        <v>283</v>
      </c>
      <c r="C14901" t="s">
        <v>18011</v>
      </c>
      <c r="D14901" t="s">
        <v>19037</v>
      </c>
      <c r="E14901" t="s">
        <v>31883</v>
      </c>
      <c r="F14901" t="s">
        <v>32831</v>
      </c>
      <c r="G14901" t="s">
        <v>32839</v>
      </c>
      <c r="H14901" t="s">
        <v>32848</v>
      </c>
      <c r="I14901" t="s">
        <v>7416</v>
      </c>
      <c r="J14901" t="s">
        <v>42072</v>
      </c>
      <c r="K14901" t="s">
        <v>42727</v>
      </c>
      <c r="M14901" t="s">
        <v>43282</v>
      </c>
      <c r="N14901" t="s">
        <v>47424</v>
      </c>
      <c r="O14901" t="s">
        <v>47425</v>
      </c>
      <c r="P14901">
        <v>0</v>
      </c>
      <c r="Q14901">
        <v>1</v>
      </c>
      <c r="R14901" t="s">
        <v>47447</v>
      </c>
      <c r="S14901" t="s">
        <v>48494</v>
      </c>
      <c r="T14901" t="s">
        <v>49068</v>
      </c>
      <c r="U14901" t="s">
        <v>50176</v>
      </c>
      <c r="V14901" t="s">
        <v>64317</v>
      </c>
      <c r="W14901" t="s">
        <v>43282</v>
      </c>
      <c r="X14901" t="s">
        <v>47448</v>
      </c>
    </row>
    <row r="14902" spans="1:24">
      <c r="A14902">
        <f>HYPERLINK("https://www.philgeps.gov.ph/GEPSNONPILOT/Tender/SplashBidNoticeAbstractUI.aspx?menuIndex=3&amp;refID=7121085&amp;Result=3","7121085")</f>
        <v>0</v>
      </c>
      <c r="B14902" t="s">
        <v>67</v>
      </c>
      <c r="C14902" t="s">
        <v>18012</v>
      </c>
      <c r="D14902" t="s">
        <v>19079</v>
      </c>
      <c r="E14902" t="s">
        <v>31884</v>
      </c>
      <c r="F14902" t="s">
        <v>32831</v>
      </c>
      <c r="G14902" t="s">
        <v>32839</v>
      </c>
      <c r="H14902" t="s">
        <v>32848</v>
      </c>
      <c r="I14902" t="s">
        <v>32852</v>
      </c>
      <c r="J14902" t="s">
        <v>34733</v>
      </c>
      <c r="K14902" t="s">
        <v>42763</v>
      </c>
      <c r="M14902" t="s">
        <v>44711</v>
      </c>
      <c r="N14902" t="s">
        <v>47424</v>
      </c>
      <c r="O14902" t="s">
        <v>47425</v>
      </c>
      <c r="Q14902">
        <v>7</v>
      </c>
      <c r="R14902" t="s">
        <v>47447</v>
      </c>
      <c r="S14902" t="s">
        <v>48526</v>
      </c>
      <c r="T14902" t="s">
        <v>49328</v>
      </c>
      <c r="U14902" t="s">
        <v>61775</v>
      </c>
      <c r="W14902" t="s">
        <v>44711</v>
      </c>
      <c r="X14902" t="s">
        <v>47448</v>
      </c>
    </row>
    <row r="14903" spans="1:24">
      <c r="A14903">
        <f>HYPERLINK("https://www.philgeps.gov.ph/GEPSNONPILOT/Tender/SplashBidNoticeAbstractUI.aspx?menuIndex=3&amp;refID=7121032&amp;Result=3","7121032")</f>
        <v>0</v>
      </c>
      <c r="B14903" t="s">
        <v>1355</v>
      </c>
      <c r="C14903" t="s">
        <v>18013</v>
      </c>
      <c r="D14903" t="s">
        <v>19103</v>
      </c>
      <c r="E14903" t="s">
        <v>31885</v>
      </c>
      <c r="F14903" t="s">
        <v>32831</v>
      </c>
      <c r="G14903" t="s">
        <v>32839</v>
      </c>
      <c r="H14903" t="s">
        <v>32849</v>
      </c>
      <c r="I14903" t="s">
        <v>4177</v>
      </c>
      <c r="J14903" t="s">
        <v>42073</v>
      </c>
      <c r="K14903" t="s">
        <v>42731</v>
      </c>
      <c r="M14903" t="s">
        <v>44431</v>
      </c>
      <c r="N14903" t="s">
        <v>47424</v>
      </c>
      <c r="O14903" t="s">
        <v>47425</v>
      </c>
      <c r="P14903">
        <v>0</v>
      </c>
      <c r="Q14903">
        <v>0</v>
      </c>
      <c r="R14903" t="s">
        <v>47447</v>
      </c>
      <c r="S14903" t="s">
        <v>48494</v>
      </c>
      <c r="T14903" t="s">
        <v>49466</v>
      </c>
      <c r="U14903" t="s">
        <v>61776</v>
      </c>
      <c r="W14903" t="s">
        <v>44431</v>
      </c>
      <c r="X14903" t="s">
        <v>47448</v>
      </c>
    </row>
    <row r="14904" spans="1:24">
      <c r="A14904">
        <f>HYPERLINK("https://www.philgeps.gov.ph/GEPSNONPILOT/Tender/SplashBidNoticeAbstractUI.aspx?menuIndex=3&amp;refID=7121001&amp;Result=3","7121001")</f>
        <v>0</v>
      </c>
      <c r="B14904" t="s">
        <v>3803</v>
      </c>
      <c r="C14904" t="s">
        <v>18014</v>
      </c>
      <c r="D14904" t="s">
        <v>19027</v>
      </c>
      <c r="E14904" t="s">
        <v>31886</v>
      </c>
      <c r="F14904" t="s">
        <v>32831</v>
      </c>
      <c r="G14904" t="s">
        <v>32839</v>
      </c>
      <c r="H14904" t="s">
        <v>32848</v>
      </c>
      <c r="I14904" t="s">
        <v>4471</v>
      </c>
      <c r="J14904" t="s">
        <v>33702</v>
      </c>
      <c r="K14904" t="s">
        <v>42726</v>
      </c>
      <c r="L14904" t="s">
        <v>3803</v>
      </c>
      <c r="M14904" t="s">
        <v>47221</v>
      </c>
      <c r="N14904" t="s">
        <v>47424</v>
      </c>
      <c r="O14904" t="s">
        <v>47425</v>
      </c>
      <c r="P14904">
        <v>0</v>
      </c>
      <c r="Q14904">
        <v>0</v>
      </c>
      <c r="R14904" t="s">
        <v>47447</v>
      </c>
      <c r="S14904" t="s">
        <v>48494</v>
      </c>
      <c r="T14904" t="s">
        <v>49237</v>
      </c>
      <c r="U14904" t="s">
        <v>61289</v>
      </c>
      <c r="V14904" t="s">
        <v>64258</v>
      </c>
      <c r="W14904" t="s">
        <v>47221</v>
      </c>
      <c r="X14904" t="s">
        <v>47448</v>
      </c>
    </row>
    <row r="14905" spans="1:24">
      <c r="A14905">
        <f>HYPERLINK("https://www.philgeps.gov.ph/GEPSNONPILOT/Tender/SplashBidNoticeAbstractUI.aspx?menuIndex=3&amp;refID=7120983&amp;Result=3","7120983")</f>
        <v>0</v>
      </c>
      <c r="B14905" t="s">
        <v>2425</v>
      </c>
      <c r="C14905" t="s">
        <v>18015</v>
      </c>
      <c r="D14905" t="s">
        <v>19082</v>
      </c>
      <c r="E14905" t="s">
        <v>31887</v>
      </c>
      <c r="F14905" t="s">
        <v>32831</v>
      </c>
      <c r="G14905" t="s">
        <v>32839</v>
      </c>
      <c r="H14905" t="s">
        <v>32848</v>
      </c>
      <c r="I14905" t="s">
        <v>4438</v>
      </c>
      <c r="J14905" t="s">
        <v>33118</v>
      </c>
      <c r="K14905" t="s">
        <v>42747</v>
      </c>
      <c r="M14905" t="s">
        <v>45622</v>
      </c>
      <c r="N14905" t="s">
        <v>47424</v>
      </c>
      <c r="O14905" t="s">
        <v>47425</v>
      </c>
      <c r="P14905">
        <v>0</v>
      </c>
      <c r="Q14905">
        <v>2</v>
      </c>
      <c r="R14905" t="s">
        <v>47447</v>
      </c>
      <c r="S14905" t="s">
        <v>48494</v>
      </c>
      <c r="T14905" t="s">
        <v>49111</v>
      </c>
      <c r="U14905" t="s">
        <v>61777</v>
      </c>
      <c r="W14905" t="s">
        <v>45622</v>
      </c>
      <c r="X14905" t="s">
        <v>47448</v>
      </c>
    </row>
    <row r="14906" spans="1:24">
      <c r="A14906">
        <f>HYPERLINK("https://www.philgeps.gov.ph/GEPSNONPILOT/Tender/SplashBidNoticeAbstractUI.aspx?menuIndex=3&amp;refID=7120976&amp;Result=3","7120976")</f>
        <v>0</v>
      </c>
      <c r="B14906" t="s">
        <v>316</v>
      </c>
      <c r="C14906" t="s">
        <v>18016</v>
      </c>
      <c r="D14906" t="s">
        <v>19023</v>
      </c>
      <c r="E14906" t="s">
        <v>31888</v>
      </c>
      <c r="F14906" t="s">
        <v>32831</v>
      </c>
      <c r="G14906" t="s">
        <v>32839</v>
      </c>
      <c r="H14906" t="s">
        <v>32848</v>
      </c>
      <c r="I14906" t="s">
        <v>4558</v>
      </c>
      <c r="J14906" t="s">
        <v>42074</v>
      </c>
      <c r="K14906" t="s">
        <v>42730</v>
      </c>
      <c r="M14906" t="s">
        <v>43795</v>
      </c>
      <c r="N14906" t="s">
        <v>47424</v>
      </c>
      <c r="O14906" t="s">
        <v>47425</v>
      </c>
      <c r="P14906">
        <v>0</v>
      </c>
      <c r="Q14906">
        <v>12</v>
      </c>
      <c r="R14906" t="s">
        <v>47447</v>
      </c>
      <c r="S14906" t="s">
        <v>48494</v>
      </c>
      <c r="T14906" t="s">
        <v>49111</v>
      </c>
      <c r="U14906" t="s">
        <v>61778</v>
      </c>
      <c r="V14906" t="s">
        <v>62872</v>
      </c>
      <c r="W14906" t="s">
        <v>43795</v>
      </c>
      <c r="X14906" t="s">
        <v>47448</v>
      </c>
    </row>
    <row r="14907" spans="1:24">
      <c r="A14907">
        <f>HYPERLINK("https://www.philgeps.gov.ph/GEPSNONPILOT/Tender/SplashBidNoticeAbstractUI.aspx?menuIndex=3&amp;refID=7121077&amp;Result=3","7121077")</f>
        <v>0</v>
      </c>
      <c r="B14907" t="s">
        <v>283</v>
      </c>
      <c r="C14907" t="s">
        <v>18017</v>
      </c>
      <c r="D14907" t="s">
        <v>19037</v>
      </c>
      <c r="E14907" t="s">
        <v>31889</v>
      </c>
      <c r="F14907" t="s">
        <v>32831</v>
      </c>
      <c r="G14907" t="s">
        <v>32839</v>
      </c>
      <c r="H14907" t="s">
        <v>32848</v>
      </c>
      <c r="I14907" t="s">
        <v>7416</v>
      </c>
      <c r="J14907" t="s">
        <v>42075</v>
      </c>
      <c r="K14907" t="s">
        <v>42727</v>
      </c>
      <c r="M14907" t="s">
        <v>43282</v>
      </c>
      <c r="N14907" t="s">
        <v>47424</v>
      </c>
      <c r="O14907" t="s">
        <v>47425</v>
      </c>
      <c r="P14907">
        <v>0</v>
      </c>
      <c r="Q14907">
        <v>0</v>
      </c>
      <c r="R14907" t="s">
        <v>47447</v>
      </c>
      <c r="S14907" t="s">
        <v>48494</v>
      </c>
      <c r="T14907" t="s">
        <v>49068</v>
      </c>
      <c r="U14907" t="s">
        <v>50176</v>
      </c>
      <c r="V14907" t="s">
        <v>64317</v>
      </c>
      <c r="W14907" t="s">
        <v>43282</v>
      </c>
      <c r="X14907" t="s">
        <v>47448</v>
      </c>
    </row>
    <row r="14908" spans="1:24">
      <c r="A14908">
        <f>HYPERLINK("https://www.philgeps.gov.ph/GEPSNONPILOT/Tender/SplashBidNoticeAbstractUI.aspx?menuIndex=3&amp;refID=7120974&amp;Result=3","7120974")</f>
        <v>0</v>
      </c>
      <c r="B14908" t="s">
        <v>1355</v>
      </c>
      <c r="C14908" t="s">
        <v>18018</v>
      </c>
      <c r="D14908" t="s">
        <v>19103</v>
      </c>
      <c r="E14908" t="s">
        <v>31890</v>
      </c>
      <c r="F14908" t="s">
        <v>32831</v>
      </c>
      <c r="G14908" t="s">
        <v>32839</v>
      </c>
      <c r="H14908" t="s">
        <v>32849</v>
      </c>
      <c r="I14908" t="s">
        <v>4177</v>
      </c>
      <c r="J14908" t="s">
        <v>42076</v>
      </c>
      <c r="K14908" t="s">
        <v>42876</v>
      </c>
      <c r="M14908" t="s">
        <v>44431</v>
      </c>
      <c r="N14908" t="s">
        <v>47424</v>
      </c>
      <c r="O14908" t="s">
        <v>47425</v>
      </c>
      <c r="P14908">
        <v>0</v>
      </c>
      <c r="Q14908">
        <v>0</v>
      </c>
      <c r="R14908" t="s">
        <v>47447</v>
      </c>
      <c r="S14908" t="s">
        <v>48494</v>
      </c>
      <c r="T14908" t="s">
        <v>49466</v>
      </c>
      <c r="U14908" t="s">
        <v>61779</v>
      </c>
      <c r="W14908" t="s">
        <v>44431</v>
      </c>
      <c r="X14908" t="s">
        <v>47448</v>
      </c>
    </row>
    <row r="14909" spans="1:24">
      <c r="A14909">
        <f>HYPERLINK("https://www.philgeps.gov.ph/GEPSNONPILOT/Tender/SplashBidNoticeAbstractUI.aspx?menuIndex=3&amp;refID=7120964&amp;Result=3","7120964")</f>
        <v>0</v>
      </c>
      <c r="B14909" t="s">
        <v>283</v>
      </c>
      <c r="C14909" t="s">
        <v>18019</v>
      </c>
      <c r="D14909" t="s">
        <v>19037</v>
      </c>
      <c r="E14909" t="s">
        <v>31891</v>
      </c>
      <c r="F14909" t="s">
        <v>32831</v>
      </c>
      <c r="G14909" t="s">
        <v>32839</v>
      </c>
      <c r="H14909" t="s">
        <v>32848</v>
      </c>
      <c r="I14909" t="s">
        <v>7416</v>
      </c>
      <c r="J14909" t="s">
        <v>42077</v>
      </c>
      <c r="K14909" t="s">
        <v>42727</v>
      </c>
      <c r="M14909" t="s">
        <v>43282</v>
      </c>
      <c r="N14909" t="s">
        <v>47424</v>
      </c>
      <c r="O14909" t="s">
        <v>47425</v>
      </c>
      <c r="P14909">
        <v>0</v>
      </c>
      <c r="Q14909">
        <v>0</v>
      </c>
      <c r="R14909" t="s">
        <v>47447</v>
      </c>
      <c r="S14909" t="s">
        <v>48494</v>
      </c>
      <c r="T14909" t="s">
        <v>49068</v>
      </c>
      <c r="U14909" t="s">
        <v>50176</v>
      </c>
      <c r="V14909" t="s">
        <v>64317</v>
      </c>
      <c r="W14909" t="s">
        <v>43282</v>
      </c>
      <c r="X14909" t="s">
        <v>47448</v>
      </c>
    </row>
    <row r="14910" spans="1:24">
      <c r="A14910">
        <f>HYPERLINK("https://www.philgeps.gov.ph/GEPSNONPILOT/Tender/SplashBidNoticeAbstractUI.aspx?menuIndex=3&amp;refID=7121014&amp;Result=3","7121014")</f>
        <v>0</v>
      </c>
      <c r="B14910" t="s">
        <v>283</v>
      </c>
      <c r="C14910" t="s">
        <v>18020</v>
      </c>
      <c r="D14910" t="s">
        <v>19037</v>
      </c>
      <c r="E14910" t="s">
        <v>31892</v>
      </c>
      <c r="F14910" t="s">
        <v>32831</v>
      </c>
      <c r="G14910" t="s">
        <v>32839</v>
      </c>
      <c r="H14910" t="s">
        <v>32848</v>
      </c>
      <c r="I14910" t="s">
        <v>7416</v>
      </c>
      <c r="J14910" t="s">
        <v>42072</v>
      </c>
      <c r="K14910" t="s">
        <v>42727</v>
      </c>
      <c r="M14910" t="s">
        <v>43282</v>
      </c>
      <c r="N14910" t="s">
        <v>47424</v>
      </c>
      <c r="O14910" t="s">
        <v>47425</v>
      </c>
      <c r="P14910">
        <v>0</v>
      </c>
      <c r="Q14910">
        <v>0</v>
      </c>
      <c r="R14910" t="s">
        <v>47447</v>
      </c>
      <c r="S14910" t="s">
        <v>48494</v>
      </c>
      <c r="T14910" t="s">
        <v>49068</v>
      </c>
      <c r="U14910" t="s">
        <v>50176</v>
      </c>
      <c r="V14910" t="s">
        <v>64317</v>
      </c>
      <c r="W14910" t="s">
        <v>43282</v>
      </c>
      <c r="X14910" t="s">
        <v>47448</v>
      </c>
    </row>
    <row r="14911" spans="1:24">
      <c r="A14911">
        <f>HYPERLINK("https://www.philgeps.gov.ph/GEPSNONPILOT/Tender/SplashBidNoticeAbstractUI.aspx?menuIndex=3&amp;refID=7121094&amp;Result=3","7121094")</f>
        <v>0</v>
      </c>
      <c r="B14911" t="s">
        <v>2425</v>
      </c>
      <c r="C14911" t="s">
        <v>18021</v>
      </c>
      <c r="D14911" t="s">
        <v>19050</v>
      </c>
      <c r="E14911" t="s">
        <v>31893</v>
      </c>
      <c r="F14911" t="s">
        <v>32831</v>
      </c>
      <c r="G14911" t="s">
        <v>32839</v>
      </c>
      <c r="H14911" t="s">
        <v>32848</v>
      </c>
      <c r="I14911" t="s">
        <v>4438</v>
      </c>
      <c r="J14911" t="s">
        <v>42078</v>
      </c>
      <c r="K14911" t="s">
        <v>42742</v>
      </c>
      <c r="M14911" t="s">
        <v>45622</v>
      </c>
      <c r="N14911" t="s">
        <v>47424</v>
      </c>
      <c r="O14911" t="s">
        <v>47425</v>
      </c>
      <c r="P14911">
        <v>0</v>
      </c>
      <c r="Q14911">
        <v>1</v>
      </c>
      <c r="R14911" t="s">
        <v>47447</v>
      </c>
      <c r="S14911" t="s">
        <v>48494</v>
      </c>
      <c r="T14911" t="s">
        <v>49111</v>
      </c>
      <c r="U14911" t="s">
        <v>61780</v>
      </c>
      <c r="W14911" t="s">
        <v>45622</v>
      </c>
      <c r="X14911" t="s">
        <v>47448</v>
      </c>
    </row>
    <row r="14912" spans="1:24">
      <c r="A14912">
        <f>HYPERLINK("https://www.philgeps.gov.ph/GEPSNONPILOT/Tender/SplashBidNoticeAbstractUI.aspx?menuIndex=3&amp;refID=7121254&amp;Result=3","7121254")</f>
        <v>0</v>
      </c>
      <c r="B14912" t="s">
        <v>3861</v>
      </c>
      <c r="C14912" t="s">
        <v>18022</v>
      </c>
      <c r="D14912" t="s">
        <v>19044</v>
      </c>
      <c r="E14912" t="s">
        <v>31894</v>
      </c>
      <c r="F14912" t="s">
        <v>32831</v>
      </c>
      <c r="G14912" t="s">
        <v>32839</v>
      </c>
      <c r="H14912" t="s">
        <v>32849</v>
      </c>
      <c r="I14912" t="s">
        <v>4177</v>
      </c>
      <c r="J14912" t="s">
        <v>42079</v>
      </c>
      <c r="K14912" t="s">
        <v>42729</v>
      </c>
      <c r="M14912" t="s">
        <v>47298</v>
      </c>
      <c r="N14912" t="s">
        <v>47424</v>
      </c>
      <c r="O14912" t="s">
        <v>47425</v>
      </c>
      <c r="P14912">
        <v>0</v>
      </c>
      <c r="Q14912">
        <v>1</v>
      </c>
      <c r="R14912" t="s">
        <v>47447</v>
      </c>
      <c r="S14912" t="s">
        <v>48494</v>
      </c>
      <c r="T14912" t="s">
        <v>49080</v>
      </c>
      <c r="U14912" t="s">
        <v>61781</v>
      </c>
      <c r="W14912" t="s">
        <v>47298</v>
      </c>
      <c r="X14912" t="s">
        <v>47448</v>
      </c>
    </row>
    <row r="14913" spans="1:24">
      <c r="A14913">
        <f>HYPERLINK("https://www.philgeps.gov.ph/GEPSNONPILOT/Tender/SplashBidNoticeAbstractUI.aspx?menuIndex=3&amp;refID=7121432&amp;Result=3","7121432")</f>
        <v>0</v>
      </c>
      <c r="B14913" t="s">
        <v>2808</v>
      </c>
      <c r="C14913" t="s">
        <v>18023</v>
      </c>
      <c r="D14913" t="s">
        <v>19027</v>
      </c>
      <c r="E14913" t="s">
        <v>31895</v>
      </c>
      <c r="F14913" t="s">
        <v>32831</v>
      </c>
      <c r="G14913" t="s">
        <v>32839</v>
      </c>
      <c r="H14913" t="s">
        <v>32849</v>
      </c>
      <c r="I14913" t="s">
        <v>4177</v>
      </c>
      <c r="J14913" t="s">
        <v>42080</v>
      </c>
      <c r="K14913" t="s">
        <v>42732</v>
      </c>
      <c r="M14913" t="s">
        <v>47299</v>
      </c>
      <c r="N14913" t="s">
        <v>47424</v>
      </c>
      <c r="O14913" t="s">
        <v>47425</v>
      </c>
      <c r="P14913">
        <v>0</v>
      </c>
      <c r="Q14913">
        <v>7</v>
      </c>
      <c r="R14913" t="s">
        <v>47447</v>
      </c>
      <c r="S14913" t="s">
        <v>48494</v>
      </c>
      <c r="T14913" t="s">
        <v>49397</v>
      </c>
      <c r="U14913" t="s">
        <v>61782</v>
      </c>
      <c r="W14913" t="s">
        <v>47299</v>
      </c>
      <c r="X14913" t="s">
        <v>47448</v>
      </c>
    </row>
    <row r="14914" spans="1:24">
      <c r="A14914">
        <f>HYPERLINK("https://www.philgeps.gov.ph/GEPSNONPILOT/Tender/SplashBidNoticeAbstractUI.aspx?menuIndex=3&amp;refID=7120853&amp;Result=3","7120853")</f>
        <v>0</v>
      </c>
      <c r="B14914" t="s">
        <v>1357</v>
      </c>
      <c r="C14914" t="s">
        <v>18024</v>
      </c>
      <c r="D14914" t="s">
        <v>19045</v>
      </c>
      <c r="E14914" t="s">
        <v>31896</v>
      </c>
      <c r="F14914" t="s">
        <v>32831</v>
      </c>
      <c r="G14914" t="s">
        <v>32839</v>
      </c>
      <c r="H14914" t="s">
        <v>32848</v>
      </c>
      <c r="I14914" t="s">
        <v>32892</v>
      </c>
      <c r="J14914" t="s">
        <v>42081</v>
      </c>
      <c r="K14914" t="s">
        <v>42732</v>
      </c>
      <c r="M14914" t="s">
        <v>45854</v>
      </c>
      <c r="N14914" t="s">
        <v>47424</v>
      </c>
      <c r="O14914" t="s">
        <v>47425</v>
      </c>
      <c r="Q14914">
        <v>2</v>
      </c>
      <c r="R14914" t="s">
        <v>47447</v>
      </c>
      <c r="S14914" t="s">
        <v>48527</v>
      </c>
      <c r="T14914" t="s">
        <v>49166</v>
      </c>
      <c r="U14914" t="s">
        <v>61783</v>
      </c>
      <c r="W14914" t="s">
        <v>45854</v>
      </c>
      <c r="X14914" t="s">
        <v>47448</v>
      </c>
    </row>
    <row r="14915" spans="1:24">
      <c r="A14915">
        <f>HYPERLINK("https://www.philgeps.gov.ph/GEPSNONPILOT/Tender/SplashBidNoticeAbstractUI.aspx?menuIndex=3&amp;refID=7120972&amp;Result=3","7120972")</f>
        <v>0</v>
      </c>
      <c r="B14915" t="s">
        <v>3803</v>
      </c>
      <c r="C14915" t="s">
        <v>18025</v>
      </c>
      <c r="D14915" t="s">
        <v>19027</v>
      </c>
      <c r="E14915" t="s">
        <v>31897</v>
      </c>
      <c r="F14915" t="s">
        <v>32831</v>
      </c>
      <c r="G14915" t="s">
        <v>32839</v>
      </c>
      <c r="H14915" t="s">
        <v>32848</v>
      </c>
      <c r="I14915" t="s">
        <v>32864</v>
      </c>
      <c r="J14915" t="s">
        <v>37087</v>
      </c>
      <c r="K14915" t="s">
        <v>42726</v>
      </c>
      <c r="L14915" t="s">
        <v>3803</v>
      </c>
      <c r="M14915" t="s">
        <v>47221</v>
      </c>
      <c r="N14915" t="s">
        <v>47424</v>
      </c>
      <c r="O14915" t="s">
        <v>47425</v>
      </c>
      <c r="P14915">
        <v>0</v>
      </c>
      <c r="Q14915">
        <v>0</v>
      </c>
      <c r="R14915" t="s">
        <v>47447</v>
      </c>
      <c r="S14915" t="s">
        <v>48494</v>
      </c>
      <c r="T14915" t="s">
        <v>49237</v>
      </c>
      <c r="U14915" t="s">
        <v>61289</v>
      </c>
      <c r="V14915" t="s">
        <v>64258</v>
      </c>
      <c r="W14915" t="s">
        <v>47221</v>
      </c>
      <c r="X14915" t="s">
        <v>47448</v>
      </c>
    </row>
    <row r="14916" spans="1:24">
      <c r="A14916">
        <f>HYPERLINK("https://www.philgeps.gov.ph/GEPSNONPILOT/Tender/SplashBidNoticeAbstractUI.aspx?menuIndex=3&amp;refID=7121310&amp;Result=3","7121310")</f>
        <v>0</v>
      </c>
      <c r="B14916" t="s">
        <v>2425</v>
      </c>
      <c r="C14916" t="s">
        <v>18026</v>
      </c>
      <c r="D14916" t="s">
        <v>19050</v>
      </c>
      <c r="E14916" t="s">
        <v>31898</v>
      </c>
      <c r="F14916" t="s">
        <v>32831</v>
      </c>
      <c r="G14916" t="s">
        <v>32839</v>
      </c>
      <c r="H14916" t="s">
        <v>32848</v>
      </c>
      <c r="I14916" t="s">
        <v>32958</v>
      </c>
      <c r="J14916" t="s">
        <v>34223</v>
      </c>
      <c r="K14916" t="s">
        <v>42745</v>
      </c>
      <c r="M14916" t="s">
        <v>45622</v>
      </c>
      <c r="N14916" t="s">
        <v>47424</v>
      </c>
      <c r="O14916" t="s">
        <v>47425</v>
      </c>
      <c r="P14916">
        <v>0</v>
      </c>
      <c r="Q14916">
        <v>0</v>
      </c>
      <c r="R14916" t="s">
        <v>47447</v>
      </c>
      <c r="S14916" t="s">
        <v>48494</v>
      </c>
      <c r="T14916" t="s">
        <v>49111</v>
      </c>
      <c r="U14916" t="s">
        <v>61784</v>
      </c>
      <c r="W14916" t="s">
        <v>45622</v>
      </c>
      <c r="X14916" t="s">
        <v>47448</v>
      </c>
    </row>
    <row r="14917" spans="1:24">
      <c r="A14917">
        <f>HYPERLINK("https://www.philgeps.gov.ph/GEPSNONPILOT/Tender/SplashBidNoticeAbstractUI.aspx?menuIndex=3&amp;refID=7121388&amp;Result=3","7121388")</f>
        <v>0</v>
      </c>
      <c r="B14917" t="s">
        <v>2763</v>
      </c>
      <c r="C14917" t="s">
        <v>18027</v>
      </c>
      <c r="D14917" t="s">
        <v>19047</v>
      </c>
      <c r="E14917" t="s">
        <v>31899</v>
      </c>
      <c r="F14917" t="s">
        <v>32831</v>
      </c>
      <c r="G14917" t="s">
        <v>32839</v>
      </c>
      <c r="H14917" t="s">
        <v>32848</v>
      </c>
      <c r="I14917" t="s">
        <v>32857</v>
      </c>
      <c r="J14917" t="s">
        <v>42082</v>
      </c>
      <c r="K14917" t="s">
        <v>42732</v>
      </c>
      <c r="M14917" t="s">
        <v>45993</v>
      </c>
      <c r="N14917" t="s">
        <v>47424</v>
      </c>
      <c r="O14917" t="s">
        <v>47425</v>
      </c>
      <c r="P14917">
        <v>0</v>
      </c>
      <c r="Q14917">
        <v>3</v>
      </c>
      <c r="R14917" t="s">
        <v>47447</v>
      </c>
      <c r="S14917" t="s">
        <v>48494</v>
      </c>
      <c r="T14917" t="s">
        <v>49237</v>
      </c>
      <c r="U14917" t="s">
        <v>61785</v>
      </c>
      <c r="W14917" t="s">
        <v>45993</v>
      </c>
      <c r="X14917" t="s">
        <v>47448</v>
      </c>
    </row>
    <row r="14918" spans="1:24">
      <c r="A14918">
        <f>HYPERLINK("https://www.philgeps.gov.ph/GEPSNONPILOT/Tender/SplashBidNoticeAbstractUI.aspx?menuIndex=3&amp;refID=7121236&amp;Result=3","7121236")</f>
        <v>0</v>
      </c>
      <c r="B14918" t="s">
        <v>2425</v>
      </c>
      <c r="C14918" t="s">
        <v>18028</v>
      </c>
      <c r="D14918" t="s">
        <v>19050</v>
      </c>
      <c r="E14918" t="s">
        <v>31900</v>
      </c>
      <c r="F14918" t="s">
        <v>32831</v>
      </c>
      <c r="G14918" t="s">
        <v>32839</v>
      </c>
      <c r="H14918" t="s">
        <v>32848</v>
      </c>
      <c r="I14918" t="s">
        <v>32875</v>
      </c>
      <c r="J14918" t="s">
        <v>33707</v>
      </c>
      <c r="K14918" t="s">
        <v>42730</v>
      </c>
      <c r="M14918" t="s">
        <v>45622</v>
      </c>
      <c r="N14918" t="s">
        <v>47424</v>
      </c>
      <c r="O14918" t="s">
        <v>47425</v>
      </c>
      <c r="P14918">
        <v>0</v>
      </c>
      <c r="Q14918">
        <v>2</v>
      </c>
      <c r="R14918" t="s">
        <v>47447</v>
      </c>
      <c r="S14918" t="s">
        <v>48494</v>
      </c>
      <c r="T14918" t="s">
        <v>49426</v>
      </c>
      <c r="U14918" t="s">
        <v>61786</v>
      </c>
      <c r="W14918" t="s">
        <v>45622</v>
      </c>
      <c r="X14918" t="s">
        <v>47448</v>
      </c>
    </row>
    <row r="14919" spans="1:24">
      <c r="A14919">
        <f>HYPERLINK("https://www.philgeps.gov.ph/GEPSNONPILOT/Tender/SplashBidNoticeAbstractUI.aspx?menuIndex=3&amp;refID=7126244&amp;Result=3","7126244")</f>
        <v>0</v>
      </c>
      <c r="B14919" t="s">
        <v>1498</v>
      </c>
      <c r="C14919" t="s">
        <v>18029</v>
      </c>
      <c r="D14919" t="s">
        <v>19017</v>
      </c>
      <c r="E14919" t="s">
        <v>31901</v>
      </c>
      <c r="F14919" t="s">
        <v>32831</v>
      </c>
      <c r="G14919" t="s">
        <v>32839</v>
      </c>
      <c r="H14919" t="s">
        <v>32848</v>
      </c>
      <c r="I14919" t="s">
        <v>4487</v>
      </c>
      <c r="J14919" t="s">
        <v>42083</v>
      </c>
      <c r="K14919" t="s">
        <v>42729</v>
      </c>
      <c r="M14919" t="s">
        <v>47279</v>
      </c>
      <c r="N14919" t="s">
        <v>47424</v>
      </c>
      <c r="O14919" t="s">
        <v>47425</v>
      </c>
      <c r="Q14919">
        <v>13</v>
      </c>
      <c r="R14919" t="s">
        <v>47446</v>
      </c>
      <c r="S14919" t="s">
        <v>48528</v>
      </c>
      <c r="T14919" t="s">
        <v>49212</v>
      </c>
      <c r="U14919" t="s">
        <v>61787</v>
      </c>
      <c r="W14919" t="s">
        <v>64560</v>
      </c>
      <c r="X14919" t="s">
        <v>47447</v>
      </c>
    </row>
    <row r="14920" spans="1:24">
      <c r="A14920">
        <f>HYPERLINK("https://www.philgeps.gov.ph/GEPSNONPILOT/Tender/SplashBidNoticeAbstractUI.aspx?menuIndex=3&amp;refID=7121347&amp;Result=3","7121347")</f>
        <v>0</v>
      </c>
      <c r="B14920" t="s">
        <v>759</v>
      </c>
      <c r="C14920" t="s">
        <v>18030</v>
      </c>
      <c r="E14920" t="s">
        <v>31902</v>
      </c>
      <c r="F14920" t="s">
        <v>32831</v>
      </c>
      <c r="G14920" t="s">
        <v>32839</v>
      </c>
      <c r="H14920" t="s">
        <v>32848</v>
      </c>
      <c r="I14920" t="s">
        <v>32857</v>
      </c>
      <c r="J14920" t="s">
        <v>33524</v>
      </c>
      <c r="K14920" t="s">
        <v>42732</v>
      </c>
      <c r="M14920" t="s">
        <v>47300</v>
      </c>
      <c r="N14920" t="s">
        <v>47424</v>
      </c>
      <c r="O14920" t="s">
        <v>47425</v>
      </c>
      <c r="Q14920">
        <v>39</v>
      </c>
      <c r="R14920" t="s">
        <v>47447</v>
      </c>
      <c r="S14920" t="s">
        <v>48529</v>
      </c>
      <c r="T14920" t="s">
        <v>49242</v>
      </c>
      <c r="U14920" t="s">
        <v>61788</v>
      </c>
      <c r="W14920" t="s">
        <v>47300</v>
      </c>
      <c r="X14920" t="s">
        <v>47448</v>
      </c>
    </row>
    <row r="14921" spans="1:24">
      <c r="A14921">
        <f>HYPERLINK("https://www.philgeps.gov.ph/GEPSNONPILOT/Tender/SplashBidNoticeAbstractUI.aspx?menuIndex=3&amp;refID=7121231&amp;Result=3","7121231")</f>
        <v>0</v>
      </c>
      <c r="B14921" t="s">
        <v>3862</v>
      </c>
      <c r="C14921" t="s">
        <v>18031</v>
      </c>
      <c r="D14921" t="s">
        <v>19037</v>
      </c>
      <c r="E14921" t="s">
        <v>31903</v>
      </c>
      <c r="F14921" t="s">
        <v>32831</v>
      </c>
      <c r="G14921" t="s">
        <v>32839</v>
      </c>
      <c r="H14921" t="s">
        <v>32848</v>
      </c>
      <c r="I14921" t="s">
        <v>7416</v>
      </c>
      <c r="J14921" t="s">
        <v>42084</v>
      </c>
      <c r="K14921" t="s">
        <v>42730</v>
      </c>
      <c r="M14921" t="s">
        <v>47301</v>
      </c>
      <c r="N14921" t="s">
        <v>47424</v>
      </c>
      <c r="O14921" t="s">
        <v>47425</v>
      </c>
      <c r="P14921">
        <v>0</v>
      </c>
      <c r="Q14921">
        <v>0</v>
      </c>
      <c r="R14921" t="s">
        <v>47447</v>
      </c>
      <c r="S14921" t="s">
        <v>48494</v>
      </c>
      <c r="T14921" t="s">
        <v>49211</v>
      </c>
      <c r="U14921" t="s">
        <v>61789</v>
      </c>
      <c r="V14921" t="s">
        <v>64319</v>
      </c>
      <c r="W14921" t="s">
        <v>47301</v>
      </c>
      <c r="X14921" t="s">
        <v>47448</v>
      </c>
    </row>
    <row r="14922" spans="1:24">
      <c r="A14922">
        <f>HYPERLINK("https://www.philgeps.gov.ph/GEPSNONPILOT/Tender/SplashBidNoticeAbstractUI.aspx?menuIndex=3&amp;refID=7120776&amp;Result=3","7120776")</f>
        <v>0</v>
      </c>
      <c r="B14922" t="s">
        <v>3860</v>
      </c>
      <c r="C14922" t="s">
        <v>18032</v>
      </c>
      <c r="D14922" t="s">
        <v>19081</v>
      </c>
      <c r="E14922" t="s">
        <v>31904</v>
      </c>
      <c r="F14922" t="s">
        <v>32831</v>
      </c>
      <c r="G14922" t="s">
        <v>32839</v>
      </c>
      <c r="H14922" t="s">
        <v>32849</v>
      </c>
      <c r="I14922" t="s">
        <v>4177</v>
      </c>
      <c r="J14922" t="s">
        <v>42085</v>
      </c>
      <c r="K14922" t="s">
        <v>42731</v>
      </c>
      <c r="M14922" t="s">
        <v>47297</v>
      </c>
      <c r="N14922" t="s">
        <v>47424</v>
      </c>
      <c r="O14922" t="s">
        <v>47425</v>
      </c>
      <c r="P14922">
        <v>0</v>
      </c>
      <c r="Q14922">
        <v>0</v>
      </c>
      <c r="R14922" t="s">
        <v>47447</v>
      </c>
      <c r="S14922" t="s">
        <v>48494</v>
      </c>
      <c r="T14922" t="s">
        <v>49129</v>
      </c>
      <c r="U14922" t="s">
        <v>61790</v>
      </c>
      <c r="W14922" t="s">
        <v>47297</v>
      </c>
      <c r="X14922" t="s">
        <v>47448</v>
      </c>
    </row>
    <row r="14923" spans="1:24">
      <c r="A14923">
        <f>HYPERLINK("https://www.philgeps.gov.ph/GEPSNONPILOT/Tender/SplashBidNoticeAbstractUI.aspx?menuIndex=3&amp;refID=7121226&amp;Result=3","7121226")</f>
        <v>0</v>
      </c>
      <c r="B14923" t="s">
        <v>2002</v>
      </c>
      <c r="C14923" t="s">
        <v>18033</v>
      </c>
      <c r="D14923" t="s">
        <v>19077</v>
      </c>
      <c r="E14923" t="s">
        <v>31905</v>
      </c>
      <c r="F14923" t="s">
        <v>32831</v>
      </c>
      <c r="G14923" t="s">
        <v>32839</v>
      </c>
      <c r="H14923" t="s">
        <v>32848</v>
      </c>
      <c r="I14923" t="s">
        <v>4558</v>
      </c>
      <c r="J14923" t="s">
        <v>42086</v>
      </c>
      <c r="K14923" t="s">
        <v>42727</v>
      </c>
      <c r="M14923" t="s">
        <v>45169</v>
      </c>
      <c r="N14923" t="s">
        <v>47424</v>
      </c>
      <c r="O14923" t="s">
        <v>47425</v>
      </c>
      <c r="P14923">
        <v>0</v>
      </c>
      <c r="Q14923">
        <v>5</v>
      </c>
      <c r="R14923" t="s">
        <v>47447</v>
      </c>
      <c r="S14923" t="s">
        <v>48494</v>
      </c>
      <c r="T14923" t="s">
        <v>49237</v>
      </c>
      <c r="U14923" t="s">
        <v>61791</v>
      </c>
      <c r="W14923" t="s">
        <v>45169</v>
      </c>
      <c r="X14923" t="s">
        <v>47448</v>
      </c>
    </row>
    <row r="14924" spans="1:24">
      <c r="A14924">
        <f>HYPERLINK("https://www.philgeps.gov.ph/GEPSNONPILOT/Tender/SplashBidNoticeAbstractUI.aspx?menuIndex=3&amp;refID=7121775&amp;Result=3","7121775")</f>
        <v>0</v>
      </c>
      <c r="B14924" t="s">
        <v>2425</v>
      </c>
      <c r="C14924" t="s">
        <v>18034</v>
      </c>
      <c r="D14924" t="s">
        <v>19050</v>
      </c>
      <c r="E14924" t="s">
        <v>31906</v>
      </c>
      <c r="F14924" t="s">
        <v>32831</v>
      </c>
      <c r="G14924" t="s">
        <v>32839</v>
      </c>
      <c r="H14924" t="s">
        <v>32848</v>
      </c>
      <c r="I14924" t="s">
        <v>32892</v>
      </c>
      <c r="J14924" t="s">
        <v>42087</v>
      </c>
      <c r="K14924" t="s">
        <v>42747</v>
      </c>
      <c r="M14924" t="s">
        <v>45622</v>
      </c>
      <c r="N14924" t="s">
        <v>47424</v>
      </c>
      <c r="O14924" t="s">
        <v>47425</v>
      </c>
      <c r="P14924">
        <v>0</v>
      </c>
      <c r="Q14924">
        <v>2</v>
      </c>
      <c r="R14924" t="s">
        <v>47447</v>
      </c>
      <c r="S14924" t="s">
        <v>48494</v>
      </c>
      <c r="T14924" t="s">
        <v>49111</v>
      </c>
      <c r="U14924" t="s">
        <v>61792</v>
      </c>
      <c r="W14924" t="s">
        <v>45622</v>
      </c>
      <c r="X14924" t="s">
        <v>47448</v>
      </c>
    </row>
    <row r="14925" spans="1:24">
      <c r="A14925">
        <f>HYPERLINK("https://www.philgeps.gov.ph/GEPSNONPILOT/Tender/SplashBidNoticeAbstractUI.aspx?menuIndex=3&amp;refID=7121252&amp;Result=3","7121252")</f>
        <v>0</v>
      </c>
      <c r="B14925" t="s">
        <v>67</v>
      </c>
      <c r="C14925" t="s">
        <v>18035</v>
      </c>
      <c r="D14925" t="s">
        <v>19099</v>
      </c>
      <c r="E14925" t="s">
        <v>18035</v>
      </c>
      <c r="F14925" t="s">
        <v>32831</v>
      </c>
      <c r="G14925" t="s">
        <v>32839</v>
      </c>
      <c r="H14925" t="s">
        <v>32848</v>
      </c>
      <c r="I14925" t="s">
        <v>32886</v>
      </c>
      <c r="J14925" t="s">
        <v>42088</v>
      </c>
      <c r="K14925" t="s">
        <v>42763</v>
      </c>
      <c r="M14925" t="s">
        <v>44711</v>
      </c>
      <c r="N14925" t="s">
        <v>47424</v>
      </c>
      <c r="O14925" t="s">
        <v>47425</v>
      </c>
      <c r="Q14925">
        <v>9</v>
      </c>
      <c r="R14925" t="s">
        <v>47447</v>
      </c>
      <c r="S14925" t="s">
        <v>48530</v>
      </c>
      <c r="T14925" t="s">
        <v>49328</v>
      </c>
      <c r="U14925" t="s">
        <v>61793</v>
      </c>
      <c r="W14925" t="s">
        <v>44711</v>
      </c>
      <c r="X14925" t="s">
        <v>47448</v>
      </c>
    </row>
    <row r="14926" spans="1:24">
      <c r="A14926">
        <f>HYPERLINK("https://www.philgeps.gov.ph/GEPSNONPILOT/Tender/SplashBidNoticeAbstractUI.aspx?menuIndex=3&amp;refID=7121233&amp;Result=3","7121233")</f>
        <v>0</v>
      </c>
      <c r="B14926" t="s">
        <v>1479</v>
      </c>
      <c r="C14926" t="s">
        <v>18036</v>
      </c>
      <c r="D14926" t="s">
        <v>19027</v>
      </c>
      <c r="E14926" t="s">
        <v>31907</v>
      </c>
      <c r="F14926" t="s">
        <v>32831</v>
      </c>
      <c r="G14926" t="s">
        <v>32839</v>
      </c>
      <c r="H14926" t="s">
        <v>32848</v>
      </c>
      <c r="I14926" t="s">
        <v>32874</v>
      </c>
      <c r="J14926" t="s">
        <v>42089</v>
      </c>
      <c r="K14926" t="s">
        <v>42747</v>
      </c>
      <c r="M14926" t="s">
        <v>45744</v>
      </c>
      <c r="N14926" t="s">
        <v>47424</v>
      </c>
      <c r="O14926" t="s">
        <v>47425</v>
      </c>
      <c r="Q14926">
        <v>17</v>
      </c>
      <c r="R14926" t="s">
        <v>47447</v>
      </c>
      <c r="S14926" t="s">
        <v>48531</v>
      </c>
      <c r="T14926" t="s">
        <v>49135</v>
      </c>
      <c r="U14926" t="s">
        <v>61794</v>
      </c>
      <c r="W14926" t="s">
        <v>44572</v>
      </c>
      <c r="X14926" t="s">
        <v>47448</v>
      </c>
    </row>
    <row r="14927" spans="1:24">
      <c r="A14927">
        <f>HYPERLINK("https://www.philgeps.gov.ph/GEPSNONPILOT/Tender/SplashBidNoticeAbstractUI.aspx?menuIndex=3&amp;refID=7121333&amp;Result=3","7121333")</f>
        <v>0</v>
      </c>
      <c r="B14927" t="s">
        <v>759</v>
      </c>
      <c r="C14927" t="s">
        <v>18037</v>
      </c>
      <c r="E14927" t="s">
        <v>31908</v>
      </c>
      <c r="F14927" t="s">
        <v>32831</v>
      </c>
      <c r="G14927" t="s">
        <v>32839</v>
      </c>
      <c r="H14927" t="s">
        <v>32848</v>
      </c>
      <c r="I14927" t="s">
        <v>32857</v>
      </c>
      <c r="J14927" t="s">
        <v>42090</v>
      </c>
      <c r="K14927" t="s">
        <v>42732</v>
      </c>
      <c r="M14927" t="s">
        <v>47300</v>
      </c>
      <c r="N14927" t="s">
        <v>47424</v>
      </c>
      <c r="O14927" t="s">
        <v>47425</v>
      </c>
      <c r="Q14927">
        <v>29</v>
      </c>
      <c r="R14927" t="s">
        <v>47447</v>
      </c>
      <c r="S14927" t="s">
        <v>48532</v>
      </c>
      <c r="T14927" t="s">
        <v>49288</v>
      </c>
      <c r="U14927" t="s">
        <v>61788</v>
      </c>
      <c r="W14927" t="s">
        <v>47300</v>
      </c>
      <c r="X14927" t="s">
        <v>47448</v>
      </c>
    </row>
    <row r="14928" spans="1:24">
      <c r="A14928">
        <f>HYPERLINK("https://www.philgeps.gov.ph/GEPSNONPILOT/Tender/SplashBidNoticeAbstractUI.aspx?menuIndex=3&amp;refID=7121812&amp;Result=3","7121812")</f>
        <v>0</v>
      </c>
      <c r="B14928" t="s">
        <v>1946</v>
      </c>
      <c r="C14928" t="s">
        <v>18038</v>
      </c>
      <c r="D14928" t="s">
        <v>19037</v>
      </c>
      <c r="E14928" t="s">
        <v>31909</v>
      </c>
      <c r="F14928" t="s">
        <v>32831</v>
      </c>
      <c r="G14928" t="s">
        <v>32839</v>
      </c>
      <c r="H14928" t="s">
        <v>32849</v>
      </c>
      <c r="I14928" t="s">
        <v>4177</v>
      </c>
      <c r="J14928" t="s">
        <v>33083</v>
      </c>
      <c r="K14928" t="s">
        <v>42770</v>
      </c>
      <c r="M14928" t="s">
        <v>45103</v>
      </c>
      <c r="N14928" t="s">
        <v>47424</v>
      </c>
      <c r="O14928" t="s">
        <v>47425</v>
      </c>
      <c r="P14928">
        <v>0</v>
      </c>
      <c r="Q14928">
        <v>2</v>
      </c>
      <c r="R14928" t="s">
        <v>47447</v>
      </c>
      <c r="S14928" t="s">
        <v>48494</v>
      </c>
      <c r="T14928" t="s">
        <v>49237</v>
      </c>
      <c r="U14928" t="s">
        <v>54017</v>
      </c>
      <c r="W14928" t="s">
        <v>64493</v>
      </c>
      <c r="X14928" t="s">
        <v>47448</v>
      </c>
    </row>
    <row r="14929" spans="1:24">
      <c r="A14929">
        <f>HYPERLINK("https://www.philgeps.gov.ph/GEPSNONPILOT/Tender/SplashBidNoticeAbstractUI.aspx?menuIndex=3&amp;refID=7121904&amp;Result=3","7121904")</f>
        <v>0</v>
      </c>
      <c r="B14929" t="s">
        <v>3860</v>
      </c>
      <c r="C14929" t="s">
        <v>18039</v>
      </c>
      <c r="D14929" t="s">
        <v>19081</v>
      </c>
      <c r="E14929" t="s">
        <v>31910</v>
      </c>
      <c r="F14929" t="s">
        <v>32831</v>
      </c>
      <c r="G14929" t="s">
        <v>32841</v>
      </c>
      <c r="H14929" t="s">
        <v>32848</v>
      </c>
      <c r="I14929" t="s">
        <v>9577</v>
      </c>
      <c r="J14929" t="s">
        <v>42091</v>
      </c>
      <c r="K14929" t="s">
        <v>42727</v>
      </c>
      <c r="M14929" t="s">
        <v>47297</v>
      </c>
      <c r="N14929" t="s">
        <v>47424</v>
      </c>
      <c r="O14929" t="s">
        <v>47425</v>
      </c>
      <c r="P14929">
        <v>0</v>
      </c>
      <c r="Q14929">
        <v>4</v>
      </c>
      <c r="R14929" t="s">
        <v>47447</v>
      </c>
      <c r="S14929" t="s">
        <v>48494</v>
      </c>
      <c r="T14929" t="s">
        <v>49237</v>
      </c>
      <c r="U14929" t="s">
        <v>61795</v>
      </c>
      <c r="W14929" t="s">
        <v>47297</v>
      </c>
      <c r="X14929" t="s">
        <v>47448</v>
      </c>
    </row>
    <row r="14930" spans="1:24">
      <c r="A14930">
        <f>HYPERLINK("https://www.philgeps.gov.ph/GEPSNONPILOT/Tender/SplashBidNoticeAbstractUI.aspx?menuIndex=3&amp;refID=7121370&amp;Result=3","7121370")</f>
        <v>0</v>
      </c>
      <c r="B14930" t="s">
        <v>759</v>
      </c>
      <c r="C14930" t="s">
        <v>18040</v>
      </c>
      <c r="E14930" t="s">
        <v>31911</v>
      </c>
      <c r="F14930" t="s">
        <v>32831</v>
      </c>
      <c r="G14930" t="s">
        <v>32839</v>
      </c>
      <c r="H14930" t="s">
        <v>32848</v>
      </c>
      <c r="I14930" t="s">
        <v>32857</v>
      </c>
      <c r="J14930" t="s">
        <v>33553</v>
      </c>
      <c r="K14930" t="s">
        <v>42732</v>
      </c>
      <c r="M14930" t="s">
        <v>47300</v>
      </c>
      <c r="N14930" t="s">
        <v>47424</v>
      </c>
      <c r="O14930" t="s">
        <v>47425</v>
      </c>
      <c r="Q14930">
        <v>22</v>
      </c>
      <c r="R14930" t="s">
        <v>47447</v>
      </c>
      <c r="S14930" t="s">
        <v>48270</v>
      </c>
      <c r="T14930" t="s">
        <v>49663</v>
      </c>
      <c r="U14930" t="s">
        <v>61788</v>
      </c>
      <c r="W14930" t="s">
        <v>47300</v>
      </c>
      <c r="X14930" t="s">
        <v>47448</v>
      </c>
    </row>
    <row r="14931" spans="1:24">
      <c r="A14931">
        <f>HYPERLINK("https://www.philgeps.gov.ph/GEPSNONPILOT/Tender/SplashBidNoticeAbstractUI.aspx?menuIndex=3&amp;refID=7121225&amp;Result=3","7121225")</f>
        <v>0</v>
      </c>
      <c r="B14931" t="s">
        <v>3859</v>
      </c>
      <c r="C14931" t="s">
        <v>18041</v>
      </c>
      <c r="D14931" t="s">
        <v>19074</v>
      </c>
      <c r="E14931" t="s">
        <v>31912</v>
      </c>
      <c r="F14931" t="s">
        <v>32831</v>
      </c>
      <c r="G14931" t="s">
        <v>32839</v>
      </c>
      <c r="H14931" t="s">
        <v>32849</v>
      </c>
      <c r="I14931" t="s">
        <v>4177</v>
      </c>
      <c r="J14931" t="s">
        <v>38388</v>
      </c>
      <c r="K14931" t="s">
        <v>42994</v>
      </c>
      <c r="M14931" t="s">
        <v>47296</v>
      </c>
      <c r="N14931" t="s">
        <v>47424</v>
      </c>
      <c r="O14931" t="s">
        <v>47425</v>
      </c>
      <c r="P14931">
        <v>0</v>
      </c>
      <c r="Q14931">
        <v>0</v>
      </c>
      <c r="R14931" t="s">
        <v>47447</v>
      </c>
      <c r="S14931" t="s">
        <v>48494</v>
      </c>
      <c r="T14931" t="s">
        <v>49239</v>
      </c>
      <c r="U14931" t="s">
        <v>61773</v>
      </c>
      <c r="V14931" t="s">
        <v>64318</v>
      </c>
      <c r="W14931" t="s">
        <v>47296</v>
      </c>
      <c r="X14931" t="s">
        <v>47448</v>
      </c>
    </row>
    <row r="14932" spans="1:24">
      <c r="A14932">
        <f>HYPERLINK("https://www.philgeps.gov.ph/GEPSNONPILOT/Tender/SplashBidNoticeAbstractUI.aspx?menuIndex=3&amp;refID=7121867&amp;Result=3","7121867")</f>
        <v>0</v>
      </c>
      <c r="B14932" t="s">
        <v>67</v>
      </c>
      <c r="C14932" t="s">
        <v>18042</v>
      </c>
      <c r="D14932" t="s">
        <v>19079</v>
      </c>
      <c r="E14932" t="s">
        <v>31913</v>
      </c>
      <c r="F14932" t="s">
        <v>32831</v>
      </c>
      <c r="G14932" t="s">
        <v>32839</v>
      </c>
      <c r="H14932" t="s">
        <v>32848</v>
      </c>
      <c r="I14932" t="s">
        <v>32931</v>
      </c>
      <c r="J14932" t="s">
        <v>34733</v>
      </c>
      <c r="K14932" t="s">
        <v>42763</v>
      </c>
      <c r="M14932" t="s">
        <v>44711</v>
      </c>
      <c r="N14932" t="s">
        <v>47424</v>
      </c>
      <c r="O14932" t="s">
        <v>47425</v>
      </c>
      <c r="Q14932">
        <v>13</v>
      </c>
      <c r="R14932" t="s">
        <v>47447</v>
      </c>
      <c r="S14932" t="s">
        <v>48533</v>
      </c>
      <c r="T14932" t="s">
        <v>49321</v>
      </c>
      <c r="U14932" t="s">
        <v>61796</v>
      </c>
      <c r="W14932" t="s">
        <v>44711</v>
      </c>
      <c r="X14932" t="s">
        <v>47448</v>
      </c>
    </row>
    <row r="14933" spans="1:24">
      <c r="A14933">
        <f>HYPERLINK("https://www.philgeps.gov.ph/GEPSNONPILOT/Tender/SplashBidNoticeAbstractUI.aspx?menuIndex=3&amp;refID=7121214&amp;Result=3","7121214")</f>
        <v>0</v>
      </c>
      <c r="B14933" t="s">
        <v>1649</v>
      </c>
      <c r="C14933" t="s">
        <v>18043</v>
      </c>
      <c r="D14933" t="s">
        <v>19018</v>
      </c>
      <c r="E14933" t="s">
        <v>31914</v>
      </c>
      <c r="F14933" t="s">
        <v>32831</v>
      </c>
      <c r="G14933" t="s">
        <v>32839</v>
      </c>
      <c r="H14933" t="s">
        <v>32848</v>
      </c>
      <c r="I14933" t="s">
        <v>4487</v>
      </c>
      <c r="J14933" t="s">
        <v>42092</v>
      </c>
      <c r="K14933" t="s">
        <v>42732</v>
      </c>
      <c r="M14933" t="s">
        <v>46118</v>
      </c>
      <c r="N14933" t="s">
        <v>47424</v>
      </c>
      <c r="O14933" t="s">
        <v>47425</v>
      </c>
      <c r="Q14933">
        <v>7</v>
      </c>
      <c r="R14933" t="s">
        <v>47447</v>
      </c>
      <c r="S14933" t="s">
        <v>48534</v>
      </c>
      <c r="T14933" t="s">
        <v>49159</v>
      </c>
      <c r="U14933" t="s">
        <v>61797</v>
      </c>
      <c r="W14933" t="s">
        <v>46118</v>
      </c>
      <c r="X14933" t="s">
        <v>47448</v>
      </c>
    </row>
    <row r="14934" spans="1:24">
      <c r="A14934">
        <f>HYPERLINK("https://www.philgeps.gov.ph/GEPSNONPILOT/Tender/SplashBidNoticeAbstractUI.aspx?menuIndex=3&amp;refID=7121752&amp;Result=3","7121752")</f>
        <v>0</v>
      </c>
      <c r="B14934" t="s">
        <v>1990</v>
      </c>
      <c r="C14934" t="s">
        <v>18044</v>
      </c>
      <c r="D14934" t="s">
        <v>19075</v>
      </c>
      <c r="E14934" t="s">
        <v>31915</v>
      </c>
      <c r="F14934" t="s">
        <v>32831</v>
      </c>
      <c r="G14934" t="s">
        <v>32839</v>
      </c>
      <c r="H14934" t="s">
        <v>32849</v>
      </c>
      <c r="I14934" t="s">
        <v>4177</v>
      </c>
      <c r="J14934" t="s">
        <v>42093</v>
      </c>
      <c r="K14934" t="s">
        <v>43001</v>
      </c>
      <c r="M14934" t="s">
        <v>46168</v>
      </c>
      <c r="N14934" t="s">
        <v>47424</v>
      </c>
      <c r="O14934" t="s">
        <v>47425</v>
      </c>
      <c r="Q14934">
        <v>5</v>
      </c>
      <c r="R14934" t="s">
        <v>47447</v>
      </c>
      <c r="S14934" t="s">
        <v>48535</v>
      </c>
      <c r="T14934" t="s">
        <v>49237</v>
      </c>
      <c r="U14934" t="s">
        <v>61798</v>
      </c>
      <c r="W14934" t="s">
        <v>46168</v>
      </c>
      <c r="X14934" t="s">
        <v>47448</v>
      </c>
    </row>
    <row r="14935" spans="1:24">
      <c r="A14935">
        <f>HYPERLINK("https://www.philgeps.gov.ph/GEPSNONPILOT/Tender/SplashBidNoticeAbstractUI.aspx?menuIndex=3&amp;refID=7121862&amp;Result=3","7121862")</f>
        <v>0</v>
      </c>
      <c r="B14935" t="s">
        <v>1536</v>
      </c>
      <c r="C14935" t="s">
        <v>18045</v>
      </c>
      <c r="D14935" t="s">
        <v>19017</v>
      </c>
      <c r="E14935" t="s">
        <v>31916</v>
      </c>
      <c r="F14935" t="s">
        <v>32831</v>
      </c>
      <c r="G14935" t="s">
        <v>32838</v>
      </c>
      <c r="H14935" t="s">
        <v>14069</v>
      </c>
      <c r="I14935" t="s">
        <v>4487</v>
      </c>
      <c r="J14935" t="s">
        <v>36086</v>
      </c>
      <c r="K14935" t="s">
        <v>42890</v>
      </c>
      <c r="M14935" t="s">
        <v>47302</v>
      </c>
      <c r="N14935" t="s">
        <v>47424</v>
      </c>
      <c r="O14935" t="s">
        <v>47425</v>
      </c>
      <c r="Q14935">
        <v>28</v>
      </c>
      <c r="R14935" t="s">
        <v>47447</v>
      </c>
      <c r="S14935" t="s">
        <v>48536</v>
      </c>
      <c r="T14935" t="s">
        <v>49120</v>
      </c>
      <c r="U14935" t="s">
        <v>61799</v>
      </c>
      <c r="W14935" t="s">
        <v>47302</v>
      </c>
      <c r="X14935" t="s">
        <v>47448</v>
      </c>
    </row>
    <row r="14936" spans="1:24">
      <c r="A14936">
        <f>HYPERLINK("https://www.philgeps.gov.ph/GEPSNONPILOT/Tender/SplashBidNoticeAbstractUI.aspx?menuIndex=3&amp;refID=7121726&amp;Result=3","7121726")</f>
        <v>0</v>
      </c>
      <c r="B14936" t="s">
        <v>67</v>
      </c>
      <c r="C14936" t="s">
        <v>18046</v>
      </c>
      <c r="D14936" t="s">
        <v>19079</v>
      </c>
      <c r="E14936" t="s">
        <v>31917</v>
      </c>
      <c r="F14936" t="s">
        <v>32831</v>
      </c>
      <c r="G14936" t="s">
        <v>32839</v>
      </c>
      <c r="H14936" t="s">
        <v>32848</v>
      </c>
      <c r="I14936" t="s">
        <v>32917</v>
      </c>
      <c r="J14936" t="s">
        <v>38777</v>
      </c>
      <c r="K14936" t="s">
        <v>42763</v>
      </c>
      <c r="M14936" t="s">
        <v>44711</v>
      </c>
      <c r="N14936" t="s">
        <v>47424</v>
      </c>
      <c r="O14936" t="s">
        <v>47425</v>
      </c>
      <c r="Q14936">
        <v>5</v>
      </c>
      <c r="R14936" t="s">
        <v>47447</v>
      </c>
      <c r="S14936" t="s">
        <v>47733</v>
      </c>
      <c r="T14936" t="s">
        <v>49321</v>
      </c>
      <c r="U14936" t="s">
        <v>61800</v>
      </c>
      <c r="W14936" t="s">
        <v>44711</v>
      </c>
      <c r="X14936" t="s">
        <v>47448</v>
      </c>
    </row>
    <row r="14937" spans="1:24">
      <c r="A14937">
        <f>HYPERLINK("https://www.philgeps.gov.ph/GEPSNONPILOT/Tender/SplashBidNoticeAbstractUI.aspx?menuIndex=3&amp;refID=7121715&amp;Result=3","7121715")</f>
        <v>0</v>
      </c>
      <c r="B14937" t="s">
        <v>2656</v>
      </c>
      <c r="C14937" t="s">
        <v>18047</v>
      </c>
      <c r="D14937" t="s">
        <v>19028</v>
      </c>
      <c r="E14937" t="s">
        <v>31918</v>
      </c>
      <c r="F14937" t="s">
        <v>32831</v>
      </c>
      <c r="G14937" t="s">
        <v>32839</v>
      </c>
      <c r="H14937" t="s">
        <v>32849</v>
      </c>
      <c r="I14937" t="s">
        <v>4177</v>
      </c>
      <c r="J14937" t="s">
        <v>42094</v>
      </c>
      <c r="K14937" t="s">
        <v>42730</v>
      </c>
      <c r="M14937" t="s">
        <v>45919</v>
      </c>
      <c r="N14937" t="s">
        <v>47424</v>
      </c>
      <c r="O14937" t="s">
        <v>47425</v>
      </c>
      <c r="P14937">
        <v>0</v>
      </c>
      <c r="Q14937">
        <v>0</v>
      </c>
      <c r="R14937" t="s">
        <v>47447</v>
      </c>
      <c r="S14937" t="s">
        <v>48494</v>
      </c>
      <c r="T14937" t="s">
        <v>49114</v>
      </c>
      <c r="U14937" t="s">
        <v>56348</v>
      </c>
      <c r="W14937" t="s">
        <v>45919</v>
      </c>
      <c r="X14937" t="s">
        <v>47448</v>
      </c>
    </row>
    <row r="14938" spans="1:24">
      <c r="A14938">
        <f>HYPERLINK("https://www.philgeps.gov.ph/GEPSNONPILOT/Tender/SplashBidNoticeAbstractUI.aspx?menuIndex=3&amp;refID=7121128&amp;Result=3","7121128")</f>
        <v>0</v>
      </c>
      <c r="B14938" t="s">
        <v>67</v>
      </c>
      <c r="C14938" t="s">
        <v>18048</v>
      </c>
      <c r="D14938" t="s">
        <v>19079</v>
      </c>
      <c r="E14938" t="s">
        <v>31919</v>
      </c>
      <c r="F14938" t="s">
        <v>32831</v>
      </c>
      <c r="G14938" t="s">
        <v>32839</v>
      </c>
      <c r="H14938" t="s">
        <v>32848</v>
      </c>
      <c r="I14938" t="s">
        <v>32852</v>
      </c>
      <c r="J14938" t="s">
        <v>33032</v>
      </c>
      <c r="K14938" t="s">
        <v>42763</v>
      </c>
      <c r="M14938" t="s">
        <v>44711</v>
      </c>
      <c r="N14938" t="s">
        <v>47424</v>
      </c>
      <c r="O14938" t="s">
        <v>47425</v>
      </c>
      <c r="Q14938">
        <v>8</v>
      </c>
      <c r="R14938" t="s">
        <v>47447</v>
      </c>
      <c r="S14938" t="s">
        <v>48537</v>
      </c>
      <c r="T14938" t="s">
        <v>49328</v>
      </c>
      <c r="U14938" t="s">
        <v>61801</v>
      </c>
      <c r="W14938" t="s">
        <v>44711</v>
      </c>
      <c r="X14938" t="s">
        <v>47448</v>
      </c>
    </row>
    <row r="14939" spans="1:24">
      <c r="A14939">
        <f>HYPERLINK("https://www.philgeps.gov.ph/GEPSNONPILOT/Tender/SplashBidNoticeAbstractUI.aspx?menuIndex=3&amp;refID=7121760&amp;Result=3","7121760")</f>
        <v>0</v>
      </c>
      <c r="B14939" t="s">
        <v>2425</v>
      </c>
      <c r="C14939" t="s">
        <v>18049</v>
      </c>
      <c r="D14939" t="s">
        <v>19050</v>
      </c>
      <c r="E14939" t="s">
        <v>31920</v>
      </c>
      <c r="F14939" t="s">
        <v>32831</v>
      </c>
      <c r="G14939" t="s">
        <v>32839</v>
      </c>
      <c r="H14939" t="s">
        <v>32848</v>
      </c>
      <c r="I14939" t="s">
        <v>32859</v>
      </c>
      <c r="J14939" t="s">
        <v>42095</v>
      </c>
      <c r="K14939" t="s">
        <v>42745</v>
      </c>
      <c r="M14939" t="s">
        <v>45622</v>
      </c>
      <c r="N14939" t="s">
        <v>47424</v>
      </c>
      <c r="O14939" t="s">
        <v>47425</v>
      </c>
      <c r="P14939">
        <v>0</v>
      </c>
      <c r="Q14939">
        <v>1</v>
      </c>
      <c r="R14939" t="s">
        <v>47447</v>
      </c>
      <c r="S14939" t="s">
        <v>48494</v>
      </c>
      <c r="T14939" t="s">
        <v>49111</v>
      </c>
      <c r="U14939" t="s">
        <v>61802</v>
      </c>
      <c r="W14939" t="s">
        <v>45622</v>
      </c>
      <c r="X14939" t="s">
        <v>47448</v>
      </c>
    </row>
    <row r="14940" spans="1:24">
      <c r="A14940">
        <f>HYPERLINK("https://www.philgeps.gov.ph/GEPSNONPILOT/Tender/SplashBidNoticeAbstractUI.aspx?menuIndex=3&amp;refID=7121788&amp;Result=3","7121788")</f>
        <v>0</v>
      </c>
      <c r="B14940" t="s">
        <v>980</v>
      </c>
      <c r="C14940" t="s">
        <v>18050</v>
      </c>
      <c r="D14940" t="s">
        <v>19022</v>
      </c>
      <c r="E14940" t="s">
        <v>31921</v>
      </c>
      <c r="F14940" t="s">
        <v>32831</v>
      </c>
      <c r="G14940" t="s">
        <v>32839</v>
      </c>
      <c r="H14940" t="s">
        <v>32849</v>
      </c>
      <c r="I14940" t="s">
        <v>32866</v>
      </c>
      <c r="J14940" t="s">
        <v>36317</v>
      </c>
      <c r="K14940" t="s">
        <v>42730</v>
      </c>
      <c r="M14940" t="s">
        <v>44029</v>
      </c>
      <c r="N14940" t="s">
        <v>47424</v>
      </c>
      <c r="O14940" t="s">
        <v>47425</v>
      </c>
      <c r="P14940">
        <v>0</v>
      </c>
      <c r="Q14940">
        <v>3</v>
      </c>
      <c r="R14940" t="s">
        <v>47447</v>
      </c>
      <c r="S14940" t="s">
        <v>48494</v>
      </c>
      <c r="T14940" t="s">
        <v>49239</v>
      </c>
      <c r="U14940" t="s">
        <v>61803</v>
      </c>
      <c r="W14940" t="s">
        <v>44029</v>
      </c>
      <c r="X14940" t="s">
        <v>47448</v>
      </c>
    </row>
    <row r="14941" spans="1:24">
      <c r="A14941">
        <f>HYPERLINK("https://www.philgeps.gov.ph/GEPSNONPILOT/Tender/SplashBidNoticeAbstractUI.aspx?menuIndex=3&amp;refID=7122397&amp;Result=3","7122397")</f>
        <v>0</v>
      </c>
      <c r="B14941" t="s">
        <v>1606</v>
      </c>
      <c r="C14941" t="s">
        <v>18051</v>
      </c>
      <c r="E14941" t="s">
        <v>31922</v>
      </c>
      <c r="F14941" t="s">
        <v>32831</v>
      </c>
      <c r="G14941" t="s">
        <v>32839</v>
      </c>
      <c r="H14941" t="s">
        <v>32848</v>
      </c>
      <c r="I14941" t="s">
        <v>32857</v>
      </c>
      <c r="J14941" t="s">
        <v>42096</v>
      </c>
      <c r="K14941" t="s">
        <v>42732</v>
      </c>
      <c r="M14941" t="s">
        <v>47303</v>
      </c>
      <c r="N14941" t="s">
        <v>47424</v>
      </c>
      <c r="O14941" t="s">
        <v>47425</v>
      </c>
      <c r="Q14941">
        <v>33</v>
      </c>
      <c r="R14941" t="s">
        <v>47447</v>
      </c>
      <c r="S14941" t="s">
        <v>48538</v>
      </c>
      <c r="T14941" t="s">
        <v>49111</v>
      </c>
      <c r="U14941" t="s">
        <v>61804</v>
      </c>
      <c r="W14941" t="s">
        <v>47303</v>
      </c>
      <c r="X14941" t="s">
        <v>47448</v>
      </c>
    </row>
    <row r="14942" spans="1:24">
      <c r="A14942">
        <f>HYPERLINK("https://www.philgeps.gov.ph/GEPSNONPILOT/Tender/SplashBidNoticeAbstractUI.aspx?menuIndex=3&amp;refID=7122417&amp;Result=3","7122417")</f>
        <v>0</v>
      </c>
      <c r="B14942" t="s">
        <v>581</v>
      </c>
      <c r="C14942" t="s">
        <v>18052</v>
      </c>
      <c r="D14942" t="s">
        <v>19044</v>
      </c>
      <c r="E14942" t="s">
        <v>31923</v>
      </c>
      <c r="F14942" t="s">
        <v>32831</v>
      </c>
      <c r="G14942" t="s">
        <v>32839</v>
      </c>
      <c r="H14942" t="s">
        <v>32848</v>
      </c>
      <c r="I14942" t="s">
        <v>7751</v>
      </c>
      <c r="J14942" t="s">
        <v>41251</v>
      </c>
      <c r="K14942" t="s">
        <v>42729</v>
      </c>
      <c r="M14942" t="s">
        <v>43986</v>
      </c>
      <c r="N14942" t="s">
        <v>47424</v>
      </c>
      <c r="O14942" t="s">
        <v>47425</v>
      </c>
      <c r="Q14942">
        <v>22</v>
      </c>
      <c r="R14942" t="s">
        <v>47447</v>
      </c>
      <c r="S14942" t="s">
        <v>48539</v>
      </c>
      <c r="T14942" t="s">
        <v>49111</v>
      </c>
      <c r="U14942" t="s">
        <v>61805</v>
      </c>
      <c r="W14942" t="s">
        <v>43986</v>
      </c>
      <c r="X14942" t="s">
        <v>47448</v>
      </c>
    </row>
    <row r="14943" spans="1:24">
      <c r="A14943">
        <f>HYPERLINK("https://www.philgeps.gov.ph/GEPSNONPILOT/Tender/SplashBidNoticeAbstractUI.aspx?menuIndex=3&amp;refID=7121717&amp;Result=3","7121717")</f>
        <v>0</v>
      </c>
      <c r="B14943" t="s">
        <v>3863</v>
      </c>
      <c r="C14943" t="s">
        <v>18053</v>
      </c>
      <c r="D14943" t="s">
        <v>19052</v>
      </c>
      <c r="E14943" t="s">
        <v>31924</v>
      </c>
      <c r="F14943" t="s">
        <v>32831</v>
      </c>
      <c r="G14943" t="s">
        <v>32839</v>
      </c>
      <c r="H14943" t="s">
        <v>32849</v>
      </c>
      <c r="I14943" t="s">
        <v>4177</v>
      </c>
      <c r="J14943" t="s">
        <v>36873</v>
      </c>
      <c r="K14943" t="s">
        <v>42763</v>
      </c>
      <c r="M14943" t="s">
        <v>47304</v>
      </c>
      <c r="N14943" t="s">
        <v>47424</v>
      </c>
      <c r="O14943" t="s">
        <v>47425</v>
      </c>
      <c r="P14943">
        <v>0</v>
      </c>
      <c r="Q14943">
        <v>0</v>
      </c>
      <c r="R14943" t="s">
        <v>47447</v>
      </c>
      <c r="S14943" t="s">
        <v>48494</v>
      </c>
      <c r="T14943" t="s">
        <v>49166</v>
      </c>
      <c r="U14943" t="s">
        <v>61806</v>
      </c>
      <c r="W14943" t="s">
        <v>47304</v>
      </c>
      <c r="X14943" t="s">
        <v>47448</v>
      </c>
    </row>
    <row r="14944" spans="1:24">
      <c r="A14944">
        <f>HYPERLINK("https://www.philgeps.gov.ph/GEPSNONPILOT/Tender/SplashBidNoticeAbstractUI.aspx?menuIndex=3&amp;refID=7121657&amp;Result=3","7121657")</f>
        <v>0</v>
      </c>
      <c r="B14944" t="s">
        <v>2425</v>
      </c>
      <c r="C14944" t="s">
        <v>18054</v>
      </c>
      <c r="D14944" t="s">
        <v>19050</v>
      </c>
      <c r="E14944" t="s">
        <v>31925</v>
      </c>
      <c r="F14944" t="s">
        <v>32831</v>
      </c>
      <c r="G14944" t="s">
        <v>32839</v>
      </c>
      <c r="H14944" t="s">
        <v>32848</v>
      </c>
      <c r="I14944" t="s">
        <v>32859</v>
      </c>
      <c r="J14944" t="s">
        <v>42097</v>
      </c>
      <c r="K14944" t="s">
        <v>42745</v>
      </c>
      <c r="M14944" t="s">
        <v>45622</v>
      </c>
      <c r="N14944" t="s">
        <v>47424</v>
      </c>
      <c r="O14944" t="s">
        <v>47425</v>
      </c>
      <c r="P14944">
        <v>0</v>
      </c>
      <c r="Q14944">
        <v>0</v>
      </c>
      <c r="R14944" t="s">
        <v>47447</v>
      </c>
      <c r="S14944" t="s">
        <v>48494</v>
      </c>
      <c r="T14944" t="s">
        <v>49111</v>
      </c>
      <c r="U14944" t="s">
        <v>61807</v>
      </c>
      <c r="W14944" t="s">
        <v>45622</v>
      </c>
      <c r="X14944" t="s">
        <v>47448</v>
      </c>
    </row>
    <row r="14945" spans="1:24">
      <c r="A14945">
        <f>HYPERLINK("https://www.philgeps.gov.ph/GEPSNONPILOT/Tender/SplashBidNoticeAbstractUI.aspx?menuIndex=3&amp;refID=7122296&amp;Result=3","7122296")</f>
        <v>0</v>
      </c>
      <c r="B14945" t="s">
        <v>1654</v>
      </c>
      <c r="C14945" t="s">
        <v>18055</v>
      </c>
      <c r="D14945" t="s">
        <v>19058</v>
      </c>
      <c r="E14945" t="s">
        <v>31926</v>
      </c>
      <c r="F14945" t="s">
        <v>32831</v>
      </c>
      <c r="G14945" t="s">
        <v>32839</v>
      </c>
      <c r="H14945" t="s">
        <v>32849</v>
      </c>
      <c r="I14945" t="s">
        <v>4177</v>
      </c>
      <c r="J14945" t="s">
        <v>42098</v>
      </c>
      <c r="K14945" t="s">
        <v>42773</v>
      </c>
      <c r="M14945" t="s">
        <v>44771</v>
      </c>
      <c r="N14945" t="s">
        <v>47424</v>
      </c>
      <c r="O14945" t="s">
        <v>47425</v>
      </c>
      <c r="Q14945">
        <v>0</v>
      </c>
      <c r="R14945" t="s">
        <v>47447</v>
      </c>
      <c r="S14945" t="s">
        <v>48540</v>
      </c>
      <c r="T14945" t="s">
        <v>49239</v>
      </c>
      <c r="U14945" t="s">
        <v>61808</v>
      </c>
      <c r="W14945" t="s">
        <v>44771</v>
      </c>
      <c r="X14945" t="s">
        <v>47448</v>
      </c>
    </row>
    <row r="14946" spans="1:24">
      <c r="A14946">
        <f>HYPERLINK("https://www.philgeps.gov.ph/GEPSNONPILOT/Tender/SplashBidNoticeAbstractUI.aspx?menuIndex=3&amp;refID=7122300&amp;Result=3","7122300")</f>
        <v>0</v>
      </c>
      <c r="B14946" t="s">
        <v>2594</v>
      </c>
      <c r="C14946" t="s">
        <v>18056</v>
      </c>
      <c r="D14946" t="s">
        <v>19062</v>
      </c>
      <c r="E14946" t="s">
        <v>31927</v>
      </c>
      <c r="F14946" t="s">
        <v>32831</v>
      </c>
      <c r="G14946" t="s">
        <v>32839</v>
      </c>
      <c r="H14946" t="s">
        <v>32849</v>
      </c>
      <c r="I14946" t="s">
        <v>4177</v>
      </c>
      <c r="J14946" t="s">
        <v>42099</v>
      </c>
      <c r="K14946" t="s">
        <v>42789</v>
      </c>
      <c r="M14946" t="s">
        <v>46404</v>
      </c>
      <c r="N14946" t="s">
        <v>47424</v>
      </c>
      <c r="O14946" t="s">
        <v>47425</v>
      </c>
      <c r="Q14946">
        <v>3</v>
      </c>
      <c r="R14946" t="s">
        <v>47447</v>
      </c>
      <c r="S14946" t="s">
        <v>48541</v>
      </c>
      <c r="T14946" t="s">
        <v>49158</v>
      </c>
      <c r="U14946" t="s">
        <v>61809</v>
      </c>
      <c r="W14946" t="s">
        <v>46404</v>
      </c>
      <c r="X14946" t="s">
        <v>47448</v>
      </c>
    </row>
    <row r="14947" spans="1:24">
      <c r="A14947">
        <f>HYPERLINK("https://www.philgeps.gov.ph/GEPSNONPILOT/Tender/SplashBidNoticeAbstractUI.aspx?menuIndex=3&amp;refID=7122350&amp;Result=3","7122350")</f>
        <v>0</v>
      </c>
      <c r="B14947" t="s">
        <v>67</v>
      </c>
      <c r="C14947" t="s">
        <v>18057</v>
      </c>
      <c r="D14947" t="s">
        <v>19079</v>
      </c>
      <c r="E14947" t="s">
        <v>31928</v>
      </c>
      <c r="F14947" t="s">
        <v>32831</v>
      </c>
      <c r="G14947" t="s">
        <v>32839</v>
      </c>
      <c r="H14947" t="s">
        <v>32848</v>
      </c>
      <c r="I14947" t="s">
        <v>32931</v>
      </c>
      <c r="J14947" t="s">
        <v>42100</v>
      </c>
      <c r="K14947" t="s">
        <v>42763</v>
      </c>
      <c r="M14947" t="s">
        <v>44711</v>
      </c>
      <c r="N14947" t="s">
        <v>47424</v>
      </c>
      <c r="O14947" t="s">
        <v>47425</v>
      </c>
      <c r="Q14947">
        <v>16</v>
      </c>
      <c r="R14947" t="s">
        <v>47447</v>
      </c>
      <c r="S14947" t="s">
        <v>48542</v>
      </c>
      <c r="T14947" t="s">
        <v>49321</v>
      </c>
      <c r="U14947" t="s">
        <v>61810</v>
      </c>
      <c r="W14947" t="s">
        <v>44711</v>
      </c>
      <c r="X14947" t="s">
        <v>47448</v>
      </c>
    </row>
    <row r="14948" spans="1:24">
      <c r="A14948">
        <f>HYPERLINK("https://www.philgeps.gov.ph/GEPSNONPILOT/Tender/SplashBidNoticeAbstractUI.aspx?menuIndex=3&amp;refID=7122283&amp;Result=3","7122283")</f>
        <v>0</v>
      </c>
      <c r="B14948" t="s">
        <v>718</v>
      </c>
      <c r="C14948" t="s">
        <v>18058</v>
      </c>
      <c r="D14948" t="s">
        <v>19017</v>
      </c>
      <c r="E14948" t="s">
        <v>31929</v>
      </c>
      <c r="F14948" t="s">
        <v>32831</v>
      </c>
      <c r="G14948" t="s">
        <v>32839</v>
      </c>
      <c r="H14948" t="s">
        <v>32848</v>
      </c>
      <c r="I14948" t="s">
        <v>4776</v>
      </c>
      <c r="J14948" t="s">
        <v>42101</v>
      </c>
      <c r="K14948" t="s">
        <v>42729</v>
      </c>
      <c r="M14948" t="s">
        <v>43738</v>
      </c>
      <c r="N14948" t="s">
        <v>47424</v>
      </c>
      <c r="O14948" t="s">
        <v>47425</v>
      </c>
      <c r="Q14948">
        <v>13</v>
      </c>
      <c r="R14948" t="s">
        <v>47447</v>
      </c>
      <c r="S14948" t="s">
        <v>48543</v>
      </c>
      <c r="T14948" t="s">
        <v>49427</v>
      </c>
      <c r="U14948" t="s">
        <v>61811</v>
      </c>
      <c r="W14948" t="s">
        <v>43738</v>
      </c>
      <c r="X14948" t="s">
        <v>47448</v>
      </c>
    </row>
    <row r="14949" spans="1:24">
      <c r="A14949">
        <f>HYPERLINK("https://www.philgeps.gov.ph/GEPSNONPILOT/Tender/SplashBidNoticeAbstractUI.aspx?menuIndex=3&amp;refID=7122324&amp;Result=3","7122324")</f>
        <v>0</v>
      </c>
      <c r="B14949" t="s">
        <v>968</v>
      </c>
      <c r="C14949" t="s">
        <v>18059</v>
      </c>
      <c r="D14949" t="s">
        <v>19045</v>
      </c>
      <c r="E14949" t="s">
        <v>31930</v>
      </c>
      <c r="F14949" t="s">
        <v>32831</v>
      </c>
      <c r="G14949" t="s">
        <v>32839</v>
      </c>
      <c r="H14949" t="s">
        <v>32849</v>
      </c>
      <c r="I14949" t="s">
        <v>4177</v>
      </c>
      <c r="J14949" t="s">
        <v>42102</v>
      </c>
      <c r="K14949" t="s">
        <v>42742</v>
      </c>
      <c r="M14949" t="s">
        <v>44014</v>
      </c>
      <c r="N14949" t="s">
        <v>47424</v>
      </c>
      <c r="O14949" t="s">
        <v>47425</v>
      </c>
      <c r="P14949">
        <v>0</v>
      </c>
      <c r="Q14949">
        <v>0</v>
      </c>
      <c r="R14949" t="s">
        <v>47447</v>
      </c>
      <c r="S14949" t="s">
        <v>48494</v>
      </c>
      <c r="T14949" t="s">
        <v>49239</v>
      </c>
      <c r="U14949" t="s">
        <v>61812</v>
      </c>
      <c r="W14949" t="s">
        <v>44014</v>
      </c>
      <c r="X14949" t="s">
        <v>47448</v>
      </c>
    </row>
    <row r="14950" spans="1:24">
      <c r="A14950">
        <f>HYPERLINK("https://www.philgeps.gov.ph/GEPSNONPILOT/Tender/SplashBidNoticeAbstractUI.aspx?menuIndex=3&amp;refID=7122221&amp;Result=3","7122221")</f>
        <v>0</v>
      </c>
      <c r="B14950" t="s">
        <v>1136</v>
      </c>
      <c r="C14950" t="s">
        <v>18060</v>
      </c>
      <c r="D14950" t="s">
        <v>19090</v>
      </c>
      <c r="E14950" t="s">
        <v>31931</v>
      </c>
      <c r="F14950" t="s">
        <v>32831</v>
      </c>
      <c r="G14950" t="s">
        <v>32839</v>
      </c>
      <c r="H14950" t="s">
        <v>32848</v>
      </c>
      <c r="I14950" t="s">
        <v>4776</v>
      </c>
      <c r="J14950" t="s">
        <v>42103</v>
      </c>
      <c r="K14950" t="s">
        <v>42731</v>
      </c>
      <c r="M14950" t="s">
        <v>44199</v>
      </c>
      <c r="N14950" t="s">
        <v>47424</v>
      </c>
      <c r="O14950" t="s">
        <v>47425</v>
      </c>
      <c r="P14950">
        <v>0</v>
      </c>
      <c r="Q14950">
        <v>6</v>
      </c>
      <c r="R14950" t="s">
        <v>47447</v>
      </c>
      <c r="S14950" t="s">
        <v>48494</v>
      </c>
      <c r="T14950" t="s">
        <v>49243</v>
      </c>
      <c r="U14950" t="s">
        <v>61813</v>
      </c>
      <c r="W14950" t="s">
        <v>44199</v>
      </c>
      <c r="X14950" t="s">
        <v>47448</v>
      </c>
    </row>
    <row r="14951" spans="1:24">
      <c r="A14951">
        <f>HYPERLINK("https://www.philgeps.gov.ph/GEPSNONPILOT/Tender/SplashBidNoticeAbstractUI.aspx?menuIndex=3&amp;refID=7122685&amp;Result=3","7122685")</f>
        <v>0</v>
      </c>
      <c r="B14951" t="s">
        <v>3864</v>
      </c>
      <c r="C14951" t="s">
        <v>18061</v>
      </c>
      <c r="D14951" t="s">
        <v>19017</v>
      </c>
      <c r="E14951" t="s">
        <v>31932</v>
      </c>
      <c r="F14951" t="s">
        <v>32831</v>
      </c>
      <c r="G14951" t="s">
        <v>32839</v>
      </c>
      <c r="H14951" t="s">
        <v>32848</v>
      </c>
      <c r="I14951" t="s">
        <v>4487</v>
      </c>
      <c r="J14951" t="s">
        <v>42104</v>
      </c>
      <c r="K14951" t="s">
        <v>42730</v>
      </c>
      <c r="M14951" t="s">
        <v>47305</v>
      </c>
      <c r="N14951" t="s">
        <v>47424</v>
      </c>
      <c r="O14951" t="s">
        <v>47425</v>
      </c>
      <c r="Q14951">
        <v>24</v>
      </c>
      <c r="R14951" t="s">
        <v>47447</v>
      </c>
      <c r="S14951" t="s">
        <v>48544</v>
      </c>
      <c r="T14951" t="s">
        <v>49348</v>
      </c>
      <c r="U14951" t="s">
        <v>61814</v>
      </c>
      <c r="V14951" t="s">
        <v>64320</v>
      </c>
      <c r="W14951" t="s">
        <v>47305</v>
      </c>
      <c r="X14951" t="s">
        <v>47448</v>
      </c>
    </row>
    <row r="14952" spans="1:24">
      <c r="A14952">
        <f>HYPERLINK("https://www.philgeps.gov.ph/GEPSNONPILOT/Tender/SplashBidNoticeAbstractUI.aspx?menuIndex=3&amp;refID=7122361&amp;Result=3","7122361")</f>
        <v>0</v>
      </c>
      <c r="B14952" t="s">
        <v>616</v>
      </c>
      <c r="C14952" t="s">
        <v>18062</v>
      </c>
      <c r="D14952" t="s">
        <v>19059</v>
      </c>
      <c r="E14952" t="s">
        <v>31933</v>
      </c>
      <c r="F14952" t="s">
        <v>32831</v>
      </c>
      <c r="G14952" t="s">
        <v>32839</v>
      </c>
      <c r="H14952" t="s">
        <v>14069</v>
      </c>
      <c r="I14952" t="s">
        <v>14069</v>
      </c>
      <c r="J14952" t="s">
        <v>33067</v>
      </c>
      <c r="K14952" t="s">
        <v>42745</v>
      </c>
      <c r="L14952" t="s">
        <v>616</v>
      </c>
      <c r="M14952" t="s">
        <v>43630</v>
      </c>
      <c r="N14952" t="s">
        <v>47424</v>
      </c>
      <c r="O14952" t="s">
        <v>47425</v>
      </c>
      <c r="P14952">
        <v>0</v>
      </c>
      <c r="Q14952">
        <v>4</v>
      </c>
      <c r="R14952" t="s">
        <v>47447</v>
      </c>
      <c r="S14952" t="s">
        <v>48494</v>
      </c>
      <c r="T14952" t="s">
        <v>49106</v>
      </c>
      <c r="U14952" t="s">
        <v>61815</v>
      </c>
      <c r="W14952" t="s">
        <v>43630</v>
      </c>
      <c r="X14952" t="s">
        <v>47448</v>
      </c>
    </row>
    <row r="14953" spans="1:24">
      <c r="A14953">
        <f>HYPERLINK("https://www.philgeps.gov.ph/GEPSNONPILOT/Tender/SplashBidNoticeAbstractUI.aspx?menuIndex=3&amp;refID=7122668&amp;Result=3","7122668")</f>
        <v>0</v>
      </c>
      <c r="B14953" t="s">
        <v>3864</v>
      </c>
      <c r="C14953" t="s">
        <v>18063</v>
      </c>
      <c r="D14953" t="s">
        <v>19017</v>
      </c>
      <c r="E14953" t="s">
        <v>31934</v>
      </c>
      <c r="F14953" t="s">
        <v>32831</v>
      </c>
      <c r="G14953" t="s">
        <v>32839</v>
      </c>
      <c r="H14953" t="s">
        <v>32848</v>
      </c>
      <c r="I14953" t="s">
        <v>4487</v>
      </c>
      <c r="J14953" t="s">
        <v>42105</v>
      </c>
      <c r="K14953" t="s">
        <v>42730</v>
      </c>
      <c r="M14953" t="s">
        <v>47305</v>
      </c>
      <c r="N14953" t="s">
        <v>47424</v>
      </c>
      <c r="O14953" t="s">
        <v>47425</v>
      </c>
      <c r="Q14953">
        <v>18</v>
      </c>
      <c r="R14953" t="s">
        <v>47447</v>
      </c>
      <c r="S14953" t="s">
        <v>48545</v>
      </c>
      <c r="T14953" t="s">
        <v>49250</v>
      </c>
      <c r="U14953" t="s">
        <v>61816</v>
      </c>
      <c r="V14953" t="s">
        <v>64321</v>
      </c>
      <c r="W14953" t="s">
        <v>47305</v>
      </c>
      <c r="X14953" t="s">
        <v>47448</v>
      </c>
    </row>
    <row r="14954" spans="1:24">
      <c r="A14954">
        <f>HYPERLINK("https://www.philgeps.gov.ph/GEPSNONPILOT/Tender/SplashBidNoticeAbstractUI.aspx?menuIndex=3&amp;refID=7122617&amp;Result=3","7122617")</f>
        <v>0</v>
      </c>
      <c r="B14954" t="s">
        <v>2546</v>
      </c>
      <c r="C14954" t="s">
        <v>18064</v>
      </c>
      <c r="D14954" t="s">
        <v>19017</v>
      </c>
      <c r="E14954" t="s">
        <v>31935</v>
      </c>
      <c r="F14954" t="s">
        <v>32831</v>
      </c>
      <c r="G14954" t="s">
        <v>32839</v>
      </c>
      <c r="H14954" t="s">
        <v>32849</v>
      </c>
      <c r="I14954" t="s">
        <v>4177</v>
      </c>
      <c r="J14954" t="s">
        <v>42106</v>
      </c>
      <c r="K14954" t="s">
        <v>42732</v>
      </c>
      <c r="M14954" t="s">
        <v>45758</v>
      </c>
      <c r="N14954" t="s">
        <v>47424</v>
      </c>
      <c r="O14954" t="s">
        <v>47425</v>
      </c>
      <c r="P14954">
        <v>0</v>
      </c>
      <c r="Q14954">
        <v>0</v>
      </c>
      <c r="R14954" t="s">
        <v>47447</v>
      </c>
      <c r="S14954" t="s">
        <v>48494</v>
      </c>
      <c r="T14954" t="s">
        <v>49163</v>
      </c>
      <c r="U14954" t="s">
        <v>61817</v>
      </c>
      <c r="W14954" t="s">
        <v>45758</v>
      </c>
      <c r="X14954" t="s">
        <v>47448</v>
      </c>
    </row>
    <row r="14955" spans="1:24">
      <c r="A14955">
        <f>HYPERLINK("https://www.philgeps.gov.ph/GEPSNONPILOT/Tender/SplashBidNoticeAbstractUI.aspx?menuIndex=3&amp;refID=7122414&amp;Result=3","7122414")</f>
        <v>0</v>
      </c>
      <c r="B14955" t="s">
        <v>3865</v>
      </c>
      <c r="C14955" t="s">
        <v>18065</v>
      </c>
      <c r="D14955" t="s">
        <v>19048</v>
      </c>
      <c r="E14955" t="s">
        <v>31936</v>
      </c>
      <c r="F14955" t="s">
        <v>32831</v>
      </c>
      <c r="G14955" t="s">
        <v>32839</v>
      </c>
      <c r="H14955" t="s">
        <v>32848</v>
      </c>
      <c r="I14955" t="s">
        <v>32860</v>
      </c>
      <c r="J14955" t="s">
        <v>42107</v>
      </c>
      <c r="K14955" t="s">
        <v>42731</v>
      </c>
      <c r="M14955" t="s">
        <v>47306</v>
      </c>
      <c r="N14955" t="s">
        <v>47424</v>
      </c>
      <c r="O14955" t="s">
        <v>47425</v>
      </c>
      <c r="Q14955">
        <v>3</v>
      </c>
      <c r="R14955" t="s">
        <v>47447</v>
      </c>
      <c r="S14955" t="s">
        <v>48511</v>
      </c>
      <c r="T14955" t="s">
        <v>49239</v>
      </c>
      <c r="U14955" t="s">
        <v>61818</v>
      </c>
      <c r="W14955" t="s">
        <v>47306</v>
      </c>
      <c r="X14955" t="s">
        <v>47448</v>
      </c>
    </row>
    <row r="14956" spans="1:24">
      <c r="A14956">
        <f>HYPERLINK("https://www.philgeps.gov.ph/GEPSNONPILOT/Tender/SplashBidNoticeAbstractUI.aspx?menuIndex=3&amp;refID=7122630&amp;Result=3","7122630")</f>
        <v>0</v>
      </c>
      <c r="B14956" t="s">
        <v>2546</v>
      </c>
      <c r="C14956" t="s">
        <v>18066</v>
      </c>
      <c r="D14956" t="s">
        <v>19017</v>
      </c>
      <c r="E14956" t="s">
        <v>31937</v>
      </c>
      <c r="F14956" t="s">
        <v>32831</v>
      </c>
      <c r="G14956" t="s">
        <v>32839</v>
      </c>
      <c r="H14956" t="s">
        <v>32849</v>
      </c>
      <c r="I14956" t="s">
        <v>4177</v>
      </c>
      <c r="J14956" t="s">
        <v>42108</v>
      </c>
      <c r="K14956" t="s">
        <v>42732</v>
      </c>
      <c r="M14956" t="s">
        <v>45758</v>
      </c>
      <c r="N14956" t="s">
        <v>47424</v>
      </c>
      <c r="O14956" t="s">
        <v>47425</v>
      </c>
      <c r="P14956">
        <v>0</v>
      </c>
      <c r="Q14956">
        <v>0</v>
      </c>
      <c r="R14956" t="s">
        <v>47447</v>
      </c>
      <c r="S14956" t="s">
        <v>48494</v>
      </c>
      <c r="T14956" t="s">
        <v>49163</v>
      </c>
      <c r="U14956" t="s">
        <v>61819</v>
      </c>
      <c r="W14956" t="s">
        <v>45758</v>
      </c>
      <c r="X14956" t="s">
        <v>47448</v>
      </c>
    </row>
    <row r="14957" spans="1:24">
      <c r="A14957">
        <f>HYPERLINK("https://www.philgeps.gov.ph/GEPSNONPILOT/Tender/SplashBidNoticeAbstractUI.aspx?menuIndex=3&amp;refID=7122600&amp;Result=3","7122600")</f>
        <v>0</v>
      </c>
      <c r="B14957" t="s">
        <v>960</v>
      </c>
      <c r="C14957" t="s">
        <v>18067</v>
      </c>
      <c r="D14957" t="s">
        <v>19017</v>
      </c>
      <c r="E14957" t="s">
        <v>31938</v>
      </c>
      <c r="F14957" t="s">
        <v>32831</v>
      </c>
      <c r="G14957" t="s">
        <v>32839</v>
      </c>
      <c r="H14957" t="s">
        <v>32848</v>
      </c>
      <c r="I14957" t="s">
        <v>32886</v>
      </c>
      <c r="J14957" t="s">
        <v>42109</v>
      </c>
      <c r="K14957" t="s">
        <v>42764</v>
      </c>
      <c r="M14957" t="s">
        <v>47187</v>
      </c>
      <c r="N14957" t="s">
        <v>47424</v>
      </c>
      <c r="O14957" t="s">
        <v>47425</v>
      </c>
      <c r="Q14957">
        <v>3</v>
      </c>
      <c r="R14957" t="s">
        <v>47447</v>
      </c>
      <c r="S14957" t="s">
        <v>48546</v>
      </c>
      <c r="T14957" t="s">
        <v>49073</v>
      </c>
      <c r="U14957" t="s">
        <v>61820</v>
      </c>
      <c r="W14957" t="s">
        <v>47187</v>
      </c>
      <c r="X14957" t="s">
        <v>47448</v>
      </c>
    </row>
    <row r="14958" spans="1:24">
      <c r="A14958">
        <f>HYPERLINK("https://www.philgeps.gov.ph/GEPSNONPILOT/Tender/SplashBidNoticeAbstractUI.aspx?menuIndex=3&amp;refID=7122596&amp;Result=3","7122596")</f>
        <v>0</v>
      </c>
      <c r="B14958" t="s">
        <v>1531</v>
      </c>
      <c r="C14958" t="s">
        <v>18068</v>
      </c>
      <c r="E14958" t="s">
        <v>31939</v>
      </c>
      <c r="F14958" t="s">
        <v>32831</v>
      </c>
      <c r="G14958" t="s">
        <v>32839</v>
      </c>
      <c r="H14958" t="s">
        <v>32849</v>
      </c>
      <c r="I14958" t="s">
        <v>4177</v>
      </c>
      <c r="J14958" t="s">
        <v>42110</v>
      </c>
      <c r="K14958" t="s">
        <v>42883</v>
      </c>
      <c r="M14958" t="s">
        <v>47307</v>
      </c>
      <c r="N14958" t="s">
        <v>47424</v>
      </c>
      <c r="O14958" t="s">
        <v>47425</v>
      </c>
      <c r="Q14958">
        <v>16</v>
      </c>
      <c r="R14958" t="s">
        <v>47447</v>
      </c>
      <c r="S14958" t="s">
        <v>48547</v>
      </c>
      <c r="T14958" t="s">
        <v>49214</v>
      </c>
      <c r="U14958" t="s">
        <v>61821</v>
      </c>
      <c r="W14958" t="s">
        <v>47307</v>
      </c>
      <c r="X14958" t="s">
        <v>47448</v>
      </c>
    </row>
    <row r="14959" spans="1:24">
      <c r="A14959">
        <f>HYPERLINK("https://www.philgeps.gov.ph/GEPSNONPILOT/Tender/SplashBidNoticeAbstractUI.aspx?menuIndex=3&amp;refID=7122294&amp;Result=3","7122294")</f>
        <v>0</v>
      </c>
      <c r="B14959" t="s">
        <v>968</v>
      </c>
      <c r="C14959" t="s">
        <v>18069</v>
      </c>
      <c r="D14959" t="s">
        <v>19045</v>
      </c>
      <c r="E14959" t="s">
        <v>31940</v>
      </c>
      <c r="F14959" t="s">
        <v>32831</v>
      </c>
      <c r="G14959" t="s">
        <v>32839</v>
      </c>
      <c r="H14959" t="s">
        <v>32849</v>
      </c>
      <c r="I14959" t="s">
        <v>4177</v>
      </c>
      <c r="J14959" t="s">
        <v>42111</v>
      </c>
      <c r="K14959" t="s">
        <v>42813</v>
      </c>
      <c r="M14959" t="s">
        <v>44014</v>
      </c>
      <c r="N14959" t="s">
        <v>47424</v>
      </c>
      <c r="O14959" t="s">
        <v>47425</v>
      </c>
      <c r="Q14959">
        <v>0</v>
      </c>
      <c r="R14959" t="s">
        <v>47447</v>
      </c>
      <c r="S14959" t="s">
        <v>48171</v>
      </c>
      <c r="T14959" t="s">
        <v>49239</v>
      </c>
      <c r="U14959" t="s">
        <v>61822</v>
      </c>
      <c r="W14959" t="s">
        <v>44014</v>
      </c>
      <c r="X14959" t="s">
        <v>47448</v>
      </c>
    </row>
    <row r="14960" spans="1:24">
      <c r="A14960">
        <f>HYPERLINK("https://www.philgeps.gov.ph/GEPSNONPILOT/Tender/SplashBidNoticeAbstractUI.aspx?menuIndex=3&amp;refID=7122561&amp;Result=3","7122561")</f>
        <v>0</v>
      </c>
      <c r="B14960" t="s">
        <v>2546</v>
      </c>
      <c r="C14960" t="s">
        <v>18070</v>
      </c>
      <c r="D14960" t="s">
        <v>19017</v>
      </c>
      <c r="E14960" t="s">
        <v>31941</v>
      </c>
      <c r="F14960" t="s">
        <v>32831</v>
      </c>
      <c r="G14960" t="s">
        <v>32839</v>
      </c>
      <c r="H14960" t="s">
        <v>32849</v>
      </c>
      <c r="I14960" t="s">
        <v>4177</v>
      </c>
      <c r="J14960" t="s">
        <v>42112</v>
      </c>
      <c r="K14960" t="s">
        <v>42732</v>
      </c>
      <c r="M14960" t="s">
        <v>45758</v>
      </c>
      <c r="N14960" t="s">
        <v>47424</v>
      </c>
      <c r="O14960" t="s">
        <v>47425</v>
      </c>
      <c r="P14960">
        <v>0</v>
      </c>
      <c r="Q14960">
        <v>3</v>
      </c>
      <c r="R14960" t="s">
        <v>47447</v>
      </c>
      <c r="S14960" t="s">
        <v>48494</v>
      </c>
      <c r="T14960" t="s">
        <v>49163</v>
      </c>
      <c r="U14960" t="s">
        <v>61823</v>
      </c>
      <c r="W14960" t="s">
        <v>45758</v>
      </c>
      <c r="X14960" t="s">
        <v>47448</v>
      </c>
    </row>
    <row r="14961" spans="1:24">
      <c r="A14961">
        <f>HYPERLINK("https://www.philgeps.gov.ph/GEPSNONPILOT/Tender/SplashBidNoticeAbstractUI.aspx?menuIndex=3&amp;refID=7122567&amp;Result=3","7122567")</f>
        <v>0</v>
      </c>
      <c r="B14961" t="s">
        <v>2563</v>
      </c>
      <c r="C14961" t="s">
        <v>18071</v>
      </c>
      <c r="D14961" t="s">
        <v>19077</v>
      </c>
      <c r="E14961" t="s">
        <v>31942</v>
      </c>
      <c r="F14961" t="s">
        <v>32831</v>
      </c>
      <c r="G14961" t="s">
        <v>32839</v>
      </c>
      <c r="H14961" t="s">
        <v>32849</v>
      </c>
      <c r="I14961" t="s">
        <v>4177</v>
      </c>
      <c r="J14961" t="s">
        <v>33118</v>
      </c>
      <c r="K14961" t="s">
        <v>42729</v>
      </c>
      <c r="M14961" t="s">
        <v>45778</v>
      </c>
      <c r="N14961" t="s">
        <v>47424</v>
      </c>
      <c r="O14961" t="s">
        <v>47425</v>
      </c>
      <c r="P14961">
        <v>0</v>
      </c>
      <c r="Q14961">
        <v>0</v>
      </c>
      <c r="R14961" t="s">
        <v>47447</v>
      </c>
      <c r="S14961" t="s">
        <v>48494</v>
      </c>
      <c r="T14961" t="s">
        <v>49221</v>
      </c>
      <c r="U14961" t="s">
        <v>61824</v>
      </c>
      <c r="W14961" t="s">
        <v>45778</v>
      </c>
      <c r="X14961" t="s">
        <v>47448</v>
      </c>
    </row>
    <row r="14962" spans="1:24">
      <c r="A14962">
        <f>HYPERLINK("https://www.philgeps.gov.ph/GEPSNONPILOT/Tender/SplashBidNoticeAbstractUI.aspx?menuIndex=3&amp;refID=7122554&amp;Result=3","7122554")</f>
        <v>0</v>
      </c>
      <c r="B14962" t="s">
        <v>2563</v>
      </c>
      <c r="C14962" t="s">
        <v>18072</v>
      </c>
      <c r="D14962" t="s">
        <v>19077</v>
      </c>
      <c r="E14962" t="s">
        <v>31943</v>
      </c>
      <c r="F14962" t="s">
        <v>32831</v>
      </c>
      <c r="G14962" t="s">
        <v>32839</v>
      </c>
      <c r="H14962" t="s">
        <v>32849</v>
      </c>
      <c r="I14962" t="s">
        <v>4177</v>
      </c>
      <c r="J14962" t="s">
        <v>42113</v>
      </c>
      <c r="K14962" t="s">
        <v>42747</v>
      </c>
      <c r="M14962" t="s">
        <v>45778</v>
      </c>
      <c r="N14962" t="s">
        <v>47424</v>
      </c>
      <c r="O14962" t="s">
        <v>47425</v>
      </c>
      <c r="P14962">
        <v>0</v>
      </c>
      <c r="Q14962">
        <v>1</v>
      </c>
      <c r="R14962" t="s">
        <v>47447</v>
      </c>
      <c r="S14962" t="s">
        <v>48494</v>
      </c>
      <c r="T14962" t="s">
        <v>49221</v>
      </c>
      <c r="U14962" t="s">
        <v>61825</v>
      </c>
      <c r="W14962" t="s">
        <v>45778</v>
      </c>
      <c r="X14962" t="s">
        <v>47448</v>
      </c>
    </row>
    <row r="14963" spans="1:24">
      <c r="A14963">
        <f>HYPERLINK("https://www.philgeps.gov.ph/GEPSNONPILOT/Tender/SplashBidNoticeAbstractUI.aspx?menuIndex=3&amp;refID=7121599&amp;Result=3","7121599")</f>
        <v>0</v>
      </c>
      <c r="B14963" t="s">
        <v>771</v>
      </c>
      <c r="C14963" t="s">
        <v>18073</v>
      </c>
      <c r="D14963" t="s">
        <v>19073</v>
      </c>
      <c r="E14963" t="s">
        <v>31944</v>
      </c>
      <c r="F14963" t="s">
        <v>32831</v>
      </c>
      <c r="G14963" t="s">
        <v>32839</v>
      </c>
      <c r="H14963" t="s">
        <v>32848</v>
      </c>
      <c r="I14963" t="s">
        <v>9577</v>
      </c>
      <c r="J14963" t="s">
        <v>42114</v>
      </c>
      <c r="K14963" t="s">
        <v>42727</v>
      </c>
      <c r="M14963" t="s">
        <v>43800</v>
      </c>
      <c r="N14963" t="s">
        <v>47424</v>
      </c>
      <c r="O14963" t="s">
        <v>47425</v>
      </c>
      <c r="P14963">
        <v>0</v>
      </c>
      <c r="Q14963">
        <v>9</v>
      </c>
      <c r="R14963" t="s">
        <v>47447</v>
      </c>
      <c r="S14963" t="s">
        <v>48494</v>
      </c>
      <c r="T14963" t="s">
        <v>49212</v>
      </c>
      <c r="U14963" t="s">
        <v>61826</v>
      </c>
      <c r="W14963" t="s">
        <v>43800</v>
      </c>
      <c r="X14963" t="s">
        <v>47448</v>
      </c>
    </row>
    <row r="14964" spans="1:24">
      <c r="A14964">
        <f>HYPERLINK("https://www.philgeps.gov.ph/GEPSNONPILOT/Tender/SplashBidNoticeAbstractUI.aspx?menuIndex=3&amp;refID=7122534&amp;Result=3","7122534")</f>
        <v>0</v>
      </c>
      <c r="B14964" t="s">
        <v>2546</v>
      </c>
      <c r="C14964" t="s">
        <v>18074</v>
      </c>
      <c r="D14964" t="s">
        <v>19017</v>
      </c>
      <c r="E14964" t="s">
        <v>31945</v>
      </c>
      <c r="F14964" t="s">
        <v>32831</v>
      </c>
      <c r="G14964" t="s">
        <v>32839</v>
      </c>
      <c r="H14964" t="s">
        <v>32850</v>
      </c>
      <c r="I14964" t="s">
        <v>32863</v>
      </c>
      <c r="J14964" t="s">
        <v>42115</v>
      </c>
      <c r="K14964" t="s">
        <v>42775</v>
      </c>
      <c r="M14964" t="s">
        <v>45758</v>
      </c>
      <c r="N14964" t="s">
        <v>47424</v>
      </c>
      <c r="O14964" t="s">
        <v>47425</v>
      </c>
      <c r="P14964">
        <v>0</v>
      </c>
      <c r="Q14964">
        <v>5</v>
      </c>
      <c r="R14964" t="s">
        <v>47447</v>
      </c>
      <c r="S14964" t="s">
        <v>48494</v>
      </c>
      <c r="T14964" t="s">
        <v>49163</v>
      </c>
      <c r="U14964" t="s">
        <v>61827</v>
      </c>
      <c r="W14964" t="s">
        <v>45758</v>
      </c>
      <c r="X14964" t="s">
        <v>47448</v>
      </c>
    </row>
    <row r="14965" spans="1:24">
      <c r="A14965">
        <f>HYPERLINK("https://www.philgeps.gov.ph/GEPSNONPILOT/Tender/SplashBidNoticeAbstractUI.aspx?menuIndex=3&amp;refID=7122506&amp;Result=3","7122506")</f>
        <v>0</v>
      </c>
      <c r="B14965" t="s">
        <v>2563</v>
      </c>
      <c r="C14965" t="s">
        <v>18075</v>
      </c>
      <c r="D14965" t="s">
        <v>19077</v>
      </c>
      <c r="E14965" t="s">
        <v>31946</v>
      </c>
      <c r="F14965" t="s">
        <v>32831</v>
      </c>
      <c r="G14965" t="s">
        <v>32839</v>
      </c>
      <c r="H14965" t="s">
        <v>32849</v>
      </c>
      <c r="I14965" t="s">
        <v>4177</v>
      </c>
      <c r="J14965" t="s">
        <v>33118</v>
      </c>
      <c r="K14965" t="s">
        <v>42729</v>
      </c>
      <c r="M14965" t="s">
        <v>45778</v>
      </c>
      <c r="N14965" t="s">
        <v>47424</v>
      </c>
      <c r="O14965" t="s">
        <v>47425</v>
      </c>
      <c r="P14965">
        <v>0</v>
      </c>
      <c r="Q14965">
        <v>0</v>
      </c>
      <c r="R14965" t="s">
        <v>47447</v>
      </c>
      <c r="S14965" t="s">
        <v>48494</v>
      </c>
      <c r="T14965" t="s">
        <v>49221</v>
      </c>
      <c r="U14965" t="s">
        <v>61828</v>
      </c>
      <c r="W14965" t="s">
        <v>45778</v>
      </c>
      <c r="X14965" t="s">
        <v>47448</v>
      </c>
    </row>
    <row r="14966" spans="1:24">
      <c r="A14966">
        <f>HYPERLINK("https://www.philgeps.gov.ph/GEPSNONPILOT/Tender/SplashBidNoticeAbstractUI.aspx?menuIndex=3&amp;refID=7122474&amp;Result=3","7122474")</f>
        <v>0</v>
      </c>
      <c r="B14966" t="s">
        <v>2546</v>
      </c>
      <c r="C14966" t="s">
        <v>18076</v>
      </c>
      <c r="D14966" t="s">
        <v>19017</v>
      </c>
      <c r="E14966" t="s">
        <v>31947</v>
      </c>
      <c r="F14966" t="s">
        <v>32831</v>
      </c>
      <c r="G14966" t="s">
        <v>32839</v>
      </c>
      <c r="H14966" t="s">
        <v>32850</v>
      </c>
      <c r="I14966" t="s">
        <v>32863</v>
      </c>
      <c r="J14966" t="s">
        <v>33257</v>
      </c>
      <c r="K14966" t="s">
        <v>42775</v>
      </c>
      <c r="M14966" t="s">
        <v>45758</v>
      </c>
      <c r="N14966" t="s">
        <v>47424</v>
      </c>
      <c r="O14966" t="s">
        <v>47425</v>
      </c>
      <c r="P14966">
        <v>0</v>
      </c>
      <c r="Q14966">
        <v>8</v>
      </c>
      <c r="R14966" t="s">
        <v>47447</v>
      </c>
      <c r="S14966" t="s">
        <v>48494</v>
      </c>
      <c r="T14966" t="s">
        <v>49163</v>
      </c>
      <c r="U14966" t="s">
        <v>61829</v>
      </c>
      <c r="W14966" t="s">
        <v>45758</v>
      </c>
      <c r="X14966" t="s">
        <v>47448</v>
      </c>
    </row>
    <row r="14967" spans="1:24">
      <c r="A14967">
        <f>HYPERLINK("https://www.philgeps.gov.ph/GEPSNONPILOT/Tender/SplashBidNoticeAbstractUI.aspx?menuIndex=3&amp;refID=7122385&amp;Result=3","7122385")</f>
        <v>0</v>
      </c>
      <c r="B14967" t="s">
        <v>581</v>
      </c>
      <c r="C14967" t="s">
        <v>18077</v>
      </c>
      <c r="D14967" t="s">
        <v>19044</v>
      </c>
      <c r="E14967" t="s">
        <v>31948</v>
      </c>
      <c r="F14967" t="s">
        <v>32831</v>
      </c>
      <c r="G14967" t="s">
        <v>32839</v>
      </c>
      <c r="H14967" t="s">
        <v>32848</v>
      </c>
      <c r="I14967" t="s">
        <v>7751</v>
      </c>
      <c r="J14967" t="s">
        <v>42116</v>
      </c>
      <c r="K14967" t="s">
        <v>42747</v>
      </c>
      <c r="M14967" t="s">
        <v>43986</v>
      </c>
      <c r="N14967" t="s">
        <v>47424</v>
      </c>
      <c r="O14967" t="s">
        <v>47425</v>
      </c>
      <c r="Q14967">
        <v>13</v>
      </c>
      <c r="R14967" t="s">
        <v>47447</v>
      </c>
      <c r="S14967" t="s">
        <v>48547</v>
      </c>
      <c r="T14967" t="s">
        <v>49111</v>
      </c>
      <c r="U14967" t="s">
        <v>61830</v>
      </c>
      <c r="W14967" t="s">
        <v>43986</v>
      </c>
      <c r="X14967" t="s">
        <v>47448</v>
      </c>
    </row>
    <row r="14968" spans="1:24">
      <c r="A14968">
        <f>HYPERLINK("https://www.philgeps.gov.ph/GEPSNONPILOT/Tender/SplashBidNoticeAbstractUI.aspx?menuIndex=3&amp;refID=7122464&amp;Result=3","7122464")</f>
        <v>0</v>
      </c>
      <c r="B14968" t="s">
        <v>3863</v>
      </c>
      <c r="C14968" t="s">
        <v>18078</v>
      </c>
      <c r="D14968" t="s">
        <v>19052</v>
      </c>
      <c r="E14968" t="s">
        <v>31949</v>
      </c>
      <c r="F14968" t="s">
        <v>32831</v>
      </c>
      <c r="G14968" t="s">
        <v>32839</v>
      </c>
      <c r="H14968" t="s">
        <v>32849</v>
      </c>
      <c r="I14968" t="s">
        <v>4177</v>
      </c>
      <c r="J14968" t="s">
        <v>42117</v>
      </c>
      <c r="K14968" t="s">
        <v>42729</v>
      </c>
      <c r="M14968" t="s">
        <v>47304</v>
      </c>
      <c r="N14968" t="s">
        <v>47424</v>
      </c>
      <c r="O14968" t="s">
        <v>47425</v>
      </c>
      <c r="P14968">
        <v>0</v>
      </c>
      <c r="Q14968">
        <v>0</v>
      </c>
      <c r="R14968" t="s">
        <v>47447</v>
      </c>
      <c r="S14968" t="s">
        <v>48494</v>
      </c>
      <c r="T14968" t="s">
        <v>49166</v>
      </c>
      <c r="U14968" t="s">
        <v>61831</v>
      </c>
      <c r="W14968" t="s">
        <v>47304</v>
      </c>
      <c r="X14968" t="s">
        <v>47448</v>
      </c>
    </row>
    <row r="14969" spans="1:24">
      <c r="A14969">
        <f>HYPERLINK("https://www.philgeps.gov.ph/GEPSNONPILOT/Tender/SplashBidNoticeAbstractUI.aspx?menuIndex=3&amp;refID=7122582&amp;Result=3","7122582")</f>
        <v>0</v>
      </c>
      <c r="B14969" t="s">
        <v>2546</v>
      </c>
      <c r="C14969" t="s">
        <v>18079</v>
      </c>
      <c r="D14969" t="s">
        <v>19017</v>
      </c>
      <c r="E14969" t="s">
        <v>31950</v>
      </c>
      <c r="F14969" t="s">
        <v>32831</v>
      </c>
      <c r="G14969" t="s">
        <v>32839</v>
      </c>
      <c r="H14969" t="s">
        <v>32849</v>
      </c>
      <c r="I14969" t="s">
        <v>4177</v>
      </c>
      <c r="J14969" t="s">
        <v>42118</v>
      </c>
      <c r="K14969" t="s">
        <v>42732</v>
      </c>
      <c r="M14969" t="s">
        <v>45758</v>
      </c>
      <c r="N14969" t="s">
        <v>47424</v>
      </c>
      <c r="O14969" t="s">
        <v>47425</v>
      </c>
      <c r="P14969">
        <v>0</v>
      </c>
      <c r="Q14969">
        <v>0</v>
      </c>
      <c r="R14969" t="s">
        <v>47447</v>
      </c>
      <c r="S14969" t="s">
        <v>48494</v>
      </c>
      <c r="T14969" t="s">
        <v>49163</v>
      </c>
      <c r="U14969" t="s">
        <v>61832</v>
      </c>
      <c r="W14969" t="s">
        <v>45758</v>
      </c>
      <c r="X14969" t="s">
        <v>47448</v>
      </c>
    </row>
    <row r="14970" spans="1:24">
      <c r="A14970">
        <f>HYPERLINK("https://www.philgeps.gov.ph/GEPSNONPILOT/Tender/SplashBidNoticeAbstractUI.aspx?menuIndex=3&amp;refID=7122438&amp;Result=3","7122438")</f>
        <v>0</v>
      </c>
      <c r="B14970" t="s">
        <v>2363</v>
      </c>
      <c r="C14970" t="s">
        <v>18080</v>
      </c>
      <c r="D14970" t="s">
        <v>19047</v>
      </c>
      <c r="E14970" t="s">
        <v>31951</v>
      </c>
      <c r="F14970" t="s">
        <v>32831</v>
      </c>
      <c r="G14970" t="s">
        <v>32842</v>
      </c>
      <c r="H14970" t="s">
        <v>32848</v>
      </c>
      <c r="I14970" t="s">
        <v>32874</v>
      </c>
      <c r="J14970" t="s">
        <v>33064</v>
      </c>
      <c r="K14970" t="s">
        <v>42732</v>
      </c>
      <c r="M14970" t="s">
        <v>45703</v>
      </c>
      <c r="N14970" t="s">
        <v>47424</v>
      </c>
      <c r="O14970" t="s">
        <v>47425</v>
      </c>
      <c r="Q14970">
        <v>31</v>
      </c>
      <c r="R14970" t="s">
        <v>47447</v>
      </c>
      <c r="S14970" t="s">
        <v>48548</v>
      </c>
      <c r="T14970" t="s">
        <v>49237</v>
      </c>
      <c r="U14970" t="s">
        <v>55675</v>
      </c>
      <c r="W14970" t="s">
        <v>45703</v>
      </c>
      <c r="X14970" t="s">
        <v>47448</v>
      </c>
    </row>
    <row r="14971" spans="1:24">
      <c r="A14971">
        <f>HYPERLINK("https://www.philgeps.gov.ph/GEPSNONPILOT/Tender/SplashBidNoticeAbstractUI.aspx?menuIndex=3&amp;refID=7122507&amp;Result=3","7122507")</f>
        <v>0</v>
      </c>
      <c r="B14971" t="s">
        <v>581</v>
      </c>
      <c r="C14971" t="s">
        <v>18081</v>
      </c>
      <c r="D14971" t="s">
        <v>19044</v>
      </c>
      <c r="E14971" t="s">
        <v>31952</v>
      </c>
      <c r="F14971" t="s">
        <v>32831</v>
      </c>
      <c r="G14971" t="s">
        <v>32839</v>
      </c>
      <c r="H14971" t="s">
        <v>32848</v>
      </c>
      <c r="I14971" t="s">
        <v>7751</v>
      </c>
      <c r="J14971" t="s">
        <v>42119</v>
      </c>
      <c r="K14971" t="s">
        <v>42730</v>
      </c>
      <c r="M14971" t="s">
        <v>43986</v>
      </c>
      <c r="N14971" t="s">
        <v>47424</v>
      </c>
      <c r="O14971" t="s">
        <v>47425</v>
      </c>
      <c r="Q14971">
        <v>11</v>
      </c>
      <c r="R14971" t="s">
        <v>47447</v>
      </c>
      <c r="S14971" t="s">
        <v>48549</v>
      </c>
      <c r="T14971" t="s">
        <v>49111</v>
      </c>
      <c r="U14971" t="s">
        <v>61833</v>
      </c>
      <c r="W14971" t="s">
        <v>43986</v>
      </c>
      <c r="X14971" t="s">
        <v>47448</v>
      </c>
    </row>
    <row r="14972" spans="1:24">
      <c r="A14972">
        <f>HYPERLINK("https://www.philgeps.gov.ph/GEPSNONPILOT/Tender/SplashBidNoticeAbstractUI.aspx?menuIndex=3&amp;refID=7122504&amp;Result=3","7122504")</f>
        <v>0</v>
      </c>
      <c r="B14972" t="s">
        <v>2546</v>
      </c>
      <c r="C14972" t="s">
        <v>18082</v>
      </c>
      <c r="D14972" t="s">
        <v>19017</v>
      </c>
      <c r="E14972" t="s">
        <v>31953</v>
      </c>
      <c r="F14972" t="s">
        <v>32831</v>
      </c>
      <c r="G14972" t="s">
        <v>32839</v>
      </c>
      <c r="H14972" t="s">
        <v>32848</v>
      </c>
      <c r="I14972" t="s">
        <v>32856</v>
      </c>
      <c r="J14972" t="s">
        <v>42120</v>
      </c>
      <c r="K14972" t="s">
        <v>42732</v>
      </c>
      <c r="M14972" t="s">
        <v>45758</v>
      </c>
      <c r="N14972" t="s">
        <v>47424</v>
      </c>
      <c r="O14972" t="s">
        <v>47425</v>
      </c>
      <c r="P14972">
        <v>0</v>
      </c>
      <c r="Q14972">
        <v>13</v>
      </c>
      <c r="R14972" t="s">
        <v>47447</v>
      </c>
      <c r="S14972" t="s">
        <v>48494</v>
      </c>
      <c r="T14972" t="s">
        <v>49163</v>
      </c>
      <c r="U14972" t="s">
        <v>61834</v>
      </c>
      <c r="W14972" t="s">
        <v>45758</v>
      </c>
      <c r="X14972" t="s">
        <v>47448</v>
      </c>
    </row>
    <row r="14973" spans="1:24">
      <c r="A14973">
        <f>HYPERLINK("https://www.philgeps.gov.ph/GEPSNONPILOT/Tender/SplashBidNoticeAbstractUI.aspx?menuIndex=3&amp;refID=7122284&amp;Result=3","7122284")</f>
        <v>0</v>
      </c>
      <c r="B14973" t="s">
        <v>228</v>
      </c>
      <c r="C14973" t="s">
        <v>18083</v>
      </c>
      <c r="D14973" t="s">
        <v>19033</v>
      </c>
      <c r="E14973" t="s">
        <v>31954</v>
      </c>
      <c r="F14973" t="s">
        <v>32831</v>
      </c>
      <c r="G14973" t="s">
        <v>32839</v>
      </c>
      <c r="H14973" t="s">
        <v>32848</v>
      </c>
      <c r="I14973" t="s">
        <v>32867</v>
      </c>
      <c r="J14973" t="s">
        <v>33118</v>
      </c>
      <c r="K14973" t="s">
        <v>42763</v>
      </c>
      <c r="M14973" t="s">
        <v>47308</v>
      </c>
      <c r="N14973" t="s">
        <v>47424</v>
      </c>
      <c r="O14973" t="s">
        <v>47425</v>
      </c>
      <c r="Q14973">
        <v>19</v>
      </c>
      <c r="R14973" t="s">
        <v>47447</v>
      </c>
      <c r="S14973" t="s">
        <v>48259</v>
      </c>
      <c r="T14973" t="s">
        <v>49239</v>
      </c>
      <c r="U14973" t="s">
        <v>61835</v>
      </c>
      <c r="V14973" t="s">
        <v>64322</v>
      </c>
      <c r="W14973" t="s">
        <v>47308</v>
      </c>
      <c r="X14973" t="s">
        <v>47448</v>
      </c>
    </row>
    <row r="14974" spans="1:24">
      <c r="A14974">
        <f>HYPERLINK("https://www.philgeps.gov.ph/GEPSNONPILOT/Tender/SplashBidNoticeAbstractUI.aspx?menuIndex=3&amp;refID=7122873&amp;Result=3","7122873")</f>
        <v>0</v>
      </c>
      <c r="B14974" t="s">
        <v>3866</v>
      </c>
      <c r="C14974" t="s">
        <v>18084</v>
      </c>
      <c r="D14974" t="s">
        <v>19057</v>
      </c>
      <c r="E14974" t="s">
        <v>31955</v>
      </c>
      <c r="F14974" t="s">
        <v>32831</v>
      </c>
      <c r="G14974" t="s">
        <v>32839</v>
      </c>
      <c r="H14974" t="s">
        <v>32849</v>
      </c>
      <c r="I14974" t="s">
        <v>4177</v>
      </c>
      <c r="J14974" t="s">
        <v>42121</v>
      </c>
      <c r="K14974" t="s">
        <v>42730</v>
      </c>
      <c r="L14974" t="s">
        <v>3866</v>
      </c>
      <c r="M14974" t="s">
        <v>47309</v>
      </c>
      <c r="N14974" t="s">
        <v>47424</v>
      </c>
      <c r="O14974" t="s">
        <v>47425</v>
      </c>
      <c r="P14974">
        <v>0</v>
      </c>
      <c r="Q14974">
        <v>2</v>
      </c>
      <c r="R14974" t="s">
        <v>47447</v>
      </c>
      <c r="S14974" t="s">
        <v>48494</v>
      </c>
      <c r="T14974" t="s">
        <v>49239</v>
      </c>
      <c r="U14974" t="s">
        <v>61836</v>
      </c>
      <c r="W14974" t="s">
        <v>47309</v>
      </c>
      <c r="X14974" t="s">
        <v>47448</v>
      </c>
    </row>
    <row r="14975" spans="1:24">
      <c r="A14975">
        <f>HYPERLINK("https://www.philgeps.gov.ph/GEPSNONPILOT/Tender/SplashBidNoticeAbstractUI.aspx?menuIndex=3&amp;refID=7122472&amp;Result=3","7122472")</f>
        <v>0</v>
      </c>
      <c r="B14975" t="s">
        <v>581</v>
      </c>
      <c r="C14975" t="s">
        <v>18085</v>
      </c>
      <c r="D14975" t="s">
        <v>19044</v>
      </c>
      <c r="E14975" t="s">
        <v>31956</v>
      </c>
      <c r="F14975" t="s">
        <v>32831</v>
      </c>
      <c r="G14975" t="s">
        <v>32839</v>
      </c>
      <c r="H14975" t="s">
        <v>32848</v>
      </c>
      <c r="I14975" t="s">
        <v>7751</v>
      </c>
      <c r="J14975" t="s">
        <v>33046</v>
      </c>
      <c r="K14975" t="s">
        <v>42747</v>
      </c>
      <c r="M14975" t="s">
        <v>43986</v>
      </c>
      <c r="N14975" t="s">
        <v>47424</v>
      </c>
      <c r="O14975" t="s">
        <v>47425</v>
      </c>
      <c r="P14975">
        <v>0</v>
      </c>
      <c r="Q14975">
        <v>7</v>
      </c>
      <c r="R14975" t="s">
        <v>47447</v>
      </c>
      <c r="S14975" t="s">
        <v>48494</v>
      </c>
      <c r="T14975" t="s">
        <v>49111</v>
      </c>
      <c r="U14975" t="s">
        <v>61837</v>
      </c>
      <c r="W14975" t="s">
        <v>43986</v>
      </c>
      <c r="X14975" t="s">
        <v>47448</v>
      </c>
    </row>
    <row r="14976" spans="1:24">
      <c r="A14976">
        <f>HYPERLINK("https://www.philgeps.gov.ph/GEPSNONPILOT/Tender/SplashBidNoticeAbstractUI.aspx?menuIndex=3&amp;refID=7122853&amp;Result=3","7122853")</f>
        <v>0</v>
      </c>
      <c r="B14976" t="s">
        <v>1093</v>
      </c>
      <c r="C14976" t="s">
        <v>18086</v>
      </c>
      <c r="D14976" t="s">
        <v>19017</v>
      </c>
      <c r="E14976" t="s">
        <v>31957</v>
      </c>
      <c r="F14976" t="s">
        <v>32831</v>
      </c>
      <c r="G14976" t="s">
        <v>32839</v>
      </c>
      <c r="H14976" t="s">
        <v>32848</v>
      </c>
      <c r="I14976" t="s">
        <v>4487</v>
      </c>
      <c r="J14976" t="s">
        <v>42122</v>
      </c>
      <c r="K14976" t="s">
        <v>42747</v>
      </c>
      <c r="M14976" t="s">
        <v>44152</v>
      </c>
      <c r="N14976" t="s">
        <v>47424</v>
      </c>
      <c r="O14976" t="s">
        <v>47425</v>
      </c>
      <c r="Q14976">
        <v>21</v>
      </c>
      <c r="R14976" t="s">
        <v>47447</v>
      </c>
      <c r="S14976" t="s">
        <v>48550</v>
      </c>
      <c r="T14976" t="s">
        <v>49171</v>
      </c>
      <c r="U14976" t="s">
        <v>61838</v>
      </c>
      <c r="W14976" t="s">
        <v>44152</v>
      </c>
      <c r="X14976" t="s">
        <v>47448</v>
      </c>
    </row>
    <row r="14977" spans="1:24">
      <c r="A14977">
        <f>HYPERLINK("https://www.philgeps.gov.ph/GEPSNONPILOT/Tender/SplashBidNoticeAbstractUI.aspx?menuIndex=3&amp;refID=7122868&amp;Result=3","7122868")</f>
        <v>0</v>
      </c>
      <c r="B14977" t="s">
        <v>1045</v>
      </c>
      <c r="C14977" t="s">
        <v>18087</v>
      </c>
      <c r="D14977" t="s">
        <v>19040</v>
      </c>
      <c r="E14977" t="s">
        <v>31958</v>
      </c>
      <c r="F14977" t="s">
        <v>32831</v>
      </c>
      <c r="G14977" t="s">
        <v>32839</v>
      </c>
      <c r="H14977" t="s">
        <v>32849</v>
      </c>
      <c r="I14977" t="s">
        <v>7416</v>
      </c>
      <c r="J14977" t="s">
        <v>36801</v>
      </c>
      <c r="K14977" t="s">
        <v>42789</v>
      </c>
      <c r="M14977" t="s">
        <v>44101</v>
      </c>
      <c r="N14977" t="s">
        <v>47424</v>
      </c>
      <c r="O14977" t="s">
        <v>47425</v>
      </c>
      <c r="P14977">
        <v>0</v>
      </c>
      <c r="Q14977">
        <v>2</v>
      </c>
      <c r="R14977" t="s">
        <v>47447</v>
      </c>
      <c r="S14977" t="s">
        <v>48494</v>
      </c>
      <c r="T14977" t="s">
        <v>49206</v>
      </c>
      <c r="U14977" t="s">
        <v>61839</v>
      </c>
      <c r="V14977" t="s">
        <v>62871</v>
      </c>
      <c r="W14977" t="s">
        <v>44101</v>
      </c>
      <c r="X14977" t="s">
        <v>47448</v>
      </c>
    </row>
    <row r="14978" spans="1:24">
      <c r="A14978">
        <f>HYPERLINK("https://www.philgeps.gov.ph/GEPSNONPILOT/Tender/SplashBidNoticeAbstractUI.aspx?menuIndex=3&amp;refID=7122826&amp;Result=3","7122826")</f>
        <v>0</v>
      </c>
      <c r="B14978" t="s">
        <v>832</v>
      </c>
      <c r="C14978" t="s">
        <v>18088</v>
      </c>
      <c r="D14978" t="s">
        <v>19101</v>
      </c>
      <c r="E14978" t="s">
        <v>31959</v>
      </c>
      <c r="F14978" t="s">
        <v>32831</v>
      </c>
      <c r="G14978" t="s">
        <v>32839</v>
      </c>
      <c r="H14978" t="s">
        <v>32848</v>
      </c>
      <c r="I14978" t="s">
        <v>32925</v>
      </c>
      <c r="J14978" t="s">
        <v>42123</v>
      </c>
      <c r="K14978" t="s">
        <v>42729</v>
      </c>
      <c r="M14978" t="s">
        <v>44445</v>
      </c>
      <c r="N14978" t="s">
        <v>47424</v>
      </c>
      <c r="O14978" t="s">
        <v>47425</v>
      </c>
      <c r="Q14978">
        <v>8</v>
      </c>
      <c r="R14978" t="s">
        <v>47447</v>
      </c>
      <c r="S14978" t="s">
        <v>48551</v>
      </c>
      <c r="T14978" t="s">
        <v>49328</v>
      </c>
      <c r="U14978" t="s">
        <v>61840</v>
      </c>
      <c r="V14978" t="s">
        <v>64323</v>
      </c>
      <c r="W14978" t="s">
        <v>44445</v>
      </c>
      <c r="X14978" t="s">
        <v>47448</v>
      </c>
    </row>
    <row r="14979" spans="1:24">
      <c r="A14979">
        <f>HYPERLINK("https://www.philgeps.gov.ph/GEPSNONPILOT/Tender/SplashBidNoticeAbstractUI.aspx?menuIndex=3&amp;refID=7122834&amp;Result=3","7122834")</f>
        <v>0</v>
      </c>
      <c r="B14979" t="s">
        <v>1044</v>
      </c>
      <c r="C14979" t="s">
        <v>18089</v>
      </c>
      <c r="E14979" t="s">
        <v>31960</v>
      </c>
      <c r="F14979" t="s">
        <v>32831</v>
      </c>
      <c r="G14979" t="s">
        <v>32839</v>
      </c>
      <c r="H14979" t="s">
        <v>32848</v>
      </c>
      <c r="I14979" t="s">
        <v>4776</v>
      </c>
      <c r="J14979" t="s">
        <v>33558</v>
      </c>
      <c r="K14979" t="s">
        <v>42729</v>
      </c>
      <c r="M14979" t="s">
        <v>44100</v>
      </c>
      <c r="N14979" t="s">
        <v>47424</v>
      </c>
      <c r="O14979" t="s">
        <v>47425</v>
      </c>
      <c r="P14979">
        <v>0</v>
      </c>
      <c r="Q14979">
        <v>8</v>
      </c>
      <c r="R14979" t="s">
        <v>47447</v>
      </c>
      <c r="S14979" t="s">
        <v>48494</v>
      </c>
      <c r="T14979" t="s">
        <v>49091</v>
      </c>
      <c r="U14979" t="s">
        <v>61841</v>
      </c>
      <c r="W14979" t="s">
        <v>44100</v>
      </c>
      <c r="X14979" t="s">
        <v>47448</v>
      </c>
    </row>
    <row r="14980" spans="1:24">
      <c r="A14980">
        <f>HYPERLINK("https://www.philgeps.gov.ph/GEPSNONPILOT/Tender/SplashBidNoticeAbstractUI.aspx?menuIndex=3&amp;refID=7122811&amp;Result=3","7122811")</f>
        <v>0</v>
      </c>
      <c r="B14980" t="s">
        <v>3803</v>
      </c>
      <c r="C14980" t="s">
        <v>18090</v>
      </c>
      <c r="D14980" t="s">
        <v>19027</v>
      </c>
      <c r="E14980" t="s">
        <v>31961</v>
      </c>
      <c r="F14980" t="s">
        <v>32831</v>
      </c>
      <c r="G14980" t="s">
        <v>32839</v>
      </c>
      <c r="H14980" t="s">
        <v>32848</v>
      </c>
      <c r="I14980" t="s">
        <v>7416</v>
      </c>
      <c r="J14980" t="s">
        <v>33086</v>
      </c>
      <c r="K14980" t="s">
        <v>42726</v>
      </c>
      <c r="L14980" t="s">
        <v>3803</v>
      </c>
      <c r="M14980" t="s">
        <v>47221</v>
      </c>
      <c r="N14980" t="s">
        <v>47424</v>
      </c>
      <c r="O14980" t="s">
        <v>47425</v>
      </c>
      <c r="P14980">
        <v>0</v>
      </c>
      <c r="Q14980">
        <v>1</v>
      </c>
      <c r="R14980" t="s">
        <v>47447</v>
      </c>
      <c r="S14980" t="s">
        <v>48494</v>
      </c>
      <c r="T14980" t="s">
        <v>49237</v>
      </c>
      <c r="U14980" t="s">
        <v>61289</v>
      </c>
      <c r="V14980" t="s">
        <v>64258</v>
      </c>
      <c r="W14980" t="s">
        <v>47221</v>
      </c>
      <c r="X14980" t="s">
        <v>47448</v>
      </c>
    </row>
    <row r="14981" spans="1:24">
      <c r="A14981">
        <f>HYPERLINK("https://www.philgeps.gov.ph/GEPSNONPILOT/Tender/SplashBidNoticeAbstractUI.aspx?menuIndex=3&amp;refID=7122603&amp;Result=3","7122603")</f>
        <v>0</v>
      </c>
      <c r="B14981" t="s">
        <v>2546</v>
      </c>
      <c r="C14981" t="s">
        <v>18091</v>
      </c>
      <c r="D14981" t="s">
        <v>19017</v>
      </c>
      <c r="E14981" t="s">
        <v>31962</v>
      </c>
      <c r="F14981" t="s">
        <v>32831</v>
      </c>
      <c r="G14981" t="s">
        <v>32839</v>
      </c>
      <c r="H14981" t="s">
        <v>32849</v>
      </c>
      <c r="I14981" t="s">
        <v>4177</v>
      </c>
      <c r="J14981" t="s">
        <v>42124</v>
      </c>
      <c r="K14981" t="s">
        <v>42732</v>
      </c>
      <c r="M14981" t="s">
        <v>45758</v>
      </c>
      <c r="N14981" t="s">
        <v>47424</v>
      </c>
      <c r="O14981" t="s">
        <v>47425</v>
      </c>
      <c r="P14981">
        <v>0</v>
      </c>
      <c r="Q14981">
        <v>2</v>
      </c>
      <c r="R14981" t="s">
        <v>47447</v>
      </c>
      <c r="S14981" t="s">
        <v>48494</v>
      </c>
      <c r="T14981" t="s">
        <v>49163</v>
      </c>
      <c r="U14981" t="s">
        <v>61842</v>
      </c>
      <c r="W14981" t="s">
        <v>45758</v>
      </c>
      <c r="X14981" t="s">
        <v>47448</v>
      </c>
    </row>
    <row r="14982" spans="1:24">
      <c r="A14982">
        <f>HYPERLINK("https://www.philgeps.gov.ph/GEPSNONPILOT/Tender/SplashBidNoticeAbstractUI.aspx?menuIndex=3&amp;refID=7122799&amp;Result=3","7122799")</f>
        <v>0</v>
      </c>
      <c r="B14982" t="s">
        <v>3803</v>
      </c>
      <c r="C14982" t="s">
        <v>18092</v>
      </c>
      <c r="D14982" t="s">
        <v>19027</v>
      </c>
      <c r="E14982" t="s">
        <v>31963</v>
      </c>
      <c r="F14982" t="s">
        <v>32831</v>
      </c>
      <c r="G14982" t="s">
        <v>32839</v>
      </c>
      <c r="H14982" t="s">
        <v>32848</v>
      </c>
      <c r="I14982" t="s">
        <v>7416</v>
      </c>
      <c r="J14982" t="s">
        <v>35137</v>
      </c>
      <c r="K14982" t="s">
        <v>42726</v>
      </c>
      <c r="L14982" t="s">
        <v>3803</v>
      </c>
      <c r="M14982" t="s">
        <v>47221</v>
      </c>
      <c r="N14982" t="s">
        <v>47424</v>
      </c>
      <c r="O14982" t="s">
        <v>47425</v>
      </c>
      <c r="P14982">
        <v>0</v>
      </c>
      <c r="Q14982">
        <v>1</v>
      </c>
      <c r="R14982" t="s">
        <v>47447</v>
      </c>
      <c r="S14982" t="s">
        <v>48494</v>
      </c>
      <c r="T14982" t="s">
        <v>49237</v>
      </c>
      <c r="U14982" t="s">
        <v>61289</v>
      </c>
      <c r="V14982" t="s">
        <v>64258</v>
      </c>
      <c r="W14982" t="s">
        <v>47221</v>
      </c>
      <c r="X14982" t="s">
        <v>47448</v>
      </c>
    </row>
    <row r="14983" spans="1:24">
      <c r="A14983">
        <f>HYPERLINK("https://www.philgeps.gov.ph/GEPSNONPILOT/Tender/SplashBidNoticeAbstractUI.aspx?menuIndex=3&amp;refID=7122848&amp;Result=3","7122848")</f>
        <v>0</v>
      </c>
      <c r="B14983" t="s">
        <v>832</v>
      </c>
      <c r="C14983" t="s">
        <v>18093</v>
      </c>
      <c r="D14983" t="s">
        <v>19101</v>
      </c>
      <c r="E14983" t="s">
        <v>31964</v>
      </c>
      <c r="F14983" t="s">
        <v>32831</v>
      </c>
      <c r="G14983" t="s">
        <v>32839</v>
      </c>
      <c r="H14983" t="s">
        <v>32848</v>
      </c>
      <c r="I14983" t="s">
        <v>32925</v>
      </c>
      <c r="J14983" t="s">
        <v>42125</v>
      </c>
      <c r="K14983" t="s">
        <v>42763</v>
      </c>
      <c r="M14983" t="s">
        <v>44445</v>
      </c>
      <c r="N14983" t="s">
        <v>47424</v>
      </c>
      <c r="O14983" t="s">
        <v>47425</v>
      </c>
      <c r="Q14983">
        <v>8</v>
      </c>
      <c r="R14983" t="s">
        <v>47447</v>
      </c>
      <c r="S14983" t="s">
        <v>48552</v>
      </c>
      <c r="T14983" t="s">
        <v>49328</v>
      </c>
      <c r="U14983" t="s">
        <v>61840</v>
      </c>
      <c r="V14983" t="s">
        <v>63231</v>
      </c>
      <c r="W14983" t="s">
        <v>44445</v>
      </c>
      <c r="X14983" t="s">
        <v>47448</v>
      </c>
    </row>
    <row r="14984" spans="1:24">
      <c r="A14984">
        <f>HYPERLINK("https://www.philgeps.gov.ph/GEPSNONPILOT/Tender/SplashBidNoticeAbstractUI.aspx?menuIndex=3&amp;refID=7122857&amp;Result=3","7122857")</f>
        <v>0</v>
      </c>
      <c r="B14984" t="s">
        <v>832</v>
      </c>
      <c r="C14984" t="s">
        <v>18094</v>
      </c>
      <c r="D14984" t="s">
        <v>19101</v>
      </c>
      <c r="E14984" t="s">
        <v>31965</v>
      </c>
      <c r="F14984" t="s">
        <v>32831</v>
      </c>
      <c r="G14984" t="s">
        <v>32839</v>
      </c>
      <c r="H14984" t="s">
        <v>32848</v>
      </c>
      <c r="I14984" t="s">
        <v>32925</v>
      </c>
      <c r="J14984" t="s">
        <v>42126</v>
      </c>
      <c r="K14984" t="s">
        <v>42770</v>
      </c>
      <c r="M14984" t="s">
        <v>44445</v>
      </c>
      <c r="N14984" t="s">
        <v>47424</v>
      </c>
      <c r="O14984" t="s">
        <v>47425</v>
      </c>
      <c r="Q14984">
        <v>8</v>
      </c>
      <c r="R14984" t="s">
        <v>47447</v>
      </c>
      <c r="S14984" t="s">
        <v>48553</v>
      </c>
      <c r="T14984" t="s">
        <v>49328</v>
      </c>
      <c r="U14984" t="s">
        <v>61840</v>
      </c>
      <c r="V14984" t="s">
        <v>63231</v>
      </c>
      <c r="W14984" t="s">
        <v>44445</v>
      </c>
      <c r="X14984" t="s">
        <v>47448</v>
      </c>
    </row>
    <row r="14985" spans="1:24">
      <c r="A14985">
        <f>HYPERLINK("https://www.philgeps.gov.ph/GEPSNONPILOT/Tender/SplashBidNoticeAbstractUI.aspx?menuIndex=3&amp;refID=7122833&amp;Result=3","7122833")</f>
        <v>0</v>
      </c>
      <c r="B14985" t="s">
        <v>832</v>
      </c>
      <c r="C14985" t="s">
        <v>18095</v>
      </c>
      <c r="D14985" t="s">
        <v>19101</v>
      </c>
      <c r="E14985" t="s">
        <v>31966</v>
      </c>
      <c r="F14985" t="s">
        <v>32831</v>
      </c>
      <c r="G14985" t="s">
        <v>32839</v>
      </c>
      <c r="H14985" t="s">
        <v>32848</v>
      </c>
      <c r="I14985" t="s">
        <v>32925</v>
      </c>
      <c r="J14985" t="s">
        <v>42127</v>
      </c>
      <c r="K14985" t="s">
        <v>42729</v>
      </c>
      <c r="M14985" t="s">
        <v>44445</v>
      </c>
      <c r="N14985" t="s">
        <v>47424</v>
      </c>
      <c r="O14985" t="s">
        <v>47425</v>
      </c>
      <c r="Q14985">
        <v>5</v>
      </c>
      <c r="R14985" t="s">
        <v>47447</v>
      </c>
      <c r="S14985" t="s">
        <v>48554</v>
      </c>
      <c r="T14985" t="s">
        <v>49328</v>
      </c>
      <c r="U14985" t="s">
        <v>61840</v>
      </c>
      <c r="V14985" t="s">
        <v>63231</v>
      </c>
      <c r="W14985" t="s">
        <v>44445</v>
      </c>
      <c r="X14985" t="s">
        <v>47448</v>
      </c>
    </row>
    <row r="14986" spans="1:24">
      <c r="A14986">
        <f>HYPERLINK("https://www.philgeps.gov.ph/GEPSNONPILOT/Tender/SplashBidNoticeAbstractUI.aspx?menuIndex=3&amp;refID=7122787&amp;Result=3","7122787")</f>
        <v>0</v>
      </c>
      <c r="B14986" t="s">
        <v>3803</v>
      </c>
      <c r="C14986" t="s">
        <v>18096</v>
      </c>
      <c r="D14986" t="s">
        <v>19027</v>
      </c>
      <c r="E14986" t="s">
        <v>28777</v>
      </c>
      <c r="F14986" t="s">
        <v>32831</v>
      </c>
      <c r="G14986" t="s">
        <v>32839</v>
      </c>
      <c r="H14986" t="s">
        <v>32848</v>
      </c>
      <c r="I14986" t="s">
        <v>7416</v>
      </c>
      <c r="J14986" t="s">
        <v>33086</v>
      </c>
      <c r="K14986" t="s">
        <v>42726</v>
      </c>
      <c r="L14986" t="s">
        <v>3803</v>
      </c>
      <c r="M14986" t="s">
        <v>47221</v>
      </c>
      <c r="N14986" t="s">
        <v>47424</v>
      </c>
      <c r="O14986" t="s">
        <v>47425</v>
      </c>
      <c r="P14986">
        <v>0</v>
      </c>
      <c r="Q14986">
        <v>1</v>
      </c>
      <c r="R14986" t="s">
        <v>47447</v>
      </c>
      <c r="S14986" t="s">
        <v>48494</v>
      </c>
      <c r="T14986" t="s">
        <v>49237</v>
      </c>
      <c r="U14986" t="s">
        <v>61289</v>
      </c>
      <c r="V14986" t="s">
        <v>64258</v>
      </c>
      <c r="W14986" t="s">
        <v>47221</v>
      </c>
      <c r="X14986" t="s">
        <v>47448</v>
      </c>
    </row>
    <row r="14987" spans="1:24">
      <c r="A14987">
        <f>HYPERLINK("https://www.philgeps.gov.ph/GEPSNONPILOT/Tender/SplashBidNoticeAbstractUI.aspx?menuIndex=3&amp;refID=7116710&amp;Result=3","7116710")</f>
        <v>0</v>
      </c>
      <c r="B14987" t="s">
        <v>557</v>
      </c>
      <c r="C14987" t="s">
        <v>18097</v>
      </c>
      <c r="E14987" t="s">
        <v>31967</v>
      </c>
      <c r="F14987" t="s">
        <v>32831</v>
      </c>
      <c r="G14987" t="s">
        <v>32839</v>
      </c>
      <c r="H14987" t="s">
        <v>32849</v>
      </c>
      <c r="I14987" t="s">
        <v>4177</v>
      </c>
      <c r="J14987" t="s">
        <v>42128</v>
      </c>
      <c r="K14987" t="s">
        <v>42732</v>
      </c>
      <c r="M14987" t="s">
        <v>43565</v>
      </c>
      <c r="N14987" t="s">
        <v>47424</v>
      </c>
      <c r="O14987" t="s">
        <v>47425</v>
      </c>
      <c r="P14987">
        <v>0</v>
      </c>
      <c r="Q14987">
        <v>0</v>
      </c>
      <c r="R14987" t="s">
        <v>47448</v>
      </c>
      <c r="S14987" t="s">
        <v>48555</v>
      </c>
      <c r="T14987" t="s">
        <v>49237</v>
      </c>
      <c r="U14987" t="s">
        <v>61843</v>
      </c>
      <c r="V14987" t="s">
        <v>64324</v>
      </c>
      <c r="W14987" t="s">
        <v>43565</v>
      </c>
      <c r="X14987" t="s">
        <v>47451</v>
      </c>
    </row>
    <row r="14988" spans="1:24">
      <c r="A14988">
        <f>HYPERLINK("https://www.philgeps.gov.ph/GEPSNONPILOT/Tender/SplashBidNoticeAbstractUI.aspx?menuIndex=3&amp;refID=7122821&amp;Result=3","7122821")</f>
        <v>0</v>
      </c>
      <c r="B14988" t="s">
        <v>406</v>
      </c>
      <c r="C14988" t="s">
        <v>18098</v>
      </c>
      <c r="E14988" t="s">
        <v>31968</v>
      </c>
      <c r="F14988" t="s">
        <v>32831</v>
      </c>
      <c r="G14988" t="s">
        <v>32839</v>
      </c>
      <c r="H14988" t="s">
        <v>32849</v>
      </c>
      <c r="I14988" t="s">
        <v>4177</v>
      </c>
      <c r="J14988" t="s">
        <v>42129</v>
      </c>
      <c r="K14988" t="s">
        <v>42732</v>
      </c>
      <c r="M14988" t="s">
        <v>47310</v>
      </c>
      <c r="N14988" t="s">
        <v>47424</v>
      </c>
      <c r="O14988" t="s">
        <v>47425</v>
      </c>
      <c r="Q14988">
        <v>46</v>
      </c>
      <c r="R14988" t="s">
        <v>47447</v>
      </c>
      <c r="S14988" t="s">
        <v>48556</v>
      </c>
      <c r="T14988" t="s">
        <v>49077</v>
      </c>
      <c r="U14988" t="s">
        <v>61844</v>
      </c>
      <c r="W14988" t="s">
        <v>47310</v>
      </c>
      <c r="X14988" t="s">
        <v>47448</v>
      </c>
    </row>
    <row r="14989" spans="1:24">
      <c r="A14989">
        <f>HYPERLINK("https://www.philgeps.gov.ph/GEPSNONPILOT/Tender/SplashBidNoticeAbstractUI.aspx?menuIndex=3&amp;refID=7116655&amp;Result=3","7116655")</f>
        <v>0</v>
      </c>
      <c r="B14989" t="s">
        <v>3193</v>
      </c>
      <c r="C14989" t="s">
        <v>18099</v>
      </c>
      <c r="D14989" t="s">
        <v>19071</v>
      </c>
      <c r="E14989" t="s">
        <v>31969</v>
      </c>
      <c r="F14989" t="s">
        <v>32831</v>
      </c>
      <c r="G14989" t="s">
        <v>32839</v>
      </c>
      <c r="H14989" t="s">
        <v>32848</v>
      </c>
      <c r="I14989" t="s">
        <v>32927</v>
      </c>
      <c r="J14989" t="s">
        <v>42130</v>
      </c>
      <c r="K14989" t="s">
        <v>42732</v>
      </c>
      <c r="M14989" t="s">
        <v>46503</v>
      </c>
      <c r="N14989" t="s">
        <v>47424</v>
      </c>
      <c r="O14989" t="s">
        <v>47425</v>
      </c>
      <c r="P14989">
        <v>0</v>
      </c>
      <c r="Q14989">
        <v>0</v>
      </c>
      <c r="R14989" t="s">
        <v>47448</v>
      </c>
      <c r="S14989" t="s">
        <v>48555</v>
      </c>
      <c r="T14989" t="s">
        <v>49415</v>
      </c>
      <c r="U14989" t="s">
        <v>61845</v>
      </c>
      <c r="W14989" t="s">
        <v>64540</v>
      </c>
      <c r="X14989" t="s">
        <v>47451</v>
      </c>
    </row>
    <row r="14990" spans="1:24">
      <c r="A14990">
        <f>HYPERLINK("https://www.philgeps.gov.ph/GEPSNONPILOT/Tender/SplashBidNoticeAbstractUI.aspx?menuIndex=3&amp;refID=7122863&amp;Result=3","7122863")</f>
        <v>0</v>
      </c>
      <c r="B14990" t="s">
        <v>3865</v>
      </c>
      <c r="C14990" t="s">
        <v>18100</v>
      </c>
      <c r="D14990" t="s">
        <v>19048</v>
      </c>
      <c r="E14990" t="s">
        <v>31970</v>
      </c>
      <c r="F14990" t="s">
        <v>32831</v>
      </c>
      <c r="G14990" t="s">
        <v>32839</v>
      </c>
      <c r="H14990" t="s">
        <v>32849</v>
      </c>
      <c r="I14990" t="s">
        <v>4177</v>
      </c>
      <c r="J14990" t="s">
        <v>42131</v>
      </c>
      <c r="K14990" t="s">
        <v>42728</v>
      </c>
      <c r="M14990" t="s">
        <v>47306</v>
      </c>
      <c r="N14990" t="s">
        <v>47424</v>
      </c>
      <c r="O14990" t="s">
        <v>47425</v>
      </c>
      <c r="Q14990">
        <v>3</v>
      </c>
      <c r="R14990" t="s">
        <v>47447</v>
      </c>
      <c r="S14990" t="s">
        <v>48557</v>
      </c>
      <c r="T14990" t="s">
        <v>49162</v>
      </c>
      <c r="U14990" t="s">
        <v>61846</v>
      </c>
      <c r="W14990" t="s">
        <v>47306</v>
      </c>
      <c r="X14990" t="s">
        <v>47448</v>
      </c>
    </row>
    <row r="14991" spans="1:24">
      <c r="A14991">
        <f>HYPERLINK("https://www.philgeps.gov.ph/GEPSNONPILOT/Tender/SplashBidNoticeAbstractUI.aspx?menuIndex=3&amp;refID=7116407&amp;Result=3","7116407")</f>
        <v>0</v>
      </c>
      <c r="B14991" t="s">
        <v>717</v>
      </c>
      <c r="C14991" t="s">
        <v>18101</v>
      </c>
      <c r="D14991" t="s">
        <v>19018</v>
      </c>
      <c r="E14991" t="s">
        <v>31971</v>
      </c>
      <c r="F14991" t="s">
        <v>32831</v>
      </c>
      <c r="G14991" t="s">
        <v>32839</v>
      </c>
      <c r="H14991" t="s">
        <v>32848</v>
      </c>
      <c r="I14991" t="s">
        <v>32860</v>
      </c>
      <c r="J14991" t="s">
        <v>42132</v>
      </c>
      <c r="K14991" t="s">
        <v>42732</v>
      </c>
      <c r="M14991" t="s">
        <v>45536</v>
      </c>
      <c r="N14991" t="s">
        <v>47424</v>
      </c>
      <c r="O14991" t="s">
        <v>47425</v>
      </c>
      <c r="P14991">
        <v>0</v>
      </c>
      <c r="Q14991">
        <v>15</v>
      </c>
      <c r="R14991" t="s">
        <v>47448</v>
      </c>
      <c r="S14991" t="s">
        <v>48555</v>
      </c>
      <c r="T14991" t="s">
        <v>49239</v>
      </c>
      <c r="U14991" t="s">
        <v>61847</v>
      </c>
      <c r="W14991" t="s">
        <v>45536</v>
      </c>
      <c r="X14991" t="s">
        <v>47451</v>
      </c>
    </row>
    <row r="14992" spans="1:24">
      <c r="A14992">
        <f>HYPERLINK("https://www.philgeps.gov.ph/GEPSNONPILOT/Tender/SplashBidNoticeAbstractUI.aspx?menuIndex=3&amp;refID=7116719&amp;Result=3","7116719")</f>
        <v>0</v>
      </c>
      <c r="B14992" t="s">
        <v>1439</v>
      </c>
      <c r="C14992" t="s">
        <v>18102</v>
      </c>
      <c r="D14992" t="s">
        <v>19037</v>
      </c>
      <c r="E14992" t="s">
        <v>31972</v>
      </c>
      <c r="F14992" t="s">
        <v>32831</v>
      </c>
      <c r="G14992" t="s">
        <v>32839</v>
      </c>
      <c r="H14992" t="s">
        <v>32848</v>
      </c>
      <c r="I14992" t="s">
        <v>32890</v>
      </c>
      <c r="J14992" t="s">
        <v>36005</v>
      </c>
      <c r="K14992" t="s">
        <v>42763</v>
      </c>
      <c r="M14992" t="s">
        <v>46078</v>
      </c>
      <c r="N14992" t="s">
        <v>47424</v>
      </c>
      <c r="O14992" t="s">
        <v>47425</v>
      </c>
      <c r="P14992">
        <v>0</v>
      </c>
      <c r="Q14992">
        <v>2</v>
      </c>
      <c r="R14992" t="s">
        <v>47448</v>
      </c>
      <c r="S14992" t="s">
        <v>48555</v>
      </c>
      <c r="T14992" t="s">
        <v>49212</v>
      </c>
      <c r="U14992" t="s">
        <v>61848</v>
      </c>
      <c r="W14992" t="s">
        <v>46078</v>
      </c>
      <c r="X14992" t="s">
        <v>47451</v>
      </c>
    </row>
    <row r="14993" spans="1:24">
      <c r="A14993">
        <f>HYPERLINK("https://www.philgeps.gov.ph/GEPSNONPILOT/Tender/SplashBidNoticeAbstractUI.aspx?menuIndex=3&amp;refID=7122839&amp;Result=3","7122839")</f>
        <v>0</v>
      </c>
      <c r="B14993" t="s">
        <v>832</v>
      </c>
      <c r="C14993" t="s">
        <v>18103</v>
      </c>
      <c r="D14993" t="s">
        <v>19101</v>
      </c>
      <c r="E14993" t="s">
        <v>31973</v>
      </c>
      <c r="F14993" t="s">
        <v>32831</v>
      </c>
      <c r="G14993" t="s">
        <v>32839</v>
      </c>
      <c r="H14993" t="s">
        <v>32848</v>
      </c>
      <c r="I14993" t="s">
        <v>32925</v>
      </c>
      <c r="J14993" t="s">
        <v>42133</v>
      </c>
      <c r="K14993" t="s">
        <v>42763</v>
      </c>
      <c r="M14993" t="s">
        <v>44445</v>
      </c>
      <c r="N14993" t="s">
        <v>47424</v>
      </c>
      <c r="O14993" t="s">
        <v>47425</v>
      </c>
      <c r="Q14993">
        <v>8</v>
      </c>
      <c r="R14993" t="s">
        <v>47447</v>
      </c>
      <c r="S14993" t="s">
        <v>48558</v>
      </c>
      <c r="T14993" t="s">
        <v>49328</v>
      </c>
      <c r="U14993" t="s">
        <v>61840</v>
      </c>
      <c r="V14993" t="s">
        <v>63231</v>
      </c>
      <c r="W14993" t="s">
        <v>44445</v>
      </c>
      <c r="X14993" t="s">
        <v>47448</v>
      </c>
    </row>
    <row r="14994" spans="1:24">
      <c r="A14994">
        <f>HYPERLINK("https://www.philgeps.gov.ph/GEPSNONPILOT/Tender/SplashBidNoticeAbstractUI.aspx?menuIndex=3&amp;refID=7110706&amp;Result=3","7110706")</f>
        <v>0</v>
      </c>
      <c r="B14994" t="s">
        <v>2170</v>
      </c>
      <c r="C14994" t="s">
        <v>18104</v>
      </c>
      <c r="D14994" t="s">
        <v>19066</v>
      </c>
      <c r="E14994" t="s">
        <v>31974</v>
      </c>
      <c r="F14994" t="s">
        <v>32831</v>
      </c>
      <c r="G14994" t="s">
        <v>32839</v>
      </c>
      <c r="H14994" t="s">
        <v>32848</v>
      </c>
      <c r="I14994" t="s">
        <v>7416</v>
      </c>
      <c r="J14994" t="s">
        <v>42134</v>
      </c>
      <c r="K14994" t="s">
        <v>42726</v>
      </c>
      <c r="M14994" t="s">
        <v>45348</v>
      </c>
      <c r="N14994" t="s">
        <v>47424</v>
      </c>
      <c r="O14994" t="s">
        <v>47425</v>
      </c>
      <c r="P14994">
        <v>0</v>
      </c>
      <c r="Q14994">
        <v>2</v>
      </c>
      <c r="R14994" t="s">
        <v>47448</v>
      </c>
      <c r="S14994" t="s">
        <v>48555</v>
      </c>
      <c r="T14994" t="s">
        <v>49111</v>
      </c>
      <c r="U14994" t="s">
        <v>61849</v>
      </c>
      <c r="W14994" t="s">
        <v>45348</v>
      </c>
      <c r="X14994" t="s">
        <v>47453</v>
      </c>
    </row>
    <row r="14995" spans="1:24">
      <c r="A14995">
        <f>HYPERLINK("https://www.philgeps.gov.ph/GEPSNONPILOT/Tender/SplashBidNoticeAbstractUI.aspx?menuIndex=3&amp;refID=7115998&amp;Result=3","7115998")</f>
        <v>0</v>
      </c>
      <c r="B14995" t="s">
        <v>270</v>
      </c>
      <c r="C14995" t="s">
        <v>18105</v>
      </c>
      <c r="D14995" t="s">
        <v>19017</v>
      </c>
      <c r="E14995" t="s">
        <v>20779</v>
      </c>
      <c r="F14995" t="s">
        <v>32831</v>
      </c>
      <c r="G14995" t="s">
        <v>32839</v>
      </c>
      <c r="H14995" t="s">
        <v>14069</v>
      </c>
      <c r="I14995" t="s">
        <v>14069</v>
      </c>
      <c r="J14995" t="s">
        <v>38777</v>
      </c>
      <c r="K14995" t="s">
        <v>42732</v>
      </c>
      <c r="M14995" t="s">
        <v>43269</v>
      </c>
      <c r="N14995" t="s">
        <v>47424</v>
      </c>
      <c r="O14995" t="s">
        <v>47425</v>
      </c>
      <c r="Q14995">
        <v>16</v>
      </c>
      <c r="R14995" t="s">
        <v>47448</v>
      </c>
      <c r="S14995" t="s">
        <v>48559</v>
      </c>
      <c r="T14995" t="s">
        <v>49664</v>
      </c>
      <c r="U14995" t="s">
        <v>61850</v>
      </c>
      <c r="W14995" t="s">
        <v>43269</v>
      </c>
      <c r="X14995" t="s">
        <v>47452</v>
      </c>
    </row>
    <row r="14996" spans="1:24">
      <c r="A14996">
        <f>HYPERLINK("https://www.philgeps.gov.ph/GEPSNONPILOT/Tender/SplashBidNoticeAbstractUI.aspx?menuIndex=3&amp;refID=7116423&amp;Result=3","7116423")</f>
        <v>0</v>
      </c>
      <c r="B14996" t="s">
        <v>3693</v>
      </c>
      <c r="C14996" t="s">
        <v>18106</v>
      </c>
      <c r="D14996" t="s">
        <v>19027</v>
      </c>
      <c r="E14996" t="s">
        <v>31975</v>
      </c>
      <c r="F14996" t="s">
        <v>32831</v>
      </c>
      <c r="G14996" t="s">
        <v>32839</v>
      </c>
      <c r="H14996" t="s">
        <v>32849</v>
      </c>
      <c r="I14996" t="s">
        <v>4177</v>
      </c>
      <c r="J14996" t="s">
        <v>42135</v>
      </c>
      <c r="K14996" t="s">
        <v>42809</v>
      </c>
      <c r="M14996" t="s">
        <v>47078</v>
      </c>
      <c r="N14996" t="s">
        <v>47424</v>
      </c>
      <c r="O14996" t="s">
        <v>47425</v>
      </c>
      <c r="Q14996">
        <v>7</v>
      </c>
      <c r="R14996" t="s">
        <v>47448</v>
      </c>
      <c r="S14996" t="s">
        <v>48560</v>
      </c>
      <c r="T14996" t="s">
        <v>49111</v>
      </c>
      <c r="U14996" t="s">
        <v>60990</v>
      </c>
      <c r="W14996" t="s">
        <v>47078</v>
      </c>
      <c r="X14996" t="s">
        <v>47451</v>
      </c>
    </row>
    <row r="14997" spans="1:24">
      <c r="A14997">
        <f>HYPERLINK("https://www.philgeps.gov.ph/GEPSNONPILOT/Tender/SplashBidNoticeAbstractUI.aspx?menuIndex=3&amp;refID=7110765&amp;Result=3","7110765")</f>
        <v>0</v>
      </c>
      <c r="B14997" t="s">
        <v>2170</v>
      </c>
      <c r="C14997" t="s">
        <v>18107</v>
      </c>
      <c r="D14997" t="s">
        <v>19066</v>
      </c>
      <c r="E14997" t="s">
        <v>31976</v>
      </c>
      <c r="F14997" t="s">
        <v>32831</v>
      </c>
      <c r="G14997" t="s">
        <v>32839</v>
      </c>
      <c r="H14997" t="s">
        <v>32848</v>
      </c>
      <c r="I14997" t="s">
        <v>32886</v>
      </c>
      <c r="J14997" t="s">
        <v>42136</v>
      </c>
      <c r="K14997" t="s">
        <v>42726</v>
      </c>
      <c r="M14997" t="s">
        <v>45348</v>
      </c>
      <c r="N14997" t="s">
        <v>47424</v>
      </c>
      <c r="O14997" t="s">
        <v>47425</v>
      </c>
      <c r="Q14997">
        <v>4</v>
      </c>
      <c r="R14997" t="s">
        <v>47448</v>
      </c>
      <c r="S14997" t="s">
        <v>48561</v>
      </c>
      <c r="T14997" t="s">
        <v>49111</v>
      </c>
      <c r="U14997" t="s">
        <v>61849</v>
      </c>
      <c r="W14997" t="s">
        <v>45348</v>
      </c>
      <c r="X14997" t="s">
        <v>47453</v>
      </c>
    </row>
    <row r="14998" spans="1:24">
      <c r="A14998">
        <f>HYPERLINK("https://www.philgeps.gov.ph/GEPSNONPILOT/Tender/SplashBidNoticeAbstractUI.aspx?menuIndex=3&amp;refID=6571698&amp;Result=3","6571698")</f>
        <v>0</v>
      </c>
      <c r="B14998" t="s">
        <v>3867</v>
      </c>
      <c r="C14998" t="s">
        <v>18108</v>
      </c>
      <c r="D14998" t="s">
        <v>19037</v>
      </c>
      <c r="E14998" t="s">
        <v>31977</v>
      </c>
      <c r="F14998" t="s">
        <v>32831</v>
      </c>
      <c r="G14998" t="s">
        <v>32839</v>
      </c>
      <c r="H14998" t="s">
        <v>32849</v>
      </c>
      <c r="I14998" t="s">
        <v>4177</v>
      </c>
      <c r="J14998" t="s">
        <v>33044</v>
      </c>
      <c r="K14998" t="s">
        <v>42727</v>
      </c>
      <c r="L14998" t="s">
        <v>3867</v>
      </c>
      <c r="M14998" t="s">
        <v>47311</v>
      </c>
      <c r="N14998" t="s">
        <v>47424</v>
      </c>
      <c r="O14998" t="s">
        <v>47425</v>
      </c>
      <c r="P14998">
        <v>0</v>
      </c>
      <c r="Q14998">
        <v>2</v>
      </c>
      <c r="R14998" t="s">
        <v>47448</v>
      </c>
      <c r="S14998" t="s">
        <v>48555</v>
      </c>
      <c r="T14998" t="s">
        <v>49278</v>
      </c>
      <c r="U14998" t="s">
        <v>61851</v>
      </c>
      <c r="W14998" t="s">
        <v>47311</v>
      </c>
      <c r="X14998" t="s">
        <v>64577</v>
      </c>
    </row>
    <row r="14999" spans="1:24">
      <c r="A14999">
        <f>HYPERLINK("https://www.philgeps.gov.ph/GEPSNONPILOT/Tender/SplashBidNoticeAbstractUI.aspx?menuIndex=3&amp;refID=7110672&amp;Result=3","7110672")</f>
        <v>0</v>
      </c>
      <c r="B14999" t="s">
        <v>2170</v>
      </c>
      <c r="C14999" t="s">
        <v>8556</v>
      </c>
      <c r="D14999" t="s">
        <v>19066</v>
      </c>
      <c r="E14999" t="s">
        <v>31978</v>
      </c>
      <c r="F14999" t="s">
        <v>32831</v>
      </c>
      <c r="G14999" t="s">
        <v>32839</v>
      </c>
      <c r="H14999" t="s">
        <v>32848</v>
      </c>
      <c r="I14999" t="s">
        <v>4558</v>
      </c>
      <c r="J14999" t="s">
        <v>42137</v>
      </c>
      <c r="K14999" t="s">
        <v>42726</v>
      </c>
      <c r="M14999" t="s">
        <v>45348</v>
      </c>
      <c r="N14999" t="s">
        <v>47424</v>
      </c>
      <c r="O14999" t="s">
        <v>47425</v>
      </c>
      <c r="P14999">
        <v>0</v>
      </c>
      <c r="Q14999">
        <v>6</v>
      </c>
      <c r="R14999" t="s">
        <v>47448</v>
      </c>
      <c r="S14999" t="s">
        <v>48555</v>
      </c>
      <c r="T14999" t="s">
        <v>49111</v>
      </c>
      <c r="U14999" t="s">
        <v>61849</v>
      </c>
      <c r="W14999" t="s">
        <v>45348</v>
      </c>
      <c r="X14999" t="s">
        <v>47453</v>
      </c>
    </row>
    <row r="15000" spans="1:24">
      <c r="A15000">
        <f>HYPERLINK("https://www.philgeps.gov.ph/GEPSNONPILOT/Tender/SplashBidNoticeAbstractUI.aspx?menuIndex=3&amp;refID=7110729&amp;Result=3","7110729")</f>
        <v>0</v>
      </c>
      <c r="B15000" t="s">
        <v>2170</v>
      </c>
      <c r="C15000" t="s">
        <v>18109</v>
      </c>
      <c r="D15000" t="s">
        <v>19066</v>
      </c>
      <c r="E15000" t="s">
        <v>31979</v>
      </c>
      <c r="F15000" t="s">
        <v>32831</v>
      </c>
      <c r="G15000" t="s">
        <v>32839</v>
      </c>
      <c r="H15000" t="s">
        <v>32848</v>
      </c>
      <c r="I15000" t="s">
        <v>4222</v>
      </c>
      <c r="J15000" t="s">
        <v>36338</v>
      </c>
      <c r="K15000" t="s">
        <v>42726</v>
      </c>
      <c r="M15000" t="s">
        <v>45348</v>
      </c>
      <c r="N15000" t="s">
        <v>47424</v>
      </c>
      <c r="O15000" t="s">
        <v>47425</v>
      </c>
      <c r="P15000">
        <v>0</v>
      </c>
      <c r="Q15000">
        <v>3</v>
      </c>
      <c r="R15000" t="s">
        <v>47448</v>
      </c>
      <c r="S15000" t="s">
        <v>48555</v>
      </c>
      <c r="T15000" t="s">
        <v>49111</v>
      </c>
      <c r="U15000" t="s">
        <v>61849</v>
      </c>
      <c r="W15000" t="s">
        <v>45348</v>
      </c>
      <c r="X15000" t="s">
        <v>47453</v>
      </c>
    </row>
    <row r="15001" spans="1:24">
      <c r="A15001">
        <f>HYPERLINK("https://www.philgeps.gov.ph/GEPSNONPILOT/Tender/SplashBidNoticeAbstractUI.aspx?menuIndex=3&amp;refID=7122800&amp;Result=3","7122800")</f>
        <v>0</v>
      </c>
      <c r="B15001" t="s">
        <v>1821</v>
      </c>
      <c r="C15001" t="s">
        <v>18110</v>
      </c>
      <c r="D15001" t="s">
        <v>19037</v>
      </c>
      <c r="E15001" t="s">
        <v>26151</v>
      </c>
      <c r="F15001" t="s">
        <v>32831</v>
      </c>
      <c r="G15001" t="s">
        <v>32839</v>
      </c>
      <c r="H15001" t="s">
        <v>32848</v>
      </c>
      <c r="I15001" t="s">
        <v>4487</v>
      </c>
      <c r="J15001" t="s">
        <v>36730</v>
      </c>
      <c r="K15001" t="s">
        <v>42775</v>
      </c>
      <c r="M15001" t="s">
        <v>44954</v>
      </c>
      <c r="N15001" t="s">
        <v>47424</v>
      </c>
      <c r="O15001" t="s">
        <v>47425</v>
      </c>
      <c r="Q15001">
        <v>6</v>
      </c>
      <c r="R15001" t="s">
        <v>47447</v>
      </c>
      <c r="S15001" t="s">
        <v>47666</v>
      </c>
      <c r="T15001" t="s">
        <v>49212</v>
      </c>
      <c r="U15001" t="s">
        <v>61852</v>
      </c>
      <c r="W15001" t="s">
        <v>44954</v>
      </c>
      <c r="X15001" t="s">
        <v>47448</v>
      </c>
    </row>
    <row r="15002" spans="1:24">
      <c r="A15002">
        <f>HYPERLINK("https://www.philgeps.gov.ph/GEPSNONPILOT/Tender/SplashBidNoticeAbstractUI.aspx?menuIndex=3&amp;refID=6989512-2&amp;Result=3","6989512-2")</f>
        <v>0</v>
      </c>
      <c r="B15002" t="s">
        <v>1248</v>
      </c>
      <c r="C15002" t="s">
        <v>18111</v>
      </c>
      <c r="E15002" t="s">
        <v>31980</v>
      </c>
      <c r="F15002" t="s">
        <v>32831</v>
      </c>
      <c r="G15002" t="s">
        <v>32839</v>
      </c>
      <c r="H15002" t="s">
        <v>14069</v>
      </c>
      <c r="I15002" t="s">
        <v>14069</v>
      </c>
      <c r="J15002" t="s">
        <v>42138</v>
      </c>
      <c r="K15002" t="s">
        <v>42732</v>
      </c>
      <c r="M15002" t="s">
        <v>47087</v>
      </c>
      <c r="N15002" t="s">
        <v>47424</v>
      </c>
      <c r="O15002" t="s">
        <v>47425</v>
      </c>
      <c r="Q15002">
        <v>3</v>
      </c>
      <c r="R15002" t="s">
        <v>47448</v>
      </c>
      <c r="S15002" t="s">
        <v>48562</v>
      </c>
      <c r="T15002" t="s">
        <v>49108</v>
      </c>
      <c r="U15002" t="s">
        <v>61853</v>
      </c>
      <c r="W15002" t="s">
        <v>47087</v>
      </c>
      <c r="X15002" t="s">
        <v>47450</v>
      </c>
    </row>
    <row r="15003" spans="1:24">
      <c r="A15003">
        <f>HYPERLINK("https://www.philgeps.gov.ph/GEPSNONPILOT/Tender/SplashBidNoticeAbstractUI.aspx?menuIndex=3&amp;refID=7110992&amp;Result=3","7110992")</f>
        <v>0</v>
      </c>
      <c r="B15003" t="s">
        <v>1600</v>
      </c>
      <c r="C15003" t="s">
        <v>18112</v>
      </c>
      <c r="D15003" t="s">
        <v>19077</v>
      </c>
      <c r="E15003" t="s">
        <v>31981</v>
      </c>
      <c r="F15003" t="s">
        <v>32831</v>
      </c>
      <c r="G15003" t="s">
        <v>32839</v>
      </c>
      <c r="H15003" t="s">
        <v>32848</v>
      </c>
      <c r="I15003" t="s">
        <v>4558</v>
      </c>
      <c r="J15003" t="s">
        <v>42139</v>
      </c>
      <c r="K15003" t="s">
        <v>42730</v>
      </c>
      <c r="M15003" t="s">
        <v>44715</v>
      </c>
      <c r="N15003" t="s">
        <v>47424</v>
      </c>
      <c r="O15003" t="s">
        <v>47425</v>
      </c>
      <c r="P15003">
        <v>0</v>
      </c>
      <c r="Q15003">
        <v>0</v>
      </c>
      <c r="R15003" t="s">
        <v>47448</v>
      </c>
      <c r="S15003" t="s">
        <v>48555</v>
      </c>
      <c r="T15003" t="s">
        <v>49237</v>
      </c>
      <c r="U15003" t="s">
        <v>61854</v>
      </c>
      <c r="V15003" t="s">
        <v>63052</v>
      </c>
      <c r="W15003" t="s">
        <v>44715</v>
      </c>
      <c r="X15003" t="s">
        <v>47453</v>
      </c>
    </row>
    <row r="15004" spans="1:24">
      <c r="A15004">
        <f>HYPERLINK("https://www.philgeps.gov.ph/GEPSNONPILOT/Tender/SplashBidNoticeAbstractUI.aspx?menuIndex=3&amp;refID=7122937&amp;Result=3","7122937")</f>
        <v>0</v>
      </c>
      <c r="B15004" t="s">
        <v>3865</v>
      </c>
      <c r="C15004" t="s">
        <v>18113</v>
      </c>
      <c r="D15004" t="s">
        <v>19048</v>
      </c>
      <c r="E15004" t="s">
        <v>29697</v>
      </c>
      <c r="F15004" t="s">
        <v>32831</v>
      </c>
      <c r="G15004" t="s">
        <v>32839</v>
      </c>
      <c r="H15004" t="s">
        <v>32849</v>
      </c>
      <c r="I15004" t="s">
        <v>4177</v>
      </c>
      <c r="J15004" t="s">
        <v>42140</v>
      </c>
      <c r="K15004" t="s">
        <v>42761</v>
      </c>
      <c r="M15004" t="s">
        <v>47306</v>
      </c>
      <c r="N15004" t="s">
        <v>47424</v>
      </c>
      <c r="O15004" t="s">
        <v>47425</v>
      </c>
      <c r="Q15004">
        <v>5</v>
      </c>
      <c r="R15004" t="s">
        <v>47447</v>
      </c>
      <c r="S15004" t="s">
        <v>48563</v>
      </c>
      <c r="T15004" t="s">
        <v>49162</v>
      </c>
      <c r="U15004" t="s">
        <v>61855</v>
      </c>
      <c r="W15004" t="s">
        <v>47306</v>
      </c>
      <c r="X15004" t="s">
        <v>47448</v>
      </c>
    </row>
    <row r="15005" spans="1:24">
      <c r="A15005">
        <f>HYPERLINK("https://www.philgeps.gov.ph/GEPSNONPILOT/Tender/SplashBidNoticeAbstractUI.aspx?menuIndex=3&amp;refID=7122977&amp;Result=3","7122977")</f>
        <v>0</v>
      </c>
      <c r="B15005" t="s">
        <v>832</v>
      </c>
      <c r="C15005" t="s">
        <v>18114</v>
      </c>
      <c r="D15005" t="s">
        <v>19101</v>
      </c>
      <c r="E15005" t="s">
        <v>31982</v>
      </c>
      <c r="F15005" t="s">
        <v>32831</v>
      </c>
      <c r="G15005" t="s">
        <v>32839</v>
      </c>
      <c r="H15005" t="s">
        <v>32848</v>
      </c>
      <c r="I15005" t="s">
        <v>32925</v>
      </c>
      <c r="J15005" t="s">
        <v>42141</v>
      </c>
      <c r="K15005" t="s">
        <v>42729</v>
      </c>
      <c r="M15005" t="s">
        <v>44445</v>
      </c>
      <c r="N15005" t="s">
        <v>47424</v>
      </c>
      <c r="O15005" t="s">
        <v>47425</v>
      </c>
      <c r="Q15005">
        <v>5</v>
      </c>
      <c r="R15005" t="s">
        <v>47447</v>
      </c>
      <c r="S15005" t="s">
        <v>48564</v>
      </c>
      <c r="T15005" t="s">
        <v>49328</v>
      </c>
      <c r="U15005" t="s">
        <v>61856</v>
      </c>
      <c r="V15005" t="s">
        <v>63231</v>
      </c>
      <c r="W15005" t="s">
        <v>44445</v>
      </c>
      <c r="X15005" t="s">
        <v>47448</v>
      </c>
    </row>
    <row r="15006" spans="1:24">
      <c r="A15006">
        <f>HYPERLINK("https://www.philgeps.gov.ph/GEPSNONPILOT/Tender/SplashBidNoticeAbstractUI.aspx?menuIndex=3&amp;refID=7117263&amp;Result=3","7117263")</f>
        <v>0</v>
      </c>
      <c r="B15006" t="s">
        <v>113</v>
      </c>
      <c r="C15006" t="s">
        <v>18115</v>
      </c>
      <c r="D15006" t="s">
        <v>19027</v>
      </c>
      <c r="E15006" t="s">
        <v>31983</v>
      </c>
      <c r="F15006" t="s">
        <v>32831</v>
      </c>
      <c r="G15006" t="s">
        <v>32839</v>
      </c>
      <c r="H15006" t="s">
        <v>32850</v>
      </c>
      <c r="I15006" t="s">
        <v>32863</v>
      </c>
      <c r="J15006" t="s">
        <v>40632</v>
      </c>
      <c r="K15006" t="s">
        <v>42775</v>
      </c>
      <c r="M15006" t="s">
        <v>47312</v>
      </c>
      <c r="N15006" t="s">
        <v>47424</v>
      </c>
      <c r="O15006" t="s">
        <v>47425</v>
      </c>
      <c r="Q15006">
        <v>0</v>
      </c>
      <c r="R15006" t="s">
        <v>47448</v>
      </c>
      <c r="S15006" t="s">
        <v>48328</v>
      </c>
      <c r="T15006" t="s">
        <v>49665</v>
      </c>
      <c r="U15006" t="s">
        <v>61857</v>
      </c>
      <c r="V15006" t="s">
        <v>64325</v>
      </c>
      <c r="W15006" t="s">
        <v>47312</v>
      </c>
      <c r="X15006" t="s">
        <v>47451</v>
      </c>
    </row>
    <row r="15007" spans="1:24">
      <c r="A15007">
        <f>HYPERLINK("https://www.philgeps.gov.ph/GEPSNONPILOT/Tender/SplashBidNoticeAbstractUI.aspx?menuIndex=3&amp;refID=7117168&amp;Result=3","7117168")</f>
        <v>0</v>
      </c>
      <c r="B15007" t="s">
        <v>147</v>
      </c>
      <c r="C15007" t="s">
        <v>18116</v>
      </c>
      <c r="D15007" t="s">
        <v>19067</v>
      </c>
      <c r="E15007" t="s">
        <v>31984</v>
      </c>
      <c r="F15007" t="s">
        <v>32831</v>
      </c>
      <c r="G15007" t="s">
        <v>32839</v>
      </c>
      <c r="H15007" t="s">
        <v>32848</v>
      </c>
      <c r="I15007" t="s">
        <v>32855</v>
      </c>
      <c r="J15007" t="s">
        <v>37611</v>
      </c>
      <c r="K15007" t="s">
        <v>42730</v>
      </c>
      <c r="M15007" t="s">
        <v>43144</v>
      </c>
      <c r="N15007" t="s">
        <v>47424</v>
      </c>
      <c r="O15007" t="s">
        <v>47425</v>
      </c>
      <c r="Q15007">
        <v>1</v>
      </c>
      <c r="R15007" t="s">
        <v>47448</v>
      </c>
      <c r="S15007" t="s">
        <v>48565</v>
      </c>
      <c r="T15007" t="s">
        <v>49237</v>
      </c>
      <c r="U15007" t="s">
        <v>61858</v>
      </c>
      <c r="W15007" t="s">
        <v>43144</v>
      </c>
      <c r="X15007" t="s">
        <v>47451</v>
      </c>
    </row>
    <row r="15008" spans="1:24">
      <c r="A15008">
        <f>HYPERLINK("https://www.philgeps.gov.ph/GEPSNONPILOT/Tender/SplashBidNoticeAbstractUI.aspx?menuIndex=3&amp;refID=7123075&amp;Result=3","7123075")</f>
        <v>0</v>
      </c>
      <c r="B15008" t="s">
        <v>960</v>
      </c>
      <c r="C15008" t="s">
        <v>18117</v>
      </c>
      <c r="D15008" t="s">
        <v>19017</v>
      </c>
      <c r="E15008" t="s">
        <v>31985</v>
      </c>
      <c r="F15008" t="s">
        <v>32831</v>
      </c>
      <c r="G15008" t="s">
        <v>32839</v>
      </c>
      <c r="H15008" t="s">
        <v>32848</v>
      </c>
      <c r="I15008" t="s">
        <v>7751</v>
      </c>
      <c r="J15008" t="s">
        <v>42142</v>
      </c>
      <c r="K15008" t="s">
        <v>42747</v>
      </c>
      <c r="M15008" t="s">
        <v>46181</v>
      </c>
      <c r="N15008" t="s">
        <v>47424</v>
      </c>
      <c r="O15008" t="s">
        <v>47425</v>
      </c>
      <c r="Q15008">
        <v>4</v>
      </c>
      <c r="R15008" t="s">
        <v>47447</v>
      </c>
      <c r="S15008" t="s">
        <v>47669</v>
      </c>
      <c r="T15008" t="s">
        <v>49070</v>
      </c>
      <c r="U15008" t="s">
        <v>57127</v>
      </c>
      <c r="W15008" t="s">
        <v>46181</v>
      </c>
      <c r="X15008" t="s">
        <v>47448</v>
      </c>
    </row>
    <row r="15009" spans="1:24">
      <c r="A15009">
        <f>HYPERLINK("https://www.philgeps.gov.ph/GEPSNONPILOT/Tender/SplashBidNoticeAbstractUI.aspx?menuIndex=3&amp;refID=7116692&amp;Result=3","7116692")</f>
        <v>0</v>
      </c>
      <c r="B15009" t="s">
        <v>1439</v>
      </c>
      <c r="C15009" t="s">
        <v>18118</v>
      </c>
      <c r="D15009" t="s">
        <v>19037</v>
      </c>
      <c r="E15009" t="s">
        <v>31986</v>
      </c>
      <c r="F15009" t="s">
        <v>32831</v>
      </c>
      <c r="G15009" t="s">
        <v>32839</v>
      </c>
      <c r="H15009" t="s">
        <v>32848</v>
      </c>
      <c r="I15009" t="s">
        <v>32890</v>
      </c>
      <c r="J15009" t="s">
        <v>42143</v>
      </c>
      <c r="K15009" t="s">
        <v>42763</v>
      </c>
      <c r="M15009" t="s">
        <v>46078</v>
      </c>
      <c r="N15009" t="s">
        <v>47424</v>
      </c>
      <c r="O15009" t="s">
        <v>47425</v>
      </c>
      <c r="Q15009">
        <v>3</v>
      </c>
      <c r="R15009" t="s">
        <v>47448</v>
      </c>
      <c r="S15009" t="s">
        <v>48566</v>
      </c>
      <c r="T15009" t="s">
        <v>49212</v>
      </c>
      <c r="U15009" t="s">
        <v>61859</v>
      </c>
      <c r="W15009" t="s">
        <v>46078</v>
      </c>
      <c r="X15009" t="s">
        <v>47451</v>
      </c>
    </row>
    <row r="15010" spans="1:24">
      <c r="A15010">
        <f>HYPERLINK("https://www.philgeps.gov.ph/GEPSNONPILOT/Tender/SplashBidNoticeAbstractUI.aspx?menuIndex=3&amp;refID=7116907&amp;Result=3","7116907")</f>
        <v>0</v>
      </c>
      <c r="B15010" t="s">
        <v>1439</v>
      </c>
      <c r="C15010" t="s">
        <v>18119</v>
      </c>
      <c r="D15010" t="s">
        <v>19106</v>
      </c>
      <c r="E15010" t="s">
        <v>31987</v>
      </c>
      <c r="F15010" t="s">
        <v>32831</v>
      </c>
      <c r="G15010" t="s">
        <v>32839</v>
      </c>
      <c r="H15010" t="s">
        <v>32848</v>
      </c>
      <c r="I15010" t="s">
        <v>32890</v>
      </c>
      <c r="J15010" t="s">
        <v>37247</v>
      </c>
      <c r="K15010" t="s">
        <v>42763</v>
      </c>
      <c r="M15010" t="s">
        <v>46078</v>
      </c>
      <c r="N15010" t="s">
        <v>47424</v>
      </c>
      <c r="O15010" t="s">
        <v>47425</v>
      </c>
      <c r="P15010">
        <v>0</v>
      </c>
      <c r="Q15010">
        <v>3</v>
      </c>
      <c r="R15010" t="s">
        <v>47448</v>
      </c>
      <c r="S15010" t="s">
        <v>48555</v>
      </c>
      <c r="T15010" t="s">
        <v>49212</v>
      </c>
      <c r="U15010" t="s">
        <v>61860</v>
      </c>
      <c r="W15010" t="s">
        <v>46078</v>
      </c>
      <c r="X15010" t="s">
        <v>47451</v>
      </c>
    </row>
    <row r="15011" spans="1:24">
      <c r="A15011">
        <f>HYPERLINK("https://www.philgeps.gov.ph/GEPSNONPILOT/Tender/SplashBidNoticeAbstractUI.aspx?menuIndex=3&amp;refID=7117396&amp;Result=3","7117396")</f>
        <v>0</v>
      </c>
      <c r="B15011" t="s">
        <v>169</v>
      </c>
      <c r="C15011" t="s">
        <v>18120</v>
      </c>
      <c r="D15011" t="s">
        <v>19022</v>
      </c>
      <c r="E15011" t="s">
        <v>31988</v>
      </c>
      <c r="F15011" t="s">
        <v>32831</v>
      </c>
      <c r="G15011" t="s">
        <v>32839</v>
      </c>
      <c r="H15011" t="s">
        <v>32848</v>
      </c>
      <c r="I15011" t="s">
        <v>7751</v>
      </c>
      <c r="J15011" t="s">
        <v>34828</v>
      </c>
      <c r="K15011" t="s">
        <v>42730</v>
      </c>
      <c r="M15011" t="s">
        <v>43166</v>
      </c>
      <c r="N15011" t="s">
        <v>47424</v>
      </c>
      <c r="O15011" t="s">
        <v>47425</v>
      </c>
      <c r="P15011">
        <v>0</v>
      </c>
      <c r="Q15011">
        <v>9</v>
      </c>
      <c r="R15011" t="s">
        <v>47448</v>
      </c>
      <c r="S15011" t="s">
        <v>48555</v>
      </c>
      <c r="T15011" t="s">
        <v>49538</v>
      </c>
      <c r="U15011" t="s">
        <v>61861</v>
      </c>
      <c r="W15011" t="s">
        <v>43166</v>
      </c>
      <c r="X15011" t="s">
        <v>47451</v>
      </c>
    </row>
    <row r="15012" spans="1:24">
      <c r="A15012">
        <f>HYPERLINK("https://www.philgeps.gov.ph/GEPSNONPILOT/Tender/SplashBidNoticeAbstractUI.aspx?menuIndex=3&amp;refID=7116998&amp;Result=3","7116998")</f>
        <v>0</v>
      </c>
      <c r="B15012" t="s">
        <v>147</v>
      </c>
      <c r="C15012" t="s">
        <v>18121</v>
      </c>
      <c r="D15012" t="s">
        <v>19067</v>
      </c>
      <c r="E15012" t="s">
        <v>31989</v>
      </c>
      <c r="F15012" t="s">
        <v>32831</v>
      </c>
      <c r="G15012" t="s">
        <v>32839</v>
      </c>
      <c r="H15012" t="s">
        <v>32848</v>
      </c>
      <c r="I15012" t="s">
        <v>32852</v>
      </c>
      <c r="J15012" t="s">
        <v>33046</v>
      </c>
      <c r="K15012" t="s">
        <v>42763</v>
      </c>
      <c r="M15012" t="s">
        <v>43144</v>
      </c>
      <c r="N15012" t="s">
        <v>47424</v>
      </c>
      <c r="O15012" t="s">
        <v>47425</v>
      </c>
      <c r="Q15012">
        <v>13</v>
      </c>
      <c r="R15012" t="s">
        <v>47448</v>
      </c>
      <c r="S15012" t="s">
        <v>48567</v>
      </c>
      <c r="T15012" t="s">
        <v>49237</v>
      </c>
      <c r="U15012" t="s">
        <v>61862</v>
      </c>
      <c r="W15012" t="s">
        <v>43144</v>
      </c>
      <c r="X15012" t="s">
        <v>47451</v>
      </c>
    </row>
    <row r="15013" spans="1:24">
      <c r="A15013">
        <f>HYPERLINK("https://www.philgeps.gov.ph/GEPSNONPILOT/Tender/SplashBidNoticeAbstractUI.aspx?menuIndex=3&amp;refID=7116854&amp;Result=3","7116854")</f>
        <v>0</v>
      </c>
      <c r="B15013" t="s">
        <v>762</v>
      </c>
      <c r="C15013" t="s">
        <v>18122</v>
      </c>
      <c r="E15013" t="s">
        <v>31990</v>
      </c>
      <c r="F15013" t="s">
        <v>32831</v>
      </c>
      <c r="G15013" t="s">
        <v>32839</v>
      </c>
      <c r="H15013" t="s">
        <v>32848</v>
      </c>
      <c r="I15013" t="s">
        <v>32874</v>
      </c>
      <c r="J15013" t="s">
        <v>42144</v>
      </c>
      <c r="K15013" t="s">
        <v>42732</v>
      </c>
      <c r="M15013" t="s">
        <v>43788</v>
      </c>
      <c r="N15013" t="s">
        <v>47424</v>
      </c>
      <c r="O15013" t="s">
        <v>47425</v>
      </c>
      <c r="Q15013">
        <v>33</v>
      </c>
      <c r="R15013" t="s">
        <v>47448</v>
      </c>
      <c r="S15013" t="s">
        <v>48568</v>
      </c>
      <c r="T15013" t="s">
        <v>49172</v>
      </c>
      <c r="U15013" t="s">
        <v>61863</v>
      </c>
      <c r="W15013" t="s">
        <v>43788</v>
      </c>
      <c r="X15013" t="s">
        <v>47451</v>
      </c>
    </row>
    <row r="15014" spans="1:24">
      <c r="A15014">
        <f>HYPERLINK("https://www.philgeps.gov.ph/GEPSNONPILOT/Tender/SplashBidNoticeAbstractUI.aspx?menuIndex=3&amp;refID=7116835&amp;Result=3","7116835")</f>
        <v>0</v>
      </c>
      <c r="B15014" t="s">
        <v>147</v>
      </c>
      <c r="C15014" t="s">
        <v>18123</v>
      </c>
      <c r="D15014" t="s">
        <v>19067</v>
      </c>
      <c r="E15014" t="s">
        <v>31991</v>
      </c>
      <c r="F15014" t="s">
        <v>32831</v>
      </c>
      <c r="G15014" t="s">
        <v>32839</v>
      </c>
      <c r="H15014" t="s">
        <v>32848</v>
      </c>
      <c r="I15014" t="s">
        <v>32855</v>
      </c>
      <c r="J15014" t="s">
        <v>35751</v>
      </c>
      <c r="K15014" t="s">
        <v>42730</v>
      </c>
      <c r="M15014" t="s">
        <v>43144</v>
      </c>
      <c r="N15014" t="s">
        <v>47424</v>
      </c>
      <c r="O15014" t="s">
        <v>47425</v>
      </c>
      <c r="Q15014">
        <v>3</v>
      </c>
      <c r="R15014" t="s">
        <v>47448</v>
      </c>
      <c r="S15014" t="s">
        <v>48569</v>
      </c>
      <c r="T15014" t="s">
        <v>49237</v>
      </c>
      <c r="U15014" t="s">
        <v>61864</v>
      </c>
      <c r="W15014" t="s">
        <v>43144</v>
      </c>
      <c r="X15014" t="s">
        <v>47451</v>
      </c>
    </row>
    <row r="15015" spans="1:24">
      <c r="A15015">
        <f>HYPERLINK("https://www.philgeps.gov.ph/GEPSNONPILOT/Tender/SplashBidNoticeAbstractUI.aspx?menuIndex=3&amp;refID=7116832&amp;Result=3","7116832")</f>
        <v>0</v>
      </c>
      <c r="B15015" t="s">
        <v>1439</v>
      </c>
      <c r="C15015" t="s">
        <v>18124</v>
      </c>
      <c r="D15015" t="s">
        <v>19115</v>
      </c>
      <c r="E15015" t="s">
        <v>31992</v>
      </c>
      <c r="F15015" t="s">
        <v>32831</v>
      </c>
      <c r="G15015" t="s">
        <v>32839</v>
      </c>
      <c r="H15015" t="s">
        <v>32848</v>
      </c>
      <c r="I15015" t="s">
        <v>32859</v>
      </c>
      <c r="J15015" t="s">
        <v>42145</v>
      </c>
      <c r="K15015" t="s">
        <v>42730</v>
      </c>
      <c r="M15015" t="s">
        <v>46078</v>
      </c>
      <c r="N15015" t="s">
        <v>47424</v>
      </c>
      <c r="O15015" t="s">
        <v>47425</v>
      </c>
      <c r="Q15015">
        <v>4</v>
      </c>
      <c r="R15015" t="s">
        <v>47448</v>
      </c>
      <c r="S15015" t="s">
        <v>48570</v>
      </c>
      <c r="T15015" t="s">
        <v>49212</v>
      </c>
      <c r="U15015" t="s">
        <v>61865</v>
      </c>
      <c r="W15015" t="s">
        <v>46078</v>
      </c>
      <c r="X15015" t="s">
        <v>47451</v>
      </c>
    </row>
    <row r="15016" spans="1:24">
      <c r="A15016">
        <f>HYPERLINK("https://www.philgeps.gov.ph/GEPSNONPILOT/Tender/SplashBidNoticeAbstractUI.aspx?menuIndex=3&amp;refID=7116919&amp;Result=3","7116919")</f>
        <v>0</v>
      </c>
      <c r="B15016" t="s">
        <v>113</v>
      </c>
      <c r="C15016" t="s">
        <v>18125</v>
      </c>
      <c r="D15016" t="s">
        <v>19027</v>
      </c>
      <c r="E15016" t="s">
        <v>31993</v>
      </c>
      <c r="F15016" t="s">
        <v>32831</v>
      </c>
      <c r="G15016" t="s">
        <v>32839</v>
      </c>
      <c r="H15016" t="s">
        <v>32850</v>
      </c>
      <c r="I15016" t="s">
        <v>32863</v>
      </c>
      <c r="J15016" t="s">
        <v>42146</v>
      </c>
      <c r="K15016" t="s">
        <v>42786</v>
      </c>
      <c r="M15016" t="s">
        <v>47312</v>
      </c>
      <c r="N15016" t="s">
        <v>47424</v>
      </c>
      <c r="O15016" t="s">
        <v>47425</v>
      </c>
      <c r="Q15016">
        <v>7</v>
      </c>
      <c r="R15016" t="s">
        <v>47448</v>
      </c>
      <c r="S15016" t="s">
        <v>48571</v>
      </c>
      <c r="T15016" t="s">
        <v>49665</v>
      </c>
      <c r="U15016" t="s">
        <v>61866</v>
      </c>
      <c r="V15016" t="s">
        <v>64325</v>
      </c>
      <c r="W15016" t="s">
        <v>47312</v>
      </c>
      <c r="X15016" t="s">
        <v>47451</v>
      </c>
    </row>
    <row r="15017" spans="1:24">
      <c r="A15017">
        <f>HYPERLINK("https://www.philgeps.gov.ph/GEPSNONPILOT/Tender/SplashBidNoticeAbstractUI.aspx?menuIndex=3&amp;refID=7116833&amp;Result=3","7116833")</f>
        <v>0</v>
      </c>
      <c r="B15017" t="s">
        <v>1823</v>
      </c>
      <c r="C15017" t="s">
        <v>18126</v>
      </c>
      <c r="D15017" t="s">
        <v>19100</v>
      </c>
      <c r="E15017" t="s">
        <v>31994</v>
      </c>
      <c r="F15017" t="s">
        <v>32831</v>
      </c>
      <c r="G15017" t="s">
        <v>32839</v>
      </c>
      <c r="H15017" t="s">
        <v>32849</v>
      </c>
      <c r="I15017" t="s">
        <v>4177</v>
      </c>
      <c r="J15017" t="s">
        <v>34921</v>
      </c>
      <c r="K15017" t="s">
        <v>42751</v>
      </c>
      <c r="M15017" t="s">
        <v>45955</v>
      </c>
      <c r="N15017" t="s">
        <v>47424</v>
      </c>
      <c r="O15017" t="s">
        <v>47425</v>
      </c>
      <c r="P15017">
        <v>0</v>
      </c>
      <c r="Q15017">
        <v>5</v>
      </c>
      <c r="R15017" t="s">
        <v>47448</v>
      </c>
      <c r="S15017" t="s">
        <v>48555</v>
      </c>
      <c r="T15017" t="s">
        <v>49243</v>
      </c>
      <c r="U15017" t="s">
        <v>61867</v>
      </c>
      <c r="W15017" t="s">
        <v>45955</v>
      </c>
      <c r="X15017" t="s">
        <v>47451</v>
      </c>
    </row>
    <row r="15018" spans="1:24">
      <c r="A15018">
        <f>HYPERLINK("https://www.philgeps.gov.ph/GEPSNONPILOT/Tender/SplashBidNoticeAbstractUI.aspx?menuIndex=3&amp;refID=7116798&amp;Result=3","7116798")</f>
        <v>0</v>
      </c>
      <c r="B15018" t="s">
        <v>557</v>
      </c>
      <c r="C15018" t="s">
        <v>18127</v>
      </c>
      <c r="E15018" t="s">
        <v>31995</v>
      </c>
      <c r="F15018" t="s">
        <v>32831</v>
      </c>
      <c r="G15018" t="s">
        <v>32839</v>
      </c>
      <c r="H15018" t="s">
        <v>32849</v>
      </c>
      <c r="I15018" t="s">
        <v>4177</v>
      </c>
      <c r="J15018" t="s">
        <v>42147</v>
      </c>
      <c r="K15018" t="s">
        <v>42732</v>
      </c>
      <c r="M15018" t="s">
        <v>43565</v>
      </c>
      <c r="N15018" t="s">
        <v>47424</v>
      </c>
      <c r="O15018" t="s">
        <v>47425</v>
      </c>
      <c r="P15018">
        <v>0</v>
      </c>
      <c r="Q15018">
        <v>2</v>
      </c>
      <c r="R15018" t="s">
        <v>47448</v>
      </c>
      <c r="S15018" t="s">
        <v>48555</v>
      </c>
      <c r="T15018" t="s">
        <v>49237</v>
      </c>
      <c r="U15018" t="s">
        <v>61868</v>
      </c>
      <c r="V15018" t="s">
        <v>64326</v>
      </c>
      <c r="W15018" t="s">
        <v>43565</v>
      </c>
      <c r="X15018" t="s">
        <v>47451</v>
      </c>
    </row>
    <row r="15019" spans="1:24">
      <c r="A15019">
        <f>HYPERLINK("https://www.philgeps.gov.ph/GEPSNONPILOT/Tender/SplashBidNoticeAbstractUI.aspx?menuIndex=3&amp;refID=7116795&amp;Result=3","7116795")</f>
        <v>0</v>
      </c>
      <c r="B15019" t="s">
        <v>113</v>
      </c>
      <c r="C15019" t="s">
        <v>18128</v>
      </c>
      <c r="D15019" t="s">
        <v>19027</v>
      </c>
      <c r="E15019" t="s">
        <v>31996</v>
      </c>
      <c r="F15019" t="s">
        <v>32831</v>
      </c>
      <c r="G15019" t="s">
        <v>32839</v>
      </c>
      <c r="H15019" t="s">
        <v>32848</v>
      </c>
      <c r="I15019" t="s">
        <v>32874</v>
      </c>
      <c r="J15019" t="s">
        <v>42148</v>
      </c>
      <c r="K15019" t="s">
        <v>42731</v>
      </c>
      <c r="M15019" t="s">
        <v>47312</v>
      </c>
      <c r="N15019" t="s">
        <v>47424</v>
      </c>
      <c r="O15019" t="s">
        <v>47425</v>
      </c>
      <c r="Q15019">
        <v>9</v>
      </c>
      <c r="R15019" t="s">
        <v>47448</v>
      </c>
      <c r="S15019" t="s">
        <v>48572</v>
      </c>
      <c r="T15019" t="s">
        <v>49665</v>
      </c>
      <c r="U15019" t="s">
        <v>61869</v>
      </c>
      <c r="V15019" t="s">
        <v>64325</v>
      </c>
      <c r="W15019" t="s">
        <v>47312</v>
      </c>
      <c r="X15019" t="s">
        <v>47451</v>
      </c>
    </row>
    <row r="15020" spans="1:24">
      <c r="A15020">
        <f>HYPERLINK("https://www.philgeps.gov.ph/GEPSNONPILOT/Tender/SplashBidNoticeAbstractUI.aspx?menuIndex=3&amp;refID=7116745&amp;Result=3","7116745")</f>
        <v>0</v>
      </c>
      <c r="B15020" t="s">
        <v>557</v>
      </c>
      <c r="C15020" t="s">
        <v>18129</v>
      </c>
      <c r="E15020" t="s">
        <v>31997</v>
      </c>
      <c r="F15020" t="s">
        <v>32831</v>
      </c>
      <c r="G15020" t="s">
        <v>32839</v>
      </c>
      <c r="H15020" t="s">
        <v>32849</v>
      </c>
      <c r="I15020" t="s">
        <v>4177</v>
      </c>
      <c r="J15020" t="s">
        <v>42149</v>
      </c>
      <c r="K15020" t="s">
        <v>42732</v>
      </c>
      <c r="M15020" t="s">
        <v>43565</v>
      </c>
      <c r="N15020" t="s">
        <v>47424</v>
      </c>
      <c r="O15020" t="s">
        <v>47425</v>
      </c>
      <c r="P15020">
        <v>0</v>
      </c>
      <c r="Q15020">
        <v>4</v>
      </c>
      <c r="R15020" t="s">
        <v>47448</v>
      </c>
      <c r="S15020" t="s">
        <v>48555</v>
      </c>
      <c r="T15020" t="s">
        <v>49237</v>
      </c>
      <c r="U15020" t="s">
        <v>61870</v>
      </c>
      <c r="V15020" t="s">
        <v>64327</v>
      </c>
      <c r="W15020" t="s">
        <v>43565</v>
      </c>
      <c r="X15020" t="s">
        <v>47451</v>
      </c>
    </row>
    <row r="15021" spans="1:24">
      <c r="A15021">
        <f>HYPERLINK("https://www.philgeps.gov.ph/GEPSNONPILOT/Tender/SplashBidNoticeAbstractUI.aspx?menuIndex=3&amp;refID=7117119&amp;Result=3","7117119")</f>
        <v>0</v>
      </c>
      <c r="B15021" t="s">
        <v>3447</v>
      </c>
      <c r="C15021" t="s">
        <v>18130</v>
      </c>
      <c r="D15021" t="s">
        <v>19065</v>
      </c>
      <c r="E15021" t="s">
        <v>31998</v>
      </c>
      <c r="F15021" t="s">
        <v>32831</v>
      </c>
      <c r="G15021" t="s">
        <v>32839</v>
      </c>
      <c r="H15021" t="s">
        <v>14069</v>
      </c>
      <c r="I15021" t="s">
        <v>14069</v>
      </c>
      <c r="J15021" t="s">
        <v>42150</v>
      </c>
      <c r="K15021" t="s">
        <v>42757</v>
      </c>
      <c r="M15021" t="s">
        <v>46786</v>
      </c>
      <c r="N15021" t="s">
        <v>47424</v>
      </c>
      <c r="O15021" t="s">
        <v>47425</v>
      </c>
      <c r="P15021">
        <v>0</v>
      </c>
      <c r="Q15021">
        <v>4</v>
      </c>
      <c r="R15021" t="s">
        <v>47448</v>
      </c>
      <c r="S15021" t="s">
        <v>48555</v>
      </c>
      <c r="T15021" t="s">
        <v>49666</v>
      </c>
      <c r="U15021" t="s">
        <v>61871</v>
      </c>
      <c r="W15021" t="s">
        <v>46786</v>
      </c>
      <c r="X15021" t="s">
        <v>47451</v>
      </c>
    </row>
    <row r="15022" spans="1:24">
      <c r="A15022">
        <f>HYPERLINK("https://www.philgeps.gov.ph/GEPSNONPILOT/Tender/SplashBidNoticeAbstractUI.aspx?menuIndex=3&amp;refID=7116742&amp;Result=3","7116742")</f>
        <v>0</v>
      </c>
      <c r="B15022" t="s">
        <v>113</v>
      </c>
      <c r="C15022" t="s">
        <v>18131</v>
      </c>
      <c r="D15022" t="s">
        <v>19027</v>
      </c>
      <c r="E15022" t="s">
        <v>31999</v>
      </c>
      <c r="F15022" t="s">
        <v>32831</v>
      </c>
      <c r="G15022" t="s">
        <v>32839</v>
      </c>
      <c r="H15022" t="s">
        <v>32848</v>
      </c>
      <c r="I15022" t="s">
        <v>4222</v>
      </c>
      <c r="J15022" t="s">
        <v>42151</v>
      </c>
      <c r="K15022" t="s">
        <v>42786</v>
      </c>
      <c r="M15022" t="s">
        <v>47312</v>
      </c>
      <c r="N15022" t="s">
        <v>47424</v>
      </c>
      <c r="O15022" t="s">
        <v>47425</v>
      </c>
      <c r="Q15022">
        <v>2</v>
      </c>
      <c r="R15022" t="s">
        <v>47448</v>
      </c>
      <c r="S15022" t="s">
        <v>48573</v>
      </c>
      <c r="T15022" t="s">
        <v>49665</v>
      </c>
      <c r="U15022" t="s">
        <v>61872</v>
      </c>
      <c r="V15022" t="s">
        <v>64325</v>
      </c>
      <c r="W15022" t="s">
        <v>47312</v>
      </c>
      <c r="X15022" t="s">
        <v>47451</v>
      </c>
    </row>
    <row r="15023" spans="1:24">
      <c r="A15023">
        <f>HYPERLINK("https://www.philgeps.gov.ph/GEPSNONPILOT/Tender/SplashBidNoticeAbstractUI.aspx?menuIndex=3&amp;refID=7116871&amp;Result=3","7116871")</f>
        <v>0</v>
      </c>
      <c r="B15023" t="s">
        <v>1439</v>
      </c>
      <c r="C15023" t="s">
        <v>18132</v>
      </c>
      <c r="D15023" t="s">
        <v>19037</v>
      </c>
      <c r="E15023" t="s">
        <v>32000</v>
      </c>
      <c r="F15023" t="s">
        <v>32831</v>
      </c>
      <c r="G15023" t="s">
        <v>32839</v>
      </c>
      <c r="H15023" t="s">
        <v>32848</v>
      </c>
      <c r="I15023" t="s">
        <v>32859</v>
      </c>
      <c r="J15023" t="s">
        <v>42152</v>
      </c>
      <c r="K15023" t="s">
        <v>42730</v>
      </c>
      <c r="M15023" t="s">
        <v>46078</v>
      </c>
      <c r="N15023" t="s">
        <v>47424</v>
      </c>
      <c r="O15023" t="s">
        <v>47425</v>
      </c>
      <c r="Q15023">
        <v>1</v>
      </c>
      <c r="R15023" t="s">
        <v>47448</v>
      </c>
      <c r="S15023" t="s">
        <v>48574</v>
      </c>
      <c r="T15023" t="s">
        <v>49212</v>
      </c>
      <c r="U15023" t="s">
        <v>61873</v>
      </c>
      <c r="W15023" t="s">
        <v>46078</v>
      </c>
      <c r="X15023" t="s">
        <v>47451</v>
      </c>
    </row>
    <row r="15024" spans="1:24">
      <c r="A15024">
        <f>HYPERLINK("https://www.philgeps.gov.ph/GEPSNONPILOT/Tender/SplashBidNoticeAbstractUI.aspx?menuIndex=3&amp;refID=7122877&amp;Result=3","7122877")</f>
        <v>0</v>
      </c>
      <c r="B15024" t="s">
        <v>3866</v>
      </c>
      <c r="C15024" t="s">
        <v>18133</v>
      </c>
      <c r="D15024" t="s">
        <v>19057</v>
      </c>
      <c r="E15024" t="s">
        <v>32001</v>
      </c>
      <c r="F15024" t="s">
        <v>32831</v>
      </c>
      <c r="G15024" t="s">
        <v>32839</v>
      </c>
      <c r="H15024" t="s">
        <v>32849</v>
      </c>
      <c r="I15024" t="s">
        <v>4177</v>
      </c>
      <c r="J15024" t="s">
        <v>34921</v>
      </c>
      <c r="K15024" t="s">
        <v>42780</v>
      </c>
      <c r="L15024" t="s">
        <v>3866</v>
      </c>
      <c r="M15024" t="s">
        <v>47309</v>
      </c>
      <c r="N15024" t="s">
        <v>47424</v>
      </c>
      <c r="O15024" t="s">
        <v>47425</v>
      </c>
      <c r="P15024">
        <v>0</v>
      </c>
      <c r="Q15024">
        <v>1</v>
      </c>
      <c r="R15024" t="s">
        <v>47447</v>
      </c>
      <c r="S15024" t="s">
        <v>48494</v>
      </c>
      <c r="T15024" t="s">
        <v>49239</v>
      </c>
      <c r="U15024" t="s">
        <v>61874</v>
      </c>
      <c r="W15024" t="s">
        <v>47309</v>
      </c>
      <c r="X15024" t="s">
        <v>47448</v>
      </c>
    </row>
    <row r="15025" spans="1:24">
      <c r="A15025">
        <f>HYPERLINK("https://www.philgeps.gov.ph/GEPSNONPILOT/Tender/SplashBidNoticeAbstractUI.aspx?menuIndex=3&amp;refID=7118112&amp;Result=3","7118112")</f>
        <v>0</v>
      </c>
      <c r="B15025" t="s">
        <v>113</v>
      </c>
      <c r="C15025" t="s">
        <v>18134</v>
      </c>
      <c r="D15025" t="s">
        <v>19027</v>
      </c>
      <c r="E15025" t="s">
        <v>32002</v>
      </c>
      <c r="F15025" t="s">
        <v>32831</v>
      </c>
      <c r="G15025" t="s">
        <v>32839</v>
      </c>
      <c r="H15025" t="s">
        <v>32848</v>
      </c>
      <c r="I15025" t="s">
        <v>32857</v>
      </c>
      <c r="J15025" t="s">
        <v>42153</v>
      </c>
      <c r="K15025" t="s">
        <v>42731</v>
      </c>
      <c r="M15025" t="s">
        <v>47312</v>
      </c>
      <c r="N15025" t="s">
        <v>47424</v>
      </c>
      <c r="O15025" t="s">
        <v>47425</v>
      </c>
      <c r="Q15025">
        <v>10</v>
      </c>
      <c r="R15025" t="s">
        <v>47448</v>
      </c>
      <c r="S15025" t="s">
        <v>47669</v>
      </c>
      <c r="T15025" t="s">
        <v>49665</v>
      </c>
      <c r="U15025" t="s">
        <v>61875</v>
      </c>
      <c r="V15025" t="s">
        <v>64325</v>
      </c>
      <c r="W15025" t="s">
        <v>47312</v>
      </c>
      <c r="X15025" t="s">
        <v>47451</v>
      </c>
    </row>
    <row r="15026" spans="1:24">
      <c r="A15026">
        <f>HYPERLINK("https://www.philgeps.gov.ph/GEPSNONPILOT/Tender/SplashBidNoticeAbstractUI.aspx?menuIndex=3&amp;refID=7122882&amp;Result=3","7122882")</f>
        <v>0</v>
      </c>
      <c r="B15026" t="s">
        <v>3866</v>
      </c>
      <c r="C15026" t="s">
        <v>18135</v>
      </c>
      <c r="D15026" t="s">
        <v>19057</v>
      </c>
      <c r="E15026" t="s">
        <v>32003</v>
      </c>
      <c r="F15026" t="s">
        <v>32831</v>
      </c>
      <c r="G15026" t="s">
        <v>32839</v>
      </c>
      <c r="H15026" t="s">
        <v>32848</v>
      </c>
      <c r="I15026" t="s">
        <v>4177</v>
      </c>
      <c r="J15026" t="s">
        <v>42154</v>
      </c>
      <c r="K15026" t="s">
        <v>42732</v>
      </c>
      <c r="L15026" t="s">
        <v>3866</v>
      </c>
      <c r="M15026" t="s">
        <v>47309</v>
      </c>
      <c r="N15026" t="s">
        <v>47424</v>
      </c>
      <c r="O15026" t="s">
        <v>47425</v>
      </c>
      <c r="P15026">
        <v>0</v>
      </c>
      <c r="Q15026">
        <v>0</v>
      </c>
      <c r="R15026" t="s">
        <v>47447</v>
      </c>
      <c r="S15026" t="s">
        <v>48494</v>
      </c>
      <c r="T15026" t="s">
        <v>49239</v>
      </c>
      <c r="U15026" t="s">
        <v>61876</v>
      </c>
      <c r="W15026" t="s">
        <v>47309</v>
      </c>
      <c r="X15026" t="s">
        <v>47448</v>
      </c>
    </row>
    <row r="15027" spans="1:24">
      <c r="A15027">
        <f>HYPERLINK("https://www.philgeps.gov.ph/GEPSNONPILOT/Tender/SplashBidNoticeAbstractUI.aspx?menuIndex=3&amp;refID=7116767&amp;Result=3","7116767")</f>
        <v>0</v>
      </c>
      <c r="B15027" t="s">
        <v>147</v>
      </c>
      <c r="C15027" t="s">
        <v>18136</v>
      </c>
      <c r="D15027" t="s">
        <v>19067</v>
      </c>
      <c r="E15027" t="s">
        <v>32004</v>
      </c>
      <c r="F15027" t="s">
        <v>32831</v>
      </c>
      <c r="G15027" t="s">
        <v>32839</v>
      </c>
      <c r="H15027" t="s">
        <v>32848</v>
      </c>
      <c r="I15027" t="s">
        <v>4471</v>
      </c>
      <c r="J15027" t="s">
        <v>42155</v>
      </c>
      <c r="K15027" t="s">
        <v>42763</v>
      </c>
      <c r="M15027" t="s">
        <v>43144</v>
      </c>
      <c r="N15027" t="s">
        <v>47424</v>
      </c>
      <c r="O15027" t="s">
        <v>47425</v>
      </c>
      <c r="Q15027">
        <v>4</v>
      </c>
      <c r="R15027" t="s">
        <v>47448</v>
      </c>
      <c r="S15027" t="s">
        <v>48575</v>
      </c>
      <c r="T15027" t="s">
        <v>49237</v>
      </c>
      <c r="U15027" t="s">
        <v>61877</v>
      </c>
      <c r="W15027" t="s">
        <v>43144</v>
      </c>
      <c r="X15027" t="s">
        <v>47451</v>
      </c>
    </row>
    <row r="15028" spans="1:24">
      <c r="A15028">
        <f>HYPERLINK("https://www.philgeps.gov.ph/GEPSNONPILOT/Tender/SplashBidNoticeAbstractUI.aspx?menuIndex=3&amp;refID=7118170&amp;Result=3","7118170")</f>
        <v>0</v>
      </c>
      <c r="B15028" t="s">
        <v>92</v>
      </c>
      <c r="C15028" t="s">
        <v>18137</v>
      </c>
      <c r="D15028" t="s">
        <v>19051</v>
      </c>
      <c r="E15028" t="s">
        <v>19260</v>
      </c>
      <c r="F15028" t="s">
        <v>32831</v>
      </c>
      <c r="G15028" t="s">
        <v>32839</v>
      </c>
      <c r="H15028" t="s">
        <v>32849</v>
      </c>
      <c r="I15028" t="s">
        <v>4177</v>
      </c>
      <c r="J15028" t="s">
        <v>33032</v>
      </c>
      <c r="K15028" t="s">
        <v>42732</v>
      </c>
      <c r="M15028" t="s">
        <v>43089</v>
      </c>
      <c r="N15028" t="s">
        <v>47424</v>
      </c>
      <c r="O15028" t="s">
        <v>47425</v>
      </c>
      <c r="Q15028">
        <v>0</v>
      </c>
      <c r="R15028" t="s">
        <v>47448</v>
      </c>
      <c r="S15028" t="s">
        <v>48576</v>
      </c>
      <c r="T15028" t="s">
        <v>49080</v>
      </c>
      <c r="U15028" t="s">
        <v>61878</v>
      </c>
      <c r="V15028" t="s">
        <v>64328</v>
      </c>
      <c r="W15028" t="s">
        <v>43089</v>
      </c>
      <c r="X15028" t="s">
        <v>47451</v>
      </c>
    </row>
    <row r="15029" spans="1:24">
      <c r="A15029">
        <f>HYPERLINK("https://www.philgeps.gov.ph/GEPSNONPILOT/Tender/SplashBidNoticeAbstractUI.aspx?menuIndex=3&amp;refID=7118059&amp;Result=3","7118059")</f>
        <v>0</v>
      </c>
      <c r="B15029" t="s">
        <v>113</v>
      </c>
      <c r="C15029" t="s">
        <v>18138</v>
      </c>
      <c r="D15029" t="s">
        <v>19027</v>
      </c>
      <c r="E15029" t="s">
        <v>32005</v>
      </c>
      <c r="F15029" t="s">
        <v>32831</v>
      </c>
      <c r="G15029" t="s">
        <v>32839</v>
      </c>
      <c r="H15029" t="s">
        <v>32848</v>
      </c>
      <c r="I15029" t="s">
        <v>9577</v>
      </c>
      <c r="J15029" t="s">
        <v>42156</v>
      </c>
      <c r="K15029" t="s">
        <v>42731</v>
      </c>
      <c r="M15029" t="s">
        <v>47312</v>
      </c>
      <c r="N15029" t="s">
        <v>47424</v>
      </c>
      <c r="O15029" t="s">
        <v>47425</v>
      </c>
      <c r="Q15029">
        <v>4</v>
      </c>
      <c r="R15029" t="s">
        <v>47448</v>
      </c>
      <c r="S15029" t="s">
        <v>47778</v>
      </c>
      <c r="T15029" t="s">
        <v>49665</v>
      </c>
      <c r="U15029" t="s">
        <v>61879</v>
      </c>
      <c r="V15029" t="s">
        <v>64325</v>
      </c>
      <c r="W15029" t="s">
        <v>47312</v>
      </c>
      <c r="X15029" t="s">
        <v>47451</v>
      </c>
    </row>
    <row r="15030" spans="1:24">
      <c r="A15030">
        <f>HYPERLINK("https://www.philgeps.gov.ph/GEPSNONPILOT/Tender/SplashBidNoticeAbstractUI.aspx?menuIndex=3&amp;refID=7118025&amp;Result=3","7118025")</f>
        <v>0</v>
      </c>
      <c r="B15030" t="s">
        <v>113</v>
      </c>
      <c r="C15030" t="s">
        <v>18139</v>
      </c>
      <c r="D15030" t="s">
        <v>19027</v>
      </c>
      <c r="E15030" t="s">
        <v>32006</v>
      </c>
      <c r="F15030" t="s">
        <v>32831</v>
      </c>
      <c r="G15030" t="s">
        <v>32839</v>
      </c>
      <c r="H15030" t="s">
        <v>32848</v>
      </c>
      <c r="I15030" t="s">
        <v>4340</v>
      </c>
      <c r="J15030" t="s">
        <v>42157</v>
      </c>
      <c r="K15030" t="s">
        <v>42731</v>
      </c>
      <c r="M15030" t="s">
        <v>47312</v>
      </c>
      <c r="N15030" t="s">
        <v>47424</v>
      </c>
      <c r="O15030" t="s">
        <v>47425</v>
      </c>
      <c r="Q15030">
        <v>1</v>
      </c>
      <c r="R15030" t="s">
        <v>47448</v>
      </c>
      <c r="S15030" t="s">
        <v>48025</v>
      </c>
      <c r="T15030" t="s">
        <v>49665</v>
      </c>
      <c r="U15030" t="s">
        <v>61880</v>
      </c>
      <c r="V15030" t="s">
        <v>64325</v>
      </c>
      <c r="W15030" t="s">
        <v>47312</v>
      </c>
      <c r="X15030" t="s">
        <v>47451</v>
      </c>
    </row>
    <row r="15031" spans="1:24">
      <c r="A15031">
        <f>HYPERLINK("https://www.philgeps.gov.ph/GEPSNONPILOT/Tender/SplashBidNoticeAbstractUI.aspx?menuIndex=3&amp;refID=7117985&amp;Result=3","7117985")</f>
        <v>0</v>
      </c>
      <c r="B15031" t="s">
        <v>113</v>
      </c>
      <c r="C15031" t="s">
        <v>18140</v>
      </c>
      <c r="D15031" t="s">
        <v>19027</v>
      </c>
      <c r="E15031" t="s">
        <v>32007</v>
      </c>
      <c r="F15031" t="s">
        <v>32831</v>
      </c>
      <c r="G15031" t="s">
        <v>32839</v>
      </c>
      <c r="H15031" t="s">
        <v>32848</v>
      </c>
      <c r="I15031" t="s">
        <v>32857</v>
      </c>
      <c r="J15031" t="s">
        <v>39536</v>
      </c>
      <c r="K15031" t="s">
        <v>42786</v>
      </c>
      <c r="M15031" t="s">
        <v>47312</v>
      </c>
      <c r="N15031" t="s">
        <v>47424</v>
      </c>
      <c r="O15031" t="s">
        <v>47425</v>
      </c>
      <c r="Q15031">
        <v>2</v>
      </c>
      <c r="R15031" t="s">
        <v>47448</v>
      </c>
      <c r="S15031" t="s">
        <v>47747</v>
      </c>
      <c r="T15031" t="s">
        <v>49665</v>
      </c>
      <c r="U15031" t="s">
        <v>61881</v>
      </c>
      <c r="V15031" t="s">
        <v>64325</v>
      </c>
      <c r="W15031" t="s">
        <v>47312</v>
      </c>
      <c r="X15031" t="s">
        <v>47451</v>
      </c>
    </row>
    <row r="15032" spans="1:24">
      <c r="A15032">
        <f>HYPERLINK("https://www.philgeps.gov.ph/GEPSNONPILOT/Tender/SplashBidNoticeAbstractUI.aspx?menuIndex=3&amp;refID=7118155&amp;Result=3","7118155")</f>
        <v>0</v>
      </c>
      <c r="B15032" t="s">
        <v>113</v>
      </c>
      <c r="C15032" t="s">
        <v>18141</v>
      </c>
      <c r="D15032" t="s">
        <v>19027</v>
      </c>
      <c r="E15032" t="s">
        <v>32008</v>
      </c>
      <c r="F15032" t="s">
        <v>32831</v>
      </c>
      <c r="G15032" t="s">
        <v>32839</v>
      </c>
      <c r="H15032" t="s">
        <v>32848</v>
      </c>
      <c r="I15032" t="s">
        <v>32857</v>
      </c>
      <c r="J15032" t="s">
        <v>42158</v>
      </c>
      <c r="K15032" t="s">
        <v>42731</v>
      </c>
      <c r="M15032" t="s">
        <v>47312</v>
      </c>
      <c r="N15032" t="s">
        <v>47424</v>
      </c>
      <c r="O15032" t="s">
        <v>47425</v>
      </c>
      <c r="Q15032">
        <v>9</v>
      </c>
      <c r="R15032" t="s">
        <v>47448</v>
      </c>
      <c r="S15032" t="s">
        <v>48041</v>
      </c>
      <c r="T15032" t="s">
        <v>49665</v>
      </c>
      <c r="U15032" t="s">
        <v>61882</v>
      </c>
      <c r="V15032" t="s">
        <v>64325</v>
      </c>
      <c r="W15032" t="s">
        <v>47312</v>
      </c>
      <c r="X15032" t="s">
        <v>47451</v>
      </c>
    </row>
    <row r="15033" spans="1:24">
      <c r="A15033">
        <f>HYPERLINK("https://www.philgeps.gov.ph/GEPSNONPILOT/Tender/SplashBidNoticeAbstractUI.aspx?menuIndex=3&amp;refID=7118088&amp;Result=3","7118088")</f>
        <v>0</v>
      </c>
      <c r="B15033" t="s">
        <v>113</v>
      </c>
      <c r="C15033" t="s">
        <v>18142</v>
      </c>
      <c r="D15033" t="s">
        <v>19027</v>
      </c>
      <c r="E15033" t="s">
        <v>32009</v>
      </c>
      <c r="F15033" t="s">
        <v>32831</v>
      </c>
      <c r="G15033" t="s">
        <v>32839</v>
      </c>
      <c r="H15033" t="s">
        <v>32848</v>
      </c>
      <c r="I15033" t="s">
        <v>32857</v>
      </c>
      <c r="J15033" t="s">
        <v>42159</v>
      </c>
      <c r="K15033" t="s">
        <v>42731</v>
      </c>
      <c r="M15033" t="s">
        <v>47312</v>
      </c>
      <c r="N15033" t="s">
        <v>47424</v>
      </c>
      <c r="O15033" t="s">
        <v>47425</v>
      </c>
      <c r="Q15033">
        <v>8</v>
      </c>
      <c r="R15033" t="s">
        <v>47448</v>
      </c>
      <c r="S15033" t="s">
        <v>48577</v>
      </c>
      <c r="T15033" t="s">
        <v>49665</v>
      </c>
      <c r="U15033" t="s">
        <v>61883</v>
      </c>
      <c r="V15033" t="s">
        <v>64325</v>
      </c>
      <c r="W15033" t="s">
        <v>47312</v>
      </c>
      <c r="X15033" t="s">
        <v>47451</v>
      </c>
    </row>
    <row r="15034" spans="1:24">
      <c r="A15034">
        <f>HYPERLINK("https://www.philgeps.gov.ph/GEPSNONPILOT/Tender/SplashBidNoticeAbstractUI.aspx?menuIndex=3&amp;refID=7122991&amp;Result=3","7122991")</f>
        <v>0</v>
      </c>
      <c r="B15034" t="s">
        <v>832</v>
      </c>
      <c r="C15034" t="s">
        <v>18143</v>
      </c>
      <c r="D15034" t="s">
        <v>19101</v>
      </c>
      <c r="E15034" t="s">
        <v>32010</v>
      </c>
      <c r="F15034" t="s">
        <v>32831</v>
      </c>
      <c r="G15034" t="s">
        <v>32839</v>
      </c>
      <c r="H15034" t="s">
        <v>32848</v>
      </c>
      <c r="I15034" t="s">
        <v>32925</v>
      </c>
      <c r="J15034" t="s">
        <v>42160</v>
      </c>
      <c r="K15034" t="s">
        <v>42729</v>
      </c>
      <c r="M15034" t="s">
        <v>44445</v>
      </c>
      <c r="N15034" t="s">
        <v>47424</v>
      </c>
      <c r="O15034" t="s">
        <v>47425</v>
      </c>
      <c r="Q15034">
        <v>5</v>
      </c>
      <c r="R15034" t="s">
        <v>47447</v>
      </c>
      <c r="S15034" t="s">
        <v>48578</v>
      </c>
      <c r="T15034" t="s">
        <v>49328</v>
      </c>
      <c r="U15034" t="s">
        <v>61856</v>
      </c>
      <c r="V15034" t="s">
        <v>63231</v>
      </c>
      <c r="W15034" t="s">
        <v>44445</v>
      </c>
      <c r="X15034" t="s">
        <v>47448</v>
      </c>
    </row>
    <row r="15035" spans="1:24">
      <c r="A15035">
        <f>HYPERLINK("https://www.philgeps.gov.ph/GEPSNONPILOT/Tender/SplashBidNoticeAbstractUI.aspx?menuIndex=3&amp;refID=7117868&amp;Result=3","7117868")</f>
        <v>0</v>
      </c>
      <c r="B15035" t="s">
        <v>114</v>
      </c>
      <c r="C15035" t="s">
        <v>18144</v>
      </c>
      <c r="D15035" t="s">
        <v>19050</v>
      </c>
      <c r="E15035" t="s">
        <v>32011</v>
      </c>
      <c r="F15035" t="s">
        <v>32831</v>
      </c>
      <c r="G15035" t="s">
        <v>32839</v>
      </c>
      <c r="H15035" t="s">
        <v>32848</v>
      </c>
      <c r="I15035" t="s">
        <v>4776</v>
      </c>
      <c r="J15035" t="s">
        <v>42161</v>
      </c>
      <c r="K15035" t="s">
        <v>42730</v>
      </c>
      <c r="L15035" t="s">
        <v>114</v>
      </c>
      <c r="M15035" t="s">
        <v>43111</v>
      </c>
      <c r="N15035" t="s">
        <v>47424</v>
      </c>
      <c r="O15035" t="s">
        <v>47425</v>
      </c>
      <c r="P15035">
        <v>0</v>
      </c>
      <c r="Q15035">
        <v>6</v>
      </c>
      <c r="R15035" t="s">
        <v>47448</v>
      </c>
      <c r="S15035" t="s">
        <v>48555</v>
      </c>
      <c r="T15035" t="s">
        <v>49229</v>
      </c>
      <c r="U15035" t="s">
        <v>61884</v>
      </c>
      <c r="W15035" t="s">
        <v>43111</v>
      </c>
      <c r="X15035" t="s">
        <v>47451</v>
      </c>
    </row>
    <row r="15036" spans="1:24">
      <c r="A15036">
        <f>HYPERLINK("https://www.philgeps.gov.ph/GEPSNONPILOT/Tender/SplashBidNoticeAbstractUI.aspx?menuIndex=3&amp;refID=7118009&amp;Result=3","7118009")</f>
        <v>0</v>
      </c>
      <c r="B15036" t="s">
        <v>113</v>
      </c>
      <c r="C15036" t="s">
        <v>18145</v>
      </c>
      <c r="D15036" t="s">
        <v>19027</v>
      </c>
      <c r="E15036" t="s">
        <v>32012</v>
      </c>
      <c r="F15036" t="s">
        <v>32831</v>
      </c>
      <c r="G15036" t="s">
        <v>32839</v>
      </c>
      <c r="H15036" t="s">
        <v>32848</v>
      </c>
      <c r="I15036" t="s">
        <v>4340</v>
      </c>
      <c r="J15036" t="s">
        <v>42162</v>
      </c>
      <c r="K15036" t="s">
        <v>42731</v>
      </c>
      <c r="M15036" t="s">
        <v>47312</v>
      </c>
      <c r="N15036" t="s">
        <v>47424</v>
      </c>
      <c r="O15036" t="s">
        <v>47425</v>
      </c>
      <c r="Q15036">
        <v>3</v>
      </c>
      <c r="R15036" t="s">
        <v>47448</v>
      </c>
      <c r="S15036" t="s">
        <v>47661</v>
      </c>
      <c r="T15036" t="s">
        <v>49665</v>
      </c>
      <c r="U15036" t="s">
        <v>61885</v>
      </c>
      <c r="V15036" t="s">
        <v>64325</v>
      </c>
      <c r="W15036" t="s">
        <v>47312</v>
      </c>
      <c r="X15036" t="s">
        <v>47451</v>
      </c>
    </row>
    <row r="15037" spans="1:24">
      <c r="A15037">
        <f>HYPERLINK("https://www.philgeps.gov.ph/GEPSNONPILOT/Tender/SplashBidNoticeAbstractUI.aspx?menuIndex=3&amp;refID=7116757&amp;Result=3","7116757")</f>
        <v>0</v>
      </c>
      <c r="B15037" t="s">
        <v>1439</v>
      </c>
      <c r="C15037" t="s">
        <v>18146</v>
      </c>
      <c r="D15037" t="s">
        <v>19106</v>
      </c>
      <c r="E15037" t="s">
        <v>32013</v>
      </c>
      <c r="F15037" t="s">
        <v>32831</v>
      </c>
      <c r="G15037" t="s">
        <v>32839</v>
      </c>
      <c r="H15037" t="s">
        <v>32848</v>
      </c>
      <c r="I15037" t="s">
        <v>32890</v>
      </c>
      <c r="J15037" t="s">
        <v>33111</v>
      </c>
      <c r="K15037" t="s">
        <v>42763</v>
      </c>
      <c r="M15037" t="s">
        <v>46078</v>
      </c>
      <c r="N15037" t="s">
        <v>47424</v>
      </c>
      <c r="O15037" t="s">
        <v>47425</v>
      </c>
      <c r="P15037">
        <v>0</v>
      </c>
      <c r="Q15037">
        <v>4</v>
      </c>
      <c r="R15037" t="s">
        <v>47448</v>
      </c>
      <c r="S15037" t="s">
        <v>48555</v>
      </c>
      <c r="T15037" t="s">
        <v>49212</v>
      </c>
      <c r="U15037" t="s">
        <v>61886</v>
      </c>
      <c r="W15037" t="s">
        <v>46078</v>
      </c>
      <c r="X15037" t="s">
        <v>47451</v>
      </c>
    </row>
    <row r="15038" spans="1:24">
      <c r="A15038">
        <f>HYPERLINK("https://www.philgeps.gov.ph/GEPSNONPILOT/Tender/SplashBidNoticeAbstractUI.aspx?menuIndex=3&amp;refID=7117974&amp;Result=3","7117974")</f>
        <v>0</v>
      </c>
      <c r="B15038" t="s">
        <v>3868</v>
      </c>
      <c r="C15038" t="s">
        <v>18147</v>
      </c>
      <c r="D15038" t="s">
        <v>19077</v>
      </c>
      <c r="E15038" t="s">
        <v>32014</v>
      </c>
      <c r="F15038" t="s">
        <v>32831</v>
      </c>
      <c r="G15038" t="s">
        <v>32839</v>
      </c>
      <c r="H15038" t="s">
        <v>32848</v>
      </c>
      <c r="I15038" t="s">
        <v>7751</v>
      </c>
      <c r="J15038" t="s">
        <v>32983</v>
      </c>
      <c r="K15038" t="s">
        <v>42747</v>
      </c>
      <c r="L15038" t="s">
        <v>3868</v>
      </c>
      <c r="M15038" t="s">
        <v>47313</v>
      </c>
      <c r="N15038" t="s">
        <v>47424</v>
      </c>
      <c r="O15038" t="s">
        <v>47425</v>
      </c>
      <c r="P15038">
        <v>0</v>
      </c>
      <c r="Q15038">
        <v>1</v>
      </c>
      <c r="R15038" t="s">
        <v>47448</v>
      </c>
      <c r="S15038" t="s">
        <v>48555</v>
      </c>
      <c r="T15038" t="s">
        <v>49066</v>
      </c>
      <c r="U15038" t="s">
        <v>61887</v>
      </c>
      <c r="W15038" t="s">
        <v>47313</v>
      </c>
      <c r="X15038" t="s">
        <v>47451</v>
      </c>
    </row>
    <row r="15039" spans="1:24">
      <c r="A15039">
        <f>HYPERLINK("https://www.philgeps.gov.ph/GEPSNONPILOT/Tender/SplashBidNoticeAbstractUI.aspx?menuIndex=3&amp;refID=7117897&amp;Result=3","7117897")</f>
        <v>0</v>
      </c>
      <c r="B15039" t="s">
        <v>113</v>
      </c>
      <c r="C15039" t="s">
        <v>18148</v>
      </c>
      <c r="D15039" t="s">
        <v>19027</v>
      </c>
      <c r="E15039" t="s">
        <v>32015</v>
      </c>
      <c r="F15039" t="s">
        <v>32831</v>
      </c>
      <c r="G15039" t="s">
        <v>32839</v>
      </c>
      <c r="H15039" t="s">
        <v>32848</v>
      </c>
      <c r="I15039" t="s">
        <v>32871</v>
      </c>
      <c r="J15039" t="s">
        <v>42163</v>
      </c>
      <c r="K15039" t="s">
        <v>42770</v>
      </c>
      <c r="M15039" t="s">
        <v>47312</v>
      </c>
      <c r="N15039" t="s">
        <v>47424</v>
      </c>
      <c r="O15039" t="s">
        <v>47425</v>
      </c>
      <c r="Q15039">
        <v>28</v>
      </c>
      <c r="R15039" t="s">
        <v>47448</v>
      </c>
      <c r="S15039" t="s">
        <v>48579</v>
      </c>
      <c r="T15039" t="s">
        <v>49665</v>
      </c>
      <c r="U15039" t="s">
        <v>61888</v>
      </c>
      <c r="V15039" t="s">
        <v>64325</v>
      </c>
      <c r="W15039" t="s">
        <v>47312</v>
      </c>
      <c r="X15039" t="s">
        <v>47451</v>
      </c>
    </row>
    <row r="15040" spans="1:24">
      <c r="A15040">
        <f>HYPERLINK("https://www.philgeps.gov.ph/GEPSNONPILOT/Tender/SplashBidNoticeAbstractUI.aspx?menuIndex=3&amp;refID=7118642&amp;Result=3","7118642")</f>
        <v>0</v>
      </c>
      <c r="B15040" t="s">
        <v>886</v>
      </c>
      <c r="C15040" t="s">
        <v>18149</v>
      </c>
      <c r="E15040" t="s">
        <v>32016</v>
      </c>
      <c r="F15040" t="s">
        <v>32831</v>
      </c>
      <c r="G15040" t="s">
        <v>32839</v>
      </c>
      <c r="H15040" t="s">
        <v>32848</v>
      </c>
      <c r="I15040" t="s">
        <v>32871</v>
      </c>
      <c r="J15040" t="s">
        <v>36019</v>
      </c>
      <c r="K15040" t="s">
        <v>42732</v>
      </c>
      <c r="M15040" t="s">
        <v>45090</v>
      </c>
      <c r="N15040" t="s">
        <v>47424</v>
      </c>
      <c r="O15040" t="s">
        <v>47425</v>
      </c>
      <c r="Q15040">
        <v>27</v>
      </c>
      <c r="R15040" t="s">
        <v>47448</v>
      </c>
      <c r="S15040" t="s">
        <v>48580</v>
      </c>
      <c r="T15040" t="s">
        <v>49172</v>
      </c>
      <c r="U15040" t="s">
        <v>61889</v>
      </c>
      <c r="W15040" t="s">
        <v>45090</v>
      </c>
      <c r="X15040" t="s">
        <v>47451</v>
      </c>
    </row>
    <row r="15041" spans="1:24">
      <c r="A15041">
        <f>HYPERLINK("https://www.philgeps.gov.ph/GEPSNONPILOT/Tender/SplashBidNoticeAbstractUI.aspx?menuIndex=3&amp;refID=7117862&amp;Result=3","7117862")</f>
        <v>0</v>
      </c>
      <c r="B15041" t="s">
        <v>3815</v>
      </c>
      <c r="C15041" t="s">
        <v>18150</v>
      </c>
      <c r="D15041" t="s">
        <v>19027</v>
      </c>
      <c r="E15041" t="s">
        <v>32017</v>
      </c>
      <c r="F15041" t="s">
        <v>32831</v>
      </c>
      <c r="G15041" t="s">
        <v>32839</v>
      </c>
      <c r="H15041" t="s">
        <v>32849</v>
      </c>
      <c r="I15041" t="s">
        <v>4177</v>
      </c>
      <c r="J15041" t="s">
        <v>42164</v>
      </c>
      <c r="K15041" t="s">
        <v>42768</v>
      </c>
      <c r="M15041" t="s">
        <v>47236</v>
      </c>
      <c r="N15041" t="s">
        <v>47424</v>
      </c>
      <c r="O15041" t="s">
        <v>47425</v>
      </c>
      <c r="Q15041">
        <v>19</v>
      </c>
      <c r="R15041" t="s">
        <v>47448</v>
      </c>
      <c r="S15041" t="s">
        <v>48272</v>
      </c>
      <c r="T15041" t="s">
        <v>49237</v>
      </c>
      <c r="U15041" t="s">
        <v>61890</v>
      </c>
      <c r="W15041" t="s">
        <v>47236</v>
      </c>
      <c r="X15041" t="s">
        <v>47451</v>
      </c>
    </row>
    <row r="15042" spans="1:24">
      <c r="A15042">
        <f>HYPERLINK("https://www.philgeps.gov.ph/GEPSNONPILOT/Tender/SplashBidNoticeAbstractUI.aspx?menuIndex=3&amp;refID=7118609&amp;Result=3","7118609")</f>
        <v>0</v>
      </c>
      <c r="B15042" t="s">
        <v>113</v>
      </c>
      <c r="C15042" t="s">
        <v>18151</v>
      </c>
      <c r="D15042" t="s">
        <v>19027</v>
      </c>
      <c r="E15042" t="s">
        <v>32018</v>
      </c>
      <c r="F15042" t="s">
        <v>32831</v>
      </c>
      <c r="G15042" t="s">
        <v>32839</v>
      </c>
      <c r="H15042" t="s">
        <v>32848</v>
      </c>
      <c r="I15042" t="s">
        <v>32857</v>
      </c>
      <c r="J15042" t="s">
        <v>42165</v>
      </c>
      <c r="K15042" t="s">
        <v>42731</v>
      </c>
      <c r="M15042" t="s">
        <v>47312</v>
      </c>
      <c r="N15042" t="s">
        <v>47424</v>
      </c>
      <c r="O15042" t="s">
        <v>47425</v>
      </c>
      <c r="Q15042">
        <v>6</v>
      </c>
      <c r="R15042" t="s">
        <v>47448</v>
      </c>
      <c r="S15042" t="s">
        <v>47547</v>
      </c>
      <c r="T15042" t="s">
        <v>49665</v>
      </c>
      <c r="U15042" t="s">
        <v>61891</v>
      </c>
      <c r="V15042" t="s">
        <v>64325</v>
      </c>
      <c r="W15042" t="s">
        <v>47312</v>
      </c>
      <c r="X15042" t="s">
        <v>47451</v>
      </c>
    </row>
    <row r="15043" spans="1:24">
      <c r="A15043">
        <f>HYPERLINK("https://www.philgeps.gov.ph/GEPSNONPILOT/Tender/SplashBidNoticeAbstractUI.aspx?menuIndex=3&amp;refID=7118545&amp;Result=3","7118545")</f>
        <v>0</v>
      </c>
      <c r="B15043" t="s">
        <v>1009</v>
      </c>
      <c r="C15043" t="s">
        <v>18152</v>
      </c>
      <c r="D15043" t="s">
        <v>19039</v>
      </c>
      <c r="E15043" t="s">
        <v>32019</v>
      </c>
      <c r="F15043" t="s">
        <v>32831</v>
      </c>
      <c r="G15043" t="s">
        <v>32839</v>
      </c>
      <c r="H15043" t="s">
        <v>32848</v>
      </c>
      <c r="I15043" t="s">
        <v>32867</v>
      </c>
      <c r="J15043" t="s">
        <v>42166</v>
      </c>
      <c r="K15043" t="s">
        <v>42730</v>
      </c>
      <c r="L15043" t="s">
        <v>1009</v>
      </c>
      <c r="M15043" t="s">
        <v>47314</v>
      </c>
      <c r="N15043" t="s">
        <v>47424</v>
      </c>
      <c r="O15043" t="s">
        <v>47425</v>
      </c>
      <c r="P15043">
        <v>0</v>
      </c>
      <c r="Q15043">
        <v>14</v>
      </c>
      <c r="R15043" t="s">
        <v>47448</v>
      </c>
      <c r="S15043" t="s">
        <v>48555</v>
      </c>
      <c r="T15043" t="s">
        <v>49239</v>
      </c>
      <c r="U15043" t="s">
        <v>61892</v>
      </c>
      <c r="V15043" t="s">
        <v>64329</v>
      </c>
      <c r="W15043" t="s">
        <v>47314</v>
      </c>
      <c r="X15043" t="s">
        <v>47451</v>
      </c>
    </row>
    <row r="15044" spans="1:24">
      <c r="A15044">
        <f>HYPERLINK("https://www.philgeps.gov.ph/GEPSNONPILOT/Tender/SplashBidNoticeAbstractUI.aspx?menuIndex=3&amp;refID=7118500&amp;Result=3","7118500")</f>
        <v>0</v>
      </c>
      <c r="B15044" t="s">
        <v>113</v>
      </c>
      <c r="C15044" t="s">
        <v>18153</v>
      </c>
      <c r="D15044" t="s">
        <v>19027</v>
      </c>
      <c r="E15044" t="s">
        <v>32020</v>
      </c>
      <c r="F15044" t="s">
        <v>32831</v>
      </c>
      <c r="G15044" t="s">
        <v>32839</v>
      </c>
      <c r="H15044" t="s">
        <v>32848</v>
      </c>
      <c r="I15044" t="s">
        <v>32857</v>
      </c>
      <c r="J15044" t="s">
        <v>42167</v>
      </c>
      <c r="K15044" t="s">
        <v>42731</v>
      </c>
      <c r="M15044" t="s">
        <v>47312</v>
      </c>
      <c r="N15044" t="s">
        <v>47424</v>
      </c>
      <c r="O15044" t="s">
        <v>47425</v>
      </c>
      <c r="Q15044">
        <v>4</v>
      </c>
      <c r="R15044" t="s">
        <v>47448</v>
      </c>
      <c r="S15044" t="s">
        <v>48581</v>
      </c>
      <c r="T15044" t="s">
        <v>49665</v>
      </c>
      <c r="U15044" t="s">
        <v>61893</v>
      </c>
      <c r="V15044" t="s">
        <v>64325</v>
      </c>
      <c r="W15044" t="s">
        <v>47312</v>
      </c>
      <c r="X15044" t="s">
        <v>47451</v>
      </c>
    </row>
    <row r="15045" spans="1:24">
      <c r="A15045">
        <f>HYPERLINK("https://www.philgeps.gov.ph/GEPSNONPILOT/Tender/SplashBidNoticeAbstractUI.aspx?menuIndex=3&amp;refID=7118465&amp;Result=3","7118465")</f>
        <v>0</v>
      </c>
      <c r="B15045" t="s">
        <v>113</v>
      </c>
      <c r="C15045" t="s">
        <v>18154</v>
      </c>
      <c r="D15045" t="s">
        <v>19027</v>
      </c>
      <c r="E15045" t="s">
        <v>32021</v>
      </c>
      <c r="F15045" t="s">
        <v>32831</v>
      </c>
      <c r="G15045" t="s">
        <v>32839</v>
      </c>
      <c r="H15045" t="s">
        <v>32848</v>
      </c>
      <c r="I15045" t="s">
        <v>32857</v>
      </c>
      <c r="J15045" t="s">
        <v>42168</v>
      </c>
      <c r="K15045" t="s">
        <v>42731</v>
      </c>
      <c r="M15045" t="s">
        <v>47312</v>
      </c>
      <c r="N15045" t="s">
        <v>47424</v>
      </c>
      <c r="O15045" t="s">
        <v>47425</v>
      </c>
      <c r="Q15045">
        <v>4</v>
      </c>
      <c r="R15045" t="s">
        <v>47448</v>
      </c>
      <c r="S15045" t="s">
        <v>47785</v>
      </c>
      <c r="T15045" t="s">
        <v>49665</v>
      </c>
      <c r="U15045" t="s">
        <v>61894</v>
      </c>
      <c r="V15045" t="s">
        <v>64325</v>
      </c>
      <c r="W15045" t="s">
        <v>47312</v>
      </c>
      <c r="X15045" t="s">
        <v>47451</v>
      </c>
    </row>
    <row r="15046" spans="1:24">
      <c r="A15046">
        <f>HYPERLINK("https://www.philgeps.gov.ph/GEPSNONPILOT/Tender/SplashBidNoticeAbstractUI.aspx?menuIndex=3&amp;refID=7118416&amp;Result=3","7118416")</f>
        <v>0</v>
      </c>
      <c r="B15046" t="s">
        <v>113</v>
      </c>
      <c r="C15046" t="s">
        <v>18155</v>
      </c>
      <c r="D15046" t="s">
        <v>19027</v>
      </c>
      <c r="E15046" t="s">
        <v>32022</v>
      </c>
      <c r="F15046" t="s">
        <v>32831</v>
      </c>
      <c r="G15046" t="s">
        <v>32839</v>
      </c>
      <c r="H15046" t="s">
        <v>32848</v>
      </c>
      <c r="I15046" t="s">
        <v>32857</v>
      </c>
      <c r="J15046" t="s">
        <v>42169</v>
      </c>
      <c r="K15046" t="s">
        <v>42731</v>
      </c>
      <c r="M15046" t="s">
        <v>47312</v>
      </c>
      <c r="N15046" t="s">
        <v>47424</v>
      </c>
      <c r="O15046" t="s">
        <v>47425</v>
      </c>
      <c r="Q15046">
        <v>14</v>
      </c>
      <c r="R15046" t="s">
        <v>47448</v>
      </c>
      <c r="S15046" t="s">
        <v>48582</v>
      </c>
      <c r="T15046" t="s">
        <v>49665</v>
      </c>
      <c r="U15046" t="s">
        <v>61895</v>
      </c>
      <c r="V15046" t="s">
        <v>64325</v>
      </c>
      <c r="W15046" t="s">
        <v>47312</v>
      </c>
      <c r="X15046" t="s">
        <v>47451</v>
      </c>
    </row>
    <row r="15047" spans="1:24">
      <c r="A15047">
        <f>HYPERLINK("https://www.philgeps.gov.ph/GEPSNONPILOT/Tender/SplashBidNoticeAbstractUI.aspx?menuIndex=3&amp;refID=7118643&amp;Result=3","7118643")</f>
        <v>0</v>
      </c>
      <c r="B15047" t="s">
        <v>113</v>
      </c>
      <c r="C15047" t="s">
        <v>18156</v>
      </c>
      <c r="D15047" t="s">
        <v>19027</v>
      </c>
      <c r="E15047" t="s">
        <v>32023</v>
      </c>
      <c r="F15047" t="s">
        <v>32831</v>
      </c>
      <c r="G15047" t="s">
        <v>32839</v>
      </c>
      <c r="H15047" t="s">
        <v>32848</v>
      </c>
      <c r="I15047" t="s">
        <v>32857</v>
      </c>
      <c r="J15047" t="s">
        <v>42170</v>
      </c>
      <c r="K15047" t="s">
        <v>42731</v>
      </c>
      <c r="M15047" t="s">
        <v>47312</v>
      </c>
      <c r="N15047" t="s">
        <v>47424</v>
      </c>
      <c r="O15047" t="s">
        <v>47425</v>
      </c>
      <c r="Q15047">
        <v>8</v>
      </c>
      <c r="R15047" t="s">
        <v>47448</v>
      </c>
      <c r="S15047" t="s">
        <v>47643</v>
      </c>
      <c r="T15047" t="s">
        <v>49665</v>
      </c>
      <c r="U15047" t="s">
        <v>61896</v>
      </c>
      <c r="V15047" t="s">
        <v>64325</v>
      </c>
      <c r="W15047" t="s">
        <v>47312</v>
      </c>
      <c r="X15047" t="s">
        <v>47451</v>
      </c>
    </row>
    <row r="15048" spans="1:24">
      <c r="A15048">
        <f>HYPERLINK("https://www.philgeps.gov.ph/GEPSNONPILOT/Tender/SplashBidNoticeAbstractUI.aspx?menuIndex=3&amp;refID=7118406&amp;Result=3","7118406")</f>
        <v>0</v>
      </c>
      <c r="B15048" t="s">
        <v>981</v>
      </c>
      <c r="C15048" t="s">
        <v>18157</v>
      </c>
      <c r="D15048" t="s">
        <v>19082</v>
      </c>
      <c r="E15048" t="s">
        <v>24188</v>
      </c>
      <c r="F15048" t="s">
        <v>32831</v>
      </c>
      <c r="G15048" t="s">
        <v>32839</v>
      </c>
      <c r="H15048" t="s">
        <v>32848</v>
      </c>
      <c r="I15048" t="s">
        <v>9281</v>
      </c>
      <c r="J15048" t="s">
        <v>42171</v>
      </c>
      <c r="K15048" t="s">
        <v>42730</v>
      </c>
      <c r="M15048" t="s">
        <v>44030</v>
      </c>
      <c r="N15048" t="s">
        <v>47424</v>
      </c>
      <c r="O15048" t="s">
        <v>47425</v>
      </c>
      <c r="P15048">
        <v>0</v>
      </c>
      <c r="Q15048">
        <v>10</v>
      </c>
      <c r="R15048" t="s">
        <v>47448</v>
      </c>
      <c r="S15048" t="s">
        <v>48555</v>
      </c>
      <c r="T15048" t="s">
        <v>49237</v>
      </c>
      <c r="U15048" t="s">
        <v>61897</v>
      </c>
      <c r="W15048" t="s">
        <v>44030</v>
      </c>
      <c r="X15048" t="s">
        <v>47451</v>
      </c>
    </row>
    <row r="15049" spans="1:24">
      <c r="A15049">
        <f>HYPERLINK("https://www.philgeps.gov.ph/GEPSNONPILOT/Tender/SplashBidNoticeAbstractUI.aspx?menuIndex=3&amp;refID=7118466&amp;Result=3","7118466")</f>
        <v>0</v>
      </c>
      <c r="B15049" t="s">
        <v>1439</v>
      </c>
      <c r="C15049" t="s">
        <v>18158</v>
      </c>
      <c r="D15049" t="s">
        <v>19037</v>
      </c>
      <c r="E15049" t="s">
        <v>32024</v>
      </c>
      <c r="F15049" t="s">
        <v>32831</v>
      </c>
      <c r="G15049" t="s">
        <v>32838</v>
      </c>
      <c r="H15049" t="s">
        <v>32848</v>
      </c>
      <c r="I15049" t="s">
        <v>32860</v>
      </c>
      <c r="J15049" t="s">
        <v>42172</v>
      </c>
      <c r="K15049" t="s">
        <v>42727</v>
      </c>
      <c r="M15049" t="s">
        <v>44529</v>
      </c>
      <c r="N15049" t="s">
        <v>47424</v>
      </c>
      <c r="O15049" t="s">
        <v>47425</v>
      </c>
      <c r="Q15049">
        <v>8</v>
      </c>
      <c r="R15049" t="s">
        <v>47448</v>
      </c>
      <c r="S15049" t="s">
        <v>48583</v>
      </c>
      <c r="T15049" t="s">
        <v>49096</v>
      </c>
      <c r="U15049" t="s">
        <v>61898</v>
      </c>
      <c r="W15049" t="s">
        <v>44529</v>
      </c>
      <c r="X15049" t="s">
        <v>47451</v>
      </c>
    </row>
    <row r="15050" spans="1:24">
      <c r="A15050">
        <f>HYPERLINK("https://www.philgeps.gov.ph/GEPSNONPILOT/Tender/SplashBidNoticeAbstractUI.aspx?menuIndex=3&amp;refID=7118864&amp;Result=3","7118864")</f>
        <v>0</v>
      </c>
      <c r="B15050" t="s">
        <v>2051</v>
      </c>
      <c r="C15050" t="s">
        <v>18159</v>
      </c>
      <c r="D15050" t="s">
        <v>19017</v>
      </c>
      <c r="E15050" t="s">
        <v>32025</v>
      </c>
      <c r="F15050" t="s">
        <v>32831</v>
      </c>
      <c r="G15050" t="s">
        <v>32841</v>
      </c>
      <c r="H15050" t="s">
        <v>32850</v>
      </c>
      <c r="I15050" t="s">
        <v>32863</v>
      </c>
      <c r="J15050" t="s">
        <v>42173</v>
      </c>
      <c r="K15050" t="s">
        <v>42774</v>
      </c>
      <c r="M15050" t="s">
        <v>47315</v>
      </c>
      <c r="N15050" t="s">
        <v>47424</v>
      </c>
      <c r="O15050" t="s">
        <v>47425</v>
      </c>
      <c r="Q15050">
        <v>2</v>
      </c>
      <c r="R15050" t="s">
        <v>47448</v>
      </c>
      <c r="S15050" t="s">
        <v>48584</v>
      </c>
      <c r="T15050" t="s">
        <v>49111</v>
      </c>
      <c r="U15050" t="s">
        <v>61899</v>
      </c>
      <c r="W15050" t="s">
        <v>47315</v>
      </c>
      <c r="X15050" t="s">
        <v>47451</v>
      </c>
    </row>
    <row r="15051" spans="1:24">
      <c r="A15051">
        <f>HYPERLINK("https://www.philgeps.gov.ph/GEPSNONPILOT/Tender/SplashBidNoticeAbstractUI.aspx?menuIndex=3&amp;refID=7118469&amp;Result=3","7118469")</f>
        <v>0</v>
      </c>
      <c r="B15051" t="s">
        <v>1009</v>
      </c>
      <c r="C15051" t="s">
        <v>18160</v>
      </c>
      <c r="D15051" t="s">
        <v>19039</v>
      </c>
      <c r="E15051" t="s">
        <v>32026</v>
      </c>
      <c r="F15051" t="s">
        <v>32831</v>
      </c>
      <c r="G15051" t="s">
        <v>32839</v>
      </c>
      <c r="H15051" t="s">
        <v>32848</v>
      </c>
      <c r="I15051" t="s">
        <v>4487</v>
      </c>
      <c r="J15051" t="s">
        <v>42174</v>
      </c>
      <c r="K15051" t="s">
        <v>42726</v>
      </c>
      <c r="L15051" t="s">
        <v>1009</v>
      </c>
      <c r="M15051" t="s">
        <v>47314</v>
      </c>
      <c r="N15051" t="s">
        <v>47424</v>
      </c>
      <c r="O15051" t="s">
        <v>47425</v>
      </c>
      <c r="P15051">
        <v>0</v>
      </c>
      <c r="Q15051">
        <v>4</v>
      </c>
      <c r="R15051" t="s">
        <v>47448</v>
      </c>
      <c r="S15051" t="s">
        <v>48555</v>
      </c>
      <c r="T15051" t="s">
        <v>49239</v>
      </c>
      <c r="U15051" t="s">
        <v>61892</v>
      </c>
      <c r="V15051" t="s">
        <v>64330</v>
      </c>
      <c r="W15051" t="s">
        <v>47314</v>
      </c>
      <c r="X15051" t="s">
        <v>47451</v>
      </c>
    </row>
    <row r="15052" spans="1:24">
      <c r="A15052">
        <f>HYPERLINK("https://www.philgeps.gov.ph/GEPSNONPILOT/Tender/SplashBidNoticeAbstractUI.aspx?menuIndex=3&amp;refID=7118424&amp;Result=3","7118424")</f>
        <v>0</v>
      </c>
      <c r="B15052" t="s">
        <v>3214</v>
      </c>
      <c r="C15052" t="s">
        <v>18161</v>
      </c>
      <c r="D15052" t="s">
        <v>19040</v>
      </c>
      <c r="E15052" t="s">
        <v>32027</v>
      </c>
      <c r="F15052" t="s">
        <v>32831</v>
      </c>
      <c r="G15052" t="s">
        <v>32839</v>
      </c>
      <c r="H15052" t="s">
        <v>32848</v>
      </c>
      <c r="I15052" t="s">
        <v>32851</v>
      </c>
      <c r="J15052" t="s">
        <v>42175</v>
      </c>
      <c r="K15052" t="s">
        <v>42745</v>
      </c>
      <c r="M15052" t="s">
        <v>46527</v>
      </c>
      <c r="N15052" t="s">
        <v>47424</v>
      </c>
      <c r="O15052" t="s">
        <v>47425</v>
      </c>
      <c r="Q15052">
        <v>1</v>
      </c>
      <c r="R15052" t="s">
        <v>47448</v>
      </c>
      <c r="S15052" t="s">
        <v>48585</v>
      </c>
      <c r="T15052" t="s">
        <v>49310</v>
      </c>
      <c r="U15052" t="s">
        <v>61900</v>
      </c>
      <c r="W15052" t="s">
        <v>46527</v>
      </c>
      <c r="X15052" t="s">
        <v>47451</v>
      </c>
    </row>
    <row r="15053" spans="1:24">
      <c r="A15053">
        <f>HYPERLINK("https://www.philgeps.gov.ph/GEPSNONPILOT/Tender/SplashBidNoticeAbstractUI.aspx?menuIndex=3&amp;refID=7118949&amp;Result=3","7118949")</f>
        <v>0</v>
      </c>
      <c r="B15053" t="s">
        <v>113</v>
      </c>
      <c r="C15053" t="s">
        <v>18162</v>
      </c>
      <c r="D15053" t="s">
        <v>19027</v>
      </c>
      <c r="E15053" t="s">
        <v>32028</v>
      </c>
      <c r="F15053" t="s">
        <v>32831</v>
      </c>
      <c r="G15053" t="s">
        <v>32839</v>
      </c>
      <c r="H15053" t="s">
        <v>32848</v>
      </c>
      <c r="I15053" t="s">
        <v>32874</v>
      </c>
      <c r="J15053" t="s">
        <v>34112</v>
      </c>
      <c r="K15053" t="s">
        <v>42731</v>
      </c>
      <c r="M15053" t="s">
        <v>47312</v>
      </c>
      <c r="N15053" t="s">
        <v>47424</v>
      </c>
      <c r="O15053" t="s">
        <v>47425</v>
      </c>
      <c r="Q15053">
        <v>5</v>
      </c>
      <c r="R15053" t="s">
        <v>47448</v>
      </c>
      <c r="S15053" t="s">
        <v>48586</v>
      </c>
      <c r="T15053" t="s">
        <v>49667</v>
      </c>
      <c r="U15053" t="s">
        <v>61901</v>
      </c>
      <c r="V15053" t="s">
        <v>64325</v>
      </c>
      <c r="W15053" t="s">
        <v>47312</v>
      </c>
      <c r="X15053" t="s">
        <v>47451</v>
      </c>
    </row>
    <row r="15054" spans="1:24">
      <c r="A15054">
        <f>HYPERLINK("https://www.philgeps.gov.ph/GEPSNONPILOT/Tender/SplashBidNoticeAbstractUI.aspx?menuIndex=3&amp;refID=7118893&amp;Result=3","7118893")</f>
        <v>0</v>
      </c>
      <c r="B15054" t="s">
        <v>113</v>
      </c>
      <c r="C15054" t="s">
        <v>18163</v>
      </c>
      <c r="D15054" t="s">
        <v>19027</v>
      </c>
      <c r="E15054" t="s">
        <v>32029</v>
      </c>
      <c r="F15054" t="s">
        <v>32831</v>
      </c>
      <c r="G15054" t="s">
        <v>32839</v>
      </c>
      <c r="H15054" t="s">
        <v>32848</v>
      </c>
      <c r="I15054" t="s">
        <v>32857</v>
      </c>
      <c r="J15054" t="s">
        <v>42176</v>
      </c>
      <c r="K15054" t="s">
        <v>42763</v>
      </c>
      <c r="M15054" t="s">
        <v>47312</v>
      </c>
      <c r="N15054" t="s">
        <v>47424</v>
      </c>
      <c r="O15054" t="s">
        <v>47425</v>
      </c>
      <c r="Q15054">
        <v>8</v>
      </c>
      <c r="R15054" t="s">
        <v>47448</v>
      </c>
      <c r="S15054" t="s">
        <v>48587</v>
      </c>
      <c r="T15054" t="s">
        <v>49667</v>
      </c>
      <c r="U15054" t="s">
        <v>61902</v>
      </c>
      <c r="V15054" t="s">
        <v>64325</v>
      </c>
      <c r="W15054" t="s">
        <v>47312</v>
      </c>
      <c r="X15054" t="s">
        <v>47451</v>
      </c>
    </row>
    <row r="15055" spans="1:24">
      <c r="A15055">
        <f>HYPERLINK("https://www.philgeps.gov.ph/GEPSNONPILOT/Tender/SplashBidNoticeAbstractUI.aspx?menuIndex=3&amp;refID=7118872&amp;Result=3","7118872")</f>
        <v>0</v>
      </c>
      <c r="B15055" t="s">
        <v>113</v>
      </c>
      <c r="C15055" t="s">
        <v>18164</v>
      </c>
      <c r="D15055" t="s">
        <v>19027</v>
      </c>
      <c r="E15055" t="s">
        <v>32030</v>
      </c>
      <c r="F15055" t="s">
        <v>32831</v>
      </c>
      <c r="G15055" t="s">
        <v>32839</v>
      </c>
      <c r="H15055" t="s">
        <v>32848</v>
      </c>
      <c r="I15055" t="s">
        <v>32857</v>
      </c>
      <c r="J15055" t="s">
        <v>42177</v>
      </c>
      <c r="K15055" t="s">
        <v>42763</v>
      </c>
      <c r="M15055" t="s">
        <v>47312</v>
      </c>
      <c r="N15055" t="s">
        <v>47424</v>
      </c>
      <c r="O15055" t="s">
        <v>47425</v>
      </c>
      <c r="Q15055">
        <v>13</v>
      </c>
      <c r="R15055" t="s">
        <v>47448</v>
      </c>
      <c r="S15055" t="s">
        <v>48588</v>
      </c>
      <c r="T15055" t="s">
        <v>49667</v>
      </c>
      <c r="U15055" t="s">
        <v>61903</v>
      </c>
      <c r="V15055" t="s">
        <v>64325</v>
      </c>
      <c r="W15055" t="s">
        <v>47312</v>
      </c>
      <c r="X15055" t="s">
        <v>47451</v>
      </c>
    </row>
    <row r="15056" spans="1:24">
      <c r="A15056">
        <f>HYPERLINK("https://www.philgeps.gov.ph/GEPSNONPILOT/Tender/SplashBidNoticeAbstractUI.aspx?menuIndex=3&amp;refID=7118869&amp;Result=3","7118869")</f>
        <v>0</v>
      </c>
      <c r="B15056" t="s">
        <v>2051</v>
      </c>
      <c r="C15056" t="s">
        <v>18165</v>
      </c>
      <c r="D15056" t="s">
        <v>19017</v>
      </c>
      <c r="E15056" t="s">
        <v>32031</v>
      </c>
      <c r="F15056" t="s">
        <v>32831</v>
      </c>
      <c r="G15056" t="s">
        <v>32841</v>
      </c>
      <c r="H15056" t="s">
        <v>32850</v>
      </c>
      <c r="I15056" t="s">
        <v>32863</v>
      </c>
      <c r="J15056" t="s">
        <v>37722</v>
      </c>
      <c r="K15056" t="s">
        <v>42774</v>
      </c>
      <c r="M15056" t="s">
        <v>47315</v>
      </c>
      <c r="N15056" t="s">
        <v>47424</v>
      </c>
      <c r="O15056" t="s">
        <v>47425</v>
      </c>
      <c r="Q15056">
        <v>4</v>
      </c>
      <c r="R15056" t="s">
        <v>47448</v>
      </c>
      <c r="S15056" t="s">
        <v>48589</v>
      </c>
      <c r="T15056" t="s">
        <v>49111</v>
      </c>
      <c r="U15056" t="s">
        <v>61899</v>
      </c>
      <c r="W15056" t="s">
        <v>47315</v>
      </c>
      <c r="X15056" t="s">
        <v>47451</v>
      </c>
    </row>
    <row r="15057" spans="1:24">
      <c r="A15057">
        <f>HYPERLINK("https://www.philgeps.gov.ph/GEPSNONPILOT/Tender/SplashBidNoticeAbstractUI.aspx?menuIndex=3&amp;refID=7118860&amp;Result=3","7118860")</f>
        <v>0</v>
      </c>
      <c r="B15057" t="s">
        <v>113</v>
      </c>
      <c r="C15057" t="s">
        <v>18166</v>
      </c>
      <c r="D15057" t="s">
        <v>19027</v>
      </c>
      <c r="E15057" t="s">
        <v>32032</v>
      </c>
      <c r="F15057" t="s">
        <v>32831</v>
      </c>
      <c r="G15057" t="s">
        <v>32839</v>
      </c>
      <c r="H15057" t="s">
        <v>32848</v>
      </c>
      <c r="I15057" t="s">
        <v>32871</v>
      </c>
      <c r="J15057" t="s">
        <v>38438</v>
      </c>
      <c r="K15057" t="s">
        <v>42730</v>
      </c>
      <c r="M15057" t="s">
        <v>47312</v>
      </c>
      <c r="N15057" t="s">
        <v>47424</v>
      </c>
      <c r="O15057" t="s">
        <v>47425</v>
      </c>
      <c r="Q15057">
        <v>20</v>
      </c>
      <c r="R15057" t="s">
        <v>47448</v>
      </c>
      <c r="S15057" t="s">
        <v>48590</v>
      </c>
      <c r="T15057" t="s">
        <v>49667</v>
      </c>
      <c r="U15057" t="s">
        <v>61904</v>
      </c>
      <c r="V15057" t="s">
        <v>64325</v>
      </c>
      <c r="W15057" t="s">
        <v>47312</v>
      </c>
      <c r="X15057" t="s">
        <v>47451</v>
      </c>
    </row>
    <row r="15058" spans="1:24">
      <c r="A15058">
        <f>HYPERLINK("https://www.philgeps.gov.ph/GEPSNONPILOT/Tender/SplashBidNoticeAbstractUI.aspx?menuIndex=3&amp;refID=7118932&amp;Result=3","7118932")</f>
        <v>0</v>
      </c>
      <c r="B15058" t="s">
        <v>113</v>
      </c>
      <c r="C15058" t="s">
        <v>18167</v>
      </c>
      <c r="D15058" t="s">
        <v>19027</v>
      </c>
      <c r="E15058" t="s">
        <v>32033</v>
      </c>
      <c r="F15058" t="s">
        <v>32831</v>
      </c>
      <c r="G15058" t="s">
        <v>32839</v>
      </c>
      <c r="H15058" t="s">
        <v>32848</v>
      </c>
      <c r="I15058" t="s">
        <v>32871</v>
      </c>
      <c r="J15058" t="s">
        <v>34733</v>
      </c>
      <c r="K15058" t="s">
        <v>42730</v>
      </c>
      <c r="M15058" t="s">
        <v>47312</v>
      </c>
      <c r="N15058" t="s">
        <v>47424</v>
      </c>
      <c r="O15058" t="s">
        <v>47425</v>
      </c>
      <c r="Q15058">
        <v>15</v>
      </c>
      <c r="R15058" t="s">
        <v>47448</v>
      </c>
      <c r="S15058" t="s">
        <v>48053</v>
      </c>
      <c r="T15058" t="s">
        <v>49667</v>
      </c>
      <c r="U15058" t="s">
        <v>61905</v>
      </c>
      <c r="V15058" t="s">
        <v>64325</v>
      </c>
      <c r="W15058" t="s">
        <v>47312</v>
      </c>
      <c r="X15058" t="s">
        <v>47451</v>
      </c>
    </row>
    <row r="15059" spans="1:24">
      <c r="A15059">
        <f>HYPERLINK("https://www.philgeps.gov.ph/GEPSNONPILOT/Tender/SplashBidNoticeAbstractUI.aspx?menuIndex=3&amp;refID=7118809&amp;Result=3","7118809")</f>
        <v>0</v>
      </c>
      <c r="B15059" t="s">
        <v>113</v>
      </c>
      <c r="C15059" t="s">
        <v>18168</v>
      </c>
      <c r="D15059" t="s">
        <v>19027</v>
      </c>
      <c r="E15059" t="s">
        <v>32034</v>
      </c>
      <c r="F15059" t="s">
        <v>32831</v>
      </c>
      <c r="G15059" t="s">
        <v>32839</v>
      </c>
      <c r="H15059" t="s">
        <v>32848</v>
      </c>
      <c r="I15059" t="s">
        <v>32857</v>
      </c>
      <c r="J15059" t="s">
        <v>42178</v>
      </c>
      <c r="K15059" t="s">
        <v>42731</v>
      </c>
      <c r="M15059" t="s">
        <v>47312</v>
      </c>
      <c r="N15059" t="s">
        <v>47424</v>
      </c>
      <c r="O15059" t="s">
        <v>47425</v>
      </c>
      <c r="Q15059">
        <v>3</v>
      </c>
      <c r="R15059" t="s">
        <v>47448</v>
      </c>
      <c r="S15059" t="s">
        <v>47665</v>
      </c>
      <c r="T15059" t="s">
        <v>49665</v>
      </c>
      <c r="U15059" t="s">
        <v>61906</v>
      </c>
      <c r="V15059" t="s">
        <v>64325</v>
      </c>
      <c r="W15059" t="s">
        <v>47312</v>
      </c>
      <c r="X15059" t="s">
        <v>47451</v>
      </c>
    </row>
    <row r="15060" spans="1:24">
      <c r="A15060">
        <f>HYPERLINK("https://www.philgeps.gov.ph/GEPSNONPILOT/Tender/SplashBidNoticeAbstractUI.aspx?menuIndex=3&amp;refID=7118807&amp;Result=3","7118807")</f>
        <v>0</v>
      </c>
      <c r="B15060" t="s">
        <v>1439</v>
      </c>
      <c r="C15060" t="s">
        <v>18169</v>
      </c>
      <c r="D15060" t="s">
        <v>19037</v>
      </c>
      <c r="E15060" t="s">
        <v>32035</v>
      </c>
      <c r="F15060" t="s">
        <v>32831</v>
      </c>
      <c r="G15060" t="s">
        <v>32838</v>
      </c>
      <c r="H15060" t="s">
        <v>32848</v>
      </c>
      <c r="I15060" t="s">
        <v>32874</v>
      </c>
      <c r="J15060" t="s">
        <v>35674</v>
      </c>
      <c r="K15060" t="s">
        <v>42727</v>
      </c>
      <c r="M15060" t="s">
        <v>44529</v>
      </c>
      <c r="N15060" t="s">
        <v>47424</v>
      </c>
      <c r="O15060" t="s">
        <v>47425</v>
      </c>
      <c r="Q15060">
        <v>10</v>
      </c>
      <c r="R15060" t="s">
        <v>47448</v>
      </c>
      <c r="S15060" t="s">
        <v>48591</v>
      </c>
      <c r="T15060" t="s">
        <v>49096</v>
      </c>
      <c r="U15060" t="s">
        <v>61907</v>
      </c>
      <c r="W15060" t="s">
        <v>44529</v>
      </c>
      <c r="X15060" t="s">
        <v>47451</v>
      </c>
    </row>
    <row r="15061" spans="1:24">
      <c r="A15061">
        <f>HYPERLINK("https://www.philgeps.gov.ph/GEPSNONPILOT/Tender/SplashBidNoticeAbstractUI.aspx?menuIndex=3&amp;refID=7118770&amp;Result=3","7118770")</f>
        <v>0</v>
      </c>
      <c r="B15061" t="s">
        <v>3869</v>
      </c>
      <c r="C15061" t="s">
        <v>18170</v>
      </c>
      <c r="D15061" t="s">
        <v>19018</v>
      </c>
      <c r="E15061" t="s">
        <v>32036</v>
      </c>
      <c r="F15061" t="s">
        <v>32831</v>
      </c>
      <c r="G15061" t="s">
        <v>32839</v>
      </c>
      <c r="H15061" t="s">
        <v>32849</v>
      </c>
      <c r="I15061" t="s">
        <v>4177</v>
      </c>
      <c r="J15061" t="s">
        <v>41024</v>
      </c>
      <c r="K15061" t="s">
        <v>42764</v>
      </c>
      <c r="M15061" t="s">
        <v>47316</v>
      </c>
      <c r="N15061" t="s">
        <v>47424</v>
      </c>
      <c r="O15061" t="s">
        <v>47425</v>
      </c>
      <c r="P15061">
        <v>0</v>
      </c>
      <c r="Q15061">
        <v>12</v>
      </c>
      <c r="R15061" t="s">
        <v>47448</v>
      </c>
      <c r="S15061" t="s">
        <v>48555</v>
      </c>
      <c r="T15061" t="s">
        <v>49237</v>
      </c>
      <c r="U15061" t="s">
        <v>61908</v>
      </c>
      <c r="W15061" t="s">
        <v>64563</v>
      </c>
      <c r="X15061" t="s">
        <v>47451</v>
      </c>
    </row>
    <row r="15062" spans="1:24">
      <c r="A15062">
        <f>HYPERLINK("https://www.philgeps.gov.ph/GEPSNONPILOT/Tender/SplashBidNoticeAbstractUI.aspx?menuIndex=3&amp;refID=7118757&amp;Result=3","7118757")</f>
        <v>0</v>
      </c>
      <c r="B15062" t="s">
        <v>113</v>
      </c>
      <c r="C15062" t="s">
        <v>18171</v>
      </c>
      <c r="D15062" t="s">
        <v>19027</v>
      </c>
      <c r="E15062" t="s">
        <v>32037</v>
      </c>
      <c r="F15062" t="s">
        <v>32831</v>
      </c>
      <c r="G15062" t="s">
        <v>32839</v>
      </c>
      <c r="H15062" t="s">
        <v>32848</v>
      </c>
      <c r="I15062" t="s">
        <v>32857</v>
      </c>
      <c r="J15062" t="s">
        <v>36254</v>
      </c>
      <c r="K15062" t="s">
        <v>42731</v>
      </c>
      <c r="M15062" t="s">
        <v>47312</v>
      </c>
      <c r="N15062" t="s">
        <v>47424</v>
      </c>
      <c r="O15062" t="s">
        <v>47425</v>
      </c>
      <c r="Q15062">
        <v>5</v>
      </c>
      <c r="R15062" t="s">
        <v>47448</v>
      </c>
      <c r="S15062" t="s">
        <v>47538</v>
      </c>
      <c r="T15062" t="s">
        <v>49665</v>
      </c>
      <c r="U15062" t="s">
        <v>61909</v>
      </c>
      <c r="V15062" t="s">
        <v>64325</v>
      </c>
      <c r="W15062" t="s">
        <v>47312</v>
      </c>
      <c r="X15062" t="s">
        <v>47451</v>
      </c>
    </row>
    <row r="15063" spans="1:24">
      <c r="A15063">
        <f>HYPERLINK("https://www.philgeps.gov.ph/GEPSNONPILOT/Tender/SplashBidNoticeAbstractUI.aspx?menuIndex=3&amp;refID=7118741&amp;Result=3","7118741")</f>
        <v>0</v>
      </c>
      <c r="B15063" t="s">
        <v>113</v>
      </c>
      <c r="C15063" t="s">
        <v>18172</v>
      </c>
      <c r="D15063" t="s">
        <v>19027</v>
      </c>
      <c r="E15063" t="s">
        <v>32038</v>
      </c>
      <c r="F15063" t="s">
        <v>32831</v>
      </c>
      <c r="G15063" t="s">
        <v>32839</v>
      </c>
      <c r="H15063" t="s">
        <v>32848</v>
      </c>
      <c r="I15063" t="s">
        <v>32857</v>
      </c>
      <c r="J15063" t="s">
        <v>42179</v>
      </c>
      <c r="K15063" t="s">
        <v>42731</v>
      </c>
      <c r="M15063" t="s">
        <v>47312</v>
      </c>
      <c r="N15063" t="s">
        <v>47424</v>
      </c>
      <c r="O15063" t="s">
        <v>47425</v>
      </c>
      <c r="Q15063">
        <v>7</v>
      </c>
      <c r="R15063" t="s">
        <v>47448</v>
      </c>
      <c r="S15063" t="s">
        <v>48592</v>
      </c>
      <c r="T15063" t="s">
        <v>49665</v>
      </c>
      <c r="U15063" t="s">
        <v>61910</v>
      </c>
      <c r="V15063" t="s">
        <v>64325</v>
      </c>
      <c r="W15063" t="s">
        <v>47312</v>
      </c>
      <c r="X15063" t="s">
        <v>47451</v>
      </c>
    </row>
    <row r="15064" spans="1:24">
      <c r="A15064">
        <f>HYPERLINK("https://www.philgeps.gov.ph/GEPSNONPILOT/Tender/SplashBidNoticeAbstractUI.aspx?menuIndex=3&amp;refID=7118778&amp;Result=3","7118778")</f>
        <v>0</v>
      </c>
      <c r="B15064" t="s">
        <v>113</v>
      </c>
      <c r="C15064" t="s">
        <v>18173</v>
      </c>
      <c r="D15064" t="s">
        <v>19027</v>
      </c>
      <c r="E15064" t="s">
        <v>32039</v>
      </c>
      <c r="F15064" t="s">
        <v>32831</v>
      </c>
      <c r="G15064" t="s">
        <v>32839</v>
      </c>
      <c r="H15064" t="s">
        <v>32848</v>
      </c>
      <c r="I15064" t="s">
        <v>32857</v>
      </c>
      <c r="J15064" t="s">
        <v>42180</v>
      </c>
      <c r="K15064" t="s">
        <v>42731</v>
      </c>
      <c r="M15064" t="s">
        <v>47312</v>
      </c>
      <c r="N15064" t="s">
        <v>47424</v>
      </c>
      <c r="O15064" t="s">
        <v>47425</v>
      </c>
      <c r="Q15064">
        <v>6</v>
      </c>
      <c r="R15064" t="s">
        <v>47448</v>
      </c>
      <c r="S15064" t="s">
        <v>47553</v>
      </c>
      <c r="T15064" t="s">
        <v>49665</v>
      </c>
      <c r="U15064" t="s">
        <v>61911</v>
      </c>
      <c r="V15064" t="s">
        <v>64325</v>
      </c>
      <c r="W15064" t="s">
        <v>47312</v>
      </c>
      <c r="X15064" t="s">
        <v>47451</v>
      </c>
    </row>
    <row r="15065" spans="1:24">
      <c r="A15065">
        <f>HYPERLINK("https://www.philgeps.gov.ph/GEPSNONPILOT/Tender/SplashBidNoticeAbstractUI.aspx?menuIndex=3&amp;refID=7118710&amp;Result=3","7118710")</f>
        <v>0</v>
      </c>
      <c r="B15065" t="s">
        <v>1009</v>
      </c>
      <c r="C15065" t="s">
        <v>18174</v>
      </c>
      <c r="D15065" t="s">
        <v>19039</v>
      </c>
      <c r="E15065" t="s">
        <v>32040</v>
      </c>
      <c r="F15065" t="s">
        <v>32831</v>
      </c>
      <c r="G15065" t="s">
        <v>32839</v>
      </c>
      <c r="H15065" t="s">
        <v>32848</v>
      </c>
      <c r="I15065" t="s">
        <v>7416</v>
      </c>
      <c r="J15065" t="s">
        <v>42181</v>
      </c>
      <c r="K15065" t="s">
        <v>42726</v>
      </c>
      <c r="L15065" t="s">
        <v>1009</v>
      </c>
      <c r="M15065" t="s">
        <v>47314</v>
      </c>
      <c r="N15065" t="s">
        <v>47424</v>
      </c>
      <c r="O15065" t="s">
        <v>47425</v>
      </c>
      <c r="P15065">
        <v>0</v>
      </c>
      <c r="Q15065">
        <v>1</v>
      </c>
      <c r="R15065" t="s">
        <v>47448</v>
      </c>
      <c r="S15065" t="s">
        <v>48555</v>
      </c>
      <c r="T15065" t="s">
        <v>49239</v>
      </c>
      <c r="U15065" t="s">
        <v>61892</v>
      </c>
      <c r="V15065" t="s">
        <v>64331</v>
      </c>
      <c r="W15065" t="s">
        <v>47314</v>
      </c>
      <c r="X15065" t="s">
        <v>47451</v>
      </c>
    </row>
    <row r="15066" spans="1:24">
      <c r="A15066">
        <f>HYPERLINK("https://www.philgeps.gov.ph/GEPSNONPILOT/Tender/SplashBidNoticeAbstractUI.aspx?menuIndex=3&amp;refID=7118678&amp;Result=3","7118678")</f>
        <v>0</v>
      </c>
      <c r="B15066" t="s">
        <v>886</v>
      </c>
      <c r="C15066" t="s">
        <v>18175</v>
      </c>
      <c r="E15066" t="s">
        <v>32041</v>
      </c>
      <c r="F15066" t="s">
        <v>32831</v>
      </c>
      <c r="G15066" t="s">
        <v>32839</v>
      </c>
      <c r="H15066" t="s">
        <v>32848</v>
      </c>
      <c r="I15066" t="s">
        <v>32871</v>
      </c>
      <c r="J15066" t="s">
        <v>38777</v>
      </c>
      <c r="K15066" t="s">
        <v>42732</v>
      </c>
      <c r="M15066" t="s">
        <v>45090</v>
      </c>
      <c r="N15066" t="s">
        <v>47424</v>
      </c>
      <c r="O15066" t="s">
        <v>47425</v>
      </c>
      <c r="Q15066">
        <v>17</v>
      </c>
      <c r="R15066" t="s">
        <v>47448</v>
      </c>
      <c r="S15066" t="s">
        <v>48593</v>
      </c>
      <c r="T15066" t="s">
        <v>49172</v>
      </c>
      <c r="U15066" t="s">
        <v>61912</v>
      </c>
      <c r="W15066" t="s">
        <v>45090</v>
      </c>
      <c r="X15066" t="s">
        <v>47451</v>
      </c>
    </row>
    <row r="15067" spans="1:24">
      <c r="A15067">
        <f>HYPERLINK("https://www.philgeps.gov.ph/GEPSNONPILOT/Tender/SplashBidNoticeAbstractUI.aspx?menuIndex=3&amp;refID=7118670&amp;Result=3","7118670")</f>
        <v>0</v>
      </c>
      <c r="B15067" t="s">
        <v>113</v>
      </c>
      <c r="C15067" t="s">
        <v>18176</v>
      </c>
      <c r="D15067" t="s">
        <v>19027</v>
      </c>
      <c r="E15067" t="s">
        <v>32042</v>
      </c>
      <c r="F15067" t="s">
        <v>32831</v>
      </c>
      <c r="G15067" t="s">
        <v>32839</v>
      </c>
      <c r="H15067" t="s">
        <v>32848</v>
      </c>
      <c r="I15067" t="s">
        <v>32857</v>
      </c>
      <c r="J15067" t="s">
        <v>42182</v>
      </c>
      <c r="K15067" t="s">
        <v>42731</v>
      </c>
      <c r="M15067" t="s">
        <v>47312</v>
      </c>
      <c r="N15067" t="s">
        <v>47424</v>
      </c>
      <c r="O15067" t="s">
        <v>47425</v>
      </c>
      <c r="Q15067">
        <v>7</v>
      </c>
      <c r="R15067" t="s">
        <v>47448</v>
      </c>
      <c r="S15067" t="s">
        <v>47888</v>
      </c>
      <c r="T15067" t="s">
        <v>49665</v>
      </c>
      <c r="U15067" t="s">
        <v>61913</v>
      </c>
      <c r="V15067" t="s">
        <v>64325</v>
      </c>
      <c r="W15067" t="s">
        <v>47312</v>
      </c>
      <c r="X15067" t="s">
        <v>47451</v>
      </c>
    </row>
    <row r="15068" spans="1:24">
      <c r="A15068">
        <f>HYPERLINK("https://www.philgeps.gov.ph/GEPSNONPILOT/Tender/SplashBidNoticeAbstractUI.aspx?menuIndex=3&amp;refID=7118972&amp;Result=3","7118972")</f>
        <v>0</v>
      </c>
      <c r="B15068" t="s">
        <v>113</v>
      </c>
      <c r="C15068" t="s">
        <v>18177</v>
      </c>
      <c r="D15068" t="s">
        <v>19027</v>
      </c>
      <c r="E15068" t="s">
        <v>32043</v>
      </c>
      <c r="F15068" t="s">
        <v>32831</v>
      </c>
      <c r="G15068" t="s">
        <v>32839</v>
      </c>
      <c r="H15068" t="s">
        <v>32848</v>
      </c>
      <c r="I15068" t="s">
        <v>32874</v>
      </c>
      <c r="J15068" t="s">
        <v>42183</v>
      </c>
      <c r="K15068" t="s">
        <v>42731</v>
      </c>
      <c r="M15068" t="s">
        <v>47312</v>
      </c>
      <c r="N15068" t="s">
        <v>47424</v>
      </c>
      <c r="O15068" t="s">
        <v>47425</v>
      </c>
      <c r="Q15068">
        <v>8</v>
      </c>
      <c r="R15068" t="s">
        <v>47448</v>
      </c>
      <c r="S15068" t="s">
        <v>48594</v>
      </c>
      <c r="T15068" t="s">
        <v>49667</v>
      </c>
      <c r="U15068" t="s">
        <v>61914</v>
      </c>
      <c r="V15068" t="s">
        <v>64325</v>
      </c>
      <c r="W15068" t="s">
        <v>47312</v>
      </c>
      <c r="X15068" t="s">
        <v>47451</v>
      </c>
    </row>
    <row r="15069" spans="1:24">
      <c r="A15069">
        <f>HYPERLINK("https://www.philgeps.gov.ph/GEPSNONPILOT/Tender/SplashBidNoticeAbstractUI.aspx?menuIndex=3&amp;refID=7118666&amp;Result=3","7118666")</f>
        <v>0</v>
      </c>
      <c r="B15069" t="s">
        <v>1009</v>
      </c>
      <c r="C15069" t="s">
        <v>18178</v>
      </c>
      <c r="D15069" t="s">
        <v>19039</v>
      </c>
      <c r="E15069" t="s">
        <v>32044</v>
      </c>
      <c r="F15069" t="s">
        <v>32831</v>
      </c>
      <c r="G15069" t="s">
        <v>32839</v>
      </c>
      <c r="H15069" t="s">
        <v>32848</v>
      </c>
      <c r="I15069" t="s">
        <v>7416</v>
      </c>
      <c r="J15069" t="s">
        <v>42184</v>
      </c>
      <c r="K15069" t="s">
        <v>42726</v>
      </c>
      <c r="L15069" t="s">
        <v>1009</v>
      </c>
      <c r="M15069" t="s">
        <v>47314</v>
      </c>
      <c r="N15069" t="s">
        <v>47424</v>
      </c>
      <c r="O15069" t="s">
        <v>47425</v>
      </c>
      <c r="P15069">
        <v>0</v>
      </c>
      <c r="Q15069">
        <v>1</v>
      </c>
      <c r="R15069" t="s">
        <v>47448</v>
      </c>
      <c r="S15069" t="s">
        <v>48555</v>
      </c>
      <c r="T15069" t="s">
        <v>49239</v>
      </c>
      <c r="U15069" t="s">
        <v>61892</v>
      </c>
      <c r="V15069" t="s">
        <v>64331</v>
      </c>
      <c r="W15069" t="s">
        <v>47314</v>
      </c>
      <c r="X15069" t="s">
        <v>47451</v>
      </c>
    </row>
    <row r="15070" spans="1:24">
      <c r="A15070">
        <f>HYPERLINK("https://www.philgeps.gov.ph/GEPSNONPILOT/Tender/SplashBidNoticeAbstractUI.aspx?menuIndex=3&amp;refID=7118646&amp;Result=3","7118646")</f>
        <v>0</v>
      </c>
      <c r="B15070" t="s">
        <v>1009</v>
      </c>
      <c r="C15070" t="s">
        <v>18179</v>
      </c>
      <c r="D15070" t="s">
        <v>19039</v>
      </c>
      <c r="E15070" t="s">
        <v>32045</v>
      </c>
      <c r="F15070" t="s">
        <v>32831</v>
      </c>
      <c r="G15070" t="s">
        <v>32839</v>
      </c>
      <c r="H15070" t="s">
        <v>32848</v>
      </c>
      <c r="I15070" t="s">
        <v>4487</v>
      </c>
      <c r="J15070" t="s">
        <v>34348</v>
      </c>
      <c r="K15070" t="s">
        <v>42726</v>
      </c>
      <c r="L15070" t="s">
        <v>1009</v>
      </c>
      <c r="M15070" t="s">
        <v>47314</v>
      </c>
      <c r="N15070" t="s">
        <v>47424</v>
      </c>
      <c r="O15070" t="s">
        <v>47425</v>
      </c>
      <c r="P15070">
        <v>0</v>
      </c>
      <c r="Q15070">
        <v>7</v>
      </c>
      <c r="R15070" t="s">
        <v>47448</v>
      </c>
      <c r="S15070" t="s">
        <v>48555</v>
      </c>
      <c r="T15070" t="s">
        <v>49239</v>
      </c>
      <c r="U15070" t="s">
        <v>61892</v>
      </c>
      <c r="V15070" t="s">
        <v>64331</v>
      </c>
      <c r="W15070" t="s">
        <v>47314</v>
      </c>
      <c r="X15070" t="s">
        <v>47451</v>
      </c>
    </row>
    <row r="15071" spans="1:24">
      <c r="A15071">
        <f>HYPERLINK("https://www.philgeps.gov.ph/GEPSNONPILOT/Tender/SplashBidNoticeAbstractUI.aspx?menuIndex=3&amp;refID=7118390&amp;Result=3","7118390")</f>
        <v>0</v>
      </c>
      <c r="B15071" t="s">
        <v>1009</v>
      </c>
      <c r="C15071" t="s">
        <v>18180</v>
      </c>
      <c r="D15071" t="s">
        <v>19039</v>
      </c>
      <c r="E15071" t="s">
        <v>32046</v>
      </c>
      <c r="F15071" t="s">
        <v>32831</v>
      </c>
      <c r="G15071" t="s">
        <v>32839</v>
      </c>
      <c r="H15071" t="s">
        <v>32848</v>
      </c>
      <c r="I15071" t="s">
        <v>7751</v>
      </c>
      <c r="J15071" t="s">
        <v>42185</v>
      </c>
      <c r="K15071" t="s">
        <v>42730</v>
      </c>
      <c r="L15071" t="s">
        <v>1009</v>
      </c>
      <c r="M15071" t="s">
        <v>47314</v>
      </c>
      <c r="N15071" t="s">
        <v>47424</v>
      </c>
      <c r="O15071" t="s">
        <v>47425</v>
      </c>
      <c r="P15071">
        <v>0</v>
      </c>
      <c r="Q15071">
        <v>9</v>
      </c>
      <c r="R15071" t="s">
        <v>47448</v>
      </c>
      <c r="S15071" t="s">
        <v>48555</v>
      </c>
      <c r="T15071" t="s">
        <v>49239</v>
      </c>
      <c r="U15071" t="s">
        <v>61892</v>
      </c>
      <c r="V15071" t="s">
        <v>64329</v>
      </c>
      <c r="W15071" t="s">
        <v>47314</v>
      </c>
      <c r="X15071" t="s">
        <v>47451</v>
      </c>
    </row>
    <row r="15072" spans="1:24">
      <c r="A15072">
        <f>HYPERLINK("https://www.philgeps.gov.ph/GEPSNONPILOT/Tender/SplashBidNoticeAbstractUI.aspx?menuIndex=3&amp;refID=7118337&amp;Result=3","7118337")</f>
        <v>0</v>
      </c>
      <c r="B15072" t="s">
        <v>1009</v>
      </c>
      <c r="C15072" t="s">
        <v>18181</v>
      </c>
      <c r="D15072" t="s">
        <v>19039</v>
      </c>
      <c r="E15072" t="s">
        <v>32047</v>
      </c>
      <c r="F15072" t="s">
        <v>32831</v>
      </c>
      <c r="G15072" t="s">
        <v>32839</v>
      </c>
      <c r="H15072" t="s">
        <v>32849</v>
      </c>
      <c r="I15072" t="s">
        <v>4177</v>
      </c>
      <c r="J15072" t="s">
        <v>42186</v>
      </c>
      <c r="K15072" t="s">
        <v>42766</v>
      </c>
      <c r="L15072" t="s">
        <v>1009</v>
      </c>
      <c r="M15072" t="s">
        <v>47314</v>
      </c>
      <c r="N15072" t="s">
        <v>47424</v>
      </c>
      <c r="O15072" t="s">
        <v>47425</v>
      </c>
      <c r="P15072">
        <v>0</v>
      </c>
      <c r="Q15072">
        <v>2</v>
      </c>
      <c r="R15072" t="s">
        <v>47448</v>
      </c>
      <c r="S15072" t="s">
        <v>48555</v>
      </c>
      <c r="T15072" t="s">
        <v>49239</v>
      </c>
      <c r="U15072" t="s">
        <v>61892</v>
      </c>
      <c r="V15072" t="s">
        <v>64329</v>
      </c>
      <c r="W15072" t="s">
        <v>47314</v>
      </c>
      <c r="X15072" t="s">
        <v>47451</v>
      </c>
    </row>
    <row r="15073" spans="1:24">
      <c r="A15073">
        <f>HYPERLINK("https://www.philgeps.gov.ph/GEPSNONPILOT/Tender/SplashBidNoticeAbstractUI.aspx?menuIndex=3&amp;refID=7118313&amp;Result=3","7118313")</f>
        <v>0</v>
      </c>
      <c r="B15073" t="s">
        <v>827</v>
      </c>
      <c r="C15073" t="s">
        <v>18182</v>
      </c>
      <c r="D15073" t="s">
        <v>19026</v>
      </c>
      <c r="E15073" t="s">
        <v>32048</v>
      </c>
      <c r="F15073" t="s">
        <v>32831</v>
      </c>
      <c r="G15073" t="s">
        <v>32839</v>
      </c>
      <c r="H15073" t="s">
        <v>32848</v>
      </c>
      <c r="I15073" t="s">
        <v>7751</v>
      </c>
      <c r="J15073" t="s">
        <v>42187</v>
      </c>
      <c r="K15073" t="s">
        <v>42730</v>
      </c>
      <c r="M15073" t="s">
        <v>43858</v>
      </c>
      <c r="N15073" t="s">
        <v>47424</v>
      </c>
      <c r="O15073" t="s">
        <v>47425</v>
      </c>
      <c r="Q15073">
        <v>3</v>
      </c>
      <c r="R15073" t="s">
        <v>47448</v>
      </c>
      <c r="S15073" t="s">
        <v>48595</v>
      </c>
      <c r="T15073" t="s">
        <v>49212</v>
      </c>
      <c r="U15073" t="s">
        <v>61915</v>
      </c>
      <c r="W15073" t="s">
        <v>43858</v>
      </c>
      <c r="X15073" t="s">
        <v>47451</v>
      </c>
    </row>
    <row r="15074" spans="1:24">
      <c r="A15074">
        <f>HYPERLINK("https://www.philgeps.gov.ph/GEPSNONPILOT/Tender/SplashBidNoticeAbstractUI.aspx?menuIndex=3&amp;refID=7118414&amp;Result=3","7118414")</f>
        <v>0</v>
      </c>
      <c r="B15074" t="s">
        <v>1009</v>
      </c>
      <c r="C15074" t="s">
        <v>18183</v>
      </c>
      <c r="D15074" t="s">
        <v>19039</v>
      </c>
      <c r="E15074" t="s">
        <v>32049</v>
      </c>
      <c r="F15074" t="s">
        <v>32831</v>
      </c>
      <c r="G15074" t="s">
        <v>32839</v>
      </c>
      <c r="H15074" t="s">
        <v>32848</v>
      </c>
      <c r="I15074" t="s">
        <v>32856</v>
      </c>
      <c r="J15074" t="s">
        <v>33044</v>
      </c>
      <c r="K15074" t="s">
        <v>42726</v>
      </c>
      <c r="L15074" t="s">
        <v>1009</v>
      </c>
      <c r="M15074" t="s">
        <v>47314</v>
      </c>
      <c r="N15074" t="s">
        <v>47424</v>
      </c>
      <c r="O15074" t="s">
        <v>47425</v>
      </c>
      <c r="P15074">
        <v>0</v>
      </c>
      <c r="Q15074">
        <v>6</v>
      </c>
      <c r="R15074" t="s">
        <v>47448</v>
      </c>
      <c r="S15074" t="s">
        <v>48555</v>
      </c>
      <c r="T15074" t="s">
        <v>49239</v>
      </c>
      <c r="U15074" t="s">
        <v>61892</v>
      </c>
      <c r="V15074" t="s">
        <v>64331</v>
      </c>
      <c r="W15074" t="s">
        <v>47314</v>
      </c>
      <c r="X15074" t="s">
        <v>47451</v>
      </c>
    </row>
    <row r="15075" spans="1:24">
      <c r="A15075">
        <f>HYPERLINK("https://www.philgeps.gov.ph/GEPSNONPILOT/Tender/SplashBidNoticeAbstractUI.aspx?menuIndex=3&amp;refID=7118704&amp;Result=3","7118704")</f>
        <v>0</v>
      </c>
      <c r="B15075" t="s">
        <v>113</v>
      </c>
      <c r="C15075" t="s">
        <v>18184</v>
      </c>
      <c r="D15075" t="s">
        <v>19027</v>
      </c>
      <c r="E15075" t="s">
        <v>32050</v>
      </c>
      <c r="F15075" t="s">
        <v>32831</v>
      </c>
      <c r="G15075" t="s">
        <v>32839</v>
      </c>
      <c r="H15075" t="s">
        <v>32848</v>
      </c>
      <c r="I15075" t="s">
        <v>32857</v>
      </c>
      <c r="J15075" t="s">
        <v>42188</v>
      </c>
      <c r="K15075" t="s">
        <v>42731</v>
      </c>
      <c r="M15075" t="s">
        <v>47312</v>
      </c>
      <c r="N15075" t="s">
        <v>47424</v>
      </c>
      <c r="O15075" t="s">
        <v>47425</v>
      </c>
      <c r="Q15075">
        <v>7</v>
      </c>
      <c r="R15075" t="s">
        <v>47448</v>
      </c>
      <c r="S15075" t="s">
        <v>48596</v>
      </c>
      <c r="T15075" t="s">
        <v>49665</v>
      </c>
      <c r="U15075" t="s">
        <v>61916</v>
      </c>
      <c r="V15075" t="s">
        <v>64325</v>
      </c>
      <c r="W15075" t="s">
        <v>47312</v>
      </c>
      <c r="X15075" t="s">
        <v>47451</v>
      </c>
    </row>
    <row r="15076" spans="1:24">
      <c r="A15076">
        <f>HYPERLINK("https://www.philgeps.gov.ph/GEPSNONPILOT/Tender/SplashBidNoticeAbstractUI.aspx?menuIndex=3&amp;refID=7118381&amp;Result=3","7118381")</f>
        <v>0</v>
      </c>
      <c r="B15076" t="s">
        <v>113</v>
      </c>
      <c r="C15076" t="s">
        <v>18185</v>
      </c>
      <c r="D15076" t="s">
        <v>19027</v>
      </c>
      <c r="E15076" t="s">
        <v>32051</v>
      </c>
      <c r="F15076" t="s">
        <v>32831</v>
      </c>
      <c r="G15076" t="s">
        <v>32839</v>
      </c>
      <c r="H15076" t="s">
        <v>32848</v>
      </c>
      <c r="I15076" t="s">
        <v>32857</v>
      </c>
      <c r="J15076" t="s">
        <v>42189</v>
      </c>
      <c r="K15076" t="s">
        <v>42731</v>
      </c>
      <c r="M15076" t="s">
        <v>47312</v>
      </c>
      <c r="N15076" t="s">
        <v>47424</v>
      </c>
      <c r="O15076" t="s">
        <v>47425</v>
      </c>
      <c r="Q15076">
        <v>7</v>
      </c>
      <c r="R15076" t="s">
        <v>47448</v>
      </c>
      <c r="S15076" t="s">
        <v>48037</v>
      </c>
      <c r="T15076" t="s">
        <v>49665</v>
      </c>
      <c r="U15076" t="s">
        <v>61917</v>
      </c>
      <c r="V15076" t="s">
        <v>64325</v>
      </c>
      <c r="W15076" t="s">
        <v>47312</v>
      </c>
      <c r="X15076" t="s">
        <v>47451</v>
      </c>
    </row>
    <row r="15077" spans="1:24">
      <c r="A15077">
        <f>HYPERLINK("https://www.philgeps.gov.ph/GEPSNONPILOT/Tender/SplashBidNoticeAbstractUI.aspx?menuIndex=3&amp;refID=7118304&amp;Result=3","7118304")</f>
        <v>0</v>
      </c>
      <c r="B15077" t="s">
        <v>147</v>
      </c>
      <c r="C15077" t="s">
        <v>18186</v>
      </c>
      <c r="D15077" t="s">
        <v>19067</v>
      </c>
      <c r="E15077" t="s">
        <v>32052</v>
      </c>
      <c r="F15077" t="s">
        <v>32831</v>
      </c>
      <c r="G15077" t="s">
        <v>32839</v>
      </c>
      <c r="H15077" t="s">
        <v>32848</v>
      </c>
      <c r="I15077" t="s">
        <v>32855</v>
      </c>
      <c r="J15077" t="s">
        <v>42190</v>
      </c>
      <c r="K15077" t="s">
        <v>42763</v>
      </c>
      <c r="M15077" t="s">
        <v>43144</v>
      </c>
      <c r="N15077" t="s">
        <v>47424</v>
      </c>
      <c r="O15077" t="s">
        <v>47425</v>
      </c>
      <c r="Q15077">
        <v>2</v>
      </c>
      <c r="R15077" t="s">
        <v>47448</v>
      </c>
      <c r="S15077" t="s">
        <v>48597</v>
      </c>
      <c r="T15077" t="s">
        <v>49237</v>
      </c>
      <c r="U15077" t="s">
        <v>61918</v>
      </c>
      <c r="W15077" t="s">
        <v>43144</v>
      </c>
      <c r="X15077" t="s">
        <v>47451</v>
      </c>
    </row>
    <row r="15078" spans="1:24">
      <c r="A15078">
        <f>HYPERLINK("https://www.philgeps.gov.ph/GEPSNONPILOT/Tender/SplashBidNoticeAbstractUI.aspx?menuIndex=3&amp;refID=7118290&amp;Result=3","7118290")</f>
        <v>0</v>
      </c>
      <c r="B15078" t="s">
        <v>113</v>
      </c>
      <c r="C15078" t="s">
        <v>18187</v>
      </c>
      <c r="D15078" t="s">
        <v>19027</v>
      </c>
      <c r="E15078" t="s">
        <v>32053</v>
      </c>
      <c r="F15078" t="s">
        <v>32831</v>
      </c>
      <c r="G15078" t="s">
        <v>32839</v>
      </c>
      <c r="H15078" t="s">
        <v>32848</v>
      </c>
      <c r="I15078" t="s">
        <v>32857</v>
      </c>
      <c r="J15078" t="s">
        <v>42191</v>
      </c>
      <c r="K15078" t="s">
        <v>42731</v>
      </c>
      <c r="M15078" t="s">
        <v>47312</v>
      </c>
      <c r="N15078" t="s">
        <v>47424</v>
      </c>
      <c r="O15078" t="s">
        <v>47425</v>
      </c>
      <c r="Q15078">
        <v>9</v>
      </c>
      <c r="R15078" t="s">
        <v>47448</v>
      </c>
      <c r="S15078" t="s">
        <v>48345</v>
      </c>
      <c r="T15078" t="s">
        <v>49665</v>
      </c>
      <c r="U15078" t="s">
        <v>61919</v>
      </c>
      <c r="V15078" t="s">
        <v>64325</v>
      </c>
      <c r="W15078" t="s">
        <v>47312</v>
      </c>
      <c r="X15078" t="s">
        <v>47451</v>
      </c>
    </row>
    <row r="15079" spans="1:24">
      <c r="A15079">
        <f>HYPERLINK("https://www.philgeps.gov.ph/GEPSNONPILOT/Tender/SplashBidNoticeAbstractUI.aspx?menuIndex=3&amp;refID=7119042&amp;Result=3","7119042")</f>
        <v>0</v>
      </c>
      <c r="B15079" t="s">
        <v>113</v>
      </c>
      <c r="C15079" t="s">
        <v>18188</v>
      </c>
      <c r="D15079" t="s">
        <v>19027</v>
      </c>
      <c r="E15079" t="s">
        <v>32054</v>
      </c>
      <c r="F15079" t="s">
        <v>32831</v>
      </c>
      <c r="G15079" t="s">
        <v>32839</v>
      </c>
      <c r="H15079" t="s">
        <v>32848</v>
      </c>
      <c r="I15079" t="s">
        <v>32874</v>
      </c>
      <c r="J15079" t="s">
        <v>33692</v>
      </c>
      <c r="K15079" t="s">
        <v>42731</v>
      </c>
      <c r="M15079" t="s">
        <v>47312</v>
      </c>
      <c r="N15079" t="s">
        <v>47424</v>
      </c>
      <c r="O15079" t="s">
        <v>47425</v>
      </c>
      <c r="Q15079">
        <v>5</v>
      </c>
      <c r="R15079" t="s">
        <v>47448</v>
      </c>
      <c r="S15079" t="s">
        <v>47976</v>
      </c>
      <c r="T15079" t="s">
        <v>49667</v>
      </c>
      <c r="U15079" t="s">
        <v>61920</v>
      </c>
      <c r="V15079" t="s">
        <v>64325</v>
      </c>
      <c r="W15079" t="s">
        <v>47312</v>
      </c>
      <c r="X15079" t="s">
        <v>47451</v>
      </c>
    </row>
    <row r="15080" spans="1:24">
      <c r="A15080">
        <f>HYPERLINK("https://www.philgeps.gov.ph/GEPSNONPILOT/Tender/SplashBidNoticeAbstractUI.aspx?menuIndex=3&amp;refID=7118242&amp;Result=3","7118242")</f>
        <v>0</v>
      </c>
      <c r="B15080" t="s">
        <v>92</v>
      </c>
      <c r="C15080" t="s">
        <v>18189</v>
      </c>
      <c r="D15080" t="s">
        <v>19051</v>
      </c>
      <c r="E15080" t="s">
        <v>19260</v>
      </c>
      <c r="F15080" t="s">
        <v>32831</v>
      </c>
      <c r="G15080" t="s">
        <v>32839</v>
      </c>
      <c r="H15080" t="s">
        <v>32849</v>
      </c>
      <c r="I15080" t="s">
        <v>4177</v>
      </c>
      <c r="J15080" t="s">
        <v>33081</v>
      </c>
      <c r="K15080" t="s">
        <v>42732</v>
      </c>
      <c r="M15080" t="s">
        <v>43089</v>
      </c>
      <c r="N15080" t="s">
        <v>47424</v>
      </c>
      <c r="O15080" t="s">
        <v>47425</v>
      </c>
      <c r="Q15080">
        <v>0</v>
      </c>
      <c r="R15080" t="s">
        <v>47448</v>
      </c>
      <c r="S15080" t="s">
        <v>48598</v>
      </c>
      <c r="T15080" t="s">
        <v>49196</v>
      </c>
      <c r="U15080" t="s">
        <v>61921</v>
      </c>
      <c r="V15080" t="s">
        <v>64328</v>
      </c>
      <c r="W15080" t="s">
        <v>43089</v>
      </c>
      <c r="X15080" t="s">
        <v>47451</v>
      </c>
    </row>
    <row r="15081" spans="1:24">
      <c r="A15081">
        <f>HYPERLINK("https://www.philgeps.gov.ph/GEPSNONPILOT/Tender/SplashBidNoticeAbstractUI.aspx?menuIndex=3&amp;refID=7118576&amp;Result=3","7118576")</f>
        <v>0</v>
      </c>
      <c r="B15081" t="s">
        <v>1009</v>
      </c>
      <c r="C15081" t="s">
        <v>18190</v>
      </c>
      <c r="D15081" t="s">
        <v>19039</v>
      </c>
      <c r="E15081" t="s">
        <v>32055</v>
      </c>
      <c r="F15081" t="s">
        <v>32831</v>
      </c>
      <c r="G15081" t="s">
        <v>32839</v>
      </c>
      <c r="H15081" t="s">
        <v>32848</v>
      </c>
      <c r="I15081" t="s">
        <v>32856</v>
      </c>
      <c r="J15081" t="s">
        <v>35909</v>
      </c>
      <c r="K15081" t="s">
        <v>42726</v>
      </c>
      <c r="L15081" t="s">
        <v>1009</v>
      </c>
      <c r="M15081" t="s">
        <v>47314</v>
      </c>
      <c r="N15081" t="s">
        <v>47424</v>
      </c>
      <c r="O15081" t="s">
        <v>47425</v>
      </c>
      <c r="P15081">
        <v>0</v>
      </c>
      <c r="Q15081">
        <v>5</v>
      </c>
      <c r="R15081" t="s">
        <v>47448</v>
      </c>
      <c r="S15081" t="s">
        <v>48555</v>
      </c>
      <c r="T15081" t="s">
        <v>49239</v>
      </c>
      <c r="U15081" t="s">
        <v>61892</v>
      </c>
      <c r="V15081" t="s">
        <v>64331</v>
      </c>
      <c r="W15081" t="s">
        <v>47314</v>
      </c>
      <c r="X15081" t="s">
        <v>47451</v>
      </c>
    </row>
    <row r="15082" spans="1:24">
      <c r="A15082">
        <f>HYPERLINK("https://www.philgeps.gov.ph/GEPSNONPILOT/Tender/SplashBidNoticeAbstractUI.aspx?menuIndex=3&amp;refID=7119034&amp;Result=3","7119034")</f>
        <v>0</v>
      </c>
      <c r="B15082" t="s">
        <v>113</v>
      </c>
      <c r="C15082" t="s">
        <v>18191</v>
      </c>
      <c r="D15082" t="s">
        <v>19027</v>
      </c>
      <c r="E15082" t="s">
        <v>32056</v>
      </c>
      <c r="F15082" t="s">
        <v>32831</v>
      </c>
      <c r="G15082" t="s">
        <v>32839</v>
      </c>
      <c r="H15082" t="s">
        <v>32848</v>
      </c>
      <c r="I15082" t="s">
        <v>32874</v>
      </c>
      <c r="J15082" t="s">
        <v>42192</v>
      </c>
      <c r="K15082" t="s">
        <v>42731</v>
      </c>
      <c r="M15082" t="s">
        <v>47312</v>
      </c>
      <c r="N15082" t="s">
        <v>47424</v>
      </c>
      <c r="O15082" t="s">
        <v>47425</v>
      </c>
      <c r="Q15082">
        <v>7</v>
      </c>
      <c r="R15082" t="s">
        <v>47448</v>
      </c>
      <c r="S15082" t="s">
        <v>48599</v>
      </c>
      <c r="T15082" t="s">
        <v>49667</v>
      </c>
      <c r="U15082" t="s">
        <v>61922</v>
      </c>
      <c r="V15082" t="s">
        <v>64325</v>
      </c>
      <c r="W15082" t="s">
        <v>47312</v>
      </c>
      <c r="X15082" t="s">
        <v>47451</v>
      </c>
    </row>
    <row r="15083" spans="1:24">
      <c r="A15083">
        <f>HYPERLINK("https://www.philgeps.gov.ph/GEPSNONPILOT/Tender/SplashBidNoticeAbstractUI.aspx?menuIndex=3&amp;refID=7119036&amp;Result=3","7119036")</f>
        <v>0</v>
      </c>
      <c r="B15083" t="s">
        <v>113</v>
      </c>
      <c r="C15083" t="s">
        <v>18192</v>
      </c>
      <c r="D15083" t="s">
        <v>19027</v>
      </c>
      <c r="E15083" t="s">
        <v>32057</v>
      </c>
      <c r="F15083" t="s">
        <v>32831</v>
      </c>
      <c r="G15083" t="s">
        <v>32839</v>
      </c>
      <c r="H15083" t="s">
        <v>32848</v>
      </c>
      <c r="I15083" t="s">
        <v>4558</v>
      </c>
      <c r="J15083" t="s">
        <v>42193</v>
      </c>
      <c r="K15083" t="s">
        <v>42731</v>
      </c>
      <c r="M15083" t="s">
        <v>47317</v>
      </c>
      <c r="N15083" t="s">
        <v>47424</v>
      </c>
      <c r="O15083" t="s">
        <v>47425</v>
      </c>
      <c r="Q15083">
        <v>11</v>
      </c>
      <c r="R15083" t="s">
        <v>47448</v>
      </c>
      <c r="S15083" t="s">
        <v>48600</v>
      </c>
      <c r="T15083" t="s">
        <v>49666</v>
      </c>
      <c r="U15083" t="s">
        <v>61923</v>
      </c>
      <c r="V15083" t="s">
        <v>64325</v>
      </c>
      <c r="W15083" t="s">
        <v>47317</v>
      </c>
      <c r="X15083" t="s">
        <v>47451</v>
      </c>
    </row>
    <row r="15084" spans="1:24">
      <c r="A15084">
        <f>HYPERLINK("https://www.philgeps.gov.ph/GEPSNONPILOT/Tender/SplashBidNoticeAbstractUI.aspx?menuIndex=3&amp;refID=7119026&amp;Result=3","7119026")</f>
        <v>0</v>
      </c>
      <c r="B15084" t="s">
        <v>113</v>
      </c>
      <c r="C15084" t="s">
        <v>18193</v>
      </c>
      <c r="D15084" t="s">
        <v>19027</v>
      </c>
      <c r="E15084" t="s">
        <v>32058</v>
      </c>
      <c r="F15084" t="s">
        <v>32831</v>
      </c>
      <c r="G15084" t="s">
        <v>32839</v>
      </c>
      <c r="H15084" t="s">
        <v>32848</v>
      </c>
      <c r="I15084" t="s">
        <v>32874</v>
      </c>
      <c r="J15084" t="s">
        <v>33118</v>
      </c>
      <c r="K15084" t="s">
        <v>42731</v>
      </c>
      <c r="M15084" t="s">
        <v>47312</v>
      </c>
      <c r="N15084" t="s">
        <v>47424</v>
      </c>
      <c r="O15084" t="s">
        <v>47425</v>
      </c>
      <c r="Q15084">
        <v>5</v>
      </c>
      <c r="R15084" t="s">
        <v>47448</v>
      </c>
      <c r="S15084" t="s">
        <v>48601</v>
      </c>
      <c r="T15084" t="s">
        <v>49667</v>
      </c>
      <c r="U15084" t="s">
        <v>61924</v>
      </c>
      <c r="V15084" t="s">
        <v>64325</v>
      </c>
      <c r="W15084" t="s">
        <v>47312</v>
      </c>
      <c r="X15084" t="s">
        <v>47451</v>
      </c>
    </row>
    <row r="15085" spans="1:24">
      <c r="A15085">
        <f>HYPERLINK("https://www.philgeps.gov.ph/GEPSNONPILOT/Tender/SplashBidNoticeAbstractUI.aspx?menuIndex=3&amp;refID=7119024&amp;Result=3","7119024")</f>
        <v>0</v>
      </c>
      <c r="B15085" t="s">
        <v>113</v>
      </c>
      <c r="C15085" t="s">
        <v>18194</v>
      </c>
      <c r="D15085" t="s">
        <v>19027</v>
      </c>
      <c r="E15085" t="s">
        <v>32059</v>
      </c>
      <c r="F15085" t="s">
        <v>32831</v>
      </c>
      <c r="G15085" t="s">
        <v>32839</v>
      </c>
      <c r="H15085" t="s">
        <v>32848</v>
      </c>
      <c r="I15085" t="s">
        <v>32874</v>
      </c>
      <c r="J15085" t="s">
        <v>33561</v>
      </c>
      <c r="K15085" t="s">
        <v>42731</v>
      </c>
      <c r="M15085" t="s">
        <v>47312</v>
      </c>
      <c r="N15085" t="s">
        <v>47424</v>
      </c>
      <c r="O15085" t="s">
        <v>47425</v>
      </c>
      <c r="Q15085">
        <v>6</v>
      </c>
      <c r="R15085" t="s">
        <v>47448</v>
      </c>
      <c r="S15085" t="s">
        <v>48602</v>
      </c>
      <c r="T15085" t="s">
        <v>49667</v>
      </c>
      <c r="U15085" t="s">
        <v>61925</v>
      </c>
      <c r="V15085" t="s">
        <v>64325</v>
      </c>
      <c r="W15085" t="s">
        <v>47312</v>
      </c>
      <c r="X15085" t="s">
        <v>47451</v>
      </c>
    </row>
    <row r="15086" spans="1:24">
      <c r="A15086">
        <f>HYPERLINK("https://www.philgeps.gov.ph/GEPSNONPILOT/Tender/SplashBidNoticeAbstractUI.aspx?menuIndex=3&amp;refID=7119038&amp;Result=3","7119038")</f>
        <v>0</v>
      </c>
      <c r="B15086" t="s">
        <v>113</v>
      </c>
      <c r="C15086" t="s">
        <v>18195</v>
      </c>
      <c r="D15086" t="s">
        <v>19027</v>
      </c>
      <c r="E15086" t="s">
        <v>32060</v>
      </c>
      <c r="F15086" t="s">
        <v>32831</v>
      </c>
      <c r="G15086" t="s">
        <v>32839</v>
      </c>
      <c r="H15086" t="s">
        <v>32848</v>
      </c>
      <c r="I15086" t="s">
        <v>32874</v>
      </c>
      <c r="J15086" t="s">
        <v>40397</v>
      </c>
      <c r="K15086" t="s">
        <v>42731</v>
      </c>
      <c r="M15086" t="s">
        <v>47312</v>
      </c>
      <c r="N15086" t="s">
        <v>47424</v>
      </c>
      <c r="O15086" t="s">
        <v>47425</v>
      </c>
      <c r="Q15086">
        <v>4</v>
      </c>
      <c r="R15086" t="s">
        <v>47448</v>
      </c>
      <c r="S15086" t="s">
        <v>48603</v>
      </c>
      <c r="T15086" t="s">
        <v>49667</v>
      </c>
      <c r="U15086" t="s">
        <v>61926</v>
      </c>
      <c r="V15086" t="s">
        <v>64325</v>
      </c>
      <c r="W15086" t="s">
        <v>47312</v>
      </c>
      <c r="X15086" t="s">
        <v>47451</v>
      </c>
    </row>
    <row r="15087" spans="1:24">
      <c r="A15087">
        <f>HYPERLINK("https://www.philgeps.gov.ph/GEPSNONPILOT/Tender/SplashBidNoticeAbstractUI.aspx?menuIndex=3&amp;refID=7119019&amp;Result=3","7119019")</f>
        <v>0</v>
      </c>
      <c r="B15087" t="s">
        <v>468</v>
      </c>
      <c r="C15087" t="s">
        <v>18196</v>
      </c>
      <c r="D15087" t="s">
        <v>19031</v>
      </c>
      <c r="E15087" t="s">
        <v>32061</v>
      </c>
      <c r="F15087" t="s">
        <v>32831</v>
      </c>
      <c r="G15087" t="s">
        <v>32839</v>
      </c>
      <c r="H15087" t="s">
        <v>32849</v>
      </c>
      <c r="I15087" t="s">
        <v>4177</v>
      </c>
      <c r="J15087" t="s">
        <v>33016</v>
      </c>
      <c r="K15087" t="s">
        <v>42739</v>
      </c>
      <c r="M15087" t="s">
        <v>47318</v>
      </c>
      <c r="N15087" t="s">
        <v>47424</v>
      </c>
      <c r="O15087" t="s">
        <v>47425</v>
      </c>
      <c r="P15087">
        <v>0</v>
      </c>
      <c r="Q15087">
        <v>1</v>
      </c>
      <c r="R15087" t="s">
        <v>47448</v>
      </c>
      <c r="S15087" t="s">
        <v>48555</v>
      </c>
      <c r="T15087" t="s">
        <v>49070</v>
      </c>
      <c r="U15087" t="s">
        <v>61927</v>
      </c>
      <c r="W15087" t="s">
        <v>64525</v>
      </c>
      <c r="X15087" t="s">
        <v>47451</v>
      </c>
    </row>
    <row r="15088" spans="1:24">
      <c r="A15088">
        <f>HYPERLINK("https://www.philgeps.gov.ph/GEPSNONPILOT/Tender/SplashBidNoticeAbstractUI.aspx?menuIndex=3&amp;refID=7119046&amp;Result=3","7119046")</f>
        <v>0</v>
      </c>
      <c r="B15088" t="s">
        <v>113</v>
      </c>
      <c r="C15088" t="s">
        <v>18197</v>
      </c>
      <c r="D15088" t="s">
        <v>19027</v>
      </c>
      <c r="E15088" t="s">
        <v>32062</v>
      </c>
      <c r="F15088" t="s">
        <v>32831</v>
      </c>
      <c r="G15088" t="s">
        <v>32839</v>
      </c>
      <c r="H15088" t="s">
        <v>32848</v>
      </c>
      <c r="I15088" t="s">
        <v>32874</v>
      </c>
      <c r="J15088" t="s">
        <v>42194</v>
      </c>
      <c r="K15088" t="s">
        <v>42731</v>
      </c>
      <c r="M15088" t="s">
        <v>47312</v>
      </c>
      <c r="N15088" t="s">
        <v>47424</v>
      </c>
      <c r="O15088" t="s">
        <v>47425</v>
      </c>
      <c r="Q15088">
        <v>9</v>
      </c>
      <c r="R15088" t="s">
        <v>47448</v>
      </c>
      <c r="S15088" t="s">
        <v>47921</v>
      </c>
      <c r="T15088" t="s">
        <v>49667</v>
      </c>
      <c r="U15088" t="s">
        <v>61928</v>
      </c>
      <c r="V15088" t="s">
        <v>64325</v>
      </c>
      <c r="W15088" t="s">
        <v>47312</v>
      </c>
      <c r="X15088" t="s">
        <v>47451</v>
      </c>
    </row>
    <row r="15089" spans="1:24">
      <c r="A15089">
        <f>HYPERLINK("https://www.philgeps.gov.ph/GEPSNONPILOT/Tender/SplashBidNoticeAbstractUI.aspx?menuIndex=3&amp;refID=7119010&amp;Result=3","7119010")</f>
        <v>0</v>
      </c>
      <c r="B15089" t="s">
        <v>113</v>
      </c>
      <c r="C15089" t="s">
        <v>18198</v>
      </c>
      <c r="D15089" t="s">
        <v>19027</v>
      </c>
      <c r="E15089" t="s">
        <v>32063</v>
      </c>
      <c r="F15089" t="s">
        <v>32831</v>
      </c>
      <c r="G15089" t="s">
        <v>32839</v>
      </c>
      <c r="H15089" t="s">
        <v>32848</v>
      </c>
      <c r="I15089" t="s">
        <v>32874</v>
      </c>
      <c r="J15089" t="s">
        <v>42195</v>
      </c>
      <c r="K15089" t="s">
        <v>42731</v>
      </c>
      <c r="M15089" t="s">
        <v>47312</v>
      </c>
      <c r="N15089" t="s">
        <v>47424</v>
      </c>
      <c r="O15089" t="s">
        <v>47425</v>
      </c>
      <c r="Q15089">
        <v>4</v>
      </c>
      <c r="R15089" t="s">
        <v>47448</v>
      </c>
      <c r="S15089" t="s">
        <v>48034</v>
      </c>
      <c r="T15089" t="s">
        <v>49667</v>
      </c>
      <c r="U15089" t="s">
        <v>61929</v>
      </c>
      <c r="V15089" t="s">
        <v>64325</v>
      </c>
      <c r="W15089" t="s">
        <v>47312</v>
      </c>
      <c r="X15089" t="s">
        <v>47451</v>
      </c>
    </row>
    <row r="15090" spans="1:24">
      <c r="A15090">
        <f>HYPERLINK("https://www.philgeps.gov.ph/GEPSNONPILOT/Tender/SplashBidNoticeAbstractUI.aspx?menuIndex=3&amp;refID=7119028&amp;Result=3","7119028")</f>
        <v>0</v>
      </c>
      <c r="B15090" t="s">
        <v>113</v>
      </c>
      <c r="C15090" t="s">
        <v>18199</v>
      </c>
      <c r="D15090" t="s">
        <v>19027</v>
      </c>
      <c r="E15090" t="s">
        <v>32064</v>
      </c>
      <c r="F15090" t="s">
        <v>32831</v>
      </c>
      <c r="G15090" t="s">
        <v>32839</v>
      </c>
      <c r="H15090" t="s">
        <v>32848</v>
      </c>
      <c r="I15090" t="s">
        <v>4558</v>
      </c>
      <c r="J15090" t="s">
        <v>42196</v>
      </c>
      <c r="K15090" t="s">
        <v>42731</v>
      </c>
      <c r="M15090" t="s">
        <v>47317</v>
      </c>
      <c r="N15090" t="s">
        <v>47424</v>
      </c>
      <c r="O15090" t="s">
        <v>47425</v>
      </c>
      <c r="Q15090">
        <v>6</v>
      </c>
      <c r="R15090" t="s">
        <v>47448</v>
      </c>
      <c r="S15090" t="s">
        <v>48604</v>
      </c>
      <c r="T15090" t="s">
        <v>49666</v>
      </c>
      <c r="U15090" t="s">
        <v>61930</v>
      </c>
      <c r="V15090" t="s">
        <v>64325</v>
      </c>
      <c r="W15090" t="s">
        <v>47317</v>
      </c>
      <c r="X15090" t="s">
        <v>47451</v>
      </c>
    </row>
    <row r="15091" spans="1:24">
      <c r="A15091">
        <f>HYPERLINK("https://www.philgeps.gov.ph/GEPSNONPILOT/Tender/SplashBidNoticeAbstractUI.aspx?menuIndex=3&amp;refID=7119008&amp;Result=3","7119008")</f>
        <v>0</v>
      </c>
      <c r="B15091" t="s">
        <v>113</v>
      </c>
      <c r="C15091" t="s">
        <v>18200</v>
      </c>
      <c r="D15091" t="s">
        <v>19027</v>
      </c>
      <c r="E15091" t="s">
        <v>32065</v>
      </c>
      <c r="F15091" t="s">
        <v>32831</v>
      </c>
      <c r="G15091" t="s">
        <v>32839</v>
      </c>
      <c r="H15091" t="s">
        <v>32848</v>
      </c>
      <c r="I15091" t="s">
        <v>4558</v>
      </c>
      <c r="J15091" t="s">
        <v>42197</v>
      </c>
      <c r="K15091" t="s">
        <v>42731</v>
      </c>
      <c r="M15091" t="s">
        <v>47317</v>
      </c>
      <c r="N15091" t="s">
        <v>47424</v>
      </c>
      <c r="O15091" t="s">
        <v>47425</v>
      </c>
      <c r="Q15091">
        <v>11</v>
      </c>
      <c r="R15091" t="s">
        <v>47448</v>
      </c>
      <c r="S15091" t="s">
        <v>48605</v>
      </c>
      <c r="T15091" t="s">
        <v>49668</v>
      </c>
      <c r="U15091" t="s">
        <v>61931</v>
      </c>
      <c r="V15091" t="s">
        <v>64325</v>
      </c>
      <c r="W15091" t="s">
        <v>47317</v>
      </c>
      <c r="X15091" t="s">
        <v>47451</v>
      </c>
    </row>
    <row r="15092" spans="1:24">
      <c r="A15092">
        <f>HYPERLINK("https://www.philgeps.gov.ph/GEPSNONPILOT/Tender/SplashBidNoticeAbstractUI.aspx?menuIndex=3&amp;refID=7119018&amp;Result=3","7119018")</f>
        <v>0</v>
      </c>
      <c r="B15092" t="s">
        <v>113</v>
      </c>
      <c r="C15092" t="s">
        <v>18201</v>
      </c>
      <c r="D15092" t="s">
        <v>19027</v>
      </c>
      <c r="E15092" t="s">
        <v>32066</v>
      </c>
      <c r="F15092" t="s">
        <v>32831</v>
      </c>
      <c r="G15092" t="s">
        <v>32839</v>
      </c>
      <c r="H15092" t="s">
        <v>32848</v>
      </c>
      <c r="I15092" t="s">
        <v>32874</v>
      </c>
      <c r="J15092" t="s">
        <v>42198</v>
      </c>
      <c r="K15092" t="s">
        <v>42731</v>
      </c>
      <c r="M15092" t="s">
        <v>47312</v>
      </c>
      <c r="N15092" t="s">
        <v>47424</v>
      </c>
      <c r="O15092" t="s">
        <v>47425</v>
      </c>
      <c r="Q15092">
        <v>5</v>
      </c>
      <c r="R15092" t="s">
        <v>47448</v>
      </c>
      <c r="S15092" t="s">
        <v>47605</v>
      </c>
      <c r="T15092" t="s">
        <v>49667</v>
      </c>
      <c r="U15092" t="s">
        <v>61932</v>
      </c>
      <c r="V15092" t="s">
        <v>64325</v>
      </c>
      <c r="W15092" t="s">
        <v>47312</v>
      </c>
      <c r="X15092" t="s">
        <v>47451</v>
      </c>
    </row>
    <row r="15093" spans="1:24">
      <c r="A15093">
        <f>HYPERLINK("https://www.philgeps.gov.ph/GEPSNONPILOT/Tender/SplashBidNoticeAbstractUI.aspx?menuIndex=3&amp;refID=7119013&amp;Result=3","7119013")</f>
        <v>0</v>
      </c>
      <c r="B15093" t="s">
        <v>113</v>
      </c>
      <c r="C15093" t="s">
        <v>18202</v>
      </c>
      <c r="D15093" t="s">
        <v>19027</v>
      </c>
      <c r="E15093" t="s">
        <v>32067</v>
      </c>
      <c r="F15093" t="s">
        <v>32831</v>
      </c>
      <c r="G15093" t="s">
        <v>32839</v>
      </c>
      <c r="H15093" t="s">
        <v>32848</v>
      </c>
      <c r="I15093" t="s">
        <v>32874</v>
      </c>
      <c r="J15093" t="s">
        <v>42199</v>
      </c>
      <c r="K15093" t="s">
        <v>42731</v>
      </c>
      <c r="M15093" t="s">
        <v>47312</v>
      </c>
      <c r="N15093" t="s">
        <v>47424</v>
      </c>
      <c r="O15093" t="s">
        <v>47425</v>
      </c>
      <c r="Q15093">
        <v>10</v>
      </c>
      <c r="R15093" t="s">
        <v>47448</v>
      </c>
      <c r="S15093" t="s">
        <v>47826</v>
      </c>
      <c r="T15093" t="s">
        <v>49667</v>
      </c>
      <c r="U15093" t="s">
        <v>61933</v>
      </c>
      <c r="V15093" t="s">
        <v>64325</v>
      </c>
      <c r="W15093" t="s">
        <v>47312</v>
      </c>
      <c r="X15093" t="s">
        <v>47451</v>
      </c>
    </row>
    <row r="15094" spans="1:24">
      <c r="A15094">
        <f>HYPERLINK("https://www.philgeps.gov.ph/GEPSNONPILOT/Tender/SplashBidNoticeAbstractUI.aspx?menuIndex=3&amp;refID=7116779&amp;Result=3","7116779")</f>
        <v>0</v>
      </c>
      <c r="B15094" t="s">
        <v>1823</v>
      </c>
      <c r="C15094" t="s">
        <v>18203</v>
      </c>
      <c r="D15094" t="s">
        <v>19100</v>
      </c>
      <c r="E15094" t="s">
        <v>32068</v>
      </c>
      <c r="F15094" t="s">
        <v>32831</v>
      </c>
      <c r="G15094" t="s">
        <v>32839</v>
      </c>
      <c r="H15094" t="s">
        <v>32849</v>
      </c>
      <c r="I15094" t="s">
        <v>4177</v>
      </c>
      <c r="J15094" t="s">
        <v>42200</v>
      </c>
      <c r="K15094" t="s">
        <v>42763</v>
      </c>
      <c r="M15094" t="s">
        <v>45955</v>
      </c>
      <c r="N15094" t="s">
        <v>47424</v>
      </c>
      <c r="O15094" t="s">
        <v>47425</v>
      </c>
      <c r="P15094">
        <v>0</v>
      </c>
      <c r="Q15094">
        <v>0</v>
      </c>
      <c r="R15094" t="s">
        <v>47448</v>
      </c>
      <c r="S15094" t="s">
        <v>48555</v>
      </c>
      <c r="T15094" t="s">
        <v>49243</v>
      </c>
      <c r="U15094" t="s">
        <v>61934</v>
      </c>
      <c r="W15094" t="s">
        <v>45955</v>
      </c>
      <c r="X15094" t="s">
        <v>47451</v>
      </c>
    </row>
    <row r="15095" spans="1:24">
      <c r="A15095">
        <f>HYPERLINK("https://www.philgeps.gov.ph/GEPSNONPILOT/Tender/SplashBidNoticeAbstractUI.aspx?menuIndex=3&amp;refID=7119712&amp;Result=3","7119712")</f>
        <v>0</v>
      </c>
      <c r="B15095" t="s">
        <v>3870</v>
      </c>
      <c r="C15095" t="s">
        <v>18204</v>
      </c>
      <c r="D15095" t="s">
        <v>19018</v>
      </c>
      <c r="E15095" t="s">
        <v>32069</v>
      </c>
      <c r="F15095" t="s">
        <v>32831</v>
      </c>
      <c r="G15095" t="s">
        <v>32839</v>
      </c>
      <c r="H15095" t="s">
        <v>32849</v>
      </c>
      <c r="I15095" t="s">
        <v>4177</v>
      </c>
      <c r="J15095" t="s">
        <v>42201</v>
      </c>
      <c r="K15095" t="s">
        <v>42770</v>
      </c>
      <c r="M15095" t="s">
        <v>47319</v>
      </c>
      <c r="N15095" t="s">
        <v>47424</v>
      </c>
      <c r="O15095" t="s">
        <v>47425</v>
      </c>
      <c r="P15095">
        <v>0</v>
      </c>
      <c r="Q15095">
        <v>0</v>
      </c>
      <c r="R15095" t="s">
        <v>47448</v>
      </c>
      <c r="S15095" t="s">
        <v>48555</v>
      </c>
      <c r="T15095" t="s">
        <v>49166</v>
      </c>
      <c r="U15095" t="s">
        <v>61935</v>
      </c>
      <c r="W15095" t="s">
        <v>47319</v>
      </c>
      <c r="X15095" t="s">
        <v>47449</v>
      </c>
    </row>
    <row r="15096" spans="1:24">
      <c r="A15096">
        <f>HYPERLINK("https://www.philgeps.gov.ph/GEPSNONPILOT/Tender/SplashBidNoticeAbstractUI.aspx?menuIndex=3&amp;refID=7119707&amp;Result=3","7119707")</f>
        <v>0</v>
      </c>
      <c r="B15096" t="s">
        <v>3870</v>
      </c>
      <c r="C15096" t="s">
        <v>18205</v>
      </c>
      <c r="D15096" t="s">
        <v>19018</v>
      </c>
      <c r="E15096" t="s">
        <v>32070</v>
      </c>
      <c r="F15096" t="s">
        <v>32831</v>
      </c>
      <c r="G15096" t="s">
        <v>32839</v>
      </c>
      <c r="H15096" t="s">
        <v>32849</v>
      </c>
      <c r="I15096" t="s">
        <v>4177</v>
      </c>
      <c r="J15096" t="s">
        <v>42202</v>
      </c>
      <c r="K15096" t="s">
        <v>42770</v>
      </c>
      <c r="M15096" t="s">
        <v>47319</v>
      </c>
      <c r="N15096" t="s">
        <v>47424</v>
      </c>
      <c r="O15096" t="s">
        <v>47425</v>
      </c>
      <c r="P15096">
        <v>0</v>
      </c>
      <c r="Q15096">
        <v>0</v>
      </c>
      <c r="R15096" t="s">
        <v>47448</v>
      </c>
      <c r="S15096" t="s">
        <v>48555</v>
      </c>
      <c r="T15096" t="s">
        <v>49166</v>
      </c>
      <c r="U15096" t="s">
        <v>61936</v>
      </c>
      <c r="W15096" t="s">
        <v>47319</v>
      </c>
      <c r="X15096" t="s">
        <v>47449</v>
      </c>
    </row>
    <row r="15097" spans="1:24">
      <c r="A15097">
        <f>HYPERLINK("https://www.philgeps.gov.ph/GEPSNONPILOT/Tender/SplashBidNoticeAbstractUI.aspx?menuIndex=3&amp;refID=7119528&amp;Result=3","7119528")</f>
        <v>0</v>
      </c>
      <c r="B15097" t="s">
        <v>3870</v>
      </c>
      <c r="C15097" t="s">
        <v>18206</v>
      </c>
      <c r="D15097" t="s">
        <v>19018</v>
      </c>
      <c r="E15097" t="s">
        <v>32071</v>
      </c>
      <c r="F15097" t="s">
        <v>32831</v>
      </c>
      <c r="G15097" t="s">
        <v>32839</v>
      </c>
      <c r="H15097" t="s">
        <v>32849</v>
      </c>
      <c r="I15097" t="s">
        <v>4177</v>
      </c>
      <c r="J15097" t="s">
        <v>42202</v>
      </c>
      <c r="K15097" t="s">
        <v>42731</v>
      </c>
      <c r="M15097" t="s">
        <v>47319</v>
      </c>
      <c r="N15097" t="s">
        <v>47424</v>
      </c>
      <c r="O15097" t="s">
        <v>47425</v>
      </c>
      <c r="P15097">
        <v>0</v>
      </c>
      <c r="Q15097">
        <v>0</v>
      </c>
      <c r="R15097" t="s">
        <v>47448</v>
      </c>
      <c r="S15097" t="s">
        <v>48555</v>
      </c>
      <c r="T15097" t="s">
        <v>49166</v>
      </c>
      <c r="U15097" t="s">
        <v>61937</v>
      </c>
      <c r="W15097" t="s">
        <v>47319</v>
      </c>
      <c r="X15097" t="s">
        <v>47450</v>
      </c>
    </row>
    <row r="15098" spans="1:24">
      <c r="A15098">
        <f>HYPERLINK("https://www.philgeps.gov.ph/GEPSNONPILOT/Tender/SplashBidNoticeAbstractUI.aspx?menuIndex=3&amp;refID=7119020&amp;Result=3","7119020")</f>
        <v>0</v>
      </c>
      <c r="B15098" t="s">
        <v>113</v>
      </c>
      <c r="C15098" t="s">
        <v>18207</v>
      </c>
      <c r="D15098" t="s">
        <v>19027</v>
      </c>
      <c r="E15098" t="s">
        <v>32072</v>
      </c>
      <c r="F15098" t="s">
        <v>32831</v>
      </c>
      <c r="G15098" t="s">
        <v>32839</v>
      </c>
      <c r="H15098" t="s">
        <v>32848</v>
      </c>
      <c r="I15098" t="s">
        <v>4558</v>
      </c>
      <c r="J15098" t="s">
        <v>42203</v>
      </c>
      <c r="K15098" t="s">
        <v>42731</v>
      </c>
      <c r="M15098" t="s">
        <v>47317</v>
      </c>
      <c r="N15098" t="s">
        <v>47424</v>
      </c>
      <c r="O15098" t="s">
        <v>47425</v>
      </c>
      <c r="Q15098">
        <v>7</v>
      </c>
      <c r="R15098" t="s">
        <v>47448</v>
      </c>
      <c r="S15098" t="s">
        <v>48094</v>
      </c>
      <c r="T15098" t="s">
        <v>49666</v>
      </c>
      <c r="U15098" t="s">
        <v>61938</v>
      </c>
      <c r="V15098" t="s">
        <v>64325</v>
      </c>
      <c r="W15098" t="s">
        <v>47317</v>
      </c>
      <c r="X15098" t="s">
        <v>47451</v>
      </c>
    </row>
    <row r="15099" spans="1:24">
      <c r="A15099">
        <f>HYPERLINK("https://www.philgeps.gov.ph/GEPSNONPILOT/Tender/SplashBidNoticeAbstractUI.aspx?menuIndex=3&amp;refID=7119517&amp;Result=3","7119517")</f>
        <v>0</v>
      </c>
      <c r="B15099" t="s">
        <v>3870</v>
      </c>
      <c r="C15099" t="s">
        <v>18208</v>
      </c>
      <c r="D15099" t="s">
        <v>19018</v>
      </c>
      <c r="E15099" t="s">
        <v>32073</v>
      </c>
      <c r="F15099" t="s">
        <v>32831</v>
      </c>
      <c r="G15099" t="s">
        <v>32839</v>
      </c>
      <c r="H15099" t="s">
        <v>32849</v>
      </c>
      <c r="I15099" t="s">
        <v>4177</v>
      </c>
      <c r="J15099" t="s">
        <v>42204</v>
      </c>
      <c r="K15099" t="s">
        <v>42770</v>
      </c>
      <c r="M15099" t="s">
        <v>47319</v>
      </c>
      <c r="N15099" t="s">
        <v>47424</v>
      </c>
      <c r="O15099" t="s">
        <v>47425</v>
      </c>
      <c r="P15099">
        <v>0</v>
      </c>
      <c r="Q15099">
        <v>0</v>
      </c>
      <c r="R15099" t="s">
        <v>47448</v>
      </c>
      <c r="S15099" t="s">
        <v>48555</v>
      </c>
      <c r="T15099" t="s">
        <v>49166</v>
      </c>
      <c r="U15099" t="s">
        <v>61939</v>
      </c>
      <c r="W15099" t="s">
        <v>47319</v>
      </c>
      <c r="X15099" t="s">
        <v>47450</v>
      </c>
    </row>
    <row r="15100" spans="1:24">
      <c r="A15100">
        <f>HYPERLINK("https://www.philgeps.gov.ph/GEPSNONPILOT/Tender/SplashBidNoticeAbstractUI.aspx?menuIndex=3&amp;refID=7119698&amp;Result=3","7119698")</f>
        <v>0</v>
      </c>
      <c r="B15100" t="s">
        <v>3871</v>
      </c>
      <c r="C15100" t="s">
        <v>18209</v>
      </c>
      <c r="D15100" t="s">
        <v>19017</v>
      </c>
      <c r="E15100" t="s">
        <v>32074</v>
      </c>
      <c r="F15100" t="s">
        <v>32831</v>
      </c>
      <c r="G15100" t="s">
        <v>32839</v>
      </c>
      <c r="H15100" t="s">
        <v>32850</v>
      </c>
      <c r="I15100" t="s">
        <v>32863</v>
      </c>
      <c r="J15100" t="s">
        <v>33032</v>
      </c>
      <c r="K15100" t="s">
        <v>42807</v>
      </c>
      <c r="M15100" t="s">
        <v>47320</v>
      </c>
      <c r="N15100" t="s">
        <v>47424</v>
      </c>
      <c r="O15100" t="s">
        <v>47425</v>
      </c>
      <c r="Q15100">
        <v>3</v>
      </c>
      <c r="R15100" t="s">
        <v>47448</v>
      </c>
      <c r="S15100" t="s">
        <v>48606</v>
      </c>
      <c r="T15100" t="s">
        <v>49229</v>
      </c>
      <c r="U15100" t="s">
        <v>61940</v>
      </c>
      <c r="W15100" t="s">
        <v>47320</v>
      </c>
      <c r="X15100" t="s">
        <v>47449</v>
      </c>
    </row>
    <row r="15101" spans="1:24">
      <c r="A15101">
        <f>HYPERLINK("https://www.philgeps.gov.ph/GEPSNONPILOT/Tender/SplashBidNoticeAbstractUI.aspx?menuIndex=3&amp;refID=7119687&amp;Result=3","7119687")</f>
        <v>0</v>
      </c>
      <c r="B15101" t="s">
        <v>1531</v>
      </c>
      <c r="C15101" t="s">
        <v>18210</v>
      </c>
      <c r="D15101" t="s">
        <v>19017</v>
      </c>
      <c r="E15101" t="s">
        <v>32075</v>
      </c>
      <c r="F15101" t="s">
        <v>32831</v>
      </c>
      <c r="G15101" t="s">
        <v>32839</v>
      </c>
      <c r="H15101" t="s">
        <v>32848</v>
      </c>
      <c r="I15101" t="s">
        <v>32912</v>
      </c>
      <c r="J15101" t="s">
        <v>42205</v>
      </c>
      <c r="K15101" t="s">
        <v>42729</v>
      </c>
      <c r="M15101" t="s">
        <v>44634</v>
      </c>
      <c r="N15101" t="s">
        <v>47424</v>
      </c>
      <c r="O15101" t="s">
        <v>47425</v>
      </c>
      <c r="Q15101">
        <v>20</v>
      </c>
      <c r="R15101" t="s">
        <v>47448</v>
      </c>
      <c r="S15101" t="s">
        <v>48607</v>
      </c>
      <c r="T15101" t="s">
        <v>49108</v>
      </c>
      <c r="U15101" t="s">
        <v>52785</v>
      </c>
      <c r="W15101" t="s">
        <v>44634</v>
      </c>
      <c r="X15101" t="s">
        <v>47449</v>
      </c>
    </row>
    <row r="15102" spans="1:24">
      <c r="A15102">
        <f>HYPERLINK("https://www.philgeps.gov.ph/GEPSNONPILOT/Tender/SplashBidNoticeAbstractUI.aspx?menuIndex=3&amp;refID=7119004&amp;Result=3","7119004")</f>
        <v>0</v>
      </c>
      <c r="B15102" t="s">
        <v>113</v>
      </c>
      <c r="C15102" t="s">
        <v>18211</v>
      </c>
      <c r="D15102" t="s">
        <v>19027</v>
      </c>
      <c r="E15102" t="s">
        <v>32076</v>
      </c>
      <c r="F15102" t="s">
        <v>32831</v>
      </c>
      <c r="G15102" t="s">
        <v>32839</v>
      </c>
      <c r="H15102" t="s">
        <v>32848</v>
      </c>
      <c r="I15102" t="s">
        <v>32874</v>
      </c>
      <c r="J15102" t="s">
        <v>42206</v>
      </c>
      <c r="K15102" t="s">
        <v>42731</v>
      </c>
      <c r="M15102" t="s">
        <v>47312</v>
      </c>
      <c r="N15102" t="s">
        <v>47424</v>
      </c>
      <c r="O15102" t="s">
        <v>47425</v>
      </c>
      <c r="Q15102">
        <v>3</v>
      </c>
      <c r="R15102" t="s">
        <v>47448</v>
      </c>
      <c r="S15102" t="s">
        <v>48608</v>
      </c>
      <c r="T15102" t="s">
        <v>49667</v>
      </c>
      <c r="U15102" t="s">
        <v>61941</v>
      </c>
      <c r="V15102" t="s">
        <v>64325</v>
      </c>
      <c r="W15102" t="s">
        <v>47312</v>
      </c>
      <c r="X15102" t="s">
        <v>47451</v>
      </c>
    </row>
    <row r="15103" spans="1:24">
      <c r="A15103">
        <f>HYPERLINK("https://www.philgeps.gov.ph/GEPSNONPILOT/Tender/SplashBidNoticeAbstractUI.aspx?menuIndex=3&amp;refID=7119239&amp;Result=3","7119239")</f>
        <v>0</v>
      </c>
      <c r="B15103" t="s">
        <v>468</v>
      </c>
      <c r="C15103" t="s">
        <v>18212</v>
      </c>
      <c r="D15103" t="s">
        <v>19031</v>
      </c>
      <c r="E15103" t="s">
        <v>32077</v>
      </c>
      <c r="F15103" t="s">
        <v>32831</v>
      </c>
      <c r="G15103" t="s">
        <v>32839</v>
      </c>
      <c r="H15103" t="s">
        <v>32849</v>
      </c>
      <c r="I15103" t="s">
        <v>4177</v>
      </c>
      <c r="J15103" t="s">
        <v>34281</v>
      </c>
      <c r="K15103" t="s">
        <v>42764</v>
      </c>
      <c r="M15103" t="s">
        <v>47069</v>
      </c>
      <c r="N15103" t="s">
        <v>47424</v>
      </c>
      <c r="O15103" t="s">
        <v>47425</v>
      </c>
      <c r="P15103">
        <v>0</v>
      </c>
      <c r="Q15103">
        <v>0</v>
      </c>
      <c r="R15103" t="s">
        <v>47448</v>
      </c>
      <c r="S15103" t="s">
        <v>48555</v>
      </c>
      <c r="T15103" t="s">
        <v>49070</v>
      </c>
      <c r="U15103" t="s">
        <v>61942</v>
      </c>
      <c r="W15103" t="s">
        <v>64525</v>
      </c>
      <c r="X15103" t="s">
        <v>47450</v>
      </c>
    </row>
    <row r="15104" spans="1:24">
      <c r="A15104">
        <f>HYPERLINK("https://www.philgeps.gov.ph/GEPSNONPILOT/Tender/SplashBidNoticeAbstractUI.aspx?menuIndex=3&amp;refID=7119232&amp;Result=3","7119232")</f>
        <v>0</v>
      </c>
      <c r="B15104" t="s">
        <v>3171</v>
      </c>
      <c r="C15104" t="s">
        <v>18213</v>
      </c>
      <c r="D15104" t="s">
        <v>19055</v>
      </c>
      <c r="E15104" t="s">
        <v>32078</v>
      </c>
      <c r="F15104" t="s">
        <v>32831</v>
      </c>
      <c r="G15104" t="s">
        <v>32839</v>
      </c>
      <c r="H15104" t="s">
        <v>32848</v>
      </c>
      <c r="I15104" t="s">
        <v>32860</v>
      </c>
      <c r="J15104" t="s">
        <v>42207</v>
      </c>
      <c r="K15104" t="s">
        <v>42730</v>
      </c>
      <c r="M15104" t="s">
        <v>46478</v>
      </c>
      <c r="N15104" t="s">
        <v>47424</v>
      </c>
      <c r="O15104" t="s">
        <v>47425</v>
      </c>
      <c r="P15104">
        <v>0</v>
      </c>
      <c r="Q15104">
        <v>3</v>
      </c>
      <c r="R15104" t="s">
        <v>47448</v>
      </c>
      <c r="S15104" t="s">
        <v>48555</v>
      </c>
      <c r="T15104" t="s">
        <v>49328</v>
      </c>
      <c r="U15104" t="s">
        <v>57414</v>
      </c>
      <c r="V15104" t="s">
        <v>64332</v>
      </c>
      <c r="W15104" t="s">
        <v>46478</v>
      </c>
      <c r="X15104" t="s">
        <v>47450</v>
      </c>
    </row>
    <row r="15105" spans="1:24">
      <c r="A15105">
        <f>HYPERLINK("https://www.philgeps.gov.ph/GEPSNONPILOT/Tender/SplashBidNoticeAbstractUI.aspx?menuIndex=3&amp;refID=7119509&amp;Result=3","7119509")</f>
        <v>0</v>
      </c>
      <c r="B15105" t="s">
        <v>3870</v>
      </c>
      <c r="C15105" t="s">
        <v>18214</v>
      </c>
      <c r="D15105" t="s">
        <v>19018</v>
      </c>
      <c r="E15105" t="s">
        <v>32079</v>
      </c>
      <c r="F15105" t="s">
        <v>32831</v>
      </c>
      <c r="G15105" t="s">
        <v>32839</v>
      </c>
      <c r="H15105" t="s">
        <v>32849</v>
      </c>
      <c r="I15105" t="s">
        <v>4177</v>
      </c>
      <c r="J15105" t="s">
        <v>42208</v>
      </c>
      <c r="K15105" t="s">
        <v>42871</v>
      </c>
      <c r="M15105" t="s">
        <v>47319</v>
      </c>
      <c r="N15105" t="s">
        <v>47424</v>
      </c>
      <c r="O15105" t="s">
        <v>47425</v>
      </c>
      <c r="P15105">
        <v>0</v>
      </c>
      <c r="Q15105">
        <v>1</v>
      </c>
      <c r="R15105" t="s">
        <v>47448</v>
      </c>
      <c r="S15105" t="s">
        <v>48555</v>
      </c>
      <c r="T15105" t="s">
        <v>49166</v>
      </c>
      <c r="U15105" t="s">
        <v>61943</v>
      </c>
      <c r="W15105" t="s">
        <v>47319</v>
      </c>
      <c r="X15105" t="s">
        <v>47450</v>
      </c>
    </row>
    <row r="15106" spans="1:24">
      <c r="A15106">
        <f>HYPERLINK("https://www.philgeps.gov.ph/GEPSNONPILOT/Tender/SplashBidNoticeAbstractUI.aspx?menuIndex=3&amp;refID=7119914&amp;Result=3","7119914")</f>
        <v>0</v>
      </c>
      <c r="B15106" t="s">
        <v>3872</v>
      </c>
      <c r="C15106" t="s">
        <v>18215</v>
      </c>
      <c r="E15106" t="s">
        <v>32080</v>
      </c>
      <c r="F15106" t="s">
        <v>32831</v>
      </c>
      <c r="G15106" t="s">
        <v>32839</v>
      </c>
      <c r="H15106" t="s">
        <v>32848</v>
      </c>
      <c r="I15106" t="s">
        <v>10805</v>
      </c>
      <c r="J15106" t="s">
        <v>42209</v>
      </c>
      <c r="K15106" t="s">
        <v>42730</v>
      </c>
      <c r="M15106" t="s">
        <v>47321</v>
      </c>
      <c r="N15106" t="s">
        <v>47424</v>
      </c>
      <c r="O15106" t="s">
        <v>47425</v>
      </c>
      <c r="Q15106">
        <v>22</v>
      </c>
      <c r="R15106" t="s">
        <v>47448</v>
      </c>
      <c r="S15106" t="s">
        <v>48010</v>
      </c>
      <c r="T15106" t="s">
        <v>49212</v>
      </c>
      <c r="U15106" t="s">
        <v>61944</v>
      </c>
      <c r="V15106" t="s">
        <v>64333</v>
      </c>
      <c r="W15106" t="s">
        <v>47321</v>
      </c>
      <c r="X15106" t="s">
        <v>47449</v>
      </c>
    </row>
    <row r="15107" spans="1:24">
      <c r="A15107">
        <f>HYPERLINK("https://www.philgeps.gov.ph/GEPSNONPILOT/Tender/SplashBidNoticeAbstractUI.aspx?menuIndex=3&amp;refID=7119263&amp;Result=3","7119263")</f>
        <v>0</v>
      </c>
      <c r="B15107" t="s">
        <v>468</v>
      </c>
      <c r="C15107" t="s">
        <v>18216</v>
      </c>
      <c r="D15107" t="s">
        <v>19031</v>
      </c>
      <c r="E15107" t="s">
        <v>32081</v>
      </c>
      <c r="F15107" t="s">
        <v>32831</v>
      </c>
      <c r="G15107" t="s">
        <v>32839</v>
      </c>
      <c r="H15107" t="s">
        <v>32849</v>
      </c>
      <c r="I15107" t="s">
        <v>4177</v>
      </c>
      <c r="J15107" t="s">
        <v>42210</v>
      </c>
      <c r="K15107" t="s">
        <v>42764</v>
      </c>
      <c r="M15107" t="s">
        <v>47069</v>
      </c>
      <c r="N15107" t="s">
        <v>47424</v>
      </c>
      <c r="O15107" t="s">
        <v>47425</v>
      </c>
      <c r="P15107">
        <v>0</v>
      </c>
      <c r="Q15107">
        <v>1</v>
      </c>
      <c r="R15107" t="s">
        <v>47448</v>
      </c>
      <c r="S15107" t="s">
        <v>48555</v>
      </c>
      <c r="T15107" t="s">
        <v>49070</v>
      </c>
      <c r="U15107" t="s">
        <v>61945</v>
      </c>
      <c r="W15107" t="s">
        <v>64525</v>
      </c>
      <c r="X15107" t="s">
        <v>47450</v>
      </c>
    </row>
    <row r="15108" spans="1:24">
      <c r="A15108">
        <f>HYPERLINK("https://www.philgeps.gov.ph/GEPSNONPILOT/Tender/SplashBidNoticeAbstractUI.aspx?menuIndex=3&amp;refID=7119886&amp;Result=3","7119886")</f>
        <v>0</v>
      </c>
      <c r="B15108" t="s">
        <v>886</v>
      </c>
      <c r="C15108" t="s">
        <v>18217</v>
      </c>
      <c r="D15108" t="s">
        <v>19017</v>
      </c>
      <c r="E15108" t="s">
        <v>32082</v>
      </c>
      <c r="F15108" t="s">
        <v>32831</v>
      </c>
      <c r="G15108" t="s">
        <v>32839</v>
      </c>
      <c r="H15108" t="s">
        <v>32848</v>
      </c>
      <c r="I15108" t="s">
        <v>32871</v>
      </c>
      <c r="J15108" t="s">
        <v>38111</v>
      </c>
      <c r="K15108" t="s">
        <v>42732</v>
      </c>
      <c r="M15108" t="s">
        <v>47322</v>
      </c>
      <c r="N15108" t="s">
        <v>47424</v>
      </c>
      <c r="O15108" t="s">
        <v>47425</v>
      </c>
      <c r="Q15108">
        <v>14</v>
      </c>
      <c r="R15108" t="s">
        <v>47448</v>
      </c>
      <c r="S15108" t="s">
        <v>48609</v>
      </c>
      <c r="T15108" t="s">
        <v>49111</v>
      </c>
      <c r="U15108" t="s">
        <v>61946</v>
      </c>
      <c r="W15108" t="s">
        <v>47322</v>
      </c>
      <c r="X15108" t="s">
        <v>47449</v>
      </c>
    </row>
    <row r="15109" spans="1:24">
      <c r="A15109">
        <f>HYPERLINK("https://www.philgeps.gov.ph/GEPSNONPILOT/Tender/SplashBidNoticeAbstractUI.aspx?menuIndex=3&amp;refID=7119255&amp;Result=3","7119255")</f>
        <v>0</v>
      </c>
      <c r="B15109" t="s">
        <v>468</v>
      </c>
      <c r="C15109" t="s">
        <v>18218</v>
      </c>
      <c r="D15109" t="s">
        <v>19031</v>
      </c>
      <c r="E15109" t="s">
        <v>32083</v>
      </c>
      <c r="F15109" t="s">
        <v>32831</v>
      </c>
      <c r="G15109" t="s">
        <v>32839</v>
      </c>
      <c r="H15109" t="s">
        <v>32849</v>
      </c>
      <c r="I15109" t="s">
        <v>4177</v>
      </c>
      <c r="J15109" t="s">
        <v>33066</v>
      </c>
      <c r="K15109" t="s">
        <v>42763</v>
      </c>
      <c r="M15109" t="s">
        <v>47069</v>
      </c>
      <c r="N15109" t="s">
        <v>47424</v>
      </c>
      <c r="O15109" t="s">
        <v>47425</v>
      </c>
      <c r="P15109">
        <v>0</v>
      </c>
      <c r="Q15109">
        <v>0</v>
      </c>
      <c r="R15109" t="s">
        <v>47448</v>
      </c>
      <c r="S15109" t="s">
        <v>48555</v>
      </c>
      <c r="T15109" t="s">
        <v>49070</v>
      </c>
      <c r="U15109" t="s">
        <v>61947</v>
      </c>
      <c r="W15109" t="s">
        <v>64525</v>
      </c>
      <c r="X15109" t="s">
        <v>47450</v>
      </c>
    </row>
    <row r="15110" spans="1:24">
      <c r="A15110">
        <f>HYPERLINK("https://www.philgeps.gov.ph/GEPSNONPILOT/Tender/SplashBidNoticeAbstractUI.aspx?menuIndex=3&amp;refID=7119236&amp;Result=3","7119236")</f>
        <v>0</v>
      </c>
      <c r="B15110" t="s">
        <v>468</v>
      </c>
      <c r="C15110" t="s">
        <v>18219</v>
      </c>
      <c r="D15110" t="s">
        <v>19031</v>
      </c>
      <c r="E15110" t="s">
        <v>32084</v>
      </c>
      <c r="F15110" t="s">
        <v>32831</v>
      </c>
      <c r="G15110" t="s">
        <v>32839</v>
      </c>
      <c r="H15110" t="s">
        <v>32849</v>
      </c>
      <c r="I15110" t="s">
        <v>4177</v>
      </c>
      <c r="J15110" t="s">
        <v>33066</v>
      </c>
      <c r="K15110" t="s">
        <v>42764</v>
      </c>
      <c r="M15110" t="s">
        <v>47069</v>
      </c>
      <c r="N15110" t="s">
        <v>47424</v>
      </c>
      <c r="O15110" t="s">
        <v>47425</v>
      </c>
      <c r="P15110">
        <v>0</v>
      </c>
      <c r="Q15110">
        <v>0</v>
      </c>
      <c r="R15110" t="s">
        <v>47448</v>
      </c>
      <c r="S15110" t="s">
        <v>48555</v>
      </c>
      <c r="T15110" t="s">
        <v>49070</v>
      </c>
      <c r="U15110" t="s">
        <v>61948</v>
      </c>
      <c r="W15110" t="s">
        <v>64525</v>
      </c>
      <c r="X15110" t="s">
        <v>47450</v>
      </c>
    </row>
    <row r="15111" spans="1:24">
      <c r="A15111">
        <f>HYPERLINK("https://www.philgeps.gov.ph/GEPSNONPILOT/Tender/SplashBidNoticeAbstractUI.aspx?menuIndex=3&amp;refID=7119041&amp;Result=3","7119041")</f>
        <v>0</v>
      </c>
      <c r="B15111" t="s">
        <v>113</v>
      </c>
      <c r="C15111" t="s">
        <v>18220</v>
      </c>
      <c r="D15111" t="s">
        <v>19027</v>
      </c>
      <c r="E15111" t="s">
        <v>32085</v>
      </c>
      <c r="F15111" t="s">
        <v>32831</v>
      </c>
      <c r="G15111" t="s">
        <v>32839</v>
      </c>
      <c r="H15111" t="s">
        <v>32848</v>
      </c>
      <c r="I15111" t="s">
        <v>4558</v>
      </c>
      <c r="J15111" t="s">
        <v>42211</v>
      </c>
      <c r="K15111" t="s">
        <v>42731</v>
      </c>
      <c r="M15111" t="s">
        <v>47317</v>
      </c>
      <c r="N15111" t="s">
        <v>47424</v>
      </c>
      <c r="O15111" t="s">
        <v>47425</v>
      </c>
      <c r="Q15111">
        <v>11</v>
      </c>
      <c r="R15111" t="s">
        <v>47448</v>
      </c>
      <c r="S15111" t="s">
        <v>47564</v>
      </c>
      <c r="T15111" t="s">
        <v>49666</v>
      </c>
      <c r="U15111" t="s">
        <v>61949</v>
      </c>
      <c r="V15111" t="s">
        <v>64325</v>
      </c>
      <c r="W15111" t="s">
        <v>47317</v>
      </c>
      <c r="X15111" t="s">
        <v>47451</v>
      </c>
    </row>
    <row r="15112" spans="1:24">
      <c r="A15112">
        <f>HYPERLINK("https://www.philgeps.gov.ph/GEPSNONPILOT/Tender/SplashBidNoticeAbstractUI.aspx?menuIndex=3&amp;refID=7119923&amp;Result=3","7119923")</f>
        <v>0</v>
      </c>
      <c r="B15112" t="s">
        <v>820</v>
      </c>
      <c r="C15112" t="s">
        <v>18221</v>
      </c>
      <c r="E15112" t="s">
        <v>32086</v>
      </c>
      <c r="F15112" t="s">
        <v>32831</v>
      </c>
      <c r="G15112" t="s">
        <v>32839</v>
      </c>
      <c r="H15112" t="s">
        <v>32848</v>
      </c>
      <c r="I15112" t="s">
        <v>32890</v>
      </c>
      <c r="J15112" t="s">
        <v>40859</v>
      </c>
      <c r="K15112" t="s">
        <v>42732</v>
      </c>
      <c r="M15112" t="s">
        <v>43851</v>
      </c>
      <c r="N15112" t="s">
        <v>47424</v>
      </c>
      <c r="O15112" t="s">
        <v>47425</v>
      </c>
      <c r="Q15112">
        <v>5</v>
      </c>
      <c r="R15112" t="s">
        <v>47448</v>
      </c>
      <c r="S15112" t="s">
        <v>48610</v>
      </c>
      <c r="T15112" t="s">
        <v>49111</v>
      </c>
      <c r="U15112" t="s">
        <v>61950</v>
      </c>
      <c r="W15112" t="s">
        <v>43851</v>
      </c>
      <c r="X15112" t="s">
        <v>47449</v>
      </c>
    </row>
    <row r="15113" spans="1:24">
      <c r="A15113">
        <f>HYPERLINK("https://www.philgeps.gov.ph/GEPSNONPILOT/Tender/SplashBidNoticeAbstractUI.aspx?menuIndex=3&amp;refID=7119884&amp;Result=3","7119884")</f>
        <v>0</v>
      </c>
      <c r="B15113" t="s">
        <v>886</v>
      </c>
      <c r="C15113" t="s">
        <v>18222</v>
      </c>
      <c r="D15113" t="s">
        <v>19017</v>
      </c>
      <c r="E15113" t="s">
        <v>32087</v>
      </c>
      <c r="F15113" t="s">
        <v>32831</v>
      </c>
      <c r="G15113" t="s">
        <v>32839</v>
      </c>
      <c r="H15113" t="s">
        <v>32848</v>
      </c>
      <c r="I15113" t="s">
        <v>32871</v>
      </c>
      <c r="J15113" t="s">
        <v>33279</v>
      </c>
      <c r="K15113" t="s">
        <v>42732</v>
      </c>
      <c r="M15113" t="s">
        <v>47322</v>
      </c>
      <c r="N15113" t="s">
        <v>47424</v>
      </c>
      <c r="O15113" t="s">
        <v>47425</v>
      </c>
      <c r="Q15113">
        <v>19</v>
      </c>
      <c r="R15113" t="s">
        <v>47448</v>
      </c>
      <c r="S15113" t="s">
        <v>48611</v>
      </c>
      <c r="T15113" t="s">
        <v>49111</v>
      </c>
      <c r="U15113" t="s">
        <v>61946</v>
      </c>
      <c r="W15113" t="s">
        <v>47322</v>
      </c>
      <c r="X15113" t="s">
        <v>47449</v>
      </c>
    </row>
    <row r="15114" spans="1:24">
      <c r="A15114">
        <f>HYPERLINK("https://www.philgeps.gov.ph/GEPSNONPILOT/Tender/SplashBidNoticeAbstractUI.aspx?menuIndex=3&amp;refID=7116727&amp;Result=3","7116727")</f>
        <v>0</v>
      </c>
      <c r="B15114" t="s">
        <v>557</v>
      </c>
      <c r="C15114" t="s">
        <v>18223</v>
      </c>
      <c r="E15114" t="s">
        <v>32088</v>
      </c>
      <c r="F15114" t="s">
        <v>32831</v>
      </c>
      <c r="G15114" t="s">
        <v>32839</v>
      </c>
      <c r="H15114" t="s">
        <v>32849</v>
      </c>
      <c r="I15114" t="s">
        <v>4177</v>
      </c>
      <c r="J15114" t="s">
        <v>42128</v>
      </c>
      <c r="K15114" t="s">
        <v>42732</v>
      </c>
      <c r="M15114" t="s">
        <v>43565</v>
      </c>
      <c r="N15114" t="s">
        <v>47424</v>
      </c>
      <c r="O15114" t="s">
        <v>47425</v>
      </c>
      <c r="P15114">
        <v>0</v>
      </c>
      <c r="Q15114">
        <v>0</v>
      </c>
      <c r="R15114" t="s">
        <v>47448</v>
      </c>
      <c r="S15114" t="s">
        <v>48555</v>
      </c>
      <c r="T15114" t="s">
        <v>49237</v>
      </c>
      <c r="U15114" t="s">
        <v>61951</v>
      </c>
      <c r="V15114" t="s">
        <v>64334</v>
      </c>
      <c r="W15114" t="s">
        <v>43565</v>
      </c>
      <c r="X15114" t="s">
        <v>47451</v>
      </c>
    </row>
    <row r="15115" spans="1:24">
      <c r="A15115">
        <f>HYPERLINK("https://www.philgeps.gov.ph/GEPSNONPILOT/Tender/SplashBidNoticeAbstractUI.aspx?menuIndex=3&amp;refID=7119827&amp;Result=3","7119827")</f>
        <v>0</v>
      </c>
      <c r="B15115" t="s">
        <v>3790</v>
      </c>
      <c r="C15115" t="s">
        <v>18224</v>
      </c>
      <c r="D15115" t="s">
        <v>19033</v>
      </c>
      <c r="E15115" t="s">
        <v>32089</v>
      </c>
      <c r="F15115" t="s">
        <v>32831</v>
      </c>
      <c r="G15115" t="s">
        <v>32839</v>
      </c>
      <c r="H15115" t="s">
        <v>32849</v>
      </c>
      <c r="I15115" t="s">
        <v>4177</v>
      </c>
      <c r="J15115" t="s">
        <v>34733</v>
      </c>
      <c r="K15115" t="s">
        <v>42770</v>
      </c>
      <c r="M15115" t="s">
        <v>47206</v>
      </c>
      <c r="N15115" t="s">
        <v>47424</v>
      </c>
      <c r="O15115" t="s">
        <v>47425</v>
      </c>
      <c r="P15115">
        <v>0</v>
      </c>
      <c r="Q15115">
        <v>2</v>
      </c>
      <c r="R15115" t="s">
        <v>47448</v>
      </c>
      <c r="S15115" t="s">
        <v>48555</v>
      </c>
      <c r="T15115" t="s">
        <v>49151</v>
      </c>
      <c r="U15115" t="s">
        <v>61952</v>
      </c>
      <c r="W15115" t="s">
        <v>47206</v>
      </c>
      <c r="X15115" t="s">
        <v>47449</v>
      </c>
    </row>
    <row r="15116" spans="1:24">
      <c r="A15116">
        <f>HYPERLINK("https://www.philgeps.gov.ph/GEPSNONPILOT/Tender/SplashBidNoticeAbstractUI.aspx?menuIndex=3&amp;refID=7119802&amp;Result=3","7119802")</f>
        <v>0</v>
      </c>
      <c r="B15116" t="s">
        <v>3256</v>
      </c>
      <c r="C15116" t="s">
        <v>18225</v>
      </c>
      <c r="D15116" t="s">
        <v>19040</v>
      </c>
      <c r="E15116" t="s">
        <v>32090</v>
      </c>
      <c r="F15116" t="s">
        <v>32831</v>
      </c>
      <c r="G15116" t="s">
        <v>32839</v>
      </c>
      <c r="H15116" t="s">
        <v>32849</v>
      </c>
      <c r="I15116" t="s">
        <v>4177</v>
      </c>
      <c r="J15116" t="s">
        <v>39848</v>
      </c>
      <c r="K15116" t="s">
        <v>42862</v>
      </c>
      <c r="M15116" t="s">
        <v>46572</v>
      </c>
      <c r="N15116" t="s">
        <v>47424</v>
      </c>
      <c r="O15116" t="s">
        <v>47425</v>
      </c>
      <c r="Q15116">
        <v>2</v>
      </c>
      <c r="R15116" t="s">
        <v>47448</v>
      </c>
      <c r="S15116" t="s">
        <v>48245</v>
      </c>
      <c r="T15116" t="s">
        <v>49104</v>
      </c>
      <c r="U15116" t="s">
        <v>61953</v>
      </c>
      <c r="V15116" t="s">
        <v>64335</v>
      </c>
      <c r="W15116" t="s">
        <v>46572</v>
      </c>
      <c r="X15116" t="s">
        <v>47449</v>
      </c>
    </row>
    <row r="15117" spans="1:24">
      <c r="A15117">
        <f>HYPERLINK("https://www.philgeps.gov.ph/GEPSNONPILOT/Tender/SplashBidNoticeAbstractUI.aspx?menuIndex=3&amp;refID=7119661&amp;Result=3","7119661")</f>
        <v>0</v>
      </c>
      <c r="B15117" t="s">
        <v>1870</v>
      </c>
      <c r="C15117" t="s">
        <v>18226</v>
      </c>
      <c r="D15117" t="s">
        <v>19073</v>
      </c>
      <c r="E15117" t="s">
        <v>32091</v>
      </c>
      <c r="F15117" t="s">
        <v>32831</v>
      </c>
      <c r="G15117" t="s">
        <v>32839</v>
      </c>
      <c r="H15117" t="s">
        <v>32848</v>
      </c>
      <c r="I15117" t="s">
        <v>32855</v>
      </c>
      <c r="J15117" t="s">
        <v>33561</v>
      </c>
      <c r="K15117" t="s">
        <v>42732</v>
      </c>
      <c r="M15117" t="s">
        <v>45014</v>
      </c>
      <c r="N15117" t="s">
        <v>47424</v>
      </c>
      <c r="O15117" t="s">
        <v>47425</v>
      </c>
      <c r="Q15117">
        <v>5</v>
      </c>
      <c r="R15117" t="s">
        <v>47449</v>
      </c>
      <c r="S15117" t="s">
        <v>48612</v>
      </c>
      <c r="T15117" t="s">
        <v>49328</v>
      </c>
      <c r="U15117" t="s">
        <v>61954</v>
      </c>
      <c r="W15117" t="s">
        <v>45014</v>
      </c>
      <c r="X15117" t="s">
        <v>47450</v>
      </c>
    </row>
    <row r="15118" spans="1:24">
      <c r="A15118">
        <f>HYPERLINK("https://www.philgeps.gov.ph/GEPSNONPILOT/Tender/SplashBidNoticeAbstractUI.aspx?menuIndex=3&amp;refID=7118143&amp;Result=3","7118143")</f>
        <v>0</v>
      </c>
      <c r="B15118" t="s">
        <v>1735</v>
      </c>
      <c r="C15118" t="s">
        <v>18227</v>
      </c>
      <c r="D15118" t="s">
        <v>19026</v>
      </c>
      <c r="E15118" t="s">
        <v>32092</v>
      </c>
      <c r="F15118" t="s">
        <v>32831</v>
      </c>
      <c r="G15118" t="s">
        <v>32839</v>
      </c>
      <c r="H15118" t="s">
        <v>32849</v>
      </c>
      <c r="I15118" t="s">
        <v>4177</v>
      </c>
      <c r="J15118" t="s">
        <v>40322</v>
      </c>
      <c r="K15118" t="s">
        <v>42780</v>
      </c>
      <c r="M15118" t="s">
        <v>44858</v>
      </c>
      <c r="N15118" t="s">
        <v>47424</v>
      </c>
      <c r="O15118" t="s">
        <v>47425</v>
      </c>
      <c r="P15118">
        <v>0</v>
      </c>
      <c r="Q15118">
        <v>36</v>
      </c>
      <c r="R15118" t="s">
        <v>47449</v>
      </c>
      <c r="S15118" t="s">
        <v>48613</v>
      </c>
      <c r="T15118" t="s">
        <v>49214</v>
      </c>
      <c r="U15118" t="s">
        <v>61955</v>
      </c>
      <c r="V15118" t="s">
        <v>63103</v>
      </c>
      <c r="W15118" t="s">
        <v>44858</v>
      </c>
      <c r="X15118" t="s">
        <v>47451</v>
      </c>
    </row>
    <row r="15119" spans="1:24">
      <c r="A15119">
        <f>HYPERLINK("https://www.philgeps.gov.ph/GEPSNONPILOT/Tender/SplashBidNoticeAbstractUI.aspx?menuIndex=3&amp;refID=7116238&amp;Result=3","7116238")</f>
        <v>0</v>
      </c>
      <c r="B15119" t="s">
        <v>3873</v>
      </c>
      <c r="C15119" t="s">
        <v>18228</v>
      </c>
      <c r="D15119" t="s">
        <v>19021</v>
      </c>
      <c r="E15119" t="s">
        <v>32093</v>
      </c>
      <c r="F15119" t="s">
        <v>32831</v>
      </c>
      <c r="G15119" t="s">
        <v>32845</v>
      </c>
      <c r="H15119" t="s">
        <v>32849</v>
      </c>
      <c r="I15119" t="s">
        <v>4177</v>
      </c>
      <c r="J15119" t="s">
        <v>37838</v>
      </c>
      <c r="K15119" t="s">
        <v>42770</v>
      </c>
      <c r="M15119" t="s">
        <v>47323</v>
      </c>
      <c r="N15119" t="s">
        <v>47424</v>
      </c>
      <c r="O15119" t="s">
        <v>47425</v>
      </c>
      <c r="P15119">
        <v>0</v>
      </c>
      <c r="Q15119">
        <v>102</v>
      </c>
      <c r="R15119" t="s">
        <v>47450</v>
      </c>
      <c r="S15119" t="s">
        <v>48614</v>
      </c>
      <c r="T15119" t="s">
        <v>49415</v>
      </c>
      <c r="U15119" t="s">
        <v>61956</v>
      </c>
      <c r="V15119" t="s">
        <v>64336</v>
      </c>
      <c r="W15119" t="s">
        <v>47323</v>
      </c>
      <c r="X15119" t="s">
        <v>47452</v>
      </c>
    </row>
    <row r="15120" spans="1:24">
      <c r="A15120">
        <f>HYPERLINK("https://www.philgeps.gov.ph/GEPSNONPILOT/Tender/SplashBidNoticeAbstractUI.aspx?menuIndex=3&amp;refID=7116207&amp;Result=3","7116207")</f>
        <v>0</v>
      </c>
      <c r="B15120" t="s">
        <v>3691</v>
      </c>
      <c r="C15120" t="s">
        <v>18229</v>
      </c>
      <c r="D15120" t="s">
        <v>19032</v>
      </c>
      <c r="E15120" t="s">
        <v>32094</v>
      </c>
      <c r="F15120" t="s">
        <v>32831</v>
      </c>
      <c r="G15120" t="s">
        <v>32839</v>
      </c>
      <c r="H15120" t="s">
        <v>32849</v>
      </c>
      <c r="I15120" t="s">
        <v>4177</v>
      </c>
      <c r="J15120" t="s">
        <v>42212</v>
      </c>
      <c r="K15120" t="s">
        <v>42791</v>
      </c>
      <c r="M15120" t="s">
        <v>47075</v>
      </c>
      <c r="N15120" t="s">
        <v>47424</v>
      </c>
      <c r="O15120" t="s">
        <v>47425</v>
      </c>
      <c r="P15120">
        <v>0</v>
      </c>
      <c r="Q15120">
        <v>1</v>
      </c>
      <c r="R15120" t="s">
        <v>47450</v>
      </c>
      <c r="S15120" t="s">
        <v>48614</v>
      </c>
      <c r="T15120" t="s">
        <v>49237</v>
      </c>
      <c r="U15120" t="s">
        <v>61957</v>
      </c>
      <c r="W15120" t="s">
        <v>47075</v>
      </c>
      <c r="X15120" t="s">
        <v>47452</v>
      </c>
    </row>
    <row r="15121" spans="1:24">
      <c r="A15121">
        <f>HYPERLINK("https://www.philgeps.gov.ph/GEPSNONPILOT/Tender/SplashBidNoticeAbstractUI.aspx?menuIndex=3&amp;refID=7114946&amp;Result=3","7114946")</f>
        <v>0</v>
      </c>
      <c r="B15121" t="s">
        <v>3110</v>
      </c>
      <c r="C15121" t="s">
        <v>18230</v>
      </c>
      <c r="D15121" t="s">
        <v>19017</v>
      </c>
      <c r="E15121" t="s">
        <v>32095</v>
      </c>
      <c r="F15121" t="s">
        <v>32831</v>
      </c>
      <c r="G15121" t="s">
        <v>32839</v>
      </c>
      <c r="H15121" t="s">
        <v>32848</v>
      </c>
      <c r="I15121" t="s">
        <v>9577</v>
      </c>
      <c r="J15121" t="s">
        <v>42213</v>
      </c>
      <c r="K15121" t="s">
        <v>42729</v>
      </c>
      <c r="M15121" t="s">
        <v>46397</v>
      </c>
      <c r="N15121" t="s">
        <v>47424</v>
      </c>
      <c r="O15121" t="s">
        <v>47425</v>
      </c>
      <c r="Q15121">
        <v>20</v>
      </c>
      <c r="R15121" t="s">
        <v>47450</v>
      </c>
      <c r="S15121" t="s">
        <v>48615</v>
      </c>
      <c r="T15121" t="s">
        <v>49212</v>
      </c>
      <c r="U15121" t="s">
        <v>57894</v>
      </c>
      <c r="W15121" t="s">
        <v>46397</v>
      </c>
      <c r="X15121" t="s">
        <v>47452</v>
      </c>
    </row>
    <row r="15122" spans="1:24">
      <c r="A15122">
        <f>HYPERLINK("https://www.philgeps.gov.ph/GEPSNONPILOT/Tender/SplashBidNoticeAbstractUI.aspx?menuIndex=3&amp;refID=7119803&amp;Result=3","7119803")</f>
        <v>0</v>
      </c>
      <c r="B15122" t="s">
        <v>999</v>
      </c>
      <c r="C15122" t="s">
        <v>18231</v>
      </c>
      <c r="D15122" t="s">
        <v>19017</v>
      </c>
      <c r="E15122" t="s">
        <v>32096</v>
      </c>
      <c r="F15122" t="s">
        <v>32831</v>
      </c>
      <c r="G15122" t="s">
        <v>32839</v>
      </c>
      <c r="H15122" t="s">
        <v>32848</v>
      </c>
      <c r="I15122" t="s">
        <v>32866</v>
      </c>
      <c r="J15122" t="s">
        <v>39817</v>
      </c>
      <c r="K15122" t="s">
        <v>42764</v>
      </c>
      <c r="M15122" t="s">
        <v>44908</v>
      </c>
      <c r="N15122" t="s">
        <v>47424</v>
      </c>
      <c r="O15122" t="s">
        <v>47425</v>
      </c>
      <c r="Q15122">
        <v>2</v>
      </c>
      <c r="R15122" t="s">
        <v>47448</v>
      </c>
      <c r="S15122" t="s">
        <v>48616</v>
      </c>
      <c r="T15122" t="s">
        <v>49231</v>
      </c>
      <c r="U15122" t="s">
        <v>61958</v>
      </c>
      <c r="W15122" t="s">
        <v>44908</v>
      </c>
      <c r="X15122" t="s">
        <v>47449</v>
      </c>
    </row>
    <row r="15123" spans="1:24">
      <c r="A15123">
        <f>HYPERLINK("https://www.philgeps.gov.ph/GEPSNONPILOT/Tender/SplashBidNoticeAbstractUI.aspx?menuIndex=3&amp;refID=7114451&amp;Result=3","7114451")</f>
        <v>0</v>
      </c>
      <c r="B15123" t="s">
        <v>2331</v>
      </c>
      <c r="C15123" t="s">
        <v>18232</v>
      </c>
      <c r="D15123" t="s">
        <v>19049</v>
      </c>
      <c r="E15123" t="s">
        <v>32097</v>
      </c>
      <c r="F15123" t="s">
        <v>32831</v>
      </c>
      <c r="G15123" t="s">
        <v>32839</v>
      </c>
      <c r="H15123" t="s">
        <v>32848</v>
      </c>
      <c r="I15123" t="s">
        <v>4487</v>
      </c>
      <c r="J15123" t="s">
        <v>42214</v>
      </c>
      <c r="K15123" t="s">
        <v>42747</v>
      </c>
      <c r="M15123" t="s">
        <v>45517</v>
      </c>
      <c r="N15123" t="s">
        <v>47424</v>
      </c>
      <c r="O15123" t="s">
        <v>47425</v>
      </c>
      <c r="Q15123">
        <v>3</v>
      </c>
      <c r="R15123" t="s">
        <v>47450</v>
      </c>
      <c r="S15123" t="s">
        <v>48617</v>
      </c>
      <c r="T15123" t="s">
        <v>49080</v>
      </c>
      <c r="U15123" t="s">
        <v>61959</v>
      </c>
      <c r="V15123" t="s">
        <v>63348</v>
      </c>
      <c r="W15123" t="s">
        <v>45517</v>
      </c>
      <c r="X15123" t="s">
        <v>47452</v>
      </c>
    </row>
    <row r="15124" spans="1:24">
      <c r="A15124">
        <f>HYPERLINK("https://www.philgeps.gov.ph/GEPSNONPILOT/Tender/SplashBidNoticeAbstractUI.aspx?menuIndex=3&amp;refID=7113976&amp;Result=3","7113976")</f>
        <v>0</v>
      </c>
      <c r="B15124" t="s">
        <v>2664</v>
      </c>
      <c r="C15124" t="s">
        <v>4699</v>
      </c>
      <c r="D15124" t="s">
        <v>19021</v>
      </c>
      <c r="E15124" t="s">
        <v>32098</v>
      </c>
      <c r="F15124" t="s">
        <v>32831</v>
      </c>
      <c r="G15124" t="s">
        <v>32842</v>
      </c>
      <c r="H15124" t="s">
        <v>32848</v>
      </c>
      <c r="I15124" t="s">
        <v>32860</v>
      </c>
      <c r="J15124" t="s">
        <v>42215</v>
      </c>
      <c r="K15124" t="s">
        <v>42730</v>
      </c>
      <c r="M15124" t="s">
        <v>45887</v>
      </c>
      <c r="N15124" t="s">
        <v>47424</v>
      </c>
      <c r="O15124" t="s">
        <v>47425</v>
      </c>
      <c r="Q15124">
        <v>1</v>
      </c>
      <c r="R15124" t="s">
        <v>47450</v>
      </c>
      <c r="S15124" t="s">
        <v>48618</v>
      </c>
      <c r="T15124" t="s">
        <v>49073</v>
      </c>
      <c r="U15124" t="s">
        <v>61960</v>
      </c>
      <c r="W15124" t="s">
        <v>45887</v>
      </c>
      <c r="X15124" t="s">
        <v>47452</v>
      </c>
    </row>
    <row r="15125" spans="1:24">
      <c r="A15125">
        <f>HYPERLINK("https://www.philgeps.gov.ph/GEPSNONPILOT/Tender/SplashBidNoticeAbstractUI.aspx?menuIndex=3&amp;refID=7113530&amp;Result=3","7113530")</f>
        <v>0</v>
      </c>
      <c r="B15125" t="s">
        <v>682</v>
      </c>
      <c r="C15125" t="s">
        <v>12454</v>
      </c>
      <c r="D15125" t="s">
        <v>19067</v>
      </c>
      <c r="E15125" t="s">
        <v>32099</v>
      </c>
      <c r="F15125" t="s">
        <v>32831</v>
      </c>
      <c r="G15125" t="s">
        <v>32839</v>
      </c>
      <c r="H15125" t="s">
        <v>32849</v>
      </c>
      <c r="I15125" t="s">
        <v>4177</v>
      </c>
      <c r="J15125" t="s">
        <v>33528</v>
      </c>
      <c r="K15125" t="s">
        <v>42763</v>
      </c>
      <c r="M15125" t="s">
        <v>43701</v>
      </c>
      <c r="N15125" t="s">
        <v>47424</v>
      </c>
      <c r="O15125" t="s">
        <v>47425</v>
      </c>
      <c r="P15125">
        <v>0</v>
      </c>
      <c r="Q15125">
        <v>1</v>
      </c>
      <c r="R15125" t="s">
        <v>47450</v>
      </c>
      <c r="S15125" t="s">
        <v>48614</v>
      </c>
      <c r="T15125" t="s">
        <v>49111</v>
      </c>
      <c r="U15125" t="s">
        <v>61961</v>
      </c>
      <c r="W15125" t="s">
        <v>43701</v>
      </c>
      <c r="X15125" t="s">
        <v>47452</v>
      </c>
    </row>
    <row r="15126" spans="1:24">
      <c r="A15126">
        <f>HYPERLINK("https://www.philgeps.gov.ph/GEPSNONPILOT/Tender/SplashBidNoticeAbstractUI.aspx?menuIndex=3&amp;refID=7119885&amp;Result=3","7119885")</f>
        <v>0</v>
      </c>
      <c r="B15126" t="s">
        <v>886</v>
      </c>
      <c r="C15126" t="s">
        <v>18233</v>
      </c>
      <c r="D15126" t="s">
        <v>19017</v>
      </c>
      <c r="E15126" t="s">
        <v>19818</v>
      </c>
      <c r="F15126" t="s">
        <v>32831</v>
      </c>
      <c r="G15126" t="s">
        <v>32839</v>
      </c>
      <c r="H15126" t="s">
        <v>32848</v>
      </c>
      <c r="I15126" t="s">
        <v>32871</v>
      </c>
      <c r="J15126" t="s">
        <v>36338</v>
      </c>
      <c r="K15126" t="s">
        <v>42732</v>
      </c>
      <c r="M15126" t="s">
        <v>47322</v>
      </c>
      <c r="N15126" t="s">
        <v>47424</v>
      </c>
      <c r="O15126" t="s">
        <v>47425</v>
      </c>
      <c r="Q15126">
        <v>23</v>
      </c>
      <c r="R15126" t="s">
        <v>47448</v>
      </c>
      <c r="S15126" t="s">
        <v>48619</v>
      </c>
      <c r="T15126" t="s">
        <v>49111</v>
      </c>
      <c r="U15126" t="s">
        <v>61946</v>
      </c>
      <c r="W15126" t="s">
        <v>47322</v>
      </c>
      <c r="X15126" t="s">
        <v>47449</v>
      </c>
    </row>
    <row r="15127" spans="1:24">
      <c r="A15127">
        <f>HYPERLINK("https://www.philgeps.gov.ph/GEPSNONPILOT/Tender/SplashBidNoticeAbstractUI.aspx?menuIndex=3&amp;refID=7119882&amp;Result=3","7119882")</f>
        <v>0</v>
      </c>
      <c r="B15127" t="s">
        <v>886</v>
      </c>
      <c r="C15127" t="s">
        <v>18234</v>
      </c>
      <c r="D15127" t="s">
        <v>19017</v>
      </c>
      <c r="E15127" t="s">
        <v>32100</v>
      </c>
      <c r="F15127" t="s">
        <v>32831</v>
      </c>
      <c r="G15127" t="s">
        <v>32839</v>
      </c>
      <c r="H15127" t="s">
        <v>32848</v>
      </c>
      <c r="I15127" t="s">
        <v>32871</v>
      </c>
      <c r="J15127" t="s">
        <v>33465</v>
      </c>
      <c r="K15127" t="s">
        <v>42732</v>
      </c>
      <c r="M15127" t="s">
        <v>47322</v>
      </c>
      <c r="N15127" t="s">
        <v>47424</v>
      </c>
      <c r="O15127" t="s">
        <v>47425</v>
      </c>
      <c r="Q15127">
        <v>25</v>
      </c>
      <c r="R15127" t="s">
        <v>47448</v>
      </c>
      <c r="S15127" t="s">
        <v>48620</v>
      </c>
      <c r="T15127" t="s">
        <v>49111</v>
      </c>
      <c r="U15127" t="s">
        <v>61946</v>
      </c>
      <c r="W15127" t="s">
        <v>47322</v>
      </c>
      <c r="X15127" t="s">
        <v>47449</v>
      </c>
    </row>
    <row r="15128" spans="1:24">
      <c r="A15128">
        <f>HYPERLINK("https://www.philgeps.gov.ph/GEPSNONPILOT/Tender/SplashBidNoticeAbstractUI.aspx?menuIndex=3&amp;refID=7119674&amp;Result=3","7119674")</f>
        <v>0</v>
      </c>
      <c r="B15128" t="s">
        <v>493</v>
      </c>
      <c r="C15128" t="s">
        <v>18235</v>
      </c>
      <c r="E15128" t="s">
        <v>32101</v>
      </c>
      <c r="F15128" t="s">
        <v>32831</v>
      </c>
      <c r="G15128" t="s">
        <v>32839</v>
      </c>
      <c r="H15128" t="s">
        <v>32848</v>
      </c>
      <c r="I15128" t="s">
        <v>32872</v>
      </c>
      <c r="J15128" t="s">
        <v>42216</v>
      </c>
      <c r="K15128" t="s">
        <v>42763</v>
      </c>
      <c r="M15128" t="s">
        <v>43498</v>
      </c>
      <c r="N15128" t="s">
        <v>47424</v>
      </c>
      <c r="O15128" t="s">
        <v>47425</v>
      </c>
      <c r="Q15128">
        <v>9</v>
      </c>
      <c r="R15128" t="s">
        <v>47449</v>
      </c>
      <c r="S15128" t="s">
        <v>48621</v>
      </c>
      <c r="T15128" t="s">
        <v>49073</v>
      </c>
      <c r="U15128" t="s">
        <v>61962</v>
      </c>
      <c r="W15128" t="s">
        <v>43498</v>
      </c>
      <c r="X15128" t="s">
        <v>47450</v>
      </c>
    </row>
    <row r="15129" spans="1:24">
      <c r="A15129">
        <f>HYPERLINK("https://www.philgeps.gov.ph/GEPSNONPILOT/Tender/SplashBidNoticeAbstractUI.aspx?menuIndex=3&amp;refID=7119664&amp;Result=3","7119664")</f>
        <v>0</v>
      </c>
      <c r="B15129" t="s">
        <v>1870</v>
      </c>
      <c r="C15129" t="s">
        <v>18236</v>
      </c>
      <c r="D15129" t="s">
        <v>19073</v>
      </c>
      <c r="E15129" t="s">
        <v>32102</v>
      </c>
      <c r="F15129" t="s">
        <v>32831</v>
      </c>
      <c r="G15129" t="s">
        <v>32839</v>
      </c>
      <c r="H15129" t="s">
        <v>32848</v>
      </c>
      <c r="I15129" t="s">
        <v>32855</v>
      </c>
      <c r="J15129" t="s">
        <v>42217</v>
      </c>
      <c r="K15129" t="s">
        <v>42732</v>
      </c>
      <c r="M15129" t="s">
        <v>45014</v>
      </c>
      <c r="N15129" t="s">
        <v>47424</v>
      </c>
      <c r="O15129" t="s">
        <v>47425</v>
      </c>
      <c r="Q15129">
        <v>14</v>
      </c>
      <c r="R15129" t="s">
        <v>47449</v>
      </c>
      <c r="S15129" t="s">
        <v>48622</v>
      </c>
      <c r="T15129" t="s">
        <v>49243</v>
      </c>
      <c r="U15129" t="s">
        <v>61963</v>
      </c>
      <c r="W15129" t="s">
        <v>45014</v>
      </c>
      <c r="X15129" t="s">
        <v>47450</v>
      </c>
    </row>
    <row r="15130" spans="1:24">
      <c r="A15130">
        <f>HYPERLINK("https://www.philgeps.gov.ph/GEPSNONPILOT/Tender/SplashBidNoticeAbstractUI.aspx?menuIndex=3&amp;refID=7119879&amp;Result=3","7119879")</f>
        <v>0</v>
      </c>
      <c r="B15130" t="s">
        <v>3685</v>
      </c>
      <c r="C15130" t="s">
        <v>18237</v>
      </c>
      <c r="D15130" t="s">
        <v>19059</v>
      </c>
      <c r="E15130" t="s">
        <v>32103</v>
      </c>
      <c r="F15130" t="s">
        <v>32831</v>
      </c>
      <c r="G15130" t="s">
        <v>32839</v>
      </c>
      <c r="H15130" t="s">
        <v>32848</v>
      </c>
      <c r="I15130" t="s">
        <v>32882</v>
      </c>
      <c r="J15130" t="s">
        <v>36005</v>
      </c>
      <c r="K15130" t="s">
        <v>42730</v>
      </c>
      <c r="M15130" t="s">
        <v>47065</v>
      </c>
      <c r="N15130" t="s">
        <v>47424</v>
      </c>
      <c r="O15130" t="s">
        <v>47425</v>
      </c>
      <c r="Q15130">
        <v>9</v>
      </c>
      <c r="R15130" t="s">
        <v>47448</v>
      </c>
      <c r="S15130" t="s">
        <v>48623</v>
      </c>
      <c r="T15130" t="s">
        <v>49057</v>
      </c>
      <c r="U15130" t="s">
        <v>61964</v>
      </c>
      <c r="V15130" t="s">
        <v>64337</v>
      </c>
      <c r="W15130" t="s">
        <v>47065</v>
      </c>
      <c r="X15130" t="s">
        <v>47449</v>
      </c>
    </row>
    <row r="15131" spans="1:24">
      <c r="A15131">
        <f>HYPERLINK("https://www.philgeps.gov.ph/GEPSNONPILOT/Tender/SplashBidNoticeAbstractUI.aspx?menuIndex=3&amp;refID=7113539&amp;Result=3","7113539")</f>
        <v>0</v>
      </c>
      <c r="B15131" t="s">
        <v>2664</v>
      </c>
      <c r="C15131" t="s">
        <v>18238</v>
      </c>
      <c r="D15131" t="s">
        <v>19026</v>
      </c>
      <c r="E15131" t="s">
        <v>32104</v>
      </c>
      <c r="F15131" t="s">
        <v>32831</v>
      </c>
      <c r="G15131" t="s">
        <v>32838</v>
      </c>
      <c r="H15131" t="s">
        <v>32848</v>
      </c>
      <c r="I15131" t="s">
        <v>4487</v>
      </c>
      <c r="J15131" t="s">
        <v>32980</v>
      </c>
      <c r="K15131" t="s">
        <v>42727</v>
      </c>
      <c r="M15131" t="s">
        <v>45887</v>
      </c>
      <c r="N15131" t="s">
        <v>47424</v>
      </c>
      <c r="O15131" t="s">
        <v>47425</v>
      </c>
      <c r="Q15131">
        <v>4</v>
      </c>
      <c r="R15131" t="s">
        <v>47450</v>
      </c>
      <c r="S15131" t="s">
        <v>47778</v>
      </c>
      <c r="T15131" t="s">
        <v>49073</v>
      </c>
      <c r="U15131" t="s">
        <v>61965</v>
      </c>
      <c r="W15131" t="s">
        <v>45887</v>
      </c>
      <c r="X15131" t="s">
        <v>47452</v>
      </c>
    </row>
    <row r="15132" spans="1:24">
      <c r="A15132">
        <f>HYPERLINK("https://www.philgeps.gov.ph/GEPSNONPILOT/Tender/SplashBidNoticeAbstractUI.aspx?menuIndex=3&amp;refID=7119670&amp;Result=3","7119670")</f>
        <v>0</v>
      </c>
      <c r="B15132" t="s">
        <v>493</v>
      </c>
      <c r="C15132" t="s">
        <v>18239</v>
      </c>
      <c r="E15132" t="s">
        <v>32105</v>
      </c>
      <c r="F15132" t="s">
        <v>32831</v>
      </c>
      <c r="G15132" t="s">
        <v>32839</v>
      </c>
      <c r="H15132" t="s">
        <v>32849</v>
      </c>
      <c r="I15132" t="s">
        <v>4177</v>
      </c>
      <c r="J15132" t="s">
        <v>42218</v>
      </c>
      <c r="K15132" t="s">
        <v>42757</v>
      </c>
      <c r="M15132" t="s">
        <v>43498</v>
      </c>
      <c r="N15132" t="s">
        <v>47424</v>
      </c>
      <c r="O15132" t="s">
        <v>47425</v>
      </c>
      <c r="Q15132">
        <v>8</v>
      </c>
      <c r="R15132" t="s">
        <v>47449</v>
      </c>
      <c r="S15132" t="s">
        <v>48624</v>
      </c>
      <c r="T15132" t="s">
        <v>49181</v>
      </c>
      <c r="U15132" t="s">
        <v>61966</v>
      </c>
      <c r="W15132" t="s">
        <v>43498</v>
      </c>
      <c r="X15132" t="s">
        <v>47450</v>
      </c>
    </row>
    <row r="15133" spans="1:24">
      <c r="A15133">
        <f>HYPERLINK("https://www.philgeps.gov.ph/GEPSNONPILOT/Tender/SplashBidNoticeAbstractUI.aspx?menuIndex=3&amp;refID=7120038&amp;Result=3","7120038")</f>
        <v>0</v>
      </c>
      <c r="B15133" t="s">
        <v>554</v>
      </c>
      <c r="C15133" t="s">
        <v>18240</v>
      </c>
      <c r="D15133" t="s">
        <v>19091</v>
      </c>
      <c r="E15133" t="s">
        <v>27522</v>
      </c>
      <c r="F15133" t="s">
        <v>32831</v>
      </c>
      <c r="G15133" t="s">
        <v>32839</v>
      </c>
      <c r="H15133" t="s">
        <v>32849</v>
      </c>
      <c r="I15133" t="s">
        <v>4177</v>
      </c>
      <c r="J15133" t="s">
        <v>42219</v>
      </c>
      <c r="K15133" t="s">
        <v>42780</v>
      </c>
      <c r="M15133" t="s">
        <v>43562</v>
      </c>
      <c r="N15133" t="s">
        <v>47424</v>
      </c>
      <c r="O15133" t="s">
        <v>47425</v>
      </c>
      <c r="P15133">
        <v>0</v>
      </c>
      <c r="Q15133">
        <v>3</v>
      </c>
      <c r="R15133" t="s">
        <v>47448</v>
      </c>
      <c r="S15133" t="s">
        <v>48555</v>
      </c>
      <c r="T15133" t="s">
        <v>49116</v>
      </c>
      <c r="U15133" t="s">
        <v>61967</v>
      </c>
      <c r="W15133" t="s">
        <v>43562</v>
      </c>
      <c r="X15133" t="s">
        <v>47449</v>
      </c>
    </row>
    <row r="15134" spans="1:24">
      <c r="A15134">
        <f>HYPERLINK("https://www.philgeps.gov.ph/GEPSNONPILOT/Tender/SplashBidNoticeAbstractUI.aspx?menuIndex=3&amp;refID=7120050&amp;Result=3","7120050")</f>
        <v>0</v>
      </c>
      <c r="B15134" t="s">
        <v>192</v>
      </c>
      <c r="C15134" t="s">
        <v>18241</v>
      </c>
      <c r="D15134" t="s">
        <v>19057</v>
      </c>
      <c r="E15134" t="s">
        <v>32106</v>
      </c>
      <c r="F15134" t="s">
        <v>32831</v>
      </c>
      <c r="G15134" t="s">
        <v>32839</v>
      </c>
      <c r="H15134" t="s">
        <v>32849</v>
      </c>
      <c r="I15134" t="s">
        <v>4177</v>
      </c>
      <c r="J15134" t="s">
        <v>42220</v>
      </c>
      <c r="K15134" t="s">
        <v>42942</v>
      </c>
      <c r="M15134" t="s">
        <v>43190</v>
      </c>
      <c r="N15134" t="s">
        <v>47424</v>
      </c>
      <c r="O15134" t="s">
        <v>47425</v>
      </c>
      <c r="Q15134">
        <v>25</v>
      </c>
      <c r="R15134" t="s">
        <v>47448</v>
      </c>
      <c r="S15134" t="s">
        <v>48625</v>
      </c>
      <c r="T15134" t="s">
        <v>49078</v>
      </c>
      <c r="U15134" t="s">
        <v>61968</v>
      </c>
      <c r="W15134" t="s">
        <v>43190</v>
      </c>
      <c r="X15134" t="s">
        <v>47449</v>
      </c>
    </row>
    <row r="15135" spans="1:24">
      <c r="A15135">
        <f>HYPERLINK("https://www.philgeps.gov.ph/GEPSNONPILOT/Tender/SplashBidNoticeAbstractUI.aspx?menuIndex=3&amp;refID=7119926&amp;Result=3","7119926")</f>
        <v>0</v>
      </c>
      <c r="B15135" t="s">
        <v>820</v>
      </c>
      <c r="C15135" t="s">
        <v>18242</v>
      </c>
      <c r="E15135" t="s">
        <v>32107</v>
      </c>
      <c r="F15135" t="s">
        <v>32831</v>
      </c>
      <c r="G15135" t="s">
        <v>32839</v>
      </c>
      <c r="H15135" t="s">
        <v>32848</v>
      </c>
      <c r="I15135" t="s">
        <v>32859</v>
      </c>
      <c r="J15135" t="s">
        <v>42221</v>
      </c>
      <c r="K15135" t="s">
        <v>42732</v>
      </c>
      <c r="M15135" t="s">
        <v>43851</v>
      </c>
      <c r="N15135" t="s">
        <v>47424</v>
      </c>
      <c r="O15135" t="s">
        <v>47425</v>
      </c>
      <c r="Q15135">
        <v>3</v>
      </c>
      <c r="R15135" t="s">
        <v>47448</v>
      </c>
      <c r="S15135" t="s">
        <v>48626</v>
      </c>
      <c r="T15135" t="s">
        <v>49111</v>
      </c>
      <c r="U15135" t="s">
        <v>61969</v>
      </c>
      <c r="W15135" t="s">
        <v>43851</v>
      </c>
      <c r="X15135" t="s">
        <v>47449</v>
      </c>
    </row>
    <row r="15136" spans="1:24">
      <c r="A15136">
        <f>HYPERLINK("https://www.philgeps.gov.ph/GEPSNONPILOT/Tender/SplashBidNoticeAbstractUI.aspx?menuIndex=3&amp;refID=7120035&amp;Result=3","7120035")</f>
        <v>0</v>
      </c>
      <c r="B15136" t="s">
        <v>554</v>
      </c>
      <c r="C15136" t="s">
        <v>18243</v>
      </c>
      <c r="D15136" t="s">
        <v>19091</v>
      </c>
      <c r="E15136" t="s">
        <v>24188</v>
      </c>
      <c r="F15136" t="s">
        <v>32831</v>
      </c>
      <c r="G15136" t="s">
        <v>32839</v>
      </c>
      <c r="H15136" t="s">
        <v>32849</v>
      </c>
      <c r="I15136" t="s">
        <v>4177</v>
      </c>
      <c r="J15136" t="s">
        <v>42222</v>
      </c>
      <c r="K15136" t="s">
        <v>43002</v>
      </c>
      <c r="M15136" t="s">
        <v>43562</v>
      </c>
      <c r="N15136" t="s">
        <v>47424</v>
      </c>
      <c r="O15136" t="s">
        <v>47425</v>
      </c>
      <c r="P15136">
        <v>0</v>
      </c>
      <c r="Q15136">
        <v>2</v>
      </c>
      <c r="R15136" t="s">
        <v>47448</v>
      </c>
      <c r="S15136" t="s">
        <v>48555</v>
      </c>
      <c r="T15136" t="s">
        <v>49162</v>
      </c>
      <c r="U15136" t="s">
        <v>61970</v>
      </c>
      <c r="W15136" t="s">
        <v>43562</v>
      </c>
      <c r="X15136" t="s">
        <v>47449</v>
      </c>
    </row>
    <row r="15137" spans="1:24">
      <c r="A15137">
        <f>HYPERLINK("https://www.philgeps.gov.ph/GEPSNONPILOT/Tender/SplashBidNoticeAbstractUI.aspx?menuIndex=3&amp;refID=7119795&amp;Result=3","7119795")</f>
        <v>0</v>
      </c>
      <c r="B15137" t="s">
        <v>3256</v>
      </c>
      <c r="C15137" t="s">
        <v>18244</v>
      </c>
      <c r="D15137" t="s">
        <v>19040</v>
      </c>
      <c r="E15137" t="s">
        <v>32108</v>
      </c>
      <c r="F15137" t="s">
        <v>32831</v>
      </c>
      <c r="G15137" t="s">
        <v>32839</v>
      </c>
      <c r="H15137" t="s">
        <v>32849</v>
      </c>
      <c r="I15137" t="s">
        <v>4177</v>
      </c>
      <c r="J15137" t="s">
        <v>39848</v>
      </c>
      <c r="K15137" t="s">
        <v>42862</v>
      </c>
      <c r="M15137" t="s">
        <v>46572</v>
      </c>
      <c r="N15137" t="s">
        <v>47424</v>
      </c>
      <c r="O15137" t="s">
        <v>47425</v>
      </c>
      <c r="Q15137">
        <v>2</v>
      </c>
      <c r="R15137" t="s">
        <v>47448</v>
      </c>
      <c r="S15137" t="s">
        <v>48627</v>
      </c>
      <c r="T15137" t="s">
        <v>49104</v>
      </c>
      <c r="U15137" t="s">
        <v>61953</v>
      </c>
      <c r="V15137" t="s">
        <v>64338</v>
      </c>
      <c r="W15137" t="s">
        <v>46572</v>
      </c>
      <c r="X15137" t="s">
        <v>47449</v>
      </c>
    </row>
    <row r="15138" spans="1:24">
      <c r="A15138">
        <f>HYPERLINK("https://www.philgeps.gov.ph/GEPSNONPILOT/Tender/SplashBidNoticeAbstractUI.aspx?menuIndex=3&amp;refID=7119671&amp;Result=3","7119671")</f>
        <v>0</v>
      </c>
      <c r="B15138" t="s">
        <v>493</v>
      </c>
      <c r="C15138" t="s">
        <v>18245</v>
      </c>
      <c r="E15138" t="s">
        <v>32109</v>
      </c>
      <c r="F15138" t="s">
        <v>32831</v>
      </c>
      <c r="G15138" t="s">
        <v>32839</v>
      </c>
      <c r="H15138" t="s">
        <v>32848</v>
      </c>
      <c r="I15138" t="s">
        <v>32872</v>
      </c>
      <c r="J15138" t="s">
        <v>33111</v>
      </c>
      <c r="K15138" t="s">
        <v>42730</v>
      </c>
      <c r="M15138" t="s">
        <v>43498</v>
      </c>
      <c r="N15138" t="s">
        <v>47424</v>
      </c>
      <c r="O15138" t="s">
        <v>47425</v>
      </c>
      <c r="Q15138">
        <v>5</v>
      </c>
      <c r="R15138" t="s">
        <v>47449</v>
      </c>
      <c r="S15138" t="s">
        <v>48628</v>
      </c>
      <c r="T15138" t="s">
        <v>49129</v>
      </c>
      <c r="U15138" t="s">
        <v>61971</v>
      </c>
      <c r="W15138" t="s">
        <v>43498</v>
      </c>
      <c r="X15138" t="s">
        <v>47450</v>
      </c>
    </row>
    <row r="15139" spans="1:24">
      <c r="A15139">
        <f>HYPERLINK("https://www.philgeps.gov.ph/GEPSNONPILOT/Tender/SplashBidNoticeAbstractUI.aspx?menuIndex=3&amp;refID=7119726&amp;Result=3","7119726")</f>
        <v>0</v>
      </c>
      <c r="B15139" t="s">
        <v>3870</v>
      </c>
      <c r="C15139" t="s">
        <v>18246</v>
      </c>
      <c r="D15139" t="s">
        <v>19018</v>
      </c>
      <c r="E15139" t="s">
        <v>32110</v>
      </c>
      <c r="F15139" t="s">
        <v>32831</v>
      </c>
      <c r="G15139" t="s">
        <v>32839</v>
      </c>
      <c r="H15139" t="s">
        <v>32848</v>
      </c>
      <c r="I15139" t="s">
        <v>32883</v>
      </c>
      <c r="J15139" t="s">
        <v>42223</v>
      </c>
      <c r="K15139" t="s">
        <v>42731</v>
      </c>
      <c r="M15139" t="s">
        <v>47319</v>
      </c>
      <c r="N15139" t="s">
        <v>47424</v>
      </c>
      <c r="O15139" t="s">
        <v>47425</v>
      </c>
      <c r="P15139">
        <v>0</v>
      </c>
      <c r="Q15139">
        <v>5</v>
      </c>
      <c r="R15139" t="s">
        <v>47448</v>
      </c>
      <c r="S15139" t="s">
        <v>48555</v>
      </c>
      <c r="T15139" t="s">
        <v>49166</v>
      </c>
      <c r="U15139" t="s">
        <v>61972</v>
      </c>
      <c r="W15139" t="s">
        <v>47319</v>
      </c>
      <c r="X15139" t="s">
        <v>47449</v>
      </c>
    </row>
    <row r="15140" spans="1:24">
      <c r="A15140">
        <f>HYPERLINK("https://www.philgeps.gov.ph/GEPSNONPILOT/Tender/SplashBidNoticeAbstractUI.aspx?menuIndex=3&amp;refID=7116782&amp;Result=3","7116782")</f>
        <v>0</v>
      </c>
      <c r="B15140" t="s">
        <v>1221</v>
      </c>
      <c r="C15140" t="s">
        <v>18247</v>
      </c>
      <c r="E15140" t="s">
        <v>32111</v>
      </c>
      <c r="F15140" t="s">
        <v>32831</v>
      </c>
      <c r="G15140" t="s">
        <v>32839</v>
      </c>
      <c r="H15140" t="s">
        <v>32848</v>
      </c>
      <c r="I15140" t="s">
        <v>4438</v>
      </c>
      <c r="J15140" t="s">
        <v>32980</v>
      </c>
      <c r="K15140" t="s">
        <v>42732</v>
      </c>
      <c r="M15140" t="s">
        <v>44289</v>
      </c>
      <c r="N15140" t="s">
        <v>47424</v>
      </c>
      <c r="O15140" t="s">
        <v>47425</v>
      </c>
      <c r="Q15140">
        <v>2</v>
      </c>
      <c r="R15140" t="s">
        <v>47449</v>
      </c>
      <c r="S15140" t="s">
        <v>47746</v>
      </c>
      <c r="T15140" t="s">
        <v>49338</v>
      </c>
      <c r="U15140" t="s">
        <v>61973</v>
      </c>
      <c r="V15140" t="s">
        <v>64339</v>
      </c>
      <c r="W15140" t="s">
        <v>44289</v>
      </c>
      <c r="X15140" t="s">
        <v>47451</v>
      </c>
    </row>
    <row r="15141" spans="1:24">
      <c r="A15141">
        <f>HYPERLINK("https://www.philgeps.gov.ph/GEPSNONPILOT/Tender/SplashBidNoticeAbstractUI.aspx?menuIndex=3&amp;refID=7114507&amp;Result=3","7114507")</f>
        <v>0</v>
      </c>
      <c r="B15141" t="s">
        <v>2331</v>
      </c>
      <c r="C15141" t="s">
        <v>18248</v>
      </c>
      <c r="D15141" t="s">
        <v>19049</v>
      </c>
      <c r="E15141" t="s">
        <v>32112</v>
      </c>
      <c r="F15141" t="s">
        <v>32831</v>
      </c>
      <c r="G15141" t="s">
        <v>32839</v>
      </c>
      <c r="H15141" t="s">
        <v>32848</v>
      </c>
      <c r="I15141" t="s">
        <v>32860</v>
      </c>
      <c r="J15141" t="s">
        <v>40696</v>
      </c>
      <c r="K15141" t="s">
        <v>42747</v>
      </c>
      <c r="M15141" t="s">
        <v>45517</v>
      </c>
      <c r="N15141" t="s">
        <v>47424</v>
      </c>
      <c r="O15141" t="s">
        <v>47425</v>
      </c>
      <c r="Q15141">
        <v>8</v>
      </c>
      <c r="R15141" t="s">
        <v>47450</v>
      </c>
      <c r="S15141" t="s">
        <v>48629</v>
      </c>
      <c r="T15141" t="s">
        <v>49080</v>
      </c>
      <c r="U15141" t="s">
        <v>61974</v>
      </c>
      <c r="V15141" t="s">
        <v>63348</v>
      </c>
      <c r="W15141" t="s">
        <v>45517</v>
      </c>
      <c r="X15141" t="s">
        <v>47452</v>
      </c>
    </row>
    <row r="15142" spans="1:24">
      <c r="A15142">
        <f>HYPERLINK("https://www.philgeps.gov.ph/GEPSNONPILOT/Tender/SplashBidNoticeAbstractUI.aspx?menuIndex=3&amp;refID=7119723&amp;Result=3","7119723")</f>
        <v>0</v>
      </c>
      <c r="B15142" t="s">
        <v>3870</v>
      </c>
      <c r="C15142" t="s">
        <v>18249</v>
      </c>
      <c r="D15142" t="s">
        <v>19018</v>
      </c>
      <c r="E15142" t="s">
        <v>32113</v>
      </c>
      <c r="F15142" t="s">
        <v>32831</v>
      </c>
      <c r="G15142" t="s">
        <v>32839</v>
      </c>
      <c r="H15142" t="s">
        <v>32849</v>
      </c>
      <c r="I15142" t="s">
        <v>4177</v>
      </c>
      <c r="J15142" t="s">
        <v>42224</v>
      </c>
      <c r="K15142" t="s">
        <v>42729</v>
      </c>
      <c r="M15142" t="s">
        <v>47319</v>
      </c>
      <c r="N15142" t="s">
        <v>47424</v>
      </c>
      <c r="O15142" t="s">
        <v>47425</v>
      </c>
      <c r="P15142">
        <v>0</v>
      </c>
      <c r="Q15142">
        <v>0</v>
      </c>
      <c r="R15142" t="s">
        <v>47448</v>
      </c>
      <c r="S15142" t="s">
        <v>48555</v>
      </c>
      <c r="T15142" t="s">
        <v>49166</v>
      </c>
      <c r="U15142" t="s">
        <v>61975</v>
      </c>
      <c r="W15142" t="s">
        <v>47319</v>
      </c>
      <c r="X15142" t="s">
        <v>47449</v>
      </c>
    </row>
    <row r="15143" spans="1:24">
      <c r="A15143">
        <f>HYPERLINK("https://www.philgeps.gov.ph/GEPSNONPILOT/Tender/SplashBidNoticeAbstractUI.aspx?menuIndex=3&amp;refID=7119771&amp;Result=3","7119771")</f>
        <v>0</v>
      </c>
      <c r="B15143" t="s">
        <v>3256</v>
      </c>
      <c r="C15143" t="s">
        <v>18250</v>
      </c>
      <c r="D15143" t="s">
        <v>19040</v>
      </c>
      <c r="E15143" t="s">
        <v>32114</v>
      </c>
      <c r="F15143" t="s">
        <v>32831</v>
      </c>
      <c r="G15143" t="s">
        <v>32839</v>
      </c>
      <c r="H15143" t="s">
        <v>32849</v>
      </c>
      <c r="I15143" t="s">
        <v>4177</v>
      </c>
      <c r="J15143" t="s">
        <v>42225</v>
      </c>
      <c r="K15143" t="s">
        <v>43003</v>
      </c>
      <c r="M15143" t="s">
        <v>46572</v>
      </c>
      <c r="N15143" t="s">
        <v>47424</v>
      </c>
      <c r="O15143" t="s">
        <v>47425</v>
      </c>
      <c r="Q15143">
        <v>3</v>
      </c>
      <c r="R15143" t="s">
        <v>47448</v>
      </c>
      <c r="S15143" t="s">
        <v>48630</v>
      </c>
      <c r="T15143" t="s">
        <v>49104</v>
      </c>
      <c r="U15143" t="s">
        <v>61953</v>
      </c>
      <c r="V15143" t="s">
        <v>64340</v>
      </c>
      <c r="W15143" t="s">
        <v>46572</v>
      </c>
      <c r="X15143" t="s">
        <v>47449</v>
      </c>
    </row>
    <row r="15144" spans="1:24">
      <c r="A15144">
        <f>HYPERLINK("https://www.philgeps.gov.ph/GEPSNONPILOT/Tender/SplashBidNoticeAbstractUI.aspx?menuIndex=3&amp;refID=7119719&amp;Result=3","7119719")</f>
        <v>0</v>
      </c>
      <c r="B15144" t="s">
        <v>3870</v>
      </c>
      <c r="C15144" t="s">
        <v>18251</v>
      </c>
      <c r="D15144" t="s">
        <v>19018</v>
      </c>
      <c r="E15144" t="s">
        <v>32115</v>
      </c>
      <c r="F15144" t="s">
        <v>32831</v>
      </c>
      <c r="G15144" t="s">
        <v>32839</v>
      </c>
      <c r="H15144" t="s">
        <v>32849</v>
      </c>
      <c r="I15144" t="s">
        <v>4177</v>
      </c>
      <c r="J15144" t="s">
        <v>42226</v>
      </c>
      <c r="K15144" t="s">
        <v>42729</v>
      </c>
      <c r="M15144" t="s">
        <v>47319</v>
      </c>
      <c r="N15144" t="s">
        <v>47424</v>
      </c>
      <c r="O15144" t="s">
        <v>47425</v>
      </c>
      <c r="P15144">
        <v>0</v>
      </c>
      <c r="Q15144">
        <v>0</v>
      </c>
      <c r="R15144" t="s">
        <v>47448</v>
      </c>
      <c r="S15144" t="s">
        <v>48555</v>
      </c>
      <c r="T15144" t="s">
        <v>49166</v>
      </c>
      <c r="U15144" t="s">
        <v>61976</v>
      </c>
      <c r="W15144" t="s">
        <v>47319</v>
      </c>
      <c r="X15144" t="s">
        <v>47449</v>
      </c>
    </row>
    <row r="15145" spans="1:24">
      <c r="A15145">
        <f>HYPERLINK("https://www.philgeps.gov.ph/GEPSNONPILOT/Tender/SplashBidNoticeAbstractUI.aspx?menuIndex=3&amp;refID=7117577&amp;Result=3","7117577")</f>
        <v>0</v>
      </c>
      <c r="B15145" t="s">
        <v>1137</v>
      </c>
      <c r="C15145" t="s">
        <v>18252</v>
      </c>
      <c r="D15145" t="s">
        <v>19020</v>
      </c>
      <c r="E15145" t="s">
        <v>32116</v>
      </c>
      <c r="F15145" t="s">
        <v>32831</v>
      </c>
      <c r="G15145" t="s">
        <v>32839</v>
      </c>
      <c r="H15145" t="s">
        <v>32849</v>
      </c>
      <c r="I15145" t="s">
        <v>4177</v>
      </c>
      <c r="J15145" t="s">
        <v>33016</v>
      </c>
      <c r="K15145" t="s">
        <v>42732</v>
      </c>
      <c r="M15145" t="s">
        <v>44200</v>
      </c>
      <c r="N15145" t="s">
        <v>47424</v>
      </c>
      <c r="O15145" t="s">
        <v>47425</v>
      </c>
      <c r="P15145">
        <v>0</v>
      </c>
      <c r="Q15145">
        <v>1</v>
      </c>
      <c r="R15145" t="s">
        <v>47450</v>
      </c>
      <c r="S15145" t="s">
        <v>48614</v>
      </c>
      <c r="T15145" t="s">
        <v>49166</v>
      </c>
      <c r="U15145" t="s">
        <v>61977</v>
      </c>
      <c r="W15145" t="s">
        <v>44200</v>
      </c>
      <c r="X15145" t="s">
        <v>47451</v>
      </c>
    </row>
    <row r="15146" spans="1:24">
      <c r="A15146">
        <f>HYPERLINK("https://www.philgeps.gov.ph/GEPSNONPILOT/Tender/SplashBidNoticeAbstractUI.aspx?menuIndex=3&amp;refID=7119880&amp;Result=3","7119880")</f>
        <v>0</v>
      </c>
      <c r="B15146" t="s">
        <v>886</v>
      </c>
      <c r="C15146" t="s">
        <v>18253</v>
      </c>
      <c r="D15146" t="s">
        <v>19017</v>
      </c>
      <c r="E15146" t="s">
        <v>32117</v>
      </c>
      <c r="F15146" t="s">
        <v>32831</v>
      </c>
      <c r="G15146" t="s">
        <v>32839</v>
      </c>
      <c r="H15146" t="s">
        <v>32848</v>
      </c>
      <c r="I15146" t="s">
        <v>32871</v>
      </c>
      <c r="J15146" t="s">
        <v>32983</v>
      </c>
      <c r="K15146" t="s">
        <v>42732</v>
      </c>
      <c r="M15146" t="s">
        <v>47322</v>
      </c>
      <c r="N15146" t="s">
        <v>47424</v>
      </c>
      <c r="O15146" t="s">
        <v>47425</v>
      </c>
      <c r="Q15146">
        <v>12</v>
      </c>
      <c r="R15146" t="s">
        <v>47448</v>
      </c>
      <c r="S15146" t="s">
        <v>48631</v>
      </c>
      <c r="T15146" t="s">
        <v>49111</v>
      </c>
      <c r="U15146" t="s">
        <v>61946</v>
      </c>
      <c r="W15146" t="s">
        <v>47322</v>
      </c>
      <c r="X15146" t="s">
        <v>47449</v>
      </c>
    </row>
    <row r="15147" spans="1:24">
      <c r="A15147">
        <f>HYPERLINK("https://www.philgeps.gov.ph/GEPSNONPILOT/Tender/SplashBidNoticeAbstractUI.aspx?menuIndex=3&amp;refID=7119776&amp;Result=3","7119776")</f>
        <v>0</v>
      </c>
      <c r="B15147" t="s">
        <v>3256</v>
      </c>
      <c r="C15147" t="s">
        <v>18254</v>
      </c>
      <c r="D15147" t="s">
        <v>19040</v>
      </c>
      <c r="E15147" t="s">
        <v>32118</v>
      </c>
      <c r="F15147" t="s">
        <v>32831</v>
      </c>
      <c r="G15147" t="s">
        <v>32839</v>
      </c>
      <c r="H15147" t="s">
        <v>32849</v>
      </c>
      <c r="I15147" t="s">
        <v>4177</v>
      </c>
      <c r="J15147" t="s">
        <v>42227</v>
      </c>
      <c r="K15147" t="s">
        <v>42795</v>
      </c>
      <c r="M15147" t="s">
        <v>46572</v>
      </c>
      <c r="N15147" t="s">
        <v>47424</v>
      </c>
      <c r="O15147" t="s">
        <v>47425</v>
      </c>
      <c r="Q15147">
        <v>5</v>
      </c>
      <c r="R15147" t="s">
        <v>47448</v>
      </c>
      <c r="S15147" t="s">
        <v>48632</v>
      </c>
      <c r="T15147" t="s">
        <v>49108</v>
      </c>
      <c r="U15147" t="s">
        <v>61953</v>
      </c>
      <c r="V15147" t="s">
        <v>64341</v>
      </c>
      <c r="W15147" t="s">
        <v>46572</v>
      </c>
      <c r="X15147" t="s">
        <v>47449</v>
      </c>
    </row>
    <row r="15148" spans="1:24">
      <c r="A15148">
        <f>HYPERLINK("https://www.philgeps.gov.ph/GEPSNONPILOT/Tender/SplashBidNoticeAbstractUI.aspx?menuIndex=3&amp;refID=7119716&amp;Result=3","7119716")</f>
        <v>0</v>
      </c>
      <c r="B15148" t="s">
        <v>3870</v>
      </c>
      <c r="C15148" t="s">
        <v>18255</v>
      </c>
      <c r="D15148" t="s">
        <v>19018</v>
      </c>
      <c r="E15148" t="s">
        <v>32119</v>
      </c>
      <c r="F15148" t="s">
        <v>32831</v>
      </c>
      <c r="G15148" t="s">
        <v>32839</v>
      </c>
      <c r="H15148" t="s">
        <v>32849</v>
      </c>
      <c r="I15148" t="s">
        <v>4177</v>
      </c>
      <c r="J15148" t="s">
        <v>42228</v>
      </c>
      <c r="K15148" t="s">
        <v>42770</v>
      </c>
      <c r="M15148" t="s">
        <v>47319</v>
      </c>
      <c r="N15148" t="s">
        <v>47424</v>
      </c>
      <c r="O15148" t="s">
        <v>47425</v>
      </c>
      <c r="P15148">
        <v>0</v>
      </c>
      <c r="Q15148">
        <v>0</v>
      </c>
      <c r="R15148" t="s">
        <v>47448</v>
      </c>
      <c r="S15148" t="s">
        <v>48555</v>
      </c>
      <c r="T15148" t="s">
        <v>49166</v>
      </c>
      <c r="U15148" t="s">
        <v>61978</v>
      </c>
      <c r="W15148" t="s">
        <v>47319</v>
      </c>
      <c r="X15148" t="s">
        <v>47449</v>
      </c>
    </row>
    <row r="15149" spans="1:24">
      <c r="A15149">
        <f>HYPERLINK("https://www.philgeps.gov.ph/GEPSNONPILOT/Tender/SplashBidNoticeAbstractUI.aspx?menuIndex=3&amp;refID=7120057&amp;Result=3","7120057")</f>
        <v>0</v>
      </c>
      <c r="B15149" t="s">
        <v>192</v>
      </c>
      <c r="C15149" t="s">
        <v>18256</v>
      </c>
      <c r="D15149" t="s">
        <v>19057</v>
      </c>
      <c r="E15149" t="s">
        <v>32120</v>
      </c>
      <c r="F15149" t="s">
        <v>32831</v>
      </c>
      <c r="G15149" t="s">
        <v>32839</v>
      </c>
      <c r="H15149" t="s">
        <v>32849</v>
      </c>
      <c r="I15149" t="s">
        <v>4177</v>
      </c>
      <c r="J15149" t="s">
        <v>42229</v>
      </c>
      <c r="K15149" t="s">
        <v>42997</v>
      </c>
      <c r="M15149" t="s">
        <v>43190</v>
      </c>
      <c r="N15149" t="s">
        <v>47424</v>
      </c>
      <c r="O15149" t="s">
        <v>47425</v>
      </c>
      <c r="Q15149">
        <v>24</v>
      </c>
      <c r="R15149" t="s">
        <v>47448</v>
      </c>
      <c r="S15149" t="s">
        <v>48633</v>
      </c>
      <c r="T15149" t="s">
        <v>49078</v>
      </c>
      <c r="U15149" t="s">
        <v>61979</v>
      </c>
      <c r="W15149" t="s">
        <v>43190</v>
      </c>
      <c r="X15149" t="s">
        <v>47449</v>
      </c>
    </row>
    <row r="15150" spans="1:24">
      <c r="A15150">
        <f>HYPERLINK("https://www.philgeps.gov.ph/GEPSNONPILOT/Tender/SplashBidNoticeAbstractUI.aspx?menuIndex=3&amp;refID=7117301&amp;Result=3","7117301")</f>
        <v>0</v>
      </c>
      <c r="B15150" t="s">
        <v>533</v>
      </c>
      <c r="C15150" t="s">
        <v>18257</v>
      </c>
      <c r="D15150" t="s">
        <v>19054</v>
      </c>
      <c r="E15150" t="s">
        <v>32121</v>
      </c>
      <c r="F15150" t="s">
        <v>32831</v>
      </c>
      <c r="G15150" t="s">
        <v>32839</v>
      </c>
      <c r="H15150" t="s">
        <v>32849</v>
      </c>
      <c r="I15150" t="s">
        <v>4177</v>
      </c>
      <c r="J15150" t="s">
        <v>42230</v>
      </c>
      <c r="K15150" t="s">
        <v>42780</v>
      </c>
      <c r="M15150" t="s">
        <v>43539</v>
      </c>
      <c r="N15150" t="s">
        <v>47424</v>
      </c>
      <c r="O15150" t="s">
        <v>47425</v>
      </c>
      <c r="P15150">
        <v>0</v>
      </c>
      <c r="Q15150">
        <v>10</v>
      </c>
      <c r="R15150" t="s">
        <v>47450</v>
      </c>
      <c r="S15150" t="s">
        <v>48614</v>
      </c>
      <c r="T15150" t="s">
        <v>49111</v>
      </c>
      <c r="U15150" t="s">
        <v>61980</v>
      </c>
      <c r="W15150" t="s">
        <v>43539</v>
      </c>
      <c r="X15150" t="s">
        <v>47451</v>
      </c>
    </row>
    <row r="15151" spans="1:24">
      <c r="A15151">
        <f>HYPERLINK("https://www.philgeps.gov.ph/GEPSNONPILOT/Tender/SplashBidNoticeAbstractUI.aspx?menuIndex=3&amp;refID=7117479&amp;Result=3","7117479")</f>
        <v>0</v>
      </c>
      <c r="B15151" t="s">
        <v>997</v>
      </c>
      <c r="C15151" t="s">
        <v>18258</v>
      </c>
      <c r="D15151" t="s">
        <v>19017</v>
      </c>
      <c r="E15151" t="s">
        <v>32122</v>
      </c>
      <c r="F15151" t="s">
        <v>32831</v>
      </c>
      <c r="G15151" t="s">
        <v>32839</v>
      </c>
      <c r="H15151" t="s">
        <v>32848</v>
      </c>
      <c r="I15151" t="s">
        <v>32852</v>
      </c>
      <c r="J15151" t="s">
        <v>33257</v>
      </c>
      <c r="K15151" t="s">
        <v>42747</v>
      </c>
      <c r="M15151" t="s">
        <v>44611</v>
      </c>
      <c r="N15151" t="s">
        <v>47424</v>
      </c>
      <c r="O15151" t="s">
        <v>47425</v>
      </c>
      <c r="Q15151">
        <v>13</v>
      </c>
      <c r="R15151" t="s">
        <v>47450</v>
      </c>
      <c r="S15151" t="s">
        <v>48634</v>
      </c>
      <c r="T15151" t="s">
        <v>49162</v>
      </c>
      <c r="U15151" t="s">
        <v>61981</v>
      </c>
      <c r="W15151" t="s">
        <v>44611</v>
      </c>
      <c r="X15151" t="s">
        <v>47451</v>
      </c>
    </row>
    <row r="15152" spans="1:24">
      <c r="A15152">
        <f>HYPERLINK("https://www.philgeps.gov.ph/GEPSNONPILOT/Tender/SplashBidNoticeAbstractUI.aspx?menuIndex=3&amp;refID=7117433&amp;Result=3","7117433")</f>
        <v>0</v>
      </c>
      <c r="B15152" t="s">
        <v>3463</v>
      </c>
      <c r="C15152" t="s">
        <v>18259</v>
      </c>
      <c r="D15152" t="s">
        <v>19061</v>
      </c>
      <c r="E15152" t="s">
        <v>32123</v>
      </c>
      <c r="F15152" t="s">
        <v>32831</v>
      </c>
      <c r="G15152" t="s">
        <v>32839</v>
      </c>
      <c r="H15152" t="s">
        <v>32848</v>
      </c>
      <c r="I15152" t="s">
        <v>7751</v>
      </c>
      <c r="J15152" t="s">
        <v>33257</v>
      </c>
      <c r="K15152" t="s">
        <v>42730</v>
      </c>
      <c r="M15152" t="s">
        <v>46806</v>
      </c>
      <c r="N15152" t="s">
        <v>47424</v>
      </c>
      <c r="O15152" t="s">
        <v>47425</v>
      </c>
      <c r="P15152">
        <v>0</v>
      </c>
      <c r="Q15152">
        <v>4</v>
      </c>
      <c r="R15152" t="s">
        <v>47450</v>
      </c>
      <c r="S15152" t="s">
        <v>48614</v>
      </c>
      <c r="T15152" t="s">
        <v>49328</v>
      </c>
      <c r="U15152" t="s">
        <v>61982</v>
      </c>
      <c r="W15152" t="s">
        <v>46806</v>
      </c>
      <c r="X15152" t="s">
        <v>47451</v>
      </c>
    </row>
    <row r="15153" spans="1:24">
      <c r="A15153">
        <f>HYPERLINK("https://www.philgeps.gov.ph/GEPSNONPILOT/Tender/SplashBidNoticeAbstractUI.aspx?menuIndex=3&amp;refID=7117448&amp;Result=3","7117448")</f>
        <v>0</v>
      </c>
      <c r="B15153" t="s">
        <v>3463</v>
      </c>
      <c r="C15153" t="s">
        <v>18259</v>
      </c>
      <c r="D15153" t="s">
        <v>19061</v>
      </c>
      <c r="E15153" t="s">
        <v>32124</v>
      </c>
      <c r="F15153" t="s">
        <v>32831</v>
      </c>
      <c r="G15153" t="s">
        <v>32839</v>
      </c>
      <c r="H15153" t="s">
        <v>32848</v>
      </c>
      <c r="I15153" t="s">
        <v>7751</v>
      </c>
      <c r="J15153" t="s">
        <v>37619</v>
      </c>
      <c r="K15153" t="s">
        <v>42730</v>
      </c>
      <c r="M15153" t="s">
        <v>46806</v>
      </c>
      <c r="N15153" t="s">
        <v>47424</v>
      </c>
      <c r="O15153" t="s">
        <v>47425</v>
      </c>
      <c r="P15153">
        <v>0</v>
      </c>
      <c r="Q15153">
        <v>4</v>
      </c>
      <c r="R15153" t="s">
        <v>47450</v>
      </c>
      <c r="S15153" t="s">
        <v>48614</v>
      </c>
      <c r="T15153" t="s">
        <v>49328</v>
      </c>
      <c r="U15153" t="s">
        <v>61983</v>
      </c>
      <c r="W15153" t="s">
        <v>46806</v>
      </c>
      <c r="X15153" t="s">
        <v>47451</v>
      </c>
    </row>
    <row r="15154" spans="1:24">
      <c r="A15154">
        <f>HYPERLINK("https://www.philgeps.gov.ph/GEPSNONPILOT/Tender/SplashBidNoticeAbstractUI.aspx?menuIndex=3&amp;refID=7116946&amp;Result=3","7116946")</f>
        <v>0</v>
      </c>
      <c r="B15154" t="s">
        <v>693</v>
      </c>
      <c r="C15154" t="s">
        <v>18260</v>
      </c>
      <c r="D15154" t="s">
        <v>19073</v>
      </c>
      <c r="E15154" t="s">
        <v>32125</v>
      </c>
      <c r="F15154" t="s">
        <v>32831</v>
      </c>
      <c r="G15154" t="s">
        <v>32839</v>
      </c>
      <c r="H15154" t="s">
        <v>32848</v>
      </c>
      <c r="I15154" t="s">
        <v>32870</v>
      </c>
      <c r="J15154" t="s">
        <v>42231</v>
      </c>
      <c r="K15154" t="s">
        <v>42731</v>
      </c>
      <c r="M15154" t="s">
        <v>44145</v>
      </c>
      <c r="N15154" t="s">
        <v>47424</v>
      </c>
      <c r="O15154" t="s">
        <v>47425</v>
      </c>
      <c r="P15154">
        <v>0</v>
      </c>
      <c r="Q15154">
        <v>0</v>
      </c>
      <c r="R15154" t="s">
        <v>47450</v>
      </c>
      <c r="S15154" t="s">
        <v>48614</v>
      </c>
      <c r="T15154" t="s">
        <v>49181</v>
      </c>
      <c r="U15154" t="s">
        <v>53968</v>
      </c>
      <c r="V15154" t="s">
        <v>63187</v>
      </c>
      <c r="W15154" t="s">
        <v>64457</v>
      </c>
      <c r="X15154" t="s">
        <v>47451</v>
      </c>
    </row>
    <row r="15155" spans="1:24">
      <c r="A15155">
        <f>HYPERLINK("https://www.philgeps.gov.ph/GEPSNONPILOT/Tender/SplashBidNoticeAbstractUI.aspx?menuIndex=3&amp;refID=7116925&amp;Result=3","7116925")</f>
        <v>0</v>
      </c>
      <c r="B15155" t="s">
        <v>3874</v>
      </c>
      <c r="C15155" t="s">
        <v>18261</v>
      </c>
      <c r="D15155" t="s">
        <v>19045</v>
      </c>
      <c r="E15155" t="s">
        <v>20152</v>
      </c>
      <c r="F15155" t="s">
        <v>32831</v>
      </c>
      <c r="G15155" t="s">
        <v>32839</v>
      </c>
      <c r="H15155" t="s">
        <v>32849</v>
      </c>
      <c r="I15155" t="s">
        <v>4177</v>
      </c>
      <c r="J15155" t="s">
        <v>32983</v>
      </c>
      <c r="K15155" t="s">
        <v>42748</v>
      </c>
      <c r="M15155" t="s">
        <v>47324</v>
      </c>
      <c r="N15155" t="s">
        <v>47424</v>
      </c>
      <c r="O15155" t="s">
        <v>47425</v>
      </c>
      <c r="P15155">
        <v>0</v>
      </c>
      <c r="Q15155">
        <v>0</v>
      </c>
      <c r="R15155" t="s">
        <v>47450</v>
      </c>
      <c r="S15155" t="s">
        <v>48614</v>
      </c>
      <c r="T15155" t="s">
        <v>49061</v>
      </c>
      <c r="U15155" t="s">
        <v>61984</v>
      </c>
      <c r="W15155" t="s">
        <v>47324</v>
      </c>
      <c r="X15155" t="s">
        <v>47451</v>
      </c>
    </row>
    <row r="15156" spans="1:24">
      <c r="A15156">
        <f>HYPERLINK("https://www.philgeps.gov.ph/GEPSNONPILOT/Tender/SplashBidNoticeAbstractUI.aspx?menuIndex=3&amp;refID=7117103&amp;Result=3","7117103")</f>
        <v>0</v>
      </c>
      <c r="B15156" t="s">
        <v>3463</v>
      </c>
      <c r="C15156" t="s">
        <v>18259</v>
      </c>
      <c r="D15156" t="s">
        <v>19061</v>
      </c>
      <c r="E15156" t="s">
        <v>32126</v>
      </c>
      <c r="F15156" t="s">
        <v>32831</v>
      </c>
      <c r="G15156" t="s">
        <v>32839</v>
      </c>
      <c r="H15156" t="s">
        <v>32848</v>
      </c>
      <c r="I15156" t="s">
        <v>7751</v>
      </c>
      <c r="J15156" t="s">
        <v>37619</v>
      </c>
      <c r="K15156" t="s">
        <v>42730</v>
      </c>
      <c r="M15156" t="s">
        <v>46806</v>
      </c>
      <c r="N15156" t="s">
        <v>47424</v>
      </c>
      <c r="O15156" t="s">
        <v>47425</v>
      </c>
      <c r="P15156">
        <v>0</v>
      </c>
      <c r="Q15156">
        <v>3</v>
      </c>
      <c r="R15156" t="s">
        <v>47450</v>
      </c>
      <c r="S15156" t="s">
        <v>48614</v>
      </c>
      <c r="T15156" t="s">
        <v>49328</v>
      </c>
      <c r="U15156" t="s">
        <v>61985</v>
      </c>
      <c r="W15156" t="s">
        <v>46806</v>
      </c>
      <c r="X15156" t="s">
        <v>47451</v>
      </c>
    </row>
    <row r="15157" spans="1:24">
      <c r="A15157">
        <f>HYPERLINK("https://www.philgeps.gov.ph/GEPSNONPILOT/Tender/SplashBidNoticeAbstractUI.aspx?menuIndex=3&amp;refID=7116904&amp;Result=3","7116904")</f>
        <v>0</v>
      </c>
      <c r="B15157" t="s">
        <v>3874</v>
      </c>
      <c r="C15157" t="s">
        <v>18262</v>
      </c>
      <c r="D15157" t="s">
        <v>19045</v>
      </c>
      <c r="E15157" t="s">
        <v>20202</v>
      </c>
      <c r="F15157" t="s">
        <v>32831</v>
      </c>
      <c r="G15157" t="s">
        <v>32839</v>
      </c>
      <c r="H15157" t="s">
        <v>32849</v>
      </c>
      <c r="I15157" t="s">
        <v>4177</v>
      </c>
      <c r="J15157" t="s">
        <v>33087</v>
      </c>
      <c r="K15157" t="s">
        <v>42748</v>
      </c>
      <c r="M15157" t="s">
        <v>47324</v>
      </c>
      <c r="N15157" t="s">
        <v>47424</v>
      </c>
      <c r="O15157" t="s">
        <v>47425</v>
      </c>
      <c r="P15157">
        <v>0</v>
      </c>
      <c r="Q15157">
        <v>0</v>
      </c>
      <c r="R15157" t="s">
        <v>47450</v>
      </c>
      <c r="S15157" t="s">
        <v>48614</v>
      </c>
      <c r="T15157" t="s">
        <v>49061</v>
      </c>
      <c r="U15157" t="s">
        <v>61986</v>
      </c>
      <c r="W15157" t="s">
        <v>47324</v>
      </c>
      <c r="X15157" t="s">
        <v>47451</v>
      </c>
    </row>
    <row r="15158" spans="1:24">
      <c r="A15158">
        <f>HYPERLINK("https://www.philgeps.gov.ph/GEPSNONPILOT/Tender/SplashBidNoticeAbstractUI.aspx?menuIndex=3&amp;refID=7116844&amp;Result=3","7116844")</f>
        <v>0</v>
      </c>
      <c r="B15158" t="s">
        <v>3709</v>
      </c>
      <c r="C15158" t="s">
        <v>18263</v>
      </c>
      <c r="D15158" t="s">
        <v>19049</v>
      </c>
      <c r="E15158" t="s">
        <v>32127</v>
      </c>
      <c r="F15158" t="s">
        <v>32831</v>
      </c>
      <c r="G15158" t="s">
        <v>32839</v>
      </c>
      <c r="H15158" t="s">
        <v>32848</v>
      </c>
      <c r="I15158" t="s">
        <v>7416</v>
      </c>
      <c r="J15158" t="s">
        <v>42232</v>
      </c>
      <c r="K15158" t="s">
        <v>42726</v>
      </c>
      <c r="M15158" t="s">
        <v>47099</v>
      </c>
      <c r="N15158" t="s">
        <v>47424</v>
      </c>
      <c r="O15158" t="s">
        <v>47425</v>
      </c>
      <c r="P15158">
        <v>0</v>
      </c>
      <c r="Q15158">
        <v>0</v>
      </c>
      <c r="R15158" t="s">
        <v>47450</v>
      </c>
      <c r="S15158" t="s">
        <v>48614</v>
      </c>
      <c r="T15158" t="s">
        <v>49205</v>
      </c>
      <c r="U15158" t="s">
        <v>61987</v>
      </c>
      <c r="V15158" t="s">
        <v>64123</v>
      </c>
      <c r="W15158" t="s">
        <v>47099</v>
      </c>
      <c r="X15158" t="s">
        <v>47451</v>
      </c>
    </row>
    <row r="15159" spans="1:24">
      <c r="A15159">
        <f>HYPERLINK("https://www.philgeps.gov.ph/GEPSNONPILOT/Tender/SplashBidNoticeAbstractUI.aspx?menuIndex=3&amp;refID=7116860&amp;Result=3","7116860")</f>
        <v>0</v>
      </c>
      <c r="B15159" t="s">
        <v>3874</v>
      </c>
      <c r="C15159" t="s">
        <v>18264</v>
      </c>
      <c r="D15159" t="s">
        <v>19045</v>
      </c>
      <c r="E15159" t="s">
        <v>19979</v>
      </c>
      <c r="F15159" t="s">
        <v>32831</v>
      </c>
      <c r="G15159" t="s">
        <v>32839</v>
      </c>
      <c r="H15159" t="s">
        <v>32849</v>
      </c>
      <c r="I15159" t="s">
        <v>4177</v>
      </c>
      <c r="J15159" t="s">
        <v>42233</v>
      </c>
      <c r="K15159" t="s">
        <v>42748</v>
      </c>
      <c r="M15159" t="s">
        <v>47324</v>
      </c>
      <c r="N15159" t="s">
        <v>47424</v>
      </c>
      <c r="O15159" t="s">
        <v>47425</v>
      </c>
      <c r="P15159">
        <v>0</v>
      </c>
      <c r="Q15159">
        <v>0</v>
      </c>
      <c r="R15159" t="s">
        <v>47450</v>
      </c>
      <c r="S15159" t="s">
        <v>48614</v>
      </c>
      <c r="T15159" t="s">
        <v>49212</v>
      </c>
      <c r="U15159" t="s">
        <v>61988</v>
      </c>
      <c r="W15159" t="s">
        <v>47324</v>
      </c>
      <c r="X15159" t="s">
        <v>47451</v>
      </c>
    </row>
    <row r="15160" spans="1:24">
      <c r="A15160">
        <f>HYPERLINK("https://www.philgeps.gov.ph/GEPSNONPILOT/Tender/SplashBidNoticeAbstractUI.aspx?menuIndex=3&amp;refID=7116646&amp;Result=3","7116646")</f>
        <v>0</v>
      </c>
      <c r="B15160" t="s">
        <v>671</v>
      </c>
      <c r="C15160" t="s">
        <v>18265</v>
      </c>
      <c r="D15160" t="s">
        <v>19030</v>
      </c>
      <c r="E15160" t="s">
        <v>32128</v>
      </c>
      <c r="F15160" t="s">
        <v>32831</v>
      </c>
      <c r="G15160" t="s">
        <v>32839</v>
      </c>
      <c r="H15160" t="s">
        <v>32848</v>
      </c>
      <c r="I15160" t="s">
        <v>9577</v>
      </c>
      <c r="J15160" t="s">
        <v>42234</v>
      </c>
      <c r="K15160" t="s">
        <v>42730</v>
      </c>
      <c r="M15160" t="s">
        <v>46416</v>
      </c>
      <c r="N15160" t="s">
        <v>47424</v>
      </c>
      <c r="O15160" t="s">
        <v>47425</v>
      </c>
      <c r="P15160">
        <v>0</v>
      </c>
      <c r="Q15160">
        <v>9</v>
      </c>
      <c r="R15160" t="s">
        <v>47450</v>
      </c>
      <c r="S15160" t="s">
        <v>48614</v>
      </c>
      <c r="T15160" t="s">
        <v>49212</v>
      </c>
      <c r="U15160" t="s">
        <v>52028</v>
      </c>
      <c r="V15160" t="s">
        <v>62999</v>
      </c>
      <c r="W15160" t="s">
        <v>64462</v>
      </c>
      <c r="X15160" t="s">
        <v>47451</v>
      </c>
    </row>
    <row r="15161" spans="1:24">
      <c r="A15161">
        <f>HYPERLINK("https://www.philgeps.gov.ph/GEPSNONPILOT/Tender/SplashBidNoticeAbstractUI.aspx?menuIndex=3&amp;refID=7116565&amp;Result=3","7116565")</f>
        <v>0</v>
      </c>
      <c r="B15161" t="s">
        <v>2044</v>
      </c>
      <c r="C15161" t="s">
        <v>18266</v>
      </c>
      <c r="D15161" t="s">
        <v>19045</v>
      </c>
      <c r="E15161" t="s">
        <v>32129</v>
      </c>
      <c r="F15161" t="s">
        <v>32831</v>
      </c>
      <c r="G15161" t="s">
        <v>32839</v>
      </c>
      <c r="H15161" t="s">
        <v>32848</v>
      </c>
      <c r="I15161" t="s">
        <v>4487</v>
      </c>
      <c r="J15161" t="s">
        <v>42235</v>
      </c>
      <c r="K15161" t="s">
        <v>42747</v>
      </c>
      <c r="M15161" t="s">
        <v>45214</v>
      </c>
      <c r="N15161" t="s">
        <v>47424</v>
      </c>
      <c r="O15161" t="s">
        <v>47425</v>
      </c>
      <c r="Q15161">
        <v>16</v>
      </c>
      <c r="R15161" t="s">
        <v>47450</v>
      </c>
      <c r="S15161" t="s">
        <v>48635</v>
      </c>
      <c r="T15161" t="s">
        <v>49669</v>
      </c>
      <c r="U15161" t="s">
        <v>61442</v>
      </c>
      <c r="V15161" t="s">
        <v>64275</v>
      </c>
      <c r="W15161" t="s">
        <v>45214</v>
      </c>
      <c r="X15161" t="s">
        <v>47451</v>
      </c>
    </row>
    <row r="15162" spans="1:24">
      <c r="A15162">
        <f>HYPERLINK("https://www.philgeps.gov.ph/GEPSNONPILOT/Tender/SplashBidNoticeAbstractUI.aspx?menuIndex=3&amp;refID=7117560&amp;Result=3","7117560")</f>
        <v>0</v>
      </c>
      <c r="B15162" t="s">
        <v>1137</v>
      </c>
      <c r="C15162" t="s">
        <v>18267</v>
      </c>
      <c r="D15162" t="s">
        <v>19020</v>
      </c>
      <c r="E15162" t="s">
        <v>32130</v>
      </c>
      <c r="F15162" t="s">
        <v>32831</v>
      </c>
      <c r="G15162" t="s">
        <v>32839</v>
      </c>
      <c r="H15162" t="s">
        <v>32849</v>
      </c>
      <c r="I15162" t="s">
        <v>4177</v>
      </c>
      <c r="J15162" t="s">
        <v>33525</v>
      </c>
      <c r="K15162" t="s">
        <v>42732</v>
      </c>
      <c r="M15162" t="s">
        <v>44200</v>
      </c>
      <c r="N15162" t="s">
        <v>47424</v>
      </c>
      <c r="O15162" t="s">
        <v>47425</v>
      </c>
      <c r="P15162">
        <v>0</v>
      </c>
      <c r="Q15162">
        <v>0</v>
      </c>
      <c r="R15162" t="s">
        <v>47450</v>
      </c>
      <c r="S15162" t="s">
        <v>48614</v>
      </c>
      <c r="T15162" t="s">
        <v>49166</v>
      </c>
      <c r="U15162" t="s">
        <v>61989</v>
      </c>
      <c r="W15162" t="s">
        <v>44200</v>
      </c>
      <c r="X15162" t="s">
        <v>47451</v>
      </c>
    </row>
    <row r="15163" spans="1:24">
      <c r="A15163">
        <f>HYPERLINK("https://www.philgeps.gov.ph/GEPSNONPILOT/Tender/SplashBidNoticeAbstractUI.aspx?menuIndex=3&amp;refID=7116558&amp;Result=3","7116558")</f>
        <v>0</v>
      </c>
      <c r="B15163" t="s">
        <v>1270</v>
      </c>
      <c r="C15163" t="s">
        <v>18268</v>
      </c>
      <c r="D15163" t="s">
        <v>19104</v>
      </c>
      <c r="E15163" t="s">
        <v>32131</v>
      </c>
      <c r="F15163" t="s">
        <v>32831</v>
      </c>
      <c r="G15163" t="s">
        <v>32839</v>
      </c>
      <c r="H15163" t="s">
        <v>32848</v>
      </c>
      <c r="I15163" t="s">
        <v>7751</v>
      </c>
      <c r="J15163" t="s">
        <v>42236</v>
      </c>
      <c r="K15163" t="s">
        <v>42730</v>
      </c>
      <c r="L15163" t="s">
        <v>1270</v>
      </c>
      <c r="M15163" t="s">
        <v>44340</v>
      </c>
      <c r="N15163" t="s">
        <v>47424</v>
      </c>
      <c r="O15163" t="s">
        <v>47425</v>
      </c>
      <c r="P15163">
        <v>0</v>
      </c>
      <c r="Q15163">
        <v>6</v>
      </c>
      <c r="R15163" t="s">
        <v>47450</v>
      </c>
      <c r="S15163" t="s">
        <v>48614</v>
      </c>
      <c r="T15163" t="s">
        <v>49243</v>
      </c>
      <c r="U15163" t="s">
        <v>61990</v>
      </c>
      <c r="W15163" t="s">
        <v>44340</v>
      </c>
      <c r="X15163" t="s">
        <v>47451</v>
      </c>
    </row>
    <row r="15164" spans="1:24">
      <c r="A15164">
        <f>HYPERLINK("https://www.philgeps.gov.ph/GEPSNONPILOT/Tender/SplashBidNoticeAbstractUI.aspx?menuIndex=3&amp;refID=7119714&amp;Result=3","7119714")</f>
        <v>0</v>
      </c>
      <c r="B15164" t="s">
        <v>3870</v>
      </c>
      <c r="C15164" t="s">
        <v>18269</v>
      </c>
      <c r="D15164" t="s">
        <v>19018</v>
      </c>
      <c r="E15164" t="s">
        <v>32132</v>
      </c>
      <c r="F15164" t="s">
        <v>32831</v>
      </c>
      <c r="G15164" t="s">
        <v>32839</v>
      </c>
      <c r="H15164" t="s">
        <v>32849</v>
      </c>
      <c r="I15164" t="s">
        <v>4177</v>
      </c>
      <c r="J15164" t="s">
        <v>42237</v>
      </c>
      <c r="K15164" t="s">
        <v>42729</v>
      </c>
      <c r="M15164" t="s">
        <v>47319</v>
      </c>
      <c r="N15164" t="s">
        <v>47424</v>
      </c>
      <c r="O15164" t="s">
        <v>47425</v>
      </c>
      <c r="P15164">
        <v>0</v>
      </c>
      <c r="Q15164">
        <v>0</v>
      </c>
      <c r="R15164" t="s">
        <v>47448</v>
      </c>
      <c r="S15164" t="s">
        <v>48555</v>
      </c>
      <c r="T15164" t="s">
        <v>49166</v>
      </c>
      <c r="U15164" t="s">
        <v>61991</v>
      </c>
      <c r="W15164" t="s">
        <v>47319</v>
      </c>
      <c r="X15164" t="s">
        <v>47449</v>
      </c>
    </row>
    <row r="15165" spans="1:24">
      <c r="A15165">
        <f>HYPERLINK("https://www.philgeps.gov.ph/GEPSNONPILOT/Tender/SplashBidNoticeAbstractUI.aspx?menuIndex=3&amp;refID=7119231&amp;Result=3","7119231")</f>
        <v>0</v>
      </c>
      <c r="B15165" t="s">
        <v>468</v>
      </c>
      <c r="C15165" t="s">
        <v>18270</v>
      </c>
      <c r="E15165" t="s">
        <v>32133</v>
      </c>
      <c r="F15165" t="s">
        <v>32831</v>
      </c>
      <c r="G15165" t="s">
        <v>32839</v>
      </c>
      <c r="H15165" t="s">
        <v>32849</v>
      </c>
      <c r="I15165" t="s">
        <v>4177</v>
      </c>
      <c r="J15165" t="s">
        <v>42238</v>
      </c>
      <c r="K15165" t="s">
        <v>42770</v>
      </c>
      <c r="M15165" t="s">
        <v>47069</v>
      </c>
      <c r="N15165" t="s">
        <v>47424</v>
      </c>
      <c r="O15165" t="s">
        <v>47425</v>
      </c>
      <c r="P15165">
        <v>0</v>
      </c>
      <c r="Q15165">
        <v>0</v>
      </c>
      <c r="R15165" t="s">
        <v>47448</v>
      </c>
      <c r="S15165" t="s">
        <v>48555</v>
      </c>
      <c r="T15165" t="s">
        <v>49070</v>
      </c>
      <c r="U15165" t="s">
        <v>61992</v>
      </c>
      <c r="W15165" t="s">
        <v>64525</v>
      </c>
      <c r="X15165" t="s">
        <v>47450</v>
      </c>
    </row>
    <row r="15166" spans="1:24">
      <c r="A15166">
        <f>HYPERLINK("https://www.philgeps.gov.ph/GEPSNONPILOT/Tender/SplashBidNoticeAbstractUI.aspx?menuIndex=3&amp;refID=7117137&amp;Result=3","7117137")</f>
        <v>0</v>
      </c>
      <c r="B15166" t="s">
        <v>3875</v>
      </c>
      <c r="C15166" t="s">
        <v>18271</v>
      </c>
      <c r="D15166" t="s">
        <v>19039</v>
      </c>
      <c r="E15166" t="s">
        <v>32134</v>
      </c>
      <c r="F15166" t="s">
        <v>32831</v>
      </c>
      <c r="G15166" t="s">
        <v>32839</v>
      </c>
      <c r="H15166" t="s">
        <v>32848</v>
      </c>
      <c r="I15166" t="s">
        <v>7416</v>
      </c>
      <c r="J15166" t="s">
        <v>42239</v>
      </c>
      <c r="K15166" t="s">
        <v>42747</v>
      </c>
      <c r="M15166" t="s">
        <v>47325</v>
      </c>
      <c r="N15166" t="s">
        <v>47424</v>
      </c>
      <c r="O15166" t="s">
        <v>47425</v>
      </c>
      <c r="P15166">
        <v>0</v>
      </c>
      <c r="Q15166">
        <v>0</v>
      </c>
      <c r="R15166" t="s">
        <v>47450</v>
      </c>
      <c r="S15166" t="s">
        <v>48614</v>
      </c>
      <c r="T15166" t="s">
        <v>49104</v>
      </c>
      <c r="U15166" t="s">
        <v>61993</v>
      </c>
      <c r="V15166" t="s">
        <v>64342</v>
      </c>
      <c r="W15166" t="s">
        <v>47325</v>
      </c>
      <c r="X15166" t="s">
        <v>47451</v>
      </c>
    </row>
    <row r="15167" spans="1:24">
      <c r="A15167">
        <f>HYPERLINK("https://www.philgeps.gov.ph/GEPSNONPILOT/Tender/SplashBidNoticeAbstractUI.aspx?menuIndex=3&amp;refID=7116530&amp;Result=3","7116530")</f>
        <v>0</v>
      </c>
      <c r="B15167" t="s">
        <v>3463</v>
      </c>
      <c r="C15167" t="s">
        <v>18259</v>
      </c>
      <c r="D15167" t="s">
        <v>19061</v>
      </c>
      <c r="E15167" t="s">
        <v>32135</v>
      </c>
      <c r="F15167" t="s">
        <v>32831</v>
      </c>
      <c r="G15167" t="s">
        <v>32839</v>
      </c>
      <c r="H15167" t="s">
        <v>32848</v>
      </c>
      <c r="I15167" t="s">
        <v>7751</v>
      </c>
      <c r="J15167" t="s">
        <v>42240</v>
      </c>
      <c r="K15167" t="s">
        <v>42730</v>
      </c>
      <c r="M15167" t="s">
        <v>46806</v>
      </c>
      <c r="N15167" t="s">
        <v>47424</v>
      </c>
      <c r="O15167" t="s">
        <v>47425</v>
      </c>
      <c r="P15167">
        <v>0</v>
      </c>
      <c r="Q15167">
        <v>3</v>
      </c>
      <c r="R15167" t="s">
        <v>47450</v>
      </c>
      <c r="S15167" t="s">
        <v>48614</v>
      </c>
      <c r="T15167" t="s">
        <v>49328</v>
      </c>
      <c r="U15167" t="s">
        <v>61994</v>
      </c>
      <c r="W15167" t="s">
        <v>46806</v>
      </c>
      <c r="X15167" t="s">
        <v>47451</v>
      </c>
    </row>
    <row r="15168" spans="1:24">
      <c r="A15168">
        <f>HYPERLINK("https://www.philgeps.gov.ph/GEPSNONPILOT/Tender/SplashBidNoticeAbstractUI.aspx?menuIndex=3&amp;refID=7119226&amp;Result=3","7119226")</f>
        <v>0</v>
      </c>
      <c r="B15168" t="s">
        <v>468</v>
      </c>
      <c r="C15168" t="s">
        <v>18272</v>
      </c>
      <c r="D15168" t="s">
        <v>19031</v>
      </c>
      <c r="E15168" t="s">
        <v>32136</v>
      </c>
      <c r="F15168" t="s">
        <v>32831</v>
      </c>
      <c r="G15168" t="s">
        <v>32839</v>
      </c>
      <c r="H15168" t="s">
        <v>32849</v>
      </c>
      <c r="I15168" t="s">
        <v>4177</v>
      </c>
      <c r="J15168" t="s">
        <v>42241</v>
      </c>
      <c r="K15168" t="s">
        <v>42873</v>
      </c>
      <c r="M15168" t="s">
        <v>47069</v>
      </c>
      <c r="N15168" t="s">
        <v>47424</v>
      </c>
      <c r="O15168" t="s">
        <v>47425</v>
      </c>
      <c r="P15168">
        <v>0</v>
      </c>
      <c r="Q15168">
        <v>0</v>
      </c>
      <c r="R15168" t="s">
        <v>47448</v>
      </c>
      <c r="S15168" t="s">
        <v>48555</v>
      </c>
      <c r="T15168" t="s">
        <v>49070</v>
      </c>
      <c r="U15168" t="s">
        <v>61995</v>
      </c>
      <c r="W15168" t="s">
        <v>64525</v>
      </c>
      <c r="X15168" t="s">
        <v>47450</v>
      </c>
    </row>
    <row r="15169" spans="1:24">
      <c r="A15169">
        <f>HYPERLINK("https://www.philgeps.gov.ph/GEPSNONPILOT/Tender/SplashBidNoticeAbstractUI.aspx?menuIndex=3&amp;refID=7117233&amp;Result=3","7117233")</f>
        <v>0</v>
      </c>
      <c r="B15169" t="s">
        <v>3876</v>
      </c>
      <c r="C15169" t="s">
        <v>18273</v>
      </c>
      <c r="D15169" t="s">
        <v>19077</v>
      </c>
      <c r="E15169" t="s">
        <v>32137</v>
      </c>
      <c r="F15169" t="s">
        <v>32831</v>
      </c>
      <c r="G15169" t="s">
        <v>32839</v>
      </c>
      <c r="H15169" t="s">
        <v>32849</v>
      </c>
      <c r="I15169" t="s">
        <v>4177</v>
      </c>
      <c r="J15169" t="s">
        <v>32983</v>
      </c>
      <c r="K15169" t="s">
        <v>42730</v>
      </c>
      <c r="M15169" t="s">
        <v>47326</v>
      </c>
      <c r="N15169" t="s">
        <v>47424</v>
      </c>
      <c r="O15169" t="s">
        <v>47425</v>
      </c>
      <c r="Q15169">
        <v>0</v>
      </c>
      <c r="R15169" t="s">
        <v>47450</v>
      </c>
      <c r="S15169" t="s">
        <v>48636</v>
      </c>
      <c r="T15169" t="s">
        <v>49127</v>
      </c>
      <c r="U15169" t="s">
        <v>61996</v>
      </c>
      <c r="W15169" t="s">
        <v>47326</v>
      </c>
      <c r="X15169" t="s">
        <v>47451</v>
      </c>
    </row>
    <row r="15170" spans="1:24">
      <c r="A15170">
        <f>HYPERLINK("https://www.philgeps.gov.ph/GEPSNONPILOT/Tender/SplashBidNoticeAbstractUI.aspx?menuIndex=3&amp;refID=7119229&amp;Result=3","7119229")</f>
        <v>0</v>
      </c>
      <c r="B15170" t="s">
        <v>468</v>
      </c>
      <c r="C15170" t="s">
        <v>18274</v>
      </c>
      <c r="D15170" t="s">
        <v>19031</v>
      </c>
      <c r="E15170" t="s">
        <v>32138</v>
      </c>
      <c r="F15170" t="s">
        <v>32831</v>
      </c>
      <c r="G15170" t="s">
        <v>32839</v>
      </c>
      <c r="H15170" t="s">
        <v>32849</v>
      </c>
      <c r="I15170" t="s">
        <v>4177</v>
      </c>
      <c r="J15170" t="s">
        <v>33257</v>
      </c>
      <c r="K15170" t="s">
        <v>42770</v>
      </c>
      <c r="M15170" t="s">
        <v>47069</v>
      </c>
      <c r="N15170" t="s">
        <v>47424</v>
      </c>
      <c r="O15170" t="s">
        <v>47425</v>
      </c>
      <c r="P15170">
        <v>0</v>
      </c>
      <c r="Q15170">
        <v>0</v>
      </c>
      <c r="R15170" t="s">
        <v>47448</v>
      </c>
      <c r="S15170" t="s">
        <v>48555</v>
      </c>
      <c r="T15170" t="s">
        <v>49091</v>
      </c>
      <c r="U15170" t="s">
        <v>61997</v>
      </c>
      <c r="W15170" t="s">
        <v>64525</v>
      </c>
      <c r="X15170" t="s">
        <v>47450</v>
      </c>
    </row>
    <row r="15171" spans="1:24">
      <c r="A15171">
        <f>HYPERLINK("https://www.philgeps.gov.ph/GEPSNONPILOT/Tender/SplashBidNoticeAbstractUI.aspx?menuIndex=3&amp;refID=7119051&amp;Result=3","7119051")</f>
        <v>0</v>
      </c>
      <c r="B15171" t="s">
        <v>113</v>
      </c>
      <c r="C15171" t="s">
        <v>18275</v>
      </c>
      <c r="D15171" t="s">
        <v>19027</v>
      </c>
      <c r="E15171" t="s">
        <v>32139</v>
      </c>
      <c r="F15171" t="s">
        <v>32831</v>
      </c>
      <c r="G15171" t="s">
        <v>32839</v>
      </c>
      <c r="H15171" t="s">
        <v>32848</v>
      </c>
      <c r="I15171" t="s">
        <v>32874</v>
      </c>
      <c r="J15171" t="s">
        <v>42242</v>
      </c>
      <c r="K15171" t="s">
        <v>42731</v>
      </c>
      <c r="M15171" t="s">
        <v>47312</v>
      </c>
      <c r="N15171" t="s">
        <v>47424</v>
      </c>
      <c r="O15171" t="s">
        <v>47425</v>
      </c>
      <c r="Q15171">
        <v>4</v>
      </c>
      <c r="R15171" t="s">
        <v>47448</v>
      </c>
      <c r="S15171" t="s">
        <v>47753</v>
      </c>
      <c r="T15171" t="s">
        <v>49667</v>
      </c>
      <c r="U15171" t="s">
        <v>61998</v>
      </c>
      <c r="V15171" t="s">
        <v>64325</v>
      </c>
      <c r="W15171" t="s">
        <v>47312</v>
      </c>
      <c r="X15171" t="s">
        <v>47451</v>
      </c>
    </row>
    <row r="15172" spans="1:24">
      <c r="A15172">
        <f>HYPERLINK("https://www.philgeps.gov.ph/GEPSNONPILOT/Tender/SplashBidNoticeAbstractUI.aspx?menuIndex=3&amp;refID=7118106&amp;Result=3","7118106")</f>
        <v>0</v>
      </c>
      <c r="B15172" t="s">
        <v>895</v>
      </c>
      <c r="C15172" t="s">
        <v>18276</v>
      </c>
      <c r="D15172" t="s">
        <v>19036</v>
      </c>
      <c r="E15172" t="s">
        <v>32140</v>
      </c>
      <c r="F15172" t="s">
        <v>32831</v>
      </c>
      <c r="G15172" t="s">
        <v>32839</v>
      </c>
      <c r="H15172" t="s">
        <v>32848</v>
      </c>
      <c r="I15172" t="s">
        <v>7416</v>
      </c>
      <c r="J15172" t="s">
        <v>42243</v>
      </c>
      <c r="K15172" t="s">
        <v>42727</v>
      </c>
      <c r="M15172" t="s">
        <v>44963</v>
      </c>
      <c r="N15172" t="s">
        <v>47424</v>
      </c>
      <c r="O15172" t="s">
        <v>47425</v>
      </c>
      <c r="P15172">
        <v>0</v>
      </c>
      <c r="Q15172">
        <v>1</v>
      </c>
      <c r="R15172" t="s">
        <v>47450</v>
      </c>
      <c r="S15172" t="s">
        <v>48614</v>
      </c>
      <c r="T15172" t="s">
        <v>49415</v>
      </c>
      <c r="U15172" t="s">
        <v>61999</v>
      </c>
      <c r="W15172" t="s">
        <v>44963</v>
      </c>
      <c r="X15172" t="s">
        <v>47451</v>
      </c>
    </row>
    <row r="15173" spans="1:24">
      <c r="A15173">
        <f>HYPERLINK("https://www.philgeps.gov.ph/GEPSNONPILOT/Tender/SplashBidNoticeAbstractUI.aspx?menuIndex=3&amp;refID=7119230&amp;Result=3","7119230")</f>
        <v>0</v>
      </c>
      <c r="B15173" t="s">
        <v>3171</v>
      </c>
      <c r="C15173" t="s">
        <v>18277</v>
      </c>
      <c r="D15173" t="s">
        <v>19055</v>
      </c>
      <c r="E15173" t="s">
        <v>32141</v>
      </c>
      <c r="F15173" t="s">
        <v>32831</v>
      </c>
      <c r="G15173" t="s">
        <v>32839</v>
      </c>
      <c r="H15173" t="s">
        <v>32848</v>
      </c>
      <c r="I15173" t="s">
        <v>4303</v>
      </c>
      <c r="J15173" t="s">
        <v>42244</v>
      </c>
      <c r="K15173" t="s">
        <v>42730</v>
      </c>
      <c r="M15173" t="s">
        <v>46478</v>
      </c>
      <c r="N15173" t="s">
        <v>47424</v>
      </c>
      <c r="O15173" t="s">
        <v>47425</v>
      </c>
      <c r="P15173">
        <v>0</v>
      </c>
      <c r="Q15173">
        <v>0</v>
      </c>
      <c r="R15173" t="s">
        <v>47448</v>
      </c>
      <c r="S15173" t="s">
        <v>48555</v>
      </c>
      <c r="T15173" t="s">
        <v>49328</v>
      </c>
      <c r="U15173" t="s">
        <v>57414</v>
      </c>
      <c r="V15173" t="s">
        <v>64343</v>
      </c>
      <c r="W15173" t="s">
        <v>46478</v>
      </c>
      <c r="X15173" t="s">
        <v>47450</v>
      </c>
    </row>
    <row r="15174" spans="1:24">
      <c r="A15174">
        <f>HYPERLINK("https://www.philgeps.gov.ph/GEPSNONPILOT/Tender/SplashBidNoticeAbstractUI.aspx?menuIndex=3&amp;refID=7119718&amp;Result=3","7119718")</f>
        <v>0</v>
      </c>
      <c r="B15174" t="s">
        <v>3870</v>
      </c>
      <c r="C15174" t="s">
        <v>18278</v>
      </c>
      <c r="D15174" t="s">
        <v>19018</v>
      </c>
      <c r="E15174" t="s">
        <v>32142</v>
      </c>
      <c r="F15174" t="s">
        <v>32831</v>
      </c>
      <c r="G15174" t="s">
        <v>32839</v>
      </c>
      <c r="H15174" t="s">
        <v>32849</v>
      </c>
      <c r="I15174" t="s">
        <v>4177</v>
      </c>
      <c r="J15174" t="s">
        <v>42245</v>
      </c>
      <c r="K15174" t="s">
        <v>42770</v>
      </c>
      <c r="M15174" t="s">
        <v>47319</v>
      </c>
      <c r="N15174" t="s">
        <v>47424</v>
      </c>
      <c r="O15174" t="s">
        <v>47425</v>
      </c>
      <c r="P15174">
        <v>0</v>
      </c>
      <c r="Q15174">
        <v>0</v>
      </c>
      <c r="R15174" t="s">
        <v>47448</v>
      </c>
      <c r="S15174" t="s">
        <v>48555</v>
      </c>
      <c r="T15174" t="s">
        <v>49166</v>
      </c>
      <c r="U15174" t="s">
        <v>62000</v>
      </c>
      <c r="W15174" t="s">
        <v>47319</v>
      </c>
      <c r="X15174" t="s">
        <v>47449</v>
      </c>
    </row>
    <row r="15175" spans="1:24">
      <c r="A15175">
        <f>HYPERLINK("https://www.philgeps.gov.ph/GEPSNONPILOT/Tender/SplashBidNoticeAbstractUI.aspx?menuIndex=3&amp;refID=7119052&amp;Result=3","7119052")</f>
        <v>0</v>
      </c>
      <c r="B15175" t="s">
        <v>113</v>
      </c>
      <c r="C15175" t="s">
        <v>18279</v>
      </c>
      <c r="D15175" t="s">
        <v>19027</v>
      </c>
      <c r="E15175" t="s">
        <v>32143</v>
      </c>
      <c r="F15175" t="s">
        <v>32831</v>
      </c>
      <c r="G15175" t="s">
        <v>32839</v>
      </c>
      <c r="H15175" t="s">
        <v>32848</v>
      </c>
      <c r="I15175" t="s">
        <v>4558</v>
      </c>
      <c r="J15175" t="s">
        <v>42246</v>
      </c>
      <c r="K15175" t="s">
        <v>42731</v>
      </c>
      <c r="M15175" t="s">
        <v>47317</v>
      </c>
      <c r="N15175" t="s">
        <v>47424</v>
      </c>
      <c r="O15175" t="s">
        <v>47425</v>
      </c>
      <c r="Q15175">
        <v>9</v>
      </c>
      <c r="R15175" t="s">
        <v>47448</v>
      </c>
      <c r="S15175" t="s">
        <v>48637</v>
      </c>
      <c r="T15175" t="s">
        <v>49666</v>
      </c>
      <c r="U15175" t="s">
        <v>62001</v>
      </c>
      <c r="V15175" t="s">
        <v>64325</v>
      </c>
      <c r="W15175" t="s">
        <v>47317</v>
      </c>
      <c r="X15175" t="s">
        <v>47451</v>
      </c>
    </row>
    <row r="15176" spans="1:24">
      <c r="A15176">
        <f>HYPERLINK("https://www.philgeps.gov.ph/GEPSNONPILOT/Tender/SplashBidNoticeAbstractUI.aspx?menuIndex=3&amp;refID=7119055&amp;Result=3","7119055")</f>
        <v>0</v>
      </c>
      <c r="B15176" t="s">
        <v>113</v>
      </c>
      <c r="C15176" t="s">
        <v>18280</v>
      </c>
      <c r="D15176" t="s">
        <v>19027</v>
      </c>
      <c r="E15176" t="s">
        <v>32144</v>
      </c>
      <c r="F15176" t="s">
        <v>32831</v>
      </c>
      <c r="G15176" t="s">
        <v>32839</v>
      </c>
      <c r="H15176" t="s">
        <v>32848</v>
      </c>
      <c r="I15176" t="s">
        <v>4558</v>
      </c>
      <c r="J15176" t="s">
        <v>42247</v>
      </c>
      <c r="K15176" t="s">
        <v>42731</v>
      </c>
      <c r="M15176" t="s">
        <v>47317</v>
      </c>
      <c r="N15176" t="s">
        <v>47424</v>
      </c>
      <c r="O15176" t="s">
        <v>47425</v>
      </c>
      <c r="Q15176">
        <v>7</v>
      </c>
      <c r="R15176" t="s">
        <v>47448</v>
      </c>
      <c r="S15176" t="s">
        <v>47964</v>
      </c>
      <c r="T15176" t="s">
        <v>49666</v>
      </c>
      <c r="U15176" t="s">
        <v>62002</v>
      </c>
      <c r="V15176" t="s">
        <v>64325</v>
      </c>
      <c r="W15176" t="s">
        <v>47317</v>
      </c>
      <c r="X15176" t="s">
        <v>47451</v>
      </c>
    </row>
    <row r="15177" spans="1:24">
      <c r="A15177">
        <f>HYPERLINK("https://www.philgeps.gov.ph/GEPSNONPILOT/Tender/SplashBidNoticeAbstractUI.aspx?menuIndex=3&amp;refID=7118202&amp;Result=3","7118202")</f>
        <v>0</v>
      </c>
      <c r="B15177" t="s">
        <v>736</v>
      </c>
      <c r="C15177" t="s">
        <v>18281</v>
      </c>
      <c r="D15177" t="s">
        <v>19062</v>
      </c>
      <c r="E15177" t="s">
        <v>32145</v>
      </c>
      <c r="F15177" t="s">
        <v>32831</v>
      </c>
      <c r="G15177" t="s">
        <v>32839</v>
      </c>
      <c r="H15177" t="s">
        <v>32849</v>
      </c>
      <c r="I15177" t="s">
        <v>4177</v>
      </c>
      <c r="J15177" t="s">
        <v>42248</v>
      </c>
      <c r="K15177" t="s">
        <v>42731</v>
      </c>
      <c r="M15177" t="s">
        <v>43758</v>
      </c>
      <c r="N15177" t="s">
        <v>47424</v>
      </c>
      <c r="O15177" t="s">
        <v>47425</v>
      </c>
      <c r="P15177">
        <v>0</v>
      </c>
      <c r="Q15177">
        <v>0</v>
      </c>
      <c r="R15177" t="s">
        <v>47450</v>
      </c>
      <c r="S15177" t="s">
        <v>48614</v>
      </c>
      <c r="T15177" t="s">
        <v>49127</v>
      </c>
      <c r="U15177" t="s">
        <v>62003</v>
      </c>
      <c r="W15177" t="s">
        <v>43758</v>
      </c>
      <c r="X15177" t="s">
        <v>47451</v>
      </c>
    </row>
    <row r="15178" spans="1:24">
      <c r="A15178">
        <f>HYPERLINK("https://www.philgeps.gov.ph/GEPSNONPILOT/Tender/SplashBidNoticeAbstractUI.aspx?menuIndex=3&amp;refID=7118177&amp;Result=3","7118177")</f>
        <v>0</v>
      </c>
      <c r="B15178" t="s">
        <v>895</v>
      </c>
      <c r="C15178" t="s">
        <v>18282</v>
      </c>
      <c r="D15178" t="s">
        <v>19036</v>
      </c>
      <c r="E15178" t="s">
        <v>32146</v>
      </c>
      <c r="F15178" t="s">
        <v>32831</v>
      </c>
      <c r="G15178" t="s">
        <v>32839</v>
      </c>
      <c r="H15178" t="s">
        <v>32848</v>
      </c>
      <c r="I15178" t="s">
        <v>7416</v>
      </c>
      <c r="J15178" t="s">
        <v>42249</v>
      </c>
      <c r="K15178" t="s">
        <v>42727</v>
      </c>
      <c r="M15178" t="s">
        <v>44963</v>
      </c>
      <c r="N15178" t="s">
        <v>47424</v>
      </c>
      <c r="O15178" t="s">
        <v>47425</v>
      </c>
      <c r="P15178">
        <v>0</v>
      </c>
      <c r="Q15178">
        <v>1</v>
      </c>
      <c r="R15178" t="s">
        <v>47450</v>
      </c>
      <c r="S15178" t="s">
        <v>48614</v>
      </c>
      <c r="T15178" t="s">
        <v>49415</v>
      </c>
      <c r="U15178" t="s">
        <v>62004</v>
      </c>
      <c r="W15178" t="s">
        <v>44963</v>
      </c>
      <c r="X15178" t="s">
        <v>47451</v>
      </c>
    </row>
    <row r="15179" spans="1:24">
      <c r="A15179">
        <f>HYPERLINK("https://www.philgeps.gov.ph/GEPSNONPILOT/Tender/SplashBidNoticeAbstractUI.aspx?menuIndex=3&amp;refID=7118160&amp;Result=3","7118160")</f>
        <v>0</v>
      </c>
      <c r="B15179" t="s">
        <v>3877</v>
      </c>
      <c r="C15179" t="s">
        <v>18283</v>
      </c>
      <c r="D15179" t="s">
        <v>19039</v>
      </c>
      <c r="E15179" t="s">
        <v>32147</v>
      </c>
      <c r="F15179" t="s">
        <v>32831</v>
      </c>
      <c r="G15179" t="s">
        <v>32839</v>
      </c>
      <c r="H15179" t="s">
        <v>32848</v>
      </c>
      <c r="I15179" t="s">
        <v>7416</v>
      </c>
      <c r="J15179" t="s">
        <v>42250</v>
      </c>
      <c r="K15179" t="s">
        <v>42747</v>
      </c>
      <c r="M15179" t="s">
        <v>47327</v>
      </c>
      <c r="N15179" t="s">
        <v>47424</v>
      </c>
      <c r="O15179" t="s">
        <v>47425</v>
      </c>
      <c r="P15179">
        <v>0</v>
      </c>
      <c r="Q15179">
        <v>0</v>
      </c>
      <c r="R15179" t="s">
        <v>47450</v>
      </c>
      <c r="S15179" t="s">
        <v>48614</v>
      </c>
      <c r="T15179" t="s">
        <v>49104</v>
      </c>
      <c r="U15179" t="s">
        <v>62005</v>
      </c>
      <c r="V15179" t="s">
        <v>64344</v>
      </c>
      <c r="W15179" t="s">
        <v>47327</v>
      </c>
      <c r="X15179" t="s">
        <v>47451</v>
      </c>
    </row>
    <row r="15180" spans="1:24">
      <c r="A15180">
        <f>HYPERLINK("https://www.philgeps.gov.ph/GEPSNONPILOT/Tender/SplashBidNoticeAbstractUI.aspx?menuIndex=3&amp;refID=7119048&amp;Result=3","7119048")</f>
        <v>0</v>
      </c>
      <c r="B15180" t="s">
        <v>113</v>
      </c>
      <c r="C15180" t="s">
        <v>18284</v>
      </c>
      <c r="D15180" t="s">
        <v>19027</v>
      </c>
      <c r="E15180" t="s">
        <v>32148</v>
      </c>
      <c r="F15180" t="s">
        <v>32831</v>
      </c>
      <c r="G15180" t="s">
        <v>32839</v>
      </c>
      <c r="H15180" t="s">
        <v>32848</v>
      </c>
      <c r="I15180" t="s">
        <v>4558</v>
      </c>
      <c r="J15180" t="s">
        <v>42251</v>
      </c>
      <c r="K15180" t="s">
        <v>42731</v>
      </c>
      <c r="M15180" t="s">
        <v>47317</v>
      </c>
      <c r="N15180" t="s">
        <v>47424</v>
      </c>
      <c r="O15180" t="s">
        <v>47425</v>
      </c>
      <c r="Q15180">
        <v>7</v>
      </c>
      <c r="R15180" t="s">
        <v>47448</v>
      </c>
      <c r="S15180" t="s">
        <v>48638</v>
      </c>
      <c r="T15180" t="s">
        <v>49666</v>
      </c>
      <c r="U15180" t="s">
        <v>62006</v>
      </c>
      <c r="V15180" t="s">
        <v>64325</v>
      </c>
      <c r="W15180" t="s">
        <v>47317</v>
      </c>
      <c r="X15180" t="s">
        <v>47451</v>
      </c>
    </row>
    <row r="15181" spans="1:24">
      <c r="A15181">
        <f>HYPERLINK("https://www.philgeps.gov.ph/GEPSNONPILOT/Tender/SplashBidNoticeAbstractUI.aspx?menuIndex=3&amp;refID=7118023&amp;Result=3","7118023")</f>
        <v>0</v>
      </c>
      <c r="B15181" t="s">
        <v>1891</v>
      </c>
      <c r="C15181" t="s">
        <v>18285</v>
      </c>
      <c r="D15181" t="s">
        <v>19017</v>
      </c>
      <c r="E15181" t="s">
        <v>32149</v>
      </c>
      <c r="F15181" t="s">
        <v>32831</v>
      </c>
      <c r="G15181" t="s">
        <v>32842</v>
      </c>
      <c r="H15181" t="s">
        <v>32848</v>
      </c>
      <c r="I15181" t="s">
        <v>32862</v>
      </c>
      <c r="J15181" t="s">
        <v>42252</v>
      </c>
      <c r="K15181" t="s">
        <v>42731</v>
      </c>
      <c r="M15181" t="s">
        <v>47328</v>
      </c>
      <c r="N15181" t="s">
        <v>47424</v>
      </c>
      <c r="O15181" t="s">
        <v>47425</v>
      </c>
      <c r="Q15181">
        <v>4</v>
      </c>
      <c r="R15181" t="s">
        <v>47450</v>
      </c>
      <c r="S15181" t="s">
        <v>47760</v>
      </c>
      <c r="T15181" t="s">
        <v>49163</v>
      </c>
      <c r="U15181" t="s">
        <v>62007</v>
      </c>
      <c r="W15181" t="s">
        <v>47328</v>
      </c>
      <c r="X15181" t="s">
        <v>47451</v>
      </c>
    </row>
    <row r="15182" spans="1:24">
      <c r="A15182">
        <f>HYPERLINK("https://www.philgeps.gov.ph/GEPSNONPILOT/Tender/SplashBidNoticeAbstractUI.aspx?menuIndex=3&amp;refID=7117989&amp;Result=3","7117989")</f>
        <v>0</v>
      </c>
      <c r="B15182" t="s">
        <v>1891</v>
      </c>
      <c r="C15182" t="s">
        <v>18286</v>
      </c>
      <c r="D15182" t="s">
        <v>19017</v>
      </c>
      <c r="E15182" t="s">
        <v>32150</v>
      </c>
      <c r="F15182" t="s">
        <v>32831</v>
      </c>
      <c r="G15182" t="s">
        <v>32838</v>
      </c>
      <c r="H15182" t="s">
        <v>32848</v>
      </c>
      <c r="I15182" t="s">
        <v>32885</v>
      </c>
      <c r="J15182" t="s">
        <v>33578</v>
      </c>
      <c r="K15182" t="s">
        <v>42732</v>
      </c>
      <c r="M15182" t="s">
        <v>47328</v>
      </c>
      <c r="N15182" t="s">
        <v>47424</v>
      </c>
      <c r="O15182" t="s">
        <v>47425</v>
      </c>
      <c r="Q15182">
        <v>1</v>
      </c>
      <c r="R15182" t="s">
        <v>47450</v>
      </c>
      <c r="S15182" t="s">
        <v>48639</v>
      </c>
      <c r="T15182" t="s">
        <v>49163</v>
      </c>
      <c r="U15182" t="s">
        <v>62008</v>
      </c>
      <c r="W15182" t="s">
        <v>47328</v>
      </c>
      <c r="X15182" t="s">
        <v>47451</v>
      </c>
    </row>
    <row r="15183" spans="1:24">
      <c r="A15183">
        <f>HYPERLINK("https://www.philgeps.gov.ph/GEPSNONPILOT/Tender/SplashBidNoticeAbstractUI.aspx?menuIndex=3&amp;refID=7117904&amp;Result=3","7117904")</f>
        <v>0</v>
      </c>
      <c r="B15183" t="s">
        <v>2917</v>
      </c>
      <c r="C15183" t="s">
        <v>18287</v>
      </c>
      <c r="E15183" t="s">
        <v>32151</v>
      </c>
      <c r="F15183" t="s">
        <v>32831</v>
      </c>
      <c r="G15183" t="s">
        <v>32839</v>
      </c>
      <c r="H15183" t="s">
        <v>32849</v>
      </c>
      <c r="I15183" t="s">
        <v>4177</v>
      </c>
      <c r="J15183" t="s">
        <v>33111</v>
      </c>
      <c r="K15183" t="s">
        <v>42732</v>
      </c>
      <c r="M15183" t="s">
        <v>46169</v>
      </c>
      <c r="N15183" t="s">
        <v>47424</v>
      </c>
      <c r="O15183" t="s">
        <v>47425</v>
      </c>
      <c r="P15183">
        <v>0</v>
      </c>
      <c r="Q15183">
        <v>0</v>
      </c>
      <c r="R15183" t="s">
        <v>47450</v>
      </c>
      <c r="S15183" t="s">
        <v>48614</v>
      </c>
      <c r="T15183" t="s">
        <v>49239</v>
      </c>
      <c r="U15183" t="s">
        <v>62009</v>
      </c>
      <c r="W15183" t="s">
        <v>46169</v>
      </c>
      <c r="X15183" t="s">
        <v>47451</v>
      </c>
    </row>
    <row r="15184" spans="1:24">
      <c r="A15184">
        <f>HYPERLINK("https://www.philgeps.gov.ph/GEPSNONPILOT/Tender/SplashBidNoticeAbstractUI.aspx?menuIndex=3&amp;refID=7118300&amp;Result=3","7118300")</f>
        <v>0</v>
      </c>
      <c r="B15184" t="s">
        <v>895</v>
      </c>
      <c r="C15184" t="s">
        <v>18288</v>
      </c>
      <c r="D15184" t="s">
        <v>19036</v>
      </c>
      <c r="E15184" t="s">
        <v>32152</v>
      </c>
      <c r="F15184" t="s">
        <v>32831</v>
      </c>
      <c r="G15184" t="s">
        <v>32839</v>
      </c>
      <c r="H15184" t="s">
        <v>32848</v>
      </c>
      <c r="I15184" t="s">
        <v>32859</v>
      </c>
      <c r="J15184" t="s">
        <v>42253</v>
      </c>
      <c r="K15184" t="s">
        <v>42730</v>
      </c>
      <c r="M15184" t="s">
        <v>44963</v>
      </c>
      <c r="N15184" t="s">
        <v>47424</v>
      </c>
      <c r="O15184" t="s">
        <v>47425</v>
      </c>
      <c r="Q15184">
        <v>9</v>
      </c>
      <c r="R15184" t="s">
        <v>47450</v>
      </c>
      <c r="S15184" t="s">
        <v>48640</v>
      </c>
      <c r="T15184" t="s">
        <v>49415</v>
      </c>
      <c r="U15184" t="s">
        <v>62010</v>
      </c>
      <c r="W15184" t="s">
        <v>44963</v>
      </c>
      <c r="X15184" t="s">
        <v>47451</v>
      </c>
    </row>
    <row r="15185" spans="1:24">
      <c r="A15185">
        <f>HYPERLINK("https://www.philgeps.gov.ph/GEPSNONPILOT/Tender/SplashBidNoticeAbstractUI.aspx?menuIndex=3&amp;refID=7116589&amp;Result=3","7116589")</f>
        <v>0</v>
      </c>
      <c r="B15185" t="s">
        <v>2758</v>
      </c>
      <c r="C15185" t="s">
        <v>18289</v>
      </c>
      <c r="D15185" t="s">
        <v>19034</v>
      </c>
      <c r="E15185" t="s">
        <v>26130</v>
      </c>
      <c r="F15185" t="s">
        <v>32831</v>
      </c>
      <c r="G15185" t="s">
        <v>32844</v>
      </c>
      <c r="H15185" t="s">
        <v>14069</v>
      </c>
      <c r="I15185" t="s">
        <v>14069</v>
      </c>
      <c r="J15185" t="s">
        <v>33083</v>
      </c>
      <c r="K15185" t="s">
        <v>42770</v>
      </c>
      <c r="M15185" t="s">
        <v>45988</v>
      </c>
      <c r="N15185" t="s">
        <v>47424</v>
      </c>
      <c r="O15185" t="s">
        <v>47425</v>
      </c>
      <c r="P15185">
        <v>0</v>
      </c>
      <c r="Q15185">
        <v>4</v>
      </c>
      <c r="R15185" t="s">
        <v>47450</v>
      </c>
      <c r="S15185" t="s">
        <v>48614</v>
      </c>
      <c r="T15185" t="s">
        <v>49073</v>
      </c>
      <c r="U15185" t="s">
        <v>62011</v>
      </c>
      <c r="W15185" t="s">
        <v>45988</v>
      </c>
      <c r="X15185" t="s">
        <v>47451</v>
      </c>
    </row>
    <row r="15186" spans="1:24">
      <c r="A15186">
        <f>HYPERLINK("https://www.philgeps.gov.ph/GEPSNONPILOT/Tender/SplashBidNoticeAbstractUI.aspx?menuIndex=3&amp;refID=7118328&amp;Result=3","7118328")</f>
        <v>0</v>
      </c>
      <c r="B15186" t="s">
        <v>736</v>
      </c>
      <c r="C15186" t="s">
        <v>5768</v>
      </c>
      <c r="D15186" t="s">
        <v>19062</v>
      </c>
      <c r="E15186" t="s">
        <v>32145</v>
      </c>
      <c r="F15186" t="s">
        <v>32831</v>
      </c>
      <c r="G15186" t="s">
        <v>32839</v>
      </c>
      <c r="H15186" t="s">
        <v>32848</v>
      </c>
      <c r="I15186" t="s">
        <v>4222</v>
      </c>
      <c r="J15186" t="s">
        <v>42254</v>
      </c>
      <c r="K15186" t="s">
        <v>42731</v>
      </c>
      <c r="M15186" t="s">
        <v>43758</v>
      </c>
      <c r="N15186" t="s">
        <v>47424</v>
      </c>
      <c r="O15186" t="s">
        <v>47425</v>
      </c>
      <c r="P15186">
        <v>0</v>
      </c>
      <c r="Q15186">
        <v>0</v>
      </c>
      <c r="R15186" t="s">
        <v>47450</v>
      </c>
      <c r="S15186" t="s">
        <v>48614</v>
      </c>
      <c r="T15186" t="s">
        <v>49127</v>
      </c>
      <c r="U15186" t="s">
        <v>62012</v>
      </c>
      <c r="W15186" t="s">
        <v>43758</v>
      </c>
      <c r="X15186" t="s">
        <v>47451</v>
      </c>
    </row>
    <row r="15187" spans="1:24">
      <c r="A15187">
        <f>HYPERLINK("https://www.philgeps.gov.ph/GEPSNONPILOT/Tender/SplashBidNoticeAbstractUI.aspx?menuIndex=3&amp;refID=7118004&amp;Result=3","7118004")</f>
        <v>0</v>
      </c>
      <c r="B15187" t="s">
        <v>736</v>
      </c>
      <c r="C15187" t="s">
        <v>18290</v>
      </c>
      <c r="D15187" t="s">
        <v>19062</v>
      </c>
      <c r="E15187" t="s">
        <v>32145</v>
      </c>
      <c r="F15187" t="s">
        <v>32831</v>
      </c>
      <c r="G15187" t="s">
        <v>32839</v>
      </c>
      <c r="H15187" t="s">
        <v>32849</v>
      </c>
      <c r="I15187" t="s">
        <v>4177</v>
      </c>
      <c r="J15187" t="s">
        <v>42255</v>
      </c>
      <c r="K15187" t="s">
        <v>42731</v>
      </c>
      <c r="M15187" t="s">
        <v>43758</v>
      </c>
      <c r="N15187" t="s">
        <v>47424</v>
      </c>
      <c r="O15187" t="s">
        <v>47425</v>
      </c>
      <c r="P15187">
        <v>0</v>
      </c>
      <c r="Q15187">
        <v>0</v>
      </c>
      <c r="R15187" t="s">
        <v>47450</v>
      </c>
      <c r="S15187" t="s">
        <v>48614</v>
      </c>
      <c r="T15187" t="s">
        <v>49079</v>
      </c>
      <c r="U15187" t="s">
        <v>62013</v>
      </c>
      <c r="W15187" t="s">
        <v>43758</v>
      </c>
      <c r="X15187" t="s">
        <v>47451</v>
      </c>
    </row>
    <row r="15188" spans="1:24">
      <c r="A15188">
        <f>HYPERLINK("https://www.philgeps.gov.ph/GEPSNONPILOT/Tender/SplashBidNoticeAbstractUI.aspx?menuIndex=3&amp;refID=7117856&amp;Result=3","7117856")</f>
        <v>0</v>
      </c>
      <c r="B15188" t="s">
        <v>3021</v>
      </c>
      <c r="C15188" t="s">
        <v>18291</v>
      </c>
      <c r="D15188" t="s">
        <v>19034</v>
      </c>
      <c r="E15188" t="s">
        <v>25895</v>
      </c>
      <c r="F15188" t="s">
        <v>32831</v>
      </c>
      <c r="G15188" t="s">
        <v>32839</v>
      </c>
      <c r="H15188" t="s">
        <v>32848</v>
      </c>
      <c r="I15188" t="s">
        <v>4776</v>
      </c>
      <c r="J15188" t="s">
        <v>42256</v>
      </c>
      <c r="K15188" t="s">
        <v>42779</v>
      </c>
      <c r="L15188" t="s">
        <v>3021</v>
      </c>
      <c r="M15188" t="s">
        <v>46291</v>
      </c>
      <c r="N15188" t="s">
        <v>47424</v>
      </c>
      <c r="O15188" t="s">
        <v>47425</v>
      </c>
      <c r="P15188">
        <v>0</v>
      </c>
      <c r="Q15188">
        <v>1</v>
      </c>
      <c r="R15188" t="s">
        <v>47450</v>
      </c>
      <c r="S15188" t="s">
        <v>48614</v>
      </c>
      <c r="T15188" t="s">
        <v>49212</v>
      </c>
      <c r="U15188" t="s">
        <v>62014</v>
      </c>
      <c r="V15188" t="s">
        <v>50828</v>
      </c>
      <c r="W15188" t="s">
        <v>46291</v>
      </c>
      <c r="X15188" t="s">
        <v>47451</v>
      </c>
    </row>
    <row r="15189" spans="1:24">
      <c r="A15189">
        <f>HYPERLINK("https://www.philgeps.gov.ph/GEPSNONPILOT/Tender/SplashBidNoticeAbstractUI.aspx?menuIndex=3&amp;refID=7117898&amp;Result=3","7117898")</f>
        <v>0</v>
      </c>
      <c r="B15189" t="s">
        <v>1414</v>
      </c>
      <c r="C15189" t="s">
        <v>18292</v>
      </c>
      <c r="D15189" t="s">
        <v>19030</v>
      </c>
      <c r="E15189" t="s">
        <v>32153</v>
      </c>
      <c r="F15189" t="s">
        <v>32831</v>
      </c>
      <c r="G15189" t="s">
        <v>32839</v>
      </c>
      <c r="H15189" t="s">
        <v>32848</v>
      </c>
      <c r="I15189" t="s">
        <v>10805</v>
      </c>
      <c r="J15189" t="s">
        <v>34860</v>
      </c>
      <c r="K15189" t="s">
        <v>42732</v>
      </c>
      <c r="M15189" t="s">
        <v>44502</v>
      </c>
      <c r="N15189" t="s">
        <v>47424</v>
      </c>
      <c r="O15189" t="s">
        <v>47425</v>
      </c>
      <c r="Q15189">
        <v>16</v>
      </c>
      <c r="R15189" t="s">
        <v>47450</v>
      </c>
      <c r="S15189" t="s">
        <v>47888</v>
      </c>
      <c r="T15189" t="s">
        <v>49177</v>
      </c>
      <c r="U15189" t="s">
        <v>62015</v>
      </c>
      <c r="W15189" t="s">
        <v>64557</v>
      </c>
      <c r="X15189" t="s">
        <v>47451</v>
      </c>
    </row>
    <row r="15190" spans="1:24">
      <c r="A15190">
        <f>HYPERLINK("https://www.philgeps.gov.ph/GEPSNONPILOT/Tender/SplashBidNoticeAbstractUI.aspx?menuIndex=3&amp;refID=7119049&amp;Result=3","7119049")</f>
        <v>0</v>
      </c>
      <c r="B15190" t="s">
        <v>677</v>
      </c>
      <c r="C15190" t="s">
        <v>18293</v>
      </c>
      <c r="D15190" t="s">
        <v>19024</v>
      </c>
      <c r="E15190" t="s">
        <v>32154</v>
      </c>
      <c r="F15190" t="s">
        <v>32831</v>
      </c>
      <c r="G15190" t="s">
        <v>32839</v>
      </c>
      <c r="H15190" t="s">
        <v>32848</v>
      </c>
      <c r="I15190" t="s">
        <v>32914</v>
      </c>
      <c r="J15190" t="s">
        <v>33257</v>
      </c>
      <c r="K15190" t="s">
        <v>42730</v>
      </c>
      <c r="M15190" t="s">
        <v>43696</v>
      </c>
      <c r="N15190" t="s">
        <v>47424</v>
      </c>
      <c r="O15190" t="s">
        <v>47425</v>
      </c>
      <c r="P15190">
        <v>0</v>
      </c>
      <c r="Q15190">
        <v>5</v>
      </c>
      <c r="R15190" t="s">
        <v>47450</v>
      </c>
      <c r="S15190" t="s">
        <v>48614</v>
      </c>
      <c r="T15190" t="s">
        <v>49239</v>
      </c>
      <c r="U15190" t="s">
        <v>62016</v>
      </c>
      <c r="W15190" t="s">
        <v>43696</v>
      </c>
      <c r="X15190" t="s">
        <v>47451</v>
      </c>
    </row>
    <row r="15191" spans="1:24">
      <c r="A15191">
        <f>HYPERLINK("https://www.philgeps.gov.ph/GEPSNONPILOT/Tender/SplashBidNoticeAbstractUI.aspx?menuIndex=3&amp;refID=7119142&amp;Result=3","7119142")</f>
        <v>0</v>
      </c>
      <c r="B15191" t="s">
        <v>78</v>
      </c>
      <c r="C15191" t="s">
        <v>18294</v>
      </c>
      <c r="D15191" t="s">
        <v>19023</v>
      </c>
      <c r="E15191" t="s">
        <v>32155</v>
      </c>
      <c r="F15191" t="s">
        <v>32831</v>
      </c>
      <c r="G15191" t="s">
        <v>32839</v>
      </c>
      <c r="H15191" t="s">
        <v>32849</v>
      </c>
      <c r="I15191" t="s">
        <v>4177</v>
      </c>
      <c r="J15191" t="s">
        <v>42257</v>
      </c>
      <c r="K15191" t="s">
        <v>42761</v>
      </c>
      <c r="M15191" t="s">
        <v>43075</v>
      </c>
      <c r="N15191" t="s">
        <v>47424</v>
      </c>
      <c r="O15191" t="s">
        <v>47425</v>
      </c>
      <c r="P15191">
        <v>0</v>
      </c>
      <c r="Q15191">
        <v>7</v>
      </c>
      <c r="R15191" t="s">
        <v>47450</v>
      </c>
      <c r="S15191" t="s">
        <v>48614</v>
      </c>
      <c r="T15191" t="s">
        <v>49328</v>
      </c>
      <c r="U15191" t="s">
        <v>62017</v>
      </c>
      <c r="W15191" t="s">
        <v>43075</v>
      </c>
      <c r="X15191" t="s">
        <v>47451</v>
      </c>
    </row>
    <row r="15192" spans="1:24">
      <c r="A15192">
        <f>HYPERLINK("https://www.philgeps.gov.ph/GEPSNONPILOT/Tender/SplashBidNoticeAbstractUI.aspx?menuIndex=3&amp;refID=7117870&amp;Result=3","7117870")</f>
        <v>0</v>
      </c>
      <c r="B15192" t="s">
        <v>3878</v>
      </c>
      <c r="C15192" t="s">
        <v>18295</v>
      </c>
      <c r="D15192" t="s">
        <v>19035</v>
      </c>
      <c r="E15192" t="s">
        <v>32156</v>
      </c>
      <c r="F15192" t="s">
        <v>32831</v>
      </c>
      <c r="G15192" t="s">
        <v>32839</v>
      </c>
      <c r="H15192" t="s">
        <v>32848</v>
      </c>
      <c r="I15192" t="s">
        <v>32931</v>
      </c>
      <c r="J15192" t="s">
        <v>42258</v>
      </c>
      <c r="K15192" t="s">
        <v>42732</v>
      </c>
      <c r="M15192" t="s">
        <v>47329</v>
      </c>
      <c r="N15192" t="s">
        <v>47424</v>
      </c>
      <c r="O15192" t="s">
        <v>47425</v>
      </c>
      <c r="Q15192">
        <v>20</v>
      </c>
      <c r="R15192" t="s">
        <v>47450</v>
      </c>
      <c r="S15192" t="s">
        <v>48641</v>
      </c>
      <c r="T15192" t="s">
        <v>49073</v>
      </c>
      <c r="U15192" t="s">
        <v>62018</v>
      </c>
      <c r="V15192" t="s">
        <v>64345</v>
      </c>
      <c r="W15192" t="s">
        <v>47329</v>
      </c>
      <c r="X15192" t="s">
        <v>47451</v>
      </c>
    </row>
    <row r="15193" spans="1:24">
      <c r="A15193">
        <f>HYPERLINK("https://www.philgeps.gov.ph/GEPSNONPILOT/Tender/SplashBidNoticeAbstractUI.aspx?menuIndex=3&amp;refID=7119068&amp;Result=3","7119068")</f>
        <v>0</v>
      </c>
      <c r="B15193" t="s">
        <v>677</v>
      </c>
      <c r="C15193" t="s">
        <v>18296</v>
      </c>
      <c r="D15193" t="s">
        <v>19024</v>
      </c>
      <c r="E15193" t="s">
        <v>32157</v>
      </c>
      <c r="F15193" t="s">
        <v>32831</v>
      </c>
      <c r="G15193" t="s">
        <v>32839</v>
      </c>
      <c r="H15193" t="s">
        <v>32848</v>
      </c>
      <c r="I15193" t="s">
        <v>32855</v>
      </c>
      <c r="J15193" t="s">
        <v>42259</v>
      </c>
      <c r="K15193" t="s">
        <v>42730</v>
      </c>
      <c r="M15193" t="s">
        <v>43696</v>
      </c>
      <c r="N15193" t="s">
        <v>47424</v>
      </c>
      <c r="O15193" t="s">
        <v>47425</v>
      </c>
      <c r="P15193">
        <v>0</v>
      </c>
      <c r="Q15193">
        <v>0</v>
      </c>
      <c r="R15193" t="s">
        <v>47450</v>
      </c>
      <c r="S15193" t="s">
        <v>48614</v>
      </c>
      <c r="T15193" t="s">
        <v>49239</v>
      </c>
      <c r="U15193" t="s">
        <v>62019</v>
      </c>
      <c r="W15193" t="s">
        <v>43696</v>
      </c>
      <c r="X15193" t="s">
        <v>47451</v>
      </c>
    </row>
    <row r="15194" spans="1:24">
      <c r="A15194">
        <f>HYPERLINK("https://www.philgeps.gov.ph/GEPSNONPILOT/Tender/SplashBidNoticeAbstractUI.aspx?menuIndex=3&amp;refID=7118236&amp;Result=3","7118236")</f>
        <v>0</v>
      </c>
      <c r="B15194" t="s">
        <v>895</v>
      </c>
      <c r="C15194" t="s">
        <v>18282</v>
      </c>
      <c r="D15194" t="s">
        <v>19036</v>
      </c>
      <c r="E15194" t="s">
        <v>32158</v>
      </c>
      <c r="F15194" t="s">
        <v>32831</v>
      </c>
      <c r="G15194" t="s">
        <v>32839</v>
      </c>
      <c r="H15194" t="s">
        <v>32848</v>
      </c>
      <c r="I15194" t="s">
        <v>7751</v>
      </c>
      <c r="J15194" t="s">
        <v>33007</v>
      </c>
      <c r="K15194" t="s">
        <v>42727</v>
      </c>
      <c r="M15194" t="s">
        <v>44963</v>
      </c>
      <c r="N15194" t="s">
        <v>47424</v>
      </c>
      <c r="O15194" t="s">
        <v>47425</v>
      </c>
      <c r="P15194">
        <v>0</v>
      </c>
      <c r="Q15194">
        <v>3</v>
      </c>
      <c r="R15194" t="s">
        <v>47450</v>
      </c>
      <c r="S15194" t="s">
        <v>48614</v>
      </c>
      <c r="T15194" t="s">
        <v>49415</v>
      </c>
      <c r="U15194" t="s">
        <v>62004</v>
      </c>
      <c r="W15194" t="s">
        <v>44963</v>
      </c>
      <c r="X15194" t="s">
        <v>47451</v>
      </c>
    </row>
    <row r="15195" spans="1:24">
      <c r="A15195">
        <f>HYPERLINK("https://www.philgeps.gov.ph/GEPSNONPILOT/Tender/SplashBidNoticeAbstractUI.aspx?menuIndex=3&amp;refID=7119060&amp;Result=3","7119060")</f>
        <v>0</v>
      </c>
      <c r="B15195" t="s">
        <v>2073</v>
      </c>
      <c r="C15195" t="s">
        <v>18297</v>
      </c>
      <c r="D15195" t="s">
        <v>19061</v>
      </c>
      <c r="E15195" t="s">
        <v>32159</v>
      </c>
      <c r="F15195" t="s">
        <v>32831</v>
      </c>
      <c r="G15195" t="s">
        <v>32844</v>
      </c>
      <c r="H15195" t="s">
        <v>14069</v>
      </c>
      <c r="I15195" t="s">
        <v>14069</v>
      </c>
      <c r="J15195" t="s">
        <v>42260</v>
      </c>
      <c r="K15195" t="s">
        <v>42770</v>
      </c>
      <c r="M15195" t="s">
        <v>45243</v>
      </c>
      <c r="N15195" t="s">
        <v>47424</v>
      </c>
      <c r="O15195" t="s">
        <v>47425</v>
      </c>
      <c r="Q15195">
        <v>7</v>
      </c>
      <c r="R15195" t="s">
        <v>47450</v>
      </c>
      <c r="S15195" t="s">
        <v>48642</v>
      </c>
      <c r="T15195" t="s">
        <v>49073</v>
      </c>
      <c r="U15195" t="s">
        <v>62020</v>
      </c>
      <c r="V15195" t="s">
        <v>64248</v>
      </c>
      <c r="W15195" t="s">
        <v>45243</v>
      </c>
      <c r="X15195" t="s">
        <v>47451</v>
      </c>
    </row>
    <row r="15196" spans="1:24">
      <c r="A15196">
        <f>HYPERLINK("https://www.philgeps.gov.ph/GEPSNONPILOT/Tender/SplashBidNoticeAbstractUI.aspx?menuIndex=3&amp;refID=7118927&amp;Result=3","7118927")</f>
        <v>0</v>
      </c>
      <c r="B15196" t="s">
        <v>677</v>
      </c>
      <c r="C15196" t="s">
        <v>18298</v>
      </c>
      <c r="D15196" t="s">
        <v>19024</v>
      </c>
      <c r="E15196" t="s">
        <v>32160</v>
      </c>
      <c r="F15196" t="s">
        <v>32831</v>
      </c>
      <c r="G15196" t="s">
        <v>32839</v>
      </c>
      <c r="H15196" t="s">
        <v>32848</v>
      </c>
      <c r="I15196" t="s">
        <v>32883</v>
      </c>
      <c r="J15196" t="s">
        <v>33193</v>
      </c>
      <c r="K15196" t="s">
        <v>42730</v>
      </c>
      <c r="M15196" t="s">
        <v>43696</v>
      </c>
      <c r="N15196" t="s">
        <v>47424</v>
      </c>
      <c r="O15196" t="s">
        <v>47425</v>
      </c>
      <c r="Q15196">
        <v>2</v>
      </c>
      <c r="R15196" t="s">
        <v>47450</v>
      </c>
      <c r="S15196" t="s">
        <v>48643</v>
      </c>
      <c r="T15196" t="s">
        <v>49239</v>
      </c>
      <c r="U15196" t="s">
        <v>62021</v>
      </c>
      <c r="W15196" t="s">
        <v>43696</v>
      </c>
      <c r="X15196" t="s">
        <v>47451</v>
      </c>
    </row>
    <row r="15197" spans="1:24">
      <c r="A15197">
        <f>HYPERLINK("https://www.philgeps.gov.ph/GEPSNONPILOT/Tender/SplashBidNoticeAbstractUI.aspx?menuIndex=3&amp;refID=7117821&amp;Result=3","7117821")</f>
        <v>0</v>
      </c>
      <c r="B15197" t="s">
        <v>2379</v>
      </c>
      <c r="C15197" t="s">
        <v>18299</v>
      </c>
      <c r="D15197" t="s">
        <v>19039</v>
      </c>
      <c r="E15197" t="s">
        <v>32161</v>
      </c>
      <c r="F15197" t="s">
        <v>32831</v>
      </c>
      <c r="G15197" t="s">
        <v>32839</v>
      </c>
      <c r="H15197" t="s">
        <v>32849</v>
      </c>
      <c r="I15197" t="s">
        <v>4177</v>
      </c>
      <c r="J15197" t="s">
        <v>42261</v>
      </c>
      <c r="K15197" t="s">
        <v>42763</v>
      </c>
      <c r="M15197" t="s">
        <v>45568</v>
      </c>
      <c r="N15197" t="s">
        <v>47424</v>
      </c>
      <c r="O15197" t="s">
        <v>47425</v>
      </c>
      <c r="P15197">
        <v>0</v>
      </c>
      <c r="Q15197">
        <v>1</v>
      </c>
      <c r="R15197" t="s">
        <v>47450</v>
      </c>
      <c r="S15197" t="s">
        <v>48614</v>
      </c>
      <c r="T15197" t="s">
        <v>49129</v>
      </c>
      <c r="U15197" t="s">
        <v>62022</v>
      </c>
      <c r="V15197" t="s">
        <v>64344</v>
      </c>
      <c r="W15197" t="s">
        <v>45568</v>
      </c>
      <c r="X15197" t="s">
        <v>47451</v>
      </c>
    </row>
    <row r="15198" spans="1:24">
      <c r="A15198">
        <f>HYPERLINK("https://www.philgeps.gov.ph/GEPSNONPILOT/Tender/SplashBidNoticeAbstractUI.aspx?menuIndex=3&amp;refID=7118845&amp;Result=3","7118845")</f>
        <v>0</v>
      </c>
      <c r="B15198" t="s">
        <v>3879</v>
      </c>
      <c r="C15198" t="s">
        <v>18300</v>
      </c>
      <c r="D15198" t="s">
        <v>19050</v>
      </c>
      <c r="E15198" t="s">
        <v>32162</v>
      </c>
      <c r="F15198" t="s">
        <v>32831</v>
      </c>
      <c r="G15198" t="s">
        <v>32839</v>
      </c>
      <c r="H15198" t="s">
        <v>32848</v>
      </c>
      <c r="I15198" t="s">
        <v>11727</v>
      </c>
      <c r="J15198" t="s">
        <v>42262</v>
      </c>
      <c r="K15198" t="s">
        <v>42763</v>
      </c>
      <c r="M15198" t="s">
        <v>47330</v>
      </c>
      <c r="N15198" t="s">
        <v>47424</v>
      </c>
      <c r="O15198" t="s">
        <v>47425</v>
      </c>
      <c r="P15198">
        <v>0</v>
      </c>
      <c r="Q15198">
        <v>1</v>
      </c>
      <c r="R15198" t="s">
        <v>47450</v>
      </c>
      <c r="S15198" t="s">
        <v>48614</v>
      </c>
      <c r="T15198" t="s">
        <v>49237</v>
      </c>
      <c r="U15198" t="s">
        <v>62023</v>
      </c>
      <c r="V15198" t="s">
        <v>64346</v>
      </c>
      <c r="W15198" t="s">
        <v>64564</v>
      </c>
      <c r="X15198" t="s">
        <v>47451</v>
      </c>
    </row>
    <row r="15199" spans="1:24">
      <c r="A15199">
        <f>HYPERLINK("https://www.philgeps.gov.ph/GEPSNONPILOT/Tender/SplashBidNoticeAbstractUI.aspx?menuIndex=3&amp;refID=7118820&amp;Result=3","7118820")</f>
        <v>0</v>
      </c>
      <c r="B15199" t="s">
        <v>2557</v>
      </c>
      <c r="C15199" t="s">
        <v>18301</v>
      </c>
      <c r="D15199" t="s">
        <v>19045</v>
      </c>
      <c r="E15199" t="s">
        <v>32163</v>
      </c>
      <c r="F15199" t="s">
        <v>32831</v>
      </c>
      <c r="G15199" t="s">
        <v>32839</v>
      </c>
      <c r="H15199" t="s">
        <v>32849</v>
      </c>
      <c r="I15199" t="s">
        <v>4177</v>
      </c>
      <c r="J15199" t="s">
        <v>42263</v>
      </c>
      <c r="K15199" t="s">
        <v>42730</v>
      </c>
      <c r="M15199" t="s">
        <v>45769</v>
      </c>
      <c r="N15199" t="s">
        <v>47424</v>
      </c>
      <c r="O15199" t="s">
        <v>47425</v>
      </c>
      <c r="P15199">
        <v>0</v>
      </c>
      <c r="Q15199">
        <v>0</v>
      </c>
      <c r="R15199" t="s">
        <v>47450</v>
      </c>
      <c r="S15199" t="s">
        <v>48614</v>
      </c>
      <c r="T15199" t="s">
        <v>49212</v>
      </c>
      <c r="U15199" t="s">
        <v>62024</v>
      </c>
      <c r="W15199" t="s">
        <v>45769</v>
      </c>
      <c r="X15199" t="s">
        <v>47451</v>
      </c>
    </row>
    <row r="15200" spans="1:24">
      <c r="A15200">
        <f>HYPERLINK("https://www.philgeps.gov.ph/GEPSNONPILOT/Tender/SplashBidNoticeAbstractUI.aspx?menuIndex=3&amp;refID=7118810&amp;Result=3","7118810")</f>
        <v>0</v>
      </c>
      <c r="B15200" t="s">
        <v>2557</v>
      </c>
      <c r="C15200" t="s">
        <v>18302</v>
      </c>
      <c r="D15200" t="s">
        <v>19045</v>
      </c>
      <c r="E15200" t="s">
        <v>32164</v>
      </c>
      <c r="F15200" t="s">
        <v>32831</v>
      </c>
      <c r="G15200" t="s">
        <v>32839</v>
      </c>
      <c r="H15200" t="s">
        <v>32849</v>
      </c>
      <c r="I15200" t="s">
        <v>4177</v>
      </c>
      <c r="J15200" t="s">
        <v>42263</v>
      </c>
      <c r="K15200" t="s">
        <v>42730</v>
      </c>
      <c r="M15200" t="s">
        <v>45769</v>
      </c>
      <c r="N15200" t="s">
        <v>47424</v>
      </c>
      <c r="O15200" t="s">
        <v>47425</v>
      </c>
      <c r="P15200">
        <v>0</v>
      </c>
      <c r="Q15200">
        <v>0</v>
      </c>
      <c r="R15200" t="s">
        <v>47450</v>
      </c>
      <c r="S15200" t="s">
        <v>48614</v>
      </c>
      <c r="T15200" t="s">
        <v>49212</v>
      </c>
      <c r="U15200" t="s">
        <v>62025</v>
      </c>
      <c r="W15200" t="s">
        <v>45769</v>
      </c>
      <c r="X15200" t="s">
        <v>47451</v>
      </c>
    </row>
    <row r="15201" spans="1:24">
      <c r="A15201">
        <f>HYPERLINK("https://www.philgeps.gov.ph/GEPSNONPILOT/Tender/SplashBidNoticeAbstractUI.aspx?menuIndex=3&amp;refID=7118648&amp;Result=3","7118648")</f>
        <v>0</v>
      </c>
      <c r="B15201" t="s">
        <v>2557</v>
      </c>
      <c r="C15201" t="s">
        <v>7481</v>
      </c>
      <c r="E15201" t="s">
        <v>32165</v>
      </c>
      <c r="F15201" t="s">
        <v>32831</v>
      </c>
      <c r="G15201" t="s">
        <v>32839</v>
      </c>
      <c r="H15201" t="s">
        <v>32848</v>
      </c>
      <c r="I15201" t="s">
        <v>7416</v>
      </c>
      <c r="J15201" t="s">
        <v>42264</v>
      </c>
      <c r="K15201" t="s">
        <v>42730</v>
      </c>
      <c r="M15201" t="s">
        <v>45769</v>
      </c>
      <c r="N15201" t="s">
        <v>47424</v>
      </c>
      <c r="O15201" t="s">
        <v>47425</v>
      </c>
      <c r="P15201">
        <v>0</v>
      </c>
      <c r="Q15201">
        <v>0</v>
      </c>
      <c r="R15201" t="s">
        <v>47450</v>
      </c>
      <c r="S15201" t="s">
        <v>48614</v>
      </c>
      <c r="T15201" t="s">
        <v>49212</v>
      </c>
      <c r="U15201" t="s">
        <v>50296</v>
      </c>
      <c r="W15201" t="s">
        <v>45769</v>
      </c>
      <c r="X15201" t="s">
        <v>47451</v>
      </c>
    </row>
    <row r="15202" spans="1:24">
      <c r="A15202">
        <f>HYPERLINK("https://www.philgeps.gov.ph/GEPSNONPILOT/Tender/SplashBidNoticeAbstractUI.aspx?menuIndex=3&amp;refID=7119074&amp;Result=3","7119074")</f>
        <v>0</v>
      </c>
      <c r="B15202" t="s">
        <v>677</v>
      </c>
      <c r="C15202" t="s">
        <v>18303</v>
      </c>
      <c r="D15202" t="s">
        <v>19024</v>
      </c>
      <c r="E15202" t="s">
        <v>32166</v>
      </c>
      <c r="F15202" t="s">
        <v>32831</v>
      </c>
      <c r="G15202" t="s">
        <v>32839</v>
      </c>
      <c r="H15202" t="s">
        <v>32848</v>
      </c>
      <c r="I15202" t="s">
        <v>4303</v>
      </c>
      <c r="J15202" t="s">
        <v>42265</v>
      </c>
      <c r="K15202" t="s">
        <v>42730</v>
      </c>
      <c r="M15202" t="s">
        <v>43696</v>
      </c>
      <c r="N15202" t="s">
        <v>47424</v>
      </c>
      <c r="O15202" t="s">
        <v>47425</v>
      </c>
      <c r="Q15202">
        <v>0</v>
      </c>
      <c r="R15202" t="s">
        <v>47450</v>
      </c>
      <c r="S15202" t="s">
        <v>48644</v>
      </c>
      <c r="T15202" t="s">
        <v>49239</v>
      </c>
      <c r="U15202" t="s">
        <v>62026</v>
      </c>
      <c r="W15202" t="s">
        <v>43696</v>
      </c>
      <c r="X15202" t="s">
        <v>47451</v>
      </c>
    </row>
    <row r="15203" spans="1:24">
      <c r="A15203">
        <f>HYPERLINK("https://www.philgeps.gov.ph/GEPSNONPILOT/Tender/SplashBidNoticeAbstractUI.aspx?menuIndex=3&amp;refID=7118560&amp;Result=3","7118560")</f>
        <v>0</v>
      </c>
      <c r="B15203" t="s">
        <v>823</v>
      </c>
      <c r="C15203" t="s">
        <v>18304</v>
      </c>
      <c r="D15203" t="s">
        <v>19062</v>
      </c>
      <c r="E15203" t="s">
        <v>32167</v>
      </c>
      <c r="F15203" t="s">
        <v>32831</v>
      </c>
      <c r="G15203" t="s">
        <v>32839</v>
      </c>
      <c r="H15203" t="s">
        <v>32848</v>
      </c>
      <c r="I15203" t="s">
        <v>4487</v>
      </c>
      <c r="J15203" t="s">
        <v>42266</v>
      </c>
      <c r="K15203" t="s">
        <v>42730</v>
      </c>
      <c r="M15203" t="s">
        <v>47114</v>
      </c>
      <c r="N15203" t="s">
        <v>47424</v>
      </c>
      <c r="O15203" t="s">
        <v>47425</v>
      </c>
      <c r="Q15203">
        <v>13</v>
      </c>
      <c r="R15203" t="s">
        <v>47450</v>
      </c>
      <c r="S15203" t="s">
        <v>48645</v>
      </c>
      <c r="T15203" t="s">
        <v>49237</v>
      </c>
      <c r="U15203" t="s">
        <v>60686</v>
      </c>
      <c r="W15203" t="s">
        <v>47114</v>
      </c>
      <c r="X15203" t="s">
        <v>47451</v>
      </c>
    </row>
    <row r="15204" spans="1:24">
      <c r="A15204">
        <f>HYPERLINK("https://www.philgeps.gov.ph/GEPSNONPILOT/Tender/SplashBidNoticeAbstractUI.aspx?menuIndex=3&amp;refID=7118555&amp;Result=3","7118555")</f>
        <v>0</v>
      </c>
      <c r="B15204" t="s">
        <v>2557</v>
      </c>
      <c r="C15204" t="s">
        <v>18305</v>
      </c>
      <c r="D15204" t="s">
        <v>19045</v>
      </c>
      <c r="E15204" t="s">
        <v>32168</v>
      </c>
      <c r="F15204" t="s">
        <v>32831</v>
      </c>
      <c r="G15204" t="s">
        <v>32839</v>
      </c>
      <c r="H15204" t="s">
        <v>32849</v>
      </c>
      <c r="I15204" t="s">
        <v>4177</v>
      </c>
      <c r="J15204" t="s">
        <v>42267</v>
      </c>
      <c r="K15204" t="s">
        <v>42729</v>
      </c>
      <c r="M15204" t="s">
        <v>45769</v>
      </c>
      <c r="N15204" t="s">
        <v>47424</v>
      </c>
      <c r="O15204" t="s">
        <v>47425</v>
      </c>
      <c r="P15204">
        <v>0</v>
      </c>
      <c r="Q15204">
        <v>1</v>
      </c>
      <c r="R15204" t="s">
        <v>47450</v>
      </c>
      <c r="S15204" t="s">
        <v>48614</v>
      </c>
      <c r="T15204" t="s">
        <v>49212</v>
      </c>
      <c r="U15204" t="s">
        <v>62027</v>
      </c>
      <c r="W15204" t="s">
        <v>45769</v>
      </c>
      <c r="X15204" t="s">
        <v>47451</v>
      </c>
    </row>
    <row r="15205" spans="1:24">
      <c r="A15205">
        <f>HYPERLINK("https://www.philgeps.gov.ph/GEPSNONPILOT/Tender/SplashBidNoticeAbstractUI.aspx?menuIndex=3&amp;refID=7116450&amp;Result=3","7116450")</f>
        <v>0</v>
      </c>
      <c r="B15205" t="s">
        <v>661</v>
      </c>
      <c r="C15205" t="s">
        <v>18306</v>
      </c>
      <c r="D15205" t="s">
        <v>19058</v>
      </c>
      <c r="E15205" t="s">
        <v>32169</v>
      </c>
      <c r="F15205" t="s">
        <v>32831</v>
      </c>
      <c r="G15205" t="s">
        <v>32839</v>
      </c>
      <c r="H15205" t="s">
        <v>32848</v>
      </c>
      <c r="I15205" t="s">
        <v>7416</v>
      </c>
      <c r="J15205" t="s">
        <v>42268</v>
      </c>
      <c r="K15205" t="s">
        <v>42732</v>
      </c>
      <c r="M15205" t="s">
        <v>47252</v>
      </c>
      <c r="N15205" t="s">
        <v>47424</v>
      </c>
      <c r="O15205" t="s">
        <v>47425</v>
      </c>
      <c r="Q15205">
        <v>0</v>
      </c>
      <c r="R15205" t="s">
        <v>47450</v>
      </c>
      <c r="S15205" t="s">
        <v>48646</v>
      </c>
      <c r="T15205" t="s">
        <v>49237</v>
      </c>
      <c r="U15205" t="s">
        <v>62028</v>
      </c>
      <c r="W15205" t="s">
        <v>47252</v>
      </c>
      <c r="X15205" t="s">
        <v>47451</v>
      </c>
    </row>
    <row r="15206" spans="1:24">
      <c r="A15206">
        <f>HYPERLINK("https://www.philgeps.gov.ph/GEPSNONPILOT/Tender/SplashBidNoticeAbstractUI.aspx?menuIndex=3&amp;refID=7118628&amp;Result=3","7118628")</f>
        <v>0</v>
      </c>
      <c r="B15206" t="s">
        <v>2557</v>
      </c>
      <c r="C15206" t="s">
        <v>18307</v>
      </c>
      <c r="D15206" t="s">
        <v>19045</v>
      </c>
      <c r="E15206" t="s">
        <v>32170</v>
      </c>
      <c r="F15206" t="s">
        <v>32831</v>
      </c>
      <c r="G15206" t="s">
        <v>32839</v>
      </c>
      <c r="H15206" t="s">
        <v>32849</v>
      </c>
      <c r="I15206" t="s">
        <v>4177</v>
      </c>
      <c r="J15206" t="s">
        <v>42263</v>
      </c>
      <c r="K15206" t="s">
        <v>42730</v>
      </c>
      <c r="M15206" t="s">
        <v>45769</v>
      </c>
      <c r="N15206" t="s">
        <v>47424</v>
      </c>
      <c r="O15206" t="s">
        <v>47425</v>
      </c>
      <c r="P15206">
        <v>0</v>
      </c>
      <c r="Q15206">
        <v>0</v>
      </c>
      <c r="R15206" t="s">
        <v>47450</v>
      </c>
      <c r="S15206" t="s">
        <v>48614</v>
      </c>
      <c r="T15206" t="s">
        <v>49212</v>
      </c>
      <c r="U15206" t="s">
        <v>62029</v>
      </c>
      <c r="W15206" t="s">
        <v>45769</v>
      </c>
      <c r="X15206" t="s">
        <v>47451</v>
      </c>
    </row>
    <row r="15207" spans="1:24">
      <c r="A15207">
        <f>HYPERLINK("https://www.philgeps.gov.ph/GEPSNONPILOT/Tender/SplashBidNoticeAbstractUI.aspx?menuIndex=3&amp;refID=7118489&amp;Result=3","7118489")</f>
        <v>0</v>
      </c>
      <c r="B15207" t="s">
        <v>2557</v>
      </c>
      <c r="C15207" t="s">
        <v>18308</v>
      </c>
      <c r="D15207" t="s">
        <v>19045</v>
      </c>
      <c r="E15207" t="s">
        <v>32171</v>
      </c>
      <c r="F15207" t="s">
        <v>32831</v>
      </c>
      <c r="G15207" t="s">
        <v>32839</v>
      </c>
      <c r="H15207" t="s">
        <v>32848</v>
      </c>
      <c r="I15207" t="s">
        <v>32856</v>
      </c>
      <c r="J15207" t="s">
        <v>39116</v>
      </c>
      <c r="K15207" t="s">
        <v>42730</v>
      </c>
      <c r="M15207" t="s">
        <v>45769</v>
      </c>
      <c r="N15207" t="s">
        <v>47424</v>
      </c>
      <c r="O15207" t="s">
        <v>47425</v>
      </c>
      <c r="P15207">
        <v>0</v>
      </c>
      <c r="Q15207">
        <v>4</v>
      </c>
      <c r="R15207" t="s">
        <v>47450</v>
      </c>
      <c r="S15207" t="s">
        <v>48614</v>
      </c>
      <c r="T15207" t="s">
        <v>49212</v>
      </c>
      <c r="U15207" t="s">
        <v>62030</v>
      </c>
      <c r="W15207" t="s">
        <v>45769</v>
      </c>
      <c r="X15207" t="s">
        <v>47451</v>
      </c>
    </row>
    <row r="15208" spans="1:24">
      <c r="A15208">
        <f>HYPERLINK("https://www.philgeps.gov.ph/GEPSNONPILOT/Tender/SplashBidNoticeAbstractUI.aspx?menuIndex=3&amp;refID=7118587&amp;Result=3","7118587")</f>
        <v>0</v>
      </c>
      <c r="B15208" t="s">
        <v>2557</v>
      </c>
      <c r="C15208" t="s">
        <v>18309</v>
      </c>
      <c r="D15208" t="s">
        <v>19045</v>
      </c>
      <c r="E15208" t="s">
        <v>32172</v>
      </c>
      <c r="F15208" t="s">
        <v>32831</v>
      </c>
      <c r="G15208" t="s">
        <v>32839</v>
      </c>
      <c r="H15208" t="s">
        <v>32849</v>
      </c>
      <c r="I15208" t="s">
        <v>4177</v>
      </c>
      <c r="J15208" t="s">
        <v>42269</v>
      </c>
      <c r="K15208" t="s">
        <v>42729</v>
      </c>
      <c r="M15208" t="s">
        <v>45769</v>
      </c>
      <c r="N15208" t="s">
        <v>47424</v>
      </c>
      <c r="O15208" t="s">
        <v>47425</v>
      </c>
      <c r="P15208">
        <v>0</v>
      </c>
      <c r="Q15208">
        <v>1</v>
      </c>
      <c r="R15208" t="s">
        <v>47450</v>
      </c>
      <c r="S15208" t="s">
        <v>48614</v>
      </c>
      <c r="T15208" t="s">
        <v>49212</v>
      </c>
      <c r="U15208" t="s">
        <v>62031</v>
      </c>
      <c r="W15208" t="s">
        <v>45769</v>
      </c>
      <c r="X15208" t="s">
        <v>47451</v>
      </c>
    </row>
    <row r="15209" spans="1:24">
      <c r="A15209">
        <f>HYPERLINK("https://www.philgeps.gov.ph/GEPSNONPILOT/Tender/SplashBidNoticeAbstractUI.aspx?menuIndex=3&amp;refID=7119087&amp;Result=3","7119087")</f>
        <v>0</v>
      </c>
      <c r="B15209" t="s">
        <v>677</v>
      </c>
      <c r="C15209" t="s">
        <v>18310</v>
      </c>
      <c r="D15209" t="s">
        <v>19024</v>
      </c>
      <c r="E15209" t="s">
        <v>32173</v>
      </c>
      <c r="F15209" t="s">
        <v>32831</v>
      </c>
      <c r="G15209" t="s">
        <v>32839</v>
      </c>
      <c r="H15209" t="s">
        <v>32848</v>
      </c>
      <c r="I15209" t="s">
        <v>32862</v>
      </c>
      <c r="J15209" t="s">
        <v>42270</v>
      </c>
      <c r="K15209" t="s">
        <v>42730</v>
      </c>
      <c r="M15209" t="s">
        <v>43696</v>
      </c>
      <c r="N15209" t="s">
        <v>47424</v>
      </c>
      <c r="O15209" t="s">
        <v>47425</v>
      </c>
      <c r="Q15209">
        <v>0</v>
      </c>
      <c r="R15209" t="s">
        <v>47450</v>
      </c>
      <c r="S15209" t="s">
        <v>48129</v>
      </c>
      <c r="T15209" t="s">
        <v>49239</v>
      </c>
      <c r="U15209" t="s">
        <v>62032</v>
      </c>
      <c r="W15209" t="s">
        <v>43696</v>
      </c>
      <c r="X15209" t="s">
        <v>47451</v>
      </c>
    </row>
    <row r="15210" spans="1:24">
      <c r="A15210">
        <f>HYPERLINK("https://www.philgeps.gov.ph/GEPSNONPILOT/Tender/SplashBidNoticeAbstractUI.aspx?menuIndex=3&amp;refID=7117761&amp;Result=3","7117761")</f>
        <v>0</v>
      </c>
      <c r="B15210" t="s">
        <v>3642</v>
      </c>
      <c r="C15210" t="s">
        <v>18311</v>
      </c>
      <c r="D15210" t="s">
        <v>19100</v>
      </c>
      <c r="E15210" t="s">
        <v>32174</v>
      </c>
      <c r="F15210" t="s">
        <v>32831</v>
      </c>
      <c r="G15210" t="s">
        <v>32839</v>
      </c>
      <c r="H15210" t="s">
        <v>32850</v>
      </c>
      <c r="I15210" t="s">
        <v>5667</v>
      </c>
      <c r="J15210" t="s">
        <v>42271</v>
      </c>
      <c r="K15210" t="s">
        <v>42870</v>
      </c>
      <c r="M15210" t="s">
        <v>47013</v>
      </c>
      <c r="N15210" t="s">
        <v>47424</v>
      </c>
      <c r="O15210" t="s">
        <v>47425</v>
      </c>
      <c r="Q15210">
        <v>5</v>
      </c>
      <c r="R15210" t="s">
        <v>47450</v>
      </c>
      <c r="S15210" t="s">
        <v>48086</v>
      </c>
      <c r="T15210" t="s">
        <v>49059</v>
      </c>
      <c r="U15210" t="s">
        <v>62033</v>
      </c>
      <c r="W15210" t="s">
        <v>47013</v>
      </c>
      <c r="X15210" t="s">
        <v>47451</v>
      </c>
    </row>
    <row r="15211" spans="1:24">
      <c r="A15211">
        <f>HYPERLINK("https://www.philgeps.gov.ph/GEPSNONPILOT/Tender/SplashBidNoticeAbstractUI.aspx?menuIndex=3&amp;refID=7117721&amp;Result=3","7117721")</f>
        <v>0</v>
      </c>
      <c r="B15211" t="s">
        <v>3875</v>
      </c>
      <c r="C15211" t="s">
        <v>18312</v>
      </c>
      <c r="D15211" t="s">
        <v>19039</v>
      </c>
      <c r="E15211" t="s">
        <v>32175</v>
      </c>
      <c r="F15211" t="s">
        <v>32831</v>
      </c>
      <c r="G15211" t="s">
        <v>32839</v>
      </c>
      <c r="H15211" t="s">
        <v>32848</v>
      </c>
      <c r="I15211" t="s">
        <v>7416</v>
      </c>
      <c r="J15211" t="s">
        <v>42272</v>
      </c>
      <c r="K15211" t="s">
        <v>42747</v>
      </c>
      <c r="M15211" t="s">
        <v>47325</v>
      </c>
      <c r="N15211" t="s">
        <v>47424</v>
      </c>
      <c r="O15211" t="s">
        <v>47425</v>
      </c>
      <c r="P15211">
        <v>0</v>
      </c>
      <c r="Q15211">
        <v>0</v>
      </c>
      <c r="R15211" t="s">
        <v>47450</v>
      </c>
      <c r="S15211" t="s">
        <v>48614</v>
      </c>
      <c r="T15211" t="s">
        <v>49104</v>
      </c>
      <c r="U15211" t="s">
        <v>62034</v>
      </c>
      <c r="V15211" t="s">
        <v>64342</v>
      </c>
      <c r="W15211" t="s">
        <v>47325</v>
      </c>
      <c r="X15211" t="s">
        <v>47451</v>
      </c>
    </row>
    <row r="15212" spans="1:24">
      <c r="A15212">
        <f>HYPERLINK("https://www.philgeps.gov.ph/GEPSNONPILOT/Tender/SplashBidNoticeAbstractUI.aspx?menuIndex=3&amp;refID=7118997&amp;Result=3","7118997")</f>
        <v>0</v>
      </c>
      <c r="B15212" t="s">
        <v>113</v>
      </c>
      <c r="C15212" t="s">
        <v>18313</v>
      </c>
      <c r="D15212" t="s">
        <v>19027</v>
      </c>
      <c r="E15212" t="s">
        <v>32176</v>
      </c>
      <c r="F15212" t="s">
        <v>32831</v>
      </c>
      <c r="G15212" t="s">
        <v>32839</v>
      </c>
      <c r="H15212" t="s">
        <v>32848</v>
      </c>
      <c r="I15212" t="s">
        <v>32874</v>
      </c>
      <c r="J15212" t="s">
        <v>33508</v>
      </c>
      <c r="K15212" t="s">
        <v>42731</v>
      </c>
      <c r="M15212" t="s">
        <v>47312</v>
      </c>
      <c r="N15212" t="s">
        <v>47424</v>
      </c>
      <c r="O15212" t="s">
        <v>47425</v>
      </c>
      <c r="Q15212">
        <v>3</v>
      </c>
      <c r="R15212" t="s">
        <v>47448</v>
      </c>
      <c r="S15212" t="s">
        <v>48647</v>
      </c>
      <c r="T15212" t="s">
        <v>49667</v>
      </c>
      <c r="U15212" t="s">
        <v>62035</v>
      </c>
      <c r="V15212" t="s">
        <v>64325</v>
      </c>
      <c r="W15212" t="s">
        <v>47312</v>
      </c>
      <c r="X15212" t="s">
        <v>47451</v>
      </c>
    </row>
    <row r="15213" spans="1:24">
      <c r="A15213">
        <f>HYPERLINK("https://www.philgeps.gov.ph/GEPSNONPILOT/Tender/SplashBidNoticeAbstractUI.aspx?menuIndex=3&amp;refID=7118412&amp;Result=3","7118412")</f>
        <v>0</v>
      </c>
      <c r="B15213" t="s">
        <v>1782</v>
      </c>
      <c r="C15213" t="s">
        <v>18314</v>
      </c>
      <c r="D15213" t="s">
        <v>19035</v>
      </c>
      <c r="E15213" t="s">
        <v>32177</v>
      </c>
      <c r="F15213" t="s">
        <v>32831</v>
      </c>
      <c r="G15213" t="s">
        <v>32839</v>
      </c>
      <c r="H15213" t="s">
        <v>32848</v>
      </c>
      <c r="I15213" t="s">
        <v>32863</v>
      </c>
      <c r="J15213" t="s">
        <v>42273</v>
      </c>
      <c r="K15213" t="s">
        <v>42763</v>
      </c>
      <c r="M15213" t="s">
        <v>44909</v>
      </c>
      <c r="N15213" t="s">
        <v>47424</v>
      </c>
      <c r="O15213" t="s">
        <v>47425</v>
      </c>
      <c r="P15213">
        <v>0</v>
      </c>
      <c r="Q15213">
        <v>6</v>
      </c>
      <c r="R15213" t="s">
        <v>47450</v>
      </c>
      <c r="S15213" t="s">
        <v>48614</v>
      </c>
      <c r="T15213" t="s">
        <v>49276</v>
      </c>
      <c r="U15213" t="s">
        <v>62036</v>
      </c>
      <c r="W15213" t="s">
        <v>44909</v>
      </c>
      <c r="X15213" t="s">
        <v>47451</v>
      </c>
    </row>
    <row r="15214" spans="1:24">
      <c r="A15214">
        <f>HYPERLINK("https://www.philgeps.gov.ph/GEPSNONPILOT/Tender/SplashBidNoticeAbstractUI.aspx?menuIndex=3&amp;refID=7117872&amp;Result=3","7117872")</f>
        <v>0</v>
      </c>
      <c r="B15214" t="s">
        <v>1256</v>
      </c>
      <c r="C15214" t="s">
        <v>18315</v>
      </c>
      <c r="D15214" t="s">
        <v>19033</v>
      </c>
      <c r="E15214" t="s">
        <v>32178</v>
      </c>
      <c r="F15214" t="s">
        <v>32831</v>
      </c>
      <c r="G15214" t="s">
        <v>32838</v>
      </c>
      <c r="H15214" t="s">
        <v>32848</v>
      </c>
      <c r="I15214" t="s">
        <v>32859</v>
      </c>
      <c r="J15214" t="s">
        <v>35102</v>
      </c>
      <c r="K15214" t="s">
        <v>42730</v>
      </c>
      <c r="M15214" t="s">
        <v>44326</v>
      </c>
      <c r="N15214" t="s">
        <v>47424</v>
      </c>
      <c r="O15214" t="s">
        <v>47425</v>
      </c>
      <c r="Q15214">
        <v>6</v>
      </c>
      <c r="R15214" t="s">
        <v>47450</v>
      </c>
      <c r="S15214" t="s">
        <v>48308</v>
      </c>
      <c r="T15214" t="s">
        <v>49212</v>
      </c>
      <c r="U15214" t="s">
        <v>62037</v>
      </c>
      <c r="W15214" t="s">
        <v>44326</v>
      </c>
      <c r="X15214" t="s">
        <v>47451</v>
      </c>
    </row>
    <row r="15215" spans="1:24">
      <c r="A15215">
        <f>HYPERLINK("https://www.philgeps.gov.ph/GEPSNONPILOT/Tender/SplashBidNoticeAbstractUI.aspx?menuIndex=3&amp;refID=7118980&amp;Result=3","7118980")</f>
        <v>0</v>
      </c>
      <c r="B15215" t="s">
        <v>113</v>
      </c>
      <c r="C15215" t="s">
        <v>18316</v>
      </c>
      <c r="D15215" t="s">
        <v>19027</v>
      </c>
      <c r="E15215" t="s">
        <v>32179</v>
      </c>
      <c r="F15215" t="s">
        <v>32831</v>
      </c>
      <c r="G15215" t="s">
        <v>32839</v>
      </c>
      <c r="H15215" t="s">
        <v>32848</v>
      </c>
      <c r="I15215" t="s">
        <v>32874</v>
      </c>
      <c r="J15215" t="s">
        <v>42274</v>
      </c>
      <c r="K15215" t="s">
        <v>42731</v>
      </c>
      <c r="M15215" t="s">
        <v>47312</v>
      </c>
      <c r="N15215" t="s">
        <v>47424</v>
      </c>
      <c r="O15215" t="s">
        <v>47425</v>
      </c>
      <c r="Q15215">
        <v>4</v>
      </c>
      <c r="R15215" t="s">
        <v>47448</v>
      </c>
      <c r="S15215" t="s">
        <v>48648</v>
      </c>
      <c r="T15215" t="s">
        <v>49667</v>
      </c>
      <c r="U15215" t="s">
        <v>62038</v>
      </c>
      <c r="V15215" t="s">
        <v>64325</v>
      </c>
      <c r="W15215" t="s">
        <v>47312</v>
      </c>
      <c r="X15215" t="s">
        <v>47451</v>
      </c>
    </row>
    <row r="15216" spans="1:24">
      <c r="A15216">
        <f>HYPERLINK("https://www.philgeps.gov.ph/GEPSNONPILOT/Tender/SplashBidNoticeAbstractUI.aspx?menuIndex=3&amp;refID=7118372&amp;Result=3","7118372")</f>
        <v>0</v>
      </c>
      <c r="B15216" t="s">
        <v>736</v>
      </c>
      <c r="C15216" t="s">
        <v>5774</v>
      </c>
      <c r="D15216" t="s">
        <v>19062</v>
      </c>
      <c r="E15216" t="s">
        <v>32145</v>
      </c>
      <c r="F15216" t="s">
        <v>32831</v>
      </c>
      <c r="G15216" t="s">
        <v>32839</v>
      </c>
      <c r="H15216" t="s">
        <v>32848</v>
      </c>
      <c r="I15216" t="s">
        <v>32922</v>
      </c>
      <c r="J15216" t="s">
        <v>42275</v>
      </c>
      <c r="K15216" t="s">
        <v>42731</v>
      </c>
      <c r="M15216" t="s">
        <v>43758</v>
      </c>
      <c r="N15216" t="s">
        <v>47424</v>
      </c>
      <c r="O15216" t="s">
        <v>47425</v>
      </c>
      <c r="P15216">
        <v>0</v>
      </c>
      <c r="Q15216">
        <v>3</v>
      </c>
      <c r="R15216" t="s">
        <v>47450</v>
      </c>
      <c r="S15216" t="s">
        <v>48614</v>
      </c>
      <c r="T15216" t="s">
        <v>49127</v>
      </c>
      <c r="U15216" t="s">
        <v>62039</v>
      </c>
      <c r="W15216" t="s">
        <v>43758</v>
      </c>
      <c r="X15216" t="s">
        <v>47451</v>
      </c>
    </row>
    <row r="15217" spans="1:24">
      <c r="A15217">
        <f>HYPERLINK("https://www.philgeps.gov.ph/GEPSNONPILOT/Tender/SplashBidNoticeAbstractUI.aspx?menuIndex=3&amp;refID=7117624&amp;Result=3","7117624")</f>
        <v>0</v>
      </c>
      <c r="B15217" t="s">
        <v>1137</v>
      </c>
      <c r="C15217" t="s">
        <v>18317</v>
      </c>
      <c r="D15217" t="s">
        <v>19020</v>
      </c>
      <c r="E15217" t="s">
        <v>32180</v>
      </c>
      <c r="F15217" t="s">
        <v>32831</v>
      </c>
      <c r="G15217" t="s">
        <v>32839</v>
      </c>
      <c r="H15217" t="s">
        <v>32849</v>
      </c>
      <c r="I15217" t="s">
        <v>4177</v>
      </c>
      <c r="J15217" t="s">
        <v>42276</v>
      </c>
      <c r="K15217" t="s">
        <v>42732</v>
      </c>
      <c r="M15217" t="s">
        <v>44200</v>
      </c>
      <c r="N15217" t="s">
        <v>47424</v>
      </c>
      <c r="O15217" t="s">
        <v>47425</v>
      </c>
      <c r="P15217">
        <v>0</v>
      </c>
      <c r="Q15217">
        <v>0</v>
      </c>
      <c r="R15217" t="s">
        <v>47450</v>
      </c>
      <c r="S15217" t="s">
        <v>48614</v>
      </c>
      <c r="T15217" t="s">
        <v>49166</v>
      </c>
      <c r="U15217" t="s">
        <v>62040</v>
      </c>
      <c r="W15217" t="s">
        <v>44200</v>
      </c>
      <c r="X15217" t="s">
        <v>47451</v>
      </c>
    </row>
    <row r="15218" spans="1:24">
      <c r="A15218">
        <f>HYPERLINK("https://www.philgeps.gov.ph/GEPSNONPILOT/Tender/SplashBidNoticeAbstractUI.aspx?menuIndex=3&amp;refID=7117663&amp;Result=3","7117663")</f>
        <v>0</v>
      </c>
      <c r="B15218" t="s">
        <v>114</v>
      </c>
      <c r="C15218" t="s">
        <v>18318</v>
      </c>
      <c r="D15218" t="s">
        <v>19050</v>
      </c>
      <c r="E15218" t="s">
        <v>32181</v>
      </c>
      <c r="F15218" t="s">
        <v>32831</v>
      </c>
      <c r="G15218" t="s">
        <v>32839</v>
      </c>
      <c r="H15218" t="s">
        <v>32848</v>
      </c>
      <c r="I15218" t="s">
        <v>4558</v>
      </c>
      <c r="J15218" t="s">
        <v>42277</v>
      </c>
      <c r="K15218" t="s">
        <v>42745</v>
      </c>
      <c r="L15218" t="s">
        <v>114</v>
      </c>
      <c r="M15218" t="s">
        <v>43111</v>
      </c>
      <c r="N15218" t="s">
        <v>47424</v>
      </c>
      <c r="O15218" t="s">
        <v>47425</v>
      </c>
      <c r="P15218">
        <v>0</v>
      </c>
      <c r="Q15218">
        <v>12</v>
      </c>
      <c r="R15218" t="s">
        <v>47448</v>
      </c>
      <c r="S15218" t="s">
        <v>48555</v>
      </c>
      <c r="T15218" t="s">
        <v>49229</v>
      </c>
      <c r="U15218" t="s">
        <v>62041</v>
      </c>
      <c r="W15218" t="s">
        <v>43111</v>
      </c>
      <c r="X15218" t="s">
        <v>47451</v>
      </c>
    </row>
    <row r="15219" spans="1:24">
      <c r="A15219">
        <f>HYPERLINK("https://www.philgeps.gov.ph/GEPSNONPILOT/Tender/SplashBidNoticeAbstractUI.aspx?menuIndex=3&amp;refID=7117588&amp;Result=3","7117588")</f>
        <v>0</v>
      </c>
      <c r="B15219" t="s">
        <v>1137</v>
      </c>
      <c r="C15219" t="s">
        <v>18319</v>
      </c>
      <c r="D15219" t="s">
        <v>19020</v>
      </c>
      <c r="E15219" t="s">
        <v>32182</v>
      </c>
      <c r="F15219" t="s">
        <v>32831</v>
      </c>
      <c r="G15219" t="s">
        <v>32839</v>
      </c>
      <c r="H15219" t="s">
        <v>32849</v>
      </c>
      <c r="I15219" t="s">
        <v>4177</v>
      </c>
      <c r="J15219" t="s">
        <v>42278</v>
      </c>
      <c r="K15219" t="s">
        <v>42732</v>
      </c>
      <c r="M15219" t="s">
        <v>44200</v>
      </c>
      <c r="N15219" t="s">
        <v>47424</v>
      </c>
      <c r="O15219" t="s">
        <v>47425</v>
      </c>
      <c r="P15219">
        <v>0</v>
      </c>
      <c r="Q15219">
        <v>1</v>
      </c>
      <c r="R15219" t="s">
        <v>47450</v>
      </c>
      <c r="S15219" t="s">
        <v>48614</v>
      </c>
      <c r="T15219" t="s">
        <v>49166</v>
      </c>
      <c r="U15219" t="s">
        <v>62042</v>
      </c>
      <c r="W15219" t="s">
        <v>44200</v>
      </c>
      <c r="X15219" t="s">
        <v>47451</v>
      </c>
    </row>
    <row r="15220" spans="1:24">
      <c r="A15220">
        <f>HYPERLINK("https://www.philgeps.gov.ph/GEPSNONPILOT/Tender/SplashBidNoticeAbstractUI.aspx?menuIndex=3&amp;refID=7118989&amp;Result=3","7118989")</f>
        <v>0</v>
      </c>
      <c r="B15220" t="s">
        <v>113</v>
      </c>
      <c r="C15220" t="s">
        <v>18320</v>
      </c>
      <c r="D15220" t="s">
        <v>19027</v>
      </c>
      <c r="E15220" t="s">
        <v>32183</v>
      </c>
      <c r="F15220" t="s">
        <v>32831</v>
      </c>
      <c r="G15220" t="s">
        <v>32839</v>
      </c>
      <c r="H15220" t="s">
        <v>32848</v>
      </c>
      <c r="I15220" t="s">
        <v>32874</v>
      </c>
      <c r="J15220" t="s">
        <v>42279</v>
      </c>
      <c r="K15220" t="s">
        <v>42731</v>
      </c>
      <c r="M15220" t="s">
        <v>47312</v>
      </c>
      <c r="N15220" t="s">
        <v>47424</v>
      </c>
      <c r="O15220" t="s">
        <v>47425</v>
      </c>
      <c r="Q15220">
        <v>4</v>
      </c>
      <c r="R15220" t="s">
        <v>47448</v>
      </c>
      <c r="S15220" t="s">
        <v>48649</v>
      </c>
      <c r="T15220" t="s">
        <v>49667</v>
      </c>
      <c r="U15220" t="s">
        <v>62043</v>
      </c>
      <c r="V15220" t="s">
        <v>64325</v>
      </c>
      <c r="W15220" t="s">
        <v>47312</v>
      </c>
      <c r="X15220" t="s">
        <v>47451</v>
      </c>
    </row>
    <row r="15221" spans="1:24">
      <c r="A15221">
        <f>HYPERLINK("https://www.philgeps.gov.ph/GEPSNONPILOT/Tender/SplashBidNoticeAbstractUI.aspx?menuIndex=3&amp;refID=7118985&amp;Result=3","7118985")</f>
        <v>0</v>
      </c>
      <c r="B15221" t="s">
        <v>113</v>
      </c>
      <c r="C15221" t="s">
        <v>18321</v>
      </c>
      <c r="D15221" t="s">
        <v>19027</v>
      </c>
      <c r="E15221" t="s">
        <v>32184</v>
      </c>
      <c r="F15221" t="s">
        <v>32831</v>
      </c>
      <c r="G15221" t="s">
        <v>32839</v>
      </c>
      <c r="H15221" t="s">
        <v>32848</v>
      </c>
      <c r="I15221" t="s">
        <v>32874</v>
      </c>
      <c r="J15221" t="s">
        <v>42280</v>
      </c>
      <c r="K15221" t="s">
        <v>42731</v>
      </c>
      <c r="M15221" t="s">
        <v>47312</v>
      </c>
      <c r="N15221" t="s">
        <v>47424</v>
      </c>
      <c r="O15221" t="s">
        <v>47425</v>
      </c>
      <c r="Q15221">
        <v>3</v>
      </c>
      <c r="R15221" t="s">
        <v>47448</v>
      </c>
      <c r="S15221" t="s">
        <v>48649</v>
      </c>
      <c r="T15221" t="s">
        <v>49667</v>
      </c>
      <c r="U15221" t="s">
        <v>62044</v>
      </c>
      <c r="V15221" t="s">
        <v>64325</v>
      </c>
      <c r="W15221" t="s">
        <v>47312</v>
      </c>
      <c r="X15221" t="s">
        <v>47451</v>
      </c>
    </row>
    <row r="15222" spans="1:24">
      <c r="A15222">
        <f>HYPERLINK("https://www.philgeps.gov.ph/GEPSNONPILOT/Tender/SplashBidNoticeAbstractUI.aspx?menuIndex=3&amp;refID=7117815&amp;Result=3","7117815")</f>
        <v>0</v>
      </c>
      <c r="B15222" t="s">
        <v>3815</v>
      </c>
      <c r="C15222" t="s">
        <v>18322</v>
      </c>
      <c r="D15222" t="s">
        <v>19027</v>
      </c>
      <c r="E15222" t="s">
        <v>32185</v>
      </c>
      <c r="F15222" t="s">
        <v>32831</v>
      </c>
      <c r="G15222" t="s">
        <v>32839</v>
      </c>
      <c r="H15222" t="s">
        <v>32849</v>
      </c>
      <c r="I15222" t="s">
        <v>4177</v>
      </c>
      <c r="J15222" t="s">
        <v>42281</v>
      </c>
      <c r="K15222" t="s">
        <v>42770</v>
      </c>
      <c r="M15222" t="s">
        <v>47236</v>
      </c>
      <c r="N15222" t="s">
        <v>47424</v>
      </c>
      <c r="O15222" t="s">
        <v>47425</v>
      </c>
      <c r="Q15222">
        <v>17</v>
      </c>
      <c r="R15222" t="s">
        <v>47448</v>
      </c>
      <c r="S15222" t="s">
        <v>48650</v>
      </c>
      <c r="T15222" t="s">
        <v>49237</v>
      </c>
      <c r="U15222" t="s">
        <v>62045</v>
      </c>
      <c r="W15222" t="s">
        <v>47236</v>
      </c>
      <c r="X15222" t="s">
        <v>47451</v>
      </c>
    </row>
    <row r="15223" spans="1:24">
      <c r="A15223">
        <f>HYPERLINK("https://www.philgeps.gov.ph/GEPSNONPILOT/Tender/SplashBidNoticeAbstractUI.aspx?menuIndex=3&amp;refID=7112095&amp;Result=3","7112095")</f>
        <v>0</v>
      </c>
      <c r="B15223" t="s">
        <v>2350</v>
      </c>
      <c r="C15223" t="s">
        <v>18323</v>
      </c>
      <c r="D15223" t="s">
        <v>19018</v>
      </c>
      <c r="E15223" t="s">
        <v>32186</v>
      </c>
      <c r="F15223" t="s">
        <v>32831</v>
      </c>
      <c r="G15223" t="s">
        <v>32839</v>
      </c>
      <c r="H15223" t="s">
        <v>32848</v>
      </c>
      <c r="I15223" t="s">
        <v>32855</v>
      </c>
      <c r="J15223" t="s">
        <v>42282</v>
      </c>
      <c r="K15223" t="s">
        <v>42729</v>
      </c>
      <c r="M15223" t="s">
        <v>47331</v>
      </c>
      <c r="N15223" t="s">
        <v>47424</v>
      </c>
      <c r="O15223" t="s">
        <v>47425</v>
      </c>
      <c r="P15223">
        <v>0</v>
      </c>
      <c r="Q15223">
        <v>3</v>
      </c>
      <c r="R15223" t="s">
        <v>47451</v>
      </c>
      <c r="S15223" t="s">
        <v>48651</v>
      </c>
      <c r="T15223" t="s">
        <v>49111</v>
      </c>
      <c r="U15223" t="s">
        <v>62046</v>
      </c>
      <c r="W15223" t="s">
        <v>47331</v>
      </c>
      <c r="X15223" t="s">
        <v>47453</v>
      </c>
    </row>
    <row r="15224" spans="1:24">
      <c r="A15224">
        <f>HYPERLINK("https://www.philgeps.gov.ph/GEPSNONPILOT/Tender/SplashBidNoticeAbstractUI.aspx?menuIndex=3&amp;refID=7118532&amp;Result=3","7118532")</f>
        <v>0</v>
      </c>
      <c r="B15224" t="s">
        <v>3709</v>
      </c>
      <c r="C15224" t="s">
        <v>18324</v>
      </c>
      <c r="D15224" t="s">
        <v>19049</v>
      </c>
      <c r="E15224" t="s">
        <v>32187</v>
      </c>
      <c r="F15224" t="s">
        <v>32831</v>
      </c>
      <c r="G15224" t="s">
        <v>32839</v>
      </c>
      <c r="H15224" t="s">
        <v>32848</v>
      </c>
      <c r="I15224" t="s">
        <v>32931</v>
      </c>
      <c r="J15224" t="s">
        <v>42283</v>
      </c>
      <c r="K15224" t="s">
        <v>42726</v>
      </c>
      <c r="M15224" t="s">
        <v>47099</v>
      </c>
      <c r="N15224" t="s">
        <v>47424</v>
      </c>
      <c r="O15224" t="s">
        <v>47425</v>
      </c>
      <c r="P15224">
        <v>0</v>
      </c>
      <c r="Q15224">
        <v>3</v>
      </c>
      <c r="R15224" t="s">
        <v>47450</v>
      </c>
      <c r="S15224" t="s">
        <v>48614</v>
      </c>
      <c r="T15224" t="s">
        <v>49205</v>
      </c>
      <c r="U15224" t="s">
        <v>62047</v>
      </c>
      <c r="W15224" t="s">
        <v>47099</v>
      </c>
      <c r="X15224" t="s">
        <v>47451</v>
      </c>
    </row>
    <row r="15225" spans="1:24">
      <c r="A15225">
        <f>HYPERLINK("https://www.philgeps.gov.ph/GEPSNONPILOT/Tender/SplashBidNoticeAbstractUI.aspx?menuIndex=3&amp;refID=7112057&amp;Result=3","7112057")</f>
        <v>0</v>
      </c>
      <c r="B15225" t="s">
        <v>2350</v>
      </c>
      <c r="C15225" t="s">
        <v>18325</v>
      </c>
      <c r="D15225" t="s">
        <v>19018</v>
      </c>
      <c r="E15225" t="s">
        <v>32188</v>
      </c>
      <c r="F15225" t="s">
        <v>32831</v>
      </c>
      <c r="G15225" t="s">
        <v>32839</v>
      </c>
      <c r="H15225" t="s">
        <v>32848</v>
      </c>
      <c r="I15225" t="s">
        <v>32855</v>
      </c>
      <c r="J15225" t="s">
        <v>42284</v>
      </c>
      <c r="K15225" t="s">
        <v>42729</v>
      </c>
      <c r="M15225" t="s">
        <v>47331</v>
      </c>
      <c r="N15225" t="s">
        <v>47424</v>
      </c>
      <c r="O15225" t="s">
        <v>47425</v>
      </c>
      <c r="Q15225">
        <v>10</v>
      </c>
      <c r="R15225" t="s">
        <v>47451</v>
      </c>
      <c r="S15225" t="s">
        <v>48652</v>
      </c>
      <c r="T15225" t="s">
        <v>49111</v>
      </c>
      <c r="U15225" t="s">
        <v>62048</v>
      </c>
      <c r="W15225" t="s">
        <v>47331</v>
      </c>
      <c r="X15225" t="s">
        <v>47453</v>
      </c>
    </row>
    <row r="15226" spans="1:24">
      <c r="A15226">
        <f>HYPERLINK("https://www.philgeps.gov.ph/GEPSNONPILOT/Tender/SplashBidNoticeAbstractUI.aspx?menuIndex=3&amp;refID=7112215&amp;Result=3","7112215")</f>
        <v>0</v>
      </c>
      <c r="B15226" t="s">
        <v>3500</v>
      </c>
      <c r="C15226" t="s">
        <v>18326</v>
      </c>
      <c r="D15226" t="s">
        <v>19066</v>
      </c>
      <c r="E15226" t="s">
        <v>32189</v>
      </c>
      <c r="F15226" t="s">
        <v>32831</v>
      </c>
      <c r="G15226" t="s">
        <v>32839</v>
      </c>
      <c r="H15226" t="s">
        <v>32848</v>
      </c>
      <c r="I15226" t="s">
        <v>11484</v>
      </c>
      <c r="J15226" t="s">
        <v>32980</v>
      </c>
      <c r="K15226" t="s">
        <v>42730</v>
      </c>
      <c r="M15226" t="s">
        <v>46849</v>
      </c>
      <c r="N15226" t="s">
        <v>47424</v>
      </c>
      <c r="O15226" t="s">
        <v>47425</v>
      </c>
      <c r="P15226">
        <v>0</v>
      </c>
      <c r="Q15226">
        <v>1</v>
      </c>
      <c r="R15226" t="s">
        <v>47451</v>
      </c>
      <c r="S15226" t="s">
        <v>48651</v>
      </c>
      <c r="T15226" t="s">
        <v>49123</v>
      </c>
      <c r="U15226" t="s">
        <v>62049</v>
      </c>
      <c r="V15226" t="s">
        <v>62946</v>
      </c>
      <c r="W15226" t="s">
        <v>46849</v>
      </c>
      <c r="X15226" t="s">
        <v>47453</v>
      </c>
    </row>
    <row r="15227" spans="1:24">
      <c r="A15227">
        <f>HYPERLINK("https://www.philgeps.gov.ph/GEPSNONPILOT/Tender/SplashBidNoticeAbstractUI.aspx?menuIndex=3&amp;refID=7112129&amp;Result=3","7112129")</f>
        <v>0</v>
      </c>
      <c r="B15227" t="s">
        <v>2350</v>
      </c>
      <c r="C15227" t="s">
        <v>18327</v>
      </c>
      <c r="D15227" t="s">
        <v>19018</v>
      </c>
      <c r="E15227" t="s">
        <v>32190</v>
      </c>
      <c r="F15227" t="s">
        <v>32831</v>
      </c>
      <c r="G15227" t="s">
        <v>32839</v>
      </c>
      <c r="H15227" t="s">
        <v>32848</v>
      </c>
      <c r="I15227" t="s">
        <v>32855</v>
      </c>
      <c r="J15227" t="s">
        <v>42285</v>
      </c>
      <c r="K15227" t="s">
        <v>42729</v>
      </c>
      <c r="M15227" t="s">
        <v>47331</v>
      </c>
      <c r="N15227" t="s">
        <v>47424</v>
      </c>
      <c r="O15227" t="s">
        <v>47425</v>
      </c>
      <c r="P15227">
        <v>0</v>
      </c>
      <c r="Q15227">
        <v>2</v>
      </c>
      <c r="R15227" t="s">
        <v>47451</v>
      </c>
      <c r="S15227" t="s">
        <v>48651</v>
      </c>
      <c r="T15227" t="s">
        <v>49111</v>
      </c>
      <c r="U15227" t="s">
        <v>62050</v>
      </c>
      <c r="W15227" t="s">
        <v>47331</v>
      </c>
      <c r="X15227" t="s">
        <v>47453</v>
      </c>
    </row>
    <row r="15228" spans="1:24">
      <c r="A15228">
        <f>HYPERLINK("https://www.philgeps.gov.ph/GEPSNONPILOT/Tender/SplashBidNoticeAbstractUI.aspx?menuIndex=3&amp;refID=7111929&amp;Result=3","7111929")</f>
        <v>0</v>
      </c>
      <c r="B15228" t="s">
        <v>2350</v>
      </c>
      <c r="C15228" t="s">
        <v>18328</v>
      </c>
      <c r="D15228" t="s">
        <v>19018</v>
      </c>
      <c r="E15228" t="s">
        <v>32191</v>
      </c>
      <c r="F15228" t="s">
        <v>32831</v>
      </c>
      <c r="G15228" t="s">
        <v>32839</v>
      </c>
      <c r="H15228" t="s">
        <v>32848</v>
      </c>
      <c r="I15228" t="s">
        <v>32879</v>
      </c>
      <c r="J15228" t="s">
        <v>42286</v>
      </c>
      <c r="K15228" t="s">
        <v>42729</v>
      </c>
      <c r="M15228" t="s">
        <v>47331</v>
      </c>
      <c r="N15228" t="s">
        <v>47424</v>
      </c>
      <c r="O15228" t="s">
        <v>47425</v>
      </c>
      <c r="Q15228">
        <v>15</v>
      </c>
      <c r="R15228" t="s">
        <v>47451</v>
      </c>
      <c r="S15228" t="s">
        <v>48653</v>
      </c>
      <c r="T15228" t="s">
        <v>49111</v>
      </c>
      <c r="U15228" t="s">
        <v>62051</v>
      </c>
      <c r="W15228" t="s">
        <v>47331</v>
      </c>
      <c r="X15228" t="s">
        <v>47453</v>
      </c>
    </row>
    <row r="15229" spans="1:24">
      <c r="A15229">
        <f>HYPERLINK("https://www.philgeps.gov.ph/GEPSNONPILOT/Tender/SplashBidNoticeAbstractUI.aspx?menuIndex=3&amp;refID=7111469&amp;Result=3","7111469")</f>
        <v>0</v>
      </c>
      <c r="B15229" t="s">
        <v>99</v>
      </c>
      <c r="C15229" t="s">
        <v>18329</v>
      </c>
      <c r="D15229" t="s">
        <v>19054</v>
      </c>
      <c r="E15229" t="s">
        <v>32192</v>
      </c>
      <c r="F15229" t="s">
        <v>32831</v>
      </c>
      <c r="G15229" t="s">
        <v>32839</v>
      </c>
      <c r="H15229" t="s">
        <v>32848</v>
      </c>
      <c r="I15229" t="s">
        <v>11727</v>
      </c>
      <c r="J15229" t="s">
        <v>42287</v>
      </c>
      <c r="K15229" t="s">
        <v>42730</v>
      </c>
      <c r="M15229" t="s">
        <v>43171</v>
      </c>
      <c r="N15229" t="s">
        <v>47424</v>
      </c>
      <c r="O15229" t="s">
        <v>47425</v>
      </c>
      <c r="P15229">
        <v>0</v>
      </c>
      <c r="Q15229">
        <v>6</v>
      </c>
      <c r="R15229" t="s">
        <v>47451</v>
      </c>
      <c r="S15229" t="s">
        <v>48651</v>
      </c>
      <c r="T15229" t="s">
        <v>49111</v>
      </c>
      <c r="U15229" t="s">
        <v>56583</v>
      </c>
      <c r="V15229" t="s">
        <v>62643</v>
      </c>
      <c r="W15229" t="s">
        <v>43171</v>
      </c>
      <c r="X15229" t="s">
        <v>47453</v>
      </c>
    </row>
    <row r="15230" spans="1:24">
      <c r="A15230">
        <f>HYPERLINK("https://www.philgeps.gov.ph/GEPSNONPILOT/Tender/SplashBidNoticeAbstractUI.aspx?menuIndex=3&amp;refID=7112009&amp;Result=3","7112009")</f>
        <v>0</v>
      </c>
      <c r="B15230" t="s">
        <v>2350</v>
      </c>
      <c r="C15230" t="s">
        <v>18330</v>
      </c>
      <c r="D15230" t="s">
        <v>19018</v>
      </c>
      <c r="E15230" t="s">
        <v>32193</v>
      </c>
      <c r="F15230" t="s">
        <v>32831</v>
      </c>
      <c r="G15230" t="s">
        <v>32839</v>
      </c>
      <c r="H15230" t="s">
        <v>32848</v>
      </c>
      <c r="I15230" t="s">
        <v>32855</v>
      </c>
      <c r="J15230" t="s">
        <v>34100</v>
      </c>
      <c r="K15230" t="s">
        <v>42729</v>
      </c>
      <c r="M15230" t="s">
        <v>47331</v>
      </c>
      <c r="N15230" t="s">
        <v>47424</v>
      </c>
      <c r="O15230" t="s">
        <v>47425</v>
      </c>
      <c r="P15230">
        <v>0</v>
      </c>
      <c r="Q15230">
        <v>3</v>
      </c>
      <c r="R15230" t="s">
        <v>47451</v>
      </c>
      <c r="S15230" t="s">
        <v>48651</v>
      </c>
      <c r="T15230" t="s">
        <v>49111</v>
      </c>
      <c r="U15230" t="s">
        <v>62052</v>
      </c>
      <c r="W15230" t="s">
        <v>47331</v>
      </c>
      <c r="X15230" t="s">
        <v>47453</v>
      </c>
    </row>
    <row r="15231" spans="1:24">
      <c r="A15231">
        <f>HYPERLINK("https://www.philgeps.gov.ph/GEPSNONPILOT/Tender/SplashBidNoticeAbstractUI.aspx?menuIndex=3&amp;refID=7117843&amp;Result=3","7117843")</f>
        <v>0</v>
      </c>
      <c r="B15231" t="s">
        <v>113</v>
      </c>
      <c r="C15231" t="s">
        <v>18331</v>
      </c>
      <c r="D15231" t="s">
        <v>19027</v>
      </c>
      <c r="E15231" t="s">
        <v>32194</v>
      </c>
      <c r="F15231" t="s">
        <v>32831</v>
      </c>
      <c r="G15231" t="s">
        <v>32839</v>
      </c>
      <c r="H15231" t="s">
        <v>32850</v>
      </c>
      <c r="I15231" t="s">
        <v>4487</v>
      </c>
      <c r="J15231" t="s">
        <v>38910</v>
      </c>
      <c r="K15231" t="s">
        <v>42763</v>
      </c>
      <c r="M15231" t="s">
        <v>47312</v>
      </c>
      <c r="N15231" t="s">
        <v>47424</v>
      </c>
      <c r="O15231" t="s">
        <v>47425</v>
      </c>
      <c r="Q15231">
        <v>21</v>
      </c>
      <c r="R15231" t="s">
        <v>47448</v>
      </c>
      <c r="S15231" t="s">
        <v>48654</v>
      </c>
      <c r="T15231" t="s">
        <v>49665</v>
      </c>
      <c r="U15231" t="s">
        <v>62053</v>
      </c>
      <c r="V15231" t="s">
        <v>64325</v>
      </c>
      <c r="W15231" t="s">
        <v>47312</v>
      </c>
      <c r="X15231" t="s">
        <v>47451</v>
      </c>
    </row>
    <row r="15232" spans="1:24">
      <c r="A15232">
        <f>HYPERLINK("https://www.philgeps.gov.ph/GEPSNONPILOT/Tender/SplashBidNoticeAbstractUI.aspx?menuIndex=3&amp;refID=7111877&amp;Result=3","7111877")</f>
        <v>0</v>
      </c>
      <c r="B15232" t="s">
        <v>2350</v>
      </c>
      <c r="C15232" t="s">
        <v>18332</v>
      </c>
      <c r="D15232" t="s">
        <v>19018</v>
      </c>
      <c r="E15232" t="s">
        <v>32195</v>
      </c>
      <c r="F15232" t="s">
        <v>32831</v>
      </c>
      <c r="G15232" t="s">
        <v>32839</v>
      </c>
      <c r="H15232" t="s">
        <v>32848</v>
      </c>
      <c r="I15232" t="s">
        <v>32912</v>
      </c>
      <c r="J15232" t="s">
        <v>35093</v>
      </c>
      <c r="K15232" t="s">
        <v>42729</v>
      </c>
      <c r="M15232" t="s">
        <v>47331</v>
      </c>
      <c r="N15232" t="s">
        <v>47424</v>
      </c>
      <c r="O15232" t="s">
        <v>47425</v>
      </c>
      <c r="P15232">
        <v>0</v>
      </c>
      <c r="Q15232">
        <v>1</v>
      </c>
      <c r="R15232" t="s">
        <v>47451</v>
      </c>
      <c r="S15232" t="s">
        <v>48651</v>
      </c>
      <c r="T15232" t="s">
        <v>49111</v>
      </c>
      <c r="U15232" t="s">
        <v>62054</v>
      </c>
      <c r="W15232" t="s">
        <v>47331</v>
      </c>
      <c r="X15232" t="s">
        <v>47453</v>
      </c>
    </row>
    <row r="15233" spans="1:24">
      <c r="A15233">
        <f>HYPERLINK("https://www.philgeps.gov.ph/GEPSNONPILOT/Tender/SplashBidNoticeAbstractUI.aspx?menuIndex=3&amp;refID=7111434&amp;Result=3","7111434")</f>
        <v>0</v>
      </c>
      <c r="B15233" t="s">
        <v>99</v>
      </c>
      <c r="C15233" t="s">
        <v>18333</v>
      </c>
      <c r="D15233" t="s">
        <v>19054</v>
      </c>
      <c r="E15233" t="s">
        <v>32196</v>
      </c>
      <c r="F15233" t="s">
        <v>32831</v>
      </c>
      <c r="G15233" t="s">
        <v>32839</v>
      </c>
      <c r="H15233" t="s">
        <v>32848</v>
      </c>
      <c r="I15233" t="s">
        <v>32871</v>
      </c>
      <c r="J15233" t="s">
        <v>33111</v>
      </c>
      <c r="K15233" t="s">
        <v>42730</v>
      </c>
      <c r="M15233" t="s">
        <v>43171</v>
      </c>
      <c r="N15233" t="s">
        <v>47424</v>
      </c>
      <c r="O15233" t="s">
        <v>47425</v>
      </c>
      <c r="P15233">
        <v>0</v>
      </c>
      <c r="Q15233">
        <v>26</v>
      </c>
      <c r="R15233" t="s">
        <v>47451</v>
      </c>
      <c r="S15233" t="s">
        <v>48651</v>
      </c>
      <c r="T15233" t="s">
        <v>49111</v>
      </c>
      <c r="U15233" t="s">
        <v>56583</v>
      </c>
      <c r="V15233" t="s">
        <v>62643</v>
      </c>
      <c r="W15233" t="s">
        <v>43171</v>
      </c>
      <c r="X15233" t="s">
        <v>47453</v>
      </c>
    </row>
    <row r="15234" spans="1:24">
      <c r="A15234">
        <f>HYPERLINK("https://www.philgeps.gov.ph/GEPSNONPILOT/Tender/SplashBidNoticeAbstractUI.aspx?menuIndex=3&amp;refID=7117617&amp;Result=3","7117617")</f>
        <v>0</v>
      </c>
      <c r="B15234" t="s">
        <v>113</v>
      </c>
      <c r="C15234" t="s">
        <v>18334</v>
      </c>
      <c r="D15234" t="s">
        <v>19027</v>
      </c>
      <c r="E15234" t="s">
        <v>32197</v>
      </c>
      <c r="F15234" t="s">
        <v>32831</v>
      </c>
      <c r="G15234" t="s">
        <v>32839</v>
      </c>
      <c r="H15234" t="s">
        <v>32850</v>
      </c>
      <c r="I15234" t="s">
        <v>32871</v>
      </c>
      <c r="J15234" t="s">
        <v>34860</v>
      </c>
      <c r="K15234" t="s">
        <v>42763</v>
      </c>
      <c r="M15234" t="s">
        <v>47312</v>
      </c>
      <c r="N15234" t="s">
        <v>47424</v>
      </c>
      <c r="O15234" t="s">
        <v>47425</v>
      </c>
      <c r="Q15234">
        <v>21</v>
      </c>
      <c r="R15234" t="s">
        <v>47448</v>
      </c>
      <c r="S15234" t="s">
        <v>48344</v>
      </c>
      <c r="T15234" t="s">
        <v>49665</v>
      </c>
      <c r="U15234" t="s">
        <v>62055</v>
      </c>
      <c r="V15234" t="s">
        <v>64325</v>
      </c>
      <c r="W15234" t="s">
        <v>47312</v>
      </c>
      <c r="X15234" t="s">
        <v>47451</v>
      </c>
    </row>
    <row r="15235" spans="1:24">
      <c r="A15235">
        <f>HYPERLINK("https://www.philgeps.gov.ph/GEPSNONPILOT/Tender/SplashBidNoticeAbstractUI.aspx?menuIndex=3&amp;refID=7110763&amp;Result=3","7110763")</f>
        <v>0</v>
      </c>
      <c r="B15235" t="s">
        <v>3695</v>
      </c>
      <c r="C15235" t="s">
        <v>18335</v>
      </c>
      <c r="E15235" t="s">
        <v>32198</v>
      </c>
      <c r="F15235" t="s">
        <v>32831</v>
      </c>
      <c r="G15235" t="s">
        <v>32839</v>
      </c>
      <c r="H15235" t="s">
        <v>32849</v>
      </c>
      <c r="I15235" t="s">
        <v>4177</v>
      </c>
      <c r="J15235" t="s">
        <v>33118</v>
      </c>
      <c r="K15235" t="s">
        <v>42763</v>
      </c>
      <c r="M15235" t="s">
        <v>47080</v>
      </c>
      <c r="N15235" t="s">
        <v>47424</v>
      </c>
      <c r="O15235" t="s">
        <v>47425</v>
      </c>
      <c r="P15235">
        <v>0</v>
      </c>
      <c r="Q15235">
        <v>1</v>
      </c>
      <c r="R15235" t="s">
        <v>47451</v>
      </c>
      <c r="S15235" t="s">
        <v>48651</v>
      </c>
      <c r="T15235" t="s">
        <v>49237</v>
      </c>
      <c r="U15235" t="s">
        <v>62056</v>
      </c>
      <c r="W15235" t="s">
        <v>47080</v>
      </c>
      <c r="X15235" t="s">
        <v>47453</v>
      </c>
    </row>
    <row r="15236" spans="1:24">
      <c r="A15236">
        <f>HYPERLINK("https://www.philgeps.gov.ph/GEPSNONPILOT/Tender/SplashBidNoticeAbstractUI.aspx?menuIndex=3&amp;refID=7110554&amp;Result=3","7110554")</f>
        <v>0</v>
      </c>
      <c r="B15236" t="s">
        <v>1258</v>
      </c>
      <c r="C15236" t="s">
        <v>18336</v>
      </c>
      <c r="D15236" t="s">
        <v>19017</v>
      </c>
      <c r="E15236" t="s">
        <v>32199</v>
      </c>
      <c r="F15236" t="s">
        <v>32831</v>
      </c>
      <c r="G15236" t="s">
        <v>32839</v>
      </c>
      <c r="H15236" t="s">
        <v>32848</v>
      </c>
      <c r="I15236" t="s">
        <v>32863</v>
      </c>
      <c r="J15236" t="s">
        <v>42288</v>
      </c>
      <c r="K15236" t="s">
        <v>42779</v>
      </c>
      <c r="M15236" t="s">
        <v>44328</v>
      </c>
      <c r="N15236" t="s">
        <v>47424</v>
      </c>
      <c r="O15236" t="s">
        <v>47425</v>
      </c>
      <c r="Q15236">
        <v>3</v>
      </c>
      <c r="R15236" t="s">
        <v>47451</v>
      </c>
      <c r="S15236" t="s">
        <v>48655</v>
      </c>
      <c r="T15236" t="s">
        <v>49111</v>
      </c>
      <c r="U15236" t="s">
        <v>62057</v>
      </c>
      <c r="W15236" t="s">
        <v>44328</v>
      </c>
      <c r="X15236" t="s">
        <v>47453</v>
      </c>
    </row>
    <row r="15237" spans="1:24">
      <c r="A15237">
        <f>HYPERLINK("https://www.philgeps.gov.ph/GEPSNONPILOT/Tender/SplashBidNoticeAbstractUI.aspx?menuIndex=3&amp;refID=7108915&amp;Result=3","7108915")</f>
        <v>0</v>
      </c>
      <c r="B15237" t="s">
        <v>1435</v>
      </c>
      <c r="C15237" t="s">
        <v>18337</v>
      </c>
      <c r="D15237" t="s">
        <v>19020</v>
      </c>
      <c r="E15237" t="s">
        <v>32200</v>
      </c>
      <c r="F15237" t="s">
        <v>32831</v>
      </c>
      <c r="G15237" t="s">
        <v>32839</v>
      </c>
      <c r="H15237" t="s">
        <v>32849</v>
      </c>
      <c r="I15237" t="s">
        <v>4177</v>
      </c>
      <c r="J15237" t="s">
        <v>33707</v>
      </c>
      <c r="K15237" t="s">
        <v>42785</v>
      </c>
      <c r="M15237" t="s">
        <v>47281</v>
      </c>
      <c r="N15237" t="s">
        <v>47424</v>
      </c>
      <c r="O15237" t="s">
        <v>47425</v>
      </c>
      <c r="Q15237">
        <v>16</v>
      </c>
      <c r="R15237" t="s">
        <v>47451</v>
      </c>
      <c r="S15237" t="s">
        <v>48656</v>
      </c>
      <c r="T15237" t="s">
        <v>49077</v>
      </c>
      <c r="U15237" t="s">
        <v>62058</v>
      </c>
      <c r="W15237" t="s">
        <v>47281</v>
      </c>
      <c r="X15237" t="s">
        <v>47454</v>
      </c>
    </row>
    <row r="15238" spans="1:24">
      <c r="A15238">
        <f>HYPERLINK("https://www.philgeps.gov.ph/GEPSNONPILOT/Tender/SplashBidNoticeAbstractUI.aspx?menuIndex=3&amp;refID=7108850&amp;Result=3","7108850")</f>
        <v>0</v>
      </c>
      <c r="B15238" t="s">
        <v>1435</v>
      </c>
      <c r="C15238" t="s">
        <v>18338</v>
      </c>
      <c r="E15238" t="s">
        <v>32201</v>
      </c>
      <c r="F15238" t="s">
        <v>32831</v>
      </c>
      <c r="G15238" t="s">
        <v>32839</v>
      </c>
      <c r="H15238" t="s">
        <v>32848</v>
      </c>
      <c r="I15238" t="s">
        <v>32856</v>
      </c>
      <c r="J15238" t="s">
        <v>34530</v>
      </c>
      <c r="K15238" t="s">
        <v>42747</v>
      </c>
      <c r="M15238" t="s">
        <v>47281</v>
      </c>
      <c r="N15238" t="s">
        <v>47424</v>
      </c>
      <c r="O15238" t="s">
        <v>47425</v>
      </c>
      <c r="Q15238">
        <v>21</v>
      </c>
      <c r="R15238" t="s">
        <v>47451</v>
      </c>
      <c r="S15238" t="s">
        <v>48657</v>
      </c>
      <c r="T15238" t="s">
        <v>49236</v>
      </c>
      <c r="U15238" t="s">
        <v>62058</v>
      </c>
      <c r="W15238" t="s">
        <v>47281</v>
      </c>
      <c r="X15238" t="s">
        <v>47454</v>
      </c>
    </row>
    <row r="15239" spans="1:24">
      <c r="A15239">
        <f>HYPERLINK("https://www.philgeps.gov.ph/GEPSNONPILOT/Tender/SplashBidNoticeAbstractUI.aspx?menuIndex=3&amp;refID=7110635&amp;Result=3","7110635")</f>
        <v>0</v>
      </c>
      <c r="B15239" t="s">
        <v>2239</v>
      </c>
      <c r="C15239" t="s">
        <v>18339</v>
      </c>
      <c r="D15239" t="s">
        <v>19061</v>
      </c>
      <c r="E15239" t="s">
        <v>32202</v>
      </c>
      <c r="F15239" t="s">
        <v>32831</v>
      </c>
      <c r="G15239" t="s">
        <v>32839</v>
      </c>
      <c r="H15239" t="s">
        <v>32848</v>
      </c>
      <c r="I15239" t="s">
        <v>4303</v>
      </c>
      <c r="J15239" t="s">
        <v>42289</v>
      </c>
      <c r="K15239" t="s">
        <v>42730</v>
      </c>
      <c r="M15239" t="s">
        <v>46308</v>
      </c>
      <c r="N15239" t="s">
        <v>47424</v>
      </c>
      <c r="O15239" t="s">
        <v>47425</v>
      </c>
      <c r="P15239">
        <v>0</v>
      </c>
      <c r="Q15239">
        <v>2</v>
      </c>
      <c r="R15239" t="s">
        <v>47451</v>
      </c>
      <c r="S15239" t="s">
        <v>48651</v>
      </c>
      <c r="T15239" t="s">
        <v>49239</v>
      </c>
      <c r="U15239" t="s">
        <v>62059</v>
      </c>
      <c r="W15239" t="s">
        <v>46308</v>
      </c>
      <c r="X15239" t="s">
        <v>47453</v>
      </c>
    </row>
    <row r="15240" spans="1:24">
      <c r="A15240">
        <f>HYPERLINK("https://www.philgeps.gov.ph/GEPSNONPILOT/Tender/SplashBidNoticeAbstractUI.aspx?menuIndex=3&amp;refID=7110945&amp;Result=3","7110945")</f>
        <v>0</v>
      </c>
      <c r="B15240" t="s">
        <v>124</v>
      </c>
      <c r="C15240" t="s">
        <v>18340</v>
      </c>
      <c r="D15240" t="s">
        <v>19061</v>
      </c>
      <c r="E15240" t="s">
        <v>18340</v>
      </c>
      <c r="F15240" t="s">
        <v>32831</v>
      </c>
      <c r="G15240" t="s">
        <v>32839</v>
      </c>
      <c r="H15240" t="s">
        <v>32849</v>
      </c>
      <c r="I15240" t="s">
        <v>4177</v>
      </c>
      <c r="J15240" t="s">
        <v>42290</v>
      </c>
      <c r="K15240" t="s">
        <v>42763</v>
      </c>
      <c r="M15240" t="s">
        <v>43121</v>
      </c>
      <c r="N15240" t="s">
        <v>47424</v>
      </c>
      <c r="O15240" t="s">
        <v>47425</v>
      </c>
      <c r="P15240">
        <v>0</v>
      </c>
      <c r="Q15240">
        <v>5</v>
      </c>
      <c r="R15240" t="s">
        <v>47451</v>
      </c>
      <c r="S15240" t="s">
        <v>48651</v>
      </c>
      <c r="T15240" t="s">
        <v>49237</v>
      </c>
      <c r="U15240" t="s">
        <v>62060</v>
      </c>
      <c r="W15240" t="s">
        <v>43121</v>
      </c>
      <c r="X15240" t="s">
        <v>47453</v>
      </c>
    </row>
    <row r="15241" spans="1:24">
      <c r="A15241">
        <f>HYPERLINK("https://www.philgeps.gov.ph/GEPSNONPILOT/Tender/SplashBidNoticeAbstractUI.aspx?menuIndex=3&amp;refID=7108768&amp;Result=3","7108768")</f>
        <v>0</v>
      </c>
      <c r="B15241" t="s">
        <v>1435</v>
      </c>
      <c r="C15241" t="s">
        <v>18341</v>
      </c>
      <c r="D15241" t="s">
        <v>19017</v>
      </c>
      <c r="E15241" t="s">
        <v>32203</v>
      </c>
      <c r="F15241" t="s">
        <v>32831</v>
      </c>
      <c r="G15241" t="s">
        <v>32839</v>
      </c>
      <c r="H15241" t="s">
        <v>32848</v>
      </c>
      <c r="I15241" t="s">
        <v>32874</v>
      </c>
      <c r="J15241" t="s">
        <v>33297</v>
      </c>
      <c r="K15241" t="s">
        <v>42747</v>
      </c>
      <c r="M15241" t="s">
        <v>47281</v>
      </c>
      <c r="N15241" t="s">
        <v>47424</v>
      </c>
      <c r="O15241" t="s">
        <v>47425</v>
      </c>
      <c r="Q15241">
        <v>24</v>
      </c>
      <c r="R15241" t="s">
        <v>47451</v>
      </c>
      <c r="S15241" t="s">
        <v>48658</v>
      </c>
      <c r="T15241" t="s">
        <v>49221</v>
      </c>
      <c r="U15241" t="s">
        <v>62058</v>
      </c>
      <c r="W15241" t="s">
        <v>47281</v>
      </c>
      <c r="X15241" t="s">
        <v>47454</v>
      </c>
    </row>
    <row r="15242" spans="1:24">
      <c r="A15242">
        <f>HYPERLINK("https://www.philgeps.gov.ph/GEPSNONPILOT/Tender/SplashBidNoticeAbstractUI.aspx?menuIndex=3&amp;refID=7118680&amp;Result=3","7118680")</f>
        <v>0</v>
      </c>
      <c r="B15242" t="s">
        <v>2557</v>
      </c>
      <c r="C15242" t="s">
        <v>18342</v>
      </c>
      <c r="D15242" t="s">
        <v>19045</v>
      </c>
      <c r="E15242" t="s">
        <v>32204</v>
      </c>
      <c r="F15242" t="s">
        <v>32831</v>
      </c>
      <c r="G15242" t="s">
        <v>32839</v>
      </c>
      <c r="H15242" t="s">
        <v>32849</v>
      </c>
      <c r="I15242" t="s">
        <v>4177</v>
      </c>
      <c r="J15242" t="s">
        <v>42291</v>
      </c>
      <c r="K15242" t="s">
        <v>42729</v>
      </c>
      <c r="M15242" t="s">
        <v>45769</v>
      </c>
      <c r="N15242" t="s">
        <v>47424</v>
      </c>
      <c r="O15242" t="s">
        <v>47425</v>
      </c>
      <c r="P15242">
        <v>0</v>
      </c>
      <c r="Q15242">
        <v>1</v>
      </c>
      <c r="R15242" t="s">
        <v>47450</v>
      </c>
      <c r="S15242" t="s">
        <v>48614</v>
      </c>
      <c r="T15242" t="s">
        <v>49212</v>
      </c>
      <c r="U15242" t="s">
        <v>62061</v>
      </c>
      <c r="W15242" t="s">
        <v>45769</v>
      </c>
      <c r="X15242" t="s">
        <v>47451</v>
      </c>
    </row>
    <row r="15243" spans="1:24">
      <c r="A15243">
        <f>HYPERLINK("https://www.philgeps.gov.ph/GEPSNONPILOT/Tender/SplashBidNoticeAbstractUI.aspx?menuIndex=3&amp;refID=7117445&amp;Result=3","7117445")</f>
        <v>0</v>
      </c>
      <c r="B15243" t="s">
        <v>169</v>
      </c>
      <c r="C15243" t="s">
        <v>18343</v>
      </c>
      <c r="D15243" t="s">
        <v>19022</v>
      </c>
      <c r="E15243" t="s">
        <v>32205</v>
      </c>
      <c r="F15243" t="s">
        <v>32831</v>
      </c>
      <c r="G15243" t="s">
        <v>32839</v>
      </c>
      <c r="H15243" t="s">
        <v>32848</v>
      </c>
      <c r="I15243" t="s">
        <v>4776</v>
      </c>
      <c r="J15243" t="s">
        <v>33297</v>
      </c>
      <c r="K15243" t="s">
        <v>42730</v>
      </c>
      <c r="M15243" t="s">
        <v>43166</v>
      </c>
      <c r="N15243" t="s">
        <v>47424</v>
      </c>
      <c r="O15243" t="s">
        <v>47425</v>
      </c>
      <c r="P15243">
        <v>0</v>
      </c>
      <c r="Q15243">
        <v>14</v>
      </c>
      <c r="R15243" t="s">
        <v>47448</v>
      </c>
      <c r="S15243" t="s">
        <v>48555</v>
      </c>
      <c r="T15243" t="s">
        <v>49538</v>
      </c>
      <c r="U15243" t="s">
        <v>61861</v>
      </c>
      <c r="W15243" t="s">
        <v>43166</v>
      </c>
      <c r="X15243" t="s">
        <v>47451</v>
      </c>
    </row>
    <row r="15244" spans="1:24">
      <c r="A15244">
        <f>HYPERLINK("https://www.philgeps.gov.ph/GEPSNONPILOT/Tender/SplashBidNoticeAbstractUI.aspx?menuIndex=3&amp;refID=7110811&amp;Result=3","7110811")</f>
        <v>0</v>
      </c>
      <c r="B15244" t="s">
        <v>3695</v>
      </c>
      <c r="C15244" t="s">
        <v>6330</v>
      </c>
      <c r="D15244" t="s">
        <v>19077</v>
      </c>
      <c r="E15244" t="s">
        <v>32206</v>
      </c>
      <c r="F15244" t="s">
        <v>32831</v>
      </c>
      <c r="G15244" t="s">
        <v>32839</v>
      </c>
      <c r="H15244" t="s">
        <v>32849</v>
      </c>
      <c r="I15244" t="s">
        <v>4177</v>
      </c>
      <c r="J15244" t="s">
        <v>33083</v>
      </c>
      <c r="K15244" t="s">
        <v>42763</v>
      </c>
      <c r="M15244" t="s">
        <v>47080</v>
      </c>
      <c r="N15244" t="s">
        <v>47424</v>
      </c>
      <c r="O15244" t="s">
        <v>47425</v>
      </c>
      <c r="P15244">
        <v>0</v>
      </c>
      <c r="Q15244">
        <v>1</v>
      </c>
      <c r="R15244" t="s">
        <v>47451</v>
      </c>
      <c r="S15244" t="s">
        <v>48651</v>
      </c>
      <c r="T15244" t="s">
        <v>49237</v>
      </c>
      <c r="U15244" t="s">
        <v>62062</v>
      </c>
      <c r="W15244" t="s">
        <v>47080</v>
      </c>
      <c r="X15244" t="s">
        <v>47453</v>
      </c>
    </row>
    <row r="15245" spans="1:24">
      <c r="A15245">
        <f>HYPERLINK("https://www.philgeps.gov.ph/GEPSNONPILOT/Tender/SplashBidNoticeAbstractUI.aspx?menuIndex=3&amp;refID=7111413&amp;Result=3","7111413")</f>
        <v>0</v>
      </c>
      <c r="B15245" t="s">
        <v>99</v>
      </c>
      <c r="C15245" t="s">
        <v>18344</v>
      </c>
      <c r="D15245" t="s">
        <v>19054</v>
      </c>
      <c r="E15245" t="s">
        <v>32207</v>
      </c>
      <c r="F15245" t="s">
        <v>32831</v>
      </c>
      <c r="G15245" t="s">
        <v>32839</v>
      </c>
      <c r="H15245" t="s">
        <v>32848</v>
      </c>
      <c r="I15245" t="s">
        <v>4558</v>
      </c>
      <c r="J15245" t="s">
        <v>42292</v>
      </c>
      <c r="K15245" t="s">
        <v>42730</v>
      </c>
      <c r="M15245" t="s">
        <v>43171</v>
      </c>
      <c r="N15245" t="s">
        <v>47424</v>
      </c>
      <c r="O15245" t="s">
        <v>47425</v>
      </c>
      <c r="P15245">
        <v>0</v>
      </c>
      <c r="Q15245">
        <v>5</v>
      </c>
      <c r="R15245" t="s">
        <v>47451</v>
      </c>
      <c r="S15245" t="s">
        <v>48651</v>
      </c>
      <c r="T15245" t="s">
        <v>49111</v>
      </c>
      <c r="U15245" t="s">
        <v>56583</v>
      </c>
      <c r="V15245" t="s">
        <v>62643</v>
      </c>
      <c r="W15245" t="s">
        <v>43171</v>
      </c>
      <c r="X15245" t="s">
        <v>47453</v>
      </c>
    </row>
    <row r="15246" spans="1:24">
      <c r="A15246">
        <f>HYPERLINK("https://www.philgeps.gov.ph/GEPSNONPILOT/Tender/SplashBidNoticeAbstractUI.aspx?menuIndex=3&amp;refID=7122736&amp;Result=3","7122736")</f>
        <v>0</v>
      </c>
      <c r="B15246" t="s">
        <v>3864</v>
      </c>
      <c r="C15246" t="s">
        <v>18345</v>
      </c>
      <c r="D15246" t="s">
        <v>19017</v>
      </c>
      <c r="E15246" t="s">
        <v>32208</v>
      </c>
      <c r="F15246" t="s">
        <v>32831</v>
      </c>
      <c r="G15246" t="s">
        <v>32839</v>
      </c>
      <c r="H15246" t="s">
        <v>32848</v>
      </c>
      <c r="I15246" t="s">
        <v>32860</v>
      </c>
      <c r="J15246" t="s">
        <v>42293</v>
      </c>
      <c r="K15246" t="s">
        <v>42732</v>
      </c>
      <c r="M15246" t="s">
        <v>47305</v>
      </c>
      <c r="N15246" t="s">
        <v>47424</v>
      </c>
      <c r="O15246" t="s">
        <v>47425</v>
      </c>
      <c r="Q15246">
        <v>7</v>
      </c>
      <c r="R15246" t="s">
        <v>47447</v>
      </c>
      <c r="S15246" t="s">
        <v>48659</v>
      </c>
      <c r="T15246" t="s">
        <v>49148</v>
      </c>
      <c r="U15246" t="s">
        <v>62063</v>
      </c>
      <c r="V15246" t="s">
        <v>64320</v>
      </c>
      <c r="W15246" t="s">
        <v>47305</v>
      </c>
      <c r="X15246" t="s">
        <v>47448</v>
      </c>
    </row>
    <row r="15247" spans="1:24">
      <c r="A15247">
        <f>HYPERLINK("https://www.philgeps.gov.ph/GEPSNONPILOT/Tender/SplashBidNoticeAbstractUI.aspx?menuIndex=3&amp;refID=7122704&amp;Result=3","7122704")</f>
        <v>0</v>
      </c>
      <c r="B15247" t="s">
        <v>808</v>
      </c>
      <c r="C15247" t="s">
        <v>18346</v>
      </c>
      <c r="D15247" t="s">
        <v>19017</v>
      </c>
      <c r="E15247" t="s">
        <v>24556</v>
      </c>
      <c r="F15247" t="s">
        <v>32831</v>
      </c>
      <c r="G15247" t="s">
        <v>32839</v>
      </c>
      <c r="H15247" t="s">
        <v>32848</v>
      </c>
      <c r="I15247" t="s">
        <v>32880</v>
      </c>
      <c r="J15247" t="s">
        <v>42294</v>
      </c>
      <c r="K15247" t="s">
        <v>42730</v>
      </c>
      <c r="M15247" t="s">
        <v>43839</v>
      </c>
      <c r="N15247" t="s">
        <v>47424</v>
      </c>
      <c r="O15247" t="s">
        <v>47425</v>
      </c>
      <c r="P15247">
        <v>0</v>
      </c>
      <c r="Q15247">
        <v>3</v>
      </c>
      <c r="R15247" t="s">
        <v>47447</v>
      </c>
      <c r="S15247" t="s">
        <v>48494</v>
      </c>
      <c r="T15247" t="s">
        <v>49670</v>
      </c>
      <c r="U15247" t="s">
        <v>62064</v>
      </c>
      <c r="V15247" t="s">
        <v>62816</v>
      </c>
      <c r="W15247" t="s">
        <v>43839</v>
      </c>
      <c r="X15247" t="s">
        <v>47448</v>
      </c>
    </row>
    <row r="15248" spans="1:24">
      <c r="A15248">
        <f>HYPERLINK("https://www.philgeps.gov.ph/GEPSNONPILOT/Tender/SplashBidNoticeAbstractUI.aspx?menuIndex=3&amp;refID=7110013&amp;Result=3","7110013")</f>
        <v>0</v>
      </c>
      <c r="B15248" t="s">
        <v>3880</v>
      </c>
      <c r="C15248" t="s">
        <v>18347</v>
      </c>
      <c r="D15248" t="s">
        <v>19020</v>
      </c>
      <c r="E15248" t="s">
        <v>19203</v>
      </c>
      <c r="F15248" t="s">
        <v>32831</v>
      </c>
      <c r="G15248" t="s">
        <v>32839</v>
      </c>
      <c r="H15248" t="s">
        <v>32849</v>
      </c>
      <c r="I15248" t="s">
        <v>32899</v>
      </c>
      <c r="J15248" t="s">
        <v>42295</v>
      </c>
      <c r="K15248" t="s">
        <v>42961</v>
      </c>
      <c r="M15248" t="s">
        <v>47332</v>
      </c>
      <c r="N15248" t="s">
        <v>47424</v>
      </c>
      <c r="O15248" t="s">
        <v>47425</v>
      </c>
      <c r="Q15248">
        <v>7</v>
      </c>
      <c r="R15248" t="s">
        <v>47451</v>
      </c>
      <c r="S15248" t="s">
        <v>48660</v>
      </c>
      <c r="T15248" t="s">
        <v>49328</v>
      </c>
      <c r="U15248" t="s">
        <v>62065</v>
      </c>
      <c r="V15248" t="s">
        <v>64347</v>
      </c>
      <c r="W15248" t="s">
        <v>47332</v>
      </c>
      <c r="X15248" t="s">
        <v>47454</v>
      </c>
    </row>
    <row r="15249" spans="1:24">
      <c r="A15249">
        <f>HYPERLINK("https://www.philgeps.gov.ph/GEPSNONPILOT/Tender/SplashBidNoticeAbstractUI.aspx?menuIndex=3&amp;refID=7117497&amp;Result=3","7117497")</f>
        <v>0</v>
      </c>
      <c r="B15249" t="s">
        <v>169</v>
      </c>
      <c r="C15249" t="s">
        <v>18348</v>
      </c>
      <c r="D15249" t="s">
        <v>19022</v>
      </c>
      <c r="E15249" t="s">
        <v>25280</v>
      </c>
      <c r="F15249" t="s">
        <v>32831</v>
      </c>
      <c r="G15249" t="s">
        <v>32839</v>
      </c>
      <c r="H15249" t="s">
        <v>32848</v>
      </c>
      <c r="I15249" t="s">
        <v>7416</v>
      </c>
      <c r="J15249" t="s">
        <v>42296</v>
      </c>
      <c r="K15249" t="s">
        <v>42730</v>
      </c>
      <c r="M15249" t="s">
        <v>43166</v>
      </c>
      <c r="N15249" t="s">
        <v>47424</v>
      </c>
      <c r="O15249" t="s">
        <v>47425</v>
      </c>
      <c r="P15249">
        <v>0</v>
      </c>
      <c r="Q15249">
        <v>2</v>
      </c>
      <c r="R15249" t="s">
        <v>47448</v>
      </c>
      <c r="S15249" t="s">
        <v>48555</v>
      </c>
      <c r="T15249" t="s">
        <v>49538</v>
      </c>
      <c r="U15249" t="s">
        <v>61861</v>
      </c>
      <c r="W15249" t="s">
        <v>43166</v>
      </c>
      <c r="X15249" t="s">
        <v>47451</v>
      </c>
    </row>
    <row r="15250" spans="1:24">
      <c r="A15250">
        <f>HYPERLINK("https://www.philgeps.gov.ph/GEPSNONPILOT/Tender/SplashBidNoticeAbstractUI.aspx?menuIndex=3&amp;refID=7117464&amp;Result=3","7117464")</f>
        <v>0</v>
      </c>
      <c r="B15250" t="s">
        <v>169</v>
      </c>
      <c r="C15250" t="s">
        <v>18349</v>
      </c>
      <c r="D15250" t="s">
        <v>19022</v>
      </c>
      <c r="E15250" t="s">
        <v>32209</v>
      </c>
      <c r="F15250" t="s">
        <v>32831</v>
      </c>
      <c r="G15250" t="s">
        <v>32839</v>
      </c>
      <c r="H15250" t="s">
        <v>32849</v>
      </c>
      <c r="I15250" t="s">
        <v>4177</v>
      </c>
      <c r="J15250" t="s">
        <v>42297</v>
      </c>
      <c r="K15250" t="s">
        <v>42897</v>
      </c>
      <c r="M15250" t="s">
        <v>43166</v>
      </c>
      <c r="N15250" t="s">
        <v>47424</v>
      </c>
      <c r="O15250" t="s">
        <v>47425</v>
      </c>
      <c r="P15250">
        <v>0</v>
      </c>
      <c r="Q15250">
        <v>2</v>
      </c>
      <c r="R15250" t="s">
        <v>47448</v>
      </c>
      <c r="S15250" t="s">
        <v>48555</v>
      </c>
      <c r="T15250" t="s">
        <v>49538</v>
      </c>
      <c r="U15250" t="s">
        <v>62066</v>
      </c>
      <c r="W15250" t="s">
        <v>43166</v>
      </c>
      <c r="X15250" t="s">
        <v>47451</v>
      </c>
    </row>
    <row r="15251" spans="1:24">
      <c r="A15251">
        <f>HYPERLINK("https://www.philgeps.gov.ph/GEPSNONPILOT/Tender/SplashBidNoticeAbstractUI.aspx?menuIndex=3&amp;refID=7122156&amp;Result=3","7122156")</f>
        <v>0</v>
      </c>
      <c r="B15251" t="s">
        <v>911</v>
      </c>
      <c r="C15251" t="s">
        <v>18350</v>
      </c>
      <c r="D15251" t="s">
        <v>19049</v>
      </c>
      <c r="E15251" t="s">
        <v>32210</v>
      </c>
      <c r="F15251" t="s">
        <v>32831</v>
      </c>
      <c r="G15251" t="s">
        <v>32839</v>
      </c>
      <c r="H15251" t="s">
        <v>32849</v>
      </c>
      <c r="I15251" t="s">
        <v>4177</v>
      </c>
      <c r="J15251" t="s">
        <v>42298</v>
      </c>
      <c r="K15251" t="s">
        <v>42789</v>
      </c>
      <c r="M15251" t="s">
        <v>43951</v>
      </c>
      <c r="N15251" t="s">
        <v>47424</v>
      </c>
      <c r="O15251" t="s">
        <v>47425</v>
      </c>
      <c r="P15251">
        <v>0</v>
      </c>
      <c r="Q15251">
        <v>2</v>
      </c>
      <c r="R15251" t="s">
        <v>47447</v>
      </c>
      <c r="S15251" t="s">
        <v>48494</v>
      </c>
      <c r="T15251" t="s">
        <v>49127</v>
      </c>
      <c r="U15251" t="s">
        <v>62067</v>
      </c>
      <c r="W15251" t="s">
        <v>43951</v>
      </c>
      <c r="X15251" t="s">
        <v>47448</v>
      </c>
    </row>
    <row r="15252" spans="1:24">
      <c r="A15252">
        <f>HYPERLINK("https://www.philgeps.gov.ph/GEPSNONPILOT/Tender/SplashBidNoticeAbstractUI.aspx?menuIndex=3&amp;refID=7108765&amp;Result=3","7108765")</f>
        <v>0</v>
      </c>
      <c r="B15252" t="s">
        <v>759</v>
      </c>
      <c r="C15252" t="s">
        <v>18351</v>
      </c>
      <c r="D15252" t="s">
        <v>19017</v>
      </c>
      <c r="E15252" t="s">
        <v>32211</v>
      </c>
      <c r="F15252" t="s">
        <v>32831</v>
      </c>
      <c r="G15252" t="s">
        <v>32838</v>
      </c>
      <c r="H15252" t="s">
        <v>32848</v>
      </c>
      <c r="I15252" t="s">
        <v>4438</v>
      </c>
      <c r="J15252" t="s">
        <v>35082</v>
      </c>
      <c r="K15252" t="s">
        <v>42726</v>
      </c>
      <c r="M15252" t="s">
        <v>45008</v>
      </c>
      <c r="N15252" t="s">
        <v>47424</v>
      </c>
      <c r="O15252" t="s">
        <v>47425</v>
      </c>
      <c r="Q15252">
        <v>6</v>
      </c>
      <c r="R15252" t="s">
        <v>47451</v>
      </c>
      <c r="S15252" t="s">
        <v>48661</v>
      </c>
      <c r="T15252" t="s">
        <v>49476</v>
      </c>
      <c r="U15252" t="s">
        <v>62068</v>
      </c>
      <c r="W15252" t="s">
        <v>45008</v>
      </c>
      <c r="X15252" t="s">
        <v>47454</v>
      </c>
    </row>
    <row r="15253" spans="1:24">
      <c r="A15253">
        <f>HYPERLINK("https://www.philgeps.gov.ph/GEPSNONPILOT/Tender/SplashBidNoticeAbstractUI.aspx?menuIndex=3&amp;refID=7117474&amp;Result=3","7117474")</f>
        <v>0</v>
      </c>
      <c r="B15253" t="s">
        <v>169</v>
      </c>
      <c r="C15253" t="s">
        <v>18352</v>
      </c>
      <c r="D15253" t="s">
        <v>19022</v>
      </c>
      <c r="E15253" t="s">
        <v>25113</v>
      </c>
      <c r="F15253" t="s">
        <v>32831</v>
      </c>
      <c r="G15253" t="s">
        <v>32839</v>
      </c>
      <c r="H15253" t="s">
        <v>32849</v>
      </c>
      <c r="I15253" t="s">
        <v>4177</v>
      </c>
      <c r="J15253" t="s">
        <v>42299</v>
      </c>
      <c r="K15253" t="s">
        <v>42751</v>
      </c>
      <c r="M15253" t="s">
        <v>43166</v>
      </c>
      <c r="N15253" t="s">
        <v>47424</v>
      </c>
      <c r="O15253" t="s">
        <v>47425</v>
      </c>
      <c r="P15253">
        <v>0</v>
      </c>
      <c r="Q15253">
        <v>3</v>
      </c>
      <c r="R15253" t="s">
        <v>47448</v>
      </c>
      <c r="S15253" t="s">
        <v>48555</v>
      </c>
      <c r="T15253" t="s">
        <v>49538</v>
      </c>
      <c r="U15253" t="s">
        <v>62066</v>
      </c>
      <c r="W15253" t="s">
        <v>43166</v>
      </c>
      <c r="X15253" t="s">
        <v>47451</v>
      </c>
    </row>
    <row r="15254" spans="1:24">
      <c r="A15254">
        <f>HYPERLINK("https://www.philgeps.gov.ph/GEPSNONPILOT/Tender/SplashBidNoticeAbstractUI.aspx?menuIndex=3&amp;refID=7114143&amp;Result=3","7114143")</f>
        <v>0</v>
      </c>
      <c r="B15254" t="s">
        <v>629</v>
      </c>
      <c r="C15254" t="s">
        <v>18353</v>
      </c>
      <c r="D15254" t="s">
        <v>19049</v>
      </c>
      <c r="E15254" t="s">
        <v>32212</v>
      </c>
      <c r="F15254" t="s">
        <v>32831</v>
      </c>
      <c r="G15254" t="s">
        <v>32839</v>
      </c>
      <c r="H15254" t="s">
        <v>32848</v>
      </c>
      <c r="I15254" t="s">
        <v>7416</v>
      </c>
      <c r="J15254" t="s">
        <v>33184</v>
      </c>
      <c r="K15254" t="s">
        <v>42731</v>
      </c>
      <c r="M15254" t="s">
        <v>43646</v>
      </c>
      <c r="N15254" t="s">
        <v>47424</v>
      </c>
      <c r="O15254" t="s">
        <v>47425</v>
      </c>
      <c r="P15254">
        <v>0</v>
      </c>
      <c r="Q15254">
        <v>1</v>
      </c>
      <c r="R15254" t="s">
        <v>47451</v>
      </c>
      <c r="S15254" t="s">
        <v>48651</v>
      </c>
      <c r="T15254" t="s">
        <v>49129</v>
      </c>
      <c r="U15254" t="s">
        <v>62069</v>
      </c>
      <c r="W15254" t="s">
        <v>43646</v>
      </c>
      <c r="X15254" t="s">
        <v>47452</v>
      </c>
    </row>
    <row r="15255" spans="1:24">
      <c r="A15255">
        <f>HYPERLINK("https://www.philgeps.gov.ph/GEPSNONPILOT/Tender/SplashBidNoticeAbstractUI.aspx?menuIndex=3&amp;refID=7122433&amp;Result=3","7122433")</f>
        <v>0</v>
      </c>
      <c r="B15255" t="s">
        <v>725</v>
      </c>
      <c r="C15255" t="s">
        <v>18354</v>
      </c>
      <c r="D15255" t="s">
        <v>19052</v>
      </c>
      <c r="E15255" t="s">
        <v>32213</v>
      </c>
      <c r="F15255" t="s">
        <v>32831</v>
      </c>
      <c r="G15255" t="s">
        <v>32839</v>
      </c>
      <c r="H15255" t="s">
        <v>32848</v>
      </c>
      <c r="I15255" t="s">
        <v>7751</v>
      </c>
      <c r="J15255" t="s">
        <v>33707</v>
      </c>
      <c r="K15255" t="s">
        <v>42727</v>
      </c>
      <c r="M15255" t="s">
        <v>43746</v>
      </c>
      <c r="N15255" t="s">
        <v>47424</v>
      </c>
      <c r="O15255" t="s">
        <v>47425</v>
      </c>
      <c r="P15255">
        <v>0</v>
      </c>
      <c r="Q15255">
        <v>9</v>
      </c>
      <c r="R15255" t="s">
        <v>47447</v>
      </c>
      <c r="S15255" t="s">
        <v>48494</v>
      </c>
      <c r="T15255" t="s">
        <v>49239</v>
      </c>
      <c r="U15255" t="s">
        <v>62070</v>
      </c>
      <c r="W15255" t="s">
        <v>43746</v>
      </c>
      <c r="X15255" t="s">
        <v>47448</v>
      </c>
    </row>
    <row r="15256" spans="1:24">
      <c r="A15256">
        <f>HYPERLINK("https://www.philgeps.gov.ph/GEPSNONPILOT/Tender/SplashBidNoticeAbstractUI.aspx?menuIndex=3&amp;refID=7122730&amp;Result=3","7122730")</f>
        <v>0</v>
      </c>
      <c r="B15256" t="s">
        <v>1098</v>
      </c>
      <c r="C15256" t="s">
        <v>18355</v>
      </c>
      <c r="D15256" t="s">
        <v>19017</v>
      </c>
      <c r="E15256" t="s">
        <v>32214</v>
      </c>
      <c r="F15256" t="s">
        <v>32831</v>
      </c>
      <c r="G15256" t="s">
        <v>32839</v>
      </c>
      <c r="H15256" t="s">
        <v>32849</v>
      </c>
      <c r="I15256" t="s">
        <v>4177</v>
      </c>
      <c r="J15256" t="s">
        <v>42300</v>
      </c>
      <c r="K15256" t="s">
        <v>42763</v>
      </c>
      <c r="M15256" t="s">
        <v>44157</v>
      </c>
      <c r="N15256" t="s">
        <v>47424</v>
      </c>
      <c r="O15256" t="s">
        <v>47425</v>
      </c>
      <c r="P15256">
        <v>0</v>
      </c>
      <c r="Q15256">
        <v>6</v>
      </c>
      <c r="R15256" t="s">
        <v>47447</v>
      </c>
      <c r="S15256" t="s">
        <v>48494</v>
      </c>
      <c r="T15256" t="s">
        <v>49198</v>
      </c>
      <c r="U15256" t="s">
        <v>62071</v>
      </c>
      <c r="V15256" t="s">
        <v>62889</v>
      </c>
      <c r="W15256" t="s">
        <v>44157</v>
      </c>
      <c r="X15256" t="s">
        <v>47448</v>
      </c>
    </row>
    <row r="15257" spans="1:24">
      <c r="A15257">
        <f>HYPERLINK("https://www.philgeps.gov.ph/GEPSNONPILOT/Tender/SplashBidNoticeAbstractUI.aspx?menuIndex=3&amp;refID=7114056&amp;Result=3","7114056")</f>
        <v>0</v>
      </c>
      <c r="B15257" t="s">
        <v>3417</v>
      </c>
      <c r="C15257" t="s">
        <v>8763</v>
      </c>
      <c r="D15257" t="s">
        <v>19092</v>
      </c>
      <c r="E15257" t="s">
        <v>32215</v>
      </c>
      <c r="F15257" t="s">
        <v>32831</v>
      </c>
      <c r="G15257" t="s">
        <v>32839</v>
      </c>
      <c r="H15257" t="s">
        <v>32848</v>
      </c>
      <c r="I15257" t="s">
        <v>4558</v>
      </c>
      <c r="J15257" t="s">
        <v>42301</v>
      </c>
      <c r="K15257" t="s">
        <v>42730</v>
      </c>
      <c r="M15257" t="s">
        <v>46752</v>
      </c>
      <c r="N15257" t="s">
        <v>47424</v>
      </c>
      <c r="O15257" t="s">
        <v>47425</v>
      </c>
      <c r="P15257">
        <v>0</v>
      </c>
      <c r="Q15257">
        <v>10</v>
      </c>
      <c r="R15257" t="s">
        <v>47451</v>
      </c>
      <c r="S15257" t="s">
        <v>48651</v>
      </c>
      <c r="T15257" t="s">
        <v>49063</v>
      </c>
      <c r="U15257" t="s">
        <v>62072</v>
      </c>
      <c r="W15257" t="s">
        <v>46752</v>
      </c>
      <c r="X15257" t="s">
        <v>47452</v>
      </c>
    </row>
    <row r="15258" spans="1:24">
      <c r="A15258">
        <f>HYPERLINK("https://www.philgeps.gov.ph/GEPSNONPILOT/Tender/SplashBidNoticeAbstractUI.aspx?menuIndex=3&amp;refID=7122715&amp;Result=3","7122715")</f>
        <v>0</v>
      </c>
      <c r="B15258" t="s">
        <v>1098</v>
      </c>
      <c r="C15258" t="s">
        <v>18356</v>
      </c>
      <c r="D15258" t="s">
        <v>19017</v>
      </c>
      <c r="E15258" t="s">
        <v>32216</v>
      </c>
      <c r="F15258" t="s">
        <v>32831</v>
      </c>
      <c r="G15258" t="s">
        <v>32839</v>
      </c>
      <c r="H15258" t="s">
        <v>32849</v>
      </c>
      <c r="I15258" t="s">
        <v>4177</v>
      </c>
      <c r="J15258" t="s">
        <v>42302</v>
      </c>
      <c r="K15258" t="s">
        <v>42729</v>
      </c>
      <c r="M15258" t="s">
        <v>44157</v>
      </c>
      <c r="N15258" t="s">
        <v>47424</v>
      </c>
      <c r="O15258" t="s">
        <v>47425</v>
      </c>
      <c r="P15258">
        <v>0</v>
      </c>
      <c r="Q15258">
        <v>10</v>
      </c>
      <c r="R15258" t="s">
        <v>47447</v>
      </c>
      <c r="S15258" t="s">
        <v>48494</v>
      </c>
      <c r="T15258" t="s">
        <v>49129</v>
      </c>
      <c r="U15258" t="s">
        <v>62073</v>
      </c>
      <c r="V15258" t="s">
        <v>62889</v>
      </c>
      <c r="W15258" t="s">
        <v>44157</v>
      </c>
      <c r="X15258" t="s">
        <v>47448</v>
      </c>
    </row>
    <row r="15259" spans="1:24">
      <c r="A15259">
        <f>HYPERLINK("https://www.philgeps.gov.ph/GEPSNONPILOT/Tender/SplashBidNoticeAbstractUI.aspx?menuIndex=3&amp;refID=7114131&amp;Result=3","7114131")</f>
        <v>0</v>
      </c>
      <c r="B15259" t="s">
        <v>27</v>
      </c>
      <c r="C15259" t="s">
        <v>18357</v>
      </c>
      <c r="D15259" t="s">
        <v>19020</v>
      </c>
      <c r="E15259" t="s">
        <v>32217</v>
      </c>
      <c r="F15259" t="s">
        <v>32831</v>
      </c>
      <c r="G15259" t="s">
        <v>32839</v>
      </c>
      <c r="H15259" t="s">
        <v>32848</v>
      </c>
      <c r="I15259" t="s">
        <v>8577</v>
      </c>
      <c r="J15259" t="s">
        <v>42303</v>
      </c>
      <c r="K15259" t="s">
        <v>42893</v>
      </c>
      <c r="M15259" t="s">
        <v>43309</v>
      </c>
      <c r="N15259" t="s">
        <v>47424</v>
      </c>
      <c r="O15259" t="s">
        <v>47425</v>
      </c>
      <c r="Q15259">
        <v>30</v>
      </c>
      <c r="R15259" t="s">
        <v>47451</v>
      </c>
      <c r="S15259" t="s">
        <v>48662</v>
      </c>
      <c r="T15259" t="s">
        <v>49166</v>
      </c>
      <c r="U15259" t="s">
        <v>62074</v>
      </c>
      <c r="W15259" t="s">
        <v>43309</v>
      </c>
      <c r="X15259" t="s">
        <v>47452</v>
      </c>
    </row>
    <row r="15260" spans="1:24">
      <c r="A15260">
        <f>HYPERLINK("https://www.philgeps.gov.ph/GEPSNONPILOT/Tender/SplashBidNoticeAbstractUI.aspx?menuIndex=3&amp;refID=7113751&amp;Result=3","7113751")</f>
        <v>0</v>
      </c>
      <c r="B15260" t="s">
        <v>1434</v>
      </c>
      <c r="C15260" t="s">
        <v>18358</v>
      </c>
      <c r="D15260" t="s">
        <v>19021</v>
      </c>
      <c r="E15260" t="s">
        <v>32218</v>
      </c>
      <c r="F15260" t="s">
        <v>32831</v>
      </c>
      <c r="G15260" t="s">
        <v>32839</v>
      </c>
      <c r="H15260" t="s">
        <v>32848</v>
      </c>
      <c r="I15260" t="s">
        <v>10805</v>
      </c>
      <c r="J15260" t="s">
        <v>42304</v>
      </c>
      <c r="K15260" t="s">
        <v>42730</v>
      </c>
      <c r="M15260" t="s">
        <v>44524</v>
      </c>
      <c r="N15260" t="s">
        <v>47424</v>
      </c>
      <c r="O15260" t="s">
        <v>47425</v>
      </c>
      <c r="Q15260">
        <v>10</v>
      </c>
      <c r="R15260" t="s">
        <v>47451</v>
      </c>
      <c r="S15260" t="s">
        <v>48663</v>
      </c>
      <c r="T15260" t="s">
        <v>49063</v>
      </c>
      <c r="U15260" t="s">
        <v>62075</v>
      </c>
      <c r="W15260" t="s">
        <v>44524</v>
      </c>
      <c r="X15260" t="s">
        <v>47452</v>
      </c>
    </row>
    <row r="15261" spans="1:24">
      <c r="A15261">
        <f>HYPERLINK("https://www.philgeps.gov.ph/GEPSNONPILOT/Tender/SplashBidNoticeAbstractUI.aspx?menuIndex=3&amp;refID=7114088&amp;Result=3","7114088")</f>
        <v>0</v>
      </c>
      <c r="B15261" t="s">
        <v>3709</v>
      </c>
      <c r="C15261" t="s">
        <v>18359</v>
      </c>
      <c r="D15261" t="s">
        <v>19049</v>
      </c>
      <c r="E15261" t="s">
        <v>32219</v>
      </c>
      <c r="F15261" t="s">
        <v>32831</v>
      </c>
      <c r="G15261" t="s">
        <v>32839</v>
      </c>
      <c r="H15261" t="s">
        <v>32849</v>
      </c>
      <c r="I15261" t="s">
        <v>4177</v>
      </c>
      <c r="J15261" t="s">
        <v>42305</v>
      </c>
      <c r="K15261" t="s">
        <v>42881</v>
      </c>
      <c r="M15261" t="s">
        <v>47099</v>
      </c>
      <c r="N15261" t="s">
        <v>47424</v>
      </c>
      <c r="O15261" t="s">
        <v>47425</v>
      </c>
      <c r="P15261">
        <v>0</v>
      </c>
      <c r="Q15261">
        <v>0</v>
      </c>
      <c r="R15261" t="s">
        <v>47451</v>
      </c>
      <c r="S15261" t="s">
        <v>48651</v>
      </c>
      <c r="T15261" t="s">
        <v>49205</v>
      </c>
      <c r="U15261" t="s">
        <v>62076</v>
      </c>
      <c r="V15261" t="s">
        <v>64123</v>
      </c>
      <c r="W15261" t="s">
        <v>47099</v>
      </c>
      <c r="X15261" t="s">
        <v>47452</v>
      </c>
    </row>
    <row r="15262" spans="1:24">
      <c r="A15262">
        <f>HYPERLINK("https://www.philgeps.gov.ph/GEPSNONPILOT/Tender/SplashBidNoticeAbstractUI.aspx?menuIndex=3&amp;refID=7114017&amp;Result=3","7114017")</f>
        <v>0</v>
      </c>
      <c r="B15262" t="s">
        <v>629</v>
      </c>
      <c r="C15262" t="s">
        <v>18360</v>
      </c>
      <c r="D15262" t="s">
        <v>19049</v>
      </c>
      <c r="E15262" t="s">
        <v>32220</v>
      </c>
      <c r="F15262" t="s">
        <v>32831</v>
      </c>
      <c r="G15262" t="s">
        <v>32839</v>
      </c>
      <c r="H15262" t="s">
        <v>32848</v>
      </c>
      <c r="I15262" t="s">
        <v>4222</v>
      </c>
      <c r="J15262" t="s">
        <v>42306</v>
      </c>
      <c r="K15262" t="s">
        <v>42731</v>
      </c>
      <c r="M15262" t="s">
        <v>43646</v>
      </c>
      <c r="N15262" t="s">
        <v>47424</v>
      </c>
      <c r="O15262" t="s">
        <v>47425</v>
      </c>
      <c r="P15262">
        <v>0</v>
      </c>
      <c r="Q15262">
        <v>1</v>
      </c>
      <c r="R15262" t="s">
        <v>47451</v>
      </c>
      <c r="S15262" t="s">
        <v>48651</v>
      </c>
      <c r="T15262" t="s">
        <v>49129</v>
      </c>
      <c r="U15262" t="s">
        <v>62077</v>
      </c>
      <c r="W15262" t="s">
        <v>43646</v>
      </c>
      <c r="X15262" t="s">
        <v>47452</v>
      </c>
    </row>
    <row r="15263" spans="1:24">
      <c r="A15263">
        <f>HYPERLINK("https://www.philgeps.gov.ph/GEPSNONPILOT/Tender/SplashBidNoticeAbstractUI.aspx?menuIndex=3&amp;refID=7113537&amp;Result=3","7113537")</f>
        <v>0</v>
      </c>
      <c r="B15263" t="s">
        <v>2204</v>
      </c>
      <c r="C15263" t="s">
        <v>18361</v>
      </c>
      <c r="D15263" t="s">
        <v>19021</v>
      </c>
      <c r="E15263" t="s">
        <v>32221</v>
      </c>
      <c r="F15263" t="s">
        <v>32831</v>
      </c>
      <c r="G15263" t="s">
        <v>32839</v>
      </c>
      <c r="H15263" t="s">
        <v>32848</v>
      </c>
      <c r="I15263" t="s">
        <v>7416</v>
      </c>
      <c r="J15263" t="s">
        <v>42307</v>
      </c>
      <c r="K15263" t="s">
        <v>42730</v>
      </c>
      <c r="M15263" t="s">
        <v>45384</v>
      </c>
      <c r="N15263" t="s">
        <v>47424</v>
      </c>
      <c r="O15263" t="s">
        <v>47425</v>
      </c>
      <c r="Q15263">
        <v>7</v>
      </c>
      <c r="R15263" t="s">
        <v>47451</v>
      </c>
      <c r="S15263" t="s">
        <v>48664</v>
      </c>
      <c r="T15263" t="s">
        <v>49415</v>
      </c>
      <c r="U15263" t="s">
        <v>62078</v>
      </c>
      <c r="W15263" t="s">
        <v>45384</v>
      </c>
      <c r="X15263" t="s">
        <v>47452</v>
      </c>
    </row>
    <row r="15264" spans="1:24">
      <c r="A15264">
        <f>HYPERLINK("https://www.philgeps.gov.ph/GEPSNONPILOT/Tender/SplashBidNoticeAbstractUI.aspx?menuIndex=3&amp;refID=7113524&amp;Result=3","7113524")</f>
        <v>0</v>
      </c>
      <c r="B15264" t="s">
        <v>3881</v>
      </c>
      <c r="C15264" t="s">
        <v>18362</v>
      </c>
      <c r="D15264" t="s">
        <v>19077</v>
      </c>
      <c r="E15264" t="s">
        <v>32222</v>
      </c>
      <c r="F15264" t="s">
        <v>32831</v>
      </c>
      <c r="G15264" t="s">
        <v>32838</v>
      </c>
      <c r="H15264" t="s">
        <v>32848</v>
      </c>
      <c r="I15264" t="s">
        <v>32854</v>
      </c>
      <c r="J15264" t="s">
        <v>33430</v>
      </c>
      <c r="K15264" t="s">
        <v>42750</v>
      </c>
      <c r="M15264" t="s">
        <v>47333</v>
      </c>
      <c r="N15264" t="s">
        <v>47424</v>
      </c>
      <c r="O15264" t="s">
        <v>47425</v>
      </c>
      <c r="Q15264">
        <v>8</v>
      </c>
      <c r="R15264" t="s">
        <v>47451</v>
      </c>
      <c r="S15264" t="s">
        <v>48665</v>
      </c>
      <c r="T15264" t="s">
        <v>49120</v>
      </c>
      <c r="U15264" t="s">
        <v>62079</v>
      </c>
      <c r="V15264" t="s">
        <v>64348</v>
      </c>
      <c r="W15264" t="s">
        <v>47333</v>
      </c>
      <c r="X15264" t="s">
        <v>47452</v>
      </c>
    </row>
    <row r="15265" spans="1:24">
      <c r="A15265">
        <f>HYPERLINK("https://www.philgeps.gov.ph/GEPSNONPILOT/Tender/SplashBidNoticeAbstractUI.aspx?menuIndex=3&amp;refID=7113800&amp;Result=3","7113800")</f>
        <v>0</v>
      </c>
      <c r="B15265" t="s">
        <v>966</v>
      </c>
      <c r="C15265" t="s">
        <v>18363</v>
      </c>
      <c r="D15265" t="s">
        <v>19033</v>
      </c>
      <c r="E15265" t="s">
        <v>32223</v>
      </c>
      <c r="F15265" t="s">
        <v>32831</v>
      </c>
      <c r="G15265" t="s">
        <v>32839</v>
      </c>
      <c r="H15265" t="s">
        <v>32849</v>
      </c>
      <c r="I15265" t="s">
        <v>4177</v>
      </c>
      <c r="J15265" t="s">
        <v>33083</v>
      </c>
      <c r="K15265" t="s">
        <v>42729</v>
      </c>
      <c r="M15265" t="s">
        <v>44012</v>
      </c>
      <c r="N15265" t="s">
        <v>47424</v>
      </c>
      <c r="O15265" t="s">
        <v>47425</v>
      </c>
      <c r="Q15265">
        <v>1</v>
      </c>
      <c r="R15265" t="s">
        <v>47451</v>
      </c>
      <c r="S15265" t="s">
        <v>48666</v>
      </c>
      <c r="T15265" t="s">
        <v>49239</v>
      </c>
      <c r="U15265" t="s">
        <v>62080</v>
      </c>
      <c r="W15265" t="s">
        <v>44012</v>
      </c>
      <c r="X15265" t="s">
        <v>47452</v>
      </c>
    </row>
    <row r="15266" spans="1:24">
      <c r="A15266">
        <f>HYPERLINK("https://www.philgeps.gov.ph/GEPSNONPILOT/Tender/SplashBidNoticeAbstractUI.aspx?menuIndex=3&amp;refID=7113299&amp;Result=3","7113299")</f>
        <v>0</v>
      </c>
      <c r="B15266" t="s">
        <v>794</v>
      </c>
      <c r="C15266" t="s">
        <v>18364</v>
      </c>
      <c r="D15266" t="s">
        <v>19088</v>
      </c>
      <c r="E15266" t="s">
        <v>32224</v>
      </c>
      <c r="F15266" t="s">
        <v>32831</v>
      </c>
      <c r="G15266" t="s">
        <v>32839</v>
      </c>
      <c r="H15266" t="s">
        <v>32848</v>
      </c>
      <c r="I15266" t="s">
        <v>32861</v>
      </c>
      <c r="J15266" t="s">
        <v>40468</v>
      </c>
      <c r="K15266" t="s">
        <v>42726</v>
      </c>
      <c r="M15266" t="s">
        <v>47334</v>
      </c>
      <c r="N15266" t="s">
        <v>47424</v>
      </c>
      <c r="O15266" t="s">
        <v>47425</v>
      </c>
      <c r="Q15266">
        <v>5</v>
      </c>
      <c r="R15266" t="s">
        <v>47451</v>
      </c>
      <c r="S15266" t="s">
        <v>48667</v>
      </c>
      <c r="T15266" t="s">
        <v>49077</v>
      </c>
      <c r="U15266" t="s">
        <v>57409</v>
      </c>
      <c r="W15266" t="s">
        <v>47334</v>
      </c>
      <c r="X15266" t="s">
        <v>47452</v>
      </c>
    </row>
    <row r="15267" spans="1:24">
      <c r="A15267">
        <f>HYPERLINK("https://www.philgeps.gov.ph/GEPSNONPILOT/Tender/SplashBidNoticeAbstractUI.aspx?menuIndex=3&amp;refID=7113225&amp;Result=3","7113225")</f>
        <v>0</v>
      </c>
      <c r="B15267" t="s">
        <v>762</v>
      </c>
      <c r="C15267" t="s">
        <v>18365</v>
      </c>
      <c r="E15267" t="s">
        <v>32225</v>
      </c>
      <c r="F15267" t="s">
        <v>32831</v>
      </c>
      <c r="G15267" t="s">
        <v>32839</v>
      </c>
      <c r="H15267" t="s">
        <v>32848</v>
      </c>
      <c r="I15267" t="s">
        <v>32902</v>
      </c>
      <c r="J15267" t="s">
        <v>42308</v>
      </c>
      <c r="K15267" t="s">
        <v>42732</v>
      </c>
      <c r="M15267" t="s">
        <v>43788</v>
      </c>
      <c r="N15267" t="s">
        <v>47424</v>
      </c>
      <c r="O15267" t="s">
        <v>47425</v>
      </c>
      <c r="Q15267">
        <v>27</v>
      </c>
      <c r="R15267" t="s">
        <v>47451</v>
      </c>
      <c r="S15267" t="s">
        <v>48668</v>
      </c>
      <c r="T15267" t="s">
        <v>49172</v>
      </c>
      <c r="U15267" t="s">
        <v>62081</v>
      </c>
      <c r="W15267" t="s">
        <v>43788</v>
      </c>
      <c r="X15267" t="s">
        <v>47452</v>
      </c>
    </row>
    <row r="15268" spans="1:24">
      <c r="A15268">
        <f>HYPERLINK("https://www.philgeps.gov.ph/GEPSNONPILOT/Tender/SplashBidNoticeAbstractUI.aspx?menuIndex=3&amp;refID=7114151&amp;Result=3","7114151")</f>
        <v>0</v>
      </c>
      <c r="B15268" t="s">
        <v>3748</v>
      </c>
      <c r="C15268" t="s">
        <v>18366</v>
      </c>
      <c r="D15268" t="s">
        <v>19062</v>
      </c>
      <c r="E15268" t="s">
        <v>20013</v>
      </c>
      <c r="F15268" t="s">
        <v>32831</v>
      </c>
      <c r="G15268" t="s">
        <v>32839</v>
      </c>
      <c r="H15268" t="s">
        <v>32848</v>
      </c>
      <c r="I15268" t="s">
        <v>7751</v>
      </c>
      <c r="J15268" t="s">
        <v>38777</v>
      </c>
      <c r="K15268" t="s">
        <v>42763</v>
      </c>
      <c r="M15268" t="s">
        <v>47146</v>
      </c>
      <c r="N15268" t="s">
        <v>47424</v>
      </c>
      <c r="O15268" t="s">
        <v>47425</v>
      </c>
      <c r="Q15268">
        <v>3</v>
      </c>
      <c r="R15268" t="s">
        <v>47451</v>
      </c>
      <c r="S15268" t="s">
        <v>48669</v>
      </c>
      <c r="T15268" t="s">
        <v>49166</v>
      </c>
      <c r="U15268" t="s">
        <v>62082</v>
      </c>
      <c r="V15268" t="s">
        <v>64173</v>
      </c>
      <c r="W15268" t="s">
        <v>47146</v>
      </c>
      <c r="X15268" t="s">
        <v>47452</v>
      </c>
    </row>
    <row r="15269" spans="1:24">
      <c r="A15269">
        <f>HYPERLINK("https://www.philgeps.gov.ph/GEPSNONPILOT/Tender/SplashBidNoticeAbstractUI.aspx?menuIndex=3&amp;refID=7114907&amp;Result=3","7114907")</f>
        <v>0</v>
      </c>
      <c r="B15269" t="s">
        <v>2350</v>
      </c>
      <c r="C15269" t="s">
        <v>18367</v>
      </c>
      <c r="D15269" t="s">
        <v>19018</v>
      </c>
      <c r="E15269" t="s">
        <v>32226</v>
      </c>
      <c r="F15269" t="s">
        <v>32831</v>
      </c>
      <c r="G15269" t="s">
        <v>32839</v>
      </c>
      <c r="H15269" t="s">
        <v>32849</v>
      </c>
      <c r="I15269" t="s">
        <v>4177</v>
      </c>
      <c r="J15269" t="s">
        <v>42309</v>
      </c>
      <c r="K15269" t="s">
        <v>42833</v>
      </c>
      <c r="M15269" t="s">
        <v>47335</v>
      </c>
      <c r="N15269" t="s">
        <v>47424</v>
      </c>
      <c r="O15269" t="s">
        <v>47425</v>
      </c>
      <c r="Q15269">
        <v>4</v>
      </c>
      <c r="R15269" t="s">
        <v>47451</v>
      </c>
      <c r="S15269" t="s">
        <v>48670</v>
      </c>
      <c r="T15269" t="s">
        <v>49111</v>
      </c>
      <c r="U15269" t="s">
        <v>62083</v>
      </c>
      <c r="W15269" t="s">
        <v>47335</v>
      </c>
      <c r="X15269" t="s">
        <v>47452</v>
      </c>
    </row>
    <row r="15270" spans="1:24">
      <c r="A15270">
        <f>HYPERLINK("https://www.philgeps.gov.ph/GEPSNONPILOT/Tender/SplashBidNoticeAbstractUI.aspx?menuIndex=3&amp;refID=7113696&amp;Result=3","7113696")</f>
        <v>0</v>
      </c>
      <c r="B15270" t="s">
        <v>1434</v>
      </c>
      <c r="C15270" t="s">
        <v>18368</v>
      </c>
      <c r="D15270" t="s">
        <v>19021</v>
      </c>
      <c r="E15270" t="s">
        <v>32227</v>
      </c>
      <c r="F15270" t="s">
        <v>32831</v>
      </c>
      <c r="G15270" t="s">
        <v>32839</v>
      </c>
      <c r="H15270" t="s">
        <v>32848</v>
      </c>
      <c r="I15270" t="s">
        <v>10805</v>
      </c>
      <c r="J15270" t="s">
        <v>34447</v>
      </c>
      <c r="K15270" t="s">
        <v>42730</v>
      </c>
      <c r="M15270" t="s">
        <v>44524</v>
      </c>
      <c r="N15270" t="s">
        <v>47424</v>
      </c>
      <c r="O15270" t="s">
        <v>47425</v>
      </c>
      <c r="P15270">
        <v>0</v>
      </c>
      <c r="Q15270">
        <v>14</v>
      </c>
      <c r="R15270" t="s">
        <v>47451</v>
      </c>
      <c r="S15270" t="s">
        <v>48651</v>
      </c>
      <c r="T15270" t="s">
        <v>49063</v>
      </c>
      <c r="U15270" t="s">
        <v>62084</v>
      </c>
      <c r="W15270" t="s">
        <v>44524</v>
      </c>
      <c r="X15270" t="s">
        <v>47452</v>
      </c>
    </row>
    <row r="15271" spans="1:24">
      <c r="A15271">
        <f>HYPERLINK("https://www.philgeps.gov.ph/GEPSNONPILOT/Tender/SplashBidNoticeAbstractUI.aspx?menuIndex=3&amp;refID=7114898&amp;Result=3","7114898")</f>
        <v>0</v>
      </c>
      <c r="B15271" t="s">
        <v>3110</v>
      </c>
      <c r="C15271" t="s">
        <v>18369</v>
      </c>
      <c r="D15271" t="s">
        <v>19017</v>
      </c>
      <c r="E15271" t="s">
        <v>32228</v>
      </c>
      <c r="F15271" t="s">
        <v>32831</v>
      </c>
      <c r="G15271" t="s">
        <v>32839</v>
      </c>
      <c r="H15271" t="s">
        <v>32848</v>
      </c>
      <c r="I15271" t="s">
        <v>32867</v>
      </c>
      <c r="J15271" t="s">
        <v>42310</v>
      </c>
      <c r="K15271" t="s">
        <v>42730</v>
      </c>
      <c r="M15271" t="s">
        <v>46397</v>
      </c>
      <c r="N15271" t="s">
        <v>47424</v>
      </c>
      <c r="O15271" t="s">
        <v>47425</v>
      </c>
      <c r="Q15271">
        <v>9</v>
      </c>
      <c r="R15271" t="s">
        <v>47451</v>
      </c>
      <c r="S15271" t="s">
        <v>48671</v>
      </c>
      <c r="T15271" t="s">
        <v>49212</v>
      </c>
      <c r="U15271" t="s">
        <v>57894</v>
      </c>
      <c r="W15271" t="s">
        <v>46397</v>
      </c>
      <c r="X15271" t="s">
        <v>47452</v>
      </c>
    </row>
    <row r="15272" spans="1:24">
      <c r="A15272">
        <f>HYPERLINK("https://www.philgeps.gov.ph/GEPSNONPILOT/Tender/SplashBidNoticeAbstractUI.aspx?menuIndex=3&amp;refID=7122095&amp;Result=3","7122095")</f>
        <v>0</v>
      </c>
      <c r="B15272" t="s">
        <v>968</v>
      </c>
      <c r="C15272" t="s">
        <v>18370</v>
      </c>
      <c r="D15272" t="s">
        <v>19045</v>
      </c>
      <c r="E15272" t="s">
        <v>32229</v>
      </c>
      <c r="F15272" t="s">
        <v>32831</v>
      </c>
      <c r="G15272" t="s">
        <v>32839</v>
      </c>
      <c r="H15272" t="s">
        <v>32848</v>
      </c>
      <c r="I15272" t="s">
        <v>32896</v>
      </c>
      <c r="J15272" t="s">
        <v>34112</v>
      </c>
      <c r="K15272" t="s">
        <v>42730</v>
      </c>
      <c r="M15272" t="s">
        <v>44014</v>
      </c>
      <c r="N15272" t="s">
        <v>47424</v>
      </c>
      <c r="O15272" t="s">
        <v>47425</v>
      </c>
      <c r="P15272">
        <v>0</v>
      </c>
      <c r="Q15272">
        <v>8</v>
      </c>
      <c r="R15272" t="s">
        <v>47447</v>
      </c>
      <c r="S15272" t="s">
        <v>48494</v>
      </c>
      <c r="T15272" t="s">
        <v>49239</v>
      </c>
      <c r="U15272" t="s">
        <v>62085</v>
      </c>
      <c r="W15272" t="s">
        <v>44014</v>
      </c>
      <c r="X15272" t="s">
        <v>47448</v>
      </c>
    </row>
    <row r="15273" spans="1:24">
      <c r="A15273">
        <f>HYPERLINK("https://www.philgeps.gov.ph/GEPSNONPILOT/Tender/SplashBidNoticeAbstractUI.aspx?menuIndex=3&amp;refID=7114600&amp;Result=3","7114600")</f>
        <v>0</v>
      </c>
      <c r="B15273" t="s">
        <v>3878</v>
      </c>
      <c r="C15273" t="s">
        <v>18371</v>
      </c>
      <c r="D15273" t="s">
        <v>19035</v>
      </c>
      <c r="E15273" t="s">
        <v>32230</v>
      </c>
      <c r="F15273" t="s">
        <v>32831</v>
      </c>
      <c r="G15273" t="s">
        <v>32839</v>
      </c>
      <c r="H15273" t="s">
        <v>32848</v>
      </c>
      <c r="I15273" t="s">
        <v>32886</v>
      </c>
      <c r="J15273" t="s">
        <v>42311</v>
      </c>
      <c r="K15273" t="s">
        <v>42732</v>
      </c>
      <c r="M15273" t="s">
        <v>47336</v>
      </c>
      <c r="N15273" t="s">
        <v>47424</v>
      </c>
      <c r="O15273" t="s">
        <v>47425</v>
      </c>
      <c r="Q15273">
        <v>13</v>
      </c>
      <c r="R15273" t="s">
        <v>47451</v>
      </c>
      <c r="S15273" t="s">
        <v>48672</v>
      </c>
      <c r="T15273" t="s">
        <v>49214</v>
      </c>
      <c r="U15273" t="s">
        <v>62086</v>
      </c>
      <c r="V15273" t="s">
        <v>64349</v>
      </c>
      <c r="W15273" t="s">
        <v>47336</v>
      </c>
      <c r="X15273" t="s">
        <v>47452</v>
      </c>
    </row>
    <row r="15274" spans="1:24">
      <c r="A15274">
        <f>HYPERLINK("https://www.philgeps.gov.ph/GEPSNONPILOT/Tender/SplashBidNoticeAbstractUI.aspx?menuIndex=3&amp;refID=7114685&amp;Result=3","7114685")</f>
        <v>0</v>
      </c>
      <c r="B15274" t="s">
        <v>49</v>
      </c>
      <c r="C15274" t="s">
        <v>18372</v>
      </c>
      <c r="D15274" t="s">
        <v>19037</v>
      </c>
      <c r="E15274" t="s">
        <v>32231</v>
      </c>
      <c r="F15274" t="s">
        <v>32831</v>
      </c>
      <c r="G15274" t="s">
        <v>32839</v>
      </c>
      <c r="H15274" t="s">
        <v>32848</v>
      </c>
      <c r="I15274" t="s">
        <v>7416</v>
      </c>
      <c r="J15274" t="s">
        <v>42312</v>
      </c>
      <c r="K15274" t="s">
        <v>42748</v>
      </c>
      <c r="M15274" t="s">
        <v>46884</v>
      </c>
      <c r="N15274" t="s">
        <v>47424</v>
      </c>
      <c r="O15274" t="s">
        <v>47425</v>
      </c>
      <c r="Q15274">
        <v>3</v>
      </c>
      <c r="R15274" t="s">
        <v>47451</v>
      </c>
      <c r="S15274" t="s">
        <v>48673</v>
      </c>
      <c r="T15274" t="s">
        <v>49166</v>
      </c>
      <c r="U15274" t="s">
        <v>62087</v>
      </c>
      <c r="V15274" t="s">
        <v>62833</v>
      </c>
      <c r="W15274" t="s">
        <v>46884</v>
      </c>
      <c r="X15274" t="s">
        <v>47452</v>
      </c>
    </row>
    <row r="15275" spans="1:24">
      <c r="A15275">
        <f>HYPERLINK("https://www.philgeps.gov.ph/GEPSNONPILOT/Tender/SplashBidNoticeAbstractUI.aspx?menuIndex=3&amp;refID=7114563&amp;Result=3","7114563")</f>
        <v>0</v>
      </c>
      <c r="B15275" t="s">
        <v>3882</v>
      </c>
      <c r="C15275" t="s">
        <v>18373</v>
      </c>
      <c r="D15275" t="s">
        <v>19017</v>
      </c>
      <c r="E15275" t="s">
        <v>32232</v>
      </c>
      <c r="F15275" t="s">
        <v>32831</v>
      </c>
      <c r="G15275" t="s">
        <v>32839</v>
      </c>
      <c r="H15275" t="s">
        <v>32848</v>
      </c>
      <c r="I15275" t="s">
        <v>32852</v>
      </c>
      <c r="J15275" t="s">
        <v>32985</v>
      </c>
      <c r="K15275" t="s">
        <v>42727</v>
      </c>
      <c r="M15275" t="s">
        <v>47337</v>
      </c>
      <c r="N15275" t="s">
        <v>47424</v>
      </c>
      <c r="O15275" t="s">
        <v>47425</v>
      </c>
      <c r="P15275">
        <v>0</v>
      </c>
      <c r="Q15275">
        <v>9</v>
      </c>
      <c r="R15275" t="s">
        <v>47451</v>
      </c>
      <c r="S15275" t="s">
        <v>48651</v>
      </c>
      <c r="T15275" t="s">
        <v>49270</v>
      </c>
      <c r="U15275" t="s">
        <v>62088</v>
      </c>
      <c r="W15275" t="s">
        <v>47337</v>
      </c>
      <c r="X15275" t="s">
        <v>47452</v>
      </c>
    </row>
    <row r="15276" spans="1:24">
      <c r="A15276">
        <f>HYPERLINK("https://www.philgeps.gov.ph/GEPSNONPILOT/Tender/SplashBidNoticeAbstractUI.aspx?menuIndex=3&amp;refID=7114557&amp;Result=3","7114557")</f>
        <v>0</v>
      </c>
      <c r="B15276" t="s">
        <v>671</v>
      </c>
      <c r="C15276" t="s">
        <v>18374</v>
      </c>
      <c r="D15276" t="s">
        <v>19030</v>
      </c>
      <c r="E15276" t="s">
        <v>32233</v>
      </c>
      <c r="F15276" t="s">
        <v>32831</v>
      </c>
      <c r="G15276" t="s">
        <v>32839</v>
      </c>
      <c r="H15276" t="s">
        <v>32848</v>
      </c>
      <c r="I15276" t="s">
        <v>32856</v>
      </c>
      <c r="J15276" t="s">
        <v>42313</v>
      </c>
      <c r="K15276" t="s">
        <v>42730</v>
      </c>
      <c r="M15276" t="s">
        <v>46416</v>
      </c>
      <c r="N15276" t="s">
        <v>47424</v>
      </c>
      <c r="O15276" t="s">
        <v>47425</v>
      </c>
      <c r="P15276">
        <v>0</v>
      </c>
      <c r="Q15276">
        <v>15</v>
      </c>
      <c r="R15276" t="s">
        <v>47451</v>
      </c>
      <c r="S15276" t="s">
        <v>48651</v>
      </c>
      <c r="T15276" t="s">
        <v>49212</v>
      </c>
      <c r="U15276" t="s">
        <v>52028</v>
      </c>
      <c r="V15276" t="s">
        <v>64350</v>
      </c>
      <c r="W15276" t="s">
        <v>64462</v>
      </c>
      <c r="X15276" t="s">
        <v>47452</v>
      </c>
    </row>
    <row r="15277" spans="1:24">
      <c r="A15277">
        <f>HYPERLINK("https://www.philgeps.gov.ph/GEPSNONPILOT/Tender/SplashBidNoticeAbstractUI.aspx?menuIndex=3&amp;refID=7114649&amp;Result=3","7114649")</f>
        <v>0</v>
      </c>
      <c r="B15277" t="s">
        <v>2204</v>
      </c>
      <c r="C15277" t="s">
        <v>18375</v>
      </c>
      <c r="D15277" t="s">
        <v>19021</v>
      </c>
      <c r="E15277" t="s">
        <v>32234</v>
      </c>
      <c r="F15277" t="s">
        <v>32831</v>
      </c>
      <c r="G15277" t="s">
        <v>32839</v>
      </c>
      <c r="H15277" t="s">
        <v>32849</v>
      </c>
      <c r="I15277" t="s">
        <v>4177</v>
      </c>
      <c r="J15277" t="s">
        <v>42314</v>
      </c>
      <c r="K15277" t="s">
        <v>42780</v>
      </c>
      <c r="M15277" t="s">
        <v>45384</v>
      </c>
      <c r="N15277" t="s">
        <v>47424</v>
      </c>
      <c r="O15277" t="s">
        <v>47425</v>
      </c>
      <c r="P15277">
        <v>0</v>
      </c>
      <c r="Q15277">
        <v>78</v>
      </c>
      <c r="R15277" t="s">
        <v>47451</v>
      </c>
      <c r="S15277" t="s">
        <v>48651</v>
      </c>
      <c r="T15277" t="s">
        <v>49415</v>
      </c>
      <c r="U15277" t="s">
        <v>62089</v>
      </c>
      <c r="W15277" t="s">
        <v>45384</v>
      </c>
      <c r="X15277" t="s">
        <v>47452</v>
      </c>
    </row>
    <row r="15278" spans="1:24">
      <c r="A15278">
        <f>HYPERLINK("https://www.philgeps.gov.ph/GEPSNONPILOT/Tender/SplashBidNoticeAbstractUI.aspx?menuIndex=3&amp;refID=7114498&amp;Result=3","7114498")</f>
        <v>0</v>
      </c>
      <c r="B15278" t="s">
        <v>3878</v>
      </c>
      <c r="C15278" t="s">
        <v>18376</v>
      </c>
      <c r="D15278" t="s">
        <v>19035</v>
      </c>
      <c r="E15278" t="s">
        <v>32235</v>
      </c>
      <c r="F15278" t="s">
        <v>32831</v>
      </c>
      <c r="G15278" t="s">
        <v>32839</v>
      </c>
      <c r="H15278" t="s">
        <v>32848</v>
      </c>
      <c r="I15278" t="s">
        <v>32925</v>
      </c>
      <c r="J15278" t="s">
        <v>40746</v>
      </c>
      <c r="K15278" t="s">
        <v>42728</v>
      </c>
      <c r="M15278" t="s">
        <v>47336</v>
      </c>
      <c r="N15278" t="s">
        <v>47424</v>
      </c>
      <c r="O15278" t="s">
        <v>47425</v>
      </c>
      <c r="Q15278">
        <v>15</v>
      </c>
      <c r="R15278" t="s">
        <v>47451</v>
      </c>
      <c r="S15278" t="s">
        <v>48674</v>
      </c>
      <c r="T15278" t="s">
        <v>49214</v>
      </c>
      <c r="U15278" t="s">
        <v>62090</v>
      </c>
      <c r="V15278" t="s">
        <v>64351</v>
      </c>
      <c r="W15278" t="s">
        <v>47336</v>
      </c>
      <c r="X15278" t="s">
        <v>47452</v>
      </c>
    </row>
    <row r="15279" spans="1:24">
      <c r="A15279">
        <f>HYPERLINK("https://www.philgeps.gov.ph/GEPSNONPILOT/Tender/SplashBidNoticeAbstractUI.aspx?menuIndex=3&amp;refID=7114609&amp;Result=3","7114609")</f>
        <v>0</v>
      </c>
      <c r="B15279" t="s">
        <v>671</v>
      </c>
      <c r="C15279" t="s">
        <v>18377</v>
      </c>
      <c r="D15279" t="s">
        <v>19030</v>
      </c>
      <c r="E15279" t="s">
        <v>32236</v>
      </c>
      <c r="F15279" t="s">
        <v>32831</v>
      </c>
      <c r="G15279" t="s">
        <v>32839</v>
      </c>
      <c r="H15279" t="s">
        <v>32849</v>
      </c>
      <c r="I15279" t="s">
        <v>4177</v>
      </c>
      <c r="J15279" t="s">
        <v>42315</v>
      </c>
      <c r="K15279" t="s">
        <v>42763</v>
      </c>
      <c r="M15279" t="s">
        <v>46398</v>
      </c>
      <c r="N15279" t="s">
        <v>47424</v>
      </c>
      <c r="O15279" t="s">
        <v>47425</v>
      </c>
      <c r="P15279">
        <v>0</v>
      </c>
      <c r="Q15279">
        <v>67</v>
      </c>
      <c r="R15279" t="s">
        <v>47451</v>
      </c>
      <c r="S15279" t="s">
        <v>48651</v>
      </c>
      <c r="T15279" t="s">
        <v>49212</v>
      </c>
      <c r="U15279" t="s">
        <v>52028</v>
      </c>
      <c r="V15279" t="s">
        <v>64350</v>
      </c>
      <c r="W15279" t="s">
        <v>64462</v>
      </c>
      <c r="X15279" t="s">
        <v>47452</v>
      </c>
    </row>
    <row r="15280" spans="1:24">
      <c r="A15280">
        <f>HYPERLINK("https://www.philgeps.gov.ph/GEPSNONPILOT/Tender/SplashBidNoticeAbstractUI.aspx?menuIndex=3&amp;refID=7114457&amp;Result=3","7114457")</f>
        <v>0</v>
      </c>
      <c r="B15280" t="s">
        <v>3882</v>
      </c>
      <c r="C15280" t="s">
        <v>18378</v>
      </c>
      <c r="D15280" t="s">
        <v>19017</v>
      </c>
      <c r="E15280" t="s">
        <v>32237</v>
      </c>
      <c r="F15280" t="s">
        <v>32831</v>
      </c>
      <c r="G15280" t="s">
        <v>32839</v>
      </c>
      <c r="H15280" t="s">
        <v>32848</v>
      </c>
      <c r="I15280" t="s">
        <v>32867</v>
      </c>
      <c r="J15280" t="s">
        <v>32985</v>
      </c>
      <c r="K15280" t="s">
        <v>42730</v>
      </c>
      <c r="M15280" t="s">
        <v>47337</v>
      </c>
      <c r="N15280" t="s">
        <v>47424</v>
      </c>
      <c r="O15280" t="s">
        <v>47425</v>
      </c>
      <c r="P15280">
        <v>0</v>
      </c>
      <c r="Q15280">
        <v>12</v>
      </c>
      <c r="R15280" t="s">
        <v>47451</v>
      </c>
      <c r="S15280" t="s">
        <v>48651</v>
      </c>
      <c r="T15280" t="s">
        <v>49115</v>
      </c>
      <c r="U15280" t="s">
        <v>62091</v>
      </c>
      <c r="W15280" t="s">
        <v>47337</v>
      </c>
      <c r="X15280" t="s">
        <v>47452</v>
      </c>
    </row>
    <row r="15281" spans="1:24">
      <c r="A15281">
        <f>HYPERLINK("https://www.philgeps.gov.ph/GEPSNONPILOT/Tender/SplashBidNoticeAbstractUI.aspx?menuIndex=3&amp;refID=7115972&amp;Result=3","7115972")</f>
        <v>0</v>
      </c>
      <c r="B15281" t="s">
        <v>3883</v>
      </c>
      <c r="C15281" t="s">
        <v>18379</v>
      </c>
      <c r="D15281" t="s">
        <v>19057</v>
      </c>
      <c r="E15281" t="s">
        <v>32238</v>
      </c>
      <c r="F15281" t="s">
        <v>32831</v>
      </c>
      <c r="G15281" t="s">
        <v>32839</v>
      </c>
      <c r="H15281" t="s">
        <v>32848</v>
      </c>
      <c r="I15281" t="s">
        <v>7819</v>
      </c>
      <c r="J15281" t="s">
        <v>34828</v>
      </c>
      <c r="K15281" t="s">
        <v>42730</v>
      </c>
      <c r="M15281" t="s">
        <v>47338</v>
      </c>
      <c r="N15281" t="s">
        <v>47424</v>
      </c>
      <c r="O15281" t="s">
        <v>47425</v>
      </c>
      <c r="Q15281">
        <v>5</v>
      </c>
      <c r="R15281" t="s">
        <v>47451</v>
      </c>
      <c r="S15281" t="s">
        <v>48675</v>
      </c>
      <c r="T15281" t="s">
        <v>49077</v>
      </c>
      <c r="U15281" t="s">
        <v>62092</v>
      </c>
      <c r="W15281" t="s">
        <v>47338</v>
      </c>
      <c r="X15281" t="s">
        <v>47452</v>
      </c>
    </row>
    <row r="15282" spans="1:24">
      <c r="A15282">
        <f>HYPERLINK("https://www.philgeps.gov.ph/GEPSNONPILOT/Tender/SplashBidNoticeAbstractUI.aspx?menuIndex=3&amp;refID=7114065&amp;Result=3","7114065")</f>
        <v>0</v>
      </c>
      <c r="B15282" t="s">
        <v>629</v>
      </c>
      <c r="C15282" t="s">
        <v>18380</v>
      </c>
      <c r="D15282" t="s">
        <v>19049</v>
      </c>
      <c r="E15282" t="s">
        <v>32239</v>
      </c>
      <c r="F15282" t="s">
        <v>32831</v>
      </c>
      <c r="G15282" t="s">
        <v>32839</v>
      </c>
      <c r="H15282" t="s">
        <v>32848</v>
      </c>
      <c r="I15282" t="s">
        <v>4222</v>
      </c>
      <c r="J15282" t="s">
        <v>42316</v>
      </c>
      <c r="K15282" t="s">
        <v>42731</v>
      </c>
      <c r="M15282" t="s">
        <v>43646</v>
      </c>
      <c r="N15282" t="s">
        <v>47424</v>
      </c>
      <c r="O15282" t="s">
        <v>47425</v>
      </c>
      <c r="P15282">
        <v>0</v>
      </c>
      <c r="Q15282">
        <v>0</v>
      </c>
      <c r="R15282" t="s">
        <v>47451</v>
      </c>
      <c r="S15282" t="s">
        <v>48651</v>
      </c>
      <c r="T15282" t="s">
        <v>49129</v>
      </c>
      <c r="U15282" t="s">
        <v>62093</v>
      </c>
      <c r="W15282" t="s">
        <v>43646</v>
      </c>
      <c r="X15282" t="s">
        <v>47452</v>
      </c>
    </row>
    <row r="15283" spans="1:24">
      <c r="A15283">
        <f>HYPERLINK("https://www.philgeps.gov.ph/GEPSNONPILOT/Tender/SplashBidNoticeAbstractUI.aspx?menuIndex=3&amp;refID=7114510&amp;Result=3","7114510")</f>
        <v>0</v>
      </c>
      <c r="B15283" t="s">
        <v>3882</v>
      </c>
      <c r="C15283" t="s">
        <v>18381</v>
      </c>
      <c r="D15283" t="s">
        <v>19017</v>
      </c>
      <c r="E15283" t="s">
        <v>32240</v>
      </c>
      <c r="F15283" t="s">
        <v>32831</v>
      </c>
      <c r="G15283" t="s">
        <v>32839</v>
      </c>
      <c r="H15283" t="s">
        <v>32848</v>
      </c>
      <c r="I15283" t="s">
        <v>32856</v>
      </c>
      <c r="J15283" t="s">
        <v>33032</v>
      </c>
      <c r="K15283" t="s">
        <v>42730</v>
      </c>
      <c r="M15283" t="s">
        <v>47337</v>
      </c>
      <c r="N15283" t="s">
        <v>47424</v>
      </c>
      <c r="O15283" t="s">
        <v>47425</v>
      </c>
      <c r="Q15283">
        <v>12</v>
      </c>
      <c r="R15283" t="s">
        <v>47451</v>
      </c>
      <c r="S15283" t="s">
        <v>48676</v>
      </c>
      <c r="T15283" t="s">
        <v>49530</v>
      </c>
      <c r="U15283" t="s">
        <v>62094</v>
      </c>
      <c r="W15283" t="s">
        <v>47337</v>
      </c>
      <c r="X15283" t="s">
        <v>47452</v>
      </c>
    </row>
    <row r="15284" spans="1:24">
      <c r="A15284">
        <f>HYPERLINK("https://www.philgeps.gov.ph/GEPSNONPILOT/Tender/SplashBidNoticeAbstractUI.aspx?menuIndex=3&amp;refID=7114665&amp;Result=3","7114665")</f>
        <v>0</v>
      </c>
      <c r="B15284" t="s">
        <v>3884</v>
      </c>
      <c r="C15284" t="s">
        <v>18382</v>
      </c>
      <c r="D15284" t="s">
        <v>19077</v>
      </c>
      <c r="E15284" t="s">
        <v>32241</v>
      </c>
      <c r="F15284" t="s">
        <v>32831</v>
      </c>
      <c r="G15284" t="s">
        <v>32839</v>
      </c>
      <c r="H15284" t="s">
        <v>32848</v>
      </c>
      <c r="I15284" t="s">
        <v>7751</v>
      </c>
      <c r="J15284" t="s">
        <v>33032</v>
      </c>
      <c r="K15284" t="s">
        <v>42730</v>
      </c>
      <c r="M15284" t="s">
        <v>47339</v>
      </c>
      <c r="N15284" t="s">
        <v>47424</v>
      </c>
      <c r="O15284" t="s">
        <v>47425</v>
      </c>
      <c r="P15284">
        <v>0</v>
      </c>
      <c r="Q15284">
        <v>3</v>
      </c>
      <c r="R15284" t="s">
        <v>47451</v>
      </c>
      <c r="S15284" t="s">
        <v>48651</v>
      </c>
      <c r="T15284" t="s">
        <v>49237</v>
      </c>
      <c r="U15284" t="s">
        <v>62095</v>
      </c>
      <c r="W15284" t="s">
        <v>47339</v>
      </c>
      <c r="X15284" t="s">
        <v>47452</v>
      </c>
    </row>
    <row r="15285" spans="1:24">
      <c r="A15285">
        <f>HYPERLINK("https://www.philgeps.gov.ph/GEPSNONPILOT/Tender/SplashBidNoticeAbstractUI.aspx?menuIndex=3&amp;refID=7115631&amp;Result=3","7115631")</f>
        <v>0</v>
      </c>
      <c r="B15285" t="s">
        <v>629</v>
      </c>
      <c r="C15285" t="s">
        <v>4165</v>
      </c>
      <c r="D15285" t="s">
        <v>19049</v>
      </c>
      <c r="E15285" t="s">
        <v>32242</v>
      </c>
      <c r="F15285" t="s">
        <v>32831</v>
      </c>
      <c r="G15285" t="s">
        <v>32839</v>
      </c>
      <c r="H15285" t="s">
        <v>32849</v>
      </c>
      <c r="I15285" t="s">
        <v>6526</v>
      </c>
      <c r="J15285" t="s">
        <v>33087</v>
      </c>
      <c r="K15285" t="s">
        <v>42731</v>
      </c>
      <c r="M15285" t="s">
        <v>43646</v>
      </c>
      <c r="N15285" t="s">
        <v>47424</v>
      </c>
      <c r="O15285" t="s">
        <v>47425</v>
      </c>
      <c r="P15285">
        <v>0</v>
      </c>
      <c r="Q15285">
        <v>0</v>
      </c>
      <c r="R15285" t="s">
        <v>47451</v>
      </c>
      <c r="S15285" t="s">
        <v>48651</v>
      </c>
      <c r="T15285" t="s">
        <v>49129</v>
      </c>
      <c r="U15285" t="s">
        <v>62096</v>
      </c>
      <c r="W15285" t="s">
        <v>43646</v>
      </c>
      <c r="X15285" t="s">
        <v>47452</v>
      </c>
    </row>
    <row r="15286" spans="1:24">
      <c r="A15286">
        <f>HYPERLINK("https://www.philgeps.gov.ph/GEPSNONPILOT/Tender/SplashBidNoticeAbstractUI.aspx?menuIndex=3&amp;refID=7114461&amp;Result=3","7114461")</f>
        <v>0</v>
      </c>
      <c r="B15286" t="s">
        <v>629</v>
      </c>
      <c r="C15286" t="s">
        <v>18383</v>
      </c>
      <c r="D15286" t="s">
        <v>19049</v>
      </c>
      <c r="E15286" t="s">
        <v>32243</v>
      </c>
      <c r="F15286" t="s">
        <v>32831</v>
      </c>
      <c r="G15286" t="s">
        <v>32839</v>
      </c>
      <c r="H15286" t="s">
        <v>32849</v>
      </c>
      <c r="I15286" t="s">
        <v>7416</v>
      </c>
      <c r="J15286" t="s">
        <v>42317</v>
      </c>
      <c r="K15286" t="s">
        <v>42731</v>
      </c>
      <c r="M15286" t="s">
        <v>43646</v>
      </c>
      <c r="N15286" t="s">
        <v>47424</v>
      </c>
      <c r="O15286" t="s">
        <v>47425</v>
      </c>
      <c r="P15286">
        <v>0</v>
      </c>
      <c r="Q15286">
        <v>0</v>
      </c>
      <c r="R15286" t="s">
        <v>47451</v>
      </c>
      <c r="S15286" t="s">
        <v>48651</v>
      </c>
      <c r="T15286" t="s">
        <v>49129</v>
      </c>
      <c r="U15286" t="s">
        <v>62097</v>
      </c>
      <c r="W15286" t="s">
        <v>43646</v>
      </c>
      <c r="X15286" t="s">
        <v>47452</v>
      </c>
    </row>
    <row r="15287" spans="1:24">
      <c r="A15287">
        <f>HYPERLINK("https://www.philgeps.gov.ph/GEPSNONPILOT/Tender/SplashBidNoticeAbstractUI.aspx?menuIndex=3&amp;refID=7115603&amp;Result=3","7115603")</f>
        <v>0</v>
      </c>
      <c r="B15287" t="s">
        <v>629</v>
      </c>
      <c r="C15287" t="s">
        <v>18384</v>
      </c>
      <c r="D15287" t="s">
        <v>19049</v>
      </c>
      <c r="E15287" t="s">
        <v>32244</v>
      </c>
      <c r="F15287" t="s">
        <v>32831</v>
      </c>
      <c r="G15287" t="s">
        <v>32839</v>
      </c>
      <c r="H15287" t="s">
        <v>32849</v>
      </c>
      <c r="I15287" t="s">
        <v>7416</v>
      </c>
      <c r="J15287" t="s">
        <v>42318</v>
      </c>
      <c r="K15287" t="s">
        <v>42731</v>
      </c>
      <c r="M15287" t="s">
        <v>43646</v>
      </c>
      <c r="N15287" t="s">
        <v>47424</v>
      </c>
      <c r="O15287" t="s">
        <v>47425</v>
      </c>
      <c r="P15287">
        <v>0</v>
      </c>
      <c r="Q15287">
        <v>1</v>
      </c>
      <c r="R15287" t="s">
        <v>47451</v>
      </c>
      <c r="S15287" t="s">
        <v>48651</v>
      </c>
      <c r="T15287" t="s">
        <v>49129</v>
      </c>
      <c r="U15287" t="s">
        <v>62098</v>
      </c>
      <c r="W15287" t="s">
        <v>43646</v>
      </c>
      <c r="X15287" t="s">
        <v>47452</v>
      </c>
    </row>
    <row r="15288" spans="1:24">
      <c r="A15288">
        <f>HYPERLINK("https://www.philgeps.gov.ph/GEPSNONPILOT/Tender/SplashBidNoticeAbstractUI.aspx?menuIndex=3&amp;refID=7113794&amp;Result=3","7113794")</f>
        <v>0</v>
      </c>
      <c r="B15288" t="s">
        <v>1434</v>
      </c>
      <c r="C15288" t="s">
        <v>18385</v>
      </c>
      <c r="D15288" t="s">
        <v>19021</v>
      </c>
      <c r="E15288" t="s">
        <v>32245</v>
      </c>
      <c r="F15288" t="s">
        <v>32831</v>
      </c>
      <c r="G15288" t="s">
        <v>32839</v>
      </c>
      <c r="H15288" t="s">
        <v>32848</v>
      </c>
      <c r="I15288" t="s">
        <v>32874</v>
      </c>
      <c r="J15288" t="s">
        <v>33106</v>
      </c>
      <c r="K15288" t="s">
        <v>42730</v>
      </c>
      <c r="M15288" t="s">
        <v>44524</v>
      </c>
      <c r="N15288" t="s">
        <v>47424</v>
      </c>
      <c r="O15288" t="s">
        <v>47425</v>
      </c>
      <c r="P15288">
        <v>0</v>
      </c>
      <c r="Q15288">
        <v>30</v>
      </c>
      <c r="R15288" t="s">
        <v>47451</v>
      </c>
      <c r="S15288" t="s">
        <v>48651</v>
      </c>
      <c r="T15288" t="s">
        <v>49063</v>
      </c>
      <c r="U15288" t="s">
        <v>62099</v>
      </c>
      <c r="W15288" t="s">
        <v>44524</v>
      </c>
      <c r="X15288" t="s">
        <v>47452</v>
      </c>
    </row>
    <row r="15289" spans="1:24">
      <c r="A15289">
        <f>HYPERLINK("https://www.philgeps.gov.ph/GEPSNONPILOT/Tender/SplashBidNoticeAbstractUI.aspx?menuIndex=3&amp;refID=7115817&amp;Result=3","7115817")</f>
        <v>0</v>
      </c>
      <c r="B15289" t="s">
        <v>1793</v>
      </c>
      <c r="C15289" t="s">
        <v>18386</v>
      </c>
      <c r="D15289" t="s">
        <v>19060</v>
      </c>
      <c r="E15289" t="s">
        <v>32246</v>
      </c>
      <c r="F15289" t="s">
        <v>32831</v>
      </c>
      <c r="G15289" t="s">
        <v>32839</v>
      </c>
      <c r="H15289" t="s">
        <v>32849</v>
      </c>
      <c r="I15289" t="s">
        <v>4177</v>
      </c>
      <c r="J15289" t="s">
        <v>42319</v>
      </c>
      <c r="K15289" t="s">
        <v>42764</v>
      </c>
      <c r="M15289" t="s">
        <v>44923</v>
      </c>
      <c r="N15289" t="s">
        <v>47424</v>
      </c>
      <c r="O15289" t="s">
        <v>47425</v>
      </c>
      <c r="P15289">
        <v>0</v>
      </c>
      <c r="Q15289">
        <v>3</v>
      </c>
      <c r="R15289" t="s">
        <v>47451</v>
      </c>
      <c r="S15289" t="s">
        <v>48651</v>
      </c>
      <c r="T15289" t="s">
        <v>49127</v>
      </c>
      <c r="U15289" t="s">
        <v>53531</v>
      </c>
      <c r="V15289" t="s">
        <v>64352</v>
      </c>
      <c r="W15289" t="s">
        <v>44923</v>
      </c>
      <c r="X15289" t="s">
        <v>47452</v>
      </c>
    </row>
    <row r="15290" spans="1:24">
      <c r="A15290">
        <f>HYPERLINK("https://www.philgeps.gov.ph/GEPSNONPILOT/Tender/SplashBidNoticeAbstractUI.aspx?menuIndex=3&amp;refID=7115535&amp;Result=3","7115535")</f>
        <v>0</v>
      </c>
      <c r="B15290" t="s">
        <v>1201</v>
      </c>
      <c r="C15290" t="s">
        <v>18387</v>
      </c>
      <c r="D15290" t="s">
        <v>19088</v>
      </c>
      <c r="E15290" t="s">
        <v>32247</v>
      </c>
      <c r="F15290" t="s">
        <v>32831</v>
      </c>
      <c r="G15290" t="s">
        <v>32844</v>
      </c>
      <c r="H15290" t="s">
        <v>14069</v>
      </c>
      <c r="I15290" t="s">
        <v>14069</v>
      </c>
      <c r="J15290" t="s">
        <v>42320</v>
      </c>
      <c r="K15290" t="s">
        <v>42734</v>
      </c>
      <c r="M15290" t="s">
        <v>47340</v>
      </c>
      <c r="N15290" t="s">
        <v>47424</v>
      </c>
      <c r="O15290" t="s">
        <v>47425</v>
      </c>
      <c r="Q15290">
        <v>6</v>
      </c>
      <c r="R15290" t="s">
        <v>47451</v>
      </c>
      <c r="S15290" t="s">
        <v>48677</v>
      </c>
      <c r="T15290" t="s">
        <v>49236</v>
      </c>
      <c r="U15290" t="s">
        <v>62100</v>
      </c>
      <c r="W15290" t="s">
        <v>47340</v>
      </c>
      <c r="X15290" t="s">
        <v>47452</v>
      </c>
    </row>
    <row r="15291" spans="1:24">
      <c r="A15291">
        <f>HYPERLINK("https://www.philgeps.gov.ph/GEPSNONPILOT/Tender/SplashBidNoticeAbstractUI.aspx?menuIndex=3&amp;refID=7115704&amp;Result=3","7115704")</f>
        <v>0</v>
      </c>
      <c r="B15291" t="s">
        <v>629</v>
      </c>
      <c r="C15291" t="s">
        <v>18388</v>
      </c>
      <c r="D15291" t="s">
        <v>19049</v>
      </c>
      <c r="E15291" t="s">
        <v>32248</v>
      </c>
      <c r="F15291" t="s">
        <v>32831</v>
      </c>
      <c r="G15291" t="s">
        <v>32839</v>
      </c>
      <c r="H15291" t="s">
        <v>32849</v>
      </c>
      <c r="I15291" t="s">
        <v>7416</v>
      </c>
      <c r="J15291" t="s">
        <v>42321</v>
      </c>
      <c r="K15291" t="s">
        <v>42731</v>
      </c>
      <c r="M15291" t="s">
        <v>43646</v>
      </c>
      <c r="N15291" t="s">
        <v>47424</v>
      </c>
      <c r="O15291" t="s">
        <v>47425</v>
      </c>
      <c r="Q15291">
        <v>0</v>
      </c>
      <c r="R15291" t="s">
        <v>47451</v>
      </c>
      <c r="S15291" t="s">
        <v>48678</v>
      </c>
      <c r="T15291" t="s">
        <v>49129</v>
      </c>
      <c r="U15291" t="s">
        <v>62101</v>
      </c>
      <c r="W15291" t="s">
        <v>43646</v>
      </c>
      <c r="X15291" t="s">
        <v>47452</v>
      </c>
    </row>
    <row r="15292" spans="1:24">
      <c r="A15292">
        <f>HYPERLINK("https://www.philgeps.gov.ph/GEPSNONPILOT/Tender/SplashBidNoticeAbstractUI.aspx?menuIndex=3&amp;refID=7115506&amp;Result=3","7115506")</f>
        <v>0</v>
      </c>
      <c r="B15292" t="s">
        <v>827</v>
      </c>
      <c r="C15292" t="s">
        <v>18389</v>
      </c>
      <c r="D15292" t="s">
        <v>19026</v>
      </c>
      <c r="E15292" t="s">
        <v>32249</v>
      </c>
      <c r="F15292" t="s">
        <v>32831</v>
      </c>
      <c r="G15292" t="s">
        <v>32839</v>
      </c>
      <c r="H15292" t="s">
        <v>32848</v>
      </c>
      <c r="I15292" t="s">
        <v>32886</v>
      </c>
      <c r="J15292" t="s">
        <v>42322</v>
      </c>
      <c r="K15292" t="s">
        <v>42779</v>
      </c>
      <c r="M15292" t="s">
        <v>43858</v>
      </c>
      <c r="N15292" t="s">
        <v>47424</v>
      </c>
      <c r="O15292" t="s">
        <v>47425</v>
      </c>
      <c r="Q15292">
        <v>11</v>
      </c>
      <c r="R15292" t="s">
        <v>47451</v>
      </c>
      <c r="S15292" t="s">
        <v>48287</v>
      </c>
      <c r="T15292" t="s">
        <v>49061</v>
      </c>
      <c r="U15292" t="s">
        <v>62102</v>
      </c>
      <c r="W15292" t="s">
        <v>43858</v>
      </c>
      <c r="X15292" t="s">
        <v>47452</v>
      </c>
    </row>
    <row r="15293" spans="1:24">
      <c r="A15293">
        <f>HYPERLINK("https://www.philgeps.gov.ph/GEPSNONPILOT/Tender/SplashBidNoticeAbstractUI.aspx?menuIndex=3&amp;refID=7122700&amp;Result=3","7122700")</f>
        <v>0</v>
      </c>
      <c r="B15293" t="s">
        <v>3864</v>
      </c>
      <c r="C15293" t="s">
        <v>18390</v>
      </c>
      <c r="D15293" t="s">
        <v>19017</v>
      </c>
      <c r="E15293" t="s">
        <v>32250</v>
      </c>
      <c r="F15293" t="s">
        <v>32831</v>
      </c>
      <c r="G15293" t="s">
        <v>32839</v>
      </c>
      <c r="H15293" t="s">
        <v>32848</v>
      </c>
      <c r="I15293" t="s">
        <v>32860</v>
      </c>
      <c r="J15293" t="s">
        <v>42323</v>
      </c>
      <c r="K15293" t="s">
        <v>42730</v>
      </c>
      <c r="M15293" t="s">
        <v>47305</v>
      </c>
      <c r="N15293" t="s">
        <v>47424</v>
      </c>
      <c r="O15293" t="s">
        <v>47425</v>
      </c>
      <c r="Q15293">
        <v>12</v>
      </c>
      <c r="R15293" t="s">
        <v>47447</v>
      </c>
      <c r="S15293" t="s">
        <v>48679</v>
      </c>
      <c r="T15293" t="s">
        <v>49148</v>
      </c>
      <c r="U15293" t="s">
        <v>62103</v>
      </c>
      <c r="V15293" t="s">
        <v>64320</v>
      </c>
      <c r="W15293" t="s">
        <v>47305</v>
      </c>
      <c r="X15293" t="s">
        <v>47448</v>
      </c>
    </row>
    <row r="15294" spans="1:24">
      <c r="A15294">
        <f>HYPERLINK("https://www.philgeps.gov.ph/GEPSNONPILOT/Tender/SplashBidNoticeAbstractUI.aspx?menuIndex=3&amp;refID=7115562&amp;Result=3","7115562")</f>
        <v>0</v>
      </c>
      <c r="B15294" t="s">
        <v>2363</v>
      </c>
      <c r="C15294" t="s">
        <v>18391</v>
      </c>
      <c r="D15294" t="s">
        <v>19047</v>
      </c>
      <c r="E15294" t="s">
        <v>32251</v>
      </c>
      <c r="F15294" t="s">
        <v>32831</v>
      </c>
      <c r="G15294" t="s">
        <v>32842</v>
      </c>
      <c r="H15294" t="s">
        <v>32848</v>
      </c>
      <c r="I15294" t="s">
        <v>4487</v>
      </c>
      <c r="J15294" t="s">
        <v>34770</v>
      </c>
      <c r="K15294" t="s">
        <v>42732</v>
      </c>
      <c r="M15294" t="s">
        <v>45703</v>
      </c>
      <c r="N15294" t="s">
        <v>47424</v>
      </c>
      <c r="O15294" t="s">
        <v>47425</v>
      </c>
      <c r="Q15294">
        <v>7</v>
      </c>
      <c r="R15294" t="s">
        <v>47451</v>
      </c>
      <c r="S15294" t="s">
        <v>48680</v>
      </c>
      <c r="T15294" t="s">
        <v>49237</v>
      </c>
      <c r="U15294" t="s">
        <v>55675</v>
      </c>
      <c r="W15294" t="s">
        <v>45703</v>
      </c>
      <c r="X15294" t="s">
        <v>47452</v>
      </c>
    </row>
    <row r="15295" spans="1:24">
      <c r="A15295">
        <f>HYPERLINK("https://www.philgeps.gov.ph/GEPSNONPILOT/Tender/SplashBidNoticeAbstractUI.aspx?menuIndex=3&amp;refID=7115557&amp;Result=3","7115557")</f>
        <v>0</v>
      </c>
      <c r="B15295" t="s">
        <v>1654</v>
      </c>
      <c r="C15295" t="s">
        <v>18392</v>
      </c>
      <c r="D15295" t="s">
        <v>19058</v>
      </c>
      <c r="E15295" t="s">
        <v>32252</v>
      </c>
      <c r="F15295" t="s">
        <v>32831</v>
      </c>
      <c r="G15295" t="s">
        <v>32839</v>
      </c>
      <c r="H15295" t="s">
        <v>32848</v>
      </c>
      <c r="I15295" t="s">
        <v>32855</v>
      </c>
      <c r="J15295" t="s">
        <v>42324</v>
      </c>
      <c r="K15295" t="s">
        <v>42730</v>
      </c>
      <c r="M15295" t="s">
        <v>44771</v>
      </c>
      <c r="N15295" t="s">
        <v>47424</v>
      </c>
      <c r="O15295" t="s">
        <v>47425</v>
      </c>
      <c r="P15295">
        <v>0</v>
      </c>
      <c r="Q15295">
        <v>4</v>
      </c>
      <c r="R15295" t="s">
        <v>47451</v>
      </c>
      <c r="S15295" t="s">
        <v>48651</v>
      </c>
      <c r="T15295" t="s">
        <v>49239</v>
      </c>
      <c r="U15295" t="s">
        <v>62104</v>
      </c>
      <c r="W15295" t="s">
        <v>44771</v>
      </c>
      <c r="X15295" t="s">
        <v>47452</v>
      </c>
    </row>
    <row r="15296" spans="1:24">
      <c r="A15296">
        <f>HYPERLINK("https://www.philgeps.gov.ph/GEPSNONPILOT/Tender/SplashBidNoticeAbstractUI.aspx?menuIndex=3&amp;refID=7110814&amp;Result=3","7110814")</f>
        <v>0</v>
      </c>
      <c r="B15296" t="s">
        <v>650</v>
      </c>
      <c r="C15296" t="s">
        <v>18393</v>
      </c>
      <c r="D15296" t="s">
        <v>19017</v>
      </c>
      <c r="E15296" t="s">
        <v>32253</v>
      </c>
      <c r="F15296" t="s">
        <v>32831</v>
      </c>
      <c r="G15296" t="s">
        <v>32838</v>
      </c>
      <c r="H15296" t="s">
        <v>32848</v>
      </c>
      <c r="I15296" t="s">
        <v>4558</v>
      </c>
      <c r="J15296" t="s">
        <v>42325</v>
      </c>
      <c r="K15296" t="s">
        <v>42726</v>
      </c>
      <c r="M15296" t="s">
        <v>43668</v>
      </c>
      <c r="N15296" t="s">
        <v>47424</v>
      </c>
      <c r="O15296" t="s">
        <v>47425</v>
      </c>
      <c r="Q15296">
        <v>3</v>
      </c>
      <c r="R15296" t="s">
        <v>47452</v>
      </c>
      <c r="S15296" t="s">
        <v>48681</v>
      </c>
      <c r="T15296" t="s">
        <v>49119</v>
      </c>
      <c r="U15296" t="s">
        <v>62105</v>
      </c>
      <c r="V15296" t="s">
        <v>62774</v>
      </c>
      <c r="W15296" t="s">
        <v>43668</v>
      </c>
      <c r="X15296" t="s">
        <v>47453</v>
      </c>
    </row>
    <row r="15297" spans="1:24">
      <c r="A15297">
        <f>HYPERLINK("https://www.philgeps.gov.ph/GEPSNONPILOT/Tender/SplashBidNoticeAbstractUI.aspx?menuIndex=3&amp;refID=7115663&amp;Result=3","7115663")</f>
        <v>0</v>
      </c>
      <c r="B15297" t="s">
        <v>792</v>
      </c>
      <c r="C15297" t="s">
        <v>18394</v>
      </c>
      <c r="D15297" t="s">
        <v>19100</v>
      </c>
      <c r="E15297" t="s">
        <v>32254</v>
      </c>
      <c r="F15297" t="s">
        <v>32831</v>
      </c>
      <c r="G15297" t="s">
        <v>32839</v>
      </c>
      <c r="H15297" t="s">
        <v>32848</v>
      </c>
      <c r="I15297" t="s">
        <v>10805</v>
      </c>
      <c r="J15297" t="s">
        <v>42326</v>
      </c>
      <c r="K15297" t="s">
        <v>42730</v>
      </c>
      <c r="M15297" t="s">
        <v>47341</v>
      </c>
      <c r="N15297" t="s">
        <v>47424</v>
      </c>
      <c r="O15297" t="s">
        <v>47425</v>
      </c>
      <c r="P15297">
        <v>0</v>
      </c>
      <c r="Q15297">
        <v>5</v>
      </c>
      <c r="R15297" t="s">
        <v>47451</v>
      </c>
      <c r="S15297" t="s">
        <v>48651</v>
      </c>
      <c r="T15297" t="s">
        <v>49243</v>
      </c>
      <c r="U15297" t="s">
        <v>62106</v>
      </c>
      <c r="W15297" t="s">
        <v>47341</v>
      </c>
      <c r="X15297" t="s">
        <v>47452</v>
      </c>
    </row>
    <row r="15298" spans="1:24">
      <c r="A15298">
        <f>HYPERLINK("https://www.philgeps.gov.ph/GEPSNONPILOT/Tender/SplashBidNoticeAbstractUI.aspx?menuIndex=3&amp;refID=7110683&amp;Result=3","7110683")</f>
        <v>0</v>
      </c>
      <c r="B15298" t="s">
        <v>650</v>
      </c>
      <c r="C15298" t="s">
        <v>18395</v>
      </c>
      <c r="D15298" t="s">
        <v>19017</v>
      </c>
      <c r="E15298" t="s">
        <v>32255</v>
      </c>
      <c r="F15298" t="s">
        <v>32831</v>
      </c>
      <c r="G15298" t="s">
        <v>32838</v>
      </c>
      <c r="H15298" t="s">
        <v>32848</v>
      </c>
      <c r="I15298" t="s">
        <v>4558</v>
      </c>
      <c r="J15298" t="s">
        <v>42327</v>
      </c>
      <c r="K15298" t="s">
        <v>42726</v>
      </c>
      <c r="M15298" t="s">
        <v>43668</v>
      </c>
      <c r="N15298" t="s">
        <v>47424</v>
      </c>
      <c r="O15298" t="s">
        <v>47425</v>
      </c>
      <c r="Q15298">
        <v>3</v>
      </c>
      <c r="R15298" t="s">
        <v>47452</v>
      </c>
      <c r="S15298" t="s">
        <v>47624</v>
      </c>
      <c r="T15298" t="s">
        <v>49119</v>
      </c>
      <c r="U15298" t="s">
        <v>62107</v>
      </c>
      <c r="V15298" t="s">
        <v>62774</v>
      </c>
      <c r="W15298" t="s">
        <v>43668</v>
      </c>
      <c r="X15298" t="s">
        <v>47453</v>
      </c>
    </row>
    <row r="15299" spans="1:24">
      <c r="A15299">
        <f>HYPERLINK("https://www.philgeps.gov.ph/GEPSNONPILOT/Tender/SplashBidNoticeAbstractUI.aspx?menuIndex=3&amp;refID=7110726&amp;Result=3","7110726")</f>
        <v>0</v>
      </c>
      <c r="B15299" t="s">
        <v>650</v>
      </c>
      <c r="C15299" t="s">
        <v>18396</v>
      </c>
      <c r="D15299" t="s">
        <v>19017</v>
      </c>
      <c r="E15299" t="s">
        <v>32256</v>
      </c>
      <c r="F15299" t="s">
        <v>32831</v>
      </c>
      <c r="G15299" t="s">
        <v>32838</v>
      </c>
      <c r="H15299" t="s">
        <v>32848</v>
      </c>
      <c r="I15299" t="s">
        <v>4558</v>
      </c>
      <c r="J15299" t="s">
        <v>42328</v>
      </c>
      <c r="K15299" t="s">
        <v>42726</v>
      </c>
      <c r="M15299" t="s">
        <v>43668</v>
      </c>
      <c r="N15299" t="s">
        <v>47424</v>
      </c>
      <c r="O15299" t="s">
        <v>47425</v>
      </c>
      <c r="Q15299">
        <v>4</v>
      </c>
      <c r="R15299" t="s">
        <v>47452</v>
      </c>
      <c r="S15299" t="s">
        <v>48682</v>
      </c>
      <c r="T15299" t="s">
        <v>49119</v>
      </c>
      <c r="U15299" t="s">
        <v>62108</v>
      </c>
      <c r="V15299" t="s">
        <v>62774</v>
      </c>
      <c r="W15299" t="s">
        <v>43668</v>
      </c>
      <c r="X15299" t="s">
        <v>47453</v>
      </c>
    </row>
    <row r="15300" spans="1:24">
      <c r="A15300">
        <f>HYPERLINK("https://www.philgeps.gov.ph/GEPSNONPILOT/Tender/SplashBidNoticeAbstractUI.aspx?menuIndex=3&amp;refID=7110482&amp;Result=3","7110482")</f>
        <v>0</v>
      </c>
      <c r="B15300" t="s">
        <v>650</v>
      </c>
      <c r="C15300" t="s">
        <v>18397</v>
      </c>
      <c r="D15300" t="s">
        <v>19017</v>
      </c>
      <c r="E15300" t="s">
        <v>32257</v>
      </c>
      <c r="F15300" t="s">
        <v>32831</v>
      </c>
      <c r="G15300" t="s">
        <v>32838</v>
      </c>
      <c r="H15300" t="s">
        <v>32848</v>
      </c>
      <c r="I15300" t="s">
        <v>4558</v>
      </c>
      <c r="J15300" t="s">
        <v>38145</v>
      </c>
      <c r="K15300" t="s">
        <v>42726</v>
      </c>
      <c r="M15300" t="s">
        <v>43668</v>
      </c>
      <c r="N15300" t="s">
        <v>47424</v>
      </c>
      <c r="O15300" t="s">
        <v>47425</v>
      </c>
      <c r="Q15300">
        <v>5</v>
      </c>
      <c r="R15300" t="s">
        <v>47452</v>
      </c>
      <c r="S15300" t="s">
        <v>48365</v>
      </c>
      <c r="T15300" t="s">
        <v>49119</v>
      </c>
      <c r="U15300" t="s">
        <v>62109</v>
      </c>
      <c r="V15300" t="s">
        <v>62774</v>
      </c>
      <c r="W15300" t="s">
        <v>43668</v>
      </c>
      <c r="X15300" t="s">
        <v>47453</v>
      </c>
    </row>
    <row r="15301" spans="1:24">
      <c r="A15301">
        <f>HYPERLINK("https://www.philgeps.gov.ph/GEPSNONPILOT/Tender/SplashBidNoticeAbstractUI.aspx?menuIndex=3&amp;refID=7116020&amp;Result=3","7116020")</f>
        <v>0</v>
      </c>
      <c r="B15301" t="s">
        <v>352</v>
      </c>
      <c r="C15301" t="s">
        <v>18398</v>
      </c>
      <c r="D15301" t="s">
        <v>19101</v>
      </c>
      <c r="E15301" t="s">
        <v>32258</v>
      </c>
      <c r="F15301" t="s">
        <v>32831</v>
      </c>
      <c r="G15301" t="s">
        <v>32839</v>
      </c>
      <c r="H15301" t="s">
        <v>32850</v>
      </c>
      <c r="I15301" t="s">
        <v>32863</v>
      </c>
      <c r="J15301" t="s">
        <v>42329</v>
      </c>
      <c r="K15301" t="s">
        <v>42870</v>
      </c>
      <c r="M15301" t="s">
        <v>43871</v>
      </c>
      <c r="N15301" t="s">
        <v>47424</v>
      </c>
      <c r="O15301" t="s">
        <v>47425</v>
      </c>
      <c r="Q15301">
        <v>5</v>
      </c>
      <c r="R15301" t="s">
        <v>47451</v>
      </c>
      <c r="S15301" t="s">
        <v>48683</v>
      </c>
      <c r="T15301" t="s">
        <v>49135</v>
      </c>
      <c r="U15301" t="s">
        <v>62110</v>
      </c>
      <c r="W15301" t="s">
        <v>43871</v>
      </c>
      <c r="X15301" t="s">
        <v>47452</v>
      </c>
    </row>
    <row r="15302" spans="1:24">
      <c r="A15302">
        <f>HYPERLINK("https://www.philgeps.gov.ph/GEPSNONPILOT/Tender/SplashBidNoticeAbstractUI.aspx?menuIndex=3&amp;refID=7110298&amp;Result=3","7110298")</f>
        <v>0</v>
      </c>
      <c r="B15302" t="s">
        <v>1333</v>
      </c>
      <c r="C15302" t="s">
        <v>18399</v>
      </c>
      <c r="D15302" t="s">
        <v>19042</v>
      </c>
      <c r="E15302" t="s">
        <v>31266</v>
      </c>
      <c r="F15302" t="s">
        <v>32831</v>
      </c>
      <c r="G15302" t="s">
        <v>32839</v>
      </c>
      <c r="H15302" t="s">
        <v>32849</v>
      </c>
      <c r="I15302" t="s">
        <v>4177</v>
      </c>
      <c r="J15302" t="s">
        <v>38806</v>
      </c>
      <c r="K15302" t="s">
        <v>42729</v>
      </c>
      <c r="M15302" t="s">
        <v>44405</v>
      </c>
      <c r="N15302" t="s">
        <v>47424</v>
      </c>
      <c r="O15302" t="s">
        <v>47425</v>
      </c>
      <c r="P15302">
        <v>0</v>
      </c>
      <c r="Q15302">
        <v>2</v>
      </c>
      <c r="R15302" t="s">
        <v>47452</v>
      </c>
      <c r="S15302" t="s">
        <v>48684</v>
      </c>
      <c r="T15302" t="s">
        <v>49379</v>
      </c>
      <c r="U15302" t="s">
        <v>62111</v>
      </c>
      <c r="W15302" t="s">
        <v>44405</v>
      </c>
      <c r="X15302" t="s">
        <v>47453</v>
      </c>
    </row>
    <row r="15303" spans="1:24">
      <c r="A15303">
        <f>HYPERLINK("https://www.philgeps.gov.ph/GEPSNONPILOT/Tender/SplashBidNoticeAbstractUI.aspx?menuIndex=3&amp;refID=7110708&amp;Result=3","7110708")</f>
        <v>0</v>
      </c>
      <c r="B15303" t="s">
        <v>650</v>
      </c>
      <c r="C15303" t="s">
        <v>18400</v>
      </c>
      <c r="D15303" t="s">
        <v>19017</v>
      </c>
      <c r="E15303" t="s">
        <v>32259</v>
      </c>
      <c r="F15303" t="s">
        <v>32831</v>
      </c>
      <c r="G15303" t="s">
        <v>32838</v>
      </c>
      <c r="H15303" t="s">
        <v>32848</v>
      </c>
      <c r="I15303" t="s">
        <v>4558</v>
      </c>
      <c r="J15303" t="s">
        <v>42330</v>
      </c>
      <c r="K15303" t="s">
        <v>42726</v>
      </c>
      <c r="M15303" t="s">
        <v>43668</v>
      </c>
      <c r="N15303" t="s">
        <v>47424</v>
      </c>
      <c r="O15303" t="s">
        <v>47425</v>
      </c>
      <c r="Q15303">
        <v>3</v>
      </c>
      <c r="R15303" t="s">
        <v>47452</v>
      </c>
      <c r="S15303" t="s">
        <v>48685</v>
      </c>
      <c r="T15303" t="s">
        <v>49119</v>
      </c>
      <c r="U15303" t="s">
        <v>62112</v>
      </c>
      <c r="V15303" t="s">
        <v>62774</v>
      </c>
      <c r="W15303" t="s">
        <v>43668</v>
      </c>
      <c r="X15303" t="s">
        <v>47453</v>
      </c>
    </row>
    <row r="15304" spans="1:24">
      <c r="A15304">
        <f>HYPERLINK("https://www.philgeps.gov.ph/GEPSNONPILOT/Tender/SplashBidNoticeAbstractUI.aspx?menuIndex=3&amp;refID=7110606&amp;Result=3","7110606")</f>
        <v>0</v>
      </c>
      <c r="B15304" t="s">
        <v>3833</v>
      </c>
      <c r="C15304" t="s">
        <v>18401</v>
      </c>
      <c r="D15304" t="s">
        <v>19056</v>
      </c>
      <c r="E15304" t="s">
        <v>32260</v>
      </c>
      <c r="F15304" t="s">
        <v>32831</v>
      </c>
      <c r="G15304" t="s">
        <v>32839</v>
      </c>
      <c r="H15304" t="s">
        <v>32850</v>
      </c>
      <c r="I15304" t="s">
        <v>7751</v>
      </c>
      <c r="J15304" t="s">
        <v>33118</v>
      </c>
      <c r="K15304" t="s">
        <v>42727</v>
      </c>
      <c r="M15304" t="s">
        <v>47342</v>
      </c>
      <c r="N15304" t="s">
        <v>47424</v>
      </c>
      <c r="O15304" t="s">
        <v>47425</v>
      </c>
      <c r="Q15304">
        <v>3</v>
      </c>
      <c r="R15304" t="s">
        <v>47452</v>
      </c>
      <c r="S15304" t="s">
        <v>48686</v>
      </c>
      <c r="T15304" t="s">
        <v>49104</v>
      </c>
      <c r="U15304" t="s">
        <v>62113</v>
      </c>
      <c r="W15304" t="s">
        <v>47342</v>
      </c>
      <c r="X15304" t="s">
        <v>47453</v>
      </c>
    </row>
    <row r="15305" spans="1:24">
      <c r="A15305">
        <f>HYPERLINK("https://www.philgeps.gov.ph/GEPSNONPILOT/Tender/SplashBidNoticeAbstractUI.aspx?menuIndex=3&amp;refID=7116202&amp;Result=3","7116202")</f>
        <v>0</v>
      </c>
      <c r="B15305" t="s">
        <v>3885</v>
      </c>
      <c r="C15305" t="s">
        <v>18402</v>
      </c>
      <c r="D15305" t="s">
        <v>19044</v>
      </c>
      <c r="E15305" t="s">
        <v>32261</v>
      </c>
      <c r="F15305" t="s">
        <v>32831</v>
      </c>
      <c r="G15305" t="s">
        <v>32839</v>
      </c>
      <c r="H15305" t="s">
        <v>32848</v>
      </c>
      <c r="I15305" t="s">
        <v>32860</v>
      </c>
      <c r="J15305" t="s">
        <v>42331</v>
      </c>
      <c r="K15305" t="s">
        <v>42727</v>
      </c>
      <c r="M15305" t="s">
        <v>47343</v>
      </c>
      <c r="N15305" t="s">
        <v>47424</v>
      </c>
      <c r="O15305" t="s">
        <v>47425</v>
      </c>
      <c r="Q15305">
        <v>0</v>
      </c>
      <c r="R15305" t="s">
        <v>47451</v>
      </c>
      <c r="S15305" t="s">
        <v>47903</v>
      </c>
      <c r="T15305" t="s">
        <v>49111</v>
      </c>
      <c r="U15305" t="s">
        <v>62114</v>
      </c>
      <c r="W15305" t="s">
        <v>47343</v>
      </c>
      <c r="X15305" t="s">
        <v>47452</v>
      </c>
    </row>
    <row r="15306" spans="1:24">
      <c r="A15306">
        <f>HYPERLINK("https://www.philgeps.gov.ph/GEPSNONPILOT/Tender/SplashBidNoticeAbstractUI.aspx?menuIndex=3&amp;refID=7115952&amp;Result=3","7115952")</f>
        <v>0</v>
      </c>
      <c r="B15306" t="s">
        <v>740</v>
      </c>
      <c r="C15306" t="s">
        <v>18403</v>
      </c>
      <c r="D15306" t="s">
        <v>19049</v>
      </c>
      <c r="E15306" t="s">
        <v>32262</v>
      </c>
      <c r="F15306" t="s">
        <v>32831</v>
      </c>
      <c r="G15306" t="s">
        <v>32839</v>
      </c>
      <c r="H15306" t="s">
        <v>32848</v>
      </c>
      <c r="I15306" t="s">
        <v>7751</v>
      </c>
      <c r="J15306" t="s">
        <v>33528</v>
      </c>
      <c r="K15306" t="s">
        <v>42730</v>
      </c>
      <c r="M15306" t="s">
        <v>43763</v>
      </c>
      <c r="N15306" t="s">
        <v>47424</v>
      </c>
      <c r="O15306" t="s">
        <v>47425</v>
      </c>
      <c r="P15306">
        <v>0</v>
      </c>
      <c r="Q15306">
        <v>6</v>
      </c>
      <c r="R15306" t="s">
        <v>47451</v>
      </c>
      <c r="S15306" t="s">
        <v>48651</v>
      </c>
      <c r="T15306" t="s">
        <v>49214</v>
      </c>
      <c r="U15306" t="s">
        <v>62115</v>
      </c>
      <c r="W15306" t="s">
        <v>43763</v>
      </c>
      <c r="X15306" t="s">
        <v>47452</v>
      </c>
    </row>
    <row r="15307" spans="1:24">
      <c r="A15307">
        <f>HYPERLINK("https://www.philgeps.gov.ph/GEPSNONPILOT/Tender/SplashBidNoticeAbstractUI.aspx?menuIndex=3&amp;refID=7116140&amp;Result=3","7116140")</f>
        <v>0</v>
      </c>
      <c r="B15307" t="s">
        <v>352</v>
      </c>
      <c r="C15307" t="s">
        <v>18404</v>
      </c>
      <c r="D15307" t="s">
        <v>19101</v>
      </c>
      <c r="E15307" t="s">
        <v>32263</v>
      </c>
      <c r="F15307" t="s">
        <v>32831</v>
      </c>
      <c r="G15307" t="s">
        <v>32839</v>
      </c>
      <c r="H15307" t="s">
        <v>32850</v>
      </c>
      <c r="I15307" t="s">
        <v>32863</v>
      </c>
      <c r="J15307" t="s">
        <v>42332</v>
      </c>
      <c r="K15307" t="s">
        <v>42775</v>
      </c>
      <c r="M15307" t="s">
        <v>43871</v>
      </c>
      <c r="N15307" t="s">
        <v>47424</v>
      </c>
      <c r="O15307" t="s">
        <v>47425</v>
      </c>
      <c r="Q15307">
        <v>7</v>
      </c>
      <c r="R15307" t="s">
        <v>47451</v>
      </c>
      <c r="S15307" t="s">
        <v>47988</v>
      </c>
      <c r="T15307" t="s">
        <v>49377</v>
      </c>
      <c r="U15307" t="s">
        <v>62116</v>
      </c>
      <c r="W15307" t="s">
        <v>43871</v>
      </c>
      <c r="X15307" t="s">
        <v>47452</v>
      </c>
    </row>
    <row r="15308" spans="1:24">
      <c r="A15308">
        <f>HYPERLINK("https://www.philgeps.gov.ph/GEPSNONPILOT/Tender/SplashBidNoticeAbstractUI.aspx?menuIndex=3&amp;refID=7116074&amp;Result=3","7116074")</f>
        <v>0</v>
      </c>
      <c r="B15308" t="s">
        <v>352</v>
      </c>
      <c r="C15308" t="s">
        <v>18405</v>
      </c>
      <c r="D15308" t="s">
        <v>19101</v>
      </c>
      <c r="E15308" t="s">
        <v>32264</v>
      </c>
      <c r="F15308" t="s">
        <v>32831</v>
      </c>
      <c r="G15308" t="s">
        <v>32839</v>
      </c>
      <c r="H15308" t="s">
        <v>32848</v>
      </c>
      <c r="I15308" t="s">
        <v>7751</v>
      </c>
      <c r="J15308" t="s">
        <v>36025</v>
      </c>
      <c r="K15308" t="s">
        <v>42729</v>
      </c>
      <c r="M15308" t="s">
        <v>43871</v>
      </c>
      <c r="N15308" t="s">
        <v>47424</v>
      </c>
      <c r="O15308" t="s">
        <v>47425</v>
      </c>
      <c r="Q15308">
        <v>6</v>
      </c>
      <c r="R15308" t="s">
        <v>47451</v>
      </c>
      <c r="S15308" t="s">
        <v>48687</v>
      </c>
      <c r="T15308" t="s">
        <v>49321</v>
      </c>
      <c r="U15308" t="s">
        <v>62117</v>
      </c>
      <c r="W15308" t="s">
        <v>43871</v>
      </c>
      <c r="X15308" t="s">
        <v>47452</v>
      </c>
    </row>
    <row r="15309" spans="1:24">
      <c r="A15309">
        <f>HYPERLINK("https://www.philgeps.gov.ph/GEPSNONPILOT/Tender/SplashBidNoticeAbstractUI.aspx?menuIndex=3&amp;refID=7110873&amp;Result=3","7110873")</f>
        <v>0</v>
      </c>
      <c r="B15309" t="s">
        <v>3449</v>
      </c>
      <c r="C15309" t="s">
        <v>18406</v>
      </c>
      <c r="D15309" t="s">
        <v>19049</v>
      </c>
      <c r="E15309" t="s">
        <v>32265</v>
      </c>
      <c r="F15309" t="s">
        <v>32831</v>
      </c>
      <c r="G15309" t="s">
        <v>32839</v>
      </c>
      <c r="H15309" t="s">
        <v>32848</v>
      </c>
      <c r="I15309" t="s">
        <v>32877</v>
      </c>
      <c r="J15309" t="s">
        <v>42333</v>
      </c>
      <c r="K15309" t="s">
        <v>42729</v>
      </c>
      <c r="M15309" t="s">
        <v>46789</v>
      </c>
      <c r="N15309" t="s">
        <v>47424</v>
      </c>
      <c r="O15309" t="s">
        <v>47425</v>
      </c>
      <c r="P15309">
        <v>0</v>
      </c>
      <c r="Q15309">
        <v>4</v>
      </c>
      <c r="R15309" t="s">
        <v>47452</v>
      </c>
      <c r="S15309" t="s">
        <v>48684</v>
      </c>
      <c r="T15309" t="s">
        <v>49237</v>
      </c>
      <c r="U15309" t="s">
        <v>62118</v>
      </c>
      <c r="V15309" t="s">
        <v>63921</v>
      </c>
      <c r="W15309" t="s">
        <v>46789</v>
      </c>
      <c r="X15309" t="s">
        <v>47453</v>
      </c>
    </row>
    <row r="15310" spans="1:24">
      <c r="A15310">
        <f>HYPERLINK("https://www.philgeps.gov.ph/GEPSNONPILOT/Tender/SplashBidNoticeAbstractUI.aspx?menuIndex=3&amp;refID=7116222&amp;Result=3","7116222")</f>
        <v>0</v>
      </c>
      <c r="B15310" t="s">
        <v>192</v>
      </c>
      <c r="C15310" t="s">
        <v>18407</v>
      </c>
      <c r="D15310" t="s">
        <v>19057</v>
      </c>
      <c r="E15310" t="s">
        <v>32266</v>
      </c>
      <c r="F15310" t="s">
        <v>32831</v>
      </c>
      <c r="G15310" t="s">
        <v>32839</v>
      </c>
      <c r="H15310" t="s">
        <v>32849</v>
      </c>
      <c r="I15310" t="s">
        <v>4177</v>
      </c>
      <c r="J15310" t="s">
        <v>42334</v>
      </c>
      <c r="K15310" t="s">
        <v>42780</v>
      </c>
      <c r="M15310" t="s">
        <v>43190</v>
      </c>
      <c r="N15310" t="s">
        <v>47424</v>
      </c>
      <c r="O15310" t="s">
        <v>47425</v>
      </c>
      <c r="Q15310">
        <v>26</v>
      </c>
      <c r="R15310" t="s">
        <v>47451</v>
      </c>
      <c r="S15310" t="s">
        <v>48688</v>
      </c>
      <c r="T15310" t="s">
        <v>49142</v>
      </c>
      <c r="U15310" t="s">
        <v>62119</v>
      </c>
      <c r="W15310" t="s">
        <v>43190</v>
      </c>
      <c r="X15310" t="s">
        <v>47452</v>
      </c>
    </row>
    <row r="15311" spans="1:24">
      <c r="A15311">
        <f>HYPERLINK("https://www.philgeps.gov.ph/GEPSNONPILOT/Tender/SplashBidNoticeAbstractUI.aspx?menuIndex=3&amp;refID=7112139&amp;Result=3","7112139")</f>
        <v>0</v>
      </c>
      <c r="B15311" t="s">
        <v>285</v>
      </c>
      <c r="C15311" t="s">
        <v>18408</v>
      </c>
      <c r="D15311" t="s">
        <v>19038</v>
      </c>
      <c r="E15311" t="s">
        <v>32267</v>
      </c>
      <c r="F15311" t="s">
        <v>32831</v>
      </c>
      <c r="G15311" t="s">
        <v>32839</v>
      </c>
      <c r="H15311" t="s">
        <v>32848</v>
      </c>
      <c r="I15311" t="s">
        <v>4558</v>
      </c>
      <c r="J15311" t="s">
        <v>42335</v>
      </c>
      <c r="K15311" t="s">
        <v>42732</v>
      </c>
      <c r="M15311" t="s">
        <v>43284</v>
      </c>
      <c r="N15311" t="s">
        <v>47424</v>
      </c>
      <c r="O15311" t="s">
        <v>47425</v>
      </c>
      <c r="Q15311">
        <v>8</v>
      </c>
      <c r="R15311" t="s">
        <v>47452</v>
      </c>
      <c r="S15311" t="s">
        <v>48689</v>
      </c>
      <c r="T15311" t="s">
        <v>49237</v>
      </c>
      <c r="U15311" t="s">
        <v>62120</v>
      </c>
      <c r="W15311" t="s">
        <v>43284</v>
      </c>
      <c r="X15311" t="s">
        <v>47453</v>
      </c>
    </row>
    <row r="15312" spans="1:24">
      <c r="A15312">
        <f>HYPERLINK("https://www.philgeps.gov.ph/GEPSNONPILOT/Tender/SplashBidNoticeAbstractUI.aspx?menuIndex=3&amp;refID=7112120&amp;Result=3","7112120")</f>
        <v>0</v>
      </c>
      <c r="B15312" t="s">
        <v>3881</v>
      </c>
      <c r="C15312" t="s">
        <v>18409</v>
      </c>
      <c r="D15312" t="s">
        <v>19077</v>
      </c>
      <c r="E15312" t="s">
        <v>32268</v>
      </c>
      <c r="F15312" t="s">
        <v>32831</v>
      </c>
      <c r="G15312" t="s">
        <v>32839</v>
      </c>
      <c r="H15312" t="s">
        <v>32849</v>
      </c>
      <c r="I15312" t="s">
        <v>32889</v>
      </c>
      <c r="J15312" t="s">
        <v>33257</v>
      </c>
      <c r="K15312" t="s">
        <v>42845</v>
      </c>
      <c r="M15312" t="s">
        <v>47333</v>
      </c>
      <c r="N15312" t="s">
        <v>47424</v>
      </c>
      <c r="O15312" t="s">
        <v>47425</v>
      </c>
      <c r="Q15312">
        <v>0</v>
      </c>
      <c r="R15312" t="s">
        <v>47452</v>
      </c>
      <c r="S15312" t="s">
        <v>48690</v>
      </c>
      <c r="T15312" t="s">
        <v>49120</v>
      </c>
      <c r="U15312" t="s">
        <v>62121</v>
      </c>
      <c r="V15312" t="s">
        <v>64353</v>
      </c>
      <c r="W15312" t="s">
        <v>47333</v>
      </c>
      <c r="X15312" t="s">
        <v>47453</v>
      </c>
    </row>
    <row r="15313" spans="1:24">
      <c r="A15313">
        <f>HYPERLINK("https://www.philgeps.gov.ph/GEPSNONPILOT/Tender/SplashBidNoticeAbstractUI.aspx?menuIndex=3&amp;refID=7112098&amp;Result=3","7112098")</f>
        <v>0</v>
      </c>
      <c r="B15313" t="s">
        <v>285</v>
      </c>
      <c r="C15313" t="s">
        <v>18410</v>
      </c>
      <c r="D15313" t="s">
        <v>19038</v>
      </c>
      <c r="E15313" t="s">
        <v>32269</v>
      </c>
      <c r="F15313" t="s">
        <v>32831</v>
      </c>
      <c r="G15313" t="s">
        <v>32839</v>
      </c>
      <c r="H15313" t="s">
        <v>32848</v>
      </c>
      <c r="I15313" t="s">
        <v>4438</v>
      </c>
      <c r="J15313" t="s">
        <v>42336</v>
      </c>
      <c r="K15313" t="s">
        <v>42732</v>
      </c>
      <c r="M15313" t="s">
        <v>43284</v>
      </c>
      <c r="N15313" t="s">
        <v>47424</v>
      </c>
      <c r="O15313" t="s">
        <v>47425</v>
      </c>
      <c r="Q15313">
        <v>2</v>
      </c>
      <c r="R15313" t="s">
        <v>47452</v>
      </c>
      <c r="S15313" t="s">
        <v>48691</v>
      </c>
      <c r="T15313" t="s">
        <v>49237</v>
      </c>
      <c r="U15313" t="s">
        <v>62122</v>
      </c>
      <c r="W15313" t="s">
        <v>43284</v>
      </c>
      <c r="X15313" t="s">
        <v>47453</v>
      </c>
    </row>
    <row r="15314" spans="1:24">
      <c r="A15314">
        <f>HYPERLINK("https://www.philgeps.gov.ph/GEPSNONPILOT/Tender/SplashBidNoticeAbstractUI.aspx?menuIndex=3&amp;refID=7110560&amp;Result=3","7110560")</f>
        <v>0</v>
      </c>
      <c r="B15314" t="s">
        <v>3833</v>
      </c>
      <c r="C15314" t="s">
        <v>18411</v>
      </c>
      <c r="D15314" t="s">
        <v>19056</v>
      </c>
      <c r="E15314" t="s">
        <v>32270</v>
      </c>
      <c r="F15314" t="s">
        <v>32831</v>
      </c>
      <c r="G15314" t="s">
        <v>32839</v>
      </c>
      <c r="H15314" t="s">
        <v>32850</v>
      </c>
      <c r="I15314" t="s">
        <v>32883</v>
      </c>
      <c r="J15314" t="s">
        <v>33083</v>
      </c>
      <c r="K15314" t="s">
        <v>42727</v>
      </c>
      <c r="M15314" t="s">
        <v>47342</v>
      </c>
      <c r="N15314" t="s">
        <v>47424</v>
      </c>
      <c r="O15314" t="s">
        <v>47425</v>
      </c>
      <c r="Q15314">
        <v>4</v>
      </c>
      <c r="R15314" t="s">
        <v>47452</v>
      </c>
      <c r="S15314" t="s">
        <v>48692</v>
      </c>
      <c r="T15314" t="s">
        <v>49104</v>
      </c>
      <c r="U15314" t="s">
        <v>62123</v>
      </c>
      <c r="W15314" t="s">
        <v>47342</v>
      </c>
      <c r="X15314" t="s">
        <v>47453</v>
      </c>
    </row>
    <row r="15315" spans="1:24">
      <c r="A15315">
        <f>HYPERLINK("https://www.philgeps.gov.ph/GEPSNONPILOT/Tender/SplashBidNoticeAbstractUI.aspx?menuIndex=3&amp;refID=7112010&amp;Result=3","7112010")</f>
        <v>0</v>
      </c>
      <c r="B15315" t="s">
        <v>2512</v>
      </c>
      <c r="C15315" t="s">
        <v>18412</v>
      </c>
      <c r="D15315" t="s">
        <v>19064</v>
      </c>
      <c r="E15315" t="s">
        <v>32271</v>
      </c>
      <c r="F15315" t="s">
        <v>32831</v>
      </c>
      <c r="G15315" t="s">
        <v>32839</v>
      </c>
      <c r="H15315" t="s">
        <v>32848</v>
      </c>
      <c r="I15315" t="s">
        <v>4177</v>
      </c>
      <c r="J15315" t="s">
        <v>42337</v>
      </c>
      <c r="K15315" t="s">
        <v>42750</v>
      </c>
      <c r="M15315" t="s">
        <v>45719</v>
      </c>
      <c r="N15315" t="s">
        <v>47424</v>
      </c>
      <c r="O15315" t="s">
        <v>47425</v>
      </c>
      <c r="P15315">
        <v>0</v>
      </c>
      <c r="Q15315">
        <v>26</v>
      </c>
      <c r="R15315" t="s">
        <v>47452</v>
      </c>
      <c r="S15315" t="s">
        <v>48684</v>
      </c>
      <c r="T15315" t="s">
        <v>49143</v>
      </c>
      <c r="U15315" t="s">
        <v>62124</v>
      </c>
      <c r="W15315" t="s">
        <v>45719</v>
      </c>
      <c r="X15315" t="s">
        <v>47453</v>
      </c>
    </row>
    <row r="15316" spans="1:24">
      <c r="A15316">
        <f>HYPERLINK("https://www.philgeps.gov.ph/GEPSNONPILOT/Tender/SplashBidNoticeAbstractUI.aspx?menuIndex=3&amp;refID=7110128&amp;Result=3","7110128")</f>
        <v>0</v>
      </c>
      <c r="B15316" t="s">
        <v>2476</v>
      </c>
      <c r="C15316" t="s">
        <v>18413</v>
      </c>
      <c r="D15316" t="s">
        <v>19081</v>
      </c>
      <c r="E15316" t="s">
        <v>32272</v>
      </c>
      <c r="F15316" t="s">
        <v>32831</v>
      </c>
      <c r="G15316" t="s">
        <v>32839</v>
      </c>
      <c r="H15316" t="s">
        <v>32848</v>
      </c>
      <c r="I15316" t="s">
        <v>4177</v>
      </c>
      <c r="J15316" t="s">
        <v>42338</v>
      </c>
      <c r="K15316" t="s">
        <v>42729</v>
      </c>
      <c r="M15316" t="s">
        <v>45677</v>
      </c>
      <c r="N15316" t="s">
        <v>47424</v>
      </c>
      <c r="O15316" t="s">
        <v>47425</v>
      </c>
      <c r="Q15316">
        <v>0</v>
      </c>
      <c r="R15316" t="s">
        <v>47452</v>
      </c>
      <c r="S15316" t="s">
        <v>48693</v>
      </c>
      <c r="T15316" t="s">
        <v>49562</v>
      </c>
      <c r="U15316" t="s">
        <v>62125</v>
      </c>
      <c r="W15316" t="s">
        <v>45677</v>
      </c>
      <c r="X15316" t="s">
        <v>47453</v>
      </c>
    </row>
    <row r="15317" spans="1:24">
      <c r="A15317">
        <f>HYPERLINK("https://www.philgeps.gov.ph/GEPSNONPILOT/Tender/SplashBidNoticeAbstractUI.aspx?menuIndex=3&amp;refID=7111792&amp;Result=3","7111792")</f>
        <v>0</v>
      </c>
      <c r="B15317" t="s">
        <v>598</v>
      </c>
      <c r="C15317" t="s">
        <v>18414</v>
      </c>
      <c r="E15317" t="s">
        <v>32273</v>
      </c>
      <c r="F15317" t="s">
        <v>32831</v>
      </c>
      <c r="G15317" t="s">
        <v>32839</v>
      </c>
      <c r="H15317" t="s">
        <v>32848</v>
      </c>
      <c r="I15317" t="s">
        <v>4487</v>
      </c>
      <c r="J15317" t="s">
        <v>42339</v>
      </c>
      <c r="K15317" t="s">
        <v>42732</v>
      </c>
      <c r="M15317" t="s">
        <v>43991</v>
      </c>
      <c r="N15317" t="s">
        <v>47424</v>
      </c>
      <c r="O15317" t="s">
        <v>47425</v>
      </c>
      <c r="Q15317">
        <v>33</v>
      </c>
      <c r="R15317" t="s">
        <v>47452</v>
      </c>
      <c r="S15317" t="s">
        <v>48694</v>
      </c>
      <c r="T15317" t="s">
        <v>49150</v>
      </c>
      <c r="U15317" t="s">
        <v>58542</v>
      </c>
      <c r="W15317" t="s">
        <v>43991</v>
      </c>
      <c r="X15317" t="s">
        <v>47453</v>
      </c>
    </row>
    <row r="15318" spans="1:24">
      <c r="A15318">
        <f>HYPERLINK("https://www.philgeps.gov.ph/GEPSNONPILOT/Tender/SplashBidNoticeAbstractUI.aspx?menuIndex=3&amp;refID=7111627&amp;Result=3","7111627")</f>
        <v>0</v>
      </c>
      <c r="B15318" t="s">
        <v>3881</v>
      </c>
      <c r="C15318" t="s">
        <v>18415</v>
      </c>
      <c r="D15318" t="s">
        <v>19077</v>
      </c>
      <c r="E15318" t="s">
        <v>32274</v>
      </c>
      <c r="F15318" t="s">
        <v>32831</v>
      </c>
      <c r="G15318" t="s">
        <v>32839</v>
      </c>
      <c r="H15318" t="s">
        <v>32848</v>
      </c>
      <c r="I15318" t="s">
        <v>4776</v>
      </c>
      <c r="J15318" t="s">
        <v>40454</v>
      </c>
      <c r="K15318" t="s">
        <v>42730</v>
      </c>
      <c r="M15318" t="s">
        <v>47333</v>
      </c>
      <c r="N15318" t="s">
        <v>47424</v>
      </c>
      <c r="O15318" t="s">
        <v>47425</v>
      </c>
      <c r="Q15318">
        <v>12</v>
      </c>
      <c r="R15318" t="s">
        <v>47452</v>
      </c>
      <c r="S15318" t="s">
        <v>48695</v>
      </c>
      <c r="T15318" t="s">
        <v>49120</v>
      </c>
      <c r="U15318" t="s">
        <v>62126</v>
      </c>
      <c r="V15318" t="s">
        <v>64353</v>
      </c>
      <c r="W15318" t="s">
        <v>47333</v>
      </c>
      <c r="X15318" t="s">
        <v>47453</v>
      </c>
    </row>
    <row r="15319" spans="1:24">
      <c r="A15319">
        <f>HYPERLINK("https://www.philgeps.gov.ph/GEPSNONPILOT/Tender/SplashBidNoticeAbstractUI.aspx?menuIndex=3&amp;refID=7111562&amp;Result=3","7111562")</f>
        <v>0</v>
      </c>
      <c r="B15319" t="s">
        <v>2010</v>
      </c>
      <c r="C15319" t="s">
        <v>18416</v>
      </c>
      <c r="D15319" t="s">
        <v>19079</v>
      </c>
      <c r="E15319" t="s">
        <v>32275</v>
      </c>
      <c r="F15319" t="s">
        <v>32831</v>
      </c>
      <c r="G15319" t="s">
        <v>32839</v>
      </c>
      <c r="H15319" t="s">
        <v>32850</v>
      </c>
      <c r="I15319" t="s">
        <v>7416</v>
      </c>
      <c r="J15319" t="s">
        <v>42340</v>
      </c>
      <c r="K15319" t="s">
        <v>42730</v>
      </c>
      <c r="M15319" t="s">
        <v>45177</v>
      </c>
      <c r="N15319" t="s">
        <v>47424</v>
      </c>
      <c r="O15319" t="s">
        <v>47425</v>
      </c>
      <c r="Q15319">
        <v>0</v>
      </c>
      <c r="R15319" t="s">
        <v>47452</v>
      </c>
      <c r="S15319" t="s">
        <v>48696</v>
      </c>
      <c r="T15319" t="s">
        <v>49237</v>
      </c>
      <c r="U15319" t="s">
        <v>62127</v>
      </c>
      <c r="W15319" t="s">
        <v>45177</v>
      </c>
      <c r="X15319" t="s">
        <v>47453</v>
      </c>
    </row>
    <row r="15320" spans="1:24">
      <c r="A15320">
        <f>HYPERLINK("https://www.philgeps.gov.ph/GEPSNONPILOT/Tender/SplashBidNoticeAbstractUI.aspx?menuIndex=3&amp;refID=7112127&amp;Result=3","7112127")</f>
        <v>0</v>
      </c>
      <c r="B15320" t="s">
        <v>2658</v>
      </c>
      <c r="C15320" t="s">
        <v>18417</v>
      </c>
      <c r="D15320" t="s">
        <v>19045</v>
      </c>
      <c r="E15320" t="s">
        <v>32276</v>
      </c>
      <c r="F15320" t="s">
        <v>32831</v>
      </c>
      <c r="G15320" t="s">
        <v>32839</v>
      </c>
      <c r="H15320" t="s">
        <v>14069</v>
      </c>
      <c r="I15320" t="s">
        <v>14069</v>
      </c>
      <c r="J15320" t="s">
        <v>42341</v>
      </c>
      <c r="K15320" t="s">
        <v>42745</v>
      </c>
      <c r="M15320" t="s">
        <v>45881</v>
      </c>
      <c r="N15320" t="s">
        <v>47424</v>
      </c>
      <c r="O15320" t="s">
        <v>47425</v>
      </c>
      <c r="P15320">
        <v>0</v>
      </c>
      <c r="Q15320">
        <v>2</v>
      </c>
      <c r="R15320" t="s">
        <v>47452</v>
      </c>
      <c r="S15320" t="s">
        <v>48684</v>
      </c>
      <c r="T15320" t="s">
        <v>49239</v>
      </c>
      <c r="U15320" t="s">
        <v>62128</v>
      </c>
      <c r="V15320" t="s">
        <v>63287</v>
      </c>
      <c r="W15320" t="s">
        <v>45881</v>
      </c>
      <c r="X15320" t="s">
        <v>47453</v>
      </c>
    </row>
    <row r="15321" spans="1:24">
      <c r="A15321">
        <f>HYPERLINK("https://www.philgeps.gov.ph/GEPSNONPILOT/Tender/SplashBidNoticeAbstractUI.aspx?menuIndex=3&amp;refID=7111165&amp;Result=3","7111165")</f>
        <v>0</v>
      </c>
      <c r="B15321" t="s">
        <v>2512</v>
      </c>
      <c r="C15321" t="s">
        <v>18418</v>
      </c>
      <c r="D15321" t="s">
        <v>19064</v>
      </c>
      <c r="E15321" t="s">
        <v>32271</v>
      </c>
      <c r="F15321" t="s">
        <v>32836</v>
      </c>
      <c r="G15321" t="s">
        <v>32839</v>
      </c>
      <c r="H15321" t="s">
        <v>32848</v>
      </c>
      <c r="I15321" t="s">
        <v>4177</v>
      </c>
      <c r="J15321" t="s">
        <v>42337</v>
      </c>
      <c r="K15321" t="s">
        <v>42750</v>
      </c>
      <c r="M15321" t="s">
        <v>45719</v>
      </c>
      <c r="N15321" t="s">
        <v>47424</v>
      </c>
      <c r="O15321" t="s">
        <v>47425</v>
      </c>
      <c r="Q15321">
        <v>30</v>
      </c>
      <c r="R15321" t="s">
        <v>47452</v>
      </c>
      <c r="S15321" t="s">
        <v>48697</v>
      </c>
      <c r="T15321" t="s">
        <v>49542</v>
      </c>
      <c r="U15321" t="s">
        <v>62129</v>
      </c>
      <c r="W15321" t="s">
        <v>45719</v>
      </c>
      <c r="X15321" t="s">
        <v>47453</v>
      </c>
    </row>
    <row r="15322" spans="1:24">
      <c r="A15322">
        <f>HYPERLINK("https://www.philgeps.gov.ph/GEPSNONPILOT/Tender/SplashBidNoticeAbstractUI.aspx?menuIndex=3&amp;refID=7116057&amp;Result=3","7116057")</f>
        <v>0</v>
      </c>
      <c r="B15322" t="s">
        <v>352</v>
      </c>
      <c r="C15322" t="s">
        <v>18419</v>
      </c>
      <c r="D15322" t="s">
        <v>19101</v>
      </c>
      <c r="E15322" t="s">
        <v>32277</v>
      </c>
      <c r="F15322" t="s">
        <v>32831</v>
      </c>
      <c r="G15322" t="s">
        <v>32839</v>
      </c>
      <c r="H15322" t="s">
        <v>32850</v>
      </c>
      <c r="I15322" t="s">
        <v>32863</v>
      </c>
      <c r="J15322" t="s">
        <v>42342</v>
      </c>
      <c r="K15322" t="s">
        <v>42870</v>
      </c>
      <c r="M15322" t="s">
        <v>43871</v>
      </c>
      <c r="N15322" t="s">
        <v>47424</v>
      </c>
      <c r="O15322" t="s">
        <v>47425</v>
      </c>
      <c r="Q15322">
        <v>6</v>
      </c>
      <c r="R15322" t="s">
        <v>47451</v>
      </c>
      <c r="S15322" t="s">
        <v>48698</v>
      </c>
      <c r="T15322" t="s">
        <v>49135</v>
      </c>
      <c r="U15322" t="s">
        <v>62130</v>
      </c>
      <c r="W15322" t="s">
        <v>43871</v>
      </c>
      <c r="X15322" t="s">
        <v>47452</v>
      </c>
    </row>
    <row r="15323" spans="1:24">
      <c r="A15323">
        <f>HYPERLINK("https://www.philgeps.gov.ph/GEPSNONPILOT/Tender/SplashBidNoticeAbstractUI.aspx?menuIndex=3&amp;refID=7112658&amp;Result=3","7112658")</f>
        <v>0</v>
      </c>
      <c r="B15323" t="s">
        <v>3886</v>
      </c>
      <c r="C15323" t="s">
        <v>18420</v>
      </c>
      <c r="D15323" t="s">
        <v>19045</v>
      </c>
      <c r="E15323" t="s">
        <v>32278</v>
      </c>
      <c r="F15323" t="s">
        <v>32831</v>
      </c>
      <c r="G15323" t="s">
        <v>32839</v>
      </c>
      <c r="H15323" t="s">
        <v>32848</v>
      </c>
      <c r="I15323" t="s">
        <v>7751</v>
      </c>
      <c r="J15323" t="s">
        <v>42343</v>
      </c>
      <c r="K15323" t="s">
        <v>42729</v>
      </c>
      <c r="M15323" t="s">
        <v>47344</v>
      </c>
      <c r="N15323" t="s">
        <v>47424</v>
      </c>
      <c r="O15323" t="s">
        <v>47425</v>
      </c>
      <c r="P15323">
        <v>0</v>
      </c>
      <c r="Q15323">
        <v>4</v>
      </c>
      <c r="R15323" t="s">
        <v>47452</v>
      </c>
      <c r="S15323" t="s">
        <v>48684</v>
      </c>
      <c r="T15323" t="s">
        <v>49370</v>
      </c>
      <c r="U15323" t="s">
        <v>62131</v>
      </c>
      <c r="W15323" t="s">
        <v>47344</v>
      </c>
      <c r="X15323" t="s">
        <v>47453</v>
      </c>
    </row>
    <row r="15324" spans="1:24">
      <c r="A15324">
        <f>HYPERLINK("https://www.philgeps.gov.ph/GEPSNONPILOT/Tender/SplashBidNoticeAbstractUI.aspx?menuIndex=3&amp;refID=7111907&amp;Result=3","7111907")</f>
        <v>0</v>
      </c>
      <c r="B15324" t="s">
        <v>3881</v>
      </c>
      <c r="C15324" t="s">
        <v>18421</v>
      </c>
      <c r="D15324" t="s">
        <v>19077</v>
      </c>
      <c r="E15324" t="s">
        <v>32279</v>
      </c>
      <c r="F15324" t="s">
        <v>32831</v>
      </c>
      <c r="G15324" t="s">
        <v>32839</v>
      </c>
      <c r="H15324" t="s">
        <v>32849</v>
      </c>
      <c r="I15324" t="s">
        <v>32889</v>
      </c>
      <c r="J15324" t="s">
        <v>32985</v>
      </c>
      <c r="K15324" t="s">
        <v>42819</v>
      </c>
      <c r="M15324" t="s">
        <v>47333</v>
      </c>
      <c r="N15324" t="s">
        <v>47424</v>
      </c>
      <c r="O15324" t="s">
        <v>47425</v>
      </c>
      <c r="Q15324">
        <v>0</v>
      </c>
      <c r="R15324" t="s">
        <v>47452</v>
      </c>
      <c r="S15324" t="s">
        <v>48699</v>
      </c>
      <c r="T15324" t="s">
        <v>49120</v>
      </c>
      <c r="U15324" t="s">
        <v>62132</v>
      </c>
      <c r="V15324" t="s">
        <v>64354</v>
      </c>
      <c r="W15324" t="s">
        <v>47333</v>
      </c>
      <c r="X15324" t="s">
        <v>47453</v>
      </c>
    </row>
    <row r="15325" spans="1:24">
      <c r="A15325">
        <f>HYPERLINK("https://www.philgeps.gov.ph/GEPSNONPILOT/Tender/SplashBidNoticeAbstractUI.aspx?menuIndex=3&amp;refID=7101349&amp;Result=3","7101349")</f>
        <v>0</v>
      </c>
      <c r="B15325" t="s">
        <v>1597</v>
      </c>
      <c r="C15325" t="s">
        <v>18422</v>
      </c>
      <c r="D15325" t="s">
        <v>19031</v>
      </c>
      <c r="E15325" t="s">
        <v>32280</v>
      </c>
      <c r="F15325" t="s">
        <v>32831</v>
      </c>
      <c r="G15325" t="s">
        <v>32839</v>
      </c>
      <c r="H15325" t="s">
        <v>32848</v>
      </c>
      <c r="I15325" t="s">
        <v>32870</v>
      </c>
      <c r="J15325" t="s">
        <v>42344</v>
      </c>
      <c r="K15325" t="s">
        <v>42773</v>
      </c>
      <c r="M15325" t="s">
        <v>44719</v>
      </c>
      <c r="N15325" t="s">
        <v>47424</v>
      </c>
      <c r="O15325" t="s">
        <v>47425</v>
      </c>
      <c r="P15325">
        <v>0</v>
      </c>
      <c r="Q15325">
        <v>0</v>
      </c>
      <c r="R15325" t="s">
        <v>47453</v>
      </c>
      <c r="S15325" t="s">
        <v>48700</v>
      </c>
      <c r="T15325" t="s">
        <v>49111</v>
      </c>
      <c r="U15325" t="s">
        <v>62133</v>
      </c>
      <c r="V15325" t="s">
        <v>63051</v>
      </c>
      <c r="W15325" t="s">
        <v>44719</v>
      </c>
      <c r="X15325" t="s">
        <v>47458</v>
      </c>
    </row>
    <row r="15326" spans="1:24">
      <c r="A15326">
        <f>HYPERLINK("https://www.philgeps.gov.ph/GEPSNONPILOT/Tender/SplashBidNoticeAbstractUI.aspx?menuIndex=3&amp;refID=7101343&amp;Result=3","7101343")</f>
        <v>0</v>
      </c>
      <c r="B15326" t="s">
        <v>1597</v>
      </c>
      <c r="C15326" t="s">
        <v>18423</v>
      </c>
      <c r="D15326" t="s">
        <v>19031</v>
      </c>
      <c r="E15326" t="s">
        <v>32281</v>
      </c>
      <c r="F15326" t="s">
        <v>32831</v>
      </c>
      <c r="G15326" t="s">
        <v>32839</v>
      </c>
      <c r="H15326" t="s">
        <v>32848</v>
      </c>
      <c r="I15326" t="s">
        <v>4438</v>
      </c>
      <c r="J15326" t="s">
        <v>42345</v>
      </c>
      <c r="K15326" t="s">
        <v>42727</v>
      </c>
      <c r="M15326" t="s">
        <v>44719</v>
      </c>
      <c r="N15326" t="s">
        <v>47424</v>
      </c>
      <c r="O15326" t="s">
        <v>47425</v>
      </c>
      <c r="P15326">
        <v>0</v>
      </c>
      <c r="Q15326">
        <v>5</v>
      </c>
      <c r="R15326" t="s">
        <v>47453</v>
      </c>
      <c r="S15326" t="s">
        <v>48700</v>
      </c>
      <c r="T15326" t="s">
        <v>49111</v>
      </c>
      <c r="U15326" t="s">
        <v>62134</v>
      </c>
      <c r="V15326" t="s">
        <v>63051</v>
      </c>
      <c r="W15326" t="s">
        <v>44719</v>
      </c>
      <c r="X15326" t="s">
        <v>47458</v>
      </c>
    </row>
    <row r="15327" spans="1:24">
      <c r="A15327">
        <f>HYPERLINK("https://www.philgeps.gov.ph/GEPSNONPILOT/Tender/SplashBidNoticeAbstractUI.aspx?menuIndex=3&amp;refID=7088374&amp;Result=3","7088374")</f>
        <v>0</v>
      </c>
      <c r="B15327" t="s">
        <v>484</v>
      </c>
      <c r="C15327" t="s">
        <v>18424</v>
      </c>
      <c r="D15327" t="s">
        <v>19038</v>
      </c>
      <c r="E15327" t="s">
        <v>32282</v>
      </c>
      <c r="F15327" t="s">
        <v>32831</v>
      </c>
      <c r="G15327" t="s">
        <v>32839</v>
      </c>
      <c r="H15327" t="s">
        <v>32849</v>
      </c>
      <c r="I15327" t="s">
        <v>4177</v>
      </c>
      <c r="J15327" t="s">
        <v>42346</v>
      </c>
      <c r="K15327" t="s">
        <v>42757</v>
      </c>
      <c r="M15327" t="s">
        <v>47076</v>
      </c>
      <c r="N15327" t="s">
        <v>47424</v>
      </c>
      <c r="O15327" t="s">
        <v>47425</v>
      </c>
      <c r="Q15327">
        <v>2</v>
      </c>
      <c r="R15327" t="s">
        <v>47453</v>
      </c>
      <c r="S15327" t="s">
        <v>48701</v>
      </c>
      <c r="T15327" t="s">
        <v>49106</v>
      </c>
      <c r="U15327" t="s">
        <v>62135</v>
      </c>
      <c r="V15327" t="s">
        <v>64103</v>
      </c>
      <c r="W15327" t="s">
        <v>47076</v>
      </c>
      <c r="X15327" t="s">
        <v>47463</v>
      </c>
    </row>
    <row r="15328" spans="1:24">
      <c r="A15328">
        <f>HYPERLINK("https://www.philgeps.gov.ph/GEPSNONPILOT/Tender/SplashBidNoticeAbstractUI.aspx?menuIndex=3&amp;refID=7111566&amp;Result=3","7111566")</f>
        <v>0</v>
      </c>
      <c r="B15328" t="s">
        <v>1918</v>
      </c>
      <c r="C15328" t="s">
        <v>5187</v>
      </c>
      <c r="D15328" t="s">
        <v>19037</v>
      </c>
      <c r="E15328" t="s">
        <v>31903</v>
      </c>
      <c r="F15328" t="s">
        <v>32831</v>
      </c>
      <c r="G15328" t="s">
        <v>32839</v>
      </c>
      <c r="H15328" t="s">
        <v>32848</v>
      </c>
      <c r="I15328" t="s">
        <v>7416</v>
      </c>
      <c r="J15328" t="s">
        <v>42347</v>
      </c>
      <c r="K15328" t="s">
        <v>42730</v>
      </c>
      <c r="M15328" t="s">
        <v>45070</v>
      </c>
      <c r="N15328" t="s">
        <v>47424</v>
      </c>
      <c r="O15328" t="s">
        <v>47425</v>
      </c>
      <c r="P15328">
        <v>0</v>
      </c>
      <c r="Q15328">
        <v>0</v>
      </c>
      <c r="R15328" t="s">
        <v>47452</v>
      </c>
      <c r="S15328" t="s">
        <v>48684</v>
      </c>
      <c r="T15328" t="s">
        <v>49068</v>
      </c>
      <c r="U15328" t="s">
        <v>62136</v>
      </c>
      <c r="V15328" t="s">
        <v>64042</v>
      </c>
      <c r="W15328" t="s">
        <v>45070</v>
      </c>
      <c r="X15328" t="s">
        <v>47453</v>
      </c>
    </row>
    <row r="15329" spans="1:24">
      <c r="A15329">
        <f>HYPERLINK("https://www.philgeps.gov.ph/GEPSNONPILOT/Tender/SplashBidNoticeAbstractUI.aspx?menuIndex=3&amp;refID=7112789&amp;Result=3","7112789")</f>
        <v>0</v>
      </c>
      <c r="B15329" t="s">
        <v>3051</v>
      </c>
      <c r="C15329" t="s">
        <v>18425</v>
      </c>
      <c r="D15329" t="s">
        <v>19017</v>
      </c>
      <c r="E15329" t="s">
        <v>32283</v>
      </c>
      <c r="F15329" t="s">
        <v>32831</v>
      </c>
      <c r="G15329" t="s">
        <v>32839</v>
      </c>
      <c r="H15329" t="s">
        <v>32848</v>
      </c>
      <c r="I15329" t="s">
        <v>7751</v>
      </c>
      <c r="J15329" t="s">
        <v>41895</v>
      </c>
      <c r="K15329" t="s">
        <v>42730</v>
      </c>
      <c r="M15329" t="s">
        <v>47345</v>
      </c>
      <c r="N15329" t="s">
        <v>47424</v>
      </c>
      <c r="O15329" t="s">
        <v>47425</v>
      </c>
      <c r="Q15329">
        <v>14</v>
      </c>
      <c r="R15329" t="s">
        <v>47452</v>
      </c>
      <c r="S15329" t="s">
        <v>48221</v>
      </c>
      <c r="T15329" t="s">
        <v>49364</v>
      </c>
      <c r="U15329" t="s">
        <v>51143</v>
      </c>
      <c r="V15329" t="s">
        <v>64355</v>
      </c>
      <c r="W15329" t="s">
        <v>47345</v>
      </c>
      <c r="X15329" t="s">
        <v>47453</v>
      </c>
    </row>
    <row r="15330" spans="1:24">
      <c r="A15330">
        <f>HYPERLINK("https://www.philgeps.gov.ph/GEPSNONPILOT/Tender/SplashBidNoticeAbstractUI.aspx?menuIndex=3&amp;refID=7112042&amp;Result=3","7112042")</f>
        <v>0</v>
      </c>
      <c r="B15330" t="s">
        <v>285</v>
      </c>
      <c r="C15330" t="s">
        <v>18426</v>
      </c>
      <c r="D15330" t="s">
        <v>19038</v>
      </c>
      <c r="E15330" t="s">
        <v>32284</v>
      </c>
      <c r="F15330" t="s">
        <v>32831</v>
      </c>
      <c r="G15330" t="s">
        <v>32839</v>
      </c>
      <c r="H15330" t="s">
        <v>32848</v>
      </c>
      <c r="I15330" t="s">
        <v>4438</v>
      </c>
      <c r="J15330" t="s">
        <v>42348</v>
      </c>
      <c r="K15330" t="s">
        <v>42732</v>
      </c>
      <c r="M15330" t="s">
        <v>43284</v>
      </c>
      <c r="N15330" t="s">
        <v>47424</v>
      </c>
      <c r="O15330" t="s">
        <v>47425</v>
      </c>
      <c r="Q15330">
        <v>0</v>
      </c>
      <c r="R15330" t="s">
        <v>47452</v>
      </c>
      <c r="S15330" t="s">
        <v>48702</v>
      </c>
      <c r="T15330" t="s">
        <v>49237</v>
      </c>
      <c r="U15330" t="s">
        <v>62137</v>
      </c>
      <c r="W15330" t="s">
        <v>43284</v>
      </c>
      <c r="X15330" t="s">
        <v>47453</v>
      </c>
    </row>
    <row r="15331" spans="1:24">
      <c r="A15331">
        <f>HYPERLINK("https://www.philgeps.gov.ph/GEPSNONPILOT/Tender/SplashBidNoticeAbstractUI.aspx?menuIndex=3&amp;refID=7112783&amp;Result=3","7112783")</f>
        <v>0</v>
      </c>
      <c r="B15331" t="s">
        <v>2605</v>
      </c>
      <c r="C15331" t="s">
        <v>18427</v>
      </c>
      <c r="D15331" t="s">
        <v>19074</v>
      </c>
      <c r="E15331" t="s">
        <v>32285</v>
      </c>
      <c r="F15331" t="s">
        <v>32831</v>
      </c>
      <c r="G15331" t="s">
        <v>32839</v>
      </c>
      <c r="H15331" t="s">
        <v>32849</v>
      </c>
      <c r="I15331" t="s">
        <v>4177</v>
      </c>
      <c r="J15331" t="s">
        <v>42349</v>
      </c>
      <c r="K15331" t="s">
        <v>42769</v>
      </c>
      <c r="M15331" t="s">
        <v>47346</v>
      </c>
      <c r="N15331" t="s">
        <v>47424</v>
      </c>
      <c r="O15331" t="s">
        <v>47425</v>
      </c>
      <c r="Q15331">
        <v>0</v>
      </c>
      <c r="R15331" t="s">
        <v>47452</v>
      </c>
      <c r="S15331" t="s">
        <v>48703</v>
      </c>
      <c r="T15331" t="s">
        <v>49237</v>
      </c>
      <c r="U15331" t="s">
        <v>56111</v>
      </c>
      <c r="W15331" t="s">
        <v>47346</v>
      </c>
      <c r="X15331" t="s">
        <v>47453</v>
      </c>
    </row>
    <row r="15332" spans="1:24">
      <c r="A15332">
        <f>HYPERLINK("https://www.philgeps.gov.ph/GEPSNONPILOT/Tender/SplashBidNoticeAbstractUI.aspx?menuIndex=3&amp;refID=7112634&amp;Result=3","7112634")</f>
        <v>0</v>
      </c>
      <c r="B15332" t="s">
        <v>648</v>
      </c>
      <c r="C15332" t="s">
        <v>18428</v>
      </c>
      <c r="D15332" t="s">
        <v>19044</v>
      </c>
      <c r="E15332" t="s">
        <v>32286</v>
      </c>
      <c r="F15332" t="s">
        <v>32831</v>
      </c>
      <c r="G15332" t="s">
        <v>32839</v>
      </c>
      <c r="H15332" t="s">
        <v>14069</v>
      </c>
      <c r="I15332" t="s">
        <v>14069</v>
      </c>
      <c r="J15332" t="s">
        <v>33032</v>
      </c>
      <c r="K15332" t="s">
        <v>42887</v>
      </c>
      <c r="M15332" t="s">
        <v>44684</v>
      </c>
      <c r="N15332" t="s">
        <v>47424</v>
      </c>
      <c r="O15332" t="s">
        <v>47425</v>
      </c>
      <c r="Q15332">
        <v>6</v>
      </c>
      <c r="R15332" t="s">
        <v>47452</v>
      </c>
      <c r="S15332" t="s">
        <v>48704</v>
      </c>
      <c r="T15332" t="s">
        <v>49120</v>
      </c>
      <c r="U15332" t="s">
        <v>62138</v>
      </c>
      <c r="V15332" t="s">
        <v>64356</v>
      </c>
      <c r="W15332" t="s">
        <v>44684</v>
      </c>
      <c r="X15332" t="s">
        <v>47453</v>
      </c>
    </row>
    <row r="15333" spans="1:24">
      <c r="A15333">
        <f>HYPERLINK("https://www.philgeps.gov.ph/GEPSNONPILOT/Tender/SplashBidNoticeAbstractUI.aspx?menuIndex=3&amp;refID=7112564&amp;Result=3","7112564")</f>
        <v>0</v>
      </c>
      <c r="B15333" t="s">
        <v>2363</v>
      </c>
      <c r="C15333" t="s">
        <v>18429</v>
      </c>
      <c r="D15333" t="s">
        <v>19047</v>
      </c>
      <c r="E15333" t="s">
        <v>32287</v>
      </c>
      <c r="F15333" t="s">
        <v>32831</v>
      </c>
      <c r="G15333" t="s">
        <v>32838</v>
      </c>
      <c r="H15333" t="s">
        <v>32848</v>
      </c>
      <c r="I15333" t="s">
        <v>32894</v>
      </c>
      <c r="J15333" t="s">
        <v>42350</v>
      </c>
      <c r="K15333" t="s">
        <v>42732</v>
      </c>
      <c r="M15333" t="s">
        <v>45703</v>
      </c>
      <c r="N15333" t="s">
        <v>47424</v>
      </c>
      <c r="O15333" t="s">
        <v>47425</v>
      </c>
      <c r="Q15333">
        <v>9</v>
      </c>
      <c r="R15333" t="s">
        <v>47452</v>
      </c>
      <c r="S15333" t="s">
        <v>48705</v>
      </c>
      <c r="T15333" t="s">
        <v>49237</v>
      </c>
      <c r="U15333" t="s">
        <v>55675</v>
      </c>
      <c r="W15333" t="s">
        <v>45703</v>
      </c>
      <c r="X15333" t="s">
        <v>47453</v>
      </c>
    </row>
    <row r="15334" spans="1:24">
      <c r="A15334">
        <f>HYPERLINK("https://www.philgeps.gov.ph/GEPSNONPILOT/Tender/SplashBidNoticeAbstractUI.aspx?menuIndex=3&amp;refID=7112605&amp;Result=3","7112605")</f>
        <v>0</v>
      </c>
      <c r="B15334" t="s">
        <v>2363</v>
      </c>
      <c r="C15334" t="s">
        <v>18430</v>
      </c>
      <c r="D15334" t="s">
        <v>19047</v>
      </c>
      <c r="E15334" t="s">
        <v>32288</v>
      </c>
      <c r="F15334" t="s">
        <v>32831</v>
      </c>
      <c r="G15334" t="s">
        <v>32842</v>
      </c>
      <c r="H15334" t="s">
        <v>32848</v>
      </c>
      <c r="I15334" t="s">
        <v>4435</v>
      </c>
      <c r="J15334" t="s">
        <v>33692</v>
      </c>
      <c r="K15334" t="s">
        <v>42732</v>
      </c>
      <c r="M15334" t="s">
        <v>45703</v>
      </c>
      <c r="N15334" t="s">
        <v>47424</v>
      </c>
      <c r="O15334" t="s">
        <v>47425</v>
      </c>
      <c r="Q15334">
        <v>9</v>
      </c>
      <c r="R15334" t="s">
        <v>47452</v>
      </c>
      <c r="S15334" t="s">
        <v>48706</v>
      </c>
      <c r="T15334" t="s">
        <v>49237</v>
      </c>
      <c r="U15334" t="s">
        <v>55675</v>
      </c>
      <c r="W15334" t="s">
        <v>45703</v>
      </c>
      <c r="X15334" t="s">
        <v>47453</v>
      </c>
    </row>
    <row r="15335" spans="1:24">
      <c r="A15335">
        <f>HYPERLINK("https://www.philgeps.gov.ph/GEPSNONPILOT/Tender/SplashBidNoticeAbstractUI.aspx?menuIndex=3&amp;refID=7112473&amp;Result=3","7112473")</f>
        <v>0</v>
      </c>
      <c r="B15335" t="s">
        <v>3881</v>
      </c>
      <c r="C15335" t="s">
        <v>18431</v>
      </c>
      <c r="D15335" t="s">
        <v>19077</v>
      </c>
      <c r="E15335" t="s">
        <v>32289</v>
      </c>
      <c r="F15335" t="s">
        <v>32831</v>
      </c>
      <c r="G15335" t="s">
        <v>32839</v>
      </c>
      <c r="H15335" t="s">
        <v>32849</v>
      </c>
      <c r="I15335" t="s">
        <v>4177</v>
      </c>
      <c r="J15335" t="s">
        <v>33118</v>
      </c>
      <c r="K15335" t="s">
        <v>42792</v>
      </c>
      <c r="M15335" t="s">
        <v>47333</v>
      </c>
      <c r="N15335" t="s">
        <v>47424</v>
      </c>
      <c r="O15335" t="s">
        <v>47425</v>
      </c>
      <c r="Q15335">
        <v>1</v>
      </c>
      <c r="R15335" t="s">
        <v>47452</v>
      </c>
      <c r="S15335" t="s">
        <v>48707</v>
      </c>
      <c r="T15335" t="s">
        <v>49120</v>
      </c>
      <c r="U15335" t="s">
        <v>62139</v>
      </c>
      <c r="V15335" t="s">
        <v>64353</v>
      </c>
      <c r="W15335" t="s">
        <v>47333</v>
      </c>
      <c r="X15335" t="s">
        <v>47453</v>
      </c>
    </row>
    <row r="15336" spans="1:24">
      <c r="A15336">
        <f>HYPERLINK("https://www.philgeps.gov.ph/GEPSNONPILOT/Tender/SplashBidNoticeAbstractUI.aspx?menuIndex=3&amp;refID=7112784&amp;Result=3","7112784")</f>
        <v>0</v>
      </c>
      <c r="B15336" t="s">
        <v>2605</v>
      </c>
      <c r="C15336" t="s">
        <v>18432</v>
      </c>
      <c r="D15336" t="s">
        <v>19074</v>
      </c>
      <c r="E15336" t="s">
        <v>32290</v>
      </c>
      <c r="F15336" t="s">
        <v>32831</v>
      </c>
      <c r="G15336" t="s">
        <v>32839</v>
      </c>
      <c r="H15336" t="s">
        <v>32849</v>
      </c>
      <c r="I15336" t="s">
        <v>4177</v>
      </c>
      <c r="J15336" t="s">
        <v>42351</v>
      </c>
      <c r="K15336" t="s">
        <v>42747</v>
      </c>
      <c r="M15336" t="s">
        <v>47346</v>
      </c>
      <c r="N15336" t="s">
        <v>47424</v>
      </c>
      <c r="O15336" t="s">
        <v>47425</v>
      </c>
      <c r="Q15336">
        <v>1</v>
      </c>
      <c r="R15336" t="s">
        <v>47452</v>
      </c>
      <c r="S15336" t="s">
        <v>48708</v>
      </c>
      <c r="T15336" t="s">
        <v>49237</v>
      </c>
      <c r="U15336" t="s">
        <v>56111</v>
      </c>
      <c r="W15336" t="s">
        <v>47346</v>
      </c>
      <c r="X15336" t="s">
        <v>47453</v>
      </c>
    </row>
    <row r="15337" spans="1:24">
      <c r="A15337">
        <f>HYPERLINK("https://www.philgeps.gov.ph/GEPSNONPILOT/Tender/SplashBidNoticeAbstractUI.aspx?menuIndex=3&amp;refID=7094347&amp;Result=3","7094347")</f>
        <v>0</v>
      </c>
      <c r="B15337" t="s">
        <v>1597</v>
      </c>
      <c r="C15337" t="s">
        <v>18433</v>
      </c>
      <c r="D15337" t="s">
        <v>19031</v>
      </c>
      <c r="E15337" t="s">
        <v>32291</v>
      </c>
      <c r="F15337" t="s">
        <v>32831</v>
      </c>
      <c r="G15337" t="s">
        <v>32839</v>
      </c>
      <c r="H15337" t="s">
        <v>32849</v>
      </c>
      <c r="I15337" t="s">
        <v>4177</v>
      </c>
      <c r="J15337" t="s">
        <v>42352</v>
      </c>
      <c r="K15337" t="s">
        <v>42830</v>
      </c>
      <c r="M15337" t="s">
        <v>44712</v>
      </c>
      <c r="N15337" t="s">
        <v>47424</v>
      </c>
      <c r="O15337" t="s">
        <v>47425</v>
      </c>
      <c r="P15337">
        <v>0</v>
      </c>
      <c r="Q15337">
        <v>3</v>
      </c>
      <c r="R15337" t="s">
        <v>47453</v>
      </c>
      <c r="S15337" t="s">
        <v>48700</v>
      </c>
      <c r="T15337" t="s">
        <v>49111</v>
      </c>
      <c r="U15337" t="s">
        <v>62140</v>
      </c>
      <c r="V15337" t="s">
        <v>63051</v>
      </c>
      <c r="W15337" t="s">
        <v>44712</v>
      </c>
      <c r="X15337" t="s">
        <v>47459</v>
      </c>
    </row>
    <row r="15338" spans="1:24">
      <c r="A15338">
        <f>HYPERLINK("https://www.philgeps.gov.ph/GEPSNONPILOT/Tender/SplashBidNoticeAbstractUI.aspx?menuIndex=3&amp;refID=7112217&amp;Result=3","7112217")</f>
        <v>0</v>
      </c>
      <c r="B15338" t="s">
        <v>3549</v>
      </c>
      <c r="C15338" t="s">
        <v>18434</v>
      </c>
      <c r="D15338" t="s">
        <v>19018</v>
      </c>
      <c r="E15338" t="s">
        <v>32292</v>
      </c>
      <c r="F15338" t="s">
        <v>32831</v>
      </c>
      <c r="G15338" t="s">
        <v>32839</v>
      </c>
      <c r="H15338" t="s">
        <v>32849</v>
      </c>
      <c r="I15338" t="s">
        <v>4177</v>
      </c>
      <c r="J15338" t="s">
        <v>42353</v>
      </c>
      <c r="K15338" t="s">
        <v>42932</v>
      </c>
      <c r="M15338" t="s">
        <v>46904</v>
      </c>
      <c r="N15338" t="s">
        <v>47424</v>
      </c>
      <c r="O15338" t="s">
        <v>47425</v>
      </c>
      <c r="P15338">
        <v>0</v>
      </c>
      <c r="Q15338">
        <v>3</v>
      </c>
      <c r="R15338" t="s">
        <v>47452</v>
      </c>
      <c r="S15338" t="s">
        <v>48684</v>
      </c>
      <c r="T15338" t="s">
        <v>49239</v>
      </c>
      <c r="U15338" t="s">
        <v>62141</v>
      </c>
      <c r="W15338" t="s">
        <v>46904</v>
      </c>
      <c r="X15338" t="s">
        <v>47453</v>
      </c>
    </row>
    <row r="15339" spans="1:24">
      <c r="A15339">
        <f>HYPERLINK("https://www.philgeps.gov.ph/GEPSNONPILOT/Tender/SplashBidNoticeAbstractUI.aspx?menuIndex=3&amp;refID=7111493&amp;Result=3","7111493")</f>
        <v>0</v>
      </c>
      <c r="B15339" t="s">
        <v>1918</v>
      </c>
      <c r="C15339" t="s">
        <v>18435</v>
      </c>
      <c r="D15339" t="s">
        <v>19037</v>
      </c>
      <c r="E15339" t="s">
        <v>24679</v>
      </c>
      <c r="F15339" t="s">
        <v>32831</v>
      </c>
      <c r="G15339" t="s">
        <v>32839</v>
      </c>
      <c r="H15339" t="s">
        <v>32848</v>
      </c>
      <c r="I15339" t="s">
        <v>7416</v>
      </c>
      <c r="J15339" t="s">
        <v>42354</v>
      </c>
      <c r="K15339" t="s">
        <v>42730</v>
      </c>
      <c r="M15339" t="s">
        <v>45070</v>
      </c>
      <c r="N15339" t="s">
        <v>47424</v>
      </c>
      <c r="O15339" t="s">
        <v>47425</v>
      </c>
      <c r="P15339">
        <v>0</v>
      </c>
      <c r="Q15339">
        <v>1</v>
      </c>
      <c r="R15339" t="s">
        <v>47452</v>
      </c>
      <c r="S15339" t="s">
        <v>48684</v>
      </c>
      <c r="T15339" t="s">
        <v>49068</v>
      </c>
      <c r="U15339" t="s">
        <v>62142</v>
      </c>
      <c r="V15339" t="s">
        <v>64357</v>
      </c>
      <c r="W15339" t="s">
        <v>45070</v>
      </c>
      <c r="X15339" t="s">
        <v>47453</v>
      </c>
    </row>
    <row r="15340" spans="1:24">
      <c r="A15340">
        <f>HYPERLINK("https://www.philgeps.gov.ph/GEPSNONPILOT/Tender/SplashBidNoticeAbstractUI.aspx?menuIndex=3&amp;refID=7112230&amp;Result=3","7112230")</f>
        <v>0</v>
      </c>
      <c r="B15340" t="s">
        <v>285</v>
      </c>
      <c r="C15340" t="s">
        <v>18436</v>
      </c>
      <c r="D15340" t="s">
        <v>19038</v>
      </c>
      <c r="E15340" t="s">
        <v>32293</v>
      </c>
      <c r="F15340" t="s">
        <v>32831</v>
      </c>
      <c r="G15340" t="s">
        <v>32839</v>
      </c>
      <c r="H15340" t="s">
        <v>32848</v>
      </c>
      <c r="I15340" t="s">
        <v>7751</v>
      </c>
      <c r="J15340" t="s">
        <v>42355</v>
      </c>
      <c r="K15340" t="s">
        <v>42732</v>
      </c>
      <c r="M15340" t="s">
        <v>43284</v>
      </c>
      <c r="N15340" t="s">
        <v>47424</v>
      </c>
      <c r="O15340" t="s">
        <v>47425</v>
      </c>
      <c r="Q15340">
        <v>3</v>
      </c>
      <c r="R15340" t="s">
        <v>47452</v>
      </c>
      <c r="S15340" t="s">
        <v>47703</v>
      </c>
      <c r="T15340" t="s">
        <v>49237</v>
      </c>
      <c r="U15340" t="s">
        <v>62143</v>
      </c>
      <c r="W15340" t="s">
        <v>43284</v>
      </c>
      <c r="X15340" t="s">
        <v>47453</v>
      </c>
    </row>
    <row r="15341" spans="1:24">
      <c r="A15341">
        <f>HYPERLINK("https://www.philgeps.gov.ph/GEPSNONPILOT/Tender/SplashBidNoticeAbstractUI.aspx?menuIndex=3&amp;refID=7109620&amp;Result=3","7109620")</f>
        <v>0</v>
      </c>
      <c r="B15341" t="s">
        <v>1312</v>
      </c>
      <c r="C15341" t="s">
        <v>18437</v>
      </c>
      <c r="D15341" t="s">
        <v>19054</v>
      </c>
      <c r="E15341" t="s">
        <v>32294</v>
      </c>
      <c r="F15341" t="s">
        <v>32831</v>
      </c>
      <c r="G15341" t="s">
        <v>32839</v>
      </c>
      <c r="H15341" t="s">
        <v>32848</v>
      </c>
      <c r="I15341" t="s">
        <v>32852</v>
      </c>
      <c r="J15341" t="s">
        <v>42356</v>
      </c>
      <c r="K15341" t="s">
        <v>42732</v>
      </c>
      <c r="M15341" t="s">
        <v>44383</v>
      </c>
      <c r="N15341" t="s">
        <v>47424</v>
      </c>
      <c r="O15341" t="s">
        <v>47425</v>
      </c>
      <c r="P15341">
        <v>0</v>
      </c>
      <c r="Q15341">
        <v>9</v>
      </c>
      <c r="R15341" t="s">
        <v>47453</v>
      </c>
      <c r="S15341" t="s">
        <v>48700</v>
      </c>
      <c r="T15341" t="s">
        <v>49243</v>
      </c>
      <c r="U15341" t="s">
        <v>62144</v>
      </c>
      <c r="W15341" t="s">
        <v>44383</v>
      </c>
      <c r="X15341" t="s">
        <v>47454</v>
      </c>
    </row>
    <row r="15342" spans="1:24">
      <c r="A15342">
        <f>HYPERLINK("https://www.philgeps.gov.ph/GEPSNONPILOT/Tender/SplashBidNoticeAbstractUI.aspx?menuIndex=3&amp;refID=7109573&amp;Result=3","7109573")</f>
        <v>0</v>
      </c>
      <c r="B15342" t="s">
        <v>1312</v>
      </c>
      <c r="C15342" t="s">
        <v>18438</v>
      </c>
      <c r="D15342" t="s">
        <v>19054</v>
      </c>
      <c r="E15342" t="s">
        <v>32295</v>
      </c>
      <c r="F15342" t="s">
        <v>32831</v>
      </c>
      <c r="G15342" t="s">
        <v>32839</v>
      </c>
      <c r="H15342" t="s">
        <v>32848</v>
      </c>
      <c r="I15342" t="s">
        <v>32852</v>
      </c>
      <c r="J15342" t="s">
        <v>42357</v>
      </c>
      <c r="K15342" t="s">
        <v>42732</v>
      </c>
      <c r="M15342" t="s">
        <v>44383</v>
      </c>
      <c r="N15342" t="s">
        <v>47424</v>
      </c>
      <c r="O15342" t="s">
        <v>47425</v>
      </c>
      <c r="P15342">
        <v>0</v>
      </c>
      <c r="Q15342">
        <v>6</v>
      </c>
      <c r="R15342" t="s">
        <v>47453</v>
      </c>
      <c r="S15342" t="s">
        <v>48700</v>
      </c>
      <c r="T15342" t="s">
        <v>49243</v>
      </c>
      <c r="U15342" t="s">
        <v>62144</v>
      </c>
      <c r="W15342" t="s">
        <v>44383</v>
      </c>
      <c r="X15342" t="s">
        <v>47454</v>
      </c>
    </row>
    <row r="15343" spans="1:24">
      <c r="A15343">
        <f>HYPERLINK("https://www.philgeps.gov.ph/GEPSNONPILOT/Tender/SplashBidNoticeAbstractUI.aspx?menuIndex=3&amp;refID=7112253&amp;Result=3","7112253")</f>
        <v>0</v>
      </c>
      <c r="B15343" t="s">
        <v>285</v>
      </c>
      <c r="C15343" t="s">
        <v>18439</v>
      </c>
      <c r="D15343" t="s">
        <v>19038</v>
      </c>
      <c r="E15343" t="s">
        <v>32296</v>
      </c>
      <c r="F15343" t="s">
        <v>32831</v>
      </c>
      <c r="G15343" t="s">
        <v>32839</v>
      </c>
      <c r="H15343" t="s">
        <v>32848</v>
      </c>
      <c r="I15343" t="s">
        <v>4487</v>
      </c>
      <c r="J15343" t="s">
        <v>33553</v>
      </c>
      <c r="K15343" t="s">
        <v>42732</v>
      </c>
      <c r="M15343" t="s">
        <v>43284</v>
      </c>
      <c r="N15343" t="s">
        <v>47424</v>
      </c>
      <c r="O15343" t="s">
        <v>47425</v>
      </c>
      <c r="Q15343">
        <v>9</v>
      </c>
      <c r="R15343" t="s">
        <v>47452</v>
      </c>
      <c r="S15343" t="s">
        <v>48709</v>
      </c>
      <c r="T15343" t="s">
        <v>49237</v>
      </c>
      <c r="U15343" t="s">
        <v>62145</v>
      </c>
      <c r="W15343" t="s">
        <v>43284</v>
      </c>
      <c r="X15343" t="s">
        <v>47453</v>
      </c>
    </row>
    <row r="15344" spans="1:24">
      <c r="A15344">
        <f>HYPERLINK("https://www.philgeps.gov.ph/GEPSNONPILOT/Tender/SplashBidNoticeAbstractUI.aspx?menuIndex=3&amp;refID=7109566&amp;Result=3","7109566")</f>
        <v>0</v>
      </c>
      <c r="B15344" t="s">
        <v>1997</v>
      </c>
      <c r="C15344" t="s">
        <v>18440</v>
      </c>
      <c r="D15344" t="s">
        <v>19061</v>
      </c>
      <c r="E15344" t="s">
        <v>32297</v>
      </c>
      <c r="F15344" t="s">
        <v>32831</v>
      </c>
      <c r="G15344" t="s">
        <v>32839</v>
      </c>
      <c r="H15344" t="s">
        <v>32849</v>
      </c>
      <c r="I15344" t="s">
        <v>4177</v>
      </c>
      <c r="J15344" t="s">
        <v>41536</v>
      </c>
      <c r="K15344" t="s">
        <v>42770</v>
      </c>
      <c r="M15344" t="s">
        <v>45164</v>
      </c>
      <c r="N15344" t="s">
        <v>47424</v>
      </c>
      <c r="O15344" t="s">
        <v>47425</v>
      </c>
      <c r="P15344">
        <v>0</v>
      </c>
      <c r="Q15344">
        <v>4</v>
      </c>
      <c r="R15344" t="s">
        <v>47453</v>
      </c>
      <c r="S15344" t="s">
        <v>48700</v>
      </c>
      <c r="T15344" t="s">
        <v>49198</v>
      </c>
      <c r="U15344" t="s">
        <v>62146</v>
      </c>
      <c r="W15344" t="s">
        <v>45164</v>
      </c>
      <c r="X15344" t="s">
        <v>47454</v>
      </c>
    </row>
    <row r="15345" spans="1:24">
      <c r="A15345">
        <f>HYPERLINK("https://www.philgeps.gov.ph/GEPSNONPILOT/Tender/SplashBidNoticeAbstractUI.aspx?menuIndex=3&amp;refID=7109425&amp;Result=3","7109425")</f>
        <v>0</v>
      </c>
      <c r="B15345" t="s">
        <v>1321</v>
      </c>
      <c r="C15345" t="s">
        <v>18441</v>
      </c>
      <c r="D15345" t="s">
        <v>19044</v>
      </c>
      <c r="E15345" t="s">
        <v>32298</v>
      </c>
      <c r="F15345" t="s">
        <v>32831</v>
      </c>
      <c r="G15345" t="s">
        <v>32839</v>
      </c>
      <c r="H15345" t="s">
        <v>32849</v>
      </c>
      <c r="I15345" t="s">
        <v>4177</v>
      </c>
      <c r="J15345" t="s">
        <v>42358</v>
      </c>
      <c r="K15345" t="s">
        <v>43004</v>
      </c>
      <c r="M15345" t="s">
        <v>44392</v>
      </c>
      <c r="N15345" t="s">
        <v>47424</v>
      </c>
      <c r="O15345" t="s">
        <v>47425</v>
      </c>
      <c r="Q15345">
        <v>2</v>
      </c>
      <c r="R15345" t="s">
        <v>47453</v>
      </c>
      <c r="S15345" t="s">
        <v>48710</v>
      </c>
      <c r="T15345" t="s">
        <v>49129</v>
      </c>
      <c r="U15345" t="s">
        <v>62147</v>
      </c>
      <c r="V15345" t="s">
        <v>64358</v>
      </c>
      <c r="W15345" t="s">
        <v>44392</v>
      </c>
      <c r="X15345" t="s">
        <v>47454</v>
      </c>
    </row>
    <row r="15346" spans="1:24">
      <c r="A15346">
        <f>HYPERLINK("https://www.philgeps.gov.ph/GEPSNONPILOT/Tender/SplashBidNoticeAbstractUI.aspx?menuIndex=3&amp;refID=7109136&amp;Result=3","7109136")</f>
        <v>0</v>
      </c>
      <c r="B15346" t="s">
        <v>2664</v>
      </c>
      <c r="C15346" t="s">
        <v>18442</v>
      </c>
      <c r="D15346" t="s">
        <v>19026</v>
      </c>
      <c r="E15346" t="s">
        <v>32299</v>
      </c>
      <c r="F15346" t="s">
        <v>32831</v>
      </c>
      <c r="G15346" t="s">
        <v>32838</v>
      </c>
      <c r="H15346" t="s">
        <v>32849</v>
      </c>
      <c r="I15346" t="s">
        <v>4177</v>
      </c>
      <c r="J15346" t="s">
        <v>42359</v>
      </c>
      <c r="K15346" t="s">
        <v>42763</v>
      </c>
      <c r="M15346" t="s">
        <v>45887</v>
      </c>
      <c r="N15346" t="s">
        <v>47424</v>
      </c>
      <c r="O15346" t="s">
        <v>47425</v>
      </c>
      <c r="Q15346">
        <v>1</v>
      </c>
      <c r="R15346" t="s">
        <v>47453</v>
      </c>
      <c r="S15346" t="s">
        <v>47758</v>
      </c>
      <c r="T15346" t="s">
        <v>49073</v>
      </c>
      <c r="U15346" t="s">
        <v>62148</v>
      </c>
      <c r="W15346" t="s">
        <v>45887</v>
      </c>
      <c r="X15346" t="s">
        <v>47454</v>
      </c>
    </row>
    <row r="15347" spans="1:24">
      <c r="A15347">
        <f>HYPERLINK("https://www.philgeps.gov.ph/GEPSNONPILOT/Tender/SplashBidNoticeAbstractUI.aspx?menuIndex=3&amp;refID=7108677&amp;Result=3","7108677")</f>
        <v>0</v>
      </c>
      <c r="B15347" t="s">
        <v>2287</v>
      </c>
      <c r="C15347" t="s">
        <v>13069</v>
      </c>
      <c r="D15347" t="s">
        <v>19033</v>
      </c>
      <c r="E15347" t="s">
        <v>29742</v>
      </c>
      <c r="F15347" t="s">
        <v>32831</v>
      </c>
      <c r="G15347" t="s">
        <v>32839</v>
      </c>
      <c r="H15347" t="s">
        <v>32849</v>
      </c>
      <c r="I15347" t="s">
        <v>4177</v>
      </c>
      <c r="J15347" t="s">
        <v>33553</v>
      </c>
      <c r="K15347" t="s">
        <v>42780</v>
      </c>
      <c r="M15347" t="s">
        <v>45471</v>
      </c>
      <c r="N15347" t="s">
        <v>47424</v>
      </c>
      <c r="O15347" t="s">
        <v>47425</v>
      </c>
      <c r="Q15347">
        <v>4</v>
      </c>
      <c r="R15347" t="s">
        <v>47453</v>
      </c>
      <c r="S15347" t="s">
        <v>48711</v>
      </c>
      <c r="T15347" t="s">
        <v>49162</v>
      </c>
      <c r="U15347" t="s">
        <v>62149</v>
      </c>
      <c r="W15347" t="s">
        <v>45471</v>
      </c>
      <c r="X15347" t="s">
        <v>47454</v>
      </c>
    </row>
    <row r="15348" spans="1:24">
      <c r="A15348">
        <f>HYPERLINK("https://www.philgeps.gov.ph/GEPSNONPILOT/Tender/SplashBidNoticeAbstractUI.aspx?menuIndex=3&amp;refID=7112484&amp;Result=3","7112484")</f>
        <v>0</v>
      </c>
      <c r="B15348" t="s">
        <v>3881</v>
      </c>
      <c r="C15348" t="s">
        <v>18443</v>
      </c>
      <c r="D15348" t="s">
        <v>19077</v>
      </c>
      <c r="E15348" t="s">
        <v>32300</v>
      </c>
      <c r="F15348" t="s">
        <v>32831</v>
      </c>
      <c r="G15348" t="s">
        <v>32839</v>
      </c>
      <c r="H15348" t="s">
        <v>32849</v>
      </c>
      <c r="I15348" t="s">
        <v>4177</v>
      </c>
      <c r="J15348" t="s">
        <v>33083</v>
      </c>
      <c r="K15348" t="s">
        <v>42751</v>
      </c>
      <c r="M15348" t="s">
        <v>47333</v>
      </c>
      <c r="N15348" t="s">
        <v>47424</v>
      </c>
      <c r="O15348" t="s">
        <v>47425</v>
      </c>
      <c r="Q15348">
        <v>0</v>
      </c>
      <c r="R15348" t="s">
        <v>47452</v>
      </c>
      <c r="S15348" t="s">
        <v>48712</v>
      </c>
      <c r="T15348" t="s">
        <v>49120</v>
      </c>
      <c r="U15348" t="s">
        <v>62150</v>
      </c>
      <c r="V15348" t="s">
        <v>64353</v>
      </c>
      <c r="W15348" t="s">
        <v>47333</v>
      </c>
      <c r="X15348" t="s">
        <v>47453</v>
      </c>
    </row>
    <row r="15349" spans="1:24">
      <c r="A15349">
        <f>HYPERLINK("https://www.philgeps.gov.ph/GEPSNONPILOT/Tender/SplashBidNoticeAbstractUI.aspx?menuIndex=3&amp;refID=7115531&amp;Result=3","7115531")</f>
        <v>0</v>
      </c>
      <c r="B15349" t="s">
        <v>629</v>
      </c>
      <c r="C15349" t="s">
        <v>18384</v>
      </c>
      <c r="D15349" t="s">
        <v>19049</v>
      </c>
      <c r="E15349" t="s">
        <v>32301</v>
      </c>
      <c r="F15349" t="s">
        <v>32831</v>
      </c>
      <c r="G15349" t="s">
        <v>32839</v>
      </c>
      <c r="H15349" t="s">
        <v>32849</v>
      </c>
      <c r="I15349" t="s">
        <v>7416</v>
      </c>
      <c r="J15349" t="s">
        <v>42360</v>
      </c>
      <c r="K15349" t="s">
        <v>42731</v>
      </c>
      <c r="M15349" t="s">
        <v>43646</v>
      </c>
      <c r="N15349" t="s">
        <v>47424</v>
      </c>
      <c r="O15349" t="s">
        <v>47425</v>
      </c>
      <c r="P15349">
        <v>0</v>
      </c>
      <c r="Q15349">
        <v>2</v>
      </c>
      <c r="R15349" t="s">
        <v>47451</v>
      </c>
      <c r="S15349" t="s">
        <v>48651</v>
      </c>
      <c r="T15349" t="s">
        <v>49129</v>
      </c>
      <c r="U15349" t="s">
        <v>62151</v>
      </c>
      <c r="W15349" t="s">
        <v>43646</v>
      </c>
      <c r="X15349" t="s">
        <v>47452</v>
      </c>
    </row>
    <row r="15350" spans="1:24">
      <c r="A15350">
        <f>HYPERLINK("https://www.philgeps.gov.ph/GEPSNONPILOT/Tender/SplashBidNoticeAbstractUI.aspx?menuIndex=3&amp;refID=7112651&amp;Result=3","7112651")</f>
        <v>0</v>
      </c>
      <c r="B15350" t="s">
        <v>999</v>
      </c>
      <c r="C15350" t="s">
        <v>18444</v>
      </c>
      <c r="D15350" t="s">
        <v>19017</v>
      </c>
      <c r="E15350" t="s">
        <v>32302</v>
      </c>
      <c r="F15350" t="s">
        <v>32831</v>
      </c>
      <c r="G15350" t="s">
        <v>32839</v>
      </c>
      <c r="H15350" t="s">
        <v>32848</v>
      </c>
      <c r="I15350" t="s">
        <v>4487</v>
      </c>
      <c r="J15350" t="s">
        <v>42361</v>
      </c>
      <c r="K15350" t="s">
        <v>42905</v>
      </c>
      <c r="M15350" t="s">
        <v>47347</v>
      </c>
      <c r="N15350" t="s">
        <v>47424</v>
      </c>
      <c r="O15350" t="s">
        <v>47425</v>
      </c>
      <c r="Q15350">
        <v>15</v>
      </c>
      <c r="R15350" t="s">
        <v>47452</v>
      </c>
      <c r="S15350" t="s">
        <v>48713</v>
      </c>
      <c r="T15350" t="s">
        <v>49141</v>
      </c>
      <c r="U15350" t="s">
        <v>62152</v>
      </c>
      <c r="W15350" t="s">
        <v>47347</v>
      </c>
      <c r="X15350" t="s">
        <v>47453</v>
      </c>
    </row>
    <row r="15351" spans="1:24">
      <c r="A15351">
        <f>HYPERLINK("https://www.philgeps.gov.ph/GEPSNONPILOT/Tender/SplashBidNoticeAbstractUI.aspx?menuIndex=3&amp;refID=7107775&amp;Result=3","7107775")</f>
        <v>0</v>
      </c>
      <c r="B15351" t="s">
        <v>2578</v>
      </c>
      <c r="C15351" t="s">
        <v>18445</v>
      </c>
      <c r="D15351" t="s">
        <v>19021</v>
      </c>
      <c r="E15351" t="s">
        <v>32303</v>
      </c>
      <c r="F15351" t="s">
        <v>32831</v>
      </c>
      <c r="G15351" t="s">
        <v>32839</v>
      </c>
      <c r="H15351" t="s">
        <v>32848</v>
      </c>
      <c r="I15351" t="s">
        <v>7751</v>
      </c>
      <c r="J15351" t="s">
        <v>42362</v>
      </c>
      <c r="K15351" t="s">
        <v>42732</v>
      </c>
      <c r="M15351" t="s">
        <v>45796</v>
      </c>
      <c r="N15351" t="s">
        <v>47424</v>
      </c>
      <c r="O15351" t="s">
        <v>47425</v>
      </c>
      <c r="Q15351">
        <v>7</v>
      </c>
      <c r="R15351" t="s">
        <v>47453</v>
      </c>
      <c r="S15351" t="s">
        <v>48714</v>
      </c>
      <c r="T15351" t="s">
        <v>49124</v>
      </c>
      <c r="U15351" t="s">
        <v>62153</v>
      </c>
      <c r="V15351" t="s">
        <v>64359</v>
      </c>
      <c r="W15351" t="s">
        <v>45796</v>
      </c>
      <c r="X15351" t="s">
        <v>47454</v>
      </c>
    </row>
    <row r="15352" spans="1:24">
      <c r="A15352">
        <f>HYPERLINK("https://www.philgeps.gov.ph/GEPSNONPILOT/Tender/SplashBidNoticeAbstractUI.aspx?menuIndex=3&amp;refID=7106900&amp;Result=3","7106900")</f>
        <v>0</v>
      </c>
      <c r="B15352" t="s">
        <v>3887</v>
      </c>
      <c r="C15352" t="s">
        <v>18446</v>
      </c>
      <c r="D15352" t="s">
        <v>19017</v>
      </c>
      <c r="E15352" t="s">
        <v>32304</v>
      </c>
      <c r="F15352" t="s">
        <v>32831</v>
      </c>
      <c r="G15352" t="s">
        <v>32839</v>
      </c>
      <c r="H15352" t="s">
        <v>32848</v>
      </c>
      <c r="I15352" t="s">
        <v>4340</v>
      </c>
      <c r="J15352" t="s">
        <v>33297</v>
      </c>
      <c r="K15352" t="s">
        <v>42726</v>
      </c>
      <c r="M15352" t="s">
        <v>47348</v>
      </c>
      <c r="N15352" t="s">
        <v>47424</v>
      </c>
      <c r="O15352" t="s">
        <v>47425</v>
      </c>
      <c r="Q15352">
        <v>2</v>
      </c>
      <c r="R15352" t="s">
        <v>47453</v>
      </c>
      <c r="S15352" t="s">
        <v>48715</v>
      </c>
      <c r="T15352" t="s">
        <v>49073</v>
      </c>
      <c r="U15352" t="s">
        <v>62154</v>
      </c>
      <c r="W15352" t="s">
        <v>47348</v>
      </c>
      <c r="X15352" t="s">
        <v>47456</v>
      </c>
    </row>
    <row r="15353" spans="1:24">
      <c r="A15353">
        <f>HYPERLINK("https://www.philgeps.gov.ph/GEPSNONPILOT/Tender/SplashBidNoticeAbstractUI.aspx?menuIndex=3&amp;refID=7106837&amp;Result=3","7106837")</f>
        <v>0</v>
      </c>
      <c r="B15353" t="s">
        <v>3887</v>
      </c>
      <c r="C15353" t="s">
        <v>18446</v>
      </c>
      <c r="D15353" t="s">
        <v>19017</v>
      </c>
      <c r="E15353" t="s">
        <v>32305</v>
      </c>
      <c r="F15353" t="s">
        <v>32831</v>
      </c>
      <c r="G15353" t="s">
        <v>32839</v>
      </c>
      <c r="H15353" t="s">
        <v>32848</v>
      </c>
      <c r="I15353" t="s">
        <v>4340</v>
      </c>
      <c r="J15353" t="s">
        <v>33297</v>
      </c>
      <c r="K15353" t="s">
        <v>42726</v>
      </c>
      <c r="M15353" t="s">
        <v>47348</v>
      </c>
      <c r="N15353" t="s">
        <v>47424</v>
      </c>
      <c r="O15353" t="s">
        <v>47425</v>
      </c>
      <c r="Q15353">
        <v>2</v>
      </c>
      <c r="R15353" t="s">
        <v>47453</v>
      </c>
      <c r="S15353" t="s">
        <v>48715</v>
      </c>
      <c r="T15353" t="s">
        <v>49073</v>
      </c>
      <c r="U15353" t="s">
        <v>62154</v>
      </c>
      <c r="W15353" t="s">
        <v>47348</v>
      </c>
      <c r="X15353" t="s">
        <v>47456</v>
      </c>
    </row>
    <row r="15354" spans="1:24">
      <c r="A15354">
        <f>HYPERLINK("https://www.philgeps.gov.ph/GEPSNONPILOT/Tender/SplashBidNoticeAbstractUI.aspx?menuIndex=3&amp;refID=7106813&amp;Result=3","7106813")</f>
        <v>0</v>
      </c>
      <c r="B15354" t="s">
        <v>3887</v>
      </c>
      <c r="C15354" t="s">
        <v>18447</v>
      </c>
      <c r="D15354" t="s">
        <v>19017</v>
      </c>
      <c r="E15354" t="s">
        <v>32306</v>
      </c>
      <c r="F15354" t="s">
        <v>32831</v>
      </c>
      <c r="G15354" t="s">
        <v>32839</v>
      </c>
      <c r="H15354" t="s">
        <v>32848</v>
      </c>
      <c r="I15354" t="s">
        <v>4222</v>
      </c>
      <c r="J15354" t="s">
        <v>35553</v>
      </c>
      <c r="K15354" t="s">
        <v>42726</v>
      </c>
      <c r="M15354" t="s">
        <v>47348</v>
      </c>
      <c r="N15354" t="s">
        <v>47424</v>
      </c>
      <c r="O15354" t="s">
        <v>47425</v>
      </c>
      <c r="Q15354">
        <v>0</v>
      </c>
      <c r="R15354" t="s">
        <v>47453</v>
      </c>
      <c r="S15354" t="s">
        <v>47883</v>
      </c>
      <c r="T15354" t="s">
        <v>49073</v>
      </c>
      <c r="U15354" t="s">
        <v>62154</v>
      </c>
      <c r="W15354" t="s">
        <v>47348</v>
      </c>
      <c r="X15354" t="s">
        <v>47456</v>
      </c>
    </row>
    <row r="15355" spans="1:24">
      <c r="A15355">
        <f>HYPERLINK("https://www.philgeps.gov.ph/GEPSNONPILOT/Tender/SplashBidNoticeAbstractUI.aspx?menuIndex=3&amp;refID=7106674&amp;Result=3","7106674")</f>
        <v>0</v>
      </c>
      <c r="B15355" t="s">
        <v>3887</v>
      </c>
      <c r="C15355" t="s">
        <v>18447</v>
      </c>
      <c r="D15355" t="s">
        <v>19017</v>
      </c>
      <c r="E15355" t="s">
        <v>32307</v>
      </c>
      <c r="F15355" t="s">
        <v>32831</v>
      </c>
      <c r="G15355" t="s">
        <v>32839</v>
      </c>
      <c r="H15355" t="s">
        <v>32848</v>
      </c>
      <c r="I15355" t="s">
        <v>4222</v>
      </c>
      <c r="J15355" t="s">
        <v>35553</v>
      </c>
      <c r="K15355" t="s">
        <v>42726</v>
      </c>
      <c r="M15355" t="s">
        <v>47348</v>
      </c>
      <c r="N15355" t="s">
        <v>47424</v>
      </c>
      <c r="O15355" t="s">
        <v>47425</v>
      </c>
      <c r="Q15355">
        <v>0</v>
      </c>
      <c r="R15355" t="s">
        <v>47453</v>
      </c>
      <c r="S15355" t="s">
        <v>48716</v>
      </c>
      <c r="T15355" t="s">
        <v>49073</v>
      </c>
      <c r="U15355" t="s">
        <v>62154</v>
      </c>
      <c r="W15355" t="s">
        <v>47348</v>
      </c>
      <c r="X15355" t="s">
        <v>47456</v>
      </c>
    </row>
    <row r="15356" spans="1:24">
      <c r="A15356">
        <f>HYPERLINK("https://www.philgeps.gov.ph/GEPSNONPILOT/Tender/SplashBidNoticeAbstractUI.aspx?menuIndex=3&amp;refID=7108056&amp;Result=3","7108056")</f>
        <v>0</v>
      </c>
      <c r="B15356" t="s">
        <v>1765</v>
      </c>
      <c r="C15356" t="s">
        <v>18448</v>
      </c>
      <c r="E15356" t="s">
        <v>32308</v>
      </c>
      <c r="F15356" t="s">
        <v>32831</v>
      </c>
      <c r="G15356" t="s">
        <v>32839</v>
      </c>
      <c r="H15356" t="s">
        <v>32849</v>
      </c>
      <c r="I15356" t="s">
        <v>4177</v>
      </c>
      <c r="J15356" t="s">
        <v>42363</v>
      </c>
      <c r="K15356" t="s">
        <v>42732</v>
      </c>
      <c r="M15356" t="s">
        <v>44890</v>
      </c>
      <c r="N15356" t="s">
        <v>47424</v>
      </c>
      <c r="O15356" t="s">
        <v>47425</v>
      </c>
      <c r="Q15356">
        <v>42</v>
      </c>
      <c r="R15356" t="s">
        <v>47453</v>
      </c>
      <c r="S15356" t="s">
        <v>48717</v>
      </c>
      <c r="T15356" t="s">
        <v>49235</v>
      </c>
      <c r="U15356" t="s">
        <v>62155</v>
      </c>
      <c r="V15356" t="s">
        <v>64360</v>
      </c>
      <c r="W15356" t="s">
        <v>44890</v>
      </c>
      <c r="X15356" t="s">
        <v>47454</v>
      </c>
    </row>
    <row r="15357" spans="1:24">
      <c r="A15357">
        <f>HYPERLINK("https://www.philgeps.gov.ph/GEPSNONPILOT/Tender/SplashBidNoticeAbstractUI.aspx?menuIndex=3&amp;refID=7106784&amp;Result=3","7106784")</f>
        <v>0</v>
      </c>
      <c r="B15357" t="s">
        <v>3887</v>
      </c>
      <c r="C15357" t="s">
        <v>18447</v>
      </c>
      <c r="D15357" t="s">
        <v>19017</v>
      </c>
      <c r="E15357" t="s">
        <v>32309</v>
      </c>
      <c r="F15357" t="s">
        <v>32831</v>
      </c>
      <c r="G15357" t="s">
        <v>32839</v>
      </c>
      <c r="H15357" t="s">
        <v>32848</v>
      </c>
      <c r="I15357" t="s">
        <v>4222</v>
      </c>
      <c r="J15357" t="s">
        <v>35553</v>
      </c>
      <c r="K15357" t="s">
        <v>42726</v>
      </c>
      <c r="M15357" t="s">
        <v>47348</v>
      </c>
      <c r="N15357" t="s">
        <v>47424</v>
      </c>
      <c r="O15357" t="s">
        <v>47425</v>
      </c>
      <c r="Q15357">
        <v>0</v>
      </c>
      <c r="R15357" t="s">
        <v>47453</v>
      </c>
      <c r="S15357" t="s">
        <v>47883</v>
      </c>
      <c r="T15357" t="s">
        <v>49073</v>
      </c>
      <c r="U15357" t="s">
        <v>62154</v>
      </c>
      <c r="W15357" t="s">
        <v>47348</v>
      </c>
      <c r="X15357" t="s">
        <v>47456</v>
      </c>
    </row>
    <row r="15358" spans="1:24">
      <c r="A15358">
        <f>HYPERLINK("https://www.philgeps.gov.ph/GEPSNONPILOT/Tender/SplashBidNoticeAbstractUI.aspx?menuIndex=3&amp;refID=7108367&amp;Result=3","7108367")</f>
        <v>0</v>
      </c>
      <c r="B15358" t="s">
        <v>3888</v>
      </c>
      <c r="C15358" t="s">
        <v>18449</v>
      </c>
      <c r="D15358" t="s">
        <v>19048</v>
      </c>
      <c r="E15358" t="s">
        <v>19183</v>
      </c>
      <c r="F15358" t="s">
        <v>32831</v>
      </c>
      <c r="G15358" t="s">
        <v>32839</v>
      </c>
      <c r="H15358" t="s">
        <v>32848</v>
      </c>
      <c r="I15358" t="s">
        <v>7416</v>
      </c>
      <c r="J15358" t="s">
        <v>42364</v>
      </c>
      <c r="K15358" t="s">
        <v>42750</v>
      </c>
      <c r="M15358" t="s">
        <v>47349</v>
      </c>
      <c r="N15358" t="s">
        <v>47424</v>
      </c>
      <c r="O15358" t="s">
        <v>47425</v>
      </c>
      <c r="Q15358">
        <v>1</v>
      </c>
      <c r="R15358" t="s">
        <v>47453</v>
      </c>
      <c r="S15358" t="s">
        <v>48718</v>
      </c>
      <c r="T15358" t="s">
        <v>49061</v>
      </c>
      <c r="U15358" t="s">
        <v>62156</v>
      </c>
      <c r="W15358" t="s">
        <v>47349</v>
      </c>
      <c r="X15358" t="s">
        <v>47454</v>
      </c>
    </row>
    <row r="15359" spans="1:24">
      <c r="A15359">
        <f>HYPERLINK("https://www.philgeps.gov.ph/GEPSNONPILOT/Tender/SplashBidNoticeAbstractUI.aspx?menuIndex=3&amp;refID=7101353&amp;Result=3","7101353")</f>
        <v>0</v>
      </c>
      <c r="B15359" t="s">
        <v>1597</v>
      </c>
      <c r="C15359" t="s">
        <v>18450</v>
      </c>
      <c r="D15359" t="s">
        <v>19031</v>
      </c>
      <c r="E15359" t="s">
        <v>32310</v>
      </c>
      <c r="F15359" t="s">
        <v>32831</v>
      </c>
      <c r="G15359" t="s">
        <v>32839</v>
      </c>
      <c r="H15359" t="s">
        <v>32848</v>
      </c>
      <c r="I15359" t="s">
        <v>32870</v>
      </c>
      <c r="J15359" t="s">
        <v>42365</v>
      </c>
      <c r="K15359" t="s">
        <v>42781</v>
      </c>
      <c r="M15359" t="s">
        <v>44719</v>
      </c>
      <c r="N15359" t="s">
        <v>47424</v>
      </c>
      <c r="O15359" t="s">
        <v>47425</v>
      </c>
      <c r="P15359">
        <v>0</v>
      </c>
      <c r="Q15359">
        <v>0</v>
      </c>
      <c r="R15359" t="s">
        <v>47453</v>
      </c>
      <c r="S15359" t="s">
        <v>48700</v>
      </c>
      <c r="T15359" t="s">
        <v>49111</v>
      </c>
      <c r="U15359" t="s">
        <v>62157</v>
      </c>
      <c r="V15359" t="s">
        <v>63051</v>
      </c>
      <c r="W15359" t="s">
        <v>44719</v>
      </c>
      <c r="X15359" t="s">
        <v>47458</v>
      </c>
    </row>
    <row r="15360" spans="1:24">
      <c r="A15360">
        <f>HYPERLINK("https://www.philgeps.gov.ph/GEPSNONPILOT/Tender/SplashBidNoticeAbstractUI.aspx?menuIndex=3&amp;refID=7106514&amp;Result=3","7106514")</f>
        <v>0</v>
      </c>
      <c r="B15360" t="s">
        <v>2251</v>
      </c>
      <c r="C15360" t="s">
        <v>18451</v>
      </c>
      <c r="D15360" t="s">
        <v>19033</v>
      </c>
      <c r="E15360" t="s">
        <v>32311</v>
      </c>
      <c r="F15360" t="s">
        <v>32831</v>
      </c>
      <c r="G15360" t="s">
        <v>32839</v>
      </c>
      <c r="H15360" t="s">
        <v>32849</v>
      </c>
      <c r="I15360" t="s">
        <v>4177</v>
      </c>
      <c r="J15360" t="s">
        <v>42366</v>
      </c>
      <c r="K15360" t="s">
        <v>42780</v>
      </c>
      <c r="M15360" t="s">
        <v>45432</v>
      </c>
      <c r="N15360" t="s">
        <v>47424</v>
      </c>
      <c r="O15360" t="s">
        <v>47425</v>
      </c>
      <c r="Q15360">
        <v>11</v>
      </c>
      <c r="R15360" t="s">
        <v>47453</v>
      </c>
      <c r="S15360" t="s">
        <v>48500</v>
      </c>
      <c r="T15360" t="s">
        <v>49237</v>
      </c>
      <c r="U15360" t="s">
        <v>62158</v>
      </c>
      <c r="V15360" t="s">
        <v>64361</v>
      </c>
      <c r="W15360" t="s">
        <v>64565</v>
      </c>
      <c r="X15360" t="s">
        <v>47456</v>
      </c>
    </row>
    <row r="15361" spans="1:24">
      <c r="A15361">
        <f>HYPERLINK("https://www.philgeps.gov.ph/GEPSNONPILOT/Tender/SplashBidNoticeAbstractUI.aspx?menuIndex=3&amp;refID=7106300&amp;Result=3","7106300")</f>
        <v>0</v>
      </c>
      <c r="B15361" t="s">
        <v>2630</v>
      </c>
      <c r="C15361" t="s">
        <v>18452</v>
      </c>
      <c r="D15361" t="s">
        <v>19019</v>
      </c>
      <c r="E15361" t="s">
        <v>32312</v>
      </c>
      <c r="F15361" t="s">
        <v>32831</v>
      </c>
      <c r="G15361" t="s">
        <v>32839</v>
      </c>
      <c r="H15361" t="s">
        <v>32849</v>
      </c>
      <c r="I15361" t="s">
        <v>4177</v>
      </c>
      <c r="J15361" t="s">
        <v>42367</v>
      </c>
      <c r="K15361" t="s">
        <v>42780</v>
      </c>
      <c r="M15361" t="s">
        <v>45850</v>
      </c>
      <c r="N15361" t="s">
        <v>47424</v>
      </c>
      <c r="O15361" t="s">
        <v>47425</v>
      </c>
      <c r="Q15361">
        <v>2</v>
      </c>
      <c r="R15361" t="s">
        <v>47453</v>
      </c>
      <c r="S15361" t="s">
        <v>48719</v>
      </c>
      <c r="T15361" t="s">
        <v>49105</v>
      </c>
      <c r="U15361" t="s">
        <v>62159</v>
      </c>
      <c r="W15361" t="s">
        <v>45850</v>
      </c>
      <c r="X15361" t="s">
        <v>47456</v>
      </c>
    </row>
    <row r="15362" spans="1:24">
      <c r="A15362">
        <f>HYPERLINK("https://www.philgeps.gov.ph/GEPSNONPILOT/Tender/SplashBidNoticeAbstractUI.aspx?menuIndex=3&amp;refID=7037817&amp;Result=3","7037817")</f>
        <v>0</v>
      </c>
      <c r="B15362" t="s">
        <v>3889</v>
      </c>
      <c r="C15362" t="s">
        <v>18453</v>
      </c>
      <c r="D15362" t="s">
        <v>19045</v>
      </c>
      <c r="E15362" t="s">
        <v>32313</v>
      </c>
      <c r="F15362" t="s">
        <v>32831</v>
      </c>
      <c r="G15362" t="s">
        <v>32843</v>
      </c>
      <c r="H15362" t="s">
        <v>32848</v>
      </c>
      <c r="I15362" t="s">
        <v>32853</v>
      </c>
      <c r="J15362" t="s">
        <v>42368</v>
      </c>
      <c r="K15362" t="s">
        <v>42730</v>
      </c>
      <c r="L15362" t="s">
        <v>3889</v>
      </c>
      <c r="M15362" t="s">
        <v>47350</v>
      </c>
      <c r="N15362" t="s">
        <v>47424</v>
      </c>
      <c r="O15362" t="s">
        <v>47425</v>
      </c>
      <c r="P15362">
        <v>0</v>
      </c>
      <c r="Q15362">
        <v>0</v>
      </c>
      <c r="R15362" t="s">
        <v>47454</v>
      </c>
      <c r="S15362" t="s">
        <v>48720</v>
      </c>
      <c r="T15362" t="s">
        <v>49124</v>
      </c>
      <c r="U15362" t="s">
        <v>62160</v>
      </c>
      <c r="W15362" t="s">
        <v>47350</v>
      </c>
      <c r="X15362" t="s">
        <v>64578</v>
      </c>
    </row>
    <row r="15363" spans="1:24">
      <c r="A15363">
        <f>HYPERLINK("https://www.philgeps.gov.ph/GEPSNONPILOT/Tender/SplashBidNoticeAbstractUI.aspx?menuIndex=3&amp;refID=7106908&amp;Result=3","7106908")</f>
        <v>0</v>
      </c>
      <c r="B15363" t="s">
        <v>3887</v>
      </c>
      <c r="C15363" t="s">
        <v>18446</v>
      </c>
      <c r="D15363" t="s">
        <v>19017</v>
      </c>
      <c r="E15363" t="s">
        <v>32314</v>
      </c>
      <c r="F15363" t="s">
        <v>32831</v>
      </c>
      <c r="G15363" t="s">
        <v>32839</v>
      </c>
      <c r="H15363" t="s">
        <v>32848</v>
      </c>
      <c r="I15363" t="s">
        <v>4340</v>
      </c>
      <c r="J15363" t="s">
        <v>33297</v>
      </c>
      <c r="K15363" t="s">
        <v>42726</v>
      </c>
      <c r="M15363" t="s">
        <v>47348</v>
      </c>
      <c r="N15363" t="s">
        <v>47424</v>
      </c>
      <c r="O15363" t="s">
        <v>47425</v>
      </c>
      <c r="Q15363">
        <v>3</v>
      </c>
      <c r="R15363" t="s">
        <v>47453</v>
      </c>
      <c r="S15363" t="s">
        <v>48721</v>
      </c>
      <c r="T15363" t="s">
        <v>49073</v>
      </c>
      <c r="U15363" t="s">
        <v>62154</v>
      </c>
      <c r="W15363" t="s">
        <v>47348</v>
      </c>
      <c r="X15363" t="s">
        <v>47456</v>
      </c>
    </row>
    <row r="15364" spans="1:24">
      <c r="A15364">
        <f>HYPERLINK("https://www.philgeps.gov.ph/GEPSNONPILOT/Tender/SplashBidNoticeAbstractUI.aspx?menuIndex=3&amp;refID=7036455&amp;Result=3","7036455")</f>
        <v>0</v>
      </c>
      <c r="B15364" t="s">
        <v>3889</v>
      </c>
      <c r="C15364" t="s">
        <v>18454</v>
      </c>
      <c r="D15364" t="s">
        <v>19045</v>
      </c>
      <c r="E15364" t="s">
        <v>32315</v>
      </c>
      <c r="F15364" t="s">
        <v>32831</v>
      </c>
      <c r="G15364" t="s">
        <v>32843</v>
      </c>
      <c r="H15364" t="s">
        <v>32848</v>
      </c>
      <c r="I15364" t="s">
        <v>32853</v>
      </c>
      <c r="J15364" t="s">
        <v>38281</v>
      </c>
      <c r="K15364" t="s">
        <v>42730</v>
      </c>
      <c r="M15364" t="s">
        <v>47350</v>
      </c>
      <c r="N15364" t="s">
        <v>47424</v>
      </c>
      <c r="O15364" t="s">
        <v>47425</v>
      </c>
      <c r="P15364">
        <v>0</v>
      </c>
      <c r="Q15364">
        <v>2</v>
      </c>
      <c r="R15364" t="s">
        <v>47454</v>
      </c>
      <c r="S15364" t="s">
        <v>48720</v>
      </c>
      <c r="T15364" t="s">
        <v>49124</v>
      </c>
      <c r="U15364" t="s">
        <v>62161</v>
      </c>
      <c r="W15364" t="s">
        <v>47350</v>
      </c>
      <c r="X15364" t="s">
        <v>64578</v>
      </c>
    </row>
    <row r="15365" spans="1:24">
      <c r="A15365">
        <f>HYPERLINK("https://www.philgeps.gov.ph/GEPSNONPILOT/Tender/SplashBidNoticeAbstractUI.aspx?menuIndex=3&amp;refID=7110015&amp;Result=3","7110015")</f>
        <v>0</v>
      </c>
      <c r="B15365" t="s">
        <v>3890</v>
      </c>
      <c r="C15365" t="s">
        <v>18455</v>
      </c>
      <c r="D15365" t="s">
        <v>19017</v>
      </c>
      <c r="E15365" t="s">
        <v>32316</v>
      </c>
      <c r="F15365" t="s">
        <v>32831</v>
      </c>
      <c r="G15365" t="s">
        <v>32839</v>
      </c>
      <c r="H15365" t="s">
        <v>14069</v>
      </c>
      <c r="I15365" t="s">
        <v>32863</v>
      </c>
      <c r="J15365" t="s">
        <v>42369</v>
      </c>
      <c r="K15365" t="s">
        <v>42905</v>
      </c>
      <c r="M15365" t="s">
        <v>47351</v>
      </c>
      <c r="N15365" t="s">
        <v>47424</v>
      </c>
      <c r="O15365" t="s">
        <v>47425</v>
      </c>
      <c r="Q15365">
        <v>3</v>
      </c>
      <c r="R15365" t="s">
        <v>47453</v>
      </c>
      <c r="S15365" t="s">
        <v>48722</v>
      </c>
      <c r="T15365" t="s">
        <v>49237</v>
      </c>
      <c r="U15365" t="s">
        <v>62162</v>
      </c>
      <c r="V15365" t="s">
        <v>64362</v>
      </c>
      <c r="W15365" t="s">
        <v>47351</v>
      </c>
      <c r="X15365" t="s">
        <v>47454</v>
      </c>
    </row>
    <row r="15366" spans="1:24">
      <c r="A15366">
        <f>HYPERLINK("https://www.philgeps.gov.ph/GEPSNONPILOT/Tender/SplashBidNoticeAbstractUI.aspx?menuIndex=3&amp;refID=7109950&amp;Result=3","7109950")</f>
        <v>0</v>
      </c>
      <c r="B15366" t="s">
        <v>3891</v>
      </c>
      <c r="C15366" t="s">
        <v>18456</v>
      </c>
      <c r="D15366" t="s">
        <v>19081</v>
      </c>
      <c r="E15366" t="s">
        <v>32317</v>
      </c>
      <c r="F15366" t="s">
        <v>32831</v>
      </c>
      <c r="G15366" t="s">
        <v>32839</v>
      </c>
      <c r="H15366" t="s">
        <v>32849</v>
      </c>
      <c r="I15366" t="s">
        <v>4177</v>
      </c>
      <c r="J15366" t="s">
        <v>42370</v>
      </c>
      <c r="K15366" t="s">
        <v>42747</v>
      </c>
      <c r="M15366" t="s">
        <v>47352</v>
      </c>
      <c r="N15366" t="s">
        <v>47424</v>
      </c>
      <c r="O15366" t="s">
        <v>47425</v>
      </c>
      <c r="Q15366">
        <v>0</v>
      </c>
      <c r="R15366" t="s">
        <v>47453</v>
      </c>
      <c r="S15366" t="s">
        <v>48723</v>
      </c>
      <c r="T15366" t="s">
        <v>49244</v>
      </c>
      <c r="U15366" t="s">
        <v>62163</v>
      </c>
      <c r="W15366" t="s">
        <v>47352</v>
      </c>
      <c r="X15366" t="s">
        <v>47454</v>
      </c>
    </row>
    <row r="15367" spans="1:24">
      <c r="A15367">
        <f>HYPERLINK("https://www.philgeps.gov.ph/GEPSNONPILOT/Tender/SplashBidNoticeAbstractUI.aspx?menuIndex=3&amp;refID=7109653&amp;Result=3","7109653")</f>
        <v>0</v>
      </c>
      <c r="B15367" t="s">
        <v>584</v>
      </c>
      <c r="C15367" t="s">
        <v>18457</v>
      </c>
      <c r="E15367" t="s">
        <v>32318</v>
      </c>
      <c r="F15367" t="s">
        <v>32831</v>
      </c>
      <c r="G15367" t="s">
        <v>32839</v>
      </c>
      <c r="H15367" t="s">
        <v>32850</v>
      </c>
      <c r="I15367" t="s">
        <v>32885</v>
      </c>
      <c r="J15367" t="s">
        <v>42371</v>
      </c>
      <c r="K15367" t="s">
        <v>42786</v>
      </c>
      <c r="M15367" t="s">
        <v>47353</v>
      </c>
      <c r="N15367" t="s">
        <v>47424</v>
      </c>
      <c r="O15367" t="s">
        <v>47425</v>
      </c>
      <c r="Q15367">
        <v>6</v>
      </c>
      <c r="R15367" t="s">
        <v>47453</v>
      </c>
      <c r="S15367" t="s">
        <v>48074</v>
      </c>
      <c r="T15367" t="s">
        <v>49166</v>
      </c>
      <c r="U15367" t="s">
        <v>62164</v>
      </c>
      <c r="W15367" t="s">
        <v>47353</v>
      </c>
      <c r="X15367" t="s">
        <v>47454</v>
      </c>
    </row>
    <row r="15368" spans="1:24">
      <c r="A15368">
        <f>HYPERLINK("https://www.philgeps.gov.ph/GEPSNONPILOT/Tender/SplashBidNoticeAbstractUI.aspx?menuIndex=3&amp;refID=7108961&amp;Result=3","7108961")</f>
        <v>0</v>
      </c>
      <c r="B15368" t="s">
        <v>3170</v>
      </c>
      <c r="C15368" t="s">
        <v>18458</v>
      </c>
      <c r="D15368" t="s">
        <v>19017</v>
      </c>
      <c r="E15368" t="s">
        <v>26241</v>
      </c>
      <c r="F15368" t="s">
        <v>32831</v>
      </c>
      <c r="G15368" t="s">
        <v>32839</v>
      </c>
      <c r="H15368" t="s">
        <v>32850</v>
      </c>
      <c r="I15368" t="s">
        <v>32863</v>
      </c>
      <c r="J15368" t="s">
        <v>42372</v>
      </c>
      <c r="K15368" t="s">
        <v>42774</v>
      </c>
      <c r="M15368" t="s">
        <v>46477</v>
      </c>
      <c r="N15368" t="s">
        <v>47424</v>
      </c>
      <c r="O15368" t="s">
        <v>47425</v>
      </c>
      <c r="Q15368">
        <v>2</v>
      </c>
      <c r="R15368" t="s">
        <v>47453</v>
      </c>
      <c r="S15368" t="s">
        <v>48724</v>
      </c>
      <c r="T15368" t="s">
        <v>49106</v>
      </c>
      <c r="U15368" t="s">
        <v>62165</v>
      </c>
      <c r="W15368" t="s">
        <v>46477</v>
      </c>
      <c r="X15368" t="s">
        <v>47454</v>
      </c>
    </row>
    <row r="15369" spans="1:24">
      <c r="A15369">
        <f>HYPERLINK("https://www.philgeps.gov.ph/GEPSNONPILOT/Tender/SplashBidNoticeAbstractUI.aspx?menuIndex=3&amp;refID=7109839&amp;Result=3","7109839")</f>
        <v>0</v>
      </c>
      <c r="B15369" t="s">
        <v>3598</v>
      </c>
      <c r="C15369" t="s">
        <v>18459</v>
      </c>
      <c r="D15369" t="s">
        <v>19077</v>
      </c>
      <c r="E15369" t="s">
        <v>32319</v>
      </c>
      <c r="F15369" t="s">
        <v>32831</v>
      </c>
      <c r="G15369" t="s">
        <v>32839</v>
      </c>
      <c r="H15369" t="s">
        <v>32849</v>
      </c>
      <c r="I15369" t="s">
        <v>4177</v>
      </c>
      <c r="J15369" t="s">
        <v>42373</v>
      </c>
      <c r="K15369" t="s">
        <v>42964</v>
      </c>
      <c r="M15369" t="s">
        <v>46962</v>
      </c>
      <c r="N15369" t="s">
        <v>47424</v>
      </c>
      <c r="O15369" t="s">
        <v>47425</v>
      </c>
      <c r="P15369">
        <v>0</v>
      </c>
      <c r="Q15369">
        <v>0</v>
      </c>
      <c r="R15369" t="s">
        <v>47453</v>
      </c>
      <c r="S15369" t="s">
        <v>48700</v>
      </c>
      <c r="T15369" t="s">
        <v>49122</v>
      </c>
      <c r="U15369" t="s">
        <v>62166</v>
      </c>
      <c r="W15369" t="s">
        <v>46962</v>
      </c>
      <c r="X15369" t="s">
        <v>47454</v>
      </c>
    </row>
    <row r="15370" spans="1:24">
      <c r="A15370">
        <f>HYPERLINK("https://www.philgeps.gov.ph/GEPSNONPILOT/Tender/SplashBidNoticeAbstractUI.aspx?menuIndex=3&amp;refID=7112214&amp;Result=3","7112214")</f>
        <v>0</v>
      </c>
      <c r="B15370" t="s">
        <v>29</v>
      </c>
      <c r="C15370" t="s">
        <v>4558</v>
      </c>
      <c r="D15370" t="s">
        <v>19101</v>
      </c>
      <c r="E15370" t="s">
        <v>32320</v>
      </c>
      <c r="F15370" t="s">
        <v>32831</v>
      </c>
      <c r="G15370" t="s">
        <v>32839</v>
      </c>
      <c r="H15370" t="s">
        <v>32848</v>
      </c>
      <c r="I15370" t="s">
        <v>4558</v>
      </c>
      <c r="J15370" t="s">
        <v>42374</v>
      </c>
      <c r="K15370" t="s">
        <v>42726</v>
      </c>
      <c r="M15370" t="s">
        <v>47354</v>
      </c>
      <c r="N15370" t="s">
        <v>47424</v>
      </c>
      <c r="O15370" t="s">
        <v>47425</v>
      </c>
      <c r="Q15370">
        <v>9</v>
      </c>
      <c r="R15370" t="s">
        <v>47452</v>
      </c>
      <c r="S15370" t="s">
        <v>48725</v>
      </c>
      <c r="T15370" t="s">
        <v>49123</v>
      </c>
      <c r="U15370" t="s">
        <v>62167</v>
      </c>
      <c r="V15370" t="s">
        <v>64363</v>
      </c>
      <c r="W15370" t="s">
        <v>47354</v>
      </c>
      <c r="X15370" t="s">
        <v>47453</v>
      </c>
    </row>
    <row r="15371" spans="1:24">
      <c r="A15371">
        <f>HYPERLINK("https://www.philgeps.gov.ph/GEPSNONPILOT/Tender/SplashBidNoticeAbstractUI.aspx?menuIndex=3&amp;refID=7109872&amp;Result=3","7109872")</f>
        <v>0</v>
      </c>
      <c r="B15371" t="s">
        <v>1611</v>
      </c>
      <c r="C15371" t="s">
        <v>18460</v>
      </c>
      <c r="D15371" t="s">
        <v>19077</v>
      </c>
      <c r="E15371" t="s">
        <v>32321</v>
      </c>
      <c r="F15371" t="s">
        <v>32831</v>
      </c>
      <c r="G15371" t="s">
        <v>32839</v>
      </c>
      <c r="H15371" t="s">
        <v>32849</v>
      </c>
      <c r="I15371" t="s">
        <v>4177</v>
      </c>
      <c r="J15371" t="s">
        <v>42375</v>
      </c>
      <c r="K15371" t="s">
        <v>42891</v>
      </c>
      <c r="M15371" t="s">
        <v>44727</v>
      </c>
      <c r="N15371" t="s">
        <v>47424</v>
      </c>
      <c r="O15371" t="s">
        <v>47425</v>
      </c>
      <c r="Q15371">
        <v>2</v>
      </c>
      <c r="R15371" t="s">
        <v>47453</v>
      </c>
      <c r="S15371" t="s">
        <v>48726</v>
      </c>
      <c r="T15371" t="s">
        <v>49106</v>
      </c>
      <c r="U15371" t="s">
        <v>53353</v>
      </c>
      <c r="W15371" t="s">
        <v>44727</v>
      </c>
      <c r="X15371" t="s">
        <v>47454</v>
      </c>
    </row>
    <row r="15372" spans="1:24">
      <c r="A15372">
        <f>HYPERLINK("https://www.philgeps.gov.ph/GEPSNONPILOT/Tender/SplashBidNoticeAbstractUI.aspx?menuIndex=3&amp;refID=7110100&amp;Result=3","7110100")</f>
        <v>0</v>
      </c>
      <c r="B15372" t="s">
        <v>3892</v>
      </c>
      <c r="C15372" t="s">
        <v>18461</v>
      </c>
      <c r="D15372" t="s">
        <v>19088</v>
      </c>
      <c r="E15372" t="s">
        <v>19787</v>
      </c>
      <c r="F15372" t="s">
        <v>32833</v>
      </c>
      <c r="G15372" t="s">
        <v>32839</v>
      </c>
      <c r="H15372" t="s">
        <v>32850</v>
      </c>
      <c r="I15372" t="s">
        <v>32911</v>
      </c>
      <c r="J15372" t="s">
        <v>42376</v>
      </c>
      <c r="K15372" t="s">
        <v>42775</v>
      </c>
      <c r="M15372" t="s">
        <v>47355</v>
      </c>
      <c r="N15372" t="s">
        <v>47424</v>
      </c>
      <c r="O15372" t="s">
        <v>47425</v>
      </c>
      <c r="Q15372">
        <v>3</v>
      </c>
      <c r="R15372" t="s">
        <v>47453</v>
      </c>
      <c r="S15372" t="s">
        <v>48727</v>
      </c>
      <c r="T15372" t="s">
        <v>49063</v>
      </c>
      <c r="U15372" t="s">
        <v>62168</v>
      </c>
      <c r="W15372" t="s">
        <v>47355</v>
      </c>
      <c r="X15372" t="s">
        <v>47454</v>
      </c>
    </row>
    <row r="15373" spans="1:24">
      <c r="A15373">
        <f>HYPERLINK("https://www.philgeps.gov.ph/GEPSNONPILOT/Tender/SplashBidNoticeAbstractUI.aspx?menuIndex=3&amp;refID=7109835&amp;Result=3","7109835")</f>
        <v>0</v>
      </c>
      <c r="B15373" t="s">
        <v>1646</v>
      </c>
      <c r="C15373" t="s">
        <v>18462</v>
      </c>
      <c r="D15373" t="s">
        <v>19020</v>
      </c>
      <c r="E15373" t="s">
        <v>32322</v>
      </c>
      <c r="F15373" t="s">
        <v>32831</v>
      </c>
      <c r="G15373" t="s">
        <v>32839</v>
      </c>
      <c r="H15373" t="s">
        <v>32848</v>
      </c>
      <c r="I15373" t="s">
        <v>7751</v>
      </c>
      <c r="J15373" t="s">
        <v>33528</v>
      </c>
      <c r="K15373" t="s">
        <v>42786</v>
      </c>
      <c r="M15373" t="s">
        <v>44763</v>
      </c>
      <c r="N15373" t="s">
        <v>47424</v>
      </c>
      <c r="O15373" t="s">
        <v>47425</v>
      </c>
      <c r="Q15373">
        <v>12</v>
      </c>
      <c r="R15373" t="s">
        <v>47453</v>
      </c>
      <c r="S15373" t="s">
        <v>48728</v>
      </c>
      <c r="T15373" t="s">
        <v>49111</v>
      </c>
      <c r="U15373" t="s">
        <v>62169</v>
      </c>
      <c r="W15373" t="s">
        <v>44763</v>
      </c>
      <c r="X15373" t="s">
        <v>47454</v>
      </c>
    </row>
    <row r="15374" spans="1:24">
      <c r="A15374">
        <f>HYPERLINK("https://www.philgeps.gov.ph/GEPSNONPILOT/Tender/SplashBidNoticeAbstractUI.aspx?menuIndex=3&amp;refID=7109543&amp;Result=3","7109543")</f>
        <v>0</v>
      </c>
      <c r="B15374" t="s">
        <v>2664</v>
      </c>
      <c r="C15374" t="s">
        <v>18463</v>
      </c>
      <c r="D15374" t="s">
        <v>19059</v>
      </c>
      <c r="E15374" t="s">
        <v>32323</v>
      </c>
      <c r="F15374" t="s">
        <v>32831</v>
      </c>
      <c r="G15374" t="s">
        <v>32838</v>
      </c>
      <c r="H15374" t="s">
        <v>32850</v>
      </c>
      <c r="I15374" t="s">
        <v>32913</v>
      </c>
      <c r="J15374" t="s">
        <v>42377</v>
      </c>
      <c r="K15374" t="s">
        <v>42730</v>
      </c>
      <c r="M15374" t="s">
        <v>45887</v>
      </c>
      <c r="N15374" t="s">
        <v>47424</v>
      </c>
      <c r="O15374" t="s">
        <v>47425</v>
      </c>
      <c r="Q15374">
        <v>0</v>
      </c>
      <c r="R15374" t="s">
        <v>47453</v>
      </c>
      <c r="S15374" t="s">
        <v>48729</v>
      </c>
      <c r="T15374" t="s">
        <v>49073</v>
      </c>
      <c r="U15374" t="s">
        <v>62170</v>
      </c>
      <c r="W15374" t="s">
        <v>45887</v>
      </c>
      <c r="X15374" t="s">
        <v>47454</v>
      </c>
    </row>
    <row r="15375" spans="1:24">
      <c r="A15375">
        <f>HYPERLINK("https://www.philgeps.gov.ph/GEPSNONPILOT/Tender/SplashBidNoticeAbstractUI.aspx?menuIndex=3&amp;refID=7106029&amp;Result=3","7106029")</f>
        <v>0</v>
      </c>
      <c r="B15375" t="s">
        <v>1118</v>
      </c>
      <c r="C15375" t="s">
        <v>18464</v>
      </c>
      <c r="D15375" t="s">
        <v>19060</v>
      </c>
      <c r="E15375" t="s">
        <v>32324</v>
      </c>
      <c r="F15375" t="s">
        <v>32831</v>
      </c>
      <c r="G15375" t="s">
        <v>32839</v>
      </c>
      <c r="H15375" t="s">
        <v>32848</v>
      </c>
      <c r="I15375" t="s">
        <v>4438</v>
      </c>
      <c r="J15375" t="s">
        <v>42378</v>
      </c>
      <c r="K15375" t="s">
        <v>42726</v>
      </c>
      <c r="M15375" t="s">
        <v>45853</v>
      </c>
      <c r="N15375" t="s">
        <v>47424</v>
      </c>
      <c r="O15375" t="s">
        <v>47425</v>
      </c>
      <c r="Q15375">
        <v>4</v>
      </c>
      <c r="R15375" t="s">
        <v>47454</v>
      </c>
      <c r="S15375" t="s">
        <v>48730</v>
      </c>
      <c r="T15375" t="s">
        <v>49321</v>
      </c>
      <c r="U15375" t="s">
        <v>56180</v>
      </c>
      <c r="V15375" t="s">
        <v>64364</v>
      </c>
      <c r="W15375" t="s">
        <v>45853</v>
      </c>
      <c r="X15375" t="s">
        <v>47456</v>
      </c>
    </row>
    <row r="15376" spans="1:24">
      <c r="A15376">
        <f>HYPERLINK("https://www.philgeps.gov.ph/GEPSNONPILOT/Tender/SplashBidNoticeAbstractUI.aspx?menuIndex=3&amp;refID=7105972&amp;Result=3","7105972")</f>
        <v>0</v>
      </c>
      <c r="B15376" t="s">
        <v>1118</v>
      </c>
      <c r="C15376" t="s">
        <v>5029</v>
      </c>
      <c r="D15376" t="s">
        <v>19060</v>
      </c>
      <c r="E15376" t="s">
        <v>32325</v>
      </c>
      <c r="F15376" t="s">
        <v>32831</v>
      </c>
      <c r="G15376" t="s">
        <v>32839</v>
      </c>
      <c r="H15376" t="s">
        <v>32848</v>
      </c>
      <c r="I15376" t="s">
        <v>32860</v>
      </c>
      <c r="J15376" t="s">
        <v>42379</v>
      </c>
      <c r="K15376" t="s">
        <v>42726</v>
      </c>
      <c r="M15376" t="s">
        <v>45853</v>
      </c>
      <c r="N15376" t="s">
        <v>47424</v>
      </c>
      <c r="O15376" t="s">
        <v>47425</v>
      </c>
      <c r="Q15376">
        <v>4</v>
      </c>
      <c r="R15376" t="s">
        <v>47454</v>
      </c>
      <c r="S15376" t="s">
        <v>48731</v>
      </c>
      <c r="T15376" t="s">
        <v>49321</v>
      </c>
      <c r="U15376" t="s">
        <v>56180</v>
      </c>
      <c r="V15376" t="s">
        <v>64365</v>
      </c>
      <c r="W15376" t="s">
        <v>45853</v>
      </c>
      <c r="X15376" t="s">
        <v>47456</v>
      </c>
    </row>
    <row r="15377" spans="1:24">
      <c r="A15377">
        <f>HYPERLINK("https://www.philgeps.gov.ph/GEPSNONPILOT/Tender/SplashBidNoticeAbstractUI.aspx?menuIndex=3&amp;refID=7105963&amp;Result=3","7105963")</f>
        <v>0</v>
      </c>
      <c r="B15377" t="s">
        <v>1362</v>
      </c>
      <c r="C15377" t="s">
        <v>18465</v>
      </c>
      <c r="D15377" t="s">
        <v>19017</v>
      </c>
      <c r="E15377" t="s">
        <v>32326</v>
      </c>
      <c r="F15377" t="s">
        <v>32831</v>
      </c>
      <c r="G15377" t="s">
        <v>32838</v>
      </c>
      <c r="H15377" t="s">
        <v>32848</v>
      </c>
      <c r="I15377" t="s">
        <v>32874</v>
      </c>
      <c r="J15377" t="s">
        <v>33067</v>
      </c>
      <c r="K15377" t="s">
        <v>42732</v>
      </c>
      <c r="M15377" t="s">
        <v>44441</v>
      </c>
      <c r="N15377" t="s">
        <v>47424</v>
      </c>
      <c r="O15377" t="s">
        <v>47425</v>
      </c>
      <c r="Q15377">
        <v>6</v>
      </c>
      <c r="R15377" t="s">
        <v>47454</v>
      </c>
      <c r="S15377" t="s">
        <v>48732</v>
      </c>
      <c r="T15377" t="s">
        <v>49212</v>
      </c>
      <c r="U15377" t="s">
        <v>62171</v>
      </c>
      <c r="W15377" t="s">
        <v>44441</v>
      </c>
      <c r="X15377" t="s">
        <v>47456</v>
      </c>
    </row>
    <row r="15378" spans="1:24">
      <c r="A15378">
        <f>HYPERLINK("https://www.philgeps.gov.ph/GEPSNONPILOT/Tender/SplashBidNoticeAbstractUI.aspx?menuIndex=3&amp;refID=7109834&amp;Result=3","7109834")</f>
        <v>0</v>
      </c>
      <c r="B15378" t="s">
        <v>3598</v>
      </c>
      <c r="C15378" t="s">
        <v>18466</v>
      </c>
      <c r="D15378" t="s">
        <v>19077</v>
      </c>
      <c r="E15378" t="s">
        <v>32327</v>
      </c>
      <c r="F15378" t="s">
        <v>32831</v>
      </c>
      <c r="G15378" t="s">
        <v>32839</v>
      </c>
      <c r="H15378" t="s">
        <v>32849</v>
      </c>
      <c r="I15378" t="s">
        <v>4177</v>
      </c>
      <c r="J15378" t="s">
        <v>42380</v>
      </c>
      <c r="K15378" t="s">
        <v>42770</v>
      </c>
      <c r="M15378" t="s">
        <v>46962</v>
      </c>
      <c r="N15378" t="s">
        <v>47424</v>
      </c>
      <c r="O15378" t="s">
        <v>47425</v>
      </c>
      <c r="P15378">
        <v>0</v>
      </c>
      <c r="Q15378">
        <v>1</v>
      </c>
      <c r="R15378" t="s">
        <v>47453</v>
      </c>
      <c r="S15378" t="s">
        <v>48700</v>
      </c>
      <c r="T15378" t="s">
        <v>49122</v>
      </c>
      <c r="U15378" t="s">
        <v>62172</v>
      </c>
      <c r="W15378" t="s">
        <v>46962</v>
      </c>
      <c r="X15378" t="s">
        <v>47454</v>
      </c>
    </row>
    <row r="15379" spans="1:24">
      <c r="A15379">
        <f>HYPERLINK("https://www.philgeps.gov.ph/GEPSNONPILOT/Tender/SplashBidNoticeAbstractUI.aspx?menuIndex=3&amp;refID=7105863&amp;Result=3","7105863")</f>
        <v>0</v>
      </c>
      <c r="B15379" t="s">
        <v>2287</v>
      </c>
      <c r="C15379" t="s">
        <v>18467</v>
      </c>
      <c r="D15379" t="s">
        <v>19033</v>
      </c>
      <c r="E15379" t="s">
        <v>20965</v>
      </c>
      <c r="F15379" t="s">
        <v>32831</v>
      </c>
      <c r="G15379" t="s">
        <v>32839</v>
      </c>
      <c r="H15379" t="s">
        <v>32848</v>
      </c>
      <c r="I15379" t="s">
        <v>11727</v>
      </c>
      <c r="J15379" t="s">
        <v>33066</v>
      </c>
      <c r="K15379" t="s">
        <v>42763</v>
      </c>
      <c r="M15379" t="s">
        <v>45471</v>
      </c>
      <c r="N15379" t="s">
        <v>47424</v>
      </c>
      <c r="O15379" t="s">
        <v>47425</v>
      </c>
      <c r="P15379">
        <v>0</v>
      </c>
      <c r="Q15379">
        <v>7</v>
      </c>
      <c r="R15379" t="s">
        <v>47454</v>
      </c>
      <c r="S15379" t="s">
        <v>48720</v>
      </c>
      <c r="T15379" t="s">
        <v>49198</v>
      </c>
      <c r="U15379" t="s">
        <v>62173</v>
      </c>
      <c r="V15379" t="s">
        <v>63334</v>
      </c>
      <c r="W15379" t="s">
        <v>45471</v>
      </c>
      <c r="X15379" t="s">
        <v>47456</v>
      </c>
    </row>
    <row r="15380" spans="1:24">
      <c r="A15380">
        <f>HYPERLINK("https://www.philgeps.gov.ph/GEPSNONPILOT/Tender/SplashBidNoticeAbstractUI.aspx?menuIndex=3&amp;refID=7105941&amp;Result=3","7105941")</f>
        <v>0</v>
      </c>
      <c r="B15380" t="s">
        <v>1118</v>
      </c>
      <c r="C15380" t="s">
        <v>4002</v>
      </c>
      <c r="D15380" t="s">
        <v>19060</v>
      </c>
      <c r="E15380" t="s">
        <v>32328</v>
      </c>
      <c r="F15380" t="s">
        <v>32831</v>
      </c>
      <c r="G15380" t="s">
        <v>32839</v>
      </c>
      <c r="H15380" t="s">
        <v>32848</v>
      </c>
      <c r="I15380" t="s">
        <v>10805</v>
      </c>
      <c r="J15380" t="s">
        <v>42381</v>
      </c>
      <c r="K15380" t="s">
        <v>42726</v>
      </c>
      <c r="M15380" t="s">
        <v>45853</v>
      </c>
      <c r="N15380" t="s">
        <v>47424</v>
      </c>
      <c r="O15380" t="s">
        <v>47425</v>
      </c>
      <c r="Q15380">
        <v>3</v>
      </c>
      <c r="R15380" t="s">
        <v>47454</v>
      </c>
      <c r="S15380" t="s">
        <v>48733</v>
      </c>
      <c r="T15380" t="s">
        <v>49321</v>
      </c>
      <c r="U15380" t="s">
        <v>56180</v>
      </c>
      <c r="V15380" t="s">
        <v>64366</v>
      </c>
      <c r="W15380" t="s">
        <v>45853</v>
      </c>
      <c r="X15380" t="s">
        <v>47456</v>
      </c>
    </row>
    <row r="15381" spans="1:24">
      <c r="A15381">
        <f>HYPERLINK("https://www.philgeps.gov.ph/GEPSNONPILOT/Tender/SplashBidNoticeAbstractUI.aspx?menuIndex=3&amp;refID=7105805&amp;Result=3","7105805")</f>
        <v>0</v>
      </c>
      <c r="B15381" t="s">
        <v>1118</v>
      </c>
      <c r="C15381" t="s">
        <v>4002</v>
      </c>
      <c r="D15381" t="s">
        <v>19060</v>
      </c>
      <c r="E15381" t="s">
        <v>32329</v>
      </c>
      <c r="F15381" t="s">
        <v>32831</v>
      </c>
      <c r="G15381" t="s">
        <v>32839</v>
      </c>
      <c r="H15381" t="s">
        <v>32848</v>
      </c>
      <c r="I15381" t="s">
        <v>10805</v>
      </c>
      <c r="J15381" t="s">
        <v>33083</v>
      </c>
      <c r="K15381" t="s">
        <v>42726</v>
      </c>
      <c r="M15381" t="s">
        <v>45853</v>
      </c>
      <c r="N15381" t="s">
        <v>47424</v>
      </c>
      <c r="O15381" t="s">
        <v>47425</v>
      </c>
      <c r="Q15381">
        <v>3</v>
      </c>
      <c r="R15381" t="s">
        <v>47454</v>
      </c>
      <c r="S15381" t="s">
        <v>48734</v>
      </c>
      <c r="T15381" t="s">
        <v>49321</v>
      </c>
      <c r="U15381" t="s">
        <v>56180</v>
      </c>
      <c r="V15381" t="s">
        <v>64367</v>
      </c>
      <c r="W15381" t="s">
        <v>45853</v>
      </c>
      <c r="X15381" t="s">
        <v>47456</v>
      </c>
    </row>
    <row r="15382" spans="1:24">
      <c r="A15382">
        <f>HYPERLINK("https://www.philgeps.gov.ph/GEPSNONPILOT/Tender/SplashBidNoticeAbstractUI.aspx?menuIndex=3&amp;refID=7105776&amp;Result=3","7105776")</f>
        <v>0</v>
      </c>
      <c r="B15382" t="s">
        <v>2287</v>
      </c>
      <c r="C15382" t="s">
        <v>18468</v>
      </c>
      <c r="D15382" t="s">
        <v>19033</v>
      </c>
      <c r="E15382" t="s">
        <v>20141</v>
      </c>
      <c r="F15382" t="s">
        <v>32831</v>
      </c>
      <c r="G15382" t="s">
        <v>32839</v>
      </c>
      <c r="H15382" t="s">
        <v>32848</v>
      </c>
      <c r="I15382" t="s">
        <v>11727</v>
      </c>
      <c r="J15382" t="s">
        <v>36338</v>
      </c>
      <c r="K15382" t="s">
        <v>42763</v>
      </c>
      <c r="M15382" t="s">
        <v>45471</v>
      </c>
      <c r="N15382" t="s">
        <v>47424</v>
      </c>
      <c r="O15382" t="s">
        <v>47425</v>
      </c>
      <c r="P15382">
        <v>0</v>
      </c>
      <c r="Q15382">
        <v>5</v>
      </c>
      <c r="R15382" t="s">
        <v>47454</v>
      </c>
      <c r="S15382" t="s">
        <v>48720</v>
      </c>
      <c r="T15382" t="s">
        <v>49198</v>
      </c>
      <c r="U15382" t="s">
        <v>62174</v>
      </c>
      <c r="V15382" t="s">
        <v>63334</v>
      </c>
      <c r="W15382" t="s">
        <v>45471</v>
      </c>
      <c r="X15382" t="s">
        <v>47456</v>
      </c>
    </row>
    <row r="15383" spans="1:24">
      <c r="A15383">
        <f>HYPERLINK("https://www.philgeps.gov.ph/GEPSNONPILOT/Tender/SplashBidNoticeAbstractUI.aspx?menuIndex=3&amp;refID=7105751&amp;Result=3","7105751")</f>
        <v>0</v>
      </c>
      <c r="B15383" t="s">
        <v>1118</v>
      </c>
      <c r="C15383" t="s">
        <v>18469</v>
      </c>
      <c r="D15383" t="s">
        <v>19060</v>
      </c>
      <c r="E15383" t="s">
        <v>32330</v>
      </c>
      <c r="F15383" t="s">
        <v>32831</v>
      </c>
      <c r="G15383" t="s">
        <v>32839</v>
      </c>
      <c r="H15383" t="s">
        <v>32848</v>
      </c>
      <c r="I15383" t="s">
        <v>32861</v>
      </c>
      <c r="J15383" t="s">
        <v>42024</v>
      </c>
      <c r="K15383" t="s">
        <v>42726</v>
      </c>
      <c r="M15383" t="s">
        <v>45853</v>
      </c>
      <c r="N15383" t="s">
        <v>47424</v>
      </c>
      <c r="O15383" t="s">
        <v>47425</v>
      </c>
      <c r="Q15383">
        <v>3</v>
      </c>
      <c r="R15383" t="s">
        <v>47454</v>
      </c>
      <c r="S15383" t="s">
        <v>48735</v>
      </c>
      <c r="T15383" t="s">
        <v>49321</v>
      </c>
      <c r="U15383" t="s">
        <v>57532</v>
      </c>
      <c r="V15383" t="s">
        <v>64368</v>
      </c>
      <c r="W15383" t="s">
        <v>45853</v>
      </c>
      <c r="X15383" t="s">
        <v>47456</v>
      </c>
    </row>
    <row r="15384" spans="1:24">
      <c r="A15384">
        <f>HYPERLINK("https://www.philgeps.gov.ph/GEPSNONPILOT/Tender/SplashBidNoticeAbstractUI.aspx?menuIndex=3&amp;refID=7105959&amp;Result=3","7105959")</f>
        <v>0</v>
      </c>
      <c r="B15384" t="s">
        <v>1135</v>
      </c>
      <c r="C15384" t="s">
        <v>18470</v>
      </c>
      <c r="D15384" t="s">
        <v>19064</v>
      </c>
      <c r="E15384" t="s">
        <v>32331</v>
      </c>
      <c r="F15384" t="s">
        <v>32831</v>
      </c>
      <c r="G15384" t="s">
        <v>32839</v>
      </c>
      <c r="H15384" t="s">
        <v>32849</v>
      </c>
      <c r="I15384" t="s">
        <v>4177</v>
      </c>
      <c r="J15384" t="s">
        <v>40146</v>
      </c>
      <c r="K15384" t="s">
        <v>43005</v>
      </c>
      <c r="M15384" t="s">
        <v>47356</v>
      </c>
      <c r="N15384" t="s">
        <v>47424</v>
      </c>
      <c r="O15384" t="s">
        <v>47425</v>
      </c>
      <c r="P15384">
        <v>0</v>
      </c>
      <c r="Q15384">
        <v>28</v>
      </c>
      <c r="R15384" t="s">
        <v>47454</v>
      </c>
      <c r="S15384" t="s">
        <v>48720</v>
      </c>
      <c r="T15384" t="s">
        <v>49162</v>
      </c>
      <c r="U15384" t="s">
        <v>62175</v>
      </c>
      <c r="W15384" t="s">
        <v>47356</v>
      </c>
      <c r="X15384" t="s">
        <v>47456</v>
      </c>
    </row>
    <row r="15385" spans="1:24">
      <c r="A15385">
        <f>HYPERLINK("https://www.philgeps.gov.ph/GEPSNONPILOT/Tender/SplashBidNoticeAbstractUI.aspx?menuIndex=3&amp;refID=7107154&amp;Result=3","7107154")</f>
        <v>0</v>
      </c>
      <c r="B15385" t="s">
        <v>1900</v>
      </c>
      <c r="C15385" t="s">
        <v>18471</v>
      </c>
      <c r="D15385" t="s">
        <v>19038</v>
      </c>
      <c r="E15385" t="s">
        <v>19863</v>
      </c>
      <c r="F15385" t="s">
        <v>32831</v>
      </c>
      <c r="G15385" t="s">
        <v>32839</v>
      </c>
      <c r="H15385" t="s">
        <v>32849</v>
      </c>
      <c r="I15385" t="s">
        <v>4177</v>
      </c>
      <c r="J15385" t="s">
        <v>33083</v>
      </c>
      <c r="K15385" t="s">
        <v>42763</v>
      </c>
      <c r="M15385" t="s">
        <v>45048</v>
      </c>
      <c r="N15385" t="s">
        <v>47424</v>
      </c>
      <c r="O15385" t="s">
        <v>47425</v>
      </c>
      <c r="P15385">
        <v>0</v>
      </c>
      <c r="Q15385">
        <v>2</v>
      </c>
      <c r="R15385" t="s">
        <v>47454</v>
      </c>
      <c r="S15385" t="s">
        <v>48720</v>
      </c>
      <c r="T15385" t="s">
        <v>49239</v>
      </c>
      <c r="U15385" t="s">
        <v>62176</v>
      </c>
      <c r="W15385" t="s">
        <v>45048</v>
      </c>
      <c r="X15385" t="s">
        <v>47456</v>
      </c>
    </row>
    <row r="15386" spans="1:24">
      <c r="A15386">
        <f>HYPERLINK("https://www.philgeps.gov.ph/GEPSNONPILOT/Tender/SplashBidNoticeAbstractUI.aspx?menuIndex=3&amp;refID=7110096&amp;Result=3","7110096")</f>
        <v>0</v>
      </c>
      <c r="B15386" t="s">
        <v>3892</v>
      </c>
      <c r="C15386" t="s">
        <v>18472</v>
      </c>
      <c r="D15386" t="s">
        <v>19101</v>
      </c>
      <c r="E15386" t="s">
        <v>19183</v>
      </c>
      <c r="F15386" t="s">
        <v>32833</v>
      </c>
      <c r="G15386" t="s">
        <v>32839</v>
      </c>
      <c r="H15386" t="s">
        <v>32850</v>
      </c>
      <c r="I15386" t="s">
        <v>32911</v>
      </c>
      <c r="J15386" t="s">
        <v>42382</v>
      </c>
      <c r="K15386" t="s">
        <v>42775</v>
      </c>
      <c r="M15386" t="s">
        <v>47355</v>
      </c>
      <c r="N15386" t="s">
        <v>47424</v>
      </c>
      <c r="O15386" t="s">
        <v>47425</v>
      </c>
      <c r="Q15386">
        <v>3</v>
      </c>
      <c r="R15386" t="s">
        <v>47453</v>
      </c>
      <c r="S15386" t="s">
        <v>48736</v>
      </c>
      <c r="T15386" t="s">
        <v>49063</v>
      </c>
      <c r="U15386" t="s">
        <v>62168</v>
      </c>
      <c r="W15386" t="s">
        <v>47355</v>
      </c>
      <c r="X15386" t="s">
        <v>47454</v>
      </c>
    </row>
    <row r="15387" spans="1:24">
      <c r="A15387">
        <f>HYPERLINK("https://www.philgeps.gov.ph/GEPSNONPILOT/Tender/SplashBidNoticeAbstractUI.aspx?menuIndex=3&amp;refID=7115567&amp;Result=3","7115567")</f>
        <v>0</v>
      </c>
      <c r="B15387" t="s">
        <v>629</v>
      </c>
      <c r="C15387" t="s">
        <v>18384</v>
      </c>
      <c r="D15387" t="s">
        <v>19049</v>
      </c>
      <c r="E15387" t="s">
        <v>32332</v>
      </c>
      <c r="F15387" t="s">
        <v>32831</v>
      </c>
      <c r="G15387" t="s">
        <v>32839</v>
      </c>
      <c r="H15387" t="s">
        <v>32849</v>
      </c>
      <c r="I15387" t="s">
        <v>7416</v>
      </c>
      <c r="J15387" t="s">
        <v>42383</v>
      </c>
      <c r="K15387" t="s">
        <v>42731</v>
      </c>
      <c r="M15387" t="s">
        <v>43646</v>
      </c>
      <c r="N15387" t="s">
        <v>47424</v>
      </c>
      <c r="O15387" t="s">
        <v>47425</v>
      </c>
      <c r="P15387">
        <v>0</v>
      </c>
      <c r="Q15387">
        <v>1</v>
      </c>
      <c r="R15387" t="s">
        <v>47451</v>
      </c>
      <c r="S15387" t="s">
        <v>48651</v>
      </c>
      <c r="T15387" t="s">
        <v>49129</v>
      </c>
      <c r="U15387" t="s">
        <v>62177</v>
      </c>
      <c r="W15387" t="s">
        <v>43646</v>
      </c>
      <c r="X15387" t="s">
        <v>47452</v>
      </c>
    </row>
    <row r="15388" spans="1:24">
      <c r="A15388">
        <f>HYPERLINK("https://www.philgeps.gov.ph/GEPSNONPILOT/Tender/SplashBidNoticeAbstractUI.aspx?menuIndex=3&amp;refID=7105549&amp;Result=3","7105549")</f>
        <v>0</v>
      </c>
      <c r="B15388" t="s">
        <v>1118</v>
      </c>
      <c r="C15388" t="s">
        <v>18473</v>
      </c>
      <c r="D15388" t="s">
        <v>19060</v>
      </c>
      <c r="E15388" t="s">
        <v>32333</v>
      </c>
      <c r="F15388" t="s">
        <v>32831</v>
      </c>
      <c r="G15388" t="s">
        <v>32839</v>
      </c>
      <c r="H15388" t="s">
        <v>32848</v>
      </c>
      <c r="I15388" t="s">
        <v>4438</v>
      </c>
      <c r="J15388" t="s">
        <v>42384</v>
      </c>
      <c r="K15388" t="s">
        <v>42726</v>
      </c>
      <c r="M15388" t="s">
        <v>45853</v>
      </c>
      <c r="N15388" t="s">
        <v>47424</v>
      </c>
      <c r="O15388" t="s">
        <v>47425</v>
      </c>
      <c r="Q15388">
        <v>6</v>
      </c>
      <c r="R15388" t="s">
        <v>47454</v>
      </c>
      <c r="S15388" t="s">
        <v>48737</v>
      </c>
      <c r="T15388" t="s">
        <v>49321</v>
      </c>
      <c r="U15388" t="s">
        <v>57532</v>
      </c>
      <c r="V15388" t="s">
        <v>64369</v>
      </c>
      <c r="W15388" t="s">
        <v>45853</v>
      </c>
      <c r="X15388" t="s">
        <v>47456</v>
      </c>
    </row>
    <row r="15389" spans="1:24">
      <c r="A15389">
        <f>HYPERLINK("https://www.philgeps.gov.ph/GEPSNONPILOT/Tender/SplashBidNoticeAbstractUI.aspx?menuIndex=3&amp;refID=7102025&amp;Result=3","7102025")</f>
        <v>0</v>
      </c>
      <c r="B15389" t="s">
        <v>1515</v>
      </c>
      <c r="C15389" t="s">
        <v>18474</v>
      </c>
      <c r="D15389" t="s">
        <v>19077</v>
      </c>
      <c r="E15389" t="s">
        <v>32334</v>
      </c>
      <c r="F15389" t="s">
        <v>32831</v>
      </c>
      <c r="G15389" t="s">
        <v>32839</v>
      </c>
      <c r="H15389" t="s">
        <v>32848</v>
      </c>
      <c r="I15389" t="s">
        <v>32857</v>
      </c>
      <c r="J15389" t="s">
        <v>36123</v>
      </c>
      <c r="K15389" t="s">
        <v>42745</v>
      </c>
      <c r="M15389" t="s">
        <v>44616</v>
      </c>
      <c r="N15389" t="s">
        <v>47424</v>
      </c>
      <c r="O15389" t="s">
        <v>47425</v>
      </c>
      <c r="Q15389">
        <v>13</v>
      </c>
      <c r="R15389" t="s">
        <v>47455</v>
      </c>
      <c r="S15389" t="s">
        <v>48738</v>
      </c>
      <c r="T15389" t="s">
        <v>49212</v>
      </c>
      <c r="U15389" t="s">
        <v>62178</v>
      </c>
      <c r="W15389" t="s">
        <v>44616</v>
      </c>
      <c r="X15389" t="s">
        <v>47458</v>
      </c>
    </row>
    <row r="15390" spans="1:24">
      <c r="A15390">
        <f>HYPERLINK("https://www.philgeps.gov.ph/GEPSNONPILOT/Tender/SplashBidNoticeAbstractUI.aspx?menuIndex=3&amp;refID=7097868&amp;Result=3","7097868")</f>
        <v>0</v>
      </c>
      <c r="B15390" t="s">
        <v>2839</v>
      </c>
      <c r="C15390" t="s">
        <v>18475</v>
      </c>
      <c r="D15390" t="s">
        <v>19023</v>
      </c>
      <c r="E15390" t="s">
        <v>32335</v>
      </c>
      <c r="F15390" t="s">
        <v>32831</v>
      </c>
      <c r="G15390" t="s">
        <v>32839</v>
      </c>
      <c r="H15390" t="s">
        <v>14069</v>
      </c>
      <c r="I15390" t="s">
        <v>4177</v>
      </c>
      <c r="J15390" t="s">
        <v>42385</v>
      </c>
      <c r="K15390" t="s">
        <v>42960</v>
      </c>
      <c r="L15390" t="s">
        <v>2839</v>
      </c>
      <c r="M15390" t="s">
        <v>46071</v>
      </c>
      <c r="N15390" t="s">
        <v>47424</v>
      </c>
      <c r="O15390" t="s">
        <v>47425</v>
      </c>
      <c r="P15390">
        <v>0</v>
      </c>
      <c r="Q15390">
        <v>5</v>
      </c>
      <c r="R15390" t="s">
        <v>47456</v>
      </c>
      <c r="S15390" t="s">
        <v>48739</v>
      </c>
      <c r="T15390" t="s">
        <v>49111</v>
      </c>
      <c r="U15390" t="s">
        <v>62179</v>
      </c>
      <c r="W15390" t="s">
        <v>46071</v>
      </c>
      <c r="X15390" t="s">
        <v>47457</v>
      </c>
    </row>
    <row r="15391" spans="1:24">
      <c r="A15391">
        <f>HYPERLINK("https://www.philgeps.gov.ph/GEPSNONPILOT/Tender/SplashBidNoticeAbstractUI.aspx?menuIndex=3&amp;refID=7102568&amp;Result=3","7102568")</f>
        <v>0</v>
      </c>
      <c r="B15391" t="s">
        <v>2426</v>
      </c>
      <c r="C15391" t="s">
        <v>18476</v>
      </c>
      <c r="D15391" t="s">
        <v>19077</v>
      </c>
      <c r="E15391" t="s">
        <v>32336</v>
      </c>
      <c r="F15391" t="s">
        <v>32831</v>
      </c>
      <c r="G15391" t="s">
        <v>32841</v>
      </c>
      <c r="H15391" t="s">
        <v>32850</v>
      </c>
      <c r="I15391" t="s">
        <v>32921</v>
      </c>
      <c r="J15391" t="s">
        <v>33257</v>
      </c>
      <c r="K15391" t="s">
        <v>42771</v>
      </c>
      <c r="M15391" t="s">
        <v>45623</v>
      </c>
      <c r="N15391" t="s">
        <v>47424</v>
      </c>
      <c r="O15391" t="s">
        <v>47425</v>
      </c>
      <c r="Q15391">
        <v>1</v>
      </c>
      <c r="R15391" t="s">
        <v>47455</v>
      </c>
      <c r="S15391" t="s">
        <v>48740</v>
      </c>
      <c r="T15391" t="s">
        <v>49063</v>
      </c>
      <c r="U15391" t="s">
        <v>55423</v>
      </c>
      <c r="V15391" t="s">
        <v>63398</v>
      </c>
      <c r="W15391" t="s">
        <v>45623</v>
      </c>
      <c r="X15391" t="s">
        <v>47458</v>
      </c>
    </row>
    <row r="15392" spans="1:24">
      <c r="A15392">
        <f>HYPERLINK("https://www.philgeps.gov.ph/GEPSNONPILOT/Tender/SplashBidNoticeAbstractUI.aspx?menuIndex=3&amp;refID=7101040&amp;Result=3","7101040")</f>
        <v>0</v>
      </c>
      <c r="B15392" t="s">
        <v>1333</v>
      </c>
      <c r="C15392" t="s">
        <v>18477</v>
      </c>
      <c r="D15392" t="s">
        <v>19042</v>
      </c>
      <c r="E15392" t="s">
        <v>32337</v>
      </c>
      <c r="F15392" t="s">
        <v>32831</v>
      </c>
      <c r="G15392" t="s">
        <v>32839</v>
      </c>
      <c r="H15392" t="s">
        <v>32848</v>
      </c>
      <c r="I15392" t="s">
        <v>7751</v>
      </c>
      <c r="J15392" t="s">
        <v>33046</v>
      </c>
      <c r="K15392" t="s">
        <v>42730</v>
      </c>
      <c r="M15392" t="s">
        <v>44405</v>
      </c>
      <c r="N15392" t="s">
        <v>47424</v>
      </c>
      <c r="O15392" t="s">
        <v>47425</v>
      </c>
      <c r="P15392">
        <v>0</v>
      </c>
      <c r="Q15392">
        <v>8</v>
      </c>
      <c r="R15392" t="s">
        <v>47455</v>
      </c>
      <c r="S15392" t="s">
        <v>48741</v>
      </c>
      <c r="T15392" t="s">
        <v>49123</v>
      </c>
      <c r="U15392" t="s">
        <v>62180</v>
      </c>
      <c r="V15392" t="s">
        <v>64370</v>
      </c>
      <c r="W15392" t="s">
        <v>44405</v>
      </c>
      <c r="X15392" t="s">
        <v>47458</v>
      </c>
    </row>
    <row r="15393" spans="1:24">
      <c r="A15393">
        <f>HYPERLINK("https://www.philgeps.gov.ph/GEPSNONPILOT/Tender/SplashBidNoticeAbstractUI.aspx?menuIndex=3&amp;refID=7100992&amp;Result=3","7100992")</f>
        <v>0</v>
      </c>
      <c r="B15393" t="s">
        <v>1333</v>
      </c>
      <c r="C15393" t="s">
        <v>18478</v>
      </c>
      <c r="D15393" t="s">
        <v>19042</v>
      </c>
      <c r="E15393" t="s">
        <v>32338</v>
      </c>
      <c r="F15393" t="s">
        <v>32831</v>
      </c>
      <c r="G15393" t="s">
        <v>32839</v>
      </c>
      <c r="H15393" t="s">
        <v>32848</v>
      </c>
      <c r="I15393" t="s">
        <v>7751</v>
      </c>
      <c r="J15393" t="s">
        <v>33111</v>
      </c>
      <c r="K15393" t="s">
        <v>42730</v>
      </c>
      <c r="M15393" t="s">
        <v>44405</v>
      </c>
      <c r="N15393" t="s">
        <v>47424</v>
      </c>
      <c r="O15393" t="s">
        <v>47425</v>
      </c>
      <c r="P15393">
        <v>0</v>
      </c>
      <c r="Q15393">
        <v>10</v>
      </c>
      <c r="R15393" t="s">
        <v>47455</v>
      </c>
      <c r="S15393" t="s">
        <v>48741</v>
      </c>
      <c r="T15393" t="s">
        <v>49123</v>
      </c>
      <c r="U15393" t="s">
        <v>62181</v>
      </c>
      <c r="V15393" t="s">
        <v>64371</v>
      </c>
      <c r="W15393" t="s">
        <v>44405</v>
      </c>
      <c r="X15393" t="s">
        <v>47458</v>
      </c>
    </row>
    <row r="15394" spans="1:24">
      <c r="A15394">
        <f>HYPERLINK("https://www.philgeps.gov.ph/GEPSNONPILOT/Tender/SplashBidNoticeAbstractUI.aspx?menuIndex=3&amp;refID=7098831&amp;Result=3","7098831")</f>
        <v>0</v>
      </c>
      <c r="B15394" t="s">
        <v>2089</v>
      </c>
      <c r="C15394" t="s">
        <v>18479</v>
      </c>
      <c r="E15394" t="s">
        <v>32339</v>
      </c>
      <c r="F15394" t="s">
        <v>32831</v>
      </c>
      <c r="G15394" t="s">
        <v>32839</v>
      </c>
      <c r="H15394" t="s">
        <v>32848</v>
      </c>
      <c r="I15394" t="s">
        <v>4487</v>
      </c>
      <c r="J15394" t="s">
        <v>42386</v>
      </c>
      <c r="K15394" t="s">
        <v>42732</v>
      </c>
      <c r="M15394" t="s">
        <v>47357</v>
      </c>
      <c r="N15394" t="s">
        <v>47424</v>
      </c>
      <c r="O15394" t="s">
        <v>47425</v>
      </c>
      <c r="Q15394">
        <v>18</v>
      </c>
      <c r="R15394" t="s">
        <v>47455</v>
      </c>
      <c r="S15394" t="s">
        <v>48742</v>
      </c>
      <c r="T15394" t="s">
        <v>49199</v>
      </c>
      <c r="U15394" t="s">
        <v>62182</v>
      </c>
      <c r="W15394" t="s">
        <v>47357</v>
      </c>
      <c r="X15394" t="s">
        <v>47457</v>
      </c>
    </row>
    <row r="15395" spans="1:24">
      <c r="A15395">
        <f>HYPERLINK("https://www.philgeps.gov.ph/GEPSNONPILOT/Tender/SplashBidNoticeAbstractUI.aspx?menuIndex=3&amp;refID=7098780&amp;Result=3","7098780")</f>
        <v>0</v>
      </c>
      <c r="B15395" t="s">
        <v>2089</v>
      </c>
      <c r="C15395" t="s">
        <v>18480</v>
      </c>
      <c r="E15395" t="s">
        <v>32340</v>
      </c>
      <c r="F15395" t="s">
        <v>32831</v>
      </c>
      <c r="G15395" t="s">
        <v>32839</v>
      </c>
      <c r="H15395" t="s">
        <v>32848</v>
      </c>
      <c r="I15395" t="s">
        <v>4487</v>
      </c>
      <c r="J15395" t="s">
        <v>42387</v>
      </c>
      <c r="K15395" t="s">
        <v>42732</v>
      </c>
      <c r="M15395" t="s">
        <v>47357</v>
      </c>
      <c r="N15395" t="s">
        <v>47424</v>
      </c>
      <c r="O15395" t="s">
        <v>47425</v>
      </c>
      <c r="Q15395">
        <v>17</v>
      </c>
      <c r="R15395" t="s">
        <v>47455</v>
      </c>
      <c r="S15395" t="s">
        <v>48743</v>
      </c>
      <c r="T15395" t="s">
        <v>49199</v>
      </c>
      <c r="U15395" t="s">
        <v>62183</v>
      </c>
      <c r="W15395" t="s">
        <v>47357</v>
      </c>
      <c r="X15395" t="s">
        <v>47457</v>
      </c>
    </row>
    <row r="15396" spans="1:24">
      <c r="A15396">
        <f>HYPERLINK("https://www.philgeps.gov.ph/GEPSNONPILOT/Tender/SplashBidNoticeAbstractUI.aspx?menuIndex=3&amp;refID=7104120&amp;Result=3","7104120")</f>
        <v>0</v>
      </c>
      <c r="B15396" t="s">
        <v>584</v>
      </c>
      <c r="C15396" t="s">
        <v>18481</v>
      </c>
      <c r="D15396" t="s">
        <v>19101</v>
      </c>
      <c r="E15396" t="s">
        <v>32341</v>
      </c>
      <c r="F15396" t="s">
        <v>32831</v>
      </c>
      <c r="G15396" t="s">
        <v>32839</v>
      </c>
      <c r="H15396" t="s">
        <v>32848</v>
      </c>
      <c r="I15396" t="s">
        <v>32952</v>
      </c>
      <c r="J15396" t="s">
        <v>42388</v>
      </c>
      <c r="K15396" t="s">
        <v>42790</v>
      </c>
      <c r="M15396" t="s">
        <v>47358</v>
      </c>
      <c r="N15396" t="s">
        <v>47424</v>
      </c>
      <c r="O15396" t="s">
        <v>47425</v>
      </c>
      <c r="Q15396">
        <v>5</v>
      </c>
      <c r="R15396" t="s">
        <v>47456</v>
      </c>
      <c r="S15396" t="s">
        <v>48744</v>
      </c>
      <c r="T15396" t="s">
        <v>49166</v>
      </c>
      <c r="U15396" t="s">
        <v>62184</v>
      </c>
      <c r="W15396" t="s">
        <v>47358</v>
      </c>
      <c r="X15396" t="s">
        <v>64579</v>
      </c>
    </row>
    <row r="15397" spans="1:24">
      <c r="A15397">
        <f>HYPERLINK("https://www.philgeps.gov.ph/GEPSNONPILOT/Tender/SplashBidNoticeAbstractUI.aspx?menuIndex=3&amp;refID=7101687&amp;Result=3","7101687")</f>
        <v>0</v>
      </c>
      <c r="B15397" t="s">
        <v>2426</v>
      </c>
      <c r="C15397" t="s">
        <v>18482</v>
      </c>
      <c r="D15397" t="s">
        <v>19017</v>
      </c>
      <c r="E15397" t="s">
        <v>32342</v>
      </c>
      <c r="F15397" t="s">
        <v>32831</v>
      </c>
      <c r="G15397" t="s">
        <v>32839</v>
      </c>
      <c r="H15397" t="s">
        <v>32850</v>
      </c>
      <c r="I15397" t="s">
        <v>4558</v>
      </c>
      <c r="J15397" t="s">
        <v>42389</v>
      </c>
      <c r="K15397" t="s">
        <v>42747</v>
      </c>
      <c r="M15397" t="s">
        <v>45623</v>
      </c>
      <c r="N15397" t="s">
        <v>47424</v>
      </c>
      <c r="O15397" t="s">
        <v>47425</v>
      </c>
      <c r="Q15397">
        <v>11</v>
      </c>
      <c r="R15397" t="s">
        <v>47455</v>
      </c>
      <c r="S15397" t="s">
        <v>48415</v>
      </c>
      <c r="T15397" t="s">
        <v>49063</v>
      </c>
      <c r="U15397" t="s">
        <v>55423</v>
      </c>
      <c r="V15397" t="s">
        <v>63398</v>
      </c>
      <c r="W15397" t="s">
        <v>45623</v>
      </c>
      <c r="X15397" t="s">
        <v>47458</v>
      </c>
    </row>
    <row r="15398" spans="1:24">
      <c r="A15398">
        <f>HYPERLINK("https://www.philgeps.gov.ph/GEPSNONPILOT/Tender/SplashBidNoticeAbstractUI.aspx?menuIndex=3&amp;refID=7102911&amp;Result=3","7102911")</f>
        <v>0</v>
      </c>
      <c r="B15398" t="s">
        <v>3886</v>
      </c>
      <c r="C15398" t="s">
        <v>18483</v>
      </c>
      <c r="D15398" t="s">
        <v>19045</v>
      </c>
      <c r="E15398" t="s">
        <v>32343</v>
      </c>
      <c r="F15398" t="s">
        <v>32831</v>
      </c>
      <c r="G15398" t="s">
        <v>32839</v>
      </c>
      <c r="H15398" t="s">
        <v>32848</v>
      </c>
      <c r="I15398" t="s">
        <v>4776</v>
      </c>
      <c r="J15398" t="s">
        <v>42390</v>
      </c>
      <c r="K15398" t="s">
        <v>42730</v>
      </c>
      <c r="M15398" t="s">
        <v>47344</v>
      </c>
      <c r="N15398" t="s">
        <v>47424</v>
      </c>
      <c r="O15398" t="s">
        <v>47425</v>
      </c>
      <c r="Q15398">
        <v>9</v>
      </c>
      <c r="R15398" t="s">
        <v>47456</v>
      </c>
      <c r="S15398" t="s">
        <v>48745</v>
      </c>
      <c r="T15398" t="s">
        <v>49243</v>
      </c>
      <c r="U15398" t="s">
        <v>62131</v>
      </c>
      <c r="W15398" t="s">
        <v>47344</v>
      </c>
      <c r="X15398" t="s">
        <v>47458</v>
      </c>
    </row>
    <row r="15399" spans="1:24">
      <c r="A15399">
        <f>HYPERLINK("https://www.philgeps.gov.ph/GEPSNONPILOT/Tender/SplashBidNoticeAbstractUI.aspx?menuIndex=3&amp;refID=7102901&amp;Result=3","7102901")</f>
        <v>0</v>
      </c>
      <c r="B15399" t="s">
        <v>3886</v>
      </c>
      <c r="C15399" t="s">
        <v>18484</v>
      </c>
      <c r="D15399" t="s">
        <v>19045</v>
      </c>
      <c r="E15399" t="s">
        <v>32344</v>
      </c>
      <c r="F15399" t="s">
        <v>32831</v>
      </c>
      <c r="G15399" t="s">
        <v>32839</v>
      </c>
      <c r="H15399" t="s">
        <v>32848</v>
      </c>
      <c r="I15399" t="s">
        <v>4487</v>
      </c>
      <c r="J15399" t="s">
        <v>39525</v>
      </c>
      <c r="K15399" t="s">
        <v>42730</v>
      </c>
      <c r="M15399" t="s">
        <v>47344</v>
      </c>
      <c r="N15399" t="s">
        <v>47424</v>
      </c>
      <c r="O15399" t="s">
        <v>47425</v>
      </c>
      <c r="Q15399">
        <v>9</v>
      </c>
      <c r="R15399" t="s">
        <v>47456</v>
      </c>
      <c r="S15399" t="s">
        <v>48746</v>
      </c>
      <c r="T15399" t="s">
        <v>49243</v>
      </c>
      <c r="U15399" t="s">
        <v>62131</v>
      </c>
      <c r="W15399" t="s">
        <v>47344</v>
      </c>
      <c r="X15399" t="s">
        <v>47458</v>
      </c>
    </row>
    <row r="15400" spans="1:24">
      <c r="A15400">
        <f>HYPERLINK("https://www.philgeps.gov.ph/GEPSNONPILOT/Tender/SplashBidNoticeAbstractUI.aspx?menuIndex=3&amp;refID=7102560&amp;Result=3","7102560")</f>
        <v>0</v>
      </c>
      <c r="B15400" t="s">
        <v>1973</v>
      </c>
      <c r="C15400" t="s">
        <v>18485</v>
      </c>
      <c r="D15400" t="s">
        <v>19088</v>
      </c>
      <c r="E15400" t="s">
        <v>32345</v>
      </c>
      <c r="F15400" t="s">
        <v>32831</v>
      </c>
      <c r="G15400" t="s">
        <v>32839</v>
      </c>
      <c r="H15400" t="s">
        <v>32848</v>
      </c>
      <c r="I15400" t="s">
        <v>4487</v>
      </c>
      <c r="J15400" t="s">
        <v>42391</v>
      </c>
      <c r="K15400" t="s">
        <v>42729</v>
      </c>
      <c r="M15400" t="s">
        <v>45134</v>
      </c>
      <c r="N15400" t="s">
        <v>47424</v>
      </c>
      <c r="O15400" t="s">
        <v>47425</v>
      </c>
      <c r="P15400">
        <v>0</v>
      </c>
      <c r="Q15400">
        <v>17</v>
      </c>
      <c r="R15400" t="s">
        <v>47456</v>
      </c>
      <c r="S15400" t="s">
        <v>48739</v>
      </c>
      <c r="T15400" t="s">
        <v>49237</v>
      </c>
      <c r="U15400" t="s">
        <v>62185</v>
      </c>
      <c r="V15400" t="s">
        <v>62833</v>
      </c>
      <c r="W15400" t="s">
        <v>45134</v>
      </c>
      <c r="X15400" t="s">
        <v>47458</v>
      </c>
    </row>
    <row r="15401" spans="1:24">
      <c r="A15401">
        <f>HYPERLINK("https://www.philgeps.gov.ph/GEPSNONPILOT/Tender/SplashBidNoticeAbstractUI.aspx?menuIndex=3&amp;refID=7101707&amp;Result=3","7101707")</f>
        <v>0</v>
      </c>
      <c r="B15401" t="s">
        <v>2426</v>
      </c>
      <c r="C15401" t="s">
        <v>18486</v>
      </c>
      <c r="D15401" t="s">
        <v>19017</v>
      </c>
      <c r="E15401" t="s">
        <v>32346</v>
      </c>
      <c r="F15401" t="s">
        <v>32831</v>
      </c>
      <c r="G15401" t="s">
        <v>32839</v>
      </c>
      <c r="H15401" t="s">
        <v>32850</v>
      </c>
      <c r="I15401" t="s">
        <v>32857</v>
      </c>
      <c r="J15401" t="s">
        <v>42392</v>
      </c>
      <c r="K15401" t="s">
        <v>42747</v>
      </c>
      <c r="M15401" t="s">
        <v>45623</v>
      </c>
      <c r="N15401" t="s">
        <v>47424</v>
      </c>
      <c r="O15401" t="s">
        <v>47425</v>
      </c>
      <c r="Q15401">
        <v>21</v>
      </c>
      <c r="R15401" t="s">
        <v>47455</v>
      </c>
      <c r="S15401" t="s">
        <v>48747</v>
      </c>
      <c r="T15401" t="s">
        <v>49063</v>
      </c>
      <c r="U15401" t="s">
        <v>55423</v>
      </c>
      <c r="V15401" t="s">
        <v>63398</v>
      </c>
      <c r="W15401" t="s">
        <v>45623</v>
      </c>
      <c r="X15401" t="s">
        <v>47458</v>
      </c>
    </row>
    <row r="15402" spans="1:24">
      <c r="A15402">
        <f>HYPERLINK("https://www.philgeps.gov.ph/GEPSNONPILOT/Tender/SplashBidNoticeAbstractUI.aspx?menuIndex=3&amp;refID=7100710&amp;Result=3","7100710")</f>
        <v>0</v>
      </c>
      <c r="B15402" t="s">
        <v>192</v>
      </c>
      <c r="C15402" t="s">
        <v>18487</v>
      </c>
      <c r="D15402" t="s">
        <v>19057</v>
      </c>
      <c r="E15402" t="s">
        <v>32347</v>
      </c>
      <c r="F15402" t="s">
        <v>32831</v>
      </c>
      <c r="G15402" t="s">
        <v>32839</v>
      </c>
      <c r="H15402" t="s">
        <v>32849</v>
      </c>
      <c r="I15402" t="s">
        <v>4177</v>
      </c>
      <c r="J15402" t="s">
        <v>42393</v>
      </c>
      <c r="K15402" t="s">
        <v>42763</v>
      </c>
      <c r="M15402" t="s">
        <v>43190</v>
      </c>
      <c r="N15402" t="s">
        <v>47424</v>
      </c>
      <c r="O15402" t="s">
        <v>47425</v>
      </c>
      <c r="P15402">
        <v>0</v>
      </c>
      <c r="Q15402">
        <v>4</v>
      </c>
      <c r="R15402" t="s">
        <v>47456</v>
      </c>
      <c r="S15402" t="s">
        <v>48739</v>
      </c>
      <c r="T15402" t="s">
        <v>49239</v>
      </c>
      <c r="U15402" t="s">
        <v>62186</v>
      </c>
      <c r="W15402" t="s">
        <v>43190</v>
      </c>
      <c r="X15402" t="s">
        <v>47458</v>
      </c>
    </row>
    <row r="15403" spans="1:24">
      <c r="A15403">
        <f>HYPERLINK("https://www.philgeps.gov.ph/GEPSNONPILOT/Tender/SplashBidNoticeAbstractUI.aspx?menuIndex=3&amp;refID=7100708&amp;Result=3","7100708")</f>
        <v>0</v>
      </c>
      <c r="B15403" t="s">
        <v>192</v>
      </c>
      <c r="C15403" t="s">
        <v>18488</v>
      </c>
      <c r="D15403" t="s">
        <v>19057</v>
      </c>
      <c r="E15403" t="s">
        <v>32348</v>
      </c>
      <c r="F15403" t="s">
        <v>32831</v>
      </c>
      <c r="G15403" t="s">
        <v>32839</v>
      </c>
      <c r="H15403" t="s">
        <v>32849</v>
      </c>
      <c r="I15403" t="s">
        <v>4177</v>
      </c>
      <c r="J15403" t="s">
        <v>42394</v>
      </c>
      <c r="K15403" t="s">
        <v>42751</v>
      </c>
      <c r="M15403" t="s">
        <v>43190</v>
      </c>
      <c r="N15403" t="s">
        <v>47424</v>
      </c>
      <c r="O15403" t="s">
        <v>47425</v>
      </c>
      <c r="Q15403">
        <v>5</v>
      </c>
      <c r="R15403" t="s">
        <v>47456</v>
      </c>
      <c r="S15403" t="s">
        <v>48748</v>
      </c>
      <c r="T15403" t="s">
        <v>49142</v>
      </c>
      <c r="U15403" t="s">
        <v>62187</v>
      </c>
      <c r="W15403" t="s">
        <v>43190</v>
      </c>
      <c r="X15403" t="s">
        <v>47457</v>
      </c>
    </row>
    <row r="15404" spans="1:24">
      <c r="A15404">
        <f>HYPERLINK("https://www.philgeps.gov.ph/GEPSNONPILOT/Tender/SplashBidNoticeAbstractUI.aspx?menuIndex=3&amp;refID=7098596&amp;Result=3","7098596")</f>
        <v>0</v>
      </c>
      <c r="B15404" t="s">
        <v>600</v>
      </c>
      <c r="C15404" t="s">
        <v>18489</v>
      </c>
      <c r="E15404" t="s">
        <v>32349</v>
      </c>
      <c r="F15404" t="s">
        <v>32831</v>
      </c>
      <c r="G15404" t="s">
        <v>32839</v>
      </c>
      <c r="H15404" t="s">
        <v>32849</v>
      </c>
      <c r="I15404" t="s">
        <v>4177</v>
      </c>
      <c r="J15404" t="s">
        <v>42395</v>
      </c>
      <c r="K15404" t="s">
        <v>42732</v>
      </c>
      <c r="M15404" t="s">
        <v>43614</v>
      </c>
      <c r="N15404" t="s">
        <v>47424</v>
      </c>
      <c r="O15404" t="s">
        <v>47425</v>
      </c>
      <c r="Q15404">
        <v>13</v>
      </c>
      <c r="R15404" t="s">
        <v>47456</v>
      </c>
      <c r="S15404" t="s">
        <v>48749</v>
      </c>
      <c r="T15404" t="s">
        <v>49073</v>
      </c>
      <c r="U15404" t="s">
        <v>54781</v>
      </c>
      <c r="W15404" t="s">
        <v>43614</v>
      </c>
      <c r="X15404" t="s">
        <v>47457</v>
      </c>
    </row>
    <row r="15405" spans="1:24">
      <c r="A15405">
        <f>HYPERLINK("https://www.philgeps.gov.ph/GEPSNONPILOT/Tender/SplashBidNoticeAbstractUI.aspx?menuIndex=3&amp;refID=7105524&amp;Result=3","7105524")</f>
        <v>0</v>
      </c>
      <c r="B15405" t="s">
        <v>2561</v>
      </c>
      <c r="C15405" t="s">
        <v>18490</v>
      </c>
      <c r="D15405" t="s">
        <v>19017</v>
      </c>
      <c r="E15405" t="s">
        <v>32350</v>
      </c>
      <c r="F15405" t="s">
        <v>32831</v>
      </c>
      <c r="G15405" t="s">
        <v>32839</v>
      </c>
      <c r="H15405" t="s">
        <v>32849</v>
      </c>
      <c r="I15405" t="s">
        <v>11727</v>
      </c>
      <c r="J15405" t="s">
        <v>42396</v>
      </c>
      <c r="K15405" t="s">
        <v>42763</v>
      </c>
      <c r="M15405" t="s">
        <v>45775</v>
      </c>
      <c r="N15405" t="s">
        <v>47424</v>
      </c>
      <c r="O15405" t="s">
        <v>47425</v>
      </c>
      <c r="Q15405">
        <v>12</v>
      </c>
      <c r="R15405" t="s">
        <v>47454</v>
      </c>
      <c r="S15405" t="s">
        <v>48750</v>
      </c>
      <c r="T15405" t="s">
        <v>49172</v>
      </c>
      <c r="U15405" t="s">
        <v>62188</v>
      </c>
      <c r="W15405" t="s">
        <v>45775</v>
      </c>
      <c r="X15405" t="s">
        <v>47456</v>
      </c>
    </row>
    <row r="15406" spans="1:24">
      <c r="A15406">
        <f>HYPERLINK("https://www.philgeps.gov.ph/GEPSNONPILOT/Tender/SplashBidNoticeAbstractUI.aspx?menuIndex=3&amp;refID=7103075&amp;Result=3","7103075")</f>
        <v>0</v>
      </c>
      <c r="B15406" t="s">
        <v>3477</v>
      </c>
      <c r="C15406" t="s">
        <v>18491</v>
      </c>
      <c r="D15406" t="s">
        <v>19103</v>
      </c>
      <c r="E15406" t="s">
        <v>32351</v>
      </c>
      <c r="F15406" t="s">
        <v>32831</v>
      </c>
      <c r="G15406" t="s">
        <v>32839</v>
      </c>
      <c r="H15406" t="s">
        <v>32849</v>
      </c>
      <c r="I15406" t="s">
        <v>4177</v>
      </c>
      <c r="J15406" t="s">
        <v>42397</v>
      </c>
      <c r="K15406" t="s">
        <v>43006</v>
      </c>
      <c r="M15406" t="s">
        <v>47359</v>
      </c>
      <c r="N15406" t="s">
        <v>47424</v>
      </c>
      <c r="O15406" t="s">
        <v>47425</v>
      </c>
      <c r="P15406">
        <v>0</v>
      </c>
      <c r="Q15406">
        <v>8</v>
      </c>
      <c r="R15406" t="s">
        <v>47455</v>
      </c>
      <c r="S15406" t="s">
        <v>48741</v>
      </c>
      <c r="T15406" t="s">
        <v>49236</v>
      </c>
      <c r="U15406" t="s">
        <v>62189</v>
      </c>
      <c r="V15406" t="s">
        <v>64372</v>
      </c>
      <c r="W15406" t="s">
        <v>47359</v>
      </c>
      <c r="X15406" t="s">
        <v>47458</v>
      </c>
    </row>
    <row r="15407" spans="1:24">
      <c r="A15407">
        <f>HYPERLINK("https://www.philgeps.gov.ph/GEPSNONPILOT/Tender/SplashBidNoticeAbstractUI.aspx?menuIndex=3&amp;refID=7105416&amp;Result=3","7105416")</f>
        <v>0</v>
      </c>
      <c r="B15407" t="s">
        <v>2561</v>
      </c>
      <c r="C15407" t="s">
        <v>18492</v>
      </c>
      <c r="D15407" t="s">
        <v>19017</v>
      </c>
      <c r="E15407" t="s">
        <v>32352</v>
      </c>
      <c r="F15407" t="s">
        <v>32831</v>
      </c>
      <c r="G15407" t="s">
        <v>32839</v>
      </c>
      <c r="H15407" t="s">
        <v>32849</v>
      </c>
      <c r="I15407" t="s">
        <v>11727</v>
      </c>
      <c r="J15407" t="s">
        <v>42398</v>
      </c>
      <c r="K15407" t="s">
        <v>42763</v>
      </c>
      <c r="M15407" t="s">
        <v>45775</v>
      </c>
      <c r="N15407" t="s">
        <v>47424</v>
      </c>
      <c r="O15407" t="s">
        <v>47425</v>
      </c>
      <c r="Q15407">
        <v>9</v>
      </c>
      <c r="R15407" t="s">
        <v>47454</v>
      </c>
      <c r="S15407" t="s">
        <v>48751</v>
      </c>
      <c r="T15407" t="s">
        <v>49172</v>
      </c>
      <c r="U15407" t="s">
        <v>62190</v>
      </c>
      <c r="W15407" t="s">
        <v>45775</v>
      </c>
      <c r="X15407" t="s">
        <v>47456</v>
      </c>
    </row>
    <row r="15408" spans="1:24">
      <c r="A15408">
        <f>HYPERLINK("https://www.philgeps.gov.ph/GEPSNONPILOT/Tender/SplashBidNoticeAbstractUI.aspx?menuIndex=3&amp;refID=7105435&amp;Result=3","7105435")</f>
        <v>0</v>
      </c>
      <c r="B15408" t="s">
        <v>270</v>
      </c>
      <c r="C15408" t="s">
        <v>18493</v>
      </c>
      <c r="D15408" t="s">
        <v>19017</v>
      </c>
      <c r="E15408" t="s">
        <v>20783</v>
      </c>
      <c r="F15408" t="s">
        <v>32831</v>
      </c>
      <c r="G15408" t="s">
        <v>32839</v>
      </c>
      <c r="H15408" t="s">
        <v>32848</v>
      </c>
      <c r="I15408" t="s">
        <v>4487</v>
      </c>
      <c r="J15408" t="s">
        <v>42399</v>
      </c>
      <c r="K15408" t="s">
        <v>42732</v>
      </c>
      <c r="M15408" t="s">
        <v>43269</v>
      </c>
      <c r="N15408" t="s">
        <v>47424</v>
      </c>
      <c r="O15408" t="s">
        <v>47425</v>
      </c>
      <c r="Q15408">
        <v>22</v>
      </c>
      <c r="R15408" t="s">
        <v>47454</v>
      </c>
      <c r="S15408" t="s">
        <v>48752</v>
      </c>
      <c r="T15408" t="s">
        <v>49239</v>
      </c>
      <c r="U15408" t="s">
        <v>62191</v>
      </c>
      <c r="W15408" t="s">
        <v>43269</v>
      </c>
      <c r="X15408" t="s">
        <v>47456</v>
      </c>
    </row>
    <row r="15409" spans="1:24">
      <c r="A15409">
        <f>HYPERLINK("https://www.philgeps.gov.ph/GEPSNONPILOT/Tender/SplashBidNoticeAbstractUI.aspx?menuIndex=3&amp;refID=7101576&amp;Result=3","7101576")</f>
        <v>0</v>
      </c>
      <c r="B15409" t="s">
        <v>3893</v>
      </c>
      <c r="C15409" t="s">
        <v>18494</v>
      </c>
      <c r="D15409" t="s">
        <v>19062</v>
      </c>
      <c r="E15409" t="s">
        <v>19787</v>
      </c>
      <c r="F15409" t="s">
        <v>32831</v>
      </c>
      <c r="G15409" t="s">
        <v>32839</v>
      </c>
      <c r="H15409" t="s">
        <v>32848</v>
      </c>
      <c r="I15409" t="s">
        <v>7416</v>
      </c>
      <c r="J15409" t="s">
        <v>42400</v>
      </c>
      <c r="K15409" t="s">
        <v>42726</v>
      </c>
      <c r="M15409" t="s">
        <v>47360</v>
      </c>
      <c r="N15409" t="s">
        <v>47424</v>
      </c>
      <c r="O15409" t="s">
        <v>47425</v>
      </c>
      <c r="P15409">
        <v>0</v>
      </c>
      <c r="Q15409">
        <v>0</v>
      </c>
      <c r="R15409" t="s">
        <v>47456</v>
      </c>
      <c r="S15409" t="s">
        <v>48739</v>
      </c>
      <c r="T15409" t="s">
        <v>49107</v>
      </c>
      <c r="U15409" t="s">
        <v>62192</v>
      </c>
      <c r="V15409" t="s">
        <v>64373</v>
      </c>
      <c r="W15409" t="s">
        <v>47360</v>
      </c>
      <c r="X15409" t="s">
        <v>47458</v>
      </c>
    </row>
    <row r="15410" spans="1:24">
      <c r="A15410">
        <f>HYPERLINK("https://www.philgeps.gov.ph/GEPSNONPILOT/Tender/SplashBidNoticeAbstractUI.aspx?menuIndex=3&amp;refID=7101800&amp;Result=3","7101800")</f>
        <v>0</v>
      </c>
      <c r="B15410" t="s">
        <v>1968</v>
      </c>
      <c r="C15410" t="s">
        <v>18495</v>
      </c>
      <c r="D15410" t="s">
        <v>19037</v>
      </c>
      <c r="E15410" t="s">
        <v>32353</v>
      </c>
      <c r="F15410" t="s">
        <v>32831</v>
      </c>
      <c r="G15410" t="s">
        <v>32839</v>
      </c>
      <c r="H15410" t="s">
        <v>32848</v>
      </c>
      <c r="I15410" t="s">
        <v>7416</v>
      </c>
      <c r="J15410" t="s">
        <v>42401</v>
      </c>
      <c r="K15410" t="s">
        <v>42730</v>
      </c>
      <c r="M15410" t="s">
        <v>45128</v>
      </c>
      <c r="N15410" t="s">
        <v>47424</v>
      </c>
      <c r="O15410" t="s">
        <v>47425</v>
      </c>
      <c r="P15410">
        <v>0</v>
      </c>
      <c r="Q15410">
        <v>1</v>
      </c>
      <c r="R15410" t="s">
        <v>47456</v>
      </c>
      <c r="S15410" t="s">
        <v>48739</v>
      </c>
      <c r="T15410" t="s">
        <v>49163</v>
      </c>
      <c r="U15410" t="s">
        <v>54279</v>
      </c>
      <c r="W15410" t="s">
        <v>45128</v>
      </c>
      <c r="X15410" t="s">
        <v>47458</v>
      </c>
    </row>
    <row r="15411" spans="1:24">
      <c r="A15411">
        <f>HYPERLINK("https://www.philgeps.gov.ph/GEPSNONPILOT/Tender/SplashBidNoticeAbstractUI.aspx?menuIndex=3&amp;refID=7105271&amp;Result=3","7105271")</f>
        <v>0</v>
      </c>
      <c r="B15411" t="s">
        <v>2561</v>
      </c>
      <c r="C15411" t="s">
        <v>18496</v>
      </c>
      <c r="D15411" t="s">
        <v>19017</v>
      </c>
      <c r="E15411" t="s">
        <v>32354</v>
      </c>
      <c r="F15411" t="s">
        <v>32831</v>
      </c>
      <c r="G15411" t="s">
        <v>32839</v>
      </c>
      <c r="H15411" t="s">
        <v>32849</v>
      </c>
      <c r="I15411" t="s">
        <v>11727</v>
      </c>
      <c r="J15411" t="s">
        <v>42402</v>
      </c>
      <c r="K15411" t="s">
        <v>42763</v>
      </c>
      <c r="M15411" t="s">
        <v>45775</v>
      </c>
      <c r="N15411" t="s">
        <v>47424</v>
      </c>
      <c r="O15411" t="s">
        <v>47425</v>
      </c>
      <c r="Q15411">
        <v>11</v>
      </c>
      <c r="R15411" t="s">
        <v>47454</v>
      </c>
      <c r="S15411" t="s">
        <v>48753</v>
      </c>
      <c r="T15411" t="s">
        <v>49172</v>
      </c>
      <c r="U15411" t="s">
        <v>62193</v>
      </c>
      <c r="W15411" t="s">
        <v>45775</v>
      </c>
      <c r="X15411" t="s">
        <v>47456</v>
      </c>
    </row>
    <row r="15412" spans="1:24">
      <c r="A15412">
        <f>HYPERLINK("https://www.philgeps.gov.ph/GEPSNONPILOT/Tender/SplashBidNoticeAbstractUI.aspx?menuIndex=3&amp;refID=7094339&amp;Result=3","7094339")</f>
        <v>0</v>
      </c>
      <c r="B15412" t="s">
        <v>2426</v>
      </c>
      <c r="C15412" t="s">
        <v>18497</v>
      </c>
      <c r="D15412" t="s">
        <v>19019</v>
      </c>
      <c r="E15412" t="s">
        <v>32355</v>
      </c>
      <c r="F15412" t="s">
        <v>32831</v>
      </c>
      <c r="G15412" t="s">
        <v>32839</v>
      </c>
      <c r="H15412" t="s">
        <v>32850</v>
      </c>
      <c r="I15412" t="s">
        <v>32937</v>
      </c>
      <c r="J15412" t="s">
        <v>42403</v>
      </c>
      <c r="K15412" t="s">
        <v>42729</v>
      </c>
      <c r="M15412" t="s">
        <v>45623</v>
      </c>
      <c r="N15412" t="s">
        <v>47424</v>
      </c>
      <c r="O15412" t="s">
        <v>47425</v>
      </c>
      <c r="Q15412">
        <v>8</v>
      </c>
      <c r="R15412" t="s">
        <v>47457</v>
      </c>
      <c r="S15412" t="s">
        <v>48754</v>
      </c>
      <c r="T15412" t="s">
        <v>49063</v>
      </c>
      <c r="U15412" t="s">
        <v>55423</v>
      </c>
      <c r="V15412" t="s">
        <v>63431</v>
      </c>
      <c r="W15412" t="s">
        <v>45623</v>
      </c>
      <c r="X15412" t="s">
        <v>47459</v>
      </c>
    </row>
    <row r="15413" spans="1:24">
      <c r="A15413">
        <f>HYPERLINK("https://www.philgeps.gov.ph/GEPSNONPILOT/Tender/SplashBidNoticeAbstractUI.aspx?menuIndex=3&amp;refID=7089483&amp;Result=3","7089483")</f>
        <v>0</v>
      </c>
      <c r="B15413" t="s">
        <v>3894</v>
      </c>
      <c r="C15413" t="s">
        <v>18498</v>
      </c>
      <c r="E15413" t="s">
        <v>32356</v>
      </c>
      <c r="F15413" t="s">
        <v>32831</v>
      </c>
      <c r="G15413" t="s">
        <v>32839</v>
      </c>
      <c r="H15413" t="s">
        <v>32848</v>
      </c>
      <c r="I15413" t="s">
        <v>32875</v>
      </c>
      <c r="J15413" t="s">
        <v>42404</v>
      </c>
      <c r="K15413" t="s">
        <v>42730</v>
      </c>
      <c r="M15413" t="s">
        <v>47361</v>
      </c>
      <c r="N15413" t="s">
        <v>47424</v>
      </c>
      <c r="O15413" t="s">
        <v>47425</v>
      </c>
      <c r="Q15413">
        <v>4</v>
      </c>
      <c r="R15413" t="s">
        <v>47458</v>
      </c>
      <c r="S15413" t="s">
        <v>48755</v>
      </c>
      <c r="T15413" t="s">
        <v>49105</v>
      </c>
      <c r="U15413" t="s">
        <v>62194</v>
      </c>
      <c r="W15413" t="s">
        <v>47361</v>
      </c>
      <c r="X15413" t="s">
        <v>47463</v>
      </c>
    </row>
    <row r="15414" spans="1:24">
      <c r="A15414">
        <f>HYPERLINK("https://www.philgeps.gov.ph/GEPSNONPILOT/Tender/SplashBidNoticeAbstractUI.aspx?menuIndex=3&amp;refID=7094062&amp;Result=3","7094062")</f>
        <v>0</v>
      </c>
      <c r="B15414" t="s">
        <v>3895</v>
      </c>
      <c r="C15414" t="s">
        <v>18499</v>
      </c>
      <c r="D15414" t="s">
        <v>19017</v>
      </c>
      <c r="E15414" t="s">
        <v>32357</v>
      </c>
      <c r="F15414" t="s">
        <v>32831</v>
      </c>
      <c r="G15414" t="s">
        <v>32839</v>
      </c>
      <c r="H15414" t="s">
        <v>32850</v>
      </c>
      <c r="I15414" t="s">
        <v>32921</v>
      </c>
      <c r="J15414" t="s">
        <v>42405</v>
      </c>
      <c r="K15414" t="s">
        <v>42887</v>
      </c>
      <c r="M15414" t="s">
        <v>47362</v>
      </c>
      <c r="N15414" t="s">
        <v>47424</v>
      </c>
      <c r="O15414" t="s">
        <v>47425</v>
      </c>
      <c r="Q15414">
        <v>8</v>
      </c>
      <c r="R15414" t="s">
        <v>47457</v>
      </c>
      <c r="S15414" t="s">
        <v>48756</v>
      </c>
      <c r="T15414" t="s">
        <v>49671</v>
      </c>
      <c r="U15414" t="s">
        <v>62195</v>
      </c>
      <c r="W15414" t="s">
        <v>47362</v>
      </c>
      <c r="X15414" t="s">
        <v>47460</v>
      </c>
    </row>
    <row r="15415" spans="1:24">
      <c r="A15415">
        <f>HYPERLINK("https://www.philgeps.gov.ph/GEPSNONPILOT/Tender/SplashBidNoticeAbstractUI.aspx?menuIndex=3&amp;refID=7105816&amp;Result=3","7105816")</f>
        <v>0</v>
      </c>
      <c r="B15415" t="s">
        <v>2287</v>
      </c>
      <c r="C15415" t="s">
        <v>18500</v>
      </c>
      <c r="D15415" t="s">
        <v>19033</v>
      </c>
      <c r="E15415" t="s">
        <v>20902</v>
      </c>
      <c r="F15415" t="s">
        <v>32831</v>
      </c>
      <c r="G15415" t="s">
        <v>32839</v>
      </c>
      <c r="H15415" t="s">
        <v>32848</v>
      </c>
      <c r="I15415" t="s">
        <v>11727</v>
      </c>
      <c r="J15415" t="s">
        <v>34447</v>
      </c>
      <c r="K15415" t="s">
        <v>42763</v>
      </c>
      <c r="M15415" t="s">
        <v>45471</v>
      </c>
      <c r="N15415" t="s">
        <v>47424</v>
      </c>
      <c r="O15415" t="s">
        <v>47425</v>
      </c>
      <c r="P15415">
        <v>0</v>
      </c>
      <c r="Q15415">
        <v>6</v>
      </c>
      <c r="R15415" t="s">
        <v>47454</v>
      </c>
      <c r="S15415" t="s">
        <v>48720</v>
      </c>
      <c r="T15415" t="s">
        <v>49198</v>
      </c>
      <c r="U15415" t="s">
        <v>62196</v>
      </c>
      <c r="V15415" t="s">
        <v>63334</v>
      </c>
      <c r="W15415" t="s">
        <v>45471</v>
      </c>
      <c r="X15415" t="s">
        <v>47456</v>
      </c>
    </row>
    <row r="15416" spans="1:24">
      <c r="A15416">
        <f>HYPERLINK("https://www.philgeps.gov.ph/GEPSNONPILOT/Tender/SplashBidNoticeAbstractUI.aspx?menuIndex=3&amp;refID=7093263&amp;Result=3","7093263")</f>
        <v>0</v>
      </c>
      <c r="B15416" t="s">
        <v>599</v>
      </c>
      <c r="C15416" t="s">
        <v>18501</v>
      </c>
      <c r="D15416" t="s">
        <v>19017</v>
      </c>
      <c r="E15416" t="s">
        <v>32358</v>
      </c>
      <c r="F15416" t="s">
        <v>32831</v>
      </c>
      <c r="G15416" t="s">
        <v>32839</v>
      </c>
      <c r="H15416" t="s">
        <v>32848</v>
      </c>
      <c r="I15416" t="s">
        <v>32874</v>
      </c>
      <c r="J15416" t="s">
        <v>42406</v>
      </c>
      <c r="K15416" t="s">
        <v>42732</v>
      </c>
      <c r="M15416" t="s">
        <v>43613</v>
      </c>
      <c r="N15416" t="s">
        <v>47424</v>
      </c>
      <c r="O15416" t="s">
        <v>47425</v>
      </c>
      <c r="Q15416">
        <v>17</v>
      </c>
      <c r="R15416" t="s">
        <v>47457</v>
      </c>
      <c r="S15416" t="s">
        <v>48757</v>
      </c>
      <c r="T15416" t="s">
        <v>49114</v>
      </c>
      <c r="U15416" t="s">
        <v>62197</v>
      </c>
      <c r="W15416" t="s">
        <v>43613</v>
      </c>
      <c r="X15416" t="s">
        <v>47460</v>
      </c>
    </row>
    <row r="15417" spans="1:24">
      <c r="A15417">
        <f>HYPERLINK("https://www.philgeps.gov.ph/GEPSNONPILOT/Tender/SplashBidNoticeAbstractUI.aspx?menuIndex=3&amp;refID=7100342&amp;Result=3","7100342")</f>
        <v>0</v>
      </c>
      <c r="B15417" t="s">
        <v>3346</v>
      </c>
      <c r="C15417" t="s">
        <v>18502</v>
      </c>
      <c r="D15417" t="s">
        <v>19057</v>
      </c>
      <c r="E15417" t="s">
        <v>32359</v>
      </c>
      <c r="F15417" t="s">
        <v>32831</v>
      </c>
      <c r="G15417" t="s">
        <v>32839</v>
      </c>
      <c r="H15417" t="s">
        <v>32849</v>
      </c>
      <c r="I15417" t="s">
        <v>4177</v>
      </c>
      <c r="J15417" t="s">
        <v>42407</v>
      </c>
      <c r="K15417" t="s">
        <v>42732</v>
      </c>
      <c r="M15417" t="s">
        <v>46669</v>
      </c>
      <c r="N15417" t="s">
        <v>47424</v>
      </c>
      <c r="O15417" t="s">
        <v>47425</v>
      </c>
      <c r="P15417">
        <v>0</v>
      </c>
      <c r="Q15417">
        <v>3</v>
      </c>
      <c r="R15417" t="s">
        <v>47458</v>
      </c>
      <c r="S15417" t="s">
        <v>48758</v>
      </c>
      <c r="T15417" t="s">
        <v>49137</v>
      </c>
      <c r="U15417" t="s">
        <v>62198</v>
      </c>
      <c r="W15417" t="s">
        <v>46669</v>
      </c>
      <c r="X15417" t="s">
        <v>47457</v>
      </c>
    </row>
    <row r="15418" spans="1:24">
      <c r="A15418">
        <f>HYPERLINK("https://www.philgeps.gov.ph/GEPSNONPILOT/Tender/SplashBidNoticeAbstractUI.aspx?menuIndex=3&amp;refID=7091501&amp;Result=3","7091501")</f>
        <v>0</v>
      </c>
      <c r="B15418" t="s">
        <v>2331</v>
      </c>
      <c r="C15418" t="s">
        <v>18503</v>
      </c>
      <c r="D15418" t="s">
        <v>19049</v>
      </c>
      <c r="E15418" t="s">
        <v>32360</v>
      </c>
      <c r="F15418" t="s">
        <v>32831</v>
      </c>
      <c r="G15418" t="s">
        <v>32839</v>
      </c>
      <c r="H15418" t="s">
        <v>32848</v>
      </c>
      <c r="I15418" t="s">
        <v>32861</v>
      </c>
      <c r="J15418" t="s">
        <v>42408</v>
      </c>
      <c r="K15418" t="s">
        <v>42730</v>
      </c>
      <c r="M15418" t="s">
        <v>45517</v>
      </c>
      <c r="N15418" t="s">
        <v>47424</v>
      </c>
      <c r="O15418" t="s">
        <v>47425</v>
      </c>
      <c r="Q15418">
        <v>9</v>
      </c>
      <c r="R15418" t="s">
        <v>47457</v>
      </c>
      <c r="S15418" t="s">
        <v>48759</v>
      </c>
      <c r="T15418" t="s">
        <v>49237</v>
      </c>
      <c r="U15418" t="s">
        <v>62199</v>
      </c>
      <c r="V15418" t="s">
        <v>64374</v>
      </c>
      <c r="W15418" t="s">
        <v>45517</v>
      </c>
      <c r="X15418" t="s">
        <v>47460</v>
      </c>
    </row>
    <row r="15419" spans="1:24">
      <c r="A15419">
        <f>HYPERLINK("https://www.philgeps.gov.ph/GEPSNONPILOT/Tender/SplashBidNoticeAbstractUI.aspx?menuIndex=3&amp;refID=7098536&amp;Result=3","7098536")</f>
        <v>0</v>
      </c>
      <c r="B15419" t="s">
        <v>266</v>
      </c>
      <c r="C15419" t="s">
        <v>18504</v>
      </c>
      <c r="D15419" t="s">
        <v>19040</v>
      </c>
      <c r="E15419" t="s">
        <v>32361</v>
      </c>
      <c r="F15419" t="s">
        <v>32831</v>
      </c>
      <c r="G15419" t="s">
        <v>32838</v>
      </c>
      <c r="H15419" t="s">
        <v>32848</v>
      </c>
      <c r="I15419" t="s">
        <v>32883</v>
      </c>
      <c r="J15419" t="s">
        <v>32978</v>
      </c>
      <c r="K15419" t="s">
        <v>42727</v>
      </c>
      <c r="M15419" t="s">
        <v>43265</v>
      </c>
      <c r="N15419" t="s">
        <v>47424</v>
      </c>
      <c r="O15419" t="s">
        <v>47425</v>
      </c>
      <c r="Q15419">
        <v>4</v>
      </c>
      <c r="R15419" t="s">
        <v>47458</v>
      </c>
      <c r="S15419" t="s">
        <v>48760</v>
      </c>
      <c r="T15419" t="s">
        <v>49129</v>
      </c>
      <c r="U15419" t="s">
        <v>62200</v>
      </c>
      <c r="V15419" t="s">
        <v>64375</v>
      </c>
      <c r="W15419" t="s">
        <v>43265</v>
      </c>
      <c r="X15419" t="s">
        <v>47457</v>
      </c>
    </row>
    <row r="15420" spans="1:24">
      <c r="A15420">
        <f>HYPERLINK("https://www.philgeps.gov.ph/GEPSNONPILOT/Tender/SplashBidNoticeAbstractUI.aspx?menuIndex=3&amp;refID=7097858&amp;Result=3","7097858")</f>
        <v>0</v>
      </c>
      <c r="B15420" t="s">
        <v>201</v>
      </c>
      <c r="C15420" t="s">
        <v>18505</v>
      </c>
      <c r="D15420" t="s">
        <v>19019</v>
      </c>
      <c r="E15420" t="s">
        <v>32362</v>
      </c>
      <c r="F15420" t="s">
        <v>32831</v>
      </c>
      <c r="G15420" t="s">
        <v>32839</v>
      </c>
      <c r="H15420" t="s">
        <v>32848</v>
      </c>
      <c r="I15420" t="s">
        <v>32972</v>
      </c>
      <c r="J15420" t="s">
        <v>33016</v>
      </c>
      <c r="K15420" t="s">
        <v>42763</v>
      </c>
      <c r="M15420" t="s">
        <v>43199</v>
      </c>
      <c r="N15420" t="s">
        <v>47424</v>
      </c>
      <c r="O15420" t="s">
        <v>47425</v>
      </c>
      <c r="P15420">
        <v>0</v>
      </c>
      <c r="Q15420">
        <v>8</v>
      </c>
      <c r="R15420" t="s">
        <v>47458</v>
      </c>
      <c r="S15420" t="s">
        <v>48758</v>
      </c>
      <c r="T15420" t="s">
        <v>49154</v>
      </c>
      <c r="U15420" t="s">
        <v>62201</v>
      </c>
      <c r="W15420" t="s">
        <v>43199</v>
      </c>
      <c r="X15420" t="s">
        <v>47457</v>
      </c>
    </row>
    <row r="15421" spans="1:24">
      <c r="A15421">
        <f>HYPERLINK("https://www.philgeps.gov.ph/GEPSNONPILOT/Tender/SplashBidNoticeAbstractUI.aspx?menuIndex=3&amp;refID=7099954&amp;Result=3","7099954")</f>
        <v>0</v>
      </c>
      <c r="B15421" t="s">
        <v>160</v>
      </c>
      <c r="C15421" t="s">
        <v>18506</v>
      </c>
      <c r="D15421" t="s">
        <v>19040</v>
      </c>
      <c r="E15421" t="s">
        <v>32363</v>
      </c>
      <c r="F15421" t="s">
        <v>32831</v>
      </c>
      <c r="G15421" t="s">
        <v>32838</v>
      </c>
      <c r="H15421" t="s">
        <v>32848</v>
      </c>
      <c r="I15421" t="s">
        <v>4438</v>
      </c>
      <c r="J15421" t="s">
        <v>32978</v>
      </c>
      <c r="K15421" t="s">
        <v>42763</v>
      </c>
      <c r="M15421" t="s">
        <v>45098</v>
      </c>
      <c r="N15421" t="s">
        <v>47424</v>
      </c>
      <c r="O15421" t="s">
        <v>47425</v>
      </c>
      <c r="Q15421">
        <v>5</v>
      </c>
      <c r="R15421" t="s">
        <v>47458</v>
      </c>
      <c r="S15421" t="s">
        <v>48761</v>
      </c>
      <c r="T15421" t="s">
        <v>49162</v>
      </c>
      <c r="U15421" t="s">
        <v>53997</v>
      </c>
      <c r="W15421" t="s">
        <v>45098</v>
      </c>
      <c r="X15421" t="s">
        <v>47457</v>
      </c>
    </row>
    <row r="15422" spans="1:24">
      <c r="A15422">
        <f>HYPERLINK("https://www.philgeps.gov.ph/GEPSNONPILOT/Tender/SplashBidNoticeAbstractUI.aspx?menuIndex=3&amp;refID=7104810&amp;Result=3","7104810")</f>
        <v>0</v>
      </c>
      <c r="B15422" t="s">
        <v>1256</v>
      </c>
      <c r="C15422" t="s">
        <v>18507</v>
      </c>
      <c r="D15422" t="s">
        <v>19033</v>
      </c>
      <c r="E15422" t="s">
        <v>32364</v>
      </c>
      <c r="F15422" t="s">
        <v>32831</v>
      </c>
      <c r="G15422" t="s">
        <v>32838</v>
      </c>
      <c r="H15422" t="s">
        <v>32848</v>
      </c>
      <c r="I15422" t="s">
        <v>32877</v>
      </c>
      <c r="J15422" t="s">
        <v>35640</v>
      </c>
      <c r="K15422" t="s">
        <v>42727</v>
      </c>
      <c r="M15422" t="s">
        <v>44326</v>
      </c>
      <c r="N15422" t="s">
        <v>47424</v>
      </c>
      <c r="O15422" t="s">
        <v>47425</v>
      </c>
      <c r="Q15422">
        <v>5</v>
      </c>
      <c r="R15422" t="s">
        <v>47454</v>
      </c>
      <c r="S15422" t="s">
        <v>48762</v>
      </c>
      <c r="T15422" t="s">
        <v>49104</v>
      </c>
      <c r="U15422" t="s">
        <v>62202</v>
      </c>
      <c r="W15422" t="s">
        <v>44326</v>
      </c>
      <c r="X15422" t="s">
        <v>47456</v>
      </c>
    </row>
    <row r="15423" spans="1:24">
      <c r="A15423">
        <f>HYPERLINK("https://www.philgeps.gov.ph/GEPSNONPILOT/Tender/SplashBidNoticeAbstractUI.aspx?menuIndex=3&amp;refID=7087546&amp;Result=3","7087546")</f>
        <v>0</v>
      </c>
      <c r="B15423" t="s">
        <v>3598</v>
      </c>
      <c r="C15423" t="s">
        <v>18508</v>
      </c>
      <c r="D15423" t="s">
        <v>19077</v>
      </c>
      <c r="E15423" t="s">
        <v>32365</v>
      </c>
      <c r="F15423" t="s">
        <v>32831</v>
      </c>
      <c r="G15423" t="s">
        <v>32839</v>
      </c>
      <c r="H15423" t="s">
        <v>32849</v>
      </c>
      <c r="I15423" t="s">
        <v>4177</v>
      </c>
      <c r="J15423" t="s">
        <v>42409</v>
      </c>
      <c r="K15423" t="s">
        <v>42785</v>
      </c>
      <c r="M15423" t="s">
        <v>46962</v>
      </c>
      <c r="N15423" t="s">
        <v>47424</v>
      </c>
      <c r="O15423" t="s">
        <v>47425</v>
      </c>
      <c r="P15423">
        <v>0</v>
      </c>
      <c r="Q15423">
        <v>2</v>
      </c>
      <c r="R15423" t="s">
        <v>47459</v>
      </c>
      <c r="S15423" t="s">
        <v>48763</v>
      </c>
      <c r="T15423" t="s">
        <v>49243</v>
      </c>
      <c r="U15423" t="s">
        <v>62203</v>
      </c>
      <c r="W15423" t="s">
        <v>46962</v>
      </c>
      <c r="X15423" t="s">
        <v>47462</v>
      </c>
    </row>
    <row r="15424" spans="1:24">
      <c r="A15424">
        <f>HYPERLINK("https://www.philgeps.gov.ph/GEPSNONPILOT/Tender/SplashBidNoticeAbstractUI.aspx?menuIndex=3&amp;refID=7087540&amp;Result=3","7087540")</f>
        <v>0</v>
      </c>
      <c r="B15424" t="s">
        <v>3598</v>
      </c>
      <c r="C15424" t="s">
        <v>18509</v>
      </c>
      <c r="D15424" t="s">
        <v>19077</v>
      </c>
      <c r="E15424" t="s">
        <v>32366</v>
      </c>
      <c r="F15424" t="s">
        <v>32831</v>
      </c>
      <c r="G15424" t="s">
        <v>32839</v>
      </c>
      <c r="H15424" t="s">
        <v>32849</v>
      </c>
      <c r="I15424" t="s">
        <v>4177</v>
      </c>
      <c r="J15424" t="s">
        <v>42410</v>
      </c>
      <c r="K15424" t="s">
        <v>42780</v>
      </c>
      <c r="M15424" t="s">
        <v>46962</v>
      </c>
      <c r="N15424" t="s">
        <v>47424</v>
      </c>
      <c r="O15424" t="s">
        <v>47425</v>
      </c>
      <c r="P15424">
        <v>0</v>
      </c>
      <c r="Q15424">
        <v>4</v>
      </c>
      <c r="R15424" t="s">
        <v>47459</v>
      </c>
      <c r="S15424" t="s">
        <v>48763</v>
      </c>
      <c r="T15424" t="s">
        <v>49243</v>
      </c>
      <c r="U15424" t="s">
        <v>62204</v>
      </c>
      <c r="W15424" t="s">
        <v>46962</v>
      </c>
      <c r="X15424" t="s">
        <v>47462</v>
      </c>
    </row>
    <row r="15425" spans="1:24">
      <c r="A15425">
        <f>HYPERLINK("https://www.philgeps.gov.ph/GEPSNONPILOT/Tender/SplashBidNoticeAbstractUI.aspx?menuIndex=3&amp;refID=7096775&amp;Result=3","7096775")</f>
        <v>0</v>
      </c>
      <c r="B15425" t="s">
        <v>3894</v>
      </c>
      <c r="C15425" t="s">
        <v>18510</v>
      </c>
      <c r="D15425" t="s">
        <v>19057</v>
      </c>
      <c r="E15425" t="s">
        <v>32367</v>
      </c>
      <c r="F15425" t="s">
        <v>32831</v>
      </c>
      <c r="G15425" t="s">
        <v>32839</v>
      </c>
      <c r="H15425" t="s">
        <v>32848</v>
      </c>
      <c r="I15425" t="s">
        <v>32875</v>
      </c>
      <c r="J15425" t="s">
        <v>42411</v>
      </c>
      <c r="K15425" t="s">
        <v>42730</v>
      </c>
      <c r="M15425" t="s">
        <v>47361</v>
      </c>
      <c r="N15425" t="s">
        <v>47424</v>
      </c>
      <c r="O15425" t="s">
        <v>47425</v>
      </c>
      <c r="Q15425">
        <v>4</v>
      </c>
      <c r="R15425" t="s">
        <v>47458</v>
      </c>
      <c r="S15425" t="s">
        <v>48764</v>
      </c>
      <c r="T15425" t="s">
        <v>49105</v>
      </c>
      <c r="U15425" t="s">
        <v>62205</v>
      </c>
      <c r="W15425" t="s">
        <v>47361</v>
      </c>
      <c r="X15425" t="s">
        <v>47459</v>
      </c>
    </row>
    <row r="15426" spans="1:24">
      <c r="A15426">
        <f>HYPERLINK("https://www.philgeps.gov.ph/GEPSNONPILOT/Tender/SplashBidNoticeAbstractUI.aspx?menuIndex=3&amp;refID=7087533&amp;Result=3","7087533")</f>
        <v>0</v>
      </c>
      <c r="B15426" t="s">
        <v>3598</v>
      </c>
      <c r="C15426" t="s">
        <v>18511</v>
      </c>
      <c r="D15426" t="s">
        <v>19077</v>
      </c>
      <c r="E15426" t="s">
        <v>32368</v>
      </c>
      <c r="F15426" t="s">
        <v>32831</v>
      </c>
      <c r="G15426" t="s">
        <v>32839</v>
      </c>
      <c r="H15426" t="s">
        <v>32849</v>
      </c>
      <c r="I15426" t="s">
        <v>4177</v>
      </c>
      <c r="J15426" t="s">
        <v>42412</v>
      </c>
      <c r="K15426" t="s">
        <v>42730</v>
      </c>
      <c r="M15426" t="s">
        <v>46962</v>
      </c>
      <c r="N15426" t="s">
        <v>47424</v>
      </c>
      <c r="O15426" t="s">
        <v>47425</v>
      </c>
      <c r="P15426">
        <v>0</v>
      </c>
      <c r="Q15426">
        <v>2</v>
      </c>
      <c r="R15426" t="s">
        <v>47459</v>
      </c>
      <c r="S15426" t="s">
        <v>48763</v>
      </c>
      <c r="T15426" t="s">
        <v>49243</v>
      </c>
      <c r="U15426" t="s">
        <v>62206</v>
      </c>
      <c r="W15426" t="s">
        <v>46962</v>
      </c>
      <c r="X15426" t="s">
        <v>47462</v>
      </c>
    </row>
    <row r="15427" spans="1:24">
      <c r="A15427">
        <f>HYPERLINK("https://www.philgeps.gov.ph/GEPSNONPILOT/Tender/SplashBidNoticeAbstractUI.aspx?menuIndex=3&amp;refID=7097187&amp;Result=3","7097187")</f>
        <v>0</v>
      </c>
      <c r="B15427" t="s">
        <v>3896</v>
      </c>
      <c r="C15427" t="s">
        <v>18512</v>
      </c>
      <c r="D15427" t="s">
        <v>19044</v>
      </c>
      <c r="E15427" t="s">
        <v>19654</v>
      </c>
      <c r="F15427" t="s">
        <v>32831</v>
      </c>
      <c r="G15427" t="s">
        <v>32839</v>
      </c>
      <c r="H15427" t="s">
        <v>32849</v>
      </c>
      <c r="I15427" t="s">
        <v>7416</v>
      </c>
      <c r="J15427" t="s">
        <v>33162</v>
      </c>
      <c r="K15427" t="s">
        <v>42730</v>
      </c>
      <c r="M15427" t="s">
        <v>47363</v>
      </c>
      <c r="N15427" t="s">
        <v>47424</v>
      </c>
      <c r="O15427" t="s">
        <v>47425</v>
      </c>
      <c r="P15427">
        <v>0</v>
      </c>
      <c r="Q15427">
        <v>0</v>
      </c>
      <c r="R15427" t="s">
        <v>47457</v>
      </c>
      <c r="S15427" t="s">
        <v>48765</v>
      </c>
      <c r="T15427" t="s">
        <v>49073</v>
      </c>
      <c r="U15427" t="s">
        <v>62207</v>
      </c>
      <c r="V15427" t="s">
        <v>62207</v>
      </c>
      <c r="W15427" t="s">
        <v>47363</v>
      </c>
      <c r="X15427" t="s">
        <v>47459</v>
      </c>
    </row>
    <row r="15428" spans="1:24">
      <c r="A15428">
        <f>HYPERLINK("https://www.philgeps.gov.ph/GEPSNONPILOT/Tender/SplashBidNoticeAbstractUI.aspx?menuIndex=3&amp;refID=7096956&amp;Result=3","7096956")</f>
        <v>0</v>
      </c>
      <c r="B15428" t="s">
        <v>3897</v>
      </c>
      <c r="C15428" t="s">
        <v>18513</v>
      </c>
      <c r="D15428" t="s">
        <v>19067</v>
      </c>
      <c r="E15428" t="s">
        <v>32369</v>
      </c>
      <c r="F15428" t="s">
        <v>32831</v>
      </c>
      <c r="G15428" t="s">
        <v>32839</v>
      </c>
      <c r="H15428" t="s">
        <v>14069</v>
      </c>
      <c r="I15428" t="s">
        <v>14069</v>
      </c>
      <c r="J15428" t="s">
        <v>42413</v>
      </c>
      <c r="K15428" t="s">
        <v>42883</v>
      </c>
      <c r="M15428" t="s">
        <v>47364</v>
      </c>
      <c r="N15428" t="s">
        <v>47424</v>
      </c>
      <c r="O15428" t="s">
        <v>47425</v>
      </c>
      <c r="Q15428">
        <v>14</v>
      </c>
      <c r="R15428" t="s">
        <v>47457</v>
      </c>
      <c r="S15428" t="s">
        <v>48766</v>
      </c>
      <c r="T15428" t="s">
        <v>49672</v>
      </c>
      <c r="U15428" t="s">
        <v>62208</v>
      </c>
      <c r="W15428" t="s">
        <v>47364</v>
      </c>
      <c r="X15428" t="s">
        <v>47459</v>
      </c>
    </row>
    <row r="15429" spans="1:24">
      <c r="A15429">
        <f>HYPERLINK("https://www.philgeps.gov.ph/GEPSNONPILOT/Tender/SplashBidNoticeAbstractUI.aspx?menuIndex=3&amp;refID=7097171&amp;Result=3","7097171")</f>
        <v>0</v>
      </c>
      <c r="B15429" t="s">
        <v>3896</v>
      </c>
      <c r="C15429" t="s">
        <v>18514</v>
      </c>
      <c r="D15429" t="s">
        <v>19044</v>
      </c>
      <c r="E15429" t="s">
        <v>21296</v>
      </c>
      <c r="F15429" t="s">
        <v>32831</v>
      </c>
      <c r="G15429" t="s">
        <v>32839</v>
      </c>
      <c r="H15429" t="s">
        <v>32849</v>
      </c>
      <c r="I15429" t="s">
        <v>4177</v>
      </c>
      <c r="J15429" t="s">
        <v>32980</v>
      </c>
      <c r="K15429" t="s">
        <v>42730</v>
      </c>
      <c r="M15429" t="s">
        <v>47363</v>
      </c>
      <c r="N15429" t="s">
        <v>47424</v>
      </c>
      <c r="O15429" t="s">
        <v>47425</v>
      </c>
      <c r="P15429">
        <v>0</v>
      </c>
      <c r="Q15429">
        <v>0</v>
      </c>
      <c r="R15429" t="s">
        <v>47457</v>
      </c>
      <c r="S15429" t="s">
        <v>48765</v>
      </c>
      <c r="T15429" t="s">
        <v>49073</v>
      </c>
      <c r="U15429" t="s">
        <v>62209</v>
      </c>
      <c r="V15429" t="s">
        <v>64376</v>
      </c>
      <c r="W15429" t="s">
        <v>47363</v>
      </c>
      <c r="X15429" t="s">
        <v>47459</v>
      </c>
    </row>
    <row r="15430" spans="1:24">
      <c r="A15430">
        <f>HYPERLINK("https://www.philgeps.gov.ph/GEPSNONPILOT/Tender/SplashBidNoticeAbstractUI.aspx?menuIndex=3&amp;refID=7097233&amp;Result=3","7097233")</f>
        <v>0</v>
      </c>
      <c r="B15430" t="s">
        <v>999</v>
      </c>
      <c r="C15430" t="s">
        <v>18515</v>
      </c>
      <c r="D15430" t="s">
        <v>19017</v>
      </c>
      <c r="E15430" t="s">
        <v>32370</v>
      </c>
      <c r="F15430" t="s">
        <v>32831</v>
      </c>
      <c r="G15430" t="s">
        <v>32839</v>
      </c>
      <c r="H15430" t="s">
        <v>14069</v>
      </c>
      <c r="I15430" t="s">
        <v>14069</v>
      </c>
      <c r="J15430" t="s">
        <v>42309</v>
      </c>
      <c r="K15430" t="s">
        <v>43007</v>
      </c>
      <c r="M15430" t="s">
        <v>47365</v>
      </c>
      <c r="N15430" t="s">
        <v>47424</v>
      </c>
      <c r="O15430" t="s">
        <v>47425</v>
      </c>
      <c r="Q15430">
        <v>15</v>
      </c>
      <c r="R15430" t="s">
        <v>47457</v>
      </c>
      <c r="S15430" t="s">
        <v>48767</v>
      </c>
      <c r="T15430" t="s">
        <v>49673</v>
      </c>
      <c r="U15430" t="s">
        <v>62210</v>
      </c>
      <c r="W15430" t="s">
        <v>47365</v>
      </c>
      <c r="X15430" t="s">
        <v>47459</v>
      </c>
    </row>
    <row r="15431" spans="1:24">
      <c r="A15431">
        <f>HYPERLINK("https://www.philgeps.gov.ph/GEPSNONPILOT/Tender/SplashBidNoticeAbstractUI.aspx?menuIndex=3&amp;refID=7096839&amp;Result=3","7096839")</f>
        <v>0</v>
      </c>
      <c r="B15431" t="s">
        <v>598</v>
      </c>
      <c r="C15431" t="s">
        <v>18516</v>
      </c>
      <c r="E15431" t="s">
        <v>32371</v>
      </c>
      <c r="F15431" t="s">
        <v>32831</v>
      </c>
      <c r="G15431" t="s">
        <v>32839</v>
      </c>
      <c r="H15431" t="s">
        <v>32850</v>
      </c>
      <c r="I15431" t="s">
        <v>32921</v>
      </c>
      <c r="J15431" t="s">
        <v>42414</v>
      </c>
      <c r="K15431" t="s">
        <v>42775</v>
      </c>
      <c r="M15431" t="s">
        <v>43991</v>
      </c>
      <c r="N15431" t="s">
        <v>47424</v>
      </c>
      <c r="O15431" t="s">
        <v>47425</v>
      </c>
      <c r="Q15431">
        <v>13</v>
      </c>
      <c r="R15431" t="s">
        <v>47457</v>
      </c>
      <c r="S15431" t="s">
        <v>48768</v>
      </c>
      <c r="T15431" t="s">
        <v>49150</v>
      </c>
      <c r="U15431" t="s">
        <v>54781</v>
      </c>
      <c r="W15431" t="s">
        <v>43991</v>
      </c>
      <c r="X15431" t="s">
        <v>47459</v>
      </c>
    </row>
    <row r="15432" spans="1:24">
      <c r="A15432">
        <f>HYPERLINK("https://www.philgeps.gov.ph/GEPSNONPILOT/Tender/SplashBidNoticeAbstractUI.aspx?menuIndex=3&amp;refID=7096335&amp;Result=3","7096335")</f>
        <v>0</v>
      </c>
      <c r="B15432" t="s">
        <v>832</v>
      </c>
      <c r="C15432" t="s">
        <v>18517</v>
      </c>
      <c r="D15432" t="s">
        <v>19017</v>
      </c>
      <c r="E15432" t="s">
        <v>32372</v>
      </c>
      <c r="F15432" t="s">
        <v>32831</v>
      </c>
      <c r="G15432" t="s">
        <v>32842</v>
      </c>
      <c r="H15432" t="s">
        <v>32848</v>
      </c>
      <c r="I15432" t="s">
        <v>4438</v>
      </c>
      <c r="J15432" t="s">
        <v>42415</v>
      </c>
      <c r="K15432" t="s">
        <v>42732</v>
      </c>
      <c r="M15432" t="s">
        <v>43864</v>
      </c>
      <c r="N15432" t="s">
        <v>47424</v>
      </c>
      <c r="O15432" t="s">
        <v>47425</v>
      </c>
      <c r="Q15432">
        <v>1</v>
      </c>
      <c r="R15432" t="s">
        <v>47457</v>
      </c>
      <c r="S15432" t="s">
        <v>47805</v>
      </c>
      <c r="T15432" t="s">
        <v>49162</v>
      </c>
      <c r="U15432" t="s">
        <v>51215</v>
      </c>
      <c r="V15432" t="s">
        <v>64377</v>
      </c>
      <c r="W15432" t="s">
        <v>43864</v>
      </c>
      <c r="X15432" t="s">
        <v>47459</v>
      </c>
    </row>
    <row r="15433" spans="1:24">
      <c r="A15433">
        <f>HYPERLINK("https://www.philgeps.gov.ph/GEPSNONPILOT/Tender/SplashBidNoticeAbstractUI.aspx?menuIndex=3&amp;refID=7095890&amp;Result=3","7095890")</f>
        <v>0</v>
      </c>
      <c r="B15433" t="s">
        <v>3898</v>
      </c>
      <c r="C15433" t="s">
        <v>5511</v>
      </c>
      <c r="D15433" t="s">
        <v>19062</v>
      </c>
      <c r="E15433" t="s">
        <v>32373</v>
      </c>
      <c r="F15433" t="s">
        <v>32831</v>
      </c>
      <c r="G15433" t="s">
        <v>32839</v>
      </c>
      <c r="H15433" t="s">
        <v>32848</v>
      </c>
      <c r="I15433" t="s">
        <v>7416</v>
      </c>
      <c r="J15433" t="s">
        <v>33016</v>
      </c>
      <c r="K15433" t="s">
        <v>42731</v>
      </c>
      <c r="M15433" t="s">
        <v>47366</v>
      </c>
      <c r="N15433" t="s">
        <v>47424</v>
      </c>
      <c r="O15433" t="s">
        <v>47425</v>
      </c>
      <c r="P15433">
        <v>0</v>
      </c>
      <c r="Q15433">
        <v>5</v>
      </c>
      <c r="R15433" t="s">
        <v>47457</v>
      </c>
      <c r="S15433" t="s">
        <v>48765</v>
      </c>
      <c r="T15433" t="s">
        <v>49274</v>
      </c>
      <c r="U15433" t="s">
        <v>62211</v>
      </c>
      <c r="W15433" t="s">
        <v>47366</v>
      </c>
      <c r="X15433" t="s">
        <v>47459</v>
      </c>
    </row>
    <row r="15434" spans="1:24">
      <c r="A15434">
        <f>HYPERLINK("https://www.philgeps.gov.ph/GEPSNONPILOT/Tender/SplashBidNoticeAbstractUI.aspx?menuIndex=3&amp;refID=7095741&amp;Result=3","7095741")</f>
        <v>0</v>
      </c>
      <c r="B15434" t="s">
        <v>2527</v>
      </c>
      <c r="C15434" t="s">
        <v>18518</v>
      </c>
      <c r="D15434" t="s">
        <v>19090</v>
      </c>
      <c r="E15434" t="s">
        <v>32374</v>
      </c>
      <c r="F15434" t="s">
        <v>32831</v>
      </c>
      <c r="G15434" t="s">
        <v>32839</v>
      </c>
      <c r="H15434" t="s">
        <v>32848</v>
      </c>
      <c r="I15434" t="s">
        <v>32911</v>
      </c>
      <c r="J15434" t="s">
        <v>42416</v>
      </c>
      <c r="K15434" t="s">
        <v>42729</v>
      </c>
      <c r="M15434" t="s">
        <v>45736</v>
      </c>
      <c r="N15434" t="s">
        <v>47424</v>
      </c>
      <c r="O15434" t="s">
        <v>47425</v>
      </c>
      <c r="Q15434">
        <v>5</v>
      </c>
      <c r="R15434" t="s">
        <v>47457</v>
      </c>
      <c r="S15434" t="s">
        <v>48769</v>
      </c>
      <c r="T15434" t="s">
        <v>49214</v>
      </c>
      <c r="U15434" t="s">
        <v>62212</v>
      </c>
      <c r="W15434" t="s">
        <v>45736</v>
      </c>
      <c r="X15434" t="s">
        <v>47459</v>
      </c>
    </row>
    <row r="15435" spans="1:24">
      <c r="A15435">
        <f>HYPERLINK("https://www.philgeps.gov.ph/GEPSNONPILOT/Tender/SplashBidNoticeAbstractUI.aspx?menuIndex=3&amp;refID=7097194&amp;Result=3","7097194")</f>
        <v>0</v>
      </c>
      <c r="B15435" t="s">
        <v>3896</v>
      </c>
      <c r="C15435" t="s">
        <v>18519</v>
      </c>
      <c r="D15435" t="s">
        <v>19044</v>
      </c>
      <c r="E15435" t="s">
        <v>23482</v>
      </c>
      <c r="F15435" t="s">
        <v>32831</v>
      </c>
      <c r="G15435" t="s">
        <v>32839</v>
      </c>
      <c r="H15435" t="s">
        <v>32849</v>
      </c>
      <c r="I15435" t="s">
        <v>32919</v>
      </c>
      <c r="J15435" t="s">
        <v>32979</v>
      </c>
      <c r="K15435" t="s">
        <v>42730</v>
      </c>
      <c r="M15435" t="s">
        <v>47363</v>
      </c>
      <c r="N15435" t="s">
        <v>47424</v>
      </c>
      <c r="O15435" t="s">
        <v>47425</v>
      </c>
      <c r="P15435">
        <v>0</v>
      </c>
      <c r="Q15435">
        <v>0</v>
      </c>
      <c r="R15435" t="s">
        <v>47457</v>
      </c>
      <c r="S15435" t="s">
        <v>48765</v>
      </c>
      <c r="T15435" t="s">
        <v>49073</v>
      </c>
      <c r="U15435" t="s">
        <v>62213</v>
      </c>
      <c r="V15435" t="s">
        <v>64378</v>
      </c>
      <c r="W15435" t="s">
        <v>47363</v>
      </c>
      <c r="X15435" t="s">
        <v>47459</v>
      </c>
    </row>
    <row r="15436" spans="1:24">
      <c r="A15436">
        <f>HYPERLINK("https://www.philgeps.gov.ph/GEPSNONPILOT/Tender/SplashBidNoticeAbstractUI.aspx?menuIndex=3&amp;refID=7089101&amp;Result=3","7089101")</f>
        <v>0</v>
      </c>
      <c r="B15436" t="s">
        <v>3693</v>
      </c>
      <c r="C15436" t="s">
        <v>18520</v>
      </c>
      <c r="D15436" t="s">
        <v>19027</v>
      </c>
      <c r="E15436" t="s">
        <v>32375</v>
      </c>
      <c r="F15436" t="s">
        <v>32831</v>
      </c>
      <c r="G15436" t="s">
        <v>32839</v>
      </c>
      <c r="H15436" t="s">
        <v>32849</v>
      </c>
      <c r="I15436" t="s">
        <v>4177</v>
      </c>
      <c r="J15436" t="s">
        <v>42417</v>
      </c>
      <c r="K15436" t="s">
        <v>42780</v>
      </c>
      <c r="M15436" t="s">
        <v>47078</v>
      </c>
      <c r="N15436" t="s">
        <v>47424</v>
      </c>
      <c r="O15436" t="s">
        <v>47425</v>
      </c>
      <c r="Q15436">
        <v>8</v>
      </c>
      <c r="R15436" t="s">
        <v>47460</v>
      </c>
      <c r="S15436" t="s">
        <v>48424</v>
      </c>
      <c r="T15436" t="s">
        <v>49172</v>
      </c>
      <c r="U15436" t="s">
        <v>60990</v>
      </c>
      <c r="W15436" t="s">
        <v>47078</v>
      </c>
      <c r="X15436" t="s">
        <v>47463</v>
      </c>
    </row>
    <row r="15437" spans="1:24">
      <c r="A15437">
        <f>HYPERLINK("https://www.philgeps.gov.ph/GEPSNONPILOT/Tender/SplashBidNoticeAbstractUI.aspx?menuIndex=3&amp;refID=7096406&amp;Result=3","7096406")</f>
        <v>0</v>
      </c>
      <c r="B15437" t="s">
        <v>832</v>
      </c>
      <c r="C15437" t="s">
        <v>18521</v>
      </c>
      <c r="D15437" t="s">
        <v>19017</v>
      </c>
      <c r="E15437" t="s">
        <v>32376</v>
      </c>
      <c r="F15437" t="s">
        <v>32831</v>
      </c>
      <c r="G15437" t="s">
        <v>32842</v>
      </c>
      <c r="H15437" t="s">
        <v>32848</v>
      </c>
      <c r="I15437" t="s">
        <v>32860</v>
      </c>
      <c r="J15437" t="s">
        <v>33568</v>
      </c>
      <c r="K15437" t="s">
        <v>42745</v>
      </c>
      <c r="M15437" t="s">
        <v>43864</v>
      </c>
      <c r="N15437" t="s">
        <v>47424</v>
      </c>
      <c r="O15437" t="s">
        <v>47425</v>
      </c>
      <c r="Q15437">
        <v>4</v>
      </c>
      <c r="R15437" t="s">
        <v>47457</v>
      </c>
      <c r="S15437" t="s">
        <v>48770</v>
      </c>
      <c r="T15437" t="s">
        <v>49162</v>
      </c>
      <c r="U15437" t="s">
        <v>51215</v>
      </c>
      <c r="V15437" t="s">
        <v>64377</v>
      </c>
      <c r="W15437" t="s">
        <v>43864</v>
      </c>
      <c r="X15437" t="s">
        <v>47459</v>
      </c>
    </row>
    <row r="15438" spans="1:24">
      <c r="A15438">
        <f>HYPERLINK("https://www.philgeps.gov.ph/GEPSNONPILOT/Tender/SplashBidNoticeAbstractUI.aspx?menuIndex=3&amp;refID=7088769&amp;Result=3","7088769")</f>
        <v>0</v>
      </c>
      <c r="B15438" t="s">
        <v>1915</v>
      </c>
      <c r="C15438" t="s">
        <v>18522</v>
      </c>
      <c r="D15438" t="s">
        <v>19030</v>
      </c>
      <c r="E15438" t="s">
        <v>32377</v>
      </c>
      <c r="F15438" t="s">
        <v>32831</v>
      </c>
      <c r="G15438" t="s">
        <v>32839</v>
      </c>
      <c r="H15438" t="s">
        <v>32849</v>
      </c>
      <c r="I15438" t="s">
        <v>4177</v>
      </c>
      <c r="J15438" t="s">
        <v>42418</v>
      </c>
      <c r="K15438" t="s">
        <v>42770</v>
      </c>
      <c r="M15438" t="s">
        <v>45067</v>
      </c>
      <c r="N15438" t="s">
        <v>47424</v>
      </c>
      <c r="O15438" t="s">
        <v>47425</v>
      </c>
      <c r="Q15438">
        <v>35</v>
      </c>
      <c r="R15438" t="s">
        <v>47460</v>
      </c>
      <c r="S15438" t="s">
        <v>48771</v>
      </c>
      <c r="T15438" t="s">
        <v>49056</v>
      </c>
      <c r="U15438" t="s">
        <v>62214</v>
      </c>
      <c r="W15438" t="s">
        <v>64492</v>
      </c>
      <c r="X15438" t="s">
        <v>47463</v>
      </c>
    </row>
    <row r="15439" spans="1:24">
      <c r="A15439">
        <f>HYPERLINK("https://www.philgeps.gov.ph/GEPSNONPILOT/Tender/SplashBidNoticeAbstractUI.aspx?menuIndex=3&amp;refID=7088774&amp;Result=3","7088774")</f>
        <v>0</v>
      </c>
      <c r="B15439" t="s">
        <v>1915</v>
      </c>
      <c r="C15439" t="s">
        <v>18523</v>
      </c>
      <c r="D15439" t="s">
        <v>19030</v>
      </c>
      <c r="E15439" t="s">
        <v>32378</v>
      </c>
      <c r="F15439" t="s">
        <v>32831</v>
      </c>
      <c r="G15439" t="s">
        <v>32839</v>
      </c>
      <c r="H15439" t="s">
        <v>32849</v>
      </c>
      <c r="I15439" t="s">
        <v>4177</v>
      </c>
      <c r="J15439" t="s">
        <v>42418</v>
      </c>
      <c r="K15439" t="s">
        <v>42770</v>
      </c>
      <c r="M15439" t="s">
        <v>45067</v>
      </c>
      <c r="N15439" t="s">
        <v>47424</v>
      </c>
      <c r="O15439" t="s">
        <v>47425</v>
      </c>
      <c r="Q15439">
        <v>35</v>
      </c>
      <c r="R15439" t="s">
        <v>47460</v>
      </c>
      <c r="S15439" t="s">
        <v>48772</v>
      </c>
      <c r="T15439" t="s">
        <v>49056</v>
      </c>
      <c r="U15439" t="s">
        <v>62214</v>
      </c>
      <c r="W15439" t="s">
        <v>64492</v>
      </c>
      <c r="X15439" t="s">
        <v>47463</v>
      </c>
    </row>
    <row r="15440" spans="1:24">
      <c r="A15440">
        <f>HYPERLINK("https://www.philgeps.gov.ph/GEPSNONPILOT/Tender/SplashBidNoticeAbstractUI.aspx?menuIndex=3&amp;refID=7088215&amp;Result=3","7088215")</f>
        <v>0</v>
      </c>
      <c r="B15440" t="s">
        <v>2630</v>
      </c>
      <c r="C15440" t="s">
        <v>18524</v>
      </c>
      <c r="D15440" t="s">
        <v>19019</v>
      </c>
      <c r="E15440" t="s">
        <v>29137</v>
      </c>
      <c r="F15440" t="s">
        <v>32831</v>
      </c>
      <c r="G15440" t="s">
        <v>32839</v>
      </c>
      <c r="H15440" t="s">
        <v>32849</v>
      </c>
      <c r="I15440" t="s">
        <v>4177</v>
      </c>
      <c r="J15440" t="s">
        <v>42419</v>
      </c>
      <c r="K15440" t="s">
        <v>42764</v>
      </c>
      <c r="M15440" t="s">
        <v>45850</v>
      </c>
      <c r="N15440" t="s">
        <v>47424</v>
      </c>
      <c r="O15440" t="s">
        <v>47425</v>
      </c>
      <c r="Q15440">
        <v>1</v>
      </c>
      <c r="R15440" t="s">
        <v>47460</v>
      </c>
      <c r="S15440" t="s">
        <v>48773</v>
      </c>
      <c r="T15440" t="s">
        <v>49056</v>
      </c>
      <c r="U15440" t="s">
        <v>62215</v>
      </c>
      <c r="W15440" t="s">
        <v>45850</v>
      </c>
      <c r="X15440" t="s">
        <v>47463</v>
      </c>
    </row>
    <row r="15441" spans="1:24">
      <c r="A15441">
        <f>HYPERLINK("https://www.philgeps.gov.ph/GEPSNONPILOT/Tender/SplashBidNoticeAbstractUI.aspx?menuIndex=3&amp;refID=7099169&amp;Result=3","7099169")</f>
        <v>0</v>
      </c>
      <c r="B15441" t="s">
        <v>557</v>
      </c>
      <c r="C15441" t="s">
        <v>18525</v>
      </c>
      <c r="E15441" t="s">
        <v>32379</v>
      </c>
      <c r="F15441" t="s">
        <v>32831</v>
      </c>
      <c r="G15441" t="s">
        <v>32839</v>
      </c>
      <c r="H15441" t="s">
        <v>32849</v>
      </c>
      <c r="I15441" t="s">
        <v>4177</v>
      </c>
      <c r="J15441" t="s">
        <v>42420</v>
      </c>
      <c r="K15441" t="s">
        <v>42732</v>
      </c>
      <c r="M15441" t="s">
        <v>43565</v>
      </c>
      <c r="N15441" t="s">
        <v>47424</v>
      </c>
      <c r="O15441" t="s">
        <v>47425</v>
      </c>
      <c r="Q15441">
        <v>8</v>
      </c>
      <c r="R15441" t="s">
        <v>47458</v>
      </c>
      <c r="S15441" t="s">
        <v>48774</v>
      </c>
      <c r="T15441" t="s">
        <v>49237</v>
      </c>
      <c r="U15441" t="s">
        <v>62216</v>
      </c>
      <c r="V15441" t="s">
        <v>64379</v>
      </c>
      <c r="W15441" t="s">
        <v>43565</v>
      </c>
      <c r="X15441" t="s">
        <v>47457</v>
      </c>
    </row>
    <row r="15442" spans="1:24">
      <c r="A15442">
        <f>HYPERLINK("https://www.philgeps.gov.ph/GEPSNONPILOT/Tender/SplashBidNoticeAbstractUI.aspx?menuIndex=3&amp;refID=7105013&amp;Result=3","7105013")</f>
        <v>0</v>
      </c>
      <c r="B15442" t="s">
        <v>1808</v>
      </c>
      <c r="C15442" t="s">
        <v>18526</v>
      </c>
      <c r="D15442" t="s">
        <v>19044</v>
      </c>
      <c r="E15442" t="s">
        <v>32380</v>
      </c>
      <c r="F15442" t="s">
        <v>32831</v>
      </c>
      <c r="G15442" t="s">
        <v>32839</v>
      </c>
      <c r="H15442" t="s">
        <v>32849</v>
      </c>
      <c r="I15442" t="s">
        <v>4177</v>
      </c>
      <c r="J15442" t="s">
        <v>42421</v>
      </c>
      <c r="K15442" t="s">
        <v>42757</v>
      </c>
      <c r="M15442" t="s">
        <v>44941</v>
      </c>
      <c r="N15442" t="s">
        <v>47424</v>
      </c>
      <c r="O15442" t="s">
        <v>47425</v>
      </c>
      <c r="P15442">
        <v>0</v>
      </c>
      <c r="Q15442">
        <v>0</v>
      </c>
      <c r="R15442" t="s">
        <v>47454</v>
      </c>
      <c r="S15442" t="s">
        <v>48720</v>
      </c>
      <c r="T15442" t="s">
        <v>49166</v>
      </c>
      <c r="U15442" t="s">
        <v>62217</v>
      </c>
      <c r="V15442" t="s">
        <v>64380</v>
      </c>
      <c r="W15442" t="s">
        <v>44941</v>
      </c>
      <c r="X15442" t="s">
        <v>47456</v>
      </c>
    </row>
    <row r="15443" spans="1:24">
      <c r="A15443">
        <f>HYPERLINK("https://www.philgeps.gov.ph/GEPSNONPILOT/Tender/SplashBidNoticeAbstractUI.aspx?menuIndex=3&amp;refID=7087944&amp;Result=3","7087944")</f>
        <v>0</v>
      </c>
      <c r="B15443" t="s">
        <v>2426</v>
      </c>
      <c r="C15443" t="s">
        <v>18527</v>
      </c>
      <c r="D15443" t="s">
        <v>19018</v>
      </c>
      <c r="E15443" t="s">
        <v>32381</v>
      </c>
      <c r="F15443" t="s">
        <v>32831</v>
      </c>
      <c r="G15443" t="s">
        <v>32839</v>
      </c>
      <c r="H15443" t="s">
        <v>32849</v>
      </c>
      <c r="I15443" t="s">
        <v>7416</v>
      </c>
      <c r="J15443" t="s">
        <v>42422</v>
      </c>
      <c r="K15443" t="s">
        <v>42728</v>
      </c>
      <c r="M15443" t="s">
        <v>45623</v>
      </c>
      <c r="N15443" t="s">
        <v>47424</v>
      </c>
      <c r="O15443" t="s">
        <v>47425</v>
      </c>
      <c r="Q15443">
        <v>5</v>
      </c>
      <c r="R15443" t="s">
        <v>47460</v>
      </c>
      <c r="S15443" t="s">
        <v>48775</v>
      </c>
      <c r="T15443" t="s">
        <v>49063</v>
      </c>
      <c r="U15443" t="s">
        <v>55423</v>
      </c>
      <c r="V15443" t="s">
        <v>63431</v>
      </c>
      <c r="W15443" t="s">
        <v>45623</v>
      </c>
      <c r="X15443" t="s">
        <v>47463</v>
      </c>
    </row>
    <row r="15444" spans="1:24">
      <c r="A15444">
        <f>HYPERLINK("https://www.philgeps.gov.ph/GEPSNONPILOT/Tender/SplashBidNoticeAbstractUI.aspx?menuIndex=3&amp;refID=7094105&amp;Result=3","7094105")</f>
        <v>0</v>
      </c>
      <c r="B15444" t="s">
        <v>272</v>
      </c>
      <c r="C15444" t="s">
        <v>18528</v>
      </c>
      <c r="D15444" t="s">
        <v>19077</v>
      </c>
      <c r="E15444" t="s">
        <v>32382</v>
      </c>
      <c r="F15444" t="s">
        <v>32831</v>
      </c>
      <c r="G15444" t="s">
        <v>32841</v>
      </c>
      <c r="H15444" t="s">
        <v>32849</v>
      </c>
      <c r="I15444" t="s">
        <v>4177</v>
      </c>
      <c r="J15444" t="s">
        <v>42423</v>
      </c>
      <c r="K15444" t="s">
        <v>42789</v>
      </c>
      <c r="M15444" t="s">
        <v>46713</v>
      </c>
      <c r="N15444" t="s">
        <v>47424</v>
      </c>
      <c r="O15444" t="s">
        <v>47425</v>
      </c>
      <c r="Q15444">
        <v>4</v>
      </c>
      <c r="R15444" t="s">
        <v>47459</v>
      </c>
      <c r="S15444" t="s">
        <v>48776</v>
      </c>
      <c r="T15444" t="s">
        <v>49162</v>
      </c>
      <c r="U15444" t="s">
        <v>62218</v>
      </c>
      <c r="V15444" t="s">
        <v>64381</v>
      </c>
      <c r="W15444" t="s">
        <v>46713</v>
      </c>
      <c r="X15444" t="s">
        <v>47460</v>
      </c>
    </row>
    <row r="15445" spans="1:24">
      <c r="A15445">
        <f>HYPERLINK("https://www.philgeps.gov.ph/GEPSNONPILOT/Tender/SplashBidNoticeAbstractUI.aspx?menuIndex=3&amp;refID=7105369&amp;Result=3","7105369")</f>
        <v>0</v>
      </c>
      <c r="B15445" t="s">
        <v>3076</v>
      </c>
      <c r="C15445" t="s">
        <v>18529</v>
      </c>
      <c r="D15445" t="s">
        <v>19045</v>
      </c>
      <c r="E15445" t="s">
        <v>32383</v>
      </c>
      <c r="F15445" t="s">
        <v>32831</v>
      </c>
      <c r="G15445" t="s">
        <v>32839</v>
      </c>
      <c r="H15445" t="s">
        <v>32849</v>
      </c>
      <c r="I15445" t="s">
        <v>4177</v>
      </c>
      <c r="J15445" t="s">
        <v>42424</v>
      </c>
      <c r="K15445" t="s">
        <v>42761</v>
      </c>
      <c r="M15445" t="s">
        <v>47367</v>
      </c>
      <c r="N15445" t="s">
        <v>47424</v>
      </c>
      <c r="O15445" t="s">
        <v>47425</v>
      </c>
      <c r="P15445">
        <v>0</v>
      </c>
      <c r="Q15445">
        <v>11</v>
      </c>
      <c r="R15445" t="s">
        <v>47454</v>
      </c>
      <c r="S15445" t="s">
        <v>48720</v>
      </c>
      <c r="T15445" t="s">
        <v>49166</v>
      </c>
      <c r="U15445" t="s">
        <v>62219</v>
      </c>
      <c r="W15445" t="s">
        <v>47367</v>
      </c>
      <c r="X15445" t="s">
        <v>47456</v>
      </c>
    </row>
    <row r="15446" spans="1:24">
      <c r="A15446">
        <f>HYPERLINK("https://www.philgeps.gov.ph/GEPSNONPILOT/Tender/SplashBidNoticeAbstractUI.aspx?menuIndex=3&amp;refID=7087939&amp;Result=3","7087939")</f>
        <v>0</v>
      </c>
      <c r="B15446" t="s">
        <v>2426</v>
      </c>
      <c r="C15446" t="s">
        <v>18530</v>
      </c>
      <c r="D15446" t="s">
        <v>19019</v>
      </c>
      <c r="E15446" t="s">
        <v>32384</v>
      </c>
      <c r="F15446" t="s">
        <v>32831</v>
      </c>
      <c r="G15446" t="s">
        <v>32839</v>
      </c>
      <c r="H15446" t="s">
        <v>32849</v>
      </c>
      <c r="I15446" t="s">
        <v>7416</v>
      </c>
      <c r="J15446" t="s">
        <v>42425</v>
      </c>
      <c r="K15446" t="s">
        <v>42729</v>
      </c>
      <c r="M15446" t="s">
        <v>45623</v>
      </c>
      <c r="N15446" t="s">
        <v>47424</v>
      </c>
      <c r="O15446" t="s">
        <v>47425</v>
      </c>
      <c r="Q15446">
        <v>7</v>
      </c>
      <c r="R15446" t="s">
        <v>47460</v>
      </c>
      <c r="S15446" t="s">
        <v>48777</v>
      </c>
      <c r="T15446" t="s">
        <v>49063</v>
      </c>
      <c r="U15446" t="s">
        <v>55423</v>
      </c>
      <c r="V15446" t="s">
        <v>63431</v>
      </c>
      <c r="W15446" t="s">
        <v>45623</v>
      </c>
      <c r="X15446" t="s">
        <v>47463</v>
      </c>
    </row>
    <row r="15447" spans="1:24">
      <c r="A15447">
        <f>HYPERLINK("https://www.philgeps.gov.ph/GEPSNONPILOT/Tender/SplashBidNoticeAbstractUI.aspx?menuIndex=3&amp;refID=7087953&amp;Result=3","7087953")</f>
        <v>0</v>
      </c>
      <c r="B15447" t="s">
        <v>2426</v>
      </c>
      <c r="C15447" t="s">
        <v>18531</v>
      </c>
      <c r="D15447" t="s">
        <v>19102</v>
      </c>
      <c r="E15447" t="s">
        <v>32385</v>
      </c>
      <c r="F15447" t="s">
        <v>32831</v>
      </c>
      <c r="G15447" t="s">
        <v>32839</v>
      </c>
      <c r="H15447" t="s">
        <v>32849</v>
      </c>
      <c r="I15447" t="s">
        <v>7416</v>
      </c>
      <c r="J15447" t="s">
        <v>42422</v>
      </c>
      <c r="K15447" t="s">
        <v>42728</v>
      </c>
      <c r="M15447" t="s">
        <v>45623</v>
      </c>
      <c r="N15447" t="s">
        <v>47424</v>
      </c>
      <c r="O15447" t="s">
        <v>47425</v>
      </c>
      <c r="Q15447">
        <v>3</v>
      </c>
      <c r="R15447" t="s">
        <v>47460</v>
      </c>
      <c r="S15447" t="s">
        <v>47877</v>
      </c>
      <c r="T15447" t="s">
        <v>49063</v>
      </c>
      <c r="U15447" t="s">
        <v>55423</v>
      </c>
      <c r="V15447" t="s">
        <v>63431</v>
      </c>
      <c r="W15447" t="s">
        <v>45623</v>
      </c>
      <c r="X15447" t="s">
        <v>47463</v>
      </c>
    </row>
    <row r="15448" spans="1:24">
      <c r="A15448">
        <f>HYPERLINK("https://www.philgeps.gov.ph/GEPSNONPILOT/Tender/SplashBidNoticeAbstractUI.aspx?menuIndex=3&amp;refID=7093886&amp;Result=3","7093886")</f>
        <v>0</v>
      </c>
      <c r="B15448" t="s">
        <v>2089</v>
      </c>
      <c r="C15448" t="s">
        <v>18532</v>
      </c>
      <c r="D15448" t="s">
        <v>19017</v>
      </c>
      <c r="E15448" t="s">
        <v>32386</v>
      </c>
      <c r="F15448" t="s">
        <v>32831</v>
      </c>
      <c r="G15448" t="s">
        <v>32839</v>
      </c>
      <c r="H15448" t="s">
        <v>32848</v>
      </c>
      <c r="I15448" t="s">
        <v>32968</v>
      </c>
      <c r="J15448" t="s">
        <v>33794</v>
      </c>
      <c r="K15448" t="s">
        <v>42730</v>
      </c>
      <c r="M15448" t="s">
        <v>47368</v>
      </c>
      <c r="N15448" t="s">
        <v>47424</v>
      </c>
      <c r="O15448" t="s">
        <v>47425</v>
      </c>
      <c r="Q15448">
        <v>3</v>
      </c>
      <c r="R15448" t="s">
        <v>47459</v>
      </c>
      <c r="S15448" t="s">
        <v>48778</v>
      </c>
      <c r="T15448" t="s">
        <v>49199</v>
      </c>
      <c r="U15448" t="s">
        <v>62220</v>
      </c>
      <c r="W15448" t="s">
        <v>47368</v>
      </c>
      <c r="X15448" t="s">
        <v>47460</v>
      </c>
    </row>
    <row r="15449" spans="1:24">
      <c r="A15449">
        <f>HYPERLINK("https://www.philgeps.gov.ph/GEPSNONPILOT/Tender/SplashBidNoticeAbstractUI.aspx?menuIndex=3&amp;refID=7093457&amp;Result=3","7093457")</f>
        <v>0</v>
      </c>
      <c r="B15449" t="s">
        <v>67</v>
      </c>
      <c r="C15449" t="s">
        <v>18533</v>
      </c>
      <c r="D15449" t="s">
        <v>19079</v>
      </c>
      <c r="E15449" t="s">
        <v>32387</v>
      </c>
      <c r="F15449" t="s">
        <v>32831</v>
      </c>
      <c r="G15449" t="s">
        <v>32842</v>
      </c>
      <c r="H15449" t="s">
        <v>32848</v>
      </c>
      <c r="I15449" t="s">
        <v>4471</v>
      </c>
      <c r="J15449" t="s">
        <v>33087</v>
      </c>
      <c r="K15449" t="s">
        <v>42730</v>
      </c>
      <c r="M15449" t="s">
        <v>44461</v>
      </c>
      <c r="N15449" t="s">
        <v>47424</v>
      </c>
      <c r="O15449" t="s">
        <v>47425</v>
      </c>
      <c r="Q15449">
        <v>1</v>
      </c>
      <c r="R15449" t="s">
        <v>47459</v>
      </c>
      <c r="S15449" t="s">
        <v>48779</v>
      </c>
      <c r="T15449" t="s">
        <v>49166</v>
      </c>
      <c r="U15449" t="s">
        <v>62221</v>
      </c>
      <c r="W15449" t="s">
        <v>44461</v>
      </c>
      <c r="X15449" t="s">
        <v>47460</v>
      </c>
    </row>
    <row r="15450" spans="1:24">
      <c r="A15450">
        <f>HYPERLINK("https://www.philgeps.gov.ph/GEPSNONPILOT/Tender/SplashBidNoticeAbstractUI.aspx?menuIndex=3&amp;refID=7092884&amp;Result=3","7092884")</f>
        <v>0</v>
      </c>
      <c r="B15450" t="s">
        <v>270</v>
      </c>
      <c r="C15450" t="s">
        <v>18534</v>
      </c>
      <c r="D15450" t="s">
        <v>19017</v>
      </c>
      <c r="E15450" t="s">
        <v>19654</v>
      </c>
      <c r="F15450" t="s">
        <v>32831</v>
      </c>
      <c r="G15450" t="s">
        <v>32839</v>
      </c>
      <c r="H15450" t="s">
        <v>32848</v>
      </c>
      <c r="I15450" t="s">
        <v>32867</v>
      </c>
      <c r="J15450" t="s">
        <v>42426</v>
      </c>
      <c r="K15450" t="s">
        <v>42780</v>
      </c>
      <c r="M15450" t="s">
        <v>43269</v>
      </c>
      <c r="N15450" t="s">
        <v>47424</v>
      </c>
      <c r="O15450" t="s">
        <v>47425</v>
      </c>
      <c r="Q15450">
        <v>24</v>
      </c>
      <c r="R15450" t="s">
        <v>47459</v>
      </c>
      <c r="S15450" t="s">
        <v>48780</v>
      </c>
      <c r="T15450" t="s">
        <v>49059</v>
      </c>
      <c r="U15450" t="s">
        <v>62222</v>
      </c>
      <c r="W15450" t="s">
        <v>43269</v>
      </c>
      <c r="X15450" t="s">
        <v>47460</v>
      </c>
    </row>
    <row r="15451" spans="1:24">
      <c r="A15451">
        <f>HYPERLINK("https://www.philgeps.gov.ph/GEPSNONPILOT/Tender/SplashBidNoticeAbstractUI.aspx?menuIndex=3&amp;refID=7094167&amp;Result=3","7094167")</f>
        <v>0</v>
      </c>
      <c r="B15451" t="s">
        <v>272</v>
      </c>
      <c r="C15451" t="s">
        <v>18535</v>
      </c>
      <c r="D15451" t="s">
        <v>19077</v>
      </c>
      <c r="E15451" t="s">
        <v>32388</v>
      </c>
      <c r="F15451" t="s">
        <v>32831</v>
      </c>
      <c r="G15451" t="s">
        <v>32841</v>
      </c>
      <c r="H15451" t="s">
        <v>32849</v>
      </c>
      <c r="I15451" t="s">
        <v>4177</v>
      </c>
      <c r="J15451" t="s">
        <v>42427</v>
      </c>
      <c r="K15451" t="s">
        <v>42763</v>
      </c>
      <c r="M15451" t="s">
        <v>46713</v>
      </c>
      <c r="N15451" t="s">
        <v>47424</v>
      </c>
      <c r="O15451" t="s">
        <v>47425</v>
      </c>
      <c r="Q15451">
        <v>4</v>
      </c>
      <c r="R15451" t="s">
        <v>47459</v>
      </c>
      <c r="S15451" t="s">
        <v>48781</v>
      </c>
      <c r="T15451" t="s">
        <v>49162</v>
      </c>
      <c r="U15451" t="s">
        <v>62223</v>
      </c>
      <c r="V15451" t="s">
        <v>64381</v>
      </c>
      <c r="W15451" t="s">
        <v>46713</v>
      </c>
      <c r="X15451" t="s">
        <v>47460</v>
      </c>
    </row>
    <row r="15452" spans="1:24">
      <c r="A15452">
        <f>HYPERLINK("https://www.philgeps.gov.ph/GEPSNONPILOT/Tender/SplashBidNoticeAbstractUI.aspx?menuIndex=3&amp;refID=7091497&amp;Result=3","7091497")</f>
        <v>0</v>
      </c>
      <c r="B15452" t="s">
        <v>832</v>
      </c>
      <c r="C15452" t="s">
        <v>18536</v>
      </c>
      <c r="D15452" t="s">
        <v>19017</v>
      </c>
      <c r="E15452" t="s">
        <v>32389</v>
      </c>
      <c r="F15452" t="s">
        <v>32831</v>
      </c>
      <c r="G15452" t="s">
        <v>32842</v>
      </c>
      <c r="H15452" t="s">
        <v>32848</v>
      </c>
      <c r="I15452" t="s">
        <v>32860</v>
      </c>
      <c r="J15452" t="s">
        <v>37237</v>
      </c>
      <c r="K15452" t="s">
        <v>42745</v>
      </c>
      <c r="M15452" t="s">
        <v>43864</v>
      </c>
      <c r="N15452" t="s">
        <v>47424</v>
      </c>
      <c r="O15452" t="s">
        <v>47425</v>
      </c>
      <c r="Q15452">
        <v>7</v>
      </c>
      <c r="R15452" t="s">
        <v>47459</v>
      </c>
      <c r="S15452" t="s">
        <v>48782</v>
      </c>
      <c r="T15452" t="s">
        <v>49162</v>
      </c>
      <c r="U15452" t="s">
        <v>51215</v>
      </c>
      <c r="V15452" t="s">
        <v>64377</v>
      </c>
      <c r="W15452" t="s">
        <v>43864</v>
      </c>
      <c r="X15452" t="s">
        <v>47460</v>
      </c>
    </row>
    <row r="15453" spans="1:24">
      <c r="A15453">
        <f>HYPERLINK("https://www.philgeps.gov.ph/GEPSNONPILOT/Tender/SplashBidNoticeAbstractUI.aspx?menuIndex=3&amp;refID=7092937&amp;Result=3","7092937")</f>
        <v>0</v>
      </c>
      <c r="B15453" t="s">
        <v>597</v>
      </c>
      <c r="C15453" t="s">
        <v>18537</v>
      </c>
      <c r="D15453" t="s">
        <v>19017</v>
      </c>
      <c r="E15453" t="s">
        <v>32390</v>
      </c>
      <c r="F15453" t="s">
        <v>32831</v>
      </c>
      <c r="G15453" t="s">
        <v>32839</v>
      </c>
      <c r="H15453" t="s">
        <v>32848</v>
      </c>
      <c r="I15453" t="s">
        <v>5667</v>
      </c>
      <c r="J15453" t="s">
        <v>42428</v>
      </c>
      <c r="K15453" t="s">
        <v>42730</v>
      </c>
      <c r="M15453" t="s">
        <v>47369</v>
      </c>
      <c r="N15453" t="s">
        <v>47424</v>
      </c>
      <c r="O15453" t="s">
        <v>47425</v>
      </c>
      <c r="Q15453">
        <v>10</v>
      </c>
      <c r="R15453" t="s">
        <v>47459</v>
      </c>
      <c r="S15453" t="s">
        <v>48783</v>
      </c>
      <c r="T15453" t="s">
        <v>49461</v>
      </c>
      <c r="U15453" t="s">
        <v>62224</v>
      </c>
      <c r="W15453" t="s">
        <v>47369</v>
      </c>
      <c r="X15453" t="s">
        <v>47460</v>
      </c>
    </row>
    <row r="15454" spans="1:24">
      <c r="A15454">
        <f>HYPERLINK("https://www.philgeps.gov.ph/GEPSNONPILOT/Tender/SplashBidNoticeAbstractUI.aspx?menuIndex=3&amp;refID=7087548&amp;Result=3","7087548")</f>
        <v>0</v>
      </c>
      <c r="B15454" t="s">
        <v>3598</v>
      </c>
      <c r="C15454" t="s">
        <v>18538</v>
      </c>
      <c r="D15454" t="s">
        <v>19077</v>
      </c>
      <c r="E15454" t="s">
        <v>32391</v>
      </c>
      <c r="F15454" t="s">
        <v>32831</v>
      </c>
      <c r="G15454" t="s">
        <v>32839</v>
      </c>
      <c r="H15454" t="s">
        <v>32849</v>
      </c>
      <c r="I15454" t="s">
        <v>4177</v>
      </c>
      <c r="J15454" t="s">
        <v>42429</v>
      </c>
      <c r="K15454" t="s">
        <v>42764</v>
      </c>
      <c r="M15454" t="s">
        <v>46962</v>
      </c>
      <c r="N15454" t="s">
        <v>47424</v>
      </c>
      <c r="O15454" t="s">
        <v>47425</v>
      </c>
      <c r="P15454">
        <v>0</v>
      </c>
      <c r="Q15454">
        <v>2</v>
      </c>
      <c r="R15454" t="s">
        <v>47459</v>
      </c>
      <c r="S15454" t="s">
        <v>48763</v>
      </c>
      <c r="T15454" t="s">
        <v>49243</v>
      </c>
      <c r="U15454" t="s">
        <v>62225</v>
      </c>
      <c r="W15454" t="s">
        <v>46962</v>
      </c>
      <c r="X15454" t="s">
        <v>47462</v>
      </c>
    </row>
    <row r="15455" spans="1:24">
      <c r="A15455">
        <f>HYPERLINK("https://www.philgeps.gov.ph/GEPSNONPILOT/Tender/SplashBidNoticeAbstractUI.aspx?menuIndex=3&amp;refID=7095681&amp;Result=3","7095681")</f>
        <v>0</v>
      </c>
      <c r="B15455" t="s">
        <v>3899</v>
      </c>
      <c r="C15455" t="s">
        <v>18539</v>
      </c>
      <c r="D15455" t="s">
        <v>19046</v>
      </c>
      <c r="E15455" t="s">
        <v>32392</v>
      </c>
      <c r="F15455" t="s">
        <v>32831</v>
      </c>
      <c r="G15455" t="s">
        <v>32839</v>
      </c>
      <c r="H15455" t="s">
        <v>32849</v>
      </c>
      <c r="I15455" t="s">
        <v>4177</v>
      </c>
      <c r="J15455" t="s">
        <v>42430</v>
      </c>
      <c r="K15455" t="s">
        <v>43008</v>
      </c>
      <c r="M15455" t="s">
        <v>47370</v>
      </c>
      <c r="N15455" t="s">
        <v>47424</v>
      </c>
      <c r="O15455" t="s">
        <v>47425</v>
      </c>
      <c r="Q15455">
        <v>3</v>
      </c>
      <c r="R15455" t="s">
        <v>47457</v>
      </c>
      <c r="S15455" t="s">
        <v>48151</v>
      </c>
      <c r="T15455" t="s">
        <v>49129</v>
      </c>
      <c r="U15455" t="s">
        <v>62226</v>
      </c>
      <c r="W15455" t="s">
        <v>47370</v>
      </c>
      <c r="X15455" t="s">
        <v>47459</v>
      </c>
    </row>
    <row r="15456" spans="1:24">
      <c r="A15456">
        <f>HYPERLINK("https://www.philgeps.gov.ph/GEPSNONPILOT/Tender/SplashBidNoticeAbstractUI.aspx?menuIndex=3&amp;refID=7090550&amp;Result=3","7090550")</f>
        <v>0</v>
      </c>
      <c r="B15456" t="s">
        <v>49</v>
      </c>
      <c r="C15456" t="s">
        <v>18540</v>
      </c>
      <c r="D15456" t="s">
        <v>19037</v>
      </c>
      <c r="E15456" t="s">
        <v>32393</v>
      </c>
      <c r="F15456" t="s">
        <v>32831</v>
      </c>
      <c r="G15456" t="s">
        <v>32839</v>
      </c>
      <c r="H15456" t="s">
        <v>32848</v>
      </c>
      <c r="I15456" t="s">
        <v>4776</v>
      </c>
      <c r="J15456" t="s">
        <v>40224</v>
      </c>
      <c r="K15456" t="s">
        <v>42750</v>
      </c>
      <c r="M15456" t="s">
        <v>45033</v>
      </c>
      <c r="N15456" t="s">
        <v>47424</v>
      </c>
      <c r="O15456" t="s">
        <v>47425</v>
      </c>
      <c r="Q15456">
        <v>2</v>
      </c>
      <c r="R15456" t="s">
        <v>47459</v>
      </c>
      <c r="S15456" t="s">
        <v>48784</v>
      </c>
      <c r="T15456" t="s">
        <v>49166</v>
      </c>
      <c r="U15456" t="s">
        <v>62227</v>
      </c>
      <c r="W15456" t="s">
        <v>45033</v>
      </c>
      <c r="X15456" t="s">
        <v>47463</v>
      </c>
    </row>
    <row r="15457" spans="1:24">
      <c r="A15457">
        <f>HYPERLINK("https://www.philgeps.gov.ph/GEPSNONPILOT/Tender/SplashBidNoticeAbstractUI.aspx?menuIndex=3&amp;refID=7095291&amp;Result=3","7095291")</f>
        <v>0</v>
      </c>
      <c r="B15457" t="s">
        <v>2527</v>
      </c>
      <c r="C15457" t="s">
        <v>18541</v>
      </c>
      <c r="D15457" t="s">
        <v>19090</v>
      </c>
      <c r="E15457" t="s">
        <v>32394</v>
      </c>
      <c r="F15457" t="s">
        <v>32831</v>
      </c>
      <c r="G15457" t="s">
        <v>32839</v>
      </c>
      <c r="H15457" t="s">
        <v>32848</v>
      </c>
      <c r="I15457" t="s">
        <v>32911</v>
      </c>
      <c r="J15457" t="s">
        <v>42431</v>
      </c>
      <c r="K15457" t="s">
        <v>42729</v>
      </c>
      <c r="M15457" t="s">
        <v>45736</v>
      </c>
      <c r="N15457" t="s">
        <v>47424</v>
      </c>
      <c r="O15457" t="s">
        <v>47425</v>
      </c>
      <c r="Q15457">
        <v>7</v>
      </c>
      <c r="R15457" t="s">
        <v>47457</v>
      </c>
      <c r="S15457" t="s">
        <v>48785</v>
      </c>
      <c r="T15457" t="s">
        <v>49214</v>
      </c>
      <c r="U15457" t="s">
        <v>62228</v>
      </c>
      <c r="W15457" t="s">
        <v>45736</v>
      </c>
      <c r="X15457" t="s">
        <v>47459</v>
      </c>
    </row>
    <row r="15458" spans="1:24">
      <c r="A15458">
        <f>HYPERLINK("https://www.philgeps.gov.ph/GEPSNONPILOT/Tender/SplashBidNoticeAbstractUI.aspx?menuIndex=3&amp;refID=7088494&amp;Result=3","7088494")</f>
        <v>0</v>
      </c>
      <c r="B15458" t="s">
        <v>3693</v>
      </c>
      <c r="C15458" t="s">
        <v>18542</v>
      </c>
      <c r="D15458" t="s">
        <v>19027</v>
      </c>
      <c r="E15458" t="s">
        <v>32395</v>
      </c>
      <c r="F15458" t="s">
        <v>32831</v>
      </c>
      <c r="G15458" t="s">
        <v>32839</v>
      </c>
      <c r="H15458" t="s">
        <v>32849</v>
      </c>
      <c r="I15458" t="s">
        <v>4177</v>
      </c>
      <c r="J15458" t="s">
        <v>42432</v>
      </c>
      <c r="K15458" t="s">
        <v>42809</v>
      </c>
      <c r="M15458" t="s">
        <v>47078</v>
      </c>
      <c r="N15458" t="s">
        <v>47424</v>
      </c>
      <c r="O15458" t="s">
        <v>47425</v>
      </c>
      <c r="Q15458">
        <v>10</v>
      </c>
      <c r="R15458" t="s">
        <v>47460</v>
      </c>
      <c r="S15458" t="s">
        <v>48786</v>
      </c>
      <c r="T15458" t="s">
        <v>49172</v>
      </c>
      <c r="U15458" t="s">
        <v>62229</v>
      </c>
      <c r="W15458" t="s">
        <v>47078</v>
      </c>
      <c r="X15458" t="s">
        <v>47463</v>
      </c>
    </row>
    <row r="15459" spans="1:24">
      <c r="A15459">
        <f>HYPERLINK("https://www.philgeps.gov.ph/GEPSNONPILOT/Tender/SplashBidNoticeAbstractUI.aspx?menuIndex=3&amp;refID=7101509&amp;Result=3","7101509")</f>
        <v>0</v>
      </c>
      <c r="B15459" t="s">
        <v>3893</v>
      </c>
      <c r="C15459" t="s">
        <v>18543</v>
      </c>
      <c r="D15459" t="s">
        <v>19062</v>
      </c>
      <c r="E15459" t="s">
        <v>19183</v>
      </c>
      <c r="F15459" t="s">
        <v>32831</v>
      </c>
      <c r="G15459" t="s">
        <v>32839</v>
      </c>
      <c r="H15459" t="s">
        <v>32848</v>
      </c>
      <c r="I15459" t="s">
        <v>7416</v>
      </c>
      <c r="J15459" t="s">
        <v>37126</v>
      </c>
      <c r="K15459" t="s">
        <v>42726</v>
      </c>
      <c r="M15459" t="s">
        <v>47360</v>
      </c>
      <c r="N15459" t="s">
        <v>47424</v>
      </c>
      <c r="O15459" t="s">
        <v>47425</v>
      </c>
      <c r="P15459">
        <v>0</v>
      </c>
      <c r="Q15459">
        <v>0</v>
      </c>
      <c r="R15459" t="s">
        <v>47456</v>
      </c>
      <c r="S15459" t="s">
        <v>48739</v>
      </c>
      <c r="T15459" t="s">
        <v>49107</v>
      </c>
      <c r="U15459" t="s">
        <v>62230</v>
      </c>
      <c r="V15459" t="s">
        <v>64373</v>
      </c>
      <c r="W15459" t="s">
        <v>47360</v>
      </c>
      <c r="X15459" t="s">
        <v>47458</v>
      </c>
    </row>
    <row r="15460" spans="1:24">
      <c r="A15460">
        <f>HYPERLINK("https://www.philgeps.gov.ph/GEPSNONPILOT/Tender/SplashBidNoticeAbstractUI.aspx?menuIndex=3&amp;refID=7092950&amp;Result=3","7092950")</f>
        <v>0</v>
      </c>
      <c r="B15460" t="s">
        <v>584</v>
      </c>
      <c r="C15460" t="s">
        <v>18544</v>
      </c>
      <c r="E15460" t="s">
        <v>32396</v>
      </c>
      <c r="F15460" t="s">
        <v>32831</v>
      </c>
      <c r="G15460" t="s">
        <v>32839</v>
      </c>
      <c r="H15460" t="s">
        <v>32848</v>
      </c>
      <c r="I15460" t="s">
        <v>4487</v>
      </c>
      <c r="J15460" t="s">
        <v>37416</v>
      </c>
      <c r="K15460" t="s">
        <v>42763</v>
      </c>
      <c r="M15460" t="s">
        <v>46115</v>
      </c>
      <c r="N15460" t="s">
        <v>47424</v>
      </c>
      <c r="O15460" t="s">
        <v>47425</v>
      </c>
      <c r="Q15460">
        <v>13</v>
      </c>
      <c r="R15460" t="s">
        <v>47459</v>
      </c>
      <c r="S15460" t="s">
        <v>48787</v>
      </c>
      <c r="T15460" t="s">
        <v>49166</v>
      </c>
      <c r="U15460" t="s">
        <v>62231</v>
      </c>
      <c r="W15460" t="s">
        <v>46115</v>
      </c>
      <c r="X15460" t="s">
        <v>47460</v>
      </c>
    </row>
    <row r="15461" spans="1:24">
      <c r="A15461">
        <f>HYPERLINK("https://www.philgeps.gov.ph/GEPSNONPILOT/Tender/SplashBidNoticeAbstractUI.aspx?menuIndex=3&amp;refID=7080021&amp;Result=3","7080021")</f>
        <v>0</v>
      </c>
      <c r="B15461" t="s">
        <v>3477</v>
      </c>
      <c r="C15461" t="s">
        <v>18545</v>
      </c>
      <c r="D15461" t="s">
        <v>19017</v>
      </c>
      <c r="E15461" t="s">
        <v>32397</v>
      </c>
      <c r="F15461" t="s">
        <v>32831</v>
      </c>
      <c r="G15461" t="s">
        <v>32839</v>
      </c>
      <c r="H15461" t="s">
        <v>32848</v>
      </c>
      <c r="I15461" t="s">
        <v>32876</v>
      </c>
      <c r="J15461" t="s">
        <v>42433</v>
      </c>
      <c r="K15461" t="s">
        <v>42732</v>
      </c>
      <c r="M15461" t="s">
        <v>47371</v>
      </c>
      <c r="N15461" t="s">
        <v>47424</v>
      </c>
      <c r="O15461" t="s">
        <v>47425</v>
      </c>
      <c r="Q15461">
        <v>24</v>
      </c>
      <c r="R15461" t="s">
        <v>47461</v>
      </c>
      <c r="S15461" t="s">
        <v>48788</v>
      </c>
      <c r="T15461" t="s">
        <v>49077</v>
      </c>
      <c r="U15461" t="s">
        <v>62232</v>
      </c>
      <c r="W15461" t="s">
        <v>47371</v>
      </c>
      <c r="X15461" t="s">
        <v>47464</v>
      </c>
    </row>
    <row r="15462" spans="1:24">
      <c r="A15462">
        <f>HYPERLINK("https://www.philgeps.gov.ph/GEPSNONPILOT/Tender/SplashBidNoticeAbstractUI.aspx?menuIndex=3&amp;refID=7095439&amp;Result=3","7095439")</f>
        <v>0</v>
      </c>
      <c r="B15462" t="s">
        <v>3883</v>
      </c>
      <c r="C15462" t="s">
        <v>18546</v>
      </c>
      <c r="D15462" t="s">
        <v>19057</v>
      </c>
      <c r="E15462" t="s">
        <v>32398</v>
      </c>
      <c r="F15462" t="s">
        <v>32831</v>
      </c>
      <c r="G15462" t="s">
        <v>32839</v>
      </c>
      <c r="H15462" t="s">
        <v>32848</v>
      </c>
      <c r="I15462" t="s">
        <v>7751</v>
      </c>
      <c r="J15462" t="s">
        <v>33794</v>
      </c>
      <c r="K15462" t="s">
        <v>42763</v>
      </c>
      <c r="M15462" t="s">
        <v>47338</v>
      </c>
      <c r="N15462" t="s">
        <v>47424</v>
      </c>
      <c r="O15462" t="s">
        <v>47425</v>
      </c>
      <c r="Q15462">
        <v>5</v>
      </c>
      <c r="R15462" t="s">
        <v>47457</v>
      </c>
      <c r="S15462" t="s">
        <v>48789</v>
      </c>
      <c r="T15462" t="s">
        <v>49106</v>
      </c>
      <c r="U15462" t="s">
        <v>62233</v>
      </c>
      <c r="W15462" t="s">
        <v>47338</v>
      </c>
      <c r="X15462" t="s">
        <v>47459</v>
      </c>
    </row>
    <row r="15463" spans="1:24">
      <c r="A15463">
        <f>HYPERLINK("https://www.philgeps.gov.ph/GEPSNONPILOT/Tender/SplashBidNoticeAbstractUI.aspx?menuIndex=3&amp;refID=7093723&amp;Result=3","7093723")</f>
        <v>0</v>
      </c>
      <c r="B15463" t="s">
        <v>352</v>
      </c>
      <c r="C15463" t="s">
        <v>18547</v>
      </c>
      <c r="D15463" t="s">
        <v>19017</v>
      </c>
      <c r="E15463" t="s">
        <v>32399</v>
      </c>
      <c r="F15463" t="s">
        <v>32831</v>
      </c>
      <c r="G15463" t="s">
        <v>32841</v>
      </c>
      <c r="H15463" t="s">
        <v>32848</v>
      </c>
      <c r="I15463" t="s">
        <v>7751</v>
      </c>
      <c r="J15463" t="s">
        <v>36019</v>
      </c>
      <c r="K15463" t="s">
        <v>42730</v>
      </c>
      <c r="M15463" t="s">
        <v>43871</v>
      </c>
      <c r="N15463" t="s">
        <v>47424</v>
      </c>
      <c r="O15463" t="s">
        <v>47425</v>
      </c>
      <c r="Q15463">
        <v>9</v>
      </c>
      <c r="R15463" t="s">
        <v>47459</v>
      </c>
      <c r="S15463" t="s">
        <v>48790</v>
      </c>
      <c r="T15463" t="s">
        <v>49328</v>
      </c>
      <c r="U15463" t="s">
        <v>62234</v>
      </c>
      <c r="W15463" t="s">
        <v>43871</v>
      </c>
      <c r="X15463" t="s">
        <v>47460</v>
      </c>
    </row>
    <row r="15464" spans="1:24">
      <c r="A15464">
        <f>HYPERLINK("https://www.philgeps.gov.ph/GEPSNONPILOT/Tender/SplashBidNoticeAbstractUI.aspx?menuIndex=3&amp;refID=7079491&amp;Result=3","7079491")</f>
        <v>0</v>
      </c>
      <c r="B15464" t="s">
        <v>3899</v>
      </c>
      <c r="C15464" t="s">
        <v>18548</v>
      </c>
      <c r="D15464" t="s">
        <v>19046</v>
      </c>
      <c r="E15464" t="s">
        <v>32400</v>
      </c>
      <c r="F15464" t="s">
        <v>32831</v>
      </c>
      <c r="G15464" t="s">
        <v>32839</v>
      </c>
      <c r="H15464" t="s">
        <v>32849</v>
      </c>
      <c r="I15464" t="s">
        <v>4177</v>
      </c>
      <c r="J15464" t="s">
        <v>42430</v>
      </c>
      <c r="K15464" t="s">
        <v>43008</v>
      </c>
      <c r="M15464" t="s">
        <v>47370</v>
      </c>
      <c r="N15464" t="s">
        <v>47424</v>
      </c>
      <c r="O15464" t="s">
        <v>47425</v>
      </c>
      <c r="Q15464">
        <v>4</v>
      </c>
      <c r="R15464" t="s">
        <v>47461</v>
      </c>
      <c r="S15464" t="s">
        <v>48791</v>
      </c>
      <c r="T15464" t="s">
        <v>49129</v>
      </c>
      <c r="U15464" t="s">
        <v>62226</v>
      </c>
      <c r="W15464" t="s">
        <v>47370</v>
      </c>
      <c r="X15464" t="s">
        <v>47464</v>
      </c>
    </row>
    <row r="15465" spans="1:24">
      <c r="A15465">
        <f>HYPERLINK("https://www.philgeps.gov.ph/GEPSNONPILOT/Tender/SplashBidNoticeAbstractUI.aspx?menuIndex=3&amp;refID=7082498&amp;Result=3","7082498")</f>
        <v>0</v>
      </c>
      <c r="B15465" t="s">
        <v>2664</v>
      </c>
      <c r="C15465" t="s">
        <v>18549</v>
      </c>
      <c r="E15465" t="s">
        <v>32401</v>
      </c>
      <c r="F15465" t="s">
        <v>32831</v>
      </c>
      <c r="G15465" t="s">
        <v>32838</v>
      </c>
      <c r="H15465" t="s">
        <v>32848</v>
      </c>
      <c r="I15465" t="s">
        <v>32890</v>
      </c>
      <c r="J15465" t="s">
        <v>33041</v>
      </c>
      <c r="K15465" t="s">
        <v>42727</v>
      </c>
      <c r="M15465" t="s">
        <v>45887</v>
      </c>
      <c r="N15465" t="s">
        <v>47424</v>
      </c>
      <c r="O15465" t="s">
        <v>47425</v>
      </c>
      <c r="Q15465">
        <v>0</v>
      </c>
      <c r="R15465" t="s">
        <v>47461</v>
      </c>
      <c r="S15465" t="s">
        <v>47757</v>
      </c>
      <c r="T15465" t="s">
        <v>49073</v>
      </c>
      <c r="U15465" t="s">
        <v>62235</v>
      </c>
      <c r="W15465" t="s">
        <v>45887</v>
      </c>
      <c r="X15465" t="s">
        <v>47465</v>
      </c>
    </row>
    <row r="15466" spans="1:24">
      <c r="A15466">
        <f>HYPERLINK("https://www.philgeps.gov.ph/GEPSNONPILOT/Tender/SplashBidNoticeAbstractUI.aspx?menuIndex=3&amp;refID=7079478&amp;Result=3","7079478")</f>
        <v>0</v>
      </c>
      <c r="B15466" t="s">
        <v>3899</v>
      </c>
      <c r="C15466" t="s">
        <v>18550</v>
      </c>
      <c r="D15466" t="s">
        <v>19046</v>
      </c>
      <c r="E15466" t="s">
        <v>32402</v>
      </c>
      <c r="F15466" t="s">
        <v>32831</v>
      </c>
      <c r="G15466" t="s">
        <v>32839</v>
      </c>
      <c r="H15466" t="s">
        <v>32849</v>
      </c>
      <c r="I15466" t="s">
        <v>4177</v>
      </c>
      <c r="J15466" t="s">
        <v>42434</v>
      </c>
      <c r="K15466" t="s">
        <v>42956</v>
      </c>
      <c r="M15466" t="s">
        <v>47370</v>
      </c>
      <c r="N15466" t="s">
        <v>47424</v>
      </c>
      <c r="O15466" t="s">
        <v>47425</v>
      </c>
      <c r="Q15466">
        <v>2</v>
      </c>
      <c r="R15466" t="s">
        <v>47461</v>
      </c>
      <c r="S15466" t="s">
        <v>48792</v>
      </c>
      <c r="T15466" t="s">
        <v>49129</v>
      </c>
      <c r="U15466" t="s">
        <v>62226</v>
      </c>
      <c r="W15466" t="s">
        <v>47370</v>
      </c>
      <c r="X15466" t="s">
        <v>47464</v>
      </c>
    </row>
    <row r="15467" spans="1:24">
      <c r="A15467">
        <f>HYPERLINK("https://www.philgeps.gov.ph/GEPSNONPILOT/Tender/SplashBidNoticeAbstractUI.aspx?menuIndex=3&amp;refID=7079514&amp;Result=3","7079514")</f>
        <v>0</v>
      </c>
      <c r="B15467" t="s">
        <v>3899</v>
      </c>
      <c r="C15467" t="s">
        <v>18551</v>
      </c>
      <c r="D15467" t="s">
        <v>19046</v>
      </c>
      <c r="E15467" t="s">
        <v>32403</v>
      </c>
      <c r="F15467" t="s">
        <v>32831</v>
      </c>
      <c r="G15467" t="s">
        <v>32839</v>
      </c>
      <c r="H15467" t="s">
        <v>32849</v>
      </c>
      <c r="I15467" t="s">
        <v>4177</v>
      </c>
      <c r="J15467" t="s">
        <v>42435</v>
      </c>
      <c r="K15467" t="s">
        <v>42956</v>
      </c>
      <c r="M15467" t="s">
        <v>47370</v>
      </c>
      <c r="N15467" t="s">
        <v>47424</v>
      </c>
      <c r="O15467" t="s">
        <v>47425</v>
      </c>
      <c r="Q15467">
        <v>4</v>
      </c>
      <c r="R15467" t="s">
        <v>47461</v>
      </c>
      <c r="S15467" t="s">
        <v>48663</v>
      </c>
      <c r="T15467" t="s">
        <v>49129</v>
      </c>
      <c r="U15467" t="s">
        <v>62226</v>
      </c>
      <c r="W15467" t="s">
        <v>47370</v>
      </c>
      <c r="X15467" t="s">
        <v>47464</v>
      </c>
    </row>
    <row r="15468" spans="1:24">
      <c r="A15468">
        <f>HYPERLINK("https://www.philgeps.gov.ph/GEPSNONPILOT/Tender/SplashBidNoticeAbstractUI.aspx?menuIndex=3&amp;refID=7079535&amp;Result=3","7079535")</f>
        <v>0</v>
      </c>
      <c r="B15468" t="s">
        <v>3899</v>
      </c>
      <c r="C15468" t="s">
        <v>18552</v>
      </c>
      <c r="D15468" t="s">
        <v>19046</v>
      </c>
      <c r="E15468" t="s">
        <v>32404</v>
      </c>
      <c r="F15468" t="s">
        <v>32831</v>
      </c>
      <c r="G15468" t="s">
        <v>32839</v>
      </c>
      <c r="H15468" t="s">
        <v>32849</v>
      </c>
      <c r="I15468" t="s">
        <v>4177</v>
      </c>
      <c r="J15468" t="s">
        <v>42436</v>
      </c>
      <c r="K15468" t="s">
        <v>42862</v>
      </c>
      <c r="M15468" t="s">
        <v>47370</v>
      </c>
      <c r="N15468" t="s">
        <v>47424</v>
      </c>
      <c r="O15468" t="s">
        <v>47425</v>
      </c>
      <c r="Q15468">
        <v>6</v>
      </c>
      <c r="R15468" t="s">
        <v>47461</v>
      </c>
      <c r="S15468" t="s">
        <v>48031</v>
      </c>
      <c r="T15468" t="s">
        <v>49129</v>
      </c>
      <c r="U15468" t="s">
        <v>62226</v>
      </c>
      <c r="W15468" t="s">
        <v>47370</v>
      </c>
      <c r="X15468" t="s">
        <v>47464</v>
      </c>
    </row>
    <row r="15469" spans="1:24">
      <c r="A15469">
        <f>HYPERLINK("https://www.philgeps.gov.ph/GEPSNONPILOT/Tender/SplashBidNoticeAbstractUI.aspx?menuIndex=3&amp;refID=7079500&amp;Result=3","7079500")</f>
        <v>0</v>
      </c>
      <c r="B15469" t="s">
        <v>3899</v>
      </c>
      <c r="C15469" t="s">
        <v>18553</v>
      </c>
      <c r="D15469" t="s">
        <v>19046</v>
      </c>
      <c r="E15469" t="s">
        <v>32405</v>
      </c>
      <c r="F15469" t="s">
        <v>32831</v>
      </c>
      <c r="G15469" t="s">
        <v>32839</v>
      </c>
      <c r="H15469" t="s">
        <v>32849</v>
      </c>
      <c r="I15469" t="s">
        <v>4177</v>
      </c>
      <c r="J15469" t="s">
        <v>42437</v>
      </c>
      <c r="K15469" t="s">
        <v>42927</v>
      </c>
      <c r="M15469" t="s">
        <v>47370</v>
      </c>
      <c r="N15469" t="s">
        <v>47424</v>
      </c>
      <c r="O15469" t="s">
        <v>47425</v>
      </c>
      <c r="Q15469">
        <v>1</v>
      </c>
      <c r="R15469" t="s">
        <v>47461</v>
      </c>
      <c r="S15469" t="s">
        <v>48793</v>
      </c>
      <c r="T15469" t="s">
        <v>49129</v>
      </c>
      <c r="U15469" t="s">
        <v>62226</v>
      </c>
      <c r="W15469" t="s">
        <v>47370</v>
      </c>
      <c r="X15469" t="s">
        <v>47464</v>
      </c>
    </row>
    <row r="15470" spans="1:24">
      <c r="A15470">
        <f>HYPERLINK("https://www.philgeps.gov.ph/GEPSNONPILOT/Tender/SplashBidNoticeAbstractUI.aspx?menuIndex=3&amp;refID=7079433&amp;Result=3","7079433")</f>
        <v>0</v>
      </c>
      <c r="B15470" t="s">
        <v>3899</v>
      </c>
      <c r="C15470" t="s">
        <v>18554</v>
      </c>
      <c r="D15470" t="s">
        <v>19046</v>
      </c>
      <c r="E15470" t="s">
        <v>32406</v>
      </c>
      <c r="F15470" t="s">
        <v>32831</v>
      </c>
      <c r="G15470" t="s">
        <v>32839</v>
      </c>
      <c r="H15470" t="s">
        <v>32849</v>
      </c>
      <c r="I15470" t="s">
        <v>4177</v>
      </c>
      <c r="J15470" t="s">
        <v>42438</v>
      </c>
      <c r="K15470" t="s">
        <v>42956</v>
      </c>
      <c r="M15470" t="s">
        <v>47370</v>
      </c>
      <c r="N15470" t="s">
        <v>47424</v>
      </c>
      <c r="O15470" t="s">
        <v>47425</v>
      </c>
      <c r="Q15470">
        <v>2</v>
      </c>
      <c r="R15470" t="s">
        <v>47461</v>
      </c>
      <c r="S15470" t="s">
        <v>47823</v>
      </c>
      <c r="T15470" t="s">
        <v>49129</v>
      </c>
      <c r="U15470" t="s">
        <v>62226</v>
      </c>
      <c r="W15470" t="s">
        <v>47370</v>
      </c>
      <c r="X15470" t="s">
        <v>47464</v>
      </c>
    </row>
    <row r="15471" spans="1:24">
      <c r="A15471">
        <f>HYPERLINK("https://www.philgeps.gov.ph/GEPSNONPILOT/Tender/SplashBidNoticeAbstractUI.aspx?menuIndex=3&amp;refID=7050833&amp;Result=3","7050833")</f>
        <v>0</v>
      </c>
      <c r="B15471" t="s">
        <v>1221</v>
      </c>
      <c r="C15471" t="s">
        <v>18555</v>
      </c>
      <c r="E15471" t="s">
        <v>32407</v>
      </c>
      <c r="F15471" t="s">
        <v>32831</v>
      </c>
      <c r="G15471" t="s">
        <v>32839</v>
      </c>
      <c r="H15471" t="s">
        <v>32848</v>
      </c>
      <c r="I15471" t="s">
        <v>4471</v>
      </c>
      <c r="J15471" t="s">
        <v>33291</v>
      </c>
      <c r="K15471" t="s">
        <v>42732</v>
      </c>
      <c r="M15471" t="s">
        <v>44289</v>
      </c>
      <c r="N15471" t="s">
        <v>47424</v>
      </c>
      <c r="O15471" t="s">
        <v>47425</v>
      </c>
      <c r="Q15471">
        <v>3</v>
      </c>
      <c r="R15471" t="s">
        <v>47461</v>
      </c>
      <c r="S15471" t="s">
        <v>48794</v>
      </c>
      <c r="T15471" t="s">
        <v>49338</v>
      </c>
      <c r="U15471" t="s">
        <v>62236</v>
      </c>
      <c r="V15471" t="s">
        <v>64382</v>
      </c>
      <c r="W15471" t="s">
        <v>44289</v>
      </c>
      <c r="X15471" t="s">
        <v>64580</v>
      </c>
    </row>
    <row r="15472" spans="1:24">
      <c r="A15472">
        <f>HYPERLINK("https://www.philgeps.gov.ph/GEPSNONPILOT/Tender/SplashBidNoticeAbstractUI.aspx?menuIndex=3&amp;refID=7084884&amp;Result=3","7084884")</f>
        <v>0</v>
      </c>
      <c r="B15472" t="s">
        <v>1498</v>
      </c>
      <c r="C15472" t="s">
        <v>18556</v>
      </c>
      <c r="D15472" t="s">
        <v>19017</v>
      </c>
      <c r="E15472" t="s">
        <v>32408</v>
      </c>
      <c r="F15472" t="s">
        <v>32831</v>
      </c>
      <c r="G15472" t="s">
        <v>32842</v>
      </c>
      <c r="H15472" t="s">
        <v>32848</v>
      </c>
      <c r="I15472" t="s">
        <v>9577</v>
      </c>
      <c r="J15472" t="s">
        <v>42439</v>
      </c>
      <c r="K15472" t="s">
        <v>42727</v>
      </c>
      <c r="M15472" t="s">
        <v>45072</v>
      </c>
      <c r="N15472" t="s">
        <v>47424</v>
      </c>
      <c r="O15472" t="s">
        <v>47425</v>
      </c>
      <c r="Q15472">
        <v>7</v>
      </c>
      <c r="R15472" t="s">
        <v>47462</v>
      </c>
      <c r="S15472" t="s">
        <v>48795</v>
      </c>
      <c r="T15472" t="s">
        <v>49056</v>
      </c>
      <c r="U15472" t="s">
        <v>62237</v>
      </c>
      <c r="V15472" t="s">
        <v>64383</v>
      </c>
      <c r="W15472" t="s">
        <v>45072</v>
      </c>
      <c r="X15472" t="s">
        <v>47461</v>
      </c>
    </row>
    <row r="15473" spans="1:24">
      <c r="A15473">
        <f>HYPERLINK("https://www.philgeps.gov.ph/GEPSNONPILOT/Tender/SplashBidNoticeAbstractUI.aspx?menuIndex=3&amp;refID=7079454&amp;Result=3","7079454")</f>
        <v>0</v>
      </c>
      <c r="B15473" t="s">
        <v>3899</v>
      </c>
      <c r="C15473" t="s">
        <v>18557</v>
      </c>
      <c r="D15473" t="s">
        <v>19046</v>
      </c>
      <c r="E15473" t="s">
        <v>32409</v>
      </c>
      <c r="F15473" t="s">
        <v>32831</v>
      </c>
      <c r="G15473" t="s">
        <v>32839</v>
      </c>
      <c r="H15473" t="s">
        <v>32849</v>
      </c>
      <c r="I15473" t="s">
        <v>4177</v>
      </c>
      <c r="J15473" t="s">
        <v>42440</v>
      </c>
      <c r="K15473" t="s">
        <v>42869</v>
      </c>
      <c r="M15473" t="s">
        <v>47370</v>
      </c>
      <c r="N15473" t="s">
        <v>47424</v>
      </c>
      <c r="O15473" t="s">
        <v>47425</v>
      </c>
      <c r="Q15473">
        <v>2</v>
      </c>
      <c r="R15473" t="s">
        <v>47461</v>
      </c>
      <c r="S15473" t="s">
        <v>48244</v>
      </c>
      <c r="T15473" t="s">
        <v>49129</v>
      </c>
      <c r="U15473" t="s">
        <v>62226</v>
      </c>
      <c r="W15473" t="s">
        <v>47370</v>
      </c>
      <c r="X15473" t="s">
        <v>47464</v>
      </c>
    </row>
    <row r="15474" spans="1:24">
      <c r="A15474">
        <f>HYPERLINK("https://www.philgeps.gov.ph/GEPSNONPILOT/Tender/SplashBidNoticeAbstractUI.aspx?menuIndex=3&amp;refID=7084998&amp;Result=3","7084998")</f>
        <v>0</v>
      </c>
      <c r="B15474" t="s">
        <v>1439</v>
      </c>
      <c r="C15474" t="s">
        <v>18558</v>
      </c>
      <c r="D15474" t="s">
        <v>19037</v>
      </c>
      <c r="E15474" t="s">
        <v>32410</v>
      </c>
      <c r="F15474" t="s">
        <v>32831</v>
      </c>
      <c r="G15474" t="s">
        <v>32838</v>
      </c>
      <c r="H15474" t="s">
        <v>32848</v>
      </c>
      <c r="I15474" t="s">
        <v>4558</v>
      </c>
      <c r="J15474" t="s">
        <v>42441</v>
      </c>
      <c r="K15474" t="s">
        <v>42727</v>
      </c>
      <c r="M15474" t="s">
        <v>44529</v>
      </c>
      <c r="N15474" t="s">
        <v>47424</v>
      </c>
      <c r="O15474" t="s">
        <v>47425</v>
      </c>
      <c r="Q15474">
        <v>0</v>
      </c>
      <c r="R15474" t="s">
        <v>47463</v>
      </c>
      <c r="S15474" t="s">
        <v>48796</v>
      </c>
      <c r="T15474" t="s">
        <v>49229</v>
      </c>
      <c r="U15474" t="s">
        <v>62238</v>
      </c>
      <c r="W15474" t="s">
        <v>44529</v>
      </c>
      <c r="X15474" t="s">
        <v>47461</v>
      </c>
    </row>
    <row r="15475" spans="1:24">
      <c r="A15475">
        <f>HYPERLINK("https://www.philgeps.gov.ph/GEPSNONPILOT/Tender/SplashBidNoticeAbstractUI.aspx?menuIndex=3&amp;refID=6794095&amp;Result=3","6794095")</f>
        <v>0</v>
      </c>
      <c r="B15475" t="s">
        <v>3900</v>
      </c>
      <c r="C15475" t="s">
        <v>18559</v>
      </c>
      <c r="D15475" t="s">
        <v>19078</v>
      </c>
      <c r="E15475" t="s">
        <v>32411</v>
      </c>
      <c r="F15475" t="s">
        <v>32831</v>
      </c>
      <c r="G15475" t="s">
        <v>32839</v>
      </c>
      <c r="H15475" t="s">
        <v>32849</v>
      </c>
      <c r="I15475" t="s">
        <v>4177</v>
      </c>
      <c r="J15475" t="s">
        <v>35952</v>
      </c>
      <c r="K15475" t="s">
        <v>42761</v>
      </c>
      <c r="M15475" t="s">
        <v>47372</v>
      </c>
      <c r="N15475" t="s">
        <v>47424</v>
      </c>
      <c r="O15475" t="s">
        <v>47425</v>
      </c>
      <c r="Q15475">
        <v>12</v>
      </c>
      <c r="R15475" t="s">
        <v>47463</v>
      </c>
      <c r="S15475" t="s">
        <v>48797</v>
      </c>
      <c r="T15475" t="s">
        <v>49073</v>
      </c>
      <c r="U15475" t="s">
        <v>62239</v>
      </c>
      <c r="V15475" t="s">
        <v>64384</v>
      </c>
      <c r="W15475" t="s">
        <v>47372</v>
      </c>
      <c r="X15475" t="s">
        <v>64581</v>
      </c>
    </row>
    <row r="15476" spans="1:24">
      <c r="A15476">
        <f>HYPERLINK("https://www.philgeps.gov.ph/GEPSNONPILOT/Tender/SplashBidNoticeAbstractUI.aspx?menuIndex=3&amp;refID=7090311&amp;Result=3","7090311")</f>
        <v>0</v>
      </c>
      <c r="B15476" t="s">
        <v>1439</v>
      </c>
      <c r="C15476" t="s">
        <v>18558</v>
      </c>
      <c r="D15476" t="s">
        <v>19046</v>
      </c>
      <c r="E15476" t="s">
        <v>32412</v>
      </c>
      <c r="F15476" t="s">
        <v>32831</v>
      </c>
      <c r="G15476" t="s">
        <v>32838</v>
      </c>
      <c r="H15476" t="s">
        <v>32848</v>
      </c>
      <c r="I15476" t="s">
        <v>4558</v>
      </c>
      <c r="J15476" t="s">
        <v>36227</v>
      </c>
      <c r="K15476" t="s">
        <v>42747</v>
      </c>
      <c r="M15476" t="s">
        <v>44529</v>
      </c>
      <c r="N15476" t="s">
        <v>47424</v>
      </c>
      <c r="O15476" t="s">
        <v>47425</v>
      </c>
      <c r="Q15476">
        <v>2</v>
      </c>
      <c r="R15476" t="s">
        <v>47460</v>
      </c>
      <c r="S15476" t="s">
        <v>48798</v>
      </c>
      <c r="T15476" t="s">
        <v>49229</v>
      </c>
      <c r="U15476" t="s">
        <v>62240</v>
      </c>
      <c r="W15476" t="s">
        <v>44529</v>
      </c>
      <c r="X15476" t="s">
        <v>47463</v>
      </c>
    </row>
    <row r="15477" spans="1:24">
      <c r="A15477">
        <f>HYPERLINK("https://www.philgeps.gov.ph/GEPSNONPILOT/Tender/SplashBidNoticeAbstractUI.aspx?menuIndex=3&amp;refID=7090510&amp;Result=3","7090510")</f>
        <v>0</v>
      </c>
      <c r="B15477" t="s">
        <v>689</v>
      </c>
      <c r="C15477" t="s">
        <v>18560</v>
      </c>
      <c r="E15477" t="s">
        <v>32413</v>
      </c>
      <c r="F15477" t="s">
        <v>32831</v>
      </c>
      <c r="G15477" t="s">
        <v>32839</v>
      </c>
      <c r="H15477" t="s">
        <v>32848</v>
      </c>
      <c r="I15477" t="s">
        <v>4487</v>
      </c>
      <c r="J15477" t="s">
        <v>42442</v>
      </c>
      <c r="K15477" t="s">
        <v>42732</v>
      </c>
      <c r="M15477" t="s">
        <v>45151</v>
      </c>
      <c r="N15477" t="s">
        <v>47424</v>
      </c>
      <c r="O15477" t="s">
        <v>47425</v>
      </c>
      <c r="Q15477">
        <v>10</v>
      </c>
      <c r="R15477" t="s">
        <v>47460</v>
      </c>
      <c r="S15477" t="s">
        <v>48799</v>
      </c>
      <c r="T15477" t="s">
        <v>49129</v>
      </c>
      <c r="U15477" t="s">
        <v>62241</v>
      </c>
      <c r="V15477" t="s">
        <v>64385</v>
      </c>
      <c r="W15477" t="s">
        <v>45151</v>
      </c>
      <c r="X15477" t="s">
        <v>47463</v>
      </c>
    </row>
    <row r="15478" spans="1:24">
      <c r="A15478">
        <f>HYPERLINK("https://www.philgeps.gov.ph/GEPSNONPILOT/Tender/SplashBidNoticeAbstractUI.aspx?menuIndex=3&amp;refID=7079321&amp;Result=3","7079321")</f>
        <v>0</v>
      </c>
      <c r="B15478" t="s">
        <v>3899</v>
      </c>
      <c r="C15478" t="s">
        <v>18561</v>
      </c>
      <c r="D15478" t="s">
        <v>19046</v>
      </c>
      <c r="E15478" t="s">
        <v>32414</v>
      </c>
      <c r="F15478" t="s">
        <v>32831</v>
      </c>
      <c r="G15478" t="s">
        <v>32839</v>
      </c>
      <c r="H15478" t="s">
        <v>32849</v>
      </c>
      <c r="I15478" t="s">
        <v>4177</v>
      </c>
      <c r="J15478" t="s">
        <v>42443</v>
      </c>
      <c r="K15478" t="s">
        <v>42869</v>
      </c>
      <c r="M15478" t="s">
        <v>47370</v>
      </c>
      <c r="N15478" t="s">
        <v>47424</v>
      </c>
      <c r="O15478" t="s">
        <v>47425</v>
      </c>
      <c r="Q15478">
        <v>4</v>
      </c>
      <c r="R15478" t="s">
        <v>47461</v>
      </c>
      <c r="S15478" t="s">
        <v>48800</v>
      </c>
      <c r="T15478" t="s">
        <v>49129</v>
      </c>
      <c r="U15478" t="s">
        <v>62226</v>
      </c>
      <c r="W15478" t="s">
        <v>47370</v>
      </c>
      <c r="X15478" t="s">
        <v>47464</v>
      </c>
    </row>
    <row r="15479" spans="1:24">
      <c r="A15479">
        <f>HYPERLINK("https://www.philgeps.gov.ph/GEPSNONPILOT/Tender/SplashBidNoticeAbstractUI.aspx?menuIndex=3&amp;refID=7092444&amp;Result=3","7092444")</f>
        <v>0</v>
      </c>
      <c r="B15479" t="s">
        <v>832</v>
      </c>
      <c r="C15479" t="s">
        <v>18562</v>
      </c>
      <c r="D15479" t="s">
        <v>19017</v>
      </c>
      <c r="E15479" t="s">
        <v>32415</v>
      </c>
      <c r="F15479" t="s">
        <v>32831</v>
      </c>
      <c r="G15479" t="s">
        <v>32842</v>
      </c>
      <c r="H15479" t="s">
        <v>32848</v>
      </c>
      <c r="I15479" t="s">
        <v>4776</v>
      </c>
      <c r="J15479" t="s">
        <v>33978</v>
      </c>
      <c r="K15479" t="s">
        <v>42745</v>
      </c>
      <c r="M15479" t="s">
        <v>43864</v>
      </c>
      <c r="N15479" t="s">
        <v>47424</v>
      </c>
      <c r="O15479" t="s">
        <v>47425</v>
      </c>
      <c r="Q15479">
        <v>11</v>
      </c>
      <c r="R15479" t="s">
        <v>47459</v>
      </c>
      <c r="S15479" t="s">
        <v>48801</v>
      </c>
      <c r="T15479" t="s">
        <v>49162</v>
      </c>
      <c r="U15479" t="s">
        <v>51215</v>
      </c>
      <c r="V15479" t="s">
        <v>64377</v>
      </c>
      <c r="W15479" t="s">
        <v>43864</v>
      </c>
      <c r="X15479" t="s">
        <v>47460</v>
      </c>
    </row>
    <row r="15480" spans="1:24">
      <c r="A15480">
        <f>HYPERLINK("https://www.philgeps.gov.ph/GEPSNONPILOT/Tender/SplashBidNoticeAbstractUI.aspx?menuIndex=3&amp;refID=7079343&amp;Result=3","7079343")</f>
        <v>0</v>
      </c>
      <c r="B15480" t="s">
        <v>3899</v>
      </c>
      <c r="C15480" t="s">
        <v>18563</v>
      </c>
      <c r="D15480" t="s">
        <v>19046</v>
      </c>
      <c r="E15480" t="s">
        <v>32416</v>
      </c>
      <c r="F15480" t="s">
        <v>32831</v>
      </c>
      <c r="G15480" t="s">
        <v>32839</v>
      </c>
      <c r="H15480" t="s">
        <v>32849</v>
      </c>
      <c r="I15480" t="s">
        <v>4177</v>
      </c>
      <c r="J15480" t="s">
        <v>42444</v>
      </c>
      <c r="K15480" t="s">
        <v>42770</v>
      </c>
      <c r="M15480" t="s">
        <v>47370</v>
      </c>
      <c r="N15480" t="s">
        <v>47424</v>
      </c>
      <c r="O15480" t="s">
        <v>47425</v>
      </c>
      <c r="Q15480">
        <v>4</v>
      </c>
      <c r="R15480" t="s">
        <v>47461</v>
      </c>
      <c r="S15480" t="s">
        <v>48802</v>
      </c>
      <c r="T15480" t="s">
        <v>49129</v>
      </c>
      <c r="U15480" t="s">
        <v>62226</v>
      </c>
      <c r="W15480" t="s">
        <v>47370</v>
      </c>
      <c r="X15480" t="s">
        <v>47464</v>
      </c>
    </row>
    <row r="15481" spans="1:24">
      <c r="A15481">
        <f>HYPERLINK("https://www.philgeps.gov.ph/GEPSNONPILOT/Tender/SplashBidNoticeAbstractUI.aspx?menuIndex=3&amp;refID=7094745&amp;Result=3","7094745")</f>
        <v>0</v>
      </c>
      <c r="B15481" t="s">
        <v>823</v>
      </c>
      <c r="C15481" t="s">
        <v>18564</v>
      </c>
      <c r="D15481" t="s">
        <v>19062</v>
      </c>
      <c r="E15481" t="s">
        <v>32417</v>
      </c>
      <c r="F15481" t="s">
        <v>32834</v>
      </c>
      <c r="G15481" t="s">
        <v>32845</v>
      </c>
      <c r="H15481" t="s">
        <v>32848</v>
      </c>
      <c r="I15481" t="s">
        <v>7751</v>
      </c>
      <c r="J15481" t="s">
        <v>42445</v>
      </c>
      <c r="K15481" t="s">
        <v>42763</v>
      </c>
      <c r="M15481" t="s">
        <v>46629</v>
      </c>
      <c r="N15481" t="s">
        <v>47424</v>
      </c>
      <c r="O15481" t="s">
        <v>47425</v>
      </c>
      <c r="P15481">
        <v>0</v>
      </c>
      <c r="Q15481">
        <v>9</v>
      </c>
      <c r="R15481" t="s">
        <v>47457</v>
      </c>
      <c r="S15481" t="s">
        <v>48765</v>
      </c>
      <c r="T15481" t="s">
        <v>49237</v>
      </c>
      <c r="U15481" t="s">
        <v>60686</v>
      </c>
      <c r="W15481" t="s">
        <v>46629</v>
      </c>
      <c r="X15481" t="s">
        <v>47459</v>
      </c>
    </row>
    <row r="15482" spans="1:24">
      <c r="A15482">
        <f>HYPERLINK("https://www.philgeps.gov.ph/GEPSNONPILOT/Tender/SplashBidNoticeAbstractUI.aspx?menuIndex=3&amp;refID=7096516&amp;Result=3","7096516")</f>
        <v>0</v>
      </c>
      <c r="B15482" t="s">
        <v>3894</v>
      </c>
      <c r="C15482" t="s">
        <v>18565</v>
      </c>
      <c r="E15482" t="s">
        <v>32418</v>
      </c>
      <c r="F15482" t="s">
        <v>32831</v>
      </c>
      <c r="G15482" t="s">
        <v>32839</v>
      </c>
      <c r="H15482" t="s">
        <v>32848</v>
      </c>
      <c r="I15482" t="s">
        <v>32859</v>
      </c>
      <c r="J15482" t="s">
        <v>33016</v>
      </c>
      <c r="K15482" t="s">
        <v>42730</v>
      </c>
      <c r="M15482" t="s">
        <v>47361</v>
      </c>
      <c r="N15482" t="s">
        <v>47424</v>
      </c>
      <c r="O15482" t="s">
        <v>47425</v>
      </c>
      <c r="Q15482">
        <v>2</v>
      </c>
      <c r="R15482" t="s">
        <v>47458</v>
      </c>
      <c r="S15482" t="s">
        <v>48803</v>
      </c>
      <c r="T15482" t="s">
        <v>49105</v>
      </c>
      <c r="U15482" t="s">
        <v>62242</v>
      </c>
      <c r="W15482" t="s">
        <v>47361</v>
      </c>
      <c r="X15482" t="s">
        <v>47459</v>
      </c>
    </row>
    <row r="15483" spans="1:24">
      <c r="A15483">
        <f>HYPERLINK("https://www.philgeps.gov.ph/GEPSNONPILOT/Tender/SplashBidNoticeAbstractUI.aspx?menuIndex=3&amp;refID=7096115&amp;Result=3","7096115")</f>
        <v>0</v>
      </c>
      <c r="B15483" t="s">
        <v>3894</v>
      </c>
      <c r="C15483" t="s">
        <v>18566</v>
      </c>
      <c r="E15483" t="s">
        <v>32419</v>
      </c>
      <c r="F15483" t="s">
        <v>32831</v>
      </c>
      <c r="G15483" t="s">
        <v>32839</v>
      </c>
      <c r="H15483" t="s">
        <v>32848</v>
      </c>
      <c r="I15483" t="s">
        <v>32878</v>
      </c>
      <c r="J15483" t="s">
        <v>33083</v>
      </c>
      <c r="K15483" t="s">
        <v>42730</v>
      </c>
      <c r="M15483" t="s">
        <v>47361</v>
      </c>
      <c r="N15483" t="s">
        <v>47424</v>
      </c>
      <c r="O15483" t="s">
        <v>47425</v>
      </c>
      <c r="Q15483">
        <v>8</v>
      </c>
      <c r="R15483" t="s">
        <v>47458</v>
      </c>
      <c r="S15483" t="s">
        <v>48804</v>
      </c>
      <c r="T15483" t="s">
        <v>49105</v>
      </c>
      <c r="U15483" t="s">
        <v>62243</v>
      </c>
      <c r="W15483" t="s">
        <v>47361</v>
      </c>
      <c r="X15483" t="s">
        <v>47459</v>
      </c>
    </row>
    <row r="15484" spans="1:24">
      <c r="A15484">
        <f>HYPERLINK("https://www.philgeps.gov.ph/GEPSNONPILOT/Tender/SplashBidNoticeAbstractUI.aspx?menuIndex=3&amp;refID=7095638&amp;Result=3","7095638")</f>
        <v>0</v>
      </c>
      <c r="B15484" t="s">
        <v>886</v>
      </c>
      <c r="C15484" t="s">
        <v>18567</v>
      </c>
      <c r="D15484" t="s">
        <v>19017</v>
      </c>
      <c r="E15484" t="s">
        <v>32420</v>
      </c>
      <c r="F15484" t="s">
        <v>32831</v>
      </c>
      <c r="G15484" t="s">
        <v>32839</v>
      </c>
      <c r="H15484" t="s">
        <v>32848</v>
      </c>
      <c r="I15484" t="s">
        <v>32861</v>
      </c>
      <c r="J15484" t="s">
        <v>33044</v>
      </c>
      <c r="K15484" t="s">
        <v>42732</v>
      </c>
      <c r="M15484" t="s">
        <v>47373</v>
      </c>
      <c r="N15484" t="s">
        <v>47424</v>
      </c>
      <c r="O15484" t="s">
        <v>47425</v>
      </c>
      <c r="Q15484">
        <v>16</v>
      </c>
      <c r="R15484" t="s">
        <v>47458</v>
      </c>
      <c r="S15484" t="s">
        <v>48805</v>
      </c>
      <c r="T15484" t="s">
        <v>49172</v>
      </c>
      <c r="U15484" t="s">
        <v>62244</v>
      </c>
      <c r="W15484" t="s">
        <v>47373</v>
      </c>
      <c r="X15484" t="s">
        <v>47459</v>
      </c>
    </row>
    <row r="15485" spans="1:24">
      <c r="A15485">
        <f>HYPERLINK("https://www.philgeps.gov.ph/GEPSNONPILOT/Tender/SplashBidNoticeAbstractUI.aspx?menuIndex=3&amp;refID=7094680&amp;Result=3","7094680")</f>
        <v>0</v>
      </c>
      <c r="B15485" t="s">
        <v>823</v>
      </c>
      <c r="C15485" t="s">
        <v>18568</v>
      </c>
      <c r="D15485" t="s">
        <v>19062</v>
      </c>
      <c r="E15485" t="s">
        <v>32417</v>
      </c>
      <c r="F15485" t="s">
        <v>32834</v>
      </c>
      <c r="G15485" t="s">
        <v>32845</v>
      </c>
      <c r="H15485" t="s">
        <v>32849</v>
      </c>
      <c r="I15485" t="s">
        <v>4177</v>
      </c>
      <c r="J15485" t="s">
        <v>36123</v>
      </c>
      <c r="K15485" t="s">
        <v>42780</v>
      </c>
      <c r="M15485" t="s">
        <v>46629</v>
      </c>
      <c r="N15485" t="s">
        <v>47424</v>
      </c>
      <c r="O15485" t="s">
        <v>47425</v>
      </c>
      <c r="P15485">
        <v>0</v>
      </c>
      <c r="Q15485">
        <v>2</v>
      </c>
      <c r="R15485" t="s">
        <v>47457</v>
      </c>
      <c r="S15485" t="s">
        <v>48765</v>
      </c>
      <c r="T15485" t="s">
        <v>49237</v>
      </c>
      <c r="U15485" t="s">
        <v>60686</v>
      </c>
      <c r="W15485" t="s">
        <v>46629</v>
      </c>
      <c r="X15485" t="s">
        <v>47459</v>
      </c>
    </row>
    <row r="15486" spans="1:24">
      <c r="A15486">
        <f>HYPERLINK("https://www.philgeps.gov.ph/GEPSNONPILOT/Tender/SplashBidNoticeAbstractUI.aspx?menuIndex=3&amp;refID=7095618&amp;Result=3","7095618")</f>
        <v>0</v>
      </c>
      <c r="B15486" t="s">
        <v>3477</v>
      </c>
      <c r="C15486" t="s">
        <v>18569</v>
      </c>
      <c r="D15486" t="s">
        <v>19017</v>
      </c>
      <c r="E15486" t="s">
        <v>32421</v>
      </c>
      <c r="F15486" t="s">
        <v>32831</v>
      </c>
      <c r="G15486" t="s">
        <v>32839</v>
      </c>
      <c r="H15486" t="s">
        <v>32848</v>
      </c>
      <c r="I15486" t="s">
        <v>32876</v>
      </c>
      <c r="J15486" t="s">
        <v>42446</v>
      </c>
      <c r="K15486" t="s">
        <v>42732</v>
      </c>
      <c r="M15486" t="s">
        <v>47371</v>
      </c>
      <c r="N15486" t="s">
        <v>47424</v>
      </c>
      <c r="O15486" t="s">
        <v>47425</v>
      </c>
      <c r="Q15486">
        <v>17</v>
      </c>
      <c r="R15486" t="s">
        <v>47458</v>
      </c>
      <c r="S15486" t="s">
        <v>48806</v>
      </c>
      <c r="T15486" t="s">
        <v>49077</v>
      </c>
      <c r="U15486" t="s">
        <v>62245</v>
      </c>
      <c r="W15486" t="s">
        <v>47371</v>
      </c>
      <c r="X15486" t="s">
        <v>47459</v>
      </c>
    </row>
    <row r="15487" spans="1:24">
      <c r="A15487">
        <f>HYPERLINK("https://www.philgeps.gov.ph/GEPSNONPILOT/Tender/SplashBidNoticeAbstractUI.aspx?menuIndex=3&amp;refID=7095482&amp;Result=3","7095482")</f>
        <v>0</v>
      </c>
      <c r="B15487" t="s">
        <v>3477</v>
      </c>
      <c r="C15487" t="s">
        <v>18570</v>
      </c>
      <c r="D15487" t="s">
        <v>19017</v>
      </c>
      <c r="E15487" t="s">
        <v>32422</v>
      </c>
      <c r="F15487" t="s">
        <v>32831</v>
      </c>
      <c r="G15487" t="s">
        <v>32839</v>
      </c>
      <c r="H15487" t="s">
        <v>32848</v>
      </c>
      <c r="I15487" t="s">
        <v>4487</v>
      </c>
      <c r="J15487" t="s">
        <v>42447</v>
      </c>
      <c r="K15487" t="s">
        <v>42732</v>
      </c>
      <c r="M15487" t="s">
        <v>47371</v>
      </c>
      <c r="N15487" t="s">
        <v>47424</v>
      </c>
      <c r="O15487" t="s">
        <v>47425</v>
      </c>
      <c r="Q15487">
        <v>24</v>
      </c>
      <c r="R15487" t="s">
        <v>47458</v>
      </c>
      <c r="S15487" t="s">
        <v>48807</v>
      </c>
      <c r="T15487" t="s">
        <v>49077</v>
      </c>
      <c r="U15487" t="s">
        <v>62246</v>
      </c>
      <c r="W15487" t="s">
        <v>47371</v>
      </c>
      <c r="X15487" t="s">
        <v>47459</v>
      </c>
    </row>
    <row r="15488" spans="1:24">
      <c r="A15488">
        <f>HYPERLINK("https://www.philgeps.gov.ph/GEPSNONPILOT/Tender/SplashBidNoticeAbstractUI.aspx?menuIndex=3&amp;refID=7090063&amp;Result=3","7090063")</f>
        <v>0</v>
      </c>
      <c r="B15488" t="s">
        <v>3901</v>
      </c>
      <c r="C15488" t="s">
        <v>18571</v>
      </c>
      <c r="D15488" t="s">
        <v>19047</v>
      </c>
      <c r="E15488" t="s">
        <v>32423</v>
      </c>
      <c r="F15488" t="s">
        <v>32831</v>
      </c>
      <c r="G15488" t="s">
        <v>32839</v>
      </c>
      <c r="H15488" t="s">
        <v>32848</v>
      </c>
      <c r="I15488" t="s">
        <v>4558</v>
      </c>
      <c r="J15488" t="s">
        <v>42448</v>
      </c>
      <c r="K15488" t="s">
        <v>42732</v>
      </c>
      <c r="M15488" t="s">
        <v>47374</v>
      </c>
      <c r="N15488" t="s">
        <v>47424</v>
      </c>
      <c r="O15488" t="s">
        <v>47425</v>
      </c>
      <c r="Q15488">
        <v>11</v>
      </c>
      <c r="R15488" t="s">
        <v>47460</v>
      </c>
      <c r="S15488" t="s">
        <v>48808</v>
      </c>
      <c r="T15488" t="s">
        <v>49441</v>
      </c>
      <c r="U15488" t="s">
        <v>62247</v>
      </c>
      <c r="W15488" t="s">
        <v>47374</v>
      </c>
      <c r="X15488" t="s">
        <v>47463</v>
      </c>
    </row>
    <row r="15489" spans="1:24">
      <c r="A15489">
        <f>HYPERLINK("https://www.philgeps.gov.ph/GEPSNONPILOT/Tender/SplashBidNoticeAbstractUI.aspx?menuIndex=3&amp;refID=7089694&amp;Result=3","7089694")</f>
        <v>0</v>
      </c>
      <c r="B15489" t="s">
        <v>3894</v>
      </c>
      <c r="C15489" t="s">
        <v>18572</v>
      </c>
      <c r="E15489" t="s">
        <v>32424</v>
      </c>
      <c r="F15489" t="s">
        <v>32831</v>
      </c>
      <c r="G15489" t="s">
        <v>32839</v>
      </c>
      <c r="H15489" t="s">
        <v>32848</v>
      </c>
      <c r="I15489" t="s">
        <v>32875</v>
      </c>
      <c r="J15489" t="s">
        <v>42449</v>
      </c>
      <c r="K15489" t="s">
        <v>42730</v>
      </c>
      <c r="M15489" t="s">
        <v>47361</v>
      </c>
      <c r="N15489" t="s">
        <v>47424</v>
      </c>
      <c r="O15489" t="s">
        <v>47425</v>
      </c>
      <c r="Q15489">
        <v>4</v>
      </c>
      <c r="R15489" t="s">
        <v>47458</v>
      </c>
      <c r="S15489" t="s">
        <v>48809</v>
      </c>
      <c r="T15489" t="s">
        <v>49105</v>
      </c>
      <c r="U15489" t="s">
        <v>62248</v>
      </c>
      <c r="W15489" t="s">
        <v>47361</v>
      </c>
      <c r="X15489" t="s">
        <v>47463</v>
      </c>
    </row>
    <row r="15490" spans="1:24">
      <c r="A15490">
        <f>HYPERLINK("https://www.philgeps.gov.ph/GEPSNONPILOT/Tender/SplashBidNoticeAbstractUI.aspx?menuIndex=3&amp;refID=7089668&amp;Result=3","7089668")</f>
        <v>0</v>
      </c>
      <c r="B15490" t="s">
        <v>3894</v>
      </c>
      <c r="C15490" t="s">
        <v>18573</v>
      </c>
      <c r="E15490" t="s">
        <v>32425</v>
      </c>
      <c r="F15490" t="s">
        <v>32831</v>
      </c>
      <c r="G15490" t="s">
        <v>32839</v>
      </c>
      <c r="H15490" t="s">
        <v>32848</v>
      </c>
      <c r="I15490" t="s">
        <v>32875</v>
      </c>
      <c r="J15490" t="s">
        <v>42450</v>
      </c>
      <c r="K15490" t="s">
        <v>42730</v>
      </c>
      <c r="M15490" t="s">
        <v>47361</v>
      </c>
      <c r="N15490" t="s">
        <v>47424</v>
      </c>
      <c r="O15490" t="s">
        <v>47425</v>
      </c>
      <c r="Q15490">
        <v>4</v>
      </c>
      <c r="R15490" t="s">
        <v>47458</v>
      </c>
      <c r="S15490" t="s">
        <v>48810</v>
      </c>
      <c r="T15490" t="s">
        <v>49105</v>
      </c>
      <c r="U15490" t="s">
        <v>62249</v>
      </c>
      <c r="W15490" t="s">
        <v>47361</v>
      </c>
      <c r="X15490" t="s">
        <v>47463</v>
      </c>
    </row>
    <row r="15491" spans="1:24">
      <c r="A15491">
        <f>HYPERLINK("https://www.philgeps.gov.ph/GEPSNONPILOT/Tender/SplashBidNoticeAbstractUI.aspx?menuIndex=3&amp;refID=7077606&amp;Result=3","7077606")</f>
        <v>0</v>
      </c>
      <c r="B15491" t="s">
        <v>3902</v>
      </c>
      <c r="C15491" t="s">
        <v>18574</v>
      </c>
      <c r="D15491" t="s">
        <v>19017</v>
      </c>
      <c r="E15491" t="s">
        <v>32426</v>
      </c>
      <c r="F15491" t="s">
        <v>32831</v>
      </c>
      <c r="G15491" t="s">
        <v>32839</v>
      </c>
      <c r="H15491" t="s">
        <v>32848</v>
      </c>
      <c r="I15491" t="s">
        <v>4487</v>
      </c>
      <c r="J15491" t="s">
        <v>33257</v>
      </c>
      <c r="K15491" t="s">
        <v>42730</v>
      </c>
      <c r="M15491" t="s">
        <v>47375</v>
      </c>
      <c r="N15491" t="s">
        <v>47424</v>
      </c>
      <c r="O15491" t="s">
        <v>47425</v>
      </c>
      <c r="Q15491">
        <v>17</v>
      </c>
      <c r="R15491" t="s">
        <v>47464</v>
      </c>
      <c r="S15491" t="s">
        <v>48811</v>
      </c>
      <c r="T15491" t="s">
        <v>49214</v>
      </c>
      <c r="U15491" t="s">
        <v>62250</v>
      </c>
      <c r="W15491" t="s">
        <v>47375</v>
      </c>
      <c r="X15491" t="s">
        <v>47466</v>
      </c>
    </row>
    <row r="15492" spans="1:24">
      <c r="A15492">
        <f>HYPERLINK("https://www.philgeps.gov.ph/GEPSNONPILOT/Tender/SplashBidNoticeAbstractUI.aspx?menuIndex=3&amp;refID=7094793&amp;Result=3","7094793")</f>
        <v>0</v>
      </c>
      <c r="B15492" t="s">
        <v>823</v>
      </c>
      <c r="C15492" t="s">
        <v>18575</v>
      </c>
      <c r="D15492" t="s">
        <v>19062</v>
      </c>
      <c r="E15492" t="s">
        <v>32417</v>
      </c>
      <c r="F15492" t="s">
        <v>32834</v>
      </c>
      <c r="G15492" t="s">
        <v>32845</v>
      </c>
      <c r="H15492" t="s">
        <v>32848</v>
      </c>
      <c r="I15492" t="s">
        <v>32883</v>
      </c>
      <c r="J15492" t="s">
        <v>42451</v>
      </c>
      <c r="K15492" t="s">
        <v>42763</v>
      </c>
      <c r="M15492" t="s">
        <v>46629</v>
      </c>
      <c r="N15492" t="s">
        <v>47424</v>
      </c>
      <c r="O15492" t="s">
        <v>47425</v>
      </c>
      <c r="P15492">
        <v>0</v>
      </c>
      <c r="Q15492">
        <v>19</v>
      </c>
      <c r="R15492" t="s">
        <v>47457</v>
      </c>
      <c r="S15492" t="s">
        <v>48765</v>
      </c>
      <c r="T15492" t="s">
        <v>49237</v>
      </c>
      <c r="U15492" t="s">
        <v>60686</v>
      </c>
      <c r="W15492" t="s">
        <v>46629</v>
      </c>
      <c r="X15492" t="s">
        <v>47459</v>
      </c>
    </row>
    <row r="15493" spans="1:24">
      <c r="A15493">
        <f>HYPERLINK("https://www.philgeps.gov.ph/GEPSNONPILOT/Tender/SplashBidNoticeAbstractUI.aspx?menuIndex=3&amp;refID=7077469&amp;Result=3","7077469")</f>
        <v>0</v>
      </c>
      <c r="B15493" t="s">
        <v>3902</v>
      </c>
      <c r="C15493" t="s">
        <v>18576</v>
      </c>
      <c r="D15493" t="s">
        <v>19017</v>
      </c>
      <c r="E15493" t="s">
        <v>32427</v>
      </c>
      <c r="F15493" t="s">
        <v>32831</v>
      </c>
      <c r="G15493" t="s">
        <v>32839</v>
      </c>
      <c r="H15493" t="s">
        <v>32848</v>
      </c>
      <c r="I15493" t="s">
        <v>10805</v>
      </c>
      <c r="J15493" t="s">
        <v>42452</v>
      </c>
      <c r="K15493" t="s">
        <v>42747</v>
      </c>
      <c r="M15493" t="s">
        <v>47375</v>
      </c>
      <c r="N15493" t="s">
        <v>47424</v>
      </c>
      <c r="O15493" t="s">
        <v>47425</v>
      </c>
      <c r="Q15493">
        <v>23</v>
      </c>
      <c r="R15493" t="s">
        <v>47464</v>
      </c>
      <c r="S15493" t="s">
        <v>47575</v>
      </c>
      <c r="T15493" t="s">
        <v>49214</v>
      </c>
      <c r="U15493" t="s">
        <v>62251</v>
      </c>
      <c r="W15493" t="s">
        <v>47375</v>
      </c>
      <c r="X15493" t="s">
        <v>47466</v>
      </c>
    </row>
    <row r="15494" spans="1:24">
      <c r="A15494">
        <f>HYPERLINK("https://www.philgeps.gov.ph/GEPSNONPILOT/Tender/SplashBidNoticeAbstractUI.aspx?menuIndex=3&amp;refID=7076091&amp;Result=3","7076091")</f>
        <v>0</v>
      </c>
      <c r="B15494" t="s">
        <v>3147</v>
      </c>
      <c r="C15494" t="s">
        <v>18577</v>
      </c>
      <c r="D15494" t="s">
        <v>19026</v>
      </c>
      <c r="E15494" t="s">
        <v>32428</v>
      </c>
      <c r="F15494" t="s">
        <v>32831</v>
      </c>
      <c r="G15494" t="s">
        <v>32839</v>
      </c>
      <c r="H15494" t="s">
        <v>32849</v>
      </c>
      <c r="I15494" t="s">
        <v>4177</v>
      </c>
      <c r="J15494" t="s">
        <v>42453</v>
      </c>
      <c r="K15494" t="s">
        <v>42919</v>
      </c>
      <c r="M15494" t="s">
        <v>46447</v>
      </c>
      <c r="N15494" t="s">
        <v>47424</v>
      </c>
      <c r="O15494" t="s">
        <v>47425</v>
      </c>
      <c r="Q15494">
        <v>25</v>
      </c>
      <c r="R15494" t="s">
        <v>47464</v>
      </c>
      <c r="S15494" t="s">
        <v>48812</v>
      </c>
      <c r="T15494" t="s">
        <v>49196</v>
      </c>
      <c r="U15494" t="s">
        <v>62252</v>
      </c>
      <c r="V15494" t="s">
        <v>63017</v>
      </c>
      <c r="W15494" t="s">
        <v>46447</v>
      </c>
      <c r="X15494" t="s">
        <v>47466</v>
      </c>
    </row>
    <row r="15495" spans="1:24">
      <c r="A15495">
        <f>HYPERLINK("https://www.philgeps.gov.ph/GEPSNONPILOT/Tender/SplashBidNoticeAbstractUI.aspx?menuIndex=3&amp;refID=7090288&amp;Result=3","7090288")</f>
        <v>0</v>
      </c>
      <c r="B15495" t="s">
        <v>3894</v>
      </c>
      <c r="C15495" t="s">
        <v>18578</v>
      </c>
      <c r="E15495" t="s">
        <v>32429</v>
      </c>
      <c r="F15495" t="s">
        <v>32831</v>
      </c>
      <c r="G15495" t="s">
        <v>32839</v>
      </c>
      <c r="H15495" t="s">
        <v>32848</v>
      </c>
      <c r="I15495" t="s">
        <v>32859</v>
      </c>
      <c r="J15495" t="s">
        <v>42454</v>
      </c>
      <c r="K15495" t="s">
        <v>42730</v>
      </c>
      <c r="M15495" t="s">
        <v>47361</v>
      </c>
      <c r="N15495" t="s">
        <v>47424</v>
      </c>
      <c r="O15495" t="s">
        <v>47425</v>
      </c>
      <c r="Q15495">
        <v>6</v>
      </c>
      <c r="R15495" t="s">
        <v>47458</v>
      </c>
      <c r="S15495" t="s">
        <v>48813</v>
      </c>
      <c r="T15495" t="s">
        <v>49105</v>
      </c>
      <c r="U15495" t="s">
        <v>62253</v>
      </c>
      <c r="W15495" t="s">
        <v>47361</v>
      </c>
      <c r="X15495" t="s">
        <v>47463</v>
      </c>
    </row>
    <row r="15496" spans="1:24">
      <c r="A15496">
        <f>HYPERLINK("https://www.philgeps.gov.ph/GEPSNONPILOT/Tender/SplashBidNoticeAbstractUI.aspx?menuIndex=3&amp;refID=7081481&amp;Result=3","7081481")</f>
        <v>0</v>
      </c>
      <c r="B15496" t="s">
        <v>2895</v>
      </c>
      <c r="C15496" t="s">
        <v>18579</v>
      </c>
      <c r="D15496" t="s">
        <v>19017</v>
      </c>
      <c r="E15496" t="s">
        <v>32430</v>
      </c>
      <c r="F15496" t="s">
        <v>32831</v>
      </c>
      <c r="G15496" t="s">
        <v>32839</v>
      </c>
      <c r="H15496" t="s">
        <v>32850</v>
      </c>
      <c r="I15496" t="s">
        <v>32863</v>
      </c>
      <c r="J15496" t="s">
        <v>35718</v>
      </c>
      <c r="K15496" t="s">
        <v>42905</v>
      </c>
      <c r="M15496" t="s">
        <v>47376</v>
      </c>
      <c r="N15496" t="s">
        <v>47424</v>
      </c>
      <c r="O15496" t="s">
        <v>47425</v>
      </c>
      <c r="Q15496">
        <v>5</v>
      </c>
      <c r="R15496" t="s">
        <v>47465</v>
      </c>
      <c r="S15496" t="s">
        <v>48814</v>
      </c>
      <c r="T15496" t="s">
        <v>49196</v>
      </c>
      <c r="U15496" t="s">
        <v>62254</v>
      </c>
      <c r="V15496" t="s">
        <v>64386</v>
      </c>
      <c r="W15496" t="s">
        <v>47376</v>
      </c>
      <c r="X15496" t="s">
        <v>47464</v>
      </c>
    </row>
    <row r="15497" spans="1:24">
      <c r="A15497">
        <f>HYPERLINK("https://www.philgeps.gov.ph/GEPSNONPILOT/Tender/SplashBidNoticeAbstractUI.aspx?menuIndex=3&amp;refID=7094827&amp;Result=3","7094827")</f>
        <v>0</v>
      </c>
      <c r="B15497" t="s">
        <v>1054</v>
      </c>
      <c r="C15497" t="s">
        <v>18580</v>
      </c>
      <c r="E15497" t="s">
        <v>32431</v>
      </c>
      <c r="F15497" t="s">
        <v>32831</v>
      </c>
      <c r="G15497" t="s">
        <v>32839</v>
      </c>
      <c r="H15497" t="s">
        <v>32848</v>
      </c>
      <c r="I15497" t="s">
        <v>10805</v>
      </c>
      <c r="J15497" t="s">
        <v>42455</v>
      </c>
      <c r="K15497" t="s">
        <v>42732</v>
      </c>
      <c r="M15497" t="s">
        <v>44111</v>
      </c>
      <c r="N15497" t="s">
        <v>47424</v>
      </c>
      <c r="O15497" t="s">
        <v>47425</v>
      </c>
      <c r="Q15497">
        <v>9</v>
      </c>
      <c r="R15497" t="s">
        <v>47457</v>
      </c>
      <c r="S15497" t="s">
        <v>47951</v>
      </c>
      <c r="T15497" t="s">
        <v>49205</v>
      </c>
      <c r="U15497" t="s">
        <v>57447</v>
      </c>
      <c r="W15497" t="s">
        <v>44111</v>
      </c>
      <c r="X15497" t="s">
        <v>47459</v>
      </c>
    </row>
    <row r="15498" spans="1:24">
      <c r="A15498">
        <f>HYPERLINK("https://www.philgeps.gov.ph/GEPSNONPILOT/Tender/SplashBidNoticeAbstractUI.aspx?menuIndex=3&amp;refID=7080943&amp;Result=3","7080943")</f>
        <v>0</v>
      </c>
      <c r="B15498" t="s">
        <v>3903</v>
      </c>
      <c r="C15498" t="s">
        <v>18581</v>
      </c>
      <c r="D15498" t="s">
        <v>19044</v>
      </c>
      <c r="E15498" t="s">
        <v>19984</v>
      </c>
      <c r="F15498" t="s">
        <v>32831</v>
      </c>
      <c r="G15498" t="s">
        <v>32839</v>
      </c>
      <c r="H15498" t="s">
        <v>32849</v>
      </c>
      <c r="I15498" t="s">
        <v>4177</v>
      </c>
      <c r="J15498" t="s">
        <v>33384</v>
      </c>
      <c r="K15498" t="s">
        <v>42730</v>
      </c>
      <c r="M15498" t="s">
        <v>47377</v>
      </c>
      <c r="N15498" t="s">
        <v>47424</v>
      </c>
      <c r="O15498" t="s">
        <v>47425</v>
      </c>
      <c r="P15498">
        <v>0</v>
      </c>
      <c r="Q15498">
        <v>0</v>
      </c>
      <c r="R15498" t="s">
        <v>47465</v>
      </c>
      <c r="S15498" t="s">
        <v>48815</v>
      </c>
      <c r="T15498" t="s">
        <v>49237</v>
      </c>
      <c r="U15498" t="s">
        <v>62255</v>
      </c>
      <c r="V15498" t="s">
        <v>62255</v>
      </c>
      <c r="W15498" t="s">
        <v>47377</v>
      </c>
      <c r="X15498" t="s">
        <v>47464</v>
      </c>
    </row>
    <row r="15499" spans="1:24">
      <c r="A15499">
        <f>HYPERLINK("https://www.philgeps.gov.ph/GEPSNONPILOT/Tender/SplashBidNoticeAbstractUI.aspx?menuIndex=3&amp;refID=7080755&amp;Result=3","7080755")</f>
        <v>0</v>
      </c>
      <c r="B15499" t="s">
        <v>1915</v>
      </c>
      <c r="C15499" t="s">
        <v>18582</v>
      </c>
      <c r="D15499" t="s">
        <v>19030</v>
      </c>
      <c r="E15499" t="s">
        <v>32432</v>
      </c>
      <c r="F15499" t="s">
        <v>32831</v>
      </c>
      <c r="G15499" t="s">
        <v>32839</v>
      </c>
      <c r="H15499" t="s">
        <v>32849</v>
      </c>
      <c r="I15499" t="s">
        <v>4177</v>
      </c>
      <c r="J15499" t="s">
        <v>41344</v>
      </c>
      <c r="K15499" t="s">
        <v>42728</v>
      </c>
      <c r="M15499" t="s">
        <v>45067</v>
      </c>
      <c r="N15499" t="s">
        <v>47424</v>
      </c>
      <c r="O15499" t="s">
        <v>47425</v>
      </c>
      <c r="Q15499">
        <v>41</v>
      </c>
      <c r="R15499" t="s">
        <v>47465</v>
      </c>
      <c r="S15499" t="s">
        <v>48816</v>
      </c>
      <c r="T15499" t="s">
        <v>49056</v>
      </c>
      <c r="U15499" t="s">
        <v>62256</v>
      </c>
      <c r="W15499" t="s">
        <v>64492</v>
      </c>
      <c r="X15499" t="s">
        <v>47464</v>
      </c>
    </row>
    <row r="15500" spans="1:24">
      <c r="A15500">
        <f>HYPERLINK("https://www.philgeps.gov.ph/GEPSNONPILOT/Tender/SplashBidNoticeAbstractUI.aspx?menuIndex=3&amp;refID=7079386&amp;Result=3","7079386")</f>
        <v>0</v>
      </c>
      <c r="B15500" t="s">
        <v>3899</v>
      </c>
      <c r="C15500" t="s">
        <v>18583</v>
      </c>
      <c r="D15500" t="s">
        <v>19046</v>
      </c>
      <c r="E15500" t="s">
        <v>32433</v>
      </c>
      <c r="F15500" t="s">
        <v>32831</v>
      </c>
      <c r="G15500" t="s">
        <v>32839</v>
      </c>
      <c r="H15500" t="s">
        <v>32849</v>
      </c>
      <c r="I15500" t="s">
        <v>4177</v>
      </c>
      <c r="J15500" t="s">
        <v>42456</v>
      </c>
      <c r="K15500" t="s">
        <v>42869</v>
      </c>
      <c r="M15500" t="s">
        <v>47370</v>
      </c>
      <c r="N15500" t="s">
        <v>47424</v>
      </c>
      <c r="O15500" t="s">
        <v>47425</v>
      </c>
      <c r="Q15500">
        <v>3</v>
      </c>
      <c r="R15500" t="s">
        <v>47461</v>
      </c>
      <c r="S15500" t="s">
        <v>48817</v>
      </c>
      <c r="T15500" t="s">
        <v>49129</v>
      </c>
      <c r="U15500" t="s">
        <v>62226</v>
      </c>
      <c r="W15500" t="s">
        <v>47370</v>
      </c>
      <c r="X15500" t="s">
        <v>47464</v>
      </c>
    </row>
    <row r="15501" spans="1:24">
      <c r="A15501">
        <f>HYPERLINK("https://www.philgeps.gov.ph/GEPSNONPILOT/Tender/SplashBidNoticeAbstractUI.aspx?menuIndex=3&amp;refID=7081756&amp;Result=3","7081756")</f>
        <v>0</v>
      </c>
      <c r="B15501" t="s">
        <v>3477</v>
      </c>
      <c r="C15501" t="s">
        <v>18584</v>
      </c>
      <c r="E15501" t="s">
        <v>32434</v>
      </c>
      <c r="F15501" t="s">
        <v>32833</v>
      </c>
      <c r="G15501" t="s">
        <v>32847</v>
      </c>
      <c r="H15501" t="s">
        <v>14069</v>
      </c>
      <c r="I15501" t="s">
        <v>14069</v>
      </c>
      <c r="J15501" t="s">
        <v>33703</v>
      </c>
      <c r="K15501" t="s">
        <v>43009</v>
      </c>
      <c r="M15501" t="s">
        <v>46821</v>
      </c>
      <c r="N15501" t="s">
        <v>47424</v>
      </c>
      <c r="O15501" t="s">
        <v>47425</v>
      </c>
      <c r="P15501">
        <v>0</v>
      </c>
      <c r="Q15501">
        <v>2</v>
      </c>
      <c r="R15501" t="s">
        <v>47465</v>
      </c>
      <c r="S15501" t="s">
        <v>48815</v>
      </c>
      <c r="T15501" t="s">
        <v>49060</v>
      </c>
      <c r="U15501" t="s">
        <v>62257</v>
      </c>
      <c r="V15501" t="s">
        <v>64387</v>
      </c>
      <c r="W15501" t="s">
        <v>46821</v>
      </c>
      <c r="X15501" t="s">
        <v>47464</v>
      </c>
    </row>
    <row r="15502" spans="1:24">
      <c r="A15502">
        <f>HYPERLINK("https://www.philgeps.gov.ph/GEPSNONPILOT/Tender/SplashBidNoticeAbstractUI.aspx?menuIndex=3&amp;refID=7080545&amp;Result=3","7080545")</f>
        <v>0</v>
      </c>
      <c r="B15502" t="s">
        <v>2277</v>
      </c>
      <c r="C15502" t="s">
        <v>18585</v>
      </c>
      <c r="D15502" t="s">
        <v>19031</v>
      </c>
      <c r="E15502" t="s">
        <v>32435</v>
      </c>
      <c r="F15502" t="s">
        <v>32831</v>
      </c>
      <c r="G15502" t="s">
        <v>32839</v>
      </c>
      <c r="H15502" t="s">
        <v>32850</v>
      </c>
      <c r="I15502" t="s">
        <v>5667</v>
      </c>
      <c r="J15502" t="s">
        <v>42457</v>
      </c>
      <c r="K15502" t="s">
        <v>42887</v>
      </c>
      <c r="M15502" t="s">
        <v>45461</v>
      </c>
      <c r="N15502" t="s">
        <v>47424</v>
      </c>
      <c r="O15502" t="s">
        <v>47425</v>
      </c>
      <c r="Q15502">
        <v>6</v>
      </c>
      <c r="R15502" t="s">
        <v>47465</v>
      </c>
      <c r="S15502" t="s">
        <v>48818</v>
      </c>
      <c r="T15502" t="s">
        <v>49162</v>
      </c>
      <c r="U15502" t="s">
        <v>62258</v>
      </c>
      <c r="W15502" t="s">
        <v>45461</v>
      </c>
      <c r="X15502" t="s">
        <v>47464</v>
      </c>
    </row>
    <row r="15503" spans="1:24">
      <c r="A15503">
        <f>HYPERLINK("https://www.philgeps.gov.ph/GEPSNONPILOT/Tender/SplashBidNoticeAbstractUI.aspx?menuIndex=3&amp;refID=7080542&amp;Result=3","7080542")</f>
        <v>0</v>
      </c>
      <c r="B15503" t="s">
        <v>3903</v>
      </c>
      <c r="C15503" t="s">
        <v>18586</v>
      </c>
      <c r="D15503" t="s">
        <v>19044</v>
      </c>
      <c r="E15503" t="s">
        <v>23482</v>
      </c>
      <c r="F15503" t="s">
        <v>32831</v>
      </c>
      <c r="G15503" t="s">
        <v>32839</v>
      </c>
      <c r="H15503" t="s">
        <v>32849</v>
      </c>
      <c r="I15503" t="s">
        <v>7416</v>
      </c>
      <c r="J15503" t="s">
        <v>33133</v>
      </c>
      <c r="K15503" t="s">
        <v>42730</v>
      </c>
      <c r="M15503" t="s">
        <v>47377</v>
      </c>
      <c r="N15503" t="s">
        <v>47424</v>
      </c>
      <c r="O15503" t="s">
        <v>47425</v>
      </c>
      <c r="P15503">
        <v>0</v>
      </c>
      <c r="Q15503">
        <v>0</v>
      </c>
      <c r="R15503" t="s">
        <v>47465</v>
      </c>
      <c r="S15503" t="s">
        <v>48815</v>
      </c>
      <c r="T15503" t="s">
        <v>49237</v>
      </c>
      <c r="U15503" t="s">
        <v>62259</v>
      </c>
      <c r="V15503" t="s">
        <v>62259</v>
      </c>
      <c r="W15503" t="s">
        <v>47377</v>
      </c>
      <c r="X15503" t="s">
        <v>47464</v>
      </c>
    </row>
    <row r="15504" spans="1:24">
      <c r="A15504">
        <f>HYPERLINK("https://www.philgeps.gov.ph/GEPSNONPILOT/Tender/SplashBidNoticeAbstractUI.aspx?menuIndex=3&amp;refID=7080631&amp;Result=3","7080631")</f>
        <v>0</v>
      </c>
      <c r="B15504" t="s">
        <v>3903</v>
      </c>
      <c r="C15504" t="s">
        <v>18587</v>
      </c>
      <c r="D15504" t="s">
        <v>19044</v>
      </c>
      <c r="E15504" t="s">
        <v>24188</v>
      </c>
      <c r="F15504" t="s">
        <v>32831</v>
      </c>
      <c r="G15504" t="s">
        <v>32839</v>
      </c>
      <c r="H15504" t="s">
        <v>32849</v>
      </c>
      <c r="I15504" t="s">
        <v>7416</v>
      </c>
      <c r="J15504" t="s">
        <v>33090</v>
      </c>
      <c r="K15504" t="s">
        <v>42730</v>
      </c>
      <c r="M15504" t="s">
        <v>47377</v>
      </c>
      <c r="N15504" t="s">
        <v>47424</v>
      </c>
      <c r="O15504" t="s">
        <v>47425</v>
      </c>
      <c r="P15504">
        <v>0</v>
      </c>
      <c r="Q15504">
        <v>0</v>
      </c>
      <c r="R15504" t="s">
        <v>47465</v>
      </c>
      <c r="S15504" t="s">
        <v>48815</v>
      </c>
      <c r="T15504" t="s">
        <v>49237</v>
      </c>
      <c r="U15504" t="s">
        <v>62260</v>
      </c>
      <c r="V15504" t="s">
        <v>64388</v>
      </c>
      <c r="W15504" t="s">
        <v>47377</v>
      </c>
      <c r="X15504" t="s">
        <v>47464</v>
      </c>
    </row>
    <row r="15505" spans="1:24">
      <c r="A15505">
        <f>HYPERLINK("https://www.philgeps.gov.ph/GEPSNONPILOT/Tender/SplashBidNoticeAbstractUI.aspx?menuIndex=3&amp;refID=7074229&amp;Result=3","7074229")</f>
        <v>0</v>
      </c>
      <c r="B15505" t="s">
        <v>3238</v>
      </c>
      <c r="C15505" t="s">
        <v>18588</v>
      </c>
      <c r="D15505" t="s">
        <v>19086</v>
      </c>
      <c r="E15505" t="s">
        <v>32436</v>
      </c>
      <c r="F15505" t="s">
        <v>32831</v>
      </c>
      <c r="G15505" t="s">
        <v>32839</v>
      </c>
      <c r="H15505" t="s">
        <v>32849</v>
      </c>
      <c r="I15505" t="s">
        <v>4177</v>
      </c>
      <c r="J15505" t="s">
        <v>41344</v>
      </c>
      <c r="K15505" t="s">
        <v>42780</v>
      </c>
      <c r="M15505" t="s">
        <v>46553</v>
      </c>
      <c r="N15505" t="s">
        <v>47424</v>
      </c>
      <c r="O15505" t="s">
        <v>47425</v>
      </c>
      <c r="Q15505">
        <v>10</v>
      </c>
      <c r="R15505" t="s">
        <v>47466</v>
      </c>
      <c r="S15505" t="s">
        <v>48819</v>
      </c>
      <c r="T15505" t="s">
        <v>49237</v>
      </c>
      <c r="U15505" t="s">
        <v>58513</v>
      </c>
      <c r="W15505" t="s">
        <v>46553</v>
      </c>
      <c r="X15505" t="s">
        <v>47470</v>
      </c>
    </row>
    <row r="15506" spans="1:24">
      <c r="A15506">
        <f>HYPERLINK("https://www.philgeps.gov.ph/GEPSNONPILOT/Tender/SplashBidNoticeAbstractUI.aspx?menuIndex=3&amp;refID=7080898&amp;Result=3","7080898")</f>
        <v>0</v>
      </c>
      <c r="B15506" t="s">
        <v>1735</v>
      </c>
      <c r="C15506" t="s">
        <v>18589</v>
      </c>
      <c r="D15506" t="s">
        <v>19026</v>
      </c>
      <c r="E15506" t="s">
        <v>32437</v>
      </c>
      <c r="F15506" t="s">
        <v>32831</v>
      </c>
      <c r="G15506" t="s">
        <v>32839</v>
      </c>
      <c r="H15506" t="s">
        <v>32848</v>
      </c>
      <c r="I15506" t="s">
        <v>32876</v>
      </c>
      <c r="J15506" t="s">
        <v>42458</v>
      </c>
      <c r="K15506" t="s">
        <v>42730</v>
      </c>
      <c r="M15506" t="s">
        <v>44858</v>
      </c>
      <c r="N15506" t="s">
        <v>47424</v>
      </c>
      <c r="O15506" t="s">
        <v>47425</v>
      </c>
      <c r="Q15506">
        <v>16</v>
      </c>
      <c r="R15506" t="s">
        <v>47465</v>
      </c>
      <c r="S15506" t="s">
        <v>48352</v>
      </c>
      <c r="T15506" t="s">
        <v>49056</v>
      </c>
      <c r="U15506" t="s">
        <v>62261</v>
      </c>
      <c r="V15506" t="s">
        <v>63103</v>
      </c>
      <c r="W15506" t="s">
        <v>44858</v>
      </c>
      <c r="X15506" t="s">
        <v>47464</v>
      </c>
    </row>
    <row r="15507" spans="1:24">
      <c r="A15507">
        <f>HYPERLINK("https://www.philgeps.gov.ph/GEPSNONPILOT/Tender/SplashBidNoticeAbstractUI.aspx?menuIndex=3&amp;refID=7074205&amp;Result=3","7074205")</f>
        <v>0</v>
      </c>
      <c r="B15507" t="s">
        <v>3238</v>
      </c>
      <c r="C15507" t="s">
        <v>18590</v>
      </c>
      <c r="D15507" t="s">
        <v>19086</v>
      </c>
      <c r="E15507" t="s">
        <v>32438</v>
      </c>
      <c r="F15507" t="s">
        <v>32831</v>
      </c>
      <c r="G15507" t="s">
        <v>32839</v>
      </c>
      <c r="H15507" t="s">
        <v>32849</v>
      </c>
      <c r="I15507" t="s">
        <v>4177</v>
      </c>
      <c r="J15507" t="s">
        <v>42063</v>
      </c>
      <c r="K15507" t="s">
        <v>42761</v>
      </c>
      <c r="M15507" t="s">
        <v>46553</v>
      </c>
      <c r="N15507" t="s">
        <v>47424</v>
      </c>
      <c r="O15507" t="s">
        <v>47425</v>
      </c>
      <c r="Q15507">
        <v>10</v>
      </c>
      <c r="R15507" t="s">
        <v>47466</v>
      </c>
      <c r="S15507" t="s">
        <v>48820</v>
      </c>
      <c r="T15507" t="s">
        <v>49065</v>
      </c>
      <c r="U15507" t="s">
        <v>62262</v>
      </c>
      <c r="W15507" t="s">
        <v>46553</v>
      </c>
      <c r="X15507" t="s">
        <v>47470</v>
      </c>
    </row>
    <row r="15508" spans="1:24">
      <c r="A15508">
        <f>HYPERLINK("https://www.philgeps.gov.ph/GEPSNONPILOT/Tender/SplashBidNoticeAbstractUI.aspx?menuIndex=3&amp;refID=7074127&amp;Result=3","7074127")</f>
        <v>0</v>
      </c>
      <c r="B15508" t="s">
        <v>3238</v>
      </c>
      <c r="C15508" t="s">
        <v>18591</v>
      </c>
      <c r="D15508" t="s">
        <v>19086</v>
      </c>
      <c r="E15508" t="s">
        <v>32439</v>
      </c>
      <c r="F15508" t="s">
        <v>32831</v>
      </c>
      <c r="G15508" t="s">
        <v>32839</v>
      </c>
      <c r="H15508" t="s">
        <v>32849</v>
      </c>
      <c r="I15508" t="s">
        <v>4177</v>
      </c>
      <c r="J15508" t="s">
        <v>42459</v>
      </c>
      <c r="K15508" t="s">
        <v>42780</v>
      </c>
      <c r="M15508" t="s">
        <v>46553</v>
      </c>
      <c r="N15508" t="s">
        <v>47424</v>
      </c>
      <c r="O15508" t="s">
        <v>47425</v>
      </c>
      <c r="Q15508">
        <v>13</v>
      </c>
      <c r="R15508" t="s">
        <v>47466</v>
      </c>
      <c r="S15508" t="s">
        <v>48821</v>
      </c>
      <c r="T15508" t="s">
        <v>49065</v>
      </c>
      <c r="U15508" t="s">
        <v>62263</v>
      </c>
      <c r="W15508" t="s">
        <v>46553</v>
      </c>
      <c r="X15508" t="s">
        <v>47470</v>
      </c>
    </row>
    <row r="15509" spans="1:24">
      <c r="A15509">
        <f>HYPERLINK("https://www.philgeps.gov.ph/GEPSNONPILOT/Tender/SplashBidNoticeAbstractUI.aspx?menuIndex=3&amp;refID=7074093&amp;Result=3","7074093")</f>
        <v>0</v>
      </c>
      <c r="B15509" t="s">
        <v>3238</v>
      </c>
      <c r="C15509" t="s">
        <v>18592</v>
      </c>
      <c r="D15509" t="s">
        <v>19086</v>
      </c>
      <c r="E15509" t="s">
        <v>32440</v>
      </c>
      <c r="F15509" t="s">
        <v>32831</v>
      </c>
      <c r="G15509" t="s">
        <v>32839</v>
      </c>
      <c r="H15509" t="s">
        <v>32849</v>
      </c>
      <c r="I15509" t="s">
        <v>4177</v>
      </c>
      <c r="J15509" t="s">
        <v>42460</v>
      </c>
      <c r="K15509" t="s">
        <v>42862</v>
      </c>
      <c r="M15509" t="s">
        <v>46553</v>
      </c>
      <c r="N15509" t="s">
        <v>47424</v>
      </c>
      <c r="O15509" t="s">
        <v>47425</v>
      </c>
      <c r="Q15509">
        <v>7</v>
      </c>
      <c r="R15509" t="s">
        <v>47466</v>
      </c>
      <c r="S15509" t="s">
        <v>48822</v>
      </c>
      <c r="T15509" t="s">
        <v>49065</v>
      </c>
      <c r="U15509" t="s">
        <v>62264</v>
      </c>
      <c r="W15509" t="s">
        <v>46553</v>
      </c>
      <c r="X15509" t="s">
        <v>47470</v>
      </c>
    </row>
    <row r="15510" spans="1:24">
      <c r="A15510">
        <f>HYPERLINK("https://www.philgeps.gov.ph/GEPSNONPILOT/Tender/SplashBidNoticeAbstractUI.aspx?menuIndex=3&amp;refID=7073934&amp;Result=3","7073934")</f>
        <v>0</v>
      </c>
      <c r="B15510" t="s">
        <v>3238</v>
      </c>
      <c r="C15510" t="s">
        <v>18593</v>
      </c>
      <c r="D15510" t="s">
        <v>19086</v>
      </c>
      <c r="E15510" t="s">
        <v>32441</v>
      </c>
      <c r="F15510" t="s">
        <v>32831</v>
      </c>
      <c r="G15510" t="s">
        <v>32839</v>
      </c>
      <c r="H15510" t="s">
        <v>32849</v>
      </c>
      <c r="I15510" t="s">
        <v>4177</v>
      </c>
      <c r="J15510" t="s">
        <v>42461</v>
      </c>
      <c r="K15510" t="s">
        <v>42830</v>
      </c>
      <c r="M15510" t="s">
        <v>46553</v>
      </c>
      <c r="N15510" t="s">
        <v>47424</v>
      </c>
      <c r="O15510" t="s">
        <v>47425</v>
      </c>
      <c r="Q15510">
        <v>13</v>
      </c>
      <c r="R15510" t="s">
        <v>47466</v>
      </c>
      <c r="S15510" t="s">
        <v>48823</v>
      </c>
      <c r="T15510" t="s">
        <v>49065</v>
      </c>
      <c r="U15510" t="s">
        <v>62262</v>
      </c>
      <c r="W15510" t="s">
        <v>46553</v>
      </c>
      <c r="X15510" t="s">
        <v>47470</v>
      </c>
    </row>
    <row r="15511" spans="1:24">
      <c r="A15511">
        <f>HYPERLINK("https://www.philgeps.gov.ph/GEPSNONPILOT/Tender/SplashBidNoticeAbstractUI.aspx?menuIndex=3&amp;refID=7074530&amp;Result=3","7074530")</f>
        <v>0</v>
      </c>
      <c r="B15511" t="s">
        <v>1434</v>
      </c>
      <c r="C15511" t="s">
        <v>18594</v>
      </c>
      <c r="D15511" t="s">
        <v>19021</v>
      </c>
      <c r="E15511" t="s">
        <v>32442</v>
      </c>
      <c r="F15511" t="s">
        <v>32831</v>
      </c>
      <c r="G15511" t="s">
        <v>32839</v>
      </c>
      <c r="H15511" t="s">
        <v>32848</v>
      </c>
      <c r="I15511" t="s">
        <v>4177</v>
      </c>
      <c r="J15511" t="s">
        <v>42462</v>
      </c>
      <c r="K15511" t="s">
        <v>42730</v>
      </c>
      <c r="M15511" t="s">
        <v>44524</v>
      </c>
      <c r="N15511" t="s">
        <v>47424</v>
      </c>
      <c r="O15511" t="s">
        <v>47425</v>
      </c>
      <c r="Q15511">
        <v>12</v>
      </c>
      <c r="R15511" t="s">
        <v>47466</v>
      </c>
      <c r="S15511" t="s">
        <v>48824</v>
      </c>
      <c r="T15511" t="s">
        <v>49069</v>
      </c>
      <c r="U15511" t="s">
        <v>62265</v>
      </c>
      <c r="W15511" t="s">
        <v>44524</v>
      </c>
      <c r="X15511" t="s">
        <v>47470</v>
      </c>
    </row>
    <row r="15512" spans="1:24">
      <c r="A15512">
        <f>HYPERLINK("https://www.philgeps.gov.ph/GEPSNONPILOT/Tender/SplashBidNoticeAbstractUI.aspx?menuIndex=3&amp;refID=7074052&amp;Result=3","7074052")</f>
        <v>0</v>
      </c>
      <c r="B15512" t="s">
        <v>3238</v>
      </c>
      <c r="C15512" t="s">
        <v>18595</v>
      </c>
      <c r="D15512" t="s">
        <v>19086</v>
      </c>
      <c r="E15512" t="s">
        <v>32443</v>
      </c>
      <c r="F15512" t="s">
        <v>32831</v>
      </c>
      <c r="G15512" t="s">
        <v>32839</v>
      </c>
      <c r="H15512" t="s">
        <v>32849</v>
      </c>
      <c r="I15512" t="s">
        <v>4177</v>
      </c>
      <c r="J15512" t="s">
        <v>34778</v>
      </c>
      <c r="K15512" t="s">
        <v>42780</v>
      </c>
      <c r="M15512" t="s">
        <v>46553</v>
      </c>
      <c r="N15512" t="s">
        <v>47424</v>
      </c>
      <c r="O15512" t="s">
        <v>47425</v>
      </c>
      <c r="Q15512">
        <v>5</v>
      </c>
      <c r="R15512" t="s">
        <v>47466</v>
      </c>
      <c r="S15512" t="s">
        <v>47727</v>
      </c>
      <c r="T15512" t="s">
        <v>49065</v>
      </c>
      <c r="U15512" t="s">
        <v>58513</v>
      </c>
      <c r="W15512" t="s">
        <v>46553</v>
      </c>
      <c r="X15512" t="s">
        <v>47470</v>
      </c>
    </row>
    <row r="15513" spans="1:24">
      <c r="A15513">
        <f>HYPERLINK("https://www.philgeps.gov.ph/GEPSNONPILOT/Tender/SplashBidNoticeAbstractUI.aspx?menuIndex=3&amp;refID=7080779&amp;Result=3","7080779")</f>
        <v>0</v>
      </c>
      <c r="B15513" t="s">
        <v>3903</v>
      </c>
      <c r="C15513" t="s">
        <v>18596</v>
      </c>
      <c r="D15513" t="s">
        <v>19044</v>
      </c>
      <c r="E15513" t="s">
        <v>27522</v>
      </c>
      <c r="F15513" t="s">
        <v>32831</v>
      </c>
      <c r="G15513" t="s">
        <v>32839</v>
      </c>
      <c r="H15513" t="s">
        <v>32849</v>
      </c>
      <c r="I15513" t="s">
        <v>4177</v>
      </c>
      <c r="J15513" t="s">
        <v>34070</v>
      </c>
      <c r="K15513" t="s">
        <v>42730</v>
      </c>
      <c r="M15513" t="s">
        <v>47377</v>
      </c>
      <c r="N15513" t="s">
        <v>47424</v>
      </c>
      <c r="O15513" t="s">
        <v>47425</v>
      </c>
      <c r="P15513">
        <v>0</v>
      </c>
      <c r="Q15513">
        <v>0</v>
      </c>
      <c r="R15513" t="s">
        <v>47465</v>
      </c>
      <c r="S15513" t="s">
        <v>48815</v>
      </c>
      <c r="T15513" t="s">
        <v>49237</v>
      </c>
      <c r="U15513" t="s">
        <v>62266</v>
      </c>
      <c r="V15513" t="s">
        <v>64389</v>
      </c>
      <c r="W15513" t="s">
        <v>47377</v>
      </c>
      <c r="X15513" t="s">
        <v>47464</v>
      </c>
    </row>
    <row r="15514" spans="1:24">
      <c r="A15514">
        <f>HYPERLINK("https://www.philgeps.gov.ph/GEPSNONPILOT/Tender/SplashBidNoticeAbstractUI.aspx?menuIndex=3&amp;refID=7073394&amp;Result=3","7073394")</f>
        <v>0</v>
      </c>
      <c r="B15514" t="s">
        <v>3693</v>
      </c>
      <c r="C15514" t="s">
        <v>18597</v>
      </c>
      <c r="D15514" t="s">
        <v>19027</v>
      </c>
      <c r="E15514" t="s">
        <v>32444</v>
      </c>
      <c r="F15514" t="s">
        <v>32831</v>
      </c>
      <c r="G15514" t="s">
        <v>32839</v>
      </c>
      <c r="H15514" t="s">
        <v>32849</v>
      </c>
      <c r="I15514" t="s">
        <v>4177</v>
      </c>
      <c r="J15514" t="s">
        <v>42463</v>
      </c>
      <c r="K15514" t="s">
        <v>42809</v>
      </c>
      <c r="M15514" t="s">
        <v>47078</v>
      </c>
      <c r="N15514" t="s">
        <v>47424</v>
      </c>
      <c r="O15514" t="s">
        <v>47425</v>
      </c>
      <c r="Q15514">
        <v>10</v>
      </c>
      <c r="R15514" t="s">
        <v>47466</v>
      </c>
      <c r="S15514" t="s">
        <v>48825</v>
      </c>
      <c r="T15514" t="s">
        <v>49069</v>
      </c>
      <c r="U15514" t="s">
        <v>60990</v>
      </c>
      <c r="W15514" t="s">
        <v>47078</v>
      </c>
      <c r="X15514" t="s">
        <v>47470</v>
      </c>
    </row>
    <row r="15515" spans="1:24">
      <c r="A15515">
        <f>HYPERLINK("https://www.philgeps.gov.ph/GEPSNONPILOT/Tender/SplashBidNoticeAbstractUI.aspx?menuIndex=3&amp;refID=7081054&amp;Result=3","7081054")</f>
        <v>0</v>
      </c>
      <c r="B15515" t="s">
        <v>3903</v>
      </c>
      <c r="C15515" t="s">
        <v>18598</v>
      </c>
      <c r="D15515" t="s">
        <v>19044</v>
      </c>
      <c r="E15515" t="s">
        <v>19987</v>
      </c>
      <c r="F15515" t="s">
        <v>32831</v>
      </c>
      <c r="G15515" t="s">
        <v>32839</v>
      </c>
      <c r="H15515" t="s">
        <v>32849</v>
      </c>
      <c r="I15515" t="s">
        <v>4177</v>
      </c>
      <c r="J15515" t="s">
        <v>33133</v>
      </c>
      <c r="K15515" t="s">
        <v>42730</v>
      </c>
      <c r="M15515" t="s">
        <v>47377</v>
      </c>
      <c r="N15515" t="s">
        <v>47424</v>
      </c>
      <c r="O15515" t="s">
        <v>47425</v>
      </c>
      <c r="P15515">
        <v>0</v>
      </c>
      <c r="Q15515">
        <v>0</v>
      </c>
      <c r="R15515" t="s">
        <v>47465</v>
      </c>
      <c r="S15515" t="s">
        <v>48815</v>
      </c>
      <c r="T15515" t="s">
        <v>49237</v>
      </c>
      <c r="U15515" t="s">
        <v>62267</v>
      </c>
      <c r="V15515" t="s">
        <v>62267</v>
      </c>
      <c r="W15515" t="s">
        <v>47377</v>
      </c>
      <c r="X15515" t="s">
        <v>47464</v>
      </c>
    </row>
    <row r="15516" spans="1:24">
      <c r="A15516">
        <f>HYPERLINK("https://www.philgeps.gov.ph/GEPSNONPILOT/Tender/SplashBidNoticeAbstractUI.aspx?menuIndex=3&amp;refID=7073304&amp;Result=3","7073304")</f>
        <v>0</v>
      </c>
      <c r="B15516" t="s">
        <v>3238</v>
      </c>
      <c r="C15516" t="s">
        <v>18599</v>
      </c>
      <c r="D15516" t="s">
        <v>19086</v>
      </c>
      <c r="E15516" t="s">
        <v>32445</v>
      </c>
      <c r="F15516" t="s">
        <v>32831</v>
      </c>
      <c r="G15516" t="s">
        <v>32839</v>
      </c>
      <c r="H15516" t="s">
        <v>32849</v>
      </c>
      <c r="I15516" t="s">
        <v>4177</v>
      </c>
      <c r="J15516" t="s">
        <v>42464</v>
      </c>
      <c r="K15516" t="s">
        <v>42761</v>
      </c>
      <c r="M15516" t="s">
        <v>46553</v>
      </c>
      <c r="N15516" t="s">
        <v>47424</v>
      </c>
      <c r="O15516" t="s">
        <v>47425</v>
      </c>
      <c r="Q15516">
        <v>22</v>
      </c>
      <c r="R15516" t="s">
        <v>47466</v>
      </c>
      <c r="S15516" t="s">
        <v>47891</v>
      </c>
      <c r="T15516" t="s">
        <v>49065</v>
      </c>
      <c r="U15516" t="s">
        <v>62264</v>
      </c>
      <c r="W15516" t="s">
        <v>46553</v>
      </c>
      <c r="X15516" t="s">
        <v>47470</v>
      </c>
    </row>
    <row r="15517" spans="1:24">
      <c r="A15517">
        <f>HYPERLINK("https://www.philgeps.gov.ph/GEPSNONPILOT/Tender/SplashBidNoticeAbstractUI.aspx?menuIndex=3&amp;refID=7095733&amp;Result=3","7095733")</f>
        <v>0</v>
      </c>
      <c r="B15517" t="s">
        <v>3477</v>
      </c>
      <c r="C15517" t="s">
        <v>18600</v>
      </c>
      <c r="D15517" t="s">
        <v>19017</v>
      </c>
      <c r="E15517" t="s">
        <v>32446</v>
      </c>
      <c r="F15517" t="s">
        <v>32831</v>
      </c>
      <c r="G15517" t="s">
        <v>32839</v>
      </c>
      <c r="H15517" t="s">
        <v>32848</v>
      </c>
      <c r="I15517" t="s">
        <v>32876</v>
      </c>
      <c r="J15517" t="s">
        <v>42465</v>
      </c>
      <c r="K15517" t="s">
        <v>42732</v>
      </c>
      <c r="M15517" t="s">
        <v>47371</v>
      </c>
      <c r="N15517" t="s">
        <v>47424</v>
      </c>
      <c r="O15517" t="s">
        <v>47425</v>
      </c>
      <c r="Q15517">
        <v>11</v>
      </c>
      <c r="R15517" t="s">
        <v>47458</v>
      </c>
      <c r="S15517" t="s">
        <v>47743</v>
      </c>
      <c r="T15517" t="s">
        <v>49077</v>
      </c>
      <c r="U15517" t="s">
        <v>62268</v>
      </c>
      <c r="W15517" t="s">
        <v>47371</v>
      </c>
      <c r="X15517" t="s">
        <v>47459</v>
      </c>
    </row>
    <row r="15518" spans="1:24">
      <c r="A15518">
        <f>HYPERLINK("https://www.philgeps.gov.ph/GEPSNONPILOT/Tender/SplashBidNoticeAbstractUI.aspx?menuIndex=3&amp;refID=7070679&amp;Result=3","7070679")</f>
        <v>0</v>
      </c>
      <c r="B15518" t="s">
        <v>3625</v>
      </c>
      <c r="C15518" t="s">
        <v>18601</v>
      </c>
      <c r="D15518" t="s">
        <v>19038</v>
      </c>
      <c r="E15518" t="s">
        <v>30045</v>
      </c>
      <c r="F15518" t="s">
        <v>32833</v>
      </c>
      <c r="G15518" t="s">
        <v>32839</v>
      </c>
      <c r="H15518" t="s">
        <v>32849</v>
      </c>
      <c r="I15518" t="s">
        <v>4177</v>
      </c>
      <c r="J15518" t="s">
        <v>42466</v>
      </c>
      <c r="K15518" t="s">
        <v>42798</v>
      </c>
      <c r="L15518" t="s">
        <v>3625</v>
      </c>
      <c r="M15518" t="s">
        <v>46994</v>
      </c>
      <c r="N15518" t="s">
        <v>47424</v>
      </c>
      <c r="O15518" t="s">
        <v>47425</v>
      </c>
      <c r="Q15518">
        <v>0</v>
      </c>
      <c r="R15518" t="s">
        <v>47466</v>
      </c>
      <c r="S15518" t="s">
        <v>48826</v>
      </c>
      <c r="T15518" t="s">
        <v>49237</v>
      </c>
      <c r="U15518" t="s">
        <v>62269</v>
      </c>
      <c r="W15518" t="s">
        <v>46994</v>
      </c>
      <c r="X15518" t="s">
        <v>47467</v>
      </c>
    </row>
    <row r="15519" spans="1:24">
      <c r="A15519">
        <f>HYPERLINK("https://www.philgeps.gov.ph/GEPSNONPILOT/Tender/SplashBidNoticeAbstractUI.aspx?menuIndex=3&amp;refID=7078338&amp;Result=3","7078338")</f>
        <v>0</v>
      </c>
      <c r="B15519" t="s">
        <v>620</v>
      </c>
      <c r="C15519" t="s">
        <v>18602</v>
      </c>
      <c r="D15519" t="s">
        <v>19017</v>
      </c>
      <c r="E15519" t="s">
        <v>32447</v>
      </c>
      <c r="F15519" t="s">
        <v>32831</v>
      </c>
      <c r="G15519" t="s">
        <v>32839</v>
      </c>
      <c r="H15519" t="s">
        <v>32849</v>
      </c>
      <c r="I15519" t="s">
        <v>32899</v>
      </c>
      <c r="J15519" t="s">
        <v>42467</v>
      </c>
      <c r="K15519" t="s">
        <v>42757</v>
      </c>
      <c r="M15519" t="s">
        <v>47378</v>
      </c>
      <c r="N15519" t="s">
        <v>47424</v>
      </c>
      <c r="O15519" t="s">
        <v>47425</v>
      </c>
      <c r="Q15519">
        <v>14</v>
      </c>
      <c r="R15519" t="s">
        <v>47464</v>
      </c>
      <c r="S15519" t="s">
        <v>48827</v>
      </c>
      <c r="T15519" t="s">
        <v>49376</v>
      </c>
      <c r="U15519" t="s">
        <v>62270</v>
      </c>
      <c r="W15519" t="s">
        <v>47378</v>
      </c>
      <c r="X15519" t="s">
        <v>47466</v>
      </c>
    </row>
    <row r="15520" spans="1:24">
      <c r="A15520">
        <f>HYPERLINK("https://www.philgeps.gov.ph/GEPSNONPILOT/Tender/SplashBidNoticeAbstractUI.aspx?menuIndex=3&amp;refID=7078388&amp;Result=3","7078388")</f>
        <v>0</v>
      </c>
      <c r="B15520" t="s">
        <v>620</v>
      </c>
      <c r="C15520" t="s">
        <v>18603</v>
      </c>
      <c r="D15520" t="s">
        <v>19017</v>
      </c>
      <c r="E15520" t="s">
        <v>32448</v>
      </c>
      <c r="F15520" t="s">
        <v>32831</v>
      </c>
      <c r="G15520" t="s">
        <v>32839</v>
      </c>
      <c r="H15520" t="s">
        <v>32849</v>
      </c>
      <c r="I15520" t="s">
        <v>4177</v>
      </c>
      <c r="J15520" t="s">
        <v>42468</v>
      </c>
      <c r="K15520" t="s">
        <v>42770</v>
      </c>
      <c r="M15520" t="s">
        <v>47378</v>
      </c>
      <c r="N15520" t="s">
        <v>47424</v>
      </c>
      <c r="O15520" t="s">
        <v>47425</v>
      </c>
      <c r="Q15520">
        <v>15</v>
      </c>
      <c r="R15520" t="s">
        <v>47464</v>
      </c>
      <c r="S15520" t="s">
        <v>48828</v>
      </c>
      <c r="T15520" t="s">
        <v>49376</v>
      </c>
      <c r="U15520" t="s">
        <v>62270</v>
      </c>
      <c r="W15520" t="s">
        <v>47378</v>
      </c>
      <c r="X15520" t="s">
        <v>47466</v>
      </c>
    </row>
    <row r="15521" spans="1:24">
      <c r="A15521">
        <f>HYPERLINK("https://www.philgeps.gov.ph/GEPSNONPILOT/Tender/SplashBidNoticeAbstractUI.aspx?menuIndex=3&amp;refID=7073382&amp;Result=3","7073382")</f>
        <v>0</v>
      </c>
      <c r="B15521" t="s">
        <v>67</v>
      </c>
      <c r="C15521" t="s">
        <v>18604</v>
      </c>
      <c r="D15521" t="s">
        <v>19079</v>
      </c>
      <c r="E15521" t="s">
        <v>32449</v>
      </c>
      <c r="F15521" t="s">
        <v>32831</v>
      </c>
      <c r="G15521" t="s">
        <v>32839</v>
      </c>
      <c r="H15521" t="s">
        <v>32848</v>
      </c>
      <c r="I15521" t="s">
        <v>32886</v>
      </c>
      <c r="J15521" t="s">
        <v>33257</v>
      </c>
      <c r="K15521" t="s">
        <v>42763</v>
      </c>
      <c r="M15521" t="s">
        <v>44711</v>
      </c>
      <c r="N15521" t="s">
        <v>47424</v>
      </c>
      <c r="O15521" t="s">
        <v>47425</v>
      </c>
      <c r="Q15521">
        <v>14</v>
      </c>
      <c r="R15521" t="s">
        <v>47466</v>
      </c>
      <c r="S15521" t="s">
        <v>48829</v>
      </c>
      <c r="T15521" t="s">
        <v>49338</v>
      </c>
      <c r="U15521" t="s">
        <v>62271</v>
      </c>
      <c r="W15521" t="s">
        <v>44711</v>
      </c>
      <c r="X15521" t="s">
        <v>47470</v>
      </c>
    </row>
    <row r="15522" spans="1:24">
      <c r="A15522">
        <f>HYPERLINK("https://www.philgeps.gov.ph/GEPSNONPILOT/Tender/SplashBidNoticeAbstractUI.aspx?menuIndex=3&amp;refID=7077963&amp;Result=3","7077963")</f>
        <v>0</v>
      </c>
      <c r="B15522" t="s">
        <v>689</v>
      </c>
      <c r="C15522" t="s">
        <v>18605</v>
      </c>
      <c r="E15522" t="s">
        <v>32450</v>
      </c>
      <c r="F15522" t="s">
        <v>32831</v>
      </c>
      <c r="G15522" t="s">
        <v>32839</v>
      </c>
      <c r="H15522" t="s">
        <v>32848</v>
      </c>
      <c r="I15522" t="s">
        <v>4487</v>
      </c>
      <c r="J15522" t="s">
        <v>42469</v>
      </c>
      <c r="K15522" t="s">
        <v>42732</v>
      </c>
      <c r="M15522" t="s">
        <v>47379</v>
      </c>
      <c r="N15522" t="s">
        <v>47424</v>
      </c>
      <c r="O15522" t="s">
        <v>47425</v>
      </c>
      <c r="Q15522">
        <v>8</v>
      </c>
      <c r="R15522" t="s">
        <v>47464</v>
      </c>
      <c r="S15522" t="s">
        <v>48830</v>
      </c>
      <c r="T15522" t="s">
        <v>49129</v>
      </c>
      <c r="U15522" t="s">
        <v>62272</v>
      </c>
      <c r="V15522" t="s">
        <v>64390</v>
      </c>
      <c r="W15522" t="s">
        <v>64566</v>
      </c>
      <c r="X15522" t="s">
        <v>47466</v>
      </c>
    </row>
    <row r="15523" spans="1:24">
      <c r="A15523">
        <f>HYPERLINK("https://www.philgeps.gov.ph/GEPSNONPILOT/Tender/SplashBidNoticeAbstractUI.aspx?menuIndex=3&amp;refID=7078135&amp;Result=3","7078135")</f>
        <v>0</v>
      </c>
      <c r="B15523" t="s">
        <v>1378</v>
      </c>
      <c r="C15523" t="s">
        <v>18606</v>
      </c>
      <c r="D15523" t="s">
        <v>19017</v>
      </c>
      <c r="E15523" t="s">
        <v>32451</v>
      </c>
      <c r="F15523" t="s">
        <v>32831</v>
      </c>
      <c r="G15523" t="s">
        <v>32842</v>
      </c>
      <c r="H15523" t="s">
        <v>32848</v>
      </c>
      <c r="I15523" t="s">
        <v>4776</v>
      </c>
      <c r="J15523" t="s">
        <v>42470</v>
      </c>
      <c r="K15523" t="s">
        <v>42726</v>
      </c>
      <c r="M15523" t="s">
        <v>44462</v>
      </c>
      <c r="N15523" t="s">
        <v>47424</v>
      </c>
      <c r="O15523" t="s">
        <v>47425</v>
      </c>
      <c r="Q15523">
        <v>12</v>
      </c>
      <c r="R15523" t="s">
        <v>47464</v>
      </c>
      <c r="S15523" t="s">
        <v>48831</v>
      </c>
      <c r="T15523" t="s">
        <v>49270</v>
      </c>
      <c r="U15523" t="s">
        <v>55042</v>
      </c>
      <c r="W15523" t="s">
        <v>44462</v>
      </c>
      <c r="X15523" t="s">
        <v>47466</v>
      </c>
    </row>
    <row r="15524" spans="1:24">
      <c r="A15524">
        <f>HYPERLINK("https://www.philgeps.gov.ph/GEPSNONPILOT/Tender/SplashBidNoticeAbstractUI.aspx?menuIndex=3&amp;refID=7068892&amp;Result=3","7068892")</f>
        <v>0</v>
      </c>
      <c r="B15524" t="s">
        <v>2442</v>
      </c>
      <c r="C15524" t="s">
        <v>18607</v>
      </c>
      <c r="D15524" t="s">
        <v>19027</v>
      </c>
      <c r="E15524" t="s">
        <v>32452</v>
      </c>
      <c r="F15524" t="s">
        <v>32831</v>
      </c>
      <c r="G15524" t="s">
        <v>32838</v>
      </c>
      <c r="H15524" t="s">
        <v>32848</v>
      </c>
      <c r="I15524" t="s">
        <v>32874</v>
      </c>
      <c r="J15524" t="s">
        <v>32983</v>
      </c>
      <c r="K15524" t="s">
        <v>42729</v>
      </c>
      <c r="M15524" t="s">
        <v>45639</v>
      </c>
      <c r="N15524" t="s">
        <v>47424</v>
      </c>
      <c r="O15524" t="s">
        <v>47425</v>
      </c>
      <c r="Q15524">
        <v>24</v>
      </c>
      <c r="R15524" t="s">
        <v>47467</v>
      </c>
      <c r="S15524" t="s">
        <v>48832</v>
      </c>
      <c r="T15524" t="s">
        <v>49163</v>
      </c>
      <c r="U15524" t="s">
        <v>62273</v>
      </c>
      <c r="W15524" t="s">
        <v>45639</v>
      </c>
      <c r="X15524" t="s">
        <v>47508</v>
      </c>
    </row>
    <row r="15525" spans="1:24">
      <c r="A15525">
        <f>HYPERLINK("https://www.philgeps.gov.ph/GEPSNONPILOT/Tender/SplashBidNoticeAbstractUI.aspx?menuIndex=3&amp;refID=7071105&amp;Result=3","7071105")</f>
        <v>0</v>
      </c>
      <c r="B15525" t="s">
        <v>1630</v>
      </c>
      <c r="C15525" t="s">
        <v>18608</v>
      </c>
      <c r="D15525" t="s">
        <v>19021</v>
      </c>
      <c r="E15525" t="s">
        <v>32453</v>
      </c>
      <c r="F15525" t="s">
        <v>32831</v>
      </c>
      <c r="G15525" t="s">
        <v>32839</v>
      </c>
      <c r="H15525" t="s">
        <v>32849</v>
      </c>
      <c r="I15525" t="s">
        <v>4177</v>
      </c>
      <c r="J15525" t="s">
        <v>42471</v>
      </c>
      <c r="K15525" t="s">
        <v>42770</v>
      </c>
      <c r="M15525" t="s">
        <v>44746</v>
      </c>
      <c r="N15525" t="s">
        <v>47424</v>
      </c>
      <c r="O15525" t="s">
        <v>47425</v>
      </c>
      <c r="Q15525">
        <v>54</v>
      </c>
      <c r="R15525" t="s">
        <v>47468</v>
      </c>
      <c r="S15525" t="s">
        <v>48833</v>
      </c>
      <c r="T15525" t="s">
        <v>49114</v>
      </c>
      <c r="U15525" t="s">
        <v>62274</v>
      </c>
      <c r="W15525" t="s">
        <v>44746</v>
      </c>
      <c r="X15525" t="s">
        <v>47467</v>
      </c>
    </row>
    <row r="15526" spans="1:24">
      <c r="A15526">
        <f>HYPERLINK("https://www.philgeps.gov.ph/GEPSNONPILOT/Tender/SplashBidNoticeAbstractUI.aspx?menuIndex=3&amp;refID=7071137&amp;Result=3","7071137")</f>
        <v>0</v>
      </c>
      <c r="B15526" t="s">
        <v>1630</v>
      </c>
      <c r="C15526" t="s">
        <v>18609</v>
      </c>
      <c r="D15526" t="s">
        <v>19021</v>
      </c>
      <c r="E15526" t="s">
        <v>32454</v>
      </c>
      <c r="F15526" t="s">
        <v>32831</v>
      </c>
      <c r="G15526" t="s">
        <v>32839</v>
      </c>
      <c r="H15526" t="s">
        <v>32849</v>
      </c>
      <c r="I15526" t="s">
        <v>4177</v>
      </c>
      <c r="J15526" t="s">
        <v>42472</v>
      </c>
      <c r="K15526" t="s">
        <v>43008</v>
      </c>
      <c r="M15526" t="s">
        <v>44746</v>
      </c>
      <c r="N15526" t="s">
        <v>47424</v>
      </c>
      <c r="O15526" t="s">
        <v>47425</v>
      </c>
      <c r="Q15526">
        <v>37</v>
      </c>
      <c r="R15526" t="s">
        <v>47468</v>
      </c>
      <c r="S15526" t="s">
        <v>48834</v>
      </c>
      <c r="T15526" t="s">
        <v>49114</v>
      </c>
      <c r="U15526" t="s">
        <v>62274</v>
      </c>
      <c r="W15526" t="s">
        <v>44746</v>
      </c>
      <c r="X15526" t="s">
        <v>47467</v>
      </c>
    </row>
    <row r="15527" spans="1:24">
      <c r="A15527">
        <f>HYPERLINK("https://www.philgeps.gov.ph/GEPSNONPILOT/Tender/SplashBidNoticeAbstractUI.aspx?menuIndex=3&amp;refID=7067540&amp;Result=3","7067540")</f>
        <v>0</v>
      </c>
      <c r="B15527" t="s">
        <v>67</v>
      </c>
      <c r="C15527" t="s">
        <v>12645</v>
      </c>
      <c r="D15527" t="s">
        <v>19079</v>
      </c>
      <c r="E15527" t="s">
        <v>32455</v>
      </c>
      <c r="F15527" t="s">
        <v>32831</v>
      </c>
      <c r="G15527" t="s">
        <v>32842</v>
      </c>
      <c r="H15527" t="s">
        <v>32848</v>
      </c>
      <c r="I15527" t="s">
        <v>4776</v>
      </c>
      <c r="J15527" t="s">
        <v>33044</v>
      </c>
      <c r="K15527" t="s">
        <v>42730</v>
      </c>
      <c r="M15527" t="s">
        <v>44461</v>
      </c>
      <c r="N15527" t="s">
        <v>47424</v>
      </c>
      <c r="O15527" t="s">
        <v>47425</v>
      </c>
      <c r="Q15527">
        <v>2</v>
      </c>
      <c r="R15527" t="s">
        <v>47467</v>
      </c>
      <c r="S15527" t="s">
        <v>48835</v>
      </c>
      <c r="T15527" t="s">
        <v>49166</v>
      </c>
      <c r="U15527" t="s">
        <v>62275</v>
      </c>
      <c r="W15527" t="s">
        <v>44461</v>
      </c>
      <c r="X15527" t="s">
        <v>47508</v>
      </c>
    </row>
    <row r="15528" spans="1:24">
      <c r="A15528">
        <f>HYPERLINK("https://www.philgeps.gov.ph/GEPSNONPILOT/Tender/SplashBidNoticeAbstractUI.aspx?menuIndex=3&amp;refID=7071854&amp;Result=3","7071854")</f>
        <v>0</v>
      </c>
      <c r="B15528" t="s">
        <v>1312</v>
      </c>
      <c r="C15528" t="s">
        <v>18610</v>
      </c>
      <c r="D15528" t="s">
        <v>19054</v>
      </c>
      <c r="E15528" t="s">
        <v>32456</v>
      </c>
      <c r="F15528" t="s">
        <v>32831</v>
      </c>
      <c r="G15528" t="s">
        <v>32839</v>
      </c>
      <c r="H15528" t="s">
        <v>32848</v>
      </c>
      <c r="I15528" t="s">
        <v>32857</v>
      </c>
      <c r="J15528" t="s">
        <v>42473</v>
      </c>
      <c r="K15528" t="s">
        <v>42732</v>
      </c>
      <c r="M15528" t="s">
        <v>44383</v>
      </c>
      <c r="N15528" t="s">
        <v>47424</v>
      </c>
      <c r="O15528" t="s">
        <v>47425</v>
      </c>
      <c r="Q15528">
        <v>1</v>
      </c>
      <c r="R15528" t="s">
        <v>47469</v>
      </c>
      <c r="S15528" t="s">
        <v>48836</v>
      </c>
      <c r="T15528" t="s">
        <v>49243</v>
      </c>
      <c r="U15528" t="s">
        <v>62276</v>
      </c>
      <c r="W15528" t="s">
        <v>44383</v>
      </c>
      <c r="X15528" t="s">
        <v>47467</v>
      </c>
    </row>
    <row r="15529" spans="1:24">
      <c r="A15529">
        <f>HYPERLINK("https://www.philgeps.gov.ph/GEPSNONPILOT/Tender/SplashBidNoticeAbstractUI.aspx?menuIndex=3&amp;refID=7072816&amp;Result=3","7072816")</f>
        <v>0</v>
      </c>
      <c r="B15529" t="s">
        <v>3806</v>
      </c>
      <c r="C15529" t="s">
        <v>18611</v>
      </c>
      <c r="D15529" t="s">
        <v>19017</v>
      </c>
      <c r="E15529" t="s">
        <v>32457</v>
      </c>
      <c r="F15529" t="s">
        <v>32831</v>
      </c>
      <c r="G15529" t="s">
        <v>32839</v>
      </c>
      <c r="H15529" t="s">
        <v>32850</v>
      </c>
      <c r="I15529" t="s">
        <v>9281</v>
      </c>
      <c r="J15529" t="s">
        <v>36730</v>
      </c>
      <c r="K15529" t="s">
        <v>42770</v>
      </c>
      <c r="M15529" t="s">
        <v>47380</v>
      </c>
      <c r="N15529" t="s">
        <v>47424</v>
      </c>
      <c r="O15529" t="s">
        <v>47425</v>
      </c>
      <c r="Q15529">
        <v>9</v>
      </c>
      <c r="R15529" t="s">
        <v>47470</v>
      </c>
      <c r="S15529" t="s">
        <v>48837</v>
      </c>
      <c r="T15529" t="s">
        <v>49212</v>
      </c>
      <c r="U15529" t="s">
        <v>62277</v>
      </c>
      <c r="W15529" t="s">
        <v>47227</v>
      </c>
      <c r="X15529" t="s">
        <v>47469</v>
      </c>
    </row>
    <row r="15530" spans="1:24">
      <c r="A15530">
        <f>HYPERLINK("https://www.philgeps.gov.ph/GEPSNONPILOT/Tender/SplashBidNoticeAbstractUI.aspx?menuIndex=3&amp;refID=7072766&amp;Result=3","7072766")</f>
        <v>0</v>
      </c>
      <c r="B15530" t="s">
        <v>584</v>
      </c>
      <c r="C15530" t="s">
        <v>18612</v>
      </c>
      <c r="D15530" t="s">
        <v>19017</v>
      </c>
      <c r="E15530" t="s">
        <v>32458</v>
      </c>
      <c r="F15530" t="s">
        <v>32831</v>
      </c>
      <c r="G15530" t="s">
        <v>32839</v>
      </c>
      <c r="H15530" t="s">
        <v>32848</v>
      </c>
      <c r="I15530" t="s">
        <v>4438</v>
      </c>
      <c r="J15530" t="s">
        <v>42474</v>
      </c>
      <c r="K15530" t="s">
        <v>42747</v>
      </c>
      <c r="M15530" t="s">
        <v>47381</v>
      </c>
      <c r="N15530" t="s">
        <v>47424</v>
      </c>
      <c r="O15530" t="s">
        <v>47425</v>
      </c>
      <c r="Q15530">
        <v>23</v>
      </c>
      <c r="R15530" t="s">
        <v>47470</v>
      </c>
      <c r="S15530" t="s">
        <v>48838</v>
      </c>
      <c r="T15530" t="s">
        <v>49111</v>
      </c>
      <c r="U15530" t="s">
        <v>62278</v>
      </c>
      <c r="W15530" t="s">
        <v>47381</v>
      </c>
      <c r="X15530" t="s">
        <v>47468</v>
      </c>
    </row>
    <row r="15531" spans="1:24">
      <c r="A15531">
        <f>HYPERLINK("https://www.philgeps.gov.ph/GEPSNONPILOT/Tender/SplashBidNoticeAbstractUI.aspx?menuIndex=3&amp;refID=7072485&amp;Result=3","7072485")</f>
        <v>0</v>
      </c>
      <c r="B15531" t="s">
        <v>1312</v>
      </c>
      <c r="C15531" t="s">
        <v>18613</v>
      </c>
      <c r="D15531" t="s">
        <v>19054</v>
      </c>
      <c r="E15531" t="s">
        <v>32459</v>
      </c>
      <c r="F15531" t="s">
        <v>32831</v>
      </c>
      <c r="G15531" t="s">
        <v>32839</v>
      </c>
      <c r="H15531" t="s">
        <v>32848</v>
      </c>
      <c r="I15531" t="s">
        <v>4438</v>
      </c>
      <c r="J15531" t="s">
        <v>32983</v>
      </c>
      <c r="K15531" t="s">
        <v>42732</v>
      </c>
      <c r="M15531" t="s">
        <v>44383</v>
      </c>
      <c r="N15531" t="s">
        <v>47424</v>
      </c>
      <c r="O15531" t="s">
        <v>47425</v>
      </c>
      <c r="Q15531">
        <v>2</v>
      </c>
      <c r="R15531" t="s">
        <v>47469</v>
      </c>
      <c r="S15531" t="s">
        <v>48839</v>
      </c>
      <c r="T15531" t="s">
        <v>49243</v>
      </c>
      <c r="U15531" t="s">
        <v>62279</v>
      </c>
      <c r="W15531" t="s">
        <v>44383</v>
      </c>
      <c r="X15531" t="s">
        <v>47468</v>
      </c>
    </row>
    <row r="15532" spans="1:24">
      <c r="A15532">
        <f>HYPERLINK("https://www.philgeps.gov.ph/GEPSNONPILOT/Tender/SplashBidNoticeAbstractUI.aspx?menuIndex=3&amp;refID=7072394&amp;Result=3","7072394")</f>
        <v>0</v>
      </c>
      <c r="B15532" t="s">
        <v>2130</v>
      </c>
      <c r="C15532" t="s">
        <v>18614</v>
      </c>
      <c r="D15532" t="s">
        <v>19017</v>
      </c>
      <c r="E15532" t="s">
        <v>32460</v>
      </c>
      <c r="F15532" t="s">
        <v>32831</v>
      </c>
      <c r="G15532" t="s">
        <v>32839</v>
      </c>
      <c r="H15532" t="s">
        <v>32848</v>
      </c>
      <c r="I15532" t="s">
        <v>14069</v>
      </c>
      <c r="J15532" t="s">
        <v>33727</v>
      </c>
      <c r="K15532" t="s">
        <v>42770</v>
      </c>
      <c r="M15532" t="s">
        <v>47382</v>
      </c>
      <c r="N15532" t="s">
        <v>47424</v>
      </c>
      <c r="O15532" t="s">
        <v>47425</v>
      </c>
      <c r="Q15532">
        <v>7</v>
      </c>
      <c r="R15532" t="s">
        <v>47470</v>
      </c>
      <c r="S15532" t="s">
        <v>48840</v>
      </c>
      <c r="T15532" t="s">
        <v>49487</v>
      </c>
      <c r="U15532" t="s">
        <v>62280</v>
      </c>
      <c r="V15532" t="s">
        <v>64391</v>
      </c>
      <c r="W15532" t="s">
        <v>47382</v>
      </c>
      <c r="X15532" t="s">
        <v>47468</v>
      </c>
    </row>
    <row r="15533" spans="1:24">
      <c r="A15533">
        <f>HYPERLINK("https://www.philgeps.gov.ph/GEPSNONPILOT/Tender/SplashBidNoticeAbstractUI.aspx?menuIndex=3&amp;refID=7073448&amp;Result=3","7073448")</f>
        <v>0</v>
      </c>
      <c r="B15533" t="s">
        <v>3238</v>
      </c>
      <c r="C15533" t="s">
        <v>18615</v>
      </c>
      <c r="D15533" t="s">
        <v>19086</v>
      </c>
      <c r="E15533" t="s">
        <v>32461</v>
      </c>
      <c r="F15533" t="s">
        <v>32831</v>
      </c>
      <c r="G15533" t="s">
        <v>32839</v>
      </c>
      <c r="H15533" t="s">
        <v>32849</v>
      </c>
      <c r="I15533" t="s">
        <v>4177</v>
      </c>
      <c r="J15533" t="s">
        <v>34778</v>
      </c>
      <c r="K15533" t="s">
        <v>42770</v>
      </c>
      <c r="M15533" t="s">
        <v>46553</v>
      </c>
      <c r="N15533" t="s">
        <v>47424</v>
      </c>
      <c r="O15533" t="s">
        <v>47425</v>
      </c>
      <c r="Q15533">
        <v>8</v>
      </c>
      <c r="R15533" t="s">
        <v>47466</v>
      </c>
      <c r="S15533" t="s">
        <v>48841</v>
      </c>
      <c r="T15533" t="s">
        <v>49065</v>
      </c>
      <c r="U15533" t="s">
        <v>62281</v>
      </c>
      <c r="W15533" t="s">
        <v>46553</v>
      </c>
      <c r="X15533" t="s">
        <v>47470</v>
      </c>
    </row>
    <row r="15534" spans="1:24">
      <c r="A15534">
        <f>HYPERLINK("https://www.philgeps.gov.ph/GEPSNONPILOT/Tender/SplashBidNoticeAbstractUI.aspx?menuIndex=3&amp;refID=7072409&amp;Result=3","7072409")</f>
        <v>0</v>
      </c>
      <c r="B15534" t="s">
        <v>2130</v>
      </c>
      <c r="C15534" t="s">
        <v>18616</v>
      </c>
      <c r="D15534" t="s">
        <v>19017</v>
      </c>
      <c r="E15534" t="s">
        <v>32462</v>
      </c>
      <c r="F15534" t="s">
        <v>32831</v>
      </c>
      <c r="G15534" t="s">
        <v>32839</v>
      </c>
      <c r="H15534" t="s">
        <v>32848</v>
      </c>
      <c r="I15534" t="s">
        <v>14069</v>
      </c>
      <c r="J15534" t="s">
        <v>33727</v>
      </c>
      <c r="K15534" t="s">
        <v>42770</v>
      </c>
      <c r="M15534" t="s">
        <v>47382</v>
      </c>
      <c r="N15534" t="s">
        <v>47424</v>
      </c>
      <c r="O15534" t="s">
        <v>47425</v>
      </c>
      <c r="Q15534">
        <v>6</v>
      </c>
      <c r="R15534" t="s">
        <v>47470</v>
      </c>
      <c r="S15534" t="s">
        <v>48842</v>
      </c>
      <c r="T15534" t="s">
        <v>49487</v>
      </c>
      <c r="U15534" t="s">
        <v>62282</v>
      </c>
      <c r="V15534" t="s">
        <v>64392</v>
      </c>
      <c r="W15534" t="s">
        <v>47382</v>
      </c>
      <c r="X15534" t="s">
        <v>47468</v>
      </c>
    </row>
    <row r="15535" spans="1:24">
      <c r="A15535">
        <f>HYPERLINK("https://www.philgeps.gov.ph/GEPSNONPILOT/Tender/SplashBidNoticeAbstractUI.aspx?menuIndex=3&amp;refID=7072385&amp;Result=3","7072385")</f>
        <v>0</v>
      </c>
      <c r="B15535" t="s">
        <v>2130</v>
      </c>
      <c r="C15535" t="s">
        <v>18617</v>
      </c>
      <c r="D15535" t="s">
        <v>19017</v>
      </c>
      <c r="E15535" t="s">
        <v>32463</v>
      </c>
      <c r="F15535" t="s">
        <v>32831</v>
      </c>
      <c r="G15535" t="s">
        <v>32839</v>
      </c>
      <c r="H15535" t="s">
        <v>32848</v>
      </c>
      <c r="I15535" t="s">
        <v>14069</v>
      </c>
      <c r="J15535" t="s">
        <v>33727</v>
      </c>
      <c r="K15535" t="s">
        <v>42770</v>
      </c>
      <c r="M15535" t="s">
        <v>47382</v>
      </c>
      <c r="N15535" t="s">
        <v>47424</v>
      </c>
      <c r="O15535" t="s">
        <v>47425</v>
      </c>
      <c r="Q15535">
        <v>6</v>
      </c>
      <c r="R15535" t="s">
        <v>47470</v>
      </c>
      <c r="S15535" t="s">
        <v>48843</v>
      </c>
      <c r="T15535" t="s">
        <v>49487</v>
      </c>
      <c r="U15535" t="s">
        <v>62283</v>
      </c>
      <c r="V15535" t="s">
        <v>64391</v>
      </c>
      <c r="W15535" t="s">
        <v>47382</v>
      </c>
      <c r="X15535" t="s">
        <v>47468</v>
      </c>
    </row>
    <row r="15536" spans="1:24">
      <c r="A15536">
        <f>HYPERLINK("https://www.philgeps.gov.ph/GEPSNONPILOT/Tender/SplashBidNoticeAbstractUI.aspx?menuIndex=3&amp;refID=7064435&amp;Result=3","7064435")</f>
        <v>0</v>
      </c>
      <c r="B15536" t="s">
        <v>1115</v>
      </c>
      <c r="C15536" t="s">
        <v>18618</v>
      </c>
      <c r="E15536" t="s">
        <v>32464</v>
      </c>
      <c r="F15536" t="s">
        <v>32831</v>
      </c>
      <c r="G15536" t="s">
        <v>32845</v>
      </c>
      <c r="H15536" t="s">
        <v>32848</v>
      </c>
      <c r="I15536" t="s">
        <v>32953</v>
      </c>
      <c r="J15536" t="s">
        <v>37382</v>
      </c>
      <c r="K15536" t="s">
        <v>42732</v>
      </c>
      <c r="M15536" t="s">
        <v>46194</v>
      </c>
      <c r="N15536" t="s">
        <v>47424</v>
      </c>
      <c r="O15536" t="s">
        <v>47425</v>
      </c>
      <c r="Q15536">
        <v>10</v>
      </c>
      <c r="R15536" t="s">
        <v>47471</v>
      </c>
      <c r="S15536" t="s">
        <v>47950</v>
      </c>
      <c r="T15536" t="s">
        <v>49069</v>
      </c>
      <c r="U15536" t="s">
        <v>62284</v>
      </c>
      <c r="V15536" t="s">
        <v>64393</v>
      </c>
      <c r="W15536" t="s">
        <v>46194</v>
      </c>
      <c r="X15536" t="s">
        <v>47474</v>
      </c>
    </row>
    <row r="15537" spans="1:24">
      <c r="A15537">
        <f>HYPERLINK("https://www.philgeps.gov.ph/GEPSNONPILOT/Tender/SplashBidNoticeAbstractUI.aspx?menuIndex=3&amp;refID=7062707&amp;Result=3","7062707")</f>
        <v>0</v>
      </c>
      <c r="B15537" t="s">
        <v>3151</v>
      </c>
      <c r="C15537" t="s">
        <v>18619</v>
      </c>
      <c r="D15537" t="s">
        <v>19070</v>
      </c>
      <c r="E15537" t="s">
        <v>32465</v>
      </c>
      <c r="F15537" t="s">
        <v>32831</v>
      </c>
      <c r="G15537" t="s">
        <v>32839</v>
      </c>
      <c r="H15537" t="s">
        <v>32849</v>
      </c>
      <c r="I15537" t="s">
        <v>4177</v>
      </c>
      <c r="J15537" t="s">
        <v>36195</v>
      </c>
      <c r="K15537" t="s">
        <v>42848</v>
      </c>
      <c r="M15537" t="s">
        <v>46451</v>
      </c>
      <c r="N15537" t="s">
        <v>47424</v>
      </c>
      <c r="O15537" t="s">
        <v>47425</v>
      </c>
      <c r="Q15537">
        <v>8</v>
      </c>
      <c r="R15537" t="s">
        <v>47471</v>
      </c>
      <c r="S15537" t="s">
        <v>48844</v>
      </c>
      <c r="T15537" t="s">
        <v>49188</v>
      </c>
      <c r="U15537" t="s">
        <v>62285</v>
      </c>
      <c r="W15537" t="s">
        <v>46451</v>
      </c>
      <c r="X15537" t="s">
        <v>47474</v>
      </c>
    </row>
    <row r="15538" spans="1:24">
      <c r="A15538">
        <f>HYPERLINK("https://www.philgeps.gov.ph/GEPSNONPILOT/Tender/SplashBidNoticeAbstractUI.aspx?menuIndex=3&amp;refID=7062699&amp;Result=3","7062699")</f>
        <v>0</v>
      </c>
      <c r="B15538" t="s">
        <v>3151</v>
      </c>
      <c r="C15538" t="s">
        <v>18620</v>
      </c>
      <c r="D15538" t="s">
        <v>19070</v>
      </c>
      <c r="E15538" t="s">
        <v>32466</v>
      </c>
      <c r="F15538" t="s">
        <v>32831</v>
      </c>
      <c r="G15538" t="s">
        <v>32839</v>
      </c>
      <c r="H15538" t="s">
        <v>32849</v>
      </c>
      <c r="I15538" t="s">
        <v>4177</v>
      </c>
      <c r="J15538" t="s">
        <v>36195</v>
      </c>
      <c r="K15538" t="s">
        <v>42848</v>
      </c>
      <c r="M15538" t="s">
        <v>46451</v>
      </c>
      <c r="N15538" t="s">
        <v>47424</v>
      </c>
      <c r="O15538" t="s">
        <v>47425</v>
      </c>
      <c r="Q15538">
        <v>9</v>
      </c>
      <c r="R15538" t="s">
        <v>47471</v>
      </c>
      <c r="S15538" t="s">
        <v>48845</v>
      </c>
      <c r="T15538" t="s">
        <v>49077</v>
      </c>
      <c r="U15538" t="s">
        <v>62286</v>
      </c>
      <c r="W15538" t="s">
        <v>46451</v>
      </c>
      <c r="X15538" t="s">
        <v>47474</v>
      </c>
    </row>
    <row r="15539" spans="1:24">
      <c r="A15539">
        <f>HYPERLINK("https://www.philgeps.gov.ph/GEPSNONPILOT/Tender/SplashBidNoticeAbstractUI.aspx?menuIndex=3&amp;refID=7073406&amp;Result=3","7073406")</f>
        <v>0</v>
      </c>
      <c r="B15539" t="s">
        <v>3693</v>
      </c>
      <c r="C15539" t="s">
        <v>18621</v>
      </c>
      <c r="D15539" t="s">
        <v>19027</v>
      </c>
      <c r="E15539" t="s">
        <v>32467</v>
      </c>
      <c r="F15539" t="s">
        <v>32831</v>
      </c>
      <c r="G15539" t="s">
        <v>32839</v>
      </c>
      <c r="H15539" t="s">
        <v>32849</v>
      </c>
      <c r="I15539" t="s">
        <v>4177</v>
      </c>
      <c r="J15539" t="s">
        <v>42475</v>
      </c>
      <c r="K15539" t="s">
        <v>42809</v>
      </c>
      <c r="M15539" t="s">
        <v>47078</v>
      </c>
      <c r="N15539" t="s">
        <v>47424</v>
      </c>
      <c r="O15539" t="s">
        <v>47425</v>
      </c>
      <c r="Q15539">
        <v>12</v>
      </c>
      <c r="R15539" t="s">
        <v>47466</v>
      </c>
      <c r="S15539" t="s">
        <v>48846</v>
      </c>
      <c r="T15539" t="s">
        <v>49069</v>
      </c>
      <c r="U15539" t="s">
        <v>60990</v>
      </c>
      <c r="W15539" t="s">
        <v>47078</v>
      </c>
      <c r="X15539" t="s">
        <v>47470</v>
      </c>
    </row>
    <row r="15540" spans="1:24">
      <c r="A15540">
        <f>HYPERLINK("https://www.philgeps.gov.ph/GEPSNONPILOT/Tender/SplashBidNoticeAbstractUI.aspx?menuIndex=3&amp;refID=7062694&amp;Result=3","7062694")</f>
        <v>0</v>
      </c>
      <c r="B15540" t="s">
        <v>3151</v>
      </c>
      <c r="C15540" t="s">
        <v>18622</v>
      </c>
      <c r="D15540" t="s">
        <v>19070</v>
      </c>
      <c r="E15540" t="s">
        <v>32468</v>
      </c>
      <c r="F15540" t="s">
        <v>32831</v>
      </c>
      <c r="G15540" t="s">
        <v>32839</v>
      </c>
      <c r="H15540" t="s">
        <v>32849</v>
      </c>
      <c r="I15540" t="s">
        <v>4177</v>
      </c>
      <c r="J15540" t="s">
        <v>42476</v>
      </c>
      <c r="K15540" t="s">
        <v>42964</v>
      </c>
      <c r="M15540" t="s">
        <v>46451</v>
      </c>
      <c r="N15540" t="s">
        <v>47424</v>
      </c>
      <c r="O15540" t="s">
        <v>47425</v>
      </c>
      <c r="Q15540">
        <v>6</v>
      </c>
      <c r="R15540" t="s">
        <v>47471</v>
      </c>
      <c r="S15540" t="s">
        <v>48847</v>
      </c>
      <c r="T15540" t="s">
        <v>49188</v>
      </c>
      <c r="U15540" t="s">
        <v>62287</v>
      </c>
      <c r="W15540" t="s">
        <v>46451</v>
      </c>
      <c r="X15540" t="s">
        <v>47474</v>
      </c>
    </row>
    <row r="15541" spans="1:24">
      <c r="A15541">
        <f>HYPERLINK("https://www.philgeps.gov.ph/GEPSNONPILOT/Tender/SplashBidNoticeAbstractUI.aspx?menuIndex=3&amp;refID=7062688&amp;Result=3","7062688")</f>
        <v>0</v>
      </c>
      <c r="B15541" t="s">
        <v>3151</v>
      </c>
      <c r="C15541" t="s">
        <v>18623</v>
      </c>
      <c r="D15541" t="s">
        <v>19070</v>
      </c>
      <c r="E15541" t="s">
        <v>32469</v>
      </c>
      <c r="F15541" t="s">
        <v>32831</v>
      </c>
      <c r="G15541" t="s">
        <v>32839</v>
      </c>
      <c r="H15541" t="s">
        <v>32849</v>
      </c>
      <c r="I15541" t="s">
        <v>4177</v>
      </c>
      <c r="J15541" t="s">
        <v>39709</v>
      </c>
      <c r="K15541" t="s">
        <v>42922</v>
      </c>
      <c r="M15541" t="s">
        <v>46451</v>
      </c>
      <c r="N15541" t="s">
        <v>47424</v>
      </c>
      <c r="O15541" t="s">
        <v>47425</v>
      </c>
      <c r="Q15541">
        <v>8</v>
      </c>
      <c r="R15541" t="s">
        <v>47471</v>
      </c>
      <c r="S15541" t="s">
        <v>48848</v>
      </c>
      <c r="T15541" t="s">
        <v>49188</v>
      </c>
      <c r="U15541" t="s">
        <v>62288</v>
      </c>
      <c r="W15541" t="s">
        <v>46451</v>
      </c>
      <c r="X15541" t="s">
        <v>47474</v>
      </c>
    </row>
    <row r="15542" spans="1:24">
      <c r="A15542">
        <f>HYPERLINK("https://www.philgeps.gov.ph/GEPSNONPILOT/Tender/SplashBidNoticeAbstractUI.aspx?menuIndex=3&amp;refID=7079411&amp;Result=3","7079411")</f>
        <v>0</v>
      </c>
      <c r="B15542" t="s">
        <v>3899</v>
      </c>
      <c r="C15542" t="s">
        <v>18624</v>
      </c>
      <c r="D15542" t="s">
        <v>19046</v>
      </c>
      <c r="E15542" t="s">
        <v>32470</v>
      </c>
      <c r="F15542" t="s">
        <v>32831</v>
      </c>
      <c r="G15542" t="s">
        <v>32839</v>
      </c>
      <c r="H15542" t="s">
        <v>32849</v>
      </c>
      <c r="I15542" t="s">
        <v>4177</v>
      </c>
      <c r="J15542" t="s">
        <v>42456</v>
      </c>
      <c r="K15542" t="s">
        <v>42869</v>
      </c>
      <c r="M15542" t="s">
        <v>47370</v>
      </c>
      <c r="N15542" t="s">
        <v>47424</v>
      </c>
      <c r="O15542" t="s">
        <v>47425</v>
      </c>
      <c r="Q15542">
        <v>1</v>
      </c>
      <c r="R15542" t="s">
        <v>47461</v>
      </c>
      <c r="S15542" t="s">
        <v>47833</v>
      </c>
      <c r="T15542" t="s">
        <v>49129</v>
      </c>
      <c r="U15542" t="s">
        <v>62226</v>
      </c>
      <c r="W15542" t="s">
        <v>47370</v>
      </c>
      <c r="X15542" t="s">
        <v>47464</v>
      </c>
    </row>
    <row r="15543" spans="1:24">
      <c r="A15543">
        <f>HYPERLINK("https://www.philgeps.gov.ph/GEPSNONPILOT/Tender/SplashBidNoticeAbstractUI.aspx?menuIndex=3&amp;refID=7062607&amp;Result=3","7062607")</f>
        <v>0</v>
      </c>
      <c r="B15543" t="s">
        <v>3151</v>
      </c>
      <c r="C15543" t="s">
        <v>18625</v>
      </c>
      <c r="D15543" t="s">
        <v>19070</v>
      </c>
      <c r="E15543" t="s">
        <v>32471</v>
      </c>
      <c r="F15543" t="s">
        <v>32831</v>
      </c>
      <c r="G15543" t="s">
        <v>32839</v>
      </c>
      <c r="H15543" t="s">
        <v>32849</v>
      </c>
      <c r="I15543" t="s">
        <v>4177</v>
      </c>
      <c r="J15543" t="s">
        <v>42477</v>
      </c>
      <c r="K15543" t="s">
        <v>43010</v>
      </c>
      <c r="M15543" t="s">
        <v>46451</v>
      </c>
      <c r="N15543" t="s">
        <v>47424</v>
      </c>
      <c r="O15543" t="s">
        <v>47425</v>
      </c>
      <c r="Q15543">
        <v>8</v>
      </c>
      <c r="R15543" t="s">
        <v>47471</v>
      </c>
      <c r="S15543" t="s">
        <v>48672</v>
      </c>
      <c r="T15543" t="s">
        <v>49188</v>
      </c>
      <c r="U15543" t="s">
        <v>62289</v>
      </c>
      <c r="W15543" t="s">
        <v>46451</v>
      </c>
      <c r="X15543" t="s">
        <v>47474</v>
      </c>
    </row>
    <row r="15544" spans="1:24">
      <c r="A15544">
        <f>HYPERLINK("https://www.philgeps.gov.ph/GEPSNONPILOT/Tender/SplashBidNoticeAbstractUI.aspx?menuIndex=3&amp;refID=7062721&amp;Result=3","7062721")</f>
        <v>0</v>
      </c>
      <c r="B15544" t="s">
        <v>3151</v>
      </c>
      <c r="C15544" t="s">
        <v>18626</v>
      </c>
      <c r="D15544" t="s">
        <v>19070</v>
      </c>
      <c r="E15544" t="s">
        <v>32472</v>
      </c>
      <c r="F15544" t="s">
        <v>32831</v>
      </c>
      <c r="G15544" t="s">
        <v>32839</v>
      </c>
      <c r="H15544" t="s">
        <v>32849</v>
      </c>
      <c r="I15544" t="s">
        <v>4177</v>
      </c>
      <c r="J15544" t="s">
        <v>36195</v>
      </c>
      <c r="K15544" t="s">
        <v>42848</v>
      </c>
      <c r="M15544" t="s">
        <v>46451</v>
      </c>
      <c r="N15544" t="s">
        <v>47424</v>
      </c>
      <c r="O15544" t="s">
        <v>47425</v>
      </c>
      <c r="Q15544">
        <v>7</v>
      </c>
      <c r="R15544" t="s">
        <v>47471</v>
      </c>
      <c r="S15544" t="s">
        <v>48849</v>
      </c>
      <c r="T15544" t="s">
        <v>49188</v>
      </c>
      <c r="U15544" t="s">
        <v>62290</v>
      </c>
      <c r="W15544" t="s">
        <v>46451</v>
      </c>
      <c r="X15544" t="s">
        <v>47474</v>
      </c>
    </row>
    <row r="15545" spans="1:24">
      <c r="A15545">
        <f>HYPERLINK("https://www.philgeps.gov.ph/GEPSNONPILOT/Tender/SplashBidNoticeAbstractUI.aspx?menuIndex=3&amp;refID=7044828&amp;Result=3","7044828")</f>
        <v>0</v>
      </c>
      <c r="B15545" t="s">
        <v>3904</v>
      </c>
      <c r="C15545" t="s">
        <v>18627</v>
      </c>
      <c r="D15545" t="s">
        <v>19038</v>
      </c>
      <c r="E15545" t="s">
        <v>32473</v>
      </c>
      <c r="F15545" t="s">
        <v>32833</v>
      </c>
      <c r="G15545" t="s">
        <v>32839</v>
      </c>
      <c r="H15545" t="s">
        <v>32849</v>
      </c>
      <c r="I15545" t="s">
        <v>4177</v>
      </c>
      <c r="J15545" t="s">
        <v>42478</v>
      </c>
      <c r="K15545" t="s">
        <v>42798</v>
      </c>
      <c r="L15545" t="s">
        <v>3904</v>
      </c>
      <c r="M15545" t="s">
        <v>47383</v>
      </c>
      <c r="N15545" t="s">
        <v>47424</v>
      </c>
      <c r="O15545" t="s">
        <v>47425</v>
      </c>
      <c r="Q15545">
        <v>0</v>
      </c>
      <c r="R15545" t="s">
        <v>47472</v>
      </c>
      <c r="S15545" t="s">
        <v>48850</v>
      </c>
      <c r="T15545" t="s">
        <v>49237</v>
      </c>
      <c r="U15545" t="s">
        <v>62291</v>
      </c>
      <c r="W15545" t="s">
        <v>47383</v>
      </c>
      <c r="X15545" t="s">
        <v>64582</v>
      </c>
    </row>
    <row r="15546" spans="1:24">
      <c r="A15546">
        <f>HYPERLINK("https://www.philgeps.gov.ph/GEPSNONPILOT/Tender/SplashBidNoticeAbstractUI.aspx?menuIndex=3&amp;refID=7062617&amp;Result=3","7062617")</f>
        <v>0</v>
      </c>
      <c r="B15546" t="s">
        <v>3151</v>
      </c>
      <c r="C15546" t="s">
        <v>18628</v>
      </c>
      <c r="D15546" t="s">
        <v>19070</v>
      </c>
      <c r="E15546" t="s">
        <v>32474</v>
      </c>
      <c r="F15546" t="s">
        <v>32831</v>
      </c>
      <c r="G15546" t="s">
        <v>32839</v>
      </c>
      <c r="H15546" t="s">
        <v>32849</v>
      </c>
      <c r="I15546" t="s">
        <v>4177</v>
      </c>
      <c r="J15546" t="s">
        <v>39709</v>
      </c>
      <c r="K15546" t="s">
        <v>42922</v>
      </c>
      <c r="M15546" t="s">
        <v>46451</v>
      </c>
      <c r="N15546" t="s">
        <v>47424</v>
      </c>
      <c r="O15546" t="s">
        <v>47425</v>
      </c>
      <c r="Q15546">
        <v>9</v>
      </c>
      <c r="R15546" t="s">
        <v>47471</v>
      </c>
      <c r="S15546" t="s">
        <v>48088</v>
      </c>
      <c r="T15546" t="s">
        <v>49188</v>
      </c>
      <c r="U15546" t="s">
        <v>62292</v>
      </c>
      <c r="V15546" t="s">
        <v>64394</v>
      </c>
      <c r="W15546" t="s">
        <v>46451</v>
      </c>
      <c r="X15546" t="s">
        <v>47474</v>
      </c>
    </row>
    <row r="15547" spans="1:24">
      <c r="A15547">
        <f>HYPERLINK("https://www.philgeps.gov.ph/GEPSNONPILOT/Tender/SplashBidNoticeAbstractUI.aspx?menuIndex=3&amp;refID=7052567&amp;Result=3","7052567")</f>
        <v>0</v>
      </c>
      <c r="B15547" t="s">
        <v>1256</v>
      </c>
      <c r="C15547" t="s">
        <v>18629</v>
      </c>
      <c r="D15547" t="s">
        <v>19033</v>
      </c>
      <c r="E15547" t="s">
        <v>32475</v>
      </c>
      <c r="F15547" t="s">
        <v>32831</v>
      </c>
      <c r="G15547" t="s">
        <v>32838</v>
      </c>
      <c r="H15547" t="s">
        <v>32849</v>
      </c>
      <c r="I15547" t="s">
        <v>4177</v>
      </c>
      <c r="J15547" t="s">
        <v>42479</v>
      </c>
      <c r="K15547" t="s">
        <v>42730</v>
      </c>
      <c r="M15547" t="s">
        <v>44326</v>
      </c>
      <c r="N15547" t="s">
        <v>47424</v>
      </c>
      <c r="O15547" t="s">
        <v>47425</v>
      </c>
      <c r="Q15547">
        <v>1</v>
      </c>
      <c r="R15547" t="s">
        <v>47473</v>
      </c>
      <c r="S15547" t="s">
        <v>48851</v>
      </c>
      <c r="T15547" t="s">
        <v>49104</v>
      </c>
      <c r="U15547" t="s">
        <v>62293</v>
      </c>
      <c r="W15547" t="s">
        <v>44326</v>
      </c>
      <c r="X15547" t="s">
        <v>64580</v>
      </c>
    </row>
    <row r="15548" spans="1:24">
      <c r="A15548">
        <f>HYPERLINK("https://www.philgeps.gov.ph/GEPSNONPILOT/Tender/SplashBidNoticeAbstractUI.aspx?menuIndex=3&amp;refID=7060123&amp;Result=3","7060123")</f>
        <v>0</v>
      </c>
      <c r="B15548" t="s">
        <v>1115</v>
      </c>
      <c r="C15548" t="s">
        <v>18630</v>
      </c>
      <c r="D15548" t="s">
        <v>19017</v>
      </c>
      <c r="E15548" t="s">
        <v>32476</v>
      </c>
      <c r="F15548" t="s">
        <v>32831</v>
      </c>
      <c r="G15548" t="s">
        <v>32839</v>
      </c>
      <c r="H15548" t="s">
        <v>32848</v>
      </c>
      <c r="I15548" t="s">
        <v>4487</v>
      </c>
      <c r="J15548" t="s">
        <v>33055</v>
      </c>
      <c r="K15548" t="s">
        <v>42732</v>
      </c>
      <c r="M15548" t="s">
        <v>44377</v>
      </c>
      <c r="N15548" t="s">
        <v>47424</v>
      </c>
      <c r="O15548" t="s">
        <v>47425</v>
      </c>
      <c r="Q15548">
        <v>21</v>
      </c>
      <c r="R15548" t="s">
        <v>47474</v>
      </c>
      <c r="S15548" t="s">
        <v>48852</v>
      </c>
      <c r="T15548" t="s">
        <v>49166</v>
      </c>
      <c r="U15548" t="s">
        <v>62294</v>
      </c>
      <c r="W15548" t="s">
        <v>44377</v>
      </c>
      <c r="X15548" t="s">
        <v>47478</v>
      </c>
    </row>
    <row r="15549" spans="1:24">
      <c r="A15549">
        <f>HYPERLINK("https://www.philgeps.gov.ph/GEPSNONPILOT/Tender/SplashBidNoticeAbstractUI.aspx?menuIndex=3&amp;refID=7052442&amp;Result=3","7052442")</f>
        <v>0</v>
      </c>
      <c r="B15549" t="s">
        <v>3852</v>
      </c>
      <c r="C15549" t="s">
        <v>18631</v>
      </c>
      <c r="D15549" t="s">
        <v>19017</v>
      </c>
      <c r="E15549" t="s">
        <v>32477</v>
      </c>
      <c r="F15549" t="s">
        <v>32831</v>
      </c>
      <c r="G15549" t="s">
        <v>32839</v>
      </c>
      <c r="H15549" t="s">
        <v>32849</v>
      </c>
      <c r="I15549" t="s">
        <v>4177</v>
      </c>
      <c r="J15549" t="s">
        <v>42480</v>
      </c>
      <c r="K15549" t="s">
        <v>42893</v>
      </c>
      <c r="M15549" t="s">
        <v>47285</v>
      </c>
      <c r="N15549" t="s">
        <v>47424</v>
      </c>
      <c r="O15549" t="s">
        <v>47425</v>
      </c>
      <c r="Q15549">
        <v>19</v>
      </c>
      <c r="R15549" t="s">
        <v>47473</v>
      </c>
      <c r="S15549" t="s">
        <v>48853</v>
      </c>
      <c r="T15549" t="s">
        <v>49080</v>
      </c>
      <c r="U15549" t="s">
        <v>62295</v>
      </c>
      <c r="W15549" t="s">
        <v>47285</v>
      </c>
      <c r="X15549" t="s">
        <v>64580</v>
      </c>
    </row>
    <row r="15550" spans="1:24">
      <c r="A15550">
        <f>HYPERLINK("https://www.philgeps.gov.ph/GEPSNONPILOT/Tender/SplashBidNoticeAbstractUI.aspx?menuIndex=3&amp;refID=7055166&amp;Result=3","7055166")</f>
        <v>0</v>
      </c>
      <c r="B15550" t="s">
        <v>1362</v>
      </c>
      <c r="C15550" t="s">
        <v>18632</v>
      </c>
      <c r="D15550" t="s">
        <v>19017</v>
      </c>
      <c r="E15550" t="s">
        <v>32478</v>
      </c>
      <c r="F15550" t="s">
        <v>32831</v>
      </c>
      <c r="G15550" t="s">
        <v>32838</v>
      </c>
      <c r="H15550" t="s">
        <v>32848</v>
      </c>
      <c r="I15550" t="s">
        <v>32874</v>
      </c>
      <c r="J15550" t="s">
        <v>42481</v>
      </c>
      <c r="K15550" t="s">
        <v>42730</v>
      </c>
      <c r="M15550" t="s">
        <v>44441</v>
      </c>
      <c r="N15550" t="s">
        <v>47424</v>
      </c>
      <c r="O15550" t="s">
        <v>47425</v>
      </c>
      <c r="Q15550">
        <v>13</v>
      </c>
      <c r="R15550" t="s">
        <v>47475</v>
      </c>
      <c r="S15550" t="s">
        <v>48854</v>
      </c>
      <c r="T15550" t="s">
        <v>49198</v>
      </c>
      <c r="U15550" t="s">
        <v>62296</v>
      </c>
      <c r="W15550" t="s">
        <v>44441</v>
      </c>
      <c r="X15550" t="s">
        <v>47473</v>
      </c>
    </row>
    <row r="15551" spans="1:24">
      <c r="A15551">
        <f>HYPERLINK("https://www.philgeps.gov.ph/GEPSNONPILOT/Tender/SplashBidNoticeAbstractUI.aspx?menuIndex=3&amp;refID=7057039&amp;Result=3","7057039")</f>
        <v>0</v>
      </c>
      <c r="B15551" t="s">
        <v>67</v>
      </c>
      <c r="C15551" t="s">
        <v>18633</v>
      </c>
      <c r="D15551" t="s">
        <v>19079</v>
      </c>
      <c r="E15551" t="s">
        <v>32479</v>
      </c>
      <c r="F15551" t="s">
        <v>32831</v>
      </c>
      <c r="G15551" t="s">
        <v>32838</v>
      </c>
      <c r="H15551" t="s">
        <v>32848</v>
      </c>
      <c r="I15551" t="s">
        <v>32863</v>
      </c>
      <c r="J15551" t="s">
        <v>33072</v>
      </c>
      <c r="K15551" t="s">
        <v>42730</v>
      </c>
      <c r="M15551" t="s">
        <v>44461</v>
      </c>
      <c r="N15551" t="s">
        <v>47424</v>
      </c>
      <c r="O15551" t="s">
        <v>47425</v>
      </c>
      <c r="Q15551">
        <v>6</v>
      </c>
      <c r="R15551" t="s">
        <v>47476</v>
      </c>
      <c r="S15551" t="s">
        <v>48855</v>
      </c>
      <c r="T15551" t="s">
        <v>49166</v>
      </c>
      <c r="U15551" t="s">
        <v>62297</v>
      </c>
      <c r="W15551" t="s">
        <v>44461</v>
      </c>
      <c r="X15551" t="s">
        <v>47475</v>
      </c>
    </row>
    <row r="15552" spans="1:24">
      <c r="A15552">
        <f>HYPERLINK("https://www.philgeps.gov.ph/GEPSNONPILOT/Tender/SplashBidNoticeAbstractUI.aspx?menuIndex=3&amp;refID=7059576&amp;Result=3","7059576")</f>
        <v>0</v>
      </c>
      <c r="B15552" t="s">
        <v>832</v>
      </c>
      <c r="C15552" t="s">
        <v>18634</v>
      </c>
      <c r="D15552" t="s">
        <v>19017</v>
      </c>
      <c r="E15552" t="s">
        <v>32480</v>
      </c>
      <c r="F15552" t="s">
        <v>32831</v>
      </c>
      <c r="G15552" t="s">
        <v>32842</v>
      </c>
      <c r="H15552" t="s">
        <v>32848</v>
      </c>
      <c r="I15552" t="s">
        <v>32860</v>
      </c>
      <c r="J15552" t="s">
        <v>42482</v>
      </c>
      <c r="K15552" t="s">
        <v>42727</v>
      </c>
      <c r="M15552" t="s">
        <v>43864</v>
      </c>
      <c r="N15552" t="s">
        <v>47424</v>
      </c>
      <c r="O15552" t="s">
        <v>47425</v>
      </c>
      <c r="Q15552">
        <v>10</v>
      </c>
      <c r="R15552" t="s">
        <v>47474</v>
      </c>
      <c r="S15552" t="s">
        <v>48856</v>
      </c>
      <c r="T15552" t="s">
        <v>49127</v>
      </c>
      <c r="U15552" t="s">
        <v>51215</v>
      </c>
      <c r="V15552" t="s">
        <v>62842</v>
      </c>
      <c r="W15552" t="s">
        <v>43864</v>
      </c>
      <c r="X15552" t="s">
        <v>47478</v>
      </c>
    </row>
    <row r="15553" spans="1:24">
      <c r="A15553">
        <f>HYPERLINK("https://www.philgeps.gov.ph/GEPSNONPILOT/Tender/SplashBidNoticeAbstractUI.aspx?menuIndex=3&amp;refID=7050791&amp;Result=3","7050791")</f>
        <v>0</v>
      </c>
      <c r="B15553" t="s">
        <v>1221</v>
      </c>
      <c r="C15553" t="s">
        <v>18635</v>
      </c>
      <c r="E15553" t="s">
        <v>32481</v>
      </c>
      <c r="F15553" t="s">
        <v>32831</v>
      </c>
      <c r="G15553" t="s">
        <v>32839</v>
      </c>
      <c r="H15553" t="s">
        <v>32848</v>
      </c>
      <c r="I15553" t="s">
        <v>7751</v>
      </c>
      <c r="J15553" t="s">
        <v>42483</v>
      </c>
      <c r="K15553" t="s">
        <v>42732</v>
      </c>
      <c r="M15553" t="s">
        <v>44289</v>
      </c>
      <c r="N15553" t="s">
        <v>47424</v>
      </c>
      <c r="O15553" t="s">
        <v>47425</v>
      </c>
      <c r="Q15553">
        <v>2</v>
      </c>
      <c r="R15553" t="s">
        <v>47476</v>
      </c>
      <c r="S15553" t="s">
        <v>48857</v>
      </c>
      <c r="T15553" t="s">
        <v>49338</v>
      </c>
      <c r="U15553" t="s">
        <v>62298</v>
      </c>
      <c r="V15553" t="s">
        <v>64395</v>
      </c>
      <c r="W15553" t="s">
        <v>44289</v>
      </c>
      <c r="X15553" t="s">
        <v>64580</v>
      </c>
    </row>
    <row r="15554" spans="1:24">
      <c r="A15554">
        <f>HYPERLINK("https://www.philgeps.gov.ph/GEPSNONPILOT/Tender/SplashBidNoticeAbstractUI.aspx?menuIndex=3&amp;refID=7062662&amp;Result=3","7062662")</f>
        <v>0</v>
      </c>
      <c r="B15554" t="s">
        <v>3151</v>
      </c>
      <c r="C15554" t="s">
        <v>18636</v>
      </c>
      <c r="D15554" t="s">
        <v>19070</v>
      </c>
      <c r="E15554" t="s">
        <v>32482</v>
      </c>
      <c r="F15554" t="s">
        <v>32831</v>
      </c>
      <c r="G15554" t="s">
        <v>32839</v>
      </c>
      <c r="H15554" t="s">
        <v>32849</v>
      </c>
      <c r="I15554" t="s">
        <v>4177</v>
      </c>
      <c r="J15554" t="s">
        <v>39709</v>
      </c>
      <c r="K15554" t="s">
        <v>42922</v>
      </c>
      <c r="M15554" t="s">
        <v>46451</v>
      </c>
      <c r="N15554" t="s">
        <v>47424</v>
      </c>
      <c r="O15554" t="s">
        <v>47425</v>
      </c>
      <c r="Q15554">
        <v>7</v>
      </c>
      <c r="R15554" t="s">
        <v>47471</v>
      </c>
      <c r="S15554" t="s">
        <v>48858</v>
      </c>
      <c r="T15554" t="s">
        <v>49188</v>
      </c>
      <c r="U15554" t="s">
        <v>62299</v>
      </c>
      <c r="W15554" t="s">
        <v>46451</v>
      </c>
      <c r="X15554" t="s">
        <v>47474</v>
      </c>
    </row>
    <row r="15555" spans="1:24">
      <c r="A15555">
        <f>HYPERLINK("https://www.philgeps.gov.ph/GEPSNONPILOT/Tender/SplashBidNoticeAbstractUI.aspx?menuIndex=3&amp;refID=7058406&amp;Result=3","7058406")</f>
        <v>0</v>
      </c>
      <c r="B15555" t="s">
        <v>3238</v>
      </c>
      <c r="C15555" t="s">
        <v>18637</v>
      </c>
      <c r="D15555" t="s">
        <v>19086</v>
      </c>
      <c r="E15555" t="s">
        <v>32483</v>
      </c>
      <c r="F15555" t="s">
        <v>32831</v>
      </c>
      <c r="G15555" t="s">
        <v>32839</v>
      </c>
      <c r="H15555" t="s">
        <v>32849</v>
      </c>
      <c r="I15555" t="s">
        <v>4177</v>
      </c>
      <c r="J15555" t="s">
        <v>42484</v>
      </c>
      <c r="K15555" t="s">
        <v>42729</v>
      </c>
      <c r="M15555" t="s">
        <v>46553</v>
      </c>
      <c r="N15555" t="s">
        <v>47424</v>
      </c>
      <c r="O15555" t="s">
        <v>47425</v>
      </c>
      <c r="Q15555">
        <v>2</v>
      </c>
      <c r="R15555" t="s">
        <v>47477</v>
      </c>
      <c r="S15555" t="s">
        <v>48859</v>
      </c>
      <c r="T15555" t="s">
        <v>49181</v>
      </c>
      <c r="U15555" t="s">
        <v>62300</v>
      </c>
      <c r="W15555" t="s">
        <v>46553</v>
      </c>
      <c r="X15555" t="s">
        <v>47476</v>
      </c>
    </row>
    <row r="15556" spans="1:24">
      <c r="A15556">
        <f>HYPERLINK("https://www.philgeps.gov.ph/GEPSNONPILOT/Tender/SplashBidNoticeAbstractUI.aspx?menuIndex=3&amp;refID=7058396&amp;Result=3","7058396")</f>
        <v>0</v>
      </c>
      <c r="B15556" t="s">
        <v>3238</v>
      </c>
      <c r="C15556" t="s">
        <v>18638</v>
      </c>
      <c r="D15556" t="s">
        <v>19086</v>
      </c>
      <c r="E15556" t="s">
        <v>32484</v>
      </c>
      <c r="F15556" t="s">
        <v>32831</v>
      </c>
      <c r="G15556" t="s">
        <v>32839</v>
      </c>
      <c r="H15556" t="s">
        <v>32849</v>
      </c>
      <c r="I15556" t="s">
        <v>4177</v>
      </c>
      <c r="J15556" t="s">
        <v>38993</v>
      </c>
      <c r="K15556" t="s">
        <v>42770</v>
      </c>
      <c r="M15556" t="s">
        <v>46553</v>
      </c>
      <c r="N15556" t="s">
        <v>47424</v>
      </c>
      <c r="O15556" t="s">
        <v>47425</v>
      </c>
      <c r="Q15556">
        <v>3</v>
      </c>
      <c r="R15556" t="s">
        <v>47477</v>
      </c>
      <c r="S15556" t="s">
        <v>48860</v>
      </c>
      <c r="T15556" t="s">
        <v>49181</v>
      </c>
      <c r="U15556" t="s">
        <v>62301</v>
      </c>
      <c r="W15556" t="s">
        <v>46553</v>
      </c>
      <c r="X15556" t="s">
        <v>47476</v>
      </c>
    </row>
    <row r="15557" spans="1:24">
      <c r="A15557">
        <f>HYPERLINK("https://www.philgeps.gov.ph/GEPSNONPILOT/Tender/SplashBidNoticeAbstractUI.aspx?menuIndex=3&amp;refID=7058405&amp;Result=3","7058405")</f>
        <v>0</v>
      </c>
      <c r="B15557" t="s">
        <v>3238</v>
      </c>
      <c r="C15557" t="s">
        <v>18639</v>
      </c>
      <c r="D15557" t="s">
        <v>19086</v>
      </c>
      <c r="E15557" t="s">
        <v>32485</v>
      </c>
      <c r="F15557" t="s">
        <v>32831</v>
      </c>
      <c r="G15557" t="s">
        <v>32839</v>
      </c>
      <c r="H15557" t="s">
        <v>32849</v>
      </c>
      <c r="I15557" t="s">
        <v>4177</v>
      </c>
      <c r="J15557" t="s">
        <v>42464</v>
      </c>
      <c r="K15557" t="s">
        <v>42761</v>
      </c>
      <c r="M15557" t="s">
        <v>46553</v>
      </c>
      <c r="N15557" t="s">
        <v>47424</v>
      </c>
      <c r="O15557" t="s">
        <v>47425</v>
      </c>
      <c r="Q15557">
        <v>6</v>
      </c>
      <c r="R15557" t="s">
        <v>47477</v>
      </c>
      <c r="S15557" t="s">
        <v>48859</v>
      </c>
      <c r="T15557" t="s">
        <v>49181</v>
      </c>
      <c r="U15557" t="s">
        <v>62264</v>
      </c>
      <c r="W15557" t="s">
        <v>46553</v>
      </c>
      <c r="X15557" t="s">
        <v>47476</v>
      </c>
    </row>
    <row r="15558" spans="1:24">
      <c r="A15558">
        <f>HYPERLINK("https://www.philgeps.gov.ph/GEPSNONPILOT/Tender/SplashBidNoticeAbstractUI.aspx?menuIndex=3&amp;refID=7058275&amp;Result=3","7058275")</f>
        <v>0</v>
      </c>
      <c r="B15558" t="s">
        <v>3238</v>
      </c>
      <c r="C15558" t="s">
        <v>18640</v>
      </c>
      <c r="D15558" t="s">
        <v>19086</v>
      </c>
      <c r="E15558" t="s">
        <v>32486</v>
      </c>
      <c r="F15558" t="s">
        <v>32831</v>
      </c>
      <c r="G15558" t="s">
        <v>32839</v>
      </c>
      <c r="H15558" t="s">
        <v>32849</v>
      </c>
      <c r="I15558" t="s">
        <v>4177</v>
      </c>
      <c r="J15558" t="s">
        <v>39982</v>
      </c>
      <c r="K15558" t="s">
        <v>42789</v>
      </c>
      <c r="M15558" t="s">
        <v>46553</v>
      </c>
      <c r="N15558" t="s">
        <v>47424</v>
      </c>
      <c r="O15558" t="s">
        <v>47425</v>
      </c>
      <c r="Q15558">
        <v>12</v>
      </c>
      <c r="R15558" t="s">
        <v>47477</v>
      </c>
      <c r="S15558" t="s">
        <v>48861</v>
      </c>
      <c r="T15558" t="s">
        <v>49181</v>
      </c>
      <c r="U15558" t="s">
        <v>58513</v>
      </c>
      <c r="W15558" t="s">
        <v>46553</v>
      </c>
      <c r="X15558" t="s">
        <v>47476</v>
      </c>
    </row>
    <row r="15559" spans="1:24">
      <c r="A15559">
        <f>HYPERLINK("https://www.philgeps.gov.ph/GEPSNONPILOT/Tender/SplashBidNoticeAbstractUI.aspx?menuIndex=3&amp;refID=7058270&amp;Result=3","7058270")</f>
        <v>0</v>
      </c>
      <c r="B15559" t="s">
        <v>3238</v>
      </c>
      <c r="C15559" t="s">
        <v>18641</v>
      </c>
      <c r="D15559" t="s">
        <v>19086</v>
      </c>
      <c r="E15559" t="s">
        <v>32487</v>
      </c>
      <c r="F15559" t="s">
        <v>32831</v>
      </c>
      <c r="G15559" t="s">
        <v>32839</v>
      </c>
      <c r="H15559" t="s">
        <v>32849</v>
      </c>
      <c r="I15559" t="s">
        <v>4177</v>
      </c>
      <c r="J15559" t="s">
        <v>41317</v>
      </c>
      <c r="K15559" t="s">
        <v>42770</v>
      </c>
      <c r="M15559" t="s">
        <v>46553</v>
      </c>
      <c r="N15559" t="s">
        <v>47424</v>
      </c>
      <c r="O15559" t="s">
        <v>47425</v>
      </c>
      <c r="Q15559">
        <v>5</v>
      </c>
      <c r="R15559" t="s">
        <v>47477</v>
      </c>
      <c r="S15559" t="s">
        <v>48862</v>
      </c>
      <c r="T15559" t="s">
        <v>49181</v>
      </c>
      <c r="U15559" t="s">
        <v>62302</v>
      </c>
      <c r="W15559" t="s">
        <v>46553</v>
      </c>
      <c r="X15559" t="s">
        <v>47476</v>
      </c>
    </row>
    <row r="15560" spans="1:24">
      <c r="A15560">
        <f>HYPERLINK("https://www.philgeps.gov.ph/GEPSNONPILOT/Tender/SplashBidNoticeAbstractUI.aspx?menuIndex=3&amp;refID=7058241&amp;Result=3","7058241")</f>
        <v>0</v>
      </c>
      <c r="B15560" t="s">
        <v>3238</v>
      </c>
      <c r="C15560" t="s">
        <v>18642</v>
      </c>
      <c r="D15560" t="s">
        <v>19086</v>
      </c>
      <c r="E15560" t="s">
        <v>32488</v>
      </c>
      <c r="F15560" t="s">
        <v>32831</v>
      </c>
      <c r="G15560" t="s">
        <v>32839</v>
      </c>
      <c r="H15560" t="s">
        <v>32849</v>
      </c>
      <c r="I15560" t="s">
        <v>4177</v>
      </c>
      <c r="J15560" t="s">
        <v>34778</v>
      </c>
      <c r="K15560" t="s">
        <v>42770</v>
      </c>
      <c r="M15560" t="s">
        <v>46553</v>
      </c>
      <c r="N15560" t="s">
        <v>47424</v>
      </c>
      <c r="O15560" t="s">
        <v>47425</v>
      </c>
      <c r="Q15560">
        <v>6</v>
      </c>
      <c r="R15560" t="s">
        <v>47477</v>
      </c>
      <c r="S15560" t="s">
        <v>48862</v>
      </c>
      <c r="T15560" t="s">
        <v>49181</v>
      </c>
      <c r="U15560" t="s">
        <v>62281</v>
      </c>
      <c r="W15560" t="s">
        <v>46553</v>
      </c>
      <c r="X15560" t="s">
        <v>47476</v>
      </c>
    </row>
    <row r="15561" spans="1:24">
      <c r="A15561">
        <f>HYPERLINK("https://www.philgeps.gov.ph/GEPSNONPILOT/Tender/SplashBidNoticeAbstractUI.aspx?menuIndex=3&amp;refID=7058277&amp;Result=3","7058277")</f>
        <v>0</v>
      </c>
      <c r="B15561" t="s">
        <v>3238</v>
      </c>
      <c r="C15561" t="s">
        <v>18643</v>
      </c>
      <c r="D15561" t="s">
        <v>19086</v>
      </c>
      <c r="E15561" t="s">
        <v>32489</v>
      </c>
      <c r="F15561" t="s">
        <v>32831</v>
      </c>
      <c r="G15561" t="s">
        <v>32839</v>
      </c>
      <c r="H15561" t="s">
        <v>32849</v>
      </c>
      <c r="I15561" t="s">
        <v>4177</v>
      </c>
      <c r="J15561" t="s">
        <v>42485</v>
      </c>
      <c r="K15561" t="s">
        <v>42757</v>
      </c>
      <c r="M15561" t="s">
        <v>46553</v>
      </c>
      <c r="N15561" t="s">
        <v>47424</v>
      </c>
      <c r="O15561" t="s">
        <v>47425</v>
      </c>
      <c r="Q15561">
        <v>8</v>
      </c>
      <c r="R15561" t="s">
        <v>47477</v>
      </c>
      <c r="S15561" t="s">
        <v>48861</v>
      </c>
      <c r="T15561" t="s">
        <v>49181</v>
      </c>
      <c r="U15561" t="s">
        <v>62281</v>
      </c>
      <c r="W15561" t="s">
        <v>46553</v>
      </c>
      <c r="X15561" t="s">
        <v>47476</v>
      </c>
    </row>
    <row r="15562" spans="1:24">
      <c r="A15562">
        <f>HYPERLINK("https://www.philgeps.gov.ph/GEPSNONPILOT/Tender/SplashBidNoticeAbstractUI.aspx?menuIndex=3&amp;refID=7058246&amp;Result=3","7058246")</f>
        <v>0</v>
      </c>
      <c r="B15562" t="s">
        <v>3238</v>
      </c>
      <c r="C15562" t="s">
        <v>18644</v>
      </c>
      <c r="D15562" t="s">
        <v>19086</v>
      </c>
      <c r="E15562" t="s">
        <v>32490</v>
      </c>
      <c r="F15562" t="s">
        <v>32831</v>
      </c>
      <c r="G15562" t="s">
        <v>32839</v>
      </c>
      <c r="H15562" t="s">
        <v>32849</v>
      </c>
      <c r="I15562" t="s">
        <v>4177</v>
      </c>
      <c r="J15562" t="s">
        <v>34778</v>
      </c>
      <c r="K15562" t="s">
        <v>42757</v>
      </c>
      <c r="M15562" t="s">
        <v>46553</v>
      </c>
      <c r="N15562" t="s">
        <v>47424</v>
      </c>
      <c r="O15562" t="s">
        <v>47425</v>
      </c>
      <c r="Q15562">
        <v>4</v>
      </c>
      <c r="R15562" t="s">
        <v>47477</v>
      </c>
      <c r="S15562" t="s">
        <v>48862</v>
      </c>
      <c r="T15562" t="s">
        <v>49181</v>
      </c>
      <c r="U15562" t="s">
        <v>62281</v>
      </c>
      <c r="W15562" t="s">
        <v>46553</v>
      </c>
      <c r="X15562" t="s">
        <v>47476</v>
      </c>
    </row>
    <row r="15563" spans="1:24">
      <c r="A15563">
        <f>HYPERLINK("https://www.philgeps.gov.ph/GEPSNONPILOT/Tender/SplashBidNoticeAbstractUI.aspx?menuIndex=3&amp;refID=7058770&amp;Result=3","7058770")</f>
        <v>0</v>
      </c>
      <c r="B15563" t="s">
        <v>160</v>
      </c>
      <c r="C15563" t="s">
        <v>18645</v>
      </c>
      <c r="D15563" t="s">
        <v>19088</v>
      </c>
      <c r="E15563" t="s">
        <v>32491</v>
      </c>
      <c r="F15563" t="s">
        <v>32831</v>
      </c>
      <c r="G15563" t="s">
        <v>32842</v>
      </c>
      <c r="H15563" t="s">
        <v>32848</v>
      </c>
      <c r="I15563" t="s">
        <v>4438</v>
      </c>
      <c r="J15563" t="s">
        <v>33087</v>
      </c>
      <c r="K15563" t="s">
        <v>42730</v>
      </c>
      <c r="M15563" t="s">
        <v>45098</v>
      </c>
      <c r="N15563" t="s">
        <v>47424</v>
      </c>
      <c r="O15563" t="s">
        <v>47425</v>
      </c>
      <c r="Q15563">
        <v>7</v>
      </c>
      <c r="R15563" t="s">
        <v>47478</v>
      </c>
      <c r="S15563" t="s">
        <v>47742</v>
      </c>
      <c r="T15563" t="s">
        <v>49214</v>
      </c>
      <c r="U15563" t="s">
        <v>53997</v>
      </c>
      <c r="W15563" t="s">
        <v>45098</v>
      </c>
      <c r="X15563" t="s">
        <v>47477</v>
      </c>
    </row>
    <row r="15564" spans="1:24">
      <c r="A15564">
        <f>HYPERLINK("https://www.philgeps.gov.ph/GEPSNONPILOT/Tender/SplashBidNoticeAbstractUI.aspx?menuIndex=3&amp;refID=7058414&amp;Result=3","7058414")</f>
        <v>0</v>
      </c>
      <c r="B15564" t="s">
        <v>3238</v>
      </c>
      <c r="C15564" t="s">
        <v>18646</v>
      </c>
      <c r="D15564" t="s">
        <v>19086</v>
      </c>
      <c r="E15564" t="s">
        <v>32492</v>
      </c>
      <c r="F15564" t="s">
        <v>32831</v>
      </c>
      <c r="G15564" t="s">
        <v>32839</v>
      </c>
      <c r="H15564" t="s">
        <v>32849</v>
      </c>
      <c r="I15564" t="s">
        <v>4177</v>
      </c>
      <c r="J15564" t="s">
        <v>42464</v>
      </c>
      <c r="K15564" t="s">
        <v>42761</v>
      </c>
      <c r="M15564" t="s">
        <v>46553</v>
      </c>
      <c r="N15564" t="s">
        <v>47424</v>
      </c>
      <c r="O15564" t="s">
        <v>47425</v>
      </c>
      <c r="Q15564">
        <v>8</v>
      </c>
      <c r="R15564" t="s">
        <v>47477</v>
      </c>
      <c r="S15564" t="s">
        <v>48863</v>
      </c>
      <c r="T15564" t="s">
        <v>49181</v>
      </c>
      <c r="U15564" t="s">
        <v>62264</v>
      </c>
      <c r="W15564" t="s">
        <v>46553</v>
      </c>
      <c r="X15564" t="s">
        <v>47476</v>
      </c>
    </row>
    <row r="15565" spans="1:24">
      <c r="A15565">
        <f>HYPERLINK("https://www.philgeps.gov.ph/GEPSNONPILOT/Tender/SplashBidNoticeAbstractUI.aspx?menuIndex=3&amp;refID=7060635&amp;Result=3","7060635")</f>
        <v>0</v>
      </c>
      <c r="B15565" t="s">
        <v>1713</v>
      </c>
      <c r="C15565" t="s">
        <v>18647</v>
      </c>
      <c r="D15565" t="s">
        <v>19044</v>
      </c>
      <c r="E15565" t="s">
        <v>32493</v>
      </c>
      <c r="F15565" t="s">
        <v>32831</v>
      </c>
      <c r="G15565" t="s">
        <v>32839</v>
      </c>
      <c r="H15565" t="s">
        <v>14069</v>
      </c>
      <c r="I15565" t="s">
        <v>14069</v>
      </c>
      <c r="J15565" t="s">
        <v>35553</v>
      </c>
      <c r="K15565" t="s">
        <v>42770</v>
      </c>
      <c r="M15565" t="s">
        <v>44835</v>
      </c>
      <c r="N15565" t="s">
        <v>47424</v>
      </c>
      <c r="O15565" t="s">
        <v>47425</v>
      </c>
      <c r="Q15565">
        <v>9</v>
      </c>
      <c r="R15565" t="s">
        <v>47474</v>
      </c>
      <c r="S15565" t="s">
        <v>48864</v>
      </c>
      <c r="T15565" t="s">
        <v>49674</v>
      </c>
      <c r="U15565" t="s">
        <v>62303</v>
      </c>
      <c r="W15565" t="s">
        <v>44835</v>
      </c>
      <c r="X15565" t="s">
        <v>47478</v>
      </c>
    </row>
    <row r="15566" spans="1:24">
      <c r="A15566">
        <f>HYPERLINK("https://www.philgeps.gov.ph/GEPSNONPILOT/Tender/SplashBidNoticeAbstractUI.aspx?menuIndex=3&amp;refID=7073478&amp;Result=3","7073478")</f>
        <v>0</v>
      </c>
      <c r="B15566" t="s">
        <v>3238</v>
      </c>
      <c r="C15566" t="s">
        <v>18648</v>
      </c>
      <c r="D15566" t="s">
        <v>19086</v>
      </c>
      <c r="E15566" t="s">
        <v>32494</v>
      </c>
      <c r="F15566" t="s">
        <v>32831</v>
      </c>
      <c r="G15566" t="s">
        <v>32839</v>
      </c>
      <c r="H15566" t="s">
        <v>32849</v>
      </c>
      <c r="I15566" t="s">
        <v>4177</v>
      </c>
      <c r="J15566" t="s">
        <v>42486</v>
      </c>
      <c r="K15566" t="s">
        <v>42757</v>
      </c>
      <c r="M15566" t="s">
        <v>46553</v>
      </c>
      <c r="N15566" t="s">
        <v>47424</v>
      </c>
      <c r="O15566" t="s">
        <v>47425</v>
      </c>
      <c r="Q15566">
        <v>5</v>
      </c>
      <c r="R15566" t="s">
        <v>47466</v>
      </c>
      <c r="S15566" t="s">
        <v>48865</v>
      </c>
      <c r="T15566" t="s">
        <v>49065</v>
      </c>
      <c r="U15566" t="s">
        <v>62281</v>
      </c>
      <c r="W15566" t="s">
        <v>46553</v>
      </c>
      <c r="X15566" t="s">
        <v>47470</v>
      </c>
    </row>
    <row r="15567" spans="1:24">
      <c r="A15567">
        <f>HYPERLINK("https://www.philgeps.gov.ph/GEPSNONPILOT/Tender/SplashBidNoticeAbstractUI.aspx?menuIndex=3&amp;refID=7058401&amp;Result=3","7058401")</f>
        <v>0</v>
      </c>
      <c r="B15567" t="s">
        <v>3238</v>
      </c>
      <c r="C15567" t="s">
        <v>18649</v>
      </c>
      <c r="D15567" t="s">
        <v>19086</v>
      </c>
      <c r="E15567" t="s">
        <v>32495</v>
      </c>
      <c r="F15567" t="s">
        <v>32831</v>
      </c>
      <c r="G15567" t="s">
        <v>32839</v>
      </c>
      <c r="H15567" t="s">
        <v>32849</v>
      </c>
      <c r="I15567" t="s">
        <v>4177</v>
      </c>
      <c r="J15567" t="s">
        <v>42464</v>
      </c>
      <c r="K15567" t="s">
        <v>42780</v>
      </c>
      <c r="M15567" t="s">
        <v>46553</v>
      </c>
      <c r="N15567" t="s">
        <v>47424</v>
      </c>
      <c r="O15567" t="s">
        <v>47425</v>
      </c>
      <c r="Q15567">
        <v>7</v>
      </c>
      <c r="R15567" t="s">
        <v>47477</v>
      </c>
      <c r="S15567" t="s">
        <v>48866</v>
      </c>
      <c r="T15567" t="s">
        <v>49181</v>
      </c>
      <c r="U15567" t="s">
        <v>62264</v>
      </c>
      <c r="W15567" t="s">
        <v>46553</v>
      </c>
      <c r="X15567" t="s">
        <v>47476</v>
      </c>
    </row>
    <row r="15568" spans="1:24">
      <c r="A15568">
        <f>HYPERLINK("https://www.philgeps.gov.ph/GEPSNONPILOT/Tender/SplashBidNoticeAbstractUI.aspx?menuIndex=3&amp;refID=7073524&amp;Result=3","7073524")</f>
        <v>0</v>
      </c>
      <c r="B15568" t="s">
        <v>3238</v>
      </c>
      <c r="C15568" t="s">
        <v>18650</v>
      </c>
      <c r="D15568" t="s">
        <v>19086</v>
      </c>
      <c r="E15568" t="s">
        <v>32496</v>
      </c>
      <c r="F15568" t="s">
        <v>32831</v>
      </c>
      <c r="G15568" t="s">
        <v>32839</v>
      </c>
      <c r="H15568" t="s">
        <v>32849</v>
      </c>
      <c r="I15568" t="s">
        <v>4177</v>
      </c>
      <c r="J15568" t="s">
        <v>35275</v>
      </c>
      <c r="K15568" t="s">
        <v>42757</v>
      </c>
      <c r="M15568" t="s">
        <v>46553</v>
      </c>
      <c r="N15568" t="s">
        <v>47424</v>
      </c>
      <c r="O15568" t="s">
        <v>47425</v>
      </c>
      <c r="Q15568">
        <v>7</v>
      </c>
      <c r="R15568" t="s">
        <v>47466</v>
      </c>
      <c r="S15568" t="s">
        <v>48867</v>
      </c>
      <c r="T15568" t="s">
        <v>49065</v>
      </c>
      <c r="U15568" t="s">
        <v>62300</v>
      </c>
      <c r="W15568" t="s">
        <v>46553</v>
      </c>
      <c r="X15568" t="s">
        <v>47470</v>
      </c>
    </row>
    <row r="15569" spans="1:24">
      <c r="A15569">
        <f>HYPERLINK("https://www.philgeps.gov.ph/GEPSNONPILOT/Tender/SplashBidNoticeAbstractUI.aspx?menuIndex=3&amp;refID=7022864&amp;Result=3","7022864")</f>
        <v>0</v>
      </c>
      <c r="B15569" t="s">
        <v>689</v>
      </c>
      <c r="C15569" t="s">
        <v>18651</v>
      </c>
      <c r="E15569" t="s">
        <v>32497</v>
      </c>
      <c r="F15569" t="s">
        <v>32831</v>
      </c>
      <c r="G15569" t="s">
        <v>32839</v>
      </c>
      <c r="H15569" t="s">
        <v>32848</v>
      </c>
      <c r="I15569" t="s">
        <v>32867</v>
      </c>
      <c r="J15569" t="s">
        <v>42487</v>
      </c>
      <c r="K15569" t="s">
        <v>42732</v>
      </c>
      <c r="M15569" t="s">
        <v>45151</v>
      </c>
      <c r="N15569" t="s">
        <v>47424</v>
      </c>
      <c r="O15569" t="s">
        <v>47425</v>
      </c>
      <c r="Q15569">
        <v>20</v>
      </c>
      <c r="R15569" t="s">
        <v>47479</v>
      </c>
      <c r="S15569" t="s">
        <v>48868</v>
      </c>
      <c r="T15569" t="s">
        <v>49188</v>
      </c>
      <c r="U15569" t="s">
        <v>62304</v>
      </c>
      <c r="V15569" t="s">
        <v>64396</v>
      </c>
      <c r="W15569" t="s">
        <v>43708</v>
      </c>
      <c r="X15569" t="s">
        <v>47506</v>
      </c>
    </row>
    <row r="15570" spans="1:24">
      <c r="A15570">
        <f>HYPERLINK("https://www.philgeps.gov.ph/GEPSNONPILOT/Tender/SplashBidNoticeAbstractUI.aspx?menuIndex=3&amp;refID=7058399&amp;Result=3","7058399")</f>
        <v>0</v>
      </c>
      <c r="B15570" t="s">
        <v>3238</v>
      </c>
      <c r="C15570" t="s">
        <v>18652</v>
      </c>
      <c r="D15570" t="s">
        <v>19086</v>
      </c>
      <c r="E15570" t="s">
        <v>32498</v>
      </c>
      <c r="F15570" t="s">
        <v>32831</v>
      </c>
      <c r="G15570" t="s">
        <v>32839</v>
      </c>
      <c r="H15570" t="s">
        <v>32849</v>
      </c>
      <c r="I15570" t="s">
        <v>4177</v>
      </c>
      <c r="J15570" t="s">
        <v>38993</v>
      </c>
      <c r="K15570" t="s">
        <v>42770</v>
      </c>
      <c r="M15570" t="s">
        <v>46553</v>
      </c>
      <c r="N15570" t="s">
        <v>47424</v>
      </c>
      <c r="O15570" t="s">
        <v>47425</v>
      </c>
      <c r="Q15570">
        <v>3</v>
      </c>
      <c r="R15570" t="s">
        <v>47477</v>
      </c>
      <c r="S15570" t="s">
        <v>48866</v>
      </c>
      <c r="T15570" t="s">
        <v>49181</v>
      </c>
      <c r="U15570" t="s">
        <v>62281</v>
      </c>
      <c r="W15570" t="s">
        <v>46553</v>
      </c>
      <c r="X15570" t="s">
        <v>47476</v>
      </c>
    </row>
    <row r="15571" spans="1:24">
      <c r="A15571">
        <f>HYPERLINK("https://www.philgeps.gov.ph/GEPSNONPILOT/Tender/SplashBidNoticeAbstractUI.aspx?menuIndex=3&amp;refID=7024121&amp;Result=3","7024121")</f>
        <v>0</v>
      </c>
      <c r="B15571" t="s">
        <v>598</v>
      </c>
      <c r="C15571" t="s">
        <v>18653</v>
      </c>
      <c r="E15571" t="s">
        <v>32499</v>
      </c>
      <c r="F15571" t="s">
        <v>32831</v>
      </c>
      <c r="G15571" t="s">
        <v>32838</v>
      </c>
      <c r="H15571" t="s">
        <v>32848</v>
      </c>
      <c r="I15571" t="s">
        <v>4487</v>
      </c>
      <c r="J15571" t="s">
        <v>42488</v>
      </c>
      <c r="K15571" t="s">
        <v>42730</v>
      </c>
      <c r="M15571" t="s">
        <v>44888</v>
      </c>
      <c r="N15571" t="s">
        <v>47424</v>
      </c>
      <c r="O15571" t="s">
        <v>47425</v>
      </c>
      <c r="Q15571">
        <v>21</v>
      </c>
      <c r="R15571" t="s">
        <v>47479</v>
      </c>
      <c r="S15571" t="s">
        <v>47914</v>
      </c>
      <c r="T15571" t="s">
        <v>49056</v>
      </c>
      <c r="U15571" t="s">
        <v>62305</v>
      </c>
      <c r="W15571" t="s">
        <v>44888</v>
      </c>
      <c r="X15571" t="s">
        <v>47506</v>
      </c>
    </row>
    <row r="15572" spans="1:24">
      <c r="A15572">
        <f>HYPERLINK("https://www.philgeps.gov.ph/GEPSNONPILOT/Tender/SplashBidNoticeAbstractUI.aspx?menuIndex=3&amp;refID=7030752&amp;Result=3","7030752")</f>
        <v>0</v>
      </c>
      <c r="B15572" t="s">
        <v>2831</v>
      </c>
      <c r="C15572" t="s">
        <v>18654</v>
      </c>
      <c r="D15572" t="s">
        <v>19077</v>
      </c>
      <c r="E15572" t="s">
        <v>32500</v>
      </c>
      <c r="F15572" t="s">
        <v>32831</v>
      </c>
      <c r="G15572" t="s">
        <v>32839</v>
      </c>
      <c r="H15572" t="s">
        <v>32848</v>
      </c>
      <c r="I15572" t="s">
        <v>32932</v>
      </c>
      <c r="J15572" t="s">
        <v>33923</v>
      </c>
      <c r="K15572" t="s">
        <v>42730</v>
      </c>
      <c r="M15572" t="s">
        <v>46063</v>
      </c>
      <c r="N15572" t="s">
        <v>47424</v>
      </c>
      <c r="O15572" t="s">
        <v>47425</v>
      </c>
      <c r="Q15572">
        <v>9</v>
      </c>
      <c r="R15572" t="s">
        <v>47480</v>
      </c>
      <c r="S15572" t="s">
        <v>48869</v>
      </c>
      <c r="T15572" t="s">
        <v>49291</v>
      </c>
      <c r="U15572" t="s">
        <v>62306</v>
      </c>
      <c r="W15572" t="s">
        <v>46063</v>
      </c>
      <c r="X15572" t="s">
        <v>64583</v>
      </c>
    </row>
    <row r="15573" spans="1:24">
      <c r="A15573">
        <f>HYPERLINK("https://www.philgeps.gov.ph/GEPSNONPILOT/Tender/SplashBidNoticeAbstractUI.aspx?menuIndex=3&amp;refID=7024804&amp;Result=3","7024804")</f>
        <v>0</v>
      </c>
      <c r="B15573" t="s">
        <v>598</v>
      </c>
      <c r="C15573" t="s">
        <v>18655</v>
      </c>
      <c r="E15573" t="s">
        <v>32501</v>
      </c>
      <c r="F15573" t="s">
        <v>32831</v>
      </c>
      <c r="G15573" t="s">
        <v>32838</v>
      </c>
      <c r="H15573" t="s">
        <v>32849</v>
      </c>
      <c r="I15573" t="s">
        <v>4177</v>
      </c>
      <c r="J15573" t="s">
        <v>42489</v>
      </c>
      <c r="K15573" t="s">
        <v>42730</v>
      </c>
      <c r="M15573" t="s">
        <v>44888</v>
      </c>
      <c r="N15573" t="s">
        <v>47424</v>
      </c>
      <c r="O15573" t="s">
        <v>47425</v>
      </c>
      <c r="Q15573">
        <v>2</v>
      </c>
      <c r="R15573" t="s">
        <v>47481</v>
      </c>
      <c r="S15573" t="s">
        <v>48870</v>
      </c>
      <c r="T15573" t="s">
        <v>49056</v>
      </c>
      <c r="U15573" t="s">
        <v>62307</v>
      </c>
      <c r="W15573" t="s">
        <v>44888</v>
      </c>
      <c r="X15573" t="s">
        <v>47479</v>
      </c>
    </row>
    <row r="15574" spans="1:24">
      <c r="A15574">
        <f>HYPERLINK("https://www.philgeps.gov.ph/GEPSNONPILOT/Tender/SplashBidNoticeAbstractUI.aspx?menuIndex=3&amp;refID=7030722&amp;Result=3","7030722")</f>
        <v>0</v>
      </c>
      <c r="B15574" t="s">
        <v>2831</v>
      </c>
      <c r="C15574" t="s">
        <v>18656</v>
      </c>
      <c r="D15574" t="s">
        <v>19077</v>
      </c>
      <c r="E15574" t="s">
        <v>32502</v>
      </c>
      <c r="F15574" t="s">
        <v>32831</v>
      </c>
      <c r="G15574" t="s">
        <v>32839</v>
      </c>
      <c r="H15574" t="s">
        <v>32848</v>
      </c>
      <c r="I15574" t="s">
        <v>32932</v>
      </c>
      <c r="J15574" t="s">
        <v>42490</v>
      </c>
      <c r="K15574" t="s">
        <v>42730</v>
      </c>
      <c r="M15574" t="s">
        <v>46063</v>
      </c>
      <c r="N15574" t="s">
        <v>47424</v>
      </c>
      <c r="O15574" t="s">
        <v>47425</v>
      </c>
      <c r="Q15574">
        <v>12</v>
      </c>
      <c r="R15574" t="s">
        <v>47480</v>
      </c>
      <c r="S15574" t="s">
        <v>48871</v>
      </c>
      <c r="T15574" t="s">
        <v>49291</v>
      </c>
      <c r="U15574" t="s">
        <v>62308</v>
      </c>
      <c r="W15574" t="s">
        <v>46063</v>
      </c>
      <c r="X15574" t="s">
        <v>64583</v>
      </c>
    </row>
    <row r="15575" spans="1:24">
      <c r="A15575">
        <f>HYPERLINK("https://www.philgeps.gov.ph/GEPSNONPILOT/Tender/SplashBidNoticeAbstractUI.aspx?menuIndex=3&amp;refID=7030732&amp;Result=3","7030732")</f>
        <v>0</v>
      </c>
      <c r="B15575" t="s">
        <v>2831</v>
      </c>
      <c r="C15575" t="s">
        <v>18657</v>
      </c>
      <c r="D15575" t="s">
        <v>19077</v>
      </c>
      <c r="E15575" t="s">
        <v>32503</v>
      </c>
      <c r="F15575" t="s">
        <v>32831</v>
      </c>
      <c r="G15575" t="s">
        <v>32839</v>
      </c>
      <c r="H15575" t="s">
        <v>32848</v>
      </c>
      <c r="I15575" t="s">
        <v>32932</v>
      </c>
      <c r="J15575" t="s">
        <v>35051</v>
      </c>
      <c r="K15575" t="s">
        <v>42729</v>
      </c>
      <c r="M15575" t="s">
        <v>46063</v>
      </c>
      <c r="N15575" t="s">
        <v>47424</v>
      </c>
      <c r="O15575" t="s">
        <v>47425</v>
      </c>
      <c r="Q15575">
        <v>13</v>
      </c>
      <c r="R15575" t="s">
        <v>47480</v>
      </c>
      <c r="S15575" t="s">
        <v>48872</v>
      </c>
      <c r="T15575" t="s">
        <v>49291</v>
      </c>
      <c r="U15575" t="s">
        <v>62309</v>
      </c>
      <c r="W15575" t="s">
        <v>46063</v>
      </c>
      <c r="X15575" t="s">
        <v>64583</v>
      </c>
    </row>
    <row r="15576" spans="1:24">
      <c r="A15576">
        <f>HYPERLINK("https://www.philgeps.gov.ph/GEPSNONPILOT/Tender/SplashBidNoticeAbstractUI.aspx?menuIndex=3&amp;refID=7037808&amp;Result=3","7037808")</f>
        <v>0</v>
      </c>
      <c r="B15576" t="s">
        <v>1939</v>
      </c>
      <c r="C15576" t="s">
        <v>18658</v>
      </c>
      <c r="D15576" t="s">
        <v>19067</v>
      </c>
      <c r="E15576" t="s">
        <v>32504</v>
      </c>
      <c r="F15576" t="s">
        <v>32831</v>
      </c>
      <c r="G15576" t="s">
        <v>32839</v>
      </c>
      <c r="H15576" t="s">
        <v>32849</v>
      </c>
      <c r="I15576" t="s">
        <v>4177</v>
      </c>
      <c r="J15576" t="s">
        <v>36370</v>
      </c>
      <c r="K15576" t="s">
        <v>42932</v>
      </c>
      <c r="M15576" t="s">
        <v>45094</v>
      </c>
      <c r="N15576" t="s">
        <v>47424</v>
      </c>
      <c r="O15576" t="s">
        <v>47425</v>
      </c>
      <c r="Q15576">
        <v>3</v>
      </c>
      <c r="R15576" t="s">
        <v>47482</v>
      </c>
      <c r="S15576" t="s">
        <v>48873</v>
      </c>
      <c r="T15576" t="s">
        <v>49212</v>
      </c>
      <c r="U15576" t="s">
        <v>62310</v>
      </c>
      <c r="W15576" t="s">
        <v>45094</v>
      </c>
      <c r="X15576" t="s">
        <v>64578</v>
      </c>
    </row>
    <row r="15577" spans="1:24">
      <c r="A15577">
        <f>HYPERLINK("https://www.philgeps.gov.ph/GEPSNONPILOT/Tender/SplashBidNoticeAbstractUI.aspx?menuIndex=3&amp;refID=7032663&amp;Result=3","7032663")</f>
        <v>0</v>
      </c>
      <c r="B15577" t="s">
        <v>67</v>
      </c>
      <c r="C15577" t="s">
        <v>18659</v>
      </c>
      <c r="D15577" t="s">
        <v>19079</v>
      </c>
      <c r="E15577" t="s">
        <v>18659</v>
      </c>
      <c r="F15577" t="s">
        <v>32831</v>
      </c>
      <c r="G15577" t="s">
        <v>32840</v>
      </c>
      <c r="H15577" t="s">
        <v>32848</v>
      </c>
      <c r="I15577" t="s">
        <v>4487</v>
      </c>
      <c r="J15577" t="s">
        <v>35100</v>
      </c>
      <c r="K15577" t="s">
        <v>42730</v>
      </c>
      <c r="M15577" t="s">
        <v>44984</v>
      </c>
      <c r="N15577" t="s">
        <v>47424</v>
      </c>
      <c r="O15577" t="s">
        <v>47425</v>
      </c>
      <c r="Q15577">
        <v>1</v>
      </c>
      <c r="R15577" t="s">
        <v>47483</v>
      </c>
      <c r="S15577" t="s">
        <v>48874</v>
      </c>
      <c r="T15577" t="s">
        <v>49135</v>
      </c>
      <c r="U15577" t="s">
        <v>62311</v>
      </c>
      <c r="W15577" t="s">
        <v>44984</v>
      </c>
      <c r="X15577" t="s">
        <v>64584</v>
      </c>
    </row>
    <row r="15578" spans="1:24">
      <c r="A15578">
        <f>HYPERLINK("https://www.philgeps.gov.ph/GEPSNONPILOT/Tender/SplashBidNoticeAbstractUI.aspx?menuIndex=3&amp;refID=7037862&amp;Result=3","7037862")</f>
        <v>0</v>
      </c>
      <c r="B15578" t="s">
        <v>2548</v>
      </c>
      <c r="C15578" t="s">
        <v>18660</v>
      </c>
      <c r="D15578" t="s">
        <v>19060</v>
      </c>
      <c r="E15578" t="s">
        <v>32505</v>
      </c>
      <c r="F15578" t="s">
        <v>32831</v>
      </c>
      <c r="G15578" t="s">
        <v>32839</v>
      </c>
      <c r="H15578" t="s">
        <v>32848</v>
      </c>
      <c r="I15578" t="s">
        <v>9281</v>
      </c>
      <c r="J15578" t="s">
        <v>33528</v>
      </c>
      <c r="K15578" t="s">
        <v>42729</v>
      </c>
      <c r="M15578" t="s">
        <v>45760</v>
      </c>
      <c r="N15578" t="s">
        <v>47424</v>
      </c>
      <c r="O15578" t="s">
        <v>47425</v>
      </c>
      <c r="Q15578">
        <v>15</v>
      </c>
      <c r="R15578" t="s">
        <v>47482</v>
      </c>
      <c r="S15578" t="s">
        <v>48875</v>
      </c>
      <c r="T15578" t="s">
        <v>49129</v>
      </c>
      <c r="U15578" t="s">
        <v>62312</v>
      </c>
      <c r="W15578" t="s">
        <v>45760</v>
      </c>
      <c r="X15578" t="s">
        <v>64578</v>
      </c>
    </row>
    <row r="15579" spans="1:24">
      <c r="A15579">
        <f>HYPERLINK("https://www.philgeps.gov.ph/GEPSNONPILOT/Tender/SplashBidNoticeAbstractUI.aspx?menuIndex=3&amp;refID=7037792&amp;Result=3","7037792")</f>
        <v>0</v>
      </c>
      <c r="B15579" t="s">
        <v>1939</v>
      </c>
      <c r="C15579" t="s">
        <v>18661</v>
      </c>
      <c r="D15579" t="s">
        <v>19067</v>
      </c>
      <c r="E15579" t="s">
        <v>32506</v>
      </c>
      <c r="F15579" t="s">
        <v>32831</v>
      </c>
      <c r="G15579" t="s">
        <v>32839</v>
      </c>
      <c r="H15579" t="s">
        <v>32849</v>
      </c>
      <c r="I15579" t="s">
        <v>4177</v>
      </c>
      <c r="J15579" t="s">
        <v>36370</v>
      </c>
      <c r="K15579" t="s">
        <v>42932</v>
      </c>
      <c r="M15579" t="s">
        <v>45094</v>
      </c>
      <c r="N15579" t="s">
        <v>47424</v>
      </c>
      <c r="O15579" t="s">
        <v>47425</v>
      </c>
      <c r="Q15579">
        <v>1</v>
      </c>
      <c r="R15579" t="s">
        <v>47482</v>
      </c>
      <c r="S15579" t="s">
        <v>48876</v>
      </c>
      <c r="T15579" t="s">
        <v>49212</v>
      </c>
      <c r="U15579" t="s">
        <v>62310</v>
      </c>
      <c r="W15579" t="s">
        <v>45094</v>
      </c>
      <c r="X15579" t="s">
        <v>64578</v>
      </c>
    </row>
    <row r="15580" spans="1:24">
      <c r="A15580">
        <f>HYPERLINK("https://www.philgeps.gov.ph/GEPSNONPILOT/Tender/SplashBidNoticeAbstractUI.aspx?menuIndex=3&amp;refID=7061074&amp;Result=3","7061074")</f>
        <v>0</v>
      </c>
      <c r="B15580" t="s">
        <v>3447</v>
      </c>
      <c r="C15580" t="s">
        <v>18662</v>
      </c>
      <c r="D15580" t="s">
        <v>19065</v>
      </c>
      <c r="E15580" t="s">
        <v>32507</v>
      </c>
      <c r="F15580" t="s">
        <v>32831</v>
      </c>
      <c r="G15580" t="s">
        <v>32839</v>
      </c>
      <c r="H15580" t="s">
        <v>32850</v>
      </c>
      <c r="I15580" t="s">
        <v>7819</v>
      </c>
      <c r="J15580" t="s">
        <v>40146</v>
      </c>
      <c r="K15580" t="s">
        <v>42757</v>
      </c>
      <c r="M15580" t="s">
        <v>47384</v>
      </c>
      <c r="N15580" t="s">
        <v>47424</v>
      </c>
      <c r="O15580" t="s">
        <v>47425</v>
      </c>
      <c r="Q15580">
        <v>14</v>
      </c>
      <c r="R15580" t="s">
        <v>47474</v>
      </c>
      <c r="S15580" t="s">
        <v>48877</v>
      </c>
      <c r="T15580" t="s">
        <v>49123</v>
      </c>
      <c r="U15580" t="s">
        <v>62313</v>
      </c>
      <c r="W15580" t="s">
        <v>64549</v>
      </c>
      <c r="X15580" t="s">
        <v>47478</v>
      </c>
    </row>
    <row r="15581" spans="1:24">
      <c r="A15581">
        <f>HYPERLINK("https://www.philgeps.gov.ph/GEPSNONPILOT/Tender/SplashBidNoticeAbstractUI.aspx?menuIndex=3&amp;refID=7030740&amp;Result=3","7030740")</f>
        <v>0</v>
      </c>
      <c r="B15581" t="s">
        <v>2831</v>
      </c>
      <c r="C15581" t="s">
        <v>18663</v>
      </c>
      <c r="D15581" t="s">
        <v>19077</v>
      </c>
      <c r="E15581" t="s">
        <v>32508</v>
      </c>
      <c r="F15581" t="s">
        <v>32831</v>
      </c>
      <c r="G15581" t="s">
        <v>32839</v>
      </c>
      <c r="H15581" t="s">
        <v>32848</v>
      </c>
      <c r="I15581" t="s">
        <v>32931</v>
      </c>
      <c r="J15581" t="s">
        <v>42491</v>
      </c>
      <c r="K15581" t="s">
        <v>42763</v>
      </c>
      <c r="M15581" t="s">
        <v>46063</v>
      </c>
      <c r="N15581" t="s">
        <v>47424</v>
      </c>
      <c r="O15581" t="s">
        <v>47425</v>
      </c>
      <c r="Q15581">
        <v>10</v>
      </c>
      <c r="R15581" t="s">
        <v>47480</v>
      </c>
      <c r="S15581" t="s">
        <v>48878</v>
      </c>
      <c r="T15581" t="s">
        <v>49291</v>
      </c>
      <c r="U15581" t="s">
        <v>62314</v>
      </c>
      <c r="W15581" t="s">
        <v>46063</v>
      </c>
      <c r="X15581" t="s">
        <v>64583</v>
      </c>
    </row>
    <row r="15582" spans="1:24">
      <c r="A15582">
        <f>HYPERLINK("https://www.philgeps.gov.ph/GEPSNONPILOT/Tender/SplashBidNoticeAbstractUI.aspx?menuIndex=3&amp;refID=7004346&amp;Result=3","7004346")</f>
        <v>0</v>
      </c>
      <c r="B15582" t="s">
        <v>67</v>
      </c>
      <c r="C15582" t="s">
        <v>18664</v>
      </c>
      <c r="D15582" t="s">
        <v>19079</v>
      </c>
      <c r="E15582" t="s">
        <v>32509</v>
      </c>
      <c r="F15582" t="s">
        <v>32831</v>
      </c>
      <c r="G15582" t="s">
        <v>32842</v>
      </c>
      <c r="H15582" t="s">
        <v>32848</v>
      </c>
      <c r="I15582" t="s">
        <v>10805</v>
      </c>
      <c r="J15582" t="s">
        <v>33133</v>
      </c>
      <c r="K15582" t="s">
        <v>42730</v>
      </c>
      <c r="M15582" t="s">
        <v>44461</v>
      </c>
      <c r="N15582" t="s">
        <v>47424</v>
      </c>
      <c r="O15582" t="s">
        <v>47425</v>
      </c>
      <c r="Q15582">
        <v>3</v>
      </c>
      <c r="R15582" t="s">
        <v>47484</v>
      </c>
      <c r="S15582" t="s">
        <v>48879</v>
      </c>
      <c r="T15582" t="s">
        <v>49063</v>
      </c>
      <c r="U15582" t="s">
        <v>62315</v>
      </c>
      <c r="W15582" t="s">
        <v>44461</v>
      </c>
      <c r="X15582" t="s">
        <v>64585</v>
      </c>
    </row>
    <row r="15583" spans="1:24">
      <c r="A15583">
        <f>HYPERLINK("https://www.philgeps.gov.ph/GEPSNONPILOT/Tender/SplashBidNoticeAbstractUI.aspx?menuIndex=3&amp;refID=7011943&amp;Result=3","7011943")</f>
        <v>0</v>
      </c>
      <c r="B15583" t="s">
        <v>67</v>
      </c>
      <c r="C15583" t="s">
        <v>18665</v>
      </c>
      <c r="D15583" t="s">
        <v>19079</v>
      </c>
      <c r="E15583" t="s">
        <v>32510</v>
      </c>
      <c r="F15583" t="s">
        <v>32831</v>
      </c>
      <c r="G15583" t="s">
        <v>32842</v>
      </c>
      <c r="H15583" t="s">
        <v>32848</v>
      </c>
      <c r="I15583" t="s">
        <v>32894</v>
      </c>
      <c r="J15583" t="s">
        <v>33044</v>
      </c>
      <c r="K15583" t="s">
        <v>42730</v>
      </c>
      <c r="M15583" t="s">
        <v>44461</v>
      </c>
      <c r="N15583" t="s">
        <v>47424</v>
      </c>
      <c r="O15583" t="s">
        <v>47425</v>
      </c>
      <c r="Q15583">
        <v>5</v>
      </c>
      <c r="R15583" t="s">
        <v>47485</v>
      </c>
      <c r="S15583" t="s">
        <v>48779</v>
      </c>
      <c r="T15583" t="s">
        <v>49166</v>
      </c>
      <c r="U15583" t="s">
        <v>62316</v>
      </c>
      <c r="W15583" t="s">
        <v>44461</v>
      </c>
      <c r="X15583" t="s">
        <v>64586</v>
      </c>
    </row>
    <row r="15584" spans="1:24">
      <c r="A15584">
        <f>HYPERLINK("https://www.philgeps.gov.ph/GEPSNONPILOT/Tender/SplashBidNoticeAbstractUI.aspx?menuIndex=3&amp;refID=7037190&amp;Result=3","7037190")</f>
        <v>0</v>
      </c>
      <c r="B15584" t="s">
        <v>689</v>
      </c>
      <c r="C15584" t="s">
        <v>18666</v>
      </c>
      <c r="E15584" t="s">
        <v>32511</v>
      </c>
      <c r="F15584" t="s">
        <v>32831</v>
      </c>
      <c r="G15584" t="s">
        <v>32839</v>
      </c>
      <c r="H15584" t="s">
        <v>32848</v>
      </c>
      <c r="I15584" t="s">
        <v>9577</v>
      </c>
      <c r="J15584" t="s">
        <v>42492</v>
      </c>
      <c r="K15584" t="s">
        <v>42732</v>
      </c>
      <c r="M15584" t="s">
        <v>45151</v>
      </c>
      <c r="N15584" t="s">
        <v>47424</v>
      </c>
      <c r="O15584" t="s">
        <v>47425</v>
      </c>
      <c r="Q15584">
        <v>8</v>
      </c>
      <c r="R15584" t="s">
        <v>47482</v>
      </c>
      <c r="S15584" t="s">
        <v>48880</v>
      </c>
      <c r="T15584" t="s">
        <v>49188</v>
      </c>
      <c r="U15584" t="s">
        <v>62317</v>
      </c>
      <c r="W15584" t="s">
        <v>45151</v>
      </c>
      <c r="X15584" t="s">
        <v>64578</v>
      </c>
    </row>
    <row r="15585" spans="1:24">
      <c r="A15585">
        <f>HYPERLINK("https://www.philgeps.gov.ph/GEPSNONPILOT/Tender/SplashBidNoticeAbstractUI.aspx?menuIndex=3&amp;refID=7040246&amp;Result=3","7040246")</f>
        <v>0</v>
      </c>
      <c r="B15585" t="s">
        <v>2548</v>
      </c>
      <c r="C15585" t="s">
        <v>18667</v>
      </c>
      <c r="D15585" t="s">
        <v>19060</v>
      </c>
      <c r="E15585" t="s">
        <v>25576</v>
      </c>
      <c r="F15585" t="s">
        <v>32831</v>
      </c>
      <c r="G15585" t="s">
        <v>32839</v>
      </c>
      <c r="H15585" t="s">
        <v>32848</v>
      </c>
      <c r="I15585" t="s">
        <v>4487</v>
      </c>
      <c r="J15585" t="s">
        <v>33024</v>
      </c>
      <c r="K15585" t="s">
        <v>42729</v>
      </c>
      <c r="M15585" t="s">
        <v>45760</v>
      </c>
      <c r="N15585" t="s">
        <v>47424</v>
      </c>
      <c r="O15585" t="s">
        <v>47425</v>
      </c>
      <c r="Q15585">
        <v>12</v>
      </c>
      <c r="R15585" t="s">
        <v>47486</v>
      </c>
      <c r="S15585" t="s">
        <v>48310</v>
      </c>
      <c r="T15585" t="s">
        <v>49129</v>
      </c>
      <c r="U15585" t="s">
        <v>62318</v>
      </c>
      <c r="W15585" t="s">
        <v>45760</v>
      </c>
      <c r="X15585" t="s">
        <v>47482</v>
      </c>
    </row>
    <row r="15586" spans="1:24">
      <c r="A15586">
        <f>HYPERLINK("https://www.philgeps.gov.ph/GEPSNONPILOT/Tender/SplashBidNoticeAbstractUI.aspx?menuIndex=3&amp;refID=7016421&amp;Result=3","7016421")</f>
        <v>0</v>
      </c>
      <c r="B15586" t="s">
        <v>3743</v>
      </c>
      <c r="C15586" t="s">
        <v>18668</v>
      </c>
      <c r="D15586" t="s">
        <v>19086</v>
      </c>
      <c r="E15586" t="s">
        <v>32512</v>
      </c>
      <c r="F15586" t="s">
        <v>32831</v>
      </c>
      <c r="G15586" t="s">
        <v>32839</v>
      </c>
      <c r="H15586" t="s">
        <v>32849</v>
      </c>
      <c r="I15586" t="s">
        <v>4177</v>
      </c>
      <c r="J15586" t="s">
        <v>39982</v>
      </c>
      <c r="K15586" t="s">
        <v>43011</v>
      </c>
      <c r="M15586" t="s">
        <v>47140</v>
      </c>
      <c r="N15586" t="s">
        <v>47424</v>
      </c>
      <c r="O15586" t="s">
        <v>47425</v>
      </c>
      <c r="Q15586">
        <v>40</v>
      </c>
      <c r="R15586" t="s">
        <v>47487</v>
      </c>
      <c r="S15586" t="s">
        <v>48881</v>
      </c>
      <c r="T15586" t="s">
        <v>49131</v>
      </c>
      <c r="U15586" t="s">
        <v>62319</v>
      </c>
      <c r="V15586" t="s">
        <v>64397</v>
      </c>
      <c r="W15586" t="s">
        <v>47140</v>
      </c>
      <c r="X15586" t="s">
        <v>47485</v>
      </c>
    </row>
    <row r="15587" spans="1:24">
      <c r="A15587">
        <f>HYPERLINK("https://www.philgeps.gov.ph/GEPSNONPILOT/Tender/SplashBidNoticeAbstractUI.aspx?menuIndex=3&amp;refID=7013780&amp;Result=3","7013780")</f>
        <v>0</v>
      </c>
      <c r="B15587" t="s">
        <v>3112</v>
      </c>
      <c r="C15587" t="s">
        <v>18669</v>
      </c>
      <c r="E15587" t="s">
        <v>32513</v>
      </c>
      <c r="F15587" t="s">
        <v>32831</v>
      </c>
      <c r="G15587" t="s">
        <v>32839</v>
      </c>
      <c r="H15587" t="s">
        <v>32849</v>
      </c>
      <c r="I15587" t="s">
        <v>4177</v>
      </c>
      <c r="J15587" t="s">
        <v>42493</v>
      </c>
      <c r="K15587" t="s">
        <v>42732</v>
      </c>
      <c r="M15587" t="s">
        <v>46400</v>
      </c>
      <c r="N15587" t="s">
        <v>47424</v>
      </c>
      <c r="O15587" t="s">
        <v>47425</v>
      </c>
      <c r="Q15587">
        <v>4</v>
      </c>
      <c r="R15587" t="s">
        <v>47485</v>
      </c>
      <c r="S15587" t="s">
        <v>48882</v>
      </c>
      <c r="T15587" t="s">
        <v>49196</v>
      </c>
      <c r="U15587" t="s">
        <v>62320</v>
      </c>
      <c r="W15587" t="s">
        <v>64535</v>
      </c>
      <c r="X15587" t="s">
        <v>64586</v>
      </c>
    </row>
    <row r="15588" spans="1:24">
      <c r="A15588">
        <f>HYPERLINK("https://www.philgeps.gov.ph/GEPSNONPILOT/Tender/SplashBidNoticeAbstractUI.aspx?menuIndex=3&amp;refID=7040695&amp;Result=3","7040695")</f>
        <v>0</v>
      </c>
      <c r="B15588" t="s">
        <v>639</v>
      </c>
      <c r="C15588" t="s">
        <v>18670</v>
      </c>
      <c r="D15588" t="s">
        <v>19017</v>
      </c>
      <c r="E15588" t="s">
        <v>32514</v>
      </c>
      <c r="F15588" t="s">
        <v>32831</v>
      </c>
      <c r="G15588" t="s">
        <v>32839</v>
      </c>
      <c r="H15588" t="s">
        <v>14069</v>
      </c>
      <c r="I15588" t="s">
        <v>14069</v>
      </c>
      <c r="J15588" t="s">
        <v>33032</v>
      </c>
      <c r="K15588" t="s">
        <v>42888</v>
      </c>
      <c r="M15588" t="s">
        <v>46723</v>
      </c>
      <c r="N15588" t="s">
        <v>47424</v>
      </c>
      <c r="O15588" t="s">
        <v>47425</v>
      </c>
      <c r="Q15588">
        <v>9</v>
      </c>
      <c r="R15588" t="s">
        <v>47486</v>
      </c>
      <c r="S15588" t="s">
        <v>48883</v>
      </c>
      <c r="T15588" t="s">
        <v>49435</v>
      </c>
      <c r="U15588" t="s">
        <v>62321</v>
      </c>
      <c r="W15588" t="s">
        <v>46723</v>
      </c>
      <c r="X15588" t="s">
        <v>47482</v>
      </c>
    </row>
    <row r="15589" spans="1:24">
      <c r="A15589">
        <f>HYPERLINK("https://www.philgeps.gov.ph/GEPSNONPILOT/Tender/SplashBidNoticeAbstractUI.aspx?menuIndex=3&amp;refID=7018207&amp;Result=3","7018207")</f>
        <v>0</v>
      </c>
      <c r="B15589" t="s">
        <v>2594</v>
      </c>
      <c r="C15589" t="s">
        <v>18671</v>
      </c>
      <c r="D15589" t="s">
        <v>19062</v>
      </c>
      <c r="E15589" t="s">
        <v>32515</v>
      </c>
      <c r="F15589" t="s">
        <v>32831</v>
      </c>
      <c r="G15589" t="s">
        <v>32839</v>
      </c>
      <c r="H15589" t="s">
        <v>32849</v>
      </c>
      <c r="I15589" t="s">
        <v>4177</v>
      </c>
      <c r="J15589" t="s">
        <v>36385</v>
      </c>
      <c r="K15589" t="s">
        <v>42763</v>
      </c>
      <c r="M15589" t="s">
        <v>46404</v>
      </c>
      <c r="N15589" t="s">
        <v>47424</v>
      </c>
      <c r="O15589" t="s">
        <v>47425</v>
      </c>
      <c r="Q15589">
        <v>10</v>
      </c>
      <c r="R15589" t="s">
        <v>47488</v>
      </c>
      <c r="S15589" t="s">
        <v>48884</v>
      </c>
      <c r="T15589" t="s">
        <v>49188</v>
      </c>
      <c r="U15589" t="s">
        <v>62322</v>
      </c>
      <c r="W15589" t="s">
        <v>46404</v>
      </c>
      <c r="X15589" t="s">
        <v>47487</v>
      </c>
    </row>
    <row r="15590" spans="1:24">
      <c r="A15590">
        <f>HYPERLINK("https://www.philgeps.gov.ph/GEPSNONPILOT/Tender/SplashBidNoticeAbstractUI.aspx?menuIndex=3&amp;refID=7018196&amp;Result=3","7018196")</f>
        <v>0</v>
      </c>
      <c r="B15590" t="s">
        <v>2594</v>
      </c>
      <c r="C15590" t="s">
        <v>18672</v>
      </c>
      <c r="D15590" t="s">
        <v>19062</v>
      </c>
      <c r="E15590" t="s">
        <v>32516</v>
      </c>
      <c r="F15590" t="s">
        <v>32831</v>
      </c>
      <c r="G15590" t="s">
        <v>32839</v>
      </c>
      <c r="H15590" t="s">
        <v>32849</v>
      </c>
      <c r="I15590" t="s">
        <v>4177</v>
      </c>
      <c r="J15590" t="s">
        <v>37878</v>
      </c>
      <c r="K15590" t="s">
        <v>42770</v>
      </c>
      <c r="M15590" t="s">
        <v>46404</v>
      </c>
      <c r="N15590" t="s">
        <v>47424</v>
      </c>
      <c r="O15590" t="s">
        <v>47425</v>
      </c>
      <c r="Q15590">
        <v>9</v>
      </c>
      <c r="R15590" t="s">
        <v>47488</v>
      </c>
      <c r="S15590" t="s">
        <v>48885</v>
      </c>
      <c r="T15590" t="s">
        <v>49188</v>
      </c>
      <c r="U15590" t="s">
        <v>62323</v>
      </c>
      <c r="W15590" t="s">
        <v>46404</v>
      </c>
      <c r="X15590" t="s">
        <v>47487</v>
      </c>
    </row>
    <row r="15591" spans="1:24">
      <c r="A15591">
        <f>HYPERLINK("https://www.philgeps.gov.ph/GEPSNONPILOT/Tender/SplashBidNoticeAbstractUI.aspx?menuIndex=3&amp;refID=7018114&amp;Result=3","7018114")</f>
        <v>0</v>
      </c>
      <c r="B15591" t="s">
        <v>2594</v>
      </c>
      <c r="C15591" t="s">
        <v>18673</v>
      </c>
      <c r="D15591" t="s">
        <v>19062</v>
      </c>
      <c r="E15591" t="s">
        <v>32517</v>
      </c>
      <c r="F15591" t="s">
        <v>32831</v>
      </c>
      <c r="G15591" t="s">
        <v>32839</v>
      </c>
      <c r="H15591" t="s">
        <v>32849</v>
      </c>
      <c r="I15591" t="s">
        <v>4177</v>
      </c>
      <c r="J15591" t="s">
        <v>42063</v>
      </c>
      <c r="K15591" t="s">
        <v>42833</v>
      </c>
      <c r="M15591" t="s">
        <v>46404</v>
      </c>
      <c r="N15591" t="s">
        <v>47424</v>
      </c>
      <c r="O15591" t="s">
        <v>47425</v>
      </c>
      <c r="Q15591">
        <v>9</v>
      </c>
      <c r="R15591" t="s">
        <v>47488</v>
      </c>
      <c r="S15591" t="s">
        <v>48801</v>
      </c>
      <c r="T15591" t="s">
        <v>49188</v>
      </c>
      <c r="U15591" t="s">
        <v>62324</v>
      </c>
      <c r="W15591" t="s">
        <v>46404</v>
      </c>
      <c r="X15591" t="s">
        <v>47487</v>
      </c>
    </row>
    <row r="15592" spans="1:24">
      <c r="A15592">
        <f>HYPERLINK("https://www.philgeps.gov.ph/GEPSNONPILOT/Tender/SplashBidNoticeAbstractUI.aspx?menuIndex=3&amp;refID=7018218&amp;Result=3","7018218")</f>
        <v>0</v>
      </c>
      <c r="B15592" t="s">
        <v>2594</v>
      </c>
      <c r="C15592" t="s">
        <v>18674</v>
      </c>
      <c r="D15592" t="s">
        <v>19062</v>
      </c>
      <c r="E15592" t="s">
        <v>32518</v>
      </c>
      <c r="F15592" t="s">
        <v>32831</v>
      </c>
      <c r="G15592" t="s">
        <v>32839</v>
      </c>
      <c r="H15592" t="s">
        <v>32849</v>
      </c>
      <c r="I15592" t="s">
        <v>4177</v>
      </c>
      <c r="J15592" t="s">
        <v>42494</v>
      </c>
      <c r="K15592" t="s">
        <v>42757</v>
      </c>
      <c r="M15592" t="s">
        <v>46404</v>
      </c>
      <c r="N15592" t="s">
        <v>47424</v>
      </c>
      <c r="O15592" t="s">
        <v>47425</v>
      </c>
      <c r="Q15592">
        <v>14</v>
      </c>
      <c r="R15592" t="s">
        <v>47488</v>
      </c>
      <c r="S15592" t="s">
        <v>48886</v>
      </c>
      <c r="T15592" t="s">
        <v>49188</v>
      </c>
      <c r="U15592" t="s">
        <v>62325</v>
      </c>
      <c r="W15592" t="s">
        <v>46404</v>
      </c>
      <c r="X15592" t="s">
        <v>47487</v>
      </c>
    </row>
    <row r="15593" spans="1:24">
      <c r="A15593">
        <f>HYPERLINK("https://www.philgeps.gov.ph/GEPSNONPILOT/Tender/SplashBidNoticeAbstractUI.aspx?menuIndex=3&amp;refID=7024325&amp;Result=3","7024325")</f>
        <v>0</v>
      </c>
      <c r="B15593" t="s">
        <v>67</v>
      </c>
      <c r="C15593" t="s">
        <v>18675</v>
      </c>
      <c r="D15593" t="s">
        <v>19079</v>
      </c>
      <c r="E15593" t="s">
        <v>32519</v>
      </c>
      <c r="F15593" t="s">
        <v>32831</v>
      </c>
      <c r="G15593" t="s">
        <v>32842</v>
      </c>
      <c r="H15593" t="s">
        <v>32848</v>
      </c>
      <c r="I15593" t="s">
        <v>4438</v>
      </c>
      <c r="J15593" t="s">
        <v>42495</v>
      </c>
      <c r="K15593" t="s">
        <v>42730</v>
      </c>
      <c r="M15593" t="s">
        <v>44461</v>
      </c>
      <c r="N15593" t="s">
        <v>47424</v>
      </c>
      <c r="O15593" t="s">
        <v>47425</v>
      </c>
      <c r="Q15593">
        <v>5</v>
      </c>
      <c r="R15593" t="s">
        <v>47481</v>
      </c>
      <c r="S15593" t="s">
        <v>48887</v>
      </c>
      <c r="T15593" t="s">
        <v>49166</v>
      </c>
      <c r="U15593" t="s">
        <v>62326</v>
      </c>
      <c r="W15593" t="s">
        <v>44461</v>
      </c>
      <c r="X15593" t="s">
        <v>47479</v>
      </c>
    </row>
    <row r="15594" spans="1:24">
      <c r="A15594">
        <f>HYPERLINK("https://www.philgeps.gov.ph/GEPSNONPILOT/Tender/SplashBidNoticeAbstractUI.aspx?menuIndex=3&amp;refID=7017403&amp;Result=3","7017403")</f>
        <v>0</v>
      </c>
      <c r="B15594" t="s">
        <v>598</v>
      </c>
      <c r="C15594" t="s">
        <v>18676</v>
      </c>
      <c r="E15594" t="s">
        <v>32520</v>
      </c>
      <c r="F15594" t="s">
        <v>32831</v>
      </c>
      <c r="G15594" t="s">
        <v>32838</v>
      </c>
      <c r="H15594" t="s">
        <v>32848</v>
      </c>
      <c r="I15594" t="s">
        <v>32874</v>
      </c>
      <c r="J15594" t="s">
        <v>35741</v>
      </c>
      <c r="K15594" t="s">
        <v>42732</v>
      </c>
      <c r="M15594" t="s">
        <v>44888</v>
      </c>
      <c r="N15594" t="s">
        <v>47424</v>
      </c>
      <c r="O15594" t="s">
        <v>47425</v>
      </c>
      <c r="Q15594">
        <v>11</v>
      </c>
      <c r="R15594" t="s">
        <v>47488</v>
      </c>
      <c r="S15594" t="s">
        <v>48888</v>
      </c>
      <c r="T15594" t="s">
        <v>49073</v>
      </c>
      <c r="U15594" t="s">
        <v>62327</v>
      </c>
      <c r="W15594" t="s">
        <v>44888</v>
      </c>
      <c r="X15594" t="s">
        <v>47487</v>
      </c>
    </row>
    <row r="15595" spans="1:24">
      <c r="A15595">
        <f>HYPERLINK("https://www.philgeps.gov.ph/GEPSNONPILOT/Tender/SplashBidNoticeAbstractUI.aspx?menuIndex=3&amp;refID=6968422&amp;Result=3","6968422")</f>
        <v>0</v>
      </c>
      <c r="B15595" t="s">
        <v>689</v>
      </c>
      <c r="C15595" t="s">
        <v>18677</v>
      </c>
      <c r="E15595" t="s">
        <v>32521</v>
      </c>
      <c r="F15595" t="s">
        <v>32831</v>
      </c>
      <c r="G15595" t="s">
        <v>32839</v>
      </c>
      <c r="H15595" t="s">
        <v>32848</v>
      </c>
      <c r="I15595" t="s">
        <v>32856</v>
      </c>
      <c r="J15595" t="s">
        <v>42496</v>
      </c>
      <c r="K15595" t="s">
        <v>42732</v>
      </c>
      <c r="M15595" t="s">
        <v>47379</v>
      </c>
      <c r="N15595" t="s">
        <v>47424</v>
      </c>
      <c r="O15595" t="s">
        <v>47425</v>
      </c>
      <c r="Q15595">
        <v>21</v>
      </c>
      <c r="R15595" t="s">
        <v>47489</v>
      </c>
      <c r="S15595" t="s">
        <v>48889</v>
      </c>
      <c r="T15595" t="s">
        <v>49196</v>
      </c>
      <c r="U15595" t="s">
        <v>62328</v>
      </c>
      <c r="W15595" t="s">
        <v>64566</v>
      </c>
      <c r="X15595" t="s">
        <v>64587</v>
      </c>
    </row>
    <row r="15596" spans="1:24">
      <c r="A15596">
        <f>HYPERLINK("https://www.philgeps.gov.ph/GEPSNONPILOT/Tender/SplashBidNoticeAbstractUI.aspx?menuIndex=3&amp;refID=7018226&amp;Result=3","7018226")</f>
        <v>0</v>
      </c>
      <c r="B15596" t="s">
        <v>2594</v>
      </c>
      <c r="C15596" t="s">
        <v>18678</v>
      </c>
      <c r="D15596" t="s">
        <v>19062</v>
      </c>
      <c r="E15596" t="s">
        <v>32522</v>
      </c>
      <c r="F15596" t="s">
        <v>32831</v>
      </c>
      <c r="G15596" t="s">
        <v>32839</v>
      </c>
      <c r="H15596" t="s">
        <v>32849</v>
      </c>
      <c r="I15596" t="s">
        <v>4177</v>
      </c>
      <c r="J15596" t="s">
        <v>42497</v>
      </c>
      <c r="K15596" t="s">
        <v>42757</v>
      </c>
      <c r="M15596" t="s">
        <v>46404</v>
      </c>
      <c r="N15596" t="s">
        <v>47424</v>
      </c>
      <c r="O15596" t="s">
        <v>47425</v>
      </c>
      <c r="Q15596">
        <v>11</v>
      </c>
      <c r="R15596" t="s">
        <v>47488</v>
      </c>
      <c r="S15596" t="s">
        <v>48890</v>
      </c>
      <c r="T15596" t="s">
        <v>49188</v>
      </c>
      <c r="U15596" t="s">
        <v>62329</v>
      </c>
      <c r="W15596" t="s">
        <v>46404</v>
      </c>
      <c r="X15596" t="s">
        <v>47487</v>
      </c>
    </row>
    <row r="15597" spans="1:24">
      <c r="A15597">
        <f>HYPERLINK("https://www.philgeps.gov.ph/GEPSNONPILOT/Tender/SplashBidNoticeAbstractUI.aspx?menuIndex=3&amp;refID=7018186&amp;Result=3","7018186")</f>
        <v>0</v>
      </c>
      <c r="B15597" t="s">
        <v>2594</v>
      </c>
      <c r="C15597" t="s">
        <v>18679</v>
      </c>
      <c r="D15597" t="s">
        <v>19062</v>
      </c>
      <c r="E15597" t="s">
        <v>32523</v>
      </c>
      <c r="F15597" t="s">
        <v>32831</v>
      </c>
      <c r="G15597" t="s">
        <v>32839</v>
      </c>
      <c r="H15597" t="s">
        <v>32849</v>
      </c>
      <c r="I15597" t="s">
        <v>4177</v>
      </c>
      <c r="J15597" t="s">
        <v>42498</v>
      </c>
      <c r="K15597" t="s">
        <v>42793</v>
      </c>
      <c r="M15597" t="s">
        <v>46404</v>
      </c>
      <c r="N15597" t="s">
        <v>47424</v>
      </c>
      <c r="O15597" t="s">
        <v>47425</v>
      </c>
      <c r="Q15597">
        <v>13</v>
      </c>
      <c r="R15597" t="s">
        <v>47488</v>
      </c>
      <c r="S15597" t="s">
        <v>48726</v>
      </c>
      <c r="T15597" t="s">
        <v>49188</v>
      </c>
      <c r="U15597" t="s">
        <v>62330</v>
      </c>
      <c r="W15597" t="s">
        <v>46404</v>
      </c>
      <c r="X15597" t="s">
        <v>47487</v>
      </c>
    </row>
    <row r="15598" spans="1:24">
      <c r="A15598">
        <f>HYPERLINK("https://www.philgeps.gov.ph/GEPSNONPILOT/Tender/SplashBidNoticeAbstractUI.aspx?menuIndex=3&amp;refID=6968335&amp;Result=3","6968335")</f>
        <v>0</v>
      </c>
      <c r="B15598" t="s">
        <v>689</v>
      </c>
      <c r="C15598" t="s">
        <v>18680</v>
      </c>
      <c r="E15598" t="s">
        <v>32524</v>
      </c>
      <c r="F15598" t="s">
        <v>32831</v>
      </c>
      <c r="G15598" t="s">
        <v>32839</v>
      </c>
      <c r="H15598" t="s">
        <v>32848</v>
      </c>
      <c r="I15598" t="s">
        <v>32860</v>
      </c>
      <c r="J15598" t="s">
        <v>42499</v>
      </c>
      <c r="K15598" t="s">
        <v>42732</v>
      </c>
      <c r="M15598" t="s">
        <v>45151</v>
      </c>
      <c r="N15598" t="s">
        <v>47424</v>
      </c>
      <c r="O15598" t="s">
        <v>47425</v>
      </c>
      <c r="Q15598">
        <v>11</v>
      </c>
      <c r="R15598" t="s">
        <v>47489</v>
      </c>
      <c r="S15598" t="s">
        <v>48891</v>
      </c>
      <c r="T15598" t="s">
        <v>49196</v>
      </c>
      <c r="U15598" t="s">
        <v>62331</v>
      </c>
      <c r="V15598" t="s">
        <v>64398</v>
      </c>
      <c r="W15598" t="s">
        <v>64566</v>
      </c>
      <c r="X15598" t="s">
        <v>64587</v>
      </c>
    </row>
    <row r="15599" spans="1:24">
      <c r="A15599">
        <f>HYPERLINK("https://www.philgeps.gov.ph/GEPSNONPILOT/Tender/SplashBidNoticeAbstractUI.aspx?menuIndex=3&amp;refID=6977130&amp;Result=3","6977130")</f>
        <v>0</v>
      </c>
      <c r="B15599" t="s">
        <v>3905</v>
      </c>
      <c r="C15599" t="s">
        <v>18681</v>
      </c>
      <c r="D15599" t="s">
        <v>19047</v>
      </c>
      <c r="E15599" t="s">
        <v>32525</v>
      </c>
      <c r="F15599" t="s">
        <v>32831</v>
      </c>
      <c r="G15599" t="s">
        <v>32839</v>
      </c>
      <c r="H15599" t="s">
        <v>32849</v>
      </c>
      <c r="I15599" t="s">
        <v>32852</v>
      </c>
      <c r="J15599" t="s">
        <v>42500</v>
      </c>
      <c r="K15599" t="s">
        <v>42763</v>
      </c>
      <c r="M15599" t="s">
        <v>47385</v>
      </c>
      <c r="N15599" t="s">
        <v>47424</v>
      </c>
      <c r="O15599" t="s">
        <v>47425</v>
      </c>
      <c r="Q15599">
        <v>10</v>
      </c>
      <c r="R15599" t="s">
        <v>47490</v>
      </c>
      <c r="S15599" t="s">
        <v>48892</v>
      </c>
      <c r="T15599" t="s">
        <v>49675</v>
      </c>
      <c r="U15599" t="s">
        <v>62332</v>
      </c>
      <c r="W15599" t="s">
        <v>47385</v>
      </c>
      <c r="X15599" t="s">
        <v>47491</v>
      </c>
    </row>
    <row r="15600" spans="1:24">
      <c r="A15600">
        <f>HYPERLINK("https://www.philgeps.gov.ph/GEPSNONPILOT/Tender/SplashBidNoticeAbstractUI.aspx?menuIndex=3&amp;refID=6975651&amp;Result=3","6975651")</f>
        <v>0</v>
      </c>
      <c r="B15600" t="s">
        <v>311</v>
      </c>
      <c r="C15600" t="s">
        <v>18682</v>
      </c>
      <c r="D15600" t="s">
        <v>19064</v>
      </c>
      <c r="E15600" t="s">
        <v>32526</v>
      </c>
      <c r="F15600" t="s">
        <v>32831</v>
      </c>
      <c r="G15600" t="s">
        <v>32838</v>
      </c>
      <c r="H15600" t="s">
        <v>32848</v>
      </c>
      <c r="I15600" t="s">
        <v>4776</v>
      </c>
      <c r="J15600" t="s">
        <v>33771</v>
      </c>
      <c r="K15600" t="s">
        <v>42763</v>
      </c>
      <c r="M15600" t="s">
        <v>43313</v>
      </c>
      <c r="N15600" t="s">
        <v>47424</v>
      </c>
      <c r="O15600" t="s">
        <v>47425</v>
      </c>
      <c r="P15600">
        <v>0</v>
      </c>
      <c r="Q15600">
        <v>1</v>
      </c>
      <c r="R15600" t="s">
        <v>47491</v>
      </c>
      <c r="S15600" t="s">
        <v>48893</v>
      </c>
      <c r="T15600" t="s">
        <v>49676</v>
      </c>
      <c r="U15600" t="s">
        <v>54186</v>
      </c>
      <c r="W15600" t="s">
        <v>43313</v>
      </c>
      <c r="X15600" t="s">
        <v>64588</v>
      </c>
    </row>
    <row r="15601" spans="1:24">
      <c r="A15601">
        <f>HYPERLINK("https://www.philgeps.gov.ph/GEPSNONPILOT/Tender/SplashBidNoticeAbstractUI.aspx?menuIndex=3&amp;refID=6976799&amp;Result=3","6976799")</f>
        <v>0</v>
      </c>
      <c r="B15601" t="s">
        <v>3905</v>
      </c>
      <c r="C15601" t="s">
        <v>18683</v>
      </c>
      <c r="D15601" t="s">
        <v>19047</v>
      </c>
      <c r="E15601" t="s">
        <v>32527</v>
      </c>
      <c r="F15601" t="s">
        <v>32831</v>
      </c>
      <c r="G15601" t="s">
        <v>32839</v>
      </c>
      <c r="H15601" t="s">
        <v>32849</v>
      </c>
      <c r="I15601" t="s">
        <v>4177</v>
      </c>
      <c r="J15601" t="s">
        <v>42501</v>
      </c>
      <c r="K15601" t="s">
        <v>42770</v>
      </c>
      <c r="M15601" t="s">
        <v>47385</v>
      </c>
      <c r="N15601" t="s">
        <v>47424</v>
      </c>
      <c r="O15601" t="s">
        <v>47425</v>
      </c>
      <c r="Q15601">
        <v>6</v>
      </c>
      <c r="R15601" t="s">
        <v>47490</v>
      </c>
      <c r="S15601" t="s">
        <v>48894</v>
      </c>
      <c r="T15601" t="s">
        <v>49675</v>
      </c>
      <c r="U15601" t="s">
        <v>62333</v>
      </c>
      <c r="W15601" t="s">
        <v>47385</v>
      </c>
      <c r="X15601" t="s">
        <v>47491</v>
      </c>
    </row>
    <row r="15602" spans="1:24">
      <c r="A15602">
        <f>HYPERLINK("https://www.philgeps.gov.ph/GEPSNONPILOT/Tender/SplashBidNoticeAbstractUI.aspx?menuIndex=3&amp;refID=6977068&amp;Result=3","6977068")</f>
        <v>0</v>
      </c>
      <c r="B15602" t="s">
        <v>3905</v>
      </c>
      <c r="C15602" t="s">
        <v>18684</v>
      </c>
      <c r="D15602" t="s">
        <v>19047</v>
      </c>
      <c r="E15602" t="s">
        <v>32528</v>
      </c>
      <c r="F15602" t="s">
        <v>32831</v>
      </c>
      <c r="G15602" t="s">
        <v>32839</v>
      </c>
      <c r="H15602" t="s">
        <v>32849</v>
      </c>
      <c r="I15602" t="s">
        <v>4177</v>
      </c>
      <c r="J15602" t="s">
        <v>42502</v>
      </c>
      <c r="K15602" t="s">
        <v>42770</v>
      </c>
      <c r="M15602" t="s">
        <v>47385</v>
      </c>
      <c r="N15602" t="s">
        <v>47424</v>
      </c>
      <c r="O15602" t="s">
        <v>47425</v>
      </c>
      <c r="Q15602">
        <v>6</v>
      </c>
      <c r="R15602" t="s">
        <v>47490</v>
      </c>
      <c r="S15602" t="s">
        <v>48895</v>
      </c>
      <c r="T15602" t="s">
        <v>49675</v>
      </c>
      <c r="U15602" t="s">
        <v>62334</v>
      </c>
      <c r="W15602" t="s">
        <v>47385</v>
      </c>
      <c r="X15602" t="s">
        <v>47491</v>
      </c>
    </row>
    <row r="15603" spans="1:24">
      <c r="A15603">
        <f>HYPERLINK("https://www.philgeps.gov.ph/GEPSNONPILOT/Tender/SplashBidNoticeAbstractUI.aspx?menuIndex=3&amp;refID=7018161&amp;Result=3","7018161")</f>
        <v>0</v>
      </c>
      <c r="B15603" t="s">
        <v>2594</v>
      </c>
      <c r="C15603" t="s">
        <v>18685</v>
      </c>
      <c r="D15603" t="s">
        <v>19062</v>
      </c>
      <c r="E15603" t="s">
        <v>32529</v>
      </c>
      <c r="F15603" t="s">
        <v>32831</v>
      </c>
      <c r="G15603" t="s">
        <v>32839</v>
      </c>
      <c r="H15603" t="s">
        <v>32849</v>
      </c>
      <c r="I15603" t="s">
        <v>4177</v>
      </c>
      <c r="J15603" t="s">
        <v>42503</v>
      </c>
      <c r="K15603" t="s">
        <v>42770</v>
      </c>
      <c r="M15603" t="s">
        <v>46404</v>
      </c>
      <c r="N15603" t="s">
        <v>47424</v>
      </c>
      <c r="O15603" t="s">
        <v>47425</v>
      </c>
      <c r="Q15603">
        <v>16</v>
      </c>
      <c r="R15603" t="s">
        <v>47488</v>
      </c>
      <c r="S15603" t="s">
        <v>48896</v>
      </c>
      <c r="T15603" t="s">
        <v>49188</v>
      </c>
      <c r="U15603" t="s">
        <v>62335</v>
      </c>
      <c r="W15603" t="s">
        <v>46404</v>
      </c>
      <c r="X15603" t="s">
        <v>47487</v>
      </c>
    </row>
    <row r="15604" spans="1:24">
      <c r="A15604">
        <f>HYPERLINK("https://www.philgeps.gov.ph/GEPSNONPILOT/Tender/SplashBidNoticeAbstractUI.aspx?menuIndex=3&amp;refID=6976974&amp;Result=3","6976974")</f>
        <v>0</v>
      </c>
      <c r="B15604" t="s">
        <v>3905</v>
      </c>
      <c r="C15604" t="s">
        <v>18686</v>
      </c>
      <c r="D15604" t="s">
        <v>19047</v>
      </c>
      <c r="E15604" t="s">
        <v>32530</v>
      </c>
      <c r="F15604" t="s">
        <v>32831</v>
      </c>
      <c r="G15604" t="s">
        <v>32839</v>
      </c>
      <c r="H15604" t="s">
        <v>32848</v>
      </c>
      <c r="I15604" t="s">
        <v>4177</v>
      </c>
      <c r="J15604" t="s">
        <v>42504</v>
      </c>
      <c r="K15604" t="s">
        <v>42770</v>
      </c>
      <c r="M15604" t="s">
        <v>47385</v>
      </c>
      <c r="N15604" t="s">
        <v>47424</v>
      </c>
      <c r="O15604" t="s">
        <v>47425</v>
      </c>
      <c r="Q15604">
        <v>9</v>
      </c>
      <c r="R15604" t="s">
        <v>47490</v>
      </c>
      <c r="S15604" t="s">
        <v>48897</v>
      </c>
      <c r="T15604" t="s">
        <v>49675</v>
      </c>
      <c r="U15604" t="s">
        <v>62336</v>
      </c>
      <c r="W15604" t="s">
        <v>47385</v>
      </c>
      <c r="X15604" t="s">
        <v>47491</v>
      </c>
    </row>
    <row r="15605" spans="1:24">
      <c r="A15605">
        <f>HYPERLINK("https://www.philgeps.gov.ph/GEPSNONPILOT/Tender/SplashBidNoticeAbstractUI.aspx?menuIndex=3&amp;refID=6970817&amp;Result=3","6970817")</f>
        <v>0</v>
      </c>
      <c r="B15605" t="s">
        <v>2664</v>
      </c>
      <c r="C15605" t="s">
        <v>18687</v>
      </c>
      <c r="D15605" t="s">
        <v>19021</v>
      </c>
      <c r="E15605" t="s">
        <v>32531</v>
      </c>
      <c r="F15605" t="s">
        <v>32831</v>
      </c>
      <c r="G15605" t="s">
        <v>32838</v>
      </c>
      <c r="H15605" t="s">
        <v>32848</v>
      </c>
      <c r="I15605" t="s">
        <v>10805</v>
      </c>
      <c r="J15605" t="s">
        <v>33364</v>
      </c>
      <c r="K15605" t="s">
        <v>42727</v>
      </c>
      <c r="M15605" t="s">
        <v>45887</v>
      </c>
      <c r="N15605" t="s">
        <v>47424</v>
      </c>
      <c r="O15605" t="s">
        <v>47425</v>
      </c>
      <c r="Q15605">
        <v>4</v>
      </c>
      <c r="R15605" t="s">
        <v>47492</v>
      </c>
      <c r="S15605" t="s">
        <v>47785</v>
      </c>
      <c r="T15605" t="s">
        <v>49073</v>
      </c>
      <c r="U15605" t="s">
        <v>62337</v>
      </c>
      <c r="W15605" t="s">
        <v>45887</v>
      </c>
      <c r="X15605" t="s">
        <v>64589</v>
      </c>
    </row>
    <row r="15606" spans="1:24">
      <c r="A15606">
        <f>HYPERLINK("https://www.philgeps.gov.ph/GEPSNONPILOT/Tender/SplashBidNoticeAbstractUI.aspx?menuIndex=3&amp;refID=7024850&amp;Result=3","7024850")</f>
        <v>0</v>
      </c>
      <c r="B15606" t="s">
        <v>3899</v>
      </c>
      <c r="C15606" t="s">
        <v>18688</v>
      </c>
      <c r="D15606" t="s">
        <v>19046</v>
      </c>
      <c r="E15606" t="s">
        <v>32532</v>
      </c>
      <c r="F15606" t="s">
        <v>32831</v>
      </c>
      <c r="G15606" t="s">
        <v>32839</v>
      </c>
      <c r="H15606" t="s">
        <v>32849</v>
      </c>
      <c r="I15606" t="s">
        <v>4177</v>
      </c>
      <c r="J15606" t="s">
        <v>35577</v>
      </c>
      <c r="K15606" t="s">
        <v>43012</v>
      </c>
      <c r="M15606" t="s">
        <v>47370</v>
      </c>
      <c r="N15606" t="s">
        <v>47424</v>
      </c>
      <c r="O15606" t="s">
        <v>47425</v>
      </c>
      <c r="Q15606">
        <v>9</v>
      </c>
      <c r="R15606" t="s">
        <v>47481</v>
      </c>
      <c r="S15606" t="s">
        <v>48898</v>
      </c>
      <c r="T15606" t="s">
        <v>49465</v>
      </c>
      <c r="U15606" t="s">
        <v>62226</v>
      </c>
      <c r="W15606" t="s">
        <v>47370</v>
      </c>
      <c r="X15606" t="s">
        <v>47479</v>
      </c>
    </row>
    <row r="15607" spans="1:24">
      <c r="A15607">
        <f>HYPERLINK("https://www.philgeps.gov.ph/GEPSNONPILOT/Tender/SplashBidNoticeAbstractUI.aspx?menuIndex=3&amp;refID=6976656&amp;Result=3","6976656")</f>
        <v>0</v>
      </c>
      <c r="B15607" t="s">
        <v>3905</v>
      </c>
      <c r="C15607" t="s">
        <v>18689</v>
      </c>
      <c r="D15607" t="s">
        <v>19047</v>
      </c>
      <c r="E15607" t="s">
        <v>32533</v>
      </c>
      <c r="F15607" t="s">
        <v>32831</v>
      </c>
      <c r="G15607" t="s">
        <v>32839</v>
      </c>
      <c r="H15607" t="s">
        <v>32849</v>
      </c>
      <c r="I15607" t="s">
        <v>4177</v>
      </c>
      <c r="J15607" t="s">
        <v>42505</v>
      </c>
      <c r="K15607" t="s">
        <v>42770</v>
      </c>
      <c r="M15607" t="s">
        <v>47385</v>
      </c>
      <c r="N15607" t="s">
        <v>47424</v>
      </c>
      <c r="O15607" t="s">
        <v>47425</v>
      </c>
      <c r="Q15607">
        <v>12</v>
      </c>
      <c r="R15607" t="s">
        <v>47490</v>
      </c>
      <c r="S15607" t="s">
        <v>48899</v>
      </c>
      <c r="T15607" t="s">
        <v>49675</v>
      </c>
      <c r="U15607" t="s">
        <v>62338</v>
      </c>
      <c r="W15607" t="s">
        <v>47385</v>
      </c>
      <c r="X15607" t="s">
        <v>47491</v>
      </c>
    </row>
    <row r="15608" spans="1:24">
      <c r="A15608">
        <f>HYPERLINK("https://www.philgeps.gov.ph/GEPSNONPILOT/Tender/SplashBidNoticeAbstractUI.aspx?menuIndex=3&amp;refID=6986391&amp;Result=3","6986391")</f>
        <v>0</v>
      </c>
      <c r="B15608" t="s">
        <v>3906</v>
      </c>
      <c r="C15608" t="s">
        <v>18690</v>
      </c>
      <c r="D15608" t="s">
        <v>19078</v>
      </c>
      <c r="E15608" t="s">
        <v>32534</v>
      </c>
      <c r="F15608" t="s">
        <v>32831</v>
      </c>
      <c r="G15608" t="s">
        <v>32839</v>
      </c>
      <c r="H15608" t="s">
        <v>32849</v>
      </c>
      <c r="I15608" t="s">
        <v>8577</v>
      </c>
      <c r="J15608" t="s">
        <v>33553</v>
      </c>
      <c r="K15608" t="s">
        <v>42770</v>
      </c>
      <c r="M15608" t="s">
        <v>47386</v>
      </c>
      <c r="N15608" t="s">
        <v>47424</v>
      </c>
      <c r="O15608" t="s">
        <v>47425</v>
      </c>
      <c r="Q15608">
        <v>15</v>
      </c>
      <c r="R15608" t="s">
        <v>47493</v>
      </c>
      <c r="S15608" t="s">
        <v>48900</v>
      </c>
      <c r="T15608" t="s">
        <v>49677</v>
      </c>
      <c r="U15608" t="s">
        <v>62339</v>
      </c>
      <c r="W15608" t="s">
        <v>47386</v>
      </c>
      <c r="X15608" t="s">
        <v>64570</v>
      </c>
    </row>
    <row r="15609" spans="1:24">
      <c r="A15609">
        <f>HYPERLINK("https://www.philgeps.gov.ph/GEPSNONPILOT/Tender/SplashBidNoticeAbstractUI.aspx?menuIndex=3&amp;refID=6979366&amp;Result=3","6979366")</f>
        <v>0</v>
      </c>
      <c r="B15609" t="s">
        <v>3907</v>
      </c>
      <c r="C15609" t="s">
        <v>18691</v>
      </c>
      <c r="D15609" t="s">
        <v>19017</v>
      </c>
      <c r="E15609" t="s">
        <v>32535</v>
      </c>
      <c r="F15609" t="s">
        <v>32831</v>
      </c>
      <c r="G15609" t="s">
        <v>32839</v>
      </c>
      <c r="H15609" t="s">
        <v>32848</v>
      </c>
      <c r="I15609" t="s">
        <v>4487</v>
      </c>
      <c r="J15609" t="s">
        <v>42506</v>
      </c>
      <c r="K15609" t="s">
        <v>42730</v>
      </c>
      <c r="M15609" t="s">
        <v>47387</v>
      </c>
      <c r="N15609" t="s">
        <v>47424</v>
      </c>
      <c r="O15609" t="s">
        <v>47425</v>
      </c>
      <c r="Q15609">
        <v>33</v>
      </c>
      <c r="R15609" t="s">
        <v>47494</v>
      </c>
      <c r="S15609" t="s">
        <v>48901</v>
      </c>
      <c r="T15609" t="s">
        <v>49678</v>
      </c>
      <c r="U15609" t="s">
        <v>62340</v>
      </c>
      <c r="W15609" t="s">
        <v>47387</v>
      </c>
      <c r="X15609" t="s">
        <v>64590</v>
      </c>
    </row>
    <row r="15610" spans="1:24">
      <c r="A15610">
        <f>HYPERLINK("https://www.philgeps.gov.ph/GEPSNONPILOT/Tender/SplashBidNoticeAbstractUI.aspx?menuIndex=3&amp;refID=6976716&amp;Result=3","6976716")</f>
        <v>0</v>
      </c>
      <c r="B15610" t="s">
        <v>3905</v>
      </c>
      <c r="C15610" t="s">
        <v>18692</v>
      </c>
      <c r="D15610" t="s">
        <v>19047</v>
      </c>
      <c r="E15610" t="s">
        <v>32536</v>
      </c>
      <c r="F15610" t="s">
        <v>32831</v>
      </c>
      <c r="G15610" t="s">
        <v>32839</v>
      </c>
      <c r="H15610" t="s">
        <v>32849</v>
      </c>
      <c r="I15610" t="s">
        <v>4177</v>
      </c>
      <c r="J15610" t="s">
        <v>42507</v>
      </c>
      <c r="K15610" t="s">
        <v>42770</v>
      </c>
      <c r="M15610" t="s">
        <v>47385</v>
      </c>
      <c r="N15610" t="s">
        <v>47424</v>
      </c>
      <c r="O15610" t="s">
        <v>47425</v>
      </c>
      <c r="Q15610">
        <v>8</v>
      </c>
      <c r="R15610" t="s">
        <v>47490</v>
      </c>
      <c r="S15610" t="s">
        <v>48902</v>
      </c>
      <c r="T15610" t="s">
        <v>49675</v>
      </c>
      <c r="U15610" t="s">
        <v>62341</v>
      </c>
      <c r="W15610" t="s">
        <v>47385</v>
      </c>
      <c r="X15610" t="s">
        <v>47491</v>
      </c>
    </row>
    <row r="15611" spans="1:24">
      <c r="A15611">
        <f>HYPERLINK("https://www.philgeps.gov.ph/GEPSNONPILOT/Tender/SplashBidNoticeAbstractUI.aspx?menuIndex=3&amp;refID=6936060&amp;Result=3","6936060")</f>
        <v>0</v>
      </c>
      <c r="B15611" t="s">
        <v>1454</v>
      </c>
      <c r="C15611" t="s">
        <v>18693</v>
      </c>
      <c r="D15611" t="s">
        <v>19017</v>
      </c>
      <c r="E15611" t="s">
        <v>32537</v>
      </c>
      <c r="F15611" t="s">
        <v>32831</v>
      </c>
      <c r="G15611" t="s">
        <v>32839</v>
      </c>
      <c r="H15611" t="s">
        <v>32848</v>
      </c>
      <c r="I15611" t="s">
        <v>32861</v>
      </c>
      <c r="J15611" t="s">
        <v>42508</v>
      </c>
      <c r="K15611" t="s">
        <v>42763</v>
      </c>
      <c r="M15611" t="s">
        <v>44546</v>
      </c>
      <c r="N15611" t="s">
        <v>47424</v>
      </c>
      <c r="O15611" t="s">
        <v>47425</v>
      </c>
      <c r="Q15611">
        <v>16</v>
      </c>
      <c r="R15611" t="s">
        <v>47495</v>
      </c>
      <c r="S15611" t="s">
        <v>48903</v>
      </c>
      <c r="T15611" t="s">
        <v>49116</v>
      </c>
      <c r="U15611" t="s">
        <v>62342</v>
      </c>
      <c r="W15611" t="s">
        <v>44546</v>
      </c>
      <c r="X15611" t="s">
        <v>47513</v>
      </c>
    </row>
    <row r="15612" spans="1:24">
      <c r="A15612">
        <f>HYPERLINK("https://www.philgeps.gov.ph/GEPSNONPILOT/Tender/SplashBidNoticeAbstractUI.aspx?menuIndex=3&amp;refID=6938004&amp;Result=3","6938004")</f>
        <v>0</v>
      </c>
      <c r="B15612" t="s">
        <v>67</v>
      </c>
      <c r="C15612" t="s">
        <v>18694</v>
      </c>
      <c r="D15612" t="s">
        <v>19079</v>
      </c>
      <c r="E15612" t="s">
        <v>32538</v>
      </c>
      <c r="F15612" t="s">
        <v>32831</v>
      </c>
      <c r="G15612" t="s">
        <v>32838</v>
      </c>
      <c r="H15612" t="s">
        <v>32848</v>
      </c>
      <c r="I15612" t="s">
        <v>32902</v>
      </c>
      <c r="J15612" t="s">
        <v>32980</v>
      </c>
      <c r="K15612" t="s">
        <v>42745</v>
      </c>
      <c r="M15612" t="s">
        <v>44461</v>
      </c>
      <c r="N15612" t="s">
        <v>47424</v>
      </c>
      <c r="O15612" t="s">
        <v>47425</v>
      </c>
      <c r="Q15612">
        <v>1</v>
      </c>
      <c r="R15612" t="s">
        <v>47496</v>
      </c>
      <c r="S15612" t="s">
        <v>48904</v>
      </c>
      <c r="T15612" t="s">
        <v>49196</v>
      </c>
      <c r="U15612" t="s">
        <v>62343</v>
      </c>
      <c r="W15612" t="s">
        <v>44461</v>
      </c>
      <c r="X15612" t="s">
        <v>47495</v>
      </c>
    </row>
    <row r="15613" spans="1:24">
      <c r="A15613">
        <f>HYPERLINK("https://www.philgeps.gov.ph/GEPSNONPILOT/Tender/SplashBidNoticeAbstractUI.aspx?menuIndex=3&amp;refID=6942382&amp;Result=3","6942382")</f>
        <v>0</v>
      </c>
      <c r="B15613" t="s">
        <v>1284</v>
      </c>
      <c r="C15613" t="s">
        <v>18695</v>
      </c>
      <c r="D15613" t="s">
        <v>19023</v>
      </c>
      <c r="E15613" t="s">
        <v>32539</v>
      </c>
      <c r="F15613" t="s">
        <v>32831</v>
      </c>
      <c r="G15613" t="s">
        <v>32839</v>
      </c>
      <c r="H15613" t="s">
        <v>32849</v>
      </c>
      <c r="I15613" t="s">
        <v>4177</v>
      </c>
      <c r="J15613" t="s">
        <v>42509</v>
      </c>
      <c r="K15613" t="s">
        <v>42789</v>
      </c>
      <c r="M15613" t="s">
        <v>44354</v>
      </c>
      <c r="N15613" t="s">
        <v>47424</v>
      </c>
      <c r="O15613" t="s">
        <v>47425</v>
      </c>
      <c r="Q15613">
        <v>11</v>
      </c>
      <c r="R15613" t="s">
        <v>47497</v>
      </c>
      <c r="S15613" t="s">
        <v>48905</v>
      </c>
      <c r="T15613" t="s">
        <v>49679</v>
      </c>
      <c r="U15613" t="s">
        <v>62344</v>
      </c>
      <c r="W15613" t="s">
        <v>44354</v>
      </c>
      <c r="X15613" t="s">
        <v>47498</v>
      </c>
    </row>
    <row r="15614" spans="1:24">
      <c r="A15614">
        <f>HYPERLINK("https://www.philgeps.gov.ph/GEPSNONPILOT/Tender/SplashBidNoticeAbstractUI.aspx?menuIndex=3&amp;refID=6936028&amp;Result=3","6936028")</f>
        <v>0</v>
      </c>
      <c r="B15614" t="s">
        <v>3908</v>
      </c>
      <c r="C15614" t="s">
        <v>18696</v>
      </c>
      <c r="D15614" t="s">
        <v>19030</v>
      </c>
      <c r="E15614" t="s">
        <v>32540</v>
      </c>
      <c r="F15614" t="s">
        <v>32831</v>
      </c>
      <c r="G15614" t="s">
        <v>32845</v>
      </c>
      <c r="H15614" t="s">
        <v>32850</v>
      </c>
      <c r="I15614" t="s">
        <v>32931</v>
      </c>
      <c r="J15614" t="s">
        <v>33111</v>
      </c>
      <c r="K15614" t="s">
        <v>42770</v>
      </c>
      <c r="M15614" t="s">
        <v>47388</v>
      </c>
      <c r="N15614" t="s">
        <v>47424</v>
      </c>
      <c r="O15614" t="s">
        <v>47425</v>
      </c>
      <c r="Q15614">
        <v>25</v>
      </c>
      <c r="R15614" t="s">
        <v>47495</v>
      </c>
      <c r="S15614" t="s">
        <v>48906</v>
      </c>
      <c r="T15614" t="s">
        <v>49162</v>
      </c>
      <c r="U15614" t="s">
        <v>62345</v>
      </c>
      <c r="W15614" t="s">
        <v>47388</v>
      </c>
      <c r="X15614" t="s">
        <v>47513</v>
      </c>
    </row>
    <row r="15615" spans="1:24">
      <c r="A15615">
        <f>HYPERLINK("https://www.philgeps.gov.ph/GEPSNONPILOT/Tender/SplashBidNoticeAbstractUI.aspx?menuIndex=3&amp;refID=6942354&amp;Result=3","6942354")</f>
        <v>0</v>
      </c>
      <c r="B15615" t="s">
        <v>1284</v>
      </c>
      <c r="C15615" t="s">
        <v>18697</v>
      </c>
      <c r="D15615" t="s">
        <v>19023</v>
      </c>
      <c r="E15615" t="s">
        <v>32541</v>
      </c>
      <c r="F15615" t="s">
        <v>32831</v>
      </c>
      <c r="G15615" t="s">
        <v>32839</v>
      </c>
      <c r="H15615" t="s">
        <v>32849</v>
      </c>
      <c r="I15615" t="s">
        <v>4177</v>
      </c>
      <c r="J15615" t="s">
        <v>34729</v>
      </c>
      <c r="K15615" t="s">
        <v>42761</v>
      </c>
      <c r="M15615" t="s">
        <v>44354</v>
      </c>
      <c r="N15615" t="s">
        <v>47424</v>
      </c>
      <c r="O15615" t="s">
        <v>47425</v>
      </c>
      <c r="Q15615">
        <v>6</v>
      </c>
      <c r="R15615" t="s">
        <v>47497</v>
      </c>
      <c r="S15615" t="s">
        <v>48907</v>
      </c>
      <c r="T15615" t="s">
        <v>49071</v>
      </c>
      <c r="U15615" t="s">
        <v>62346</v>
      </c>
      <c r="W15615" t="s">
        <v>44354</v>
      </c>
      <c r="X15615" t="s">
        <v>47498</v>
      </c>
    </row>
    <row r="15616" spans="1:24">
      <c r="A15616">
        <f>HYPERLINK("https://www.philgeps.gov.ph/GEPSNONPILOT/Tender/SplashBidNoticeAbstractUI.aspx?menuIndex=3&amp;refID=6935605&amp;Result=3","6935605")</f>
        <v>0</v>
      </c>
      <c r="B15616" t="s">
        <v>1454</v>
      </c>
      <c r="C15616" t="s">
        <v>18698</v>
      </c>
      <c r="D15616" t="s">
        <v>19017</v>
      </c>
      <c r="E15616" t="s">
        <v>32542</v>
      </c>
      <c r="F15616" t="s">
        <v>32831</v>
      </c>
      <c r="G15616" t="s">
        <v>32839</v>
      </c>
      <c r="H15616" t="s">
        <v>32848</v>
      </c>
      <c r="I15616" t="s">
        <v>32937</v>
      </c>
      <c r="J15616" t="s">
        <v>42510</v>
      </c>
      <c r="K15616" t="s">
        <v>42757</v>
      </c>
      <c r="M15616" t="s">
        <v>44546</v>
      </c>
      <c r="N15616" t="s">
        <v>47424</v>
      </c>
      <c r="O15616" t="s">
        <v>47425</v>
      </c>
      <c r="Q15616">
        <v>17</v>
      </c>
      <c r="R15616" t="s">
        <v>47498</v>
      </c>
      <c r="S15616" t="s">
        <v>48908</v>
      </c>
      <c r="T15616" t="s">
        <v>49284</v>
      </c>
      <c r="U15616" t="s">
        <v>62347</v>
      </c>
      <c r="W15616" t="s">
        <v>44546</v>
      </c>
      <c r="X15616" t="s">
        <v>47513</v>
      </c>
    </row>
    <row r="15617" spans="1:24">
      <c r="A15617">
        <f>HYPERLINK("https://www.philgeps.gov.ph/GEPSNONPILOT/Tender/SplashBidNoticeAbstractUI.aspx?menuIndex=3&amp;refID=6941385&amp;Result=3","6941385")</f>
        <v>0</v>
      </c>
      <c r="B15617" t="s">
        <v>1009</v>
      </c>
      <c r="C15617" t="s">
        <v>18699</v>
      </c>
      <c r="D15617" t="s">
        <v>19039</v>
      </c>
      <c r="E15617" t="s">
        <v>32543</v>
      </c>
      <c r="F15617" t="s">
        <v>32831</v>
      </c>
      <c r="G15617" t="s">
        <v>32839</v>
      </c>
      <c r="H15617" t="s">
        <v>32848</v>
      </c>
      <c r="I15617" t="s">
        <v>7416</v>
      </c>
      <c r="J15617" t="s">
        <v>42511</v>
      </c>
      <c r="K15617" t="s">
        <v>42727</v>
      </c>
      <c r="L15617" t="s">
        <v>1009</v>
      </c>
      <c r="M15617" t="s">
        <v>47314</v>
      </c>
      <c r="N15617" t="s">
        <v>47424</v>
      </c>
      <c r="O15617" t="s">
        <v>47425</v>
      </c>
      <c r="Q15617">
        <v>2</v>
      </c>
      <c r="R15617" t="s">
        <v>47497</v>
      </c>
      <c r="S15617" t="s">
        <v>48909</v>
      </c>
      <c r="T15617" t="s">
        <v>49239</v>
      </c>
      <c r="U15617" t="s">
        <v>62348</v>
      </c>
      <c r="V15617" t="s">
        <v>64330</v>
      </c>
      <c r="W15617" t="s">
        <v>47314</v>
      </c>
      <c r="X15617" t="s">
        <v>47498</v>
      </c>
    </row>
    <row r="15618" spans="1:24">
      <c r="A15618">
        <f>HYPERLINK("https://www.philgeps.gov.ph/GEPSNONPILOT/Tender/SplashBidNoticeAbstractUI.aspx?menuIndex=3&amp;refID=6935391&amp;Result=3","6935391")</f>
        <v>0</v>
      </c>
      <c r="B15618" t="s">
        <v>1454</v>
      </c>
      <c r="C15618" t="s">
        <v>18700</v>
      </c>
      <c r="D15618" t="s">
        <v>19017</v>
      </c>
      <c r="E15618" t="s">
        <v>32544</v>
      </c>
      <c r="F15618" t="s">
        <v>32831</v>
      </c>
      <c r="G15618" t="s">
        <v>32839</v>
      </c>
      <c r="H15618" t="s">
        <v>32848</v>
      </c>
      <c r="I15618" t="s">
        <v>32937</v>
      </c>
      <c r="J15618" t="s">
        <v>42512</v>
      </c>
      <c r="K15618" t="s">
        <v>42763</v>
      </c>
      <c r="M15618" t="s">
        <v>44546</v>
      </c>
      <c r="N15618" t="s">
        <v>47424</v>
      </c>
      <c r="O15618" t="s">
        <v>47425</v>
      </c>
      <c r="Q15618">
        <v>19</v>
      </c>
      <c r="R15618" t="s">
        <v>47495</v>
      </c>
      <c r="S15618" t="s">
        <v>48910</v>
      </c>
      <c r="T15618" t="s">
        <v>49187</v>
      </c>
      <c r="U15618" t="s">
        <v>62349</v>
      </c>
      <c r="W15618" t="s">
        <v>44546</v>
      </c>
      <c r="X15618" t="s">
        <v>47513</v>
      </c>
    </row>
    <row r="15619" spans="1:24">
      <c r="A15619">
        <f>HYPERLINK("https://www.philgeps.gov.ph/GEPSNONPILOT/Tender/SplashBidNoticeAbstractUI.aspx?menuIndex=3&amp;refID=6938760&amp;Result=3","6938760")</f>
        <v>0</v>
      </c>
      <c r="B15619" t="s">
        <v>1454</v>
      </c>
      <c r="C15619" t="s">
        <v>18701</v>
      </c>
      <c r="D15619" t="s">
        <v>19017</v>
      </c>
      <c r="E15619" t="s">
        <v>32545</v>
      </c>
      <c r="F15619" t="s">
        <v>32831</v>
      </c>
      <c r="G15619" t="s">
        <v>32839</v>
      </c>
      <c r="H15619" t="s">
        <v>32848</v>
      </c>
      <c r="I15619" t="s">
        <v>32857</v>
      </c>
      <c r="J15619" t="s">
        <v>42513</v>
      </c>
      <c r="K15619" t="s">
        <v>42763</v>
      </c>
      <c r="M15619" t="s">
        <v>44546</v>
      </c>
      <c r="N15619" t="s">
        <v>47424</v>
      </c>
      <c r="O15619" t="s">
        <v>47425</v>
      </c>
      <c r="Q15619">
        <v>23</v>
      </c>
      <c r="R15619" t="s">
        <v>47497</v>
      </c>
      <c r="S15619" t="s">
        <v>48911</v>
      </c>
      <c r="T15619" t="s">
        <v>49231</v>
      </c>
      <c r="U15619" t="s">
        <v>62350</v>
      </c>
      <c r="W15619" t="s">
        <v>44546</v>
      </c>
      <c r="X15619" t="s">
        <v>47495</v>
      </c>
    </row>
    <row r="15620" spans="1:24">
      <c r="A15620">
        <f>HYPERLINK("https://www.philgeps.gov.ph/GEPSNONPILOT/Tender/SplashBidNoticeAbstractUI.aspx?menuIndex=3&amp;refID=6929247&amp;Result=3","6929247")</f>
        <v>0</v>
      </c>
      <c r="B15620" t="s">
        <v>1454</v>
      </c>
      <c r="C15620" t="s">
        <v>18702</v>
      </c>
      <c r="D15620" t="s">
        <v>19030</v>
      </c>
      <c r="E15620" t="s">
        <v>32546</v>
      </c>
      <c r="F15620" t="s">
        <v>32831</v>
      </c>
      <c r="G15620" t="s">
        <v>32839</v>
      </c>
      <c r="H15620" t="s">
        <v>32848</v>
      </c>
      <c r="I15620" t="s">
        <v>32937</v>
      </c>
      <c r="J15620" t="s">
        <v>42514</v>
      </c>
      <c r="K15620" t="s">
        <v>42729</v>
      </c>
      <c r="M15620" t="s">
        <v>44546</v>
      </c>
      <c r="N15620" t="s">
        <v>47424</v>
      </c>
      <c r="O15620" t="s">
        <v>47425</v>
      </c>
      <c r="Q15620">
        <v>9</v>
      </c>
      <c r="R15620" t="s">
        <v>47497</v>
      </c>
      <c r="S15620" t="s">
        <v>48912</v>
      </c>
      <c r="T15620" t="s">
        <v>49209</v>
      </c>
      <c r="U15620" t="s">
        <v>62351</v>
      </c>
      <c r="W15620" t="s">
        <v>44546</v>
      </c>
      <c r="X15620" t="s">
        <v>47512</v>
      </c>
    </row>
    <row r="15621" spans="1:24">
      <c r="A15621">
        <f>HYPERLINK("https://www.philgeps.gov.ph/GEPSNONPILOT/Tender/SplashBidNoticeAbstractUI.aspx?menuIndex=3&amp;refID=6941255&amp;Result=3","6941255")</f>
        <v>0</v>
      </c>
      <c r="B15621" t="s">
        <v>1009</v>
      </c>
      <c r="C15621" t="s">
        <v>18703</v>
      </c>
      <c r="D15621" t="s">
        <v>19039</v>
      </c>
      <c r="E15621" t="s">
        <v>32547</v>
      </c>
      <c r="F15621" t="s">
        <v>32831</v>
      </c>
      <c r="G15621" t="s">
        <v>32839</v>
      </c>
      <c r="H15621" t="s">
        <v>32849</v>
      </c>
      <c r="I15621" t="s">
        <v>4177</v>
      </c>
      <c r="J15621" t="s">
        <v>42515</v>
      </c>
      <c r="K15621" t="s">
        <v>42729</v>
      </c>
      <c r="L15621" t="s">
        <v>1009</v>
      </c>
      <c r="M15621" t="s">
        <v>47314</v>
      </c>
      <c r="N15621" t="s">
        <v>47424</v>
      </c>
      <c r="O15621" t="s">
        <v>47425</v>
      </c>
      <c r="Q15621">
        <v>2</v>
      </c>
      <c r="R15621" t="s">
        <v>47497</v>
      </c>
      <c r="S15621" t="s">
        <v>48913</v>
      </c>
      <c r="T15621" t="s">
        <v>49239</v>
      </c>
      <c r="U15621" t="s">
        <v>62348</v>
      </c>
      <c r="V15621" t="s">
        <v>64329</v>
      </c>
      <c r="W15621" t="s">
        <v>47314</v>
      </c>
      <c r="X15621" t="s">
        <v>47498</v>
      </c>
    </row>
    <row r="15622" spans="1:24">
      <c r="A15622">
        <f>HYPERLINK("https://www.philgeps.gov.ph/GEPSNONPILOT/Tender/SplashBidNoticeAbstractUI.aspx?menuIndex=3&amp;refID=6945175&amp;Result=3","6945175")</f>
        <v>0</v>
      </c>
      <c r="B15622" t="s">
        <v>1321</v>
      </c>
      <c r="C15622" t="s">
        <v>18704</v>
      </c>
      <c r="D15622" t="s">
        <v>19074</v>
      </c>
      <c r="E15622" t="s">
        <v>32548</v>
      </c>
      <c r="F15622" t="s">
        <v>32831</v>
      </c>
      <c r="G15622" t="s">
        <v>32839</v>
      </c>
      <c r="H15622" t="s">
        <v>32849</v>
      </c>
      <c r="I15622" t="s">
        <v>4177</v>
      </c>
      <c r="J15622" t="s">
        <v>42516</v>
      </c>
      <c r="K15622" t="s">
        <v>43013</v>
      </c>
      <c r="M15622" t="s">
        <v>44392</v>
      </c>
      <c r="N15622" t="s">
        <v>47424</v>
      </c>
      <c r="O15622" t="s">
        <v>47425</v>
      </c>
      <c r="Q15622">
        <v>5</v>
      </c>
      <c r="R15622" t="s">
        <v>47499</v>
      </c>
      <c r="S15622" t="s">
        <v>48914</v>
      </c>
      <c r="T15622" t="s">
        <v>49080</v>
      </c>
      <c r="U15622" t="s">
        <v>54037</v>
      </c>
      <c r="V15622" t="s">
        <v>64358</v>
      </c>
      <c r="W15622" t="s">
        <v>44392</v>
      </c>
      <c r="X15622" t="s">
        <v>64591</v>
      </c>
    </row>
    <row r="15623" spans="1:24">
      <c r="A15623">
        <f>HYPERLINK("https://www.philgeps.gov.ph/GEPSNONPILOT/Tender/SplashBidNoticeAbstractUI.aspx?menuIndex=3&amp;refID=6927535&amp;Result=3","6927535")</f>
        <v>0</v>
      </c>
      <c r="B15623" t="s">
        <v>1454</v>
      </c>
      <c r="C15623" t="s">
        <v>18705</v>
      </c>
      <c r="D15623" t="s">
        <v>19043</v>
      </c>
      <c r="E15623" t="s">
        <v>32549</v>
      </c>
      <c r="F15623" t="s">
        <v>32831</v>
      </c>
      <c r="G15623" t="s">
        <v>32841</v>
      </c>
      <c r="H15623" t="s">
        <v>32849</v>
      </c>
      <c r="I15623" t="s">
        <v>32913</v>
      </c>
      <c r="J15623" t="s">
        <v>42517</v>
      </c>
      <c r="K15623" t="s">
        <v>42757</v>
      </c>
      <c r="M15623" t="s">
        <v>44546</v>
      </c>
      <c r="N15623" t="s">
        <v>47424</v>
      </c>
      <c r="O15623" t="s">
        <v>47425</v>
      </c>
      <c r="Q15623">
        <v>4</v>
      </c>
      <c r="R15623" t="s">
        <v>47497</v>
      </c>
      <c r="S15623" t="s">
        <v>48520</v>
      </c>
      <c r="T15623" t="s">
        <v>49680</v>
      </c>
      <c r="U15623" t="s">
        <v>62352</v>
      </c>
      <c r="W15623" t="s">
        <v>44546</v>
      </c>
      <c r="X15623" t="s">
        <v>47511</v>
      </c>
    </row>
    <row r="15624" spans="1:24">
      <c r="A15624">
        <f>HYPERLINK("https://www.philgeps.gov.ph/GEPSNONPILOT/Tender/SplashBidNoticeAbstractUI.aspx?menuIndex=3&amp;refID=6941500&amp;Result=3","6941500")</f>
        <v>0</v>
      </c>
      <c r="B15624" t="s">
        <v>1009</v>
      </c>
      <c r="C15624" t="s">
        <v>18706</v>
      </c>
      <c r="D15624" t="s">
        <v>19039</v>
      </c>
      <c r="E15624" t="s">
        <v>32550</v>
      </c>
      <c r="F15624" t="s">
        <v>32831</v>
      </c>
      <c r="G15624" t="s">
        <v>32839</v>
      </c>
      <c r="H15624" t="s">
        <v>32848</v>
      </c>
      <c r="I15624" t="s">
        <v>7416</v>
      </c>
      <c r="J15624" t="s">
        <v>42518</v>
      </c>
      <c r="K15624" t="s">
        <v>42727</v>
      </c>
      <c r="L15624" t="s">
        <v>1009</v>
      </c>
      <c r="M15624" t="s">
        <v>47314</v>
      </c>
      <c r="N15624" t="s">
        <v>47424</v>
      </c>
      <c r="O15624" t="s">
        <v>47425</v>
      </c>
      <c r="Q15624">
        <v>2</v>
      </c>
      <c r="R15624" t="s">
        <v>47497</v>
      </c>
      <c r="S15624" t="s">
        <v>48915</v>
      </c>
      <c r="T15624" t="s">
        <v>49239</v>
      </c>
      <c r="U15624" t="s">
        <v>62348</v>
      </c>
      <c r="V15624" t="s">
        <v>64330</v>
      </c>
      <c r="W15624" t="s">
        <v>47314</v>
      </c>
      <c r="X15624" t="s">
        <v>47498</v>
      </c>
    </row>
    <row r="15625" spans="1:24">
      <c r="A15625">
        <f>HYPERLINK("https://www.philgeps.gov.ph/GEPSNONPILOT/Tender/SplashBidNoticeAbstractUI.aspx?menuIndex=3&amp;refID=6935839&amp;Result=3","6935839")</f>
        <v>0</v>
      </c>
      <c r="B15625" t="s">
        <v>1454</v>
      </c>
      <c r="C15625" t="s">
        <v>18707</v>
      </c>
      <c r="D15625" t="s">
        <v>19017</v>
      </c>
      <c r="E15625" t="s">
        <v>32551</v>
      </c>
      <c r="F15625" t="s">
        <v>32831</v>
      </c>
      <c r="G15625" t="s">
        <v>32839</v>
      </c>
      <c r="H15625" t="s">
        <v>32848</v>
      </c>
      <c r="I15625" t="s">
        <v>32861</v>
      </c>
      <c r="J15625" t="s">
        <v>42519</v>
      </c>
      <c r="K15625" t="s">
        <v>42763</v>
      </c>
      <c r="M15625" t="s">
        <v>44546</v>
      </c>
      <c r="N15625" t="s">
        <v>47424</v>
      </c>
      <c r="O15625" t="s">
        <v>47425</v>
      </c>
      <c r="Q15625">
        <v>15</v>
      </c>
      <c r="R15625" t="s">
        <v>47495</v>
      </c>
      <c r="S15625" t="s">
        <v>48916</v>
      </c>
      <c r="T15625" t="s">
        <v>49158</v>
      </c>
      <c r="U15625" t="s">
        <v>62353</v>
      </c>
      <c r="W15625" t="s">
        <v>44546</v>
      </c>
      <c r="X15625" t="s">
        <v>47513</v>
      </c>
    </row>
    <row r="15626" spans="1:24">
      <c r="A15626">
        <f>HYPERLINK("https://www.philgeps.gov.ph/GEPSNONPILOT/Tender/SplashBidNoticeAbstractUI.aspx?menuIndex=3&amp;refID=6954272&amp;Result=3","6954272")</f>
        <v>0</v>
      </c>
      <c r="B15626" t="s">
        <v>3909</v>
      </c>
      <c r="C15626" t="s">
        <v>18708</v>
      </c>
      <c r="E15626" t="s">
        <v>32552</v>
      </c>
      <c r="F15626" t="s">
        <v>32833</v>
      </c>
      <c r="G15626" t="s">
        <v>32838</v>
      </c>
      <c r="H15626" t="s">
        <v>32848</v>
      </c>
      <c r="I15626" t="s">
        <v>5667</v>
      </c>
      <c r="J15626" t="s">
        <v>33133</v>
      </c>
      <c r="K15626" t="s">
        <v>42732</v>
      </c>
      <c r="M15626" t="s">
        <v>47389</v>
      </c>
      <c r="N15626" t="s">
        <v>47424</v>
      </c>
      <c r="O15626" t="s">
        <v>47425</v>
      </c>
      <c r="P15626">
        <v>0</v>
      </c>
      <c r="Q15626">
        <v>5</v>
      </c>
      <c r="R15626" t="s">
        <v>47500</v>
      </c>
      <c r="S15626" t="s">
        <v>48917</v>
      </c>
      <c r="T15626" t="s">
        <v>49681</v>
      </c>
      <c r="U15626" t="s">
        <v>62354</v>
      </c>
      <c r="W15626" t="s">
        <v>47389</v>
      </c>
      <c r="X15626" t="s">
        <v>64592</v>
      </c>
    </row>
    <row r="15627" spans="1:24">
      <c r="A15627">
        <f>HYPERLINK("https://www.philgeps.gov.ph/GEPSNONPILOT/Tender/SplashBidNoticeAbstractUI.aspx?menuIndex=3&amp;refID=6986257&amp;Result=3","6986257")</f>
        <v>0</v>
      </c>
      <c r="B15627" t="s">
        <v>3112</v>
      </c>
      <c r="C15627" t="s">
        <v>18709</v>
      </c>
      <c r="E15627" t="s">
        <v>32553</v>
      </c>
      <c r="F15627" t="s">
        <v>32831</v>
      </c>
      <c r="G15627" t="s">
        <v>32839</v>
      </c>
      <c r="H15627" t="s">
        <v>32849</v>
      </c>
      <c r="I15627" t="s">
        <v>4177</v>
      </c>
      <c r="J15627" t="s">
        <v>42520</v>
      </c>
      <c r="K15627" t="s">
        <v>42732</v>
      </c>
      <c r="M15627" t="s">
        <v>46400</v>
      </c>
      <c r="N15627" t="s">
        <v>47424</v>
      </c>
      <c r="O15627" t="s">
        <v>47425</v>
      </c>
      <c r="Q15627">
        <v>30</v>
      </c>
      <c r="R15627" t="s">
        <v>47493</v>
      </c>
      <c r="S15627" t="s">
        <v>48918</v>
      </c>
      <c r="T15627" t="s">
        <v>49196</v>
      </c>
      <c r="U15627" t="s">
        <v>62355</v>
      </c>
      <c r="W15627" t="s">
        <v>64535</v>
      </c>
      <c r="X15627" t="s">
        <v>64570</v>
      </c>
    </row>
    <row r="15628" spans="1:24">
      <c r="A15628">
        <f>HYPERLINK("https://www.philgeps.gov.ph/GEPSNONPILOT/Tender/SplashBidNoticeAbstractUI.aspx?menuIndex=3&amp;refID=6957124&amp;Result=3","6957124")</f>
        <v>0</v>
      </c>
      <c r="B15628" t="s">
        <v>689</v>
      </c>
      <c r="C15628" t="s">
        <v>18710</v>
      </c>
      <c r="E15628" t="s">
        <v>32554</v>
      </c>
      <c r="F15628" t="s">
        <v>32831</v>
      </c>
      <c r="G15628" t="s">
        <v>32839</v>
      </c>
      <c r="H15628" t="s">
        <v>32848</v>
      </c>
      <c r="I15628" t="s">
        <v>4776</v>
      </c>
      <c r="J15628" t="s">
        <v>37416</v>
      </c>
      <c r="K15628" t="s">
        <v>42732</v>
      </c>
      <c r="M15628" t="s">
        <v>45151</v>
      </c>
      <c r="N15628" t="s">
        <v>47424</v>
      </c>
      <c r="O15628" t="s">
        <v>47425</v>
      </c>
      <c r="Q15628">
        <v>17</v>
      </c>
      <c r="R15628" t="s">
        <v>47501</v>
      </c>
      <c r="S15628" t="s">
        <v>48919</v>
      </c>
      <c r="T15628" t="s">
        <v>49196</v>
      </c>
      <c r="U15628" t="s">
        <v>62356</v>
      </c>
      <c r="V15628" t="s">
        <v>64399</v>
      </c>
      <c r="W15628" t="s">
        <v>64566</v>
      </c>
      <c r="X15628" t="s">
        <v>64593</v>
      </c>
    </row>
    <row r="15629" spans="1:24">
      <c r="A15629">
        <f>HYPERLINK("https://www.philgeps.gov.ph/GEPSNONPILOT/Tender/SplashBidNoticeAbstractUI.aspx?menuIndex=3&amp;refID=6985978&amp;Result=3","6985978")</f>
        <v>0</v>
      </c>
      <c r="B15629" t="s">
        <v>2664</v>
      </c>
      <c r="C15629" t="s">
        <v>18711</v>
      </c>
      <c r="D15629" t="s">
        <v>19021</v>
      </c>
      <c r="E15629" t="s">
        <v>32555</v>
      </c>
      <c r="F15629" t="s">
        <v>32831</v>
      </c>
      <c r="G15629" t="s">
        <v>32842</v>
      </c>
      <c r="H15629" t="s">
        <v>32848</v>
      </c>
      <c r="I15629" t="s">
        <v>32862</v>
      </c>
      <c r="J15629" t="s">
        <v>42521</v>
      </c>
      <c r="K15629" t="s">
        <v>42727</v>
      </c>
      <c r="M15629" t="s">
        <v>45887</v>
      </c>
      <c r="N15629" t="s">
        <v>47424</v>
      </c>
      <c r="O15629" t="s">
        <v>47425</v>
      </c>
      <c r="Q15629">
        <v>3</v>
      </c>
      <c r="R15629" t="s">
        <v>47493</v>
      </c>
      <c r="S15629" t="s">
        <v>47799</v>
      </c>
      <c r="T15629" t="s">
        <v>49073</v>
      </c>
      <c r="U15629" t="s">
        <v>62357</v>
      </c>
      <c r="W15629" t="s">
        <v>45887</v>
      </c>
      <c r="X15629" t="s">
        <v>64570</v>
      </c>
    </row>
    <row r="15630" spans="1:24">
      <c r="A15630">
        <f>HYPERLINK("https://www.philgeps.gov.ph/GEPSNONPILOT/Tender/SplashBidNoticeAbstractUI.aspx?menuIndex=3&amp;refID=6964625&amp;Result=3","6964625")</f>
        <v>0</v>
      </c>
      <c r="B15630" t="s">
        <v>272</v>
      </c>
      <c r="C15630" t="s">
        <v>18712</v>
      </c>
      <c r="D15630" t="s">
        <v>19077</v>
      </c>
      <c r="E15630" t="s">
        <v>32556</v>
      </c>
      <c r="F15630" t="s">
        <v>32831</v>
      </c>
      <c r="G15630" t="s">
        <v>32839</v>
      </c>
      <c r="H15630" t="s">
        <v>32849</v>
      </c>
      <c r="I15630" t="s">
        <v>32941</v>
      </c>
      <c r="J15630" t="s">
        <v>42522</v>
      </c>
      <c r="K15630" t="s">
        <v>42761</v>
      </c>
      <c r="M15630" t="s">
        <v>46713</v>
      </c>
      <c r="N15630" t="s">
        <v>47424</v>
      </c>
      <c r="O15630" t="s">
        <v>47425</v>
      </c>
      <c r="Q15630">
        <v>6</v>
      </c>
      <c r="R15630" t="s">
        <v>47502</v>
      </c>
      <c r="S15630" t="s">
        <v>48920</v>
      </c>
      <c r="T15630" t="s">
        <v>49059</v>
      </c>
      <c r="U15630" t="s">
        <v>62358</v>
      </c>
      <c r="V15630" t="s">
        <v>64400</v>
      </c>
      <c r="W15630" t="s">
        <v>46713</v>
      </c>
      <c r="X15630" t="s">
        <v>64594</v>
      </c>
    </row>
    <row r="15631" spans="1:24">
      <c r="A15631">
        <f>HYPERLINK("https://www.philgeps.gov.ph/GEPSNONPILOT/Tender/SplashBidNoticeAbstractUI.aspx?menuIndex=3&amp;refID=6995307&amp;Result=3","6995307")</f>
        <v>0</v>
      </c>
      <c r="B15631" t="s">
        <v>650</v>
      </c>
      <c r="C15631" t="s">
        <v>18713</v>
      </c>
      <c r="D15631" t="s">
        <v>19017</v>
      </c>
      <c r="E15631" t="s">
        <v>32557</v>
      </c>
      <c r="F15631" t="s">
        <v>32831</v>
      </c>
      <c r="G15631" t="s">
        <v>32838</v>
      </c>
      <c r="H15631" t="s">
        <v>32848</v>
      </c>
      <c r="I15631" t="s">
        <v>4558</v>
      </c>
      <c r="J15631" t="s">
        <v>33922</v>
      </c>
      <c r="K15631" t="s">
        <v>42748</v>
      </c>
      <c r="M15631" t="s">
        <v>43668</v>
      </c>
      <c r="N15631" t="s">
        <v>47424</v>
      </c>
      <c r="O15631" t="s">
        <v>47425</v>
      </c>
      <c r="Q15631">
        <v>4</v>
      </c>
      <c r="R15631" t="s">
        <v>47503</v>
      </c>
      <c r="S15631" t="s">
        <v>48921</v>
      </c>
      <c r="T15631" t="s">
        <v>49079</v>
      </c>
      <c r="U15631" t="s">
        <v>62359</v>
      </c>
      <c r="V15631" t="s">
        <v>62774</v>
      </c>
      <c r="W15631" t="s">
        <v>43668</v>
      </c>
      <c r="X15631" t="s">
        <v>64595</v>
      </c>
    </row>
    <row r="15632" spans="1:24">
      <c r="A15632">
        <f>HYPERLINK("https://www.philgeps.gov.ph/GEPSNONPILOT/Tender/SplashBidNoticeAbstractUI.aspx?menuIndex=3&amp;refID=6935705&amp;Result=3","6935705")</f>
        <v>0</v>
      </c>
      <c r="B15632" t="s">
        <v>1454</v>
      </c>
      <c r="C15632" t="s">
        <v>18714</v>
      </c>
      <c r="D15632" t="s">
        <v>19052</v>
      </c>
      <c r="E15632" t="s">
        <v>32558</v>
      </c>
      <c r="F15632" t="s">
        <v>32831</v>
      </c>
      <c r="G15632" t="s">
        <v>32839</v>
      </c>
      <c r="H15632" t="s">
        <v>32848</v>
      </c>
      <c r="I15632" t="s">
        <v>32862</v>
      </c>
      <c r="J15632" t="s">
        <v>42523</v>
      </c>
      <c r="K15632" t="s">
        <v>42763</v>
      </c>
      <c r="M15632" t="s">
        <v>44546</v>
      </c>
      <c r="N15632" t="s">
        <v>47424</v>
      </c>
      <c r="O15632" t="s">
        <v>47425</v>
      </c>
      <c r="Q15632">
        <v>10</v>
      </c>
      <c r="R15632" t="s">
        <v>47504</v>
      </c>
      <c r="S15632" t="s">
        <v>48922</v>
      </c>
      <c r="T15632" t="s">
        <v>49195</v>
      </c>
      <c r="U15632" t="s">
        <v>62360</v>
      </c>
      <c r="W15632" t="s">
        <v>44546</v>
      </c>
      <c r="X15632" t="s">
        <v>47513</v>
      </c>
    </row>
    <row r="15633" spans="1:24">
      <c r="A15633">
        <f>HYPERLINK("https://www.philgeps.gov.ph/GEPSNONPILOT/Tender/SplashBidNoticeAbstractUI.aspx?menuIndex=3&amp;refID=6994590&amp;Result=3","6994590")</f>
        <v>0</v>
      </c>
      <c r="B15633" t="s">
        <v>2664</v>
      </c>
      <c r="C15633" t="s">
        <v>18715</v>
      </c>
      <c r="D15633" t="s">
        <v>19025</v>
      </c>
      <c r="E15633" t="s">
        <v>32559</v>
      </c>
      <c r="F15633" t="s">
        <v>32831</v>
      </c>
      <c r="G15633" t="s">
        <v>32838</v>
      </c>
      <c r="H15633" t="s">
        <v>32848</v>
      </c>
      <c r="I15633" t="s">
        <v>32859</v>
      </c>
      <c r="J15633" t="s">
        <v>33162</v>
      </c>
      <c r="K15633" t="s">
        <v>42730</v>
      </c>
      <c r="M15633" t="s">
        <v>45887</v>
      </c>
      <c r="N15633" t="s">
        <v>47424</v>
      </c>
      <c r="O15633" t="s">
        <v>47425</v>
      </c>
      <c r="Q15633">
        <v>0</v>
      </c>
      <c r="R15633" t="s">
        <v>47503</v>
      </c>
      <c r="S15633" t="s">
        <v>48041</v>
      </c>
      <c r="T15633" t="s">
        <v>49073</v>
      </c>
      <c r="U15633" t="s">
        <v>62361</v>
      </c>
      <c r="W15633" t="s">
        <v>45887</v>
      </c>
      <c r="X15633" t="s">
        <v>64595</v>
      </c>
    </row>
    <row r="15634" spans="1:24">
      <c r="A15634">
        <f>HYPERLINK("https://www.philgeps.gov.ph/GEPSNONPILOT/Tender/SplashBidNoticeAbstractUI.aspx?menuIndex=3&amp;refID=7003767&amp;Result=3","7003767")</f>
        <v>0</v>
      </c>
      <c r="B15634" t="s">
        <v>1983</v>
      </c>
      <c r="C15634" t="s">
        <v>18716</v>
      </c>
      <c r="E15634" t="s">
        <v>32560</v>
      </c>
      <c r="F15634" t="s">
        <v>32831</v>
      </c>
      <c r="G15634" t="s">
        <v>32839</v>
      </c>
      <c r="H15634" t="s">
        <v>32849</v>
      </c>
      <c r="I15634" t="s">
        <v>4177</v>
      </c>
      <c r="J15634" t="s">
        <v>42524</v>
      </c>
      <c r="K15634" t="s">
        <v>42732</v>
      </c>
      <c r="M15634" t="s">
        <v>45145</v>
      </c>
      <c r="N15634" t="s">
        <v>47424</v>
      </c>
      <c r="O15634" t="s">
        <v>47425</v>
      </c>
      <c r="Q15634">
        <v>86</v>
      </c>
      <c r="R15634" t="s">
        <v>47505</v>
      </c>
      <c r="S15634" t="s">
        <v>48923</v>
      </c>
      <c r="T15634" t="s">
        <v>49129</v>
      </c>
      <c r="U15634" t="s">
        <v>60272</v>
      </c>
      <c r="W15634" t="s">
        <v>64550</v>
      </c>
      <c r="X15634" t="s">
        <v>64585</v>
      </c>
    </row>
    <row r="15635" spans="1:24">
      <c r="A15635">
        <f>HYPERLINK("https://www.philgeps.gov.ph/GEPSNONPILOT/Tender/SplashBidNoticeAbstractUI.aspx?menuIndex=3&amp;refID=7005392&amp;Result=3","7005392")</f>
        <v>0</v>
      </c>
      <c r="B15635" t="s">
        <v>67</v>
      </c>
      <c r="C15635" t="s">
        <v>12645</v>
      </c>
      <c r="D15635" t="s">
        <v>19079</v>
      </c>
      <c r="E15635" t="s">
        <v>32561</v>
      </c>
      <c r="F15635" t="s">
        <v>32831</v>
      </c>
      <c r="G15635" t="s">
        <v>32842</v>
      </c>
      <c r="H15635" t="s">
        <v>32848</v>
      </c>
      <c r="I15635" t="s">
        <v>4776</v>
      </c>
      <c r="J15635" t="s">
        <v>35998</v>
      </c>
      <c r="K15635" t="s">
        <v>42730</v>
      </c>
      <c r="M15635" t="s">
        <v>44461</v>
      </c>
      <c r="N15635" t="s">
        <v>47424</v>
      </c>
      <c r="O15635" t="s">
        <v>47425</v>
      </c>
      <c r="Q15635">
        <v>3</v>
      </c>
      <c r="R15635" t="s">
        <v>47484</v>
      </c>
      <c r="S15635" t="s">
        <v>48924</v>
      </c>
      <c r="T15635" t="s">
        <v>49166</v>
      </c>
      <c r="U15635" t="s">
        <v>62362</v>
      </c>
      <c r="W15635" t="s">
        <v>44461</v>
      </c>
      <c r="X15635" t="s">
        <v>47505</v>
      </c>
    </row>
    <row r="15636" spans="1:24">
      <c r="A15636">
        <f>HYPERLINK("https://www.philgeps.gov.ph/GEPSNONPILOT/Tender/SplashBidNoticeAbstractUI.aspx?menuIndex=3&amp;refID=7021387&amp;Result=3","7021387")</f>
        <v>0</v>
      </c>
      <c r="B15636" t="s">
        <v>160</v>
      </c>
      <c r="C15636" t="s">
        <v>18717</v>
      </c>
      <c r="D15636" t="s">
        <v>19044</v>
      </c>
      <c r="E15636" t="s">
        <v>32562</v>
      </c>
      <c r="F15636" t="s">
        <v>32831</v>
      </c>
      <c r="G15636" t="s">
        <v>32838</v>
      </c>
      <c r="H15636" t="s">
        <v>32848</v>
      </c>
      <c r="I15636" t="s">
        <v>4438</v>
      </c>
      <c r="J15636" t="s">
        <v>42525</v>
      </c>
      <c r="K15636" t="s">
        <v>42729</v>
      </c>
      <c r="M15636" t="s">
        <v>45098</v>
      </c>
      <c r="N15636" t="s">
        <v>47424</v>
      </c>
      <c r="O15636" t="s">
        <v>47425</v>
      </c>
      <c r="Q15636">
        <v>13</v>
      </c>
      <c r="R15636" t="s">
        <v>47506</v>
      </c>
      <c r="S15636" t="s">
        <v>48925</v>
      </c>
      <c r="T15636" t="s">
        <v>49682</v>
      </c>
      <c r="U15636" t="s">
        <v>53997</v>
      </c>
      <c r="W15636" t="s">
        <v>45098</v>
      </c>
      <c r="X15636" t="s">
        <v>64596</v>
      </c>
    </row>
    <row r="15637" spans="1:24">
      <c r="A15637">
        <f>HYPERLINK("https://www.philgeps.gov.ph/GEPSNONPILOT/Tender/SplashBidNoticeAbstractUI.aspx?menuIndex=3&amp;refID=7019957&amp;Result=3","7019957")</f>
        <v>0</v>
      </c>
      <c r="B15637" t="s">
        <v>236</v>
      </c>
      <c r="C15637" t="s">
        <v>18718</v>
      </c>
      <c r="D15637" t="s">
        <v>19074</v>
      </c>
      <c r="E15637" t="s">
        <v>32563</v>
      </c>
      <c r="F15637" t="s">
        <v>32831</v>
      </c>
      <c r="G15637" t="s">
        <v>32839</v>
      </c>
      <c r="H15637" t="s">
        <v>32849</v>
      </c>
      <c r="I15637" t="s">
        <v>4177</v>
      </c>
      <c r="J15637" t="s">
        <v>39982</v>
      </c>
      <c r="K15637" t="s">
        <v>42780</v>
      </c>
      <c r="M15637" t="s">
        <v>43235</v>
      </c>
      <c r="N15637" t="s">
        <v>47424</v>
      </c>
      <c r="O15637" t="s">
        <v>47425</v>
      </c>
      <c r="Q15637">
        <v>1</v>
      </c>
      <c r="R15637" t="s">
        <v>47506</v>
      </c>
      <c r="S15637" t="s">
        <v>48073</v>
      </c>
      <c r="T15637" t="s">
        <v>49073</v>
      </c>
      <c r="U15637" t="s">
        <v>50066</v>
      </c>
      <c r="W15637" t="s">
        <v>43235</v>
      </c>
      <c r="X15637" t="s">
        <v>64596</v>
      </c>
    </row>
    <row r="15638" spans="1:24">
      <c r="A15638">
        <f>HYPERLINK("https://www.philgeps.gov.ph/GEPSNONPILOT/Tender/SplashBidNoticeAbstractUI.aspx?menuIndex=3&amp;refID=7019935&amp;Result=3","7019935")</f>
        <v>0</v>
      </c>
      <c r="B15638" t="s">
        <v>236</v>
      </c>
      <c r="C15638" t="s">
        <v>18719</v>
      </c>
      <c r="D15638" t="s">
        <v>19074</v>
      </c>
      <c r="E15638" t="s">
        <v>32564</v>
      </c>
      <c r="F15638" t="s">
        <v>32831</v>
      </c>
      <c r="G15638" t="s">
        <v>32839</v>
      </c>
      <c r="H15638" t="s">
        <v>32849</v>
      </c>
      <c r="I15638" t="s">
        <v>4177</v>
      </c>
      <c r="J15638" t="s">
        <v>41344</v>
      </c>
      <c r="K15638" t="s">
        <v>42788</v>
      </c>
      <c r="M15638" t="s">
        <v>43235</v>
      </c>
      <c r="N15638" t="s">
        <v>47424</v>
      </c>
      <c r="O15638" t="s">
        <v>47425</v>
      </c>
      <c r="Q15638">
        <v>0</v>
      </c>
      <c r="R15638" t="s">
        <v>47506</v>
      </c>
      <c r="S15638" t="s">
        <v>48926</v>
      </c>
      <c r="T15638" t="s">
        <v>49073</v>
      </c>
      <c r="U15638" t="s">
        <v>50066</v>
      </c>
      <c r="W15638" t="s">
        <v>43235</v>
      </c>
      <c r="X15638" t="s">
        <v>64596</v>
      </c>
    </row>
    <row r="15639" spans="1:24">
      <c r="A15639">
        <f>HYPERLINK("https://www.philgeps.gov.ph/GEPSNONPILOT/Tender/SplashBidNoticeAbstractUI.aspx?menuIndex=3&amp;refID=7020712&amp;Result=3","7020712")</f>
        <v>0</v>
      </c>
      <c r="B15639" t="s">
        <v>3477</v>
      </c>
      <c r="C15639" t="s">
        <v>18720</v>
      </c>
      <c r="E15639" t="s">
        <v>32565</v>
      </c>
      <c r="F15639" t="s">
        <v>32831</v>
      </c>
      <c r="G15639" t="s">
        <v>32839</v>
      </c>
      <c r="H15639" t="s">
        <v>32849</v>
      </c>
      <c r="I15639" t="s">
        <v>4177</v>
      </c>
      <c r="J15639" t="s">
        <v>42526</v>
      </c>
      <c r="K15639" t="s">
        <v>43014</v>
      </c>
      <c r="M15639" t="s">
        <v>47359</v>
      </c>
      <c r="N15639" t="s">
        <v>47424</v>
      </c>
      <c r="O15639" t="s">
        <v>47425</v>
      </c>
      <c r="Q15639">
        <v>20</v>
      </c>
      <c r="R15639" t="s">
        <v>47506</v>
      </c>
      <c r="S15639" t="s">
        <v>48927</v>
      </c>
      <c r="T15639" t="s">
        <v>49080</v>
      </c>
      <c r="U15639" t="s">
        <v>62363</v>
      </c>
      <c r="V15639" t="s">
        <v>63834</v>
      </c>
      <c r="W15639" t="s">
        <v>47359</v>
      </c>
      <c r="X15639" t="s">
        <v>64596</v>
      </c>
    </row>
    <row r="15640" spans="1:24">
      <c r="A15640">
        <f>HYPERLINK("https://www.philgeps.gov.ph/GEPSNONPILOT/Tender/SplashBidNoticeAbstractUI.aspx?menuIndex=3&amp;refID=7018242&amp;Result=3","7018242")</f>
        <v>0</v>
      </c>
      <c r="B15640" t="s">
        <v>2594</v>
      </c>
      <c r="C15640" t="s">
        <v>18721</v>
      </c>
      <c r="D15640" t="s">
        <v>19062</v>
      </c>
      <c r="E15640" t="s">
        <v>32566</v>
      </c>
      <c r="F15640" t="s">
        <v>32831</v>
      </c>
      <c r="G15640" t="s">
        <v>32839</v>
      </c>
      <c r="H15640" t="s">
        <v>32849</v>
      </c>
      <c r="I15640" t="s">
        <v>4177</v>
      </c>
      <c r="J15640" t="s">
        <v>39593</v>
      </c>
      <c r="K15640" t="s">
        <v>42891</v>
      </c>
      <c r="M15640" t="s">
        <v>46404</v>
      </c>
      <c r="N15640" t="s">
        <v>47424</v>
      </c>
      <c r="O15640" t="s">
        <v>47425</v>
      </c>
      <c r="Q15640">
        <v>14</v>
      </c>
      <c r="R15640" t="s">
        <v>47506</v>
      </c>
      <c r="S15640" t="s">
        <v>48928</v>
      </c>
      <c r="T15640" t="s">
        <v>49188</v>
      </c>
      <c r="U15640" t="s">
        <v>62364</v>
      </c>
      <c r="W15640" t="s">
        <v>46404</v>
      </c>
      <c r="X15640" t="s">
        <v>47487</v>
      </c>
    </row>
    <row r="15641" spans="1:24">
      <c r="A15641">
        <f>HYPERLINK("https://www.philgeps.gov.ph/GEPSNONPILOT/Tender/SplashBidNoticeAbstractUI.aspx?menuIndex=3&amp;refID=7017229&amp;Result=3","7017229")</f>
        <v>0</v>
      </c>
      <c r="B15641" t="s">
        <v>67</v>
      </c>
      <c r="C15641" t="s">
        <v>18722</v>
      </c>
      <c r="D15641" t="s">
        <v>19079</v>
      </c>
      <c r="E15641" t="s">
        <v>32567</v>
      </c>
      <c r="F15641" t="s">
        <v>32831</v>
      </c>
      <c r="G15641" t="s">
        <v>32838</v>
      </c>
      <c r="H15641" t="s">
        <v>32848</v>
      </c>
      <c r="I15641" t="s">
        <v>32863</v>
      </c>
      <c r="J15641" t="s">
        <v>32976</v>
      </c>
      <c r="K15641" t="s">
        <v>42745</v>
      </c>
      <c r="M15641" t="s">
        <v>44461</v>
      </c>
      <c r="N15641" t="s">
        <v>47424</v>
      </c>
      <c r="O15641" t="s">
        <v>47425</v>
      </c>
      <c r="Q15641">
        <v>3</v>
      </c>
      <c r="R15641" t="s">
        <v>47488</v>
      </c>
      <c r="S15641" t="s">
        <v>48929</v>
      </c>
      <c r="T15641" t="s">
        <v>49166</v>
      </c>
      <c r="U15641" t="s">
        <v>62365</v>
      </c>
      <c r="W15641" t="s">
        <v>44461</v>
      </c>
      <c r="X15641" t="s">
        <v>47487</v>
      </c>
    </row>
    <row r="15642" spans="1:24">
      <c r="A15642">
        <f>HYPERLINK("https://www.philgeps.gov.ph/GEPSNONPILOT/Tender/SplashBidNoticeAbstractUI.aspx?menuIndex=3&amp;refID=7021626&amp;Result=3","7021626")</f>
        <v>0</v>
      </c>
      <c r="B15642" t="s">
        <v>3477</v>
      </c>
      <c r="C15642" t="s">
        <v>18723</v>
      </c>
      <c r="E15642" t="s">
        <v>32568</v>
      </c>
      <c r="F15642" t="s">
        <v>32831</v>
      </c>
      <c r="G15642" t="s">
        <v>32839</v>
      </c>
      <c r="H15642" t="s">
        <v>32849</v>
      </c>
      <c r="I15642" t="s">
        <v>4177</v>
      </c>
      <c r="J15642" t="s">
        <v>42527</v>
      </c>
      <c r="K15642" t="s">
        <v>42986</v>
      </c>
      <c r="M15642" t="s">
        <v>47359</v>
      </c>
      <c r="N15642" t="s">
        <v>47424</v>
      </c>
      <c r="O15642" t="s">
        <v>47425</v>
      </c>
      <c r="Q15642">
        <v>20</v>
      </c>
      <c r="R15642" t="s">
        <v>47506</v>
      </c>
      <c r="S15642" t="s">
        <v>48930</v>
      </c>
      <c r="T15642" t="s">
        <v>49080</v>
      </c>
      <c r="U15642" t="s">
        <v>62366</v>
      </c>
      <c r="V15642" t="s">
        <v>53916</v>
      </c>
      <c r="W15642" t="s">
        <v>47359</v>
      </c>
      <c r="X15642" t="s">
        <v>64596</v>
      </c>
    </row>
    <row r="15643" spans="1:24">
      <c r="A15643">
        <f>HYPERLINK("https://www.philgeps.gov.ph/GEPSNONPILOT/Tender/SplashBidNoticeAbstractUI.aspx?menuIndex=3&amp;refID=7042784&amp;Result=3","7042784")</f>
        <v>0</v>
      </c>
      <c r="B15643" t="s">
        <v>2065</v>
      </c>
      <c r="C15643" t="s">
        <v>18724</v>
      </c>
      <c r="D15643" t="s">
        <v>19017</v>
      </c>
      <c r="E15643" t="s">
        <v>32569</v>
      </c>
      <c r="F15643" t="s">
        <v>32831</v>
      </c>
      <c r="G15643" t="s">
        <v>32839</v>
      </c>
      <c r="H15643" t="s">
        <v>32848</v>
      </c>
      <c r="I15643" t="s">
        <v>4776</v>
      </c>
      <c r="J15643" t="s">
        <v>42528</v>
      </c>
      <c r="K15643" t="s">
        <v>42763</v>
      </c>
      <c r="M15643" t="s">
        <v>45311</v>
      </c>
      <c r="N15643" t="s">
        <v>47424</v>
      </c>
      <c r="O15643" t="s">
        <v>47425</v>
      </c>
      <c r="Q15643">
        <v>26</v>
      </c>
      <c r="R15643" t="s">
        <v>47507</v>
      </c>
      <c r="S15643" t="s">
        <v>48931</v>
      </c>
      <c r="T15643" t="s">
        <v>49683</v>
      </c>
      <c r="U15643" t="s">
        <v>62367</v>
      </c>
      <c r="V15643" t="s">
        <v>64401</v>
      </c>
      <c r="W15643" t="s">
        <v>45311</v>
      </c>
      <c r="X15643" t="s">
        <v>47486</v>
      </c>
    </row>
    <row r="15644" spans="1:24">
      <c r="A15644">
        <f>HYPERLINK("https://www.philgeps.gov.ph/GEPSNONPILOT/Tender/SplashBidNoticeAbstractUI.aspx?menuIndex=3&amp;refID=6977331&amp;Result=3","6977331")</f>
        <v>0</v>
      </c>
      <c r="B15644" t="s">
        <v>3905</v>
      </c>
      <c r="C15644" t="s">
        <v>18725</v>
      </c>
      <c r="D15644" t="s">
        <v>19047</v>
      </c>
      <c r="E15644" t="s">
        <v>32570</v>
      </c>
      <c r="F15644" t="s">
        <v>32831</v>
      </c>
      <c r="G15644" t="s">
        <v>32839</v>
      </c>
      <c r="H15644" t="s">
        <v>32849</v>
      </c>
      <c r="I15644" t="s">
        <v>32852</v>
      </c>
      <c r="J15644" t="s">
        <v>42529</v>
      </c>
      <c r="K15644" t="s">
        <v>42763</v>
      </c>
      <c r="M15644" t="s">
        <v>47385</v>
      </c>
      <c r="N15644" t="s">
        <v>47424</v>
      </c>
      <c r="O15644" t="s">
        <v>47425</v>
      </c>
      <c r="Q15644">
        <v>9</v>
      </c>
      <c r="R15644" t="s">
        <v>47490</v>
      </c>
      <c r="S15644" t="s">
        <v>48932</v>
      </c>
      <c r="T15644" t="s">
        <v>49675</v>
      </c>
      <c r="U15644" t="s">
        <v>62368</v>
      </c>
      <c r="W15644" t="s">
        <v>47385</v>
      </c>
      <c r="X15644" t="s">
        <v>47491</v>
      </c>
    </row>
    <row r="15645" spans="1:24">
      <c r="A15645">
        <f>HYPERLINK("https://www.philgeps.gov.ph/GEPSNONPILOT/Tender/SplashBidNoticeAbstractUI.aspx?menuIndex=3&amp;refID=7046707&amp;Result=3","7046707")</f>
        <v>0</v>
      </c>
      <c r="B15645" t="s">
        <v>2188</v>
      </c>
      <c r="C15645" t="s">
        <v>18726</v>
      </c>
      <c r="D15645" t="s">
        <v>19017</v>
      </c>
      <c r="E15645" t="s">
        <v>32571</v>
      </c>
      <c r="F15645" t="s">
        <v>32831</v>
      </c>
      <c r="G15645" t="s">
        <v>32839</v>
      </c>
      <c r="H15645" t="s">
        <v>32849</v>
      </c>
      <c r="I15645" t="s">
        <v>4177</v>
      </c>
      <c r="J15645" t="s">
        <v>42530</v>
      </c>
      <c r="K15645" t="s">
        <v>42763</v>
      </c>
      <c r="M15645" t="s">
        <v>45368</v>
      </c>
      <c r="N15645" t="s">
        <v>47424</v>
      </c>
      <c r="O15645" t="s">
        <v>47425</v>
      </c>
      <c r="Q15645">
        <v>11</v>
      </c>
      <c r="R15645" t="s">
        <v>47472</v>
      </c>
      <c r="S15645" t="s">
        <v>48933</v>
      </c>
      <c r="T15645" t="s">
        <v>49142</v>
      </c>
      <c r="U15645" t="s">
        <v>62369</v>
      </c>
      <c r="W15645" t="s">
        <v>45368</v>
      </c>
      <c r="X15645" t="s">
        <v>64582</v>
      </c>
    </row>
    <row r="15646" spans="1:24">
      <c r="A15646">
        <f>HYPERLINK("https://www.philgeps.gov.ph/GEPSNONPILOT/Tender/SplashBidNoticeAbstractUI.aspx?menuIndex=3&amp;refID=7062591&amp;Result=3","7062591")</f>
        <v>0</v>
      </c>
      <c r="B15646" t="s">
        <v>3151</v>
      </c>
      <c r="C15646" t="s">
        <v>18727</v>
      </c>
      <c r="D15646" t="s">
        <v>19070</v>
      </c>
      <c r="E15646" t="s">
        <v>32572</v>
      </c>
      <c r="F15646" t="s">
        <v>32831</v>
      </c>
      <c r="G15646" t="s">
        <v>32839</v>
      </c>
      <c r="H15646" t="s">
        <v>32849</v>
      </c>
      <c r="I15646" t="s">
        <v>4177</v>
      </c>
      <c r="J15646" t="s">
        <v>39709</v>
      </c>
      <c r="K15646" t="s">
        <v>42922</v>
      </c>
      <c r="M15646" t="s">
        <v>46451</v>
      </c>
      <c r="N15646" t="s">
        <v>47424</v>
      </c>
      <c r="O15646" t="s">
        <v>47425</v>
      </c>
      <c r="Q15646">
        <v>6</v>
      </c>
      <c r="R15646" t="s">
        <v>47471</v>
      </c>
      <c r="S15646" t="s">
        <v>47890</v>
      </c>
      <c r="T15646" t="s">
        <v>49077</v>
      </c>
      <c r="U15646" t="s">
        <v>62370</v>
      </c>
      <c r="W15646" t="s">
        <v>46451</v>
      </c>
      <c r="X15646" t="s">
        <v>47474</v>
      </c>
    </row>
    <row r="15647" spans="1:24">
      <c r="A15647">
        <f>HYPERLINK("https://www.philgeps.gov.ph/GEPSNONPILOT/Tender/SplashBidNoticeAbstractUI.aspx?menuIndex=3&amp;refID=7019924&amp;Result=3","7019924")</f>
        <v>0</v>
      </c>
      <c r="B15647" t="s">
        <v>236</v>
      </c>
      <c r="C15647" t="s">
        <v>18728</v>
      </c>
      <c r="D15647" t="s">
        <v>19074</v>
      </c>
      <c r="E15647" t="s">
        <v>32573</v>
      </c>
      <c r="F15647" t="s">
        <v>32831</v>
      </c>
      <c r="G15647" t="s">
        <v>32839</v>
      </c>
      <c r="H15647" t="s">
        <v>32849</v>
      </c>
      <c r="I15647" t="s">
        <v>4177</v>
      </c>
      <c r="J15647" t="s">
        <v>36370</v>
      </c>
      <c r="K15647" t="s">
        <v>43015</v>
      </c>
      <c r="M15647" t="s">
        <v>43235</v>
      </c>
      <c r="N15647" t="s">
        <v>47424</v>
      </c>
      <c r="O15647" t="s">
        <v>47425</v>
      </c>
      <c r="Q15647">
        <v>0</v>
      </c>
      <c r="R15647" t="s">
        <v>47506</v>
      </c>
      <c r="S15647" t="s">
        <v>48660</v>
      </c>
      <c r="T15647" t="s">
        <v>49073</v>
      </c>
      <c r="U15647" t="s">
        <v>50066</v>
      </c>
      <c r="W15647" t="s">
        <v>43235</v>
      </c>
      <c r="X15647" t="s">
        <v>64596</v>
      </c>
    </row>
    <row r="15648" spans="1:24">
      <c r="A15648">
        <f>HYPERLINK("https://www.philgeps.gov.ph/GEPSNONPILOT/Tender/SplashBidNoticeAbstractUI.aspx?menuIndex=3&amp;refID=7062476&amp;Result=3","7062476")</f>
        <v>0</v>
      </c>
      <c r="B15648" t="s">
        <v>3151</v>
      </c>
      <c r="C15648" t="s">
        <v>18729</v>
      </c>
      <c r="D15648" t="s">
        <v>19070</v>
      </c>
      <c r="E15648" t="s">
        <v>32574</v>
      </c>
      <c r="F15648" t="s">
        <v>32831</v>
      </c>
      <c r="G15648" t="s">
        <v>32839</v>
      </c>
      <c r="H15648" t="s">
        <v>32849</v>
      </c>
      <c r="I15648" t="s">
        <v>4177</v>
      </c>
      <c r="J15648" t="s">
        <v>39709</v>
      </c>
      <c r="K15648" t="s">
        <v>42922</v>
      </c>
      <c r="M15648" t="s">
        <v>46451</v>
      </c>
      <c r="N15648" t="s">
        <v>47424</v>
      </c>
      <c r="O15648" t="s">
        <v>47425</v>
      </c>
      <c r="Q15648">
        <v>7</v>
      </c>
      <c r="R15648" t="s">
        <v>47471</v>
      </c>
      <c r="S15648" t="s">
        <v>48934</v>
      </c>
      <c r="T15648" t="s">
        <v>49077</v>
      </c>
      <c r="U15648" t="s">
        <v>62371</v>
      </c>
      <c r="W15648" t="s">
        <v>46451</v>
      </c>
      <c r="X15648" t="s">
        <v>47474</v>
      </c>
    </row>
    <row r="15649" spans="1:24">
      <c r="A15649">
        <f>HYPERLINK("https://www.philgeps.gov.ph/GEPSNONPILOT/Tender/SplashBidNoticeAbstractUI.aspx?menuIndex=3&amp;refID=7062379&amp;Result=3","7062379")</f>
        <v>0</v>
      </c>
      <c r="B15649" t="s">
        <v>3151</v>
      </c>
      <c r="C15649" t="s">
        <v>18730</v>
      </c>
      <c r="D15649" t="s">
        <v>19070</v>
      </c>
      <c r="E15649" t="s">
        <v>32575</v>
      </c>
      <c r="F15649" t="s">
        <v>32831</v>
      </c>
      <c r="G15649" t="s">
        <v>32839</v>
      </c>
      <c r="H15649" t="s">
        <v>32849</v>
      </c>
      <c r="I15649" t="s">
        <v>4177</v>
      </c>
      <c r="J15649" t="s">
        <v>39709</v>
      </c>
      <c r="K15649" t="s">
        <v>42922</v>
      </c>
      <c r="M15649" t="s">
        <v>46451</v>
      </c>
      <c r="N15649" t="s">
        <v>47424</v>
      </c>
      <c r="O15649" t="s">
        <v>47425</v>
      </c>
      <c r="Q15649">
        <v>7</v>
      </c>
      <c r="R15649" t="s">
        <v>47471</v>
      </c>
      <c r="S15649" t="s">
        <v>48935</v>
      </c>
      <c r="T15649" t="s">
        <v>49077</v>
      </c>
      <c r="U15649" t="s">
        <v>62372</v>
      </c>
      <c r="W15649" t="s">
        <v>46451</v>
      </c>
      <c r="X15649" t="s">
        <v>47474</v>
      </c>
    </row>
    <row r="15650" spans="1:24">
      <c r="A15650">
        <f>HYPERLINK("https://www.philgeps.gov.ph/GEPSNONPILOT/Tender/SplashBidNoticeAbstractUI.aspx?menuIndex=3&amp;refID=7062352&amp;Result=3","7062352")</f>
        <v>0</v>
      </c>
      <c r="B15650" t="s">
        <v>3151</v>
      </c>
      <c r="C15650" t="s">
        <v>18731</v>
      </c>
      <c r="D15650" t="s">
        <v>19070</v>
      </c>
      <c r="E15650" t="s">
        <v>32576</v>
      </c>
      <c r="F15650" t="s">
        <v>32831</v>
      </c>
      <c r="G15650" t="s">
        <v>32839</v>
      </c>
      <c r="H15650" t="s">
        <v>32849</v>
      </c>
      <c r="I15650" t="s">
        <v>4177</v>
      </c>
      <c r="J15650" t="s">
        <v>39709</v>
      </c>
      <c r="K15650" t="s">
        <v>42922</v>
      </c>
      <c r="M15650" t="s">
        <v>46451</v>
      </c>
      <c r="N15650" t="s">
        <v>47424</v>
      </c>
      <c r="O15650" t="s">
        <v>47425</v>
      </c>
      <c r="Q15650">
        <v>9</v>
      </c>
      <c r="R15650" t="s">
        <v>47471</v>
      </c>
      <c r="S15650" t="s">
        <v>48936</v>
      </c>
      <c r="T15650" t="s">
        <v>49077</v>
      </c>
      <c r="U15650" t="s">
        <v>62373</v>
      </c>
      <c r="W15650" t="s">
        <v>46451</v>
      </c>
      <c r="X15650" t="s">
        <v>47474</v>
      </c>
    </row>
    <row r="15651" spans="1:24">
      <c r="A15651">
        <f>HYPERLINK("https://www.philgeps.gov.ph/GEPSNONPILOT/Tender/SplashBidNoticeAbstractUI.aspx?menuIndex=3&amp;refID=7062407&amp;Result=3","7062407")</f>
        <v>0</v>
      </c>
      <c r="B15651" t="s">
        <v>3151</v>
      </c>
      <c r="C15651" t="s">
        <v>18732</v>
      </c>
      <c r="D15651" t="s">
        <v>19070</v>
      </c>
      <c r="E15651" t="s">
        <v>32577</v>
      </c>
      <c r="F15651" t="s">
        <v>32831</v>
      </c>
      <c r="G15651" t="s">
        <v>32839</v>
      </c>
      <c r="H15651" t="s">
        <v>32849</v>
      </c>
      <c r="I15651" t="s">
        <v>4177</v>
      </c>
      <c r="J15651" t="s">
        <v>39709</v>
      </c>
      <c r="K15651" t="s">
        <v>42922</v>
      </c>
      <c r="M15651" t="s">
        <v>46451</v>
      </c>
      <c r="N15651" t="s">
        <v>47424</v>
      </c>
      <c r="O15651" t="s">
        <v>47425</v>
      </c>
      <c r="Q15651">
        <v>9</v>
      </c>
      <c r="R15651" t="s">
        <v>47471</v>
      </c>
      <c r="S15651" t="s">
        <v>48937</v>
      </c>
      <c r="T15651" t="s">
        <v>49077</v>
      </c>
      <c r="U15651" t="s">
        <v>62374</v>
      </c>
      <c r="W15651" t="s">
        <v>46451</v>
      </c>
      <c r="X15651" t="s">
        <v>47474</v>
      </c>
    </row>
    <row r="15652" spans="1:24">
      <c r="A15652">
        <f>HYPERLINK("https://www.philgeps.gov.ph/GEPSNONPILOT/Tender/SplashBidNoticeAbstractUI.aspx?menuIndex=3&amp;refID=7062424&amp;Result=3","7062424")</f>
        <v>0</v>
      </c>
      <c r="B15652" t="s">
        <v>3151</v>
      </c>
      <c r="C15652" t="s">
        <v>18733</v>
      </c>
      <c r="D15652" t="s">
        <v>19070</v>
      </c>
      <c r="E15652" t="s">
        <v>32578</v>
      </c>
      <c r="F15652" t="s">
        <v>32831</v>
      </c>
      <c r="G15652" t="s">
        <v>32839</v>
      </c>
      <c r="H15652" t="s">
        <v>32849</v>
      </c>
      <c r="I15652" t="s">
        <v>4177</v>
      </c>
      <c r="J15652" t="s">
        <v>39709</v>
      </c>
      <c r="K15652" t="s">
        <v>42922</v>
      </c>
      <c r="M15652" t="s">
        <v>46451</v>
      </c>
      <c r="N15652" t="s">
        <v>47424</v>
      </c>
      <c r="O15652" t="s">
        <v>47425</v>
      </c>
      <c r="Q15652">
        <v>7</v>
      </c>
      <c r="R15652" t="s">
        <v>47471</v>
      </c>
      <c r="S15652" t="s">
        <v>48130</v>
      </c>
      <c r="T15652" t="s">
        <v>49077</v>
      </c>
      <c r="U15652" t="s">
        <v>62375</v>
      </c>
      <c r="W15652" t="s">
        <v>46451</v>
      </c>
      <c r="X15652" t="s">
        <v>47474</v>
      </c>
    </row>
    <row r="15653" spans="1:24">
      <c r="A15653">
        <f>HYPERLINK("https://www.philgeps.gov.ph/GEPSNONPILOT/Tender/SplashBidNoticeAbstractUI.aspx?menuIndex=3&amp;refID=7046689&amp;Result=3","7046689")</f>
        <v>0</v>
      </c>
      <c r="B15653" t="s">
        <v>2188</v>
      </c>
      <c r="C15653" t="s">
        <v>18734</v>
      </c>
      <c r="D15653" t="s">
        <v>19017</v>
      </c>
      <c r="E15653" t="s">
        <v>32579</v>
      </c>
      <c r="F15653" t="s">
        <v>32831</v>
      </c>
      <c r="G15653" t="s">
        <v>32839</v>
      </c>
      <c r="H15653" t="s">
        <v>32848</v>
      </c>
      <c r="I15653" t="s">
        <v>10805</v>
      </c>
      <c r="J15653" t="s">
        <v>35528</v>
      </c>
      <c r="K15653" t="s">
        <v>42763</v>
      </c>
      <c r="M15653" t="s">
        <v>45368</v>
      </c>
      <c r="N15653" t="s">
        <v>47424</v>
      </c>
      <c r="O15653" t="s">
        <v>47425</v>
      </c>
      <c r="Q15653">
        <v>24</v>
      </c>
      <c r="R15653" t="s">
        <v>47472</v>
      </c>
      <c r="S15653" t="s">
        <v>48938</v>
      </c>
      <c r="T15653" t="s">
        <v>49106</v>
      </c>
      <c r="U15653" t="s">
        <v>62376</v>
      </c>
      <c r="W15653" t="s">
        <v>45368</v>
      </c>
      <c r="X15653" t="s">
        <v>64582</v>
      </c>
    </row>
    <row r="15654" spans="1:24">
      <c r="A15654">
        <f>HYPERLINK("https://www.philgeps.gov.ph/GEPSNONPILOT/Tender/SplashBidNoticeAbstractUI.aspx?menuIndex=3&amp;refID=6957098&amp;Result=3","6957098")</f>
        <v>0</v>
      </c>
      <c r="B15654" t="s">
        <v>689</v>
      </c>
      <c r="C15654" t="s">
        <v>18735</v>
      </c>
      <c r="E15654" t="s">
        <v>32580</v>
      </c>
      <c r="F15654" t="s">
        <v>32831</v>
      </c>
      <c r="G15654" t="s">
        <v>32839</v>
      </c>
      <c r="H15654" t="s">
        <v>32848</v>
      </c>
      <c r="I15654" t="s">
        <v>4487</v>
      </c>
      <c r="J15654" t="s">
        <v>42531</v>
      </c>
      <c r="K15654" t="s">
        <v>42732</v>
      </c>
      <c r="M15654" t="s">
        <v>47379</v>
      </c>
      <c r="N15654" t="s">
        <v>47424</v>
      </c>
      <c r="O15654" t="s">
        <v>47425</v>
      </c>
      <c r="Q15654">
        <v>10</v>
      </c>
      <c r="R15654" t="s">
        <v>47501</v>
      </c>
      <c r="S15654" t="s">
        <v>48939</v>
      </c>
      <c r="T15654" t="s">
        <v>49196</v>
      </c>
      <c r="U15654" t="s">
        <v>62377</v>
      </c>
      <c r="W15654" t="s">
        <v>64566</v>
      </c>
      <c r="X15654" t="s">
        <v>64593</v>
      </c>
    </row>
    <row r="15655" spans="1:24">
      <c r="A15655">
        <f>HYPERLINK("https://www.philgeps.gov.ph/GEPSNONPILOT/Tender/SplashBidNoticeAbstractUI.aspx?menuIndex=3&amp;refID=7072375&amp;Result=3","7072375")</f>
        <v>0</v>
      </c>
      <c r="B15655" t="s">
        <v>2130</v>
      </c>
      <c r="C15655" t="s">
        <v>18736</v>
      </c>
      <c r="D15655" t="s">
        <v>19017</v>
      </c>
      <c r="E15655" t="s">
        <v>32581</v>
      </c>
      <c r="F15655" t="s">
        <v>32831</v>
      </c>
      <c r="G15655" t="s">
        <v>32839</v>
      </c>
      <c r="H15655" t="s">
        <v>32848</v>
      </c>
      <c r="I15655" t="s">
        <v>14069</v>
      </c>
      <c r="J15655" t="s">
        <v>33727</v>
      </c>
      <c r="K15655" t="s">
        <v>42770</v>
      </c>
      <c r="M15655" t="s">
        <v>47382</v>
      </c>
      <c r="N15655" t="s">
        <v>47424</v>
      </c>
      <c r="O15655" t="s">
        <v>47425</v>
      </c>
      <c r="Q15655">
        <v>6</v>
      </c>
      <c r="R15655" t="s">
        <v>47470</v>
      </c>
      <c r="S15655" t="s">
        <v>48940</v>
      </c>
      <c r="T15655" t="s">
        <v>49487</v>
      </c>
      <c r="U15655" t="s">
        <v>62378</v>
      </c>
      <c r="V15655" t="s">
        <v>64391</v>
      </c>
      <c r="W15655" t="s">
        <v>47382</v>
      </c>
      <c r="X15655" t="s">
        <v>47468</v>
      </c>
    </row>
    <row r="15656" spans="1:24">
      <c r="A15656">
        <f>HYPERLINK("https://www.philgeps.gov.ph/GEPSNONPILOT/Tender/SplashBidNoticeAbstractUI.aspx?menuIndex=3&amp;refID=6967841&amp;Result=3","6967841")</f>
        <v>0</v>
      </c>
      <c r="B15656" t="s">
        <v>160</v>
      </c>
      <c r="C15656" t="s">
        <v>18737</v>
      </c>
      <c r="D15656" t="s">
        <v>19040</v>
      </c>
      <c r="E15656" t="s">
        <v>32582</v>
      </c>
      <c r="F15656" t="s">
        <v>32831</v>
      </c>
      <c r="G15656" t="s">
        <v>32838</v>
      </c>
      <c r="H15656" t="s">
        <v>32848</v>
      </c>
      <c r="I15656" t="s">
        <v>4438</v>
      </c>
      <c r="J15656" t="s">
        <v>33626</v>
      </c>
      <c r="K15656" t="s">
        <v>42729</v>
      </c>
      <c r="M15656" t="s">
        <v>45098</v>
      </c>
      <c r="N15656" t="s">
        <v>47424</v>
      </c>
      <c r="O15656" t="s">
        <v>47425</v>
      </c>
      <c r="Q15656">
        <v>7</v>
      </c>
      <c r="R15656" t="s">
        <v>47489</v>
      </c>
      <c r="S15656" t="s">
        <v>48941</v>
      </c>
      <c r="T15656" t="s">
        <v>49162</v>
      </c>
      <c r="U15656" t="s">
        <v>53997</v>
      </c>
      <c r="W15656" t="s">
        <v>45098</v>
      </c>
      <c r="X15656" t="s">
        <v>64587</v>
      </c>
    </row>
    <row r="15657" spans="1:24">
      <c r="A15657">
        <f>HYPERLINK("https://www.philgeps.gov.ph/GEPSNONPILOT/Tender/SplashBidNoticeAbstractUI.aspx?menuIndex=3&amp;refID=7070621&amp;Result=3","7070621")</f>
        <v>0</v>
      </c>
      <c r="B15657" t="s">
        <v>3625</v>
      </c>
      <c r="C15657" t="s">
        <v>18738</v>
      </c>
      <c r="D15657" t="s">
        <v>19038</v>
      </c>
      <c r="E15657" t="s">
        <v>30045</v>
      </c>
      <c r="F15657" t="s">
        <v>32833</v>
      </c>
      <c r="G15657" t="s">
        <v>32839</v>
      </c>
      <c r="H15657" t="s">
        <v>32849</v>
      </c>
      <c r="I15657" t="s">
        <v>4177</v>
      </c>
      <c r="J15657" t="s">
        <v>42466</v>
      </c>
      <c r="K15657" t="s">
        <v>42798</v>
      </c>
      <c r="L15657" t="s">
        <v>3625</v>
      </c>
      <c r="M15657" t="s">
        <v>46994</v>
      </c>
      <c r="N15657" t="s">
        <v>47424</v>
      </c>
      <c r="O15657" t="s">
        <v>47425</v>
      </c>
      <c r="Q15657">
        <v>0</v>
      </c>
      <c r="R15657" t="s">
        <v>47470</v>
      </c>
      <c r="S15657" t="s">
        <v>48942</v>
      </c>
      <c r="T15657" t="s">
        <v>49237</v>
      </c>
      <c r="U15657" t="s">
        <v>62379</v>
      </c>
      <c r="W15657" t="s">
        <v>46994</v>
      </c>
      <c r="X15657" t="s">
        <v>47467</v>
      </c>
    </row>
    <row r="15658" spans="1:24">
      <c r="A15658">
        <f>HYPERLINK("https://www.philgeps.gov.ph/GEPSNONPILOT/Tender/SplashBidNoticeAbstractUI.aspx?menuIndex=3&amp;refID=7072039&amp;Result=3","7072039")</f>
        <v>0</v>
      </c>
      <c r="B15658" t="s">
        <v>2130</v>
      </c>
      <c r="C15658" t="s">
        <v>18614</v>
      </c>
      <c r="D15658" t="s">
        <v>19017</v>
      </c>
      <c r="E15658" t="s">
        <v>32583</v>
      </c>
      <c r="F15658" t="s">
        <v>32831</v>
      </c>
      <c r="G15658" t="s">
        <v>32839</v>
      </c>
      <c r="H15658" t="s">
        <v>32848</v>
      </c>
      <c r="I15658" t="s">
        <v>14069</v>
      </c>
      <c r="J15658" t="s">
        <v>33727</v>
      </c>
      <c r="K15658" t="s">
        <v>42770</v>
      </c>
      <c r="M15658" t="s">
        <v>47382</v>
      </c>
      <c r="N15658" t="s">
        <v>47424</v>
      </c>
      <c r="O15658" t="s">
        <v>47425</v>
      </c>
      <c r="Q15658">
        <v>12</v>
      </c>
      <c r="R15658" t="s">
        <v>47470</v>
      </c>
      <c r="S15658" t="s">
        <v>48943</v>
      </c>
      <c r="T15658" t="s">
        <v>49487</v>
      </c>
      <c r="U15658" t="s">
        <v>62380</v>
      </c>
      <c r="V15658" t="s">
        <v>64402</v>
      </c>
      <c r="W15658" t="s">
        <v>47382</v>
      </c>
      <c r="X15658" t="s">
        <v>47467</v>
      </c>
    </row>
    <row r="15659" spans="1:24">
      <c r="A15659">
        <f>HYPERLINK("https://www.philgeps.gov.ph/GEPSNONPILOT/Tender/SplashBidNoticeAbstractUI.aspx?menuIndex=3&amp;refID=7072359&amp;Result=3","7072359")</f>
        <v>0</v>
      </c>
      <c r="B15659" t="s">
        <v>2130</v>
      </c>
      <c r="C15659" t="s">
        <v>18736</v>
      </c>
      <c r="D15659" t="s">
        <v>19017</v>
      </c>
      <c r="E15659" t="s">
        <v>32581</v>
      </c>
      <c r="F15659" t="s">
        <v>32831</v>
      </c>
      <c r="G15659" t="s">
        <v>32839</v>
      </c>
      <c r="H15659" t="s">
        <v>32848</v>
      </c>
      <c r="I15659" t="s">
        <v>14069</v>
      </c>
      <c r="J15659" t="s">
        <v>33727</v>
      </c>
      <c r="K15659" t="s">
        <v>42770</v>
      </c>
      <c r="M15659" t="s">
        <v>47382</v>
      </c>
      <c r="N15659" t="s">
        <v>47424</v>
      </c>
      <c r="O15659" t="s">
        <v>47425</v>
      </c>
      <c r="Q15659">
        <v>10</v>
      </c>
      <c r="R15659" t="s">
        <v>47470</v>
      </c>
      <c r="S15659" t="s">
        <v>48944</v>
      </c>
      <c r="T15659" t="s">
        <v>49487</v>
      </c>
      <c r="U15659" t="s">
        <v>62381</v>
      </c>
      <c r="V15659" t="s">
        <v>64391</v>
      </c>
      <c r="W15659" t="s">
        <v>47382</v>
      </c>
      <c r="X15659" t="s">
        <v>47468</v>
      </c>
    </row>
    <row r="15660" spans="1:24">
      <c r="A15660">
        <f>HYPERLINK("https://www.philgeps.gov.ph/GEPSNONPILOT/Tender/SplashBidNoticeAbstractUI.aspx?menuIndex=3&amp;refID=7075856&amp;Result=3","7075856")</f>
        <v>0</v>
      </c>
      <c r="B15660" t="s">
        <v>1098</v>
      </c>
      <c r="C15660" t="s">
        <v>18739</v>
      </c>
      <c r="D15660" t="s">
        <v>19017</v>
      </c>
      <c r="E15660" t="s">
        <v>32584</v>
      </c>
      <c r="F15660" t="s">
        <v>32831</v>
      </c>
      <c r="G15660" t="s">
        <v>32839</v>
      </c>
      <c r="H15660" t="s">
        <v>32849</v>
      </c>
      <c r="I15660" t="s">
        <v>11727</v>
      </c>
      <c r="J15660" t="s">
        <v>42532</v>
      </c>
      <c r="K15660" t="s">
        <v>42883</v>
      </c>
      <c r="M15660" t="s">
        <v>44157</v>
      </c>
      <c r="N15660" t="s">
        <v>47424</v>
      </c>
      <c r="O15660" t="s">
        <v>47425</v>
      </c>
      <c r="Q15660">
        <v>18</v>
      </c>
      <c r="R15660" t="s">
        <v>47466</v>
      </c>
      <c r="S15660" t="s">
        <v>48945</v>
      </c>
      <c r="T15660" t="s">
        <v>49237</v>
      </c>
      <c r="U15660" t="s">
        <v>62382</v>
      </c>
      <c r="V15660" t="s">
        <v>62889</v>
      </c>
      <c r="W15660" t="s">
        <v>44157</v>
      </c>
      <c r="X15660" t="s">
        <v>47470</v>
      </c>
    </row>
    <row r="15661" spans="1:24">
      <c r="A15661">
        <f>HYPERLINK("https://www.philgeps.gov.ph/GEPSNONPILOT/Tender/SplashBidNoticeAbstractUI.aspx?menuIndex=3&amp;refID=7075822&amp;Result=3","7075822")</f>
        <v>0</v>
      </c>
      <c r="B15661" t="s">
        <v>1927</v>
      </c>
      <c r="C15661" t="s">
        <v>18740</v>
      </c>
      <c r="D15661" t="s">
        <v>19018</v>
      </c>
      <c r="E15661" t="s">
        <v>32585</v>
      </c>
      <c r="F15661" t="s">
        <v>32831</v>
      </c>
      <c r="G15661" t="s">
        <v>32839</v>
      </c>
      <c r="H15661" t="s">
        <v>32849</v>
      </c>
      <c r="I15661" t="s">
        <v>4177</v>
      </c>
      <c r="J15661" t="s">
        <v>42533</v>
      </c>
      <c r="K15661" t="s">
        <v>42732</v>
      </c>
      <c r="L15661" t="s">
        <v>1927</v>
      </c>
      <c r="M15661" t="s">
        <v>46156</v>
      </c>
      <c r="N15661" t="s">
        <v>47424</v>
      </c>
      <c r="O15661" t="s">
        <v>47425</v>
      </c>
      <c r="Q15661">
        <v>2</v>
      </c>
      <c r="R15661" t="s">
        <v>47466</v>
      </c>
      <c r="S15661" t="s">
        <v>48946</v>
      </c>
      <c r="T15661" t="s">
        <v>49056</v>
      </c>
      <c r="U15661" t="s">
        <v>62383</v>
      </c>
      <c r="V15661" t="s">
        <v>63616</v>
      </c>
      <c r="W15661" t="s">
        <v>46156</v>
      </c>
      <c r="X15661" t="s">
        <v>47470</v>
      </c>
    </row>
    <row r="15662" spans="1:24">
      <c r="A15662">
        <f>HYPERLINK("https://www.philgeps.gov.ph/GEPSNONPILOT/Tender/SplashBidNoticeAbstractUI.aspx?menuIndex=3&amp;refID=7042401&amp;Result=3","7042401")</f>
        <v>0</v>
      </c>
      <c r="B15662" t="s">
        <v>1983</v>
      </c>
      <c r="C15662" t="s">
        <v>18741</v>
      </c>
      <c r="E15662" t="s">
        <v>32586</v>
      </c>
      <c r="F15662" t="s">
        <v>32831</v>
      </c>
      <c r="G15662" t="s">
        <v>32839</v>
      </c>
      <c r="H15662" t="s">
        <v>32849</v>
      </c>
      <c r="I15662" t="s">
        <v>4177</v>
      </c>
      <c r="J15662" t="s">
        <v>42534</v>
      </c>
      <c r="K15662" t="s">
        <v>42732</v>
      </c>
      <c r="M15662" t="s">
        <v>45145</v>
      </c>
      <c r="N15662" t="s">
        <v>47424</v>
      </c>
      <c r="O15662" t="s">
        <v>47425</v>
      </c>
      <c r="Q15662">
        <v>51</v>
      </c>
      <c r="R15662" t="s">
        <v>47507</v>
      </c>
      <c r="S15662" t="s">
        <v>48947</v>
      </c>
      <c r="T15662" t="s">
        <v>49129</v>
      </c>
      <c r="U15662" t="s">
        <v>60272</v>
      </c>
      <c r="W15662" t="s">
        <v>64550</v>
      </c>
      <c r="X15662" t="s">
        <v>47486</v>
      </c>
    </row>
    <row r="15663" spans="1:24">
      <c r="A15663">
        <f>HYPERLINK("https://www.philgeps.gov.ph/GEPSNONPILOT/Tender/SplashBidNoticeAbstractUI.aspx?menuIndex=3&amp;refID=7077668&amp;Result=3","7077668")</f>
        <v>0</v>
      </c>
      <c r="B15663" t="s">
        <v>3902</v>
      </c>
      <c r="C15663" t="s">
        <v>18742</v>
      </c>
      <c r="D15663" t="s">
        <v>19017</v>
      </c>
      <c r="E15663" t="s">
        <v>32587</v>
      </c>
      <c r="F15663" t="s">
        <v>32831</v>
      </c>
      <c r="G15663" t="s">
        <v>32839</v>
      </c>
      <c r="H15663" t="s">
        <v>32848</v>
      </c>
      <c r="I15663" t="s">
        <v>32911</v>
      </c>
      <c r="J15663" t="s">
        <v>33046</v>
      </c>
      <c r="K15663" t="s">
        <v>42775</v>
      </c>
      <c r="M15663" t="s">
        <v>47375</v>
      </c>
      <c r="N15663" t="s">
        <v>47424</v>
      </c>
      <c r="O15663" t="s">
        <v>47425</v>
      </c>
      <c r="Q15663">
        <v>7</v>
      </c>
      <c r="R15663" t="s">
        <v>47464</v>
      </c>
      <c r="S15663" t="s">
        <v>48948</v>
      </c>
      <c r="T15663" t="s">
        <v>49214</v>
      </c>
      <c r="U15663" t="s">
        <v>62384</v>
      </c>
      <c r="W15663" t="s">
        <v>47375</v>
      </c>
      <c r="X15663" t="s">
        <v>47466</v>
      </c>
    </row>
    <row r="15664" spans="1:24">
      <c r="A15664">
        <f>HYPERLINK("https://www.philgeps.gov.ph/GEPSNONPILOT/Tender/SplashBidNoticeAbstractUI.aspx?menuIndex=3&amp;refID=7075757&amp;Result=3","7075757")</f>
        <v>0</v>
      </c>
      <c r="B15664" t="s">
        <v>1927</v>
      </c>
      <c r="C15664" t="s">
        <v>18743</v>
      </c>
      <c r="D15664" t="s">
        <v>19018</v>
      </c>
      <c r="E15664" t="s">
        <v>32588</v>
      </c>
      <c r="F15664" t="s">
        <v>32831</v>
      </c>
      <c r="G15664" t="s">
        <v>32839</v>
      </c>
      <c r="H15664" t="s">
        <v>32849</v>
      </c>
      <c r="I15664" t="s">
        <v>4177</v>
      </c>
      <c r="J15664" t="s">
        <v>36370</v>
      </c>
      <c r="K15664" t="s">
        <v>42732</v>
      </c>
      <c r="L15664" t="s">
        <v>1927</v>
      </c>
      <c r="M15664" t="s">
        <v>46156</v>
      </c>
      <c r="N15664" t="s">
        <v>47424</v>
      </c>
      <c r="O15664" t="s">
        <v>47425</v>
      </c>
      <c r="Q15664">
        <v>1</v>
      </c>
      <c r="R15664" t="s">
        <v>47466</v>
      </c>
      <c r="S15664" t="s">
        <v>48949</v>
      </c>
      <c r="T15664" t="s">
        <v>49181</v>
      </c>
      <c r="U15664" t="s">
        <v>62383</v>
      </c>
      <c r="V15664" t="s">
        <v>63616</v>
      </c>
      <c r="W15664" t="s">
        <v>46156</v>
      </c>
      <c r="X15664" t="s">
        <v>47470</v>
      </c>
    </row>
    <row r="15665" spans="1:24">
      <c r="A15665">
        <f>HYPERLINK("https://www.philgeps.gov.ph/GEPSNONPILOT/Tender/SplashBidNoticeAbstractUI.aspx?menuIndex=3&amp;refID=7078873&amp;Result=3","7078873")</f>
        <v>0</v>
      </c>
      <c r="B15665" t="s">
        <v>2363</v>
      </c>
      <c r="C15665" t="s">
        <v>18744</v>
      </c>
      <c r="D15665" t="s">
        <v>19047</v>
      </c>
      <c r="E15665" t="s">
        <v>32589</v>
      </c>
      <c r="F15665" t="s">
        <v>32831</v>
      </c>
      <c r="G15665" t="s">
        <v>32838</v>
      </c>
      <c r="H15665" t="s">
        <v>32848</v>
      </c>
      <c r="I15665" t="s">
        <v>32894</v>
      </c>
      <c r="J15665" t="s">
        <v>42535</v>
      </c>
      <c r="K15665" t="s">
        <v>42732</v>
      </c>
      <c r="M15665" t="s">
        <v>45703</v>
      </c>
      <c r="N15665" t="s">
        <v>47424</v>
      </c>
      <c r="O15665" t="s">
        <v>47425</v>
      </c>
      <c r="Q15665">
        <v>12</v>
      </c>
      <c r="R15665" t="s">
        <v>47465</v>
      </c>
      <c r="S15665" t="s">
        <v>48346</v>
      </c>
      <c r="T15665" t="s">
        <v>49237</v>
      </c>
      <c r="U15665" t="s">
        <v>55675</v>
      </c>
      <c r="W15665" t="s">
        <v>45703</v>
      </c>
      <c r="X15665" t="s">
        <v>47464</v>
      </c>
    </row>
    <row r="15666" spans="1:24">
      <c r="A15666">
        <f>HYPERLINK("https://www.philgeps.gov.ph/GEPSNONPILOT/Tender/SplashBidNoticeAbstractUI.aspx?menuIndex=3&amp;refID=7064556&amp;Result=3","7064556")</f>
        <v>0</v>
      </c>
      <c r="B15666" t="s">
        <v>3910</v>
      </c>
      <c r="C15666" t="s">
        <v>18745</v>
      </c>
      <c r="E15666" t="s">
        <v>32590</v>
      </c>
      <c r="F15666" t="s">
        <v>32831</v>
      </c>
      <c r="G15666" t="s">
        <v>32840</v>
      </c>
      <c r="H15666" t="s">
        <v>32850</v>
      </c>
      <c r="I15666" t="s">
        <v>4303</v>
      </c>
      <c r="J15666" t="s">
        <v>32980</v>
      </c>
      <c r="K15666" t="s">
        <v>42748</v>
      </c>
      <c r="M15666" t="s">
        <v>47390</v>
      </c>
      <c r="N15666" t="s">
        <v>47424</v>
      </c>
      <c r="O15666" t="s">
        <v>47425</v>
      </c>
      <c r="Q15666">
        <v>0</v>
      </c>
      <c r="R15666" t="s">
        <v>47508</v>
      </c>
      <c r="S15666" t="s">
        <v>48950</v>
      </c>
      <c r="T15666" t="s">
        <v>49116</v>
      </c>
      <c r="U15666" t="s">
        <v>62385</v>
      </c>
      <c r="W15666" t="s">
        <v>47390</v>
      </c>
      <c r="X15666" t="s">
        <v>47471</v>
      </c>
    </row>
    <row r="15667" spans="1:24">
      <c r="A15667">
        <f>HYPERLINK("https://www.philgeps.gov.ph/GEPSNONPILOT/Tender/SplashBidNoticeAbstractUI.aspx?menuIndex=3&amp;refID=6911523&amp;Result=3","6911523")</f>
        <v>0</v>
      </c>
      <c r="B15667" t="s">
        <v>3911</v>
      </c>
      <c r="C15667" t="s">
        <v>18746</v>
      </c>
      <c r="D15667" t="s">
        <v>19044</v>
      </c>
      <c r="E15667" t="s">
        <v>32591</v>
      </c>
      <c r="F15667" t="s">
        <v>32831</v>
      </c>
      <c r="G15667" t="s">
        <v>32838</v>
      </c>
      <c r="H15667" t="s">
        <v>32848</v>
      </c>
      <c r="I15667" t="s">
        <v>4471</v>
      </c>
      <c r="J15667" t="s">
        <v>42536</v>
      </c>
      <c r="K15667" t="s">
        <v>42731</v>
      </c>
      <c r="M15667" t="s">
        <v>47391</v>
      </c>
      <c r="N15667" t="s">
        <v>47424</v>
      </c>
      <c r="O15667" t="s">
        <v>47425</v>
      </c>
      <c r="Q15667">
        <v>5</v>
      </c>
      <c r="R15667" t="s">
        <v>47509</v>
      </c>
      <c r="S15667" t="s">
        <v>48838</v>
      </c>
      <c r="T15667" t="s">
        <v>49162</v>
      </c>
      <c r="U15667" t="s">
        <v>62386</v>
      </c>
      <c r="W15667" t="s">
        <v>47391</v>
      </c>
      <c r="X15667" t="s">
        <v>47529</v>
      </c>
    </row>
    <row r="15668" spans="1:24">
      <c r="A15668">
        <f>HYPERLINK("https://www.philgeps.gov.ph/GEPSNONPILOT/Tender/SplashBidNoticeAbstractUI.aspx?menuIndex=3&amp;refID=6911781&amp;Result=3","6911781")</f>
        <v>0</v>
      </c>
      <c r="B15668" t="s">
        <v>1454</v>
      </c>
      <c r="C15668" t="s">
        <v>18747</v>
      </c>
      <c r="E15668" t="s">
        <v>32592</v>
      </c>
      <c r="F15668" t="s">
        <v>32831</v>
      </c>
      <c r="G15668" t="s">
        <v>32839</v>
      </c>
      <c r="H15668" t="s">
        <v>14069</v>
      </c>
      <c r="I15668" t="s">
        <v>14069</v>
      </c>
      <c r="J15668" t="s">
        <v>42537</v>
      </c>
      <c r="K15668" t="s">
        <v>42732</v>
      </c>
      <c r="M15668" t="s">
        <v>47392</v>
      </c>
      <c r="N15668" t="s">
        <v>47424</v>
      </c>
      <c r="O15668" t="s">
        <v>47425</v>
      </c>
      <c r="Q15668">
        <v>11</v>
      </c>
      <c r="R15668" t="s">
        <v>47509</v>
      </c>
      <c r="S15668" t="s">
        <v>48951</v>
      </c>
      <c r="T15668" t="s">
        <v>49061</v>
      </c>
      <c r="U15668" t="s">
        <v>62387</v>
      </c>
      <c r="W15668" t="s">
        <v>64567</v>
      </c>
      <c r="X15668" t="s">
        <v>47529</v>
      </c>
    </row>
    <row r="15669" spans="1:24">
      <c r="A15669">
        <f>HYPERLINK("https://www.philgeps.gov.ph/GEPSNONPILOT/Tender/SplashBidNoticeAbstractUI.aspx?menuIndex=3&amp;refID=7079847&amp;Result=3","7079847")</f>
        <v>0</v>
      </c>
      <c r="B15669" t="s">
        <v>3147</v>
      </c>
      <c r="C15669" t="s">
        <v>18748</v>
      </c>
      <c r="D15669" t="s">
        <v>19026</v>
      </c>
      <c r="E15669" t="s">
        <v>32593</v>
      </c>
      <c r="F15669" t="s">
        <v>32831</v>
      </c>
      <c r="G15669" t="s">
        <v>32839</v>
      </c>
      <c r="H15669" t="s">
        <v>32849</v>
      </c>
      <c r="I15669" t="s">
        <v>4177</v>
      </c>
      <c r="J15669" t="s">
        <v>42538</v>
      </c>
      <c r="K15669" t="s">
        <v>42780</v>
      </c>
      <c r="M15669" t="s">
        <v>46447</v>
      </c>
      <c r="N15669" t="s">
        <v>47424</v>
      </c>
      <c r="O15669" t="s">
        <v>47425</v>
      </c>
      <c r="Q15669">
        <v>29</v>
      </c>
      <c r="R15669" t="s">
        <v>47465</v>
      </c>
      <c r="S15669" t="s">
        <v>48952</v>
      </c>
      <c r="T15669" t="s">
        <v>49106</v>
      </c>
      <c r="U15669" t="s">
        <v>62388</v>
      </c>
      <c r="V15669" t="s">
        <v>63017</v>
      </c>
      <c r="W15669" t="s">
        <v>46447</v>
      </c>
      <c r="X15669" t="s">
        <v>47464</v>
      </c>
    </row>
    <row r="15670" spans="1:24">
      <c r="A15670">
        <f>HYPERLINK("https://www.philgeps.gov.ph/GEPSNONPILOT/Tender/SplashBidNoticeAbstractUI.aspx?menuIndex=3&amp;refID=7070563&amp;Result=3","7070563")</f>
        <v>0</v>
      </c>
      <c r="B15670" t="s">
        <v>221</v>
      </c>
      <c r="C15670" t="s">
        <v>18749</v>
      </c>
      <c r="D15670" t="s">
        <v>19062</v>
      </c>
      <c r="E15670" t="s">
        <v>32594</v>
      </c>
      <c r="F15670" t="s">
        <v>32831</v>
      </c>
      <c r="G15670" t="s">
        <v>32845</v>
      </c>
      <c r="H15670" t="s">
        <v>14069</v>
      </c>
      <c r="I15670" t="s">
        <v>14069</v>
      </c>
      <c r="J15670" t="s">
        <v>42539</v>
      </c>
      <c r="K15670" t="s">
        <v>42732</v>
      </c>
      <c r="L15670" t="s">
        <v>221</v>
      </c>
      <c r="M15670" t="s">
        <v>46263</v>
      </c>
      <c r="N15670" t="s">
        <v>47424</v>
      </c>
      <c r="O15670" t="s">
        <v>47425</v>
      </c>
      <c r="Q15670">
        <v>7</v>
      </c>
      <c r="R15670" t="s">
        <v>47470</v>
      </c>
      <c r="S15670" t="s">
        <v>47663</v>
      </c>
      <c r="T15670" t="s">
        <v>49127</v>
      </c>
      <c r="U15670" t="s">
        <v>62389</v>
      </c>
      <c r="W15670" t="s">
        <v>46263</v>
      </c>
      <c r="X15670" t="s">
        <v>47467</v>
      </c>
    </row>
    <row r="15671" spans="1:24">
      <c r="A15671">
        <f>HYPERLINK("https://www.philgeps.gov.ph/GEPSNONPILOT/Tender/SplashBidNoticeAbstractUI.aspx?menuIndex=3&amp;refID=6911491&amp;Result=3","6911491")</f>
        <v>0</v>
      </c>
      <c r="B15671" t="s">
        <v>3911</v>
      </c>
      <c r="C15671" t="s">
        <v>18750</v>
      </c>
      <c r="D15671" t="s">
        <v>19044</v>
      </c>
      <c r="E15671" t="s">
        <v>32595</v>
      </c>
      <c r="F15671" t="s">
        <v>32831</v>
      </c>
      <c r="G15671" t="s">
        <v>32838</v>
      </c>
      <c r="H15671" t="s">
        <v>32848</v>
      </c>
      <c r="I15671" t="s">
        <v>7416</v>
      </c>
      <c r="J15671" t="s">
        <v>42540</v>
      </c>
      <c r="K15671" t="s">
        <v>42727</v>
      </c>
      <c r="M15671" t="s">
        <v>47391</v>
      </c>
      <c r="N15671" t="s">
        <v>47424</v>
      </c>
      <c r="O15671" t="s">
        <v>47425</v>
      </c>
      <c r="Q15671">
        <v>0</v>
      </c>
      <c r="R15671" t="s">
        <v>47509</v>
      </c>
      <c r="S15671" t="s">
        <v>48650</v>
      </c>
      <c r="T15671" t="s">
        <v>49205</v>
      </c>
      <c r="U15671" t="s">
        <v>62390</v>
      </c>
      <c r="W15671" t="s">
        <v>47391</v>
      </c>
      <c r="X15671" t="s">
        <v>47529</v>
      </c>
    </row>
    <row r="15672" spans="1:24">
      <c r="A15672">
        <f>HYPERLINK("https://www.philgeps.gov.ph/GEPSNONPILOT/Tender/SplashBidNoticeAbstractUI.aspx?menuIndex=3&amp;refID=6909433&amp;Result=3","6909433")</f>
        <v>0</v>
      </c>
      <c r="B15672" t="s">
        <v>2500</v>
      </c>
      <c r="C15672" t="s">
        <v>18751</v>
      </c>
      <c r="D15672" t="s">
        <v>19052</v>
      </c>
      <c r="E15672" t="s">
        <v>32596</v>
      </c>
      <c r="F15672" t="s">
        <v>32831</v>
      </c>
      <c r="G15672" t="s">
        <v>32839</v>
      </c>
      <c r="H15672" t="s">
        <v>32849</v>
      </c>
      <c r="I15672" t="s">
        <v>4177</v>
      </c>
      <c r="J15672" t="s">
        <v>42541</v>
      </c>
      <c r="K15672" t="s">
        <v>42747</v>
      </c>
      <c r="L15672" t="s">
        <v>2500</v>
      </c>
      <c r="M15672" t="s">
        <v>47393</v>
      </c>
      <c r="N15672" t="s">
        <v>47424</v>
      </c>
      <c r="O15672" t="s">
        <v>47425</v>
      </c>
      <c r="Q15672">
        <v>29</v>
      </c>
      <c r="R15672" t="s">
        <v>47509</v>
      </c>
      <c r="S15672" t="s">
        <v>48470</v>
      </c>
      <c r="T15672" t="s">
        <v>49079</v>
      </c>
      <c r="U15672" t="s">
        <v>62391</v>
      </c>
      <c r="W15672" t="s">
        <v>47393</v>
      </c>
      <c r="X15672" t="s">
        <v>47529</v>
      </c>
    </row>
    <row r="15673" spans="1:24">
      <c r="A15673">
        <f>HYPERLINK("https://www.philgeps.gov.ph/GEPSNONPILOT/Tender/SplashBidNoticeAbstractUI.aspx?menuIndex=3&amp;refID=7066393&amp;Result=3","7066393")</f>
        <v>0</v>
      </c>
      <c r="B15673" t="s">
        <v>3752</v>
      </c>
      <c r="C15673" t="s">
        <v>18752</v>
      </c>
      <c r="E15673" t="s">
        <v>26151</v>
      </c>
      <c r="F15673" t="s">
        <v>32831</v>
      </c>
      <c r="G15673" t="s">
        <v>32839</v>
      </c>
      <c r="H15673" t="s">
        <v>32848</v>
      </c>
      <c r="I15673" t="s">
        <v>32949</v>
      </c>
      <c r="J15673" t="s">
        <v>42542</v>
      </c>
      <c r="K15673" t="s">
        <v>42732</v>
      </c>
      <c r="M15673" t="s">
        <v>47150</v>
      </c>
      <c r="N15673" t="s">
        <v>47424</v>
      </c>
      <c r="O15673" t="s">
        <v>47425</v>
      </c>
      <c r="Q15673">
        <v>11</v>
      </c>
      <c r="R15673" t="s">
        <v>47508</v>
      </c>
      <c r="S15673" t="s">
        <v>48953</v>
      </c>
      <c r="T15673" t="s">
        <v>49165</v>
      </c>
      <c r="U15673" t="s">
        <v>62392</v>
      </c>
      <c r="W15673" t="s">
        <v>47150</v>
      </c>
      <c r="X15673" t="s">
        <v>47471</v>
      </c>
    </row>
    <row r="15674" spans="1:24">
      <c r="A15674">
        <f>HYPERLINK("https://www.philgeps.gov.ph/GEPSNONPILOT/Tender/SplashBidNoticeAbstractUI.aspx?menuIndex=3&amp;refID=6911398&amp;Result=3","6911398")</f>
        <v>0</v>
      </c>
      <c r="B15674" t="s">
        <v>67</v>
      </c>
      <c r="C15674" t="s">
        <v>18753</v>
      </c>
      <c r="D15674" t="s">
        <v>19079</v>
      </c>
      <c r="E15674" t="s">
        <v>32597</v>
      </c>
      <c r="F15674" t="s">
        <v>32831</v>
      </c>
      <c r="G15674" t="s">
        <v>32838</v>
      </c>
      <c r="H15674" t="s">
        <v>32848</v>
      </c>
      <c r="I15674" t="s">
        <v>32863</v>
      </c>
      <c r="J15674" t="s">
        <v>33041</v>
      </c>
      <c r="K15674" t="s">
        <v>42730</v>
      </c>
      <c r="M15674" t="s">
        <v>44461</v>
      </c>
      <c r="N15674" t="s">
        <v>47424</v>
      </c>
      <c r="O15674" t="s">
        <v>47425</v>
      </c>
      <c r="Q15674">
        <v>0</v>
      </c>
      <c r="R15674" t="s">
        <v>47509</v>
      </c>
      <c r="S15674" t="s">
        <v>48904</v>
      </c>
      <c r="T15674" t="s">
        <v>49196</v>
      </c>
      <c r="U15674" t="s">
        <v>62393</v>
      </c>
      <c r="W15674" t="s">
        <v>44461</v>
      </c>
      <c r="X15674" t="s">
        <v>47529</v>
      </c>
    </row>
    <row r="15675" spans="1:24">
      <c r="A15675">
        <f>HYPERLINK("https://www.philgeps.gov.ph/GEPSNONPILOT/Tender/SplashBidNoticeAbstractUI.aspx?menuIndex=3&amp;refID=6911228&amp;Result=3","6911228")</f>
        <v>0</v>
      </c>
      <c r="B15675" t="s">
        <v>3911</v>
      </c>
      <c r="C15675" t="s">
        <v>18754</v>
      </c>
      <c r="D15675" t="s">
        <v>19044</v>
      </c>
      <c r="E15675" t="s">
        <v>32598</v>
      </c>
      <c r="F15675" t="s">
        <v>32831</v>
      </c>
      <c r="G15675" t="s">
        <v>32838</v>
      </c>
      <c r="H15675" t="s">
        <v>32848</v>
      </c>
      <c r="I15675" t="s">
        <v>32851</v>
      </c>
      <c r="J15675" t="s">
        <v>42543</v>
      </c>
      <c r="K15675" t="s">
        <v>42727</v>
      </c>
      <c r="M15675" t="s">
        <v>47391</v>
      </c>
      <c r="N15675" t="s">
        <v>47424</v>
      </c>
      <c r="O15675" t="s">
        <v>47425</v>
      </c>
      <c r="Q15675">
        <v>0</v>
      </c>
      <c r="R15675" t="s">
        <v>47509</v>
      </c>
      <c r="S15675" t="s">
        <v>48954</v>
      </c>
      <c r="T15675" t="s">
        <v>49162</v>
      </c>
      <c r="U15675" t="s">
        <v>62394</v>
      </c>
      <c r="W15675" t="s">
        <v>47391</v>
      </c>
      <c r="X15675" t="s">
        <v>47529</v>
      </c>
    </row>
    <row r="15676" spans="1:24">
      <c r="A15676">
        <f>HYPERLINK("https://www.philgeps.gov.ph/GEPSNONPILOT/Tender/SplashBidNoticeAbstractUI.aspx?menuIndex=3&amp;refID=7066890&amp;Result=3","7066890")</f>
        <v>0</v>
      </c>
      <c r="B15676" t="s">
        <v>3785</v>
      </c>
      <c r="C15676" t="s">
        <v>18755</v>
      </c>
      <c r="D15676" t="s">
        <v>19017</v>
      </c>
      <c r="E15676" t="s">
        <v>32599</v>
      </c>
      <c r="F15676" t="s">
        <v>32831</v>
      </c>
      <c r="G15676" t="s">
        <v>32839</v>
      </c>
      <c r="H15676" t="s">
        <v>32848</v>
      </c>
      <c r="I15676" t="s">
        <v>4487</v>
      </c>
      <c r="J15676" t="s">
        <v>42544</v>
      </c>
      <c r="K15676" t="s">
        <v>42770</v>
      </c>
      <c r="M15676" t="s">
        <v>47197</v>
      </c>
      <c r="N15676" t="s">
        <v>47424</v>
      </c>
      <c r="O15676" t="s">
        <v>47425</v>
      </c>
      <c r="Q15676">
        <v>33</v>
      </c>
      <c r="R15676" t="s">
        <v>47508</v>
      </c>
      <c r="S15676" t="s">
        <v>48955</v>
      </c>
      <c r="T15676" t="s">
        <v>49340</v>
      </c>
      <c r="U15676" t="s">
        <v>62395</v>
      </c>
      <c r="W15676" t="s">
        <v>47197</v>
      </c>
      <c r="X15676" t="s">
        <v>47471</v>
      </c>
    </row>
    <row r="15677" spans="1:24">
      <c r="A15677">
        <f>HYPERLINK("https://www.philgeps.gov.ph/GEPSNONPILOT/Tender/SplashBidNoticeAbstractUI.aspx?menuIndex=3&amp;refID=6914477&amp;Result=3","6914477")</f>
        <v>0</v>
      </c>
      <c r="B15677" t="s">
        <v>67</v>
      </c>
      <c r="C15677" t="s">
        <v>18756</v>
      </c>
      <c r="D15677" t="s">
        <v>19079</v>
      </c>
      <c r="E15677" t="s">
        <v>18756</v>
      </c>
      <c r="F15677" t="s">
        <v>32831</v>
      </c>
      <c r="G15677" t="s">
        <v>32840</v>
      </c>
      <c r="H15677" t="s">
        <v>32848</v>
      </c>
      <c r="I15677" t="s">
        <v>4776</v>
      </c>
      <c r="J15677" t="s">
        <v>42545</v>
      </c>
      <c r="K15677" t="s">
        <v>42730</v>
      </c>
      <c r="M15677" t="s">
        <v>44984</v>
      </c>
      <c r="N15677" t="s">
        <v>47424</v>
      </c>
      <c r="O15677" t="s">
        <v>47425</v>
      </c>
      <c r="Q15677">
        <v>1</v>
      </c>
      <c r="R15677" t="s">
        <v>47510</v>
      </c>
      <c r="S15677" t="s">
        <v>48956</v>
      </c>
      <c r="T15677" t="s">
        <v>49135</v>
      </c>
      <c r="U15677" t="s">
        <v>62396</v>
      </c>
      <c r="W15677" t="s">
        <v>44984</v>
      </c>
      <c r="X15677" t="s">
        <v>47509</v>
      </c>
    </row>
    <row r="15678" spans="1:24">
      <c r="A15678">
        <f>HYPERLINK("https://www.philgeps.gov.ph/GEPSNONPILOT/Tender/SplashBidNoticeAbstractUI.aspx?menuIndex=3&amp;refID=6915968&amp;Result=3","6915968")</f>
        <v>0</v>
      </c>
      <c r="B15678" t="s">
        <v>3912</v>
      </c>
      <c r="C15678" t="s">
        <v>18757</v>
      </c>
      <c r="E15678" t="s">
        <v>32600</v>
      </c>
      <c r="F15678" t="s">
        <v>32831</v>
      </c>
      <c r="G15678" t="s">
        <v>32839</v>
      </c>
      <c r="H15678" t="s">
        <v>32850</v>
      </c>
      <c r="I15678" t="s">
        <v>5667</v>
      </c>
      <c r="J15678" t="s">
        <v>42546</v>
      </c>
      <c r="K15678" t="s">
        <v>42905</v>
      </c>
      <c r="M15678" t="s">
        <v>47394</v>
      </c>
      <c r="N15678" t="s">
        <v>47424</v>
      </c>
      <c r="O15678" t="s">
        <v>47425</v>
      </c>
      <c r="Q15678">
        <v>8</v>
      </c>
      <c r="R15678" t="s">
        <v>47510</v>
      </c>
      <c r="S15678" t="s">
        <v>48957</v>
      </c>
      <c r="T15678" t="s">
        <v>49417</v>
      </c>
      <c r="U15678" t="s">
        <v>62397</v>
      </c>
      <c r="W15678" t="s">
        <v>47394</v>
      </c>
      <c r="X15678" t="s">
        <v>47509</v>
      </c>
    </row>
    <row r="15679" spans="1:24">
      <c r="A15679">
        <f>HYPERLINK("https://www.philgeps.gov.ph/GEPSNONPILOT/Tender/SplashBidNoticeAbstractUI.aspx?menuIndex=3&amp;refID=6924394&amp;Result=3","6924394")</f>
        <v>0</v>
      </c>
      <c r="B15679" t="s">
        <v>1454</v>
      </c>
      <c r="C15679" t="s">
        <v>18758</v>
      </c>
      <c r="D15679" t="s">
        <v>19017</v>
      </c>
      <c r="E15679" t="s">
        <v>32601</v>
      </c>
      <c r="F15679" t="s">
        <v>32831</v>
      </c>
      <c r="G15679" t="s">
        <v>32841</v>
      </c>
      <c r="H15679" t="s">
        <v>32848</v>
      </c>
      <c r="I15679" t="s">
        <v>7751</v>
      </c>
      <c r="J15679" t="s">
        <v>42547</v>
      </c>
      <c r="K15679" t="s">
        <v>42747</v>
      </c>
      <c r="M15679" t="s">
        <v>44546</v>
      </c>
      <c r="N15679" t="s">
        <v>47424</v>
      </c>
      <c r="O15679" t="s">
        <v>47425</v>
      </c>
      <c r="Q15679">
        <v>10</v>
      </c>
      <c r="R15679" t="s">
        <v>47511</v>
      </c>
      <c r="S15679" t="s">
        <v>48958</v>
      </c>
      <c r="T15679" t="s">
        <v>49276</v>
      </c>
      <c r="U15679" t="s">
        <v>62398</v>
      </c>
      <c r="W15679" t="s">
        <v>44546</v>
      </c>
      <c r="X15679" t="s">
        <v>64597</v>
      </c>
    </row>
    <row r="15680" spans="1:24">
      <c r="A15680">
        <f>HYPERLINK("https://www.philgeps.gov.ph/GEPSNONPILOT/Tender/SplashBidNoticeAbstractUI.aspx?menuIndex=3&amp;refID=6923450&amp;Result=3","6923450")</f>
        <v>0</v>
      </c>
      <c r="B15680" t="s">
        <v>3842</v>
      </c>
      <c r="C15680" t="s">
        <v>18759</v>
      </c>
      <c r="D15680" t="s">
        <v>19017</v>
      </c>
      <c r="E15680" t="s">
        <v>32602</v>
      </c>
      <c r="F15680" t="s">
        <v>32831</v>
      </c>
      <c r="G15680" t="s">
        <v>32839</v>
      </c>
      <c r="H15680" t="s">
        <v>32849</v>
      </c>
      <c r="I15680" t="s">
        <v>4177</v>
      </c>
      <c r="J15680" t="s">
        <v>42548</v>
      </c>
      <c r="K15680" t="s">
        <v>42862</v>
      </c>
      <c r="M15680" t="s">
        <v>47267</v>
      </c>
      <c r="N15680" t="s">
        <v>47424</v>
      </c>
      <c r="O15680" t="s">
        <v>47425</v>
      </c>
      <c r="Q15680">
        <v>58</v>
      </c>
      <c r="R15680" t="s">
        <v>47511</v>
      </c>
      <c r="S15680" t="s">
        <v>48959</v>
      </c>
      <c r="T15680" t="s">
        <v>49195</v>
      </c>
      <c r="U15680" t="s">
        <v>62399</v>
      </c>
      <c r="W15680" t="s">
        <v>47267</v>
      </c>
      <c r="X15680" t="s">
        <v>64597</v>
      </c>
    </row>
    <row r="15681" spans="1:24">
      <c r="A15681">
        <f>HYPERLINK("https://www.philgeps.gov.ph/GEPSNONPILOT/Tender/SplashBidNoticeAbstractUI.aspx?menuIndex=3&amp;refID=6916232&amp;Result=3","6916232")</f>
        <v>0</v>
      </c>
      <c r="B15681" t="s">
        <v>3155</v>
      </c>
      <c r="C15681" t="s">
        <v>18760</v>
      </c>
      <c r="D15681" t="s">
        <v>19077</v>
      </c>
      <c r="E15681" t="s">
        <v>32603</v>
      </c>
      <c r="F15681" t="s">
        <v>32831</v>
      </c>
      <c r="G15681" t="s">
        <v>32839</v>
      </c>
      <c r="H15681" t="s">
        <v>32848</v>
      </c>
      <c r="I15681" t="s">
        <v>5667</v>
      </c>
      <c r="J15681" t="s">
        <v>42549</v>
      </c>
      <c r="K15681" t="s">
        <v>42775</v>
      </c>
      <c r="M15681" t="s">
        <v>46458</v>
      </c>
      <c r="N15681" t="s">
        <v>47424</v>
      </c>
      <c r="O15681" t="s">
        <v>47425</v>
      </c>
      <c r="Q15681">
        <v>5</v>
      </c>
      <c r="R15681" t="s">
        <v>47510</v>
      </c>
      <c r="S15681" t="s">
        <v>48259</v>
      </c>
      <c r="T15681" t="s">
        <v>49237</v>
      </c>
      <c r="U15681" t="s">
        <v>62400</v>
      </c>
      <c r="W15681" t="s">
        <v>46458</v>
      </c>
      <c r="X15681" t="s">
        <v>47509</v>
      </c>
    </row>
    <row r="15682" spans="1:24">
      <c r="A15682">
        <f>HYPERLINK("https://www.philgeps.gov.ph/GEPSNONPILOT/Tender/SplashBidNoticeAbstractUI.aspx?menuIndex=3&amp;refID=6924439&amp;Result=3","6924439")</f>
        <v>0</v>
      </c>
      <c r="B15682" t="s">
        <v>3147</v>
      </c>
      <c r="C15682" t="s">
        <v>18761</v>
      </c>
      <c r="D15682" t="s">
        <v>19026</v>
      </c>
      <c r="E15682" t="s">
        <v>32604</v>
      </c>
      <c r="F15682" t="s">
        <v>32831</v>
      </c>
      <c r="G15682" t="s">
        <v>32839</v>
      </c>
      <c r="H15682" t="s">
        <v>32849</v>
      </c>
      <c r="I15682" t="s">
        <v>4177</v>
      </c>
      <c r="J15682" t="s">
        <v>42550</v>
      </c>
      <c r="K15682" t="s">
        <v>42896</v>
      </c>
      <c r="M15682" t="s">
        <v>46447</v>
      </c>
      <c r="N15682" t="s">
        <v>47424</v>
      </c>
      <c r="O15682" t="s">
        <v>47425</v>
      </c>
      <c r="Q15682">
        <v>45</v>
      </c>
      <c r="R15682" t="s">
        <v>47511</v>
      </c>
      <c r="S15682" t="s">
        <v>48960</v>
      </c>
      <c r="T15682" t="s">
        <v>49080</v>
      </c>
      <c r="U15682" t="s">
        <v>62401</v>
      </c>
      <c r="V15682" t="s">
        <v>63017</v>
      </c>
      <c r="W15682" t="s">
        <v>46447</v>
      </c>
      <c r="X15682" t="s">
        <v>64597</v>
      </c>
    </row>
    <row r="15683" spans="1:24">
      <c r="A15683">
        <f>HYPERLINK("https://www.philgeps.gov.ph/GEPSNONPILOT/Tender/SplashBidNoticeAbstractUI.aspx?menuIndex=3&amp;refID=6903317&amp;Result=3","6903317")</f>
        <v>0</v>
      </c>
      <c r="B15683" t="s">
        <v>221</v>
      </c>
      <c r="C15683" t="s">
        <v>18762</v>
      </c>
      <c r="D15683" t="s">
        <v>19022</v>
      </c>
      <c r="E15683" t="s">
        <v>32605</v>
      </c>
      <c r="F15683" t="s">
        <v>32831</v>
      </c>
      <c r="G15683" t="s">
        <v>32845</v>
      </c>
      <c r="H15683" t="s">
        <v>14069</v>
      </c>
      <c r="I15683" t="s">
        <v>14069</v>
      </c>
      <c r="J15683" t="s">
        <v>42387</v>
      </c>
      <c r="K15683" t="s">
        <v>42732</v>
      </c>
      <c r="L15683" t="s">
        <v>221</v>
      </c>
      <c r="M15683" t="s">
        <v>46263</v>
      </c>
      <c r="N15683" t="s">
        <v>47424</v>
      </c>
      <c r="O15683" t="s">
        <v>47425</v>
      </c>
      <c r="Q15683">
        <v>13</v>
      </c>
      <c r="R15683" t="s">
        <v>47511</v>
      </c>
      <c r="S15683" t="s">
        <v>48961</v>
      </c>
      <c r="T15683" t="s">
        <v>49057</v>
      </c>
      <c r="U15683" t="s">
        <v>62402</v>
      </c>
      <c r="W15683" t="s">
        <v>46263</v>
      </c>
      <c r="X15683" t="s">
        <v>64598</v>
      </c>
    </row>
    <row r="15684" spans="1:24">
      <c r="A15684">
        <f>HYPERLINK("https://www.philgeps.gov.ph/GEPSNONPILOT/Tender/SplashBidNoticeAbstractUI.aspx?menuIndex=3&amp;refID=6928194&amp;Result=3","6928194")</f>
        <v>0</v>
      </c>
      <c r="B15684" t="s">
        <v>1881</v>
      </c>
      <c r="C15684" t="s">
        <v>18763</v>
      </c>
      <c r="D15684" t="s">
        <v>19030</v>
      </c>
      <c r="E15684" t="s">
        <v>32606</v>
      </c>
      <c r="F15684" t="s">
        <v>32831</v>
      </c>
      <c r="G15684" t="s">
        <v>32839</v>
      </c>
      <c r="H15684" t="s">
        <v>32848</v>
      </c>
      <c r="I15684" t="s">
        <v>32929</v>
      </c>
      <c r="J15684" t="s">
        <v>42551</v>
      </c>
      <c r="K15684" t="s">
        <v>42786</v>
      </c>
      <c r="M15684" t="s">
        <v>46673</v>
      </c>
      <c r="N15684" t="s">
        <v>47424</v>
      </c>
      <c r="O15684" t="s">
        <v>47425</v>
      </c>
      <c r="Q15684">
        <v>12</v>
      </c>
      <c r="R15684" t="s">
        <v>47512</v>
      </c>
      <c r="S15684" t="s">
        <v>47538</v>
      </c>
      <c r="T15684" t="s">
        <v>49424</v>
      </c>
      <c r="U15684" t="s">
        <v>62403</v>
      </c>
      <c r="W15684" t="s">
        <v>46673</v>
      </c>
      <c r="X15684" t="s">
        <v>47511</v>
      </c>
    </row>
    <row r="15685" spans="1:24">
      <c r="A15685">
        <f>HYPERLINK("https://www.philgeps.gov.ph/GEPSNONPILOT/Tender/SplashBidNoticeAbstractUI.aspx?menuIndex=3&amp;refID=6932514&amp;Result=3","6932514")</f>
        <v>0</v>
      </c>
      <c r="B15685" t="s">
        <v>1454</v>
      </c>
      <c r="C15685" t="s">
        <v>18764</v>
      </c>
      <c r="E15685" t="s">
        <v>32607</v>
      </c>
      <c r="F15685" t="s">
        <v>32831</v>
      </c>
      <c r="G15685" t="s">
        <v>32839</v>
      </c>
      <c r="H15685" t="s">
        <v>32848</v>
      </c>
      <c r="I15685" t="s">
        <v>32937</v>
      </c>
      <c r="J15685" t="s">
        <v>42552</v>
      </c>
      <c r="K15685" t="s">
        <v>42770</v>
      </c>
      <c r="M15685" t="s">
        <v>44546</v>
      </c>
      <c r="N15685" t="s">
        <v>47424</v>
      </c>
      <c r="O15685" t="s">
        <v>47425</v>
      </c>
      <c r="Q15685">
        <v>24</v>
      </c>
      <c r="R15685" t="s">
        <v>47513</v>
      </c>
      <c r="S15685" t="s">
        <v>48962</v>
      </c>
      <c r="T15685" t="s">
        <v>49188</v>
      </c>
      <c r="U15685" t="s">
        <v>62404</v>
      </c>
      <c r="W15685" t="s">
        <v>44546</v>
      </c>
      <c r="X15685" t="s">
        <v>47512</v>
      </c>
    </row>
    <row r="15686" spans="1:24">
      <c r="A15686">
        <f>HYPERLINK("https://www.philgeps.gov.ph/GEPSNONPILOT/Tender/SplashBidNoticeAbstractUI.aspx?menuIndex=3&amp;refID=7075685&amp;Result=3","7075685")</f>
        <v>0</v>
      </c>
      <c r="B15686" t="s">
        <v>3350</v>
      </c>
      <c r="C15686" t="s">
        <v>18765</v>
      </c>
      <c r="D15686" t="s">
        <v>19042</v>
      </c>
      <c r="E15686" t="s">
        <v>32608</v>
      </c>
      <c r="F15686" t="s">
        <v>32831</v>
      </c>
      <c r="G15686" t="s">
        <v>32839</v>
      </c>
      <c r="H15686" t="s">
        <v>32849</v>
      </c>
      <c r="I15686" t="s">
        <v>4177</v>
      </c>
      <c r="J15686" t="s">
        <v>39848</v>
      </c>
      <c r="K15686" t="s">
        <v>42862</v>
      </c>
      <c r="L15686" t="s">
        <v>3350</v>
      </c>
      <c r="M15686" t="s">
        <v>46674</v>
      </c>
      <c r="N15686" t="s">
        <v>47424</v>
      </c>
      <c r="O15686" t="s">
        <v>47425</v>
      </c>
      <c r="Q15686">
        <v>1</v>
      </c>
      <c r="R15686" t="s">
        <v>47466</v>
      </c>
      <c r="S15686" t="s">
        <v>48963</v>
      </c>
      <c r="T15686" t="s">
        <v>49340</v>
      </c>
      <c r="U15686" t="s">
        <v>62405</v>
      </c>
      <c r="V15686" t="s">
        <v>64403</v>
      </c>
      <c r="W15686" t="s">
        <v>46674</v>
      </c>
      <c r="X15686" t="s">
        <v>47470</v>
      </c>
    </row>
    <row r="15687" spans="1:24">
      <c r="A15687">
        <f>HYPERLINK("https://www.philgeps.gov.ph/GEPSNONPILOT/Tender/SplashBidNoticeAbstractUI.aspx?menuIndex=3&amp;refID=7084243&amp;Result=3","7084243")</f>
        <v>0</v>
      </c>
      <c r="B15687" t="s">
        <v>884</v>
      </c>
      <c r="C15687" t="s">
        <v>18766</v>
      </c>
      <c r="E15687" t="s">
        <v>32609</v>
      </c>
      <c r="F15687" t="s">
        <v>32831</v>
      </c>
      <c r="G15687" t="s">
        <v>32839</v>
      </c>
      <c r="H15687" t="s">
        <v>32848</v>
      </c>
      <c r="I15687" t="s">
        <v>4177</v>
      </c>
      <c r="J15687" t="s">
        <v>42553</v>
      </c>
      <c r="K15687" t="s">
        <v>42732</v>
      </c>
      <c r="M15687" t="s">
        <v>47270</v>
      </c>
      <c r="N15687" t="s">
        <v>47424</v>
      </c>
      <c r="O15687" t="s">
        <v>47425</v>
      </c>
      <c r="Q15687">
        <v>22</v>
      </c>
      <c r="R15687" t="s">
        <v>47461</v>
      </c>
      <c r="S15687" t="s">
        <v>48964</v>
      </c>
      <c r="T15687" t="s">
        <v>49620</v>
      </c>
      <c r="U15687" t="s">
        <v>62406</v>
      </c>
      <c r="W15687" t="s">
        <v>47270</v>
      </c>
      <c r="X15687" t="s">
        <v>47465</v>
      </c>
    </row>
    <row r="15688" spans="1:24">
      <c r="A15688">
        <f>HYPERLINK("https://www.philgeps.gov.ph/GEPSNONPILOT/Tender/SplashBidNoticeAbstractUI.aspx?menuIndex=3&amp;refID=7083927&amp;Result=3","7083927")</f>
        <v>0</v>
      </c>
      <c r="B15688" t="s">
        <v>955</v>
      </c>
      <c r="C15688" t="s">
        <v>18767</v>
      </c>
      <c r="D15688" t="s">
        <v>19017</v>
      </c>
      <c r="E15688" t="s">
        <v>32610</v>
      </c>
      <c r="F15688" t="s">
        <v>32831</v>
      </c>
      <c r="G15688" t="s">
        <v>32839</v>
      </c>
      <c r="H15688" t="s">
        <v>32848</v>
      </c>
      <c r="I15688" t="s">
        <v>7751</v>
      </c>
      <c r="J15688" t="s">
        <v>42554</v>
      </c>
      <c r="K15688" t="s">
        <v>42730</v>
      </c>
      <c r="M15688" t="s">
        <v>44001</v>
      </c>
      <c r="N15688" t="s">
        <v>47424</v>
      </c>
      <c r="O15688" t="s">
        <v>47425</v>
      </c>
      <c r="Q15688">
        <v>10</v>
      </c>
      <c r="R15688" t="s">
        <v>47461</v>
      </c>
      <c r="S15688" t="s">
        <v>48965</v>
      </c>
      <c r="T15688" t="s">
        <v>49319</v>
      </c>
      <c r="U15688" t="s">
        <v>62407</v>
      </c>
      <c r="V15688" t="s">
        <v>64404</v>
      </c>
      <c r="W15688" t="s">
        <v>44001</v>
      </c>
      <c r="X15688" t="s">
        <v>47465</v>
      </c>
    </row>
    <row r="15689" spans="1:24">
      <c r="A15689">
        <f>HYPERLINK("https://www.philgeps.gov.ph/GEPSNONPILOT/Tender/SplashBidNoticeAbstractUI.aspx?menuIndex=3&amp;refID=6910981&amp;Result=3","6910981")</f>
        <v>0</v>
      </c>
      <c r="B15689" t="s">
        <v>1454</v>
      </c>
      <c r="C15689" t="s">
        <v>18768</v>
      </c>
      <c r="D15689" t="s">
        <v>19017</v>
      </c>
      <c r="E15689" t="s">
        <v>32611</v>
      </c>
      <c r="F15689" t="s">
        <v>32831</v>
      </c>
      <c r="G15689" t="s">
        <v>32839</v>
      </c>
      <c r="H15689" t="s">
        <v>32848</v>
      </c>
      <c r="I15689" t="s">
        <v>32921</v>
      </c>
      <c r="J15689" t="s">
        <v>42555</v>
      </c>
      <c r="K15689" t="s">
        <v>42775</v>
      </c>
      <c r="M15689" t="s">
        <v>44546</v>
      </c>
      <c r="N15689" t="s">
        <v>47424</v>
      </c>
      <c r="O15689" t="s">
        <v>47425</v>
      </c>
      <c r="Q15689">
        <v>9</v>
      </c>
      <c r="R15689" t="s">
        <v>47510</v>
      </c>
      <c r="S15689" t="s">
        <v>48117</v>
      </c>
      <c r="T15689" t="s">
        <v>49244</v>
      </c>
      <c r="U15689" t="s">
        <v>62408</v>
      </c>
      <c r="W15689" t="s">
        <v>44546</v>
      </c>
      <c r="X15689" t="s">
        <v>47529</v>
      </c>
    </row>
    <row r="15690" spans="1:24">
      <c r="A15690">
        <f>HYPERLINK("https://www.philgeps.gov.ph/GEPSNONPILOT/Tender/SplashBidNoticeAbstractUI.aspx?menuIndex=3&amp;refID=6932470&amp;Result=3","6932470")</f>
        <v>0</v>
      </c>
      <c r="B15690" t="s">
        <v>3187</v>
      </c>
      <c r="C15690" t="s">
        <v>18769</v>
      </c>
      <c r="D15690" t="s">
        <v>19017</v>
      </c>
      <c r="E15690" t="s">
        <v>32612</v>
      </c>
      <c r="F15690" t="s">
        <v>32831</v>
      </c>
      <c r="G15690" t="s">
        <v>32839</v>
      </c>
      <c r="H15690" t="s">
        <v>32848</v>
      </c>
      <c r="I15690" t="s">
        <v>4438</v>
      </c>
      <c r="J15690" t="s">
        <v>42556</v>
      </c>
      <c r="K15690" t="s">
        <v>42732</v>
      </c>
      <c r="M15690" t="s">
        <v>46496</v>
      </c>
      <c r="N15690" t="s">
        <v>47424</v>
      </c>
      <c r="O15690" t="s">
        <v>47425</v>
      </c>
      <c r="Q15690">
        <v>13</v>
      </c>
      <c r="R15690" t="s">
        <v>47513</v>
      </c>
      <c r="S15690" t="s">
        <v>48966</v>
      </c>
      <c r="T15690" t="s">
        <v>49138</v>
      </c>
      <c r="U15690" t="s">
        <v>62409</v>
      </c>
      <c r="W15690" t="s">
        <v>46496</v>
      </c>
      <c r="X15690" t="s">
        <v>47512</v>
      </c>
    </row>
    <row r="15691" spans="1:24">
      <c r="A15691">
        <f>HYPERLINK("https://www.philgeps.gov.ph/GEPSNONPILOT/Tender/SplashBidNoticeAbstractUI.aspx?menuIndex=3&amp;refID=7083608&amp;Result=3","7083608")</f>
        <v>0</v>
      </c>
      <c r="B15691" t="s">
        <v>689</v>
      </c>
      <c r="C15691" t="s">
        <v>18770</v>
      </c>
      <c r="E15691" t="s">
        <v>32613</v>
      </c>
      <c r="F15691" t="s">
        <v>32831</v>
      </c>
      <c r="G15691" t="s">
        <v>32839</v>
      </c>
      <c r="H15691" t="s">
        <v>32848</v>
      </c>
      <c r="I15691" t="s">
        <v>32867</v>
      </c>
      <c r="J15691" t="s">
        <v>42557</v>
      </c>
      <c r="K15691" t="s">
        <v>42732</v>
      </c>
      <c r="M15691" t="s">
        <v>45151</v>
      </c>
      <c r="N15691" t="s">
        <v>47424</v>
      </c>
      <c r="O15691" t="s">
        <v>47425</v>
      </c>
      <c r="Q15691">
        <v>25</v>
      </c>
      <c r="R15691" t="s">
        <v>47461</v>
      </c>
      <c r="S15691" t="s">
        <v>48967</v>
      </c>
      <c r="T15691" t="s">
        <v>49129</v>
      </c>
      <c r="U15691" t="s">
        <v>62410</v>
      </c>
      <c r="V15691" t="s">
        <v>64405</v>
      </c>
      <c r="W15691" t="s">
        <v>45151</v>
      </c>
      <c r="X15691" t="s">
        <v>47465</v>
      </c>
    </row>
    <row r="15692" spans="1:24">
      <c r="A15692">
        <f>HYPERLINK("https://www.philgeps.gov.ph/GEPSNONPILOT/Tender/SplashBidNoticeAbstractUI.aspx?menuIndex=3&amp;refID=7082798&amp;Result=3","7082798")</f>
        <v>0</v>
      </c>
      <c r="B15692" t="s">
        <v>1891</v>
      </c>
      <c r="C15692" t="s">
        <v>18771</v>
      </c>
      <c r="D15692" t="s">
        <v>19017</v>
      </c>
      <c r="E15692" t="s">
        <v>32614</v>
      </c>
      <c r="F15692" t="s">
        <v>32831</v>
      </c>
      <c r="G15692" t="s">
        <v>32838</v>
      </c>
      <c r="H15692" t="s">
        <v>32848</v>
      </c>
      <c r="I15692" t="s">
        <v>10805</v>
      </c>
      <c r="J15692" t="s">
        <v>42558</v>
      </c>
      <c r="K15692" t="s">
        <v>42732</v>
      </c>
      <c r="M15692" t="s">
        <v>45037</v>
      </c>
      <c r="N15692" t="s">
        <v>47424</v>
      </c>
      <c r="O15692" t="s">
        <v>47425</v>
      </c>
      <c r="Q15692">
        <v>6</v>
      </c>
      <c r="R15692" t="s">
        <v>47461</v>
      </c>
      <c r="S15692" t="s">
        <v>47935</v>
      </c>
      <c r="T15692" t="s">
        <v>49100</v>
      </c>
      <c r="U15692" t="s">
        <v>62411</v>
      </c>
      <c r="W15692" t="s">
        <v>45037</v>
      </c>
      <c r="X15692" t="s">
        <v>47465</v>
      </c>
    </row>
    <row r="15693" spans="1:24">
      <c r="A15693">
        <f>HYPERLINK("https://www.philgeps.gov.ph/GEPSNONPILOT/Tender/SplashBidNoticeAbstractUI.aspx?menuIndex=3&amp;refID=6932115&amp;Result=3","6932115")</f>
        <v>0</v>
      </c>
      <c r="B15693" t="s">
        <v>3913</v>
      </c>
      <c r="C15693" t="s">
        <v>18772</v>
      </c>
      <c r="D15693" t="s">
        <v>19056</v>
      </c>
      <c r="E15693" t="s">
        <v>32615</v>
      </c>
      <c r="F15693" t="s">
        <v>32831</v>
      </c>
      <c r="G15693" t="s">
        <v>32839</v>
      </c>
      <c r="H15693" t="s">
        <v>32849</v>
      </c>
      <c r="I15693" t="s">
        <v>4177</v>
      </c>
      <c r="J15693" t="s">
        <v>34926</v>
      </c>
      <c r="K15693" t="s">
        <v>42780</v>
      </c>
      <c r="M15693" t="s">
        <v>47395</v>
      </c>
      <c r="N15693" t="s">
        <v>47424</v>
      </c>
      <c r="O15693" t="s">
        <v>47425</v>
      </c>
      <c r="Q15693">
        <v>12</v>
      </c>
      <c r="R15693" t="s">
        <v>47513</v>
      </c>
      <c r="S15693" t="s">
        <v>48968</v>
      </c>
      <c r="T15693" t="s">
        <v>49111</v>
      </c>
      <c r="U15693" t="s">
        <v>62412</v>
      </c>
      <c r="W15693" t="s">
        <v>47395</v>
      </c>
      <c r="X15693" t="s">
        <v>47512</v>
      </c>
    </row>
    <row r="15694" spans="1:24">
      <c r="A15694">
        <f>HYPERLINK("https://www.philgeps.gov.ph/GEPSNONPILOT/Tender/SplashBidNoticeAbstractUI.aspx?menuIndex=3&amp;refID=7089602&amp;Result=3","7089602")</f>
        <v>0</v>
      </c>
      <c r="B15694" t="s">
        <v>3894</v>
      </c>
      <c r="C15694" t="s">
        <v>18773</v>
      </c>
      <c r="E15694" t="s">
        <v>32616</v>
      </c>
      <c r="F15694" t="s">
        <v>32831</v>
      </c>
      <c r="G15694" t="s">
        <v>32839</v>
      </c>
      <c r="H15694" t="s">
        <v>32848</v>
      </c>
      <c r="I15694" t="s">
        <v>32883</v>
      </c>
      <c r="J15694" t="s">
        <v>40589</v>
      </c>
      <c r="K15694" t="s">
        <v>42730</v>
      </c>
      <c r="M15694" t="s">
        <v>47361</v>
      </c>
      <c r="N15694" t="s">
        <v>47424</v>
      </c>
      <c r="O15694" t="s">
        <v>47425</v>
      </c>
      <c r="Q15694">
        <v>6</v>
      </c>
      <c r="R15694" t="s">
        <v>47458</v>
      </c>
      <c r="S15694" t="s">
        <v>48969</v>
      </c>
      <c r="T15694" t="s">
        <v>49105</v>
      </c>
      <c r="U15694" t="s">
        <v>62413</v>
      </c>
      <c r="W15694" t="s">
        <v>47361</v>
      </c>
      <c r="X15694" t="s">
        <v>47463</v>
      </c>
    </row>
    <row r="15695" spans="1:24">
      <c r="A15695">
        <f>HYPERLINK("https://www.philgeps.gov.ph/GEPSNONPILOT/Tender/SplashBidNoticeAbstractUI.aspx?menuIndex=3&amp;refID=7109822&amp;Result=3","7109822")</f>
        <v>0</v>
      </c>
      <c r="B15695" t="s">
        <v>2895</v>
      </c>
      <c r="C15695" t="s">
        <v>18774</v>
      </c>
      <c r="D15695" t="s">
        <v>19019</v>
      </c>
      <c r="E15695" t="s">
        <v>32617</v>
      </c>
      <c r="F15695" t="s">
        <v>32831</v>
      </c>
      <c r="G15695" t="s">
        <v>32841</v>
      </c>
      <c r="H15695" t="s">
        <v>32848</v>
      </c>
      <c r="I15695" t="s">
        <v>32863</v>
      </c>
      <c r="J15695" t="s">
        <v>42559</v>
      </c>
      <c r="K15695" t="s">
        <v>42729</v>
      </c>
      <c r="M15695" t="s">
        <v>47396</v>
      </c>
      <c r="N15695" t="s">
        <v>47424</v>
      </c>
      <c r="O15695" t="s">
        <v>47425</v>
      </c>
      <c r="Q15695">
        <v>4</v>
      </c>
      <c r="R15695" t="s">
        <v>47453</v>
      </c>
      <c r="S15695" t="s">
        <v>48970</v>
      </c>
      <c r="T15695" t="s">
        <v>49106</v>
      </c>
      <c r="U15695" t="s">
        <v>62414</v>
      </c>
      <c r="W15695" t="s">
        <v>47396</v>
      </c>
      <c r="X15695" t="s">
        <v>47454</v>
      </c>
    </row>
    <row r="15696" spans="1:24">
      <c r="A15696">
        <f>HYPERLINK("https://www.philgeps.gov.ph/GEPSNONPILOT/Tender/SplashBidNoticeAbstractUI.aspx?menuIndex=3&amp;refID=7109820&amp;Result=3","7109820")</f>
        <v>0</v>
      </c>
      <c r="B15696" t="s">
        <v>3598</v>
      </c>
      <c r="C15696" t="s">
        <v>18775</v>
      </c>
      <c r="D15696" t="s">
        <v>19077</v>
      </c>
      <c r="E15696" t="s">
        <v>32618</v>
      </c>
      <c r="F15696" t="s">
        <v>32831</v>
      </c>
      <c r="G15696" t="s">
        <v>32839</v>
      </c>
      <c r="H15696" t="s">
        <v>32849</v>
      </c>
      <c r="I15696" t="s">
        <v>4177</v>
      </c>
      <c r="J15696" t="s">
        <v>42560</v>
      </c>
      <c r="K15696" t="s">
        <v>42770</v>
      </c>
      <c r="M15696" t="s">
        <v>46962</v>
      </c>
      <c r="N15696" t="s">
        <v>47424</v>
      </c>
      <c r="O15696" t="s">
        <v>47425</v>
      </c>
      <c r="P15696">
        <v>0</v>
      </c>
      <c r="Q15696">
        <v>0</v>
      </c>
      <c r="R15696" t="s">
        <v>47453</v>
      </c>
      <c r="S15696" t="s">
        <v>48700</v>
      </c>
      <c r="T15696" t="s">
        <v>49122</v>
      </c>
      <c r="U15696" t="s">
        <v>62415</v>
      </c>
      <c r="W15696" t="s">
        <v>46962</v>
      </c>
      <c r="X15696" t="s">
        <v>47454</v>
      </c>
    </row>
    <row r="15697" spans="1:24">
      <c r="A15697">
        <f>HYPERLINK("https://www.philgeps.gov.ph/GEPSNONPILOT/Tender/SplashBidNoticeAbstractUI.aspx?menuIndex=3&amp;refID=7109810&amp;Result=3","7109810")</f>
        <v>0</v>
      </c>
      <c r="B15697" t="s">
        <v>3143</v>
      </c>
      <c r="C15697" t="s">
        <v>18776</v>
      </c>
      <c r="D15697" t="s">
        <v>19047</v>
      </c>
      <c r="E15697" t="s">
        <v>32619</v>
      </c>
      <c r="F15697" t="s">
        <v>32831</v>
      </c>
      <c r="G15697" t="s">
        <v>32839</v>
      </c>
      <c r="H15697" t="s">
        <v>14069</v>
      </c>
      <c r="I15697" t="s">
        <v>14069</v>
      </c>
      <c r="J15697" t="s">
        <v>42561</v>
      </c>
      <c r="K15697" t="s">
        <v>42786</v>
      </c>
      <c r="M15697" t="s">
        <v>46440</v>
      </c>
      <c r="N15697" t="s">
        <v>47424</v>
      </c>
      <c r="O15697" t="s">
        <v>47425</v>
      </c>
      <c r="P15697">
        <v>0</v>
      </c>
      <c r="Q15697">
        <v>12</v>
      </c>
      <c r="R15697" t="s">
        <v>47453</v>
      </c>
      <c r="S15697" t="s">
        <v>48700</v>
      </c>
      <c r="T15697" t="s">
        <v>49111</v>
      </c>
      <c r="U15697" t="s">
        <v>62416</v>
      </c>
      <c r="W15697" t="s">
        <v>46440</v>
      </c>
      <c r="X15697" t="s">
        <v>47454</v>
      </c>
    </row>
    <row r="15698" spans="1:24">
      <c r="A15698">
        <f>HYPERLINK("https://www.philgeps.gov.ph/GEPSNONPILOT/Tender/SplashBidNoticeAbstractUI.aspx?menuIndex=3&amp;refID=7109814&amp;Result=3","7109814")</f>
        <v>0</v>
      </c>
      <c r="B15698" t="s">
        <v>3598</v>
      </c>
      <c r="C15698" t="s">
        <v>18777</v>
      </c>
      <c r="D15698" t="s">
        <v>19077</v>
      </c>
      <c r="E15698" t="s">
        <v>32620</v>
      </c>
      <c r="F15698" t="s">
        <v>32831</v>
      </c>
      <c r="G15698" t="s">
        <v>32839</v>
      </c>
      <c r="H15698" t="s">
        <v>32849</v>
      </c>
      <c r="I15698" t="s">
        <v>4177</v>
      </c>
      <c r="J15698" t="s">
        <v>42562</v>
      </c>
      <c r="K15698" t="s">
        <v>42964</v>
      </c>
      <c r="M15698" t="s">
        <v>46962</v>
      </c>
      <c r="N15698" t="s">
        <v>47424</v>
      </c>
      <c r="O15698" t="s">
        <v>47425</v>
      </c>
      <c r="P15698">
        <v>0</v>
      </c>
      <c r="Q15698">
        <v>1</v>
      </c>
      <c r="R15698" t="s">
        <v>47453</v>
      </c>
      <c r="S15698" t="s">
        <v>48700</v>
      </c>
      <c r="T15698" t="s">
        <v>49122</v>
      </c>
      <c r="U15698" t="s">
        <v>62417</v>
      </c>
      <c r="W15698" t="s">
        <v>46962</v>
      </c>
      <c r="X15698" t="s">
        <v>47454</v>
      </c>
    </row>
    <row r="15699" spans="1:24">
      <c r="A15699">
        <f>HYPERLINK("https://www.philgeps.gov.ph/GEPSNONPILOT/Tender/SplashBidNoticeAbstractUI.aspx?menuIndex=3&amp;refID=7109765&amp;Result=3","7109765")</f>
        <v>0</v>
      </c>
      <c r="B15699" t="s">
        <v>3598</v>
      </c>
      <c r="C15699" t="s">
        <v>18778</v>
      </c>
      <c r="D15699" t="s">
        <v>19077</v>
      </c>
      <c r="E15699" t="s">
        <v>32621</v>
      </c>
      <c r="F15699" t="s">
        <v>32831</v>
      </c>
      <c r="G15699" t="s">
        <v>32839</v>
      </c>
      <c r="H15699" t="s">
        <v>32849</v>
      </c>
      <c r="I15699" t="s">
        <v>4177</v>
      </c>
      <c r="J15699" t="s">
        <v>42563</v>
      </c>
      <c r="K15699" t="s">
        <v>42868</v>
      </c>
      <c r="M15699" t="s">
        <v>46962</v>
      </c>
      <c r="N15699" t="s">
        <v>47424</v>
      </c>
      <c r="O15699" t="s">
        <v>47425</v>
      </c>
      <c r="P15699">
        <v>0</v>
      </c>
      <c r="Q15699">
        <v>0</v>
      </c>
      <c r="R15699" t="s">
        <v>47453</v>
      </c>
      <c r="S15699" t="s">
        <v>48700</v>
      </c>
      <c r="T15699" t="s">
        <v>49122</v>
      </c>
      <c r="U15699" t="s">
        <v>62418</v>
      </c>
      <c r="W15699" t="s">
        <v>46962</v>
      </c>
      <c r="X15699" t="s">
        <v>47454</v>
      </c>
    </row>
    <row r="15700" spans="1:24">
      <c r="A15700">
        <f>HYPERLINK("https://www.philgeps.gov.ph/GEPSNONPILOT/Tender/SplashBidNoticeAbstractUI.aspx?menuIndex=3&amp;refID=7083689&amp;Result=3","7083689")</f>
        <v>0</v>
      </c>
      <c r="B15700" t="s">
        <v>3112</v>
      </c>
      <c r="C15700" t="s">
        <v>18779</v>
      </c>
      <c r="E15700" t="s">
        <v>32622</v>
      </c>
      <c r="F15700" t="s">
        <v>32831</v>
      </c>
      <c r="G15700" t="s">
        <v>32839</v>
      </c>
      <c r="H15700" t="s">
        <v>32849</v>
      </c>
      <c r="I15700" t="s">
        <v>4177</v>
      </c>
      <c r="J15700" t="s">
        <v>42564</v>
      </c>
      <c r="K15700" t="s">
        <v>42732</v>
      </c>
      <c r="M15700" t="s">
        <v>46400</v>
      </c>
      <c r="N15700" t="s">
        <v>47424</v>
      </c>
      <c r="O15700" t="s">
        <v>47425</v>
      </c>
      <c r="Q15700">
        <v>25</v>
      </c>
      <c r="R15700" t="s">
        <v>47461</v>
      </c>
      <c r="S15700" t="s">
        <v>48971</v>
      </c>
      <c r="T15700" t="s">
        <v>49106</v>
      </c>
      <c r="U15700" t="s">
        <v>62419</v>
      </c>
      <c r="W15700" t="s">
        <v>64535</v>
      </c>
      <c r="X15700" t="s">
        <v>47465</v>
      </c>
    </row>
    <row r="15701" spans="1:24">
      <c r="A15701">
        <f>HYPERLINK("https://www.philgeps.gov.ph/GEPSNONPILOT/Tender/SplashBidNoticeAbstractUI.aspx?menuIndex=3&amp;refID=6916255&amp;Result=3","6916255")</f>
        <v>0</v>
      </c>
      <c r="B15701" t="s">
        <v>689</v>
      </c>
      <c r="C15701" t="s">
        <v>18780</v>
      </c>
      <c r="E15701" t="s">
        <v>32623</v>
      </c>
      <c r="F15701" t="s">
        <v>32831</v>
      </c>
      <c r="G15701" t="s">
        <v>32839</v>
      </c>
      <c r="H15701" t="s">
        <v>32848</v>
      </c>
      <c r="I15701" t="s">
        <v>4776</v>
      </c>
      <c r="J15701" t="s">
        <v>42565</v>
      </c>
      <c r="K15701" t="s">
        <v>42732</v>
      </c>
      <c r="M15701" t="s">
        <v>45151</v>
      </c>
      <c r="N15701" t="s">
        <v>47424</v>
      </c>
      <c r="O15701" t="s">
        <v>47425</v>
      </c>
      <c r="Q15701">
        <v>25</v>
      </c>
      <c r="R15701" t="s">
        <v>47510</v>
      </c>
      <c r="S15701" t="s">
        <v>48972</v>
      </c>
      <c r="T15701" t="s">
        <v>49129</v>
      </c>
      <c r="U15701" t="s">
        <v>62420</v>
      </c>
      <c r="V15701" t="s">
        <v>64406</v>
      </c>
      <c r="W15701" t="s">
        <v>45151</v>
      </c>
      <c r="X15701" t="s">
        <v>47509</v>
      </c>
    </row>
    <row r="15702" spans="1:24">
      <c r="A15702">
        <f>HYPERLINK("https://www.philgeps.gov.ph/GEPSNONPILOT/Tender/SplashBidNoticeAbstractUI.aspx?menuIndex=3&amp;refID=7109753&amp;Result=3","7109753")</f>
        <v>0</v>
      </c>
      <c r="B15702" t="s">
        <v>3598</v>
      </c>
      <c r="C15702" t="s">
        <v>18781</v>
      </c>
      <c r="D15702" t="s">
        <v>19077</v>
      </c>
      <c r="E15702" t="s">
        <v>32624</v>
      </c>
      <c r="F15702" t="s">
        <v>32831</v>
      </c>
      <c r="G15702" t="s">
        <v>32839</v>
      </c>
      <c r="H15702" t="s">
        <v>32849</v>
      </c>
      <c r="I15702" t="s">
        <v>4177</v>
      </c>
      <c r="J15702" t="s">
        <v>42566</v>
      </c>
      <c r="K15702" t="s">
        <v>42757</v>
      </c>
      <c r="M15702" t="s">
        <v>46962</v>
      </c>
      <c r="N15702" t="s">
        <v>47424</v>
      </c>
      <c r="O15702" t="s">
        <v>47425</v>
      </c>
      <c r="P15702">
        <v>0</v>
      </c>
      <c r="Q15702">
        <v>1</v>
      </c>
      <c r="R15702" t="s">
        <v>47453</v>
      </c>
      <c r="S15702" t="s">
        <v>48700</v>
      </c>
      <c r="T15702" t="s">
        <v>49122</v>
      </c>
      <c r="U15702" t="s">
        <v>62421</v>
      </c>
      <c r="W15702" t="s">
        <v>46962</v>
      </c>
      <c r="X15702" t="s">
        <v>47454</v>
      </c>
    </row>
    <row r="15703" spans="1:24">
      <c r="A15703">
        <f>HYPERLINK("https://www.philgeps.gov.ph/GEPSNONPILOT/Tender/SplashBidNoticeAbstractUI.aspx?menuIndex=3&amp;refID=7109816&amp;Result=3","7109816")</f>
        <v>0</v>
      </c>
      <c r="B15703" t="s">
        <v>584</v>
      </c>
      <c r="C15703" t="s">
        <v>18782</v>
      </c>
      <c r="E15703" t="s">
        <v>32625</v>
      </c>
      <c r="F15703" t="s">
        <v>32831</v>
      </c>
      <c r="G15703" t="s">
        <v>32839</v>
      </c>
      <c r="H15703" t="s">
        <v>32848</v>
      </c>
      <c r="I15703" t="s">
        <v>32869</v>
      </c>
      <c r="J15703" t="s">
        <v>42567</v>
      </c>
      <c r="K15703" t="s">
        <v>42763</v>
      </c>
      <c r="M15703" t="s">
        <v>47397</v>
      </c>
      <c r="N15703" t="s">
        <v>47424</v>
      </c>
      <c r="O15703" t="s">
        <v>47425</v>
      </c>
      <c r="Q15703">
        <v>22</v>
      </c>
      <c r="R15703" t="s">
        <v>47453</v>
      </c>
      <c r="S15703" t="s">
        <v>48973</v>
      </c>
      <c r="T15703" t="s">
        <v>49166</v>
      </c>
      <c r="U15703" t="s">
        <v>62422</v>
      </c>
      <c r="W15703" t="s">
        <v>47397</v>
      </c>
      <c r="X15703" t="s">
        <v>47454</v>
      </c>
    </row>
    <row r="15704" spans="1:24">
      <c r="A15704">
        <f>HYPERLINK("https://www.philgeps.gov.ph/GEPSNONPILOT/Tender/SplashBidNoticeAbstractUI.aspx?menuIndex=3&amp;refID=7111158&amp;Result=3","7111158")</f>
        <v>0</v>
      </c>
      <c r="B15704" t="s">
        <v>3449</v>
      </c>
      <c r="C15704" t="s">
        <v>18783</v>
      </c>
      <c r="D15704" t="s">
        <v>19049</v>
      </c>
      <c r="E15704" t="s">
        <v>32626</v>
      </c>
      <c r="F15704" t="s">
        <v>32831</v>
      </c>
      <c r="G15704" t="s">
        <v>32841</v>
      </c>
      <c r="H15704" t="s">
        <v>32848</v>
      </c>
      <c r="I15704" t="s">
        <v>32945</v>
      </c>
      <c r="J15704" t="s">
        <v>36333</v>
      </c>
      <c r="K15704" t="s">
        <v>42729</v>
      </c>
      <c r="M15704" t="s">
        <v>46789</v>
      </c>
      <c r="N15704" t="s">
        <v>47424</v>
      </c>
      <c r="O15704" t="s">
        <v>47425</v>
      </c>
      <c r="Q15704">
        <v>3</v>
      </c>
      <c r="R15704" t="s">
        <v>47452</v>
      </c>
      <c r="S15704" t="s">
        <v>48974</v>
      </c>
      <c r="T15704" t="s">
        <v>49237</v>
      </c>
      <c r="U15704" t="s">
        <v>62423</v>
      </c>
      <c r="V15704" t="s">
        <v>63921</v>
      </c>
      <c r="W15704" t="s">
        <v>46789</v>
      </c>
      <c r="X15704" t="s">
        <v>47453</v>
      </c>
    </row>
    <row r="15705" spans="1:24">
      <c r="A15705">
        <f>HYPERLINK("https://www.philgeps.gov.ph/GEPSNONPILOT/Tender/SplashBidNoticeAbstractUI.aspx?menuIndex=3&amp;refID=7111092&amp;Result=3","7111092")</f>
        <v>0</v>
      </c>
      <c r="B15705" t="s">
        <v>650</v>
      </c>
      <c r="C15705" t="s">
        <v>18784</v>
      </c>
      <c r="D15705" t="s">
        <v>19017</v>
      </c>
      <c r="E15705" t="s">
        <v>32627</v>
      </c>
      <c r="F15705" t="s">
        <v>32831</v>
      </c>
      <c r="G15705" t="s">
        <v>32838</v>
      </c>
      <c r="H15705" t="s">
        <v>32848</v>
      </c>
      <c r="I15705" t="s">
        <v>4558</v>
      </c>
      <c r="J15705" t="s">
        <v>42568</v>
      </c>
      <c r="K15705" t="s">
        <v>42726</v>
      </c>
      <c r="M15705" t="s">
        <v>43668</v>
      </c>
      <c r="N15705" t="s">
        <v>47424</v>
      </c>
      <c r="O15705" t="s">
        <v>47425</v>
      </c>
      <c r="Q15705">
        <v>3</v>
      </c>
      <c r="R15705" t="s">
        <v>47452</v>
      </c>
      <c r="S15705" t="s">
        <v>48975</v>
      </c>
      <c r="T15705" t="s">
        <v>49119</v>
      </c>
      <c r="U15705" t="s">
        <v>62424</v>
      </c>
      <c r="V15705" t="s">
        <v>62774</v>
      </c>
      <c r="W15705" t="s">
        <v>43668</v>
      </c>
      <c r="X15705" t="s">
        <v>47453</v>
      </c>
    </row>
    <row r="15706" spans="1:24">
      <c r="A15706">
        <f>HYPERLINK("https://www.philgeps.gov.ph/GEPSNONPILOT/Tender/SplashBidNoticeAbstractUI.aspx?menuIndex=3&amp;refID=6910808&amp;Result=3","6910808")</f>
        <v>0</v>
      </c>
      <c r="B15706" t="s">
        <v>3147</v>
      </c>
      <c r="C15706" t="s">
        <v>18785</v>
      </c>
      <c r="D15706" t="s">
        <v>19026</v>
      </c>
      <c r="E15706" t="s">
        <v>32628</v>
      </c>
      <c r="F15706" t="s">
        <v>32831</v>
      </c>
      <c r="G15706" t="s">
        <v>32839</v>
      </c>
      <c r="H15706" t="s">
        <v>32849</v>
      </c>
      <c r="I15706" t="s">
        <v>4177</v>
      </c>
      <c r="J15706" t="s">
        <v>42569</v>
      </c>
      <c r="K15706" t="s">
        <v>42983</v>
      </c>
      <c r="M15706" t="s">
        <v>46447</v>
      </c>
      <c r="N15706" t="s">
        <v>47424</v>
      </c>
      <c r="O15706" t="s">
        <v>47425</v>
      </c>
      <c r="Q15706">
        <v>75</v>
      </c>
      <c r="R15706" t="s">
        <v>47509</v>
      </c>
      <c r="S15706" t="s">
        <v>48976</v>
      </c>
      <c r="T15706" t="s">
        <v>49080</v>
      </c>
      <c r="U15706" t="s">
        <v>62425</v>
      </c>
      <c r="V15706" t="s">
        <v>63017</v>
      </c>
      <c r="W15706" t="s">
        <v>46447</v>
      </c>
      <c r="X15706" t="s">
        <v>47529</v>
      </c>
    </row>
    <row r="15707" spans="1:24">
      <c r="A15707">
        <f>HYPERLINK("https://www.philgeps.gov.ph/GEPSNONPILOT/Tender/SplashBidNoticeAbstractUI.aspx?menuIndex=3&amp;refID=7112191&amp;Result=3","7112191")</f>
        <v>0</v>
      </c>
      <c r="B15707" t="s">
        <v>285</v>
      </c>
      <c r="C15707" t="s">
        <v>18786</v>
      </c>
      <c r="D15707" t="s">
        <v>19038</v>
      </c>
      <c r="E15707" t="s">
        <v>32629</v>
      </c>
      <c r="F15707" t="s">
        <v>32831</v>
      </c>
      <c r="G15707" t="s">
        <v>32839</v>
      </c>
      <c r="H15707" t="s">
        <v>32848</v>
      </c>
      <c r="I15707" t="s">
        <v>32857</v>
      </c>
      <c r="J15707" t="s">
        <v>42570</v>
      </c>
      <c r="K15707" t="s">
        <v>42732</v>
      </c>
      <c r="M15707" t="s">
        <v>43284</v>
      </c>
      <c r="N15707" t="s">
        <v>47424</v>
      </c>
      <c r="O15707" t="s">
        <v>47425</v>
      </c>
      <c r="Q15707">
        <v>3</v>
      </c>
      <c r="R15707" t="s">
        <v>47452</v>
      </c>
      <c r="S15707" t="s">
        <v>48977</v>
      </c>
      <c r="T15707" t="s">
        <v>49237</v>
      </c>
      <c r="U15707" t="s">
        <v>62426</v>
      </c>
      <c r="W15707" t="s">
        <v>43284</v>
      </c>
      <c r="X15707" t="s">
        <v>47453</v>
      </c>
    </row>
    <row r="15708" spans="1:24">
      <c r="A15708">
        <f>HYPERLINK("https://www.philgeps.gov.ph/GEPSNONPILOT/Tender/SplashBidNoticeAbstractUI.aspx?menuIndex=3&amp;refID=7110995&amp;Result=3","7110995")</f>
        <v>0</v>
      </c>
      <c r="B15708" t="s">
        <v>650</v>
      </c>
      <c r="C15708" t="s">
        <v>18787</v>
      </c>
      <c r="D15708" t="s">
        <v>19017</v>
      </c>
      <c r="E15708" t="s">
        <v>32630</v>
      </c>
      <c r="F15708" t="s">
        <v>32831</v>
      </c>
      <c r="G15708" t="s">
        <v>32838</v>
      </c>
      <c r="H15708" t="s">
        <v>32848</v>
      </c>
      <c r="I15708" t="s">
        <v>4558</v>
      </c>
      <c r="J15708" t="s">
        <v>42571</v>
      </c>
      <c r="K15708" t="s">
        <v>42726</v>
      </c>
      <c r="M15708" t="s">
        <v>43668</v>
      </c>
      <c r="N15708" t="s">
        <v>47424</v>
      </c>
      <c r="O15708" t="s">
        <v>47425</v>
      </c>
      <c r="Q15708">
        <v>3</v>
      </c>
      <c r="R15708" t="s">
        <v>47452</v>
      </c>
      <c r="S15708" t="s">
        <v>48380</v>
      </c>
      <c r="T15708" t="s">
        <v>49119</v>
      </c>
      <c r="U15708" t="s">
        <v>62427</v>
      </c>
      <c r="V15708" t="s">
        <v>62774</v>
      </c>
      <c r="W15708" t="s">
        <v>43668</v>
      </c>
      <c r="X15708" t="s">
        <v>47453</v>
      </c>
    </row>
    <row r="15709" spans="1:24">
      <c r="A15709">
        <f>HYPERLINK("https://www.philgeps.gov.ph/GEPSNONPILOT/Tender/SplashBidNoticeAbstractUI.aspx?menuIndex=3&amp;refID=7116051&amp;Result=3","7116051")</f>
        <v>0</v>
      </c>
      <c r="B15709" t="s">
        <v>352</v>
      </c>
      <c r="C15709" t="s">
        <v>18788</v>
      </c>
      <c r="D15709" t="s">
        <v>19101</v>
      </c>
      <c r="E15709" t="s">
        <v>32631</v>
      </c>
      <c r="F15709" t="s">
        <v>32831</v>
      </c>
      <c r="G15709" t="s">
        <v>32839</v>
      </c>
      <c r="H15709" t="s">
        <v>32850</v>
      </c>
      <c r="I15709" t="s">
        <v>32863</v>
      </c>
      <c r="J15709" t="s">
        <v>42572</v>
      </c>
      <c r="K15709" t="s">
        <v>42870</v>
      </c>
      <c r="M15709" t="s">
        <v>43871</v>
      </c>
      <c r="N15709" t="s">
        <v>47424</v>
      </c>
      <c r="O15709" t="s">
        <v>47425</v>
      </c>
      <c r="Q15709">
        <v>3</v>
      </c>
      <c r="R15709" t="s">
        <v>47451</v>
      </c>
      <c r="S15709" t="s">
        <v>48978</v>
      </c>
      <c r="T15709" t="s">
        <v>49135</v>
      </c>
      <c r="U15709" t="s">
        <v>62428</v>
      </c>
      <c r="W15709" t="s">
        <v>43871</v>
      </c>
      <c r="X15709" t="s">
        <v>47452</v>
      </c>
    </row>
    <row r="15710" spans="1:24">
      <c r="A15710">
        <f>HYPERLINK("https://www.philgeps.gov.ph/GEPSNONPILOT/Tender/SplashBidNoticeAbstractUI.aspx?menuIndex=3&amp;refID=7109791&amp;Result=3","7109791")</f>
        <v>0</v>
      </c>
      <c r="B15710" t="s">
        <v>3598</v>
      </c>
      <c r="C15710" t="s">
        <v>18789</v>
      </c>
      <c r="D15710" t="s">
        <v>19077</v>
      </c>
      <c r="E15710" t="s">
        <v>32632</v>
      </c>
      <c r="F15710" t="s">
        <v>32831</v>
      </c>
      <c r="G15710" t="s">
        <v>32839</v>
      </c>
      <c r="H15710" t="s">
        <v>32849</v>
      </c>
      <c r="I15710" t="s">
        <v>4177</v>
      </c>
      <c r="J15710" t="s">
        <v>42573</v>
      </c>
      <c r="K15710" t="s">
        <v>42770</v>
      </c>
      <c r="M15710" t="s">
        <v>46962</v>
      </c>
      <c r="N15710" t="s">
        <v>47424</v>
      </c>
      <c r="O15710" t="s">
        <v>47425</v>
      </c>
      <c r="P15710">
        <v>0</v>
      </c>
      <c r="Q15710">
        <v>1</v>
      </c>
      <c r="R15710" t="s">
        <v>47453</v>
      </c>
      <c r="S15710" t="s">
        <v>48700</v>
      </c>
      <c r="T15710" t="s">
        <v>49122</v>
      </c>
      <c r="U15710" t="s">
        <v>62429</v>
      </c>
      <c r="W15710" t="s">
        <v>46962</v>
      </c>
      <c r="X15710" t="s">
        <v>47454</v>
      </c>
    </row>
    <row r="15711" spans="1:24">
      <c r="A15711">
        <f>HYPERLINK("https://www.philgeps.gov.ph/GEPSNONPILOT/Tender/SplashBidNoticeAbstractUI.aspx?menuIndex=3&amp;refID=7116046&amp;Result=3","7116046")</f>
        <v>0</v>
      </c>
      <c r="B15711" t="s">
        <v>352</v>
      </c>
      <c r="C15711" t="s">
        <v>18790</v>
      </c>
      <c r="D15711" t="s">
        <v>19101</v>
      </c>
      <c r="E15711" t="s">
        <v>32633</v>
      </c>
      <c r="F15711" t="s">
        <v>32831</v>
      </c>
      <c r="G15711" t="s">
        <v>32839</v>
      </c>
      <c r="H15711" t="s">
        <v>32850</v>
      </c>
      <c r="I15711" t="s">
        <v>32863</v>
      </c>
      <c r="J15711" t="s">
        <v>42574</v>
      </c>
      <c r="K15711" t="s">
        <v>42870</v>
      </c>
      <c r="M15711" t="s">
        <v>43871</v>
      </c>
      <c r="N15711" t="s">
        <v>47424</v>
      </c>
      <c r="O15711" t="s">
        <v>47425</v>
      </c>
      <c r="Q15711">
        <v>3</v>
      </c>
      <c r="R15711" t="s">
        <v>47451</v>
      </c>
      <c r="S15711" t="s">
        <v>48979</v>
      </c>
      <c r="T15711" t="s">
        <v>49135</v>
      </c>
      <c r="U15711" t="s">
        <v>62430</v>
      </c>
      <c r="W15711" t="s">
        <v>43871</v>
      </c>
      <c r="X15711" t="s">
        <v>47452</v>
      </c>
    </row>
    <row r="15712" spans="1:24">
      <c r="A15712">
        <f>HYPERLINK("https://www.philgeps.gov.ph/GEPSNONPILOT/Tender/SplashBidNoticeAbstractUI.aspx?menuIndex=3&amp;refID=7116038&amp;Result=3","7116038")</f>
        <v>0</v>
      </c>
      <c r="B15712" t="s">
        <v>352</v>
      </c>
      <c r="C15712" t="s">
        <v>18791</v>
      </c>
      <c r="D15712" t="s">
        <v>19101</v>
      </c>
      <c r="E15712" t="s">
        <v>32634</v>
      </c>
      <c r="F15712" t="s">
        <v>32831</v>
      </c>
      <c r="G15712" t="s">
        <v>32839</v>
      </c>
      <c r="H15712" t="s">
        <v>32850</v>
      </c>
      <c r="I15712" t="s">
        <v>32863</v>
      </c>
      <c r="J15712" t="s">
        <v>42575</v>
      </c>
      <c r="K15712" t="s">
        <v>42870</v>
      </c>
      <c r="M15712" t="s">
        <v>43871</v>
      </c>
      <c r="N15712" t="s">
        <v>47424</v>
      </c>
      <c r="O15712" t="s">
        <v>47425</v>
      </c>
      <c r="Q15712">
        <v>2</v>
      </c>
      <c r="R15712" t="s">
        <v>47451</v>
      </c>
      <c r="S15712" t="s">
        <v>48980</v>
      </c>
      <c r="T15712" t="s">
        <v>49135</v>
      </c>
      <c r="U15712" t="s">
        <v>62431</v>
      </c>
      <c r="W15712" t="s">
        <v>43871</v>
      </c>
      <c r="X15712" t="s">
        <v>47452</v>
      </c>
    </row>
    <row r="15713" spans="1:24">
      <c r="A15713">
        <f>HYPERLINK("https://www.philgeps.gov.ph/GEPSNONPILOT/Tender/SplashBidNoticeAbstractUI.aspx?menuIndex=3&amp;refID=7116033&amp;Result=3","7116033")</f>
        <v>0</v>
      </c>
      <c r="B15713" t="s">
        <v>3883</v>
      </c>
      <c r="C15713" t="s">
        <v>18792</v>
      </c>
      <c r="D15713" t="s">
        <v>19057</v>
      </c>
      <c r="E15713" t="s">
        <v>32635</v>
      </c>
      <c r="F15713" t="s">
        <v>32831</v>
      </c>
      <c r="G15713" t="s">
        <v>32839</v>
      </c>
      <c r="H15713" t="s">
        <v>32848</v>
      </c>
      <c r="I15713" t="s">
        <v>7819</v>
      </c>
      <c r="J15713" t="s">
        <v>42576</v>
      </c>
      <c r="K15713" t="s">
        <v>42730</v>
      </c>
      <c r="M15713" t="s">
        <v>47338</v>
      </c>
      <c r="N15713" t="s">
        <v>47424</v>
      </c>
      <c r="O15713" t="s">
        <v>47425</v>
      </c>
      <c r="Q15713">
        <v>3</v>
      </c>
      <c r="R15713" t="s">
        <v>47451</v>
      </c>
      <c r="S15713" t="s">
        <v>48981</v>
      </c>
      <c r="T15713" t="s">
        <v>49348</v>
      </c>
      <c r="U15713" t="s">
        <v>62432</v>
      </c>
      <c r="W15713" t="s">
        <v>47338</v>
      </c>
      <c r="X15713" t="s">
        <v>47452</v>
      </c>
    </row>
    <row r="15714" spans="1:24">
      <c r="A15714">
        <f>HYPERLINK("https://www.philgeps.gov.ph/GEPSNONPILOT/Tender/SplashBidNoticeAbstractUI.aspx?menuIndex=3&amp;refID=7112207&amp;Result=3","7112207")</f>
        <v>0</v>
      </c>
      <c r="B15714" t="s">
        <v>285</v>
      </c>
      <c r="C15714" t="s">
        <v>18793</v>
      </c>
      <c r="D15714" t="s">
        <v>19038</v>
      </c>
      <c r="E15714" t="s">
        <v>32636</v>
      </c>
      <c r="F15714" t="s">
        <v>32831</v>
      </c>
      <c r="G15714" t="s">
        <v>32839</v>
      </c>
      <c r="H15714" t="s">
        <v>32848</v>
      </c>
      <c r="I15714" t="s">
        <v>7751</v>
      </c>
      <c r="J15714" t="s">
        <v>33111</v>
      </c>
      <c r="K15714" t="s">
        <v>42732</v>
      </c>
      <c r="M15714" t="s">
        <v>43284</v>
      </c>
      <c r="N15714" t="s">
        <v>47424</v>
      </c>
      <c r="O15714" t="s">
        <v>47425</v>
      </c>
      <c r="Q15714">
        <v>3</v>
      </c>
      <c r="R15714" t="s">
        <v>47452</v>
      </c>
      <c r="S15714" t="s">
        <v>48221</v>
      </c>
      <c r="T15714" t="s">
        <v>49237</v>
      </c>
      <c r="U15714" t="s">
        <v>62433</v>
      </c>
      <c r="W15714" t="s">
        <v>43284</v>
      </c>
      <c r="X15714" t="s">
        <v>47453</v>
      </c>
    </row>
    <row r="15715" spans="1:24">
      <c r="A15715">
        <f>HYPERLINK("https://www.philgeps.gov.ph/GEPSNONPILOT/Tender/SplashBidNoticeAbstractUI.aspx?menuIndex=3&amp;refID=7116029&amp;Result=3","7116029")</f>
        <v>0</v>
      </c>
      <c r="B15715" t="s">
        <v>1149</v>
      </c>
      <c r="C15715" t="s">
        <v>18794</v>
      </c>
      <c r="D15715" t="s">
        <v>19079</v>
      </c>
      <c r="E15715" t="s">
        <v>32637</v>
      </c>
      <c r="F15715" t="s">
        <v>32831</v>
      </c>
      <c r="G15715" t="s">
        <v>32839</v>
      </c>
      <c r="H15715" t="s">
        <v>32848</v>
      </c>
      <c r="I15715" t="s">
        <v>32855</v>
      </c>
      <c r="J15715" t="s">
        <v>42577</v>
      </c>
      <c r="K15715" t="s">
        <v>42731</v>
      </c>
      <c r="M15715" t="s">
        <v>45518</v>
      </c>
      <c r="N15715" t="s">
        <v>47424</v>
      </c>
      <c r="O15715" t="s">
        <v>47425</v>
      </c>
      <c r="P15715">
        <v>0</v>
      </c>
      <c r="Q15715">
        <v>6</v>
      </c>
      <c r="R15715" t="s">
        <v>47451</v>
      </c>
      <c r="S15715" t="s">
        <v>48651</v>
      </c>
      <c r="T15715" t="s">
        <v>49321</v>
      </c>
      <c r="U15715" t="s">
        <v>62434</v>
      </c>
      <c r="W15715" t="s">
        <v>45518</v>
      </c>
      <c r="X15715" t="s">
        <v>47452</v>
      </c>
    </row>
    <row r="15716" spans="1:24">
      <c r="A15716">
        <f>HYPERLINK("https://www.philgeps.gov.ph/GEPSNONPILOT/Tender/SplashBidNoticeAbstractUI.aspx?menuIndex=3&amp;refID=7110968&amp;Result=3","7110968")</f>
        <v>0</v>
      </c>
      <c r="B15716" t="s">
        <v>650</v>
      </c>
      <c r="C15716" t="s">
        <v>18795</v>
      </c>
      <c r="D15716" t="s">
        <v>19017</v>
      </c>
      <c r="E15716" t="s">
        <v>32638</v>
      </c>
      <c r="F15716" t="s">
        <v>32831</v>
      </c>
      <c r="G15716" t="s">
        <v>32838</v>
      </c>
      <c r="H15716" t="s">
        <v>32848</v>
      </c>
      <c r="I15716" t="s">
        <v>4558</v>
      </c>
      <c r="J15716" t="s">
        <v>42578</v>
      </c>
      <c r="K15716" t="s">
        <v>42726</v>
      </c>
      <c r="M15716" t="s">
        <v>43668</v>
      </c>
      <c r="N15716" t="s">
        <v>47424</v>
      </c>
      <c r="O15716" t="s">
        <v>47425</v>
      </c>
      <c r="Q15716">
        <v>3</v>
      </c>
      <c r="R15716" t="s">
        <v>47452</v>
      </c>
      <c r="S15716" t="s">
        <v>48982</v>
      </c>
      <c r="T15716" t="s">
        <v>49119</v>
      </c>
      <c r="U15716" t="s">
        <v>62435</v>
      </c>
      <c r="V15716" t="s">
        <v>62774</v>
      </c>
      <c r="W15716" t="s">
        <v>43668</v>
      </c>
      <c r="X15716" t="s">
        <v>47453</v>
      </c>
    </row>
    <row r="15717" spans="1:24">
      <c r="A15717">
        <f>HYPERLINK("https://www.philgeps.gov.ph/GEPSNONPILOT/Tender/SplashBidNoticeAbstractUI.aspx?menuIndex=3&amp;refID=7115485&amp;Result=3","7115485")</f>
        <v>0</v>
      </c>
      <c r="B15717" t="s">
        <v>629</v>
      </c>
      <c r="C15717" t="s">
        <v>18384</v>
      </c>
      <c r="D15717" t="s">
        <v>19049</v>
      </c>
      <c r="E15717" t="s">
        <v>32639</v>
      </c>
      <c r="F15717" t="s">
        <v>32831</v>
      </c>
      <c r="G15717" t="s">
        <v>32839</v>
      </c>
      <c r="H15717" t="s">
        <v>32849</v>
      </c>
      <c r="I15717" t="s">
        <v>7416</v>
      </c>
      <c r="J15717" t="s">
        <v>42579</v>
      </c>
      <c r="K15717" t="s">
        <v>42731</v>
      </c>
      <c r="M15717" t="s">
        <v>43646</v>
      </c>
      <c r="N15717" t="s">
        <v>47424</v>
      </c>
      <c r="O15717" t="s">
        <v>47425</v>
      </c>
      <c r="P15717">
        <v>0</v>
      </c>
      <c r="Q15717">
        <v>1</v>
      </c>
      <c r="R15717" t="s">
        <v>47451</v>
      </c>
      <c r="S15717" t="s">
        <v>48651</v>
      </c>
      <c r="T15717" t="s">
        <v>49129</v>
      </c>
      <c r="U15717" t="s">
        <v>62436</v>
      </c>
      <c r="W15717" t="s">
        <v>43646</v>
      </c>
      <c r="X15717" t="s">
        <v>47452</v>
      </c>
    </row>
    <row r="15718" spans="1:24">
      <c r="A15718">
        <f>HYPERLINK("https://www.philgeps.gov.ph/GEPSNONPILOT/Tender/SplashBidNoticeAbstractUI.aspx?menuIndex=3&amp;refID=7115062&amp;Result=3","7115062")</f>
        <v>0</v>
      </c>
      <c r="B15718" t="s">
        <v>3884</v>
      </c>
      <c r="C15718" t="s">
        <v>18796</v>
      </c>
      <c r="D15718" t="s">
        <v>19077</v>
      </c>
      <c r="E15718" t="s">
        <v>32640</v>
      </c>
      <c r="F15718" t="s">
        <v>32831</v>
      </c>
      <c r="G15718" t="s">
        <v>32839</v>
      </c>
      <c r="H15718" t="s">
        <v>32849</v>
      </c>
      <c r="I15718" t="s">
        <v>4177</v>
      </c>
      <c r="J15718" t="s">
        <v>42580</v>
      </c>
      <c r="K15718" t="s">
        <v>42763</v>
      </c>
      <c r="M15718" t="s">
        <v>47339</v>
      </c>
      <c r="N15718" t="s">
        <v>47424</v>
      </c>
      <c r="O15718" t="s">
        <v>47425</v>
      </c>
      <c r="P15718">
        <v>0</v>
      </c>
      <c r="Q15718">
        <v>0</v>
      </c>
      <c r="R15718" t="s">
        <v>47451</v>
      </c>
      <c r="S15718" t="s">
        <v>48651</v>
      </c>
      <c r="T15718" t="s">
        <v>49237</v>
      </c>
      <c r="U15718" t="s">
        <v>62437</v>
      </c>
      <c r="W15718" t="s">
        <v>47339</v>
      </c>
      <c r="X15718" t="s">
        <v>47452</v>
      </c>
    </row>
    <row r="15719" spans="1:24">
      <c r="A15719">
        <f>HYPERLINK("https://www.philgeps.gov.ph/GEPSNONPILOT/Tender/SplashBidNoticeAbstractUI.aspx?menuIndex=3&amp;refID=7115325&amp;Result=3","7115325")</f>
        <v>0</v>
      </c>
      <c r="B15719" t="s">
        <v>3884</v>
      </c>
      <c r="C15719" t="s">
        <v>18797</v>
      </c>
      <c r="D15719" t="s">
        <v>19077</v>
      </c>
      <c r="E15719" t="s">
        <v>32641</v>
      </c>
      <c r="F15719" t="s">
        <v>32831</v>
      </c>
      <c r="G15719" t="s">
        <v>32839</v>
      </c>
      <c r="H15719" t="s">
        <v>32848</v>
      </c>
      <c r="I15719" t="s">
        <v>32870</v>
      </c>
      <c r="J15719" t="s">
        <v>42581</v>
      </c>
      <c r="K15719" t="s">
        <v>42728</v>
      </c>
      <c r="M15719" t="s">
        <v>47339</v>
      </c>
      <c r="N15719" t="s">
        <v>47424</v>
      </c>
      <c r="O15719" t="s">
        <v>47425</v>
      </c>
      <c r="P15719">
        <v>0</v>
      </c>
      <c r="Q15719">
        <v>1</v>
      </c>
      <c r="R15719" t="s">
        <v>47451</v>
      </c>
      <c r="S15719" t="s">
        <v>48651</v>
      </c>
      <c r="T15719" t="s">
        <v>49237</v>
      </c>
      <c r="U15719" t="s">
        <v>62438</v>
      </c>
      <c r="W15719" t="s">
        <v>47339</v>
      </c>
      <c r="X15719" t="s">
        <v>47452</v>
      </c>
    </row>
    <row r="15720" spans="1:24">
      <c r="A15720">
        <f>HYPERLINK("https://www.philgeps.gov.ph/GEPSNONPILOT/Tender/SplashBidNoticeAbstractUI.aspx?menuIndex=3&amp;refID=7114389&amp;Result=3","7114389")</f>
        <v>0</v>
      </c>
      <c r="B15720" t="s">
        <v>2892</v>
      </c>
      <c r="C15720" t="s">
        <v>18798</v>
      </c>
      <c r="D15720" t="s">
        <v>19037</v>
      </c>
      <c r="E15720" t="s">
        <v>32642</v>
      </c>
      <c r="F15720" t="s">
        <v>32831</v>
      </c>
      <c r="G15720" t="s">
        <v>32839</v>
      </c>
      <c r="H15720" t="s">
        <v>32848</v>
      </c>
      <c r="I15720" t="s">
        <v>7416</v>
      </c>
      <c r="J15720" t="s">
        <v>42582</v>
      </c>
      <c r="K15720" t="s">
        <v>42763</v>
      </c>
      <c r="M15720" t="s">
        <v>46133</v>
      </c>
      <c r="N15720" t="s">
        <v>47424</v>
      </c>
      <c r="O15720" t="s">
        <v>47425</v>
      </c>
      <c r="P15720">
        <v>0</v>
      </c>
      <c r="Q15720">
        <v>3</v>
      </c>
      <c r="R15720" t="s">
        <v>47451</v>
      </c>
      <c r="S15720" t="s">
        <v>48651</v>
      </c>
      <c r="T15720" t="s">
        <v>49163</v>
      </c>
      <c r="U15720" t="s">
        <v>62439</v>
      </c>
      <c r="W15720" t="s">
        <v>46133</v>
      </c>
      <c r="X15720" t="s">
        <v>47452</v>
      </c>
    </row>
    <row r="15721" spans="1:24">
      <c r="A15721">
        <f>HYPERLINK("https://www.philgeps.gov.ph/GEPSNONPILOT/Tender/SplashBidNoticeAbstractUI.aspx?menuIndex=3&amp;refID=7114975&amp;Result=3","7114975")</f>
        <v>0</v>
      </c>
      <c r="B15721" t="s">
        <v>2350</v>
      </c>
      <c r="C15721" t="s">
        <v>18799</v>
      </c>
      <c r="D15721" t="s">
        <v>19018</v>
      </c>
      <c r="E15721" t="s">
        <v>32643</v>
      </c>
      <c r="F15721" t="s">
        <v>32831</v>
      </c>
      <c r="G15721" t="s">
        <v>32839</v>
      </c>
      <c r="H15721" t="s">
        <v>32849</v>
      </c>
      <c r="I15721" t="s">
        <v>4177</v>
      </c>
      <c r="J15721" t="s">
        <v>42583</v>
      </c>
      <c r="K15721" t="s">
        <v>42780</v>
      </c>
      <c r="M15721" t="s">
        <v>47335</v>
      </c>
      <c r="N15721" t="s">
        <v>47424</v>
      </c>
      <c r="O15721" t="s">
        <v>47425</v>
      </c>
      <c r="Q15721">
        <v>2</v>
      </c>
      <c r="R15721" t="s">
        <v>47451</v>
      </c>
      <c r="S15721" t="s">
        <v>48983</v>
      </c>
      <c r="T15721" t="s">
        <v>49111</v>
      </c>
      <c r="U15721" t="s">
        <v>62083</v>
      </c>
      <c r="W15721" t="s">
        <v>47335</v>
      </c>
      <c r="X15721" t="s">
        <v>47452</v>
      </c>
    </row>
    <row r="15722" spans="1:24">
      <c r="A15722">
        <f>HYPERLINK("https://www.philgeps.gov.ph/GEPSNONPILOT/Tender/SplashBidNoticeAbstractUI.aspx?menuIndex=3&amp;refID=7111122&amp;Result=3","7111122")</f>
        <v>0</v>
      </c>
      <c r="B15722" t="s">
        <v>650</v>
      </c>
      <c r="C15722" t="s">
        <v>18800</v>
      </c>
      <c r="D15722" t="s">
        <v>19017</v>
      </c>
      <c r="E15722" t="s">
        <v>32644</v>
      </c>
      <c r="F15722" t="s">
        <v>32831</v>
      </c>
      <c r="G15722" t="s">
        <v>32838</v>
      </c>
      <c r="H15722" t="s">
        <v>32848</v>
      </c>
      <c r="I15722" t="s">
        <v>4558</v>
      </c>
      <c r="J15722" t="s">
        <v>42584</v>
      </c>
      <c r="K15722" t="s">
        <v>42726</v>
      </c>
      <c r="M15722" t="s">
        <v>43668</v>
      </c>
      <c r="N15722" t="s">
        <v>47424</v>
      </c>
      <c r="O15722" t="s">
        <v>47425</v>
      </c>
      <c r="Q15722">
        <v>4</v>
      </c>
      <c r="R15722" t="s">
        <v>47452</v>
      </c>
      <c r="S15722" t="s">
        <v>48984</v>
      </c>
      <c r="T15722" t="s">
        <v>49119</v>
      </c>
      <c r="U15722" t="s">
        <v>62440</v>
      </c>
      <c r="V15722" t="s">
        <v>62774</v>
      </c>
      <c r="W15722" t="s">
        <v>43668</v>
      </c>
      <c r="X15722" t="s">
        <v>47453</v>
      </c>
    </row>
    <row r="15723" spans="1:24">
      <c r="A15723">
        <f>HYPERLINK("https://www.philgeps.gov.ph/GEPSNONPILOT/Tender/SplashBidNoticeAbstractUI.aspx?menuIndex=3&amp;refID=7114350&amp;Result=3","7114350")</f>
        <v>0</v>
      </c>
      <c r="B15723" t="s">
        <v>49</v>
      </c>
      <c r="C15723" t="s">
        <v>18801</v>
      </c>
      <c r="D15723" t="s">
        <v>19037</v>
      </c>
      <c r="E15723" t="s">
        <v>32645</v>
      </c>
      <c r="F15723" t="s">
        <v>32831</v>
      </c>
      <c r="G15723" t="s">
        <v>32839</v>
      </c>
      <c r="H15723" t="s">
        <v>32848</v>
      </c>
      <c r="I15723" t="s">
        <v>32874</v>
      </c>
      <c r="J15723" t="s">
        <v>42585</v>
      </c>
      <c r="K15723" t="s">
        <v>42747</v>
      </c>
      <c r="M15723" t="s">
        <v>46884</v>
      </c>
      <c r="N15723" t="s">
        <v>47424</v>
      </c>
      <c r="O15723" t="s">
        <v>47425</v>
      </c>
      <c r="Q15723">
        <v>9</v>
      </c>
      <c r="R15723" t="s">
        <v>47451</v>
      </c>
      <c r="S15723" t="s">
        <v>48985</v>
      </c>
      <c r="T15723" t="s">
        <v>49166</v>
      </c>
      <c r="U15723" t="s">
        <v>62441</v>
      </c>
      <c r="V15723" t="s">
        <v>62833</v>
      </c>
      <c r="W15723" t="s">
        <v>46884</v>
      </c>
      <c r="X15723" t="s">
        <v>47452</v>
      </c>
    </row>
    <row r="15724" spans="1:24">
      <c r="A15724">
        <f>HYPERLINK("https://www.philgeps.gov.ph/GEPSNONPILOT/Tender/SplashBidNoticeAbstractUI.aspx?menuIndex=3&amp;refID=7114232&amp;Result=3","7114232")</f>
        <v>0</v>
      </c>
      <c r="B15724" t="s">
        <v>629</v>
      </c>
      <c r="C15724" t="s">
        <v>18353</v>
      </c>
      <c r="D15724" t="s">
        <v>19049</v>
      </c>
      <c r="E15724" t="s">
        <v>32646</v>
      </c>
      <c r="F15724" t="s">
        <v>32831</v>
      </c>
      <c r="G15724" t="s">
        <v>32839</v>
      </c>
      <c r="H15724" t="s">
        <v>32848</v>
      </c>
      <c r="I15724" t="s">
        <v>7416</v>
      </c>
      <c r="J15724" t="s">
        <v>38936</v>
      </c>
      <c r="K15724" t="s">
        <v>42731</v>
      </c>
      <c r="M15724" t="s">
        <v>43646</v>
      </c>
      <c r="N15724" t="s">
        <v>47424</v>
      </c>
      <c r="O15724" t="s">
        <v>47425</v>
      </c>
      <c r="P15724">
        <v>0</v>
      </c>
      <c r="Q15724">
        <v>1</v>
      </c>
      <c r="R15724" t="s">
        <v>47451</v>
      </c>
      <c r="S15724" t="s">
        <v>48651</v>
      </c>
      <c r="T15724" t="s">
        <v>49129</v>
      </c>
      <c r="U15724" t="s">
        <v>62442</v>
      </c>
      <c r="W15724" t="s">
        <v>43646</v>
      </c>
      <c r="X15724" t="s">
        <v>47452</v>
      </c>
    </row>
    <row r="15725" spans="1:24">
      <c r="A15725">
        <f>HYPERLINK("https://www.philgeps.gov.ph/GEPSNONPILOT/Tender/SplashBidNoticeAbstractUI.aspx?menuIndex=3&amp;refID=7114953&amp;Result=3","7114953")</f>
        <v>0</v>
      </c>
      <c r="B15725" t="s">
        <v>3836</v>
      </c>
      <c r="C15725" t="s">
        <v>18802</v>
      </c>
      <c r="D15725" t="s">
        <v>19074</v>
      </c>
      <c r="E15725" t="s">
        <v>32647</v>
      </c>
      <c r="F15725" t="s">
        <v>32831</v>
      </c>
      <c r="G15725" t="s">
        <v>32839</v>
      </c>
      <c r="H15725" t="s">
        <v>32848</v>
      </c>
      <c r="I15725" t="s">
        <v>32883</v>
      </c>
      <c r="J15725" t="s">
        <v>42586</v>
      </c>
      <c r="K15725" t="s">
        <v>42763</v>
      </c>
      <c r="M15725" t="s">
        <v>47261</v>
      </c>
      <c r="N15725" t="s">
        <v>47424</v>
      </c>
      <c r="O15725" t="s">
        <v>47425</v>
      </c>
      <c r="P15725">
        <v>0</v>
      </c>
      <c r="Q15725">
        <v>11</v>
      </c>
      <c r="R15725" t="s">
        <v>47451</v>
      </c>
      <c r="S15725" t="s">
        <v>48651</v>
      </c>
      <c r="T15725" t="s">
        <v>49214</v>
      </c>
      <c r="U15725" t="s">
        <v>62443</v>
      </c>
      <c r="W15725" t="s">
        <v>47261</v>
      </c>
      <c r="X15725" t="s">
        <v>47452</v>
      </c>
    </row>
    <row r="15726" spans="1:24">
      <c r="A15726">
        <f>HYPERLINK("https://www.philgeps.gov.ph/GEPSNONPILOT/Tender/SplashBidNoticeAbstractUI.aspx?menuIndex=3&amp;refID=6880627&amp;Result=3","6880627")</f>
        <v>0</v>
      </c>
      <c r="B15726" t="s">
        <v>3914</v>
      </c>
      <c r="C15726" t="s">
        <v>18803</v>
      </c>
      <c r="D15726" t="s">
        <v>19077</v>
      </c>
      <c r="E15726" t="s">
        <v>32648</v>
      </c>
      <c r="F15726" t="s">
        <v>32831</v>
      </c>
      <c r="G15726" t="s">
        <v>32839</v>
      </c>
      <c r="H15726" t="s">
        <v>32848</v>
      </c>
      <c r="I15726" t="s">
        <v>32874</v>
      </c>
      <c r="J15726" t="s">
        <v>33111</v>
      </c>
      <c r="K15726" t="s">
        <v>42727</v>
      </c>
      <c r="M15726" t="s">
        <v>47398</v>
      </c>
      <c r="N15726" t="s">
        <v>47424</v>
      </c>
      <c r="O15726" t="s">
        <v>47425</v>
      </c>
      <c r="Q15726">
        <v>16</v>
      </c>
      <c r="R15726" t="s">
        <v>47514</v>
      </c>
      <c r="S15726" t="s">
        <v>48191</v>
      </c>
      <c r="T15726" t="s">
        <v>49533</v>
      </c>
      <c r="U15726" t="s">
        <v>62444</v>
      </c>
      <c r="V15726" t="s">
        <v>62718</v>
      </c>
      <c r="W15726" t="s">
        <v>47398</v>
      </c>
      <c r="X15726" t="s">
        <v>47530</v>
      </c>
    </row>
    <row r="15727" spans="1:24">
      <c r="A15727">
        <f>HYPERLINK("https://www.philgeps.gov.ph/GEPSNONPILOT/Tender/SplashBidNoticeAbstractUI.aspx?menuIndex=3&amp;refID=6880434&amp;Result=3","6880434")</f>
        <v>0</v>
      </c>
      <c r="B15727" t="s">
        <v>3914</v>
      </c>
      <c r="C15727" t="s">
        <v>18804</v>
      </c>
      <c r="D15727" t="s">
        <v>19077</v>
      </c>
      <c r="E15727" t="s">
        <v>32649</v>
      </c>
      <c r="F15727" t="s">
        <v>32831</v>
      </c>
      <c r="G15727" t="s">
        <v>32839</v>
      </c>
      <c r="H15727" t="s">
        <v>32848</v>
      </c>
      <c r="I15727" t="s">
        <v>9577</v>
      </c>
      <c r="J15727" t="s">
        <v>42587</v>
      </c>
      <c r="K15727" t="s">
        <v>42727</v>
      </c>
      <c r="M15727" t="s">
        <v>47399</v>
      </c>
      <c r="N15727" t="s">
        <v>47424</v>
      </c>
      <c r="O15727" t="s">
        <v>47425</v>
      </c>
      <c r="Q15727">
        <v>9</v>
      </c>
      <c r="R15727" t="s">
        <v>47514</v>
      </c>
      <c r="S15727" t="s">
        <v>48986</v>
      </c>
      <c r="T15727" t="s">
        <v>49551</v>
      </c>
      <c r="U15727" t="s">
        <v>62445</v>
      </c>
      <c r="V15727" t="s">
        <v>64407</v>
      </c>
      <c r="W15727" t="s">
        <v>47399</v>
      </c>
      <c r="X15727" t="s">
        <v>47530</v>
      </c>
    </row>
    <row r="15728" spans="1:24">
      <c r="A15728">
        <f>HYPERLINK("https://www.philgeps.gov.ph/GEPSNONPILOT/Tender/SplashBidNoticeAbstractUI.aspx?menuIndex=3&amp;refID=7114275&amp;Result=3","7114275")</f>
        <v>0</v>
      </c>
      <c r="B15728" t="s">
        <v>629</v>
      </c>
      <c r="C15728" t="s">
        <v>18353</v>
      </c>
      <c r="D15728" t="s">
        <v>19049</v>
      </c>
      <c r="E15728" t="s">
        <v>32650</v>
      </c>
      <c r="F15728" t="s">
        <v>32831</v>
      </c>
      <c r="G15728" t="s">
        <v>32839</v>
      </c>
      <c r="H15728" t="s">
        <v>32849</v>
      </c>
      <c r="I15728" t="s">
        <v>7416</v>
      </c>
      <c r="J15728" t="s">
        <v>42588</v>
      </c>
      <c r="K15728" t="s">
        <v>42731</v>
      </c>
      <c r="M15728" t="s">
        <v>43646</v>
      </c>
      <c r="N15728" t="s">
        <v>47424</v>
      </c>
      <c r="O15728" t="s">
        <v>47425</v>
      </c>
      <c r="P15728">
        <v>0</v>
      </c>
      <c r="Q15728">
        <v>1</v>
      </c>
      <c r="R15728" t="s">
        <v>47451</v>
      </c>
      <c r="S15728" t="s">
        <v>48651</v>
      </c>
      <c r="T15728" t="s">
        <v>49129</v>
      </c>
      <c r="U15728" t="s">
        <v>62446</v>
      </c>
      <c r="W15728" t="s">
        <v>43646</v>
      </c>
      <c r="X15728" t="s">
        <v>47452</v>
      </c>
    </row>
    <row r="15729" spans="1:24">
      <c r="A15729">
        <f>HYPERLINK("https://www.philgeps.gov.ph/GEPSNONPILOT/Tender/SplashBidNoticeAbstractUI.aspx?menuIndex=3&amp;refID=6889174&amp;Result=3","6889174")</f>
        <v>0</v>
      </c>
      <c r="B15729" t="s">
        <v>1439</v>
      </c>
      <c r="C15729" t="s">
        <v>18805</v>
      </c>
      <c r="D15729" t="s">
        <v>19037</v>
      </c>
      <c r="E15729" t="s">
        <v>32651</v>
      </c>
      <c r="F15729" t="s">
        <v>32831</v>
      </c>
      <c r="G15729" t="s">
        <v>32838</v>
      </c>
      <c r="H15729" t="s">
        <v>32848</v>
      </c>
      <c r="I15729" t="s">
        <v>32887</v>
      </c>
      <c r="J15729" t="s">
        <v>33193</v>
      </c>
      <c r="K15729" t="s">
        <v>42727</v>
      </c>
      <c r="M15729" t="s">
        <v>44529</v>
      </c>
      <c r="N15729" t="s">
        <v>47424</v>
      </c>
      <c r="O15729" t="s">
        <v>47425</v>
      </c>
      <c r="Q15729">
        <v>1</v>
      </c>
      <c r="R15729" t="s">
        <v>47515</v>
      </c>
      <c r="S15729" t="s">
        <v>47921</v>
      </c>
      <c r="T15729" t="s">
        <v>49096</v>
      </c>
      <c r="U15729" t="s">
        <v>62447</v>
      </c>
      <c r="W15729" t="s">
        <v>44529</v>
      </c>
      <c r="X15729" t="s">
        <v>64599</v>
      </c>
    </row>
    <row r="15730" spans="1:24">
      <c r="A15730">
        <f>HYPERLINK("https://www.philgeps.gov.ph/GEPSNONPILOT/Tender/SplashBidNoticeAbstractUI.aspx?menuIndex=3&amp;refID=6880085&amp;Result=3","6880085")</f>
        <v>0</v>
      </c>
      <c r="B15730" t="s">
        <v>3914</v>
      </c>
      <c r="C15730" t="s">
        <v>18806</v>
      </c>
      <c r="D15730" t="s">
        <v>19077</v>
      </c>
      <c r="E15730" t="s">
        <v>32652</v>
      </c>
      <c r="F15730" t="s">
        <v>32831</v>
      </c>
      <c r="G15730" t="s">
        <v>32839</v>
      </c>
      <c r="H15730" t="s">
        <v>32848</v>
      </c>
      <c r="I15730" t="s">
        <v>32874</v>
      </c>
      <c r="J15730" t="s">
        <v>36911</v>
      </c>
      <c r="K15730" t="s">
        <v>42731</v>
      </c>
      <c r="M15730" t="s">
        <v>47398</v>
      </c>
      <c r="N15730" t="s">
        <v>47424</v>
      </c>
      <c r="O15730" t="s">
        <v>47425</v>
      </c>
      <c r="Q15730">
        <v>16</v>
      </c>
      <c r="R15730" t="s">
        <v>47514</v>
      </c>
      <c r="S15730" t="s">
        <v>48987</v>
      </c>
      <c r="T15730" t="s">
        <v>49242</v>
      </c>
      <c r="U15730" t="s">
        <v>62444</v>
      </c>
      <c r="V15730" t="s">
        <v>62718</v>
      </c>
      <c r="W15730" t="s">
        <v>47398</v>
      </c>
      <c r="X15730" t="s">
        <v>47530</v>
      </c>
    </row>
    <row r="15731" spans="1:24">
      <c r="A15731">
        <f>HYPERLINK("https://www.philgeps.gov.ph/GEPSNONPILOT/Tender/SplashBidNoticeAbstractUI.aspx?menuIndex=3&amp;refID=6880250&amp;Result=3","6880250")</f>
        <v>0</v>
      </c>
      <c r="B15731" t="s">
        <v>3914</v>
      </c>
      <c r="C15731" t="s">
        <v>18807</v>
      </c>
      <c r="D15731" t="s">
        <v>19077</v>
      </c>
      <c r="E15731" t="s">
        <v>32653</v>
      </c>
      <c r="F15731" t="s">
        <v>32831</v>
      </c>
      <c r="G15731" t="s">
        <v>32839</v>
      </c>
      <c r="H15731" t="s">
        <v>32848</v>
      </c>
      <c r="I15731" t="s">
        <v>4487</v>
      </c>
      <c r="J15731" t="s">
        <v>42589</v>
      </c>
      <c r="K15731" t="s">
        <v>42731</v>
      </c>
      <c r="M15731" t="s">
        <v>47399</v>
      </c>
      <c r="N15731" t="s">
        <v>47424</v>
      </c>
      <c r="O15731" t="s">
        <v>47425</v>
      </c>
      <c r="Q15731">
        <v>16</v>
      </c>
      <c r="R15731" t="s">
        <v>47514</v>
      </c>
      <c r="S15731" t="s">
        <v>48988</v>
      </c>
      <c r="T15731" t="s">
        <v>49427</v>
      </c>
      <c r="U15731" t="s">
        <v>62445</v>
      </c>
      <c r="V15731" t="s">
        <v>62718</v>
      </c>
      <c r="W15731" t="s">
        <v>47399</v>
      </c>
      <c r="X15731" t="s">
        <v>47530</v>
      </c>
    </row>
    <row r="15732" spans="1:24">
      <c r="A15732">
        <f>HYPERLINK("https://www.philgeps.gov.ph/GEPSNONPILOT/Tender/SplashBidNoticeAbstractUI.aspx?menuIndex=3&amp;refID=6892427&amp;Result=3","6892427")</f>
        <v>0</v>
      </c>
      <c r="B15732" t="s">
        <v>1454</v>
      </c>
      <c r="C15732" t="s">
        <v>18808</v>
      </c>
      <c r="E15732" t="s">
        <v>32654</v>
      </c>
      <c r="F15732" t="s">
        <v>32831</v>
      </c>
      <c r="G15732" t="s">
        <v>32839</v>
      </c>
      <c r="H15732" t="s">
        <v>32848</v>
      </c>
      <c r="I15732" t="s">
        <v>32931</v>
      </c>
      <c r="J15732" t="s">
        <v>42590</v>
      </c>
      <c r="K15732" t="s">
        <v>42883</v>
      </c>
      <c r="M15732" t="s">
        <v>47392</v>
      </c>
      <c r="N15732" t="s">
        <v>47424</v>
      </c>
      <c r="O15732" t="s">
        <v>47425</v>
      </c>
      <c r="Q15732">
        <v>24</v>
      </c>
      <c r="R15732" t="s">
        <v>47516</v>
      </c>
      <c r="S15732" t="s">
        <v>48989</v>
      </c>
      <c r="T15732" t="s">
        <v>49080</v>
      </c>
      <c r="U15732" t="s">
        <v>62448</v>
      </c>
      <c r="W15732" t="s">
        <v>64567</v>
      </c>
      <c r="X15732" t="s">
        <v>47515</v>
      </c>
    </row>
    <row r="15733" spans="1:24">
      <c r="A15733">
        <f>HYPERLINK("https://www.philgeps.gov.ph/GEPSNONPILOT/Tender/SplashBidNoticeAbstractUI.aspx?menuIndex=3&amp;refID=7115425&amp;Result=3","7115425")</f>
        <v>0</v>
      </c>
      <c r="B15733" t="s">
        <v>2895</v>
      </c>
      <c r="C15733" t="s">
        <v>18809</v>
      </c>
      <c r="D15733" t="s">
        <v>19101</v>
      </c>
      <c r="E15733" t="s">
        <v>32655</v>
      </c>
      <c r="F15733" t="s">
        <v>32831</v>
      </c>
      <c r="G15733" t="s">
        <v>32839</v>
      </c>
      <c r="H15733" t="s">
        <v>32850</v>
      </c>
      <c r="I15733" t="s">
        <v>32916</v>
      </c>
      <c r="J15733" t="s">
        <v>42591</v>
      </c>
      <c r="K15733" t="s">
        <v>42775</v>
      </c>
      <c r="M15733" t="s">
        <v>47400</v>
      </c>
      <c r="N15733" t="s">
        <v>47424</v>
      </c>
      <c r="O15733" t="s">
        <v>47425</v>
      </c>
      <c r="Q15733">
        <v>8</v>
      </c>
      <c r="R15733" t="s">
        <v>47451</v>
      </c>
      <c r="S15733" t="s">
        <v>48990</v>
      </c>
      <c r="T15733" t="s">
        <v>49173</v>
      </c>
      <c r="U15733" t="s">
        <v>62449</v>
      </c>
      <c r="V15733" t="s">
        <v>64408</v>
      </c>
      <c r="W15733" t="s">
        <v>47400</v>
      </c>
      <c r="X15733" t="s">
        <v>47452</v>
      </c>
    </row>
    <row r="15734" spans="1:24">
      <c r="A15734">
        <f>HYPERLINK("https://www.philgeps.gov.ph/GEPSNONPILOT/Tender/SplashBidNoticeAbstractUI.aspx?menuIndex=3&amp;refID=6896891&amp;Result=3","6896891")</f>
        <v>0</v>
      </c>
      <c r="B15734" t="s">
        <v>3743</v>
      </c>
      <c r="C15734" t="s">
        <v>18810</v>
      </c>
      <c r="D15734" t="s">
        <v>19086</v>
      </c>
      <c r="E15734" t="s">
        <v>32656</v>
      </c>
      <c r="F15734" t="s">
        <v>32831</v>
      </c>
      <c r="G15734" t="s">
        <v>32839</v>
      </c>
      <c r="H15734" t="s">
        <v>32849</v>
      </c>
      <c r="I15734" t="s">
        <v>4177</v>
      </c>
      <c r="J15734" t="s">
        <v>39594</v>
      </c>
      <c r="K15734" t="s">
        <v>42729</v>
      </c>
      <c r="M15734" t="s">
        <v>47140</v>
      </c>
      <c r="N15734" t="s">
        <v>47424</v>
      </c>
      <c r="O15734" t="s">
        <v>47425</v>
      </c>
      <c r="Q15734">
        <v>50</v>
      </c>
      <c r="R15734" t="s">
        <v>47517</v>
      </c>
      <c r="S15734" t="s">
        <v>48991</v>
      </c>
      <c r="T15734" t="s">
        <v>49166</v>
      </c>
      <c r="U15734" t="s">
        <v>62450</v>
      </c>
      <c r="V15734" t="s">
        <v>64409</v>
      </c>
      <c r="W15734" t="s">
        <v>47140</v>
      </c>
      <c r="X15734" t="s">
        <v>47516</v>
      </c>
    </row>
    <row r="15735" spans="1:24">
      <c r="A15735">
        <f>HYPERLINK("https://www.philgeps.gov.ph/GEPSNONPILOT/Tender/SplashBidNoticeAbstractUI.aspx?menuIndex=3&amp;refID=6903343&amp;Result=3","6903343")</f>
        <v>0</v>
      </c>
      <c r="B15735" t="s">
        <v>221</v>
      </c>
      <c r="C15735" t="s">
        <v>18811</v>
      </c>
      <c r="D15735" t="s">
        <v>19079</v>
      </c>
      <c r="E15735" t="s">
        <v>32657</v>
      </c>
      <c r="F15735" t="s">
        <v>32831</v>
      </c>
      <c r="G15735" t="s">
        <v>32845</v>
      </c>
      <c r="H15735" t="s">
        <v>14069</v>
      </c>
      <c r="I15735" t="s">
        <v>14069</v>
      </c>
      <c r="J15735" t="s">
        <v>39952</v>
      </c>
      <c r="K15735" t="s">
        <v>42732</v>
      </c>
      <c r="L15735" t="s">
        <v>221</v>
      </c>
      <c r="M15735" t="s">
        <v>46263</v>
      </c>
      <c r="N15735" t="s">
        <v>47424</v>
      </c>
      <c r="O15735" t="s">
        <v>47425</v>
      </c>
      <c r="Q15735">
        <v>11</v>
      </c>
      <c r="R15735" t="s">
        <v>47518</v>
      </c>
      <c r="S15735" t="s">
        <v>48992</v>
      </c>
      <c r="T15735" t="s">
        <v>49057</v>
      </c>
      <c r="U15735" t="s">
        <v>62451</v>
      </c>
      <c r="W15735" t="s">
        <v>46263</v>
      </c>
      <c r="X15735" t="s">
        <v>64598</v>
      </c>
    </row>
    <row r="15736" spans="1:24">
      <c r="A15736">
        <f>HYPERLINK("https://www.philgeps.gov.ph/GEPSNONPILOT/Tender/SplashBidNoticeAbstractUI.aspx?menuIndex=3&amp;refID=6903240&amp;Result=3","6903240")</f>
        <v>0</v>
      </c>
      <c r="B15736" t="s">
        <v>2085</v>
      </c>
      <c r="C15736" t="s">
        <v>18812</v>
      </c>
      <c r="D15736" t="s">
        <v>19079</v>
      </c>
      <c r="E15736" t="s">
        <v>32658</v>
      </c>
      <c r="F15736" t="s">
        <v>32831</v>
      </c>
      <c r="G15736" t="s">
        <v>32839</v>
      </c>
      <c r="H15736" t="s">
        <v>32849</v>
      </c>
      <c r="I15736" t="s">
        <v>4177</v>
      </c>
      <c r="J15736" t="s">
        <v>42592</v>
      </c>
      <c r="K15736" t="s">
        <v>42763</v>
      </c>
      <c r="M15736" t="s">
        <v>45256</v>
      </c>
      <c r="N15736" t="s">
        <v>47424</v>
      </c>
      <c r="O15736" t="s">
        <v>47425</v>
      </c>
      <c r="Q15736">
        <v>24</v>
      </c>
      <c r="R15736" t="s">
        <v>47518</v>
      </c>
      <c r="S15736" t="s">
        <v>48993</v>
      </c>
      <c r="T15736" t="s">
        <v>49188</v>
      </c>
      <c r="U15736" t="s">
        <v>62452</v>
      </c>
      <c r="V15736" t="s">
        <v>64410</v>
      </c>
      <c r="W15736" t="s">
        <v>45256</v>
      </c>
      <c r="X15736" t="s">
        <v>64598</v>
      </c>
    </row>
    <row r="15737" spans="1:24">
      <c r="A15737">
        <f>HYPERLINK("https://www.philgeps.gov.ph/GEPSNONPILOT/Tender/SplashBidNoticeAbstractUI.aspx?menuIndex=3&amp;refID=7115483&amp;Result=3","7115483")</f>
        <v>0</v>
      </c>
      <c r="B15737" t="s">
        <v>2030</v>
      </c>
      <c r="C15737" t="s">
        <v>18813</v>
      </c>
      <c r="D15737" t="s">
        <v>19088</v>
      </c>
      <c r="E15737" t="s">
        <v>32659</v>
      </c>
      <c r="F15737" t="s">
        <v>32831</v>
      </c>
      <c r="G15737" t="s">
        <v>32839</v>
      </c>
      <c r="H15737" t="s">
        <v>32848</v>
      </c>
      <c r="I15737" t="s">
        <v>32855</v>
      </c>
      <c r="J15737" t="s">
        <v>33024</v>
      </c>
      <c r="K15737" t="s">
        <v>42730</v>
      </c>
      <c r="M15737" t="s">
        <v>45198</v>
      </c>
      <c r="N15737" t="s">
        <v>47424</v>
      </c>
      <c r="O15737" t="s">
        <v>47425</v>
      </c>
      <c r="P15737">
        <v>0</v>
      </c>
      <c r="Q15737">
        <v>14</v>
      </c>
      <c r="R15737" t="s">
        <v>47451</v>
      </c>
      <c r="S15737" t="s">
        <v>48651</v>
      </c>
      <c r="T15737" t="s">
        <v>49123</v>
      </c>
      <c r="U15737" t="s">
        <v>62453</v>
      </c>
      <c r="W15737" t="s">
        <v>45198</v>
      </c>
      <c r="X15737" t="s">
        <v>47452</v>
      </c>
    </row>
    <row r="15738" spans="1:24">
      <c r="A15738">
        <f>HYPERLINK("https://www.philgeps.gov.ph/GEPSNONPILOT/Tender/SplashBidNoticeAbstractUI.aspx?menuIndex=3&amp;refID=7111060&amp;Result=3","7111060")</f>
        <v>0</v>
      </c>
      <c r="B15738" t="s">
        <v>650</v>
      </c>
      <c r="C15738" t="s">
        <v>18814</v>
      </c>
      <c r="D15738" t="s">
        <v>19017</v>
      </c>
      <c r="E15738" t="s">
        <v>32627</v>
      </c>
      <c r="F15738" t="s">
        <v>32831</v>
      </c>
      <c r="G15738" t="s">
        <v>32838</v>
      </c>
      <c r="H15738" t="s">
        <v>32848</v>
      </c>
      <c r="I15738" t="s">
        <v>4558</v>
      </c>
      <c r="J15738" t="s">
        <v>42593</v>
      </c>
      <c r="K15738" t="s">
        <v>42726</v>
      </c>
      <c r="M15738" t="s">
        <v>43668</v>
      </c>
      <c r="N15738" t="s">
        <v>47424</v>
      </c>
      <c r="O15738" t="s">
        <v>47425</v>
      </c>
      <c r="Q15738">
        <v>3</v>
      </c>
      <c r="R15738" t="s">
        <v>47452</v>
      </c>
      <c r="S15738" t="s">
        <v>48994</v>
      </c>
      <c r="T15738" t="s">
        <v>49119</v>
      </c>
      <c r="U15738" t="s">
        <v>62454</v>
      </c>
      <c r="V15738" t="s">
        <v>62774</v>
      </c>
      <c r="W15738" t="s">
        <v>43668</v>
      </c>
      <c r="X15738" t="s">
        <v>47453</v>
      </c>
    </row>
    <row r="15739" spans="1:24">
      <c r="A15739">
        <f>HYPERLINK("https://www.philgeps.gov.ph/GEPSNONPILOT/Tender/SplashBidNoticeAbstractUI.aspx?menuIndex=3&amp;refID=6903358&amp;Result=3","6903358")</f>
        <v>0</v>
      </c>
      <c r="B15739" t="s">
        <v>221</v>
      </c>
      <c r="C15739" t="s">
        <v>18815</v>
      </c>
      <c r="D15739" t="s">
        <v>19080</v>
      </c>
      <c r="E15739" t="s">
        <v>32660</v>
      </c>
      <c r="F15739" t="s">
        <v>32831</v>
      </c>
      <c r="G15739" t="s">
        <v>32845</v>
      </c>
      <c r="H15739" t="s">
        <v>14069</v>
      </c>
      <c r="I15739" t="s">
        <v>14069</v>
      </c>
      <c r="J15739" t="s">
        <v>34926</v>
      </c>
      <c r="K15739" t="s">
        <v>42732</v>
      </c>
      <c r="L15739" t="s">
        <v>221</v>
      </c>
      <c r="M15739" t="s">
        <v>46263</v>
      </c>
      <c r="N15739" t="s">
        <v>47424</v>
      </c>
      <c r="O15739" t="s">
        <v>47425</v>
      </c>
      <c r="Q15739">
        <v>13</v>
      </c>
      <c r="R15739" t="s">
        <v>47518</v>
      </c>
      <c r="S15739" t="s">
        <v>48995</v>
      </c>
      <c r="T15739" t="s">
        <v>49057</v>
      </c>
      <c r="U15739" t="s">
        <v>62455</v>
      </c>
      <c r="W15739" t="s">
        <v>46263</v>
      </c>
      <c r="X15739" t="s">
        <v>64598</v>
      </c>
    </row>
    <row r="15740" spans="1:24">
      <c r="A15740">
        <f>HYPERLINK("https://www.philgeps.gov.ph/GEPSNONPILOT/Tender/SplashBidNoticeAbstractUI.aspx?menuIndex=3&amp;refID=6669012&amp;Result=3","6669012")</f>
        <v>0</v>
      </c>
      <c r="B15740" t="s">
        <v>3915</v>
      </c>
      <c r="C15740" t="s">
        <v>18816</v>
      </c>
      <c r="E15740" t="s">
        <v>32661</v>
      </c>
      <c r="F15740" t="s">
        <v>32831</v>
      </c>
      <c r="G15740" t="s">
        <v>32839</v>
      </c>
      <c r="H15740" t="s">
        <v>32849</v>
      </c>
      <c r="I15740" t="s">
        <v>4177</v>
      </c>
      <c r="J15740" t="s">
        <v>42594</v>
      </c>
      <c r="K15740" t="s">
        <v>42732</v>
      </c>
      <c r="M15740" t="s">
        <v>47401</v>
      </c>
      <c r="N15740" t="s">
        <v>47424</v>
      </c>
      <c r="O15740" t="s">
        <v>47425</v>
      </c>
      <c r="Q15740">
        <v>11</v>
      </c>
      <c r="R15740" t="s">
        <v>47519</v>
      </c>
      <c r="S15740" t="s">
        <v>48996</v>
      </c>
      <c r="T15740" t="s">
        <v>49214</v>
      </c>
      <c r="U15740" t="s">
        <v>62456</v>
      </c>
      <c r="W15740" t="s">
        <v>47401</v>
      </c>
      <c r="X15740" t="s">
        <v>64600</v>
      </c>
    </row>
    <row r="15741" spans="1:24">
      <c r="A15741">
        <f>HYPERLINK("https://www.philgeps.gov.ph/GEPSNONPILOT/Tender/SplashBidNoticeAbstractUI.aspx?menuIndex=3&amp;refID=6781189&amp;Result=3","6781189")</f>
        <v>0</v>
      </c>
      <c r="B15741" t="s">
        <v>2073</v>
      </c>
      <c r="C15741" t="s">
        <v>18817</v>
      </c>
      <c r="D15741" t="s">
        <v>19061</v>
      </c>
      <c r="E15741" t="s">
        <v>32662</v>
      </c>
      <c r="F15741" t="s">
        <v>32831</v>
      </c>
      <c r="G15741" t="s">
        <v>32839</v>
      </c>
      <c r="H15741" t="s">
        <v>32849</v>
      </c>
      <c r="I15741" t="s">
        <v>4177</v>
      </c>
      <c r="J15741" t="s">
        <v>42595</v>
      </c>
      <c r="K15741" t="s">
        <v>42937</v>
      </c>
      <c r="M15741" t="s">
        <v>47402</v>
      </c>
      <c r="N15741" t="s">
        <v>47424</v>
      </c>
      <c r="O15741" t="s">
        <v>47425</v>
      </c>
      <c r="Q15741">
        <v>15</v>
      </c>
      <c r="R15741" t="s">
        <v>47520</v>
      </c>
      <c r="S15741" t="s">
        <v>48997</v>
      </c>
      <c r="T15741" t="s">
        <v>49214</v>
      </c>
      <c r="U15741" t="s">
        <v>62457</v>
      </c>
      <c r="V15741" t="s">
        <v>64411</v>
      </c>
      <c r="W15741" t="s">
        <v>47402</v>
      </c>
      <c r="X15741" t="s">
        <v>64601</v>
      </c>
    </row>
    <row r="15742" spans="1:24">
      <c r="A15742">
        <f>HYPERLINK("https://www.philgeps.gov.ph/GEPSNONPILOT/Tender/SplashBidNoticeAbstractUI.aspx?menuIndex=3&amp;refID=6823233&amp;Result=3","6823233")</f>
        <v>0</v>
      </c>
      <c r="B15742" t="s">
        <v>1454</v>
      </c>
      <c r="C15742" t="s">
        <v>18818</v>
      </c>
      <c r="E15742" t="s">
        <v>32663</v>
      </c>
      <c r="F15742" t="s">
        <v>32831</v>
      </c>
      <c r="G15742" t="s">
        <v>32839</v>
      </c>
      <c r="H15742" t="s">
        <v>32848</v>
      </c>
      <c r="I15742" t="s">
        <v>32890</v>
      </c>
      <c r="J15742" t="s">
        <v>42596</v>
      </c>
      <c r="K15742" t="s">
        <v>42732</v>
      </c>
      <c r="M15742" t="s">
        <v>47392</v>
      </c>
      <c r="N15742" t="s">
        <v>47424</v>
      </c>
      <c r="O15742" t="s">
        <v>47425</v>
      </c>
      <c r="Q15742">
        <v>6</v>
      </c>
      <c r="R15742" t="s">
        <v>47521</v>
      </c>
      <c r="S15742" t="s">
        <v>48998</v>
      </c>
      <c r="T15742" t="s">
        <v>49115</v>
      </c>
      <c r="U15742" t="s">
        <v>62458</v>
      </c>
      <c r="W15742" t="s">
        <v>64567</v>
      </c>
      <c r="X15742" t="s">
        <v>64571</v>
      </c>
    </row>
    <row r="15743" spans="1:24">
      <c r="A15743">
        <f>HYPERLINK("https://www.philgeps.gov.ph/GEPSNONPILOT/Tender/SplashBidNoticeAbstractUI.aspx?menuIndex=3&amp;refID=6831564&amp;Result=3","6831564")</f>
        <v>0</v>
      </c>
      <c r="B15743" t="s">
        <v>1611</v>
      </c>
      <c r="C15743" t="s">
        <v>18819</v>
      </c>
      <c r="D15743" t="s">
        <v>19077</v>
      </c>
      <c r="E15743" t="s">
        <v>32664</v>
      </c>
      <c r="F15743" t="s">
        <v>32831</v>
      </c>
      <c r="G15743" t="s">
        <v>32839</v>
      </c>
      <c r="H15743" t="s">
        <v>32849</v>
      </c>
      <c r="I15743" t="s">
        <v>4177</v>
      </c>
      <c r="J15743" t="s">
        <v>39594</v>
      </c>
      <c r="K15743" t="s">
        <v>42730</v>
      </c>
      <c r="M15743" t="s">
        <v>44727</v>
      </c>
      <c r="N15743" t="s">
        <v>47424</v>
      </c>
      <c r="O15743" t="s">
        <v>47425</v>
      </c>
      <c r="Q15743">
        <v>1</v>
      </c>
      <c r="R15743" t="s">
        <v>47522</v>
      </c>
      <c r="S15743" t="s">
        <v>48999</v>
      </c>
      <c r="T15743" t="s">
        <v>49129</v>
      </c>
      <c r="U15743" t="s">
        <v>51968</v>
      </c>
      <c r="W15743" t="s">
        <v>44727</v>
      </c>
      <c r="X15743" t="s">
        <v>64602</v>
      </c>
    </row>
    <row r="15744" spans="1:24">
      <c r="A15744">
        <f>HYPERLINK("https://www.philgeps.gov.ph/GEPSNONPILOT/Tender/SplashBidNoticeAbstractUI.aspx?menuIndex=3&amp;refID=6822892&amp;Result=3","6822892")</f>
        <v>0</v>
      </c>
      <c r="B15744" t="s">
        <v>1454</v>
      </c>
      <c r="C15744" t="s">
        <v>18820</v>
      </c>
      <c r="D15744" t="s">
        <v>19102</v>
      </c>
      <c r="E15744" t="s">
        <v>32665</v>
      </c>
      <c r="F15744" t="s">
        <v>32831</v>
      </c>
      <c r="G15744" t="s">
        <v>32839</v>
      </c>
      <c r="H15744" t="s">
        <v>32849</v>
      </c>
      <c r="I15744" t="s">
        <v>32913</v>
      </c>
      <c r="J15744" t="s">
        <v>42597</v>
      </c>
      <c r="K15744" t="s">
        <v>42780</v>
      </c>
      <c r="M15744" t="s">
        <v>44546</v>
      </c>
      <c r="N15744" t="s">
        <v>47424</v>
      </c>
      <c r="O15744" t="s">
        <v>47425</v>
      </c>
      <c r="Q15744">
        <v>8</v>
      </c>
      <c r="R15744" t="s">
        <v>47521</v>
      </c>
      <c r="S15744" t="s">
        <v>48450</v>
      </c>
      <c r="T15744" t="s">
        <v>49192</v>
      </c>
      <c r="U15744" t="s">
        <v>62459</v>
      </c>
      <c r="W15744" t="s">
        <v>44546</v>
      </c>
      <c r="X15744" t="s">
        <v>64571</v>
      </c>
    </row>
    <row r="15745" spans="1:24">
      <c r="A15745">
        <f>HYPERLINK("https://www.philgeps.gov.ph/GEPSNONPILOT/Tender/SplashBidNoticeAbstractUI.aspx?menuIndex=3&amp;refID=6844648&amp;Result=3","6844648")</f>
        <v>0</v>
      </c>
      <c r="B15745" t="s">
        <v>1498</v>
      </c>
      <c r="C15745" t="s">
        <v>18821</v>
      </c>
      <c r="D15745" t="s">
        <v>19017</v>
      </c>
      <c r="E15745" t="s">
        <v>32666</v>
      </c>
      <c r="F15745" t="s">
        <v>32831</v>
      </c>
      <c r="G15745" t="s">
        <v>32839</v>
      </c>
      <c r="H15745" t="s">
        <v>32849</v>
      </c>
      <c r="I15745" t="s">
        <v>4177</v>
      </c>
      <c r="J15745" t="s">
        <v>33339</v>
      </c>
      <c r="K15745" t="s">
        <v>42780</v>
      </c>
      <c r="M15745" t="s">
        <v>47279</v>
      </c>
      <c r="N15745" t="s">
        <v>47424</v>
      </c>
      <c r="O15745" t="s">
        <v>47425</v>
      </c>
      <c r="Q15745">
        <v>18</v>
      </c>
      <c r="R15745" t="s">
        <v>47523</v>
      </c>
      <c r="S15745" t="s">
        <v>48439</v>
      </c>
      <c r="T15745" t="s">
        <v>49237</v>
      </c>
      <c r="U15745" t="s">
        <v>62460</v>
      </c>
      <c r="W15745" t="s">
        <v>64560</v>
      </c>
      <c r="X15745" t="s">
        <v>47526</v>
      </c>
    </row>
    <row r="15746" spans="1:24">
      <c r="A15746">
        <f>HYPERLINK("https://www.philgeps.gov.ph/GEPSNONPILOT/Tender/SplashBidNoticeAbstractUI.aspx?menuIndex=3&amp;refID=7109786&amp;Result=3","7109786")</f>
        <v>0</v>
      </c>
      <c r="B15746" t="s">
        <v>3598</v>
      </c>
      <c r="C15746" t="s">
        <v>18822</v>
      </c>
      <c r="D15746" t="s">
        <v>19077</v>
      </c>
      <c r="E15746" t="s">
        <v>32667</v>
      </c>
      <c r="F15746" t="s">
        <v>32831</v>
      </c>
      <c r="G15746" t="s">
        <v>32839</v>
      </c>
      <c r="H15746" t="s">
        <v>32849</v>
      </c>
      <c r="I15746" t="s">
        <v>4177</v>
      </c>
      <c r="J15746" t="s">
        <v>42598</v>
      </c>
      <c r="K15746" t="s">
        <v>42757</v>
      </c>
      <c r="M15746" t="s">
        <v>46962</v>
      </c>
      <c r="N15746" t="s">
        <v>47424</v>
      </c>
      <c r="O15746" t="s">
        <v>47425</v>
      </c>
      <c r="P15746">
        <v>0</v>
      </c>
      <c r="Q15746">
        <v>1</v>
      </c>
      <c r="R15746" t="s">
        <v>47453</v>
      </c>
      <c r="S15746" t="s">
        <v>48700</v>
      </c>
      <c r="T15746" t="s">
        <v>49122</v>
      </c>
      <c r="U15746" t="s">
        <v>62461</v>
      </c>
      <c r="W15746" t="s">
        <v>46962</v>
      </c>
      <c r="X15746" t="s">
        <v>47454</v>
      </c>
    </row>
    <row r="15747" spans="1:24">
      <c r="A15747">
        <f>HYPERLINK("https://www.philgeps.gov.ph/GEPSNONPILOT/Tender/SplashBidNoticeAbstractUI.aspx?menuIndex=3&amp;refID=6872956&amp;Result=3","6872956")</f>
        <v>0</v>
      </c>
      <c r="B15747" t="s">
        <v>1454</v>
      </c>
      <c r="C15747" t="s">
        <v>18823</v>
      </c>
      <c r="D15747" t="s">
        <v>19019</v>
      </c>
      <c r="E15747" t="s">
        <v>32668</v>
      </c>
      <c r="F15747" t="s">
        <v>32831</v>
      </c>
      <c r="G15747" t="s">
        <v>32839</v>
      </c>
      <c r="H15747" t="s">
        <v>32848</v>
      </c>
      <c r="I15747" t="s">
        <v>32862</v>
      </c>
      <c r="J15747" t="s">
        <v>42599</v>
      </c>
      <c r="K15747" t="s">
        <v>42764</v>
      </c>
      <c r="M15747" t="s">
        <v>44546</v>
      </c>
      <c r="N15747" t="s">
        <v>47424</v>
      </c>
      <c r="O15747" t="s">
        <v>47425</v>
      </c>
      <c r="Q15747">
        <v>11</v>
      </c>
      <c r="R15747" t="s">
        <v>47517</v>
      </c>
      <c r="S15747" t="s">
        <v>49000</v>
      </c>
      <c r="T15747" t="s">
        <v>49101</v>
      </c>
      <c r="U15747" t="s">
        <v>62462</v>
      </c>
      <c r="W15747" t="s">
        <v>44546</v>
      </c>
      <c r="X15747" t="s">
        <v>64603</v>
      </c>
    </row>
    <row r="15748" spans="1:24">
      <c r="A15748">
        <f>HYPERLINK("https://www.philgeps.gov.ph/GEPSNONPILOT/Tender/SplashBidNoticeAbstractUI.aspx?menuIndex=3&amp;refID=6855989&amp;Result=3","6855989")</f>
        <v>0</v>
      </c>
      <c r="B15748" t="s">
        <v>3915</v>
      </c>
      <c r="C15748" t="s">
        <v>18824</v>
      </c>
      <c r="E15748" t="s">
        <v>32669</v>
      </c>
      <c r="F15748" t="s">
        <v>32831</v>
      </c>
      <c r="G15748" t="s">
        <v>32839</v>
      </c>
      <c r="H15748" t="s">
        <v>32849</v>
      </c>
      <c r="I15748" t="s">
        <v>4177</v>
      </c>
      <c r="J15748" t="s">
        <v>39982</v>
      </c>
      <c r="K15748" t="s">
        <v>42732</v>
      </c>
      <c r="M15748" t="s">
        <v>47401</v>
      </c>
      <c r="N15748" t="s">
        <v>47424</v>
      </c>
      <c r="O15748" t="s">
        <v>47425</v>
      </c>
      <c r="Q15748">
        <v>14</v>
      </c>
      <c r="R15748" t="s">
        <v>47524</v>
      </c>
      <c r="S15748" t="s">
        <v>49001</v>
      </c>
      <c r="T15748" t="s">
        <v>49237</v>
      </c>
      <c r="U15748" t="s">
        <v>62463</v>
      </c>
      <c r="W15748" t="s">
        <v>47401</v>
      </c>
      <c r="X15748" t="s">
        <v>64604</v>
      </c>
    </row>
    <row r="15749" spans="1:24">
      <c r="A15749">
        <f>HYPERLINK("https://www.philgeps.gov.ph/GEPSNONPILOT/Tender/SplashBidNoticeAbstractUI.aspx?menuIndex=3&amp;refID=6855958&amp;Result=3","6855958")</f>
        <v>0</v>
      </c>
      <c r="B15749" t="s">
        <v>3915</v>
      </c>
      <c r="C15749" t="s">
        <v>18825</v>
      </c>
      <c r="E15749" t="s">
        <v>32670</v>
      </c>
      <c r="F15749" t="s">
        <v>32831</v>
      </c>
      <c r="G15749" t="s">
        <v>32839</v>
      </c>
      <c r="H15749" t="s">
        <v>32849</v>
      </c>
      <c r="I15749" t="s">
        <v>4177</v>
      </c>
      <c r="J15749" t="s">
        <v>39982</v>
      </c>
      <c r="K15749" t="s">
        <v>42732</v>
      </c>
      <c r="M15749" t="s">
        <v>47401</v>
      </c>
      <c r="N15749" t="s">
        <v>47424</v>
      </c>
      <c r="O15749" t="s">
        <v>47425</v>
      </c>
      <c r="Q15749">
        <v>13</v>
      </c>
      <c r="R15749" t="s">
        <v>47524</v>
      </c>
      <c r="S15749" t="s">
        <v>49002</v>
      </c>
      <c r="T15749" t="s">
        <v>49237</v>
      </c>
      <c r="U15749" t="s">
        <v>62464</v>
      </c>
      <c r="W15749" t="s">
        <v>47401</v>
      </c>
      <c r="X15749" t="s">
        <v>64604</v>
      </c>
    </row>
    <row r="15750" spans="1:24">
      <c r="A15750">
        <f>HYPERLINK("https://www.philgeps.gov.ph/GEPSNONPILOT/Tender/SplashBidNoticeAbstractUI.aspx?menuIndex=3&amp;refID=6771902&amp;Result=3","6771902")</f>
        <v>0</v>
      </c>
      <c r="B15750" t="s">
        <v>406</v>
      </c>
      <c r="C15750" t="s">
        <v>18826</v>
      </c>
      <c r="E15750" t="s">
        <v>32671</v>
      </c>
      <c r="F15750" t="s">
        <v>32831</v>
      </c>
      <c r="G15750" t="s">
        <v>32839</v>
      </c>
      <c r="H15750" t="s">
        <v>32849</v>
      </c>
      <c r="I15750" t="s">
        <v>4177</v>
      </c>
      <c r="J15750" t="s">
        <v>42600</v>
      </c>
      <c r="K15750" t="s">
        <v>42732</v>
      </c>
      <c r="M15750" t="s">
        <v>47403</v>
      </c>
      <c r="N15750" t="s">
        <v>47424</v>
      </c>
      <c r="O15750" t="s">
        <v>47425</v>
      </c>
      <c r="Q15750">
        <v>63</v>
      </c>
      <c r="R15750" t="s">
        <v>47525</v>
      </c>
      <c r="S15750" t="s">
        <v>49003</v>
      </c>
      <c r="T15750" t="s">
        <v>49158</v>
      </c>
      <c r="U15750" t="s">
        <v>62465</v>
      </c>
      <c r="W15750" t="s">
        <v>47403</v>
      </c>
      <c r="X15750" t="s">
        <v>64605</v>
      </c>
    </row>
    <row r="15751" spans="1:24">
      <c r="A15751">
        <f>HYPERLINK("https://www.philgeps.gov.ph/GEPSNONPILOT/Tender/SplashBidNoticeAbstractUI.aspx?menuIndex=3&amp;refID=6841147&amp;Result=3","6841147")</f>
        <v>0</v>
      </c>
      <c r="B15751" t="s">
        <v>3842</v>
      </c>
      <c r="C15751" t="s">
        <v>18827</v>
      </c>
      <c r="D15751" t="s">
        <v>19017</v>
      </c>
      <c r="E15751" t="s">
        <v>32672</v>
      </c>
      <c r="F15751" t="s">
        <v>32831</v>
      </c>
      <c r="G15751" t="s">
        <v>32839</v>
      </c>
      <c r="H15751" t="s">
        <v>32849</v>
      </c>
      <c r="I15751" t="s">
        <v>4177</v>
      </c>
      <c r="J15751" t="s">
        <v>42601</v>
      </c>
      <c r="K15751" t="s">
        <v>42862</v>
      </c>
      <c r="M15751" t="s">
        <v>47267</v>
      </c>
      <c r="N15751" t="s">
        <v>47424</v>
      </c>
      <c r="O15751" t="s">
        <v>47425</v>
      </c>
      <c r="Q15751">
        <v>125</v>
      </c>
      <c r="R15751" t="s">
        <v>47526</v>
      </c>
      <c r="S15751" t="s">
        <v>49004</v>
      </c>
      <c r="T15751" t="s">
        <v>49195</v>
      </c>
      <c r="U15751" t="s">
        <v>62466</v>
      </c>
      <c r="W15751" t="s">
        <v>47267</v>
      </c>
      <c r="X15751" t="s">
        <v>64606</v>
      </c>
    </row>
    <row r="15752" spans="1:24">
      <c r="A15752">
        <f>HYPERLINK("https://www.philgeps.gov.ph/GEPSNONPILOT/Tender/SplashBidNoticeAbstractUI.aspx?menuIndex=3&amp;refID=6862314&amp;Result=3","6862314")</f>
        <v>0</v>
      </c>
      <c r="B15752" t="s">
        <v>3842</v>
      </c>
      <c r="C15752" t="s">
        <v>18828</v>
      </c>
      <c r="D15752" t="s">
        <v>19017</v>
      </c>
      <c r="E15752" t="s">
        <v>32673</v>
      </c>
      <c r="F15752" t="s">
        <v>32831</v>
      </c>
      <c r="G15752" t="s">
        <v>32839</v>
      </c>
      <c r="H15752" t="s">
        <v>32849</v>
      </c>
      <c r="I15752" t="s">
        <v>4177</v>
      </c>
      <c r="J15752" t="s">
        <v>42602</v>
      </c>
      <c r="K15752" t="s">
        <v>42862</v>
      </c>
      <c r="M15752" t="s">
        <v>47267</v>
      </c>
      <c r="N15752" t="s">
        <v>47424</v>
      </c>
      <c r="O15752" t="s">
        <v>47425</v>
      </c>
      <c r="Q15752">
        <v>130</v>
      </c>
      <c r="R15752" t="s">
        <v>47527</v>
      </c>
      <c r="S15752" t="s">
        <v>49005</v>
      </c>
      <c r="T15752" t="s">
        <v>49195</v>
      </c>
      <c r="U15752" t="s">
        <v>62467</v>
      </c>
      <c r="W15752" t="s">
        <v>47267</v>
      </c>
      <c r="X15752" t="s">
        <v>64575</v>
      </c>
    </row>
    <row r="15753" spans="1:24">
      <c r="A15753">
        <f>HYPERLINK("https://www.philgeps.gov.ph/GEPSNONPILOT/Tender/SplashBidNoticeAbstractUI.aspx?menuIndex=3&amp;refID=6863861&amp;Result=3","6863861")</f>
        <v>0</v>
      </c>
      <c r="B15753" t="s">
        <v>3916</v>
      </c>
      <c r="C15753" t="s">
        <v>18829</v>
      </c>
      <c r="D15753" t="s">
        <v>19046</v>
      </c>
      <c r="E15753" t="s">
        <v>32674</v>
      </c>
      <c r="F15753" t="s">
        <v>32831</v>
      </c>
      <c r="G15753" t="s">
        <v>32839</v>
      </c>
      <c r="H15753" t="s">
        <v>32849</v>
      </c>
      <c r="I15753" t="s">
        <v>4177</v>
      </c>
      <c r="J15753" t="s">
        <v>42603</v>
      </c>
      <c r="K15753" t="s">
        <v>42770</v>
      </c>
      <c r="M15753" t="s">
        <v>47404</v>
      </c>
      <c r="N15753" t="s">
        <v>47424</v>
      </c>
      <c r="O15753" t="s">
        <v>47425</v>
      </c>
      <c r="Q15753">
        <v>6</v>
      </c>
      <c r="R15753" t="s">
        <v>47528</v>
      </c>
      <c r="S15753" t="s">
        <v>49006</v>
      </c>
      <c r="T15753" t="s">
        <v>49071</v>
      </c>
      <c r="U15753" t="s">
        <v>62468</v>
      </c>
      <c r="W15753" t="s">
        <v>47404</v>
      </c>
      <c r="X15753" t="s">
        <v>47527</v>
      </c>
    </row>
    <row r="15754" spans="1:24">
      <c r="A15754">
        <f>HYPERLINK("https://www.philgeps.gov.ph/GEPSNONPILOT/Tender/SplashBidNoticeAbstractUI.aspx?menuIndex=3&amp;refID=6855955&amp;Result=3","6855955")</f>
        <v>0</v>
      </c>
      <c r="B15754" t="s">
        <v>3915</v>
      </c>
      <c r="C15754" t="s">
        <v>18830</v>
      </c>
      <c r="E15754" t="s">
        <v>32675</v>
      </c>
      <c r="F15754" t="s">
        <v>32831</v>
      </c>
      <c r="G15754" t="s">
        <v>32839</v>
      </c>
      <c r="H15754" t="s">
        <v>32849</v>
      </c>
      <c r="I15754" t="s">
        <v>4177</v>
      </c>
      <c r="J15754" t="s">
        <v>42604</v>
      </c>
      <c r="K15754" t="s">
        <v>42732</v>
      </c>
      <c r="M15754" t="s">
        <v>47401</v>
      </c>
      <c r="N15754" t="s">
        <v>47424</v>
      </c>
      <c r="O15754" t="s">
        <v>47425</v>
      </c>
      <c r="Q15754">
        <v>14</v>
      </c>
      <c r="R15754" t="s">
        <v>47524</v>
      </c>
      <c r="S15754" t="s">
        <v>47885</v>
      </c>
      <c r="T15754" t="s">
        <v>49237</v>
      </c>
      <c r="U15754" t="s">
        <v>62469</v>
      </c>
      <c r="W15754" t="s">
        <v>47401</v>
      </c>
      <c r="X15754" t="s">
        <v>64604</v>
      </c>
    </row>
    <row r="15755" spans="1:24">
      <c r="A15755">
        <f>HYPERLINK("https://www.philgeps.gov.ph/GEPSNONPILOT/Tender/SplashBidNoticeAbstractUI.aspx?menuIndex=3&amp;refID=6880886&amp;Result=3","6880886")</f>
        <v>0</v>
      </c>
      <c r="B15755" t="s">
        <v>3914</v>
      </c>
      <c r="C15755" t="s">
        <v>18831</v>
      </c>
      <c r="D15755" t="s">
        <v>19077</v>
      </c>
      <c r="E15755" t="s">
        <v>32676</v>
      </c>
      <c r="F15755" t="s">
        <v>32831</v>
      </c>
      <c r="G15755" t="s">
        <v>32839</v>
      </c>
      <c r="H15755" t="s">
        <v>32848</v>
      </c>
      <c r="I15755" t="s">
        <v>32874</v>
      </c>
      <c r="J15755" t="s">
        <v>42605</v>
      </c>
      <c r="K15755" t="s">
        <v>42727</v>
      </c>
      <c r="M15755" t="s">
        <v>47398</v>
      </c>
      <c r="N15755" t="s">
        <v>47424</v>
      </c>
      <c r="O15755" t="s">
        <v>47425</v>
      </c>
      <c r="Q15755">
        <v>12</v>
      </c>
      <c r="R15755" t="s">
        <v>47514</v>
      </c>
      <c r="S15755" t="s">
        <v>48201</v>
      </c>
      <c r="T15755" t="s">
        <v>49427</v>
      </c>
      <c r="U15755" t="s">
        <v>62444</v>
      </c>
      <c r="V15755" t="s">
        <v>62718</v>
      </c>
      <c r="W15755" t="s">
        <v>47398</v>
      </c>
      <c r="X15755" t="s">
        <v>47530</v>
      </c>
    </row>
    <row r="15756" spans="1:24">
      <c r="A15756">
        <f>HYPERLINK("https://www.philgeps.gov.ph/GEPSNONPILOT/Tender/SplashBidNoticeAbstractUI.aspx?menuIndex=3&amp;refID=6856010&amp;Result=3","6856010")</f>
        <v>0</v>
      </c>
      <c r="B15756" t="s">
        <v>3915</v>
      </c>
      <c r="C15756" t="s">
        <v>18832</v>
      </c>
      <c r="E15756" t="s">
        <v>32677</v>
      </c>
      <c r="F15756" t="s">
        <v>32831</v>
      </c>
      <c r="G15756" t="s">
        <v>32839</v>
      </c>
      <c r="H15756" t="s">
        <v>32849</v>
      </c>
      <c r="I15756" t="s">
        <v>4177</v>
      </c>
      <c r="J15756" t="s">
        <v>36195</v>
      </c>
      <c r="K15756" t="s">
        <v>42732</v>
      </c>
      <c r="M15756" t="s">
        <v>47401</v>
      </c>
      <c r="N15756" t="s">
        <v>47424</v>
      </c>
      <c r="O15756" t="s">
        <v>47425</v>
      </c>
      <c r="Q15756">
        <v>18</v>
      </c>
      <c r="R15756" t="s">
        <v>47524</v>
      </c>
      <c r="S15756" t="s">
        <v>49007</v>
      </c>
      <c r="T15756" t="s">
        <v>49237</v>
      </c>
      <c r="U15756" t="s">
        <v>62470</v>
      </c>
      <c r="W15756" t="s">
        <v>47401</v>
      </c>
      <c r="X15756" t="s">
        <v>64604</v>
      </c>
    </row>
    <row r="15757" spans="1:24">
      <c r="A15757">
        <f>HYPERLINK("https://www.philgeps.gov.ph/GEPSNONPILOT/Tender/SplashBidNoticeAbstractUI.aspx?menuIndex=3&amp;refID=6880822&amp;Result=3","6880822")</f>
        <v>0</v>
      </c>
      <c r="B15757" t="s">
        <v>3914</v>
      </c>
      <c r="C15757" t="s">
        <v>18833</v>
      </c>
      <c r="D15757" t="s">
        <v>19077</v>
      </c>
      <c r="E15757" t="s">
        <v>32678</v>
      </c>
      <c r="F15757" t="s">
        <v>32831</v>
      </c>
      <c r="G15757" t="s">
        <v>32839</v>
      </c>
      <c r="H15757" t="s">
        <v>32848</v>
      </c>
      <c r="I15757" t="s">
        <v>32874</v>
      </c>
      <c r="J15757" t="s">
        <v>42606</v>
      </c>
      <c r="K15757" t="s">
        <v>42727</v>
      </c>
      <c r="M15757" t="s">
        <v>47398</v>
      </c>
      <c r="N15757" t="s">
        <v>47424</v>
      </c>
      <c r="O15757" t="s">
        <v>47425</v>
      </c>
      <c r="Q15757">
        <v>14</v>
      </c>
      <c r="R15757" t="s">
        <v>47514</v>
      </c>
      <c r="S15757" t="s">
        <v>49008</v>
      </c>
      <c r="T15757" t="s">
        <v>49427</v>
      </c>
      <c r="U15757" t="s">
        <v>62444</v>
      </c>
      <c r="V15757" t="s">
        <v>62718</v>
      </c>
      <c r="W15757" t="s">
        <v>47398</v>
      </c>
      <c r="X15757" t="s">
        <v>47530</v>
      </c>
    </row>
    <row r="15758" spans="1:24">
      <c r="A15758">
        <f>HYPERLINK("https://www.philgeps.gov.ph/GEPSNONPILOT/Tender/SplashBidNoticeAbstractUI.aspx?menuIndex=3&amp;refID=6902157&amp;Result=3","6902157")</f>
        <v>0</v>
      </c>
      <c r="B15758" t="s">
        <v>2190</v>
      </c>
      <c r="C15758" t="s">
        <v>18834</v>
      </c>
      <c r="D15758" t="s">
        <v>19022</v>
      </c>
      <c r="E15758" t="s">
        <v>32679</v>
      </c>
      <c r="F15758" t="s">
        <v>32831</v>
      </c>
      <c r="G15758" t="s">
        <v>32839</v>
      </c>
      <c r="H15758" t="s">
        <v>32849</v>
      </c>
      <c r="I15758" t="s">
        <v>4177</v>
      </c>
      <c r="J15758" t="s">
        <v>42607</v>
      </c>
      <c r="K15758" t="s">
        <v>42780</v>
      </c>
      <c r="M15758" t="s">
        <v>45370</v>
      </c>
      <c r="N15758" t="s">
        <v>47424</v>
      </c>
      <c r="O15758" t="s">
        <v>47425</v>
      </c>
      <c r="Q15758">
        <v>8</v>
      </c>
      <c r="R15758" t="s">
        <v>47518</v>
      </c>
      <c r="S15758" t="s">
        <v>49009</v>
      </c>
      <c r="T15758" t="s">
        <v>49195</v>
      </c>
      <c r="U15758" t="s">
        <v>62471</v>
      </c>
      <c r="V15758" t="s">
        <v>64412</v>
      </c>
      <c r="W15758" t="s">
        <v>45370</v>
      </c>
      <c r="X15758" t="s">
        <v>64598</v>
      </c>
    </row>
    <row r="15759" spans="1:24">
      <c r="A15759">
        <f>HYPERLINK("https://www.philgeps.gov.ph/GEPSNONPILOT/Tender/SplashBidNoticeAbstractUI.aspx?menuIndex=3&amp;refID=6855697&amp;Result=3","6855697")</f>
        <v>0</v>
      </c>
      <c r="B15759" t="s">
        <v>3917</v>
      </c>
      <c r="C15759" t="s">
        <v>18835</v>
      </c>
      <c r="D15759" t="s">
        <v>19017</v>
      </c>
      <c r="E15759" t="s">
        <v>32680</v>
      </c>
      <c r="F15759" t="s">
        <v>32831</v>
      </c>
      <c r="G15759" t="s">
        <v>32838</v>
      </c>
      <c r="H15759" t="s">
        <v>32848</v>
      </c>
      <c r="I15759" t="s">
        <v>4438</v>
      </c>
      <c r="J15759" t="s">
        <v>42608</v>
      </c>
      <c r="K15759" t="s">
        <v>42730</v>
      </c>
      <c r="M15759" t="s">
        <v>47405</v>
      </c>
      <c r="N15759" t="s">
        <v>47424</v>
      </c>
      <c r="O15759" t="s">
        <v>47425</v>
      </c>
      <c r="Q15759">
        <v>5</v>
      </c>
      <c r="R15759" t="s">
        <v>47524</v>
      </c>
      <c r="S15759" t="s">
        <v>49010</v>
      </c>
      <c r="T15759" t="s">
        <v>49192</v>
      </c>
      <c r="U15759" t="s">
        <v>62472</v>
      </c>
      <c r="W15759" t="s">
        <v>47405</v>
      </c>
      <c r="X15759" t="s">
        <v>64604</v>
      </c>
    </row>
    <row r="15760" spans="1:24">
      <c r="A15760">
        <f>HYPERLINK("https://www.philgeps.gov.ph/GEPSNONPILOT/Tender/SplashBidNoticeAbstractUI.aspx?menuIndex=3&amp;refID=6901648&amp;Result=3","6901648")</f>
        <v>0</v>
      </c>
      <c r="B15760" t="s">
        <v>3147</v>
      </c>
      <c r="C15760" t="s">
        <v>18836</v>
      </c>
      <c r="D15760" t="s">
        <v>19026</v>
      </c>
      <c r="E15760" t="s">
        <v>32681</v>
      </c>
      <c r="F15760" t="s">
        <v>32831</v>
      </c>
      <c r="G15760" t="s">
        <v>32839</v>
      </c>
      <c r="H15760" t="s">
        <v>32849</v>
      </c>
      <c r="I15760" t="s">
        <v>4177</v>
      </c>
      <c r="J15760" t="s">
        <v>42609</v>
      </c>
      <c r="K15760" t="s">
        <v>43003</v>
      </c>
      <c r="M15760" t="s">
        <v>46447</v>
      </c>
      <c r="N15760" t="s">
        <v>47424</v>
      </c>
      <c r="O15760" t="s">
        <v>47425</v>
      </c>
      <c r="Q15760">
        <v>70</v>
      </c>
      <c r="R15760" t="s">
        <v>47518</v>
      </c>
      <c r="S15760" t="s">
        <v>49011</v>
      </c>
      <c r="T15760" t="s">
        <v>49196</v>
      </c>
      <c r="U15760" t="s">
        <v>62473</v>
      </c>
      <c r="V15760" t="s">
        <v>63017</v>
      </c>
      <c r="W15760" t="s">
        <v>46447</v>
      </c>
      <c r="X15760" t="s">
        <v>64598</v>
      </c>
    </row>
    <row r="15761" spans="1:24">
      <c r="A15761">
        <f>HYPERLINK("https://www.philgeps.gov.ph/GEPSNONPILOT/Tender/SplashBidNoticeAbstractUI.aspx?menuIndex=3&amp;refID=6902982&amp;Result=3","6902982")</f>
        <v>0</v>
      </c>
      <c r="B15761" t="s">
        <v>2135</v>
      </c>
      <c r="C15761" t="s">
        <v>18837</v>
      </c>
      <c r="D15761" t="s">
        <v>19027</v>
      </c>
      <c r="E15761" t="s">
        <v>32682</v>
      </c>
      <c r="F15761" t="s">
        <v>32831</v>
      </c>
      <c r="G15761" t="s">
        <v>32839</v>
      </c>
      <c r="H15761" t="s">
        <v>32849</v>
      </c>
      <c r="I15761" t="s">
        <v>4177</v>
      </c>
      <c r="J15761" t="s">
        <v>42610</v>
      </c>
      <c r="K15761" t="s">
        <v>42910</v>
      </c>
      <c r="M15761" t="s">
        <v>45313</v>
      </c>
      <c r="N15761" t="s">
        <v>47424</v>
      </c>
      <c r="O15761" t="s">
        <v>47425</v>
      </c>
      <c r="Q15761">
        <v>21</v>
      </c>
      <c r="R15761" t="s">
        <v>47518</v>
      </c>
      <c r="S15761" t="s">
        <v>49012</v>
      </c>
      <c r="T15761" t="s">
        <v>49172</v>
      </c>
      <c r="U15761" t="s">
        <v>62474</v>
      </c>
      <c r="V15761" t="s">
        <v>64413</v>
      </c>
      <c r="W15761" t="s">
        <v>64502</v>
      </c>
      <c r="X15761" t="s">
        <v>64598</v>
      </c>
    </row>
    <row r="15762" spans="1:24">
      <c r="A15762">
        <f>HYPERLINK("https://www.philgeps.gov.ph/GEPSNONPILOT/Tender/SplashBidNoticeAbstractUI.aspx?menuIndex=3&amp;refID=6890206&amp;Result=3","6890206")</f>
        <v>0</v>
      </c>
      <c r="B15762" t="s">
        <v>3918</v>
      </c>
      <c r="C15762" t="s">
        <v>18838</v>
      </c>
      <c r="D15762" t="s">
        <v>19017</v>
      </c>
      <c r="E15762" t="s">
        <v>32683</v>
      </c>
      <c r="F15762" t="s">
        <v>32831</v>
      </c>
      <c r="G15762" t="s">
        <v>32839</v>
      </c>
      <c r="H15762" t="s">
        <v>32849</v>
      </c>
      <c r="I15762" t="s">
        <v>4177</v>
      </c>
      <c r="J15762" t="s">
        <v>42611</v>
      </c>
      <c r="K15762" t="s">
        <v>42834</v>
      </c>
      <c r="M15762" t="s">
        <v>47406</v>
      </c>
      <c r="N15762" t="s">
        <v>47424</v>
      </c>
      <c r="O15762" t="s">
        <v>47425</v>
      </c>
      <c r="Q15762">
        <v>31</v>
      </c>
      <c r="R15762" t="s">
        <v>47516</v>
      </c>
      <c r="S15762" t="s">
        <v>49013</v>
      </c>
      <c r="T15762" t="s">
        <v>49137</v>
      </c>
      <c r="U15762" t="s">
        <v>62475</v>
      </c>
      <c r="W15762" t="s">
        <v>47406</v>
      </c>
      <c r="X15762" t="s">
        <v>47515</v>
      </c>
    </row>
    <row r="15763" spans="1:24">
      <c r="A15763">
        <f>HYPERLINK("https://www.philgeps.gov.ph/GEPSNONPILOT/Tender/SplashBidNoticeAbstractUI.aspx?menuIndex=3&amp;refID=6905855&amp;Result=3","6905855")</f>
        <v>0</v>
      </c>
      <c r="B15763" t="s">
        <v>3622</v>
      </c>
      <c r="C15763" t="s">
        <v>18839</v>
      </c>
      <c r="D15763" t="s">
        <v>19023</v>
      </c>
      <c r="E15763" t="s">
        <v>30030</v>
      </c>
      <c r="F15763" t="s">
        <v>32831</v>
      </c>
      <c r="G15763" t="s">
        <v>32839</v>
      </c>
      <c r="H15763" t="s">
        <v>32849</v>
      </c>
      <c r="I15763" t="s">
        <v>4177</v>
      </c>
      <c r="J15763" t="s">
        <v>42612</v>
      </c>
      <c r="K15763" t="s">
        <v>42809</v>
      </c>
      <c r="M15763" t="s">
        <v>46991</v>
      </c>
      <c r="N15763" t="s">
        <v>47424</v>
      </c>
      <c r="O15763" t="s">
        <v>47425</v>
      </c>
      <c r="Q15763">
        <v>4</v>
      </c>
      <c r="R15763" t="s">
        <v>47529</v>
      </c>
      <c r="S15763" t="s">
        <v>49014</v>
      </c>
      <c r="T15763" t="s">
        <v>49684</v>
      </c>
      <c r="U15763" t="s">
        <v>62476</v>
      </c>
      <c r="W15763" t="s">
        <v>46991</v>
      </c>
      <c r="X15763" t="s">
        <v>47518</v>
      </c>
    </row>
    <row r="15764" spans="1:24">
      <c r="A15764">
        <f>HYPERLINK("https://www.philgeps.gov.ph/GEPSNONPILOT/Tender/SplashBidNoticeAbstractUI.aspx?menuIndex=3&amp;refID=6905733&amp;Result=3","6905733")</f>
        <v>0</v>
      </c>
      <c r="B15764" t="s">
        <v>3622</v>
      </c>
      <c r="C15764" t="s">
        <v>18840</v>
      </c>
      <c r="D15764" t="s">
        <v>19023</v>
      </c>
      <c r="E15764" t="s">
        <v>30030</v>
      </c>
      <c r="F15764" t="s">
        <v>32831</v>
      </c>
      <c r="G15764" t="s">
        <v>32839</v>
      </c>
      <c r="H15764" t="s">
        <v>32849</v>
      </c>
      <c r="I15764" t="s">
        <v>4177</v>
      </c>
      <c r="J15764" t="s">
        <v>34733</v>
      </c>
      <c r="K15764" t="s">
        <v>42879</v>
      </c>
      <c r="M15764" t="s">
        <v>46991</v>
      </c>
      <c r="N15764" t="s">
        <v>47424</v>
      </c>
      <c r="O15764" t="s">
        <v>47425</v>
      </c>
      <c r="Q15764">
        <v>2</v>
      </c>
      <c r="R15764" t="s">
        <v>47529</v>
      </c>
      <c r="S15764" t="s">
        <v>49015</v>
      </c>
      <c r="T15764" t="s">
        <v>49684</v>
      </c>
      <c r="U15764" t="s">
        <v>62477</v>
      </c>
      <c r="W15764" t="s">
        <v>46991</v>
      </c>
      <c r="X15764" t="s">
        <v>47518</v>
      </c>
    </row>
    <row r="15765" spans="1:24">
      <c r="A15765">
        <f>HYPERLINK("https://www.philgeps.gov.ph/GEPSNONPILOT/Tender/SplashBidNoticeAbstractUI.aspx?menuIndex=3&amp;refID=7114208&amp;Result=3","7114208")</f>
        <v>0</v>
      </c>
      <c r="B15765" t="s">
        <v>3709</v>
      </c>
      <c r="C15765" t="s">
        <v>18841</v>
      </c>
      <c r="D15765" t="s">
        <v>19049</v>
      </c>
      <c r="E15765" t="s">
        <v>32684</v>
      </c>
      <c r="F15765" t="s">
        <v>32831</v>
      </c>
      <c r="G15765" t="s">
        <v>32839</v>
      </c>
      <c r="H15765" t="s">
        <v>32849</v>
      </c>
      <c r="I15765" t="s">
        <v>4177</v>
      </c>
      <c r="J15765" t="s">
        <v>33118</v>
      </c>
      <c r="K15765" t="s">
        <v>42757</v>
      </c>
      <c r="M15765" t="s">
        <v>47099</v>
      </c>
      <c r="N15765" t="s">
        <v>47424</v>
      </c>
      <c r="O15765" t="s">
        <v>47425</v>
      </c>
      <c r="P15765">
        <v>0</v>
      </c>
      <c r="Q15765">
        <v>2</v>
      </c>
      <c r="R15765" t="s">
        <v>47451</v>
      </c>
      <c r="S15765" t="s">
        <v>48651</v>
      </c>
      <c r="T15765" t="s">
        <v>49205</v>
      </c>
      <c r="U15765" t="s">
        <v>62478</v>
      </c>
      <c r="V15765" t="s">
        <v>64123</v>
      </c>
      <c r="W15765" t="s">
        <v>47099</v>
      </c>
      <c r="X15765" t="s">
        <v>47452</v>
      </c>
    </row>
    <row r="15766" spans="1:24">
      <c r="A15766">
        <f>HYPERLINK("https://www.philgeps.gov.ph/GEPSNONPILOT/Tender/SplashBidNoticeAbstractUI.aspx?menuIndex=3&amp;refID=6906186&amp;Result=3","6906186")</f>
        <v>0</v>
      </c>
      <c r="B15766" t="s">
        <v>3622</v>
      </c>
      <c r="C15766" t="s">
        <v>18842</v>
      </c>
      <c r="D15766" t="s">
        <v>19023</v>
      </c>
      <c r="E15766" t="s">
        <v>30030</v>
      </c>
      <c r="F15766" t="s">
        <v>32831</v>
      </c>
      <c r="G15766" t="s">
        <v>32839</v>
      </c>
      <c r="H15766" t="s">
        <v>32849</v>
      </c>
      <c r="I15766" t="s">
        <v>4177</v>
      </c>
      <c r="J15766" t="s">
        <v>42613</v>
      </c>
      <c r="K15766" t="s">
        <v>42836</v>
      </c>
      <c r="M15766" t="s">
        <v>46991</v>
      </c>
      <c r="N15766" t="s">
        <v>47424</v>
      </c>
      <c r="O15766" t="s">
        <v>47425</v>
      </c>
      <c r="Q15766">
        <v>3</v>
      </c>
      <c r="R15766" t="s">
        <v>47529</v>
      </c>
      <c r="S15766" t="s">
        <v>49016</v>
      </c>
      <c r="T15766" t="s">
        <v>49684</v>
      </c>
      <c r="U15766" t="s">
        <v>62479</v>
      </c>
      <c r="W15766" t="s">
        <v>46991</v>
      </c>
      <c r="X15766" t="s">
        <v>47518</v>
      </c>
    </row>
    <row r="15767" spans="1:24">
      <c r="A15767">
        <f>HYPERLINK("https://www.philgeps.gov.ph/GEPSNONPILOT/Tender/SplashBidNoticeAbstractUI.aspx?menuIndex=3&amp;refID=7113169&amp;Result=3","7113169")</f>
        <v>0</v>
      </c>
      <c r="B15767" t="s">
        <v>762</v>
      </c>
      <c r="C15767" t="s">
        <v>18843</v>
      </c>
      <c r="E15767" t="s">
        <v>32685</v>
      </c>
      <c r="F15767" t="s">
        <v>32831</v>
      </c>
      <c r="G15767" t="s">
        <v>32839</v>
      </c>
      <c r="H15767" t="s">
        <v>32848</v>
      </c>
      <c r="I15767" t="s">
        <v>32902</v>
      </c>
      <c r="J15767" t="s">
        <v>42614</v>
      </c>
      <c r="K15767" t="s">
        <v>42732</v>
      </c>
      <c r="M15767" t="s">
        <v>43788</v>
      </c>
      <c r="N15767" t="s">
        <v>47424</v>
      </c>
      <c r="O15767" t="s">
        <v>47425</v>
      </c>
      <c r="Q15767">
        <v>32</v>
      </c>
      <c r="R15767" t="s">
        <v>47451</v>
      </c>
      <c r="S15767" t="s">
        <v>49017</v>
      </c>
      <c r="T15767" t="s">
        <v>49172</v>
      </c>
      <c r="U15767" t="s">
        <v>62480</v>
      </c>
      <c r="W15767" t="s">
        <v>43788</v>
      </c>
      <c r="X15767" t="s">
        <v>47452</v>
      </c>
    </row>
    <row r="15768" spans="1:24">
      <c r="A15768">
        <f>HYPERLINK("https://www.philgeps.gov.ph/GEPSNONPILOT/Tender/SplashBidNoticeAbstractUI.aspx?menuIndex=3&amp;refID=6905957&amp;Result=3","6905957")</f>
        <v>0</v>
      </c>
      <c r="B15768" t="s">
        <v>3622</v>
      </c>
      <c r="C15768" t="s">
        <v>18844</v>
      </c>
      <c r="D15768" t="s">
        <v>19023</v>
      </c>
      <c r="E15768" t="s">
        <v>30030</v>
      </c>
      <c r="F15768" t="s">
        <v>32831</v>
      </c>
      <c r="G15768" t="s">
        <v>32839</v>
      </c>
      <c r="H15768" t="s">
        <v>32849</v>
      </c>
      <c r="I15768" t="s">
        <v>4177</v>
      </c>
      <c r="J15768" t="s">
        <v>42615</v>
      </c>
      <c r="K15768" t="s">
        <v>42826</v>
      </c>
      <c r="M15768" t="s">
        <v>46991</v>
      </c>
      <c r="N15768" t="s">
        <v>47424</v>
      </c>
      <c r="O15768" t="s">
        <v>47425</v>
      </c>
      <c r="Q15768">
        <v>6</v>
      </c>
      <c r="R15768" t="s">
        <v>47529</v>
      </c>
      <c r="S15768" t="s">
        <v>49018</v>
      </c>
      <c r="T15768" t="s">
        <v>49684</v>
      </c>
      <c r="U15768" t="s">
        <v>62481</v>
      </c>
      <c r="W15768" t="s">
        <v>46991</v>
      </c>
      <c r="X15768" t="s">
        <v>47518</v>
      </c>
    </row>
    <row r="15769" spans="1:24">
      <c r="A15769">
        <f>HYPERLINK("https://www.philgeps.gov.ph/GEPSNONPILOT/Tender/SplashBidNoticeAbstractUI.aspx?menuIndex=3&amp;refID=7113129&amp;Result=3","7113129")</f>
        <v>0</v>
      </c>
      <c r="B15769" t="s">
        <v>2204</v>
      </c>
      <c r="C15769" t="s">
        <v>18845</v>
      </c>
      <c r="D15769" t="s">
        <v>19021</v>
      </c>
      <c r="E15769" t="s">
        <v>32686</v>
      </c>
      <c r="F15769" t="s">
        <v>32831</v>
      </c>
      <c r="G15769" t="s">
        <v>32839</v>
      </c>
      <c r="H15769" t="s">
        <v>32848</v>
      </c>
      <c r="I15769" t="s">
        <v>4340</v>
      </c>
      <c r="J15769" t="s">
        <v>42616</v>
      </c>
      <c r="K15769" t="s">
        <v>42730</v>
      </c>
      <c r="M15769" t="s">
        <v>45384</v>
      </c>
      <c r="N15769" t="s">
        <v>47424</v>
      </c>
      <c r="O15769" t="s">
        <v>47425</v>
      </c>
      <c r="P15769">
        <v>0</v>
      </c>
      <c r="Q15769">
        <v>7</v>
      </c>
      <c r="R15769" t="s">
        <v>47451</v>
      </c>
      <c r="S15769" t="s">
        <v>48651</v>
      </c>
      <c r="T15769" t="s">
        <v>49415</v>
      </c>
      <c r="U15769" t="s">
        <v>62482</v>
      </c>
      <c r="W15769" t="s">
        <v>45384</v>
      </c>
      <c r="X15769" t="s">
        <v>47452</v>
      </c>
    </row>
    <row r="15770" spans="1:24">
      <c r="A15770">
        <f>HYPERLINK("https://www.philgeps.gov.ph/GEPSNONPILOT/Tender/SplashBidNoticeAbstractUI.aspx?menuIndex=3&amp;refID=6840310&amp;Result=3","6840310")</f>
        <v>0</v>
      </c>
      <c r="B15770" t="s">
        <v>3147</v>
      </c>
      <c r="C15770" t="s">
        <v>18846</v>
      </c>
      <c r="D15770" t="s">
        <v>19026</v>
      </c>
      <c r="E15770" t="s">
        <v>32687</v>
      </c>
      <c r="F15770" t="s">
        <v>32831</v>
      </c>
      <c r="G15770" t="s">
        <v>32839</v>
      </c>
      <c r="H15770" t="s">
        <v>32849</v>
      </c>
      <c r="I15770" t="s">
        <v>4177</v>
      </c>
      <c r="J15770" t="s">
        <v>42617</v>
      </c>
      <c r="K15770" t="s">
        <v>43016</v>
      </c>
      <c r="M15770" t="s">
        <v>46447</v>
      </c>
      <c r="N15770" t="s">
        <v>47424</v>
      </c>
      <c r="O15770" t="s">
        <v>47425</v>
      </c>
      <c r="Q15770">
        <v>44</v>
      </c>
      <c r="R15770" t="s">
        <v>47526</v>
      </c>
      <c r="S15770" t="s">
        <v>49019</v>
      </c>
      <c r="T15770" t="s">
        <v>49106</v>
      </c>
      <c r="U15770" t="s">
        <v>62483</v>
      </c>
      <c r="V15770" t="s">
        <v>64414</v>
      </c>
      <c r="W15770" t="s">
        <v>46447</v>
      </c>
      <c r="X15770" t="s">
        <v>64606</v>
      </c>
    </row>
    <row r="15771" spans="1:24">
      <c r="A15771">
        <f>HYPERLINK("https://www.philgeps.gov.ph/GEPSNONPILOT/Tender/SplashBidNoticeAbstractUI.aspx?menuIndex=3&amp;refID=6831568&amp;Result=3","6831568")</f>
        <v>0</v>
      </c>
      <c r="B15771" t="s">
        <v>1611</v>
      </c>
      <c r="C15771" t="s">
        <v>18847</v>
      </c>
      <c r="D15771" t="s">
        <v>19077</v>
      </c>
      <c r="E15771" t="s">
        <v>32688</v>
      </c>
      <c r="F15771" t="s">
        <v>32831</v>
      </c>
      <c r="G15771" t="s">
        <v>32839</v>
      </c>
      <c r="H15771" t="s">
        <v>32849</v>
      </c>
      <c r="I15771" t="s">
        <v>4177</v>
      </c>
      <c r="J15771" t="s">
        <v>39594</v>
      </c>
      <c r="K15771" t="s">
        <v>42746</v>
      </c>
      <c r="M15771" t="s">
        <v>44727</v>
      </c>
      <c r="N15771" t="s">
        <v>47424</v>
      </c>
      <c r="O15771" t="s">
        <v>47425</v>
      </c>
      <c r="Q15771">
        <v>1</v>
      </c>
      <c r="R15771" t="s">
        <v>47522</v>
      </c>
      <c r="S15771" t="s">
        <v>49020</v>
      </c>
      <c r="T15771" t="s">
        <v>49129</v>
      </c>
      <c r="U15771" t="s">
        <v>51968</v>
      </c>
      <c r="W15771" t="s">
        <v>44727</v>
      </c>
      <c r="X15771" t="s">
        <v>64602</v>
      </c>
    </row>
    <row r="15772" spans="1:24">
      <c r="A15772">
        <f>HYPERLINK("https://www.philgeps.gov.ph/GEPSNONPILOT/Tender/SplashBidNoticeAbstractUI.aspx?menuIndex=3&amp;refID=7114179&amp;Result=3","7114179")</f>
        <v>0</v>
      </c>
      <c r="B15772" t="s">
        <v>629</v>
      </c>
      <c r="C15772" t="s">
        <v>18848</v>
      </c>
      <c r="D15772" t="s">
        <v>19049</v>
      </c>
      <c r="E15772" t="s">
        <v>32689</v>
      </c>
      <c r="F15772" t="s">
        <v>32831</v>
      </c>
      <c r="G15772" t="s">
        <v>32839</v>
      </c>
      <c r="H15772" t="s">
        <v>32848</v>
      </c>
      <c r="I15772" t="s">
        <v>7416</v>
      </c>
      <c r="J15772" t="s">
        <v>42618</v>
      </c>
      <c r="K15772" t="s">
        <v>42731</v>
      </c>
      <c r="M15772" t="s">
        <v>43646</v>
      </c>
      <c r="N15772" t="s">
        <v>47424</v>
      </c>
      <c r="O15772" t="s">
        <v>47425</v>
      </c>
      <c r="Q15772">
        <v>1</v>
      </c>
      <c r="R15772" t="s">
        <v>47451</v>
      </c>
      <c r="S15772" t="s">
        <v>49021</v>
      </c>
      <c r="T15772" t="s">
        <v>49129</v>
      </c>
      <c r="U15772" t="s">
        <v>62484</v>
      </c>
      <c r="W15772" t="s">
        <v>43646</v>
      </c>
      <c r="X15772" t="s">
        <v>47452</v>
      </c>
    </row>
    <row r="15773" spans="1:24">
      <c r="A15773">
        <f>HYPERLINK("https://www.philgeps.gov.ph/GEPSNONPILOT/Tender/SplashBidNoticeAbstractUI.aspx?menuIndex=3&amp;refID=7122091&amp;Result=3","7122091")</f>
        <v>0</v>
      </c>
      <c r="B15773" t="s">
        <v>616</v>
      </c>
      <c r="C15773" t="s">
        <v>18849</v>
      </c>
      <c r="D15773" t="s">
        <v>19059</v>
      </c>
      <c r="E15773" t="s">
        <v>32690</v>
      </c>
      <c r="F15773" t="s">
        <v>32831</v>
      </c>
      <c r="G15773" t="s">
        <v>32839</v>
      </c>
      <c r="H15773" t="s">
        <v>32848</v>
      </c>
      <c r="I15773" t="s">
        <v>7416</v>
      </c>
      <c r="J15773" t="s">
        <v>42619</v>
      </c>
      <c r="K15773" t="s">
        <v>42730</v>
      </c>
      <c r="L15773" t="s">
        <v>616</v>
      </c>
      <c r="M15773" t="s">
        <v>43630</v>
      </c>
      <c r="N15773" t="s">
        <v>47424</v>
      </c>
      <c r="O15773" t="s">
        <v>47425</v>
      </c>
      <c r="P15773">
        <v>0</v>
      </c>
      <c r="Q15773">
        <v>11</v>
      </c>
      <c r="R15773" t="s">
        <v>47447</v>
      </c>
      <c r="S15773" t="s">
        <v>48494</v>
      </c>
      <c r="T15773" t="s">
        <v>49237</v>
      </c>
      <c r="U15773" t="s">
        <v>62485</v>
      </c>
      <c r="W15773" t="s">
        <v>43630</v>
      </c>
      <c r="X15773" t="s">
        <v>47448</v>
      </c>
    </row>
    <row r="15774" spans="1:24">
      <c r="A15774">
        <f>HYPERLINK("https://www.philgeps.gov.ph/GEPSNONPILOT/Tender/SplashBidNoticeAbstractUI.aspx?menuIndex=3&amp;refID=7112391&amp;Result=3","7112391")</f>
        <v>0</v>
      </c>
      <c r="B15774" t="s">
        <v>2350</v>
      </c>
      <c r="C15774" t="s">
        <v>18850</v>
      </c>
      <c r="D15774" t="s">
        <v>19018</v>
      </c>
      <c r="E15774" t="s">
        <v>32691</v>
      </c>
      <c r="F15774" t="s">
        <v>32831</v>
      </c>
      <c r="G15774" t="s">
        <v>32839</v>
      </c>
      <c r="H15774" t="s">
        <v>32848</v>
      </c>
      <c r="I15774" t="s">
        <v>32855</v>
      </c>
      <c r="J15774" t="s">
        <v>39992</v>
      </c>
      <c r="K15774" t="s">
        <v>42729</v>
      </c>
      <c r="M15774" t="s">
        <v>47331</v>
      </c>
      <c r="N15774" t="s">
        <v>47424</v>
      </c>
      <c r="O15774" t="s">
        <v>47425</v>
      </c>
      <c r="P15774">
        <v>0</v>
      </c>
      <c r="Q15774">
        <v>5</v>
      </c>
      <c r="R15774" t="s">
        <v>47451</v>
      </c>
      <c r="S15774" t="s">
        <v>48651</v>
      </c>
      <c r="T15774" t="s">
        <v>49111</v>
      </c>
      <c r="U15774" t="s">
        <v>62486</v>
      </c>
      <c r="W15774" t="s">
        <v>47331</v>
      </c>
      <c r="X15774" t="s">
        <v>47453</v>
      </c>
    </row>
    <row r="15775" spans="1:24">
      <c r="A15775">
        <f>HYPERLINK("https://www.philgeps.gov.ph/GEPSNONPILOT/Tender/SplashBidNoticeAbstractUI.aspx?menuIndex=3&amp;refID=7112226&amp;Result=3","7112226")</f>
        <v>0</v>
      </c>
      <c r="B15775" t="s">
        <v>2350</v>
      </c>
      <c r="C15775" t="s">
        <v>18851</v>
      </c>
      <c r="D15775" t="s">
        <v>19018</v>
      </c>
      <c r="E15775" t="s">
        <v>32692</v>
      </c>
      <c r="F15775" t="s">
        <v>32831</v>
      </c>
      <c r="G15775" t="s">
        <v>32839</v>
      </c>
      <c r="H15775" t="s">
        <v>32848</v>
      </c>
      <c r="I15775" t="s">
        <v>32931</v>
      </c>
      <c r="J15775" t="s">
        <v>42416</v>
      </c>
      <c r="K15775" t="s">
        <v>42729</v>
      </c>
      <c r="M15775" t="s">
        <v>47331</v>
      </c>
      <c r="N15775" t="s">
        <v>47424</v>
      </c>
      <c r="O15775" t="s">
        <v>47425</v>
      </c>
      <c r="Q15775">
        <v>9</v>
      </c>
      <c r="R15775" t="s">
        <v>47451</v>
      </c>
      <c r="S15775" t="s">
        <v>49022</v>
      </c>
      <c r="T15775" t="s">
        <v>49111</v>
      </c>
      <c r="U15775" t="s">
        <v>62487</v>
      </c>
      <c r="W15775" t="s">
        <v>47331</v>
      </c>
      <c r="X15775" t="s">
        <v>47453</v>
      </c>
    </row>
    <row r="15776" spans="1:24">
      <c r="A15776">
        <f>HYPERLINK("https://www.philgeps.gov.ph/GEPSNONPILOT/Tender/SplashBidNoticeAbstractUI.aspx?menuIndex=3&amp;refID=7121976&amp;Result=3","7121976")</f>
        <v>0</v>
      </c>
      <c r="B15776" t="s">
        <v>3919</v>
      </c>
      <c r="C15776" t="s">
        <v>18852</v>
      </c>
      <c r="D15776" t="s">
        <v>19044</v>
      </c>
      <c r="E15776" t="s">
        <v>32693</v>
      </c>
      <c r="F15776" t="s">
        <v>32831</v>
      </c>
      <c r="G15776" t="s">
        <v>32839</v>
      </c>
      <c r="H15776" t="s">
        <v>32849</v>
      </c>
      <c r="I15776" t="s">
        <v>4177</v>
      </c>
      <c r="J15776" t="s">
        <v>33044</v>
      </c>
      <c r="K15776" t="s">
        <v>42763</v>
      </c>
      <c r="M15776" t="s">
        <v>47407</v>
      </c>
      <c r="N15776" t="s">
        <v>47424</v>
      </c>
      <c r="O15776" t="s">
        <v>47425</v>
      </c>
      <c r="P15776">
        <v>0</v>
      </c>
      <c r="Q15776">
        <v>0</v>
      </c>
      <c r="R15776" t="s">
        <v>47447</v>
      </c>
      <c r="S15776" t="s">
        <v>48494</v>
      </c>
      <c r="T15776" t="s">
        <v>49111</v>
      </c>
      <c r="U15776" t="s">
        <v>62488</v>
      </c>
      <c r="W15776" t="s">
        <v>47407</v>
      </c>
      <c r="X15776" t="s">
        <v>47448</v>
      </c>
    </row>
    <row r="15777" spans="1:24">
      <c r="A15777">
        <f>HYPERLINK("https://www.philgeps.gov.ph/GEPSNONPILOT/Tender/SplashBidNoticeAbstractUI.aspx?menuIndex=3&amp;refID=7121915&amp;Result=3","7121915")</f>
        <v>0</v>
      </c>
      <c r="B15777" t="s">
        <v>3920</v>
      </c>
      <c r="C15777" t="s">
        <v>18853</v>
      </c>
      <c r="D15777" t="s">
        <v>19038</v>
      </c>
      <c r="E15777" t="s">
        <v>30585</v>
      </c>
      <c r="F15777" t="s">
        <v>32831</v>
      </c>
      <c r="G15777" t="s">
        <v>32839</v>
      </c>
      <c r="H15777" t="s">
        <v>32848</v>
      </c>
      <c r="I15777" t="s">
        <v>6526</v>
      </c>
      <c r="J15777" t="s">
        <v>42620</v>
      </c>
      <c r="K15777" t="s">
        <v>42727</v>
      </c>
      <c r="M15777" t="s">
        <v>47408</v>
      </c>
      <c r="N15777" t="s">
        <v>47424</v>
      </c>
      <c r="O15777" t="s">
        <v>47425</v>
      </c>
      <c r="P15777">
        <v>0</v>
      </c>
      <c r="Q15777">
        <v>0</v>
      </c>
      <c r="R15777" t="s">
        <v>47447</v>
      </c>
      <c r="S15777" t="s">
        <v>48494</v>
      </c>
      <c r="T15777" t="s">
        <v>49212</v>
      </c>
      <c r="U15777" t="s">
        <v>62489</v>
      </c>
      <c r="W15777" t="s">
        <v>47408</v>
      </c>
      <c r="X15777" t="s">
        <v>47448</v>
      </c>
    </row>
    <row r="15778" spans="1:24">
      <c r="A15778">
        <f>HYPERLINK("https://www.philgeps.gov.ph/GEPSNONPILOT/Tender/SplashBidNoticeAbstractUI.aspx?menuIndex=3&amp;refID=7121583&amp;Result=3","7121583")</f>
        <v>0</v>
      </c>
      <c r="B15778" t="s">
        <v>3914</v>
      </c>
      <c r="C15778" t="s">
        <v>18854</v>
      </c>
      <c r="D15778" t="s">
        <v>19077</v>
      </c>
      <c r="E15778" t="s">
        <v>32694</v>
      </c>
      <c r="F15778" t="s">
        <v>32831</v>
      </c>
      <c r="G15778" t="s">
        <v>32839</v>
      </c>
      <c r="H15778" t="s">
        <v>32850</v>
      </c>
      <c r="I15778" t="s">
        <v>5667</v>
      </c>
      <c r="J15778" t="s">
        <v>42621</v>
      </c>
      <c r="K15778" t="s">
        <v>42786</v>
      </c>
      <c r="M15778" t="s">
        <v>47399</v>
      </c>
      <c r="N15778" t="s">
        <v>47424</v>
      </c>
      <c r="O15778" t="s">
        <v>47425</v>
      </c>
      <c r="Q15778">
        <v>3</v>
      </c>
      <c r="R15778" t="s">
        <v>47447</v>
      </c>
      <c r="S15778" t="s">
        <v>49023</v>
      </c>
      <c r="T15778" t="s">
        <v>49087</v>
      </c>
      <c r="U15778" t="s">
        <v>62490</v>
      </c>
      <c r="V15778" t="s">
        <v>62718</v>
      </c>
      <c r="W15778" t="s">
        <v>47399</v>
      </c>
      <c r="X15778" t="s">
        <v>47448</v>
      </c>
    </row>
    <row r="15779" spans="1:24">
      <c r="A15779">
        <f>HYPERLINK("https://www.philgeps.gov.ph/GEPSNONPILOT/Tender/SplashBidNoticeAbstractUI.aspx?menuIndex=3&amp;refID=7121963&amp;Result=3","7121963")</f>
        <v>0</v>
      </c>
      <c r="B15779" t="s">
        <v>3920</v>
      </c>
      <c r="C15779" t="s">
        <v>18855</v>
      </c>
      <c r="D15779" t="s">
        <v>19038</v>
      </c>
      <c r="E15779" t="s">
        <v>30843</v>
      </c>
      <c r="F15779" t="s">
        <v>32831</v>
      </c>
      <c r="G15779" t="s">
        <v>32839</v>
      </c>
      <c r="H15779" t="s">
        <v>32848</v>
      </c>
      <c r="I15779" t="s">
        <v>32854</v>
      </c>
      <c r="J15779" t="s">
        <v>42622</v>
      </c>
      <c r="K15779" t="s">
        <v>42727</v>
      </c>
      <c r="M15779" t="s">
        <v>47408</v>
      </c>
      <c r="N15779" t="s">
        <v>47424</v>
      </c>
      <c r="O15779" t="s">
        <v>47425</v>
      </c>
      <c r="P15779">
        <v>0</v>
      </c>
      <c r="Q15779">
        <v>3</v>
      </c>
      <c r="R15779" t="s">
        <v>47447</v>
      </c>
      <c r="S15779" t="s">
        <v>48494</v>
      </c>
      <c r="T15779" t="s">
        <v>49212</v>
      </c>
      <c r="U15779" t="s">
        <v>62491</v>
      </c>
      <c r="W15779" t="s">
        <v>47408</v>
      </c>
      <c r="X15779" t="s">
        <v>47448</v>
      </c>
    </row>
    <row r="15780" spans="1:24">
      <c r="A15780">
        <f>HYPERLINK("https://www.philgeps.gov.ph/GEPSNONPILOT/Tender/SplashBidNoticeAbstractUI.aspx?menuIndex=3&amp;refID=7121580&amp;Result=3","7121580")</f>
        <v>0</v>
      </c>
      <c r="B15780" t="s">
        <v>3103</v>
      </c>
      <c r="C15780" t="s">
        <v>18856</v>
      </c>
      <c r="D15780" t="s">
        <v>19103</v>
      </c>
      <c r="E15780" t="s">
        <v>32695</v>
      </c>
      <c r="F15780" t="s">
        <v>32831</v>
      </c>
      <c r="G15780" t="s">
        <v>32839</v>
      </c>
      <c r="H15780" t="s">
        <v>32848</v>
      </c>
      <c r="I15780" t="s">
        <v>32855</v>
      </c>
      <c r="J15780" t="s">
        <v>42623</v>
      </c>
      <c r="K15780" t="s">
        <v>42730</v>
      </c>
      <c r="M15780" t="s">
        <v>46387</v>
      </c>
      <c r="N15780" t="s">
        <v>47424</v>
      </c>
      <c r="O15780" t="s">
        <v>47425</v>
      </c>
      <c r="P15780">
        <v>0</v>
      </c>
      <c r="Q15780">
        <v>4</v>
      </c>
      <c r="R15780" t="s">
        <v>47447</v>
      </c>
      <c r="S15780" t="s">
        <v>48494</v>
      </c>
      <c r="T15780" t="s">
        <v>49162</v>
      </c>
      <c r="U15780" t="s">
        <v>62492</v>
      </c>
      <c r="W15780" t="s">
        <v>46387</v>
      </c>
      <c r="X15780" t="s">
        <v>47448</v>
      </c>
    </row>
    <row r="15781" spans="1:24">
      <c r="A15781">
        <f>HYPERLINK("https://www.philgeps.gov.ph/GEPSNONPILOT/Tender/SplashBidNoticeAbstractUI.aspx?menuIndex=3&amp;refID=7121509&amp;Result=3","7121509")</f>
        <v>0</v>
      </c>
      <c r="B15781" t="s">
        <v>2480</v>
      </c>
      <c r="C15781" t="s">
        <v>18857</v>
      </c>
      <c r="D15781" t="s">
        <v>19075</v>
      </c>
      <c r="E15781" t="s">
        <v>32696</v>
      </c>
      <c r="F15781" t="s">
        <v>32831</v>
      </c>
      <c r="G15781" t="s">
        <v>32839</v>
      </c>
      <c r="H15781" t="s">
        <v>32848</v>
      </c>
      <c r="I15781" t="s">
        <v>7416</v>
      </c>
      <c r="J15781" t="s">
        <v>42624</v>
      </c>
      <c r="K15781" t="s">
        <v>42732</v>
      </c>
      <c r="M15781" t="s">
        <v>45682</v>
      </c>
      <c r="N15781" t="s">
        <v>47424</v>
      </c>
      <c r="O15781" t="s">
        <v>47425</v>
      </c>
      <c r="P15781">
        <v>0</v>
      </c>
      <c r="Q15781">
        <v>5</v>
      </c>
      <c r="R15781" t="s">
        <v>47447</v>
      </c>
      <c r="S15781" t="s">
        <v>48494</v>
      </c>
      <c r="T15781" t="s">
        <v>49685</v>
      </c>
      <c r="U15781" t="s">
        <v>55604</v>
      </c>
      <c r="W15781" t="s">
        <v>45682</v>
      </c>
      <c r="X15781" t="s">
        <v>47448</v>
      </c>
    </row>
    <row r="15782" spans="1:24">
      <c r="A15782">
        <f>HYPERLINK("https://www.philgeps.gov.ph/GEPSNONPILOT/Tender/SplashBidNoticeAbstractUI.aspx?menuIndex=3&amp;refID=7121579&amp;Result=3","7121579")</f>
        <v>0</v>
      </c>
      <c r="B15782" t="s">
        <v>67</v>
      </c>
      <c r="C15782" t="s">
        <v>18858</v>
      </c>
      <c r="D15782" t="s">
        <v>19079</v>
      </c>
      <c r="E15782" t="s">
        <v>32697</v>
      </c>
      <c r="F15782" t="s">
        <v>32831</v>
      </c>
      <c r="G15782" t="s">
        <v>32839</v>
      </c>
      <c r="H15782" t="s">
        <v>32848</v>
      </c>
      <c r="I15782" t="s">
        <v>4471</v>
      </c>
      <c r="J15782" t="s">
        <v>36025</v>
      </c>
      <c r="K15782" t="s">
        <v>42729</v>
      </c>
      <c r="M15782" t="s">
        <v>44711</v>
      </c>
      <c r="N15782" t="s">
        <v>47424</v>
      </c>
      <c r="O15782" t="s">
        <v>47425</v>
      </c>
      <c r="Q15782">
        <v>5</v>
      </c>
      <c r="R15782" t="s">
        <v>47447</v>
      </c>
      <c r="S15782" t="s">
        <v>49024</v>
      </c>
      <c r="T15782" t="s">
        <v>49321</v>
      </c>
      <c r="U15782" t="s">
        <v>62493</v>
      </c>
      <c r="W15782" t="s">
        <v>44711</v>
      </c>
      <c r="X15782" t="s">
        <v>47448</v>
      </c>
    </row>
    <row r="15783" spans="1:24">
      <c r="A15783">
        <f>HYPERLINK("https://www.philgeps.gov.ph/GEPSNONPILOT/Tender/SplashBidNoticeAbstractUI.aspx?menuIndex=3&amp;refID=7122062&amp;Result=3","7122062")</f>
        <v>0</v>
      </c>
      <c r="B15783" t="s">
        <v>2363</v>
      </c>
      <c r="C15783" t="s">
        <v>18859</v>
      </c>
      <c r="E15783" t="s">
        <v>32698</v>
      </c>
      <c r="F15783" t="s">
        <v>32831</v>
      </c>
      <c r="G15783" t="s">
        <v>32839</v>
      </c>
      <c r="H15783" t="s">
        <v>32848</v>
      </c>
      <c r="I15783" t="s">
        <v>4487</v>
      </c>
      <c r="J15783" t="s">
        <v>33561</v>
      </c>
      <c r="K15783" t="s">
        <v>42732</v>
      </c>
      <c r="M15783" t="s">
        <v>45975</v>
      </c>
      <c r="N15783" t="s">
        <v>47424</v>
      </c>
      <c r="O15783" t="s">
        <v>47425</v>
      </c>
      <c r="Q15783">
        <v>15</v>
      </c>
      <c r="R15783" t="s">
        <v>47447</v>
      </c>
      <c r="S15783" t="s">
        <v>49025</v>
      </c>
      <c r="T15783" t="s">
        <v>49686</v>
      </c>
      <c r="U15783" t="s">
        <v>62494</v>
      </c>
      <c r="W15783" t="s">
        <v>45975</v>
      </c>
      <c r="X15783" t="s">
        <v>47448</v>
      </c>
    </row>
    <row r="15784" spans="1:24">
      <c r="A15784">
        <f>HYPERLINK("https://www.philgeps.gov.ph/GEPSNONPILOT/Tender/SplashBidNoticeAbstractUI.aspx?menuIndex=3&amp;refID=7121471&amp;Result=3","7121471")</f>
        <v>0</v>
      </c>
      <c r="B15784" t="s">
        <v>513</v>
      </c>
      <c r="C15784" t="s">
        <v>18860</v>
      </c>
      <c r="D15784" t="s">
        <v>19018</v>
      </c>
      <c r="E15784" t="s">
        <v>32699</v>
      </c>
      <c r="F15784" t="s">
        <v>32831</v>
      </c>
      <c r="G15784" t="s">
        <v>32839</v>
      </c>
      <c r="H15784" t="s">
        <v>32848</v>
      </c>
      <c r="I15784" t="s">
        <v>32870</v>
      </c>
      <c r="J15784" t="s">
        <v>42625</v>
      </c>
      <c r="K15784" t="s">
        <v>42726</v>
      </c>
      <c r="M15784" t="s">
        <v>43518</v>
      </c>
      <c r="N15784" t="s">
        <v>47424</v>
      </c>
      <c r="O15784" t="s">
        <v>47425</v>
      </c>
      <c r="Q15784">
        <v>0</v>
      </c>
      <c r="R15784" t="s">
        <v>47447</v>
      </c>
      <c r="S15784" t="s">
        <v>49026</v>
      </c>
      <c r="T15784" t="s">
        <v>49214</v>
      </c>
      <c r="U15784" t="s">
        <v>62495</v>
      </c>
      <c r="V15784" t="s">
        <v>64415</v>
      </c>
      <c r="W15784" t="s">
        <v>64441</v>
      </c>
      <c r="X15784" t="s">
        <v>47448</v>
      </c>
    </row>
    <row r="15785" spans="1:24">
      <c r="A15785">
        <f>HYPERLINK("https://www.philgeps.gov.ph/GEPSNONPILOT/Tender/SplashBidNoticeAbstractUI.aspx?menuIndex=3&amp;refID=7121439&amp;Result=3","7121439")</f>
        <v>0</v>
      </c>
      <c r="B15785" t="s">
        <v>67</v>
      </c>
      <c r="C15785" t="s">
        <v>18861</v>
      </c>
      <c r="D15785" t="s">
        <v>19079</v>
      </c>
      <c r="E15785" t="s">
        <v>32700</v>
      </c>
      <c r="F15785" t="s">
        <v>32831</v>
      </c>
      <c r="G15785" t="s">
        <v>32839</v>
      </c>
      <c r="H15785" t="s">
        <v>32848</v>
      </c>
      <c r="I15785" t="s">
        <v>32851</v>
      </c>
      <c r="J15785" t="s">
        <v>42626</v>
      </c>
      <c r="K15785" t="s">
        <v>42763</v>
      </c>
      <c r="M15785" t="s">
        <v>44711</v>
      </c>
      <c r="N15785" t="s">
        <v>47424</v>
      </c>
      <c r="O15785" t="s">
        <v>47425</v>
      </c>
      <c r="Q15785">
        <v>4</v>
      </c>
      <c r="R15785" t="s">
        <v>47447</v>
      </c>
      <c r="S15785" t="s">
        <v>48347</v>
      </c>
      <c r="T15785" t="s">
        <v>49321</v>
      </c>
      <c r="U15785" t="s">
        <v>62496</v>
      </c>
      <c r="W15785" t="s">
        <v>44711</v>
      </c>
      <c r="X15785" t="s">
        <v>47448</v>
      </c>
    </row>
    <row r="15786" spans="1:24">
      <c r="A15786">
        <f>HYPERLINK("https://www.philgeps.gov.ph/GEPSNONPILOT/Tender/SplashBidNoticeAbstractUI.aspx?menuIndex=3&amp;refID=7121444&amp;Result=3","7121444")</f>
        <v>0</v>
      </c>
      <c r="B15786" t="s">
        <v>3434</v>
      </c>
      <c r="C15786" t="s">
        <v>18862</v>
      </c>
      <c r="D15786" t="s">
        <v>19032</v>
      </c>
      <c r="E15786" t="s">
        <v>32701</v>
      </c>
      <c r="F15786" t="s">
        <v>32831</v>
      </c>
      <c r="G15786" t="s">
        <v>32839</v>
      </c>
      <c r="H15786" t="s">
        <v>32848</v>
      </c>
      <c r="I15786" t="s">
        <v>32931</v>
      </c>
      <c r="J15786" t="s">
        <v>32978</v>
      </c>
      <c r="K15786" t="s">
        <v>42730</v>
      </c>
      <c r="M15786" t="s">
        <v>47409</v>
      </c>
      <c r="N15786" t="s">
        <v>47424</v>
      </c>
      <c r="O15786" t="s">
        <v>47425</v>
      </c>
      <c r="P15786">
        <v>0</v>
      </c>
      <c r="Q15786">
        <v>7</v>
      </c>
      <c r="R15786" t="s">
        <v>47447</v>
      </c>
      <c r="S15786" t="s">
        <v>48494</v>
      </c>
      <c r="T15786" t="s">
        <v>49141</v>
      </c>
      <c r="U15786" t="s">
        <v>62497</v>
      </c>
      <c r="W15786" t="s">
        <v>46769</v>
      </c>
      <c r="X15786" t="s">
        <v>47448</v>
      </c>
    </row>
    <row r="15787" spans="1:24">
      <c r="A15787">
        <f>HYPERLINK("https://www.philgeps.gov.ph/GEPSNONPILOT/Tender/SplashBidNoticeAbstractUI.aspx?menuIndex=3&amp;refID=7121175&amp;Result=3","7121175")</f>
        <v>0</v>
      </c>
      <c r="B15787" t="s">
        <v>67</v>
      </c>
      <c r="C15787" t="s">
        <v>18863</v>
      </c>
      <c r="D15787" t="s">
        <v>19079</v>
      </c>
      <c r="E15787" t="s">
        <v>32702</v>
      </c>
      <c r="F15787" t="s">
        <v>32831</v>
      </c>
      <c r="G15787" t="s">
        <v>32839</v>
      </c>
      <c r="H15787" t="s">
        <v>32848</v>
      </c>
      <c r="I15787" t="s">
        <v>32886</v>
      </c>
      <c r="J15787" t="s">
        <v>33257</v>
      </c>
      <c r="K15787" t="s">
        <v>42730</v>
      </c>
      <c r="M15787" t="s">
        <v>44711</v>
      </c>
      <c r="N15787" t="s">
        <v>47424</v>
      </c>
      <c r="O15787" t="s">
        <v>47425</v>
      </c>
      <c r="Q15787">
        <v>4</v>
      </c>
      <c r="R15787" t="s">
        <v>47447</v>
      </c>
      <c r="S15787" t="s">
        <v>47977</v>
      </c>
      <c r="T15787" t="s">
        <v>49328</v>
      </c>
      <c r="U15787" t="s">
        <v>62498</v>
      </c>
      <c r="W15787" t="s">
        <v>44711</v>
      </c>
      <c r="X15787" t="s">
        <v>47448</v>
      </c>
    </row>
    <row r="15788" spans="1:24">
      <c r="A15788">
        <f>HYPERLINK("https://www.philgeps.gov.ph/GEPSNONPILOT/Tender/SplashBidNoticeAbstractUI.aspx?menuIndex=3&amp;refID=7121171&amp;Result=3","7121171")</f>
        <v>0</v>
      </c>
      <c r="B15788" t="s">
        <v>3131</v>
      </c>
      <c r="C15788" t="s">
        <v>18864</v>
      </c>
      <c r="D15788" t="s">
        <v>19074</v>
      </c>
      <c r="E15788" t="s">
        <v>24188</v>
      </c>
      <c r="F15788" t="s">
        <v>32831</v>
      </c>
      <c r="G15788" t="s">
        <v>32839</v>
      </c>
      <c r="H15788" t="s">
        <v>32849</v>
      </c>
      <c r="I15788" t="s">
        <v>4177</v>
      </c>
      <c r="J15788" t="s">
        <v>36118</v>
      </c>
      <c r="K15788" t="s">
        <v>42757</v>
      </c>
      <c r="M15788" t="s">
        <v>46426</v>
      </c>
      <c r="N15788" t="s">
        <v>47424</v>
      </c>
      <c r="O15788" t="s">
        <v>47425</v>
      </c>
      <c r="P15788">
        <v>0</v>
      </c>
      <c r="Q15788">
        <v>0</v>
      </c>
      <c r="R15788" t="s">
        <v>47447</v>
      </c>
      <c r="S15788" t="s">
        <v>48494</v>
      </c>
      <c r="T15788" t="s">
        <v>49239</v>
      </c>
      <c r="U15788" t="s">
        <v>62499</v>
      </c>
      <c r="V15788" t="s">
        <v>64416</v>
      </c>
      <c r="W15788" t="s">
        <v>46426</v>
      </c>
      <c r="X15788" t="s">
        <v>47448</v>
      </c>
    </row>
    <row r="15789" spans="1:24">
      <c r="A15789">
        <f>HYPERLINK("https://www.philgeps.gov.ph/GEPSNONPILOT/Tender/SplashBidNoticeAbstractUI.aspx?menuIndex=3&amp;refID=7120955&amp;Result=3","7120955")</f>
        <v>0</v>
      </c>
      <c r="B15789" t="s">
        <v>1355</v>
      </c>
      <c r="C15789" t="s">
        <v>18865</v>
      </c>
      <c r="D15789" t="s">
        <v>19103</v>
      </c>
      <c r="E15789" t="s">
        <v>32703</v>
      </c>
      <c r="F15789" t="s">
        <v>32831</v>
      </c>
      <c r="G15789" t="s">
        <v>32839</v>
      </c>
      <c r="H15789" t="s">
        <v>32849</v>
      </c>
      <c r="I15789" t="s">
        <v>4177</v>
      </c>
      <c r="J15789" t="s">
        <v>42627</v>
      </c>
      <c r="K15789" t="s">
        <v>42743</v>
      </c>
      <c r="M15789" t="s">
        <v>44431</v>
      </c>
      <c r="N15789" t="s">
        <v>47424</v>
      </c>
      <c r="O15789" t="s">
        <v>47425</v>
      </c>
      <c r="P15789">
        <v>0</v>
      </c>
      <c r="Q15789">
        <v>1</v>
      </c>
      <c r="R15789" t="s">
        <v>47447</v>
      </c>
      <c r="S15789" t="s">
        <v>48494</v>
      </c>
      <c r="T15789" t="s">
        <v>49466</v>
      </c>
      <c r="U15789" t="s">
        <v>62500</v>
      </c>
      <c r="W15789" t="s">
        <v>44431</v>
      </c>
      <c r="X15789" t="s">
        <v>47448</v>
      </c>
    </row>
    <row r="15790" spans="1:24">
      <c r="A15790">
        <f>HYPERLINK("https://www.philgeps.gov.ph/GEPSNONPILOT/Tender/SplashBidNoticeAbstractUI.aspx?menuIndex=3&amp;refID=7121152&amp;Result=3","7121152")</f>
        <v>0</v>
      </c>
      <c r="B15790" t="s">
        <v>3332</v>
      </c>
      <c r="C15790" t="s">
        <v>18866</v>
      </c>
      <c r="D15790" t="s">
        <v>19017</v>
      </c>
      <c r="E15790" t="s">
        <v>32704</v>
      </c>
      <c r="F15790" t="s">
        <v>32831</v>
      </c>
      <c r="G15790" t="s">
        <v>32840</v>
      </c>
      <c r="H15790" t="s">
        <v>32848</v>
      </c>
      <c r="I15790" t="s">
        <v>32874</v>
      </c>
      <c r="J15790" t="s">
        <v>42628</v>
      </c>
      <c r="K15790" t="s">
        <v>42732</v>
      </c>
      <c r="M15790" t="s">
        <v>47136</v>
      </c>
      <c r="N15790" t="s">
        <v>47424</v>
      </c>
      <c r="O15790" t="s">
        <v>47425</v>
      </c>
      <c r="Q15790">
        <v>12</v>
      </c>
      <c r="R15790" t="s">
        <v>47447</v>
      </c>
      <c r="S15790" t="s">
        <v>49027</v>
      </c>
      <c r="T15790" t="s">
        <v>49089</v>
      </c>
      <c r="U15790" t="s">
        <v>62501</v>
      </c>
      <c r="V15790" t="s">
        <v>64417</v>
      </c>
      <c r="W15790" t="s">
        <v>47136</v>
      </c>
      <c r="X15790" t="s">
        <v>47448</v>
      </c>
    </row>
    <row r="15791" spans="1:24">
      <c r="A15791">
        <f>HYPERLINK("https://www.philgeps.gov.ph/GEPSNONPILOT/Tender/SplashBidNoticeAbstractUI.aspx?menuIndex=3&amp;refID=7121185&amp;Result=3","7121185")</f>
        <v>0</v>
      </c>
      <c r="B15791" t="s">
        <v>2480</v>
      </c>
      <c r="C15791" t="s">
        <v>18867</v>
      </c>
      <c r="D15791" t="s">
        <v>19075</v>
      </c>
      <c r="E15791" t="s">
        <v>32705</v>
      </c>
      <c r="F15791" t="s">
        <v>32831</v>
      </c>
      <c r="G15791" t="s">
        <v>32839</v>
      </c>
      <c r="H15791" t="s">
        <v>32848</v>
      </c>
      <c r="I15791" t="s">
        <v>32973</v>
      </c>
      <c r="J15791" t="s">
        <v>42629</v>
      </c>
      <c r="K15791" t="s">
        <v>42732</v>
      </c>
      <c r="M15791" t="s">
        <v>45682</v>
      </c>
      <c r="N15791" t="s">
        <v>47424</v>
      </c>
      <c r="O15791" t="s">
        <v>47425</v>
      </c>
      <c r="Q15791">
        <v>7</v>
      </c>
      <c r="R15791" t="s">
        <v>47447</v>
      </c>
      <c r="S15791" t="s">
        <v>47785</v>
      </c>
      <c r="T15791" t="s">
        <v>49239</v>
      </c>
      <c r="U15791" t="s">
        <v>55604</v>
      </c>
      <c r="W15791" t="s">
        <v>45682</v>
      </c>
      <c r="X15791" t="s">
        <v>47448</v>
      </c>
    </row>
    <row r="15792" spans="1:24">
      <c r="A15792">
        <f>HYPERLINK("https://www.philgeps.gov.ph/GEPSNONPILOT/Tender/SplashBidNoticeAbstractUI.aspx?menuIndex=3&amp;refID=7120937&amp;Result=3","7120937")</f>
        <v>0</v>
      </c>
      <c r="B15792" t="s">
        <v>992</v>
      </c>
      <c r="C15792" t="s">
        <v>18868</v>
      </c>
      <c r="D15792" t="s">
        <v>19030</v>
      </c>
      <c r="E15792" t="s">
        <v>32706</v>
      </c>
      <c r="F15792" t="s">
        <v>32831</v>
      </c>
      <c r="G15792" t="s">
        <v>32839</v>
      </c>
      <c r="H15792" t="s">
        <v>32848</v>
      </c>
      <c r="I15792" t="s">
        <v>32863</v>
      </c>
      <c r="J15792" t="s">
        <v>42630</v>
      </c>
      <c r="K15792" t="s">
        <v>42745</v>
      </c>
      <c r="M15792" t="s">
        <v>44041</v>
      </c>
      <c r="N15792" t="s">
        <v>47424</v>
      </c>
      <c r="O15792" t="s">
        <v>47425</v>
      </c>
      <c r="P15792">
        <v>0</v>
      </c>
      <c r="Q15792">
        <v>2</v>
      </c>
      <c r="R15792" t="s">
        <v>47447</v>
      </c>
      <c r="S15792" t="s">
        <v>48494</v>
      </c>
      <c r="T15792" t="s">
        <v>49415</v>
      </c>
      <c r="U15792" t="s">
        <v>62502</v>
      </c>
      <c r="W15792" t="s">
        <v>44041</v>
      </c>
      <c r="X15792" t="s">
        <v>47448</v>
      </c>
    </row>
    <row r="15793" spans="1:24">
      <c r="A15793">
        <f>HYPERLINK("https://www.philgeps.gov.ph/GEPSNONPILOT/Tender/SplashBidNoticeAbstractUI.aspx?menuIndex=3&amp;refID=7120935&amp;Result=3","7120935")</f>
        <v>0</v>
      </c>
      <c r="B15793" t="s">
        <v>283</v>
      </c>
      <c r="C15793" t="s">
        <v>18869</v>
      </c>
      <c r="D15793" t="s">
        <v>19037</v>
      </c>
      <c r="E15793" t="s">
        <v>32707</v>
      </c>
      <c r="F15793" t="s">
        <v>32831</v>
      </c>
      <c r="G15793" t="s">
        <v>32839</v>
      </c>
      <c r="H15793" t="s">
        <v>32848</v>
      </c>
      <c r="I15793" t="s">
        <v>7416</v>
      </c>
      <c r="J15793" t="s">
        <v>42631</v>
      </c>
      <c r="K15793" t="s">
        <v>42727</v>
      </c>
      <c r="M15793" t="s">
        <v>43282</v>
      </c>
      <c r="N15793" t="s">
        <v>47424</v>
      </c>
      <c r="O15793" t="s">
        <v>47425</v>
      </c>
      <c r="P15793">
        <v>0</v>
      </c>
      <c r="Q15793">
        <v>0</v>
      </c>
      <c r="R15793" t="s">
        <v>47447</v>
      </c>
      <c r="S15793" t="s">
        <v>48494</v>
      </c>
      <c r="T15793" t="s">
        <v>49068</v>
      </c>
      <c r="U15793" t="s">
        <v>50176</v>
      </c>
      <c r="V15793" t="s">
        <v>64317</v>
      </c>
      <c r="W15793" t="s">
        <v>43282</v>
      </c>
      <c r="X15793" t="s">
        <v>47448</v>
      </c>
    </row>
    <row r="15794" spans="1:24">
      <c r="A15794">
        <f>HYPERLINK("https://www.philgeps.gov.ph/GEPSNONPILOT/Tender/SplashBidNoticeAbstractUI.aspx?menuIndex=3&amp;refID=7121183&amp;Result=3","7121183")</f>
        <v>0</v>
      </c>
      <c r="B15794" t="s">
        <v>316</v>
      </c>
      <c r="C15794" t="s">
        <v>18870</v>
      </c>
      <c r="D15794" t="s">
        <v>19023</v>
      </c>
      <c r="E15794" t="s">
        <v>32708</v>
      </c>
      <c r="F15794" t="s">
        <v>32831</v>
      </c>
      <c r="G15794" t="s">
        <v>32839</v>
      </c>
      <c r="H15794" t="s">
        <v>32848</v>
      </c>
      <c r="I15794" t="s">
        <v>32870</v>
      </c>
      <c r="J15794" t="s">
        <v>42632</v>
      </c>
      <c r="K15794" t="s">
        <v>42786</v>
      </c>
      <c r="M15794" t="s">
        <v>43795</v>
      </c>
      <c r="N15794" t="s">
        <v>47424</v>
      </c>
      <c r="O15794" t="s">
        <v>47425</v>
      </c>
      <c r="P15794">
        <v>0</v>
      </c>
      <c r="Q15794">
        <v>1</v>
      </c>
      <c r="R15794" t="s">
        <v>47447</v>
      </c>
      <c r="S15794" t="s">
        <v>48494</v>
      </c>
      <c r="T15794" t="s">
        <v>49111</v>
      </c>
      <c r="U15794" t="s">
        <v>62503</v>
      </c>
      <c r="V15794" t="s">
        <v>62872</v>
      </c>
      <c r="W15794" t="s">
        <v>43795</v>
      </c>
      <c r="X15794" t="s">
        <v>47448</v>
      </c>
    </row>
    <row r="15795" spans="1:24">
      <c r="A15795">
        <f>HYPERLINK("https://www.philgeps.gov.ph/GEPSNONPILOT/Tender/SplashBidNoticeAbstractUI.aspx?menuIndex=3&amp;refID=7120936&amp;Result=3","7120936")</f>
        <v>0</v>
      </c>
      <c r="B15795" t="s">
        <v>1355</v>
      </c>
      <c r="C15795" t="s">
        <v>18871</v>
      </c>
      <c r="D15795" t="s">
        <v>19103</v>
      </c>
      <c r="E15795" t="s">
        <v>32709</v>
      </c>
      <c r="F15795" t="s">
        <v>32831</v>
      </c>
      <c r="G15795" t="s">
        <v>32839</v>
      </c>
      <c r="H15795" t="s">
        <v>32849</v>
      </c>
      <c r="I15795" t="s">
        <v>4177</v>
      </c>
      <c r="J15795" t="s">
        <v>42633</v>
      </c>
      <c r="K15795" t="s">
        <v>42743</v>
      </c>
      <c r="M15795" t="s">
        <v>44431</v>
      </c>
      <c r="N15795" t="s">
        <v>47424</v>
      </c>
      <c r="O15795" t="s">
        <v>47425</v>
      </c>
      <c r="P15795">
        <v>0</v>
      </c>
      <c r="Q15795">
        <v>0</v>
      </c>
      <c r="R15795" t="s">
        <v>47447</v>
      </c>
      <c r="S15795" t="s">
        <v>48494</v>
      </c>
      <c r="T15795" t="s">
        <v>49466</v>
      </c>
      <c r="U15795" t="s">
        <v>62504</v>
      </c>
      <c r="W15795" t="s">
        <v>44431</v>
      </c>
      <c r="X15795" t="s">
        <v>47448</v>
      </c>
    </row>
    <row r="15796" spans="1:24">
      <c r="A15796">
        <f>HYPERLINK("https://www.philgeps.gov.ph/GEPSNONPILOT/Tender/SplashBidNoticeAbstractUI.aspx?menuIndex=3&amp;refID=7120897&amp;Result=3","7120897")</f>
        <v>0</v>
      </c>
      <c r="B15796" t="s">
        <v>3803</v>
      </c>
      <c r="C15796" t="s">
        <v>18872</v>
      </c>
      <c r="D15796" t="s">
        <v>19027</v>
      </c>
      <c r="E15796" t="s">
        <v>32710</v>
      </c>
      <c r="F15796" t="s">
        <v>32831</v>
      </c>
      <c r="G15796" t="s">
        <v>32839</v>
      </c>
      <c r="H15796" t="s">
        <v>32848</v>
      </c>
      <c r="I15796" t="s">
        <v>32896</v>
      </c>
      <c r="J15796" t="s">
        <v>35137</v>
      </c>
      <c r="K15796" t="s">
        <v>42726</v>
      </c>
      <c r="L15796" t="s">
        <v>3803</v>
      </c>
      <c r="M15796" t="s">
        <v>47221</v>
      </c>
      <c r="N15796" t="s">
        <v>47424</v>
      </c>
      <c r="O15796" t="s">
        <v>47425</v>
      </c>
      <c r="P15796">
        <v>0</v>
      </c>
      <c r="Q15796">
        <v>3</v>
      </c>
      <c r="R15796" t="s">
        <v>47447</v>
      </c>
      <c r="S15796" t="s">
        <v>48494</v>
      </c>
      <c r="T15796" t="s">
        <v>49237</v>
      </c>
      <c r="U15796" t="s">
        <v>61289</v>
      </c>
      <c r="V15796" t="s">
        <v>64258</v>
      </c>
      <c r="W15796" t="s">
        <v>47221</v>
      </c>
      <c r="X15796" t="s">
        <v>47448</v>
      </c>
    </row>
    <row r="15797" spans="1:24">
      <c r="A15797">
        <f>HYPERLINK("https://www.philgeps.gov.ph/GEPSNONPILOT/Tender/SplashBidNoticeAbstractUI.aspx?menuIndex=3&amp;refID=7120938&amp;Result=3","7120938")</f>
        <v>0</v>
      </c>
      <c r="B15797" t="s">
        <v>3803</v>
      </c>
      <c r="C15797" t="s">
        <v>18873</v>
      </c>
      <c r="D15797" t="s">
        <v>19027</v>
      </c>
      <c r="E15797" t="s">
        <v>23038</v>
      </c>
      <c r="F15797" t="s">
        <v>32831</v>
      </c>
      <c r="G15797" t="s">
        <v>32839</v>
      </c>
      <c r="H15797" t="s">
        <v>32848</v>
      </c>
      <c r="I15797" t="s">
        <v>32858</v>
      </c>
      <c r="J15797" t="s">
        <v>33086</v>
      </c>
      <c r="K15797" t="s">
        <v>42726</v>
      </c>
      <c r="L15797" t="s">
        <v>3803</v>
      </c>
      <c r="M15797" t="s">
        <v>47221</v>
      </c>
      <c r="N15797" t="s">
        <v>47424</v>
      </c>
      <c r="O15797" t="s">
        <v>47425</v>
      </c>
      <c r="P15797">
        <v>0</v>
      </c>
      <c r="Q15797">
        <v>0</v>
      </c>
      <c r="R15797" t="s">
        <v>47447</v>
      </c>
      <c r="S15797" t="s">
        <v>48494</v>
      </c>
      <c r="T15797" t="s">
        <v>49237</v>
      </c>
      <c r="U15797" t="s">
        <v>61289</v>
      </c>
      <c r="V15797" t="s">
        <v>64258</v>
      </c>
      <c r="W15797" t="s">
        <v>47221</v>
      </c>
      <c r="X15797" t="s">
        <v>47448</v>
      </c>
    </row>
    <row r="15798" spans="1:24">
      <c r="A15798">
        <f>HYPERLINK("https://www.philgeps.gov.ph/GEPSNONPILOT/Tender/SplashBidNoticeAbstractUI.aspx?menuIndex=3&amp;refID=6877126&amp;Result=3","6877126")</f>
        <v>0</v>
      </c>
      <c r="B15798" t="s">
        <v>1454</v>
      </c>
      <c r="C15798" t="s">
        <v>18874</v>
      </c>
      <c r="E15798" t="s">
        <v>32711</v>
      </c>
      <c r="F15798" t="s">
        <v>32831</v>
      </c>
      <c r="G15798" t="s">
        <v>32839</v>
      </c>
      <c r="H15798" t="s">
        <v>32848</v>
      </c>
      <c r="I15798" t="s">
        <v>4487</v>
      </c>
      <c r="J15798" t="s">
        <v>42634</v>
      </c>
      <c r="K15798" t="s">
        <v>42729</v>
      </c>
      <c r="M15798" t="s">
        <v>47392</v>
      </c>
      <c r="N15798" t="s">
        <v>47424</v>
      </c>
      <c r="O15798" t="s">
        <v>47425</v>
      </c>
      <c r="Q15798">
        <v>31</v>
      </c>
      <c r="R15798" t="s">
        <v>47530</v>
      </c>
      <c r="S15798" t="s">
        <v>49028</v>
      </c>
      <c r="T15798" t="s">
        <v>49056</v>
      </c>
      <c r="U15798" t="s">
        <v>62505</v>
      </c>
      <c r="W15798" t="s">
        <v>64567</v>
      </c>
      <c r="X15798" t="s">
        <v>64607</v>
      </c>
    </row>
    <row r="15799" spans="1:24">
      <c r="A15799">
        <f>HYPERLINK("https://www.philgeps.gov.ph/GEPSNONPILOT/Tender/SplashBidNoticeAbstractUI.aspx?menuIndex=3&amp;refID=7120739&amp;Result=3","7120739")</f>
        <v>0</v>
      </c>
      <c r="B15799" t="s">
        <v>127</v>
      </c>
      <c r="C15799" t="s">
        <v>18875</v>
      </c>
      <c r="D15799" t="s">
        <v>19038</v>
      </c>
      <c r="E15799" t="s">
        <v>32712</v>
      </c>
      <c r="F15799" t="s">
        <v>32831</v>
      </c>
      <c r="G15799" t="s">
        <v>32839</v>
      </c>
      <c r="H15799" t="s">
        <v>32848</v>
      </c>
      <c r="I15799" t="s">
        <v>4438</v>
      </c>
      <c r="J15799" t="s">
        <v>42635</v>
      </c>
      <c r="K15799" t="s">
        <v>42730</v>
      </c>
      <c r="M15799" t="s">
        <v>43124</v>
      </c>
      <c r="N15799" t="s">
        <v>47424</v>
      </c>
      <c r="O15799" t="s">
        <v>47425</v>
      </c>
      <c r="P15799">
        <v>0</v>
      </c>
      <c r="Q15799">
        <v>1</v>
      </c>
      <c r="R15799" t="s">
        <v>47447</v>
      </c>
      <c r="S15799" t="s">
        <v>48494</v>
      </c>
      <c r="T15799" t="s">
        <v>49111</v>
      </c>
      <c r="U15799" t="s">
        <v>62506</v>
      </c>
      <c r="W15799" t="s">
        <v>43124</v>
      </c>
      <c r="X15799" t="s">
        <v>47448</v>
      </c>
    </row>
    <row r="15800" spans="1:24">
      <c r="A15800">
        <f>HYPERLINK("https://www.philgeps.gov.ph/GEPSNONPILOT/Tender/SplashBidNoticeAbstractUI.aspx?menuIndex=3&amp;refID=7120923&amp;Result=3","7120923")</f>
        <v>0</v>
      </c>
      <c r="B15800" t="s">
        <v>3803</v>
      </c>
      <c r="C15800" t="s">
        <v>18876</v>
      </c>
      <c r="D15800" t="s">
        <v>19027</v>
      </c>
      <c r="E15800" t="s">
        <v>29966</v>
      </c>
      <c r="F15800" t="s">
        <v>32831</v>
      </c>
      <c r="G15800" t="s">
        <v>32839</v>
      </c>
      <c r="H15800" t="s">
        <v>32848</v>
      </c>
      <c r="I15800" t="s">
        <v>9577</v>
      </c>
      <c r="J15800" t="s">
        <v>33385</v>
      </c>
      <c r="K15800" t="s">
        <v>42726</v>
      </c>
      <c r="L15800" t="s">
        <v>3803</v>
      </c>
      <c r="M15800" t="s">
        <v>47221</v>
      </c>
      <c r="N15800" t="s">
        <v>47424</v>
      </c>
      <c r="O15800" t="s">
        <v>47425</v>
      </c>
      <c r="P15800">
        <v>0</v>
      </c>
      <c r="Q15800">
        <v>1</v>
      </c>
      <c r="R15800" t="s">
        <v>47447</v>
      </c>
      <c r="S15800" t="s">
        <v>48494</v>
      </c>
      <c r="T15800" t="s">
        <v>49237</v>
      </c>
      <c r="U15800" t="s">
        <v>61289</v>
      </c>
      <c r="V15800" t="s">
        <v>64258</v>
      </c>
      <c r="W15800" t="s">
        <v>47221</v>
      </c>
      <c r="X15800" t="s">
        <v>47448</v>
      </c>
    </row>
    <row r="15801" spans="1:24">
      <c r="A15801">
        <f>HYPERLINK("https://www.philgeps.gov.ph/GEPSNONPILOT/Tender/SplashBidNoticeAbstractUI.aspx?menuIndex=3&amp;refID=7120684&amp;Result=3","7120684")</f>
        <v>0</v>
      </c>
      <c r="B15801" t="s">
        <v>2018</v>
      </c>
      <c r="C15801" t="s">
        <v>18877</v>
      </c>
      <c r="D15801" t="s">
        <v>19074</v>
      </c>
      <c r="E15801" t="s">
        <v>32713</v>
      </c>
      <c r="F15801" t="s">
        <v>32831</v>
      </c>
      <c r="G15801" t="s">
        <v>32839</v>
      </c>
      <c r="H15801" t="s">
        <v>32848</v>
      </c>
      <c r="I15801" t="s">
        <v>32861</v>
      </c>
      <c r="J15801" t="s">
        <v>42636</v>
      </c>
      <c r="K15801" t="s">
        <v>42727</v>
      </c>
      <c r="M15801" t="s">
        <v>45185</v>
      </c>
      <c r="N15801" t="s">
        <v>47424</v>
      </c>
      <c r="O15801" t="s">
        <v>47425</v>
      </c>
      <c r="P15801">
        <v>0</v>
      </c>
      <c r="Q15801">
        <v>5</v>
      </c>
      <c r="R15801" t="s">
        <v>47447</v>
      </c>
      <c r="S15801" t="s">
        <v>48494</v>
      </c>
      <c r="T15801" t="s">
        <v>49370</v>
      </c>
      <c r="U15801" t="s">
        <v>62507</v>
      </c>
      <c r="W15801" t="s">
        <v>45185</v>
      </c>
      <c r="X15801" t="s">
        <v>47448</v>
      </c>
    </row>
    <row r="15802" spans="1:24">
      <c r="A15802">
        <f>HYPERLINK("https://www.philgeps.gov.ph/GEPSNONPILOT/Tender/SplashBidNoticeAbstractUI.aspx?menuIndex=3&amp;refID=7120614&amp;Result=3","7120614")</f>
        <v>0</v>
      </c>
      <c r="B15802" t="s">
        <v>2457</v>
      </c>
      <c r="C15802" t="s">
        <v>18878</v>
      </c>
      <c r="D15802" t="s">
        <v>19049</v>
      </c>
      <c r="E15802" t="s">
        <v>21531</v>
      </c>
      <c r="F15802" t="s">
        <v>32831</v>
      </c>
      <c r="G15802" t="s">
        <v>32839</v>
      </c>
      <c r="H15802" t="s">
        <v>32849</v>
      </c>
      <c r="I15802" t="s">
        <v>4177</v>
      </c>
      <c r="J15802" t="s">
        <v>42637</v>
      </c>
      <c r="K15802" t="s">
        <v>42763</v>
      </c>
      <c r="M15802" t="s">
        <v>45655</v>
      </c>
      <c r="N15802" t="s">
        <v>47424</v>
      </c>
      <c r="O15802" t="s">
        <v>47425</v>
      </c>
      <c r="P15802">
        <v>0</v>
      </c>
      <c r="Q15802">
        <v>3</v>
      </c>
      <c r="R15802" t="s">
        <v>47447</v>
      </c>
      <c r="S15802" t="s">
        <v>48494</v>
      </c>
      <c r="T15802" t="s">
        <v>49238</v>
      </c>
      <c r="U15802" t="s">
        <v>55526</v>
      </c>
      <c r="V15802" t="s">
        <v>64418</v>
      </c>
      <c r="W15802" t="s">
        <v>45655</v>
      </c>
      <c r="X15802" t="s">
        <v>47448</v>
      </c>
    </row>
    <row r="15803" spans="1:24">
      <c r="A15803">
        <f>HYPERLINK("https://www.philgeps.gov.ph/GEPSNONPILOT/Tender/SplashBidNoticeAbstractUI.aspx?menuIndex=3&amp;refID=7120724&amp;Result=3","7120724")</f>
        <v>0</v>
      </c>
      <c r="B15803" t="s">
        <v>3461</v>
      </c>
      <c r="C15803" t="s">
        <v>18879</v>
      </c>
      <c r="D15803" t="s">
        <v>19045</v>
      </c>
      <c r="E15803" t="s">
        <v>32714</v>
      </c>
      <c r="F15803" t="s">
        <v>32833</v>
      </c>
      <c r="G15803" t="s">
        <v>32839</v>
      </c>
      <c r="H15803" t="s">
        <v>32849</v>
      </c>
      <c r="I15803" t="s">
        <v>4177</v>
      </c>
      <c r="J15803" t="s">
        <v>42638</v>
      </c>
      <c r="K15803" t="s">
        <v>42763</v>
      </c>
      <c r="M15803" t="s">
        <v>46803</v>
      </c>
      <c r="N15803" t="s">
        <v>47424</v>
      </c>
      <c r="O15803" t="s">
        <v>47425</v>
      </c>
      <c r="Q15803">
        <v>1</v>
      </c>
      <c r="R15803" t="s">
        <v>47447</v>
      </c>
      <c r="S15803" t="s">
        <v>49029</v>
      </c>
      <c r="T15803" t="s">
        <v>49073</v>
      </c>
      <c r="U15803" t="s">
        <v>61771</v>
      </c>
      <c r="V15803" t="s">
        <v>62754</v>
      </c>
      <c r="W15803" t="s">
        <v>46803</v>
      </c>
      <c r="X15803" t="s">
        <v>47448</v>
      </c>
    </row>
    <row r="15804" spans="1:24">
      <c r="A15804">
        <f>HYPERLINK("https://www.philgeps.gov.ph/GEPSNONPILOT/Tender/SplashBidNoticeAbstractUI.aspx?menuIndex=3&amp;refID=7120899&amp;Result=3","7120899")</f>
        <v>0</v>
      </c>
      <c r="B15804" t="s">
        <v>992</v>
      </c>
      <c r="C15804" t="s">
        <v>18880</v>
      </c>
      <c r="D15804" t="s">
        <v>19030</v>
      </c>
      <c r="E15804" t="s">
        <v>32715</v>
      </c>
      <c r="F15804" t="s">
        <v>32831</v>
      </c>
      <c r="G15804" t="s">
        <v>32839</v>
      </c>
      <c r="H15804" t="s">
        <v>32848</v>
      </c>
      <c r="I15804" t="s">
        <v>4487</v>
      </c>
      <c r="J15804" t="s">
        <v>42639</v>
      </c>
      <c r="K15804" t="s">
        <v>42748</v>
      </c>
      <c r="M15804" t="s">
        <v>44041</v>
      </c>
      <c r="N15804" t="s">
        <v>47424</v>
      </c>
      <c r="O15804" t="s">
        <v>47425</v>
      </c>
      <c r="P15804">
        <v>0</v>
      </c>
      <c r="Q15804">
        <v>11</v>
      </c>
      <c r="R15804" t="s">
        <v>47447</v>
      </c>
      <c r="S15804" t="s">
        <v>48494</v>
      </c>
      <c r="T15804" t="s">
        <v>49415</v>
      </c>
      <c r="U15804" t="s">
        <v>62508</v>
      </c>
      <c r="W15804" t="s">
        <v>44041</v>
      </c>
      <c r="X15804" t="s">
        <v>47448</v>
      </c>
    </row>
    <row r="15805" spans="1:24">
      <c r="A15805">
        <f>HYPERLINK("https://www.philgeps.gov.ph/GEPSNONPILOT/Tender/SplashBidNoticeAbstractUI.aspx?menuIndex=3&amp;refID=7112300&amp;Result=3","7112300")</f>
        <v>0</v>
      </c>
      <c r="B15805" t="s">
        <v>2350</v>
      </c>
      <c r="C15805" t="s">
        <v>18881</v>
      </c>
      <c r="D15805" t="s">
        <v>19018</v>
      </c>
      <c r="E15805" t="s">
        <v>32716</v>
      </c>
      <c r="F15805" t="s">
        <v>32831</v>
      </c>
      <c r="G15805" t="s">
        <v>32839</v>
      </c>
      <c r="H15805" t="s">
        <v>32848</v>
      </c>
      <c r="I15805" t="s">
        <v>32855</v>
      </c>
      <c r="J15805" t="s">
        <v>42640</v>
      </c>
      <c r="K15805" t="s">
        <v>42763</v>
      </c>
      <c r="M15805" t="s">
        <v>47331</v>
      </c>
      <c r="N15805" t="s">
        <v>47424</v>
      </c>
      <c r="O15805" t="s">
        <v>47425</v>
      </c>
      <c r="P15805">
        <v>0</v>
      </c>
      <c r="Q15805">
        <v>3</v>
      </c>
      <c r="R15805" t="s">
        <v>47451</v>
      </c>
      <c r="S15805" t="s">
        <v>48651</v>
      </c>
      <c r="T15805" t="s">
        <v>49111</v>
      </c>
      <c r="U15805" t="s">
        <v>62509</v>
      </c>
      <c r="W15805" t="s">
        <v>47331</v>
      </c>
      <c r="X15805" t="s">
        <v>47453</v>
      </c>
    </row>
    <row r="15806" spans="1:24">
      <c r="A15806">
        <f>HYPERLINK("https://www.philgeps.gov.ph/GEPSNONPILOT/Tender/SplashBidNoticeAbstractUI.aspx?menuIndex=3&amp;refID=7126004&amp;Result=3","7126004")</f>
        <v>0</v>
      </c>
      <c r="B15806" t="s">
        <v>3143</v>
      </c>
      <c r="C15806" t="s">
        <v>18882</v>
      </c>
      <c r="D15806" t="s">
        <v>19047</v>
      </c>
      <c r="E15806" t="s">
        <v>32717</v>
      </c>
      <c r="F15806" t="s">
        <v>32831</v>
      </c>
      <c r="G15806" t="s">
        <v>32839</v>
      </c>
      <c r="H15806" t="s">
        <v>32848</v>
      </c>
      <c r="I15806" t="s">
        <v>10805</v>
      </c>
      <c r="J15806" t="s">
        <v>42641</v>
      </c>
      <c r="K15806" t="s">
        <v>42730</v>
      </c>
      <c r="M15806" t="s">
        <v>46440</v>
      </c>
      <c r="N15806" t="s">
        <v>47424</v>
      </c>
      <c r="O15806" t="s">
        <v>47425</v>
      </c>
      <c r="P15806">
        <v>0</v>
      </c>
      <c r="Q15806">
        <v>14</v>
      </c>
      <c r="R15806" t="s">
        <v>47446</v>
      </c>
      <c r="S15806" t="s">
        <v>48377</v>
      </c>
      <c r="T15806" t="s">
        <v>49229</v>
      </c>
      <c r="U15806" t="s">
        <v>62510</v>
      </c>
      <c r="W15806" t="s">
        <v>46440</v>
      </c>
      <c r="X15806" t="s">
        <v>47447</v>
      </c>
    </row>
    <row r="15807" spans="1:24">
      <c r="A15807">
        <f>HYPERLINK("https://www.philgeps.gov.ph/GEPSNONPILOT/Tender/SplashBidNoticeAbstractUI.aspx?menuIndex=3&amp;refID=7120621&amp;Result=3","7120621")</f>
        <v>0</v>
      </c>
      <c r="B15807" t="s">
        <v>3921</v>
      </c>
      <c r="C15807" t="s">
        <v>18883</v>
      </c>
      <c r="D15807" t="s">
        <v>19040</v>
      </c>
      <c r="E15807" t="s">
        <v>32718</v>
      </c>
      <c r="F15807" t="s">
        <v>32831</v>
      </c>
      <c r="G15807" t="s">
        <v>32839</v>
      </c>
      <c r="H15807" t="s">
        <v>32850</v>
      </c>
      <c r="I15807" t="s">
        <v>8577</v>
      </c>
      <c r="J15807" t="s">
        <v>32978</v>
      </c>
      <c r="K15807" t="s">
        <v>42742</v>
      </c>
      <c r="M15807" t="s">
        <v>47410</v>
      </c>
      <c r="N15807" t="s">
        <v>47424</v>
      </c>
      <c r="O15807" t="s">
        <v>47425</v>
      </c>
      <c r="P15807">
        <v>0</v>
      </c>
      <c r="Q15807">
        <v>1</v>
      </c>
      <c r="R15807" t="s">
        <v>47447</v>
      </c>
      <c r="S15807" t="s">
        <v>48494</v>
      </c>
      <c r="T15807" t="s">
        <v>49235</v>
      </c>
      <c r="U15807" t="s">
        <v>62511</v>
      </c>
      <c r="W15807" t="s">
        <v>47410</v>
      </c>
      <c r="X15807" t="s">
        <v>47448</v>
      </c>
    </row>
    <row r="15808" spans="1:24">
      <c r="A15808">
        <f>HYPERLINK("https://www.philgeps.gov.ph/GEPSNONPILOT/Tender/SplashBidNoticeAbstractUI.aspx?menuIndex=3&amp;refID=7125959&amp;Result=3","7125959")</f>
        <v>0</v>
      </c>
      <c r="B15808" t="s">
        <v>2009</v>
      </c>
      <c r="C15808" t="s">
        <v>18884</v>
      </c>
      <c r="D15808" t="s">
        <v>19061</v>
      </c>
      <c r="E15808" t="s">
        <v>20710</v>
      </c>
      <c r="F15808" t="s">
        <v>32831</v>
      </c>
      <c r="G15808" t="s">
        <v>32839</v>
      </c>
      <c r="H15808" t="s">
        <v>32849</v>
      </c>
      <c r="I15808" t="s">
        <v>4177</v>
      </c>
      <c r="J15808" t="s">
        <v>42642</v>
      </c>
      <c r="K15808" t="s">
        <v>43017</v>
      </c>
      <c r="M15808" t="s">
        <v>45176</v>
      </c>
      <c r="N15808" t="s">
        <v>47424</v>
      </c>
      <c r="O15808" t="s">
        <v>47425</v>
      </c>
      <c r="P15808">
        <v>0</v>
      </c>
      <c r="Q15808">
        <v>3</v>
      </c>
      <c r="R15808" t="s">
        <v>47446</v>
      </c>
      <c r="S15808" t="s">
        <v>48377</v>
      </c>
      <c r="T15808" t="s">
        <v>49162</v>
      </c>
      <c r="U15808" t="s">
        <v>62512</v>
      </c>
      <c r="W15808" t="s">
        <v>45176</v>
      </c>
      <c r="X15808" t="s">
        <v>47447</v>
      </c>
    </row>
    <row r="15809" spans="1:24">
      <c r="A15809">
        <f>HYPERLINK("https://www.philgeps.gov.ph/GEPSNONPILOT/Tender/SplashBidNoticeAbstractUI.aspx?menuIndex=3&amp;refID=7125891&amp;Result=3","7125891")</f>
        <v>0</v>
      </c>
      <c r="B15809" t="s">
        <v>687</v>
      </c>
      <c r="C15809" t="s">
        <v>18885</v>
      </c>
      <c r="D15809" t="s">
        <v>19074</v>
      </c>
      <c r="E15809" t="s">
        <v>32719</v>
      </c>
      <c r="F15809" t="s">
        <v>32831</v>
      </c>
      <c r="G15809" t="s">
        <v>32839</v>
      </c>
      <c r="H15809" t="s">
        <v>32849</v>
      </c>
      <c r="I15809" t="s">
        <v>4177</v>
      </c>
      <c r="J15809" t="s">
        <v>42643</v>
      </c>
      <c r="K15809" t="s">
        <v>42770</v>
      </c>
      <c r="M15809" t="s">
        <v>43706</v>
      </c>
      <c r="N15809" t="s">
        <v>47424</v>
      </c>
      <c r="O15809" t="s">
        <v>47425</v>
      </c>
      <c r="P15809">
        <v>0</v>
      </c>
      <c r="Q15809">
        <v>1</v>
      </c>
      <c r="R15809" t="s">
        <v>47446</v>
      </c>
      <c r="S15809" t="s">
        <v>48377</v>
      </c>
      <c r="T15809" t="s">
        <v>49111</v>
      </c>
      <c r="U15809" t="s">
        <v>62513</v>
      </c>
      <c r="W15809" t="s">
        <v>43706</v>
      </c>
      <c r="X15809" t="s">
        <v>47447</v>
      </c>
    </row>
    <row r="15810" spans="1:24">
      <c r="A15810">
        <f>HYPERLINK("https://www.philgeps.gov.ph/GEPSNONPILOT/Tender/SplashBidNoticeAbstractUI.aspx?menuIndex=3&amp;refID=7112363&amp;Result=3","7112363")</f>
        <v>0</v>
      </c>
      <c r="B15810" t="s">
        <v>2350</v>
      </c>
      <c r="C15810" t="s">
        <v>18886</v>
      </c>
      <c r="D15810" t="s">
        <v>19018</v>
      </c>
      <c r="E15810" t="s">
        <v>32720</v>
      </c>
      <c r="F15810" t="s">
        <v>32831</v>
      </c>
      <c r="G15810" t="s">
        <v>32839</v>
      </c>
      <c r="H15810" t="s">
        <v>32848</v>
      </c>
      <c r="I15810" t="s">
        <v>32855</v>
      </c>
      <c r="J15810" t="s">
        <v>42644</v>
      </c>
      <c r="K15810" t="s">
        <v>42763</v>
      </c>
      <c r="M15810" t="s">
        <v>47331</v>
      </c>
      <c r="N15810" t="s">
        <v>47424</v>
      </c>
      <c r="O15810" t="s">
        <v>47425</v>
      </c>
      <c r="P15810">
        <v>0</v>
      </c>
      <c r="Q15810">
        <v>3</v>
      </c>
      <c r="R15810" t="s">
        <v>47451</v>
      </c>
      <c r="S15810" t="s">
        <v>48651</v>
      </c>
      <c r="T15810" t="s">
        <v>49111</v>
      </c>
      <c r="U15810" t="s">
        <v>62514</v>
      </c>
      <c r="W15810" t="s">
        <v>47331</v>
      </c>
      <c r="X15810" t="s">
        <v>47453</v>
      </c>
    </row>
    <row r="15811" spans="1:24">
      <c r="A15811">
        <f>HYPERLINK("https://www.philgeps.gov.ph/GEPSNONPILOT/Tender/SplashBidNoticeAbstractUI.aspx?menuIndex=3&amp;refID=7125885&amp;Result=3","7125885")</f>
        <v>0</v>
      </c>
      <c r="B15811" t="s">
        <v>3366</v>
      </c>
      <c r="C15811" t="s">
        <v>18887</v>
      </c>
      <c r="D15811" t="s">
        <v>19017</v>
      </c>
      <c r="E15811" t="s">
        <v>32721</v>
      </c>
      <c r="F15811" t="s">
        <v>32831</v>
      </c>
      <c r="G15811" t="s">
        <v>32839</v>
      </c>
      <c r="H15811" t="s">
        <v>32848</v>
      </c>
      <c r="I15811" t="s">
        <v>32864</v>
      </c>
      <c r="J15811" t="s">
        <v>33083</v>
      </c>
      <c r="K15811" t="s">
        <v>42730</v>
      </c>
      <c r="M15811" t="s">
        <v>46692</v>
      </c>
      <c r="N15811" t="s">
        <v>47424</v>
      </c>
      <c r="O15811" t="s">
        <v>47425</v>
      </c>
      <c r="P15811">
        <v>0</v>
      </c>
      <c r="Q15811">
        <v>8</v>
      </c>
      <c r="R15811" t="s">
        <v>47446</v>
      </c>
      <c r="S15811" t="s">
        <v>48377</v>
      </c>
      <c r="T15811" t="s">
        <v>49239</v>
      </c>
      <c r="U15811" t="s">
        <v>62515</v>
      </c>
      <c r="W15811" t="s">
        <v>46692</v>
      </c>
      <c r="X15811" t="s">
        <v>47447</v>
      </c>
    </row>
    <row r="15812" spans="1:24">
      <c r="A15812">
        <f>HYPERLINK("https://www.philgeps.gov.ph/GEPSNONPILOT/Tender/SplashBidNoticeAbstractUI.aspx?menuIndex=3&amp;refID=6901664&amp;Result=3","6901664")</f>
        <v>0</v>
      </c>
      <c r="B15812" t="s">
        <v>3147</v>
      </c>
      <c r="C15812" t="s">
        <v>18888</v>
      </c>
      <c r="D15812" t="s">
        <v>19026</v>
      </c>
      <c r="E15812" t="s">
        <v>32722</v>
      </c>
      <c r="F15812" t="s">
        <v>32831</v>
      </c>
      <c r="G15812" t="s">
        <v>32839</v>
      </c>
      <c r="H15812" t="s">
        <v>32849</v>
      </c>
      <c r="I15812" t="s">
        <v>4177</v>
      </c>
      <c r="J15812" t="s">
        <v>42645</v>
      </c>
      <c r="K15812" t="s">
        <v>42932</v>
      </c>
      <c r="M15812" t="s">
        <v>46447</v>
      </c>
      <c r="N15812" t="s">
        <v>47424</v>
      </c>
      <c r="O15812" t="s">
        <v>47425</v>
      </c>
      <c r="Q15812">
        <v>71</v>
      </c>
      <c r="R15812" t="s">
        <v>47518</v>
      </c>
      <c r="S15812" t="s">
        <v>49030</v>
      </c>
      <c r="T15812" t="s">
        <v>49080</v>
      </c>
      <c r="U15812" t="s">
        <v>62516</v>
      </c>
      <c r="V15812" t="s">
        <v>63017</v>
      </c>
      <c r="W15812" t="s">
        <v>46447</v>
      </c>
      <c r="X15812" t="s">
        <v>64598</v>
      </c>
    </row>
    <row r="15813" spans="1:24">
      <c r="A15813">
        <f>HYPERLINK("https://www.philgeps.gov.ph/GEPSNONPILOT/Tender/SplashBidNoticeAbstractUI.aspx?menuIndex=3&amp;refID=7125883&amp;Result=3","7125883")</f>
        <v>0</v>
      </c>
      <c r="B15813" t="s">
        <v>421</v>
      </c>
      <c r="C15813" t="s">
        <v>18889</v>
      </c>
      <c r="D15813" t="s">
        <v>19021</v>
      </c>
      <c r="E15813" t="s">
        <v>32723</v>
      </c>
      <c r="F15813" t="s">
        <v>32831</v>
      </c>
      <c r="G15813" t="s">
        <v>32839</v>
      </c>
      <c r="H15813" t="s">
        <v>32848</v>
      </c>
      <c r="I15813" t="s">
        <v>32859</v>
      </c>
      <c r="J15813" t="s">
        <v>42646</v>
      </c>
      <c r="K15813" t="s">
        <v>42747</v>
      </c>
      <c r="M15813" t="s">
        <v>46112</v>
      </c>
      <c r="N15813" t="s">
        <v>47424</v>
      </c>
      <c r="O15813" t="s">
        <v>47425</v>
      </c>
      <c r="P15813">
        <v>0</v>
      </c>
      <c r="Q15813">
        <v>1</v>
      </c>
      <c r="R15813" t="s">
        <v>47446</v>
      </c>
      <c r="S15813" t="s">
        <v>48377</v>
      </c>
      <c r="T15813" t="s">
        <v>49166</v>
      </c>
      <c r="U15813" t="s">
        <v>62517</v>
      </c>
      <c r="W15813" t="s">
        <v>46112</v>
      </c>
      <c r="X15813" t="s">
        <v>47447</v>
      </c>
    </row>
    <row r="15814" spans="1:24">
      <c r="A15814">
        <f>HYPERLINK("https://www.philgeps.gov.ph/GEPSNONPILOT/Tender/SplashBidNoticeAbstractUI.aspx?menuIndex=3&amp;refID=7125889&amp;Result=3","7125889")</f>
        <v>0</v>
      </c>
      <c r="B15814" t="s">
        <v>3366</v>
      </c>
      <c r="C15814" t="s">
        <v>18890</v>
      </c>
      <c r="D15814" t="s">
        <v>19017</v>
      </c>
      <c r="E15814" t="s">
        <v>18890</v>
      </c>
      <c r="F15814" t="s">
        <v>32831</v>
      </c>
      <c r="G15814" t="s">
        <v>32839</v>
      </c>
      <c r="H15814" t="s">
        <v>32848</v>
      </c>
      <c r="I15814" t="s">
        <v>32864</v>
      </c>
      <c r="J15814" t="s">
        <v>33118</v>
      </c>
      <c r="K15814" t="s">
        <v>42730</v>
      </c>
      <c r="M15814" t="s">
        <v>46692</v>
      </c>
      <c r="N15814" t="s">
        <v>47424</v>
      </c>
      <c r="O15814" t="s">
        <v>47425</v>
      </c>
      <c r="P15814">
        <v>0</v>
      </c>
      <c r="Q15814">
        <v>11</v>
      </c>
      <c r="R15814" t="s">
        <v>47446</v>
      </c>
      <c r="S15814" t="s">
        <v>48377</v>
      </c>
      <c r="T15814" t="s">
        <v>49239</v>
      </c>
      <c r="U15814" t="s">
        <v>62518</v>
      </c>
      <c r="W15814" t="s">
        <v>46692</v>
      </c>
      <c r="X15814" t="s">
        <v>47447</v>
      </c>
    </row>
    <row r="15815" spans="1:24">
      <c r="A15815">
        <f>HYPERLINK("https://www.philgeps.gov.ph/GEPSNONPILOT/Tender/SplashBidNoticeAbstractUI.aspx?menuIndex=3&amp;refID=7125992&amp;Result=3","7125992")</f>
        <v>0</v>
      </c>
      <c r="B15815" t="s">
        <v>960</v>
      </c>
      <c r="C15815" t="s">
        <v>18891</v>
      </c>
      <c r="D15815" t="s">
        <v>19017</v>
      </c>
      <c r="E15815" t="s">
        <v>32724</v>
      </c>
      <c r="F15815" t="s">
        <v>32831</v>
      </c>
      <c r="G15815" t="s">
        <v>32839</v>
      </c>
      <c r="H15815" t="s">
        <v>32848</v>
      </c>
      <c r="I15815" t="s">
        <v>32899</v>
      </c>
      <c r="J15815" t="s">
        <v>33236</v>
      </c>
      <c r="K15815" t="s">
        <v>42747</v>
      </c>
      <c r="M15815" t="s">
        <v>46827</v>
      </c>
      <c r="N15815" t="s">
        <v>47424</v>
      </c>
      <c r="O15815" t="s">
        <v>47425</v>
      </c>
      <c r="Q15815">
        <v>3</v>
      </c>
      <c r="R15815" t="s">
        <v>47446</v>
      </c>
      <c r="S15815" t="s">
        <v>49031</v>
      </c>
      <c r="T15815" t="s">
        <v>49141</v>
      </c>
      <c r="U15815" t="s">
        <v>62519</v>
      </c>
      <c r="W15815" t="s">
        <v>46827</v>
      </c>
      <c r="X15815" t="s">
        <v>47447</v>
      </c>
    </row>
    <row r="15816" spans="1:24">
      <c r="A15816">
        <f>HYPERLINK("https://www.philgeps.gov.ph/GEPSNONPILOT/Tender/SplashBidNoticeAbstractUI.aspx?menuIndex=3&amp;refID=7125954&amp;Result=3","7125954")</f>
        <v>0</v>
      </c>
      <c r="B15816" t="s">
        <v>395</v>
      </c>
      <c r="C15816" t="s">
        <v>18892</v>
      </c>
      <c r="D15816" t="s">
        <v>19091</v>
      </c>
      <c r="E15816" t="s">
        <v>22443</v>
      </c>
      <c r="F15816" t="s">
        <v>32831</v>
      </c>
      <c r="G15816" t="s">
        <v>32839</v>
      </c>
      <c r="H15816" t="s">
        <v>32848</v>
      </c>
      <c r="I15816" t="s">
        <v>7751</v>
      </c>
      <c r="J15816" t="s">
        <v>38546</v>
      </c>
      <c r="K15816" t="s">
        <v>42729</v>
      </c>
      <c r="M15816" t="s">
        <v>43400</v>
      </c>
      <c r="N15816" t="s">
        <v>47424</v>
      </c>
      <c r="O15816" t="s">
        <v>47425</v>
      </c>
      <c r="Q15816">
        <v>4</v>
      </c>
      <c r="R15816" t="s">
        <v>47446</v>
      </c>
      <c r="S15816" t="s">
        <v>49032</v>
      </c>
      <c r="T15816" t="s">
        <v>49111</v>
      </c>
      <c r="U15816" t="s">
        <v>62520</v>
      </c>
      <c r="W15816" t="s">
        <v>43400</v>
      </c>
      <c r="X15816" t="s">
        <v>47447</v>
      </c>
    </row>
    <row r="15817" spans="1:24">
      <c r="A15817">
        <f>HYPERLINK("https://www.philgeps.gov.ph/GEPSNONPILOT/Tender/SplashBidNoticeAbstractUI.aspx?menuIndex=3&amp;refID=7120660&amp;Result=3","7120660")</f>
        <v>0</v>
      </c>
      <c r="B15817" t="s">
        <v>3854</v>
      </c>
      <c r="C15817" t="s">
        <v>18893</v>
      </c>
      <c r="D15817" t="s">
        <v>19044</v>
      </c>
      <c r="E15817" t="s">
        <v>32725</v>
      </c>
      <c r="F15817" t="s">
        <v>32831</v>
      </c>
      <c r="G15817" t="s">
        <v>32839</v>
      </c>
      <c r="H15817" t="s">
        <v>32848</v>
      </c>
      <c r="I15817" t="s">
        <v>32877</v>
      </c>
      <c r="J15817" t="s">
        <v>42647</v>
      </c>
      <c r="K15817" t="s">
        <v>42747</v>
      </c>
      <c r="M15817" t="s">
        <v>47288</v>
      </c>
      <c r="N15817" t="s">
        <v>47424</v>
      </c>
      <c r="O15817" t="s">
        <v>47425</v>
      </c>
      <c r="Q15817">
        <v>12</v>
      </c>
      <c r="R15817" t="s">
        <v>47447</v>
      </c>
      <c r="S15817" t="s">
        <v>48262</v>
      </c>
      <c r="T15817" t="s">
        <v>49105</v>
      </c>
      <c r="U15817" t="s">
        <v>62521</v>
      </c>
      <c r="W15817" t="s">
        <v>47288</v>
      </c>
      <c r="X15817" t="s">
        <v>47448</v>
      </c>
    </row>
    <row r="15818" spans="1:24">
      <c r="A15818">
        <f>HYPERLINK("https://www.philgeps.gov.ph/GEPSNONPILOT/Tender/SplashBidNoticeAbstractUI.aspx?menuIndex=3&amp;refID=7126002&amp;Result=3","7126002")</f>
        <v>0</v>
      </c>
      <c r="B15818" t="s">
        <v>2089</v>
      </c>
      <c r="C15818" t="s">
        <v>18894</v>
      </c>
      <c r="E15818" t="s">
        <v>32726</v>
      </c>
      <c r="F15818" t="s">
        <v>32831</v>
      </c>
      <c r="G15818" t="s">
        <v>32839</v>
      </c>
      <c r="H15818" t="s">
        <v>32848</v>
      </c>
      <c r="I15818" t="s">
        <v>4487</v>
      </c>
      <c r="J15818" t="s">
        <v>42648</v>
      </c>
      <c r="K15818" t="s">
        <v>42732</v>
      </c>
      <c r="M15818" t="s">
        <v>47357</v>
      </c>
      <c r="N15818" t="s">
        <v>47424</v>
      </c>
      <c r="O15818" t="s">
        <v>47425</v>
      </c>
      <c r="Q15818">
        <v>12</v>
      </c>
      <c r="R15818" t="s">
        <v>47446</v>
      </c>
      <c r="S15818" t="s">
        <v>49033</v>
      </c>
      <c r="T15818" t="s">
        <v>49199</v>
      </c>
      <c r="U15818" t="s">
        <v>62522</v>
      </c>
      <c r="W15818" t="s">
        <v>47357</v>
      </c>
      <c r="X15818" t="s">
        <v>47447</v>
      </c>
    </row>
    <row r="15819" spans="1:24">
      <c r="A15819">
        <f>HYPERLINK("https://www.philgeps.gov.ph/GEPSNONPILOT/Tender/SplashBidNoticeAbstractUI.aspx?menuIndex=3&amp;refID=7125879&amp;Result=3","7125879")</f>
        <v>0</v>
      </c>
      <c r="B15819" t="s">
        <v>994</v>
      </c>
      <c r="C15819" t="s">
        <v>18895</v>
      </c>
      <c r="D15819" t="s">
        <v>19031</v>
      </c>
      <c r="E15819" t="s">
        <v>20014</v>
      </c>
      <c r="F15819" t="s">
        <v>32831</v>
      </c>
      <c r="G15819" t="s">
        <v>32839</v>
      </c>
      <c r="H15819" t="s">
        <v>32848</v>
      </c>
      <c r="I15819" t="s">
        <v>32870</v>
      </c>
      <c r="J15819" t="s">
        <v>33118</v>
      </c>
      <c r="K15819" t="s">
        <v>42730</v>
      </c>
      <c r="M15819" t="s">
        <v>44043</v>
      </c>
      <c r="N15819" t="s">
        <v>47424</v>
      </c>
      <c r="O15819" t="s">
        <v>47425</v>
      </c>
      <c r="P15819">
        <v>0</v>
      </c>
      <c r="Q15819">
        <v>0</v>
      </c>
      <c r="R15819" t="s">
        <v>47446</v>
      </c>
      <c r="S15819" t="s">
        <v>48377</v>
      </c>
      <c r="T15819" t="s">
        <v>49162</v>
      </c>
      <c r="U15819" t="s">
        <v>62523</v>
      </c>
      <c r="V15819" t="s">
        <v>64419</v>
      </c>
      <c r="W15819" t="s">
        <v>44043</v>
      </c>
      <c r="X15819" t="s">
        <v>47447</v>
      </c>
    </row>
    <row r="15820" spans="1:24">
      <c r="A15820">
        <f>HYPERLINK("https://www.philgeps.gov.ph/GEPSNONPILOT/Tender/SplashBidNoticeAbstractUI.aspx?menuIndex=3&amp;refID=7125867&amp;Result=3","7125867")</f>
        <v>0</v>
      </c>
      <c r="B15820" t="s">
        <v>145</v>
      </c>
      <c r="C15820" t="s">
        <v>18896</v>
      </c>
      <c r="D15820" t="s">
        <v>19048</v>
      </c>
      <c r="E15820" t="s">
        <v>32727</v>
      </c>
      <c r="F15820" t="s">
        <v>32831</v>
      </c>
      <c r="G15820" t="s">
        <v>32839</v>
      </c>
      <c r="H15820" t="s">
        <v>32848</v>
      </c>
      <c r="I15820" t="s">
        <v>4558</v>
      </c>
      <c r="J15820" t="s">
        <v>42649</v>
      </c>
      <c r="K15820" t="s">
        <v>42731</v>
      </c>
      <c r="L15820" t="s">
        <v>145</v>
      </c>
      <c r="M15820" t="s">
        <v>43142</v>
      </c>
      <c r="N15820" t="s">
        <v>47424</v>
      </c>
      <c r="O15820" t="s">
        <v>47425</v>
      </c>
      <c r="Q15820">
        <v>10</v>
      </c>
      <c r="R15820" t="s">
        <v>47446</v>
      </c>
      <c r="S15820" t="s">
        <v>49034</v>
      </c>
      <c r="T15820" t="s">
        <v>49108</v>
      </c>
      <c r="U15820" t="s">
        <v>49903</v>
      </c>
      <c r="V15820" t="s">
        <v>62648</v>
      </c>
      <c r="W15820" t="s">
        <v>43142</v>
      </c>
      <c r="X15820" t="s">
        <v>47447</v>
      </c>
    </row>
    <row r="15821" spans="1:24">
      <c r="A15821">
        <f>HYPERLINK("https://www.philgeps.gov.ph/GEPSNONPILOT/Tender/SplashBidNoticeAbstractUI.aspx?menuIndex=3&amp;refID=7120602&amp;Result=3","7120602")</f>
        <v>0</v>
      </c>
      <c r="B15821" t="s">
        <v>3856</v>
      </c>
      <c r="C15821" t="s">
        <v>18897</v>
      </c>
      <c r="D15821" t="s">
        <v>19106</v>
      </c>
      <c r="E15821" t="s">
        <v>32728</v>
      </c>
      <c r="F15821" t="s">
        <v>32831</v>
      </c>
      <c r="G15821" t="s">
        <v>32845</v>
      </c>
      <c r="H15821" t="s">
        <v>32848</v>
      </c>
      <c r="I15821" t="s">
        <v>32875</v>
      </c>
      <c r="J15821" t="s">
        <v>42650</v>
      </c>
      <c r="K15821" t="s">
        <v>42747</v>
      </c>
      <c r="M15821" t="s">
        <v>47291</v>
      </c>
      <c r="N15821" t="s">
        <v>47424</v>
      </c>
      <c r="O15821" t="s">
        <v>47425</v>
      </c>
      <c r="Q15821">
        <v>2</v>
      </c>
      <c r="R15821" t="s">
        <v>47447</v>
      </c>
      <c r="S15821" t="s">
        <v>49035</v>
      </c>
      <c r="T15821" t="s">
        <v>49166</v>
      </c>
      <c r="U15821" t="s">
        <v>62524</v>
      </c>
      <c r="W15821" t="s">
        <v>47291</v>
      </c>
      <c r="X15821" t="s">
        <v>47448</v>
      </c>
    </row>
    <row r="15822" spans="1:24">
      <c r="A15822">
        <f>HYPERLINK("https://www.philgeps.gov.ph/GEPSNONPILOT/Tender/SplashBidNoticeAbstractUI.aspx?menuIndex=3&amp;refID=7125758&amp;Result=3","7125758")</f>
        <v>0</v>
      </c>
      <c r="B15822" t="s">
        <v>3366</v>
      </c>
      <c r="C15822" t="s">
        <v>18898</v>
      </c>
      <c r="D15822" t="s">
        <v>19017</v>
      </c>
      <c r="E15822" t="s">
        <v>18898</v>
      </c>
      <c r="F15822" t="s">
        <v>32831</v>
      </c>
      <c r="G15822" t="s">
        <v>32839</v>
      </c>
      <c r="H15822" t="s">
        <v>32848</v>
      </c>
      <c r="I15822" t="s">
        <v>32874</v>
      </c>
      <c r="J15822" t="s">
        <v>33118</v>
      </c>
      <c r="K15822" t="s">
        <v>42730</v>
      </c>
      <c r="M15822" t="s">
        <v>46692</v>
      </c>
      <c r="N15822" t="s">
        <v>47424</v>
      </c>
      <c r="O15822" t="s">
        <v>47425</v>
      </c>
      <c r="P15822">
        <v>0</v>
      </c>
      <c r="Q15822">
        <v>14</v>
      </c>
      <c r="R15822" t="s">
        <v>47446</v>
      </c>
      <c r="S15822" t="s">
        <v>48377</v>
      </c>
      <c r="T15822" t="s">
        <v>49239</v>
      </c>
      <c r="U15822" t="s">
        <v>61612</v>
      </c>
      <c r="W15822" t="s">
        <v>46692</v>
      </c>
      <c r="X15822" t="s">
        <v>47447</v>
      </c>
    </row>
    <row r="15823" spans="1:24">
      <c r="A15823">
        <f>HYPERLINK("https://www.philgeps.gov.ph/GEPSNONPILOT/Tender/SplashBidNoticeAbstractUI.aspx?menuIndex=3&amp;refID=7125861&amp;Result=3","7125861")</f>
        <v>0</v>
      </c>
      <c r="B15823" t="s">
        <v>3366</v>
      </c>
      <c r="C15823" t="s">
        <v>18899</v>
      </c>
      <c r="D15823" t="s">
        <v>19017</v>
      </c>
      <c r="E15823" t="s">
        <v>18899</v>
      </c>
      <c r="F15823" t="s">
        <v>32831</v>
      </c>
      <c r="G15823" t="s">
        <v>32839</v>
      </c>
      <c r="H15823" t="s">
        <v>32848</v>
      </c>
      <c r="I15823" t="s">
        <v>32874</v>
      </c>
      <c r="J15823" t="s">
        <v>42651</v>
      </c>
      <c r="K15823" t="s">
        <v>42730</v>
      </c>
      <c r="M15823" t="s">
        <v>46692</v>
      </c>
      <c r="N15823" t="s">
        <v>47424</v>
      </c>
      <c r="O15823" t="s">
        <v>47425</v>
      </c>
      <c r="P15823">
        <v>0</v>
      </c>
      <c r="Q15823">
        <v>7</v>
      </c>
      <c r="R15823" t="s">
        <v>47446</v>
      </c>
      <c r="S15823" t="s">
        <v>48377</v>
      </c>
      <c r="T15823" t="s">
        <v>49239</v>
      </c>
      <c r="U15823" t="s">
        <v>57952</v>
      </c>
      <c r="W15823" t="s">
        <v>46692</v>
      </c>
      <c r="X15823" t="s">
        <v>47447</v>
      </c>
    </row>
    <row r="15824" spans="1:24">
      <c r="A15824">
        <f>HYPERLINK("https://www.philgeps.gov.ph/GEPSNONPILOT/Tender/SplashBidNoticeAbstractUI.aspx?menuIndex=3&amp;refID=7125874&amp;Result=3","7125874")</f>
        <v>0</v>
      </c>
      <c r="B15824" t="s">
        <v>687</v>
      </c>
      <c r="C15824" t="s">
        <v>18900</v>
      </c>
      <c r="D15824" t="s">
        <v>19074</v>
      </c>
      <c r="E15824" t="s">
        <v>32729</v>
      </c>
      <c r="F15824" t="s">
        <v>32831</v>
      </c>
      <c r="G15824" t="s">
        <v>32839</v>
      </c>
      <c r="H15824" t="s">
        <v>32848</v>
      </c>
      <c r="I15824" t="s">
        <v>32862</v>
      </c>
      <c r="J15824" t="s">
        <v>42652</v>
      </c>
      <c r="K15824" t="s">
        <v>42730</v>
      </c>
      <c r="M15824" t="s">
        <v>43706</v>
      </c>
      <c r="N15824" t="s">
        <v>47424</v>
      </c>
      <c r="O15824" t="s">
        <v>47425</v>
      </c>
      <c r="P15824">
        <v>0</v>
      </c>
      <c r="Q15824">
        <v>1</v>
      </c>
      <c r="R15824" t="s">
        <v>47446</v>
      </c>
      <c r="S15824" t="s">
        <v>48377</v>
      </c>
      <c r="T15824" t="s">
        <v>49111</v>
      </c>
      <c r="U15824" t="s">
        <v>62525</v>
      </c>
      <c r="W15824" t="s">
        <v>43706</v>
      </c>
      <c r="X15824" t="s">
        <v>47447</v>
      </c>
    </row>
    <row r="15825" spans="1:24">
      <c r="A15825">
        <f>HYPERLINK("https://www.philgeps.gov.ph/GEPSNONPILOT/Tender/SplashBidNoticeAbstractUI.aspx?menuIndex=3&amp;refID=7125761&amp;Result=3","7125761")</f>
        <v>0</v>
      </c>
      <c r="B15825" t="s">
        <v>160</v>
      </c>
      <c r="C15825" t="s">
        <v>18901</v>
      </c>
      <c r="D15825" t="s">
        <v>19068</v>
      </c>
      <c r="E15825" t="s">
        <v>32730</v>
      </c>
      <c r="F15825" t="s">
        <v>32831</v>
      </c>
      <c r="G15825" t="s">
        <v>32838</v>
      </c>
      <c r="H15825" t="s">
        <v>32848</v>
      </c>
      <c r="I15825" t="s">
        <v>4438</v>
      </c>
      <c r="J15825" t="s">
        <v>33241</v>
      </c>
      <c r="K15825" t="s">
        <v>42747</v>
      </c>
      <c r="M15825" t="s">
        <v>45098</v>
      </c>
      <c r="N15825" t="s">
        <v>47424</v>
      </c>
      <c r="O15825" t="s">
        <v>47425</v>
      </c>
      <c r="Q15825">
        <v>1</v>
      </c>
      <c r="R15825" t="s">
        <v>47446</v>
      </c>
      <c r="S15825" t="s">
        <v>48157</v>
      </c>
      <c r="T15825" t="s">
        <v>49682</v>
      </c>
      <c r="U15825" t="s">
        <v>53997</v>
      </c>
      <c r="W15825" t="s">
        <v>45098</v>
      </c>
      <c r="X15825" t="s">
        <v>47447</v>
      </c>
    </row>
    <row r="15826" spans="1:24">
      <c r="A15826">
        <f>HYPERLINK("https://www.philgeps.gov.ph/GEPSNONPILOT/Tender/SplashBidNoticeAbstractUI.aspx?menuIndex=3&amp;refID=7125641&amp;Result=3","7125641")</f>
        <v>0</v>
      </c>
      <c r="B15826" t="s">
        <v>584</v>
      </c>
      <c r="C15826" t="s">
        <v>18902</v>
      </c>
      <c r="D15826" t="s">
        <v>19017</v>
      </c>
      <c r="E15826" t="s">
        <v>32731</v>
      </c>
      <c r="F15826" t="s">
        <v>32831</v>
      </c>
      <c r="G15826" t="s">
        <v>32839</v>
      </c>
      <c r="H15826" t="s">
        <v>32850</v>
      </c>
      <c r="I15826" t="s">
        <v>32885</v>
      </c>
      <c r="J15826" t="s">
        <v>33016</v>
      </c>
      <c r="K15826" t="s">
        <v>42786</v>
      </c>
      <c r="M15826" t="s">
        <v>47353</v>
      </c>
      <c r="N15826" t="s">
        <v>47424</v>
      </c>
      <c r="O15826" t="s">
        <v>47425</v>
      </c>
      <c r="P15826">
        <v>0</v>
      </c>
      <c r="Q15826">
        <v>5</v>
      </c>
      <c r="R15826" t="s">
        <v>47446</v>
      </c>
      <c r="S15826" t="s">
        <v>48377</v>
      </c>
      <c r="T15826" t="s">
        <v>49166</v>
      </c>
      <c r="U15826" t="s">
        <v>62526</v>
      </c>
      <c r="W15826" t="s">
        <v>47353</v>
      </c>
      <c r="X15826" t="s">
        <v>47447</v>
      </c>
    </row>
    <row r="15827" spans="1:24">
      <c r="A15827">
        <f>HYPERLINK("https://www.philgeps.gov.ph/GEPSNONPILOT/Tender/SplashBidNoticeAbstractUI.aspx?menuIndex=3&amp;refID=7125865&amp;Result=3","7125865")</f>
        <v>0</v>
      </c>
      <c r="B15827" t="s">
        <v>884</v>
      </c>
      <c r="C15827" t="s">
        <v>18903</v>
      </c>
      <c r="E15827" t="s">
        <v>32732</v>
      </c>
      <c r="F15827" t="s">
        <v>32831</v>
      </c>
      <c r="G15827" t="s">
        <v>32839</v>
      </c>
      <c r="H15827" t="s">
        <v>32848</v>
      </c>
      <c r="I15827" t="s">
        <v>32861</v>
      </c>
      <c r="J15827" t="s">
        <v>42653</v>
      </c>
      <c r="K15827" t="s">
        <v>42732</v>
      </c>
      <c r="M15827" t="s">
        <v>47270</v>
      </c>
      <c r="N15827" t="s">
        <v>47424</v>
      </c>
      <c r="O15827" t="s">
        <v>47425</v>
      </c>
      <c r="Q15827">
        <v>18</v>
      </c>
      <c r="R15827" t="s">
        <v>47446</v>
      </c>
      <c r="S15827" t="s">
        <v>49036</v>
      </c>
      <c r="T15827" t="s">
        <v>49334</v>
      </c>
      <c r="U15827" t="s">
        <v>61590</v>
      </c>
      <c r="W15827" t="s">
        <v>47270</v>
      </c>
      <c r="X15827" t="s">
        <v>47447</v>
      </c>
    </row>
    <row r="15828" spans="1:24">
      <c r="A15828">
        <f>HYPERLINK("https://www.philgeps.gov.ph/GEPSNONPILOT/Tender/SplashBidNoticeAbstractUI.aspx?menuIndex=3&amp;refID=7125651&amp;Result=3","7125651")</f>
        <v>0</v>
      </c>
      <c r="B15828" t="s">
        <v>1997</v>
      </c>
      <c r="C15828" t="s">
        <v>18904</v>
      </c>
      <c r="D15828" t="s">
        <v>19061</v>
      </c>
      <c r="E15828" t="s">
        <v>32733</v>
      </c>
      <c r="F15828" t="s">
        <v>32831</v>
      </c>
      <c r="G15828" t="s">
        <v>32839</v>
      </c>
      <c r="H15828" t="s">
        <v>32849</v>
      </c>
      <c r="I15828" t="s">
        <v>4177</v>
      </c>
      <c r="J15828" t="s">
        <v>32978</v>
      </c>
      <c r="K15828" t="s">
        <v>42757</v>
      </c>
      <c r="M15828" t="s">
        <v>45164</v>
      </c>
      <c r="N15828" t="s">
        <v>47424</v>
      </c>
      <c r="O15828" t="s">
        <v>47425</v>
      </c>
      <c r="P15828">
        <v>0</v>
      </c>
      <c r="Q15828">
        <v>0</v>
      </c>
      <c r="R15828" t="s">
        <v>47446</v>
      </c>
      <c r="S15828" t="s">
        <v>48377</v>
      </c>
      <c r="T15828" t="s">
        <v>49288</v>
      </c>
      <c r="U15828" t="s">
        <v>58780</v>
      </c>
      <c r="W15828" t="s">
        <v>45164</v>
      </c>
      <c r="X15828" t="s">
        <v>47447</v>
      </c>
    </row>
    <row r="15829" spans="1:24">
      <c r="A15829">
        <f>HYPERLINK("https://www.philgeps.gov.ph/GEPSNONPILOT/Tender/SplashBidNoticeAbstractUI.aspx?menuIndex=3&amp;refID=7125650&amp;Result=3","7125650")</f>
        <v>0</v>
      </c>
      <c r="B15829" t="s">
        <v>678</v>
      </c>
      <c r="C15829" t="s">
        <v>18905</v>
      </c>
      <c r="D15829" t="s">
        <v>19037</v>
      </c>
      <c r="E15829" t="s">
        <v>32734</v>
      </c>
      <c r="F15829" t="s">
        <v>32831</v>
      </c>
      <c r="G15829" t="s">
        <v>32839</v>
      </c>
      <c r="H15829" t="s">
        <v>32848</v>
      </c>
      <c r="I15829" t="s">
        <v>32867</v>
      </c>
      <c r="J15829" t="s">
        <v>42654</v>
      </c>
      <c r="K15829" t="s">
        <v>42730</v>
      </c>
      <c r="M15829" t="s">
        <v>43697</v>
      </c>
      <c r="N15829" t="s">
        <v>47424</v>
      </c>
      <c r="O15829" t="s">
        <v>47425</v>
      </c>
      <c r="Q15829">
        <v>21</v>
      </c>
      <c r="R15829" t="s">
        <v>47446</v>
      </c>
      <c r="S15829" t="s">
        <v>49037</v>
      </c>
      <c r="T15829" t="s">
        <v>49245</v>
      </c>
      <c r="U15829" t="s">
        <v>62527</v>
      </c>
      <c r="W15829" t="s">
        <v>43697</v>
      </c>
      <c r="X15829" t="s">
        <v>47447</v>
      </c>
    </row>
    <row r="15830" spans="1:24">
      <c r="A15830">
        <f>HYPERLINK("https://www.philgeps.gov.ph/GEPSNONPILOT/Tender/SplashBidNoticeAbstractUI.aspx?menuIndex=3&amp;refID=7125873&amp;Result=3","7125873")</f>
        <v>0</v>
      </c>
      <c r="B15830" t="s">
        <v>668</v>
      </c>
      <c r="C15830" t="s">
        <v>18906</v>
      </c>
      <c r="D15830" t="s">
        <v>19034</v>
      </c>
      <c r="E15830" t="s">
        <v>32735</v>
      </c>
      <c r="F15830" t="s">
        <v>32831</v>
      </c>
      <c r="G15830" t="s">
        <v>32839</v>
      </c>
      <c r="H15830" t="s">
        <v>32849</v>
      </c>
      <c r="I15830" t="s">
        <v>4177</v>
      </c>
      <c r="J15830" t="s">
        <v>42655</v>
      </c>
      <c r="K15830" t="s">
        <v>42770</v>
      </c>
      <c r="M15830" t="s">
        <v>44913</v>
      </c>
      <c r="N15830" t="s">
        <v>47424</v>
      </c>
      <c r="O15830" t="s">
        <v>47425</v>
      </c>
      <c r="P15830">
        <v>0</v>
      </c>
      <c r="Q15830">
        <v>2</v>
      </c>
      <c r="R15830" t="s">
        <v>47446</v>
      </c>
      <c r="S15830" t="s">
        <v>48377</v>
      </c>
      <c r="T15830" t="s">
        <v>49321</v>
      </c>
      <c r="U15830" t="s">
        <v>62528</v>
      </c>
      <c r="W15830" t="s">
        <v>44913</v>
      </c>
      <c r="X15830" t="s">
        <v>47447</v>
      </c>
    </row>
    <row r="15831" spans="1:24">
      <c r="A15831">
        <f>HYPERLINK("https://www.philgeps.gov.ph/GEPSNONPILOT/Tender/SplashBidNoticeAbstractUI.aspx?menuIndex=3&amp;refID=7125544&amp;Result=3","7125544")</f>
        <v>0</v>
      </c>
      <c r="B15831" t="s">
        <v>3366</v>
      </c>
      <c r="C15831" t="s">
        <v>18907</v>
      </c>
      <c r="D15831" t="s">
        <v>19017</v>
      </c>
      <c r="E15831" t="s">
        <v>18907</v>
      </c>
      <c r="F15831" t="s">
        <v>32831</v>
      </c>
      <c r="G15831" t="s">
        <v>32839</v>
      </c>
      <c r="H15831" t="s">
        <v>32848</v>
      </c>
      <c r="I15831" t="s">
        <v>32860</v>
      </c>
      <c r="J15831" t="s">
        <v>42656</v>
      </c>
      <c r="K15831" t="s">
        <v>42730</v>
      </c>
      <c r="M15831" t="s">
        <v>46692</v>
      </c>
      <c r="N15831" t="s">
        <v>47424</v>
      </c>
      <c r="O15831" t="s">
        <v>47425</v>
      </c>
      <c r="P15831">
        <v>0</v>
      </c>
      <c r="Q15831">
        <v>4</v>
      </c>
      <c r="R15831" t="s">
        <v>47446</v>
      </c>
      <c r="S15831" t="s">
        <v>48377</v>
      </c>
      <c r="T15831" t="s">
        <v>49239</v>
      </c>
      <c r="U15831" t="s">
        <v>51307</v>
      </c>
      <c r="W15831" t="s">
        <v>46692</v>
      </c>
      <c r="X15831" t="s">
        <v>47447</v>
      </c>
    </row>
    <row r="15832" spans="1:24">
      <c r="A15832">
        <f>HYPERLINK("https://www.philgeps.gov.ph/GEPSNONPILOT/Tender/SplashBidNoticeAbstractUI.aspx?menuIndex=3&amp;refID=7125636&amp;Result=3","7125636")</f>
        <v>0</v>
      </c>
      <c r="B15832" t="s">
        <v>2488</v>
      </c>
      <c r="C15832" t="s">
        <v>18908</v>
      </c>
      <c r="D15832" t="s">
        <v>19045</v>
      </c>
      <c r="E15832" t="s">
        <v>32736</v>
      </c>
      <c r="F15832" t="s">
        <v>32831</v>
      </c>
      <c r="G15832" t="s">
        <v>32839</v>
      </c>
      <c r="H15832" t="s">
        <v>32849</v>
      </c>
      <c r="I15832" t="s">
        <v>4177</v>
      </c>
      <c r="J15832" t="s">
        <v>42657</v>
      </c>
      <c r="K15832" t="s">
        <v>42729</v>
      </c>
      <c r="L15832" t="s">
        <v>2488</v>
      </c>
      <c r="M15832" t="s">
        <v>45693</v>
      </c>
      <c r="N15832" t="s">
        <v>47424</v>
      </c>
      <c r="O15832" t="s">
        <v>47425</v>
      </c>
      <c r="P15832">
        <v>0</v>
      </c>
      <c r="Q15832">
        <v>3</v>
      </c>
      <c r="R15832" t="s">
        <v>47446</v>
      </c>
      <c r="S15832" t="s">
        <v>48377</v>
      </c>
      <c r="T15832" t="s">
        <v>49111</v>
      </c>
      <c r="U15832" t="s">
        <v>62529</v>
      </c>
      <c r="W15832" t="s">
        <v>45693</v>
      </c>
      <c r="X15832" t="s">
        <v>47447</v>
      </c>
    </row>
    <row r="15833" spans="1:24">
      <c r="A15833">
        <f>HYPERLINK("https://www.philgeps.gov.ph/GEPSNONPILOT/Tender/SplashBidNoticeAbstractUI.aspx?menuIndex=3&amp;refID=7125526&amp;Result=3","7125526")</f>
        <v>0</v>
      </c>
      <c r="B15833" t="s">
        <v>895</v>
      </c>
      <c r="C15833" t="s">
        <v>18909</v>
      </c>
      <c r="D15833" t="s">
        <v>19036</v>
      </c>
      <c r="E15833" t="s">
        <v>32737</v>
      </c>
      <c r="F15833" t="s">
        <v>32831</v>
      </c>
      <c r="G15833" t="s">
        <v>32839</v>
      </c>
      <c r="H15833" t="s">
        <v>32848</v>
      </c>
      <c r="I15833" t="s">
        <v>32869</v>
      </c>
      <c r="J15833" t="s">
        <v>33118</v>
      </c>
      <c r="K15833" t="s">
        <v>42730</v>
      </c>
      <c r="M15833" t="s">
        <v>44825</v>
      </c>
      <c r="N15833" t="s">
        <v>47424</v>
      </c>
      <c r="O15833" t="s">
        <v>47425</v>
      </c>
      <c r="P15833">
        <v>0</v>
      </c>
      <c r="Q15833">
        <v>5</v>
      </c>
      <c r="R15833" t="s">
        <v>47446</v>
      </c>
      <c r="S15833" t="s">
        <v>48377</v>
      </c>
      <c r="T15833" t="s">
        <v>49415</v>
      </c>
      <c r="U15833" t="s">
        <v>62530</v>
      </c>
      <c r="V15833" t="s">
        <v>62833</v>
      </c>
      <c r="W15833" t="s">
        <v>44825</v>
      </c>
      <c r="X15833" t="s">
        <v>47447</v>
      </c>
    </row>
    <row r="15834" spans="1:24">
      <c r="A15834">
        <f>HYPERLINK("https://www.philgeps.gov.ph/GEPSNONPILOT/Tender/SplashBidNoticeAbstractUI.aspx?menuIndex=3&amp;refID=7125546&amp;Result=3","7125546")</f>
        <v>0</v>
      </c>
      <c r="B15834" t="s">
        <v>3841</v>
      </c>
      <c r="C15834" t="s">
        <v>18910</v>
      </c>
      <c r="D15834" t="s">
        <v>19125</v>
      </c>
      <c r="E15834" t="s">
        <v>32738</v>
      </c>
      <c r="F15834" t="s">
        <v>32831</v>
      </c>
      <c r="G15834" t="s">
        <v>32839</v>
      </c>
      <c r="H15834" t="s">
        <v>32848</v>
      </c>
      <c r="I15834" t="s">
        <v>32875</v>
      </c>
      <c r="J15834" t="s">
        <v>42658</v>
      </c>
      <c r="K15834" t="s">
        <v>42729</v>
      </c>
      <c r="M15834" t="s">
        <v>47266</v>
      </c>
      <c r="N15834" t="s">
        <v>47424</v>
      </c>
      <c r="O15834" t="s">
        <v>47425</v>
      </c>
      <c r="P15834">
        <v>0</v>
      </c>
      <c r="Q15834">
        <v>4</v>
      </c>
      <c r="R15834" t="s">
        <v>47446</v>
      </c>
      <c r="S15834" t="s">
        <v>48377</v>
      </c>
      <c r="T15834" t="s">
        <v>49212</v>
      </c>
      <c r="U15834" t="s">
        <v>62531</v>
      </c>
      <c r="V15834" t="s">
        <v>64420</v>
      </c>
      <c r="W15834" t="s">
        <v>47266</v>
      </c>
      <c r="X15834" t="s">
        <v>47447</v>
      </c>
    </row>
    <row r="15835" spans="1:24">
      <c r="A15835">
        <f>HYPERLINK("https://www.philgeps.gov.ph/GEPSNONPILOT/Tender/SplashBidNoticeAbstractUI.aspx?menuIndex=3&amp;refID=7125378&amp;Result=3","7125378")</f>
        <v>0</v>
      </c>
      <c r="B15835" t="s">
        <v>3642</v>
      </c>
      <c r="C15835" t="s">
        <v>18911</v>
      </c>
      <c r="D15835" t="s">
        <v>19100</v>
      </c>
      <c r="E15835" t="s">
        <v>32739</v>
      </c>
      <c r="F15835" t="s">
        <v>32831</v>
      </c>
      <c r="G15835" t="s">
        <v>32839</v>
      </c>
      <c r="H15835" t="s">
        <v>32848</v>
      </c>
      <c r="I15835" t="s">
        <v>32925</v>
      </c>
      <c r="J15835" t="s">
        <v>42659</v>
      </c>
      <c r="K15835" t="s">
        <v>42730</v>
      </c>
      <c r="M15835" t="s">
        <v>47013</v>
      </c>
      <c r="N15835" t="s">
        <v>47424</v>
      </c>
      <c r="O15835" t="s">
        <v>47425</v>
      </c>
      <c r="P15835">
        <v>0</v>
      </c>
      <c r="Q15835">
        <v>7</v>
      </c>
      <c r="R15835" t="s">
        <v>47446</v>
      </c>
      <c r="S15835" t="s">
        <v>48377</v>
      </c>
      <c r="T15835" t="s">
        <v>49078</v>
      </c>
      <c r="U15835" t="s">
        <v>62532</v>
      </c>
      <c r="W15835" t="s">
        <v>47013</v>
      </c>
      <c r="X15835" t="s">
        <v>47447</v>
      </c>
    </row>
    <row r="15836" spans="1:24">
      <c r="A15836">
        <f>HYPERLINK("https://www.philgeps.gov.ph/GEPSNONPILOT/Tender/SplashBidNoticeAbstractUI.aspx?menuIndex=3&amp;refID=7125383&amp;Result=3","7125383")</f>
        <v>0</v>
      </c>
      <c r="B15836" t="s">
        <v>884</v>
      </c>
      <c r="C15836" t="s">
        <v>18912</v>
      </c>
      <c r="E15836" t="s">
        <v>32740</v>
      </c>
      <c r="F15836" t="s">
        <v>32831</v>
      </c>
      <c r="G15836" t="s">
        <v>32839</v>
      </c>
      <c r="H15836" t="s">
        <v>32848</v>
      </c>
      <c r="I15836" t="s">
        <v>32861</v>
      </c>
      <c r="J15836" t="s">
        <v>33032</v>
      </c>
      <c r="K15836" t="s">
        <v>42732</v>
      </c>
      <c r="M15836" t="s">
        <v>47268</v>
      </c>
      <c r="N15836" t="s">
        <v>47424</v>
      </c>
      <c r="O15836" t="s">
        <v>47425</v>
      </c>
      <c r="Q15836">
        <v>23</v>
      </c>
      <c r="R15836" t="s">
        <v>47446</v>
      </c>
      <c r="S15836" t="s">
        <v>49038</v>
      </c>
      <c r="T15836" t="s">
        <v>49334</v>
      </c>
      <c r="U15836" t="s">
        <v>61590</v>
      </c>
      <c r="W15836" t="s">
        <v>47268</v>
      </c>
      <c r="X15836" t="s">
        <v>47447</v>
      </c>
    </row>
    <row r="15837" spans="1:24">
      <c r="A15837">
        <f>HYPERLINK("https://www.philgeps.gov.ph/GEPSNONPILOT/Tender/SplashBidNoticeAbstractUI.aspx?menuIndex=3&amp;refID=7125556&amp;Result=3","7125556")</f>
        <v>0</v>
      </c>
      <c r="B15837" t="s">
        <v>1997</v>
      </c>
      <c r="C15837" t="s">
        <v>18913</v>
      </c>
      <c r="D15837" t="s">
        <v>19061</v>
      </c>
      <c r="E15837" t="s">
        <v>32741</v>
      </c>
      <c r="F15837" t="s">
        <v>32831</v>
      </c>
      <c r="G15837" t="s">
        <v>32839</v>
      </c>
      <c r="H15837" t="s">
        <v>32849</v>
      </c>
      <c r="I15837" t="s">
        <v>4177</v>
      </c>
      <c r="J15837" t="s">
        <v>33087</v>
      </c>
      <c r="K15837" t="s">
        <v>42763</v>
      </c>
      <c r="M15837" t="s">
        <v>45164</v>
      </c>
      <c r="N15837" t="s">
        <v>47424</v>
      </c>
      <c r="O15837" t="s">
        <v>47425</v>
      </c>
      <c r="P15837">
        <v>0</v>
      </c>
      <c r="Q15837">
        <v>0</v>
      </c>
      <c r="R15837" t="s">
        <v>47446</v>
      </c>
      <c r="S15837" t="s">
        <v>48377</v>
      </c>
      <c r="T15837" t="s">
        <v>49288</v>
      </c>
      <c r="U15837" t="s">
        <v>58780</v>
      </c>
      <c r="W15837" t="s">
        <v>45164</v>
      </c>
      <c r="X15837" t="s">
        <v>47447</v>
      </c>
    </row>
    <row r="15838" spans="1:24">
      <c r="A15838">
        <f>HYPERLINK("https://www.philgeps.gov.ph/GEPSNONPILOT/Tender/SplashBidNoticeAbstractUI.aspx?menuIndex=3&amp;refID=7125548&amp;Result=3","7125548")</f>
        <v>0</v>
      </c>
      <c r="B15838" t="s">
        <v>3922</v>
      </c>
      <c r="C15838" t="s">
        <v>8410</v>
      </c>
      <c r="D15838" t="s">
        <v>19024</v>
      </c>
      <c r="E15838" t="s">
        <v>32742</v>
      </c>
      <c r="F15838" t="s">
        <v>32831</v>
      </c>
      <c r="G15838" t="s">
        <v>32839</v>
      </c>
      <c r="H15838" t="s">
        <v>32848</v>
      </c>
      <c r="I15838" t="s">
        <v>32902</v>
      </c>
      <c r="J15838" t="s">
        <v>42660</v>
      </c>
      <c r="K15838" t="s">
        <v>42727</v>
      </c>
      <c r="M15838" t="s">
        <v>47411</v>
      </c>
      <c r="N15838" t="s">
        <v>47424</v>
      </c>
      <c r="O15838" t="s">
        <v>47425</v>
      </c>
      <c r="P15838">
        <v>0</v>
      </c>
      <c r="Q15838">
        <v>2</v>
      </c>
      <c r="R15838" t="s">
        <v>47446</v>
      </c>
      <c r="S15838" t="s">
        <v>48377</v>
      </c>
      <c r="T15838" t="s">
        <v>49237</v>
      </c>
      <c r="U15838" t="s">
        <v>62533</v>
      </c>
      <c r="V15838" t="s">
        <v>62833</v>
      </c>
      <c r="W15838" t="s">
        <v>47411</v>
      </c>
      <c r="X15838" t="s">
        <v>47447</v>
      </c>
    </row>
    <row r="15839" spans="1:24">
      <c r="A15839">
        <f>HYPERLINK("https://www.philgeps.gov.ph/GEPSNONPILOT/Tender/SplashBidNoticeAbstractUI.aspx?menuIndex=3&amp;refID=7125337&amp;Result=3","7125337")</f>
        <v>0</v>
      </c>
      <c r="B15839" t="s">
        <v>198</v>
      </c>
      <c r="C15839" t="s">
        <v>18914</v>
      </c>
      <c r="D15839" t="s">
        <v>19045</v>
      </c>
      <c r="E15839" t="s">
        <v>32743</v>
      </c>
      <c r="F15839" t="s">
        <v>32831</v>
      </c>
      <c r="G15839" t="s">
        <v>32839</v>
      </c>
      <c r="H15839" t="s">
        <v>32848</v>
      </c>
      <c r="I15839" t="s">
        <v>32890</v>
      </c>
      <c r="J15839" t="s">
        <v>42661</v>
      </c>
      <c r="K15839" t="s">
        <v>42727</v>
      </c>
      <c r="M15839" t="s">
        <v>43196</v>
      </c>
      <c r="N15839" t="s">
        <v>47424</v>
      </c>
      <c r="O15839" t="s">
        <v>47425</v>
      </c>
      <c r="P15839">
        <v>0</v>
      </c>
      <c r="Q15839">
        <v>0</v>
      </c>
      <c r="R15839" t="s">
        <v>47446</v>
      </c>
      <c r="S15839" t="s">
        <v>48377</v>
      </c>
      <c r="T15839" t="s">
        <v>49212</v>
      </c>
      <c r="U15839" t="s">
        <v>62534</v>
      </c>
      <c r="V15839" t="s">
        <v>63628</v>
      </c>
      <c r="W15839" t="s">
        <v>43196</v>
      </c>
      <c r="X15839" t="s">
        <v>47447</v>
      </c>
    </row>
    <row r="15840" spans="1:24">
      <c r="A15840">
        <f>HYPERLINK("https://www.philgeps.gov.ph/GEPSNONPILOT/Tender/SplashBidNoticeAbstractUI.aspx?menuIndex=3&amp;refID=7125320&amp;Result=3","7125320")</f>
        <v>0</v>
      </c>
      <c r="B15840" t="s">
        <v>935</v>
      </c>
      <c r="C15840" t="s">
        <v>18915</v>
      </c>
      <c r="D15840" t="s">
        <v>19044</v>
      </c>
      <c r="E15840" t="s">
        <v>32744</v>
      </c>
      <c r="F15840" t="s">
        <v>32831</v>
      </c>
      <c r="G15840" t="s">
        <v>32839</v>
      </c>
      <c r="H15840" t="s">
        <v>32848</v>
      </c>
      <c r="I15840" t="s">
        <v>32871</v>
      </c>
      <c r="J15840" t="s">
        <v>42662</v>
      </c>
      <c r="K15840" t="s">
        <v>42747</v>
      </c>
      <c r="M15840" t="s">
        <v>43977</v>
      </c>
      <c r="N15840" t="s">
        <v>47424</v>
      </c>
      <c r="O15840" t="s">
        <v>47425</v>
      </c>
      <c r="P15840">
        <v>0</v>
      </c>
      <c r="Q15840">
        <v>53</v>
      </c>
      <c r="R15840" t="s">
        <v>47446</v>
      </c>
      <c r="S15840" t="s">
        <v>48377</v>
      </c>
      <c r="T15840" t="s">
        <v>49166</v>
      </c>
      <c r="U15840" t="s">
        <v>62535</v>
      </c>
      <c r="W15840" t="s">
        <v>43977</v>
      </c>
      <c r="X15840" t="s">
        <v>47447</v>
      </c>
    </row>
    <row r="15841" spans="1:24">
      <c r="A15841">
        <f>HYPERLINK("https://www.philgeps.gov.ph/GEPSNONPILOT/Tender/SplashBidNoticeAbstractUI.aspx?menuIndex=3&amp;refID=7125204&amp;Result=3","7125204")</f>
        <v>0</v>
      </c>
      <c r="B15841" t="s">
        <v>3838</v>
      </c>
      <c r="C15841" t="s">
        <v>18916</v>
      </c>
      <c r="D15841" t="s">
        <v>19025</v>
      </c>
      <c r="E15841" t="s">
        <v>24234</v>
      </c>
      <c r="F15841" t="s">
        <v>32831</v>
      </c>
      <c r="G15841" t="s">
        <v>32839</v>
      </c>
      <c r="H15841" t="s">
        <v>32849</v>
      </c>
      <c r="I15841" t="s">
        <v>4177</v>
      </c>
      <c r="J15841" t="s">
        <v>33528</v>
      </c>
      <c r="K15841" t="s">
        <v>42766</v>
      </c>
      <c r="M15841" t="s">
        <v>47263</v>
      </c>
      <c r="N15841" t="s">
        <v>47424</v>
      </c>
      <c r="O15841" t="s">
        <v>47425</v>
      </c>
      <c r="P15841">
        <v>0</v>
      </c>
      <c r="Q15841">
        <v>4</v>
      </c>
      <c r="R15841" t="s">
        <v>47446</v>
      </c>
      <c r="S15841" t="s">
        <v>48377</v>
      </c>
      <c r="T15841" t="s">
        <v>49111</v>
      </c>
      <c r="U15841" t="s">
        <v>61569</v>
      </c>
      <c r="W15841" t="s">
        <v>47263</v>
      </c>
      <c r="X15841" t="s">
        <v>47447</v>
      </c>
    </row>
    <row r="15842" spans="1:24">
      <c r="A15842">
        <f>HYPERLINK("https://www.philgeps.gov.ph/GEPSNONPILOT/Tender/SplashBidNoticeAbstractUI.aspx?menuIndex=3&amp;refID=7125346&amp;Result=3","7125346")</f>
        <v>0</v>
      </c>
      <c r="B15842" t="s">
        <v>935</v>
      </c>
      <c r="C15842" t="s">
        <v>18917</v>
      </c>
      <c r="D15842" t="s">
        <v>19044</v>
      </c>
      <c r="E15842" t="s">
        <v>32745</v>
      </c>
      <c r="F15842" t="s">
        <v>32831</v>
      </c>
      <c r="G15842" t="s">
        <v>32839</v>
      </c>
      <c r="H15842" t="s">
        <v>32848</v>
      </c>
      <c r="I15842" t="s">
        <v>4776</v>
      </c>
      <c r="J15842" t="s">
        <v>36019</v>
      </c>
      <c r="K15842" t="s">
        <v>42747</v>
      </c>
      <c r="M15842" t="s">
        <v>43977</v>
      </c>
      <c r="N15842" t="s">
        <v>47424</v>
      </c>
      <c r="O15842" t="s">
        <v>47425</v>
      </c>
      <c r="P15842">
        <v>0</v>
      </c>
      <c r="Q15842">
        <v>12</v>
      </c>
      <c r="R15842" t="s">
        <v>47446</v>
      </c>
      <c r="S15842" t="s">
        <v>48377</v>
      </c>
      <c r="T15842" t="s">
        <v>49166</v>
      </c>
      <c r="U15842" t="s">
        <v>62536</v>
      </c>
      <c r="W15842" t="s">
        <v>43977</v>
      </c>
      <c r="X15842" t="s">
        <v>47447</v>
      </c>
    </row>
    <row r="15843" spans="1:24">
      <c r="A15843">
        <f>HYPERLINK("https://www.philgeps.gov.ph/GEPSNONPILOT/Tender/SplashBidNoticeAbstractUI.aspx?menuIndex=3&amp;refID=7125336&amp;Result=3","7125336")</f>
        <v>0</v>
      </c>
      <c r="B15843" t="s">
        <v>1463</v>
      </c>
      <c r="C15843" t="s">
        <v>18918</v>
      </c>
      <c r="D15843" t="s">
        <v>19066</v>
      </c>
      <c r="E15843" t="s">
        <v>29086</v>
      </c>
      <c r="F15843" t="s">
        <v>32831</v>
      </c>
      <c r="G15843" t="s">
        <v>32839</v>
      </c>
      <c r="H15843" t="s">
        <v>32849</v>
      </c>
      <c r="I15843" t="s">
        <v>4177</v>
      </c>
      <c r="J15843" t="s">
        <v>33528</v>
      </c>
      <c r="K15843" t="s">
        <v>42732</v>
      </c>
      <c r="M15843" t="s">
        <v>44555</v>
      </c>
      <c r="N15843" t="s">
        <v>47424</v>
      </c>
      <c r="O15843" t="s">
        <v>47425</v>
      </c>
      <c r="P15843">
        <v>0</v>
      </c>
      <c r="Q15843">
        <v>1</v>
      </c>
      <c r="R15843" t="s">
        <v>47446</v>
      </c>
      <c r="S15843" t="s">
        <v>48377</v>
      </c>
      <c r="T15843" t="s">
        <v>49239</v>
      </c>
      <c r="U15843" t="s">
        <v>62537</v>
      </c>
      <c r="W15843" t="s">
        <v>44555</v>
      </c>
      <c r="X15843" t="s">
        <v>47447</v>
      </c>
    </row>
    <row r="15844" spans="1:24">
      <c r="A15844">
        <f>HYPERLINK("https://www.philgeps.gov.ph/GEPSNONPILOT/Tender/SplashBidNoticeAbstractUI.aspx?menuIndex=3&amp;refID=7125200&amp;Result=3","7125200")</f>
        <v>0</v>
      </c>
      <c r="B15844" t="s">
        <v>832</v>
      </c>
      <c r="C15844" t="s">
        <v>18919</v>
      </c>
      <c r="D15844" t="s">
        <v>19101</v>
      </c>
      <c r="E15844" t="s">
        <v>32746</v>
      </c>
      <c r="F15844" t="s">
        <v>32831</v>
      </c>
      <c r="G15844" t="s">
        <v>32839</v>
      </c>
      <c r="H15844" t="s">
        <v>32848</v>
      </c>
      <c r="I15844" t="s">
        <v>32870</v>
      </c>
      <c r="J15844" t="s">
        <v>42663</v>
      </c>
      <c r="K15844" t="s">
        <v>42786</v>
      </c>
      <c r="M15844" t="s">
        <v>44445</v>
      </c>
      <c r="N15844" t="s">
        <v>47424</v>
      </c>
      <c r="O15844" t="s">
        <v>47425</v>
      </c>
      <c r="Q15844">
        <v>6</v>
      </c>
      <c r="R15844" t="s">
        <v>47446</v>
      </c>
      <c r="S15844" t="s">
        <v>49039</v>
      </c>
      <c r="T15844" t="s">
        <v>49461</v>
      </c>
      <c r="U15844" t="s">
        <v>62538</v>
      </c>
      <c r="V15844" t="s">
        <v>64421</v>
      </c>
      <c r="W15844" t="s">
        <v>44445</v>
      </c>
      <c r="X15844" t="s">
        <v>47447</v>
      </c>
    </row>
    <row r="15845" spans="1:24">
      <c r="A15845">
        <f>HYPERLINK("https://www.philgeps.gov.ph/GEPSNONPILOT/Tender/SplashBidNoticeAbstractUI.aspx?menuIndex=3&amp;refID=7125193&amp;Result=3","7125193")</f>
        <v>0</v>
      </c>
      <c r="B15845" t="s">
        <v>2571</v>
      </c>
      <c r="C15845" t="s">
        <v>18920</v>
      </c>
      <c r="D15845" t="s">
        <v>19060</v>
      </c>
      <c r="E15845" t="s">
        <v>32747</v>
      </c>
      <c r="F15845" t="s">
        <v>32831</v>
      </c>
      <c r="G15845" t="s">
        <v>32839</v>
      </c>
      <c r="H15845" t="s">
        <v>32848</v>
      </c>
      <c r="I15845" t="s">
        <v>7416</v>
      </c>
      <c r="J15845" t="s">
        <v>33118</v>
      </c>
      <c r="K15845" t="s">
        <v>42730</v>
      </c>
      <c r="M15845" t="s">
        <v>45787</v>
      </c>
      <c r="N15845" t="s">
        <v>47424</v>
      </c>
      <c r="O15845" t="s">
        <v>47425</v>
      </c>
      <c r="P15845">
        <v>0</v>
      </c>
      <c r="Q15845">
        <v>2</v>
      </c>
      <c r="R15845" t="s">
        <v>47446</v>
      </c>
      <c r="S15845" t="s">
        <v>48377</v>
      </c>
      <c r="T15845" t="s">
        <v>49239</v>
      </c>
      <c r="U15845" t="s">
        <v>62539</v>
      </c>
      <c r="W15845" t="s">
        <v>45787</v>
      </c>
      <c r="X15845" t="s">
        <v>47447</v>
      </c>
    </row>
    <row r="15846" spans="1:24">
      <c r="A15846">
        <f>HYPERLINK("https://www.philgeps.gov.ph/GEPSNONPILOT/Tender/SplashBidNoticeAbstractUI.aspx?menuIndex=3&amp;refID=7125663&amp;Result=3","7125663")</f>
        <v>0</v>
      </c>
      <c r="B15846" t="s">
        <v>198</v>
      </c>
      <c r="C15846" t="s">
        <v>18921</v>
      </c>
      <c r="D15846" t="s">
        <v>19045</v>
      </c>
      <c r="E15846" t="s">
        <v>32748</v>
      </c>
      <c r="F15846" t="s">
        <v>32831</v>
      </c>
      <c r="G15846" t="s">
        <v>32839</v>
      </c>
      <c r="H15846" t="s">
        <v>32849</v>
      </c>
      <c r="I15846" t="s">
        <v>4177</v>
      </c>
      <c r="J15846" t="s">
        <v>33707</v>
      </c>
      <c r="K15846" t="s">
        <v>42753</v>
      </c>
      <c r="M15846" t="s">
        <v>43196</v>
      </c>
      <c r="N15846" t="s">
        <v>47424</v>
      </c>
      <c r="O15846" t="s">
        <v>47425</v>
      </c>
      <c r="P15846">
        <v>0</v>
      </c>
      <c r="Q15846">
        <v>2</v>
      </c>
      <c r="R15846" t="s">
        <v>47446</v>
      </c>
      <c r="S15846" t="s">
        <v>48377</v>
      </c>
      <c r="T15846" t="s">
        <v>49212</v>
      </c>
      <c r="U15846" t="s">
        <v>62540</v>
      </c>
      <c r="V15846" t="s">
        <v>63628</v>
      </c>
      <c r="W15846" t="s">
        <v>43196</v>
      </c>
      <c r="X15846" t="s">
        <v>47447</v>
      </c>
    </row>
    <row r="15847" spans="1:24">
      <c r="A15847">
        <f>HYPERLINK("https://www.philgeps.gov.ph/GEPSNONPILOT/Tender/SplashBidNoticeAbstractUI.aspx?menuIndex=3&amp;refID=7125335&amp;Result=3","7125335")</f>
        <v>0</v>
      </c>
      <c r="B15847" t="s">
        <v>1753</v>
      </c>
      <c r="C15847" t="s">
        <v>18922</v>
      </c>
      <c r="D15847" t="s">
        <v>19104</v>
      </c>
      <c r="E15847" t="s">
        <v>32749</v>
      </c>
      <c r="F15847" t="s">
        <v>32831</v>
      </c>
      <c r="G15847" t="s">
        <v>32839</v>
      </c>
      <c r="H15847" t="s">
        <v>32848</v>
      </c>
      <c r="I15847" t="s">
        <v>7751</v>
      </c>
      <c r="J15847" t="s">
        <v>33257</v>
      </c>
      <c r="K15847" t="s">
        <v>42730</v>
      </c>
      <c r="M15847" t="s">
        <v>44877</v>
      </c>
      <c r="N15847" t="s">
        <v>47424</v>
      </c>
      <c r="O15847" t="s">
        <v>47425</v>
      </c>
      <c r="P15847">
        <v>0</v>
      </c>
      <c r="Q15847">
        <v>4</v>
      </c>
      <c r="R15847" t="s">
        <v>47446</v>
      </c>
      <c r="S15847" t="s">
        <v>48377</v>
      </c>
      <c r="T15847" t="s">
        <v>49111</v>
      </c>
      <c r="U15847" t="s">
        <v>62541</v>
      </c>
      <c r="W15847" t="s">
        <v>44877</v>
      </c>
      <c r="X15847" t="s">
        <v>47447</v>
      </c>
    </row>
    <row r="15848" spans="1:24">
      <c r="A15848">
        <f>HYPERLINK("https://www.philgeps.gov.ph/GEPSNONPILOT/Tender/SplashBidNoticeAbstractUI.aspx?menuIndex=3&amp;refID=7125183&amp;Result=3","7125183")</f>
        <v>0</v>
      </c>
      <c r="B15848" t="s">
        <v>1227</v>
      </c>
      <c r="C15848" t="s">
        <v>18923</v>
      </c>
      <c r="D15848" t="s">
        <v>19062</v>
      </c>
      <c r="E15848" t="s">
        <v>32750</v>
      </c>
      <c r="F15848" t="s">
        <v>32831</v>
      </c>
      <c r="G15848" t="s">
        <v>32845</v>
      </c>
      <c r="H15848" t="s">
        <v>32848</v>
      </c>
      <c r="I15848" t="s">
        <v>32883</v>
      </c>
      <c r="J15848" t="s">
        <v>42664</v>
      </c>
      <c r="K15848" t="s">
        <v>42770</v>
      </c>
      <c r="M15848" t="s">
        <v>44296</v>
      </c>
      <c r="N15848" t="s">
        <v>47424</v>
      </c>
      <c r="O15848" t="s">
        <v>47425</v>
      </c>
      <c r="P15848">
        <v>0</v>
      </c>
      <c r="Q15848">
        <v>5</v>
      </c>
      <c r="R15848" t="s">
        <v>47446</v>
      </c>
      <c r="S15848" t="s">
        <v>48377</v>
      </c>
      <c r="T15848" t="s">
        <v>49111</v>
      </c>
      <c r="U15848" t="s">
        <v>62542</v>
      </c>
      <c r="V15848" t="s">
        <v>62932</v>
      </c>
      <c r="W15848" t="s">
        <v>44296</v>
      </c>
      <c r="X15848" t="s">
        <v>47447</v>
      </c>
    </row>
    <row r="15849" spans="1:24">
      <c r="A15849">
        <f>HYPERLINK("https://www.philgeps.gov.ph/GEPSNONPILOT/Tender/SplashBidNoticeAbstractUI.aspx?menuIndex=3&amp;refID=7125162&amp;Result=3","7125162")</f>
        <v>0</v>
      </c>
      <c r="B15849" t="s">
        <v>668</v>
      </c>
      <c r="C15849" t="s">
        <v>18924</v>
      </c>
      <c r="D15849" t="s">
        <v>19034</v>
      </c>
      <c r="E15849" t="s">
        <v>32751</v>
      </c>
      <c r="F15849" t="s">
        <v>32831</v>
      </c>
      <c r="G15849" t="s">
        <v>32839</v>
      </c>
      <c r="H15849" t="s">
        <v>32849</v>
      </c>
      <c r="I15849" t="s">
        <v>4177</v>
      </c>
      <c r="J15849" t="s">
        <v>42665</v>
      </c>
      <c r="K15849" t="s">
        <v>42766</v>
      </c>
      <c r="M15849" t="s">
        <v>43687</v>
      </c>
      <c r="N15849" t="s">
        <v>47424</v>
      </c>
      <c r="O15849" t="s">
        <v>47425</v>
      </c>
      <c r="P15849">
        <v>0</v>
      </c>
      <c r="Q15849">
        <v>1</v>
      </c>
      <c r="R15849" t="s">
        <v>47446</v>
      </c>
      <c r="S15849" t="s">
        <v>48377</v>
      </c>
      <c r="T15849" t="s">
        <v>49321</v>
      </c>
      <c r="U15849" t="s">
        <v>62543</v>
      </c>
      <c r="W15849" t="s">
        <v>43687</v>
      </c>
      <c r="X15849" t="s">
        <v>47447</v>
      </c>
    </row>
    <row r="15850" spans="1:24">
      <c r="A15850">
        <f>HYPERLINK("https://www.philgeps.gov.ph/GEPSNONPILOT/Tender/SplashBidNoticeAbstractUI.aspx?menuIndex=3&amp;refID=7125158&amp;Result=3","7125158")</f>
        <v>0</v>
      </c>
      <c r="B15850" t="s">
        <v>3449</v>
      </c>
      <c r="C15850" t="s">
        <v>18925</v>
      </c>
      <c r="D15850" t="s">
        <v>19049</v>
      </c>
      <c r="E15850" t="s">
        <v>32752</v>
      </c>
      <c r="F15850" t="s">
        <v>32831</v>
      </c>
      <c r="G15850" t="s">
        <v>32839</v>
      </c>
      <c r="H15850" t="s">
        <v>32848</v>
      </c>
      <c r="I15850" t="s">
        <v>4303</v>
      </c>
      <c r="J15850" t="s">
        <v>42666</v>
      </c>
      <c r="K15850" t="s">
        <v>42730</v>
      </c>
      <c r="M15850" t="s">
        <v>46789</v>
      </c>
      <c r="N15850" t="s">
        <v>47424</v>
      </c>
      <c r="O15850" t="s">
        <v>47425</v>
      </c>
      <c r="Q15850">
        <v>1</v>
      </c>
      <c r="R15850" t="s">
        <v>47446</v>
      </c>
      <c r="S15850" t="s">
        <v>49040</v>
      </c>
      <c r="T15850" t="s">
        <v>49129</v>
      </c>
      <c r="U15850" t="s">
        <v>62544</v>
      </c>
      <c r="V15850" t="s">
        <v>63921</v>
      </c>
      <c r="W15850" t="s">
        <v>46789</v>
      </c>
      <c r="X15850" t="s">
        <v>47447</v>
      </c>
    </row>
    <row r="15851" spans="1:24">
      <c r="A15851">
        <f>HYPERLINK("https://www.philgeps.gov.ph/GEPSNONPILOT/Tender/SplashBidNoticeAbstractUI.aspx?menuIndex=3&amp;refID=7125197&amp;Result=3","7125197")</f>
        <v>0</v>
      </c>
      <c r="B15851" t="s">
        <v>3497</v>
      </c>
      <c r="C15851" t="s">
        <v>18926</v>
      </c>
      <c r="D15851" t="s">
        <v>19091</v>
      </c>
      <c r="E15851" t="s">
        <v>32753</v>
      </c>
      <c r="F15851" t="s">
        <v>32831</v>
      </c>
      <c r="G15851" t="s">
        <v>32839</v>
      </c>
      <c r="H15851" t="s">
        <v>32849</v>
      </c>
      <c r="I15851" t="s">
        <v>4177</v>
      </c>
      <c r="J15851" t="s">
        <v>42667</v>
      </c>
      <c r="K15851" t="s">
        <v>42770</v>
      </c>
      <c r="M15851" t="s">
        <v>47116</v>
      </c>
      <c r="N15851" t="s">
        <v>47424</v>
      </c>
      <c r="O15851" t="s">
        <v>47425</v>
      </c>
      <c r="P15851">
        <v>0</v>
      </c>
      <c r="Q15851">
        <v>2</v>
      </c>
      <c r="R15851" t="s">
        <v>47446</v>
      </c>
      <c r="S15851" t="s">
        <v>48377</v>
      </c>
      <c r="T15851" t="s">
        <v>49166</v>
      </c>
      <c r="U15851" t="s">
        <v>62545</v>
      </c>
      <c r="W15851" t="s">
        <v>47116</v>
      </c>
      <c r="X15851" t="s">
        <v>47447</v>
      </c>
    </row>
    <row r="15852" spans="1:24">
      <c r="A15852">
        <f>HYPERLINK("https://www.philgeps.gov.ph/GEPSNONPILOT/Tender/SplashBidNoticeAbstractUI.aspx?menuIndex=3&amp;refID=7125373&amp;Result=3","7125373")</f>
        <v>0</v>
      </c>
      <c r="B15852" t="s">
        <v>2506</v>
      </c>
      <c r="C15852" t="s">
        <v>18927</v>
      </c>
      <c r="D15852" t="s">
        <v>19020</v>
      </c>
      <c r="E15852" t="s">
        <v>32754</v>
      </c>
      <c r="F15852" t="s">
        <v>32831</v>
      </c>
      <c r="G15852" t="s">
        <v>32839</v>
      </c>
      <c r="H15852" t="s">
        <v>32849</v>
      </c>
      <c r="I15852" t="s">
        <v>4177</v>
      </c>
      <c r="J15852" t="s">
        <v>42668</v>
      </c>
      <c r="K15852" t="s">
        <v>42871</v>
      </c>
      <c r="M15852" t="s">
        <v>47273</v>
      </c>
      <c r="N15852" t="s">
        <v>47424</v>
      </c>
      <c r="O15852" t="s">
        <v>47425</v>
      </c>
      <c r="Q15852">
        <v>11</v>
      </c>
      <c r="R15852" t="s">
        <v>47446</v>
      </c>
      <c r="S15852" t="s">
        <v>49041</v>
      </c>
      <c r="T15852" t="s">
        <v>49073</v>
      </c>
      <c r="U15852" t="s">
        <v>62546</v>
      </c>
      <c r="V15852" t="s">
        <v>64297</v>
      </c>
      <c r="W15852" t="s">
        <v>47273</v>
      </c>
      <c r="X15852" t="s">
        <v>47447</v>
      </c>
    </row>
    <row r="15853" spans="1:24">
      <c r="A15853">
        <f>HYPERLINK("https://www.philgeps.gov.ph/GEPSNONPILOT/Tender/SplashBidNoticeAbstractUI.aspx?menuIndex=3&amp;refID=7125185&amp;Result=3","7125185")</f>
        <v>0</v>
      </c>
      <c r="B15853" t="s">
        <v>3555</v>
      </c>
      <c r="C15853" t="s">
        <v>18928</v>
      </c>
      <c r="D15853" t="s">
        <v>19079</v>
      </c>
      <c r="E15853" t="s">
        <v>32755</v>
      </c>
      <c r="F15853" t="s">
        <v>32831</v>
      </c>
      <c r="G15853" t="s">
        <v>32839</v>
      </c>
      <c r="H15853" t="s">
        <v>32849</v>
      </c>
      <c r="I15853" t="s">
        <v>4177</v>
      </c>
      <c r="J15853" t="s">
        <v>42669</v>
      </c>
      <c r="K15853" t="s">
        <v>42770</v>
      </c>
      <c r="M15853" t="s">
        <v>46910</v>
      </c>
      <c r="N15853" t="s">
        <v>47424</v>
      </c>
      <c r="O15853" t="s">
        <v>47425</v>
      </c>
      <c r="P15853">
        <v>0</v>
      </c>
      <c r="Q15853">
        <v>1</v>
      </c>
      <c r="R15853" t="s">
        <v>47446</v>
      </c>
      <c r="S15853" t="s">
        <v>48377</v>
      </c>
      <c r="T15853" t="s">
        <v>49212</v>
      </c>
      <c r="U15853" t="s">
        <v>62547</v>
      </c>
      <c r="W15853" t="s">
        <v>46910</v>
      </c>
      <c r="X15853" t="s">
        <v>47447</v>
      </c>
    </row>
    <row r="15854" spans="1:24">
      <c r="A15854">
        <f>HYPERLINK("https://www.philgeps.gov.ph/GEPSNONPILOT/Tender/SplashBidNoticeAbstractUI.aspx?menuIndex=3&amp;refID=7124989&amp;Result=3","7124989")</f>
        <v>0</v>
      </c>
      <c r="B15854" t="s">
        <v>2506</v>
      </c>
      <c r="C15854" t="s">
        <v>18929</v>
      </c>
      <c r="D15854" t="s">
        <v>19020</v>
      </c>
      <c r="E15854" t="s">
        <v>32756</v>
      </c>
      <c r="F15854" t="s">
        <v>32831</v>
      </c>
      <c r="G15854" t="s">
        <v>32839</v>
      </c>
      <c r="H15854" t="s">
        <v>32849</v>
      </c>
      <c r="I15854" t="s">
        <v>4177</v>
      </c>
      <c r="J15854" t="s">
        <v>42670</v>
      </c>
      <c r="K15854" t="s">
        <v>42789</v>
      </c>
      <c r="M15854" t="s">
        <v>45713</v>
      </c>
      <c r="N15854" t="s">
        <v>47424</v>
      </c>
      <c r="O15854" t="s">
        <v>47425</v>
      </c>
      <c r="Q15854">
        <v>16</v>
      </c>
      <c r="R15854" t="s">
        <v>47446</v>
      </c>
      <c r="S15854" t="s">
        <v>49042</v>
      </c>
      <c r="T15854" t="s">
        <v>49073</v>
      </c>
      <c r="U15854" t="s">
        <v>62548</v>
      </c>
      <c r="V15854" t="s">
        <v>64297</v>
      </c>
      <c r="W15854" t="s">
        <v>47273</v>
      </c>
      <c r="X15854" t="s">
        <v>47447</v>
      </c>
    </row>
    <row r="15855" spans="1:24">
      <c r="A15855">
        <f>HYPERLINK("https://www.philgeps.gov.ph/GEPSNONPILOT/Tender/SplashBidNoticeAbstractUI.aspx?menuIndex=3&amp;refID=7124924&amp;Result=3","7124924")</f>
        <v>0</v>
      </c>
      <c r="B15855" t="s">
        <v>848</v>
      </c>
      <c r="C15855" t="s">
        <v>18930</v>
      </c>
      <c r="D15855" t="s">
        <v>19027</v>
      </c>
      <c r="E15855" t="s">
        <v>19976</v>
      </c>
      <c r="F15855" t="s">
        <v>32831</v>
      </c>
      <c r="G15855" t="s">
        <v>32839</v>
      </c>
      <c r="H15855" t="s">
        <v>32848</v>
      </c>
      <c r="I15855" t="s">
        <v>7751</v>
      </c>
      <c r="J15855" t="s">
        <v>42671</v>
      </c>
      <c r="K15855" t="s">
        <v>42732</v>
      </c>
      <c r="M15855" t="s">
        <v>43881</v>
      </c>
      <c r="N15855" t="s">
        <v>47424</v>
      </c>
      <c r="O15855" t="s">
        <v>47425</v>
      </c>
      <c r="P15855">
        <v>0</v>
      </c>
      <c r="Q15855">
        <v>1</v>
      </c>
      <c r="R15855" t="s">
        <v>47446</v>
      </c>
      <c r="S15855" t="s">
        <v>48377</v>
      </c>
      <c r="T15855" t="s">
        <v>49237</v>
      </c>
      <c r="U15855" t="s">
        <v>62549</v>
      </c>
      <c r="W15855" t="s">
        <v>43881</v>
      </c>
      <c r="X15855" t="s">
        <v>47447</v>
      </c>
    </row>
    <row r="15856" spans="1:24">
      <c r="A15856">
        <f>HYPERLINK("https://www.philgeps.gov.ph/GEPSNONPILOT/Tender/SplashBidNoticeAbstractUI.aspx?menuIndex=3&amp;refID=7124917&amp;Result=3","7124917")</f>
        <v>0</v>
      </c>
      <c r="B15856" t="s">
        <v>3923</v>
      </c>
      <c r="C15856" t="s">
        <v>18931</v>
      </c>
      <c r="D15856" t="s">
        <v>19018</v>
      </c>
      <c r="E15856" t="s">
        <v>21910</v>
      </c>
      <c r="F15856" t="s">
        <v>32831</v>
      </c>
      <c r="G15856" t="s">
        <v>32839</v>
      </c>
      <c r="H15856" t="s">
        <v>32849</v>
      </c>
      <c r="I15856" t="s">
        <v>4177</v>
      </c>
      <c r="J15856" t="s">
        <v>42672</v>
      </c>
      <c r="K15856" t="s">
        <v>42763</v>
      </c>
      <c r="M15856" t="s">
        <v>47412</v>
      </c>
      <c r="N15856" t="s">
        <v>47424</v>
      </c>
      <c r="O15856" t="s">
        <v>47425</v>
      </c>
      <c r="P15856">
        <v>0</v>
      </c>
      <c r="Q15856">
        <v>0</v>
      </c>
      <c r="R15856" t="s">
        <v>47446</v>
      </c>
      <c r="S15856" t="s">
        <v>48377</v>
      </c>
      <c r="T15856" t="s">
        <v>49111</v>
      </c>
      <c r="U15856" t="s">
        <v>62550</v>
      </c>
      <c r="W15856" t="s">
        <v>47412</v>
      </c>
      <c r="X15856" t="s">
        <v>47447</v>
      </c>
    </row>
    <row r="15857" spans="1:24">
      <c r="A15857">
        <f>HYPERLINK("https://www.philgeps.gov.ph/GEPSNONPILOT/Tender/SplashBidNoticeAbstractUI.aspx?menuIndex=3&amp;refID=7124915&amp;Result=3","7124915")</f>
        <v>0</v>
      </c>
      <c r="B15857" t="s">
        <v>1414</v>
      </c>
      <c r="C15857" t="s">
        <v>18932</v>
      </c>
      <c r="D15857" t="s">
        <v>19030</v>
      </c>
      <c r="E15857" t="s">
        <v>31609</v>
      </c>
      <c r="F15857" t="s">
        <v>32831</v>
      </c>
      <c r="G15857" t="s">
        <v>32839</v>
      </c>
      <c r="H15857" t="s">
        <v>32849</v>
      </c>
      <c r="I15857" t="s">
        <v>4177</v>
      </c>
      <c r="J15857" t="s">
        <v>42673</v>
      </c>
      <c r="K15857" t="s">
        <v>42747</v>
      </c>
      <c r="M15857" t="s">
        <v>44502</v>
      </c>
      <c r="N15857" t="s">
        <v>47424</v>
      </c>
      <c r="O15857" t="s">
        <v>47425</v>
      </c>
      <c r="P15857">
        <v>0</v>
      </c>
      <c r="Q15857">
        <v>0</v>
      </c>
      <c r="R15857" t="s">
        <v>47446</v>
      </c>
      <c r="S15857" t="s">
        <v>48377</v>
      </c>
      <c r="T15857" t="s">
        <v>49177</v>
      </c>
      <c r="U15857" t="s">
        <v>61541</v>
      </c>
      <c r="W15857" t="s">
        <v>44502</v>
      </c>
      <c r="X15857" t="s">
        <v>47447</v>
      </c>
    </row>
    <row r="15858" spans="1:24">
      <c r="A15858">
        <f>HYPERLINK("https://www.philgeps.gov.ph/GEPSNONPILOT/Tender/SplashBidNoticeAbstractUI.aspx?menuIndex=3&amp;refID=7124909&amp;Result=3","7124909")</f>
        <v>0</v>
      </c>
      <c r="B15858" t="s">
        <v>3384</v>
      </c>
      <c r="C15858" t="s">
        <v>18933</v>
      </c>
      <c r="D15858" t="s">
        <v>19037</v>
      </c>
      <c r="E15858" t="s">
        <v>24075</v>
      </c>
      <c r="F15858" t="s">
        <v>32831</v>
      </c>
      <c r="G15858" t="s">
        <v>32839</v>
      </c>
      <c r="H15858" t="s">
        <v>32849</v>
      </c>
      <c r="I15858" t="s">
        <v>4177</v>
      </c>
      <c r="J15858" t="s">
        <v>33066</v>
      </c>
      <c r="K15858" t="s">
        <v>42763</v>
      </c>
      <c r="M15858" t="s">
        <v>46715</v>
      </c>
      <c r="N15858" t="s">
        <v>47424</v>
      </c>
      <c r="O15858" t="s">
        <v>47425</v>
      </c>
      <c r="P15858">
        <v>0</v>
      </c>
      <c r="Q15858">
        <v>7</v>
      </c>
      <c r="R15858" t="s">
        <v>47446</v>
      </c>
      <c r="S15858" t="s">
        <v>48377</v>
      </c>
      <c r="T15858" t="s">
        <v>49162</v>
      </c>
      <c r="U15858" t="s">
        <v>62551</v>
      </c>
      <c r="W15858" t="s">
        <v>46715</v>
      </c>
      <c r="X15858" t="s">
        <v>47447</v>
      </c>
    </row>
    <row r="15859" spans="1:24">
      <c r="A15859">
        <f>HYPERLINK("https://www.philgeps.gov.ph/GEPSNONPILOT/Tender/SplashBidNoticeAbstractUI.aspx?menuIndex=3&amp;refID=7124828&amp;Result=3","7124828")</f>
        <v>0</v>
      </c>
      <c r="B15859" t="s">
        <v>301</v>
      </c>
      <c r="C15859" t="s">
        <v>18934</v>
      </c>
      <c r="D15859" t="s">
        <v>19067</v>
      </c>
      <c r="E15859" t="s">
        <v>32757</v>
      </c>
      <c r="F15859" t="s">
        <v>32831</v>
      </c>
      <c r="G15859" t="s">
        <v>32839</v>
      </c>
      <c r="H15859" t="s">
        <v>14069</v>
      </c>
      <c r="I15859" t="s">
        <v>14069</v>
      </c>
      <c r="J15859" t="s">
        <v>42674</v>
      </c>
      <c r="K15859" t="s">
        <v>42875</v>
      </c>
      <c r="M15859" t="s">
        <v>43302</v>
      </c>
      <c r="N15859" t="s">
        <v>47424</v>
      </c>
      <c r="O15859" t="s">
        <v>47425</v>
      </c>
      <c r="P15859">
        <v>0</v>
      </c>
      <c r="Q15859">
        <v>9</v>
      </c>
      <c r="R15859" t="s">
        <v>47446</v>
      </c>
      <c r="S15859" t="s">
        <v>48377</v>
      </c>
      <c r="T15859" t="s">
        <v>49080</v>
      </c>
      <c r="U15859" t="s">
        <v>61506</v>
      </c>
      <c r="W15859" t="s">
        <v>43302</v>
      </c>
      <c r="X15859" t="s">
        <v>47447</v>
      </c>
    </row>
    <row r="15860" spans="1:24">
      <c r="A15860">
        <f>HYPERLINK("https://www.philgeps.gov.ph/GEPSNONPILOT/Tender/SplashBidNoticeAbstractUI.aspx?menuIndex=3&amp;refID=7124986&amp;Result=3","7124986")</f>
        <v>0</v>
      </c>
      <c r="B15860" t="s">
        <v>2571</v>
      </c>
      <c r="C15860" t="s">
        <v>18935</v>
      </c>
      <c r="D15860" t="s">
        <v>19060</v>
      </c>
      <c r="E15860" t="s">
        <v>32758</v>
      </c>
      <c r="F15860" t="s">
        <v>32831</v>
      </c>
      <c r="G15860" t="s">
        <v>32839</v>
      </c>
      <c r="H15860" t="s">
        <v>32849</v>
      </c>
      <c r="I15860" t="s">
        <v>4177</v>
      </c>
      <c r="J15860" t="s">
        <v>33465</v>
      </c>
      <c r="K15860" t="s">
        <v>42770</v>
      </c>
      <c r="M15860" t="s">
        <v>45787</v>
      </c>
      <c r="N15860" t="s">
        <v>47424</v>
      </c>
      <c r="O15860" t="s">
        <v>47425</v>
      </c>
      <c r="P15860">
        <v>0</v>
      </c>
      <c r="Q15860">
        <v>7</v>
      </c>
      <c r="R15860" t="s">
        <v>47446</v>
      </c>
      <c r="S15860" t="s">
        <v>48377</v>
      </c>
      <c r="T15860" t="s">
        <v>49239</v>
      </c>
      <c r="U15860" t="s">
        <v>62552</v>
      </c>
      <c r="W15860" t="s">
        <v>45787</v>
      </c>
      <c r="X15860" t="s">
        <v>47447</v>
      </c>
    </row>
    <row r="15861" spans="1:24">
      <c r="A15861">
        <f>HYPERLINK("https://www.philgeps.gov.ph/GEPSNONPILOT/Tender/SplashBidNoticeAbstractUI.aspx?menuIndex=3&amp;refID=7124979&amp;Result=3","7124979")</f>
        <v>0</v>
      </c>
      <c r="B15861" t="s">
        <v>3193</v>
      </c>
      <c r="C15861" t="s">
        <v>18936</v>
      </c>
      <c r="D15861" t="s">
        <v>19071</v>
      </c>
      <c r="E15861" t="s">
        <v>32759</v>
      </c>
      <c r="F15861" t="s">
        <v>32831</v>
      </c>
      <c r="G15861" t="s">
        <v>32839</v>
      </c>
      <c r="H15861" t="s">
        <v>32849</v>
      </c>
      <c r="I15861" t="s">
        <v>4177</v>
      </c>
      <c r="J15861" t="s">
        <v>42675</v>
      </c>
      <c r="K15861" t="s">
        <v>42757</v>
      </c>
      <c r="M15861" t="s">
        <v>46503</v>
      </c>
      <c r="N15861" t="s">
        <v>47424</v>
      </c>
      <c r="O15861" t="s">
        <v>47425</v>
      </c>
      <c r="P15861">
        <v>0</v>
      </c>
      <c r="Q15861">
        <v>0</v>
      </c>
      <c r="R15861" t="s">
        <v>47446</v>
      </c>
      <c r="S15861" t="s">
        <v>48377</v>
      </c>
      <c r="T15861" t="s">
        <v>49415</v>
      </c>
      <c r="U15861" t="s">
        <v>62553</v>
      </c>
      <c r="W15861" t="s">
        <v>64540</v>
      </c>
      <c r="X15861" t="s">
        <v>47447</v>
      </c>
    </row>
    <row r="15862" spans="1:24">
      <c r="A15862">
        <f>HYPERLINK("https://www.philgeps.gov.ph/GEPSNONPILOT/Tender/SplashBidNoticeAbstractUI.aspx?menuIndex=3&amp;refID=7124822&amp;Result=3","7124822")</f>
        <v>0</v>
      </c>
      <c r="B15862" t="s">
        <v>671</v>
      </c>
      <c r="C15862" t="s">
        <v>18937</v>
      </c>
      <c r="D15862" t="s">
        <v>19030</v>
      </c>
      <c r="E15862" t="s">
        <v>32760</v>
      </c>
      <c r="F15862" t="s">
        <v>32831</v>
      </c>
      <c r="G15862" t="s">
        <v>32839</v>
      </c>
      <c r="H15862" t="s">
        <v>32848</v>
      </c>
      <c r="I15862" t="s">
        <v>32863</v>
      </c>
      <c r="J15862" t="s">
        <v>36189</v>
      </c>
      <c r="K15862" t="s">
        <v>42730</v>
      </c>
      <c r="M15862" t="s">
        <v>45674</v>
      </c>
      <c r="N15862" t="s">
        <v>47424</v>
      </c>
      <c r="O15862" t="s">
        <v>47425</v>
      </c>
      <c r="P15862">
        <v>0</v>
      </c>
      <c r="Q15862">
        <v>3</v>
      </c>
      <c r="R15862" t="s">
        <v>47446</v>
      </c>
      <c r="S15862" t="s">
        <v>48377</v>
      </c>
      <c r="T15862" t="s">
        <v>49212</v>
      </c>
      <c r="U15862" t="s">
        <v>52028</v>
      </c>
      <c r="V15862" t="s">
        <v>62999</v>
      </c>
      <c r="W15862" t="s">
        <v>64462</v>
      </c>
      <c r="X15862" t="s">
        <v>47447</v>
      </c>
    </row>
    <row r="15863" spans="1:24">
      <c r="A15863">
        <f>HYPERLINK("https://www.philgeps.gov.ph/GEPSNONPILOT/Tender/SplashBidNoticeAbstractUI.aspx?menuIndex=3&amp;refID=7124696&amp;Result=3","7124696")</f>
        <v>0</v>
      </c>
      <c r="B15863" t="s">
        <v>1258</v>
      </c>
      <c r="C15863" t="s">
        <v>18938</v>
      </c>
      <c r="D15863" t="s">
        <v>19017</v>
      </c>
      <c r="E15863" t="s">
        <v>32761</v>
      </c>
      <c r="F15863" t="s">
        <v>32831</v>
      </c>
      <c r="G15863" t="s">
        <v>32839</v>
      </c>
      <c r="H15863" t="s">
        <v>32848</v>
      </c>
      <c r="I15863" t="s">
        <v>8577</v>
      </c>
      <c r="J15863" t="s">
        <v>42676</v>
      </c>
      <c r="K15863" t="s">
        <v>42732</v>
      </c>
      <c r="M15863" t="s">
        <v>44328</v>
      </c>
      <c r="N15863" t="s">
        <v>47424</v>
      </c>
      <c r="O15863" t="s">
        <v>47425</v>
      </c>
      <c r="Q15863">
        <v>24</v>
      </c>
      <c r="R15863" t="s">
        <v>47446</v>
      </c>
      <c r="S15863" t="s">
        <v>49043</v>
      </c>
      <c r="T15863" t="s">
        <v>49159</v>
      </c>
      <c r="U15863" t="s">
        <v>52157</v>
      </c>
      <c r="W15863" t="s">
        <v>44328</v>
      </c>
      <c r="X15863" t="s">
        <v>47447</v>
      </c>
    </row>
    <row r="15864" spans="1:24">
      <c r="A15864">
        <f>HYPERLINK("https://www.philgeps.gov.ph/GEPSNONPILOT/Tender/SplashBidNoticeAbstractUI.aspx?menuIndex=3&amp;refID=7124914&amp;Result=3","7124914")</f>
        <v>0</v>
      </c>
      <c r="B15864" t="s">
        <v>815</v>
      </c>
      <c r="C15864" t="s">
        <v>18939</v>
      </c>
      <c r="D15864" t="s">
        <v>19033</v>
      </c>
      <c r="E15864" t="s">
        <v>32762</v>
      </c>
      <c r="F15864" t="s">
        <v>32831</v>
      </c>
      <c r="G15864" t="s">
        <v>32839</v>
      </c>
      <c r="H15864" t="s">
        <v>32849</v>
      </c>
      <c r="I15864" t="s">
        <v>7416</v>
      </c>
      <c r="J15864" t="s">
        <v>42677</v>
      </c>
      <c r="K15864" t="s">
        <v>42995</v>
      </c>
      <c r="M15864" t="s">
        <v>43846</v>
      </c>
      <c r="N15864" t="s">
        <v>47424</v>
      </c>
      <c r="O15864" t="s">
        <v>47425</v>
      </c>
      <c r="P15864">
        <v>0</v>
      </c>
      <c r="Q15864">
        <v>2</v>
      </c>
      <c r="R15864" t="s">
        <v>47446</v>
      </c>
      <c r="S15864" t="s">
        <v>48377</v>
      </c>
      <c r="T15864" t="s">
        <v>49239</v>
      </c>
      <c r="U15864" t="s">
        <v>62554</v>
      </c>
      <c r="W15864" t="s">
        <v>43846</v>
      </c>
      <c r="X15864" t="s">
        <v>47447</v>
      </c>
    </row>
    <row r="15865" spans="1:24">
      <c r="A15865">
        <f>HYPERLINK("https://www.philgeps.gov.ph/GEPSNONPILOT/Tender/SplashBidNoticeAbstractUI.aspx?menuIndex=3&amp;refID=7124820&amp;Result=3","7124820")</f>
        <v>0</v>
      </c>
      <c r="B15865" t="s">
        <v>1782</v>
      </c>
      <c r="C15865" t="s">
        <v>18940</v>
      </c>
      <c r="D15865" t="s">
        <v>19035</v>
      </c>
      <c r="E15865" t="s">
        <v>32763</v>
      </c>
      <c r="F15865" t="s">
        <v>32831</v>
      </c>
      <c r="G15865" t="s">
        <v>32839</v>
      </c>
      <c r="H15865" t="s">
        <v>32848</v>
      </c>
      <c r="I15865" t="s">
        <v>32857</v>
      </c>
      <c r="J15865" t="s">
        <v>35531</v>
      </c>
      <c r="K15865" t="s">
        <v>42726</v>
      </c>
      <c r="M15865" t="s">
        <v>47413</v>
      </c>
      <c r="N15865" t="s">
        <v>47424</v>
      </c>
      <c r="O15865" t="s">
        <v>47425</v>
      </c>
      <c r="Q15865">
        <v>8</v>
      </c>
      <c r="R15865" t="s">
        <v>47446</v>
      </c>
      <c r="S15865" t="s">
        <v>48904</v>
      </c>
      <c r="T15865" t="s">
        <v>49238</v>
      </c>
      <c r="U15865" t="s">
        <v>62555</v>
      </c>
      <c r="W15865" t="s">
        <v>47413</v>
      </c>
      <c r="X15865" t="s">
        <v>47447</v>
      </c>
    </row>
    <row r="15866" spans="1:24">
      <c r="A15866">
        <f>HYPERLINK("https://www.philgeps.gov.ph/GEPSNONPILOT/Tender/SplashBidNoticeAbstractUI.aspx?menuIndex=3&amp;refID=7125757&amp;Result=3","7125757")</f>
        <v>0</v>
      </c>
      <c r="B15866" t="s">
        <v>1997</v>
      </c>
      <c r="C15866" t="s">
        <v>18941</v>
      </c>
      <c r="D15866" t="s">
        <v>19061</v>
      </c>
      <c r="E15866" t="s">
        <v>32764</v>
      </c>
      <c r="F15866" t="s">
        <v>32831</v>
      </c>
      <c r="G15866" t="s">
        <v>32839</v>
      </c>
      <c r="H15866" t="s">
        <v>32849</v>
      </c>
      <c r="I15866" t="s">
        <v>4177</v>
      </c>
      <c r="J15866" t="s">
        <v>33044</v>
      </c>
      <c r="K15866" t="s">
        <v>42729</v>
      </c>
      <c r="M15866" t="s">
        <v>45164</v>
      </c>
      <c r="N15866" t="s">
        <v>47424</v>
      </c>
      <c r="O15866" t="s">
        <v>47425</v>
      </c>
      <c r="P15866">
        <v>0</v>
      </c>
      <c r="Q15866">
        <v>0</v>
      </c>
      <c r="R15866" t="s">
        <v>47446</v>
      </c>
      <c r="S15866" t="s">
        <v>48377</v>
      </c>
      <c r="T15866" t="s">
        <v>49288</v>
      </c>
      <c r="U15866" t="s">
        <v>58780</v>
      </c>
      <c r="W15866" t="s">
        <v>45164</v>
      </c>
      <c r="X15866" t="s">
        <v>47447</v>
      </c>
    </row>
    <row r="15867" spans="1:24">
      <c r="A15867">
        <f>HYPERLINK("https://www.philgeps.gov.ph/GEPSNONPILOT/Tender/SplashBidNoticeAbstractUI.aspx?menuIndex=3&amp;refID=7124819&amp;Result=3","7124819")</f>
        <v>0</v>
      </c>
      <c r="B15867" t="s">
        <v>895</v>
      </c>
      <c r="C15867" t="s">
        <v>18942</v>
      </c>
      <c r="D15867" t="s">
        <v>19036</v>
      </c>
      <c r="E15867" t="s">
        <v>32765</v>
      </c>
      <c r="F15867" t="s">
        <v>32831</v>
      </c>
      <c r="G15867" t="s">
        <v>32839</v>
      </c>
      <c r="H15867" t="s">
        <v>32848</v>
      </c>
      <c r="I15867" t="s">
        <v>4487</v>
      </c>
      <c r="J15867" t="s">
        <v>33039</v>
      </c>
      <c r="K15867" t="s">
        <v>42727</v>
      </c>
      <c r="M15867" t="s">
        <v>44825</v>
      </c>
      <c r="N15867" t="s">
        <v>47424</v>
      </c>
      <c r="O15867" t="s">
        <v>47425</v>
      </c>
      <c r="P15867">
        <v>0</v>
      </c>
      <c r="Q15867">
        <v>2</v>
      </c>
      <c r="R15867" t="s">
        <v>47446</v>
      </c>
      <c r="S15867" t="s">
        <v>48377</v>
      </c>
      <c r="T15867" t="s">
        <v>49415</v>
      </c>
      <c r="U15867" t="s">
        <v>62556</v>
      </c>
      <c r="V15867" t="s">
        <v>62833</v>
      </c>
      <c r="W15867" t="s">
        <v>44825</v>
      </c>
      <c r="X15867" t="s">
        <v>47447</v>
      </c>
    </row>
    <row r="15868" spans="1:24">
      <c r="A15868">
        <f>HYPERLINK("https://www.philgeps.gov.ph/GEPSNONPILOT/Tender/SplashBidNoticeAbstractUI.aspx?menuIndex=3&amp;refID=7124699&amp;Result=3","7124699")</f>
        <v>0</v>
      </c>
      <c r="B15868" t="s">
        <v>632</v>
      </c>
      <c r="C15868" t="s">
        <v>18943</v>
      </c>
      <c r="D15868" t="s">
        <v>19058</v>
      </c>
      <c r="E15868" t="s">
        <v>32766</v>
      </c>
      <c r="F15868" t="s">
        <v>32831</v>
      </c>
      <c r="G15868" t="s">
        <v>32839</v>
      </c>
      <c r="H15868" t="s">
        <v>32848</v>
      </c>
      <c r="I15868" t="s">
        <v>32869</v>
      </c>
      <c r="J15868" t="s">
        <v>37353</v>
      </c>
      <c r="K15868" t="s">
        <v>42726</v>
      </c>
      <c r="M15868" t="s">
        <v>43649</v>
      </c>
      <c r="N15868" t="s">
        <v>47424</v>
      </c>
      <c r="O15868" t="s">
        <v>47425</v>
      </c>
      <c r="P15868">
        <v>0</v>
      </c>
      <c r="Q15868">
        <v>2</v>
      </c>
      <c r="R15868" t="s">
        <v>47446</v>
      </c>
      <c r="S15868" t="s">
        <v>48377</v>
      </c>
      <c r="T15868" t="s">
        <v>49243</v>
      </c>
      <c r="U15868" t="s">
        <v>62557</v>
      </c>
      <c r="W15868" t="s">
        <v>43649</v>
      </c>
      <c r="X15868" t="s">
        <v>47447</v>
      </c>
    </row>
    <row r="15869" spans="1:24">
      <c r="A15869">
        <f>HYPERLINK("https://www.philgeps.gov.ph/GEPSNONPILOT/Tender/SplashBidNoticeAbstractUI.aspx?menuIndex=3&amp;refID=7125153&amp;Result=3","7125153")</f>
        <v>0</v>
      </c>
      <c r="B15869" t="s">
        <v>3835</v>
      </c>
      <c r="C15869" t="s">
        <v>18944</v>
      </c>
      <c r="D15869" t="s">
        <v>19037</v>
      </c>
      <c r="E15869" t="s">
        <v>32767</v>
      </c>
      <c r="F15869" t="s">
        <v>32831</v>
      </c>
      <c r="G15869" t="s">
        <v>32839</v>
      </c>
      <c r="H15869" t="s">
        <v>32848</v>
      </c>
      <c r="I15869" t="s">
        <v>7416</v>
      </c>
      <c r="J15869" t="s">
        <v>42678</v>
      </c>
      <c r="K15869" t="s">
        <v>42747</v>
      </c>
      <c r="M15869" t="s">
        <v>47260</v>
      </c>
      <c r="N15869" t="s">
        <v>47424</v>
      </c>
      <c r="O15869" t="s">
        <v>47425</v>
      </c>
      <c r="P15869">
        <v>0</v>
      </c>
      <c r="Q15869">
        <v>0</v>
      </c>
      <c r="R15869" t="s">
        <v>47446</v>
      </c>
      <c r="S15869" t="s">
        <v>48377</v>
      </c>
      <c r="T15869" t="s">
        <v>49237</v>
      </c>
      <c r="U15869" t="s">
        <v>62558</v>
      </c>
      <c r="V15869" t="s">
        <v>64292</v>
      </c>
      <c r="W15869" t="s">
        <v>47260</v>
      </c>
      <c r="X15869" t="s">
        <v>47447</v>
      </c>
    </row>
    <row r="15870" spans="1:24">
      <c r="A15870">
        <f>HYPERLINK("https://www.philgeps.gov.ph/GEPSNONPILOT/Tender/SplashBidNoticeAbstractUI.aspx?menuIndex=3&amp;refID=7124689&amp;Result=3","7124689")</f>
        <v>0</v>
      </c>
      <c r="B15870" t="s">
        <v>3924</v>
      </c>
      <c r="C15870" t="s">
        <v>18945</v>
      </c>
      <c r="D15870" t="s">
        <v>19044</v>
      </c>
      <c r="E15870" t="s">
        <v>32768</v>
      </c>
      <c r="F15870" t="s">
        <v>32831</v>
      </c>
      <c r="G15870" t="s">
        <v>32839</v>
      </c>
      <c r="H15870" t="s">
        <v>32849</v>
      </c>
      <c r="I15870" t="s">
        <v>4177</v>
      </c>
      <c r="J15870" t="s">
        <v>42679</v>
      </c>
      <c r="K15870" t="s">
        <v>42763</v>
      </c>
      <c r="M15870" t="s">
        <v>47414</v>
      </c>
      <c r="N15870" t="s">
        <v>47424</v>
      </c>
      <c r="O15870" t="s">
        <v>47425</v>
      </c>
      <c r="P15870">
        <v>0</v>
      </c>
      <c r="Q15870">
        <v>0</v>
      </c>
      <c r="R15870" t="s">
        <v>47446</v>
      </c>
      <c r="S15870" t="s">
        <v>48377</v>
      </c>
      <c r="T15870" t="s">
        <v>49111</v>
      </c>
      <c r="U15870" t="s">
        <v>62559</v>
      </c>
      <c r="W15870" t="s">
        <v>47414</v>
      </c>
      <c r="X15870" t="s">
        <v>47447</v>
      </c>
    </row>
    <row r="15871" spans="1:24">
      <c r="A15871">
        <f>HYPERLINK("https://www.philgeps.gov.ph/GEPSNONPILOT/Tender/SplashBidNoticeAbstractUI.aspx?menuIndex=3&amp;refID=7124688&amp;Result=3","7124688")</f>
        <v>0</v>
      </c>
      <c r="B15871" t="s">
        <v>895</v>
      </c>
      <c r="C15871" t="s">
        <v>18946</v>
      </c>
      <c r="D15871" t="s">
        <v>19036</v>
      </c>
      <c r="E15871" t="s">
        <v>32769</v>
      </c>
      <c r="F15871" t="s">
        <v>32831</v>
      </c>
      <c r="G15871" t="s">
        <v>32839</v>
      </c>
      <c r="H15871" t="s">
        <v>32848</v>
      </c>
      <c r="I15871" t="s">
        <v>4487</v>
      </c>
      <c r="J15871" t="s">
        <v>42680</v>
      </c>
      <c r="K15871" t="s">
        <v>42727</v>
      </c>
      <c r="M15871" t="s">
        <v>44825</v>
      </c>
      <c r="N15871" t="s">
        <v>47424</v>
      </c>
      <c r="O15871" t="s">
        <v>47425</v>
      </c>
      <c r="P15871">
        <v>0</v>
      </c>
      <c r="Q15871">
        <v>2</v>
      </c>
      <c r="R15871" t="s">
        <v>47446</v>
      </c>
      <c r="S15871" t="s">
        <v>48377</v>
      </c>
      <c r="T15871" t="s">
        <v>49415</v>
      </c>
      <c r="U15871" t="s">
        <v>62560</v>
      </c>
      <c r="V15871" t="s">
        <v>64422</v>
      </c>
      <c r="W15871" t="s">
        <v>44825</v>
      </c>
      <c r="X15871" t="s">
        <v>47447</v>
      </c>
    </row>
    <row r="15872" spans="1:24">
      <c r="A15872">
        <f>HYPERLINK("https://www.philgeps.gov.ph/GEPSNONPILOT/Tender/SplashBidNoticeAbstractUI.aspx?menuIndex=3&amp;refID=7131987&amp;Result=3","7131987")</f>
        <v>0</v>
      </c>
      <c r="B15872" t="s">
        <v>832</v>
      </c>
      <c r="C15872" t="s">
        <v>18947</v>
      </c>
      <c r="D15872" t="s">
        <v>19101</v>
      </c>
      <c r="E15872" t="s">
        <v>32770</v>
      </c>
      <c r="F15872" t="s">
        <v>32831</v>
      </c>
      <c r="G15872" t="s">
        <v>32839</v>
      </c>
      <c r="H15872" t="s">
        <v>32848</v>
      </c>
      <c r="I15872" t="s">
        <v>5667</v>
      </c>
      <c r="J15872" t="s">
        <v>42681</v>
      </c>
      <c r="K15872" t="s">
        <v>42870</v>
      </c>
      <c r="M15872" t="s">
        <v>44445</v>
      </c>
      <c r="N15872" t="s">
        <v>47424</v>
      </c>
      <c r="O15872" t="s">
        <v>47425</v>
      </c>
      <c r="Q15872">
        <v>10</v>
      </c>
      <c r="R15872" t="s">
        <v>47444</v>
      </c>
      <c r="S15872" t="s">
        <v>49044</v>
      </c>
      <c r="T15872" t="s">
        <v>49097</v>
      </c>
      <c r="U15872" t="s">
        <v>60919</v>
      </c>
      <c r="V15872" t="s">
        <v>64423</v>
      </c>
      <c r="W15872" t="s">
        <v>44445</v>
      </c>
      <c r="X15872" t="s">
        <v>47445</v>
      </c>
    </row>
    <row r="15873" spans="1:24">
      <c r="A15873">
        <f>HYPERLINK("https://www.philgeps.gov.ph/GEPSNONPILOT/Tender/SplashBidNoticeAbstractUI.aspx?menuIndex=3&amp;refID=7131736&amp;Result=3","7131736")</f>
        <v>0</v>
      </c>
      <c r="B15873" t="s">
        <v>3756</v>
      </c>
      <c r="C15873" t="s">
        <v>18948</v>
      </c>
      <c r="D15873" t="s">
        <v>19023</v>
      </c>
      <c r="E15873" t="s">
        <v>32771</v>
      </c>
      <c r="F15873" t="s">
        <v>32832</v>
      </c>
      <c r="G15873" t="s">
        <v>32839</v>
      </c>
      <c r="H15873" t="s">
        <v>32849</v>
      </c>
      <c r="I15873" t="s">
        <v>4177</v>
      </c>
      <c r="J15873" t="s">
        <v>32980</v>
      </c>
      <c r="K15873" t="s">
        <v>42730</v>
      </c>
      <c r="M15873" t="s">
        <v>47155</v>
      </c>
      <c r="N15873" t="s">
        <v>47424</v>
      </c>
      <c r="O15873" t="s">
        <v>47425</v>
      </c>
      <c r="P15873">
        <v>0</v>
      </c>
      <c r="Q15873">
        <v>1</v>
      </c>
      <c r="R15873" t="s">
        <v>47444</v>
      </c>
      <c r="S15873" t="s">
        <v>48135</v>
      </c>
      <c r="T15873" t="s">
        <v>49105</v>
      </c>
      <c r="U15873" t="s">
        <v>60899</v>
      </c>
      <c r="W15873" t="s">
        <v>47155</v>
      </c>
      <c r="X15873" t="s">
        <v>47445</v>
      </c>
    </row>
    <row r="15874" spans="1:24">
      <c r="A15874">
        <f>HYPERLINK("https://www.philgeps.gov.ph/GEPSNONPILOT/Tender/SplashBidNoticeAbstractUI.aspx?menuIndex=3&amp;refID=7131720&amp;Result=3","7131720")</f>
        <v>0</v>
      </c>
      <c r="B15874" t="s">
        <v>3752</v>
      </c>
      <c r="C15874" t="s">
        <v>18949</v>
      </c>
      <c r="E15874" t="s">
        <v>19845</v>
      </c>
      <c r="F15874" t="s">
        <v>32831</v>
      </c>
      <c r="G15874" t="s">
        <v>32839</v>
      </c>
      <c r="H15874" t="s">
        <v>32848</v>
      </c>
      <c r="I15874" t="s">
        <v>4303</v>
      </c>
      <c r="J15874" t="s">
        <v>42682</v>
      </c>
      <c r="K15874" t="s">
        <v>42732</v>
      </c>
      <c r="M15874" t="s">
        <v>47150</v>
      </c>
      <c r="N15874" t="s">
        <v>47424</v>
      </c>
      <c r="O15874" t="s">
        <v>47425</v>
      </c>
      <c r="Q15874">
        <v>1</v>
      </c>
      <c r="R15874" t="s">
        <v>47444</v>
      </c>
      <c r="S15874" t="s">
        <v>48239</v>
      </c>
      <c r="T15874" t="s">
        <v>49642</v>
      </c>
      <c r="U15874" t="s">
        <v>62561</v>
      </c>
      <c r="W15874" t="s">
        <v>47150</v>
      </c>
      <c r="X15874" t="s">
        <v>47445</v>
      </c>
    </row>
    <row r="15875" spans="1:24">
      <c r="A15875">
        <f>HYPERLINK("https://www.philgeps.gov.ph/GEPSNONPILOT/Tender/SplashBidNoticeAbstractUI.aspx?menuIndex=3&amp;refID=7131352&amp;Result=3","7131352")</f>
        <v>0</v>
      </c>
      <c r="B15875" t="s">
        <v>868</v>
      </c>
      <c r="C15875" t="s">
        <v>18950</v>
      </c>
      <c r="D15875" t="s">
        <v>19073</v>
      </c>
      <c r="E15875" t="s">
        <v>32772</v>
      </c>
      <c r="F15875" t="s">
        <v>32831</v>
      </c>
      <c r="G15875" t="s">
        <v>32839</v>
      </c>
      <c r="H15875" t="s">
        <v>32849</v>
      </c>
      <c r="I15875" t="s">
        <v>4177</v>
      </c>
      <c r="J15875" t="s">
        <v>42683</v>
      </c>
      <c r="K15875" t="s">
        <v>42732</v>
      </c>
      <c r="M15875" t="s">
        <v>43902</v>
      </c>
      <c r="N15875" t="s">
        <v>47424</v>
      </c>
      <c r="O15875" t="s">
        <v>47425</v>
      </c>
      <c r="P15875">
        <v>0</v>
      </c>
      <c r="Q15875">
        <v>4</v>
      </c>
      <c r="R15875" t="s">
        <v>47444</v>
      </c>
      <c r="S15875" t="s">
        <v>48135</v>
      </c>
      <c r="T15875" t="s">
        <v>49066</v>
      </c>
      <c r="U15875" t="s">
        <v>62562</v>
      </c>
      <c r="W15875" t="s">
        <v>43902</v>
      </c>
      <c r="X15875" t="s">
        <v>47445</v>
      </c>
    </row>
    <row r="15876" spans="1:24">
      <c r="A15876">
        <f>HYPERLINK("https://www.philgeps.gov.ph/GEPSNONPILOT/Tender/SplashBidNoticeAbstractUI.aspx?menuIndex=3&amp;refID=7131350&amp;Result=3","7131350")</f>
        <v>0</v>
      </c>
      <c r="B15876" t="s">
        <v>3925</v>
      </c>
      <c r="C15876" t="s">
        <v>18951</v>
      </c>
      <c r="D15876" t="s">
        <v>19037</v>
      </c>
      <c r="E15876" t="s">
        <v>32773</v>
      </c>
      <c r="F15876" t="s">
        <v>32831</v>
      </c>
      <c r="G15876" t="s">
        <v>32839</v>
      </c>
      <c r="H15876" t="s">
        <v>32848</v>
      </c>
      <c r="I15876" t="s">
        <v>32890</v>
      </c>
      <c r="J15876" t="s">
        <v>42684</v>
      </c>
      <c r="K15876" t="s">
        <v>42730</v>
      </c>
      <c r="M15876" t="s">
        <v>47415</v>
      </c>
      <c r="N15876" t="s">
        <v>47424</v>
      </c>
      <c r="O15876" t="s">
        <v>47425</v>
      </c>
      <c r="P15876">
        <v>0</v>
      </c>
      <c r="Q15876">
        <v>2</v>
      </c>
      <c r="R15876" t="s">
        <v>47444</v>
      </c>
      <c r="S15876" t="s">
        <v>48135</v>
      </c>
      <c r="T15876" t="s">
        <v>49105</v>
      </c>
      <c r="U15876" t="s">
        <v>62563</v>
      </c>
      <c r="W15876" t="s">
        <v>64568</v>
      </c>
      <c r="X15876" t="s">
        <v>47445</v>
      </c>
    </row>
    <row r="15877" spans="1:24">
      <c r="A15877">
        <f>HYPERLINK("https://www.philgeps.gov.ph/GEPSNONPILOT/Tender/SplashBidNoticeAbstractUI.aspx?menuIndex=3&amp;refID=7131696&amp;Result=3","7131696")</f>
        <v>0</v>
      </c>
      <c r="B15877" t="s">
        <v>759</v>
      </c>
      <c r="C15877" t="s">
        <v>18952</v>
      </c>
      <c r="E15877" t="s">
        <v>32774</v>
      </c>
      <c r="F15877" t="s">
        <v>32831</v>
      </c>
      <c r="G15877" t="s">
        <v>32839</v>
      </c>
      <c r="H15877" t="s">
        <v>32848</v>
      </c>
      <c r="I15877" t="s">
        <v>4558</v>
      </c>
      <c r="J15877" t="s">
        <v>42685</v>
      </c>
      <c r="K15877" t="s">
        <v>42732</v>
      </c>
      <c r="M15877" t="s">
        <v>46774</v>
      </c>
      <c r="N15877" t="s">
        <v>47424</v>
      </c>
      <c r="O15877" t="s">
        <v>47425</v>
      </c>
      <c r="Q15877">
        <v>7</v>
      </c>
      <c r="R15877" t="s">
        <v>47444</v>
      </c>
      <c r="S15877" t="s">
        <v>49045</v>
      </c>
      <c r="T15877" t="s">
        <v>49687</v>
      </c>
      <c r="U15877" t="s">
        <v>62564</v>
      </c>
      <c r="W15877" t="s">
        <v>46774</v>
      </c>
      <c r="X15877" t="s">
        <v>47445</v>
      </c>
    </row>
    <row r="15878" spans="1:24">
      <c r="A15878">
        <f>HYPERLINK("https://www.philgeps.gov.ph/GEPSNONPILOT/Tender/SplashBidNoticeAbstractUI.aspx?menuIndex=3&amp;refID=7131346&amp;Result=3","7131346")</f>
        <v>0</v>
      </c>
      <c r="B15878" t="s">
        <v>2519</v>
      </c>
      <c r="C15878" t="s">
        <v>18953</v>
      </c>
      <c r="D15878" t="s">
        <v>19050</v>
      </c>
      <c r="E15878" t="s">
        <v>19987</v>
      </c>
      <c r="F15878" t="s">
        <v>32831</v>
      </c>
      <c r="G15878" t="s">
        <v>32839</v>
      </c>
      <c r="H15878" t="s">
        <v>32848</v>
      </c>
      <c r="I15878" t="s">
        <v>4177</v>
      </c>
      <c r="J15878" t="s">
        <v>42686</v>
      </c>
      <c r="K15878" t="s">
        <v>42770</v>
      </c>
      <c r="M15878" t="s">
        <v>45727</v>
      </c>
      <c r="N15878" t="s">
        <v>47424</v>
      </c>
      <c r="O15878" t="s">
        <v>47425</v>
      </c>
      <c r="P15878">
        <v>0</v>
      </c>
      <c r="Q15878">
        <v>2</v>
      </c>
      <c r="R15878" t="s">
        <v>47444</v>
      </c>
      <c r="S15878" t="s">
        <v>48135</v>
      </c>
      <c r="T15878" t="s">
        <v>49133</v>
      </c>
      <c r="U15878" t="s">
        <v>62565</v>
      </c>
      <c r="V15878" t="s">
        <v>64424</v>
      </c>
      <c r="W15878" t="s">
        <v>45727</v>
      </c>
      <c r="X15878" t="s">
        <v>47445</v>
      </c>
    </row>
    <row r="15879" spans="1:24">
      <c r="A15879">
        <f>HYPERLINK("https://www.philgeps.gov.ph/GEPSNONPILOT/Tender/SplashBidNoticeAbstractUI.aspx?menuIndex=3&amp;refID=7131079&amp;Result=3","7131079")</f>
        <v>0</v>
      </c>
      <c r="B15879" t="s">
        <v>1545</v>
      </c>
      <c r="C15879" t="s">
        <v>18954</v>
      </c>
      <c r="D15879" t="s">
        <v>19044</v>
      </c>
      <c r="E15879" t="s">
        <v>32775</v>
      </c>
      <c r="F15879" t="s">
        <v>32831</v>
      </c>
      <c r="G15879" t="s">
        <v>32839</v>
      </c>
      <c r="H15879" t="s">
        <v>32849</v>
      </c>
      <c r="I15879" t="s">
        <v>4177</v>
      </c>
      <c r="J15879" t="s">
        <v>33118</v>
      </c>
      <c r="K15879" t="s">
        <v>42729</v>
      </c>
      <c r="M15879" t="s">
        <v>44649</v>
      </c>
      <c r="N15879" t="s">
        <v>47424</v>
      </c>
      <c r="O15879" t="s">
        <v>47425</v>
      </c>
      <c r="Q15879">
        <v>0</v>
      </c>
      <c r="R15879" t="s">
        <v>47444</v>
      </c>
      <c r="S15879" t="s">
        <v>49046</v>
      </c>
      <c r="T15879" t="s">
        <v>49108</v>
      </c>
      <c r="U15879" t="s">
        <v>60821</v>
      </c>
      <c r="W15879" t="s">
        <v>44649</v>
      </c>
      <c r="X15879" t="s">
        <v>47445</v>
      </c>
    </row>
    <row r="15880" spans="1:24">
      <c r="A15880">
        <f>HYPERLINK("https://www.philgeps.gov.ph/GEPSNONPILOT/Tender/SplashBidNoticeAbstractUI.aspx?menuIndex=3&amp;refID=7131735&amp;Result=3","7131735")</f>
        <v>0</v>
      </c>
      <c r="B15880" t="s">
        <v>775</v>
      </c>
      <c r="C15880" t="s">
        <v>18955</v>
      </c>
      <c r="D15880" t="s">
        <v>19030</v>
      </c>
      <c r="E15880" t="s">
        <v>32776</v>
      </c>
      <c r="F15880" t="s">
        <v>32831</v>
      </c>
      <c r="G15880" t="s">
        <v>32839</v>
      </c>
      <c r="H15880" t="s">
        <v>32848</v>
      </c>
      <c r="I15880" t="s">
        <v>32860</v>
      </c>
      <c r="J15880" t="s">
        <v>42687</v>
      </c>
      <c r="K15880" t="s">
        <v>42730</v>
      </c>
      <c r="M15880" t="s">
        <v>43804</v>
      </c>
      <c r="N15880" t="s">
        <v>47424</v>
      </c>
      <c r="O15880" t="s">
        <v>47425</v>
      </c>
      <c r="P15880">
        <v>0</v>
      </c>
      <c r="Q15880">
        <v>19</v>
      </c>
      <c r="R15880" t="s">
        <v>47444</v>
      </c>
      <c r="S15880" t="s">
        <v>48135</v>
      </c>
      <c r="T15880" t="s">
        <v>49172</v>
      </c>
      <c r="U15880" t="s">
        <v>62566</v>
      </c>
      <c r="W15880" t="s">
        <v>43804</v>
      </c>
      <c r="X15880" t="s">
        <v>47445</v>
      </c>
    </row>
    <row r="15881" spans="1:24">
      <c r="A15881">
        <f>HYPERLINK("https://www.philgeps.gov.ph/GEPSNONPILOT/Tender/SplashBidNoticeAbstractUI.aspx?menuIndex=3&amp;refID=7131106&amp;Result=3","7131106")</f>
        <v>0</v>
      </c>
      <c r="B15881" t="s">
        <v>1746</v>
      </c>
      <c r="C15881" t="s">
        <v>18956</v>
      </c>
      <c r="D15881" t="s">
        <v>19051</v>
      </c>
      <c r="E15881" t="s">
        <v>32777</v>
      </c>
      <c r="F15881" t="s">
        <v>32831</v>
      </c>
      <c r="G15881" t="s">
        <v>32839</v>
      </c>
      <c r="H15881" t="s">
        <v>32848</v>
      </c>
      <c r="I15881" t="s">
        <v>32860</v>
      </c>
      <c r="J15881" t="s">
        <v>42688</v>
      </c>
      <c r="K15881" t="s">
        <v>42745</v>
      </c>
      <c r="M15881" t="s">
        <v>44869</v>
      </c>
      <c r="N15881" t="s">
        <v>47424</v>
      </c>
      <c r="O15881" t="s">
        <v>47425</v>
      </c>
      <c r="P15881">
        <v>0</v>
      </c>
      <c r="Q15881">
        <v>3</v>
      </c>
      <c r="R15881" t="s">
        <v>47444</v>
      </c>
      <c r="S15881" t="s">
        <v>48135</v>
      </c>
      <c r="T15881" t="s">
        <v>49129</v>
      </c>
      <c r="U15881" t="s">
        <v>62567</v>
      </c>
      <c r="W15881" t="s">
        <v>44869</v>
      </c>
      <c r="X15881" t="s">
        <v>47445</v>
      </c>
    </row>
    <row r="15882" spans="1:24">
      <c r="A15882">
        <f>HYPERLINK("https://www.philgeps.gov.ph/GEPSNONPILOT/Tender/SplashBidNoticeAbstractUI.aspx?menuIndex=3&amp;refID=7130510&amp;Result=3","7130510")</f>
        <v>0</v>
      </c>
      <c r="B15882" t="s">
        <v>693</v>
      </c>
      <c r="C15882" t="s">
        <v>18957</v>
      </c>
      <c r="D15882" t="s">
        <v>19073</v>
      </c>
      <c r="E15882" t="s">
        <v>32778</v>
      </c>
      <c r="F15882" t="s">
        <v>32831</v>
      </c>
      <c r="G15882" t="s">
        <v>32839</v>
      </c>
      <c r="H15882" t="s">
        <v>32848</v>
      </c>
      <c r="I15882" t="s">
        <v>32870</v>
      </c>
      <c r="J15882" t="s">
        <v>42689</v>
      </c>
      <c r="K15882" t="s">
        <v>42731</v>
      </c>
      <c r="M15882" t="s">
        <v>44145</v>
      </c>
      <c r="N15882" t="s">
        <v>47424</v>
      </c>
      <c r="O15882" t="s">
        <v>47425</v>
      </c>
      <c r="P15882">
        <v>0</v>
      </c>
      <c r="Q15882">
        <v>0</v>
      </c>
      <c r="R15882" t="s">
        <v>47444</v>
      </c>
      <c r="S15882" t="s">
        <v>48135</v>
      </c>
      <c r="T15882" t="s">
        <v>49080</v>
      </c>
      <c r="U15882" t="s">
        <v>53968</v>
      </c>
      <c r="V15882" t="s">
        <v>63187</v>
      </c>
      <c r="W15882" t="s">
        <v>64457</v>
      </c>
      <c r="X15882" t="s">
        <v>47445</v>
      </c>
    </row>
    <row r="15883" spans="1:24">
      <c r="A15883">
        <f>HYPERLINK("https://www.philgeps.gov.ph/GEPSNONPILOT/Tender/SplashBidNoticeAbstractUI.aspx?menuIndex=3&amp;refID=7131078&amp;Result=3","7131078")</f>
        <v>0</v>
      </c>
      <c r="B15883" t="s">
        <v>2808</v>
      </c>
      <c r="C15883" t="s">
        <v>18958</v>
      </c>
      <c r="D15883" t="s">
        <v>19027</v>
      </c>
      <c r="E15883" t="s">
        <v>32779</v>
      </c>
      <c r="F15883" t="s">
        <v>32831</v>
      </c>
      <c r="G15883" t="s">
        <v>32839</v>
      </c>
      <c r="H15883" t="s">
        <v>32848</v>
      </c>
      <c r="I15883" t="s">
        <v>4558</v>
      </c>
      <c r="J15883" t="s">
        <v>42690</v>
      </c>
      <c r="K15883" t="s">
        <v>42732</v>
      </c>
      <c r="M15883" t="s">
        <v>46038</v>
      </c>
      <c r="N15883" t="s">
        <v>47424</v>
      </c>
      <c r="O15883" t="s">
        <v>47425</v>
      </c>
      <c r="Q15883">
        <v>15</v>
      </c>
      <c r="R15883" t="s">
        <v>47444</v>
      </c>
      <c r="S15883" t="s">
        <v>49047</v>
      </c>
      <c r="T15883" t="s">
        <v>49093</v>
      </c>
      <c r="U15883" t="s">
        <v>62568</v>
      </c>
      <c r="W15883" t="s">
        <v>46038</v>
      </c>
      <c r="X15883" t="s">
        <v>47445</v>
      </c>
    </row>
    <row r="15884" spans="1:24">
      <c r="A15884">
        <f>HYPERLINK("https://www.philgeps.gov.ph/GEPSNONPILOT/Tender/SplashBidNoticeAbstractUI.aspx?menuIndex=3&amp;refID=7130355&amp;Result=3","7130355")</f>
        <v>0</v>
      </c>
      <c r="B15884" t="s">
        <v>1208</v>
      </c>
      <c r="C15884" t="s">
        <v>18959</v>
      </c>
      <c r="D15884" t="s">
        <v>19093</v>
      </c>
      <c r="E15884" t="s">
        <v>20779</v>
      </c>
      <c r="F15884" t="s">
        <v>32831</v>
      </c>
      <c r="G15884" t="s">
        <v>32839</v>
      </c>
      <c r="H15884" t="s">
        <v>32849</v>
      </c>
      <c r="I15884" t="s">
        <v>4177</v>
      </c>
      <c r="J15884" t="s">
        <v>42691</v>
      </c>
      <c r="K15884" t="s">
        <v>42770</v>
      </c>
      <c r="M15884" t="s">
        <v>44275</v>
      </c>
      <c r="N15884" t="s">
        <v>47424</v>
      </c>
      <c r="O15884" t="s">
        <v>47425</v>
      </c>
      <c r="P15884">
        <v>0</v>
      </c>
      <c r="Q15884">
        <v>1</v>
      </c>
      <c r="R15884" t="s">
        <v>47444</v>
      </c>
      <c r="S15884" t="s">
        <v>48135</v>
      </c>
      <c r="T15884" t="s">
        <v>49080</v>
      </c>
      <c r="U15884" t="s">
        <v>62569</v>
      </c>
      <c r="W15884" t="s">
        <v>44275</v>
      </c>
      <c r="X15884" t="s">
        <v>47445</v>
      </c>
    </row>
    <row r="15885" spans="1:24">
      <c r="A15885">
        <f>HYPERLINK("https://www.philgeps.gov.ph/GEPSNONPILOT/Tender/SplashBidNoticeAbstractUI.aspx?menuIndex=3&amp;refID=7130344&amp;Result=3","7130344")</f>
        <v>0</v>
      </c>
      <c r="B15885" t="s">
        <v>2310</v>
      </c>
      <c r="C15885" t="s">
        <v>18960</v>
      </c>
      <c r="D15885" t="s">
        <v>19028</v>
      </c>
      <c r="E15885" t="s">
        <v>32780</v>
      </c>
      <c r="F15885" t="s">
        <v>32831</v>
      </c>
      <c r="G15885" t="s">
        <v>32839</v>
      </c>
      <c r="H15885" t="s">
        <v>32849</v>
      </c>
      <c r="I15885" t="s">
        <v>4177</v>
      </c>
      <c r="J15885" t="s">
        <v>33644</v>
      </c>
      <c r="K15885" t="s">
        <v>42781</v>
      </c>
      <c r="M15885" t="s">
        <v>45495</v>
      </c>
      <c r="N15885" t="s">
        <v>47424</v>
      </c>
      <c r="O15885" t="s">
        <v>47425</v>
      </c>
      <c r="P15885">
        <v>0</v>
      </c>
      <c r="Q15885">
        <v>0</v>
      </c>
      <c r="R15885" t="s">
        <v>47444</v>
      </c>
      <c r="S15885" t="s">
        <v>48135</v>
      </c>
      <c r="T15885" t="s">
        <v>49166</v>
      </c>
      <c r="U15885" t="s">
        <v>55097</v>
      </c>
      <c r="W15885" t="s">
        <v>45495</v>
      </c>
      <c r="X15885" t="s">
        <v>47445</v>
      </c>
    </row>
    <row r="15886" spans="1:24">
      <c r="A15886">
        <f>HYPERLINK("https://www.philgeps.gov.ph/GEPSNONPILOT/Tender/SplashBidNoticeAbstractUI.aspx?menuIndex=3&amp;refID=7130506&amp;Result=3","7130506")</f>
        <v>0</v>
      </c>
      <c r="B15886" t="s">
        <v>3638</v>
      </c>
      <c r="C15886" t="s">
        <v>18961</v>
      </c>
      <c r="D15886" t="s">
        <v>19038</v>
      </c>
      <c r="E15886" t="s">
        <v>32781</v>
      </c>
      <c r="F15886" t="s">
        <v>32831</v>
      </c>
      <c r="G15886" t="s">
        <v>32839</v>
      </c>
      <c r="H15886" t="s">
        <v>32849</v>
      </c>
      <c r="I15886" t="s">
        <v>4177</v>
      </c>
      <c r="J15886" t="s">
        <v>35331</v>
      </c>
      <c r="K15886" t="s">
        <v>42763</v>
      </c>
      <c r="M15886" t="s">
        <v>47141</v>
      </c>
      <c r="N15886" t="s">
        <v>47424</v>
      </c>
      <c r="O15886" t="s">
        <v>47425</v>
      </c>
      <c r="P15886">
        <v>0</v>
      </c>
      <c r="Q15886">
        <v>3</v>
      </c>
      <c r="R15886" t="s">
        <v>47444</v>
      </c>
      <c r="S15886" t="s">
        <v>48135</v>
      </c>
      <c r="T15886" t="s">
        <v>49237</v>
      </c>
      <c r="U15886" t="s">
        <v>62570</v>
      </c>
      <c r="W15886" t="s">
        <v>47141</v>
      </c>
      <c r="X15886" t="s">
        <v>47445</v>
      </c>
    </row>
    <row r="15887" spans="1:24">
      <c r="A15887">
        <f>HYPERLINK("https://www.philgeps.gov.ph/GEPSNONPILOT/Tender/SplashBidNoticeAbstractUI.aspx?menuIndex=3&amp;refID=7129972&amp;Result=3","7129972")</f>
        <v>0</v>
      </c>
      <c r="B15887" t="s">
        <v>3926</v>
      </c>
      <c r="C15887" t="s">
        <v>18962</v>
      </c>
      <c r="D15887" t="s">
        <v>19049</v>
      </c>
      <c r="E15887" t="s">
        <v>21910</v>
      </c>
      <c r="F15887" t="s">
        <v>32831</v>
      </c>
      <c r="G15887" t="s">
        <v>32839</v>
      </c>
      <c r="H15887" t="s">
        <v>32848</v>
      </c>
      <c r="I15887" t="s">
        <v>4177</v>
      </c>
      <c r="J15887" t="s">
        <v>33978</v>
      </c>
      <c r="K15887" t="s">
        <v>42731</v>
      </c>
      <c r="L15887" t="s">
        <v>3926</v>
      </c>
      <c r="M15887" t="s">
        <v>47416</v>
      </c>
      <c r="N15887" t="s">
        <v>47424</v>
      </c>
      <c r="O15887" t="s">
        <v>47425</v>
      </c>
      <c r="P15887">
        <v>0</v>
      </c>
      <c r="Q15887">
        <v>1</v>
      </c>
      <c r="R15887" t="s">
        <v>47444</v>
      </c>
      <c r="S15887" t="s">
        <v>48135</v>
      </c>
      <c r="T15887" t="s">
        <v>49119</v>
      </c>
      <c r="U15887" t="s">
        <v>62571</v>
      </c>
      <c r="V15887" t="s">
        <v>64425</v>
      </c>
      <c r="W15887" t="s">
        <v>47416</v>
      </c>
      <c r="X15887" t="s">
        <v>47445</v>
      </c>
    </row>
    <row r="15888" spans="1:24">
      <c r="A15888">
        <f>HYPERLINK("https://www.philgeps.gov.ph/GEPSNONPILOT/Tender/SplashBidNoticeAbstractUI.aspx?menuIndex=3&amp;refID=7131355&amp;Result=3","7131355")</f>
        <v>0</v>
      </c>
      <c r="B15888" t="s">
        <v>2215</v>
      </c>
      <c r="C15888" t="s">
        <v>18963</v>
      </c>
      <c r="E15888" t="s">
        <v>32782</v>
      </c>
      <c r="F15888" t="s">
        <v>32831</v>
      </c>
      <c r="G15888" t="s">
        <v>32839</v>
      </c>
      <c r="H15888" t="s">
        <v>32848</v>
      </c>
      <c r="I15888" t="s">
        <v>32853</v>
      </c>
      <c r="J15888" t="s">
        <v>42692</v>
      </c>
      <c r="K15888" t="s">
        <v>42732</v>
      </c>
      <c r="M15888" t="s">
        <v>46507</v>
      </c>
      <c r="N15888" t="s">
        <v>47424</v>
      </c>
      <c r="O15888" t="s">
        <v>47425</v>
      </c>
      <c r="Q15888">
        <v>10</v>
      </c>
      <c r="R15888" t="s">
        <v>47444</v>
      </c>
      <c r="S15888" t="s">
        <v>49048</v>
      </c>
      <c r="T15888" t="s">
        <v>49214</v>
      </c>
      <c r="U15888" t="s">
        <v>51143</v>
      </c>
      <c r="W15888" t="s">
        <v>64541</v>
      </c>
      <c r="X15888" t="s">
        <v>47445</v>
      </c>
    </row>
    <row r="15889" spans="1:24">
      <c r="A15889">
        <f>HYPERLINK("https://www.philgeps.gov.ph/GEPSNONPILOT/Tender/SplashBidNoticeAbstractUI.aspx?menuIndex=3&amp;refID=7129979&amp;Result=3","7129979")</f>
        <v>0</v>
      </c>
      <c r="B15889" t="s">
        <v>1864</v>
      </c>
      <c r="C15889" t="s">
        <v>18964</v>
      </c>
      <c r="D15889" t="s">
        <v>19045</v>
      </c>
      <c r="E15889" t="s">
        <v>32783</v>
      </c>
      <c r="F15889" t="s">
        <v>32831</v>
      </c>
      <c r="G15889" t="s">
        <v>32839</v>
      </c>
      <c r="H15889" t="s">
        <v>32848</v>
      </c>
      <c r="I15889" t="s">
        <v>4776</v>
      </c>
      <c r="J15889" t="s">
        <v>33041</v>
      </c>
      <c r="K15889" t="s">
        <v>42731</v>
      </c>
      <c r="M15889" t="s">
        <v>45006</v>
      </c>
      <c r="N15889" t="s">
        <v>47424</v>
      </c>
      <c r="O15889" t="s">
        <v>47425</v>
      </c>
      <c r="P15889">
        <v>0</v>
      </c>
      <c r="Q15889">
        <v>1</v>
      </c>
      <c r="R15889" t="s">
        <v>47444</v>
      </c>
      <c r="S15889" t="s">
        <v>48135</v>
      </c>
      <c r="T15889" t="s">
        <v>49066</v>
      </c>
      <c r="U15889" t="s">
        <v>62572</v>
      </c>
      <c r="W15889" t="s">
        <v>45006</v>
      </c>
      <c r="X15889" t="s">
        <v>47445</v>
      </c>
    </row>
    <row r="15890" spans="1:24">
      <c r="A15890">
        <f>HYPERLINK("https://www.philgeps.gov.ph/GEPSNONPILOT/Tender/SplashBidNoticeAbstractUI.aspx?menuIndex=3&amp;refID=7129958&amp;Result=3","7129958")</f>
        <v>0</v>
      </c>
      <c r="B15890" t="s">
        <v>703</v>
      </c>
      <c r="C15890" t="s">
        <v>18965</v>
      </c>
      <c r="D15890" t="s">
        <v>19077</v>
      </c>
      <c r="E15890" t="s">
        <v>32784</v>
      </c>
      <c r="F15890" t="s">
        <v>32831</v>
      </c>
      <c r="G15890" t="s">
        <v>32839</v>
      </c>
      <c r="H15890" t="s">
        <v>32848</v>
      </c>
      <c r="I15890" t="s">
        <v>32925</v>
      </c>
      <c r="J15890" t="s">
        <v>42693</v>
      </c>
      <c r="K15890" t="s">
        <v>42763</v>
      </c>
      <c r="M15890" t="s">
        <v>44449</v>
      </c>
      <c r="N15890" t="s">
        <v>47424</v>
      </c>
      <c r="O15890" t="s">
        <v>47425</v>
      </c>
      <c r="P15890">
        <v>0</v>
      </c>
      <c r="Q15890">
        <v>8</v>
      </c>
      <c r="R15890" t="s">
        <v>47444</v>
      </c>
      <c r="S15890" t="s">
        <v>48135</v>
      </c>
      <c r="T15890" t="s">
        <v>49087</v>
      </c>
      <c r="U15890" t="s">
        <v>62573</v>
      </c>
      <c r="W15890" t="s">
        <v>44449</v>
      </c>
      <c r="X15890" t="s">
        <v>47445</v>
      </c>
    </row>
    <row r="15891" spans="1:24">
      <c r="A15891">
        <f>HYPERLINK("https://www.philgeps.gov.ph/GEPSNONPILOT/Tender/SplashBidNoticeAbstractUI.aspx?menuIndex=3&amp;refID=7129927&amp;Result=3","7129927")</f>
        <v>0</v>
      </c>
      <c r="B15891" t="s">
        <v>3927</v>
      </c>
      <c r="C15891" t="s">
        <v>18966</v>
      </c>
      <c r="D15891" t="s">
        <v>19090</v>
      </c>
      <c r="E15891" t="s">
        <v>32785</v>
      </c>
      <c r="F15891" t="s">
        <v>32831</v>
      </c>
      <c r="G15891" t="s">
        <v>32839</v>
      </c>
      <c r="H15891" t="s">
        <v>32848</v>
      </c>
      <c r="I15891" t="s">
        <v>32857</v>
      </c>
      <c r="J15891" t="s">
        <v>33364</v>
      </c>
      <c r="K15891" t="s">
        <v>42732</v>
      </c>
      <c r="M15891" t="s">
        <v>47417</v>
      </c>
      <c r="N15891" t="s">
        <v>47424</v>
      </c>
      <c r="O15891" t="s">
        <v>47425</v>
      </c>
      <c r="P15891">
        <v>0</v>
      </c>
      <c r="Q15891">
        <v>0</v>
      </c>
      <c r="R15891" t="s">
        <v>47444</v>
      </c>
      <c r="S15891" t="s">
        <v>48135</v>
      </c>
      <c r="T15891" t="s">
        <v>49091</v>
      </c>
      <c r="U15891" t="s">
        <v>62574</v>
      </c>
      <c r="W15891" t="s">
        <v>47417</v>
      </c>
      <c r="X15891" t="s">
        <v>47445</v>
      </c>
    </row>
    <row r="15892" spans="1:24">
      <c r="A15892">
        <f>HYPERLINK("https://www.philgeps.gov.ph/GEPSNONPILOT/Tender/SplashBidNoticeAbstractUI.aspx?menuIndex=3&amp;refID=7129910&amp;Result=3","7129910")</f>
        <v>0</v>
      </c>
      <c r="B15892" t="s">
        <v>3733</v>
      </c>
      <c r="C15892" t="s">
        <v>18967</v>
      </c>
      <c r="D15892" t="s">
        <v>19027</v>
      </c>
      <c r="E15892" t="s">
        <v>32786</v>
      </c>
      <c r="F15892" t="s">
        <v>32831</v>
      </c>
      <c r="G15892" t="s">
        <v>32839</v>
      </c>
      <c r="H15892" t="s">
        <v>32848</v>
      </c>
      <c r="I15892" t="s">
        <v>7416</v>
      </c>
      <c r="J15892" t="s">
        <v>42694</v>
      </c>
      <c r="K15892" t="s">
        <v>42730</v>
      </c>
      <c r="M15892" t="s">
        <v>47128</v>
      </c>
      <c r="N15892" t="s">
        <v>47424</v>
      </c>
      <c r="O15892" t="s">
        <v>47425</v>
      </c>
      <c r="P15892">
        <v>0</v>
      </c>
      <c r="Q15892">
        <v>0</v>
      </c>
      <c r="R15892" t="s">
        <v>47444</v>
      </c>
      <c r="S15892" t="s">
        <v>48135</v>
      </c>
      <c r="T15892" t="s">
        <v>49087</v>
      </c>
      <c r="U15892" t="s">
        <v>62575</v>
      </c>
      <c r="W15892" t="s">
        <v>47128</v>
      </c>
      <c r="X15892" t="s">
        <v>47445</v>
      </c>
    </row>
    <row r="15893" spans="1:24">
      <c r="A15893">
        <f>HYPERLINK("https://www.philgeps.gov.ph/GEPSNONPILOT/Tender/SplashBidNoticeAbstractUI.aspx?menuIndex=3&amp;refID=7130357&amp;Result=3","7130357")</f>
        <v>0</v>
      </c>
      <c r="B15893" t="s">
        <v>2310</v>
      </c>
      <c r="C15893" t="s">
        <v>18968</v>
      </c>
      <c r="D15893" t="s">
        <v>19028</v>
      </c>
      <c r="E15893" t="s">
        <v>32787</v>
      </c>
      <c r="F15893" t="s">
        <v>32831</v>
      </c>
      <c r="G15893" t="s">
        <v>32839</v>
      </c>
      <c r="H15893" t="s">
        <v>32849</v>
      </c>
      <c r="I15893" t="s">
        <v>4177</v>
      </c>
      <c r="J15893" t="s">
        <v>33044</v>
      </c>
      <c r="K15893" t="s">
        <v>42730</v>
      </c>
      <c r="M15893" t="s">
        <v>45495</v>
      </c>
      <c r="N15893" t="s">
        <v>47424</v>
      </c>
      <c r="O15893" t="s">
        <v>47425</v>
      </c>
      <c r="P15893">
        <v>0</v>
      </c>
      <c r="Q15893">
        <v>0</v>
      </c>
      <c r="R15893" t="s">
        <v>47444</v>
      </c>
      <c r="S15893" t="s">
        <v>48135</v>
      </c>
      <c r="T15893" t="s">
        <v>49166</v>
      </c>
      <c r="U15893" t="s">
        <v>55097</v>
      </c>
      <c r="W15893" t="s">
        <v>45495</v>
      </c>
      <c r="X15893" t="s">
        <v>47445</v>
      </c>
    </row>
    <row r="15894" spans="1:24">
      <c r="A15894">
        <f>HYPERLINK("https://www.philgeps.gov.ph/GEPSNONPILOT/Tender/SplashBidNoticeAbstractUI.aspx?menuIndex=3&amp;refID=7129876&amp;Result=3","7129876")</f>
        <v>0</v>
      </c>
      <c r="B15894" t="s">
        <v>3723</v>
      </c>
      <c r="C15894" t="s">
        <v>18969</v>
      </c>
      <c r="D15894" t="s">
        <v>19095</v>
      </c>
      <c r="E15894" t="s">
        <v>32788</v>
      </c>
      <c r="F15894" t="s">
        <v>32831</v>
      </c>
      <c r="G15894" t="s">
        <v>32839</v>
      </c>
      <c r="H15894" t="s">
        <v>32848</v>
      </c>
      <c r="I15894" t="s">
        <v>4303</v>
      </c>
      <c r="J15894" t="s">
        <v>42695</v>
      </c>
      <c r="K15894" t="s">
        <v>42727</v>
      </c>
      <c r="L15894" t="s">
        <v>3723</v>
      </c>
      <c r="M15894" t="s">
        <v>47117</v>
      </c>
      <c r="N15894" t="s">
        <v>47424</v>
      </c>
      <c r="O15894" t="s">
        <v>47425</v>
      </c>
      <c r="P15894">
        <v>0</v>
      </c>
      <c r="Q15894">
        <v>0</v>
      </c>
      <c r="R15894" t="s">
        <v>47444</v>
      </c>
      <c r="S15894" t="s">
        <v>48135</v>
      </c>
      <c r="T15894" t="s">
        <v>49239</v>
      </c>
      <c r="U15894" t="s">
        <v>62576</v>
      </c>
      <c r="V15894" t="s">
        <v>64426</v>
      </c>
      <c r="W15894" t="s">
        <v>47117</v>
      </c>
      <c r="X15894" t="s">
        <v>47445</v>
      </c>
    </row>
    <row r="15895" spans="1:24">
      <c r="A15895">
        <f>HYPERLINK("https://www.philgeps.gov.ph/GEPSNONPILOT/Tender/SplashBidNoticeAbstractUI.aspx?menuIndex=3&amp;refID=7129961&amp;Result=3","7129961")</f>
        <v>0</v>
      </c>
      <c r="B15895" t="s">
        <v>3733</v>
      </c>
      <c r="C15895" t="s">
        <v>18970</v>
      </c>
      <c r="D15895" t="s">
        <v>19027</v>
      </c>
      <c r="E15895" t="s">
        <v>32789</v>
      </c>
      <c r="F15895" t="s">
        <v>32831</v>
      </c>
      <c r="G15895" t="s">
        <v>32839</v>
      </c>
      <c r="H15895" t="s">
        <v>32849</v>
      </c>
      <c r="I15895" t="s">
        <v>4177</v>
      </c>
      <c r="J15895" t="s">
        <v>42696</v>
      </c>
      <c r="K15895" t="s">
        <v>42862</v>
      </c>
      <c r="M15895" t="s">
        <v>47128</v>
      </c>
      <c r="N15895" t="s">
        <v>47424</v>
      </c>
      <c r="O15895" t="s">
        <v>47425</v>
      </c>
      <c r="P15895">
        <v>0</v>
      </c>
      <c r="Q15895">
        <v>6</v>
      </c>
      <c r="R15895" t="s">
        <v>47444</v>
      </c>
      <c r="S15895" t="s">
        <v>48135</v>
      </c>
      <c r="T15895" t="s">
        <v>49087</v>
      </c>
      <c r="U15895" t="s">
        <v>62577</v>
      </c>
      <c r="W15895" t="s">
        <v>47128</v>
      </c>
      <c r="X15895" t="s">
        <v>47445</v>
      </c>
    </row>
    <row r="15896" spans="1:24">
      <c r="A15896">
        <f>HYPERLINK("https://www.philgeps.gov.ph/GEPSNONPILOT/Tender/SplashBidNoticeAbstractUI.aspx?menuIndex=3&amp;refID=7131730&amp;Result=3","7131730")</f>
        <v>0</v>
      </c>
      <c r="B15896" t="s">
        <v>3754</v>
      </c>
      <c r="C15896" t="s">
        <v>18971</v>
      </c>
      <c r="D15896" t="s">
        <v>19047</v>
      </c>
      <c r="E15896" t="s">
        <v>32790</v>
      </c>
      <c r="F15896" t="s">
        <v>32831</v>
      </c>
      <c r="G15896" t="s">
        <v>32839</v>
      </c>
      <c r="H15896" t="s">
        <v>32849</v>
      </c>
      <c r="I15896" t="s">
        <v>4177</v>
      </c>
      <c r="J15896" t="s">
        <v>35331</v>
      </c>
      <c r="K15896" t="s">
        <v>42770</v>
      </c>
      <c r="M15896" t="s">
        <v>47153</v>
      </c>
      <c r="N15896" t="s">
        <v>47424</v>
      </c>
      <c r="O15896" t="s">
        <v>47425</v>
      </c>
      <c r="Q15896">
        <v>11</v>
      </c>
      <c r="R15896" t="s">
        <v>47444</v>
      </c>
      <c r="S15896" t="s">
        <v>49049</v>
      </c>
      <c r="T15896" t="s">
        <v>49073</v>
      </c>
      <c r="U15896" t="s">
        <v>60889</v>
      </c>
      <c r="W15896" t="s">
        <v>47153</v>
      </c>
      <c r="X15896" t="s">
        <v>47445</v>
      </c>
    </row>
    <row r="15897" spans="1:24">
      <c r="A15897">
        <f>HYPERLINK("https://www.philgeps.gov.ph/GEPSNONPILOT/Tender/SplashBidNoticeAbstractUI.aspx?menuIndex=3&amp;refID=7128869&amp;Result=3","7128869")</f>
        <v>0</v>
      </c>
      <c r="B15897" t="s">
        <v>703</v>
      </c>
      <c r="C15897" t="s">
        <v>18972</v>
      </c>
      <c r="D15897" t="s">
        <v>19077</v>
      </c>
      <c r="E15897" t="s">
        <v>32791</v>
      </c>
      <c r="F15897" t="s">
        <v>32831</v>
      </c>
      <c r="G15897" t="s">
        <v>32839</v>
      </c>
      <c r="H15897" t="s">
        <v>32848</v>
      </c>
      <c r="I15897" t="s">
        <v>32925</v>
      </c>
      <c r="J15897" t="s">
        <v>42697</v>
      </c>
      <c r="K15897" t="s">
        <v>42763</v>
      </c>
      <c r="M15897" t="s">
        <v>44449</v>
      </c>
      <c r="N15897" t="s">
        <v>47424</v>
      </c>
      <c r="O15897" t="s">
        <v>47425</v>
      </c>
      <c r="P15897">
        <v>0</v>
      </c>
      <c r="Q15897">
        <v>2</v>
      </c>
      <c r="R15897" t="s">
        <v>47444</v>
      </c>
      <c r="S15897" t="s">
        <v>48135</v>
      </c>
      <c r="T15897" t="s">
        <v>49087</v>
      </c>
      <c r="U15897" t="s">
        <v>52371</v>
      </c>
      <c r="W15897" t="s">
        <v>44449</v>
      </c>
      <c r="X15897" t="s">
        <v>47446</v>
      </c>
    </row>
    <row r="15898" spans="1:24">
      <c r="A15898">
        <f>HYPERLINK("https://www.philgeps.gov.ph/GEPSNONPILOT/Tender/SplashBidNoticeAbstractUI.aspx?menuIndex=3&amp;refID=7128806&amp;Result=3","7128806")</f>
        <v>0</v>
      </c>
      <c r="B15898" t="s">
        <v>1343</v>
      </c>
      <c r="C15898" t="s">
        <v>18973</v>
      </c>
      <c r="D15898" t="s">
        <v>19087</v>
      </c>
      <c r="E15898" t="s">
        <v>27323</v>
      </c>
      <c r="F15898" t="s">
        <v>32831</v>
      </c>
      <c r="G15898" t="s">
        <v>32839</v>
      </c>
      <c r="H15898" t="s">
        <v>32849</v>
      </c>
      <c r="I15898" t="s">
        <v>4177</v>
      </c>
      <c r="J15898" t="s">
        <v>42698</v>
      </c>
      <c r="K15898" t="s">
        <v>43018</v>
      </c>
      <c r="M15898" t="s">
        <v>44416</v>
      </c>
      <c r="N15898" t="s">
        <v>47424</v>
      </c>
      <c r="O15898" t="s">
        <v>47425</v>
      </c>
      <c r="P15898">
        <v>0</v>
      </c>
      <c r="Q15898">
        <v>0</v>
      </c>
      <c r="R15898" t="s">
        <v>47444</v>
      </c>
      <c r="S15898" t="s">
        <v>48135</v>
      </c>
      <c r="T15898" t="s">
        <v>49069</v>
      </c>
      <c r="U15898" t="s">
        <v>62578</v>
      </c>
      <c r="W15898" t="s">
        <v>44416</v>
      </c>
      <c r="X15898" t="s">
        <v>47446</v>
      </c>
    </row>
    <row r="15899" spans="1:24">
      <c r="A15899">
        <f>HYPERLINK("https://www.philgeps.gov.ph/GEPSNONPILOT/Tender/SplashBidNoticeAbstractUI.aspx?menuIndex=3&amp;refID=7131992&amp;Result=3","7131992")</f>
        <v>0</v>
      </c>
      <c r="B15899" t="s">
        <v>3928</v>
      </c>
      <c r="C15899" t="s">
        <v>18974</v>
      </c>
      <c r="D15899" t="s">
        <v>19095</v>
      </c>
      <c r="E15899" t="s">
        <v>32792</v>
      </c>
      <c r="F15899" t="s">
        <v>32831</v>
      </c>
      <c r="G15899" t="s">
        <v>32839</v>
      </c>
      <c r="H15899" t="s">
        <v>14069</v>
      </c>
      <c r="I15899" t="s">
        <v>14069</v>
      </c>
      <c r="J15899" t="s">
        <v>39077</v>
      </c>
      <c r="K15899" t="s">
        <v>42729</v>
      </c>
      <c r="M15899" t="s">
        <v>47418</v>
      </c>
      <c r="N15899" t="s">
        <v>47424</v>
      </c>
      <c r="O15899" t="s">
        <v>47425</v>
      </c>
      <c r="P15899">
        <v>0</v>
      </c>
      <c r="Q15899">
        <v>1</v>
      </c>
      <c r="R15899" t="s">
        <v>47444</v>
      </c>
      <c r="S15899" t="s">
        <v>48135</v>
      </c>
      <c r="T15899" t="s">
        <v>49196</v>
      </c>
      <c r="U15899" t="s">
        <v>62579</v>
      </c>
      <c r="W15899" t="s">
        <v>47418</v>
      </c>
      <c r="X15899" t="s">
        <v>47445</v>
      </c>
    </row>
    <row r="15900" spans="1:24">
      <c r="A15900">
        <f>HYPERLINK("https://www.philgeps.gov.ph/GEPSNONPILOT/Tender/SplashBidNoticeAbstractUI.aspx?menuIndex=3&amp;refID=7128752&amp;Result=3","7128752")</f>
        <v>0</v>
      </c>
      <c r="B15900" t="s">
        <v>1343</v>
      </c>
      <c r="C15900" t="s">
        <v>18975</v>
      </c>
      <c r="D15900" t="s">
        <v>19087</v>
      </c>
      <c r="E15900" t="s">
        <v>32793</v>
      </c>
      <c r="F15900" t="s">
        <v>32831</v>
      </c>
      <c r="G15900" t="s">
        <v>32839</v>
      </c>
      <c r="H15900" t="s">
        <v>32848</v>
      </c>
      <c r="I15900" t="s">
        <v>7751</v>
      </c>
      <c r="J15900" t="s">
        <v>36801</v>
      </c>
      <c r="K15900" t="s">
        <v>42770</v>
      </c>
      <c r="M15900" t="s">
        <v>44416</v>
      </c>
      <c r="N15900" t="s">
        <v>47424</v>
      </c>
      <c r="O15900" t="s">
        <v>47425</v>
      </c>
      <c r="P15900">
        <v>0</v>
      </c>
      <c r="Q15900">
        <v>4</v>
      </c>
      <c r="R15900" t="s">
        <v>47444</v>
      </c>
      <c r="S15900" t="s">
        <v>48135</v>
      </c>
      <c r="T15900" t="s">
        <v>49069</v>
      </c>
      <c r="U15900" t="s">
        <v>62580</v>
      </c>
      <c r="W15900" t="s">
        <v>44416</v>
      </c>
      <c r="X15900" t="s">
        <v>47446</v>
      </c>
    </row>
    <row r="15901" spans="1:24">
      <c r="A15901">
        <f>HYPERLINK("https://www.philgeps.gov.ph/GEPSNONPILOT/Tender/SplashBidNoticeAbstractUI.aspx?menuIndex=3&amp;refID=7129870&amp;Result=3","7129870")</f>
        <v>0</v>
      </c>
      <c r="B15901" t="s">
        <v>642</v>
      </c>
      <c r="C15901" t="s">
        <v>18976</v>
      </c>
      <c r="D15901" t="s">
        <v>19020</v>
      </c>
      <c r="E15901" t="s">
        <v>32794</v>
      </c>
      <c r="F15901" t="s">
        <v>32831</v>
      </c>
      <c r="G15901" t="s">
        <v>32839</v>
      </c>
      <c r="H15901" t="s">
        <v>32849</v>
      </c>
      <c r="I15901" t="s">
        <v>4177</v>
      </c>
      <c r="J15901" t="s">
        <v>42699</v>
      </c>
      <c r="K15901" t="s">
        <v>42780</v>
      </c>
      <c r="M15901" t="s">
        <v>43659</v>
      </c>
      <c r="N15901" t="s">
        <v>47424</v>
      </c>
      <c r="O15901" t="s">
        <v>47425</v>
      </c>
      <c r="Q15901">
        <v>4</v>
      </c>
      <c r="R15901" t="s">
        <v>47444</v>
      </c>
      <c r="S15901" t="s">
        <v>49050</v>
      </c>
      <c r="T15901" t="s">
        <v>49073</v>
      </c>
      <c r="U15901" t="s">
        <v>62581</v>
      </c>
      <c r="W15901" t="s">
        <v>43659</v>
      </c>
      <c r="X15901" t="s">
        <v>47445</v>
      </c>
    </row>
    <row r="15902" spans="1:24">
      <c r="A15902">
        <f>HYPERLINK("https://www.philgeps.gov.ph/GEPSNONPILOT/Tender/SplashBidNoticeAbstractUI.aspx?menuIndex=3&amp;refID=7129621&amp;Result=3","7129621")</f>
        <v>0</v>
      </c>
      <c r="B15902" t="s">
        <v>3929</v>
      </c>
      <c r="C15902" t="s">
        <v>18977</v>
      </c>
      <c r="D15902" t="s">
        <v>19085</v>
      </c>
      <c r="E15902" t="s">
        <v>32795</v>
      </c>
      <c r="F15902" t="s">
        <v>32835</v>
      </c>
      <c r="G15902" t="s">
        <v>32839</v>
      </c>
      <c r="H15902" t="s">
        <v>32849</v>
      </c>
      <c r="I15902" t="s">
        <v>4177</v>
      </c>
      <c r="J15902" t="s">
        <v>33118</v>
      </c>
      <c r="K15902" t="s">
        <v>42729</v>
      </c>
      <c r="M15902" t="s">
        <v>47419</v>
      </c>
      <c r="N15902" t="s">
        <v>47424</v>
      </c>
      <c r="O15902" t="s">
        <v>47425</v>
      </c>
      <c r="P15902">
        <v>0</v>
      </c>
      <c r="Q15902">
        <v>1</v>
      </c>
      <c r="R15902" t="s">
        <v>47444</v>
      </c>
      <c r="S15902" t="s">
        <v>48135</v>
      </c>
      <c r="T15902" t="s">
        <v>49235</v>
      </c>
      <c r="U15902" t="s">
        <v>62582</v>
      </c>
      <c r="W15902" t="s">
        <v>47419</v>
      </c>
      <c r="X15902" t="s">
        <v>47445</v>
      </c>
    </row>
    <row r="15903" spans="1:24">
      <c r="A15903">
        <f>HYPERLINK("https://www.philgeps.gov.ph/GEPSNONPILOT/Tender/SplashBidNoticeAbstractUI.aspx?menuIndex=3&amp;refID=7128711&amp;Result=3","7128711")</f>
        <v>0</v>
      </c>
      <c r="B15903" t="s">
        <v>703</v>
      </c>
      <c r="C15903" t="s">
        <v>18978</v>
      </c>
      <c r="D15903" t="s">
        <v>19077</v>
      </c>
      <c r="E15903" t="s">
        <v>32796</v>
      </c>
      <c r="F15903" t="s">
        <v>32831</v>
      </c>
      <c r="G15903" t="s">
        <v>32839</v>
      </c>
      <c r="H15903" t="s">
        <v>32848</v>
      </c>
      <c r="I15903" t="s">
        <v>4471</v>
      </c>
      <c r="J15903" t="s">
        <v>42700</v>
      </c>
      <c r="K15903" t="s">
        <v>42763</v>
      </c>
      <c r="M15903" t="s">
        <v>44449</v>
      </c>
      <c r="N15903" t="s">
        <v>47424</v>
      </c>
      <c r="O15903" t="s">
        <v>47425</v>
      </c>
      <c r="P15903">
        <v>0</v>
      </c>
      <c r="Q15903">
        <v>8</v>
      </c>
      <c r="R15903" t="s">
        <v>47444</v>
      </c>
      <c r="S15903" t="s">
        <v>48135</v>
      </c>
      <c r="T15903" t="s">
        <v>49087</v>
      </c>
      <c r="U15903" t="s">
        <v>62583</v>
      </c>
      <c r="W15903" t="s">
        <v>44449</v>
      </c>
      <c r="X15903" t="s">
        <v>47446</v>
      </c>
    </row>
    <row r="15904" spans="1:24">
      <c r="A15904">
        <f>HYPERLINK("https://www.philgeps.gov.ph/GEPSNONPILOT/Tender/SplashBidNoticeAbstractUI.aspx?menuIndex=3&amp;refID=7128483&amp;Result=3","7128483")</f>
        <v>0</v>
      </c>
      <c r="B15904" t="s">
        <v>3729</v>
      </c>
      <c r="C15904" t="s">
        <v>18979</v>
      </c>
      <c r="D15904" t="s">
        <v>19056</v>
      </c>
      <c r="E15904" t="s">
        <v>32797</v>
      </c>
      <c r="F15904" t="s">
        <v>32831</v>
      </c>
      <c r="G15904" t="s">
        <v>32839</v>
      </c>
      <c r="H15904" t="s">
        <v>32849</v>
      </c>
      <c r="I15904" t="s">
        <v>4177</v>
      </c>
      <c r="J15904" t="s">
        <v>33118</v>
      </c>
      <c r="K15904" t="s">
        <v>42732</v>
      </c>
      <c r="M15904" t="s">
        <v>47124</v>
      </c>
      <c r="N15904" t="s">
        <v>47424</v>
      </c>
      <c r="O15904" t="s">
        <v>47425</v>
      </c>
      <c r="P15904">
        <v>0</v>
      </c>
      <c r="Q15904">
        <v>0</v>
      </c>
      <c r="R15904" t="s">
        <v>47444</v>
      </c>
      <c r="S15904" t="s">
        <v>48135</v>
      </c>
      <c r="T15904" t="s">
        <v>49177</v>
      </c>
      <c r="U15904" t="s">
        <v>62584</v>
      </c>
      <c r="W15904" t="s">
        <v>47124</v>
      </c>
      <c r="X15904" t="s">
        <v>47446</v>
      </c>
    </row>
    <row r="15905" spans="1:24">
      <c r="A15905">
        <f>HYPERLINK("https://www.philgeps.gov.ph/GEPSNONPILOT/Tender/SplashBidNoticeAbstractUI.aspx?menuIndex=3&amp;refID=7128522&amp;Result=3","7128522")</f>
        <v>0</v>
      </c>
      <c r="B15905" t="s">
        <v>3729</v>
      </c>
      <c r="C15905" t="s">
        <v>18980</v>
      </c>
      <c r="D15905" t="s">
        <v>19056</v>
      </c>
      <c r="E15905" t="s">
        <v>32798</v>
      </c>
      <c r="F15905" t="s">
        <v>32831</v>
      </c>
      <c r="G15905" t="s">
        <v>32839</v>
      </c>
      <c r="H15905" t="s">
        <v>32849</v>
      </c>
      <c r="I15905" t="s">
        <v>4177</v>
      </c>
      <c r="J15905" t="s">
        <v>33066</v>
      </c>
      <c r="K15905" t="s">
        <v>42732</v>
      </c>
      <c r="M15905" t="s">
        <v>47124</v>
      </c>
      <c r="N15905" t="s">
        <v>47424</v>
      </c>
      <c r="O15905" t="s">
        <v>47425</v>
      </c>
      <c r="P15905">
        <v>0</v>
      </c>
      <c r="Q15905">
        <v>4</v>
      </c>
      <c r="R15905" t="s">
        <v>47444</v>
      </c>
      <c r="S15905" t="s">
        <v>48135</v>
      </c>
      <c r="T15905" t="s">
        <v>49177</v>
      </c>
      <c r="U15905" t="s">
        <v>62585</v>
      </c>
      <c r="W15905" t="s">
        <v>47124</v>
      </c>
      <c r="X15905" t="s">
        <v>47446</v>
      </c>
    </row>
    <row r="15906" spans="1:24">
      <c r="A15906">
        <f>HYPERLINK("https://www.philgeps.gov.ph/GEPSNONPILOT/Tender/SplashBidNoticeAbstractUI.aspx?menuIndex=3&amp;refID=7132016&amp;Result=3","7132016")</f>
        <v>0</v>
      </c>
      <c r="B15906" t="s">
        <v>3755</v>
      </c>
      <c r="C15906" t="s">
        <v>18981</v>
      </c>
      <c r="D15906" t="s">
        <v>19031</v>
      </c>
      <c r="E15906" t="s">
        <v>23608</v>
      </c>
      <c r="F15906" t="s">
        <v>32831</v>
      </c>
      <c r="G15906" t="s">
        <v>32839</v>
      </c>
      <c r="H15906" t="s">
        <v>32849</v>
      </c>
      <c r="I15906" t="s">
        <v>4177</v>
      </c>
      <c r="J15906" t="s">
        <v>42701</v>
      </c>
      <c r="K15906" t="s">
        <v>42875</v>
      </c>
      <c r="M15906" t="s">
        <v>47154</v>
      </c>
      <c r="N15906" t="s">
        <v>47424</v>
      </c>
      <c r="O15906" t="s">
        <v>47425</v>
      </c>
      <c r="P15906">
        <v>0</v>
      </c>
      <c r="Q15906">
        <v>0</v>
      </c>
      <c r="R15906" t="s">
        <v>47444</v>
      </c>
      <c r="S15906" t="s">
        <v>48135</v>
      </c>
      <c r="T15906" t="s">
        <v>49251</v>
      </c>
      <c r="U15906" t="s">
        <v>62586</v>
      </c>
      <c r="W15906" t="s">
        <v>47154</v>
      </c>
      <c r="X15906" t="s">
        <v>47445</v>
      </c>
    </row>
    <row r="15907" spans="1:24">
      <c r="A15907">
        <f>HYPERLINK("https://www.philgeps.gov.ph/GEPSNONPILOT/Tender/SplashBidNoticeAbstractUI.aspx?menuIndex=3&amp;refID=7128838&amp;Result=3","7128838")</f>
        <v>0</v>
      </c>
      <c r="B15907" t="s">
        <v>958</v>
      </c>
      <c r="C15907" t="s">
        <v>18982</v>
      </c>
      <c r="D15907" t="s">
        <v>19049</v>
      </c>
      <c r="E15907" t="s">
        <v>32799</v>
      </c>
      <c r="F15907" t="s">
        <v>32831</v>
      </c>
      <c r="G15907" t="s">
        <v>32840</v>
      </c>
      <c r="H15907" t="s">
        <v>32848</v>
      </c>
      <c r="I15907" t="s">
        <v>32857</v>
      </c>
      <c r="J15907" t="s">
        <v>42702</v>
      </c>
      <c r="K15907" t="s">
        <v>42732</v>
      </c>
      <c r="M15907" t="s">
        <v>44004</v>
      </c>
      <c r="N15907" t="s">
        <v>47424</v>
      </c>
      <c r="O15907" t="s">
        <v>47425</v>
      </c>
      <c r="Q15907">
        <v>4</v>
      </c>
      <c r="R15907" t="s">
        <v>47444</v>
      </c>
      <c r="S15907" t="s">
        <v>49051</v>
      </c>
      <c r="T15907" t="s">
        <v>49212</v>
      </c>
      <c r="U15907" t="s">
        <v>62587</v>
      </c>
      <c r="W15907" t="s">
        <v>44004</v>
      </c>
      <c r="X15907" t="s">
        <v>47446</v>
      </c>
    </row>
    <row r="15908" spans="1:24">
      <c r="A15908">
        <f>HYPERLINK("https://www.philgeps.gov.ph/GEPSNONPILOT/Tender/SplashBidNoticeAbstractUI.aspx?menuIndex=3&amp;refID=7128425&amp;Result=3","7128425")</f>
        <v>0</v>
      </c>
      <c r="B15908" t="s">
        <v>3729</v>
      </c>
      <c r="C15908" t="s">
        <v>18983</v>
      </c>
      <c r="D15908" t="s">
        <v>19056</v>
      </c>
      <c r="E15908" t="s">
        <v>32800</v>
      </c>
      <c r="F15908" t="s">
        <v>32831</v>
      </c>
      <c r="G15908" t="s">
        <v>32839</v>
      </c>
      <c r="H15908" t="s">
        <v>32848</v>
      </c>
      <c r="I15908" t="s">
        <v>4438</v>
      </c>
      <c r="J15908" t="s">
        <v>33279</v>
      </c>
      <c r="K15908" t="s">
        <v>42732</v>
      </c>
      <c r="M15908" t="s">
        <v>47124</v>
      </c>
      <c r="N15908" t="s">
        <v>47424</v>
      </c>
      <c r="O15908" t="s">
        <v>47425</v>
      </c>
      <c r="P15908">
        <v>0</v>
      </c>
      <c r="Q15908">
        <v>5</v>
      </c>
      <c r="R15908" t="s">
        <v>47444</v>
      </c>
      <c r="S15908" t="s">
        <v>48135</v>
      </c>
      <c r="T15908" t="s">
        <v>49177</v>
      </c>
      <c r="U15908" t="s">
        <v>62588</v>
      </c>
      <c r="W15908" t="s">
        <v>47124</v>
      </c>
      <c r="X15908" t="s">
        <v>47446</v>
      </c>
    </row>
    <row r="15909" spans="1:24">
      <c r="A15909">
        <f>HYPERLINK("https://www.philgeps.gov.ph/GEPSNONPILOT/Tender/SplashBidNoticeAbstractUI.aspx?menuIndex=3&amp;refID=7127259&amp;Result=3","7127259")</f>
        <v>0</v>
      </c>
      <c r="B15909" t="s">
        <v>3289</v>
      </c>
      <c r="C15909" t="s">
        <v>18984</v>
      </c>
      <c r="D15909" t="s">
        <v>19083</v>
      </c>
      <c r="E15909" t="s">
        <v>32801</v>
      </c>
      <c r="F15909" t="s">
        <v>32831</v>
      </c>
      <c r="G15909" t="s">
        <v>32845</v>
      </c>
      <c r="H15909" t="s">
        <v>32848</v>
      </c>
      <c r="I15909" t="s">
        <v>11484</v>
      </c>
      <c r="J15909" t="s">
        <v>42703</v>
      </c>
      <c r="K15909" t="s">
        <v>42730</v>
      </c>
      <c r="M15909" t="s">
        <v>46610</v>
      </c>
      <c r="N15909" t="s">
        <v>47424</v>
      </c>
      <c r="O15909" t="s">
        <v>47425</v>
      </c>
      <c r="P15909">
        <v>0</v>
      </c>
      <c r="Q15909">
        <v>6</v>
      </c>
      <c r="R15909" t="s">
        <v>47444</v>
      </c>
      <c r="S15909" t="s">
        <v>48135</v>
      </c>
      <c r="T15909" t="s">
        <v>49129</v>
      </c>
      <c r="U15909" t="s">
        <v>62589</v>
      </c>
      <c r="W15909" t="s">
        <v>46610</v>
      </c>
      <c r="X15909" t="s">
        <v>47446</v>
      </c>
    </row>
    <row r="15910" spans="1:24">
      <c r="A15910">
        <f>HYPERLINK("https://www.philgeps.gov.ph/GEPSNONPILOT/Tender/SplashBidNoticeAbstractUI.aspx?menuIndex=3&amp;refID=7127548&amp;Result=3","7127548")</f>
        <v>0</v>
      </c>
      <c r="B15910" t="s">
        <v>3087</v>
      </c>
      <c r="C15910" t="s">
        <v>18985</v>
      </c>
      <c r="D15910" t="s">
        <v>19094</v>
      </c>
      <c r="E15910" t="s">
        <v>32802</v>
      </c>
      <c r="F15910" t="s">
        <v>32831</v>
      </c>
      <c r="G15910" t="s">
        <v>32838</v>
      </c>
      <c r="H15910" t="s">
        <v>32848</v>
      </c>
      <c r="I15910" t="s">
        <v>10805</v>
      </c>
      <c r="J15910" t="s">
        <v>42704</v>
      </c>
      <c r="K15910" t="s">
        <v>42727</v>
      </c>
      <c r="M15910" t="s">
        <v>46368</v>
      </c>
      <c r="N15910" t="s">
        <v>47424</v>
      </c>
      <c r="O15910" t="s">
        <v>47425</v>
      </c>
      <c r="Q15910">
        <v>0</v>
      </c>
      <c r="R15910" t="s">
        <v>47444</v>
      </c>
      <c r="S15910" t="s">
        <v>49052</v>
      </c>
      <c r="T15910" t="s">
        <v>49543</v>
      </c>
      <c r="U15910" t="s">
        <v>57771</v>
      </c>
      <c r="W15910" t="s">
        <v>46368</v>
      </c>
      <c r="X15910" t="s">
        <v>47446</v>
      </c>
    </row>
    <row r="15911" spans="1:24">
      <c r="A15911">
        <f>HYPERLINK("https://www.philgeps.gov.ph/GEPSNONPILOT/Tender/SplashBidNoticeAbstractUI.aspx?menuIndex=3&amp;refID=7127169&amp;Result=3","7127169")</f>
        <v>0</v>
      </c>
      <c r="B15911" t="s">
        <v>99</v>
      </c>
      <c r="C15911" t="s">
        <v>18986</v>
      </c>
      <c r="D15911" t="s">
        <v>19054</v>
      </c>
      <c r="E15911" t="s">
        <v>32803</v>
      </c>
      <c r="F15911" t="s">
        <v>32831</v>
      </c>
      <c r="G15911" t="s">
        <v>32839</v>
      </c>
      <c r="H15911" t="s">
        <v>32848</v>
      </c>
      <c r="I15911" t="s">
        <v>4558</v>
      </c>
      <c r="J15911" t="s">
        <v>42705</v>
      </c>
      <c r="K15911" t="s">
        <v>42730</v>
      </c>
      <c r="M15911" t="s">
        <v>43171</v>
      </c>
      <c r="N15911" t="s">
        <v>47424</v>
      </c>
      <c r="O15911" t="s">
        <v>47425</v>
      </c>
      <c r="P15911">
        <v>0</v>
      </c>
      <c r="Q15911">
        <v>3</v>
      </c>
      <c r="R15911" t="s">
        <v>47444</v>
      </c>
      <c r="S15911" t="s">
        <v>48135</v>
      </c>
      <c r="T15911" t="s">
        <v>49069</v>
      </c>
      <c r="U15911" t="s">
        <v>56583</v>
      </c>
      <c r="V15911" t="s">
        <v>62643</v>
      </c>
      <c r="W15911" t="s">
        <v>43171</v>
      </c>
      <c r="X15911" t="s">
        <v>47446</v>
      </c>
    </row>
    <row r="15912" spans="1:24">
      <c r="A15912">
        <f>HYPERLINK("https://www.philgeps.gov.ph/GEPSNONPILOT/Tender/SplashBidNoticeAbstractUI.aspx?menuIndex=3&amp;refID=7127162&amp;Result=3","7127162")</f>
        <v>0</v>
      </c>
      <c r="B15912" t="s">
        <v>1305</v>
      </c>
      <c r="C15912" t="s">
        <v>18987</v>
      </c>
      <c r="D15912" t="s">
        <v>19093</v>
      </c>
      <c r="E15912" t="s">
        <v>32804</v>
      </c>
      <c r="F15912" t="s">
        <v>32831</v>
      </c>
      <c r="G15912" t="s">
        <v>32839</v>
      </c>
      <c r="H15912" t="s">
        <v>32848</v>
      </c>
      <c r="I15912" t="s">
        <v>7751</v>
      </c>
      <c r="J15912" t="s">
        <v>33297</v>
      </c>
      <c r="K15912" t="s">
        <v>42727</v>
      </c>
      <c r="M15912" t="s">
        <v>44375</v>
      </c>
      <c r="N15912" t="s">
        <v>47424</v>
      </c>
      <c r="O15912" t="s">
        <v>47425</v>
      </c>
      <c r="P15912">
        <v>0</v>
      </c>
      <c r="Q15912">
        <v>12</v>
      </c>
      <c r="R15912" t="s">
        <v>47444</v>
      </c>
      <c r="S15912" t="s">
        <v>48135</v>
      </c>
      <c r="T15912" t="s">
        <v>49069</v>
      </c>
      <c r="U15912" t="s">
        <v>62590</v>
      </c>
      <c r="W15912" t="s">
        <v>44375</v>
      </c>
      <c r="X15912" t="s">
        <v>47446</v>
      </c>
    </row>
    <row r="15913" spans="1:24">
      <c r="A15913">
        <f>HYPERLINK("https://www.philgeps.gov.ph/GEPSNONPILOT/Tender/SplashBidNoticeAbstractUI.aspx?menuIndex=3&amp;refID=7128454&amp;Result=3","7128454")</f>
        <v>0</v>
      </c>
      <c r="B15913" t="s">
        <v>3729</v>
      </c>
      <c r="C15913" t="s">
        <v>18988</v>
      </c>
      <c r="D15913" t="s">
        <v>19056</v>
      </c>
      <c r="E15913" t="s">
        <v>32805</v>
      </c>
      <c r="F15913" t="s">
        <v>32831</v>
      </c>
      <c r="G15913" t="s">
        <v>32839</v>
      </c>
      <c r="H15913" t="s">
        <v>32848</v>
      </c>
      <c r="I15913" t="s">
        <v>4438</v>
      </c>
      <c r="J15913" t="s">
        <v>33644</v>
      </c>
      <c r="K15913" t="s">
        <v>42732</v>
      </c>
      <c r="M15913" t="s">
        <v>47124</v>
      </c>
      <c r="N15913" t="s">
        <v>47424</v>
      </c>
      <c r="O15913" t="s">
        <v>47425</v>
      </c>
      <c r="P15913">
        <v>0</v>
      </c>
      <c r="Q15913">
        <v>3</v>
      </c>
      <c r="R15913" t="s">
        <v>47444</v>
      </c>
      <c r="S15913" t="s">
        <v>48135</v>
      </c>
      <c r="T15913" t="s">
        <v>49177</v>
      </c>
      <c r="U15913" t="s">
        <v>62591</v>
      </c>
      <c r="W15913" t="s">
        <v>47124</v>
      </c>
      <c r="X15913" t="s">
        <v>47446</v>
      </c>
    </row>
    <row r="15914" spans="1:24">
      <c r="A15914">
        <f>HYPERLINK("https://www.philgeps.gov.ph/GEPSNONPILOT/Tender/SplashBidNoticeAbstractUI.aspx?menuIndex=3&amp;refID=7127139&amp;Result=3","7127139")</f>
        <v>0</v>
      </c>
      <c r="B15914" t="s">
        <v>3724</v>
      </c>
      <c r="C15914" t="s">
        <v>18989</v>
      </c>
      <c r="D15914" t="s">
        <v>19051</v>
      </c>
      <c r="E15914" t="s">
        <v>32806</v>
      </c>
      <c r="F15914" t="s">
        <v>32831</v>
      </c>
      <c r="G15914" t="s">
        <v>32839</v>
      </c>
      <c r="H15914" t="s">
        <v>32849</v>
      </c>
      <c r="I15914" t="s">
        <v>4177</v>
      </c>
      <c r="J15914" t="s">
        <v>42706</v>
      </c>
      <c r="K15914" t="s">
        <v>42728</v>
      </c>
      <c r="M15914" t="s">
        <v>47118</v>
      </c>
      <c r="N15914" t="s">
        <v>47424</v>
      </c>
      <c r="O15914" t="s">
        <v>47425</v>
      </c>
      <c r="P15914">
        <v>0</v>
      </c>
      <c r="Q15914">
        <v>1</v>
      </c>
      <c r="R15914" t="s">
        <v>47444</v>
      </c>
      <c r="S15914" t="s">
        <v>48135</v>
      </c>
      <c r="T15914" t="s">
        <v>49237</v>
      </c>
      <c r="U15914" t="s">
        <v>62592</v>
      </c>
      <c r="V15914" t="s">
        <v>64146</v>
      </c>
      <c r="W15914" t="s">
        <v>47118</v>
      </c>
      <c r="X15914" t="s">
        <v>47446</v>
      </c>
    </row>
    <row r="15915" spans="1:24">
      <c r="A15915">
        <f>HYPERLINK("https://www.philgeps.gov.ph/GEPSNONPILOT/Tender/SplashBidNoticeAbstractUI.aspx?menuIndex=3&amp;refID=7128336&amp;Result=3","7128336")</f>
        <v>0</v>
      </c>
      <c r="B15915" t="s">
        <v>3729</v>
      </c>
      <c r="C15915" t="s">
        <v>18990</v>
      </c>
      <c r="D15915" t="s">
        <v>19056</v>
      </c>
      <c r="E15915" t="s">
        <v>32807</v>
      </c>
      <c r="F15915" t="s">
        <v>32831</v>
      </c>
      <c r="G15915" t="s">
        <v>32839</v>
      </c>
      <c r="H15915" t="s">
        <v>32848</v>
      </c>
      <c r="I15915" t="s">
        <v>4558</v>
      </c>
      <c r="J15915" t="s">
        <v>33624</v>
      </c>
      <c r="K15915" t="s">
        <v>42732</v>
      </c>
      <c r="M15915" t="s">
        <v>47124</v>
      </c>
      <c r="N15915" t="s">
        <v>47424</v>
      </c>
      <c r="O15915" t="s">
        <v>47425</v>
      </c>
      <c r="P15915">
        <v>0</v>
      </c>
      <c r="Q15915">
        <v>8</v>
      </c>
      <c r="R15915" t="s">
        <v>47444</v>
      </c>
      <c r="S15915" t="s">
        <v>48135</v>
      </c>
      <c r="T15915" t="s">
        <v>49177</v>
      </c>
      <c r="U15915" t="s">
        <v>62593</v>
      </c>
      <c r="W15915" t="s">
        <v>47124</v>
      </c>
      <c r="X15915" t="s">
        <v>47446</v>
      </c>
    </row>
    <row r="15916" spans="1:24">
      <c r="A15916">
        <f>HYPERLINK("https://www.philgeps.gov.ph/GEPSNONPILOT/Tender/SplashBidNoticeAbstractUI.aspx?menuIndex=3&amp;refID=7127194&amp;Result=3","7127194")</f>
        <v>0</v>
      </c>
      <c r="B15916" t="s">
        <v>3831</v>
      </c>
      <c r="C15916" t="s">
        <v>18991</v>
      </c>
      <c r="D15916" t="s">
        <v>19044</v>
      </c>
      <c r="E15916" t="s">
        <v>27337</v>
      </c>
      <c r="F15916" t="s">
        <v>32831</v>
      </c>
      <c r="G15916" t="s">
        <v>32839</v>
      </c>
      <c r="H15916" t="s">
        <v>32848</v>
      </c>
      <c r="I15916" t="s">
        <v>32867</v>
      </c>
      <c r="J15916" t="s">
        <v>42707</v>
      </c>
      <c r="K15916" t="s">
        <v>42742</v>
      </c>
      <c r="L15916" t="s">
        <v>3831</v>
      </c>
      <c r="M15916" t="s">
        <v>47255</v>
      </c>
      <c r="N15916" t="s">
        <v>47424</v>
      </c>
      <c r="O15916" t="s">
        <v>47425</v>
      </c>
      <c r="Q15916">
        <v>6</v>
      </c>
      <c r="R15916" t="s">
        <v>47444</v>
      </c>
      <c r="S15916" t="s">
        <v>49053</v>
      </c>
      <c r="T15916" t="s">
        <v>49321</v>
      </c>
      <c r="U15916" t="s">
        <v>62594</v>
      </c>
      <c r="V15916" t="s">
        <v>64289</v>
      </c>
      <c r="W15916" t="s">
        <v>47255</v>
      </c>
      <c r="X15916" t="s">
        <v>47446</v>
      </c>
    </row>
    <row r="15917" spans="1:24">
      <c r="A15917">
        <f>HYPERLINK("https://www.philgeps.gov.ph/GEPSNONPILOT/Tender/SplashBidNoticeAbstractUI.aspx?menuIndex=3&amp;refID=7125646&amp;Result=3","7125646")</f>
        <v>0</v>
      </c>
      <c r="B15917" t="s">
        <v>3843</v>
      </c>
      <c r="C15917" t="s">
        <v>18992</v>
      </c>
      <c r="D15917" t="s">
        <v>19025</v>
      </c>
      <c r="E15917" t="s">
        <v>32808</v>
      </c>
      <c r="F15917" t="s">
        <v>32831</v>
      </c>
      <c r="G15917" t="s">
        <v>32839</v>
      </c>
      <c r="H15917" t="s">
        <v>32849</v>
      </c>
      <c r="I15917" t="s">
        <v>4177</v>
      </c>
      <c r="J15917" t="s">
        <v>42708</v>
      </c>
      <c r="K15917" t="s">
        <v>42779</v>
      </c>
      <c r="M15917" t="s">
        <v>47269</v>
      </c>
      <c r="N15917" t="s">
        <v>47424</v>
      </c>
      <c r="O15917" t="s">
        <v>47425</v>
      </c>
      <c r="P15917">
        <v>0</v>
      </c>
      <c r="Q15917">
        <v>0</v>
      </c>
      <c r="R15917" t="s">
        <v>47446</v>
      </c>
      <c r="S15917" t="s">
        <v>48377</v>
      </c>
      <c r="T15917" t="s">
        <v>49159</v>
      </c>
      <c r="U15917" t="s">
        <v>62595</v>
      </c>
      <c r="W15917" t="s">
        <v>47269</v>
      </c>
      <c r="X15917" t="s">
        <v>47447</v>
      </c>
    </row>
    <row r="15918" spans="1:24">
      <c r="A15918">
        <f>HYPERLINK("https://www.philgeps.gov.ph/GEPSNONPILOT/Tender/SplashBidNoticeAbstractUI.aspx?menuIndex=3&amp;refID=7127463&amp;Result=3","7127463")</f>
        <v>0</v>
      </c>
      <c r="B15918" t="s">
        <v>3521</v>
      </c>
      <c r="C15918" t="s">
        <v>18993</v>
      </c>
      <c r="D15918" t="s">
        <v>19037</v>
      </c>
      <c r="E15918" t="s">
        <v>30736</v>
      </c>
      <c r="F15918" t="s">
        <v>32831</v>
      </c>
      <c r="G15918" t="s">
        <v>32839</v>
      </c>
      <c r="H15918" t="s">
        <v>32848</v>
      </c>
      <c r="I15918" t="s">
        <v>7416</v>
      </c>
      <c r="J15918" t="s">
        <v>42709</v>
      </c>
      <c r="K15918" t="s">
        <v>42727</v>
      </c>
      <c r="M15918" t="s">
        <v>46872</v>
      </c>
      <c r="N15918" t="s">
        <v>47424</v>
      </c>
      <c r="O15918" t="s">
        <v>47425</v>
      </c>
      <c r="P15918">
        <v>0</v>
      </c>
      <c r="Q15918">
        <v>1</v>
      </c>
      <c r="R15918" t="s">
        <v>47444</v>
      </c>
      <c r="S15918" t="s">
        <v>48135</v>
      </c>
      <c r="T15918" t="s">
        <v>49211</v>
      </c>
      <c r="U15918" t="s">
        <v>59615</v>
      </c>
      <c r="W15918" t="s">
        <v>46872</v>
      </c>
      <c r="X15918" t="s">
        <v>47446</v>
      </c>
    </row>
    <row r="15919" spans="1:24">
      <c r="A15919">
        <f>HYPERLINK("https://www.philgeps.gov.ph/GEPSNONPILOT/Tender/SplashBidNoticeAbstractUI.aspx?menuIndex=3&amp;refID=7136275&amp;Result=3","7136275")</f>
        <v>0</v>
      </c>
      <c r="B15919" t="s">
        <v>2139</v>
      </c>
      <c r="C15919" t="s">
        <v>18994</v>
      </c>
      <c r="D15919" t="s">
        <v>19017</v>
      </c>
      <c r="E15919" t="s">
        <v>32809</v>
      </c>
      <c r="F15919" t="s">
        <v>32831</v>
      </c>
      <c r="G15919" t="s">
        <v>32839</v>
      </c>
      <c r="H15919" t="s">
        <v>32850</v>
      </c>
      <c r="I15919" t="s">
        <v>4487</v>
      </c>
      <c r="J15919" t="s">
        <v>34733</v>
      </c>
      <c r="K15919" t="s">
        <v>42730</v>
      </c>
      <c r="M15919" t="s">
        <v>47420</v>
      </c>
      <c r="N15919" t="s">
        <v>47424</v>
      </c>
      <c r="O15919" t="s">
        <v>47425</v>
      </c>
      <c r="P15919">
        <v>0</v>
      </c>
      <c r="Q15919">
        <v>18</v>
      </c>
      <c r="R15919" t="s">
        <v>47440</v>
      </c>
      <c r="S15919" t="s">
        <v>47963</v>
      </c>
      <c r="T15919" t="s">
        <v>49169</v>
      </c>
      <c r="U15919" t="s">
        <v>62596</v>
      </c>
      <c r="W15919" t="s">
        <v>47420</v>
      </c>
      <c r="X15919" t="s">
        <v>47441</v>
      </c>
    </row>
    <row r="15920" spans="1:24">
      <c r="A15920">
        <f>HYPERLINK("https://www.philgeps.gov.ph/GEPSNONPILOT/Tender/SplashBidNoticeAbstractUI.aspx?menuIndex=3&amp;refID=7127103&amp;Result=3","7127103")</f>
        <v>0</v>
      </c>
      <c r="B15920" t="s">
        <v>3521</v>
      </c>
      <c r="C15920" t="s">
        <v>18995</v>
      </c>
      <c r="D15920" t="s">
        <v>19037</v>
      </c>
      <c r="E15920" t="s">
        <v>32810</v>
      </c>
      <c r="F15920" t="s">
        <v>32831</v>
      </c>
      <c r="G15920" t="s">
        <v>32839</v>
      </c>
      <c r="H15920" t="s">
        <v>32848</v>
      </c>
      <c r="I15920" t="s">
        <v>7416</v>
      </c>
      <c r="J15920" t="s">
        <v>42710</v>
      </c>
      <c r="K15920" t="s">
        <v>42727</v>
      </c>
      <c r="M15920" t="s">
        <v>46872</v>
      </c>
      <c r="N15920" t="s">
        <v>47424</v>
      </c>
      <c r="O15920" t="s">
        <v>47425</v>
      </c>
      <c r="P15920">
        <v>0</v>
      </c>
      <c r="Q15920">
        <v>0</v>
      </c>
      <c r="R15920" t="s">
        <v>47444</v>
      </c>
      <c r="S15920" t="s">
        <v>48135</v>
      </c>
      <c r="T15920" t="s">
        <v>49211</v>
      </c>
      <c r="U15920" t="s">
        <v>59615</v>
      </c>
      <c r="W15920" t="s">
        <v>46872</v>
      </c>
      <c r="X15920" t="s">
        <v>47446</v>
      </c>
    </row>
    <row r="15921" spans="1:24">
      <c r="A15921">
        <f>HYPERLINK("https://www.philgeps.gov.ph/GEPSNONPILOT/Tender/SplashBidNoticeAbstractUI.aspx?menuIndex=3&amp;refID=7136172&amp;Result=3","7136172")</f>
        <v>0</v>
      </c>
      <c r="B15921" t="s">
        <v>33</v>
      </c>
      <c r="C15921" t="s">
        <v>18996</v>
      </c>
      <c r="D15921" t="s">
        <v>19024</v>
      </c>
      <c r="E15921" t="s">
        <v>32811</v>
      </c>
      <c r="F15921" t="s">
        <v>32831</v>
      </c>
      <c r="G15921" t="s">
        <v>32839</v>
      </c>
      <c r="H15921" t="s">
        <v>32848</v>
      </c>
      <c r="I15921" t="s">
        <v>32871</v>
      </c>
      <c r="J15921" t="s">
        <v>42711</v>
      </c>
      <c r="K15921" t="s">
        <v>42730</v>
      </c>
      <c r="M15921" t="s">
        <v>43030</v>
      </c>
      <c r="N15921" t="s">
        <v>47424</v>
      </c>
      <c r="O15921" t="s">
        <v>47425</v>
      </c>
      <c r="P15921">
        <v>0</v>
      </c>
      <c r="Q15921">
        <v>26</v>
      </c>
      <c r="R15921" t="s">
        <v>47440</v>
      </c>
      <c r="S15921" t="s">
        <v>47963</v>
      </c>
      <c r="T15921" t="s">
        <v>49080</v>
      </c>
      <c r="U15921" t="s">
        <v>62597</v>
      </c>
      <c r="W15921" t="s">
        <v>43030</v>
      </c>
      <c r="X15921" t="s">
        <v>47441</v>
      </c>
    </row>
    <row r="15922" spans="1:24">
      <c r="A15922">
        <f>HYPERLINK("https://www.philgeps.gov.ph/GEPSNONPILOT/Tender/SplashBidNoticeAbstractUI.aspx?menuIndex=3&amp;refID=7136288&amp;Result=3","7136288")</f>
        <v>0</v>
      </c>
      <c r="B15922" t="s">
        <v>1954</v>
      </c>
      <c r="C15922" t="s">
        <v>18997</v>
      </c>
      <c r="D15922" t="s">
        <v>19034</v>
      </c>
      <c r="E15922" t="s">
        <v>32812</v>
      </c>
      <c r="F15922" t="s">
        <v>32831</v>
      </c>
      <c r="G15922" t="s">
        <v>32839</v>
      </c>
      <c r="H15922" t="s">
        <v>32849</v>
      </c>
      <c r="I15922" t="s">
        <v>4177</v>
      </c>
      <c r="J15922" t="s">
        <v>42712</v>
      </c>
      <c r="K15922" t="s">
        <v>42763</v>
      </c>
      <c r="M15922" t="s">
        <v>47421</v>
      </c>
      <c r="N15922" t="s">
        <v>47424</v>
      </c>
      <c r="O15922" t="s">
        <v>47425</v>
      </c>
      <c r="P15922">
        <v>0</v>
      </c>
      <c r="Q15922">
        <v>0</v>
      </c>
      <c r="R15922" t="s">
        <v>47440</v>
      </c>
      <c r="S15922" t="s">
        <v>47963</v>
      </c>
      <c r="T15922" t="s">
        <v>49128</v>
      </c>
      <c r="U15922" t="s">
        <v>62598</v>
      </c>
      <c r="W15922" t="s">
        <v>47421</v>
      </c>
      <c r="X15922" t="s">
        <v>47441</v>
      </c>
    </row>
    <row r="15923" spans="1:24">
      <c r="A15923">
        <f>HYPERLINK("https://www.philgeps.gov.ph/GEPSNONPILOT/Tender/SplashBidNoticeAbstractUI.aspx?menuIndex=3&amp;refID=7129884&amp;Result=3","7129884")</f>
        <v>0</v>
      </c>
      <c r="B15923" t="s">
        <v>1279</v>
      </c>
      <c r="C15923" t="s">
        <v>18998</v>
      </c>
      <c r="D15923" t="s">
        <v>19052</v>
      </c>
      <c r="E15923" t="s">
        <v>32813</v>
      </c>
      <c r="F15923" t="s">
        <v>32831</v>
      </c>
      <c r="G15923" t="s">
        <v>32839</v>
      </c>
      <c r="H15923" t="s">
        <v>32848</v>
      </c>
      <c r="I15923" t="s">
        <v>32852</v>
      </c>
      <c r="J15923" t="s">
        <v>42713</v>
      </c>
      <c r="K15923" t="s">
        <v>42750</v>
      </c>
      <c r="M15923" t="s">
        <v>44349</v>
      </c>
      <c r="N15923" t="s">
        <v>47424</v>
      </c>
      <c r="O15923" t="s">
        <v>47425</v>
      </c>
      <c r="P15923">
        <v>0</v>
      </c>
      <c r="Q15923">
        <v>5</v>
      </c>
      <c r="R15923" t="s">
        <v>47444</v>
      </c>
      <c r="S15923" t="s">
        <v>48135</v>
      </c>
      <c r="T15923" t="s">
        <v>49073</v>
      </c>
      <c r="U15923" t="s">
        <v>62599</v>
      </c>
      <c r="W15923" t="s">
        <v>64464</v>
      </c>
      <c r="X15923" t="s">
        <v>47445</v>
      </c>
    </row>
    <row r="15924" spans="1:24">
      <c r="A15924">
        <f>HYPERLINK("https://www.philgeps.gov.ph/GEPSNONPILOT/Tender/SplashBidNoticeAbstractUI.aspx?menuIndex=3&amp;refID=7136168&amp;Result=3","7136168")</f>
        <v>0</v>
      </c>
      <c r="B15924" t="s">
        <v>3604</v>
      </c>
      <c r="C15924" t="s">
        <v>18999</v>
      </c>
      <c r="D15924" t="s">
        <v>19021</v>
      </c>
      <c r="E15924" t="s">
        <v>32814</v>
      </c>
      <c r="F15924" t="s">
        <v>32831</v>
      </c>
      <c r="G15924" t="s">
        <v>32839</v>
      </c>
      <c r="H15924" t="s">
        <v>32848</v>
      </c>
      <c r="I15924" t="s">
        <v>7416</v>
      </c>
      <c r="J15924" t="s">
        <v>42714</v>
      </c>
      <c r="K15924" t="s">
        <v>42730</v>
      </c>
      <c r="M15924" t="s">
        <v>46969</v>
      </c>
      <c r="N15924" t="s">
        <v>47424</v>
      </c>
      <c r="O15924" t="s">
        <v>47425</v>
      </c>
      <c r="P15924">
        <v>0</v>
      </c>
      <c r="Q15924">
        <v>6</v>
      </c>
      <c r="R15924" t="s">
        <v>47440</v>
      </c>
      <c r="S15924" t="s">
        <v>47963</v>
      </c>
      <c r="T15924" t="s">
        <v>49237</v>
      </c>
      <c r="U15924" t="s">
        <v>60071</v>
      </c>
      <c r="W15924" t="s">
        <v>46969</v>
      </c>
      <c r="X15924" t="s">
        <v>47441</v>
      </c>
    </row>
    <row r="15925" spans="1:24">
      <c r="A15925">
        <f>HYPERLINK("https://www.philgeps.gov.ph/GEPSNONPILOT/Tender/SplashBidNoticeAbstractUI.aspx?menuIndex=3&amp;refID=7129806&amp;Result=3","7129806")</f>
        <v>0</v>
      </c>
      <c r="B15925" t="s">
        <v>3587</v>
      </c>
      <c r="C15925" t="s">
        <v>19000</v>
      </c>
      <c r="D15925" t="s">
        <v>19055</v>
      </c>
      <c r="E15925" t="s">
        <v>32815</v>
      </c>
      <c r="F15925" t="s">
        <v>32831</v>
      </c>
      <c r="G15925" t="s">
        <v>32839</v>
      </c>
      <c r="H15925" t="s">
        <v>32849</v>
      </c>
      <c r="I15925" t="s">
        <v>4177</v>
      </c>
      <c r="J15925" t="s">
        <v>42715</v>
      </c>
      <c r="K15925" t="s">
        <v>42892</v>
      </c>
      <c r="M15925" t="s">
        <v>46951</v>
      </c>
      <c r="N15925" t="s">
        <v>47424</v>
      </c>
      <c r="O15925" t="s">
        <v>47425</v>
      </c>
      <c r="P15925">
        <v>0</v>
      </c>
      <c r="Q15925">
        <v>2</v>
      </c>
      <c r="R15925" t="s">
        <v>47440</v>
      </c>
      <c r="S15925" t="s">
        <v>47963</v>
      </c>
      <c r="T15925" t="s">
        <v>49080</v>
      </c>
      <c r="U15925" t="s">
        <v>62600</v>
      </c>
      <c r="W15925" t="s">
        <v>46951</v>
      </c>
      <c r="X15925" t="s">
        <v>47445</v>
      </c>
    </row>
    <row r="15926" spans="1:24">
      <c r="A15926">
        <f>HYPERLINK("https://www.philgeps.gov.ph/GEPSNONPILOT/Tender/SplashBidNoticeAbstractUI.aspx?menuIndex=3&amp;refID=7129738&amp;Result=3","7129738")</f>
        <v>0</v>
      </c>
      <c r="B15926" t="s">
        <v>3587</v>
      </c>
      <c r="C15926" t="s">
        <v>19001</v>
      </c>
      <c r="D15926" t="s">
        <v>19055</v>
      </c>
      <c r="E15926" t="s">
        <v>32816</v>
      </c>
      <c r="F15926" t="s">
        <v>32831</v>
      </c>
      <c r="G15926" t="s">
        <v>32839</v>
      </c>
      <c r="H15926" t="s">
        <v>32849</v>
      </c>
      <c r="I15926" t="s">
        <v>4177</v>
      </c>
      <c r="J15926" t="s">
        <v>42716</v>
      </c>
      <c r="K15926" t="s">
        <v>42770</v>
      </c>
      <c r="M15926" t="s">
        <v>46951</v>
      </c>
      <c r="N15926" t="s">
        <v>47424</v>
      </c>
      <c r="O15926" t="s">
        <v>47425</v>
      </c>
      <c r="P15926">
        <v>0</v>
      </c>
      <c r="Q15926">
        <v>2</v>
      </c>
      <c r="R15926" t="s">
        <v>47440</v>
      </c>
      <c r="S15926" t="s">
        <v>47963</v>
      </c>
      <c r="T15926" t="s">
        <v>49080</v>
      </c>
      <c r="U15926" t="s">
        <v>62601</v>
      </c>
      <c r="W15926" t="s">
        <v>46951</v>
      </c>
      <c r="X15926" t="s">
        <v>47445</v>
      </c>
    </row>
    <row r="15927" spans="1:24">
      <c r="A15927">
        <f>HYPERLINK("https://www.philgeps.gov.ph/GEPSNONPILOT/Tender/SplashBidNoticeAbstractUI.aspx?menuIndex=3&amp;refID=7129724&amp;Result=3","7129724")</f>
        <v>0</v>
      </c>
      <c r="B15927" t="s">
        <v>3587</v>
      </c>
      <c r="C15927" t="s">
        <v>19002</v>
      </c>
      <c r="D15927" t="s">
        <v>19055</v>
      </c>
      <c r="E15927" t="s">
        <v>32817</v>
      </c>
      <c r="F15927" t="s">
        <v>32831</v>
      </c>
      <c r="G15927" t="s">
        <v>32839</v>
      </c>
      <c r="H15927" t="s">
        <v>32849</v>
      </c>
      <c r="I15927" t="s">
        <v>4177</v>
      </c>
      <c r="J15927" t="s">
        <v>42717</v>
      </c>
      <c r="K15927" t="s">
        <v>42728</v>
      </c>
      <c r="M15927" t="s">
        <v>46951</v>
      </c>
      <c r="N15927" t="s">
        <v>47424</v>
      </c>
      <c r="O15927" t="s">
        <v>47425</v>
      </c>
      <c r="P15927">
        <v>0</v>
      </c>
      <c r="Q15927">
        <v>1</v>
      </c>
      <c r="R15927" t="s">
        <v>47440</v>
      </c>
      <c r="S15927" t="s">
        <v>47963</v>
      </c>
      <c r="T15927" t="s">
        <v>49080</v>
      </c>
      <c r="U15927" t="s">
        <v>62602</v>
      </c>
      <c r="W15927" t="s">
        <v>46951</v>
      </c>
      <c r="X15927" t="s">
        <v>47445</v>
      </c>
    </row>
    <row r="15928" spans="1:24">
      <c r="A15928">
        <f>HYPERLINK("https://www.philgeps.gov.ph/GEPSNONPILOT/Tender/SplashBidNoticeAbstractUI.aspx?menuIndex=3&amp;refID=7132285&amp;Result=3","7132285")</f>
        <v>0</v>
      </c>
      <c r="B15928" t="s">
        <v>43</v>
      </c>
      <c r="C15928" t="s">
        <v>19003</v>
      </c>
      <c r="D15928" t="s">
        <v>19032</v>
      </c>
      <c r="E15928" t="s">
        <v>32818</v>
      </c>
      <c r="F15928" t="s">
        <v>32831</v>
      </c>
      <c r="G15928" t="s">
        <v>32839</v>
      </c>
      <c r="H15928" t="s">
        <v>32849</v>
      </c>
      <c r="I15928" t="s">
        <v>4177</v>
      </c>
      <c r="J15928" t="s">
        <v>42718</v>
      </c>
      <c r="K15928" t="s">
        <v>42763</v>
      </c>
      <c r="M15928" t="s">
        <v>43040</v>
      </c>
      <c r="N15928" t="s">
        <v>47424</v>
      </c>
      <c r="O15928" t="s">
        <v>47425</v>
      </c>
      <c r="P15928">
        <v>0</v>
      </c>
      <c r="Q15928">
        <v>0</v>
      </c>
      <c r="R15928" t="s">
        <v>47440</v>
      </c>
      <c r="S15928" t="s">
        <v>47963</v>
      </c>
      <c r="T15928" t="s">
        <v>49136</v>
      </c>
      <c r="U15928" t="s">
        <v>62603</v>
      </c>
      <c r="W15928" t="s">
        <v>43040</v>
      </c>
      <c r="X15928" t="s">
        <v>47445</v>
      </c>
    </row>
    <row r="15929" spans="1:24">
      <c r="A15929">
        <f>HYPERLINK("https://www.philgeps.gov.ph/GEPSNONPILOT/Tender/SplashBidNoticeAbstractUI.aspx?menuIndex=3&amp;refID=7136164&amp;Result=3","7136164")</f>
        <v>0</v>
      </c>
      <c r="B15929" t="s">
        <v>3602</v>
      </c>
      <c r="C15929" t="s">
        <v>19004</v>
      </c>
      <c r="D15929" t="s">
        <v>19027</v>
      </c>
      <c r="E15929" t="s">
        <v>28419</v>
      </c>
      <c r="F15929" t="s">
        <v>32831</v>
      </c>
      <c r="G15929" t="s">
        <v>32839</v>
      </c>
      <c r="H15929" t="s">
        <v>32848</v>
      </c>
      <c r="I15929" t="s">
        <v>7416</v>
      </c>
      <c r="J15929" t="s">
        <v>33193</v>
      </c>
      <c r="K15929" t="s">
        <v>42727</v>
      </c>
      <c r="M15929" t="s">
        <v>46966</v>
      </c>
      <c r="N15929" t="s">
        <v>47424</v>
      </c>
      <c r="O15929" t="s">
        <v>47425</v>
      </c>
      <c r="P15929">
        <v>0</v>
      </c>
      <c r="Q15929">
        <v>0</v>
      </c>
      <c r="R15929" t="s">
        <v>47440</v>
      </c>
      <c r="S15929" t="s">
        <v>47963</v>
      </c>
      <c r="T15929" t="s">
        <v>49066</v>
      </c>
      <c r="U15929" t="s">
        <v>62604</v>
      </c>
      <c r="W15929" t="s">
        <v>46966</v>
      </c>
      <c r="X15929" t="s">
        <v>47441</v>
      </c>
    </row>
    <row r="15930" spans="1:24">
      <c r="A15930">
        <f>HYPERLINK("https://www.philgeps.gov.ph/GEPSNONPILOT/Tender/SplashBidNoticeAbstractUI.aspx?menuIndex=3&amp;refID=7129698&amp;Result=3","7129698")</f>
        <v>0</v>
      </c>
      <c r="B15930" t="s">
        <v>3587</v>
      </c>
      <c r="C15930" t="s">
        <v>19005</v>
      </c>
      <c r="D15930" t="s">
        <v>19055</v>
      </c>
      <c r="E15930" t="s">
        <v>32819</v>
      </c>
      <c r="F15930" t="s">
        <v>32831</v>
      </c>
      <c r="G15930" t="s">
        <v>32839</v>
      </c>
      <c r="H15930" t="s">
        <v>32849</v>
      </c>
      <c r="I15930" t="s">
        <v>4177</v>
      </c>
      <c r="J15930" t="s">
        <v>42719</v>
      </c>
      <c r="K15930" t="s">
        <v>42763</v>
      </c>
      <c r="M15930" t="s">
        <v>46951</v>
      </c>
      <c r="N15930" t="s">
        <v>47424</v>
      </c>
      <c r="O15930" t="s">
        <v>47425</v>
      </c>
      <c r="P15930">
        <v>0</v>
      </c>
      <c r="Q15930">
        <v>2</v>
      </c>
      <c r="R15930" t="s">
        <v>47440</v>
      </c>
      <c r="S15930" t="s">
        <v>47963</v>
      </c>
      <c r="T15930" t="s">
        <v>49080</v>
      </c>
      <c r="U15930" t="s">
        <v>62605</v>
      </c>
      <c r="W15930" t="s">
        <v>46951</v>
      </c>
      <c r="X15930" t="s">
        <v>47445</v>
      </c>
    </row>
    <row r="15931" spans="1:24">
      <c r="A15931">
        <f>HYPERLINK("https://www.philgeps.gov.ph/GEPSNONPILOT/Tender/SplashBidNoticeAbstractUI.aspx?menuIndex=3&amp;refID=7133299&amp;Result=3","7133299")</f>
        <v>0</v>
      </c>
      <c r="B15931" t="s">
        <v>1611</v>
      </c>
      <c r="C15931" t="s">
        <v>19006</v>
      </c>
      <c r="D15931" t="s">
        <v>19077</v>
      </c>
      <c r="E15931" t="s">
        <v>32820</v>
      </c>
      <c r="F15931" t="s">
        <v>32831</v>
      </c>
      <c r="G15931" t="s">
        <v>32839</v>
      </c>
      <c r="H15931" t="s">
        <v>32849</v>
      </c>
      <c r="I15931" t="s">
        <v>4177</v>
      </c>
      <c r="J15931" t="s">
        <v>42720</v>
      </c>
      <c r="K15931" t="s">
        <v>42730</v>
      </c>
      <c r="M15931" t="s">
        <v>44727</v>
      </c>
      <c r="N15931" t="s">
        <v>47424</v>
      </c>
      <c r="O15931" t="s">
        <v>47425</v>
      </c>
      <c r="Q15931">
        <v>2</v>
      </c>
      <c r="R15931" t="s">
        <v>47440</v>
      </c>
      <c r="S15931" t="s">
        <v>49054</v>
      </c>
      <c r="T15931" t="s">
        <v>49073</v>
      </c>
      <c r="U15931" t="s">
        <v>62606</v>
      </c>
      <c r="W15931" t="s">
        <v>44727</v>
      </c>
      <c r="X15931" t="s">
        <v>47444</v>
      </c>
    </row>
    <row r="15932" spans="1:24">
      <c r="A15932">
        <f>HYPERLINK("https://www.philgeps.gov.ph/GEPSNONPILOT/Tender/SplashBidNoticeAbstractUI.aspx?menuIndex=3&amp;refID=7129679&amp;Result=3","7129679")</f>
        <v>0</v>
      </c>
      <c r="B15932" t="s">
        <v>584</v>
      </c>
      <c r="C15932" t="s">
        <v>19007</v>
      </c>
      <c r="D15932" t="s">
        <v>19017</v>
      </c>
      <c r="E15932" t="s">
        <v>32821</v>
      </c>
      <c r="F15932" t="s">
        <v>32831</v>
      </c>
      <c r="G15932" t="s">
        <v>32839</v>
      </c>
      <c r="H15932" t="s">
        <v>32848</v>
      </c>
      <c r="I15932" t="s">
        <v>4438</v>
      </c>
      <c r="J15932" t="s">
        <v>33083</v>
      </c>
      <c r="K15932" t="s">
        <v>42763</v>
      </c>
      <c r="M15932" t="s">
        <v>47422</v>
      </c>
      <c r="N15932" t="s">
        <v>47424</v>
      </c>
      <c r="O15932" t="s">
        <v>47425</v>
      </c>
      <c r="Q15932">
        <v>17</v>
      </c>
      <c r="R15932" t="s">
        <v>47440</v>
      </c>
      <c r="S15932" t="s">
        <v>48176</v>
      </c>
      <c r="T15932" t="s">
        <v>49063</v>
      </c>
      <c r="U15932" t="s">
        <v>62607</v>
      </c>
      <c r="W15932" t="s">
        <v>47422</v>
      </c>
      <c r="X15932" t="s">
        <v>47445</v>
      </c>
    </row>
    <row r="15933" spans="1:24">
      <c r="A15933">
        <f>HYPERLINK("https://www.philgeps.gov.ph/GEPSNONPILOT/Tender/SplashBidNoticeAbstractUI.aspx?menuIndex=3&amp;refID=7129259&amp;Result=3","7129259")</f>
        <v>0</v>
      </c>
      <c r="B15933" t="s">
        <v>859</v>
      </c>
      <c r="C15933" t="s">
        <v>19008</v>
      </c>
      <c r="D15933" t="s">
        <v>19102</v>
      </c>
      <c r="E15933" t="s">
        <v>32822</v>
      </c>
      <c r="F15933" t="s">
        <v>32831</v>
      </c>
      <c r="G15933" t="s">
        <v>32839</v>
      </c>
      <c r="H15933" t="s">
        <v>32849</v>
      </c>
      <c r="I15933" t="s">
        <v>4177</v>
      </c>
      <c r="J15933" t="s">
        <v>42721</v>
      </c>
      <c r="K15933" t="s">
        <v>42770</v>
      </c>
      <c r="M15933" t="s">
        <v>43893</v>
      </c>
      <c r="N15933" t="s">
        <v>47424</v>
      </c>
      <c r="O15933" t="s">
        <v>47425</v>
      </c>
      <c r="P15933">
        <v>0</v>
      </c>
      <c r="Q15933">
        <v>8</v>
      </c>
      <c r="R15933" t="s">
        <v>47440</v>
      </c>
      <c r="S15933" t="s">
        <v>47963</v>
      </c>
      <c r="T15933" t="s">
        <v>49069</v>
      </c>
      <c r="U15933" t="s">
        <v>62608</v>
      </c>
      <c r="V15933" t="s">
        <v>64427</v>
      </c>
      <c r="W15933" t="s">
        <v>43893</v>
      </c>
      <c r="X15933" t="s">
        <v>47446</v>
      </c>
    </row>
    <row r="15934" spans="1:24">
      <c r="A15934">
        <f>HYPERLINK("https://www.philgeps.gov.ph/GEPSNONPILOT/Tender/SplashBidNoticeAbstractUI.aspx?menuIndex=3&amp;refID=7142064&amp;Result=3","7142064")</f>
        <v>0</v>
      </c>
      <c r="B15934" t="s">
        <v>3930</v>
      </c>
      <c r="C15934" t="s">
        <v>19009</v>
      </c>
      <c r="D15934" t="s">
        <v>19053</v>
      </c>
      <c r="E15934" t="s">
        <v>32823</v>
      </c>
      <c r="F15934" t="s">
        <v>32831</v>
      </c>
      <c r="G15934" t="s">
        <v>32840</v>
      </c>
      <c r="H15934" t="s">
        <v>32848</v>
      </c>
      <c r="I15934" t="s">
        <v>7751</v>
      </c>
      <c r="J15934" t="s">
        <v>42722</v>
      </c>
      <c r="K15934" t="s">
        <v>42727</v>
      </c>
      <c r="M15934" t="s">
        <v>47423</v>
      </c>
      <c r="N15934" t="s">
        <v>47424</v>
      </c>
      <c r="O15934" t="s">
        <v>47425</v>
      </c>
      <c r="P15934">
        <v>0</v>
      </c>
      <c r="Q15934">
        <v>0</v>
      </c>
      <c r="R15934" t="s">
        <v>47439</v>
      </c>
      <c r="S15934" t="s">
        <v>47860</v>
      </c>
      <c r="T15934" t="s">
        <v>49056</v>
      </c>
      <c r="U15934" t="s">
        <v>62609</v>
      </c>
      <c r="V15934" t="s">
        <v>64428</v>
      </c>
      <c r="W15934" t="s">
        <v>47423</v>
      </c>
      <c r="X15934" t="s">
        <v>47440</v>
      </c>
    </row>
    <row r="15935" spans="1:24">
      <c r="A15935">
        <f>HYPERLINK("https://www.philgeps.gov.ph/GEPSNONPILOT/Tender/SplashBidNoticeAbstractUI.aspx?menuIndex=3&amp;refID=7129715&amp;Result=3","7129715")</f>
        <v>0</v>
      </c>
      <c r="B15935" t="s">
        <v>3587</v>
      </c>
      <c r="C15935" t="s">
        <v>19010</v>
      </c>
      <c r="D15935" t="s">
        <v>19055</v>
      </c>
      <c r="E15935" t="s">
        <v>32824</v>
      </c>
      <c r="F15935" t="s">
        <v>32831</v>
      </c>
      <c r="G15935" t="s">
        <v>32839</v>
      </c>
      <c r="H15935" t="s">
        <v>32849</v>
      </c>
      <c r="I15935" t="s">
        <v>4177</v>
      </c>
      <c r="J15935" t="s">
        <v>42723</v>
      </c>
      <c r="K15935" t="s">
        <v>42770</v>
      </c>
      <c r="M15935" t="s">
        <v>46951</v>
      </c>
      <c r="N15935" t="s">
        <v>47424</v>
      </c>
      <c r="O15935" t="s">
        <v>47425</v>
      </c>
      <c r="P15935">
        <v>0</v>
      </c>
      <c r="Q15935">
        <v>1</v>
      </c>
      <c r="R15935" t="s">
        <v>47440</v>
      </c>
      <c r="S15935" t="s">
        <v>47963</v>
      </c>
      <c r="T15935" t="s">
        <v>49080</v>
      </c>
      <c r="U15935" t="s">
        <v>62610</v>
      </c>
      <c r="W15935" t="s">
        <v>46951</v>
      </c>
      <c r="X15935" t="s">
        <v>47445</v>
      </c>
    </row>
    <row r="15936" spans="1:24">
      <c r="A15936">
        <f>HYPERLINK("https://www.philgeps.gov.ph/GEPSNONPILOT/Tender/SplashBidNoticeAbstractUI.aspx?menuIndex=3&amp;refID=7142063&amp;Result=3","7142063")</f>
        <v>0</v>
      </c>
      <c r="B15936" t="s">
        <v>895</v>
      </c>
      <c r="C15936" t="s">
        <v>19011</v>
      </c>
      <c r="D15936" t="s">
        <v>19036</v>
      </c>
      <c r="E15936" t="s">
        <v>32825</v>
      </c>
      <c r="F15936" t="s">
        <v>32831</v>
      </c>
      <c r="G15936" t="s">
        <v>32839</v>
      </c>
      <c r="H15936" t="s">
        <v>32848</v>
      </c>
      <c r="I15936" t="s">
        <v>4487</v>
      </c>
      <c r="J15936" t="s">
        <v>33015</v>
      </c>
      <c r="K15936" t="s">
        <v>42727</v>
      </c>
      <c r="M15936" t="s">
        <v>44825</v>
      </c>
      <c r="N15936" t="s">
        <v>47424</v>
      </c>
      <c r="O15936" t="s">
        <v>47425</v>
      </c>
      <c r="P15936">
        <v>0</v>
      </c>
      <c r="Q15936">
        <v>6</v>
      </c>
      <c r="R15936" t="s">
        <v>47439</v>
      </c>
      <c r="S15936" t="s">
        <v>47860</v>
      </c>
      <c r="T15936" t="s">
        <v>49092</v>
      </c>
      <c r="U15936" t="s">
        <v>62611</v>
      </c>
      <c r="V15936" t="s">
        <v>62833</v>
      </c>
      <c r="W15936" t="s">
        <v>44825</v>
      </c>
      <c r="X15936" t="s">
        <v>47440</v>
      </c>
    </row>
    <row r="15937" spans="1:24">
      <c r="A15937">
        <f>HYPERLINK("https://www.philgeps.gov.ph/GEPSNONPILOT/Tender/SplashBidNoticeAbstractUI.aspx?menuIndex=3&amp;refID=7142061&amp;Result=3","7142061")</f>
        <v>0</v>
      </c>
      <c r="B15937" t="s">
        <v>563</v>
      </c>
      <c r="C15937" t="s">
        <v>19012</v>
      </c>
      <c r="D15937" t="s">
        <v>19060</v>
      </c>
      <c r="E15937" t="s">
        <v>32826</v>
      </c>
      <c r="F15937" t="s">
        <v>32831</v>
      </c>
      <c r="G15937" t="s">
        <v>32839</v>
      </c>
      <c r="H15937" t="s">
        <v>32848</v>
      </c>
      <c r="I15937" t="s">
        <v>7416</v>
      </c>
      <c r="J15937" t="s">
        <v>42724</v>
      </c>
      <c r="K15937" t="s">
        <v>42730</v>
      </c>
      <c r="M15937" t="s">
        <v>46198</v>
      </c>
      <c r="N15937" t="s">
        <v>47424</v>
      </c>
      <c r="O15937" t="s">
        <v>47425</v>
      </c>
      <c r="P15937">
        <v>0</v>
      </c>
      <c r="Q15937">
        <v>0</v>
      </c>
      <c r="R15937" t="s">
        <v>47439</v>
      </c>
      <c r="S15937" t="s">
        <v>47860</v>
      </c>
      <c r="T15937" t="s">
        <v>49159</v>
      </c>
      <c r="U15937" t="s">
        <v>59970</v>
      </c>
      <c r="W15937" t="s">
        <v>64528</v>
      </c>
      <c r="X15937" t="s">
        <v>47440</v>
      </c>
    </row>
    <row r="15938" spans="1:24">
      <c r="A15938">
        <f>HYPERLINK("https://www.philgeps.gov.ph/GEPSNONPILOT/Tender/SplashBidNoticeAbstractUI.aspx?menuIndex=3&amp;refID=7129193&amp;Result=3","7129193")</f>
        <v>0</v>
      </c>
      <c r="B15938" t="s">
        <v>75</v>
      </c>
      <c r="C15938" t="s">
        <v>19013</v>
      </c>
      <c r="D15938" t="s">
        <v>19046</v>
      </c>
      <c r="E15938" t="s">
        <v>32827</v>
      </c>
      <c r="F15938" t="s">
        <v>32831</v>
      </c>
      <c r="G15938" t="s">
        <v>32839</v>
      </c>
      <c r="H15938" t="s">
        <v>32848</v>
      </c>
      <c r="I15938" t="s">
        <v>7751</v>
      </c>
      <c r="J15938" t="s">
        <v>33066</v>
      </c>
      <c r="K15938" t="s">
        <v>42732</v>
      </c>
      <c r="M15938" t="s">
        <v>43072</v>
      </c>
      <c r="N15938" t="s">
        <v>47424</v>
      </c>
      <c r="O15938" t="s">
        <v>47425</v>
      </c>
      <c r="P15938">
        <v>0</v>
      </c>
      <c r="Q15938">
        <v>2</v>
      </c>
      <c r="R15938" t="s">
        <v>47440</v>
      </c>
      <c r="S15938" t="s">
        <v>47963</v>
      </c>
      <c r="T15938" t="s">
        <v>49070</v>
      </c>
      <c r="U15938" t="s">
        <v>62612</v>
      </c>
      <c r="W15938" t="s">
        <v>43072</v>
      </c>
      <c r="X15938" t="s">
        <v>47446</v>
      </c>
    </row>
    <row r="15939" spans="1:24">
      <c r="A15939">
        <f>HYPERLINK("https://www.philgeps.gov.ph/GEPSNONPILOT/Tender/SplashBidNoticeAbstractUI.aspx?menuIndex=3&amp;refID=7136159&amp;Result=3","7136159")</f>
        <v>0</v>
      </c>
      <c r="B15939" t="s">
        <v>33</v>
      </c>
      <c r="C15939" t="s">
        <v>19014</v>
      </c>
      <c r="D15939" t="s">
        <v>19024</v>
      </c>
      <c r="E15939" t="s">
        <v>32828</v>
      </c>
      <c r="F15939" t="s">
        <v>32831</v>
      </c>
      <c r="G15939" t="s">
        <v>32839</v>
      </c>
      <c r="H15939" t="s">
        <v>32848</v>
      </c>
      <c r="I15939" t="s">
        <v>32874</v>
      </c>
      <c r="J15939" t="s">
        <v>34575</v>
      </c>
      <c r="K15939" t="s">
        <v>42730</v>
      </c>
      <c r="M15939" t="s">
        <v>43030</v>
      </c>
      <c r="N15939" t="s">
        <v>47424</v>
      </c>
      <c r="O15939" t="s">
        <v>47425</v>
      </c>
      <c r="P15939">
        <v>0</v>
      </c>
      <c r="Q15939">
        <v>7</v>
      </c>
      <c r="R15939" t="s">
        <v>47440</v>
      </c>
      <c r="S15939" t="s">
        <v>47963</v>
      </c>
      <c r="T15939" t="s">
        <v>49080</v>
      </c>
      <c r="U15939" t="s">
        <v>62613</v>
      </c>
      <c r="W15939" t="s">
        <v>43030</v>
      </c>
      <c r="X15939" t="s">
        <v>47441</v>
      </c>
    </row>
    <row r="15940" spans="1:24">
      <c r="A15940">
        <f>HYPERLINK("https://www.philgeps.gov.ph/GEPSNONPILOT/Tender/SplashBidNoticeAbstractUI.aspx?menuIndex=3&amp;refID=7132232&amp;Result=3","7132232")</f>
        <v>0</v>
      </c>
      <c r="B15940" t="s">
        <v>43</v>
      </c>
      <c r="C15940" t="s">
        <v>19015</v>
      </c>
      <c r="D15940" t="s">
        <v>19032</v>
      </c>
      <c r="E15940" t="s">
        <v>32829</v>
      </c>
      <c r="F15940" t="s">
        <v>32831</v>
      </c>
      <c r="G15940" t="s">
        <v>32839</v>
      </c>
      <c r="H15940" t="s">
        <v>32849</v>
      </c>
      <c r="I15940" t="s">
        <v>4177</v>
      </c>
      <c r="J15940" t="s">
        <v>33083</v>
      </c>
      <c r="K15940" t="s">
        <v>42763</v>
      </c>
      <c r="M15940" t="s">
        <v>43040</v>
      </c>
      <c r="N15940" t="s">
        <v>47424</v>
      </c>
      <c r="O15940" t="s">
        <v>47425</v>
      </c>
      <c r="P15940">
        <v>0</v>
      </c>
      <c r="Q15940">
        <v>0</v>
      </c>
      <c r="R15940" t="s">
        <v>47440</v>
      </c>
      <c r="S15940" t="s">
        <v>47963</v>
      </c>
      <c r="T15940" t="s">
        <v>49136</v>
      </c>
      <c r="U15940" t="s">
        <v>62614</v>
      </c>
      <c r="W15940" t="s">
        <v>43040</v>
      </c>
      <c r="X15940" t="s">
        <v>47445</v>
      </c>
    </row>
    <row r="15941" spans="1:24">
      <c r="A15941">
        <f>HYPERLINK("https://www.philgeps.gov.ph/GEPSNONPILOT/Tender/SplashBidNoticeAbstractUI.aspx?menuIndex=3&amp;refID=7136273&amp;Result=3","7136273")</f>
        <v>0</v>
      </c>
      <c r="B15941" t="s">
        <v>2442</v>
      </c>
      <c r="C15941" t="s">
        <v>19016</v>
      </c>
      <c r="D15941" t="s">
        <v>19027</v>
      </c>
      <c r="E15941" t="s">
        <v>32830</v>
      </c>
      <c r="F15941" t="s">
        <v>32831</v>
      </c>
      <c r="G15941" t="s">
        <v>32838</v>
      </c>
      <c r="H15941" t="s">
        <v>32848</v>
      </c>
      <c r="I15941" t="s">
        <v>4438</v>
      </c>
      <c r="J15941" t="s">
        <v>42725</v>
      </c>
      <c r="K15941" t="s">
        <v>42730</v>
      </c>
      <c r="M15941" t="s">
        <v>45639</v>
      </c>
      <c r="N15941" t="s">
        <v>47424</v>
      </c>
      <c r="O15941" t="s">
        <v>47425</v>
      </c>
      <c r="Q15941">
        <v>0</v>
      </c>
      <c r="R15941" t="s">
        <v>47440</v>
      </c>
      <c r="S15941" t="s">
        <v>48012</v>
      </c>
      <c r="T15941" t="s">
        <v>49089</v>
      </c>
      <c r="U15941" t="s">
        <v>62615</v>
      </c>
      <c r="W15941" t="s">
        <v>45639</v>
      </c>
      <c r="X15941" t="s">
        <v>47441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2020-08-10T19:08:57Z</dcterms:created>
  <dcterms:modified xsi:type="dcterms:W3CDTF">2020-08-10T19:08:57Z</dcterms:modified>
</cp:coreProperties>
</file>